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fileSharing readOnlyRecommended="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C51025\Desktop\"/>
    </mc:Choice>
  </mc:AlternateContent>
  <xr:revisionPtr revIDLastSave="0" documentId="8_{8989C576-A544-4093-805B-C26A14187B65}" xr6:coauthVersionLast="47" xr6:coauthVersionMax="47" xr10:uidLastSave="{00000000-0000-0000-0000-000000000000}"/>
  <bookViews>
    <workbookView xWindow="-120" yWindow="-120" windowWidth="29040" windowHeight="15720" tabRatio="611" activeTab="2" xr2:uid="{00000000-000D-0000-FFFF-FFFF00000000}"/>
  </bookViews>
  <sheets>
    <sheet name="製品マスタ" sheetId="21" r:id="rId1"/>
    <sheet name="契約台帳" sheetId="20" r:id="rId2"/>
    <sheet name="S4" sheetId="33" r:id="rId3"/>
    <sheet name="S5" sheetId="35" r:id="rId4"/>
    <sheet name="原価マスタ" sheetId="36" r:id="rId5"/>
  </sheets>
  <externalReferences>
    <externalReference r:id="rId6"/>
    <externalReference r:id="rId7"/>
  </externalReferences>
  <definedNames>
    <definedName name="_xlnm._FilterDatabase" localSheetId="2" hidden="1">'S4'!$A$4:$AD$4</definedName>
    <definedName name="_xlnm._FilterDatabase" localSheetId="3" hidden="1">'S5'!$A$4:$AC$4</definedName>
    <definedName name="_xlnm._FilterDatabase" localSheetId="1" hidden="1">契約台帳!$A$2:$X$760</definedName>
    <definedName name="_xlnm._FilterDatabase" localSheetId="0" hidden="1">製品マスタ!$A$3:$WUN$215</definedName>
    <definedName name="_xlnm.Print_Area" localSheetId="2">'S4'!$A$2815:$Z$2834</definedName>
    <definedName name="_xlnm.Print_Area" localSheetId="3">'S5'!$A$99:$AC$860</definedName>
    <definedName name="_xlnm.Print_Titles" localSheetId="2">'S4'!$A:$B,'S4'!$1:$4</definedName>
    <definedName name="_xlnm.Print_Titles" localSheetId="3">'S5'!$A:$B,'S5'!$1:$4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2293" i="35" l="1"/>
  <c r="Y2293" i="35"/>
  <c r="X2293" i="35"/>
  <c r="U2293" i="35"/>
  <c r="S2293" i="35"/>
  <c r="R2293" i="35"/>
  <c r="Q2293" i="35"/>
  <c r="K2293" i="35"/>
  <c r="F2293" i="35"/>
  <c r="I2293" i="35" s="1"/>
  <c r="AE2270" i="35"/>
  <c r="Y2270" i="35"/>
  <c r="X2270" i="35"/>
  <c r="U2270" i="35"/>
  <c r="S2270" i="35"/>
  <c r="R2270" i="35"/>
  <c r="Q2270" i="35"/>
  <c r="K2270" i="35"/>
  <c r="F2270" i="35"/>
  <c r="W2270" i="35" s="1"/>
  <c r="AE2268" i="35"/>
  <c r="Y2268" i="35"/>
  <c r="X2268" i="35"/>
  <c r="U2268" i="35"/>
  <c r="S2268" i="35"/>
  <c r="R2268" i="35"/>
  <c r="Q2268" i="35"/>
  <c r="K2268" i="35"/>
  <c r="F2268" i="35"/>
  <c r="AE2266" i="35"/>
  <c r="Y2266" i="35"/>
  <c r="X2266" i="35"/>
  <c r="U2266" i="35"/>
  <c r="S2266" i="35"/>
  <c r="R2266" i="35"/>
  <c r="Q2266" i="35"/>
  <c r="K2266" i="35"/>
  <c r="F2266" i="35"/>
  <c r="G2266" i="35" s="1"/>
  <c r="AE2264" i="35"/>
  <c r="Y2264" i="35"/>
  <c r="X2264" i="35"/>
  <c r="U2264" i="35"/>
  <c r="S2264" i="35"/>
  <c r="R2264" i="35"/>
  <c r="Q2264" i="35"/>
  <c r="K2264" i="35"/>
  <c r="F2264" i="35"/>
  <c r="AE2262" i="35"/>
  <c r="Y2262" i="35"/>
  <c r="X2262" i="35"/>
  <c r="U2262" i="35"/>
  <c r="S2262" i="35"/>
  <c r="R2262" i="35"/>
  <c r="Q2262" i="35"/>
  <c r="K2262" i="35"/>
  <c r="F2262" i="35"/>
  <c r="AE2260" i="35"/>
  <c r="Y2260" i="35"/>
  <c r="X2260" i="35"/>
  <c r="U2260" i="35"/>
  <c r="S2260" i="35"/>
  <c r="R2260" i="35"/>
  <c r="Q2260" i="35"/>
  <c r="K2260" i="35"/>
  <c r="F2260" i="35"/>
  <c r="G2260" i="35" s="1"/>
  <c r="AE2259" i="35"/>
  <c r="Y2259" i="35"/>
  <c r="X2259" i="35"/>
  <c r="U2259" i="35"/>
  <c r="S2259" i="35"/>
  <c r="R2259" i="35"/>
  <c r="Q2259" i="35"/>
  <c r="K2259" i="35"/>
  <c r="F2259" i="35"/>
  <c r="W2259" i="35" s="1"/>
  <c r="AE2257" i="35"/>
  <c r="Y2257" i="35"/>
  <c r="X2257" i="35"/>
  <c r="U2257" i="35"/>
  <c r="S2257" i="35"/>
  <c r="R2257" i="35"/>
  <c r="Q2257" i="35"/>
  <c r="K2257" i="35"/>
  <c r="F2257" i="35"/>
  <c r="AE2256" i="35"/>
  <c r="Y2256" i="35"/>
  <c r="X2256" i="35"/>
  <c r="U2256" i="35"/>
  <c r="S2256" i="35"/>
  <c r="R2256" i="35"/>
  <c r="Q2256" i="35"/>
  <c r="K2256" i="35"/>
  <c r="F2256" i="35"/>
  <c r="AE2254" i="35"/>
  <c r="Y2254" i="35"/>
  <c r="X2254" i="35"/>
  <c r="U2254" i="35"/>
  <c r="S2254" i="35"/>
  <c r="R2254" i="35"/>
  <c r="Q2254" i="35"/>
  <c r="K2254" i="35"/>
  <c r="F2254" i="35"/>
  <c r="L2254" i="35" s="1"/>
  <c r="AE2252" i="35"/>
  <c r="Y2252" i="35"/>
  <c r="X2252" i="35"/>
  <c r="U2252" i="35"/>
  <c r="S2252" i="35"/>
  <c r="R2252" i="35"/>
  <c r="Q2252" i="35"/>
  <c r="K2252" i="35"/>
  <c r="F2252" i="35"/>
  <c r="AE2250" i="35"/>
  <c r="Y2250" i="35"/>
  <c r="X2250" i="35"/>
  <c r="U2250" i="35"/>
  <c r="S2250" i="35"/>
  <c r="R2250" i="35"/>
  <c r="Q2250" i="35"/>
  <c r="K2250" i="35"/>
  <c r="F2250" i="35"/>
  <c r="G2250" i="35" s="1"/>
  <c r="AE2248" i="35"/>
  <c r="Y2248" i="35"/>
  <c r="X2248" i="35"/>
  <c r="U2248" i="35"/>
  <c r="S2248" i="35"/>
  <c r="R2248" i="35"/>
  <c r="Q2248" i="35"/>
  <c r="K2248" i="35"/>
  <c r="F2248" i="35"/>
  <c r="G2248" i="35" s="1"/>
  <c r="AE2246" i="35"/>
  <c r="Y2246" i="35"/>
  <c r="X2246" i="35"/>
  <c r="U2246" i="35"/>
  <c r="S2246" i="35"/>
  <c r="R2246" i="35"/>
  <c r="Q2246" i="35"/>
  <c r="K2246" i="35"/>
  <c r="F2246" i="35"/>
  <c r="AE2244" i="35"/>
  <c r="Y2244" i="35"/>
  <c r="X2244" i="35"/>
  <c r="U2244" i="35"/>
  <c r="S2244" i="35"/>
  <c r="R2244" i="35"/>
  <c r="Q2244" i="35"/>
  <c r="K2244" i="35"/>
  <c r="F2244" i="35"/>
  <c r="I2244" i="35" s="1"/>
  <c r="AE2242" i="35"/>
  <c r="Y2242" i="35"/>
  <c r="X2242" i="35"/>
  <c r="U2242" i="35"/>
  <c r="S2242" i="35"/>
  <c r="R2242" i="35"/>
  <c r="Q2242" i="35"/>
  <c r="K2242" i="35"/>
  <c r="F2242" i="35"/>
  <c r="V2293" i="35" l="1"/>
  <c r="L2293" i="35"/>
  <c r="W2293" i="35"/>
  <c r="G2293" i="35"/>
  <c r="H2293" i="35"/>
  <c r="AD2293" i="35"/>
  <c r="AA2266" i="35"/>
  <c r="L2268" i="35"/>
  <c r="L2242" i="35"/>
  <c r="L2264" i="35"/>
  <c r="H2270" i="35"/>
  <c r="AA2270" i="35"/>
  <c r="I2270" i="35"/>
  <c r="AD2270" i="35"/>
  <c r="AF2270" i="35" s="1"/>
  <c r="AG2270" i="35" s="1"/>
  <c r="V2270" i="35"/>
  <c r="G2270" i="35"/>
  <c r="L2270" i="35"/>
  <c r="AD2257" i="35"/>
  <c r="AF2257" i="35" s="1"/>
  <c r="AG2257" i="35" s="1"/>
  <c r="AA2260" i="35"/>
  <c r="V2262" i="35"/>
  <c r="H2266" i="35"/>
  <c r="AD2260" i="35"/>
  <c r="AF2260" i="35" s="1"/>
  <c r="AG2260" i="35" s="1"/>
  <c r="I2266" i="35"/>
  <c r="AD2266" i="35"/>
  <c r="AF2266" i="35" s="1"/>
  <c r="AG2266" i="35" s="1"/>
  <c r="L2266" i="35"/>
  <c r="V2268" i="35"/>
  <c r="W2268" i="35"/>
  <c r="H2268" i="35"/>
  <c r="AA2268" i="35"/>
  <c r="G2268" i="35"/>
  <c r="V2266" i="35"/>
  <c r="I2268" i="35"/>
  <c r="AD2268" i="35"/>
  <c r="AF2268" i="35" s="1"/>
  <c r="AG2268" i="35" s="1"/>
  <c r="W2266" i="35"/>
  <c r="V2264" i="35"/>
  <c r="W2264" i="35"/>
  <c r="G2264" i="35"/>
  <c r="H2264" i="35"/>
  <c r="AA2264" i="35"/>
  <c r="I2264" i="35"/>
  <c r="AD2264" i="35"/>
  <c r="AF2264" i="35" s="1"/>
  <c r="AG2264" i="35" s="1"/>
  <c r="AD2248" i="35"/>
  <c r="AF2248" i="35" s="1"/>
  <c r="AG2248" i="35" s="1"/>
  <c r="H2260" i="35"/>
  <c r="L2257" i="35"/>
  <c r="I2260" i="35"/>
  <c r="L2260" i="35"/>
  <c r="V2256" i="35"/>
  <c r="H2256" i="35"/>
  <c r="AA2256" i="35"/>
  <c r="G2259" i="35"/>
  <c r="L2256" i="35"/>
  <c r="V2257" i="35"/>
  <c r="I2259" i="35"/>
  <c r="AD2259" i="35"/>
  <c r="AF2259" i="35" s="1"/>
  <c r="AG2259" i="35" s="1"/>
  <c r="G2262" i="35"/>
  <c r="W2256" i="35"/>
  <c r="V2259" i="35"/>
  <c r="G2254" i="35"/>
  <c r="W2257" i="35"/>
  <c r="H2262" i="35"/>
  <c r="AA2262" i="35"/>
  <c r="H2254" i="35"/>
  <c r="L2259" i="35"/>
  <c r="V2260" i="35"/>
  <c r="I2262" i="35"/>
  <c r="AD2262" i="35"/>
  <c r="AF2262" i="35" s="1"/>
  <c r="AG2262" i="35" s="1"/>
  <c r="V2254" i="35"/>
  <c r="I2256" i="35"/>
  <c r="AD2256" i="35"/>
  <c r="AF2256" i="35" s="1"/>
  <c r="AG2256" i="35" s="1"/>
  <c r="H2259" i="35"/>
  <c r="AA2259" i="35"/>
  <c r="I2254" i="35"/>
  <c r="AD2254" i="35"/>
  <c r="AF2254" i="35" s="1"/>
  <c r="AG2254" i="35" s="1"/>
  <c r="G2257" i="35"/>
  <c r="W2260" i="35"/>
  <c r="G2256" i="35"/>
  <c r="W2262" i="35"/>
  <c r="W2254" i="35"/>
  <c r="AA2254" i="35"/>
  <c r="L2262" i="35"/>
  <c r="H2257" i="35"/>
  <c r="AA2257" i="35"/>
  <c r="I2257" i="35"/>
  <c r="AA2248" i="35"/>
  <c r="L2252" i="35"/>
  <c r="H2248" i="35"/>
  <c r="L2248" i="35"/>
  <c r="I2248" i="35"/>
  <c r="L2246" i="35"/>
  <c r="V2252" i="35"/>
  <c r="W2252" i="35"/>
  <c r="H2252" i="35"/>
  <c r="AA2252" i="35"/>
  <c r="I2252" i="35"/>
  <c r="AD2252" i="35"/>
  <c r="AF2252" i="35" s="1"/>
  <c r="AG2252" i="35" s="1"/>
  <c r="G2252" i="35"/>
  <c r="H2250" i="35"/>
  <c r="AA2250" i="35"/>
  <c r="V2248" i="35"/>
  <c r="I2250" i="35"/>
  <c r="AD2250" i="35"/>
  <c r="AF2250" i="35" s="1"/>
  <c r="AG2250" i="35" s="1"/>
  <c r="W2248" i="35"/>
  <c r="V2250" i="35"/>
  <c r="W2250" i="35"/>
  <c r="L2250" i="35"/>
  <c r="AA2244" i="35"/>
  <c r="AD2244" i="35"/>
  <c r="AF2244" i="35" s="1"/>
  <c r="AG2244" i="35" s="1"/>
  <c r="G2244" i="35"/>
  <c r="H2244" i="35"/>
  <c r="W2244" i="35"/>
  <c r="G2246" i="35"/>
  <c r="H2246" i="35"/>
  <c r="AA2246" i="35"/>
  <c r="L2244" i="35"/>
  <c r="V2246" i="35"/>
  <c r="W2246" i="35"/>
  <c r="V2244" i="35"/>
  <c r="I2246" i="35"/>
  <c r="AD2246" i="35"/>
  <c r="AF2246" i="35" s="1"/>
  <c r="AG2246" i="35" s="1"/>
  <c r="V2242" i="35"/>
  <c r="W2242" i="35"/>
  <c r="G2242" i="35"/>
  <c r="H2242" i="35"/>
  <c r="AA2242" i="35"/>
  <c r="I2242" i="35"/>
  <c r="AD2242" i="35"/>
  <c r="AF2242" i="35" s="1"/>
  <c r="AG2242" i="35" s="1"/>
  <c r="AF2801" i="33" l="1"/>
  <c r="V2801" i="33"/>
  <c r="T2801" i="33"/>
  <c r="X2801" i="33" s="1"/>
  <c r="S2801" i="33"/>
  <c r="R2801" i="33"/>
  <c r="K2801" i="33"/>
  <c r="F2801" i="33"/>
  <c r="I2801" i="33" s="1"/>
  <c r="AF2799" i="33"/>
  <c r="V2799" i="33"/>
  <c r="T2799" i="33"/>
  <c r="Z2799" i="33" s="1"/>
  <c r="S2799" i="33"/>
  <c r="R2799" i="33"/>
  <c r="K2799" i="33"/>
  <c r="F2799" i="33"/>
  <c r="I2799" i="33" s="1"/>
  <c r="Y2801" i="33" l="1"/>
  <c r="L2801" i="33"/>
  <c r="X2799" i="33"/>
  <c r="L2799" i="33"/>
  <c r="G2801" i="33"/>
  <c r="Z2801" i="33"/>
  <c r="W2799" i="33"/>
  <c r="Y2799" i="33"/>
  <c r="G2799" i="33"/>
  <c r="H2799" i="33"/>
  <c r="AB2799" i="33"/>
  <c r="W2801" i="33"/>
  <c r="H2801" i="33"/>
  <c r="AB2801" i="33"/>
  <c r="AE2291" i="35" l="1"/>
  <c r="Y2291" i="35"/>
  <c r="X2291" i="35"/>
  <c r="U2291" i="35"/>
  <c r="S2291" i="35"/>
  <c r="R2291" i="35"/>
  <c r="Q2291" i="35"/>
  <c r="K2291" i="35"/>
  <c r="F2291" i="35"/>
  <c r="L2291" i="35" s="1"/>
  <c r="AE2289" i="35"/>
  <c r="Y2289" i="35"/>
  <c r="X2289" i="35"/>
  <c r="U2289" i="35"/>
  <c r="S2289" i="35"/>
  <c r="R2289" i="35"/>
  <c r="Q2289" i="35"/>
  <c r="K2289" i="35"/>
  <c r="F2289" i="35"/>
  <c r="AE2287" i="35"/>
  <c r="Y2287" i="35"/>
  <c r="X2287" i="35"/>
  <c r="U2287" i="35"/>
  <c r="S2287" i="35"/>
  <c r="R2287" i="35"/>
  <c r="Q2287" i="35"/>
  <c r="K2287" i="35"/>
  <c r="F2287" i="35"/>
  <c r="AE2280" i="35"/>
  <c r="Y2280" i="35"/>
  <c r="X2280" i="35"/>
  <c r="U2280" i="35"/>
  <c r="S2280" i="35"/>
  <c r="R2280" i="35"/>
  <c r="Q2280" i="35"/>
  <c r="K2280" i="35"/>
  <c r="F2280" i="35"/>
  <c r="L2280" i="35" s="1"/>
  <c r="AE2278" i="35"/>
  <c r="Y2278" i="35"/>
  <c r="X2278" i="35"/>
  <c r="U2278" i="35"/>
  <c r="S2278" i="35"/>
  <c r="R2278" i="35"/>
  <c r="Q2278" i="35"/>
  <c r="K2278" i="35"/>
  <c r="F2278" i="35"/>
  <c r="H2278" i="35" s="1"/>
  <c r="AF2864" i="33"/>
  <c r="V2864" i="33"/>
  <c r="T2864" i="33"/>
  <c r="Z2864" i="33" s="1"/>
  <c r="S2864" i="33"/>
  <c r="R2864" i="33"/>
  <c r="K2864" i="33"/>
  <c r="F2864" i="33"/>
  <c r="I2864" i="33" s="1"/>
  <c r="AF2860" i="33"/>
  <c r="V2860" i="33"/>
  <c r="T2860" i="33"/>
  <c r="Z2860" i="33" s="1"/>
  <c r="S2860" i="33"/>
  <c r="R2860" i="33"/>
  <c r="K2860" i="33"/>
  <c r="F2860" i="33"/>
  <c r="I2860" i="33" s="1"/>
  <c r="V2852" i="33"/>
  <c r="T2852" i="33"/>
  <c r="Z2852" i="33" s="1"/>
  <c r="S2852" i="33"/>
  <c r="R2852" i="33"/>
  <c r="K2852" i="33"/>
  <c r="F2852" i="33"/>
  <c r="G2852" i="33" s="1"/>
  <c r="V2850" i="33"/>
  <c r="T2850" i="33"/>
  <c r="Z2850" i="33" s="1"/>
  <c r="S2850" i="33"/>
  <c r="R2850" i="33"/>
  <c r="K2850" i="33"/>
  <c r="F2850" i="33"/>
  <c r="G2850" i="33" s="1"/>
  <c r="V2849" i="33"/>
  <c r="T2849" i="33"/>
  <c r="Y2849" i="33" s="1"/>
  <c r="S2849" i="33"/>
  <c r="R2849" i="33"/>
  <c r="K2849" i="33"/>
  <c r="F2849" i="33"/>
  <c r="G2849" i="33" s="1"/>
  <c r="V2847" i="33"/>
  <c r="T2847" i="33"/>
  <c r="Z2847" i="33" s="1"/>
  <c r="S2847" i="33"/>
  <c r="R2847" i="33"/>
  <c r="K2847" i="33"/>
  <c r="F2847" i="33"/>
  <c r="G2847" i="33" s="1"/>
  <c r="V2845" i="33"/>
  <c r="T2845" i="33"/>
  <c r="Z2845" i="33" s="1"/>
  <c r="S2845" i="33"/>
  <c r="R2845" i="33"/>
  <c r="K2845" i="33"/>
  <c r="F2845" i="33"/>
  <c r="G2845" i="33" s="1"/>
  <c r="V2843" i="33"/>
  <c r="T2843" i="33"/>
  <c r="Z2843" i="33" s="1"/>
  <c r="S2843" i="33"/>
  <c r="R2843" i="33"/>
  <c r="K2843" i="33"/>
  <c r="F2843" i="33"/>
  <c r="G2843" i="33" s="1"/>
  <c r="V2841" i="33"/>
  <c r="T2841" i="33"/>
  <c r="S2841" i="33"/>
  <c r="R2841" i="33"/>
  <c r="K2841" i="33"/>
  <c r="F2841" i="33"/>
  <c r="I2841" i="33" s="1"/>
  <c r="AE2274" i="35"/>
  <c r="Y2274" i="35"/>
  <c r="X2274" i="35"/>
  <c r="U2274" i="35"/>
  <c r="S2274" i="35"/>
  <c r="R2274" i="35"/>
  <c r="Q2274" i="35"/>
  <c r="K2274" i="35"/>
  <c r="F2274" i="35"/>
  <c r="AE2272" i="35"/>
  <c r="Y2272" i="35"/>
  <c r="X2272" i="35"/>
  <c r="U2272" i="35"/>
  <c r="S2272" i="35"/>
  <c r="R2272" i="35"/>
  <c r="Q2272" i="35"/>
  <c r="K2272" i="35"/>
  <c r="F2272" i="35"/>
  <c r="AE2236" i="35"/>
  <c r="Y2236" i="35"/>
  <c r="X2236" i="35"/>
  <c r="U2236" i="35"/>
  <c r="S2236" i="35"/>
  <c r="R2236" i="35"/>
  <c r="Q2236" i="35"/>
  <c r="K2236" i="35"/>
  <c r="F2236" i="35"/>
  <c r="AE2230" i="35"/>
  <c r="Y2230" i="35"/>
  <c r="X2230" i="35"/>
  <c r="U2230" i="35"/>
  <c r="S2230" i="35"/>
  <c r="R2230" i="35"/>
  <c r="Q2230" i="35"/>
  <c r="K2230" i="35"/>
  <c r="F2230" i="35"/>
  <c r="AE2240" i="35"/>
  <c r="Y2240" i="35"/>
  <c r="X2240" i="35"/>
  <c r="U2240" i="35"/>
  <c r="S2240" i="35"/>
  <c r="R2240" i="35"/>
  <c r="Q2240" i="35"/>
  <c r="K2240" i="35"/>
  <c r="F2240" i="35"/>
  <c r="AE2238" i="35"/>
  <c r="Y2238" i="35"/>
  <c r="X2238" i="35"/>
  <c r="U2238" i="35"/>
  <c r="S2238" i="35"/>
  <c r="R2238" i="35"/>
  <c r="Q2238" i="35"/>
  <c r="K2238" i="35"/>
  <c r="F2238" i="35"/>
  <c r="AE2228" i="35"/>
  <c r="Y2228" i="35"/>
  <c r="X2228" i="35"/>
  <c r="U2228" i="35"/>
  <c r="S2228" i="35"/>
  <c r="R2228" i="35"/>
  <c r="Q2228" i="35"/>
  <c r="K2228" i="35"/>
  <c r="F2228" i="35"/>
  <c r="AE2226" i="35"/>
  <c r="Y2226" i="35"/>
  <c r="X2226" i="35"/>
  <c r="U2226" i="35"/>
  <c r="S2226" i="35"/>
  <c r="R2226" i="35"/>
  <c r="Q2226" i="35"/>
  <c r="K2226" i="35"/>
  <c r="F2226" i="35"/>
  <c r="AE2224" i="35"/>
  <c r="Y2224" i="35"/>
  <c r="X2224" i="35"/>
  <c r="U2224" i="35"/>
  <c r="S2224" i="35"/>
  <c r="R2224" i="35"/>
  <c r="Q2224" i="35"/>
  <c r="K2224" i="35"/>
  <c r="F2224" i="35"/>
  <c r="AE2222" i="35"/>
  <c r="Y2222" i="35"/>
  <c r="X2222" i="35"/>
  <c r="U2222" i="35"/>
  <c r="S2222" i="35"/>
  <c r="R2222" i="35"/>
  <c r="Q2222" i="35"/>
  <c r="K2222" i="35"/>
  <c r="F2222" i="35"/>
  <c r="AE2220" i="35"/>
  <c r="Y2220" i="35"/>
  <c r="X2220" i="35"/>
  <c r="U2220" i="35"/>
  <c r="S2220" i="35"/>
  <c r="R2220" i="35"/>
  <c r="Q2220" i="35"/>
  <c r="K2220" i="35"/>
  <c r="F2220" i="35"/>
  <c r="L2236" i="35" l="1"/>
  <c r="L2289" i="35"/>
  <c r="AD2287" i="35"/>
  <c r="AF2287" i="35" s="1"/>
  <c r="AG2287" i="35" s="1"/>
  <c r="L2230" i="35"/>
  <c r="L2274" i="35"/>
  <c r="W2291" i="35"/>
  <c r="V2291" i="35"/>
  <c r="G2291" i="35"/>
  <c r="H2291" i="35"/>
  <c r="AA2291" i="35"/>
  <c r="I2291" i="35"/>
  <c r="AD2291" i="35"/>
  <c r="AF2291" i="35" s="1"/>
  <c r="AG2291" i="35" s="1"/>
  <c r="V2289" i="35"/>
  <c r="W2289" i="35"/>
  <c r="G2289" i="35"/>
  <c r="H2289" i="35"/>
  <c r="AA2289" i="35"/>
  <c r="I2289" i="35"/>
  <c r="AD2289" i="35"/>
  <c r="AF2289" i="35" s="1"/>
  <c r="AG2289" i="35" s="1"/>
  <c r="L2224" i="35"/>
  <c r="G2287" i="35"/>
  <c r="H2287" i="35"/>
  <c r="AA2287" i="35"/>
  <c r="L2287" i="35"/>
  <c r="V2287" i="35"/>
  <c r="W2287" i="35"/>
  <c r="I2287" i="35"/>
  <c r="AD2240" i="35"/>
  <c r="AF2240" i="35" s="1"/>
  <c r="AG2240" i="35" s="1"/>
  <c r="L2272" i="35"/>
  <c r="G2280" i="35"/>
  <c r="I2280" i="35"/>
  <c r="AD2280" i="35"/>
  <c r="AF2280" i="35" s="1"/>
  <c r="AG2280" i="35" s="1"/>
  <c r="V2280" i="35"/>
  <c r="W2280" i="35"/>
  <c r="H2280" i="35"/>
  <c r="AA2280" i="35"/>
  <c r="V2278" i="35"/>
  <c r="W2278" i="35"/>
  <c r="AA2278" i="35"/>
  <c r="I2278" i="35"/>
  <c r="AD2278" i="35"/>
  <c r="AF2278" i="35" s="1"/>
  <c r="AG2278" i="35" s="1"/>
  <c r="L2278" i="35"/>
  <c r="G2278" i="35"/>
  <c r="V2274" i="35"/>
  <c r="L2222" i="35"/>
  <c r="L2864" i="33"/>
  <c r="W2864" i="33"/>
  <c r="X2864" i="33"/>
  <c r="Y2864" i="33"/>
  <c r="G2864" i="33"/>
  <c r="H2864" i="33"/>
  <c r="AB2864" i="33"/>
  <c r="L2860" i="33"/>
  <c r="W2860" i="33"/>
  <c r="X2860" i="33"/>
  <c r="Y2860" i="33"/>
  <c r="G2860" i="33"/>
  <c r="H2860" i="33"/>
  <c r="AB2860" i="33"/>
  <c r="H2852" i="33"/>
  <c r="I2852" i="33"/>
  <c r="L2852" i="33"/>
  <c r="W2852" i="33"/>
  <c r="X2852" i="33"/>
  <c r="Y2852" i="33"/>
  <c r="H2850" i="33"/>
  <c r="I2850" i="33"/>
  <c r="L2850" i="33"/>
  <c r="W2850" i="33"/>
  <c r="X2850" i="33"/>
  <c r="Y2850" i="33"/>
  <c r="I2849" i="33"/>
  <c r="H2849" i="33"/>
  <c r="Z2849" i="33"/>
  <c r="L2849" i="33"/>
  <c r="W2849" i="33"/>
  <c r="X2849" i="33"/>
  <c r="H2847" i="33"/>
  <c r="I2847" i="33"/>
  <c r="X2847" i="33"/>
  <c r="W2847" i="33"/>
  <c r="Y2847" i="33"/>
  <c r="L2847" i="33"/>
  <c r="H2845" i="33"/>
  <c r="I2845" i="33"/>
  <c r="L2845" i="33"/>
  <c r="W2845" i="33"/>
  <c r="X2845" i="33"/>
  <c r="Y2845" i="33"/>
  <c r="H2843" i="33"/>
  <c r="I2843" i="33"/>
  <c r="W2843" i="33"/>
  <c r="X2843" i="33"/>
  <c r="L2843" i="33"/>
  <c r="Y2843" i="33"/>
  <c r="X2841" i="33"/>
  <c r="Y2841" i="33"/>
  <c r="Z2841" i="33"/>
  <c r="G2841" i="33"/>
  <c r="H2841" i="33"/>
  <c r="L2841" i="33"/>
  <c r="W2841" i="33"/>
  <c r="G2274" i="35"/>
  <c r="H2274" i="35"/>
  <c r="AA2274" i="35"/>
  <c r="W2274" i="35"/>
  <c r="I2274" i="35"/>
  <c r="AD2274" i="35"/>
  <c r="AF2274" i="35" s="1"/>
  <c r="AG2274" i="35" s="1"/>
  <c r="G2272" i="35"/>
  <c r="H2272" i="35"/>
  <c r="AA2272" i="35"/>
  <c r="I2272" i="35"/>
  <c r="AD2272" i="35"/>
  <c r="AF2272" i="35" s="1"/>
  <c r="AG2272" i="35" s="1"/>
  <c r="V2272" i="35"/>
  <c r="W2272" i="35"/>
  <c r="H2236" i="35"/>
  <c r="AA2236" i="35"/>
  <c r="V2236" i="35"/>
  <c r="W2236" i="35"/>
  <c r="G2236" i="35"/>
  <c r="I2236" i="35"/>
  <c r="AD2236" i="35"/>
  <c r="AF2236" i="35" s="1"/>
  <c r="AG2236" i="35" s="1"/>
  <c r="L2238" i="35"/>
  <c r="AA2228" i="35"/>
  <c r="L2226" i="35"/>
  <c r="H2230" i="35"/>
  <c r="AA2230" i="35"/>
  <c r="G2230" i="35"/>
  <c r="I2230" i="35"/>
  <c r="AD2230" i="35"/>
  <c r="AF2230" i="35" s="1"/>
  <c r="AG2230" i="35" s="1"/>
  <c r="V2230" i="35"/>
  <c r="W2230" i="35"/>
  <c r="G2240" i="35"/>
  <c r="H2240" i="35"/>
  <c r="AA2240" i="35"/>
  <c r="L2240" i="35"/>
  <c r="V2240" i="35"/>
  <c r="W2240" i="35"/>
  <c r="I2240" i="35"/>
  <c r="W2238" i="35"/>
  <c r="G2238" i="35"/>
  <c r="AA2238" i="35"/>
  <c r="V2238" i="35"/>
  <c r="H2238" i="35"/>
  <c r="I2238" i="35"/>
  <c r="AD2238" i="35"/>
  <c r="AF2238" i="35" s="1"/>
  <c r="AG2238" i="35" s="1"/>
  <c r="L2220" i="35"/>
  <c r="G2228" i="35"/>
  <c r="I2228" i="35"/>
  <c r="AD2228" i="35"/>
  <c r="AF2228" i="35" s="1"/>
  <c r="AG2228" i="35" s="1"/>
  <c r="L2228" i="35"/>
  <c r="V2228" i="35"/>
  <c r="W2228" i="35"/>
  <c r="H2228" i="35"/>
  <c r="V2226" i="35"/>
  <c r="H2226" i="35"/>
  <c r="AA2226" i="35"/>
  <c r="W2226" i="35"/>
  <c r="G2226" i="35"/>
  <c r="I2226" i="35"/>
  <c r="AD2226" i="35"/>
  <c r="AF2226" i="35" s="1"/>
  <c r="AG2226" i="35" s="1"/>
  <c r="V2224" i="35"/>
  <c r="W2224" i="35"/>
  <c r="G2224" i="35"/>
  <c r="H2224" i="35"/>
  <c r="AA2224" i="35"/>
  <c r="I2224" i="35"/>
  <c r="AD2224" i="35"/>
  <c r="AF2224" i="35" s="1"/>
  <c r="AG2224" i="35" s="1"/>
  <c r="V2222" i="35"/>
  <c r="W2222" i="35"/>
  <c r="G2222" i="35"/>
  <c r="H2222" i="35"/>
  <c r="AA2222" i="35"/>
  <c r="AD2222" i="35"/>
  <c r="AF2222" i="35" s="1"/>
  <c r="AG2222" i="35" s="1"/>
  <c r="I2222" i="35"/>
  <c r="W2220" i="35"/>
  <c r="H2220" i="35"/>
  <c r="AA2220" i="35"/>
  <c r="V2220" i="35"/>
  <c r="G2220" i="35"/>
  <c r="I2220" i="35"/>
  <c r="AD2220" i="35"/>
  <c r="AF2220" i="35" s="1"/>
  <c r="AG2220" i="35" s="1"/>
  <c r="AG2285" i="35" l="1"/>
  <c r="AF2803" i="33"/>
  <c r="V2803" i="33"/>
  <c r="T2803" i="33"/>
  <c r="Z2803" i="33" s="1"/>
  <c r="S2803" i="33"/>
  <c r="R2803" i="33"/>
  <c r="K2803" i="33"/>
  <c r="F2803" i="33"/>
  <c r="G2803" i="33" s="1"/>
  <c r="AF2805" i="33"/>
  <c r="V2805" i="33"/>
  <c r="T2805" i="33"/>
  <c r="Z2805" i="33" s="1"/>
  <c r="S2805" i="33"/>
  <c r="R2805" i="33"/>
  <c r="K2805" i="33"/>
  <c r="F2805" i="33"/>
  <c r="I2805" i="33" s="1"/>
  <c r="H2803" i="33" l="1"/>
  <c r="AB2803" i="33"/>
  <c r="I2803" i="33"/>
  <c r="W2803" i="33"/>
  <c r="X2803" i="33"/>
  <c r="Y2803" i="33"/>
  <c r="L2803" i="33"/>
  <c r="W2805" i="33"/>
  <c r="X2805" i="33"/>
  <c r="Y2805" i="33"/>
  <c r="G2805" i="33"/>
  <c r="H2805" i="33"/>
  <c r="AB2805" i="33"/>
  <c r="L2805" i="33"/>
  <c r="AF2785" i="33" l="1"/>
  <c r="V2785" i="33"/>
  <c r="T2785" i="33"/>
  <c r="X2785" i="33" s="1"/>
  <c r="S2785" i="33"/>
  <c r="R2785" i="33"/>
  <c r="K2785" i="33"/>
  <c r="F2785" i="33"/>
  <c r="G2785" i="33" s="1"/>
  <c r="AF2783" i="33"/>
  <c r="V2783" i="33"/>
  <c r="T2783" i="33"/>
  <c r="Z2783" i="33" s="1"/>
  <c r="S2783" i="33"/>
  <c r="R2783" i="33"/>
  <c r="K2783" i="33"/>
  <c r="F2783" i="33"/>
  <c r="I2783" i="33" s="1"/>
  <c r="AF2781" i="33"/>
  <c r="V2781" i="33"/>
  <c r="T2781" i="33"/>
  <c r="Z2781" i="33" s="1"/>
  <c r="S2781" i="33"/>
  <c r="R2781" i="33"/>
  <c r="K2781" i="33"/>
  <c r="F2781" i="33"/>
  <c r="AF2780" i="33"/>
  <c r="V2780" i="33"/>
  <c r="T2780" i="33"/>
  <c r="X2780" i="33" s="1"/>
  <c r="S2780" i="33"/>
  <c r="R2780" i="33"/>
  <c r="K2780" i="33"/>
  <c r="F2780" i="33"/>
  <c r="AF2778" i="33"/>
  <c r="V2778" i="33"/>
  <c r="T2778" i="33"/>
  <c r="Y2778" i="33" s="1"/>
  <c r="S2778" i="33"/>
  <c r="R2778" i="33"/>
  <c r="K2778" i="33"/>
  <c r="F2778" i="33"/>
  <c r="I2778" i="33" s="1"/>
  <c r="AF2776" i="33"/>
  <c r="V2776" i="33"/>
  <c r="T2776" i="33"/>
  <c r="Z2776" i="33" s="1"/>
  <c r="S2776" i="33"/>
  <c r="R2776" i="33"/>
  <c r="K2776" i="33"/>
  <c r="F2776" i="33"/>
  <c r="G2776" i="33" s="1"/>
  <c r="L2780" i="33" l="1"/>
  <c r="L2781" i="33"/>
  <c r="L2778" i="33"/>
  <c r="L2783" i="33"/>
  <c r="Z2785" i="33"/>
  <c r="Y2785" i="33"/>
  <c r="Y2780" i="33"/>
  <c r="Z2780" i="33"/>
  <c r="G2780" i="33"/>
  <c r="W2776" i="33"/>
  <c r="H2780" i="33"/>
  <c r="AB2780" i="33"/>
  <c r="W2781" i="33"/>
  <c r="H2785" i="33"/>
  <c r="AB2785" i="33"/>
  <c r="X2776" i="33"/>
  <c r="I2780" i="33"/>
  <c r="X2781" i="33"/>
  <c r="I2785" i="33"/>
  <c r="Y2781" i="33"/>
  <c r="G2781" i="33"/>
  <c r="L2785" i="33"/>
  <c r="H2776" i="33"/>
  <c r="AB2776" i="33"/>
  <c r="W2778" i="33"/>
  <c r="H2781" i="33"/>
  <c r="AB2781" i="33"/>
  <c r="W2783" i="33"/>
  <c r="I2776" i="33"/>
  <c r="X2778" i="33"/>
  <c r="I2781" i="33"/>
  <c r="X2783" i="33"/>
  <c r="Y2783" i="33"/>
  <c r="L2776" i="33"/>
  <c r="G2778" i="33"/>
  <c r="Z2778" i="33"/>
  <c r="G2783" i="33"/>
  <c r="H2778" i="33"/>
  <c r="AB2778" i="33"/>
  <c r="W2780" i="33"/>
  <c r="H2783" i="33"/>
  <c r="AB2783" i="33"/>
  <c r="W2785" i="33"/>
  <c r="Y2776" i="33"/>
  <c r="AF2764" i="33" l="1"/>
  <c r="V2764" i="33"/>
  <c r="T2764" i="33"/>
  <c r="Z2764" i="33" s="1"/>
  <c r="S2764" i="33"/>
  <c r="R2764" i="33"/>
  <c r="K2764" i="33"/>
  <c r="F2764" i="33"/>
  <c r="I2764" i="33" s="1"/>
  <c r="AF2762" i="33"/>
  <c r="V2762" i="33"/>
  <c r="T2762" i="33"/>
  <c r="X2762" i="33" s="1"/>
  <c r="S2762" i="33"/>
  <c r="R2762" i="33"/>
  <c r="K2762" i="33"/>
  <c r="F2762" i="33"/>
  <c r="L2762" i="33" l="1"/>
  <c r="G2762" i="33"/>
  <c r="Z2762" i="33"/>
  <c r="I2762" i="33"/>
  <c r="X2764" i="33"/>
  <c r="Y2762" i="33"/>
  <c r="H2762" i="33"/>
  <c r="AB2762" i="33"/>
  <c r="W2764" i="33"/>
  <c r="Y2764" i="33"/>
  <c r="G2764" i="33"/>
  <c r="L2764" i="33"/>
  <c r="W2762" i="33"/>
  <c r="H2764" i="33"/>
  <c r="AB2764" i="33"/>
  <c r="AF2760" i="33" l="1"/>
  <c r="V2760" i="33"/>
  <c r="T2760" i="33"/>
  <c r="Y2760" i="33" s="1"/>
  <c r="S2760" i="33"/>
  <c r="R2760" i="33"/>
  <c r="K2760" i="33"/>
  <c r="F2760" i="33"/>
  <c r="I2760" i="33" s="1"/>
  <c r="W2760" i="33" l="1"/>
  <c r="X2760" i="33"/>
  <c r="L2760" i="33"/>
  <c r="G2760" i="33"/>
  <c r="Z2760" i="33"/>
  <c r="H2760" i="33"/>
  <c r="AB2760" i="33"/>
  <c r="AF2831" i="33" l="1"/>
  <c r="V2831" i="33"/>
  <c r="T2831" i="33"/>
  <c r="Z2831" i="33" s="1"/>
  <c r="S2831" i="33"/>
  <c r="R2831" i="33"/>
  <c r="K2831" i="33"/>
  <c r="F2831" i="33"/>
  <c r="I2831" i="33" s="1"/>
  <c r="AF2829" i="33"/>
  <c r="V2829" i="33"/>
  <c r="T2829" i="33"/>
  <c r="X2829" i="33" s="1"/>
  <c r="S2829" i="33"/>
  <c r="R2829" i="33"/>
  <c r="K2829" i="33"/>
  <c r="F2829" i="33"/>
  <c r="I2829" i="33" s="1"/>
  <c r="AF2827" i="33"/>
  <c r="V2827" i="33"/>
  <c r="T2827" i="33"/>
  <c r="W2827" i="33" s="1"/>
  <c r="S2827" i="33"/>
  <c r="R2827" i="33"/>
  <c r="K2827" i="33"/>
  <c r="F2827" i="33"/>
  <c r="I2827" i="33" s="1"/>
  <c r="Y2206" i="35"/>
  <c r="X2206" i="35"/>
  <c r="W2206" i="35"/>
  <c r="V2206" i="35"/>
  <c r="U2206" i="35"/>
  <c r="S2206" i="35"/>
  <c r="R2206" i="35"/>
  <c r="Q2206" i="35"/>
  <c r="K2206" i="35"/>
  <c r="F2206" i="35"/>
  <c r="G2206" i="35" s="1"/>
  <c r="AF2825" i="33"/>
  <c r="V2825" i="33"/>
  <c r="T2825" i="33"/>
  <c r="X2825" i="33" s="1"/>
  <c r="S2825" i="33"/>
  <c r="R2825" i="33"/>
  <c r="K2825" i="33"/>
  <c r="F2825" i="33"/>
  <c r="I2825" i="33" s="1"/>
  <c r="AF2823" i="33"/>
  <c r="V2823" i="33"/>
  <c r="T2823" i="33"/>
  <c r="X2823" i="33" s="1"/>
  <c r="S2823" i="33"/>
  <c r="R2823" i="33"/>
  <c r="K2823" i="33"/>
  <c r="F2823" i="33"/>
  <c r="I2823" i="33" s="1"/>
  <c r="AF2821" i="33"/>
  <c r="V2821" i="33"/>
  <c r="T2821" i="33"/>
  <c r="Z2821" i="33" s="1"/>
  <c r="S2821" i="33"/>
  <c r="R2821" i="33"/>
  <c r="K2821" i="33"/>
  <c r="F2821" i="33"/>
  <c r="I2821" i="33" s="1"/>
  <c r="AF2820" i="33"/>
  <c r="V2820" i="33"/>
  <c r="T2820" i="33"/>
  <c r="Z2820" i="33" s="1"/>
  <c r="S2820" i="33"/>
  <c r="R2820" i="33"/>
  <c r="K2820" i="33"/>
  <c r="F2820" i="33"/>
  <c r="I2820" i="33" s="1"/>
  <c r="AF2818" i="33"/>
  <c r="V2818" i="33"/>
  <c r="T2818" i="33"/>
  <c r="Z2818" i="33" s="1"/>
  <c r="S2818" i="33"/>
  <c r="R2818" i="33"/>
  <c r="K2818" i="33"/>
  <c r="F2818" i="33"/>
  <c r="I2818" i="33" s="1"/>
  <c r="AF2817" i="33"/>
  <c r="V2817" i="33"/>
  <c r="T2817" i="33"/>
  <c r="Z2817" i="33" s="1"/>
  <c r="S2817" i="33"/>
  <c r="R2817" i="33"/>
  <c r="K2817" i="33"/>
  <c r="F2817" i="33"/>
  <c r="I2817" i="33" s="1"/>
  <c r="AF2815" i="33"/>
  <c r="V2815" i="33"/>
  <c r="T2815" i="33"/>
  <c r="Y2815" i="33" s="1"/>
  <c r="S2815" i="33"/>
  <c r="R2815" i="33"/>
  <c r="K2815" i="33"/>
  <c r="F2815" i="33"/>
  <c r="I2815" i="33" s="1"/>
  <c r="AF2813" i="33"/>
  <c r="V2813" i="33"/>
  <c r="T2813" i="33"/>
  <c r="Z2813" i="33" s="1"/>
  <c r="S2813" i="33"/>
  <c r="R2813" i="33"/>
  <c r="K2813" i="33"/>
  <c r="F2813" i="33"/>
  <c r="I2813" i="33" s="1"/>
  <c r="AF2811" i="33"/>
  <c r="V2811" i="33"/>
  <c r="T2811" i="33"/>
  <c r="X2811" i="33" s="1"/>
  <c r="S2811" i="33"/>
  <c r="R2811" i="33"/>
  <c r="K2811" i="33"/>
  <c r="F2811" i="33"/>
  <c r="H2811" i="33" s="1"/>
  <c r="AF2809" i="33"/>
  <c r="V2809" i="33"/>
  <c r="T2809" i="33"/>
  <c r="Z2809" i="33" s="1"/>
  <c r="S2809" i="33"/>
  <c r="R2809" i="33"/>
  <c r="K2809" i="33"/>
  <c r="F2809" i="33"/>
  <c r="H2809" i="33" s="1"/>
  <c r="AF2807" i="33"/>
  <c r="V2807" i="33"/>
  <c r="T2807" i="33"/>
  <c r="Z2807" i="33" s="1"/>
  <c r="S2807" i="33"/>
  <c r="R2807" i="33"/>
  <c r="K2807" i="33"/>
  <c r="F2807" i="33"/>
  <c r="H2807" i="33" s="1"/>
  <c r="AF2797" i="33"/>
  <c r="V2797" i="33"/>
  <c r="T2797" i="33"/>
  <c r="X2797" i="33" s="1"/>
  <c r="S2797" i="33"/>
  <c r="R2797" i="33"/>
  <c r="K2797" i="33"/>
  <c r="F2797" i="33"/>
  <c r="AF2793" i="33"/>
  <c r="V2793" i="33"/>
  <c r="T2793" i="33"/>
  <c r="Z2793" i="33" s="1"/>
  <c r="S2793" i="33"/>
  <c r="R2793" i="33"/>
  <c r="K2793" i="33"/>
  <c r="F2793" i="33"/>
  <c r="I2793" i="33" s="1"/>
  <c r="AF2791" i="33"/>
  <c r="V2791" i="33"/>
  <c r="T2791" i="33"/>
  <c r="W2791" i="33" s="1"/>
  <c r="S2791" i="33"/>
  <c r="R2791" i="33"/>
  <c r="K2791" i="33"/>
  <c r="F2791" i="33"/>
  <c r="I2791" i="33" s="1"/>
  <c r="Y2212" i="35"/>
  <c r="X2212" i="35"/>
  <c r="W2212" i="35"/>
  <c r="V2212" i="35"/>
  <c r="U2212" i="35"/>
  <c r="S2212" i="35"/>
  <c r="R2212" i="35"/>
  <c r="Q2212" i="35"/>
  <c r="K2212" i="35"/>
  <c r="F2212" i="35"/>
  <c r="G2212" i="35" s="1"/>
  <c r="Y2210" i="35"/>
  <c r="X2210" i="35"/>
  <c r="W2210" i="35"/>
  <c r="V2210" i="35"/>
  <c r="U2210" i="35"/>
  <c r="S2210" i="35"/>
  <c r="R2210" i="35"/>
  <c r="Q2210" i="35"/>
  <c r="K2210" i="35"/>
  <c r="F2210" i="35"/>
  <c r="G2210" i="35" s="1"/>
  <c r="Y2208" i="35"/>
  <c r="X2208" i="35"/>
  <c r="W2208" i="35"/>
  <c r="V2208" i="35"/>
  <c r="U2208" i="35"/>
  <c r="S2208" i="35"/>
  <c r="R2208" i="35"/>
  <c r="Q2208" i="35"/>
  <c r="K2208" i="35"/>
  <c r="F2208" i="35"/>
  <c r="H2208" i="35" s="1"/>
  <c r="H2206" i="35" l="1"/>
  <c r="I2206" i="35"/>
  <c r="L2206" i="35"/>
  <c r="L2827" i="33"/>
  <c r="L2831" i="33"/>
  <c r="W2831" i="33"/>
  <c r="X2831" i="33"/>
  <c r="Y2831" i="33"/>
  <c r="G2831" i="33"/>
  <c r="H2831" i="33"/>
  <c r="AB2831" i="33"/>
  <c r="Y2829" i="33"/>
  <c r="Z2829" i="33"/>
  <c r="L2829" i="33"/>
  <c r="W2829" i="33"/>
  <c r="G2829" i="33"/>
  <c r="H2829" i="33"/>
  <c r="AB2829" i="33"/>
  <c r="Y2827" i="33"/>
  <c r="X2827" i="33"/>
  <c r="G2827" i="33"/>
  <c r="Z2827" i="33"/>
  <c r="H2827" i="33"/>
  <c r="AB2827" i="33"/>
  <c r="Y2825" i="33"/>
  <c r="Z2825" i="33"/>
  <c r="L2825" i="33"/>
  <c r="W2825" i="33"/>
  <c r="G2825" i="33"/>
  <c r="H2825" i="33"/>
  <c r="AB2825" i="33"/>
  <c r="L2823" i="33"/>
  <c r="Y2823" i="33"/>
  <c r="G2823" i="33"/>
  <c r="Z2823" i="33"/>
  <c r="W2823" i="33"/>
  <c r="H2823" i="33"/>
  <c r="AB2823" i="33"/>
  <c r="G2821" i="33"/>
  <c r="H2821" i="33"/>
  <c r="AB2821" i="33"/>
  <c r="W2821" i="33"/>
  <c r="X2821" i="33"/>
  <c r="Y2821" i="33"/>
  <c r="L2821" i="33"/>
  <c r="L2820" i="33"/>
  <c r="W2820" i="33"/>
  <c r="X2820" i="33"/>
  <c r="Y2820" i="33"/>
  <c r="G2820" i="33"/>
  <c r="H2820" i="33"/>
  <c r="AB2820" i="33"/>
  <c r="L2818" i="33"/>
  <c r="L2817" i="33"/>
  <c r="W2818" i="33"/>
  <c r="X2818" i="33"/>
  <c r="Y2818" i="33"/>
  <c r="G2818" i="33"/>
  <c r="H2818" i="33"/>
  <c r="AB2818" i="33"/>
  <c r="W2817" i="33"/>
  <c r="X2817" i="33"/>
  <c r="Y2817" i="33"/>
  <c r="G2817" i="33"/>
  <c r="H2817" i="33"/>
  <c r="AB2817" i="33"/>
  <c r="L2815" i="33"/>
  <c r="W2815" i="33"/>
  <c r="X2815" i="33"/>
  <c r="G2815" i="33"/>
  <c r="Z2815" i="33"/>
  <c r="H2815" i="33"/>
  <c r="AB2815" i="33"/>
  <c r="L2813" i="33"/>
  <c r="W2813" i="33"/>
  <c r="X2813" i="33"/>
  <c r="Y2813" i="33"/>
  <c r="G2813" i="33"/>
  <c r="H2813" i="33"/>
  <c r="AB2813" i="33"/>
  <c r="L2811" i="33"/>
  <c r="I2811" i="33"/>
  <c r="W2811" i="33"/>
  <c r="Y2811" i="33"/>
  <c r="G2811" i="33"/>
  <c r="Z2811" i="33"/>
  <c r="I2809" i="33"/>
  <c r="L2809" i="33"/>
  <c r="X2809" i="33"/>
  <c r="Y2809" i="33"/>
  <c r="W2809" i="33"/>
  <c r="G2809" i="33"/>
  <c r="AB2797" i="33"/>
  <c r="L2807" i="33"/>
  <c r="I2807" i="33"/>
  <c r="W2807" i="33"/>
  <c r="X2807" i="33"/>
  <c r="Y2807" i="33"/>
  <c r="G2807" i="33"/>
  <c r="Y2797" i="33"/>
  <c r="Z2797" i="33"/>
  <c r="L2797" i="33"/>
  <c r="W2797" i="33"/>
  <c r="I2797" i="33"/>
  <c r="G2797" i="33"/>
  <c r="H2797" i="33"/>
  <c r="L2793" i="33"/>
  <c r="W2793" i="33"/>
  <c r="X2793" i="33"/>
  <c r="Y2793" i="33"/>
  <c r="G2793" i="33"/>
  <c r="H2793" i="33"/>
  <c r="AB2793" i="33"/>
  <c r="X2791" i="33"/>
  <c r="L2791" i="33"/>
  <c r="Y2791" i="33"/>
  <c r="G2791" i="33"/>
  <c r="Z2791" i="33"/>
  <c r="H2791" i="33"/>
  <c r="AB2791" i="33"/>
  <c r="L2212" i="35"/>
  <c r="H2210" i="35"/>
  <c r="L2208" i="35"/>
  <c r="I2210" i="35"/>
  <c r="H2212" i="35"/>
  <c r="L2210" i="35"/>
  <c r="I2212" i="35"/>
  <c r="I2208" i="35"/>
  <c r="G2208" i="35"/>
  <c r="AF2774" i="33" l="1"/>
  <c r="V2774" i="33"/>
  <c r="T2774" i="33"/>
  <c r="Z2774" i="33" s="1"/>
  <c r="S2774" i="33"/>
  <c r="R2774" i="33"/>
  <c r="K2774" i="33"/>
  <c r="F2774" i="33"/>
  <c r="I2774" i="33" s="1"/>
  <c r="AF2772" i="33"/>
  <c r="V2772" i="33"/>
  <c r="T2772" i="33"/>
  <c r="Y2772" i="33" s="1"/>
  <c r="S2772" i="33"/>
  <c r="R2772" i="33"/>
  <c r="K2772" i="33"/>
  <c r="F2772" i="33"/>
  <c r="I2772" i="33" s="1"/>
  <c r="AF2770" i="33"/>
  <c r="V2770" i="33"/>
  <c r="T2770" i="33"/>
  <c r="Z2770" i="33" s="1"/>
  <c r="S2770" i="33"/>
  <c r="R2770" i="33"/>
  <c r="K2770" i="33"/>
  <c r="F2770" i="33"/>
  <c r="I2770" i="33" s="1"/>
  <c r="W2774" i="33" l="1"/>
  <c r="X2774" i="33"/>
  <c r="Y2774" i="33"/>
  <c r="G2774" i="33"/>
  <c r="H2774" i="33"/>
  <c r="AB2774" i="33"/>
  <c r="L2774" i="33"/>
  <c r="W2772" i="33"/>
  <c r="X2772" i="33"/>
  <c r="L2772" i="33"/>
  <c r="G2772" i="33"/>
  <c r="Z2772" i="33"/>
  <c r="H2772" i="33"/>
  <c r="AB2772" i="33"/>
  <c r="L2770" i="33"/>
  <c r="W2770" i="33"/>
  <c r="X2770" i="33"/>
  <c r="Y2770" i="33"/>
  <c r="G2770" i="33"/>
  <c r="H2770" i="33"/>
  <c r="AB2770" i="33"/>
  <c r="AF2752" i="33" l="1"/>
  <c r="V2752" i="33"/>
  <c r="T2752" i="33"/>
  <c r="Z2752" i="33" s="1"/>
  <c r="S2752" i="33"/>
  <c r="R2752" i="33"/>
  <c r="K2752" i="33"/>
  <c r="F2752" i="33"/>
  <c r="I2752" i="33" s="1"/>
  <c r="L2752" i="33" l="1"/>
  <c r="Y2752" i="33"/>
  <c r="X2752" i="33"/>
  <c r="W2752" i="33"/>
  <c r="G2752" i="33"/>
  <c r="H2752" i="33"/>
  <c r="AB2752" i="33"/>
  <c r="AF2758" i="33" l="1"/>
  <c r="V2758" i="33"/>
  <c r="T2758" i="33"/>
  <c r="X2758" i="33" s="1"/>
  <c r="S2758" i="33"/>
  <c r="R2758" i="33"/>
  <c r="K2758" i="33"/>
  <c r="F2758" i="33"/>
  <c r="I2758" i="33" s="1"/>
  <c r="AF2756" i="33"/>
  <c r="V2756" i="33"/>
  <c r="T2756" i="33"/>
  <c r="Y2756" i="33" s="1"/>
  <c r="S2756" i="33"/>
  <c r="R2756" i="33"/>
  <c r="K2756" i="33"/>
  <c r="F2756" i="33"/>
  <c r="I2756" i="33" s="1"/>
  <c r="AF2754" i="33"/>
  <c r="V2754" i="33"/>
  <c r="T2754" i="33"/>
  <c r="Y2754" i="33" s="1"/>
  <c r="S2754" i="33"/>
  <c r="R2754" i="33"/>
  <c r="K2754" i="33"/>
  <c r="F2754" i="33"/>
  <c r="I2754" i="33" s="1"/>
  <c r="Y2758" i="33" l="1"/>
  <c r="Z2758" i="33"/>
  <c r="L2758" i="33"/>
  <c r="W2758" i="33"/>
  <c r="G2758" i="33"/>
  <c r="H2758" i="33"/>
  <c r="AB2758" i="33"/>
  <c r="L2756" i="33"/>
  <c r="W2756" i="33"/>
  <c r="X2756" i="33"/>
  <c r="G2756" i="33"/>
  <c r="Z2756" i="33"/>
  <c r="H2756" i="33"/>
  <c r="AB2756" i="33"/>
  <c r="X2754" i="33"/>
  <c r="L2754" i="33"/>
  <c r="Z2754" i="33"/>
  <c r="AB2754" i="33"/>
  <c r="W2754" i="33"/>
  <c r="G2754" i="33"/>
  <c r="H2754" i="33"/>
  <c r="AE2179" i="35" l="1"/>
  <c r="Y2179" i="35"/>
  <c r="X2179" i="35"/>
  <c r="U2179" i="35"/>
  <c r="S2179" i="35"/>
  <c r="R2179" i="35"/>
  <c r="Q2179" i="35"/>
  <c r="K2179" i="35"/>
  <c r="F2179" i="35"/>
  <c r="L2179" i="35" l="1"/>
  <c r="V2179" i="35"/>
  <c r="W2179" i="35"/>
  <c r="G2179" i="35"/>
  <c r="H2179" i="35"/>
  <c r="AA2179" i="35"/>
  <c r="I2179" i="35"/>
  <c r="AD2179" i="35"/>
  <c r="AF2179" i="35" s="1"/>
  <c r="AG2179" i="35" s="1"/>
  <c r="AE2181" i="35" l="1"/>
  <c r="Y2181" i="35"/>
  <c r="X2181" i="35"/>
  <c r="U2181" i="35"/>
  <c r="S2181" i="35"/>
  <c r="R2181" i="35"/>
  <c r="Q2181" i="35"/>
  <c r="K2181" i="35"/>
  <c r="F2181" i="35"/>
  <c r="I2181" i="35" s="1"/>
  <c r="AE2177" i="35"/>
  <c r="Y2177" i="35"/>
  <c r="X2177" i="35"/>
  <c r="U2177" i="35"/>
  <c r="S2177" i="35"/>
  <c r="R2177" i="35"/>
  <c r="Q2177" i="35"/>
  <c r="K2177" i="35"/>
  <c r="F2177" i="35"/>
  <c r="AE2175" i="35"/>
  <c r="Y2175" i="35"/>
  <c r="X2175" i="35"/>
  <c r="U2175" i="35"/>
  <c r="S2175" i="35"/>
  <c r="R2175" i="35"/>
  <c r="Q2175" i="35"/>
  <c r="K2175" i="35"/>
  <c r="F2175" i="35"/>
  <c r="G2175" i="35" s="1"/>
  <c r="AE2173" i="35"/>
  <c r="Y2173" i="35"/>
  <c r="X2173" i="35"/>
  <c r="U2173" i="35"/>
  <c r="S2173" i="35"/>
  <c r="R2173" i="35"/>
  <c r="Q2173" i="35"/>
  <c r="K2173" i="35"/>
  <c r="F2173" i="35"/>
  <c r="AE2171" i="35"/>
  <c r="AG2171" i="35" s="1"/>
  <c r="Y2171" i="35"/>
  <c r="X2171" i="35"/>
  <c r="U2171" i="35"/>
  <c r="S2171" i="35"/>
  <c r="R2171" i="35"/>
  <c r="Q2171" i="35"/>
  <c r="K2171" i="35"/>
  <c r="F2171" i="35"/>
  <c r="AA2171" i="35" s="1"/>
  <c r="AD2177" i="35" l="1"/>
  <c r="AF2177" i="35" s="1"/>
  <c r="AG2177" i="35" s="1"/>
  <c r="L2173" i="35"/>
  <c r="AD2171" i="35"/>
  <c r="V2181" i="35"/>
  <c r="W2181" i="35"/>
  <c r="G2181" i="35"/>
  <c r="H2181" i="35"/>
  <c r="AD2181" i="35"/>
  <c r="L2181" i="35"/>
  <c r="I2171" i="35"/>
  <c r="L2171" i="35"/>
  <c r="H2175" i="35"/>
  <c r="I2175" i="35"/>
  <c r="L2175" i="35"/>
  <c r="V2177" i="35"/>
  <c r="W2177" i="35"/>
  <c r="AA2175" i="35"/>
  <c r="AD2175" i="35"/>
  <c r="AF2175" i="35" s="1"/>
  <c r="AG2175" i="35" s="1"/>
  <c r="I2173" i="35"/>
  <c r="AD2173" i="35"/>
  <c r="AF2173" i="35" s="1"/>
  <c r="AG2173" i="35" s="1"/>
  <c r="G2177" i="35"/>
  <c r="V2171" i="35"/>
  <c r="H2177" i="35"/>
  <c r="AA2177" i="35"/>
  <c r="G2173" i="35"/>
  <c r="W2175" i="35"/>
  <c r="W2173" i="35"/>
  <c r="L2177" i="35"/>
  <c r="V2173" i="35"/>
  <c r="H2173" i="35"/>
  <c r="AA2173" i="35"/>
  <c r="W2171" i="35"/>
  <c r="V2175" i="35"/>
  <c r="I2177" i="35"/>
  <c r="G2171" i="35"/>
  <c r="H2171" i="35"/>
  <c r="AE2185" i="35" l="1"/>
  <c r="Y2185" i="35"/>
  <c r="X2185" i="35"/>
  <c r="U2185" i="35"/>
  <c r="S2185" i="35"/>
  <c r="R2185" i="35"/>
  <c r="Q2185" i="35"/>
  <c r="K2185" i="35"/>
  <c r="F2185" i="35"/>
  <c r="L2185" i="35" l="1"/>
  <c r="W2185" i="35"/>
  <c r="G2185" i="35"/>
  <c r="H2185" i="35"/>
  <c r="AA2185" i="35"/>
  <c r="I2185" i="35"/>
  <c r="AD2185" i="35"/>
  <c r="AF2185" i="35" s="1"/>
  <c r="AG2185" i="35" s="1"/>
  <c r="V2185" i="35"/>
  <c r="AF2672" i="33"/>
  <c r="V2672" i="33"/>
  <c r="T2672" i="33"/>
  <c r="X2672" i="33" s="1"/>
  <c r="S2672" i="33"/>
  <c r="R2672" i="33"/>
  <c r="K2672" i="33"/>
  <c r="F2672" i="33"/>
  <c r="I2672" i="33" s="1"/>
  <c r="Y2672" i="33" l="1"/>
  <c r="G2672" i="33"/>
  <c r="Z2672" i="33"/>
  <c r="H2672" i="33"/>
  <c r="L2672" i="33"/>
  <c r="W2672" i="33"/>
  <c r="AB2672" i="33"/>
  <c r="V2734" i="33" l="1"/>
  <c r="T2734" i="33"/>
  <c r="Z2734" i="33" s="1"/>
  <c r="S2734" i="33"/>
  <c r="R2734" i="33"/>
  <c r="K2734" i="33"/>
  <c r="F2734" i="33"/>
  <c r="G2734" i="33" s="1"/>
  <c r="V2732" i="33"/>
  <c r="T2732" i="33"/>
  <c r="Z2732" i="33" s="1"/>
  <c r="S2732" i="33"/>
  <c r="R2732" i="33"/>
  <c r="K2732" i="33"/>
  <c r="F2732" i="33"/>
  <c r="G2732" i="33" s="1"/>
  <c r="H2734" i="33" l="1"/>
  <c r="I2734" i="33"/>
  <c r="L2734" i="33"/>
  <c r="X2734" i="33"/>
  <c r="Y2734" i="33"/>
  <c r="W2734" i="33"/>
  <c r="L2732" i="33"/>
  <c r="H2732" i="33"/>
  <c r="I2732" i="33"/>
  <c r="W2732" i="33"/>
  <c r="X2732" i="33"/>
  <c r="Y2732" i="33"/>
  <c r="AF2748" i="33" l="1"/>
  <c r="V2748" i="33"/>
  <c r="T2748" i="33"/>
  <c r="Z2748" i="33" s="1"/>
  <c r="S2748" i="33"/>
  <c r="R2748" i="33"/>
  <c r="K2748" i="33"/>
  <c r="F2748" i="33"/>
  <c r="AF2746" i="33"/>
  <c r="V2746" i="33"/>
  <c r="T2746" i="33"/>
  <c r="S2746" i="33"/>
  <c r="R2746" i="33"/>
  <c r="K2746" i="33"/>
  <c r="F2746" i="33"/>
  <c r="AF2744" i="33"/>
  <c r="V2744" i="33"/>
  <c r="T2744" i="33"/>
  <c r="S2744" i="33"/>
  <c r="R2744" i="33"/>
  <c r="K2744" i="33"/>
  <c r="F2744" i="33"/>
  <c r="AE2169" i="35"/>
  <c r="Y2169" i="35"/>
  <c r="X2169" i="35"/>
  <c r="U2169" i="35"/>
  <c r="R2169" i="35"/>
  <c r="Q2169" i="35"/>
  <c r="K2169" i="35"/>
  <c r="F2169" i="35"/>
  <c r="AE2163" i="35"/>
  <c r="Y2163" i="35"/>
  <c r="X2163" i="35"/>
  <c r="U2163" i="35"/>
  <c r="R2163" i="35"/>
  <c r="Q2163" i="35"/>
  <c r="K2163" i="35"/>
  <c r="F2163" i="35"/>
  <c r="AE2161" i="35"/>
  <c r="Y2161" i="35"/>
  <c r="X2161" i="35"/>
  <c r="U2161" i="35"/>
  <c r="R2161" i="35"/>
  <c r="Q2161" i="35"/>
  <c r="K2161" i="35"/>
  <c r="F2161" i="35"/>
  <c r="AE2159" i="35"/>
  <c r="Y2159" i="35"/>
  <c r="X2159" i="35"/>
  <c r="U2159" i="35"/>
  <c r="S2159" i="35"/>
  <c r="R2159" i="35"/>
  <c r="Q2159" i="35"/>
  <c r="K2159" i="35"/>
  <c r="F2159" i="35"/>
  <c r="AE2148" i="35"/>
  <c r="Y2148" i="35"/>
  <c r="X2148" i="35"/>
  <c r="U2148" i="35"/>
  <c r="S2148" i="35"/>
  <c r="R2148" i="35"/>
  <c r="Q2148" i="35"/>
  <c r="K2148" i="35"/>
  <c r="F2148" i="35"/>
  <c r="AE2146" i="35"/>
  <c r="Y2146" i="35"/>
  <c r="X2146" i="35"/>
  <c r="U2146" i="35"/>
  <c r="S2146" i="35"/>
  <c r="R2146" i="35"/>
  <c r="Q2146" i="35"/>
  <c r="K2146" i="35"/>
  <c r="F2146" i="35"/>
  <c r="L2169" i="35" l="1"/>
  <c r="L2746" i="33"/>
  <c r="L2163" i="35"/>
  <c r="L2744" i="33"/>
  <c r="L2748" i="33"/>
  <c r="AD2161" i="35"/>
  <c r="AF2161" i="35" s="1"/>
  <c r="AG2161" i="35" s="1"/>
  <c r="AA2159" i="35"/>
  <c r="V2163" i="35"/>
  <c r="W2163" i="35"/>
  <c r="W2148" i="35"/>
  <c r="W2748" i="33"/>
  <c r="X2748" i="33"/>
  <c r="Y2748" i="33"/>
  <c r="G2748" i="33"/>
  <c r="H2748" i="33"/>
  <c r="AE2748" i="33"/>
  <c r="AG2748" i="33" s="1"/>
  <c r="AH2748" i="33" s="1"/>
  <c r="I2748" i="33"/>
  <c r="X2746" i="33"/>
  <c r="Y2746" i="33"/>
  <c r="Z2746" i="33"/>
  <c r="H2746" i="33"/>
  <c r="AE2746" i="33"/>
  <c r="AG2746" i="33" s="1"/>
  <c r="AH2746" i="33" s="1"/>
  <c r="W2746" i="33"/>
  <c r="G2746" i="33"/>
  <c r="I2746" i="33"/>
  <c r="W2744" i="33"/>
  <c r="Y2744" i="33"/>
  <c r="G2744" i="33"/>
  <c r="Z2744" i="33"/>
  <c r="H2744" i="33"/>
  <c r="AE2744" i="33"/>
  <c r="AG2744" i="33" s="1"/>
  <c r="AH2744" i="33" s="1"/>
  <c r="X2744" i="33"/>
  <c r="I2744" i="33"/>
  <c r="G2169" i="35"/>
  <c r="H2169" i="35"/>
  <c r="AA2169" i="35"/>
  <c r="I2169" i="35"/>
  <c r="AD2169" i="35"/>
  <c r="AF2169" i="35" s="1"/>
  <c r="AG2169" i="35" s="1"/>
  <c r="V2169" i="35"/>
  <c r="W2169" i="35"/>
  <c r="G2163" i="35"/>
  <c r="H2163" i="35"/>
  <c r="AA2163" i="35"/>
  <c r="I2163" i="35"/>
  <c r="AD2163" i="35"/>
  <c r="AF2163" i="35" s="1"/>
  <c r="AG2163" i="35" s="1"/>
  <c r="L2161" i="35"/>
  <c r="V2161" i="35"/>
  <c r="W2161" i="35"/>
  <c r="G2161" i="35"/>
  <c r="H2161" i="35"/>
  <c r="AA2161" i="35"/>
  <c r="I2161" i="35"/>
  <c r="V2146" i="35"/>
  <c r="I2159" i="35"/>
  <c r="W2159" i="35"/>
  <c r="AD2159" i="35"/>
  <c r="AF2159" i="35" s="1"/>
  <c r="AG2159" i="35" s="1"/>
  <c r="L2159" i="35"/>
  <c r="V2159" i="35"/>
  <c r="G2159" i="35"/>
  <c r="H2159" i="35"/>
  <c r="V2148" i="35"/>
  <c r="H2148" i="35"/>
  <c r="AA2148" i="35"/>
  <c r="G2148" i="35"/>
  <c r="I2148" i="35"/>
  <c r="AD2148" i="35"/>
  <c r="AF2148" i="35" s="1"/>
  <c r="AG2148" i="35" s="1"/>
  <c r="L2148" i="35"/>
  <c r="H2146" i="35"/>
  <c r="AA2146" i="35"/>
  <c r="I2146" i="35"/>
  <c r="AD2146" i="35"/>
  <c r="AF2146" i="35" s="1"/>
  <c r="AG2146" i="35" s="1"/>
  <c r="W2146" i="35"/>
  <c r="G2146" i="35"/>
  <c r="L2146" i="35"/>
  <c r="AH2750" i="33" l="1"/>
  <c r="AE2154" i="35"/>
  <c r="AG2154" i="35" s="1"/>
  <c r="Y2154" i="35"/>
  <c r="X2154" i="35"/>
  <c r="U2154" i="35"/>
  <c r="R2154" i="35"/>
  <c r="Q2154" i="35"/>
  <c r="K2154" i="35"/>
  <c r="F2154" i="35"/>
  <c r="H2154" i="35" s="1"/>
  <c r="I2154" i="35" l="1"/>
  <c r="W2154" i="35"/>
  <c r="G2154" i="35"/>
  <c r="L2154" i="35"/>
  <c r="AD2154" i="35"/>
  <c r="AE2144" i="35" l="1"/>
  <c r="Y2144" i="35"/>
  <c r="X2144" i="35"/>
  <c r="U2144" i="35"/>
  <c r="S2144" i="35"/>
  <c r="R2144" i="35"/>
  <c r="Q2144" i="35"/>
  <c r="K2144" i="35"/>
  <c r="F2144" i="35"/>
  <c r="AE2142" i="35"/>
  <c r="Y2142" i="35"/>
  <c r="X2142" i="35"/>
  <c r="U2142" i="35"/>
  <c r="S2142" i="35"/>
  <c r="R2142" i="35"/>
  <c r="Q2142" i="35"/>
  <c r="K2142" i="35"/>
  <c r="F2142" i="35"/>
  <c r="AE2140" i="35"/>
  <c r="Y2140" i="35"/>
  <c r="X2140" i="35"/>
  <c r="U2140" i="35"/>
  <c r="S2140" i="35"/>
  <c r="R2140" i="35"/>
  <c r="Q2140" i="35"/>
  <c r="K2140" i="35"/>
  <c r="F2140" i="35"/>
  <c r="AE2139" i="35"/>
  <c r="Y2139" i="35"/>
  <c r="X2139" i="35"/>
  <c r="U2139" i="35"/>
  <c r="S2139" i="35"/>
  <c r="R2139" i="35"/>
  <c r="Q2139" i="35"/>
  <c r="K2139" i="35"/>
  <c r="F2139" i="35"/>
  <c r="G2139" i="35" s="1"/>
  <c r="AE2126" i="35"/>
  <c r="Y2126" i="35"/>
  <c r="X2126" i="35"/>
  <c r="U2126" i="35"/>
  <c r="S2126" i="35"/>
  <c r="R2126" i="35"/>
  <c r="Q2126" i="35"/>
  <c r="K2126" i="35"/>
  <c r="F2126" i="35"/>
  <c r="F2122" i="35"/>
  <c r="H2122" i="35" s="1"/>
  <c r="K2122" i="35"/>
  <c r="Q2122" i="35"/>
  <c r="R2122" i="35"/>
  <c r="S2122" i="35"/>
  <c r="U2122" i="35"/>
  <c r="X2122" i="35"/>
  <c r="Y2122" i="35"/>
  <c r="AE2122" i="35"/>
  <c r="AE2116" i="35"/>
  <c r="Y2116" i="35"/>
  <c r="X2116" i="35"/>
  <c r="U2116" i="35"/>
  <c r="R2116" i="35"/>
  <c r="Q2116" i="35"/>
  <c r="K2116" i="35"/>
  <c r="F2116" i="35"/>
  <c r="L2144" i="35" l="1"/>
  <c r="I2122" i="35"/>
  <c r="L2142" i="35"/>
  <c r="W2139" i="35"/>
  <c r="W2126" i="35"/>
  <c r="L2140" i="35"/>
  <c r="H2144" i="35"/>
  <c r="AA2144" i="35"/>
  <c r="V2144" i="35"/>
  <c r="W2144" i="35"/>
  <c r="G2144" i="35"/>
  <c r="I2144" i="35"/>
  <c r="AD2144" i="35"/>
  <c r="AF2144" i="35" s="1"/>
  <c r="AG2144" i="35" s="1"/>
  <c r="H2139" i="35"/>
  <c r="L2126" i="35"/>
  <c r="I2139" i="35"/>
  <c r="W2142" i="35"/>
  <c r="G2142" i="35"/>
  <c r="H2142" i="35"/>
  <c r="AA2142" i="35"/>
  <c r="I2142" i="35"/>
  <c r="AD2142" i="35"/>
  <c r="AF2142" i="35" s="1"/>
  <c r="AG2142" i="35" s="1"/>
  <c r="V2142" i="35"/>
  <c r="AD2140" i="35"/>
  <c r="AF2140" i="35" s="1"/>
  <c r="AG2140" i="35" s="1"/>
  <c r="H2140" i="35"/>
  <c r="I2140" i="35"/>
  <c r="V2140" i="35"/>
  <c r="AA2139" i="35"/>
  <c r="W2140" i="35"/>
  <c r="AD2139" i="35"/>
  <c r="AF2139" i="35" s="1"/>
  <c r="AG2139" i="35" s="1"/>
  <c r="G2140" i="35"/>
  <c r="L2139" i="35"/>
  <c r="V2139" i="35"/>
  <c r="W2122" i="35"/>
  <c r="V2126" i="35"/>
  <c r="G2126" i="35"/>
  <c r="H2126" i="35"/>
  <c r="AA2126" i="35"/>
  <c r="I2126" i="35"/>
  <c r="AD2126" i="35"/>
  <c r="AF2126" i="35" s="1"/>
  <c r="AG2126" i="35" s="1"/>
  <c r="G2122" i="35"/>
  <c r="L2122" i="35"/>
  <c r="V2122" i="35"/>
  <c r="L2116" i="35"/>
  <c r="AD2122" i="35"/>
  <c r="AF2122" i="35" s="1"/>
  <c r="AG2122" i="35" s="1"/>
  <c r="AA2122" i="35"/>
  <c r="G2116" i="35"/>
  <c r="AA2116" i="35"/>
  <c r="H2116" i="35"/>
  <c r="AD2116" i="35"/>
  <c r="AF2116" i="35" s="1"/>
  <c r="AG2116" i="35" s="1"/>
  <c r="V2116" i="35"/>
  <c r="W2116" i="35"/>
  <c r="I2116" i="35"/>
  <c r="AF2726" i="33" l="1"/>
  <c r="V2726" i="33"/>
  <c r="T2726" i="33"/>
  <c r="X2726" i="33" s="1"/>
  <c r="S2726" i="33"/>
  <c r="R2726" i="33"/>
  <c r="K2726" i="33"/>
  <c r="F2726" i="33"/>
  <c r="AB2726" i="33" l="1"/>
  <c r="I2726" i="33"/>
  <c r="L2726" i="33"/>
  <c r="Y2726" i="33"/>
  <c r="G2726" i="33"/>
  <c r="Z2726" i="33"/>
  <c r="W2726" i="33"/>
  <c r="H2726" i="33"/>
  <c r="AE2106" i="35" l="1"/>
  <c r="Y2106" i="35"/>
  <c r="X2106" i="35"/>
  <c r="U2106" i="35"/>
  <c r="S2106" i="35"/>
  <c r="R2106" i="35"/>
  <c r="Q2106" i="35"/>
  <c r="K2106" i="35"/>
  <c r="F2106" i="35"/>
  <c r="I2106" i="35" s="1"/>
  <c r="L2106" i="35" l="1"/>
  <c r="V2106" i="35"/>
  <c r="W2106" i="35"/>
  <c r="G2106" i="35"/>
  <c r="H2106" i="35"/>
  <c r="AD2106" i="35"/>
  <c r="AE2112" i="35" l="1"/>
  <c r="Y2112" i="35"/>
  <c r="X2112" i="35"/>
  <c r="U2112" i="35"/>
  <c r="R2112" i="35"/>
  <c r="Q2112" i="35"/>
  <c r="K2112" i="35"/>
  <c r="F2112" i="35"/>
  <c r="AE2110" i="35"/>
  <c r="Y2110" i="35"/>
  <c r="X2110" i="35"/>
  <c r="U2110" i="35"/>
  <c r="S2110" i="35"/>
  <c r="R2110" i="35"/>
  <c r="Q2110" i="35"/>
  <c r="K2110" i="35"/>
  <c r="F2110" i="35"/>
  <c r="L2112" i="35" l="1"/>
  <c r="L2110" i="35"/>
  <c r="G2112" i="35"/>
  <c r="AA2112" i="35"/>
  <c r="V2112" i="35"/>
  <c r="W2112" i="35"/>
  <c r="H2112" i="35"/>
  <c r="AD2112" i="35"/>
  <c r="AF2112" i="35" s="1"/>
  <c r="AG2112" i="35" s="1"/>
  <c r="I2112" i="35"/>
  <c r="V2110" i="35"/>
  <c r="W2110" i="35"/>
  <c r="G2110" i="35"/>
  <c r="AA2110" i="35"/>
  <c r="H2110" i="35"/>
  <c r="I2110" i="35"/>
  <c r="AD2110" i="35"/>
  <c r="AF2110" i="35" s="1"/>
  <c r="AG2110" i="35" s="1"/>
  <c r="AE2137" i="35" l="1"/>
  <c r="Y2137" i="35"/>
  <c r="X2137" i="35"/>
  <c r="U2137" i="35"/>
  <c r="S2137" i="35"/>
  <c r="R2137" i="35"/>
  <c r="Q2137" i="35"/>
  <c r="K2137" i="35"/>
  <c r="F2137" i="35"/>
  <c r="AE2136" i="35"/>
  <c r="Y2136" i="35"/>
  <c r="X2136" i="35"/>
  <c r="U2136" i="35"/>
  <c r="S2136" i="35"/>
  <c r="R2136" i="35"/>
  <c r="Q2136" i="35"/>
  <c r="K2136" i="35"/>
  <c r="F2136" i="35"/>
  <c r="AE2134" i="35"/>
  <c r="Y2134" i="35"/>
  <c r="X2134" i="35"/>
  <c r="U2134" i="35"/>
  <c r="S2134" i="35"/>
  <c r="R2134" i="35"/>
  <c r="Q2134" i="35"/>
  <c r="K2134" i="35"/>
  <c r="F2134" i="35"/>
  <c r="AE2132" i="35"/>
  <c r="Y2132" i="35"/>
  <c r="X2132" i="35"/>
  <c r="U2132" i="35"/>
  <c r="S2132" i="35"/>
  <c r="R2132" i="35"/>
  <c r="Q2132" i="35"/>
  <c r="K2132" i="35"/>
  <c r="F2132" i="35"/>
  <c r="AE2130" i="35"/>
  <c r="Y2130" i="35"/>
  <c r="X2130" i="35"/>
  <c r="U2130" i="35"/>
  <c r="S2130" i="35"/>
  <c r="R2130" i="35"/>
  <c r="Q2130" i="35"/>
  <c r="K2130" i="35"/>
  <c r="F2130" i="35"/>
  <c r="I2130" i="35" s="1"/>
  <c r="AE2128" i="35"/>
  <c r="Y2128" i="35"/>
  <c r="X2128" i="35"/>
  <c r="U2128" i="35"/>
  <c r="S2128" i="35"/>
  <c r="R2128" i="35"/>
  <c r="Q2128" i="35"/>
  <c r="K2128" i="35"/>
  <c r="F2128" i="35"/>
  <c r="I2128" i="35" s="1"/>
  <c r="AE2124" i="35"/>
  <c r="Y2124" i="35"/>
  <c r="X2124" i="35"/>
  <c r="U2124" i="35"/>
  <c r="S2124" i="35"/>
  <c r="R2124" i="35"/>
  <c r="Q2124" i="35"/>
  <c r="K2124" i="35"/>
  <c r="F2124" i="35"/>
  <c r="L2136" i="35" l="1"/>
  <c r="AA2124" i="35"/>
  <c r="AA2134" i="35"/>
  <c r="L2137" i="35"/>
  <c r="AA2136" i="35"/>
  <c r="AA2132" i="35"/>
  <c r="AA2128" i="35"/>
  <c r="L2132" i="35"/>
  <c r="AA2130" i="35"/>
  <c r="V2136" i="35"/>
  <c r="L2124" i="35"/>
  <c r="L2134" i="35"/>
  <c r="G2137" i="35"/>
  <c r="H2137" i="35"/>
  <c r="AD2137" i="35"/>
  <c r="AF2137" i="35" s="1"/>
  <c r="AG2137" i="35" s="1"/>
  <c r="I2137" i="35"/>
  <c r="W2137" i="35"/>
  <c r="V2137" i="35"/>
  <c r="W2136" i="35"/>
  <c r="G2136" i="35"/>
  <c r="H2136" i="35"/>
  <c r="AD2136" i="35"/>
  <c r="AF2136" i="35" s="1"/>
  <c r="AG2136" i="35" s="1"/>
  <c r="I2136" i="35"/>
  <c r="V2134" i="35"/>
  <c r="H2134" i="35"/>
  <c r="AD2134" i="35"/>
  <c r="AF2134" i="35" s="1"/>
  <c r="AG2134" i="35" s="1"/>
  <c r="G2134" i="35"/>
  <c r="I2134" i="35"/>
  <c r="W2134" i="35"/>
  <c r="I2132" i="35"/>
  <c r="V2132" i="35"/>
  <c r="W2132" i="35"/>
  <c r="G2132" i="35"/>
  <c r="H2132" i="35"/>
  <c r="AD2132" i="35"/>
  <c r="AG2132" i="35" s="1"/>
  <c r="L2130" i="35"/>
  <c r="W2130" i="35"/>
  <c r="V2130" i="35"/>
  <c r="G2130" i="35"/>
  <c r="H2130" i="35"/>
  <c r="AD2130" i="35"/>
  <c r="AF2130" i="35" s="1"/>
  <c r="AG2130" i="35" s="1"/>
  <c r="L2128" i="35"/>
  <c r="G2128" i="35"/>
  <c r="H2128" i="35"/>
  <c r="AD2128" i="35"/>
  <c r="AG2128" i="35" s="1"/>
  <c r="V2128" i="35"/>
  <c r="W2128" i="35"/>
  <c r="G2124" i="35"/>
  <c r="W2124" i="35"/>
  <c r="V2124" i="35"/>
  <c r="H2124" i="35"/>
  <c r="AD2124" i="35"/>
  <c r="AF2124" i="35" s="1"/>
  <c r="AG2124" i="35" s="1"/>
  <c r="I2124" i="35"/>
  <c r="AE2120" i="35"/>
  <c r="Y2120" i="35"/>
  <c r="X2120" i="35"/>
  <c r="U2120" i="35"/>
  <c r="S2120" i="35"/>
  <c r="R2120" i="35"/>
  <c r="Q2120" i="35"/>
  <c r="K2120" i="35"/>
  <c r="F2120" i="35"/>
  <c r="AE2108" i="35"/>
  <c r="Y2108" i="35"/>
  <c r="X2108" i="35"/>
  <c r="U2108" i="35"/>
  <c r="S2108" i="35"/>
  <c r="R2108" i="35"/>
  <c r="Q2108" i="35"/>
  <c r="K2108" i="35"/>
  <c r="F2108" i="35"/>
  <c r="AA2108" i="35" l="1"/>
  <c r="L2120" i="35"/>
  <c r="AA2120" i="35"/>
  <c r="W2120" i="35"/>
  <c r="G2120" i="35"/>
  <c r="H2120" i="35"/>
  <c r="AD2120" i="35"/>
  <c r="AF2120" i="35" s="1"/>
  <c r="AG2120" i="35" s="1"/>
  <c r="V2120" i="35"/>
  <c r="I2120" i="35"/>
  <c r="L2108" i="35"/>
  <c r="V2108" i="35"/>
  <c r="H2108" i="35"/>
  <c r="AD2108" i="35"/>
  <c r="AF2108" i="35" s="1"/>
  <c r="AG2108" i="35" s="1"/>
  <c r="I2108" i="35"/>
  <c r="G2108" i="35"/>
  <c r="W2108" i="35"/>
  <c r="AG2183" i="35" l="1"/>
  <c r="V2730" i="33"/>
  <c r="T2730" i="33"/>
  <c r="Z2730" i="33" s="1"/>
  <c r="S2730" i="33"/>
  <c r="R2730" i="33"/>
  <c r="K2730" i="33"/>
  <c r="F2730" i="33"/>
  <c r="G2730" i="33" s="1"/>
  <c r="V2728" i="33"/>
  <c r="T2728" i="33"/>
  <c r="Z2728" i="33" s="1"/>
  <c r="S2728" i="33"/>
  <c r="R2728" i="33"/>
  <c r="K2728" i="33"/>
  <c r="F2728" i="33"/>
  <c r="I2728" i="33" s="1"/>
  <c r="H2730" i="33" l="1"/>
  <c r="I2730" i="33"/>
  <c r="L2728" i="33"/>
  <c r="W2728" i="33"/>
  <c r="X2728" i="33"/>
  <c r="L2730" i="33"/>
  <c r="Y2728" i="33"/>
  <c r="W2730" i="33"/>
  <c r="G2728" i="33"/>
  <c r="X2730" i="33"/>
  <c r="H2728" i="33"/>
  <c r="Y2730" i="33"/>
  <c r="AF2666" i="33" l="1"/>
  <c r="V2666" i="33"/>
  <c r="T2666" i="33"/>
  <c r="Z2666" i="33" s="1"/>
  <c r="S2666" i="33"/>
  <c r="R2666" i="33"/>
  <c r="K2666" i="33"/>
  <c r="F2666" i="33"/>
  <c r="I2666" i="33" s="1"/>
  <c r="W2666" i="33" l="1"/>
  <c r="X2666" i="33"/>
  <c r="L2666" i="33"/>
  <c r="Y2666" i="33"/>
  <c r="G2666" i="33"/>
  <c r="H2666" i="33"/>
  <c r="AB2666" i="33"/>
  <c r="AF2668" i="33" l="1"/>
  <c r="V2668" i="33"/>
  <c r="T2668" i="33"/>
  <c r="X2668" i="33" s="1"/>
  <c r="S2668" i="33"/>
  <c r="R2668" i="33"/>
  <c r="K2668" i="33"/>
  <c r="F2668" i="33"/>
  <c r="I2668" i="33" s="1"/>
  <c r="Y2668" i="33" l="1"/>
  <c r="Z2668" i="33"/>
  <c r="L2668" i="33"/>
  <c r="W2668" i="33"/>
  <c r="H2668" i="33"/>
  <c r="AB2668" i="33"/>
  <c r="G2668" i="33"/>
  <c r="AF2670" i="33" l="1"/>
  <c r="V2670" i="33"/>
  <c r="Z2670" i="33"/>
  <c r="S2670" i="33"/>
  <c r="R2670" i="33"/>
  <c r="K2670" i="33"/>
  <c r="F2670" i="33"/>
  <c r="H2670" i="33" s="1"/>
  <c r="AB2670" i="33" l="1"/>
  <c r="I2670" i="33"/>
  <c r="L2670" i="33"/>
  <c r="W2670" i="33"/>
  <c r="X2670" i="33"/>
  <c r="Y2670" i="33"/>
  <c r="G2670" i="33"/>
  <c r="AF2644" i="33" l="1"/>
  <c r="V2644" i="33"/>
  <c r="T2644" i="33"/>
  <c r="Z2644" i="33" s="1"/>
  <c r="S2644" i="33"/>
  <c r="R2644" i="33"/>
  <c r="K2644" i="33"/>
  <c r="F2644" i="33"/>
  <c r="I2644" i="33" s="1"/>
  <c r="X2644" i="33" l="1"/>
  <c r="L2644" i="33"/>
  <c r="W2644" i="33"/>
  <c r="Y2644" i="33"/>
  <c r="G2644" i="33"/>
  <c r="H2644" i="33"/>
  <c r="AB2644" i="33"/>
  <c r="Y2090" i="35" l="1"/>
  <c r="X2090" i="35"/>
  <c r="W2090" i="35"/>
  <c r="V2090" i="35"/>
  <c r="U2090" i="35"/>
  <c r="S2090" i="35"/>
  <c r="R2090" i="35"/>
  <c r="Q2090" i="35"/>
  <c r="K2090" i="35"/>
  <c r="F2090" i="35"/>
  <c r="G2090" i="35" s="1"/>
  <c r="Y2092" i="35"/>
  <c r="X2092" i="35"/>
  <c r="W2092" i="35"/>
  <c r="V2092" i="35"/>
  <c r="U2092" i="35"/>
  <c r="S2092" i="35"/>
  <c r="R2092" i="35"/>
  <c r="Q2092" i="35"/>
  <c r="K2092" i="35"/>
  <c r="F2092" i="35"/>
  <c r="Y2094" i="35"/>
  <c r="X2094" i="35"/>
  <c r="W2094" i="35"/>
  <c r="V2094" i="35"/>
  <c r="U2094" i="35"/>
  <c r="S2094" i="35"/>
  <c r="R2094" i="35"/>
  <c r="Q2094" i="35"/>
  <c r="K2094" i="35"/>
  <c r="F2094" i="35"/>
  <c r="G2094" i="35" s="1"/>
  <c r="Y2096" i="35"/>
  <c r="X2096" i="35"/>
  <c r="W2096" i="35"/>
  <c r="V2096" i="35"/>
  <c r="U2096" i="35"/>
  <c r="S2096" i="35"/>
  <c r="R2096" i="35"/>
  <c r="Q2096" i="35"/>
  <c r="K2096" i="35"/>
  <c r="F2096" i="35"/>
  <c r="G2096" i="35" s="1"/>
  <c r="L2092" i="35" l="1"/>
  <c r="H2090" i="35"/>
  <c r="I2090" i="35"/>
  <c r="L2090" i="35"/>
  <c r="G2092" i="35"/>
  <c r="H2092" i="35"/>
  <c r="I2092" i="35"/>
  <c r="H2094" i="35"/>
  <c r="I2094" i="35"/>
  <c r="L2094" i="35"/>
  <c r="L2096" i="35"/>
  <c r="H2096" i="35"/>
  <c r="I2096" i="35"/>
  <c r="AE2046" i="35" l="1"/>
  <c r="Y2046" i="35"/>
  <c r="X2046" i="35"/>
  <c r="U2046" i="35"/>
  <c r="S2046" i="35"/>
  <c r="R2046" i="35"/>
  <c r="Q2046" i="35"/>
  <c r="K2046" i="35"/>
  <c r="F2046" i="35"/>
  <c r="I2046" i="35" s="1"/>
  <c r="L2046" i="35" l="1"/>
  <c r="V2046" i="35"/>
  <c r="W2046" i="35"/>
  <c r="G2046" i="35"/>
  <c r="H2046" i="35"/>
  <c r="AD2046" i="35"/>
  <c r="AF2046" i="35" s="1"/>
  <c r="AG2046" i="35" s="1"/>
  <c r="AF2720" i="33" l="1"/>
  <c r="V2720" i="33"/>
  <c r="T2720" i="33"/>
  <c r="Z2720" i="33" s="1"/>
  <c r="S2720" i="33"/>
  <c r="R2720" i="33"/>
  <c r="K2720" i="33"/>
  <c r="F2720" i="33"/>
  <c r="I2720" i="33" s="1"/>
  <c r="AF2718" i="33"/>
  <c r="V2718" i="33"/>
  <c r="T2718" i="33"/>
  <c r="Z2718" i="33" s="1"/>
  <c r="S2718" i="33"/>
  <c r="R2718" i="33"/>
  <c r="K2718" i="33"/>
  <c r="F2718" i="33"/>
  <c r="I2718" i="33" s="1"/>
  <c r="AF2716" i="33"/>
  <c r="V2716" i="33"/>
  <c r="T2716" i="33"/>
  <c r="Z2716" i="33" s="1"/>
  <c r="S2716" i="33"/>
  <c r="R2716" i="33"/>
  <c r="K2716" i="33"/>
  <c r="F2716" i="33"/>
  <c r="I2716" i="33" s="1"/>
  <c r="AF2712" i="33"/>
  <c r="V2712" i="33"/>
  <c r="T2712" i="33"/>
  <c r="W2712" i="33" s="1"/>
  <c r="S2712" i="33"/>
  <c r="R2712" i="33"/>
  <c r="K2712" i="33"/>
  <c r="F2712" i="33"/>
  <c r="I2712" i="33" s="1"/>
  <c r="AF2710" i="33"/>
  <c r="V2710" i="33"/>
  <c r="T2710" i="33"/>
  <c r="Z2710" i="33" s="1"/>
  <c r="S2710" i="33"/>
  <c r="R2710" i="33"/>
  <c r="K2710" i="33"/>
  <c r="F2710" i="33"/>
  <c r="I2710" i="33" s="1"/>
  <c r="AF2708" i="33"/>
  <c r="V2708" i="33"/>
  <c r="T2708" i="33"/>
  <c r="X2708" i="33" s="1"/>
  <c r="S2708" i="33"/>
  <c r="R2708" i="33"/>
  <c r="K2708" i="33"/>
  <c r="F2708" i="33"/>
  <c r="I2708" i="33" s="1"/>
  <c r="AF2706" i="33"/>
  <c r="V2706" i="33"/>
  <c r="T2706" i="33"/>
  <c r="X2706" i="33" s="1"/>
  <c r="S2706" i="33"/>
  <c r="R2706" i="33"/>
  <c r="K2706" i="33"/>
  <c r="F2706" i="33"/>
  <c r="I2706" i="33" s="1"/>
  <c r="AF2702" i="33"/>
  <c r="V2702" i="33"/>
  <c r="T2702" i="33"/>
  <c r="W2702" i="33" s="1"/>
  <c r="S2702" i="33"/>
  <c r="R2702" i="33"/>
  <c r="K2702" i="33"/>
  <c r="F2702" i="33"/>
  <c r="I2702" i="33" s="1"/>
  <c r="AF2698" i="33"/>
  <c r="V2698" i="33"/>
  <c r="T2698" i="33"/>
  <c r="Z2698" i="33" s="1"/>
  <c r="S2698" i="33"/>
  <c r="R2698" i="33"/>
  <c r="K2698" i="33"/>
  <c r="F2698" i="33"/>
  <c r="I2698" i="33" s="1"/>
  <c r="AF2700" i="33"/>
  <c r="V2700" i="33"/>
  <c r="T2700" i="33"/>
  <c r="X2700" i="33" s="1"/>
  <c r="S2700" i="33"/>
  <c r="R2700" i="33"/>
  <c r="K2700" i="33"/>
  <c r="F2700" i="33"/>
  <c r="I2700" i="33" s="1"/>
  <c r="AF2696" i="33"/>
  <c r="V2696" i="33"/>
  <c r="T2696" i="33"/>
  <c r="W2696" i="33" s="1"/>
  <c r="S2696" i="33"/>
  <c r="R2696" i="33"/>
  <c r="K2696" i="33"/>
  <c r="F2696" i="33"/>
  <c r="I2696" i="33" s="1"/>
  <c r="AF2694" i="33"/>
  <c r="V2694" i="33"/>
  <c r="T2694" i="33"/>
  <c r="Z2694" i="33" s="1"/>
  <c r="S2694" i="33"/>
  <c r="R2694" i="33"/>
  <c r="K2694" i="33"/>
  <c r="F2694" i="33"/>
  <c r="I2694" i="33" s="1"/>
  <c r="AF2692" i="33"/>
  <c r="V2692" i="33"/>
  <c r="T2692" i="33"/>
  <c r="Z2692" i="33" s="1"/>
  <c r="S2692" i="33"/>
  <c r="R2692" i="33"/>
  <c r="K2692" i="33"/>
  <c r="F2692" i="33"/>
  <c r="I2692" i="33" s="1"/>
  <c r="AF2690" i="33"/>
  <c r="V2690" i="33"/>
  <c r="T2690" i="33"/>
  <c r="Z2690" i="33" s="1"/>
  <c r="S2690" i="33"/>
  <c r="R2690" i="33"/>
  <c r="K2690" i="33"/>
  <c r="F2690" i="33"/>
  <c r="I2690" i="33" s="1"/>
  <c r="AF2688" i="33"/>
  <c r="V2688" i="33"/>
  <c r="T2688" i="33"/>
  <c r="Z2688" i="33" s="1"/>
  <c r="S2688" i="33"/>
  <c r="R2688" i="33"/>
  <c r="K2688" i="33"/>
  <c r="F2688" i="33"/>
  <c r="I2688" i="33" s="1"/>
  <c r="AF2686" i="33"/>
  <c r="V2686" i="33"/>
  <c r="T2686" i="33"/>
  <c r="Z2686" i="33" s="1"/>
  <c r="S2686" i="33"/>
  <c r="R2686" i="33"/>
  <c r="K2686" i="33"/>
  <c r="F2686" i="33"/>
  <c r="I2686" i="33" s="1"/>
  <c r="AF2684" i="33"/>
  <c r="V2684" i="33"/>
  <c r="T2684" i="33"/>
  <c r="Z2684" i="33" s="1"/>
  <c r="S2684" i="33"/>
  <c r="R2684" i="33"/>
  <c r="K2684" i="33"/>
  <c r="F2684" i="33"/>
  <c r="I2684" i="33" s="1"/>
  <c r="AF2682" i="33"/>
  <c r="V2682" i="33"/>
  <c r="T2682" i="33"/>
  <c r="Z2682" i="33" s="1"/>
  <c r="S2682" i="33"/>
  <c r="R2682" i="33"/>
  <c r="K2682" i="33"/>
  <c r="F2682" i="33"/>
  <c r="I2682" i="33" s="1"/>
  <c r="AF2664" i="33"/>
  <c r="V2664" i="33"/>
  <c r="T2664" i="33"/>
  <c r="Y2664" i="33" s="1"/>
  <c r="S2664" i="33"/>
  <c r="R2664" i="33"/>
  <c r="K2664" i="33"/>
  <c r="F2664" i="33"/>
  <c r="I2664" i="33" s="1"/>
  <c r="AF2662" i="33"/>
  <c r="V2662" i="33"/>
  <c r="T2662" i="33"/>
  <c r="Z2662" i="33" s="1"/>
  <c r="S2662" i="33"/>
  <c r="R2662" i="33"/>
  <c r="K2662" i="33"/>
  <c r="F2662" i="33"/>
  <c r="I2662" i="33" s="1"/>
  <c r="AF2658" i="33"/>
  <c r="V2658" i="33"/>
  <c r="T2658" i="33"/>
  <c r="Z2658" i="33" s="1"/>
  <c r="S2658" i="33"/>
  <c r="R2658" i="33"/>
  <c r="K2658" i="33"/>
  <c r="F2658" i="33"/>
  <c r="I2658" i="33" s="1"/>
  <c r="AF2656" i="33"/>
  <c r="V2656" i="33"/>
  <c r="T2656" i="33"/>
  <c r="Z2656" i="33" s="1"/>
  <c r="S2656" i="33"/>
  <c r="R2656" i="33"/>
  <c r="K2656" i="33"/>
  <c r="F2656" i="33"/>
  <c r="I2656" i="33" s="1"/>
  <c r="AF2654" i="33"/>
  <c r="V2654" i="33"/>
  <c r="T2654" i="33"/>
  <c r="X2654" i="33" s="1"/>
  <c r="S2654" i="33"/>
  <c r="R2654" i="33"/>
  <c r="K2654" i="33"/>
  <c r="F2654" i="33"/>
  <c r="I2654" i="33" s="1"/>
  <c r="AF2652" i="33"/>
  <c r="V2652" i="33"/>
  <c r="T2652" i="33"/>
  <c r="Z2652" i="33" s="1"/>
  <c r="S2652" i="33"/>
  <c r="R2652" i="33"/>
  <c r="K2652" i="33"/>
  <c r="F2652" i="33"/>
  <c r="I2652" i="33" s="1"/>
  <c r="AF2646" i="33"/>
  <c r="V2646" i="33"/>
  <c r="T2646" i="33"/>
  <c r="Z2646" i="33" s="1"/>
  <c r="S2646" i="33"/>
  <c r="R2646" i="33"/>
  <c r="K2646" i="33"/>
  <c r="F2646" i="33"/>
  <c r="I2646" i="33" s="1"/>
  <c r="AF2643" i="33"/>
  <c r="V2643" i="33"/>
  <c r="T2643" i="33"/>
  <c r="Z2643" i="33" s="1"/>
  <c r="S2643" i="33"/>
  <c r="R2643" i="33"/>
  <c r="K2643" i="33"/>
  <c r="F2643" i="33"/>
  <c r="I2643" i="33" s="1"/>
  <c r="AF2641" i="33"/>
  <c r="V2641" i="33"/>
  <c r="T2641" i="33"/>
  <c r="Z2641" i="33" s="1"/>
  <c r="S2641" i="33"/>
  <c r="R2641" i="33"/>
  <c r="K2641" i="33"/>
  <c r="F2641" i="33"/>
  <c r="I2641" i="33" s="1"/>
  <c r="AF2640" i="33"/>
  <c r="V2640" i="33"/>
  <c r="T2640" i="33"/>
  <c r="Z2640" i="33" s="1"/>
  <c r="S2640" i="33"/>
  <c r="R2640" i="33"/>
  <c r="K2640" i="33"/>
  <c r="F2640" i="33"/>
  <c r="I2640" i="33" s="1"/>
  <c r="AF2638" i="33"/>
  <c r="V2638" i="33"/>
  <c r="T2638" i="33"/>
  <c r="Y2638" i="33" s="1"/>
  <c r="S2638" i="33"/>
  <c r="R2638" i="33"/>
  <c r="K2638" i="33"/>
  <c r="F2638" i="33"/>
  <c r="I2638" i="33" s="1"/>
  <c r="AF2636" i="33"/>
  <c r="V2636" i="33"/>
  <c r="T2636" i="33"/>
  <c r="Z2636" i="33" s="1"/>
  <c r="S2636" i="33"/>
  <c r="R2636" i="33"/>
  <c r="K2636" i="33"/>
  <c r="F2636" i="33"/>
  <c r="I2636" i="33" s="1"/>
  <c r="AE2627" i="33"/>
  <c r="AF2626" i="33"/>
  <c r="AF2624" i="33"/>
  <c r="V2626" i="33"/>
  <c r="T2626" i="33"/>
  <c r="Z2626" i="33" s="1"/>
  <c r="S2626" i="33"/>
  <c r="R2626" i="33"/>
  <c r="K2626" i="33"/>
  <c r="F2626" i="33"/>
  <c r="G2626" i="33" s="1"/>
  <c r="V2624" i="33"/>
  <c r="T2624" i="33"/>
  <c r="Z2624" i="33" s="1"/>
  <c r="S2624" i="33"/>
  <c r="R2624" i="33"/>
  <c r="K2624" i="33"/>
  <c r="F2624" i="33"/>
  <c r="G2624" i="33" s="1"/>
  <c r="L2718" i="33" l="1"/>
  <c r="G2720" i="33"/>
  <c r="L2720" i="33"/>
  <c r="W2720" i="33"/>
  <c r="X2720" i="33"/>
  <c r="Y2720" i="33"/>
  <c r="H2720" i="33"/>
  <c r="AB2720" i="33"/>
  <c r="W2718" i="33"/>
  <c r="X2718" i="33"/>
  <c r="Y2718" i="33"/>
  <c r="H2718" i="33"/>
  <c r="AB2718" i="33"/>
  <c r="G2718" i="33"/>
  <c r="L2716" i="33"/>
  <c r="W2716" i="33"/>
  <c r="X2716" i="33"/>
  <c r="Y2716" i="33"/>
  <c r="G2716" i="33"/>
  <c r="H2716" i="33"/>
  <c r="AB2716" i="33"/>
  <c r="L2712" i="33"/>
  <c r="X2712" i="33"/>
  <c r="Y2712" i="33"/>
  <c r="G2712" i="33"/>
  <c r="Z2712" i="33"/>
  <c r="H2712" i="33"/>
  <c r="AB2712" i="33"/>
  <c r="L2710" i="33"/>
  <c r="W2710" i="33"/>
  <c r="X2710" i="33"/>
  <c r="Y2710" i="33"/>
  <c r="G2710" i="33"/>
  <c r="H2710" i="33"/>
  <c r="L2706" i="33"/>
  <c r="Y2708" i="33"/>
  <c r="Z2708" i="33"/>
  <c r="L2708" i="33"/>
  <c r="W2708" i="33"/>
  <c r="G2708" i="33"/>
  <c r="H2708" i="33"/>
  <c r="AB2708" i="33"/>
  <c r="W2706" i="33"/>
  <c r="Y2706" i="33"/>
  <c r="G2706" i="33"/>
  <c r="Z2706" i="33"/>
  <c r="H2706" i="33"/>
  <c r="AB2706" i="33"/>
  <c r="L2702" i="33"/>
  <c r="X2702" i="33"/>
  <c r="Y2702" i="33"/>
  <c r="G2702" i="33"/>
  <c r="Z2702" i="33"/>
  <c r="H2702" i="33"/>
  <c r="AB2702" i="33"/>
  <c r="L2698" i="33"/>
  <c r="W2698" i="33"/>
  <c r="Y2698" i="33"/>
  <c r="H2698" i="33"/>
  <c r="AB2698" i="33"/>
  <c r="X2698" i="33"/>
  <c r="G2698" i="33"/>
  <c r="L2700" i="33"/>
  <c r="W2700" i="33"/>
  <c r="G2700" i="33"/>
  <c r="Z2700" i="33"/>
  <c r="Y2700" i="33"/>
  <c r="H2700" i="33"/>
  <c r="AB2700" i="33"/>
  <c r="L2696" i="33"/>
  <c r="X2696" i="33"/>
  <c r="Y2696" i="33"/>
  <c r="G2696" i="33"/>
  <c r="Z2696" i="33"/>
  <c r="H2696" i="33"/>
  <c r="AB2696" i="33"/>
  <c r="H2694" i="33"/>
  <c r="AB2694" i="33"/>
  <c r="L2694" i="33"/>
  <c r="W2694" i="33"/>
  <c r="X2694" i="33"/>
  <c r="Y2694" i="33"/>
  <c r="G2694" i="33"/>
  <c r="Y2692" i="33"/>
  <c r="L2692" i="33"/>
  <c r="W2692" i="33"/>
  <c r="X2692" i="33"/>
  <c r="G2692" i="33"/>
  <c r="H2692" i="33"/>
  <c r="AB2692" i="33"/>
  <c r="L2690" i="33"/>
  <c r="W2690" i="33"/>
  <c r="X2690" i="33"/>
  <c r="H2690" i="33"/>
  <c r="Y2690" i="33"/>
  <c r="G2690" i="33"/>
  <c r="L2686" i="33"/>
  <c r="L2688" i="33"/>
  <c r="W2688" i="33"/>
  <c r="X2688" i="33"/>
  <c r="Y2688" i="33"/>
  <c r="G2688" i="33"/>
  <c r="H2688" i="33"/>
  <c r="AB2688" i="33"/>
  <c r="W2686" i="33"/>
  <c r="X2686" i="33"/>
  <c r="Y2686" i="33"/>
  <c r="G2686" i="33"/>
  <c r="H2686" i="33"/>
  <c r="AB2686" i="33"/>
  <c r="L2684" i="33"/>
  <c r="W2684" i="33"/>
  <c r="X2684" i="33"/>
  <c r="Y2684" i="33"/>
  <c r="G2684" i="33"/>
  <c r="H2684" i="33"/>
  <c r="AB2684" i="33"/>
  <c r="L2682" i="33"/>
  <c r="W2682" i="33"/>
  <c r="X2682" i="33"/>
  <c r="Y2682" i="33"/>
  <c r="G2682" i="33"/>
  <c r="H2682" i="33"/>
  <c r="AB2682" i="33"/>
  <c r="L2664" i="33"/>
  <c r="W2664" i="33"/>
  <c r="X2664" i="33"/>
  <c r="G2664" i="33"/>
  <c r="Z2664" i="33"/>
  <c r="H2664" i="33"/>
  <c r="AB2664" i="33"/>
  <c r="L2662" i="33"/>
  <c r="W2662" i="33"/>
  <c r="X2662" i="33"/>
  <c r="Y2662" i="33"/>
  <c r="G2662" i="33"/>
  <c r="H2662" i="33"/>
  <c r="AB2662" i="33"/>
  <c r="L2658" i="33"/>
  <c r="W2658" i="33"/>
  <c r="X2658" i="33"/>
  <c r="Y2658" i="33"/>
  <c r="G2658" i="33"/>
  <c r="H2658" i="33"/>
  <c r="AB2658" i="33"/>
  <c r="W2656" i="33"/>
  <c r="X2656" i="33"/>
  <c r="Y2656" i="33"/>
  <c r="G2656" i="33"/>
  <c r="H2656" i="33"/>
  <c r="AB2656" i="33"/>
  <c r="L2656" i="33"/>
  <c r="L2654" i="33"/>
  <c r="Y2654" i="33"/>
  <c r="G2654" i="33"/>
  <c r="Z2654" i="33"/>
  <c r="W2654" i="33"/>
  <c r="H2654" i="33"/>
  <c r="AB2654" i="33"/>
  <c r="L2652" i="33"/>
  <c r="W2652" i="33"/>
  <c r="X2652" i="33"/>
  <c r="Y2652" i="33"/>
  <c r="G2652" i="33"/>
  <c r="H2652" i="33"/>
  <c r="AB2652" i="33"/>
  <c r="W2646" i="33"/>
  <c r="X2646" i="33"/>
  <c r="Y2646" i="33"/>
  <c r="G2646" i="33"/>
  <c r="H2646" i="33"/>
  <c r="AB2646" i="33"/>
  <c r="L2646" i="33"/>
  <c r="L2643" i="33"/>
  <c r="W2643" i="33"/>
  <c r="X2643" i="33"/>
  <c r="Y2643" i="33"/>
  <c r="G2643" i="33"/>
  <c r="H2643" i="33"/>
  <c r="AB2643" i="33"/>
  <c r="L2641" i="33"/>
  <c r="Y2641" i="33"/>
  <c r="W2641" i="33"/>
  <c r="X2641" i="33"/>
  <c r="G2641" i="33"/>
  <c r="H2641" i="33"/>
  <c r="AB2641" i="33"/>
  <c r="L2640" i="33"/>
  <c r="W2640" i="33"/>
  <c r="X2640" i="33"/>
  <c r="Y2640" i="33"/>
  <c r="G2640" i="33"/>
  <c r="H2640" i="33"/>
  <c r="AB2640" i="33"/>
  <c r="L2638" i="33"/>
  <c r="X2638" i="33"/>
  <c r="G2638" i="33"/>
  <c r="Z2638" i="33"/>
  <c r="W2638" i="33"/>
  <c r="H2638" i="33"/>
  <c r="AB2638" i="33"/>
  <c r="L2636" i="33"/>
  <c r="W2636" i="33"/>
  <c r="X2636" i="33"/>
  <c r="Y2636" i="33"/>
  <c r="H2636" i="33"/>
  <c r="G2636" i="33"/>
  <c r="L2626" i="33"/>
  <c r="AE2624" i="33"/>
  <c r="AG2624" i="33" s="1"/>
  <c r="AH2624" i="33" s="1"/>
  <c r="I2626" i="33"/>
  <c r="H2626" i="33"/>
  <c r="AE2626" i="33"/>
  <c r="AG2626" i="33" s="1"/>
  <c r="AH2626" i="33" s="1"/>
  <c r="W2626" i="33"/>
  <c r="X2626" i="33"/>
  <c r="Y2626" i="33"/>
  <c r="H2624" i="33"/>
  <c r="I2624" i="33"/>
  <c r="L2624" i="33"/>
  <c r="W2624" i="33"/>
  <c r="X2624" i="33"/>
  <c r="Y2624" i="33"/>
  <c r="AE2018" i="35" l="1"/>
  <c r="Y2018" i="35"/>
  <c r="X2018" i="35"/>
  <c r="U2018" i="35"/>
  <c r="S2018" i="35"/>
  <c r="R2018" i="35"/>
  <c r="Q2018" i="35"/>
  <c r="K2018" i="35"/>
  <c r="F2018" i="35"/>
  <c r="I2018" i="35" s="1"/>
  <c r="L2018" i="35" l="1"/>
  <c r="V2018" i="35"/>
  <c r="H2018" i="35"/>
  <c r="AD2018" i="35"/>
  <c r="AF2018" i="35" s="1"/>
  <c r="AG2018" i="35" s="1"/>
  <c r="W2018" i="35"/>
  <c r="G2018" i="35"/>
  <c r="AF2595" i="33" l="1"/>
  <c r="V2595" i="33"/>
  <c r="T2595" i="33"/>
  <c r="Y2595" i="33" s="1"/>
  <c r="S2595" i="33"/>
  <c r="R2595" i="33"/>
  <c r="K2595" i="33"/>
  <c r="F2595" i="33"/>
  <c r="I2595" i="33" s="1"/>
  <c r="AF2593" i="33"/>
  <c r="V2593" i="33"/>
  <c r="T2593" i="33"/>
  <c r="X2593" i="33" s="1"/>
  <c r="S2593" i="33"/>
  <c r="R2593" i="33"/>
  <c r="K2593" i="33"/>
  <c r="F2593" i="33"/>
  <c r="I2593" i="33" s="1"/>
  <c r="L2595" i="33" l="1"/>
  <c r="Z2593" i="33"/>
  <c r="Y2593" i="33"/>
  <c r="G2593" i="33"/>
  <c r="H2593" i="33"/>
  <c r="L2593" i="33"/>
  <c r="W2595" i="33"/>
  <c r="X2595" i="33"/>
  <c r="G2595" i="33"/>
  <c r="Z2595" i="33"/>
  <c r="W2593" i="33"/>
  <c r="H2595" i="33"/>
  <c r="AB2595" i="33"/>
  <c r="AB2593" i="33"/>
  <c r="AF2591" i="33" l="1"/>
  <c r="V2591" i="33"/>
  <c r="T2591" i="33"/>
  <c r="Y2591" i="33" s="1"/>
  <c r="S2591" i="33"/>
  <c r="R2591" i="33"/>
  <c r="K2591" i="33"/>
  <c r="F2591" i="33"/>
  <c r="I2591" i="33" s="1"/>
  <c r="W2591" i="33" l="1"/>
  <c r="X2591" i="33"/>
  <c r="L2591" i="33"/>
  <c r="Z2591" i="33"/>
  <c r="G2591" i="33"/>
  <c r="H2591" i="33"/>
  <c r="AB2591" i="33"/>
  <c r="AF2484" i="33" l="1"/>
  <c r="AF2474" i="33"/>
  <c r="AF2472" i="33"/>
  <c r="AE1906" i="35"/>
  <c r="AE1904" i="35"/>
  <c r="AE1902" i="35"/>
  <c r="AE1900" i="35"/>
  <c r="AE2016" i="35"/>
  <c r="Y2016" i="35"/>
  <c r="X2016" i="35"/>
  <c r="U2016" i="35"/>
  <c r="S2016" i="35"/>
  <c r="R2016" i="35"/>
  <c r="Q2016" i="35"/>
  <c r="K2016" i="35"/>
  <c r="F2016" i="35"/>
  <c r="AE2014" i="35"/>
  <c r="Y2014" i="35"/>
  <c r="X2014" i="35"/>
  <c r="U2014" i="35"/>
  <c r="S2014" i="35"/>
  <c r="R2014" i="35"/>
  <c r="Q2014" i="35"/>
  <c r="K2014" i="35"/>
  <c r="F2014" i="35"/>
  <c r="Y2006" i="35"/>
  <c r="X2006" i="35"/>
  <c r="W2006" i="35"/>
  <c r="V2006" i="35"/>
  <c r="U2006" i="35"/>
  <c r="S2006" i="35"/>
  <c r="R2006" i="35"/>
  <c r="Q2006" i="35"/>
  <c r="K2006" i="35"/>
  <c r="F2006" i="35"/>
  <c r="G2006" i="35" s="1"/>
  <c r="Y2004" i="35"/>
  <c r="X2004" i="35"/>
  <c r="W2004" i="35"/>
  <c r="V2004" i="35"/>
  <c r="U2004" i="35"/>
  <c r="S2004" i="35"/>
  <c r="R2004" i="35"/>
  <c r="Q2004" i="35"/>
  <c r="K2004" i="35"/>
  <c r="F2004" i="35"/>
  <c r="I2004" i="35" s="1"/>
  <c r="L2016" i="35" l="1"/>
  <c r="L2014" i="35"/>
  <c r="V2016" i="35"/>
  <c r="W2016" i="35"/>
  <c r="G2016" i="35"/>
  <c r="H2016" i="35"/>
  <c r="AD2016" i="35"/>
  <c r="AF2016" i="35" s="1"/>
  <c r="AG2016" i="35" s="1"/>
  <c r="I2016" i="35"/>
  <c r="I2014" i="35"/>
  <c r="V2014" i="35"/>
  <c r="W2014" i="35"/>
  <c r="G2014" i="35"/>
  <c r="H2014" i="35"/>
  <c r="AD2014" i="35"/>
  <c r="AF2014" i="35" s="1"/>
  <c r="AG2014" i="35" s="1"/>
  <c r="H2006" i="35"/>
  <c r="L2004" i="35"/>
  <c r="I2006" i="35"/>
  <c r="L2006" i="35"/>
  <c r="G2004" i="35"/>
  <c r="H2004" i="35"/>
  <c r="AF2562" i="33" l="1"/>
  <c r="V2562" i="33"/>
  <c r="T2562" i="33"/>
  <c r="Z2562" i="33" s="1"/>
  <c r="S2562" i="33"/>
  <c r="R2562" i="33"/>
  <c r="K2562" i="33"/>
  <c r="F2562" i="33"/>
  <c r="I2562" i="33" s="1"/>
  <c r="L2562" i="33" l="1"/>
  <c r="W2562" i="33"/>
  <c r="X2562" i="33"/>
  <c r="Y2562" i="33"/>
  <c r="G2562" i="33"/>
  <c r="H2562" i="33"/>
  <c r="AB2562" i="33"/>
  <c r="AF2560" i="33"/>
  <c r="V2560" i="33"/>
  <c r="T2560" i="33"/>
  <c r="Z2560" i="33" s="1"/>
  <c r="S2560" i="33"/>
  <c r="R2560" i="33"/>
  <c r="K2560" i="33"/>
  <c r="F2560" i="33"/>
  <c r="I2560" i="33" s="1"/>
  <c r="AF2552" i="33"/>
  <c r="V2552" i="33"/>
  <c r="T2552" i="33"/>
  <c r="X2552" i="33" s="1"/>
  <c r="S2552" i="33"/>
  <c r="R2552" i="33"/>
  <c r="K2552" i="33"/>
  <c r="F2552" i="33"/>
  <c r="L2552" i="33" l="1"/>
  <c r="W2560" i="33"/>
  <c r="X2560" i="33"/>
  <c r="L2560" i="33"/>
  <c r="Y2560" i="33"/>
  <c r="G2560" i="33"/>
  <c r="H2560" i="33"/>
  <c r="AB2560" i="33"/>
  <c r="Y2552" i="33"/>
  <c r="G2552" i="33"/>
  <c r="Z2552" i="33"/>
  <c r="H2552" i="33"/>
  <c r="AB2552" i="33"/>
  <c r="I2552" i="33"/>
  <c r="W2552" i="33"/>
  <c r="AE2070" i="35" l="1"/>
  <c r="Y2070" i="35"/>
  <c r="X2070" i="35"/>
  <c r="U2070" i="35"/>
  <c r="S2070" i="35"/>
  <c r="R2070" i="35"/>
  <c r="Q2070" i="35"/>
  <c r="K2070" i="35"/>
  <c r="F2070" i="35"/>
  <c r="AE2066" i="35"/>
  <c r="Y2066" i="35"/>
  <c r="X2066" i="35"/>
  <c r="U2066" i="35"/>
  <c r="S2066" i="35"/>
  <c r="R2066" i="35"/>
  <c r="Q2066" i="35"/>
  <c r="K2066" i="35"/>
  <c r="F2066" i="35"/>
  <c r="AE2030" i="35"/>
  <c r="Y2030" i="35"/>
  <c r="X2030" i="35"/>
  <c r="U2030" i="35"/>
  <c r="R2030" i="35"/>
  <c r="Q2030" i="35"/>
  <c r="K2030" i="35"/>
  <c r="F2030" i="35"/>
  <c r="H2030" i="35" s="1"/>
  <c r="AE2034" i="35"/>
  <c r="Y2034" i="35"/>
  <c r="X2034" i="35"/>
  <c r="U2034" i="35"/>
  <c r="R2034" i="35"/>
  <c r="Q2034" i="35"/>
  <c r="K2034" i="35"/>
  <c r="F2034" i="35"/>
  <c r="H2034" i="35" s="1"/>
  <c r="AE2032" i="35"/>
  <c r="Y2032" i="35"/>
  <c r="X2032" i="35"/>
  <c r="U2032" i="35"/>
  <c r="R2032" i="35"/>
  <c r="Q2032" i="35"/>
  <c r="K2032" i="35"/>
  <c r="F2032" i="35"/>
  <c r="I2032" i="35" s="1"/>
  <c r="AE2012" i="35"/>
  <c r="Y2012" i="35"/>
  <c r="X2012" i="35"/>
  <c r="U2012" i="35"/>
  <c r="S2012" i="35"/>
  <c r="R2012" i="35"/>
  <c r="Q2012" i="35"/>
  <c r="K2012" i="35"/>
  <c r="F2012" i="35"/>
  <c r="L2070" i="35" l="1"/>
  <c r="L2066" i="35"/>
  <c r="V2070" i="35"/>
  <c r="W2070" i="35"/>
  <c r="H2070" i="35"/>
  <c r="AD2070" i="35"/>
  <c r="AF2070" i="35" s="1"/>
  <c r="AG2070" i="35" s="1"/>
  <c r="G2070" i="35"/>
  <c r="I2070" i="35"/>
  <c r="V2066" i="35"/>
  <c r="G2066" i="35"/>
  <c r="H2066" i="35"/>
  <c r="AD2066" i="35"/>
  <c r="AF2066" i="35" s="1"/>
  <c r="AG2066" i="35" s="1"/>
  <c r="W2066" i="35"/>
  <c r="I2066" i="35"/>
  <c r="I2030" i="35"/>
  <c r="L2030" i="35"/>
  <c r="V2030" i="35"/>
  <c r="W2030" i="35"/>
  <c r="G2030" i="35"/>
  <c r="AD2030" i="35"/>
  <c r="L2012" i="35"/>
  <c r="L2032" i="35"/>
  <c r="I2034" i="35"/>
  <c r="V2032" i="35"/>
  <c r="W2032" i="35"/>
  <c r="L2034" i="35"/>
  <c r="G2032" i="35"/>
  <c r="AD2032" i="35"/>
  <c r="AF2032" i="35" s="1"/>
  <c r="AG2032" i="35" s="1"/>
  <c r="H2032" i="35"/>
  <c r="V2034" i="35"/>
  <c r="W2034" i="35"/>
  <c r="G2034" i="35"/>
  <c r="AD2034" i="35"/>
  <c r="AF2034" i="35" s="1"/>
  <c r="AG2034" i="35" s="1"/>
  <c r="G2012" i="35"/>
  <c r="AD2012" i="35"/>
  <c r="AF2012" i="35" s="1"/>
  <c r="AG2012" i="35" s="1"/>
  <c r="V2012" i="35"/>
  <c r="W2012" i="35"/>
  <c r="H2012" i="35"/>
  <c r="I2012" i="35"/>
  <c r="V2622" i="33" l="1"/>
  <c r="T2622" i="33"/>
  <c r="Z2622" i="33" s="1"/>
  <c r="K2622" i="33"/>
  <c r="F2622" i="33"/>
  <c r="V2621" i="33"/>
  <c r="T2621" i="33"/>
  <c r="S2621" i="33"/>
  <c r="R2621" i="33"/>
  <c r="K2621" i="33"/>
  <c r="F2621" i="33"/>
  <c r="H2621" i="33" s="1"/>
  <c r="V2619" i="33"/>
  <c r="T2619" i="33"/>
  <c r="Z2619" i="33" s="1"/>
  <c r="S2619" i="33"/>
  <c r="R2619" i="33"/>
  <c r="K2619" i="33"/>
  <c r="F2619" i="33"/>
  <c r="G2619" i="33" s="1"/>
  <c r="V2617" i="33"/>
  <c r="T2617" i="33"/>
  <c r="Z2617" i="33" s="1"/>
  <c r="S2617" i="33"/>
  <c r="R2617" i="33"/>
  <c r="K2617" i="33"/>
  <c r="F2617" i="33"/>
  <c r="I2617" i="33" s="1"/>
  <c r="V2615" i="33"/>
  <c r="T2615" i="33"/>
  <c r="Z2615" i="33" s="1"/>
  <c r="S2615" i="33"/>
  <c r="R2615" i="33"/>
  <c r="K2615" i="33"/>
  <c r="F2615" i="33"/>
  <c r="G2615" i="33" s="1"/>
  <c r="V2613" i="33"/>
  <c r="T2613" i="33"/>
  <c r="Z2613" i="33" s="1"/>
  <c r="S2613" i="33"/>
  <c r="R2613" i="33"/>
  <c r="K2613" i="33"/>
  <c r="F2613" i="33"/>
  <c r="G2613" i="33" s="1"/>
  <c r="L2622" i="33" l="1"/>
  <c r="L2617" i="33"/>
  <c r="X2621" i="33"/>
  <c r="Y2621" i="33"/>
  <c r="Z2621" i="33"/>
  <c r="I2621" i="33"/>
  <c r="G2622" i="33"/>
  <c r="H2622" i="33"/>
  <c r="L2621" i="33"/>
  <c r="I2622" i="33"/>
  <c r="G2621" i="33"/>
  <c r="W2621" i="33"/>
  <c r="Y2622" i="33"/>
  <c r="H2619" i="33"/>
  <c r="I2619" i="33"/>
  <c r="W2617" i="33"/>
  <c r="Y2617" i="33"/>
  <c r="W2619" i="33"/>
  <c r="L2619" i="33"/>
  <c r="X2617" i="33"/>
  <c r="G2617" i="33"/>
  <c r="X2619" i="33"/>
  <c r="Y2619" i="33"/>
  <c r="H2617" i="33"/>
  <c r="H2615" i="33"/>
  <c r="I2615" i="33"/>
  <c r="L2615" i="33"/>
  <c r="X2615" i="33"/>
  <c r="W2615" i="33"/>
  <c r="Y2615" i="33"/>
  <c r="I2613" i="33"/>
  <c r="H2613" i="33"/>
  <c r="L2613" i="33"/>
  <c r="W2613" i="33"/>
  <c r="X2613" i="33"/>
  <c r="Y2613" i="33"/>
  <c r="AI1027" i="36" l="1"/>
  <c r="AH1027" i="36"/>
  <c r="AG1027" i="36"/>
  <c r="AJ1027" i="36" s="1"/>
  <c r="J1027" i="36"/>
  <c r="I1027" i="36"/>
  <c r="H1027" i="36"/>
  <c r="F1027" i="36"/>
  <c r="E1027" i="36"/>
  <c r="AI1026" i="36"/>
  <c r="AH1026" i="36"/>
  <c r="AJ1026" i="36" s="1"/>
  <c r="AG1026" i="36"/>
  <c r="J1026" i="36"/>
  <c r="I1026" i="36"/>
  <c r="H1026" i="36"/>
  <c r="F1026" i="36"/>
  <c r="E1026" i="36"/>
  <c r="AI1025" i="36"/>
  <c r="AH1025" i="36"/>
  <c r="AG1025" i="36"/>
  <c r="AJ1025" i="36" s="1"/>
  <c r="J1025" i="36"/>
  <c r="I1025" i="36"/>
  <c r="H1025" i="36"/>
  <c r="F1025" i="36"/>
  <c r="E1025" i="36"/>
  <c r="AI1024" i="36"/>
  <c r="AH1024" i="36"/>
  <c r="AG1024" i="36"/>
  <c r="AJ1024" i="36" s="1"/>
  <c r="J1024" i="36"/>
  <c r="I1024" i="36"/>
  <c r="H1024" i="36"/>
  <c r="F1024" i="36"/>
  <c r="E1024" i="36"/>
  <c r="AI1023" i="36"/>
  <c r="AH1023" i="36"/>
  <c r="AG1023" i="36"/>
  <c r="AJ1023" i="36" s="1"/>
  <c r="J1023" i="36"/>
  <c r="I1023" i="36"/>
  <c r="H1023" i="36"/>
  <c r="F1023" i="36"/>
  <c r="E1023" i="36"/>
  <c r="AI1022" i="36"/>
  <c r="AH1022" i="36"/>
  <c r="AJ1022" i="36" s="1"/>
  <c r="AG1022" i="36"/>
  <c r="J1022" i="36"/>
  <c r="I1022" i="36"/>
  <c r="H1022" i="36"/>
  <c r="F1022" i="36"/>
  <c r="E1022" i="36"/>
  <c r="AI1021" i="36"/>
  <c r="AH1021" i="36"/>
  <c r="AG1021" i="36"/>
  <c r="AJ1021" i="36" s="1"/>
  <c r="AI1020" i="36"/>
  <c r="AJ1020" i="36" s="1"/>
  <c r="AH1020" i="36"/>
  <c r="AG1020" i="36"/>
  <c r="AI1019" i="36"/>
  <c r="AH1019" i="36"/>
  <c r="AG1019" i="36"/>
  <c r="AJ1019" i="36" s="1"/>
  <c r="AI1018" i="36"/>
  <c r="AH1018" i="36"/>
  <c r="AG1018" i="36"/>
  <c r="AJ1018" i="36" s="1"/>
  <c r="AI1017" i="36"/>
  <c r="AJ1017" i="36" s="1"/>
  <c r="AH1017" i="36"/>
  <c r="AG1017" i="36"/>
  <c r="AI1016" i="36"/>
  <c r="AH1016" i="36"/>
  <c r="AG1016" i="36"/>
  <c r="AI1015" i="36"/>
  <c r="AH1015" i="36"/>
  <c r="AG1015" i="36"/>
  <c r="AJ1015" i="36" s="1"/>
  <c r="AI1005" i="36"/>
  <c r="AJ1005" i="36" s="1"/>
  <c r="AH1005" i="36"/>
  <c r="AG1005" i="36"/>
  <c r="AI1004" i="36"/>
  <c r="AH1004" i="36"/>
  <c r="AG1004" i="36"/>
  <c r="AI1003" i="36"/>
  <c r="AH1003" i="36"/>
  <c r="AG1003" i="36"/>
  <c r="AJ1003" i="36" s="1"/>
  <c r="AI1002" i="36"/>
  <c r="AJ1002" i="36" s="1"/>
  <c r="AH1002" i="36"/>
  <c r="AG1002" i="36"/>
  <c r="AI1001" i="36"/>
  <c r="AH1001" i="36"/>
  <c r="AG1001" i="36"/>
  <c r="AJ1001" i="36" s="1"/>
  <c r="AI1000" i="36"/>
  <c r="AH1000" i="36"/>
  <c r="AG1000" i="36"/>
  <c r="AJ1000" i="36" s="1"/>
  <c r="AJ999" i="36"/>
  <c r="AI999" i="36"/>
  <c r="AH999" i="36"/>
  <c r="AG999" i="36"/>
  <c r="AI998" i="36"/>
  <c r="AH998" i="36"/>
  <c r="AG998" i="36"/>
  <c r="AJ998" i="36" s="1"/>
  <c r="AJ997" i="36"/>
  <c r="AI997" i="36"/>
  <c r="AH997" i="36"/>
  <c r="AG997" i="36"/>
  <c r="AI996" i="36"/>
  <c r="AJ996" i="36" s="1"/>
  <c r="AH996" i="36"/>
  <c r="AG996" i="36"/>
  <c r="AI995" i="36"/>
  <c r="AH995" i="36"/>
  <c r="AG995" i="36"/>
  <c r="AJ995" i="36" s="1"/>
  <c r="AI994" i="36"/>
  <c r="AJ994" i="36" s="1"/>
  <c r="AH994" i="36"/>
  <c r="AG994" i="36"/>
  <c r="AI993" i="36"/>
  <c r="AJ993" i="36" s="1"/>
  <c r="AH993" i="36"/>
  <c r="AG993" i="36"/>
  <c r="AI992" i="36"/>
  <c r="AH992" i="36"/>
  <c r="AG992" i="36"/>
  <c r="AI991" i="36"/>
  <c r="AH991" i="36"/>
  <c r="AJ991" i="36" s="1"/>
  <c r="AG991" i="36"/>
  <c r="AI990" i="36"/>
  <c r="AJ990" i="36" s="1"/>
  <c r="AH990" i="36"/>
  <c r="AG990" i="36"/>
  <c r="AI989" i="36"/>
  <c r="AH989" i="36"/>
  <c r="AG989" i="36"/>
  <c r="AJ989" i="36" s="1"/>
  <c r="AI988" i="36"/>
  <c r="AH988" i="36"/>
  <c r="AG988" i="36"/>
  <c r="AJ988" i="36" s="1"/>
  <c r="AI987" i="36"/>
  <c r="AJ987" i="36" s="1"/>
  <c r="AH987" i="36"/>
  <c r="AG987" i="36"/>
  <c r="AI986" i="36"/>
  <c r="AH986" i="36"/>
  <c r="AG986" i="36"/>
  <c r="AJ986" i="36" s="1"/>
  <c r="AI985" i="36"/>
  <c r="AJ985" i="36" s="1"/>
  <c r="AH985" i="36"/>
  <c r="AG985" i="36"/>
  <c r="AJ984" i="36"/>
  <c r="AI984" i="36"/>
  <c r="AH984" i="36"/>
  <c r="AG984" i="36"/>
  <c r="AI983" i="36"/>
  <c r="AH983" i="36"/>
  <c r="AG983" i="36"/>
  <c r="AJ983" i="36" s="1"/>
  <c r="AI982" i="36"/>
  <c r="AH982" i="36"/>
  <c r="AJ982" i="36" s="1"/>
  <c r="AG982" i="36"/>
  <c r="AI981" i="36"/>
  <c r="AJ981" i="36" s="1"/>
  <c r="AH981" i="36"/>
  <c r="AG981" i="36"/>
  <c r="AI978" i="36"/>
  <c r="AH978" i="36"/>
  <c r="AG978" i="36"/>
  <c r="AJ978" i="36" s="1"/>
  <c r="AI977" i="36"/>
  <c r="AH977" i="36"/>
  <c r="AG977" i="36"/>
  <c r="AJ977" i="36" s="1"/>
  <c r="AI976" i="36"/>
  <c r="AJ976" i="36" s="1"/>
  <c r="AH976" i="36"/>
  <c r="AG976" i="36"/>
  <c r="AI975" i="36"/>
  <c r="AH975" i="36"/>
  <c r="AG975" i="36"/>
  <c r="AJ975" i="36" s="1"/>
  <c r="AI974" i="36"/>
  <c r="AH974" i="36"/>
  <c r="AG974" i="36"/>
  <c r="AJ974" i="36" s="1"/>
  <c r="AJ973" i="36"/>
  <c r="AI973" i="36"/>
  <c r="AH973" i="36"/>
  <c r="AG973" i="36"/>
  <c r="AI972" i="36"/>
  <c r="AH972" i="36"/>
  <c r="AG972" i="36"/>
  <c r="AJ972" i="36" s="1"/>
  <c r="AI971" i="36"/>
  <c r="AH971" i="36"/>
  <c r="AG971" i="36"/>
  <c r="AJ971" i="36" s="1"/>
  <c r="AI970" i="36"/>
  <c r="AJ970" i="36" s="1"/>
  <c r="AH970" i="36"/>
  <c r="AG970" i="36"/>
  <c r="AI969" i="36"/>
  <c r="AH969" i="36"/>
  <c r="AG969" i="36"/>
  <c r="AI968" i="36"/>
  <c r="AH968" i="36"/>
  <c r="AG968" i="36"/>
  <c r="AJ968" i="36" s="1"/>
  <c r="AI967" i="36"/>
  <c r="AJ967" i="36" s="1"/>
  <c r="AH967" i="36"/>
  <c r="AG967" i="36"/>
  <c r="AI966" i="36"/>
  <c r="AH966" i="36"/>
  <c r="AG966" i="36"/>
  <c r="AI965" i="36"/>
  <c r="AH965" i="36"/>
  <c r="AG965" i="36"/>
  <c r="AJ965" i="36" s="1"/>
  <c r="AI964" i="36"/>
  <c r="AJ964" i="36" s="1"/>
  <c r="AH964" i="36"/>
  <c r="AG964" i="36"/>
  <c r="AI963" i="36"/>
  <c r="AH963" i="36"/>
  <c r="AG963" i="36"/>
  <c r="AJ963" i="36" s="1"/>
  <c r="AI962" i="36"/>
  <c r="AH962" i="36"/>
  <c r="AG962" i="36"/>
  <c r="AJ962" i="36" s="1"/>
  <c r="AJ961" i="36"/>
  <c r="AI961" i="36"/>
  <c r="AH961" i="36"/>
  <c r="AG961" i="36"/>
  <c r="AI960" i="36"/>
  <c r="AH960" i="36"/>
  <c r="AG960" i="36"/>
  <c r="AJ960" i="36" s="1"/>
  <c r="AJ959" i="36"/>
  <c r="AI959" i="36"/>
  <c r="AH959" i="36"/>
  <c r="AG959" i="36"/>
  <c r="AI958" i="36"/>
  <c r="AJ958" i="36" s="1"/>
  <c r="AH958" i="36"/>
  <c r="AG958" i="36"/>
  <c r="AI957" i="36"/>
  <c r="AH957" i="36"/>
  <c r="AG957" i="36"/>
  <c r="AJ957" i="36" s="1"/>
  <c r="AI956" i="36"/>
  <c r="AJ956" i="36" s="1"/>
  <c r="AH956" i="36"/>
  <c r="AG956" i="36"/>
  <c r="AI955" i="36"/>
  <c r="AJ955" i="36" s="1"/>
  <c r="AH955" i="36"/>
  <c r="AG955" i="36"/>
  <c r="AI954" i="36"/>
  <c r="AH954" i="36"/>
  <c r="AG954" i="36"/>
  <c r="AI953" i="36"/>
  <c r="AH953" i="36"/>
  <c r="AJ953" i="36" s="1"/>
  <c r="AG953" i="36"/>
  <c r="AI952" i="36"/>
  <c r="AJ952" i="36" s="1"/>
  <c r="AH952" i="36"/>
  <c r="AG952" i="36"/>
  <c r="AI951" i="36"/>
  <c r="AH951" i="36"/>
  <c r="AG951" i="36"/>
  <c r="AJ951" i="36" s="1"/>
  <c r="AI950" i="36"/>
  <c r="AH950" i="36"/>
  <c r="AG950" i="36"/>
  <c r="AI949" i="36"/>
  <c r="AJ949" i="36" s="1"/>
  <c r="AH949" i="36"/>
  <c r="AG949" i="36"/>
  <c r="AI948" i="36"/>
  <c r="AH948" i="36"/>
  <c r="AG948" i="36"/>
  <c r="AI947" i="36"/>
  <c r="AJ947" i="36" s="1"/>
  <c r="AH947" i="36"/>
  <c r="AG947" i="36"/>
  <c r="AJ946" i="36"/>
  <c r="AI946" i="36"/>
  <c r="AH946" i="36"/>
  <c r="AG946" i="36"/>
  <c r="AI945" i="36"/>
  <c r="AH945" i="36"/>
  <c r="AG945" i="36"/>
  <c r="AI944" i="36"/>
  <c r="AH944" i="36"/>
  <c r="AG944" i="36"/>
  <c r="AJ944" i="36" s="1"/>
  <c r="AI943" i="36"/>
  <c r="AJ943" i="36" s="1"/>
  <c r="AH943" i="36"/>
  <c r="AG943" i="36"/>
  <c r="AI942" i="36"/>
  <c r="AH942" i="36"/>
  <c r="AG942" i="36"/>
  <c r="AJ942" i="36" s="1"/>
  <c r="AI941" i="36"/>
  <c r="AH941" i="36"/>
  <c r="AG941" i="36"/>
  <c r="AJ941" i="36" s="1"/>
  <c r="AI940" i="36"/>
  <c r="AJ940" i="36" s="1"/>
  <c r="AH940" i="36"/>
  <c r="AG940" i="36"/>
  <c r="AI939" i="36"/>
  <c r="AH939" i="36"/>
  <c r="AG939" i="36"/>
  <c r="AJ939" i="36" s="1"/>
  <c r="AI938" i="36"/>
  <c r="AH938" i="36"/>
  <c r="AG938" i="36"/>
  <c r="AJ938" i="36" s="1"/>
  <c r="AI937" i="36"/>
  <c r="AJ937" i="36" s="1"/>
  <c r="AH937" i="36"/>
  <c r="AG937" i="36"/>
  <c r="AI936" i="36"/>
  <c r="AH936" i="36"/>
  <c r="AG936" i="36"/>
  <c r="AJ936" i="36" s="1"/>
  <c r="AI935" i="36"/>
  <c r="AH935" i="36"/>
  <c r="AG935" i="36"/>
  <c r="AI934" i="36"/>
  <c r="AJ934" i="36" s="1"/>
  <c r="AH934" i="36"/>
  <c r="AG934" i="36"/>
  <c r="AI933" i="36"/>
  <c r="AH933" i="36"/>
  <c r="AG933" i="36"/>
  <c r="AI932" i="36"/>
  <c r="AH932" i="36"/>
  <c r="AG932" i="36"/>
  <c r="AJ932" i="36" s="1"/>
  <c r="AJ931" i="36"/>
  <c r="AI931" i="36"/>
  <c r="AH931" i="36"/>
  <c r="AG931" i="36"/>
  <c r="AI930" i="36"/>
  <c r="AH930" i="36"/>
  <c r="AG930" i="36"/>
  <c r="AI929" i="36"/>
  <c r="AH929" i="36"/>
  <c r="AG929" i="36"/>
  <c r="AJ929" i="36" s="1"/>
  <c r="AI928" i="36"/>
  <c r="AJ928" i="36" s="1"/>
  <c r="AH928" i="36"/>
  <c r="AG928" i="36"/>
  <c r="AI927" i="36"/>
  <c r="AH927" i="36"/>
  <c r="AG927" i="36"/>
  <c r="AJ927" i="36" s="1"/>
  <c r="AI926" i="36"/>
  <c r="AH926" i="36"/>
  <c r="AG926" i="36"/>
  <c r="AJ926" i="36" s="1"/>
  <c r="AI925" i="36"/>
  <c r="AJ925" i="36" s="1"/>
  <c r="AH925" i="36"/>
  <c r="AG925" i="36"/>
  <c r="AI924" i="36"/>
  <c r="AH924" i="36"/>
  <c r="AG924" i="36"/>
  <c r="AJ923" i="36"/>
  <c r="AI923" i="36"/>
  <c r="AH923" i="36"/>
  <c r="AG923" i="36"/>
  <c r="AI922" i="36"/>
  <c r="AJ922" i="36" s="1"/>
  <c r="AH922" i="36"/>
  <c r="AG922" i="36"/>
  <c r="AI921" i="36"/>
  <c r="AH921" i="36"/>
  <c r="AG921" i="36"/>
  <c r="AJ921" i="36" s="1"/>
  <c r="AI920" i="36"/>
  <c r="AJ920" i="36" s="1"/>
  <c r="AH920" i="36"/>
  <c r="AG920" i="36"/>
  <c r="AI919" i="36"/>
  <c r="AJ919" i="36" s="1"/>
  <c r="AH919" i="36"/>
  <c r="AG919" i="36"/>
  <c r="AI918" i="36"/>
  <c r="AH918" i="36"/>
  <c r="AG918" i="36"/>
  <c r="AI917" i="36"/>
  <c r="AJ917" i="36" s="1"/>
  <c r="AH917" i="36"/>
  <c r="AG917" i="36"/>
  <c r="AI916" i="36"/>
  <c r="AJ916" i="36" s="1"/>
  <c r="AH916" i="36"/>
  <c r="AG916" i="36"/>
  <c r="AI915" i="36"/>
  <c r="AH915" i="36"/>
  <c r="AG915" i="36"/>
  <c r="AJ915" i="36" s="1"/>
  <c r="AI914" i="36"/>
  <c r="AH914" i="36"/>
  <c r="AG914" i="36"/>
  <c r="AJ914" i="36" s="1"/>
  <c r="AI913" i="36"/>
  <c r="AJ913" i="36" s="1"/>
  <c r="AH913" i="36"/>
  <c r="AG913" i="36"/>
  <c r="AI912" i="36"/>
  <c r="AH912" i="36"/>
  <c r="AG912" i="36"/>
  <c r="AJ912" i="36" s="1"/>
  <c r="AI911" i="36"/>
  <c r="AJ911" i="36" s="1"/>
  <c r="AH911" i="36"/>
  <c r="AG911" i="36"/>
  <c r="AJ910" i="36"/>
  <c r="AI910" i="36"/>
  <c r="AH910" i="36"/>
  <c r="AG910" i="36"/>
  <c r="AI909" i="36"/>
  <c r="AH909" i="36"/>
  <c r="AG909" i="36"/>
  <c r="AJ909" i="36" s="1"/>
  <c r="AI908" i="36"/>
  <c r="AH908" i="36"/>
  <c r="AJ908" i="36" s="1"/>
  <c r="AG908" i="36"/>
  <c r="AI907" i="36"/>
  <c r="AJ907" i="36" s="1"/>
  <c r="AH907" i="36"/>
  <c r="AG907" i="36"/>
  <c r="AI906" i="36"/>
  <c r="AH906" i="36"/>
  <c r="AG906" i="36"/>
  <c r="AJ906" i="36" s="1"/>
  <c r="AI905" i="36"/>
  <c r="AH905" i="36"/>
  <c r="AG905" i="36"/>
  <c r="AJ905" i="36" s="1"/>
  <c r="AI904" i="36"/>
  <c r="AJ904" i="36" s="1"/>
  <c r="AH904" i="36"/>
  <c r="AG904" i="36"/>
  <c r="AI903" i="36"/>
  <c r="AH903" i="36"/>
  <c r="AG903" i="36"/>
  <c r="AJ903" i="36" s="1"/>
  <c r="AJ902" i="36"/>
  <c r="AI902" i="36"/>
  <c r="AH902" i="36"/>
  <c r="AG902" i="36"/>
  <c r="AJ901" i="36"/>
  <c r="AI901" i="36"/>
  <c r="AH901" i="36"/>
  <c r="AG901" i="36"/>
  <c r="AI900" i="36"/>
  <c r="AH900" i="36"/>
  <c r="AG900" i="36"/>
  <c r="AJ900" i="36" s="1"/>
  <c r="AI899" i="36"/>
  <c r="AH899" i="36"/>
  <c r="AG899" i="36"/>
  <c r="AI898" i="36"/>
  <c r="AJ898" i="36" s="1"/>
  <c r="AH898" i="36"/>
  <c r="AG898" i="36"/>
  <c r="AI897" i="36"/>
  <c r="AH897" i="36"/>
  <c r="AG897" i="36"/>
  <c r="AI896" i="36"/>
  <c r="AH896" i="36"/>
  <c r="AG896" i="36"/>
  <c r="AJ896" i="36" s="1"/>
  <c r="AJ895" i="36"/>
  <c r="AI895" i="36"/>
  <c r="AH895" i="36"/>
  <c r="AG895" i="36"/>
  <c r="AI894" i="36"/>
  <c r="AH894" i="36"/>
  <c r="AG894" i="36"/>
  <c r="AI893" i="36"/>
  <c r="AH893" i="36"/>
  <c r="AG893" i="36"/>
  <c r="AJ893" i="36" s="1"/>
  <c r="AI892" i="36"/>
  <c r="AJ892" i="36" s="1"/>
  <c r="AH892" i="36"/>
  <c r="AG892" i="36"/>
  <c r="AI891" i="36"/>
  <c r="AH891" i="36"/>
  <c r="AG891" i="36"/>
  <c r="AJ891" i="36" s="1"/>
  <c r="AI890" i="36"/>
  <c r="AH890" i="36"/>
  <c r="AG890" i="36"/>
  <c r="AJ890" i="36" s="1"/>
  <c r="AJ889" i="36"/>
  <c r="AI889" i="36"/>
  <c r="AH889" i="36"/>
  <c r="AG889" i="36"/>
  <c r="AI888" i="36"/>
  <c r="AH888" i="36"/>
  <c r="AG888" i="36"/>
  <c r="AJ887" i="36"/>
  <c r="AI887" i="36"/>
  <c r="AH887" i="36"/>
  <c r="AG887" i="36"/>
  <c r="AI886" i="36"/>
  <c r="AJ886" i="36" s="1"/>
  <c r="AH886" i="36"/>
  <c r="AG886" i="36"/>
  <c r="AI885" i="36"/>
  <c r="AH885" i="36"/>
  <c r="AG885" i="36"/>
  <c r="AJ885" i="36" s="1"/>
  <c r="AJ884" i="36"/>
  <c r="AI884" i="36"/>
  <c r="AH884" i="36"/>
  <c r="AG884" i="36"/>
  <c r="AI883" i="36"/>
  <c r="AJ883" i="36" s="1"/>
  <c r="AH883" i="36"/>
  <c r="AG883" i="36"/>
  <c r="AI882" i="36"/>
  <c r="AH882" i="36"/>
  <c r="AG882" i="36"/>
  <c r="AI881" i="36"/>
  <c r="AH881" i="36"/>
  <c r="AJ881" i="36" s="1"/>
  <c r="AG881" i="36"/>
  <c r="AI880" i="36"/>
  <c r="AJ880" i="36" s="1"/>
  <c r="AH880" i="36"/>
  <c r="AG880" i="36"/>
  <c r="AI879" i="36"/>
  <c r="AH879" i="36"/>
  <c r="AG879" i="36"/>
  <c r="AJ879" i="36" s="1"/>
  <c r="AI878" i="36"/>
  <c r="AH878" i="36"/>
  <c r="AG878" i="36"/>
  <c r="AJ878" i="36" s="1"/>
  <c r="AI877" i="36"/>
  <c r="AJ877" i="36" s="1"/>
  <c r="AH877" i="36"/>
  <c r="AG877" i="36"/>
  <c r="AI876" i="36"/>
  <c r="AH876" i="36"/>
  <c r="AG876" i="36"/>
  <c r="AJ876" i="36" s="1"/>
  <c r="AI875" i="36"/>
  <c r="AJ875" i="36" s="1"/>
  <c r="AH875" i="36"/>
  <c r="AG875" i="36"/>
  <c r="AJ874" i="36"/>
  <c r="AI874" i="36"/>
  <c r="AH874" i="36"/>
  <c r="AG874" i="36"/>
  <c r="AI873" i="36"/>
  <c r="AH873" i="36"/>
  <c r="AG873" i="36"/>
  <c r="AJ873" i="36" s="1"/>
  <c r="AJ872" i="36"/>
  <c r="AI872" i="36"/>
  <c r="AH872" i="36"/>
  <c r="AG872" i="36"/>
  <c r="AI871" i="36"/>
  <c r="AJ871" i="36" s="1"/>
  <c r="AH871" i="36"/>
  <c r="AG871" i="36"/>
  <c r="AI870" i="36"/>
  <c r="AH870" i="36"/>
  <c r="AG870" i="36"/>
  <c r="AJ870" i="36" s="1"/>
  <c r="AI869" i="36"/>
  <c r="AH869" i="36"/>
  <c r="AJ869" i="36" s="1"/>
  <c r="AG869" i="36"/>
  <c r="AI868" i="36"/>
  <c r="AJ868" i="36" s="1"/>
  <c r="AH868" i="36"/>
  <c r="AG868" i="36"/>
  <c r="AI867" i="36"/>
  <c r="AH867" i="36"/>
  <c r="AG867" i="36"/>
  <c r="AJ867" i="36" s="1"/>
  <c r="AI866" i="36"/>
  <c r="AJ866" i="36" s="1"/>
  <c r="AH866" i="36"/>
  <c r="AG866" i="36"/>
  <c r="AJ865" i="36"/>
  <c r="AI865" i="36"/>
  <c r="AH865" i="36"/>
  <c r="AG865" i="36"/>
  <c r="AI864" i="36"/>
  <c r="AH864" i="36"/>
  <c r="AG864" i="36"/>
  <c r="AJ864" i="36" s="1"/>
  <c r="AI863" i="36"/>
  <c r="AH863" i="36"/>
  <c r="AG863" i="36"/>
  <c r="AJ863" i="36" s="1"/>
  <c r="AI862" i="36"/>
  <c r="AJ862" i="36" s="1"/>
  <c r="AH862" i="36"/>
  <c r="AG862" i="36"/>
  <c r="AI861" i="36"/>
  <c r="AH861" i="36"/>
  <c r="AG861" i="36"/>
  <c r="AI860" i="36"/>
  <c r="AH860" i="36"/>
  <c r="AG860" i="36"/>
  <c r="AJ860" i="36" s="1"/>
  <c r="AI859" i="36"/>
  <c r="AJ859" i="36" s="1"/>
  <c r="AH859" i="36"/>
  <c r="AG859" i="36"/>
  <c r="AI858" i="36"/>
  <c r="AH858" i="36"/>
  <c r="AG858" i="36"/>
  <c r="AI857" i="36"/>
  <c r="AH857" i="36"/>
  <c r="AG857" i="36"/>
  <c r="AJ857" i="36" s="1"/>
  <c r="AI856" i="36"/>
  <c r="AJ856" i="36" s="1"/>
  <c r="AH856" i="36"/>
  <c r="AG856" i="36"/>
  <c r="AI855" i="36"/>
  <c r="AH855" i="36"/>
  <c r="AG855" i="36"/>
  <c r="AJ855" i="36" s="1"/>
  <c r="AI854" i="36"/>
  <c r="AH854" i="36"/>
  <c r="AG854" i="36"/>
  <c r="AJ854" i="36" s="1"/>
  <c r="AI853" i="36"/>
  <c r="AJ853" i="36" s="1"/>
  <c r="AH853" i="36"/>
  <c r="AG853" i="36"/>
  <c r="AI852" i="36"/>
  <c r="AH852" i="36"/>
  <c r="AG852" i="36"/>
  <c r="AJ851" i="36"/>
  <c r="AI851" i="36"/>
  <c r="AH851" i="36"/>
  <c r="AG851" i="36"/>
  <c r="AI850" i="36"/>
  <c r="AJ850" i="36" s="1"/>
  <c r="AH850" i="36"/>
  <c r="AG850" i="36"/>
  <c r="AI849" i="36"/>
  <c r="AH849" i="36"/>
  <c r="AG849" i="36"/>
  <c r="AJ849" i="36" s="1"/>
  <c r="AJ848" i="36"/>
  <c r="AI848" i="36"/>
  <c r="AH848" i="36"/>
  <c r="AG848" i="36"/>
  <c r="AI847" i="36"/>
  <c r="AJ847" i="36" s="1"/>
  <c r="AH847" i="36"/>
  <c r="AG847" i="36"/>
  <c r="AI846" i="36"/>
  <c r="AH846" i="36"/>
  <c r="AG846" i="36"/>
  <c r="AJ846" i="36" s="1"/>
  <c r="AI845" i="36"/>
  <c r="AH845" i="36"/>
  <c r="AJ845" i="36" s="1"/>
  <c r="AG845" i="36"/>
  <c r="AI844" i="36"/>
  <c r="AJ844" i="36" s="1"/>
  <c r="AH844" i="36"/>
  <c r="AG844" i="36"/>
  <c r="AI843" i="36"/>
  <c r="AH843" i="36"/>
  <c r="AG843" i="36"/>
  <c r="AJ843" i="36" s="1"/>
  <c r="AI842" i="36"/>
  <c r="AH842" i="36"/>
  <c r="AG842" i="36"/>
  <c r="AJ842" i="36" s="1"/>
  <c r="AI841" i="36"/>
  <c r="AJ841" i="36" s="1"/>
  <c r="AH841" i="36"/>
  <c r="AG841" i="36"/>
  <c r="AI840" i="36"/>
  <c r="AH840" i="36"/>
  <c r="AG840" i="36"/>
  <c r="AI839" i="36"/>
  <c r="AH839" i="36"/>
  <c r="AG839" i="36"/>
  <c r="AJ839" i="36" s="1"/>
  <c r="AJ838" i="36"/>
  <c r="AI838" i="36"/>
  <c r="AH838" i="36"/>
  <c r="AG838" i="36"/>
  <c r="AI837" i="36"/>
  <c r="AH837" i="36"/>
  <c r="AG837" i="36"/>
  <c r="AI836" i="36"/>
  <c r="AH836" i="36"/>
  <c r="AG836" i="36"/>
  <c r="AJ836" i="36" s="1"/>
  <c r="AI835" i="36"/>
  <c r="AJ835" i="36" s="1"/>
  <c r="AH835" i="36"/>
  <c r="AG835" i="36"/>
  <c r="AI834" i="36"/>
  <c r="AH834" i="36"/>
  <c r="AG834" i="36"/>
  <c r="AJ834" i="36" s="1"/>
  <c r="AI833" i="36"/>
  <c r="AH833" i="36"/>
  <c r="AG833" i="36"/>
  <c r="AJ833" i="36" s="1"/>
  <c r="AI832" i="36"/>
  <c r="AJ832" i="36" s="1"/>
  <c r="AH832" i="36"/>
  <c r="AG832" i="36"/>
  <c r="AI831" i="36"/>
  <c r="AH831" i="36"/>
  <c r="AG831" i="36"/>
  <c r="AJ831" i="36" s="1"/>
  <c r="AJ830" i="36"/>
  <c r="AI830" i="36"/>
  <c r="AH830" i="36"/>
  <c r="AG830" i="36"/>
  <c r="AI829" i="36"/>
  <c r="AJ829" i="36" s="1"/>
  <c r="AH829" i="36"/>
  <c r="AG829" i="36"/>
  <c r="AI828" i="36"/>
  <c r="AH828" i="36"/>
  <c r="AG828" i="36"/>
  <c r="AJ828" i="36" s="1"/>
  <c r="AI827" i="36"/>
  <c r="AH827" i="36"/>
  <c r="AG827" i="36"/>
  <c r="AI826" i="36"/>
  <c r="AH826" i="36"/>
  <c r="AG826" i="36"/>
  <c r="AJ826" i="36" s="1"/>
  <c r="AI825" i="36"/>
  <c r="AH825" i="36"/>
  <c r="AG825" i="36"/>
  <c r="AI824" i="36"/>
  <c r="AH824" i="36"/>
  <c r="AG824" i="36"/>
  <c r="AJ824" i="36" s="1"/>
  <c r="AJ823" i="36"/>
  <c r="AI823" i="36"/>
  <c r="AH823" i="36"/>
  <c r="AG823" i="36"/>
  <c r="AI822" i="36"/>
  <c r="AH822" i="36"/>
  <c r="AG822" i="36"/>
  <c r="AI821" i="36"/>
  <c r="AH821" i="36"/>
  <c r="AG821" i="36"/>
  <c r="AJ821" i="36" s="1"/>
  <c r="AI820" i="36"/>
  <c r="AH820" i="36"/>
  <c r="AJ820" i="36" s="1"/>
  <c r="AG820" i="36"/>
  <c r="AI819" i="36"/>
  <c r="AH819" i="36"/>
  <c r="AG819" i="36"/>
  <c r="AI818" i="36"/>
  <c r="AH818" i="36"/>
  <c r="AG818" i="36"/>
  <c r="AJ818" i="36" s="1"/>
  <c r="AI817" i="36"/>
  <c r="AH817" i="36"/>
  <c r="AG817" i="36"/>
  <c r="AJ817" i="36" s="1"/>
  <c r="AI816" i="36"/>
  <c r="AH816" i="36"/>
  <c r="AG816" i="36"/>
  <c r="AJ815" i="36"/>
  <c r="AI815" i="36"/>
  <c r="AH815" i="36"/>
  <c r="AG815" i="36"/>
  <c r="AI814" i="36"/>
  <c r="AH814" i="36"/>
  <c r="AG814" i="36"/>
  <c r="AJ814" i="36" s="1"/>
  <c r="AI813" i="36"/>
  <c r="AH813" i="36"/>
  <c r="AG813" i="36"/>
  <c r="AJ813" i="36" s="1"/>
  <c r="AI812" i="36"/>
  <c r="AJ812" i="36" s="1"/>
  <c r="AH812" i="36"/>
  <c r="AG812" i="36"/>
  <c r="AI811" i="36"/>
  <c r="AH811" i="36"/>
  <c r="AG811" i="36"/>
  <c r="AJ811" i="36" s="1"/>
  <c r="AI810" i="36"/>
  <c r="AH810" i="36"/>
  <c r="AG810" i="36"/>
  <c r="AJ810" i="36" s="1"/>
  <c r="AI809" i="36"/>
  <c r="AJ809" i="36" s="1"/>
  <c r="AH809" i="36"/>
  <c r="AG809" i="36"/>
  <c r="AI808" i="36"/>
  <c r="AH808" i="36"/>
  <c r="AG808" i="36"/>
  <c r="AJ808" i="36" s="1"/>
  <c r="AI807" i="36"/>
  <c r="AH807" i="36"/>
  <c r="AG807" i="36"/>
  <c r="AJ807" i="36" s="1"/>
  <c r="AI806" i="36"/>
  <c r="AH806" i="36"/>
  <c r="AG806" i="36"/>
  <c r="AJ806" i="36" s="1"/>
  <c r="AI805" i="36"/>
  <c r="AH805" i="36"/>
  <c r="AG805" i="36"/>
  <c r="AJ805" i="36" s="1"/>
  <c r="AI804" i="36"/>
  <c r="AH804" i="36"/>
  <c r="AG804" i="36"/>
  <c r="AJ804" i="36" s="1"/>
  <c r="AI803" i="36"/>
  <c r="AH803" i="36"/>
  <c r="AG803" i="36"/>
  <c r="AJ803" i="36" s="1"/>
  <c r="AJ802" i="36"/>
  <c r="AI802" i="36"/>
  <c r="AH802" i="36"/>
  <c r="AG802" i="36"/>
  <c r="AI801" i="36"/>
  <c r="AH801" i="36"/>
  <c r="AG801" i="36"/>
  <c r="AI800" i="36"/>
  <c r="AH800" i="36"/>
  <c r="AG800" i="36"/>
  <c r="AJ800" i="36" s="1"/>
  <c r="AI799" i="36"/>
  <c r="AJ799" i="36" s="1"/>
  <c r="AH799" i="36"/>
  <c r="AG799" i="36"/>
  <c r="AI798" i="36"/>
  <c r="AH798" i="36"/>
  <c r="AG798" i="36"/>
  <c r="AJ798" i="36" s="1"/>
  <c r="AI797" i="36"/>
  <c r="AH797" i="36"/>
  <c r="AG797" i="36"/>
  <c r="AJ797" i="36" s="1"/>
  <c r="AI796" i="36"/>
  <c r="AH796" i="36"/>
  <c r="AJ796" i="36" s="1"/>
  <c r="AG796" i="36"/>
  <c r="AI795" i="36"/>
  <c r="AH795" i="36"/>
  <c r="AG795" i="36"/>
  <c r="AJ795" i="36" s="1"/>
  <c r="AI794" i="36"/>
  <c r="AH794" i="36"/>
  <c r="AG794" i="36"/>
  <c r="AJ794" i="36" s="1"/>
  <c r="AI793" i="36"/>
  <c r="AH793" i="36"/>
  <c r="AG793" i="36"/>
  <c r="AJ793" i="36" s="1"/>
  <c r="AI792" i="36"/>
  <c r="AH792" i="36"/>
  <c r="AG792" i="36"/>
  <c r="AJ792" i="36" s="1"/>
  <c r="AI791" i="36"/>
  <c r="AH791" i="36"/>
  <c r="AG791" i="36"/>
  <c r="AI790" i="36"/>
  <c r="AH790" i="36"/>
  <c r="AG790" i="36"/>
  <c r="AJ790" i="36" s="1"/>
  <c r="AI789" i="36"/>
  <c r="AH789" i="36"/>
  <c r="AG789" i="36"/>
  <c r="AI788" i="36"/>
  <c r="AH788" i="36"/>
  <c r="AG788" i="36"/>
  <c r="AJ788" i="36" s="1"/>
  <c r="AI787" i="36"/>
  <c r="AH787" i="36"/>
  <c r="AG787" i="36"/>
  <c r="AJ787" i="36" s="1"/>
  <c r="AI786" i="36"/>
  <c r="AH786" i="36"/>
  <c r="AG786" i="36"/>
  <c r="AI785" i="36"/>
  <c r="AH785" i="36"/>
  <c r="AG785" i="36"/>
  <c r="AJ785" i="36" s="1"/>
  <c r="AI784" i="36"/>
  <c r="AH784" i="36"/>
  <c r="AG784" i="36"/>
  <c r="AI783" i="36"/>
  <c r="AH783" i="36"/>
  <c r="AG783" i="36"/>
  <c r="AJ783" i="36" s="1"/>
  <c r="AI782" i="36"/>
  <c r="AH782" i="36"/>
  <c r="AG782" i="36"/>
  <c r="AJ782" i="36" s="1"/>
  <c r="AI781" i="36"/>
  <c r="AH781" i="36"/>
  <c r="AG781" i="36"/>
  <c r="AJ781" i="36" s="1"/>
  <c r="AI780" i="36"/>
  <c r="AH780" i="36"/>
  <c r="AG780" i="36"/>
  <c r="AJ779" i="36"/>
  <c r="AI779" i="36"/>
  <c r="AH779" i="36"/>
  <c r="AG779" i="36"/>
  <c r="AI778" i="36"/>
  <c r="AH778" i="36"/>
  <c r="AG778" i="36"/>
  <c r="AI777" i="36"/>
  <c r="AH777" i="36"/>
  <c r="AG777" i="36"/>
  <c r="AJ777" i="36" s="1"/>
  <c r="AJ776" i="36"/>
  <c r="AI776" i="36"/>
  <c r="AH776" i="36"/>
  <c r="AG776" i="36"/>
  <c r="AI775" i="36"/>
  <c r="AH775" i="36"/>
  <c r="AG775" i="36"/>
  <c r="AJ775" i="36" s="1"/>
  <c r="AI774" i="36"/>
  <c r="AH774" i="36"/>
  <c r="AG774" i="36"/>
  <c r="AI773" i="36"/>
  <c r="AJ773" i="36" s="1"/>
  <c r="AH773" i="36"/>
  <c r="AG773" i="36"/>
  <c r="AI772" i="36"/>
  <c r="AH772" i="36"/>
  <c r="AG772" i="36"/>
  <c r="AJ772" i="36" s="1"/>
  <c r="AI771" i="36"/>
  <c r="AH771" i="36"/>
  <c r="AG771" i="36"/>
  <c r="AJ771" i="36" s="1"/>
  <c r="AI770" i="36"/>
  <c r="AH770" i="36"/>
  <c r="AG770" i="36"/>
  <c r="AJ770" i="36" s="1"/>
  <c r="AI769" i="36"/>
  <c r="AH769" i="36"/>
  <c r="AG769" i="36"/>
  <c r="AJ769" i="36" s="1"/>
  <c r="AI768" i="36"/>
  <c r="AH768" i="36"/>
  <c r="AG768" i="36"/>
  <c r="AJ768" i="36" s="1"/>
  <c r="AI767" i="36"/>
  <c r="AJ767" i="36" s="1"/>
  <c r="AH767" i="36"/>
  <c r="AG767" i="36"/>
  <c r="AJ766" i="36"/>
  <c r="AI766" i="36"/>
  <c r="AH766" i="36"/>
  <c r="AG766" i="36"/>
  <c r="AI765" i="36"/>
  <c r="AH765" i="36"/>
  <c r="AG765" i="36"/>
  <c r="AJ765" i="36" s="1"/>
  <c r="AI764" i="36"/>
  <c r="AH764" i="36"/>
  <c r="AJ764" i="36" s="1"/>
  <c r="AG764" i="36"/>
  <c r="AI763" i="36"/>
  <c r="AJ763" i="36" s="1"/>
  <c r="AH763" i="36"/>
  <c r="AG763" i="36"/>
  <c r="AI762" i="36"/>
  <c r="AH762" i="36"/>
  <c r="AG762" i="36"/>
  <c r="AJ762" i="36" s="1"/>
  <c r="AI761" i="36"/>
  <c r="AH761" i="36"/>
  <c r="AG761" i="36"/>
  <c r="AJ761" i="36" s="1"/>
  <c r="AI760" i="36"/>
  <c r="AH760" i="36"/>
  <c r="AJ760" i="36" s="1"/>
  <c r="AG760" i="36"/>
  <c r="AI759" i="36"/>
  <c r="AH759" i="36"/>
  <c r="AG759" i="36"/>
  <c r="AJ759" i="36" s="1"/>
  <c r="AI758" i="36"/>
  <c r="AH758" i="36"/>
  <c r="AG758" i="36"/>
  <c r="AJ758" i="36" s="1"/>
  <c r="AI757" i="36"/>
  <c r="AH757" i="36"/>
  <c r="AG757" i="36"/>
  <c r="AJ757" i="36" s="1"/>
  <c r="AI756" i="36"/>
  <c r="AH756" i="36"/>
  <c r="AG756" i="36"/>
  <c r="AJ756" i="36" s="1"/>
  <c r="AI755" i="36"/>
  <c r="AH755" i="36"/>
  <c r="AG755" i="36"/>
  <c r="AI754" i="36"/>
  <c r="AH754" i="36"/>
  <c r="AJ754" i="36" s="1"/>
  <c r="AG754" i="36"/>
  <c r="AJ753" i="36"/>
  <c r="AI753" i="36"/>
  <c r="AH753" i="36"/>
  <c r="AG753" i="36"/>
  <c r="AI752" i="36"/>
  <c r="AH752" i="36"/>
  <c r="AG752" i="36"/>
  <c r="AI751" i="36"/>
  <c r="AH751" i="36"/>
  <c r="AG751" i="36"/>
  <c r="AJ751" i="36" s="1"/>
  <c r="AJ750" i="36"/>
  <c r="AI750" i="36"/>
  <c r="AH750" i="36"/>
  <c r="AG750" i="36"/>
  <c r="AI749" i="36"/>
  <c r="AH749" i="36"/>
  <c r="AG749" i="36"/>
  <c r="AJ749" i="36" s="1"/>
  <c r="AJ748" i="36"/>
  <c r="AI748" i="36"/>
  <c r="AH748" i="36"/>
  <c r="AG748" i="36"/>
  <c r="AJ747" i="36"/>
  <c r="AI747" i="36"/>
  <c r="AH747" i="36"/>
  <c r="AG747" i="36"/>
  <c r="AI746" i="36"/>
  <c r="AH746" i="36"/>
  <c r="AG746" i="36"/>
  <c r="AJ746" i="36" s="1"/>
  <c r="AI745" i="36"/>
  <c r="AJ745" i="36" s="1"/>
  <c r="AH745" i="36"/>
  <c r="AG745" i="36"/>
  <c r="AJ744" i="36"/>
  <c r="AI744" i="36"/>
  <c r="AH744" i="36"/>
  <c r="AG744" i="36"/>
  <c r="AI743" i="36"/>
  <c r="AH743" i="36"/>
  <c r="AG743" i="36"/>
  <c r="AJ743" i="36" s="1"/>
  <c r="AI742" i="36"/>
  <c r="AH742" i="36"/>
  <c r="AJ742" i="36" s="1"/>
  <c r="AG742" i="36"/>
  <c r="AJ741" i="36"/>
  <c r="AI741" i="36"/>
  <c r="AH741" i="36"/>
  <c r="AG741" i="36"/>
  <c r="AI740" i="36"/>
  <c r="AH740" i="36"/>
  <c r="AG740" i="36"/>
  <c r="AJ740" i="36" s="1"/>
  <c r="AI739" i="36"/>
  <c r="AH739" i="36"/>
  <c r="AG739" i="36"/>
  <c r="AJ739" i="36" s="1"/>
  <c r="AJ738" i="36"/>
  <c r="AI738" i="36"/>
  <c r="AH738" i="36"/>
  <c r="AG738" i="36"/>
  <c r="AI737" i="36"/>
  <c r="AH737" i="36"/>
  <c r="AG737" i="36"/>
  <c r="AJ737" i="36" s="1"/>
  <c r="AI736" i="36"/>
  <c r="AH736" i="36"/>
  <c r="AG736" i="36"/>
  <c r="AJ736" i="36" s="1"/>
  <c r="AJ735" i="36"/>
  <c r="AI735" i="36"/>
  <c r="AH735" i="36"/>
  <c r="AG735" i="36"/>
  <c r="AI734" i="36"/>
  <c r="AH734" i="36"/>
  <c r="AG734" i="36"/>
  <c r="AI733" i="36"/>
  <c r="AH733" i="36"/>
  <c r="AG733" i="36"/>
  <c r="AJ733" i="36" s="1"/>
  <c r="AJ732" i="36"/>
  <c r="AI732" i="36"/>
  <c r="AH732" i="36"/>
  <c r="AG732" i="36"/>
  <c r="AI731" i="36"/>
  <c r="AH731" i="36"/>
  <c r="AG731" i="36"/>
  <c r="AI730" i="36"/>
  <c r="AH730" i="36"/>
  <c r="AG730" i="36"/>
  <c r="AJ730" i="36" s="1"/>
  <c r="AJ729" i="36"/>
  <c r="AI729" i="36"/>
  <c r="AH729" i="36"/>
  <c r="AG729" i="36"/>
  <c r="AI728" i="36"/>
  <c r="AH728" i="36"/>
  <c r="AG728" i="36"/>
  <c r="AJ728" i="36" s="1"/>
  <c r="AI727" i="36"/>
  <c r="AH727" i="36"/>
  <c r="AG727" i="36"/>
  <c r="AJ727" i="36" s="1"/>
  <c r="AJ726" i="36"/>
  <c r="AI726" i="36"/>
  <c r="AH726" i="36"/>
  <c r="AG726" i="36"/>
  <c r="AI725" i="36"/>
  <c r="AH725" i="36"/>
  <c r="AG725" i="36"/>
  <c r="AI724" i="36"/>
  <c r="AH724" i="36"/>
  <c r="AG724" i="36"/>
  <c r="AJ724" i="36" s="1"/>
  <c r="AJ723" i="36"/>
  <c r="AI723" i="36"/>
  <c r="AH723" i="36"/>
  <c r="AG723" i="36"/>
  <c r="AI722" i="36"/>
  <c r="AH722" i="36"/>
  <c r="AG722" i="36"/>
  <c r="AJ722" i="36" s="1"/>
  <c r="AI721" i="36"/>
  <c r="AJ721" i="36" s="1"/>
  <c r="AH721" i="36"/>
  <c r="AG721" i="36"/>
  <c r="AJ720" i="36"/>
  <c r="AI720" i="36"/>
  <c r="AH720" i="36"/>
  <c r="AG720" i="36"/>
  <c r="AI719" i="36"/>
  <c r="AH719" i="36"/>
  <c r="AG719" i="36"/>
  <c r="AJ719" i="36" s="1"/>
  <c r="AJ718" i="36"/>
  <c r="AI718" i="36"/>
  <c r="AH718" i="36"/>
  <c r="AG718" i="36"/>
  <c r="AJ717" i="36"/>
  <c r="AI717" i="36"/>
  <c r="AH717" i="36"/>
  <c r="AG717" i="36"/>
  <c r="AI716" i="36"/>
  <c r="AH716" i="36"/>
  <c r="AG716" i="36"/>
  <c r="AJ716" i="36" s="1"/>
  <c r="AI715" i="36"/>
  <c r="AJ715" i="36" s="1"/>
  <c r="AH715" i="36"/>
  <c r="AG715" i="36"/>
  <c r="AJ714" i="36"/>
  <c r="AI714" i="36"/>
  <c r="AH714" i="36"/>
  <c r="AG714" i="36"/>
  <c r="AI713" i="36"/>
  <c r="AH713" i="36"/>
  <c r="AG713" i="36"/>
  <c r="AJ713" i="36" s="1"/>
  <c r="AI712" i="36"/>
  <c r="AH712" i="36"/>
  <c r="AJ712" i="36" s="1"/>
  <c r="AG712" i="36"/>
  <c r="AJ711" i="36"/>
  <c r="AI711" i="36"/>
  <c r="AH711" i="36"/>
  <c r="AG711" i="36"/>
  <c r="AI710" i="36"/>
  <c r="AH710" i="36"/>
  <c r="AG710" i="36"/>
  <c r="AJ710" i="36" s="1"/>
  <c r="AI709" i="36"/>
  <c r="AH709" i="36"/>
  <c r="AG709" i="36"/>
  <c r="AJ709" i="36" s="1"/>
  <c r="AJ708" i="36"/>
  <c r="AI708" i="36"/>
  <c r="AH708" i="36"/>
  <c r="AG708" i="36"/>
  <c r="AI707" i="36"/>
  <c r="AH707" i="36"/>
  <c r="AG707" i="36"/>
  <c r="AJ707" i="36" s="1"/>
  <c r="AI706" i="36"/>
  <c r="AH706" i="36"/>
  <c r="AG706" i="36"/>
  <c r="AJ706" i="36" s="1"/>
  <c r="AJ705" i="36"/>
  <c r="AI705" i="36"/>
  <c r="AH705" i="36"/>
  <c r="AG705" i="36"/>
  <c r="AI704" i="36"/>
  <c r="AH704" i="36"/>
  <c r="AG704" i="36"/>
  <c r="AJ704" i="36" s="1"/>
  <c r="AI703" i="36"/>
  <c r="AH703" i="36"/>
  <c r="AG703" i="36"/>
  <c r="AJ703" i="36" s="1"/>
  <c r="AJ702" i="36"/>
  <c r="AI702" i="36"/>
  <c r="AH702" i="36"/>
  <c r="AG702" i="36"/>
  <c r="AI701" i="36"/>
  <c r="AH701" i="36"/>
  <c r="AG701" i="36"/>
  <c r="AJ701" i="36" s="1"/>
  <c r="AI700" i="36"/>
  <c r="AH700" i="36"/>
  <c r="AG700" i="36"/>
  <c r="AJ700" i="36" s="1"/>
  <c r="AJ699" i="36"/>
  <c r="AI699" i="36"/>
  <c r="AH699" i="36"/>
  <c r="AG699" i="36"/>
  <c r="AI698" i="36"/>
  <c r="AH698" i="36"/>
  <c r="AG698" i="36"/>
  <c r="AI697" i="36"/>
  <c r="AH697" i="36"/>
  <c r="AG697" i="36"/>
  <c r="AJ697" i="36" s="1"/>
  <c r="AJ696" i="36"/>
  <c r="AI696" i="36"/>
  <c r="AH696" i="36"/>
  <c r="AG696" i="36"/>
  <c r="AI695" i="36"/>
  <c r="AH695" i="36"/>
  <c r="AG695" i="36"/>
  <c r="AI694" i="36"/>
  <c r="AH694" i="36"/>
  <c r="AG694" i="36"/>
  <c r="AJ694" i="36" s="1"/>
  <c r="AJ693" i="36"/>
  <c r="AI693" i="36"/>
  <c r="AH693" i="36"/>
  <c r="AG693" i="36"/>
  <c r="AI692" i="36"/>
  <c r="AH692" i="36"/>
  <c r="AG692" i="36"/>
  <c r="AI691" i="36"/>
  <c r="AH691" i="36"/>
  <c r="AG691" i="36"/>
  <c r="AJ691" i="36" s="1"/>
  <c r="AJ690" i="36"/>
  <c r="AI690" i="36"/>
  <c r="AH690" i="36"/>
  <c r="AG690" i="36"/>
  <c r="AI689" i="36"/>
  <c r="AH689" i="36"/>
  <c r="AG689" i="36"/>
  <c r="AJ689" i="36" s="1"/>
  <c r="AJ688" i="36"/>
  <c r="AI688" i="36"/>
  <c r="AH688" i="36"/>
  <c r="AG688" i="36"/>
  <c r="AJ687" i="36"/>
  <c r="AI687" i="36"/>
  <c r="AH687" i="36"/>
  <c r="AG687" i="36"/>
  <c r="AI686" i="36"/>
  <c r="AH686" i="36"/>
  <c r="AG686" i="36"/>
  <c r="AJ686" i="36" s="1"/>
  <c r="AI685" i="36"/>
  <c r="AJ685" i="36" s="1"/>
  <c r="AH685" i="36"/>
  <c r="AG685" i="36"/>
  <c r="AJ684" i="36"/>
  <c r="AI684" i="36"/>
  <c r="AH684" i="36"/>
  <c r="AG684" i="36"/>
  <c r="AI683" i="36"/>
  <c r="AH683" i="36"/>
  <c r="AG683" i="36"/>
  <c r="AJ683" i="36" s="1"/>
  <c r="AI682" i="36"/>
  <c r="AH682" i="36"/>
  <c r="AJ682" i="36" s="1"/>
  <c r="AG682" i="36"/>
  <c r="AJ681" i="36"/>
  <c r="AI681" i="36"/>
  <c r="AH681" i="36"/>
  <c r="AG681" i="36"/>
  <c r="AI680" i="36"/>
  <c r="AH680" i="36"/>
  <c r="AG680" i="36"/>
  <c r="AJ680" i="36" s="1"/>
  <c r="AI679" i="36"/>
  <c r="AH679" i="36"/>
  <c r="AG679" i="36"/>
  <c r="AJ679" i="36" s="1"/>
  <c r="AJ678" i="36"/>
  <c r="AI678" i="36"/>
  <c r="AH678" i="36"/>
  <c r="AG678" i="36"/>
  <c r="AI677" i="36"/>
  <c r="AH677" i="36"/>
  <c r="AG677" i="36"/>
  <c r="AJ677" i="36" s="1"/>
  <c r="AI676" i="36"/>
  <c r="AH676" i="36"/>
  <c r="AG676" i="36"/>
  <c r="AJ676" i="36" s="1"/>
  <c r="AJ675" i="36"/>
  <c r="AI675" i="36"/>
  <c r="AH675" i="36"/>
  <c r="AG675" i="36"/>
  <c r="AI674" i="36"/>
  <c r="AH674" i="36"/>
  <c r="AG674" i="36"/>
  <c r="AJ674" i="36" s="1"/>
  <c r="AI673" i="36"/>
  <c r="AH673" i="36"/>
  <c r="AG673" i="36"/>
  <c r="AJ673" i="36" s="1"/>
  <c r="AJ672" i="36"/>
  <c r="AI672" i="36"/>
  <c r="AH672" i="36"/>
  <c r="AG672" i="36"/>
  <c r="AI671" i="36"/>
  <c r="AH671" i="36"/>
  <c r="AG671" i="36"/>
  <c r="AJ671" i="36" s="1"/>
  <c r="AI670" i="36"/>
  <c r="AH670" i="36"/>
  <c r="AG670" i="36"/>
  <c r="AJ670" i="36" s="1"/>
  <c r="AJ669" i="36"/>
  <c r="AI669" i="36"/>
  <c r="AH669" i="36"/>
  <c r="AG669" i="36"/>
  <c r="AI668" i="36"/>
  <c r="AH668" i="36"/>
  <c r="AG668" i="36"/>
  <c r="AJ668" i="36" s="1"/>
  <c r="AI667" i="36"/>
  <c r="AH667" i="36"/>
  <c r="AG667" i="36"/>
  <c r="AJ667" i="36" s="1"/>
  <c r="AJ666" i="36"/>
  <c r="AI666" i="36"/>
  <c r="AH666" i="36"/>
  <c r="AG666" i="36"/>
  <c r="AI665" i="36"/>
  <c r="AH665" i="36"/>
  <c r="AG665" i="36"/>
  <c r="AJ665" i="36" s="1"/>
  <c r="AI664" i="36"/>
  <c r="AH664" i="36"/>
  <c r="AG664" i="36"/>
  <c r="AJ664" i="36" s="1"/>
  <c r="AJ663" i="36"/>
  <c r="AI663" i="36"/>
  <c r="AH663" i="36"/>
  <c r="AG663" i="36"/>
  <c r="AI662" i="36"/>
  <c r="AH662" i="36"/>
  <c r="AG662" i="36"/>
  <c r="AI661" i="36"/>
  <c r="AH661" i="36"/>
  <c r="AG661" i="36"/>
  <c r="AJ661" i="36" s="1"/>
  <c r="AJ660" i="36"/>
  <c r="AI660" i="36"/>
  <c r="AH660" i="36"/>
  <c r="AG660" i="36"/>
  <c r="AI659" i="36"/>
  <c r="AH659" i="36"/>
  <c r="AG659" i="36"/>
  <c r="AI658" i="36"/>
  <c r="AH658" i="36"/>
  <c r="AG658" i="36"/>
  <c r="AJ658" i="36" s="1"/>
  <c r="AJ657" i="36"/>
  <c r="AI657" i="36"/>
  <c r="AH657" i="36"/>
  <c r="AG657" i="36"/>
  <c r="AI656" i="36"/>
  <c r="AH656" i="36"/>
  <c r="AG656" i="36"/>
  <c r="AJ656" i="36" s="1"/>
  <c r="AI655" i="36"/>
  <c r="AH655" i="36"/>
  <c r="AG655" i="36"/>
  <c r="AJ655" i="36" s="1"/>
  <c r="AJ654" i="36"/>
  <c r="AI654" i="36"/>
  <c r="AH654" i="36"/>
  <c r="AG654" i="36"/>
  <c r="AI653" i="36"/>
  <c r="AH653" i="36"/>
  <c r="AG653" i="36"/>
  <c r="AJ653" i="36" s="1"/>
  <c r="AJ652" i="36"/>
  <c r="AI652" i="36"/>
  <c r="AH652" i="36"/>
  <c r="AG652" i="36"/>
  <c r="AJ651" i="36"/>
  <c r="AI651" i="36"/>
  <c r="AH651" i="36"/>
  <c r="AG651" i="36"/>
  <c r="AI650" i="36"/>
  <c r="AH650" i="36"/>
  <c r="AG650" i="36"/>
  <c r="AJ650" i="36" s="1"/>
  <c r="AI649" i="36"/>
  <c r="AJ649" i="36" s="1"/>
  <c r="AH649" i="36"/>
  <c r="AG649" i="36"/>
  <c r="AJ648" i="36"/>
  <c r="AI648" i="36"/>
  <c r="AH648" i="36"/>
  <c r="AG648" i="36"/>
  <c r="AI647" i="36"/>
  <c r="AH647" i="36"/>
  <c r="AG647" i="36"/>
  <c r="AJ647" i="36" s="1"/>
  <c r="AI646" i="36"/>
  <c r="AH646" i="36"/>
  <c r="AJ646" i="36" s="1"/>
  <c r="AG646" i="36"/>
  <c r="AJ645" i="36"/>
  <c r="AI645" i="36"/>
  <c r="AH645" i="36"/>
  <c r="AG645" i="36"/>
  <c r="AI644" i="36"/>
  <c r="AH644" i="36"/>
  <c r="AG644" i="36"/>
  <c r="AJ644" i="36" s="1"/>
  <c r="AI643" i="36"/>
  <c r="AH643" i="36"/>
  <c r="AG643" i="36"/>
  <c r="AJ643" i="36" s="1"/>
  <c r="AJ642" i="36"/>
  <c r="AI642" i="36"/>
  <c r="AH642" i="36"/>
  <c r="AG642" i="36"/>
  <c r="AI641" i="36"/>
  <c r="AH641" i="36"/>
  <c r="AG641" i="36"/>
  <c r="AJ641" i="36" s="1"/>
  <c r="AI640" i="36"/>
  <c r="AH640" i="36"/>
  <c r="AG640" i="36"/>
  <c r="AJ640" i="36" s="1"/>
  <c r="AJ639" i="36"/>
  <c r="AI639" i="36"/>
  <c r="AH639" i="36"/>
  <c r="AG639" i="36"/>
  <c r="AI638" i="36"/>
  <c r="AH638" i="36"/>
  <c r="AG638" i="36"/>
  <c r="AJ638" i="36" s="1"/>
  <c r="AI637" i="36"/>
  <c r="AH637" i="36"/>
  <c r="AG637" i="36"/>
  <c r="AJ637" i="36" s="1"/>
  <c r="AJ636" i="36"/>
  <c r="AI636" i="36"/>
  <c r="AH636" i="36"/>
  <c r="AG636" i="36"/>
  <c r="AI635" i="36"/>
  <c r="AH635" i="36"/>
  <c r="AG635" i="36"/>
  <c r="AJ635" i="36" s="1"/>
  <c r="AI634" i="36"/>
  <c r="AH634" i="36"/>
  <c r="AG634" i="36"/>
  <c r="AJ634" i="36" s="1"/>
  <c r="AJ633" i="36"/>
  <c r="AI633" i="36"/>
  <c r="AH633" i="36"/>
  <c r="AG633" i="36"/>
  <c r="AI632" i="36"/>
  <c r="AH632" i="36"/>
  <c r="AG632" i="36"/>
  <c r="AJ632" i="36" s="1"/>
  <c r="AI631" i="36"/>
  <c r="AH631" i="36"/>
  <c r="AG631" i="36"/>
  <c r="AJ631" i="36" s="1"/>
  <c r="AJ630" i="36"/>
  <c r="AI630" i="36"/>
  <c r="AH630" i="36"/>
  <c r="AG630" i="36"/>
  <c r="AI629" i="36"/>
  <c r="AH629" i="36"/>
  <c r="AG629" i="36"/>
  <c r="AJ629" i="36" s="1"/>
  <c r="AI628" i="36"/>
  <c r="AH628" i="36"/>
  <c r="AG628" i="36"/>
  <c r="AJ628" i="36" s="1"/>
  <c r="AJ627" i="36"/>
  <c r="AI627" i="36"/>
  <c r="AH627" i="36"/>
  <c r="AG627" i="36"/>
  <c r="AI626" i="36"/>
  <c r="AH626" i="36"/>
  <c r="AG626" i="36"/>
  <c r="AI625" i="36"/>
  <c r="AH625" i="36"/>
  <c r="AG625" i="36"/>
  <c r="AJ624" i="36"/>
  <c r="AI624" i="36"/>
  <c r="AH624" i="36"/>
  <c r="AG624" i="36"/>
  <c r="AI623" i="36"/>
  <c r="AH623" i="36"/>
  <c r="AG623" i="36"/>
  <c r="AI622" i="36"/>
  <c r="AH622" i="36"/>
  <c r="AG622" i="36"/>
  <c r="AJ622" i="36" s="1"/>
  <c r="AJ621" i="36"/>
  <c r="AI621" i="36"/>
  <c r="AH621" i="36"/>
  <c r="AG621" i="36"/>
  <c r="AI620" i="36"/>
  <c r="AH620" i="36"/>
  <c r="AG620" i="36"/>
  <c r="AJ620" i="36" s="1"/>
  <c r="AI619" i="36"/>
  <c r="AH619" i="36"/>
  <c r="AG619" i="36"/>
  <c r="AJ619" i="36" s="1"/>
  <c r="AJ618" i="36"/>
  <c r="AI618" i="36"/>
  <c r="AH618" i="36"/>
  <c r="AG618" i="36"/>
  <c r="AI617" i="36"/>
  <c r="AH617" i="36"/>
  <c r="AG617" i="36"/>
  <c r="AJ617" i="36" s="1"/>
  <c r="AI616" i="36"/>
  <c r="AH616" i="36"/>
  <c r="AG616" i="36"/>
  <c r="AJ616" i="36" s="1"/>
  <c r="AJ615" i="36"/>
  <c r="AI615" i="36"/>
  <c r="AH615" i="36"/>
  <c r="AG615" i="36"/>
  <c r="AI614" i="36"/>
  <c r="AH614" i="36"/>
  <c r="AG614" i="36"/>
  <c r="AJ614" i="36" s="1"/>
  <c r="AI613" i="36"/>
  <c r="AJ613" i="36" s="1"/>
  <c r="AH613" i="36"/>
  <c r="AG613" i="36"/>
  <c r="AJ612" i="36"/>
  <c r="AI612" i="36"/>
  <c r="AH612" i="36"/>
  <c r="AG612" i="36"/>
  <c r="AI611" i="36"/>
  <c r="AH611" i="36"/>
  <c r="AG611" i="36"/>
  <c r="AJ611" i="36" s="1"/>
  <c r="AI610" i="36"/>
  <c r="AH610" i="36"/>
  <c r="AJ610" i="36" s="1"/>
  <c r="AG610" i="36"/>
  <c r="AJ609" i="36"/>
  <c r="AI609" i="36"/>
  <c r="AH609" i="36"/>
  <c r="AG609" i="36"/>
  <c r="AI608" i="36"/>
  <c r="AH608" i="36"/>
  <c r="AG608" i="36"/>
  <c r="AI607" i="36"/>
  <c r="AH607" i="36"/>
  <c r="AG607" i="36"/>
  <c r="AJ607" i="36" s="1"/>
  <c r="AJ606" i="36"/>
  <c r="AI606" i="36"/>
  <c r="AH606" i="36"/>
  <c r="AG606" i="36"/>
  <c r="AI605" i="36"/>
  <c r="AH605" i="36"/>
  <c r="AG605" i="36"/>
  <c r="AI604" i="36"/>
  <c r="AH604" i="36"/>
  <c r="AG604" i="36"/>
  <c r="AJ604" i="36" s="1"/>
  <c r="AJ603" i="36"/>
  <c r="AI603" i="36"/>
  <c r="AH603" i="36"/>
  <c r="AG603" i="36"/>
  <c r="AI602" i="36"/>
  <c r="AH602" i="36"/>
  <c r="AG602" i="36"/>
  <c r="AJ602" i="36" s="1"/>
  <c r="AI601" i="36"/>
  <c r="AH601" i="36"/>
  <c r="AG601" i="36"/>
  <c r="AJ601" i="36" s="1"/>
  <c r="AJ600" i="36"/>
  <c r="AI600" i="36"/>
  <c r="AH600" i="36"/>
  <c r="AG600" i="36"/>
  <c r="AI599" i="36"/>
  <c r="AH599" i="36"/>
  <c r="AG599" i="36"/>
  <c r="AJ598" i="36"/>
  <c r="AI598" i="36"/>
  <c r="AH598" i="36"/>
  <c r="AG598" i="36"/>
  <c r="AJ597" i="36"/>
  <c r="AI597" i="36"/>
  <c r="AH597" i="36"/>
  <c r="AG597" i="36"/>
  <c r="AI596" i="36"/>
  <c r="AH596" i="36"/>
  <c r="AG596" i="36"/>
  <c r="AJ596" i="36" s="1"/>
  <c r="AI595" i="36"/>
  <c r="AH595" i="36"/>
  <c r="AG595" i="36"/>
  <c r="AJ594" i="36"/>
  <c r="AI594" i="36"/>
  <c r="AH594" i="36"/>
  <c r="AG594" i="36"/>
  <c r="AI593" i="36"/>
  <c r="AH593" i="36"/>
  <c r="AG593" i="36"/>
  <c r="AJ593" i="36" s="1"/>
  <c r="AI592" i="36"/>
  <c r="AH592" i="36"/>
  <c r="AG592" i="36"/>
  <c r="AJ592" i="36" s="1"/>
  <c r="AJ591" i="36"/>
  <c r="AI591" i="36"/>
  <c r="AH591" i="36"/>
  <c r="AG591" i="36"/>
  <c r="AI590" i="36"/>
  <c r="AH590" i="36"/>
  <c r="AG590" i="36"/>
  <c r="AI589" i="36"/>
  <c r="AH589" i="36"/>
  <c r="AG589" i="36"/>
  <c r="AJ589" i="36" s="1"/>
  <c r="AJ588" i="36"/>
  <c r="AI588" i="36"/>
  <c r="AH588" i="36"/>
  <c r="AG588" i="36"/>
  <c r="AI587" i="36"/>
  <c r="AH587" i="36"/>
  <c r="AG587" i="36"/>
  <c r="AI586" i="36"/>
  <c r="AH586" i="36"/>
  <c r="AG586" i="36"/>
  <c r="AJ586" i="36" s="1"/>
  <c r="AJ585" i="36"/>
  <c r="AI585" i="36"/>
  <c r="AH585" i="36"/>
  <c r="AG585" i="36"/>
  <c r="AI584" i="36"/>
  <c r="AH584" i="36"/>
  <c r="AG584" i="36"/>
  <c r="AJ584" i="36" s="1"/>
  <c r="AI583" i="36"/>
  <c r="AH583" i="36"/>
  <c r="AG583" i="36"/>
  <c r="AJ583" i="36" s="1"/>
  <c r="AJ582" i="36"/>
  <c r="AI582" i="36"/>
  <c r="AH582" i="36"/>
  <c r="AG582" i="36"/>
  <c r="AI581" i="36"/>
  <c r="AH581" i="36"/>
  <c r="AG581" i="36"/>
  <c r="AI580" i="36"/>
  <c r="AH580" i="36"/>
  <c r="AG580" i="36"/>
  <c r="AJ580" i="36" s="1"/>
  <c r="AJ579" i="36"/>
  <c r="AI579" i="36"/>
  <c r="AH579" i="36"/>
  <c r="AG579" i="36"/>
  <c r="AI578" i="36"/>
  <c r="AH578" i="36"/>
  <c r="AG578" i="36"/>
  <c r="AI577" i="36"/>
  <c r="AJ577" i="36" s="1"/>
  <c r="AH577" i="36"/>
  <c r="AG577" i="36"/>
  <c r="AJ576" i="36"/>
  <c r="AI576" i="36"/>
  <c r="AH576" i="36"/>
  <c r="AG576" i="36"/>
  <c r="AI575" i="36"/>
  <c r="AH575" i="36"/>
  <c r="AG575" i="36"/>
  <c r="AJ575" i="36" s="1"/>
  <c r="AI574" i="36"/>
  <c r="AH574" i="36"/>
  <c r="AJ574" i="36" s="1"/>
  <c r="AG574" i="36"/>
  <c r="AJ573" i="36"/>
  <c r="AI573" i="36"/>
  <c r="AH573" i="36"/>
  <c r="AG573" i="36"/>
  <c r="AI572" i="36"/>
  <c r="AH572" i="36"/>
  <c r="AG572" i="36"/>
  <c r="AJ572" i="36" s="1"/>
  <c r="AJ571" i="36"/>
  <c r="AI571" i="36"/>
  <c r="AH571" i="36"/>
  <c r="AG571" i="36"/>
  <c r="AJ570" i="36"/>
  <c r="AI570" i="36"/>
  <c r="AH570" i="36"/>
  <c r="AG570" i="36"/>
  <c r="AI569" i="36"/>
  <c r="AH569" i="36"/>
  <c r="AG569" i="36"/>
  <c r="AI568" i="36"/>
  <c r="AJ568" i="36" s="1"/>
  <c r="AH568" i="36"/>
  <c r="AG568" i="36"/>
  <c r="AJ567" i="36"/>
  <c r="AI567" i="36"/>
  <c r="AH567" i="36"/>
  <c r="AG567" i="36"/>
  <c r="AI566" i="36"/>
  <c r="AH566" i="36"/>
  <c r="AG566" i="36"/>
  <c r="AJ566" i="36" s="1"/>
  <c r="AI565" i="36"/>
  <c r="AH565" i="36"/>
  <c r="AG565" i="36"/>
  <c r="AJ565" i="36" s="1"/>
  <c r="AJ564" i="36"/>
  <c r="AI564" i="36"/>
  <c r="AH564" i="36"/>
  <c r="AG564" i="36"/>
  <c r="AI563" i="36"/>
  <c r="AH563" i="36"/>
  <c r="AG563" i="36"/>
  <c r="AJ563" i="36" s="1"/>
  <c r="AI562" i="36"/>
  <c r="AH562" i="36"/>
  <c r="AG562" i="36"/>
  <c r="AJ562" i="36" s="1"/>
  <c r="AJ561" i="36"/>
  <c r="AI561" i="36"/>
  <c r="AH561" i="36"/>
  <c r="AG561" i="36"/>
  <c r="AI560" i="36"/>
  <c r="AH560" i="36"/>
  <c r="AG560" i="36"/>
  <c r="AJ560" i="36" s="1"/>
  <c r="AI559" i="36"/>
  <c r="AH559" i="36"/>
  <c r="AG559" i="36"/>
  <c r="AJ559" i="36" s="1"/>
  <c r="AJ558" i="36"/>
  <c r="AI558" i="36"/>
  <c r="AH558" i="36"/>
  <c r="AG558" i="36"/>
  <c r="AI557" i="36"/>
  <c r="AH557" i="36"/>
  <c r="AG557" i="36"/>
  <c r="AJ557" i="36" s="1"/>
  <c r="AI556" i="36"/>
  <c r="AH556" i="36"/>
  <c r="AJ556" i="36" s="1"/>
  <c r="AG556" i="36"/>
  <c r="AJ555" i="36"/>
  <c r="AI555" i="36"/>
  <c r="AH555" i="36"/>
  <c r="AG555" i="36"/>
  <c r="AI554" i="36"/>
  <c r="AH554" i="36"/>
  <c r="AG554" i="36"/>
  <c r="AI553" i="36"/>
  <c r="AH553" i="36"/>
  <c r="AG553" i="36"/>
  <c r="AJ553" i="36" s="1"/>
  <c r="AJ552" i="36"/>
  <c r="AI552" i="36"/>
  <c r="AH552" i="36"/>
  <c r="AG552" i="36"/>
  <c r="AI551" i="36"/>
  <c r="AH551" i="36"/>
  <c r="AG551" i="36"/>
  <c r="AI550" i="36"/>
  <c r="AH550" i="36"/>
  <c r="AG550" i="36"/>
  <c r="AJ550" i="36" s="1"/>
  <c r="AJ549" i="36"/>
  <c r="AI549" i="36"/>
  <c r="AH549" i="36"/>
  <c r="AG549" i="36"/>
  <c r="AI548" i="36"/>
  <c r="AH548" i="36"/>
  <c r="AG548" i="36"/>
  <c r="AI547" i="36"/>
  <c r="AH547" i="36"/>
  <c r="AG547" i="36"/>
  <c r="AJ547" i="36" s="1"/>
  <c r="AJ546" i="36"/>
  <c r="AI546" i="36"/>
  <c r="AH546" i="36"/>
  <c r="AG546" i="36"/>
  <c r="AI545" i="36"/>
  <c r="AH545" i="36"/>
  <c r="AG545" i="36"/>
  <c r="AJ545" i="36" s="1"/>
  <c r="AJ544" i="36"/>
  <c r="AI544" i="36"/>
  <c r="AH544" i="36"/>
  <c r="AG544" i="36"/>
  <c r="AJ543" i="36"/>
  <c r="AI543" i="36"/>
  <c r="AH543" i="36"/>
  <c r="AG543" i="36"/>
  <c r="AI542" i="36"/>
  <c r="AH542" i="36"/>
  <c r="AG542" i="36"/>
  <c r="AJ542" i="36" s="1"/>
  <c r="AI541" i="36"/>
  <c r="AJ541" i="36" s="1"/>
  <c r="AH541" i="36"/>
  <c r="AG541" i="36"/>
  <c r="AJ540" i="36"/>
  <c r="AI540" i="36"/>
  <c r="AH540" i="36"/>
  <c r="AG540" i="36"/>
  <c r="AI539" i="36"/>
  <c r="AH539" i="36"/>
  <c r="AG539" i="36"/>
  <c r="AI538" i="36"/>
  <c r="AH538" i="36"/>
  <c r="AJ538" i="36" s="1"/>
  <c r="AG538" i="36"/>
  <c r="AJ537" i="36"/>
  <c r="AI537" i="36"/>
  <c r="AH537" i="36"/>
  <c r="AG537" i="36"/>
  <c r="AI536" i="36"/>
  <c r="AH536" i="36"/>
  <c r="AG536" i="36"/>
  <c r="AJ536" i="36" s="1"/>
  <c r="AI535" i="36"/>
  <c r="AH535" i="36"/>
  <c r="AG535" i="36"/>
  <c r="AJ535" i="36" s="1"/>
  <c r="AJ534" i="36"/>
  <c r="AI534" i="36"/>
  <c r="AH534" i="36"/>
  <c r="AG534" i="36"/>
  <c r="AI533" i="36"/>
  <c r="AH533" i="36"/>
  <c r="AG533" i="36"/>
  <c r="AJ533" i="36" s="1"/>
  <c r="AI532" i="36"/>
  <c r="AH532" i="36"/>
  <c r="AG532" i="36"/>
  <c r="AJ532" i="36" s="1"/>
  <c r="AJ531" i="36"/>
  <c r="AI531" i="36"/>
  <c r="AH531" i="36"/>
  <c r="AG531" i="36"/>
  <c r="AI530" i="36"/>
  <c r="AH530" i="36"/>
  <c r="AG530" i="36"/>
  <c r="AJ530" i="36" s="1"/>
  <c r="AI529" i="36"/>
  <c r="AH529" i="36"/>
  <c r="AG529" i="36"/>
  <c r="AJ529" i="36" s="1"/>
  <c r="AJ528" i="36"/>
  <c r="AI528" i="36"/>
  <c r="AH528" i="36"/>
  <c r="AG528" i="36"/>
  <c r="AI527" i="36"/>
  <c r="AH527" i="36"/>
  <c r="AG527" i="36"/>
  <c r="AJ527" i="36" s="1"/>
  <c r="AI526" i="36"/>
  <c r="AH526" i="36"/>
  <c r="AJ526" i="36" s="1"/>
  <c r="AG526" i="36"/>
  <c r="AJ525" i="36"/>
  <c r="AI525" i="36"/>
  <c r="AH525" i="36"/>
  <c r="AG525" i="36"/>
  <c r="AI524" i="36"/>
  <c r="AH524" i="36"/>
  <c r="AG524" i="36"/>
  <c r="AJ524" i="36" s="1"/>
  <c r="AI523" i="36"/>
  <c r="AH523" i="36"/>
  <c r="AG523" i="36"/>
  <c r="AJ523" i="36" s="1"/>
  <c r="AJ522" i="36"/>
  <c r="AI522" i="36"/>
  <c r="AH522" i="36"/>
  <c r="AG522" i="36"/>
  <c r="AI521" i="36"/>
  <c r="AH521" i="36"/>
  <c r="AG521" i="36"/>
  <c r="AJ521" i="36" s="1"/>
  <c r="AI520" i="36"/>
  <c r="AH520" i="36"/>
  <c r="AG520" i="36"/>
  <c r="AJ520" i="36" s="1"/>
  <c r="AJ519" i="36"/>
  <c r="AI519" i="36"/>
  <c r="AH519" i="36"/>
  <c r="AG519" i="36"/>
  <c r="AI518" i="36"/>
  <c r="AH518" i="36"/>
  <c r="AG518" i="36"/>
  <c r="AI517" i="36"/>
  <c r="AH517" i="36"/>
  <c r="AG517" i="36"/>
  <c r="AJ517" i="36" s="1"/>
  <c r="AJ516" i="36"/>
  <c r="AI516" i="36"/>
  <c r="AH516" i="36"/>
  <c r="AG516" i="36"/>
  <c r="AI515" i="36"/>
  <c r="AH515" i="36"/>
  <c r="AG515" i="36"/>
  <c r="AI514" i="36"/>
  <c r="AH514" i="36"/>
  <c r="AG514" i="36"/>
  <c r="AJ514" i="36" s="1"/>
  <c r="AJ513" i="36"/>
  <c r="AI513" i="36"/>
  <c r="AH513" i="36"/>
  <c r="AG513" i="36"/>
  <c r="AI512" i="36"/>
  <c r="AH512" i="36"/>
  <c r="AG512" i="36"/>
  <c r="AJ512" i="36" s="1"/>
  <c r="AI511" i="36"/>
  <c r="AH511" i="36"/>
  <c r="AG511" i="36"/>
  <c r="AJ510" i="36"/>
  <c r="AI510" i="36"/>
  <c r="AH510" i="36"/>
  <c r="AG510" i="36"/>
  <c r="AI509" i="36"/>
  <c r="AH509" i="36"/>
  <c r="AG509" i="36"/>
  <c r="AI508" i="36"/>
  <c r="AH508" i="36"/>
  <c r="AG508" i="36"/>
  <c r="AJ508" i="36" s="1"/>
  <c r="AJ507" i="36"/>
  <c r="AI507" i="36"/>
  <c r="AH507" i="36"/>
  <c r="AG507" i="36"/>
  <c r="AI506" i="36"/>
  <c r="AH506" i="36"/>
  <c r="AG506" i="36"/>
  <c r="AJ506" i="36" s="1"/>
  <c r="AI505" i="36"/>
  <c r="AJ505" i="36" s="1"/>
  <c r="AH505" i="36"/>
  <c r="AG505" i="36"/>
  <c r="AJ504" i="36"/>
  <c r="AI504" i="36"/>
  <c r="AH504" i="36"/>
  <c r="AG504" i="36"/>
  <c r="AI503" i="36"/>
  <c r="AH503" i="36"/>
  <c r="AG503" i="36"/>
  <c r="AJ503" i="36" s="1"/>
  <c r="AI502" i="36"/>
  <c r="AH502" i="36"/>
  <c r="AJ502" i="36" s="1"/>
  <c r="AG502" i="36"/>
  <c r="AJ501" i="36"/>
  <c r="AI501" i="36"/>
  <c r="AH501" i="36"/>
  <c r="AG501" i="36"/>
  <c r="AI500" i="36"/>
  <c r="AH500" i="36"/>
  <c r="AG500" i="36"/>
  <c r="AJ500" i="36" s="1"/>
  <c r="AI499" i="36"/>
  <c r="AH499" i="36"/>
  <c r="AG499" i="36"/>
  <c r="AJ499" i="36" s="1"/>
  <c r="AJ498" i="36"/>
  <c r="AI498" i="36"/>
  <c r="AH498" i="36"/>
  <c r="AG498" i="36"/>
  <c r="AI497" i="36"/>
  <c r="AH497" i="36"/>
  <c r="AG497" i="36"/>
  <c r="AJ497" i="36" s="1"/>
  <c r="AI496" i="36"/>
  <c r="AH496" i="36"/>
  <c r="AJ496" i="36" s="1"/>
  <c r="AG496" i="36"/>
  <c r="AJ495" i="36"/>
  <c r="AI495" i="36"/>
  <c r="AH495" i="36"/>
  <c r="AG495" i="36"/>
  <c r="AI494" i="36"/>
  <c r="AH494" i="36"/>
  <c r="AG494" i="36"/>
  <c r="AI493" i="36"/>
  <c r="AH493" i="36"/>
  <c r="AG493" i="36"/>
  <c r="AJ493" i="36" s="1"/>
  <c r="AJ492" i="36"/>
  <c r="AI492" i="36"/>
  <c r="AH492" i="36"/>
  <c r="AG492" i="36"/>
  <c r="AI491" i="36"/>
  <c r="AH491" i="36"/>
  <c r="AG491" i="36"/>
  <c r="AI490" i="36"/>
  <c r="AH490" i="36"/>
  <c r="AG490" i="36"/>
  <c r="AJ490" i="36" s="1"/>
  <c r="AJ489" i="36"/>
  <c r="AI489" i="36"/>
  <c r="AH489" i="36"/>
  <c r="AG489" i="36"/>
  <c r="AI488" i="36"/>
  <c r="AH488" i="36"/>
  <c r="AG488" i="36"/>
  <c r="AJ488" i="36" s="1"/>
  <c r="AI487" i="36"/>
  <c r="AH487" i="36"/>
  <c r="AG487" i="36"/>
  <c r="AJ487" i="36" s="1"/>
  <c r="AJ486" i="36"/>
  <c r="AI486" i="36"/>
  <c r="AH486" i="36"/>
  <c r="AG486" i="36"/>
  <c r="AI485" i="36"/>
  <c r="AH485" i="36"/>
  <c r="AG485" i="36"/>
  <c r="AJ485" i="36" s="1"/>
  <c r="AJ484" i="36"/>
  <c r="AI484" i="36"/>
  <c r="AH484" i="36"/>
  <c r="AG484" i="36"/>
  <c r="AJ483" i="36"/>
  <c r="AI483" i="36"/>
  <c r="AH483" i="36"/>
  <c r="AG483" i="36"/>
  <c r="AI482" i="36"/>
  <c r="AH482" i="36"/>
  <c r="AG482" i="36"/>
  <c r="AI481" i="36"/>
  <c r="AJ481" i="36" s="1"/>
  <c r="AH481" i="36"/>
  <c r="AG481" i="36"/>
  <c r="AJ480" i="36"/>
  <c r="AI480" i="36"/>
  <c r="AH480" i="36"/>
  <c r="AG480" i="36"/>
  <c r="AI479" i="36"/>
  <c r="AH479" i="36"/>
  <c r="AG479" i="36"/>
  <c r="AI478" i="36"/>
  <c r="AH478" i="36"/>
  <c r="AG478" i="36"/>
  <c r="AJ478" i="36" s="1"/>
  <c r="AJ477" i="36"/>
  <c r="AI477" i="36"/>
  <c r="AH477" i="36"/>
  <c r="AG477" i="36"/>
  <c r="AI476" i="36"/>
  <c r="AJ476" i="36" s="1"/>
  <c r="AH476" i="36"/>
  <c r="AG476" i="36"/>
  <c r="AI475" i="36"/>
  <c r="AH475" i="36"/>
  <c r="AG475" i="36"/>
  <c r="AJ475" i="36" s="1"/>
  <c r="AJ474" i="36"/>
  <c r="AI474" i="36"/>
  <c r="AH474" i="36"/>
  <c r="AG474" i="36"/>
  <c r="AI473" i="36"/>
  <c r="AH473" i="36"/>
  <c r="AJ473" i="36" s="1"/>
  <c r="AG473" i="36"/>
  <c r="AI472" i="36"/>
  <c r="AH472" i="36"/>
  <c r="AG472" i="36"/>
  <c r="AJ472" i="36" s="1"/>
  <c r="AJ471" i="36"/>
  <c r="AI471" i="36"/>
  <c r="AH471" i="36"/>
  <c r="AG471" i="36"/>
  <c r="AI470" i="36"/>
  <c r="AH470" i="36"/>
  <c r="AJ470" i="36" s="1"/>
  <c r="AG470" i="36"/>
  <c r="AI469" i="36"/>
  <c r="AH469" i="36"/>
  <c r="AG469" i="36"/>
  <c r="AJ469" i="36" s="1"/>
  <c r="AJ468" i="36"/>
  <c r="AI468" i="36"/>
  <c r="AH468" i="36"/>
  <c r="AG468" i="36"/>
  <c r="AI467" i="36"/>
  <c r="AH467" i="36"/>
  <c r="AJ467" i="36" s="1"/>
  <c r="AG467" i="36"/>
  <c r="AI466" i="36"/>
  <c r="AH466" i="36"/>
  <c r="AG466" i="36"/>
  <c r="AJ466" i="36" s="1"/>
  <c r="AJ465" i="36"/>
  <c r="AI465" i="36"/>
  <c r="AH465" i="36"/>
  <c r="AG465" i="36"/>
  <c r="AI464" i="36"/>
  <c r="AH464" i="36"/>
  <c r="AJ464" i="36" s="1"/>
  <c r="AG464" i="36"/>
  <c r="AI463" i="36"/>
  <c r="AH463" i="36"/>
  <c r="AG463" i="36"/>
  <c r="AJ462" i="36"/>
  <c r="AI462" i="36"/>
  <c r="AH462" i="36"/>
  <c r="AG462" i="36"/>
  <c r="AJ461" i="36"/>
  <c r="AI461" i="36"/>
  <c r="AH461" i="36"/>
  <c r="AG461" i="36"/>
  <c r="AI460" i="36"/>
  <c r="AH460" i="36"/>
  <c r="AG460" i="36"/>
  <c r="AJ460" i="36" s="1"/>
  <c r="AJ459" i="36"/>
  <c r="AI459" i="36"/>
  <c r="AH459" i="36"/>
  <c r="AG459" i="36"/>
  <c r="AI458" i="36"/>
  <c r="AJ458" i="36" s="1"/>
  <c r="AH458" i="36"/>
  <c r="AG458" i="36"/>
  <c r="AI457" i="36"/>
  <c r="AH457" i="36"/>
  <c r="AG457" i="36"/>
  <c r="AJ457" i="36" s="1"/>
  <c r="AJ456" i="36"/>
  <c r="AI456" i="36"/>
  <c r="AH456" i="36"/>
  <c r="AG456" i="36"/>
  <c r="AI455" i="36"/>
  <c r="AH455" i="36"/>
  <c r="AJ455" i="36" s="1"/>
  <c r="AG455" i="36"/>
  <c r="AI454" i="36"/>
  <c r="AH454" i="36"/>
  <c r="AG454" i="36"/>
  <c r="AJ454" i="36" s="1"/>
  <c r="AJ453" i="36"/>
  <c r="AI453" i="36"/>
  <c r="AH453" i="36"/>
  <c r="AG453" i="36"/>
  <c r="AI452" i="36"/>
  <c r="AH452" i="36"/>
  <c r="AJ452" i="36" s="1"/>
  <c r="AG452" i="36"/>
  <c r="AI451" i="36"/>
  <c r="AH451" i="36"/>
  <c r="AG451" i="36"/>
  <c r="AJ451" i="36" s="1"/>
  <c r="AJ450" i="36"/>
  <c r="AI450" i="36"/>
  <c r="AH450" i="36"/>
  <c r="AG450" i="36"/>
  <c r="AI449" i="36"/>
  <c r="AH449" i="36"/>
  <c r="AJ449" i="36" s="1"/>
  <c r="AG449" i="36"/>
  <c r="AI448" i="36"/>
  <c r="AH448" i="36"/>
  <c r="AG448" i="36"/>
  <c r="AJ447" i="36"/>
  <c r="AI447" i="36"/>
  <c r="AH447" i="36"/>
  <c r="AG447" i="36"/>
  <c r="AI446" i="36"/>
  <c r="AH446" i="36"/>
  <c r="AJ446" i="36" s="1"/>
  <c r="AG446" i="36"/>
  <c r="AI445" i="36"/>
  <c r="AH445" i="36"/>
  <c r="AG445" i="36"/>
  <c r="AJ445" i="36" s="1"/>
  <c r="AJ444" i="36"/>
  <c r="AI444" i="36"/>
  <c r="AH444" i="36"/>
  <c r="AG444" i="36"/>
  <c r="AI443" i="36"/>
  <c r="AH443" i="36"/>
  <c r="AJ443" i="36" s="1"/>
  <c r="AG443" i="36"/>
  <c r="AI442" i="36"/>
  <c r="AH442" i="36"/>
  <c r="AG442" i="36"/>
  <c r="AJ442" i="36" s="1"/>
  <c r="AJ441" i="36"/>
  <c r="AI441" i="36"/>
  <c r="AH441" i="36"/>
  <c r="AG441" i="36"/>
  <c r="AI440" i="36"/>
  <c r="AJ440" i="36" s="1"/>
  <c r="AH440" i="36"/>
  <c r="AG440" i="36"/>
  <c r="AI439" i="36"/>
  <c r="AH439" i="36"/>
  <c r="AG439" i="36"/>
  <c r="AJ439" i="36" s="1"/>
  <c r="AJ438" i="36"/>
  <c r="AI438" i="36"/>
  <c r="AH438" i="36"/>
  <c r="AG438" i="36"/>
  <c r="AI437" i="36"/>
  <c r="AH437" i="36"/>
  <c r="AJ437" i="36" s="1"/>
  <c r="AG437" i="36"/>
  <c r="AI436" i="36"/>
  <c r="AH436" i="36"/>
  <c r="AG436" i="36"/>
  <c r="AJ436" i="36" s="1"/>
  <c r="AJ435" i="36"/>
  <c r="AI435" i="36"/>
  <c r="AH435" i="36"/>
  <c r="AG435" i="36"/>
  <c r="AI434" i="36"/>
  <c r="AH434" i="36"/>
  <c r="AJ434" i="36" s="1"/>
  <c r="AG434" i="36"/>
  <c r="AI433" i="36"/>
  <c r="AH433" i="36"/>
  <c r="AG433" i="36"/>
  <c r="AJ433" i="36" s="1"/>
  <c r="AJ432" i="36"/>
  <c r="AI432" i="36"/>
  <c r="AH432" i="36"/>
  <c r="AG432" i="36"/>
  <c r="AI431" i="36"/>
  <c r="AH431" i="36"/>
  <c r="AJ431" i="36" s="1"/>
  <c r="AG431" i="36"/>
  <c r="AI430" i="36"/>
  <c r="AH430" i="36"/>
  <c r="AG430" i="36"/>
  <c r="AJ430" i="36" s="1"/>
  <c r="AJ429" i="36"/>
  <c r="AI429" i="36"/>
  <c r="AH429" i="36"/>
  <c r="AG429" i="36"/>
  <c r="AJ428" i="36"/>
  <c r="AI428" i="36"/>
  <c r="AH428" i="36"/>
  <c r="AG428" i="36"/>
  <c r="AI427" i="36"/>
  <c r="AH427" i="36"/>
  <c r="AG427" i="36"/>
  <c r="AJ426" i="36"/>
  <c r="AI426" i="36"/>
  <c r="AH426" i="36"/>
  <c r="AG426" i="36"/>
  <c r="AI425" i="36"/>
  <c r="AJ425" i="36" s="1"/>
  <c r="AH425" i="36"/>
  <c r="AG425" i="36"/>
  <c r="AI424" i="36"/>
  <c r="AH424" i="36"/>
  <c r="AG424" i="36"/>
  <c r="AJ424" i="36" s="1"/>
  <c r="AJ423" i="36"/>
  <c r="AI423" i="36"/>
  <c r="AH423" i="36"/>
  <c r="AG423" i="36"/>
  <c r="AI422" i="36"/>
  <c r="AH422" i="36"/>
  <c r="AJ422" i="36" s="1"/>
  <c r="AG422" i="36"/>
  <c r="AI421" i="36"/>
  <c r="AH421" i="36"/>
  <c r="AG421" i="36"/>
  <c r="AJ421" i="36" s="1"/>
  <c r="AJ420" i="36"/>
  <c r="AI420" i="36"/>
  <c r="AH420" i="36"/>
  <c r="AG420" i="36"/>
  <c r="AI419" i="36"/>
  <c r="AH419" i="36"/>
  <c r="AJ419" i="36" s="1"/>
  <c r="AG419" i="36"/>
  <c r="AI418" i="36"/>
  <c r="AH418" i="36"/>
  <c r="AG418" i="36"/>
  <c r="AJ418" i="36" s="1"/>
  <c r="AJ417" i="36"/>
  <c r="AI417" i="36"/>
  <c r="AH417" i="36"/>
  <c r="AG417" i="36"/>
  <c r="AI416" i="36"/>
  <c r="AH416" i="36"/>
  <c r="AJ416" i="36" s="1"/>
  <c r="AG416" i="36"/>
  <c r="AI415" i="36"/>
  <c r="AH415" i="36"/>
  <c r="AG415" i="36"/>
  <c r="AJ414" i="36"/>
  <c r="AI414" i="36"/>
  <c r="AH414" i="36"/>
  <c r="AG414" i="36"/>
  <c r="AI413" i="36"/>
  <c r="AH413" i="36"/>
  <c r="AJ413" i="36" s="1"/>
  <c r="AG413" i="36"/>
  <c r="AI412" i="36"/>
  <c r="AH412" i="36"/>
  <c r="AG412" i="36"/>
  <c r="AJ411" i="36"/>
  <c r="AI411" i="36"/>
  <c r="AH411" i="36"/>
  <c r="AG411" i="36"/>
  <c r="AI410" i="36"/>
  <c r="AH410" i="36"/>
  <c r="AJ410" i="36" s="1"/>
  <c r="AG410" i="36"/>
  <c r="AI409" i="36"/>
  <c r="AH409" i="36"/>
  <c r="AG409" i="36"/>
  <c r="AJ409" i="36" s="1"/>
  <c r="AJ408" i="36"/>
  <c r="AI408" i="36"/>
  <c r="AH408" i="36"/>
  <c r="AG408" i="36"/>
  <c r="AI407" i="36"/>
  <c r="AH407" i="36"/>
  <c r="AJ407" i="36" s="1"/>
  <c r="AG407" i="36"/>
  <c r="AI406" i="36"/>
  <c r="AH406" i="36"/>
  <c r="AG406" i="36"/>
  <c r="AJ406" i="36" s="1"/>
  <c r="AJ405" i="36"/>
  <c r="AI405" i="36"/>
  <c r="AH405" i="36"/>
  <c r="AG405" i="36"/>
  <c r="AI404" i="36"/>
  <c r="AH404" i="36"/>
  <c r="AJ404" i="36" s="1"/>
  <c r="AG404" i="36"/>
  <c r="AI403" i="36"/>
  <c r="AH403" i="36"/>
  <c r="AG403" i="36"/>
  <c r="AJ403" i="36" s="1"/>
  <c r="AJ402" i="36"/>
  <c r="AI402" i="36"/>
  <c r="AH402" i="36"/>
  <c r="AG402" i="36"/>
  <c r="AI401" i="36"/>
  <c r="AH401" i="36"/>
  <c r="AJ401" i="36" s="1"/>
  <c r="AG401" i="36"/>
  <c r="AI400" i="36"/>
  <c r="AH400" i="36"/>
  <c r="AG400" i="36"/>
  <c r="AJ400" i="36" s="1"/>
  <c r="AJ399" i="36"/>
  <c r="AI399" i="36"/>
  <c r="AH399" i="36"/>
  <c r="AG399" i="36"/>
  <c r="AI398" i="36"/>
  <c r="AH398" i="36"/>
  <c r="AJ398" i="36" s="1"/>
  <c r="AG398" i="36"/>
  <c r="AI397" i="36"/>
  <c r="AH397" i="36"/>
  <c r="AG397" i="36"/>
  <c r="AJ397" i="36" s="1"/>
  <c r="AJ396" i="36"/>
  <c r="AI396" i="36"/>
  <c r="AH396" i="36"/>
  <c r="AG396" i="36"/>
  <c r="AI395" i="36"/>
  <c r="AH395" i="36"/>
  <c r="AJ395" i="36" s="1"/>
  <c r="AG395" i="36"/>
  <c r="AI394" i="36"/>
  <c r="AH394" i="36"/>
  <c r="AG394" i="36"/>
  <c r="AJ394" i="36" s="1"/>
  <c r="AJ393" i="36"/>
  <c r="AI393" i="36"/>
  <c r="AH393" i="36"/>
  <c r="AG393" i="36"/>
  <c r="AI392" i="36"/>
  <c r="AH392" i="36"/>
  <c r="AG392" i="36"/>
  <c r="AI391" i="36"/>
  <c r="AH391" i="36"/>
  <c r="AG391" i="36"/>
  <c r="AJ391" i="36" s="1"/>
  <c r="AJ390" i="36"/>
  <c r="AI390" i="36"/>
  <c r="AH390" i="36"/>
  <c r="AG390" i="36"/>
  <c r="AI389" i="36"/>
  <c r="AH389" i="36"/>
  <c r="AJ389" i="36" s="1"/>
  <c r="AG389" i="36"/>
  <c r="AI388" i="36"/>
  <c r="AH388" i="36"/>
  <c r="AG388" i="36"/>
  <c r="AJ388" i="36" s="1"/>
  <c r="AJ387" i="36"/>
  <c r="AI387" i="36"/>
  <c r="AH387" i="36"/>
  <c r="AG387" i="36"/>
  <c r="AI386" i="36"/>
  <c r="AH386" i="36"/>
  <c r="AJ386" i="36" s="1"/>
  <c r="AG386" i="36"/>
  <c r="AI385" i="36"/>
  <c r="AH385" i="36"/>
  <c r="AG385" i="36"/>
  <c r="AJ385" i="36" s="1"/>
  <c r="AJ384" i="36"/>
  <c r="AI384" i="36"/>
  <c r="AH384" i="36"/>
  <c r="AG384" i="36"/>
  <c r="AI383" i="36"/>
  <c r="AH383" i="36"/>
  <c r="AJ383" i="36" s="1"/>
  <c r="AG383" i="36"/>
  <c r="AJ382" i="36"/>
  <c r="AI382" i="36"/>
  <c r="AH382" i="36"/>
  <c r="AG382" i="36"/>
  <c r="AJ381" i="36"/>
  <c r="AI381" i="36"/>
  <c r="AH381" i="36"/>
  <c r="AG381" i="36"/>
  <c r="AI380" i="36"/>
  <c r="AH380" i="36"/>
  <c r="AJ380" i="36" s="1"/>
  <c r="AG380" i="36"/>
  <c r="AI379" i="36"/>
  <c r="AJ379" i="36" s="1"/>
  <c r="AH379" i="36"/>
  <c r="AG379" i="36"/>
  <c r="AJ378" i="36"/>
  <c r="AI378" i="36"/>
  <c r="AH378" i="36"/>
  <c r="AG378" i="36"/>
  <c r="AI377" i="36"/>
  <c r="AH377" i="36"/>
  <c r="AJ377" i="36" s="1"/>
  <c r="AG377" i="36"/>
  <c r="AI376" i="36"/>
  <c r="AH376" i="36"/>
  <c r="AJ376" i="36" s="1"/>
  <c r="AG376" i="36"/>
  <c r="AJ375" i="36"/>
  <c r="AI375" i="36"/>
  <c r="AH375" i="36"/>
  <c r="AG375" i="36"/>
  <c r="AI374" i="36"/>
  <c r="AH374" i="36"/>
  <c r="AJ374" i="36" s="1"/>
  <c r="AG374" i="36"/>
  <c r="AI373" i="36"/>
  <c r="AH373" i="36"/>
  <c r="AG373" i="36"/>
  <c r="AJ373" i="36" s="1"/>
  <c r="AJ372" i="36"/>
  <c r="AI372" i="36"/>
  <c r="AH372" i="36"/>
  <c r="AG372" i="36"/>
  <c r="AI371" i="36"/>
  <c r="AH371" i="36"/>
  <c r="AJ371" i="36" s="1"/>
  <c r="AG371" i="36"/>
  <c r="AI370" i="36"/>
  <c r="AH370" i="36"/>
  <c r="AG370" i="36"/>
  <c r="AJ370" i="36" s="1"/>
  <c r="AJ369" i="36"/>
  <c r="AI369" i="36"/>
  <c r="AH369" i="36"/>
  <c r="AG369" i="36"/>
  <c r="AI368" i="36"/>
  <c r="AH368" i="36"/>
  <c r="AJ368" i="36" s="1"/>
  <c r="AG368" i="36"/>
  <c r="AI367" i="36"/>
  <c r="AH367" i="36"/>
  <c r="AG367" i="36"/>
  <c r="AJ367" i="36" s="1"/>
  <c r="AJ366" i="36"/>
  <c r="AI366" i="36"/>
  <c r="AH366" i="36"/>
  <c r="AG366" i="36"/>
  <c r="AI365" i="36"/>
  <c r="AH365" i="36"/>
  <c r="AJ365" i="36" s="1"/>
  <c r="AG365" i="36"/>
  <c r="AI364" i="36"/>
  <c r="AH364" i="36"/>
  <c r="AG364" i="36"/>
  <c r="AJ364" i="36" s="1"/>
  <c r="AJ363" i="36"/>
  <c r="AI363" i="36"/>
  <c r="AH363" i="36"/>
  <c r="AG363" i="36"/>
  <c r="AI362" i="36"/>
  <c r="AH362" i="36"/>
  <c r="AJ362" i="36" s="1"/>
  <c r="AG362" i="36"/>
  <c r="AI361" i="36"/>
  <c r="AH361" i="36"/>
  <c r="AG361" i="36"/>
  <c r="AJ361" i="36" s="1"/>
  <c r="AJ360" i="36"/>
  <c r="AI360" i="36"/>
  <c r="AH360" i="36"/>
  <c r="AG360" i="36"/>
  <c r="AI359" i="36"/>
  <c r="AH359" i="36"/>
  <c r="AJ359" i="36" s="1"/>
  <c r="AG359" i="36"/>
  <c r="AI358" i="36"/>
  <c r="AH358" i="36"/>
  <c r="AG358" i="36"/>
  <c r="AJ358" i="36" s="1"/>
  <c r="AJ357" i="36"/>
  <c r="AI357" i="36"/>
  <c r="AH357" i="36"/>
  <c r="AG357" i="36"/>
  <c r="AI356" i="36"/>
  <c r="AH356" i="36"/>
  <c r="AG356" i="36"/>
  <c r="AI355" i="36"/>
  <c r="AH355" i="36"/>
  <c r="AG355" i="36"/>
  <c r="AJ355" i="36" s="1"/>
  <c r="AJ354" i="36"/>
  <c r="AI354" i="36"/>
  <c r="AH354" i="36"/>
  <c r="AG354" i="36"/>
  <c r="AI353" i="36"/>
  <c r="AH353" i="36"/>
  <c r="AJ353" i="36" s="1"/>
  <c r="AG353" i="36"/>
  <c r="AI352" i="36"/>
  <c r="AH352" i="36"/>
  <c r="AG352" i="36"/>
  <c r="AJ352" i="36" s="1"/>
  <c r="AJ351" i="36"/>
  <c r="AI351" i="36"/>
  <c r="AH351" i="36"/>
  <c r="AG351" i="36"/>
  <c r="AI350" i="36"/>
  <c r="AH350" i="36"/>
  <c r="AJ350" i="36" s="1"/>
  <c r="AG350" i="36"/>
  <c r="AI349" i="36"/>
  <c r="AH349" i="36"/>
  <c r="AG349" i="36"/>
  <c r="AJ349" i="36" s="1"/>
  <c r="AJ348" i="36"/>
  <c r="AI348" i="36"/>
  <c r="AH348" i="36"/>
  <c r="AG348" i="36"/>
  <c r="AI347" i="36"/>
  <c r="AH347" i="36"/>
  <c r="AJ347" i="36" s="1"/>
  <c r="AG347" i="36"/>
  <c r="AJ346" i="36"/>
  <c r="AI346" i="36"/>
  <c r="AH346" i="36"/>
  <c r="AG346" i="36"/>
  <c r="AJ345" i="36"/>
  <c r="AI345" i="36"/>
  <c r="AH345" i="36"/>
  <c r="AG345" i="36"/>
  <c r="AI344" i="36"/>
  <c r="AH344" i="36"/>
  <c r="AJ344" i="36" s="1"/>
  <c r="AG344" i="36"/>
  <c r="AI343" i="36"/>
  <c r="AJ343" i="36" s="1"/>
  <c r="AH343" i="36"/>
  <c r="AG343" i="36"/>
  <c r="AJ342" i="36"/>
  <c r="AI342" i="36"/>
  <c r="AH342" i="36"/>
  <c r="AG342" i="36"/>
  <c r="AI341" i="36"/>
  <c r="AH341" i="36"/>
  <c r="AJ341" i="36" s="1"/>
  <c r="AG341" i="36"/>
  <c r="AI340" i="36"/>
  <c r="AH340" i="36"/>
  <c r="AJ340" i="36" s="1"/>
  <c r="AG340" i="36"/>
  <c r="AJ339" i="36"/>
  <c r="AI339" i="36"/>
  <c r="AH339" i="36"/>
  <c r="AG339" i="36"/>
  <c r="AI338" i="36"/>
  <c r="AH338" i="36"/>
  <c r="AJ338" i="36" s="1"/>
  <c r="AG338" i="36"/>
  <c r="AI337" i="36"/>
  <c r="AH337" i="36"/>
  <c r="AG337" i="36"/>
  <c r="AJ337" i="36" s="1"/>
  <c r="AJ336" i="36"/>
  <c r="AI336" i="36"/>
  <c r="AH336" i="36"/>
  <c r="AG336" i="36"/>
  <c r="AI335" i="36"/>
  <c r="AH335" i="36"/>
  <c r="AJ335" i="36" s="1"/>
  <c r="AG335" i="36"/>
  <c r="AI334" i="36"/>
  <c r="AH334" i="36"/>
  <c r="AG334" i="36"/>
  <c r="AJ334" i="36" s="1"/>
  <c r="AJ333" i="36"/>
  <c r="AI333" i="36"/>
  <c r="AH333" i="36"/>
  <c r="AG333" i="36"/>
  <c r="AI332" i="36"/>
  <c r="AH332" i="36"/>
  <c r="AJ332" i="36" s="1"/>
  <c r="AG332" i="36"/>
  <c r="AI331" i="36"/>
  <c r="AH331" i="36"/>
  <c r="AG331" i="36"/>
  <c r="AJ331" i="36" s="1"/>
  <c r="AJ330" i="36"/>
  <c r="AI330" i="36"/>
  <c r="AH330" i="36"/>
  <c r="AG330" i="36"/>
  <c r="AI329" i="36"/>
  <c r="AH329" i="36"/>
  <c r="AJ329" i="36" s="1"/>
  <c r="AG329" i="36"/>
  <c r="AI328" i="36"/>
  <c r="AH328" i="36"/>
  <c r="AG328" i="36"/>
  <c r="AJ328" i="36" s="1"/>
  <c r="AJ327" i="36"/>
  <c r="AI327" i="36"/>
  <c r="AH327" i="36"/>
  <c r="AG327" i="36"/>
  <c r="AI326" i="36"/>
  <c r="AH326" i="36"/>
  <c r="AJ326" i="36" s="1"/>
  <c r="AG326" i="36"/>
  <c r="AI325" i="36"/>
  <c r="AH325" i="36"/>
  <c r="AG325" i="36"/>
  <c r="AJ325" i="36" s="1"/>
  <c r="AJ324" i="36"/>
  <c r="AI324" i="36"/>
  <c r="AH324" i="36"/>
  <c r="AG324" i="36"/>
  <c r="AI323" i="36"/>
  <c r="AH323" i="36"/>
  <c r="AJ323" i="36" s="1"/>
  <c r="AG323" i="36"/>
  <c r="AI322" i="36"/>
  <c r="AH322" i="36"/>
  <c r="AG322" i="36"/>
  <c r="AJ322" i="36" s="1"/>
  <c r="AJ321" i="36"/>
  <c r="AI321" i="36"/>
  <c r="AH321" i="36"/>
  <c r="AG321" i="36"/>
  <c r="AI320" i="36"/>
  <c r="AH320" i="36"/>
  <c r="AG320" i="36"/>
  <c r="AI319" i="36"/>
  <c r="AH319" i="36"/>
  <c r="AG319" i="36"/>
  <c r="AJ319" i="36" s="1"/>
  <c r="AJ318" i="36"/>
  <c r="AI318" i="36"/>
  <c r="AH318" i="36"/>
  <c r="AG318" i="36"/>
  <c r="AI317" i="36"/>
  <c r="AH317" i="36"/>
  <c r="AJ317" i="36" s="1"/>
  <c r="AG317" i="36"/>
  <c r="AI316" i="36"/>
  <c r="AH316" i="36"/>
  <c r="AG316" i="36"/>
  <c r="AJ316" i="36" s="1"/>
  <c r="AJ315" i="36"/>
  <c r="AI315" i="36"/>
  <c r="AH315" i="36"/>
  <c r="AG315" i="36"/>
  <c r="AI314" i="36"/>
  <c r="AH314" i="36"/>
  <c r="AJ314" i="36" s="1"/>
  <c r="AG314" i="36"/>
  <c r="AI313" i="36"/>
  <c r="AH313" i="36"/>
  <c r="AG313" i="36"/>
  <c r="AJ313" i="36" s="1"/>
  <c r="AJ312" i="36"/>
  <c r="AI312" i="36"/>
  <c r="AH312" i="36"/>
  <c r="AG312" i="36"/>
  <c r="AI311" i="36"/>
  <c r="AH311" i="36"/>
  <c r="AJ311" i="36" s="1"/>
  <c r="AG311" i="36"/>
  <c r="AJ310" i="36"/>
  <c r="AI310" i="36"/>
  <c r="AH310" i="36"/>
  <c r="AG310" i="36"/>
  <c r="AJ309" i="36"/>
  <c r="AI309" i="36"/>
  <c r="AH309" i="36"/>
  <c r="AG309" i="36"/>
  <c r="AI308" i="36"/>
  <c r="AH308" i="36"/>
  <c r="AJ308" i="36" s="1"/>
  <c r="AG308" i="36"/>
  <c r="AI307" i="36"/>
  <c r="AJ307" i="36" s="1"/>
  <c r="AH307" i="36"/>
  <c r="AG307" i="36"/>
  <c r="AJ306" i="36"/>
  <c r="AI306" i="36"/>
  <c r="AH306" i="36"/>
  <c r="AG306" i="36"/>
  <c r="AI305" i="36"/>
  <c r="AH305" i="36"/>
  <c r="AJ305" i="36" s="1"/>
  <c r="AG305" i="36"/>
  <c r="AI304" i="36"/>
  <c r="AH304" i="36"/>
  <c r="AJ304" i="36" s="1"/>
  <c r="AG304" i="36"/>
  <c r="AJ303" i="36"/>
  <c r="AI303" i="36"/>
  <c r="AH303" i="36"/>
  <c r="AG303" i="36"/>
  <c r="AI302" i="36"/>
  <c r="AH302" i="36"/>
  <c r="AJ302" i="36" s="1"/>
  <c r="AG302" i="36"/>
  <c r="AI301" i="36"/>
  <c r="AH301" i="36"/>
  <c r="AG301" i="36"/>
  <c r="AJ301" i="36" s="1"/>
  <c r="AJ300" i="36"/>
  <c r="AI300" i="36"/>
  <c r="AH300" i="36"/>
  <c r="AG300" i="36"/>
  <c r="AI299" i="36"/>
  <c r="AH299" i="36"/>
  <c r="AJ299" i="36" s="1"/>
  <c r="AG299" i="36"/>
  <c r="AI298" i="36"/>
  <c r="AH298" i="36"/>
  <c r="AG298" i="36"/>
  <c r="AJ298" i="36" s="1"/>
  <c r="AJ297" i="36"/>
  <c r="AI297" i="36"/>
  <c r="AH297" i="36"/>
  <c r="AG297" i="36"/>
  <c r="AI296" i="36"/>
  <c r="AH296" i="36"/>
  <c r="AJ296" i="36" s="1"/>
  <c r="AG296" i="36"/>
  <c r="AI295" i="36"/>
  <c r="AH295" i="36"/>
  <c r="AG295" i="36"/>
  <c r="AJ295" i="36" s="1"/>
  <c r="AJ294" i="36"/>
  <c r="AI294" i="36"/>
  <c r="AH294" i="36"/>
  <c r="AG294" i="36"/>
  <c r="AI293" i="36"/>
  <c r="AH293" i="36"/>
  <c r="AJ293" i="36" s="1"/>
  <c r="AG293" i="36"/>
  <c r="AI292" i="36"/>
  <c r="AH292" i="36"/>
  <c r="AG292" i="36"/>
  <c r="AJ292" i="36" s="1"/>
  <c r="AJ291" i="36"/>
  <c r="AI291" i="36"/>
  <c r="AH291" i="36"/>
  <c r="AG291" i="36"/>
  <c r="AI290" i="36"/>
  <c r="AH290" i="36"/>
  <c r="AJ290" i="36" s="1"/>
  <c r="AG290" i="36"/>
  <c r="AI289" i="36"/>
  <c r="AH289" i="36"/>
  <c r="AG289" i="36"/>
  <c r="AJ289" i="36" s="1"/>
  <c r="AJ288" i="36"/>
  <c r="AI288" i="36"/>
  <c r="AH288" i="36"/>
  <c r="AG288" i="36"/>
  <c r="AI287" i="36"/>
  <c r="AH287" i="36"/>
  <c r="AJ287" i="36" s="1"/>
  <c r="AG287" i="36"/>
  <c r="AI286" i="36"/>
  <c r="AH286" i="36"/>
  <c r="AG286" i="36"/>
  <c r="AJ286" i="36" s="1"/>
  <c r="AJ285" i="36"/>
  <c r="AI285" i="36"/>
  <c r="AH285" i="36"/>
  <c r="AG285" i="36"/>
  <c r="AI284" i="36"/>
  <c r="AH284" i="36"/>
  <c r="AG284" i="36"/>
  <c r="AI283" i="36"/>
  <c r="AH283" i="36"/>
  <c r="AG283" i="36"/>
  <c r="AJ283" i="36" s="1"/>
  <c r="AJ282" i="36"/>
  <c r="AI282" i="36"/>
  <c r="AH282" i="36"/>
  <c r="AG282" i="36"/>
  <c r="AI281" i="36"/>
  <c r="AH281" i="36"/>
  <c r="AJ281" i="36" s="1"/>
  <c r="AG281" i="36"/>
  <c r="AI280" i="36"/>
  <c r="AH280" i="36"/>
  <c r="AG280" i="36"/>
  <c r="AJ280" i="36" s="1"/>
  <c r="AJ279" i="36"/>
  <c r="AI279" i="36"/>
  <c r="AH279" i="36"/>
  <c r="AG279" i="36"/>
  <c r="AI278" i="36"/>
  <c r="AH278" i="36"/>
  <c r="AJ278" i="36" s="1"/>
  <c r="AG278" i="36"/>
  <c r="AI277" i="36"/>
  <c r="AH277" i="36"/>
  <c r="AG277" i="36"/>
  <c r="AJ277" i="36" s="1"/>
  <c r="AJ276" i="36"/>
  <c r="AI276" i="36"/>
  <c r="AH276" i="36"/>
  <c r="AG276" i="36"/>
  <c r="AI275" i="36"/>
  <c r="AH275" i="36"/>
  <c r="AJ275" i="36" s="1"/>
  <c r="AG275" i="36"/>
  <c r="AJ274" i="36"/>
  <c r="AI274" i="36"/>
  <c r="AH274" i="36"/>
  <c r="AG274" i="36"/>
  <c r="AJ273" i="36"/>
  <c r="AI273" i="36"/>
  <c r="AH273" i="36"/>
  <c r="AG273" i="36"/>
  <c r="AI272" i="36"/>
  <c r="AH272" i="36"/>
  <c r="AJ272" i="36" s="1"/>
  <c r="AG272" i="36"/>
  <c r="AI271" i="36"/>
  <c r="AJ271" i="36" s="1"/>
  <c r="AH271" i="36"/>
  <c r="AG271" i="36"/>
  <c r="AJ270" i="36"/>
  <c r="AI270" i="36"/>
  <c r="AH270" i="36"/>
  <c r="AG270" i="36"/>
  <c r="AI269" i="36"/>
  <c r="AH269" i="36"/>
  <c r="AJ269" i="36" s="1"/>
  <c r="AG269" i="36"/>
  <c r="AI268" i="36"/>
  <c r="AH268" i="36"/>
  <c r="AJ268" i="36" s="1"/>
  <c r="AG268" i="36"/>
  <c r="AJ267" i="36"/>
  <c r="AI267" i="36"/>
  <c r="AH267" i="36"/>
  <c r="AG267" i="36"/>
  <c r="AI266" i="36"/>
  <c r="AH266" i="36"/>
  <c r="AJ266" i="36" s="1"/>
  <c r="AG266" i="36"/>
  <c r="AI265" i="36"/>
  <c r="AH265" i="36"/>
  <c r="AG265" i="36"/>
  <c r="AJ265" i="36" s="1"/>
  <c r="AJ264" i="36"/>
  <c r="AI264" i="36"/>
  <c r="AH264" i="36"/>
  <c r="AG264" i="36"/>
  <c r="AI263" i="36"/>
  <c r="AH263" i="36"/>
  <c r="AJ263" i="36" s="1"/>
  <c r="AG263" i="36"/>
  <c r="AI262" i="36"/>
  <c r="AH262" i="36"/>
  <c r="AG262" i="36"/>
  <c r="AJ262" i="36" s="1"/>
  <c r="AJ261" i="36"/>
  <c r="AI261" i="36"/>
  <c r="AH261" i="36"/>
  <c r="AG261" i="36"/>
  <c r="AI260" i="36"/>
  <c r="AH260" i="36"/>
  <c r="AJ260" i="36" s="1"/>
  <c r="AG260" i="36"/>
  <c r="AI259" i="36"/>
  <c r="AH259" i="36"/>
  <c r="AG259" i="36"/>
  <c r="AJ259" i="36" s="1"/>
  <c r="AJ258" i="36"/>
  <c r="AI258" i="36"/>
  <c r="AH258" i="36"/>
  <c r="AG258" i="36"/>
  <c r="AI257" i="36"/>
  <c r="AH257" i="36"/>
  <c r="AJ257" i="36" s="1"/>
  <c r="AG257" i="36"/>
  <c r="AI256" i="36"/>
  <c r="AH256" i="36"/>
  <c r="AG256" i="36"/>
  <c r="AJ256" i="36" s="1"/>
  <c r="AJ255" i="36"/>
  <c r="AI255" i="36"/>
  <c r="AH255" i="36"/>
  <c r="AG255" i="36"/>
  <c r="AI254" i="36"/>
  <c r="AH254" i="36"/>
  <c r="AJ254" i="36" s="1"/>
  <c r="AG254" i="36"/>
  <c r="AI253" i="36"/>
  <c r="AH253" i="36"/>
  <c r="AG253" i="36"/>
  <c r="AJ253" i="36" s="1"/>
  <c r="AJ252" i="36"/>
  <c r="AI252" i="36"/>
  <c r="AH252" i="36"/>
  <c r="AG252" i="36"/>
  <c r="AI251" i="36"/>
  <c r="AH251" i="36"/>
  <c r="AJ251" i="36" s="1"/>
  <c r="AG251" i="36"/>
  <c r="AI250" i="36"/>
  <c r="AH250" i="36"/>
  <c r="AG250" i="36"/>
  <c r="AJ250" i="36" s="1"/>
  <c r="AJ249" i="36"/>
  <c r="AI249" i="36"/>
  <c r="AH249" i="36"/>
  <c r="AG249" i="36"/>
  <c r="AI248" i="36"/>
  <c r="AH248" i="36"/>
  <c r="AG248" i="36"/>
  <c r="AI247" i="36"/>
  <c r="AH247" i="36"/>
  <c r="AG247" i="36"/>
  <c r="AJ247" i="36" s="1"/>
  <c r="AJ246" i="36"/>
  <c r="AI246" i="36"/>
  <c r="AH246" i="36"/>
  <c r="AG246" i="36"/>
  <c r="AI245" i="36"/>
  <c r="AH245" i="36"/>
  <c r="AJ245" i="36" s="1"/>
  <c r="AG245" i="36"/>
  <c r="AI244" i="36"/>
  <c r="AH244" i="36"/>
  <c r="AG244" i="36"/>
  <c r="AJ244" i="36" s="1"/>
  <c r="AJ243" i="36"/>
  <c r="AI243" i="36"/>
  <c r="AH243" i="36"/>
  <c r="AG243" i="36"/>
  <c r="AI242" i="36"/>
  <c r="AH242" i="36"/>
  <c r="AJ242" i="36" s="1"/>
  <c r="AG242" i="36"/>
  <c r="AI241" i="36"/>
  <c r="AH241" i="36"/>
  <c r="AG241" i="36"/>
  <c r="AJ241" i="36" s="1"/>
  <c r="AJ240" i="36"/>
  <c r="AI240" i="36"/>
  <c r="AH240" i="36"/>
  <c r="AG240" i="36"/>
  <c r="AI239" i="36"/>
  <c r="AH239" i="36"/>
  <c r="AJ239" i="36" s="1"/>
  <c r="AG239" i="36"/>
  <c r="AJ238" i="36"/>
  <c r="AI238" i="36"/>
  <c r="AH238" i="36"/>
  <c r="AG238" i="36"/>
  <c r="AJ237" i="36"/>
  <c r="AI237" i="36"/>
  <c r="AH237" i="36"/>
  <c r="AG237" i="36"/>
  <c r="AI236" i="36"/>
  <c r="AH236" i="36"/>
  <c r="AJ236" i="36" s="1"/>
  <c r="AG236" i="36"/>
  <c r="AI235" i="36"/>
  <c r="AJ235" i="36" s="1"/>
  <c r="AH235" i="36"/>
  <c r="AG235" i="36"/>
  <c r="AJ234" i="36"/>
  <c r="AI234" i="36"/>
  <c r="AH234" i="36"/>
  <c r="AG234" i="36"/>
  <c r="AI233" i="36"/>
  <c r="AH233" i="36"/>
  <c r="AJ233" i="36" s="1"/>
  <c r="AG233" i="36"/>
  <c r="AI232" i="36"/>
  <c r="AH232" i="36"/>
  <c r="AJ232" i="36" s="1"/>
  <c r="AG232" i="36"/>
  <c r="AJ231" i="36"/>
  <c r="AI231" i="36"/>
  <c r="AH231" i="36"/>
  <c r="AG231" i="36"/>
  <c r="AI230" i="36"/>
  <c r="AH230" i="36"/>
  <c r="AJ230" i="36" s="1"/>
  <c r="AG230" i="36"/>
  <c r="AI229" i="36"/>
  <c r="AH229" i="36"/>
  <c r="AG229" i="36"/>
  <c r="AJ229" i="36" s="1"/>
  <c r="AJ228" i="36"/>
  <c r="AI228" i="36"/>
  <c r="AH228" i="36"/>
  <c r="AG228" i="36"/>
  <c r="AI227" i="36"/>
  <c r="AH227" i="36"/>
  <c r="AJ227" i="36" s="1"/>
  <c r="AG227" i="36"/>
  <c r="AI226" i="36"/>
  <c r="AH226" i="36"/>
  <c r="AG226" i="36"/>
  <c r="AJ226" i="36" s="1"/>
  <c r="AJ225" i="36"/>
  <c r="AI225" i="36"/>
  <c r="AH225" i="36"/>
  <c r="AG225" i="36"/>
  <c r="AI224" i="36"/>
  <c r="AH224" i="36"/>
  <c r="AJ224" i="36" s="1"/>
  <c r="AG224" i="36"/>
  <c r="AI223" i="36"/>
  <c r="AH223" i="36"/>
  <c r="AG223" i="36"/>
  <c r="AJ223" i="36" s="1"/>
  <c r="AJ222" i="36"/>
  <c r="AI222" i="36"/>
  <c r="AH222" i="36"/>
  <c r="AG222" i="36"/>
  <c r="AI221" i="36"/>
  <c r="AH221" i="36"/>
  <c r="AJ221" i="36" s="1"/>
  <c r="AG221" i="36"/>
  <c r="AI220" i="36"/>
  <c r="AH220" i="36"/>
  <c r="AG220" i="36"/>
  <c r="AJ220" i="36" s="1"/>
  <c r="AJ219" i="36"/>
  <c r="AI219" i="36"/>
  <c r="AH219" i="36"/>
  <c r="AG219" i="36"/>
  <c r="AI218" i="36"/>
  <c r="AH218" i="36"/>
  <c r="AJ218" i="36" s="1"/>
  <c r="AG218" i="36"/>
  <c r="AI217" i="36"/>
  <c r="AH217" i="36"/>
  <c r="AG217" i="36"/>
  <c r="AJ217" i="36" s="1"/>
  <c r="AJ216" i="36"/>
  <c r="AI216" i="36"/>
  <c r="AH216" i="36"/>
  <c r="AG216" i="36"/>
  <c r="AI215" i="36"/>
  <c r="AH215" i="36"/>
  <c r="AJ215" i="36" s="1"/>
  <c r="AG215" i="36"/>
  <c r="AI214" i="36"/>
  <c r="AH214" i="36"/>
  <c r="AG214" i="36"/>
  <c r="AJ214" i="36" s="1"/>
  <c r="AJ213" i="36"/>
  <c r="AI213" i="36"/>
  <c r="AH213" i="36"/>
  <c r="AG213" i="36"/>
  <c r="AI212" i="36"/>
  <c r="AH212" i="36"/>
  <c r="AG212" i="36"/>
  <c r="AI211" i="36"/>
  <c r="AH211" i="36"/>
  <c r="AG211" i="36"/>
  <c r="AJ211" i="36" s="1"/>
  <c r="AJ210" i="36"/>
  <c r="AI210" i="36"/>
  <c r="AH210" i="36"/>
  <c r="AG210" i="36"/>
  <c r="AI209" i="36"/>
  <c r="AH209" i="36"/>
  <c r="AJ209" i="36" s="1"/>
  <c r="AG209" i="36"/>
  <c r="AI208" i="36"/>
  <c r="AH208" i="36"/>
  <c r="AG208" i="36"/>
  <c r="AJ208" i="36" s="1"/>
  <c r="AJ207" i="36"/>
  <c r="AI207" i="36"/>
  <c r="AH207" i="36"/>
  <c r="AG207" i="36"/>
  <c r="AI206" i="36"/>
  <c r="AH206" i="36"/>
  <c r="AJ206" i="36" s="1"/>
  <c r="AG206" i="36"/>
  <c r="AI205" i="36"/>
  <c r="AH205" i="36"/>
  <c r="AG205" i="36"/>
  <c r="AJ205" i="36" s="1"/>
  <c r="AJ204" i="36"/>
  <c r="AI204" i="36"/>
  <c r="AH204" i="36"/>
  <c r="AG204" i="36"/>
  <c r="AI203" i="36"/>
  <c r="AH203" i="36"/>
  <c r="AJ203" i="36" s="1"/>
  <c r="AG203" i="36"/>
  <c r="AJ202" i="36"/>
  <c r="AI202" i="36"/>
  <c r="AH202" i="36"/>
  <c r="AG202" i="36"/>
  <c r="AJ201" i="36"/>
  <c r="AI201" i="36"/>
  <c r="AH201" i="36"/>
  <c r="AG201" i="36"/>
  <c r="AI200" i="36"/>
  <c r="AH200" i="36"/>
  <c r="AJ200" i="36" s="1"/>
  <c r="AG200" i="36"/>
  <c r="AI199" i="36"/>
  <c r="AJ199" i="36" s="1"/>
  <c r="AH199" i="36"/>
  <c r="AG199" i="36"/>
  <c r="AJ198" i="36"/>
  <c r="AI198" i="36"/>
  <c r="AH198" i="36"/>
  <c r="AG198" i="36"/>
  <c r="AI197" i="36"/>
  <c r="AH197" i="36"/>
  <c r="AJ197" i="36" s="1"/>
  <c r="AG197" i="36"/>
  <c r="AI196" i="36"/>
  <c r="AH196" i="36"/>
  <c r="AJ196" i="36" s="1"/>
  <c r="AG196" i="36"/>
  <c r="AJ195" i="36"/>
  <c r="AI195" i="36"/>
  <c r="AH195" i="36"/>
  <c r="AG195" i="36"/>
  <c r="AI194" i="36"/>
  <c r="AH194" i="36"/>
  <c r="AJ194" i="36" s="1"/>
  <c r="AG194" i="36"/>
  <c r="AI193" i="36"/>
  <c r="AH193" i="36"/>
  <c r="AG193" i="36"/>
  <c r="AJ193" i="36" s="1"/>
  <c r="AJ192" i="36"/>
  <c r="AI192" i="36"/>
  <c r="AH192" i="36"/>
  <c r="AG192" i="36"/>
  <c r="AI191" i="36"/>
  <c r="AH191" i="36"/>
  <c r="AJ191" i="36" s="1"/>
  <c r="AG191" i="36"/>
  <c r="AI190" i="36"/>
  <c r="AH190" i="36"/>
  <c r="AG190" i="36"/>
  <c r="AJ190" i="36" s="1"/>
  <c r="AJ189" i="36"/>
  <c r="AI189" i="36"/>
  <c r="AH189" i="36"/>
  <c r="AG189" i="36"/>
  <c r="AI188" i="36"/>
  <c r="AH188" i="36"/>
  <c r="AJ188" i="36" s="1"/>
  <c r="AG188" i="36"/>
  <c r="AI187" i="36"/>
  <c r="AH187" i="36"/>
  <c r="AG187" i="36"/>
  <c r="AJ187" i="36" s="1"/>
  <c r="AJ186" i="36"/>
  <c r="AI186" i="36"/>
  <c r="AH186" i="36"/>
  <c r="AG186" i="36"/>
  <c r="AI185" i="36"/>
  <c r="AH185" i="36"/>
  <c r="AJ185" i="36" s="1"/>
  <c r="AG185" i="36"/>
  <c r="AI184" i="36"/>
  <c r="AH184" i="36"/>
  <c r="AG184" i="36"/>
  <c r="AJ184" i="36" s="1"/>
  <c r="AJ183" i="36"/>
  <c r="AI183" i="36"/>
  <c r="AH183" i="36"/>
  <c r="AG183" i="36"/>
  <c r="AI182" i="36"/>
  <c r="AH182" i="36"/>
  <c r="AJ182" i="36" s="1"/>
  <c r="AG182" i="36"/>
  <c r="AI181" i="36"/>
  <c r="AH181" i="36"/>
  <c r="AG181" i="36"/>
  <c r="AJ181" i="36" s="1"/>
  <c r="AJ180" i="36"/>
  <c r="AI180" i="36"/>
  <c r="AH180" i="36"/>
  <c r="AG180" i="36"/>
  <c r="AI179" i="36"/>
  <c r="AH179" i="36"/>
  <c r="AJ179" i="36" s="1"/>
  <c r="AG179" i="36"/>
  <c r="AI178" i="36"/>
  <c r="AH178" i="36"/>
  <c r="AG178" i="36"/>
  <c r="AJ178" i="36" s="1"/>
  <c r="AJ177" i="36"/>
  <c r="AI177" i="36"/>
  <c r="AH177" i="36"/>
  <c r="AG177" i="36"/>
  <c r="AI176" i="36"/>
  <c r="AH176" i="36"/>
  <c r="AG176" i="36"/>
  <c r="AI175" i="36"/>
  <c r="AH175" i="36"/>
  <c r="AG175" i="36"/>
  <c r="AJ175" i="36" s="1"/>
  <c r="AJ174" i="36"/>
  <c r="AI174" i="36"/>
  <c r="AH174" i="36"/>
  <c r="AG174" i="36"/>
  <c r="AI173" i="36"/>
  <c r="AH173" i="36"/>
  <c r="AJ173" i="36" s="1"/>
  <c r="AG173" i="36"/>
  <c r="AI172" i="36"/>
  <c r="AH172" i="36"/>
  <c r="AG172" i="36"/>
  <c r="AJ172" i="36" s="1"/>
  <c r="AJ171" i="36"/>
  <c r="AI171" i="36"/>
  <c r="AH171" i="36"/>
  <c r="AG171" i="36"/>
  <c r="AI170" i="36"/>
  <c r="AH170" i="36"/>
  <c r="AJ170" i="36" s="1"/>
  <c r="AG170" i="36"/>
  <c r="AI169" i="36"/>
  <c r="AH169" i="36"/>
  <c r="AG169" i="36"/>
  <c r="AJ169" i="36" s="1"/>
  <c r="AJ168" i="36"/>
  <c r="AI168" i="36"/>
  <c r="AH168" i="36"/>
  <c r="AG168" i="36"/>
  <c r="AI167" i="36"/>
  <c r="AH167" i="36"/>
  <c r="AJ167" i="36" s="1"/>
  <c r="AG167" i="36"/>
  <c r="AJ166" i="36"/>
  <c r="AI166" i="36"/>
  <c r="AH166" i="36"/>
  <c r="AG166" i="36"/>
  <c r="AJ165" i="36"/>
  <c r="AI165" i="36"/>
  <c r="AH165" i="36"/>
  <c r="AG165" i="36"/>
  <c r="AI164" i="36"/>
  <c r="AH164" i="36"/>
  <c r="AJ164" i="36" s="1"/>
  <c r="AG164" i="36"/>
  <c r="AI163" i="36"/>
  <c r="AJ163" i="36" s="1"/>
  <c r="AH163" i="36"/>
  <c r="AG163" i="36"/>
  <c r="AJ162" i="36"/>
  <c r="AI162" i="36"/>
  <c r="AH162" i="36"/>
  <c r="AG162" i="36"/>
  <c r="AI161" i="36"/>
  <c r="AH161" i="36"/>
  <c r="AJ161" i="36" s="1"/>
  <c r="AG161" i="36"/>
  <c r="AI160" i="36"/>
  <c r="AH160" i="36"/>
  <c r="AJ160" i="36" s="1"/>
  <c r="AG160" i="36"/>
  <c r="AJ159" i="36"/>
  <c r="AI159" i="36"/>
  <c r="AH159" i="36"/>
  <c r="AG159" i="36"/>
  <c r="AI158" i="36"/>
  <c r="AH158" i="36"/>
  <c r="AJ158" i="36" s="1"/>
  <c r="AG158" i="36"/>
  <c r="AI157" i="36"/>
  <c r="AH157" i="36"/>
  <c r="AG157" i="36"/>
  <c r="AJ157" i="36" s="1"/>
  <c r="AJ156" i="36"/>
  <c r="AI156" i="36"/>
  <c r="AH156" i="36"/>
  <c r="AG156" i="36"/>
  <c r="AI155" i="36"/>
  <c r="AH155" i="36"/>
  <c r="AJ155" i="36" s="1"/>
  <c r="AG155" i="36"/>
  <c r="AI154" i="36"/>
  <c r="AH154" i="36"/>
  <c r="AG154" i="36"/>
  <c r="AJ154" i="36" s="1"/>
  <c r="AJ153" i="36"/>
  <c r="AI153" i="36"/>
  <c r="AH153" i="36"/>
  <c r="AG153" i="36"/>
  <c r="AI152" i="36"/>
  <c r="AH152" i="36"/>
  <c r="AJ152" i="36" s="1"/>
  <c r="AG152" i="36"/>
  <c r="AI151" i="36"/>
  <c r="AH151" i="36"/>
  <c r="AG151" i="36"/>
  <c r="AJ151" i="36" s="1"/>
  <c r="AJ150" i="36"/>
  <c r="AI150" i="36"/>
  <c r="AH150" i="36"/>
  <c r="AG150" i="36"/>
  <c r="AI149" i="36"/>
  <c r="AH149" i="36"/>
  <c r="AJ149" i="36" s="1"/>
  <c r="AG149" i="36"/>
  <c r="AI148" i="36"/>
  <c r="AH148" i="36"/>
  <c r="AG148" i="36"/>
  <c r="AJ148" i="36" s="1"/>
  <c r="AJ147" i="36"/>
  <c r="AI147" i="36"/>
  <c r="AH147" i="36"/>
  <c r="AG147" i="36"/>
  <c r="AI146" i="36"/>
  <c r="AH146" i="36"/>
  <c r="AJ146" i="36" s="1"/>
  <c r="AG146" i="36"/>
  <c r="AI145" i="36"/>
  <c r="AH145" i="36"/>
  <c r="AG145" i="36"/>
  <c r="AJ145" i="36" s="1"/>
  <c r="AJ144" i="36"/>
  <c r="AI144" i="36"/>
  <c r="AH144" i="36"/>
  <c r="AG144" i="36"/>
  <c r="AI143" i="36"/>
  <c r="AH143" i="36"/>
  <c r="AJ143" i="36" s="1"/>
  <c r="AG143" i="36"/>
  <c r="AI142" i="36"/>
  <c r="AH142" i="36"/>
  <c r="AG142" i="36"/>
  <c r="AJ142" i="36" s="1"/>
  <c r="AJ141" i="36"/>
  <c r="AI141" i="36"/>
  <c r="AH141" i="36"/>
  <c r="AG141" i="36"/>
  <c r="AI140" i="36"/>
  <c r="AH140" i="36"/>
  <c r="AG140" i="36"/>
  <c r="AI139" i="36"/>
  <c r="AH139" i="36"/>
  <c r="AG139" i="36"/>
  <c r="AJ139" i="36" s="1"/>
  <c r="AJ138" i="36"/>
  <c r="AI138" i="36"/>
  <c r="AH138" i="36"/>
  <c r="AG138" i="36"/>
  <c r="AI137" i="36"/>
  <c r="AH137" i="36"/>
  <c r="AJ137" i="36" s="1"/>
  <c r="AG137" i="36"/>
  <c r="AI136" i="36"/>
  <c r="AH136" i="36"/>
  <c r="AG136" i="36"/>
  <c r="AJ136" i="36" s="1"/>
  <c r="AJ135" i="36"/>
  <c r="AI135" i="36"/>
  <c r="AH135" i="36"/>
  <c r="AG135" i="36"/>
  <c r="AI134" i="36"/>
  <c r="AH134" i="36"/>
  <c r="AJ134" i="36" s="1"/>
  <c r="AG134" i="36"/>
  <c r="AI133" i="36"/>
  <c r="AH133" i="36"/>
  <c r="AG133" i="36"/>
  <c r="AJ133" i="36" s="1"/>
  <c r="AJ132" i="36"/>
  <c r="AI132" i="36"/>
  <c r="AH132" i="36"/>
  <c r="AG132" i="36"/>
  <c r="AI131" i="36"/>
  <c r="AH131" i="36"/>
  <c r="AJ131" i="36" s="1"/>
  <c r="AG131" i="36"/>
  <c r="AJ130" i="36"/>
  <c r="AI130" i="36"/>
  <c r="AH130" i="36"/>
  <c r="AG130" i="36"/>
  <c r="AJ129" i="36"/>
  <c r="AI129" i="36"/>
  <c r="AH129" i="36"/>
  <c r="AG129" i="36"/>
  <c r="AI128" i="36"/>
  <c r="AH128" i="36"/>
  <c r="AJ128" i="36" s="1"/>
  <c r="AG128" i="36"/>
  <c r="AI127" i="36"/>
  <c r="AJ127" i="36" s="1"/>
  <c r="AH127" i="36"/>
  <c r="AG127" i="36"/>
  <c r="AJ126" i="36"/>
  <c r="AI126" i="36"/>
  <c r="AH126" i="36"/>
  <c r="AG126" i="36"/>
  <c r="AI125" i="36"/>
  <c r="AH125" i="36"/>
  <c r="AJ125" i="36" s="1"/>
  <c r="AG125" i="36"/>
  <c r="AI124" i="36"/>
  <c r="AH124" i="36"/>
  <c r="AJ124" i="36" s="1"/>
  <c r="AG124" i="36"/>
  <c r="AJ123" i="36"/>
  <c r="AI123" i="36"/>
  <c r="AH123" i="36"/>
  <c r="AG123" i="36"/>
  <c r="AI122" i="36"/>
  <c r="AH122" i="36"/>
  <c r="AJ122" i="36" s="1"/>
  <c r="AG122" i="36"/>
  <c r="AI121" i="36"/>
  <c r="AH121" i="36"/>
  <c r="AG121" i="36"/>
  <c r="AJ121" i="36" s="1"/>
  <c r="AJ120" i="36"/>
  <c r="AI120" i="36"/>
  <c r="AH120" i="36"/>
  <c r="AG120" i="36"/>
  <c r="AI119" i="36"/>
  <c r="AH119" i="36"/>
  <c r="AJ119" i="36" s="1"/>
  <c r="AG119" i="36"/>
  <c r="AI118" i="36"/>
  <c r="AH118" i="36"/>
  <c r="AG118" i="36"/>
  <c r="AJ118" i="36" s="1"/>
  <c r="AJ117" i="36"/>
  <c r="AI117" i="36"/>
  <c r="AH117" i="36"/>
  <c r="AG117" i="36"/>
  <c r="AI116" i="36"/>
  <c r="AH116" i="36"/>
  <c r="AJ116" i="36" s="1"/>
  <c r="AG116" i="36"/>
  <c r="AI115" i="36"/>
  <c r="AH115" i="36"/>
  <c r="AG115" i="36"/>
  <c r="AJ115" i="36" s="1"/>
  <c r="AJ114" i="36"/>
  <c r="AI114" i="36"/>
  <c r="AH114" i="36"/>
  <c r="AG114" i="36"/>
  <c r="AI113" i="36"/>
  <c r="AH113" i="36"/>
  <c r="AJ113" i="36" s="1"/>
  <c r="AG113" i="36"/>
  <c r="AI112" i="36"/>
  <c r="AH112" i="36"/>
  <c r="AG112" i="36"/>
  <c r="AJ112" i="36" s="1"/>
  <c r="AJ111" i="36"/>
  <c r="AI111" i="36"/>
  <c r="AH111" i="36"/>
  <c r="AG111" i="36"/>
  <c r="AI110" i="36"/>
  <c r="AH110" i="36"/>
  <c r="AJ110" i="36" s="1"/>
  <c r="AG110" i="36"/>
  <c r="AI109" i="36"/>
  <c r="AH109" i="36"/>
  <c r="AG109" i="36"/>
  <c r="AJ109" i="36" s="1"/>
  <c r="AJ108" i="36"/>
  <c r="AI108" i="36"/>
  <c r="AH108" i="36"/>
  <c r="AG108" i="36"/>
  <c r="AI107" i="36"/>
  <c r="AH107" i="36"/>
  <c r="AJ107" i="36" s="1"/>
  <c r="AG107" i="36"/>
  <c r="AI106" i="36"/>
  <c r="AH106" i="36"/>
  <c r="AG106" i="36"/>
  <c r="AJ106" i="36" s="1"/>
  <c r="AJ105" i="36"/>
  <c r="AI105" i="36"/>
  <c r="AH105" i="36"/>
  <c r="AG105" i="36"/>
  <c r="AI104" i="36"/>
  <c r="AH104" i="36"/>
  <c r="AG104" i="36"/>
  <c r="AI103" i="36"/>
  <c r="AH103" i="36"/>
  <c r="AG103" i="36"/>
  <c r="AJ103" i="36" s="1"/>
  <c r="AJ102" i="36"/>
  <c r="AI102" i="36"/>
  <c r="AH102" i="36"/>
  <c r="AG102" i="36"/>
  <c r="AI101" i="36"/>
  <c r="AH101" i="36"/>
  <c r="AJ101" i="36" s="1"/>
  <c r="AG101" i="36"/>
  <c r="AI100" i="36"/>
  <c r="AH100" i="36"/>
  <c r="AG100" i="36"/>
  <c r="AJ100" i="36" s="1"/>
  <c r="AJ99" i="36"/>
  <c r="AI99" i="36"/>
  <c r="AH99" i="36"/>
  <c r="AG99" i="36"/>
  <c r="AI98" i="36"/>
  <c r="AH98" i="36"/>
  <c r="AJ98" i="36" s="1"/>
  <c r="AG98" i="36"/>
  <c r="AI97" i="36"/>
  <c r="AH97" i="36"/>
  <c r="AG97" i="36"/>
  <c r="AJ97" i="36" s="1"/>
  <c r="AJ96" i="36"/>
  <c r="AI96" i="36"/>
  <c r="AH96" i="36"/>
  <c r="AG96" i="36"/>
  <c r="AI95" i="36"/>
  <c r="AH95" i="36"/>
  <c r="AJ95" i="36" s="1"/>
  <c r="AG95" i="36"/>
  <c r="AJ94" i="36"/>
  <c r="AI94" i="36"/>
  <c r="AH94" i="36"/>
  <c r="AG94" i="36"/>
  <c r="AJ93" i="36"/>
  <c r="AI93" i="36"/>
  <c r="AH93" i="36"/>
  <c r="AG93" i="36"/>
  <c r="AI92" i="36"/>
  <c r="AH92" i="36"/>
  <c r="AJ92" i="36" s="1"/>
  <c r="AG92" i="36"/>
  <c r="AI91" i="36"/>
  <c r="AJ91" i="36" s="1"/>
  <c r="AH91" i="36"/>
  <c r="AG91" i="36"/>
  <c r="AJ90" i="36"/>
  <c r="AI90" i="36"/>
  <c r="AH90" i="36"/>
  <c r="AG90" i="36"/>
  <c r="AI89" i="36"/>
  <c r="AH89" i="36"/>
  <c r="AJ89" i="36" s="1"/>
  <c r="AG89" i="36"/>
  <c r="AI88" i="36"/>
  <c r="AH88" i="36"/>
  <c r="AJ88" i="36" s="1"/>
  <c r="AG88" i="36"/>
  <c r="AJ87" i="36"/>
  <c r="AI87" i="36"/>
  <c r="AH87" i="36"/>
  <c r="AG87" i="36"/>
  <c r="AI86" i="36"/>
  <c r="AH86" i="36"/>
  <c r="AJ86" i="36" s="1"/>
  <c r="AG86" i="36"/>
  <c r="AI85" i="36"/>
  <c r="AH85" i="36"/>
  <c r="AG85" i="36"/>
  <c r="AJ85" i="36" s="1"/>
  <c r="AJ84" i="36"/>
  <c r="AI84" i="36"/>
  <c r="AH84" i="36"/>
  <c r="AG84" i="36"/>
  <c r="AI83" i="36"/>
  <c r="AH83" i="36"/>
  <c r="AJ83" i="36" s="1"/>
  <c r="AG83" i="36"/>
  <c r="AI82" i="36"/>
  <c r="AH82" i="36"/>
  <c r="AG82" i="36"/>
  <c r="AJ82" i="36" s="1"/>
  <c r="AJ81" i="36"/>
  <c r="AI81" i="36"/>
  <c r="AH81" i="36"/>
  <c r="AG81" i="36"/>
  <c r="AI80" i="36"/>
  <c r="AH80" i="36"/>
  <c r="AJ80" i="36" s="1"/>
  <c r="AG80" i="36"/>
  <c r="AI79" i="36"/>
  <c r="AH79" i="36"/>
  <c r="AG79" i="36"/>
  <c r="AJ79" i="36" s="1"/>
  <c r="AJ78" i="36"/>
  <c r="AI78" i="36"/>
  <c r="AH78" i="36"/>
  <c r="AG78" i="36"/>
  <c r="AI77" i="36"/>
  <c r="AH77" i="36"/>
  <c r="AJ77" i="36" s="1"/>
  <c r="AG77" i="36"/>
  <c r="AI76" i="36"/>
  <c r="AH76" i="36"/>
  <c r="AG76" i="36"/>
  <c r="AJ76" i="36" s="1"/>
  <c r="AJ75" i="36"/>
  <c r="AI75" i="36"/>
  <c r="AH75" i="36"/>
  <c r="AG75" i="36"/>
  <c r="AI74" i="36"/>
  <c r="AH74" i="36"/>
  <c r="AJ74" i="36" s="1"/>
  <c r="AG74" i="36"/>
  <c r="AI73" i="36"/>
  <c r="AH73" i="36"/>
  <c r="AG73" i="36"/>
  <c r="AJ73" i="36" s="1"/>
  <c r="AJ72" i="36"/>
  <c r="AI72" i="36"/>
  <c r="AH72" i="36"/>
  <c r="AG72" i="36"/>
  <c r="AI71" i="36"/>
  <c r="AH71" i="36"/>
  <c r="AJ71" i="36" s="1"/>
  <c r="AG71" i="36"/>
  <c r="AI70" i="36"/>
  <c r="AH70" i="36"/>
  <c r="AG70" i="36"/>
  <c r="AJ70" i="36" s="1"/>
  <c r="AJ69" i="36"/>
  <c r="AI69" i="36"/>
  <c r="AH69" i="36"/>
  <c r="AG69" i="36"/>
  <c r="AI68" i="36"/>
  <c r="AH68" i="36"/>
  <c r="AG68" i="36"/>
  <c r="AI67" i="36"/>
  <c r="AH67" i="36"/>
  <c r="AG67" i="36"/>
  <c r="AJ67" i="36" s="1"/>
  <c r="AJ66" i="36"/>
  <c r="AI66" i="36"/>
  <c r="AH66" i="36"/>
  <c r="AG66" i="36"/>
  <c r="AI65" i="36"/>
  <c r="AH65" i="36"/>
  <c r="AJ65" i="36" s="1"/>
  <c r="AG65" i="36"/>
  <c r="AI64" i="36"/>
  <c r="AH64" i="36"/>
  <c r="AG64" i="36"/>
  <c r="AJ64" i="36" s="1"/>
  <c r="AJ63" i="36"/>
  <c r="AI63" i="36"/>
  <c r="AH63" i="36"/>
  <c r="AG63" i="36"/>
  <c r="AI62" i="36"/>
  <c r="AH62" i="36"/>
  <c r="AJ62" i="36" s="1"/>
  <c r="AG62" i="36"/>
  <c r="AI61" i="36"/>
  <c r="AH61" i="36"/>
  <c r="AG61" i="36"/>
  <c r="AJ61" i="36" s="1"/>
  <c r="AJ60" i="36"/>
  <c r="AI60" i="36"/>
  <c r="AH60" i="36"/>
  <c r="AG60" i="36"/>
  <c r="AI59" i="36"/>
  <c r="AH59" i="36"/>
  <c r="AJ59" i="36" s="1"/>
  <c r="AG59" i="36"/>
  <c r="AJ58" i="36"/>
  <c r="AI58" i="36"/>
  <c r="AH58" i="36"/>
  <c r="AG58" i="36"/>
  <c r="AJ57" i="36"/>
  <c r="AI57" i="36"/>
  <c r="AH57" i="36"/>
  <c r="AG57" i="36"/>
  <c r="AI56" i="36"/>
  <c r="AH56" i="36"/>
  <c r="AJ56" i="36" s="1"/>
  <c r="AG56" i="36"/>
  <c r="AI55" i="36"/>
  <c r="AJ55" i="36" s="1"/>
  <c r="AH55" i="36"/>
  <c r="AG55" i="36"/>
  <c r="AJ54" i="36"/>
  <c r="AI54" i="36"/>
  <c r="AH54" i="36"/>
  <c r="AG54" i="36"/>
  <c r="AI53" i="36"/>
  <c r="AH53" i="36"/>
  <c r="AJ53" i="36" s="1"/>
  <c r="AG53" i="36"/>
  <c r="AI52" i="36"/>
  <c r="AH52" i="36"/>
  <c r="AJ52" i="36" s="1"/>
  <c r="AG52" i="36"/>
  <c r="AJ51" i="36"/>
  <c r="AI51" i="36"/>
  <c r="AH51" i="36"/>
  <c r="AG51" i="36"/>
  <c r="AI50" i="36"/>
  <c r="AH50" i="36"/>
  <c r="AJ50" i="36" s="1"/>
  <c r="AG50" i="36"/>
  <c r="AI49" i="36"/>
  <c r="AH49" i="36"/>
  <c r="AG49" i="36"/>
  <c r="AJ49" i="36" s="1"/>
  <c r="AJ48" i="36"/>
  <c r="AI48" i="36"/>
  <c r="AH48" i="36"/>
  <c r="AG48" i="36"/>
  <c r="AI47" i="36"/>
  <c r="AH47" i="36"/>
  <c r="AJ47" i="36" s="1"/>
  <c r="AG47" i="36"/>
  <c r="AI46" i="36"/>
  <c r="AH46" i="36"/>
  <c r="AG46" i="36"/>
  <c r="AJ46" i="36" s="1"/>
  <c r="AJ45" i="36"/>
  <c r="AI45" i="36"/>
  <c r="AH45" i="36"/>
  <c r="AG45" i="36"/>
  <c r="AI44" i="36"/>
  <c r="AH44" i="36"/>
  <c r="AJ44" i="36" s="1"/>
  <c r="AG44" i="36"/>
  <c r="AI43" i="36"/>
  <c r="AH43" i="36"/>
  <c r="AG43" i="36"/>
  <c r="AJ43" i="36" s="1"/>
  <c r="AJ42" i="36"/>
  <c r="AI42" i="36"/>
  <c r="AH42" i="36"/>
  <c r="AG42" i="36"/>
  <c r="AI41" i="36"/>
  <c r="AH41" i="36"/>
  <c r="AJ41" i="36" s="1"/>
  <c r="AG41" i="36"/>
  <c r="AI40" i="36"/>
  <c r="AH40" i="36"/>
  <c r="AG40" i="36"/>
  <c r="AJ40" i="36" s="1"/>
  <c r="AJ39" i="36"/>
  <c r="AI39" i="36"/>
  <c r="AH39" i="36"/>
  <c r="AG39" i="36"/>
  <c r="AI38" i="36"/>
  <c r="AH38" i="36"/>
  <c r="AJ38" i="36" s="1"/>
  <c r="AG38" i="36"/>
  <c r="AI37" i="36"/>
  <c r="AH37" i="36"/>
  <c r="AG37" i="36"/>
  <c r="AJ37" i="36" s="1"/>
  <c r="AJ36" i="36"/>
  <c r="AI36" i="36"/>
  <c r="AH36" i="36"/>
  <c r="AG36" i="36"/>
  <c r="AI35" i="36"/>
  <c r="AH35" i="36"/>
  <c r="AJ35" i="36" s="1"/>
  <c r="AG35" i="36"/>
  <c r="AI34" i="36"/>
  <c r="AH34" i="36"/>
  <c r="AG34" i="36"/>
  <c r="AJ34" i="36" s="1"/>
  <c r="AJ33" i="36"/>
  <c r="AI33" i="36"/>
  <c r="AH33" i="36"/>
  <c r="AG33" i="36"/>
  <c r="AI32" i="36"/>
  <c r="AH32" i="36"/>
  <c r="AG32" i="36"/>
  <c r="AI31" i="36"/>
  <c r="AH31" i="36"/>
  <c r="AG31" i="36"/>
  <c r="AJ31" i="36" s="1"/>
  <c r="AJ30" i="36"/>
  <c r="AI30" i="36"/>
  <c r="AH30" i="36"/>
  <c r="AG30" i="36"/>
  <c r="AI29" i="36"/>
  <c r="AH29" i="36"/>
  <c r="AJ29" i="36" s="1"/>
  <c r="AG29" i="36"/>
  <c r="AI28" i="36"/>
  <c r="AH28" i="36"/>
  <c r="AG28" i="36"/>
  <c r="AJ28" i="36" s="1"/>
  <c r="AJ27" i="36"/>
  <c r="AI27" i="36"/>
  <c r="AH27" i="36"/>
  <c r="AG27" i="36"/>
  <c r="AI26" i="36"/>
  <c r="AH26" i="36"/>
  <c r="AJ26" i="36" s="1"/>
  <c r="AG26" i="36"/>
  <c r="AI25" i="36"/>
  <c r="AH25" i="36"/>
  <c r="AG25" i="36"/>
  <c r="AJ25" i="36" s="1"/>
  <c r="AJ24" i="36"/>
  <c r="AI24" i="36"/>
  <c r="AH24" i="36"/>
  <c r="AG24" i="36"/>
  <c r="AI23" i="36"/>
  <c r="AH23" i="36"/>
  <c r="AJ23" i="36" s="1"/>
  <c r="AG23" i="36"/>
  <c r="AJ22" i="36"/>
  <c r="AI22" i="36"/>
  <c r="AH22" i="36"/>
  <c r="AG22" i="36"/>
  <c r="AJ21" i="36"/>
  <c r="AI21" i="36"/>
  <c r="AH21" i="36"/>
  <c r="AG21" i="36"/>
  <c r="AI20" i="36"/>
  <c r="AH20" i="36"/>
  <c r="AJ20" i="36" s="1"/>
  <c r="AG20" i="36"/>
  <c r="AI19" i="36"/>
  <c r="AJ19" i="36" s="1"/>
  <c r="AH19" i="36"/>
  <c r="AG19" i="36"/>
  <c r="AJ18" i="36"/>
  <c r="AI18" i="36"/>
  <c r="AH18" i="36"/>
  <c r="AG18" i="36"/>
  <c r="AI17" i="36"/>
  <c r="AH17" i="36"/>
  <c r="AJ17" i="36" s="1"/>
  <c r="AG17" i="36"/>
  <c r="AI16" i="36"/>
  <c r="AH16" i="36"/>
  <c r="AJ16" i="36" s="1"/>
  <c r="AG16" i="36"/>
  <c r="AJ15" i="36"/>
  <c r="AI15" i="36"/>
  <c r="AH15" i="36"/>
  <c r="AG15" i="36"/>
  <c r="AI14" i="36"/>
  <c r="AH14" i="36"/>
  <c r="AJ14" i="36" s="1"/>
  <c r="AG14" i="36"/>
  <c r="AI13" i="36"/>
  <c r="AH13" i="36"/>
  <c r="AG13" i="36"/>
  <c r="AJ13" i="36" s="1"/>
  <c r="AJ12" i="36"/>
  <c r="AI12" i="36"/>
  <c r="AH12" i="36"/>
  <c r="AG12" i="36"/>
  <c r="AI11" i="36"/>
  <c r="AH11" i="36"/>
  <c r="AJ11" i="36" s="1"/>
  <c r="AG11" i="36"/>
  <c r="AI10" i="36"/>
  <c r="AH10" i="36"/>
  <c r="AG10" i="36"/>
  <c r="AJ10" i="36" s="1"/>
  <c r="AJ9" i="36"/>
  <c r="AI9" i="36"/>
  <c r="AH9" i="36"/>
  <c r="AG9" i="36"/>
  <c r="AI8" i="36"/>
  <c r="AH8" i="36"/>
  <c r="AJ8" i="36" s="1"/>
  <c r="AG8" i="36"/>
  <c r="AI7" i="36"/>
  <c r="AH7" i="36"/>
  <c r="AG7" i="36"/>
  <c r="AJ7" i="36" s="1"/>
  <c r="AJ6" i="36"/>
  <c r="AI6" i="36"/>
  <c r="AH6" i="36"/>
  <c r="AG6" i="36"/>
  <c r="AI5" i="36"/>
  <c r="AH5" i="36"/>
  <c r="AJ5" i="36" s="1"/>
  <c r="AG5" i="36"/>
  <c r="AI4" i="36"/>
  <c r="AH4" i="36"/>
  <c r="AG4" i="36"/>
  <c r="AJ4" i="36" s="1"/>
  <c r="AJ3" i="36"/>
  <c r="AI3" i="36"/>
  <c r="AH3" i="36"/>
  <c r="AG3" i="36"/>
  <c r="AJ415" i="36" l="1"/>
  <c r="AJ448" i="36"/>
  <c r="AJ494" i="36"/>
  <c r="AJ581" i="36"/>
  <c r="AJ608" i="36"/>
  <c r="AJ625" i="36"/>
  <c r="AJ32" i="36"/>
  <c r="AJ68" i="36"/>
  <c r="AJ104" i="36"/>
  <c r="AJ140" i="36"/>
  <c r="AJ176" i="36"/>
  <c r="AJ212" i="36"/>
  <c r="AJ248" i="36"/>
  <c r="AJ284" i="36"/>
  <c r="AJ320" i="36"/>
  <c r="AJ356" i="36"/>
  <c r="AJ392" i="36"/>
  <c r="AJ412" i="36"/>
  <c r="AJ491" i="36"/>
  <c r="AJ511" i="36"/>
  <c r="AJ548" i="36"/>
  <c r="AJ578" i="36"/>
  <c r="AJ595" i="36"/>
  <c r="AJ605" i="36"/>
  <c r="AJ752" i="36"/>
  <c r="AJ784" i="36"/>
  <c r="AJ852" i="36"/>
  <c r="AJ888" i="36"/>
  <c r="AJ899" i="36"/>
  <c r="AJ950" i="36"/>
  <c r="AJ918" i="36"/>
  <c r="AJ954" i="36"/>
  <c r="AJ427" i="36"/>
  <c r="AJ463" i="36"/>
  <c r="AJ509" i="36"/>
  <c r="AJ539" i="36"/>
  <c r="AJ569" i="36"/>
  <c r="AJ599" i="36"/>
  <c r="AJ692" i="36"/>
  <c r="AJ725" i="36"/>
  <c r="AJ755" i="36"/>
  <c r="AJ780" i="36"/>
  <c r="AJ791" i="36"/>
  <c r="AJ801" i="36"/>
  <c r="AJ819" i="36"/>
  <c r="AJ482" i="36"/>
  <c r="AJ518" i="36"/>
  <c r="AJ554" i="36"/>
  <c r="AJ590" i="36"/>
  <c r="AJ626" i="36"/>
  <c r="AJ662" i="36"/>
  <c r="AJ698" i="36"/>
  <c r="AJ734" i="36"/>
  <c r="AJ774" i="36"/>
  <c r="AJ816" i="36"/>
  <c r="AJ840" i="36"/>
  <c r="AJ882" i="36"/>
  <c r="AJ924" i="36"/>
  <c r="AJ948" i="36"/>
  <c r="AJ992" i="36"/>
  <c r="AJ479" i="36"/>
  <c r="AJ515" i="36"/>
  <c r="AJ551" i="36"/>
  <c r="AJ587" i="36"/>
  <c r="AJ623" i="36"/>
  <c r="AJ659" i="36"/>
  <c r="AJ695" i="36"/>
  <c r="AJ731" i="36"/>
  <c r="AJ778" i="36"/>
  <c r="AJ827" i="36"/>
  <c r="AJ837" i="36"/>
  <c r="AJ935" i="36"/>
  <c r="AJ945" i="36"/>
  <c r="AJ789" i="36"/>
  <c r="AJ825" i="36"/>
  <c r="AJ861" i="36"/>
  <c r="AJ897" i="36"/>
  <c r="AJ933" i="36"/>
  <c r="AJ969" i="36"/>
  <c r="AJ1016" i="36"/>
  <c r="AJ786" i="36"/>
  <c r="AJ822" i="36"/>
  <c r="AJ858" i="36"/>
  <c r="AJ894" i="36"/>
  <c r="AJ930" i="36"/>
  <c r="AJ966" i="36"/>
  <c r="AJ1004" i="36"/>
  <c r="V2611" i="33" l="1"/>
  <c r="T2611" i="33"/>
  <c r="Z2611" i="33" s="1"/>
  <c r="S2611" i="33"/>
  <c r="R2611" i="33"/>
  <c r="K2611" i="33"/>
  <c r="F2611" i="33"/>
  <c r="G2611" i="33" s="1"/>
  <c r="AE2062" i="35"/>
  <c r="Y2062" i="35"/>
  <c r="X2062" i="35"/>
  <c r="U2062" i="35"/>
  <c r="S2062" i="35"/>
  <c r="R2062" i="35"/>
  <c r="Q2062" i="35"/>
  <c r="K2062" i="35"/>
  <c r="F2062" i="35"/>
  <c r="AE2028" i="35"/>
  <c r="Y2028" i="35"/>
  <c r="X2028" i="35"/>
  <c r="U2028" i="35"/>
  <c r="R2028" i="35"/>
  <c r="Q2028" i="35"/>
  <c r="K2028" i="35"/>
  <c r="F2028" i="35"/>
  <c r="AE2080" i="35"/>
  <c r="Y2080" i="35"/>
  <c r="X2080" i="35"/>
  <c r="U2080" i="35"/>
  <c r="S2080" i="35"/>
  <c r="R2080" i="35"/>
  <c r="Q2080" i="35"/>
  <c r="K2080" i="35"/>
  <c r="F2080" i="35"/>
  <c r="AE2074" i="35"/>
  <c r="Y2074" i="35"/>
  <c r="X2074" i="35"/>
  <c r="U2074" i="35"/>
  <c r="S2074" i="35"/>
  <c r="R2074" i="35"/>
  <c r="Q2074" i="35"/>
  <c r="K2074" i="35"/>
  <c r="F2074" i="35"/>
  <c r="AE2072" i="35"/>
  <c r="Y2072" i="35"/>
  <c r="X2072" i="35"/>
  <c r="U2072" i="35"/>
  <c r="S2072" i="35"/>
  <c r="R2072" i="35"/>
  <c r="Q2072" i="35"/>
  <c r="K2072" i="35"/>
  <c r="F2072" i="35"/>
  <c r="AE2068" i="35"/>
  <c r="Y2068" i="35"/>
  <c r="X2068" i="35"/>
  <c r="U2068" i="35"/>
  <c r="S2068" i="35"/>
  <c r="R2068" i="35"/>
  <c r="Q2068" i="35"/>
  <c r="K2068" i="35"/>
  <c r="F2068" i="35"/>
  <c r="AE2064" i="35"/>
  <c r="Y2064" i="35"/>
  <c r="X2064" i="35"/>
  <c r="U2064" i="35"/>
  <c r="S2064" i="35"/>
  <c r="R2064" i="35"/>
  <c r="Q2064" i="35"/>
  <c r="K2064" i="35"/>
  <c r="F2064" i="35"/>
  <c r="AE2060" i="35"/>
  <c r="Y2060" i="35"/>
  <c r="X2060" i="35"/>
  <c r="U2060" i="35"/>
  <c r="S2060" i="35"/>
  <c r="R2060" i="35"/>
  <c r="Q2060" i="35"/>
  <c r="K2060" i="35"/>
  <c r="F2060" i="35"/>
  <c r="AE2058" i="35"/>
  <c r="Y2058" i="35"/>
  <c r="X2058" i="35"/>
  <c r="U2058" i="35"/>
  <c r="S2058" i="35"/>
  <c r="R2058" i="35"/>
  <c r="Q2058" i="35"/>
  <c r="K2058" i="35"/>
  <c r="F2058" i="35"/>
  <c r="S2056" i="35"/>
  <c r="S2054" i="35"/>
  <c r="S2052" i="35"/>
  <c r="S2050" i="35"/>
  <c r="AE2056" i="35"/>
  <c r="Y2056" i="35"/>
  <c r="X2056" i="35"/>
  <c r="U2056" i="35"/>
  <c r="R2056" i="35"/>
  <c r="Q2056" i="35"/>
  <c r="K2056" i="35"/>
  <c r="F2056" i="35"/>
  <c r="I2056" i="35" s="1"/>
  <c r="AE2054" i="35"/>
  <c r="Y2054" i="35"/>
  <c r="X2054" i="35"/>
  <c r="U2054" i="35"/>
  <c r="R2054" i="35"/>
  <c r="Q2054" i="35"/>
  <c r="K2054" i="35"/>
  <c r="F2054" i="35"/>
  <c r="I2054" i="35" s="1"/>
  <c r="AE2052" i="35"/>
  <c r="Y2052" i="35"/>
  <c r="X2052" i="35"/>
  <c r="U2052" i="35"/>
  <c r="R2052" i="35"/>
  <c r="Q2052" i="35"/>
  <c r="K2052" i="35"/>
  <c r="F2052" i="35"/>
  <c r="AE2050" i="35"/>
  <c r="Y2050" i="35"/>
  <c r="X2050" i="35"/>
  <c r="U2050" i="35"/>
  <c r="R2050" i="35"/>
  <c r="Q2050" i="35"/>
  <c r="K2050" i="35"/>
  <c r="F2050" i="35"/>
  <c r="AE2044" i="35"/>
  <c r="Y2044" i="35"/>
  <c r="X2044" i="35"/>
  <c r="U2044" i="35"/>
  <c r="R2044" i="35"/>
  <c r="Q2044" i="35"/>
  <c r="K2044" i="35"/>
  <c r="F2044" i="35"/>
  <c r="AE2042" i="35"/>
  <c r="Y2042" i="35"/>
  <c r="X2042" i="35"/>
  <c r="U2042" i="35"/>
  <c r="R2042" i="35"/>
  <c r="Q2042" i="35"/>
  <c r="K2042" i="35"/>
  <c r="F2042" i="35"/>
  <c r="AE2040" i="35"/>
  <c r="Y2040" i="35"/>
  <c r="X2040" i="35"/>
  <c r="U2040" i="35"/>
  <c r="R2040" i="35"/>
  <c r="Q2040" i="35"/>
  <c r="K2040" i="35"/>
  <c r="F2040" i="35"/>
  <c r="I2040" i="35" s="1"/>
  <c r="AE2038" i="35"/>
  <c r="Y2038" i="35"/>
  <c r="X2038" i="35"/>
  <c r="U2038" i="35"/>
  <c r="R2038" i="35"/>
  <c r="Q2038" i="35"/>
  <c r="K2038" i="35"/>
  <c r="F2038" i="35"/>
  <c r="AE2036" i="35"/>
  <c r="Y2036" i="35"/>
  <c r="X2036" i="35"/>
  <c r="U2036" i="35"/>
  <c r="R2036" i="35"/>
  <c r="Q2036" i="35"/>
  <c r="K2036" i="35"/>
  <c r="F2036" i="35"/>
  <c r="L2062" i="35" l="1"/>
  <c r="L2074" i="35"/>
  <c r="L2060" i="35"/>
  <c r="L2072" i="35"/>
  <c r="W2038" i="35"/>
  <c r="W2044" i="35"/>
  <c r="H2611" i="33"/>
  <c r="I2611" i="33"/>
  <c r="W2611" i="33"/>
  <c r="L2611" i="33"/>
  <c r="X2611" i="33"/>
  <c r="Y2611" i="33"/>
  <c r="L2068" i="35"/>
  <c r="V2028" i="35"/>
  <c r="H2062" i="35"/>
  <c r="AD2062" i="35"/>
  <c r="V2062" i="35"/>
  <c r="W2062" i="35"/>
  <c r="G2062" i="35"/>
  <c r="I2062" i="35"/>
  <c r="L2058" i="35"/>
  <c r="L2064" i="35"/>
  <c r="L2080" i="35"/>
  <c r="L2028" i="35"/>
  <c r="G2028" i="35"/>
  <c r="AD2028" i="35"/>
  <c r="W2028" i="35"/>
  <c r="H2028" i="35"/>
  <c r="I2028" i="35"/>
  <c r="V2080" i="35"/>
  <c r="G2080" i="35"/>
  <c r="W2080" i="35"/>
  <c r="H2080" i="35"/>
  <c r="AD2080" i="35"/>
  <c r="I2080" i="35"/>
  <c r="G2074" i="35"/>
  <c r="H2074" i="35"/>
  <c r="AD2074" i="35"/>
  <c r="I2074" i="35"/>
  <c r="V2074" i="35"/>
  <c r="W2074" i="35"/>
  <c r="V2072" i="35"/>
  <c r="G2072" i="35"/>
  <c r="H2072" i="35"/>
  <c r="AD2072" i="35"/>
  <c r="I2072" i="35"/>
  <c r="W2072" i="35"/>
  <c r="V2068" i="35"/>
  <c r="W2068" i="35"/>
  <c r="G2068" i="35"/>
  <c r="H2068" i="35"/>
  <c r="AD2068" i="35"/>
  <c r="I2068" i="35"/>
  <c r="W2064" i="35"/>
  <c r="G2064" i="35"/>
  <c r="V2064" i="35"/>
  <c r="H2064" i="35"/>
  <c r="AD2064" i="35"/>
  <c r="I2064" i="35"/>
  <c r="L2036" i="35"/>
  <c r="L2042" i="35"/>
  <c r="V2060" i="35"/>
  <c r="G2060" i="35"/>
  <c r="W2060" i="35"/>
  <c r="H2060" i="35"/>
  <c r="AD2060" i="35"/>
  <c r="I2060" i="35"/>
  <c r="W2058" i="35"/>
  <c r="G2058" i="35"/>
  <c r="V2058" i="35"/>
  <c r="H2058" i="35"/>
  <c r="AD2058" i="35"/>
  <c r="I2058" i="35"/>
  <c r="L2056" i="35"/>
  <c r="V2056" i="35"/>
  <c r="W2056" i="35"/>
  <c r="G2056" i="35"/>
  <c r="H2056" i="35"/>
  <c r="AD2056" i="35"/>
  <c r="L2054" i="35"/>
  <c r="AD2052" i="35"/>
  <c r="V2050" i="35"/>
  <c r="G2054" i="35"/>
  <c r="AD2054" i="35"/>
  <c r="H2054" i="35"/>
  <c r="V2054" i="35"/>
  <c r="W2054" i="35"/>
  <c r="V2052" i="35"/>
  <c r="W2052" i="35"/>
  <c r="H2052" i="35"/>
  <c r="I2052" i="35"/>
  <c r="L2052" i="35"/>
  <c r="G2052" i="35"/>
  <c r="W2050" i="35"/>
  <c r="G2050" i="35"/>
  <c r="AD2050" i="35"/>
  <c r="H2050" i="35"/>
  <c r="I2050" i="35"/>
  <c r="L2050" i="35"/>
  <c r="L2044" i="35"/>
  <c r="V2044" i="35"/>
  <c r="G2044" i="35"/>
  <c r="AD2044" i="35"/>
  <c r="H2044" i="35"/>
  <c r="I2044" i="35"/>
  <c r="G2042" i="35"/>
  <c r="AD2042" i="35"/>
  <c r="V2042" i="35"/>
  <c r="W2042" i="35"/>
  <c r="H2042" i="35"/>
  <c r="I2042" i="35"/>
  <c r="L2040" i="35"/>
  <c r="V2040" i="35"/>
  <c r="W2040" i="35"/>
  <c r="G2040" i="35"/>
  <c r="AD2040" i="35"/>
  <c r="H2040" i="35"/>
  <c r="V2038" i="35"/>
  <c r="AD2038" i="35"/>
  <c r="H2038" i="35"/>
  <c r="L2038" i="35"/>
  <c r="G2038" i="35"/>
  <c r="I2038" i="35"/>
  <c r="V2036" i="35"/>
  <c r="W2036" i="35"/>
  <c r="G2036" i="35"/>
  <c r="AD2036" i="35"/>
  <c r="H2036" i="35"/>
  <c r="I2036" i="35"/>
  <c r="AE2020" i="35"/>
  <c r="Y2020" i="35"/>
  <c r="X2020" i="35"/>
  <c r="U2020" i="35"/>
  <c r="R2020" i="35"/>
  <c r="Q2020" i="35"/>
  <c r="K2020" i="35"/>
  <c r="F2020" i="35"/>
  <c r="H2020" i="35" s="1"/>
  <c r="AE2010" i="35"/>
  <c r="Y2010" i="35"/>
  <c r="X2010" i="35"/>
  <c r="U2010" i="35"/>
  <c r="S2010" i="35"/>
  <c r="R2010" i="35"/>
  <c r="Q2010" i="35"/>
  <c r="K2010" i="35"/>
  <c r="F2010" i="35"/>
  <c r="AE2008" i="35"/>
  <c r="Y2008" i="35"/>
  <c r="X2008" i="35"/>
  <c r="U2008" i="35"/>
  <c r="S2008" i="35"/>
  <c r="R2008" i="35"/>
  <c r="Q2008" i="35"/>
  <c r="K2008" i="35"/>
  <c r="F2008" i="35"/>
  <c r="L2010" i="35" l="1"/>
  <c r="L2008" i="35"/>
  <c r="I2020" i="35"/>
  <c r="L2020" i="35"/>
  <c r="V2020" i="35"/>
  <c r="W2020" i="35"/>
  <c r="G2020" i="35"/>
  <c r="AD2020" i="35"/>
  <c r="V2010" i="35"/>
  <c r="G2010" i="35"/>
  <c r="W2010" i="35"/>
  <c r="H2010" i="35"/>
  <c r="AD2010" i="35"/>
  <c r="I2010" i="35"/>
  <c r="G2008" i="35"/>
  <c r="H2008" i="35"/>
  <c r="AD2008" i="35"/>
  <c r="I2008" i="35"/>
  <c r="V2008" i="35"/>
  <c r="W2008" i="35"/>
  <c r="AF2528" i="33" l="1"/>
  <c r="AF2526" i="33"/>
  <c r="AF2524" i="33"/>
  <c r="V2528" i="33"/>
  <c r="T2528" i="33"/>
  <c r="Z2528" i="33" s="1"/>
  <c r="S2528" i="33"/>
  <c r="R2528" i="33"/>
  <c r="K2528" i="33"/>
  <c r="F2528" i="33"/>
  <c r="G2528" i="33" s="1"/>
  <c r="AE2528" i="33" l="1"/>
  <c r="L2528" i="33"/>
  <c r="X2528" i="33"/>
  <c r="H2528" i="33"/>
  <c r="I2528" i="33"/>
  <c r="W2528" i="33"/>
  <c r="Y2528" i="33"/>
  <c r="AF2558" i="33" l="1"/>
  <c r="V2558" i="33"/>
  <c r="T2558" i="33"/>
  <c r="X2558" i="33" s="1"/>
  <c r="S2558" i="33"/>
  <c r="R2558" i="33"/>
  <c r="K2558" i="33"/>
  <c r="F2558" i="33"/>
  <c r="I2558" i="33" s="1"/>
  <c r="Y2558" i="33" l="1"/>
  <c r="Z2558" i="33"/>
  <c r="L2558" i="33"/>
  <c r="W2558" i="33"/>
  <c r="H2558" i="33"/>
  <c r="AB2558" i="33"/>
  <c r="G2558" i="33"/>
  <c r="Y1992" i="35" l="1"/>
  <c r="X1992" i="35"/>
  <c r="W1992" i="35"/>
  <c r="V1992" i="35"/>
  <c r="U1992" i="35"/>
  <c r="S1992" i="35"/>
  <c r="R1992" i="35"/>
  <c r="Q1992" i="35"/>
  <c r="K1992" i="35"/>
  <c r="F1992" i="35"/>
  <c r="G1992" i="35" s="1"/>
  <c r="AF2609" i="33"/>
  <c r="V2609" i="33"/>
  <c r="T2609" i="33"/>
  <c r="Z2609" i="33" s="1"/>
  <c r="S2609" i="33"/>
  <c r="R2609" i="33"/>
  <c r="K2609" i="33"/>
  <c r="F2609" i="33"/>
  <c r="I2609" i="33" s="1"/>
  <c r="AF2601" i="33"/>
  <c r="V2601" i="33"/>
  <c r="T2601" i="33"/>
  <c r="Z2601" i="33" s="1"/>
  <c r="S2601" i="33"/>
  <c r="R2601" i="33"/>
  <c r="K2601" i="33"/>
  <c r="F2601" i="33"/>
  <c r="I2601" i="33" s="1"/>
  <c r="L2609" i="33" l="1"/>
  <c r="H1992" i="35"/>
  <c r="I1992" i="35"/>
  <c r="L1992" i="35"/>
  <c r="Y2609" i="33"/>
  <c r="W2609" i="33"/>
  <c r="X2609" i="33"/>
  <c r="H2609" i="33"/>
  <c r="AB2609" i="33"/>
  <c r="G2609" i="33"/>
  <c r="L2601" i="33"/>
  <c r="W2601" i="33"/>
  <c r="X2601" i="33"/>
  <c r="Y2601" i="33"/>
  <c r="G2601" i="33"/>
  <c r="H2601" i="33"/>
  <c r="AB2601" i="33"/>
  <c r="AF2589" i="33"/>
  <c r="V2589" i="33"/>
  <c r="T2589" i="33"/>
  <c r="Z2589" i="33" s="1"/>
  <c r="S2589" i="33"/>
  <c r="R2589" i="33"/>
  <c r="K2589" i="33"/>
  <c r="F2589" i="33"/>
  <c r="I2589" i="33" s="1"/>
  <c r="AF2587" i="33"/>
  <c r="V2587" i="33"/>
  <c r="T2587" i="33"/>
  <c r="Y2587" i="33" s="1"/>
  <c r="S2587" i="33"/>
  <c r="R2587" i="33"/>
  <c r="K2587" i="33"/>
  <c r="F2587" i="33"/>
  <c r="I2587" i="33" s="1"/>
  <c r="AF2585" i="33"/>
  <c r="V2585" i="33"/>
  <c r="T2585" i="33"/>
  <c r="X2585" i="33" s="1"/>
  <c r="S2585" i="33"/>
  <c r="R2585" i="33"/>
  <c r="K2585" i="33"/>
  <c r="F2585" i="33"/>
  <c r="I2585" i="33" s="1"/>
  <c r="AF2583" i="33"/>
  <c r="V2583" i="33"/>
  <c r="T2583" i="33"/>
  <c r="Z2583" i="33" s="1"/>
  <c r="S2583" i="33"/>
  <c r="R2583" i="33"/>
  <c r="K2583" i="33"/>
  <c r="F2583" i="33"/>
  <c r="I2583" i="33" s="1"/>
  <c r="AF2581" i="33"/>
  <c r="V2581" i="33"/>
  <c r="T2581" i="33"/>
  <c r="X2581" i="33" s="1"/>
  <c r="S2581" i="33"/>
  <c r="R2581" i="33"/>
  <c r="K2581" i="33"/>
  <c r="F2581" i="33"/>
  <c r="I2581" i="33" s="1"/>
  <c r="AF2580" i="33"/>
  <c r="V2580" i="33"/>
  <c r="T2580" i="33"/>
  <c r="Z2580" i="33" s="1"/>
  <c r="S2580" i="33"/>
  <c r="R2580" i="33"/>
  <c r="K2580" i="33"/>
  <c r="F2580" i="33"/>
  <c r="I2580" i="33" s="1"/>
  <c r="AF2574" i="33"/>
  <c r="V2574" i="33"/>
  <c r="T2574" i="33"/>
  <c r="Z2574" i="33" s="1"/>
  <c r="S2574" i="33"/>
  <c r="R2574" i="33"/>
  <c r="K2574" i="33"/>
  <c r="F2574" i="33"/>
  <c r="I2574" i="33" s="1"/>
  <c r="AF2578" i="33"/>
  <c r="V2578" i="33"/>
  <c r="T2578" i="33"/>
  <c r="Z2578" i="33" s="1"/>
  <c r="S2578" i="33"/>
  <c r="R2578" i="33"/>
  <c r="K2578" i="33"/>
  <c r="F2578" i="33"/>
  <c r="I2578" i="33" s="1"/>
  <c r="AF2576" i="33"/>
  <c r="V2576" i="33"/>
  <c r="T2576" i="33"/>
  <c r="Z2576" i="33" s="1"/>
  <c r="S2576" i="33"/>
  <c r="R2576" i="33"/>
  <c r="K2576" i="33"/>
  <c r="F2576" i="33"/>
  <c r="AB2576" i="33" l="1"/>
  <c r="L2589" i="33"/>
  <c r="W2589" i="33"/>
  <c r="X2589" i="33"/>
  <c r="Y2589" i="33"/>
  <c r="G2589" i="33"/>
  <c r="H2589" i="33"/>
  <c r="AB2589" i="33"/>
  <c r="L2587" i="33"/>
  <c r="W2587" i="33"/>
  <c r="X2587" i="33"/>
  <c r="G2587" i="33"/>
  <c r="Z2587" i="33"/>
  <c r="H2587" i="33"/>
  <c r="AB2587" i="33"/>
  <c r="L2585" i="33"/>
  <c r="Y2585" i="33"/>
  <c r="G2585" i="33"/>
  <c r="Z2585" i="33"/>
  <c r="H2585" i="33"/>
  <c r="AB2585" i="33"/>
  <c r="W2585" i="33"/>
  <c r="W2583" i="33"/>
  <c r="X2583" i="33"/>
  <c r="L2583" i="33"/>
  <c r="Y2583" i="33"/>
  <c r="G2583" i="33"/>
  <c r="H2583" i="33"/>
  <c r="AB2583" i="33"/>
  <c r="Y2581" i="33"/>
  <c r="Z2581" i="33"/>
  <c r="G2581" i="33"/>
  <c r="L2581" i="33"/>
  <c r="W2581" i="33"/>
  <c r="H2581" i="33"/>
  <c r="AB2581" i="33"/>
  <c r="L2580" i="33"/>
  <c r="W2580" i="33"/>
  <c r="X2580" i="33"/>
  <c r="H2580" i="33"/>
  <c r="Y2580" i="33"/>
  <c r="G2580" i="33"/>
  <c r="W2574" i="33"/>
  <c r="X2574" i="33"/>
  <c r="Y2574" i="33"/>
  <c r="L2574" i="33"/>
  <c r="H2574" i="33"/>
  <c r="G2574" i="33"/>
  <c r="L2578" i="33"/>
  <c r="W2578" i="33"/>
  <c r="X2578" i="33"/>
  <c r="Y2578" i="33"/>
  <c r="G2578" i="33"/>
  <c r="H2578" i="33"/>
  <c r="AB2578" i="33"/>
  <c r="I2576" i="33"/>
  <c r="L2576" i="33"/>
  <c r="W2576" i="33"/>
  <c r="X2576" i="33"/>
  <c r="Y2576" i="33"/>
  <c r="G2576" i="33"/>
  <c r="H2576" i="33"/>
  <c r="AF2572" i="33"/>
  <c r="V2572" i="33"/>
  <c r="T2572" i="33"/>
  <c r="Z2572" i="33" s="1"/>
  <c r="S2572" i="33"/>
  <c r="R2572" i="33"/>
  <c r="K2572" i="33"/>
  <c r="F2572" i="33"/>
  <c r="I2572" i="33" s="1"/>
  <c r="AF2570" i="33"/>
  <c r="V2570" i="33"/>
  <c r="T2570" i="33"/>
  <c r="Z2570" i="33" s="1"/>
  <c r="S2570" i="33"/>
  <c r="R2570" i="33"/>
  <c r="K2570" i="33"/>
  <c r="F2570" i="33"/>
  <c r="I2570" i="33" s="1"/>
  <c r="L2572" i="33" l="1"/>
  <c r="W2572" i="33"/>
  <c r="X2572" i="33"/>
  <c r="Y2572" i="33"/>
  <c r="G2572" i="33"/>
  <c r="H2572" i="33"/>
  <c r="AB2572" i="33"/>
  <c r="W2570" i="33"/>
  <c r="L2570" i="33"/>
  <c r="X2570" i="33"/>
  <c r="Y2570" i="33"/>
  <c r="G2570" i="33"/>
  <c r="H2570" i="33"/>
  <c r="AB2570" i="33"/>
  <c r="AF2599" i="33" l="1"/>
  <c r="V2599" i="33"/>
  <c r="T2599" i="33"/>
  <c r="Z2599" i="33" s="1"/>
  <c r="S2599" i="33"/>
  <c r="R2599" i="33"/>
  <c r="K2599" i="33"/>
  <c r="F2599" i="33"/>
  <c r="I2599" i="33" s="1"/>
  <c r="AF2597" i="33"/>
  <c r="V2597" i="33"/>
  <c r="T2597" i="33"/>
  <c r="Z2597" i="33" s="1"/>
  <c r="S2597" i="33"/>
  <c r="R2597" i="33"/>
  <c r="K2597" i="33"/>
  <c r="F2597" i="33"/>
  <c r="G2597" i="33" s="1"/>
  <c r="W2599" i="33" l="1"/>
  <c r="X2599" i="33"/>
  <c r="Y2599" i="33"/>
  <c r="G2599" i="33"/>
  <c r="L2599" i="33"/>
  <c r="H2599" i="33"/>
  <c r="AB2599" i="33"/>
  <c r="X2597" i="33"/>
  <c r="L2597" i="33"/>
  <c r="W2597" i="33"/>
  <c r="H2597" i="33"/>
  <c r="AB2597" i="33"/>
  <c r="I2597" i="33"/>
  <c r="Y2597" i="33"/>
  <c r="AF2564" i="33"/>
  <c r="V2564" i="33"/>
  <c r="T2564" i="33"/>
  <c r="Z2564" i="33" s="1"/>
  <c r="S2564" i="33"/>
  <c r="R2564" i="33"/>
  <c r="K2564" i="33"/>
  <c r="F2564" i="33"/>
  <c r="I2564" i="33" s="1"/>
  <c r="AF2556" i="33"/>
  <c r="V2556" i="33"/>
  <c r="T2556" i="33"/>
  <c r="Z2556" i="33" s="1"/>
  <c r="S2556" i="33"/>
  <c r="R2556" i="33"/>
  <c r="K2556" i="33"/>
  <c r="F2556" i="33"/>
  <c r="I2556" i="33" s="1"/>
  <c r="AF2554" i="33"/>
  <c r="V2554" i="33"/>
  <c r="T2554" i="33"/>
  <c r="Z2554" i="33" s="1"/>
  <c r="S2554" i="33"/>
  <c r="R2554" i="33"/>
  <c r="K2554" i="33"/>
  <c r="F2554" i="33"/>
  <c r="I2554" i="33" s="1"/>
  <c r="AF2550" i="33"/>
  <c r="V2550" i="33"/>
  <c r="T2550" i="33"/>
  <c r="Z2550" i="33" s="1"/>
  <c r="S2550" i="33"/>
  <c r="R2550" i="33"/>
  <c r="K2550" i="33"/>
  <c r="F2550" i="33"/>
  <c r="I2550" i="33" s="1"/>
  <c r="AF2548" i="33"/>
  <c r="V2548" i="33"/>
  <c r="T2548" i="33"/>
  <c r="Z2548" i="33" s="1"/>
  <c r="S2548" i="33"/>
  <c r="R2548" i="33"/>
  <c r="K2548" i="33"/>
  <c r="F2548" i="33"/>
  <c r="I2548" i="33" s="1"/>
  <c r="AF2546" i="33"/>
  <c r="V2546" i="33"/>
  <c r="T2546" i="33"/>
  <c r="Z2546" i="33" s="1"/>
  <c r="S2546" i="33"/>
  <c r="R2546" i="33"/>
  <c r="K2546" i="33"/>
  <c r="F2546" i="33"/>
  <c r="AF2544" i="33"/>
  <c r="V2544" i="33"/>
  <c r="T2544" i="33"/>
  <c r="Z2544" i="33" s="1"/>
  <c r="S2544" i="33"/>
  <c r="R2544" i="33"/>
  <c r="K2544" i="33"/>
  <c r="F2544" i="33"/>
  <c r="I2544" i="33" s="1"/>
  <c r="AB2546" i="33" l="1"/>
  <c r="L2564" i="33"/>
  <c r="W2564" i="33"/>
  <c r="X2564" i="33"/>
  <c r="Y2564" i="33"/>
  <c r="G2564" i="33"/>
  <c r="H2564" i="33"/>
  <c r="L2556" i="33"/>
  <c r="W2556" i="33"/>
  <c r="X2556" i="33"/>
  <c r="Y2556" i="33"/>
  <c r="G2556" i="33"/>
  <c r="H2556" i="33"/>
  <c r="AB2556" i="33"/>
  <c r="W2554" i="33"/>
  <c r="X2554" i="33"/>
  <c r="L2554" i="33"/>
  <c r="H2554" i="33"/>
  <c r="AB2554" i="33"/>
  <c r="Y2554" i="33"/>
  <c r="G2554" i="33"/>
  <c r="W2550" i="33"/>
  <c r="X2550" i="33"/>
  <c r="Y2550" i="33"/>
  <c r="G2550" i="33"/>
  <c r="L2550" i="33"/>
  <c r="H2550" i="33"/>
  <c r="AB2550" i="33"/>
  <c r="L2548" i="33"/>
  <c r="W2548" i="33"/>
  <c r="X2548" i="33"/>
  <c r="Y2548" i="33"/>
  <c r="G2548" i="33"/>
  <c r="H2548" i="33"/>
  <c r="AB2548" i="33"/>
  <c r="I2546" i="33"/>
  <c r="L2546" i="33"/>
  <c r="W2546" i="33"/>
  <c r="X2546" i="33"/>
  <c r="Y2546" i="33"/>
  <c r="G2546" i="33"/>
  <c r="H2546" i="33"/>
  <c r="Y2544" i="33"/>
  <c r="W2544" i="33"/>
  <c r="X2544" i="33"/>
  <c r="G2544" i="33"/>
  <c r="H2544" i="33"/>
  <c r="AB2544" i="33"/>
  <c r="L2544" i="33"/>
  <c r="T2542" i="33"/>
  <c r="Y2542" i="33" s="1"/>
  <c r="T2540" i="33"/>
  <c r="Y2540" i="33" s="1"/>
  <c r="T2538" i="33"/>
  <c r="T2536" i="33"/>
  <c r="T2534" i="33"/>
  <c r="X2534" i="33" s="1"/>
  <c r="AF2542" i="33"/>
  <c r="V2542" i="33"/>
  <c r="S2542" i="33"/>
  <c r="R2542" i="33"/>
  <c r="K2542" i="33"/>
  <c r="F2542" i="33"/>
  <c r="H2542" i="33" s="1"/>
  <c r="AF2540" i="33"/>
  <c r="V2540" i="33"/>
  <c r="S2540" i="33"/>
  <c r="R2540" i="33"/>
  <c r="K2540" i="33"/>
  <c r="F2540" i="33"/>
  <c r="H2540" i="33" s="1"/>
  <c r="AF2534" i="33"/>
  <c r="V2534" i="33"/>
  <c r="S2534" i="33"/>
  <c r="R2534" i="33"/>
  <c r="K2534" i="33"/>
  <c r="F2534" i="33"/>
  <c r="I2534" i="33" s="1"/>
  <c r="Z2542" i="33" l="1"/>
  <c r="W2542" i="33"/>
  <c r="X2542" i="33"/>
  <c r="Z2540" i="33"/>
  <c r="W2540" i="33"/>
  <c r="X2540" i="33"/>
  <c r="I2542" i="33"/>
  <c r="L2542" i="33"/>
  <c r="G2542" i="33"/>
  <c r="AB2542" i="33"/>
  <c r="I2540" i="33"/>
  <c r="L2540" i="33"/>
  <c r="G2540" i="33"/>
  <c r="AB2540" i="33"/>
  <c r="L2534" i="33"/>
  <c r="Y2534" i="33"/>
  <c r="G2534" i="33"/>
  <c r="Z2534" i="33"/>
  <c r="W2534" i="33"/>
  <c r="H2534" i="33"/>
  <c r="AB2534" i="33"/>
  <c r="AF2538" i="33" l="1"/>
  <c r="V2538" i="33"/>
  <c r="Z2538" i="33"/>
  <c r="S2538" i="33"/>
  <c r="R2538" i="33"/>
  <c r="K2538" i="33"/>
  <c r="F2538" i="33"/>
  <c r="I2538" i="33" s="1"/>
  <c r="AF2536" i="33"/>
  <c r="V2536" i="33"/>
  <c r="Z2536" i="33"/>
  <c r="S2536" i="33"/>
  <c r="R2536" i="33"/>
  <c r="K2536" i="33"/>
  <c r="F2536" i="33"/>
  <c r="I2536" i="33" s="1"/>
  <c r="V2526" i="33"/>
  <c r="T2526" i="33"/>
  <c r="Z2526" i="33" s="1"/>
  <c r="S2526" i="33"/>
  <c r="R2526" i="33"/>
  <c r="K2526" i="33"/>
  <c r="F2526" i="33"/>
  <c r="V2524" i="33"/>
  <c r="T2524" i="33"/>
  <c r="Z2524" i="33" s="1"/>
  <c r="S2524" i="33"/>
  <c r="R2524" i="33"/>
  <c r="K2524" i="33"/>
  <c r="F2524" i="33"/>
  <c r="G2524" i="33" l="1"/>
  <c r="AE2524" i="33"/>
  <c r="G2526" i="33"/>
  <c r="AE2526" i="33"/>
  <c r="L2538" i="33"/>
  <c r="W2538" i="33"/>
  <c r="X2538" i="33"/>
  <c r="Y2538" i="33"/>
  <c r="G2538" i="33"/>
  <c r="H2538" i="33"/>
  <c r="AB2538" i="33"/>
  <c r="L2536" i="33"/>
  <c r="W2536" i="33"/>
  <c r="X2536" i="33"/>
  <c r="Y2536" i="33"/>
  <c r="G2536" i="33"/>
  <c r="H2536" i="33"/>
  <c r="AB2536" i="33"/>
  <c r="H2526" i="33"/>
  <c r="I2526" i="33"/>
  <c r="L2526" i="33"/>
  <c r="W2526" i="33"/>
  <c r="X2526" i="33"/>
  <c r="Y2526" i="33"/>
  <c r="H2524" i="33"/>
  <c r="I2524" i="33"/>
  <c r="L2524" i="33"/>
  <c r="W2524" i="33"/>
  <c r="X2524" i="33"/>
  <c r="Y2524" i="33"/>
  <c r="V2506" i="33" l="1"/>
  <c r="T2506" i="33"/>
  <c r="Z2506" i="33" s="1"/>
  <c r="S2506" i="33"/>
  <c r="R2506" i="33"/>
  <c r="K2506" i="33"/>
  <c r="F2506" i="33"/>
  <c r="V2508" i="33"/>
  <c r="T2508" i="33"/>
  <c r="Z2508" i="33" s="1"/>
  <c r="S2508" i="33"/>
  <c r="R2508" i="33"/>
  <c r="K2508" i="33"/>
  <c r="F2508" i="33"/>
  <c r="G2508" i="33" s="1"/>
  <c r="V2504" i="33"/>
  <c r="T2504" i="33"/>
  <c r="Z2504" i="33" s="1"/>
  <c r="S2504" i="33"/>
  <c r="R2504" i="33"/>
  <c r="K2504" i="33"/>
  <c r="F2504" i="33"/>
  <c r="I2504" i="33" s="1"/>
  <c r="Y2506" i="33" l="1"/>
  <c r="L2508" i="33"/>
  <c r="I2508" i="33"/>
  <c r="L2504" i="33"/>
  <c r="W2504" i="33"/>
  <c r="X2504" i="33"/>
  <c r="Y2508" i="33"/>
  <c r="H2508" i="33"/>
  <c r="Y2504" i="33"/>
  <c r="W2508" i="33"/>
  <c r="G2504" i="33"/>
  <c r="X2508" i="33"/>
  <c r="H2504" i="33"/>
  <c r="AE1942" i="35" l="1"/>
  <c r="AE1934" i="35" l="1"/>
  <c r="Y1934" i="35"/>
  <c r="X1934" i="35"/>
  <c r="U1934" i="35"/>
  <c r="S1934" i="35"/>
  <c r="R1934" i="35"/>
  <c r="Q1934" i="35"/>
  <c r="K1934" i="35"/>
  <c r="F1934" i="35"/>
  <c r="L1934" i="35" l="1"/>
  <c r="V1934" i="35"/>
  <c r="W1934" i="35"/>
  <c r="AD1934" i="35"/>
  <c r="I1934" i="35"/>
  <c r="G1934" i="35"/>
  <c r="H1934" i="35"/>
  <c r="AE1938" i="35" l="1"/>
  <c r="Y1938" i="35"/>
  <c r="X1938" i="35"/>
  <c r="U1938" i="35"/>
  <c r="S1938" i="35"/>
  <c r="R1938" i="35"/>
  <c r="Q1938" i="35"/>
  <c r="K1938" i="35"/>
  <c r="F1938" i="35"/>
  <c r="AE1954" i="35"/>
  <c r="Y1954" i="35"/>
  <c r="X1954" i="35"/>
  <c r="U1954" i="35"/>
  <c r="S1954" i="35"/>
  <c r="R1954" i="35"/>
  <c r="Q1954" i="35"/>
  <c r="K1954" i="35"/>
  <c r="F1954" i="35"/>
  <c r="AE1952" i="35"/>
  <c r="Y1952" i="35"/>
  <c r="X1952" i="35"/>
  <c r="U1952" i="35"/>
  <c r="S1952" i="35"/>
  <c r="R1952" i="35"/>
  <c r="Q1952" i="35"/>
  <c r="K1952" i="35"/>
  <c r="F1952" i="35"/>
  <c r="AE1950" i="35"/>
  <c r="Y1950" i="35"/>
  <c r="X1950" i="35"/>
  <c r="U1950" i="35"/>
  <c r="S1950" i="35"/>
  <c r="R1950" i="35"/>
  <c r="Q1950" i="35"/>
  <c r="K1950" i="35"/>
  <c r="F1950" i="35"/>
  <c r="L1938" i="35" l="1"/>
  <c r="W1952" i="35"/>
  <c r="L1954" i="35"/>
  <c r="W1938" i="35"/>
  <c r="H1938" i="35"/>
  <c r="AD1938" i="35"/>
  <c r="G1938" i="35"/>
  <c r="I1938" i="35"/>
  <c r="V1938" i="35"/>
  <c r="W1954" i="35"/>
  <c r="L1950" i="35"/>
  <c r="V1954" i="35"/>
  <c r="H1952" i="35"/>
  <c r="AD1952" i="35"/>
  <c r="W1950" i="35"/>
  <c r="L1952" i="35"/>
  <c r="G1950" i="35"/>
  <c r="G1954" i="35"/>
  <c r="G1952" i="35"/>
  <c r="I1954" i="35"/>
  <c r="V1952" i="35"/>
  <c r="I1952" i="35"/>
  <c r="V1950" i="35"/>
  <c r="H1950" i="35"/>
  <c r="AD1950" i="35"/>
  <c r="H1954" i="35"/>
  <c r="AD1954" i="35"/>
  <c r="I1950" i="35"/>
  <c r="Y1942" i="35" l="1"/>
  <c r="X1942" i="35"/>
  <c r="U1942" i="35"/>
  <c r="S1942" i="35"/>
  <c r="R1942" i="35"/>
  <c r="Q1942" i="35"/>
  <c r="K1942" i="35"/>
  <c r="F1942" i="35"/>
  <c r="AF2490" i="33"/>
  <c r="V2490" i="33"/>
  <c r="T2490" i="33"/>
  <c r="Z2490" i="33" s="1"/>
  <c r="S2490" i="33"/>
  <c r="R2490" i="33"/>
  <c r="K2490" i="33"/>
  <c r="F2490" i="33"/>
  <c r="H2490" i="33" s="1"/>
  <c r="L1942" i="35" l="1"/>
  <c r="V1942" i="35"/>
  <c r="W1942" i="35"/>
  <c r="G1942" i="35"/>
  <c r="H1942" i="35"/>
  <c r="AD1942" i="35"/>
  <c r="I1942" i="35"/>
  <c r="X2490" i="33"/>
  <c r="I2490" i="33"/>
  <c r="L2490" i="33"/>
  <c r="W2490" i="33"/>
  <c r="Y2490" i="33"/>
  <c r="G2490" i="33"/>
  <c r="AE1944" i="35" l="1"/>
  <c r="Y1944" i="35"/>
  <c r="X1944" i="35"/>
  <c r="U1944" i="35"/>
  <c r="S1944" i="35"/>
  <c r="R1944" i="35"/>
  <c r="Q1944" i="35"/>
  <c r="K1944" i="35"/>
  <c r="F1944" i="35"/>
  <c r="AF2488" i="33"/>
  <c r="V2488" i="33"/>
  <c r="T2488" i="33"/>
  <c r="Z2488" i="33" s="1"/>
  <c r="S2488" i="33"/>
  <c r="R2488" i="33"/>
  <c r="K2488" i="33"/>
  <c r="F2488" i="33"/>
  <c r="H2488" i="33" s="1"/>
  <c r="G472" i="21"/>
  <c r="G471" i="21"/>
  <c r="G470" i="21"/>
  <c r="G469" i="21"/>
  <c r="G468" i="21"/>
  <c r="G467" i="21"/>
  <c r="G466" i="21"/>
  <c r="G465" i="21"/>
  <c r="G464" i="21"/>
  <c r="G463" i="21"/>
  <c r="G462" i="21"/>
  <c r="G461" i="21"/>
  <c r="G460" i="21"/>
  <c r="G459" i="21"/>
  <c r="G458" i="21"/>
  <c r="G457" i="21"/>
  <c r="G456" i="21"/>
  <c r="G455" i="21"/>
  <c r="G454" i="21"/>
  <c r="G453" i="21"/>
  <c r="G452" i="21"/>
  <c r="G451" i="21"/>
  <c r="G450" i="21"/>
  <c r="G449" i="21"/>
  <c r="G448" i="21"/>
  <c r="G447" i="21"/>
  <c r="G446" i="21"/>
  <c r="G445" i="21"/>
  <c r="G444" i="21"/>
  <c r="G443" i="21"/>
  <c r="G442" i="21"/>
  <c r="G441" i="21"/>
  <c r="G440" i="21"/>
  <c r="G439" i="21"/>
  <c r="G438" i="21"/>
  <c r="G437" i="21"/>
  <c r="G436" i="21"/>
  <c r="G435" i="21"/>
  <c r="G434" i="21"/>
  <c r="G433" i="21"/>
  <c r="G432" i="21"/>
  <c r="G431" i="21"/>
  <c r="G430" i="21"/>
  <c r="G429" i="21"/>
  <c r="G427" i="21"/>
  <c r="G426" i="21"/>
  <c r="G425" i="21"/>
  <c r="G424" i="21"/>
  <c r="G423" i="21"/>
  <c r="G422" i="21"/>
  <c r="G421" i="21"/>
  <c r="G420" i="21"/>
  <c r="G419" i="21"/>
  <c r="G418" i="21"/>
  <c r="G417" i="21"/>
  <c r="G416" i="21"/>
  <c r="G415" i="21"/>
  <c r="G414" i="21"/>
  <c r="G413" i="21"/>
  <c r="G412" i="21"/>
  <c r="G411" i="21"/>
  <c r="G410" i="21"/>
  <c r="G409" i="21"/>
  <c r="G408" i="21"/>
  <c r="G407" i="21"/>
  <c r="G406" i="21"/>
  <c r="G405" i="21"/>
  <c r="G404" i="21"/>
  <c r="G403" i="21"/>
  <c r="G402" i="21"/>
  <c r="G401" i="21"/>
  <c r="G400" i="21"/>
  <c r="G399" i="21"/>
  <c r="G398" i="21"/>
  <c r="G397" i="21"/>
  <c r="G396" i="21"/>
  <c r="G395" i="21"/>
  <c r="G394" i="21"/>
  <c r="G393" i="21"/>
  <c r="G392" i="21"/>
  <c r="G391" i="21"/>
  <c r="G390" i="21"/>
  <c r="G389" i="21"/>
  <c r="G388" i="21"/>
  <c r="G387" i="21"/>
  <c r="G386" i="21"/>
  <c r="G385" i="21"/>
  <c r="G384" i="21"/>
  <c r="G383" i="21"/>
  <c r="G382" i="21"/>
  <c r="G381" i="21"/>
  <c r="G380" i="21"/>
  <c r="G379" i="21"/>
  <c r="G378" i="21"/>
  <c r="G377" i="21"/>
  <c r="G376" i="21"/>
  <c r="G375" i="21"/>
  <c r="G374" i="21"/>
  <c r="G373" i="21"/>
  <c r="G372" i="21"/>
  <c r="G371" i="21"/>
  <c r="G370" i="21"/>
  <c r="G369" i="21"/>
  <c r="G368" i="21"/>
  <c r="G367" i="21"/>
  <c r="G366" i="21"/>
  <c r="G365" i="21"/>
  <c r="G364" i="21"/>
  <c r="G363" i="21"/>
  <c r="G362" i="21"/>
  <c r="G361" i="21"/>
  <c r="G360" i="21"/>
  <c r="G359" i="21"/>
  <c r="G358" i="21"/>
  <c r="G357" i="21"/>
  <c r="G356" i="21"/>
  <c r="G355" i="21"/>
  <c r="G354" i="21"/>
  <c r="G353" i="21"/>
  <c r="G352" i="21"/>
  <c r="G351" i="21"/>
  <c r="G350" i="21"/>
  <c r="G349" i="21"/>
  <c r="G348" i="21"/>
  <c r="G347" i="21"/>
  <c r="G346" i="21"/>
  <c r="G345" i="21"/>
  <c r="G344" i="21"/>
  <c r="G343" i="21"/>
  <c r="G342" i="21"/>
  <c r="G341" i="21"/>
  <c r="G340" i="21"/>
  <c r="G339" i="21"/>
  <c r="G338" i="21"/>
  <c r="G337" i="21"/>
  <c r="G336" i="21"/>
  <c r="G335" i="21"/>
  <c r="G334" i="21"/>
  <c r="G333" i="21"/>
  <c r="G332" i="21"/>
  <c r="G331" i="21"/>
  <c r="G330" i="21"/>
  <c r="G329" i="21"/>
  <c r="G328" i="21"/>
  <c r="G327" i="21"/>
  <c r="G326" i="21"/>
  <c r="G325" i="21"/>
  <c r="G324" i="21"/>
  <c r="G323" i="21"/>
  <c r="G322" i="21"/>
  <c r="G321" i="21"/>
  <c r="G320" i="21"/>
  <c r="G319" i="21"/>
  <c r="G318" i="21"/>
  <c r="G317" i="21"/>
  <c r="G316" i="21"/>
  <c r="G315" i="21"/>
  <c r="G314" i="21"/>
  <c r="G313" i="21"/>
  <c r="G312" i="21"/>
  <c r="G311" i="21"/>
  <c r="G310" i="21"/>
  <c r="G309" i="21"/>
  <c r="G308" i="21"/>
  <c r="G307" i="21"/>
  <c r="G306" i="21"/>
  <c r="G305" i="21"/>
  <c r="G304" i="21"/>
  <c r="G303" i="21"/>
  <c r="G302" i="21"/>
  <c r="G301" i="21"/>
  <c r="G300" i="21"/>
  <c r="G299" i="21"/>
  <c r="G298" i="21"/>
  <c r="G297" i="21"/>
  <c r="G296" i="21"/>
  <c r="G295" i="21"/>
  <c r="G294" i="21"/>
  <c r="G293" i="21"/>
  <c r="G292" i="21"/>
  <c r="G291" i="21"/>
  <c r="G290" i="21"/>
  <c r="G289" i="21"/>
  <c r="G288" i="21"/>
  <c r="G287" i="21"/>
  <c r="G286" i="21"/>
  <c r="G285" i="21"/>
  <c r="G284" i="21"/>
  <c r="G283" i="21"/>
  <c r="G282" i="21"/>
  <c r="G281" i="21"/>
  <c r="G280" i="21"/>
  <c r="G279" i="21"/>
  <c r="G278" i="21"/>
  <c r="G277" i="21"/>
  <c r="G276" i="21"/>
  <c r="G275" i="21"/>
  <c r="G274" i="21"/>
  <c r="G273" i="21"/>
  <c r="G272" i="21"/>
  <c r="G271" i="21"/>
  <c r="G270" i="21"/>
  <c r="G269" i="21"/>
  <c r="G268" i="21"/>
  <c r="G267" i="21"/>
  <c r="G266" i="21"/>
  <c r="G265" i="21"/>
  <c r="G264" i="21"/>
  <c r="G263" i="21"/>
  <c r="G262" i="21"/>
  <c r="G261" i="21"/>
  <c r="G260" i="21"/>
  <c r="G259" i="21"/>
  <c r="G258" i="21"/>
  <c r="G257" i="21"/>
  <c r="G256" i="21"/>
  <c r="G255" i="21"/>
  <c r="G254" i="21"/>
  <c r="G253" i="21"/>
  <c r="G252" i="21"/>
  <c r="G251" i="21"/>
  <c r="G250" i="21"/>
  <c r="G249" i="21"/>
  <c r="G248" i="21"/>
  <c r="G247" i="21"/>
  <c r="G246" i="21"/>
  <c r="G245" i="21"/>
  <c r="G244" i="21"/>
  <c r="G243" i="21"/>
  <c r="G242" i="21"/>
  <c r="G241" i="21"/>
  <c r="G240" i="21"/>
  <c r="G239" i="21"/>
  <c r="G238" i="21"/>
  <c r="G237" i="21"/>
  <c r="G236" i="21"/>
  <c r="G235" i="21"/>
  <c r="G234" i="21"/>
  <c r="G233" i="21"/>
  <c r="G232" i="21"/>
  <c r="G231" i="21"/>
  <c r="G230" i="21"/>
  <c r="G229" i="21"/>
  <c r="G228" i="21"/>
  <c r="G227" i="21"/>
  <c r="G226" i="21"/>
  <c r="G225" i="21"/>
  <c r="G224" i="21"/>
  <c r="G223" i="21"/>
  <c r="G222" i="21"/>
  <c r="G221" i="21"/>
  <c r="G220" i="21"/>
  <c r="G219" i="21"/>
  <c r="G218" i="21"/>
  <c r="G217" i="21"/>
  <c r="G216" i="21"/>
  <c r="G215" i="21"/>
  <c r="G214" i="21"/>
  <c r="G213" i="21"/>
  <c r="G212" i="21"/>
  <c r="G211" i="21"/>
  <c r="G210" i="21"/>
  <c r="G209" i="21"/>
  <c r="G208" i="21"/>
  <c r="G207" i="21"/>
  <c r="G206" i="21"/>
  <c r="G205" i="21"/>
  <c r="G204" i="21"/>
  <c r="G203" i="21"/>
  <c r="G202" i="21"/>
  <c r="G201" i="21"/>
  <c r="G200" i="21"/>
  <c r="G199" i="21"/>
  <c r="G198" i="21"/>
  <c r="G197" i="21"/>
  <c r="G196" i="21"/>
  <c r="G195" i="21"/>
  <c r="G194" i="21"/>
  <c r="G193" i="21"/>
  <c r="G192" i="21"/>
  <c r="G191" i="21"/>
  <c r="G190" i="21"/>
  <c r="G189" i="21"/>
  <c r="G188" i="21"/>
  <c r="G187" i="21"/>
  <c r="G186" i="21"/>
  <c r="G185" i="21"/>
  <c r="G184" i="21"/>
  <c r="G183" i="21"/>
  <c r="G182" i="21"/>
  <c r="G181" i="21"/>
  <c r="G180" i="21"/>
  <c r="G179" i="21"/>
  <c r="G178" i="21"/>
  <c r="G177" i="21"/>
  <c r="G176" i="21"/>
  <c r="G175" i="21"/>
  <c r="G174" i="21"/>
  <c r="G173" i="21"/>
  <c r="G172" i="21"/>
  <c r="G171" i="21"/>
  <c r="G170" i="21"/>
  <c r="G169" i="21"/>
  <c r="G168" i="21"/>
  <c r="G167" i="21"/>
  <c r="G166" i="21"/>
  <c r="G165" i="21"/>
  <c r="G164" i="21"/>
  <c r="G163" i="21"/>
  <c r="G162" i="21"/>
  <c r="G161" i="21"/>
  <c r="G160" i="21"/>
  <c r="G159" i="21"/>
  <c r="G158" i="21"/>
  <c r="G157" i="21"/>
  <c r="G156" i="21"/>
  <c r="G155" i="21"/>
  <c r="G154" i="21"/>
  <c r="G153" i="21"/>
  <c r="G152" i="21"/>
  <c r="G151" i="21"/>
  <c r="G150" i="21"/>
  <c r="G149" i="21"/>
  <c r="G148" i="21"/>
  <c r="G147" i="21"/>
  <c r="G146" i="21"/>
  <c r="G145" i="21"/>
  <c r="G144" i="21"/>
  <c r="G143" i="21"/>
  <c r="G142" i="21"/>
  <c r="G141" i="21"/>
  <c r="G140" i="21"/>
  <c r="G139" i="21"/>
  <c r="G138" i="21"/>
  <c r="G137" i="21"/>
  <c r="G136" i="21"/>
  <c r="G135" i="21"/>
  <c r="G134" i="21"/>
  <c r="G133" i="21"/>
  <c r="G132" i="21"/>
  <c r="G131" i="21"/>
  <c r="G130" i="21"/>
  <c r="G129" i="21"/>
  <c r="G128" i="21"/>
  <c r="G127" i="21"/>
  <c r="G126" i="21"/>
  <c r="G125" i="21"/>
  <c r="G124" i="21"/>
  <c r="G123" i="21"/>
  <c r="G122" i="21"/>
  <c r="G121" i="21"/>
  <c r="G120" i="21"/>
  <c r="G119" i="21"/>
  <c r="G118" i="21"/>
  <c r="G117" i="21"/>
  <c r="G116" i="21"/>
  <c r="G115" i="21"/>
  <c r="G114" i="21"/>
  <c r="G113" i="21"/>
  <c r="G112" i="21"/>
  <c r="G111" i="21"/>
  <c r="G110" i="21"/>
  <c r="G109" i="21"/>
  <c r="G108" i="21"/>
  <c r="G107" i="21"/>
  <c r="G106" i="21"/>
  <c r="G105" i="21"/>
  <c r="G104" i="21"/>
  <c r="G103" i="21"/>
  <c r="G102" i="21"/>
  <c r="G101" i="21"/>
  <c r="G100" i="21"/>
  <c r="G99" i="21"/>
  <c r="G98" i="21"/>
  <c r="G97" i="21"/>
  <c r="G96" i="21"/>
  <c r="G95" i="21"/>
  <c r="G94" i="21"/>
  <c r="G93" i="21"/>
  <c r="G92" i="21"/>
  <c r="G91" i="21"/>
  <c r="G90" i="21"/>
  <c r="G89" i="21"/>
  <c r="G88" i="21"/>
  <c r="G87" i="21"/>
  <c r="G86" i="21"/>
  <c r="G85" i="21"/>
  <c r="G84" i="21"/>
  <c r="G83" i="21"/>
  <c r="G82" i="21"/>
  <c r="G81" i="21"/>
  <c r="G80" i="21"/>
  <c r="G79" i="21"/>
  <c r="G78" i="21"/>
  <c r="G77" i="21"/>
  <c r="G76" i="21"/>
  <c r="G75" i="21"/>
  <c r="G74" i="21"/>
  <c r="G73" i="21"/>
  <c r="G72" i="21"/>
  <c r="G71" i="21"/>
  <c r="G70" i="21"/>
  <c r="G69" i="21"/>
  <c r="G68" i="21"/>
  <c r="G67" i="21"/>
  <c r="G66" i="21"/>
  <c r="G65" i="21"/>
  <c r="G64" i="21"/>
  <c r="G63" i="21"/>
  <c r="G62" i="21"/>
  <c r="G61" i="21"/>
  <c r="G60" i="21"/>
  <c r="G59" i="21"/>
  <c r="G58" i="21"/>
  <c r="G57" i="21"/>
  <c r="G56" i="21"/>
  <c r="G55" i="21"/>
  <c r="G54" i="21"/>
  <c r="G53" i="21"/>
  <c r="G52" i="21"/>
  <c r="G51" i="21"/>
  <c r="G50" i="21"/>
  <c r="G49" i="21"/>
  <c r="G48" i="21"/>
  <c r="G47" i="21"/>
  <c r="G46" i="21"/>
  <c r="G45" i="21"/>
  <c r="G44" i="21"/>
  <c r="G43" i="21"/>
  <c r="G42" i="21"/>
  <c r="G41" i="21"/>
  <c r="G40" i="21"/>
  <c r="G39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G5" i="21"/>
  <c r="AE1920" i="35"/>
  <c r="Y1920" i="35"/>
  <c r="X1920" i="35"/>
  <c r="U1920" i="35"/>
  <c r="S1920" i="35"/>
  <c r="R1920" i="35"/>
  <c r="Q1920" i="35"/>
  <c r="K1920" i="35"/>
  <c r="F1920" i="35"/>
  <c r="L1944" i="35" l="1"/>
  <c r="V1944" i="35"/>
  <c r="W1944" i="35"/>
  <c r="G1944" i="35"/>
  <c r="H1944" i="35"/>
  <c r="AD1944" i="35"/>
  <c r="I1944" i="35"/>
  <c r="L2488" i="33"/>
  <c r="W2488" i="33"/>
  <c r="X2488" i="33"/>
  <c r="I2488" i="33"/>
  <c r="Y2488" i="33"/>
  <c r="G2488" i="33"/>
  <c r="AD1920" i="35"/>
  <c r="AE1988" i="35" l="1"/>
  <c r="Y1988" i="35"/>
  <c r="X1988" i="35"/>
  <c r="U1988" i="35"/>
  <c r="S1988" i="35"/>
  <c r="R1988" i="35"/>
  <c r="Q1988" i="35"/>
  <c r="K1988" i="35"/>
  <c r="F1988" i="35"/>
  <c r="AD1988" i="35" l="1"/>
  <c r="Y1906" i="35"/>
  <c r="X1906" i="35"/>
  <c r="W1906" i="35"/>
  <c r="V1906" i="35"/>
  <c r="U1906" i="35"/>
  <c r="S1906" i="35"/>
  <c r="R1906" i="35"/>
  <c r="Q1906" i="35"/>
  <c r="K1906" i="35"/>
  <c r="F1906" i="35"/>
  <c r="V2516" i="33" l="1"/>
  <c r="T2516" i="33"/>
  <c r="Z2516" i="33" s="1"/>
  <c r="S2516" i="33"/>
  <c r="R2516" i="33"/>
  <c r="K2516" i="33"/>
  <c r="F2516" i="33"/>
  <c r="V2514" i="33"/>
  <c r="T2514" i="33"/>
  <c r="Z2514" i="33" s="1"/>
  <c r="S2514" i="33"/>
  <c r="R2514" i="33"/>
  <c r="K2514" i="33"/>
  <c r="F2514" i="33"/>
  <c r="Y2516" i="33" l="1"/>
  <c r="Y2514" i="33"/>
  <c r="T2512" i="33"/>
  <c r="S2512" i="33"/>
  <c r="R2512" i="33"/>
  <c r="K2512" i="33"/>
  <c r="F2512" i="33"/>
  <c r="Y2512" i="33" l="1"/>
  <c r="Z2512" i="33"/>
  <c r="AF2442" i="33" l="1"/>
  <c r="V2442" i="33"/>
  <c r="T2442" i="33"/>
  <c r="Z2442" i="33" s="1"/>
  <c r="S2442" i="33"/>
  <c r="R2442" i="33"/>
  <c r="K2442" i="33"/>
  <c r="F2442" i="33"/>
  <c r="W2442" i="33" l="1"/>
  <c r="X2442" i="33"/>
  <c r="Y2442" i="33"/>
  <c r="AF2466" i="33" l="1"/>
  <c r="V2466" i="33"/>
  <c r="T2466" i="33"/>
  <c r="Z2466" i="33" s="1"/>
  <c r="S2466" i="33"/>
  <c r="R2466" i="33"/>
  <c r="K2466" i="33"/>
  <c r="F2466" i="33"/>
  <c r="Y2466" i="33" l="1"/>
  <c r="W2466" i="33"/>
  <c r="X2466" i="33"/>
  <c r="AF2456" i="33" l="1"/>
  <c r="V2456" i="33"/>
  <c r="T2456" i="33"/>
  <c r="Z2456" i="33" s="1"/>
  <c r="S2456" i="33"/>
  <c r="R2456" i="33"/>
  <c r="K2456" i="33"/>
  <c r="F2456" i="33"/>
  <c r="V2510" i="33"/>
  <c r="T2510" i="33"/>
  <c r="Z2510" i="33" s="1"/>
  <c r="S2510" i="33"/>
  <c r="R2510" i="33"/>
  <c r="K2510" i="33"/>
  <c r="F2510" i="33"/>
  <c r="V2496" i="33"/>
  <c r="T2496" i="33"/>
  <c r="Z2496" i="33" s="1"/>
  <c r="S2496" i="33"/>
  <c r="R2496" i="33"/>
  <c r="K2496" i="33"/>
  <c r="F2496" i="33"/>
  <c r="W2456" i="33" l="1"/>
  <c r="X2456" i="33"/>
  <c r="Y2456" i="33"/>
  <c r="Y2510" i="33"/>
  <c r="Y2496" i="33"/>
  <c r="AE1980" i="35" l="1"/>
  <c r="Y1980" i="35"/>
  <c r="X1980" i="35"/>
  <c r="U1980" i="35"/>
  <c r="R1980" i="35"/>
  <c r="Q1980" i="35"/>
  <c r="K1980" i="35"/>
  <c r="F1980" i="35"/>
  <c r="AE1978" i="35"/>
  <c r="Y1978" i="35"/>
  <c r="X1978" i="35"/>
  <c r="U1978" i="35"/>
  <c r="R1978" i="35"/>
  <c r="Q1978" i="35"/>
  <c r="K1978" i="35"/>
  <c r="F1978" i="35"/>
  <c r="AE1974" i="35"/>
  <c r="Y1974" i="35"/>
  <c r="X1974" i="35"/>
  <c r="U1974" i="35"/>
  <c r="R1974" i="35"/>
  <c r="Q1974" i="35"/>
  <c r="K1974" i="35"/>
  <c r="F1974" i="35"/>
  <c r="AE1972" i="35"/>
  <c r="Y1972" i="35"/>
  <c r="X1972" i="35"/>
  <c r="U1972" i="35"/>
  <c r="R1972" i="35"/>
  <c r="Q1972" i="35"/>
  <c r="K1972" i="35"/>
  <c r="F1972" i="35"/>
  <c r="AE1970" i="35"/>
  <c r="Y1970" i="35"/>
  <c r="X1970" i="35"/>
  <c r="U1970" i="35"/>
  <c r="R1970" i="35"/>
  <c r="Q1970" i="35"/>
  <c r="K1970" i="35"/>
  <c r="F1970" i="35"/>
  <c r="Y1968" i="35"/>
  <c r="X1968" i="35"/>
  <c r="U1968" i="35"/>
  <c r="S1968" i="35"/>
  <c r="R1968" i="35"/>
  <c r="Q1968" i="35"/>
  <c r="K1968" i="35"/>
  <c r="F1968" i="35"/>
  <c r="Y1966" i="35"/>
  <c r="X1966" i="35"/>
  <c r="U1966" i="35"/>
  <c r="S1966" i="35"/>
  <c r="R1966" i="35"/>
  <c r="Q1966" i="35"/>
  <c r="K1966" i="35"/>
  <c r="F1966" i="35"/>
  <c r="Y1962" i="35"/>
  <c r="X1962" i="35"/>
  <c r="U1962" i="35"/>
  <c r="S1962" i="35"/>
  <c r="R1962" i="35"/>
  <c r="Q1962" i="35"/>
  <c r="K1962" i="35"/>
  <c r="F1962" i="35"/>
  <c r="AE1948" i="35"/>
  <c r="Y1948" i="35"/>
  <c r="X1948" i="35"/>
  <c r="U1948" i="35"/>
  <c r="R1948" i="35"/>
  <c r="Q1948" i="35"/>
  <c r="K1948" i="35"/>
  <c r="F1948" i="35"/>
  <c r="AE1946" i="35"/>
  <c r="Y1946" i="35"/>
  <c r="X1946" i="35"/>
  <c r="U1946" i="35"/>
  <c r="R1946" i="35"/>
  <c r="Q1946" i="35"/>
  <c r="K1946" i="35"/>
  <c r="F1946" i="35"/>
  <c r="AE1940" i="35"/>
  <c r="AG1940" i="35" s="1"/>
  <c r="Y1940" i="35"/>
  <c r="X1940" i="35"/>
  <c r="U1940" i="35"/>
  <c r="S1940" i="35"/>
  <c r="R1940" i="35"/>
  <c r="Q1940" i="35"/>
  <c r="K1940" i="35"/>
  <c r="F1940" i="35"/>
  <c r="I1940" i="35" s="1"/>
  <c r="AE1936" i="35"/>
  <c r="Y1936" i="35"/>
  <c r="X1936" i="35"/>
  <c r="U1936" i="35"/>
  <c r="S1936" i="35"/>
  <c r="R1936" i="35"/>
  <c r="Q1936" i="35"/>
  <c r="K1936" i="35"/>
  <c r="F1936" i="35"/>
  <c r="AE1926" i="35"/>
  <c r="Y1926" i="35"/>
  <c r="X1926" i="35"/>
  <c r="U1926" i="35"/>
  <c r="S1926" i="35"/>
  <c r="R1926" i="35"/>
  <c r="Q1926" i="35"/>
  <c r="K1926" i="35"/>
  <c r="F1926" i="35"/>
  <c r="AE1922" i="35"/>
  <c r="Y1922" i="35"/>
  <c r="X1922" i="35"/>
  <c r="U1922" i="35"/>
  <c r="S1922" i="35"/>
  <c r="R1922" i="35"/>
  <c r="Q1922" i="35"/>
  <c r="K1922" i="35"/>
  <c r="F1922" i="35"/>
  <c r="AE1918" i="35"/>
  <c r="Y1918" i="35"/>
  <c r="X1918" i="35"/>
  <c r="U1918" i="35"/>
  <c r="S1918" i="35"/>
  <c r="R1918" i="35"/>
  <c r="Q1918" i="35"/>
  <c r="K1918" i="35"/>
  <c r="F1918" i="35"/>
  <c r="AE1916" i="35"/>
  <c r="Y1916" i="35"/>
  <c r="X1916" i="35"/>
  <c r="U1916" i="35"/>
  <c r="S1916" i="35"/>
  <c r="R1916" i="35"/>
  <c r="Q1916" i="35"/>
  <c r="K1916" i="35"/>
  <c r="F1916" i="35"/>
  <c r="AD1980" i="35" l="1"/>
  <c r="AD1978" i="35"/>
  <c r="AD1974" i="35"/>
  <c r="AD1972" i="35"/>
  <c r="AD1970" i="35"/>
  <c r="AD1948" i="35"/>
  <c r="AD1946" i="35"/>
  <c r="AD1940" i="35"/>
  <c r="AD1936" i="35"/>
  <c r="AD1926" i="35"/>
  <c r="AD1922" i="35"/>
  <c r="AD1916" i="35"/>
  <c r="AD1918" i="35"/>
  <c r="Y1904" i="35" l="1"/>
  <c r="X1904" i="35"/>
  <c r="W1904" i="35"/>
  <c r="V1904" i="35"/>
  <c r="U1904" i="35"/>
  <c r="S1904" i="35"/>
  <c r="R1904" i="35"/>
  <c r="Q1904" i="35"/>
  <c r="K1904" i="35"/>
  <c r="F1904" i="35"/>
  <c r="Y1902" i="35"/>
  <c r="X1902" i="35"/>
  <c r="W1902" i="35"/>
  <c r="V1902" i="35"/>
  <c r="U1902" i="35"/>
  <c r="S1902" i="35"/>
  <c r="R1902" i="35"/>
  <c r="Q1902" i="35"/>
  <c r="K1902" i="35"/>
  <c r="F1902" i="35"/>
  <c r="Y1900" i="35"/>
  <c r="X1900" i="35"/>
  <c r="W1900" i="35"/>
  <c r="V1900" i="35"/>
  <c r="U1900" i="35"/>
  <c r="S1900" i="35"/>
  <c r="R1900" i="35"/>
  <c r="Q1900" i="35"/>
  <c r="K1900" i="35"/>
  <c r="F1900" i="35"/>
  <c r="AF2476" i="33" l="1"/>
  <c r="V2476" i="33"/>
  <c r="T2476" i="33"/>
  <c r="Z2476" i="33" s="1"/>
  <c r="S2476" i="33"/>
  <c r="R2476" i="33"/>
  <c r="K2476" i="33"/>
  <c r="F2476" i="33"/>
  <c r="AF2470" i="33"/>
  <c r="V2470" i="33"/>
  <c r="T2470" i="33"/>
  <c r="Y2470" i="33" s="1"/>
  <c r="S2470" i="33"/>
  <c r="R2470" i="33"/>
  <c r="K2470" i="33"/>
  <c r="F2470" i="33"/>
  <c r="AF2468" i="33"/>
  <c r="V2468" i="33"/>
  <c r="T2468" i="33"/>
  <c r="Y2468" i="33" s="1"/>
  <c r="S2468" i="33"/>
  <c r="R2468" i="33"/>
  <c r="K2468" i="33"/>
  <c r="F2468" i="33"/>
  <c r="AF2464" i="33"/>
  <c r="V2464" i="33"/>
  <c r="T2464" i="33"/>
  <c r="W2464" i="33" s="1"/>
  <c r="S2464" i="33"/>
  <c r="R2464" i="33"/>
  <c r="K2464" i="33"/>
  <c r="F2464" i="33"/>
  <c r="AF2462" i="33"/>
  <c r="V2462" i="33"/>
  <c r="T2462" i="33"/>
  <c r="Y2462" i="33" s="1"/>
  <c r="S2462" i="33"/>
  <c r="R2462" i="33"/>
  <c r="K2462" i="33"/>
  <c r="F2462" i="33"/>
  <c r="AF2458" i="33"/>
  <c r="V2458" i="33"/>
  <c r="T2458" i="33"/>
  <c r="Z2458" i="33" s="1"/>
  <c r="S2458" i="33"/>
  <c r="R2458" i="33"/>
  <c r="K2458" i="33"/>
  <c r="F2458" i="33"/>
  <c r="AF2452" i="33"/>
  <c r="V2452" i="33"/>
  <c r="T2452" i="33"/>
  <c r="Z2452" i="33" s="1"/>
  <c r="S2452" i="33"/>
  <c r="R2452" i="33"/>
  <c r="K2452" i="33"/>
  <c r="F2452" i="33"/>
  <c r="AF2450" i="33"/>
  <c r="V2450" i="33"/>
  <c r="T2450" i="33"/>
  <c r="Y2450" i="33" s="1"/>
  <c r="S2450" i="33"/>
  <c r="R2450" i="33"/>
  <c r="K2450" i="33"/>
  <c r="F2450" i="33"/>
  <c r="AF2448" i="33"/>
  <c r="V2448" i="33"/>
  <c r="T2448" i="33"/>
  <c r="X2448" i="33" s="1"/>
  <c r="S2448" i="33"/>
  <c r="R2448" i="33"/>
  <c r="K2448" i="33"/>
  <c r="F2448" i="33"/>
  <c r="X2476" i="33" l="1"/>
  <c r="W2476" i="33"/>
  <c r="Y2476" i="33"/>
  <c r="Z2470" i="33"/>
  <c r="W2470" i="33"/>
  <c r="X2470" i="33"/>
  <c r="W2468" i="33"/>
  <c r="X2468" i="33"/>
  <c r="Z2468" i="33"/>
  <c r="X2464" i="33"/>
  <c r="Y2464" i="33"/>
  <c r="Z2464" i="33"/>
  <c r="W2462" i="33"/>
  <c r="Z2462" i="33"/>
  <c r="X2462" i="33"/>
  <c r="Y2458" i="33"/>
  <c r="W2458" i="33"/>
  <c r="X2458" i="33"/>
  <c r="Y2452" i="33"/>
  <c r="W2452" i="33"/>
  <c r="X2452" i="33"/>
  <c r="W2450" i="33"/>
  <c r="X2450" i="33"/>
  <c r="Z2450" i="33"/>
  <c r="Y2448" i="33"/>
  <c r="Z2448" i="33"/>
  <c r="W2448" i="33"/>
  <c r="AF2486" i="33" l="1"/>
  <c r="V2486" i="33"/>
  <c r="T2486" i="33"/>
  <c r="Z2486" i="33" s="1"/>
  <c r="S2486" i="33"/>
  <c r="R2486" i="33"/>
  <c r="K2486" i="33"/>
  <c r="F2486" i="33"/>
  <c r="T2418" i="33"/>
  <c r="Z2418" i="33" s="1"/>
  <c r="AF2446" i="33"/>
  <c r="V2446" i="33"/>
  <c r="T2446" i="33"/>
  <c r="X2446" i="33" s="1"/>
  <c r="S2446" i="33"/>
  <c r="R2446" i="33"/>
  <c r="K2446" i="33"/>
  <c r="F2446" i="33"/>
  <c r="AF2444" i="33"/>
  <c r="V2444" i="33"/>
  <c r="T2444" i="33"/>
  <c r="W2444" i="33" s="1"/>
  <c r="S2444" i="33"/>
  <c r="R2444" i="33"/>
  <c r="K2444" i="33"/>
  <c r="F2444" i="33"/>
  <c r="AF2440" i="33"/>
  <c r="V2440" i="33"/>
  <c r="T2440" i="33"/>
  <c r="Z2440" i="33" s="1"/>
  <c r="S2440" i="33"/>
  <c r="R2440" i="33"/>
  <c r="K2440" i="33"/>
  <c r="F2440" i="33"/>
  <c r="AF2438" i="33"/>
  <c r="V2438" i="33"/>
  <c r="T2438" i="33"/>
  <c r="Z2438" i="33" s="1"/>
  <c r="S2438" i="33"/>
  <c r="R2438" i="33"/>
  <c r="K2438" i="33"/>
  <c r="F2438" i="33"/>
  <c r="AF2436" i="33"/>
  <c r="V2436" i="33"/>
  <c r="T2436" i="33"/>
  <c r="Z2436" i="33" s="1"/>
  <c r="S2436" i="33"/>
  <c r="R2436" i="33"/>
  <c r="K2436" i="33"/>
  <c r="F2436" i="33"/>
  <c r="AF2434" i="33"/>
  <c r="V2434" i="33"/>
  <c r="T2434" i="33"/>
  <c r="Z2434" i="33" s="1"/>
  <c r="S2434" i="33"/>
  <c r="R2434" i="33"/>
  <c r="K2434" i="33"/>
  <c r="F2434" i="33"/>
  <c r="AF2422" i="33"/>
  <c r="V2422" i="33"/>
  <c r="T2422" i="33"/>
  <c r="X2422" i="33" s="1"/>
  <c r="S2422" i="33"/>
  <c r="R2422" i="33"/>
  <c r="K2422" i="33"/>
  <c r="F2422" i="33"/>
  <c r="AF2420" i="33"/>
  <c r="V2420" i="33"/>
  <c r="T2420" i="33"/>
  <c r="Z2420" i="33" s="1"/>
  <c r="S2420" i="33"/>
  <c r="R2420" i="33"/>
  <c r="K2420" i="33"/>
  <c r="F2420" i="33"/>
  <c r="AF2418" i="33"/>
  <c r="V2418" i="33"/>
  <c r="S2418" i="33"/>
  <c r="R2418" i="33"/>
  <c r="K2418" i="33"/>
  <c r="F2418" i="33"/>
  <c r="AF2416" i="33"/>
  <c r="V2416" i="33"/>
  <c r="T2416" i="33"/>
  <c r="Z2416" i="33" s="1"/>
  <c r="S2416" i="33"/>
  <c r="R2416" i="33"/>
  <c r="K2416" i="33"/>
  <c r="F2416" i="33"/>
  <c r="AF2414" i="33"/>
  <c r="V2414" i="33"/>
  <c r="T2414" i="33"/>
  <c r="Z2414" i="33" s="1"/>
  <c r="S2414" i="33"/>
  <c r="R2414" i="33"/>
  <c r="K2414" i="33"/>
  <c r="F2414" i="33"/>
  <c r="AF2410" i="33"/>
  <c r="V2410" i="33"/>
  <c r="T2410" i="33"/>
  <c r="Z2410" i="33" s="1"/>
  <c r="S2410" i="33"/>
  <c r="R2410" i="33"/>
  <c r="K2410" i="33"/>
  <c r="F2410" i="33"/>
  <c r="W2486" i="33" l="1"/>
  <c r="X2486" i="33"/>
  <c r="Y2486" i="33"/>
  <c r="W2446" i="33"/>
  <c r="Y2446" i="33"/>
  <c r="Z2446" i="33"/>
  <c r="Y2444" i="33"/>
  <c r="Z2444" i="33"/>
  <c r="X2444" i="33"/>
  <c r="W2440" i="33"/>
  <c r="X2440" i="33"/>
  <c r="Y2440" i="33"/>
  <c r="W2438" i="33"/>
  <c r="X2438" i="33"/>
  <c r="Y2438" i="33"/>
  <c r="W2436" i="33"/>
  <c r="X2436" i="33"/>
  <c r="Y2436" i="33"/>
  <c r="W2434" i="33"/>
  <c r="X2434" i="33"/>
  <c r="Y2434" i="33"/>
  <c r="Y2422" i="33"/>
  <c r="Z2422" i="33"/>
  <c r="W2422" i="33"/>
  <c r="W2420" i="33"/>
  <c r="X2420" i="33"/>
  <c r="Y2420" i="33"/>
  <c r="W2418" i="33"/>
  <c r="X2418" i="33"/>
  <c r="Y2418" i="33"/>
  <c r="W2416" i="33"/>
  <c r="X2416" i="33"/>
  <c r="Y2416" i="33"/>
  <c r="W2414" i="33"/>
  <c r="X2414" i="33"/>
  <c r="Y2414" i="33"/>
  <c r="W2410" i="33"/>
  <c r="X2410" i="33"/>
  <c r="Y2410" i="33"/>
  <c r="AE1856" i="35" l="1"/>
  <c r="Y1856" i="35"/>
  <c r="X1856" i="35"/>
  <c r="U1856" i="35"/>
  <c r="S1856" i="35"/>
  <c r="R1856" i="35"/>
  <c r="Q1856" i="35"/>
  <c r="K1856" i="35"/>
  <c r="F1856" i="35"/>
  <c r="AE1866" i="35"/>
  <c r="Y1866" i="35"/>
  <c r="X1866" i="35"/>
  <c r="U1866" i="35"/>
  <c r="S1866" i="35"/>
  <c r="R1866" i="35"/>
  <c r="Q1866" i="35"/>
  <c r="K1866" i="35"/>
  <c r="F1866" i="35"/>
  <c r="AD1856" i="35" l="1"/>
  <c r="AD1866" i="35"/>
  <c r="W2518" i="33" l="1"/>
  <c r="AE1848" i="35" l="1"/>
  <c r="V2394" i="33" l="1"/>
  <c r="T2394" i="33"/>
  <c r="S2394" i="33"/>
  <c r="R2394" i="33"/>
  <c r="K2394" i="33"/>
  <c r="F2394" i="33"/>
  <c r="V2392" i="33"/>
  <c r="T2392" i="33"/>
  <c r="Z2392" i="33" s="1"/>
  <c r="S2392" i="33"/>
  <c r="R2392" i="33"/>
  <c r="K2392" i="33"/>
  <c r="F2392" i="33"/>
  <c r="Y2394" i="33" l="1"/>
  <c r="Z2394" i="33"/>
  <c r="Y2392" i="33"/>
  <c r="AF2408" i="33" l="1"/>
  <c r="V2408" i="33"/>
  <c r="T2408" i="33"/>
  <c r="Z2408" i="33" s="1"/>
  <c r="S2408" i="33"/>
  <c r="R2408" i="33"/>
  <c r="K2408" i="33"/>
  <c r="F2408" i="33"/>
  <c r="AF2398" i="33"/>
  <c r="V2398" i="33"/>
  <c r="T2398" i="33"/>
  <c r="Y2398" i="33" s="1"/>
  <c r="S2398" i="33"/>
  <c r="R2398" i="33"/>
  <c r="K2398" i="33"/>
  <c r="F2398" i="33"/>
  <c r="AF2396" i="33"/>
  <c r="V2396" i="33"/>
  <c r="T2396" i="33"/>
  <c r="Z2396" i="33" s="1"/>
  <c r="S2396" i="33"/>
  <c r="R2396" i="33"/>
  <c r="K2396" i="33"/>
  <c r="F2396" i="33"/>
  <c r="V2389" i="33"/>
  <c r="T2389" i="33"/>
  <c r="Z2389" i="33" s="1"/>
  <c r="S2389" i="33"/>
  <c r="R2389" i="33"/>
  <c r="K2389" i="33"/>
  <c r="F2389" i="33"/>
  <c r="V2388" i="33"/>
  <c r="T2388" i="33"/>
  <c r="Z2388" i="33" s="1"/>
  <c r="S2388" i="33"/>
  <c r="R2388" i="33"/>
  <c r="K2388" i="33"/>
  <c r="F2388" i="33"/>
  <c r="V2386" i="33"/>
  <c r="T2386" i="33"/>
  <c r="Z2386" i="33" s="1"/>
  <c r="S2386" i="33"/>
  <c r="R2386" i="33"/>
  <c r="K2386" i="33"/>
  <c r="F2386" i="33"/>
  <c r="V2385" i="33"/>
  <c r="T2385" i="33"/>
  <c r="Z2385" i="33" s="1"/>
  <c r="S2385" i="33"/>
  <c r="R2385" i="33"/>
  <c r="K2385" i="33"/>
  <c r="F2385" i="33"/>
  <c r="V2383" i="33"/>
  <c r="T2383" i="33"/>
  <c r="Z2383" i="33" s="1"/>
  <c r="S2383" i="33"/>
  <c r="R2383" i="33"/>
  <c r="K2383" i="33"/>
  <c r="F2383" i="33"/>
  <c r="V2381" i="33"/>
  <c r="T2381" i="33"/>
  <c r="Z2381" i="33" s="1"/>
  <c r="S2381" i="33"/>
  <c r="R2381" i="33"/>
  <c r="K2381" i="33"/>
  <c r="F2381" i="33"/>
  <c r="V2379" i="33"/>
  <c r="T2379" i="33"/>
  <c r="Z2379" i="33" s="1"/>
  <c r="S2379" i="33"/>
  <c r="R2379" i="33"/>
  <c r="K2379" i="33"/>
  <c r="F2379" i="33"/>
  <c r="V2377" i="33"/>
  <c r="T2377" i="33"/>
  <c r="Z2377" i="33" s="1"/>
  <c r="S2377" i="33"/>
  <c r="R2377" i="33"/>
  <c r="K2377" i="33"/>
  <c r="F2377" i="33"/>
  <c r="V2375" i="33"/>
  <c r="T2375" i="33"/>
  <c r="Z2375" i="33" s="1"/>
  <c r="S2375" i="33"/>
  <c r="R2375" i="33"/>
  <c r="K2375" i="33"/>
  <c r="F2375" i="33"/>
  <c r="V2373" i="33"/>
  <c r="T2373" i="33"/>
  <c r="Z2373" i="33" s="1"/>
  <c r="S2373" i="33"/>
  <c r="R2373" i="33"/>
  <c r="K2373" i="33"/>
  <c r="F2373" i="33"/>
  <c r="W2353" i="33"/>
  <c r="W2351" i="33"/>
  <c r="W2349" i="33"/>
  <c r="AF2345" i="33"/>
  <c r="V2345" i="33"/>
  <c r="T2345" i="33"/>
  <c r="Z2345" i="33" s="1"/>
  <c r="S2345" i="33"/>
  <c r="R2345" i="33"/>
  <c r="K2345" i="33"/>
  <c r="F2345" i="33"/>
  <c r="AF2343" i="33"/>
  <c r="V2343" i="33"/>
  <c r="T2343" i="33"/>
  <c r="Z2343" i="33" s="1"/>
  <c r="S2343" i="33"/>
  <c r="R2343" i="33"/>
  <c r="K2343" i="33"/>
  <c r="F2343" i="33"/>
  <c r="AF2347" i="33"/>
  <c r="V2347" i="33"/>
  <c r="T2347" i="33"/>
  <c r="X2347" i="33" s="1"/>
  <c r="S2347" i="33"/>
  <c r="R2347" i="33"/>
  <c r="K2347" i="33"/>
  <c r="F2347" i="33"/>
  <c r="W2408" i="33" l="1"/>
  <c r="X2408" i="33"/>
  <c r="Y2408" i="33"/>
  <c r="W2398" i="33"/>
  <c r="X2398" i="33"/>
  <c r="Z2398" i="33"/>
  <c r="X2396" i="33"/>
  <c r="Y2396" i="33"/>
  <c r="W2396" i="33"/>
  <c r="Y2388" i="33"/>
  <c r="Y2389" i="33"/>
  <c r="Y2386" i="33"/>
  <c r="Y2385" i="33"/>
  <c r="Y2383" i="33"/>
  <c r="Y2381" i="33"/>
  <c r="Y2379" i="33"/>
  <c r="Y2377" i="33"/>
  <c r="Y2375" i="33"/>
  <c r="Y2373" i="33"/>
  <c r="W2345" i="33"/>
  <c r="X2345" i="33"/>
  <c r="Y2345" i="33"/>
  <c r="Y2343" i="33"/>
  <c r="W2343" i="33"/>
  <c r="X2343" i="33"/>
  <c r="Y2347" i="33"/>
  <c r="Z2347" i="33"/>
  <c r="W2347" i="33"/>
  <c r="AE1790" i="35" l="1"/>
  <c r="Y1790" i="35"/>
  <c r="X1790" i="35"/>
  <c r="U1790" i="35"/>
  <c r="S1790" i="35"/>
  <c r="R1790" i="35"/>
  <c r="Q1790" i="35"/>
  <c r="K1790" i="35"/>
  <c r="F1790" i="35"/>
  <c r="AD1790" i="35" l="1"/>
  <c r="AF2303" i="33" l="1"/>
  <c r="V2303" i="33"/>
  <c r="T2303" i="33"/>
  <c r="W2303" i="33" s="1"/>
  <c r="S2303" i="33"/>
  <c r="R2303" i="33"/>
  <c r="K2303" i="33"/>
  <c r="F2303" i="33"/>
  <c r="Y2303" i="33" l="1"/>
  <c r="Z2303" i="33"/>
  <c r="X2303" i="33"/>
  <c r="AE1786" i="35" l="1"/>
  <c r="Y1786" i="35"/>
  <c r="X1786" i="35"/>
  <c r="W1786" i="35"/>
  <c r="V1786" i="35"/>
  <c r="U1786" i="35"/>
  <c r="S1786" i="35"/>
  <c r="R1786" i="35"/>
  <c r="Q1786" i="35"/>
  <c r="K1786" i="35"/>
  <c r="F1786" i="35"/>
  <c r="AE1784" i="35"/>
  <c r="Y1784" i="35"/>
  <c r="X1784" i="35"/>
  <c r="W1784" i="35"/>
  <c r="V1784" i="35"/>
  <c r="U1784" i="35"/>
  <c r="S1784" i="35"/>
  <c r="R1784" i="35"/>
  <c r="Q1784" i="35"/>
  <c r="K1784" i="35"/>
  <c r="F1784" i="35"/>
  <c r="AE1782" i="35"/>
  <c r="Y1782" i="35"/>
  <c r="X1782" i="35"/>
  <c r="W1782" i="35"/>
  <c r="V1782" i="35"/>
  <c r="U1782" i="35"/>
  <c r="S1782" i="35"/>
  <c r="R1782" i="35"/>
  <c r="Q1782" i="35"/>
  <c r="K1782" i="35"/>
  <c r="F1782" i="35"/>
  <c r="AE1780" i="35"/>
  <c r="Y1780" i="35"/>
  <c r="X1780" i="35"/>
  <c r="U1780" i="35"/>
  <c r="S1780" i="35"/>
  <c r="R1780" i="35"/>
  <c r="Q1780" i="35"/>
  <c r="K1780" i="35"/>
  <c r="F1780" i="35"/>
  <c r="AE1770" i="35"/>
  <c r="Y1770" i="35"/>
  <c r="X1770" i="35"/>
  <c r="U1770" i="35"/>
  <c r="S1770" i="35"/>
  <c r="R1770" i="35"/>
  <c r="Q1770" i="35"/>
  <c r="K1770" i="35"/>
  <c r="F1770" i="35"/>
  <c r="AD1780" i="35" l="1"/>
  <c r="AD1770" i="35"/>
  <c r="AE1880" i="35" l="1"/>
  <c r="Y1880" i="35"/>
  <c r="X1880" i="35"/>
  <c r="U1880" i="35"/>
  <c r="S1880" i="35"/>
  <c r="R1880" i="35"/>
  <c r="Q1880" i="35"/>
  <c r="K1880" i="35"/>
  <c r="F1880" i="35"/>
  <c r="AD1880" i="35" l="1"/>
  <c r="AE1850" i="35"/>
  <c r="Y1850" i="35"/>
  <c r="X1850" i="35"/>
  <c r="U1850" i="35"/>
  <c r="R1850" i="35"/>
  <c r="Q1850" i="35"/>
  <c r="K1850" i="35"/>
  <c r="F1850" i="35"/>
  <c r="AE1833" i="35"/>
  <c r="Y1833" i="35"/>
  <c r="X1833" i="35"/>
  <c r="U1833" i="35"/>
  <c r="S1833" i="35"/>
  <c r="R1833" i="35"/>
  <c r="Q1833" i="35"/>
  <c r="K1833" i="35"/>
  <c r="F1833" i="35"/>
  <c r="AE1831" i="35"/>
  <c r="Y1831" i="35"/>
  <c r="X1831" i="35"/>
  <c r="U1831" i="35"/>
  <c r="S1831" i="35"/>
  <c r="R1831" i="35"/>
  <c r="Q1831" i="35"/>
  <c r="K1831" i="35"/>
  <c r="F1831" i="35"/>
  <c r="AE1829" i="35"/>
  <c r="Y1829" i="35"/>
  <c r="X1829" i="35"/>
  <c r="U1829" i="35"/>
  <c r="S1829" i="35"/>
  <c r="R1829" i="35"/>
  <c r="Q1829" i="35"/>
  <c r="K1829" i="35"/>
  <c r="F1829" i="35"/>
  <c r="AE1827" i="35"/>
  <c r="Y1827" i="35"/>
  <c r="X1827" i="35"/>
  <c r="U1827" i="35"/>
  <c r="S1827" i="35"/>
  <c r="R1827" i="35"/>
  <c r="Q1827" i="35"/>
  <c r="K1827" i="35"/>
  <c r="F1827" i="35"/>
  <c r="AE1826" i="35"/>
  <c r="Y1826" i="35"/>
  <c r="X1826" i="35"/>
  <c r="U1826" i="35"/>
  <c r="S1826" i="35"/>
  <c r="R1826" i="35"/>
  <c r="Q1826" i="35"/>
  <c r="K1826" i="35"/>
  <c r="F1826" i="35"/>
  <c r="AE1824" i="35"/>
  <c r="Y1824" i="35"/>
  <c r="X1824" i="35"/>
  <c r="U1824" i="35"/>
  <c r="S1824" i="35"/>
  <c r="R1824" i="35"/>
  <c r="Q1824" i="35"/>
  <c r="K1824" i="35"/>
  <c r="F1824" i="35"/>
  <c r="AD1850" i="35" l="1"/>
  <c r="AD1833" i="35"/>
  <c r="AD1829" i="35"/>
  <c r="AD1831" i="35"/>
  <c r="AD1826" i="35"/>
  <c r="AD1824" i="35"/>
  <c r="AD1827" i="35"/>
  <c r="AE1886" i="35" l="1"/>
  <c r="Y1886" i="35"/>
  <c r="X1886" i="35"/>
  <c r="U1886" i="35"/>
  <c r="S1886" i="35"/>
  <c r="R1886" i="35"/>
  <c r="Q1886" i="35"/>
  <c r="K1886" i="35"/>
  <c r="F1886" i="35"/>
  <c r="AE1878" i="35"/>
  <c r="Y1878" i="35"/>
  <c r="X1878" i="35"/>
  <c r="U1878" i="35"/>
  <c r="S1878" i="35"/>
  <c r="R1878" i="35"/>
  <c r="Q1878" i="35"/>
  <c r="K1878" i="35"/>
  <c r="F1878" i="35"/>
  <c r="AE1876" i="35"/>
  <c r="Y1876" i="35"/>
  <c r="X1876" i="35"/>
  <c r="U1876" i="35"/>
  <c r="S1876" i="35"/>
  <c r="R1876" i="35"/>
  <c r="Q1876" i="35"/>
  <c r="K1876" i="35"/>
  <c r="F1876" i="35"/>
  <c r="AE1874" i="35"/>
  <c r="Y1874" i="35"/>
  <c r="X1874" i="35"/>
  <c r="U1874" i="35"/>
  <c r="S1874" i="35"/>
  <c r="R1874" i="35"/>
  <c r="Q1874" i="35"/>
  <c r="K1874" i="35"/>
  <c r="F1874" i="35"/>
  <c r="AE1872" i="35"/>
  <c r="Y1872" i="35"/>
  <c r="X1872" i="35"/>
  <c r="U1872" i="35"/>
  <c r="S1872" i="35"/>
  <c r="R1872" i="35"/>
  <c r="Q1872" i="35"/>
  <c r="K1872" i="35"/>
  <c r="F1872" i="35"/>
  <c r="AE1890" i="35"/>
  <c r="Y1890" i="35"/>
  <c r="X1890" i="35"/>
  <c r="U1890" i="35"/>
  <c r="S1890" i="35"/>
  <c r="R1890" i="35"/>
  <c r="Q1890" i="35"/>
  <c r="K1890" i="35"/>
  <c r="F1890" i="35"/>
  <c r="AE1870" i="35"/>
  <c r="Y1870" i="35"/>
  <c r="X1870" i="35"/>
  <c r="U1870" i="35"/>
  <c r="S1870" i="35"/>
  <c r="R1870" i="35"/>
  <c r="Q1870" i="35"/>
  <c r="K1870" i="35"/>
  <c r="F1870" i="35"/>
  <c r="AE1868" i="35"/>
  <c r="Y1868" i="35"/>
  <c r="X1868" i="35"/>
  <c r="U1868" i="35"/>
  <c r="S1868" i="35"/>
  <c r="R1868" i="35"/>
  <c r="Q1868" i="35"/>
  <c r="K1868" i="35"/>
  <c r="F1868" i="35"/>
  <c r="AE1864" i="35"/>
  <c r="Y1864" i="35"/>
  <c r="X1864" i="35"/>
  <c r="U1864" i="35"/>
  <c r="S1864" i="35"/>
  <c r="R1864" i="35"/>
  <c r="Q1864" i="35"/>
  <c r="K1864" i="35"/>
  <c r="F1864" i="35"/>
  <c r="AE1860" i="35"/>
  <c r="Y1860" i="35"/>
  <c r="X1860" i="35"/>
  <c r="U1860" i="35"/>
  <c r="S1860" i="35"/>
  <c r="R1860" i="35"/>
  <c r="Q1860" i="35"/>
  <c r="K1860" i="35"/>
  <c r="F1860" i="35"/>
  <c r="AE1854" i="35"/>
  <c r="Y1854" i="35"/>
  <c r="X1854" i="35"/>
  <c r="U1854" i="35"/>
  <c r="S1854" i="35"/>
  <c r="R1854" i="35"/>
  <c r="Q1854" i="35"/>
  <c r="K1854" i="35"/>
  <c r="F1854" i="35"/>
  <c r="AE1852" i="35"/>
  <c r="Y1852" i="35"/>
  <c r="X1852" i="35"/>
  <c r="U1852" i="35"/>
  <c r="S1852" i="35"/>
  <c r="R1852" i="35"/>
  <c r="Q1852" i="35"/>
  <c r="K1852" i="35"/>
  <c r="F1852" i="35"/>
  <c r="Y1848" i="35"/>
  <c r="X1848" i="35"/>
  <c r="U1848" i="35"/>
  <c r="R1848" i="35"/>
  <c r="Q1848" i="35"/>
  <c r="K1848" i="35"/>
  <c r="F1848" i="35"/>
  <c r="AE1842" i="35"/>
  <c r="Y1842" i="35"/>
  <c r="X1842" i="35"/>
  <c r="U1842" i="35"/>
  <c r="R1842" i="35"/>
  <c r="Q1842" i="35"/>
  <c r="K1842" i="35"/>
  <c r="F1842" i="35"/>
  <c r="Y1822" i="35"/>
  <c r="X1822" i="35"/>
  <c r="U1822" i="35"/>
  <c r="S1822" i="35"/>
  <c r="R1822" i="35"/>
  <c r="Q1822" i="35"/>
  <c r="K1822" i="35"/>
  <c r="F1822" i="35"/>
  <c r="Y1818" i="35"/>
  <c r="X1818" i="35"/>
  <c r="U1818" i="35"/>
  <c r="S1818" i="35"/>
  <c r="R1818" i="35"/>
  <c r="Q1818" i="35"/>
  <c r="K1818" i="35"/>
  <c r="F1818" i="35"/>
  <c r="Y1816" i="35"/>
  <c r="X1816" i="35"/>
  <c r="U1816" i="35"/>
  <c r="S1816" i="35"/>
  <c r="R1816" i="35"/>
  <c r="Q1816" i="35"/>
  <c r="K1816" i="35"/>
  <c r="F1816" i="35"/>
  <c r="AE1840" i="35"/>
  <c r="Y1840" i="35"/>
  <c r="X1840" i="35"/>
  <c r="U1840" i="35"/>
  <c r="S1840" i="35"/>
  <c r="R1840" i="35"/>
  <c r="Q1840" i="35"/>
  <c r="K1840" i="35"/>
  <c r="F1840" i="35"/>
  <c r="AE1838" i="35"/>
  <c r="Y1838" i="35"/>
  <c r="X1838" i="35"/>
  <c r="U1838" i="35"/>
  <c r="S1838" i="35"/>
  <c r="R1838" i="35"/>
  <c r="Q1838" i="35"/>
  <c r="K1838" i="35"/>
  <c r="F1838" i="35"/>
  <c r="AE1836" i="35"/>
  <c r="Y1836" i="35"/>
  <c r="X1836" i="35"/>
  <c r="U1836" i="35"/>
  <c r="S1836" i="35"/>
  <c r="R1836" i="35"/>
  <c r="Q1836" i="35"/>
  <c r="K1836" i="35"/>
  <c r="F1836" i="35"/>
  <c r="AE1835" i="35"/>
  <c r="Y1835" i="35"/>
  <c r="X1835" i="35"/>
  <c r="U1835" i="35"/>
  <c r="S1835" i="35"/>
  <c r="R1835" i="35"/>
  <c r="Q1835" i="35"/>
  <c r="K1835" i="35"/>
  <c r="F1835" i="35"/>
  <c r="AE1802" i="35"/>
  <c r="Y1802" i="35"/>
  <c r="X1802" i="35"/>
  <c r="U1802" i="35"/>
  <c r="S1802" i="35"/>
  <c r="R1802" i="35"/>
  <c r="Q1802" i="35"/>
  <c r="K1802" i="35"/>
  <c r="F1802" i="35"/>
  <c r="AE1800" i="35"/>
  <c r="Y1800" i="35"/>
  <c r="X1800" i="35"/>
  <c r="U1800" i="35"/>
  <c r="S1800" i="35"/>
  <c r="R1800" i="35"/>
  <c r="Q1800" i="35"/>
  <c r="K1800" i="35"/>
  <c r="F1800" i="35"/>
  <c r="AE1798" i="35"/>
  <c r="Y1798" i="35"/>
  <c r="X1798" i="35"/>
  <c r="U1798" i="35"/>
  <c r="S1798" i="35"/>
  <c r="R1798" i="35"/>
  <c r="Q1798" i="35"/>
  <c r="K1798" i="35"/>
  <c r="F1798" i="35"/>
  <c r="AE1796" i="35"/>
  <c r="Y1796" i="35"/>
  <c r="X1796" i="35"/>
  <c r="U1796" i="35"/>
  <c r="S1796" i="35"/>
  <c r="R1796" i="35"/>
  <c r="Q1796" i="35"/>
  <c r="K1796" i="35"/>
  <c r="F1796" i="35"/>
  <c r="AE1794" i="35"/>
  <c r="Y1794" i="35"/>
  <c r="X1794" i="35"/>
  <c r="U1794" i="35"/>
  <c r="S1794" i="35"/>
  <c r="R1794" i="35"/>
  <c r="Q1794" i="35"/>
  <c r="K1794" i="35"/>
  <c r="F1794" i="35"/>
  <c r="AE1792" i="35"/>
  <c r="Y1792" i="35"/>
  <c r="X1792" i="35"/>
  <c r="U1792" i="35"/>
  <c r="S1792" i="35"/>
  <c r="R1792" i="35"/>
  <c r="Q1792" i="35"/>
  <c r="K1792" i="35"/>
  <c r="F1792" i="35"/>
  <c r="AD1886" i="35" l="1"/>
  <c r="AD1878" i="35"/>
  <c r="AD1876" i="35"/>
  <c r="AD1874" i="35"/>
  <c r="AD1872" i="35"/>
  <c r="AD1890" i="35"/>
  <c r="AG1890" i="35" s="1"/>
  <c r="AD1870" i="35"/>
  <c r="AD1868" i="35"/>
  <c r="AD1864" i="35"/>
  <c r="AD1860" i="35"/>
  <c r="AD1854" i="35"/>
  <c r="AD1852" i="35"/>
  <c r="AD1848" i="35"/>
  <c r="AD1842" i="35"/>
  <c r="AD1835" i="35"/>
  <c r="AD1840" i="35"/>
  <c r="AD1838" i="35"/>
  <c r="AD1836" i="35"/>
  <c r="AD1802" i="35"/>
  <c r="AD1800" i="35"/>
  <c r="AD1798" i="35"/>
  <c r="AD1796" i="35"/>
  <c r="AD1794" i="35"/>
  <c r="AD1792" i="35"/>
  <c r="AF2327" i="33" l="1"/>
  <c r="V2327" i="33"/>
  <c r="T2327" i="33"/>
  <c r="Z2327" i="33" s="1"/>
  <c r="S2327" i="33"/>
  <c r="R2327" i="33"/>
  <c r="K2327" i="33"/>
  <c r="F2327" i="33"/>
  <c r="W2327" i="33" l="1"/>
  <c r="X2327" i="33"/>
  <c r="Y2327" i="33"/>
  <c r="AE1772" i="35"/>
  <c r="Y1772" i="35"/>
  <c r="X1772" i="35"/>
  <c r="U1772" i="35"/>
  <c r="S1772" i="35"/>
  <c r="R1772" i="35"/>
  <c r="Q1772" i="35"/>
  <c r="K1772" i="35"/>
  <c r="F1772" i="35"/>
  <c r="AD1772" i="35" l="1"/>
  <c r="AF2313" i="33" l="1"/>
  <c r="V2313" i="33"/>
  <c r="T2313" i="33"/>
  <c r="X2313" i="33" s="1"/>
  <c r="S2313" i="33"/>
  <c r="R2313" i="33"/>
  <c r="K2313" i="33"/>
  <c r="F2313" i="33"/>
  <c r="AF2333" i="33"/>
  <c r="V2333" i="33"/>
  <c r="T2333" i="33"/>
  <c r="Z2333" i="33" s="1"/>
  <c r="S2333" i="33"/>
  <c r="R2333" i="33"/>
  <c r="K2333" i="33"/>
  <c r="F2333" i="33"/>
  <c r="AF2331" i="33"/>
  <c r="V2331" i="33"/>
  <c r="T2331" i="33"/>
  <c r="W2331" i="33" s="1"/>
  <c r="S2331" i="33"/>
  <c r="R2331" i="33"/>
  <c r="K2331" i="33"/>
  <c r="F2331" i="33"/>
  <c r="AF2329" i="33"/>
  <c r="V2329" i="33"/>
  <c r="T2329" i="33"/>
  <c r="W2329" i="33" s="1"/>
  <c r="S2329" i="33"/>
  <c r="R2329" i="33"/>
  <c r="K2329" i="33"/>
  <c r="F2329" i="33"/>
  <c r="AF2326" i="33"/>
  <c r="V2326" i="33"/>
  <c r="T2326" i="33"/>
  <c r="Z2326" i="33" s="1"/>
  <c r="S2326" i="33"/>
  <c r="R2326" i="33"/>
  <c r="K2326" i="33"/>
  <c r="F2326" i="33"/>
  <c r="AF2324" i="33"/>
  <c r="V2324" i="33"/>
  <c r="T2324" i="33"/>
  <c r="W2324" i="33" s="1"/>
  <c r="S2324" i="33"/>
  <c r="R2324" i="33"/>
  <c r="K2324" i="33"/>
  <c r="F2324" i="33"/>
  <c r="AF2322" i="33"/>
  <c r="V2322" i="33"/>
  <c r="T2322" i="33"/>
  <c r="Z2322" i="33" s="1"/>
  <c r="S2322" i="33"/>
  <c r="R2322" i="33"/>
  <c r="K2322" i="33"/>
  <c r="F2322" i="33"/>
  <c r="AF2320" i="33"/>
  <c r="V2320" i="33"/>
  <c r="T2320" i="33"/>
  <c r="X2320" i="33" s="1"/>
  <c r="S2320" i="33"/>
  <c r="R2320" i="33"/>
  <c r="K2320" i="33"/>
  <c r="F2320" i="33"/>
  <c r="AF2319" i="33"/>
  <c r="V2319" i="33"/>
  <c r="T2319" i="33"/>
  <c r="X2319" i="33" s="1"/>
  <c r="S2319" i="33"/>
  <c r="R2319" i="33"/>
  <c r="K2319" i="33"/>
  <c r="F2319" i="33"/>
  <c r="AF2317" i="33"/>
  <c r="V2317" i="33"/>
  <c r="T2317" i="33"/>
  <c r="Z2317" i="33" s="1"/>
  <c r="S2317" i="33"/>
  <c r="R2317" i="33"/>
  <c r="K2317" i="33"/>
  <c r="F2317" i="33"/>
  <c r="AF2315" i="33"/>
  <c r="V2315" i="33"/>
  <c r="T2315" i="33"/>
  <c r="X2315" i="33" s="1"/>
  <c r="S2315" i="33"/>
  <c r="R2315" i="33"/>
  <c r="K2315" i="33"/>
  <c r="F2315" i="33"/>
  <c r="AF2311" i="33"/>
  <c r="V2311" i="33"/>
  <c r="T2311" i="33"/>
  <c r="Z2311" i="33" s="1"/>
  <c r="S2311" i="33"/>
  <c r="R2311" i="33"/>
  <c r="K2311" i="33"/>
  <c r="F2311" i="33"/>
  <c r="AF2309" i="33"/>
  <c r="V2309" i="33"/>
  <c r="T2309" i="33"/>
  <c r="Z2309" i="33" s="1"/>
  <c r="S2309" i="33"/>
  <c r="R2309" i="33"/>
  <c r="K2309" i="33"/>
  <c r="F2309" i="33"/>
  <c r="AF2297" i="33"/>
  <c r="V2297" i="33"/>
  <c r="T2297" i="33"/>
  <c r="Z2297" i="33" s="1"/>
  <c r="S2297" i="33"/>
  <c r="R2297" i="33"/>
  <c r="K2297" i="33"/>
  <c r="F2297" i="33"/>
  <c r="AF2295" i="33"/>
  <c r="V2295" i="33"/>
  <c r="T2295" i="33"/>
  <c r="W2295" i="33" s="1"/>
  <c r="S2295" i="33"/>
  <c r="R2295" i="33"/>
  <c r="K2295" i="33"/>
  <c r="F2295" i="33"/>
  <c r="AF2294" i="33"/>
  <c r="V2294" i="33"/>
  <c r="T2294" i="33"/>
  <c r="X2294" i="33" s="1"/>
  <c r="S2294" i="33"/>
  <c r="R2294" i="33"/>
  <c r="K2294" i="33"/>
  <c r="F2294" i="33"/>
  <c r="AF2284" i="33"/>
  <c r="V2284" i="33"/>
  <c r="T2284" i="33"/>
  <c r="W2284" i="33" s="1"/>
  <c r="S2284" i="33"/>
  <c r="R2284" i="33"/>
  <c r="K2284" i="33"/>
  <c r="F2284" i="33"/>
  <c r="AF2282" i="33"/>
  <c r="V2282" i="33"/>
  <c r="T2282" i="33"/>
  <c r="Z2282" i="33" s="1"/>
  <c r="S2282" i="33"/>
  <c r="R2282" i="33"/>
  <c r="K2282" i="33"/>
  <c r="F2282" i="33"/>
  <c r="AF2267" i="33"/>
  <c r="V2267" i="33"/>
  <c r="T2267" i="33"/>
  <c r="Z2267" i="33" s="1"/>
  <c r="S2267" i="33"/>
  <c r="R2267" i="33"/>
  <c r="K2267" i="33"/>
  <c r="F2267" i="33"/>
  <c r="AF2271" i="33"/>
  <c r="V2271" i="33"/>
  <c r="T2271" i="33"/>
  <c r="Z2271" i="33" s="1"/>
  <c r="S2271" i="33"/>
  <c r="R2271" i="33"/>
  <c r="K2271" i="33"/>
  <c r="F2271" i="33"/>
  <c r="Y2313" i="33" l="1"/>
  <c r="Z2313" i="33"/>
  <c r="W2313" i="33"/>
  <c r="X2331" i="33"/>
  <c r="Z2331" i="33"/>
  <c r="W2333" i="33"/>
  <c r="Y2331" i="33"/>
  <c r="X2333" i="33"/>
  <c r="Y2333" i="33"/>
  <c r="Y2329" i="33"/>
  <c r="X2329" i="33"/>
  <c r="Z2329" i="33"/>
  <c r="Z2324" i="33"/>
  <c r="W2326" i="33"/>
  <c r="X2326" i="33"/>
  <c r="X2324" i="33"/>
  <c r="Y2326" i="33"/>
  <c r="Y2324" i="33"/>
  <c r="Y2319" i="33"/>
  <c r="Z2319" i="33"/>
  <c r="Y2320" i="33"/>
  <c r="Z2320" i="33"/>
  <c r="W2317" i="33"/>
  <c r="W2322" i="33"/>
  <c r="Y2315" i="33"/>
  <c r="Z2315" i="33"/>
  <c r="X2317" i="33"/>
  <c r="X2322" i="33"/>
  <c r="Y2317" i="33"/>
  <c r="Y2322" i="33"/>
  <c r="W2315" i="33"/>
  <c r="W2320" i="33"/>
  <c r="W2319" i="33"/>
  <c r="Y2311" i="33"/>
  <c r="W2311" i="33"/>
  <c r="X2311" i="33"/>
  <c r="W2309" i="33"/>
  <c r="X2309" i="33"/>
  <c r="Y2309" i="33"/>
  <c r="Y2294" i="33"/>
  <c r="Z2294" i="33"/>
  <c r="X2295" i="33"/>
  <c r="W2297" i="33"/>
  <c r="X2297" i="33"/>
  <c r="Y2297" i="33"/>
  <c r="Y2295" i="33"/>
  <c r="Z2295" i="33"/>
  <c r="W2294" i="33"/>
  <c r="Y2284" i="33"/>
  <c r="Z2284" i="33"/>
  <c r="X2284" i="33"/>
  <c r="W2282" i="33"/>
  <c r="X2282" i="33"/>
  <c r="Y2282" i="33"/>
  <c r="W2267" i="33"/>
  <c r="X2267" i="33"/>
  <c r="Y2267" i="33"/>
  <c r="W2271" i="33"/>
  <c r="X2271" i="33"/>
  <c r="Y2271" i="33"/>
  <c r="N136" i="21" l="1"/>
  <c r="AO136" i="21"/>
  <c r="M136" i="21"/>
  <c r="AF2277" i="33"/>
  <c r="V2277" i="33"/>
  <c r="T2277" i="33"/>
  <c r="Z2277" i="33" s="1"/>
  <c r="S2277" i="33"/>
  <c r="R2277" i="33"/>
  <c r="K2277" i="33"/>
  <c r="F2277" i="33"/>
  <c r="AF2305" i="33"/>
  <c r="V2305" i="33"/>
  <c r="T2305" i="33"/>
  <c r="Z2305" i="33" s="1"/>
  <c r="S2305" i="33"/>
  <c r="R2305" i="33"/>
  <c r="K2305" i="33"/>
  <c r="F2305" i="33"/>
  <c r="W2277" i="33" l="1"/>
  <c r="X2277" i="33"/>
  <c r="Y2277" i="33"/>
  <c r="W2305" i="33"/>
  <c r="X2305" i="33"/>
  <c r="Y2305" i="33"/>
  <c r="AF2263" i="33" l="1"/>
  <c r="V2263" i="33"/>
  <c r="Z2263" i="33"/>
  <c r="S2263" i="33"/>
  <c r="R2263" i="33"/>
  <c r="K2263" i="33"/>
  <c r="F2263" i="33"/>
  <c r="Y2263" i="33" l="1"/>
  <c r="W2263" i="33"/>
  <c r="X2263" i="33"/>
  <c r="AE1740" i="35" l="1"/>
  <c r="Y1740" i="35"/>
  <c r="X1740" i="35"/>
  <c r="U1740" i="35"/>
  <c r="S1740" i="35"/>
  <c r="R1740" i="35"/>
  <c r="Q1740" i="35"/>
  <c r="K1740" i="35"/>
  <c r="F1740" i="35"/>
  <c r="AF2341" i="33"/>
  <c r="V2341" i="33"/>
  <c r="T2341" i="33"/>
  <c r="X2341" i="33" s="1"/>
  <c r="S2341" i="33"/>
  <c r="R2341" i="33"/>
  <c r="K2341" i="33"/>
  <c r="F2341" i="33"/>
  <c r="AF2339" i="33"/>
  <c r="V2339" i="33"/>
  <c r="T2339" i="33"/>
  <c r="Z2339" i="33" s="1"/>
  <c r="S2339" i="33"/>
  <c r="R2339" i="33"/>
  <c r="K2339" i="33"/>
  <c r="F2339" i="33"/>
  <c r="AD1740" i="35" l="1"/>
  <c r="Y2341" i="33"/>
  <c r="Z2341" i="33"/>
  <c r="W2341" i="33"/>
  <c r="W2339" i="33"/>
  <c r="X2339" i="33"/>
  <c r="Y2339" i="33"/>
  <c r="AE1766" i="35"/>
  <c r="Y1766" i="35"/>
  <c r="X1766" i="35"/>
  <c r="U1766" i="35"/>
  <c r="S1766" i="35"/>
  <c r="R1766" i="35"/>
  <c r="Q1766" i="35"/>
  <c r="K1766" i="35"/>
  <c r="F1766" i="35"/>
  <c r="AF2337" i="33"/>
  <c r="V2337" i="33"/>
  <c r="T2337" i="33"/>
  <c r="Z2337" i="33" s="1"/>
  <c r="S2337" i="33"/>
  <c r="R2337" i="33"/>
  <c r="K2337" i="33"/>
  <c r="F2337" i="33"/>
  <c r="AF2335" i="33"/>
  <c r="V2335" i="33"/>
  <c r="T2335" i="33"/>
  <c r="Z2335" i="33" s="1"/>
  <c r="S2335" i="33"/>
  <c r="R2335" i="33"/>
  <c r="K2335" i="33"/>
  <c r="F2335" i="33"/>
  <c r="AF2307" i="33"/>
  <c r="V2307" i="33"/>
  <c r="T2307" i="33"/>
  <c r="Z2307" i="33" s="1"/>
  <c r="S2307" i="33"/>
  <c r="R2307" i="33"/>
  <c r="K2307" i="33"/>
  <c r="F2307" i="33"/>
  <c r="AF2292" i="33"/>
  <c r="V2292" i="33"/>
  <c r="T2292" i="33"/>
  <c r="X2292" i="33" s="1"/>
  <c r="S2292" i="33"/>
  <c r="R2292" i="33"/>
  <c r="K2292" i="33"/>
  <c r="F2292" i="33"/>
  <c r="AF2290" i="33"/>
  <c r="V2290" i="33"/>
  <c r="T2290" i="33"/>
  <c r="Z2290" i="33" s="1"/>
  <c r="S2290" i="33"/>
  <c r="R2290" i="33"/>
  <c r="K2290" i="33"/>
  <c r="F2290" i="33"/>
  <c r="AF2288" i="33"/>
  <c r="V2288" i="33"/>
  <c r="T2288" i="33"/>
  <c r="X2288" i="33" s="1"/>
  <c r="S2288" i="33"/>
  <c r="R2288" i="33"/>
  <c r="K2288" i="33"/>
  <c r="F2288" i="33"/>
  <c r="AF2280" i="33"/>
  <c r="V2280" i="33"/>
  <c r="T2280" i="33"/>
  <c r="Y2280" i="33" s="1"/>
  <c r="S2280" i="33"/>
  <c r="R2280" i="33"/>
  <c r="K2280" i="33"/>
  <c r="F2280" i="33"/>
  <c r="AF2279" i="33"/>
  <c r="V2279" i="33"/>
  <c r="T2279" i="33"/>
  <c r="X2279" i="33" s="1"/>
  <c r="S2279" i="33"/>
  <c r="R2279" i="33"/>
  <c r="K2279" i="33"/>
  <c r="F2279" i="33"/>
  <c r="AF2269" i="33"/>
  <c r="V2269" i="33"/>
  <c r="T2269" i="33"/>
  <c r="X2269" i="33" s="1"/>
  <c r="S2269" i="33"/>
  <c r="R2269" i="33"/>
  <c r="K2269" i="33"/>
  <c r="F2269" i="33"/>
  <c r="AF2265" i="33"/>
  <c r="V2265" i="33"/>
  <c r="T2265" i="33"/>
  <c r="Z2265" i="33" s="1"/>
  <c r="S2265" i="33"/>
  <c r="R2265" i="33"/>
  <c r="K2265" i="33"/>
  <c r="F2265" i="33"/>
  <c r="AD1766" i="35" l="1"/>
  <c r="W2337" i="33"/>
  <c r="X2337" i="33"/>
  <c r="Y2337" i="33"/>
  <c r="W2335" i="33"/>
  <c r="X2335" i="33"/>
  <c r="Y2335" i="33"/>
  <c r="W2307" i="33"/>
  <c r="X2307" i="33"/>
  <c r="Y2307" i="33"/>
  <c r="Y2292" i="33"/>
  <c r="Z2292" i="33"/>
  <c r="W2292" i="33"/>
  <c r="Y2290" i="33"/>
  <c r="W2290" i="33"/>
  <c r="X2290" i="33"/>
  <c r="Y2288" i="33"/>
  <c r="Z2288" i="33"/>
  <c r="W2288" i="33"/>
  <c r="W2280" i="33"/>
  <c r="X2280" i="33"/>
  <c r="Z2280" i="33"/>
  <c r="Y2279" i="33"/>
  <c r="Z2279" i="33"/>
  <c r="W2279" i="33"/>
  <c r="Y2269" i="33"/>
  <c r="Z2269" i="33"/>
  <c r="W2269" i="33"/>
  <c r="X2265" i="33"/>
  <c r="W2265" i="33"/>
  <c r="Y2265" i="33"/>
  <c r="AF2239" i="33" l="1"/>
  <c r="AF2237" i="33"/>
  <c r="V2239" i="33"/>
  <c r="T2239" i="33"/>
  <c r="Z2239" i="33" s="1"/>
  <c r="S2239" i="33"/>
  <c r="R2239" i="33"/>
  <c r="K2239" i="33"/>
  <c r="F2239" i="33"/>
  <c r="V2237" i="33"/>
  <c r="T2237" i="33"/>
  <c r="Z2237" i="33" s="1"/>
  <c r="S2237" i="33"/>
  <c r="R2237" i="33"/>
  <c r="K2237" i="33"/>
  <c r="F2237" i="33"/>
  <c r="AE2237" i="33" l="1"/>
  <c r="AE2239" i="33"/>
  <c r="Y2239" i="33"/>
  <c r="Y2237" i="33"/>
  <c r="AE1738" i="35"/>
  <c r="Y1738" i="35"/>
  <c r="X1738" i="35"/>
  <c r="U1738" i="35"/>
  <c r="S1738" i="35"/>
  <c r="R1738" i="35"/>
  <c r="Q1738" i="35"/>
  <c r="K1738" i="35"/>
  <c r="F1738" i="35"/>
  <c r="AD1738" i="35" l="1"/>
  <c r="AE1744" i="35"/>
  <c r="Y1744" i="35"/>
  <c r="X1744" i="35"/>
  <c r="U1744" i="35"/>
  <c r="S1744" i="35"/>
  <c r="R1744" i="35"/>
  <c r="Q1744" i="35"/>
  <c r="K1744" i="35"/>
  <c r="F1744" i="35"/>
  <c r="AE1742" i="35"/>
  <c r="Y1742" i="35"/>
  <c r="X1742" i="35"/>
  <c r="U1742" i="35"/>
  <c r="S1742" i="35"/>
  <c r="R1742" i="35"/>
  <c r="Q1742" i="35"/>
  <c r="K1742" i="35"/>
  <c r="F1742" i="35"/>
  <c r="Y1734" i="35"/>
  <c r="X1734" i="35"/>
  <c r="U1734" i="35"/>
  <c r="S1734" i="35"/>
  <c r="R1734" i="35"/>
  <c r="Q1734" i="35"/>
  <c r="K1734" i="35"/>
  <c r="F1734" i="35"/>
  <c r="Y1732" i="35"/>
  <c r="X1732" i="35"/>
  <c r="U1732" i="35"/>
  <c r="S1732" i="35"/>
  <c r="R1732" i="35"/>
  <c r="Q1732" i="35"/>
  <c r="K1732" i="35"/>
  <c r="F1732" i="35"/>
  <c r="Y1728" i="35"/>
  <c r="X1728" i="35"/>
  <c r="U1728" i="35"/>
  <c r="S1728" i="35"/>
  <c r="R1728" i="35"/>
  <c r="Q1728" i="35"/>
  <c r="K1728" i="35"/>
  <c r="F1728" i="35"/>
  <c r="AE1726" i="35"/>
  <c r="Y1726" i="35"/>
  <c r="X1726" i="35"/>
  <c r="U1726" i="35"/>
  <c r="S1726" i="35"/>
  <c r="R1726" i="35"/>
  <c r="Q1726" i="35"/>
  <c r="K1726" i="35"/>
  <c r="F1726" i="35"/>
  <c r="AE1724" i="35"/>
  <c r="Y1724" i="35"/>
  <c r="X1724" i="35"/>
  <c r="U1724" i="35"/>
  <c r="S1724" i="35"/>
  <c r="R1724" i="35"/>
  <c r="Q1724" i="35"/>
  <c r="K1724" i="35"/>
  <c r="F1724" i="35"/>
  <c r="AE1722" i="35"/>
  <c r="Y1722" i="35"/>
  <c r="X1722" i="35"/>
  <c r="U1722" i="35"/>
  <c r="S1722" i="35"/>
  <c r="R1722" i="35"/>
  <c r="Q1722" i="35"/>
  <c r="K1722" i="35"/>
  <c r="F1722" i="35"/>
  <c r="AE1720" i="35"/>
  <c r="Y1720" i="35"/>
  <c r="X1720" i="35"/>
  <c r="U1720" i="35"/>
  <c r="S1720" i="35"/>
  <c r="R1720" i="35"/>
  <c r="Q1720" i="35"/>
  <c r="K1720" i="35"/>
  <c r="F1720" i="35"/>
  <c r="AD1744" i="35" l="1"/>
  <c r="AD1742" i="35"/>
  <c r="AD1726" i="35"/>
  <c r="AD1724" i="35"/>
  <c r="AD1722" i="35"/>
  <c r="AD1720" i="35"/>
  <c r="AE1718" i="35" l="1"/>
  <c r="Y1718" i="35"/>
  <c r="X1718" i="35"/>
  <c r="U1718" i="35"/>
  <c r="S1718" i="35"/>
  <c r="R1718" i="35"/>
  <c r="Q1718" i="35"/>
  <c r="K1718" i="35"/>
  <c r="F1718" i="35"/>
  <c r="AE1716" i="35"/>
  <c r="Y1716" i="35"/>
  <c r="X1716" i="35"/>
  <c r="U1716" i="35"/>
  <c r="S1716" i="35"/>
  <c r="R1716" i="35"/>
  <c r="Q1716" i="35"/>
  <c r="K1716" i="35"/>
  <c r="F1716" i="35"/>
  <c r="AE1714" i="35"/>
  <c r="Y1714" i="35"/>
  <c r="X1714" i="35"/>
  <c r="U1714" i="35"/>
  <c r="S1714" i="35"/>
  <c r="R1714" i="35"/>
  <c r="Q1714" i="35"/>
  <c r="K1714" i="35"/>
  <c r="F1714" i="35"/>
  <c r="AD1718" i="35" l="1"/>
  <c r="AD1716" i="35"/>
  <c r="AD1714" i="35"/>
  <c r="AF2229" i="33" l="1"/>
  <c r="V2229" i="33"/>
  <c r="T2229" i="33"/>
  <c r="X2229" i="33" s="1"/>
  <c r="S2229" i="33"/>
  <c r="R2229" i="33"/>
  <c r="K2229" i="33"/>
  <c r="F2229" i="33"/>
  <c r="Y2229" i="33" l="1"/>
  <c r="Z2229" i="33"/>
  <c r="W2229" i="33"/>
  <c r="AE1764" i="35" l="1"/>
  <c r="Y1764" i="35"/>
  <c r="X1764" i="35"/>
  <c r="U1764" i="35"/>
  <c r="S1764" i="35"/>
  <c r="R1764" i="35"/>
  <c r="Q1764" i="35"/>
  <c r="K1764" i="35"/>
  <c r="F1764" i="35"/>
  <c r="AE1746" i="35"/>
  <c r="Y1746" i="35"/>
  <c r="X1746" i="35"/>
  <c r="U1746" i="35"/>
  <c r="S1746" i="35"/>
  <c r="R1746" i="35"/>
  <c r="Q1746" i="35"/>
  <c r="K1746" i="35"/>
  <c r="F1746" i="35"/>
  <c r="AE1712" i="35"/>
  <c r="Y1712" i="35"/>
  <c r="X1712" i="35"/>
  <c r="U1712" i="35"/>
  <c r="S1712" i="35"/>
  <c r="R1712" i="35"/>
  <c r="Q1712" i="35"/>
  <c r="K1712" i="35"/>
  <c r="F1712" i="35"/>
  <c r="AE1706" i="35"/>
  <c r="Y1706" i="35"/>
  <c r="X1706" i="35"/>
  <c r="U1706" i="35"/>
  <c r="S1706" i="35"/>
  <c r="R1706" i="35"/>
  <c r="Q1706" i="35"/>
  <c r="K1706" i="35"/>
  <c r="F1706" i="35"/>
  <c r="AE1705" i="35"/>
  <c r="Y1705" i="35"/>
  <c r="X1705" i="35"/>
  <c r="U1705" i="35"/>
  <c r="S1705" i="35"/>
  <c r="R1705" i="35"/>
  <c r="Q1705" i="35"/>
  <c r="K1705" i="35"/>
  <c r="F1705" i="35"/>
  <c r="AD1764" i="35" l="1"/>
  <c r="AD1746" i="35"/>
  <c r="AD1712" i="35"/>
  <c r="AD1705" i="35"/>
  <c r="AD1706" i="35"/>
  <c r="AF2217" i="33" l="1"/>
  <c r="V2217" i="33"/>
  <c r="T2217" i="33"/>
  <c r="Z2217" i="33" s="1"/>
  <c r="S2217" i="33"/>
  <c r="R2217" i="33"/>
  <c r="K2217" i="33"/>
  <c r="F2217" i="33"/>
  <c r="W2217" i="33" l="1"/>
  <c r="X2217" i="33"/>
  <c r="Y2217" i="33"/>
  <c r="AF2207" i="33" l="1"/>
  <c r="V2207" i="33"/>
  <c r="T2207" i="33"/>
  <c r="Z2207" i="33" s="1"/>
  <c r="S2207" i="33"/>
  <c r="R2207" i="33"/>
  <c r="K2207" i="33"/>
  <c r="F2207" i="33"/>
  <c r="AF2219" i="33"/>
  <c r="V2219" i="33"/>
  <c r="T2219" i="33"/>
  <c r="X2219" i="33" s="1"/>
  <c r="S2219" i="33"/>
  <c r="R2219" i="33"/>
  <c r="K2219" i="33"/>
  <c r="F2219" i="33"/>
  <c r="W2207" i="33" l="1"/>
  <c r="X2207" i="33"/>
  <c r="Y2207" i="33"/>
  <c r="Y2219" i="33"/>
  <c r="Z2219" i="33"/>
  <c r="W2219" i="33"/>
  <c r="AO405" i="21" l="1"/>
  <c r="AO404" i="21"/>
  <c r="AO403" i="21"/>
  <c r="AO257" i="21"/>
  <c r="AO256" i="21"/>
  <c r="AF2223" i="33"/>
  <c r="V2223" i="33"/>
  <c r="T2223" i="33"/>
  <c r="W2223" i="33" s="1"/>
  <c r="S2223" i="33"/>
  <c r="R2223" i="33"/>
  <c r="K2223" i="33"/>
  <c r="F2223" i="33"/>
  <c r="N27" i="21" l="1"/>
  <c r="M27" i="21"/>
  <c r="AO27" i="21"/>
  <c r="AO63" i="21"/>
  <c r="N63" i="21"/>
  <c r="M63" i="21"/>
  <c r="AO111" i="21"/>
  <c r="N111" i="21"/>
  <c r="M111" i="21"/>
  <c r="M148" i="21"/>
  <c r="AO148" i="21"/>
  <c r="N148" i="21"/>
  <c r="N208" i="21"/>
  <c r="M208" i="21"/>
  <c r="AO208" i="21"/>
  <c r="N304" i="21"/>
  <c r="AO304" i="21"/>
  <c r="M304" i="21"/>
  <c r="N340" i="21"/>
  <c r="M340" i="21"/>
  <c r="AO340" i="21"/>
  <c r="N388" i="21"/>
  <c r="AO388" i="21"/>
  <c r="M388" i="21"/>
  <c r="M437" i="21"/>
  <c r="AO437" i="21"/>
  <c r="N437" i="21"/>
  <c r="M16" i="21"/>
  <c r="AO16" i="21"/>
  <c r="N16" i="21"/>
  <c r="AO52" i="21"/>
  <c r="M52" i="21"/>
  <c r="N52" i="21"/>
  <c r="M100" i="21"/>
  <c r="AO100" i="21"/>
  <c r="N100" i="21"/>
  <c r="AO137" i="21"/>
  <c r="N137" i="21"/>
  <c r="M137" i="21"/>
  <c r="AO173" i="21"/>
  <c r="M173" i="21"/>
  <c r="N173" i="21"/>
  <c r="N209" i="21"/>
  <c r="M209" i="21"/>
  <c r="AO209" i="21"/>
  <c r="M233" i="21"/>
  <c r="AO233" i="21"/>
  <c r="N233" i="21"/>
  <c r="AO293" i="21"/>
  <c r="N293" i="21"/>
  <c r="M293" i="21"/>
  <c r="M329" i="21"/>
  <c r="N329" i="21"/>
  <c r="AO329" i="21"/>
  <c r="AO377" i="21"/>
  <c r="M377" i="21"/>
  <c r="N377" i="21"/>
  <c r="N401" i="21"/>
  <c r="AO401" i="21"/>
  <c r="M401" i="21"/>
  <c r="AO438" i="21"/>
  <c r="M438" i="21"/>
  <c r="N438" i="21"/>
  <c r="N5" i="21"/>
  <c r="M5" i="21"/>
  <c r="AO5" i="21"/>
  <c r="G1920" i="35"/>
  <c r="H1920" i="35"/>
  <c r="I1920" i="35"/>
  <c r="I1988" i="35"/>
  <c r="G1988" i="35"/>
  <c r="H1988" i="35"/>
  <c r="G1906" i="35"/>
  <c r="H1906" i="35"/>
  <c r="I1906" i="35"/>
  <c r="G2516" i="33"/>
  <c r="G2514" i="33"/>
  <c r="H2514" i="33"/>
  <c r="H2516" i="33"/>
  <c r="I2516" i="33"/>
  <c r="I2514" i="33"/>
  <c r="H2512" i="33"/>
  <c r="I2512" i="33"/>
  <c r="G2512" i="33"/>
  <c r="I2442" i="33"/>
  <c r="H2442" i="33"/>
  <c r="G2442" i="33"/>
  <c r="I2466" i="33"/>
  <c r="G2466" i="33"/>
  <c r="H2466" i="33"/>
  <c r="I2510" i="33"/>
  <c r="G2496" i="33"/>
  <c r="H2496" i="33"/>
  <c r="G2510" i="33"/>
  <c r="H2456" i="33"/>
  <c r="I2496" i="33"/>
  <c r="G2456" i="33"/>
  <c r="I2456" i="33"/>
  <c r="H2510" i="33"/>
  <c r="I1962" i="35"/>
  <c r="H1980" i="35"/>
  <c r="H1974" i="35"/>
  <c r="H1926" i="35"/>
  <c r="I1970" i="35"/>
  <c r="G1918" i="35"/>
  <c r="H1968" i="35"/>
  <c r="G1916" i="35"/>
  <c r="G1968" i="35"/>
  <c r="I1980" i="35"/>
  <c r="G1972" i="35"/>
  <c r="I1916" i="35"/>
  <c r="H1978" i="35"/>
  <c r="H1916" i="35"/>
  <c r="I1972" i="35"/>
  <c r="I1978" i="35"/>
  <c r="I1966" i="35"/>
  <c r="H1966" i="35"/>
  <c r="I1946" i="35"/>
  <c r="G1974" i="35"/>
  <c r="G1940" i="35"/>
  <c r="I1974" i="35"/>
  <c r="H1948" i="35"/>
  <c r="I1948" i="35"/>
  <c r="G1980" i="35"/>
  <c r="G1962" i="35"/>
  <c r="I1926" i="35"/>
  <c r="I1968" i="35"/>
  <c r="G1946" i="35"/>
  <c r="G1966" i="35"/>
  <c r="H1936" i="35"/>
  <c r="H1922" i="35"/>
  <c r="H1946" i="35"/>
  <c r="H1970" i="35"/>
  <c r="H1940" i="35"/>
  <c r="G1926" i="35"/>
  <c r="I1918" i="35"/>
  <c r="G1978" i="35"/>
  <c r="H1972" i="35"/>
  <c r="H1962" i="35"/>
  <c r="G1936" i="35"/>
  <c r="H1918" i="35"/>
  <c r="G1922" i="35"/>
  <c r="I1936" i="35"/>
  <c r="I1922" i="35"/>
  <c r="G1970" i="35"/>
  <c r="G1948" i="35"/>
  <c r="I1902" i="35"/>
  <c r="G1900" i="35"/>
  <c r="G1904" i="35"/>
  <c r="H1900" i="35"/>
  <c r="H1904" i="35"/>
  <c r="G1902" i="35"/>
  <c r="I1904" i="35"/>
  <c r="I1900" i="35"/>
  <c r="H1902" i="35"/>
  <c r="I2468" i="33"/>
  <c r="G2476" i="33"/>
  <c r="G2458" i="33"/>
  <c r="H2476" i="33"/>
  <c r="H2458" i="33"/>
  <c r="G2468" i="33"/>
  <c r="G2462" i="33"/>
  <c r="H2468" i="33"/>
  <c r="G2470" i="33"/>
  <c r="G2452" i="33"/>
  <c r="H2452" i="33"/>
  <c r="I2450" i="33"/>
  <c r="H2448" i="33"/>
  <c r="I2476" i="33"/>
  <c r="G2450" i="33"/>
  <c r="I2448" i="33"/>
  <c r="H2462" i="33"/>
  <c r="I2452" i="33"/>
  <c r="I2470" i="33"/>
  <c r="G2464" i="33"/>
  <c r="G2448" i="33"/>
  <c r="H2464" i="33"/>
  <c r="I2458" i="33"/>
  <c r="I2462" i="33"/>
  <c r="H2450" i="33"/>
  <c r="H2470" i="33"/>
  <c r="I2464" i="33"/>
  <c r="I2438" i="33"/>
  <c r="I2436" i="33"/>
  <c r="H2434" i="33"/>
  <c r="G2420" i="33"/>
  <c r="I2444" i="33"/>
  <c r="G2486" i="33"/>
  <c r="H2446" i="33"/>
  <c r="I2410" i="33"/>
  <c r="G2440" i="33"/>
  <c r="H2416" i="33"/>
  <c r="I2486" i="33"/>
  <c r="H2440" i="33"/>
  <c r="G2436" i="33"/>
  <c r="G2416" i="33"/>
  <c r="H2410" i="33"/>
  <c r="I2420" i="33"/>
  <c r="I2446" i="33"/>
  <c r="H2418" i="33"/>
  <c r="G2438" i="33"/>
  <c r="H2420" i="33"/>
  <c r="G2410" i="33"/>
  <c r="H2422" i="33"/>
  <c r="I2434" i="33"/>
  <c r="G2422" i="33"/>
  <c r="I2414" i="33"/>
  <c r="I2422" i="33"/>
  <c r="I2416" i="33"/>
  <c r="G2418" i="33"/>
  <c r="I2440" i="33"/>
  <c r="G2444" i="33"/>
  <c r="H2436" i="33"/>
  <c r="H2486" i="33"/>
  <c r="H2444" i="33"/>
  <c r="G2414" i="33"/>
  <c r="H2414" i="33"/>
  <c r="I2418" i="33"/>
  <c r="H2438" i="33"/>
  <c r="G2446" i="33"/>
  <c r="G2434" i="33"/>
  <c r="I1866" i="35"/>
  <c r="H1856" i="35"/>
  <c r="I1856" i="35"/>
  <c r="G1856" i="35"/>
  <c r="G1866" i="35"/>
  <c r="H1866" i="35"/>
  <c r="G2392" i="33"/>
  <c r="I2392" i="33"/>
  <c r="H2392" i="33"/>
  <c r="G2394" i="33"/>
  <c r="I2394" i="33"/>
  <c r="H2394" i="33"/>
  <c r="I2396" i="33"/>
  <c r="G2386" i="33"/>
  <c r="G2396" i="33"/>
  <c r="G2388" i="33"/>
  <c r="H2343" i="33"/>
  <c r="H2398" i="33"/>
  <c r="H2386" i="33"/>
  <c r="I2385" i="33"/>
  <c r="H2377" i="33"/>
  <c r="I2377" i="33"/>
  <c r="H2347" i="33"/>
  <c r="I2408" i="33"/>
  <c r="G2375" i="33"/>
  <c r="G2373" i="33"/>
  <c r="G2389" i="33"/>
  <c r="H2396" i="33"/>
  <c r="H2383" i="33"/>
  <c r="H2379" i="33"/>
  <c r="H2375" i="33"/>
  <c r="H2389" i="33"/>
  <c r="H2373" i="33"/>
  <c r="G2408" i="33"/>
  <c r="H2408" i="33"/>
  <c r="G2343" i="33"/>
  <c r="G2381" i="33"/>
  <c r="I2343" i="33"/>
  <c r="G2398" i="33"/>
  <c r="I2383" i="33"/>
  <c r="I2379" i="33"/>
  <c r="I2375" i="33"/>
  <c r="I2388" i="33"/>
  <c r="I2398" i="33"/>
  <c r="H2388" i="33"/>
  <c r="H2385" i="33"/>
  <c r="G2383" i="33"/>
  <c r="I2389" i="33"/>
  <c r="I2347" i="33"/>
  <c r="H2345" i="33"/>
  <c r="G2377" i="33"/>
  <c r="I2381" i="33"/>
  <c r="G2385" i="33"/>
  <c r="I2345" i="33"/>
  <c r="G2345" i="33"/>
  <c r="G2347" i="33"/>
  <c r="I2386" i="33"/>
  <c r="H2381" i="33"/>
  <c r="I2373" i="33"/>
  <c r="G2379" i="33"/>
  <c r="I1790" i="35"/>
  <c r="H1790" i="35"/>
  <c r="G1790" i="35"/>
  <c r="G2303" i="33"/>
  <c r="H2303" i="33"/>
  <c r="I2303" i="33"/>
  <c r="I1782" i="35"/>
  <c r="H1784" i="35"/>
  <c r="I1770" i="35"/>
  <c r="I1784" i="35"/>
  <c r="G1780" i="35"/>
  <c r="I1786" i="35"/>
  <c r="G1786" i="35"/>
  <c r="G1770" i="35"/>
  <c r="G1784" i="35"/>
  <c r="H1770" i="35"/>
  <c r="H1786" i="35"/>
  <c r="G1782" i="35"/>
  <c r="I1780" i="35"/>
  <c r="H1782" i="35"/>
  <c r="H1780" i="35"/>
  <c r="G1880" i="35"/>
  <c r="H1880" i="35"/>
  <c r="I1880" i="35"/>
  <c r="G1831" i="35"/>
  <c r="I1824" i="35"/>
  <c r="G1824" i="35"/>
  <c r="I1831" i="35"/>
  <c r="G1826" i="35"/>
  <c r="I1833" i="35"/>
  <c r="I1826" i="35"/>
  <c r="H1850" i="35"/>
  <c r="G1827" i="35"/>
  <c r="H1829" i="35"/>
  <c r="G1850" i="35"/>
  <c r="I1850" i="35"/>
  <c r="G1833" i="35"/>
  <c r="H1831" i="35"/>
  <c r="I1827" i="35"/>
  <c r="H1826" i="35"/>
  <c r="I1829" i="35"/>
  <c r="H1833" i="35"/>
  <c r="G1829" i="35"/>
  <c r="H1824" i="35"/>
  <c r="H1827" i="35"/>
  <c r="G1822" i="35"/>
  <c r="H1876" i="35"/>
  <c r="H1872" i="35"/>
  <c r="H1870" i="35"/>
  <c r="G1864" i="35"/>
  <c r="H1860" i="35"/>
  <c r="H1852" i="35"/>
  <c r="H1840" i="35"/>
  <c r="H1800" i="35"/>
  <c r="G1792" i="35"/>
  <c r="I1842" i="35"/>
  <c r="I1800" i="35"/>
  <c r="H1792" i="35"/>
  <c r="I1860" i="35"/>
  <c r="H1836" i="35"/>
  <c r="I1792" i="35"/>
  <c r="H1816" i="35"/>
  <c r="H1848" i="35"/>
  <c r="G1800" i="35"/>
  <c r="H1854" i="35"/>
  <c r="I1822" i="35"/>
  <c r="I1890" i="35"/>
  <c r="G1868" i="35"/>
  <c r="G1838" i="35"/>
  <c r="H1838" i="35"/>
  <c r="G1794" i="35"/>
  <c r="I1835" i="35"/>
  <c r="H1802" i="35"/>
  <c r="I1874" i="35"/>
  <c r="I1868" i="35"/>
  <c r="H1818" i="35"/>
  <c r="G1798" i="35"/>
  <c r="G1872" i="35"/>
  <c r="G1860" i="35"/>
  <c r="H1842" i="35"/>
  <c r="G1840" i="35"/>
  <c r="G1836" i="35"/>
  <c r="I1794" i="35"/>
  <c r="H1864" i="35"/>
  <c r="I1852" i="35"/>
  <c r="G1870" i="35"/>
  <c r="H1796" i="35"/>
  <c r="H1890" i="35"/>
  <c r="H1822" i="35"/>
  <c r="I1796" i="35"/>
  <c r="H1868" i="35"/>
  <c r="G1890" i="35"/>
  <c r="G1878" i="35"/>
  <c r="G1876" i="35"/>
  <c r="H1798" i="35"/>
  <c r="G1886" i="35"/>
  <c r="I1870" i="35"/>
  <c r="G1796" i="35"/>
  <c r="H1886" i="35"/>
  <c r="I1864" i="35"/>
  <c r="I1840" i="35"/>
  <c r="G1816" i="35"/>
  <c r="G1874" i="35"/>
  <c r="H1878" i="35"/>
  <c r="I1848" i="35"/>
  <c r="I1798" i="35"/>
  <c r="G1842" i="35"/>
  <c r="I1838" i="35"/>
  <c r="G1852" i="35"/>
  <c r="I1802" i="35"/>
  <c r="G1818" i="35"/>
  <c r="I1876" i="35"/>
  <c r="I1872" i="35"/>
  <c r="G1848" i="35"/>
  <c r="H1835" i="35"/>
  <c r="I1816" i="35"/>
  <c r="I1836" i="35"/>
  <c r="I1886" i="35"/>
  <c r="G1854" i="35"/>
  <c r="G1835" i="35"/>
  <c r="H1874" i="35"/>
  <c r="I1854" i="35"/>
  <c r="G1802" i="35"/>
  <c r="I1878" i="35"/>
  <c r="H1794" i="35"/>
  <c r="I1818" i="35"/>
  <c r="G2327" i="33"/>
  <c r="I2327" i="33"/>
  <c r="H2327" i="33"/>
  <c r="G1772" i="35"/>
  <c r="I1772" i="35"/>
  <c r="H1772" i="35"/>
  <c r="I2284" i="33"/>
  <c r="I2297" i="33"/>
  <c r="G2333" i="33"/>
  <c r="H2326" i="33"/>
  <c r="H2320" i="33"/>
  <c r="G2284" i="33"/>
  <c r="H2324" i="33"/>
  <c r="H2284" i="33"/>
  <c r="G2317" i="33"/>
  <c r="G2267" i="33"/>
  <c r="G2295" i="33"/>
  <c r="H2315" i="33"/>
  <c r="G2309" i="33"/>
  <c r="I2313" i="33"/>
  <c r="I2326" i="33"/>
  <c r="H2267" i="33"/>
  <c r="H2333" i="33"/>
  <c r="G2324" i="33"/>
  <c r="G2322" i="33"/>
  <c r="H2319" i="33"/>
  <c r="G2297" i="33"/>
  <c r="I2311" i="33"/>
  <c r="G2311" i="33"/>
  <c r="H2329" i="33"/>
  <c r="G2315" i="33"/>
  <c r="H2311" i="33"/>
  <c r="H2331" i="33"/>
  <c r="I2324" i="33"/>
  <c r="H2317" i="33"/>
  <c r="H2294" i="33"/>
  <c r="I2320" i="33"/>
  <c r="G2329" i="33"/>
  <c r="H2322" i="33"/>
  <c r="H2313" i="33"/>
  <c r="G2282" i="33"/>
  <c r="I2295" i="33"/>
  <c r="I2319" i="33"/>
  <c r="G2319" i="33"/>
  <c r="I2282" i="33"/>
  <c r="I2322" i="33"/>
  <c r="G2331" i="33"/>
  <c r="I2267" i="33"/>
  <c r="I2294" i="33"/>
  <c r="I2315" i="33"/>
  <c r="H2297" i="33"/>
  <c r="I2329" i="33"/>
  <c r="G2320" i="33"/>
  <c r="H2295" i="33"/>
  <c r="G2313" i="33"/>
  <c r="I2309" i="33"/>
  <c r="I2333" i="33"/>
  <c r="I2317" i="33"/>
  <c r="H2282" i="33"/>
  <c r="H2271" i="33"/>
  <c r="G2294" i="33"/>
  <c r="I2331" i="33"/>
  <c r="I2271" i="33"/>
  <c r="G2326" i="33"/>
  <c r="G2271" i="33"/>
  <c r="H2309" i="33"/>
  <c r="AO41" i="21"/>
  <c r="N41" i="21"/>
  <c r="M41" i="21"/>
  <c r="N89" i="21"/>
  <c r="M89" i="21"/>
  <c r="AO89" i="21"/>
  <c r="M125" i="21"/>
  <c r="AO125" i="21"/>
  <c r="N125" i="21"/>
  <c r="M186" i="21"/>
  <c r="AO186" i="21"/>
  <c r="N186" i="21"/>
  <c r="AO210" i="21"/>
  <c r="M210" i="21"/>
  <c r="N210" i="21"/>
  <c r="N258" i="21"/>
  <c r="AO258" i="21"/>
  <c r="M258" i="21"/>
  <c r="N282" i="21"/>
  <c r="M282" i="21"/>
  <c r="AO282" i="21"/>
  <c r="N306" i="21"/>
  <c r="M306" i="21"/>
  <c r="AO306" i="21"/>
  <c r="N366" i="21"/>
  <c r="AO366" i="21"/>
  <c r="M366" i="21"/>
  <c r="N390" i="21"/>
  <c r="AO390" i="21"/>
  <c r="M390" i="21"/>
  <c r="M451" i="21"/>
  <c r="AO451" i="21"/>
  <c r="N451" i="21"/>
  <c r="N6" i="21"/>
  <c r="M6" i="21"/>
  <c r="AO6" i="21"/>
  <c r="N42" i="21"/>
  <c r="AO42" i="21"/>
  <c r="M42" i="21"/>
  <c r="N90" i="21"/>
  <c r="AO90" i="21"/>
  <c r="M90" i="21"/>
  <c r="N126" i="21"/>
  <c r="M126" i="21"/>
  <c r="AO126" i="21"/>
  <c r="N175" i="21"/>
  <c r="M175" i="21"/>
  <c r="AO175" i="21"/>
  <c r="N211" i="21"/>
  <c r="AO211" i="21"/>
  <c r="M211" i="21"/>
  <c r="AO259" i="21"/>
  <c r="N259" i="21"/>
  <c r="M259" i="21"/>
  <c r="AO283" i="21"/>
  <c r="M283" i="21"/>
  <c r="N283" i="21"/>
  <c r="AO343" i="21"/>
  <c r="M343" i="21"/>
  <c r="N343" i="21"/>
  <c r="M367" i="21"/>
  <c r="AO367" i="21"/>
  <c r="N367" i="21"/>
  <c r="AO452" i="21"/>
  <c r="N452" i="21"/>
  <c r="M452" i="21"/>
  <c r="M7" i="21"/>
  <c r="AO7" i="21"/>
  <c r="N7" i="21"/>
  <c r="M55" i="21"/>
  <c r="AO55" i="21"/>
  <c r="N55" i="21"/>
  <c r="M91" i="21"/>
  <c r="N91" i="21"/>
  <c r="AO91" i="21"/>
  <c r="M140" i="21"/>
  <c r="AO140" i="21"/>
  <c r="N140" i="21"/>
  <c r="AO176" i="21"/>
  <c r="M176" i="21"/>
  <c r="N176" i="21"/>
  <c r="AO224" i="21"/>
  <c r="N224" i="21"/>
  <c r="M224" i="21"/>
  <c r="N260" i="21"/>
  <c r="AO260" i="21"/>
  <c r="M260" i="21"/>
  <c r="N308" i="21"/>
  <c r="M308" i="21"/>
  <c r="AO308" i="21"/>
  <c r="N344" i="21"/>
  <c r="AO344" i="21"/>
  <c r="M344" i="21"/>
  <c r="N465" i="21"/>
  <c r="M465" i="21"/>
  <c r="AO465" i="21"/>
  <c r="N20" i="21"/>
  <c r="M20" i="21"/>
  <c r="AO20" i="21"/>
  <c r="AO44" i="21"/>
  <c r="M44" i="21"/>
  <c r="N44" i="21"/>
  <c r="AO104" i="21"/>
  <c r="M104" i="21"/>
  <c r="N104" i="21"/>
  <c r="AO128" i="21"/>
  <c r="M128" i="21"/>
  <c r="N128" i="21"/>
  <c r="M177" i="21"/>
  <c r="AO177" i="21"/>
  <c r="N177" i="21"/>
  <c r="M213" i="21"/>
  <c r="AO213" i="21"/>
  <c r="N213" i="21"/>
  <c r="AO261" i="21"/>
  <c r="N261" i="21"/>
  <c r="M261" i="21"/>
  <c r="AO285" i="21"/>
  <c r="N285" i="21"/>
  <c r="M285" i="21"/>
  <c r="N333" i="21"/>
  <c r="AO333" i="21"/>
  <c r="M333" i="21"/>
  <c r="AO442" i="21"/>
  <c r="N442" i="21"/>
  <c r="M442" i="21"/>
  <c r="M9" i="21"/>
  <c r="AO9" i="21"/>
  <c r="N9" i="21"/>
  <c r="N33" i="21"/>
  <c r="M33" i="21"/>
  <c r="AO33" i="21"/>
  <c r="M69" i="21"/>
  <c r="N69" i="21"/>
  <c r="AO69" i="21"/>
  <c r="M117" i="21"/>
  <c r="AO117" i="21"/>
  <c r="N117" i="21"/>
  <c r="AO154" i="21"/>
  <c r="N154" i="21"/>
  <c r="M154" i="21"/>
  <c r="AO178" i="21"/>
  <c r="N178" i="21"/>
  <c r="M178" i="21"/>
  <c r="M214" i="21"/>
  <c r="AO214" i="21"/>
  <c r="N214" i="21"/>
  <c r="M238" i="21"/>
  <c r="AO238" i="21"/>
  <c r="N238" i="21"/>
  <c r="AO262" i="21"/>
  <c r="M262" i="21"/>
  <c r="N262" i="21"/>
  <c r="AO286" i="21"/>
  <c r="N286" i="21"/>
  <c r="M286" i="21"/>
  <c r="AO322" i="21"/>
  <c r="N322" i="21"/>
  <c r="M322" i="21"/>
  <c r="AO334" i="21"/>
  <c r="N334" i="21"/>
  <c r="M334" i="21"/>
  <c r="AO346" i="21"/>
  <c r="N346" i="21"/>
  <c r="M346" i="21"/>
  <c r="N358" i="21"/>
  <c r="AO358" i="21"/>
  <c r="M358" i="21"/>
  <c r="AO370" i="21"/>
  <c r="N370" i="21"/>
  <c r="M370" i="21"/>
  <c r="AO382" i="21"/>
  <c r="N382" i="21"/>
  <c r="M382" i="21"/>
  <c r="M394" i="21"/>
  <c r="AO394" i="21"/>
  <c r="N394" i="21"/>
  <c r="AO406" i="21"/>
  <c r="N406" i="21"/>
  <c r="M406" i="21"/>
  <c r="AO418" i="21"/>
  <c r="N418" i="21"/>
  <c r="M418" i="21"/>
  <c r="AO431" i="21"/>
  <c r="N431" i="21"/>
  <c r="M431" i="21"/>
  <c r="AO443" i="21"/>
  <c r="N443" i="21"/>
  <c r="M443" i="21"/>
  <c r="AO455" i="21"/>
  <c r="M455" i="21"/>
  <c r="N455" i="21"/>
  <c r="N467" i="21"/>
  <c r="M467" i="21"/>
  <c r="AO467" i="21"/>
  <c r="AO10" i="21"/>
  <c r="N10" i="21"/>
  <c r="M10" i="21"/>
  <c r="M22" i="21"/>
  <c r="N22" i="21"/>
  <c r="AO22" i="21"/>
  <c r="AO34" i="21"/>
  <c r="N34" i="21"/>
  <c r="M34" i="21"/>
  <c r="N46" i="21"/>
  <c r="AO46" i="21"/>
  <c r="M46" i="21"/>
  <c r="N58" i="21"/>
  <c r="M58" i="21"/>
  <c r="AO58" i="21"/>
  <c r="AO70" i="21"/>
  <c r="N70" i="21"/>
  <c r="M70" i="21"/>
  <c r="N82" i="21"/>
  <c r="M82" i="21"/>
  <c r="AO82" i="21"/>
  <c r="AO94" i="21"/>
  <c r="N94" i="21"/>
  <c r="M94" i="21"/>
  <c r="M106" i="21"/>
  <c r="AO106" i="21"/>
  <c r="N106" i="21"/>
  <c r="N118" i="21"/>
  <c r="AO118" i="21"/>
  <c r="M118" i="21"/>
  <c r="M130" i="21"/>
  <c r="N130" i="21"/>
  <c r="AO130" i="21"/>
  <c r="AO143" i="21"/>
  <c r="N143" i="21"/>
  <c r="M143" i="21"/>
  <c r="AO155" i="21"/>
  <c r="N155" i="21"/>
  <c r="M155" i="21"/>
  <c r="M167" i="21"/>
  <c r="AO167" i="21"/>
  <c r="N167" i="21"/>
  <c r="AO179" i="21"/>
  <c r="N179" i="21"/>
  <c r="M179" i="21"/>
  <c r="AO191" i="21"/>
  <c r="N191" i="21"/>
  <c r="M191" i="21"/>
  <c r="M203" i="21"/>
  <c r="AO203" i="21"/>
  <c r="N203" i="21"/>
  <c r="AO215" i="21"/>
  <c r="N215" i="21"/>
  <c r="M215" i="21"/>
  <c r="M227" i="21"/>
  <c r="N227" i="21"/>
  <c r="AO227" i="21"/>
  <c r="AO239" i="21"/>
  <c r="M239" i="21"/>
  <c r="N239" i="21"/>
  <c r="AO251" i="21"/>
  <c r="N251" i="21"/>
  <c r="M251" i="21"/>
  <c r="M263" i="21"/>
  <c r="N263" i="21"/>
  <c r="AO263" i="21"/>
  <c r="AO275" i="21"/>
  <c r="M275" i="21"/>
  <c r="N275" i="21"/>
  <c r="AO287" i="21"/>
  <c r="N287" i="21"/>
  <c r="M287" i="21"/>
  <c r="M299" i="21"/>
  <c r="N299" i="21"/>
  <c r="AO299" i="21"/>
  <c r="N311" i="21"/>
  <c r="M311" i="21"/>
  <c r="AO311" i="21"/>
  <c r="N323" i="21"/>
  <c r="AO323" i="21"/>
  <c r="M323" i="21"/>
  <c r="AO335" i="21"/>
  <c r="M335" i="21"/>
  <c r="N335" i="21"/>
  <c r="N347" i="21"/>
  <c r="AO347" i="21"/>
  <c r="M347" i="21"/>
  <c r="N359" i="21"/>
  <c r="AO359" i="21"/>
  <c r="M359" i="21"/>
  <c r="AO371" i="21"/>
  <c r="N371" i="21"/>
  <c r="M371" i="21"/>
  <c r="N383" i="21"/>
  <c r="M383" i="21"/>
  <c r="AO383" i="21"/>
  <c r="N395" i="21"/>
  <c r="M395" i="21"/>
  <c r="AO395" i="21"/>
  <c r="M407" i="21"/>
  <c r="N407" i="21"/>
  <c r="AO407" i="21"/>
  <c r="AO419" i="21"/>
  <c r="N419" i="21"/>
  <c r="M419" i="21"/>
  <c r="AO432" i="21"/>
  <c r="N432" i="21"/>
  <c r="M432" i="21"/>
  <c r="M444" i="21"/>
  <c r="AO444" i="21"/>
  <c r="N444" i="21"/>
  <c r="M456" i="21"/>
  <c r="AO456" i="21"/>
  <c r="N456" i="21"/>
  <c r="AO468" i="21"/>
  <c r="M468" i="21"/>
  <c r="N468" i="21"/>
  <c r="N51" i="21"/>
  <c r="M51" i="21"/>
  <c r="AO51" i="21"/>
  <c r="N123" i="21"/>
  <c r="M123" i="21"/>
  <c r="AO123" i="21"/>
  <c r="N196" i="21"/>
  <c r="AO196" i="21"/>
  <c r="M196" i="21"/>
  <c r="AO268" i="21"/>
  <c r="N268" i="21"/>
  <c r="M268" i="21"/>
  <c r="N352" i="21"/>
  <c r="AO352" i="21"/>
  <c r="M352" i="21"/>
  <c r="AO449" i="21"/>
  <c r="N449" i="21"/>
  <c r="M449" i="21"/>
  <c r="AO112" i="21"/>
  <c r="N112" i="21"/>
  <c r="M112" i="21"/>
  <c r="M341" i="21"/>
  <c r="AO341" i="21"/>
  <c r="N341" i="21"/>
  <c r="AO425" i="21"/>
  <c r="M425" i="21"/>
  <c r="N425" i="21"/>
  <c r="M29" i="21"/>
  <c r="AO29" i="21"/>
  <c r="N29" i="21"/>
  <c r="N113" i="21"/>
  <c r="M113" i="21"/>
  <c r="AO113" i="21"/>
  <c r="N222" i="21"/>
  <c r="AO222" i="21"/>
  <c r="M222" i="21"/>
  <c r="N318" i="21"/>
  <c r="AO318" i="21"/>
  <c r="M318" i="21"/>
  <c r="M439" i="21"/>
  <c r="AO439" i="21"/>
  <c r="N439" i="21"/>
  <c r="N66" i="21"/>
  <c r="AO66" i="21"/>
  <c r="M66" i="21"/>
  <c r="AO163" i="21"/>
  <c r="N163" i="21"/>
  <c r="M163" i="21"/>
  <c r="N247" i="21"/>
  <c r="M247" i="21"/>
  <c r="AO247" i="21"/>
  <c r="AO331" i="21"/>
  <c r="N331" i="21"/>
  <c r="M331" i="21"/>
  <c r="AO415" i="21"/>
  <c r="M415" i="21"/>
  <c r="N415" i="21"/>
  <c r="N19" i="21"/>
  <c r="M19" i="21"/>
  <c r="AO19" i="21"/>
  <c r="AO103" i="21"/>
  <c r="M103" i="21"/>
  <c r="N103" i="21"/>
  <c r="M188" i="21"/>
  <c r="AO188" i="21"/>
  <c r="N188" i="21"/>
  <c r="N272" i="21"/>
  <c r="M272" i="21"/>
  <c r="AO272" i="21"/>
  <c r="N368" i="21"/>
  <c r="AO368" i="21"/>
  <c r="M368" i="21"/>
  <c r="N429" i="21"/>
  <c r="M429" i="21"/>
  <c r="AO429" i="21"/>
  <c r="M68" i="21"/>
  <c r="AO68" i="21"/>
  <c r="N68" i="21"/>
  <c r="M153" i="21"/>
  <c r="AO153" i="21"/>
  <c r="N153" i="21"/>
  <c r="M249" i="21"/>
  <c r="AO249" i="21"/>
  <c r="N249" i="21"/>
  <c r="AO321" i="21"/>
  <c r="N321" i="21"/>
  <c r="M321" i="21"/>
  <c r="N381" i="21"/>
  <c r="AO381" i="21"/>
  <c r="M381" i="21"/>
  <c r="AO430" i="21"/>
  <c r="N430" i="21"/>
  <c r="M430" i="21"/>
  <c r="AO81" i="21"/>
  <c r="M81" i="21"/>
  <c r="N81" i="21"/>
  <c r="M166" i="21"/>
  <c r="N166" i="21"/>
  <c r="AO166" i="21"/>
  <c r="M274" i="21"/>
  <c r="AO274" i="21"/>
  <c r="N274" i="21"/>
  <c r="AO23" i="21"/>
  <c r="N23" i="21"/>
  <c r="M23" i="21"/>
  <c r="AO71" i="21"/>
  <c r="N71" i="21"/>
  <c r="M71" i="21"/>
  <c r="AO83" i="21"/>
  <c r="N83" i="21"/>
  <c r="M83" i="21"/>
  <c r="AO95" i="21"/>
  <c r="N95" i="21"/>
  <c r="M95" i="21"/>
  <c r="AO107" i="21"/>
  <c r="N107" i="21"/>
  <c r="M107" i="21"/>
  <c r="AO119" i="21"/>
  <c r="N119" i="21"/>
  <c r="M119" i="21"/>
  <c r="AO131" i="21"/>
  <c r="N131" i="21"/>
  <c r="M131" i="21"/>
  <c r="N144" i="21"/>
  <c r="AO144" i="21"/>
  <c r="M144" i="21"/>
  <c r="N156" i="21"/>
  <c r="AO156" i="21"/>
  <c r="M156" i="21"/>
  <c r="M168" i="21"/>
  <c r="N168" i="21"/>
  <c r="AO168" i="21"/>
  <c r="AO180" i="21"/>
  <c r="N180" i="21"/>
  <c r="M180" i="21"/>
  <c r="AO192" i="21"/>
  <c r="M192" i="21"/>
  <c r="N192" i="21"/>
  <c r="AO204" i="21"/>
  <c r="N204" i="21"/>
  <c r="M204" i="21"/>
  <c r="AO216" i="21"/>
  <c r="N216" i="21"/>
  <c r="M216" i="21"/>
  <c r="AO228" i="21"/>
  <c r="N228" i="21"/>
  <c r="M228" i="21"/>
  <c r="AO240" i="21"/>
  <c r="N240" i="21"/>
  <c r="M240" i="21"/>
  <c r="N252" i="21"/>
  <c r="AO252" i="21"/>
  <c r="M252" i="21"/>
  <c r="AO264" i="21"/>
  <c r="N264" i="21"/>
  <c r="M264" i="21"/>
  <c r="M276" i="21"/>
  <c r="AO276" i="21"/>
  <c r="N276" i="21"/>
  <c r="AO288" i="21"/>
  <c r="M288" i="21"/>
  <c r="N288" i="21"/>
  <c r="AO300" i="21"/>
  <c r="M300" i="21"/>
  <c r="N300" i="21"/>
  <c r="N312" i="21"/>
  <c r="AO312" i="21"/>
  <c r="M312" i="21"/>
  <c r="N324" i="21"/>
  <c r="AO324" i="21"/>
  <c r="M324" i="21"/>
  <c r="N336" i="21"/>
  <c r="M336" i="21"/>
  <c r="AO336" i="21"/>
  <c r="N348" i="21"/>
  <c r="M348" i="21"/>
  <c r="AO348" i="21"/>
  <c r="N360" i="21"/>
  <c r="AO360" i="21"/>
  <c r="M360" i="21"/>
  <c r="N372" i="21"/>
  <c r="AO372" i="21"/>
  <c r="M372" i="21"/>
  <c r="N384" i="21"/>
  <c r="AO384" i="21"/>
  <c r="M384" i="21"/>
  <c r="N396" i="21"/>
  <c r="M396" i="21"/>
  <c r="AO396" i="21"/>
  <c r="N408" i="21"/>
  <c r="M408" i="21"/>
  <c r="AO408" i="21"/>
  <c r="AO420" i="21"/>
  <c r="N420" i="21"/>
  <c r="M420" i="21"/>
  <c r="AO433" i="21"/>
  <c r="M433" i="21"/>
  <c r="N433" i="21"/>
  <c r="AO445" i="21"/>
  <c r="N445" i="21"/>
  <c r="M445" i="21"/>
  <c r="AO457" i="21"/>
  <c r="N457" i="21"/>
  <c r="M457" i="21"/>
  <c r="AO469" i="21"/>
  <c r="N469" i="21"/>
  <c r="M469" i="21"/>
  <c r="M99" i="21"/>
  <c r="AO99" i="21"/>
  <c r="N99" i="21"/>
  <c r="AO184" i="21"/>
  <c r="M184" i="21"/>
  <c r="N184" i="21"/>
  <c r="N280" i="21"/>
  <c r="AO280" i="21"/>
  <c r="M280" i="21"/>
  <c r="M364" i="21"/>
  <c r="N364" i="21"/>
  <c r="AO364" i="21"/>
  <c r="M424" i="21"/>
  <c r="AO424" i="21"/>
  <c r="N424" i="21"/>
  <c r="N64" i="21"/>
  <c r="M64" i="21"/>
  <c r="AO64" i="21"/>
  <c r="N149" i="21"/>
  <c r="M149" i="21"/>
  <c r="AO149" i="21"/>
  <c r="AO221" i="21"/>
  <c r="M221" i="21"/>
  <c r="N221" i="21"/>
  <c r="AO305" i="21"/>
  <c r="N305" i="21"/>
  <c r="M305" i="21"/>
  <c r="AO413" i="21"/>
  <c r="N413" i="21"/>
  <c r="M413" i="21"/>
  <c r="M53" i="21"/>
  <c r="AO53" i="21"/>
  <c r="N53" i="21"/>
  <c r="N150" i="21"/>
  <c r="M150" i="21"/>
  <c r="AO150" i="21"/>
  <c r="N234" i="21"/>
  <c r="M234" i="21"/>
  <c r="AO234" i="21"/>
  <c r="N330" i="21"/>
  <c r="AO330" i="21"/>
  <c r="M330" i="21"/>
  <c r="M414" i="21"/>
  <c r="AO414" i="21"/>
  <c r="N414" i="21"/>
  <c r="N18" i="21"/>
  <c r="AO18" i="21"/>
  <c r="M18" i="21"/>
  <c r="N114" i="21"/>
  <c r="M114" i="21"/>
  <c r="AO114" i="21"/>
  <c r="N199" i="21"/>
  <c r="AO199" i="21"/>
  <c r="M199" i="21"/>
  <c r="AO307" i="21"/>
  <c r="N307" i="21"/>
  <c r="M307" i="21"/>
  <c r="AO440" i="21"/>
  <c r="N440" i="21"/>
  <c r="M440" i="21"/>
  <c r="M67" i="21"/>
  <c r="N67" i="21"/>
  <c r="AO67" i="21"/>
  <c r="M152" i="21"/>
  <c r="AO152" i="21"/>
  <c r="N152" i="21"/>
  <c r="M236" i="21"/>
  <c r="AO236" i="21"/>
  <c r="N236" i="21"/>
  <c r="N320" i="21"/>
  <c r="AO320" i="21"/>
  <c r="M320" i="21"/>
  <c r="AO416" i="21"/>
  <c r="N416" i="21"/>
  <c r="M416" i="21"/>
  <c r="M8" i="21"/>
  <c r="AO8" i="21"/>
  <c r="N8" i="21"/>
  <c r="N92" i="21"/>
  <c r="M92" i="21"/>
  <c r="AO92" i="21"/>
  <c r="AO189" i="21"/>
  <c r="M189" i="21"/>
  <c r="N189" i="21"/>
  <c r="M273" i="21"/>
  <c r="AO273" i="21"/>
  <c r="N273" i="21"/>
  <c r="M357" i="21"/>
  <c r="AO357" i="21"/>
  <c r="N357" i="21"/>
  <c r="AO466" i="21"/>
  <c r="M466" i="21"/>
  <c r="N466" i="21"/>
  <c r="M93" i="21"/>
  <c r="AO93" i="21"/>
  <c r="N93" i="21"/>
  <c r="AO190" i="21"/>
  <c r="M190" i="21"/>
  <c r="N190" i="21"/>
  <c r="M298" i="21"/>
  <c r="AO298" i="21"/>
  <c r="N298" i="21"/>
  <c r="N47" i="21"/>
  <c r="AO47" i="21"/>
  <c r="M47" i="21"/>
  <c r="N48" i="21"/>
  <c r="AO48" i="21"/>
  <c r="M48" i="21"/>
  <c r="N84" i="21"/>
  <c r="AO84" i="21"/>
  <c r="M84" i="21"/>
  <c r="N96" i="21"/>
  <c r="AO96" i="21"/>
  <c r="M96" i="21"/>
  <c r="N108" i="21"/>
  <c r="AO108" i="21"/>
  <c r="M108" i="21"/>
  <c r="N120" i="21"/>
  <c r="AO120" i="21"/>
  <c r="M120" i="21"/>
  <c r="N132" i="21"/>
  <c r="AO132" i="21"/>
  <c r="M132" i="21"/>
  <c r="N145" i="21"/>
  <c r="AO145" i="21"/>
  <c r="M145" i="21"/>
  <c r="AO157" i="21"/>
  <c r="M157" i="21"/>
  <c r="N157" i="21"/>
  <c r="N169" i="21"/>
  <c r="AO169" i="21"/>
  <c r="M169" i="21"/>
  <c r="N181" i="21"/>
  <c r="AO181" i="21"/>
  <c r="M181" i="21"/>
  <c r="N193" i="21"/>
  <c r="AO193" i="21"/>
  <c r="M193" i="21"/>
  <c r="N205" i="21"/>
  <c r="AO205" i="21"/>
  <c r="M205" i="21"/>
  <c r="N217" i="21"/>
  <c r="AO217" i="21"/>
  <c r="M217" i="21"/>
  <c r="N229" i="21"/>
  <c r="AO229" i="21"/>
  <c r="M229" i="21"/>
  <c r="N241" i="21"/>
  <c r="AO241" i="21"/>
  <c r="M241" i="21"/>
  <c r="N253" i="21"/>
  <c r="AO253" i="21"/>
  <c r="M253" i="21"/>
  <c r="M265" i="21"/>
  <c r="AO265" i="21"/>
  <c r="N265" i="21"/>
  <c r="AO277" i="21"/>
  <c r="N277" i="21"/>
  <c r="M277" i="21"/>
  <c r="M289" i="21"/>
  <c r="AO289" i="21"/>
  <c r="N289" i="21"/>
  <c r="AO301" i="21"/>
  <c r="M301" i="21"/>
  <c r="N301" i="21"/>
  <c r="AO313" i="21"/>
  <c r="N313" i="21"/>
  <c r="M313" i="21"/>
  <c r="AO325" i="21"/>
  <c r="N325" i="21"/>
  <c r="M325" i="21"/>
  <c r="AO337" i="21"/>
  <c r="M337" i="21"/>
  <c r="N337" i="21"/>
  <c r="N349" i="21"/>
  <c r="AO349" i="21"/>
  <c r="M349" i="21"/>
  <c r="AO361" i="21"/>
  <c r="N361" i="21"/>
  <c r="M361" i="21"/>
  <c r="AO373" i="21"/>
  <c r="N373" i="21"/>
  <c r="M373" i="21"/>
  <c r="AO385" i="21"/>
  <c r="N385" i="21"/>
  <c r="M385" i="21"/>
  <c r="AO397" i="21"/>
  <c r="N397" i="21"/>
  <c r="M397" i="21"/>
  <c r="AO409" i="21"/>
  <c r="N409" i="21"/>
  <c r="M409" i="21"/>
  <c r="AO421" i="21"/>
  <c r="N421" i="21"/>
  <c r="M421" i="21"/>
  <c r="AO434" i="21"/>
  <c r="M434" i="21"/>
  <c r="N434" i="21"/>
  <c r="AO446" i="21"/>
  <c r="N446" i="21"/>
  <c r="M446" i="21"/>
  <c r="AO458" i="21"/>
  <c r="N458" i="21"/>
  <c r="M458" i="21"/>
  <c r="AO470" i="21"/>
  <c r="N470" i="21"/>
  <c r="M470" i="21"/>
  <c r="AO15" i="21"/>
  <c r="N15" i="21"/>
  <c r="M15" i="21"/>
  <c r="AO87" i="21"/>
  <c r="N87" i="21"/>
  <c r="M87" i="21"/>
  <c r="N172" i="21"/>
  <c r="AO172" i="21"/>
  <c r="M172" i="21"/>
  <c r="N244" i="21"/>
  <c r="M244" i="21"/>
  <c r="AO244" i="21"/>
  <c r="N316" i="21"/>
  <c r="M316" i="21"/>
  <c r="AO316" i="21"/>
  <c r="AO412" i="21"/>
  <c r="N412" i="21"/>
  <c r="M412" i="21"/>
  <c r="M28" i="21"/>
  <c r="N28" i="21"/>
  <c r="AO28" i="21"/>
  <c r="AO88" i="21"/>
  <c r="N88" i="21"/>
  <c r="M88" i="21"/>
  <c r="N185" i="21"/>
  <c r="M185" i="21"/>
  <c r="AO185" i="21"/>
  <c r="N269" i="21"/>
  <c r="AO269" i="21"/>
  <c r="M269" i="21"/>
  <c r="M365" i="21"/>
  <c r="N365" i="21"/>
  <c r="AO365" i="21"/>
  <c r="AO462" i="21"/>
  <c r="M462" i="21"/>
  <c r="N462" i="21"/>
  <c r="N77" i="21"/>
  <c r="M77" i="21"/>
  <c r="AO77" i="21"/>
  <c r="M174" i="21"/>
  <c r="AO174" i="21"/>
  <c r="N174" i="21"/>
  <c r="AO270" i="21"/>
  <c r="M270" i="21"/>
  <c r="N270" i="21"/>
  <c r="N342" i="21"/>
  <c r="M342" i="21"/>
  <c r="AO342" i="21"/>
  <c r="M426" i="21"/>
  <c r="AO426" i="21"/>
  <c r="N426" i="21"/>
  <c r="N54" i="21"/>
  <c r="M54" i="21"/>
  <c r="AO54" i="21"/>
  <c r="M139" i="21"/>
  <c r="N139" i="21"/>
  <c r="AO139" i="21"/>
  <c r="N223" i="21"/>
  <c r="AO223" i="21"/>
  <c r="M223" i="21"/>
  <c r="AO319" i="21"/>
  <c r="M319" i="21"/>
  <c r="N319" i="21"/>
  <c r="AO427" i="21"/>
  <c r="N427" i="21"/>
  <c r="M427" i="21"/>
  <c r="M43" i="21"/>
  <c r="AO43" i="21"/>
  <c r="N43" i="21"/>
  <c r="M127" i="21"/>
  <c r="AO127" i="21"/>
  <c r="N127" i="21"/>
  <c r="M212" i="21"/>
  <c r="AO212" i="21"/>
  <c r="N212" i="21"/>
  <c r="N296" i="21"/>
  <c r="AO296" i="21"/>
  <c r="M296" i="21"/>
  <c r="N380" i="21"/>
  <c r="AO380" i="21"/>
  <c r="M380" i="21"/>
  <c r="M453" i="21"/>
  <c r="N453" i="21"/>
  <c r="AO453" i="21"/>
  <c r="M56" i="21"/>
  <c r="AO56" i="21"/>
  <c r="N56" i="21"/>
  <c r="M141" i="21"/>
  <c r="AO141" i="21"/>
  <c r="N141" i="21"/>
  <c r="M225" i="21"/>
  <c r="AO225" i="21"/>
  <c r="N225" i="21"/>
  <c r="N309" i="21"/>
  <c r="M309" i="21"/>
  <c r="AO309" i="21"/>
  <c r="N369" i="21"/>
  <c r="M369" i="21"/>
  <c r="AO369" i="21"/>
  <c r="AO417" i="21"/>
  <c r="N417" i="21"/>
  <c r="M417" i="21"/>
  <c r="AO57" i="21"/>
  <c r="M57" i="21"/>
  <c r="N57" i="21"/>
  <c r="AO129" i="21"/>
  <c r="M129" i="21"/>
  <c r="N129" i="21"/>
  <c r="AO250" i="21"/>
  <c r="N250" i="21"/>
  <c r="M250" i="21"/>
  <c r="N24" i="21"/>
  <c r="AO24" i="21"/>
  <c r="M24" i="21"/>
  <c r="N72" i="21"/>
  <c r="AO72" i="21"/>
  <c r="M72" i="21"/>
  <c r="N13" i="21"/>
  <c r="M13" i="21"/>
  <c r="AO13" i="21"/>
  <c r="AO49" i="21"/>
  <c r="N49" i="21"/>
  <c r="M49" i="21"/>
  <c r="AO85" i="21"/>
  <c r="N85" i="21"/>
  <c r="M85" i="21"/>
  <c r="AO109" i="21"/>
  <c r="M109" i="21"/>
  <c r="N109" i="21"/>
  <c r="N133" i="21"/>
  <c r="M133" i="21"/>
  <c r="AO133" i="21"/>
  <c r="AO146" i="21"/>
  <c r="N146" i="21"/>
  <c r="M146" i="21"/>
  <c r="N158" i="21"/>
  <c r="AO158" i="21"/>
  <c r="M158" i="21"/>
  <c r="N170" i="21"/>
  <c r="AO170" i="21"/>
  <c r="M170" i="21"/>
  <c r="N182" i="21"/>
  <c r="AO182" i="21"/>
  <c r="M182" i="21"/>
  <c r="M194" i="21"/>
  <c r="AO194" i="21"/>
  <c r="N194" i="21"/>
  <c r="AO206" i="21"/>
  <c r="N206" i="21"/>
  <c r="M206" i="21"/>
  <c r="N218" i="21"/>
  <c r="AO218" i="21"/>
  <c r="M218" i="21"/>
  <c r="AO230" i="21"/>
  <c r="N230" i="21"/>
  <c r="M230" i="21"/>
  <c r="N242" i="21"/>
  <c r="AO242" i="21"/>
  <c r="M242" i="21"/>
  <c r="AO254" i="21"/>
  <c r="M254" i="21"/>
  <c r="N254" i="21"/>
  <c r="N266" i="21"/>
  <c r="AO266" i="21"/>
  <c r="M266" i="21"/>
  <c r="N278" i="21"/>
  <c r="AO278" i="21"/>
  <c r="M278" i="21"/>
  <c r="N290" i="21"/>
  <c r="AO290" i="21"/>
  <c r="M290" i="21"/>
  <c r="N302" i="21"/>
  <c r="M302" i="21"/>
  <c r="AO302" i="21"/>
  <c r="N314" i="21"/>
  <c r="M314" i="21"/>
  <c r="AO314" i="21"/>
  <c r="N326" i="21"/>
  <c r="M326" i="21"/>
  <c r="AO326" i="21"/>
  <c r="N338" i="21"/>
  <c r="M338" i="21"/>
  <c r="AO338" i="21"/>
  <c r="N350" i="21"/>
  <c r="AO350" i="21"/>
  <c r="M350" i="21"/>
  <c r="N362" i="21"/>
  <c r="AO362" i="21"/>
  <c r="M362" i="21"/>
  <c r="N374" i="21"/>
  <c r="AO374" i="21"/>
  <c r="M374" i="21"/>
  <c r="N386" i="21"/>
  <c r="AO386" i="21"/>
  <c r="M386" i="21"/>
  <c r="N398" i="21"/>
  <c r="AO398" i="21"/>
  <c r="M398" i="21"/>
  <c r="AO410" i="21"/>
  <c r="N410" i="21"/>
  <c r="M410" i="21"/>
  <c r="AO422" i="21"/>
  <c r="N422" i="21"/>
  <c r="M422" i="21"/>
  <c r="AO435" i="21"/>
  <c r="M435" i="21"/>
  <c r="N435" i="21"/>
  <c r="M447" i="21"/>
  <c r="AO447" i="21"/>
  <c r="N447" i="21"/>
  <c r="AO459" i="21"/>
  <c r="N459" i="21"/>
  <c r="M459" i="21"/>
  <c r="AO471" i="21"/>
  <c r="N471" i="21"/>
  <c r="M471" i="21"/>
  <c r="AO39" i="21"/>
  <c r="N39" i="21"/>
  <c r="M39" i="21"/>
  <c r="N75" i="21"/>
  <c r="M75" i="21"/>
  <c r="AO75" i="21"/>
  <c r="AO135" i="21"/>
  <c r="N135" i="21"/>
  <c r="M135" i="21"/>
  <c r="AO160" i="21"/>
  <c r="N160" i="21"/>
  <c r="M160" i="21"/>
  <c r="M220" i="21"/>
  <c r="AO220" i="21"/>
  <c r="N220" i="21"/>
  <c r="AO232" i="21"/>
  <c r="N232" i="21"/>
  <c r="M232" i="21"/>
  <c r="AO292" i="21"/>
  <c r="M292" i="21"/>
  <c r="N292" i="21"/>
  <c r="M328" i="21"/>
  <c r="AO328" i="21"/>
  <c r="N328" i="21"/>
  <c r="N376" i="21"/>
  <c r="M376" i="21"/>
  <c r="AO376" i="21"/>
  <c r="AO400" i="21"/>
  <c r="N400" i="21"/>
  <c r="M400" i="21"/>
  <c r="AO461" i="21"/>
  <c r="N461" i="21"/>
  <c r="M461" i="21"/>
  <c r="M40" i="21"/>
  <c r="AO40" i="21"/>
  <c r="N40" i="21"/>
  <c r="M76" i="21"/>
  <c r="AO76" i="21"/>
  <c r="N76" i="21"/>
  <c r="AO124" i="21"/>
  <c r="M124" i="21"/>
  <c r="N124" i="21"/>
  <c r="AO161" i="21"/>
  <c r="N161" i="21"/>
  <c r="M161" i="21"/>
  <c r="AO197" i="21"/>
  <c r="M197" i="21"/>
  <c r="N197" i="21"/>
  <c r="M245" i="21"/>
  <c r="N245" i="21"/>
  <c r="AO245" i="21"/>
  <c r="AO281" i="21"/>
  <c r="N281" i="21"/>
  <c r="M281" i="21"/>
  <c r="AO317" i="21"/>
  <c r="M317" i="21"/>
  <c r="N317" i="21"/>
  <c r="AO353" i="21"/>
  <c r="N353" i="21"/>
  <c r="M353" i="21"/>
  <c r="AO389" i="21"/>
  <c r="N389" i="21"/>
  <c r="M389" i="21"/>
  <c r="AO450" i="21"/>
  <c r="N450" i="21"/>
  <c r="M450" i="21"/>
  <c r="AO17" i="21"/>
  <c r="N17" i="21"/>
  <c r="M17" i="21"/>
  <c r="AO65" i="21"/>
  <c r="N65" i="21"/>
  <c r="M65" i="21"/>
  <c r="M101" i="21"/>
  <c r="AO101" i="21"/>
  <c r="N101" i="21"/>
  <c r="N138" i="21"/>
  <c r="AO138" i="21"/>
  <c r="M138" i="21"/>
  <c r="N162" i="21"/>
  <c r="AO162" i="21"/>
  <c r="M162" i="21"/>
  <c r="N198" i="21"/>
  <c r="AO198" i="21"/>
  <c r="M198" i="21"/>
  <c r="M246" i="21"/>
  <c r="AO246" i="21"/>
  <c r="N246" i="21"/>
  <c r="M294" i="21"/>
  <c r="AO294" i="21"/>
  <c r="N294" i="21"/>
  <c r="N354" i="21"/>
  <c r="AO354" i="21"/>
  <c r="M354" i="21"/>
  <c r="N378" i="21"/>
  <c r="M378" i="21"/>
  <c r="AO378" i="21"/>
  <c r="N402" i="21"/>
  <c r="AO402" i="21"/>
  <c r="M402" i="21"/>
  <c r="M463" i="21"/>
  <c r="AO463" i="21"/>
  <c r="N463" i="21"/>
  <c r="N30" i="21"/>
  <c r="M30" i="21"/>
  <c r="AO30" i="21"/>
  <c r="N78" i="21"/>
  <c r="M78" i="21"/>
  <c r="AO78" i="21"/>
  <c r="N102" i="21"/>
  <c r="M102" i="21"/>
  <c r="AO102" i="21"/>
  <c r="AO151" i="21"/>
  <c r="N151" i="21"/>
  <c r="M151" i="21"/>
  <c r="N187" i="21"/>
  <c r="AO187" i="21"/>
  <c r="M187" i="21"/>
  <c r="N235" i="21"/>
  <c r="AO235" i="21"/>
  <c r="M235" i="21"/>
  <c r="N271" i="21"/>
  <c r="AO271" i="21"/>
  <c r="M271" i="21"/>
  <c r="N295" i="21"/>
  <c r="AO295" i="21"/>
  <c r="M295" i="21"/>
  <c r="M355" i="21"/>
  <c r="AO355" i="21"/>
  <c r="N355" i="21"/>
  <c r="AO379" i="21"/>
  <c r="M379" i="21"/>
  <c r="N379" i="21"/>
  <c r="M391" i="21"/>
  <c r="AO391" i="21"/>
  <c r="N391" i="21"/>
  <c r="AO464" i="21"/>
  <c r="N464" i="21"/>
  <c r="M464" i="21"/>
  <c r="AO31" i="21"/>
  <c r="M31" i="21"/>
  <c r="N31" i="21"/>
  <c r="N79" i="21"/>
  <c r="M79" i="21"/>
  <c r="AO79" i="21"/>
  <c r="M115" i="21"/>
  <c r="AO115" i="21"/>
  <c r="N115" i="21"/>
  <c r="N200" i="21"/>
  <c r="M200" i="21"/>
  <c r="AO200" i="21"/>
  <c r="AO248" i="21"/>
  <c r="M248" i="21"/>
  <c r="N248" i="21"/>
  <c r="N284" i="21"/>
  <c r="AO284" i="21"/>
  <c r="M284" i="21"/>
  <c r="N332" i="21"/>
  <c r="AO332" i="21"/>
  <c r="M332" i="21"/>
  <c r="N356" i="21"/>
  <c r="M356" i="21"/>
  <c r="AO356" i="21"/>
  <c r="N392" i="21"/>
  <c r="AO392" i="21"/>
  <c r="M392" i="21"/>
  <c r="N441" i="21"/>
  <c r="AO441" i="21"/>
  <c r="M441" i="21"/>
  <c r="M32" i="21"/>
  <c r="AO32" i="21"/>
  <c r="N32" i="21"/>
  <c r="M80" i="21"/>
  <c r="AO80" i="21"/>
  <c r="N80" i="21"/>
  <c r="AO116" i="21"/>
  <c r="M116" i="21"/>
  <c r="N116" i="21"/>
  <c r="AO165" i="21"/>
  <c r="N165" i="21"/>
  <c r="M165" i="21"/>
  <c r="M201" i="21"/>
  <c r="AO201" i="21"/>
  <c r="N201" i="21"/>
  <c r="AO237" i="21"/>
  <c r="N237" i="21"/>
  <c r="M237" i="21"/>
  <c r="AO297" i="21"/>
  <c r="N297" i="21"/>
  <c r="M297" i="21"/>
  <c r="N345" i="21"/>
  <c r="M345" i="21"/>
  <c r="AO345" i="21"/>
  <c r="M393" i="21"/>
  <c r="N393" i="21"/>
  <c r="AO393" i="21"/>
  <c r="AO454" i="21"/>
  <c r="M454" i="21"/>
  <c r="N454" i="21"/>
  <c r="M21" i="21"/>
  <c r="AO21" i="21"/>
  <c r="N21" i="21"/>
  <c r="M45" i="21"/>
  <c r="AO45" i="21"/>
  <c r="N45" i="21"/>
  <c r="N105" i="21"/>
  <c r="AO105" i="21"/>
  <c r="M105" i="21"/>
  <c r="AO142" i="21"/>
  <c r="N142" i="21"/>
  <c r="M142" i="21"/>
  <c r="AO202" i="21"/>
  <c r="M202" i="21"/>
  <c r="N202" i="21"/>
  <c r="N226" i="21"/>
  <c r="M226" i="21"/>
  <c r="AO226" i="21"/>
  <c r="AO310" i="21"/>
  <c r="N310" i="21"/>
  <c r="M310" i="21"/>
  <c r="AO11" i="21"/>
  <c r="N11" i="21"/>
  <c r="M11" i="21"/>
  <c r="N35" i="21"/>
  <c r="M35" i="21"/>
  <c r="AO35" i="21"/>
  <c r="N59" i="21"/>
  <c r="AO59" i="21"/>
  <c r="M59" i="21"/>
  <c r="N12" i="21"/>
  <c r="AO12" i="21"/>
  <c r="M12" i="21"/>
  <c r="N36" i="21"/>
  <c r="M36" i="21"/>
  <c r="AO36" i="21"/>
  <c r="N60" i="21"/>
  <c r="AO60" i="21"/>
  <c r="M60" i="21"/>
  <c r="N25" i="21"/>
  <c r="AO25" i="21"/>
  <c r="M25" i="21"/>
  <c r="N37" i="21"/>
  <c r="M37" i="21"/>
  <c r="AO37" i="21"/>
  <c r="M61" i="21"/>
  <c r="AO61" i="21"/>
  <c r="N61" i="21"/>
  <c r="AO73" i="21"/>
  <c r="N73" i="21"/>
  <c r="M73" i="21"/>
  <c r="N97" i="21"/>
  <c r="AO97" i="21"/>
  <c r="M97" i="21"/>
  <c r="N121" i="21"/>
  <c r="M121" i="21"/>
  <c r="AO121" i="21"/>
  <c r="AO14" i="21"/>
  <c r="N14" i="21"/>
  <c r="M14" i="21"/>
  <c r="AO26" i="21"/>
  <c r="N26" i="21"/>
  <c r="M26" i="21"/>
  <c r="N38" i="21"/>
  <c r="M38" i="21"/>
  <c r="AO38" i="21"/>
  <c r="N50" i="21"/>
  <c r="AO50" i="21"/>
  <c r="M50" i="21"/>
  <c r="AO62" i="21"/>
  <c r="N62" i="21"/>
  <c r="M62" i="21"/>
  <c r="N74" i="21"/>
  <c r="AO74" i="21"/>
  <c r="M74" i="21"/>
  <c r="AO86" i="21"/>
  <c r="M86" i="21"/>
  <c r="N86" i="21"/>
  <c r="AO98" i="21"/>
  <c r="N98" i="21"/>
  <c r="M98" i="21"/>
  <c r="N110" i="21"/>
  <c r="AO110" i="21"/>
  <c r="M110" i="21"/>
  <c r="N122" i="21"/>
  <c r="M122" i="21"/>
  <c r="AO122" i="21"/>
  <c r="AO134" i="21"/>
  <c r="N134" i="21"/>
  <c r="M134" i="21"/>
  <c r="N147" i="21"/>
  <c r="M147" i="21"/>
  <c r="AO147" i="21"/>
  <c r="AO159" i="21"/>
  <c r="M159" i="21"/>
  <c r="N159" i="21"/>
  <c r="AO171" i="21"/>
  <c r="N171" i="21"/>
  <c r="M171" i="21"/>
  <c r="N183" i="21"/>
  <c r="M183" i="21"/>
  <c r="AO183" i="21"/>
  <c r="AO195" i="21"/>
  <c r="N195" i="21"/>
  <c r="M195" i="21"/>
  <c r="AO207" i="21"/>
  <c r="N207" i="21"/>
  <c r="M207" i="21"/>
  <c r="M219" i="21"/>
  <c r="AO219" i="21"/>
  <c r="N219" i="21"/>
  <c r="N231" i="21"/>
  <c r="AO231" i="21"/>
  <c r="M231" i="21"/>
  <c r="AO243" i="21"/>
  <c r="N243" i="21"/>
  <c r="M243" i="21"/>
  <c r="N255" i="21"/>
  <c r="AO255" i="21"/>
  <c r="M255" i="21"/>
  <c r="AO267" i="21"/>
  <c r="N267" i="21"/>
  <c r="M267" i="21"/>
  <c r="AO279" i="21"/>
  <c r="N279" i="21"/>
  <c r="M279" i="21"/>
  <c r="N291" i="21"/>
  <c r="M291" i="21"/>
  <c r="AO291" i="21"/>
  <c r="AO303" i="21"/>
  <c r="M303" i="21"/>
  <c r="N303" i="21"/>
  <c r="N315" i="21"/>
  <c r="M315" i="21"/>
  <c r="AO315" i="21"/>
  <c r="M327" i="21"/>
  <c r="AO327" i="21"/>
  <c r="N327" i="21"/>
  <c r="AO339" i="21"/>
  <c r="N339" i="21"/>
  <c r="M339" i="21"/>
  <c r="AO351" i="21"/>
  <c r="N351" i="21"/>
  <c r="M351" i="21"/>
  <c r="AO363" i="21"/>
  <c r="N363" i="21"/>
  <c r="M363" i="21"/>
  <c r="AO375" i="21"/>
  <c r="N375" i="21"/>
  <c r="M375" i="21"/>
  <c r="M387" i="21"/>
  <c r="N387" i="21"/>
  <c r="AO387" i="21"/>
  <c r="M399" i="21"/>
  <c r="AO399" i="21"/>
  <c r="N399" i="21"/>
  <c r="AO411" i="21"/>
  <c r="N411" i="21"/>
  <c r="M411" i="21"/>
  <c r="AO423" i="21"/>
  <c r="M423" i="21"/>
  <c r="N423" i="21"/>
  <c r="AO436" i="21"/>
  <c r="N436" i="21"/>
  <c r="M436" i="21"/>
  <c r="AO448" i="21"/>
  <c r="N448" i="21"/>
  <c r="M448" i="21"/>
  <c r="AO460" i="21"/>
  <c r="M460" i="21"/>
  <c r="N460" i="21"/>
  <c r="AO472" i="21"/>
  <c r="N472" i="21"/>
  <c r="M472" i="21"/>
  <c r="I2305" i="33"/>
  <c r="G2305" i="33"/>
  <c r="I2277" i="33"/>
  <c r="H2305" i="33"/>
  <c r="G2277" i="33"/>
  <c r="H2277" i="33"/>
  <c r="G2263" i="33"/>
  <c r="H2263" i="33"/>
  <c r="I2263" i="33"/>
  <c r="I2339" i="33"/>
  <c r="I1740" i="35"/>
  <c r="G1740" i="35"/>
  <c r="G2341" i="33"/>
  <c r="H2341" i="33"/>
  <c r="H1740" i="35"/>
  <c r="I2341" i="33"/>
  <c r="G2339" i="33"/>
  <c r="H2339" i="33"/>
  <c r="I2307" i="33"/>
  <c r="I2335" i="33"/>
  <c r="H2290" i="33"/>
  <c r="G2280" i="33"/>
  <c r="I1766" i="35"/>
  <c r="G2307" i="33"/>
  <c r="I2280" i="33"/>
  <c r="H2307" i="33"/>
  <c r="G2290" i="33"/>
  <c r="H2280" i="33"/>
  <c r="H2269" i="33"/>
  <c r="I2279" i="33"/>
  <c r="G2292" i="33"/>
  <c r="I2337" i="33"/>
  <c r="H2337" i="33"/>
  <c r="G2335" i="33"/>
  <c r="I2292" i="33"/>
  <c r="I2290" i="33"/>
  <c r="H2288" i="33"/>
  <c r="G2265" i="33"/>
  <c r="G1766" i="35"/>
  <c r="I2288" i="33"/>
  <c r="H1766" i="35"/>
  <c r="G2279" i="33"/>
  <c r="G2269" i="33"/>
  <c r="H2265" i="33"/>
  <c r="H2292" i="33"/>
  <c r="G2337" i="33"/>
  <c r="G2288" i="33"/>
  <c r="H2335" i="33"/>
  <c r="H2279" i="33"/>
  <c r="I2265" i="33"/>
  <c r="I2269" i="33"/>
  <c r="G2237" i="33"/>
  <c r="G2239" i="33"/>
  <c r="H2239" i="33"/>
  <c r="I2239" i="33"/>
  <c r="H2237" i="33"/>
  <c r="I2237" i="33"/>
  <c r="H1738" i="35"/>
  <c r="I1738" i="35"/>
  <c r="G1738" i="35"/>
  <c r="G1734" i="35"/>
  <c r="H1744" i="35"/>
  <c r="G1722" i="35"/>
  <c r="I1734" i="35"/>
  <c r="H1726" i="35"/>
  <c r="H1722" i="35"/>
  <c r="G1728" i="35"/>
  <c r="H1742" i="35"/>
  <c r="G1732" i="35"/>
  <c r="I1726" i="35"/>
  <c r="I1722" i="35"/>
  <c r="I1744" i="35"/>
  <c r="H1732" i="35"/>
  <c r="I1732" i="35"/>
  <c r="G1726" i="35"/>
  <c r="G1720" i="35"/>
  <c r="I1728" i="35"/>
  <c r="H1720" i="35"/>
  <c r="G1742" i="35"/>
  <c r="G1724" i="35"/>
  <c r="I1742" i="35"/>
  <c r="H1734" i="35"/>
  <c r="H1728" i="35"/>
  <c r="H1724" i="35"/>
  <c r="I1720" i="35"/>
  <c r="G1744" i="35"/>
  <c r="I1724" i="35"/>
  <c r="G1718" i="35"/>
  <c r="H1714" i="35"/>
  <c r="I1714" i="35"/>
  <c r="I1716" i="35"/>
  <c r="H1718" i="35"/>
  <c r="I1718" i="35"/>
  <c r="H1716" i="35"/>
  <c r="G1716" i="35"/>
  <c r="G1714" i="35"/>
  <c r="I2229" i="33"/>
  <c r="G2229" i="33"/>
  <c r="H2229" i="33"/>
  <c r="H1705" i="35"/>
  <c r="I1746" i="35"/>
  <c r="G1764" i="35"/>
  <c r="G1712" i="35"/>
  <c r="H1764" i="35"/>
  <c r="I1712" i="35"/>
  <c r="G1706" i="35"/>
  <c r="H1712" i="35"/>
  <c r="H1706" i="35"/>
  <c r="I1764" i="35"/>
  <c r="G1746" i="35"/>
  <c r="I1705" i="35"/>
  <c r="H1746" i="35"/>
  <c r="I1706" i="35"/>
  <c r="G1705" i="35"/>
  <c r="I2217" i="33"/>
  <c r="H2217" i="33"/>
  <c r="G2217" i="33"/>
  <c r="I2207" i="33"/>
  <c r="H2219" i="33"/>
  <c r="G2207" i="33"/>
  <c r="I2219" i="33"/>
  <c r="G2219" i="33"/>
  <c r="H2207" i="33"/>
  <c r="X2223" i="33"/>
  <c r="Y2223" i="33"/>
  <c r="Z2223" i="33"/>
  <c r="L1920" i="35" l="1"/>
  <c r="L1988" i="35"/>
  <c r="L1906" i="35"/>
  <c r="L2516" i="33"/>
  <c r="L2514" i="33"/>
  <c r="L2512" i="33"/>
  <c r="L2442" i="33"/>
  <c r="L2466" i="33"/>
  <c r="L2456" i="33"/>
  <c r="L2510" i="33"/>
  <c r="L2496" i="33"/>
  <c r="L1948" i="35"/>
  <c r="L1916" i="35"/>
  <c r="L1980" i="35"/>
  <c r="L1974" i="35"/>
  <c r="L1978" i="35"/>
  <c r="L1940" i="35"/>
  <c r="L1936" i="35"/>
  <c r="L1970" i="35"/>
  <c r="L1966" i="35"/>
  <c r="L1946" i="35"/>
  <c r="L1918" i="35"/>
  <c r="L1972" i="35"/>
  <c r="L1968" i="35"/>
  <c r="L1922" i="35"/>
  <c r="L1926" i="35"/>
  <c r="L1962" i="35"/>
  <c r="L1900" i="35"/>
  <c r="L1904" i="35"/>
  <c r="L1902" i="35"/>
  <c r="L2462" i="33"/>
  <c r="L2464" i="33"/>
  <c r="L2458" i="33"/>
  <c r="L2476" i="33"/>
  <c r="L2450" i="33"/>
  <c r="L2448" i="33"/>
  <c r="L2452" i="33"/>
  <c r="L2470" i="33"/>
  <c r="L2468" i="33"/>
  <c r="L2420" i="33"/>
  <c r="L2486" i="33"/>
  <c r="L2444" i="33"/>
  <c r="L2446" i="33"/>
  <c r="L2440" i="33"/>
  <c r="L2416" i="33"/>
  <c r="L2414" i="33"/>
  <c r="L2418" i="33"/>
  <c r="L2436" i="33"/>
  <c r="L2422" i="33"/>
  <c r="L2438" i="33"/>
  <c r="L2410" i="33"/>
  <c r="L2434" i="33"/>
  <c r="L1866" i="35"/>
  <c r="L1856" i="35"/>
  <c r="L2394" i="33"/>
  <c r="L2392" i="33"/>
  <c r="L2345" i="33"/>
  <c r="L2377" i="33"/>
  <c r="L2373" i="33"/>
  <c r="L2398" i="33"/>
  <c r="L2343" i="33"/>
  <c r="L2383" i="33"/>
  <c r="L2379" i="33"/>
  <c r="L2375" i="33"/>
  <c r="L2408" i="33"/>
  <c r="L2388" i="33"/>
  <c r="L2389" i="33"/>
  <c r="L2386" i="33"/>
  <c r="L2347" i="33"/>
  <c r="L2385" i="33"/>
  <c r="L2396" i="33"/>
  <c r="L2381" i="33"/>
  <c r="L1790" i="35"/>
  <c r="L2303" i="33"/>
  <c r="L1784" i="35"/>
  <c r="L1770" i="35"/>
  <c r="L1786" i="35"/>
  <c r="L1780" i="35"/>
  <c r="L1782" i="35"/>
  <c r="L1880" i="35"/>
  <c r="L1824" i="35"/>
  <c r="L1827" i="35"/>
  <c r="L1826" i="35"/>
  <c r="L1850" i="35"/>
  <c r="L1831" i="35"/>
  <c r="L1833" i="35"/>
  <c r="L1829" i="35"/>
  <c r="L1836" i="35"/>
  <c r="L1818" i="35"/>
  <c r="L1792" i="35"/>
  <c r="L1870" i="35"/>
  <c r="L1798" i="35"/>
  <c r="L1864" i="35"/>
  <c r="L1890" i="35"/>
  <c r="L1822" i="35"/>
  <c r="L1872" i="35"/>
  <c r="L1868" i="35"/>
  <c r="L1878" i="35"/>
  <c r="L1802" i="35"/>
  <c r="L1848" i="35"/>
  <c r="L1800" i="35"/>
  <c r="L1842" i="35"/>
  <c r="L1794" i="35"/>
  <c r="L1840" i="35"/>
  <c r="L1796" i="35"/>
  <c r="L1852" i="35"/>
  <c r="L1835" i="35"/>
  <c r="L1816" i="35"/>
  <c r="L1876" i="35"/>
  <c r="L1854" i="35"/>
  <c r="L1838" i="35"/>
  <c r="L1886" i="35"/>
  <c r="L1874" i="35"/>
  <c r="L1860" i="35"/>
  <c r="L2327" i="33"/>
  <c r="L1772" i="35"/>
  <c r="L2315" i="33"/>
  <c r="L2313" i="33"/>
  <c r="L2331" i="33"/>
  <c r="L2319" i="33"/>
  <c r="L2271" i="33"/>
  <c r="L2320" i="33"/>
  <c r="L2333" i="33"/>
  <c r="L2294" i="33"/>
  <c r="L2282" i="33"/>
  <c r="L2309" i="33"/>
  <c r="L2329" i="33"/>
  <c r="L2322" i="33"/>
  <c r="L2297" i="33"/>
  <c r="L2284" i="33"/>
  <c r="L2324" i="33"/>
  <c r="L2267" i="33"/>
  <c r="L2311" i="33"/>
  <c r="L2326" i="33"/>
  <c r="L2295" i="33"/>
  <c r="L2317" i="33"/>
  <c r="W1920" i="35"/>
  <c r="W1988" i="35"/>
  <c r="X2514" i="33"/>
  <c r="W2514" i="33"/>
  <c r="W2516" i="33"/>
  <c r="X2516" i="33"/>
  <c r="X2512" i="33"/>
  <c r="W2512" i="33"/>
  <c r="AB2442" i="33"/>
  <c r="AB2466" i="33"/>
  <c r="W2510" i="33"/>
  <c r="X2510" i="33"/>
  <c r="X2496" i="33"/>
  <c r="W2496" i="33"/>
  <c r="W1962" i="35"/>
  <c r="V1980" i="35"/>
  <c r="V1966" i="35"/>
  <c r="W1980" i="35"/>
  <c r="W1972" i="35"/>
  <c r="W1948" i="35"/>
  <c r="W1966" i="35"/>
  <c r="V1968" i="35"/>
  <c r="W1936" i="35"/>
  <c r="W1940" i="35"/>
  <c r="W1916" i="35"/>
  <c r="W1978" i="35"/>
  <c r="W1974" i="35"/>
  <c r="V1926" i="35"/>
  <c r="W1946" i="35"/>
  <c r="V1962" i="35"/>
  <c r="V1940" i="35"/>
  <c r="W1926" i="35"/>
  <c r="V1974" i="35"/>
  <c r="V1922" i="35"/>
  <c r="V1936" i="35"/>
  <c r="V1948" i="35"/>
  <c r="V1946" i="35"/>
  <c r="W1922" i="35"/>
  <c r="W1918" i="35"/>
  <c r="W1968" i="35"/>
  <c r="V1978" i="35"/>
  <c r="V1972" i="35"/>
  <c r="V1970" i="35"/>
  <c r="W1970" i="35"/>
  <c r="AB2464" i="33"/>
  <c r="AB2476" i="33"/>
  <c r="AB2468" i="33"/>
  <c r="AB2470" i="33"/>
  <c r="AB2448" i="33"/>
  <c r="AB2458" i="33"/>
  <c r="AB2450" i="33"/>
  <c r="AB2462" i="33"/>
  <c r="AB2452" i="33"/>
  <c r="AB2434" i="33"/>
  <c r="AB2446" i="33"/>
  <c r="AB2416" i="33"/>
  <c r="AB2440" i="33"/>
  <c r="AB2422" i="33"/>
  <c r="AB2418" i="33"/>
  <c r="AB2438" i="33"/>
  <c r="AB2410" i="33"/>
  <c r="AB2486" i="33"/>
  <c r="AB2436" i="33"/>
  <c r="AB2444" i="33"/>
  <c r="AB2414" i="33"/>
  <c r="W1866" i="35"/>
  <c r="V1856" i="35"/>
  <c r="V1866" i="35"/>
  <c r="W1856" i="35"/>
  <c r="X2392" i="33"/>
  <c r="X2394" i="33"/>
  <c r="W2392" i="33"/>
  <c r="W2394" i="33"/>
  <c r="W2381" i="33"/>
  <c r="W2375" i="33"/>
  <c r="X2377" i="33"/>
  <c r="W2389" i="33"/>
  <c r="X2389" i="33"/>
  <c r="AB2343" i="33"/>
  <c r="W2379" i="33"/>
  <c r="AB2398" i="33"/>
  <c r="X2375" i="33"/>
  <c r="W2388" i="33"/>
  <c r="AB2347" i="33"/>
  <c r="AB2396" i="33"/>
  <c r="W2383" i="33"/>
  <c r="X2383" i="33"/>
  <c r="AB2345" i="33"/>
  <c r="X2386" i="33"/>
  <c r="X2373" i="33"/>
  <c r="AB2408" i="33"/>
  <c r="W2385" i="33"/>
  <c r="X2385" i="33"/>
  <c r="W2373" i="33"/>
  <c r="X2379" i="33"/>
  <c r="W2386" i="33"/>
  <c r="X2388" i="33"/>
  <c r="X2381" i="33"/>
  <c r="W2377" i="33"/>
  <c r="V1790" i="35"/>
  <c r="W1790" i="35"/>
  <c r="AB2303" i="33"/>
  <c r="W1780" i="35"/>
  <c r="W1770" i="35"/>
  <c r="V1780" i="35"/>
  <c r="V1770" i="35"/>
  <c r="W1880" i="35"/>
  <c r="V1880" i="35"/>
  <c r="V1833" i="35"/>
  <c r="V1850" i="35"/>
  <c r="V1826" i="35"/>
  <c r="W1826" i="35"/>
  <c r="W1829" i="35"/>
  <c r="W1833" i="35"/>
  <c r="W1850" i="35"/>
  <c r="V1827" i="35"/>
  <c r="V1831" i="35"/>
  <c r="V1829" i="35"/>
  <c r="W1824" i="35"/>
  <c r="W1827" i="35"/>
  <c r="W1831" i="35"/>
  <c r="V1824" i="35"/>
  <c r="V1886" i="35"/>
  <c r="V1836" i="35"/>
  <c r="W1796" i="35"/>
  <c r="W1886" i="35"/>
  <c r="W1836" i="35"/>
  <c r="V1796" i="35"/>
  <c r="V1872" i="35"/>
  <c r="V1835" i="35"/>
  <c r="W1800" i="35"/>
  <c r="W1876" i="35"/>
  <c r="W1872" i="35"/>
  <c r="V1854" i="35"/>
  <c r="W1840" i="35"/>
  <c r="V1800" i="35"/>
  <c r="V1838" i="35"/>
  <c r="W1874" i="35"/>
  <c r="W1838" i="35"/>
  <c r="V1794" i="35"/>
  <c r="W1798" i="35"/>
  <c r="W1890" i="35"/>
  <c r="V1842" i="35"/>
  <c r="V1860" i="35"/>
  <c r="W1860" i="35"/>
  <c r="V1818" i="35"/>
  <c r="V1840" i="35"/>
  <c r="V1792" i="35"/>
  <c r="W1878" i="35"/>
  <c r="V1816" i="35"/>
  <c r="W1794" i="35"/>
  <c r="V1822" i="35"/>
  <c r="W1822" i="35"/>
  <c r="W1852" i="35"/>
  <c r="V1864" i="35"/>
  <c r="V1876" i="35"/>
  <c r="W1818" i="35"/>
  <c r="W1848" i="35"/>
  <c r="V1868" i="35"/>
  <c r="W1868" i="35"/>
  <c r="V1798" i="35"/>
  <c r="W1802" i="35"/>
  <c r="W1842" i="35"/>
  <c r="V1878" i="35"/>
  <c r="V1870" i="35"/>
  <c r="W1864" i="35"/>
  <c r="W1854" i="35"/>
  <c r="W1792" i="35"/>
  <c r="V1848" i="35"/>
  <c r="V1802" i="35"/>
  <c r="V1874" i="35"/>
  <c r="W1816" i="35"/>
  <c r="V1852" i="35"/>
  <c r="V1890" i="35"/>
  <c r="W1835" i="35"/>
  <c r="W1870" i="35"/>
  <c r="AB2327" i="33"/>
  <c r="W1772" i="35"/>
  <c r="V1772" i="35"/>
  <c r="AB2309" i="33"/>
  <c r="AB2271" i="33"/>
  <c r="AB2284" i="33"/>
  <c r="AB2313" i="33"/>
  <c r="AB2320" i="33"/>
  <c r="AB2311" i="33"/>
  <c r="AB2297" i="33"/>
  <c r="AB2295" i="33"/>
  <c r="AB2333" i="33"/>
  <c r="AB2319" i="33"/>
  <c r="AB2294" i="33"/>
  <c r="AB2329" i="33"/>
  <c r="AB2331" i="33"/>
  <c r="AB2317" i="33"/>
  <c r="AB2315" i="33"/>
  <c r="AB2282" i="33"/>
  <c r="AB2322" i="33"/>
  <c r="AF2233" i="33"/>
  <c r="V2233" i="33"/>
  <c r="T2233" i="33"/>
  <c r="Z2233" i="33" s="1"/>
  <c r="S2233" i="33"/>
  <c r="R2233" i="33"/>
  <c r="K2233" i="33"/>
  <c r="F2233" i="33"/>
  <c r="AF2231" i="33"/>
  <c r="V2231" i="33"/>
  <c r="T2231" i="33"/>
  <c r="Z2231" i="33" s="1"/>
  <c r="S2231" i="33"/>
  <c r="R2231" i="33"/>
  <c r="K2231" i="33"/>
  <c r="F2231" i="33"/>
  <c r="AF2227" i="33"/>
  <c r="V2227" i="33"/>
  <c r="T2227" i="33"/>
  <c r="Z2227" i="33" s="1"/>
  <c r="S2227" i="33"/>
  <c r="R2227" i="33"/>
  <c r="K2227" i="33"/>
  <c r="F2227" i="33"/>
  <c r="AF2225" i="33"/>
  <c r="V2225" i="33"/>
  <c r="T2225" i="33"/>
  <c r="Z2225" i="33" s="1"/>
  <c r="S2225" i="33"/>
  <c r="R2225" i="33"/>
  <c r="K2225" i="33"/>
  <c r="F2225" i="33"/>
  <c r="W2233" i="33" l="1"/>
  <c r="X2233" i="33"/>
  <c r="Y2233" i="33"/>
  <c r="W2231" i="33"/>
  <c r="X2231" i="33"/>
  <c r="Y2231" i="33"/>
  <c r="W2227" i="33"/>
  <c r="X2227" i="33"/>
  <c r="Y2227" i="33"/>
  <c r="W2225" i="33"/>
  <c r="X2225" i="33"/>
  <c r="Y2225" i="33"/>
  <c r="AE1605" i="35" l="1"/>
  <c r="AE1603" i="35"/>
  <c r="I2223" i="33" l="1"/>
  <c r="G2223" i="33"/>
  <c r="H2223" i="33"/>
  <c r="I2233" i="33"/>
  <c r="I2225" i="33"/>
  <c r="I2227" i="33"/>
  <c r="G2231" i="33"/>
  <c r="G2233" i="33"/>
  <c r="H2233" i="33"/>
  <c r="H2227" i="33"/>
  <c r="I2231" i="33"/>
  <c r="H2231" i="33"/>
  <c r="G2227" i="33"/>
  <c r="G2225" i="33"/>
  <c r="H2225" i="33"/>
  <c r="V2257" i="33"/>
  <c r="T2257" i="33"/>
  <c r="Z2257" i="33" s="1"/>
  <c r="S2257" i="33"/>
  <c r="R2257" i="33"/>
  <c r="K2257" i="33"/>
  <c r="F2257" i="33"/>
  <c r="V2255" i="33"/>
  <c r="T2255" i="33"/>
  <c r="Y2255" i="33" s="1"/>
  <c r="S2255" i="33"/>
  <c r="R2255" i="33"/>
  <c r="K2255" i="33"/>
  <c r="F2255" i="33"/>
  <c r="V2253" i="33"/>
  <c r="T2253" i="33"/>
  <c r="Z2253" i="33" s="1"/>
  <c r="S2253" i="33"/>
  <c r="R2253" i="33"/>
  <c r="K2253" i="33"/>
  <c r="F2253" i="33"/>
  <c r="V2251" i="33"/>
  <c r="T2251" i="33"/>
  <c r="Z2251" i="33" s="1"/>
  <c r="S2251" i="33"/>
  <c r="R2251" i="33"/>
  <c r="K2251" i="33"/>
  <c r="F2251" i="33"/>
  <c r="V2249" i="33"/>
  <c r="T2249" i="33"/>
  <c r="Z2249" i="33" s="1"/>
  <c r="S2249" i="33"/>
  <c r="R2249" i="33"/>
  <c r="K2249" i="33"/>
  <c r="F2249" i="33"/>
  <c r="V2247" i="33"/>
  <c r="T2247" i="33"/>
  <c r="Z2247" i="33" s="1"/>
  <c r="S2247" i="33"/>
  <c r="R2247" i="33"/>
  <c r="K2247" i="33"/>
  <c r="F2247" i="33"/>
  <c r="V2245" i="33"/>
  <c r="T2245" i="33"/>
  <c r="Z2245" i="33" s="1"/>
  <c r="S2245" i="33"/>
  <c r="R2245" i="33"/>
  <c r="K2245" i="33"/>
  <c r="F2245" i="33"/>
  <c r="AE1756" i="35"/>
  <c r="Y1756" i="35"/>
  <c r="X1756" i="35"/>
  <c r="U1756" i="35"/>
  <c r="S1756" i="35"/>
  <c r="R1756" i="35"/>
  <c r="Q1756" i="35"/>
  <c r="K1756" i="35"/>
  <c r="F1756" i="35"/>
  <c r="AE1754" i="35"/>
  <c r="Y1754" i="35"/>
  <c r="X1754" i="35"/>
  <c r="U1754" i="35"/>
  <c r="S1754" i="35"/>
  <c r="R1754" i="35"/>
  <c r="Q1754" i="35"/>
  <c r="K1754" i="35"/>
  <c r="F1754" i="35"/>
  <c r="AE1752" i="35"/>
  <c r="Y1752" i="35"/>
  <c r="X1752" i="35"/>
  <c r="U1752" i="35"/>
  <c r="S1752" i="35"/>
  <c r="R1752" i="35"/>
  <c r="Q1752" i="35"/>
  <c r="K1752" i="35"/>
  <c r="F1752" i="35"/>
  <c r="AE1750" i="35"/>
  <c r="Y1750" i="35"/>
  <c r="X1750" i="35"/>
  <c r="U1750" i="35"/>
  <c r="S1750" i="35"/>
  <c r="R1750" i="35"/>
  <c r="Q1750" i="35"/>
  <c r="K1750" i="35"/>
  <c r="F1750" i="35"/>
  <c r="AE1748" i="35"/>
  <c r="Y1748" i="35"/>
  <c r="X1748" i="35"/>
  <c r="U1748" i="35"/>
  <c r="S1748" i="35"/>
  <c r="R1748" i="35"/>
  <c r="Q1748" i="35"/>
  <c r="K1748" i="35"/>
  <c r="F1748" i="35"/>
  <c r="AE1708" i="35"/>
  <c r="Y1708" i="35"/>
  <c r="X1708" i="35"/>
  <c r="U1708" i="35"/>
  <c r="S1708" i="35"/>
  <c r="R1708" i="35"/>
  <c r="Q1708" i="35"/>
  <c r="K1708" i="35"/>
  <c r="F1708" i="35"/>
  <c r="AE1693" i="35"/>
  <c r="Y1693" i="35"/>
  <c r="X1693" i="35"/>
  <c r="U1693" i="35"/>
  <c r="S1693" i="35"/>
  <c r="R1693" i="35"/>
  <c r="Q1693" i="35"/>
  <c r="K1693" i="35"/>
  <c r="F1693" i="35"/>
  <c r="AE1691" i="35"/>
  <c r="Y1691" i="35"/>
  <c r="X1691" i="35"/>
  <c r="U1691" i="35"/>
  <c r="S1691" i="35"/>
  <c r="R1691" i="35"/>
  <c r="Q1691" i="35"/>
  <c r="K1691" i="35"/>
  <c r="F1691" i="35"/>
  <c r="AE1689" i="35"/>
  <c r="Y1689" i="35"/>
  <c r="X1689" i="35"/>
  <c r="U1689" i="35"/>
  <c r="S1689" i="35"/>
  <c r="R1689" i="35"/>
  <c r="Q1689" i="35"/>
  <c r="K1689" i="35"/>
  <c r="F1689" i="35"/>
  <c r="AE1685" i="35"/>
  <c r="Y1685" i="35"/>
  <c r="X1685" i="35"/>
  <c r="U1685" i="35"/>
  <c r="S1685" i="35"/>
  <c r="R1685" i="35"/>
  <c r="Q1685" i="35"/>
  <c r="K1685" i="35"/>
  <c r="F1685" i="35"/>
  <c r="AE1687" i="35"/>
  <c r="Y1687" i="35"/>
  <c r="X1687" i="35"/>
  <c r="U1687" i="35"/>
  <c r="S1687" i="35"/>
  <c r="R1687" i="35"/>
  <c r="Q1687" i="35"/>
  <c r="K1687" i="35"/>
  <c r="F1687" i="35"/>
  <c r="AE1683" i="35"/>
  <c r="Y1683" i="35"/>
  <c r="X1683" i="35"/>
  <c r="U1683" i="35"/>
  <c r="S1683" i="35"/>
  <c r="R1683" i="35"/>
  <c r="Q1683" i="35"/>
  <c r="K1683" i="35"/>
  <c r="F1683" i="35"/>
  <c r="AE1681" i="35"/>
  <c r="Y1681" i="35"/>
  <c r="X1681" i="35"/>
  <c r="U1681" i="35"/>
  <c r="S1681" i="35"/>
  <c r="R1681" i="35"/>
  <c r="Q1681" i="35"/>
  <c r="K1681" i="35"/>
  <c r="F1681" i="35"/>
  <c r="AE1679" i="35"/>
  <c r="Y1679" i="35"/>
  <c r="X1679" i="35"/>
  <c r="U1679" i="35"/>
  <c r="S1679" i="35"/>
  <c r="R1679" i="35"/>
  <c r="Q1679" i="35"/>
  <c r="K1679" i="35"/>
  <c r="F1679" i="35"/>
  <c r="Y1677" i="35"/>
  <c r="X1677" i="35"/>
  <c r="U1677" i="35"/>
  <c r="S1677" i="35"/>
  <c r="R1677" i="35"/>
  <c r="Q1677" i="35"/>
  <c r="K1677" i="35"/>
  <c r="F1677" i="35"/>
  <c r="AB2305" i="33" l="1"/>
  <c r="AB2277" i="33"/>
  <c r="AB2263" i="33"/>
  <c r="AB2341" i="33"/>
  <c r="V1740" i="35"/>
  <c r="W1740" i="35"/>
  <c r="AB2339" i="33"/>
  <c r="AB2290" i="33"/>
  <c r="AB2307" i="33"/>
  <c r="AB2280" i="33"/>
  <c r="AB2269" i="33"/>
  <c r="AB2337" i="33"/>
  <c r="V1766" i="35"/>
  <c r="AB2335" i="33"/>
  <c r="W1766" i="35"/>
  <c r="AB2288" i="33"/>
  <c r="AB2279" i="33"/>
  <c r="AB2292" i="33"/>
  <c r="W2237" i="33"/>
  <c r="X2237" i="33"/>
  <c r="X2239" i="33"/>
  <c r="W2239" i="33"/>
  <c r="V1738" i="35"/>
  <c r="W1738" i="35"/>
  <c r="W1732" i="35"/>
  <c r="W1726" i="35"/>
  <c r="W1742" i="35"/>
  <c r="W1734" i="35"/>
  <c r="V1722" i="35"/>
  <c r="W1722" i="35"/>
  <c r="V1744" i="35"/>
  <c r="W1724" i="35"/>
  <c r="V1742" i="35"/>
  <c r="V1724" i="35"/>
  <c r="V1734" i="35"/>
  <c r="V1726" i="35"/>
  <c r="W1744" i="35"/>
  <c r="V1728" i="35"/>
  <c r="V1720" i="35"/>
  <c r="V1732" i="35"/>
  <c r="W1728" i="35"/>
  <c r="W1720" i="35"/>
  <c r="W1714" i="35"/>
  <c r="W1718" i="35"/>
  <c r="V1714" i="35"/>
  <c r="V1718" i="35"/>
  <c r="W1716" i="35"/>
  <c r="V1716" i="35"/>
  <c r="AB2229" i="33"/>
  <c r="V1746" i="35"/>
  <c r="W1746" i="35"/>
  <c r="W1706" i="35"/>
  <c r="W1764" i="35"/>
  <c r="V1764" i="35"/>
  <c r="V1706" i="35"/>
  <c r="W1712" i="35"/>
  <c r="V1712" i="35"/>
  <c r="V1705" i="35"/>
  <c r="W1705" i="35"/>
  <c r="AB2217" i="33"/>
  <c r="AB2207" i="33"/>
  <c r="L2305" i="33"/>
  <c r="L2277" i="33"/>
  <c r="L2263" i="33"/>
  <c r="L2341" i="33"/>
  <c r="L1740" i="35"/>
  <c r="L2339" i="33"/>
  <c r="L2335" i="33"/>
  <c r="L1766" i="35"/>
  <c r="L2288" i="33"/>
  <c r="L2265" i="33"/>
  <c r="L2292" i="33"/>
  <c r="L2337" i="33"/>
  <c r="L2280" i="33"/>
  <c r="L2279" i="33"/>
  <c r="L2307" i="33"/>
  <c r="L2290" i="33"/>
  <c r="L2269" i="33"/>
  <c r="L2237" i="33"/>
  <c r="L2239" i="33"/>
  <c r="L1738" i="35"/>
  <c r="L1732" i="35"/>
  <c r="L1720" i="35"/>
  <c r="L1742" i="35"/>
  <c r="L1722" i="35"/>
  <c r="L1744" i="35"/>
  <c r="L1726" i="35"/>
  <c r="L1724" i="35"/>
  <c r="L1728" i="35"/>
  <c r="L1734" i="35"/>
  <c r="L1716" i="35"/>
  <c r="L1714" i="35"/>
  <c r="L1718" i="35"/>
  <c r="L2229" i="33"/>
  <c r="L1706" i="35"/>
  <c r="L1705" i="35"/>
  <c r="L1764" i="35"/>
  <c r="L1712" i="35"/>
  <c r="L1746" i="35"/>
  <c r="L2217" i="33"/>
  <c r="L2219" i="33"/>
  <c r="L2207" i="33"/>
  <c r="AB2223" i="33"/>
  <c r="AB2227" i="33"/>
  <c r="AB2233" i="33"/>
  <c r="AB2231" i="33"/>
  <c r="AB2225" i="33"/>
  <c r="L2223" i="33"/>
  <c r="L2225" i="33"/>
  <c r="L2227" i="33"/>
  <c r="L2233" i="33"/>
  <c r="L2231" i="33"/>
  <c r="Z2255" i="33"/>
  <c r="Y2257" i="33"/>
  <c r="Y2253" i="33"/>
  <c r="Y2251" i="33"/>
  <c r="Y2249" i="33"/>
  <c r="Y2247" i="33"/>
  <c r="Y2245" i="33"/>
  <c r="AD1756" i="35"/>
  <c r="AD1754" i="35"/>
  <c r="AD1752" i="35"/>
  <c r="AD1750" i="35"/>
  <c r="AD1748" i="35"/>
  <c r="AD1708" i="35"/>
  <c r="AD1693" i="35"/>
  <c r="AD1691" i="35"/>
  <c r="AD1689" i="35"/>
  <c r="AD1685" i="35"/>
  <c r="AD1687" i="35"/>
  <c r="AD1683" i="35"/>
  <c r="AD1681" i="35"/>
  <c r="AD1679" i="35"/>
  <c r="AF2167" i="33" l="1"/>
  <c r="V2167" i="33"/>
  <c r="T2167" i="33"/>
  <c r="Z2167" i="33" s="1"/>
  <c r="S2167" i="33"/>
  <c r="R2167" i="33"/>
  <c r="K2167" i="33"/>
  <c r="F2167" i="33"/>
  <c r="X2167" i="33" l="1"/>
  <c r="W2167" i="33"/>
  <c r="Y2167" i="33"/>
  <c r="AF2205" i="33" l="1"/>
  <c r="V2205" i="33"/>
  <c r="T2205" i="33"/>
  <c r="Y2205" i="33" s="1"/>
  <c r="S2205" i="33"/>
  <c r="R2205" i="33"/>
  <c r="K2205" i="33"/>
  <c r="F2205" i="33"/>
  <c r="AF2203" i="33"/>
  <c r="V2203" i="33"/>
  <c r="T2203" i="33"/>
  <c r="Z2203" i="33" s="1"/>
  <c r="S2203" i="33"/>
  <c r="R2203" i="33"/>
  <c r="K2203" i="33"/>
  <c r="F2203" i="33"/>
  <c r="AF2209" i="33"/>
  <c r="V2209" i="33"/>
  <c r="T2209" i="33"/>
  <c r="Y2209" i="33" s="1"/>
  <c r="S2209" i="33"/>
  <c r="R2209" i="33"/>
  <c r="K2209" i="33"/>
  <c r="F2209" i="33"/>
  <c r="AF2201" i="33"/>
  <c r="V2201" i="33"/>
  <c r="T2201" i="33"/>
  <c r="Z2201" i="33" s="1"/>
  <c r="S2201" i="33"/>
  <c r="R2201" i="33"/>
  <c r="K2201" i="33"/>
  <c r="F2201" i="33"/>
  <c r="AF2199" i="33"/>
  <c r="V2199" i="33"/>
  <c r="T2199" i="33"/>
  <c r="Z2199" i="33" s="1"/>
  <c r="S2199" i="33"/>
  <c r="R2199" i="33"/>
  <c r="K2199" i="33"/>
  <c r="F2199" i="33"/>
  <c r="AF2197" i="33"/>
  <c r="V2197" i="33"/>
  <c r="T2197" i="33"/>
  <c r="Z2197" i="33" s="1"/>
  <c r="S2197" i="33"/>
  <c r="R2197" i="33"/>
  <c r="K2197" i="33"/>
  <c r="F2197" i="33"/>
  <c r="AF2195" i="33"/>
  <c r="V2195" i="33"/>
  <c r="T2195" i="33"/>
  <c r="Z2195" i="33" s="1"/>
  <c r="S2195" i="33"/>
  <c r="R2195" i="33"/>
  <c r="K2195" i="33"/>
  <c r="F2195" i="33"/>
  <c r="AF2193" i="33"/>
  <c r="V2193" i="33"/>
  <c r="T2193" i="33"/>
  <c r="X2193" i="33" s="1"/>
  <c r="S2193" i="33"/>
  <c r="R2193" i="33"/>
  <c r="K2193" i="33"/>
  <c r="F2193" i="33"/>
  <c r="AB2209" i="33" l="1"/>
  <c r="AB2197" i="33"/>
  <c r="AB2195" i="33"/>
  <c r="AB2201" i="33"/>
  <c r="AB2193" i="33"/>
  <c r="AB2199" i="33"/>
  <c r="W2205" i="33"/>
  <c r="X2205" i="33"/>
  <c r="Z2205" i="33"/>
  <c r="W2203" i="33"/>
  <c r="X2203" i="33"/>
  <c r="Y2203" i="33"/>
  <c r="X2209" i="33"/>
  <c r="Z2209" i="33"/>
  <c r="W2209" i="33"/>
  <c r="W2201" i="33"/>
  <c r="X2201" i="33"/>
  <c r="Y2201" i="33"/>
  <c r="Y2199" i="33"/>
  <c r="W2199" i="33"/>
  <c r="X2199" i="33"/>
  <c r="W2197" i="33"/>
  <c r="X2197" i="33"/>
  <c r="Y2197" i="33"/>
  <c r="X2195" i="33"/>
  <c r="W2195" i="33"/>
  <c r="Y2195" i="33"/>
  <c r="Y2193" i="33"/>
  <c r="Z2193" i="33"/>
  <c r="W2193" i="33"/>
  <c r="AF2191" i="33" l="1"/>
  <c r="V2191" i="33"/>
  <c r="T2191" i="33"/>
  <c r="Z2191" i="33" s="1"/>
  <c r="S2191" i="33"/>
  <c r="R2191" i="33"/>
  <c r="K2191" i="33"/>
  <c r="F2191" i="33"/>
  <c r="AF2189" i="33"/>
  <c r="V2189" i="33"/>
  <c r="T2189" i="33"/>
  <c r="Z2189" i="33" s="1"/>
  <c r="S2189" i="33"/>
  <c r="R2189" i="33"/>
  <c r="K2189" i="33"/>
  <c r="F2189" i="33"/>
  <c r="AF2187" i="33"/>
  <c r="V2187" i="33"/>
  <c r="T2187" i="33"/>
  <c r="W2187" i="33" s="1"/>
  <c r="S2187" i="33"/>
  <c r="R2187" i="33"/>
  <c r="K2187" i="33"/>
  <c r="F2187" i="33"/>
  <c r="AF2181" i="33"/>
  <c r="V2181" i="33"/>
  <c r="T2181" i="33"/>
  <c r="Z2181" i="33" s="1"/>
  <c r="S2181" i="33"/>
  <c r="R2181" i="33"/>
  <c r="K2181" i="33"/>
  <c r="F2181" i="33"/>
  <c r="AF2179" i="33"/>
  <c r="V2179" i="33"/>
  <c r="T2179" i="33"/>
  <c r="Z2179" i="33" s="1"/>
  <c r="S2179" i="33"/>
  <c r="R2179" i="33"/>
  <c r="K2179" i="33"/>
  <c r="F2179" i="33"/>
  <c r="AF2177" i="33"/>
  <c r="V2177" i="33"/>
  <c r="T2177" i="33"/>
  <c r="Z2177" i="33" s="1"/>
  <c r="S2177" i="33"/>
  <c r="R2177" i="33"/>
  <c r="K2177" i="33"/>
  <c r="F2177" i="33"/>
  <c r="AF2175" i="33"/>
  <c r="V2175" i="33"/>
  <c r="T2175" i="33"/>
  <c r="X2175" i="33" s="1"/>
  <c r="S2175" i="33"/>
  <c r="R2175" i="33"/>
  <c r="K2175" i="33"/>
  <c r="F2175" i="33"/>
  <c r="AF2173" i="33"/>
  <c r="V2173" i="33"/>
  <c r="T2173" i="33"/>
  <c r="Z2173" i="33" s="1"/>
  <c r="S2173" i="33"/>
  <c r="R2173" i="33"/>
  <c r="K2173" i="33"/>
  <c r="F2173" i="33"/>
  <c r="AF2171" i="33"/>
  <c r="V2171" i="33"/>
  <c r="T2171" i="33"/>
  <c r="X2171" i="33" s="1"/>
  <c r="S2171" i="33"/>
  <c r="R2171" i="33"/>
  <c r="K2171" i="33"/>
  <c r="F2171" i="33"/>
  <c r="AF2165" i="33"/>
  <c r="V2165" i="33"/>
  <c r="T2165" i="33"/>
  <c r="Z2165" i="33" s="1"/>
  <c r="S2165" i="33"/>
  <c r="R2165" i="33"/>
  <c r="K2165" i="33"/>
  <c r="F2165" i="33"/>
  <c r="AF2163" i="33"/>
  <c r="V2163" i="33"/>
  <c r="T2163" i="33"/>
  <c r="X2163" i="33" s="1"/>
  <c r="S2163" i="33"/>
  <c r="R2163" i="33"/>
  <c r="K2163" i="33"/>
  <c r="F2163" i="33"/>
  <c r="AB2181" i="33" l="1"/>
  <c r="AB2171" i="33"/>
  <c r="AB2175" i="33"/>
  <c r="AB2163" i="33"/>
  <c r="AB2173" i="33"/>
  <c r="AB2179" i="33"/>
  <c r="AB2191" i="33"/>
  <c r="AB2187" i="33"/>
  <c r="AB2189" i="33"/>
  <c r="AB2165" i="33"/>
  <c r="AB2177" i="33"/>
  <c r="W2191" i="33"/>
  <c r="Y2191" i="33"/>
  <c r="X2191" i="33"/>
  <c r="X2189" i="33"/>
  <c r="W2189" i="33"/>
  <c r="Y2189" i="33"/>
  <c r="X2187" i="33"/>
  <c r="Y2187" i="33"/>
  <c r="Z2187" i="33"/>
  <c r="X2181" i="33"/>
  <c r="W2181" i="33"/>
  <c r="Y2181" i="33"/>
  <c r="W2179" i="33"/>
  <c r="X2179" i="33"/>
  <c r="Y2179" i="33"/>
  <c r="Y2175" i="33"/>
  <c r="Z2175" i="33"/>
  <c r="W2177" i="33"/>
  <c r="Y2177" i="33"/>
  <c r="W2175" i="33"/>
  <c r="X2177" i="33"/>
  <c r="W2173" i="33"/>
  <c r="X2173" i="33"/>
  <c r="Y2173" i="33"/>
  <c r="W2171" i="33"/>
  <c r="Y2171" i="33"/>
  <c r="Z2171" i="33"/>
  <c r="Y2165" i="33"/>
  <c r="W2165" i="33"/>
  <c r="X2165" i="33"/>
  <c r="W2163" i="33"/>
  <c r="Y2163" i="33"/>
  <c r="Z2163" i="33"/>
  <c r="AE1657" i="35" l="1"/>
  <c r="Y1657" i="35"/>
  <c r="X1657" i="35"/>
  <c r="U1657" i="35"/>
  <c r="S1657" i="35"/>
  <c r="R1657" i="35"/>
  <c r="Q1657" i="35"/>
  <c r="K1657" i="35"/>
  <c r="F1657" i="35"/>
  <c r="AD1657" i="35" l="1"/>
  <c r="Y1627" i="35" l="1"/>
  <c r="X1627" i="35"/>
  <c r="U1627" i="35"/>
  <c r="S1627" i="35"/>
  <c r="R1627" i="35"/>
  <c r="Q1627" i="35"/>
  <c r="K1627" i="35"/>
  <c r="F1627" i="35"/>
  <c r="AF2157" i="33"/>
  <c r="V2157" i="33"/>
  <c r="T2157" i="33"/>
  <c r="Z2157" i="33" s="1"/>
  <c r="S2157" i="33"/>
  <c r="R2157" i="33"/>
  <c r="K2157" i="33"/>
  <c r="F2157" i="33"/>
  <c r="AF2155" i="33"/>
  <c r="V2155" i="33"/>
  <c r="T2155" i="33"/>
  <c r="Z2155" i="33" s="1"/>
  <c r="S2155" i="33"/>
  <c r="R2155" i="33"/>
  <c r="K2155" i="33"/>
  <c r="F2155" i="33"/>
  <c r="AF2153" i="33"/>
  <c r="V2153" i="33"/>
  <c r="T2153" i="33"/>
  <c r="Z2153" i="33" s="1"/>
  <c r="S2153" i="33"/>
  <c r="R2153" i="33"/>
  <c r="K2153" i="33"/>
  <c r="F2153" i="33"/>
  <c r="AF2151" i="33"/>
  <c r="V2151" i="33"/>
  <c r="T2151" i="33"/>
  <c r="Z2151" i="33" s="1"/>
  <c r="S2151" i="33"/>
  <c r="R2151" i="33"/>
  <c r="K2151" i="33"/>
  <c r="F2151" i="33"/>
  <c r="AF2149" i="33"/>
  <c r="V2149" i="33"/>
  <c r="T2149" i="33"/>
  <c r="Z2149" i="33" s="1"/>
  <c r="S2149" i="33"/>
  <c r="R2149" i="33"/>
  <c r="K2149" i="33"/>
  <c r="F2149" i="33"/>
  <c r="AB2157" i="33" l="1"/>
  <c r="X2157" i="33"/>
  <c r="W2157" i="33"/>
  <c r="Y2157" i="33"/>
  <c r="W2155" i="33"/>
  <c r="X2155" i="33"/>
  <c r="Y2155" i="33"/>
  <c r="W2153" i="33"/>
  <c r="X2153" i="33"/>
  <c r="Y2153" i="33"/>
  <c r="W2151" i="33"/>
  <c r="X2151" i="33"/>
  <c r="Y2151" i="33"/>
  <c r="W2149" i="33"/>
  <c r="X2149" i="33"/>
  <c r="Y2149" i="33"/>
  <c r="AF2147" i="33" l="1"/>
  <c r="V2147" i="33"/>
  <c r="T2147" i="33"/>
  <c r="Z2147" i="33" s="1"/>
  <c r="S2147" i="33"/>
  <c r="R2147" i="33"/>
  <c r="K2147" i="33"/>
  <c r="F2147" i="33"/>
  <c r="AF2145" i="33"/>
  <c r="V2145" i="33"/>
  <c r="T2145" i="33"/>
  <c r="Z2145" i="33" s="1"/>
  <c r="S2145" i="33"/>
  <c r="R2145" i="33"/>
  <c r="K2145" i="33"/>
  <c r="F2145" i="33"/>
  <c r="AB2145" i="33" l="1"/>
  <c r="W2147" i="33"/>
  <c r="X2147" i="33"/>
  <c r="Y2147" i="33"/>
  <c r="X2145" i="33"/>
  <c r="W2145" i="33"/>
  <c r="Y2145" i="33"/>
  <c r="W2102" i="33" l="1"/>
  <c r="W2100" i="33"/>
  <c r="H2253" i="33" l="1"/>
  <c r="I2253" i="33"/>
  <c r="I2247" i="33"/>
  <c r="H2247" i="33"/>
  <c r="G2249" i="33"/>
  <c r="I2255" i="33"/>
  <c r="H2249" i="33"/>
  <c r="I1693" i="35"/>
  <c r="I1679" i="35"/>
  <c r="G1752" i="35"/>
  <c r="G1748" i="35"/>
  <c r="I1689" i="35"/>
  <c r="H1683" i="35"/>
  <c r="H1752" i="35"/>
  <c r="H1748" i="35"/>
  <c r="I1748" i="35"/>
  <c r="H1691" i="35"/>
  <c r="G1677" i="35"/>
  <c r="I1691" i="35"/>
  <c r="G1754" i="35"/>
  <c r="I1708" i="35"/>
  <c r="I1681" i="35"/>
  <c r="H2245" i="33"/>
  <c r="G2247" i="33"/>
  <c r="G1689" i="35"/>
  <c r="H1679" i="35"/>
  <c r="G2251" i="33"/>
  <c r="H2255" i="33"/>
  <c r="I1756" i="35"/>
  <c r="I1754" i="35"/>
  <c r="G1693" i="35"/>
  <c r="G2253" i="33"/>
  <c r="I1750" i="35"/>
  <c r="I2257" i="33"/>
  <c r="H1693" i="35"/>
  <c r="I1752" i="35"/>
  <c r="G1708" i="35"/>
  <c r="G1681" i="35"/>
  <c r="I1687" i="35"/>
  <c r="H1677" i="35"/>
  <c r="G1750" i="35"/>
  <c r="G2255" i="33"/>
  <c r="G1687" i="35"/>
  <c r="H2257" i="33"/>
  <c r="H2251" i="33"/>
  <c r="H1708" i="35"/>
  <c r="I2251" i="33"/>
  <c r="G1685" i="35"/>
  <c r="H1685" i="35"/>
  <c r="H1754" i="35"/>
  <c r="G1683" i="35"/>
  <c r="G2245" i="33"/>
  <c r="I1677" i="35"/>
  <c r="H1681" i="35"/>
  <c r="I1683" i="35"/>
  <c r="G1756" i="35"/>
  <c r="H1756" i="35"/>
  <c r="G2257" i="33"/>
  <c r="I2245" i="33"/>
  <c r="G1679" i="35"/>
  <c r="I1685" i="35"/>
  <c r="H1750" i="35"/>
  <c r="G1691" i="35"/>
  <c r="I2249" i="33"/>
  <c r="H1689" i="35"/>
  <c r="H1687" i="35"/>
  <c r="H2167" i="33"/>
  <c r="I2167" i="33"/>
  <c r="G2167" i="33"/>
  <c r="H2197" i="33"/>
  <c r="I2195" i="33"/>
  <c r="G2199" i="33"/>
  <c r="G2205" i="33"/>
  <c r="H2193" i="33"/>
  <c r="G2193" i="33"/>
  <c r="H2205" i="33"/>
  <c r="I2199" i="33"/>
  <c r="H2201" i="33"/>
  <c r="G2203" i="33"/>
  <c r="I2209" i="33"/>
  <c r="I2205" i="33"/>
  <c r="H2209" i="33"/>
  <c r="H2203" i="33"/>
  <c r="G2209" i="33"/>
  <c r="G2195" i="33"/>
  <c r="H2195" i="33"/>
  <c r="I2197" i="33"/>
  <c r="I2193" i="33"/>
  <c r="H2199" i="33"/>
  <c r="I2201" i="33"/>
  <c r="G2201" i="33"/>
  <c r="G2197" i="33"/>
  <c r="I2203" i="33"/>
  <c r="H2163" i="33"/>
  <c r="I2191" i="33"/>
  <c r="I2181" i="33"/>
  <c r="I2177" i="33"/>
  <c r="I2173" i="33"/>
  <c r="G2175" i="33"/>
  <c r="G2165" i="33"/>
  <c r="H2191" i="33"/>
  <c r="I2165" i="33"/>
  <c r="G2191" i="33"/>
  <c r="I2171" i="33"/>
  <c r="H2187" i="33"/>
  <c r="H2175" i="33"/>
  <c r="G2171" i="33"/>
  <c r="G2179" i="33"/>
  <c r="H2181" i="33"/>
  <c r="H2165" i="33"/>
  <c r="H2189" i="33"/>
  <c r="G2189" i="33"/>
  <c r="I2175" i="33"/>
  <c r="H2171" i="33"/>
  <c r="H2179" i="33"/>
  <c r="G2181" i="33"/>
  <c r="G2173" i="33"/>
  <c r="I2189" i="33"/>
  <c r="I2163" i="33"/>
  <c r="I2179" i="33"/>
  <c r="H2173" i="33"/>
  <c r="I2187" i="33"/>
  <c r="G2163" i="33"/>
  <c r="H2177" i="33"/>
  <c r="G2177" i="33"/>
  <c r="G2187" i="33"/>
  <c r="H1657" i="35"/>
  <c r="I1657" i="35"/>
  <c r="G1657" i="35"/>
  <c r="G2149" i="33"/>
  <c r="G2151" i="33"/>
  <c r="I2155" i="33"/>
  <c r="I2157" i="33"/>
  <c r="H2151" i="33"/>
  <c r="I2153" i="33"/>
  <c r="H2149" i="33"/>
  <c r="I2151" i="33"/>
  <c r="G2157" i="33"/>
  <c r="H2153" i="33"/>
  <c r="G1627" i="35"/>
  <c r="H1627" i="35"/>
  <c r="I2149" i="33"/>
  <c r="I1627" i="35"/>
  <c r="H2157" i="33"/>
  <c r="G2153" i="33"/>
  <c r="G2155" i="33"/>
  <c r="H2155" i="33"/>
  <c r="H2147" i="33"/>
  <c r="H2145" i="33"/>
  <c r="G2145" i="33"/>
  <c r="G2147" i="33"/>
  <c r="I2147" i="33"/>
  <c r="I2145" i="33"/>
  <c r="AF2096" i="33"/>
  <c r="V2096" i="33"/>
  <c r="T2096" i="33"/>
  <c r="Y2096" i="33" s="1"/>
  <c r="S2096" i="33"/>
  <c r="R2096" i="33"/>
  <c r="K2096" i="33"/>
  <c r="F2096" i="33"/>
  <c r="X2245" i="33" l="1"/>
  <c r="W1756" i="35"/>
  <c r="W1752" i="35"/>
  <c r="W1748" i="35"/>
  <c r="W2249" i="33"/>
  <c r="X2257" i="33"/>
  <c r="W1677" i="35"/>
  <c r="W2255" i="33"/>
  <c r="V1748" i="35"/>
  <c r="X2255" i="33"/>
  <c r="V1754" i="35"/>
  <c r="V1693" i="35"/>
  <c r="W1754" i="35"/>
  <c r="V1679" i="35"/>
  <c r="W1693" i="35"/>
  <c r="V1756" i="35"/>
  <c r="W2245" i="33"/>
  <c r="W2253" i="33"/>
  <c r="W1679" i="35"/>
  <c r="V1689" i="35"/>
  <c r="X2251" i="33"/>
  <c r="W2251" i="33"/>
  <c r="X2249" i="33"/>
  <c r="V1752" i="35"/>
  <c r="W2257" i="33"/>
  <c r="V1708" i="35"/>
  <c r="W1691" i="35"/>
  <c r="V1691" i="35"/>
  <c r="W1689" i="35"/>
  <c r="V1677" i="35"/>
  <c r="X2253" i="33"/>
  <c r="W2247" i="33"/>
  <c r="X2247" i="33"/>
  <c r="V1750" i="35"/>
  <c r="W1708" i="35"/>
  <c r="W1750" i="35"/>
  <c r="L1679" i="35"/>
  <c r="L1683" i="35"/>
  <c r="L1677" i="35"/>
  <c r="L1752" i="35"/>
  <c r="L1691" i="35"/>
  <c r="L1756" i="35"/>
  <c r="L1754" i="35"/>
  <c r="L1750" i="35"/>
  <c r="L2253" i="33"/>
  <c r="L2249" i="33"/>
  <c r="L1681" i="35"/>
  <c r="L2257" i="33"/>
  <c r="L2251" i="33"/>
  <c r="L2255" i="33"/>
  <c r="L1748" i="35"/>
  <c r="L1689" i="35"/>
  <c r="L2247" i="33"/>
  <c r="L1693" i="35"/>
  <c r="L1685" i="35"/>
  <c r="L1708" i="35"/>
  <c r="L2245" i="33"/>
  <c r="L1687" i="35"/>
  <c r="L2167" i="33"/>
  <c r="Z2096" i="33"/>
  <c r="W2096" i="33"/>
  <c r="X2096" i="33"/>
  <c r="Y1605" i="35" l="1"/>
  <c r="X1605" i="35"/>
  <c r="W1605" i="35"/>
  <c r="V1605" i="35"/>
  <c r="U1605" i="35"/>
  <c r="S1605" i="35"/>
  <c r="R1605" i="35"/>
  <c r="Q1605" i="35"/>
  <c r="K1605" i="35"/>
  <c r="F1605" i="35"/>
  <c r="Y1603" i="35"/>
  <c r="X1603" i="35"/>
  <c r="W1603" i="35"/>
  <c r="V1603" i="35"/>
  <c r="U1603" i="35"/>
  <c r="S1603" i="35"/>
  <c r="R1603" i="35"/>
  <c r="Q1603" i="35"/>
  <c r="K1603" i="35"/>
  <c r="F1603" i="35"/>
  <c r="H2096" i="33" l="1"/>
  <c r="I2096" i="33"/>
  <c r="G2096" i="33"/>
  <c r="Y1607" i="35"/>
  <c r="X1607" i="35"/>
  <c r="U1607" i="35"/>
  <c r="S1607" i="35"/>
  <c r="R1607" i="35"/>
  <c r="Q1607" i="35"/>
  <c r="K1607" i="35"/>
  <c r="F1607" i="35"/>
  <c r="AB2203" i="33" l="1"/>
  <c r="AB2205" i="33"/>
  <c r="V1657" i="35"/>
  <c r="W1657" i="35"/>
  <c r="AB2153" i="33"/>
  <c r="AB2155" i="33"/>
  <c r="V1627" i="35"/>
  <c r="AB2151" i="33"/>
  <c r="W1627" i="35"/>
  <c r="AB2149" i="33"/>
  <c r="L2199" i="33"/>
  <c r="L2193" i="33"/>
  <c r="L2203" i="33"/>
  <c r="L2209" i="33"/>
  <c r="L2195" i="33"/>
  <c r="L2205" i="33"/>
  <c r="L2197" i="33"/>
  <c r="L2201" i="33"/>
  <c r="L2173" i="33"/>
  <c r="L2163" i="33"/>
  <c r="L2191" i="33"/>
  <c r="L2177" i="33"/>
  <c r="L2181" i="33"/>
  <c r="L2165" i="33"/>
  <c r="L2179" i="33"/>
  <c r="L2189" i="33"/>
  <c r="L2171" i="33"/>
  <c r="L2187" i="33"/>
  <c r="L2175" i="33"/>
  <c r="L1657" i="35"/>
  <c r="L2155" i="33"/>
  <c r="L2157" i="33"/>
  <c r="L2149" i="33"/>
  <c r="L2151" i="33"/>
  <c r="L2153" i="33"/>
  <c r="L1627" i="35"/>
  <c r="L2145" i="33"/>
  <c r="L2147" i="33"/>
  <c r="L2096" i="33"/>
  <c r="G1605" i="35"/>
  <c r="H1605" i="35"/>
  <c r="G1603" i="35"/>
  <c r="H1603" i="35"/>
  <c r="I1603" i="35"/>
  <c r="I1605" i="35"/>
  <c r="L1603" i="35" l="1"/>
  <c r="L1605" i="35"/>
  <c r="V2123" i="33" l="1"/>
  <c r="T2123" i="33"/>
  <c r="S2123" i="33"/>
  <c r="R2123" i="33"/>
  <c r="K2123" i="33"/>
  <c r="F2123" i="33"/>
  <c r="V2121" i="33"/>
  <c r="T2121" i="33"/>
  <c r="S2121" i="33"/>
  <c r="R2121" i="33"/>
  <c r="K2121" i="33"/>
  <c r="F2121" i="33"/>
  <c r="V2119" i="33"/>
  <c r="T2119" i="33"/>
  <c r="S2119" i="33"/>
  <c r="R2119" i="33"/>
  <c r="K2119" i="33"/>
  <c r="F2119" i="33"/>
  <c r="V2117" i="33"/>
  <c r="T2117" i="33"/>
  <c r="S2117" i="33"/>
  <c r="R2117" i="33"/>
  <c r="K2117" i="33"/>
  <c r="F2117" i="33"/>
  <c r="V2115" i="33"/>
  <c r="T2115" i="33"/>
  <c r="K2115" i="33"/>
  <c r="F2115" i="33"/>
  <c r="V2114" i="33"/>
  <c r="T2114" i="33"/>
  <c r="S2114" i="33"/>
  <c r="R2114" i="33"/>
  <c r="K2114" i="33"/>
  <c r="F2114" i="33"/>
  <c r="Z2121" i="33" l="1"/>
  <c r="W2121" i="33"/>
  <c r="X2121" i="33"/>
  <c r="Z2119" i="33"/>
  <c r="X2119" i="33"/>
  <c r="W2119" i="33"/>
  <c r="Z2123" i="33"/>
  <c r="X2123" i="33"/>
  <c r="W2123" i="33"/>
  <c r="Z2117" i="33"/>
  <c r="X2117" i="33"/>
  <c r="W2117" i="33"/>
  <c r="Z2114" i="33"/>
  <c r="W2114" i="33"/>
  <c r="X2114" i="33"/>
  <c r="Z2115" i="33"/>
  <c r="Y2114" i="33"/>
  <c r="Y2115" i="33"/>
  <c r="Y2117" i="33"/>
  <c r="Y2119" i="33"/>
  <c r="Y2121" i="33"/>
  <c r="Y2123" i="33"/>
  <c r="AF2136" i="33" l="1"/>
  <c r="V2136" i="33"/>
  <c r="T2136" i="33"/>
  <c r="Z2136" i="33" s="1"/>
  <c r="S2136" i="33"/>
  <c r="R2136" i="33"/>
  <c r="K2136" i="33"/>
  <c r="F2136" i="33"/>
  <c r="AF2134" i="33"/>
  <c r="V2134" i="33"/>
  <c r="T2134" i="33"/>
  <c r="Z2134" i="33" s="1"/>
  <c r="S2134" i="33"/>
  <c r="R2134" i="33"/>
  <c r="K2134" i="33"/>
  <c r="F2134" i="33"/>
  <c r="V2112" i="33"/>
  <c r="T2112" i="33"/>
  <c r="S2112" i="33"/>
  <c r="R2112" i="33"/>
  <c r="K2112" i="33"/>
  <c r="F2112" i="33"/>
  <c r="V2110" i="33"/>
  <c r="T2110" i="33"/>
  <c r="S2110" i="33"/>
  <c r="R2110" i="33"/>
  <c r="K2110" i="33"/>
  <c r="F2110" i="33"/>
  <c r="V2108" i="33"/>
  <c r="T2108" i="33"/>
  <c r="S2108" i="33"/>
  <c r="R2108" i="33"/>
  <c r="K2108" i="33"/>
  <c r="F2108" i="33"/>
  <c r="V2106" i="33"/>
  <c r="T2106" i="33"/>
  <c r="S2106" i="33"/>
  <c r="R2106" i="33"/>
  <c r="K2106" i="33"/>
  <c r="F2106" i="33"/>
  <c r="Z2110" i="33" l="1"/>
  <c r="X2110" i="33"/>
  <c r="W2110" i="33"/>
  <c r="Z2112" i="33"/>
  <c r="X2112" i="33"/>
  <c r="W2112" i="33"/>
  <c r="Z2108" i="33"/>
  <c r="X2108" i="33"/>
  <c r="W2108" i="33"/>
  <c r="Z2106" i="33"/>
  <c r="X2106" i="33"/>
  <c r="W2106" i="33"/>
  <c r="W2136" i="33"/>
  <c r="X2136" i="33"/>
  <c r="Y2136" i="33"/>
  <c r="W2134" i="33"/>
  <c r="X2134" i="33"/>
  <c r="Y2134" i="33"/>
  <c r="Y2112" i="33"/>
  <c r="Y2110" i="33"/>
  <c r="Y2108" i="33"/>
  <c r="Y2106" i="33"/>
  <c r="V2104" i="33"/>
  <c r="T2104" i="33"/>
  <c r="S2104" i="33"/>
  <c r="R2104" i="33"/>
  <c r="K2104" i="33"/>
  <c r="F2104" i="33"/>
  <c r="V2098" i="33"/>
  <c r="T2098" i="33"/>
  <c r="Z2098" i="33" s="1"/>
  <c r="S2098" i="33"/>
  <c r="R2098" i="33"/>
  <c r="K2098" i="33"/>
  <c r="F2098" i="33"/>
  <c r="AF2143" i="33"/>
  <c r="V2143" i="33"/>
  <c r="T2143" i="33"/>
  <c r="Y2143" i="33" s="1"/>
  <c r="S2143" i="33"/>
  <c r="R2143" i="33"/>
  <c r="K2143" i="33"/>
  <c r="F2143" i="33"/>
  <c r="AF2141" i="33"/>
  <c r="V2141" i="33"/>
  <c r="T2141" i="33"/>
  <c r="W2141" i="33" s="1"/>
  <c r="S2141" i="33"/>
  <c r="R2141" i="33"/>
  <c r="K2141" i="33"/>
  <c r="F2141" i="33"/>
  <c r="AF2140" i="33"/>
  <c r="V2140" i="33"/>
  <c r="T2140" i="33"/>
  <c r="Z2140" i="33" s="1"/>
  <c r="S2140" i="33"/>
  <c r="R2140" i="33"/>
  <c r="K2140" i="33"/>
  <c r="F2140" i="33"/>
  <c r="AF2138" i="33"/>
  <c r="V2138" i="33"/>
  <c r="T2138" i="33"/>
  <c r="Z2138" i="33" s="1"/>
  <c r="S2138" i="33"/>
  <c r="R2138" i="33"/>
  <c r="K2138" i="33"/>
  <c r="F2138" i="33"/>
  <c r="AE1659" i="35"/>
  <c r="Y1659" i="35"/>
  <c r="X1659" i="35"/>
  <c r="U1659" i="35"/>
  <c r="S1659" i="35"/>
  <c r="R1659" i="35"/>
  <c r="Q1659" i="35"/>
  <c r="K1659" i="35"/>
  <c r="F1659" i="35"/>
  <c r="AE1710" i="35"/>
  <c r="Y1710" i="35"/>
  <c r="X1710" i="35"/>
  <c r="U1710" i="35"/>
  <c r="S1710" i="35"/>
  <c r="R1710" i="35"/>
  <c r="Q1710" i="35"/>
  <c r="K1710" i="35"/>
  <c r="F1710" i="35"/>
  <c r="AE1651" i="35"/>
  <c r="Y1651" i="35"/>
  <c r="X1651" i="35"/>
  <c r="U1651" i="35"/>
  <c r="S1651" i="35"/>
  <c r="R1651" i="35"/>
  <c r="Q1651" i="35"/>
  <c r="K1651" i="35"/>
  <c r="F1651" i="35"/>
  <c r="AE1650" i="35"/>
  <c r="Y1650" i="35"/>
  <c r="X1650" i="35"/>
  <c r="U1650" i="35"/>
  <c r="S1650" i="35"/>
  <c r="R1650" i="35"/>
  <c r="Q1650" i="35"/>
  <c r="K1650" i="35"/>
  <c r="F1650" i="35"/>
  <c r="AE1648" i="35"/>
  <c r="Y1648" i="35"/>
  <c r="X1648" i="35"/>
  <c r="U1648" i="35"/>
  <c r="S1648" i="35"/>
  <c r="R1648" i="35"/>
  <c r="Q1648" i="35"/>
  <c r="K1648" i="35"/>
  <c r="F1648" i="35"/>
  <c r="AE1646" i="35"/>
  <c r="Y1646" i="35"/>
  <c r="X1646" i="35"/>
  <c r="U1646" i="35"/>
  <c r="S1646" i="35"/>
  <c r="R1646" i="35"/>
  <c r="Q1646" i="35"/>
  <c r="K1646" i="35"/>
  <c r="F1646" i="35"/>
  <c r="AE1645" i="35"/>
  <c r="Y1645" i="35"/>
  <c r="X1645" i="35"/>
  <c r="U1645" i="35"/>
  <c r="S1645" i="35"/>
  <c r="R1645" i="35"/>
  <c r="Q1645" i="35"/>
  <c r="K1645" i="35"/>
  <c r="F1645" i="35"/>
  <c r="AE1643" i="35"/>
  <c r="Y1643" i="35"/>
  <c r="X1643" i="35"/>
  <c r="U1643" i="35"/>
  <c r="S1643" i="35"/>
  <c r="R1643" i="35"/>
  <c r="Q1643" i="35"/>
  <c r="K1643" i="35"/>
  <c r="F1643" i="35"/>
  <c r="AE1641" i="35"/>
  <c r="Y1641" i="35"/>
  <c r="X1641" i="35"/>
  <c r="U1641" i="35"/>
  <c r="S1641" i="35"/>
  <c r="R1641" i="35"/>
  <c r="Q1641" i="35"/>
  <c r="K1641" i="35"/>
  <c r="F1641" i="35"/>
  <c r="AE1640" i="35"/>
  <c r="Y1640" i="35"/>
  <c r="X1640" i="35"/>
  <c r="U1640" i="35"/>
  <c r="S1640" i="35"/>
  <c r="R1640" i="35"/>
  <c r="Q1640" i="35"/>
  <c r="K1640" i="35"/>
  <c r="F1640" i="35"/>
  <c r="AE1638" i="35"/>
  <c r="Y1638" i="35"/>
  <c r="X1638" i="35"/>
  <c r="U1638" i="35"/>
  <c r="S1638" i="35"/>
  <c r="R1638" i="35"/>
  <c r="Q1638" i="35"/>
  <c r="K1638" i="35"/>
  <c r="F1638" i="35"/>
  <c r="AE1636" i="35"/>
  <c r="Y1636" i="35"/>
  <c r="X1636" i="35"/>
  <c r="U1636" i="35"/>
  <c r="S1636" i="35"/>
  <c r="R1636" i="35"/>
  <c r="Q1636" i="35"/>
  <c r="K1636" i="35"/>
  <c r="F1636" i="35"/>
  <c r="AE1635" i="35"/>
  <c r="Y1635" i="35"/>
  <c r="X1635" i="35"/>
  <c r="U1635" i="35"/>
  <c r="S1635" i="35"/>
  <c r="R1635" i="35"/>
  <c r="Q1635" i="35"/>
  <c r="K1635" i="35"/>
  <c r="F1635" i="35"/>
  <c r="AE1633" i="35"/>
  <c r="Y1633" i="35"/>
  <c r="X1633" i="35"/>
  <c r="U1633" i="35"/>
  <c r="S1633" i="35"/>
  <c r="R1633" i="35"/>
  <c r="Q1633" i="35"/>
  <c r="K1633" i="35"/>
  <c r="F1633" i="35"/>
  <c r="AE1631" i="35"/>
  <c r="AG1631" i="35" s="1"/>
  <c r="Y1631" i="35"/>
  <c r="X1631" i="35"/>
  <c r="U1631" i="35"/>
  <c r="S1631" i="35"/>
  <c r="R1631" i="35"/>
  <c r="Q1631" i="35"/>
  <c r="K1631" i="35"/>
  <c r="F1631" i="35"/>
  <c r="AE1625" i="35"/>
  <c r="Y1625" i="35"/>
  <c r="X1625" i="35"/>
  <c r="U1625" i="35"/>
  <c r="S1625" i="35"/>
  <c r="R1625" i="35"/>
  <c r="Q1625" i="35"/>
  <c r="K1625" i="35"/>
  <c r="F1625" i="35"/>
  <c r="AE1697" i="35"/>
  <c r="Y1697" i="35"/>
  <c r="X1697" i="35"/>
  <c r="U1697" i="35"/>
  <c r="S1697" i="35"/>
  <c r="R1697" i="35"/>
  <c r="Q1697" i="35"/>
  <c r="K1697" i="35"/>
  <c r="F1697" i="35"/>
  <c r="AF2094" i="33"/>
  <c r="V2094" i="33"/>
  <c r="T2094" i="33"/>
  <c r="Z2094" i="33" s="1"/>
  <c r="S2094" i="33"/>
  <c r="R2094" i="33"/>
  <c r="K2094" i="33"/>
  <c r="F2094" i="33"/>
  <c r="AE1621" i="35"/>
  <c r="Y1621" i="35"/>
  <c r="X1621" i="35"/>
  <c r="U1621" i="35"/>
  <c r="S1621" i="35"/>
  <c r="R1621" i="35"/>
  <c r="Q1621" i="35"/>
  <c r="K1621" i="35"/>
  <c r="F1621" i="35"/>
  <c r="AE1619" i="35"/>
  <c r="Y1619" i="35"/>
  <c r="X1619" i="35"/>
  <c r="U1619" i="35"/>
  <c r="S1619" i="35"/>
  <c r="R1619" i="35"/>
  <c r="Q1619" i="35"/>
  <c r="K1619" i="35"/>
  <c r="F1619" i="35"/>
  <c r="AB2140" i="33" l="1"/>
  <c r="AB2138" i="33"/>
  <c r="AB2143" i="33"/>
  <c r="Z2104" i="33"/>
  <c r="X2104" i="33"/>
  <c r="W2104" i="33"/>
  <c r="AD1621" i="35"/>
  <c r="Y2104" i="33"/>
  <c r="Y2098" i="33"/>
  <c r="W2140" i="33"/>
  <c r="X2140" i="33"/>
  <c r="Y2140" i="33"/>
  <c r="X2141" i="33"/>
  <c r="Y2141" i="33"/>
  <c r="W2138" i="33"/>
  <c r="Z2141" i="33"/>
  <c r="W2143" i="33"/>
  <c r="X2138" i="33"/>
  <c r="Y2138" i="33"/>
  <c r="Z2143" i="33"/>
  <c r="X2143" i="33"/>
  <c r="AD1659" i="35"/>
  <c r="AD1640" i="35"/>
  <c r="AD1710" i="35"/>
  <c r="AD1625" i="35"/>
  <c r="AD1641" i="35"/>
  <c r="AD1638" i="35"/>
  <c r="AD1635" i="35"/>
  <c r="AD1650" i="35"/>
  <c r="AD1631" i="35"/>
  <c r="AD1643" i="35"/>
  <c r="AD1648" i="35"/>
  <c r="AD1651" i="35"/>
  <c r="AD1633" i="35"/>
  <c r="AD1636" i="35"/>
  <c r="AD1646" i="35"/>
  <c r="AD1645" i="35"/>
  <c r="AD1697" i="35"/>
  <c r="X2094" i="33"/>
  <c r="W2094" i="33"/>
  <c r="Y2094" i="33"/>
  <c r="AD1619" i="35"/>
  <c r="AE1593" i="35" l="1"/>
  <c r="Y1593" i="35"/>
  <c r="X1593" i="35"/>
  <c r="U1593" i="35"/>
  <c r="S1593" i="35"/>
  <c r="R1593" i="35"/>
  <c r="Q1593" i="35"/>
  <c r="K1593" i="35"/>
  <c r="F1593" i="35"/>
  <c r="AE1591" i="35"/>
  <c r="Y1591" i="35"/>
  <c r="X1591" i="35"/>
  <c r="U1591" i="35"/>
  <c r="S1591" i="35"/>
  <c r="R1591" i="35"/>
  <c r="Q1591" i="35"/>
  <c r="K1591" i="35"/>
  <c r="F1591" i="35"/>
  <c r="AD1593" i="35" l="1"/>
  <c r="AD1591" i="35"/>
  <c r="AF2041" i="33" l="1"/>
  <c r="V2041" i="33"/>
  <c r="T2041" i="33"/>
  <c r="Y2041" i="33" s="1"/>
  <c r="S2041" i="33"/>
  <c r="R2041" i="33"/>
  <c r="K2041" i="33"/>
  <c r="F2041" i="33"/>
  <c r="W2041" i="33" l="1"/>
  <c r="X2041" i="33"/>
  <c r="Z2041" i="33"/>
  <c r="AE1579" i="35" l="1"/>
  <c r="Y1579" i="35"/>
  <c r="X1579" i="35"/>
  <c r="U1579" i="35"/>
  <c r="S1579" i="35"/>
  <c r="R1579" i="35"/>
  <c r="Q1579" i="35"/>
  <c r="K1579" i="35"/>
  <c r="F1579" i="35"/>
  <c r="AD1579" i="35" l="1"/>
  <c r="AE1575" i="35" l="1"/>
  <c r="Y1575" i="35"/>
  <c r="X1575" i="35"/>
  <c r="U1575" i="35"/>
  <c r="S1575" i="35"/>
  <c r="R1575" i="35"/>
  <c r="Q1575" i="35"/>
  <c r="K1575" i="35"/>
  <c r="F1575" i="35"/>
  <c r="AD1575" i="35" l="1"/>
  <c r="AE1613" i="35" l="1"/>
  <c r="Y1613" i="35"/>
  <c r="X1613" i="35"/>
  <c r="U1613" i="35"/>
  <c r="S1613" i="35"/>
  <c r="R1613" i="35"/>
  <c r="Q1613" i="35"/>
  <c r="K1613" i="35"/>
  <c r="F1613" i="35"/>
  <c r="I1613" i="35" s="1"/>
  <c r="AD1613" i="35" l="1"/>
  <c r="AE1665" i="35" l="1"/>
  <c r="Y1665" i="35"/>
  <c r="X1665" i="35"/>
  <c r="U1665" i="35"/>
  <c r="S1665" i="35"/>
  <c r="R1665" i="35"/>
  <c r="Q1665" i="35"/>
  <c r="K1665" i="35"/>
  <c r="F1665" i="35"/>
  <c r="AE1663" i="35"/>
  <c r="Y1663" i="35"/>
  <c r="X1663" i="35"/>
  <c r="U1663" i="35"/>
  <c r="S1663" i="35"/>
  <c r="R1663" i="35"/>
  <c r="Q1663" i="35"/>
  <c r="K1663" i="35"/>
  <c r="F1663" i="35"/>
  <c r="AE1661" i="35"/>
  <c r="Y1661" i="35"/>
  <c r="X1661" i="35"/>
  <c r="U1661" i="35"/>
  <c r="S1661" i="35"/>
  <c r="R1661" i="35"/>
  <c r="Q1661" i="35"/>
  <c r="K1661" i="35"/>
  <c r="F1661" i="35"/>
  <c r="AE1611" i="35"/>
  <c r="Y1611" i="35"/>
  <c r="X1611" i="35"/>
  <c r="U1611" i="35"/>
  <c r="S1611" i="35"/>
  <c r="R1611" i="35"/>
  <c r="Q1611" i="35"/>
  <c r="K1611" i="35"/>
  <c r="F1611" i="35"/>
  <c r="AE1609" i="35"/>
  <c r="Y1609" i="35"/>
  <c r="X1609" i="35"/>
  <c r="U1609" i="35"/>
  <c r="S1609" i="35"/>
  <c r="R1609" i="35"/>
  <c r="Q1609" i="35"/>
  <c r="K1609" i="35"/>
  <c r="F1609" i="35"/>
  <c r="AE1589" i="35"/>
  <c r="Y1589" i="35"/>
  <c r="X1589" i="35"/>
  <c r="U1589" i="35"/>
  <c r="S1589" i="35"/>
  <c r="R1589" i="35"/>
  <c r="Q1589" i="35"/>
  <c r="K1589" i="35"/>
  <c r="F1589" i="35"/>
  <c r="AE1585" i="35"/>
  <c r="Y1585" i="35"/>
  <c r="X1585" i="35"/>
  <c r="U1585" i="35"/>
  <c r="S1585" i="35"/>
  <c r="R1585" i="35"/>
  <c r="Q1585" i="35"/>
  <c r="K1585" i="35"/>
  <c r="F1585" i="35"/>
  <c r="AE1583" i="35"/>
  <c r="Y1583" i="35"/>
  <c r="X1583" i="35"/>
  <c r="U1583" i="35"/>
  <c r="S1583" i="35"/>
  <c r="R1583" i="35"/>
  <c r="Q1583" i="35"/>
  <c r="K1583" i="35"/>
  <c r="F1583" i="35"/>
  <c r="AE1581" i="35"/>
  <c r="Y1581" i="35"/>
  <c r="X1581" i="35"/>
  <c r="U1581" i="35"/>
  <c r="S1581" i="35"/>
  <c r="R1581" i="35"/>
  <c r="Q1581" i="35"/>
  <c r="K1581" i="35"/>
  <c r="F1581" i="35"/>
  <c r="AE1577" i="35"/>
  <c r="Y1577" i="35"/>
  <c r="X1577" i="35"/>
  <c r="U1577" i="35"/>
  <c r="S1577" i="35"/>
  <c r="R1577" i="35"/>
  <c r="Q1577" i="35"/>
  <c r="K1577" i="35"/>
  <c r="F1577" i="35"/>
  <c r="AD1665" i="35" l="1"/>
  <c r="AD1663" i="35"/>
  <c r="AD1661" i="35"/>
  <c r="AD1611" i="35"/>
  <c r="AD1609" i="35"/>
  <c r="AD1589" i="35"/>
  <c r="AD1585" i="35"/>
  <c r="AD1583" i="35"/>
  <c r="AD1581" i="35"/>
  <c r="AD1577" i="35"/>
  <c r="AF2026" i="33" l="1"/>
  <c r="V2026" i="33"/>
  <c r="T2026" i="33"/>
  <c r="Z2026" i="33" s="1"/>
  <c r="S2026" i="33"/>
  <c r="R2026" i="33"/>
  <c r="K2026" i="33"/>
  <c r="F2026" i="33"/>
  <c r="AF2024" i="33"/>
  <c r="V2024" i="33"/>
  <c r="T2024" i="33"/>
  <c r="Z2024" i="33" s="1"/>
  <c r="S2024" i="33"/>
  <c r="R2024" i="33"/>
  <c r="K2024" i="33"/>
  <c r="F2024" i="33"/>
  <c r="Y2024" i="33" l="1"/>
  <c r="X2024" i="33"/>
  <c r="Y2026" i="33"/>
  <c r="W2024" i="33"/>
  <c r="W2026" i="33"/>
  <c r="X2026" i="33"/>
  <c r="AF2054" i="33" l="1"/>
  <c r="V2054" i="33"/>
  <c r="T2054" i="33"/>
  <c r="Z2054" i="33" s="1"/>
  <c r="S2054" i="33"/>
  <c r="R2054" i="33"/>
  <c r="K2054" i="33"/>
  <c r="F2054" i="33"/>
  <c r="AF2033" i="33"/>
  <c r="V2033" i="33"/>
  <c r="T2033" i="33"/>
  <c r="Z2033" i="33" s="1"/>
  <c r="S2033" i="33"/>
  <c r="R2033" i="33"/>
  <c r="K2033" i="33"/>
  <c r="F2033" i="33"/>
  <c r="AF2032" i="33"/>
  <c r="V2032" i="33"/>
  <c r="T2032" i="33"/>
  <c r="X2032" i="33" s="1"/>
  <c r="S2032" i="33"/>
  <c r="R2032" i="33"/>
  <c r="K2032" i="33"/>
  <c r="F2032" i="33"/>
  <c r="AF2030" i="33"/>
  <c r="V2030" i="33"/>
  <c r="T2030" i="33"/>
  <c r="Z2030" i="33" s="1"/>
  <c r="S2030" i="33"/>
  <c r="R2030" i="33"/>
  <c r="K2030" i="33"/>
  <c r="F2030" i="33"/>
  <c r="AF2028" i="33"/>
  <c r="V2028" i="33"/>
  <c r="T2028" i="33"/>
  <c r="X2028" i="33" s="1"/>
  <c r="S2028" i="33"/>
  <c r="R2028" i="33"/>
  <c r="K2028" i="33"/>
  <c r="F2028" i="33"/>
  <c r="H1607" i="35" l="1"/>
  <c r="G1607" i="35"/>
  <c r="I1607" i="35"/>
  <c r="I2117" i="33"/>
  <c r="I2119" i="33"/>
  <c r="G2115" i="33"/>
  <c r="I2121" i="33"/>
  <c r="G2117" i="33"/>
  <c r="H2114" i="33"/>
  <c r="G2119" i="33"/>
  <c r="G2123" i="33"/>
  <c r="I2123" i="33"/>
  <c r="I2114" i="33"/>
  <c r="I2115" i="33"/>
  <c r="H2117" i="33"/>
  <c r="H2121" i="33"/>
  <c r="H2123" i="33"/>
  <c r="H2119" i="33"/>
  <c r="G2114" i="33"/>
  <c r="G2121" i="33"/>
  <c r="H2115" i="33"/>
  <c r="I2136" i="33"/>
  <c r="G2112" i="33"/>
  <c r="H2136" i="33"/>
  <c r="G2110" i="33"/>
  <c r="H2110" i="33"/>
  <c r="I2108" i="33"/>
  <c r="I2110" i="33"/>
  <c r="H2134" i="33"/>
  <c r="I2134" i="33"/>
  <c r="H2112" i="33"/>
  <c r="I2112" i="33"/>
  <c r="H2108" i="33"/>
  <c r="G2108" i="33"/>
  <c r="I2106" i="33"/>
  <c r="G2134" i="33"/>
  <c r="H2106" i="33"/>
  <c r="G2136" i="33"/>
  <c r="G2106" i="33"/>
  <c r="I2143" i="33"/>
  <c r="G2140" i="33"/>
  <c r="I1659" i="35"/>
  <c r="G1625" i="35"/>
  <c r="H1631" i="35"/>
  <c r="G1645" i="35"/>
  <c r="H1645" i="35"/>
  <c r="G2094" i="33"/>
  <c r="G1621" i="35"/>
  <c r="H1633" i="35"/>
  <c r="I2094" i="33"/>
  <c r="I1651" i="35"/>
  <c r="I2141" i="33"/>
  <c r="H1625" i="35"/>
  <c r="I1631" i="35"/>
  <c r="G1710" i="35"/>
  <c r="H2143" i="33"/>
  <c r="G2104" i="33"/>
  <c r="I1710" i="35"/>
  <c r="H1643" i="35"/>
  <c r="I1633" i="35"/>
  <c r="I1619" i="35"/>
  <c r="H1641" i="35"/>
  <c r="H1635" i="35"/>
  <c r="G1651" i="35"/>
  <c r="G1641" i="35"/>
  <c r="G2141" i="33"/>
  <c r="I1641" i="35"/>
  <c r="G1640" i="35"/>
  <c r="G1619" i="35"/>
  <c r="H1659" i="35"/>
  <c r="H1650" i="35"/>
  <c r="H1640" i="35"/>
  <c r="H1651" i="35"/>
  <c r="G1650" i="35"/>
  <c r="I1645" i="35"/>
  <c r="G2098" i="33"/>
  <c r="I1638" i="35"/>
  <c r="G1633" i="35"/>
  <c r="I1648" i="35"/>
  <c r="H1621" i="35"/>
  <c r="I1635" i="35"/>
  <c r="G1636" i="35"/>
  <c r="G1697" i="35"/>
  <c r="G1638" i="35"/>
  <c r="H2141" i="33"/>
  <c r="H1636" i="35"/>
  <c r="I1643" i="35"/>
  <c r="H2140" i="33"/>
  <c r="G2143" i="33"/>
  <c r="G1643" i="35"/>
  <c r="H1697" i="35"/>
  <c r="G1646" i="35"/>
  <c r="H1619" i="35"/>
  <c r="I1650" i="35"/>
  <c r="I1625" i="35"/>
  <c r="G1648" i="35"/>
  <c r="H2104" i="33"/>
  <c r="G1659" i="35"/>
  <c r="I2104" i="33"/>
  <c r="I1621" i="35"/>
  <c r="H1638" i="35"/>
  <c r="I1646" i="35"/>
  <c r="H2098" i="33"/>
  <c r="I1640" i="35"/>
  <c r="I2098" i="33"/>
  <c r="H1646" i="35"/>
  <c r="H2094" i="33"/>
  <c r="H1710" i="35"/>
  <c r="I2140" i="33"/>
  <c r="G1635" i="35"/>
  <c r="I1697" i="35"/>
  <c r="G2138" i="33"/>
  <c r="G1631" i="35"/>
  <c r="H2138" i="33"/>
  <c r="I1636" i="35"/>
  <c r="H1648" i="35"/>
  <c r="I2138" i="33"/>
  <c r="I1593" i="35"/>
  <c r="G1591" i="35"/>
  <c r="G1593" i="35"/>
  <c r="I1591" i="35"/>
  <c r="H1593" i="35"/>
  <c r="H1591" i="35"/>
  <c r="H2041" i="33"/>
  <c r="I2041" i="33"/>
  <c r="G2041" i="33"/>
  <c r="H1579" i="35"/>
  <c r="I1579" i="35"/>
  <c r="G1579" i="35"/>
  <c r="H1575" i="35"/>
  <c r="I1575" i="35"/>
  <c r="G1575" i="35"/>
  <c r="H1613" i="35"/>
  <c r="G1613" i="35"/>
  <c r="I1589" i="35"/>
  <c r="G1583" i="35"/>
  <c r="I1663" i="35"/>
  <c r="I1611" i="35"/>
  <c r="H1611" i="35"/>
  <c r="I1583" i="35"/>
  <c r="H1577" i="35"/>
  <c r="G1611" i="35"/>
  <c r="I1609" i="35"/>
  <c r="G1661" i="35"/>
  <c r="I1577" i="35"/>
  <c r="H1665" i="35"/>
  <c r="H1585" i="35"/>
  <c r="H1661" i="35"/>
  <c r="G1581" i="35"/>
  <c r="I1665" i="35"/>
  <c r="H1609" i="35"/>
  <c r="H1581" i="35"/>
  <c r="G1665" i="35"/>
  <c r="I1661" i="35"/>
  <c r="G1585" i="35"/>
  <c r="G1663" i="35"/>
  <c r="G1609" i="35"/>
  <c r="I1585" i="35"/>
  <c r="I1581" i="35"/>
  <c r="H1663" i="35"/>
  <c r="G1589" i="35"/>
  <c r="G1577" i="35"/>
  <c r="H1589" i="35"/>
  <c r="H1583" i="35"/>
  <c r="H2026" i="33"/>
  <c r="I2024" i="33"/>
  <c r="G2026" i="33"/>
  <c r="I2026" i="33"/>
  <c r="G2024" i="33"/>
  <c r="H2024" i="33"/>
  <c r="W2054" i="33"/>
  <c r="X2054" i="33"/>
  <c r="Y2054" i="33"/>
  <c r="W2033" i="33"/>
  <c r="X2033" i="33"/>
  <c r="Y2033" i="33"/>
  <c r="Y2032" i="33"/>
  <c r="Z2032" i="33"/>
  <c r="Y2028" i="33"/>
  <c r="Z2028" i="33"/>
  <c r="W2030" i="33"/>
  <c r="W2028" i="33"/>
  <c r="X2030" i="33"/>
  <c r="Y2030" i="33"/>
  <c r="W2032" i="33"/>
  <c r="L1607" i="35" l="1"/>
  <c r="L2117" i="33"/>
  <c r="L2121" i="33"/>
  <c r="L2123" i="33"/>
  <c r="L2119" i="33"/>
  <c r="L2115" i="33"/>
  <c r="L2114" i="33"/>
  <c r="L2106" i="33"/>
  <c r="L2112" i="33"/>
  <c r="L2136" i="33"/>
  <c r="L2134" i="33"/>
  <c r="L2108" i="33"/>
  <c r="L2110" i="33"/>
  <c r="L1710" i="35"/>
  <c r="L1651" i="35"/>
  <c r="L1621" i="35"/>
  <c r="L1625" i="35"/>
  <c r="L1638" i="35"/>
  <c r="L1636" i="35"/>
  <c r="L1643" i="35"/>
  <c r="L1645" i="35"/>
  <c r="L2141" i="33"/>
  <c r="L1659" i="35"/>
  <c r="L1641" i="35"/>
  <c r="L1640" i="35"/>
  <c r="L2138" i="33"/>
  <c r="L1633" i="35"/>
  <c r="L1635" i="35"/>
  <c r="L1650" i="35"/>
  <c r="L1631" i="35"/>
  <c r="L2104" i="33"/>
  <c r="L2098" i="33"/>
  <c r="L2143" i="33"/>
  <c r="L1646" i="35"/>
  <c r="L2140" i="33"/>
  <c r="L1697" i="35"/>
  <c r="L1619" i="35"/>
  <c r="L1648" i="35"/>
  <c r="L2094" i="33"/>
  <c r="L1593" i="35"/>
  <c r="L1591" i="35"/>
  <c r="L2041" i="33"/>
  <c r="L1579" i="35"/>
  <c r="L1575" i="35"/>
  <c r="L1613" i="35"/>
  <c r="L1589" i="35"/>
  <c r="L1611" i="35"/>
  <c r="L1665" i="35"/>
  <c r="L1577" i="35"/>
  <c r="L1585" i="35"/>
  <c r="L1609" i="35"/>
  <c r="L1581" i="35"/>
  <c r="L1663" i="35"/>
  <c r="L1583" i="35"/>
  <c r="L1661" i="35"/>
  <c r="AB2136" i="33"/>
  <c r="AB2134" i="33"/>
  <c r="V1710" i="35"/>
  <c r="W1651" i="35"/>
  <c r="V1645" i="35"/>
  <c r="W1659" i="35"/>
  <c r="W1631" i="35"/>
  <c r="V1697" i="35"/>
  <c r="W1621" i="35"/>
  <c r="W1646" i="35"/>
  <c r="V1638" i="35"/>
  <c r="W1643" i="35"/>
  <c r="V1641" i="35"/>
  <c r="V1633" i="35"/>
  <c r="W1638" i="35"/>
  <c r="V1631" i="35"/>
  <c r="V1625" i="35"/>
  <c r="V1659" i="35"/>
  <c r="W1625" i="35"/>
  <c r="V1643" i="35"/>
  <c r="W1710" i="35"/>
  <c r="W1650" i="35"/>
  <c r="X2098" i="33"/>
  <c r="W1697" i="35"/>
  <c r="W1635" i="35"/>
  <c r="W1640" i="35"/>
  <c r="V1635" i="35"/>
  <c r="V1646" i="35"/>
  <c r="V1651" i="35"/>
  <c r="V1650" i="35"/>
  <c r="W1636" i="35"/>
  <c r="W1641" i="35"/>
  <c r="W1619" i="35"/>
  <c r="V1648" i="35"/>
  <c r="V1621" i="35"/>
  <c r="W1633" i="35"/>
  <c r="W2098" i="33"/>
  <c r="V1640" i="35"/>
  <c r="W1645" i="35"/>
  <c r="V1619" i="35"/>
  <c r="W1648" i="35"/>
  <c r="V1636" i="35"/>
  <c r="W1591" i="35"/>
  <c r="V1593" i="35"/>
  <c r="V1591" i="35"/>
  <c r="W1593" i="35"/>
  <c r="V1579" i="35"/>
  <c r="W1579" i="35"/>
  <c r="V1575" i="35"/>
  <c r="W1575" i="35"/>
  <c r="V1613" i="35"/>
  <c r="W1613" i="35"/>
  <c r="V1663" i="35"/>
  <c r="V1577" i="35"/>
  <c r="W1577" i="35"/>
  <c r="V1665" i="35"/>
  <c r="V1661" i="35"/>
  <c r="W1589" i="35"/>
  <c r="W1665" i="35"/>
  <c r="W1585" i="35"/>
  <c r="W1583" i="35"/>
  <c r="W1661" i="35"/>
  <c r="V1609" i="35"/>
  <c r="V1581" i="35"/>
  <c r="W1609" i="35"/>
  <c r="V1585" i="35"/>
  <c r="W1663" i="35"/>
  <c r="V1589" i="35"/>
  <c r="W1581" i="35"/>
  <c r="V1611" i="35"/>
  <c r="V1583" i="35"/>
  <c r="W1611" i="35"/>
  <c r="W1607" i="35"/>
  <c r="V1607" i="35"/>
  <c r="L2024" i="33"/>
  <c r="L2026" i="33"/>
  <c r="AF2092" i="33" l="1"/>
  <c r="V2092" i="33"/>
  <c r="T2092" i="33"/>
  <c r="Z2092" i="33" s="1"/>
  <c r="S2092" i="33"/>
  <c r="R2092" i="33"/>
  <c r="K2092" i="33"/>
  <c r="F2092" i="33"/>
  <c r="AF2090" i="33"/>
  <c r="V2090" i="33"/>
  <c r="T2090" i="33"/>
  <c r="Z2090" i="33" s="1"/>
  <c r="S2090" i="33"/>
  <c r="R2090" i="33"/>
  <c r="K2090" i="33"/>
  <c r="F2090" i="33"/>
  <c r="AF2088" i="33"/>
  <c r="V2088" i="33"/>
  <c r="T2088" i="33"/>
  <c r="W2088" i="33" s="1"/>
  <c r="S2088" i="33"/>
  <c r="R2088" i="33"/>
  <c r="K2088" i="33"/>
  <c r="F2088" i="33"/>
  <c r="AF2087" i="33"/>
  <c r="V2087" i="33"/>
  <c r="T2087" i="33"/>
  <c r="Z2087" i="33" s="1"/>
  <c r="S2087" i="33"/>
  <c r="R2087" i="33"/>
  <c r="K2087" i="33"/>
  <c r="F2087" i="33"/>
  <c r="AF2085" i="33"/>
  <c r="V2085" i="33"/>
  <c r="T2085" i="33"/>
  <c r="Z2085" i="33" s="1"/>
  <c r="S2085" i="33"/>
  <c r="R2085" i="33"/>
  <c r="K2085" i="33"/>
  <c r="F2085" i="33"/>
  <c r="AF2083" i="33"/>
  <c r="V2083" i="33"/>
  <c r="T2083" i="33"/>
  <c r="Z2083" i="33" s="1"/>
  <c r="S2083" i="33"/>
  <c r="R2083" i="33"/>
  <c r="K2083" i="33"/>
  <c r="F2083" i="33"/>
  <c r="AF2082" i="33"/>
  <c r="V2082" i="33"/>
  <c r="T2082" i="33"/>
  <c r="Z2082" i="33" s="1"/>
  <c r="S2082" i="33"/>
  <c r="R2082" i="33"/>
  <c r="K2082" i="33"/>
  <c r="F2082" i="33"/>
  <c r="AF2080" i="33"/>
  <c r="V2080" i="33"/>
  <c r="T2080" i="33"/>
  <c r="Z2080" i="33" s="1"/>
  <c r="S2080" i="33"/>
  <c r="R2080" i="33"/>
  <c r="K2080" i="33"/>
  <c r="F2080" i="33"/>
  <c r="AF2078" i="33"/>
  <c r="V2078" i="33"/>
  <c r="T2078" i="33"/>
  <c r="X2078" i="33" s="1"/>
  <c r="S2078" i="33"/>
  <c r="R2078" i="33"/>
  <c r="K2078" i="33"/>
  <c r="F2078" i="33"/>
  <c r="AF2077" i="33"/>
  <c r="V2077" i="33"/>
  <c r="T2077" i="33"/>
  <c r="Z2077" i="33" s="1"/>
  <c r="S2077" i="33"/>
  <c r="R2077" i="33"/>
  <c r="K2077" i="33"/>
  <c r="F2077" i="33"/>
  <c r="AF2052" i="33"/>
  <c r="V2052" i="33"/>
  <c r="T2052" i="33"/>
  <c r="Z2052" i="33" s="1"/>
  <c r="S2052" i="33"/>
  <c r="R2052" i="33"/>
  <c r="K2052" i="33"/>
  <c r="F2052" i="33"/>
  <c r="AF2075" i="33"/>
  <c r="V2075" i="33"/>
  <c r="T2075" i="33"/>
  <c r="Z2075" i="33" s="1"/>
  <c r="S2075" i="33"/>
  <c r="R2075" i="33"/>
  <c r="K2075" i="33"/>
  <c r="F2075" i="33"/>
  <c r="AF2069" i="33"/>
  <c r="V2069" i="33"/>
  <c r="T2069" i="33"/>
  <c r="Z2069" i="33" s="1"/>
  <c r="S2069" i="33"/>
  <c r="R2069" i="33"/>
  <c r="K2069" i="33"/>
  <c r="F2069" i="33"/>
  <c r="AF2068" i="33"/>
  <c r="V2068" i="33"/>
  <c r="T2068" i="33"/>
  <c r="Z2068" i="33" s="1"/>
  <c r="S2068" i="33"/>
  <c r="R2068" i="33"/>
  <c r="K2068" i="33"/>
  <c r="F2068" i="33"/>
  <c r="AF2066" i="33"/>
  <c r="V2066" i="33"/>
  <c r="T2066" i="33"/>
  <c r="X2066" i="33" s="1"/>
  <c r="S2066" i="33"/>
  <c r="R2066" i="33"/>
  <c r="K2066" i="33"/>
  <c r="F2066" i="33"/>
  <c r="AF2050" i="33"/>
  <c r="V2050" i="33"/>
  <c r="T2050" i="33"/>
  <c r="Z2050" i="33" s="1"/>
  <c r="S2050" i="33"/>
  <c r="R2050" i="33"/>
  <c r="K2050" i="33"/>
  <c r="F2050" i="33"/>
  <c r="W2092" i="33" l="1"/>
  <c r="X2092" i="33"/>
  <c r="Y2092" i="33"/>
  <c r="W2087" i="33"/>
  <c r="X2087" i="33"/>
  <c r="Y2087" i="33"/>
  <c r="Y2088" i="33"/>
  <c r="Z2088" i="33"/>
  <c r="W2090" i="33"/>
  <c r="X2088" i="33"/>
  <c r="X2090" i="33"/>
  <c r="Y2090" i="33"/>
  <c r="W2085" i="33"/>
  <c r="Y2085" i="33"/>
  <c r="X2085" i="33"/>
  <c r="W2083" i="33"/>
  <c r="X2083" i="33"/>
  <c r="Y2083" i="33"/>
  <c r="X2082" i="33"/>
  <c r="Y2082" i="33"/>
  <c r="W2082" i="33"/>
  <c r="W2080" i="33"/>
  <c r="X2080" i="33"/>
  <c r="Y2080" i="33"/>
  <c r="Y2078" i="33"/>
  <c r="W2078" i="33"/>
  <c r="Z2078" i="33"/>
  <c r="X2077" i="33"/>
  <c r="W2077" i="33"/>
  <c r="Y2077" i="33"/>
  <c r="W2052" i="33"/>
  <c r="X2052" i="33"/>
  <c r="Y2052" i="33"/>
  <c r="W2075" i="33"/>
  <c r="X2075" i="33"/>
  <c r="Y2075" i="33"/>
  <c r="W2069" i="33"/>
  <c r="X2069" i="33"/>
  <c r="Y2069" i="33"/>
  <c r="W2068" i="33"/>
  <c r="X2068" i="33"/>
  <c r="Y2068" i="33"/>
  <c r="Y2066" i="33"/>
  <c r="Z2066" i="33"/>
  <c r="W2066" i="33"/>
  <c r="W2050" i="33"/>
  <c r="X2050" i="33"/>
  <c r="Y2050" i="33"/>
  <c r="AF2048" i="33" l="1"/>
  <c r="V2048" i="33"/>
  <c r="T2048" i="33"/>
  <c r="Y2048" i="33" s="1"/>
  <c r="S2048" i="33"/>
  <c r="R2048" i="33"/>
  <c r="K2048" i="33"/>
  <c r="F2048" i="33"/>
  <c r="AF2047" i="33"/>
  <c r="V2047" i="33"/>
  <c r="T2047" i="33"/>
  <c r="Z2047" i="33" s="1"/>
  <c r="S2047" i="33"/>
  <c r="R2047" i="33"/>
  <c r="K2047" i="33"/>
  <c r="F2047" i="33"/>
  <c r="AF2045" i="33"/>
  <c r="V2045" i="33"/>
  <c r="T2045" i="33"/>
  <c r="X2045" i="33" s="1"/>
  <c r="S2045" i="33"/>
  <c r="R2045" i="33"/>
  <c r="K2045" i="33"/>
  <c r="F2045" i="33"/>
  <c r="AF2043" i="33"/>
  <c r="V2043" i="33"/>
  <c r="T2043" i="33"/>
  <c r="X2043" i="33" s="1"/>
  <c r="S2043" i="33"/>
  <c r="R2043" i="33"/>
  <c r="K2043" i="33"/>
  <c r="F2043" i="33"/>
  <c r="AF2039" i="33"/>
  <c r="V2039" i="33"/>
  <c r="T2039" i="33"/>
  <c r="Z2039" i="33" s="1"/>
  <c r="S2039" i="33"/>
  <c r="R2039" i="33"/>
  <c r="K2039" i="33"/>
  <c r="F2039" i="33"/>
  <c r="AF2037" i="33"/>
  <c r="V2037" i="33"/>
  <c r="T2037" i="33"/>
  <c r="X2037" i="33" s="1"/>
  <c r="S2037" i="33"/>
  <c r="R2037" i="33"/>
  <c r="K2037" i="33"/>
  <c r="F2037" i="33"/>
  <c r="AF2035" i="33"/>
  <c r="V2035" i="33"/>
  <c r="T2035" i="33"/>
  <c r="Z2035" i="33" s="1"/>
  <c r="S2035" i="33"/>
  <c r="R2035" i="33"/>
  <c r="K2035" i="33"/>
  <c r="F2035" i="33"/>
  <c r="H2030" i="33" l="1"/>
  <c r="I2030" i="33"/>
  <c r="I2033" i="33"/>
  <c r="I2028" i="33"/>
  <c r="I2032" i="33"/>
  <c r="G2032" i="33"/>
  <c r="H2032" i="33"/>
  <c r="G2030" i="33"/>
  <c r="G2028" i="33"/>
  <c r="H2054" i="33"/>
  <c r="I2054" i="33"/>
  <c r="H2033" i="33"/>
  <c r="H2028" i="33"/>
  <c r="G2033" i="33"/>
  <c r="G2054" i="33"/>
  <c r="H2078" i="33"/>
  <c r="H2082" i="33"/>
  <c r="G2087" i="33"/>
  <c r="G2090" i="33"/>
  <c r="G2078" i="33"/>
  <c r="I2068" i="33"/>
  <c r="G2069" i="33"/>
  <c r="I2080" i="33"/>
  <c r="I2077" i="33"/>
  <c r="H2087" i="33"/>
  <c r="G2050" i="33"/>
  <c r="G2085" i="33"/>
  <c r="H2068" i="33"/>
  <c r="H2052" i="33"/>
  <c r="I2092" i="33"/>
  <c r="I2082" i="33"/>
  <c r="I2050" i="33"/>
  <c r="G2088" i="33"/>
  <c r="I2075" i="33"/>
  <c r="H2050" i="33"/>
  <c r="H2075" i="33"/>
  <c r="H2085" i="33"/>
  <c r="G2083" i="33"/>
  <c r="H2092" i="33"/>
  <c r="I2085" i="33"/>
  <c r="G2077" i="33"/>
  <c r="G2068" i="33"/>
  <c r="H2083" i="33"/>
  <c r="G2092" i="33"/>
  <c r="I2052" i="33"/>
  <c r="H2077" i="33"/>
  <c r="I2090" i="33"/>
  <c r="I2087" i="33"/>
  <c r="G2080" i="33"/>
  <c r="G2075" i="33"/>
  <c r="H2066" i="33"/>
  <c r="H2088" i="33"/>
  <c r="I2078" i="33"/>
  <c r="I2069" i="33"/>
  <c r="I2066" i="33"/>
  <c r="H2080" i="33"/>
  <c r="G2082" i="33"/>
  <c r="H2069" i="33"/>
  <c r="H2090" i="33"/>
  <c r="I2088" i="33"/>
  <c r="I2083" i="33"/>
  <c r="G2052" i="33"/>
  <c r="G2066" i="33"/>
  <c r="Z2048" i="33"/>
  <c r="W2048" i="33"/>
  <c r="X2048" i="33"/>
  <c r="W2047" i="33"/>
  <c r="Y2047" i="33"/>
  <c r="X2047" i="33"/>
  <c r="Y2045" i="33"/>
  <c r="Z2045" i="33"/>
  <c r="W2045" i="33"/>
  <c r="Y2043" i="33"/>
  <c r="Z2043" i="33"/>
  <c r="W2043" i="33"/>
  <c r="W2039" i="33"/>
  <c r="X2039" i="33"/>
  <c r="Y2039" i="33"/>
  <c r="W2037" i="33"/>
  <c r="Y2037" i="33"/>
  <c r="Z2037" i="33"/>
  <c r="W2035" i="33"/>
  <c r="X2035" i="33"/>
  <c r="Y2035" i="33"/>
  <c r="Y1565" i="35"/>
  <c r="X1565" i="35"/>
  <c r="W1565" i="35"/>
  <c r="V1565" i="35"/>
  <c r="U1565" i="35"/>
  <c r="S1565" i="35"/>
  <c r="R1565" i="35"/>
  <c r="Q1565" i="35"/>
  <c r="K1565" i="35"/>
  <c r="F1565" i="35"/>
  <c r="L2028" i="33" l="1"/>
  <c r="L2032" i="33"/>
  <c r="L2030" i="33"/>
  <c r="L2054" i="33"/>
  <c r="L2033" i="33"/>
  <c r="L2083" i="33"/>
  <c r="L2069" i="33"/>
  <c r="L2068" i="33"/>
  <c r="L2088" i="33"/>
  <c r="L2092" i="33"/>
  <c r="L2080" i="33"/>
  <c r="L2066" i="33"/>
  <c r="L2075" i="33"/>
  <c r="L2077" i="33"/>
  <c r="L2050" i="33"/>
  <c r="L2087" i="33"/>
  <c r="L2085" i="33"/>
  <c r="L2082" i="33"/>
  <c r="L2052" i="33"/>
  <c r="L2090" i="33"/>
  <c r="L2078" i="33"/>
  <c r="AF2022" i="33"/>
  <c r="V2022" i="33"/>
  <c r="T2022" i="33"/>
  <c r="X2022" i="33" s="1"/>
  <c r="S2022" i="33"/>
  <c r="R2022" i="33"/>
  <c r="K2022" i="33"/>
  <c r="F2022" i="33"/>
  <c r="AF2016" i="33"/>
  <c r="V2016" i="33"/>
  <c r="T2016" i="33"/>
  <c r="Z2016" i="33" s="1"/>
  <c r="S2016" i="33"/>
  <c r="R2016" i="33"/>
  <c r="K2016" i="33"/>
  <c r="F2016" i="33"/>
  <c r="AF2014" i="33"/>
  <c r="V2014" i="33"/>
  <c r="T2014" i="33"/>
  <c r="X2014" i="33" s="1"/>
  <c r="S2014" i="33"/>
  <c r="R2014" i="33"/>
  <c r="K2014" i="33"/>
  <c r="F2014" i="33"/>
  <c r="Y2022" i="33" l="1"/>
  <c r="Z2022" i="33"/>
  <c r="W2022" i="33"/>
  <c r="Y2016" i="33"/>
  <c r="W2016" i="33"/>
  <c r="X2016" i="33"/>
  <c r="Y2014" i="33"/>
  <c r="Z2014" i="33"/>
  <c r="W2014" i="33"/>
  <c r="AF2012" i="33"/>
  <c r="V2012" i="33"/>
  <c r="T2012" i="33"/>
  <c r="Z2012" i="33" s="1"/>
  <c r="S2012" i="33"/>
  <c r="R2012" i="33"/>
  <c r="K2012" i="33"/>
  <c r="F2012" i="33"/>
  <c r="AF2010" i="33"/>
  <c r="V2010" i="33"/>
  <c r="T2010" i="33"/>
  <c r="W2010" i="33" s="1"/>
  <c r="S2010" i="33"/>
  <c r="R2010" i="33"/>
  <c r="K2010" i="33"/>
  <c r="F2010" i="33"/>
  <c r="W2012" i="33" l="1"/>
  <c r="X2012" i="33"/>
  <c r="Y2012" i="33"/>
  <c r="X2010" i="33"/>
  <c r="Y2010" i="33"/>
  <c r="Z2010" i="33"/>
  <c r="AF2008" i="33" l="1"/>
  <c r="V2008" i="33"/>
  <c r="T2008" i="33"/>
  <c r="Y2008" i="33" s="1"/>
  <c r="S2008" i="33"/>
  <c r="R2008" i="33"/>
  <c r="K2008" i="33"/>
  <c r="F2008" i="33"/>
  <c r="AF2006" i="33"/>
  <c r="V2006" i="33"/>
  <c r="T2006" i="33"/>
  <c r="Z2006" i="33" s="1"/>
  <c r="S2006" i="33"/>
  <c r="R2006" i="33"/>
  <c r="K2006" i="33"/>
  <c r="F2006" i="33"/>
  <c r="AF2004" i="33"/>
  <c r="V2004" i="33"/>
  <c r="T2004" i="33"/>
  <c r="Y2004" i="33" s="1"/>
  <c r="S2004" i="33"/>
  <c r="R2004" i="33"/>
  <c r="K2004" i="33"/>
  <c r="F2004" i="33"/>
  <c r="AF2002" i="33"/>
  <c r="V2002" i="33"/>
  <c r="T2002" i="33"/>
  <c r="X2002" i="33" s="1"/>
  <c r="S2002" i="33"/>
  <c r="R2002" i="33"/>
  <c r="K2002" i="33"/>
  <c r="F2002" i="33"/>
  <c r="W2008" i="33" l="1"/>
  <c r="X2008" i="33"/>
  <c r="Z2008" i="33"/>
  <c r="W2006" i="33"/>
  <c r="X2006" i="33"/>
  <c r="Y2006" i="33"/>
  <c r="W2004" i="33"/>
  <c r="X2004" i="33"/>
  <c r="Z2004" i="33"/>
  <c r="Y2002" i="33"/>
  <c r="Z2002" i="33"/>
  <c r="W2002" i="33"/>
  <c r="AE1573" i="35" l="1"/>
  <c r="Y1573" i="35"/>
  <c r="X1573" i="35"/>
  <c r="U1573" i="35"/>
  <c r="S1573" i="35"/>
  <c r="R1573" i="35"/>
  <c r="Q1573" i="35"/>
  <c r="K1573" i="35"/>
  <c r="F1573" i="35"/>
  <c r="AE1571" i="35"/>
  <c r="Y1571" i="35"/>
  <c r="X1571" i="35"/>
  <c r="U1571" i="35"/>
  <c r="S1571" i="35"/>
  <c r="R1571" i="35"/>
  <c r="Q1571" i="35"/>
  <c r="K1571" i="35"/>
  <c r="F1571" i="35"/>
  <c r="AE1547" i="35"/>
  <c r="Y1547" i="35"/>
  <c r="X1547" i="35"/>
  <c r="U1547" i="35"/>
  <c r="S1547" i="35"/>
  <c r="R1547" i="35"/>
  <c r="Q1547" i="35"/>
  <c r="K1547" i="35"/>
  <c r="F1547" i="35"/>
  <c r="AE1527" i="35"/>
  <c r="Y1527" i="35"/>
  <c r="X1527" i="35"/>
  <c r="U1527" i="35"/>
  <c r="S1527" i="35"/>
  <c r="R1527" i="35"/>
  <c r="Q1527" i="35"/>
  <c r="K1527" i="35"/>
  <c r="F1527" i="35"/>
  <c r="AE1521" i="35"/>
  <c r="Y1521" i="35"/>
  <c r="X1521" i="35"/>
  <c r="U1521" i="35"/>
  <c r="S1521" i="35"/>
  <c r="R1521" i="35"/>
  <c r="Q1521" i="35"/>
  <c r="K1521" i="35"/>
  <c r="F1521" i="35"/>
  <c r="V1990" i="33"/>
  <c r="T1990" i="33"/>
  <c r="Z1990" i="33" s="1"/>
  <c r="S1990" i="33"/>
  <c r="R1990" i="33"/>
  <c r="K1990" i="33"/>
  <c r="F1990" i="33"/>
  <c r="V1988" i="33"/>
  <c r="T1988" i="33"/>
  <c r="Z1988" i="33" s="1"/>
  <c r="S1988" i="33"/>
  <c r="R1988" i="33"/>
  <c r="K1988" i="33"/>
  <c r="F1988" i="33"/>
  <c r="V1986" i="33"/>
  <c r="T1986" i="33"/>
  <c r="Z1986" i="33" s="1"/>
  <c r="S1986" i="33"/>
  <c r="R1986" i="33"/>
  <c r="K1986" i="33"/>
  <c r="F1986" i="33"/>
  <c r="V1984" i="33"/>
  <c r="T1984" i="33"/>
  <c r="Z1984" i="33" s="1"/>
  <c r="S1984" i="33"/>
  <c r="R1984" i="33"/>
  <c r="K1984" i="33"/>
  <c r="F1984" i="33"/>
  <c r="V1982" i="33"/>
  <c r="T1982" i="33"/>
  <c r="Y1982" i="33" s="1"/>
  <c r="S1982" i="33"/>
  <c r="R1982" i="33"/>
  <c r="K1982" i="33"/>
  <c r="F1982" i="33"/>
  <c r="V1981" i="33"/>
  <c r="T1981" i="33"/>
  <c r="Z1981" i="33" s="1"/>
  <c r="S1981" i="33"/>
  <c r="R1981" i="33"/>
  <c r="K1981" i="33"/>
  <c r="F1981" i="33"/>
  <c r="V1979" i="33"/>
  <c r="T1979" i="33"/>
  <c r="Z1979" i="33" s="1"/>
  <c r="S1979" i="33"/>
  <c r="R1979" i="33"/>
  <c r="K1979" i="33"/>
  <c r="F1979" i="33"/>
  <c r="I2045" i="33" l="1"/>
  <c r="H2045" i="33"/>
  <c r="G2039" i="33"/>
  <c r="H2048" i="33"/>
  <c r="H2039" i="33"/>
  <c r="I2037" i="33"/>
  <c r="I2047" i="33"/>
  <c r="G2035" i="33"/>
  <c r="G2048" i="33"/>
  <c r="I2043" i="33"/>
  <c r="G2043" i="33"/>
  <c r="H2035" i="33"/>
  <c r="G2045" i="33"/>
  <c r="I2039" i="33"/>
  <c r="H2047" i="33"/>
  <c r="I2035" i="33"/>
  <c r="G2047" i="33"/>
  <c r="H2043" i="33"/>
  <c r="G2037" i="33"/>
  <c r="H2037" i="33"/>
  <c r="I2048" i="33"/>
  <c r="G1565" i="35"/>
  <c r="H1565" i="35"/>
  <c r="I1565" i="35"/>
  <c r="G2022" i="33"/>
  <c r="H2016" i="33"/>
  <c r="I2022" i="33"/>
  <c r="I2014" i="33"/>
  <c r="H2022" i="33"/>
  <c r="I2016" i="33"/>
  <c r="G2016" i="33"/>
  <c r="H2014" i="33"/>
  <c r="G2014" i="33"/>
  <c r="I2012" i="33"/>
  <c r="G2010" i="33"/>
  <c r="I2010" i="33"/>
  <c r="H2010" i="33"/>
  <c r="G2012" i="33"/>
  <c r="H2012" i="33"/>
  <c r="I2004" i="33"/>
  <c r="H2008" i="33"/>
  <c r="I2002" i="33"/>
  <c r="I2008" i="33"/>
  <c r="G2006" i="33"/>
  <c r="G2002" i="33"/>
  <c r="H2006" i="33"/>
  <c r="H2002" i="33"/>
  <c r="I2006" i="33"/>
  <c r="G2008" i="33"/>
  <c r="G2004" i="33"/>
  <c r="H2004" i="33"/>
  <c r="I1573" i="35"/>
  <c r="G1573" i="35"/>
  <c r="H1573" i="35"/>
  <c r="AD1573" i="35"/>
  <c r="G1571" i="35"/>
  <c r="H1571" i="35"/>
  <c r="AD1571" i="35"/>
  <c r="I1571" i="35"/>
  <c r="AD1547" i="35"/>
  <c r="AD1527" i="35"/>
  <c r="AD1521" i="35"/>
  <c r="Y1990" i="33"/>
  <c r="Y1988" i="33"/>
  <c r="Y1986" i="33"/>
  <c r="Y1984" i="33"/>
  <c r="Z1982" i="33"/>
  <c r="Y1981" i="33"/>
  <c r="Y1979" i="33"/>
  <c r="L1571" i="35" l="1"/>
  <c r="V1573" i="35"/>
  <c r="L2043" i="33"/>
  <c r="L2039" i="33"/>
  <c r="L2037" i="33"/>
  <c r="L2035" i="33"/>
  <c r="L2047" i="33"/>
  <c r="L2048" i="33"/>
  <c r="L2045" i="33"/>
  <c r="L1565" i="35"/>
  <c r="L2022" i="33"/>
  <c r="L2014" i="33"/>
  <c r="L2016" i="33"/>
  <c r="L2012" i="33"/>
  <c r="L2010" i="33"/>
  <c r="L2008" i="33"/>
  <c r="L2002" i="33"/>
  <c r="L2004" i="33"/>
  <c r="L2006" i="33"/>
  <c r="W1571" i="35"/>
  <c r="V1571" i="35"/>
  <c r="W1573" i="35"/>
  <c r="L1573" i="35"/>
  <c r="AB2039" i="33"/>
  <c r="AB2035" i="33"/>
  <c r="AB2043" i="33"/>
  <c r="AB2037" i="33"/>
  <c r="AB2016" i="33"/>
  <c r="AB2022" i="33"/>
  <c r="AB2014" i="33"/>
  <c r="AB2010" i="33"/>
  <c r="AB2012" i="33"/>
  <c r="AB2004" i="33"/>
  <c r="AB2002" i="33"/>
  <c r="AB2006" i="33"/>
  <c r="AB2008" i="33"/>
  <c r="AE1519" i="35" l="1"/>
  <c r="Y1519" i="35"/>
  <c r="X1519" i="35"/>
  <c r="U1519" i="35"/>
  <c r="S1519" i="35"/>
  <c r="R1519" i="35"/>
  <c r="Q1519" i="35"/>
  <c r="K1519" i="35"/>
  <c r="F1519" i="35"/>
  <c r="G1990" i="33" l="1"/>
  <c r="G1521" i="35"/>
  <c r="H1979" i="33"/>
  <c r="G1547" i="35"/>
  <c r="H1521" i="35"/>
  <c r="G1981" i="33"/>
  <c r="I1988" i="33"/>
  <c r="H1981" i="33"/>
  <c r="I1547" i="35"/>
  <c r="I1979" i="33"/>
  <c r="I1986" i="33"/>
  <c r="G1986" i="33"/>
  <c r="H1547" i="35"/>
  <c r="G1984" i="33"/>
  <c r="I1990" i="33"/>
  <c r="I1527" i="35"/>
  <c r="G1982" i="33"/>
  <c r="G1988" i="33"/>
  <c r="I1982" i="33"/>
  <c r="I1521" i="35"/>
  <c r="I1984" i="33"/>
  <c r="H1990" i="33"/>
  <c r="H1527" i="35"/>
  <c r="H1988" i="33"/>
  <c r="I1981" i="33"/>
  <c r="G1527" i="35"/>
  <c r="H1982" i="33"/>
  <c r="H1984" i="33"/>
  <c r="H1986" i="33"/>
  <c r="G1979" i="33"/>
  <c r="AD1519" i="35"/>
  <c r="W1547" i="35" l="1"/>
  <c r="W1521" i="35"/>
  <c r="V1527" i="35"/>
  <c r="V1521" i="35"/>
  <c r="W1527" i="35"/>
  <c r="V1547" i="35"/>
  <c r="L1521" i="35"/>
  <c r="L1547" i="35"/>
  <c r="L1527" i="35"/>
  <c r="AE1501" i="35"/>
  <c r="Y1501" i="35"/>
  <c r="X1501" i="35"/>
  <c r="U1501" i="35"/>
  <c r="S1501" i="35"/>
  <c r="R1501" i="35"/>
  <c r="Q1501" i="35"/>
  <c r="K1501" i="35"/>
  <c r="F1501" i="35"/>
  <c r="AE1499" i="35"/>
  <c r="Y1499" i="35"/>
  <c r="X1499" i="35"/>
  <c r="U1499" i="35"/>
  <c r="S1499" i="35"/>
  <c r="R1499" i="35"/>
  <c r="Q1499" i="35"/>
  <c r="K1499" i="35"/>
  <c r="F1499" i="35"/>
  <c r="AD1501" i="35" l="1"/>
  <c r="AD1499" i="35"/>
  <c r="AE1555" i="35" l="1"/>
  <c r="AE1539" i="35" l="1"/>
  <c r="Y1539" i="35"/>
  <c r="X1539" i="35"/>
  <c r="U1539" i="35"/>
  <c r="S1539" i="35"/>
  <c r="R1539" i="35"/>
  <c r="Q1539" i="35"/>
  <c r="K1539" i="35"/>
  <c r="F1539" i="35"/>
  <c r="AE1531" i="35"/>
  <c r="Y1531" i="35"/>
  <c r="X1531" i="35"/>
  <c r="U1531" i="35"/>
  <c r="S1531" i="35"/>
  <c r="R1531" i="35"/>
  <c r="Q1531" i="35"/>
  <c r="K1531" i="35"/>
  <c r="F1531" i="35"/>
  <c r="AD1531" i="35" l="1"/>
  <c r="AD1539" i="35"/>
  <c r="AE1495" i="35"/>
  <c r="Y1495" i="35"/>
  <c r="X1495" i="35"/>
  <c r="U1495" i="35"/>
  <c r="S1495" i="35"/>
  <c r="R1495" i="35"/>
  <c r="Q1495" i="35"/>
  <c r="K1495" i="35"/>
  <c r="F1495" i="35"/>
  <c r="AD1495" i="35" l="1"/>
  <c r="AE1517" i="35" l="1"/>
  <c r="Y1517" i="35"/>
  <c r="X1517" i="35"/>
  <c r="U1517" i="35"/>
  <c r="S1517" i="35"/>
  <c r="R1517" i="35"/>
  <c r="Q1517" i="35"/>
  <c r="K1517" i="35"/>
  <c r="F1517" i="35"/>
  <c r="AD1517" i="35" l="1"/>
  <c r="V1969" i="33" l="1"/>
  <c r="T1969" i="33"/>
  <c r="Y1969" i="33" s="1"/>
  <c r="S1969" i="33"/>
  <c r="R1969" i="33"/>
  <c r="K1969" i="33"/>
  <c r="F1969" i="33"/>
  <c r="V1967" i="33"/>
  <c r="T1967" i="33"/>
  <c r="Z1967" i="33" s="1"/>
  <c r="S1967" i="33"/>
  <c r="R1967" i="33"/>
  <c r="K1967" i="33"/>
  <c r="F1967" i="33"/>
  <c r="V1965" i="33"/>
  <c r="T1965" i="33"/>
  <c r="Z1965" i="33" s="1"/>
  <c r="S1965" i="33"/>
  <c r="R1965" i="33"/>
  <c r="K1965" i="33"/>
  <c r="F1965" i="33"/>
  <c r="V1963" i="33"/>
  <c r="T1963" i="33"/>
  <c r="Z1963" i="33" s="1"/>
  <c r="S1963" i="33"/>
  <c r="R1963" i="33"/>
  <c r="K1963" i="33"/>
  <c r="F1963" i="33"/>
  <c r="V1961" i="33"/>
  <c r="T1961" i="33"/>
  <c r="Z1961" i="33" s="1"/>
  <c r="S1961" i="33"/>
  <c r="R1961" i="33"/>
  <c r="K1961" i="33"/>
  <c r="F1961" i="33"/>
  <c r="V1959" i="33"/>
  <c r="T1959" i="33"/>
  <c r="Z1959" i="33" s="1"/>
  <c r="S1959" i="33"/>
  <c r="R1959" i="33"/>
  <c r="K1959" i="33"/>
  <c r="F1959" i="33"/>
  <c r="Z1969" i="33" l="1"/>
  <c r="Y1967" i="33"/>
  <c r="Y1965" i="33"/>
  <c r="Y1963" i="33"/>
  <c r="Y1961" i="33"/>
  <c r="Y1959" i="33"/>
  <c r="A1010" i="36" l="1"/>
  <c r="AE1549" i="35" l="1"/>
  <c r="Y1549" i="35"/>
  <c r="X1549" i="35"/>
  <c r="U1549" i="35"/>
  <c r="S1549" i="35"/>
  <c r="R1549" i="35"/>
  <c r="Q1549" i="35"/>
  <c r="K1549" i="35"/>
  <c r="F1549" i="35"/>
  <c r="AE1545" i="35"/>
  <c r="Y1545" i="35"/>
  <c r="X1545" i="35"/>
  <c r="U1545" i="35"/>
  <c r="S1545" i="35"/>
  <c r="R1545" i="35"/>
  <c r="Q1545" i="35"/>
  <c r="K1545" i="35"/>
  <c r="F1545" i="35"/>
  <c r="AE1543" i="35"/>
  <c r="Y1543" i="35"/>
  <c r="X1543" i="35"/>
  <c r="U1543" i="35"/>
  <c r="S1543" i="35"/>
  <c r="R1543" i="35"/>
  <c r="Q1543" i="35"/>
  <c r="K1543" i="35"/>
  <c r="F1543" i="35"/>
  <c r="AE1541" i="35"/>
  <c r="Y1541" i="35"/>
  <c r="X1541" i="35"/>
  <c r="U1541" i="35"/>
  <c r="S1541" i="35"/>
  <c r="R1541" i="35"/>
  <c r="Q1541" i="35"/>
  <c r="K1541" i="35"/>
  <c r="F1541" i="35"/>
  <c r="AE1529" i="35"/>
  <c r="Y1529" i="35"/>
  <c r="X1529" i="35"/>
  <c r="U1529" i="35"/>
  <c r="S1529" i="35"/>
  <c r="R1529" i="35"/>
  <c r="Q1529" i="35"/>
  <c r="K1529" i="35"/>
  <c r="F1529" i="35"/>
  <c r="AE1515" i="35"/>
  <c r="Y1515" i="35"/>
  <c r="X1515" i="35"/>
  <c r="U1515" i="35"/>
  <c r="S1515" i="35"/>
  <c r="R1515" i="35"/>
  <c r="Q1515" i="35"/>
  <c r="K1515" i="35"/>
  <c r="F1515" i="35"/>
  <c r="AE1513" i="35"/>
  <c r="Y1513" i="35"/>
  <c r="X1513" i="35"/>
  <c r="U1513" i="35"/>
  <c r="S1513" i="35"/>
  <c r="R1513" i="35"/>
  <c r="Q1513" i="35"/>
  <c r="K1513" i="35"/>
  <c r="F1513" i="35"/>
  <c r="AE1511" i="35"/>
  <c r="Y1511" i="35"/>
  <c r="X1511" i="35"/>
  <c r="U1511" i="35"/>
  <c r="S1511" i="35"/>
  <c r="R1511" i="35"/>
  <c r="Q1511" i="35"/>
  <c r="K1511" i="35"/>
  <c r="F1511" i="35"/>
  <c r="AE1509" i="35"/>
  <c r="Y1509" i="35"/>
  <c r="X1509" i="35"/>
  <c r="U1509" i="35"/>
  <c r="S1509" i="35"/>
  <c r="R1509" i="35"/>
  <c r="Q1509" i="35"/>
  <c r="K1509" i="35"/>
  <c r="F1509" i="35"/>
  <c r="AE1505" i="35"/>
  <c r="Y1505" i="35"/>
  <c r="X1505" i="35"/>
  <c r="U1505" i="35"/>
  <c r="S1505" i="35"/>
  <c r="R1505" i="35"/>
  <c r="Q1505" i="35"/>
  <c r="K1505" i="35"/>
  <c r="F1505" i="35"/>
  <c r="AE1503" i="35"/>
  <c r="Y1503" i="35"/>
  <c r="X1503" i="35"/>
  <c r="U1503" i="35"/>
  <c r="S1503" i="35"/>
  <c r="R1503" i="35"/>
  <c r="Q1503" i="35"/>
  <c r="K1503" i="35"/>
  <c r="F1503" i="35"/>
  <c r="AE1493" i="35"/>
  <c r="Y1493" i="35"/>
  <c r="X1493" i="35"/>
  <c r="U1493" i="35"/>
  <c r="S1493" i="35"/>
  <c r="R1493" i="35"/>
  <c r="Q1493" i="35"/>
  <c r="K1493" i="35"/>
  <c r="F1493" i="35"/>
  <c r="AD1503" i="35" l="1"/>
  <c r="AD1549" i="35"/>
  <c r="AD1545" i="35"/>
  <c r="AD1543" i="35"/>
  <c r="AD1541" i="35"/>
  <c r="AD1529" i="35"/>
  <c r="AD1515" i="35"/>
  <c r="AD1513" i="35"/>
  <c r="AD1511" i="35"/>
  <c r="AD1509" i="35"/>
  <c r="AD1505" i="35"/>
  <c r="AD1493" i="35"/>
  <c r="AE1489" i="35" l="1"/>
  <c r="Y1489" i="35"/>
  <c r="X1489" i="35"/>
  <c r="U1489" i="35"/>
  <c r="S1489" i="35"/>
  <c r="R1489" i="35"/>
  <c r="Q1489" i="35"/>
  <c r="K1489" i="35"/>
  <c r="F1489" i="35"/>
  <c r="AE1491" i="35"/>
  <c r="Y1491" i="35"/>
  <c r="X1491" i="35"/>
  <c r="U1491" i="35"/>
  <c r="S1491" i="35"/>
  <c r="R1491" i="35"/>
  <c r="Q1491" i="35"/>
  <c r="K1491" i="35"/>
  <c r="F1491" i="35"/>
  <c r="A1009" i="36"/>
  <c r="AD1489" i="35" l="1"/>
  <c r="AD1491" i="35"/>
  <c r="A1008" i="36" l="1"/>
  <c r="T1957" i="33" l="1"/>
  <c r="AF1951" i="33" l="1"/>
  <c r="V1951" i="33"/>
  <c r="T1951" i="33"/>
  <c r="Y1951" i="33" s="1"/>
  <c r="S1951" i="33"/>
  <c r="R1951" i="33"/>
  <c r="K1951" i="33"/>
  <c r="F1951" i="33"/>
  <c r="AF1949" i="33"/>
  <c r="V1949" i="33"/>
  <c r="T1949" i="33"/>
  <c r="Z1949" i="33" s="1"/>
  <c r="S1949" i="33"/>
  <c r="R1949" i="33"/>
  <c r="K1949" i="33"/>
  <c r="F1949" i="33"/>
  <c r="AF1947" i="33"/>
  <c r="V1947" i="33"/>
  <c r="T1947" i="33"/>
  <c r="X1947" i="33" s="1"/>
  <c r="S1947" i="33"/>
  <c r="R1947" i="33"/>
  <c r="K1947" i="33"/>
  <c r="F1947" i="33"/>
  <c r="AF1945" i="33"/>
  <c r="V1945" i="33"/>
  <c r="T1945" i="33"/>
  <c r="X1945" i="33" s="1"/>
  <c r="S1945" i="33"/>
  <c r="R1945" i="33"/>
  <c r="K1945" i="33"/>
  <c r="F1945" i="33"/>
  <c r="Y1947" i="33" l="1"/>
  <c r="Z1947" i="33"/>
  <c r="W1949" i="33"/>
  <c r="X1949" i="33"/>
  <c r="Y1945" i="33"/>
  <c r="Z1951" i="33"/>
  <c r="Z1945" i="33"/>
  <c r="W1947" i="33"/>
  <c r="Y1949" i="33"/>
  <c r="W1945" i="33"/>
  <c r="W1951" i="33"/>
  <c r="X1951" i="33"/>
  <c r="AF1943" i="33" l="1"/>
  <c r="V1943" i="33"/>
  <c r="T1943" i="33"/>
  <c r="Z1943" i="33" s="1"/>
  <c r="S1943" i="33"/>
  <c r="R1943" i="33"/>
  <c r="K1943" i="33"/>
  <c r="F1943" i="33"/>
  <c r="AF1906" i="33"/>
  <c r="V1906" i="33"/>
  <c r="T1906" i="33"/>
  <c r="Z1906" i="33" s="1"/>
  <c r="S1906" i="33"/>
  <c r="R1906" i="33"/>
  <c r="K1906" i="33"/>
  <c r="F1906" i="33"/>
  <c r="AF1904" i="33"/>
  <c r="V1904" i="33"/>
  <c r="T1904" i="33"/>
  <c r="Z1904" i="33" s="1"/>
  <c r="S1904" i="33"/>
  <c r="R1904" i="33"/>
  <c r="K1904" i="33"/>
  <c r="F1904" i="33"/>
  <c r="AF1902" i="33"/>
  <c r="V1902" i="33"/>
  <c r="T1902" i="33"/>
  <c r="Z1902" i="33" s="1"/>
  <c r="S1902" i="33"/>
  <c r="R1902" i="33"/>
  <c r="K1902" i="33"/>
  <c r="F1902" i="33"/>
  <c r="AF1900" i="33"/>
  <c r="V1900" i="33"/>
  <c r="T1900" i="33"/>
  <c r="Y1900" i="33" s="1"/>
  <c r="S1900" i="33"/>
  <c r="R1900" i="33"/>
  <c r="K1900" i="33"/>
  <c r="F1900" i="33"/>
  <c r="AF1898" i="33"/>
  <c r="V1898" i="33"/>
  <c r="T1898" i="33"/>
  <c r="X1898" i="33" s="1"/>
  <c r="S1898" i="33"/>
  <c r="R1898" i="33"/>
  <c r="K1898" i="33"/>
  <c r="F1898" i="33"/>
  <c r="Y1943" i="33" l="1"/>
  <c r="W1943" i="33"/>
  <c r="X1943" i="33"/>
  <c r="Y1906" i="33"/>
  <c r="W1906" i="33"/>
  <c r="X1906" i="33"/>
  <c r="W1902" i="33"/>
  <c r="X1902" i="33"/>
  <c r="Y1902" i="33"/>
  <c r="W1904" i="33"/>
  <c r="X1904" i="33"/>
  <c r="Y1904" i="33"/>
  <c r="Y1898" i="33"/>
  <c r="Z1898" i="33"/>
  <c r="W1900" i="33"/>
  <c r="X1900" i="33"/>
  <c r="Z1900" i="33"/>
  <c r="W1898" i="33"/>
  <c r="Y1471" i="35" l="1"/>
  <c r="X1471" i="35"/>
  <c r="W1471" i="35"/>
  <c r="V1471" i="35"/>
  <c r="U1471" i="35"/>
  <c r="S1471" i="35"/>
  <c r="R1471" i="35"/>
  <c r="Q1471" i="35"/>
  <c r="K1471" i="35"/>
  <c r="F1471" i="35"/>
  <c r="Y1469" i="35"/>
  <c r="X1469" i="35"/>
  <c r="W1469" i="35"/>
  <c r="V1469" i="35"/>
  <c r="U1469" i="35"/>
  <c r="S1469" i="35"/>
  <c r="R1469" i="35"/>
  <c r="Q1469" i="35"/>
  <c r="K1469" i="35"/>
  <c r="F1469" i="35"/>
  <c r="Y1467" i="35"/>
  <c r="X1467" i="35"/>
  <c r="W1467" i="35"/>
  <c r="V1467" i="35"/>
  <c r="U1467" i="35"/>
  <c r="S1467" i="35"/>
  <c r="R1467" i="35"/>
  <c r="Q1467" i="35"/>
  <c r="K1467" i="35"/>
  <c r="F1467" i="35"/>
  <c r="AF1955" i="33"/>
  <c r="V1955" i="33"/>
  <c r="T1955" i="33"/>
  <c r="Z1955" i="33" s="1"/>
  <c r="S1955" i="33"/>
  <c r="R1955" i="33"/>
  <c r="K1955" i="33"/>
  <c r="F1955" i="33"/>
  <c r="W1955" i="33" l="1"/>
  <c r="X1955" i="33"/>
  <c r="Y1955" i="33"/>
  <c r="AF1941" i="33" l="1"/>
  <c r="V1941" i="33"/>
  <c r="T1941" i="33"/>
  <c r="Z1941" i="33" s="1"/>
  <c r="S1941" i="33"/>
  <c r="R1941" i="33"/>
  <c r="K1941" i="33"/>
  <c r="F1941" i="33"/>
  <c r="AF1939" i="33"/>
  <c r="V1939" i="33"/>
  <c r="T1939" i="33"/>
  <c r="Z1939" i="33" s="1"/>
  <c r="S1939" i="33"/>
  <c r="R1939" i="33"/>
  <c r="K1939" i="33"/>
  <c r="F1939" i="33"/>
  <c r="AF1937" i="33"/>
  <c r="V1937" i="33"/>
  <c r="T1937" i="33"/>
  <c r="Z1937" i="33" s="1"/>
  <c r="S1937" i="33"/>
  <c r="R1937" i="33"/>
  <c r="K1937" i="33"/>
  <c r="F1937" i="33"/>
  <c r="AF1935" i="33"/>
  <c r="V1935" i="33"/>
  <c r="T1935" i="33"/>
  <c r="Z1935" i="33" s="1"/>
  <c r="S1935" i="33"/>
  <c r="R1935" i="33"/>
  <c r="K1935" i="33"/>
  <c r="F1935" i="33"/>
  <c r="AF1933" i="33"/>
  <c r="V1933" i="33"/>
  <c r="T1933" i="33"/>
  <c r="X1933" i="33" s="1"/>
  <c r="S1933" i="33"/>
  <c r="R1933" i="33"/>
  <c r="K1933" i="33"/>
  <c r="F1933" i="33"/>
  <c r="AF1931" i="33"/>
  <c r="V1931" i="33"/>
  <c r="T1931" i="33"/>
  <c r="X1931" i="33" s="1"/>
  <c r="S1931" i="33"/>
  <c r="R1931" i="33"/>
  <c r="K1931" i="33"/>
  <c r="F1931" i="33"/>
  <c r="AF1929" i="33"/>
  <c r="V1929" i="33"/>
  <c r="T1929" i="33"/>
  <c r="Z1929" i="33" s="1"/>
  <c r="S1929" i="33"/>
  <c r="R1929" i="33"/>
  <c r="K1929" i="33"/>
  <c r="F1929" i="33"/>
  <c r="AF1927" i="33"/>
  <c r="V1927" i="33"/>
  <c r="T1927" i="33"/>
  <c r="Z1927" i="33" s="1"/>
  <c r="S1927" i="33"/>
  <c r="R1927" i="33"/>
  <c r="K1927" i="33"/>
  <c r="F1927" i="33"/>
  <c r="W1941" i="33" l="1"/>
  <c r="X1941" i="33"/>
  <c r="Y1941" i="33"/>
  <c r="W1939" i="33"/>
  <c r="X1939" i="33"/>
  <c r="Y1939" i="33"/>
  <c r="Y1937" i="33"/>
  <c r="W1937" i="33"/>
  <c r="X1937" i="33"/>
  <c r="W1935" i="33"/>
  <c r="X1935" i="33"/>
  <c r="Y1935" i="33"/>
  <c r="Y1933" i="33"/>
  <c r="Z1933" i="33"/>
  <c r="W1933" i="33"/>
  <c r="Y1931" i="33"/>
  <c r="Z1931" i="33"/>
  <c r="W1931" i="33"/>
  <c r="W1929" i="33"/>
  <c r="X1929" i="33"/>
  <c r="Y1929" i="33"/>
  <c r="W1927" i="33"/>
  <c r="X1927" i="33"/>
  <c r="Y1927" i="33"/>
  <c r="AF1925" i="33"/>
  <c r="V1925" i="33"/>
  <c r="T1925" i="33"/>
  <c r="Z1925" i="33" s="1"/>
  <c r="S1925" i="33"/>
  <c r="R1925" i="33"/>
  <c r="K1925" i="33"/>
  <c r="F1925" i="33"/>
  <c r="AF1924" i="33"/>
  <c r="V1924" i="33"/>
  <c r="T1924" i="33"/>
  <c r="Z1924" i="33" s="1"/>
  <c r="S1924" i="33"/>
  <c r="R1924" i="33"/>
  <c r="K1924" i="33"/>
  <c r="F1924" i="33"/>
  <c r="AF1922" i="33"/>
  <c r="V1922" i="33"/>
  <c r="T1922" i="33"/>
  <c r="Z1922" i="33" s="1"/>
  <c r="S1922" i="33"/>
  <c r="R1922" i="33"/>
  <c r="K1922" i="33"/>
  <c r="F1922" i="33"/>
  <c r="W1925" i="33" l="1"/>
  <c r="X1925" i="33"/>
  <c r="Y1925" i="33"/>
  <c r="W1924" i="33"/>
  <c r="X1924" i="33"/>
  <c r="Y1924" i="33"/>
  <c r="W1922" i="33"/>
  <c r="X1922" i="33"/>
  <c r="Y1922" i="33"/>
  <c r="AF1896" i="33"/>
  <c r="V1896" i="33"/>
  <c r="T1896" i="33"/>
  <c r="X1896" i="33" s="1"/>
  <c r="S1896" i="33"/>
  <c r="R1896" i="33"/>
  <c r="K1896" i="33"/>
  <c r="F1896" i="33"/>
  <c r="AF1920" i="33"/>
  <c r="V1920" i="33"/>
  <c r="T1920" i="33"/>
  <c r="Z1920" i="33" s="1"/>
  <c r="S1920" i="33"/>
  <c r="R1920" i="33"/>
  <c r="K1920" i="33"/>
  <c r="F1920" i="33"/>
  <c r="AF1918" i="33"/>
  <c r="V1918" i="33"/>
  <c r="T1918" i="33"/>
  <c r="Z1918" i="33" s="1"/>
  <c r="S1918" i="33"/>
  <c r="R1918" i="33"/>
  <c r="K1918" i="33"/>
  <c r="F1918" i="33"/>
  <c r="AF1908" i="33"/>
  <c r="V1908" i="33"/>
  <c r="T1908" i="33"/>
  <c r="Z1908" i="33" s="1"/>
  <c r="S1908" i="33"/>
  <c r="R1908" i="33"/>
  <c r="K1908" i="33"/>
  <c r="F1908" i="33"/>
  <c r="AF1894" i="33"/>
  <c r="V1894" i="33"/>
  <c r="T1894" i="33"/>
  <c r="Z1894" i="33" s="1"/>
  <c r="S1894" i="33"/>
  <c r="R1894" i="33"/>
  <c r="K1894" i="33"/>
  <c r="F1894" i="33"/>
  <c r="AF1892" i="33"/>
  <c r="V1892" i="33"/>
  <c r="T1892" i="33"/>
  <c r="Z1892" i="33" s="1"/>
  <c r="S1892" i="33"/>
  <c r="R1892" i="33"/>
  <c r="K1892" i="33"/>
  <c r="F1892" i="33"/>
  <c r="AF1890" i="33"/>
  <c r="V1890" i="33"/>
  <c r="T1890" i="33"/>
  <c r="Z1890" i="33" s="1"/>
  <c r="S1890" i="33"/>
  <c r="R1890" i="33"/>
  <c r="K1890" i="33"/>
  <c r="F1890" i="33"/>
  <c r="V1888" i="33"/>
  <c r="AF1888" i="33"/>
  <c r="T1888" i="33"/>
  <c r="Z1888" i="33" s="1"/>
  <c r="S1888" i="33"/>
  <c r="R1888" i="33"/>
  <c r="K1888" i="33"/>
  <c r="F1888" i="33"/>
  <c r="Y1896" i="33" l="1"/>
  <c r="Z1896" i="33"/>
  <c r="W1896" i="33"/>
  <c r="Y1920" i="33"/>
  <c r="W1920" i="33"/>
  <c r="X1920" i="33"/>
  <c r="W1918" i="33"/>
  <c r="X1918" i="33"/>
  <c r="Y1918" i="33"/>
  <c r="W1908" i="33"/>
  <c r="X1908" i="33"/>
  <c r="Y1908" i="33"/>
  <c r="W1894" i="33"/>
  <c r="X1894" i="33"/>
  <c r="Y1894" i="33"/>
  <c r="W1892" i="33"/>
  <c r="X1892" i="33"/>
  <c r="Y1892" i="33"/>
  <c r="X1890" i="33"/>
  <c r="W1890" i="33"/>
  <c r="Y1890" i="33"/>
  <c r="X1888" i="33"/>
  <c r="Y1888" i="33"/>
  <c r="W1888" i="33"/>
  <c r="V1880" i="33" l="1"/>
  <c r="T1880" i="33"/>
  <c r="Z1880" i="33" s="1"/>
  <c r="S1880" i="33"/>
  <c r="R1880" i="33"/>
  <c r="K1880" i="33"/>
  <c r="F1880" i="33"/>
  <c r="V1878" i="33"/>
  <c r="T1878" i="33"/>
  <c r="Z1878" i="33" s="1"/>
  <c r="K1878" i="33"/>
  <c r="F1878" i="33"/>
  <c r="V1877" i="33"/>
  <c r="T1877" i="33"/>
  <c r="Y1877" i="33" s="1"/>
  <c r="S1877" i="33"/>
  <c r="R1877" i="33"/>
  <c r="K1877" i="33"/>
  <c r="F1877" i="33"/>
  <c r="Y1878" i="33" l="1"/>
  <c r="Y1880" i="33"/>
  <c r="Z1877" i="33"/>
  <c r="Z1858" i="33"/>
  <c r="Y1858" i="33"/>
  <c r="X1858" i="33"/>
  <c r="W1858" i="33"/>
  <c r="V1858" i="33"/>
  <c r="T1858" i="33"/>
  <c r="S1858" i="33"/>
  <c r="R1858" i="33"/>
  <c r="L1858" i="33"/>
  <c r="K1858" i="33"/>
  <c r="I1858" i="33"/>
  <c r="H1858" i="33"/>
  <c r="G1858" i="33"/>
  <c r="F1858" i="33"/>
  <c r="V1857" i="33"/>
  <c r="T1857" i="33"/>
  <c r="Z1857" i="33" s="1"/>
  <c r="S1857" i="33"/>
  <c r="R1857" i="33"/>
  <c r="K1857" i="33"/>
  <c r="F1857" i="33"/>
  <c r="V1855" i="33"/>
  <c r="T1855" i="33"/>
  <c r="Z1855" i="33" s="1"/>
  <c r="S1855" i="33"/>
  <c r="R1855" i="33"/>
  <c r="K1855" i="33"/>
  <c r="F1855" i="33"/>
  <c r="Y1855" i="33" l="1"/>
  <c r="Y1857" i="33"/>
  <c r="AE1453" i="35" l="1"/>
  <c r="Y1453" i="35"/>
  <c r="X1453" i="35"/>
  <c r="U1453" i="35"/>
  <c r="S1453" i="35"/>
  <c r="R1453" i="35"/>
  <c r="Q1453" i="35"/>
  <c r="K1453" i="35"/>
  <c r="F1453" i="35"/>
  <c r="H1519" i="35" l="1"/>
  <c r="I1519" i="35"/>
  <c r="G1519" i="35"/>
  <c r="I1501" i="35"/>
  <c r="G1499" i="35"/>
  <c r="H1499" i="35"/>
  <c r="G1501" i="35"/>
  <c r="H1501" i="35"/>
  <c r="I1499" i="35"/>
  <c r="I1539" i="35"/>
  <c r="H1531" i="35"/>
  <c r="G1539" i="35"/>
  <c r="G1531" i="35"/>
  <c r="H1539" i="35"/>
  <c r="I1531" i="35"/>
  <c r="G1495" i="35"/>
  <c r="I1495" i="35"/>
  <c r="H1495" i="35"/>
  <c r="G1949" i="33"/>
  <c r="G1517" i="35"/>
  <c r="H1517" i="35"/>
  <c r="I1517" i="35"/>
  <c r="G1961" i="33"/>
  <c r="G1965" i="33"/>
  <c r="H1965" i="33"/>
  <c r="I1965" i="33"/>
  <c r="I1969" i="33"/>
  <c r="H1969" i="33"/>
  <c r="I1963" i="33"/>
  <c r="G1959" i="33"/>
  <c r="H1959" i="33"/>
  <c r="G1969" i="33"/>
  <c r="H1961" i="33"/>
  <c r="H1967" i="33"/>
  <c r="I1967" i="33"/>
  <c r="G1963" i="33"/>
  <c r="I1959" i="33"/>
  <c r="H1963" i="33"/>
  <c r="G1967" i="33"/>
  <c r="I1961" i="33"/>
  <c r="H1549" i="35"/>
  <c r="I1541" i="35"/>
  <c r="I1515" i="35"/>
  <c r="I1511" i="35"/>
  <c r="H1493" i="35"/>
  <c r="I1545" i="35"/>
  <c r="I1493" i="35"/>
  <c r="G1529" i="35"/>
  <c r="H1509" i="35"/>
  <c r="I1509" i="35"/>
  <c r="G1511" i="35"/>
  <c r="H1511" i="35"/>
  <c r="I1549" i="35"/>
  <c r="G1543" i="35"/>
  <c r="H1513" i="35"/>
  <c r="I1513" i="35"/>
  <c r="I1529" i="35"/>
  <c r="G1513" i="35"/>
  <c r="I1505" i="35"/>
  <c r="H1503" i="35"/>
  <c r="H1545" i="35"/>
  <c r="H1515" i="35"/>
  <c r="G1493" i="35"/>
  <c r="G1549" i="35"/>
  <c r="H1543" i="35"/>
  <c r="G1509" i="35"/>
  <c r="G1503" i="35"/>
  <c r="G1541" i="35"/>
  <c r="G1545" i="35"/>
  <c r="G1505" i="35"/>
  <c r="H1505" i="35"/>
  <c r="H1529" i="35"/>
  <c r="I1503" i="35"/>
  <c r="I1543" i="35"/>
  <c r="G1515" i="35"/>
  <c r="H1541" i="35"/>
  <c r="I1491" i="35"/>
  <c r="G1489" i="35"/>
  <c r="H1489" i="35"/>
  <c r="I1489" i="35"/>
  <c r="G1491" i="35"/>
  <c r="H1491" i="35"/>
  <c r="I1951" i="33"/>
  <c r="G1947" i="33"/>
  <c r="I1947" i="33"/>
  <c r="H1951" i="33"/>
  <c r="H1947" i="33"/>
  <c r="H1945" i="33"/>
  <c r="I1945" i="33"/>
  <c r="G1951" i="33"/>
  <c r="H1949" i="33"/>
  <c r="G1945" i="33"/>
  <c r="I1949" i="33"/>
  <c r="I1900" i="33"/>
  <c r="G1902" i="33"/>
  <c r="G1898" i="33"/>
  <c r="H1902" i="33"/>
  <c r="H1898" i="33"/>
  <c r="I1898" i="33"/>
  <c r="I1906" i="33"/>
  <c r="G1906" i="33"/>
  <c r="G1904" i="33"/>
  <c r="H1943" i="33"/>
  <c r="I1943" i="33"/>
  <c r="G1943" i="33"/>
  <c r="I1904" i="33"/>
  <c r="H1906" i="33"/>
  <c r="G1900" i="33"/>
  <c r="I1902" i="33"/>
  <c r="H1904" i="33"/>
  <c r="H1900" i="33"/>
  <c r="G1469" i="35"/>
  <c r="G1467" i="35"/>
  <c r="G1471" i="35"/>
  <c r="I1955" i="33"/>
  <c r="H1471" i="35"/>
  <c r="I1471" i="35"/>
  <c r="G1955" i="33"/>
  <c r="H1469" i="35"/>
  <c r="H1955" i="33"/>
  <c r="I1469" i="35"/>
  <c r="I1467" i="35"/>
  <c r="H1467" i="35"/>
  <c r="H1941" i="33"/>
  <c r="G1937" i="33"/>
  <c r="I1933" i="33"/>
  <c r="H1937" i="33"/>
  <c r="G1939" i="33"/>
  <c r="H1935" i="33"/>
  <c r="G1931" i="33"/>
  <c r="H1931" i="33"/>
  <c r="I1931" i="33"/>
  <c r="G1927" i="33"/>
  <c r="I1939" i="33"/>
  <c r="H1939" i="33"/>
  <c r="G1941" i="33"/>
  <c r="I1937" i="33"/>
  <c r="G1935" i="33"/>
  <c r="H1927" i="33"/>
  <c r="I1927" i="33"/>
  <c r="H1933" i="33"/>
  <c r="I1941" i="33"/>
  <c r="G1933" i="33"/>
  <c r="G1929" i="33"/>
  <c r="I1935" i="33"/>
  <c r="H1929" i="33"/>
  <c r="I1929" i="33"/>
  <c r="I1925" i="33"/>
  <c r="G1924" i="33"/>
  <c r="I1922" i="33"/>
  <c r="I1924" i="33"/>
  <c r="H1924" i="33"/>
  <c r="G1922" i="33"/>
  <c r="H1922" i="33"/>
  <c r="G1925" i="33"/>
  <c r="H1925" i="33"/>
  <c r="I1894" i="33"/>
  <c r="G1896" i="33"/>
  <c r="H1892" i="33"/>
  <c r="I1896" i="33"/>
  <c r="G1888" i="33"/>
  <c r="G1918" i="33"/>
  <c r="H1888" i="33"/>
  <c r="H1918" i="33"/>
  <c r="G1890" i="33"/>
  <c r="I1908" i="33"/>
  <c r="G1908" i="33"/>
  <c r="H1908" i="33"/>
  <c r="H1896" i="33"/>
  <c r="H1894" i="33"/>
  <c r="H1890" i="33"/>
  <c r="I1892" i="33"/>
  <c r="I1920" i="33"/>
  <c r="I1890" i="33"/>
  <c r="G1894" i="33"/>
  <c r="I1918" i="33"/>
  <c r="I1888" i="33"/>
  <c r="G1920" i="33"/>
  <c r="H1920" i="33"/>
  <c r="G1892" i="33"/>
  <c r="G1880" i="33"/>
  <c r="G1877" i="33"/>
  <c r="I1878" i="33"/>
  <c r="I1877" i="33"/>
  <c r="H1880" i="33"/>
  <c r="G1878" i="33"/>
  <c r="H1878" i="33"/>
  <c r="H1877" i="33"/>
  <c r="I1880" i="33"/>
  <c r="I1857" i="33"/>
  <c r="H1855" i="33"/>
  <c r="I1855" i="33"/>
  <c r="G1855" i="33"/>
  <c r="G1857" i="33"/>
  <c r="H1857" i="33"/>
  <c r="AD1453" i="35"/>
  <c r="W1519" i="35" l="1"/>
  <c r="V1519" i="35"/>
  <c r="V1499" i="35"/>
  <c r="V1501" i="35"/>
  <c r="W1501" i="35"/>
  <c r="W1499" i="35"/>
  <c r="W1531" i="35"/>
  <c r="V1531" i="35"/>
  <c r="V1539" i="35"/>
  <c r="W1539" i="35"/>
  <c r="V1495" i="35"/>
  <c r="W1495" i="35"/>
  <c r="V1517" i="35"/>
  <c r="W1517" i="35"/>
  <c r="W1961" i="33"/>
  <c r="X1961" i="33"/>
  <c r="W1545" i="35"/>
  <c r="V1513" i="35"/>
  <c r="W1509" i="35"/>
  <c r="V1529" i="35"/>
  <c r="W1513" i="35"/>
  <c r="W1541" i="35"/>
  <c r="W1493" i="35"/>
  <c r="W1511" i="35"/>
  <c r="W1529" i="35"/>
  <c r="V1545" i="35"/>
  <c r="V1541" i="35"/>
  <c r="V1511" i="35"/>
  <c r="V1543" i="35"/>
  <c r="W1515" i="35"/>
  <c r="W1549" i="35"/>
  <c r="V1509" i="35"/>
  <c r="V1503" i="35"/>
  <c r="W1543" i="35"/>
  <c r="W1503" i="35"/>
  <c r="V1515" i="35"/>
  <c r="V1493" i="35"/>
  <c r="W1505" i="35"/>
  <c r="V1505" i="35"/>
  <c r="V1549" i="35"/>
  <c r="V1491" i="35"/>
  <c r="W1491" i="35"/>
  <c r="V1489" i="35"/>
  <c r="AB1945" i="33"/>
  <c r="AB1947" i="33"/>
  <c r="AB1951" i="33"/>
  <c r="AB1902" i="33"/>
  <c r="AB1898" i="33"/>
  <c r="AB1900" i="33"/>
  <c r="AB1906" i="33"/>
  <c r="AB1904" i="33"/>
  <c r="AB1943" i="33"/>
  <c r="AB1955" i="33"/>
  <c r="AB1941" i="33"/>
  <c r="AB1937" i="33"/>
  <c r="AB1935" i="33"/>
  <c r="AB1939" i="33"/>
  <c r="AB1925" i="33"/>
  <c r="AB1892" i="33"/>
  <c r="AB1894" i="33"/>
  <c r="AB1890" i="33"/>
  <c r="AB1920" i="33"/>
  <c r="AB1908" i="33"/>
  <c r="AB1888" i="33"/>
  <c r="AB1896" i="33"/>
  <c r="AB1918" i="33"/>
  <c r="X1880" i="33"/>
  <c r="W1880" i="33"/>
  <c r="AB1858" i="33"/>
  <c r="L1519" i="35"/>
  <c r="L1499" i="35"/>
  <c r="L1501" i="35"/>
  <c r="L1539" i="35"/>
  <c r="L1531" i="35"/>
  <c r="L1495" i="35"/>
  <c r="L1517" i="35"/>
  <c r="L1961" i="33"/>
  <c r="L1963" i="33"/>
  <c r="L1549" i="35"/>
  <c r="L1493" i="35"/>
  <c r="L1509" i="35"/>
  <c r="L1545" i="35"/>
  <c r="L1513" i="35"/>
  <c r="L1515" i="35"/>
  <c r="L1541" i="35"/>
  <c r="L1529" i="35"/>
  <c r="L1503" i="35"/>
  <c r="L1511" i="35"/>
  <c r="L1543" i="35"/>
  <c r="L1505" i="35"/>
  <c r="L1491" i="35"/>
  <c r="L1489" i="35"/>
  <c r="L1949" i="33"/>
  <c r="L1945" i="33"/>
  <c r="L1947" i="33"/>
  <c r="L1951" i="33"/>
  <c r="L1898" i="33"/>
  <c r="L1902" i="33"/>
  <c r="L1943" i="33"/>
  <c r="L1904" i="33"/>
  <c r="L1906" i="33"/>
  <c r="L1900" i="33"/>
  <c r="L1467" i="35"/>
  <c r="L1955" i="33"/>
  <c r="L1471" i="35"/>
  <c r="L1469" i="35"/>
  <c r="L1931" i="33"/>
  <c r="L1929" i="33"/>
  <c r="L1933" i="33"/>
  <c r="L1927" i="33"/>
  <c r="L1937" i="33"/>
  <c r="L1939" i="33"/>
  <c r="L1941" i="33"/>
  <c r="L1935" i="33"/>
  <c r="L1925" i="33"/>
  <c r="L1922" i="33"/>
  <c r="L1924" i="33"/>
  <c r="L1894" i="33"/>
  <c r="L1918" i="33"/>
  <c r="L1890" i="33"/>
  <c r="L1896" i="33"/>
  <c r="L1920" i="33"/>
  <c r="L1908" i="33"/>
  <c r="L1892" i="33"/>
  <c r="L1888" i="33"/>
  <c r="L1880" i="33"/>
  <c r="W1963" i="33"/>
  <c r="X1963" i="33"/>
  <c r="W1857" i="33"/>
  <c r="X1857" i="33"/>
  <c r="AE1455" i="35"/>
  <c r="Y1455" i="35"/>
  <c r="X1455" i="35"/>
  <c r="S1455" i="35"/>
  <c r="R1455" i="35"/>
  <c r="Q1455" i="35"/>
  <c r="K1455" i="35"/>
  <c r="F1455" i="35"/>
  <c r="W1455" i="35" s="1"/>
  <c r="AE1419" i="35"/>
  <c r="Y1419" i="35"/>
  <c r="X1419" i="35"/>
  <c r="U1419" i="35"/>
  <c r="S1419" i="35"/>
  <c r="R1419" i="35"/>
  <c r="Q1419" i="35"/>
  <c r="K1419" i="35"/>
  <c r="F1419" i="35"/>
  <c r="AE1417" i="35"/>
  <c r="Y1417" i="35"/>
  <c r="X1417" i="35"/>
  <c r="U1417" i="35"/>
  <c r="S1417" i="35"/>
  <c r="R1417" i="35"/>
  <c r="Q1417" i="35"/>
  <c r="K1417" i="35"/>
  <c r="F1417" i="35"/>
  <c r="AE1415" i="35"/>
  <c r="Y1415" i="35"/>
  <c r="X1415" i="35"/>
  <c r="U1415" i="35"/>
  <c r="S1415" i="35"/>
  <c r="R1415" i="35"/>
  <c r="Q1415" i="35"/>
  <c r="K1415" i="35"/>
  <c r="F1415" i="35"/>
  <c r="AE1413" i="35"/>
  <c r="Y1413" i="35"/>
  <c r="X1413" i="35"/>
  <c r="U1413" i="35"/>
  <c r="S1413" i="35"/>
  <c r="R1413" i="35"/>
  <c r="Q1413" i="35"/>
  <c r="K1413" i="35"/>
  <c r="F1413" i="35"/>
  <c r="F1421" i="35"/>
  <c r="K1421" i="35"/>
  <c r="Q1421" i="35"/>
  <c r="R1421" i="35"/>
  <c r="S1421" i="35"/>
  <c r="U1421" i="35"/>
  <c r="X1421" i="35"/>
  <c r="Y1421" i="35"/>
  <c r="AE1421" i="35"/>
  <c r="F1423" i="35"/>
  <c r="K1423" i="35"/>
  <c r="Q1423" i="35"/>
  <c r="R1423" i="35"/>
  <c r="S1423" i="35"/>
  <c r="U1423" i="35"/>
  <c r="X1423" i="35"/>
  <c r="Y1423" i="35"/>
  <c r="AE1423" i="35"/>
  <c r="F1425" i="35"/>
  <c r="K1425" i="35"/>
  <c r="Q1425" i="35"/>
  <c r="R1425" i="35"/>
  <c r="S1425" i="35"/>
  <c r="U1425" i="35"/>
  <c r="X1425" i="35"/>
  <c r="Y1425" i="35"/>
  <c r="AE1425" i="35"/>
  <c r="F1429" i="35"/>
  <c r="K1429" i="35"/>
  <c r="Q1429" i="35"/>
  <c r="R1429" i="35"/>
  <c r="S1429" i="35"/>
  <c r="U1429" i="35"/>
  <c r="X1429" i="35"/>
  <c r="Y1429" i="35"/>
  <c r="AE1429" i="35"/>
  <c r="I1455" i="35" l="1"/>
  <c r="L1455" i="35"/>
  <c r="G1455" i="35"/>
  <c r="H1455" i="35"/>
  <c r="AD1455" i="35"/>
  <c r="AF1455" i="35" s="1"/>
  <c r="AG1455" i="35" s="1"/>
  <c r="V1455" i="35"/>
  <c r="AD1423" i="35"/>
  <c r="AD1425" i="35"/>
  <c r="AD1413" i="35"/>
  <c r="AD1419" i="35"/>
  <c r="AD1417" i="35"/>
  <c r="AD1415" i="35"/>
  <c r="AD1429" i="35"/>
  <c r="AD1421" i="35"/>
  <c r="AF1816" i="33" l="1"/>
  <c r="V1816" i="33"/>
  <c r="T1816" i="33"/>
  <c r="Z1816" i="33" s="1"/>
  <c r="S1816" i="33"/>
  <c r="R1816" i="33"/>
  <c r="K1816" i="33"/>
  <c r="F1816" i="33"/>
  <c r="AF1814" i="33"/>
  <c r="V1814" i="33"/>
  <c r="T1814" i="33"/>
  <c r="Z1814" i="33" s="1"/>
  <c r="S1814" i="33"/>
  <c r="R1814" i="33"/>
  <c r="K1814" i="33"/>
  <c r="F1814" i="33"/>
  <c r="AF1812" i="33"/>
  <c r="V1812" i="33"/>
  <c r="T1812" i="33"/>
  <c r="X1812" i="33" s="1"/>
  <c r="S1812" i="33"/>
  <c r="R1812" i="33"/>
  <c r="K1812" i="33"/>
  <c r="F1812" i="33"/>
  <c r="W1816" i="33" l="1"/>
  <c r="X1816" i="33"/>
  <c r="Y1816" i="33"/>
  <c r="Y1812" i="33"/>
  <c r="W1814" i="33"/>
  <c r="X1814" i="33"/>
  <c r="Y1814" i="33"/>
  <c r="Z1812" i="33"/>
  <c r="W1812" i="33"/>
  <c r="V1875" i="33" l="1"/>
  <c r="T1875" i="33"/>
  <c r="K1875" i="33"/>
  <c r="F1875" i="33"/>
  <c r="V1874" i="33"/>
  <c r="T1874" i="33"/>
  <c r="S1874" i="33"/>
  <c r="R1874" i="33"/>
  <c r="K1874" i="33"/>
  <c r="F1874" i="33"/>
  <c r="V1872" i="33"/>
  <c r="T1872" i="33"/>
  <c r="S1872" i="33"/>
  <c r="R1872" i="33"/>
  <c r="K1872" i="33"/>
  <c r="F1872" i="33"/>
  <c r="V1870" i="33"/>
  <c r="T1870" i="33"/>
  <c r="S1870" i="33"/>
  <c r="R1870" i="33"/>
  <c r="K1870" i="33"/>
  <c r="F1870" i="33"/>
  <c r="V1868" i="33"/>
  <c r="T1868" i="33"/>
  <c r="S1868" i="33"/>
  <c r="R1868" i="33"/>
  <c r="K1868" i="33"/>
  <c r="F1868" i="33"/>
  <c r="V1866" i="33"/>
  <c r="T1866" i="33"/>
  <c r="S1866" i="33"/>
  <c r="R1866" i="33"/>
  <c r="K1866" i="33"/>
  <c r="F1866" i="33"/>
  <c r="V1864" i="33"/>
  <c r="T1864" i="33"/>
  <c r="K1864" i="33"/>
  <c r="F1864" i="33"/>
  <c r="V1863" i="33"/>
  <c r="T1863" i="33"/>
  <c r="S1863" i="33"/>
  <c r="R1863" i="33"/>
  <c r="K1863" i="33"/>
  <c r="F1863" i="33"/>
  <c r="V1861" i="33"/>
  <c r="T1861" i="33"/>
  <c r="S1861" i="33"/>
  <c r="R1861" i="33"/>
  <c r="K1861" i="33"/>
  <c r="F1861" i="33"/>
  <c r="V1859" i="33"/>
  <c r="T1859" i="33"/>
  <c r="S1859" i="33"/>
  <c r="R1859" i="33"/>
  <c r="K1859" i="33"/>
  <c r="F1859" i="33"/>
  <c r="A1007" i="36"/>
  <c r="A1006" i="36"/>
  <c r="A1005" i="36"/>
  <c r="A1004" i="36"/>
  <c r="Z1868" i="33" l="1"/>
  <c r="Z1872" i="33"/>
  <c r="Z1874" i="33"/>
  <c r="Z1866" i="33"/>
  <c r="Z1870" i="33"/>
  <c r="Y1875" i="33"/>
  <c r="Z1863" i="33"/>
  <c r="Z1864" i="33"/>
  <c r="Z1861" i="33"/>
  <c r="Z1859" i="33"/>
  <c r="Z1875" i="33"/>
  <c r="Y1874" i="33"/>
  <c r="Y1872" i="33"/>
  <c r="Y1870" i="33"/>
  <c r="Y1868" i="33"/>
  <c r="Y1866" i="33"/>
  <c r="Y1864" i="33"/>
  <c r="Y1863" i="33"/>
  <c r="Y1861" i="33"/>
  <c r="Y1859" i="33"/>
  <c r="A1003" i="36"/>
  <c r="A1002" i="36"/>
  <c r="A1001" i="36"/>
  <c r="A1000" i="36"/>
  <c r="A999" i="36"/>
  <c r="A998" i="36"/>
  <c r="A997" i="36"/>
  <c r="A996" i="36"/>
  <c r="A992" i="36" l="1"/>
  <c r="A995" i="36"/>
  <c r="A994" i="36"/>
  <c r="A993" i="36"/>
  <c r="A979" i="36"/>
  <c r="A980" i="36"/>
  <c r="A981" i="36"/>
  <c r="A982" i="36"/>
  <c r="A983" i="36"/>
  <c r="A984" i="36"/>
  <c r="A985" i="36"/>
  <c r="A986" i="36"/>
  <c r="A987" i="36"/>
  <c r="A988" i="36"/>
  <c r="A989" i="36"/>
  <c r="A990" i="36"/>
  <c r="A991" i="36"/>
  <c r="I1453" i="35" l="1"/>
  <c r="G1453" i="35"/>
  <c r="H1453" i="35"/>
  <c r="I1423" i="35"/>
  <c r="I1421" i="35"/>
  <c r="G1419" i="35"/>
  <c r="G1413" i="35"/>
  <c r="I1419" i="35"/>
  <c r="I1429" i="35"/>
  <c r="G1423" i="35"/>
  <c r="G1417" i="35"/>
  <c r="H1429" i="35"/>
  <c r="H1417" i="35"/>
  <c r="H1423" i="35"/>
  <c r="H1419" i="35"/>
  <c r="H1425" i="35"/>
  <c r="H1413" i="35"/>
  <c r="H1415" i="35"/>
  <c r="I1425" i="35"/>
  <c r="G1415" i="35"/>
  <c r="G1425" i="35"/>
  <c r="I1413" i="35"/>
  <c r="I1417" i="35"/>
  <c r="H1421" i="35"/>
  <c r="I1415" i="35"/>
  <c r="G1421" i="35"/>
  <c r="G1429" i="35"/>
  <c r="I1814" i="33"/>
  <c r="H1816" i="33"/>
  <c r="G1814" i="33"/>
  <c r="H1812" i="33"/>
  <c r="I1816" i="33"/>
  <c r="H1814" i="33"/>
  <c r="G1812" i="33"/>
  <c r="I1812" i="33"/>
  <c r="G1816" i="33"/>
  <c r="I1866" i="33"/>
  <c r="H1872" i="33"/>
  <c r="H1874" i="33"/>
  <c r="H1866" i="33"/>
  <c r="H1859" i="33"/>
  <c r="I1870" i="33"/>
  <c r="I1875" i="33"/>
  <c r="I1874" i="33"/>
  <c r="G1872" i="33"/>
  <c r="H1864" i="33"/>
  <c r="I1864" i="33"/>
  <c r="H1868" i="33"/>
  <c r="I1872" i="33"/>
  <c r="G1864" i="33"/>
  <c r="G1875" i="33"/>
  <c r="G1874" i="33"/>
  <c r="G1859" i="33"/>
  <c r="I1859" i="33"/>
  <c r="I1868" i="33"/>
  <c r="H1875" i="33"/>
  <c r="G1866" i="33"/>
  <c r="I1863" i="33"/>
  <c r="G1870" i="33"/>
  <c r="G1863" i="33"/>
  <c r="H1870" i="33"/>
  <c r="H1863" i="33"/>
  <c r="G1868" i="33"/>
  <c r="H1861" i="33"/>
  <c r="G1861" i="33"/>
  <c r="I1861" i="33"/>
  <c r="L1453" i="35" l="1"/>
  <c r="L1419" i="35"/>
  <c r="L1429" i="35"/>
  <c r="L1425" i="35"/>
  <c r="L1423" i="35"/>
  <c r="L1417" i="35"/>
  <c r="L1415" i="35"/>
  <c r="L1413" i="35"/>
  <c r="L1421" i="35"/>
  <c r="L1812" i="33"/>
  <c r="L1814" i="33"/>
  <c r="L1816" i="33"/>
  <c r="V1453" i="35"/>
  <c r="W1453" i="35"/>
  <c r="W1423" i="35"/>
  <c r="V1413" i="35"/>
  <c r="W1425" i="35"/>
  <c r="V1415" i="35"/>
  <c r="V1425" i="35"/>
  <c r="V1417" i="35"/>
  <c r="V1421" i="35"/>
  <c r="V1423" i="35"/>
  <c r="W1415" i="35"/>
  <c r="W1417" i="35"/>
  <c r="V1429" i="35"/>
  <c r="V1419" i="35"/>
  <c r="W1419" i="35"/>
  <c r="W1429" i="35"/>
  <c r="W1421" i="35"/>
  <c r="W1413" i="35"/>
  <c r="AB1816" i="33"/>
  <c r="AB1814" i="33"/>
  <c r="AB1812" i="33"/>
  <c r="X1864" i="33"/>
  <c r="W1859" i="33"/>
  <c r="X1863" i="33"/>
  <c r="W1863" i="33"/>
  <c r="W1861" i="33"/>
  <c r="W1864" i="33"/>
  <c r="X1859" i="33"/>
  <c r="X1861" i="33"/>
  <c r="Y1371" i="35"/>
  <c r="X1371" i="35"/>
  <c r="W1371" i="35"/>
  <c r="V1371" i="35"/>
  <c r="U1371" i="35"/>
  <c r="S1371" i="35"/>
  <c r="R1371" i="35"/>
  <c r="Q1371" i="35"/>
  <c r="K1371" i="35"/>
  <c r="F1371" i="35"/>
  <c r="Y1369" i="35"/>
  <c r="X1369" i="35"/>
  <c r="W1369" i="35"/>
  <c r="V1369" i="35"/>
  <c r="U1369" i="35"/>
  <c r="S1369" i="35"/>
  <c r="R1369" i="35"/>
  <c r="Q1369" i="35"/>
  <c r="K1369" i="35"/>
  <c r="F1369" i="35"/>
  <c r="Y1367" i="35" l="1"/>
  <c r="X1367" i="35"/>
  <c r="W1367" i="35"/>
  <c r="V1367" i="35"/>
  <c r="U1367" i="35"/>
  <c r="S1367" i="35"/>
  <c r="R1367" i="35"/>
  <c r="Q1367" i="35"/>
  <c r="K1367" i="35"/>
  <c r="F1367" i="35"/>
  <c r="AF1835" i="33"/>
  <c r="V1835" i="33"/>
  <c r="T1835" i="33"/>
  <c r="X1835" i="33" s="1"/>
  <c r="S1835" i="33"/>
  <c r="R1835" i="33"/>
  <c r="K1835" i="33"/>
  <c r="F1835" i="33"/>
  <c r="AF1834" i="33"/>
  <c r="V1834" i="33"/>
  <c r="T1834" i="33"/>
  <c r="X1834" i="33" s="1"/>
  <c r="S1834" i="33"/>
  <c r="R1834" i="33"/>
  <c r="K1834" i="33"/>
  <c r="F1834" i="33"/>
  <c r="AF1832" i="33"/>
  <c r="V1832" i="33"/>
  <c r="T1832" i="33"/>
  <c r="Y1832" i="33" s="1"/>
  <c r="S1832" i="33"/>
  <c r="R1832" i="33"/>
  <c r="K1832" i="33"/>
  <c r="F1832" i="33"/>
  <c r="AF1830" i="33"/>
  <c r="V1830" i="33"/>
  <c r="T1830" i="33"/>
  <c r="Z1830" i="33" s="1"/>
  <c r="S1830" i="33"/>
  <c r="R1830" i="33"/>
  <c r="K1830" i="33"/>
  <c r="F1830" i="33"/>
  <c r="AF1828" i="33"/>
  <c r="V1828" i="33"/>
  <c r="T1828" i="33"/>
  <c r="Y1828" i="33" s="1"/>
  <c r="S1828" i="33"/>
  <c r="R1828" i="33"/>
  <c r="K1828" i="33"/>
  <c r="F1828" i="33"/>
  <c r="AF1826" i="33"/>
  <c r="V1826" i="33"/>
  <c r="T1826" i="33"/>
  <c r="X1826" i="33" s="1"/>
  <c r="S1826" i="33"/>
  <c r="R1826" i="33"/>
  <c r="K1826" i="33"/>
  <c r="F1826" i="33"/>
  <c r="AF1824" i="33"/>
  <c r="V1824" i="33"/>
  <c r="T1824" i="33"/>
  <c r="Y1824" i="33" s="1"/>
  <c r="S1824" i="33"/>
  <c r="R1824" i="33"/>
  <c r="K1824" i="33"/>
  <c r="F1824" i="33"/>
  <c r="AF1822" i="33"/>
  <c r="V1822" i="33"/>
  <c r="T1822" i="33"/>
  <c r="X1822" i="33" s="1"/>
  <c r="S1822" i="33"/>
  <c r="R1822" i="33"/>
  <c r="K1822" i="33"/>
  <c r="F1822" i="33"/>
  <c r="AF1820" i="33"/>
  <c r="V1820" i="33"/>
  <c r="T1820" i="33"/>
  <c r="Z1820" i="33" s="1"/>
  <c r="S1820" i="33"/>
  <c r="R1820" i="33"/>
  <c r="K1820" i="33"/>
  <c r="F1820" i="33"/>
  <c r="AF1810" i="33"/>
  <c r="V1810" i="33"/>
  <c r="T1810" i="33"/>
  <c r="Z1810" i="33" s="1"/>
  <c r="S1810" i="33"/>
  <c r="R1810" i="33"/>
  <c r="K1810" i="33"/>
  <c r="F1810" i="33"/>
  <c r="AF1809" i="33"/>
  <c r="V1809" i="33"/>
  <c r="T1809" i="33"/>
  <c r="Z1809" i="33" s="1"/>
  <c r="S1809" i="33"/>
  <c r="R1809" i="33"/>
  <c r="K1809" i="33"/>
  <c r="F1809" i="33"/>
  <c r="AF1807" i="33"/>
  <c r="V1807" i="33"/>
  <c r="T1807" i="33"/>
  <c r="X1807" i="33" s="1"/>
  <c r="S1807" i="33"/>
  <c r="R1807" i="33"/>
  <c r="K1807" i="33"/>
  <c r="F1807" i="33"/>
  <c r="Y1834" i="33" l="1"/>
  <c r="Z1834" i="33"/>
  <c r="W1835" i="33"/>
  <c r="Y1835" i="33"/>
  <c r="Z1835" i="33"/>
  <c r="W1834" i="33"/>
  <c r="W1832" i="33"/>
  <c r="X1832" i="33"/>
  <c r="Z1832" i="33"/>
  <c r="W1830" i="33"/>
  <c r="X1830" i="33"/>
  <c r="Y1830" i="33"/>
  <c r="Z1826" i="33"/>
  <c r="W1828" i="33"/>
  <c r="X1828" i="33"/>
  <c r="Z1828" i="33"/>
  <c r="Y1826" i="33"/>
  <c r="W1826" i="33"/>
  <c r="W1824" i="33"/>
  <c r="X1824" i="33"/>
  <c r="Z1824" i="33"/>
  <c r="Y1822" i="33"/>
  <c r="Z1822" i="33"/>
  <c r="W1822" i="33"/>
  <c r="W1820" i="33"/>
  <c r="X1820" i="33"/>
  <c r="Y1820" i="33"/>
  <c r="Y1810" i="33"/>
  <c r="W1810" i="33"/>
  <c r="X1810" i="33"/>
  <c r="W1809" i="33"/>
  <c r="X1809" i="33"/>
  <c r="Y1809" i="33"/>
  <c r="Y1807" i="33"/>
  <c r="Z1807" i="33"/>
  <c r="W1807" i="33"/>
  <c r="AF1805" i="33"/>
  <c r="V1805" i="33"/>
  <c r="T1805" i="33"/>
  <c r="Z1805" i="33" s="1"/>
  <c r="S1805" i="33"/>
  <c r="R1805" i="33"/>
  <c r="K1805" i="33"/>
  <c r="F1805" i="33"/>
  <c r="AF1803" i="33"/>
  <c r="V1803" i="33"/>
  <c r="T1803" i="33"/>
  <c r="Z1803" i="33" s="1"/>
  <c r="S1803" i="33"/>
  <c r="R1803" i="33"/>
  <c r="K1803" i="33"/>
  <c r="F1803" i="33"/>
  <c r="AF1797" i="33"/>
  <c r="V1797" i="33"/>
  <c r="T1797" i="33"/>
  <c r="Z1797" i="33" s="1"/>
  <c r="S1797" i="33"/>
  <c r="R1797" i="33"/>
  <c r="K1797" i="33"/>
  <c r="F1797" i="33"/>
  <c r="AF1795" i="33"/>
  <c r="V1795" i="33"/>
  <c r="T1795" i="33"/>
  <c r="Z1795" i="33" s="1"/>
  <c r="S1795" i="33"/>
  <c r="R1795" i="33"/>
  <c r="K1795" i="33"/>
  <c r="F1795" i="33"/>
  <c r="AF1793" i="33"/>
  <c r="V1793" i="33"/>
  <c r="T1793" i="33"/>
  <c r="Z1793" i="33" s="1"/>
  <c r="S1793" i="33"/>
  <c r="R1793" i="33"/>
  <c r="K1793" i="33"/>
  <c r="F1793" i="33"/>
  <c r="AF1791" i="33"/>
  <c r="V1791" i="33"/>
  <c r="T1791" i="33"/>
  <c r="Z1791" i="33" s="1"/>
  <c r="S1791" i="33"/>
  <c r="R1791" i="33"/>
  <c r="K1791" i="33"/>
  <c r="F1791" i="33"/>
  <c r="AF1789" i="33"/>
  <c r="V1789" i="33"/>
  <c r="Z1789" i="33"/>
  <c r="S1789" i="33"/>
  <c r="R1789" i="33"/>
  <c r="K1789" i="33"/>
  <c r="F1789" i="33"/>
  <c r="AF1785" i="33"/>
  <c r="V1785" i="33"/>
  <c r="T1785" i="33"/>
  <c r="Z1785" i="33" s="1"/>
  <c r="S1785" i="33"/>
  <c r="R1785" i="33"/>
  <c r="K1785" i="33"/>
  <c r="F1785" i="33"/>
  <c r="AF1783" i="33"/>
  <c r="V1783" i="33"/>
  <c r="T1783" i="33"/>
  <c r="Z1783" i="33" s="1"/>
  <c r="S1783" i="33"/>
  <c r="R1783" i="33"/>
  <c r="K1783" i="33"/>
  <c r="F1783" i="33"/>
  <c r="AF1787" i="33"/>
  <c r="V1787" i="33"/>
  <c r="T1787" i="33"/>
  <c r="X1787" i="33" s="1"/>
  <c r="S1787" i="33"/>
  <c r="R1787" i="33"/>
  <c r="K1787" i="33"/>
  <c r="F1787" i="33"/>
  <c r="AF1781" i="33"/>
  <c r="V1781" i="33"/>
  <c r="T1781" i="33"/>
  <c r="X1781" i="33" s="1"/>
  <c r="S1781" i="33"/>
  <c r="R1781" i="33"/>
  <c r="K1781" i="33"/>
  <c r="F1781" i="33"/>
  <c r="AF1779" i="33"/>
  <c r="V1779" i="33"/>
  <c r="T1779" i="33"/>
  <c r="Y1779" i="33" s="1"/>
  <c r="S1779" i="33"/>
  <c r="R1779" i="33"/>
  <c r="K1779" i="33"/>
  <c r="F1779" i="33"/>
  <c r="AF1777" i="33"/>
  <c r="V1777" i="33"/>
  <c r="T1777" i="33"/>
  <c r="Z1777" i="33" s="1"/>
  <c r="S1777" i="33"/>
  <c r="R1777" i="33"/>
  <c r="K1777" i="33"/>
  <c r="F1777" i="33"/>
  <c r="AF1775" i="33"/>
  <c r="V1775" i="33"/>
  <c r="T1775" i="33"/>
  <c r="X1775" i="33" s="1"/>
  <c r="S1775" i="33"/>
  <c r="R1775" i="33"/>
  <c r="K1775" i="33"/>
  <c r="F1775" i="33"/>
  <c r="AF1773" i="33"/>
  <c r="V1773" i="33"/>
  <c r="T1773" i="33"/>
  <c r="X1773" i="33" s="1"/>
  <c r="S1773" i="33"/>
  <c r="R1773" i="33"/>
  <c r="K1773" i="33"/>
  <c r="F1773" i="33"/>
  <c r="AF1771" i="33"/>
  <c r="V1771" i="33"/>
  <c r="T1771" i="33"/>
  <c r="Y1771" i="33" s="1"/>
  <c r="S1771" i="33"/>
  <c r="R1771" i="33"/>
  <c r="K1771" i="33"/>
  <c r="F1771" i="33"/>
  <c r="AF1769" i="33"/>
  <c r="V1769" i="33"/>
  <c r="T1769" i="33"/>
  <c r="Z1769" i="33" s="1"/>
  <c r="S1769" i="33"/>
  <c r="R1769" i="33"/>
  <c r="K1769" i="33"/>
  <c r="F1769" i="33"/>
  <c r="AF1763" i="33"/>
  <c r="V1763" i="33"/>
  <c r="T1763" i="33"/>
  <c r="Y1763" i="33" s="1"/>
  <c r="S1763" i="33"/>
  <c r="R1763" i="33"/>
  <c r="K1763" i="33"/>
  <c r="F1763" i="33"/>
  <c r="AF1761" i="33"/>
  <c r="V1761" i="33"/>
  <c r="T1761" i="33"/>
  <c r="Z1761" i="33" s="1"/>
  <c r="S1761" i="33"/>
  <c r="R1761" i="33"/>
  <c r="K1761" i="33"/>
  <c r="F1761" i="33"/>
  <c r="AF1759" i="33"/>
  <c r="V1759" i="33"/>
  <c r="T1759" i="33"/>
  <c r="Z1759" i="33" s="1"/>
  <c r="S1759" i="33"/>
  <c r="R1759" i="33"/>
  <c r="K1759" i="33"/>
  <c r="F1759" i="33"/>
  <c r="AF1757" i="33"/>
  <c r="V1757" i="33"/>
  <c r="T1757" i="33"/>
  <c r="Y1757" i="33" s="1"/>
  <c r="S1757" i="33"/>
  <c r="R1757" i="33"/>
  <c r="K1757" i="33"/>
  <c r="F1757" i="33"/>
  <c r="AF1756" i="33"/>
  <c r="V1756" i="33"/>
  <c r="T1756" i="33"/>
  <c r="Y1756" i="33" s="1"/>
  <c r="S1756" i="33"/>
  <c r="R1756" i="33"/>
  <c r="K1756" i="33"/>
  <c r="F1756" i="33"/>
  <c r="AF1754" i="33"/>
  <c r="V1754" i="33"/>
  <c r="T1754" i="33"/>
  <c r="Z1754" i="33" s="1"/>
  <c r="S1754" i="33"/>
  <c r="R1754" i="33"/>
  <c r="K1754" i="33"/>
  <c r="F1754" i="33"/>
  <c r="AF1752" i="33"/>
  <c r="V1752" i="33"/>
  <c r="T1752" i="33"/>
  <c r="W1752" i="33" s="1"/>
  <c r="S1752" i="33"/>
  <c r="R1752" i="33"/>
  <c r="K1752" i="33"/>
  <c r="F1752" i="33"/>
  <c r="W1805" i="33" l="1"/>
  <c r="X1805" i="33"/>
  <c r="Y1805" i="33"/>
  <c r="W1803" i="33"/>
  <c r="X1803" i="33"/>
  <c r="Y1803" i="33"/>
  <c r="W1797" i="33"/>
  <c r="X1797" i="33"/>
  <c r="Y1797" i="33"/>
  <c r="X1795" i="33"/>
  <c r="W1795" i="33"/>
  <c r="Y1795" i="33"/>
  <c r="W1793" i="33"/>
  <c r="X1793" i="33"/>
  <c r="Y1793" i="33"/>
  <c r="W1791" i="33"/>
  <c r="X1791" i="33"/>
  <c r="Y1791" i="33"/>
  <c r="W1789" i="33"/>
  <c r="X1789" i="33"/>
  <c r="Y1789" i="33"/>
  <c r="W1785" i="33"/>
  <c r="X1785" i="33"/>
  <c r="Y1785" i="33"/>
  <c r="W1783" i="33"/>
  <c r="X1783" i="33"/>
  <c r="Y1783" i="33"/>
  <c r="Y1787" i="33"/>
  <c r="Z1787" i="33"/>
  <c r="W1787" i="33"/>
  <c r="Y1781" i="33"/>
  <c r="W1781" i="33"/>
  <c r="Z1781" i="33"/>
  <c r="Z1779" i="33"/>
  <c r="W1777" i="33"/>
  <c r="X1777" i="33"/>
  <c r="Y1777" i="33"/>
  <c r="W1779" i="33"/>
  <c r="X1779" i="33"/>
  <c r="Z1775" i="33"/>
  <c r="Y1775" i="33"/>
  <c r="W1775" i="33"/>
  <c r="W1773" i="33"/>
  <c r="Y1773" i="33"/>
  <c r="Z1773" i="33"/>
  <c r="W1771" i="33"/>
  <c r="X1771" i="33"/>
  <c r="Z1771" i="33"/>
  <c r="W1769" i="33"/>
  <c r="X1769" i="33"/>
  <c r="Y1769" i="33"/>
  <c r="W1763" i="33"/>
  <c r="X1763" i="33"/>
  <c r="Z1763" i="33"/>
  <c r="W1761" i="33"/>
  <c r="X1761" i="33"/>
  <c r="Y1761" i="33"/>
  <c r="W1759" i="33"/>
  <c r="X1759" i="33"/>
  <c r="Y1759" i="33"/>
  <c r="Z1756" i="33"/>
  <c r="W1757" i="33"/>
  <c r="X1757" i="33"/>
  <c r="Z1757" i="33"/>
  <c r="X1756" i="33"/>
  <c r="W1756" i="33"/>
  <c r="W1754" i="33"/>
  <c r="X1754" i="33"/>
  <c r="Y1754" i="33"/>
  <c r="X1752" i="33"/>
  <c r="Y1752" i="33"/>
  <c r="Z1752" i="33"/>
  <c r="AE1345" i="35" l="1"/>
  <c r="Y1345" i="35"/>
  <c r="X1345" i="35"/>
  <c r="U1345" i="35"/>
  <c r="S1345" i="35"/>
  <c r="R1345" i="35"/>
  <c r="Q1345" i="35"/>
  <c r="K1345" i="35"/>
  <c r="F1345" i="35"/>
  <c r="AE1333" i="35"/>
  <c r="Y1333" i="35"/>
  <c r="X1333" i="35"/>
  <c r="U1333" i="35"/>
  <c r="S1333" i="35"/>
  <c r="R1333" i="35"/>
  <c r="Q1333" i="35"/>
  <c r="K1333" i="35"/>
  <c r="F1333" i="35"/>
  <c r="AE1331" i="35"/>
  <c r="Y1331" i="35"/>
  <c r="X1331" i="35"/>
  <c r="U1331" i="35"/>
  <c r="S1331" i="35"/>
  <c r="R1331" i="35"/>
  <c r="Q1331" i="35"/>
  <c r="K1331" i="35"/>
  <c r="F1331" i="35"/>
  <c r="I1369" i="35" l="1"/>
  <c r="G1369" i="35"/>
  <c r="H1369" i="35"/>
  <c r="G1371" i="35"/>
  <c r="H1371" i="35"/>
  <c r="I1371" i="35"/>
  <c r="I1809" i="33"/>
  <c r="I1807" i="33"/>
  <c r="H1835" i="33"/>
  <c r="H1832" i="33"/>
  <c r="G1807" i="33"/>
  <c r="G1809" i="33"/>
  <c r="I1834" i="33"/>
  <c r="I1810" i="33"/>
  <c r="H1807" i="33"/>
  <c r="I1822" i="33"/>
  <c r="G1835" i="33"/>
  <c r="G1832" i="33"/>
  <c r="I1824" i="33"/>
  <c r="I1835" i="33"/>
  <c r="G1828" i="33"/>
  <c r="G1820" i="33"/>
  <c r="I1832" i="33"/>
  <c r="I1830" i="33"/>
  <c r="H1826" i="33"/>
  <c r="G1810" i="33"/>
  <c r="G1367" i="35"/>
  <c r="H1367" i="35"/>
  <c r="G1824" i="33"/>
  <c r="G1822" i="33"/>
  <c r="I1820" i="33"/>
  <c r="I1828" i="33"/>
  <c r="I1367" i="35"/>
  <c r="G1834" i="33"/>
  <c r="H1820" i="33"/>
  <c r="H1810" i="33"/>
  <c r="I1826" i="33"/>
  <c r="H1834" i="33"/>
  <c r="H1828" i="33"/>
  <c r="H1824" i="33"/>
  <c r="H1809" i="33"/>
  <c r="G1830" i="33"/>
  <c r="H1830" i="33"/>
  <c r="G1826" i="33"/>
  <c r="H1822" i="33"/>
  <c r="H1805" i="33"/>
  <c r="I1791" i="33"/>
  <c r="H1791" i="33"/>
  <c r="G1785" i="33"/>
  <c r="G1787" i="33"/>
  <c r="H1763" i="33"/>
  <c r="G1754" i="33"/>
  <c r="I1797" i="33"/>
  <c r="H1785" i="33"/>
  <c r="G1773" i="33"/>
  <c r="G1759" i="33"/>
  <c r="H1757" i="33"/>
  <c r="H1754" i="33"/>
  <c r="H1787" i="33"/>
  <c r="H1779" i="33"/>
  <c r="G1757" i="33"/>
  <c r="G1789" i="33"/>
  <c r="H1783" i="33"/>
  <c r="H1775" i="33"/>
  <c r="G1803" i="33"/>
  <c r="H1803" i="33"/>
  <c r="I1805" i="33"/>
  <c r="G1795" i="33"/>
  <c r="H1781" i="33"/>
  <c r="I1757" i="33"/>
  <c r="I1771" i="33"/>
  <c r="G1779" i="33"/>
  <c r="I1754" i="33"/>
  <c r="I1756" i="33"/>
  <c r="I1763" i="33"/>
  <c r="G1763" i="33"/>
  <c r="G1791" i="33"/>
  <c r="I1783" i="33"/>
  <c r="H1795" i="33"/>
  <c r="H1773" i="33"/>
  <c r="H1759" i="33"/>
  <c r="I1761" i="33"/>
  <c r="H1797" i="33"/>
  <c r="I1775" i="33"/>
  <c r="G1805" i="33"/>
  <c r="I1779" i="33"/>
  <c r="G1769" i="33"/>
  <c r="I1759" i="33"/>
  <c r="I1803" i="33"/>
  <c r="G1793" i="33"/>
  <c r="I1787" i="33"/>
  <c r="G1781" i="33"/>
  <c r="I1781" i="33"/>
  <c r="I1752" i="33"/>
  <c r="G1797" i="33"/>
  <c r="H1793" i="33"/>
  <c r="H1789" i="33"/>
  <c r="H1769" i="33"/>
  <c r="G1761" i="33"/>
  <c r="G1756" i="33"/>
  <c r="G1752" i="33"/>
  <c r="I1773" i="33"/>
  <c r="I1769" i="33"/>
  <c r="H1761" i="33"/>
  <c r="I1777" i="33"/>
  <c r="I1793" i="33"/>
  <c r="I1795" i="33"/>
  <c r="G1783" i="33"/>
  <c r="G1775" i="33"/>
  <c r="H1752" i="33"/>
  <c r="H1756" i="33"/>
  <c r="G1771" i="33"/>
  <c r="I1789" i="33"/>
  <c r="G1777" i="33"/>
  <c r="H1771" i="33"/>
  <c r="I1785" i="33"/>
  <c r="H1777" i="33"/>
  <c r="AD1345" i="35"/>
  <c r="AD1331" i="35"/>
  <c r="AD1333" i="35"/>
  <c r="AB1810" i="33" l="1"/>
  <c r="AB1835" i="33"/>
  <c r="AB1832" i="33"/>
  <c r="AB1830" i="33"/>
  <c r="AB1826" i="33"/>
  <c r="AB1807" i="33"/>
  <c r="AB1809" i="33"/>
  <c r="AB1822" i="33"/>
  <c r="AB1820" i="33"/>
  <c r="AB1834" i="33"/>
  <c r="AB1828" i="33"/>
  <c r="AB1824" i="33"/>
  <c r="AB1795" i="33"/>
  <c r="AB1781" i="33"/>
  <c r="AB1777" i="33"/>
  <c r="AB1785" i="33"/>
  <c r="AB1787" i="33"/>
  <c r="AB1773" i="33"/>
  <c r="AB1759" i="33"/>
  <c r="AB1756" i="33"/>
  <c r="AB1752" i="33"/>
  <c r="AB1771" i="33"/>
  <c r="AB1791" i="33"/>
  <c r="AB1763" i="33"/>
  <c r="AB1783" i="33"/>
  <c r="AB1757" i="33"/>
  <c r="AB1805" i="33"/>
  <c r="AB1779" i="33"/>
  <c r="AB1797" i="33"/>
  <c r="AB1793" i="33"/>
  <c r="AB1789" i="33"/>
  <c r="AB1769" i="33"/>
  <c r="AB1754" i="33"/>
  <c r="AB1761" i="33"/>
  <c r="AB1775" i="33"/>
  <c r="AB1803" i="33"/>
  <c r="L1369" i="35"/>
  <c r="L1371" i="35"/>
  <c r="L1824" i="33"/>
  <c r="L1809" i="33"/>
  <c r="L1828" i="33"/>
  <c r="L1807" i="33"/>
  <c r="L1834" i="33"/>
  <c r="L1830" i="33"/>
  <c r="L1820" i="33"/>
  <c r="L1832" i="33"/>
  <c r="L1810" i="33"/>
  <c r="L1822" i="33"/>
  <c r="L1835" i="33"/>
  <c r="L1826" i="33"/>
  <c r="L1793" i="33"/>
  <c r="L1757" i="33"/>
  <c r="L1759" i="33"/>
  <c r="L1752" i="33"/>
  <c r="L1779" i="33"/>
  <c r="L1763" i="33"/>
  <c r="L1773" i="33"/>
  <c r="L1754" i="33"/>
  <c r="L1787" i="33"/>
  <c r="L1783" i="33"/>
  <c r="L1769" i="33"/>
  <c r="L1791" i="33"/>
  <c r="L1803" i="33"/>
  <c r="L1771" i="33"/>
  <c r="L1756" i="33"/>
  <c r="L1781" i="33"/>
  <c r="L1777" i="33"/>
  <c r="L1775" i="33"/>
  <c r="L1785" i="33"/>
  <c r="L1761" i="33"/>
  <c r="L1805" i="33"/>
  <c r="V1739" i="33"/>
  <c r="T1739" i="33"/>
  <c r="Z1739" i="33" s="1"/>
  <c r="S1739" i="33"/>
  <c r="R1739" i="33"/>
  <c r="K1739" i="33"/>
  <c r="F1739" i="33"/>
  <c r="I1331" i="35" l="1"/>
  <c r="G1333" i="35"/>
  <c r="G1345" i="35"/>
  <c r="I1333" i="35"/>
  <c r="H1345" i="35"/>
  <c r="H1333" i="35"/>
  <c r="I1345" i="35"/>
  <c r="G1331" i="35"/>
  <c r="H1331" i="35"/>
  <c r="Y1739" i="33"/>
  <c r="L1333" i="35" l="1"/>
  <c r="L1345" i="35"/>
  <c r="L1331" i="35"/>
  <c r="W1331" i="35"/>
  <c r="V1345" i="35"/>
  <c r="W1333" i="35"/>
  <c r="W1345" i="35"/>
  <c r="V1331" i="35"/>
  <c r="V1333" i="35"/>
  <c r="W1739" i="33"/>
  <c r="X1739" i="33"/>
  <c r="AE1287" i="35"/>
  <c r="Y1287" i="35"/>
  <c r="X1287" i="35"/>
  <c r="U1287" i="35"/>
  <c r="S1287" i="35"/>
  <c r="R1287" i="35"/>
  <c r="Q1287" i="35"/>
  <c r="K1287" i="35"/>
  <c r="F1287" i="35"/>
  <c r="AD1287" i="35" l="1"/>
  <c r="AF1677" i="33" l="1"/>
  <c r="V1677" i="33"/>
  <c r="T1677" i="33"/>
  <c r="Z1677" i="33" s="1"/>
  <c r="S1677" i="33"/>
  <c r="R1677" i="33"/>
  <c r="K1677" i="33"/>
  <c r="F1677" i="33"/>
  <c r="W1677" i="33" l="1"/>
  <c r="X1677" i="33"/>
  <c r="Y1677" i="33"/>
  <c r="AE1301" i="35" l="1"/>
  <c r="Y1301" i="35"/>
  <c r="X1301" i="35"/>
  <c r="U1301" i="35"/>
  <c r="S1301" i="35"/>
  <c r="R1301" i="35"/>
  <c r="Q1301" i="35"/>
  <c r="K1301" i="35"/>
  <c r="F1301" i="35"/>
  <c r="AE1299" i="35"/>
  <c r="Y1299" i="35"/>
  <c r="X1299" i="35"/>
  <c r="U1299" i="35"/>
  <c r="S1299" i="35"/>
  <c r="R1299" i="35"/>
  <c r="Q1299" i="35"/>
  <c r="K1299" i="35"/>
  <c r="F1299" i="35"/>
  <c r="AE1297" i="35"/>
  <c r="Y1297" i="35"/>
  <c r="X1297" i="35"/>
  <c r="R1297" i="35"/>
  <c r="Q1297" i="35"/>
  <c r="K1297" i="35"/>
  <c r="F1297" i="35"/>
  <c r="AD1299" i="35" l="1"/>
  <c r="AD1301" i="35"/>
  <c r="AD1297" i="35"/>
  <c r="AF1662" i="33" l="1"/>
  <c r="V1662" i="33"/>
  <c r="T1662" i="33"/>
  <c r="Z1662" i="33" s="1"/>
  <c r="S1662" i="33"/>
  <c r="R1662" i="33"/>
  <c r="K1662" i="33"/>
  <c r="F1662" i="33"/>
  <c r="W1662" i="33" l="1"/>
  <c r="X1662" i="33"/>
  <c r="Y1662" i="33"/>
  <c r="V1737" i="33" l="1"/>
  <c r="T1737" i="33"/>
  <c r="Y1737" i="33" s="1"/>
  <c r="S1737" i="33"/>
  <c r="R1737" i="33"/>
  <c r="K1737" i="33"/>
  <c r="F1737" i="33"/>
  <c r="V1735" i="33"/>
  <c r="T1735" i="33"/>
  <c r="Z1735" i="33" s="1"/>
  <c r="S1735" i="33"/>
  <c r="R1735" i="33"/>
  <c r="K1735" i="33"/>
  <c r="F1735" i="33"/>
  <c r="T1733" i="33"/>
  <c r="Y1733" i="33" s="1"/>
  <c r="S1733" i="33"/>
  <c r="R1733" i="33"/>
  <c r="K1733" i="33"/>
  <c r="F1733" i="33"/>
  <c r="Z1732" i="33"/>
  <c r="Y1732" i="33"/>
  <c r="X1732" i="33"/>
  <c r="W1732" i="33"/>
  <c r="V1732" i="33"/>
  <c r="T1732" i="33"/>
  <c r="S1732" i="33"/>
  <c r="R1732" i="33"/>
  <c r="L1732" i="33"/>
  <c r="K1732" i="33"/>
  <c r="I1732" i="33"/>
  <c r="H1732" i="33"/>
  <c r="G1732" i="33"/>
  <c r="F1732" i="33"/>
  <c r="V1731" i="33"/>
  <c r="T1731" i="33"/>
  <c r="Y1731" i="33" s="1"/>
  <c r="K1731" i="33"/>
  <c r="F1731" i="33"/>
  <c r="T1730" i="33"/>
  <c r="Y1730" i="33" s="1"/>
  <c r="S1730" i="33"/>
  <c r="R1730" i="33"/>
  <c r="K1730" i="33"/>
  <c r="F1730" i="33"/>
  <c r="T1728" i="33"/>
  <c r="Z1728" i="33" s="1"/>
  <c r="S1728" i="33"/>
  <c r="R1728" i="33"/>
  <c r="K1728" i="33"/>
  <c r="F1728" i="33"/>
  <c r="V1726" i="33"/>
  <c r="T1726" i="33"/>
  <c r="Z1726" i="33" s="1"/>
  <c r="S1726" i="33"/>
  <c r="R1726" i="33"/>
  <c r="K1726" i="33"/>
  <c r="F1726" i="33"/>
  <c r="V1724" i="33"/>
  <c r="T1724" i="33"/>
  <c r="Z1724" i="33" s="1"/>
  <c r="S1724" i="33"/>
  <c r="R1724" i="33"/>
  <c r="K1724" i="33"/>
  <c r="F1724" i="33"/>
  <c r="V1722" i="33"/>
  <c r="T1722" i="33"/>
  <c r="Z1722" i="33" s="1"/>
  <c r="S1722" i="33"/>
  <c r="R1722" i="33"/>
  <c r="K1722" i="33"/>
  <c r="F1722" i="33"/>
  <c r="T1720" i="33"/>
  <c r="Z1720" i="33" s="1"/>
  <c r="S1720" i="33"/>
  <c r="R1720" i="33"/>
  <c r="K1720" i="33"/>
  <c r="F1720" i="33"/>
  <c r="Z1719" i="33"/>
  <c r="Y1719" i="33"/>
  <c r="X1719" i="33"/>
  <c r="W1719" i="33"/>
  <c r="V1719" i="33"/>
  <c r="T1719" i="33"/>
  <c r="S1719" i="33"/>
  <c r="R1719" i="33"/>
  <c r="L1719" i="33"/>
  <c r="K1719" i="33"/>
  <c r="I1719" i="33"/>
  <c r="H1719" i="33"/>
  <c r="G1719" i="33"/>
  <c r="F1719" i="33"/>
  <c r="V1718" i="33"/>
  <c r="T1718" i="33"/>
  <c r="S1718" i="33"/>
  <c r="R1718" i="33"/>
  <c r="K1718" i="33"/>
  <c r="F1718" i="33"/>
  <c r="V1716" i="33"/>
  <c r="T1716" i="33"/>
  <c r="Z1716" i="33" s="1"/>
  <c r="S1716" i="33"/>
  <c r="R1716" i="33"/>
  <c r="K1716" i="33"/>
  <c r="F1716" i="33"/>
  <c r="V1714" i="33"/>
  <c r="T1714" i="33"/>
  <c r="Y1714" i="33" s="1"/>
  <c r="S1714" i="33"/>
  <c r="R1714" i="33"/>
  <c r="K1714" i="33"/>
  <c r="F1714" i="33"/>
  <c r="Z1737" i="33" l="1"/>
  <c r="Z1733" i="33"/>
  <c r="Y1735" i="33"/>
  <c r="Z1730" i="33"/>
  <c r="Z1731" i="33"/>
  <c r="Y1728" i="33"/>
  <c r="Y1726" i="33"/>
  <c r="Y1722" i="33"/>
  <c r="Y1724" i="33"/>
  <c r="Z1718" i="33"/>
  <c r="Y1718" i="33"/>
  <c r="Y1720" i="33"/>
  <c r="Y1716" i="33"/>
  <c r="Z1714" i="33"/>
  <c r="AE1277" i="35" l="1"/>
  <c r="AE1293" i="35"/>
  <c r="AE1339" i="35"/>
  <c r="AE1329" i="35"/>
  <c r="AE1325" i="35"/>
  <c r="AE1323" i="35"/>
  <c r="AE1321" i="35"/>
  <c r="AE1344" i="35" l="1"/>
  <c r="Y1344" i="35"/>
  <c r="X1344" i="35"/>
  <c r="W1344" i="35"/>
  <c r="V1344" i="35"/>
  <c r="U1344" i="35"/>
  <c r="S1344" i="35"/>
  <c r="R1344" i="35"/>
  <c r="Q1344" i="35"/>
  <c r="L1344" i="35"/>
  <c r="K1344" i="35"/>
  <c r="I1344" i="35"/>
  <c r="H1344" i="35"/>
  <c r="G1344" i="35"/>
  <c r="F1344" i="35"/>
  <c r="AD1344" i="35" s="1"/>
  <c r="AF1344" i="35" s="1"/>
  <c r="AG1344" i="35" s="1"/>
  <c r="AE1343" i="35"/>
  <c r="Y1343" i="35"/>
  <c r="X1343" i="35"/>
  <c r="U1343" i="35"/>
  <c r="S1343" i="35"/>
  <c r="R1343" i="35"/>
  <c r="Q1343" i="35"/>
  <c r="K1343" i="35"/>
  <c r="F1343" i="35"/>
  <c r="AE1341" i="35"/>
  <c r="Y1341" i="35"/>
  <c r="X1341" i="35"/>
  <c r="U1341" i="35"/>
  <c r="S1341" i="35"/>
  <c r="R1341" i="35"/>
  <c r="Q1341" i="35"/>
  <c r="K1341" i="35"/>
  <c r="F1341" i="35"/>
  <c r="Y1339" i="35"/>
  <c r="X1339" i="35"/>
  <c r="U1339" i="35"/>
  <c r="S1339" i="35"/>
  <c r="R1339" i="35"/>
  <c r="Q1339" i="35"/>
  <c r="K1339" i="35"/>
  <c r="F1339" i="35"/>
  <c r="AE1337" i="35"/>
  <c r="Y1337" i="35"/>
  <c r="X1337" i="35"/>
  <c r="U1337" i="35"/>
  <c r="S1337" i="35"/>
  <c r="R1337" i="35"/>
  <c r="Q1337" i="35"/>
  <c r="K1337" i="35"/>
  <c r="F1337" i="35"/>
  <c r="AE1335" i="35"/>
  <c r="Y1335" i="35"/>
  <c r="X1335" i="35"/>
  <c r="U1335" i="35"/>
  <c r="S1335" i="35"/>
  <c r="R1335" i="35"/>
  <c r="Q1335" i="35"/>
  <c r="K1335" i="35"/>
  <c r="F1335" i="35"/>
  <c r="Y1329" i="35"/>
  <c r="X1329" i="35"/>
  <c r="U1329" i="35"/>
  <c r="S1329" i="35"/>
  <c r="R1329" i="35"/>
  <c r="Q1329" i="35"/>
  <c r="K1329" i="35"/>
  <c r="F1329" i="35"/>
  <c r="AE1327" i="35"/>
  <c r="Y1327" i="35"/>
  <c r="X1327" i="35"/>
  <c r="U1327" i="35"/>
  <c r="S1327" i="35"/>
  <c r="R1327" i="35"/>
  <c r="Q1327" i="35"/>
  <c r="K1327" i="35"/>
  <c r="F1327" i="35"/>
  <c r="Y1325" i="35"/>
  <c r="X1325" i="35"/>
  <c r="U1325" i="35"/>
  <c r="S1325" i="35"/>
  <c r="R1325" i="35"/>
  <c r="Q1325" i="35"/>
  <c r="K1325" i="35"/>
  <c r="F1325" i="35"/>
  <c r="Y1323" i="35"/>
  <c r="X1323" i="35"/>
  <c r="U1323" i="35"/>
  <c r="S1323" i="35"/>
  <c r="R1323" i="35"/>
  <c r="Q1323" i="35"/>
  <c r="K1323" i="35"/>
  <c r="F1323" i="35"/>
  <c r="Y1321" i="35"/>
  <c r="X1321" i="35"/>
  <c r="U1321" i="35"/>
  <c r="S1321" i="35"/>
  <c r="R1321" i="35"/>
  <c r="Q1321" i="35"/>
  <c r="K1321" i="35"/>
  <c r="F1321" i="35"/>
  <c r="AE1319" i="35"/>
  <c r="Y1319" i="35"/>
  <c r="X1319" i="35"/>
  <c r="U1319" i="35"/>
  <c r="S1319" i="35"/>
  <c r="R1319" i="35"/>
  <c r="Q1319" i="35"/>
  <c r="K1319" i="35"/>
  <c r="F1319" i="35"/>
  <c r="AE1315" i="35"/>
  <c r="AD1315" i="35"/>
  <c r="AF1315" i="35" s="1"/>
  <c r="AG1315" i="35" s="1"/>
  <c r="AE1311" i="35"/>
  <c r="Y1311" i="35"/>
  <c r="X1311" i="35"/>
  <c r="U1311" i="35"/>
  <c r="S1311" i="35"/>
  <c r="R1311" i="35"/>
  <c r="Q1311" i="35"/>
  <c r="K1311" i="35"/>
  <c r="F1311" i="35"/>
  <c r="AE1313" i="35"/>
  <c r="Y1313" i="35"/>
  <c r="X1313" i="35"/>
  <c r="S1313" i="35"/>
  <c r="R1313" i="35"/>
  <c r="Q1313" i="35"/>
  <c r="K1313" i="35"/>
  <c r="F1313" i="35"/>
  <c r="AE1309" i="35"/>
  <c r="Y1309" i="35"/>
  <c r="X1309" i="35"/>
  <c r="U1309" i="35"/>
  <c r="S1309" i="35"/>
  <c r="R1309" i="35"/>
  <c r="Q1309" i="35"/>
  <c r="K1309" i="35"/>
  <c r="F1309" i="35"/>
  <c r="AE1307" i="35"/>
  <c r="Y1307" i="35"/>
  <c r="X1307" i="35"/>
  <c r="U1307" i="35"/>
  <c r="S1307" i="35"/>
  <c r="R1307" i="35"/>
  <c r="Q1307" i="35"/>
  <c r="K1307" i="35"/>
  <c r="F1307" i="35"/>
  <c r="AE1305" i="35"/>
  <c r="Y1305" i="35"/>
  <c r="X1305" i="35"/>
  <c r="U1305" i="35"/>
  <c r="S1305" i="35"/>
  <c r="R1305" i="35"/>
  <c r="Q1305" i="35"/>
  <c r="K1305" i="35"/>
  <c r="F1305" i="35"/>
  <c r="AE1303" i="35"/>
  <c r="Y1303" i="35"/>
  <c r="X1303" i="35"/>
  <c r="U1303" i="35"/>
  <c r="S1303" i="35"/>
  <c r="R1303" i="35"/>
  <c r="Q1303" i="35"/>
  <c r="K1303" i="35"/>
  <c r="F1303" i="35"/>
  <c r="AE1296" i="35"/>
  <c r="Y1296" i="35"/>
  <c r="X1296" i="35"/>
  <c r="W1296" i="35"/>
  <c r="V1296" i="35"/>
  <c r="U1296" i="35"/>
  <c r="S1296" i="35"/>
  <c r="R1296" i="35"/>
  <c r="Q1296" i="35"/>
  <c r="L1296" i="35"/>
  <c r="K1296" i="35"/>
  <c r="I1296" i="35"/>
  <c r="H1296" i="35"/>
  <c r="G1296" i="35"/>
  <c r="F1296" i="35"/>
  <c r="AD1296" i="35" s="1"/>
  <c r="AF1296" i="35" s="1"/>
  <c r="AG1296" i="35" s="1"/>
  <c r="AE1295" i="35"/>
  <c r="Y1295" i="35"/>
  <c r="X1295" i="35"/>
  <c r="U1295" i="35"/>
  <c r="S1295" i="35"/>
  <c r="R1295" i="35"/>
  <c r="Q1295" i="35"/>
  <c r="K1295" i="35"/>
  <c r="F1295" i="35"/>
  <c r="AE1294" i="35"/>
  <c r="Y1294" i="35"/>
  <c r="X1294" i="35"/>
  <c r="W1294" i="35"/>
  <c r="V1294" i="35"/>
  <c r="U1294" i="35"/>
  <c r="S1294" i="35"/>
  <c r="R1294" i="35"/>
  <c r="Q1294" i="35"/>
  <c r="L1294" i="35"/>
  <c r="K1294" i="35"/>
  <c r="I1294" i="35"/>
  <c r="H1294" i="35"/>
  <c r="G1294" i="35"/>
  <c r="F1294" i="35"/>
  <c r="AD1294" i="35" s="1"/>
  <c r="AF1294" i="35" s="1"/>
  <c r="AG1294" i="35" s="1"/>
  <c r="Y1293" i="35"/>
  <c r="X1293" i="35"/>
  <c r="U1293" i="35"/>
  <c r="S1293" i="35"/>
  <c r="R1293" i="35"/>
  <c r="Q1293" i="35"/>
  <c r="K1293" i="35"/>
  <c r="F1293" i="35"/>
  <c r="AD1293" i="35" l="1"/>
  <c r="AD1339" i="35"/>
  <c r="AD1321" i="35"/>
  <c r="AD1325" i="35"/>
  <c r="AD1323" i="35"/>
  <c r="AD1329" i="35"/>
  <c r="AD1343" i="35"/>
  <c r="AD1341" i="35"/>
  <c r="AD1337" i="35"/>
  <c r="AD1335" i="35"/>
  <c r="AD1327" i="35"/>
  <c r="AD1319" i="35"/>
  <c r="AD1311" i="35"/>
  <c r="AD1313" i="35"/>
  <c r="AD1309" i="35"/>
  <c r="AD1307" i="35"/>
  <c r="AD1305" i="35"/>
  <c r="AD1303" i="35"/>
  <c r="AD1295" i="35"/>
  <c r="AF1687" i="33" l="1"/>
  <c r="V1687" i="33"/>
  <c r="T1687" i="33"/>
  <c r="Z1687" i="33" s="1"/>
  <c r="S1687" i="33"/>
  <c r="R1687" i="33"/>
  <c r="K1687" i="33"/>
  <c r="F1687" i="33"/>
  <c r="AF1685" i="33"/>
  <c r="V1685" i="33"/>
  <c r="T1685" i="33"/>
  <c r="W1685" i="33" s="1"/>
  <c r="S1685" i="33"/>
  <c r="R1685" i="33"/>
  <c r="K1685" i="33"/>
  <c r="F1685" i="33"/>
  <c r="AF1683" i="33"/>
  <c r="V1683" i="33"/>
  <c r="T1683" i="33"/>
  <c r="Y1683" i="33" s="1"/>
  <c r="S1683" i="33"/>
  <c r="R1683" i="33"/>
  <c r="K1683" i="33"/>
  <c r="F1683" i="33"/>
  <c r="AF1672" i="33"/>
  <c r="V1672" i="33"/>
  <c r="T1672" i="33"/>
  <c r="W1672" i="33" s="1"/>
  <c r="S1672" i="33"/>
  <c r="R1672" i="33"/>
  <c r="K1672" i="33"/>
  <c r="F1672" i="33"/>
  <c r="AF1696" i="33"/>
  <c r="V1696" i="33"/>
  <c r="T1696" i="33"/>
  <c r="W1696" i="33" s="1"/>
  <c r="S1696" i="33"/>
  <c r="R1696" i="33"/>
  <c r="K1696" i="33"/>
  <c r="F1696" i="33"/>
  <c r="AF1695" i="33"/>
  <c r="V1695" i="33"/>
  <c r="T1695" i="33"/>
  <c r="Z1695" i="33" s="1"/>
  <c r="S1695" i="33"/>
  <c r="R1695" i="33"/>
  <c r="K1695" i="33"/>
  <c r="F1695" i="33"/>
  <c r="AF1693" i="33"/>
  <c r="V1693" i="33"/>
  <c r="T1693" i="33"/>
  <c r="W1693" i="33" s="1"/>
  <c r="S1693" i="33"/>
  <c r="R1693" i="33"/>
  <c r="K1693" i="33"/>
  <c r="F1693" i="33"/>
  <c r="AF1691" i="33"/>
  <c r="V1691" i="33"/>
  <c r="T1691" i="33"/>
  <c r="W1691" i="33" s="1"/>
  <c r="S1691" i="33"/>
  <c r="R1691" i="33"/>
  <c r="K1691" i="33"/>
  <c r="F1691" i="33"/>
  <c r="AF1689" i="33"/>
  <c r="V1689" i="33"/>
  <c r="T1689" i="33"/>
  <c r="Y1689" i="33" s="1"/>
  <c r="S1689" i="33"/>
  <c r="R1689" i="33"/>
  <c r="K1689" i="33"/>
  <c r="F1689" i="33"/>
  <c r="AF1666" i="33"/>
  <c r="V1666" i="33"/>
  <c r="T1666" i="33"/>
  <c r="X1666" i="33" s="1"/>
  <c r="S1666" i="33"/>
  <c r="R1666" i="33"/>
  <c r="K1666" i="33"/>
  <c r="F1666" i="33"/>
  <c r="AF1664" i="33"/>
  <c r="V1664" i="33"/>
  <c r="T1664" i="33"/>
  <c r="Z1664" i="33" s="1"/>
  <c r="S1664" i="33"/>
  <c r="R1664" i="33"/>
  <c r="K1664" i="33"/>
  <c r="F1664" i="33"/>
  <c r="AF1660" i="33"/>
  <c r="V1660" i="33"/>
  <c r="T1660" i="33"/>
  <c r="X1660" i="33" s="1"/>
  <c r="S1660" i="33"/>
  <c r="R1660" i="33"/>
  <c r="K1660" i="33"/>
  <c r="F1660" i="33"/>
  <c r="AF1658" i="33"/>
  <c r="V1658" i="33"/>
  <c r="T1658" i="33"/>
  <c r="Z1658" i="33" s="1"/>
  <c r="S1658" i="33"/>
  <c r="R1658" i="33"/>
  <c r="K1658" i="33"/>
  <c r="F1658" i="33"/>
  <c r="AF1656" i="33"/>
  <c r="V1656" i="33"/>
  <c r="T1656" i="33"/>
  <c r="X1656" i="33" s="1"/>
  <c r="S1656" i="33"/>
  <c r="R1656" i="33"/>
  <c r="K1656" i="33"/>
  <c r="F1656" i="33"/>
  <c r="AF1654" i="33"/>
  <c r="V1654" i="33"/>
  <c r="T1654" i="33"/>
  <c r="X1654" i="33" s="1"/>
  <c r="S1654" i="33"/>
  <c r="R1654" i="33"/>
  <c r="K1654" i="33"/>
  <c r="F1654" i="33"/>
  <c r="Y1685" i="33" l="1"/>
  <c r="Z1685" i="33"/>
  <c r="W1683" i="33"/>
  <c r="W1687" i="33"/>
  <c r="X1683" i="33"/>
  <c r="X1687" i="33"/>
  <c r="X1685" i="33"/>
  <c r="Y1687" i="33"/>
  <c r="Z1683" i="33"/>
  <c r="Y1672" i="33"/>
  <c r="X1672" i="33"/>
  <c r="X1695" i="33"/>
  <c r="Z1672" i="33"/>
  <c r="Y1691" i="33"/>
  <c r="X1691" i="33"/>
  <c r="Y1696" i="33"/>
  <c r="Z1696" i="33"/>
  <c r="Z1691" i="33"/>
  <c r="X1696" i="33"/>
  <c r="X1693" i="33"/>
  <c r="Y1693" i="33"/>
  <c r="Z1693" i="33"/>
  <c r="W1689" i="33"/>
  <c r="W1695" i="33"/>
  <c r="X1689" i="33"/>
  <c r="Y1695" i="33"/>
  <c r="Z1689" i="33"/>
  <c r="Z1666" i="33"/>
  <c r="Y1666" i="33"/>
  <c r="Y1660" i="33"/>
  <c r="Z1660" i="33"/>
  <c r="W1664" i="33"/>
  <c r="X1664" i="33"/>
  <c r="Y1664" i="33"/>
  <c r="W1666" i="33"/>
  <c r="W1660" i="33"/>
  <c r="Z1654" i="33"/>
  <c r="Y1654" i="33"/>
  <c r="Y1656" i="33"/>
  <c r="Z1656" i="33"/>
  <c r="W1658" i="33"/>
  <c r="X1658" i="33"/>
  <c r="W1656" i="33"/>
  <c r="Y1658" i="33"/>
  <c r="W1654" i="33"/>
  <c r="AF1702" i="33" l="1"/>
  <c r="V1702" i="33"/>
  <c r="T1702" i="33"/>
  <c r="X1702" i="33" s="1"/>
  <c r="S1702" i="33"/>
  <c r="R1702" i="33"/>
  <c r="K1702" i="33"/>
  <c r="F1702" i="33"/>
  <c r="V1700" i="33"/>
  <c r="V1698" i="33"/>
  <c r="Y1702" i="33" l="1"/>
  <c r="Z1702" i="33"/>
  <c r="W1702" i="33"/>
  <c r="AF1670" i="33"/>
  <c r="V1670" i="33"/>
  <c r="T1670" i="33"/>
  <c r="X1670" i="33" s="1"/>
  <c r="S1670" i="33"/>
  <c r="R1670" i="33"/>
  <c r="K1670" i="33"/>
  <c r="F1670" i="33"/>
  <c r="Y1670" i="33" l="1"/>
  <c r="Z1670" i="33"/>
  <c r="W1670" i="33"/>
  <c r="T1700" i="33" l="1"/>
  <c r="Y1700" i="33" s="1"/>
  <c r="S1700" i="33"/>
  <c r="R1700" i="33"/>
  <c r="K1700" i="33"/>
  <c r="F1700" i="33"/>
  <c r="Z1700" i="33" l="1"/>
  <c r="W1700" i="33"/>
  <c r="X1700" i="33"/>
  <c r="AF1652" i="33" l="1"/>
  <c r="V1652" i="33"/>
  <c r="T1652" i="33"/>
  <c r="X1652" i="33" s="1"/>
  <c r="S1652" i="33"/>
  <c r="R1652" i="33"/>
  <c r="K1652" i="33"/>
  <c r="F1652" i="33"/>
  <c r="Y1652" i="33" l="1"/>
  <c r="Z1652" i="33"/>
  <c r="W1652" i="33"/>
  <c r="AF1698" i="33" l="1"/>
  <c r="T1698" i="33"/>
  <c r="W1698" i="33" s="1"/>
  <c r="S1698" i="33"/>
  <c r="R1698" i="33"/>
  <c r="K1698" i="33"/>
  <c r="F1698" i="33"/>
  <c r="AF1668" i="33"/>
  <c r="V1668" i="33"/>
  <c r="T1668" i="33"/>
  <c r="W1668" i="33" s="1"/>
  <c r="S1668" i="33"/>
  <c r="R1668" i="33"/>
  <c r="K1668" i="33"/>
  <c r="F1668" i="33"/>
  <c r="AF1650" i="33"/>
  <c r="V1650" i="33"/>
  <c r="T1650" i="33"/>
  <c r="Z1650" i="33" s="1"/>
  <c r="S1650" i="33"/>
  <c r="R1650" i="33"/>
  <c r="K1650" i="33"/>
  <c r="F1650" i="33"/>
  <c r="X1698" i="33" l="1"/>
  <c r="X1668" i="33"/>
  <c r="Y1698" i="33"/>
  <c r="Y1668" i="33"/>
  <c r="Z1668" i="33"/>
  <c r="Z1698" i="33"/>
  <c r="W1650" i="33"/>
  <c r="X1650" i="33"/>
  <c r="Y1650" i="33"/>
  <c r="AE1271" i="35" l="1"/>
  <c r="Y1271" i="35"/>
  <c r="X1271" i="35"/>
  <c r="U1271" i="35"/>
  <c r="S1271" i="35"/>
  <c r="R1271" i="35"/>
  <c r="Q1271" i="35"/>
  <c r="K1271" i="35"/>
  <c r="F1271" i="35"/>
  <c r="AE1270" i="35"/>
  <c r="AG1271" i="35" s="1"/>
  <c r="Y1270" i="35"/>
  <c r="X1270" i="35"/>
  <c r="U1270" i="35"/>
  <c r="S1270" i="35"/>
  <c r="R1270" i="35"/>
  <c r="Q1270" i="35"/>
  <c r="K1270" i="35"/>
  <c r="F1270" i="35"/>
  <c r="AF1596" i="33"/>
  <c r="V1596" i="33"/>
  <c r="T1596" i="33"/>
  <c r="Z1596" i="33" s="1"/>
  <c r="S1596" i="33"/>
  <c r="R1596" i="33"/>
  <c r="K1596" i="33"/>
  <c r="F1596" i="33"/>
  <c r="AF1595" i="33"/>
  <c r="V1595" i="33"/>
  <c r="T1595" i="33"/>
  <c r="Y1595" i="33" s="1"/>
  <c r="S1595" i="33"/>
  <c r="R1595" i="33"/>
  <c r="K1595" i="33"/>
  <c r="F1595" i="33"/>
  <c r="AD1271" i="35" l="1"/>
  <c r="AD1270" i="35"/>
  <c r="W1596" i="33"/>
  <c r="X1596" i="33"/>
  <c r="Y1596" i="33"/>
  <c r="Z1595" i="33"/>
  <c r="W1595" i="33"/>
  <c r="X1595" i="33"/>
  <c r="AE1273" i="35" l="1"/>
  <c r="Y1273" i="35"/>
  <c r="X1273" i="35"/>
  <c r="U1273" i="35"/>
  <c r="S1273" i="35"/>
  <c r="R1273" i="35"/>
  <c r="Q1273" i="35"/>
  <c r="K1273" i="35"/>
  <c r="F1273" i="35"/>
  <c r="AD1273" i="35" l="1"/>
  <c r="Y1277" i="35" l="1"/>
  <c r="X1277" i="35"/>
  <c r="U1277" i="35"/>
  <c r="S1277" i="35"/>
  <c r="R1277" i="35"/>
  <c r="Q1277" i="35"/>
  <c r="K1277" i="35"/>
  <c r="F1277" i="35"/>
  <c r="AD1277" i="35" l="1"/>
  <c r="AE1268" i="35"/>
  <c r="Y1268" i="35"/>
  <c r="X1268" i="35"/>
  <c r="U1268" i="35"/>
  <c r="S1268" i="35"/>
  <c r="R1268" i="35"/>
  <c r="Q1268" i="35"/>
  <c r="K1268" i="35"/>
  <c r="F1268" i="35"/>
  <c r="AD1268" i="35" l="1"/>
  <c r="F1267" i="35" l="1"/>
  <c r="AD1267" i="35" s="1"/>
  <c r="AF1267" i="35" s="1"/>
  <c r="AG1267" i="35" s="1"/>
  <c r="G1267" i="35"/>
  <c r="H1267" i="35"/>
  <c r="I1267" i="35"/>
  <c r="K1267" i="35"/>
  <c r="L1267" i="35"/>
  <c r="Q1267" i="35"/>
  <c r="R1267" i="35"/>
  <c r="S1267" i="35"/>
  <c r="U1267" i="35"/>
  <c r="V1267" i="35"/>
  <c r="W1267" i="35"/>
  <c r="X1267" i="35"/>
  <c r="Y1267" i="35"/>
  <c r="AE1267" i="35"/>
  <c r="F1275" i="35"/>
  <c r="K1275" i="35"/>
  <c r="Q1275" i="35"/>
  <c r="R1275" i="35"/>
  <c r="S1275" i="35"/>
  <c r="U1275" i="35"/>
  <c r="X1275" i="35"/>
  <c r="Y1275" i="35"/>
  <c r="AE1275" i="35"/>
  <c r="F1279" i="35"/>
  <c r="K1279" i="35"/>
  <c r="Q1279" i="35"/>
  <c r="R1279" i="35"/>
  <c r="S1279" i="35"/>
  <c r="U1279" i="35"/>
  <c r="X1279" i="35"/>
  <c r="Y1279" i="35"/>
  <c r="AE1279" i="35"/>
  <c r="F1280" i="35"/>
  <c r="AD1280" i="35" s="1"/>
  <c r="AF1280" i="35" s="1"/>
  <c r="AG1280" i="35" s="1"/>
  <c r="G1280" i="35"/>
  <c r="H1280" i="35"/>
  <c r="I1280" i="35"/>
  <c r="K1280" i="35"/>
  <c r="L1280" i="35"/>
  <c r="Q1280" i="35"/>
  <c r="R1280" i="35"/>
  <c r="S1280" i="35"/>
  <c r="U1280" i="35"/>
  <c r="V1280" i="35"/>
  <c r="W1280" i="35"/>
  <c r="X1280" i="35"/>
  <c r="Y1280" i="35"/>
  <c r="AE1280" i="35"/>
  <c r="F1281" i="35"/>
  <c r="K1281" i="35"/>
  <c r="Q1281" i="35"/>
  <c r="R1281" i="35"/>
  <c r="S1281" i="35"/>
  <c r="U1281" i="35"/>
  <c r="X1281" i="35"/>
  <c r="Y1281" i="35"/>
  <c r="AE1281" i="35"/>
  <c r="F1282" i="35"/>
  <c r="V1282" i="35" s="1"/>
  <c r="G1282" i="35"/>
  <c r="H1282" i="35"/>
  <c r="I1282" i="35"/>
  <c r="K1282" i="35"/>
  <c r="L1282" i="35"/>
  <c r="Q1282" i="35"/>
  <c r="R1282" i="35"/>
  <c r="S1282" i="35"/>
  <c r="U1282" i="35"/>
  <c r="X1282" i="35"/>
  <c r="Y1282" i="35"/>
  <c r="AE1282" i="35"/>
  <c r="F1283" i="35"/>
  <c r="K1283" i="35"/>
  <c r="Q1283" i="35"/>
  <c r="R1283" i="35"/>
  <c r="S1283" i="35"/>
  <c r="U1283" i="35"/>
  <c r="X1283" i="35"/>
  <c r="Y1283" i="35"/>
  <c r="AE1283" i="35"/>
  <c r="F1284" i="35"/>
  <c r="AD1284" i="35" s="1"/>
  <c r="AF1284" i="35" s="1"/>
  <c r="AG1284" i="35" s="1"/>
  <c r="G1284" i="35"/>
  <c r="H1284" i="35"/>
  <c r="K1284" i="35"/>
  <c r="L1284" i="35"/>
  <c r="Q1284" i="35"/>
  <c r="R1284" i="35"/>
  <c r="S1284" i="35"/>
  <c r="U1284" i="35"/>
  <c r="V1284" i="35"/>
  <c r="W1284" i="35"/>
  <c r="X1284" i="35"/>
  <c r="Y1284" i="35"/>
  <c r="AE1284" i="35"/>
  <c r="F1285" i="35"/>
  <c r="K1285" i="35"/>
  <c r="Q1285" i="35"/>
  <c r="R1285" i="35"/>
  <c r="S1285" i="35"/>
  <c r="U1285" i="35"/>
  <c r="X1285" i="35"/>
  <c r="Y1285" i="35"/>
  <c r="AE1285" i="35"/>
  <c r="F1286" i="35"/>
  <c r="AD1286" i="35" s="1"/>
  <c r="AF1286" i="35" s="1"/>
  <c r="AG1286" i="35" s="1"/>
  <c r="G1286" i="35"/>
  <c r="H1286" i="35"/>
  <c r="K1286" i="35"/>
  <c r="L1286" i="35"/>
  <c r="Q1286" i="35"/>
  <c r="R1286" i="35"/>
  <c r="S1286" i="35"/>
  <c r="U1286" i="35"/>
  <c r="V1286" i="35"/>
  <c r="W1286" i="35"/>
  <c r="X1286" i="35"/>
  <c r="Y1286" i="35"/>
  <c r="AE1286" i="35"/>
  <c r="F1377" i="35"/>
  <c r="G1377" i="35" s="1"/>
  <c r="K1377" i="35"/>
  <c r="Q1377" i="35"/>
  <c r="R1377" i="35"/>
  <c r="S1377" i="35"/>
  <c r="U1377" i="35"/>
  <c r="X1377" i="35"/>
  <c r="Y1377" i="35"/>
  <c r="AE1377" i="35"/>
  <c r="F1379" i="35"/>
  <c r="G1379" i="35" s="1"/>
  <c r="K1379" i="35"/>
  <c r="Q1379" i="35"/>
  <c r="R1379" i="35"/>
  <c r="S1379" i="35"/>
  <c r="U1379" i="35"/>
  <c r="X1379" i="35"/>
  <c r="Y1379" i="35"/>
  <c r="AE1379" i="35"/>
  <c r="F1381" i="35"/>
  <c r="K1381" i="35"/>
  <c r="Q1381" i="35"/>
  <c r="R1381" i="35"/>
  <c r="S1381" i="35"/>
  <c r="U1381" i="35"/>
  <c r="X1381" i="35"/>
  <c r="Y1381" i="35"/>
  <c r="AE1381" i="35"/>
  <c r="F1383" i="35"/>
  <c r="K1383" i="35"/>
  <c r="Q1383" i="35"/>
  <c r="R1383" i="35"/>
  <c r="S1383" i="35"/>
  <c r="U1383" i="35"/>
  <c r="X1383" i="35"/>
  <c r="Y1383" i="35"/>
  <c r="AE1383" i="35"/>
  <c r="F1385" i="35"/>
  <c r="G1385" i="35" s="1"/>
  <c r="K1385" i="35"/>
  <c r="Q1385" i="35"/>
  <c r="R1385" i="35"/>
  <c r="S1385" i="35"/>
  <c r="U1385" i="35"/>
  <c r="X1385" i="35"/>
  <c r="Y1385" i="35"/>
  <c r="AE1385" i="35"/>
  <c r="F1391" i="35"/>
  <c r="I1391" i="35" s="1"/>
  <c r="K1391" i="35"/>
  <c r="Q1391" i="35"/>
  <c r="R1391" i="35"/>
  <c r="S1391" i="35"/>
  <c r="U1391" i="35"/>
  <c r="X1391" i="35"/>
  <c r="Y1391" i="35"/>
  <c r="AE1391" i="35"/>
  <c r="F1395" i="35"/>
  <c r="G1395" i="35" s="1"/>
  <c r="K1395" i="35"/>
  <c r="Q1395" i="35"/>
  <c r="R1395" i="35"/>
  <c r="S1395" i="35"/>
  <c r="U1395" i="35"/>
  <c r="X1395" i="35"/>
  <c r="Y1395" i="35"/>
  <c r="AE1395" i="35"/>
  <c r="F1397" i="35"/>
  <c r="K1397" i="35"/>
  <c r="Q1397" i="35"/>
  <c r="R1397" i="35"/>
  <c r="S1397" i="35"/>
  <c r="U1397" i="35"/>
  <c r="X1397" i="35"/>
  <c r="Y1397" i="35"/>
  <c r="AE1397" i="35"/>
  <c r="F1399" i="35"/>
  <c r="G1399" i="35" s="1"/>
  <c r="K1399" i="35"/>
  <c r="Q1399" i="35"/>
  <c r="R1399" i="35"/>
  <c r="S1399" i="35"/>
  <c r="U1399" i="35"/>
  <c r="X1399" i="35"/>
  <c r="Y1399" i="35"/>
  <c r="AE1399" i="35"/>
  <c r="F1401" i="35"/>
  <c r="G1401" i="35" s="1"/>
  <c r="K1401" i="35"/>
  <c r="Q1401" i="35"/>
  <c r="R1401" i="35"/>
  <c r="S1401" i="35"/>
  <c r="U1401" i="35"/>
  <c r="X1401" i="35"/>
  <c r="Y1401" i="35"/>
  <c r="AE1401" i="35"/>
  <c r="F1403" i="35"/>
  <c r="H1403" i="35" s="1"/>
  <c r="K1403" i="35"/>
  <c r="Q1403" i="35"/>
  <c r="R1403" i="35"/>
  <c r="S1403" i="35"/>
  <c r="U1403" i="35"/>
  <c r="X1403" i="35"/>
  <c r="Y1403" i="35"/>
  <c r="AE1403" i="35"/>
  <c r="F1405" i="35"/>
  <c r="H1405" i="35" s="1"/>
  <c r="K1405" i="35"/>
  <c r="Q1405" i="35"/>
  <c r="R1405" i="35"/>
  <c r="S1405" i="35"/>
  <c r="U1405" i="35"/>
  <c r="X1405" i="35"/>
  <c r="Y1405" i="35"/>
  <c r="AE1405" i="35"/>
  <c r="F1407" i="35"/>
  <c r="I1407" i="35" s="1"/>
  <c r="K1407" i="35"/>
  <c r="Q1407" i="35"/>
  <c r="R1407" i="35"/>
  <c r="S1407" i="35"/>
  <c r="U1407" i="35"/>
  <c r="X1407" i="35"/>
  <c r="Y1407" i="35"/>
  <c r="AE1407" i="35"/>
  <c r="F1431" i="35"/>
  <c r="G1431" i="35" s="1"/>
  <c r="K1431" i="35"/>
  <c r="Q1431" i="35"/>
  <c r="R1431" i="35"/>
  <c r="S1431" i="35"/>
  <c r="U1431" i="35"/>
  <c r="X1431" i="35"/>
  <c r="Y1431" i="35"/>
  <c r="AE1431" i="35"/>
  <c r="F1435" i="35"/>
  <c r="G1435" i="35" s="1"/>
  <c r="K1435" i="35"/>
  <c r="Q1435" i="35"/>
  <c r="R1435" i="35"/>
  <c r="S1435" i="35"/>
  <c r="U1435" i="35"/>
  <c r="X1435" i="35"/>
  <c r="Y1435" i="35"/>
  <c r="AE1435" i="35"/>
  <c r="F1441" i="35"/>
  <c r="G1441" i="35" s="1"/>
  <c r="K1441" i="35"/>
  <c r="Q1441" i="35"/>
  <c r="R1441" i="35"/>
  <c r="S1441" i="35"/>
  <c r="U1441" i="35"/>
  <c r="X1441" i="35"/>
  <c r="Y1441" i="35"/>
  <c r="AE1441" i="35"/>
  <c r="F1443" i="35"/>
  <c r="H1443" i="35" s="1"/>
  <c r="K1443" i="35"/>
  <c r="Q1443" i="35"/>
  <c r="R1443" i="35"/>
  <c r="S1443" i="35"/>
  <c r="U1443" i="35"/>
  <c r="X1443" i="35"/>
  <c r="Y1443" i="35"/>
  <c r="AE1443" i="35"/>
  <c r="F1445" i="35"/>
  <c r="G1445" i="35" s="1"/>
  <c r="K1445" i="35"/>
  <c r="Q1445" i="35"/>
  <c r="R1445" i="35"/>
  <c r="S1445" i="35"/>
  <c r="U1445" i="35"/>
  <c r="X1445" i="35"/>
  <c r="Y1445" i="35"/>
  <c r="AE1445" i="35"/>
  <c r="F1447" i="35"/>
  <c r="H1447" i="35" s="1"/>
  <c r="K1447" i="35"/>
  <c r="Q1447" i="35"/>
  <c r="R1447" i="35"/>
  <c r="S1447" i="35"/>
  <c r="U1447" i="35"/>
  <c r="X1447" i="35"/>
  <c r="Y1447" i="35"/>
  <c r="AE1447" i="35"/>
  <c r="F1449" i="35"/>
  <c r="G1449" i="35" s="1"/>
  <c r="K1449" i="35"/>
  <c r="Q1449" i="35"/>
  <c r="R1449" i="35"/>
  <c r="S1449" i="35"/>
  <c r="U1449" i="35"/>
  <c r="X1449" i="35"/>
  <c r="Y1449" i="35"/>
  <c r="AE1449" i="35"/>
  <c r="F1451" i="35"/>
  <c r="H1451" i="35" s="1"/>
  <c r="K1451" i="35"/>
  <c r="Q1451" i="35"/>
  <c r="R1451" i="35"/>
  <c r="S1451" i="35"/>
  <c r="U1451" i="35"/>
  <c r="X1451" i="35"/>
  <c r="Y1451" i="35"/>
  <c r="AE1451" i="35"/>
  <c r="F2315" i="35"/>
  <c r="AD2315" i="35" s="1"/>
  <c r="AF2315" i="35" s="1"/>
  <c r="AG2315" i="35" s="1"/>
  <c r="G2315" i="35"/>
  <c r="H2315" i="35"/>
  <c r="I2315" i="35"/>
  <c r="K2315" i="35"/>
  <c r="L2315" i="35"/>
  <c r="Q2315" i="35"/>
  <c r="R2315" i="35"/>
  <c r="S2315" i="35"/>
  <c r="U2315" i="35"/>
  <c r="X2315" i="35"/>
  <c r="Y2315" i="35"/>
  <c r="AE2315" i="35"/>
  <c r="F2316" i="35"/>
  <c r="G2316" i="35"/>
  <c r="H2316" i="35"/>
  <c r="I2316" i="35"/>
  <c r="K2316" i="35"/>
  <c r="L2316" i="35"/>
  <c r="Q2316" i="35"/>
  <c r="R2316" i="35"/>
  <c r="S2316" i="35"/>
  <c r="U2316" i="35"/>
  <c r="X2316" i="35"/>
  <c r="Y2316" i="35"/>
  <c r="AE2316" i="35"/>
  <c r="F2317" i="35"/>
  <c r="AD2317" i="35" s="1"/>
  <c r="AF2317" i="35" s="1"/>
  <c r="AG2317" i="35" s="1"/>
  <c r="G2317" i="35"/>
  <c r="H2317" i="35"/>
  <c r="I2317" i="35"/>
  <c r="K2317" i="35"/>
  <c r="L2317" i="35"/>
  <c r="Q2317" i="35"/>
  <c r="R2317" i="35"/>
  <c r="S2317" i="35"/>
  <c r="U2317" i="35"/>
  <c r="X2317" i="35"/>
  <c r="Y2317" i="35"/>
  <c r="AE2317" i="35"/>
  <c r="F2318" i="35"/>
  <c r="G2318" i="35"/>
  <c r="H2318" i="35"/>
  <c r="I2318" i="35"/>
  <c r="K2318" i="35"/>
  <c r="L2318" i="35"/>
  <c r="Q2318" i="35"/>
  <c r="R2318" i="35"/>
  <c r="S2318" i="35"/>
  <c r="U2318" i="35"/>
  <c r="X2318" i="35"/>
  <c r="Y2318" i="35"/>
  <c r="AE2318" i="35"/>
  <c r="F2319" i="35"/>
  <c r="AD2319" i="35" s="1"/>
  <c r="AF2319" i="35" s="1"/>
  <c r="AG2319" i="35" s="1"/>
  <c r="G2319" i="35"/>
  <c r="H2319" i="35"/>
  <c r="I2319" i="35"/>
  <c r="K2319" i="35"/>
  <c r="L2319" i="35"/>
  <c r="Q2319" i="35"/>
  <c r="R2319" i="35"/>
  <c r="S2319" i="35"/>
  <c r="U2319" i="35"/>
  <c r="X2319" i="35"/>
  <c r="Y2319" i="35"/>
  <c r="AE2319" i="35"/>
  <c r="F2320" i="35"/>
  <c r="G2320" i="35"/>
  <c r="H2320" i="35"/>
  <c r="I2320" i="35"/>
  <c r="K2320" i="35"/>
  <c r="L2320" i="35"/>
  <c r="Q2320" i="35"/>
  <c r="R2320" i="35"/>
  <c r="S2320" i="35"/>
  <c r="U2320" i="35"/>
  <c r="X2320" i="35"/>
  <c r="Y2320" i="35"/>
  <c r="AE2320" i="35"/>
  <c r="F2321" i="35"/>
  <c r="G2321" i="35"/>
  <c r="H2321" i="35"/>
  <c r="I2321" i="35"/>
  <c r="K2321" i="35"/>
  <c r="L2321" i="35"/>
  <c r="Q2321" i="35"/>
  <c r="R2321" i="35"/>
  <c r="S2321" i="35"/>
  <c r="U2321" i="35"/>
  <c r="X2321" i="35"/>
  <c r="Y2321" i="35"/>
  <c r="AE2321" i="35"/>
  <c r="F2322" i="35"/>
  <c r="AD2322" i="35" s="1"/>
  <c r="AF2322" i="35" s="1"/>
  <c r="AG2322" i="35" s="1"/>
  <c r="G2322" i="35"/>
  <c r="H2322" i="35"/>
  <c r="I2322" i="35"/>
  <c r="K2322" i="35"/>
  <c r="L2322" i="35"/>
  <c r="Q2322" i="35"/>
  <c r="R2322" i="35"/>
  <c r="S2322" i="35"/>
  <c r="U2322" i="35"/>
  <c r="X2322" i="35"/>
  <c r="Y2322" i="35"/>
  <c r="AE2322" i="35"/>
  <c r="F2323" i="35"/>
  <c r="AD2323" i="35" s="1"/>
  <c r="AF2323" i="35" s="1"/>
  <c r="AG2323" i="35" s="1"/>
  <c r="G2323" i="35"/>
  <c r="H2323" i="35"/>
  <c r="I2323" i="35"/>
  <c r="K2323" i="35"/>
  <c r="L2323" i="35"/>
  <c r="Q2323" i="35"/>
  <c r="R2323" i="35"/>
  <c r="S2323" i="35"/>
  <c r="U2323" i="35"/>
  <c r="X2323" i="35"/>
  <c r="Y2323" i="35"/>
  <c r="AE2323" i="35"/>
  <c r="F2324" i="35"/>
  <c r="AD2324" i="35" s="1"/>
  <c r="AF2324" i="35" s="1"/>
  <c r="AG2324" i="35" s="1"/>
  <c r="G2324" i="35"/>
  <c r="H2324" i="35"/>
  <c r="I2324" i="35"/>
  <c r="K2324" i="35"/>
  <c r="L2324" i="35"/>
  <c r="Q2324" i="35"/>
  <c r="R2324" i="35"/>
  <c r="S2324" i="35"/>
  <c r="U2324" i="35"/>
  <c r="X2324" i="35"/>
  <c r="Y2324" i="35"/>
  <c r="AE2324" i="35"/>
  <c r="F2325" i="35"/>
  <c r="AD2325" i="35" s="1"/>
  <c r="AF2325" i="35" s="1"/>
  <c r="AG2325" i="35" s="1"/>
  <c r="G2325" i="35"/>
  <c r="H2325" i="35"/>
  <c r="I2325" i="35"/>
  <c r="K2325" i="35"/>
  <c r="L2325" i="35"/>
  <c r="Q2325" i="35"/>
  <c r="R2325" i="35"/>
  <c r="S2325" i="35"/>
  <c r="U2325" i="35"/>
  <c r="X2325" i="35"/>
  <c r="Y2325" i="35"/>
  <c r="AE2325" i="35"/>
  <c r="F2326" i="35"/>
  <c r="AD2326" i="35" s="1"/>
  <c r="AF2326" i="35" s="1"/>
  <c r="AG2326" i="35" s="1"/>
  <c r="G2326" i="35"/>
  <c r="H2326" i="35"/>
  <c r="I2326" i="35"/>
  <c r="K2326" i="35"/>
  <c r="L2326" i="35"/>
  <c r="Q2326" i="35"/>
  <c r="R2326" i="35"/>
  <c r="S2326" i="35"/>
  <c r="U2326" i="35"/>
  <c r="X2326" i="35"/>
  <c r="Y2326" i="35"/>
  <c r="AE2326" i="35"/>
  <c r="F2327" i="35"/>
  <c r="AD2327" i="35" s="1"/>
  <c r="AF2327" i="35" s="1"/>
  <c r="AG2327" i="35" s="1"/>
  <c r="G2327" i="35"/>
  <c r="H2327" i="35"/>
  <c r="I2327" i="35"/>
  <c r="K2327" i="35"/>
  <c r="L2327" i="35"/>
  <c r="Q2327" i="35"/>
  <c r="R2327" i="35"/>
  <c r="S2327" i="35"/>
  <c r="U2327" i="35"/>
  <c r="X2327" i="35"/>
  <c r="Y2327" i="35"/>
  <c r="AE2327" i="35"/>
  <c r="F2328" i="35"/>
  <c r="AD2328" i="35" s="1"/>
  <c r="AF2328" i="35" s="1"/>
  <c r="AG2328" i="35" s="1"/>
  <c r="G2328" i="35"/>
  <c r="H2328" i="35"/>
  <c r="I2328" i="35"/>
  <c r="K2328" i="35"/>
  <c r="L2328" i="35"/>
  <c r="Q2328" i="35"/>
  <c r="R2328" i="35"/>
  <c r="S2328" i="35"/>
  <c r="U2328" i="35"/>
  <c r="X2328" i="35"/>
  <c r="Y2328" i="35"/>
  <c r="AE2328" i="35"/>
  <c r="F2329" i="35"/>
  <c r="AD2329" i="35" s="1"/>
  <c r="AF2329" i="35" s="1"/>
  <c r="AG2329" i="35" s="1"/>
  <c r="G2329" i="35"/>
  <c r="H2329" i="35"/>
  <c r="I2329" i="35"/>
  <c r="K2329" i="35"/>
  <c r="L2329" i="35"/>
  <c r="Q2329" i="35"/>
  <c r="R2329" i="35"/>
  <c r="S2329" i="35"/>
  <c r="U2329" i="35"/>
  <c r="X2329" i="35"/>
  <c r="Y2329" i="35"/>
  <c r="AE2329" i="35"/>
  <c r="F2330" i="35"/>
  <c r="AD2330" i="35" s="1"/>
  <c r="AF2330" i="35" s="1"/>
  <c r="AG2330" i="35" s="1"/>
  <c r="G2330" i="35"/>
  <c r="H2330" i="35"/>
  <c r="I2330" i="35"/>
  <c r="K2330" i="35"/>
  <c r="L2330" i="35"/>
  <c r="Q2330" i="35"/>
  <c r="R2330" i="35"/>
  <c r="S2330" i="35"/>
  <c r="U2330" i="35"/>
  <c r="X2330" i="35"/>
  <c r="Y2330" i="35"/>
  <c r="AE2330" i="35"/>
  <c r="F2331" i="35"/>
  <c r="AD2331" i="35" s="1"/>
  <c r="AF2331" i="35" s="1"/>
  <c r="AG2331" i="35" s="1"/>
  <c r="G2331" i="35"/>
  <c r="H2331" i="35"/>
  <c r="I2331" i="35"/>
  <c r="K2331" i="35"/>
  <c r="L2331" i="35"/>
  <c r="Q2331" i="35"/>
  <c r="R2331" i="35"/>
  <c r="S2331" i="35"/>
  <c r="U2331" i="35"/>
  <c r="X2331" i="35"/>
  <c r="Y2331" i="35"/>
  <c r="AE2331" i="35"/>
  <c r="F2332" i="35"/>
  <c r="AD2332" i="35" s="1"/>
  <c r="AF2332" i="35" s="1"/>
  <c r="AG2332" i="35" s="1"/>
  <c r="G2332" i="35"/>
  <c r="H2332" i="35"/>
  <c r="I2332" i="35"/>
  <c r="K2332" i="35"/>
  <c r="L2332" i="35"/>
  <c r="Q2332" i="35"/>
  <c r="R2332" i="35"/>
  <c r="S2332" i="35"/>
  <c r="U2332" i="35"/>
  <c r="X2332" i="35"/>
  <c r="Y2332" i="35"/>
  <c r="AE2332" i="35"/>
  <c r="F2333" i="35"/>
  <c r="AD2333" i="35" s="1"/>
  <c r="AF2333" i="35" s="1"/>
  <c r="AG2333" i="35" s="1"/>
  <c r="G2333" i="35"/>
  <c r="H2333" i="35"/>
  <c r="I2333" i="35"/>
  <c r="K2333" i="35"/>
  <c r="L2333" i="35"/>
  <c r="Q2333" i="35"/>
  <c r="R2333" i="35"/>
  <c r="S2333" i="35"/>
  <c r="U2333" i="35"/>
  <c r="X2333" i="35"/>
  <c r="Y2333" i="35"/>
  <c r="AE2333" i="35"/>
  <c r="F2334" i="35"/>
  <c r="AD2334" i="35" s="1"/>
  <c r="AF2334" i="35" s="1"/>
  <c r="AG2334" i="35" s="1"/>
  <c r="G2334" i="35"/>
  <c r="H2334" i="35"/>
  <c r="I2334" i="35"/>
  <c r="K2334" i="35"/>
  <c r="L2334" i="35"/>
  <c r="Q2334" i="35"/>
  <c r="R2334" i="35"/>
  <c r="S2334" i="35"/>
  <c r="U2334" i="35"/>
  <c r="X2334" i="35"/>
  <c r="Y2334" i="35"/>
  <c r="AE2334" i="35"/>
  <c r="F2335" i="35"/>
  <c r="AD2335" i="35" s="1"/>
  <c r="AF2335" i="35" s="1"/>
  <c r="AG2335" i="35" s="1"/>
  <c r="G2335" i="35"/>
  <c r="H2335" i="35"/>
  <c r="I2335" i="35"/>
  <c r="K2335" i="35"/>
  <c r="L2335" i="35"/>
  <c r="Q2335" i="35"/>
  <c r="R2335" i="35"/>
  <c r="S2335" i="35"/>
  <c r="U2335" i="35"/>
  <c r="X2335" i="35"/>
  <c r="Y2335" i="35"/>
  <c r="AE2335" i="35"/>
  <c r="F2336" i="35"/>
  <c r="AD2336" i="35" s="1"/>
  <c r="AF2336" i="35" s="1"/>
  <c r="AG2336" i="35" s="1"/>
  <c r="G2336" i="35"/>
  <c r="H2336" i="35"/>
  <c r="I2336" i="35"/>
  <c r="K2336" i="35"/>
  <c r="L2336" i="35"/>
  <c r="Q2336" i="35"/>
  <c r="R2336" i="35"/>
  <c r="S2336" i="35"/>
  <c r="U2336" i="35"/>
  <c r="X2336" i="35"/>
  <c r="Y2336" i="35"/>
  <c r="AE2336" i="35"/>
  <c r="F2337" i="35"/>
  <c r="AD2337" i="35" s="1"/>
  <c r="AF2337" i="35" s="1"/>
  <c r="AG2337" i="35" s="1"/>
  <c r="G2337" i="35"/>
  <c r="H2337" i="35"/>
  <c r="I2337" i="35"/>
  <c r="K2337" i="35"/>
  <c r="L2337" i="35"/>
  <c r="Q2337" i="35"/>
  <c r="R2337" i="35"/>
  <c r="S2337" i="35"/>
  <c r="U2337" i="35"/>
  <c r="X2337" i="35"/>
  <c r="Y2337" i="35"/>
  <c r="AE2337" i="35"/>
  <c r="F2338" i="35"/>
  <c r="AD2338" i="35" s="1"/>
  <c r="AF2338" i="35" s="1"/>
  <c r="AG2338" i="35" s="1"/>
  <c r="G2338" i="35"/>
  <c r="H2338" i="35"/>
  <c r="I2338" i="35"/>
  <c r="K2338" i="35"/>
  <c r="L2338" i="35"/>
  <c r="Q2338" i="35"/>
  <c r="R2338" i="35"/>
  <c r="S2338" i="35"/>
  <c r="U2338" i="35"/>
  <c r="X2338" i="35"/>
  <c r="Y2338" i="35"/>
  <c r="AE2338" i="35"/>
  <c r="F2339" i="35"/>
  <c r="AD2339" i="35" s="1"/>
  <c r="AF2339" i="35" s="1"/>
  <c r="AG2339" i="35" s="1"/>
  <c r="G2339" i="35"/>
  <c r="H2339" i="35"/>
  <c r="I2339" i="35"/>
  <c r="K2339" i="35"/>
  <c r="L2339" i="35"/>
  <c r="Q2339" i="35"/>
  <c r="R2339" i="35"/>
  <c r="S2339" i="35"/>
  <c r="U2339" i="35"/>
  <c r="X2339" i="35"/>
  <c r="Y2339" i="35"/>
  <c r="AE2339" i="35"/>
  <c r="F2340" i="35"/>
  <c r="AD2340" i="35" s="1"/>
  <c r="AF2340" i="35" s="1"/>
  <c r="AG2340" i="35" s="1"/>
  <c r="G2340" i="35"/>
  <c r="H2340" i="35"/>
  <c r="I2340" i="35"/>
  <c r="K2340" i="35"/>
  <c r="L2340" i="35"/>
  <c r="Q2340" i="35"/>
  <c r="R2340" i="35"/>
  <c r="S2340" i="35"/>
  <c r="U2340" i="35"/>
  <c r="X2340" i="35"/>
  <c r="Y2340" i="35"/>
  <c r="AE2340" i="35"/>
  <c r="F2341" i="35"/>
  <c r="AD2341" i="35" s="1"/>
  <c r="AF2341" i="35" s="1"/>
  <c r="AG2341" i="35" s="1"/>
  <c r="G2341" i="35"/>
  <c r="H2341" i="35"/>
  <c r="I2341" i="35"/>
  <c r="K2341" i="35"/>
  <c r="L2341" i="35"/>
  <c r="Q2341" i="35"/>
  <c r="R2341" i="35"/>
  <c r="S2341" i="35"/>
  <c r="U2341" i="35"/>
  <c r="X2341" i="35"/>
  <c r="Y2341" i="35"/>
  <c r="AE2341" i="35"/>
  <c r="F2342" i="35"/>
  <c r="AD2342" i="35" s="1"/>
  <c r="AF2342" i="35" s="1"/>
  <c r="AG2342" i="35" s="1"/>
  <c r="G2342" i="35"/>
  <c r="H2342" i="35"/>
  <c r="I2342" i="35"/>
  <c r="K2342" i="35"/>
  <c r="L2342" i="35"/>
  <c r="Q2342" i="35"/>
  <c r="R2342" i="35"/>
  <c r="S2342" i="35"/>
  <c r="U2342" i="35"/>
  <c r="X2342" i="35"/>
  <c r="Y2342" i="35"/>
  <c r="AE2342" i="35"/>
  <c r="F2343" i="35"/>
  <c r="AD2343" i="35" s="1"/>
  <c r="AF2343" i="35" s="1"/>
  <c r="AG2343" i="35" s="1"/>
  <c r="G2343" i="35"/>
  <c r="H2343" i="35"/>
  <c r="I2343" i="35"/>
  <c r="K2343" i="35"/>
  <c r="L2343" i="35"/>
  <c r="Q2343" i="35"/>
  <c r="R2343" i="35"/>
  <c r="S2343" i="35"/>
  <c r="U2343" i="35"/>
  <c r="X2343" i="35"/>
  <c r="Y2343" i="35"/>
  <c r="AE2343" i="35"/>
  <c r="F2344" i="35"/>
  <c r="AD2344" i="35" s="1"/>
  <c r="AF2344" i="35" s="1"/>
  <c r="AG2344" i="35" s="1"/>
  <c r="G2344" i="35"/>
  <c r="H2344" i="35"/>
  <c r="I2344" i="35"/>
  <c r="K2344" i="35"/>
  <c r="L2344" i="35"/>
  <c r="Q2344" i="35"/>
  <c r="R2344" i="35"/>
  <c r="S2344" i="35"/>
  <c r="U2344" i="35"/>
  <c r="X2344" i="35"/>
  <c r="Y2344" i="35"/>
  <c r="AE2344" i="35"/>
  <c r="F2345" i="35"/>
  <c r="AD2345" i="35" s="1"/>
  <c r="AF2345" i="35" s="1"/>
  <c r="AG2345" i="35" s="1"/>
  <c r="G2345" i="35"/>
  <c r="H2345" i="35"/>
  <c r="I2345" i="35"/>
  <c r="K2345" i="35"/>
  <c r="L2345" i="35"/>
  <c r="Q2345" i="35"/>
  <c r="R2345" i="35"/>
  <c r="S2345" i="35"/>
  <c r="U2345" i="35"/>
  <c r="X2345" i="35"/>
  <c r="Y2345" i="35"/>
  <c r="AE2345" i="35"/>
  <c r="F2346" i="35"/>
  <c r="AD2346" i="35" s="1"/>
  <c r="AF2346" i="35" s="1"/>
  <c r="AG2346" i="35" s="1"/>
  <c r="G2346" i="35"/>
  <c r="H2346" i="35"/>
  <c r="I2346" i="35"/>
  <c r="K2346" i="35"/>
  <c r="L2346" i="35"/>
  <c r="Q2346" i="35"/>
  <c r="R2346" i="35"/>
  <c r="S2346" i="35"/>
  <c r="U2346" i="35"/>
  <c r="X2346" i="35"/>
  <c r="Y2346" i="35"/>
  <c r="AE2346" i="35"/>
  <c r="F2347" i="35"/>
  <c r="AD2347" i="35" s="1"/>
  <c r="AF2347" i="35" s="1"/>
  <c r="AG2347" i="35" s="1"/>
  <c r="G2347" i="35"/>
  <c r="H2347" i="35"/>
  <c r="I2347" i="35"/>
  <c r="K2347" i="35"/>
  <c r="L2347" i="35"/>
  <c r="Q2347" i="35"/>
  <c r="R2347" i="35"/>
  <c r="S2347" i="35"/>
  <c r="U2347" i="35"/>
  <c r="X2347" i="35"/>
  <c r="Y2347" i="35"/>
  <c r="AE2347" i="35"/>
  <c r="F2348" i="35"/>
  <c r="AD2348" i="35" s="1"/>
  <c r="AF2348" i="35" s="1"/>
  <c r="AG2348" i="35" s="1"/>
  <c r="G2348" i="35"/>
  <c r="H2348" i="35"/>
  <c r="I2348" i="35"/>
  <c r="K2348" i="35"/>
  <c r="L2348" i="35"/>
  <c r="Q2348" i="35"/>
  <c r="R2348" i="35"/>
  <c r="S2348" i="35"/>
  <c r="U2348" i="35"/>
  <c r="X2348" i="35"/>
  <c r="Y2348" i="35"/>
  <c r="AE2348" i="35"/>
  <c r="F2349" i="35"/>
  <c r="AD2349" i="35" s="1"/>
  <c r="AF2349" i="35" s="1"/>
  <c r="AG2349" i="35" s="1"/>
  <c r="G2349" i="35"/>
  <c r="H2349" i="35"/>
  <c r="I2349" i="35"/>
  <c r="K2349" i="35"/>
  <c r="L2349" i="35"/>
  <c r="Q2349" i="35"/>
  <c r="R2349" i="35"/>
  <c r="S2349" i="35"/>
  <c r="U2349" i="35"/>
  <c r="X2349" i="35"/>
  <c r="Y2349" i="35"/>
  <c r="AE2349" i="35"/>
  <c r="F2350" i="35"/>
  <c r="AD2350" i="35" s="1"/>
  <c r="AF2350" i="35" s="1"/>
  <c r="AG2350" i="35" s="1"/>
  <c r="G2350" i="35"/>
  <c r="H2350" i="35"/>
  <c r="I2350" i="35"/>
  <c r="K2350" i="35"/>
  <c r="L2350" i="35"/>
  <c r="Q2350" i="35"/>
  <c r="R2350" i="35"/>
  <c r="S2350" i="35"/>
  <c r="U2350" i="35"/>
  <c r="X2350" i="35"/>
  <c r="Y2350" i="35"/>
  <c r="AE2350" i="35"/>
  <c r="F2351" i="35"/>
  <c r="G2351" i="35"/>
  <c r="H2351" i="35"/>
  <c r="I2351" i="35"/>
  <c r="K2351" i="35"/>
  <c r="L2351" i="35"/>
  <c r="Q2351" i="35"/>
  <c r="R2351" i="35"/>
  <c r="S2351" i="35"/>
  <c r="U2351" i="35"/>
  <c r="X2351" i="35"/>
  <c r="Y2351" i="35"/>
  <c r="AE2351" i="35"/>
  <c r="F2352" i="35"/>
  <c r="AD2352" i="35" s="1"/>
  <c r="AF2352" i="35" s="1"/>
  <c r="AG2352" i="35" s="1"/>
  <c r="G2352" i="35"/>
  <c r="H2352" i="35"/>
  <c r="I2352" i="35"/>
  <c r="K2352" i="35"/>
  <c r="L2352" i="35"/>
  <c r="Q2352" i="35"/>
  <c r="R2352" i="35"/>
  <c r="S2352" i="35"/>
  <c r="U2352" i="35"/>
  <c r="X2352" i="35"/>
  <c r="Y2352" i="35"/>
  <c r="AE2352" i="35"/>
  <c r="F2353" i="35"/>
  <c r="AD2353" i="35" s="1"/>
  <c r="AF2353" i="35" s="1"/>
  <c r="AG2353" i="35" s="1"/>
  <c r="G2353" i="35"/>
  <c r="H2353" i="35"/>
  <c r="I2353" i="35"/>
  <c r="K2353" i="35"/>
  <c r="L2353" i="35"/>
  <c r="Q2353" i="35"/>
  <c r="R2353" i="35"/>
  <c r="S2353" i="35"/>
  <c r="U2353" i="35"/>
  <c r="X2353" i="35"/>
  <c r="Y2353" i="35"/>
  <c r="AE2353" i="35"/>
  <c r="F2354" i="35"/>
  <c r="AD2354" i="35" s="1"/>
  <c r="AF2354" i="35" s="1"/>
  <c r="AG2354" i="35" s="1"/>
  <c r="G2354" i="35"/>
  <c r="H2354" i="35"/>
  <c r="I2354" i="35"/>
  <c r="K2354" i="35"/>
  <c r="L2354" i="35"/>
  <c r="Q2354" i="35"/>
  <c r="R2354" i="35"/>
  <c r="S2354" i="35"/>
  <c r="U2354" i="35"/>
  <c r="X2354" i="35"/>
  <c r="Y2354" i="35"/>
  <c r="AE2354" i="35"/>
  <c r="F2355" i="35"/>
  <c r="AD2355" i="35" s="1"/>
  <c r="AF2355" i="35" s="1"/>
  <c r="AG2355" i="35" s="1"/>
  <c r="G2355" i="35"/>
  <c r="H2355" i="35"/>
  <c r="I2355" i="35"/>
  <c r="K2355" i="35"/>
  <c r="L2355" i="35"/>
  <c r="Q2355" i="35"/>
  <c r="R2355" i="35"/>
  <c r="S2355" i="35"/>
  <c r="U2355" i="35"/>
  <c r="X2355" i="35"/>
  <c r="Y2355" i="35"/>
  <c r="AE2355" i="35"/>
  <c r="F2356" i="35"/>
  <c r="AD2356" i="35" s="1"/>
  <c r="AF2356" i="35" s="1"/>
  <c r="AG2356" i="35" s="1"/>
  <c r="G2356" i="35"/>
  <c r="H2356" i="35"/>
  <c r="I2356" i="35"/>
  <c r="K2356" i="35"/>
  <c r="L2356" i="35"/>
  <c r="Q2356" i="35"/>
  <c r="R2356" i="35"/>
  <c r="S2356" i="35"/>
  <c r="U2356" i="35"/>
  <c r="X2356" i="35"/>
  <c r="Y2356" i="35"/>
  <c r="AE2356" i="35"/>
  <c r="F2357" i="35"/>
  <c r="AD2357" i="35" s="1"/>
  <c r="AF2357" i="35" s="1"/>
  <c r="AG2357" i="35" s="1"/>
  <c r="G2357" i="35"/>
  <c r="H2357" i="35"/>
  <c r="I2357" i="35"/>
  <c r="K2357" i="35"/>
  <c r="L2357" i="35"/>
  <c r="Q2357" i="35"/>
  <c r="R2357" i="35"/>
  <c r="S2357" i="35"/>
  <c r="U2357" i="35"/>
  <c r="X2357" i="35"/>
  <c r="Y2357" i="35"/>
  <c r="AE2357" i="35"/>
  <c r="F2358" i="35"/>
  <c r="AD2358" i="35" s="1"/>
  <c r="AF2358" i="35" s="1"/>
  <c r="AG2358" i="35" s="1"/>
  <c r="G2358" i="35"/>
  <c r="H2358" i="35"/>
  <c r="I2358" i="35"/>
  <c r="K2358" i="35"/>
  <c r="L2358" i="35"/>
  <c r="Q2358" i="35"/>
  <c r="R2358" i="35"/>
  <c r="S2358" i="35"/>
  <c r="U2358" i="35"/>
  <c r="X2358" i="35"/>
  <c r="Y2358" i="35"/>
  <c r="AE2358" i="35"/>
  <c r="F2359" i="35"/>
  <c r="AD2359" i="35" s="1"/>
  <c r="AF2359" i="35" s="1"/>
  <c r="AG2359" i="35" s="1"/>
  <c r="G2359" i="35"/>
  <c r="H2359" i="35"/>
  <c r="I2359" i="35"/>
  <c r="K2359" i="35"/>
  <c r="L2359" i="35"/>
  <c r="Q2359" i="35"/>
  <c r="R2359" i="35"/>
  <c r="S2359" i="35"/>
  <c r="U2359" i="35"/>
  <c r="X2359" i="35"/>
  <c r="Y2359" i="35"/>
  <c r="AE2359" i="35"/>
  <c r="F2360" i="35"/>
  <c r="AD2360" i="35" s="1"/>
  <c r="AF2360" i="35" s="1"/>
  <c r="AG2360" i="35" s="1"/>
  <c r="G2360" i="35"/>
  <c r="H2360" i="35"/>
  <c r="I2360" i="35"/>
  <c r="K2360" i="35"/>
  <c r="L2360" i="35"/>
  <c r="Q2360" i="35"/>
  <c r="R2360" i="35"/>
  <c r="S2360" i="35"/>
  <c r="U2360" i="35"/>
  <c r="X2360" i="35"/>
  <c r="Y2360" i="35"/>
  <c r="AE2360" i="35"/>
  <c r="F2361" i="35"/>
  <c r="AD2361" i="35" s="1"/>
  <c r="AF2361" i="35" s="1"/>
  <c r="AG2361" i="35" s="1"/>
  <c r="G2361" i="35"/>
  <c r="H2361" i="35"/>
  <c r="I2361" i="35"/>
  <c r="K2361" i="35"/>
  <c r="L2361" i="35"/>
  <c r="Q2361" i="35"/>
  <c r="R2361" i="35"/>
  <c r="S2361" i="35"/>
  <c r="U2361" i="35"/>
  <c r="X2361" i="35"/>
  <c r="Y2361" i="35"/>
  <c r="AE2361" i="35"/>
  <c r="F2362" i="35"/>
  <c r="AD2362" i="35" s="1"/>
  <c r="AF2362" i="35" s="1"/>
  <c r="AG2362" i="35" s="1"/>
  <c r="G2362" i="35"/>
  <c r="H2362" i="35"/>
  <c r="I2362" i="35"/>
  <c r="K2362" i="35"/>
  <c r="L2362" i="35"/>
  <c r="Q2362" i="35"/>
  <c r="R2362" i="35"/>
  <c r="S2362" i="35"/>
  <c r="U2362" i="35"/>
  <c r="X2362" i="35"/>
  <c r="Y2362" i="35"/>
  <c r="AE2362" i="35"/>
  <c r="F2363" i="35"/>
  <c r="AD2363" i="35" s="1"/>
  <c r="AF2363" i="35" s="1"/>
  <c r="AG2363" i="35" s="1"/>
  <c r="G2363" i="35"/>
  <c r="H2363" i="35"/>
  <c r="I2363" i="35"/>
  <c r="K2363" i="35"/>
  <c r="L2363" i="35"/>
  <c r="Q2363" i="35"/>
  <c r="R2363" i="35"/>
  <c r="S2363" i="35"/>
  <c r="U2363" i="35"/>
  <c r="X2363" i="35"/>
  <c r="Y2363" i="35"/>
  <c r="AE2363" i="35"/>
  <c r="F2364" i="35"/>
  <c r="AD2364" i="35" s="1"/>
  <c r="AF2364" i="35" s="1"/>
  <c r="AG2364" i="35" s="1"/>
  <c r="G2364" i="35"/>
  <c r="H2364" i="35"/>
  <c r="I2364" i="35"/>
  <c r="K2364" i="35"/>
  <c r="L2364" i="35"/>
  <c r="Q2364" i="35"/>
  <c r="R2364" i="35"/>
  <c r="S2364" i="35"/>
  <c r="U2364" i="35"/>
  <c r="X2364" i="35"/>
  <c r="Y2364" i="35"/>
  <c r="AE2364" i="35"/>
  <c r="F2365" i="35"/>
  <c r="AD2365" i="35" s="1"/>
  <c r="AF2365" i="35" s="1"/>
  <c r="AG2365" i="35" s="1"/>
  <c r="G2365" i="35"/>
  <c r="H2365" i="35"/>
  <c r="I2365" i="35"/>
  <c r="K2365" i="35"/>
  <c r="L2365" i="35"/>
  <c r="Q2365" i="35"/>
  <c r="R2365" i="35"/>
  <c r="S2365" i="35"/>
  <c r="U2365" i="35"/>
  <c r="X2365" i="35"/>
  <c r="Y2365" i="35"/>
  <c r="AE2365" i="35"/>
  <c r="F2366" i="35"/>
  <c r="AD2366" i="35" s="1"/>
  <c r="AF2366" i="35" s="1"/>
  <c r="AG2366" i="35" s="1"/>
  <c r="G2366" i="35"/>
  <c r="H2366" i="35"/>
  <c r="I2366" i="35"/>
  <c r="K2366" i="35"/>
  <c r="L2366" i="35"/>
  <c r="Q2366" i="35"/>
  <c r="R2366" i="35"/>
  <c r="S2366" i="35"/>
  <c r="U2366" i="35"/>
  <c r="X2366" i="35"/>
  <c r="Y2366" i="35"/>
  <c r="AE2366" i="35"/>
  <c r="F2367" i="35"/>
  <c r="AD2367" i="35" s="1"/>
  <c r="AF2367" i="35" s="1"/>
  <c r="AG2367" i="35" s="1"/>
  <c r="G2367" i="35"/>
  <c r="H2367" i="35"/>
  <c r="I2367" i="35"/>
  <c r="K2367" i="35"/>
  <c r="L2367" i="35"/>
  <c r="Q2367" i="35"/>
  <c r="R2367" i="35"/>
  <c r="S2367" i="35"/>
  <c r="U2367" i="35"/>
  <c r="X2367" i="35"/>
  <c r="Y2367" i="35"/>
  <c r="AE2367" i="35"/>
  <c r="F2368" i="35"/>
  <c r="AD2368" i="35" s="1"/>
  <c r="AF2368" i="35" s="1"/>
  <c r="AG2368" i="35" s="1"/>
  <c r="G2368" i="35"/>
  <c r="H2368" i="35"/>
  <c r="I2368" i="35"/>
  <c r="K2368" i="35"/>
  <c r="L2368" i="35"/>
  <c r="Q2368" i="35"/>
  <c r="R2368" i="35"/>
  <c r="S2368" i="35"/>
  <c r="U2368" i="35"/>
  <c r="X2368" i="35"/>
  <c r="Y2368" i="35"/>
  <c r="AE2368" i="35"/>
  <c r="G1391" i="35" l="1"/>
  <c r="H1395" i="35"/>
  <c r="I1443" i="35"/>
  <c r="G1443" i="35"/>
  <c r="L1449" i="35"/>
  <c r="H1435" i="35"/>
  <c r="L1447" i="35"/>
  <c r="G1405" i="35"/>
  <c r="I1447" i="35"/>
  <c r="G1447" i="35"/>
  <c r="L1451" i="35"/>
  <c r="I1451" i="35"/>
  <c r="G1451" i="35"/>
  <c r="I1449" i="35"/>
  <c r="I1431" i="35"/>
  <c r="H1431" i="35"/>
  <c r="G1407" i="35"/>
  <c r="L1443" i="35"/>
  <c r="L1445" i="35"/>
  <c r="H1449" i="35"/>
  <c r="L1441" i="35"/>
  <c r="I1445" i="35"/>
  <c r="H1445" i="35"/>
  <c r="I1441" i="35"/>
  <c r="H1441" i="35"/>
  <c r="AD1451" i="35"/>
  <c r="G1403" i="35"/>
  <c r="H1391" i="35"/>
  <c r="AD1449" i="35"/>
  <c r="AD1447" i="35"/>
  <c r="AD1435" i="35"/>
  <c r="AD1441" i="35"/>
  <c r="L1431" i="35"/>
  <c r="L1435" i="35"/>
  <c r="I1435" i="35"/>
  <c r="H1401" i="35"/>
  <c r="AD1431" i="35"/>
  <c r="L1403" i="35"/>
  <c r="L1401" i="35"/>
  <c r="L1399" i="35"/>
  <c r="I1405" i="35"/>
  <c r="I1403" i="35"/>
  <c r="H1407" i="35"/>
  <c r="I1401" i="35"/>
  <c r="I1399" i="35"/>
  <c r="H1399" i="35"/>
  <c r="L1383" i="35"/>
  <c r="L1395" i="35"/>
  <c r="L1405" i="35"/>
  <c r="AD1381" i="35"/>
  <c r="G1383" i="35"/>
  <c r="L1377" i="35"/>
  <c r="L1379" i="35"/>
  <c r="I1395" i="35"/>
  <c r="I1383" i="35"/>
  <c r="I1381" i="35"/>
  <c r="I1379" i="35"/>
  <c r="I1377" i="35"/>
  <c r="L1391" i="35"/>
  <c r="H1383" i="35"/>
  <c r="H1381" i="35"/>
  <c r="H1379" i="35"/>
  <c r="H1377" i="35"/>
  <c r="G1381" i="35"/>
  <c r="L1407" i="35"/>
  <c r="AD1403" i="35"/>
  <c r="AD1399" i="35"/>
  <c r="L1397" i="35"/>
  <c r="I1397" i="35"/>
  <c r="H1397" i="35"/>
  <c r="G1397" i="35"/>
  <c r="AD1395" i="35"/>
  <c r="AD1391" i="35"/>
  <c r="AD1385" i="35"/>
  <c r="I1385" i="35"/>
  <c r="H1385" i="35"/>
  <c r="L1385" i="35"/>
  <c r="L1381" i="35"/>
  <c r="G1739" i="33"/>
  <c r="H1739" i="33"/>
  <c r="I1739" i="33"/>
  <c r="H1287" i="35"/>
  <c r="I1287" i="35"/>
  <c r="G1287" i="35"/>
  <c r="I1677" i="33"/>
  <c r="G1677" i="33"/>
  <c r="H1677" i="33"/>
  <c r="I1297" i="35"/>
  <c r="I1301" i="35"/>
  <c r="G1301" i="35"/>
  <c r="G1297" i="35"/>
  <c r="H1301" i="35"/>
  <c r="H1297" i="35"/>
  <c r="G1299" i="35"/>
  <c r="I1299" i="35"/>
  <c r="H1299" i="35"/>
  <c r="I1662" i="33"/>
  <c r="G1662" i="33"/>
  <c r="H1662" i="33"/>
  <c r="I1735" i="33"/>
  <c r="I1724" i="33"/>
  <c r="G1720" i="33"/>
  <c r="G1722" i="33"/>
  <c r="G1731" i="33"/>
  <c r="G1737" i="33"/>
  <c r="I1731" i="33"/>
  <c r="G1730" i="33"/>
  <c r="H1726" i="33"/>
  <c r="H1720" i="33"/>
  <c r="H1737" i="33"/>
  <c r="I1726" i="33"/>
  <c r="G1714" i="33"/>
  <c r="G1716" i="33"/>
  <c r="H1733" i="33"/>
  <c r="I1737" i="33"/>
  <c r="G1718" i="33"/>
  <c r="I1722" i="33"/>
  <c r="G1735" i="33"/>
  <c r="H1735" i="33"/>
  <c r="H1722" i="33"/>
  <c r="I1714" i="33"/>
  <c r="G1733" i="33"/>
  <c r="H1718" i="33"/>
  <c r="H1714" i="33"/>
  <c r="I1718" i="33"/>
  <c r="H1730" i="33"/>
  <c r="H1716" i="33"/>
  <c r="G1724" i="33"/>
  <c r="H1728" i="33"/>
  <c r="I1730" i="33"/>
  <c r="I1720" i="33"/>
  <c r="I1716" i="33"/>
  <c r="I1728" i="33"/>
  <c r="I1733" i="33"/>
  <c r="H1731" i="33"/>
  <c r="H1724" i="33"/>
  <c r="G1726" i="33"/>
  <c r="G1728" i="33"/>
  <c r="G1337" i="35"/>
  <c r="G1343" i="35"/>
  <c r="G1327" i="35"/>
  <c r="G1311" i="35"/>
  <c r="H1309" i="35"/>
  <c r="G1305" i="35"/>
  <c r="I1295" i="35"/>
  <c r="I1305" i="35"/>
  <c r="I1329" i="35"/>
  <c r="I1321" i="35"/>
  <c r="H1313" i="35"/>
  <c r="I1319" i="35"/>
  <c r="G1329" i="35"/>
  <c r="I1341" i="35"/>
  <c r="H1343" i="35"/>
  <c r="H1327" i="35"/>
  <c r="I1313" i="35"/>
  <c r="H1305" i="35"/>
  <c r="I1309" i="35"/>
  <c r="H1293" i="35"/>
  <c r="G1303" i="35"/>
  <c r="H1341" i="35"/>
  <c r="G1309" i="35"/>
  <c r="G1339" i="35"/>
  <c r="H1335" i="35"/>
  <c r="G1323" i="35"/>
  <c r="I1311" i="35"/>
  <c r="I1327" i="35"/>
  <c r="G1295" i="35"/>
  <c r="G1307" i="35"/>
  <c r="G1325" i="35"/>
  <c r="G1313" i="35"/>
  <c r="I1323" i="35"/>
  <c r="H1303" i="35"/>
  <c r="G1341" i="35"/>
  <c r="I1339" i="35"/>
  <c r="H1339" i="35"/>
  <c r="I1335" i="35"/>
  <c r="I1303" i="35"/>
  <c r="G1319" i="35"/>
  <c r="G1335" i="35"/>
  <c r="H1323" i="35"/>
  <c r="H1311" i="35"/>
  <c r="H1307" i="35"/>
  <c r="I1293" i="35"/>
  <c r="I1325" i="35"/>
  <c r="G1321" i="35"/>
  <c r="I1343" i="35"/>
  <c r="H1337" i="35"/>
  <c r="H1319" i="35"/>
  <c r="I1337" i="35"/>
  <c r="H1329" i="35"/>
  <c r="H1321" i="35"/>
  <c r="H1325" i="35"/>
  <c r="G1293" i="35"/>
  <c r="I1307" i="35"/>
  <c r="H1295" i="35"/>
  <c r="H1654" i="33"/>
  <c r="I1695" i="33"/>
  <c r="H1691" i="33"/>
  <c r="G1695" i="33"/>
  <c r="G1654" i="33"/>
  <c r="I1660" i="33"/>
  <c r="H1693" i="33"/>
  <c r="H1695" i="33"/>
  <c r="G1664" i="33"/>
  <c r="G1660" i="33"/>
  <c r="H1660" i="33"/>
  <c r="I1656" i="33"/>
  <c r="I1687" i="33"/>
  <c r="G1685" i="33"/>
  <c r="G1683" i="33"/>
  <c r="G1666" i="33"/>
  <c r="H1689" i="33"/>
  <c r="I1696" i="33"/>
  <c r="I1664" i="33"/>
  <c r="G1693" i="33"/>
  <c r="I1666" i="33"/>
  <c r="I1683" i="33"/>
  <c r="G1687" i="33"/>
  <c r="G1672" i="33"/>
  <c r="I1672" i="33"/>
  <c r="H1685" i="33"/>
  <c r="H1683" i="33"/>
  <c r="I1654" i="33"/>
  <c r="I1693" i="33"/>
  <c r="G1658" i="33"/>
  <c r="I1685" i="33"/>
  <c r="H1656" i="33"/>
  <c r="G1689" i="33"/>
  <c r="H1658" i="33"/>
  <c r="H1666" i="33"/>
  <c r="H1672" i="33"/>
  <c r="G1691" i="33"/>
  <c r="G1696" i="33"/>
  <c r="H1696" i="33"/>
  <c r="H1687" i="33"/>
  <c r="I1691" i="33"/>
  <c r="H1664" i="33"/>
  <c r="G1656" i="33"/>
  <c r="I1658" i="33"/>
  <c r="I1689" i="33"/>
  <c r="H1702" i="33"/>
  <c r="G1702" i="33"/>
  <c r="I1702" i="33"/>
  <c r="I1670" i="33"/>
  <c r="G1670" i="33"/>
  <c r="H1670" i="33"/>
  <c r="I1700" i="33"/>
  <c r="G1700" i="33"/>
  <c r="H1700" i="33"/>
  <c r="I1652" i="33"/>
  <c r="H1652" i="33"/>
  <c r="G1652" i="33"/>
  <c r="H1668" i="33"/>
  <c r="I1698" i="33"/>
  <c r="G1698" i="33"/>
  <c r="H1650" i="33"/>
  <c r="I1650" i="33"/>
  <c r="G1650" i="33"/>
  <c r="G1668" i="33"/>
  <c r="I1668" i="33"/>
  <c r="H1698" i="33"/>
  <c r="H1595" i="33"/>
  <c r="G1271" i="35"/>
  <c r="H1271" i="35"/>
  <c r="I1271" i="35"/>
  <c r="G1596" i="33"/>
  <c r="H1596" i="33"/>
  <c r="H1270" i="35"/>
  <c r="G1270" i="35"/>
  <c r="I1270" i="35"/>
  <c r="I1595" i="33"/>
  <c r="I1596" i="33"/>
  <c r="G1595" i="33"/>
  <c r="H1273" i="35"/>
  <c r="I1273" i="35"/>
  <c r="G1273" i="35"/>
  <c r="I1277" i="35"/>
  <c r="G1277" i="35"/>
  <c r="H1277" i="35"/>
  <c r="I1268" i="35"/>
  <c r="G1268" i="35"/>
  <c r="H1268" i="35"/>
  <c r="AD1275" i="35"/>
  <c r="I1281" i="35"/>
  <c r="G1275" i="35"/>
  <c r="G1285" i="35"/>
  <c r="AD1397" i="35"/>
  <c r="H1281" i="35"/>
  <c r="AD2318" i="35"/>
  <c r="AF2318" i="35" s="1"/>
  <c r="AG2318" i="35" s="1"/>
  <c r="AD1405" i="35"/>
  <c r="AD1379" i="35"/>
  <c r="H1285" i="35"/>
  <c r="G1281" i="35"/>
  <c r="AD2316" i="35"/>
  <c r="AF2316" i="35" s="1"/>
  <c r="AG2316" i="35" s="1"/>
  <c r="AD2351" i="35"/>
  <c r="AF2351" i="35" s="1"/>
  <c r="AG2351" i="35" s="1"/>
  <c r="AD2320" i="35"/>
  <c r="AF2320" i="35" s="1"/>
  <c r="AG2320" i="35" s="1"/>
  <c r="AD1445" i="35"/>
  <c r="AD1401" i="35"/>
  <c r="AD1383" i="35"/>
  <c r="AD1279" i="35"/>
  <c r="I1279" i="35"/>
  <c r="AD1285" i="35"/>
  <c r="H1279" i="35"/>
  <c r="I1283" i="35"/>
  <c r="H1283" i="35"/>
  <c r="W1282" i="35"/>
  <c r="I1285" i="35"/>
  <c r="G1283" i="35"/>
  <c r="AD1282" i="35"/>
  <c r="AF1282" i="35" s="1"/>
  <c r="AG1282" i="35" s="1"/>
  <c r="AD1281" i="35"/>
  <c r="G1279" i="35"/>
  <c r="I1275" i="35"/>
  <c r="H1275" i="35"/>
  <c r="AD2321" i="35"/>
  <c r="AF2321" i="35" s="1"/>
  <c r="AG2321" i="35" s="1"/>
  <c r="AD1443" i="35"/>
  <c r="AD1407" i="35"/>
  <c r="AD1377" i="35"/>
  <c r="AD1283" i="35"/>
  <c r="F1642" i="33"/>
  <c r="Y1254" i="35"/>
  <c r="X1254" i="35"/>
  <c r="W1254" i="35"/>
  <c r="V1254" i="35"/>
  <c r="U1254" i="35"/>
  <c r="S1254" i="35"/>
  <c r="R1254" i="35"/>
  <c r="Q1254" i="35"/>
  <c r="K1254" i="35"/>
  <c r="F1254" i="35"/>
  <c r="Y1252" i="35"/>
  <c r="X1252" i="35"/>
  <c r="W1252" i="35"/>
  <c r="V1252" i="35"/>
  <c r="U1252" i="35"/>
  <c r="S1252" i="35"/>
  <c r="R1252" i="35"/>
  <c r="Q1252" i="35"/>
  <c r="K1252" i="35"/>
  <c r="F1252" i="35"/>
  <c r="V1287" i="35" l="1"/>
  <c r="W1287" i="35"/>
  <c r="AB1677" i="33"/>
  <c r="W1301" i="35"/>
  <c r="W1299" i="35"/>
  <c r="V1299" i="35"/>
  <c r="V1297" i="35"/>
  <c r="V1301" i="35"/>
  <c r="W1297" i="35"/>
  <c r="AB1662" i="33"/>
  <c r="AB1737" i="33"/>
  <c r="W1728" i="33"/>
  <c r="W1716" i="33"/>
  <c r="X1718" i="33"/>
  <c r="W1733" i="33"/>
  <c r="X1716" i="33"/>
  <c r="W1722" i="33"/>
  <c r="X1737" i="33"/>
  <c r="X1735" i="33"/>
  <c r="W1730" i="33"/>
  <c r="X1720" i="33"/>
  <c r="W1731" i="33"/>
  <c r="W1714" i="33"/>
  <c r="X1714" i="33"/>
  <c r="X1731" i="33"/>
  <c r="X1728" i="33"/>
  <c r="X1722" i="33"/>
  <c r="X1733" i="33"/>
  <c r="W1735" i="33"/>
  <c r="X1726" i="33"/>
  <c r="W1720" i="33"/>
  <c r="W1726" i="33"/>
  <c r="W1737" i="33"/>
  <c r="W1724" i="33"/>
  <c r="X1730" i="33"/>
  <c r="X1724" i="33"/>
  <c r="W1718" i="33"/>
  <c r="V1339" i="35"/>
  <c r="V1335" i="35"/>
  <c r="W1323" i="35"/>
  <c r="W1321" i="35"/>
  <c r="V1311" i="35"/>
  <c r="W1325" i="35"/>
  <c r="W1319" i="35"/>
  <c r="V1293" i="35"/>
  <c r="W1303" i="35"/>
  <c r="V1295" i="35"/>
  <c r="W1339" i="35"/>
  <c r="W1335" i="35"/>
  <c r="W1307" i="35"/>
  <c r="W1309" i="35"/>
  <c r="V1309" i="35"/>
  <c r="V1321" i="35"/>
  <c r="V1319" i="35"/>
  <c r="V1303" i="35"/>
  <c r="V1337" i="35"/>
  <c r="W1337" i="35"/>
  <c r="V1341" i="35"/>
  <c r="V1327" i="35"/>
  <c r="V1343" i="35"/>
  <c r="V1305" i="35"/>
  <c r="W1305" i="35"/>
  <c r="W1341" i="35"/>
  <c r="W1327" i="35"/>
  <c r="W1343" i="35"/>
  <c r="W1311" i="35"/>
  <c r="V1313" i="35"/>
  <c r="W1313" i="35"/>
  <c r="V1307" i="35"/>
  <c r="W1293" i="35"/>
  <c r="V1329" i="35"/>
  <c r="V1325" i="35"/>
  <c r="W1329" i="35"/>
  <c r="W1295" i="35"/>
  <c r="V1323" i="35"/>
  <c r="AB1660" i="33"/>
  <c r="AB1666" i="33"/>
  <c r="AB1664" i="33"/>
  <c r="AB1689" i="33"/>
  <c r="AB1695" i="33"/>
  <c r="AB1658" i="33"/>
  <c r="AB1654" i="33"/>
  <c r="AB1693" i="33"/>
  <c r="AB1691" i="33"/>
  <c r="AB1685" i="33"/>
  <c r="AB1683" i="33"/>
  <c r="AB1672" i="33"/>
  <c r="AB1687" i="33"/>
  <c r="AB1656" i="33"/>
  <c r="AB1702" i="33"/>
  <c r="AB1670" i="33"/>
  <c r="AB1700" i="33"/>
  <c r="L1739" i="33"/>
  <c r="L1287" i="35"/>
  <c r="L1677" i="33"/>
  <c r="L1301" i="35"/>
  <c r="L1297" i="35"/>
  <c r="L1299" i="35"/>
  <c r="L1662" i="33"/>
  <c r="L1733" i="33"/>
  <c r="L1728" i="33"/>
  <c r="L1731" i="33"/>
  <c r="L1724" i="33"/>
  <c r="L1722" i="33"/>
  <c r="L1737" i="33"/>
  <c r="L1726" i="33"/>
  <c r="L1735" i="33"/>
  <c r="L1720" i="33"/>
  <c r="L1730" i="33"/>
  <c r="L1718" i="33"/>
  <c r="L1716" i="33"/>
  <c r="L1714" i="33"/>
  <c r="L1323" i="35"/>
  <c r="L1319" i="35"/>
  <c r="L1341" i="35"/>
  <c r="L1293" i="35"/>
  <c r="L1313" i="35"/>
  <c r="L1329" i="35"/>
  <c r="L1307" i="35"/>
  <c r="L1311" i="35"/>
  <c r="L1295" i="35"/>
  <c r="L1305" i="35"/>
  <c r="L1327" i="35"/>
  <c r="L1325" i="35"/>
  <c r="L1343" i="35"/>
  <c r="L1339" i="35"/>
  <c r="L1337" i="35"/>
  <c r="L1335" i="35"/>
  <c r="L1303" i="35"/>
  <c r="L1321" i="35"/>
  <c r="L1309" i="35"/>
  <c r="L1696" i="33"/>
  <c r="L1664" i="33"/>
  <c r="L1660" i="33"/>
  <c r="L1691" i="33"/>
  <c r="L1666" i="33"/>
  <c r="L1672" i="33"/>
  <c r="L1654" i="33"/>
  <c r="L1695" i="33"/>
  <c r="L1689" i="33"/>
  <c r="L1693" i="33"/>
  <c r="L1685" i="33"/>
  <c r="L1687" i="33"/>
  <c r="L1656" i="33"/>
  <c r="L1658" i="33"/>
  <c r="L1683" i="33"/>
  <c r="L1702" i="33"/>
  <c r="L1670" i="33"/>
  <c r="L1700" i="33"/>
  <c r="AE1230" i="35"/>
  <c r="AF1648" i="33" l="1"/>
  <c r="V1648" i="33"/>
  <c r="T1648" i="33"/>
  <c r="Z1648" i="33" s="1"/>
  <c r="S1648" i="33"/>
  <c r="R1648" i="33"/>
  <c r="K1648" i="33"/>
  <c r="F1648" i="33"/>
  <c r="AF1646" i="33"/>
  <c r="V1646" i="33"/>
  <c r="T1646" i="33"/>
  <c r="Z1646" i="33" s="1"/>
  <c r="S1646" i="33"/>
  <c r="R1646" i="33"/>
  <c r="K1646" i="33"/>
  <c r="F1646" i="33"/>
  <c r="AF1644" i="33"/>
  <c r="V1644" i="33"/>
  <c r="T1644" i="33"/>
  <c r="Y1644" i="33" s="1"/>
  <c r="S1644" i="33"/>
  <c r="R1644" i="33"/>
  <c r="K1644" i="33"/>
  <c r="F1644" i="33"/>
  <c r="AF1642" i="33"/>
  <c r="V1642" i="33"/>
  <c r="T1642" i="33"/>
  <c r="X1642" i="33" s="1"/>
  <c r="S1642" i="33"/>
  <c r="R1642" i="33"/>
  <c r="K1642" i="33"/>
  <c r="AF1636" i="33"/>
  <c r="V1636" i="33"/>
  <c r="T1636" i="33"/>
  <c r="Z1636" i="33" s="1"/>
  <c r="S1636" i="33"/>
  <c r="R1636" i="33"/>
  <c r="K1636" i="33"/>
  <c r="F1636" i="33"/>
  <c r="AF1634" i="33"/>
  <c r="V1634" i="33"/>
  <c r="T1634" i="33"/>
  <c r="X1634" i="33" s="1"/>
  <c r="S1634" i="33"/>
  <c r="R1634" i="33"/>
  <c r="K1634" i="33"/>
  <c r="F1634" i="33"/>
  <c r="AF1630" i="33"/>
  <c r="V1630" i="33"/>
  <c r="T1630" i="33"/>
  <c r="X1630" i="33" s="1"/>
  <c r="S1630" i="33"/>
  <c r="R1630" i="33"/>
  <c r="K1630" i="33"/>
  <c r="F1630" i="33"/>
  <c r="AF1628" i="33"/>
  <c r="V1628" i="33"/>
  <c r="T1628" i="33"/>
  <c r="X1628" i="33" s="1"/>
  <c r="S1628" i="33"/>
  <c r="R1628" i="33"/>
  <c r="K1628" i="33"/>
  <c r="F1628" i="33"/>
  <c r="W1648" i="33" l="1"/>
  <c r="X1648" i="33"/>
  <c r="Y1646" i="33"/>
  <c r="X1646" i="33"/>
  <c r="Y1648" i="33"/>
  <c r="W1646" i="33"/>
  <c r="W1644" i="33"/>
  <c r="X1644" i="33"/>
  <c r="Z1644" i="33"/>
  <c r="Y1642" i="33"/>
  <c r="Z1642" i="33"/>
  <c r="W1642" i="33"/>
  <c r="Y1634" i="33"/>
  <c r="Z1634" i="33"/>
  <c r="W1636" i="33"/>
  <c r="X1636" i="33"/>
  <c r="Y1636" i="33"/>
  <c r="W1634" i="33"/>
  <c r="Y1630" i="33"/>
  <c r="Z1630" i="33"/>
  <c r="W1630" i="33"/>
  <c r="Y1628" i="33"/>
  <c r="Z1628" i="33"/>
  <c r="W1628" i="33"/>
  <c r="AF1626" i="33"/>
  <c r="V1626" i="33"/>
  <c r="T1626" i="33"/>
  <c r="Z1626" i="33" s="1"/>
  <c r="S1626" i="33"/>
  <c r="R1626" i="33"/>
  <c r="K1626" i="33"/>
  <c r="F1626" i="33"/>
  <c r="AF1624" i="33"/>
  <c r="V1624" i="33"/>
  <c r="T1624" i="33"/>
  <c r="Z1624" i="33" s="1"/>
  <c r="S1624" i="33"/>
  <c r="R1624" i="33"/>
  <c r="K1624" i="33"/>
  <c r="F1624" i="33"/>
  <c r="AF1622" i="33"/>
  <c r="V1622" i="33"/>
  <c r="T1622" i="33"/>
  <c r="Y1622" i="33" s="1"/>
  <c r="S1622" i="33"/>
  <c r="R1622" i="33"/>
  <c r="K1622" i="33"/>
  <c r="F1622" i="33"/>
  <c r="AF1614" i="33"/>
  <c r="V1614" i="33"/>
  <c r="T1614" i="33"/>
  <c r="Z1614" i="33" s="1"/>
  <c r="S1614" i="33"/>
  <c r="R1614" i="33"/>
  <c r="K1614" i="33"/>
  <c r="F1614" i="33"/>
  <c r="AF1612" i="33"/>
  <c r="V1612" i="33"/>
  <c r="T1612" i="33"/>
  <c r="W1612" i="33" s="1"/>
  <c r="S1612" i="33"/>
  <c r="R1612" i="33"/>
  <c r="K1612" i="33"/>
  <c r="F1612" i="33"/>
  <c r="AF1610" i="33"/>
  <c r="V1610" i="33"/>
  <c r="T1610" i="33"/>
  <c r="Z1610" i="33" s="1"/>
  <c r="S1610" i="33"/>
  <c r="R1610" i="33"/>
  <c r="K1610" i="33"/>
  <c r="F1610" i="33"/>
  <c r="AF1608" i="33"/>
  <c r="V1608" i="33"/>
  <c r="T1608" i="33"/>
  <c r="Z1608" i="33" s="1"/>
  <c r="S1608" i="33"/>
  <c r="R1608" i="33"/>
  <c r="K1608" i="33"/>
  <c r="F1608" i="33"/>
  <c r="AF1606" i="33"/>
  <c r="V1606" i="33"/>
  <c r="T1606" i="33"/>
  <c r="X1606" i="33" s="1"/>
  <c r="S1606" i="33"/>
  <c r="R1606" i="33"/>
  <c r="K1606" i="33"/>
  <c r="F1606" i="33"/>
  <c r="AF1604" i="33"/>
  <c r="V1604" i="33"/>
  <c r="T1604" i="33"/>
  <c r="X1604" i="33" s="1"/>
  <c r="S1604" i="33"/>
  <c r="R1604" i="33"/>
  <c r="K1604" i="33"/>
  <c r="F1604" i="33"/>
  <c r="AF1602" i="33"/>
  <c r="V1602" i="33"/>
  <c r="T1602" i="33"/>
  <c r="Z1602" i="33" s="1"/>
  <c r="S1602" i="33"/>
  <c r="R1602" i="33"/>
  <c r="K1602" i="33"/>
  <c r="F1602" i="33"/>
  <c r="AF1600" i="33"/>
  <c r="V1600" i="33"/>
  <c r="T1600" i="33"/>
  <c r="Z1600" i="33" s="1"/>
  <c r="S1600" i="33"/>
  <c r="R1600" i="33"/>
  <c r="K1600" i="33"/>
  <c r="F1600" i="33"/>
  <c r="AF1598" i="33"/>
  <c r="V1598" i="33"/>
  <c r="T1598" i="33"/>
  <c r="W1598" i="33" s="1"/>
  <c r="S1598" i="33"/>
  <c r="R1598" i="33"/>
  <c r="K1598" i="33"/>
  <c r="F1598" i="33"/>
  <c r="AE1228" i="35"/>
  <c r="AF1593" i="33"/>
  <c r="V1593" i="33"/>
  <c r="T1593" i="33"/>
  <c r="X1593" i="33" s="1"/>
  <c r="S1593" i="33"/>
  <c r="R1593" i="33"/>
  <c r="K1593" i="33"/>
  <c r="F1593" i="33"/>
  <c r="W1626" i="33" l="1"/>
  <c r="X1626" i="33"/>
  <c r="Y1626" i="33"/>
  <c r="Y1624" i="33"/>
  <c r="W1624" i="33"/>
  <c r="X1624" i="33"/>
  <c r="Z1622" i="33"/>
  <c r="W1622" i="33"/>
  <c r="X1622" i="33"/>
  <c r="W1614" i="33"/>
  <c r="X1614" i="33"/>
  <c r="Y1614" i="33"/>
  <c r="X1612" i="33"/>
  <c r="Z1612" i="33"/>
  <c r="Y1612" i="33"/>
  <c r="W1610" i="33"/>
  <c r="X1610" i="33"/>
  <c r="Y1610" i="33"/>
  <c r="W1608" i="33"/>
  <c r="X1608" i="33"/>
  <c r="Y1608" i="33"/>
  <c r="Z1606" i="33"/>
  <c r="Y1606" i="33"/>
  <c r="W1606" i="33"/>
  <c r="Y1604" i="33"/>
  <c r="Z1604" i="33"/>
  <c r="W1604" i="33"/>
  <c r="W1602" i="33"/>
  <c r="X1602" i="33"/>
  <c r="Y1602" i="33"/>
  <c r="X1600" i="33"/>
  <c r="Y1600" i="33"/>
  <c r="W1600" i="33"/>
  <c r="Y1598" i="33"/>
  <c r="Z1598" i="33"/>
  <c r="X1598" i="33"/>
  <c r="Y1593" i="33"/>
  <c r="Z1593" i="33"/>
  <c r="W1593" i="33"/>
  <c r="AE1156" i="35" l="1"/>
  <c r="X1156" i="35"/>
  <c r="U1156" i="35"/>
  <c r="S1156" i="35"/>
  <c r="R1156" i="35"/>
  <c r="Q1156" i="35"/>
  <c r="K1156" i="35"/>
  <c r="F1156" i="35"/>
  <c r="AE1154" i="35"/>
  <c r="X1154" i="35"/>
  <c r="U1154" i="35"/>
  <c r="S1154" i="35"/>
  <c r="R1154" i="35"/>
  <c r="Q1154" i="35"/>
  <c r="K1154" i="35"/>
  <c r="F1154" i="35"/>
  <c r="AE1128" i="35"/>
  <c r="Y1128" i="35"/>
  <c r="X1128" i="35"/>
  <c r="U1128" i="35"/>
  <c r="S1128" i="35"/>
  <c r="R1128" i="35"/>
  <c r="Q1128" i="35"/>
  <c r="K1128" i="35"/>
  <c r="F1128" i="35"/>
  <c r="AE1158" i="35"/>
  <c r="X1158" i="35"/>
  <c r="U1158" i="35"/>
  <c r="S1158" i="35"/>
  <c r="R1158" i="35"/>
  <c r="Q1158" i="35"/>
  <c r="K1158" i="35"/>
  <c r="F1158" i="35"/>
  <c r="AE1148" i="35"/>
  <c r="X1148" i="35"/>
  <c r="U1148" i="35"/>
  <c r="S1148" i="35"/>
  <c r="R1148" i="35"/>
  <c r="Q1148" i="35"/>
  <c r="K1148" i="35"/>
  <c r="F1148" i="35"/>
  <c r="H1254" i="35" l="1"/>
  <c r="I1642" i="33"/>
  <c r="H1642" i="33"/>
  <c r="H1252" i="35"/>
  <c r="I1252" i="35"/>
  <c r="G1254" i="35"/>
  <c r="I1254" i="35"/>
  <c r="G1642" i="33"/>
  <c r="G1252" i="35"/>
  <c r="H1634" i="33"/>
  <c r="G1648" i="33"/>
  <c r="I1634" i="33"/>
  <c r="H1630" i="33"/>
  <c r="G1636" i="33"/>
  <c r="I1636" i="33"/>
  <c r="I1644" i="33"/>
  <c r="G1634" i="33"/>
  <c r="I1628" i="33"/>
  <c r="I1630" i="33"/>
  <c r="G1630" i="33"/>
  <c r="G1646" i="33"/>
  <c r="I1648" i="33"/>
  <c r="H1648" i="33"/>
  <c r="H1646" i="33"/>
  <c r="G1628" i="33"/>
  <c r="H1636" i="33"/>
  <c r="I1646" i="33"/>
  <c r="G1644" i="33"/>
  <c r="H1628" i="33"/>
  <c r="H1644" i="33"/>
  <c r="I1604" i="33"/>
  <c r="H1608" i="33"/>
  <c r="H1614" i="33"/>
  <c r="I1598" i="33"/>
  <c r="G1614" i="33"/>
  <c r="I1593" i="33"/>
  <c r="I1610" i="33"/>
  <c r="H1610" i="33"/>
  <c r="I1602" i="33"/>
  <c r="I1624" i="33"/>
  <c r="I1626" i="33"/>
  <c r="I1608" i="33"/>
  <c r="G1610" i="33"/>
  <c r="H1606" i="33"/>
  <c r="H1626" i="33"/>
  <c r="G1626" i="33"/>
  <c r="G1624" i="33"/>
  <c r="G1593" i="33"/>
  <c r="H1624" i="33"/>
  <c r="I1612" i="33"/>
  <c r="G1606" i="33"/>
  <c r="G1598" i="33"/>
  <c r="I1614" i="33"/>
  <c r="G1602" i="33"/>
  <c r="H1593" i="33"/>
  <c r="I1606" i="33"/>
  <c r="G1622" i="33"/>
  <c r="G1612" i="33"/>
  <c r="G1608" i="33"/>
  <c r="H1602" i="33"/>
  <c r="G1600" i="33"/>
  <c r="H1622" i="33"/>
  <c r="H1612" i="33"/>
  <c r="G1604" i="33"/>
  <c r="H1600" i="33"/>
  <c r="H1598" i="33"/>
  <c r="I1622" i="33"/>
  <c r="I1600" i="33"/>
  <c r="H1604" i="33"/>
  <c r="AD1156" i="35"/>
  <c r="AD1154" i="35"/>
  <c r="AD1128" i="35"/>
  <c r="AD1158" i="35"/>
  <c r="AD1148" i="35"/>
  <c r="AB1652" i="33" l="1"/>
  <c r="L1652" i="33"/>
  <c r="AB1698" i="33"/>
  <c r="AB1650" i="33"/>
  <c r="AB1668" i="33"/>
  <c r="L1698" i="33"/>
  <c r="L1650" i="33"/>
  <c r="L1668" i="33"/>
  <c r="W1270" i="35"/>
  <c r="V1270" i="35"/>
  <c r="AB1595" i="33"/>
  <c r="V1273" i="35"/>
  <c r="W1273" i="35"/>
  <c r="L1596" i="33"/>
  <c r="L1595" i="33"/>
  <c r="L1271" i="35"/>
  <c r="L1270" i="35"/>
  <c r="L1273" i="35"/>
  <c r="V1277" i="35"/>
  <c r="W1277" i="35"/>
  <c r="L1277" i="35"/>
  <c r="W1268" i="35"/>
  <c r="V1268" i="35"/>
  <c r="L1268" i="35"/>
  <c r="V1391" i="35"/>
  <c r="V2324" i="35"/>
  <c r="W1391" i="35"/>
  <c r="V1449" i="35"/>
  <c r="V2339" i="35"/>
  <c r="V1431" i="35"/>
  <c r="V2327" i="35"/>
  <c r="W1445" i="35"/>
  <c r="W1279" i="35"/>
  <c r="W2356" i="35"/>
  <c r="W2332" i="35"/>
  <c r="W2367" i="35"/>
  <c r="W2343" i="35"/>
  <c r="V2352" i="35"/>
  <c r="W1407" i="35"/>
  <c r="V2342" i="35"/>
  <c r="V1403" i="35"/>
  <c r="V1441" i="35"/>
  <c r="W1397" i="35"/>
  <c r="W2322" i="35"/>
  <c r="W2352" i="35"/>
  <c r="W2339" i="35"/>
  <c r="W1447" i="35"/>
  <c r="V2322" i="35"/>
  <c r="V2335" i="35"/>
  <c r="W1451" i="35"/>
  <c r="W2320" i="35"/>
  <c r="W1403" i="35"/>
  <c r="V2361" i="35"/>
  <c r="W2315" i="35"/>
  <c r="W2346" i="35"/>
  <c r="W2357" i="35"/>
  <c r="W2333" i="35"/>
  <c r="V2328" i="35"/>
  <c r="V2368" i="35"/>
  <c r="W1377" i="35"/>
  <c r="W1283" i="35"/>
  <c r="W1435" i="35"/>
  <c r="V1285" i="35"/>
  <c r="V2367" i="35"/>
  <c r="V2359" i="35"/>
  <c r="V1447" i="35"/>
  <c r="W2355" i="35"/>
  <c r="V2347" i="35"/>
  <c r="W2366" i="35"/>
  <c r="W2353" i="35"/>
  <c r="V1379" i="35"/>
  <c r="W2316" i="35"/>
  <c r="V2323" i="35"/>
  <c r="V2326" i="35"/>
  <c r="W1395" i="35"/>
  <c r="W2354" i="35"/>
  <c r="W2330" i="35"/>
  <c r="W2365" i="35"/>
  <c r="W2341" i="35"/>
  <c r="V2348" i="35"/>
  <c r="V2338" i="35"/>
  <c r="W2328" i="35"/>
  <c r="W2363" i="35"/>
  <c r="V2344" i="35"/>
  <c r="V1399" i="35"/>
  <c r="V2334" i="35"/>
  <c r="V2320" i="35"/>
  <c r="W2326" i="35"/>
  <c r="V1443" i="35"/>
  <c r="V1283" i="35"/>
  <c r="W2350" i="35"/>
  <c r="W2361" i="35"/>
  <c r="W2337" i="35"/>
  <c r="V2340" i="35"/>
  <c r="W1285" i="35"/>
  <c r="V2332" i="35"/>
  <c r="W2317" i="35"/>
  <c r="W2319" i="35"/>
  <c r="W1405" i="35"/>
  <c r="V2355" i="35"/>
  <c r="V2363" i="35"/>
  <c r="V1381" i="35"/>
  <c r="W2348" i="35"/>
  <c r="W2359" i="35"/>
  <c r="W2335" i="35"/>
  <c r="V2336" i="35"/>
  <c r="V1395" i="35"/>
  <c r="V2330" i="35"/>
  <c r="V1281" i="35"/>
  <c r="V2365" i="35"/>
  <c r="W2368" i="35"/>
  <c r="W2344" i="35"/>
  <c r="W2331" i="35"/>
  <c r="W1443" i="35"/>
  <c r="V2366" i="35"/>
  <c r="V1377" i="35"/>
  <c r="V2357" i="35"/>
  <c r="W2342" i="35"/>
  <c r="W2329" i="35"/>
  <c r="V2325" i="35"/>
  <c r="V2362" i="35"/>
  <c r="W1381" i="35"/>
  <c r="V2318" i="35"/>
  <c r="W1281" i="35"/>
  <c r="W2323" i="35"/>
  <c r="W1441" i="35"/>
  <c r="V1401" i="35"/>
  <c r="V1451" i="35"/>
  <c r="V2316" i="35"/>
  <c r="V2349" i="35"/>
  <c r="V1385" i="35"/>
  <c r="W1385" i="35"/>
  <c r="V2341" i="35"/>
  <c r="V2317" i="35"/>
  <c r="V1435" i="35"/>
  <c r="W1399" i="35"/>
  <c r="V2337" i="35"/>
  <c r="V2345" i="35"/>
  <c r="V1383" i="35"/>
  <c r="V2333" i="35"/>
  <c r="W2364" i="35"/>
  <c r="W2351" i="35"/>
  <c r="V2315" i="35"/>
  <c r="V2321" i="35"/>
  <c r="W1449" i="35"/>
  <c r="V2331" i="35"/>
  <c r="V1407" i="35"/>
  <c r="W2327" i="35"/>
  <c r="W2318" i="35"/>
  <c r="W1383" i="35"/>
  <c r="W2338" i="35"/>
  <c r="V2364" i="35"/>
  <c r="V2354" i="35"/>
  <c r="V2356" i="35"/>
  <c r="V2346" i="35"/>
  <c r="W2324" i="35"/>
  <c r="W1401" i="35"/>
  <c r="V1275" i="35"/>
  <c r="W1431" i="35"/>
  <c r="V2343" i="35"/>
  <c r="W2362" i="35"/>
  <c r="W2349" i="35"/>
  <c r="V1279" i="35"/>
  <c r="V2319" i="35"/>
  <c r="V2329" i="35"/>
  <c r="W2325" i="35"/>
  <c r="W2358" i="35"/>
  <c r="W2345" i="35"/>
  <c r="W2321" i="35"/>
  <c r="V1397" i="35"/>
  <c r="V1445" i="35"/>
  <c r="W2340" i="35"/>
  <c r="V2358" i="35"/>
  <c r="V1405" i="35"/>
  <c r="V2360" i="35"/>
  <c r="V2351" i="35"/>
  <c r="W2360" i="35"/>
  <c r="W2347" i="35"/>
  <c r="W1275" i="35"/>
  <c r="W2336" i="35"/>
  <c r="V2350" i="35"/>
  <c r="V2353" i="35"/>
  <c r="W2334" i="35"/>
  <c r="L1285" i="35"/>
  <c r="L1279" i="35"/>
  <c r="L1281" i="35"/>
  <c r="L1275" i="35"/>
  <c r="L1283" i="35"/>
  <c r="AE1124" i="35"/>
  <c r="Y1124" i="35"/>
  <c r="X1124" i="35"/>
  <c r="U1124" i="35"/>
  <c r="S1124" i="35"/>
  <c r="R1124" i="35"/>
  <c r="Q1124" i="35"/>
  <c r="K1124" i="35"/>
  <c r="F1124" i="35"/>
  <c r="AD1124" i="35" l="1"/>
  <c r="G1128" i="35" l="1"/>
  <c r="G1158" i="35"/>
  <c r="H1148" i="35"/>
  <c r="H1158" i="35"/>
  <c r="H1154" i="35"/>
  <c r="G1154" i="35"/>
  <c r="I1158" i="35"/>
  <c r="I1128" i="35"/>
  <c r="I1148" i="35"/>
  <c r="H1128" i="35"/>
  <c r="G1156" i="35"/>
  <c r="G1148" i="35"/>
  <c r="I1154" i="35"/>
  <c r="H1156" i="35"/>
  <c r="I1156" i="35"/>
  <c r="I1124" i="35"/>
  <c r="G1124" i="35"/>
  <c r="H1124" i="35"/>
  <c r="AE1126" i="35"/>
  <c r="Y1126" i="35"/>
  <c r="X1126" i="35"/>
  <c r="U1126" i="35"/>
  <c r="S1126" i="35"/>
  <c r="R1126" i="35"/>
  <c r="Q1126" i="35"/>
  <c r="K1126" i="35"/>
  <c r="F1126" i="35"/>
  <c r="AE1116" i="35"/>
  <c r="Y1116" i="35"/>
  <c r="X1116" i="35"/>
  <c r="U1116" i="35"/>
  <c r="S1116" i="35"/>
  <c r="R1116" i="35"/>
  <c r="Q1116" i="35"/>
  <c r="K1116" i="35"/>
  <c r="F1116" i="35"/>
  <c r="AE1114" i="35"/>
  <c r="Y1114" i="35"/>
  <c r="X1114" i="35"/>
  <c r="U1114" i="35"/>
  <c r="S1114" i="35"/>
  <c r="R1114" i="35"/>
  <c r="Q1114" i="35"/>
  <c r="K1114" i="35"/>
  <c r="F1114" i="35"/>
  <c r="AE1112" i="35"/>
  <c r="Y1112" i="35"/>
  <c r="X1112" i="35"/>
  <c r="U1112" i="35"/>
  <c r="S1112" i="35"/>
  <c r="R1112" i="35"/>
  <c r="Q1112" i="35"/>
  <c r="K1112" i="35"/>
  <c r="F1112" i="35"/>
  <c r="AE1104" i="35"/>
  <c r="Y1104" i="35"/>
  <c r="X1104" i="35"/>
  <c r="U1104" i="35"/>
  <c r="S1104" i="35"/>
  <c r="R1104" i="35"/>
  <c r="Q1104" i="35"/>
  <c r="K1104" i="35"/>
  <c r="F1104" i="35"/>
  <c r="AE1106" i="35"/>
  <c r="Y1106" i="35"/>
  <c r="X1106" i="35"/>
  <c r="U1106" i="35"/>
  <c r="S1106" i="35"/>
  <c r="R1106" i="35"/>
  <c r="Q1106" i="35"/>
  <c r="K1106" i="35"/>
  <c r="F1106" i="35"/>
  <c r="L1252" i="35" l="1"/>
  <c r="L1254" i="35"/>
  <c r="AB1642" i="33"/>
  <c r="AB1644" i="33"/>
  <c r="AB1646" i="33"/>
  <c r="AB1636" i="33"/>
  <c r="AB1628" i="33"/>
  <c r="AB1648" i="33"/>
  <c r="AB1630" i="33"/>
  <c r="AB1634" i="33"/>
  <c r="AB1602" i="33"/>
  <c r="AB1622" i="33"/>
  <c r="AB1614" i="33"/>
  <c r="AB1604" i="33"/>
  <c r="AB1600" i="33"/>
  <c r="AA1228" i="35"/>
  <c r="AB1612" i="33"/>
  <c r="AB1610" i="33"/>
  <c r="AB1606" i="33"/>
  <c r="AB1624" i="33"/>
  <c r="AB1593" i="33"/>
  <c r="AB1598" i="33"/>
  <c r="AB1608" i="33"/>
  <c r="L1646" i="33"/>
  <c r="L1630" i="33"/>
  <c r="L1644" i="33"/>
  <c r="L1634" i="33"/>
  <c r="L1628" i="33"/>
  <c r="L1648" i="33"/>
  <c r="L1642" i="33"/>
  <c r="L1636" i="33"/>
  <c r="L1600" i="33"/>
  <c r="L1622" i="33"/>
  <c r="L1626" i="33"/>
  <c r="L1624" i="33"/>
  <c r="L1614" i="33"/>
  <c r="L1606" i="33"/>
  <c r="L1602" i="33"/>
  <c r="L1593" i="33"/>
  <c r="L1598" i="33"/>
  <c r="L1612" i="33"/>
  <c r="L1608" i="33"/>
  <c r="L1610" i="33"/>
  <c r="L1604" i="33"/>
  <c r="W1154" i="35"/>
  <c r="V1158" i="35"/>
  <c r="W1148" i="35"/>
  <c r="V1156" i="35"/>
  <c r="W1128" i="35"/>
  <c r="V1128" i="35"/>
  <c r="V1154" i="35"/>
  <c r="W1158" i="35"/>
  <c r="W1156" i="35"/>
  <c r="V1148" i="35"/>
  <c r="W1124" i="35"/>
  <c r="V1124" i="35"/>
  <c r="L1154" i="35"/>
  <c r="L1158" i="35"/>
  <c r="L1156" i="35"/>
  <c r="L1148" i="35"/>
  <c r="L1128" i="35"/>
  <c r="L1124" i="35"/>
  <c r="AD1126" i="35"/>
  <c r="AD1116" i="35"/>
  <c r="AD1114" i="35"/>
  <c r="AD1112" i="35"/>
  <c r="AD1104" i="35"/>
  <c r="AD1106" i="35"/>
  <c r="AE1084" i="35" l="1"/>
  <c r="Y1084" i="35"/>
  <c r="X1084" i="35"/>
  <c r="U1084" i="35"/>
  <c r="S1084" i="35"/>
  <c r="R1084" i="35"/>
  <c r="Q1084" i="35"/>
  <c r="K1084" i="35"/>
  <c r="F1084" i="35"/>
  <c r="AE1082" i="35"/>
  <c r="Y1082" i="35"/>
  <c r="X1082" i="35"/>
  <c r="U1082" i="35"/>
  <c r="S1082" i="35"/>
  <c r="R1082" i="35"/>
  <c r="Q1082" i="35"/>
  <c r="K1082" i="35"/>
  <c r="F1082" i="35"/>
  <c r="AD1084" i="35" l="1"/>
  <c r="AD1082" i="35"/>
  <c r="AE1098" i="35" l="1"/>
  <c r="Y1098" i="35"/>
  <c r="X1098" i="35"/>
  <c r="U1098" i="35"/>
  <c r="S1098" i="35"/>
  <c r="R1098" i="35"/>
  <c r="Q1098" i="35"/>
  <c r="K1098" i="35"/>
  <c r="F1098" i="35"/>
  <c r="AE1120" i="35"/>
  <c r="Y1120" i="35"/>
  <c r="X1120" i="35"/>
  <c r="U1120" i="35"/>
  <c r="S1120" i="35"/>
  <c r="R1120" i="35"/>
  <c r="Q1120" i="35"/>
  <c r="K1120" i="35"/>
  <c r="F1120" i="35"/>
  <c r="AE1102" i="35"/>
  <c r="Y1102" i="35"/>
  <c r="X1102" i="35"/>
  <c r="U1102" i="35"/>
  <c r="S1102" i="35"/>
  <c r="R1102" i="35"/>
  <c r="Q1102" i="35"/>
  <c r="K1102" i="35"/>
  <c r="F1102" i="35"/>
  <c r="AD1098" i="35" l="1"/>
  <c r="AD1120" i="35"/>
  <c r="AD1102" i="35"/>
  <c r="AF1433" i="33" l="1"/>
  <c r="V1433" i="33"/>
  <c r="T1433" i="33"/>
  <c r="X1433" i="33" s="1"/>
  <c r="S1433" i="33"/>
  <c r="R1433" i="33"/>
  <c r="K1433" i="33"/>
  <c r="F1433" i="33"/>
  <c r="W1433" i="33" l="1"/>
  <c r="Y1433" i="33"/>
  <c r="Z1433" i="33"/>
  <c r="I1114" i="35" l="1"/>
  <c r="I1112" i="35"/>
  <c r="I1106" i="35"/>
  <c r="I1116" i="35"/>
  <c r="G1126" i="35"/>
  <c r="G1116" i="35"/>
  <c r="G1112" i="35"/>
  <c r="H1116" i="35"/>
  <c r="H1106" i="35"/>
  <c r="H1114" i="35"/>
  <c r="G1114" i="35"/>
  <c r="I1126" i="35"/>
  <c r="H1104" i="35"/>
  <c r="H1126" i="35"/>
  <c r="G1106" i="35"/>
  <c r="G1104" i="35"/>
  <c r="I1104" i="35"/>
  <c r="H1112" i="35"/>
  <c r="I1082" i="35"/>
  <c r="G1084" i="35"/>
  <c r="H1084" i="35"/>
  <c r="G1082" i="35"/>
  <c r="H1082" i="35"/>
  <c r="I1084" i="35"/>
  <c r="G1102" i="35"/>
  <c r="I1098" i="35"/>
  <c r="G1098" i="35"/>
  <c r="H1098" i="35"/>
  <c r="H1120" i="35"/>
  <c r="I1120" i="35"/>
  <c r="H1102" i="35"/>
  <c r="G1120" i="35"/>
  <c r="I1102" i="35"/>
  <c r="I1433" i="33"/>
  <c r="G1433" i="33"/>
  <c r="H1433" i="33"/>
  <c r="V1443" i="33"/>
  <c r="T1443" i="33"/>
  <c r="Z1443" i="33" s="1"/>
  <c r="S1443" i="33"/>
  <c r="R1443" i="33"/>
  <c r="K1443" i="33"/>
  <c r="F1443" i="33"/>
  <c r="V1441" i="33"/>
  <c r="T1441" i="33"/>
  <c r="Y1441" i="33" s="1"/>
  <c r="S1441" i="33"/>
  <c r="R1441" i="33"/>
  <c r="K1441" i="33"/>
  <c r="F1441" i="33"/>
  <c r="AF1400" i="33"/>
  <c r="V1400" i="33"/>
  <c r="T1400" i="33"/>
  <c r="Y1400" i="33" s="1"/>
  <c r="S1400" i="33"/>
  <c r="R1400" i="33"/>
  <c r="K1400" i="33"/>
  <c r="F1400" i="33"/>
  <c r="AF1396" i="33"/>
  <c r="V1396" i="33"/>
  <c r="T1396" i="33"/>
  <c r="Z1396" i="33" s="1"/>
  <c r="S1396" i="33"/>
  <c r="R1396" i="33"/>
  <c r="K1396" i="33"/>
  <c r="F1396" i="33"/>
  <c r="AF1398" i="33"/>
  <c r="V1398" i="33"/>
  <c r="T1398" i="33"/>
  <c r="Z1398" i="33" s="1"/>
  <c r="S1398" i="33"/>
  <c r="R1398" i="33"/>
  <c r="K1398" i="33"/>
  <c r="F1398" i="33"/>
  <c r="AF1363" i="33"/>
  <c r="V1363" i="33"/>
  <c r="T1363" i="33"/>
  <c r="Z1363" i="33" s="1"/>
  <c r="S1363" i="33"/>
  <c r="R1363" i="33"/>
  <c r="K1363" i="33"/>
  <c r="F1363" i="33"/>
  <c r="AF1361" i="33"/>
  <c r="V1361" i="33"/>
  <c r="T1361" i="33"/>
  <c r="Y1361" i="33" s="1"/>
  <c r="S1361" i="33"/>
  <c r="R1361" i="33"/>
  <c r="K1361" i="33"/>
  <c r="F1361" i="33"/>
  <c r="AF1359" i="33"/>
  <c r="V1359" i="33"/>
  <c r="T1359" i="33"/>
  <c r="X1359" i="33" s="1"/>
  <c r="S1359" i="33"/>
  <c r="R1359" i="33"/>
  <c r="K1359" i="33"/>
  <c r="F1359" i="33"/>
  <c r="L1114" i="35" l="1"/>
  <c r="L1104" i="35"/>
  <c r="L1126" i="35"/>
  <c r="L1116" i="35"/>
  <c r="L1106" i="35"/>
  <c r="L1112" i="35"/>
  <c r="L1084" i="35"/>
  <c r="L1082" i="35"/>
  <c r="L1098" i="35"/>
  <c r="L1102" i="35"/>
  <c r="L1120" i="35"/>
  <c r="L1433" i="33"/>
  <c r="W1112" i="35"/>
  <c r="V1106" i="35"/>
  <c r="V1104" i="35"/>
  <c r="V1114" i="35"/>
  <c r="W1104" i="35"/>
  <c r="W1106" i="35"/>
  <c r="V1112" i="35"/>
  <c r="V1116" i="35"/>
  <c r="W1116" i="35"/>
  <c r="W1114" i="35"/>
  <c r="W1126" i="35"/>
  <c r="V1126" i="35"/>
  <c r="W1084" i="35"/>
  <c r="V1084" i="35"/>
  <c r="V1082" i="35"/>
  <c r="W1082" i="35"/>
  <c r="W1102" i="35"/>
  <c r="V1102" i="35"/>
  <c r="V1120" i="35"/>
  <c r="W1120" i="35"/>
  <c r="V1098" i="35"/>
  <c r="W1098" i="35"/>
  <c r="AB1433" i="33"/>
  <c r="Z1441" i="33"/>
  <c r="Y1443" i="33"/>
  <c r="W1400" i="33"/>
  <c r="X1400" i="33"/>
  <c r="Z1400" i="33"/>
  <c r="W1396" i="33"/>
  <c r="X1396" i="33"/>
  <c r="Y1396" i="33"/>
  <c r="W1398" i="33"/>
  <c r="X1398" i="33"/>
  <c r="Y1398" i="33"/>
  <c r="Y1359" i="33"/>
  <c r="Z1359" i="33"/>
  <c r="Z1361" i="33"/>
  <c r="W1363" i="33"/>
  <c r="X1363" i="33"/>
  <c r="Y1363" i="33"/>
  <c r="W1361" i="33"/>
  <c r="X1361" i="33"/>
  <c r="W1359" i="33"/>
  <c r="AE1096" i="35"/>
  <c r="Y1096" i="35"/>
  <c r="X1096" i="35"/>
  <c r="U1096" i="35"/>
  <c r="S1096" i="35"/>
  <c r="R1096" i="35"/>
  <c r="Q1096" i="35"/>
  <c r="K1096" i="35"/>
  <c r="F1096" i="35"/>
  <c r="AE1094" i="35"/>
  <c r="Y1094" i="35"/>
  <c r="X1094" i="35"/>
  <c r="U1094" i="35"/>
  <c r="S1094" i="35"/>
  <c r="R1094" i="35"/>
  <c r="Q1094" i="35"/>
  <c r="K1094" i="35"/>
  <c r="F1094" i="35"/>
  <c r="AE1092" i="35"/>
  <c r="Y1092" i="35"/>
  <c r="X1092" i="35"/>
  <c r="U1092" i="35"/>
  <c r="S1092" i="35"/>
  <c r="R1092" i="35"/>
  <c r="Q1092" i="35"/>
  <c r="K1092" i="35"/>
  <c r="F1092" i="35"/>
  <c r="AE1090" i="35"/>
  <c r="Y1090" i="35"/>
  <c r="X1090" i="35"/>
  <c r="U1090" i="35"/>
  <c r="S1090" i="35"/>
  <c r="R1090" i="35"/>
  <c r="Q1090" i="35"/>
  <c r="K1090" i="35"/>
  <c r="F1090" i="35"/>
  <c r="AE1074" i="35"/>
  <c r="Y1074" i="35"/>
  <c r="X1074" i="35"/>
  <c r="U1074" i="35"/>
  <c r="S1074" i="35"/>
  <c r="R1074" i="35"/>
  <c r="Q1074" i="35"/>
  <c r="K1074" i="35"/>
  <c r="F1074" i="35"/>
  <c r="AE1072" i="35"/>
  <c r="Y1072" i="35"/>
  <c r="X1072" i="35"/>
  <c r="U1072" i="35"/>
  <c r="S1072" i="35"/>
  <c r="R1072" i="35"/>
  <c r="Q1072" i="35"/>
  <c r="K1072" i="35"/>
  <c r="F1072" i="35"/>
  <c r="AE1070" i="35"/>
  <c r="Y1070" i="35"/>
  <c r="X1070" i="35"/>
  <c r="U1070" i="35"/>
  <c r="S1070" i="35"/>
  <c r="R1070" i="35"/>
  <c r="Q1070" i="35"/>
  <c r="K1070" i="35"/>
  <c r="F1070" i="35"/>
  <c r="AD1094" i="35" l="1"/>
  <c r="AD1096" i="35"/>
  <c r="AD1092" i="35"/>
  <c r="AD1090" i="35"/>
  <c r="AD1074" i="35"/>
  <c r="AD1072" i="35"/>
  <c r="AD1070" i="35"/>
  <c r="AF1386" i="33" l="1"/>
  <c r="V1386" i="33"/>
  <c r="T1386" i="33"/>
  <c r="Z1386" i="33" s="1"/>
  <c r="S1386" i="33"/>
  <c r="R1386" i="33"/>
  <c r="K1386" i="33"/>
  <c r="F1386" i="33"/>
  <c r="AF1429" i="33"/>
  <c r="V1429" i="33"/>
  <c r="T1429" i="33"/>
  <c r="Z1429" i="33" s="1"/>
  <c r="S1429" i="33"/>
  <c r="R1429" i="33"/>
  <c r="K1429" i="33"/>
  <c r="F1429" i="33"/>
  <c r="AF1416" i="33"/>
  <c r="V1416" i="33"/>
  <c r="T1416" i="33"/>
  <c r="Z1416" i="33" s="1"/>
  <c r="S1416" i="33"/>
  <c r="R1416" i="33"/>
  <c r="K1416" i="33"/>
  <c r="F1416" i="33"/>
  <c r="F1388" i="33"/>
  <c r="K1388" i="33"/>
  <c r="R1388" i="33"/>
  <c r="S1388" i="33"/>
  <c r="T1388" i="33"/>
  <c r="Y1388" i="33" s="1"/>
  <c r="V1388" i="33"/>
  <c r="AF1388" i="33"/>
  <c r="F1390" i="33"/>
  <c r="K1390" i="33"/>
  <c r="R1390" i="33"/>
  <c r="S1390" i="33"/>
  <c r="T1390" i="33"/>
  <c r="Y1390" i="33" s="1"/>
  <c r="V1390" i="33"/>
  <c r="AF1390" i="33"/>
  <c r="F1392" i="33"/>
  <c r="K1392" i="33"/>
  <c r="R1392" i="33"/>
  <c r="S1392" i="33"/>
  <c r="T1392" i="33"/>
  <c r="Y1392" i="33" s="1"/>
  <c r="V1392" i="33"/>
  <c r="AF1392" i="33"/>
  <c r="AF1381" i="33"/>
  <c r="V1381" i="33"/>
  <c r="T1381" i="33"/>
  <c r="Z1381" i="33" s="1"/>
  <c r="S1381" i="33"/>
  <c r="R1381" i="33"/>
  <c r="K1381" i="33"/>
  <c r="F1381" i="33"/>
  <c r="AF1379" i="33"/>
  <c r="V1379" i="33"/>
  <c r="T1379" i="33"/>
  <c r="X1379" i="33" s="1"/>
  <c r="S1379" i="33"/>
  <c r="R1379" i="33"/>
  <c r="K1379" i="33"/>
  <c r="F1379" i="33"/>
  <c r="AF1377" i="33"/>
  <c r="V1377" i="33"/>
  <c r="T1377" i="33"/>
  <c r="Z1377" i="33" s="1"/>
  <c r="S1377" i="33"/>
  <c r="R1377" i="33"/>
  <c r="K1377" i="33"/>
  <c r="F1377" i="33"/>
  <c r="AF1375" i="33"/>
  <c r="V1375" i="33"/>
  <c r="T1375" i="33"/>
  <c r="W1375" i="33" s="1"/>
  <c r="S1375" i="33"/>
  <c r="R1375" i="33"/>
  <c r="K1375" i="33"/>
  <c r="F1375" i="33"/>
  <c r="AF1373" i="33"/>
  <c r="V1373" i="33"/>
  <c r="T1373" i="33"/>
  <c r="X1373" i="33" s="1"/>
  <c r="S1373" i="33"/>
  <c r="R1373" i="33"/>
  <c r="K1373" i="33"/>
  <c r="F1373" i="33"/>
  <c r="AF1357" i="33"/>
  <c r="V1357" i="33"/>
  <c r="T1357" i="33"/>
  <c r="Z1357" i="33" s="1"/>
  <c r="S1357" i="33"/>
  <c r="R1357" i="33"/>
  <c r="K1357" i="33"/>
  <c r="F1357" i="33"/>
  <c r="AF1355" i="33"/>
  <c r="V1355" i="33"/>
  <c r="T1355" i="33"/>
  <c r="X1355" i="33" s="1"/>
  <c r="S1355" i="33"/>
  <c r="R1355" i="33"/>
  <c r="K1355" i="33"/>
  <c r="F1355" i="33"/>
  <c r="AF1343" i="33"/>
  <c r="Z1343" i="33"/>
  <c r="Y1343" i="33"/>
  <c r="X1343" i="33"/>
  <c r="W1343" i="33"/>
  <c r="V1343" i="33"/>
  <c r="S1343" i="33"/>
  <c r="R1343" i="33"/>
  <c r="K1343" i="33"/>
  <c r="F1343" i="33"/>
  <c r="I1441" i="33" l="1"/>
  <c r="H1441" i="33"/>
  <c r="I1396" i="33"/>
  <c r="G1443" i="33"/>
  <c r="H1398" i="33"/>
  <c r="H1443" i="33"/>
  <c r="I1398" i="33"/>
  <c r="G1396" i="33"/>
  <c r="G1398" i="33"/>
  <c r="I1443" i="33"/>
  <c r="H1396" i="33"/>
  <c r="I1400" i="33"/>
  <c r="G1361" i="33"/>
  <c r="G1363" i="33"/>
  <c r="G1400" i="33"/>
  <c r="H1361" i="33"/>
  <c r="I1361" i="33"/>
  <c r="H1359" i="33"/>
  <c r="G1359" i="33"/>
  <c r="I1363" i="33"/>
  <c r="H1363" i="33"/>
  <c r="H1400" i="33"/>
  <c r="G1441" i="33"/>
  <c r="I1359" i="33"/>
  <c r="H1074" i="35"/>
  <c r="G1092" i="35"/>
  <c r="G1070" i="35"/>
  <c r="H1092" i="35"/>
  <c r="H1070" i="35"/>
  <c r="I1074" i="35"/>
  <c r="H1072" i="35"/>
  <c r="H1096" i="35"/>
  <c r="G1094" i="35"/>
  <c r="G1074" i="35"/>
  <c r="G1096" i="35"/>
  <c r="I1090" i="35"/>
  <c r="G1072" i="35"/>
  <c r="I1072" i="35"/>
  <c r="I1094" i="35"/>
  <c r="I1070" i="35"/>
  <c r="I1092" i="35"/>
  <c r="I1096" i="35"/>
  <c r="H1090" i="35"/>
  <c r="G1090" i="35"/>
  <c r="H1094" i="35"/>
  <c r="W1386" i="33"/>
  <c r="X1386" i="33"/>
  <c r="Y1386" i="33"/>
  <c r="W1429" i="33"/>
  <c r="X1429" i="33"/>
  <c r="Y1429" i="33"/>
  <c r="W1416" i="33"/>
  <c r="X1416" i="33"/>
  <c r="Y1416" i="33"/>
  <c r="W1388" i="33"/>
  <c r="X1392" i="33"/>
  <c r="W1392" i="33"/>
  <c r="X1388" i="33"/>
  <c r="X1390" i="33"/>
  <c r="Z1388" i="33"/>
  <c r="W1390" i="33"/>
  <c r="Z1392" i="33"/>
  <c r="Z1390" i="33"/>
  <c r="W1379" i="33"/>
  <c r="Y1379" i="33"/>
  <c r="Z1379" i="33"/>
  <c r="W1381" i="33"/>
  <c r="X1381" i="33"/>
  <c r="Y1381" i="33"/>
  <c r="Y1373" i="33"/>
  <c r="Z1373" i="33"/>
  <c r="X1375" i="33"/>
  <c r="Y1375" i="33"/>
  <c r="Z1375" i="33"/>
  <c r="W1377" i="33"/>
  <c r="X1377" i="33"/>
  <c r="Y1377" i="33"/>
  <c r="W1373" i="33"/>
  <c r="Y1355" i="33"/>
  <c r="Z1355" i="33"/>
  <c r="W1357" i="33"/>
  <c r="X1357" i="33"/>
  <c r="W1355" i="33"/>
  <c r="Y1357" i="33"/>
  <c r="AB1361" i="33" l="1"/>
  <c r="AB1359" i="33"/>
  <c r="AB1396" i="33"/>
  <c r="AB1400" i="33"/>
  <c r="AB1363" i="33"/>
  <c r="AB1398" i="33"/>
  <c r="V1094" i="35"/>
  <c r="W1070" i="35"/>
  <c r="V1092" i="35"/>
  <c r="V1090" i="35"/>
  <c r="W1092" i="35"/>
  <c r="W1072" i="35"/>
  <c r="W1090" i="35"/>
  <c r="V1074" i="35"/>
  <c r="V1072" i="35"/>
  <c r="W1094" i="35"/>
  <c r="V1070" i="35"/>
  <c r="V1096" i="35"/>
  <c r="W1074" i="35"/>
  <c r="W1096" i="35"/>
  <c r="L1396" i="33"/>
  <c r="L1363" i="33"/>
  <c r="L1400" i="33"/>
  <c r="L1359" i="33"/>
  <c r="L1361" i="33"/>
  <c r="L1398" i="33"/>
  <c r="L1092" i="35"/>
  <c r="L1072" i="35"/>
  <c r="L1074" i="35"/>
  <c r="L1094" i="35"/>
  <c r="L1096" i="35"/>
  <c r="L1090" i="35"/>
  <c r="L1070" i="35"/>
  <c r="V1478" i="33" l="1"/>
  <c r="T1478" i="33"/>
  <c r="Z1478" i="33" s="1"/>
  <c r="S1478" i="33"/>
  <c r="R1478" i="33"/>
  <c r="K1478" i="33"/>
  <c r="F1478" i="33"/>
  <c r="V1476" i="33"/>
  <c r="T1476" i="33"/>
  <c r="Z1476" i="33" s="1"/>
  <c r="S1476" i="33"/>
  <c r="R1476" i="33"/>
  <c r="K1476" i="33"/>
  <c r="F1476" i="33"/>
  <c r="V1475" i="33"/>
  <c r="T1475" i="33"/>
  <c r="Z1475" i="33" s="1"/>
  <c r="S1475" i="33"/>
  <c r="R1475" i="33"/>
  <c r="K1475" i="33"/>
  <c r="F1475" i="33"/>
  <c r="V1471" i="33"/>
  <c r="T1471" i="33"/>
  <c r="Z1471" i="33" s="1"/>
  <c r="S1471" i="33"/>
  <c r="R1471" i="33"/>
  <c r="K1471" i="33"/>
  <c r="F1471" i="33"/>
  <c r="V1469" i="33"/>
  <c r="T1469" i="33"/>
  <c r="Z1469" i="33" s="1"/>
  <c r="S1469" i="33"/>
  <c r="R1469" i="33"/>
  <c r="K1469" i="33"/>
  <c r="F1469" i="33"/>
  <c r="V1467" i="33"/>
  <c r="T1467" i="33"/>
  <c r="Z1467" i="33" s="1"/>
  <c r="S1467" i="33"/>
  <c r="R1467" i="33"/>
  <c r="K1467" i="33"/>
  <c r="F1467" i="33"/>
  <c r="V1465" i="33"/>
  <c r="T1465" i="33"/>
  <c r="Z1465" i="33" s="1"/>
  <c r="S1465" i="33"/>
  <c r="R1465" i="33"/>
  <c r="K1465" i="33"/>
  <c r="F1465" i="33"/>
  <c r="V1463" i="33"/>
  <c r="T1463" i="33"/>
  <c r="Z1463" i="33" s="1"/>
  <c r="S1463" i="33"/>
  <c r="R1463" i="33"/>
  <c r="K1463" i="33"/>
  <c r="F1463" i="33"/>
  <c r="V1461" i="33"/>
  <c r="T1461" i="33"/>
  <c r="Z1461" i="33" s="1"/>
  <c r="S1461" i="33"/>
  <c r="R1461" i="33"/>
  <c r="K1461" i="33"/>
  <c r="F1461" i="33"/>
  <c r="V1459" i="33"/>
  <c r="T1459" i="33"/>
  <c r="Z1459" i="33" s="1"/>
  <c r="S1459" i="33"/>
  <c r="R1459" i="33"/>
  <c r="K1459" i="33"/>
  <c r="F1459" i="33"/>
  <c r="V1457" i="33"/>
  <c r="T1457" i="33"/>
  <c r="Z1457" i="33" s="1"/>
  <c r="S1457" i="33"/>
  <c r="R1457" i="33"/>
  <c r="K1457" i="33"/>
  <c r="F1457" i="33"/>
  <c r="V1455" i="33"/>
  <c r="T1455" i="33"/>
  <c r="Z1455" i="33" s="1"/>
  <c r="S1455" i="33"/>
  <c r="R1455" i="33"/>
  <c r="K1455" i="33"/>
  <c r="F1455" i="33"/>
  <c r="V1453" i="33"/>
  <c r="T1453" i="33"/>
  <c r="Z1453" i="33" s="1"/>
  <c r="S1453" i="33"/>
  <c r="R1453" i="33"/>
  <c r="K1453" i="33"/>
  <c r="F1453" i="33"/>
  <c r="V1451" i="33"/>
  <c r="T1451" i="33"/>
  <c r="Z1451" i="33" s="1"/>
  <c r="S1451" i="33"/>
  <c r="R1451" i="33"/>
  <c r="K1451" i="33"/>
  <c r="F1451" i="33"/>
  <c r="V1449" i="33"/>
  <c r="T1449" i="33"/>
  <c r="Z1449" i="33" s="1"/>
  <c r="S1449" i="33"/>
  <c r="R1449" i="33"/>
  <c r="K1449" i="33"/>
  <c r="F1449" i="33"/>
  <c r="V1447" i="33"/>
  <c r="T1447" i="33"/>
  <c r="Z1447" i="33" s="1"/>
  <c r="S1447" i="33"/>
  <c r="R1447" i="33"/>
  <c r="K1447" i="33"/>
  <c r="F1447" i="33"/>
  <c r="Y1478" i="33" l="1"/>
  <c r="Y1476" i="33"/>
  <c r="Y1475" i="33"/>
  <c r="Y1471" i="33"/>
  <c r="Y1469" i="33"/>
  <c r="Y1467" i="33"/>
  <c r="Y1465" i="33"/>
  <c r="Y1463" i="33"/>
  <c r="Y1461" i="33"/>
  <c r="Y1459" i="33"/>
  <c r="Y1457" i="33"/>
  <c r="Y1455" i="33"/>
  <c r="Y1453" i="33"/>
  <c r="Y1451" i="33"/>
  <c r="Y1449" i="33"/>
  <c r="Y1447" i="33"/>
  <c r="AE1110" i="35" l="1"/>
  <c r="X1110" i="35"/>
  <c r="U1110" i="35"/>
  <c r="S1110" i="35"/>
  <c r="R1110" i="35"/>
  <c r="Q1110" i="35"/>
  <c r="K1110" i="35"/>
  <c r="F1110" i="35"/>
  <c r="AE1108" i="35"/>
  <c r="Y1108" i="35"/>
  <c r="X1108" i="35"/>
  <c r="U1108" i="35"/>
  <c r="S1108" i="35"/>
  <c r="R1108" i="35"/>
  <c r="Q1108" i="35"/>
  <c r="K1108" i="35"/>
  <c r="F1108" i="35"/>
  <c r="A688" i="36" l="1"/>
  <c r="AD1110" i="35"/>
  <c r="AD1108" i="35"/>
  <c r="AE1080" i="35"/>
  <c r="Y1080" i="35"/>
  <c r="X1080" i="35"/>
  <c r="U1080" i="35"/>
  <c r="S1080" i="35"/>
  <c r="R1080" i="35"/>
  <c r="Q1080" i="35"/>
  <c r="K1080" i="35"/>
  <c r="F1080" i="35"/>
  <c r="AE1078" i="35"/>
  <c r="Y1078" i="35"/>
  <c r="X1078" i="35"/>
  <c r="U1078" i="35"/>
  <c r="S1078" i="35"/>
  <c r="R1078" i="35"/>
  <c r="Q1078" i="35"/>
  <c r="K1078" i="35"/>
  <c r="F1078" i="35"/>
  <c r="AE1076" i="35"/>
  <c r="Y1076" i="35"/>
  <c r="X1076" i="35"/>
  <c r="U1076" i="35"/>
  <c r="S1076" i="35"/>
  <c r="R1076" i="35"/>
  <c r="Q1076" i="35"/>
  <c r="K1076" i="35"/>
  <c r="F1076" i="35"/>
  <c r="AE1068" i="35"/>
  <c r="Y1068" i="35"/>
  <c r="X1068" i="35"/>
  <c r="U1068" i="35"/>
  <c r="S1068" i="35"/>
  <c r="R1068" i="35"/>
  <c r="Q1068" i="35"/>
  <c r="K1068" i="35"/>
  <c r="F1068" i="35"/>
  <c r="AE1066" i="35"/>
  <c r="Y1066" i="35"/>
  <c r="X1066" i="35"/>
  <c r="U1066" i="35"/>
  <c r="S1066" i="35"/>
  <c r="R1066" i="35"/>
  <c r="Q1066" i="35"/>
  <c r="K1066" i="35"/>
  <c r="F1066" i="35"/>
  <c r="AE1064" i="35"/>
  <c r="Y1064" i="35"/>
  <c r="X1064" i="35"/>
  <c r="U1064" i="35"/>
  <c r="S1064" i="35"/>
  <c r="R1064" i="35"/>
  <c r="Q1064" i="35"/>
  <c r="K1064" i="35"/>
  <c r="F1064" i="35"/>
  <c r="AE1058" i="35"/>
  <c r="Y1058" i="35"/>
  <c r="X1058" i="35"/>
  <c r="U1058" i="35"/>
  <c r="S1058" i="35"/>
  <c r="R1058" i="35"/>
  <c r="Q1058" i="35"/>
  <c r="K1058" i="35"/>
  <c r="F1058" i="35"/>
  <c r="AE1056" i="35"/>
  <c r="Y1056" i="35"/>
  <c r="X1056" i="35"/>
  <c r="U1056" i="35"/>
  <c r="S1056" i="35"/>
  <c r="R1056" i="35"/>
  <c r="Q1056" i="35"/>
  <c r="K1056" i="35"/>
  <c r="F1056" i="35"/>
  <c r="AE1054" i="35"/>
  <c r="Y1054" i="35"/>
  <c r="X1054" i="35"/>
  <c r="U1054" i="35"/>
  <c r="S1054" i="35"/>
  <c r="R1054" i="35"/>
  <c r="Q1054" i="35"/>
  <c r="K1054" i="35"/>
  <c r="F1054" i="35"/>
  <c r="AE1052" i="35"/>
  <c r="Y1052" i="35"/>
  <c r="X1052" i="35"/>
  <c r="U1052" i="35"/>
  <c r="S1052" i="35"/>
  <c r="R1052" i="35"/>
  <c r="Q1052" i="35"/>
  <c r="K1052" i="35"/>
  <c r="F1052" i="35"/>
  <c r="AE1050" i="35"/>
  <c r="Y1050" i="35"/>
  <c r="X1050" i="35"/>
  <c r="U1050" i="35"/>
  <c r="S1050" i="35"/>
  <c r="R1050" i="35"/>
  <c r="Q1050" i="35"/>
  <c r="K1050" i="35"/>
  <c r="F1050" i="35"/>
  <c r="AD1080" i="35" l="1"/>
  <c r="AD1078" i="35"/>
  <c r="AD1076" i="35"/>
  <c r="AD1068" i="35"/>
  <c r="AD1066" i="35"/>
  <c r="AD1064" i="35"/>
  <c r="AD1058" i="35"/>
  <c r="AD1056" i="35"/>
  <c r="AD1054" i="35"/>
  <c r="AD1052" i="35"/>
  <c r="AD1050" i="35"/>
  <c r="AF1431" i="33" l="1"/>
  <c r="V1431" i="33"/>
  <c r="T1431" i="33"/>
  <c r="X1431" i="33" s="1"/>
  <c r="S1431" i="33"/>
  <c r="R1431" i="33"/>
  <c r="K1431" i="33"/>
  <c r="F1431" i="33"/>
  <c r="AF1427" i="33"/>
  <c r="V1427" i="33"/>
  <c r="T1427" i="33"/>
  <c r="Y1427" i="33" s="1"/>
  <c r="S1427" i="33"/>
  <c r="R1427" i="33"/>
  <c r="K1427" i="33"/>
  <c r="F1427" i="33"/>
  <c r="V1423" i="33"/>
  <c r="V1425" i="33"/>
  <c r="AF1425" i="33"/>
  <c r="T1425" i="33"/>
  <c r="Z1425" i="33" s="1"/>
  <c r="S1425" i="33"/>
  <c r="R1425" i="33"/>
  <c r="K1425" i="33"/>
  <c r="F1425" i="33"/>
  <c r="AF1423" i="33"/>
  <c r="T1423" i="33"/>
  <c r="Z1423" i="33" s="1"/>
  <c r="S1423" i="33"/>
  <c r="R1423" i="33"/>
  <c r="K1423" i="33"/>
  <c r="F1423" i="33"/>
  <c r="AF1420" i="33"/>
  <c r="V1420" i="33"/>
  <c r="T1420" i="33"/>
  <c r="Z1420" i="33" s="1"/>
  <c r="S1420" i="33"/>
  <c r="R1420" i="33"/>
  <c r="K1420" i="33"/>
  <c r="F1420" i="33"/>
  <c r="AF1422" i="33"/>
  <c r="V1422" i="33"/>
  <c r="T1422" i="33"/>
  <c r="Z1422" i="33" s="1"/>
  <c r="S1422" i="33"/>
  <c r="R1422" i="33"/>
  <c r="K1422" i="33"/>
  <c r="F1422" i="33"/>
  <c r="AF1418" i="33"/>
  <c r="V1418" i="33"/>
  <c r="T1418" i="33"/>
  <c r="X1418" i="33" s="1"/>
  <c r="S1418" i="33"/>
  <c r="R1418" i="33"/>
  <c r="K1418" i="33"/>
  <c r="F1418" i="33"/>
  <c r="AF1414" i="33"/>
  <c r="V1414" i="33"/>
  <c r="T1414" i="33"/>
  <c r="Z1414" i="33" s="1"/>
  <c r="S1414" i="33"/>
  <c r="R1414" i="33"/>
  <c r="K1414" i="33"/>
  <c r="F1414" i="33"/>
  <c r="AF1412" i="33"/>
  <c r="V1412" i="33"/>
  <c r="T1412" i="33"/>
  <c r="X1412" i="33" s="1"/>
  <c r="S1412" i="33"/>
  <c r="R1412" i="33"/>
  <c r="K1412" i="33"/>
  <c r="F1412" i="33"/>
  <c r="AF1408" i="33"/>
  <c r="V1408" i="33"/>
  <c r="T1408" i="33"/>
  <c r="X1408" i="33" s="1"/>
  <c r="S1408" i="33"/>
  <c r="R1408" i="33"/>
  <c r="K1408" i="33"/>
  <c r="F1408" i="33"/>
  <c r="AF1410" i="33"/>
  <c r="V1410" i="33"/>
  <c r="T1410" i="33"/>
  <c r="Y1410" i="33" s="1"/>
  <c r="S1410" i="33"/>
  <c r="R1410" i="33"/>
  <c r="K1410" i="33"/>
  <c r="F1410" i="33"/>
  <c r="AF1406" i="33"/>
  <c r="V1406" i="33"/>
  <c r="T1406" i="33"/>
  <c r="Z1406" i="33" s="1"/>
  <c r="S1406" i="33"/>
  <c r="R1406" i="33"/>
  <c r="K1406" i="33"/>
  <c r="F1406" i="33"/>
  <c r="H1392" i="33" l="1"/>
  <c r="H1429" i="33"/>
  <c r="H1375" i="33"/>
  <c r="G1357" i="33"/>
  <c r="H1390" i="33"/>
  <c r="H1381" i="33"/>
  <c r="H1386" i="33"/>
  <c r="G1377" i="33"/>
  <c r="I1355" i="33"/>
  <c r="I1416" i="33"/>
  <c r="H1377" i="33"/>
  <c r="I1388" i="33"/>
  <c r="G1375" i="33"/>
  <c r="G1429" i="33"/>
  <c r="I1390" i="33"/>
  <c r="I1377" i="33"/>
  <c r="G1392" i="33"/>
  <c r="H1379" i="33"/>
  <c r="H1357" i="33"/>
  <c r="H1343" i="33"/>
  <c r="G1381" i="33"/>
  <c r="H1373" i="33"/>
  <c r="I1381" i="33"/>
  <c r="I1375" i="33"/>
  <c r="G1355" i="33"/>
  <c r="I1343" i="33"/>
  <c r="G1390" i="33"/>
  <c r="G1386" i="33"/>
  <c r="H1355" i="33"/>
  <c r="G1343" i="33"/>
  <c r="I1357" i="33"/>
  <c r="G1373" i="33"/>
  <c r="I1386" i="33"/>
  <c r="G1416" i="33"/>
  <c r="G1379" i="33"/>
  <c r="I1373" i="33"/>
  <c r="G1388" i="33"/>
  <c r="H1416" i="33"/>
  <c r="I1392" i="33"/>
  <c r="I1429" i="33"/>
  <c r="H1388" i="33"/>
  <c r="I1379" i="33"/>
  <c r="G1478" i="33"/>
  <c r="I1469" i="33"/>
  <c r="I1461" i="33"/>
  <c r="G1461" i="33"/>
  <c r="G1449" i="33"/>
  <c r="I1457" i="33"/>
  <c r="H1449" i="33"/>
  <c r="G1469" i="33"/>
  <c r="G1457" i="33"/>
  <c r="G1453" i="33"/>
  <c r="I1449" i="33"/>
  <c r="G1447" i="33"/>
  <c r="H1476" i="33"/>
  <c r="H1467" i="33"/>
  <c r="H1471" i="33"/>
  <c r="H1463" i="33"/>
  <c r="I1471" i="33"/>
  <c r="I1463" i="33"/>
  <c r="I1455" i="33"/>
  <c r="H1451" i="33"/>
  <c r="G1459" i="33"/>
  <c r="I1459" i="33"/>
  <c r="G1463" i="33"/>
  <c r="I1478" i="33"/>
  <c r="G1471" i="33"/>
  <c r="H1475" i="33"/>
  <c r="H1469" i="33"/>
  <c r="H1461" i="33"/>
  <c r="G1465" i="33"/>
  <c r="H1453" i="33"/>
  <c r="G1475" i="33"/>
  <c r="I1453" i="33"/>
  <c r="G1451" i="33"/>
  <c r="I1476" i="33"/>
  <c r="I1467" i="33"/>
  <c r="H1455" i="33"/>
  <c r="G1455" i="33"/>
  <c r="H1459" i="33"/>
  <c r="H1447" i="33"/>
  <c r="I1447" i="33"/>
  <c r="I1451" i="33"/>
  <c r="G1467" i="33"/>
  <c r="H1478" i="33"/>
  <c r="H1465" i="33"/>
  <c r="G1476" i="33"/>
  <c r="I1475" i="33"/>
  <c r="I1465" i="33"/>
  <c r="H1457" i="33"/>
  <c r="I1108" i="35"/>
  <c r="H1110" i="35"/>
  <c r="G1108" i="35"/>
  <c r="H1108" i="35"/>
  <c r="G1110" i="35"/>
  <c r="I1110" i="35"/>
  <c r="H1068" i="35"/>
  <c r="G1064" i="35"/>
  <c r="G1078" i="35"/>
  <c r="I1068" i="35"/>
  <c r="H1052" i="35"/>
  <c r="H1078" i="35"/>
  <c r="H1064" i="35"/>
  <c r="H1056" i="35"/>
  <c r="I1056" i="35"/>
  <c r="I1052" i="35"/>
  <c r="G1076" i="35"/>
  <c r="I1054" i="35"/>
  <c r="I1078" i="35"/>
  <c r="G1068" i="35"/>
  <c r="G1056" i="35"/>
  <c r="H1080" i="35"/>
  <c r="G1066" i="35"/>
  <c r="G1058" i="35"/>
  <c r="G1050" i="35"/>
  <c r="H1058" i="35"/>
  <c r="G1054" i="35"/>
  <c r="H1050" i="35"/>
  <c r="H1076" i="35"/>
  <c r="I1066" i="35"/>
  <c r="H1054" i="35"/>
  <c r="I1050" i="35"/>
  <c r="G1080" i="35"/>
  <c r="H1066" i="35"/>
  <c r="I1080" i="35"/>
  <c r="I1076" i="35"/>
  <c r="I1058" i="35"/>
  <c r="I1064" i="35"/>
  <c r="G1052" i="35"/>
  <c r="Y1431" i="33"/>
  <c r="Z1431" i="33"/>
  <c r="W1431" i="33"/>
  <c r="W1427" i="33"/>
  <c r="Z1427" i="33"/>
  <c r="X1427" i="33"/>
  <c r="W1425" i="33"/>
  <c r="X1425" i="33"/>
  <c r="Y1425" i="33"/>
  <c r="W1423" i="33"/>
  <c r="X1423" i="33"/>
  <c r="Y1423" i="33"/>
  <c r="W1420" i="33"/>
  <c r="X1420" i="33"/>
  <c r="Y1420" i="33"/>
  <c r="X1422" i="33"/>
  <c r="W1422" i="33"/>
  <c r="Y1422" i="33"/>
  <c r="Y1418" i="33"/>
  <c r="Z1418" i="33"/>
  <c r="W1418" i="33"/>
  <c r="X1414" i="33"/>
  <c r="W1414" i="33"/>
  <c r="Y1414" i="33"/>
  <c r="Y1412" i="33"/>
  <c r="Z1412" i="33"/>
  <c r="W1412" i="33"/>
  <c r="Y1408" i="33"/>
  <c r="Z1408" i="33"/>
  <c r="W1408" i="33"/>
  <c r="W1410" i="33"/>
  <c r="X1410" i="33"/>
  <c r="Z1410" i="33"/>
  <c r="W1406" i="33"/>
  <c r="X1406" i="33"/>
  <c r="Y1406" i="33"/>
  <c r="AB1416" i="33" l="1"/>
  <c r="AB1390" i="33"/>
  <c r="AB1388" i="33"/>
  <c r="AB1377" i="33"/>
  <c r="AB1429" i="33"/>
  <c r="AB1375" i="33"/>
  <c r="AB1357" i="33"/>
  <c r="AB1386" i="33"/>
  <c r="AB1373" i="33"/>
  <c r="AB1355" i="33"/>
  <c r="AB1343" i="33"/>
  <c r="AB1392" i="33"/>
  <c r="W1453" i="33"/>
  <c r="W1475" i="33"/>
  <c r="W1469" i="33"/>
  <c r="X1453" i="33"/>
  <c r="X1475" i="33"/>
  <c r="X1465" i="33"/>
  <c r="X1461" i="33"/>
  <c r="X1469" i="33"/>
  <c r="W1461" i="33"/>
  <c r="X1457" i="33"/>
  <c r="X1449" i="33"/>
  <c r="W1476" i="33"/>
  <c r="W1467" i="33"/>
  <c r="W1455" i="33"/>
  <c r="X1476" i="33"/>
  <c r="X1467" i="33"/>
  <c r="W1459" i="33"/>
  <c r="W1447" i="33"/>
  <c r="X1471" i="33"/>
  <c r="X1459" i="33"/>
  <c r="X1451" i="33"/>
  <c r="X1447" i="33"/>
  <c r="W1451" i="33"/>
  <c r="W1457" i="33"/>
  <c r="W1465" i="33"/>
  <c r="W1449" i="33"/>
  <c r="X1463" i="33"/>
  <c r="W1471" i="33"/>
  <c r="W1463" i="33"/>
  <c r="X1455" i="33"/>
  <c r="V1108" i="35"/>
  <c r="V1110" i="35"/>
  <c r="W1110" i="35"/>
  <c r="W1108" i="35"/>
  <c r="W1078" i="35"/>
  <c r="V1056" i="35"/>
  <c r="W1052" i="35"/>
  <c r="W1064" i="35"/>
  <c r="W1080" i="35"/>
  <c r="W1068" i="35"/>
  <c r="V1058" i="35"/>
  <c r="W1058" i="35"/>
  <c r="V1050" i="35"/>
  <c r="W1056" i="35"/>
  <c r="V1068" i="35"/>
  <c r="V1052" i="35"/>
  <c r="V1076" i="35"/>
  <c r="W1054" i="35"/>
  <c r="W1076" i="35"/>
  <c r="V1066" i="35"/>
  <c r="V1080" i="35"/>
  <c r="W1066" i="35"/>
  <c r="V1054" i="35"/>
  <c r="W1050" i="35"/>
  <c r="V1078" i="35"/>
  <c r="V1064" i="35"/>
  <c r="L1386" i="33"/>
  <c r="L1390" i="33"/>
  <c r="L1355" i="33"/>
  <c r="L1375" i="33"/>
  <c r="L1388" i="33"/>
  <c r="L1381" i="33"/>
  <c r="L1343" i="33"/>
  <c r="L1379" i="33"/>
  <c r="L1357" i="33"/>
  <c r="L1416" i="33"/>
  <c r="L1377" i="33"/>
  <c r="L1392" i="33"/>
  <c r="L1429" i="33"/>
  <c r="L1373" i="33"/>
  <c r="L1475" i="33"/>
  <c r="L1465" i="33"/>
  <c r="L1457" i="33"/>
  <c r="L1449" i="33"/>
  <c r="L1455" i="33"/>
  <c r="L1461" i="33"/>
  <c r="L1469" i="33"/>
  <c r="L1459" i="33"/>
  <c r="L1453" i="33"/>
  <c r="L1476" i="33"/>
  <c r="L1467" i="33"/>
  <c r="L1471" i="33"/>
  <c r="L1451" i="33"/>
  <c r="L1463" i="33"/>
  <c r="L1447" i="33"/>
  <c r="L1108" i="35"/>
  <c r="L1110" i="35"/>
  <c r="L1054" i="35"/>
  <c r="L1050" i="35"/>
  <c r="L1052" i="35"/>
  <c r="L1058" i="35"/>
  <c r="L1064" i="35"/>
  <c r="L1076" i="35"/>
  <c r="L1078" i="35"/>
  <c r="L1066" i="35"/>
  <c r="L1080" i="35"/>
  <c r="L1056" i="35"/>
  <c r="L1068" i="35"/>
  <c r="AF1394" i="33"/>
  <c r="V1394" i="33"/>
  <c r="T1394" i="33"/>
  <c r="Z1394" i="33" s="1"/>
  <c r="S1394" i="33"/>
  <c r="R1394" i="33"/>
  <c r="K1394" i="33"/>
  <c r="F1394" i="33"/>
  <c r="AF1371" i="33"/>
  <c r="V1371" i="33"/>
  <c r="T1371" i="33"/>
  <c r="Z1371" i="33" s="1"/>
  <c r="S1371" i="33"/>
  <c r="R1371" i="33"/>
  <c r="K1371" i="33"/>
  <c r="F1371" i="33"/>
  <c r="AF1369" i="33"/>
  <c r="V1369" i="33"/>
  <c r="T1369" i="33"/>
  <c r="X1369" i="33" s="1"/>
  <c r="S1369" i="33"/>
  <c r="R1369" i="33"/>
  <c r="K1369" i="33"/>
  <c r="F1369" i="33"/>
  <c r="AF1353" i="33"/>
  <c r="V1353" i="33"/>
  <c r="T1353" i="33"/>
  <c r="Z1353" i="33" s="1"/>
  <c r="S1353" i="33"/>
  <c r="R1353" i="33"/>
  <c r="K1353" i="33"/>
  <c r="F1353" i="33"/>
  <c r="AF1351" i="33"/>
  <c r="V1351" i="33"/>
  <c r="T1351" i="33"/>
  <c r="Z1351" i="33" s="1"/>
  <c r="S1351" i="33"/>
  <c r="R1351" i="33"/>
  <c r="K1351" i="33"/>
  <c r="F1351" i="33"/>
  <c r="AF1349" i="33"/>
  <c r="Z1349" i="33"/>
  <c r="Y1349" i="33"/>
  <c r="X1349" i="33"/>
  <c r="V1349" i="33"/>
  <c r="S1349" i="33"/>
  <c r="R1349" i="33"/>
  <c r="K1349" i="33"/>
  <c r="F1349" i="33"/>
  <c r="AF1347" i="33"/>
  <c r="Z1347" i="33"/>
  <c r="Y1347" i="33"/>
  <c r="X1347" i="33"/>
  <c r="W1347" i="33"/>
  <c r="V1347" i="33"/>
  <c r="S1347" i="33"/>
  <c r="R1347" i="33"/>
  <c r="K1347" i="33"/>
  <c r="F1347" i="33"/>
  <c r="W1394" i="33" l="1"/>
  <c r="X1394" i="33"/>
  <c r="Y1394" i="33"/>
  <c r="Y1371" i="33"/>
  <c r="W1371" i="33"/>
  <c r="X1371" i="33"/>
  <c r="Z1369" i="33"/>
  <c r="Y1369" i="33"/>
  <c r="W1369" i="33"/>
  <c r="W1353" i="33"/>
  <c r="X1353" i="33"/>
  <c r="Y1353" i="33"/>
  <c r="W1351" i="33"/>
  <c r="X1351" i="33"/>
  <c r="Y1351" i="33"/>
  <c r="AF1345" i="33"/>
  <c r="V1345" i="33"/>
  <c r="Y1345" i="33"/>
  <c r="S1345" i="33"/>
  <c r="R1345" i="33"/>
  <c r="K1345" i="33"/>
  <c r="F1345" i="33"/>
  <c r="AE1034" i="35"/>
  <c r="Y1034" i="35"/>
  <c r="X1034" i="35"/>
  <c r="W1034" i="35"/>
  <c r="V1034" i="35"/>
  <c r="U1034" i="35"/>
  <c r="S1034" i="35"/>
  <c r="R1034" i="35"/>
  <c r="Q1034" i="35"/>
  <c r="K1034" i="35"/>
  <c r="F1034" i="35"/>
  <c r="H1371" i="33" l="1"/>
  <c r="I1351" i="33"/>
  <c r="H1394" i="33"/>
  <c r="G1349" i="33"/>
  <c r="G1353" i="33"/>
  <c r="H1347" i="33"/>
  <c r="H1422" i="33"/>
  <c r="G1414" i="33"/>
  <c r="I1422" i="33"/>
  <c r="I1418" i="33"/>
  <c r="G1431" i="33"/>
  <c r="G1420" i="33"/>
  <c r="H1414" i="33"/>
  <c r="G1425" i="33"/>
  <c r="H1420" i="33"/>
  <c r="H1431" i="33"/>
  <c r="I1412" i="33"/>
  <c r="H1427" i="33"/>
  <c r="H1408" i="33"/>
  <c r="I1420" i="33"/>
  <c r="G1423" i="33"/>
  <c r="G1418" i="33"/>
  <c r="H1406" i="33"/>
  <c r="I1431" i="33"/>
  <c r="G1422" i="33"/>
  <c r="H1412" i="33"/>
  <c r="H1425" i="33"/>
  <c r="G1427" i="33"/>
  <c r="H1418" i="33"/>
  <c r="G1410" i="33"/>
  <c r="I1408" i="33"/>
  <c r="I1425" i="33"/>
  <c r="G1412" i="33"/>
  <c r="H1410" i="33"/>
  <c r="H1423" i="33"/>
  <c r="G1408" i="33"/>
  <c r="I1427" i="33"/>
  <c r="G1406" i="33"/>
  <c r="I1410" i="33"/>
  <c r="I1406" i="33"/>
  <c r="I1423" i="33"/>
  <c r="I1414" i="33"/>
  <c r="G1351" i="33"/>
  <c r="G1394" i="33"/>
  <c r="I1394" i="33"/>
  <c r="I1349" i="33"/>
  <c r="G1371" i="33"/>
  <c r="H1349" i="33"/>
  <c r="H1369" i="33"/>
  <c r="H1351" i="33"/>
  <c r="G1369" i="33"/>
  <c r="I1371" i="33"/>
  <c r="I1353" i="33"/>
  <c r="H1353" i="33"/>
  <c r="I1369" i="33"/>
  <c r="G1347" i="33"/>
  <c r="I1347" i="33"/>
  <c r="W1345" i="33"/>
  <c r="X1345" i="33"/>
  <c r="Z1345" i="33"/>
  <c r="L1423" i="33" l="1"/>
  <c r="L1422" i="33"/>
  <c r="L1414" i="33"/>
  <c r="L1408" i="33"/>
  <c r="L1410" i="33"/>
  <c r="L1406" i="33"/>
  <c r="L1431" i="33"/>
  <c r="L1420" i="33"/>
  <c r="L1425" i="33"/>
  <c r="L1418" i="33"/>
  <c r="L1412" i="33"/>
  <c r="L1351" i="33"/>
  <c r="L1394" i="33"/>
  <c r="L1353" i="33"/>
  <c r="L1369" i="33"/>
  <c r="L1371" i="33"/>
  <c r="AB1431" i="33"/>
  <c r="AB1406" i="33"/>
  <c r="AB1410" i="33"/>
  <c r="AB1414" i="33"/>
  <c r="AB1412" i="33"/>
  <c r="AB1420" i="33"/>
  <c r="AB1408" i="33"/>
  <c r="AB1418" i="33"/>
  <c r="AB1371" i="33"/>
  <c r="AB1353" i="33"/>
  <c r="AB1351" i="33"/>
  <c r="AB1349" i="33"/>
  <c r="AB1394" i="33"/>
  <c r="AB1369" i="33"/>
  <c r="AE1002" i="35"/>
  <c r="Y1002" i="35"/>
  <c r="X1002" i="35"/>
  <c r="U1002" i="35"/>
  <c r="S1002" i="35"/>
  <c r="R1002" i="35"/>
  <c r="Q1002" i="35"/>
  <c r="K1002" i="35"/>
  <c r="F1002" i="35"/>
  <c r="AF1297" i="33"/>
  <c r="V1297" i="33"/>
  <c r="T1297" i="33"/>
  <c r="S1297" i="33"/>
  <c r="R1297" i="33"/>
  <c r="K1297" i="33"/>
  <c r="F1297" i="33"/>
  <c r="AF1295" i="33"/>
  <c r="V1295" i="33"/>
  <c r="T1295" i="33"/>
  <c r="Z1295" i="33" s="1"/>
  <c r="S1295" i="33"/>
  <c r="R1295" i="33"/>
  <c r="K1295" i="33"/>
  <c r="F1295" i="33"/>
  <c r="AF1293" i="33"/>
  <c r="V1293" i="33"/>
  <c r="T1293" i="33"/>
  <c r="S1293" i="33"/>
  <c r="R1293" i="33"/>
  <c r="K1293" i="33"/>
  <c r="F1293" i="33"/>
  <c r="AD1002" i="35" l="1"/>
  <c r="Y1297" i="33"/>
  <c r="Z1297" i="33"/>
  <c r="AE1297" i="33"/>
  <c r="Y1295" i="33"/>
  <c r="AE1295" i="33"/>
  <c r="Y1293" i="33"/>
  <c r="Z1293" i="33"/>
  <c r="AE1293" i="33"/>
  <c r="AE1004" i="35" l="1"/>
  <c r="Y1004" i="35"/>
  <c r="X1004" i="35"/>
  <c r="U1004" i="35"/>
  <c r="S1004" i="35"/>
  <c r="R1004" i="35"/>
  <c r="Q1004" i="35"/>
  <c r="K1004" i="35"/>
  <c r="F1004" i="35"/>
  <c r="AE1006" i="35"/>
  <c r="Y1006" i="35"/>
  <c r="X1006" i="35"/>
  <c r="U1006" i="35"/>
  <c r="S1006" i="35"/>
  <c r="R1006" i="35"/>
  <c r="Q1006" i="35"/>
  <c r="K1006" i="35"/>
  <c r="F1006" i="35"/>
  <c r="AE986" i="35"/>
  <c r="AG986" i="35" s="1"/>
  <c r="Y986" i="35"/>
  <c r="X986" i="35"/>
  <c r="U986" i="35"/>
  <c r="S986" i="35"/>
  <c r="R986" i="35"/>
  <c r="K986" i="35"/>
  <c r="F986" i="35"/>
  <c r="AE983" i="35"/>
  <c r="Y983" i="35"/>
  <c r="X983" i="35"/>
  <c r="U983" i="35"/>
  <c r="S983" i="35"/>
  <c r="R983" i="35"/>
  <c r="Q983" i="35"/>
  <c r="K983" i="35"/>
  <c r="F983" i="35"/>
  <c r="AE981" i="35"/>
  <c r="Y981" i="35"/>
  <c r="X981" i="35"/>
  <c r="U981" i="35"/>
  <c r="S981" i="35"/>
  <c r="R981" i="35"/>
  <c r="Q981" i="35"/>
  <c r="K981" i="35"/>
  <c r="F981" i="35"/>
  <c r="AE979" i="35"/>
  <c r="Y979" i="35"/>
  <c r="X979" i="35"/>
  <c r="U979" i="35"/>
  <c r="S979" i="35"/>
  <c r="R979" i="35"/>
  <c r="Q979" i="35"/>
  <c r="K979" i="35"/>
  <c r="F979" i="35"/>
  <c r="AE977" i="35"/>
  <c r="Y977" i="35"/>
  <c r="X977" i="35"/>
  <c r="U977" i="35"/>
  <c r="S977" i="35"/>
  <c r="R977" i="35"/>
  <c r="Q977" i="35"/>
  <c r="K977" i="35"/>
  <c r="F977" i="35"/>
  <c r="AD1004" i="35" l="1"/>
  <c r="AD1006" i="35"/>
  <c r="AD986" i="35"/>
  <c r="AD979" i="35"/>
  <c r="AD983" i="35"/>
  <c r="AD977" i="35"/>
  <c r="AD981" i="35"/>
  <c r="V1337" i="33" l="1"/>
  <c r="T1337" i="33"/>
  <c r="Z1337" i="33" s="1"/>
  <c r="S1337" i="33"/>
  <c r="R1337" i="33"/>
  <c r="K1337" i="33"/>
  <c r="F1337" i="33"/>
  <c r="Y1337" i="33" l="1"/>
  <c r="A708" i="36" l="1"/>
  <c r="V1325" i="33"/>
  <c r="T1325" i="33"/>
  <c r="Z1325" i="33" s="1"/>
  <c r="S1325" i="33"/>
  <c r="R1325" i="33"/>
  <c r="K1325" i="33"/>
  <c r="F1325" i="33"/>
  <c r="Y1325" i="33" l="1"/>
  <c r="V1435" i="33"/>
  <c r="AF1435" i="33"/>
  <c r="T1435" i="33"/>
  <c r="Z1435" i="33" s="1"/>
  <c r="S1435" i="33"/>
  <c r="R1435" i="33"/>
  <c r="K1435" i="33"/>
  <c r="F1435" i="33"/>
  <c r="W1435" i="33" l="1"/>
  <c r="X1435" i="33"/>
  <c r="Y1435" i="33"/>
  <c r="AF1277" i="33" l="1"/>
  <c r="V1277" i="33"/>
  <c r="T1277" i="33"/>
  <c r="Z1277" i="33" s="1"/>
  <c r="S1277" i="33"/>
  <c r="R1277" i="33"/>
  <c r="K1277" i="33"/>
  <c r="F1277" i="33"/>
  <c r="AF1275" i="33"/>
  <c r="V1275" i="33"/>
  <c r="T1275" i="33"/>
  <c r="Z1275" i="33" s="1"/>
  <c r="S1275" i="33"/>
  <c r="R1275" i="33"/>
  <c r="K1275" i="33"/>
  <c r="F1275" i="33"/>
  <c r="I1277" i="33" l="1"/>
  <c r="I1345" i="33"/>
  <c r="G1034" i="35"/>
  <c r="G1345" i="33"/>
  <c r="H1345" i="33"/>
  <c r="H1034" i="35"/>
  <c r="I1034" i="35"/>
  <c r="I1297" i="33"/>
  <c r="G1295" i="33"/>
  <c r="H1295" i="33"/>
  <c r="I1002" i="35"/>
  <c r="H1297" i="33"/>
  <c r="I1293" i="33"/>
  <c r="G1297" i="33"/>
  <c r="I1295" i="33"/>
  <c r="G1293" i="33"/>
  <c r="H1293" i="33"/>
  <c r="G1002" i="35"/>
  <c r="H1002" i="35"/>
  <c r="I983" i="35"/>
  <c r="I981" i="35"/>
  <c r="H1006" i="35"/>
  <c r="H981" i="35"/>
  <c r="I977" i="35"/>
  <c r="I986" i="35"/>
  <c r="G1006" i="35"/>
  <c r="I979" i="35"/>
  <c r="G986" i="35"/>
  <c r="H979" i="35"/>
  <c r="H986" i="35"/>
  <c r="H977" i="35"/>
  <c r="G1004" i="35"/>
  <c r="H983" i="35"/>
  <c r="I1004" i="35"/>
  <c r="I1006" i="35"/>
  <c r="G979" i="35"/>
  <c r="G977" i="35"/>
  <c r="G981" i="35"/>
  <c r="G983" i="35"/>
  <c r="H1004" i="35"/>
  <c r="I1337" i="33"/>
  <c r="H1337" i="33"/>
  <c r="G1337" i="33"/>
  <c r="I1325" i="33"/>
  <c r="G1325" i="33"/>
  <c r="H1325" i="33"/>
  <c r="H1435" i="33"/>
  <c r="I1435" i="33"/>
  <c r="G1435" i="33"/>
  <c r="L1277" i="33"/>
  <c r="Y1277" i="33"/>
  <c r="H1277" i="33"/>
  <c r="W1277" i="33"/>
  <c r="X1277" i="33"/>
  <c r="G1277" i="33"/>
  <c r="W1275" i="33"/>
  <c r="X1275" i="33"/>
  <c r="Y1275" i="33"/>
  <c r="AB1347" i="33" l="1"/>
  <c r="AB1277" i="33"/>
  <c r="L1345" i="33"/>
  <c r="L1034" i="35"/>
  <c r="L1002" i="35"/>
  <c r="L1293" i="33"/>
  <c r="L1295" i="33"/>
  <c r="L1297" i="33"/>
  <c r="L1004" i="35"/>
  <c r="L981" i="35"/>
  <c r="L979" i="35"/>
  <c r="L977" i="35"/>
  <c r="L983" i="35"/>
  <c r="L1006" i="35"/>
  <c r="L986" i="35"/>
  <c r="L1337" i="33"/>
  <c r="L1325" i="33"/>
  <c r="L1435" i="33"/>
  <c r="AB1345" i="33"/>
  <c r="AA1034" i="35"/>
  <c r="AA1002" i="35"/>
  <c r="X1293" i="33"/>
  <c r="X1297" i="33"/>
  <c r="V1002" i="35"/>
  <c r="W1293" i="33"/>
  <c r="W1002" i="35"/>
  <c r="W1297" i="33"/>
  <c r="W1295" i="33"/>
  <c r="X1295" i="33"/>
  <c r="W1006" i="35"/>
  <c r="W986" i="35"/>
  <c r="W981" i="35"/>
  <c r="V1004" i="35"/>
  <c r="AA977" i="35"/>
  <c r="V981" i="35"/>
  <c r="W977" i="35"/>
  <c r="W1004" i="35"/>
  <c r="AA983" i="35"/>
  <c r="V1006" i="35"/>
  <c r="AA1006" i="35"/>
  <c r="AA979" i="35"/>
  <c r="AA986" i="35"/>
  <c r="V983" i="35"/>
  <c r="AA981" i="35"/>
  <c r="V977" i="35"/>
  <c r="W983" i="35"/>
  <c r="V986" i="35"/>
  <c r="X1337" i="33"/>
  <c r="W1337" i="33"/>
  <c r="X1325" i="33"/>
  <c r="W1325" i="33"/>
  <c r="AB1435" i="33"/>
  <c r="AE945" i="35"/>
  <c r="Y945" i="35"/>
  <c r="X945" i="35"/>
  <c r="W945" i="35"/>
  <c r="V945" i="35"/>
  <c r="U945" i="35"/>
  <c r="S945" i="35"/>
  <c r="R945" i="35"/>
  <c r="Q945" i="35"/>
  <c r="K945" i="35"/>
  <c r="F945" i="35"/>
  <c r="AE943" i="35"/>
  <c r="Y943" i="35"/>
  <c r="X943" i="35"/>
  <c r="W943" i="35"/>
  <c r="V943" i="35"/>
  <c r="U943" i="35"/>
  <c r="S943" i="35"/>
  <c r="R943" i="35"/>
  <c r="Q943" i="35"/>
  <c r="K943" i="35"/>
  <c r="F943" i="35"/>
  <c r="AE941" i="35"/>
  <c r="Y941" i="35"/>
  <c r="X941" i="35"/>
  <c r="W941" i="35"/>
  <c r="V941" i="35"/>
  <c r="U941" i="35"/>
  <c r="S941" i="35"/>
  <c r="R941" i="35"/>
  <c r="Q941" i="35"/>
  <c r="K941" i="35"/>
  <c r="F941" i="35"/>
  <c r="Y939" i="35"/>
  <c r="X939" i="35"/>
  <c r="W939" i="35"/>
  <c r="V939" i="35"/>
  <c r="U939" i="35"/>
  <c r="S939" i="35"/>
  <c r="R939" i="35"/>
  <c r="Q939" i="35"/>
  <c r="K939" i="35"/>
  <c r="F939" i="35"/>
  <c r="AE937" i="35"/>
  <c r="Y937" i="35"/>
  <c r="X937" i="35"/>
  <c r="W937" i="35"/>
  <c r="V937" i="35"/>
  <c r="U937" i="35"/>
  <c r="S937" i="35"/>
  <c r="R937" i="35"/>
  <c r="Q937" i="35"/>
  <c r="K937" i="35"/>
  <c r="F937" i="35"/>
  <c r="AF1259" i="33"/>
  <c r="V1259" i="33"/>
  <c r="T1259" i="33"/>
  <c r="Z1259" i="33" s="1"/>
  <c r="S1259" i="33"/>
  <c r="R1259" i="33"/>
  <c r="K1259" i="33"/>
  <c r="F1259" i="33"/>
  <c r="AF1257" i="33"/>
  <c r="V1257" i="33"/>
  <c r="T1257" i="33"/>
  <c r="W1257" i="33" s="1"/>
  <c r="S1257" i="33"/>
  <c r="R1257" i="33"/>
  <c r="K1257" i="33"/>
  <c r="F1257" i="33"/>
  <c r="AF1255" i="33"/>
  <c r="V1255" i="33"/>
  <c r="T1255" i="33"/>
  <c r="Z1255" i="33" s="1"/>
  <c r="S1255" i="33"/>
  <c r="R1255" i="33"/>
  <c r="K1255" i="33"/>
  <c r="F1255" i="33"/>
  <c r="AF1253" i="33"/>
  <c r="V1253" i="33"/>
  <c r="T1253" i="33"/>
  <c r="Z1253" i="33" s="1"/>
  <c r="S1253" i="33"/>
  <c r="R1253" i="33"/>
  <c r="K1253" i="33"/>
  <c r="F1253" i="33"/>
  <c r="Y1257" i="33" l="1"/>
  <c r="Z1257" i="33"/>
  <c r="W1259" i="33"/>
  <c r="X1257" i="33"/>
  <c r="X1259" i="33"/>
  <c r="Y1259" i="33"/>
  <c r="W1255" i="33"/>
  <c r="X1255" i="33"/>
  <c r="Y1255" i="33"/>
  <c r="W1253" i="33"/>
  <c r="X1253" i="33"/>
  <c r="Y1253" i="33"/>
  <c r="AF1241" i="33"/>
  <c r="V1241" i="33"/>
  <c r="T1241" i="33"/>
  <c r="Z1241" i="33" s="1"/>
  <c r="S1241" i="33"/>
  <c r="R1241" i="33"/>
  <c r="K1241" i="33"/>
  <c r="F1241" i="33"/>
  <c r="AF1239" i="33"/>
  <c r="V1239" i="33"/>
  <c r="T1239" i="33"/>
  <c r="Z1239" i="33" s="1"/>
  <c r="S1239" i="33"/>
  <c r="R1239" i="33"/>
  <c r="K1239" i="33"/>
  <c r="F1239" i="33"/>
  <c r="AF1237" i="33"/>
  <c r="V1237" i="33"/>
  <c r="T1237" i="33"/>
  <c r="X1237" i="33" s="1"/>
  <c r="S1237" i="33"/>
  <c r="R1237" i="33"/>
  <c r="K1237" i="33"/>
  <c r="F1237" i="33"/>
  <c r="Y1237" i="33" l="1"/>
  <c r="Z1237" i="33"/>
  <c r="W1239" i="33"/>
  <c r="Y1239" i="33"/>
  <c r="W1241" i="33"/>
  <c r="X1241" i="33"/>
  <c r="W1237" i="33"/>
  <c r="X1239" i="33"/>
  <c r="Y1241" i="33"/>
  <c r="Z1335" i="33" l="1"/>
  <c r="Y1335" i="33"/>
  <c r="V1335" i="33"/>
  <c r="S1335" i="33"/>
  <c r="R1335" i="33"/>
  <c r="K1335" i="33"/>
  <c r="F1335" i="33"/>
  <c r="V1333" i="33"/>
  <c r="T1333" i="33"/>
  <c r="Z1333" i="33" s="1"/>
  <c r="S1333" i="33"/>
  <c r="R1333" i="33"/>
  <c r="K1333" i="33"/>
  <c r="F1333" i="33"/>
  <c r="V1327" i="33"/>
  <c r="T1327" i="33"/>
  <c r="Z1327" i="33" s="1"/>
  <c r="S1327" i="33"/>
  <c r="R1327" i="33"/>
  <c r="K1327" i="33"/>
  <c r="F1327" i="33"/>
  <c r="V1323" i="33"/>
  <c r="T1323" i="33"/>
  <c r="Z1323" i="33" s="1"/>
  <c r="S1323" i="33"/>
  <c r="R1323" i="33"/>
  <c r="K1323" i="33"/>
  <c r="F1323" i="33"/>
  <c r="V1321" i="33"/>
  <c r="T1321" i="33"/>
  <c r="Z1321" i="33" s="1"/>
  <c r="S1321" i="33"/>
  <c r="R1321" i="33"/>
  <c r="K1321" i="33"/>
  <c r="F1321" i="33"/>
  <c r="V1319" i="33"/>
  <c r="T1319" i="33"/>
  <c r="Z1319" i="33" s="1"/>
  <c r="S1319" i="33"/>
  <c r="R1319" i="33"/>
  <c r="K1319" i="33"/>
  <c r="F1319" i="33"/>
  <c r="V1317" i="33"/>
  <c r="T1317" i="33"/>
  <c r="Z1317" i="33" s="1"/>
  <c r="S1317" i="33"/>
  <c r="R1317" i="33"/>
  <c r="K1317" i="33"/>
  <c r="F1317" i="33"/>
  <c r="V1315" i="33"/>
  <c r="T1315" i="33"/>
  <c r="Z1315" i="33" s="1"/>
  <c r="S1315" i="33"/>
  <c r="R1315" i="33"/>
  <c r="K1315" i="33"/>
  <c r="F1315" i="33"/>
  <c r="V1313" i="33"/>
  <c r="T1313" i="33"/>
  <c r="Z1313" i="33" s="1"/>
  <c r="S1313" i="33"/>
  <c r="R1313" i="33"/>
  <c r="K1313" i="33"/>
  <c r="F1313" i="33"/>
  <c r="T1311" i="33"/>
  <c r="Z1311" i="33" s="1"/>
  <c r="V1311" i="33"/>
  <c r="S1311" i="33"/>
  <c r="R1311" i="33"/>
  <c r="K1311" i="33"/>
  <c r="F1311" i="33"/>
  <c r="V1309" i="33"/>
  <c r="T1309" i="33"/>
  <c r="S1309" i="33"/>
  <c r="R1309" i="33"/>
  <c r="K1309" i="33"/>
  <c r="F1309" i="33"/>
  <c r="V1307" i="33"/>
  <c r="T1307" i="33"/>
  <c r="Z1307" i="33" s="1"/>
  <c r="S1307" i="33"/>
  <c r="R1307" i="33"/>
  <c r="K1307" i="33"/>
  <c r="F1307" i="33"/>
  <c r="V1305" i="33"/>
  <c r="T1305" i="33"/>
  <c r="Z1305" i="33" s="1"/>
  <c r="S1305" i="33"/>
  <c r="R1305" i="33"/>
  <c r="K1305" i="33"/>
  <c r="F1305" i="33"/>
  <c r="AF1291" i="33"/>
  <c r="V1291" i="33"/>
  <c r="T1291" i="33"/>
  <c r="Z1291" i="33" s="1"/>
  <c r="S1291" i="33"/>
  <c r="R1291" i="33"/>
  <c r="K1291" i="33"/>
  <c r="F1291" i="33"/>
  <c r="AF1289" i="33"/>
  <c r="V1289" i="33"/>
  <c r="T1289" i="33"/>
  <c r="Z1289" i="33" s="1"/>
  <c r="S1289" i="33"/>
  <c r="R1289" i="33"/>
  <c r="K1289" i="33"/>
  <c r="F1289" i="33"/>
  <c r="AF1287" i="33"/>
  <c r="V1287" i="33"/>
  <c r="T1287" i="33"/>
  <c r="Z1287" i="33" s="1"/>
  <c r="S1287" i="33"/>
  <c r="R1287" i="33"/>
  <c r="K1287" i="33"/>
  <c r="F1287" i="33"/>
  <c r="AE1289" i="33" l="1"/>
  <c r="Y1333" i="33"/>
  <c r="Y1327" i="33"/>
  <c r="Y1323" i="33"/>
  <c r="Y1321" i="33"/>
  <c r="Y1319" i="33"/>
  <c r="Y1317" i="33"/>
  <c r="Y1315" i="33"/>
  <c r="Y1313" i="33"/>
  <c r="Y1311" i="33"/>
  <c r="Y1309" i="33"/>
  <c r="Z1309" i="33"/>
  <c r="Y1307" i="33"/>
  <c r="Y1305" i="33"/>
  <c r="Y1291" i="33"/>
  <c r="AE1291" i="33"/>
  <c r="Y1289" i="33"/>
  <c r="Y1287" i="33"/>
  <c r="AE1287" i="33"/>
  <c r="AE1020" i="35" l="1"/>
  <c r="Y1020" i="35"/>
  <c r="X1020" i="35"/>
  <c r="U1020" i="35"/>
  <c r="S1020" i="35"/>
  <c r="R1020" i="35"/>
  <c r="Q1020" i="35"/>
  <c r="K1020" i="35"/>
  <c r="F1020" i="35"/>
  <c r="AE1018" i="35"/>
  <c r="Y1018" i="35"/>
  <c r="X1018" i="35"/>
  <c r="U1018" i="35"/>
  <c r="S1018" i="35"/>
  <c r="R1018" i="35"/>
  <c r="Q1018" i="35"/>
  <c r="K1018" i="35"/>
  <c r="F1018" i="35"/>
  <c r="AE1014" i="35"/>
  <c r="Y1014" i="35"/>
  <c r="X1014" i="35"/>
  <c r="U1014" i="35"/>
  <c r="S1014" i="35"/>
  <c r="R1014" i="35"/>
  <c r="Q1014" i="35"/>
  <c r="K1014" i="35"/>
  <c r="F1014" i="35"/>
  <c r="AE1012" i="35"/>
  <c r="Y1012" i="35"/>
  <c r="X1012" i="35"/>
  <c r="U1012" i="35"/>
  <c r="S1012" i="35"/>
  <c r="R1012" i="35"/>
  <c r="Q1012" i="35"/>
  <c r="K1012" i="35"/>
  <c r="F1012" i="35"/>
  <c r="AE1010" i="35"/>
  <c r="Y1010" i="35"/>
  <c r="X1010" i="35"/>
  <c r="U1010" i="35"/>
  <c r="S1010" i="35"/>
  <c r="R1010" i="35"/>
  <c r="Q1010" i="35"/>
  <c r="K1010" i="35"/>
  <c r="F1010" i="35"/>
  <c r="AE1008" i="35"/>
  <c r="Y1008" i="35"/>
  <c r="X1008" i="35"/>
  <c r="U1008" i="35"/>
  <c r="S1008" i="35"/>
  <c r="R1008" i="35"/>
  <c r="Q1008" i="35"/>
  <c r="K1008" i="35"/>
  <c r="F1008" i="35"/>
  <c r="AD1008" i="35" l="1"/>
  <c r="AD1020" i="35"/>
  <c r="V1020" i="35"/>
  <c r="V1018" i="35"/>
  <c r="AD1018" i="35"/>
  <c r="AD1014" i="35"/>
  <c r="AD1012" i="35"/>
  <c r="AD1010" i="35"/>
  <c r="AE996" i="35"/>
  <c r="Y996" i="35"/>
  <c r="X996" i="35"/>
  <c r="U996" i="35"/>
  <c r="S996" i="35"/>
  <c r="R996" i="35"/>
  <c r="Q996" i="35"/>
  <c r="K996" i="35"/>
  <c r="F996" i="35"/>
  <c r="AE994" i="35"/>
  <c r="Y994" i="35"/>
  <c r="X994" i="35"/>
  <c r="U994" i="35"/>
  <c r="S994" i="35"/>
  <c r="R994" i="35"/>
  <c r="Q994" i="35"/>
  <c r="K994" i="35"/>
  <c r="F994" i="35"/>
  <c r="AE992" i="35"/>
  <c r="Y992" i="35"/>
  <c r="X992" i="35"/>
  <c r="U992" i="35"/>
  <c r="S992" i="35"/>
  <c r="R992" i="35"/>
  <c r="Q992" i="35"/>
  <c r="K992" i="35"/>
  <c r="F992" i="35"/>
  <c r="AE990" i="35"/>
  <c r="Y990" i="35"/>
  <c r="X990" i="35"/>
  <c r="U990" i="35"/>
  <c r="S990" i="35"/>
  <c r="R990" i="35"/>
  <c r="Q990" i="35"/>
  <c r="K990" i="35"/>
  <c r="F990" i="35"/>
  <c r="AE988" i="35"/>
  <c r="Y988" i="35"/>
  <c r="X988" i="35"/>
  <c r="U988" i="35"/>
  <c r="S988" i="35"/>
  <c r="R988" i="35"/>
  <c r="Q988" i="35"/>
  <c r="K988" i="35"/>
  <c r="F988" i="35"/>
  <c r="AE971" i="35"/>
  <c r="Y971" i="35"/>
  <c r="X971" i="35"/>
  <c r="U971" i="35"/>
  <c r="S971" i="35"/>
  <c r="R971" i="35"/>
  <c r="Q971" i="35"/>
  <c r="K971" i="35"/>
  <c r="F971" i="35"/>
  <c r="AE969" i="35"/>
  <c r="Y969" i="35"/>
  <c r="X969" i="35"/>
  <c r="U969" i="35"/>
  <c r="S969" i="35"/>
  <c r="R969" i="35"/>
  <c r="Q969" i="35"/>
  <c r="K969" i="35"/>
  <c r="F969" i="35"/>
  <c r="AE967" i="35"/>
  <c r="Y967" i="35"/>
  <c r="X967" i="35"/>
  <c r="U967" i="35"/>
  <c r="S967" i="35"/>
  <c r="R967" i="35"/>
  <c r="Q967" i="35"/>
  <c r="K967" i="35"/>
  <c r="F967" i="35"/>
  <c r="AE965" i="35"/>
  <c r="Y965" i="35"/>
  <c r="X965" i="35"/>
  <c r="U965" i="35"/>
  <c r="S965" i="35"/>
  <c r="R965" i="35"/>
  <c r="Q965" i="35"/>
  <c r="K965" i="35"/>
  <c r="F965" i="35"/>
  <c r="AE963" i="35"/>
  <c r="Y963" i="35"/>
  <c r="X963" i="35"/>
  <c r="U963" i="35"/>
  <c r="S963" i="35"/>
  <c r="R963" i="35"/>
  <c r="Q963" i="35"/>
  <c r="K963" i="35"/>
  <c r="F963" i="35"/>
  <c r="AE959" i="35"/>
  <c r="Y959" i="35"/>
  <c r="X959" i="35"/>
  <c r="U959" i="35"/>
  <c r="S959" i="35"/>
  <c r="R959" i="35"/>
  <c r="Q959" i="35"/>
  <c r="K959" i="35"/>
  <c r="F959" i="35"/>
  <c r="AE961" i="35"/>
  <c r="Y961" i="35"/>
  <c r="X961" i="35"/>
  <c r="U961" i="35"/>
  <c r="S961" i="35"/>
  <c r="R961" i="35"/>
  <c r="Q961" i="35"/>
  <c r="K961" i="35"/>
  <c r="F961" i="35"/>
  <c r="AD996" i="35" l="1"/>
  <c r="AD994" i="35"/>
  <c r="AD992" i="35"/>
  <c r="AD990" i="35"/>
  <c r="AD988" i="35"/>
  <c r="AD971" i="35"/>
  <c r="AD969" i="35"/>
  <c r="AD967" i="35"/>
  <c r="AD965" i="35"/>
  <c r="AD963" i="35"/>
  <c r="AD959" i="35"/>
  <c r="AD961" i="35"/>
  <c r="F1233" i="33" l="1"/>
  <c r="A640" i="36"/>
  <c r="AF1227" i="33"/>
  <c r="V1227" i="33"/>
  <c r="T1227" i="33"/>
  <c r="Y1227" i="33" s="1"/>
  <c r="S1227" i="33"/>
  <c r="R1227" i="33"/>
  <c r="K1227" i="33"/>
  <c r="F1227" i="33"/>
  <c r="G1275" i="33" l="1"/>
  <c r="H1275" i="33"/>
  <c r="I1275" i="33"/>
  <c r="I943" i="35"/>
  <c r="H1257" i="33"/>
  <c r="I1253" i="33"/>
  <c r="H941" i="35"/>
  <c r="I945" i="35"/>
  <c r="I939" i="35"/>
  <c r="I1259" i="33"/>
  <c r="H945" i="35"/>
  <c r="G1255" i="33"/>
  <c r="G1259" i="33"/>
  <c r="H1259" i="33"/>
  <c r="I937" i="35"/>
  <c r="G941" i="35"/>
  <c r="G945" i="35"/>
  <c r="G1253" i="33"/>
  <c r="I941" i="35"/>
  <c r="I1257" i="33"/>
  <c r="H1253" i="33"/>
  <c r="G943" i="35"/>
  <c r="G939" i="35"/>
  <c r="H943" i="35"/>
  <c r="H939" i="35"/>
  <c r="I1255" i="33"/>
  <c r="H937" i="35"/>
  <c r="G1257" i="33"/>
  <c r="H1255" i="33"/>
  <c r="G937" i="35"/>
  <c r="I1241" i="33"/>
  <c r="I1239" i="33"/>
  <c r="H1237" i="33"/>
  <c r="G1239" i="33"/>
  <c r="G1241" i="33"/>
  <c r="G1237" i="33"/>
  <c r="H1239" i="33"/>
  <c r="H1241" i="33"/>
  <c r="I1237" i="33"/>
  <c r="G1307" i="33"/>
  <c r="H1315" i="33"/>
  <c r="H1317" i="33"/>
  <c r="G1287" i="33"/>
  <c r="H1287" i="33"/>
  <c r="I1311" i="33"/>
  <c r="H1307" i="33"/>
  <c r="G1305" i="33"/>
  <c r="G1317" i="33"/>
  <c r="G1289" i="33"/>
  <c r="G1291" i="33"/>
  <c r="G1327" i="33"/>
  <c r="H1313" i="33"/>
  <c r="I1327" i="33"/>
  <c r="I1317" i="33"/>
  <c r="I1305" i="33"/>
  <c r="G1311" i="33"/>
  <c r="H1333" i="33"/>
  <c r="H1309" i="33"/>
  <c r="H1311" i="33"/>
  <c r="I1287" i="33"/>
  <c r="G1315" i="33"/>
  <c r="I1333" i="33"/>
  <c r="G1319" i="33"/>
  <c r="I1315" i="33"/>
  <c r="I1323" i="33"/>
  <c r="I1335" i="33"/>
  <c r="G1323" i="33"/>
  <c r="H1319" i="33"/>
  <c r="I1307" i="33"/>
  <c r="H1305" i="33"/>
  <c r="I1289" i="33"/>
  <c r="G1335" i="33"/>
  <c r="H1323" i="33"/>
  <c r="I1319" i="33"/>
  <c r="H1335" i="33"/>
  <c r="G1321" i="33"/>
  <c r="G1313" i="33"/>
  <c r="H1289" i="33"/>
  <c r="H1291" i="33"/>
  <c r="G1333" i="33"/>
  <c r="H1321" i="33"/>
  <c r="I1313" i="33"/>
  <c r="I1321" i="33"/>
  <c r="I1291" i="33"/>
  <c r="G1309" i="33"/>
  <c r="H1327" i="33"/>
  <c r="I1309" i="33"/>
  <c r="G1020" i="35"/>
  <c r="H1014" i="35"/>
  <c r="H1012" i="35"/>
  <c r="H1020" i="35"/>
  <c r="H1010" i="35"/>
  <c r="G1018" i="35"/>
  <c r="I1012" i="35"/>
  <c r="I1014" i="35"/>
  <c r="I1018" i="35"/>
  <c r="I1020" i="35"/>
  <c r="G1010" i="35"/>
  <c r="I1008" i="35"/>
  <c r="I1010" i="35"/>
  <c r="G1008" i="35"/>
  <c r="G1014" i="35"/>
  <c r="H1008" i="35"/>
  <c r="H1018" i="35"/>
  <c r="G1012" i="35"/>
  <c r="G990" i="35"/>
  <c r="I965" i="35"/>
  <c r="H959" i="35"/>
  <c r="G994" i="35"/>
  <c r="G996" i="35"/>
  <c r="I994" i="35"/>
  <c r="H990" i="35"/>
  <c r="I969" i="35"/>
  <c r="H967" i="35"/>
  <c r="H988" i="35"/>
  <c r="G967" i="35"/>
  <c r="I971" i="35"/>
  <c r="I963" i="35"/>
  <c r="I988" i="35"/>
  <c r="G965" i="35"/>
  <c r="I992" i="35"/>
  <c r="H996" i="35"/>
  <c r="G963" i="35"/>
  <c r="I959" i="35"/>
  <c r="I967" i="35"/>
  <c r="H963" i="35"/>
  <c r="G961" i="35"/>
  <c r="G959" i="35"/>
  <c r="I990" i="35"/>
  <c r="H969" i="35"/>
  <c r="I996" i="35"/>
  <c r="H992" i="35"/>
  <c r="H971" i="35"/>
  <c r="H961" i="35"/>
  <c r="G971" i="35"/>
  <c r="I961" i="35"/>
  <c r="G988" i="35"/>
  <c r="G992" i="35"/>
  <c r="H965" i="35"/>
  <c r="H994" i="35"/>
  <c r="G969" i="35"/>
  <c r="W1227" i="33"/>
  <c r="X1227" i="33"/>
  <c r="Z1227" i="33"/>
  <c r="AB1275" i="33" l="1"/>
  <c r="AA937" i="35"/>
  <c r="AB1255" i="33"/>
  <c r="AB1257" i="33"/>
  <c r="AA941" i="35"/>
  <c r="AA945" i="35"/>
  <c r="AB1253" i="33"/>
  <c r="AA939" i="35"/>
  <c r="AA943" i="35"/>
  <c r="AB1259" i="33"/>
  <c r="AB1241" i="33"/>
  <c r="AB1237" i="33"/>
  <c r="AB1239" i="33"/>
  <c r="X1313" i="33"/>
  <c r="W1305" i="33"/>
  <c r="X1305" i="33"/>
  <c r="X1317" i="33"/>
  <c r="W1321" i="33"/>
  <c r="X1289" i="33"/>
  <c r="X1291" i="33"/>
  <c r="W1323" i="33"/>
  <c r="X1307" i="33"/>
  <c r="W1319" i="33"/>
  <c r="X1309" i="33"/>
  <c r="X1287" i="33"/>
  <c r="W1327" i="33"/>
  <c r="X1321" i="33"/>
  <c r="W1317" i="33"/>
  <c r="W1309" i="33"/>
  <c r="X1327" i="33"/>
  <c r="X1311" i="33"/>
  <c r="W1289" i="33"/>
  <c r="W1315" i="33"/>
  <c r="W1307" i="33"/>
  <c r="W1311" i="33"/>
  <c r="X1323" i="33"/>
  <c r="X1319" i="33"/>
  <c r="W1287" i="33"/>
  <c r="W1291" i="33"/>
  <c r="W1313" i="33"/>
  <c r="X1315" i="33"/>
  <c r="V1012" i="35"/>
  <c r="AA1008" i="35"/>
  <c r="AA1012" i="35"/>
  <c r="W1008" i="35"/>
  <c r="W1012" i="35"/>
  <c r="AA1014" i="35"/>
  <c r="W1010" i="35"/>
  <c r="AA1020" i="35"/>
  <c r="AA1010" i="35"/>
  <c r="V1008" i="35"/>
  <c r="AA1018" i="35"/>
  <c r="W1018" i="35"/>
  <c r="W1020" i="35"/>
  <c r="W1014" i="35"/>
  <c r="V1014" i="35"/>
  <c r="V1010" i="35"/>
  <c r="W994" i="35"/>
  <c r="AA969" i="35"/>
  <c r="W967" i="35"/>
  <c r="V959" i="35"/>
  <c r="W990" i="35"/>
  <c r="AA959" i="35"/>
  <c r="V971" i="35"/>
  <c r="V967" i="35"/>
  <c r="V994" i="35"/>
  <c r="AA990" i="35"/>
  <c r="AA967" i="35"/>
  <c r="V963" i="35"/>
  <c r="W963" i="35"/>
  <c r="V992" i="35"/>
  <c r="W971" i="35"/>
  <c r="AA996" i="35"/>
  <c r="W992" i="35"/>
  <c r="V969" i="35"/>
  <c r="AA971" i="35"/>
  <c r="AA961" i="35"/>
  <c r="V988" i="35"/>
  <c r="W965" i="35"/>
  <c r="W959" i="35"/>
  <c r="W969" i="35"/>
  <c r="AA963" i="35"/>
  <c r="W961" i="35"/>
  <c r="V996" i="35"/>
  <c r="AA992" i="35"/>
  <c r="V965" i="35"/>
  <c r="V961" i="35"/>
  <c r="AA994" i="35"/>
  <c r="W996" i="35"/>
  <c r="AA988" i="35"/>
  <c r="W988" i="35"/>
  <c r="V990" i="35"/>
  <c r="AA965" i="35"/>
  <c r="L1275" i="33"/>
  <c r="L1255" i="33"/>
  <c r="L937" i="35"/>
  <c r="L1253" i="33"/>
  <c r="L943" i="35"/>
  <c r="L945" i="35"/>
  <c r="L1259" i="33"/>
  <c r="L939" i="35"/>
  <c r="L941" i="35"/>
  <c r="L1257" i="33"/>
  <c r="L1241" i="33"/>
  <c r="L1239" i="33"/>
  <c r="L1237" i="33"/>
  <c r="L1327" i="33"/>
  <c r="L1321" i="33"/>
  <c r="L1309" i="33"/>
  <c r="L1311" i="33"/>
  <c r="L1305" i="33"/>
  <c r="L1313" i="33"/>
  <c r="L1315" i="33"/>
  <c r="L1307" i="33"/>
  <c r="L1323" i="33"/>
  <c r="L1319" i="33"/>
  <c r="L1287" i="33"/>
  <c r="L1289" i="33"/>
  <c r="L1317" i="33"/>
  <c r="L1291" i="33"/>
  <c r="L1018" i="35"/>
  <c r="L1008" i="35"/>
  <c r="L1012" i="35"/>
  <c r="L1020" i="35"/>
  <c r="L1014" i="35"/>
  <c r="L1010" i="35"/>
  <c r="L959" i="35"/>
  <c r="L969" i="35"/>
  <c r="L994" i="35"/>
  <c r="L996" i="35"/>
  <c r="L963" i="35"/>
  <c r="L961" i="35"/>
  <c r="L965" i="35"/>
  <c r="L971" i="35"/>
  <c r="L992" i="35"/>
  <c r="L967" i="35"/>
  <c r="L990" i="35"/>
  <c r="L988" i="35"/>
  <c r="AF1199" i="33"/>
  <c r="T1199" i="33"/>
  <c r="X1199" i="33" s="1"/>
  <c r="S1199" i="33"/>
  <c r="R1199" i="33"/>
  <c r="K1199" i="33"/>
  <c r="F1199" i="33"/>
  <c r="Y1199" i="33" l="1"/>
  <c r="Z1199" i="33"/>
  <c r="W1199" i="33"/>
  <c r="AF1283" i="33" l="1"/>
  <c r="V1283" i="33"/>
  <c r="T1283" i="33"/>
  <c r="Z1283" i="33" s="1"/>
  <c r="S1283" i="33"/>
  <c r="R1283" i="33"/>
  <c r="K1283" i="33"/>
  <c r="F1283" i="33"/>
  <c r="AF1273" i="33"/>
  <c r="V1273" i="33"/>
  <c r="T1273" i="33"/>
  <c r="Z1273" i="33" s="1"/>
  <c r="S1273" i="33"/>
  <c r="R1273" i="33"/>
  <c r="K1273" i="33"/>
  <c r="F1273" i="33"/>
  <c r="AF1271" i="33"/>
  <c r="V1271" i="33"/>
  <c r="T1271" i="33"/>
  <c r="Z1271" i="33" s="1"/>
  <c r="S1271" i="33"/>
  <c r="R1271" i="33"/>
  <c r="K1271" i="33"/>
  <c r="F1271" i="33"/>
  <c r="AF1269" i="33"/>
  <c r="V1269" i="33"/>
  <c r="T1269" i="33"/>
  <c r="Z1269" i="33" s="1"/>
  <c r="S1269" i="33"/>
  <c r="R1269" i="33"/>
  <c r="K1269" i="33"/>
  <c r="F1269" i="33"/>
  <c r="AF1267" i="33"/>
  <c r="V1267" i="33"/>
  <c r="T1267" i="33"/>
  <c r="Z1267" i="33" s="1"/>
  <c r="S1267" i="33"/>
  <c r="R1267" i="33"/>
  <c r="K1267" i="33"/>
  <c r="F1267" i="33"/>
  <c r="V1265" i="33"/>
  <c r="AF1265" i="33"/>
  <c r="T1265" i="33"/>
  <c r="Z1265" i="33" s="1"/>
  <c r="S1265" i="33"/>
  <c r="R1265" i="33"/>
  <c r="K1265" i="33"/>
  <c r="F1265" i="33"/>
  <c r="AF1263" i="33"/>
  <c r="V1263" i="33"/>
  <c r="T1263" i="33"/>
  <c r="X1263" i="33" s="1"/>
  <c r="S1263" i="33"/>
  <c r="R1263" i="33"/>
  <c r="K1263" i="33"/>
  <c r="F1263" i="33"/>
  <c r="AF1261" i="33"/>
  <c r="V1261" i="33"/>
  <c r="T1261" i="33"/>
  <c r="Z1261" i="33" s="1"/>
  <c r="S1261" i="33"/>
  <c r="R1261" i="33"/>
  <c r="K1261" i="33"/>
  <c r="F1261" i="33"/>
  <c r="AF1251" i="33"/>
  <c r="V1251" i="33"/>
  <c r="T1251" i="33"/>
  <c r="W1251" i="33" s="1"/>
  <c r="S1251" i="33"/>
  <c r="R1251" i="33"/>
  <c r="K1251" i="33"/>
  <c r="F1251" i="33"/>
  <c r="AF1249" i="33"/>
  <c r="V1249" i="33"/>
  <c r="T1249" i="33"/>
  <c r="W1249" i="33" s="1"/>
  <c r="S1249" i="33"/>
  <c r="R1249" i="33"/>
  <c r="K1249" i="33"/>
  <c r="F1249" i="33"/>
  <c r="AF1235" i="33"/>
  <c r="V1235" i="33"/>
  <c r="T1235" i="33"/>
  <c r="Z1235" i="33" s="1"/>
  <c r="S1235" i="33"/>
  <c r="R1235" i="33"/>
  <c r="K1235" i="33"/>
  <c r="F1235" i="33"/>
  <c r="AF1233" i="33"/>
  <c r="T1233" i="33"/>
  <c r="Z1233" i="33" s="1"/>
  <c r="S1233" i="33"/>
  <c r="R1233" i="33"/>
  <c r="K1233" i="33"/>
  <c r="W1283" i="33" l="1"/>
  <c r="X1283" i="33"/>
  <c r="Y1283" i="33"/>
  <c r="Y1273" i="33"/>
  <c r="W1273" i="33"/>
  <c r="X1273" i="33"/>
  <c r="W1271" i="33"/>
  <c r="X1271" i="33"/>
  <c r="Y1271" i="33"/>
  <c r="W1269" i="33"/>
  <c r="X1269" i="33"/>
  <c r="Y1269" i="33"/>
  <c r="W1267" i="33"/>
  <c r="X1267" i="33"/>
  <c r="Y1267" i="33"/>
  <c r="W1265" i="33"/>
  <c r="X1265" i="33"/>
  <c r="Y1265" i="33"/>
  <c r="Y1263" i="33"/>
  <c r="Z1263" i="33"/>
  <c r="W1263" i="33"/>
  <c r="X1261" i="33"/>
  <c r="W1261" i="33"/>
  <c r="Y1261" i="33"/>
  <c r="X1251" i="33"/>
  <c r="Y1251" i="33"/>
  <c r="Z1251" i="33"/>
  <c r="X1249" i="33"/>
  <c r="Y1249" i="33"/>
  <c r="Z1249" i="33"/>
  <c r="W1235" i="33"/>
  <c r="X1235" i="33"/>
  <c r="Y1235" i="33"/>
  <c r="W1233" i="33"/>
  <c r="X1233" i="33"/>
  <c r="Y1233" i="33"/>
  <c r="AF1223" i="33"/>
  <c r="V1223" i="33"/>
  <c r="T1223" i="33"/>
  <c r="Y1223" i="33" s="1"/>
  <c r="S1223" i="33"/>
  <c r="R1223" i="33"/>
  <c r="K1223" i="33"/>
  <c r="F1223" i="33"/>
  <c r="AF1221" i="33"/>
  <c r="V1221" i="33"/>
  <c r="T1221" i="33"/>
  <c r="Z1221" i="33" s="1"/>
  <c r="S1221" i="33"/>
  <c r="R1221" i="33"/>
  <c r="K1221" i="33"/>
  <c r="F1221" i="33"/>
  <c r="AF1219" i="33"/>
  <c r="V1219" i="33"/>
  <c r="T1219" i="33"/>
  <c r="X1219" i="33" s="1"/>
  <c r="S1219" i="33"/>
  <c r="R1219" i="33"/>
  <c r="K1219" i="33"/>
  <c r="F1219" i="33"/>
  <c r="AF1217" i="33"/>
  <c r="V1217" i="33"/>
  <c r="T1217" i="33"/>
  <c r="Z1217" i="33" s="1"/>
  <c r="S1217" i="33"/>
  <c r="R1217" i="33"/>
  <c r="K1217" i="33"/>
  <c r="F1217" i="33"/>
  <c r="V1203" i="33"/>
  <c r="T1203" i="33"/>
  <c r="X1203" i="33" s="1"/>
  <c r="S1203" i="33"/>
  <c r="R1203" i="33"/>
  <c r="K1203" i="33"/>
  <c r="F1203" i="33"/>
  <c r="V1201" i="33"/>
  <c r="T1201" i="33"/>
  <c r="Z1201" i="33" s="1"/>
  <c r="S1201" i="33"/>
  <c r="R1201" i="33"/>
  <c r="K1201" i="33"/>
  <c r="F1201" i="33"/>
  <c r="AF1231" i="33"/>
  <c r="V1231" i="33"/>
  <c r="T1231" i="33"/>
  <c r="Z1231" i="33" s="1"/>
  <c r="S1231" i="33"/>
  <c r="R1231" i="33"/>
  <c r="K1231" i="33"/>
  <c r="F1231" i="33"/>
  <c r="AF1229" i="33"/>
  <c r="V1229" i="33"/>
  <c r="T1229" i="33"/>
  <c r="Z1229" i="33" s="1"/>
  <c r="S1229" i="33"/>
  <c r="R1229" i="33"/>
  <c r="K1229" i="33"/>
  <c r="F1229" i="33"/>
  <c r="AF1225" i="33"/>
  <c r="V1225" i="33"/>
  <c r="T1225" i="33"/>
  <c r="Z1225" i="33" s="1"/>
  <c r="S1225" i="33"/>
  <c r="R1225" i="33"/>
  <c r="K1225" i="33"/>
  <c r="F1225" i="33"/>
  <c r="AF1215" i="33"/>
  <c r="V1215" i="33"/>
  <c r="T1215" i="33"/>
  <c r="Z1215" i="33" s="1"/>
  <c r="S1215" i="33"/>
  <c r="R1215" i="33"/>
  <c r="K1215" i="33"/>
  <c r="F1215" i="33"/>
  <c r="AF1213" i="33"/>
  <c r="V1213" i="33"/>
  <c r="T1213" i="33"/>
  <c r="Z1213" i="33" s="1"/>
  <c r="S1213" i="33"/>
  <c r="R1213" i="33"/>
  <c r="K1213" i="33"/>
  <c r="F1213" i="33"/>
  <c r="AF1211" i="33"/>
  <c r="V1211" i="33"/>
  <c r="T1211" i="33"/>
  <c r="X1211" i="33" s="1"/>
  <c r="S1211" i="33"/>
  <c r="R1211" i="33"/>
  <c r="K1211" i="33"/>
  <c r="F1211" i="33"/>
  <c r="L1231" i="33" l="1"/>
  <c r="Z1223" i="33"/>
  <c r="W1223" i="33"/>
  <c r="X1223" i="33"/>
  <c r="W1221" i="33"/>
  <c r="X1221" i="33"/>
  <c r="Y1221" i="33"/>
  <c r="W1219" i="33"/>
  <c r="Y1219" i="33"/>
  <c r="Z1219" i="33"/>
  <c r="W1217" i="33"/>
  <c r="Y1217" i="33"/>
  <c r="X1217" i="33"/>
  <c r="W1203" i="33"/>
  <c r="Y1203" i="33"/>
  <c r="Z1203" i="33"/>
  <c r="W1201" i="33"/>
  <c r="X1201" i="33"/>
  <c r="Y1201" i="33"/>
  <c r="Y1231" i="33"/>
  <c r="W1231" i="33"/>
  <c r="X1231" i="33"/>
  <c r="W1229" i="33"/>
  <c r="X1229" i="33"/>
  <c r="Y1229" i="33"/>
  <c r="X1225" i="33"/>
  <c r="Y1225" i="33"/>
  <c r="W1225" i="33"/>
  <c r="X1215" i="33"/>
  <c r="W1215" i="33"/>
  <c r="Y1215" i="33"/>
  <c r="Y1213" i="33"/>
  <c r="W1213" i="33"/>
  <c r="X1213" i="33"/>
  <c r="Y1211" i="33"/>
  <c r="Z1211" i="33"/>
  <c r="W1211" i="33"/>
  <c r="AF1205" i="33" l="1"/>
  <c r="V1205" i="33"/>
  <c r="T1205" i="33"/>
  <c r="X1205" i="33" s="1"/>
  <c r="S1205" i="33"/>
  <c r="R1205" i="33"/>
  <c r="K1205" i="33"/>
  <c r="F1205" i="33"/>
  <c r="Z1205" i="33" l="1"/>
  <c r="Y1205" i="33"/>
  <c r="W1205" i="33"/>
  <c r="AF1161" i="33" l="1"/>
  <c r="AF1183" i="33"/>
  <c r="AF1180" i="33"/>
  <c r="I1227" i="33" l="1"/>
  <c r="G1227" i="33"/>
  <c r="H1227" i="33"/>
  <c r="H1199" i="33"/>
  <c r="I1199" i="33"/>
  <c r="G1199" i="33"/>
  <c r="G1271" i="33"/>
  <c r="G1269" i="33"/>
  <c r="G1261" i="33"/>
  <c r="G1235" i="33"/>
  <c r="I1263" i="33"/>
  <c r="G1267" i="33"/>
  <c r="H1261" i="33"/>
  <c r="I1265" i="33"/>
  <c r="G1283" i="33"/>
  <c r="I1283" i="33"/>
  <c r="H1267" i="33"/>
  <c r="G1251" i="33"/>
  <c r="G1249" i="33"/>
  <c r="G1265" i="33"/>
  <c r="H1283" i="33"/>
  <c r="I1233" i="33"/>
  <c r="I1269" i="33"/>
  <c r="I1261" i="33"/>
  <c r="I1235" i="33"/>
  <c r="G1273" i="33"/>
  <c r="H1271" i="33"/>
  <c r="H1269" i="33"/>
  <c r="G1263" i="33"/>
  <c r="H1251" i="33"/>
  <c r="H1249" i="33"/>
  <c r="G1233" i="33"/>
  <c r="I1267" i="33"/>
  <c r="H1273" i="33"/>
  <c r="I1271" i="33"/>
  <c r="H1265" i="33"/>
  <c r="H1263" i="33"/>
  <c r="I1249" i="33"/>
  <c r="H1233" i="33"/>
  <c r="I1251" i="33"/>
  <c r="H1235" i="33"/>
  <c r="I1273" i="33"/>
  <c r="G1217" i="33"/>
  <c r="I1217" i="33"/>
  <c r="H1231" i="33"/>
  <c r="I1213" i="33"/>
  <c r="G1225" i="33"/>
  <c r="H1225" i="33"/>
  <c r="G1213" i="33"/>
  <c r="G1201" i="33"/>
  <c r="I1231" i="33"/>
  <c r="I1203" i="33"/>
  <c r="G1211" i="33"/>
  <c r="H1219" i="33"/>
  <c r="H1215" i="33"/>
  <c r="G1231" i="33"/>
  <c r="H1211" i="33"/>
  <c r="I1211" i="33"/>
  <c r="G1221" i="33"/>
  <c r="I1201" i="33"/>
  <c r="I1215" i="33"/>
  <c r="H1213" i="33"/>
  <c r="G1203" i="33"/>
  <c r="H1221" i="33"/>
  <c r="H1201" i="33"/>
  <c r="G1223" i="33"/>
  <c r="H1229" i="33"/>
  <c r="I1229" i="33"/>
  <c r="I1225" i="33"/>
  <c r="I1221" i="33"/>
  <c r="I1219" i="33"/>
  <c r="H1223" i="33"/>
  <c r="G1229" i="33"/>
  <c r="I1223" i="33"/>
  <c r="G1219" i="33"/>
  <c r="G1215" i="33"/>
  <c r="H1217" i="33"/>
  <c r="H1203" i="33"/>
  <c r="G1205" i="33"/>
  <c r="H1205" i="33"/>
  <c r="I1205" i="33"/>
  <c r="V1183" i="33"/>
  <c r="T1183" i="33"/>
  <c r="Z1183" i="33" s="1"/>
  <c r="S1183" i="33"/>
  <c r="R1183" i="33"/>
  <c r="K1183" i="33"/>
  <c r="F1183" i="33"/>
  <c r="V1181" i="33"/>
  <c r="T1181" i="33"/>
  <c r="S1181" i="33"/>
  <c r="R1181" i="33"/>
  <c r="K1181" i="33"/>
  <c r="F1181" i="33"/>
  <c r="V1180" i="33"/>
  <c r="T1180" i="33"/>
  <c r="Z1180" i="33" s="1"/>
  <c r="S1180" i="33"/>
  <c r="R1180" i="33"/>
  <c r="K1180" i="33"/>
  <c r="F1180" i="33"/>
  <c r="V1178" i="33"/>
  <c r="T1178" i="33"/>
  <c r="S1178" i="33"/>
  <c r="R1178" i="33"/>
  <c r="K1178" i="33"/>
  <c r="F1178" i="33"/>
  <c r="V1161" i="33"/>
  <c r="T1161" i="33"/>
  <c r="Z1161" i="33" s="1"/>
  <c r="S1161" i="33"/>
  <c r="R1161" i="33"/>
  <c r="K1161" i="33"/>
  <c r="F1161" i="33"/>
  <c r="AB1227" i="33" l="1"/>
  <c r="AB1199" i="33"/>
  <c r="AB1273" i="33"/>
  <c r="AB1265" i="33"/>
  <c r="AB1261" i="33"/>
  <c r="AB1235" i="33"/>
  <c r="AB1267" i="33"/>
  <c r="AB1263" i="33"/>
  <c r="AB1233" i="33"/>
  <c r="AB1251" i="33"/>
  <c r="AB1249" i="33"/>
  <c r="AB1283" i="33"/>
  <c r="AB1201" i="33"/>
  <c r="AB1211" i="33"/>
  <c r="AB1229" i="33"/>
  <c r="AB1215" i="33"/>
  <c r="AB1231" i="33"/>
  <c r="AB1217" i="33"/>
  <c r="AB1225" i="33"/>
  <c r="AB1221" i="33"/>
  <c r="AB1223" i="33"/>
  <c r="AB1203" i="33"/>
  <c r="AB1213" i="33"/>
  <c r="AB1219" i="33"/>
  <c r="AB1205" i="33"/>
  <c r="L1227" i="33"/>
  <c r="L1199" i="33"/>
  <c r="L1269" i="33"/>
  <c r="L1265" i="33"/>
  <c r="L1251" i="33"/>
  <c r="L1273" i="33"/>
  <c r="L1263" i="33"/>
  <c r="L1261" i="33"/>
  <c r="L1249" i="33"/>
  <c r="L1235" i="33"/>
  <c r="L1283" i="33"/>
  <c r="L1267" i="33"/>
  <c r="L1201" i="33"/>
  <c r="L1217" i="33"/>
  <c r="L1215" i="33"/>
  <c r="L1225" i="33"/>
  <c r="L1223" i="33"/>
  <c r="L1229" i="33"/>
  <c r="L1213" i="33"/>
  <c r="L1211" i="33"/>
  <c r="L1219" i="33"/>
  <c r="L1203" i="33"/>
  <c r="L1221" i="33"/>
  <c r="L1205" i="33"/>
  <c r="AE1161" i="33"/>
  <c r="AE1180" i="33"/>
  <c r="AE1183" i="33"/>
  <c r="Y1181" i="33"/>
  <c r="Y1178" i="33"/>
  <c r="Z1178" i="33"/>
  <c r="Z1181" i="33"/>
  <c r="Y1183" i="33"/>
  <c r="Y1180" i="33"/>
  <c r="Y1161" i="33"/>
  <c r="AE917" i="35" l="1"/>
  <c r="Y917" i="35"/>
  <c r="X917" i="35"/>
  <c r="U917" i="35"/>
  <c r="S917" i="35"/>
  <c r="R917" i="35"/>
  <c r="Q917" i="35"/>
  <c r="K917" i="35"/>
  <c r="F917" i="35"/>
  <c r="AE935" i="35"/>
  <c r="AF933" i="35"/>
  <c r="AG933" i="35" s="1"/>
  <c r="AE933" i="35"/>
  <c r="AE927" i="35"/>
  <c r="Y927" i="35"/>
  <c r="X927" i="35"/>
  <c r="U927" i="35"/>
  <c r="S927" i="35"/>
  <c r="R927" i="35"/>
  <c r="Q927" i="35"/>
  <c r="K927" i="35"/>
  <c r="F927" i="35"/>
  <c r="AE915" i="35"/>
  <c r="Y915" i="35"/>
  <c r="X915" i="35"/>
  <c r="U915" i="35"/>
  <c r="S915" i="35"/>
  <c r="R915" i="35"/>
  <c r="Q915" i="35"/>
  <c r="K915" i="35"/>
  <c r="F915" i="35"/>
  <c r="AE919" i="35"/>
  <c r="Y919" i="35"/>
  <c r="X919" i="35"/>
  <c r="U919" i="35"/>
  <c r="S919" i="35"/>
  <c r="R919" i="35"/>
  <c r="Q919" i="35"/>
  <c r="K919" i="35"/>
  <c r="F919" i="35"/>
  <c r="AE1016" i="35"/>
  <c r="Y1016" i="35"/>
  <c r="X1016" i="35"/>
  <c r="U1016" i="35"/>
  <c r="S1016" i="35"/>
  <c r="R1016" i="35"/>
  <c r="Q1016" i="35"/>
  <c r="K1016" i="35"/>
  <c r="F1016" i="35"/>
  <c r="AF1131" i="33"/>
  <c r="V1131" i="33"/>
  <c r="T1131" i="33"/>
  <c r="S1131" i="33"/>
  <c r="R1131" i="33"/>
  <c r="K1131" i="33"/>
  <c r="F1131" i="33"/>
  <c r="AF1129" i="33"/>
  <c r="V1129" i="33"/>
  <c r="T1129" i="33"/>
  <c r="S1129" i="33"/>
  <c r="R1129" i="33"/>
  <c r="K1129" i="33"/>
  <c r="F1129" i="33"/>
  <c r="AE1129" i="33" l="1"/>
  <c r="AD917" i="35"/>
  <c r="AD927" i="35"/>
  <c r="AD915" i="35"/>
  <c r="V915" i="35"/>
  <c r="AD919" i="35"/>
  <c r="AD1016" i="35"/>
  <c r="V1016" i="35"/>
  <c r="Y1131" i="33"/>
  <c r="Z1131" i="33"/>
  <c r="AE1131" i="33"/>
  <c r="Y1129" i="33"/>
  <c r="Z1129" i="33"/>
  <c r="AE921" i="35"/>
  <c r="Y921" i="35"/>
  <c r="X921" i="35"/>
  <c r="U921" i="35"/>
  <c r="S921" i="35"/>
  <c r="R921" i="35"/>
  <c r="Q921" i="35"/>
  <c r="K921" i="35"/>
  <c r="F921" i="35"/>
  <c r="AE893" i="35"/>
  <c r="Y893" i="35"/>
  <c r="X893" i="35"/>
  <c r="U893" i="35"/>
  <c r="S893" i="35"/>
  <c r="R893" i="35"/>
  <c r="Q893" i="35"/>
  <c r="K893" i="35"/>
  <c r="F893" i="35"/>
  <c r="AD921" i="35" l="1"/>
  <c r="AD893" i="35"/>
  <c r="V1149" i="33" l="1"/>
  <c r="T1149" i="33"/>
  <c r="Z1149" i="33" s="1"/>
  <c r="S1149" i="33"/>
  <c r="R1149" i="33"/>
  <c r="K1149" i="33"/>
  <c r="F1149" i="33"/>
  <c r="V1148" i="33"/>
  <c r="T1148" i="33"/>
  <c r="X1148" i="33" s="1"/>
  <c r="S1148" i="33"/>
  <c r="R1148" i="33"/>
  <c r="K1148" i="33"/>
  <c r="F1148" i="33"/>
  <c r="V1146" i="33"/>
  <c r="T1146" i="33"/>
  <c r="W1146" i="33" s="1"/>
  <c r="S1146" i="33"/>
  <c r="R1146" i="33"/>
  <c r="K1146" i="33"/>
  <c r="F1146" i="33"/>
  <c r="W1149" i="33" l="1"/>
  <c r="X1149" i="33"/>
  <c r="Y1149" i="33"/>
  <c r="Y1148" i="33"/>
  <c r="Z1148" i="33"/>
  <c r="W1148" i="33"/>
  <c r="X1146" i="33"/>
  <c r="Y1146" i="33"/>
  <c r="Z1146" i="33"/>
  <c r="V1137" i="33" l="1"/>
  <c r="T1137" i="33"/>
  <c r="W1137" i="33" s="1"/>
  <c r="S1137" i="33"/>
  <c r="R1137" i="33"/>
  <c r="K1137" i="33"/>
  <c r="F1137" i="33"/>
  <c r="X1137" i="33" l="1"/>
  <c r="Z1137" i="33"/>
  <c r="Y1137" i="33"/>
  <c r="V1135" i="33"/>
  <c r="T1135" i="33"/>
  <c r="W1135" i="33" s="1"/>
  <c r="S1135" i="33"/>
  <c r="R1135" i="33"/>
  <c r="K1135" i="33"/>
  <c r="F1135" i="33"/>
  <c r="V1144" i="33"/>
  <c r="T1144" i="33"/>
  <c r="W1144" i="33" s="1"/>
  <c r="S1144" i="33"/>
  <c r="R1144" i="33"/>
  <c r="K1144" i="33"/>
  <c r="F1144" i="33"/>
  <c r="V1142" i="33"/>
  <c r="T1142" i="33"/>
  <c r="Z1142" i="33" s="1"/>
  <c r="S1142" i="33"/>
  <c r="R1142" i="33"/>
  <c r="K1142" i="33"/>
  <c r="F1142" i="33"/>
  <c r="V1141" i="33"/>
  <c r="T1141" i="33"/>
  <c r="Y1141" i="33" s="1"/>
  <c r="S1141" i="33"/>
  <c r="R1141" i="33"/>
  <c r="K1141" i="33"/>
  <c r="F1141" i="33"/>
  <c r="V1139" i="33"/>
  <c r="T1139" i="33"/>
  <c r="X1139" i="33" s="1"/>
  <c r="S1139" i="33"/>
  <c r="R1139" i="33"/>
  <c r="K1139" i="33"/>
  <c r="F1139" i="33"/>
  <c r="X1142" i="33" l="1"/>
  <c r="X1144" i="33"/>
  <c r="X1135" i="33"/>
  <c r="Y1135" i="33"/>
  <c r="W1141" i="33"/>
  <c r="Z1135" i="33"/>
  <c r="W1142" i="33"/>
  <c r="X1141" i="33"/>
  <c r="Z1141" i="33"/>
  <c r="Y1139" i="33"/>
  <c r="Z1139" i="33"/>
  <c r="Y1144" i="33"/>
  <c r="W1139" i="33"/>
  <c r="Y1142" i="33"/>
  <c r="Z1144" i="33"/>
  <c r="AE883" i="35" l="1"/>
  <c r="Y883" i="35"/>
  <c r="X883" i="35"/>
  <c r="U883" i="35"/>
  <c r="S883" i="35"/>
  <c r="R883" i="35"/>
  <c r="Q883" i="35"/>
  <c r="K883" i="35"/>
  <c r="F883" i="35"/>
  <c r="AD883" i="35" l="1"/>
  <c r="Z1159" i="33" l="1"/>
  <c r="Y1159" i="33"/>
  <c r="V1159" i="33"/>
  <c r="S1159" i="33"/>
  <c r="R1159" i="33"/>
  <c r="K1159" i="33"/>
  <c r="F1159" i="33"/>
  <c r="Z1157" i="33"/>
  <c r="Y1157" i="33"/>
  <c r="V1157" i="33"/>
  <c r="S1157" i="33"/>
  <c r="R1157" i="33"/>
  <c r="K1157" i="33"/>
  <c r="F1157" i="33"/>
  <c r="V1133" i="33" l="1"/>
  <c r="T1133" i="33"/>
  <c r="W1133" i="33" s="1"/>
  <c r="S1133" i="33"/>
  <c r="R1133" i="33"/>
  <c r="K1133" i="33"/>
  <c r="F1133" i="33"/>
  <c r="X1133" i="33" l="1"/>
  <c r="Y1133" i="33"/>
  <c r="Z1133" i="33"/>
  <c r="AE877" i="35" l="1"/>
  <c r="Y877" i="35"/>
  <c r="X877" i="35"/>
  <c r="U877" i="35"/>
  <c r="S877" i="35"/>
  <c r="R877" i="35"/>
  <c r="Q877" i="35"/>
  <c r="K877" i="35"/>
  <c r="F877" i="35"/>
  <c r="AE876" i="35"/>
  <c r="AD876" i="35"/>
  <c r="AF876" i="35" s="1"/>
  <c r="AG876" i="35" s="1"/>
  <c r="AE875" i="35"/>
  <c r="Y875" i="35"/>
  <c r="X875" i="35"/>
  <c r="U875" i="35"/>
  <c r="S875" i="35"/>
  <c r="R875" i="35"/>
  <c r="Q875" i="35"/>
  <c r="K875" i="35"/>
  <c r="F875" i="35"/>
  <c r="AD877" i="35" l="1"/>
  <c r="AD875" i="35"/>
  <c r="AE879" i="35"/>
  <c r="Y879" i="35"/>
  <c r="X879" i="35"/>
  <c r="U879" i="35"/>
  <c r="S879" i="35"/>
  <c r="R879" i="35"/>
  <c r="Q879" i="35"/>
  <c r="K879" i="35"/>
  <c r="F879" i="35"/>
  <c r="AD879" i="35" l="1"/>
  <c r="AF1089" i="33" l="1"/>
  <c r="AF1087" i="33"/>
  <c r="AF1085" i="33"/>
  <c r="AF1083" i="33"/>
  <c r="AF1081" i="33"/>
  <c r="AF1079" i="33"/>
  <c r="AF1077" i="33"/>
  <c r="AF1075" i="33"/>
  <c r="AF1073" i="33"/>
  <c r="AE853" i="35"/>
  <c r="AE851" i="35"/>
  <c r="AE849" i="35"/>
  <c r="AE847" i="35"/>
  <c r="AE845" i="35"/>
  <c r="AE843" i="35"/>
  <c r="AE760" i="35"/>
  <c r="AE756" i="35"/>
  <c r="AE754" i="35"/>
  <c r="AE752" i="35"/>
  <c r="AF1036" i="33"/>
  <c r="AF1034" i="33"/>
  <c r="AF1032" i="33"/>
  <c r="AF1030" i="33"/>
  <c r="AF1028" i="33"/>
  <c r="AF1024" i="33"/>
  <c r="AF1022" i="33"/>
  <c r="AF1020" i="33"/>
  <c r="AF1018" i="33"/>
  <c r="AF1016" i="33"/>
  <c r="AF1014" i="33"/>
  <c r="AF1012" i="33"/>
  <c r="AF989" i="33"/>
  <c r="AF987" i="33"/>
  <c r="AF985" i="33"/>
  <c r="AF977" i="33"/>
  <c r="AF975" i="33"/>
  <c r="AF974" i="33"/>
  <c r="AF972" i="33"/>
  <c r="AF970" i="33"/>
  <c r="AF962" i="33"/>
  <c r="AF964" i="33"/>
  <c r="I1178" i="33" l="1"/>
  <c r="G1178" i="33"/>
  <c r="I1183" i="33"/>
  <c r="G1180" i="33"/>
  <c r="G1183" i="33"/>
  <c r="I1161" i="33"/>
  <c r="H1178" i="33"/>
  <c r="H1181" i="33"/>
  <c r="G1161" i="33"/>
  <c r="I1181" i="33"/>
  <c r="G1181" i="33"/>
  <c r="I1180" i="33"/>
  <c r="H1161" i="33"/>
  <c r="H1180" i="33"/>
  <c r="H1183" i="33"/>
  <c r="G917" i="35"/>
  <c r="I927" i="35"/>
  <c r="G915" i="35"/>
  <c r="G919" i="35"/>
  <c r="G1129" i="33"/>
  <c r="I917" i="35"/>
  <c r="G1016" i="35"/>
  <c r="G1131" i="33"/>
  <c r="I1016" i="35"/>
  <c r="H1131" i="33"/>
  <c r="H927" i="35"/>
  <c r="I915" i="35"/>
  <c r="H919" i="35"/>
  <c r="H1016" i="35"/>
  <c r="I1131" i="33"/>
  <c r="I1129" i="33"/>
  <c r="H917" i="35"/>
  <c r="H915" i="35"/>
  <c r="I919" i="35"/>
  <c r="H1129" i="33"/>
  <c r="G927" i="35"/>
  <c r="I921" i="35"/>
  <c r="G893" i="35"/>
  <c r="G921" i="35"/>
  <c r="H893" i="35"/>
  <c r="I893" i="35"/>
  <c r="H921" i="35"/>
  <c r="H1149" i="33"/>
  <c r="H1148" i="33"/>
  <c r="H1146" i="33"/>
  <c r="G1148" i="33"/>
  <c r="G1149" i="33"/>
  <c r="I1149" i="33"/>
  <c r="I1146" i="33"/>
  <c r="G1146" i="33"/>
  <c r="I1148" i="33"/>
  <c r="G1137" i="33"/>
  <c r="I1137" i="33"/>
  <c r="H1137" i="33"/>
  <c r="I1135" i="33"/>
  <c r="I1144" i="33"/>
  <c r="G1139" i="33"/>
  <c r="H1139" i="33"/>
  <c r="G1144" i="33"/>
  <c r="H1144" i="33"/>
  <c r="I1139" i="33"/>
  <c r="G1142" i="33"/>
  <c r="I1141" i="33"/>
  <c r="G1141" i="33"/>
  <c r="H1141" i="33"/>
  <c r="I1142" i="33"/>
  <c r="H1135" i="33"/>
  <c r="G1135" i="33"/>
  <c r="H1142" i="33"/>
  <c r="G883" i="35"/>
  <c r="H883" i="35"/>
  <c r="I883" i="35"/>
  <c r="I1159" i="33"/>
  <c r="H1157" i="33"/>
  <c r="I1157" i="33"/>
  <c r="G1159" i="33"/>
  <c r="G1157" i="33"/>
  <c r="H1159" i="33"/>
  <c r="G1133" i="33"/>
  <c r="I1133" i="33"/>
  <c r="H1133" i="33"/>
  <c r="I875" i="35"/>
  <c r="G875" i="35"/>
  <c r="G877" i="35"/>
  <c r="H875" i="35"/>
  <c r="I877" i="35"/>
  <c r="H877" i="35"/>
  <c r="I879" i="35"/>
  <c r="G879" i="35"/>
  <c r="H879" i="35"/>
  <c r="Y865" i="35"/>
  <c r="X865" i="35"/>
  <c r="U865" i="35"/>
  <c r="S865" i="35"/>
  <c r="R865" i="35"/>
  <c r="Q865" i="35"/>
  <c r="K865" i="35"/>
  <c r="F865" i="35"/>
  <c r="L1180" i="33" l="1"/>
  <c r="L1178" i="33"/>
  <c r="L1181" i="33"/>
  <c r="L1161" i="33"/>
  <c r="L1183" i="33"/>
  <c r="L927" i="35"/>
  <c r="L917" i="35"/>
  <c r="L915" i="35"/>
  <c r="L919" i="35"/>
  <c r="L1129" i="33"/>
  <c r="L1016" i="35"/>
  <c r="L1131" i="33"/>
  <c r="L893" i="35"/>
  <c r="L921" i="35"/>
  <c r="L1146" i="33"/>
  <c r="L1149" i="33"/>
  <c r="L1148" i="33"/>
  <c r="L1137" i="33"/>
  <c r="L1135" i="33"/>
  <c r="L1141" i="33"/>
  <c r="L1139" i="33"/>
  <c r="L1144" i="33"/>
  <c r="L1142" i="33"/>
  <c r="L883" i="35"/>
  <c r="L1159" i="33"/>
  <c r="L1157" i="33"/>
  <c r="L1133" i="33"/>
  <c r="L877" i="35"/>
  <c r="L875" i="35"/>
  <c r="L879" i="35"/>
  <c r="X1157" i="33"/>
  <c r="W1159" i="33"/>
  <c r="W1157" i="33"/>
  <c r="X1159" i="33"/>
  <c r="X1178" i="33"/>
  <c r="W1183" i="33"/>
  <c r="X1180" i="33"/>
  <c r="W1161" i="33"/>
  <c r="X1183" i="33"/>
  <c r="X1161" i="33"/>
  <c r="W1181" i="33"/>
  <c r="X1181" i="33"/>
  <c r="W1178" i="33"/>
  <c r="W1180" i="33"/>
  <c r="AB1131" i="33"/>
  <c r="W1129" i="33"/>
  <c r="AA915" i="35"/>
  <c r="W1016" i="35"/>
  <c r="X1129" i="33"/>
  <c r="X1131" i="33"/>
  <c r="AB1129" i="33"/>
  <c r="AA927" i="35"/>
  <c r="W915" i="35"/>
  <c r="V919" i="35"/>
  <c r="V917" i="35"/>
  <c r="AA919" i="35"/>
  <c r="W1131" i="33"/>
  <c r="AA917" i="35"/>
  <c r="W927" i="35"/>
  <c r="AA1016" i="35"/>
  <c r="W917" i="35"/>
  <c r="V927" i="35"/>
  <c r="W919" i="35"/>
  <c r="AA893" i="35"/>
  <c r="V921" i="35"/>
  <c r="W893" i="35"/>
  <c r="V893" i="35"/>
  <c r="AA921" i="35"/>
  <c r="W921" i="35"/>
  <c r="AB1146" i="33"/>
  <c r="AB1137" i="33"/>
  <c r="AB1135" i="33"/>
  <c r="AB1141" i="33"/>
  <c r="AB1144" i="33"/>
  <c r="AB1142" i="33"/>
  <c r="AB1139" i="33"/>
  <c r="AA883" i="35"/>
  <c r="W883" i="35"/>
  <c r="V883" i="35"/>
  <c r="AB1133" i="33"/>
  <c r="W877" i="35"/>
  <c r="W875" i="35"/>
  <c r="V875" i="35"/>
  <c r="V877" i="35"/>
  <c r="W879" i="35"/>
  <c r="V879" i="35"/>
  <c r="V1121" i="33"/>
  <c r="T1121" i="33"/>
  <c r="W1121" i="33" s="1"/>
  <c r="S1121" i="33"/>
  <c r="R1121" i="33"/>
  <c r="K1121" i="33"/>
  <c r="F1121" i="33"/>
  <c r="V1119" i="33"/>
  <c r="T1119" i="33"/>
  <c r="Z1119" i="33" s="1"/>
  <c r="S1119" i="33"/>
  <c r="R1119" i="33"/>
  <c r="K1119" i="33"/>
  <c r="F1119" i="33"/>
  <c r="V1117" i="33"/>
  <c r="T1117" i="33"/>
  <c r="W1117" i="33" s="1"/>
  <c r="S1117" i="33"/>
  <c r="R1117" i="33"/>
  <c r="K1117" i="33"/>
  <c r="F1117" i="33"/>
  <c r="V1109" i="33"/>
  <c r="T1109" i="33"/>
  <c r="W1109" i="33" s="1"/>
  <c r="S1109" i="33"/>
  <c r="R1109" i="33"/>
  <c r="K1109" i="33"/>
  <c r="F1109" i="33"/>
  <c r="V1115" i="33"/>
  <c r="T1115" i="33"/>
  <c r="Z1115" i="33" s="1"/>
  <c r="S1115" i="33"/>
  <c r="R1115" i="33"/>
  <c r="K1115" i="33"/>
  <c r="F1115" i="33"/>
  <c r="V1113" i="33"/>
  <c r="T1113" i="33"/>
  <c r="Y1113" i="33" s="1"/>
  <c r="S1113" i="33"/>
  <c r="R1113" i="33"/>
  <c r="K1113" i="33"/>
  <c r="F1113" i="33"/>
  <c r="V1111" i="33"/>
  <c r="T1111" i="33"/>
  <c r="X1111" i="33" s="1"/>
  <c r="S1111" i="33"/>
  <c r="R1111" i="33"/>
  <c r="K1111" i="33"/>
  <c r="F1111" i="33"/>
  <c r="W1119" i="33" l="1"/>
  <c r="X1119" i="33"/>
  <c r="X1121" i="33"/>
  <c r="Y1119" i="33"/>
  <c r="Z1121" i="33"/>
  <c r="Y1121" i="33"/>
  <c r="X1117" i="33"/>
  <c r="Z1117" i="33"/>
  <c r="Y1117" i="33"/>
  <c r="X1109" i="33"/>
  <c r="Y1109" i="33"/>
  <c r="Z1109" i="33"/>
  <c r="Z1113" i="33"/>
  <c r="W1115" i="33"/>
  <c r="W1113" i="33"/>
  <c r="X1113" i="33"/>
  <c r="X1115" i="33"/>
  <c r="W1111" i="33"/>
  <c r="Y1115" i="33"/>
  <c r="Y1111" i="33"/>
  <c r="Z1111" i="33"/>
  <c r="V1107" i="33" l="1"/>
  <c r="T1107" i="33"/>
  <c r="W1107" i="33" s="1"/>
  <c r="S1107" i="33"/>
  <c r="R1107" i="33"/>
  <c r="K1107" i="33"/>
  <c r="F1107" i="33"/>
  <c r="X1107" i="33" l="1"/>
  <c r="Y1107" i="33"/>
  <c r="Z1107" i="33"/>
  <c r="AF1178" i="33" l="1"/>
  <c r="AF1189" i="33"/>
  <c r="V1176" i="33"/>
  <c r="T1176" i="33"/>
  <c r="Z1176" i="33" s="1"/>
  <c r="S1176" i="33"/>
  <c r="R1176" i="33"/>
  <c r="K1176" i="33"/>
  <c r="F1176" i="33"/>
  <c r="V1175" i="33"/>
  <c r="T1175" i="33"/>
  <c r="Z1175" i="33" s="1"/>
  <c r="S1175" i="33"/>
  <c r="R1175" i="33"/>
  <c r="K1175" i="33"/>
  <c r="F1175" i="33"/>
  <c r="V1173" i="33"/>
  <c r="T1173" i="33"/>
  <c r="S1173" i="33"/>
  <c r="R1173" i="33"/>
  <c r="K1173" i="33"/>
  <c r="F1173" i="33"/>
  <c r="V1171" i="33"/>
  <c r="T1171" i="33"/>
  <c r="Z1171" i="33" s="1"/>
  <c r="S1171" i="33"/>
  <c r="R1171" i="33"/>
  <c r="K1171" i="33"/>
  <c r="F1171" i="33"/>
  <c r="V1169" i="33"/>
  <c r="T1169" i="33"/>
  <c r="Z1169" i="33" s="1"/>
  <c r="S1169" i="33"/>
  <c r="R1169" i="33"/>
  <c r="K1169" i="33"/>
  <c r="F1169" i="33"/>
  <c r="V1167" i="33"/>
  <c r="T1167" i="33"/>
  <c r="S1167" i="33"/>
  <c r="R1167" i="33"/>
  <c r="K1167" i="33"/>
  <c r="F1167" i="33"/>
  <c r="F1163" i="33"/>
  <c r="V1165" i="33"/>
  <c r="T1165" i="33"/>
  <c r="S1165" i="33"/>
  <c r="R1165" i="33"/>
  <c r="K1165" i="33"/>
  <c r="F1165" i="33"/>
  <c r="V1163" i="33"/>
  <c r="T1163" i="33"/>
  <c r="Z1163" i="33" s="1"/>
  <c r="S1163" i="33"/>
  <c r="R1163" i="33"/>
  <c r="K1163" i="33"/>
  <c r="S841" i="35"/>
  <c r="AE1189" i="33" l="1"/>
  <c r="AG1189" i="33" s="1"/>
  <c r="AH1189" i="33" s="1"/>
  <c r="AE1178" i="33"/>
  <c r="Y1176" i="33"/>
  <c r="Y1175" i="33"/>
  <c r="Y1173" i="33"/>
  <c r="Y1171" i="33"/>
  <c r="Y1169" i="33"/>
  <c r="Y1167" i="33"/>
  <c r="Z1167" i="33"/>
  <c r="Y1163" i="33"/>
  <c r="Z1165" i="33"/>
  <c r="Y1165" i="33"/>
  <c r="AE923" i="35" l="1"/>
  <c r="Y923" i="35"/>
  <c r="X923" i="35"/>
  <c r="U923" i="35"/>
  <c r="S923" i="35"/>
  <c r="R923" i="35"/>
  <c r="Q923" i="35"/>
  <c r="K923" i="35"/>
  <c r="F923" i="35"/>
  <c r="AD923" i="35" l="1"/>
  <c r="AE907" i="35" l="1"/>
  <c r="Y907" i="35"/>
  <c r="X907" i="35"/>
  <c r="U907" i="35"/>
  <c r="S907" i="35"/>
  <c r="R907" i="35"/>
  <c r="Q907" i="35"/>
  <c r="K907" i="35"/>
  <c r="F907" i="35"/>
  <c r="AE905" i="35"/>
  <c r="Y905" i="35"/>
  <c r="X905" i="35"/>
  <c r="U905" i="35"/>
  <c r="S905" i="35"/>
  <c r="R905" i="35"/>
  <c r="Q905" i="35"/>
  <c r="K905" i="35"/>
  <c r="F905" i="35"/>
  <c r="S881" i="35"/>
  <c r="S887" i="35"/>
  <c r="AE903" i="35"/>
  <c r="Y903" i="35"/>
  <c r="X903" i="35"/>
  <c r="U903" i="35"/>
  <c r="S903" i="35"/>
  <c r="R903" i="35"/>
  <c r="Q903" i="35"/>
  <c r="K903" i="35"/>
  <c r="F903" i="35"/>
  <c r="AE901" i="35"/>
  <c r="Y901" i="35"/>
  <c r="X901" i="35"/>
  <c r="U901" i="35"/>
  <c r="S901" i="35"/>
  <c r="R901" i="35"/>
  <c r="Q901" i="35"/>
  <c r="K901" i="35"/>
  <c r="F901" i="35"/>
  <c r="AE899" i="35"/>
  <c r="Y899" i="35"/>
  <c r="X899" i="35"/>
  <c r="U899" i="35"/>
  <c r="S899" i="35"/>
  <c r="R899" i="35"/>
  <c r="Q899" i="35"/>
  <c r="K899" i="35"/>
  <c r="F899" i="35"/>
  <c r="AE897" i="35"/>
  <c r="Y897" i="35"/>
  <c r="X897" i="35"/>
  <c r="U897" i="35"/>
  <c r="S897" i="35"/>
  <c r="R897" i="35"/>
  <c r="Q897" i="35"/>
  <c r="K897" i="35"/>
  <c r="F897" i="35"/>
  <c r="AE895" i="35"/>
  <c r="Y895" i="35"/>
  <c r="X895" i="35"/>
  <c r="U895" i="35"/>
  <c r="S895" i="35"/>
  <c r="R895" i="35"/>
  <c r="Q895" i="35"/>
  <c r="K895" i="35"/>
  <c r="F895" i="35"/>
  <c r="AE889" i="35"/>
  <c r="Y889" i="35"/>
  <c r="X889" i="35"/>
  <c r="U889" i="35"/>
  <c r="S889" i="35"/>
  <c r="R889" i="35"/>
  <c r="Q889" i="35"/>
  <c r="K889" i="35"/>
  <c r="F889" i="35"/>
  <c r="AD907" i="35" l="1"/>
  <c r="AD905" i="35"/>
  <c r="AD903" i="35"/>
  <c r="AD901" i="35"/>
  <c r="AD899" i="35"/>
  <c r="AD897" i="35"/>
  <c r="AD895" i="35"/>
  <c r="AD889" i="35"/>
  <c r="S885" i="35" l="1"/>
  <c r="S867" i="35"/>
  <c r="S863" i="35"/>
  <c r="S853" i="35"/>
  <c r="S851" i="35"/>
  <c r="S849" i="35"/>
  <c r="S847" i="35"/>
  <c r="S845" i="35"/>
  <c r="S843" i="35"/>
  <c r="S837" i="35"/>
  <c r="S833" i="35"/>
  <c r="S831" i="35"/>
  <c r="S829" i="35"/>
  <c r="S827" i="35"/>
  <c r="S825" i="35"/>
  <c r="S823" i="35"/>
  <c r="S821" i="35"/>
  <c r="S819" i="35"/>
  <c r="S817" i="35"/>
  <c r="S815" i="35"/>
  <c r="S813" i="35"/>
  <c r="S811" i="35"/>
  <c r="S809" i="35"/>
  <c r="S807" i="35"/>
  <c r="S805" i="35"/>
  <c r="S797" i="35"/>
  <c r="S795" i="35"/>
  <c r="S793" i="35"/>
  <c r="S791" i="35"/>
  <c r="S789" i="35"/>
  <c r="S787" i="35"/>
  <c r="S786" i="35"/>
  <c r="S784" i="35"/>
  <c r="S774" i="35"/>
  <c r="S772" i="35"/>
  <c r="S770" i="35"/>
  <c r="S764" i="35"/>
  <c r="S762" i="35"/>
  <c r="S760" i="35"/>
  <c r="U887" i="35"/>
  <c r="U885" i="35"/>
  <c r="U881" i="35"/>
  <c r="U867" i="35"/>
  <c r="U863" i="35"/>
  <c r="U853" i="35"/>
  <c r="U851" i="35"/>
  <c r="U849" i="35"/>
  <c r="U847" i="35"/>
  <c r="U845" i="35"/>
  <c r="U843" i="35"/>
  <c r="U841" i="35"/>
  <c r="U837" i="35"/>
  <c r="U833" i="35"/>
  <c r="U831" i="35"/>
  <c r="U829" i="35"/>
  <c r="U827" i="35"/>
  <c r="U823" i="35"/>
  <c r="U825" i="35"/>
  <c r="U821" i="35"/>
  <c r="U819" i="35"/>
  <c r="U817" i="35"/>
  <c r="U815" i="35"/>
  <c r="U813" i="35"/>
  <c r="U811" i="35"/>
  <c r="U809" i="35"/>
  <c r="U807" i="35"/>
  <c r="U805" i="35"/>
  <c r="U797" i="35"/>
  <c r="U795" i="35"/>
  <c r="U793" i="35"/>
  <c r="U791" i="35"/>
  <c r="U789" i="35"/>
  <c r="U786" i="35"/>
  <c r="U787" i="35"/>
  <c r="U784" i="35"/>
  <c r="U780" i="35"/>
  <c r="U778" i="35"/>
  <c r="U774" i="35"/>
  <c r="U772" i="35"/>
  <c r="U770" i="35"/>
  <c r="U764" i="35"/>
  <c r="U762" i="35"/>
  <c r="U760" i="35"/>
  <c r="AE887" i="35"/>
  <c r="Y887" i="35"/>
  <c r="X887" i="35"/>
  <c r="R887" i="35"/>
  <c r="Q887" i="35"/>
  <c r="K887" i="35"/>
  <c r="F887" i="35"/>
  <c r="AE885" i="35"/>
  <c r="Y885" i="35"/>
  <c r="X885" i="35"/>
  <c r="R885" i="35"/>
  <c r="Q885" i="35"/>
  <c r="K885" i="35"/>
  <c r="F885" i="35"/>
  <c r="AE881" i="35"/>
  <c r="Y881" i="35"/>
  <c r="X881" i="35"/>
  <c r="R881" i="35"/>
  <c r="Q881" i="35"/>
  <c r="K881" i="35"/>
  <c r="F881" i="35"/>
  <c r="AE867" i="35"/>
  <c r="Y867" i="35"/>
  <c r="X867" i="35"/>
  <c r="R867" i="35"/>
  <c r="Q867" i="35"/>
  <c r="K867" i="35"/>
  <c r="F867" i="35"/>
  <c r="AE865" i="35"/>
  <c r="Y863" i="35"/>
  <c r="X863" i="35"/>
  <c r="R863" i="35"/>
  <c r="Q863" i="35"/>
  <c r="K863" i="35"/>
  <c r="F863" i="35"/>
  <c r="AE863" i="35"/>
  <c r="AD887" i="35" l="1"/>
  <c r="AD885" i="35"/>
  <c r="AD881" i="35"/>
  <c r="AD867" i="35"/>
  <c r="AD865" i="35"/>
  <c r="AD863" i="35"/>
  <c r="A165" i="36" l="1"/>
  <c r="A611" i="36" l="1"/>
  <c r="A954" i="36"/>
  <c r="A608" i="36"/>
  <c r="A614" i="36"/>
  <c r="A917" i="36"/>
  <c r="A920" i="36"/>
  <c r="A923" i="36"/>
  <c r="A302" i="36"/>
  <c r="A830" i="36"/>
  <c r="A483" i="36"/>
  <c r="A750" i="36"/>
  <c r="A241" i="36"/>
  <c r="A265" i="36"/>
  <c r="A286" i="36"/>
  <c r="A12" i="36"/>
  <c r="A477" i="36"/>
  <c r="A489" i="36"/>
  <c r="A741" i="36"/>
  <c r="A790" i="36"/>
  <c r="A909" i="36"/>
  <c r="A157" i="36"/>
  <c r="A208" i="36"/>
  <c r="A123" i="36"/>
  <c r="A135" i="36"/>
  <c r="A138" i="36"/>
  <c r="A144" i="36"/>
  <c r="A296" i="36"/>
  <c r="A317" i="36"/>
  <c r="A468" i="36"/>
  <c r="A492" i="36"/>
  <c r="A747" i="36"/>
  <c r="A787" i="36"/>
  <c r="A211" i="36"/>
  <c r="A283" i="36"/>
  <c r="A299" i="36"/>
  <c r="A842" i="36"/>
  <c r="A480" i="36"/>
  <c r="A744" i="36"/>
  <c r="A214" i="36"/>
  <c r="A244" i="36"/>
  <c r="A696" i="36"/>
  <c r="A921" i="36"/>
  <c r="A953" i="36"/>
  <c r="A147" i="36"/>
  <c r="A693" i="36"/>
  <c r="A327" i="36"/>
  <c r="A94" i="36"/>
  <c r="A106" i="36"/>
  <c r="A893" i="36"/>
  <c r="A908" i="36"/>
  <c r="A911" i="36"/>
  <c r="A156" i="36"/>
  <c r="A690" i="36"/>
  <c r="A263" i="36"/>
  <c r="A266" i="36"/>
  <c r="A284" i="36"/>
  <c r="A487" i="36"/>
  <c r="A490" i="36"/>
  <c r="A526" i="36"/>
  <c r="A529" i="36"/>
  <c r="A532" i="36"/>
  <c r="A535" i="36"/>
  <c r="A538" i="36"/>
  <c r="A541" i="36"/>
  <c r="A544" i="36"/>
  <c r="A547" i="36"/>
  <c r="A550" i="36"/>
  <c r="A553" i="36"/>
  <c r="A938" i="36"/>
  <c r="A788" i="36"/>
  <c r="A671" i="36"/>
  <c r="A330" i="36"/>
  <c r="A41" i="36"/>
  <c r="A680" i="36"/>
  <c r="A702" i="36"/>
  <c r="A705" i="36"/>
  <c r="A918" i="36"/>
  <c r="A936" i="36"/>
  <c r="A939" i="36"/>
  <c r="A956" i="36"/>
  <c r="A333" i="36"/>
  <c r="A169" i="36"/>
  <c r="A172" i="36"/>
  <c r="A175" i="36"/>
  <c r="A178" i="36"/>
  <c r="A181" i="36"/>
  <c r="A435" i="36"/>
  <c r="A444" i="36"/>
  <c r="A447" i="36"/>
  <c r="A450" i="36"/>
  <c r="A97" i="36"/>
  <c r="A329" i="36"/>
  <c r="A332" i="36"/>
  <c r="A360" i="36"/>
  <c r="A15" i="36"/>
  <c r="A56" i="36"/>
  <c r="A682" i="36"/>
  <c r="A692" i="36"/>
  <c r="A695" i="36"/>
  <c r="A701" i="36"/>
  <c r="A704" i="36"/>
  <c r="A53" i="36"/>
  <c r="A743" i="36"/>
  <c r="A749" i="36"/>
  <c r="A132" i="36"/>
  <c r="A168" i="36"/>
  <c r="A171" i="36"/>
  <c r="A174" i="36"/>
  <c r="A177" i="36"/>
  <c r="A180" i="36"/>
  <c r="A446" i="36"/>
  <c r="A449" i="36"/>
  <c r="A829" i="36"/>
  <c r="A832" i="36"/>
  <c r="A916" i="36"/>
  <c r="A919" i="36"/>
  <c r="A922" i="36"/>
  <c r="A895" i="36"/>
  <c r="A207" i="36"/>
  <c r="A295" i="36"/>
  <c r="A301" i="36"/>
  <c r="A534" i="36"/>
  <c r="A543" i="36"/>
  <c r="A549" i="36"/>
  <c r="A146" i="36"/>
  <c r="A71" i="36"/>
  <c r="A155" i="36"/>
  <c r="A167" i="36"/>
  <c r="A170" i="36"/>
  <c r="A173" i="36"/>
  <c r="A264" i="36"/>
  <c r="A328" i="36"/>
  <c r="A331" i="36"/>
  <c r="A334" i="36"/>
  <c r="A445" i="36"/>
  <c r="A448" i="36"/>
  <c r="A451" i="36"/>
  <c r="A488" i="36"/>
  <c r="A491" i="36"/>
  <c r="A681" i="36"/>
  <c r="A742" i="36"/>
  <c r="A745" i="36"/>
  <c r="A841" i="36"/>
  <c r="A937" i="36"/>
  <c r="A952" i="36"/>
  <c r="A125" i="36"/>
  <c r="A210" i="36"/>
  <c r="A531" i="36"/>
  <c r="A540" i="36"/>
  <c r="A546" i="36"/>
  <c r="A610" i="36"/>
  <c r="A243" i="36"/>
  <c r="A316" i="36"/>
  <c r="A479" i="36"/>
  <c r="A117" i="36"/>
  <c r="A164" i="36"/>
  <c r="A176" i="36"/>
  <c r="A179" i="36"/>
  <c r="A182" i="36"/>
  <c r="A285" i="36"/>
  <c r="A460" i="36"/>
  <c r="A500" i="36"/>
  <c r="A691" i="36"/>
  <c r="A694" i="36"/>
  <c r="A700" i="36"/>
  <c r="A703" i="36"/>
  <c r="A748" i="36"/>
  <c r="A751" i="36"/>
  <c r="A894" i="36"/>
  <c r="A892" i="36"/>
  <c r="A525" i="36"/>
  <c r="A555" i="36"/>
  <c r="A910" i="36"/>
  <c r="A137" i="36"/>
  <c r="A143" i="36"/>
  <c r="A246" i="36"/>
  <c r="A482" i="36"/>
  <c r="A789" i="36"/>
  <c r="A88" i="36"/>
  <c r="A124" i="36"/>
  <c r="A133" i="36"/>
  <c r="A209" i="36"/>
  <c r="A212" i="36"/>
  <c r="A297" i="36"/>
  <c r="A300" i="36"/>
  <c r="A350" i="36"/>
  <c r="A466" i="36"/>
  <c r="A524" i="36"/>
  <c r="A527" i="36"/>
  <c r="A530" i="36"/>
  <c r="A533" i="36"/>
  <c r="A536" i="36"/>
  <c r="A539" i="36"/>
  <c r="A542" i="36"/>
  <c r="A545" i="36"/>
  <c r="A548" i="36"/>
  <c r="A551" i="36"/>
  <c r="A554" i="36"/>
  <c r="A606" i="36"/>
  <c r="A609" i="36"/>
  <c r="A612" i="36"/>
  <c r="A615" i="36"/>
  <c r="A955" i="36"/>
  <c r="A213" i="36"/>
  <c r="A298" i="36"/>
  <c r="A467" i="36"/>
  <c r="A528" i="36"/>
  <c r="A537" i="36"/>
  <c r="A552" i="36"/>
  <c r="A607" i="36"/>
  <c r="A613" i="36"/>
  <c r="A134" i="36"/>
  <c r="A240" i="36"/>
  <c r="A59" i="36"/>
  <c r="A62" i="36"/>
  <c r="A74" i="36"/>
  <c r="A103" i="36"/>
  <c r="A136" i="36"/>
  <c r="A142" i="36"/>
  <c r="A145" i="36"/>
  <c r="A239" i="36"/>
  <c r="A242" i="36"/>
  <c r="A245" i="36"/>
  <c r="A315" i="36"/>
  <c r="A318" i="36"/>
  <c r="A478" i="36"/>
  <c r="A481" i="36"/>
  <c r="A831" i="36"/>
  <c r="A18" i="36"/>
  <c r="A25" i="36"/>
  <c r="A31" i="36"/>
  <c r="A85" i="36"/>
  <c r="A91" i="36"/>
  <c r="A3" i="36"/>
  <c r="A6" i="36"/>
  <c r="A13" i="36"/>
  <c r="A16" i="36"/>
  <c r="A19" i="36"/>
  <c r="A22" i="36"/>
  <c r="A29" i="36"/>
  <c r="A32" i="36"/>
  <c r="A35" i="36"/>
  <c r="A38" i="36"/>
  <c r="A45" i="36"/>
  <c r="A48" i="36"/>
  <c r="A51" i="36"/>
  <c r="A54" i="36"/>
  <c r="A57" i="36"/>
  <c r="A60" i="36"/>
  <c r="A63" i="36"/>
  <c r="A66" i="36"/>
  <c r="A77" i="36"/>
  <c r="A80" i="36"/>
  <c r="A83" i="36"/>
  <c r="A86" i="36"/>
  <c r="A89" i="36"/>
  <c r="A92" i="36"/>
  <c r="A95" i="36"/>
  <c r="A98" i="36"/>
  <c r="A109" i="36"/>
  <c r="A112" i="36"/>
  <c r="A115" i="36"/>
  <c r="A118" i="36"/>
  <c r="A121" i="36"/>
  <c r="A126" i="36"/>
  <c r="A127" i="36"/>
  <c r="A128" i="36"/>
  <c r="A129" i="36"/>
  <c r="A130" i="36"/>
  <c r="A139" i="36"/>
  <c r="A148" i="36"/>
  <c r="A149" i="36"/>
  <c r="A158" i="36"/>
  <c r="A159" i="36"/>
  <c r="A160" i="36"/>
  <c r="A161" i="36"/>
  <c r="A162" i="36"/>
  <c r="A183" i="36"/>
  <c r="A184" i="36"/>
  <c r="A185" i="36"/>
  <c r="A186" i="36"/>
  <c r="A187" i="36"/>
  <c r="A188" i="36"/>
  <c r="A189" i="36"/>
  <c r="A190" i="36"/>
  <c r="A215" i="36"/>
  <c r="A216" i="36"/>
  <c r="A217" i="36"/>
  <c r="A218" i="36"/>
  <c r="A219" i="36"/>
  <c r="A220" i="36"/>
  <c r="A221" i="36"/>
  <c r="A222" i="36"/>
  <c r="A247" i="36"/>
  <c r="A248" i="36"/>
  <c r="A249" i="36"/>
  <c r="A250" i="36"/>
  <c r="A251" i="36"/>
  <c r="A252" i="36"/>
  <c r="A253" i="36"/>
  <c r="A254" i="36"/>
  <c r="A267" i="36"/>
  <c r="A268" i="36"/>
  <c r="A269" i="36"/>
  <c r="A270" i="36"/>
  <c r="A347" i="36"/>
  <c r="A351" i="36"/>
  <c r="A354" i="36"/>
  <c r="A361" i="36"/>
  <c r="A379" i="36"/>
  <c r="A383" i="36"/>
  <c r="A386" i="36"/>
  <c r="A393" i="36"/>
  <c r="A411" i="36"/>
  <c r="A415" i="36"/>
  <c r="A418" i="36"/>
  <c r="A425" i="36"/>
  <c r="A604" i="36"/>
  <c r="A669" i="36"/>
  <c r="A759" i="36"/>
  <c r="A763" i="36"/>
  <c r="A767" i="36"/>
  <c r="A771" i="36"/>
  <c r="A775" i="36"/>
  <c r="A782" i="36"/>
  <c r="A786" i="36"/>
  <c r="A813" i="36"/>
  <c r="A820" i="36"/>
  <c r="A824" i="36"/>
  <c r="A852" i="36"/>
  <c r="A867" i="36"/>
  <c r="A941" i="36"/>
  <c r="A945" i="36"/>
  <c r="A9" i="36"/>
  <c r="A28" i="36"/>
  <c r="A34" i="36"/>
  <c r="A44" i="36"/>
  <c r="A65" i="36"/>
  <c r="A68" i="36"/>
  <c r="A100" i="36"/>
  <c r="A120" i="36"/>
  <c r="A357" i="36"/>
  <c r="A364" i="36"/>
  <c r="A382" i="36"/>
  <c r="A389" i="36"/>
  <c r="A392" i="36"/>
  <c r="A396" i="36"/>
  <c r="A414" i="36"/>
  <c r="A421" i="36"/>
  <c r="A424" i="36"/>
  <c r="A428" i="36"/>
  <c r="A643" i="36"/>
  <c r="A647" i="36"/>
  <c r="A653" i="36"/>
  <c r="A657" i="36"/>
  <c r="A793" i="36"/>
  <c r="A797" i="36"/>
  <c r="A870" i="36"/>
  <c r="A874" i="36"/>
  <c r="A877" i="36"/>
  <c r="A4" i="36"/>
  <c r="A7" i="36"/>
  <c r="A10" i="36"/>
  <c r="A17" i="36"/>
  <c r="A20" i="36"/>
  <c r="A23" i="36"/>
  <c r="A26" i="36"/>
  <c r="A33" i="36"/>
  <c r="A36" i="36"/>
  <c r="A39" i="36"/>
  <c r="A42" i="36"/>
  <c r="A46" i="36"/>
  <c r="A49" i="36"/>
  <c r="A52" i="36"/>
  <c r="A55" i="36"/>
  <c r="A58" i="36"/>
  <c r="A69" i="36"/>
  <c r="A72" i="36"/>
  <c r="A75" i="36"/>
  <c r="A78" i="36"/>
  <c r="A81" i="36"/>
  <c r="A84" i="36"/>
  <c r="A87" i="36"/>
  <c r="A90" i="36"/>
  <c r="A101" i="36"/>
  <c r="A104" i="36"/>
  <c r="A107" i="36"/>
  <c r="A110" i="36"/>
  <c r="A113" i="36"/>
  <c r="A116" i="36"/>
  <c r="A119" i="36"/>
  <c r="A122" i="36"/>
  <c r="A131" i="36"/>
  <c r="A140" i="36"/>
  <c r="A141" i="36"/>
  <c r="A150" i="36"/>
  <c r="A151" i="36"/>
  <c r="A152" i="36"/>
  <c r="A153" i="36"/>
  <c r="A154" i="36"/>
  <c r="A163" i="36"/>
  <c r="A166" i="36"/>
  <c r="A191" i="36"/>
  <c r="A192" i="36"/>
  <c r="A193" i="36"/>
  <c r="A194" i="36"/>
  <c r="A195" i="36"/>
  <c r="A196" i="36"/>
  <c r="A197" i="36"/>
  <c r="A198" i="36"/>
  <c r="A223" i="36"/>
  <c r="A224" i="36"/>
  <c r="A225" i="36"/>
  <c r="A226" i="36"/>
  <c r="A227" i="36"/>
  <c r="A228" i="36"/>
  <c r="A229" i="36"/>
  <c r="A230" i="36"/>
  <c r="A255" i="36"/>
  <c r="A256" i="36"/>
  <c r="A257" i="36"/>
  <c r="A258" i="36"/>
  <c r="A279" i="36"/>
  <c r="A280" i="36"/>
  <c r="A281" i="36"/>
  <c r="A282" i="36"/>
  <c r="A311" i="36"/>
  <c r="A312" i="36"/>
  <c r="A313" i="36"/>
  <c r="A314" i="36"/>
  <c r="A343" i="36"/>
  <c r="A344" i="36"/>
  <c r="A348" i="36"/>
  <c r="A366" i="36"/>
  <c r="A373" i="36"/>
  <c r="A376" i="36"/>
  <c r="A380" i="36"/>
  <c r="A398" i="36"/>
  <c r="A405" i="36"/>
  <c r="A408" i="36"/>
  <c r="A412" i="36"/>
  <c r="A430" i="36"/>
  <c r="A455" i="36"/>
  <c r="A456" i="36"/>
  <c r="A457" i="36"/>
  <c r="A458" i="36"/>
  <c r="A459" i="36"/>
  <c r="A476" i="36"/>
  <c r="A498" i="36"/>
  <c r="A499" i="36"/>
  <c r="A588" i="36"/>
  <c r="A589" i="36"/>
  <c r="A590" i="36"/>
  <c r="A591" i="36"/>
  <c r="A592" i="36"/>
  <c r="A593" i="36"/>
  <c r="A594" i="36"/>
  <c r="A595" i="36"/>
  <c r="A596" i="36"/>
  <c r="A597" i="36"/>
  <c r="A598" i="36"/>
  <c r="A599" i="36"/>
  <c r="A600" i="36"/>
  <c r="A601" i="36"/>
  <c r="A605" i="36"/>
  <c r="A662" i="36"/>
  <c r="A666" i="36"/>
  <c r="A670" i="36"/>
  <c r="A713" i="36"/>
  <c r="A717" i="36"/>
  <c r="A720" i="36"/>
  <c r="A724" i="36"/>
  <c r="A728" i="36"/>
  <c r="A732" i="36"/>
  <c r="A736" i="36"/>
  <c r="A810" i="36"/>
  <c r="A814" i="36"/>
  <c r="A817" i="36"/>
  <c r="A821" i="36"/>
  <c r="A825" i="36"/>
  <c r="A853" i="36"/>
  <c r="A857" i="36"/>
  <c r="A864" i="36"/>
  <c r="A888" i="36"/>
  <c r="A889" i="36"/>
  <c r="A890" i="36"/>
  <c r="A891" i="36"/>
  <c r="A932" i="36"/>
  <c r="A933" i="36"/>
  <c r="A934" i="36"/>
  <c r="A935" i="36"/>
  <c r="A942" i="36"/>
  <c r="A946" i="36"/>
  <c r="A5" i="36"/>
  <c r="A8" i="36"/>
  <c r="A11" i="36"/>
  <c r="A14" i="36"/>
  <c r="A21" i="36"/>
  <c r="A24" i="36"/>
  <c r="A27" i="36"/>
  <c r="A30" i="36"/>
  <c r="A37" i="36"/>
  <c r="A40" i="36"/>
  <c r="A43" i="36"/>
  <c r="A47" i="36"/>
  <c r="A50" i="36"/>
  <c r="A61" i="36"/>
  <c r="A64" i="36"/>
  <c r="A67" i="36"/>
  <c r="A70" i="36"/>
  <c r="A73" i="36"/>
  <c r="A76" i="36"/>
  <c r="A79" i="36"/>
  <c r="A82" i="36"/>
  <c r="A93" i="36"/>
  <c r="A96" i="36"/>
  <c r="A99" i="36"/>
  <c r="A102" i="36"/>
  <c r="A105" i="36"/>
  <c r="A108" i="36"/>
  <c r="A111" i="36"/>
  <c r="A114" i="36"/>
  <c r="A199" i="36"/>
  <c r="A200" i="36"/>
  <c r="A201" i="36"/>
  <c r="A202" i="36"/>
  <c r="A203" i="36"/>
  <c r="A204" i="36"/>
  <c r="A205" i="36"/>
  <c r="A206" i="36"/>
  <c r="A231" i="36"/>
  <c r="A232" i="36"/>
  <c r="A233" i="36"/>
  <c r="A234" i="36"/>
  <c r="A235" i="36"/>
  <c r="A236" i="36"/>
  <c r="A237" i="36"/>
  <c r="A238" i="36"/>
  <c r="A259" i="36"/>
  <c r="A260" i="36"/>
  <c r="A261" i="36"/>
  <c r="A262" i="36"/>
  <c r="A345" i="36"/>
  <c r="A363" i="36"/>
  <c r="A367" i="36"/>
  <c r="A370" i="36"/>
  <c r="A377" i="36"/>
  <c r="A395" i="36"/>
  <c r="A399" i="36"/>
  <c r="A402" i="36"/>
  <c r="A409" i="36"/>
  <c r="A427" i="36"/>
  <c r="A431" i="36"/>
  <c r="A434" i="36"/>
  <c r="A602" i="36"/>
  <c r="A646" i="36"/>
  <c r="A650" i="36"/>
  <c r="A656" i="36"/>
  <c r="A659" i="36"/>
  <c r="A663" i="36"/>
  <c r="A667" i="36"/>
  <c r="A714" i="36"/>
  <c r="A721" i="36"/>
  <c r="A725" i="36"/>
  <c r="A729" i="36"/>
  <c r="A733" i="36"/>
  <c r="A803" i="36"/>
  <c r="A807" i="36"/>
  <c r="A811" i="36"/>
  <c r="A839" i="36"/>
  <c r="A840" i="36"/>
  <c r="A873" i="36"/>
  <c r="A271" i="36"/>
  <c r="A272" i="36"/>
  <c r="A273" i="36"/>
  <c r="A274" i="36"/>
  <c r="A287" i="36"/>
  <c r="A288" i="36"/>
  <c r="A289" i="36"/>
  <c r="A290" i="36"/>
  <c r="A303" i="36"/>
  <c r="A304" i="36"/>
  <c r="A305" i="36"/>
  <c r="A306" i="36"/>
  <c r="A319" i="36"/>
  <c r="A320" i="36"/>
  <c r="A321" i="36"/>
  <c r="A322" i="36"/>
  <c r="A335" i="36"/>
  <c r="A336" i="36"/>
  <c r="A337" i="36"/>
  <c r="A338" i="36"/>
  <c r="A349" i="36"/>
  <c r="A352" i="36"/>
  <c r="A355" i="36"/>
  <c r="A358" i="36"/>
  <c r="A365" i="36"/>
  <c r="A368" i="36"/>
  <c r="A371" i="36"/>
  <c r="A374" i="36"/>
  <c r="A381" i="36"/>
  <c r="A384" i="36"/>
  <c r="A387" i="36"/>
  <c r="A390" i="36"/>
  <c r="A397" i="36"/>
  <c r="A400" i="36"/>
  <c r="A403" i="36"/>
  <c r="A406" i="36"/>
  <c r="A413" i="36"/>
  <c r="A416" i="36"/>
  <c r="A419" i="36"/>
  <c r="A422" i="36"/>
  <c r="A429" i="36"/>
  <c r="A432" i="36"/>
  <c r="A436" i="36"/>
  <c r="A437" i="36"/>
  <c r="A438" i="36"/>
  <c r="A439" i="36"/>
  <c r="A452" i="36"/>
  <c r="A461" i="36"/>
  <c r="A462" i="36"/>
  <c r="A469" i="36"/>
  <c r="A470" i="36"/>
  <c r="A484" i="36"/>
  <c r="A493" i="36"/>
  <c r="A494" i="36"/>
  <c r="A501" i="36"/>
  <c r="A502" i="36"/>
  <c r="A503" i="36"/>
  <c r="A504" i="36"/>
  <c r="A505" i="36"/>
  <c r="A506" i="36"/>
  <c r="A507" i="36"/>
  <c r="A556" i="36"/>
  <c r="A557" i="36"/>
  <c r="A558" i="36"/>
  <c r="A559" i="36"/>
  <c r="A560" i="36"/>
  <c r="A561" i="36"/>
  <c r="A562" i="36"/>
  <c r="A563" i="36"/>
  <c r="A564" i="36"/>
  <c r="A565" i="36"/>
  <c r="A566" i="36"/>
  <c r="A567" i="36"/>
  <c r="A568" i="36"/>
  <c r="A569" i="36"/>
  <c r="A570" i="36"/>
  <c r="A571" i="36"/>
  <c r="A616" i="36"/>
  <c r="A617" i="36"/>
  <c r="A618" i="36"/>
  <c r="A619" i="36"/>
  <c r="A620" i="36"/>
  <c r="A621" i="36"/>
  <c r="A622" i="36"/>
  <c r="A623" i="36"/>
  <c r="A624" i="36"/>
  <c r="A625" i="36"/>
  <c r="A626" i="36"/>
  <c r="A627" i="36"/>
  <c r="A628" i="36"/>
  <c r="A629" i="36"/>
  <c r="A630" i="36"/>
  <c r="A631" i="36"/>
  <c r="A644" i="36"/>
  <c r="A648" i="36"/>
  <c r="A651" i="36"/>
  <c r="A654" i="36"/>
  <c r="A660" i="36"/>
  <c r="A664" i="36"/>
  <c r="A668" i="36"/>
  <c r="A672" i="36"/>
  <c r="A683" i="36"/>
  <c r="A684" i="36"/>
  <c r="A685" i="36"/>
  <c r="A686" i="36"/>
  <c r="A687" i="36"/>
  <c r="A697" i="36"/>
  <c r="A706" i="36"/>
  <c r="A707" i="36"/>
  <c r="A709" i="36"/>
  <c r="A710" i="36"/>
  <c r="A711" i="36"/>
  <c r="A715" i="36"/>
  <c r="A718" i="36"/>
  <c r="A734" i="36"/>
  <c r="A738" i="36"/>
  <c r="A760" i="36"/>
  <c r="A764" i="36"/>
  <c r="A768" i="36"/>
  <c r="A772" i="36"/>
  <c r="A776" i="36"/>
  <c r="A779" i="36"/>
  <c r="A783" i="36"/>
  <c r="A794" i="36"/>
  <c r="A798" i="36"/>
  <c r="A801" i="36"/>
  <c r="A804" i="36"/>
  <c r="A808" i="36"/>
  <c r="A815" i="36"/>
  <c r="A818" i="36"/>
  <c r="A822" i="36"/>
  <c r="A826" i="36"/>
  <c r="A833" i="36"/>
  <c r="A834" i="36"/>
  <c r="A845" i="36"/>
  <c r="A846" i="36"/>
  <c r="A850" i="36"/>
  <c r="A854" i="36"/>
  <c r="A858" i="36"/>
  <c r="A861" i="36"/>
  <c r="A868" i="36"/>
  <c r="A871" i="36"/>
  <c r="A875" i="36"/>
  <c r="A878" i="36"/>
  <c r="A879" i="36"/>
  <c r="A900" i="36"/>
  <c r="A901" i="36"/>
  <c r="A902" i="36"/>
  <c r="A903" i="36"/>
  <c r="A943" i="36"/>
  <c r="A275" i="36"/>
  <c r="A276" i="36"/>
  <c r="A277" i="36"/>
  <c r="A278" i="36"/>
  <c r="A291" i="36"/>
  <c r="A292" i="36"/>
  <c r="A293" i="36"/>
  <c r="A294" i="36"/>
  <c r="A307" i="36"/>
  <c r="A308" i="36"/>
  <c r="A309" i="36"/>
  <c r="A310" i="36"/>
  <c r="A323" i="36"/>
  <c r="A324" i="36"/>
  <c r="A325" i="36"/>
  <c r="A326" i="36"/>
  <c r="A339" i="36"/>
  <c r="A340" i="36"/>
  <c r="A341" i="36"/>
  <c r="A342" i="36"/>
  <c r="A346" i="36"/>
  <c r="A353" i="36"/>
  <c r="A356" i="36"/>
  <c r="A359" i="36"/>
  <c r="A362" i="36"/>
  <c r="A369" i="36"/>
  <c r="A372" i="36"/>
  <c r="A375" i="36"/>
  <c r="A378" i="36"/>
  <c r="A385" i="36"/>
  <c r="A388" i="36"/>
  <c r="A391" i="36"/>
  <c r="A394" i="36"/>
  <c r="A401" i="36"/>
  <c r="A404" i="36"/>
  <c r="A407" i="36"/>
  <c r="A410" i="36"/>
  <c r="A417" i="36"/>
  <c r="A420" i="36"/>
  <c r="A423" i="36"/>
  <c r="A426" i="36"/>
  <c r="A433" i="36"/>
  <c r="A440" i="36"/>
  <c r="A441" i="36"/>
  <c r="A442" i="36"/>
  <c r="A443" i="36"/>
  <c r="A453" i="36"/>
  <c r="A454" i="36"/>
  <c r="A463" i="36"/>
  <c r="A464" i="36"/>
  <c r="A465" i="36"/>
  <c r="A471" i="36"/>
  <c r="A472" i="36"/>
  <c r="A473" i="36"/>
  <c r="A474" i="36"/>
  <c r="A475" i="36"/>
  <c r="A485" i="36"/>
  <c r="A486" i="36"/>
  <c r="A495" i="36"/>
  <c r="A496" i="36"/>
  <c r="A497" i="36"/>
  <c r="A508" i="36"/>
  <c r="A509" i="36"/>
  <c r="A510" i="36"/>
  <c r="A511" i="36"/>
  <c r="A512" i="36"/>
  <c r="A513" i="36"/>
  <c r="A514" i="36"/>
  <c r="A515" i="36"/>
  <c r="A516" i="36"/>
  <c r="A517" i="36"/>
  <c r="A518" i="36"/>
  <c r="A519" i="36"/>
  <c r="A520" i="36"/>
  <c r="A521" i="36"/>
  <c r="A522" i="36"/>
  <c r="A523" i="36"/>
  <c r="A572" i="36"/>
  <c r="A573" i="36"/>
  <c r="A574" i="36"/>
  <c r="A575" i="36"/>
  <c r="A576" i="36"/>
  <c r="A577" i="36"/>
  <c r="A578" i="36"/>
  <c r="A579" i="36"/>
  <c r="A580" i="36"/>
  <c r="A581" i="36"/>
  <c r="A582" i="36"/>
  <c r="A583" i="36"/>
  <c r="A584" i="36"/>
  <c r="A585" i="36"/>
  <c r="A586" i="36"/>
  <c r="A587" i="36"/>
  <c r="A603" i="36"/>
  <c r="A632" i="36"/>
  <c r="A633" i="36"/>
  <c r="A634" i="36"/>
  <c r="A635" i="36"/>
  <c r="A636" i="36"/>
  <c r="A637" i="36"/>
  <c r="A638" i="36"/>
  <c r="A639" i="36"/>
  <c r="A641" i="36"/>
  <c r="A642" i="36"/>
  <c r="A645" i="36"/>
  <c r="A649" i="36"/>
  <c r="A652" i="36"/>
  <c r="A655" i="36"/>
  <c r="A658" i="36"/>
  <c r="A661" i="36"/>
  <c r="A665" i="36"/>
  <c r="A673" i="36"/>
  <c r="A674" i="36"/>
  <c r="A675" i="36"/>
  <c r="A676" i="36"/>
  <c r="A677" i="36"/>
  <c r="A678" i="36"/>
  <c r="A679" i="36"/>
  <c r="A689" i="36"/>
  <c r="A698" i="36"/>
  <c r="A699" i="36"/>
  <c r="A712" i="36"/>
  <c r="A716" i="36"/>
  <c r="A719" i="36"/>
  <c r="A723" i="36"/>
  <c r="A727" i="36"/>
  <c r="A731" i="36"/>
  <c r="A735" i="36"/>
  <c r="A739" i="36"/>
  <c r="A740" i="36"/>
  <c r="A752" i="36"/>
  <c r="A753" i="36"/>
  <c r="A754" i="36"/>
  <c r="A755" i="36"/>
  <c r="A756" i="36"/>
  <c r="A757" i="36"/>
  <c r="A761" i="36"/>
  <c r="A765" i="36"/>
  <c r="A769" i="36"/>
  <c r="A773" i="36"/>
  <c r="A777" i="36"/>
  <c r="A780" i="36"/>
  <c r="A784" i="36"/>
  <c r="A791" i="36"/>
  <c r="A795" i="36"/>
  <c r="A799" i="36"/>
  <c r="A805" i="36"/>
  <c r="A809" i="36"/>
  <c r="A837" i="36"/>
  <c r="A838" i="36"/>
  <c r="A847" i="36"/>
  <c r="A848" i="36"/>
  <c r="A851" i="36"/>
  <c r="A855" i="36"/>
  <c r="A859" i="36"/>
  <c r="A862" i="36"/>
  <c r="A865" i="36"/>
  <c r="A872" i="36"/>
  <c r="A884" i="36"/>
  <c r="A885" i="36"/>
  <c r="A886" i="36"/>
  <c r="A887" i="36"/>
  <c r="A904" i="36"/>
  <c r="A905" i="36"/>
  <c r="A906" i="36"/>
  <c r="A907" i="36"/>
  <c r="A924" i="36"/>
  <c r="A925" i="36"/>
  <c r="A926" i="36"/>
  <c r="A927" i="36"/>
  <c r="A944" i="36"/>
  <c r="A948" i="36"/>
  <c r="A949" i="36"/>
  <c r="A950" i="36"/>
  <c r="A951" i="36"/>
  <c r="A722" i="36"/>
  <c r="A726" i="36"/>
  <c r="A730" i="36"/>
  <c r="A737" i="36"/>
  <c r="A746" i="36"/>
  <c r="A758" i="36"/>
  <c r="A762" i="36"/>
  <c r="A766" i="36"/>
  <c r="A770" i="36"/>
  <c r="A774" i="36"/>
  <c r="A778" i="36"/>
  <c r="A781" i="36"/>
  <c r="A785" i="36"/>
  <c r="A792" i="36"/>
  <c r="A796" i="36"/>
  <c r="A800" i="36"/>
  <c r="A802" i="36"/>
  <c r="A806" i="36"/>
  <c r="A812" i="36"/>
  <c r="A816" i="36"/>
  <c r="A819" i="36"/>
  <c r="A823" i="36"/>
  <c r="A827" i="36"/>
  <c r="A828" i="36"/>
  <c r="A835" i="36"/>
  <c r="A836" i="36"/>
  <c r="A843" i="36"/>
  <c r="A844" i="36"/>
  <c r="A849" i="36"/>
  <c r="A856" i="36"/>
  <c r="A860" i="36"/>
  <c r="A863" i="36"/>
  <c r="A866" i="36"/>
  <c r="A869" i="36"/>
  <c r="A876" i="36"/>
  <c r="A880" i="36"/>
  <c r="A881" i="36"/>
  <c r="A882" i="36"/>
  <c r="A883" i="36"/>
  <c r="A896" i="36"/>
  <c r="A897" i="36"/>
  <c r="A898" i="36"/>
  <c r="A899" i="36"/>
  <c r="A912" i="36"/>
  <c r="A913" i="36"/>
  <c r="A914" i="36"/>
  <c r="A915" i="36"/>
  <c r="A928" i="36"/>
  <c r="A929" i="36"/>
  <c r="A930" i="36"/>
  <c r="A931" i="36"/>
  <c r="A940" i="36"/>
  <c r="A947" i="36"/>
  <c r="A957" i="36"/>
  <c r="A958" i="36"/>
  <c r="A959" i="36"/>
  <c r="A960" i="36"/>
  <c r="A961" i="36"/>
  <c r="A962" i="36"/>
  <c r="A963" i="36"/>
  <c r="A964" i="36"/>
  <c r="A965" i="36"/>
  <c r="A966" i="36"/>
  <c r="A967" i="36"/>
  <c r="A968" i="36"/>
  <c r="A969" i="36"/>
  <c r="A970" i="36"/>
  <c r="A971" i="36"/>
  <c r="A972" i="36"/>
  <c r="A973" i="36"/>
  <c r="A974" i="36"/>
  <c r="A975" i="36"/>
  <c r="A976" i="36"/>
  <c r="A977" i="36"/>
  <c r="A978" i="36"/>
  <c r="AF2056" i="35" l="1"/>
  <c r="AG2056" i="35" s="1"/>
  <c r="AF2038" i="35"/>
  <c r="AG2038" i="35" s="1"/>
  <c r="AF2054" i="35"/>
  <c r="AG2054" i="35" s="1"/>
  <c r="AF2058" i="35"/>
  <c r="AG2058" i="35" s="1"/>
  <c r="AF2036" i="35"/>
  <c r="AG2036" i="35" s="1"/>
  <c r="AF2060" i="35"/>
  <c r="AG2060" i="35" s="1"/>
  <c r="AF2052" i="35"/>
  <c r="AG2052" i="35" s="1"/>
  <c r="AF2040" i="35"/>
  <c r="AG2040" i="35" s="1"/>
  <c r="AF2044" i="35"/>
  <c r="AG2044" i="35" s="1"/>
  <c r="AF2068" i="35"/>
  <c r="AG2068" i="35" s="1"/>
  <c r="AF2042" i="35"/>
  <c r="AG2042" i="35" s="1"/>
  <c r="AF2072" i="35"/>
  <c r="AG2072" i="35" s="1"/>
  <c r="AF2064" i="35"/>
  <c r="AG2064" i="35" s="1"/>
  <c r="AF2062" i="35"/>
  <c r="AG2062" i="35" s="1"/>
  <c r="AF2074" i="35"/>
  <c r="AG2074" i="35" s="1"/>
  <c r="AF2080" i="35"/>
  <c r="AG2080" i="35" s="1"/>
  <c r="AF2050" i="35"/>
  <c r="AG2050" i="35" s="1"/>
  <c r="AF2008" i="35"/>
  <c r="AG2008" i="35" s="1"/>
  <c r="AF2020" i="35"/>
  <c r="AG2020" i="35" s="1"/>
  <c r="AF2010" i="35"/>
  <c r="AG2010" i="35" s="1"/>
  <c r="AG2528" i="33"/>
  <c r="AH2528" i="33" s="1"/>
  <c r="AG2526" i="33"/>
  <c r="AH2526" i="33" s="1"/>
  <c r="AG2524" i="33"/>
  <c r="AH2524" i="33" s="1"/>
  <c r="AF1934" i="35"/>
  <c r="AG1934" i="35" s="1"/>
  <c r="AF1950" i="35"/>
  <c r="AG1950" i="35" s="1"/>
  <c r="AF1938" i="35"/>
  <c r="AG1938" i="35" s="1"/>
  <c r="AF1952" i="35"/>
  <c r="AG1952" i="35" s="1"/>
  <c r="AF1942" i="35"/>
  <c r="AG1942" i="35" s="1"/>
  <c r="AF1944" i="35"/>
  <c r="AG1944" i="35" s="1"/>
  <c r="AF1920" i="35"/>
  <c r="AG1920" i="35" s="1"/>
  <c r="AF1988" i="35"/>
  <c r="AG1988" i="35" s="1"/>
  <c r="AF1948" i="35"/>
  <c r="AG1948" i="35" s="1"/>
  <c r="AF1926" i="35"/>
  <c r="AG1926" i="35" s="1"/>
  <c r="AF1936" i="35"/>
  <c r="AG1936" i="35" s="1"/>
  <c r="AF1972" i="35"/>
  <c r="AG1972" i="35" s="1"/>
  <c r="AF1980" i="35"/>
  <c r="AG1980" i="35" s="1"/>
  <c r="AF1916" i="35"/>
  <c r="AG1916" i="35" s="1"/>
  <c r="AF1974" i="35"/>
  <c r="AG1974" i="35" s="1"/>
  <c r="AF1918" i="35"/>
  <c r="AG1918" i="35" s="1"/>
  <c r="AF1922" i="35"/>
  <c r="AG1922" i="35" s="1"/>
  <c r="AF1946" i="35"/>
  <c r="AG1946" i="35" s="1"/>
  <c r="AF1978" i="35"/>
  <c r="AG1978" i="35" s="1"/>
  <c r="AF1970" i="35"/>
  <c r="AG1970" i="35" s="1"/>
  <c r="AF1866" i="35"/>
  <c r="AG1866" i="35" s="1"/>
  <c r="AF1856" i="35"/>
  <c r="AG1856" i="35" s="1"/>
  <c r="AF1790" i="35"/>
  <c r="AG1790" i="35" s="1"/>
  <c r="AF1770" i="35"/>
  <c r="AG1770" i="35" s="1"/>
  <c r="AF1880" i="35"/>
  <c r="AG1880" i="35" s="1"/>
  <c r="AF1824" i="35"/>
  <c r="AG1824" i="35" s="1"/>
  <c r="AF1826" i="35"/>
  <c r="AG1826" i="35" s="1"/>
  <c r="AF1831" i="35"/>
  <c r="AG1831" i="35" s="1"/>
  <c r="AF1850" i="35"/>
  <c r="AG1850" i="35" s="1"/>
  <c r="AF1827" i="35"/>
  <c r="AG1827" i="35" s="1"/>
  <c r="AF1829" i="35"/>
  <c r="AG1829" i="35" s="1"/>
  <c r="AF1833" i="35"/>
  <c r="AG1833" i="35" s="1"/>
  <c r="AF1792" i="35"/>
  <c r="AG1792" i="35" s="1"/>
  <c r="AF1796" i="35"/>
  <c r="AG1796" i="35" s="1"/>
  <c r="AF1798" i="35"/>
  <c r="AG1798" i="35" s="1"/>
  <c r="AF1874" i="35"/>
  <c r="AG1874" i="35" s="1"/>
  <c r="AF1868" i="35"/>
  <c r="AG1868" i="35" s="1"/>
  <c r="AF1878" i="35"/>
  <c r="AG1878" i="35" s="1"/>
  <c r="AF1848" i="35"/>
  <c r="AG1848" i="35" s="1"/>
  <c r="AF1800" i="35"/>
  <c r="AG1800" i="35" s="1"/>
  <c r="AF1802" i="35"/>
  <c r="AG1802" i="35" s="1"/>
  <c r="AF1886" i="35"/>
  <c r="AG1886" i="35" s="1"/>
  <c r="AF1794" i="35"/>
  <c r="AG1794" i="35" s="1"/>
  <c r="AF1836" i="35"/>
  <c r="AG1836" i="35" s="1"/>
  <c r="AF1838" i="35"/>
  <c r="AG1838" i="35" s="1"/>
  <c r="AF1854" i="35"/>
  <c r="AG1854" i="35" s="1"/>
  <c r="AF1835" i="35"/>
  <c r="AG1835" i="35" s="1"/>
  <c r="AF1876" i="35"/>
  <c r="AG1876" i="35" s="1"/>
  <c r="AF1872" i="35"/>
  <c r="AG1872" i="35" s="1"/>
  <c r="AF1864" i="35"/>
  <c r="AG1864" i="35" s="1"/>
  <c r="AF1860" i="35"/>
  <c r="AG1860" i="35" s="1"/>
  <c r="AF1870" i="35"/>
  <c r="AG1870" i="35" s="1"/>
  <c r="AF1842" i="35"/>
  <c r="AG1842" i="35" s="1"/>
  <c r="AF1740" i="35"/>
  <c r="AG1740" i="35" s="1"/>
  <c r="AF1766" i="35"/>
  <c r="AG1766" i="35" s="1"/>
  <c r="AG2237" i="33"/>
  <c r="AH2237" i="33" s="1"/>
  <c r="AG2239" i="33"/>
  <c r="AH2239" i="33" s="1"/>
  <c r="AF1738" i="35"/>
  <c r="AG1738" i="35" s="1"/>
  <c r="AF1722" i="35"/>
  <c r="AG1722" i="35" s="1"/>
  <c r="AF1724" i="35"/>
  <c r="AG1724" i="35" s="1"/>
  <c r="AF1720" i="35"/>
  <c r="AG1720" i="35" s="1"/>
  <c r="AF1742" i="35"/>
  <c r="AG1742" i="35" s="1"/>
  <c r="AF1744" i="35"/>
  <c r="AG1744" i="35" s="1"/>
  <c r="AF1726" i="35"/>
  <c r="AG1726" i="35" s="1"/>
  <c r="AF1714" i="35"/>
  <c r="AG1714" i="35" s="1"/>
  <c r="AF1716" i="35"/>
  <c r="AG1716" i="35" s="1"/>
  <c r="AF1718" i="35"/>
  <c r="AG1718" i="35" s="1"/>
  <c r="AF1705" i="35"/>
  <c r="AG1705" i="35" s="1"/>
  <c r="AF1706" i="35"/>
  <c r="AG1706" i="35" s="1"/>
  <c r="AF1746" i="35"/>
  <c r="AG1746" i="35" s="1"/>
  <c r="AF1764" i="35"/>
  <c r="AG1764" i="35" s="1"/>
  <c r="AF1712" i="35"/>
  <c r="AG1712" i="35" s="1"/>
  <c r="AF1693" i="35"/>
  <c r="AG1693" i="35" s="1"/>
  <c r="AF1679" i="35"/>
  <c r="AF1689" i="35"/>
  <c r="AG1689" i="35" s="1"/>
  <c r="AF1691" i="35"/>
  <c r="AG1691" i="35" s="1"/>
  <c r="AF1708" i="35"/>
  <c r="AG1708" i="35" s="1"/>
  <c r="AF1754" i="35"/>
  <c r="AG1754" i="35" s="1"/>
  <c r="AF1752" i="35"/>
  <c r="AG1752" i="35" s="1"/>
  <c r="AF1748" i="35"/>
  <c r="AG1748" i="35" s="1"/>
  <c r="AF1750" i="35"/>
  <c r="AG1750" i="35" s="1"/>
  <c r="AF1681" i="35"/>
  <c r="AG1681" i="35" s="1"/>
  <c r="AF1756" i="35"/>
  <c r="AG1756" i="35" s="1"/>
  <c r="AF1685" i="35"/>
  <c r="AG1685" i="35" s="1"/>
  <c r="AF1683" i="35"/>
  <c r="AG1683" i="35" s="1"/>
  <c r="AF1657" i="35"/>
  <c r="AG1657" i="35" s="1"/>
  <c r="AF1633" i="35"/>
  <c r="AG1633" i="35" s="1"/>
  <c r="AF1697" i="35"/>
  <c r="AG1697" i="35" s="1"/>
  <c r="AF1651" i="35"/>
  <c r="AG1651" i="35" s="1"/>
  <c r="AF1645" i="35"/>
  <c r="AG1645" i="35" s="1"/>
  <c r="AF1625" i="35"/>
  <c r="AG1625" i="35" s="1"/>
  <c r="AF1638" i="35"/>
  <c r="AG1638" i="35" s="1"/>
  <c r="AF1619" i="35"/>
  <c r="AG1619" i="35" s="1"/>
  <c r="AF1710" i="35"/>
  <c r="AG1710" i="35" s="1"/>
  <c r="AF1648" i="35"/>
  <c r="AG1648" i="35" s="1"/>
  <c r="AF1640" i="35"/>
  <c r="AG1640" i="35" s="1"/>
  <c r="AF1621" i="35"/>
  <c r="AG1621" i="35" s="1"/>
  <c r="AF1635" i="35"/>
  <c r="AG1635" i="35" s="1"/>
  <c r="AF1659" i="35"/>
  <c r="AG1659" i="35" s="1"/>
  <c r="AF1643" i="35"/>
  <c r="AG1643" i="35" s="1"/>
  <c r="AF1650" i="35"/>
  <c r="AG1650" i="35" s="1"/>
  <c r="AF1591" i="35"/>
  <c r="AG1591" i="35" s="1"/>
  <c r="AF1593" i="35"/>
  <c r="AG1593" i="35" s="1"/>
  <c r="AF1579" i="35"/>
  <c r="AG1579" i="35" s="1"/>
  <c r="AF1575" i="35"/>
  <c r="AG1575" i="35" s="1"/>
  <c r="AF1577" i="35"/>
  <c r="AG1577" i="35" s="1"/>
  <c r="AF1665" i="35"/>
  <c r="AG1665" i="35" s="1"/>
  <c r="AF1585" i="35"/>
  <c r="AG1585" i="35" s="1"/>
  <c r="AF1663" i="35"/>
  <c r="AG1663" i="35" s="1"/>
  <c r="AF1581" i="35"/>
  <c r="AG1581" i="35" s="1"/>
  <c r="AF1661" i="35"/>
  <c r="AG1661" i="35" s="1"/>
  <c r="AF1583" i="35"/>
  <c r="AG1583" i="35" s="1"/>
  <c r="AF1589" i="35"/>
  <c r="AG1589" i="35" s="1"/>
  <c r="AF1547" i="35"/>
  <c r="AG1547" i="35" s="1"/>
  <c r="AF1521" i="35"/>
  <c r="AG1521" i="35" s="1"/>
  <c r="AF1519" i="35"/>
  <c r="AG1519" i="35" s="1"/>
  <c r="AF1499" i="35"/>
  <c r="AG1499" i="35" s="1"/>
  <c r="AF1501" i="35"/>
  <c r="AG1501" i="35" s="1"/>
  <c r="AF1539" i="35"/>
  <c r="AG1539" i="35" s="1"/>
  <c r="AF1531" i="35"/>
  <c r="AG1531" i="35" s="1"/>
  <c r="AF1495" i="35"/>
  <c r="AG1495" i="35" s="1"/>
  <c r="AF1517" i="35"/>
  <c r="AG1517" i="35" s="1"/>
  <c r="AF1509" i="35"/>
  <c r="AG1509" i="35" s="1"/>
  <c r="AF1505" i="35"/>
  <c r="AG1505" i="35" s="1"/>
  <c r="AF1493" i="35"/>
  <c r="AG1493" i="35" s="1"/>
  <c r="AF1503" i="35"/>
  <c r="AG1503" i="35" s="1"/>
  <c r="AF1513" i="35"/>
  <c r="AG1513" i="35" s="1"/>
  <c r="AF1515" i="35"/>
  <c r="AG1515" i="35" s="1"/>
  <c r="AF1511" i="35"/>
  <c r="AG1511" i="35" s="1"/>
  <c r="AF1541" i="35"/>
  <c r="AG1541" i="35" s="1"/>
  <c r="AF1549" i="35"/>
  <c r="AG1549" i="35" s="1"/>
  <c r="AF1545" i="35"/>
  <c r="AG1545" i="35" s="1"/>
  <c r="AF1529" i="35"/>
  <c r="AG1529" i="35" s="1"/>
  <c r="AF1543" i="35"/>
  <c r="AG1543" i="35" s="1"/>
  <c r="AF1491" i="35"/>
  <c r="AG1491" i="35" s="1"/>
  <c r="AF1489" i="35"/>
  <c r="AG1489" i="35" s="1"/>
  <c r="AF1453" i="35"/>
  <c r="AG1453" i="35" s="1"/>
  <c r="AF1419" i="35"/>
  <c r="AG1419" i="35" s="1"/>
  <c r="AF1417" i="35"/>
  <c r="AG1417" i="35" s="1"/>
  <c r="AF1415" i="35"/>
  <c r="AG1415" i="35" s="1"/>
  <c r="AF1425" i="35"/>
  <c r="AG1425" i="35" s="1"/>
  <c r="AF1423" i="35"/>
  <c r="AG1423" i="35" s="1"/>
  <c r="AF1421" i="35"/>
  <c r="AG1421" i="35" s="1"/>
  <c r="AF1413" i="35"/>
  <c r="AG1413" i="35" s="1"/>
  <c r="AF1395" i="35"/>
  <c r="AG1395" i="35" s="1"/>
  <c r="AF1401" i="35"/>
  <c r="AG1401" i="35" s="1"/>
  <c r="AF1407" i="35"/>
  <c r="AG1407" i="35" s="1"/>
  <c r="AF1397" i="35"/>
  <c r="AG1397" i="35" s="1"/>
  <c r="AF1405" i="35"/>
  <c r="AG1405" i="35" s="1"/>
  <c r="AF1377" i="35"/>
  <c r="AG1377" i="35" s="1"/>
  <c r="AF1441" i="35"/>
  <c r="AG1441" i="35" s="1"/>
  <c r="AF1385" i="35"/>
  <c r="AG1385" i="35" s="1"/>
  <c r="AF1383" i="35"/>
  <c r="AG1383" i="35" s="1"/>
  <c r="AF1399" i="35"/>
  <c r="AG1399" i="35" s="1"/>
  <c r="AF1381" i="35"/>
  <c r="AG1381" i="35" s="1"/>
  <c r="AF1379" i="35"/>
  <c r="AG1379" i="35" s="1"/>
  <c r="AF1449" i="35"/>
  <c r="AG1449" i="35" s="1"/>
  <c r="AF1391" i="35"/>
  <c r="AG1391" i="35" s="1"/>
  <c r="AF1435" i="35"/>
  <c r="AG1435" i="35" s="1"/>
  <c r="AF1443" i="35"/>
  <c r="AG1443" i="35" s="1"/>
  <c r="AF1451" i="35"/>
  <c r="AG1451" i="35" s="1"/>
  <c r="AF1403" i="35"/>
  <c r="AG1403" i="35" s="1"/>
  <c r="AF1333" i="35"/>
  <c r="AG1333" i="35" s="1"/>
  <c r="AF1345" i="35"/>
  <c r="AG1345" i="35" s="1"/>
  <c r="AF1331" i="35"/>
  <c r="AG1331" i="35" s="1"/>
  <c r="AF1287" i="35"/>
  <c r="AG1287" i="35" s="1"/>
  <c r="AF1301" i="35"/>
  <c r="AG1301" i="35" s="1"/>
  <c r="AF1299" i="35"/>
  <c r="AG1299" i="35" s="1"/>
  <c r="AF1327" i="35"/>
  <c r="AG1327" i="35" s="1"/>
  <c r="AF1307" i="35"/>
  <c r="AG1307" i="35" s="1"/>
  <c r="AF1343" i="35"/>
  <c r="AG1343" i="35" s="1"/>
  <c r="AF1325" i="35"/>
  <c r="AG1325" i="35" s="1"/>
  <c r="AF1303" i="35"/>
  <c r="AG1303" i="35" s="1"/>
  <c r="AF1329" i="35"/>
  <c r="AG1329" i="35" s="1"/>
  <c r="AF1323" i="35"/>
  <c r="AG1323" i="35" s="1"/>
  <c r="AF1337" i="35"/>
  <c r="AG1337" i="35" s="1"/>
  <c r="AF1321" i="35"/>
  <c r="AG1321" i="35" s="1"/>
  <c r="AF1295" i="35"/>
  <c r="AG1295" i="35" s="1"/>
  <c r="AF1313" i="35"/>
  <c r="AG1313" i="35" s="1"/>
  <c r="AF1339" i="35"/>
  <c r="AG1339" i="35" s="1"/>
  <c r="AF1319" i="35"/>
  <c r="AG1319" i="35" s="1"/>
  <c r="AF1311" i="35"/>
  <c r="AG1311" i="35" s="1"/>
  <c r="AF1335" i="35"/>
  <c r="AG1335" i="35" s="1"/>
  <c r="AF1293" i="35"/>
  <c r="AG1293" i="35" s="1"/>
  <c r="AF1341" i="35"/>
  <c r="AG1341" i="35" s="1"/>
  <c r="AF1305" i="35"/>
  <c r="AG1305" i="35" s="1"/>
  <c r="AF1277" i="35"/>
  <c r="AG1277" i="35" s="1"/>
  <c r="AF1270" i="35"/>
  <c r="AG1270" i="35" s="1"/>
  <c r="AF1273" i="35"/>
  <c r="AG1273" i="35" s="1"/>
  <c r="AF1268" i="35"/>
  <c r="AG1268" i="35" s="1"/>
  <c r="AF1275" i="35"/>
  <c r="AG1275" i="35" s="1"/>
  <c r="AF1283" i="35"/>
  <c r="AG1283" i="35" s="1"/>
  <c r="AF1285" i="35"/>
  <c r="AG1285" i="35" s="1"/>
  <c r="AF1281" i="35"/>
  <c r="AG1281" i="35" s="1"/>
  <c r="AF1279" i="35"/>
  <c r="AG1279" i="35" s="1"/>
  <c r="AF1128" i="35"/>
  <c r="AG1128" i="35" s="1"/>
  <c r="AF1124" i="35"/>
  <c r="AG1124" i="35" s="1"/>
  <c r="AF1126" i="35"/>
  <c r="AG1126" i="35" s="1"/>
  <c r="AF1116" i="35"/>
  <c r="AG1116" i="35" s="1"/>
  <c r="AF1104" i="35"/>
  <c r="AG1104" i="35" s="1"/>
  <c r="AF1082" i="35"/>
  <c r="AG1082" i="35" s="1"/>
  <c r="AF1084" i="35"/>
  <c r="AG1084" i="35" s="1"/>
  <c r="AF1102" i="35"/>
  <c r="AG1102" i="35" s="1"/>
  <c r="AF1074" i="35"/>
  <c r="AG1074" i="35" s="1"/>
  <c r="AF1096" i="35"/>
  <c r="AG1096" i="35" s="1"/>
  <c r="AF1072" i="35"/>
  <c r="AG1072" i="35" s="1"/>
  <c r="AF1070" i="35"/>
  <c r="AG1070" i="35" s="1"/>
  <c r="AF1092" i="35"/>
  <c r="AG1092" i="35" s="1"/>
  <c r="AF1094" i="35"/>
  <c r="AG1094" i="35" s="1"/>
  <c r="AF1090" i="35"/>
  <c r="AG1090" i="35" s="1"/>
  <c r="AF1064" i="35"/>
  <c r="AG1064" i="35" s="1"/>
  <c r="AF1052" i="35"/>
  <c r="AG1052" i="35" s="1"/>
  <c r="AF1076" i="35"/>
  <c r="AG1076" i="35" s="1"/>
  <c r="AF1056" i="35"/>
  <c r="AG1056" i="35" s="1"/>
  <c r="AG1078" i="35"/>
  <c r="AF1050" i="35"/>
  <c r="AG1050" i="35" s="1"/>
  <c r="AF1080" i="35"/>
  <c r="AG1080" i="35" s="1"/>
  <c r="AF1058" i="35"/>
  <c r="AG1058" i="35" s="1"/>
  <c r="AF1066" i="35"/>
  <c r="AG1066" i="35" s="1"/>
  <c r="AF1068" i="35"/>
  <c r="AG1068" i="35" s="1"/>
  <c r="AG1297" i="33"/>
  <c r="AH1297" i="33" s="1"/>
  <c r="AF1002" i="35"/>
  <c r="AG1002" i="35" s="1"/>
  <c r="AG1295" i="33"/>
  <c r="AH1295" i="33" s="1"/>
  <c r="AG1293" i="33"/>
  <c r="AH1293" i="33" s="1"/>
  <c r="AF981" i="35"/>
  <c r="AG981" i="35" s="1"/>
  <c r="AF983" i="35"/>
  <c r="AG983" i="35" s="1"/>
  <c r="AF977" i="35"/>
  <c r="AG977" i="35" s="1"/>
  <c r="AF1006" i="35"/>
  <c r="AG1006" i="35" s="1"/>
  <c r="AF1004" i="35"/>
  <c r="AG1004" i="35" s="1"/>
  <c r="AG1287" i="33"/>
  <c r="AH1287" i="33" s="1"/>
  <c r="AG1291" i="33"/>
  <c r="AH1291" i="33" s="1"/>
  <c r="AG1289" i="33"/>
  <c r="AH1289" i="33" s="1"/>
  <c r="AF1008" i="35"/>
  <c r="AG1008" i="35" s="1"/>
  <c r="AF1010" i="35"/>
  <c r="AG1010" i="35" s="1"/>
  <c r="AF1012" i="35"/>
  <c r="AG1012" i="35" s="1"/>
  <c r="AF1020" i="35"/>
  <c r="AG1020" i="35" s="1"/>
  <c r="AF1018" i="35"/>
  <c r="AG1018" i="35" s="1"/>
  <c r="AF1014" i="35"/>
  <c r="AG1014" i="35" s="1"/>
  <c r="AF969" i="35"/>
  <c r="AG969" i="35" s="1"/>
  <c r="AF988" i="35"/>
  <c r="AG988" i="35" s="1"/>
  <c r="AF971" i="35"/>
  <c r="AG971" i="35" s="1"/>
  <c r="AF992" i="35"/>
  <c r="AG992" i="35" s="1"/>
  <c r="AF994" i="35"/>
  <c r="AG994" i="35" s="1"/>
  <c r="AF990" i="35"/>
  <c r="AG990" i="35" s="1"/>
  <c r="AF959" i="35"/>
  <c r="AG959" i="35" s="1"/>
  <c r="AF965" i="35"/>
  <c r="AG965" i="35" s="1"/>
  <c r="AF996" i="35"/>
  <c r="AG996" i="35" s="1"/>
  <c r="AF967" i="35"/>
  <c r="AG967" i="35" s="1"/>
  <c r="AG1183" i="33"/>
  <c r="AH1183" i="33" s="1"/>
  <c r="AG1180" i="33"/>
  <c r="AH1180" i="33" s="1"/>
  <c r="AG1161" i="33"/>
  <c r="AH1161" i="33" s="1"/>
  <c r="AF1016" i="35"/>
  <c r="AG1016" i="35" s="1"/>
  <c r="AF919" i="35"/>
  <c r="AG919" i="35" s="1"/>
  <c r="AF915" i="35"/>
  <c r="AG915" i="35" s="1"/>
  <c r="AF927" i="35"/>
  <c r="AG927" i="35" s="1"/>
  <c r="AF917" i="35"/>
  <c r="AG917" i="35" s="1"/>
  <c r="AG1129" i="33"/>
  <c r="AH1129" i="33" s="1"/>
  <c r="AG1131" i="33"/>
  <c r="AH1131" i="33" s="1"/>
  <c r="AF893" i="35"/>
  <c r="AG893" i="35" s="1"/>
  <c r="AF921" i="35"/>
  <c r="AG921" i="35" s="1"/>
  <c r="AF883" i="35"/>
  <c r="AG883" i="35" s="1"/>
  <c r="AF875" i="35"/>
  <c r="AG875" i="35" s="1"/>
  <c r="AF877" i="35"/>
  <c r="AG877" i="35" s="1"/>
  <c r="AF879" i="35"/>
  <c r="AG879" i="35" s="1"/>
  <c r="AG1178" i="33"/>
  <c r="AH1178" i="33" s="1"/>
  <c r="AF923" i="35"/>
  <c r="AG923" i="35" s="1"/>
  <c r="AF903" i="35"/>
  <c r="AG903" i="35" s="1"/>
  <c r="AF905" i="35"/>
  <c r="AG905" i="35" s="1"/>
  <c r="AF897" i="35"/>
  <c r="AG897" i="35" s="1"/>
  <c r="AF907" i="35"/>
  <c r="AG907" i="35" s="1"/>
  <c r="AF899" i="35"/>
  <c r="AG899" i="35" s="1"/>
  <c r="AF889" i="35"/>
  <c r="AG889" i="35" s="1"/>
  <c r="AF895" i="35"/>
  <c r="AG895" i="35" s="1"/>
  <c r="AF901" i="35"/>
  <c r="AG901" i="35" s="1"/>
  <c r="AF863" i="35"/>
  <c r="AG863" i="35" s="1"/>
  <c r="AF865" i="35"/>
  <c r="AG865" i="35" s="1"/>
  <c r="AF867" i="35"/>
  <c r="AG867" i="35" s="1"/>
  <c r="AF881" i="35"/>
  <c r="AG881" i="35" s="1"/>
  <c r="AF885" i="35"/>
  <c r="AG885" i="35" s="1"/>
  <c r="AF887" i="35"/>
  <c r="AG887" i="35" s="1"/>
  <c r="H865" i="35"/>
  <c r="G865" i="35"/>
  <c r="I865" i="35"/>
  <c r="I1113" i="33"/>
  <c r="I1119" i="33"/>
  <c r="I1111" i="33"/>
  <c r="I1121" i="33"/>
  <c r="I1117" i="33"/>
  <c r="G1119" i="33"/>
  <c r="G1117" i="33"/>
  <c r="G1115" i="33"/>
  <c r="H1119" i="33"/>
  <c r="H1121" i="33"/>
  <c r="I1115" i="33"/>
  <c r="G1109" i="33"/>
  <c r="H1109" i="33"/>
  <c r="G1111" i="33"/>
  <c r="G1113" i="33"/>
  <c r="H1115" i="33"/>
  <c r="G1121" i="33"/>
  <c r="H1117" i="33"/>
  <c r="I1109" i="33"/>
  <c r="H1113" i="33"/>
  <c r="H1111" i="33"/>
  <c r="H1107" i="33"/>
  <c r="G1107" i="33"/>
  <c r="I1107" i="33"/>
  <c r="G1175" i="33"/>
  <c r="I1169" i="33"/>
  <c r="G1169" i="33"/>
  <c r="H1167" i="33"/>
  <c r="I1163" i="33"/>
  <c r="I1167" i="33"/>
  <c r="G1167" i="33"/>
  <c r="I1165" i="33"/>
  <c r="H1176" i="33"/>
  <c r="I1175" i="33"/>
  <c r="H1173" i="33"/>
  <c r="H1165" i="33"/>
  <c r="I1176" i="33"/>
  <c r="H1175" i="33"/>
  <c r="I1173" i="33"/>
  <c r="I1171" i="33"/>
  <c r="H1171" i="33"/>
  <c r="G1176" i="33"/>
  <c r="G1173" i="33"/>
  <c r="H1169" i="33"/>
  <c r="G1171" i="33"/>
  <c r="H1163" i="33"/>
  <c r="G1165" i="33"/>
  <c r="G1163" i="33"/>
  <c r="I923" i="35"/>
  <c r="H923" i="35"/>
  <c r="G923" i="35"/>
  <c r="I907" i="35"/>
  <c r="H905" i="35"/>
  <c r="G903" i="35"/>
  <c r="I899" i="35"/>
  <c r="H897" i="35"/>
  <c r="G889" i="35"/>
  <c r="H907" i="35"/>
  <c r="I905" i="35"/>
  <c r="G901" i="35"/>
  <c r="G895" i="35"/>
  <c r="I889" i="35"/>
  <c r="H899" i="35"/>
  <c r="G905" i="35"/>
  <c r="I903" i="35"/>
  <c r="H901" i="35"/>
  <c r="H889" i="35"/>
  <c r="G907" i="35"/>
  <c r="H903" i="35"/>
  <c r="I901" i="35"/>
  <c r="G899" i="35"/>
  <c r="I897" i="35"/>
  <c r="G897" i="35"/>
  <c r="I895" i="35"/>
  <c r="H895" i="35"/>
  <c r="H887" i="35"/>
  <c r="G887" i="35"/>
  <c r="I881" i="35"/>
  <c r="H867" i="35"/>
  <c r="G867" i="35"/>
  <c r="H863" i="35"/>
  <c r="I887" i="35"/>
  <c r="G863" i="35"/>
  <c r="G885" i="35"/>
  <c r="I867" i="35"/>
  <c r="I885" i="35"/>
  <c r="H881" i="35"/>
  <c r="G881" i="35"/>
  <c r="I863" i="35"/>
  <c r="H885" i="35"/>
  <c r="X1040" i="20"/>
  <c r="W1040" i="20"/>
  <c r="V1040" i="20"/>
  <c r="S1040" i="20"/>
  <c r="Q1040" i="20"/>
  <c r="M1040" i="20"/>
  <c r="K1040" i="20"/>
  <c r="J1040" i="20"/>
  <c r="I1040" i="20"/>
  <c r="H1040" i="20"/>
  <c r="G1040" i="20"/>
  <c r="F1040" i="20"/>
  <c r="E1040" i="20"/>
  <c r="D1040" i="20"/>
  <c r="C1040" i="20"/>
  <c r="B1040" i="20"/>
  <c r="A1040" i="20"/>
  <c r="X573" i="20"/>
  <c r="W573" i="20"/>
  <c r="V573" i="20"/>
  <c r="S573" i="20"/>
  <c r="M573" i="20"/>
  <c r="J573" i="20"/>
  <c r="E573" i="20"/>
  <c r="D573" i="20"/>
  <c r="C573" i="20"/>
  <c r="B573" i="20"/>
  <c r="X572" i="20"/>
  <c r="W572" i="20"/>
  <c r="V572" i="20"/>
  <c r="S572" i="20"/>
  <c r="M572" i="20"/>
  <c r="J572" i="20"/>
  <c r="E572" i="20"/>
  <c r="D572" i="20"/>
  <c r="C572" i="20"/>
  <c r="B572" i="20"/>
  <c r="X571" i="20"/>
  <c r="W571" i="20"/>
  <c r="V571" i="20"/>
  <c r="S571" i="20"/>
  <c r="M571" i="20"/>
  <c r="J571" i="20"/>
  <c r="E571" i="20"/>
  <c r="Z1173" i="33" s="1"/>
  <c r="D571" i="20"/>
  <c r="C571" i="20"/>
  <c r="B571" i="20"/>
  <c r="AG2082" i="35" l="1"/>
  <c r="AG1623" i="35"/>
  <c r="AG1194" i="35"/>
  <c r="F933" i="35"/>
  <c r="F935" i="35"/>
  <c r="S782" i="35"/>
  <c r="U782" i="35"/>
  <c r="AH1339" i="33"/>
  <c r="AH1191" i="33"/>
  <c r="AG925" i="35"/>
  <c r="W865" i="35"/>
  <c r="V865" i="35"/>
  <c r="AB1117" i="33"/>
  <c r="AB1109" i="33"/>
  <c r="AB1121" i="33"/>
  <c r="AB1119" i="33"/>
  <c r="AB1113" i="33"/>
  <c r="AB1111" i="33"/>
  <c r="AB1107" i="33"/>
  <c r="AB1167" i="33"/>
  <c r="X1176" i="33"/>
  <c r="W1175" i="33"/>
  <c r="X1173" i="33"/>
  <c r="AB1165" i="33"/>
  <c r="X1171" i="33"/>
  <c r="AB1163" i="33"/>
  <c r="W1163" i="33"/>
  <c r="AB1159" i="33"/>
  <c r="X1169" i="33"/>
  <c r="X1167" i="33"/>
  <c r="X1165" i="33"/>
  <c r="X1163" i="33"/>
  <c r="W1169" i="33"/>
  <c r="W1176" i="33"/>
  <c r="X1175" i="33"/>
  <c r="W1173" i="33"/>
  <c r="W1171" i="33"/>
  <c r="W1167" i="33"/>
  <c r="W1165" i="33"/>
  <c r="V923" i="35"/>
  <c r="AA923" i="35"/>
  <c r="W923" i="35"/>
  <c r="AA895" i="35"/>
  <c r="AA899" i="35"/>
  <c r="V903" i="35"/>
  <c r="W901" i="35"/>
  <c r="W895" i="35"/>
  <c r="V895" i="35"/>
  <c r="AA901" i="35"/>
  <c r="V905" i="35"/>
  <c r="W899" i="35"/>
  <c r="W897" i="35"/>
  <c r="V897" i="35"/>
  <c r="AA903" i="35"/>
  <c r="W907" i="35"/>
  <c r="AA907" i="35"/>
  <c r="V907" i="35"/>
  <c r="AA905" i="35"/>
  <c r="W903" i="35"/>
  <c r="V899" i="35"/>
  <c r="W889" i="35"/>
  <c r="AA897" i="35"/>
  <c r="AA889" i="35"/>
  <c r="W905" i="35"/>
  <c r="V901" i="35"/>
  <c r="V889" i="35"/>
  <c r="AA881" i="35"/>
  <c r="W885" i="35"/>
  <c r="W863" i="35"/>
  <c r="V881" i="35"/>
  <c r="AA867" i="35"/>
  <c r="AA863" i="35"/>
  <c r="W887" i="35"/>
  <c r="V885" i="35"/>
  <c r="AA887" i="35"/>
  <c r="V887" i="35"/>
  <c r="V863" i="35"/>
  <c r="W867" i="35"/>
  <c r="AA885" i="35"/>
  <c r="W881" i="35"/>
  <c r="V867" i="35"/>
  <c r="L865" i="35"/>
  <c r="L1109" i="33"/>
  <c r="L1113" i="33"/>
  <c r="L1115" i="33"/>
  <c r="L1121" i="33"/>
  <c r="L1117" i="33"/>
  <c r="L1111" i="33"/>
  <c r="L1119" i="33"/>
  <c r="L1107" i="33"/>
  <c r="L1169" i="33"/>
  <c r="L1171" i="33"/>
  <c r="L1173" i="33"/>
  <c r="L1165" i="33"/>
  <c r="L1175" i="33"/>
  <c r="L1176" i="33"/>
  <c r="L1167" i="33"/>
  <c r="L1163" i="33"/>
  <c r="L923" i="35"/>
  <c r="L907" i="35"/>
  <c r="L899" i="35"/>
  <c r="L897" i="35"/>
  <c r="L903" i="35"/>
  <c r="L889" i="35"/>
  <c r="L901" i="35"/>
  <c r="L895" i="35"/>
  <c r="L905" i="35"/>
  <c r="L885" i="35"/>
  <c r="L881" i="35"/>
  <c r="L863" i="35"/>
  <c r="L887" i="35"/>
  <c r="L867" i="35"/>
  <c r="Y853" i="35"/>
  <c r="X853" i="35"/>
  <c r="W853" i="35"/>
  <c r="V853" i="35"/>
  <c r="R853" i="35"/>
  <c r="Q853" i="35"/>
  <c r="K853" i="35"/>
  <c r="F853" i="35"/>
  <c r="Y851" i="35"/>
  <c r="X851" i="35"/>
  <c r="W851" i="35"/>
  <c r="V851" i="35"/>
  <c r="R851" i="35"/>
  <c r="Q851" i="35"/>
  <c r="K851" i="35"/>
  <c r="F851" i="35"/>
  <c r="Y849" i="35"/>
  <c r="X849" i="35"/>
  <c r="W849" i="35"/>
  <c r="V849" i="35"/>
  <c r="R849" i="35"/>
  <c r="Q849" i="35"/>
  <c r="K849" i="35"/>
  <c r="F849" i="35"/>
  <c r="Y847" i="35"/>
  <c r="X847" i="35"/>
  <c r="W847" i="35"/>
  <c r="V847" i="35"/>
  <c r="R847" i="35"/>
  <c r="Q847" i="35"/>
  <c r="K847" i="35"/>
  <c r="F847" i="35"/>
  <c r="AA1230" i="35" l="1"/>
  <c r="AA847" i="35"/>
  <c r="AA849" i="35"/>
  <c r="AA851" i="35"/>
  <c r="AA853" i="35"/>
  <c r="I847" i="35"/>
  <c r="H853" i="35"/>
  <c r="G847" i="35"/>
  <c r="H847" i="35"/>
  <c r="G849" i="35"/>
  <c r="I851" i="35"/>
  <c r="I853" i="35"/>
  <c r="H851" i="35"/>
  <c r="G851" i="35"/>
  <c r="I849" i="35"/>
  <c r="G853" i="35"/>
  <c r="H849" i="35"/>
  <c r="Y843" i="35"/>
  <c r="X843" i="35"/>
  <c r="R843" i="35"/>
  <c r="Q843" i="35"/>
  <c r="K843" i="35"/>
  <c r="F843" i="35"/>
  <c r="AE837" i="35"/>
  <c r="Y837" i="35"/>
  <c r="X837" i="35"/>
  <c r="R837" i="35"/>
  <c r="Q837" i="35"/>
  <c r="K837" i="35"/>
  <c r="F837" i="35"/>
  <c r="AE833" i="35"/>
  <c r="Y833" i="35"/>
  <c r="X833" i="35"/>
  <c r="R833" i="35"/>
  <c r="Q833" i="35"/>
  <c r="K833" i="35"/>
  <c r="F833" i="35"/>
  <c r="AE831" i="35"/>
  <c r="Y831" i="35"/>
  <c r="X831" i="35"/>
  <c r="R831" i="35"/>
  <c r="Q831" i="35"/>
  <c r="K831" i="35"/>
  <c r="F831" i="35"/>
  <c r="AE829" i="35"/>
  <c r="Y829" i="35"/>
  <c r="X829" i="35"/>
  <c r="R829" i="35"/>
  <c r="Q829" i="35"/>
  <c r="K829" i="35"/>
  <c r="F829" i="35"/>
  <c r="AE827" i="35"/>
  <c r="Y827" i="35"/>
  <c r="X827" i="35"/>
  <c r="R827" i="35"/>
  <c r="Q827" i="35"/>
  <c r="K827" i="35"/>
  <c r="F827" i="35"/>
  <c r="AE825" i="35"/>
  <c r="Y825" i="35"/>
  <c r="X825" i="35"/>
  <c r="R825" i="35"/>
  <c r="Q825" i="35"/>
  <c r="K825" i="35"/>
  <c r="F825" i="35"/>
  <c r="AA825" i="35" l="1"/>
  <c r="AA833" i="35"/>
  <c r="AA827" i="35"/>
  <c r="AA829" i="35"/>
  <c r="AA837" i="35"/>
  <c r="AA831" i="35"/>
  <c r="L847" i="35"/>
  <c r="L849" i="35"/>
  <c r="L853" i="35"/>
  <c r="L851" i="35"/>
  <c r="L843" i="35"/>
  <c r="H843" i="35"/>
  <c r="V843" i="35"/>
  <c r="I843" i="35"/>
  <c r="W843" i="35"/>
  <c r="G843" i="35"/>
  <c r="I837" i="35"/>
  <c r="W837" i="35"/>
  <c r="AD837" i="35"/>
  <c r="AF837" i="35" s="1"/>
  <c r="AG837" i="35" s="1"/>
  <c r="G837" i="35"/>
  <c r="L837" i="35"/>
  <c r="H837" i="35"/>
  <c r="V837" i="35"/>
  <c r="I833" i="35"/>
  <c r="W833" i="35"/>
  <c r="AD833" i="35"/>
  <c r="AF833" i="35" s="1"/>
  <c r="AG833" i="35" s="1"/>
  <c r="G833" i="35"/>
  <c r="L833" i="35"/>
  <c r="H833" i="35"/>
  <c r="V833" i="35"/>
  <c r="L829" i="35"/>
  <c r="V829" i="35"/>
  <c r="I831" i="35"/>
  <c r="H829" i="35"/>
  <c r="W829" i="35"/>
  <c r="AD829" i="35"/>
  <c r="AF829" i="35" s="1"/>
  <c r="AG829" i="35" s="1"/>
  <c r="AD831" i="35"/>
  <c r="AF831" i="35" s="1"/>
  <c r="AG831" i="35" s="1"/>
  <c r="I829" i="35"/>
  <c r="W831" i="35"/>
  <c r="G831" i="35"/>
  <c r="L831" i="35"/>
  <c r="G829" i="35"/>
  <c r="H831" i="35"/>
  <c r="V831" i="35"/>
  <c r="L825" i="35"/>
  <c r="V825" i="35"/>
  <c r="I827" i="35"/>
  <c r="H825" i="35"/>
  <c r="W825" i="35"/>
  <c r="AD825" i="35"/>
  <c r="AF825" i="35" s="1"/>
  <c r="AG825" i="35" s="1"/>
  <c r="AD827" i="35"/>
  <c r="AF827" i="35" s="1"/>
  <c r="AG827" i="35" s="1"/>
  <c r="I825" i="35"/>
  <c r="W827" i="35"/>
  <c r="G827" i="35"/>
  <c r="L827" i="35"/>
  <c r="G825" i="35"/>
  <c r="H827" i="35"/>
  <c r="V827" i="35"/>
  <c r="AE793" i="35" l="1"/>
  <c r="AE772" i="35"/>
  <c r="V1099" i="33" l="1"/>
  <c r="T1099" i="33"/>
  <c r="W1099" i="33" s="1"/>
  <c r="S1099" i="33"/>
  <c r="R1099" i="33"/>
  <c r="K1099" i="33"/>
  <c r="F1099" i="33"/>
  <c r="X1099" i="33" l="1"/>
  <c r="Y1099" i="33"/>
  <c r="Z1099" i="33"/>
  <c r="V1105" i="33" l="1"/>
  <c r="T1105" i="33"/>
  <c r="W1105" i="33" s="1"/>
  <c r="S1105" i="33"/>
  <c r="R1105" i="33"/>
  <c r="K1105" i="33"/>
  <c r="F1105" i="33"/>
  <c r="V1103" i="33"/>
  <c r="T1103" i="33"/>
  <c r="W1103" i="33" s="1"/>
  <c r="S1103" i="33"/>
  <c r="R1103" i="33"/>
  <c r="K1103" i="33"/>
  <c r="F1103" i="33"/>
  <c r="V1101" i="33"/>
  <c r="T1101" i="33"/>
  <c r="W1101" i="33" s="1"/>
  <c r="S1101" i="33"/>
  <c r="R1101" i="33"/>
  <c r="K1101" i="33"/>
  <c r="F1101" i="33"/>
  <c r="V1097" i="33"/>
  <c r="T1097" i="33"/>
  <c r="W1097" i="33" s="1"/>
  <c r="S1097" i="33"/>
  <c r="R1097" i="33"/>
  <c r="K1097" i="33"/>
  <c r="F1097" i="33"/>
  <c r="V1095" i="33"/>
  <c r="T1095" i="33"/>
  <c r="W1095" i="33" s="1"/>
  <c r="S1095" i="33"/>
  <c r="R1095" i="33"/>
  <c r="K1095" i="33"/>
  <c r="F1095" i="33"/>
  <c r="V1089" i="33"/>
  <c r="T1089" i="33"/>
  <c r="Y1089" i="33" s="1"/>
  <c r="S1089" i="33"/>
  <c r="R1089" i="33"/>
  <c r="K1089" i="33"/>
  <c r="F1089" i="33"/>
  <c r="V1087" i="33"/>
  <c r="T1087" i="33"/>
  <c r="W1087" i="33" s="1"/>
  <c r="S1087" i="33"/>
  <c r="R1087" i="33"/>
  <c r="K1087" i="33"/>
  <c r="F1087" i="33"/>
  <c r="V1081" i="33"/>
  <c r="T1081" i="33"/>
  <c r="W1081" i="33" s="1"/>
  <c r="S1081" i="33"/>
  <c r="R1081" i="33"/>
  <c r="K1081" i="33"/>
  <c r="F1081" i="33"/>
  <c r="V1079" i="33"/>
  <c r="T1079" i="33"/>
  <c r="W1079" i="33" s="1"/>
  <c r="S1079" i="33"/>
  <c r="R1079" i="33"/>
  <c r="K1079" i="33"/>
  <c r="F1079" i="33"/>
  <c r="V1075" i="33"/>
  <c r="T1075" i="33"/>
  <c r="W1075" i="33" s="1"/>
  <c r="S1075" i="33"/>
  <c r="R1075" i="33"/>
  <c r="K1075" i="33"/>
  <c r="F1075" i="33"/>
  <c r="X1105" i="33" l="1"/>
  <c r="Y1105" i="33"/>
  <c r="Z1105" i="33"/>
  <c r="X1103" i="33"/>
  <c r="Z1103" i="33"/>
  <c r="Y1103" i="33"/>
  <c r="X1101" i="33"/>
  <c r="Z1101" i="33"/>
  <c r="Y1101" i="33"/>
  <c r="X1097" i="33"/>
  <c r="Y1097" i="33"/>
  <c r="Z1097" i="33"/>
  <c r="X1095" i="33"/>
  <c r="Z1095" i="33"/>
  <c r="Y1095" i="33"/>
  <c r="W1089" i="33"/>
  <c r="Z1089" i="33"/>
  <c r="X1089" i="33"/>
  <c r="X1087" i="33"/>
  <c r="Z1087" i="33"/>
  <c r="Y1087" i="33"/>
  <c r="X1081" i="33"/>
  <c r="Y1081" i="33"/>
  <c r="Z1081" i="33"/>
  <c r="X1079" i="33"/>
  <c r="Z1079" i="33"/>
  <c r="Y1079" i="33"/>
  <c r="X1075" i="33"/>
  <c r="Y1075" i="33"/>
  <c r="Z1075" i="33"/>
  <c r="V1073" i="33" l="1"/>
  <c r="T1073" i="33"/>
  <c r="W1073" i="33" s="1"/>
  <c r="S1073" i="33"/>
  <c r="R1073" i="33"/>
  <c r="K1073" i="33"/>
  <c r="F1073" i="33"/>
  <c r="X1073" i="33" l="1"/>
  <c r="Z1073" i="33"/>
  <c r="Y1073" i="33"/>
  <c r="V1085" i="33" l="1"/>
  <c r="T1085" i="33"/>
  <c r="W1085" i="33" s="1"/>
  <c r="S1085" i="33"/>
  <c r="R1085" i="33"/>
  <c r="K1085" i="33"/>
  <c r="F1085" i="33"/>
  <c r="V1083" i="33"/>
  <c r="T1083" i="33"/>
  <c r="W1083" i="33" s="1"/>
  <c r="S1083" i="33"/>
  <c r="R1083" i="33"/>
  <c r="K1083" i="33"/>
  <c r="F1083" i="33"/>
  <c r="V1077" i="33"/>
  <c r="T1077" i="33"/>
  <c r="Z1077" i="33" s="1"/>
  <c r="S1077" i="33"/>
  <c r="R1077" i="33"/>
  <c r="K1077" i="33"/>
  <c r="F1077" i="33"/>
  <c r="X1077" i="33" l="1"/>
  <c r="X1085" i="33"/>
  <c r="Z1085" i="33"/>
  <c r="Y1085" i="33"/>
  <c r="W1077" i="33"/>
  <c r="X1083" i="33"/>
  <c r="Z1083" i="33"/>
  <c r="Y1083" i="33"/>
  <c r="Y1077" i="33"/>
  <c r="AE795" i="35" l="1"/>
  <c r="Y795" i="35"/>
  <c r="X795" i="35"/>
  <c r="R795" i="35"/>
  <c r="Q795" i="35"/>
  <c r="K795" i="35"/>
  <c r="F795" i="35"/>
  <c r="AA795" i="35" l="1"/>
  <c r="I795" i="35"/>
  <c r="W795" i="35"/>
  <c r="AD795" i="35"/>
  <c r="AF795" i="35" s="1"/>
  <c r="AG795" i="35" s="1"/>
  <c r="G795" i="35"/>
  <c r="L795" i="35"/>
  <c r="H795" i="35"/>
  <c r="V795" i="35"/>
  <c r="Y793" i="35" l="1"/>
  <c r="X793" i="35"/>
  <c r="R793" i="35"/>
  <c r="Q793" i="35"/>
  <c r="K793" i="35"/>
  <c r="F793" i="35"/>
  <c r="AA793" i="35" l="1"/>
  <c r="L793" i="35"/>
  <c r="AD793" i="35"/>
  <c r="AF793" i="35" s="1"/>
  <c r="AG793" i="35" s="1"/>
  <c r="G793" i="35"/>
  <c r="H793" i="35"/>
  <c r="V793" i="35"/>
  <c r="I793" i="35"/>
  <c r="W793" i="35"/>
  <c r="Y845" i="35" l="1"/>
  <c r="X845" i="35"/>
  <c r="R845" i="35"/>
  <c r="Q845" i="35"/>
  <c r="K845" i="35"/>
  <c r="F845" i="35"/>
  <c r="L845" i="35" l="1"/>
  <c r="H845" i="35"/>
  <c r="V845" i="35"/>
  <c r="I845" i="35"/>
  <c r="W845" i="35"/>
  <c r="G845" i="35"/>
  <c r="AE841" i="35" l="1"/>
  <c r="Y841" i="35"/>
  <c r="X841" i="35"/>
  <c r="R841" i="35"/>
  <c r="Q841" i="35"/>
  <c r="K841" i="35"/>
  <c r="F841" i="35"/>
  <c r="AE823" i="35"/>
  <c r="Y823" i="35"/>
  <c r="X823" i="35"/>
  <c r="R823" i="35"/>
  <c r="Q823" i="35"/>
  <c r="K823" i="35"/>
  <c r="F823" i="35"/>
  <c r="AE821" i="35"/>
  <c r="Y821" i="35"/>
  <c r="X821" i="35"/>
  <c r="R821" i="35"/>
  <c r="Q821" i="35"/>
  <c r="K821" i="35"/>
  <c r="F821" i="35"/>
  <c r="AE819" i="35"/>
  <c r="Y819" i="35"/>
  <c r="X819" i="35"/>
  <c r="R819" i="35"/>
  <c r="Q819" i="35"/>
  <c r="K819" i="35"/>
  <c r="F819" i="35"/>
  <c r="AE817" i="35"/>
  <c r="Y817" i="35"/>
  <c r="X817" i="35"/>
  <c r="R817" i="35"/>
  <c r="Q817" i="35"/>
  <c r="K817" i="35"/>
  <c r="F817" i="35"/>
  <c r="AE815" i="35"/>
  <c r="Y815" i="35"/>
  <c r="X815" i="35"/>
  <c r="R815" i="35"/>
  <c r="Q815" i="35"/>
  <c r="K815" i="35"/>
  <c r="F815" i="35"/>
  <c r="AE813" i="35"/>
  <c r="Y813" i="35"/>
  <c r="X813" i="35"/>
  <c r="R813" i="35"/>
  <c r="Q813" i="35"/>
  <c r="K813" i="35"/>
  <c r="F813" i="35"/>
  <c r="AE811" i="35"/>
  <c r="Y811" i="35"/>
  <c r="X811" i="35"/>
  <c r="R811" i="35"/>
  <c r="Q811" i="35"/>
  <c r="K811" i="35"/>
  <c r="F811" i="35"/>
  <c r="AE809" i="35"/>
  <c r="Y809" i="35"/>
  <c r="X809" i="35"/>
  <c r="R809" i="35"/>
  <c r="Q809" i="35"/>
  <c r="K809" i="35"/>
  <c r="F809" i="35"/>
  <c r="AE807" i="35"/>
  <c r="Y807" i="35"/>
  <c r="X807" i="35"/>
  <c r="R807" i="35"/>
  <c r="Q807" i="35"/>
  <c r="K807" i="35"/>
  <c r="F807" i="35"/>
  <c r="AE805" i="35"/>
  <c r="Y805" i="35"/>
  <c r="X805" i="35"/>
  <c r="R805" i="35"/>
  <c r="Q805" i="35"/>
  <c r="K805" i="35"/>
  <c r="F805" i="35"/>
  <c r="AE797" i="35"/>
  <c r="Y797" i="35"/>
  <c r="X797" i="35"/>
  <c r="R797" i="35"/>
  <c r="Q797" i="35"/>
  <c r="K797" i="35"/>
  <c r="F797" i="35"/>
  <c r="AE791" i="35"/>
  <c r="Y791" i="35"/>
  <c r="X791" i="35"/>
  <c r="R791" i="35"/>
  <c r="Q791" i="35"/>
  <c r="K791" i="35"/>
  <c r="F791" i="35"/>
  <c r="AE789" i="35"/>
  <c r="Y789" i="35"/>
  <c r="X789" i="35"/>
  <c r="R789" i="35"/>
  <c r="Q789" i="35"/>
  <c r="K789" i="35"/>
  <c r="F789" i="35"/>
  <c r="AG787" i="35"/>
  <c r="Y787" i="35"/>
  <c r="X787" i="35"/>
  <c r="R787" i="35"/>
  <c r="Q787" i="35"/>
  <c r="K787" i="35"/>
  <c r="F787" i="35"/>
  <c r="AE786" i="35"/>
  <c r="Y786" i="35"/>
  <c r="X786" i="35"/>
  <c r="R786" i="35"/>
  <c r="Q786" i="35"/>
  <c r="K786" i="35"/>
  <c r="F786" i="35"/>
  <c r="AE784" i="35"/>
  <c r="Y784" i="35"/>
  <c r="X784" i="35"/>
  <c r="R784" i="35"/>
  <c r="Q784" i="35"/>
  <c r="K784" i="35"/>
  <c r="F784" i="35"/>
  <c r="Y782" i="35"/>
  <c r="X782" i="35"/>
  <c r="R782" i="35"/>
  <c r="Q782" i="35"/>
  <c r="K782" i="35"/>
  <c r="F782" i="35"/>
  <c r="H782" i="35" s="1"/>
  <c r="Y774" i="35"/>
  <c r="X774" i="35"/>
  <c r="R774" i="35"/>
  <c r="Q774" i="35"/>
  <c r="K774" i="35"/>
  <c r="F774" i="35"/>
  <c r="I774" i="35" s="1"/>
  <c r="Y772" i="35"/>
  <c r="X772" i="35"/>
  <c r="R772" i="35"/>
  <c r="Q772" i="35"/>
  <c r="K772" i="35"/>
  <c r="F772" i="35"/>
  <c r="AE770" i="35"/>
  <c r="Y770" i="35"/>
  <c r="X770" i="35"/>
  <c r="R770" i="35"/>
  <c r="Q770" i="35"/>
  <c r="K770" i="35"/>
  <c r="F770" i="35"/>
  <c r="AE764" i="35"/>
  <c r="Y764" i="35"/>
  <c r="X764" i="35"/>
  <c r="R764" i="35"/>
  <c r="Q764" i="35"/>
  <c r="K764" i="35"/>
  <c r="F764" i="35"/>
  <c r="AE762" i="35"/>
  <c r="Y762" i="35"/>
  <c r="X762" i="35"/>
  <c r="R762" i="35"/>
  <c r="Q762" i="35"/>
  <c r="K762" i="35"/>
  <c r="F762" i="35"/>
  <c r="Y760" i="35"/>
  <c r="X760" i="35"/>
  <c r="R760" i="35"/>
  <c r="Q760" i="35"/>
  <c r="K760" i="35"/>
  <c r="F760" i="35"/>
  <c r="AA797" i="35" l="1"/>
  <c r="AA819" i="35"/>
  <c r="AA815" i="35"/>
  <c r="AA823" i="35"/>
  <c r="AA772" i="35"/>
  <c r="I786" i="35"/>
  <c r="AA786" i="35"/>
  <c r="I811" i="35"/>
  <c r="AA811" i="35"/>
  <c r="I764" i="35"/>
  <c r="AA764" i="35"/>
  <c r="AA805" i="35"/>
  <c r="G813" i="35"/>
  <c r="AA813" i="35"/>
  <c r="H821" i="35"/>
  <c r="AA821" i="35"/>
  <c r="H762" i="35"/>
  <c r="AA762" i="35"/>
  <c r="G770" i="35"/>
  <c r="AA770" i="35"/>
  <c r="G789" i="35"/>
  <c r="AA789" i="35"/>
  <c r="H807" i="35"/>
  <c r="AA807" i="35"/>
  <c r="AA784" i="35"/>
  <c r="AA791" i="35"/>
  <c r="AA809" i="35"/>
  <c r="AA817" i="35"/>
  <c r="AA841" i="35"/>
  <c r="AD772" i="35"/>
  <c r="AF772" i="35" s="1"/>
  <c r="AG772" i="35" s="1"/>
  <c r="AD809" i="35"/>
  <c r="AF809" i="35" s="1"/>
  <c r="AG809" i="35" s="1"/>
  <c r="AD817" i="35"/>
  <c r="AF817" i="35" s="1"/>
  <c r="AG817" i="35" s="1"/>
  <c r="L823" i="35"/>
  <c r="L770" i="35"/>
  <c r="L784" i="35"/>
  <c r="H823" i="35"/>
  <c r="V823" i="35"/>
  <c r="H784" i="35"/>
  <c r="L819" i="35"/>
  <c r="I823" i="35"/>
  <c r="W823" i="35"/>
  <c r="AD823" i="35"/>
  <c r="AF823" i="35" s="1"/>
  <c r="AG823" i="35" s="1"/>
  <c r="V784" i="35"/>
  <c r="L789" i="35"/>
  <c r="AD791" i="35"/>
  <c r="AF791" i="35" s="1"/>
  <c r="AG791" i="35" s="1"/>
  <c r="G823" i="35"/>
  <c r="W760" i="35"/>
  <c r="AD762" i="35"/>
  <c r="AF762" i="35" s="1"/>
  <c r="AG762" i="35" s="1"/>
  <c r="I784" i="35"/>
  <c r="W784" i="35"/>
  <c r="AD784" i="35"/>
  <c r="AF784" i="35" s="1"/>
  <c r="AG784" i="35" s="1"/>
  <c r="W797" i="35"/>
  <c r="G809" i="35"/>
  <c r="L809" i="35"/>
  <c r="G817" i="35"/>
  <c r="L817" i="35"/>
  <c r="H809" i="35"/>
  <c r="V809" i="35"/>
  <c r="H817" i="35"/>
  <c r="V817" i="35"/>
  <c r="G784" i="35"/>
  <c r="L805" i="35"/>
  <c r="I809" i="35"/>
  <c r="W809" i="35"/>
  <c r="L813" i="35"/>
  <c r="AD815" i="35"/>
  <c r="AF815" i="35" s="1"/>
  <c r="AG815" i="35" s="1"/>
  <c r="I817" i="35"/>
  <c r="W817" i="35"/>
  <c r="L791" i="35"/>
  <c r="G762" i="35"/>
  <c r="L762" i="35"/>
  <c r="W772" i="35"/>
  <c r="L772" i="35"/>
  <c r="V762" i="35"/>
  <c r="G772" i="35"/>
  <c r="V772" i="35"/>
  <c r="W782" i="35"/>
  <c r="L782" i="35"/>
  <c r="I762" i="35"/>
  <c r="W762" i="35"/>
  <c r="AD764" i="35"/>
  <c r="AF764" i="35" s="1"/>
  <c r="AG764" i="35" s="1"/>
  <c r="H772" i="35"/>
  <c r="W774" i="35"/>
  <c r="G782" i="35"/>
  <c r="V782" i="35"/>
  <c r="L815" i="35"/>
  <c r="AD841" i="35"/>
  <c r="AF841" i="35" s="1"/>
  <c r="AG841" i="35" s="1"/>
  <c r="G791" i="35"/>
  <c r="V791" i="35"/>
  <c r="AD807" i="35"/>
  <c r="AF807" i="35" s="1"/>
  <c r="AG807" i="35" s="1"/>
  <c r="L807" i="35"/>
  <c r="G815" i="35"/>
  <c r="V815" i="35"/>
  <c r="AD821" i="35"/>
  <c r="AF821" i="35" s="1"/>
  <c r="AG821" i="35" s="1"/>
  <c r="L821" i="35"/>
  <c r="H791" i="35"/>
  <c r="G807" i="35"/>
  <c r="V807" i="35"/>
  <c r="AD811" i="35"/>
  <c r="AF811" i="35" s="1"/>
  <c r="AG811" i="35" s="1"/>
  <c r="H815" i="35"/>
  <c r="G821" i="35"/>
  <c r="V821" i="35"/>
  <c r="W787" i="35"/>
  <c r="I787" i="35"/>
  <c r="AA787" i="35"/>
  <c r="V787" i="35"/>
  <c r="H787" i="35"/>
  <c r="G787" i="35"/>
  <c r="AD819" i="35"/>
  <c r="AF819" i="35" s="1"/>
  <c r="AG819" i="35" s="1"/>
  <c r="W819" i="35"/>
  <c r="I819" i="35"/>
  <c r="V819" i="35"/>
  <c r="H819" i="35"/>
  <c r="I841" i="35"/>
  <c r="G760" i="35"/>
  <c r="W764" i="35"/>
  <c r="W811" i="35"/>
  <c r="G819" i="35"/>
  <c r="V786" i="35"/>
  <c r="H786" i="35"/>
  <c r="L786" i="35"/>
  <c r="G786" i="35"/>
  <c r="V841" i="35"/>
  <c r="H841" i="35"/>
  <c r="L841" i="35"/>
  <c r="G841" i="35"/>
  <c r="V760" i="35"/>
  <c r="H760" i="35"/>
  <c r="L760" i="35"/>
  <c r="V797" i="35"/>
  <c r="H797" i="35"/>
  <c r="L797" i="35"/>
  <c r="G797" i="35"/>
  <c r="AD805" i="35"/>
  <c r="AF805" i="35" s="1"/>
  <c r="AG805" i="35" s="1"/>
  <c r="W805" i="35"/>
  <c r="I805" i="35"/>
  <c r="V805" i="35"/>
  <c r="H805" i="35"/>
  <c r="AD786" i="35"/>
  <c r="AF786" i="35" s="1"/>
  <c r="AG786" i="35" s="1"/>
  <c r="I797" i="35"/>
  <c r="G805" i="35"/>
  <c r="I760" i="35"/>
  <c r="V764" i="35"/>
  <c r="H764" i="35"/>
  <c r="L764" i="35"/>
  <c r="G764" i="35"/>
  <c r="AD770" i="35"/>
  <c r="W770" i="35"/>
  <c r="I770" i="35"/>
  <c r="V770" i="35"/>
  <c r="H770" i="35"/>
  <c r="V774" i="35"/>
  <c r="H774" i="35"/>
  <c r="L774" i="35"/>
  <c r="G774" i="35"/>
  <c r="W786" i="35"/>
  <c r="L787" i="35"/>
  <c r="AD789" i="35"/>
  <c r="AF789" i="35" s="1"/>
  <c r="AG789" i="35" s="1"/>
  <c r="W789" i="35"/>
  <c r="I789" i="35"/>
  <c r="V789" i="35"/>
  <c r="H789" i="35"/>
  <c r="AD797" i="35"/>
  <c r="AF797" i="35" s="1"/>
  <c r="AG797" i="35" s="1"/>
  <c r="V811" i="35"/>
  <c r="H811" i="35"/>
  <c r="L811" i="35"/>
  <c r="G811" i="35"/>
  <c r="AD813" i="35"/>
  <c r="AF813" i="35" s="1"/>
  <c r="AG813" i="35" s="1"/>
  <c r="W813" i="35"/>
  <c r="I813" i="35"/>
  <c r="V813" i="35"/>
  <c r="H813" i="35"/>
  <c r="W841" i="35"/>
  <c r="I772" i="35"/>
  <c r="I782" i="35"/>
  <c r="I791" i="35"/>
  <c r="W791" i="35"/>
  <c r="I807" i="35"/>
  <c r="W807" i="35"/>
  <c r="I815" i="35"/>
  <c r="W815" i="35"/>
  <c r="I821" i="35"/>
  <c r="W821" i="35"/>
  <c r="AF770" i="35" l="1"/>
  <c r="AG770" i="35" s="1"/>
  <c r="AG839" i="35" s="1"/>
  <c r="V1036" i="33"/>
  <c r="T1036" i="33"/>
  <c r="W1036" i="33" s="1"/>
  <c r="S1036" i="33"/>
  <c r="R1036" i="33"/>
  <c r="K1036" i="33"/>
  <c r="F1036" i="33"/>
  <c r="AF1002" i="33"/>
  <c r="V1002" i="33"/>
  <c r="T1002" i="33"/>
  <c r="X1002" i="33" s="1"/>
  <c r="S1002" i="33"/>
  <c r="R1002" i="33"/>
  <c r="K1002" i="33"/>
  <c r="F1002" i="33"/>
  <c r="AF1026" i="33"/>
  <c r="V1026" i="33"/>
  <c r="T1026" i="33"/>
  <c r="X1026" i="33" s="1"/>
  <c r="S1026" i="33"/>
  <c r="R1026" i="33"/>
  <c r="K1026" i="33"/>
  <c r="F1026" i="33"/>
  <c r="X1036" i="33" l="1"/>
  <c r="Y1036" i="33"/>
  <c r="Z1036" i="33"/>
  <c r="Z1002" i="33"/>
  <c r="W1002" i="33"/>
  <c r="Y1002" i="33"/>
  <c r="Y1026" i="33"/>
  <c r="Z1026" i="33"/>
  <c r="W1026" i="33"/>
  <c r="V989" i="33" l="1"/>
  <c r="T989" i="33"/>
  <c r="W989" i="33" s="1"/>
  <c r="S989" i="33"/>
  <c r="R989" i="33"/>
  <c r="K989" i="33"/>
  <c r="F989" i="33"/>
  <c r="AF991" i="33"/>
  <c r="V991" i="33"/>
  <c r="T991" i="33"/>
  <c r="Z991" i="33" s="1"/>
  <c r="S991" i="33"/>
  <c r="R991" i="33"/>
  <c r="K991" i="33"/>
  <c r="F991" i="33"/>
  <c r="X989" i="33" l="1"/>
  <c r="Y989" i="33"/>
  <c r="Z989" i="33"/>
  <c r="X991" i="33"/>
  <c r="W991" i="33"/>
  <c r="Y991" i="33"/>
  <c r="V1020" i="33" l="1"/>
  <c r="T1020" i="33"/>
  <c r="W1020" i="33" s="1"/>
  <c r="S1020" i="33"/>
  <c r="R1020" i="33"/>
  <c r="K1020" i="33"/>
  <c r="F1020" i="33"/>
  <c r="AF1000" i="33"/>
  <c r="V1000" i="33"/>
  <c r="T1000" i="33"/>
  <c r="X1000" i="33" s="1"/>
  <c r="S1000" i="33"/>
  <c r="R1000" i="33"/>
  <c r="K1000" i="33"/>
  <c r="F1000" i="33"/>
  <c r="AF998" i="33"/>
  <c r="V998" i="33"/>
  <c r="T998" i="33"/>
  <c r="X998" i="33" s="1"/>
  <c r="S998" i="33"/>
  <c r="R998" i="33"/>
  <c r="K998" i="33"/>
  <c r="F998" i="33"/>
  <c r="AF996" i="33"/>
  <c r="V996" i="33"/>
  <c r="T996" i="33"/>
  <c r="W996" i="33" s="1"/>
  <c r="S996" i="33"/>
  <c r="R996" i="33"/>
  <c r="K996" i="33"/>
  <c r="F996" i="33"/>
  <c r="AF994" i="33"/>
  <c r="V994" i="33"/>
  <c r="T994" i="33"/>
  <c r="Y994" i="33" s="1"/>
  <c r="S994" i="33"/>
  <c r="R994" i="33"/>
  <c r="K994" i="33"/>
  <c r="F994" i="33"/>
  <c r="AF993" i="33"/>
  <c r="V993" i="33"/>
  <c r="T993" i="33"/>
  <c r="Z993" i="33" s="1"/>
  <c r="S993" i="33"/>
  <c r="R993" i="33"/>
  <c r="K993" i="33"/>
  <c r="F993" i="33"/>
  <c r="V987" i="33"/>
  <c r="T987" i="33"/>
  <c r="W987" i="33" s="1"/>
  <c r="S987" i="33"/>
  <c r="R987" i="33"/>
  <c r="K987" i="33"/>
  <c r="F987" i="33"/>
  <c r="V985" i="33"/>
  <c r="T985" i="33"/>
  <c r="Y985" i="33" s="1"/>
  <c r="S985" i="33"/>
  <c r="R985" i="33"/>
  <c r="K985" i="33"/>
  <c r="F985" i="33"/>
  <c r="X1020" i="33" l="1"/>
  <c r="Y1020" i="33"/>
  <c r="Z1020" i="33"/>
  <c r="Y1000" i="33"/>
  <c r="Z998" i="33"/>
  <c r="Z1000" i="33"/>
  <c r="W998" i="33"/>
  <c r="W1000" i="33"/>
  <c r="Y998" i="33"/>
  <c r="X994" i="33"/>
  <c r="X993" i="33"/>
  <c r="W994" i="33"/>
  <c r="W993" i="33"/>
  <c r="Z994" i="33"/>
  <c r="X996" i="33"/>
  <c r="Y996" i="33"/>
  <c r="Y993" i="33"/>
  <c r="Z996" i="33"/>
  <c r="Z985" i="33"/>
  <c r="W985" i="33"/>
  <c r="X985" i="33"/>
  <c r="X987" i="33"/>
  <c r="Y987" i="33"/>
  <c r="Z987" i="33"/>
  <c r="AF983" i="33"/>
  <c r="V983" i="33"/>
  <c r="T983" i="33"/>
  <c r="X983" i="33" s="1"/>
  <c r="S983" i="33"/>
  <c r="R983" i="33"/>
  <c r="K983" i="33"/>
  <c r="F983" i="33"/>
  <c r="AF981" i="33"/>
  <c r="V981" i="33"/>
  <c r="T981" i="33"/>
  <c r="X981" i="33" s="1"/>
  <c r="S981" i="33"/>
  <c r="R981" i="33"/>
  <c r="K981" i="33"/>
  <c r="F981" i="33"/>
  <c r="AF979" i="33"/>
  <c r="V979" i="33"/>
  <c r="T979" i="33"/>
  <c r="X979" i="33" s="1"/>
  <c r="S979" i="33"/>
  <c r="R979" i="33"/>
  <c r="K979" i="33"/>
  <c r="F979" i="33"/>
  <c r="V977" i="33"/>
  <c r="T977" i="33"/>
  <c r="Y977" i="33" s="1"/>
  <c r="S977" i="33"/>
  <c r="R977" i="33"/>
  <c r="K977" i="33"/>
  <c r="F977" i="33"/>
  <c r="V975" i="33"/>
  <c r="T975" i="33"/>
  <c r="Z975" i="33" s="1"/>
  <c r="S975" i="33"/>
  <c r="R975" i="33"/>
  <c r="K975" i="33"/>
  <c r="F975" i="33"/>
  <c r="V974" i="33"/>
  <c r="T974" i="33"/>
  <c r="Y974" i="33" s="1"/>
  <c r="S974" i="33"/>
  <c r="R974" i="33"/>
  <c r="K974" i="33"/>
  <c r="F974" i="33"/>
  <c r="V972" i="33"/>
  <c r="T972" i="33"/>
  <c r="Y972" i="33" s="1"/>
  <c r="S972" i="33"/>
  <c r="R972" i="33"/>
  <c r="K972" i="33"/>
  <c r="F972" i="33"/>
  <c r="W972" i="33" l="1"/>
  <c r="X972" i="33"/>
  <c r="Y979" i="33"/>
  <c r="Y983" i="33"/>
  <c r="W979" i="33"/>
  <c r="W981" i="33"/>
  <c r="W983" i="33"/>
  <c r="Y981" i="33"/>
  <c r="Z979" i="33"/>
  <c r="Z981" i="33"/>
  <c r="Z983" i="33"/>
  <c r="X974" i="33"/>
  <c r="Z972" i="33"/>
  <c r="W977" i="33"/>
  <c r="W974" i="33"/>
  <c r="X975" i="33"/>
  <c r="Z977" i="33"/>
  <c r="Z974" i="33"/>
  <c r="W975" i="33"/>
  <c r="X977" i="33"/>
  <c r="Y975" i="33"/>
  <c r="T1061" i="33" l="1"/>
  <c r="G1099" i="33" l="1"/>
  <c r="H1099" i="33"/>
  <c r="I1099" i="33"/>
  <c r="G1081" i="33"/>
  <c r="G1079" i="33"/>
  <c r="I1081" i="33"/>
  <c r="I1079" i="33"/>
  <c r="H1081" i="33"/>
  <c r="H1079" i="33"/>
  <c r="H1077" i="33"/>
  <c r="G1077" i="33"/>
  <c r="I1077" i="33"/>
  <c r="H1083" i="33"/>
  <c r="I1083" i="33"/>
  <c r="G1083" i="33"/>
  <c r="G989" i="33"/>
  <c r="H989" i="33"/>
  <c r="I989" i="33"/>
  <c r="G1020" i="33"/>
  <c r="I1020" i="33"/>
  <c r="I993" i="33"/>
  <c r="H1020" i="33"/>
  <c r="H993" i="33"/>
  <c r="G993" i="33"/>
  <c r="I981" i="33"/>
  <c r="H981" i="33"/>
  <c r="I979" i="33"/>
  <c r="H979" i="33"/>
  <c r="I983" i="33"/>
  <c r="G981" i="33"/>
  <c r="H983" i="33"/>
  <c r="G979" i="33"/>
  <c r="G983" i="33"/>
  <c r="I1101" i="33"/>
  <c r="I1097" i="33"/>
  <c r="H1095" i="33"/>
  <c r="I1089" i="33"/>
  <c r="G1075" i="33"/>
  <c r="G1103" i="33"/>
  <c r="G1095" i="33"/>
  <c r="H1089" i="33"/>
  <c r="H1075" i="33"/>
  <c r="I1105" i="33"/>
  <c r="G1101" i="33"/>
  <c r="G1097" i="33"/>
  <c r="H1097" i="33"/>
  <c r="I1087" i="33"/>
  <c r="I1075" i="33"/>
  <c r="G1105" i="33"/>
  <c r="H1105" i="33"/>
  <c r="I1103" i="33"/>
  <c r="H1101" i="33"/>
  <c r="I1095" i="33"/>
  <c r="G1087" i="33"/>
  <c r="H1087" i="33"/>
  <c r="H1103" i="33"/>
  <c r="G1089" i="33"/>
  <c r="H1073" i="33"/>
  <c r="G1073" i="33"/>
  <c r="I1073" i="33"/>
  <c r="G1085" i="33"/>
  <c r="I1085" i="33"/>
  <c r="H1085" i="33"/>
  <c r="I1026" i="33"/>
  <c r="I1036" i="33"/>
  <c r="H1002" i="33"/>
  <c r="I1002" i="33"/>
  <c r="G1036" i="33"/>
  <c r="H1036" i="33"/>
  <c r="H1026" i="33"/>
  <c r="G1002" i="33"/>
  <c r="G1026" i="33"/>
  <c r="H991" i="33"/>
  <c r="G991" i="33"/>
  <c r="I991" i="33"/>
  <c r="I998" i="33"/>
  <c r="G1000" i="33"/>
  <c r="I994" i="33"/>
  <c r="G994" i="33"/>
  <c r="H996" i="33"/>
  <c r="G998" i="33"/>
  <c r="I996" i="33"/>
  <c r="H987" i="33"/>
  <c r="I985" i="33"/>
  <c r="H1000" i="33"/>
  <c r="G985" i="33"/>
  <c r="H994" i="33"/>
  <c r="G987" i="33"/>
  <c r="I1000" i="33"/>
  <c r="H998" i="33"/>
  <c r="H985" i="33"/>
  <c r="I987" i="33"/>
  <c r="G996" i="33"/>
  <c r="I972" i="33"/>
  <c r="I977" i="33"/>
  <c r="H977" i="33"/>
  <c r="G972" i="33"/>
  <c r="H975" i="33"/>
  <c r="G977" i="33"/>
  <c r="G975" i="33"/>
  <c r="H972" i="33"/>
  <c r="G974" i="33"/>
  <c r="H974" i="33"/>
  <c r="I975" i="33"/>
  <c r="I974" i="33"/>
  <c r="AB1099" i="33" l="1"/>
  <c r="AB1083" i="33"/>
  <c r="AB1077" i="33"/>
  <c r="AB989" i="33"/>
  <c r="AB1020" i="33"/>
  <c r="AB993" i="33"/>
  <c r="AB983" i="33"/>
  <c r="AB981" i="33"/>
  <c r="AB979" i="33"/>
  <c r="L1099" i="33"/>
  <c r="L1079" i="33"/>
  <c r="L1081" i="33"/>
  <c r="L1077" i="33"/>
  <c r="L1083" i="33"/>
  <c r="L989" i="33"/>
  <c r="L1020" i="33"/>
  <c r="L993" i="33"/>
  <c r="L981" i="33"/>
  <c r="L979" i="33"/>
  <c r="L983" i="33"/>
  <c r="AB1101" i="33"/>
  <c r="AB1103" i="33"/>
  <c r="AB1095" i="33"/>
  <c r="AB1079" i="33"/>
  <c r="AB1105" i="33"/>
  <c r="AB1089" i="33"/>
  <c r="AB1087" i="33"/>
  <c r="AB1075" i="33"/>
  <c r="AB1081" i="33"/>
  <c r="AB1097" i="33"/>
  <c r="AB1073" i="33"/>
  <c r="AB1085" i="33"/>
  <c r="AB1026" i="33"/>
  <c r="AB1036" i="33"/>
  <c r="AB1002" i="33"/>
  <c r="AB1000" i="33"/>
  <c r="AB998" i="33"/>
  <c r="AB987" i="33"/>
  <c r="AB985" i="33"/>
  <c r="AB974" i="33"/>
  <c r="AB977" i="33"/>
  <c r="AB972" i="33"/>
  <c r="AB975" i="33"/>
  <c r="L1103" i="33"/>
  <c r="L1095" i="33"/>
  <c r="L1105" i="33"/>
  <c r="L1075" i="33"/>
  <c r="L1101" i="33"/>
  <c r="L1097" i="33"/>
  <c r="L1089" i="33"/>
  <c r="L1087" i="33"/>
  <c r="L1073" i="33"/>
  <c r="L1085" i="33"/>
  <c r="L1036" i="33"/>
  <c r="L1002" i="33"/>
  <c r="L1026" i="33"/>
  <c r="L991" i="33"/>
  <c r="L994" i="33"/>
  <c r="L996" i="33"/>
  <c r="L1000" i="33"/>
  <c r="L998" i="33"/>
  <c r="L987" i="33"/>
  <c r="L985" i="33"/>
  <c r="L972" i="33"/>
  <c r="L977" i="33"/>
  <c r="L975" i="33"/>
  <c r="L974" i="33"/>
  <c r="V1034" i="33"/>
  <c r="T1034" i="33"/>
  <c r="W1034" i="33" s="1"/>
  <c r="S1034" i="33"/>
  <c r="R1034" i="33"/>
  <c r="K1034" i="33"/>
  <c r="F1034" i="33"/>
  <c r="V1032" i="33"/>
  <c r="T1032" i="33"/>
  <c r="W1032" i="33" s="1"/>
  <c r="S1032" i="33"/>
  <c r="R1032" i="33"/>
  <c r="K1032" i="33"/>
  <c r="F1032" i="33"/>
  <c r="V1030" i="33"/>
  <c r="T1030" i="33"/>
  <c r="W1030" i="33" s="1"/>
  <c r="S1030" i="33"/>
  <c r="R1030" i="33"/>
  <c r="K1030" i="33"/>
  <c r="F1030" i="33"/>
  <c r="X1034" i="33" l="1"/>
  <c r="Z1034" i="33"/>
  <c r="Y1034" i="33"/>
  <c r="X1032" i="33"/>
  <c r="Y1032" i="33"/>
  <c r="Z1032" i="33"/>
  <c r="X1030" i="33"/>
  <c r="Y1030" i="33"/>
  <c r="Z1030" i="33"/>
  <c r="V1028" i="33"/>
  <c r="T1028" i="33"/>
  <c r="Z1028" i="33" s="1"/>
  <c r="S1028" i="33"/>
  <c r="R1028" i="33"/>
  <c r="K1028" i="33"/>
  <c r="F1028" i="33"/>
  <c r="W1028" i="33" l="1"/>
  <c r="X1028" i="33"/>
  <c r="Y1028" i="33"/>
  <c r="V1063" i="33" l="1"/>
  <c r="T1063" i="33"/>
  <c r="S1063" i="33"/>
  <c r="R1063" i="33"/>
  <c r="K1063" i="33"/>
  <c r="F1063" i="33"/>
  <c r="V1061" i="33"/>
  <c r="Z1061" i="33"/>
  <c r="S1061" i="33"/>
  <c r="R1061" i="33"/>
  <c r="K1061" i="33"/>
  <c r="F1061" i="33"/>
  <c r="V1060" i="33"/>
  <c r="T1060" i="33"/>
  <c r="Y1060" i="33" s="1"/>
  <c r="S1060" i="33"/>
  <c r="R1060" i="33"/>
  <c r="K1060" i="33"/>
  <c r="F1060" i="33"/>
  <c r="V1058" i="33"/>
  <c r="T1058" i="33"/>
  <c r="Z1058" i="33" s="1"/>
  <c r="S1058" i="33"/>
  <c r="R1058" i="33"/>
  <c r="K1058" i="33"/>
  <c r="F1058" i="33"/>
  <c r="V1056" i="33"/>
  <c r="T1056" i="33"/>
  <c r="Z1056" i="33" s="1"/>
  <c r="S1056" i="33"/>
  <c r="R1056" i="33"/>
  <c r="K1056" i="33"/>
  <c r="F1056" i="33"/>
  <c r="V1054" i="33"/>
  <c r="T1054" i="33"/>
  <c r="S1054" i="33"/>
  <c r="R1054" i="33"/>
  <c r="K1054" i="33"/>
  <c r="F1054" i="33"/>
  <c r="Y1063" i="33" l="1"/>
  <c r="Z1063" i="33"/>
  <c r="Z1060" i="33"/>
  <c r="Y1061" i="33"/>
  <c r="Y1058" i="33"/>
  <c r="Y1054" i="33"/>
  <c r="Z1054" i="33"/>
  <c r="Y1056" i="33"/>
  <c r="V1052" i="33"/>
  <c r="T1052" i="33"/>
  <c r="S1052" i="33"/>
  <c r="R1052" i="33"/>
  <c r="K1052" i="33"/>
  <c r="F1052" i="33"/>
  <c r="Z1052" i="33" l="1"/>
  <c r="Y1052" i="33"/>
  <c r="V1050" i="33"/>
  <c r="T1050" i="33"/>
  <c r="S1050" i="33"/>
  <c r="R1050" i="33"/>
  <c r="K1050" i="33"/>
  <c r="F1050" i="33"/>
  <c r="V1048" i="33"/>
  <c r="T1048" i="33"/>
  <c r="S1048" i="33"/>
  <c r="R1048" i="33"/>
  <c r="K1048" i="33"/>
  <c r="F1048" i="33"/>
  <c r="V1046" i="33"/>
  <c r="T1046" i="33"/>
  <c r="S1046" i="33"/>
  <c r="R1046" i="33"/>
  <c r="K1046" i="33"/>
  <c r="F1046" i="33"/>
  <c r="Z1050" i="33" l="1"/>
  <c r="Y1050" i="33"/>
  <c r="Y1048" i="33"/>
  <c r="Z1048" i="33"/>
  <c r="Z1046" i="33"/>
  <c r="Y1046" i="33"/>
  <c r="V964" i="33" l="1"/>
  <c r="T964" i="33"/>
  <c r="X964" i="33" s="1"/>
  <c r="S964" i="33"/>
  <c r="R964" i="33"/>
  <c r="K964" i="33"/>
  <c r="F964" i="33"/>
  <c r="V962" i="33"/>
  <c r="T962" i="33"/>
  <c r="Y962" i="33" s="1"/>
  <c r="S962" i="33"/>
  <c r="R962" i="33"/>
  <c r="K962" i="33"/>
  <c r="F962" i="33"/>
  <c r="Y964" i="33" l="1"/>
  <c r="Z964" i="33"/>
  <c r="W964" i="33"/>
  <c r="W962" i="33"/>
  <c r="X962" i="33"/>
  <c r="Z962" i="33"/>
  <c r="G962" i="33"/>
  <c r="I962" i="33" l="1"/>
  <c r="I964" i="33"/>
  <c r="H962" i="33"/>
  <c r="G964" i="33"/>
  <c r="G1034" i="33"/>
  <c r="H1032" i="33"/>
  <c r="H1034" i="33"/>
  <c r="G1032" i="33"/>
  <c r="I1030" i="33"/>
  <c r="I1034" i="33"/>
  <c r="I1032" i="33"/>
  <c r="G1030" i="33"/>
  <c r="H1030" i="33"/>
  <c r="G1028" i="33"/>
  <c r="I1028" i="33"/>
  <c r="H1028" i="33"/>
  <c r="H1063" i="33"/>
  <c r="G1054" i="33"/>
  <c r="G1056" i="33"/>
  <c r="I1054" i="33"/>
  <c r="I1063" i="33"/>
  <c r="G1063" i="33"/>
  <c r="I1061" i="33"/>
  <c r="H1060" i="33"/>
  <c r="G1061" i="33"/>
  <c r="I1058" i="33"/>
  <c r="H1054" i="33"/>
  <c r="H1061" i="33"/>
  <c r="G1058" i="33"/>
  <c r="I1056" i="33"/>
  <c r="I1060" i="33"/>
  <c r="G1060" i="33"/>
  <c r="H1058" i="33"/>
  <c r="H1056" i="33"/>
  <c r="H1052" i="33"/>
  <c r="G1052" i="33"/>
  <c r="I1052" i="33"/>
  <c r="I1046" i="33"/>
  <c r="I1048" i="33"/>
  <c r="G1046" i="33"/>
  <c r="G1050" i="33"/>
  <c r="H1050" i="33"/>
  <c r="G1048" i="33"/>
  <c r="H1048" i="33"/>
  <c r="H1046" i="33"/>
  <c r="I1050" i="33"/>
  <c r="H964" i="33"/>
  <c r="L1030" i="33" l="1"/>
  <c r="L1034" i="33"/>
  <c r="L1032" i="33"/>
  <c r="L1028" i="33"/>
  <c r="L1056" i="33"/>
  <c r="L1058" i="33"/>
  <c r="L1054" i="33"/>
  <c r="L1061" i="33"/>
  <c r="L1063" i="33"/>
  <c r="L1060" i="33"/>
  <c r="L1052" i="33"/>
  <c r="L1046" i="33"/>
  <c r="L1050" i="33"/>
  <c r="L1048" i="33"/>
  <c r="L962" i="33"/>
  <c r="L964" i="33"/>
  <c r="AB1030" i="33"/>
  <c r="AB1034" i="33"/>
  <c r="AB1032" i="33"/>
  <c r="AB1028" i="33"/>
  <c r="X1061" i="33"/>
  <c r="AB1060" i="33"/>
  <c r="X1054" i="33"/>
  <c r="X1056" i="33"/>
  <c r="W1056" i="33"/>
  <c r="X1063" i="33"/>
  <c r="X1060" i="33"/>
  <c r="W1063" i="33"/>
  <c r="W1061" i="33"/>
  <c r="W1060" i="33"/>
  <c r="X1058" i="33"/>
  <c r="W1058" i="33"/>
  <c r="W1054" i="33"/>
  <c r="AB1052" i="33"/>
  <c r="W1052" i="33"/>
  <c r="X1052" i="33"/>
  <c r="AB1046" i="33"/>
  <c r="W1050" i="33"/>
  <c r="AB1048" i="33"/>
  <c r="X1050" i="33"/>
  <c r="X1048" i="33"/>
  <c r="X1046" i="33"/>
  <c r="W1046" i="33"/>
  <c r="AB1050" i="33"/>
  <c r="W1048" i="33"/>
  <c r="AB964" i="33"/>
  <c r="AB962" i="33"/>
  <c r="AE736" i="35" l="1"/>
  <c r="Y736" i="35"/>
  <c r="X736" i="35"/>
  <c r="U736" i="35"/>
  <c r="S736" i="35"/>
  <c r="R736" i="35"/>
  <c r="Q736" i="35"/>
  <c r="K736" i="35"/>
  <c r="F736" i="35"/>
  <c r="AD736" i="35" l="1"/>
  <c r="AF736" i="35" s="1"/>
  <c r="AG736" i="35" s="1"/>
  <c r="AE720" i="35"/>
  <c r="Y720" i="35"/>
  <c r="X720" i="35"/>
  <c r="U720" i="35"/>
  <c r="S720" i="35"/>
  <c r="R720" i="35"/>
  <c r="Q720" i="35"/>
  <c r="K720" i="35"/>
  <c r="F720" i="35"/>
  <c r="AE718" i="35"/>
  <c r="Y718" i="35"/>
  <c r="X718" i="35"/>
  <c r="U718" i="35"/>
  <c r="S718" i="35"/>
  <c r="R718" i="35"/>
  <c r="Q718" i="35"/>
  <c r="K718" i="35"/>
  <c r="F718" i="35"/>
  <c r="AE716" i="35"/>
  <c r="Y716" i="35"/>
  <c r="X716" i="35"/>
  <c r="U716" i="35"/>
  <c r="S716" i="35"/>
  <c r="R716" i="35"/>
  <c r="Q716" i="35"/>
  <c r="K716" i="35"/>
  <c r="F716" i="35"/>
  <c r="AD720" i="35" l="1"/>
  <c r="AF720" i="35" s="1"/>
  <c r="AG720" i="35" s="1"/>
  <c r="AD718" i="35"/>
  <c r="AF718" i="35" s="1"/>
  <c r="AG718" i="35" s="1"/>
  <c r="AD716" i="35"/>
  <c r="AF716" i="35" s="1"/>
  <c r="AG716" i="35" s="1"/>
  <c r="V1024" i="33"/>
  <c r="T1024" i="33"/>
  <c r="Z1024" i="33" s="1"/>
  <c r="S1024" i="33"/>
  <c r="R1024" i="33"/>
  <c r="K1024" i="33"/>
  <c r="F1024" i="33"/>
  <c r="W1024" i="33" l="1"/>
  <c r="X1024" i="33"/>
  <c r="Y1024" i="33"/>
  <c r="V1022" i="33"/>
  <c r="T1022" i="33"/>
  <c r="W1022" i="33" s="1"/>
  <c r="S1022" i="33"/>
  <c r="R1022" i="33"/>
  <c r="K1022" i="33"/>
  <c r="F1022" i="33"/>
  <c r="V1018" i="33"/>
  <c r="T1018" i="33"/>
  <c r="W1018" i="33" s="1"/>
  <c r="S1018" i="33"/>
  <c r="R1018" i="33"/>
  <c r="K1018" i="33"/>
  <c r="F1018" i="33"/>
  <c r="X1022" i="33" l="1"/>
  <c r="Y1022" i="33"/>
  <c r="Z1022" i="33"/>
  <c r="X1018" i="33"/>
  <c r="Y1018" i="33"/>
  <c r="Z1018" i="33"/>
  <c r="V1016" i="33" l="1"/>
  <c r="T1016" i="33"/>
  <c r="W1016" i="33" s="1"/>
  <c r="S1016" i="33"/>
  <c r="R1016" i="33"/>
  <c r="K1016" i="33"/>
  <c r="F1016" i="33"/>
  <c r="X1016" i="33" l="1"/>
  <c r="Z1016" i="33"/>
  <c r="Y1016" i="33"/>
  <c r="Y756" i="35" l="1"/>
  <c r="X756" i="35"/>
  <c r="W756" i="35"/>
  <c r="V756" i="35"/>
  <c r="U756" i="35"/>
  <c r="S756" i="35"/>
  <c r="R756" i="35"/>
  <c r="Q756" i="35"/>
  <c r="K756" i="35"/>
  <c r="F756" i="35"/>
  <c r="V1014" i="33"/>
  <c r="T1014" i="33"/>
  <c r="W1014" i="33" s="1"/>
  <c r="S1014" i="33"/>
  <c r="R1014" i="33"/>
  <c r="K1014" i="33"/>
  <c r="F1014" i="33"/>
  <c r="V1012" i="33"/>
  <c r="T1012" i="33"/>
  <c r="W1012" i="33" s="1"/>
  <c r="S1012" i="33"/>
  <c r="R1012" i="33"/>
  <c r="K1012" i="33"/>
  <c r="F1012" i="33"/>
  <c r="Y754" i="35"/>
  <c r="X754" i="35"/>
  <c r="W754" i="35"/>
  <c r="V754" i="35"/>
  <c r="U754" i="35"/>
  <c r="S754" i="35"/>
  <c r="R754" i="35"/>
  <c r="Q754" i="35"/>
  <c r="K754" i="35"/>
  <c r="F754" i="35"/>
  <c r="Y752" i="35"/>
  <c r="X752" i="35"/>
  <c r="W752" i="35"/>
  <c r="V752" i="35"/>
  <c r="U752" i="35"/>
  <c r="S752" i="35"/>
  <c r="R752" i="35"/>
  <c r="Q752" i="35"/>
  <c r="K752" i="35"/>
  <c r="F752" i="35"/>
  <c r="AF1006" i="33"/>
  <c r="V1006" i="33"/>
  <c r="T1006" i="33"/>
  <c r="X1006" i="33" s="1"/>
  <c r="S1006" i="33"/>
  <c r="R1006" i="33"/>
  <c r="K1006" i="33"/>
  <c r="F1006" i="33"/>
  <c r="AF1004" i="33"/>
  <c r="V1004" i="33"/>
  <c r="T1004" i="33"/>
  <c r="X1004" i="33" s="1"/>
  <c r="S1004" i="33"/>
  <c r="R1004" i="33"/>
  <c r="K1004" i="33"/>
  <c r="F1004" i="33"/>
  <c r="V970" i="33"/>
  <c r="T970" i="33"/>
  <c r="W970" i="33" s="1"/>
  <c r="S970" i="33"/>
  <c r="R970" i="33"/>
  <c r="K970" i="33"/>
  <c r="F970" i="33"/>
  <c r="X1014" i="33" l="1"/>
  <c r="Y1014" i="33"/>
  <c r="Z1014" i="33"/>
  <c r="X1012" i="33"/>
  <c r="Y1012" i="33"/>
  <c r="Z1012" i="33"/>
  <c r="Z1006" i="33"/>
  <c r="Y1006" i="33"/>
  <c r="W1006" i="33"/>
  <c r="Y1004" i="33"/>
  <c r="Z1004" i="33"/>
  <c r="W1004" i="33"/>
  <c r="X970" i="33"/>
  <c r="Z970" i="33"/>
  <c r="Y970" i="33"/>
  <c r="T948" i="33" l="1"/>
  <c r="Z948" i="33" s="1"/>
  <c r="F948" i="33"/>
  <c r="H948" i="33" s="1"/>
  <c r="K948" i="33"/>
  <c r="V948" i="33"/>
  <c r="S948" i="33"/>
  <c r="R948" i="33"/>
  <c r="T946" i="33"/>
  <c r="Y946" i="33" s="1"/>
  <c r="F946" i="33"/>
  <c r="K946" i="33"/>
  <c r="V946" i="33"/>
  <c r="S946" i="33"/>
  <c r="R946" i="33"/>
  <c r="T944" i="33"/>
  <c r="Z944" i="33" s="1"/>
  <c r="F944" i="33"/>
  <c r="H944" i="33" s="1"/>
  <c r="K944" i="33"/>
  <c r="V944" i="33"/>
  <c r="S944" i="33"/>
  <c r="R944" i="33"/>
  <c r="T942" i="33"/>
  <c r="Y942" i="33" s="1"/>
  <c r="F942" i="33"/>
  <c r="G942" i="33" s="1"/>
  <c r="K942" i="33"/>
  <c r="R942" i="33"/>
  <c r="V942" i="33"/>
  <c r="S942" i="33"/>
  <c r="F940" i="33"/>
  <c r="H940" i="33" s="1"/>
  <c r="K940" i="33"/>
  <c r="T940" i="33"/>
  <c r="Z940" i="33" s="1"/>
  <c r="V940" i="33"/>
  <c r="S940" i="33"/>
  <c r="R940" i="33"/>
  <c r="F938" i="33"/>
  <c r="K938" i="33"/>
  <c r="T938" i="33"/>
  <c r="Y938" i="33" s="1"/>
  <c r="V938" i="33"/>
  <c r="S938" i="33"/>
  <c r="R938" i="33"/>
  <c r="F936" i="33"/>
  <c r="I936" i="33" s="1"/>
  <c r="K936" i="33"/>
  <c r="T936" i="33"/>
  <c r="V936" i="33"/>
  <c r="S936" i="33"/>
  <c r="R936" i="33"/>
  <c r="F934" i="33"/>
  <c r="H934" i="33" s="1"/>
  <c r="K934" i="33"/>
  <c r="T934" i="33"/>
  <c r="Z934" i="33" s="1"/>
  <c r="V934" i="33"/>
  <c r="S934" i="33"/>
  <c r="R934" i="33"/>
  <c r="F932" i="33"/>
  <c r="H932" i="33" s="1"/>
  <c r="K932" i="33"/>
  <c r="T932" i="33"/>
  <c r="Z932" i="33" s="1"/>
  <c r="V932" i="33"/>
  <c r="S932" i="33"/>
  <c r="R932" i="33"/>
  <c r="F630" i="35"/>
  <c r="I630" i="35" s="1"/>
  <c r="K630" i="35"/>
  <c r="AE630" i="35"/>
  <c r="F632" i="35"/>
  <c r="H632" i="35" s="1"/>
  <c r="K632" i="35"/>
  <c r="AE632" i="35"/>
  <c r="F634" i="35"/>
  <c r="H634" i="35" s="1"/>
  <c r="K634" i="35"/>
  <c r="AE634" i="35"/>
  <c r="AE643" i="35"/>
  <c r="AG643" i="35" s="1"/>
  <c r="F661" i="35"/>
  <c r="G661" i="35" s="1"/>
  <c r="K661" i="35"/>
  <c r="AE661" i="35"/>
  <c r="F663" i="35"/>
  <c r="I663" i="35" s="1"/>
  <c r="K663" i="35"/>
  <c r="AE663" i="35"/>
  <c r="F665" i="35"/>
  <c r="K665" i="35"/>
  <c r="AE665" i="35"/>
  <c r="F667" i="35"/>
  <c r="K667" i="35"/>
  <c r="AE667" i="35"/>
  <c r="AG668" i="35"/>
  <c r="F670" i="35"/>
  <c r="K670" i="35"/>
  <c r="AE670" i="35"/>
  <c r="F672" i="35"/>
  <c r="I672" i="35" s="1"/>
  <c r="K672" i="35"/>
  <c r="AE672" i="35"/>
  <c r="F674" i="35"/>
  <c r="I674" i="35" s="1"/>
  <c r="K674" i="35"/>
  <c r="AE674" i="35"/>
  <c r="F676" i="35"/>
  <c r="I676" i="35" s="1"/>
  <c r="K676" i="35"/>
  <c r="AE676" i="35"/>
  <c r="F688" i="35"/>
  <c r="K688" i="35"/>
  <c r="AE688" i="35"/>
  <c r="F690" i="35"/>
  <c r="G690" i="35" s="1"/>
  <c r="K690" i="35"/>
  <c r="AE690" i="35"/>
  <c r="AG691" i="35"/>
  <c r="F693" i="35"/>
  <c r="I693" i="35" s="1"/>
  <c r="K693" i="35"/>
  <c r="AE693" i="35"/>
  <c r="F695" i="35"/>
  <c r="H695" i="35" s="1"/>
  <c r="K695" i="35"/>
  <c r="AE695" i="35"/>
  <c r="AG696" i="35"/>
  <c r="F698" i="35"/>
  <c r="I698" i="35" s="1"/>
  <c r="K698" i="35"/>
  <c r="AE698" i="35"/>
  <c r="F700" i="35"/>
  <c r="K700" i="35"/>
  <c r="AE700" i="35"/>
  <c r="F702" i="35"/>
  <c r="K702" i="35"/>
  <c r="AE702" i="35"/>
  <c r="F704" i="35"/>
  <c r="H704" i="35" s="1"/>
  <c r="K704" i="35"/>
  <c r="AE704" i="35"/>
  <c r="F708" i="35"/>
  <c r="H708" i="35" s="1"/>
  <c r="K708" i="35"/>
  <c r="AE708" i="35"/>
  <c r="F710" i="35"/>
  <c r="I710" i="35" s="1"/>
  <c r="K710" i="35"/>
  <c r="AE710" i="35"/>
  <c r="F712" i="35"/>
  <c r="K712" i="35"/>
  <c r="AE712" i="35"/>
  <c r="F714" i="35"/>
  <c r="H714" i="35" s="1"/>
  <c r="K714" i="35"/>
  <c r="AE714" i="35"/>
  <c r="F722" i="35"/>
  <c r="G722" i="35" s="1"/>
  <c r="K722" i="35"/>
  <c r="AE722" i="35"/>
  <c r="F724" i="35"/>
  <c r="I724" i="35" s="1"/>
  <c r="K724" i="35"/>
  <c r="AE724" i="35"/>
  <c r="F726" i="35"/>
  <c r="K726" i="35"/>
  <c r="AE726" i="35"/>
  <c r="F728" i="35"/>
  <c r="I728" i="35" s="1"/>
  <c r="K728" i="35"/>
  <c r="AE728" i="35"/>
  <c r="F730" i="35"/>
  <c r="G730" i="35" s="1"/>
  <c r="K730" i="35"/>
  <c r="AE730" i="35"/>
  <c r="Y710" i="35"/>
  <c r="X710" i="35"/>
  <c r="U710" i="35"/>
  <c r="S710" i="35"/>
  <c r="R710" i="35"/>
  <c r="Q710" i="35"/>
  <c r="Y708" i="35"/>
  <c r="X708" i="35"/>
  <c r="U708" i="35"/>
  <c r="S708" i="35"/>
  <c r="R708" i="35"/>
  <c r="Q708" i="35"/>
  <c r="Y688" i="35"/>
  <c r="X688" i="35"/>
  <c r="U688" i="35"/>
  <c r="S688" i="35"/>
  <c r="R688" i="35"/>
  <c r="Q688" i="35"/>
  <c r="Y672" i="35"/>
  <c r="X672" i="35"/>
  <c r="U672" i="35"/>
  <c r="S672" i="35"/>
  <c r="R672" i="35"/>
  <c r="Q672" i="35"/>
  <c r="Y659" i="35"/>
  <c r="X659" i="35"/>
  <c r="F659" i="35"/>
  <c r="I659" i="35" s="1"/>
  <c r="K659" i="35"/>
  <c r="U659" i="35"/>
  <c r="S659" i="35"/>
  <c r="R659" i="35"/>
  <c r="Q659" i="35"/>
  <c r="F626" i="35"/>
  <c r="K626" i="35"/>
  <c r="AE626" i="35"/>
  <c r="Y626" i="35"/>
  <c r="X626" i="35"/>
  <c r="U626" i="35"/>
  <c r="S626" i="35"/>
  <c r="R626" i="35"/>
  <c r="Q626" i="35"/>
  <c r="Y730" i="35"/>
  <c r="X730" i="35"/>
  <c r="U730" i="35"/>
  <c r="S730" i="35"/>
  <c r="R730" i="35"/>
  <c r="Q730" i="35"/>
  <c r="Y728" i="35"/>
  <c r="X728" i="35"/>
  <c r="U728" i="35"/>
  <c r="S728" i="35"/>
  <c r="R728" i="35"/>
  <c r="Q728" i="35"/>
  <c r="Y726" i="35"/>
  <c r="X726" i="35"/>
  <c r="U726" i="35"/>
  <c r="S726" i="35"/>
  <c r="R726" i="35"/>
  <c r="Q726" i="35"/>
  <c r="Y724" i="35"/>
  <c r="X724" i="35"/>
  <c r="U724" i="35"/>
  <c r="S724" i="35"/>
  <c r="R724" i="35"/>
  <c r="Q724" i="35"/>
  <c r="Y722" i="35"/>
  <c r="X722" i="35"/>
  <c r="U722" i="35"/>
  <c r="S722" i="35"/>
  <c r="R722" i="35"/>
  <c r="Q722" i="35"/>
  <c r="Y714" i="35"/>
  <c r="X714" i="35"/>
  <c r="U714" i="35"/>
  <c r="S714" i="35"/>
  <c r="R714" i="35"/>
  <c r="Q714" i="35"/>
  <c r="Y712" i="35"/>
  <c r="X712" i="35"/>
  <c r="U712" i="35"/>
  <c r="S712" i="35"/>
  <c r="R712" i="35"/>
  <c r="Q712" i="35"/>
  <c r="Y704" i="35"/>
  <c r="X704" i="35"/>
  <c r="U704" i="35"/>
  <c r="S704" i="35"/>
  <c r="R704" i="35"/>
  <c r="Q704" i="35"/>
  <c r="Y702" i="35"/>
  <c r="X702" i="35"/>
  <c r="U702" i="35"/>
  <c r="S702" i="35"/>
  <c r="R702" i="35"/>
  <c r="Q702" i="35"/>
  <c r="Y700" i="35"/>
  <c r="X700" i="35"/>
  <c r="U700" i="35"/>
  <c r="S700" i="35"/>
  <c r="R700" i="35"/>
  <c r="Q700" i="35"/>
  <c r="Y698" i="35"/>
  <c r="X698" i="35"/>
  <c r="U698" i="35"/>
  <c r="S698" i="35"/>
  <c r="R698" i="35"/>
  <c r="Q698" i="35"/>
  <c r="F696" i="35"/>
  <c r="H696" i="35" s="1"/>
  <c r="K696" i="35"/>
  <c r="Y696" i="35"/>
  <c r="X696" i="35"/>
  <c r="U696" i="35"/>
  <c r="S696" i="35"/>
  <c r="R696" i="35"/>
  <c r="Q696" i="35"/>
  <c r="Y695" i="35"/>
  <c r="X695" i="35"/>
  <c r="U695" i="35"/>
  <c r="S695" i="35"/>
  <c r="R695" i="35"/>
  <c r="Q695" i="35"/>
  <c r="Y693" i="35"/>
  <c r="X693" i="35"/>
  <c r="U693" i="35"/>
  <c r="S693" i="35"/>
  <c r="R693" i="35"/>
  <c r="Q693" i="35"/>
  <c r="F691" i="35"/>
  <c r="I691" i="35" s="1"/>
  <c r="K691" i="35"/>
  <c r="Y691" i="35"/>
  <c r="X691" i="35"/>
  <c r="U691" i="35"/>
  <c r="S691" i="35"/>
  <c r="R691" i="35"/>
  <c r="Q691" i="35"/>
  <c r="Y690" i="35"/>
  <c r="X690" i="35"/>
  <c r="U690" i="35"/>
  <c r="S690" i="35"/>
  <c r="R690" i="35"/>
  <c r="Q690" i="35"/>
  <c r="Y663" i="35"/>
  <c r="X663" i="35"/>
  <c r="U663" i="35"/>
  <c r="S663" i="35"/>
  <c r="R663" i="35"/>
  <c r="Q663" i="35"/>
  <c r="Y676" i="35"/>
  <c r="X676" i="35"/>
  <c r="U676" i="35"/>
  <c r="S676" i="35"/>
  <c r="R676" i="35"/>
  <c r="Q676" i="35"/>
  <c r="Y674" i="35"/>
  <c r="X674" i="35"/>
  <c r="U674" i="35"/>
  <c r="S674" i="35"/>
  <c r="R674" i="35"/>
  <c r="Q674" i="35"/>
  <c r="Y670" i="35"/>
  <c r="X670" i="35"/>
  <c r="U670" i="35"/>
  <c r="S670" i="35"/>
  <c r="R670" i="35"/>
  <c r="Q670" i="35"/>
  <c r="F668" i="35"/>
  <c r="I668" i="35" s="1"/>
  <c r="K668" i="35"/>
  <c r="Y668" i="35"/>
  <c r="X668" i="35"/>
  <c r="U668" i="35"/>
  <c r="S668" i="35"/>
  <c r="R668" i="35"/>
  <c r="Q668" i="35"/>
  <c r="Y667" i="35"/>
  <c r="X667" i="35"/>
  <c r="U667" i="35"/>
  <c r="S667" i="35"/>
  <c r="R667" i="35"/>
  <c r="Q667" i="35"/>
  <c r="Y665" i="35"/>
  <c r="X665" i="35"/>
  <c r="U665" i="35"/>
  <c r="S665" i="35"/>
  <c r="R665" i="35"/>
  <c r="Q665" i="35"/>
  <c r="Y661" i="35"/>
  <c r="X661" i="35"/>
  <c r="U661" i="35"/>
  <c r="S661" i="35"/>
  <c r="R661" i="35"/>
  <c r="Q661" i="35"/>
  <c r="F643" i="35"/>
  <c r="G643" i="35" s="1"/>
  <c r="K643" i="35"/>
  <c r="Y643" i="35"/>
  <c r="X643" i="35"/>
  <c r="U643" i="35"/>
  <c r="S643" i="35"/>
  <c r="R643" i="35"/>
  <c r="Q643" i="35"/>
  <c r="Y651" i="35"/>
  <c r="X651" i="35"/>
  <c r="W651" i="35"/>
  <c r="V651" i="35"/>
  <c r="U651" i="35"/>
  <c r="S651" i="35"/>
  <c r="R651" i="35"/>
  <c r="Q651" i="35"/>
  <c r="F651" i="35"/>
  <c r="I651" i="35" s="1"/>
  <c r="K651" i="35"/>
  <c r="Y649" i="35"/>
  <c r="X649" i="35"/>
  <c r="W649" i="35"/>
  <c r="V649" i="35"/>
  <c r="U649" i="35"/>
  <c r="S649" i="35"/>
  <c r="R649" i="35"/>
  <c r="Q649" i="35"/>
  <c r="F649" i="35"/>
  <c r="I649" i="35" s="1"/>
  <c r="K649" i="35"/>
  <c r="T910" i="33"/>
  <c r="Z910" i="33" s="1"/>
  <c r="V910" i="33"/>
  <c r="S910" i="33"/>
  <c r="R910" i="33"/>
  <c r="F910" i="33"/>
  <c r="H910" i="33" s="1"/>
  <c r="K910" i="33"/>
  <c r="T908" i="33"/>
  <c r="X908" i="33" s="1"/>
  <c r="V908" i="33"/>
  <c r="S908" i="33"/>
  <c r="R908" i="33"/>
  <c r="F908" i="33"/>
  <c r="I908" i="33" s="1"/>
  <c r="K908" i="33"/>
  <c r="T906" i="33"/>
  <c r="Z906" i="33" s="1"/>
  <c r="V906" i="33"/>
  <c r="S906" i="33"/>
  <c r="R906" i="33"/>
  <c r="F906" i="33"/>
  <c r="K906" i="33"/>
  <c r="F902" i="33"/>
  <c r="K902" i="33"/>
  <c r="T902" i="33"/>
  <c r="X902" i="33" s="1"/>
  <c r="V902" i="33"/>
  <c r="S902" i="33"/>
  <c r="R902" i="33"/>
  <c r="F900" i="33"/>
  <c r="H900" i="33" s="1"/>
  <c r="K900" i="33"/>
  <c r="T900" i="33"/>
  <c r="Z900" i="33" s="1"/>
  <c r="V900" i="33"/>
  <c r="S900" i="33"/>
  <c r="R900" i="33"/>
  <c r="F898" i="33"/>
  <c r="K898" i="33"/>
  <c r="T898" i="33"/>
  <c r="Y898" i="33" s="1"/>
  <c r="V898" i="33"/>
  <c r="S898" i="33"/>
  <c r="R898" i="33"/>
  <c r="AF894" i="33"/>
  <c r="F894" i="33"/>
  <c r="I894" i="33" s="1"/>
  <c r="K894" i="33"/>
  <c r="T894" i="33"/>
  <c r="Y894" i="33" s="1"/>
  <c r="V894" i="33"/>
  <c r="S894" i="33"/>
  <c r="R894" i="33"/>
  <c r="AF888" i="33"/>
  <c r="F888" i="33"/>
  <c r="K888" i="33"/>
  <c r="T888" i="33"/>
  <c r="Y888" i="33" s="1"/>
  <c r="V888" i="33"/>
  <c r="S888" i="33"/>
  <c r="R888" i="33"/>
  <c r="AF896" i="33"/>
  <c r="F896" i="33"/>
  <c r="I896" i="33" s="1"/>
  <c r="K896" i="33"/>
  <c r="T896" i="33"/>
  <c r="Y896" i="33" s="1"/>
  <c r="V896" i="33"/>
  <c r="S896" i="33"/>
  <c r="R896" i="33"/>
  <c r="AF886" i="33"/>
  <c r="F886" i="33"/>
  <c r="H886" i="33" s="1"/>
  <c r="K886" i="33"/>
  <c r="T886" i="33"/>
  <c r="Y886" i="33" s="1"/>
  <c r="V886" i="33"/>
  <c r="S886" i="33"/>
  <c r="R886" i="33"/>
  <c r="AF884" i="33"/>
  <c r="F884" i="33"/>
  <c r="H884" i="33" s="1"/>
  <c r="K884" i="33"/>
  <c r="T884" i="33"/>
  <c r="Y884" i="33" s="1"/>
  <c r="V884" i="33"/>
  <c r="S884" i="33"/>
  <c r="R884" i="33"/>
  <c r="AF880" i="33"/>
  <c r="F880" i="33"/>
  <c r="H880" i="33" s="1"/>
  <c r="K880" i="33"/>
  <c r="T880" i="33"/>
  <c r="Y880" i="33" s="1"/>
  <c r="V880" i="33"/>
  <c r="S880" i="33"/>
  <c r="R880" i="33"/>
  <c r="AF882" i="33"/>
  <c r="F882" i="33"/>
  <c r="H882" i="33" s="1"/>
  <c r="K882" i="33"/>
  <c r="T882" i="33"/>
  <c r="Y882" i="33" s="1"/>
  <c r="V882" i="33"/>
  <c r="S882" i="33"/>
  <c r="R882" i="33"/>
  <c r="AF878" i="33"/>
  <c r="F878" i="33"/>
  <c r="H878" i="33" s="1"/>
  <c r="K878" i="33"/>
  <c r="T878" i="33"/>
  <c r="Y878" i="33" s="1"/>
  <c r="V878" i="33"/>
  <c r="S878" i="33"/>
  <c r="R878" i="33"/>
  <c r="T876" i="33"/>
  <c r="X876" i="33" s="1"/>
  <c r="F876" i="33"/>
  <c r="H876" i="33" s="1"/>
  <c r="K876" i="33"/>
  <c r="V876" i="33"/>
  <c r="S876" i="33"/>
  <c r="R876" i="33"/>
  <c r="F875" i="33"/>
  <c r="K875" i="33"/>
  <c r="Z875" i="33"/>
  <c r="Y875" i="33"/>
  <c r="X875" i="33"/>
  <c r="W875" i="33"/>
  <c r="V875" i="33"/>
  <c r="T875" i="33"/>
  <c r="S875" i="33"/>
  <c r="R875" i="33"/>
  <c r="L875" i="33"/>
  <c r="I875" i="33"/>
  <c r="H875" i="33"/>
  <c r="G875" i="33"/>
  <c r="F874" i="33"/>
  <c r="I874" i="33" s="1"/>
  <c r="K874" i="33"/>
  <c r="T874" i="33"/>
  <c r="Z874" i="33" s="1"/>
  <c r="V874" i="33"/>
  <c r="S874" i="33"/>
  <c r="R874" i="33"/>
  <c r="F870" i="33"/>
  <c r="I870" i="33" s="1"/>
  <c r="K870" i="33"/>
  <c r="T870" i="33"/>
  <c r="Y870" i="33" s="1"/>
  <c r="V870" i="33"/>
  <c r="S870" i="33"/>
  <c r="R870" i="33"/>
  <c r="F872" i="33"/>
  <c r="H872" i="33" s="1"/>
  <c r="K872" i="33"/>
  <c r="T872" i="33"/>
  <c r="X872" i="33" s="1"/>
  <c r="V872" i="33"/>
  <c r="S872" i="33"/>
  <c r="R872" i="33"/>
  <c r="F868" i="33"/>
  <c r="H868" i="33" s="1"/>
  <c r="K868" i="33"/>
  <c r="T868" i="33"/>
  <c r="Z868" i="33" s="1"/>
  <c r="V868" i="33"/>
  <c r="S868" i="33"/>
  <c r="R868" i="33"/>
  <c r="F866" i="33"/>
  <c r="K866" i="33"/>
  <c r="T866" i="33"/>
  <c r="Z866" i="33" s="1"/>
  <c r="V866" i="33"/>
  <c r="S866" i="33"/>
  <c r="R866" i="33"/>
  <c r="F864" i="33"/>
  <c r="H864" i="33" s="1"/>
  <c r="K864" i="33"/>
  <c r="T864" i="33"/>
  <c r="Y864" i="33" s="1"/>
  <c r="V864" i="33"/>
  <c r="S864" i="33"/>
  <c r="R864" i="33"/>
  <c r="F858" i="33"/>
  <c r="H858" i="33" s="1"/>
  <c r="K858" i="33"/>
  <c r="T858" i="33"/>
  <c r="X858" i="33" s="1"/>
  <c r="V858" i="33"/>
  <c r="S858" i="33"/>
  <c r="R858" i="33"/>
  <c r="AF856" i="33"/>
  <c r="F856" i="33"/>
  <c r="H856" i="33" s="1"/>
  <c r="K856" i="33"/>
  <c r="T856" i="33"/>
  <c r="X856" i="33" s="1"/>
  <c r="V856" i="33"/>
  <c r="S856" i="33"/>
  <c r="R856" i="33"/>
  <c r="AF854" i="33"/>
  <c r="F854" i="33"/>
  <c r="I854" i="33" s="1"/>
  <c r="K854" i="33"/>
  <c r="T854" i="33"/>
  <c r="X854" i="33" s="1"/>
  <c r="V854" i="33"/>
  <c r="S854" i="33"/>
  <c r="R854" i="33"/>
  <c r="AF853" i="33"/>
  <c r="T853" i="33"/>
  <c r="Y853" i="33" s="1"/>
  <c r="V853" i="33"/>
  <c r="S853" i="33"/>
  <c r="R853" i="33"/>
  <c r="F853" i="33"/>
  <c r="I853" i="33" s="1"/>
  <c r="K853" i="33"/>
  <c r="AF851" i="33"/>
  <c r="F851" i="33"/>
  <c r="K851" i="33"/>
  <c r="T851" i="33"/>
  <c r="Y851" i="33" s="1"/>
  <c r="V851" i="33"/>
  <c r="S851" i="33"/>
  <c r="R851" i="33"/>
  <c r="AF842" i="33"/>
  <c r="F842" i="33"/>
  <c r="K842" i="33"/>
  <c r="T842" i="33"/>
  <c r="Y842" i="33" s="1"/>
  <c r="V842" i="33"/>
  <c r="S842" i="33"/>
  <c r="R842" i="33"/>
  <c r="AF849" i="33"/>
  <c r="F849" i="33"/>
  <c r="H849" i="33" s="1"/>
  <c r="K849" i="33"/>
  <c r="T849" i="33"/>
  <c r="Y849" i="33" s="1"/>
  <c r="V849" i="33"/>
  <c r="S849" i="33"/>
  <c r="R849" i="33"/>
  <c r="AF848" i="33"/>
  <c r="F848" i="33"/>
  <c r="H848" i="33" s="1"/>
  <c r="K848" i="33"/>
  <c r="T848" i="33"/>
  <c r="Y848" i="33" s="1"/>
  <c r="V848" i="33"/>
  <c r="S848" i="33"/>
  <c r="R848" i="33"/>
  <c r="AF846" i="33"/>
  <c r="F846" i="33"/>
  <c r="I846" i="33" s="1"/>
  <c r="K846" i="33"/>
  <c r="T846" i="33"/>
  <c r="Y846" i="33" s="1"/>
  <c r="V846" i="33"/>
  <c r="S846" i="33"/>
  <c r="R846" i="33"/>
  <c r="AF844" i="33"/>
  <c r="F844" i="33"/>
  <c r="K844" i="33"/>
  <c r="T844" i="33"/>
  <c r="Y844" i="33" s="1"/>
  <c r="V844" i="33"/>
  <c r="S844" i="33"/>
  <c r="R844" i="33"/>
  <c r="AF840" i="33"/>
  <c r="F840" i="33"/>
  <c r="H840" i="33" s="1"/>
  <c r="K840" i="33"/>
  <c r="T840" i="33"/>
  <c r="X840" i="33" s="1"/>
  <c r="V840" i="33"/>
  <c r="S840" i="33"/>
  <c r="R840" i="33"/>
  <c r="AF838" i="33"/>
  <c r="F838" i="33"/>
  <c r="K838" i="33"/>
  <c r="T838" i="33"/>
  <c r="Y838" i="33" s="1"/>
  <c r="V838" i="33"/>
  <c r="S838" i="33"/>
  <c r="R838" i="33"/>
  <c r="AF837" i="33"/>
  <c r="F837" i="33"/>
  <c r="I837" i="33" s="1"/>
  <c r="K837" i="33"/>
  <c r="T837" i="33"/>
  <c r="Y837" i="33" s="1"/>
  <c r="V837" i="33"/>
  <c r="S837" i="33"/>
  <c r="R837" i="33"/>
  <c r="AF835" i="33"/>
  <c r="F835" i="33"/>
  <c r="I835" i="33" s="1"/>
  <c r="K835" i="33"/>
  <c r="T835" i="33"/>
  <c r="Z835" i="33" s="1"/>
  <c r="V835" i="33"/>
  <c r="S835" i="33"/>
  <c r="R835" i="33"/>
  <c r="F825" i="33"/>
  <c r="AB825" i="33" s="1"/>
  <c r="AE562" i="35"/>
  <c r="F538" i="35"/>
  <c r="I538" i="35" s="1"/>
  <c r="K538" i="35"/>
  <c r="AE538" i="35"/>
  <c r="F540" i="35"/>
  <c r="I540" i="35" s="1"/>
  <c r="K540" i="35"/>
  <c r="AE540" i="35"/>
  <c r="F542" i="35"/>
  <c r="I542" i="35" s="1"/>
  <c r="K542" i="35"/>
  <c r="AE542" i="35"/>
  <c r="F545" i="35"/>
  <c r="G545" i="35" s="1"/>
  <c r="K545" i="35"/>
  <c r="AE545" i="35"/>
  <c r="F547" i="35"/>
  <c r="H547" i="35" s="1"/>
  <c r="K547" i="35"/>
  <c r="AE547" i="35"/>
  <c r="F553" i="35"/>
  <c r="H553" i="35" s="1"/>
  <c r="K553" i="35"/>
  <c r="AE553" i="35"/>
  <c r="F555" i="35"/>
  <c r="H555" i="35" s="1"/>
  <c r="K555" i="35"/>
  <c r="AE555" i="35"/>
  <c r="F558" i="35"/>
  <c r="G558" i="35" s="1"/>
  <c r="K558" i="35"/>
  <c r="AE558" i="35"/>
  <c r="F560" i="35"/>
  <c r="G560" i="35" s="1"/>
  <c r="K560" i="35"/>
  <c r="AE560" i="35"/>
  <c r="F562" i="35"/>
  <c r="H562" i="35" s="1"/>
  <c r="K562" i="35"/>
  <c r="F578" i="35"/>
  <c r="K578" i="35"/>
  <c r="AE578" i="35"/>
  <c r="F580" i="35"/>
  <c r="G580" i="35" s="1"/>
  <c r="K580" i="35"/>
  <c r="AE580" i="35"/>
  <c r="F582" i="35"/>
  <c r="G582" i="35" s="1"/>
  <c r="K582" i="35"/>
  <c r="AE582" i="35"/>
  <c r="F584" i="35"/>
  <c r="G584" i="35" s="1"/>
  <c r="K584" i="35"/>
  <c r="AE584" i="35"/>
  <c r="F586" i="35"/>
  <c r="I586" i="35" s="1"/>
  <c r="K586" i="35"/>
  <c r="AE586" i="35"/>
  <c r="F588" i="35"/>
  <c r="G588" i="35" s="1"/>
  <c r="K588" i="35"/>
  <c r="AE588" i="35"/>
  <c r="F591" i="35"/>
  <c r="I591" i="35" s="1"/>
  <c r="K591" i="35"/>
  <c r="AE591" i="35"/>
  <c r="F593" i="35"/>
  <c r="G593" i="35" s="1"/>
  <c r="K593" i="35"/>
  <c r="AE593" i="35"/>
  <c r="F595" i="35"/>
  <c r="K595" i="35"/>
  <c r="AE595" i="35"/>
  <c r="F597" i="35"/>
  <c r="I597" i="35" s="1"/>
  <c r="K597" i="35"/>
  <c r="AE597" i="35"/>
  <c r="F599" i="35"/>
  <c r="K599" i="35"/>
  <c r="AE599" i="35"/>
  <c r="F601" i="35"/>
  <c r="K601" i="35"/>
  <c r="AE601" i="35"/>
  <c r="F603" i="35"/>
  <c r="K603" i="35"/>
  <c r="AE603" i="35"/>
  <c r="F607" i="35"/>
  <c r="I607" i="35" s="1"/>
  <c r="K607" i="35"/>
  <c r="AE607" i="35"/>
  <c r="F609" i="35"/>
  <c r="I609" i="35" s="1"/>
  <c r="K609" i="35"/>
  <c r="AE609" i="35"/>
  <c r="F611" i="35"/>
  <c r="G611" i="35" s="1"/>
  <c r="K611" i="35"/>
  <c r="AE611" i="35"/>
  <c r="F614" i="35"/>
  <c r="H614" i="35" s="1"/>
  <c r="K614" i="35"/>
  <c r="AE614" i="35"/>
  <c r="F616" i="35"/>
  <c r="K616" i="35"/>
  <c r="AE616" i="35"/>
  <c r="F618" i="35"/>
  <c r="G618" i="35" s="1"/>
  <c r="K618" i="35"/>
  <c r="AE618" i="35"/>
  <c r="F620" i="35"/>
  <c r="I620" i="35" s="1"/>
  <c r="K620" i="35"/>
  <c r="AE620" i="35"/>
  <c r="F622" i="35"/>
  <c r="I622" i="35" s="1"/>
  <c r="K622" i="35"/>
  <c r="AE622" i="35"/>
  <c r="F624" i="35"/>
  <c r="K624" i="35"/>
  <c r="AE624" i="35"/>
  <c r="AG543" i="35"/>
  <c r="AG556" i="35"/>
  <c r="AG589" i="35"/>
  <c r="AG612" i="35"/>
  <c r="Y624" i="35"/>
  <c r="X624" i="35"/>
  <c r="U624" i="35"/>
  <c r="S624" i="35"/>
  <c r="R624" i="35"/>
  <c r="Q624" i="35"/>
  <c r="Y622" i="35"/>
  <c r="X622" i="35"/>
  <c r="U622" i="35"/>
  <c r="S622" i="35"/>
  <c r="R622" i="35"/>
  <c r="Q622" i="35"/>
  <c r="Y620" i="35"/>
  <c r="X620" i="35"/>
  <c r="U620" i="35"/>
  <c r="S620" i="35"/>
  <c r="R620" i="35"/>
  <c r="Q620" i="35"/>
  <c r="Y618" i="35"/>
  <c r="X618" i="35"/>
  <c r="U618" i="35"/>
  <c r="S618" i="35"/>
  <c r="R618" i="35"/>
  <c r="Q618" i="35"/>
  <c r="Y616" i="35"/>
  <c r="X616" i="35"/>
  <c r="U616" i="35"/>
  <c r="S616" i="35"/>
  <c r="R616" i="35"/>
  <c r="Q616" i="35"/>
  <c r="Y603" i="35"/>
  <c r="X603" i="35"/>
  <c r="U603" i="35"/>
  <c r="S603" i="35"/>
  <c r="R603" i="35"/>
  <c r="Q603" i="35"/>
  <c r="Y601" i="35"/>
  <c r="X601" i="35"/>
  <c r="U601" i="35"/>
  <c r="S601" i="35"/>
  <c r="R601" i="35"/>
  <c r="Q601" i="35"/>
  <c r="Y599" i="35"/>
  <c r="X599" i="35"/>
  <c r="U599" i="35"/>
  <c r="S599" i="35"/>
  <c r="R599" i="35"/>
  <c r="Q599" i="35"/>
  <c r="Y597" i="35"/>
  <c r="X597" i="35"/>
  <c r="U597" i="35"/>
  <c r="S597" i="35"/>
  <c r="R597" i="35"/>
  <c r="Q597" i="35"/>
  <c r="Y595" i="35"/>
  <c r="X595" i="35"/>
  <c r="U595" i="35"/>
  <c r="S595" i="35"/>
  <c r="R595" i="35"/>
  <c r="Q595" i="35"/>
  <c r="Y578" i="35"/>
  <c r="X578" i="35"/>
  <c r="U578" i="35"/>
  <c r="S578" i="35"/>
  <c r="R578" i="35"/>
  <c r="Q578" i="35"/>
  <c r="F576" i="35"/>
  <c r="H576" i="35" s="1"/>
  <c r="K576" i="35"/>
  <c r="Y634" i="35"/>
  <c r="X634" i="35"/>
  <c r="U634" i="35"/>
  <c r="S634" i="35"/>
  <c r="R634" i="35"/>
  <c r="Q634" i="35"/>
  <c r="Y632" i="35"/>
  <c r="X632" i="35"/>
  <c r="U632" i="35"/>
  <c r="S632" i="35"/>
  <c r="R632" i="35"/>
  <c r="Q632" i="35"/>
  <c r="Y630" i="35"/>
  <c r="X630" i="35"/>
  <c r="U630" i="35"/>
  <c r="S630" i="35"/>
  <c r="R630" i="35"/>
  <c r="Q630" i="35"/>
  <c r="Y576" i="35"/>
  <c r="X576" i="35"/>
  <c r="U576" i="35"/>
  <c r="S576" i="35"/>
  <c r="R576" i="35"/>
  <c r="Q576" i="35"/>
  <c r="F802" i="33"/>
  <c r="H802" i="33" s="1"/>
  <c r="K802" i="33"/>
  <c r="T802" i="33"/>
  <c r="Z802" i="33" s="1"/>
  <c r="R802" i="33"/>
  <c r="V802" i="33"/>
  <c r="S802" i="33"/>
  <c r="AF615" i="33"/>
  <c r="AF708" i="33"/>
  <c r="AF715" i="33"/>
  <c r="AF728" i="33"/>
  <c r="AF727" i="33"/>
  <c r="AF730" i="33"/>
  <c r="AF725" i="33"/>
  <c r="AF723" i="33"/>
  <c r="AF721" i="33"/>
  <c r="AF719" i="33"/>
  <c r="AF717" i="33"/>
  <c r="AF714" i="33"/>
  <c r="AF712" i="33"/>
  <c r="AF710" i="33"/>
  <c r="AF707" i="33"/>
  <c r="AF705" i="33"/>
  <c r="AF703" i="33"/>
  <c r="AF643" i="33"/>
  <c r="AF639" i="33"/>
  <c r="AF637" i="33"/>
  <c r="AF629" i="33"/>
  <c r="AF627" i="33"/>
  <c r="AF625" i="33"/>
  <c r="AF623" i="33"/>
  <c r="AF621" i="33"/>
  <c r="AF619" i="33"/>
  <c r="AF617" i="33"/>
  <c r="AF614" i="33"/>
  <c r="AF612" i="33"/>
  <c r="Y591" i="35"/>
  <c r="X591" i="35"/>
  <c r="U591" i="35"/>
  <c r="S591" i="35"/>
  <c r="R591" i="35"/>
  <c r="Q591" i="35"/>
  <c r="Y589" i="35"/>
  <c r="X589" i="35"/>
  <c r="U589" i="35"/>
  <c r="S589" i="35"/>
  <c r="R589" i="35"/>
  <c r="Q589" i="35"/>
  <c r="K589" i="35"/>
  <c r="F589" i="35"/>
  <c r="I589" i="35" s="1"/>
  <c r="Y588" i="35"/>
  <c r="X588" i="35"/>
  <c r="U588" i="35"/>
  <c r="S588" i="35"/>
  <c r="R588" i="35"/>
  <c r="Q588" i="35"/>
  <c r="S553" i="35"/>
  <c r="Y545" i="35"/>
  <c r="X545" i="35"/>
  <c r="U545" i="35"/>
  <c r="S545" i="35"/>
  <c r="R545" i="35"/>
  <c r="Q545" i="35"/>
  <c r="V819" i="33"/>
  <c r="T819" i="33"/>
  <c r="S819" i="33"/>
  <c r="R819" i="33"/>
  <c r="K819" i="33"/>
  <c r="F819" i="33"/>
  <c r="G819" i="33" s="1"/>
  <c r="V817" i="33"/>
  <c r="T817" i="33"/>
  <c r="Y817" i="33" s="1"/>
  <c r="S817" i="33"/>
  <c r="R817" i="33"/>
  <c r="K817" i="33"/>
  <c r="F817" i="33"/>
  <c r="H817" i="33" s="1"/>
  <c r="V816" i="33"/>
  <c r="T816" i="33"/>
  <c r="Z816" i="33" s="1"/>
  <c r="S816" i="33"/>
  <c r="R816" i="33"/>
  <c r="K816" i="33"/>
  <c r="F816" i="33"/>
  <c r="H816" i="33" s="1"/>
  <c r="V814" i="33"/>
  <c r="T814" i="33"/>
  <c r="Z814" i="33" s="1"/>
  <c r="S814" i="33"/>
  <c r="R814" i="33"/>
  <c r="K814" i="33"/>
  <c r="F814" i="33"/>
  <c r="H814" i="33" s="1"/>
  <c r="V812" i="33"/>
  <c r="T812" i="33"/>
  <c r="S812" i="33"/>
  <c r="R812" i="33"/>
  <c r="K812" i="33"/>
  <c r="F812" i="33"/>
  <c r="H812" i="33" s="1"/>
  <c r="V810" i="33"/>
  <c r="T810" i="33"/>
  <c r="Y810" i="33" s="1"/>
  <c r="S810" i="33"/>
  <c r="R810" i="33"/>
  <c r="K810" i="33"/>
  <c r="F810" i="33"/>
  <c r="H810" i="33" s="1"/>
  <c r="V808" i="33"/>
  <c r="T808" i="33"/>
  <c r="Y808" i="33" s="1"/>
  <c r="S808" i="33"/>
  <c r="R808" i="33"/>
  <c r="K808" i="33"/>
  <c r="F808" i="33"/>
  <c r="G808" i="33" s="1"/>
  <c r="V806" i="33"/>
  <c r="T806" i="33"/>
  <c r="S806" i="33"/>
  <c r="R806" i="33"/>
  <c r="K806" i="33"/>
  <c r="F806" i="33"/>
  <c r="G806" i="33" s="1"/>
  <c r="V804" i="33"/>
  <c r="T804" i="33"/>
  <c r="Z804" i="33" s="1"/>
  <c r="S804" i="33"/>
  <c r="R804" i="33"/>
  <c r="K804" i="33"/>
  <c r="F804" i="33"/>
  <c r="I804" i="33" s="1"/>
  <c r="Y614" i="35"/>
  <c r="X614" i="35"/>
  <c r="U614" i="35"/>
  <c r="S614" i="35"/>
  <c r="R614" i="35"/>
  <c r="Q614" i="35"/>
  <c r="Y612" i="35"/>
  <c r="X612" i="35"/>
  <c r="U612" i="35"/>
  <c r="S612" i="35"/>
  <c r="R612" i="35"/>
  <c r="Q612" i="35"/>
  <c r="K612" i="35"/>
  <c r="F612" i="35"/>
  <c r="I612" i="35" s="1"/>
  <c r="Y611" i="35"/>
  <c r="X611" i="35"/>
  <c r="U611" i="35"/>
  <c r="S611" i="35"/>
  <c r="R611" i="35"/>
  <c r="Q611" i="35"/>
  <c r="Y609" i="35"/>
  <c r="X609" i="35"/>
  <c r="U609" i="35"/>
  <c r="S609" i="35"/>
  <c r="R609" i="35"/>
  <c r="Q609" i="35"/>
  <c r="Y607" i="35"/>
  <c r="X607" i="35"/>
  <c r="U607" i="35"/>
  <c r="S607" i="35"/>
  <c r="R607" i="35"/>
  <c r="Q607" i="35"/>
  <c r="Y593" i="35"/>
  <c r="X593" i="35"/>
  <c r="U593" i="35"/>
  <c r="S593" i="35"/>
  <c r="R593" i="35"/>
  <c r="Q593" i="35"/>
  <c r="Y586" i="35"/>
  <c r="X586" i="35"/>
  <c r="U586" i="35"/>
  <c r="S586" i="35"/>
  <c r="R586" i="35"/>
  <c r="Q586" i="35"/>
  <c r="Y584" i="35"/>
  <c r="X584" i="35"/>
  <c r="U584" i="35"/>
  <c r="S584" i="35"/>
  <c r="R584" i="35"/>
  <c r="Q584" i="35"/>
  <c r="Y582" i="35"/>
  <c r="X582" i="35"/>
  <c r="U582" i="35"/>
  <c r="S582" i="35"/>
  <c r="R582" i="35"/>
  <c r="Q582" i="35"/>
  <c r="Y580" i="35"/>
  <c r="X580" i="35"/>
  <c r="U580" i="35"/>
  <c r="S580" i="35"/>
  <c r="R580" i="35"/>
  <c r="Q580" i="35"/>
  <c r="Y562" i="35"/>
  <c r="X562" i="35"/>
  <c r="U562" i="35"/>
  <c r="S562" i="35"/>
  <c r="R562" i="35"/>
  <c r="Q562" i="35"/>
  <c r="Y560" i="35"/>
  <c r="X560" i="35"/>
  <c r="U560" i="35"/>
  <c r="S560" i="35"/>
  <c r="R560" i="35"/>
  <c r="Q560" i="35"/>
  <c r="Y558" i="35"/>
  <c r="X558" i="35"/>
  <c r="U558" i="35"/>
  <c r="S558" i="35"/>
  <c r="R558" i="35"/>
  <c r="Q558" i="35"/>
  <c r="Y556" i="35"/>
  <c r="X556" i="35"/>
  <c r="U556" i="35"/>
  <c r="S556" i="35"/>
  <c r="R556" i="35"/>
  <c r="Q556" i="35"/>
  <c r="K556" i="35"/>
  <c r="F556" i="35"/>
  <c r="H556" i="35" s="1"/>
  <c r="Y555" i="35"/>
  <c r="X555" i="35"/>
  <c r="U555" i="35"/>
  <c r="S555" i="35"/>
  <c r="R555" i="35"/>
  <c r="Q555" i="35"/>
  <c r="Y553" i="35"/>
  <c r="X553" i="35"/>
  <c r="U553" i="35"/>
  <c r="R553" i="35"/>
  <c r="Q553" i="35"/>
  <c r="Y547" i="35"/>
  <c r="X547" i="35"/>
  <c r="U547" i="35"/>
  <c r="S547" i="35"/>
  <c r="R547" i="35"/>
  <c r="Q547" i="35"/>
  <c r="Y543" i="35"/>
  <c r="X543" i="35"/>
  <c r="U543" i="35"/>
  <c r="S543" i="35"/>
  <c r="R543" i="35"/>
  <c r="Q543" i="35"/>
  <c r="K543" i="35"/>
  <c r="F543" i="35"/>
  <c r="G543" i="35" s="1"/>
  <c r="Y542" i="35"/>
  <c r="X542" i="35"/>
  <c r="U542" i="35"/>
  <c r="S542" i="35"/>
  <c r="R542" i="35"/>
  <c r="Q542" i="35"/>
  <c r="Y540" i="35"/>
  <c r="X540" i="35"/>
  <c r="U540" i="35"/>
  <c r="S540" i="35"/>
  <c r="R540" i="35"/>
  <c r="Q540" i="35"/>
  <c r="Y538" i="35"/>
  <c r="X538" i="35"/>
  <c r="U538" i="35"/>
  <c r="S538" i="35"/>
  <c r="R538" i="35"/>
  <c r="Q538" i="35"/>
  <c r="V790" i="33"/>
  <c r="T790" i="33"/>
  <c r="Y790" i="33" s="1"/>
  <c r="S790" i="33"/>
  <c r="R790" i="33"/>
  <c r="K790" i="33"/>
  <c r="F790" i="33"/>
  <c r="I790" i="33" s="1"/>
  <c r="V776" i="33"/>
  <c r="T776" i="33"/>
  <c r="W776" i="33" s="1"/>
  <c r="S776" i="33"/>
  <c r="R776" i="33"/>
  <c r="K776" i="33"/>
  <c r="F776" i="33"/>
  <c r="I776" i="33" s="1"/>
  <c r="V778" i="33"/>
  <c r="T778" i="33"/>
  <c r="Z778" i="33" s="1"/>
  <c r="S778" i="33"/>
  <c r="R778" i="33"/>
  <c r="K778" i="33"/>
  <c r="F778" i="33"/>
  <c r="I778" i="33" s="1"/>
  <c r="V774" i="33"/>
  <c r="T774" i="33"/>
  <c r="Z774" i="33" s="1"/>
  <c r="S774" i="33"/>
  <c r="R774" i="33"/>
  <c r="K774" i="33"/>
  <c r="F774" i="33"/>
  <c r="G774" i="33" s="1"/>
  <c r="V773" i="33"/>
  <c r="T773" i="33"/>
  <c r="X773" i="33" s="1"/>
  <c r="S773" i="33"/>
  <c r="R773" i="33"/>
  <c r="K773" i="33"/>
  <c r="F773" i="33"/>
  <c r="H773" i="33" s="1"/>
  <c r="Y534" i="35"/>
  <c r="X534" i="35"/>
  <c r="W534" i="35"/>
  <c r="V534" i="35"/>
  <c r="U534" i="35"/>
  <c r="S534" i="35"/>
  <c r="R534" i="35"/>
  <c r="Q534" i="35"/>
  <c r="K534" i="35"/>
  <c r="F534" i="35"/>
  <c r="G534" i="35" s="1"/>
  <c r="Y532" i="35"/>
  <c r="X532" i="35"/>
  <c r="W532" i="35"/>
  <c r="V532" i="35"/>
  <c r="U532" i="35"/>
  <c r="S532" i="35"/>
  <c r="R532" i="35"/>
  <c r="Q532" i="35"/>
  <c r="K532" i="35"/>
  <c r="F532" i="35"/>
  <c r="H532" i="35" s="1"/>
  <c r="Y524" i="35"/>
  <c r="X524" i="35"/>
  <c r="W524" i="35"/>
  <c r="V524" i="35"/>
  <c r="U524" i="35"/>
  <c r="S524" i="35"/>
  <c r="R524" i="35"/>
  <c r="Q524" i="35"/>
  <c r="K524" i="35"/>
  <c r="F524" i="35"/>
  <c r="I524" i="35" s="1"/>
  <c r="Y522" i="35"/>
  <c r="X522" i="35"/>
  <c r="W522" i="35"/>
  <c r="V522" i="35"/>
  <c r="U522" i="35"/>
  <c r="S522" i="35"/>
  <c r="R522" i="35"/>
  <c r="Q522" i="35"/>
  <c r="K522" i="35"/>
  <c r="F522" i="35"/>
  <c r="I522" i="35" s="1"/>
  <c r="V788" i="33"/>
  <c r="T788" i="33"/>
  <c r="X788" i="33" s="1"/>
  <c r="S788" i="33"/>
  <c r="R788" i="33"/>
  <c r="K788" i="33"/>
  <c r="F788" i="33"/>
  <c r="H788" i="33" s="1"/>
  <c r="V786" i="33"/>
  <c r="T786" i="33"/>
  <c r="X786" i="33" s="1"/>
  <c r="S786" i="33"/>
  <c r="R786" i="33"/>
  <c r="K786" i="33"/>
  <c r="F786" i="33"/>
  <c r="H786" i="33" s="1"/>
  <c r="V771" i="33"/>
  <c r="T771" i="33"/>
  <c r="W771" i="33" s="1"/>
  <c r="S771" i="33"/>
  <c r="R771" i="33"/>
  <c r="K771" i="33"/>
  <c r="F771" i="33"/>
  <c r="I771" i="33" s="1"/>
  <c r="V769" i="33"/>
  <c r="T769" i="33"/>
  <c r="Z769" i="33" s="1"/>
  <c r="S769" i="33"/>
  <c r="R769" i="33"/>
  <c r="K769" i="33"/>
  <c r="F769" i="33"/>
  <c r="H769" i="33" s="1"/>
  <c r="V763" i="33"/>
  <c r="T763" i="33"/>
  <c r="X763" i="33" s="1"/>
  <c r="S763" i="33"/>
  <c r="R763" i="33"/>
  <c r="K763" i="33"/>
  <c r="F763" i="33"/>
  <c r="I763" i="33" s="1"/>
  <c r="V759" i="33"/>
  <c r="T759" i="33"/>
  <c r="W759" i="33" s="1"/>
  <c r="S759" i="33"/>
  <c r="R759" i="33"/>
  <c r="K759" i="33"/>
  <c r="F759" i="33"/>
  <c r="G759" i="33" s="1"/>
  <c r="Y738" i="33"/>
  <c r="X738" i="33"/>
  <c r="W738" i="33"/>
  <c r="F738" i="33"/>
  <c r="H738" i="33" s="1"/>
  <c r="V757" i="33"/>
  <c r="T757" i="33"/>
  <c r="Y757" i="33" s="1"/>
  <c r="S757" i="33"/>
  <c r="R757" i="33"/>
  <c r="K757" i="33"/>
  <c r="F757" i="33"/>
  <c r="H757" i="33" s="1"/>
  <c r="T755" i="33"/>
  <c r="Z755" i="33" s="1"/>
  <c r="V755" i="33"/>
  <c r="S755" i="33"/>
  <c r="R755" i="33"/>
  <c r="K755" i="33"/>
  <c r="F755" i="33"/>
  <c r="H755" i="33" s="1"/>
  <c r="V753" i="33"/>
  <c r="Y753" i="33"/>
  <c r="S753" i="33"/>
  <c r="R753" i="33"/>
  <c r="K753" i="33"/>
  <c r="F753" i="33"/>
  <c r="H753" i="33" s="1"/>
  <c r="V752" i="33"/>
  <c r="T752" i="33"/>
  <c r="Y752" i="33" s="1"/>
  <c r="S752" i="33"/>
  <c r="R752" i="33"/>
  <c r="K752" i="33"/>
  <c r="F752" i="33"/>
  <c r="G752" i="33" s="1"/>
  <c r="V750" i="33"/>
  <c r="T750" i="33"/>
  <c r="W750" i="33" s="1"/>
  <c r="S750" i="33"/>
  <c r="R750" i="33"/>
  <c r="K750" i="33"/>
  <c r="F750" i="33"/>
  <c r="H750" i="33" s="1"/>
  <c r="V748" i="33"/>
  <c r="T748" i="33"/>
  <c r="Z748" i="33" s="1"/>
  <c r="S748" i="33"/>
  <c r="R748" i="33"/>
  <c r="K748" i="33"/>
  <c r="F748" i="33"/>
  <c r="I748" i="33" s="1"/>
  <c r="V746" i="33"/>
  <c r="T746" i="33"/>
  <c r="Z746" i="33" s="1"/>
  <c r="S746" i="33"/>
  <c r="R746" i="33"/>
  <c r="K746" i="33"/>
  <c r="F746" i="33"/>
  <c r="I746" i="33" s="1"/>
  <c r="V744" i="33"/>
  <c r="T744" i="33"/>
  <c r="W744" i="33" s="1"/>
  <c r="S744" i="33"/>
  <c r="R744" i="33"/>
  <c r="K744" i="33"/>
  <c r="F744" i="33"/>
  <c r="I744" i="33" s="1"/>
  <c r="V742" i="33"/>
  <c r="T742" i="33"/>
  <c r="W742" i="33" s="1"/>
  <c r="S742" i="33"/>
  <c r="R742" i="33"/>
  <c r="K742" i="33"/>
  <c r="F742" i="33"/>
  <c r="G742" i="33" s="1"/>
  <c r="V740" i="33"/>
  <c r="T740" i="33"/>
  <c r="Y740" i="33" s="1"/>
  <c r="S740" i="33"/>
  <c r="R740" i="33"/>
  <c r="K740" i="33"/>
  <c r="F740" i="33"/>
  <c r="H740" i="33" s="1"/>
  <c r="W753" i="33"/>
  <c r="X753" i="33"/>
  <c r="Z753" i="33"/>
  <c r="V736" i="33"/>
  <c r="T736" i="33"/>
  <c r="Z736" i="33" s="1"/>
  <c r="S736" i="33"/>
  <c r="R736" i="33"/>
  <c r="K736" i="33"/>
  <c r="F736" i="33"/>
  <c r="I736" i="33" s="1"/>
  <c r="V730" i="33"/>
  <c r="T730" i="33"/>
  <c r="Z730" i="33" s="1"/>
  <c r="S730" i="33"/>
  <c r="R730" i="33"/>
  <c r="K730" i="33"/>
  <c r="F730" i="33"/>
  <c r="G730" i="33" s="1"/>
  <c r="V728" i="33"/>
  <c r="T728" i="33"/>
  <c r="X728" i="33" s="1"/>
  <c r="S728" i="33"/>
  <c r="R728" i="33"/>
  <c r="K728" i="33"/>
  <c r="F728" i="33"/>
  <c r="H728" i="33" s="1"/>
  <c r="V727" i="33"/>
  <c r="T727" i="33"/>
  <c r="Y727" i="33" s="1"/>
  <c r="S727" i="33"/>
  <c r="R727" i="33"/>
  <c r="K727" i="33"/>
  <c r="F727" i="33"/>
  <c r="G727" i="33" s="1"/>
  <c r="V725" i="33"/>
  <c r="T725" i="33"/>
  <c r="W725" i="33" s="1"/>
  <c r="S725" i="33"/>
  <c r="R725" i="33"/>
  <c r="K725" i="33"/>
  <c r="F725" i="33"/>
  <c r="H725" i="33" s="1"/>
  <c r="V723" i="33"/>
  <c r="T723" i="33"/>
  <c r="X723" i="33" s="1"/>
  <c r="S723" i="33"/>
  <c r="R723" i="33"/>
  <c r="K723" i="33"/>
  <c r="F723" i="33"/>
  <c r="G723" i="33" s="1"/>
  <c r="V721" i="33"/>
  <c r="T721" i="33"/>
  <c r="Y721" i="33" s="1"/>
  <c r="S721" i="33"/>
  <c r="R721" i="33"/>
  <c r="K721" i="33"/>
  <c r="F721" i="33"/>
  <c r="H721" i="33" s="1"/>
  <c r="V719" i="33"/>
  <c r="T719" i="33"/>
  <c r="W719" i="33" s="1"/>
  <c r="S719" i="33"/>
  <c r="R719" i="33"/>
  <c r="K719" i="33"/>
  <c r="F719" i="33"/>
  <c r="I719" i="33" s="1"/>
  <c r="V717" i="33"/>
  <c r="T717" i="33"/>
  <c r="W717" i="33" s="1"/>
  <c r="S717" i="33"/>
  <c r="R717" i="33"/>
  <c r="K717" i="33"/>
  <c r="F717" i="33"/>
  <c r="H717" i="33" s="1"/>
  <c r="V715" i="33"/>
  <c r="T715" i="33"/>
  <c r="W715" i="33" s="1"/>
  <c r="S715" i="33"/>
  <c r="R715" i="33"/>
  <c r="K715" i="33"/>
  <c r="F715" i="33"/>
  <c r="I715" i="33" s="1"/>
  <c r="V714" i="33"/>
  <c r="T714" i="33"/>
  <c r="X714" i="33" s="1"/>
  <c r="S714" i="33"/>
  <c r="R714" i="33"/>
  <c r="K714" i="33"/>
  <c r="F714" i="33"/>
  <c r="G714" i="33" s="1"/>
  <c r="V712" i="33"/>
  <c r="T712" i="33"/>
  <c r="W712" i="33" s="1"/>
  <c r="S712" i="33"/>
  <c r="R712" i="33"/>
  <c r="K712" i="33"/>
  <c r="F712" i="33"/>
  <c r="G712" i="33" s="1"/>
  <c r="V710" i="33"/>
  <c r="T710" i="33"/>
  <c r="W710" i="33" s="1"/>
  <c r="S710" i="33"/>
  <c r="R710" i="33"/>
  <c r="K710" i="33"/>
  <c r="F710" i="33"/>
  <c r="H710" i="33" s="1"/>
  <c r="V708" i="33"/>
  <c r="T708" i="33"/>
  <c r="X708" i="33" s="1"/>
  <c r="S708" i="33"/>
  <c r="R708" i="33"/>
  <c r="K708" i="33"/>
  <c r="F708" i="33"/>
  <c r="G708" i="33" s="1"/>
  <c r="V707" i="33"/>
  <c r="T707" i="33"/>
  <c r="W707" i="33" s="1"/>
  <c r="S707" i="33"/>
  <c r="R707" i="33"/>
  <c r="K707" i="33"/>
  <c r="F707" i="33"/>
  <c r="I707" i="33" s="1"/>
  <c r="V705" i="33"/>
  <c r="T705" i="33"/>
  <c r="W705" i="33" s="1"/>
  <c r="S705" i="33"/>
  <c r="R705" i="33"/>
  <c r="K705" i="33"/>
  <c r="F705" i="33"/>
  <c r="H705" i="33" s="1"/>
  <c r="V703" i="33"/>
  <c r="T703" i="33"/>
  <c r="X703" i="33" s="1"/>
  <c r="S703" i="33"/>
  <c r="R703" i="33"/>
  <c r="K703" i="33"/>
  <c r="F703" i="33"/>
  <c r="H703" i="33" s="1"/>
  <c r="V761" i="33"/>
  <c r="T761" i="33"/>
  <c r="Z761" i="33" s="1"/>
  <c r="S761" i="33"/>
  <c r="R761" i="33"/>
  <c r="K761" i="33"/>
  <c r="F761" i="33"/>
  <c r="H761" i="33" s="1"/>
  <c r="V682" i="33"/>
  <c r="T682" i="33"/>
  <c r="Y682" i="33" s="1"/>
  <c r="S682" i="33"/>
  <c r="R682" i="33"/>
  <c r="K682" i="33"/>
  <c r="F682" i="33"/>
  <c r="G682" i="33" s="1"/>
  <c r="V689" i="33"/>
  <c r="T689" i="33"/>
  <c r="Y689" i="33" s="1"/>
  <c r="S689" i="33"/>
  <c r="R689" i="33"/>
  <c r="K689" i="33"/>
  <c r="F689" i="33"/>
  <c r="H689" i="33" s="1"/>
  <c r="V686" i="33"/>
  <c r="T686" i="33"/>
  <c r="Y686" i="33" s="1"/>
  <c r="S686" i="33"/>
  <c r="R686" i="33"/>
  <c r="K686" i="33"/>
  <c r="F686" i="33"/>
  <c r="I686" i="33" s="1"/>
  <c r="V684" i="33"/>
  <c r="T684" i="33"/>
  <c r="Z684" i="33" s="1"/>
  <c r="S684" i="33"/>
  <c r="R684" i="33"/>
  <c r="K684" i="33"/>
  <c r="F684" i="33"/>
  <c r="G684" i="33" s="1"/>
  <c r="V680" i="33"/>
  <c r="T680" i="33"/>
  <c r="Y680" i="33" s="1"/>
  <c r="S680" i="33"/>
  <c r="R680" i="33"/>
  <c r="K680" i="33"/>
  <c r="F680" i="33"/>
  <c r="AE494" i="35"/>
  <c r="Y494" i="35"/>
  <c r="X494" i="35"/>
  <c r="U494" i="35"/>
  <c r="S494" i="35"/>
  <c r="R494" i="35"/>
  <c r="Q494" i="35"/>
  <c r="K494" i="35"/>
  <c r="F494" i="35"/>
  <c r="G494" i="35" s="1"/>
  <c r="AE492" i="35"/>
  <c r="Y492" i="35"/>
  <c r="X492" i="35"/>
  <c r="U492" i="35"/>
  <c r="S492" i="35"/>
  <c r="R492" i="35"/>
  <c r="Q492" i="35"/>
  <c r="K492" i="35"/>
  <c r="F492" i="35"/>
  <c r="G492" i="35" s="1"/>
  <c r="V669" i="33"/>
  <c r="T669" i="33"/>
  <c r="S669" i="33"/>
  <c r="R669" i="33"/>
  <c r="K669" i="33"/>
  <c r="F669" i="33"/>
  <c r="I669" i="33" s="1"/>
  <c r="V674" i="33"/>
  <c r="T674" i="33"/>
  <c r="S674" i="33"/>
  <c r="R674" i="33"/>
  <c r="K674" i="33"/>
  <c r="F674" i="33"/>
  <c r="H674" i="33" s="1"/>
  <c r="V672" i="33"/>
  <c r="T672" i="33"/>
  <c r="Z672" i="33" s="1"/>
  <c r="S672" i="33"/>
  <c r="R672" i="33"/>
  <c r="K672" i="33"/>
  <c r="F672" i="33"/>
  <c r="H672" i="33" s="1"/>
  <c r="V671" i="33"/>
  <c r="T671" i="33"/>
  <c r="Z671" i="33" s="1"/>
  <c r="S671" i="33"/>
  <c r="R671" i="33"/>
  <c r="K671" i="33"/>
  <c r="F671" i="33"/>
  <c r="I671" i="33" s="1"/>
  <c r="V667" i="33"/>
  <c r="T667" i="33"/>
  <c r="Y667" i="33" s="1"/>
  <c r="S667" i="33"/>
  <c r="R667" i="33"/>
  <c r="K667" i="33"/>
  <c r="F667" i="33"/>
  <c r="G667" i="33" s="1"/>
  <c r="V665" i="33"/>
  <c r="T665" i="33"/>
  <c r="Z665" i="33" s="1"/>
  <c r="S665" i="33"/>
  <c r="R665" i="33"/>
  <c r="K665" i="33"/>
  <c r="F665" i="33"/>
  <c r="H665" i="33" s="1"/>
  <c r="V663" i="33"/>
  <c r="T663" i="33"/>
  <c r="Z663" i="33" s="1"/>
  <c r="S663" i="33"/>
  <c r="R663" i="33"/>
  <c r="K663" i="33"/>
  <c r="F663" i="33"/>
  <c r="G663" i="33" s="1"/>
  <c r="V661" i="33"/>
  <c r="T661" i="33"/>
  <c r="Z661" i="33" s="1"/>
  <c r="S661" i="33"/>
  <c r="R661" i="33"/>
  <c r="K661" i="33"/>
  <c r="F661" i="33"/>
  <c r="I661" i="33" s="1"/>
  <c r="V659" i="33"/>
  <c r="T659" i="33"/>
  <c r="S659" i="33"/>
  <c r="R659" i="33"/>
  <c r="K659" i="33"/>
  <c r="F659" i="33"/>
  <c r="V657" i="33"/>
  <c r="T657" i="33"/>
  <c r="Y657" i="33" s="1"/>
  <c r="S657" i="33"/>
  <c r="R657" i="33"/>
  <c r="K657" i="33"/>
  <c r="F657" i="33"/>
  <c r="I657" i="33" s="1"/>
  <c r="V655" i="33"/>
  <c r="T655" i="33"/>
  <c r="Z655" i="33" s="1"/>
  <c r="S655" i="33"/>
  <c r="R655" i="33"/>
  <c r="K655" i="33"/>
  <c r="F655" i="33"/>
  <c r="G655" i="33" s="1"/>
  <c r="V653" i="33"/>
  <c r="T653" i="33"/>
  <c r="Y653" i="33" s="1"/>
  <c r="S653" i="33"/>
  <c r="R653" i="33"/>
  <c r="K653" i="33"/>
  <c r="F653" i="33"/>
  <c r="I653" i="33" s="1"/>
  <c r="AE506" i="35"/>
  <c r="Y506" i="35"/>
  <c r="X506" i="35"/>
  <c r="U506" i="35"/>
  <c r="S506" i="35"/>
  <c r="R506" i="35"/>
  <c r="Q506" i="35"/>
  <c r="K506" i="35"/>
  <c r="F506" i="35"/>
  <c r="AE508" i="35"/>
  <c r="Y508" i="35"/>
  <c r="X508" i="35"/>
  <c r="U508" i="35"/>
  <c r="S508" i="35"/>
  <c r="R508" i="35"/>
  <c r="Q508" i="35"/>
  <c r="K508" i="35"/>
  <c r="F508" i="35"/>
  <c r="H508" i="35" s="1"/>
  <c r="AE502" i="35"/>
  <c r="Y502" i="35"/>
  <c r="X502" i="35"/>
  <c r="U502" i="35"/>
  <c r="S502" i="35"/>
  <c r="R502" i="35"/>
  <c r="Q502" i="35"/>
  <c r="K502" i="35"/>
  <c r="F502" i="35"/>
  <c r="G502" i="35" s="1"/>
  <c r="AE500" i="35"/>
  <c r="Y500" i="35"/>
  <c r="X500" i="35"/>
  <c r="U500" i="35"/>
  <c r="S500" i="35"/>
  <c r="R500" i="35"/>
  <c r="Q500" i="35"/>
  <c r="K500" i="35"/>
  <c r="F500" i="35"/>
  <c r="G500" i="35" s="1"/>
  <c r="AE486" i="35"/>
  <c r="Y486" i="35"/>
  <c r="X486" i="35"/>
  <c r="U486" i="35"/>
  <c r="S486" i="35"/>
  <c r="R486" i="35"/>
  <c r="Q486" i="35"/>
  <c r="K486" i="35"/>
  <c r="F486" i="35"/>
  <c r="AE484" i="35"/>
  <c r="Y484" i="35"/>
  <c r="X484" i="35"/>
  <c r="U484" i="35"/>
  <c r="S484" i="35"/>
  <c r="R484" i="35"/>
  <c r="Q484" i="35"/>
  <c r="K484" i="35"/>
  <c r="F484" i="35"/>
  <c r="I484" i="35" s="1"/>
  <c r="AE468" i="35"/>
  <c r="Y468" i="35"/>
  <c r="X468" i="35"/>
  <c r="U468" i="35"/>
  <c r="S468" i="35"/>
  <c r="R468" i="35"/>
  <c r="Q468" i="35"/>
  <c r="K468" i="35"/>
  <c r="F468" i="35"/>
  <c r="I468" i="35" s="1"/>
  <c r="AE467" i="35"/>
  <c r="Y467" i="35"/>
  <c r="X467" i="35"/>
  <c r="U467" i="35"/>
  <c r="S467" i="35"/>
  <c r="R467" i="35"/>
  <c r="Q467" i="35"/>
  <c r="K467" i="35"/>
  <c r="F467" i="35"/>
  <c r="AE463" i="35"/>
  <c r="Y463" i="35"/>
  <c r="X463" i="35"/>
  <c r="U463" i="35"/>
  <c r="S463" i="35"/>
  <c r="R463" i="35"/>
  <c r="Q463" i="35"/>
  <c r="K463" i="35"/>
  <c r="F463" i="35"/>
  <c r="G463" i="35" s="1"/>
  <c r="V637" i="33"/>
  <c r="T637" i="33"/>
  <c r="Y637" i="33" s="1"/>
  <c r="S637" i="33"/>
  <c r="R637" i="33"/>
  <c r="K637" i="33"/>
  <c r="F637" i="33"/>
  <c r="V639" i="33"/>
  <c r="T639" i="33"/>
  <c r="Y639" i="33" s="1"/>
  <c r="S639" i="33"/>
  <c r="R639" i="33"/>
  <c r="K639" i="33"/>
  <c r="F639" i="33"/>
  <c r="I639" i="33" s="1"/>
  <c r="V643" i="33"/>
  <c r="T643" i="33"/>
  <c r="Z643" i="33" s="1"/>
  <c r="S643" i="33"/>
  <c r="R643" i="33"/>
  <c r="K643" i="33"/>
  <c r="F643" i="33"/>
  <c r="H643" i="33" s="1"/>
  <c r="V629" i="33"/>
  <c r="T629" i="33"/>
  <c r="W629" i="33" s="1"/>
  <c r="S629" i="33"/>
  <c r="R629" i="33"/>
  <c r="K629" i="33"/>
  <c r="F629" i="33"/>
  <c r="H629" i="33" s="1"/>
  <c r="AE504" i="35"/>
  <c r="Y504" i="35"/>
  <c r="X504" i="35"/>
  <c r="U504" i="35"/>
  <c r="S504" i="35"/>
  <c r="R504" i="35"/>
  <c r="Q504" i="35"/>
  <c r="K504" i="35"/>
  <c r="F504" i="35"/>
  <c r="AE475" i="35"/>
  <c r="Y475" i="35"/>
  <c r="X475" i="35"/>
  <c r="U475" i="35"/>
  <c r="S475" i="35"/>
  <c r="R475" i="35"/>
  <c r="Q475" i="35"/>
  <c r="K475" i="35"/>
  <c r="F475" i="35"/>
  <c r="AE473" i="35"/>
  <c r="Y473" i="35"/>
  <c r="X473" i="35"/>
  <c r="U473" i="35"/>
  <c r="S473" i="35"/>
  <c r="R473" i="35"/>
  <c r="Q473" i="35"/>
  <c r="K473" i="35"/>
  <c r="F473" i="35"/>
  <c r="AE465" i="35"/>
  <c r="Y465" i="35"/>
  <c r="X465" i="35"/>
  <c r="U465" i="35"/>
  <c r="S465" i="35"/>
  <c r="R465" i="35"/>
  <c r="Q465" i="35"/>
  <c r="K465" i="35"/>
  <c r="F465" i="35"/>
  <c r="AE498" i="35"/>
  <c r="Y498" i="35"/>
  <c r="X498" i="35"/>
  <c r="U498" i="35"/>
  <c r="S498" i="35"/>
  <c r="R498" i="35"/>
  <c r="Q498" i="35"/>
  <c r="K498" i="35"/>
  <c r="F498" i="35"/>
  <c r="G498" i="35" s="1"/>
  <c r="AE496" i="35"/>
  <c r="Y496" i="35"/>
  <c r="X496" i="35"/>
  <c r="U496" i="35"/>
  <c r="S496" i="35"/>
  <c r="R496" i="35"/>
  <c r="Q496" i="35"/>
  <c r="K496" i="35"/>
  <c r="F496" i="35"/>
  <c r="I496" i="35" s="1"/>
  <c r="AE482" i="35"/>
  <c r="Y482" i="35"/>
  <c r="X482" i="35"/>
  <c r="U482" i="35"/>
  <c r="S482" i="35"/>
  <c r="R482" i="35"/>
  <c r="Q482" i="35"/>
  <c r="K482" i="35"/>
  <c r="F482" i="35"/>
  <c r="H482" i="35" s="1"/>
  <c r="AE481" i="35"/>
  <c r="Y481" i="35"/>
  <c r="X481" i="35"/>
  <c r="U481" i="35"/>
  <c r="S481" i="35"/>
  <c r="R481" i="35"/>
  <c r="Q481" i="35"/>
  <c r="K481" i="35"/>
  <c r="F481" i="35"/>
  <c r="H481" i="35" s="1"/>
  <c r="AE479" i="35"/>
  <c r="Y479" i="35"/>
  <c r="X479" i="35"/>
  <c r="U479" i="35"/>
  <c r="S479" i="35"/>
  <c r="R479" i="35"/>
  <c r="Q479" i="35"/>
  <c r="K479" i="35"/>
  <c r="F479" i="35"/>
  <c r="AE477" i="35"/>
  <c r="Y477" i="35"/>
  <c r="X477" i="35"/>
  <c r="U477" i="35"/>
  <c r="S477" i="35"/>
  <c r="R477" i="35"/>
  <c r="Q477" i="35"/>
  <c r="K477" i="35"/>
  <c r="F477" i="35"/>
  <c r="I477" i="35" s="1"/>
  <c r="Y447" i="35"/>
  <c r="X447" i="35"/>
  <c r="W447" i="35"/>
  <c r="V447" i="35"/>
  <c r="U447" i="35"/>
  <c r="S447" i="35"/>
  <c r="R447" i="35"/>
  <c r="Q447" i="35"/>
  <c r="K447" i="35"/>
  <c r="F447" i="35"/>
  <c r="I447" i="35" s="1"/>
  <c r="Y445" i="35"/>
  <c r="X445" i="35"/>
  <c r="W445" i="35"/>
  <c r="V445" i="35"/>
  <c r="U445" i="35"/>
  <c r="S445" i="35"/>
  <c r="R445" i="35"/>
  <c r="Q445" i="35"/>
  <c r="K445" i="35"/>
  <c r="F445" i="35"/>
  <c r="I445" i="35" s="1"/>
  <c r="Y443" i="35"/>
  <c r="X443" i="35"/>
  <c r="W443" i="35"/>
  <c r="V443" i="35"/>
  <c r="U443" i="35"/>
  <c r="S443" i="35"/>
  <c r="R443" i="35"/>
  <c r="Q443" i="35"/>
  <c r="K443" i="35"/>
  <c r="F443" i="35"/>
  <c r="I443" i="35" s="1"/>
  <c r="V651" i="33"/>
  <c r="T651" i="33"/>
  <c r="Y651" i="33" s="1"/>
  <c r="S651" i="33"/>
  <c r="R651" i="33"/>
  <c r="K651" i="33"/>
  <c r="F651" i="33"/>
  <c r="I651" i="33" s="1"/>
  <c r="Z650" i="33"/>
  <c r="Y650" i="33"/>
  <c r="X650" i="33"/>
  <c r="W650" i="33"/>
  <c r="V650" i="33"/>
  <c r="T650" i="33"/>
  <c r="S650" i="33"/>
  <c r="R650" i="33"/>
  <c r="L650" i="33"/>
  <c r="K650" i="33"/>
  <c r="I650" i="33"/>
  <c r="H650" i="33"/>
  <c r="G650" i="33"/>
  <c r="F650" i="33"/>
  <c r="V649" i="33"/>
  <c r="T649" i="33"/>
  <c r="S649" i="33"/>
  <c r="R649" i="33"/>
  <c r="K649" i="33"/>
  <c r="F649" i="33"/>
  <c r="H649" i="33" s="1"/>
  <c r="V627" i="33"/>
  <c r="T627" i="33"/>
  <c r="W627" i="33" s="1"/>
  <c r="S627" i="33"/>
  <c r="R627" i="33"/>
  <c r="K627" i="33"/>
  <c r="F627" i="33"/>
  <c r="G627" i="33" s="1"/>
  <c r="V625" i="33"/>
  <c r="T625" i="33"/>
  <c r="X625" i="33" s="1"/>
  <c r="S625" i="33"/>
  <c r="R625" i="33"/>
  <c r="K625" i="33"/>
  <c r="F625" i="33"/>
  <c r="V619" i="33"/>
  <c r="T619" i="33"/>
  <c r="Z619" i="33" s="1"/>
  <c r="S619" i="33"/>
  <c r="R619" i="33"/>
  <c r="K619" i="33"/>
  <c r="F619" i="33"/>
  <c r="G619" i="33" s="1"/>
  <c r="V623" i="33"/>
  <c r="T623" i="33"/>
  <c r="W623" i="33" s="1"/>
  <c r="S623" i="33"/>
  <c r="R623" i="33"/>
  <c r="K623" i="33"/>
  <c r="F623" i="33"/>
  <c r="H623" i="33" s="1"/>
  <c r="V621" i="33"/>
  <c r="T621" i="33"/>
  <c r="W621" i="33" s="1"/>
  <c r="S621" i="33"/>
  <c r="R621" i="33"/>
  <c r="K621" i="33"/>
  <c r="F621" i="33"/>
  <c r="H621" i="33" s="1"/>
  <c r="V617" i="33"/>
  <c r="T617" i="33"/>
  <c r="Z617" i="33" s="1"/>
  <c r="S617" i="33"/>
  <c r="R617" i="33"/>
  <c r="K617" i="33"/>
  <c r="F617" i="33"/>
  <c r="V615" i="33"/>
  <c r="T615" i="33"/>
  <c r="X615" i="33" s="1"/>
  <c r="S615" i="33"/>
  <c r="R615" i="33"/>
  <c r="K615" i="33"/>
  <c r="F615" i="33"/>
  <c r="G615" i="33" s="1"/>
  <c r="V614" i="33"/>
  <c r="T614" i="33"/>
  <c r="Y614" i="33" s="1"/>
  <c r="S614" i="33"/>
  <c r="R614" i="33"/>
  <c r="K614" i="33"/>
  <c r="F614" i="33"/>
  <c r="G614" i="33" s="1"/>
  <c r="V612" i="33"/>
  <c r="T612" i="33"/>
  <c r="X612" i="33" s="1"/>
  <c r="S612" i="33"/>
  <c r="R612" i="33"/>
  <c r="K612" i="33"/>
  <c r="F612" i="33"/>
  <c r="G612" i="33" s="1"/>
  <c r="V610" i="33"/>
  <c r="T610" i="33"/>
  <c r="Y610" i="33" s="1"/>
  <c r="S610" i="33"/>
  <c r="R610" i="33"/>
  <c r="K610" i="33"/>
  <c r="F610" i="33"/>
  <c r="T607" i="33"/>
  <c r="X607" i="33" s="1"/>
  <c r="V608" i="33"/>
  <c r="T608" i="33"/>
  <c r="X608" i="33" s="1"/>
  <c r="S608" i="33"/>
  <c r="R608" i="33"/>
  <c r="K608" i="33"/>
  <c r="F608" i="33"/>
  <c r="I608" i="33" s="1"/>
  <c r="V607" i="33"/>
  <c r="S607" i="33"/>
  <c r="R607" i="33"/>
  <c r="K607" i="33"/>
  <c r="F607" i="33"/>
  <c r="I607" i="33" s="1"/>
  <c r="V605" i="33"/>
  <c r="T605" i="33"/>
  <c r="W605" i="33" s="1"/>
  <c r="S605" i="33"/>
  <c r="R605" i="33"/>
  <c r="K605" i="33"/>
  <c r="F605" i="33"/>
  <c r="G605" i="33" s="1"/>
  <c r="V603" i="33"/>
  <c r="T603" i="33"/>
  <c r="Y603" i="33" s="1"/>
  <c r="S603" i="33"/>
  <c r="R603" i="33"/>
  <c r="K603" i="33"/>
  <c r="F603" i="33"/>
  <c r="V601" i="33"/>
  <c r="T601" i="33"/>
  <c r="W601" i="33" s="1"/>
  <c r="S601" i="33"/>
  <c r="R601" i="33"/>
  <c r="K601" i="33"/>
  <c r="F601" i="33"/>
  <c r="G601" i="33" s="1"/>
  <c r="V599" i="33"/>
  <c r="T599" i="33"/>
  <c r="W599" i="33" s="1"/>
  <c r="S599" i="33"/>
  <c r="R599" i="33"/>
  <c r="K599" i="33"/>
  <c r="F599" i="33"/>
  <c r="G599" i="33" s="1"/>
  <c r="Y428" i="35"/>
  <c r="X428" i="35"/>
  <c r="W428" i="35"/>
  <c r="V428" i="35"/>
  <c r="U428" i="35"/>
  <c r="S428" i="35"/>
  <c r="R428" i="35"/>
  <c r="Q428" i="35"/>
  <c r="L428" i="35"/>
  <c r="K428" i="35"/>
  <c r="I428" i="35"/>
  <c r="H428" i="35"/>
  <c r="G428" i="35"/>
  <c r="F428" i="35"/>
  <c r="AE427" i="35"/>
  <c r="Y427" i="35"/>
  <c r="X427" i="35"/>
  <c r="U427" i="35"/>
  <c r="S427" i="35"/>
  <c r="R427" i="35"/>
  <c r="Q427" i="35"/>
  <c r="K427" i="35"/>
  <c r="F427" i="35"/>
  <c r="Y426" i="35"/>
  <c r="X426" i="35"/>
  <c r="W426" i="35"/>
  <c r="V426" i="35"/>
  <c r="U426" i="35"/>
  <c r="S426" i="35"/>
  <c r="R426" i="35"/>
  <c r="Q426" i="35"/>
  <c r="L426" i="35"/>
  <c r="K426" i="35"/>
  <c r="I426" i="35"/>
  <c r="H426" i="35"/>
  <c r="G426" i="35"/>
  <c r="F426" i="35"/>
  <c r="AE425" i="35"/>
  <c r="Y425" i="35"/>
  <c r="X425" i="35"/>
  <c r="U425" i="35"/>
  <c r="S425" i="35"/>
  <c r="R425" i="35"/>
  <c r="Q425" i="35"/>
  <c r="K425" i="35"/>
  <c r="F425" i="35"/>
  <c r="Y424" i="35"/>
  <c r="X424" i="35"/>
  <c r="W424" i="35"/>
  <c r="V424" i="35"/>
  <c r="U424" i="35"/>
  <c r="S424" i="35"/>
  <c r="R424" i="35"/>
  <c r="Q424" i="35"/>
  <c r="L424" i="35"/>
  <c r="K424" i="35"/>
  <c r="H424" i="35"/>
  <c r="G424" i="35"/>
  <c r="F424" i="35"/>
  <c r="AE423" i="35"/>
  <c r="Y423" i="35"/>
  <c r="X423" i="35"/>
  <c r="U423" i="35"/>
  <c r="S423" i="35"/>
  <c r="R423" i="35"/>
  <c r="Q423" i="35"/>
  <c r="K423" i="35"/>
  <c r="F423" i="35"/>
  <c r="Y421" i="35"/>
  <c r="X421" i="35"/>
  <c r="U421" i="35"/>
  <c r="S421" i="35"/>
  <c r="R421" i="35"/>
  <c r="Q421" i="35"/>
  <c r="K421" i="35"/>
  <c r="F421" i="35"/>
  <c r="AE420" i="35"/>
  <c r="Y420" i="35"/>
  <c r="X420" i="35"/>
  <c r="U420" i="35"/>
  <c r="S420" i="35"/>
  <c r="R420" i="35"/>
  <c r="Q420" i="35"/>
  <c r="K420" i="35"/>
  <c r="F420" i="35"/>
  <c r="I420" i="35" s="1"/>
  <c r="Y419" i="35"/>
  <c r="X419" i="35"/>
  <c r="W419" i="35"/>
  <c r="V419" i="35"/>
  <c r="U419" i="35"/>
  <c r="S419" i="35"/>
  <c r="R419" i="35"/>
  <c r="Q419" i="35"/>
  <c r="L419" i="35"/>
  <c r="K419" i="35"/>
  <c r="I419" i="35"/>
  <c r="H419" i="35"/>
  <c r="G419" i="35"/>
  <c r="F419" i="35"/>
  <c r="AE418" i="35"/>
  <c r="Y418" i="35"/>
  <c r="X418" i="35"/>
  <c r="U418" i="35"/>
  <c r="S418" i="35"/>
  <c r="R418" i="35"/>
  <c r="Q418" i="35"/>
  <c r="K418" i="35"/>
  <c r="F418" i="35"/>
  <c r="I418" i="35" s="1"/>
  <c r="AE402" i="35"/>
  <c r="Y402" i="35"/>
  <c r="X402" i="35"/>
  <c r="U402" i="35"/>
  <c r="S402" i="35"/>
  <c r="R402" i="35"/>
  <c r="Q402" i="35"/>
  <c r="K402" i="35"/>
  <c r="F402" i="35"/>
  <c r="H402" i="35" s="1"/>
  <c r="Y401" i="35"/>
  <c r="X401" i="35"/>
  <c r="W401" i="35"/>
  <c r="V401" i="35"/>
  <c r="U401" i="35"/>
  <c r="S401" i="35"/>
  <c r="R401" i="35"/>
  <c r="Q401" i="35"/>
  <c r="L401" i="35"/>
  <c r="K401" i="35"/>
  <c r="I401" i="35"/>
  <c r="H401" i="35"/>
  <c r="G401" i="35"/>
  <c r="F401" i="35"/>
  <c r="AE400" i="35"/>
  <c r="Y400" i="35"/>
  <c r="X400" i="35"/>
  <c r="U400" i="35"/>
  <c r="S400" i="35"/>
  <c r="R400" i="35"/>
  <c r="Q400" i="35"/>
  <c r="K400" i="35"/>
  <c r="F400" i="35"/>
  <c r="G400" i="35" s="1"/>
  <c r="Y399" i="35"/>
  <c r="X399" i="35"/>
  <c r="W399" i="35"/>
  <c r="V399" i="35"/>
  <c r="U399" i="35"/>
  <c r="S399" i="35"/>
  <c r="R399" i="35"/>
  <c r="Q399" i="35"/>
  <c r="L399" i="35"/>
  <c r="K399" i="35"/>
  <c r="I399" i="35"/>
  <c r="H399" i="35"/>
  <c r="G399" i="35"/>
  <c r="F399" i="35"/>
  <c r="AE398" i="35"/>
  <c r="Y398" i="35"/>
  <c r="X398" i="35"/>
  <c r="U398" i="35"/>
  <c r="S398" i="35"/>
  <c r="R398" i="35"/>
  <c r="Q398" i="35"/>
  <c r="K398" i="35"/>
  <c r="F398" i="35"/>
  <c r="Z573" i="33"/>
  <c r="Y573" i="33"/>
  <c r="X573" i="33"/>
  <c r="W573" i="33"/>
  <c r="V573" i="33"/>
  <c r="T573" i="33"/>
  <c r="S573" i="33"/>
  <c r="R573" i="33"/>
  <c r="L573" i="33"/>
  <c r="K573" i="33"/>
  <c r="I573" i="33"/>
  <c r="H573" i="33"/>
  <c r="G573" i="33"/>
  <c r="F573" i="33"/>
  <c r="V572" i="33"/>
  <c r="T572" i="33"/>
  <c r="W572" i="33" s="1"/>
  <c r="S572" i="33"/>
  <c r="R572" i="33"/>
  <c r="K572" i="33"/>
  <c r="F572" i="33"/>
  <c r="H572" i="33" s="1"/>
  <c r="Z571" i="33"/>
  <c r="Y571" i="33"/>
  <c r="X571" i="33"/>
  <c r="W571" i="33"/>
  <c r="V571" i="33"/>
  <c r="T571" i="33"/>
  <c r="S571" i="33"/>
  <c r="R571" i="33"/>
  <c r="L571" i="33"/>
  <c r="K571" i="33"/>
  <c r="I571" i="33"/>
  <c r="H571" i="33"/>
  <c r="G571" i="33"/>
  <c r="F571" i="33"/>
  <c r="V570" i="33"/>
  <c r="T570" i="33"/>
  <c r="X570" i="33" s="1"/>
  <c r="S570" i="33"/>
  <c r="R570" i="33"/>
  <c r="K570" i="33"/>
  <c r="F570" i="33"/>
  <c r="H570" i="33" s="1"/>
  <c r="Z569" i="33"/>
  <c r="Y569" i="33"/>
  <c r="X569" i="33"/>
  <c r="W569" i="33"/>
  <c r="V569" i="33"/>
  <c r="T569" i="33"/>
  <c r="S569" i="33"/>
  <c r="R569" i="33"/>
  <c r="L569" i="33"/>
  <c r="K569" i="33"/>
  <c r="I569" i="33"/>
  <c r="H569" i="33"/>
  <c r="G569" i="33"/>
  <c r="F569" i="33"/>
  <c r="V568" i="33"/>
  <c r="T568" i="33"/>
  <c r="X568" i="33" s="1"/>
  <c r="S568" i="33"/>
  <c r="R568" i="33"/>
  <c r="K568" i="33"/>
  <c r="F568" i="33"/>
  <c r="H568" i="33" s="1"/>
  <c r="Z567" i="33"/>
  <c r="Y567" i="33"/>
  <c r="X567" i="33"/>
  <c r="W567" i="33"/>
  <c r="V567" i="33"/>
  <c r="T567" i="33"/>
  <c r="S567" i="33"/>
  <c r="R567" i="33"/>
  <c r="L567" i="33"/>
  <c r="K567" i="33"/>
  <c r="I567" i="33"/>
  <c r="H567" i="33"/>
  <c r="G567" i="33"/>
  <c r="F567" i="33"/>
  <c r="V566" i="33"/>
  <c r="T566" i="33"/>
  <c r="W566" i="33" s="1"/>
  <c r="S566" i="33"/>
  <c r="R566" i="33"/>
  <c r="K566" i="33"/>
  <c r="F566" i="33"/>
  <c r="I566" i="33" s="1"/>
  <c r="AE410" i="35"/>
  <c r="Y411" i="35"/>
  <c r="X411" i="35"/>
  <c r="W411" i="35"/>
  <c r="V411" i="35"/>
  <c r="U411" i="35"/>
  <c r="S411" i="35"/>
  <c r="R411" i="35"/>
  <c r="Q411" i="35"/>
  <c r="L411" i="35"/>
  <c r="K411" i="35"/>
  <c r="H411" i="35"/>
  <c r="G411" i="35"/>
  <c r="F411" i="35"/>
  <c r="Y410" i="35"/>
  <c r="X410" i="35"/>
  <c r="U410" i="35"/>
  <c r="S410" i="35"/>
  <c r="R410" i="35"/>
  <c r="Q410" i="35"/>
  <c r="K410" i="35"/>
  <c r="F410" i="35"/>
  <c r="Y405" i="35"/>
  <c r="X405" i="35"/>
  <c r="W405" i="35"/>
  <c r="V405" i="35"/>
  <c r="U405" i="35"/>
  <c r="S405" i="35"/>
  <c r="R405" i="35"/>
  <c r="Q405" i="35"/>
  <c r="L405" i="35"/>
  <c r="K405" i="35"/>
  <c r="I405" i="35"/>
  <c r="H405" i="35"/>
  <c r="G405" i="35"/>
  <c r="F405" i="35"/>
  <c r="AE404" i="35"/>
  <c r="Y404" i="35"/>
  <c r="X404" i="35"/>
  <c r="U404" i="35"/>
  <c r="S404" i="35"/>
  <c r="R404" i="35"/>
  <c r="Q404" i="35"/>
  <c r="K404" i="35"/>
  <c r="F404" i="35"/>
  <c r="Y409" i="35"/>
  <c r="X409" i="35"/>
  <c r="W409" i="35"/>
  <c r="V409" i="35"/>
  <c r="U409" i="35"/>
  <c r="S409" i="35"/>
  <c r="R409" i="35"/>
  <c r="Q409" i="35"/>
  <c r="L409" i="35"/>
  <c r="K409" i="35"/>
  <c r="I409" i="35"/>
  <c r="H409" i="35"/>
  <c r="G409" i="35"/>
  <c r="F409" i="35"/>
  <c r="AE408" i="35"/>
  <c r="Y408" i="35"/>
  <c r="X408" i="35"/>
  <c r="U408" i="35"/>
  <c r="S408" i="35"/>
  <c r="R408" i="35"/>
  <c r="Q408" i="35"/>
  <c r="K408" i="35"/>
  <c r="F408" i="35"/>
  <c r="Z543" i="33"/>
  <c r="Y543" i="33"/>
  <c r="X543" i="33"/>
  <c r="W543" i="33"/>
  <c r="V543" i="33"/>
  <c r="T543" i="33"/>
  <c r="S543" i="33"/>
  <c r="R543" i="33"/>
  <c r="L543" i="33"/>
  <c r="K543" i="33"/>
  <c r="I543" i="33"/>
  <c r="H543" i="33"/>
  <c r="G543" i="33"/>
  <c r="F543" i="33"/>
  <c r="V542" i="33"/>
  <c r="T542" i="33"/>
  <c r="W542" i="33" s="1"/>
  <c r="S542" i="33"/>
  <c r="R542" i="33"/>
  <c r="K542" i="33"/>
  <c r="F542" i="33"/>
  <c r="H542" i="33" s="1"/>
  <c r="Y386" i="35"/>
  <c r="X386" i="35"/>
  <c r="W386" i="35"/>
  <c r="V386" i="35"/>
  <c r="U386" i="35"/>
  <c r="S386" i="35"/>
  <c r="R386" i="35"/>
  <c r="Q386" i="35"/>
  <c r="K386" i="35"/>
  <c r="F386" i="35"/>
  <c r="H386" i="35" s="1"/>
  <c r="Z517" i="33"/>
  <c r="Y517" i="33"/>
  <c r="X517" i="33"/>
  <c r="W517" i="33"/>
  <c r="V517" i="33"/>
  <c r="T517" i="33"/>
  <c r="S517" i="33"/>
  <c r="R517" i="33"/>
  <c r="L517" i="33"/>
  <c r="K517" i="33"/>
  <c r="I517" i="33"/>
  <c r="H517" i="33"/>
  <c r="G517" i="33"/>
  <c r="F517" i="33"/>
  <c r="Z516" i="33"/>
  <c r="Y516" i="33"/>
  <c r="X516" i="33"/>
  <c r="W516" i="33"/>
  <c r="V516" i="33"/>
  <c r="S516" i="33"/>
  <c r="R516" i="33"/>
  <c r="K516" i="33"/>
  <c r="F516" i="33"/>
  <c r="G516" i="33" s="1"/>
  <c r="V515" i="33"/>
  <c r="T515" i="33"/>
  <c r="Y515" i="33" s="1"/>
  <c r="S515" i="33"/>
  <c r="R515" i="33"/>
  <c r="K515" i="33"/>
  <c r="F515" i="33"/>
  <c r="I515" i="33" s="1"/>
  <c r="AE394" i="35"/>
  <c r="Y362" i="35"/>
  <c r="X362" i="35"/>
  <c r="W362" i="35"/>
  <c r="V362" i="35"/>
  <c r="U362" i="35"/>
  <c r="S362" i="35"/>
  <c r="R362" i="35"/>
  <c r="Q362" i="35"/>
  <c r="K362" i="35"/>
  <c r="F362" i="35"/>
  <c r="I362" i="35" s="1"/>
  <c r="Z561" i="33"/>
  <c r="Y561" i="33"/>
  <c r="X561" i="33"/>
  <c r="W561" i="33"/>
  <c r="V561" i="33"/>
  <c r="T561" i="33"/>
  <c r="S561" i="33"/>
  <c r="R561" i="33"/>
  <c r="L561" i="33"/>
  <c r="K561" i="33"/>
  <c r="I561" i="33"/>
  <c r="H561" i="33"/>
  <c r="G561" i="33"/>
  <c r="F561" i="33"/>
  <c r="V560" i="33"/>
  <c r="T560" i="33"/>
  <c r="S560" i="33"/>
  <c r="R560" i="33"/>
  <c r="K560" i="33"/>
  <c r="F560" i="33"/>
  <c r="G560" i="33" s="1"/>
  <c r="AE412" i="35"/>
  <c r="AE406" i="35"/>
  <c r="AE392" i="35"/>
  <c r="AE390" i="35"/>
  <c r="V582" i="33"/>
  <c r="T582" i="33"/>
  <c r="Z582" i="33" s="1"/>
  <c r="S582" i="33"/>
  <c r="R582" i="33"/>
  <c r="K582" i="33"/>
  <c r="F582" i="33"/>
  <c r="I582" i="33" s="1"/>
  <c r="Y413" i="35"/>
  <c r="X413" i="35"/>
  <c r="W413" i="35"/>
  <c r="V413" i="35"/>
  <c r="U413" i="35"/>
  <c r="S413" i="35"/>
  <c r="R413" i="35"/>
  <c r="Q413" i="35"/>
  <c r="L413" i="35"/>
  <c r="K413" i="35"/>
  <c r="I413" i="35"/>
  <c r="H413" i="35"/>
  <c r="G413" i="35"/>
  <c r="F413" i="35"/>
  <c r="Y412" i="35"/>
  <c r="X412" i="35"/>
  <c r="U412" i="35"/>
  <c r="S412" i="35"/>
  <c r="R412" i="35"/>
  <c r="Q412" i="35"/>
  <c r="K412" i="35"/>
  <c r="F412" i="35"/>
  <c r="H412" i="35" s="1"/>
  <c r="S406" i="35"/>
  <c r="Y407" i="35"/>
  <c r="X407" i="35"/>
  <c r="W407" i="35"/>
  <c r="V407" i="35"/>
  <c r="U407" i="35"/>
  <c r="S407" i="35"/>
  <c r="R407" i="35"/>
  <c r="Q407" i="35"/>
  <c r="L407" i="35"/>
  <c r="K407" i="35"/>
  <c r="I407" i="35"/>
  <c r="H407" i="35"/>
  <c r="G407" i="35"/>
  <c r="F407" i="35"/>
  <c r="Y406" i="35"/>
  <c r="X406" i="35"/>
  <c r="U406" i="35"/>
  <c r="R406" i="35"/>
  <c r="Q406" i="35"/>
  <c r="K406" i="35"/>
  <c r="F406" i="35"/>
  <c r="H406" i="35" s="1"/>
  <c r="Y359" i="35"/>
  <c r="X359" i="35"/>
  <c r="W359" i="35"/>
  <c r="V359" i="35"/>
  <c r="U359" i="35"/>
  <c r="S359" i="35"/>
  <c r="R359" i="35"/>
  <c r="Q359" i="35"/>
  <c r="L359" i="35"/>
  <c r="K359" i="35"/>
  <c r="I359" i="35"/>
  <c r="H359" i="35"/>
  <c r="G359" i="35"/>
  <c r="F359" i="35"/>
  <c r="Y358" i="35"/>
  <c r="X358" i="35"/>
  <c r="W358" i="35"/>
  <c r="V358" i="35"/>
  <c r="U358" i="35"/>
  <c r="S358" i="35"/>
  <c r="R358" i="35"/>
  <c r="Q358" i="35"/>
  <c r="K358" i="35"/>
  <c r="F358" i="35"/>
  <c r="H358" i="35" s="1"/>
  <c r="V552" i="33"/>
  <c r="T552" i="33"/>
  <c r="Y552" i="33" s="1"/>
  <c r="S552" i="33"/>
  <c r="R552" i="33"/>
  <c r="K552" i="33"/>
  <c r="F552" i="33"/>
  <c r="K505" i="33"/>
  <c r="V503" i="33"/>
  <c r="T503" i="33"/>
  <c r="Y503" i="33" s="1"/>
  <c r="S503" i="33"/>
  <c r="R503" i="33"/>
  <c r="K503" i="33"/>
  <c r="F503" i="33"/>
  <c r="H503" i="33" s="1"/>
  <c r="Z474" i="33"/>
  <c r="Y474" i="33"/>
  <c r="X474" i="33"/>
  <c r="W474" i="33"/>
  <c r="V474" i="33"/>
  <c r="T474" i="33"/>
  <c r="S474" i="33"/>
  <c r="R474" i="33"/>
  <c r="L474" i="33"/>
  <c r="K474" i="33"/>
  <c r="I474" i="33"/>
  <c r="H474" i="33"/>
  <c r="G474" i="33"/>
  <c r="F474" i="33"/>
  <c r="V473" i="33"/>
  <c r="T473" i="33"/>
  <c r="Y473" i="33" s="1"/>
  <c r="S473" i="33"/>
  <c r="R473" i="33"/>
  <c r="K473" i="33"/>
  <c r="F473" i="33"/>
  <c r="H473" i="33" s="1"/>
  <c r="H353" i="35"/>
  <c r="Y345" i="35"/>
  <c r="X345" i="35"/>
  <c r="W345" i="35"/>
  <c r="V345" i="35"/>
  <c r="U345" i="35"/>
  <c r="S345" i="35"/>
  <c r="R345" i="35"/>
  <c r="Q345" i="35"/>
  <c r="L345" i="35"/>
  <c r="K345" i="35"/>
  <c r="I345" i="35"/>
  <c r="H345" i="35"/>
  <c r="G345" i="35"/>
  <c r="F345" i="35"/>
  <c r="Y344" i="35"/>
  <c r="X344" i="35"/>
  <c r="W344" i="35"/>
  <c r="V344" i="35"/>
  <c r="U344" i="35"/>
  <c r="S344" i="35"/>
  <c r="R344" i="35"/>
  <c r="Q344" i="35"/>
  <c r="L344" i="35"/>
  <c r="K344" i="35"/>
  <c r="I344" i="35"/>
  <c r="H344" i="35"/>
  <c r="G344" i="35"/>
  <c r="F344" i="35"/>
  <c r="Y343" i="35"/>
  <c r="X343" i="35"/>
  <c r="W343" i="35"/>
  <c r="V343" i="35"/>
  <c r="U343" i="35"/>
  <c r="S343" i="35"/>
  <c r="R343" i="35"/>
  <c r="Q343" i="35"/>
  <c r="L343" i="35"/>
  <c r="K343" i="35"/>
  <c r="I343" i="35"/>
  <c r="H343" i="35"/>
  <c r="G343" i="35"/>
  <c r="F343" i="35"/>
  <c r="Y342" i="35"/>
  <c r="X342" i="35"/>
  <c r="W342" i="35"/>
  <c r="V342" i="35"/>
  <c r="U342" i="35"/>
  <c r="S342" i="35"/>
  <c r="R342" i="35"/>
  <c r="Q342" i="35"/>
  <c r="L342" i="35"/>
  <c r="K342" i="35"/>
  <c r="I342" i="35"/>
  <c r="H342" i="35"/>
  <c r="G342" i="35"/>
  <c r="F342" i="35"/>
  <c r="Y331" i="35"/>
  <c r="X331" i="35"/>
  <c r="W331" i="35"/>
  <c r="V331" i="35"/>
  <c r="U331" i="35"/>
  <c r="S331" i="35"/>
  <c r="R331" i="35"/>
  <c r="Q331" i="35"/>
  <c r="L331" i="35"/>
  <c r="K331" i="35"/>
  <c r="I331" i="35"/>
  <c r="H331" i="35"/>
  <c r="G331" i="35"/>
  <c r="F331" i="35"/>
  <c r="AE330" i="35"/>
  <c r="Y330" i="35"/>
  <c r="X330" i="35"/>
  <c r="U330" i="35"/>
  <c r="S330" i="35"/>
  <c r="R330" i="35"/>
  <c r="Q330" i="35"/>
  <c r="K330" i="35"/>
  <c r="F330" i="35"/>
  <c r="Y329" i="35"/>
  <c r="X329" i="35"/>
  <c r="W329" i="35"/>
  <c r="V329" i="35"/>
  <c r="U329" i="35"/>
  <c r="S329" i="35"/>
  <c r="R329" i="35"/>
  <c r="Q329" i="35"/>
  <c r="L329" i="35"/>
  <c r="K329" i="35"/>
  <c r="I329" i="35"/>
  <c r="H329" i="35"/>
  <c r="G329" i="35"/>
  <c r="F329" i="35"/>
  <c r="AE328" i="35"/>
  <c r="Y328" i="35"/>
  <c r="X328" i="35"/>
  <c r="U328" i="35"/>
  <c r="S328" i="35"/>
  <c r="R328" i="35"/>
  <c r="Q328" i="35"/>
  <c r="K328" i="35"/>
  <c r="F328" i="35"/>
  <c r="G328" i="35" s="1"/>
  <c r="Y327" i="35"/>
  <c r="X327" i="35"/>
  <c r="W327" i="35"/>
  <c r="V327" i="35"/>
  <c r="U327" i="35"/>
  <c r="S327" i="35"/>
  <c r="R327" i="35"/>
  <c r="Q327" i="35"/>
  <c r="L327" i="35"/>
  <c r="K327" i="35"/>
  <c r="I327" i="35"/>
  <c r="H327" i="35"/>
  <c r="G327" i="35"/>
  <c r="F327" i="35"/>
  <c r="AE326" i="35"/>
  <c r="Y326" i="35"/>
  <c r="X326" i="35"/>
  <c r="U326" i="35"/>
  <c r="S326" i="35"/>
  <c r="R326" i="35"/>
  <c r="Q326" i="35"/>
  <c r="K326" i="35"/>
  <c r="F326" i="35"/>
  <c r="H326" i="35" s="1"/>
  <c r="Y320" i="35"/>
  <c r="X320" i="35"/>
  <c r="W320" i="35"/>
  <c r="V320" i="35"/>
  <c r="U320" i="35"/>
  <c r="S320" i="35"/>
  <c r="R320" i="35"/>
  <c r="Q320" i="35"/>
  <c r="L320" i="35"/>
  <c r="K320" i="35"/>
  <c r="I320" i="35"/>
  <c r="H320" i="35"/>
  <c r="G320" i="35"/>
  <c r="F320" i="35"/>
  <c r="Y319" i="35"/>
  <c r="X319" i="35"/>
  <c r="W319" i="35"/>
  <c r="V319" i="35"/>
  <c r="U319" i="35"/>
  <c r="S319" i="35"/>
  <c r="R319" i="35"/>
  <c r="Q319" i="35"/>
  <c r="L319" i="35"/>
  <c r="K319" i="35"/>
  <c r="I319" i="35"/>
  <c r="H319" i="35"/>
  <c r="G319" i="35"/>
  <c r="F319" i="35"/>
  <c r="Y318" i="35"/>
  <c r="X318" i="35"/>
  <c r="W318" i="35"/>
  <c r="V318" i="35"/>
  <c r="U318" i="35"/>
  <c r="S318" i="35"/>
  <c r="R318" i="35"/>
  <c r="Q318" i="35"/>
  <c r="L318" i="35"/>
  <c r="K318" i="35"/>
  <c r="I318" i="35"/>
  <c r="H318" i="35"/>
  <c r="G318" i="35"/>
  <c r="F318" i="35"/>
  <c r="AE322" i="35"/>
  <c r="Y322" i="35"/>
  <c r="X322" i="35"/>
  <c r="U322" i="35"/>
  <c r="S322" i="35"/>
  <c r="R322" i="35"/>
  <c r="Q322" i="35"/>
  <c r="K322" i="35"/>
  <c r="F322" i="35"/>
  <c r="G322" i="35" s="1"/>
  <c r="AE314" i="35"/>
  <c r="Y314" i="35"/>
  <c r="X314" i="35"/>
  <c r="U314" i="35"/>
  <c r="S314" i="35"/>
  <c r="R314" i="35"/>
  <c r="Q314" i="35"/>
  <c r="K314" i="35"/>
  <c r="F314" i="35"/>
  <c r="AE310" i="35"/>
  <c r="Y310" i="35"/>
  <c r="X310" i="35"/>
  <c r="U310" i="35"/>
  <c r="S310" i="35"/>
  <c r="R310" i="35"/>
  <c r="Q310" i="35"/>
  <c r="K310" i="35"/>
  <c r="F310" i="35"/>
  <c r="H310" i="35" s="1"/>
  <c r="Z478" i="33"/>
  <c r="Y478" i="33"/>
  <c r="X478" i="33"/>
  <c r="W478" i="33"/>
  <c r="V478" i="33"/>
  <c r="T478" i="33"/>
  <c r="S478" i="33"/>
  <c r="R478" i="33"/>
  <c r="L478" i="33"/>
  <c r="K478" i="33"/>
  <c r="I478" i="33"/>
  <c r="H478" i="33"/>
  <c r="G478" i="33"/>
  <c r="F478" i="33"/>
  <c r="V477" i="33"/>
  <c r="T477" i="33"/>
  <c r="Y477" i="33" s="1"/>
  <c r="S477" i="33"/>
  <c r="R477" i="33"/>
  <c r="K477" i="33"/>
  <c r="F477" i="33"/>
  <c r="H477" i="33" s="1"/>
  <c r="Z454" i="33"/>
  <c r="Y454" i="33"/>
  <c r="X454" i="33"/>
  <c r="W454" i="33"/>
  <c r="V454" i="33"/>
  <c r="T454" i="33"/>
  <c r="S454" i="33"/>
  <c r="R454" i="33"/>
  <c r="L454" i="33"/>
  <c r="K454" i="33"/>
  <c r="I454" i="33"/>
  <c r="H454" i="33"/>
  <c r="G454" i="33"/>
  <c r="F454" i="33"/>
  <c r="V453" i="33"/>
  <c r="T453" i="33"/>
  <c r="Y453" i="33" s="1"/>
  <c r="S453" i="33"/>
  <c r="R453" i="33"/>
  <c r="K453" i="33"/>
  <c r="F453" i="33"/>
  <c r="H453" i="33" s="1"/>
  <c r="AE334" i="35"/>
  <c r="Y334" i="35"/>
  <c r="X334" i="35"/>
  <c r="U334" i="35"/>
  <c r="S334" i="35"/>
  <c r="R334" i="35"/>
  <c r="Q334" i="35"/>
  <c r="K334" i="35"/>
  <c r="F334" i="35"/>
  <c r="H334" i="35" s="1"/>
  <c r="AE332" i="35"/>
  <c r="Y332" i="35"/>
  <c r="X332" i="35"/>
  <c r="U332" i="35"/>
  <c r="S332" i="35"/>
  <c r="R332" i="35"/>
  <c r="Q332" i="35"/>
  <c r="K332" i="35"/>
  <c r="F332" i="35"/>
  <c r="G332" i="35" s="1"/>
  <c r="Y325" i="35"/>
  <c r="X325" i="35"/>
  <c r="W325" i="35"/>
  <c r="V325" i="35"/>
  <c r="U325" i="35"/>
  <c r="S325" i="35"/>
  <c r="R325" i="35"/>
  <c r="Q325" i="35"/>
  <c r="L325" i="35"/>
  <c r="K325" i="35"/>
  <c r="I325" i="35"/>
  <c r="H325" i="35"/>
  <c r="G325" i="35"/>
  <c r="F325" i="35"/>
  <c r="AE324" i="35"/>
  <c r="Y324" i="35"/>
  <c r="X324" i="35"/>
  <c r="U324" i="35"/>
  <c r="S324" i="35"/>
  <c r="R324" i="35"/>
  <c r="Q324" i="35"/>
  <c r="K324" i="35"/>
  <c r="F324" i="35"/>
  <c r="I324" i="35" s="1"/>
  <c r="AE348" i="35"/>
  <c r="Y349" i="35"/>
  <c r="X349" i="35"/>
  <c r="W349" i="35"/>
  <c r="V349" i="35"/>
  <c r="U349" i="35"/>
  <c r="S349" i="35"/>
  <c r="R349" i="35"/>
  <c r="Q349" i="35"/>
  <c r="L349" i="35"/>
  <c r="K349" i="35"/>
  <c r="I349" i="35"/>
  <c r="H349" i="35"/>
  <c r="G349" i="35"/>
  <c r="F349" i="35"/>
  <c r="Y348" i="35"/>
  <c r="X348" i="35"/>
  <c r="U348" i="35"/>
  <c r="S348" i="35"/>
  <c r="R348" i="35"/>
  <c r="Q348" i="35"/>
  <c r="K348" i="35"/>
  <c r="F348" i="35"/>
  <c r="I348" i="35" s="1"/>
  <c r="Y347" i="35"/>
  <c r="X347" i="35"/>
  <c r="W347" i="35"/>
  <c r="V347" i="35"/>
  <c r="U347" i="35"/>
  <c r="S347" i="35"/>
  <c r="R347" i="35"/>
  <c r="Q347" i="35"/>
  <c r="L347" i="35"/>
  <c r="K347" i="35"/>
  <c r="I347" i="35"/>
  <c r="H347" i="35"/>
  <c r="G347" i="35"/>
  <c r="F347" i="35"/>
  <c r="AE346" i="35"/>
  <c r="Y346" i="35"/>
  <c r="X346" i="35"/>
  <c r="U346" i="35"/>
  <c r="S346" i="35"/>
  <c r="R346" i="35"/>
  <c r="Q346" i="35"/>
  <c r="K346" i="35"/>
  <c r="F346" i="35"/>
  <c r="G346" i="35" s="1"/>
  <c r="Z440" i="33"/>
  <c r="Y440" i="33"/>
  <c r="X440" i="33"/>
  <c r="W440" i="33"/>
  <c r="V440" i="33"/>
  <c r="T440" i="33"/>
  <c r="S440" i="33"/>
  <c r="R440" i="33"/>
  <c r="L440" i="33"/>
  <c r="K440" i="33"/>
  <c r="I440" i="33"/>
  <c r="H440" i="33"/>
  <c r="G440" i="33"/>
  <c r="F440" i="33"/>
  <c r="Z439" i="33"/>
  <c r="Y439" i="33"/>
  <c r="X439" i="33"/>
  <c r="W439" i="33"/>
  <c r="V439" i="33"/>
  <c r="T439" i="33"/>
  <c r="S439" i="33"/>
  <c r="R439" i="33"/>
  <c r="L439" i="33"/>
  <c r="K439" i="33"/>
  <c r="I439" i="33"/>
  <c r="H439" i="33"/>
  <c r="G439" i="33"/>
  <c r="F439" i="33"/>
  <c r="V437" i="33"/>
  <c r="T437" i="33"/>
  <c r="W437" i="33" s="1"/>
  <c r="S437" i="33"/>
  <c r="R437" i="33"/>
  <c r="K437" i="33"/>
  <c r="F437" i="33"/>
  <c r="G437" i="33" s="1"/>
  <c r="V435" i="33"/>
  <c r="T435" i="33"/>
  <c r="Z435" i="33" s="1"/>
  <c r="S435" i="33"/>
  <c r="R435" i="33"/>
  <c r="K435" i="33"/>
  <c r="F435" i="33"/>
  <c r="H435" i="33" s="1"/>
  <c r="V425" i="33"/>
  <c r="T425" i="33"/>
  <c r="W425" i="33" s="1"/>
  <c r="S425" i="33"/>
  <c r="R425" i="33"/>
  <c r="K425" i="33"/>
  <c r="F425" i="33"/>
  <c r="H425" i="33" s="1"/>
  <c r="AF337" i="35"/>
  <c r="AE340" i="35"/>
  <c r="AE338" i="35"/>
  <c r="AE336" i="35"/>
  <c r="AE316" i="35"/>
  <c r="AE312" i="35"/>
  <c r="AE308" i="35"/>
  <c r="V469" i="33"/>
  <c r="T469" i="33"/>
  <c r="Y469" i="33" s="1"/>
  <c r="S469" i="33"/>
  <c r="R469" i="33"/>
  <c r="K469" i="33"/>
  <c r="F469" i="33"/>
  <c r="G469" i="33" s="1"/>
  <c r="Z468" i="33"/>
  <c r="Y468" i="33"/>
  <c r="X468" i="33"/>
  <c r="W468" i="33"/>
  <c r="V468" i="33"/>
  <c r="T468" i="33"/>
  <c r="S468" i="33"/>
  <c r="R468" i="33"/>
  <c r="L468" i="33"/>
  <c r="K468" i="33"/>
  <c r="I468" i="33"/>
  <c r="H468" i="33"/>
  <c r="G468" i="33"/>
  <c r="F468" i="33"/>
  <c r="V467" i="33"/>
  <c r="T467" i="33"/>
  <c r="S467" i="33"/>
  <c r="R467" i="33"/>
  <c r="K467" i="33"/>
  <c r="F467" i="33"/>
  <c r="G467" i="33" s="1"/>
  <c r="Y351" i="35"/>
  <c r="X351" i="35"/>
  <c r="W351" i="35"/>
  <c r="V351" i="35"/>
  <c r="U351" i="35"/>
  <c r="S351" i="35"/>
  <c r="R351" i="35"/>
  <c r="Q351" i="35"/>
  <c r="L351" i="35"/>
  <c r="K351" i="35"/>
  <c r="I351" i="35"/>
  <c r="H351" i="35"/>
  <c r="G351" i="35"/>
  <c r="F351" i="35"/>
  <c r="Y350" i="35"/>
  <c r="X350" i="35"/>
  <c r="U350" i="35"/>
  <c r="S350" i="35"/>
  <c r="R350" i="35"/>
  <c r="Q350" i="35"/>
  <c r="K350" i="35"/>
  <c r="F350" i="35"/>
  <c r="H350" i="35" s="1"/>
  <c r="F308" i="35"/>
  <c r="I308" i="35" s="1"/>
  <c r="K308" i="35"/>
  <c r="Q308" i="35"/>
  <c r="R308" i="35"/>
  <c r="S308" i="35"/>
  <c r="U308" i="35"/>
  <c r="X308" i="35"/>
  <c r="Y308" i="35"/>
  <c r="F309" i="35"/>
  <c r="G309" i="35"/>
  <c r="H309" i="35"/>
  <c r="I309" i="35"/>
  <c r="K309" i="35"/>
  <c r="L309" i="35"/>
  <c r="Q309" i="35"/>
  <c r="R309" i="35"/>
  <c r="S309" i="35"/>
  <c r="U309" i="35"/>
  <c r="V309" i="35"/>
  <c r="W309" i="35"/>
  <c r="X309" i="35"/>
  <c r="Y309" i="35"/>
  <c r="F312" i="35"/>
  <c r="G312" i="35" s="1"/>
  <c r="K312" i="35"/>
  <c r="Q312" i="35"/>
  <c r="R312" i="35"/>
  <c r="S312" i="35"/>
  <c r="U312" i="35"/>
  <c r="X312" i="35"/>
  <c r="Y312" i="35"/>
  <c r="F313" i="35"/>
  <c r="G313" i="35"/>
  <c r="H313" i="35"/>
  <c r="I313" i="35"/>
  <c r="K313" i="35"/>
  <c r="L313" i="35"/>
  <c r="Q313" i="35"/>
  <c r="R313" i="35"/>
  <c r="S313" i="35"/>
  <c r="U313" i="35"/>
  <c r="V313" i="35"/>
  <c r="W313" i="35"/>
  <c r="X313" i="35"/>
  <c r="Y313" i="35"/>
  <c r="F316" i="35"/>
  <c r="I316" i="35" s="1"/>
  <c r="K316" i="35"/>
  <c r="Q316" i="35"/>
  <c r="R316" i="35"/>
  <c r="S316" i="35"/>
  <c r="U316" i="35"/>
  <c r="X316" i="35"/>
  <c r="Y316" i="35"/>
  <c r="F317" i="35"/>
  <c r="G317" i="35"/>
  <c r="H317" i="35"/>
  <c r="I317" i="35"/>
  <c r="K317" i="35"/>
  <c r="L317" i="35"/>
  <c r="Q317" i="35"/>
  <c r="R317" i="35"/>
  <c r="S317" i="35"/>
  <c r="U317" i="35"/>
  <c r="V317" i="35"/>
  <c r="W317" i="35"/>
  <c r="X317" i="35"/>
  <c r="Y317" i="35"/>
  <c r="F336" i="35"/>
  <c r="G336" i="35" s="1"/>
  <c r="K336" i="35"/>
  <c r="Q336" i="35"/>
  <c r="R336" i="35"/>
  <c r="S336" i="35"/>
  <c r="U336" i="35"/>
  <c r="X336" i="35"/>
  <c r="Y336" i="35"/>
  <c r="F337" i="35"/>
  <c r="G337" i="35"/>
  <c r="H337" i="35"/>
  <c r="I337" i="35"/>
  <c r="K337" i="35"/>
  <c r="L337" i="35"/>
  <c r="Q337" i="35"/>
  <c r="R337" i="35"/>
  <c r="S337" i="35"/>
  <c r="U337" i="35"/>
  <c r="V337" i="35"/>
  <c r="W337" i="35"/>
  <c r="X337" i="35"/>
  <c r="Y337" i="35"/>
  <c r="F338" i="35"/>
  <c r="H338" i="35" s="1"/>
  <c r="K338" i="35"/>
  <c r="Q338" i="35"/>
  <c r="R338" i="35"/>
  <c r="S338" i="35"/>
  <c r="U338" i="35"/>
  <c r="X338" i="35"/>
  <c r="Y338" i="35"/>
  <c r="F339" i="35"/>
  <c r="G339" i="35"/>
  <c r="H339" i="35"/>
  <c r="I339" i="35"/>
  <c r="K339" i="35"/>
  <c r="L339" i="35"/>
  <c r="Q339" i="35"/>
  <c r="R339" i="35"/>
  <c r="S339" i="35"/>
  <c r="U339" i="35"/>
  <c r="V339" i="35"/>
  <c r="W339" i="35"/>
  <c r="X339" i="35"/>
  <c r="Y339" i="35"/>
  <c r="F340" i="35"/>
  <c r="I340" i="35" s="1"/>
  <c r="K340" i="35"/>
  <c r="Q340" i="35"/>
  <c r="R340" i="35"/>
  <c r="S340" i="35"/>
  <c r="U340" i="35"/>
  <c r="X340" i="35"/>
  <c r="Y340" i="35"/>
  <c r="F341" i="35"/>
  <c r="G341" i="35"/>
  <c r="H341" i="35"/>
  <c r="I341" i="35"/>
  <c r="K341" i="35"/>
  <c r="L341" i="35"/>
  <c r="Q341" i="35"/>
  <c r="R341" i="35"/>
  <c r="S341" i="35"/>
  <c r="U341" i="35"/>
  <c r="V341" i="35"/>
  <c r="W341" i="35"/>
  <c r="X341" i="35"/>
  <c r="Y341" i="35"/>
  <c r="F352" i="35"/>
  <c r="G352" i="35"/>
  <c r="H352" i="35"/>
  <c r="I352" i="35"/>
  <c r="K352" i="35"/>
  <c r="L352" i="35"/>
  <c r="Q352" i="35"/>
  <c r="R352" i="35"/>
  <c r="S352" i="35"/>
  <c r="U352" i="35"/>
  <c r="V352" i="35"/>
  <c r="W352" i="35"/>
  <c r="X352" i="35"/>
  <c r="Y352" i="35"/>
  <c r="F353" i="35"/>
  <c r="G353" i="35"/>
  <c r="I353" i="35"/>
  <c r="K353" i="35"/>
  <c r="L353" i="35"/>
  <c r="Q353" i="35"/>
  <c r="R353" i="35"/>
  <c r="S353" i="35"/>
  <c r="U353" i="35"/>
  <c r="V353" i="35"/>
  <c r="W353" i="35"/>
  <c r="X353" i="35"/>
  <c r="Y353" i="35"/>
  <c r="F354" i="35"/>
  <c r="G354" i="35"/>
  <c r="H354" i="35"/>
  <c r="I354" i="35"/>
  <c r="K354" i="35"/>
  <c r="L354" i="35"/>
  <c r="Q354" i="35"/>
  <c r="R354" i="35"/>
  <c r="S354" i="35"/>
  <c r="U354" i="35"/>
  <c r="V354" i="35"/>
  <c r="W354" i="35"/>
  <c r="X354" i="35"/>
  <c r="Y354" i="35"/>
  <c r="F355" i="35"/>
  <c r="G355" i="35"/>
  <c r="H355" i="35"/>
  <c r="I355" i="35"/>
  <c r="K355" i="35"/>
  <c r="L355" i="35"/>
  <c r="Q355" i="35"/>
  <c r="R355" i="35"/>
  <c r="S355" i="35"/>
  <c r="U355" i="35"/>
  <c r="V355" i="35"/>
  <c r="W355" i="35"/>
  <c r="X355" i="35"/>
  <c r="Y355" i="35"/>
  <c r="F360" i="35"/>
  <c r="I360" i="35" s="1"/>
  <c r="K360" i="35"/>
  <c r="Q360" i="35"/>
  <c r="R360" i="35"/>
  <c r="S360" i="35"/>
  <c r="U360" i="35"/>
  <c r="V360" i="35"/>
  <c r="W360" i="35"/>
  <c r="X360" i="35"/>
  <c r="Y360" i="35"/>
  <c r="F361" i="35"/>
  <c r="G361" i="35"/>
  <c r="H361" i="35"/>
  <c r="I361" i="35"/>
  <c r="K361" i="35"/>
  <c r="L361" i="35"/>
  <c r="Q361" i="35"/>
  <c r="R361" i="35"/>
  <c r="S361" i="35"/>
  <c r="U361" i="35"/>
  <c r="V361" i="35"/>
  <c r="W361" i="35"/>
  <c r="X361" i="35"/>
  <c r="Y361" i="35"/>
  <c r="F364" i="35"/>
  <c r="G364" i="35"/>
  <c r="H364" i="35"/>
  <c r="I364" i="35"/>
  <c r="K364" i="35"/>
  <c r="L364" i="35"/>
  <c r="Q364" i="35"/>
  <c r="R364" i="35"/>
  <c r="S364" i="35"/>
  <c r="U364" i="35"/>
  <c r="V364" i="35"/>
  <c r="W364" i="35"/>
  <c r="X364" i="35"/>
  <c r="Y364" i="35"/>
  <c r="F365" i="35"/>
  <c r="G365" i="35"/>
  <c r="H365" i="35"/>
  <c r="I365" i="35"/>
  <c r="K365" i="35"/>
  <c r="L365" i="35"/>
  <c r="Q365" i="35"/>
  <c r="R365" i="35"/>
  <c r="S365" i="35"/>
  <c r="U365" i="35"/>
  <c r="V365" i="35"/>
  <c r="W365" i="35"/>
  <c r="X365" i="35"/>
  <c r="Y365" i="35"/>
  <c r="F366" i="35"/>
  <c r="G366" i="35"/>
  <c r="H366" i="35"/>
  <c r="I366" i="35"/>
  <c r="K366" i="35"/>
  <c r="L366" i="35"/>
  <c r="Q366" i="35"/>
  <c r="R366" i="35"/>
  <c r="S366" i="35"/>
  <c r="U366" i="35"/>
  <c r="V366" i="35"/>
  <c r="W366" i="35"/>
  <c r="X366" i="35"/>
  <c r="Y366" i="35"/>
  <c r="F367" i="35"/>
  <c r="G367" i="35"/>
  <c r="H367" i="35"/>
  <c r="I367" i="35"/>
  <c r="K367" i="35"/>
  <c r="L367" i="35"/>
  <c r="Q367" i="35"/>
  <c r="R367" i="35"/>
  <c r="S367" i="35"/>
  <c r="U367" i="35"/>
  <c r="V367" i="35"/>
  <c r="W367" i="35"/>
  <c r="X367" i="35"/>
  <c r="Y367" i="35"/>
  <c r="F368" i="35"/>
  <c r="G368" i="35"/>
  <c r="H368" i="35"/>
  <c r="I368" i="35"/>
  <c r="K368" i="35"/>
  <c r="L368" i="35"/>
  <c r="Q368" i="35"/>
  <c r="R368" i="35"/>
  <c r="S368" i="35"/>
  <c r="U368" i="35"/>
  <c r="V368" i="35"/>
  <c r="W368" i="35"/>
  <c r="X368" i="35"/>
  <c r="Y368" i="35"/>
  <c r="F369" i="35"/>
  <c r="G369" i="35"/>
  <c r="H369" i="35"/>
  <c r="I369" i="35"/>
  <c r="K369" i="35"/>
  <c r="L369" i="35"/>
  <c r="Q369" i="35"/>
  <c r="R369" i="35"/>
  <c r="S369" i="35"/>
  <c r="U369" i="35"/>
  <c r="V369" i="35"/>
  <c r="W369" i="35"/>
  <c r="X369" i="35"/>
  <c r="Y369" i="35"/>
  <c r="F370" i="35"/>
  <c r="G370" i="35"/>
  <c r="H370" i="35"/>
  <c r="I370" i="35"/>
  <c r="K370" i="35"/>
  <c r="L370" i="35"/>
  <c r="Q370" i="35"/>
  <c r="R370" i="35"/>
  <c r="S370" i="35"/>
  <c r="U370" i="35"/>
  <c r="V370" i="35"/>
  <c r="W370" i="35"/>
  <c r="X370" i="35"/>
  <c r="Y370" i="35"/>
  <c r="F371" i="35"/>
  <c r="G371" i="35"/>
  <c r="H371" i="35"/>
  <c r="I371" i="35"/>
  <c r="K371" i="35"/>
  <c r="L371" i="35"/>
  <c r="Q371" i="35"/>
  <c r="R371" i="35"/>
  <c r="S371" i="35"/>
  <c r="U371" i="35"/>
  <c r="V371" i="35"/>
  <c r="W371" i="35"/>
  <c r="X371" i="35"/>
  <c r="Y371" i="35"/>
  <c r="F372" i="35"/>
  <c r="G372" i="35"/>
  <c r="H372" i="35"/>
  <c r="I372" i="35"/>
  <c r="K372" i="35"/>
  <c r="L372" i="35"/>
  <c r="Q372" i="35"/>
  <c r="R372" i="35"/>
  <c r="S372" i="35"/>
  <c r="U372" i="35"/>
  <c r="V372" i="35"/>
  <c r="W372" i="35"/>
  <c r="X372" i="35"/>
  <c r="Y372" i="35"/>
  <c r="F373" i="35"/>
  <c r="G373" i="35"/>
  <c r="H373" i="35"/>
  <c r="I373" i="35"/>
  <c r="K373" i="35"/>
  <c r="L373" i="35"/>
  <c r="Q373" i="35"/>
  <c r="R373" i="35"/>
  <c r="S373" i="35"/>
  <c r="U373" i="35"/>
  <c r="V373" i="35"/>
  <c r="W373" i="35"/>
  <c r="X373" i="35"/>
  <c r="Y373" i="35"/>
  <c r="F374" i="35"/>
  <c r="G374" i="35"/>
  <c r="H374" i="35"/>
  <c r="I374" i="35"/>
  <c r="K374" i="35"/>
  <c r="L374" i="35"/>
  <c r="Q374" i="35"/>
  <c r="R374" i="35"/>
  <c r="S374" i="35"/>
  <c r="U374" i="35"/>
  <c r="V374" i="35"/>
  <c r="W374" i="35"/>
  <c r="X374" i="35"/>
  <c r="Y374" i="35"/>
  <c r="F375" i="35"/>
  <c r="G375" i="35"/>
  <c r="H375" i="35"/>
  <c r="I375" i="35"/>
  <c r="K375" i="35"/>
  <c r="L375" i="35"/>
  <c r="Q375" i="35"/>
  <c r="R375" i="35"/>
  <c r="S375" i="35"/>
  <c r="U375" i="35"/>
  <c r="V375" i="35"/>
  <c r="W375" i="35"/>
  <c r="X375" i="35"/>
  <c r="Y375" i="35"/>
  <c r="F376" i="35"/>
  <c r="G376" i="35"/>
  <c r="H376" i="35"/>
  <c r="I376" i="35"/>
  <c r="K376" i="35"/>
  <c r="L376" i="35"/>
  <c r="Q376" i="35"/>
  <c r="R376" i="35"/>
  <c r="S376" i="35"/>
  <c r="U376" i="35"/>
  <c r="V376" i="35"/>
  <c r="W376" i="35"/>
  <c r="X376" i="35"/>
  <c r="Y376" i="35"/>
  <c r="F377" i="35"/>
  <c r="G377" i="35"/>
  <c r="H377" i="35"/>
  <c r="I377" i="35"/>
  <c r="K377" i="35"/>
  <c r="L377" i="35"/>
  <c r="Q377" i="35"/>
  <c r="R377" i="35"/>
  <c r="S377" i="35"/>
  <c r="U377" i="35"/>
  <c r="V377" i="35"/>
  <c r="W377" i="35"/>
  <c r="X377" i="35"/>
  <c r="Y377" i="35"/>
  <c r="F378" i="35"/>
  <c r="G378" i="35"/>
  <c r="H378" i="35"/>
  <c r="I378" i="35"/>
  <c r="K378" i="35"/>
  <c r="L378" i="35"/>
  <c r="Q378" i="35"/>
  <c r="R378" i="35"/>
  <c r="S378" i="35"/>
  <c r="U378" i="35"/>
  <c r="V378" i="35"/>
  <c r="W378" i="35"/>
  <c r="X378" i="35"/>
  <c r="Y378" i="35"/>
  <c r="F379" i="35"/>
  <c r="G379" i="35"/>
  <c r="H379" i="35"/>
  <c r="I379" i="35"/>
  <c r="K379" i="35"/>
  <c r="L379" i="35"/>
  <c r="Q379" i="35"/>
  <c r="R379" i="35"/>
  <c r="S379" i="35"/>
  <c r="U379" i="35"/>
  <c r="V379" i="35"/>
  <c r="W379" i="35"/>
  <c r="X379" i="35"/>
  <c r="Y379" i="35"/>
  <c r="F380" i="35"/>
  <c r="G380" i="35"/>
  <c r="H380" i="35"/>
  <c r="I380" i="35"/>
  <c r="K380" i="35"/>
  <c r="L380" i="35"/>
  <c r="Q380" i="35"/>
  <c r="R380" i="35"/>
  <c r="S380" i="35"/>
  <c r="U380" i="35"/>
  <c r="V380" i="35"/>
  <c r="W380" i="35"/>
  <c r="X380" i="35"/>
  <c r="Y380" i="35"/>
  <c r="F381" i="35"/>
  <c r="G381" i="35"/>
  <c r="H381" i="35"/>
  <c r="I381" i="35"/>
  <c r="K381" i="35"/>
  <c r="L381" i="35"/>
  <c r="Q381" i="35"/>
  <c r="R381" i="35"/>
  <c r="S381" i="35"/>
  <c r="U381" i="35"/>
  <c r="V381" i="35"/>
  <c r="W381" i="35"/>
  <c r="X381" i="35"/>
  <c r="Y381" i="35"/>
  <c r="F382" i="35"/>
  <c r="G382" i="35"/>
  <c r="H382" i="35"/>
  <c r="I382" i="35"/>
  <c r="K382" i="35"/>
  <c r="L382" i="35"/>
  <c r="Q382" i="35"/>
  <c r="R382" i="35"/>
  <c r="S382" i="35"/>
  <c r="U382" i="35"/>
  <c r="V382" i="35"/>
  <c r="W382" i="35"/>
  <c r="X382" i="35"/>
  <c r="Y382" i="35"/>
  <c r="F383" i="35"/>
  <c r="G383" i="35"/>
  <c r="H383" i="35"/>
  <c r="I383" i="35"/>
  <c r="K383" i="35"/>
  <c r="L383" i="35"/>
  <c r="Q383" i="35"/>
  <c r="R383" i="35"/>
  <c r="S383" i="35"/>
  <c r="U383" i="35"/>
  <c r="V383" i="35"/>
  <c r="W383" i="35"/>
  <c r="X383" i="35"/>
  <c r="Y383" i="35"/>
  <c r="F384" i="35"/>
  <c r="G384" i="35"/>
  <c r="H384" i="35"/>
  <c r="I384" i="35"/>
  <c r="K384" i="35"/>
  <c r="L384" i="35"/>
  <c r="Q384" i="35"/>
  <c r="R384" i="35"/>
  <c r="S384" i="35"/>
  <c r="U384" i="35"/>
  <c r="V384" i="35"/>
  <c r="W384" i="35"/>
  <c r="X384" i="35"/>
  <c r="Y384" i="35"/>
  <c r="F385" i="35"/>
  <c r="G385" i="35"/>
  <c r="H385" i="35"/>
  <c r="I385" i="35"/>
  <c r="K385" i="35"/>
  <c r="L385" i="35"/>
  <c r="Q385" i="35"/>
  <c r="R385" i="35"/>
  <c r="S385" i="35"/>
  <c r="U385" i="35"/>
  <c r="V385" i="35"/>
  <c r="W385" i="35"/>
  <c r="X385" i="35"/>
  <c r="Y385" i="35"/>
  <c r="F387" i="35"/>
  <c r="G387" i="35"/>
  <c r="H387" i="35"/>
  <c r="I387" i="35"/>
  <c r="K387" i="35"/>
  <c r="L387" i="35"/>
  <c r="Q387" i="35"/>
  <c r="R387" i="35"/>
  <c r="S387" i="35"/>
  <c r="U387" i="35"/>
  <c r="V387" i="35"/>
  <c r="W387" i="35"/>
  <c r="X387" i="35"/>
  <c r="Y387" i="35"/>
  <c r="F390" i="35"/>
  <c r="K390" i="35"/>
  <c r="Q390" i="35"/>
  <c r="R390" i="35"/>
  <c r="S390" i="35"/>
  <c r="U390" i="35"/>
  <c r="X390" i="35"/>
  <c r="Y390" i="35"/>
  <c r="F391" i="35"/>
  <c r="G391" i="35"/>
  <c r="H391" i="35"/>
  <c r="I391" i="35"/>
  <c r="K391" i="35"/>
  <c r="L391" i="35"/>
  <c r="Q391" i="35"/>
  <c r="R391" i="35"/>
  <c r="S391" i="35"/>
  <c r="U391" i="35"/>
  <c r="V391" i="35"/>
  <c r="W391" i="35"/>
  <c r="X391" i="35"/>
  <c r="Y391" i="35"/>
  <c r="F392" i="35"/>
  <c r="K392" i="35"/>
  <c r="Q392" i="35"/>
  <c r="R392" i="35"/>
  <c r="S392" i="35"/>
  <c r="U392" i="35"/>
  <c r="X392" i="35"/>
  <c r="Y392" i="35"/>
  <c r="F393" i="35"/>
  <c r="G393" i="35"/>
  <c r="H393" i="35"/>
  <c r="I393" i="35"/>
  <c r="K393" i="35"/>
  <c r="L393" i="35"/>
  <c r="Q393" i="35"/>
  <c r="R393" i="35"/>
  <c r="S393" i="35"/>
  <c r="U393" i="35"/>
  <c r="V393" i="35"/>
  <c r="W393" i="35"/>
  <c r="X393" i="35"/>
  <c r="Y393" i="35"/>
  <c r="F394" i="35"/>
  <c r="H394" i="35" s="1"/>
  <c r="K394" i="35"/>
  <c r="Q394" i="35"/>
  <c r="R394" i="35"/>
  <c r="S394" i="35"/>
  <c r="U394" i="35"/>
  <c r="X394" i="35"/>
  <c r="Y394" i="35"/>
  <c r="F395" i="35"/>
  <c r="G395" i="35"/>
  <c r="H395" i="35"/>
  <c r="I395" i="35"/>
  <c r="K395" i="35"/>
  <c r="L395" i="35"/>
  <c r="Q395" i="35"/>
  <c r="R395" i="35"/>
  <c r="S395" i="35"/>
  <c r="U395" i="35"/>
  <c r="V395" i="35"/>
  <c r="W395" i="35"/>
  <c r="X395" i="35"/>
  <c r="Y395" i="35"/>
  <c r="F396" i="35"/>
  <c r="G396" i="35"/>
  <c r="H396" i="35"/>
  <c r="I396" i="35"/>
  <c r="K396" i="35"/>
  <c r="L396" i="35"/>
  <c r="Q396" i="35"/>
  <c r="R396" i="35"/>
  <c r="S396" i="35"/>
  <c r="U396" i="35"/>
  <c r="V396" i="35"/>
  <c r="W396" i="35"/>
  <c r="X396" i="35"/>
  <c r="Y396" i="35"/>
  <c r="F397" i="35"/>
  <c r="G397" i="35"/>
  <c r="H397" i="35"/>
  <c r="I397" i="35"/>
  <c r="K397" i="35"/>
  <c r="L397" i="35"/>
  <c r="Q397" i="35"/>
  <c r="R397" i="35"/>
  <c r="S397" i="35"/>
  <c r="U397" i="35"/>
  <c r="V397" i="35"/>
  <c r="W397" i="35"/>
  <c r="X397" i="35"/>
  <c r="Y397" i="35"/>
  <c r="V417" i="33"/>
  <c r="T417" i="33"/>
  <c r="X417" i="33" s="1"/>
  <c r="S417" i="33"/>
  <c r="R417" i="33"/>
  <c r="K417" i="33"/>
  <c r="F417" i="33"/>
  <c r="I417" i="33" s="1"/>
  <c r="F291" i="35"/>
  <c r="G291" i="35"/>
  <c r="H291" i="35"/>
  <c r="I291" i="35"/>
  <c r="K291" i="35"/>
  <c r="L291" i="35"/>
  <c r="Q291" i="35"/>
  <c r="R291" i="35"/>
  <c r="S291" i="35"/>
  <c r="U291" i="35"/>
  <c r="V291" i="35"/>
  <c r="W291" i="35"/>
  <c r="X291" i="35"/>
  <c r="Y291" i="35"/>
  <c r="F292" i="35"/>
  <c r="G292" i="35" s="1"/>
  <c r="K292" i="35"/>
  <c r="Q292" i="35"/>
  <c r="R292" i="35"/>
  <c r="S292" i="35"/>
  <c r="U292" i="35"/>
  <c r="V292" i="35"/>
  <c r="W292" i="35"/>
  <c r="X292" i="35"/>
  <c r="Y292" i="35"/>
  <c r="F293" i="35"/>
  <c r="G293" i="35"/>
  <c r="H293" i="35"/>
  <c r="I293" i="35"/>
  <c r="K293" i="35"/>
  <c r="L293" i="35"/>
  <c r="Q293" i="35"/>
  <c r="R293" i="35"/>
  <c r="S293" i="35"/>
  <c r="U293" i="35"/>
  <c r="V293" i="35"/>
  <c r="W293" i="35"/>
  <c r="X293" i="35"/>
  <c r="Y293" i="35"/>
  <c r="F294" i="35"/>
  <c r="G294" i="35" s="1"/>
  <c r="K294" i="35"/>
  <c r="Q294" i="35"/>
  <c r="R294" i="35"/>
  <c r="S294" i="35"/>
  <c r="U294" i="35"/>
  <c r="V294" i="35"/>
  <c r="W294" i="35"/>
  <c r="X294" i="35"/>
  <c r="Y294" i="35"/>
  <c r="F295" i="35"/>
  <c r="G295" i="35"/>
  <c r="H295" i="35"/>
  <c r="I295" i="35"/>
  <c r="K295" i="35"/>
  <c r="L295" i="35"/>
  <c r="Q295" i="35"/>
  <c r="R295" i="35"/>
  <c r="S295" i="35"/>
  <c r="U295" i="35"/>
  <c r="V295" i="35"/>
  <c r="W295" i="35"/>
  <c r="X295" i="35"/>
  <c r="Y295" i="35"/>
  <c r="T385" i="33"/>
  <c r="F385" i="33"/>
  <c r="G385" i="33" s="1"/>
  <c r="K385" i="33"/>
  <c r="V385" i="33"/>
  <c r="S385" i="33"/>
  <c r="R385" i="33"/>
  <c r="F383" i="33"/>
  <c r="H383" i="33" s="1"/>
  <c r="K383" i="33"/>
  <c r="T383" i="33"/>
  <c r="Z383" i="33" s="1"/>
  <c r="V383" i="33"/>
  <c r="S383" i="33"/>
  <c r="R383" i="33"/>
  <c r="F258" i="35"/>
  <c r="K258" i="35"/>
  <c r="AE258" i="35"/>
  <c r="Y258" i="35"/>
  <c r="X258" i="35"/>
  <c r="U258" i="35"/>
  <c r="S258" i="35"/>
  <c r="R258" i="35"/>
  <c r="Q258" i="35"/>
  <c r="F358" i="33"/>
  <c r="K358" i="33"/>
  <c r="Z358" i="33"/>
  <c r="Y358" i="33"/>
  <c r="X358" i="33"/>
  <c r="W358" i="33"/>
  <c r="V358" i="33"/>
  <c r="T358" i="33"/>
  <c r="S358" i="33"/>
  <c r="R358" i="33"/>
  <c r="L358" i="33"/>
  <c r="I358" i="33"/>
  <c r="H358" i="33"/>
  <c r="G358" i="33"/>
  <c r="F357" i="33"/>
  <c r="I357" i="33" s="1"/>
  <c r="K357" i="33"/>
  <c r="T357" i="33"/>
  <c r="V357" i="33"/>
  <c r="S357" i="33"/>
  <c r="R357" i="33"/>
  <c r="F356" i="33"/>
  <c r="K356" i="33"/>
  <c r="Z356" i="33"/>
  <c r="Y356" i="33"/>
  <c r="X356" i="33"/>
  <c r="W356" i="33"/>
  <c r="V356" i="33"/>
  <c r="T356" i="33"/>
  <c r="S356" i="33"/>
  <c r="R356" i="33"/>
  <c r="L356" i="33"/>
  <c r="I356" i="33"/>
  <c r="H356" i="33"/>
  <c r="G356" i="33"/>
  <c r="F355" i="33"/>
  <c r="G355" i="33" s="1"/>
  <c r="K355" i="33"/>
  <c r="T355" i="33"/>
  <c r="Y355" i="33" s="1"/>
  <c r="V355" i="33"/>
  <c r="S355" i="33"/>
  <c r="R355" i="33"/>
  <c r="F353" i="33"/>
  <c r="H353" i="33" s="1"/>
  <c r="K353" i="33"/>
  <c r="T353" i="33"/>
  <c r="Z353" i="33" s="1"/>
  <c r="V353" i="33"/>
  <c r="S353" i="33"/>
  <c r="R353" i="33"/>
  <c r="F352" i="33"/>
  <c r="K352" i="33"/>
  <c r="Z352" i="33"/>
  <c r="Y352" i="33"/>
  <c r="X352" i="33"/>
  <c r="W352" i="33"/>
  <c r="V352" i="33"/>
  <c r="T352" i="33"/>
  <c r="S352" i="33"/>
  <c r="R352" i="33"/>
  <c r="L352" i="33"/>
  <c r="I352" i="33"/>
  <c r="H352" i="33"/>
  <c r="G352" i="33"/>
  <c r="F351" i="33"/>
  <c r="I351" i="33" s="1"/>
  <c r="K351" i="33"/>
  <c r="T351" i="33"/>
  <c r="V351" i="33"/>
  <c r="S351" i="33"/>
  <c r="R351" i="33"/>
  <c r="F266" i="35"/>
  <c r="I266" i="35" s="1"/>
  <c r="K266" i="35"/>
  <c r="AE266" i="35"/>
  <c r="AG266" i="35" s="1"/>
  <c r="Y266" i="35"/>
  <c r="X266" i="35"/>
  <c r="U266" i="35"/>
  <c r="S266" i="35"/>
  <c r="R266" i="35"/>
  <c r="Q266" i="35"/>
  <c r="F343" i="33"/>
  <c r="H343" i="33" s="1"/>
  <c r="Z343" i="33"/>
  <c r="Y343" i="33"/>
  <c r="X343" i="33"/>
  <c r="W343" i="33"/>
  <c r="V343" i="33"/>
  <c r="K343" i="33"/>
  <c r="F250" i="35"/>
  <c r="K250" i="35"/>
  <c r="AE250" i="35"/>
  <c r="Y250" i="35"/>
  <c r="X250" i="35"/>
  <c r="S250" i="35"/>
  <c r="R250" i="35"/>
  <c r="Q250" i="35"/>
  <c r="F249" i="35"/>
  <c r="K249" i="35"/>
  <c r="Y249" i="35"/>
  <c r="X249" i="35"/>
  <c r="W249" i="35"/>
  <c r="V249" i="35"/>
  <c r="U249" i="35"/>
  <c r="S249" i="35"/>
  <c r="R249" i="35"/>
  <c r="Q249" i="35"/>
  <c r="L249" i="35"/>
  <c r="I249" i="35"/>
  <c r="H249" i="35"/>
  <c r="G249" i="35"/>
  <c r="F248" i="35"/>
  <c r="K248" i="35"/>
  <c r="Y248" i="35"/>
  <c r="X248" i="35"/>
  <c r="W248" i="35"/>
  <c r="V248" i="35"/>
  <c r="U248" i="35"/>
  <c r="S248" i="35"/>
  <c r="R248" i="35"/>
  <c r="Q248" i="35"/>
  <c r="L248" i="35"/>
  <c r="I248" i="35"/>
  <c r="H248" i="35"/>
  <c r="G248" i="35"/>
  <c r="F247" i="35"/>
  <c r="K247" i="35"/>
  <c r="Y247" i="35"/>
  <c r="X247" i="35"/>
  <c r="W247" i="35"/>
  <c r="V247" i="35"/>
  <c r="U247" i="35"/>
  <c r="S247" i="35"/>
  <c r="R247" i="35"/>
  <c r="Q247" i="35"/>
  <c r="L247" i="35"/>
  <c r="I247" i="35"/>
  <c r="H247" i="35"/>
  <c r="G247" i="35"/>
  <c r="F246" i="35"/>
  <c r="K246" i="35"/>
  <c r="Y246" i="35"/>
  <c r="X246" i="35"/>
  <c r="W246" i="35"/>
  <c r="V246" i="35"/>
  <c r="U246" i="35"/>
  <c r="S246" i="35"/>
  <c r="R246" i="35"/>
  <c r="Q246" i="35"/>
  <c r="L246" i="35"/>
  <c r="I246" i="35"/>
  <c r="H246" i="35"/>
  <c r="G246" i="35"/>
  <c r="F244" i="35"/>
  <c r="G244" i="35" s="1"/>
  <c r="K244" i="35"/>
  <c r="AE244" i="35"/>
  <c r="Y244" i="35"/>
  <c r="X244" i="35"/>
  <c r="U244" i="35"/>
  <c r="S244" i="35"/>
  <c r="R244" i="35"/>
  <c r="Q244" i="35"/>
  <c r="F228" i="35"/>
  <c r="H228" i="35" s="1"/>
  <c r="K228" i="35"/>
  <c r="AE228" i="35"/>
  <c r="Y228" i="35"/>
  <c r="X228" i="35"/>
  <c r="U228" i="35"/>
  <c r="S228" i="35"/>
  <c r="R228" i="35"/>
  <c r="Q228" i="35"/>
  <c r="F227" i="35"/>
  <c r="K227" i="35"/>
  <c r="Y227" i="35"/>
  <c r="X227" i="35"/>
  <c r="W227" i="35"/>
  <c r="V227" i="35"/>
  <c r="U227" i="35"/>
  <c r="S227" i="35"/>
  <c r="R227" i="35"/>
  <c r="Q227" i="35"/>
  <c r="L227" i="35"/>
  <c r="I227" i="35"/>
  <c r="H227" i="35"/>
  <c r="G227" i="35"/>
  <c r="F226" i="35"/>
  <c r="I226" i="35" s="1"/>
  <c r="K226" i="35"/>
  <c r="AE226" i="35"/>
  <c r="Y226" i="35"/>
  <c r="X226" i="35"/>
  <c r="U226" i="35"/>
  <c r="S226" i="35"/>
  <c r="R226" i="35"/>
  <c r="Q226" i="35"/>
  <c r="F222" i="35"/>
  <c r="K222" i="35"/>
  <c r="Y222" i="35"/>
  <c r="X222" i="35"/>
  <c r="W222" i="35"/>
  <c r="V222" i="35"/>
  <c r="U222" i="35"/>
  <c r="S222" i="35"/>
  <c r="R222" i="35"/>
  <c r="Q222" i="35"/>
  <c r="L222" i="35"/>
  <c r="I222" i="35"/>
  <c r="H222" i="35"/>
  <c r="G222" i="35"/>
  <c r="F378" i="33"/>
  <c r="K378" i="33"/>
  <c r="Z378" i="33"/>
  <c r="Y378" i="33"/>
  <c r="X378" i="33"/>
  <c r="W378" i="33"/>
  <c r="V378" i="33"/>
  <c r="T378" i="33"/>
  <c r="S378" i="33"/>
  <c r="R378" i="33"/>
  <c r="L378" i="33"/>
  <c r="I378" i="33"/>
  <c r="H378" i="33"/>
  <c r="G378" i="33"/>
  <c r="F377" i="33"/>
  <c r="G377" i="33" s="1"/>
  <c r="K377" i="33"/>
  <c r="T377" i="33"/>
  <c r="Z377" i="33" s="1"/>
  <c r="V377" i="33"/>
  <c r="S377" i="33"/>
  <c r="R377" i="33"/>
  <c r="F376" i="33"/>
  <c r="K376" i="33"/>
  <c r="Z376" i="33"/>
  <c r="Y376" i="33"/>
  <c r="X376" i="33"/>
  <c r="W376" i="33"/>
  <c r="V376" i="33"/>
  <c r="T376" i="33"/>
  <c r="S376" i="33"/>
  <c r="R376" i="33"/>
  <c r="L376" i="33"/>
  <c r="I376" i="33"/>
  <c r="H376" i="33"/>
  <c r="G376" i="33"/>
  <c r="F375" i="33"/>
  <c r="H375" i="33" s="1"/>
  <c r="K375" i="33"/>
  <c r="T375" i="33"/>
  <c r="Y375" i="33" s="1"/>
  <c r="V375" i="33"/>
  <c r="S375" i="33"/>
  <c r="R375" i="33"/>
  <c r="F374" i="33"/>
  <c r="K374" i="33"/>
  <c r="Z374" i="33"/>
  <c r="Y374" i="33"/>
  <c r="X374" i="33"/>
  <c r="W374" i="33"/>
  <c r="V374" i="33"/>
  <c r="T374" i="33"/>
  <c r="S374" i="33"/>
  <c r="R374" i="33"/>
  <c r="L374" i="33"/>
  <c r="I374" i="33"/>
  <c r="H374" i="33"/>
  <c r="G374" i="33"/>
  <c r="F373" i="33"/>
  <c r="G373" i="33" s="1"/>
  <c r="K373" i="33"/>
  <c r="T373" i="33"/>
  <c r="Y373" i="33" s="1"/>
  <c r="V373" i="33"/>
  <c r="S373" i="33"/>
  <c r="R373" i="33"/>
  <c r="F372" i="33"/>
  <c r="K372" i="33"/>
  <c r="Z372" i="33"/>
  <c r="Y372" i="33"/>
  <c r="X372" i="33"/>
  <c r="W372" i="33"/>
  <c r="V372" i="33"/>
  <c r="T372" i="33"/>
  <c r="S372" i="33"/>
  <c r="R372" i="33"/>
  <c r="L372" i="33"/>
  <c r="I372" i="33"/>
  <c r="H372" i="33"/>
  <c r="G372" i="33"/>
  <c r="F371" i="33"/>
  <c r="I371" i="33" s="1"/>
  <c r="K371" i="33"/>
  <c r="T371" i="33"/>
  <c r="V371" i="33"/>
  <c r="S371" i="33"/>
  <c r="R371" i="33"/>
  <c r="F370" i="33"/>
  <c r="K370" i="33"/>
  <c r="Z370" i="33"/>
  <c r="Y370" i="33"/>
  <c r="X370" i="33"/>
  <c r="W370" i="33"/>
  <c r="V370" i="33"/>
  <c r="T370" i="33"/>
  <c r="S370" i="33"/>
  <c r="R370" i="33"/>
  <c r="L370" i="33"/>
  <c r="I370" i="33"/>
  <c r="H370" i="33"/>
  <c r="G370" i="33"/>
  <c r="F369" i="33"/>
  <c r="G369" i="33" s="1"/>
  <c r="K369" i="33"/>
  <c r="T369" i="33"/>
  <c r="Z369" i="33" s="1"/>
  <c r="V369" i="33"/>
  <c r="S369" i="33"/>
  <c r="R369" i="33"/>
  <c r="F366" i="33"/>
  <c r="G366" i="33"/>
  <c r="H366" i="33"/>
  <c r="I366" i="33"/>
  <c r="K366" i="33"/>
  <c r="L366" i="33"/>
  <c r="R366" i="33"/>
  <c r="S366" i="33"/>
  <c r="T366" i="33"/>
  <c r="V366" i="33"/>
  <c r="W366" i="33"/>
  <c r="X366" i="33"/>
  <c r="Y366" i="33"/>
  <c r="Z366" i="33"/>
  <c r="F367" i="33"/>
  <c r="K367" i="33"/>
  <c r="G367" i="33"/>
  <c r="H367" i="33"/>
  <c r="I367" i="33"/>
  <c r="L367" i="33"/>
  <c r="R367" i="33"/>
  <c r="S367" i="33"/>
  <c r="T367" i="33"/>
  <c r="V367" i="33"/>
  <c r="W367" i="33"/>
  <c r="X367" i="33"/>
  <c r="Y367" i="33"/>
  <c r="Z367" i="33"/>
  <c r="F368" i="33"/>
  <c r="K368" i="33"/>
  <c r="G368" i="33"/>
  <c r="H368" i="33"/>
  <c r="I368" i="33"/>
  <c r="L368" i="33"/>
  <c r="R368" i="33"/>
  <c r="S368" i="33"/>
  <c r="T368" i="33"/>
  <c r="V368" i="33"/>
  <c r="W368" i="33"/>
  <c r="X368" i="33"/>
  <c r="Y368" i="33"/>
  <c r="Z368" i="33"/>
  <c r="F379" i="33"/>
  <c r="G379" i="33" s="1"/>
  <c r="K379" i="33"/>
  <c r="R379" i="33"/>
  <c r="S379" i="33"/>
  <c r="T379" i="33"/>
  <c r="V379" i="33"/>
  <c r="F380" i="33"/>
  <c r="K380" i="33"/>
  <c r="G380" i="33"/>
  <c r="H380" i="33"/>
  <c r="I380" i="33"/>
  <c r="L380" i="33"/>
  <c r="R380" i="33"/>
  <c r="S380" i="33"/>
  <c r="T380" i="33"/>
  <c r="V380" i="33"/>
  <c r="W380" i="33"/>
  <c r="X380" i="33"/>
  <c r="Y380" i="33"/>
  <c r="Z380" i="33"/>
  <c r="F381" i="33"/>
  <c r="H381" i="33" s="1"/>
  <c r="K381" i="33"/>
  <c r="R381" i="33"/>
  <c r="S381" i="33"/>
  <c r="T381" i="33"/>
  <c r="Z381" i="33" s="1"/>
  <c r="V381" i="33"/>
  <c r="F382" i="33"/>
  <c r="G382" i="33"/>
  <c r="H382" i="33"/>
  <c r="I382" i="33"/>
  <c r="K382" i="33"/>
  <c r="L382" i="33"/>
  <c r="R382" i="33"/>
  <c r="S382" i="33"/>
  <c r="T382" i="33"/>
  <c r="V382" i="33"/>
  <c r="W382" i="33"/>
  <c r="X382" i="33"/>
  <c r="Y382" i="33"/>
  <c r="Z382" i="33"/>
  <c r="F387" i="33"/>
  <c r="I387" i="33" s="1"/>
  <c r="K387" i="33"/>
  <c r="R387" i="33"/>
  <c r="S387" i="33"/>
  <c r="T387" i="33"/>
  <c r="Z387" i="33" s="1"/>
  <c r="V387" i="33"/>
  <c r="F388" i="33"/>
  <c r="K388" i="33"/>
  <c r="G388" i="33"/>
  <c r="H388" i="33"/>
  <c r="I388" i="33"/>
  <c r="L388" i="33"/>
  <c r="R388" i="33"/>
  <c r="S388" i="33"/>
  <c r="T388" i="33"/>
  <c r="V388" i="33"/>
  <c r="W388" i="33"/>
  <c r="X388" i="33"/>
  <c r="Y388" i="33"/>
  <c r="Z388" i="33"/>
  <c r="F389" i="33"/>
  <c r="I389" i="33" s="1"/>
  <c r="K389" i="33"/>
  <c r="R389" i="33"/>
  <c r="S389" i="33"/>
  <c r="T389" i="33"/>
  <c r="Y389" i="33" s="1"/>
  <c r="V389" i="33"/>
  <c r="F390" i="33"/>
  <c r="G390" i="33"/>
  <c r="H390" i="33"/>
  <c r="I390" i="33"/>
  <c r="K390" i="33"/>
  <c r="L390" i="33"/>
  <c r="R390" i="33"/>
  <c r="S390" i="33"/>
  <c r="T390" i="33"/>
  <c r="V390" i="33"/>
  <c r="W390" i="33"/>
  <c r="X390" i="33"/>
  <c r="Y390" i="33"/>
  <c r="Z390" i="33"/>
  <c r="F395" i="33"/>
  <c r="G395" i="33"/>
  <c r="H395" i="33"/>
  <c r="I395" i="33"/>
  <c r="K395" i="33"/>
  <c r="L395" i="33"/>
  <c r="R395" i="33"/>
  <c r="S395" i="33"/>
  <c r="T395" i="33"/>
  <c r="V395" i="33"/>
  <c r="W395" i="33"/>
  <c r="X395" i="33"/>
  <c r="Y395" i="33"/>
  <c r="Z395" i="33"/>
  <c r="F396" i="33"/>
  <c r="G396" i="33"/>
  <c r="H396" i="33"/>
  <c r="I396" i="33"/>
  <c r="K396" i="33"/>
  <c r="L396" i="33"/>
  <c r="R396" i="33"/>
  <c r="S396" i="33"/>
  <c r="T396" i="33"/>
  <c r="V396" i="33"/>
  <c r="W396" i="33"/>
  <c r="X396" i="33"/>
  <c r="Y396" i="33"/>
  <c r="Z396" i="33"/>
  <c r="F397" i="33"/>
  <c r="K397" i="33"/>
  <c r="G397" i="33"/>
  <c r="H397" i="33"/>
  <c r="I397" i="33"/>
  <c r="L397" i="33"/>
  <c r="R397" i="33"/>
  <c r="S397" i="33"/>
  <c r="T397" i="33"/>
  <c r="V397" i="33"/>
  <c r="W397" i="33"/>
  <c r="X397" i="33"/>
  <c r="Y397" i="33"/>
  <c r="Z397" i="33"/>
  <c r="F398" i="33"/>
  <c r="K398" i="33"/>
  <c r="G398" i="33"/>
  <c r="H398" i="33"/>
  <c r="I398" i="33"/>
  <c r="L398" i="33"/>
  <c r="R398" i="33"/>
  <c r="S398" i="33"/>
  <c r="T398" i="33"/>
  <c r="V398" i="33"/>
  <c r="W398" i="33"/>
  <c r="X398" i="33"/>
  <c r="Y398" i="33"/>
  <c r="Z398" i="33"/>
  <c r="F399" i="33"/>
  <c r="G399" i="33"/>
  <c r="H399" i="33"/>
  <c r="I399" i="33"/>
  <c r="K399" i="33"/>
  <c r="L399" i="33"/>
  <c r="R399" i="33"/>
  <c r="S399" i="33"/>
  <c r="T399" i="33"/>
  <c r="V399" i="33"/>
  <c r="W399" i="33"/>
  <c r="X399" i="33"/>
  <c r="Y399" i="33"/>
  <c r="Z399" i="33"/>
  <c r="F400" i="33"/>
  <c r="G400" i="33"/>
  <c r="H400" i="33"/>
  <c r="I400" i="33"/>
  <c r="K400" i="33"/>
  <c r="L400" i="33"/>
  <c r="R400" i="33"/>
  <c r="S400" i="33"/>
  <c r="T400" i="33"/>
  <c r="V400" i="33"/>
  <c r="W400" i="33"/>
  <c r="X400" i="33"/>
  <c r="Y400" i="33"/>
  <c r="Z400" i="33"/>
  <c r="F401" i="33"/>
  <c r="K401" i="33"/>
  <c r="G401" i="33"/>
  <c r="H401" i="33"/>
  <c r="I401" i="33"/>
  <c r="L401" i="33"/>
  <c r="R401" i="33"/>
  <c r="S401" i="33"/>
  <c r="T401" i="33"/>
  <c r="V401" i="33"/>
  <c r="W401" i="33"/>
  <c r="X401" i="33"/>
  <c r="Y401" i="33"/>
  <c r="Z401" i="33"/>
  <c r="F402" i="33"/>
  <c r="K402" i="33"/>
  <c r="G402" i="33"/>
  <c r="H402" i="33"/>
  <c r="I402" i="33"/>
  <c r="L402" i="33"/>
  <c r="R402" i="33"/>
  <c r="S402" i="33"/>
  <c r="T402" i="33"/>
  <c r="V402" i="33"/>
  <c r="W402" i="33"/>
  <c r="X402" i="33"/>
  <c r="Y402" i="33"/>
  <c r="Z402" i="33"/>
  <c r="F403" i="33"/>
  <c r="G403" i="33"/>
  <c r="H403" i="33"/>
  <c r="I403" i="33"/>
  <c r="K403" i="33"/>
  <c r="L403" i="33"/>
  <c r="R403" i="33"/>
  <c r="S403" i="33"/>
  <c r="T403" i="33"/>
  <c r="V403" i="33"/>
  <c r="W403" i="33"/>
  <c r="X403" i="33"/>
  <c r="Y403" i="33"/>
  <c r="Z403" i="33"/>
  <c r="F404" i="33"/>
  <c r="G404" i="33"/>
  <c r="H404" i="33"/>
  <c r="I404" i="33"/>
  <c r="K404" i="33"/>
  <c r="L404" i="33"/>
  <c r="R404" i="33"/>
  <c r="S404" i="33"/>
  <c r="T404" i="33"/>
  <c r="V404" i="33"/>
  <c r="W404" i="33"/>
  <c r="X404" i="33"/>
  <c r="Y404" i="33"/>
  <c r="Z404" i="33"/>
  <c r="F405" i="33"/>
  <c r="K405" i="33"/>
  <c r="G405" i="33"/>
  <c r="H405" i="33"/>
  <c r="I405" i="33"/>
  <c r="L405" i="33"/>
  <c r="R405" i="33"/>
  <c r="S405" i="33"/>
  <c r="T405" i="33"/>
  <c r="V405" i="33"/>
  <c r="W405" i="33"/>
  <c r="X405" i="33"/>
  <c r="Y405" i="33"/>
  <c r="Z405" i="33"/>
  <c r="F406" i="33"/>
  <c r="K406" i="33"/>
  <c r="G406" i="33"/>
  <c r="H406" i="33"/>
  <c r="I406" i="33"/>
  <c r="L406" i="33"/>
  <c r="R406" i="33"/>
  <c r="S406" i="33"/>
  <c r="T406" i="33"/>
  <c r="V406" i="33"/>
  <c r="W406" i="33"/>
  <c r="X406" i="33"/>
  <c r="Y406" i="33"/>
  <c r="Z406" i="33"/>
  <c r="F407" i="33"/>
  <c r="G407" i="33"/>
  <c r="H407" i="33"/>
  <c r="I407" i="33"/>
  <c r="K407" i="33"/>
  <c r="L407" i="33"/>
  <c r="R407" i="33"/>
  <c r="S407" i="33"/>
  <c r="T407" i="33"/>
  <c r="V407" i="33"/>
  <c r="W407" i="33"/>
  <c r="X407" i="33"/>
  <c r="Y407" i="33"/>
  <c r="Z407" i="33"/>
  <c r="F408" i="33"/>
  <c r="G408" i="33"/>
  <c r="H408" i="33"/>
  <c r="I408" i="33"/>
  <c r="K408" i="33"/>
  <c r="L408" i="33"/>
  <c r="R408" i="33"/>
  <c r="S408" i="33"/>
  <c r="T408" i="33"/>
  <c r="V408" i="33"/>
  <c r="W408" i="33"/>
  <c r="X408" i="33"/>
  <c r="Y408" i="33"/>
  <c r="Z408" i="33"/>
  <c r="F409" i="33"/>
  <c r="K409" i="33"/>
  <c r="G409" i="33"/>
  <c r="H409" i="33"/>
  <c r="I409" i="33"/>
  <c r="L409" i="33"/>
  <c r="R409" i="33"/>
  <c r="S409" i="33"/>
  <c r="T409" i="33"/>
  <c r="V409" i="33"/>
  <c r="W409" i="33"/>
  <c r="X409" i="33"/>
  <c r="Y409" i="33"/>
  <c r="Z409" i="33"/>
  <c r="F410" i="33"/>
  <c r="K410" i="33"/>
  <c r="G410" i="33"/>
  <c r="H410" i="33"/>
  <c r="I410" i="33"/>
  <c r="L410" i="33"/>
  <c r="R410" i="33"/>
  <c r="S410" i="33"/>
  <c r="T410" i="33"/>
  <c r="V410" i="33"/>
  <c r="W410" i="33"/>
  <c r="X410" i="33"/>
  <c r="Y410" i="33"/>
  <c r="Z410" i="33"/>
  <c r="F411" i="33"/>
  <c r="G411" i="33"/>
  <c r="H411" i="33"/>
  <c r="I411" i="33"/>
  <c r="K411" i="33"/>
  <c r="L411" i="33"/>
  <c r="R411" i="33"/>
  <c r="S411" i="33"/>
  <c r="T411" i="33"/>
  <c r="V411" i="33"/>
  <c r="W411" i="33"/>
  <c r="X411" i="33"/>
  <c r="Y411" i="33"/>
  <c r="Z411" i="33"/>
  <c r="F412" i="33"/>
  <c r="G412" i="33"/>
  <c r="H412" i="33"/>
  <c r="I412" i="33"/>
  <c r="K412" i="33"/>
  <c r="L412" i="33"/>
  <c r="R412" i="33"/>
  <c r="S412" i="33"/>
  <c r="T412" i="33"/>
  <c r="V412" i="33"/>
  <c r="W412" i="33"/>
  <c r="X412" i="33"/>
  <c r="Y412" i="33"/>
  <c r="Z412" i="33"/>
  <c r="F415" i="33"/>
  <c r="H415" i="33" s="1"/>
  <c r="K415" i="33"/>
  <c r="R415" i="33"/>
  <c r="S415" i="33"/>
  <c r="T415" i="33"/>
  <c r="W415" i="33" s="1"/>
  <c r="V415" i="33"/>
  <c r="F416" i="33"/>
  <c r="K416" i="33"/>
  <c r="G416" i="33"/>
  <c r="H416" i="33"/>
  <c r="I416" i="33"/>
  <c r="L416" i="33"/>
  <c r="R416" i="33"/>
  <c r="S416" i="33"/>
  <c r="T416" i="33"/>
  <c r="V416" i="33"/>
  <c r="W416" i="33"/>
  <c r="X416" i="33"/>
  <c r="Y416" i="33"/>
  <c r="Z416" i="33"/>
  <c r="F419" i="33"/>
  <c r="G419" i="33" s="1"/>
  <c r="K419" i="33"/>
  <c r="R419" i="33"/>
  <c r="S419" i="33"/>
  <c r="T419" i="33"/>
  <c r="Y419" i="33" s="1"/>
  <c r="V419" i="33"/>
  <c r="F420" i="33"/>
  <c r="G420" i="33"/>
  <c r="H420" i="33"/>
  <c r="I420" i="33"/>
  <c r="K420" i="33"/>
  <c r="L420" i="33"/>
  <c r="R420" i="33"/>
  <c r="S420" i="33"/>
  <c r="T420" i="33"/>
  <c r="V420" i="33"/>
  <c r="W420" i="33"/>
  <c r="X420" i="33"/>
  <c r="Y420" i="33"/>
  <c r="Z420" i="33"/>
  <c r="F421" i="33"/>
  <c r="H421" i="33" s="1"/>
  <c r="K421" i="33"/>
  <c r="R421" i="33"/>
  <c r="S421" i="33"/>
  <c r="T421" i="33"/>
  <c r="Y421" i="33" s="1"/>
  <c r="V421" i="33"/>
  <c r="F422" i="33"/>
  <c r="K422" i="33"/>
  <c r="G422" i="33"/>
  <c r="H422" i="33"/>
  <c r="I422" i="33"/>
  <c r="L422" i="33"/>
  <c r="R422" i="33"/>
  <c r="S422" i="33"/>
  <c r="T422" i="33"/>
  <c r="V422" i="33"/>
  <c r="W422" i="33"/>
  <c r="X422" i="33"/>
  <c r="Y422" i="33"/>
  <c r="Z422" i="33"/>
  <c r="F423" i="33"/>
  <c r="G423" i="33" s="1"/>
  <c r="K423" i="33"/>
  <c r="R423" i="33"/>
  <c r="S423" i="33"/>
  <c r="T423" i="33"/>
  <c r="Y423" i="33" s="1"/>
  <c r="V423" i="33"/>
  <c r="F424" i="33"/>
  <c r="G424" i="33"/>
  <c r="H424" i="33"/>
  <c r="I424" i="33"/>
  <c r="K424" i="33"/>
  <c r="L424" i="33"/>
  <c r="R424" i="33"/>
  <c r="S424" i="33"/>
  <c r="T424" i="33"/>
  <c r="V424" i="33"/>
  <c r="W424" i="33"/>
  <c r="X424" i="33"/>
  <c r="Y424" i="33"/>
  <c r="Z424" i="33"/>
  <c r="F427" i="33"/>
  <c r="I427" i="33" s="1"/>
  <c r="K427" i="33"/>
  <c r="R427" i="33"/>
  <c r="S427" i="33"/>
  <c r="T427" i="33"/>
  <c r="W427" i="33" s="1"/>
  <c r="V427" i="33"/>
  <c r="F428" i="33"/>
  <c r="K428" i="33"/>
  <c r="G428" i="33"/>
  <c r="H428" i="33"/>
  <c r="I428" i="33"/>
  <c r="L428" i="33"/>
  <c r="R428" i="33"/>
  <c r="S428" i="33"/>
  <c r="T428" i="33"/>
  <c r="V428" i="33"/>
  <c r="W428" i="33"/>
  <c r="X428" i="33"/>
  <c r="Y428" i="33"/>
  <c r="Z428" i="33"/>
  <c r="F429" i="33"/>
  <c r="G429" i="33" s="1"/>
  <c r="K429" i="33"/>
  <c r="R429" i="33"/>
  <c r="S429" i="33"/>
  <c r="T429" i="33"/>
  <c r="W429" i="33" s="1"/>
  <c r="V429" i="33"/>
  <c r="F430" i="33"/>
  <c r="G430" i="33"/>
  <c r="H430" i="33"/>
  <c r="I430" i="33"/>
  <c r="K430" i="33"/>
  <c r="L430" i="33"/>
  <c r="R430" i="33"/>
  <c r="S430" i="33"/>
  <c r="T430" i="33"/>
  <c r="V430" i="33"/>
  <c r="W430" i="33"/>
  <c r="X430" i="33"/>
  <c r="Y430" i="33"/>
  <c r="Z430" i="33"/>
  <c r="F431" i="33"/>
  <c r="I431" i="33" s="1"/>
  <c r="K431" i="33"/>
  <c r="R431" i="33"/>
  <c r="S431" i="33"/>
  <c r="T431" i="33"/>
  <c r="X431" i="33" s="1"/>
  <c r="V431" i="33"/>
  <c r="F432" i="33"/>
  <c r="K432" i="33"/>
  <c r="G432" i="33"/>
  <c r="H432" i="33"/>
  <c r="I432" i="33"/>
  <c r="L432" i="33"/>
  <c r="R432" i="33"/>
  <c r="S432" i="33"/>
  <c r="T432" i="33"/>
  <c r="V432" i="33"/>
  <c r="W432" i="33"/>
  <c r="X432" i="33"/>
  <c r="Y432" i="33"/>
  <c r="Z432" i="33"/>
  <c r="F433" i="33"/>
  <c r="I433" i="33" s="1"/>
  <c r="K433" i="33"/>
  <c r="R433" i="33"/>
  <c r="S433" i="33"/>
  <c r="T433" i="33"/>
  <c r="Y433" i="33" s="1"/>
  <c r="V433" i="33"/>
  <c r="F434" i="33"/>
  <c r="G434" i="33"/>
  <c r="H434" i="33"/>
  <c r="I434" i="33"/>
  <c r="K434" i="33"/>
  <c r="L434" i="33"/>
  <c r="R434" i="33"/>
  <c r="S434" i="33"/>
  <c r="T434" i="33"/>
  <c r="V434" i="33"/>
  <c r="W434" i="33"/>
  <c r="X434" i="33"/>
  <c r="Y434" i="33"/>
  <c r="Z434" i="33"/>
  <c r="F441" i="33"/>
  <c r="I441" i="33" s="1"/>
  <c r="K441" i="33"/>
  <c r="R441" i="33"/>
  <c r="S441" i="33"/>
  <c r="T441" i="33"/>
  <c r="W441" i="33" s="1"/>
  <c r="V441" i="33"/>
  <c r="F442" i="33"/>
  <c r="K442" i="33"/>
  <c r="G442" i="33"/>
  <c r="H442" i="33"/>
  <c r="I442" i="33"/>
  <c r="L442" i="33"/>
  <c r="R442" i="33"/>
  <c r="S442" i="33"/>
  <c r="T442" i="33"/>
  <c r="V442" i="33"/>
  <c r="W442" i="33"/>
  <c r="X442" i="33"/>
  <c r="Y442" i="33"/>
  <c r="Z442" i="33"/>
  <c r="F443" i="33"/>
  <c r="I443" i="33" s="1"/>
  <c r="K443" i="33"/>
  <c r="R443" i="33"/>
  <c r="S443" i="33"/>
  <c r="T443" i="33"/>
  <c r="Y443" i="33" s="1"/>
  <c r="V443" i="33"/>
  <c r="F444" i="33"/>
  <c r="G444" i="33"/>
  <c r="H444" i="33"/>
  <c r="I444" i="33"/>
  <c r="K444" i="33"/>
  <c r="L444" i="33"/>
  <c r="R444" i="33"/>
  <c r="S444" i="33"/>
  <c r="T444" i="33"/>
  <c r="V444" i="33"/>
  <c r="W444" i="33"/>
  <c r="X444" i="33"/>
  <c r="Y444" i="33"/>
  <c r="Z444" i="33"/>
  <c r="F445" i="33"/>
  <c r="I445" i="33" s="1"/>
  <c r="K445" i="33"/>
  <c r="R445" i="33"/>
  <c r="S445" i="33"/>
  <c r="T445" i="33"/>
  <c r="Y445" i="33" s="1"/>
  <c r="V445" i="33"/>
  <c r="F446" i="33"/>
  <c r="K446" i="33"/>
  <c r="G446" i="33"/>
  <c r="H446" i="33"/>
  <c r="I446" i="33"/>
  <c r="L446" i="33"/>
  <c r="R446" i="33"/>
  <c r="S446" i="33"/>
  <c r="T446" i="33"/>
  <c r="V446" i="33"/>
  <c r="W446" i="33"/>
  <c r="X446" i="33"/>
  <c r="Y446" i="33"/>
  <c r="Z446" i="33"/>
  <c r="F447" i="33"/>
  <c r="I447" i="33" s="1"/>
  <c r="K447" i="33"/>
  <c r="R447" i="33"/>
  <c r="S447" i="33"/>
  <c r="T447" i="33"/>
  <c r="Y447" i="33" s="1"/>
  <c r="V447" i="33"/>
  <c r="F448" i="33"/>
  <c r="G448" i="33"/>
  <c r="H448" i="33"/>
  <c r="I448" i="33"/>
  <c r="K448" i="33"/>
  <c r="L448" i="33"/>
  <c r="R448" i="33"/>
  <c r="S448" i="33"/>
  <c r="T448" i="33"/>
  <c r="V448" i="33"/>
  <c r="W448" i="33"/>
  <c r="X448" i="33"/>
  <c r="Y448" i="33"/>
  <c r="Z448" i="33"/>
  <c r="F449" i="33"/>
  <c r="H449" i="33" s="1"/>
  <c r="K449" i="33"/>
  <c r="R449" i="33"/>
  <c r="S449" i="33"/>
  <c r="T449" i="33"/>
  <c r="Y449" i="33" s="1"/>
  <c r="V449" i="33"/>
  <c r="F450" i="33"/>
  <c r="K450" i="33"/>
  <c r="G450" i="33"/>
  <c r="H450" i="33"/>
  <c r="I450" i="33"/>
  <c r="L450" i="33"/>
  <c r="R450" i="33"/>
  <c r="S450" i="33"/>
  <c r="T450" i="33"/>
  <c r="V450" i="33"/>
  <c r="W450" i="33"/>
  <c r="X450" i="33"/>
  <c r="Y450" i="33"/>
  <c r="Z450" i="33"/>
  <c r="F451" i="33"/>
  <c r="I451" i="33" s="1"/>
  <c r="K451" i="33"/>
  <c r="R451" i="33"/>
  <c r="S451" i="33"/>
  <c r="T451" i="33"/>
  <c r="Y451" i="33" s="1"/>
  <c r="V451" i="33"/>
  <c r="F452" i="33"/>
  <c r="G452" i="33"/>
  <c r="H452" i="33"/>
  <c r="I452" i="33"/>
  <c r="K452" i="33"/>
  <c r="L452" i="33"/>
  <c r="R452" i="33"/>
  <c r="S452" i="33"/>
  <c r="T452" i="33"/>
  <c r="V452" i="33"/>
  <c r="W452" i="33"/>
  <c r="X452" i="33"/>
  <c r="Y452" i="33"/>
  <c r="Z452" i="33"/>
  <c r="F455" i="33"/>
  <c r="K455" i="33"/>
  <c r="G455" i="33"/>
  <c r="H455" i="33"/>
  <c r="I455" i="33"/>
  <c r="L455" i="33"/>
  <c r="R455" i="33"/>
  <c r="S455" i="33"/>
  <c r="T455" i="33"/>
  <c r="V455" i="33"/>
  <c r="W455" i="33"/>
  <c r="X455" i="33"/>
  <c r="Y455" i="33"/>
  <c r="Z455" i="33"/>
  <c r="F456" i="33"/>
  <c r="G456" i="33"/>
  <c r="H456" i="33"/>
  <c r="I456" i="33"/>
  <c r="K456" i="33"/>
  <c r="L456" i="33"/>
  <c r="R456" i="33"/>
  <c r="S456" i="33"/>
  <c r="T456" i="33"/>
  <c r="V456" i="33"/>
  <c r="W456" i="33"/>
  <c r="X456" i="33"/>
  <c r="Y456" i="33"/>
  <c r="Z456" i="33"/>
  <c r="F457" i="33"/>
  <c r="G457" i="33"/>
  <c r="H457" i="33"/>
  <c r="I457" i="33"/>
  <c r="K457" i="33"/>
  <c r="L457" i="33"/>
  <c r="R457" i="33"/>
  <c r="S457" i="33"/>
  <c r="T457" i="33"/>
  <c r="V457" i="33"/>
  <c r="W457" i="33"/>
  <c r="X457" i="33"/>
  <c r="Y457" i="33"/>
  <c r="Z457" i="33"/>
  <c r="F458" i="33"/>
  <c r="K458" i="33"/>
  <c r="G458" i="33"/>
  <c r="H458" i="33"/>
  <c r="I458" i="33"/>
  <c r="L458" i="33"/>
  <c r="R458" i="33"/>
  <c r="S458" i="33"/>
  <c r="T458" i="33"/>
  <c r="V458" i="33"/>
  <c r="W458" i="33"/>
  <c r="X458" i="33"/>
  <c r="Y458" i="33"/>
  <c r="Z458" i="33"/>
  <c r="F459" i="33"/>
  <c r="K459" i="33"/>
  <c r="G459" i="33"/>
  <c r="H459" i="33"/>
  <c r="I459" i="33"/>
  <c r="L459" i="33"/>
  <c r="R459" i="33"/>
  <c r="S459" i="33"/>
  <c r="T459" i="33"/>
  <c r="V459" i="33"/>
  <c r="W459" i="33"/>
  <c r="X459" i="33"/>
  <c r="Y459" i="33"/>
  <c r="Z459" i="33"/>
  <c r="F460" i="33"/>
  <c r="G460" i="33"/>
  <c r="H460" i="33"/>
  <c r="I460" i="33"/>
  <c r="K460" i="33"/>
  <c r="L460" i="33"/>
  <c r="R460" i="33"/>
  <c r="S460" i="33"/>
  <c r="T460" i="33"/>
  <c r="V460" i="33"/>
  <c r="W460" i="33"/>
  <c r="X460" i="33"/>
  <c r="Y460" i="33"/>
  <c r="Z460" i="33"/>
  <c r="F461" i="33"/>
  <c r="G461" i="33"/>
  <c r="H461" i="33"/>
  <c r="I461" i="33"/>
  <c r="K461" i="33"/>
  <c r="L461" i="33"/>
  <c r="R461" i="33"/>
  <c r="S461" i="33"/>
  <c r="T461" i="33"/>
  <c r="V461" i="33"/>
  <c r="W461" i="33"/>
  <c r="X461" i="33"/>
  <c r="Y461" i="33"/>
  <c r="Z461" i="33"/>
  <c r="F462" i="33"/>
  <c r="K462" i="33"/>
  <c r="G462" i="33"/>
  <c r="H462" i="33"/>
  <c r="I462" i="33"/>
  <c r="L462" i="33"/>
  <c r="R462" i="33"/>
  <c r="S462" i="33"/>
  <c r="T462" i="33"/>
  <c r="V462" i="33"/>
  <c r="W462" i="33"/>
  <c r="X462" i="33"/>
  <c r="Y462" i="33"/>
  <c r="Z462" i="33"/>
  <c r="F463" i="33"/>
  <c r="K463" i="33"/>
  <c r="G463" i="33"/>
  <c r="H463" i="33"/>
  <c r="I463" i="33"/>
  <c r="L463" i="33"/>
  <c r="R463" i="33"/>
  <c r="S463" i="33"/>
  <c r="T463" i="33"/>
  <c r="V463" i="33"/>
  <c r="W463" i="33"/>
  <c r="X463" i="33"/>
  <c r="Y463" i="33"/>
  <c r="Z463" i="33"/>
  <c r="F464" i="33"/>
  <c r="G464" i="33"/>
  <c r="H464" i="33"/>
  <c r="I464" i="33"/>
  <c r="K464" i="33"/>
  <c r="L464" i="33"/>
  <c r="R464" i="33"/>
  <c r="S464" i="33"/>
  <c r="T464" i="33"/>
  <c r="V464" i="33"/>
  <c r="W464" i="33"/>
  <c r="X464" i="33"/>
  <c r="Y464" i="33"/>
  <c r="Z464" i="33"/>
  <c r="F475" i="33"/>
  <c r="H475" i="33" s="1"/>
  <c r="K475" i="33"/>
  <c r="R475" i="33"/>
  <c r="S475" i="33"/>
  <c r="T475" i="33"/>
  <c r="Y475" i="33" s="1"/>
  <c r="V475" i="33"/>
  <c r="F476" i="33"/>
  <c r="K476" i="33"/>
  <c r="G476" i="33"/>
  <c r="H476" i="33"/>
  <c r="I476" i="33"/>
  <c r="L476" i="33"/>
  <c r="R476" i="33"/>
  <c r="S476" i="33"/>
  <c r="T476" i="33"/>
  <c r="V476" i="33"/>
  <c r="W476" i="33"/>
  <c r="X476" i="33"/>
  <c r="Y476" i="33"/>
  <c r="Z476" i="33"/>
  <c r="F479" i="33"/>
  <c r="G479" i="33" s="1"/>
  <c r="K479" i="33"/>
  <c r="R479" i="33"/>
  <c r="S479" i="33"/>
  <c r="T479" i="33"/>
  <c r="Z479" i="33" s="1"/>
  <c r="V479" i="33"/>
  <c r="F480" i="33"/>
  <c r="G480" i="33"/>
  <c r="H480" i="33"/>
  <c r="I480" i="33"/>
  <c r="K480" i="33"/>
  <c r="L480" i="33"/>
  <c r="R480" i="33"/>
  <c r="S480" i="33"/>
  <c r="T480" i="33"/>
  <c r="V480" i="33"/>
  <c r="W480" i="33"/>
  <c r="X480" i="33"/>
  <c r="Y480" i="33"/>
  <c r="Z480" i="33"/>
  <c r="F481" i="33"/>
  <c r="G481" i="33" s="1"/>
  <c r="K481" i="33"/>
  <c r="R481" i="33"/>
  <c r="S481" i="33"/>
  <c r="T481" i="33"/>
  <c r="Z481" i="33" s="1"/>
  <c r="V481" i="33"/>
  <c r="F482" i="33"/>
  <c r="K482" i="33"/>
  <c r="G482" i="33"/>
  <c r="H482" i="33"/>
  <c r="I482" i="33"/>
  <c r="L482" i="33"/>
  <c r="R482" i="33"/>
  <c r="S482" i="33"/>
  <c r="T482" i="33"/>
  <c r="V482" i="33"/>
  <c r="W482" i="33"/>
  <c r="X482" i="33"/>
  <c r="Y482" i="33"/>
  <c r="Z482" i="33"/>
  <c r="F483" i="33"/>
  <c r="H483" i="33" s="1"/>
  <c r="K483" i="33"/>
  <c r="R483" i="33"/>
  <c r="S483" i="33"/>
  <c r="T483" i="33"/>
  <c r="Y483" i="33" s="1"/>
  <c r="V483" i="33"/>
  <c r="F484" i="33"/>
  <c r="G484" i="33"/>
  <c r="H484" i="33"/>
  <c r="I484" i="33"/>
  <c r="K484" i="33"/>
  <c r="L484" i="33"/>
  <c r="R484" i="33"/>
  <c r="S484" i="33"/>
  <c r="T484" i="33"/>
  <c r="V484" i="33"/>
  <c r="W484" i="33"/>
  <c r="X484" i="33"/>
  <c r="Y484" i="33"/>
  <c r="Z484" i="33"/>
  <c r="F485" i="33"/>
  <c r="H485" i="33" s="1"/>
  <c r="K485" i="33"/>
  <c r="R485" i="33"/>
  <c r="S485" i="33"/>
  <c r="T485" i="33"/>
  <c r="Z485" i="33" s="1"/>
  <c r="V485" i="33"/>
  <c r="F486" i="33"/>
  <c r="K486" i="33"/>
  <c r="G486" i="33"/>
  <c r="H486" i="33"/>
  <c r="I486" i="33"/>
  <c r="L486" i="33"/>
  <c r="R486" i="33"/>
  <c r="S486" i="33"/>
  <c r="T486" i="33"/>
  <c r="V486" i="33"/>
  <c r="W486" i="33"/>
  <c r="X486" i="33"/>
  <c r="Y486" i="33"/>
  <c r="Z486" i="33"/>
  <c r="F487" i="33"/>
  <c r="H487" i="33" s="1"/>
  <c r="K487" i="33"/>
  <c r="R487" i="33"/>
  <c r="S487" i="33"/>
  <c r="T487" i="33"/>
  <c r="Z487" i="33" s="1"/>
  <c r="V487" i="33"/>
  <c r="F488" i="33"/>
  <c r="G488" i="33"/>
  <c r="H488" i="33"/>
  <c r="I488" i="33"/>
  <c r="K488" i="33"/>
  <c r="L488" i="33"/>
  <c r="R488" i="33"/>
  <c r="S488" i="33"/>
  <c r="T488" i="33"/>
  <c r="V488" i="33"/>
  <c r="W488" i="33"/>
  <c r="X488" i="33"/>
  <c r="Y488" i="33"/>
  <c r="Z488" i="33"/>
  <c r="F489" i="33"/>
  <c r="K489" i="33"/>
  <c r="G489" i="33"/>
  <c r="H489" i="33"/>
  <c r="I489" i="33"/>
  <c r="L489" i="33"/>
  <c r="R489" i="33"/>
  <c r="S489" i="33"/>
  <c r="T489" i="33"/>
  <c r="V489" i="33"/>
  <c r="W489" i="33"/>
  <c r="X489" i="33"/>
  <c r="Y489" i="33"/>
  <c r="Z489" i="33"/>
  <c r="F490" i="33"/>
  <c r="G490" i="33"/>
  <c r="H490" i="33"/>
  <c r="I490" i="33"/>
  <c r="K490" i="33"/>
  <c r="L490" i="33"/>
  <c r="R490" i="33"/>
  <c r="S490" i="33"/>
  <c r="T490" i="33"/>
  <c r="V490" i="33"/>
  <c r="W490" i="33"/>
  <c r="X490" i="33"/>
  <c r="Y490" i="33"/>
  <c r="Z490" i="33"/>
  <c r="F493" i="33"/>
  <c r="G493" i="33"/>
  <c r="H493" i="33"/>
  <c r="I493" i="33"/>
  <c r="K493" i="33"/>
  <c r="L493" i="33"/>
  <c r="R493" i="33"/>
  <c r="S493" i="33"/>
  <c r="T493" i="33"/>
  <c r="V493" i="33"/>
  <c r="W493" i="33"/>
  <c r="X493" i="33"/>
  <c r="Y493" i="33"/>
  <c r="Z493" i="33"/>
  <c r="F494" i="33"/>
  <c r="K494" i="33"/>
  <c r="G494" i="33"/>
  <c r="H494" i="33"/>
  <c r="I494" i="33"/>
  <c r="L494" i="33"/>
  <c r="R494" i="33"/>
  <c r="S494" i="33"/>
  <c r="T494" i="33"/>
  <c r="V494" i="33"/>
  <c r="W494" i="33"/>
  <c r="X494" i="33"/>
  <c r="Y494" i="33"/>
  <c r="Z494" i="33"/>
  <c r="F495" i="33"/>
  <c r="K495" i="33"/>
  <c r="G495" i="33"/>
  <c r="H495" i="33"/>
  <c r="I495" i="33"/>
  <c r="L495" i="33"/>
  <c r="R495" i="33"/>
  <c r="S495" i="33"/>
  <c r="T495" i="33"/>
  <c r="V495" i="33"/>
  <c r="W495" i="33"/>
  <c r="X495" i="33"/>
  <c r="Y495" i="33"/>
  <c r="Z495" i="33"/>
  <c r="F496" i="33"/>
  <c r="G496" i="33"/>
  <c r="H496" i="33"/>
  <c r="I496" i="33"/>
  <c r="K496" i="33"/>
  <c r="L496" i="33"/>
  <c r="R496" i="33"/>
  <c r="S496" i="33"/>
  <c r="T496" i="33"/>
  <c r="V496" i="33"/>
  <c r="W496" i="33"/>
  <c r="X496" i="33"/>
  <c r="Y496" i="33"/>
  <c r="Z496" i="33"/>
  <c r="F497" i="33"/>
  <c r="G497" i="33"/>
  <c r="H497" i="33"/>
  <c r="I497" i="33"/>
  <c r="K497" i="33"/>
  <c r="L497" i="33"/>
  <c r="R497" i="33"/>
  <c r="S497" i="33"/>
  <c r="T497" i="33"/>
  <c r="V497" i="33"/>
  <c r="W497" i="33"/>
  <c r="X497" i="33"/>
  <c r="Y497" i="33"/>
  <c r="Z497" i="33"/>
  <c r="F498" i="33"/>
  <c r="K498" i="33"/>
  <c r="G498" i="33"/>
  <c r="H498" i="33"/>
  <c r="I498" i="33"/>
  <c r="L498" i="33"/>
  <c r="R498" i="33"/>
  <c r="S498" i="33"/>
  <c r="T498" i="33"/>
  <c r="V498" i="33"/>
  <c r="W498" i="33"/>
  <c r="X498" i="33"/>
  <c r="Y498" i="33"/>
  <c r="Z498" i="33"/>
  <c r="F499" i="33"/>
  <c r="I499" i="33" s="1"/>
  <c r="K499" i="33"/>
  <c r="R499" i="33"/>
  <c r="S499" i="33"/>
  <c r="T499" i="33"/>
  <c r="Z499" i="33" s="1"/>
  <c r="V499" i="33"/>
  <c r="F500" i="33"/>
  <c r="G500" i="33"/>
  <c r="H500" i="33"/>
  <c r="I500" i="33"/>
  <c r="K500" i="33"/>
  <c r="L500" i="33"/>
  <c r="R500" i="33"/>
  <c r="S500" i="33"/>
  <c r="T500" i="33"/>
  <c r="V500" i="33"/>
  <c r="W500" i="33"/>
  <c r="X500" i="33"/>
  <c r="Y500" i="33"/>
  <c r="Z500" i="33"/>
  <c r="F501" i="33"/>
  <c r="I501" i="33" s="1"/>
  <c r="K501" i="33"/>
  <c r="R501" i="33"/>
  <c r="S501" i="33"/>
  <c r="T501" i="33"/>
  <c r="W501" i="33" s="1"/>
  <c r="V501" i="33"/>
  <c r="F502" i="33"/>
  <c r="K502" i="33"/>
  <c r="G502" i="33"/>
  <c r="H502" i="33"/>
  <c r="I502" i="33"/>
  <c r="L502" i="33"/>
  <c r="R502" i="33"/>
  <c r="S502" i="33"/>
  <c r="T502" i="33"/>
  <c r="V502" i="33"/>
  <c r="W502" i="33"/>
  <c r="X502" i="33"/>
  <c r="Y502" i="33"/>
  <c r="Z502" i="33"/>
  <c r="F504" i="33"/>
  <c r="G504" i="33"/>
  <c r="H504" i="33"/>
  <c r="I504" i="33"/>
  <c r="K504" i="33"/>
  <c r="L504" i="33"/>
  <c r="R504" i="33"/>
  <c r="S504" i="33"/>
  <c r="T504" i="33"/>
  <c r="V504" i="33"/>
  <c r="W504" i="33"/>
  <c r="X504" i="33"/>
  <c r="Y504" i="33"/>
  <c r="Z504" i="33"/>
  <c r="F505" i="33"/>
  <c r="G505" i="33" s="1"/>
  <c r="R505" i="33"/>
  <c r="S505" i="33"/>
  <c r="T505" i="33"/>
  <c r="X505" i="33" s="1"/>
  <c r="V505" i="33"/>
  <c r="F506" i="33"/>
  <c r="K506" i="33"/>
  <c r="G506" i="33"/>
  <c r="H506" i="33"/>
  <c r="I506" i="33"/>
  <c r="L506" i="33"/>
  <c r="R506" i="33"/>
  <c r="S506" i="33"/>
  <c r="T506" i="33"/>
  <c r="V506" i="33"/>
  <c r="W506" i="33"/>
  <c r="X506" i="33"/>
  <c r="Y506" i="33"/>
  <c r="Z506" i="33"/>
  <c r="F507" i="33"/>
  <c r="G507" i="33" s="1"/>
  <c r="K507" i="33"/>
  <c r="R507" i="33"/>
  <c r="S507" i="33"/>
  <c r="T507" i="33"/>
  <c r="X507" i="33" s="1"/>
  <c r="V507" i="33"/>
  <c r="F508" i="33"/>
  <c r="G508" i="33"/>
  <c r="H508" i="33"/>
  <c r="I508" i="33"/>
  <c r="K508" i="33"/>
  <c r="L508" i="33"/>
  <c r="R508" i="33"/>
  <c r="S508" i="33"/>
  <c r="T508" i="33"/>
  <c r="V508" i="33"/>
  <c r="W508" i="33"/>
  <c r="X508" i="33"/>
  <c r="Y508" i="33"/>
  <c r="Z508" i="33"/>
  <c r="F509" i="33"/>
  <c r="I509" i="33" s="1"/>
  <c r="K509" i="33"/>
  <c r="R509" i="33"/>
  <c r="S509" i="33"/>
  <c r="T509" i="33"/>
  <c r="Z509" i="33" s="1"/>
  <c r="V509" i="33"/>
  <c r="F510" i="33"/>
  <c r="K510" i="33"/>
  <c r="G510" i="33"/>
  <c r="H510" i="33"/>
  <c r="I510" i="33"/>
  <c r="L510" i="33"/>
  <c r="R510" i="33"/>
  <c r="S510" i="33"/>
  <c r="T510" i="33"/>
  <c r="V510" i="33"/>
  <c r="W510" i="33"/>
  <c r="X510" i="33"/>
  <c r="Y510" i="33"/>
  <c r="Z510" i="33"/>
  <c r="F511" i="33"/>
  <c r="I511" i="33" s="1"/>
  <c r="K511" i="33"/>
  <c r="R511" i="33"/>
  <c r="S511" i="33"/>
  <c r="T511" i="33"/>
  <c r="X511" i="33" s="1"/>
  <c r="V511" i="33"/>
  <c r="F512" i="33"/>
  <c r="G512" i="33"/>
  <c r="H512" i="33"/>
  <c r="I512" i="33"/>
  <c r="K512" i="33"/>
  <c r="L512" i="33"/>
  <c r="R512" i="33"/>
  <c r="S512" i="33"/>
  <c r="T512" i="33"/>
  <c r="V512" i="33"/>
  <c r="W512" i="33"/>
  <c r="X512" i="33"/>
  <c r="Y512" i="33"/>
  <c r="Z512" i="33"/>
  <c r="F513" i="33"/>
  <c r="G513" i="33" s="1"/>
  <c r="K513" i="33"/>
  <c r="R513" i="33"/>
  <c r="S513" i="33"/>
  <c r="T513" i="33"/>
  <c r="Z513" i="33" s="1"/>
  <c r="V513" i="33"/>
  <c r="F514" i="33"/>
  <c r="K514" i="33"/>
  <c r="G514" i="33"/>
  <c r="H514" i="33"/>
  <c r="I514" i="33"/>
  <c r="L514" i="33"/>
  <c r="R514" i="33"/>
  <c r="S514" i="33"/>
  <c r="T514" i="33"/>
  <c r="V514" i="33"/>
  <c r="W514" i="33"/>
  <c r="X514" i="33"/>
  <c r="Y514" i="33"/>
  <c r="Z514" i="33"/>
  <c r="F518" i="33"/>
  <c r="G518" i="33"/>
  <c r="H518" i="33"/>
  <c r="I518" i="33"/>
  <c r="K518" i="33"/>
  <c r="L518" i="33"/>
  <c r="R518" i="33"/>
  <c r="S518" i="33"/>
  <c r="T518" i="33"/>
  <c r="V518" i="33"/>
  <c r="W518" i="33"/>
  <c r="X518" i="33"/>
  <c r="Y518" i="33"/>
  <c r="Z518" i="33"/>
  <c r="F519" i="33"/>
  <c r="G519" i="33"/>
  <c r="H519" i="33"/>
  <c r="I519" i="33"/>
  <c r="K519" i="33"/>
  <c r="L519" i="33"/>
  <c r="R519" i="33"/>
  <c r="S519" i="33"/>
  <c r="T519" i="33"/>
  <c r="V519" i="33"/>
  <c r="W519" i="33"/>
  <c r="X519" i="33"/>
  <c r="Y519" i="33"/>
  <c r="Z519" i="33"/>
  <c r="F520" i="33"/>
  <c r="K520" i="33"/>
  <c r="G520" i="33"/>
  <c r="H520" i="33"/>
  <c r="I520" i="33"/>
  <c r="L520" i="33"/>
  <c r="R520" i="33"/>
  <c r="S520" i="33"/>
  <c r="T520" i="33"/>
  <c r="V520" i="33"/>
  <c r="W520" i="33"/>
  <c r="X520" i="33"/>
  <c r="Y520" i="33"/>
  <c r="Z520" i="33"/>
  <c r="F521" i="33"/>
  <c r="K521" i="33"/>
  <c r="G521" i="33"/>
  <c r="H521" i="33"/>
  <c r="I521" i="33"/>
  <c r="L521" i="33"/>
  <c r="R521" i="33"/>
  <c r="S521" i="33"/>
  <c r="T521" i="33"/>
  <c r="V521" i="33"/>
  <c r="W521" i="33"/>
  <c r="X521" i="33"/>
  <c r="Y521" i="33"/>
  <c r="Z521" i="33"/>
  <c r="F524" i="33"/>
  <c r="G524" i="33"/>
  <c r="H524" i="33"/>
  <c r="I524" i="33"/>
  <c r="K524" i="33"/>
  <c r="L524" i="33"/>
  <c r="R524" i="33"/>
  <c r="S524" i="33"/>
  <c r="T524" i="33"/>
  <c r="V524" i="33"/>
  <c r="W524" i="33"/>
  <c r="X524" i="33"/>
  <c r="Y524" i="33"/>
  <c r="Z524" i="33"/>
  <c r="F525" i="33"/>
  <c r="K525" i="33"/>
  <c r="G525" i="33"/>
  <c r="H525" i="33"/>
  <c r="I525" i="33"/>
  <c r="L525" i="33"/>
  <c r="R525" i="33"/>
  <c r="S525" i="33"/>
  <c r="T525" i="33"/>
  <c r="V525" i="33"/>
  <c r="W525" i="33"/>
  <c r="X525" i="33"/>
  <c r="Y525" i="33"/>
  <c r="Z525" i="33"/>
  <c r="F526" i="33"/>
  <c r="K526" i="33"/>
  <c r="G526" i="33"/>
  <c r="H526" i="33"/>
  <c r="I526" i="33"/>
  <c r="L526" i="33"/>
  <c r="R526" i="33"/>
  <c r="S526" i="33"/>
  <c r="T526" i="33"/>
  <c r="V526" i="33"/>
  <c r="W526" i="33"/>
  <c r="X526" i="33"/>
  <c r="Y526" i="33"/>
  <c r="Z526" i="33"/>
  <c r="F527" i="33"/>
  <c r="G527" i="33"/>
  <c r="H527" i="33"/>
  <c r="I527" i="33"/>
  <c r="K527" i="33"/>
  <c r="L527" i="33"/>
  <c r="R527" i="33"/>
  <c r="S527" i="33"/>
  <c r="T527" i="33"/>
  <c r="V527" i="33"/>
  <c r="W527" i="33"/>
  <c r="X527" i="33"/>
  <c r="Y527" i="33"/>
  <c r="Z527" i="33"/>
  <c r="F528" i="33"/>
  <c r="G528" i="33"/>
  <c r="H528" i="33"/>
  <c r="I528" i="33"/>
  <c r="K528" i="33"/>
  <c r="L528" i="33"/>
  <c r="R528" i="33"/>
  <c r="S528" i="33"/>
  <c r="T528" i="33"/>
  <c r="V528" i="33"/>
  <c r="W528" i="33"/>
  <c r="X528" i="33"/>
  <c r="Y528" i="33"/>
  <c r="Z528" i="33"/>
  <c r="F529" i="33"/>
  <c r="K529" i="33"/>
  <c r="G529" i="33"/>
  <c r="H529" i="33"/>
  <c r="I529" i="33"/>
  <c r="L529" i="33"/>
  <c r="R529" i="33"/>
  <c r="S529" i="33"/>
  <c r="T529" i="33"/>
  <c r="V529" i="33"/>
  <c r="W529" i="33"/>
  <c r="X529" i="33"/>
  <c r="Y529" i="33"/>
  <c r="Z529" i="33"/>
  <c r="F530" i="33"/>
  <c r="K530" i="33"/>
  <c r="G530" i="33"/>
  <c r="H530" i="33"/>
  <c r="I530" i="33"/>
  <c r="L530" i="33"/>
  <c r="R530" i="33"/>
  <c r="S530" i="33"/>
  <c r="T530" i="33"/>
  <c r="V530" i="33"/>
  <c r="W530" i="33"/>
  <c r="X530" i="33"/>
  <c r="Y530" i="33"/>
  <c r="Z530" i="33"/>
  <c r="F531" i="33"/>
  <c r="G531" i="33"/>
  <c r="H531" i="33"/>
  <c r="I531" i="33"/>
  <c r="K531" i="33"/>
  <c r="L531" i="33"/>
  <c r="R531" i="33"/>
  <c r="S531" i="33"/>
  <c r="T531" i="33"/>
  <c r="V531" i="33"/>
  <c r="W531" i="33"/>
  <c r="X531" i="33"/>
  <c r="Y531" i="33"/>
  <c r="Z531" i="33"/>
  <c r="F532" i="33"/>
  <c r="G532" i="33"/>
  <c r="H532" i="33"/>
  <c r="I532" i="33"/>
  <c r="K532" i="33"/>
  <c r="L532" i="33"/>
  <c r="R532" i="33"/>
  <c r="S532" i="33"/>
  <c r="T532" i="33"/>
  <c r="V532" i="33"/>
  <c r="W532" i="33"/>
  <c r="X532" i="33"/>
  <c r="Y532" i="33"/>
  <c r="Z532" i="33"/>
  <c r="F533" i="33"/>
  <c r="K533" i="33"/>
  <c r="G533" i="33"/>
  <c r="H533" i="33"/>
  <c r="I533" i="33"/>
  <c r="L533" i="33"/>
  <c r="R533" i="33"/>
  <c r="S533" i="33"/>
  <c r="T533" i="33"/>
  <c r="V533" i="33"/>
  <c r="W533" i="33"/>
  <c r="X533" i="33"/>
  <c r="Y533" i="33"/>
  <c r="Z533" i="33"/>
  <c r="F534" i="33"/>
  <c r="K534" i="33"/>
  <c r="G534" i="33"/>
  <c r="H534" i="33"/>
  <c r="I534" i="33"/>
  <c r="L534" i="33"/>
  <c r="R534" i="33"/>
  <c r="S534" i="33"/>
  <c r="T534" i="33"/>
  <c r="V534" i="33"/>
  <c r="W534" i="33"/>
  <c r="X534" i="33"/>
  <c r="Y534" i="33"/>
  <c r="Z534" i="33"/>
  <c r="F535" i="33"/>
  <c r="G535" i="33"/>
  <c r="H535" i="33"/>
  <c r="I535" i="33"/>
  <c r="K535" i="33"/>
  <c r="L535" i="33"/>
  <c r="R535" i="33"/>
  <c r="S535" i="33"/>
  <c r="T535" i="33"/>
  <c r="V535" i="33"/>
  <c r="W535" i="33"/>
  <c r="X535" i="33"/>
  <c r="Y535" i="33"/>
  <c r="Z535" i="33"/>
  <c r="F538" i="33"/>
  <c r="G538" i="33" s="1"/>
  <c r="K538" i="33"/>
  <c r="R538" i="33"/>
  <c r="S538" i="33"/>
  <c r="T538" i="33"/>
  <c r="Z538" i="33" s="1"/>
  <c r="V538" i="33"/>
  <c r="F539" i="33"/>
  <c r="K539" i="33"/>
  <c r="G539" i="33"/>
  <c r="H539" i="33"/>
  <c r="I539" i="33"/>
  <c r="L539" i="33"/>
  <c r="R539" i="33"/>
  <c r="S539" i="33"/>
  <c r="T539" i="33"/>
  <c r="V539" i="33"/>
  <c r="W539" i="33"/>
  <c r="X539" i="33"/>
  <c r="Y539" i="33"/>
  <c r="Z539" i="33"/>
  <c r="F540" i="33"/>
  <c r="I540" i="33" s="1"/>
  <c r="K540" i="33"/>
  <c r="R540" i="33"/>
  <c r="S540" i="33"/>
  <c r="T540" i="33"/>
  <c r="Z540" i="33" s="1"/>
  <c r="V540" i="33"/>
  <c r="F541" i="33"/>
  <c r="G541" i="33"/>
  <c r="H541" i="33"/>
  <c r="I541" i="33"/>
  <c r="K541" i="33"/>
  <c r="L541" i="33"/>
  <c r="R541" i="33"/>
  <c r="S541" i="33"/>
  <c r="T541" i="33"/>
  <c r="V541" i="33"/>
  <c r="W541" i="33"/>
  <c r="X541" i="33"/>
  <c r="Y541" i="33"/>
  <c r="Z541" i="33"/>
  <c r="F544" i="33"/>
  <c r="H544" i="33" s="1"/>
  <c r="K544" i="33"/>
  <c r="R544" i="33"/>
  <c r="S544" i="33"/>
  <c r="T544" i="33"/>
  <c r="X544" i="33" s="1"/>
  <c r="V544" i="33"/>
  <c r="F545" i="33"/>
  <c r="K545" i="33"/>
  <c r="G545" i="33"/>
  <c r="H545" i="33"/>
  <c r="I545" i="33"/>
  <c r="L545" i="33"/>
  <c r="R545" i="33"/>
  <c r="S545" i="33"/>
  <c r="T545" i="33"/>
  <c r="V545" i="33"/>
  <c r="W545" i="33"/>
  <c r="X545" i="33"/>
  <c r="Y545" i="33"/>
  <c r="Z545" i="33"/>
  <c r="F546" i="33"/>
  <c r="G546" i="33" s="1"/>
  <c r="K546" i="33"/>
  <c r="R546" i="33"/>
  <c r="S546" i="33"/>
  <c r="T546" i="33"/>
  <c r="X546" i="33" s="1"/>
  <c r="V546" i="33"/>
  <c r="F547" i="33"/>
  <c r="G547" i="33"/>
  <c r="H547" i="33"/>
  <c r="I547" i="33"/>
  <c r="K547" i="33"/>
  <c r="L547" i="33"/>
  <c r="R547" i="33"/>
  <c r="S547" i="33"/>
  <c r="T547" i="33"/>
  <c r="V547" i="33"/>
  <c r="W547" i="33"/>
  <c r="X547" i="33"/>
  <c r="Y547" i="33"/>
  <c r="Z547" i="33"/>
  <c r="F548" i="33"/>
  <c r="G548" i="33" s="1"/>
  <c r="K548" i="33"/>
  <c r="R548" i="33"/>
  <c r="S548" i="33"/>
  <c r="T548" i="33"/>
  <c r="X548" i="33" s="1"/>
  <c r="V548" i="33"/>
  <c r="F549" i="33"/>
  <c r="K549" i="33"/>
  <c r="G549" i="33"/>
  <c r="H549" i="33"/>
  <c r="I549" i="33"/>
  <c r="L549" i="33"/>
  <c r="R549" i="33"/>
  <c r="S549" i="33"/>
  <c r="T549" i="33"/>
  <c r="V549" i="33"/>
  <c r="W549" i="33"/>
  <c r="X549" i="33"/>
  <c r="Y549" i="33"/>
  <c r="Z549" i="33"/>
  <c r="F550" i="33"/>
  <c r="H550" i="33" s="1"/>
  <c r="K550" i="33"/>
  <c r="R550" i="33"/>
  <c r="S550" i="33"/>
  <c r="T550" i="33"/>
  <c r="Y550" i="33" s="1"/>
  <c r="V550" i="33"/>
  <c r="F551" i="33"/>
  <c r="G551" i="33"/>
  <c r="H551" i="33"/>
  <c r="I551" i="33"/>
  <c r="K551" i="33"/>
  <c r="L551" i="33"/>
  <c r="R551" i="33"/>
  <c r="S551" i="33"/>
  <c r="T551" i="33"/>
  <c r="V551" i="33"/>
  <c r="W551" i="33"/>
  <c r="X551" i="33"/>
  <c r="Y551" i="33"/>
  <c r="Z551" i="33"/>
  <c r="F553" i="33"/>
  <c r="K553" i="33"/>
  <c r="G553" i="33"/>
  <c r="H553" i="33"/>
  <c r="I553" i="33"/>
  <c r="L553" i="33"/>
  <c r="R553" i="33"/>
  <c r="S553" i="33"/>
  <c r="T553" i="33"/>
  <c r="V553" i="33"/>
  <c r="W553" i="33"/>
  <c r="X553" i="33"/>
  <c r="Y553" i="33"/>
  <c r="Z553" i="33"/>
  <c r="F554" i="33"/>
  <c r="K554" i="33"/>
  <c r="G554" i="33"/>
  <c r="H554" i="33"/>
  <c r="I554" i="33"/>
  <c r="L554" i="33"/>
  <c r="R554" i="33"/>
  <c r="S554" i="33"/>
  <c r="T554" i="33"/>
  <c r="V554" i="33"/>
  <c r="W554" i="33"/>
  <c r="X554" i="33"/>
  <c r="Y554" i="33"/>
  <c r="Z554" i="33"/>
  <c r="F555" i="33"/>
  <c r="G555" i="33"/>
  <c r="H555" i="33"/>
  <c r="I555" i="33"/>
  <c r="K555" i="33"/>
  <c r="L555" i="33"/>
  <c r="R555" i="33"/>
  <c r="S555" i="33"/>
  <c r="T555" i="33"/>
  <c r="V555" i="33"/>
  <c r="W555" i="33"/>
  <c r="X555" i="33"/>
  <c r="Y555" i="33"/>
  <c r="Z555" i="33"/>
  <c r="F556" i="33"/>
  <c r="G556" i="33"/>
  <c r="H556" i="33"/>
  <c r="I556" i="33"/>
  <c r="K556" i="33"/>
  <c r="L556" i="33"/>
  <c r="R556" i="33"/>
  <c r="S556" i="33"/>
  <c r="T556" i="33"/>
  <c r="V556" i="33"/>
  <c r="W556" i="33"/>
  <c r="X556" i="33"/>
  <c r="Y556" i="33"/>
  <c r="Z556" i="33"/>
  <c r="F557" i="33"/>
  <c r="K557" i="33"/>
  <c r="G557" i="33"/>
  <c r="H557" i="33"/>
  <c r="I557" i="33"/>
  <c r="L557" i="33"/>
  <c r="R557" i="33"/>
  <c r="S557" i="33"/>
  <c r="T557" i="33"/>
  <c r="V557" i="33"/>
  <c r="W557" i="33"/>
  <c r="X557" i="33"/>
  <c r="Y557" i="33"/>
  <c r="Z557" i="33"/>
  <c r="F558" i="33"/>
  <c r="K558" i="33"/>
  <c r="G558" i="33"/>
  <c r="H558" i="33"/>
  <c r="I558" i="33"/>
  <c r="L558" i="33"/>
  <c r="R558" i="33"/>
  <c r="S558" i="33"/>
  <c r="T558" i="33"/>
  <c r="V558" i="33"/>
  <c r="W558" i="33"/>
  <c r="X558" i="33"/>
  <c r="Y558" i="33"/>
  <c r="Z558" i="33"/>
  <c r="F559" i="33"/>
  <c r="G559" i="33"/>
  <c r="H559" i="33"/>
  <c r="I559" i="33"/>
  <c r="K559" i="33"/>
  <c r="L559" i="33"/>
  <c r="R559" i="33"/>
  <c r="S559" i="33"/>
  <c r="T559" i="33"/>
  <c r="V559" i="33"/>
  <c r="W559" i="33"/>
  <c r="X559" i="33"/>
  <c r="Y559" i="33"/>
  <c r="Z559" i="33"/>
  <c r="F562" i="33"/>
  <c r="H562" i="33" s="1"/>
  <c r="K562" i="33"/>
  <c r="R562" i="33"/>
  <c r="S562" i="33"/>
  <c r="T562" i="33"/>
  <c r="Z562" i="33" s="1"/>
  <c r="V562" i="33"/>
  <c r="F563" i="33"/>
  <c r="K563" i="33"/>
  <c r="G563" i="33"/>
  <c r="H563" i="33"/>
  <c r="I563" i="33"/>
  <c r="L563" i="33"/>
  <c r="R563" i="33"/>
  <c r="S563" i="33"/>
  <c r="T563" i="33"/>
  <c r="V563" i="33"/>
  <c r="W563" i="33"/>
  <c r="X563" i="33"/>
  <c r="Y563" i="33"/>
  <c r="Z563" i="33"/>
  <c r="F564" i="33"/>
  <c r="G564" i="33" s="1"/>
  <c r="K564" i="33"/>
  <c r="R564" i="33"/>
  <c r="S564" i="33"/>
  <c r="T564" i="33"/>
  <c r="Y564" i="33" s="1"/>
  <c r="V564" i="33"/>
  <c r="F565" i="33"/>
  <c r="G565" i="33"/>
  <c r="H565" i="33"/>
  <c r="I565" i="33"/>
  <c r="K565" i="33"/>
  <c r="L565" i="33"/>
  <c r="R565" i="33"/>
  <c r="S565" i="33"/>
  <c r="T565" i="33"/>
  <c r="V565" i="33"/>
  <c r="W565" i="33"/>
  <c r="X565" i="33"/>
  <c r="Y565" i="33"/>
  <c r="Z565" i="33"/>
  <c r="F574" i="33"/>
  <c r="G574" i="33"/>
  <c r="H574" i="33"/>
  <c r="I574" i="33"/>
  <c r="K574" i="33"/>
  <c r="L574" i="33"/>
  <c r="R574" i="33"/>
  <c r="S574" i="33"/>
  <c r="T574" i="33"/>
  <c r="V574" i="33"/>
  <c r="W574" i="33"/>
  <c r="X574" i="33"/>
  <c r="Y574" i="33"/>
  <c r="Z574" i="33"/>
  <c r="F575" i="33"/>
  <c r="G575" i="33"/>
  <c r="H575" i="33"/>
  <c r="I575" i="33"/>
  <c r="K575" i="33"/>
  <c r="L575" i="33"/>
  <c r="R575" i="33"/>
  <c r="S575" i="33"/>
  <c r="T575" i="33"/>
  <c r="V575" i="33"/>
  <c r="W575" i="33"/>
  <c r="X575" i="33"/>
  <c r="Y575" i="33"/>
  <c r="Z575" i="33"/>
  <c r="F577" i="33"/>
  <c r="K577" i="33"/>
  <c r="G577" i="33"/>
  <c r="H577" i="33"/>
  <c r="I577" i="33"/>
  <c r="L577" i="33"/>
  <c r="R577" i="33"/>
  <c r="S577" i="33"/>
  <c r="T577" i="33"/>
  <c r="V577" i="33"/>
  <c r="W577" i="33"/>
  <c r="X577" i="33"/>
  <c r="Y577" i="33"/>
  <c r="Z577" i="33"/>
  <c r="F578" i="33"/>
  <c r="G578" i="33"/>
  <c r="H578" i="33"/>
  <c r="I578" i="33"/>
  <c r="K578" i="33"/>
  <c r="L578" i="33"/>
  <c r="R578" i="33"/>
  <c r="S578" i="33"/>
  <c r="T578" i="33"/>
  <c r="V578" i="33"/>
  <c r="W578" i="33"/>
  <c r="X578" i="33"/>
  <c r="Y578" i="33"/>
  <c r="Z578" i="33"/>
  <c r="F579" i="33"/>
  <c r="G579" i="33"/>
  <c r="H579" i="33"/>
  <c r="I579" i="33"/>
  <c r="K579" i="33"/>
  <c r="L579" i="33"/>
  <c r="R579" i="33"/>
  <c r="S579" i="33"/>
  <c r="T579" i="33"/>
  <c r="V579" i="33"/>
  <c r="W579" i="33"/>
  <c r="X579" i="33"/>
  <c r="Y579" i="33"/>
  <c r="Z579" i="33"/>
  <c r="F580" i="33"/>
  <c r="K580" i="33"/>
  <c r="G580" i="33"/>
  <c r="H580" i="33"/>
  <c r="I580" i="33"/>
  <c r="L580" i="33"/>
  <c r="R580" i="33"/>
  <c r="S580" i="33"/>
  <c r="T580" i="33"/>
  <c r="V580" i="33"/>
  <c r="W580" i="33"/>
  <c r="X580" i="33"/>
  <c r="Y580" i="33"/>
  <c r="Z580" i="33"/>
  <c r="F581" i="33"/>
  <c r="K581" i="33"/>
  <c r="G581" i="33"/>
  <c r="H581" i="33"/>
  <c r="I581" i="33"/>
  <c r="L581" i="33"/>
  <c r="R581" i="33"/>
  <c r="S581" i="33"/>
  <c r="T581" i="33"/>
  <c r="V581" i="33"/>
  <c r="W581" i="33"/>
  <c r="X581" i="33"/>
  <c r="Y581" i="33"/>
  <c r="Z581" i="33"/>
  <c r="F583" i="33"/>
  <c r="G583" i="33"/>
  <c r="H583" i="33"/>
  <c r="I583" i="33"/>
  <c r="K583" i="33"/>
  <c r="L583" i="33"/>
  <c r="R583" i="33"/>
  <c r="S583" i="33"/>
  <c r="T583" i="33"/>
  <c r="V583" i="33"/>
  <c r="W583" i="33"/>
  <c r="X583" i="33"/>
  <c r="Y583" i="33"/>
  <c r="Z583" i="33"/>
  <c r="F584" i="33"/>
  <c r="G584" i="33" s="1"/>
  <c r="K584" i="33"/>
  <c r="R584" i="33"/>
  <c r="S584" i="33"/>
  <c r="T584" i="33"/>
  <c r="W584" i="33" s="1"/>
  <c r="V584" i="33"/>
  <c r="F585" i="33"/>
  <c r="G585" i="33" s="1"/>
  <c r="K585" i="33"/>
  <c r="R585" i="33"/>
  <c r="S585" i="33"/>
  <c r="W585" i="33"/>
  <c r="F586" i="33"/>
  <c r="G586" i="33"/>
  <c r="H586" i="33"/>
  <c r="I586" i="33"/>
  <c r="K586" i="33"/>
  <c r="L586" i="33"/>
  <c r="R586" i="33"/>
  <c r="S586" i="33"/>
  <c r="T586" i="33"/>
  <c r="V586" i="33"/>
  <c r="W586" i="33"/>
  <c r="X586" i="33"/>
  <c r="Y586" i="33"/>
  <c r="Z586" i="33"/>
  <c r="F587" i="33"/>
  <c r="H587" i="33" s="1"/>
  <c r="K587" i="33"/>
  <c r="R587" i="33"/>
  <c r="S587" i="33"/>
  <c r="T587" i="33"/>
  <c r="W587" i="33" s="1"/>
  <c r="V587" i="33"/>
  <c r="F588" i="33"/>
  <c r="K588" i="33"/>
  <c r="G588" i="33"/>
  <c r="H588" i="33"/>
  <c r="I588" i="33"/>
  <c r="L588" i="33"/>
  <c r="R588" i="33"/>
  <c r="S588" i="33"/>
  <c r="T588" i="33"/>
  <c r="V588" i="33"/>
  <c r="W588" i="33"/>
  <c r="X588" i="33"/>
  <c r="Y588" i="33"/>
  <c r="Z588" i="33"/>
  <c r="F589" i="33"/>
  <c r="I589" i="33" s="1"/>
  <c r="K589" i="33"/>
  <c r="R589" i="33"/>
  <c r="S589" i="33"/>
  <c r="T589" i="33"/>
  <c r="Z589" i="33" s="1"/>
  <c r="V589" i="33"/>
  <c r="F590" i="33"/>
  <c r="G590" i="33"/>
  <c r="H590" i="33"/>
  <c r="I590" i="33"/>
  <c r="K590" i="33"/>
  <c r="L590" i="33"/>
  <c r="R590" i="33"/>
  <c r="S590" i="33"/>
  <c r="T590" i="33"/>
  <c r="V590" i="33"/>
  <c r="W590" i="33"/>
  <c r="X590" i="33"/>
  <c r="Y590" i="33"/>
  <c r="Z590" i="33"/>
  <c r="F591" i="33"/>
  <c r="G591" i="33" s="1"/>
  <c r="K591" i="33"/>
  <c r="R591" i="33"/>
  <c r="S591" i="33"/>
  <c r="T591" i="33"/>
  <c r="Z591" i="33" s="1"/>
  <c r="V591" i="33"/>
  <c r="F592" i="33"/>
  <c r="K592" i="33"/>
  <c r="G592" i="33"/>
  <c r="H592" i="33"/>
  <c r="I592" i="33"/>
  <c r="L592" i="33"/>
  <c r="R592" i="33"/>
  <c r="S592" i="33"/>
  <c r="T592" i="33"/>
  <c r="V592" i="33"/>
  <c r="W592" i="33"/>
  <c r="X592" i="33"/>
  <c r="Y592" i="33"/>
  <c r="Z592" i="33"/>
  <c r="F593" i="33"/>
  <c r="K593" i="33"/>
  <c r="G593" i="33"/>
  <c r="H593" i="33"/>
  <c r="I593" i="33"/>
  <c r="L593" i="33"/>
  <c r="R593" i="33"/>
  <c r="S593" i="33"/>
  <c r="T593" i="33"/>
  <c r="V593" i="33"/>
  <c r="W593" i="33"/>
  <c r="X593" i="33"/>
  <c r="Y593" i="33"/>
  <c r="Z593" i="33"/>
  <c r="F594" i="33"/>
  <c r="G594" i="33"/>
  <c r="H594" i="33"/>
  <c r="I594" i="33"/>
  <c r="K594" i="33"/>
  <c r="L594" i="33"/>
  <c r="R594" i="33"/>
  <c r="S594" i="33"/>
  <c r="T594" i="33"/>
  <c r="V594" i="33"/>
  <c r="W594" i="33"/>
  <c r="X594" i="33"/>
  <c r="Y594" i="33"/>
  <c r="Z594" i="33"/>
  <c r="F595" i="33"/>
  <c r="G595" i="33"/>
  <c r="H595" i="33"/>
  <c r="I595" i="33"/>
  <c r="K595" i="33"/>
  <c r="L595" i="33"/>
  <c r="R595" i="33"/>
  <c r="S595" i="33"/>
  <c r="T595" i="33"/>
  <c r="V595" i="33"/>
  <c r="W595" i="33"/>
  <c r="X595" i="33"/>
  <c r="Y595" i="33"/>
  <c r="Z595" i="33"/>
  <c r="F596" i="33"/>
  <c r="K596" i="33"/>
  <c r="G596" i="33"/>
  <c r="H596" i="33"/>
  <c r="I596" i="33"/>
  <c r="L596" i="33"/>
  <c r="R596" i="33"/>
  <c r="S596" i="33"/>
  <c r="T596" i="33"/>
  <c r="V596" i="33"/>
  <c r="W596" i="33"/>
  <c r="X596" i="33"/>
  <c r="Y596" i="33"/>
  <c r="Z596" i="33"/>
  <c r="F597" i="33"/>
  <c r="K597" i="33"/>
  <c r="G597" i="33"/>
  <c r="H597" i="33"/>
  <c r="I597" i="33"/>
  <c r="L597" i="33"/>
  <c r="R597" i="33"/>
  <c r="S597" i="33"/>
  <c r="T597" i="33"/>
  <c r="V597" i="33"/>
  <c r="W597" i="33"/>
  <c r="X597" i="33"/>
  <c r="Y597" i="33"/>
  <c r="Z597" i="33"/>
  <c r="F598" i="33"/>
  <c r="G598" i="33"/>
  <c r="H598" i="33"/>
  <c r="I598" i="33"/>
  <c r="K598" i="33"/>
  <c r="L598" i="33"/>
  <c r="R598" i="33"/>
  <c r="S598" i="33"/>
  <c r="T598" i="33"/>
  <c r="V598" i="33"/>
  <c r="W598" i="33"/>
  <c r="X598" i="33"/>
  <c r="Y598" i="33"/>
  <c r="Z598" i="33"/>
  <c r="F600" i="33"/>
  <c r="K600" i="33"/>
  <c r="G600" i="33"/>
  <c r="H600" i="33"/>
  <c r="I600" i="33"/>
  <c r="L600" i="33"/>
  <c r="R600" i="33"/>
  <c r="S600" i="33"/>
  <c r="T600" i="33"/>
  <c r="V600" i="33"/>
  <c r="W600" i="33"/>
  <c r="X600" i="33"/>
  <c r="Y600" i="33"/>
  <c r="Z600" i="33"/>
  <c r="F602" i="33"/>
  <c r="G602" i="33"/>
  <c r="H602" i="33"/>
  <c r="I602" i="33"/>
  <c r="K602" i="33"/>
  <c r="L602" i="33"/>
  <c r="R602" i="33"/>
  <c r="S602" i="33"/>
  <c r="T602" i="33"/>
  <c r="V602" i="33"/>
  <c r="W602" i="33"/>
  <c r="X602" i="33"/>
  <c r="Y602" i="33"/>
  <c r="Z602" i="33"/>
  <c r="F604" i="33"/>
  <c r="K604" i="33"/>
  <c r="G604" i="33"/>
  <c r="H604" i="33"/>
  <c r="I604" i="33"/>
  <c r="L604" i="33"/>
  <c r="R604" i="33"/>
  <c r="S604" i="33"/>
  <c r="T604" i="33"/>
  <c r="V604" i="33"/>
  <c r="W604" i="33"/>
  <c r="X604" i="33"/>
  <c r="Y604" i="33"/>
  <c r="Z604" i="33"/>
  <c r="F606" i="33"/>
  <c r="G606" i="33"/>
  <c r="H606" i="33"/>
  <c r="I606" i="33"/>
  <c r="K606" i="33"/>
  <c r="L606" i="33"/>
  <c r="R606" i="33"/>
  <c r="S606" i="33"/>
  <c r="T606" i="33"/>
  <c r="V606" i="33"/>
  <c r="W606" i="33"/>
  <c r="X606" i="33"/>
  <c r="Y606" i="33"/>
  <c r="Z606" i="33"/>
  <c r="F865" i="33"/>
  <c r="K865" i="33"/>
  <c r="G865" i="33"/>
  <c r="H865" i="33"/>
  <c r="I865" i="33"/>
  <c r="L865" i="33"/>
  <c r="R865" i="33"/>
  <c r="S865" i="33"/>
  <c r="T865" i="33"/>
  <c r="V865" i="33"/>
  <c r="W865" i="33"/>
  <c r="X865" i="33"/>
  <c r="Y865" i="33"/>
  <c r="Z865" i="33"/>
  <c r="AE262" i="35"/>
  <c r="AE260" i="35"/>
  <c r="AE256" i="35"/>
  <c r="AE254" i="35"/>
  <c r="AE252" i="35"/>
  <c r="AE242" i="35"/>
  <c r="AE240" i="35"/>
  <c r="AE238" i="35"/>
  <c r="AE236" i="35"/>
  <c r="AE234" i="35"/>
  <c r="AE232" i="35"/>
  <c r="AE230" i="35"/>
  <c r="AE224" i="35"/>
  <c r="AE220" i="35"/>
  <c r="AE218" i="35"/>
  <c r="AE216" i="35"/>
  <c r="F252" i="35"/>
  <c r="K252" i="35"/>
  <c r="Q252" i="35"/>
  <c r="R252" i="35"/>
  <c r="S252" i="35"/>
  <c r="U252" i="35"/>
  <c r="X252" i="35"/>
  <c r="Y252" i="35"/>
  <c r="F253" i="35"/>
  <c r="G253" i="35"/>
  <c r="H253" i="35"/>
  <c r="I253" i="35"/>
  <c r="K253" i="35"/>
  <c r="L253" i="35"/>
  <c r="Q253" i="35"/>
  <c r="R253" i="35"/>
  <c r="S253" i="35"/>
  <c r="U253" i="35"/>
  <c r="V253" i="35"/>
  <c r="W253" i="35"/>
  <c r="X253" i="35"/>
  <c r="Y253" i="35"/>
  <c r="F254" i="35"/>
  <c r="I254" i="35" s="1"/>
  <c r="K254" i="35"/>
  <c r="Q254" i="35"/>
  <c r="R254" i="35"/>
  <c r="S254" i="35"/>
  <c r="U254" i="35"/>
  <c r="X254" i="35"/>
  <c r="Y254" i="35"/>
  <c r="F255" i="35"/>
  <c r="G255" i="35"/>
  <c r="H255" i="35"/>
  <c r="I255" i="35"/>
  <c r="K255" i="35"/>
  <c r="L255" i="35"/>
  <c r="Q255" i="35"/>
  <c r="R255" i="35"/>
  <c r="S255" i="35"/>
  <c r="U255" i="35"/>
  <c r="V255" i="35"/>
  <c r="W255" i="35"/>
  <c r="X255" i="35"/>
  <c r="Y255" i="35"/>
  <c r="F256" i="35"/>
  <c r="K256" i="35"/>
  <c r="Q256" i="35"/>
  <c r="R256" i="35"/>
  <c r="S256" i="35"/>
  <c r="U256" i="35"/>
  <c r="X256" i="35"/>
  <c r="Y256" i="35"/>
  <c r="F257" i="35"/>
  <c r="G257" i="35"/>
  <c r="H257" i="35"/>
  <c r="I257" i="35"/>
  <c r="K257" i="35"/>
  <c r="L257" i="35"/>
  <c r="Q257" i="35"/>
  <c r="R257" i="35"/>
  <c r="S257" i="35"/>
  <c r="U257" i="35"/>
  <c r="V257" i="35"/>
  <c r="W257" i="35"/>
  <c r="X257" i="35"/>
  <c r="Y257" i="35"/>
  <c r="F260" i="35"/>
  <c r="K260" i="35"/>
  <c r="Q260" i="35"/>
  <c r="R260" i="35"/>
  <c r="S260" i="35"/>
  <c r="U260" i="35"/>
  <c r="X260" i="35"/>
  <c r="Y260" i="35"/>
  <c r="F261" i="35"/>
  <c r="G261" i="35"/>
  <c r="H261" i="35"/>
  <c r="I261" i="35"/>
  <c r="K261" i="35"/>
  <c r="L261" i="35"/>
  <c r="Q261" i="35"/>
  <c r="R261" i="35"/>
  <c r="S261" i="35"/>
  <c r="U261" i="35"/>
  <c r="V261" i="35"/>
  <c r="W261" i="35"/>
  <c r="X261" i="35"/>
  <c r="Y261" i="35"/>
  <c r="F262" i="35"/>
  <c r="G262" i="35" s="1"/>
  <c r="K262" i="35"/>
  <c r="Q262" i="35"/>
  <c r="R262" i="35"/>
  <c r="S262" i="35"/>
  <c r="U262" i="35"/>
  <c r="X262" i="35"/>
  <c r="Y262" i="35"/>
  <c r="F263" i="35"/>
  <c r="G263" i="35"/>
  <c r="H263" i="35"/>
  <c r="I263" i="35"/>
  <c r="K263" i="35"/>
  <c r="L263" i="35"/>
  <c r="Q263" i="35"/>
  <c r="R263" i="35"/>
  <c r="S263" i="35"/>
  <c r="U263" i="35"/>
  <c r="V263" i="35"/>
  <c r="W263" i="35"/>
  <c r="X263" i="35"/>
  <c r="Y263" i="35"/>
  <c r="F264" i="35"/>
  <c r="I264" i="35" s="1"/>
  <c r="K264" i="35"/>
  <c r="Q264" i="35"/>
  <c r="R264" i="35"/>
  <c r="S264" i="35"/>
  <c r="U264" i="35"/>
  <c r="X264" i="35"/>
  <c r="Y264" i="35"/>
  <c r="F265" i="35"/>
  <c r="G265" i="35"/>
  <c r="H265" i="35"/>
  <c r="I265" i="35"/>
  <c r="K265" i="35"/>
  <c r="L265" i="35"/>
  <c r="Q265" i="35"/>
  <c r="R265" i="35"/>
  <c r="S265" i="35"/>
  <c r="U265" i="35"/>
  <c r="V265" i="35"/>
  <c r="W265" i="35"/>
  <c r="X265" i="35"/>
  <c r="Y265" i="35"/>
  <c r="F268" i="35"/>
  <c r="G268" i="35"/>
  <c r="H268" i="35"/>
  <c r="I268" i="35"/>
  <c r="K268" i="35"/>
  <c r="L268" i="35"/>
  <c r="Q268" i="35"/>
  <c r="R268" i="35"/>
  <c r="S268" i="35"/>
  <c r="U268" i="35"/>
  <c r="V268" i="35"/>
  <c r="W268" i="35"/>
  <c r="X268" i="35"/>
  <c r="Y268" i="35"/>
  <c r="F269" i="35"/>
  <c r="G269" i="35"/>
  <c r="H269" i="35"/>
  <c r="I269" i="35"/>
  <c r="K269" i="35"/>
  <c r="L269" i="35"/>
  <c r="Q269" i="35"/>
  <c r="R269" i="35"/>
  <c r="S269" i="35"/>
  <c r="U269" i="35"/>
  <c r="V269" i="35"/>
  <c r="W269" i="35"/>
  <c r="X269" i="35"/>
  <c r="Y269" i="35"/>
  <c r="F270" i="35"/>
  <c r="G270" i="35"/>
  <c r="H270" i="35"/>
  <c r="I270" i="35"/>
  <c r="K270" i="35"/>
  <c r="L270" i="35"/>
  <c r="Q270" i="35"/>
  <c r="R270" i="35"/>
  <c r="S270" i="35"/>
  <c r="U270" i="35"/>
  <c r="V270" i="35"/>
  <c r="W270" i="35"/>
  <c r="X270" i="35"/>
  <c r="Y270" i="35"/>
  <c r="F271" i="35"/>
  <c r="G271" i="35"/>
  <c r="H271" i="35"/>
  <c r="I271" i="35"/>
  <c r="K271" i="35"/>
  <c r="L271" i="35"/>
  <c r="Q271" i="35"/>
  <c r="R271" i="35"/>
  <c r="S271" i="35"/>
  <c r="U271" i="35"/>
  <c r="V271" i="35"/>
  <c r="W271" i="35"/>
  <c r="X271" i="35"/>
  <c r="Y271" i="35"/>
  <c r="F272" i="35"/>
  <c r="G272" i="35"/>
  <c r="H272" i="35"/>
  <c r="I272" i="35"/>
  <c r="K272" i="35"/>
  <c r="L272" i="35"/>
  <c r="Q272" i="35"/>
  <c r="R272" i="35"/>
  <c r="S272" i="35"/>
  <c r="U272" i="35"/>
  <c r="V272" i="35"/>
  <c r="W272" i="35"/>
  <c r="X272" i="35"/>
  <c r="Y272" i="35"/>
  <c r="F273" i="35"/>
  <c r="G273" i="35"/>
  <c r="H273" i="35"/>
  <c r="I273" i="35"/>
  <c r="K273" i="35"/>
  <c r="L273" i="35"/>
  <c r="Q273" i="35"/>
  <c r="R273" i="35"/>
  <c r="S273" i="35"/>
  <c r="U273" i="35"/>
  <c r="V273" i="35"/>
  <c r="W273" i="35"/>
  <c r="X273" i="35"/>
  <c r="Y273" i="35"/>
  <c r="F274" i="35"/>
  <c r="G274" i="35"/>
  <c r="H274" i="35"/>
  <c r="I274" i="35"/>
  <c r="K274" i="35"/>
  <c r="L274" i="35"/>
  <c r="Q274" i="35"/>
  <c r="R274" i="35"/>
  <c r="S274" i="35"/>
  <c r="U274" i="35"/>
  <c r="V274" i="35"/>
  <c r="W274" i="35"/>
  <c r="X274" i="35"/>
  <c r="Y274" i="35"/>
  <c r="F275" i="35"/>
  <c r="G275" i="35"/>
  <c r="H275" i="35"/>
  <c r="I275" i="35"/>
  <c r="K275" i="35"/>
  <c r="L275" i="35"/>
  <c r="Q275" i="35"/>
  <c r="R275" i="35"/>
  <c r="S275" i="35"/>
  <c r="U275" i="35"/>
  <c r="V275" i="35"/>
  <c r="W275" i="35"/>
  <c r="X275" i="35"/>
  <c r="Y275" i="35"/>
  <c r="F276" i="35"/>
  <c r="G276" i="35"/>
  <c r="H276" i="35"/>
  <c r="I276" i="35"/>
  <c r="K276" i="35"/>
  <c r="L276" i="35"/>
  <c r="Q276" i="35"/>
  <c r="R276" i="35"/>
  <c r="S276" i="35"/>
  <c r="U276" i="35"/>
  <c r="V276" i="35"/>
  <c r="W276" i="35"/>
  <c r="X276" i="35"/>
  <c r="Y276" i="35"/>
  <c r="F277" i="35"/>
  <c r="G277" i="35"/>
  <c r="H277" i="35"/>
  <c r="I277" i="35"/>
  <c r="K277" i="35"/>
  <c r="L277" i="35"/>
  <c r="Q277" i="35"/>
  <c r="R277" i="35"/>
  <c r="S277" i="35"/>
  <c r="U277" i="35"/>
  <c r="V277" i="35"/>
  <c r="W277" i="35"/>
  <c r="X277" i="35"/>
  <c r="Y277" i="35"/>
  <c r="F278" i="35"/>
  <c r="G278" i="35"/>
  <c r="H278" i="35"/>
  <c r="I278" i="35"/>
  <c r="K278" i="35"/>
  <c r="L278" i="35"/>
  <c r="Q278" i="35"/>
  <c r="R278" i="35"/>
  <c r="S278" i="35"/>
  <c r="U278" i="35"/>
  <c r="V278" i="35"/>
  <c r="W278" i="35"/>
  <c r="X278" i="35"/>
  <c r="Y278" i="35"/>
  <c r="F279" i="35"/>
  <c r="G279" i="35"/>
  <c r="H279" i="35"/>
  <c r="I279" i="35"/>
  <c r="K279" i="35"/>
  <c r="L279" i="35"/>
  <c r="Q279" i="35"/>
  <c r="R279" i="35"/>
  <c r="S279" i="35"/>
  <c r="U279" i="35"/>
  <c r="V279" i="35"/>
  <c r="W279" i="35"/>
  <c r="X279" i="35"/>
  <c r="Y279" i="35"/>
  <c r="F282" i="35"/>
  <c r="K282" i="35"/>
  <c r="G282" i="35"/>
  <c r="H282" i="35"/>
  <c r="I282" i="35"/>
  <c r="L282" i="35"/>
  <c r="Q282" i="35"/>
  <c r="R282" i="35"/>
  <c r="S282" i="35"/>
  <c r="U282" i="35"/>
  <c r="V282" i="35"/>
  <c r="W282" i="35"/>
  <c r="X282" i="35"/>
  <c r="Y282" i="35"/>
  <c r="F283" i="35"/>
  <c r="G283" i="35"/>
  <c r="H283" i="35"/>
  <c r="I283" i="35"/>
  <c r="K283" i="35"/>
  <c r="L283" i="35"/>
  <c r="Q283" i="35"/>
  <c r="R283" i="35"/>
  <c r="S283" i="35"/>
  <c r="U283" i="35"/>
  <c r="V283" i="35"/>
  <c r="W283" i="35"/>
  <c r="X283" i="35"/>
  <c r="Y283" i="35"/>
  <c r="F284" i="35"/>
  <c r="G284" i="35"/>
  <c r="H284" i="35"/>
  <c r="I284" i="35"/>
  <c r="K284" i="35"/>
  <c r="L284" i="35"/>
  <c r="Q284" i="35"/>
  <c r="R284" i="35"/>
  <c r="S284" i="35"/>
  <c r="U284" i="35"/>
  <c r="V284" i="35"/>
  <c r="W284" i="35"/>
  <c r="X284" i="35"/>
  <c r="Y284" i="35"/>
  <c r="F285" i="35"/>
  <c r="G285" i="35"/>
  <c r="H285" i="35"/>
  <c r="I285" i="35"/>
  <c r="K285" i="35"/>
  <c r="L285" i="35"/>
  <c r="Q285" i="35"/>
  <c r="R285" i="35"/>
  <c r="S285" i="35"/>
  <c r="U285" i="35"/>
  <c r="V285" i="35"/>
  <c r="W285" i="35"/>
  <c r="X285" i="35"/>
  <c r="Y285" i="35"/>
  <c r="F286" i="35"/>
  <c r="G286" i="35"/>
  <c r="H286" i="35"/>
  <c r="I286" i="35"/>
  <c r="K286" i="35"/>
  <c r="L286" i="35"/>
  <c r="Q286" i="35"/>
  <c r="R286" i="35"/>
  <c r="S286" i="35"/>
  <c r="U286" i="35"/>
  <c r="V286" i="35"/>
  <c r="W286" i="35"/>
  <c r="X286" i="35"/>
  <c r="Y286" i="35"/>
  <c r="F287" i="35"/>
  <c r="G287" i="35"/>
  <c r="H287" i="35"/>
  <c r="I287" i="35"/>
  <c r="K287" i="35"/>
  <c r="L287" i="35"/>
  <c r="Q287" i="35"/>
  <c r="R287" i="35"/>
  <c r="S287" i="35"/>
  <c r="U287" i="35"/>
  <c r="V287" i="35"/>
  <c r="W287" i="35"/>
  <c r="X287" i="35"/>
  <c r="Y287" i="35"/>
  <c r="F288" i="35"/>
  <c r="G288" i="35"/>
  <c r="H288" i="35"/>
  <c r="I288" i="35"/>
  <c r="K288" i="35"/>
  <c r="L288" i="35"/>
  <c r="Q288" i="35"/>
  <c r="R288" i="35"/>
  <c r="S288" i="35"/>
  <c r="U288" i="35"/>
  <c r="V288" i="35"/>
  <c r="W288" i="35"/>
  <c r="X288" i="35"/>
  <c r="Y288" i="35"/>
  <c r="F289" i="35"/>
  <c r="G289" i="35"/>
  <c r="H289" i="35"/>
  <c r="I289" i="35"/>
  <c r="K289" i="35"/>
  <c r="L289" i="35"/>
  <c r="Q289" i="35"/>
  <c r="R289" i="35"/>
  <c r="S289" i="35"/>
  <c r="U289" i="35"/>
  <c r="V289" i="35"/>
  <c r="W289" i="35"/>
  <c r="X289" i="35"/>
  <c r="Y289" i="35"/>
  <c r="F290" i="35"/>
  <c r="G290" i="35"/>
  <c r="H290" i="35"/>
  <c r="I290" i="35"/>
  <c r="K290" i="35"/>
  <c r="L290" i="35"/>
  <c r="Q290" i="35"/>
  <c r="R290" i="35"/>
  <c r="S290" i="35"/>
  <c r="U290" i="35"/>
  <c r="V290" i="35"/>
  <c r="W290" i="35"/>
  <c r="X290" i="35"/>
  <c r="Y290" i="35"/>
  <c r="F478" i="35"/>
  <c r="G478" i="35"/>
  <c r="H478" i="35"/>
  <c r="I478" i="35"/>
  <c r="K478" i="35"/>
  <c r="L478" i="35"/>
  <c r="Q478" i="35"/>
  <c r="R478" i="35"/>
  <c r="S478" i="35"/>
  <c r="U478" i="35"/>
  <c r="V478" i="35"/>
  <c r="W478" i="35"/>
  <c r="X478" i="35"/>
  <c r="Y478" i="35"/>
  <c r="F744" i="35"/>
  <c r="G744" i="35"/>
  <c r="H744" i="35"/>
  <c r="I744" i="35"/>
  <c r="K744" i="35"/>
  <c r="L744" i="35"/>
  <c r="Q744" i="35"/>
  <c r="R744" i="35"/>
  <c r="S744" i="35"/>
  <c r="U744" i="35"/>
  <c r="V744" i="35"/>
  <c r="W744" i="35"/>
  <c r="X744" i="35"/>
  <c r="Y744" i="35"/>
  <c r="F745" i="35"/>
  <c r="G745" i="35"/>
  <c r="H745" i="35"/>
  <c r="I745" i="35"/>
  <c r="K745" i="35"/>
  <c r="L745" i="35"/>
  <c r="Q745" i="35"/>
  <c r="R745" i="35"/>
  <c r="S745" i="35"/>
  <c r="U745" i="35"/>
  <c r="V745" i="35"/>
  <c r="W745" i="35"/>
  <c r="X745" i="35"/>
  <c r="Y745" i="35"/>
  <c r="F328" i="33"/>
  <c r="G328" i="33"/>
  <c r="H328" i="33"/>
  <c r="I328" i="33"/>
  <c r="K328" i="33"/>
  <c r="L328" i="33"/>
  <c r="R328" i="33"/>
  <c r="S328" i="33"/>
  <c r="T328" i="33"/>
  <c r="V328" i="33"/>
  <c r="W328" i="33"/>
  <c r="X328" i="33"/>
  <c r="Y328" i="33"/>
  <c r="Z328" i="33"/>
  <c r="F329" i="33"/>
  <c r="H329" i="33" s="1"/>
  <c r="K329" i="33"/>
  <c r="R329" i="33"/>
  <c r="S329" i="33"/>
  <c r="T329" i="33"/>
  <c r="X329" i="33" s="1"/>
  <c r="V329" i="33"/>
  <c r="F330" i="33"/>
  <c r="G330" i="33"/>
  <c r="H330" i="33"/>
  <c r="I330" i="33"/>
  <c r="K330" i="33"/>
  <c r="L330" i="33"/>
  <c r="R330" i="33"/>
  <c r="S330" i="33"/>
  <c r="T330" i="33"/>
  <c r="V330" i="33"/>
  <c r="W330" i="33"/>
  <c r="X330" i="33"/>
  <c r="Y330" i="33"/>
  <c r="Z330" i="33"/>
  <c r="F331" i="33"/>
  <c r="G331" i="33" s="1"/>
  <c r="K331" i="33"/>
  <c r="R331" i="33"/>
  <c r="S331" i="33"/>
  <c r="T331" i="33"/>
  <c r="Z331" i="33" s="1"/>
  <c r="V331" i="33"/>
  <c r="F332" i="33"/>
  <c r="G332" i="33"/>
  <c r="H332" i="33"/>
  <c r="I332" i="33"/>
  <c r="K332" i="33"/>
  <c r="L332" i="33"/>
  <c r="R332" i="33"/>
  <c r="S332" i="33"/>
  <c r="T332" i="33"/>
  <c r="V332" i="33"/>
  <c r="W332" i="33"/>
  <c r="X332" i="33"/>
  <c r="Y332" i="33"/>
  <c r="Z332" i="33"/>
  <c r="F333" i="33"/>
  <c r="H333" i="33" s="1"/>
  <c r="K333" i="33"/>
  <c r="R333" i="33"/>
  <c r="S333" i="33"/>
  <c r="T333" i="33"/>
  <c r="Z333" i="33" s="1"/>
  <c r="V333" i="33"/>
  <c r="F334" i="33"/>
  <c r="G334" i="33"/>
  <c r="H334" i="33"/>
  <c r="I334" i="33"/>
  <c r="K334" i="33"/>
  <c r="L334" i="33"/>
  <c r="R334" i="33"/>
  <c r="S334" i="33"/>
  <c r="T334" i="33"/>
  <c r="V334" i="33"/>
  <c r="W334" i="33"/>
  <c r="X334" i="33"/>
  <c r="Y334" i="33"/>
  <c r="Z334" i="33"/>
  <c r="F335" i="33"/>
  <c r="G335" i="33" s="1"/>
  <c r="K335" i="33"/>
  <c r="R335" i="33"/>
  <c r="S335" i="33"/>
  <c r="T335" i="33"/>
  <c r="Z335" i="33" s="1"/>
  <c r="V335" i="33"/>
  <c r="F336" i="33"/>
  <c r="G336" i="33"/>
  <c r="H336" i="33"/>
  <c r="I336" i="33"/>
  <c r="K336" i="33"/>
  <c r="L336" i="33"/>
  <c r="R336" i="33"/>
  <c r="S336" i="33"/>
  <c r="T336" i="33"/>
  <c r="V336" i="33"/>
  <c r="W336" i="33"/>
  <c r="X336" i="33"/>
  <c r="Y336" i="33"/>
  <c r="Z336" i="33"/>
  <c r="F337" i="33"/>
  <c r="I337" i="33" s="1"/>
  <c r="K337" i="33"/>
  <c r="R337" i="33"/>
  <c r="S337" i="33"/>
  <c r="T337" i="33"/>
  <c r="X337" i="33" s="1"/>
  <c r="V337" i="33"/>
  <c r="F338" i="33"/>
  <c r="G338" i="33"/>
  <c r="H338" i="33"/>
  <c r="I338" i="33"/>
  <c r="K338" i="33"/>
  <c r="L338" i="33"/>
  <c r="R338" i="33"/>
  <c r="S338" i="33"/>
  <c r="T338" i="33"/>
  <c r="V338" i="33"/>
  <c r="W338" i="33"/>
  <c r="X338" i="33"/>
  <c r="Y338" i="33"/>
  <c r="Z338" i="33"/>
  <c r="F339" i="33"/>
  <c r="G339" i="33"/>
  <c r="H339" i="33"/>
  <c r="I339" i="33"/>
  <c r="K339" i="33"/>
  <c r="L339" i="33"/>
  <c r="R339" i="33"/>
  <c r="S339" i="33"/>
  <c r="T339" i="33"/>
  <c r="V339" i="33"/>
  <c r="W339" i="33"/>
  <c r="X339" i="33"/>
  <c r="Y339" i="33"/>
  <c r="Z339" i="33"/>
  <c r="F340" i="33"/>
  <c r="G340" i="33"/>
  <c r="H340" i="33"/>
  <c r="I340" i="33"/>
  <c r="K340" i="33"/>
  <c r="L340" i="33"/>
  <c r="R340" i="33"/>
  <c r="S340" i="33"/>
  <c r="T340" i="33"/>
  <c r="V340" i="33"/>
  <c r="W340" i="33"/>
  <c r="X340" i="33"/>
  <c r="Y340" i="33"/>
  <c r="Z340" i="33"/>
  <c r="F341" i="33"/>
  <c r="I341" i="33" s="1"/>
  <c r="K341" i="33"/>
  <c r="R341" i="33"/>
  <c r="S341" i="33"/>
  <c r="T341" i="33"/>
  <c r="Y341" i="33" s="1"/>
  <c r="V341" i="33"/>
  <c r="F342" i="33"/>
  <c r="G342" i="33"/>
  <c r="H342" i="33"/>
  <c r="I342" i="33"/>
  <c r="K342" i="33"/>
  <c r="L342" i="33"/>
  <c r="R342" i="33"/>
  <c r="S342" i="33"/>
  <c r="T342" i="33"/>
  <c r="V342" i="33"/>
  <c r="W342" i="33"/>
  <c r="X342" i="33"/>
  <c r="Y342" i="33"/>
  <c r="Z342" i="33"/>
  <c r="F345" i="33"/>
  <c r="G345" i="33" s="1"/>
  <c r="K345" i="33"/>
  <c r="R345" i="33"/>
  <c r="S345" i="33"/>
  <c r="T345" i="33"/>
  <c r="Y345" i="33" s="1"/>
  <c r="V345" i="33"/>
  <c r="F346" i="33"/>
  <c r="G346" i="33"/>
  <c r="H346" i="33"/>
  <c r="I346" i="33"/>
  <c r="K346" i="33"/>
  <c r="L346" i="33"/>
  <c r="R346" i="33"/>
  <c r="S346" i="33"/>
  <c r="T346" i="33"/>
  <c r="V346" i="33"/>
  <c r="W346" i="33"/>
  <c r="X346" i="33"/>
  <c r="Y346" i="33"/>
  <c r="Z346" i="33"/>
  <c r="F347" i="33"/>
  <c r="I347" i="33" s="1"/>
  <c r="K347" i="33"/>
  <c r="R347" i="33"/>
  <c r="S347" i="33"/>
  <c r="T347" i="33"/>
  <c r="Y347" i="33" s="1"/>
  <c r="V347" i="33"/>
  <c r="F348" i="33"/>
  <c r="G348" i="33"/>
  <c r="H348" i="33"/>
  <c r="I348" i="33"/>
  <c r="K348" i="33"/>
  <c r="L348" i="33"/>
  <c r="R348" i="33"/>
  <c r="S348" i="33"/>
  <c r="T348" i="33"/>
  <c r="V348" i="33"/>
  <c r="W348" i="33"/>
  <c r="X348" i="33"/>
  <c r="Y348" i="33"/>
  <c r="Z348" i="33"/>
  <c r="F365" i="33"/>
  <c r="G365" i="33"/>
  <c r="H365" i="33"/>
  <c r="I365" i="33"/>
  <c r="K365" i="33"/>
  <c r="L365" i="33"/>
  <c r="R365" i="33"/>
  <c r="S365" i="33"/>
  <c r="T365" i="33"/>
  <c r="V365" i="33"/>
  <c r="W365" i="33"/>
  <c r="X365" i="33"/>
  <c r="Y365" i="33"/>
  <c r="Z365" i="33"/>
  <c r="F1921" i="33"/>
  <c r="G1921" i="33"/>
  <c r="H1921" i="33"/>
  <c r="I1921" i="33"/>
  <c r="K1921" i="33"/>
  <c r="L1921" i="33"/>
  <c r="R1921" i="33"/>
  <c r="S1921" i="33"/>
  <c r="T1921" i="33"/>
  <c r="V1921" i="33"/>
  <c r="W1921" i="33"/>
  <c r="X1921" i="33"/>
  <c r="Y1921" i="33"/>
  <c r="Z1921" i="33"/>
  <c r="V299" i="33"/>
  <c r="T299" i="33"/>
  <c r="W299" i="33" s="1"/>
  <c r="S299" i="33"/>
  <c r="R299" i="33"/>
  <c r="K299" i="33"/>
  <c r="F299" i="33"/>
  <c r="I299" i="33" s="1"/>
  <c r="Z298" i="33"/>
  <c r="Y298" i="33"/>
  <c r="X298" i="33"/>
  <c r="W298" i="33"/>
  <c r="V298" i="33"/>
  <c r="T298" i="33"/>
  <c r="S298" i="33"/>
  <c r="R298" i="33"/>
  <c r="L298" i="33"/>
  <c r="K298" i="33"/>
  <c r="I298" i="33"/>
  <c r="H298" i="33"/>
  <c r="G298" i="33"/>
  <c r="F298" i="33"/>
  <c r="V297" i="33"/>
  <c r="T297" i="33"/>
  <c r="X297" i="33" s="1"/>
  <c r="S297" i="33"/>
  <c r="R297" i="33"/>
  <c r="K297" i="33"/>
  <c r="F297" i="33"/>
  <c r="G297" i="33" s="1"/>
  <c r="Z255" i="33"/>
  <c r="Y255" i="33"/>
  <c r="X255" i="33"/>
  <c r="W255" i="33"/>
  <c r="V255" i="33"/>
  <c r="T255" i="33"/>
  <c r="S255" i="33"/>
  <c r="R255" i="33"/>
  <c r="L255" i="33"/>
  <c r="K255" i="33"/>
  <c r="I255" i="33"/>
  <c r="H255" i="33"/>
  <c r="G255" i="33"/>
  <c r="F255" i="33"/>
  <c r="Z254" i="33"/>
  <c r="Y254" i="33"/>
  <c r="X254" i="33"/>
  <c r="W254" i="33"/>
  <c r="V254" i="33"/>
  <c r="T254" i="33"/>
  <c r="S254" i="33"/>
  <c r="R254" i="33"/>
  <c r="L254" i="33"/>
  <c r="K254" i="33"/>
  <c r="I254" i="33"/>
  <c r="H254" i="33"/>
  <c r="G254" i="33"/>
  <c r="F254" i="33"/>
  <c r="Z253" i="33"/>
  <c r="Y253" i="33"/>
  <c r="X253" i="33"/>
  <c r="W253" i="33"/>
  <c r="V253" i="33"/>
  <c r="T253" i="33"/>
  <c r="S253" i="33"/>
  <c r="R253" i="33"/>
  <c r="L253" i="33"/>
  <c r="K253" i="33"/>
  <c r="I253" i="33"/>
  <c r="H253" i="33"/>
  <c r="G253" i="33"/>
  <c r="F253" i="33"/>
  <c r="Z252" i="33"/>
  <c r="Y252" i="33"/>
  <c r="X252" i="33"/>
  <c r="W252" i="33"/>
  <c r="V252" i="33"/>
  <c r="T252" i="33"/>
  <c r="S252" i="33"/>
  <c r="R252" i="33"/>
  <c r="L252" i="33"/>
  <c r="K252" i="33"/>
  <c r="I252" i="33"/>
  <c r="H252" i="33"/>
  <c r="G252" i="33"/>
  <c r="F252" i="33"/>
  <c r="V251" i="33"/>
  <c r="T251" i="33"/>
  <c r="Y251" i="33" s="1"/>
  <c r="K251" i="33"/>
  <c r="F251" i="33"/>
  <c r="I251" i="33" s="1"/>
  <c r="V250" i="33"/>
  <c r="T250" i="33"/>
  <c r="Z250" i="33" s="1"/>
  <c r="S250" i="33"/>
  <c r="R250" i="33"/>
  <c r="K250" i="33"/>
  <c r="F250" i="33"/>
  <c r="G250" i="33" s="1"/>
  <c r="Z249" i="33"/>
  <c r="Y249" i="33"/>
  <c r="X249" i="33"/>
  <c r="W249" i="33"/>
  <c r="V249" i="33"/>
  <c r="T249" i="33"/>
  <c r="S249" i="33"/>
  <c r="R249" i="33"/>
  <c r="L249" i="33"/>
  <c r="K249" i="33"/>
  <c r="I249" i="33"/>
  <c r="H249" i="33"/>
  <c r="G249" i="33"/>
  <c r="F249" i="33"/>
  <c r="V248" i="33"/>
  <c r="T248" i="33"/>
  <c r="Z248" i="33" s="1"/>
  <c r="S248" i="33"/>
  <c r="R248" i="33"/>
  <c r="K248" i="33"/>
  <c r="F248" i="33"/>
  <c r="H248" i="33" s="1"/>
  <c r="V267" i="33"/>
  <c r="T267" i="33"/>
  <c r="X267" i="33" s="1"/>
  <c r="S267" i="33"/>
  <c r="R267" i="33"/>
  <c r="K267" i="33"/>
  <c r="F267" i="33"/>
  <c r="I267" i="33" s="1"/>
  <c r="V265" i="33"/>
  <c r="T265" i="33"/>
  <c r="W265" i="33" s="1"/>
  <c r="S265" i="33"/>
  <c r="R265" i="33"/>
  <c r="K265" i="33"/>
  <c r="F265" i="33"/>
  <c r="G265" i="33" s="1"/>
  <c r="AF261" i="33"/>
  <c r="Y184" i="35"/>
  <c r="X184" i="35"/>
  <c r="U184" i="35"/>
  <c r="S184" i="35"/>
  <c r="R184" i="35"/>
  <c r="Q184" i="35"/>
  <c r="K184" i="35"/>
  <c r="F184" i="35"/>
  <c r="H184" i="35" s="1"/>
  <c r="F261" i="33"/>
  <c r="H261" i="33" s="1"/>
  <c r="K261" i="33"/>
  <c r="R261" i="33"/>
  <c r="S261" i="33"/>
  <c r="T261" i="33"/>
  <c r="Z261" i="33" s="1"/>
  <c r="V261" i="33"/>
  <c r="AE166" i="35"/>
  <c r="Y166" i="35"/>
  <c r="X166" i="35"/>
  <c r="U166" i="35"/>
  <c r="S166" i="35"/>
  <c r="R166" i="35"/>
  <c r="Q166" i="35"/>
  <c r="K166" i="35"/>
  <c r="F166" i="35"/>
  <c r="Y177" i="35"/>
  <c r="X177" i="35"/>
  <c r="W177" i="35"/>
  <c r="V177" i="35"/>
  <c r="U177" i="35"/>
  <c r="S177" i="35"/>
  <c r="R177" i="35"/>
  <c r="Q177" i="35"/>
  <c r="L177" i="35"/>
  <c r="K177" i="35"/>
  <c r="I177" i="35"/>
  <c r="H177" i="35"/>
  <c r="G177" i="35"/>
  <c r="F177" i="35"/>
  <c r="AE176" i="35"/>
  <c r="Y176" i="35"/>
  <c r="X176" i="35"/>
  <c r="U176" i="35"/>
  <c r="S176" i="35"/>
  <c r="R176" i="35"/>
  <c r="Q176" i="35"/>
  <c r="K176" i="35"/>
  <c r="F176" i="35"/>
  <c r="I176" i="35" s="1"/>
  <c r="AE174" i="35"/>
  <c r="Y174" i="35"/>
  <c r="X174" i="35"/>
  <c r="U174" i="35"/>
  <c r="S174" i="35"/>
  <c r="R174" i="35"/>
  <c r="Q174" i="35"/>
  <c r="K174" i="35"/>
  <c r="F174" i="35"/>
  <c r="I174" i="35" s="1"/>
  <c r="Y168" i="35"/>
  <c r="X168" i="35"/>
  <c r="U168" i="35"/>
  <c r="S168" i="35"/>
  <c r="R168" i="35"/>
  <c r="Q168" i="35"/>
  <c r="K168" i="35"/>
  <c r="F168" i="35"/>
  <c r="H168" i="35" s="1"/>
  <c r="Y165" i="35"/>
  <c r="X165" i="35"/>
  <c r="W165" i="35"/>
  <c r="V165" i="35"/>
  <c r="U165" i="35"/>
  <c r="S165" i="35"/>
  <c r="R165" i="35"/>
  <c r="Q165" i="35"/>
  <c r="L165" i="35"/>
  <c r="K165" i="35"/>
  <c r="I165" i="35"/>
  <c r="H165" i="35"/>
  <c r="G165" i="35"/>
  <c r="F165" i="35"/>
  <c r="AE164" i="35"/>
  <c r="AG164" i="35" s="1"/>
  <c r="Y164" i="35"/>
  <c r="X164" i="35"/>
  <c r="U164" i="35"/>
  <c r="S164" i="35"/>
  <c r="R164" i="35"/>
  <c r="Q164" i="35"/>
  <c r="K164" i="35"/>
  <c r="F164" i="35"/>
  <c r="F162" i="35"/>
  <c r="H162" i="35" s="1"/>
  <c r="K162" i="35"/>
  <c r="Q162" i="35"/>
  <c r="R162" i="35"/>
  <c r="S162" i="35"/>
  <c r="U162" i="35"/>
  <c r="X162" i="35"/>
  <c r="Y162" i="35"/>
  <c r="AE162" i="35"/>
  <c r="AE145" i="35"/>
  <c r="Y145" i="35"/>
  <c r="X145" i="35"/>
  <c r="U145" i="35"/>
  <c r="S145" i="35"/>
  <c r="R145" i="35"/>
  <c r="Q145" i="35"/>
  <c r="K145" i="35"/>
  <c r="F145" i="35"/>
  <c r="AE139" i="35"/>
  <c r="Y139" i="35"/>
  <c r="X139" i="35"/>
  <c r="U139" i="35"/>
  <c r="S139" i="35"/>
  <c r="R139" i="35"/>
  <c r="Q139" i="35"/>
  <c r="K139" i="35"/>
  <c r="F139" i="35"/>
  <c r="I139" i="35" s="1"/>
  <c r="AE137" i="35"/>
  <c r="Y137" i="35"/>
  <c r="X137" i="35"/>
  <c r="U137" i="35"/>
  <c r="S137" i="35"/>
  <c r="R137" i="35"/>
  <c r="Q137" i="35"/>
  <c r="K137" i="35"/>
  <c r="F137" i="35"/>
  <c r="V229" i="33"/>
  <c r="T229" i="33"/>
  <c r="Y229" i="33" s="1"/>
  <c r="S229" i="33"/>
  <c r="R229" i="33"/>
  <c r="K229" i="33"/>
  <c r="F229" i="33"/>
  <c r="H229" i="33" s="1"/>
  <c r="Y186" i="35"/>
  <c r="X186" i="35"/>
  <c r="W186" i="35"/>
  <c r="V186" i="35"/>
  <c r="U186" i="35"/>
  <c r="S186" i="35"/>
  <c r="R186" i="35"/>
  <c r="Q186" i="35"/>
  <c r="L186" i="35"/>
  <c r="K186" i="35"/>
  <c r="I186" i="35"/>
  <c r="H186" i="35"/>
  <c r="G186" i="35"/>
  <c r="F186" i="35"/>
  <c r="AE180" i="35"/>
  <c r="Y180" i="35"/>
  <c r="X180" i="35"/>
  <c r="U180" i="35"/>
  <c r="S180" i="35"/>
  <c r="R180" i="35"/>
  <c r="Q180" i="35"/>
  <c r="K180" i="35"/>
  <c r="F180" i="35"/>
  <c r="G180" i="35" s="1"/>
  <c r="Y179" i="35"/>
  <c r="X179" i="35"/>
  <c r="W179" i="35"/>
  <c r="V179" i="35"/>
  <c r="U179" i="35"/>
  <c r="S179" i="35"/>
  <c r="R179" i="35"/>
  <c r="Q179" i="35"/>
  <c r="L179" i="35"/>
  <c r="K179" i="35"/>
  <c r="I179" i="35"/>
  <c r="H179" i="35"/>
  <c r="G179" i="35"/>
  <c r="F179" i="35"/>
  <c r="AE178" i="35"/>
  <c r="Y178" i="35"/>
  <c r="X178" i="35"/>
  <c r="U178" i="35"/>
  <c r="S178" i="35"/>
  <c r="R178" i="35"/>
  <c r="Q178" i="35"/>
  <c r="K178" i="35"/>
  <c r="F178" i="35"/>
  <c r="Y172" i="35"/>
  <c r="X172" i="35"/>
  <c r="W172" i="35"/>
  <c r="V172" i="35"/>
  <c r="U172" i="35"/>
  <c r="S172" i="35"/>
  <c r="R172" i="35"/>
  <c r="Q172" i="35"/>
  <c r="L172" i="35"/>
  <c r="K172" i="35"/>
  <c r="I172" i="35"/>
  <c r="H172" i="35"/>
  <c r="G172" i="35"/>
  <c r="F172" i="35"/>
  <c r="Y171" i="35"/>
  <c r="X171" i="35"/>
  <c r="W171" i="35"/>
  <c r="V171" i="35"/>
  <c r="U171" i="35"/>
  <c r="S171" i="35"/>
  <c r="R171" i="35"/>
  <c r="Q171" i="35"/>
  <c r="L171" i="35"/>
  <c r="K171" i="35"/>
  <c r="I171" i="35"/>
  <c r="H171" i="35"/>
  <c r="G171" i="35"/>
  <c r="F171" i="35"/>
  <c r="Y170" i="35"/>
  <c r="X170" i="35"/>
  <c r="W170" i="35"/>
  <c r="V170" i="35"/>
  <c r="U170" i="35"/>
  <c r="S170" i="35"/>
  <c r="R170" i="35"/>
  <c r="Q170" i="35"/>
  <c r="L170" i="35"/>
  <c r="K170" i="35"/>
  <c r="I170" i="35"/>
  <c r="H170" i="35"/>
  <c r="G170" i="35"/>
  <c r="F170" i="35"/>
  <c r="AE158" i="35"/>
  <c r="Y158" i="35"/>
  <c r="X158" i="35"/>
  <c r="U158" i="35"/>
  <c r="S158" i="35"/>
  <c r="R158" i="35"/>
  <c r="Q158" i="35"/>
  <c r="K158" i="35"/>
  <c r="F158" i="35"/>
  <c r="G158" i="35" s="1"/>
  <c r="Y156" i="35"/>
  <c r="X156" i="35"/>
  <c r="W156" i="35"/>
  <c r="V156" i="35"/>
  <c r="U156" i="35"/>
  <c r="S156" i="35"/>
  <c r="R156" i="35"/>
  <c r="Q156" i="35"/>
  <c r="K156" i="35"/>
  <c r="F156" i="35"/>
  <c r="H156" i="35" s="1"/>
  <c r="AE155" i="35"/>
  <c r="Y155" i="35"/>
  <c r="X155" i="35"/>
  <c r="U155" i="35"/>
  <c r="S155" i="35"/>
  <c r="R155" i="35"/>
  <c r="Q155" i="35"/>
  <c r="K155" i="35"/>
  <c r="F155" i="35"/>
  <c r="AE153" i="35"/>
  <c r="Y153" i="35"/>
  <c r="X153" i="35"/>
  <c r="U153" i="35"/>
  <c r="S153" i="35"/>
  <c r="R153" i="35"/>
  <c r="Q153" i="35"/>
  <c r="K153" i="35"/>
  <c r="F153" i="35"/>
  <c r="G153" i="35" s="1"/>
  <c r="AE151" i="35"/>
  <c r="Y151" i="35"/>
  <c r="X151" i="35"/>
  <c r="U151" i="35"/>
  <c r="S151" i="35"/>
  <c r="R151" i="35"/>
  <c r="Q151" i="35"/>
  <c r="K151" i="35"/>
  <c r="F151" i="35"/>
  <c r="AE135" i="35"/>
  <c r="Y135" i="35"/>
  <c r="X135" i="35"/>
  <c r="U135" i="35"/>
  <c r="S135" i="35"/>
  <c r="R135" i="35"/>
  <c r="Q135" i="35"/>
  <c r="K135" i="35"/>
  <c r="F135" i="35"/>
  <c r="AE147" i="35"/>
  <c r="Y147" i="35"/>
  <c r="X147" i="35"/>
  <c r="U147" i="35"/>
  <c r="S147" i="35"/>
  <c r="R147" i="35"/>
  <c r="Q147" i="35"/>
  <c r="K147" i="35"/>
  <c r="F147" i="35"/>
  <c r="H147" i="35" s="1"/>
  <c r="AE131" i="35"/>
  <c r="Y131" i="35"/>
  <c r="X131" i="35"/>
  <c r="U131" i="35"/>
  <c r="S131" i="35"/>
  <c r="R131" i="35"/>
  <c r="Q131" i="35"/>
  <c r="K131" i="35"/>
  <c r="F131" i="35"/>
  <c r="G131" i="35" s="1"/>
  <c r="AE127" i="35"/>
  <c r="Y127" i="35"/>
  <c r="X127" i="35"/>
  <c r="U127" i="35"/>
  <c r="S127" i="35"/>
  <c r="R127" i="35"/>
  <c r="Q127" i="35"/>
  <c r="K127" i="35"/>
  <c r="F127" i="35"/>
  <c r="AE123" i="35"/>
  <c r="Y123" i="35"/>
  <c r="X123" i="35"/>
  <c r="U123" i="35"/>
  <c r="S123" i="35"/>
  <c r="R123" i="35"/>
  <c r="Q123" i="35"/>
  <c r="K123" i="35"/>
  <c r="F123" i="35"/>
  <c r="Z195" i="33"/>
  <c r="Y195" i="33"/>
  <c r="X195" i="33"/>
  <c r="W195" i="33"/>
  <c r="V195" i="33"/>
  <c r="T195" i="33"/>
  <c r="S195" i="33"/>
  <c r="R195" i="33"/>
  <c r="L195" i="33"/>
  <c r="K195" i="33"/>
  <c r="I195" i="33"/>
  <c r="H195" i="33"/>
  <c r="G195" i="33"/>
  <c r="F195" i="33"/>
  <c r="V194" i="33"/>
  <c r="T194" i="33"/>
  <c r="Z194" i="33" s="1"/>
  <c r="S194" i="33"/>
  <c r="R194" i="33"/>
  <c r="K194" i="33"/>
  <c r="F194" i="33"/>
  <c r="G194" i="33" s="1"/>
  <c r="AE160" i="35"/>
  <c r="AE149" i="35"/>
  <c r="AE133" i="35"/>
  <c r="AE129" i="35"/>
  <c r="AE125" i="35"/>
  <c r="V199" i="33"/>
  <c r="W199" i="33"/>
  <c r="S199" i="33"/>
  <c r="R199" i="33"/>
  <c r="K199" i="33"/>
  <c r="F199" i="33"/>
  <c r="H199" i="33" s="1"/>
  <c r="V198" i="33"/>
  <c r="T198" i="33"/>
  <c r="W198" i="33" s="1"/>
  <c r="S198" i="33"/>
  <c r="R198" i="33"/>
  <c r="K198" i="33"/>
  <c r="F198" i="33"/>
  <c r="H198" i="33" s="1"/>
  <c r="X199" i="33"/>
  <c r="Y199" i="33"/>
  <c r="Z199" i="33"/>
  <c r="Z220" i="33"/>
  <c r="Y220" i="33"/>
  <c r="X220" i="33"/>
  <c r="W220" i="33"/>
  <c r="V220" i="33"/>
  <c r="T220" i="33"/>
  <c r="S220" i="33"/>
  <c r="R220" i="33"/>
  <c r="L220" i="33"/>
  <c r="K220" i="33"/>
  <c r="I220" i="33"/>
  <c r="H220" i="33"/>
  <c r="G220" i="33"/>
  <c r="F220" i="33"/>
  <c r="V219" i="33"/>
  <c r="T219" i="33"/>
  <c r="W219" i="33" s="1"/>
  <c r="S219" i="33"/>
  <c r="R219" i="33"/>
  <c r="K219" i="33"/>
  <c r="F219" i="33"/>
  <c r="H219" i="33" s="1"/>
  <c r="Y105" i="35"/>
  <c r="X105" i="35"/>
  <c r="W105" i="35"/>
  <c r="V105" i="35"/>
  <c r="U105" i="35"/>
  <c r="S105" i="35"/>
  <c r="R105" i="35"/>
  <c r="Q105" i="35"/>
  <c r="K105" i="35"/>
  <c r="F105" i="35"/>
  <c r="I105" i="35" s="1"/>
  <c r="Z145" i="33"/>
  <c r="Y145" i="33"/>
  <c r="X145" i="33"/>
  <c r="W145" i="33"/>
  <c r="V145" i="33"/>
  <c r="T145" i="33"/>
  <c r="S145" i="33"/>
  <c r="R145" i="33"/>
  <c r="L145" i="33"/>
  <c r="K145" i="33"/>
  <c r="I145" i="33"/>
  <c r="H145" i="33"/>
  <c r="G145" i="33"/>
  <c r="F145" i="33"/>
  <c r="F144" i="33"/>
  <c r="V109" i="33"/>
  <c r="T109" i="33"/>
  <c r="Y109" i="33" s="1"/>
  <c r="S109" i="33"/>
  <c r="R109" i="33"/>
  <c r="K109" i="33"/>
  <c r="F109" i="33"/>
  <c r="H109" i="33" s="1"/>
  <c r="Z108" i="33"/>
  <c r="Y108" i="33"/>
  <c r="X108" i="33"/>
  <c r="W108" i="33"/>
  <c r="V108" i="33"/>
  <c r="T108" i="33"/>
  <c r="S108" i="33"/>
  <c r="R108" i="33"/>
  <c r="L108" i="33"/>
  <c r="K108" i="33"/>
  <c r="I108" i="33"/>
  <c r="H108" i="33"/>
  <c r="G108" i="33"/>
  <c r="F108" i="33"/>
  <c r="V107" i="33"/>
  <c r="T107" i="33"/>
  <c r="Z107" i="33" s="1"/>
  <c r="S107" i="33"/>
  <c r="R107" i="33"/>
  <c r="K107" i="33"/>
  <c r="F107" i="33"/>
  <c r="G107" i="33" s="1"/>
  <c r="Z106" i="33"/>
  <c r="Y106" i="33"/>
  <c r="X106" i="33"/>
  <c r="W106" i="33"/>
  <c r="V106" i="33"/>
  <c r="T106" i="33"/>
  <c r="S106" i="33"/>
  <c r="R106" i="33"/>
  <c r="L106" i="33"/>
  <c r="K106" i="33"/>
  <c r="I106" i="33"/>
  <c r="H106" i="33"/>
  <c r="G106" i="33"/>
  <c r="F106" i="33"/>
  <c r="V105" i="33"/>
  <c r="T105" i="33"/>
  <c r="Y105" i="33" s="1"/>
  <c r="S105" i="33"/>
  <c r="R105" i="33"/>
  <c r="K105" i="33"/>
  <c r="F105" i="33"/>
  <c r="H105" i="33" s="1"/>
  <c r="Z104" i="33"/>
  <c r="Y104" i="33"/>
  <c r="X104" i="33"/>
  <c r="W104" i="33"/>
  <c r="V104" i="33"/>
  <c r="T104" i="33"/>
  <c r="S104" i="33"/>
  <c r="R104" i="33"/>
  <c r="L104" i="33"/>
  <c r="K104" i="33"/>
  <c r="I104" i="33"/>
  <c r="H104" i="33"/>
  <c r="G104" i="33"/>
  <c r="F104" i="33"/>
  <c r="V103" i="33"/>
  <c r="T103" i="33"/>
  <c r="Y103" i="33" s="1"/>
  <c r="S103" i="33"/>
  <c r="R103" i="33"/>
  <c r="K103" i="33"/>
  <c r="F103" i="33"/>
  <c r="H103" i="33" s="1"/>
  <c r="V101" i="33"/>
  <c r="T101" i="33"/>
  <c r="Y101" i="33" s="1"/>
  <c r="S101" i="33"/>
  <c r="R101" i="33"/>
  <c r="K101" i="33"/>
  <c r="F101" i="33"/>
  <c r="H101" i="33" s="1"/>
  <c r="Z100" i="33"/>
  <c r="Y100" i="33"/>
  <c r="X100" i="33"/>
  <c r="W100" i="33"/>
  <c r="V100" i="33"/>
  <c r="T100" i="33"/>
  <c r="S100" i="33"/>
  <c r="R100" i="33"/>
  <c r="L100" i="33"/>
  <c r="K100" i="33"/>
  <c r="I100" i="33"/>
  <c r="H100" i="33"/>
  <c r="G100" i="33"/>
  <c r="F100" i="33"/>
  <c r="V99" i="33"/>
  <c r="T99" i="33"/>
  <c r="Z99" i="33" s="1"/>
  <c r="S99" i="33"/>
  <c r="R99" i="33"/>
  <c r="K99" i="33"/>
  <c r="F99" i="33"/>
  <c r="H99" i="33" s="1"/>
  <c r="AF142" i="33"/>
  <c r="AF140" i="33"/>
  <c r="AF136" i="33"/>
  <c r="AF134" i="33"/>
  <c r="AF132" i="33"/>
  <c r="AH136" i="33"/>
  <c r="AE87" i="35"/>
  <c r="AE85" i="35"/>
  <c r="AE83" i="35"/>
  <c r="AE81" i="35"/>
  <c r="AE79" i="35"/>
  <c r="AE77" i="35"/>
  <c r="AE75" i="35"/>
  <c r="AE73" i="35"/>
  <c r="AE71" i="35"/>
  <c r="AE69" i="35"/>
  <c r="AE67" i="35"/>
  <c r="AE61" i="35"/>
  <c r="AE53" i="35"/>
  <c r="AE51" i="35"/>
  <c r="AE49" i="35"/>
  <c r="AE47" i="35"/>
  <c r="AE43" i="35"/>
  <c r="AE41" i="35"/>
  <c r="AE37" i="35"/>
  <c r="V142" i="33"/>
  <c r="T142" i="33"/>
  <c r="Z142" i="33" s="1"/>
  <c r="S142" i="33"/>
  <c r="R142" i="33"/>
  <c r="K142" i="33"/>
  <c r="F142" i="33"/>
  <c r="H142" i="33" s="1"/>
  <c r="Y59" i="35"/>
  <c r="X59" i="35"/>
  <c r="W59" i="35"/>
  <c r="V59" i="35"/>
  <c r="U59" i="35"/>
  <c r="S59" i="35"/>
  <c r="R59" i="35"/>
  <c r="Q59" i="35"/>
  <c r="L59" i="35"/>
  <c r="K59" i="35"/>
  <c r="I59" i="35"/>
  <c r="H59" i="35"/>
  <c r="G59" i="35"/>
  <c r="F59" i="35"/>
  <c r="Y58" i="35"/>
  <c r="X58" i="35"/>
  <c r="W58" i="35"/>
  <c r="V58" i="35"/>
  <c r="U58" i="35"/>
  <c r="S58" i="35"/>
  <c r="R58" i="35"/>
  <c r="Q58" i="35"/>
  <c r="L58" i="35"/>
  <c r="K58" i="35"/>
  <c r="I58" i="35"/>
  <c r="H58" i="35"/>
  <c r="G58" i="35"/>
  <c r="F58" i="35"/>
  <c r="Y43" i="35"/>
  <c r="X43" i="35"/>
  <c r="U43" i="35"/>
  <c r="S43" i="35"/>
  <c r="R43" i="35"/>
  <c r="Q43" i="35"/>
  <c r="K43" i="35"/>
  <c r="F43" i="35"/>
  <c r="Y42" i="35"/>
  <c r="X42" i="35"/>
  <c r="W42" i="35"/>
  <c r="V42" i="35"/>
  <c r="U42" i="35"/>
  <c r="S42" i="35"/>
  <c r="R42" i="35"/>
  <c r="Q42" i="35"/>
  <c r="L42" i="35"/>
  <c r="K42" i="35"/>
  <c r="I42" i="35"/>
  <c r="H42" i="35"/>
  <c r="G42" i="35"/>
  <c r="F42" i="35"/>
  <c r="F5" i="35"/>
  <c r="K5" i="35"/>
  <c r="F6" i="35"/>
  <c r="K6" i="35"/>
  <c r="F7" i="35"/>
  <c r="K7" i="35"/>
  <c r="F8" i="35"/>
  <c r="K8" i="35"/>
  <c r="F9" i="35"/>
  <c r="K9" i="35"/>
  <c r="F10" i="35"/>
  <c r="K10" i="35"/>
  <c r="F11" i="35"/>
  <c r="K11" i="35"/>
  <c r="F12" i="35"/>
  <c r="K12" i="35"/>
  <c r="F13" i="35"/>
  <c r="K13" i="35"/>
  <c r="F14" i="35"/>
  <c r="K14" i="35"/>
  <c r="F15" i="35"/>
  <c r="G15" i="35" s="1"/>
  <c r="K15" i="35"/>
  <c r="F16" i="35"/>
  <c r="K16" i="35"/>
  <c r="F17" i="35"/>
  <c r="H17" i="35" s="1"/>
  <c r="K17" i="35"/>
  <c r="F18" i="35"/>
  <c r="K18" i="35"/>
  <c r="F19" i="35"/>
  <c r="H19" i="35" s="1"/>
  <c r="K19" i="35"/>
  <c r="F20" i="35"/>
  <c r="K20" i="35"/>
  <c r="F21" i="35"/>
  <c r="K21" i="35"/>
  <c r="F22" i="35"/>
  <c r="K22" i="35"/>
  <c r="F23" i="35"/>
  <c r="K23" i="35"/>
  <c r="F24" i="35"/>
  <c r="K24" i="35"/>
  <c r="F25" i="35"/>
  <c r="K25" i="35"/>
  <c r="F26" i="35"/>
  <c r="K26" i="35"/>
  <c r="F27" i="35"/>
  <c r="K27" i="35"/>
  <c r="F28" i="35"/>
  <c r="K28" i="35"/>
  <c r="F29" i="35"/>
  <c r="K29" i="35"/>
  <c r="F30" i="35"/>
  <c r="K30" i="35"/>
  <c r="F31" i="35"/>
  <c r="K31" i="35"/>
  <c r="F32" i="35"/>
  <c r="K32" i="35"/>
  <c r="F33" i="35"/>
  <c r="K33" i="35"/>
  <c r="F34" i="35"/>
  <c r="K34" i="35"/>
  <c r="F35" i="35"/>
  <c r="K35" i="35"/>
  <c r="F36" i="35"/>
  <c r="K36" i="35"/>
  <c r="F37" i="35"/>
  <c r="I37" i="35" s="1"/>
  <c r="K37" i="35"/>
  <c r="F38" i="35"/>
  <c r="K38" i="35"/>
  <c r="F39" i="35"/>
  <c r="K39" i="35"/>
  <c r="L39" i="35"/>
  <c r="F40" i="35"/>
  <c r="K40" i="35"/>
  <c r="F41" i="35"/>
  <c r="G41" i="35" s="1"/>
  <c r="K41" i="35"/>
  <c r="F44" i="35"/>
  <c r="K44" i="35"/>
  <c r="F45" i="35"/>
  <c r="K45" i="35"/>
  <c r="F46" i="35"/>
  <c r="K46" i="35"/>
  <c r="F47" i="35"/>
  <c r="I47" i="35" s="1"/>
  <c r="K47" i="35"/>
  <c r="F48" i="35"/>
  <c r="K48" i="35"/>
  <c r="F49" i="35"/>
  <c r="G49" i="35" s="1"/>
  <c r="K49" i="35"/>
  <c r="F50" i="35"/>
  <c r="K50" i="35"/>
  <c r="F51" i="35"/>
  <c r="H51" i="35" s="1"/>
  <c r="K51" i="35"/>
  <c r="F52" i="35"/>
  <c r="K52" i="35"/>
  <c r="F53" i="35"/>
  <c r="H53" i="35" s="1"/>
  <c r="K53" i="35"/>
  <c r="F54" i="35"/>
  <c r="K54" i="35"/>
  <c r="F55" i="35"/>
  <c r="K55" i="35"/>
  <c r="F56" i="35"/>
  <c r="K56" i="35"/>
  <c r="F57" i="35"/>
  <c r="K57" i="35"/>
  <c r="F60" i="35"/>
  <c r="K60" i="35"/>
  <c r="F61" i="35"/>
  <c r="H61" i="35" s="1"/>
  <c r="K61" i="35"/>
  <c r="F62" i="35"/>
  <c r="K62" i="35"/>
  <c r="F67" i="35"/>
  <c r="I67" i="35" s="1"/>
  <c r="K67" i="35"/>
  <c r="F68" i="35"/>
  <c r="K68" i="35"/>
  <c r="F69" i="35"/>
  <c r="I69" i="35" s="1"/>
  <c r="K69" i="35"/>
  <c r="F70" i="35"/>
  <c r="K70" i="35"/>
  <c r="F71" i="35"/>
  <c r="H71" i="35" s="1"/>
  <c r="K71" i="35"/>
  <c r="F72" i="35"/>
  <c r="K72" i="35"/>
  <c r="F73" i="35"/>
  <c r="I73" i="35" s="1"/>
  <c r="K73" i="35"/>
  <c r="F74" i="35"/>
  <c r="K74" i="35"/>
  <c r="F63" i="35"/>
  <c r="K63" i="35"/>
  <c r="F64" i="35"/>
  <c r="K64" i="35"/>
  <c r="F65" i="35"/>
  <c r="K65" i="35"/>
  <c r="F66" i="35"/>
  <c r="K66" i="35"/>
  <c r="F75" i="35"/>
  <c r="G75" i="35" s="1"/>
  <c r="K75" i="35"/>
  <c r="F76" i="35"/>
  <c r="K76" i="35"/>
  <c r="F77" i="35"/>
  <c r="I77" i="35" s="1"/>
  <c r="K77" i="35"/>
  <c r="F78" i="35"/>
  <c r="K78" i="35"/>
  <c r="F79" i="35"/>
  <c r="G79" i="35" s="1"/>
  <c r="K79" i="35"/>
  <c r="F80" i="35"/>
  <c r="K80" i="35"/>
  <c r="F81" i="35"/>
  <c r="G81" i="35" s="1"/>
  <c r="K81" i="35"/>
  <c r="F82" i="35"/>
  <c r="K82" i="35"/>
  <c r="F83" i="35"/>
  <c r="H83" i="35" s="1"/>
  <c r="K83" i="35"/>
  <c r="F84" i="35"/>
  <c r="K84" i="35"/>
  <c r="F85" i="35"/>
  <c r="I85" i="35" s="1"/>
  <c r="K85" i="35"/>
  <c r="F86" i="35"/>
  <c r="K86" i="35"/>
  <c r="F87" i="35"/>
  <c r="H87" i="35" s="1"/>
  <c r="K87" i="35"/>
  <c r="F88" i="35"/>
  <c r="K88" i="35"/>
  <c r="F89" i="35"/>
  <c r="F90" i="35"/>
  <c r="K90" i="35"/>
  <c r="F91" i="35"/>
  <c r="K91" i="35"/>
  <c r="F92" i="35"/>
  <c r="K92" i="35"/>
  <c r="F93" i="35"/>
  <c r="K93" i="35"/>
  <c r="F94" i="35"/>
  <c r="K94" i="35"/>
  <c r="F95" i="35"/>
  <c r="G95" i="35"/>
  <c r="K95" i="35"/>
  <c r="F96" i="35"/>
  <c r="K96" i="35"/>
  <c r="F97" i="35"/>
  <c r="W97" i="35"/>
  <c r="K97" i="35"/>
  <c r="F98" i="35"/>
  <c r="K98" i="35"/>
  <c r="F101" i="35"/>
  <c r="I101" i="35" s="1"/>
  <c r="K101" i="35"/>
  <c r="F102" i="35"/>
  <c r="K102" i="35"/>
  <c r="F103" i="35"/>
  <c r="I103" i="35" s="1"/>
  <c r="K103" i="35"/>
  <c r="F104" i="35"/>
  <c r="K104" i="35"/>
  <c r="F107" i="35"/>
  <c r="G107" i="35" s="1"/>
  <c r="K107" i="35"/>
  <c r="F108" i="35"/>
  <c r="K108" i="35"/>
  <c r="F111" i="35"/>
  <c r="K111" i="35"/>
  <c r="F112" i="35"/>
  <c r="K112" i="35"/>
  <c r="F113" i="35"/>
  <c r="I113" i="35" s="1"/>
  <c r="K113" i="35"/>
  <c r="F114" i="35"/>
  <c r="K114" i="35"/>
  <c r="F115" i="35"/>
  <c r="K115" i="35"/>
  <c r="F116" i="35"/>
  <c r="K116" i="35"/>
  <c r="F117" i="35"/>
  <c r="K117" i="35"/>
  <c r="F118" i="35"/>
  <c r="K118" i="35"/>
  <c r="F119" i="35"/>
  <c r="K119" i="35"/>
  <c r="F120" i="35"/>
  <c r="K120" i="35"/>
  <c r="F121" i="35"/>
  <c r="K121" i="35"/>
  <c r="F122" i="35"/>
  <c r="K122" i="35"/>
  <c r="F125" i="35"/>
  <c r="K125" i="35"/>
  <c r="F126" i="35"/>
  <c r="K126" i="35"/>
  <c r="F129" i="35"/>
  <c r="G129" i="35" s="1"/>
  <c r="K129" i="35"/>
  <c r="F130" i="35"/>
  <c r="K130" i="35"/>
  <c r="F133" i="35"/>
  <c r="K133" i="35"/>
  <c r="F134" i="35"/>
  <c r="K134" i="35"/>
  <c r="F136" i="35"/>
  <c r="K136" i="35"/>
  <c r="F141" i="35"/>
  <c r="K141" i="35"/>
  <c r="F142" i="35"/>
  <c r="K142" i="35"/>
  <c r="F143" i="35"/>
  <c r="K143" i="35"/>
  <c r="F144" i="35"/>
  <c r="K144" i="35"/>
  <c r="F149" i="35"/>
  <c r="H149" i="35" s="1"/>
  <c r="K149" i="35"/>
  <c r="F150" i="35"/>
  <c r="K150" i="35"/>
  <c r="F160" i="35"/>
  <c r="G160" i="35" s="1"/>
  <c r="K160" i="35"/>
  <c r="F161" i="35"/>
  <c r="K161" i="35"/>
  <c r="F192" i="35"/>
  <c r="K192" i="35"/>
  <c r="F193" i="35"/>
  <c r="K193" i="35"/>
  <c r="F194" i="35"/>
  <c r="K194" i="35"/>
  <c r="F195" i="35"/>
  <c r="K195" i="35"/>
  <c r="F196" i="35"/>
  <c r="K196" i="35"/>
  <c r="F197" i="35"/>
  <c r="K197" i="35"/>
  <c r="F198" i="35"/>
  <c r="K198" i="35"/>
  <c r="F199" i="35"/>
  <c r="K199" i="35"/>
  <c r="F200" i="35"/>
  <c r="I200" i="35" s="1"/>
  <c r="K200" i="35"/>
  <c r="F201" i="35"/>
  <c r="K201" i="35"/>
  <c r="F202" i="35"/>
  <c r="K202" i="35"/>
  <c r="F203" i="35"/>
  <c r="K203" i="35"/>
  <c r="F204" i="35"/>
  <c r="K204" i="35"/>
  <c r="F205" i="35"/>
  <c r="K205" i="35"/>
  <c r="F206" i="35"/>
  <c r="K206" i="35"/>
  <c r="F207" i="35"/>
  <c r="K207" i="35"/>
  <c r="F208" i="35"/>
  <c r="K208" i="35"/>
  <c r="F209" i="35"/>
  <c r="K209" i="35"/>
  <c r="F210" i="35"/>
  <c r="K210" i="35"/>
  <c r="F211" i="35"/>
  <c r="K211" i="35"/>
  <c r="F212" i="35"/>
  <c r="K212" i="35"/>
  <c r="F213" i="35"/>
  <c r="K213" i="35"/>
  <c r="F216" i="35"/>
  <c r="H216" i="35" s="1"/>
  <c r="K216" i="35"/>
  <c r="F217" i="35"/>
  <c r="K217" i="35"/>
  <c r="F218" i="35"/>
  <c r="I218" i="35" s="1"/>
  <c r="K218" i="35"/>
  <c r="F219" i="35"/>
  <c r="K219" i="35"/>
  <c r="F220" i="35"/>
  <c r="G220" i="35" s="1"/>
  <c r="K220" i="35"/>
  <c r="F221" i="35"/>
  <c r="K221" i="35"/>
  <c r="F224" i="35"/>
  <c r="I224" i="35" s="1"/>
  <c r="K224" i="35"/>
  <c r="F225" i="35"/>
  <c r="K225" i="35"/>
  <c r="F230" i="35"/>
  <c r="G230" i="35" s="1"/>
  <c r="K230" i="35"/>
  <c r="F231" i="35"/>
  <c r="K231" i="35"/>
  <c r="F232" i="35"/>
  <c r="G232" i="35" s="1"/>
  <c r="K232" i="35"/>
  <c r="F233" i="35"/>
  <c r="K233" i="35"/>
  <c r="F234" i="35"/>
  <c r="H234" i="35" s="1"/>
  <c r="K234" i="35"/>
  <c r="F235" i="35"/>
  <c r="K235" i="35"/>
  <c r="F236" i="35"/>
  <c r="I236" i="35" s="1"/>
  <c r="K236" i="35"/>
  <c r="F237" i="35"/>
  <c r="K237" i="35"/>
  <c r="F238" i="35"/>
  <c r="H238" i="35" s="1"/>
  <c r="K238" i="35"/>
  <c r="F239" i="35"/>
  <c r="K239" i="35"/>
  <c r="F240" i="35"/>
  <c r="G240" i="35" s="1"/>
  <c r="K240" i="35"/>
  <c r="F241" i="35"/>
  <c r="K241" i="35"/>
  <c r="F242" i="35"/>
  <c r="G242" i="35" s="1"/>
  <c r="K242" i="35"/>
  <c r="F243" i="35"/>
  <c r="K243" i="35"/>
  <c r="F2423" i="35"/>
  <c r="K2423" i="35"/>
  <c r="Y5" i="35"/>
  <c r="Y6" i="35"/>
  <c r="Y7" i="35"/>
  <c r="Y8" i="35"/>
  <c r="Y9" i="35"/>
  <c r="Y10" i="35"/>
  <c r="Y11" i="35"/>
  <c r="Y12" i="35"/>
  <c r="Y13" i="35"/>
  <c r="Y14" i="35"/>
  <c r="Y15" i="35"/>
  <c r="Y16" i="35"/>
  <c r="Y17" i="35"/>
  <c r="Y18" i="35"/>
  <c r="Y19" i="35"/>
  <c r="Y20" i="35"/>
  <c r="Y21" i="35"/>
  <c r="Y22" i="35"/>
  <c r="Y23" i="35"/>
  <c r="Y24" i="35"/>
  <c r="Y25" i="35"/>
  <c r="Y26" i="35"/>
  <c r="Y27" i="35"/>
  <c r="Y28" i="35"/>
  <c r="Y29" i="35"/>
  <c r="Y30" i="35"/>
  <c r="Y31" i="35"/>
  <c r="Y32" i="35"/>
  <c r="Y33" i="35"/>
  <c r="Y34" i="35"/>
  <c r="Y35" i="35"/>
  <c r="Y36" i="35"/>
  <c r="Y37" i="35"/>
  <c r="Y38" i="35"/>
  <c r="Y39" i="35"/>
  <c r="Y40" i="35"/>
  <c r="Y41" i="35"/>
  <c r="Y44" i="35"/>
  <c r="Y45" i="35"/>
  <c r="Y46" i="35"/>
  <c r="Y47" i="35"/>
  <c r="Y48" i="35"/>
  <c r="Y49" i="35"/>
  <c r="Y50" i="35"/>
  <c r="Y51" i="35"/>
  <c r="Y52" i="35"/>
  <c r="Y53" i="35"/>
  <c r="Y54" i="35"/>
  <c r="Y55" i="35"/>
  <c r="Y56" i="35"/>
  <c r="Y57" i="35"/>
  <c r="Y60" i="35"/>
  <c r="Y61" i="35"/>
  <c r="Y62" i="35"/>
  <c r="Y67" i="35"/>
  <c r="Y68" i="35"/>
  <c r="Y69" i="35"/>
  <c r="Y70" i="35"/>
  <c r="Y71" i="35"/>
  <c r="Y72" i="35"/>
  <c r="Y73" i="35"/>
  <c r="Y74" i="35"/>
  <c r="Y63" i="35"/>
  <c r="Y64" i="35"/>
  <c r="Y65" i="35"/>
  <c r="Y66" i="35"/>
  <c r="Y75" i="35"/>
  <c r="Y76" i="35"/>
  <c r="Y77" i="35"/>
  <c r="Y78" i="35"/>
  <c r="Y79" i="35"/>
  <c r="Y80" i="35"/>
  <c r="Y81" i="35"/>
  <c r="Y82" i="35"/>
  <c r="Y83" i="35"/>
  <c r="Y84" i="35"/>
  <c r="Y85" i="35"/>
  <c r="Y86" i="35"/>
  <c r="Y87" i="35"/>
  <c r="Y88" i="35"/>
  <c r="Y90" i="35"/>
  <c r="Y91" i="35"/>
  <c r="Y92" i="35"/>
  <c r="Y93" i="35"/>
  <c r="Y94" i="35"/>
  <c r="Y95" i="35"/>
  <c r="Y96" i="35"/>
  <c r="Y97" i="35"/>
  <c r="Y98" i="35"/>
  <c r="Y101" i="35"/>
  <c r="Y102" i="35"/>
  <c r="Y103" i="35"/>
  <c r="Y104" i="35"/>
  <c r="Y107" i="35"/>
  <c r="Y108" i="35"/>
  <c r="Y111" i="35"/>
  <c r="Y112" i="35"/>
  <c r="Y113" i="35"/>
  <c r="Y114" i="35"/>
  <c r="Y115" i="35"/>
  <c r="Y116" i="35"/>
  <c r="Y117" i="35"/>
  <c r="Y118" i="35"/>
  <c r="Y119" i="35"/>
  <c r="Y120" i="35"/>
  <c r="Y121" i="35"/>
  <c r="Y122" i="35"/>
  <c r="Y125" i="35"/>
  <c r="Y126" i="35"/>
  <c r="Y129" i="35"/>
  <c r="Y130" i="35"/>
  <c r="Y133" i="35"/>
  <c r="Y134" i="35"/>
  <c r="Y136" i="35"/>
  <c r="Y141" i="35"/>
  <c r="Y142" i="35"/>
  <c r="Y143" i="35"/>
  <c r="Y144" i="35"/>
  <c r="Y149" i="35"/>
  <c r="Y150" i="35"/>
  <c r="Y160" i="35"/>
  <c r="Y161" i="35"/>
  <c r="Y192" i="35"/>
  <c r="Y193" i="35"/>
  <c r="Y194" i="35"/>
  <c r="Y195" i="35"/>
  <c r="Y196" i="35"/>
  <c r="Y197" i="35"/>
  <c r="Y198" i="35"/>
  <c r="Y199" i="35"/>
  <c r="Y200" i="35"/>
  <c r="Y201" i="35"/>
  <c r="Y202" i="35"/>
  <c r="Y203" i="35"/>
  <c r="Y204" i="35"/>
  <c r="Y205" i="35"/>
  <c r="Y206" i="35"/>
  <c r="Y207" i="35"/>
  <c r="Y208" i="35"/>
  <c r="Y209" i="35"/>
  <c r="Y210" i="35"/>
  <c r="Y211" i="35"/>
  <c r="Y212" i="35"/>
  <c r="Y213" i="35"/>
  <c r="Y216" i="35"/>
  <c r="Y217" i="35"/>
  <c r="Y218" i="35"/>
  <c r="Y219" i="35"/>
  <c r="Y220" i="35"/>
  <c r="Y221" i="35"/>
  <c r="Y224" i="35"/>
  <c r="Y225" i="35"/>
  <c r="Y230" i="35"/>
  <c r="Y231" i="35"/>
  <c r="Y232" i="35"/>
  <c r="Y233" i="35"/>
  <c r="Y234" i="35"/>
  <c r="Y235" i="35"/>
  <c r="Y236" i="35"/>
  <c r="Y237" i="35"/>
  <c r="Y238" i="35"/>
  <c r="Y239" i="35"/>
  <c r="Y240" i="35"/>
  <c r="Y241" i="35"/>
  <c r="Y242" i="35"/>
  <c r="Y243" i="35"/>
  <c r="Y2423" i="35"/>
  <c r="X5" i="35"/>
  <c r="X6" i="35"/>
  <c r="X7" i="35"/>
  <c r="X8" i="35"/>
  <c r="X9" i="35"/>
  <c r="X10" i="35"/>
  <c r="X11" i="35"/>
  <c r="X12" i="35"/>
  <c r="X13" i="35"/>
  <c r="X14" i="35"/>
  <c r="X15" i="35"/>
  <c r="X16" i="35"/>
  <c r="X17" i="35"/>
  <c r="X18" i="35"/>
  <c r="X19" i="35"/>
  <c r="X20" i="35"/>
  <c r="X21" i="35"/>
  <c r="X22" i="35"/>
  <c r="X23" i="35"/>
  <c r="X24" i="35"/>
  <c r="X25" i="35"/>
  <c r="X26" i="35"/>
  <c r="X27" i="35"/>
  <c r="X28" i="35"/>
  <c r="X29" i="35"/>
  <c r="X30" i="35"/>
  <c r="X31" i="35"/>
  <c r="X32" i="35"/>
  <c r="X33" i="35"/>
  <c r="X34" i="35"/>
  <c r="X35" i="35"/>
  <c r="X36" i="35"/>
  <c r="X37" i="35"/>
  <c r="X38" i="35"/>
  <c r="X39" i="35"/>
  <c r="X40" i="35"/>
  <c r="X41" i="35"/>
  <c r="X44" i="35"/>
  <c r="X45" i="35"/>
  <c r="X46" i="35"/>
  <c r="X47" i="35"/>
  <c r="X48" i="35"/>
  <c r="X49" i="35"/>
  <c r="X50" i="35"/>
  <c r="X51" i="35"/>
  <c r="X52" i="35"/>
  <c r="X53" i="35"/>
  <c r="X54" i="35"/>
  <c r="X55" i="35"/>
  <c r="X56" i="35"/>
  <c r="X57" i="35"/>
  <c r="X60" i="35"/>
  <c r="X61" i="35"/>
  <c r="X62" i="35"/>
  <c r="X67" i="35"/>
  <c r="X68" i="35"/>
  <c r="X69" i="35"/>
  <c r="X70" i="35"/>
  <c r="X71" i="35"/>
  <c r="X72" i="35"/>
  <c r="X73" i="35"/>
  <c r="X74" i="35"/>
  <c r="X63" i="35"/>
  <c r="X64" i="35"/>
  <c r="X65" i="35"/>
  <c r="X66" i="35"/>
  <c r="X75" i="35"/>
  <c r="X76" i="35"/>
  <c r="X77" i="35"/>
  <c r="X78" i="35"/>
  <c r="X79" i="35"/>
  <c r="X80" i="35"/>
  <c r="X81" i="35"/>
  <c r="X82" i="35"/>
  <c r="X83" i="35"/>
  <c r="X84" i="35"/>
  <c r="X85" i="35"/>
  <c r="X86" i="35"/>
  <c r="X87" i="35"/>
  <c r="X88" i="35"/>
  <c r="X89" i="35"/>
  <c r="X90" i="35"/>
  <c r="X91" i="35"/>
  <c r="X92" i="35"/>
  <c r="X93" i="35"/>
  <c r="X94" i="35"/>
  <c r="X95" i="35"/>
  <c r="X96" i="35"/>
  <c r="X97" i="35"/>
  <c r="X98" i="35"/>
  <c r="X101" i="35"/>
  <c r="X102" i="35"/>
  <c r="X103" i="35"/>
  <c r="X104" i="35"/>
  <c r="X107" i="35"/>
  <c r="X108" i="35"/>
  <c r="X111" i="35"/>
  <c r="X112" i="35"/>
  <c r="X113" i="35"/>
  <c r="X114" i="35"/>
  <c r="X115" i="35"/>
  <c r="X116" i="35"/>
  <c r="X117" i="35"/>
  <c r="X118" i="35"/>
  <c r="X119" i="35"/>
  <c r="X120" i="35"/>
  <c r="X121" i="35"/>
  <c r="X122" i="35"/>
  <c r="X125" i="35"/>
  <c r="X126" i="35"/>
  <c r="X129" i="35"/>
  <c r="X130" i="35"/>
  <c r="X133" i="35"/>
  <c r="X134" i="35"/>
  <c r="X136" i="35"/>
  <c r="X141" i="35"/>
  <c r="X142" i="35"/>
  <c r="X143" i="35"/>
  <c r="X144" i="35"/>
  <c r="X149" i="35"/>
  <c r="X150" i="35"/>
  <c r="X160" i="35"/>
  <c r="X161" i="35"/>
  <c r="X192" i="35"/>
  <c r="X193" i="35"/>
  <c r="X194" i="35"/>
  <c r="X195" i="35"/>
  <c r="X196" i="35"/>
  <c r="X197" i="35"/>
  <c r="X198" i="35"/>
  <c r="X199" i="35"/>
  <c r="X200" i="35"/>
  <c r="X201" i="35"/>
  <c r="X202" i="35"/>
  <c r="X203" i="35"/>
  <c r="X204" i="35"/>
  <c r="X205" i="35"/>
  <c r="X206" i="35"/>
  <c r="X207" i="35"/>
  <c r="X208" i="35"/>
  <c r="X209" i="35"/>
  <c r="X210" i="35"/>
  <c r="X211" i="35"/>
  <c r="X212" i="35"/>
  <c r="X213" i="35"/>
  <c r="X216" i="35"/>
  <c r="X217" i="35"/>
  <c r="X218" i="35"/>
  <c r="X219" i="35"/>
  <c r="X220" i="35"/>
  <c r="X221" i="35"/>
  <c r="X224" i="35"/>
  <c r="X225" i="35"/>
  <c r="X230" i="35"/>
  <c r="X231" i="35"/>
  <c r="X232" i="35"/>
  <c r="X233" i="35"/>
  <c r="X234" i="35"/>
  <c r="X235" i="35"/>
  <c r="X236" i="35"/>
  <c r="X237" i="35"/>
  <c r="X238" i="35"/>
  <c r="X239" i="35"/>
  <c r="X240" i="35"/>
  <c r="X241" i="35"/>
  <c r="X242" i="35"/>
  <c r="X243" i="35"/>
  <c r="X2423" i="35"/>
  <c r="W5" i="35"/>
  <c r="W6" i="35"/>
  <c r="W7" i="35"/>
  <c r="W8" i="35"/>
  <c r="W9" i="35"/>
  <c r="W10" i="35"/>
  <c r="W11" i="35"/>
  <c r="W12" i="35"/>
  <c r="W13" i="35"/>
  <c r="W14" i="35"/>
  <c r="W15" i="35"/>
  <c r="W16" i="35"/>
  <c r="W17" i="35"/>
  <c r="W18" i="35"/>
  <c r="W19" i="35"/>
  <c r="W20" i="35"/>
  <c r="W21" i="35"/>
  <c r="W22" i="35"/>
  <c r="W23" i="35"/>
  <c r="W24" i="35"/>
  <c r="W25" i="35"/>
  <c r="W26" i="35"/>
  <c r="W27" i="35"/>
  <c r="W28" i="35"/>
  <c r="W29" i="35"/>
  <c r="W30" i="35"/>
  <c r="W31" i="35"/>
  <c r="W32" i="35"/>
  <c r="W33" i="35"/>
  <c r="W34" i="35"/>
  <c r="W35" i="35"/>
  <c r="W36" i="35"/>
  <c r="W38" i="35"/>
  <c r="W39" i="35"/>
  <c r="W40" i="35"/>
  <c r="W44" i="35"/>
  <c r="W45" i="35"/>
  <c r="W46" i="35"/>
  <c r="W48" i="35"/>
  <c r="W50" i="35"/>
  <c r="W52" i="35"/>
  <c r="W54" i="35"/>
  <c r="W55" i="35"/>
  <c r="W56" i="35"/>
  <c r="W57" i="35"/>
  <c r="W60" i="35"/>
  <c r="W62" i="35"/>
  <c r="W68" i="35"/>
  <c r="W70" i="35"/>
  <c r="W72" i="35"/>
  <c r="W74" i="35"/>
  <c r="W63" i="35"/>
  <c r="W64" i="35"/>
  <c r="W65" i="35"/>
  <c r="W66" i="35"/>
  <c r="W76" i="35"/>
  <c r="W78" i="35"/>
  <c r="W80" i="35"/>
  <c r="W82" i="35"/>
  <c r="W84" i="35"/>
  <c r="W86" i="35"/>
  <c r="W88" i="35"/>
  <c r="W90" i="35"/>
  <c r="W92" i="35"/>
  <c r="W94" i="35"/>
  <c r="W95" i="35"/>
  <c r="W96" i="35"/>
  <c r="W98" i="35"/>
  <c r="W101" i="35"/>
  <c r="W102" i="35"/>
  <c r="W103" i="35"/>
  <c r="W104" i="35"/>
  <c r="W107" i="35"/>
  <c r="W108" i="35"/>
  <c r="W111" i="35"/>
  <c r="W112" i="35"/>
  <c r="W113" i="35"/>
  <c r="W114" i="35"/>
  <c r="W115" i="35"/>
  <c r="W116" i="35"/>
  <c r="W117" i="35"/>
  <c r="W118" i="35"/>
  <c r="W119" i="35"/>
  <c r="W120" i="35"/>
  <c r="W121" i="35"/>
  <c r="W122" i="35"/>
  <c r="W126" i="35"/>
  <c r="W130" i="35"/>
  <c r="W134" i="35"/>
  <c r="W136" i="35"/>
  <c r="W141" i="35"/>
  <c r="W142" i="35"/>
  <c r="W143" i="35"/>
  <c r="W144" i="35"/>
  <c r="W150" i="35"/>
  <c r="W161" i="35"/>
  <c r="W192" i="35"/>
  <c r="W193" i="35"/>
  <c r="W194" i="35"/>
  <c r="W195" i="35"/>
  <c r="W196" i="35"/>
  <c r="W197" i="35"/>
  <c r="W198" i="35"/>
  <c r="W199" i="35"/>
  <c r="W200" i="35"/>
  <c r="W201" i="35"/>
  <c r="W202" i="35"/>
  <c r="W203" i="35"/>
  <c r="W204" i="35"/>
  <c r="W205" i="35"/>
  <c r="W206" i="35"/>
  <c r="W207" i="35"/>
  <c r="W208" i="35"/>
  <c r="W209" i="35"/>
  <c r="W210" i="35"/>
  <c r="W211" i="35"/>
  <c r="W212" i="35"/>
  <c r="W213" i="35"/>
  <c r="W217" i="35"/>
  <c r="W219" i="35"/>
  <c r="W221" i="35"/>
  <c r="W225" i="35"/>
  <c r="W231" i="35"/>
  <c r="W233" i="35"/>
  <c r="W235" i="35"/>
  <c r="W237" i="35"/>
  <c r="W239" i="35"/>
  <c r="W241" i="35"/>
  <c r="W243" i="35"/>
  <c r="W2423" i="35"/>
  <c r="V5" i="35"/>
  <c r="V6" i="35"/>
  <c r="V7" i="35"/>
  <c r="V8" i="35"/>
  <c r="V9" i="35"/>
  <c r="V10" i="35"/>
  <c r="V11" i="35"/>
  <c r="V12" i="35"/>
  <c r="V13" i="35"/>
  <c r="V14" i="35"/>
  <c r="V15" i="35"/>
  <c r="V16" i="35"/>
  <c r="V17" i="35"/>
  <c r="V18" i="35"/>
  <c r="V19" i="35"/>
  <c r="V20" i="35"/>
  <c r="V21" i="35"/>
  <c r="V22" i="35"/>
  <c r="V23" i="35"/>
  <c r="V24" i="35"/>
  <c r="V25" i="35"/>
  <c r="V26" i="35"/>
  <c r="V27" i="35"/>
  <c r="V28" i="35"/>
  <c r="V29" i="35"/>
  <c r="V30" i="35"/>
  <c r="V31" i="35"/>
  <c r="V32" i="35"/>
  <c r="V33" i="35"/>
  <c r="V34" i="35"/>
  <c r="V35" i="35"/>
  <c r="V36" i="35"/>
  <c r="V38" i="35"/>
  <c r="V39" i="35"/>
  <c r="V40" i="35"/>
  <c r="V44" i="35"/>
  <c r="V45" i="35"/>
  <c r="V46" i="35"/>
  <c r="V48" i="35"/>
  <c r="V50" i="35"/>
  <c r="V52" i="35"/>
  <c r="V54" i="35"/>
  <c r="V55" i="35"/>
  <c r="V56" i="35"/>
  <c r="V57" i="35"/>
  <c r="V60" i="35"/>
  <c r="V62" i="35"/>
  <c r="V68" i="35"/>
  <c r="V70" i="35"/>
  <c r="V72" i="35"/>
  <c r="V74" i="35"/>
  <c r="V63" i="35"/>
  <c r="V64" i="35"/>
  <c r="V65" i="35"/>
  <c r="V66" i="35"/>
  <c r="V76" i="35"/>
  <c r="V78" i="35"/>
  <c r="V80" i="35"/>
  <c r="V82" i="35"/>
  <c r="V84" i="35"/>
  <c r="V86" i="35"/>
  <c r="V88" i="35"/>
  <c r="V90" i="35"/>
  <c r="V92" i="35"/>
  <c r="V94" i="35"/>
  <c r="V96" i="35"/>
  <c r="V98" i="35"/>
  <c r="V101" i="35"/>
  <c r="V102" i="35"/>
  <c r="V103" i="35"/>
  <c r="V104" i="35"/>
  <c r="V107" i="35"/>
  <c r="V108" i="35"/>
  <c r="V111" i="35"/>
  <c r="V112" i="35"/>
  <c r="V113" i="35"/>
  <c r="V114" i="35"/>
  <c r="V115" i="35"/>
  <c r="V116" i="35"/>
  <c r="V117" i="35"/>
  <c r="V118" i="35"/>
  <c r="V119" i="35"/>
  <c r="V120" i="35"/>
  <c r="V121" i="35"/>
  <c r="V122" i="35"/>
  <c r="V126" i="35"/>
  <c r="V130" i="35"/>
  <c r="V134" i="35"/>
  <c r="V136" i="35"/>
  <c r="V141" i="35"/>
  <c r="V142" i="35"/>
  <c r="V143" i="35"/>
  <c r="V144" i="35"/>
  <c r="V150" i="35"/>
  <c r="V161" i="35"/>
  <c r="V192" i="35"/>
  <c r="V193" i="35"/>
  <c r="V194" i="35"/>
  <c r="V195" i="35"/>
  <c r="V196" i="35"/>
  <c r="V197" i="35"/>
  <c r="V198" i="35"/>
  <c r="V199" i="35"/>
  <c r="V200" i="35"/>
  <c r="V201" i="35"/>
  <c r="V202" i="35"/>
  <c r="V203" i="35"/>
  <c r="V204" i="35"/>
  <c r="V205" i="35"/>
  <c r="V206" i="35"/>
  <c r="V207" i="35"/>
  <c r="V208" i="35"/>
  <c r="V209" i="35"/>
  <c r="V210" i="35"/>
  <c r="V211" i="35"/>
  <c r="V212" i="35"/>
  <c r="V213" i="35"/>
  <c r="V217" i="35"/>
  <c r="V219" i="35"/>
  <c r="V221" i="35"/>
  <c r="V225" i="35"/>
  <c r="V231" i="35"/>
  <c r="V233" i="35"/>
  <c r="V235" i="35"/>
  <c r="V237" i="35"/>
  <c r="V239" i="35"/>
  <c r="V241" i="35"/>
  <c r="V243" i="35"/>
  <c r="V2423" i="35"/>
  <c r="U5" i="35"/>
  <c r="U6" i="35"/>
  <c r="U7" i="35"/>
  <c r="U8" i="35"/>
  <c r="U9" i="35"/>
  <c r="U10" i="35"/>
  <c r="U11" i="35"/>
  <c r="U12" i="35"/>
  <c r="U13" i="35"/>
  <c r="U14" i="35"/>
  <c r="U15" i="35"/>
  <c r="U16" i="35"/>
  <c r="U17" i="35"/>
  <c r="U18" i="35"/>
  <c r="U19" i="35"/>
  <c r="U20" i="35"/>
  <c r="U21" i="35"/>
  <c r="U22" i="35"/>
  <c r="U23" i="35"/>
  <c r="U24" i="35"/>
  <c r="U25" i="35"/>
  <c r="U26" i="35"/>
  <c r="U27" i="35"/>
  <c r="U28" i="35"/>
  <c r="U29" i="35"/>
  <c r="U30" i="35"/>
  <c r="U31" i="35"/>
  <c r="U32" i="35"/>
  <c r="U33" i="35"/>
  <c r="U34" i="35"/>
  <c r="U35" i="35"/>
  <c r="U36" i="35"/>
  <c r="U37" i="35"/>
  <c r="U38" i="35"/>
  <c r="U39" i="35"/>
  <c r="U40" i="35"/>
  <c r="U41" i="35"/>
  <c r="U44" i="35"/>
  <c r="U45" i="35"/>
  <c r="U46" i="35"/>
  <c r="U47" i="35"/>
  <c r="U48" i="35"/>
  <c r="U49" i="35"/>
  <c r="U50" i="35"/>
  <c r="U51" i="35"/>
  <c r="U52" i="35"/>
  <c r="U53" i="35"/>
  <c r="U54" i="35"/>
  <c r="U55" i="35"/>
  <c r="U56" i="35"/>
  <c r="U57" i="35"/>
  <c r="U60" i="35"/>
  <c r="U61" i="35"/>
  <c r="U62" i="35"/>
  <c r="U67" i="35"/>
  <c r="U68" i="35"/>
  <c r="U69" i="35"/>
  <c r="U70" i="35"/>
  <c r="U71" i="35"/>
  <c r="U72" i="35"/>
  <c r="U73" i="35"/>
  <c r="U74" i="35"/>
  <c r="U63" i="35"/>
  <c r="U64" i="35"/>
  <c r="U65" i="35"/>
  <c r="U66" i="35"/>
  <c r="U75" i="35"/>
  <c r="U76" i="35"/>
  <c r="U77" i="35"/>
  <c r="U78" i="35"/>
  <c r="U79" i="35"/>
  <c r="U80" i="35"/>
  <c r="U81" i="35"/>
  <c r="U82" i="35"/>
  <c r="U83" i="35"/>
  <c r="U84" i="35"/>
  <c r="U85" i="35"/>
  <c r="U86" i="35"/>
  <c r="U87" i="35"/>
  <c r="U88" i="35"/>
  <c r="U90" i="35"/>
  <c r="U91" i="35"/>
  <c r="U92" i="35"/>
  <c r="U93" i="35"/>
  <c r="U94" i="35"/>
  <c r="U95" i="35"/>
  <c r="U96" i="35"/>
  <c r="U97" i="35"/>
  <c r="U98" i="35"/>
  <c r="U101" i="35"/>
  <c r="U102" i="35"/>
  <c r="U103" i="35"/>
  <c r="U104" i="35"/>
  <c r="U107" i="35"/>
  <c r="U108" i="35"/>
  <c r="U111" i="35"/>
  <c r="U112" i="35"/>
  <c r="U113" i="35"/>
  <c r="U114" i="35"/>
  <c r="U115" i="35"/>
  <c r="U116" i="35"/>
  <c r="U117" i="35"/>
  <c r="U118" i="35"/>
  <c r="U119" i="35"/>
  <c r="U120" i="35"/>
  <c r="U121" i="35"/>
  <c r="U122" i="35"/>
  <c r="U125" i="35"/>
  <c r="U126" i="35"/>
  <c r="U129" i="35"/>
  <c r="U130" i="35"/>
  <c r="U133" i="35"/>
  <c r="U134" i="35"/>
  <c r="U136" i="35"/>
  <c r="U141" i="35"/>
  <c r="U142" i="35"/>
  <c r="U143" i="35"/>
  <c r="U144" i="35"/>
  <c r="U149" i="35"/>
  <c r="U150" i="35"/>
  <c r="U160" i="35"/>
  <c r="U161" i="35"/>
  <c r="U192" i="35"/>
  <c r="U193" i="35"/>
  <c r="U194" i="35"/>
  <c r="U195" i="35"/>
  <c r="U196" i="35"/>
  <c r="U197" i="35"/>
  <c r="U198" i="35"/>
  <c r="U199" i="35"/>
  <c r="U200" i="35"/>
  <c r="U201" i="35"/>
  <c r="U202" i="35"/>
  <c r="U203" i="35"/>
  <c r="U204" i="35"/>
  <c r="U205" i="35"/>
  <c r="U206" i="35"/>
  <c r="U207" i="35"/>
  <c r="U208" i="35"/>
  <c r="U209" i="35"/>
  <c r="U210" i="35"/>
  <c r="U211" i="35"/>
  <c r="U212" i="35"/>
  <c r="U213" i="35"/>
  <c r="U216" i="35"/>
  <c r="U217" i="35"/>
  <c r="U218" i="35"/>
  <c r="U219" i="35"/>
  <c r="U220" i="35"/>
  <c r="U221" i="35"/>
  <c r="U224" i="35"/>
  <c r="U225" i="35"/>
  <c r="U230" i="35"/>
  <c r="U231" i="35"/>
  <c r="U232" i="35"/>
  <c r="U233" i="35"/>
  <c r="U234" i="35"/>
  <c r="U235" i="35"/>
  <c r="U236" i="35"/>
  <c r="U237" i="35"/>
  <c r="U238" i="35"/>
  <c r="U239" i="35"/>
  <c r="U240" i="35"/>
  <c r="U241" i="35"/>
  <c r="U242" i="35"/>
  <c r="U243" i="35"/>
  <c r="U2423" i="35"/>
  <c r="S5" i="35"/>
  <c r="S6" i="35"/>
  <c r="S7" i="35"/>
  <c r="S8" i="35"/>
  <c r="S9" i="35"/>
  <c r="S10" i="35"/>
  <c r="S11" i="35"/>
  <c r="S12" i="35"/>
  <c r="S13" i="35"/>
  <c r="S14" i="35"/>
  <c r="S15" i="35"/>
  <c r="S16" i="35"/>
  <c r="S17" i="35"/>
  <c r="S18" i="35"/>
  <c r="S19" i="35"/>
  <c r="S20" i="35"/>
  <c r="S21" i="35"/>
  <c r="S22" i="35"/>
  <c r="S23" i="35"/>
  <c r="S24" i="35"/>
  <c r="S25" i="35"/>
  <c r="S26" i="35"/>
  <c r="S27" i="35"/>
  <c r="S28" i="35"/>
  <c r="S29" i="35"/>
  <c r="S30" i="35"/>
  <c r="S31" i="35"/>
  <c r="S32" i="35"/>
  <c r="S33" i="35"/>
  <c r="S34" i="35"/>
  <c r="S35" i="35"/>
  <c r="S36" i="35"/>
  <c r="S37" i="35"/>
  <c r="S38" i="35"/>
  <c r="S39" i="35"/>
  <c r="S40" i="35"/>
  <c r="S41" i="35"/>
  <c r="S44" i="35"/>
  <c r="S45" i="35"/>
  <c r="S46" i="35"/>
  <c r="S47" i="35"/>
  <c r="S48" i="35"/>
  <c r="S49" i="35"/>
  <c r="S50" i="35"/>
  <c r="S51" i="35"/>
  <c r="S52" i="35"/>
  <c r="S53" i="35"/>
  <c r="S54" i="35"/>
  <c r="S55" i="35"/>
  <c r="S56" i="35"/>
  <c r="S57" i="35"/>
  <c r="S60" i="35"/>
  <c r="S61" i="35"/>
  <c r="S62" i="35"/>
  <c r="S67" i="35"/>
  <c r="S68" i="35"/>
  <c r="S69" i="35"/>
  <c r="S70" i="35"/>
  <c r="S71" i="35"/>
  <c r="S72" i="35"/>
  <c r="S73" i="35"/>
  <c r="S74" i="35"/>
  <c r="S63" i="35"/>
  <c r="S64" i="35"/>
  <c r="S65" i="35"/>
  <c r="S66" i="35"/>
  <c r="S75" i="35"/>
  <c r="S76" i="35"/>
  <c r="S77" i="35"/>
  <c r="S78" i="35"/>
  <c r="S79" i="35"/>
  <c r="S80" i="35"/>
  <c r="S81" i="35"/>
  <c r="S82" i="35"/>
  <c r="S83" i="35"/>
  <c r="S84" i="35"/>
  <c r="S85" i="35"/>
  <c r="S86" i="35"/>
  <c r="S87" i="35"/>
  <c r="S88" i="35"/>
  <c r="S90" i="35"/>
  <c r="S91" i="35"/>
  <c r="S92" i="35"/>
  <c r="S93" i="35"/>
  <c r="S94" i="35"/>
  <c r="S95" i="35"/>
  <c r="S96" i="35"/>
  <c r="S97" i="35"/>
  <c r="S98" i="35"/>
  <c r="S101" i="35"/>
  <c r="S102" i="35"/>
  <c r="S103" i="35"/>
  <c r="S104" i="35"/>
  <c r="S107" i="35"/>
  <c r="S108" i="35"/>
  <c r="S111" i="35"/>
  <c r="S112" i="35"/>
  <c r="S113" i="35"/>
  <c r="S114" i="35"/>
  <c r="S115" i="35"/>
  <c r="S116" i="35"/>
  <c r="S117" i="35"/>
  <c r="S118" i="35"/>
  <c r="S119" i="35"/>
  <c r="S120" i="35"/>
  <c r="S121" i="35"/>
  <c r="S122" i="35"/>
  <c r="S125" i="35"/>
  <c r="S126" i="35"/>
  <c r="S129" i="35"/>
  <c r="S130" i="35"/>
  <c r="S133" i="35"/>
  <c r="S134" i="35"/>
  <c r="S136" i="35"/>
  <c r="S141" i="35"/>
  <c r="S142" i="35"/>
  <c r="S143" i="35"/>
  <c r="S144" i="35"/>
  <c r="S149" i="35"/>
  <c r="S150" i="35"/>
  <c r="S160" i="35"/>
  <c r="S161" i="35"/>
  <c r="S192" i="35"/>
  <c r="S193" i="35"/>
  <c r="S194" i="35"/>
  <c r="S195" i="35"/>
  <c r="S196" i="35"/>
  <c r="S197" i="35"/>
  <c r="S198" i="35"/>
  <c r="S199" i="35"/>
  <c r="S200" i="35"/>
  <c r="S201" i="35"/>
  <c r="S202" i="35"/>
  <c r="S203" i="35"/>
  <c r="S204" i="35"/>
  <c r="S205" i="35"/>
  <c r="S206" i="35"/>
  <c r="S207" i="35"/>
  <c r="S208" i="35"/>
  <c r="S209" i="35"/>
  <c r="S210" i="35"/>
  <c r="S211" i="35"/>
  <c r="S212" i="35"/>
  <c r="S213" i="35"/>
  <c r="S216" i="35"/>
  <c r="S217" i="35"/>
  <c r="S218" i="35"/>
  <c r="S219" i="35"/>
  <c r="S220" i="35"/>
  <c r="S221" i="35"/>
  <c r="S224" i="35"/>
  <c r="S225" i="35"/>
  <c r="S230" i="35"/>
  <c r="S231" i="35"/>
  <c r="S232" i="35"/>
  <c r="S233" i="35"/>
  <c r="S234" i="35"/>
  <c r="S235" i="35"/>
  <c r="S236" i="35"/>
  <c r="S237" i="35"/>
  <c r="S238" i="35"/>
  <c r="S239" i="35"/>
  <c r="S240" i="35"/>
  <c r="S241" i="35"/>
  <c r="S242" i="35"/>
  <c r="S243" i="35"/>
  <c r="S2423" i="35"/>
  <c r="R5" i="35"/>
  <c r="R6" i="35"/>
  <c r="R7" i="35"/>
  <c r="R8" i="35"/>
  <c r="R9" i="35"/>
  <c r="R10" i="35"/>
  <c r="R11" i="35"/>
  <c r="R12" i="35"/>
  <c r="R13" i="35"/>
  <c r="R14" i="35"/>
  <c r="R15" i="35"/>
  <c r="R16" i="35"/>
  <c r="R17" i="35"/>
  <c r="R18" i="35"/>
  <c r="R19" i="35"/>
  <c r="R20" i="35"/>
  <c r="R21" i="35"/>
  <c r="R22" i="35"/>
  <c r="R23" i="35"/>
  <c r="R24" i="35"/>
  <c r="R25" i="35"/>
  <c r="R26" i="35"/>
  <c r="R27" i="35"/>
  <c r="R28" i="35"/>
  <c r="R29" i="35"/>
  <c r="R30" i="35"/>
  <c r="R31" i="35"/>
  <c r="R32" i="35"/>
  <c r="R33" i="35"/>
  <c r="R34" i="35"/>
  <c r="R35" i="35"/>
  <c r="R36" i="35"/>
  <c r="R37" i="35"/>
  <c r="R38" i="35"/>
  <c r="R39" i="35"/>
  <c r="R40" i="35"/>
  <c r="R41" i="35"/>
  <c r="R44" i="35"/>
  <c r="R45" i="35"/>
  <c r="R46" i="35"/>
  <c r="R47" i="35"/>
  <c r="R48" i="35"/>
  <c r="R49" i="35"/>
  <c r="R50" i="35"/>
  <c r="R51" i="35"/>
  <c r="R52" i="35"/>
  <c r="R53" i="35"/>
  <c r="R54" i="35"/>
  <c r="R55" i="35"/>
  <c r="R56" i="35"/>
  <c r="R57" i="35"/>
  <c r="R60" i="35"/>
  <c r="R61" i="35"/>
  <c r="R62" i="35"/>
  <c r="R67" i="35"/>
  <c r="R68" i="35"/>
  <c r="R69" i="35"/>
  <c r="R70" i="35"/>
  <c r="R71" i="35"/>
  <c r="R72" i="35"/>
  <c r="R73" i="35"/>
  <c r="R74" i="35"/>
  <c r="R63" i="35"/>
  <c r="R64" i="35"/>
  <c r="R65" i="35"/>
  <c r="R66" i="35"/>
  <c r="R75" i="35"/>
  <c r="R76" i="35"/>
  <c r="R77" i="35"/>
  <c r="R78" i="35"/>
  <c r="R79" i="35"/>
  <c r="R80" i="35"/>
  <c r="R81" i="35"/>
  <c r="R82" i="35"/>
  <c r="R83" i="35"/>
  <c r="R84" i="35"/>
  <c r="R85" i="35"/>
  <c r="R86" i="35"/>
  <c r="R87" i="35"/>
  <c r="R88" i="35"/>
  <c r="R90" i="35"/>
  <c r="R91" i="35"/>
  <c r="R92" i="35"/>
  <c r="R93" i="35"/>
  <c r="R94" i="35"/>
  <c r="R95" i="35"/>
  <c r="R96" i="35"/>
  <c r="R97" i="35"/>
  <c r="R98" i="35"/>
  <c r="R101" i="35"/>
  <c r="R102" i="35"/>
  <c r="R103" i="35"/>
  <c r="R104" i="35"/>
  <c r="R107" i="35"/>
  <c r="R108" i="35"/>
  <c r="R111" i="35"/>
  <c r="R112" i="35"/>
  <c r="R113" i="35"/>
  <c r="R114" i="35"/>
  <c r="R115" i="35"/>
  <c r="R116" i="35"/>
  <c r="R117" i="35"/>
  <c r="R118" i="35"/>
  <c r="R119" i="35"/>
  <c r="R120" i="35"/>
  <c r="R121" i="35"/>
  <c r="R122" i="35"/>
  <c r="R125" i="35"/>
  <c r="R126" i="35"/>
  <c r="R129" i="35"/>
  <c r="R130" i="35"/>
  <c r="R133" i="35"/>
  <c r="R134" i="35"/>
  <c r="R136" i="35"/>
  <c r="R141" i="35"/>
  <c r="R142" i="35"/>
  <c r="R143" i="35"/>
  <c r="R144" i="35"/>
  <c r="R149" i="35"/>
  <c r="R150" i="35"/>
  <c r="R160" i="35"/>
  <c r="R161" i="35"/>
  <c r="R192" i="35"/>
  <c r="R193" i="35"/>
  <c r="R194" i="35"/>
  <c r="R195" i="35"/>
  <c r="R196" i="35"/>
  <c r="R197" i="35"/>
  <c r="R198" i="35"/>
  <c r="R199" i="35"/>
  <c r="R200" i="35"/>
  <c r="R201" i="35"/>
  <c r="R202" i="35"/>
  <c r="R203" i="35"/>
  <c r="R204" i="35"/>
  <c r="R205" i="35"/>
  <c r="R206" i="35"/>
  <c r="R207" i="35"/>
  <c r="R208" i="35"/>
  <c r="R209" i="35"/>
  <c r="R210" i="35"/>
  <c r="R211" i="35"/>
  <c r="R212" i="35"/>
  <c r="R213" i="35"/>
  <c r="R216" i="35"/>
  <c r="R217" i="35"/>
  <c r="R218" i="35"/>
  <c r="R219" i="35"/>
  <c r="R220" i="35"/>
  <c r="R221" i="35"/>
  <c r="R224" i="35"/>
  <c r="R225" i="35"/>
  <c r="R230" i="35"/>
  <c r="R231" i="35"/>
  <c r="R232" i="35"/>
  <c r="R233" i="35"/>
  <c r="R234" i="35"/>
  <c r="R235" i="35"/>
  <c r="R236" i="35"/>
  <c r="R237" i="35"/>
  <c r="R238" i="35"/>
  <c r="R239" i="35"/>
  <c r="R240" i="35"/>
  <c r="R241" i="35"/>
  <c r="R242" i="35"/>
  <c r="R243" i="35"/>
  <c r="R2423" i="35"/>
  <c r="Q5" i="35"/>
  <c r="Q6" i="35"/>
  <c r="Q7" i="35"/>
  <c r="Q8" i="35"/>
  <c r="Q9" i="35"/>
  <c r="Q10" i="35"/>
  <c r="Q11" i="35"/>
  <c r="Q12" i="35"/>
  <c r="Q13" i="35"/>
  <c r="Q14" i="35"/>
  <c r="Q15" i="35"/>
  <c r="Q16" i="35"/>
  <c r="Q17" i="35"/>
  <c r="Q18" i="35"/>
  <c r="Q19" i="35"/>
  <c r="Q20" i="35"/>
  <c r="Q21" i="35"/>
  <c r="Q22" i="35"/>
  <c r="Q23" i="35"/>
  <c r="Q24" i="35"/>
  <c r="Q25" i="35"/>
  <c r="Q26" i="35"/>
  <c r="Q27" i="35"/>
  <c r="Q28" i="35"/>
  <c r="Q29" i="35"/>
  <c r="Q30" i="35"/>
  <c r="Q31" i="35"/>
  <c r="Q32" i="35"/>
  <c r="Q33" i="35"/>
  <c r="Q34" i="35"/>
  <c r="Q35" i="35"/>
  <c r="Q36" i="35"/>
  <c r="Q37" i="35"/>
  <c r="Q38" i="35"/>
  <c r="Q39" i="35"/>
  <c r="Q40" i="35"/>
  <c r="Q41" i="35"/>
  <c r="Q44" i="35"/>
  <c r="Q45" i="35"/>
  <c r="Q46" i="35"/>
  <c r="Q47" i="35"/>
  <c r="Q48" i="35"/>
  <c r="Q49" i="35"/>
  <c r="Q50" i="35"/>
  <c r="Q51" i="35"/>
  <c r="Q52" i="35"/>
  <c r="Q53" i="35"/>
  <c r="Q54" i="35"/>
  <c r="Q55" i="35"/>
  <c r="Q56" i="35"/>
  <c r="Q57" i="35"/>
  <c r="Q60" i="35"/>
  <c r="Q61" i="35"/>
  <c r="Q62" i="35"/>
  <c r="Q67" i="35"/>
  <c r="Q68" i="35"/>
  <c r="Q69" i="35"/>
  <c r="Q70" i="35"/>
  <c r="Q71" i="35"/>
  <c r="Q72" i="35"/>
  <c r="Q73" i="35"/>
  <c r="Q74" i="35"/>
  <c r="Q63" i="35"/>
  <c r="Q64" i="35"/>
  <c r="Q65" i="35"/>
  <c r="Q66" i="35"/>
  <c r="Q75" i="35"/>
  <c r="Q76" i="35"/>
  <c r="Q77" i="35"/>
  <c r="Q78" i="35"/>
  <c r="Q79" i="35"/>
  <c r="Q80" i="35"/>
  <c r="Q81" i="35"/>
  <c r="Q82" i="35"/>
  <c r="Q83" i="35"/>
  <c r="Q84" i="35"/>
  <c r="Q85" i="35"/>
  <c r="Q86" i="35"/>
  <c r="Q87" i="35"/>
  <c r="Q88" i="35"/>
  <c r="Q90" i="35"/>
  <c r="Q91" i="35"/>
  <c r="Q92" i="35"/>
  <c r="Q93" i="35"/>
  <c r="Q94" i="35"/>
  <c r="Q95" i="35"/>
  <c r="Q96" i="35"/>
  <c r="Q97" i="35"/>
  <c r="Q98" i="35"/>
  <c r="Q101" i="35"/>
  <c r="Q102" i="35"/>
  <c r="Q103" i="35"/>
  <c r="Q104" i="35"/>
  <c r="Q107" i="35"/>
  <c r="Q108" i="35"/>
  <c r="Q111" i="35"/>
  <c r="Q112" i="35"/>
  <c r="Q113" i="35"/>
  <c r="Q114" i="35"/>
  <c r="Q115" i="35"/>
  <c r="Q116" i="35"/>
  <c r="Q117" i="35"/>
  <c r="Q118" i="35"/>
  <c r="Q119" i="35"/>
  <c r="Q120" i="35"/>
  <c r="Q121" i="35"/>
  <c r="Q122" i="35"/>
  <c r="Q125" i="35"/>
  <c r="Q126" i="35"/>
  <c r="Q129" i="35"/>
  <c r="Q130" i="35"/>
  <c r="Q133" i="35"/>
  <c r="Q134" i="35"/>
  <c r="Q136" i="35"/>
  <c r="Q141" i="35"/>
  <c r="Q142" i="35"/>
  <c r="Q143" i="35"/>
  <c r="Q144" i="35"/>
  <c r="Q149" i="35"/>
  <c r="Q150" i="35"/>
  <c r="Q160" i="35"/>
  <c r="Q161" i="35"/>
  <c r="Q192" i="35"/>
  <c r="Q193" i="35"/>
  <c r="Q194" i="35"/>
  <c r="Q195" i="35"/>
  <c r="Q196" i="35"/>
  <c r="Q197" i="35"/>
  <c r="Q198" i="35"/>
  <c r="Q199" i="35"/>
  <c r="Q200" i="35"/>
  <c r="Q201" i="35"/>
  <c r="Q202" i="35"/>
  <c r="Q203" i="35"/>
  <c r="Q204" i="35"/>
  <c r="Q205" i="35"/>
  <c r="Q206" i="35"/>
  <c r="Q207" i="35"/>
  <c r="Q208" i="35"/>
  <c r="Q209" i="35"/>
  <c r="Q210" i="35"/>
  <c r="Q211" i="35"/>
  <c r="Q212" i="35"/>
  <c r="Q213" i="35"/>
  <c r="Q216" i="35"/>
  <c r="Q217" i="35"/>
  <c r="Q218" i="35"/>
  <c r="Q219" i="35"/>
  <c r="Q220" i="35"/>
  <c r="Q221" i="35"/>
  <c r="Q224" i="35"/>
  <c r="Q225" i="35"/>
  <c r="Q230" i="35"/>
  <c r="Q231" i="35"/>
  <c r="Q232" i="35"/>
  <c r="Q233" i="35"/>
  <c r="Q234" i="35"/>
  <c r="Q235" i="35"/>
  <c r="Q236" i="35"/>
  <c r="Q237" i="35"/>
  <c r="Q238" i="35"/>
  <c r="Q239" i="35"/>
  <c r="Q240" i="35"/>
  <c r="Q241" i="35"/>
  <c r="Q242" i="35"/>
  <c r="Q243" i="35"/>
  <c r="Q2423" i="35"/>
  <c r="L5" i="35"/>
  <c r="L6" i="35"/>
  <c r="L7" i="35"/>
  <c r="L8" i="35"/>
  <c r="L9" i="35"/>
  <c r="L10" i="35"/>
  <c r="L11" i="35"/>
  <c r="L12" i="35"/>
  <c r="L13" i="35"/>
  <c r="L14" i="35"/>
  <c r="L16" i="35"/>
  <c r="L18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8" i="35"/>
  <c r="L40" i="35"/>
  <c r="L44" i="35"/>
  <c r="L45" i="35"/>
  <c r="L46" i="35"/>
  <c r="L48" i="35"/>
  <c r="L50" i="35"/>
  <c r="L52" i="35"/>
  <c r="L54" i="35"/>
  <c r="L55" i="35"/>
  <c r="L56" i="35"/>
  <c r="L57" i="35"/>
  <c r="L60" i="35"/>
  <c r="L62" i="35"/>
  <c r="L68" i="35"/>
  <c r="L70" i="35"/>
  <c r="L72" i="35"/>
  <c r="L74" i="35"/>
  <c r="L63" i="35"/>
  <c r="L64" i="35"/>
  <c r="L65" i="35"/>
  <c r="L66" i="35"/>
  <c r="L76" i="35"/>
  <c r="L78" i="35"/>
  <c r="L80" i="35"/>
  <c r="L82" i="35"/>
  <c r="L84" i="35"/>
  <c r="L86" i="35"/>
  <c r="L88" i="35"/>
  <c r="L90" i="35"/>
  <c r="L91" i="35"/>
  <c r="L92" i="35"/>
  <c r="L94" i="35"/>
  <c r="L96" i="35"/>
  <c r="L97" i="35"/>
  <c r="L98" i="35"/>
  <c r="L102" i="35"/>
  <c r="L104" i="35"/>
  <c r="L108" i="35"/>
  <c r="L111" i="35"/>
  <c r="L112" i="35"/>
  <c r="L114" i="35"/>
  <c r="L115" i="35"/>
  <c r="L116" i="35"/>
  <c r="L117" i="35"/>
  <c r="L118" i="35"/>
  <c r="L119" i="35"/>
  <c r="L120" i="35"/>
  <c r="L121" i="35"/>
  <c r="L122" i="35"/>
  <c r="L126" i="35"/>
  <c r="L130" i="35"/>
  <c r="L134" i="35"/>
  <c r="L136" i="35"/>
  <c r="L141" i="35"/>
  <c r="L142" i="35"/>
  <c r="L143" i="35"/>
  <c r="L144" i="35"/>
  <c r="L150" i="35"/>
  <c r="L161" i="35"/>
  <c r="L192" i="35"/>
  <c r="L193" i="35"/>
  <c r="L194" i="35"/>
  <c r="L195" i="35"/>
  <c r="L196" i="35"/>
  <c r="L197" i="35"/>
  <c r="L198" i="35"/>
  <c r="L199" i="35"/>
  <c r="L201" i="35"/>
  <c r="L202" i="35"/>
  <c r="L203" i="35"/>
  <c r="L204" i="35"/>
  <c r="L205" i="35"/>
  <c r="L206" i="35"/>
  <c r="L207" i="35"/>
  <c r="L208" i="35"/>
  <c r="L209" i="35"/>
  <c r="L210" i="35"/>
  <c r="L211" i="35"/>
  <c r="L212" i="35"/>
  <c r="L213" i="35"/>
  <c r="L217" i="35"/>
  <c r="L219" i="35"/>
  <c r="L221" i="35"/>
  <c r="L225" i="35"/>
  <c r="L231" i="35"/>
  <c r="L233" i="35"/>
  <c r="L235" i="35"/>
  <c r="L237" i="35"/>
  <c r="L239" i="35"/>
  <c r="L241" i="35"/>
  <c r="L243" i="35"/>
  <c r="L2423" i="35"/>
  <c r="I5" i="35"/>
  <c r="I6" i="35"/>
  <c r="I7" i="35"/>
  <c r="I8" i="35"/>
  <c r="I9" i="35"/>
  <c r="I10" i="35"/>
  <c r="I11" i="35"/>
  <c r="I12" i="35"/>
  <c r="I13" i="35"/>
  <c r="I14" i="35"/>
  <c r="I16" i="35"/>
  <c r="I18" i="35"/>
  <c r="I20" i="35"/>
  <c r="I21" i="35"/>
  <c r="I22" i="35"/>
  <c r="I23" i="35"/>
  <c r="I24" i="35"/>
  <c r="I25" i="35"/>
  <c r="I26" i="35"/>
  <c r="I27" i="35"/>
  <c r="I28" i="35"/>
  <c r="I29" i="35"/>
  <c r="I30" i="35"/>
  <c r="I31" i="35"/>
  <c r="I32" i="35"/>
  <c r="I33" i="35"/>
  <c r="I34" i="35"/>
  <c r="I35" i="35"/>
  <c r="I36" i="35"/>
  <c r="I38" i="35"/>
  <c r="I39" i="35"/>
  <c r="I40" i="35"/>
  <c r="I44" i="35"/>
  <c r="I45" i="35"/>
  <c r="I46" i="35"/>
  <c r="I48" i="35"/>
  <c r="I50" i="35"/>
  <c r="I52" i="35"/>
  <c r="I54" i="35"/>
  <c r="I55" i="35"/>
  <c r="I56" i="35"/>
  <c r="I57" i="35"/>
  <c r="I60" i="35"/>
  <c r="I62" i="35"/>
  <c r="I68" i="35"/>
  <c r="I70" i="35"/>
  <c r="I72" i="35"/>
  <c r="I74" i="35"/>
  <c r="I63" i="35"/>
  <c r="I64" i="35"/>
  <c r="I65" i="35"/>
  <c r="I66" i="35"/>
  <c r="I76" i="35"/>
  <c r="I78" i="35"/>
  <c r="I80" i="35"/>
  <c r="I82" i="35"/>
  <c r="I84" i="35"/>
  <c r="I86" i="35"/>
  <c r="I88" i="35"/>
  <c r="I90" i="35"/>
  <c r="I91" i="35"/>
  <c r="I92" i="35"/>
  <c r="I93" i="35"/>
  <c r="I94" i="35"/>
  <c r="I95" i="35"/>
  <c r="I96" i="35"/>
  <c r="I97" i="35"/>
  <c r="I98" i="35"/>
  <c r="I102" i="35"/>
  <c r="I104" i="35"/>
  <c r="I108" i="35"/>
  <c r="I111" i="35"/>
  <c r="I112" i="35"/>
  <c r="I114" i="35"/>
  <c r="I115" i="35"/>
  <c r="I116" i="35"/>
  <c r="I117" i="35"/>
  <c r="I118" i="35"/>
  <c r="I119" i="35"/>
  <c r="I120" i="35"/>
  <c r="I121" i="35"/>
  <c r="I122" i="35"/>
  <c r="I126" i="35"/>
  <c r="I130" i="35"/>
  <c r="I134" i="35"/>
  <c r="I136" i="35"/>
  <c r="I141" i="35"/>
  <c r="I142" i="35"/>
  <c r="I143" i="35"/>
  <c r="I144" i="35"/>
  <c r="I150" i="35"/>
  <c r="I161" i="35"/>
  <c r="I192" i="35"/>
  <c r="I193" i="35"/>
  <c r="I194" i="35"/>
  <c r="I195" i="35"/>
  <c r="I196" i="35"/>
  <c r="I197" i="35"/>
  <c r="I199" i="35"/>
  <c r="I201" i="35"/>
  <c r="I202" i="35"/>
  <c r="I203" i="35"/>
  <c r="I204" i="35"/>
  <c r="I205" i="35"/>
  <c r="I206" i="35"/>
  <c r="I207" i="35"/>
  <c r="I208" i="35"/>
  <c r="I209" i="35"/>
  <c r="I210" i="35"/>
  <c r="I211" i="35"/>
  <c r="I212" i="35"/>
  <c r="I213" i="35"/>
  <c r="I217" i="35"/>
  <c r="I219" i="35"/>
  <c r="I221" i="35"/>
  <c r="I225" i="35"/>
  <c r="I231" i="35"/>
  <c r="I233" i="35"/>
  <c r="I235" i="35"/>
  <c r="I237" i="35"/>
  <c r="I239" i="35"/>
  <c r="I241" i="35"/>
  <c r="I243" i="35"/>
  <c r="I2423" i="35"/>
  <c r="H5" i="35"/>
  <c r="H6" i="35"/>
  <c r="H7" i="35"/>
  <c r="H8" i="35"/>
  <c r="H9" i="35"/>
  <c r="H10" i="35"/>
  <c r="H11" i="35"/>
  <c r="H12" i="35"/>
  <c r="H13" i="35"/>
  <c r="H14" i="35"/>
  <c r="H16" i="35"/>
  <c r="H18" i="35"/>
  <c r="H20" i="35"/>
  <c r="H21" i="35"/>
  <c r="H22" i="35"/>
  <c r="H23" i="35"/>
  <c r="H24" i="35"/>
  <c r="H25" i="35"/>
  <c r="H26" i="35"/>
  <c r="H27" i="35"/>
  <c r="H28" i="35"/>
  <c r="H29" i="35"/>
  <c r="H30" i="35"/>
  <c r="H31" i="35"/>
  <c r="H32" i="35"/>
  <c r="H33" i="35"/>
  <c r="H34" i="35"/>
  <c r="H35" i="35"/>
  <c r="H36" i="35"/>
  <c r="H38" i="35"/>
  <c r="H39" i="35"/>
  <c r="H40" i="35"/>
  <c r="H44" i="35"/>
  <c r="H45" i="35"/>
  <c r="H46" i="35"/>
  <c r="H48" i="35"/>
  <c r="H50" i="35"/>
  <c r="H52" i="35"/>
  <c r="H54" i="35"/>
  <c r="H55" i="35"/>
  <c r="H56" i="35"/>
  <c r="H57" i="35"/>
  <c r="H60" i="35"/>
  <c r="H62" i="35"/>
  <c r="H68" i="35"/>
  <c r="H70" i="35"/>
  <c r="H72" i="35"/>
  <c r="H74" i="35"/>
  <c r="H63" i="35"/>
  <c r="H64" i="35"/>
  <c r="H65" i="35"/>
  <c r="H66" i="35"/>
  <c r="H76" i="35"/>
  <c r="H78" i="35"/>
  <c r="H80" i="35"/>
  <c r="H82" i="35"/>
  <c r="H84" i="35"/>
  <c r="H86" i="35"/>
  <c r="H88" i="35"/>
  <c r="H90" i="35"/>
  <c r="H91" i="35"/>
  <c r="H92" i="35"/>
  <c r="H93" i="35"/>
  <c r="H94" i="35"/>
  <c r="H95" i="35"/>
  <c r="H96" i="35"/>
  <c r="H97" i="35"/>
  <c r="H98" i="35"/>
  <c r="H102" i="35"/>
  <c r="H104" i="35"/>
  <c r="H108" i="35"/>
  <c r="H111" i="35"/>
  <c r="H112" i="35"/>
  <c r="H114" i="35"/>
  <c r="H115" i="35"/>
  <c r="H116" i="35"/>
  <c r="H117" i="35"/>
  <c r="H118" i="35"/>
  <c r="H119" i="35"/>
  <c r="H120" i="35"/>
  <c r="H121" i="35"/>
  <c r="H122" i="35"/>
  <c r="H126" i="35"/>
  <c r="H130" i="35"/>
  <c r="H134" i="35"/>
  <c r="H136" i="35"/>
  <c r="H141" i="35"/>
  <c r="H142" i="35"/>
  <c r="H143" i="35"/>
  <c r="H144" i="35"/>
  <c r="H150" i="35"/>
  <c r="H161" i="35"/>
  <c r="H192" i="35"/>
  <c r="H193" i="35"/>
  <c r="H194" i="35"/>
  <c r="H195" i="35"/>
  <c r="H196" i="35"/>
  <c r="H197" i="35"/>
  <c r="H198" i="35"/>
  <c r="H199" i="35"/>
  <c r="H201" i="35"/>
  <c r="H202" i="35"/>
  <c r="H203" i="35"/>
  <c r="H204" i="35"/>
  <c r="H205" i="35"/>
  <c r="H206" i="35"/>
  <c r="H207" i="35"/>
  <c r="H208" i="35"/>
  <c r="H209" i="35"/>
  <c r="H210" i="35"/>
  <c r="H211" i="35"/>
  <c r="H212" i="35"/>
  <c r="H213" i="35"/>
  <c r="H217" i="35"/>
  <c r="H219" i="35"/>
  <c r="H221" i="35"/>
  <c r="H225" i="35"/>
  <c r="H231" i="35"/>
  <c r="H233" i="35"/>
  <c r="H235" i="35"/>
  <c r="H237" i="35"/>
  <c r="H239" i="35"/>
  <c r="H241" i="35"/>
  <c r="H243" i="35"/>
  <c r="H2423" i="35"/>
  <c r="G5" i="35"/>
  <c r="G6" i="35"/>
  <c r="G7" i="35"/>
  <c r="G8" i="35"/>
  <c r="G9" i="35"/>
  <c r="G10" i="35"/>
  <c r="G11" i="35"/>
  <c r="G12" i="35"/>
  <c r="G13" i="35"/>
  <c r="G14" i="35"/>
  <c r="G16" i="35"/>
  <c r="G18" i="35"/>
  <c r="G20" i="35"/>
  <c r="G21" i="35"/>
  <c r="G22" i="35"/>
  <c r="G23" i="35"/>
  <c r="G24" i="35"/>
  <c r="G25" i="35"/>
  <c r="G26" i="35"/>
  <c r="G27" i="35"/>
  <c r="G28" i="35"/>
  <c r="G29" i="35"/>
  <c r="G30" i="35"/>
  <c r="G31" i="35"/>
  <c r="G32" i="35"/>
  <c r="G33" i="35"/>
  <c r="G34" i="35"/>
  <c r="G35" i="35"/>
  <c r="G36" i="35"/>
  <c r="G38" i="35"/>
  <c r="G39" i="35"/>
  <c r="G40" i="35"/>
  <c r="G44" i="35"/>
  <c r="G45" i="35"/>
  <c r="G46" i="35"/>
  <c r="G48" i="35"/>
  <c r="G50" i="35"/>
  <c r="G52" i="35"/>
  <c r="G54" i="35"/>
  <c r="G55" i="35"/>
  <c r="G56" i="35"/>
  <c r="G57" i="35"/>
  <c r="G60" i="35"/>
  <c r="G62" i="35"/>
  <c r="G68" i="35"/>
  <c r="G70" i="35"/>
  <c r="G72" i="35"/>
  <c r="G74" i="35"/>
  <c r="G63" i="35"/>
  <c r="G64" i="35"/>
  <c r="G65" i="35"/>
  <c r="G66" i="35"/>
  <c r="G76" i="35"/>
  <c r="G78" i="35"/>
  <c r="G80" i="35"/>
  <c r="G82" i="35"/>
  <c r="G84" i="35"/>
  <c r="G86" i="35"/>
  <c r="G88" i="35"/>
  <c r="G90" i="35"/>
  <c r="G91" i="35"/>
  <c r="G92" i="35"/>
  <c r="G93" i="35"/>
  <c r="G94" i="35"/>
  <c r="G96" i="35"/>
  <c r="G97" i="35"/>
  <c r="G98" i="35"/>
  <c r="G102" i="35"/>
  <c r="G104" i="35"/>
  <c r="G108" i="35"/>
  <c r="G111" i="35"/>
  <c r="G112" i="35"/>
  <c r="G114" i="35"/>
  <c r="G115" i="35"/>
  <c r="G116" i="35"/>
  <c r="G117" i="35"/>
  <c r="G118" i="35"/>
  <c r="G119" i="35"/>
  <c r="G120" i="35"/>
  <c r="G121" i="35"/>
  <c r="G122" i="35"/>
  <c r="G126" i="35"/>
  <c r="G130" i="35"/>
  <c r="G134" i="35"/>
  <c r="G136" i="35"/>
  <c r="G141" i="35"/>
  <c r="G142" i="35"/>
  <c r="G143" i="35"/>
  <c r="G144" i="35"/>
  <c r="G150" i="35"/>
  <c r="G161" i="35"/>
  <c r="G192" i="35"/>
  <c r="G193" i="35"/>
  <c r="G194" i="35"/>
  <c r="G195" i="35"/>
  <c r="G196" i="35"/>
  <c r="G197" i="35"/>
  <c r="G198" i="35"/>
  <c r="G199" i="35"/>
  <c r="G201" i="35"/>
  <c r="G202" i="35"/>
  <c r="G203" i="35"/>
  <c r="G204" i="35"/>
  <c r="G205" i="35"/>
  <c r="G206" i="35"/>
  <c r="G207" i="35"/>
  <c r="G208" i="35"/>
  <c r="G209" i="35"/>
  <c r="G210" i="35"/>
  <c r="G211" i="35"/>
  <c r="G212" i="35"/>
  <c r="G213" i="35"/>
  <c r="G217" i="35"/>
  <c r="G219" i="35"/>
  <c r="G221" i="35"/>
  <c r="G225" i="35"/>
  <c r="G231" i="35"/>
  <c r="G233" i="35"/>
  <c r="G235" i="35"/>
  <c r="G237" i="35"/>
  <c r="G239" i="35"/>
  <c r="G241" i="35"/>
  <c r="G243" i="35"/>
  <c r="G2423" i="35"/>
  <c r="F5" i="33"/>
  <c r="K5" i="33"/>
  <c r="F6" i="33"/>
  <c r="K6" i="33"/>
  <c r="F7" i="33"/>
  <c r="K7" i="33"/>
  <c r="F8" i="33"/>
  <c r="K8" i="33"/>
  <c r="F9" i="33"/>
  <c r="K9" i="33"/>
  <c r="F10" i="33"/>
  <c r="K10" i="33"/>
  <c r="F11" i="33"/>
  <c r="K11" i="33"/>
  <c r="F12" i="33"/>
  <c r="K12" i="33"/>
  <c r="F13" i="33"/>
  <c r="K13" i="33"/>
  <c r="F14" i="33"/>
  <c r="K14" i="33"/>
  <c r="F15" i="33"/>
  <c r="I15" i="33" s="1"/>
  <c r="K15" i="33"/>
  <c r="F16" i="33"/>
  <c r="K16" i="33"/>
  <c r="F17" i="33"/>
  <c r="K17" i="33"/>
  <c r="F18" i="33"/>
  <c r="K18" i="33"/>
  <c r="F19" i="33"/>
  <c r="I19" i="33" s="1"/>
  <c r="K19" i="33"/>
  <c r="F20" i="33"/>
  <c r="K20" i="33"/>
  <c r="F21" i="33"/>
  <c r="H21" i="33" s="1"/>
  <c r="K21" i="33"/>
  <c r="F22" i="33"/>
  <c r="K22" i="33"/>
  <c r="F23" i="33"/>
  <c r="K23" i="33"/>
  <c r="F24" i="33"/>
  <c r="K24" i="33"/>
  <c r="F25" i="33"/>
  <c r="G25" i="33" s="1"/>
  <c r="K25" i="33"/>
  <c r="F26" i="33"/>
  <c r="K26" i="33"/>
  <c r="F27" i="33"/>
  <c r="H27" i="33" s="1"/>
  <c r="K27" i="33"/>
  <c r="F28" i="33"/>
  <c r="K28" i="33"/>
  <c r="F29" i="33"/>
  <c r="G29" i="33" s="1"/>
  <c r="K29" i="33"/>
  <c r="F30" i="33"/>
  <c r="K30" i="33"/>
  <c r="F31" i="33"/>
  <c r="G31" i="33" s="1"/>
  <c r="K31" i="33"/>
  <c r="F32" i="33"/>
  <c r="K32" i="33"/>
  <c r="F33" i="33"/>
  <c r="K33" i="33"/>
  <c r="F34" i="33"/>
  <c r="K34" i="33"/>
  <c r="F35" i="33"/>
  <c r="K35" i="33"/>
  <c r="F36" i="33"/>
  <c r="K36" i="33"/>
  <c r="F37" i="33"/>
  <c r="G37" i="33" s="1"/>
  <c r="K37" i="33"/>
  <c r="F38" i="33"/>
  <c r="K38" i="33"/>
  <c r="F39" i="33"/>
  <c r="G39" i="33" s="1"/>
  <c r="K39" i="33"/>
  <c r="F40" i="33"/>
  <c r="K40" i="33"/>
  <c r="F41" i="33"/>
  <c r="H41" i="33" s="1"/>
  <c r="K41" i="33"/>
  <c r="F42" i="33"/>
  <c r="K42" i="33"/>
  <c r="F43" i="33"/>
  <c r="K43" i="33"/>
  <c r="F44" i="33"/>
  <c r="K44" i="33"/>
  <c r="F45" i="33"/>
  <c r="G45" i="33" s="1"/>
  <c r="K45" i="33"/>
  <c r="F46" i="33"/>
  <c r="K46" i="33"/>
  <c r="F47" i="33"/>
  <c r="I47" i="33" s="1"/>
  <c r="K47" i="33"/>
  <c r="F48" i="33"/>
  <c r="K48" i="33"/>
  <c r="F49" i="33"/>
  <c r="H49" i="33" s="1"/>
  <c r="K49" i="33"/>
  <c r="F50" i="33"/>
  <c r="K50" i="33"/>
  <c r="F51" i="33"/>
  <c r="H51" i="33" s="1"/>
  <c r="K51" i="33"/>
  <c r="F52" i="33"/>
  <c r="K52" i="33"/>
  <c r="F53" i="33"/>
  <c r="H53" i="33" s="1"/>
  <c r="K53" i="33"/>
  <c r="F54" i="33"/>
  <c r="K54" i="33"/>
  <c r="F55" i="33"/>
  <c r="H55" i="33" s="1"/>
  <c r="K55" i="33"/>
  <c r="F56" i="33"/>
  <c r="K56" i="33"/>
  <c r="F57" i="33"/>
  <c r="G57" i="33" s="1"/>
  <c r="K57" i="33"/>
  <c r="F58" i="33"/>
  <c r="K58" i="33"/>
  <c r="F59" i="33"/>
  <c r="G59" i="33" s="1"/>
  <c r="K59" i="33"/>
  <c r="F60" i="33"/>
  <c r="K60" i="33"/>
  <c r="F61" i="33"/>
  <c r="G61" i="33" s="1"/>
  <c r="K61" i="33"/>
  <c r="F62" i="33"/>
  <c r="K62" i="33"/>
  <c r="F63" i="33"/>
  <c r="I63" i="33" s="1"/>
  <c r="K63" i="33"/>
  <c r="F64" i="33"/>
  <c r="K64" i="33"/>
  <c r="F65" i="33"/>
  <c r="K65" i="33"/>
  <c r="F66" i="33"/>
  <c r="K66" i="33"/>
  <c r="F67" i="33"/>
  <c r="G67" i="33" s="1"/>
  <c r="K67" i="33"/>
  <c r="F68" i="33"/>
  <c r="K68" i="33"/>
  <c r="F69" i="33"/>
  <c r="G69" i="33" s="1"/>
  <c r="K69" i="33"/>
  <c r="F70" i="33"/>
  <c r="K70" i="33"/>
  <c r="F71" i="33"/>
  <c r="G71" i="33" s="1"/>
  <c r="K71" i="33"/>
  <c r="F72" i="33"/>
  <c r="K72" i="33"/>
  <c r="F73" i="33"/>
  <c r="H73" i="33" s="1"/>
  <c r="K73" i="33"/>
  <c r="F74" i="33"/>
  <c r="K74" i="33"/>
  <c r="F75" i="33"/>
  <c r="I75" i="33" s="1"/>
  <c r="K75" i="33"/>
  <c r="F76" i="33"/>
  <c r="K76" i="33"/>
  <c r="F77" i="33"/>
  <c r="G77" i="33" s="1"/>
  <c r="K77" i="33"/>
  <c r="F78" i="33"/>
  <c r="K78" i="33"/>
  <c r="F79" i="33"/>
  <c r="K79" i="33"/>
  <c r="F80" i="33"/>
  <c r="K80" i="33"/>
  <c r="F81" i="33"/>
  <c r="G81" i="33" s="1"/>
  <c r="K81" i="33"/>
  <c r="F82" i="33"/>
  <c r="K82" i="33"/>
  <c r="F83" i="33"/>
  <c r="H83" i="33" s="1"/>
  <c r="K83" i="33"/>
  <c r="F84" i="33"/>
  <c r="K84" i="33"/>
  <c r="F85" i="33"/>
  <c r="G85" i="33" s="1"/>
  <c r="K85" i="33"/>
  <c r="F86" i="33"/>
  <c r="K86" i="33"/>
  <c r="F87" i="33"/>
  <c r="I87" i="33" s="1"/>
  <c r="K87" i="33"/>
  <c r="F88" i="33"/>
  <c r="K88" i="33"/>
  <c r="F89" i="33"/>
  <c r="H89" i="33" s="1"/>
  <c r="K89" i="33"/>
  <c r="F90" i="33"/>
  <c r="K90" i="33"/>
  <c r="F91" i="33"/>
  <c r="I91" i="33" s="1"/>
  <c r="K91" i="33"/>
  <c r="F92" i="33"/>
  <c r="K92" i="33"/>
  <c r="F93" i="33"/>
  <c r="H93" i="33" s="1"/>
  <c r="K93" i="33"/>
  <c r="F94" i="33"/>
  <c r="K94" i="33"/>
  <c r="F95" i="33"/>
  <c r="G95" i="33" s="1"/>
  <c r="K95" i="33"/>
  <c r="F96" i="33"/>
  <c r="K96" i="33"/>
  <c r="F97" i="33"/>
  <c r="I97" i="33" s="1"/>
  <c r="K97" i="33"/>
  <c r="F98" i="33"/>
  <c r="K98" i="33"/>
  <c r="F102" i="33"/>
  <c r="K102" i="33"/>
  <c r="F110" i="33"/>
  <c r="K110" i="33"/>
  <c r="F111" i="33"/>
  <c r="K111" i="33"/>
  <c r="F112" i="33"/>
  <c r="K112" i="33"/>
  <c r="F113" i="33"/>
  <c r="G113" i="33" s="1"/>
  <c r="K113" i="33"/>
  <c r="F114" i="33"/>
  <c r="K114" i="33"/>
  <c r="F115" i="33"/>
  <c r="H115" i="33" s="1"/>
  <c r="K115" i="33"/>
  <c r="F116" i="33"/>
  <c r="K116" i="33"/>
  <c r="F117" i="33"/>
  <c r="G117" i="33" s="1"/>
  <c r="K117" i="33"/>
  <c r="F118" i="33"/>
  <c r="K118" i="33"/>
  <c r="F119" i="33"/>
  <c r="K119" i="33"/>
  <c r="F120" i="33"/>
  <c r="K120" i="33"/>
  <c r="F121" i="33"/>
  <c r="I121" i="33" s="1"/>
  <c r="K121" i="33"/>
  <c r="F122" i="33"/>
  <c r="K122" i="33"/>
  <c r="F123" i="33"/>
  <c r="K123" i="33"/>
  <c r="F124" i="33"/>
  <c r="H124" i="33" s="1"/>
  <c r="K124" i="33"/>
  <c r="F125" i="33"/>
  <c r="K125" i="33"/>
  <c r="F126" i="33"/>
  <c r="K126" i="33"/>
  <c r="F127" i="33"/>
  <c r="K127" i="33"/>
  <c r="F128" i="33"/>
  <c r="K128" i="33"/>
  <c r="F129" i="33"/>
  <c r="K129" i="33"/>
  <c r="F130" i="33"/>
  <c r="I130" i="33" s="1"/>
  <c r="K130" i="33"/>
  <c r="F131" i="33"/>
  <c r="K131" i="33"/>
  <c r="F132" i="33"/>
  <c r="G132" i="33" s="1"/>
  <c r="K132" i="33"/>
  <c r="F133" i="33"/>
  <c r="K133" i="33"/>
  <c r="F134" i="33"/>
  <c r="G134" i="33" s="1"/>
  <c r="K134" i="33"/>
  <c r="F135" i="33"/>
  <c r="K135" i="33"/>
  <c r="F136" i="33"/>
  <c r="I136" i="33" s="1"/>
  <c r="K136" i="33"/>
  <c r="F137" i="33"/>
  <c r="K137" i="33"/>
  <c r="F140" i="33"/>
  <c r="K140" i="33"/>
  <c r="F141" i="33"/>
  <c r="K141" i="33"/>
  <c r="F143" i="33"/>
  <c r="K143" i="33"/>
  <c r="F146" i="33"/>
  <c r="K146" i="33"/>
  <c r="F147" i="33"/>
  <c r="K147" i="33"/>
  <c r="F148" i="33"/>
  <c r="K148" i="33"/>
  <c r="F149" i="33"/>
  <c r="K149" i="33"/>
  <c r="F150" i="33"/>
  <c r="K150" i="33"/>
  <c r="F151" i="33"/>
  <c r="K151" i="33"/>
  <c r="F152" i="33"/>
  <c r="G152" i="33" s="1"/>
  <c r="K152" i="33"/>
  <c r="F153" i="33"/>
  <c r="K153" i="33"/>
  <c r="F154" i="33"/>
  <c r="H154" i="33" s="1"/>
  <c r="K154" i="33"/>
  <c r="F155" i="33"/>
  <c r="K155" i="33"/>
  <c r="F156" i="33"/>
  <c r="K156" i="33"/>
  <c r="F157" i="33"/>
  <c r="K157" i="33"/>
  <c r="F158" i="33"/>
  <c r="G158" i="33" s="1"/>
  <c r="K158" i="33"/>
  <c r="F159" i="33"/>
  <c r="K159" i="33"/>
  <c r="F160" i="33"/>
  <c r="K160" i="33"/>
  <c r="F161" i="33"/>
  <c r="K161" i="33"/>
  <c r="F162" i="33"/>
  <c r="K162" i="33"/>
  <c r="F163" i="33"/>
  <c r="K163" i="33"/>
  <c r="F164" i="33"/>
  <c r="K164" i="33"/>
  <c r="F165" i="33"/>
  <c r="K165" i="33"/>
  <c r="F166" i="33"/>
  <c r="I166" i="33" s="1"/>
  <c r="K166" i="33"/>
  <c r="F167" i="33"/>
  <c r="K167" i="33"/>
  <c r="F168" i="33"/>
  <c r="I168" i="33" s="1"/>
  <c r="K168" i="33"/>
  <c r="F169" i="33"/>
  <c r="K169" i="33"/>
  <c r="F170" i="33"/>
  <c r="K170" i="33"/>
  <c r="F171" i="33"/>
  <c r="K171" i="33"/>
  <c r="F172" i="33"/>
  <c r="K172" i="33"/>
  <c r="F173" i="33"/>
  <c r="K173" i="33"/>
  <c r="F174" i="33"/>
  <c r="K174" i="33"/>
  <c r="F175" i="33"/>
  <c r="K175" i="33"/>
  <c r="F176" i="33"/>
  <c r="K176" i="33"/>
  <c r="F177" i="33"/>
  <c r="K177" i="33"/>
  <c r="F178" i="33"/>
  <c r="I178" i="33" s="1"/>
  <c r="K178" i="33"/>
  <c r="F179" i="33"/>
  <c r="K179" i="33"/>
  <c r="F180" i="33"/>
  <c r="H180" i="33" s="1"/>
  <c r="K180" i="33"/>
  <c r="F181" i="33"/>
  <c r="H181" i="33" s="1"/>
  <c r="K181" i="33"/>
  <c r="F182" i="33"/>
  <c r="K182" i="33"/>
  <c r="F183" i="33"/>
  <c r="H183" i="33" s="1"/>
  <c r="K183" i="33"/>
  <c r="F184" i="33"/>
  <c r="K184" i="33"/>
  <c r="F185" i="33"/>
  <c r="H185" i="33" s="1"/>
  <c r="K185" i="33"/>
  <c r="F186" i="33"/>
  <c r="H186" i="33" s="1"/>
  <c r="K186" i="33"/>
  <c r="F187" i="33"/>
  <c r="K187" i="33"/>
  <c r="F188" i="33"/>
  <c r="K188" i="33"/>
  <c r="F189" i="33"/>
  <c r="K189" i="33"/>
  <c r="F190" i="33"/>
  <c r="K190" i="33"/>
  <c r="F191" i="33"/>
  <c r="K191" i="33"/>
  <c r="F192" i="33"/>
  <c r="K192" i="33"/>
  <c r="F193" i="33"/>
  <c r="K193" i="33"/>
  <c r="F196" i="33"/>
  <c r="I196" i="33" s="1"/>
  <c r="K196" i="33"/>
  <c r="F197" i="33"/>
  <c r="K197" i="33"/>
  <c r="F201" i="33"/>
  <c r="I201" i="33" s="1"/>
  <c r="K201" i="33"/>
  <c r="F202" i="33"/>
  <c r="K202" i="33"/>
  <c r="F203" i="33"/>
  <c r="G203" i="33" s="1"/>
  <c r="K203" i="33"/>
  <c r="F204" i="33"/>
  <c r="K204" i="33"/>
  <c r="F205" i="33"/>
  <c r="I205" i="33" s="1"/>
  <c r="K205" i="33"/>
  <c r="F206" i="33"/>
  <c r="K206" i="33"/>
  <c r="F207" i="33"/>
  <c r="K207" i="33"/>
  <c r="F208" i="33"/>
  <c r="K208" i="33"/>
  <c r="F209" i="33"/>
  <c r="G209" i="33" s="1"/>
  <c r="K209" i="33"/>
  <c r="F210" i="33"/>
  <c r="K210" i="33"/>
  <c r="F211" i="33"/>
  <c r="G211" i="33" s="1"/>
  <c r="K211" i="33"/>
  <c r="F212" i="33"/>
  <c r="K212" i="33"/>
  <c r="F213" i="33"/>
  <c r="I213" i="33" s="1"/>
  <c r="K213" i="33"/>
  <c r="F214" i="33"/>
  <c r="K214" i="33"/>
  <c r="F215" i="33"/>
  <c r="H215" i="33" s="1"/>
  <c r="K215" i="33"/>
  <c r="F216" i="33"/>
  <c r="K216" i="33"/>
  <c r="F217" i="33"/>
  <c r="I217" i="33" s="1"/>
  <c r="K217" i="33"/>
  <c r="F218" i="33"/>
  <c r="K218" i="33"/>
  <c r="F221" i="33"/>
  <c r="K221" i="33"/>
  <c r="F222" i="33"/>
  <c r="K222" i="33"/>
  <c r="F223" i="33"/>
  <c r="K223" i="33"/>
  <c r="F224" i="33"/>
  <c r="K224" i="33"/>
  <c r="F225" i="33"/>
  <c r="G225" i="33" s="1"/>
  <c r="K225" i="33"/>
  <c r="F226" i="33"/>
  <c r="K226" i="33"/>
  <c r="F227" i="33"/>
  <c r="I227" i="33" s="1"/>
  <c r="K227" i="33"/>
  <c r="F228" i="33"/>
  <c r="K228" i="33"/>
  <c r="F231" i="33"/>
  <c r="K231" i="33"/>
  <c r="F232" i="33"/>
  <c r="K232" i="33"/>
  <c r="F233" i="33"/>
  <c r="K233" i="33"/>
  <c r="F234" i="33"/>
  <c r="K234" i="33"/>
  <c r="F235" i="33"/>
  <c r="H235" i="33" s="1"/>
  <c r="K235" i="33"/>
  <c r="F236" i="33"/>
  <c r="K236" i="33"/>
  <c r="F237" i="33"/>
  <c r="G237" i="33" s="1"/>
  <c r="K237" i="33"/>
  <c r="F238" i="33"/>
  <c r="K238" i="33"/>
  <c r="F239" i="33"/>
  <c r="K239" i="33"/>
  <c r="F240" i="33"/>
  <c r="K240" i="33"/>
  <c r="F241" i="33"/>
  <c r="K241" i="33"/>
  <c r="F242" i="33"/>
  <c r="K242" i="33"/>
  <c r="F243" i="33"/>
  <c r="K243" i="33"/>
  <c r="F244" i="33"/>
  <c r="K244" i="33"/>
  <c r="F245" i="33"/>
  <c r="K245" i="33"/>
  <c r="F246" i="33"/>
  <c r="K246" i="33"/>
  <c r="F247" i="33"/>
  <c r="K247" i="33"/>
  <c r="F257" i="33"/>
  <c r="I257" i="33" s="1"/>
  <c r="K257" i="33"/>
  <c r="F258" i="33"/>
  <c r="K258" i="33"/>
  <c r="F259" i="33"/>
  <c r="K259" i="33"/>
  <c r="F260" i="33"/>
  <c r="K260" i="33"/>
  <c r="F262" i="33"/>
  <c r="K262" i="33"/>
  <c r="F266" i="33"/>
  <c r="K266" i="33"/>
  <c r="F269" i="33"/>
  <c r="K269" i="33"/>
  <c r="F270" i="33"/>
  <c r="K270" i="33"/>
  <c r="F271" i="33"/>
  <c r="K271" i="33"/>
  <c r="F272" i="33"/>
  <c r="K272" i="33"/>
  <c r="F275" i="33"/>
  <c r="K275" i="33"/>
  <c r="F276" i="33"/>
  <c r="K276" i="33"/>
  <c r="F277" i="33"/>
  <c r="K277" i="33"/>
  <c r="F278" i="33"/>
  <c r="K278" i="33"/>
  <c r="F279" i="33"/>
  <c r="K279" i="33"/>
  <c r="F280" i="33"/>
  <c r="K280" i="33"/>
  <c r="F281" i="33"/>
  <c r="K281" i="33"/>
  <c r="F282" i="33"/>
  <c r="K282" i="33"/>
  <c r="F283" i="33"/>
  <c r="K283" i="33"/>
  <c r="F284" i="33"/>
  <c r="K284" i="33"/>
  <c r="F285" i="33"/>
  <c r="K285" i="33"/>
  <c r="F286" i="33"/>
  <c r="K286" i="33"/>
  <c r="F287" i="33"/>
  <c r="G287" i="33" s="1"/>
  <c r="K287" i="33"/>
  <c r="F288" i="33"/>
  <c r="K288" i="33"/>
  <c r="F289" i="33"/>
  <c r="G289" i="33" s="1"/>
  <c r="K289" i="33"/>
  <c r="F290" i="33"/>
  <c r="K290" i="33"/>
  <c r="F291" i="33"/>
  <c r="K291" i="33"/>
  <c r="F292" i="33"/>
  <c r="K292" i="33"/>
  <c r="F293" i="33"/>
  <c r="K293" i="33"/>
  <c r="F294" i="33"/>
  <c r="K294" i="33"/>
  <c r="F295" i="33"/>
  <c r="K295" i="33"/>
  <c r="F296" i="33"/>
  <c r="K296" i="33"/>
  <c r="F301" i="33"/>
  <c r="K301" i="33"/>
  <c r="F302" i="33"/>
  <c r="K302" i="33"/>
  <c r="F303" i="33"/>
  <c r="H303" i="33" s="1"/>
  <c r="K303" i="33"/>
  <c r="F304" i="33"/>
  <c r="K304" i="33"/>
  <c r="F305" i="33"/>
  <c r="H305" i="33" s="1"/>
  <c r="K305" i="33"/>
  <c r="F306" i="33"/>
  <c r="K306" i="33"/>
  <c r="F307" i="33"/>
  <c r="K307" i="33"/>
  <c r="F308" i="33"/>
  <c r="K308" i="33"/>
  <c r="F309" i="33"/>
  <c r="K309" i="33"/>
  <c r="F310" i="33"/>
  <c r="K310" i="33"/>
  <c r="F311" i="33"/>
  <c r="K311" i="33"/>
  <c r="F312" i="33"/>
  <c r="K312" i="33"/>
  <c r="F313" i="33"/>
  <c r="G313" i="33" s="1"/>
  <c r="K313" i="33"/>
  <c r="F314" i="33"/>
  <c r="K314" i="33"/>
  <c r="F315" i="33"/>
  <c r="I315" i="33" s="1"/>
  <c r="K315" i="33"/>
  <c r="F316" i="33"/>
  <c r="K316" i="33"/>
  <c r="F317" i="33"/>
  <c r="H317" i="33" s="1"/>
  <c r="K317" i="33"/>
  <c r="F318" i="33"/>
  <c r="K318" i="33"/>
  <c r="F319" i="33"/>
  <c r="G319" i="33" s="1"/>
  <c r="K319" i="33"/>
  <c r="F320" i="33"/>
  <c r="K320" i="33"/>
  <c r="F321" i="33"/>
  <c r="G321" i="33" s="1"/>
  <c r="K321" i="33"/>
  <c r="F322" i="33"/>
  <c r="K322" i="33"/>
  <c r="F323" i="33"/>
  <c r="I323" i="33" s="1"/>
  <c r="K323" i="33"/>
  <c r="F324" i="33"/>
  <c r="K324" i="33"/>
  <c r="F325" i="33"/>
  <c r="K325" i="33"/>
  <c r="F326" i="33"/>
  <c r="K326" i="33"/>
  <c r="F327" i="33"/>
  <c r="K327" i="33"/>
  <c r="F2893" i="33"/>
  <c r="K2893" i="33"/>
  <c r="Z5" i="33"/>
  <c r="Z6" i="33"/>
  <c r="Z7" i="33"/>
  <c r="Z8" i="33"/>
  <c r="Z9" i="33"/>
  <c r="Z10" i="33"/>
  <c r="Z11" i="33"/>
  <c r="Z12" i="33"/>
  <c r="Z13" i="33"/>
  <c r="Z14" i="33"/>
  <c r="T15" i="33"/>
  <c r="Z16" i="33"/>
  <c r="T17" i="33"/>
  <c r="Z17" i="33" s="1"/>
  <c r="Z18" i="33"/>
  <c r="T19" i="33"/>
  <c r="Y19" i="33" s="1"/>
  <c r="Z20" i="33"/>
  <c r="T21" i="33"/>
  <c r="Z21" i="33" s="1"/>
  <c r="Z22" i="33"/>
  <c r="T23" i="33"/>
  <c r="Y23" i="33" s="1"/>
  <c r="Z24" i="33"/>
  <c r="T25" i="33"/>
  <c r="Z25" i="33" s="1"/>
  <c r="Z26" i="33"/>
  <c r="T27" i="33"/>
  <c r="Z28" i="33"/>
  <c r="T29" i="33"/>
  <c r="Z29" i="33" s="1"/>
  <c r="Z30" i="33"/>
  <c r="T31" i="33"/>
  <c r="Z31" i="33" s="1"/>
  <c r="Z32" i="33"/>
  <c r="Z33" i="33"/>
  <c r="Z34" i="33"/>
  <c r="Z35" i="33"/>
  <c r="Z36" i="33"/>
  <c r="T37" i="33"/>
  <c r="Y37" i="33" s="1"/>
  <c r="Z38" i="33"/>
  <c r="T39" i="33"/>
  <c r="Z40" i="33"/>
  <c r="T41" i="33"/>
  <c r="X41" i="33" s="1"/>
  <c r="Z42" i="33"/>
  <c r="T43" i="33"/>
  <c r="Z44" i="33"/>
  <c r="T45" i="33"/>
  <c r="X45" i="33" s="1"/>
  <c r="Z46" i="33"/>
  <c r="T47" i="33"/>
  <c r="Z48" i="33"/>
  <c r="T49" i="33"/>
  <c r="X49" i="33" s="1"/>
  <c r="Z50" i="33"/>
  <c r="T51" i="33"/>
  <c r="Z51" i="33" s="1"/>
  <c r="Z52" i="33"/>
  <c r="T53" i="33"/>
  <c r="Z53" i="33" s="1"/>
  <c r="Z54" i="33"/>
  <c r="T55" i="33"/>
  <c r="Z56" i="33"/>
  <c r="T57" i="33"/>
  <c r="W57" i="33" s="1"/>
  <c r="Z58" i="33"/>
  <c r="T59" i="33"/>
  <c r="Z60" i="33"/>
  <c r="T61" i="33"/>
  <c r="Y61" i="33" s="1"/>
  <c r="Z62" i="33"/>
  <c r="T63" i="33"/>
  <c r="Y63" i="33" s="1"/>
  <c r="Z64" i="33"/>
  <c r="T65" i="33"/>
  <c r="Y65" i="33" s="1"/>
  <c r="Z66" i="33"/>
  <c r="T67" i="33"/>
  <c r="W67" i="33" s="1"/>
  <c r="Z68" i="33"/>
  <c r="T69" i="33"/>
  <c r="X69" i="33" s="1"/>
  <c r="Z70" i="33"/>
  <c r="T71" i="33"/>
  <c r="Y71" i="33" s="1"/>
  <c r="Z72" i="33"/>
  <c r="T73" i="33"/>
  <c r="Y73" i="33" s="1"/>
  <c r="Z74" i="33"/>
  <c r="T75" i="33"/>
  <c r="Z76" i="33"/>
  <c r="T77" i="33"/>
  <c r="Y77" i="33" s="1"/>
  <c r="Z78" i="33"/>
  <c r="Z79" i="33"/>
  <c r="Z80" i="33"/>
  <c r="T81" i="33"/>
  <c r="W81" i="33" s="1"/>
  <c r="Z82" i="33"/>
  <c r="T83" i="33"/>
  <c r="X83" i="33" s="1"/>
  <c r="Z84" i="33"/>
  <c r="Z86" i="33"/>
  <c r="Z88" i="33"/>
  <c r="Z90" i="33"/>
  <c r="Z92" i="33"/>
  <c r="Z94" i="33"/>
  <c r="Z96" i="33"/>
  <c r="Z98" i="33"/>
  <c r="Z102" i="33"/>
  <c r="Z110" i="33"/>
  <c r="Z112" i="33"/>
  <c r="Z114" i="33"/>
  <c r="Z116" i="33"/>
  <c r="Z118" i="33"/>
  <c r="Z120" i="33"/>
  <c r="Z123" i="33"/>
  <c r="Z125" i="33"/>
  <c r="Z126" i="33"/>
  <c r="Z127" i="33"/>
  <c r="Z128" i="33"/>
  <c r="Z129" i="33"/>
  <c r="Z131" i="33"/>
  <c r="Z133" i="33"/>
  <c r="Z135" i="33"/>
  <c r="Z137" i="33"/>
  <c r="Z141" i="33"/>
  <c r="Z143" i="33"/>
  <c r="Z146" i="33"/>
  <c r="Z147" i="33"/>
  <c r="Z148" i="33"/>
  <c r="Z149" i="33"/>
  <c r="Z150" i="33"/>
  <c r="Z151" i="33"/>
  <c r="Z153" i="33"/>
  <c r="Z155" i="33"/>
  <c r="Z157" i="33"/>
  <c r="Z159" i="33"/>
  <c r="Z160" i="33"/>
  <c r="Z161" i="33"/>
  <c r="Z163" i="33"/>
  <c r="Z165" i="33"/>
  <c r="Z167" i="33"/>
  <c r="Z169" i="33"/>
  <c r="Z171" i="33"/>
  <c r="Z173" i="33"/>
  <c r="Z175" i="33"/>
  <c r="Z177" i="33"/>
  <c r="Z179" i="33"/>
  <c r="Z182" i="33"/>
  <c r="Z184" i="33"/>
  <c r="Z187" i="33"/>
  <c r="Z188" i="33"/>
  <c r="Z189" i="33"/>
  <c r="Z190" i="33"/>
  <c r="Z191" i="33"/>
  <c r="Z193" i="33"/>
  <c r="Z197" i="33"/>
  <c r="Z202" i="33"/>
  <c r="Z204" i="33"/>
  <c r="Z206" i="33"/>
  <c r="Z207" i="33"/>
  <c r="Z208" i="33"/>
  <c r="Z210" i="33"/>
  <c r="Z212" i="33"/>
  <c r="Z214" i="33"/>
  <c r="Z216" i="33"/>
  <c r="Z218" i="33"/>
  <c r="Z221" i="33"/>
  <c r="Z222" i="33"/>
  <c r="Z223" i="33"/>
  <c r="Z224" i="33"/>
  <c r="Z226" i="33"/>
  <c r="Z228" i="33"/>
  <c r="Z232" i="33"/>
  <c r="Z234" i="33"/>
  <c r="Z236" i="33"/>
  <c r="Z239" i="33"/>
  <c r="Z241" i="33"/>
  <c r="Z243" i="33"/>
  <c r="Z245" i="33"/>
  <c r="Z247" i="33"/>
  <c r="Z258" i="33"/>
  <c r="Z260" i="33"/>
  <c r="Z262" i="33"/>
  <c r="Z266" i="33"/>
  <c r="Z269" i="33"/>
  <c r="Z270" i="33"/>
  <c r="Z271" i="33"/>
  <c r="Z272" i="33"/>
  <c r="Z275" i="33"/>
  <c r="Z276" i="33"/>
  <c r="Z277" i="33"/>
  <c r="Z278" i="33"/>
  <c r="Z279" i="33"/>
  <c r="Z280" i="33"/>
  <c r="Z281" i="33"/>
  <c r="Z282" i="33"/>
  <c r="Z284" i="33"/>
  <c r="Z286" i="33"/>
  <c r="Z288" i="33"/>
  <c r="Z290" i="33"/>
  <c r="Z292" i="33"/>
  <c r="Z293" i="33"/>
  <c r="Z294" i="33"/>
  <c r="Z295" i="33"/>
  <c r="Z296" i="33"/>
  <c r="Z302" i="33"/>
  <c r="Z304" i="33"/>
  <c r="Z306" i="33"/>
  <c r="Z308" i="33"/>
  <c r="Z310" i="33"/>
  <c r="Z312" i="33"/>
  <c r="Z314" i="33"/>
  <c r="Z316" i="33"/>
  <c r="Z318" i="33"/>
  <c r="Z320" i="33"/>
  <c r="Z322" i="33"/>
  <c r="Z324" i="33"/>
  <c r="Z326" i="33"/>
  <c r="Z2893" i="33"/>
  <c r="Y5" i="33"/>
  <c r="Y6" i="33"/>
  <c r="Y7" i="33"/>
  <c r="Y8" i="33"/>
  <c r="Y9" i="33"/>
  <c r="Y10" i="33"/>
  <c r="Y11" i="33"/>
  <c r="Y12" i="33"/>
  <c r="Y13" i="33"/>
  <c r="Y14" i="33"/>
  <c r="Y16" i="33"/>
  <c r="Y18" i="33"/>
  <c r="Y20" i="33"/>
  <c r="Y22" i="33"/>
  <c r="Y24" i="33"/>
  <c r="Y26" i="33"/>
  <c r="Y28" i="33"/>
  <c r="Y30" i="33"/>
  <c r="Y32" i="33"/>
  <c r="Y33" i="33"/>
  <c r="Y34" i="33"/>
  <c r="Y35" i="33"/>
  <c r="Y36" i="33"/>
  <c r="Y38" i="33"/>
  <c r="Y40" i="33"/>
  <c r="Y42" i="33"/>
  <c r="Y44" i="33"/>
  <c r="Y46" i="33"/>
  <c r="Y48" i="33"/>
  <c r="Y50" i="33"/>
  <c r="Y52" i="33"/>
  <c r="Y54" i="33"/>
  <c r="Y56" i="33"/>
  <c r="Y58" i="33"/>
  <c r="Y60" i="33"/>
  <c r="Y62" i="33"/>
  <c r="Y64" i="33"/>
  <c r="Y66" i="33"/>
  <c r="Y68" i="33"/>
  <c r="Y70" i="33"/>
  <c r="Y72" i="33"/>
  <c r="Y74" i="33"/>
  <c r="Y76" i="33"/>
  <c r="Y78" i="33"/>
  <c r="Y79" i="33"/>
  <c r="Y80" i="33"/>
  <c r="Y82" i="33"/>
  <c r="Y84" i="33"/>
  <c r="Y86" i="33"/>
  <c r="Y88" i="33"/>
  <c r="Y90" i="33"/>
  <c r="Y92" i="33"/>
  <c r="Y94" i="33"/>
  <c r="Y96" i="33"/>
  <c r="Y98" i="33"/>
  <c r="Y102" i="33"/>
  <c r="Y110" i="33"/>
  <c r="Y112" i="33"/>
  <c r="Y114" i="33"/>
  <c r="Y116" i="33"/>
  <c r="Y118" i="33"/>
  <c r="Y120" i="33"/>
  <c r="Y123" i="33"/>
  <c r="Y125" i="33"/>
  <c r="Y126" i="33"/>
  <c r="Y127" i="33"/>
  <c r="Y128" i="33"/>
  <c r="Y129" i="33"/>
  <c r="Y131" i="33"/>
  <c r="Y133" i="33"/>
  <c r="Y135" i="33"/>
  <c r="Y137" i="33"/>
  <c r="Y141" i="33"/>
  <c r="Y143" i="33"/>
  <c r="Y146" i="33"/>
  <c r="Y147" i="33"/>
  <c r="Y148" i="33"/>
  <c r="Y149" i="33"/>
  <c r="Y150" i="33"/>
  <c r="Y151" i="33"/>
  <c r="Y153" i="33"/>
  <c r="Y155" i="33"/>
  <c r="Y157" i="33"/>
  <c r="Y159" i="33"/>
  <c r="Y160" i="33"/>
  <c r="Y161" i="33"/>
  <c r="Y163" i="33"/>
  <c r="Y165" i="33"/>
  <c r="Y167" i="33"/>
  <c r="Y169" i="33"/>
  <c r="Y171" i="33"/>
  <c r="Y173" i="33"/>
  <c r="Y175" i="33"/>
  <c r="Y177" i="33"/>
  <c r="Y179" i="33"/>
  <c r="Y182" i="33"/>
  <c r="Y184" i="33"/>
  <c r="Y187" i="33"/>
  <c r="Y188" i="33"/>
  <c r="Y189" i="33"/>
  <c r="Y190" i="33"/>
  <c r="Y191" i="33"/>
  <c r="Y193" i="33"/>
  <c r="Y197" i="33"/>
  <c r="Y202" i="33"/>
  <c r="Y204" i="33"/>
  <c r="Y206" i="33"/>
  <c r="Y207" i="33"/>
  <c r="Y208" i="33"/>
  <c r="Y210" i="33"/>
  <c r="Y212" i="33"/>
  <c r="Y214" i="33"/>
  <c r="Y216" i="33"/>
  <c r="Y218" i="33"/>
  <c r="Y221" i="33"/>
  <c r="Y222" i="33"/>
  <c r="Y223" i="33"/>
  <c r="Y224" i="33"/>
  <c r="Y226" i="33"/>
  <c r="Y228" i="33"/>
  <c r="Y232" i="33"/>
  <c r="Y234" i="33"/>
  <c r="Y236" i="33"/>
  <c r="Y239" i="33"/>
  <c r="Y241" i="33"/>
  <c r="Y243" i="33"/>
  <c r="Y245" i="33"/>
  <c r="Y247" i="33"/>
  <c r="Y258" i="33"/>
  <c r="Y260" i="33"/>
  <c r="Y262" i="33"/>
  <c r="Y266" i="33"/>
  <c r="Y269" i="33"/>
  <c r="Y270" i="33"/>
  <c r="Y271" i="33"/>
  <c r="Y272" i="33"/>
  <c r="Y275" i="33"/>
  <c r="Y276" i="33"/>
  <c r="Y277" i="33"/>
  <c r="Y278" i="33"/>
  <c r="Y279" i="33"/>
  <c r="Y280" i="33"/>
  <c r="Y281" i="33"/>
  <c r="Y282" i="33"/>
  <c r="Y284" i="33"/>
  <c r="Y286" i="33"/>
  <c r="Y288" i="33"/>
  <c r="Y290" i="33"/>
  <c r="Y292" i="33"/>
  <c r="Y293" i="33"/>
  <c r="Y294" i="33"/>
  <c r="Y295" i="33"/>
  <c r="Y296" i="33"/>
  <c r="Y302" i="33"/>
  <c r="Y304" i="33"/>
  <c r="Y306" i="33"/>
  <c r="Y308" i="33"/>
  <c r="Y310" i="33"/>
  <c r="Y312" i="33"/>
  <c r="Y314" i="33"/>
  <c r="Y316" i="33"/>
  <c r="Y318" i="33"/>
  <c r="Y320" i="33"/>
  <c r="Y322" i="33"/>
  <c r="Y324" i="33"/>
  <c r="Y326" i="33"/>
  <c r="Y2893" i="33"/>
  <c r="X5" i="33"/>
  <c r="X6" i="33"/>
  <c r="X7" i="33"/>
  <c r="X8" i="33"/>
  <c r="X9" i="33"/>
  <c r="X10" i="33"/>
  <c r="X11" i="33"/>
  <c r="X12" i="33"/>
  <c r="X13" i="33"/>
  <c r="X14" i="33"/>
  <c r="X16" i="33"/>
  <c r="X18" i="33"/>
  <c r="X20" i="33"/>
  <c r="X22" i="33"/>
  <c r="X24" i="33"/>
  <c r="X26" i="33"/>
  <c r="X28" i="33"/>
  <c r="X30" i="33"/>
  <c r="X32" i="33"/>
  <c r="X33" i="33"/>
  <c r="X34" i="33"/>
  <c r="X35" i="33"/>
  <c r="X36" i="33"/>
  <c r="X38" i="33"/>
  <c r="X40" i="33"/>
  <c r="X42" i="33"/>
  <c r="X44" i="33"/>
  <c r="X46" i="33"/>
  <c r="X48" i="33"/>
  <c r="X50" i="33"/>
  <c r="X52" i="33"/>
  <c r="X54" i="33"/>
  <c r="X56" i="33"/>
  <c r="X58" i="33"/>
  <c r="X60" i="33"/>
  <c r="X62" i="33"/>
  <c r="X64" i="33"/>
  <c r="X66" i="33"/>
  <c r="X68" i="33"/>
  <c r="X70" i="33"/>
  <c r="X72" i="33"/>
  <c r="X74" i="33"/>
  <c r="X76" i="33"/>
  <c r="X78" i="33"/>
  <c r="X79" i="33"/>
  <c r="X80" i="33"/>
  <c r="X82" i="33"/>
  <c r="X84" i="33"/>
  <c r="X86" i="33"/>
  <c r="X88" i="33"/>
  <c r="X90" i="33"/>
  <c r="X92" i="33"/>
  <c r="X94" i="33"/>
  <c r="X96" i="33"/>
  <c r="X98" i="33"/>
  <c r="X102" i="33"/>
  <c r="X110" i="33"/>
  <c r="X112" i="33"/>
  <c r="X114" i="33"/>
  <c r="X116" i="33"/>
  <c r="X118" i="33"/>
  <c r="X120" i="33"/>
  <c r="X123" i="33"/>
  <c r="X125" i="33"/>
  <c r="X126" i="33"/>
  <c r="X127" i="33"/>
  <c r="X128" i="33"/>
  <c r="X129" i="33"/>
  <c r="X131" i="33"/>
  <c r="X133" i="33"/>
  <c r="X135" i="33"/>
  <c r="X137" i="33"/>
  <c r="X141" i="33"/>
  <c r="X143" i="33"/>
  <c r="X146" i="33"/>
  <c r="X147" i="33"/>
  <c r="X148" i="33"/>
  <c r="X149" i="33"/>
  <c r="X150" i="33"/>
  <c r="X151" i="33"/>
  <c r="X153" i="33"/>
  <c r="X155" i="33"/>
  <c r="X157" i="33"/>
  <c r="X159" i="33"/>
  <c r="X160" i="33"/>
  <c r="X161" i="33"/>
  <c r="X163" i="33"/>
  <c r="X165" i="33"/>
  <c r="X167" i="33"/>
  <c r="X169" i="33"/>
  <c r="X171" i="33"/>
  <c r="X173" i="33"/>
  <c r="X175" i="33"/>
  <c r="X177" i="33"/>
  <c r="X179" i="33"/>
  <c r="X182" i="33"/>
  <c r="X184" i="33"/>
  <c r="X187" i="33"/>
  <c r="X188" i="33"/>
  <c r="X189" i="33"/>
  <c r="X190" i="33"/>
  <c r="X191" i="33"/>
  <c r="X193" i="33"/>
  <c r="X197" i="33"/>
  <c r="X202" i="33"/>
  <c r="X204" i="33"/>
  <c r="X206" i="33"/>
  <c r="X207" i="33"/>
  <c r="X208" i="33"/>
  <c r="X210" i="33"/>
  <c r="X212" i="33"/>
  <c r="X214" i="33"/>
  <c r="X216" i="33"/>
  <c r="X218" i="33"/>
  <c r="X221" i="33"/>
  <c r="X222" i="33"/>
  <c r="X223" i="33"/>
  <c r="X224" i="33"/>
  <c r="X226" i="33"/>
  <c r="X228" i="33"/>
  <c r="X232" i="33"/>
  <c r="X234" i="33"/>
  <c r="X236" i="33"/>
  <c r="X239" i="33"/>
  <c r="X241" i="33"/>
  <c r="X243" i="33"/>
  <c r="X245" i="33"/>
  <c r="X247" i="33"/>
  <c r="X258" i="33"/>
  <c r="X260" i="33"/>
  <c r="X262" i="33"/>
  <c r="X266" i="33"/>
  <c r="X269" i="33"/>
  <c r="X270" i="33"/>
  <c r="X271" i="33"/>
  <c r="X272" i="33"/>
  <c r="X275" i="33"/>
  <c r="X276" i="33"/>
  <c r="X277" i="33"/>
  <c r="X278" i="33"/>
  <c r="X279" i="33"/>
  <c r="X280" i="33"/>
  <c r="X281" i="33"/>
  <c r="X282" i="33"/>
  <c r="X284" i="33"/>
  <c r="X286" i="33"/>
  <c r="X288" i="33"/>
  <c r="X290" i="33"/>
  <c r="X292" i="33"/>
  <c r="X293" i="33"/>
  <c r="X294" i="33"/>
  <c r="X295" i="33"/>
  <c r="X296" i="33"/>
  <c r="X302" i="33"/>
  <c r="X304" i="33"/>
  <c r="X306" i="33"/>
  <c r="X308" i="33"/>
  <c r="X310" i="33"/>
  <c r="X312" i="33"/>
  <c r="X314" i="33"/>
  <c r="X316" i="33"/>
  <c r="X318" i="33"/>
  <c r="X320" i="33"/>
  <c r="X322" i="33"/>
  <c r="X324" i="33"/>
  <c r="X326" i="33"/>
  <c r="X2893" i="33"/>
  <c r="W5" i="33"/>
  <c r="W6" i="33"/>
  <c r="W7" i="33"/>
  <c r="W8" i="33"/>
  <c r="W9" i="33"/>
  <c r="W10" i="33"/>
  <c r="W11" i="33"/>
  <c r="W12" i="33"/>
  <c r="W13" i="33"/>
  <c r="W14" i="33"/>
  <c r="W16" i="33"/>
  <c r="W18" i="33"/>
  <c r="W20" i="33"/>
  <c r="W22" i="33"/>
  <c r="W24" i="33"/>
  <c r="W26" i="33"/>
  <c r="W28" i="33"/>
  <c r="W30" i="33"/>
  <c r="W32" i="33"/>
  <c r="W33" i="33"/>
  <c r="W34" i="33"/>
  <c r="W35" i="33"/>
  <c r="W36" i="33"/>
  <c r="W38" i="33"/>
  <c r="W40" i="33"/>
  <c r="W42" i="33"/>
  <c r="W44" i="33"/>
  <c r="W46" i="33"/>
  <c r="W48" i="33"/>
  <c r="W50" i="33"/>
  <c r="W52" i="33"/>
  <c r="W54" i="33"/>
  <c r="W56" i="33"/>
  <c r="W58" i="33"/>
  <c r="W60" i="33"/>
  <c r="W62" i="33"/>
  <c r="W64" i="33"/>
  <c r="W66" i="33"/>
  <c r="W68" i="33"/>
  <c r="W70" i="33"/>
  <c r="W72" i="33"/>
  <c r="W74" i="33"/>
  <c r="W76" i="33"/>
  <c r="W78" i="33"/>
  <c r="W79" i="33"/>
  <c r="W80" i="33"/>
  <c r="W82" i="33"/>
  <c r="W84" i="33"/>
  <c r="W86" i="33"/>
  <c r="W88" i="33"/>
  <c r="W90" i="33"/>
  <c r="W92" i="33"/>
  <c r="W94" i="33"/>
  <c r="W96" i="33"/>
  <c r="W98" i="33"/>
  <c r="W102" i="33"/>
  <c r="W110" i="33"/>
  <c r="W112" i="33"/>
  <c r="W114" i="33"/>
  <c r="W116" i="33"/>
  <c r="W118" i="33"/>
  <c r="W120" i="33"/>
  <c r="W123" i="33"/>
  <c r="W125" i="33"/>
  <c r="W126" i="33"/>
  <c r="W127" i="33"/>
  <c r="W128" i="33"/>
  <c r="W129" i="33"/>
  <c r="W131" i="33"/>
  <c r="W133" i="33"/>
  <c r="W135" i="33"/>
  <c r="W137" i="33"/>
  <c r="W141" i="33"/>
  <c r="W143" i="33"/>
  <c r="W146" i="33"/>
  <c r="W147" i="33"/>
  <c r="W148" i="33"/>
  <c r="W149" i="33"/>
  <c r="W150" i="33"/>
  <c r="W151" i="33"/>
  <c r="W153" i="33"/>
  <c r="W155" i="33"/>
  <c r="W157" i="33"/>
  <c r="W159" i="33"/>
  <c r="W160" i="33"/>
  <c r="W161" i="33"/>
  <c r="W163" i="33"/>
  <c r="W165" i="33"/>
  <c r="W167" i="33"/>
  <c r="W169" i="33"/>
  <c r="W171" i="33"/>
  <c r="W173" i="33"/>
  <c r="W175" i="33"/>
  <c r="W177" i="33"/>
  <c r="W179" i="33"/>
  <c r="W182" i="33"/>
  <c r="W184" i="33"/>
  <c r="W187" i="33"/>
  <c r="W188" i="33"/>
  <c r="W189" i="33"/>
  <c r="W190" i="33"/>
  <c r="W191" i="33"/>
  <c r="W193" i="33"/>
  <c r="W197" i="33"/>
  <c r="W202" i="33"/>
  <c r="W204" i="33"/>
  <c r="W206" i="33"/>
  <c r="W207" i="33"/>
  <c r="W208" i="33"/>
  <c r="W210" i="33"/>
  <c r="W212" i="33"/>
  <c r="W214" i="33"/>
  <c r="W216" i="33"/>
  <c r="W218" i="33"/>
  <c r="W221" i="33"/>
  <c r="W222" i="33"/>
  <c r="W223" i="33"/>
  <c r="W224" i="33"/>
  <c r="W226" i="33"/>
  <c r="W228" i="33"/>
  <c r="W232" i="33"/>
  <c r="W234" i="33"/>
  <c r="W236" i="33"/>
  <c r="W239" i="33"/>
  <c r="W241" i="33"/>
  <c r="W243" i="33"/>
  <c r="W245" i="33"/>
  <c r="W247" i="33"/>
  <c r="W258" i="33"/>
  <c r="W260" i="33"/>
  <c r="W262" i="33"/>
  <c r="W266" i="33"/>
  <c r="W269" i="33"/>
  <c r="W270" i="33"/>
  <c r="W271" i="33"/>
  <c r="W272" i="33"/>
  <c r="W275" i="33"/>
  <c r="W276" i="33"/>
  <c r="W277" i="33"/>
  <c r="W278" i="33"/>
  <c r="W279" i="33"/>
  <c r="W280" i="33"/>
  <c r="W281" i="33"/>
  <c r="W282" i="33"/>
  <c r="W284" i="33"/>
  <c r="W286" i="33"/>
  <c r="W288" i="33"/>
  <c r="W290" i="33"/>
  <c r="W292" i="33"/>
  <c r="W293" i="33"/>
  <c r="W294" i="33"/>
  <c r="W295" i="33"/>
  <c r="W296" i="33"/>
  <c r="W302" i="33"/>
  <c r="W304" i="33"/>
  <c r="W306" i="33"/>
  <c r="W308" i="33"/>
  <c r="W310" i="33"/>
  <c r="W312" i="33"/>
  <c r="W314" i="33"/>
  <c r="W316" i="33"/>
  <c r="W318" i="33"/>
  <c r="W320" i="33"/>
  <c r="W322" i="33"/>
  <c r="W324" i="33"/>
  <c r="W326" i="33"/>
  <c r="W2893" i="33"/>
  <c r="V5" i="33"/>
  <c r="V6" i="33"/>
  <c r="V7" i="33"/>
  <c r="V8" i="33"/>
  <c r="V9" i="33"/>
  <c r="V10" i="33"/>
  <c r="V11" i="33"/>
  <c r="V12" i="33"/>
  <c r="V13" i="33"/>
  <c r="V14" i="33"/>
  <c r="V15" i="33"/>
  <c r="V16" i="33"/>
  <c r="V17" i="33"/>
  <c r="V18" i="33"/>
  <c r="V19" i="33"/>
  <c r="V20" i="33"/>
  <c r="V21" i="33"/>
  <c r="V22" i="33"/>
  <c r="V23" i="33"/>
  <c r="V24" i="33"/>
  <c r="V25" i="33"/>
  <c r="V26" i="33"/>
  <c r="V27" i="33"/>
  <c r="V28" i="33"/>
  <c r="V29" i="33"/>
  <c r="V30" i="33"/>
  <c r="V31" i="33"/>
  <c r="V32" i="33"/>
  <c r="V33" i="33"/>
  <c r="V34" i="33"/>
  <c r="V35" i="33"/>
  <c r="V36" i="33"/>
  <c r="V37" i="33"/>
  <c r="V38" i="33"/>
  <c r="V39" i="33"/>
  <c r="V40" i="33"/>
  <c r="V41" i="33"/>
  <c r="V42" i="33"/>
  <c r="V43" i="33"/>
  <c r="V44" i="33"/>
  <c r="V45" i="33"/>
  <c r="V46" i="33"/>
  <c r="V47" i="33"/>
  <c r="V48" i="33"/>
  <c r="V49" i="33"/>
  <c r="V50" i="33"/>
  <c r="V51" i="33"/>
  <c r="V52" i="33"/>
  <c r="V53" i="33"/>
  <c r="V54" i="33"/>
  <c r="V55" i="33"/>
  <c r="V56" i="33"/>
  <c r="V57" i="33"/>
  <c r="V58" i="33"/>
  <c r="V59" i="33"/>
  <c r="V60" i="33"/>
  <c r="V61" i="33"/>
  <c r="V62" i="33"/>
  <c r="V63" i="33"/>
  <c r="V64" i="33"/>
  <c r="V65" i="33"/>
  <c r="V66" i="33"/>
  <c r="V67" i="33"/>
  <c r="V68" i="33"/>
  <c r="V69" i="33"/>
  <c r="V70" i="33"/>
  <c r="V71" i="33"/>
  <c r="V72" i="33"/>
  <c r="V73" i="33"/>
  <c r="V74" i="33"/>
  <c r="V75" i="33"/>
  <c r="V76" i="33"/>
  <c r="V77" i="33"/>
  <c r="V78" i="33"/>
  <c r="V79" i="33"/>
  <c r="V80" i="33"/>
  <c r="V81" i="33"/>
  <c r="V82" i="33"/>
  <c r="V83" i="33"/>
  <c r="V84" i="33"/>
  <c r="V85" i="33"/>
  <c r="V86" i="33"/>
  <c r="V87" i="33"/>
  <c r="V88" i="33"/>
  <c r="V89" i="33"/>
  <c r="V90" i="33"/>
  <c r="V91" i="33"/>
  <c r="V92" i="33"/>
  <c r="V93" i="33"/>
  <c r="V94" i="33"/>
  <c r="V95" i="33"/>
  <c r="V96" i="33"/>
  <c r="V97" i="33"/>
  <c r="V98" i="33"/>
  <c r="V102" i="33"/>
  <c r="V110" i="33"/>
  <c r="V111" i="33"/>
  <c r="V112" i="33"/>
  <c r="V113" i="33"/>
  <c r="V114" i="33"/>
  <c r="V115" i="33"/>
  <c r="V116" i="33"/>
  <c r="V117" i="33"/>
  <c r="V118" i="33"/>
  <c r="V119" i="33"/>
  <c r="V120" i="33"/>
  <c r="V121" i="33"/>
  <c r="V123" i="33"/>
  <c r="V124" i="33"/>
  <c r="V125" i="33"/>
  <c r="V126" i="33"/>
  <c r="V127" i="33"/>
  <c r="V128" i="33"/>
  <c r="V129" i="33"/>
  <c r="V130" i="33"/>
  <c r="V131" i="33"/>
  <c r="V132" i="33"/>
  <c r="V133" i="33"/>
  <c r="V134" i="33"/>
  <c r="V135" i="33"/>
  <c r="V136" i="33"/>
  <c r="V137" i="33"/>
  <c r="V140" i="33"/>
  <c r="V141" i="33"/>
  <c r="V143" i="33"/>
  <c r="V146" i="33"/>
  <c r="V147" i="33"/>
  <c r="V148" i="33"/>
  <c r="V149" i="33"/>
  <c r="V150" i="33"/>
  <c r="V151" i="33"/>
  <c r="V152" i="33"/>
  <c r="V153" i="33"/>
  <c r="V154" i="33"/>
  <c r="V155" i="33"/>
  <c r="V156" i="33"/>
  <c r="V157" i="33"/>
  <c r="V158" i="33"/>
  <c r="V159" i="33"/>
  <c r="V160" i="33"/>
  <c r="V161" i="33"/>
  <c r="V162" i="33"/>
  <c r="V163" i="33"/>
  <c r="V164" i="33"/>
  <c r="V165" i="33"/>
  <c r="V166" i="33"/>
  <c r="V167" i="33"/>
  <c r="V168" i="33"/>
  <c r="V169" i="33"/>
  <c r="V170" i="33"/>
  <c r="V171" i="33"/>
  <c r="V172" i="33"/>
  <c r="V173" i="33"/>
  <c r="V174" i="33"/>
  <c r="V175" i="33"/>
  <c r="V176" i="33"/>
  <c r="V177" i="33"/>
  <c r="V178" i="33"/>
  <c r="V179" i="33"/>
  <c r="V180" i="33"/>
  <c r="V181" i="33"/>
  <c r="V182" i="33"/>
  <c r="V183" i="33"/>
  <c r="V184" i="33"/>
  <c r="V185" i="33"/>
  <c r="V186" i="33"/>
  <c r="V187" i="33"/>
  <c r="V188" i="33"/>
  <c r="V189" i="33"/>
  <c r="V190" i="33"/>
  <c r="V191" i="33"/>
  <c r="V192" i="33"/>
  <c r="V193" i="33"/>
  <c r="V196" i="33"/>
  <c r="V197" i="33"/>
  <c r="V201" i="33"/>
  <c r="V202" i="33"/>
  <c r="V203" i="33"/>
  <c r="V204" i="33"/>
  <c r="V205" i="33"/>
  <c r="V206" i="33"/>
  <c r="V207" i="33"/>
  <c r="V208" i="33"/>
  <c r="V209" i="33"/>
  <c r="V210" i="33"/>
  <c r="V211" i="33"/>
  <c r="V212" i="33"/>
  <c r="V213" i="33"/>
  <c r="V214" i="33"/>
  <c r="V215" i="33"/>
  <c r="V216" i="33"/>
  <c r="V217" i="33"/>
  <c r="V218" i="33"/>
  <c r="V221" i="33"/>
  <c r="V222" i="33"/>
  <c r="V223" i="33"/>
  <c r="V224" i="33"/>
  <c r="V225" i="33"/>
  <c r="V226" i="33"/>
  <c r="V227" i="33"/>
  <c r="V228" i="33"/>
  <c r="V231" i="33"/>
  <c r="V232" i="33"/>
  <c r="V233" i="33"/>
  <c r="V234" i="33"/>
  <c r="V235" i="33"/>
  <c r="V236" i="33"/>
  <c r="V237" i="33"/>
  <c r="V238" i="33"/>
  <c r="V239" i="33"/>
  <c r="V240" i="33"/>
  <c r="V241" i="33"/>
  <c r="V242" i="33"/>
  <c r="V243" i="33"/>
  <c r="V244" i="33"/>
  <c r="V245" i="33"/>
  <c r="V246" i="33"/>
  <c r="V247" i="33"/>
  <c r="V257" i="33"/>
  <c r="V258" i="33"/>
  <c r="V259" i="33"/>
  <c r="V260" i="33"/>
  <c r="V262" i="33"/>
  <c r="V266" i="33"/>
  <c r="V269" i="33"/>
  <c r="V270" i="33"/>
  <c r="V271" i="33"/>
  <c r="V272" i="33"/>
  <c r="V275" i="33"/>
  <c r="V276" i="33"/>
  <c r="V277" i="33"/>
  <c r="V278" i="33"/>
  <c r="V279" i="33"/>
  <c r="V280" i="33"/>
  <c r="V281" i="33"/>
  <c r="V282" i="33"/>
  <c r="V283" i="33"/>
  <c r="V284" i="33"/>
  <c r="V285" i="33"/>
  <c r="V286" i="33"/>
  <c r="V287" i="33"/>
  <c r="V288" i="33"/>
  <c r="V289" i="33"/>
  <c r="V290" i="33"/>
  <c r="V291" i="33"/>
  <c r="V292" i="33"/>
  <c r="V293" i="33"/>
  <c r="V294" i="33"/>
  <c r="V295" i="33"/>
  <c r="V296" i="33"/>
  <c r="V301" i="33"/>
  <c r="V302" i="33"/>
  <c r="V303" i="33"/>
  <c r="V304" i="33"/>
  <c r="V305" i="33"/>
  <c r="V306" i="33"/>
  <c r="V307" i="33"/>
  <c r="V308" i="33"/>
  <c r="V309" i="33"/>
  <c r="V310" i="33"/>
  <c r="V311" i="33"/>
  <c r="V312" i="33"/>
  <c r="V313" i="33"/>
  <c r="V314" i="33"/>
  <c r="V315" i="33"/>
  <c r="V316" i="33"/>
  <c r="V317" i="33"/>
  <c r="V318" i="33"/>
  <c r="V319" i="33"/>
  <c r="V320" i="33"/>
  <c r="V321" i="33"/>
  <c r="V322" i="33"/>
  <c r="V323" i="33"/>
  <c r="V324" i="33"/>
  <c r="V325" i="33"/>
  <c r="V326" i="33"/>
  <c r="V327" i="33"/>
  <c r="V2893" i="33"/>
  <c r="T5" i="33"/>
  <c r="T6" i="33"/>
  <c r="T7" i="33"/>
  <c r="T8" i="33"/>
  <c r="T9" i="33"/>
  <c r="T10" i="33"/>
  <c r="T11" i="33"/>
  <c r="T12" i="33"/>
  <c r="T13" i="33"/>
  <c r="T14" i="33"/>
  <c r="T16" i="33"/>
  <c r="T18" i="33"/>
  <c r="T20" i="33"/>
  <c r="T22" i="33"/>
  <c r="T24" i="33"/>
  <c r="T26" i="33"/>
  <c r="T28" i="33"/>
  <c r="T30" i="33"/>
  <c r="T32" i="33"/>
  <c r="T33" i="33"/>
  <c r="T34" i="33"/>
  <c r="T35" i="33"/>
  <c r="T36" i="33"/>
  <c r="T38" i="33"/>
  <c r="T40" i="33"/>
  <c r="T42" i="33"/>
  <c r="T44" i="33"/>
  <c r="T46" i="33"/>
  <c r="T48" i="33"/>
  <c r="T50" i="33"/>
  <c r="T52" i="33"/>
  <c r="T54" i="33"/>
  <c r="T56" i="33"/>
  <c r="T58" i="33"/>
  <c r="T60" i="33"/>
  <c r="T62" i="33"/>
  <c r="T64" i="33"/>
  <c r="T66" i="33"/>
  <c r="T68" i="33"/>
  <c r="T70" i="33"/>
  <c r="T72" i="33"/>
  <c r="T74" i="33"/>
  <c r="T76" i="33"/>
  <c r="T78" i="33"/>
  <c r="T79" i="33"/>
  <c r="T80" i="33"/>
  <c r="T82" i="33"/>
  <c r="T84" i="33"/>
  <c r="T85" i="33"/>
  <c r="T86" i="33"/>
  <c r="T87" i="33"/>
  <c r="Y87" i="33" s="1"/>
  <c r="T88" i="33"/>
  <c r="T89" i="33"/>
  <c r="T90" i="33"/>
  <c r="T91" i="33"/>
  <c r="Y91" i="33" s="1"/>
  <c r="T92" i="33"/>
  <c r="T93" i="33"/>
  <c r="Z93" i="33" s="1"/>
  <c r="T94" i="33"/>
  <c r="T95" i="33"/>
  <c r="T96" i="33"/>
  <c r="T97" i="33"/>
  <c r="T98" i="33"/>
  <c r="T102" i="33"/>
  <c r="T110" i="33"/>
  <c r="T111" i="33"/>
  <c r="T112" i="33"/>
  <c r="T113" i="33"/>
  <c r="Y113" i="33" s="1"/>
  <c r="T114" i="33"/>
  <c r="T115" i="33"/>
  <c r="T116" i="33"/>
  <c r="T117" i="33"/>
  <c r="T118" i="33"/>
  <c r="T119" i="33"/>
  <c r="T120" i="33"/>
  <c r="T121" i="33"/>
  <c r="Z121" i="33" s="1"/>
  <c r="T123" i="33"/>
  <c r="T124" i="33"/>
  <c r="T125" i="33"/>
  <c r="T126" i="33"/>
  <c r="T127" i="33"/>
  <c r="T128" i="33"/>
  <c r="T129" i="33"/>
  <c r="T130" i="33"/>
  <c r="T131" i="33"/>
  <c r="T132" i="33"/>
  <c r="T133" i="33"/>
  <c r="T134" i="33"/>
  <c r="T135" i="33"/>
  <c r="T136" i="33"/>
  <c r="T137" i="33"/>
  <c r="T140" i="33"/>
  <c r="Z140" i="33" s="1"/>
  <c r="T141" i="33"/>
  <c r="T143" i="33"/>
  <c r="T146" i="33"/>
  <c r="T147" i="33"/>
  <c r="T148" i="33"/>
  <c r="T149" i="33"/>
  <c r="T150" i="33"/>
  <c r="T151" i="33"/>
  <c r="T152" i="33"/>
  <c r="W152" i="33" s="1"/>
  <c r="T153" i="33"/>
  <c r="T154" i="33"/>
  <c r="Y154" i="33" s="1"/>
  <c r="T155" i="33"/>
  <c r="T156" i="33"/>
  <c r="W156" i="33" s="1"/>
  <c r="T157" i="33"/>
  <c r="T158" i="33"/>
  <c r="Y158" i="33" s="1"/>
  <c r="T159" i="33"/>
  <c r="T160" i="33"/>
  <c r="T161" i="33"/>
  <c r="T162" i="33"/>
  <c r="Z162" i="33" s="1"/>
  <c r="T163" i="33"/>
  <c r="T164" i="33"/>
  <c r="X164" i="33" s="1"/>
  <c r="T165" i="33"/>
  <c r="T166" i="33"/>
  <c r="Y166" i="33" s="1"/>
  <c r="T167" i="33"/>
  <c r="T168" i="33"/>
  <c r="X168" i="33" s="1"/>
  <c r="T169" i="33"/>
  <c r="T170" i="33"/>
  <c r="X170" i="33" s="1"/>
  <c r="T171" i="33"/>
  <c r="T172" i="33"/>
  <c r="Z172" i="33" s="1"/>
  <c r="T173" i="33"/>
  <c r="T174" i="33"/>
  <c r="W174" i="33" s="1"/>
  <c r="T175" i="33"/>
  <c r="T176" i="33"/>
  <c r="Z176" i="33" s="1"/>
  <c r="T177" i="33"/>
  <c r="T178" i="33"/>
  <c r="Z178" i="33" s="1"/>
  <c r="T179" i="33"/>
  <c r="T180" i="33"/>
  <c r="T181" i="33"/>
  <c r="W181" i="33" s="1"/>
  <c r="T182" i="33"/>
  <c r="T183" i="33"/>
  <c r="T184" i="33"/>
  <c r="T185" i="33"/>
  <c r="T186" i="33"/>
  <c r="W186" i="33" s="1"/>
  <c r="T187" i="33"/>
  <c r="T188" i="33"/>
  <c r="T189" i="33"/>
  <c r="T190" i="33"/>
  <c r="T191" i="33"/>
  <c r="T192" i="33"/>
  <c r="Y192" i="33" s="1"/>
  <c r="T193" i="33"/>
  <c r="T196" i="33"/>
  <c r="Y196" i="33" s="1"/>
  <c r="T197" i="33"/>
  <c r="T201" i="33"/>
  <c r="T202" i="33"/>
  <c r="T203" i="33"/>
  <c r="W203" i="33" s="1"/>
  <c r="T204" i="33"/>
  <c r="T205" i="33"/>
  <c r="Z205" i="33" s="1"/>
  <c r="T206" i="33"/>
  <c r="T207" i="33"/>
  <c r="T208" i="33"/>
  <c r="T209" i="33"/>
  <c r="T210" i="33"/>
  <c r="T211" i="33"/>
  <c r="Y211" i="33" s="1"/>
  <c r="T212" i="33"/>
  <c r="T213" i="33"/>
  <c r="Z213" i="33" s="1"/>
  <c r="T214" i="33"/>
  <c r="T215" i="33"/>
  <c r="W215" i="33" s="1"/>
  <c r="T216" i="33"/>
  <c r="T217" i="33"/>
  <c r="T218" i="33"/>
  <c r="T221" i="33"/>
  <c r="T222" i="33"/>
  <c r="T223" i="33"/>
  <c r="T224" i="33"/>
  <c r="T225" i="33"/>
  <c r="X225" i="33" s="1"/>
  <c r="T226" i="33"/>
  <c r="T227" i="33"/>
  <c r="X227" i="33" s="1"/>
  <c r="T228" i="33"/>
  <c r="T231" i="33"/>
  <c r="T232" i="33"/>
  <c r="T233" i="33"/>
  <c r="T234" i="33"/>
  <c r="T235" i="33"/>
  <c r="Y235" i="33" s="1"/>
  <c r="T236" i="33"/>
  <c r="T237" i="33"/>
  <c r="T238" i="33"/>
  <c r="T239" i="33"/>
  <c r="T240" i="33"/>
  <c r="Y240" i="33" s="1"/>
  <c r="T241" i="33"/>
  <c r="T242" i="33"/>
  <c r="T243" i="33"/>
  <c r="T244" i="33"/>
  <c r="T245" i="33"/>
  <c r="T246" i="33"/>
  <c r="Z246" i="33" s="1"/>
  <c r="T247" i="33"/>
  <c r="T257" i="33"/>
  <c r="T258" i="33"/>
  <c r="T259" i="33"/>
  <c r="T260" i="33"/>
  <c r="T262" i="33"/>
  <c r="T266" i="33"/>
  <c r="T269" i="33"/>
  <c r="T270" i="33"/>
  <c r="T271" i="33"/>
  <c r="T272" i="33"/>
  <c r="T275" i="33"/>
  <c r="T276" i="33"/>
  <c r="T277" i="33"/>
  <c r="T278" i="33"/>
  <c r="T279" i="33"/>
  <c r="T280" i="33"/>
  <c r="T281" i="33"/>
  <c r="T282" i="33"/>
  <c r="T283" i="33"/>
  <c r="Z283" i="33" s="1"/>
  <c r="T284" i="33"/>
  <c r="T285" i="33"/>
  <c r="T286" i="33"/>
  <c r="T287" i="33"/>
  <c r="T288" i="33"/>
  <c r="T289" i="33"/>
  <c r="T290" i="33"/>
  <c r="T291" i="33"/>
  <c r="Y291" i="33" s="1"/>
  <c r="T292" i="33"/>
  <c r="T293" i="33"/>
  <c r="T294" i="33"/>
  <c r="T295" i="33"/>
  <c r="T296" i="33"/>
  <c r="T301" i="33"/>
  <c r="X301" i="33" s="1"/>
  <c r="T302" i="33"/>
  <c r="T303" i="33"/>
  <c r="T304" i="33"/>
  <c r="T305" i="33"/>
  <c r="W305" i="33" s="1"/>
  <c r="T306" i="33"/>
  <c r="T307" i="33"/>
  <c r="T308" i="33"/>
  <c r="T309" i="33"/>
  <c r="Z309" i="33" s="1"/>
  <c r="T310" i="33"/>
  <c r="T311" i="33"/>
  <c r="T312" i="33"/>
  <c r="T313" i="33"/>
  <c r="T314" i="33"/>
  <c r="T315" i="33"/>
  <c r="T316" i="33"/>
  <c r="T317" i="33"/>
  <c r="Y317" i="33" s="1"/>
  <c r="T318" i="33"/>
  <c r="T319" i="33"/>
  <c r="W319" i="33" s="1"/>
  <c r="T320" i="33"/>
  <c r="T321" i="33"/>
  <c r="Z321" i="33" s="1"/>
  <c r="T322" i="33"/>
  <c r="T323" i="33"/>
  <c r="Z323" i="33" s="1"/>
  <c r="T324" i="33"/>
  <c r="T325" i="33"/>
  <c r="W325" i="33" s="1"/>
  <c r="T326" i="33"/>
  <c r="T327" i="33"/>
  <c r="X327" i="33" s="1"/>
  <c r="T2893" i="33"/>
  <c r="S5" i="33"/>
  <c r="S6" i="33"/>
  <c r="S7" i="33"/>
  <c r="S8" i="33"/>
  <c r="S9" i="33"/>
  <c r="S10" i="33"/>
  <c r="S11" i="33"/>
  <c r="S12" i="33"/>
  <c r="S13" i="33"/>
  <c r="S14" i="33"/>
  <c r="S15" i="33"/>
  <c r="S16" i="33"/>
  <c r="S17" i="33"/>
  <c r="S18" i="33"/>
  <c r="S19" i="33"/>
  <c r="S20" i="33"/>
  <c r="S21" i="33"/>
  <c r="S22" i="33"/>
  <c r="S23" i="33"/>
  <c r="S24" i="33"/>
  <c r="S25" i="33"/>
  <c r="S26" i="33"/>
  <c r="S27" i="33"/>
  <c r="S28" i="33"/>
  <c r="S29" i="33"/>
  <c r="S30" i="33"/>
  <c r="S31" i="33"/>
  <c r="S32" i="33"/>
  <c r="S33" i="33"/>
  <c r="S34" i="33"/>
  <c r="S35" i="33"/>
  <c r="S36" i="33"/>
  <c r="S37" i="33"/>
  <c r="S38" i="33"/>
  <c r="S39" i="33"/>
  <c r="S40" i="33"/>
  <c r="S41" i="33"/>
  <c r="S42" i="33"/>
  <c r="S43" i="33"/>
  <c r="S44" i="33"/>
  <c r="S45" i="33"/>
  <c r="S46" i="33"/>
  <c r="S47" i="33"/>
  <c r="S48" i="33"/>
  <c r="S49" i="33"/>
  <c r="S50" i="33"/>
  <c r="S51" i="33"/>
  <c r="S52" i="33"/>
  <c r="S53" i="33"/>
  <c r="S54" i="33"/>
  <c r="S55" i="33"/>
  <c r="S56" i="33"/>
  <c r="S57" i="33"/>
  <c r="S58" i="33"/>
  <c r="S59" i="33"/>
  <c r="S60" i="33"/>
  <c r="S61" i="33"/>
  <c r="S62" i="33"/>
  <c r="S63" i="33"/>
  <c r="S64" i="33"/>
  <c r="S65" i="33"/>
  <c r="S66" i="33"/>
  <c r="S67" i="33"/>
  <c r="S68" i="33"/>
  <c r="S69" i="33"/>
  <c r="S70" i="33"/>
  <c r="S71" i="33"/>
  <c r="S72" i="33"/>
  <c r="S73" i="33"/>
  <c r="S74" i="33"/>
  <c r="S75" i="33"/>
  <c r="S76" i="33"/>
  <c r="S77" i="33"/>
  <c r="S78" i="33"/>
  <c r="S79" i="33"/>
  <c r="S80" i="33"/>
  <c r="S81" i="33"/>
  <c r="S82" i="33"/>
  <c r="S83" i="33"/>
  <c r="S84" i="33"/>
  <c r="S85" i="33"/>
  <c r="S86" i="33"/>
  <c r="S87" i="33"/>
  <c r="S88" i="33"/>
  <c r="S89" i="33"/>
  <c r="S90" i="33"/>
  <c r="S91" i="33"/>
  <c r="S92" i="33"/>
  <c r="S93" i="33"/>
  <c r="S94" i="33"/>
  <c r="S95" i="33"/>
  <c r="S96" i="33"/>
  <c r="S97" i="33"/>
  <c r="S98" i="33"/>
  <c r="S102" i="33"/>
  <c r="S110" i="33"/>
  <c r="S111" i="33"/>
  <c r="S112" i="33"/>
  <c r="S113" i="33"/>
  <c r="S114" i="33"/>
  <c r="S115" i="33"/>
  <c r="S116" i="33"/>
  <c r="S117" i="33"/>
  <c r="S118" i="33"/>
  <c r="S119" i="33"/>
  <c r="S120" i="33"/>
  <c r="S121" i="33"/>
  <c r="S123" i="33"/>
  <c r="S124" i="33"/>
  <c r="S125" i="33"/>
  <c r="S126" i="33"/>
  <c r="S127" i="33"/>
  <c r="S128" i="33"/>
  <c r="S129" i="33"/>
  <c r="S130" i="33"/>
  <c r="S131" i="33"/>
  <c r="S132" i="33"/>
  <c r="S133" i="33"/>
  <c r="S134" i="33"/>
  <c r="S135" i="33"/>
  <c r="S136" i="33"/>
  <c r="S137" i="33"/>
  <c r="S140" i="33"/>
  <c r="S141" i="33"/>
  <c r="S143" i="33"/>
  <c r="S146" i="33"/>
  <c r="S147" i="33"/>
  <c r="S148" i="33"/>
  <c r="S149" i="33"/>
  <c r="S150" i="33"/>
  <c r="S151" i="33"/>
  <c r="S152" i="33"/>
  <c r="S153" i="33"/>
  <c r="S154" i="33"/>
  <c r="S155" i="33"/>
  <c r="S156" i="33"/>
  <c r="S157" i="33"/>
  <c r="S158" i="33"/>
  <c r="S159" i="33"/>
  <c r="S160" i="33"/>
  <c r="S161" i="33"/>
  <c r="S162" i="33"/>
  <c r="S163" i="33"/>
  <c r="S164" i="33"/>
  <c r="S165" i="33"/>
  <c r="S166" i="33"/>
  <c r="S167" i="33"/>
  <c r="S168" i="33"/>
  <c r="S169" i="33"/>
  <c r="S170" i="33"/>
  <c r="S171" i="33"/>
  <c r="S172" i="33"/>
  <c r="S173" i="33"/>
  <c r="S174" i="33"/>
  <c r="S175" i="33"/>
  <c r="S176" i="33"/>
  <c r="S177" i="33"/>
  <c r="S178" i="33"/>
  <c r="S179" i="33"/>
  <c r="S180" i="33"/>
  <c r="S181" i="33"/>
  <c r="S182" i="33"/>
  <c r="S183" i="33"/>
  <c r="S184" i="33"/>
  <c r="S185" i="33"/>
  <c r="S186" i="33"/>
  <c r="S187" i="33"/>
  <c r="S188" i="33"/>
  <c r="S189" i="33"/>
  <c r="S190" i="33"/>
  <c r="S191" i="33"/>
  <c r="S192" i="33"/>
  <c r="S193" i="33"/>
  <c r="S196" i="33"/>
  <c r="S197" i="33"/>
  <c r="S201" i="33"/>
  <c r="S202" i="33"/>
  <c r="S203" i="33"/>
  <c r="S204" i="33"/>
  <c r="S205" i="33"/>
  <c r="S206" i="33"/>
  <c r="S207" i="33"/>
  <c r="S208" i="33"/>
  <c r="S209" i="33"/>
  <c r="S210" i="33"/>
  <c r="S211" i="33"/>
  <c r="S212" i="33"/>
  <c r="S213" i="33"/>
  <c r="S214" i="33"/>
  <c r="S215" i="33"/>
  <c r="S216" i="33"/>
  <c r="S217" i="33"/>
  <c r="S218" i="33"/>
  <c r="S221" i="33"/>
  <c r="S222" i="33"/>
  <c r="S223" i="33"/>
  <c r="S224" i="33"/>
  <c r="S225" i="33"/>
  <c r="S226" i="33"/>
  <c r="S227" i="33"/>
  <c r="S228" i="33"/>
  <c r="S231" i="33"/>
  <c r="S232" i="33"/>
  <c r="S233" i="33"/>
  <c r="S234" i="33"/>
  <c r="S235" i="33"/>
  <c r="S236" i="33"/>
  <c r="S237" i="33"/>
  <c r="S239" i="33"/>
  <c r="S240" i="33"/>
  <c r="S241" i="33"/>
  <c r="S242" i="33"/>
  <c r="S243" i="33"/>
  <c r="S244" i="33"/>
  <c r="S245" i="33"/>
  <c r="S246" i="33"/>
  <c r="S247" i="33"/>
  <c r="S257" i="33"/>
  <c r="S258" i="33"/>
  <c r="S259" i="33"/>
  <c r="S260" i="33"/>
  <c r="S262" i="33"/>
  <c r="S266" i="33"/>
  <c r="S269" i="33"/>
  <c r="S270" i="33"/>
  <c r="S271" i="33"/>
  <c r="S272" i="33"/>
  <c r="S275" i="33"/>
  <c r="S276" i="33"/>
  <c r="S277" i="33"/>
  <c r="S278" i="33"/>
  <c r="S279" i="33"/>
  <c r="S280" i="33"/>
  <c r="S281" i="33"/>
  <c r="S282" i="33"/>
  <c r="S283" i="33"/>
  <c r="S284" i="33"/>
  <c r="S285" i="33"/>
  <c r="S286" i="33"/>
  <c r="S287" i="33"/>
  <c r="S288" i="33"/>
  <c r="S289" i="33"/>
  <c r="S290" i="33"/>
  <c r="S291" i="33"/>
  <c r="S292" i="33"/>
  <c r="S293" i="33"/>
  <c r="S294" i="33"/>
  <c r="S295" i="33"/>
  <c r="S296" i="33"/>
  <c r="S301" i="33"/>
  <c r="S302" i="33"/>
  <c r="S303" i="33"/>
  <c r="S304" i="33"/>
  <c r="S305" i="33"/>
  <c r="S306" i="33"/>
  <c r="S307" i="33"/>
  <c r="S308" i="33"/>
  <c r="S309" i="33"/>
  <c r="S310" i="33"/>
  <c r="S311" i="33"/>
  <c r="S312" i="33"/>
  <c r="S313" i="33"/>
  <c r="S314" i="33"/>
  <c r="S315" i="33"/>
  <c r="S316" i="33"/>
  <c r="S317" i="33"/>
  <c r="S318" i="33"/>
  <c r="S319" i="33"/>
  <c r="S320" i="33"/>
  <c r="S321" i="33"/>
  <c r="S322" i="33"/>
  <c r="S323" i="33"/>
  <c r="S324" i="33"/>
  <c r="S325" i="33"/>
  <c r="S326" i="33"/>
  <c r="S327" i="33"/>
  <c r="S2893" i="33"/>
  <c r="R5" i="33"/>
  <c r="R6" i="33"/>
  <c r="R7" i="33"/>
  <c r="R8" i="33"/>
  <c r="R9" i="33"/>
  <c r="R10" i="33"/>
  <c r="R11" i="33"/>
  <c r="R12" i="33"/>
  <c r="R13" i="33"/>
  <c r="R14" i="33"/>
  <c r="R15" i="33"/>
  <c r="R16" i="33"/>
  <c r="R17" i="33"/>
  <c r="R18" i="33"/>
  <c r="R19" i="33"/>
  <c r="R20" i="33"/>
  <c r="R21" i="33"/>
  <c r="R22" i="33"/>
  <c r="R23" i="33"/>
  <c r="R24" i="33"/>
  <c r="R25" i="33"/>
  <c r="R26" i="33"/>
  <c r="R27" i="33"/>
  <c r="R28" i="33"/>
  <c r="R29" i="33"/>
  <c r="R30" i="33"/>
  <c r="R31" i="33"/>
  <c r="R32" i="33"/>
  <c r="R33" i="33"/>
  <c r="R34" i="33"/>
  <c r="R35" i="33"/>
  <c r="R36" i="33"/>
  <c r="R37" i="33"/>
  <c r="R38" i="33"/>
  <c r="R39" i="33"/>
  <c r="R40" i="33"/>
  <c r="R41" i="33"/>
  <c r="R42" i="33"/>
  <c r="R43" i="33"/>
  <c r="R44" i="33"/>
  <c r="R45" i="33"/>
  <c r="R46" i="33"/>
  <c r="R47" i="33"/>
  <c r="R48" i="33"/>
  <c r="R49" i="33"/>
  <c r="R50" i="33"/>
  <c r="R51" i="33"/>
  <c r="R52" i="33"/>
  <c r="R53" i="33"/>
  <c r="R54" i="33"/>
  <c r="R55" i="33"/>
  <c r="R56" i="33"/>
  <c r="R57" i="33"/>
  <c r="R58" i="33"/>
  <c r="R59" i="33"/>
  <c r="R60" i="33"/>
  <c r="R61" i="33"/>
  <c r="R62" i="33"/>
  <c r="R63" i="33"/>
  <c r="R64" i="33"/>
  <c r="R65" i="33"/>
  <c r="R66" i="33"/>
  <c r="R67" i="33"/>
  <c r="R68" i="33"/>
  <c r="R69" i="33"/>
  <c r="R70" i="33"/>
  <c r="R71" i="33"/>
  <c r="R72" i="33"/>
  <c r="R73" i="33"/>
  <c r="R74" i="33"/>
  <c r="R75" i="33"/>
  <c r="R76" i="33"/>
  <c r="R77" i="33"/>
  <c r="R78" i="33"/>
  <c r="R79" i="33"/>
  <c r="R80" i="33"/>
  <c r="R81" i="33"/>
  <c r="R82" i="33"/>
  <c r="R83" i="33"/>
  <c r="R84" i="33"/>
  <c r="R85" i="33"/>
  <c r="R86" i="33"/>
  <c r="R87" i="33"/>
  <c r="R88" i="33"/>
  <c r="R89" i="33"/>
  <c r="R90" i="33"/>
  <c r="R91" i="33"/>
  <c r="R92" i="33"/>
  <c r="R93" i="33"/>
  <c r="R94" i="33"/>
  <c r="R95" i="33"/>
  <c r="R96" i="33"/>
  <c r="R97" i="33"/>
  <c r="R98" i="33"/>
  <c r="R102" i="33"/>
  <c r="R110" i="33"/>
  <c r="R111" i="33"/>
  <c r="R112" i="33"/>
  <c r="R113" i="33"/>
  <c r="R114" i="33"/>
  <c r="R115" i="33"/>
  <c r="R116" i="33"/>
  <c r="R117" i="33"/>
  <c r="R118" i="33"/>
  <c r="R119" i="33"/>
  <c r="R120" i="33"/>
  <c r="R121" i="33"/>
  <c r="R123" i="33"/>
  <c r="R124" i="33"/>
  <c r="R125" i="33"/>
  <c r="R126" i="33"/>
  <c r="R127" i="33"/>
  <c r="R128" i="33"/>
  <c r="R129" i="33"/>
  <c r="R130" i="33"/>
  <c r="R131" i="33"/>
  <c r="R132" i="33"/>
  <c r="R133" i="33"/>
  <c r="R134" i="33"/>
  <c r="R135" i="33"/>
  <c r="R136" i="33"/>
  <c r="R137" i="33"/>
  <c r="R140" i="33"/>
  <c r="R141" i="33"/>
  <c r="R143" i="33"/>
  <c r="R146" i="33"/>
  <c r="R147" i="33"/>
  <c r="R148" i="33"/>
  <c r="R149" i="33"/>
  <c r="R150" i="33"/>
  <c r="R151" i="33"/>
  <c r="R152" i="33"/>
  <c r="R153" i="33"/>
  <c r="R154" i="33"/>
  <c r="R155" i="33"/>
  <c r="R156" i="33"/>
  <c r="R157" i="33"/>
  <c r="R158" i="33"/>
  <c r="R159" i="33"/>
  <c r="R160" i="33"/>
  <c r="R161" i="33"/>
  <c r="R162" i="33"/>
  <c r="R163" i="33"/>
  <c r="R164" i="33"/>
  <c r="R165" i="33"/>
  <c r="R166" i="33"/>
  <c r="R167" i="33"/>
  <c r="R168" i="33"/>
  <c r="R169" i="33"/>
  <c r="R170" i="33"/>
  <c r="R171" i="33"/>
  <c r="R172" i="33"/>
  <c r="R173" i="33"/>
  <c r="R174" i="33"/>
  <c r="R175" i="33"/>
  <c r="R176" i="33"/>
  <c r="R177" i="33"/>
  <c r="R178" i="33"/>
  <c r="R179" i="33"/>
  <c r="R180" i="33"/>
  <c r="R181" i="33"/>
  <c r="R182" i="33"/>
  <c r="R183" i="33"/>
  <c r="R184" i="33"/>
  <c r="R185" i="33"/>
  <c r="R186" i="33"/>
  <c r="R187" i="33"/>
  <c r="R188" i="33"/>
  <c r="R189" i="33"/>
  <c r="R190" i="33"/>
  <c r="R191" i="33"/>
  <c r="R192" i="33"/>
  <c r="R193" i="33"/>
  <c r="R196" i="33"/>
  <c r="R197" i="33"/>
  <c r="R201" i="33"/>
  <c r="R202" i="33"/>
  <c r="R203" i="33"/>
  <c r="R204" i="33"/>
  <c r="R205" i="33"/>
  <c r="R206" i="33"/>
  <c r="R207" i="33"/>
  <c r="R208" i="33"/>
  <c r="R209" i="33"/>
  <c r="R210" i="33"/>
  <c r="R211" i="33"/>
  <c r="R212" i="33"/>
  <c r="R213" i="33"/>
  <c r="R214" i="33"/>
  <c r="R215" i="33"/>
  <c r="R216" i="33"/>
  <c r="R217" i="33"/>
  <c r="R218" i="33"/>
  <c r="R221" i="33"/>
  <c r="R222" i="33"/>
  <c r="R223" i="33"/>
  <c r="R224" i="33"/>
  <c r="R225" i="33"/>
  <c r="R226" i="33"/>
  <c r="R227" i="33"/>
  <c r="R228" i="33"/>
  <c r="R231" i="33"/>
  <c r="R232" i="33"/>
  <c r="R233" i="33"/>
  <c r="R234" i="33"/>
  <c r="R235" i="33"/>
  <c r="R236" i="33"/>
  <c r="R237" i="33"/>
  <c r="R239" i="33"/>
  <c r="R240" i="33"/>
  <c r="R241" i="33"/>
  <c r="R242" i="33"/>
  <c r="R243" i="33"/>
  <c r="R244" i="33"/>
  <c r="R245" i="33"/>
  <c r="R246" i="33"/>
  <c r="R247" i="33"/>
  <c r="R257" i="33"/>
  <c r="R258" i="33"/>
  <c r="R259" i="33"/>
  <c r="R260" i="33"/>
  <c r="R262" i="33"/>
  <c r="R266" i="33"/>
  <c r="R269" i="33"/>
  <c r="R270" i="33"/>
  <c r="R271" i="33"/>
  <c r="R272" i="33"/>
  <c r="R275" i="33"/>
  <c r="R276" i="33"/>
  <c r="R277" i="33"/>
  <c r="R278" i="33"/>
  <c r="R279" i="33"/>
  <c r="R280" i="33"/>
  <c r="R281" i="33"/>
  <c r="R282" i="33"/>
  <c r="R283" i="33"/>
  <c r="R284" i="33"/>
  <c r="R285" i="33"/>
  <c r="R286" i="33"/>
  <c r="R287" i="33"/>
  <c r="R288" i="33"/>
  <c r="R289" i="33"/>
  <c r="R290" i="33"/>
  <c r="R291" i="33"/>
  <c r="R292" i="33"/>
  <c r="R293" i="33"/>
  <c r="R294" i="33"/>
  <c r="R295" i="33"/>
  <c r="R296" i="33"/>
  <c r="R301" i="33"/>
  <c r="R302" i="33"/>
  <c r="R303" i="33"/>
  <c r="R304" i="33"/>
  <c r="R305" i="33"/>
  <c r="R306" i="33"/>
  <c r="R307" i="33"/>
  <c r="R308" i="33"/>
  <c r="R309" i="33"/>
  <c r="R310" i="33"/>
  <c r="R311" i="33"/>
  <c r="R312" i="33"/>
  <c r="R313" i="33"/>
  <c r="R314" i="33"/>
  <c r="R315" i="33"/>
  <c r="R316" i="33"/>
  <c r="R317" i="33"/>
  <c r="R318" i="33"/>
  <c r="R319" i="33"/>
  <c r="R320" i="33"/>
  <c r="R321" i="33"/>
  <c r="R322" i="33"/>
  <c r="R323" i="33"/>
  <c r="R324" i="33"/>
  <c r="R325" i="33"/>
  <c r="R326" i="33"/>
  <c r="R327" i="33"/>
  <c r="R2893" i="33"/>
  <c r="L5" i="33"/>
  <c r="L6" i="33"/>
  <c r="L7" i="33"/>
  <c r="L8" i="33"/>
  <c r="L9" i="33"/>
  <c r="L10" i="33"/>
  <c r="L11" i="33"/>
  <c r="L12" i="33"/>
  <c r="L13" i="33"/>
  <c r="L14" i="33"/>
  <c r="L16" i="33"/>
  <c r="L18" i="33"/>
  <c r="L20" i="33"/>
  <c r="L22" i="33"/>
  <c r="L24" i="33"/>
  <c r="L26" i="33"/>
  <c r="L28" i="33"/>
  <c r="L30" i="33"/>
  <c r="L32" i="33"/>
  <c r="L33" i="33"/>
  <c r="L34" i="33"/>
  <c r="L35" i="33"/>
  <c r="L36" i="33"/>
  <c r="L38" i="33"/>
  <c r="L40" i="33"/>
  <c r="L42" i="33"/>
  <c r="L44" i="33"/>
  <c r="L46" i="33"/>
  <c r="L48" i="33"/>
  <c r="L50" i="33"/>
  <c r="L52" i="33"/>
  <c r="L54" i="33"/>
  <c r="L56" i="33"/>
  <c r="L58" i="33"/>
  <c r="L60" i="33"/>
  <c r="L62" i="33"/>
  <c r="L64" i="33"/>
  <c r="L66" i="33"/>
  <c r="L68" i="33"/>
  <c r="L70" i="33"/>
  <c r="L72" i="33"/>
  <c r="L74" i="33"/>
  <c r="L76" i="33"/>
  <c r="L78" i="33"/>
  <c r="L79" i="33"/>
  <c r="L80" i="33"/>
  <c r="L82" i="33"/>
  <c r="L84" i="33"/>
  <c r="L86" i="33"/>
  <c r="L88" i="33"/>
  <c r="L90" i="33"/>
  <c r="L92" i="33"/>
  <c r="L94" i="33"/>
  <c r="L96" i="33"/>
  <c r="L98" i="33"/>
  <c r="L102" i="33"/>
  <c r="L110" i="33"/>
  <c r="L111" i="33"/>
  <c r="L112" i="33"/>
  <c r="L114" i="33"/>
  <c r="L116" i="33"/>
  <c r="L118" i="33"/>
  <c r="L120" i="33"/>
  <c r="L122" i="33"/>
  <c r="L123" i="33"/>
  <c r="L125" i="33"/>
  <c r="L126" i="33"/>
  <c r="L127" i="33"/>
  <c r="L128" i="33"/>
  <c r="L129" i="33"/>
  <c r="L131" i="33"/>
  <c r="L133" i="33"/>
  <c r="L135" i="33"/>
  <c r="L137" i="33"/>
  <c r="L141" i="33"/>
  <c r="L143" i="33"/>
  <c r="L146" i="33"/>
  <c r="L147" i="33"/>
  <c r="L148" i="33"/>
  <c r="L149" i="33"/>
  <c r="L150" i="33"/>
  <c r="L151" i="33"/>
  <c r="L153" i="33"/>
  <c r="L155" i="33"/>
  <c r="L157" i="33"/>
  <c r="L159" i="33"/>
  <c r="L160" i="33"/>
  <c r="L161" i="33"/>
  <c r="L163" i="33"/>
  <c r="L165" i="33"/>
  <c r="L167" i="33"/>
  <c r="L169" i="33"/>
  <c r="L171" i="33"/>
  <c r="L173" i="33"/>
  <c r="L175" i="33"/>
  <c r="L177" i="33"/>
  <c r="L179" i="33"/>
  <c r="L182" i="33"/>
  <c r="L184" i="33"/>
  <c r="L187" i="33"/>
  <c r="L188" i="33"/>
  <c r="L189" i="33"/>
  <c r="L190" i="33"/>
  <c r="L191" i="33"/>
  <c r="L193" i="33"/>
  <c r="L197" i="33"/>
  <c r="L202" i="33"/>
  <c r="L204" i="33"/>
  <c r="L206" i="33"/>
  <c r="L207" i="33"/>
  <c r="L208" i="33"/>
  <c r="L210" i="33"/>
  <c r="L212" i="33"/>
  <c r="L214" i="33"/>
  <c r="L216" i="33"/>
  <c r="L218" i="33"/>
  <c r="L221" i="33"/>
  <c r="L222" i="33"/>
  <c r="L223" i="33"/>
  <c r="L224" i="33"/>
  <c r="L226" i="33"/>
  <c r="L228" i="33"/>
  <c r="L232" i="33"/>
  <c r="L234" i="33"/>
  <c r="L236" i="33"/>
  <c r="L239" i="33"/>
  <c r="L241" i="33"/>
  <c r="L243" i="33"/>
  <c r="L245" i="33"/>
  <c r="L247" i="33"/>
  <c r="L258" i="33"/>
  <c r="L260" i="33"/>
  <c r="L262" i="33"/>
  <c r="L266" i="33"/>
  <c r="L269" i="33"/>
  <c r="L270" i="33"/>
  <c r="L271" i="33"/>
  <c r="L272" i="33"/>
  <c r="L275" i="33"/>
  <c r="L276" i="33"/>
  <c r="L277" i="33"/>
  <c r="L278" i="33"/>
  <c r="L279" i="33"/>
  <c r="L280" i="33"/>
  <c r="L281" i="33"/>
  <c r="L282" i="33"/>
  <c r="L284" i="33"/>
  <c r="L286" i="33"/>
  <c r="L288" i="33"/>
  <c r="L290" i="33"/>
  <c r="L292" i="33"/>
  <c r="L293" i="33"/>
  <c r="L294" i="33"/>
  <c r="L295" i="33"/>
  <c r="L296" i="33"/>
  <c r="L302" i="33"/>
  <c r="L304" i="33"/>
  <c r="L306" i="33"/>
  <c r="L308" i="33"/>
  <c r="L310" i="33"/>
  <c r="L312" i="33"/>
  <c r="L314" i="33"/>
  <c r="L316" i="33"/>
  <c r="L318" i="33"/>
  <c r="L320" i="33"/>
  <c r="L322" i="33"/>
  <c r="L324" i="33"/>
  <c r="L326" i="33"/>
  <c r="L2893" i="33"/>
  <c r="I5" i="33"/>
  <c r="I6" i="33"/>
  <c r="I7" i="33"/>
  <c r="I8" i="33"/>
  <c r="I9" i="33"/>
  <c r="I10" i="33"/>
  <c r="I11" i="33"/>
  <c r="I12" i="33"/>
  <c r="I13" i="33"/>
  <c r="I14" i="33"/>
  <c r="I16" i="33"/>
  <c r="I18" i="33"/>
  <c r="I20" i="33"/>
  <c r="I22" i="33"/>
  <c r="I24" i="33"/>
  <c r="I26" i="33"/>
  <c r="I28" i="33"/>
  <c r="I30" i="33"/>
  <c r="I32" i="33"/>
  <c r="I33" i="33"/>
  <c r="I34" i="33"/>
  <c r="I35" i="33"/>
  <c r="I36" i="33"/>
  <c r="I38" i="33"/>
  <c r="I40" i="33"/>
  <c r="I42" i="33"/>
  <c r="I44" i="33"/>
  <c r="I46" i="33"/>
  <c r="I48" i="33"/>
  <c r="I50" i="33"/>
  <c r="I52" i="33"/>
  <c r="I54" i="33"/>
  <c r="I56" i="33"/>
  <c r="I58" i="33"/>
  <c r="I60" i="33"/>
  <c r="I62" i="33"/>
  <c r="I64" i="33"/>
  <c r="I66" i="33"/>
  <c r="I68" i="33"/>
  <c r="I70" i="33"/>
  <c r="I72" i="33"/>
  <c r="I74" i="33"/>
  <c r="I76" i="33"/>
  <c r="I78" i="33"/>
  <c r="I79" i="33"/>
  <c r="I80" i="33"/>
  <c r="I82" i="33"/>
  <c r="I84" i="33"/>
  <c r="I86" i="33"/>
  <c r="I88" i="33"/>
  <c r="I90" i="33"/>
  <c r="I92" i="33"/>
  <c r="I94" i="33"/>
  <c r="I96" i="33"/>
  <c r="I98" i="33"/>
  <c r="I102" i="33"/>
  <c r="I110" i="33"/>
  <c r="I111" i="33"/>
  <c r="I112" i="33"/>
  <c r="I114" i="33"/>
  <c r="I116" i="33"/>
  <c r="I118" i="33"/>
  <c r="I120" i="33"/>
  <c r="I122" i="33"/>
  <c r="I123" i="33"/>
  <c r="I125" i="33"/>
  <c r="I126" i="33"/>
  <c r="I127" i="33"/>
  <c r="I128" i="33"/>
  <c r="I129" i="33"/>
  <c r="I131" i="33"/>
  <c r="I133" i="33"/>
  <c r="I135" i="33"/>
  <c r="I137" i="33"/>
  <c r="I141" i="33"/>
  <c r="I143" i="33"/>
  <c r="I146" i="33"/>
  <c r="I147" i="33"/>
  <c r="I148" i="33"/>
  <c r="I149" i="33"/>
  <c r="I150" i="33"/>
  <c r="I151" i="33"/>
  <c r="I153" i="33"/>
  <c r="I155" i="33"/>
  <c r="I157" i="33"/>
  <c r="I159" i="33"/>
  <c r="I160" i="33"/>
  <c r="I161" i="33"/>
  <c r="I163" i="33"/>
  <c r="I165" i="33"/>
  <c r="I167" i="33"/>
  <c r="I169" i="33"/>
  <c r="I171" i="33"/>
  <c r="I173" i="33"/>
  <c r="I175" i="33"/>
  <c r="I177" i="33"/>
  <c r="I179" i="33"/>
  <c r="I182" i="33"/>
  <c r="I184" i="33"/>
  <c r="I187" i="33"/>
  <c r="I188" i="33"/>
  <c r="I189" i="33"/>
  <c r="I190" i="33"/>
  <c r="I191" i="33"/>
  <c r="I193" i="33"/>
  <c r="I197" i="33"/>
  <c r="I202" i="33"/>
  <c r="I204" i="33"/>
  <c r="I206" i="33"/>
  <c r="I207" i="33"/>
  <c r="I208" i="33"/>
  <c r="I210" i="33"/>
  <c r="I212" i="33"/>
  <c r="I214" i="33"/>
  <c r="I216" i="33"/>
  <c r="I218" i="33"/>
  <c r="I221" i="33"/>
  <c r="I222" i="33"/>
  <c r="I223" i="33"/>
  <c r="I224" i="33"/>
  <c r="I226" i="33"/>
  <c r="I228" i="33"/>
  <c r="I232" i="33"/>
  <c r="I234" i="33"/>
  <c r="I236" i="33"/>
  <c r="I239" i="33"/>
  <c r="I241" i="33"/>
  <c r="I243" i="33"/>
  <c r="I245" i="33"/>
  <c r="I247" i="33"/>
  <c r="I258" i="33"/>
  <c r="I260" i="33"/>
  <c r="I266" i="33"/>
  <c r="I269" i="33"/>
  <c r="I270" i="33"/>
  <c r="I271" i="33"/>
  <c r="I272" i="33"/>
  <c r="I275" i="33"/>
  <c r="I276" i="33"/>
  <c r="I277" i="33"/>
  <c r="I278" i="33"/>
  <c r="I279" i="33"/>
  <c r="I280" i="33"/>
  <c r="I281" i="33"/>
  <c r="I282" i="33"/>
  <c r="I284" i="33"/>
  <c r="I286" i="33"/>
  <c r="I288" i="33"/>
  <c r="I290" i="33"/>
  <c r="I292" i="33"/>
  <c r="I293" i="33"/>
  <c r="I294" i="33"/>
  <c r="I295" i="33"/>
  <c r="I296" i="33"/>
  <c r="I302" i="33"/>
  <c r="I304" i="33"/>
  <c r="I306" i="33"/>
  <c r="I308" i="33"/>
  <c r="I310" i="33"/>
  <c r="I312" i="33"/>
  <c r="I314" i="33"/>
  <c r="I316" i="33"/>
  <c r="I318" i="33"/>
  <c r="I320" i="33"/>
  <c r="I322" i="33"/>
  <c r="I324" i="33"/>
  <c r="I326" i="33"/>
  <c r="I2893" i="33"/>
  <c r="H5" i="33"/>
  <c r="H6" i="33"/>
  <c r="H7" i="33"/>
  <c r="H8" i="33"/>
  <c r="H9" i="33"/>
  <c r="H10" i="33"/>
  <c r="H11" i="33"/>
  <c r="H12" i="33"/>
  <c r="H13" i="33"/>
  <c r="H14" i="33"/>
  <c r="H16" i="33"/>
  <c r="H18" i="33"/>
  <c r="H20" i="33"/>
  <c r="H22" i="33"/>
  <c r="H24" i="33"/>
  <c r="H26" i="33"/>
  <c r="H28" i="33"/>
  <c r="H30" i="33"/>
  <c r="H32" i="33"/>
  <c r="H33" i="33"/>
  <c r="H34" i="33"/>
  <c r="H35" i="33"/>
  <c r="H36" i="33"/>
  <c r="H38" i="33"/>
  <c r="H40" i="33"/>
  <c r="H42" i="33"/>
  <c r="H44" i="33"/>
  <c r="H46" i="33"/>
  <c r="H48" i="33"/>
  <c r="H50" i="33"/>
  <c r="H52" i="33"/>
  <c r="H54" i="33"/>
  <c r="H56" i="33"/>
  <c r="H58" i="33"/>
  <c r="H60" i="33"/>
  <c r="H62" i="33"/>
  <c r="H64" i="33"/>
  <c r="H66" i="33"/>
  <c r="H68" i="33"/>
  <c r="H70" i="33"/>
  <c r="H72" i="33"/>
  <c r="H74" i="33"/>
  <c r="H76" i="33"/>
  <c r="H78" i="33"/>
  <c r="H79" i="33"/>
  <c r="H80" i="33"/>
  <c r="H82" i="33"/>
  <c r="H84" i="33"/>
  <c r="H86" i="33"/>
  <c r="H88" i="33"/>
  <c r="H90" i="33"/>
  <c r="H92" i="33"/>
  <c r="H94" i="33"/>
  <c r="H96" i="33"/>
  <c r="H98" i="33"/>
  <c r="H102" i="33"/>
  <c r="H110" i="33"/>
  <c r="H111" i="33"/>
  <c r="H112" i="33"/>
  <c r="H114" i="33"/>
  <c r="H116" i="33"/>
  <c r="H118" i="33"/>
  <c r="H120" i="33"/>
  <c r="H122" i="33"/>
  <c r="H123" i="33"/>
  <c r="H125" i="33"/>
  <c r="H126" i="33"/>
  <c r="H127" i="33"/>
  <c r="H128" i="33"/>
  <c r="H129" i="33"/>
  <c r="H131" i="33"/>
  <c r="H133" i="33"/>
  <c r="H135" i="33"/>
  <c r="H137" i="33"/>
  <c r="H141" i="33"/>
  <c r="H143" i="33"/>
  <c r="H146" i="33"/>
  <c r="H147" i="33"/>
  <c r="H148" i="33"/>
  <c r="H149" i="33"/>
  <c r="H150" i="33"/>
  <c r="H151" i="33"/>
  <c r="H153" i="33"/>
  <c r="H155" i="33"/>
  <c r="H157" i="33"/>
  <c r="H159" i="33"/>
  <c r="H160" i="33"/>
  <c r="H161" i="33"/>
  <c r="H163" i="33"/>
  <c r="H165" i="33"/>
  <c r="H167" i="33"/>
  <c r="H169" i="33"/>
  <c r="H171" i="33"/>
  <c r="H173" i="33"/>
  <c r="H175" i="33"/>
  <c r="H177" i="33"/>
  <c r="H179" i="33"/>
  <c r="H182" i="33"/>
  <c r="H184" i="33"/>
  <c r="H187" i="33"/>
  <c r="H188" i="33"/>
  <c r="H189" i="33"/>
  <c r="H190" i="33"/>
  <c r="H191" i="33"/>
  <c r="H193" i="33"/>
  <c r="H197" i="33"/>
  <c r="H202" i="33"/>
  <c r="H204" i="33"/>
  <c r="H206" i="33"/>
  <c r="H207" i="33"/>
  <c r="H208" i="33"/>
  <c r="H210" i="33"/>
  <c r="H212" i="33"/>
  <c r="H214" i="33"/>
  <c r="H216" i="33"/>
  <c r="H218" i="33"/>
  <c r="H221" i="33"/>
  <c r="H222" i="33"/>
  <c r="H223" i="33"/>
  <c r="H224" i="33"/>
  <c r="H226" i="33"/>
  <c r="H228" i="33"/>
  <c r="H232" i="33"/>
  <c r="H234" i="33"/>
  <c r="H236" i="33"/>
  <c r="H239" i="33"/>
  <c r="H241" i="33"/>
  <c r="H243" i="33"/>
  <c r="H245" i="33"/>
  <c r="H247" i="33"/>
  <c r="H258" i="33"/>
  <c r="H260" i="33"/>
  <c r="H262" i="33"/>
  <c r="H266" i="33"/>
  <c r="H269" i="33"/>
  <c r="H270" i="33"/>
  <c r="H271" i="33"/>
  <c r="H272" i="33"/>
  <c r="H275" i="33"/>
  <c r="H276" i="33"/>
  <c r="H277" i="33"/>
  <c r="H278" i="33"/>
  <c r="H279" i="33"/>
  <c r="H280" i="33"/>
  <c r="H281" i="33"/>
  <c r="H282" i="33"/>
  <c r="H284" i="33"/>
  <c r="H286" i="33"/>
  <c r="H288" i="33"/>
  <c r="H290" i="33"/>
  <c r="H292" i="33"/>
  <c r="H293" i="33"/>
  <c r="H294" i="33"/>
  <c r="H295" i="33"/>
  <c r="H296" i="33"/>
  <c r="H302" i="33"/>
  <c r="H304" i="33"/>
  <c r="H306" i="33"/>
  <c r="H308" i="33"/>
  <c r="H310" i="33"/>
  <c r="H312" i="33"/>
  <c r="H314" i="33"/>
  <c r="H316" i="33"/>
  <c r="H318" i="33"/>
  <c r="H320" i="33"/>
  <c r="H322" i="33"/>
  <c r="H324" i="33"/>
  <c r="H326" i="33"/>
  <c r="H2893" i="33"/>
  <c r="G5" i="33"/>
  <c r="G6" i="33"/>
  <c r="G7" i="33"/>
  <c r="G8" i="33"/>
  <c r="G9" i="33"/>
  <c r="G10" i="33"/>
  <c r="G11" i="33"/>
  <c r="G12" i="33"/>
  <c r="G13" i="33"/>
  <c r="G14" i="33"/>
  <c r="G16" i="33"/>
  <c r="G18" i="33"/>
  <c r="G20" i="33"/>
  <c r="G22" i="33"/>
  <c r="G24" i="33"/>
  <c r="G26" i="33"/>
  <c r="G28" i="33"/>
  <c r="G30" i="33"/>
  <c r="G32" i="33"/>
  <c r="G33" i="33"/>
  <c r="G34" i="33"/>
  <c r="G35" i="33"/>
  <c r="G36" i="33"/>
  <c r="G38" i="33"/>
  <c r="G40" i="33"/>
  <c r="G42" i="33"/>
  <c r="G44" i="33"/>
  <c r="G46" i="33"/>
  <c r="G48" i="33"/>
  <c r="G50" i="33"/>
  <c r="G52" i="33"/>
  <c r="G54" i="33"/>
  <c r="G56" i="33"/>
  <c r="G58" i="33"/>
  <c r="G60" i="33"/>
  <c r="G62" i="33"/>
  <c r="G64" i="33"/>
  <c r="G66" i="33"/>
  <c r="G68" i="33"/>
  <c r="G70" i="33"/>
  <c r="G72" i="33"/>
  <c r="G74" i="33"/>
  <c r="G76" i="33"/>
  <c r="G78" i="33"/>
  <c r="G79" i="33"/>
  <c r="G80" i="33"/>
  <c r="G82" i="33"/>
  <c r="G84" i="33"/>
  <c r="G86" i="33"/>
  <c r="G88" i="33"/>
  <c r="G90" i="33"/>
  <c r="G92" i="33"/>
  <c r="G94" i="33"/>
  <c r="G96" i="33"/>
  <c r="G98" i="33"/>
  <c r="G102" i="33"/>
  <c r="G110" i="33"/>
  <c r="G111" i="33"/>
  <c r="G112" i="33"/>
  <c r="G114" i="33"/>
  <c r="G116" i="33"/>
  <c r="G118" i="33"/>
  <c r="G120" i="33"/>
  <c r="G122" i="33"/>
  <c r="G123" i="33"/>
  <c r="G125" i="33"/>
  <c r="G126" i="33"/>
  <c r="G127" i="33"/>
  <c r="G128" i="33"/>
  <c r="G129" i="33"/>
  <c r="G131" i="33"/>
  <c r="G133" i="33"/>
  <c r="G135" i="33"/>
  <c r="G137" i="33"/>
  <c r="G141" i="33"/>
  <c r="G143" i="33"/>
  <c r="G146" i="33"/>
  <c r="G147" i="33"/>
  <c r="G148" i="33"/>
  <c r="G149" i="33"/>
  <c r="G150" i="33"/>
  <c r="G151" i="33"/>
  <c r="G153" i="33"/>
  <c r="G155" i="33"/>
  <c r="G157" i="33"/>
  <c r="G159" i="33"/>
  <c r="G160" i="33"/>
  <c r="G161" i="33"/>
  <c r="G163" i="33"/>
  <c r="G165" i="33"/>
  <c r="G167" i="33"/>
  <c r="G169" i="33"/>
  <c r="G171" i="33"/>
  <c r="G173" i="33"/>
  <c r="G175" i="33"/>
  <c r="G177" i="33"/>
  <c r="G179" i="33"/>
  <c r="G182" i="33"/>
  <c r="G184" i="33"/>
  <c r="G187" i="33"/>
  <c r="G188" i="33"/>
  <c r="G189" i="33"/>
  <c r="G190" i="33"/>
  <c r="G191" i="33"/>
  <c r="G193" i="33"/>
  <c r="G197" i="33"/>
  <c r="G202" i="33"/>
  <c r="G204" i="33"/>
  <c r="G206" i="33"/>
  <c r="G207" i="33"/>
  <c r="G208" i="33"/>
  <c r="G210" i="33"/>
  <c r="G212" i="33"/>
  <c r="G214" i="33"/>
  <c r="G216" i="33"/>
  <c r="G218" i="33"/>
  <c r="G221" i="33"/>
  <c r="G222" i="33"/>
  <c r="G223" i="33"/>
  <c r="G224" i="33"/>
  <c r="G226" i="33"/>
  <c r="G228" i="33"/>
  <c r="G232" i="33"/>
  <c r="G234" i="33"/>
  <c r="G236" i="33"/>
  <c r="G239" i="33"/>
  <c r="G241" i="33"/>
  <c r="G243" i="33"/>
  <c r="G245" i="33"/>
  <c r="G247" i="33"/>
  <c r="G258" i="33"/>
  <c r="G260" i="33"/>
  <c r="G262" i="33"/>
  <c r="G266" i="33"/>
  <c r="G269" i="33"/>
  <c r="G270" i="33"/>
  <c r="G271" i="33"/>
  <c r="G272" i="33"/>
  <c r="G275" i="33"/>
  <c r="G276" i="33"/>
  <c r="G277" i="33"/>
  <c r="G278" i="33"/>
  <c r="G279" i="33"/>
  <c r="G280" i="33"/>
  <c r="G281" i="33"/>
  <c r="G282" i="33"/>
  <c r="G284" i="33"/>
  <c r="G286" i="33"/>
  <c r="G288" i="33"/>
  <c r="G290" i="33"/>
  <c r="G292" i="33"/>
  <c r="G293" i="33"/>
  <c r="G294" i="33"/>
  <c r="G295" i="33"/>
  <c r="G296" i="33"/>
  <c r="G302" i="33"/>
  <c r="G304" i="33"/>
  <c r="G306" i="33"/>
  <c r="G308" i="33"/>
  <c r="G310" i="33"/>
  <c r="G312" i="33"/>
  <c r="G314" i="33"/>
  <c r="G316" i="33"/>
  <c r="G318" i="33"/>
  <c r="G320" i="33"/>
  <c r="G322" i="33"/>
  <c r="G324" i="33"/>
  <c r="G326" i="33"/>
  <c r="G2893" i="33"/>
  <c r="AG2380" i="36"/>
  <c r="AI2380" i="36" s="1"/>
  <c r="AF2380" i="36"/>
  <c r="AE2380" i="36"/>
  <c r="A2380" i="36"/>
  <c r="AG2379" i="36"/>
  <c r="AI2379" i="36" s="1"/>
  <c r="AF2379" i="36"/>
  <c r="AE2379" i="36"/>
  <c r="A2379" i="36"/>
  <c r="AG2378" i="36"/>
  <c r="AI2378" i="36" s="1"/>
  <c r="AF2378" i="36"/>
  <c r="AE2378" i="36"/>
  <c r="A2378" i="36"/>
  <c r="AE2370" i="36"/>
  <c r="AE2369" i="36"/>
  <c r="AE2368" i="36"/>
  <c r="AE2367" i="36"/>
  <c r="AE2366" i="36"/>
  <c r="AE2365" i="36"/>
  <c r="AE2364" i="36"/>
  <c r="AE2363" i="36"/>
  <c r="AE2362" i="36"/>
  <c r="AE2361" i="36"/>
  <c r="AG2360" i="36"/>
  <c r="AI2360" i="36" s="1"/>
  <c r="AE2360" i="36"/>
  <c r="AG2359" i="36"/>
  <c r="AI2359" i="36" s="1"/>
  <c r="AE2359" i="36"/>
  <c r="AG2358" i="36"/>
  <c r="AI2358" i="36" s="1"/>
  <c r="AE2358" i="36"/>
  <c r="AG2357" i="36"/>
  <c r="AI2357" i="36" s="1"/>
  <c r="AE2357" i="36"/>
  <c r="AG2356" i="36"/>
  <c r="AI2356" i="36" s="1"/>
  <c r="AE2356" i="36"/>
  <c r="AG2355" i="36"/>
  <c r="AI2355" i="36" s="1"/>
  <c r="AE2355" i="36"/>
  <c r="AG2354" i="36"/>
  <c r="AI2354" i="36" s="1"/>
  <c r="AE2354" i="36"/>
  <c r="AG2353" i="36"/>
  <c r="AI2353" i="36" s="1"/>
  <c r="AE2353" i="36"/>
  <c r="AG2352" i="36"/>
  <c r="AI2352" i="36" s="1"/>
  <c r="AE2352" i="36"/>
  <c r="AG2351" i="36"/>
  <c r="AI2351" i="36" s="1"/>
  <c r="AE2351" i="36"/>
  <c r="AG2350" i="36"/>
  <c r="AI2350" i="36" s="1"/>
  <c r="AE2350" i="36"/>
  <c r="AG2349" i="36"/>
  <c r="AI2349" i="36" s="1"/>
  <c r="AE2349" i="36"/>
  <c r="AG2348" i="36"/>
  <c r="AI2348" i="36" s="1"/>
  <c r="AE2348" i="36"/>
  <c r="AG2347" i="36"/>
  <c r="AI2347" i="36" s="1"/>
  <c r="AE2347" i="36"/>
  <c r="AG2346" i="36"/>
  <c r="AI2346" i="36" s="1"/>
  <c r="AE2346" i="36"/>
  <c r="AG2345" i="36"/>
  <c r="AI2345" i="36" s="1"/>
  <c r="AE2345" i="36"/>
  <c r="AG2344" i="36"/>
  <c r="AI2344" i="36" s="1"/>
  <c r="AE2344" i="36"/>
  <c r="AG2343" i="36"/>
  <c r="AI2343" i="36" s="1"/>
  <c r="AE2343" i="36"/>
  <c r="AG2342" i="36"/>
  <c r="AI2342" i="36" s="1"/>
  <c r="AE2342" i="36"/>
  <c r="A2342" i="36"/>
  <c r="AG2341" i="36"/>
  <c r="AI2341" i="36" s="1"/>
  <c r="AE2341" i="36"/>
  <c r="A2341" i="36"/>
  <c r="AG2340" i="36"/>
  <c r="AI2340" i="36" s="1"/>
  <c r="AE2340" i="36"/>
  <c r="A2340" i="36"/>
  <c r="AG2339" i="36"/>
  <c r="AI2339" i="36" s="1"/>
  <c r="AE2339" i="36"/>
  <c r="A2339" i="36"/>
  <c r="AG2338" i="36"/>
  <c r="AI2338" i="36" s="1"/>
  <c r="AE2338" i="36"/>
  <c r="A2338" i="36"/>
  <c r="AG2337" i="36"/>
  <c r="AI2337" i="36" s="1"/>
  <c r="AE2337" i="36"/>
  <c r="A2337" i="36"/>
  <c r="AG2336" i="36"/>
  <c r="AI2336" i="36" s="1"/>
  <c r="AE2336" i="36"/>
  <c r="A2336" i="36"/>
  <c r="AG2335" i="36"/>
  <c r="AI2335" i="36" s="1"/>
  <c r="AE2335" i="36"/>
  <c r="A2335" i="36"/>
  <c r="AG2334" i="36"/>
  <c r="AI2334" i="36" s="1"/>
  <c r="AE2334" i="36"/>
  <c r="A2334" i="36"/>
  <c r="AG2333" i="36"/>
  <c r="AI2333" i="36" s="1"/>
  <c r="AE2333" i="36"/>
  <c r="A2333" i="36"/>
  <c r="AG2332" i="36"/>
  <c r="AI2332" i="36" s="1"/>
  <c r="AE2332" i="36"/>
  <c r="A2332" i="36"/>
  <c r="AG2331" i="36"/>
  <c r="AI2331" i="36" s="1"/>
  <c r="AE2331" i="36"/>
  <c r="A2331" i="36"/>
  <c r="AG2330" i="36"/>
  <c r="AI2330" i="36" s="1"/>
  <c r="AE2330" i="36"/>
  <c r="A2330" i="36"/>
  <c r="AG2329" i="36"/>
  <c r="AI2329" i="36" s="1"/>
  <c r="AE2329" i="36"/>
  <c r="A2329" i="36"/>
  <c r="AG2328" i="36"/>
  <c r="AI2328" i="36" s="1"/>
  <c r="AE2328" i="36"/>
  <c r="A2328" i="36"/>
  <c r="AG2327" i="36"/>
  <c r="AI2327" i="36" s="1"/>
  <c r="AE2327" i="36"/>
  <c r="A2327" i="36"/>
  <c r="AG2326" i="36"/>
  <c r="AI2326" i="36" s="1"/>
  <c r="AE2326" i="36"/>
  <c r="A2326" i="36"/>
  <c r="AG2325" i="36"/>
  <c r="AI2325" i="36" s="1"/>
  <c r="AE2325" i="36"/>
  <c r="A2325" i="36"/>
  <c r="AG2324" i="36"/>
  <c r="AI2324" i="36" s="1"/>
  <c r="AE2324" i="36"/>
  <c r="A2324" i="36"/>
  <c r="AG2323" i="36"/>
  <c r="AI2323" i="36" s="1"/>
  <c r="AE2323" i="36"/>
  <c r="A2323" i="36"/>
  <c r="AG2322" i="36"/>
  <c r="AI2322" i="36" s="1"/>
  <c r="AE2322" i="36"/>
  <c r="A2322" i="36"/>
  <c r="AG2321" i="36"/>
  <c r="AI2321" i="36" s="1"/>
  <c r="AE2321" i="36"/>
  <c r="A2321" i="36"/>
  <c r="AG2320" i="36"/>
  <c r="AI2320" i="36" s="1"/>
  <c r="AE2320" i="36"/>
  <c r="A2320" i="36"/>
  <c r="AG2319" i="36"/>
  <c r="AI2319" i="36" s="1"/>
  <c r="AE2319" i="36"/>
  <c r="A2319" i="36"/>
  <c r="AG2318" i="36"/>
  <c r="AI2318" i="36" s="1"/>
  <c r="AE2318" i="36"/>
  <c r="A2318" i="36"/>
  <c r="AG2317" i="36"/>
  <c r="AI2317" i="36" s="1"/>
  <c r="AE2317" i="36"/>
  <c r="A2317" i="36"/>
  <c r="AG2316" i="36"/>
  <c r="AI2316" i="36" s="1"/>
  <c r="AE2316" i="36"/>
  <c r="A2316" i="36"/>
  <c r="AG2315" i="36"/>
  <c r="AI2315" i="36" s="1"/>
  <c r="AE2315" i="36"/>
  <c r="A2315" i="36"/>
  <c r="AG2314" i="36"/>
  <c r="AI2314" i="36" s="1"/>
  <c r="AE2314" i="36"/>
  <c r="A2314" i="36"/>
  <c r="AG2313" i="36"/>
  <c r="AI2313" i="36" s="1"/>
  <c r="AE2313" i="36"/>
  <c r="A2313" i="36"/>
  <c r="AG2312" i="36"/>
  <c r="AI2312" i="36" s="1"/>
  <c r="AE2312" i="36"/>
  <c r="A2312" i="36"/>
  <c r="AG2311" i="36"/>
  <c r="AI2311" i="36" s="1"/>
  <c r="AE2311" i="36"/>
  <c r="A2311" i="36"/>
  <c r="AG2310" i="36"/>
  <c r="AI2310" i="36" s="1"/>
  <c r="AE2310" i="36"/>
  <c r="A2310" i="36"/>
  <c r="AG2309" i="36"/>
  <c r="AI2309" i="36" s="1"/>
  <c r="AE2309" i="36"/>
  <c r="A2309" i="36"/>
  <c r="AG2308" i="36"/>
  <c r="AI2308" i="36" s="1"/>
  <c r="AE2308" i="36"/>
  <c r="A2308" i="36"/>
  <c r="AG2307" i="36"/>
  <c r="AI2307" i="36" s="1"/>
  <c r="AE2307" i="36"/>
  <c r="A2307" i="36"/>
  <c r="AG2306" i="36"/>
  <c r="AI2306" i="36" s="1"/>
  <c r="AE2306" i="36"/>
  <c r="A2306" i="36"/>
  <c r="AG2305" i="36"/>
  <c r="AI2305" i="36" s="1"/>
  <c r="AE2305" i="36"/>
  <c r="A2305" i="36"/>
  <c r="AG2304" i="36"/>
  <c r="AI2304" i="36" s="1"/>
  <c r="AE2304" i="36"/>
  <c r="A2304" i="36"/>
  <c r="AG2303" i="36"/>
  <c r="AI2303" i="36" s="1"/>
  <c r="AE2303" i="36"/>
  <c r="A2303" i="36"/>
  <c r="AG2302" i="36"/>
  <c r="AI2302" i="36" s="1"/>
  <c r="AE2302" i="36"/>
  <c r="A2302" i="36"/>
  <c r="AG2301" i="36"/>
  <c r="AI2301" i="36" s="1"/>
  <c r="AE2301" i="36"/>
  <c r="A2301" i="36"/>
  <c r="AG2300" i="36"/>
  <c r="AI2300" i="36" s="1"/>
  <c r="AE2300" i="36"/>
  <c r="A2300" i="36"/>
  <c r="AG2299" i="36"/>
  <c r="AI2299" i="36" s="1"/>
  <c r="AE2299" i="36"/>
  <c r="A2299" i="36"/>
  <c r="AG2298" i="36"/>
  <c r="AI2298" i="36" s="1"/>
  <c r="AE2298" i="36"/>
  <c r="A2298" i="36"/>
  <c r="AG2297" i="36"/>
  <c r="AI2297" i="36" s="1"/>
  <c r="AE2297" i="36"/>
  <c r="A2297" i="36"/>
  <c r="AG2296" i="36"/>
  <c r="AI2296" i="36" s="1"/>
  <c r="AE2296" i="36"/>
  <c r="A2296" i="36"/>
  <c r="AG2295" i="36"/>
  <c r="AI2295" i="36" s="1"/>
  <c r="AE2295" i="36"/>
  <c r="A2295" i="36"/>
  <c r="AG2294" i="36"/>
  <c r="AI2294" i="36" s="1"/>
  <c r="AE2294" i="36"/>
  <c r="A2294" i="36"/>
  <c r="AG2293" i="36"/>
  <c r="AI2293" i="36" s="1"/>
  <c r="AE2293" i="36"/>
  <c r="A2293" i="36"/>
  <c r="AG2292" i="36"/>
  <c r="AI2292" i="36" s="1"/>
  <c r="AE2292" i="36"/>
  <c r="A2292" i="36"/>
  <c r="AG2291" i="36"/>
  <c r="AI2291" i="36" s="1"/>
  <c r="AE2291" i="36"/>
  <c r="A2291" i="36"/>
  <c r="AG2290" i="36"/>
  <c r="AI2290" i="36" s="1"/>
  <c r="AE2290" i="36"/>
  <c r="A2290" i="36"/>
  <c r="AG2289" i="36"/>
  <c r="AI2289" i="36" s="1"/>
  <c r="AE2289" i="36"/>
  <c r="A2289" i="36"/>
  <c r="AG2288" i="36"/>
  <c r="AI2288" i="36" s="1"/>
  <c r="AE2288" i="36"/>
  <c r="A2288" i="36"/>
  <c r="AG2287" i="36"/>
  <c r="AI2287" i="36" s="1"/>
  <c r="AE2287" i="36"/>
  <c r="A2287" i="36"/>
  <c r="AG2286" i="36"/>
  <c r="AI2286" i="36" s="1"/>
  <c r="AE2286" i="36"/>
  <c r="A2286" i="36"/>
  <c r="AG2285" i="36"/>
  <c r="AI2285" i="36" s="1"/>
  <c r="AE2285" i="36"/>
  <c r="A2285" i="36"/>
  <c r="AG2284" i="36"/>
  <c r="AI2284" i="36" s="1"/>
  <c r="AE2284" i="36"/>
  <c r="A2284" i="36"/>
  <c r="AG2283" i="36"/>
  <c r="AI2283" i="36" s="1"/>
  <c r="AE2283" i="36"/>
  <c r="A2283" i="36"/>
  <c r="AG2282" i="36"/>
  <c r="AI2282" i="36" s="1"/>
  <c r="AE2282" i="36"/>
  <c r="A2282" i="36"/>
  <c r="AG2281" i="36"/>
  <c r="AI2281" i="36" s="1"/>
  <c r="AE2281" i="36"/>
  <c r="A2281" i="36"/>
  <c r="AG2280" i="36"/>
  <c r="AI2280" i="36" s="1"/>
  <c r="AE2280" i="36"/>
  <c r="A2280" i="36"/>
  <c r="AG2279" i="36"/>
  <c r="AI2279" i="36" s="1"/>
  <c r="AE2279" i="36"/>
  <c r="A2279" i="36"/>
  <c r="AG2278" i="36"/>
  <c r="AI2278" i="36" s="1"/>
  <c r="AE2278" i="36"/>
  <c r="A2278" i="36"/>
  <c r="AG2277" i="36"/>
  <c r="AI2277" i="36" s="1"/>
  <c r="AE2277" i="36"/>
  <c r="A2277" i="36"/>
  <c r="AG2276" i="36"/>
  <c r="AI2276" i="36" s="1"/>
  <c r="AE2276" i="36"/>
  <c r="A2276" i="36"/>
  <c r="AG2275" i="36"/>
  <c r="AI2275" i="36" s="1"/>
  <c r="AE2275" i="36"/>
  <c r="A2275" i="36"/>
  <c r="AG2274" i="36"/>
  <c r="AI2274" i="36" s="1"/>
  <c r="AE2274" i="36"/>
  <c r="A2274" i="36"/>
  <c r="AG2273" i="36"/>
  <c r="AI2273" i="36" s="1"/>
  <c r="AE2273" i="36"/>
  <c r="A2273" i="36"/>
  <c r="AG2272" i="36"/>
  <c r="AI2272" i="36" s="1"/>
  <c r="AE2272" i="36"/>
  <c r="A2272" i="36"/>
  <c r="AG2271" i="36"/>
  <c r="AI2271" i="36" s="1"/>
  <c r="AE2271" i="36"/>
  <c r="A2271" i="36"/>
  <c r="AG2270" i="36"/>
  <c r="AI2270" i="36" s="1"/>
  <c r="AE2270" i="36"/>
  <c r="A2270" i="36"/>
  <c r="AG2269" i="36"/>
  <c r="AI2269" i="36" s="1"/>
  <c r="AE2269" i="36"/>
  <c r="A2269" i="36"/>
  <c r="AG2268" i="36"/>
  <c r="AI2268" i="36" s="1"/>
  <c r="AE2268" i="36"/>
  <c r="A2268" i="36"/>
  <c r="AG2267" i="36"/>
  <c r="AI2267" i="36" s="1"/>
  <c r="AE2267" i="36"/>
  <c r="A2267" i="36"/>
  <c r="AG2266" i="36"/>
  <c r="AI2266" i="36" s="1"/>
  <c r="AE2266" i="36"/>
  <c r="A2266" i="36"/>
  <c r="AG2265" i="36"/>
  <c r="AI2265" i="36" s="1"/>
  <c r="AE2265" i="36"/>
  <c r="A2265" i="36"/>
  <c r="AG2264" i="36"/>
  <c r="AI2264" i="36" s="1"/>
  <c r="AE2264" i="36"/>
  <c r="A2264" i="36"/>
  <c r="AG2263" i="36"/>
  <c r="AI2263" i="36" s="1"/>
  <c r="AE2263" i="36"/>
  <c r="A2263" i="36"/>
  <c r="AG2262" i="36"/>
  <c r="AI2262" i="36" s="1"/>
  <c r="AE2262" i="36"/>
  <c r="A2262" i="36"/>
  <c r="AG2261" i="36"/>
  <c r="AI2261" i="36" s="1"/>
  <c r="AE2261" i="36"/>
  <c r="A2261" i="36"/>
  <c r="AG2260" i="36"/>
  <c r="AI2260" i="36" s="1"/>
  <c r="AE2260" i="36"/>
  <c r="A2260" i="36"/>
  <c r="AG2259" i="36"/>
  <c r="AI2259" i="36" s="1"/>
  <c r="AE2259" i="36"/>
  <c r="A2259" i="36"/>
  <c r="AG2258" i="36"/>
  <c r="AI2258" i="36" s="1"/>
  <c r="AE2258" i="36"/>
  <c r="A2258" i="36"/>
  <c r="AG2257" i="36"/>
  <c r="AI2257" i="36" s="1"/>
  <c r="AE2257" i="36"/>
  <c r="A2257" i="36"/>
  <c r="AG2256" i="36"/>
  <c r="AI2256" i="36" s="1"/>
  <c r="AE2256" i="36"/>
  <c r="A2256" i="36"/>
  <c r="AG2255" i="36"/>
  <c r="AI2255" i="36" s="1"/>
  <c r="AE2255" i="36"/>
  <c r="A2255" i="36"/>
  <c r="AG2254" i="36"/>
  <c r="AI2254" i="36" s="1"/>
  <c r="AE2254" i="36"/>
  <c r="A2254" i="36"/>
  <c r="AG2253" i="36"/>
  <c r="AI2253" i="36" s="1"/>
  <c r="AE2253" i="36"/>
  <c r="A2253" i="36"/>
  <c r="AG2252" i="36"/>
  <c r="AI2252" i="36" s="1"/>
  <c r="AE2252" i="36"/>
  <c r="A2252" i="36"/>
  <c r="AG2251" i="36"/>
  <c r="AI2251" i="36" s="1"/>
  <c r="AE2251" i="36"/>
  <c r="A2251" i="36"/>
  <c r="AG2250" i="36"/>
  <c r="AI2250" i="36" s="1"/>
  <c r="AE2250" i="36"/>
  <c r="A2250" i="36"/>
  <c r="AG2249" i="36"/>
  <c r="AI2249" i="36" s="1"/>
  <c r="AE2249" i="36"/>
  <c r="A2249" i="36"/>
  <c r="AG2248" i="36"/>
  <c r="AI2248" i="36" s="1"/>
  <c r="AE2248" i="36"/>
  <c r="A2248" i="36"/>
  <c r="AG2247" i="36"/>
  <c r="AI2247" i="36" s="1"/>
  <c r="AE2247" i="36"/>
  <c r="A2247" i="36"/>
  <c r="AG2246" i="36"/>
  <c r="AI2246" i="36" s="1"/>
  <c r="AE2246" i="36"/>
  <c r="A2246" i="36"/>
  <c r="AG2245" i="36"/>
  <c r="AI2245" i="36" s="1"/>
  <c r="AE2245" i="36"/>
  <c r="A2245" i="36"/>
  <c r="AG2244" i="36"/>
  <c r="AI2244" i="36" s="1"/>
  <c r="AE2244" i="36"/>
  <c r="A2244" i="36"/>
  <c r="AG2243" i="36"/>
  <c r="AI2243" i="36" s="1"/>
  <c r="AE2243" i="36"/>
  <c r="A2243" i="36"/>
  <c r="AG2242" i="36"/>
  <c r="AI2242" i="36" s="1"/>
  <c r="AE2242" i="36"/>
  <c r="A2242" i="36"/>
  <c r="AG2241" i="36"/>
  <c r="AI2241" i="36" s="1"/>
  <c r="AE2241" i="36"/>
  <c r="A2241" i="36"/>
  <c r="AG2240" i="36"/>
  <c r="AI2240" i="36" s="1"/>
  <c r="AE2240" i="36"/>
  <c r="A2240" i="36"/>
  <c r="AG2239" i="36"/>
  <c r="AI2239" i="36" s="1"/>
  <c r="AE2239" i="36"/>
  <c r="A2239" i="36"/>
  <c r="AG2238" i="36"/>
  <c r="AI2238" i="36" s="1"/>
  <c r="AE2238" i="36"/>
  <c r="A2238" i="36"/>
  <c r="AG2237" i="36"/>
  <c r="AI2237" i="36" s="1"/>
  <c r="AE2237" i="36"/>
  <c r="A2237" i="36"/>
  <c r="AG2236" i="36"/>
  <c r="AI2236" i="36" s="1"/>
  <c r="AE2236" i="36"/>
  <c r="A2236" i="36"/>
  <c r="AG2235" i="36"/>
  <c r="AI2235" i="36" s="1"/>
  <c r="AE2235" i="36"/>
  <c r="A2235" i="36"/>
  <c r="AG2234" i="36"/>
  <c r="AI2234" i="36" s="1"/>
  <c r="AE2234" i="36"/>
  <c r="A2234" i="36"/>
  <c r="AG2233" i="36"/>
  <c r="AI2233" i="36" s="1"/>
  <c r="AE2233" i="36"/>
  <c r="A2233" i="36"/>
  <c r="AG2232" i="36"/>
  <c r="AI2232" i="36" s="1"/>
  <c r="AE2232" i="36"/>
  <c r="A2232" i="36"/>
  <c r="AG2231" i="36"/>
  <c r="AI2231" i="36" s="1"/>
  <c r="AE2231" i="36"/>
  <c r="A2231" i="36"/>
  <c r="AG2230" i="36"/>
  <c r="AI2230" i="36" s="1"/>
  <c r="AE2230" i="36"/>
  <c r="A2230" i="36"/>
  <c r="AG2229" i="36"/>
  <c r="AI2229" i="36" s="1"/>
  <c r="AE2229" i="36"/>
  <c r="A2229" i="36"/>
  <c r="AG2228" i="36"/>
  <c r="AI2228" i="36" s="1"/>
  <c r="AE2228" i="36"/>
  <c r="A2228" i="36"/>
  <c r="AG2227" i="36"/>
  <c r="AI2227" i="36" s="1"/>
  <c r="AE2227" i="36"/>
  <c r="A2227" i="36"/>
  <c r="AG2226" i="36"/>
  <c r="AI2226" i="36" s="1"/>
  <c r="AE2226" i="36"/>
  <c r="A2226" i="36"/>
  <c r="AG2225" i="36"/>
  <c r="AI2225" i="36" s="1"/>
  <c r="AE2225" i="36"/>
  <c r="A2225" i="36"/>
  <c r="AG2224" i="36"/>
  <c r="AI2224" i="36" s="1"/>
  <c r="AE2224" i="36"/>
  <c r="A2224" i="36"/>
  <c r="AG2223" i="36"/>
  <c r="AI2223" i="36" s="1"/>
  <c r="AE2223" i="36"/>
  <c r="A2223" i="36"/>
  <c r="AG2222" i="36"/>
  <c r="AI2222" i="36" s="1"/>
  <c r="AE2222" i="36"/>
  <c r="A2222" i="36"/>
  <c r="AG2221" i="36"/>
  <c r="AI2221" i="36" s="1"/>
  <c r="AE2221" i="36"/>
  <c r="A2221" i="36"/>
  <c r="AG2220" i="36"/>
  <c r="AI2220" i="36" s="1"/>
  <c r="AE2220" i="36"/>
  <c r="A2220" i="36"/>
  <c r="AG2219" i="36"/>
  <c r="AI2219" i="36" s="1"/>
  <c r="AE2219" i="36"/>
  <c r="A2219" i="36"/>
  <c r="AG2218" i="36"/>
  <c r="AI2218" i="36" s="1"/>
  <c r="AE2218" i="36"/>
  <c r="A2218" i="36"/>
  <c r="AG2217" i="36"/>
  <c r="AI2217" i="36" s="1"/>
  <c r="AE2217" i="36"/>
  <c r="A2217" i="36"/>
  <c r="AG2216" i="36"/>
  <c r="AI2216" i="36" s="1"/>
  <c r="AE2216" i="36"/>
  <c r="A2216" i="36"/>
  <c r="AG2215" i="36"/>
  <c r="AI2215" i="36" s="1"/>
  <c r="AE2215" i="36"/>
  <c r="A2215" i="36"/>
  <c r="AG2214" i="36"/>
  <c r="AI2214" i="36" s="1"/>
  <c r="AE2214" i="36"/>
  <c r="A2214" i="36"/>
  <c r="AG2213" i="36"/>
  <c r="AI2213" i="36" s="1"/>
  <c r="AE2213" i="36"/>
  <c r="A2213" i="36"/>
  <c r="AG2212" i="36"/>
  <c r="AI2212" i="36" s="1"/>
  <c r="AE2212" i="36"/>
  <c r="A2212" i="36"/>
  <c r="AG2211" i="36"/>
  <c r="AI2211" i="36" s="1"/>
  <c r="AE2211" i="36"/>
  <c r="A2211" i="36"/>
  <c r="AG2210" i="36"/>
  <c r="AI2210" i="36" s="1"/>
  <c r="AE2210" i="36"/>
  <c r="A2210" i="36"/>
  <c r="AG2209" i="36"/>
  <c r="AI2209" i="36" s="1"/>
  <c r="AE2209" i="36"/>
  <c r="A2209" i="36"/>
  <c r="AG2208" i="36"/>
  <c r="AI2208" i="36" s="1"/>
  <c r="AE2208" i="36"/>
  <c r="A2208" i="36"/>
  <c r="AG2207" i="36"/>
  <c r="AI2207" i="36" s="1"/>
  <c r="AE2207" i="36"/>
  <c r="A2207" i="36"/>
  <c r="AG2206" i="36"/>
  <c r="AI2206" i="36" s="1"/>
  <c r="AE2206" i="36"/>
  <c r="A2206" i="36"/>
  <c r="AG2205" i="36"/>
  <c r="AI2205" i="36" s="1"/>
  <c r="AE2205" i="36"/>
  <c r="A2205" i="36"/>
  <c r="AG2204" i="36"/>
  <c r="AI2204" i="36" s="1"/>
  <c r="AE2204" i="36"/>
  <c r="A2204" i="36"/>
  <c r="AG2203" i="36"/>
  <c r="AI2203" i="36" s="1"/>
  <c r="AE2203" i="36"/>
  <c r="A2203" i="36"/>
  <c r="AG2202" i="36"/>
  <c r="AI2202" i="36" s="1"/>
  <c r="AE2202" i="36"/>
  <c r="A2202" i="36"/>
  <c r="AG2201" i="36"/>
  <c r="AI2201" i="36" s="1"/>
  <c r="AE2201" i="36"/>
  <c r="A2201" i="36"/>
  <c r="AG2200" i="36"/>
  <c r="AI2200" i="36" s="1"/>
  <c r="AE2200" i="36"/>
  <c r="A2200" i="36"/>
  <c r="AG2199" i="36"/>
  <c r="AI2199" i="36" s="1"/>
  <c r="AE2199" i="36"/>
  <c r="A2199" i="36"/>
  <c r="AG2198" i="36"/>
  <c r="AI2198" i="36" s="1"/>
  <c r="AE2198" i="36"/>
  <c r="A2198" i="36"/>
  <c r="AG2197" i="36"/>
  <c r="AI2197" i="36" s="1"/>
  <c r="AE2197" i="36"/>
  <c r="A2197" i="36"/>
  <c r="AG2196" i="36"/>
  <c r="AI2196" i="36" s="1"/>
  <c r="AE2196" i="36"/>
  <c r="A2196" i="36"/>
  <c r="AG2195" i="36"/>
  <c r="AI2195" i="36" s="1"/>
  <c r="AE2195" i="36"/>
  <c r="A2195" i="36"/>
  <c r="AG2194" i="36"/>
  <c r="AI2194" i="36" s="1"/>
  <c r="AE2194" i="36"/>
  <c r="A2194" i="36"/>
  <c r="AG2193" i="36"/>
  <c r="AI2193" i="36" s="1"/>
  <c r="AE2193" i="36"/>
  <c r="A2193" i="36"/>
  <c r="AG2192" i="36"/>
  <c r="AI2192" i="36" s="1"/>
  <c r="AE2192" i="36"/>
  <c r="A2192" i="36"/>
  <c r="AG2191" i="36"/>
  <c r="AI2191" i="36" s="1"/>
  <c r="AE2191" i="36"/>
  <c r="A2191" i="36"/>
  <c r="AG2190" i="36"/>
  <c r="AI2190" i="36" s="1"/>
  <c r="AE2190" i="36"/>
  <c r="A2190" i="36"/>
  <c r="AG2189" i="36"/>
  <c r="AI2189" i="36" s="1"/>
  <c r="AF2189" i="36"/>
  <c r="AE2189" i="36"/>
  <c r="A2189" i="36"/>
  <c r="AG2188" i="36"/>
  <c r="AI2188" i="36" s="1"/>
  <c r="AF2188" i="36"/>
  <c r="AE2188" i="36"/>
  <c r="A2188" i="36"/>
  <c r="A2093" i="36"/>
  <c r="A2092" i="36"/>
  <c r="A2091" i="36"/>
  <c r="A2090" i="36"/>
  <c r="A2089" i="36"/>
  <c r="A2088" i="36"/>
  <c r="A2087" i="36"/>
  <c r="A2086" i="36"/>
  <c r="A2085" i="36"/>
  <c r="A2084" i="36"/>
  <c r="A2083" i="36"/>
  <c r="A2082" i="36"/>
  <c r="A2081" i="36"/>
  <c r="A2080" i="36"/>
  <c r="A2079" i="36"/>
  <c r="A2078" i="36"/>
  <c r="A2077" i="36"/>
  <c r="A2076" i="36"/>
  <c r="A2075" i="36"/>
  <c r="A2074" i="36"/>
  <c r="A2073" i="36"/>
  <c r="A2072" i="36"/>
  <c r="A2071" i="36"/>
  <c r="A2070" i="36"/>
  <c r="A2069" i="36"/>
  <c r="A2068" i="36"/>
  <c r="A2067" i="36"/>
  <c r="A2066" i="36"/>
  <c r="A2065" i="36"/>
  <c r="A2064" i="36"/>
  <c r="A2063" i="36"/>
  <c r="A2062" i="36"/>
  <c r="A2061" i="36"/>
  <c r="A2060" i="36"/>
  <c r="A2059" i="36"/>
  <c r="A2058" i="36"/>
  <c r="A2057" i="36"/>
  <c r="A2056" i="36"/>
  <c r="A2055" i="36"/>
  <c r="A2054" i="36"/>
  <c r="A2053" i="36"/>
  <c r="A2052" i="36"/>
  <c r="A2051" i="36"/>
  <c r="A2050" i="36"/>
  <c r="A2049" i="36"/>
  <c r="A2048" i="36"/>
  <c r="A2047" i="36"/>
  <c r="A2046" i="36"/>
  <c r="A2045" i="36"/>
  <c r="A2044" i="36"/>
  <c r="A2043" i="36"/>
  <c r="A2042" i="36"/>
  <c r="A2041" i="36"/>
  <c r="A2040" i="36"/>
  <c r="A2039" i="36"/>
  <c r="A2038" i="36"/>
  <c r="A2037" i="36"/>
  <c r="A2036" i="36"/>
  <c r="A2035" i="36"/>
  <c r="A2034" i="36"/>
  <c r="A2033" i="36"/>
  <c r="A2032" i="36"/>
  <c r="A2031" i="36"/>
  <c r="A2030" i="36"/>
  <c r="A2029" i="36"/>
  <c r="A2028" i="36"/>
  <c r="A2027" i="36"/>
  <c r="A2026" i="36"/>
  <c r="A2025" i="36"/>
  <c r="A2024" i="36"/>
  <c r="A2023" i="36"/>
  <c r="A2022" i="36"/>
  <c r="A2021" i="36"/>
  <c r="A2020" i="36"/>
  <c r="A2019" i="36"/>
  <c r="A2018" i="36"/>
  <c r="A2017" i="36"/>
  <c r="A2016" i="36"/>
  <c r="A2015" i="36"/>
  <c r="A2014" i="36"/>
  <c r="A2013" i="36"/>
  <c r="A2012" i="36"/>
  <c r="A2011" i="36"/>
  <c r="A2010" i="36"/>
  <c r="A2009" i="36"/>
  <c r="A2008" i="36"/>
  <c r="A2007" i="36"/>
  <c r="A2006" i="36"/>
  <c r="A2005" i="36"/>
  <c r="A2004" i="36"/>
  <c r="A2003" i="36"/>
  <c r="A2002" i="36"/>
  <c r="A2001" i="36"/>
  <c r="A2000" i="36"/>
  <c r="A1999" i="36"/>
  <c r="A1998" i="36"/>
  <c r="A1997" i="36"/>
  <c r="A1996" i="36"/>
  <c r="A1995" i="36"/>
  <c r="A1994" i="36"/>
  <c r="A1993" i="36"/>
  <c r="A1992" i="36"/>
  <c r="A1991" i="36"/>
  <c r="A1990" i="36"/>
  <c r="A1989" i="36"/>
  <c r="A1988" i="36"/>
  <c r="A1987" i="36"/>
  <c r="A1986" i="36"/>
  <c r="A1985" i="36"/>
  <c r="A1984" i="36"/>
  <c r="A1983" i="36"/>
  <c r="A1982" i="36"/>
  <c r="A1981" i="36"/>
  <c r="A1980" i="36"/>
  <c r="A1979" i="36"/>
  <c r="A1978" i="36"/>
  <c r="A1977" i="36"/>
  <c r="A1976" i="36"/>
  <c r="A1975" i="36"/>
  <c r="A1974" i="36"/>
  <c r="A1973" i="36"/>
  <c r="A1972" i="36"/>
  <c r="A1971" i="36"/>
  <c r="A1970" i="36"/>
  <c r="A1969" i="36"/>
  <c r="A1968" i="36"/>
  <c r="A1967" i="36"/>
  <c r="A1966" i="36"/>
  <c r="A1965" i="36"/>
  <c r="A1964" i="36"/>
  <c r="A1963" i="36"/>
  <c r="A1962" i="36"/>
  <c r="A1961" i="36"/>
  <c r="A1960" i="36"/>
  <c r="A1959" i="36"/>
  <c r="A1958" i="36"/>
  <c r="A1957" i="36"/>
  <c r="A1956" i="36"/>
  <c r="A1955" i="36"/>
  <c r="A1954" i="36"/>
  <c r="A1953" i="36"/>
  <c r="A1952" i="36"/>
  <c r="A1951" i="36"/>
  <c r="A1950" i="36"/>
  <c r="A1949" i="36"/>
  <c r="A1948" i="36"/>
  <c r="A1947" i="36"/>
  <c r="A1946" i="36"/>
  <c r="A1945" i="36"/>
  <c r="A1944" i="36"/>
  <c r="A1943" i="36"/>
  <c r="A1942" i="36"/>
  <c r="A1941" i="36"/>
  <c r="A1940" i="36"/>
  <c r="A1939" i="36"/>
  <c r="A1938" i="36"/>
  <c r="A1937" i="36"/>
  <c r="A1936" i="36"/>
  <c r="A1935" i="36"/>
  <c r="A1934" i="36"/>
  <c r="A1933" i="36"/>
  <c r="A1932" i="36"/>
  <c r="A1931" i="36"/>
  <c r="A1930" i="36"/>
  <c r="A1929" i="36"/>
  <c r="A1928" i="36"/>
  <c r="A1927" i="36"/>
  <c r="A1926" i="36"/>
  <c r="A1925" i="36"/>
  <c r="A1924" i="36"/>
  <c r="A1923" i="36"/>
  <c r="A1922" i="36"/>
  <c r="A1921" i="36"/>
  <c r="A1920" i="36"/>
  <c r="A1919" i="36"/>
  <c r="A1918" i="36"/>
  <c r="A1917" i="36"/>
  <c r="A1916" i="36"/>
  <c r="A1915" i="36"/>
  <c r="A1914" i="36"/>
  <c r="A1913" i="36"/>
  <c r="A1912" i="36"/>
  <c r="A1911" i="36"/>
  <c r="A1910" i="36"/>
  <c r="A1909" i="36"/>
  <c r="A1908" i="36"/>
  <c r="A1907" i="36"/>
  <c r="A1906" i="36"/>
  <c r="A1905" i="36"/>
  <c r="A1904" i="36"/>
  <c r="A1903" i="36"/>
  <c r="A1902" i="36"/>
  <c r="A1901" i="36"/>
  <c r="A1900" i="36"/>
  <c r="A1899" i="36"/>
  <c r="A1898" i="36"/>
  <c r="A1897" i="36"/>
  <c r="A1896" i="36"/>
  <c r="A1895" i="36"/>
  <c r="A1894" i="36"/>
  <c r="A1893" i="36"/>
  <c r="A1892" i="36"/>
  <c r="A1891" i="36"/>
  <c r="A1890" i="36"/>
  <c r="A1889" i="36"/>
  <c r="A1888" i="36"/>
  <c r="A1887" i="36"/>
  <c r="A1886" i="36"/>
  <c r="A1885" i="36"/>
  <c r="A1884" i="36"/>
  <c r="A1883" i="36"/>
  <c r="A1882" i="36"/>
  <c r="A1881" i="36"/>
  <c r="A1880" i="36"/>
  <c r="A1879" i="36"/>
  <c r="A1878" i="36"/>
  <c r="A1877" i="36"/>
  <c r="A1876" i="36"/>
  <c r="A1875" i="36"/>
  <c r="A1874" i="36"/>
  <c r="A1873" i="36"/>
  <c r="A1872" i="36"/>
  <c r="A1871" i="36"/>
  <c r="A1870" i="36"/>
  <c r="A1869" i="36"/>
  <c r="A1868" i="36"/>
  <c r="A1867" i="36"/>
  <c r="A1866" i="36"/>
  <c r="A1865" i="36"/>
  <c r="A1864" i="36"/>
  <c r="A1863" i="36"/>
  <c r="A1862" i="36"/>
  <c r="A1861" i="36"/>
  <c r="A1860" i="36"/>
  <c r="A1859" i="36"/>
  <c r="A1858" i="36"/>
  <c r="A1857" i="36"/>
  <c r="A1856" i="36"/>
  <c r="A1855" i="36"/>
  <c r="A1854" i="36"/>
  <c r="A1853" i="36"/>
  <c r="A1852" i="36"/>
  <c r="A1851" i="36"/>
  <c r="A1850" i="36"/>
  <c r="A1849" i="36"/>
  <c r="A1848" i="36"/>
  <c r="A1847" i="36"/>
  <c r="A1846" i="36"/>
  <c r="A1845" i="36"/>
  <c r="A1844" i="36"/>
  <c r="A1843" i="36"/>
  <c r="A1842" i="36"/>
  <c r="A1841" i="36"/>
  <c r="A1840" i="36"/>
  <c r="A1839" i="36"/>
  <c r="A1838" i="36"/>
  <c r="A1837" i="36"/>
  <c r="A1836" i="36"/>
  <c r="A1835" i="36"/>
  <c r="A1834" i="36"/>
  <c r="A1833" i="36"/>
  <c r="A1832" i="36"/>
  <c r="A1831" i="36"/>
  <c r="A1830" i="36"/>
  <c r="A1829" i="36"/>
  <c r="A1828" i="36"/>
  <c r="A1827" i="36"/>
  <c r="A1826" i="36"/>
  <c r="A1825" i="36"/>
  <c r="A1824" i="36"/>
  <c r="A1823" i="36"/>
  <c r="A1822" i="36"/>
  <c r="A1821" i="36"/>
  <c r="A1820" i="36"/>
  <c r="A1819" i="36"/>
  <c r="A1818" i="36"/>
  <c r="A1817" i="36"/>
  <c r="A1816" i="36"/>
  <c r="A1815" i="36"/>
  <c r="A1814" i="36"/>
  <c r="A1813" i="36"/>
  <c r="A1812" i="36"/>
  <c r="A1811" i="36"/>
  <c r="A1810" i="36"/>
  <c r="A1809" i="36"/>
  <c r="A1808" i="36"/>
  <c r="A1807" i="36"/>
  <c r="A1806" i="36"/>
  <c r="A1805" i="36"/>
  <c r="A1804" i="36"/>
  <c r="A1803" i="36"/>
  <c r="A1802" i="36"/>
  <c r="A1801" i="36"/>
  <c r="A1800" i="36"/>
  <c r="A1799" i="36"/>
  <c r="A1798" i="36"/>
  <c r="A1797" i="36"/>
  <c r="A1796" i="36"/>
  <c r="A1795" i="36"/>
  <c r="A1794" i="36"/>
  <c r="A1793" i="36"/>
  <c r="A1792" i="36"/>
  <c r="A1791" i="36"/>
  <c r="A1790" i="36"/>
  <c r="A1789" i="36"/>
  <c r="A1788" i="36"/>
  <c r="A1787" i="36"/>
  <c r="A1786" i="36"/>
  <c r="A1785" i="36"/>
  <c r="A1784" i="36"/>
  <c r="A1783" i="36"/>
  <c r="A1782" i="36"/>
  <c r="A1781" i="36"/>
  <c r="A1780" i="36"/>
  <c r="A1779" i="36"/>
  <c r="A1778" i="36"/>
  <c r="A1777" i="36"/>
  <c r="A1776" i="36"/>
  <c r="A1775" i="36"/>
  <c r="A1774" i="36"/>
  <c r="A1773" i="36"/>
  <c r="A1772" i="36"/>
  <c r="A1771" i="36"/>
  <c r="A1770" i="36"/>
  <c r="A1769" i="36"/>
  <c r="A1768" i="36"/>
  <c r="A1767" i="36"/>
  <c r="A1766" i="36"/>
  <c r="A1765" i="36"/>
  <c r="A1764" i="36"/>
  <c r="A1763" i="36"/>
  <c r="A1762" i="36"/>
  <c r="AG1761" i="36"/>
  <c r="AF1761" i="36"/>
  <c r="AE1761" i="36"/>
  <c r="A1761" i="36"/>
  <c r="AG1760" i="36"/>
  <c r="AF1760" i="36"/>
  <c r="AE1760" i="36"/>
  <c r="A1760" i="36"/>
  <c r="AG1759" i="36"/>
  <c r="AF1759" i="36"/>
  <c r="AE1759" i="36"/>
  <c r="A1759" i="36"/>
  <c r="AG1758" i="36"/>
  <c r="AF1758" i="36"/>
  <c r="AE1758" i="36"/>
  <c r="A1758" i="36"/>
  <c r="AG1757" i="36"/>
  <c r="AF1757" i="36"/>
  <c r="AE1757" i="36"/>
  <c r="A1757" i="36"/>
  <c r="AG1756" i="36"/>
  <c r="AF1756" i="36"/>
  <c r="AE1756" i="36"/>
  <c r="A1756" i="36"/>
  <c r="AG1755" i="36"/>
  <c r="AF1755" i="36"/>
  <c r="AE1755" i="36"/>
  <c r="A1755" i="36"/>
  <c r="AG1754" i="36"/>
  <c r="AF1754" i="36"/>
  <c r="AE1754" i="36"/>
  <c r="A1754" i="36"/>
  <c r="AG1753" i="36"/>
  <c r="AF1753" i="36"/>
  <c r="AE1753" i="36"/>
  <c r="A1753" i="36"/>
  <c r="AG1752" i="36"/>
  <c r="AF1752" i="36"/>
  <c r="AE1752" i="36"/>
  <c r="A1752" i="36"/>
  <c r="AG1751" i="36"/>
  <c r="AF1751" i="36"/>
  <c r="AE1751" i="36"/>
  <c r="A1751" i="36"/>
  <c r="AG1750" i="36"/>
  <c r="AF1750" i="36"/>
  <c r="AE1750" i="36"/>
  <c r="A1750" i="36"/>
  <c r="AG1749" i="36"/>
  <c r="AF1749" i="36"/>
  <c r="AE1749" i="36"/>
  <c r="A1749" i="36"/>
  <c r="AG1748" i="36"/>
  <c r="AF1748" i="36"/>
  <c r="AE1748" i="36"/>
  <c r="A1748" i="36"/>
  <c r="AG1747" i="36"/>
  <c r="AF1747" i="36"/>
  <c r="AE1747" i="36"/>
  <c r="A1747" i="36"/>
  <c r="AG1746" i="36"/>
  <c r="AF1746" i="36"/>
  <c r="AE1746" i="36"/>
  <c r="A1746" i="36"/>
  <c r="AG1745" i="36"/>
  <c r="AF1745" i="36"/>
  <c r="AE1745" i="36"/>
  <c r="A1745" i="36"/>
  <c r="AG1744" i="36"/>
  <c r="AF1744" i="36"/>
  <c r="AE1744" i="36"/>
  <c r="A1744" i="36"/>
  <c r="AG1743" i="36"/>
  <c r="AF1743" i="36"/>
  <c r="AE1743" i="36"/>
  <c r="A1743" i="36"/>
  <c r="AG1742" i="36"/>
  <c r="AF1742" i="36"/>
  <c r="AE1742" i="36"/>
  <c r="A1742" i="36"/>
  <c r="AG1741" i="36"/>
  <c r="AF1741" i="36"/>
  <c r="AE1741" i="36"/>
  <c r="A1741" i="36"/>
  <c r="AG1740" i="36"/>
  <c r="AF1740" i="36"/>
  <c r="AE1740" i="36"/>
  <c r="A1740" i="36"/>
  <c r="AG1739" i="36"/>
  <c r="AF1739" i="36"/>
  <c r="AE1739" i="36"/>
  <c r="A1739" i="36"/>
  <c r="AG1738" i="36"/>
  <c r="AF1738" i="36"/>
  <c r="AE1738" i="36"/>
  <c r="A1738" i="36"/>
  <c r="AG1737" i="36"/>
  <c r="AF1737" i="36"/>
  <c r="AE1737" i="36"/>
  <c r="A1737" i="36"/>
  <c r="AG1736" i="36"/>
  <c r="AF1736" i="36"/>
  <c r="AE1736" i="36"/>
  <c r="A1736" i="36"/>
  <c r="AG1735" i="36"/>
  <c r="AF1735" i="36"/>
  <c r="AE1735" i="36"/>
  <c r="A1735" i="36"/>
  <c r="AG1734" i="36"/>
  <c r="AF1734" i="36"/>
  <c r="AE1734" i="36"/>
  <c r="A1734" i="36"/>
  <c r="AG1733" i="36"/>
  <c r="AF1733" i="36"/>
  <c r="AE1733" i="36"/>
  <c r="A1733" i="36"/>
  <c r="AG1732" i="36"/>
  <c r="AF1732" i="36"/>
  <c r="AE1732" i="36"/>
  <c r="A1732" i="36"/>
  <c r="AG1731" i="36"/>
  <c r="AF1731" i="36"/>
  <c r="AE1731" i="36"/>
  <c r="A1731" i="36"/>
  <c r="AG1730" i="36"/>
  <c r="AF1730" i="36"/>
  <c r="AE1730" i="36"/>
  <c r="A1730" i="36"/>
  <c r="AG1729" i="36"/>
  <c r="AF1729" i="36"/>
  <c r="AE1729" i="36"/>
  <c r="A1729" i="36"/>
  <c r="AG1728" i="36"/>
  <c r="AF1728" i="36"/>
  <c r="AE1728" i="36"/>
  <c r="A1728" i="36"/>
  <c r="AG1727" i="36"/>
  <c r="AF1727" i="36"/>
  <c r="AE1727" i="36"/>
  <c r="A1727" i="36"/>
  <c r="AG1726" i="36"/>
  <c r="AF1726" i="36"/>
  <c r="AE1726" i="36"/>
  <c r="A1726" i="36"/>
  <c r="AG1725" i="36"/>
  <c r="AF1725" i="36"/>
  <c r="AE1725" i="36"/>
  <c r="A1725" i="36"/>
  <c r="AG1724" i="36"/>
  <c r="AF1724" i="36"/>
  <c r="AE1724" i="36"/>
  <c r="A1724" i="36"/>
  <c r="AG1723" i="36"/>
  <c r="AF1723" i="36"/>
  <c r="AE1723" i="36"/>
  <c r="A1723" i="36"/>
  <c r="AG1722" i="36"/>
  <c r="AF1722" i="36"/>
  <c r="AE1722" i="36"/>
  <c r="A1722" i="36"/>
  <c r="AG1721" i="36"/>
  <c r="AF1721" i="36"/>
  <c r="AE1721" i="36"/>
  <c r="A1721" i="36"/>
  <c r="AG1720" i="36"/>
  <c r="AF1720" i="36"/>
  <c r="AE1720" i="36"/>
  <c r="A1720" i="36"/>
  <c r="AG1719" i="36"/>
  <c r="AF1719" i="36"/>
  <c r="AE1719" i="36"/>
  <c r="A1719" i="36"/>
  <c r="AG1718" i="36"/>
  <c r="AF1718" i="36"/>
  <c r="AE1718" i="36"/>
  <c r="A1718" i="36"/>
  <c r="AG1717" i="36"/>
  <c r="AF1717" i="36"/>
  <c r="AE1717" i="36"/>
  <c r="A1717" i="36"/>
  <c r="AG1716" i="36"/>
  <c r="AF1716" i="36"/>
  <c r="AE1716" i="36"/>
  <c r="A1716" i="36"/>
  <c r="AG1715" i="36"/>
  <c r="AF1715" i="36"/>
  <c r="AE1715" i="36"/>
  <c r="A1715" i="36"/>
  <c r="AG1714" i="36"/>
  <c r="AF1714" i="36"/>
  <c r="AE1714" i="36"/>
  <c r="A1714" i="36"/>
  <c r="AG1713" i="36"/>
  <c r="AF1713" i="36"/>
  <c r="AE1713" i="36"/>
  <c r="A1713" i="36"/>
  <c r="AG1712" i="36"/>
  <c r="AF1712" i="36"/>
  <c r="AE1712" i="36"/>
  <c r="A1712" i="36"/>
  <c r="AG1711" i="36"/>
  <c r="AF1711" i="36"/>
  <c r="AE1711" i="36"/>
  <c r="A1711" i="36"/>
  <c r="AG1710" i="36"/>
  <c r="AF1710" i="36"/>
  <c r="AE1710" i="36"/>
  <c r="A1710" i="36"/>
  <c r="AG1709" i="36"/>
  <c r="AF1709" i="36"/>
  <c r="AE1709" i="36"/>
  <c r="A1709" i="36"/>
  <c r="AG1708" i="36"/>
  <c r="AF1708" i="36"/>
  <c r="AE1708" i="36"/>
  <c r="A1708" i="36"/>
  <c r="AG1707" i="36"/>
  <c r="AF1707" i="36"/>
  <c r="AE1707" i="36"/>
  <c r="A1707" i="36"/>
  <c r="AG1706" i="36"/>
  <c r="AF1706" i="36"/>
  <c r="AE1706" i="36"/>
  <c r="A1706" i="36"/>
  <c r="AG1705" i="36"/>
  <c r="AF1705" i="36"/>
  <c r="AE1705" i="36"/>
  <c r="A1705" i="36"/>
  <c r="AG1704" i="36"/>
  <c r="AF1704" i="36"/>
  <c r="AE1704" i="36"/>
  <c r="A1704" i="36"/>
  <c r="AG1703" i="36"/>
  <c r="AF1703" i="36"/>
  <c r="AE1703" i="36"/>
  <c r="A1703" i="36"/>
  <c r="AG1702" i="36"/>
  <c r="AF1702" i="36"/>
  <c r="AE1702" i="36"/>
  <c r="A1702" i="36"/>
  <c r="AG1701" i="36"/>
  <c r="AF1701" i="36"/>
  <c r="AE1701" i="36"/>
  <c r="A1701" i="36"/>
  <c r="AG1700" i="36"/>
  <c r="AF1700" i="36"/>
  <c r="AE1700" i="36"/>
  <c r="A1700" i="36"/>
  <c r="AG1699" i="36"/>
  <c r="AF1699" i="36"/>
  <c r="AE1699" i="36"/>
  <c r="A1699" i="36"/>
  <c r="AG1698" i="36"/>
  <c r="AF1698" i="36"/>
  <c r="AE1698" i="36"/>
  <c r="A1698" i="36"/>
  <c r="AG1697" i="36"/>
  <c r="AF1697" i="36"/>
  <c r="AE1697" i="36"/>
  <c r="A1697" i="36"/>
  <c r="AG1696" i="36"/>
  <c r="AF1696" i="36"/>
  <c r="AE1696" i="36"/>
  <c r="A1696" i="36"/>
  <c r="AG1695" i="36"/>
  <c r="AF1695" i="36"/>
  <c r="AE1695" i="36"/>
  <c r="A1695" i="36"/>
  <c r="AG1694" i="36"/>
  <c r="AF1694" i="36"/>
  <c r="AE1694" i="36"/>
  <c r="A1694" i="36"/>
  <c r="AG1693" i="36"/>
  <c r="AF1693" i="36"/>
  <c r="AE1693" i="36"/>
  <c r="A1693" i="36"/>
  <c r="AG1692" i="36"/>
  <c r="AF1692" i="36"/>
  <c r="AE1692" i="36"/>
  <c r="A1692" i="36"/>
  <c r="AG1691" i="36"/>
  <c r="AF1691" i="36"/>
  <c r="AE1691" i="36"/>
  <c r="A1691" i="36"/>
  <c r="AG1690" i="36"/>
  <c r="AF1690" i="36"/>
  <c r="AE1690" i="36"/>
  <c r="A1690" i="36"/>
  <c r="AG1689" i="36"/>
  <c r="AF1689" i="36"/>
  <c r="AE1689" i="36"/>
  <c r="A1689" i="36"/>
  <c r="AG1688" i="36"/>
  <c r="AF1688" i="36"/>
  <c r="AE1688" i="36"/>
  <c r="A1688" i="36"/>
  <c r="AG1687" i="36"/>
  <c r="AF1687" i="36"/>
  <c r="AE1687" i="36"/>
  <c r="A1687" i="36"/>
  <c r="AG1686" i="36"/>
  <c r="AF1686" i="36"/>
  <c r="AE1686" i="36"/>
  <c r="A1686" i="36"/>
  <c r="AG1685" i="36"/>
  <c r="AF1685" i="36"/>
  <c r="AE1685" i="36"/>
  <c r="A1685" i="36"/>
  <c r="AG1684" i="36"/>
  <c r="AF1684" i="36"/>
  <c r="AE1684" i="36"/>
  <c r="A1684" i="36"/>
  <c r="AG1683" i="36"/>
  <c r="AF1683" i="36"/>
  <c r="AE1683" i="36"/>
  <c r="A1683" i="36"/>
  <c r="AG1682" i="36"/>
  <c r="AF1682" i="36"/>
  <c r="AE1682" i="36"/>
  <c r="A1682" i="36"/>
  <c r="AG1681" i="36"/>
  <c r="AF1681" i="36"/>
  <c r="AE1681" i="36"/>
  <c r="A1681" i="36"/>
  <c r="AG1680" i="36"/>
  <c r="AF1680" i="36"/>
  <c r="AE1680" i="36"/>
  <c r="A1680" i="36"/>
  <c r="AG1679" i="36"/>
  <c r="AF1679" i="36"/>
  <c r="AE1679" i="36"/>
  <c r="A1679" i="36"/>
  <c r="AG1678" i="36"/>
  <c r="AF1678" i="36"/>
  <c r="AE1678" i="36"/>
  <c r="A1678" i="36"/>
  <c r="AG1677" i="36"/>
  <c r="AF1677" i="36"/>
  <c r="AE1677" i="36"/>
  <c r="A1677" i="36"/>
  <c r="AG1676" i="36"/>
  <c r="AF1676" i="36"/>
  <c r="AE1676" i="36"/>
  <c r="A1676" i="36"/>
  <c r="AG1675" i="36"/>
  <c r="AF1675" i="36"/>
  <c r="AE1675" i="36"/>
  <c r="A1675" i="36"/>
  <c r="AG1674" i="36"/>
  <c r="AF1674" i="36"/>
  <c r="AE1674" i="36"/>
  <c r="A1674" i="36"/>
  <c r="AG1673" i="36"/>
  <c r="AF1673" i="36"/>
  <c r="AE1673" i="36"/>
  <c r="A1673" i="36"/>
  <c r="AG1672" i="36"/>
  <c r="AF1672" i="36"/>
  <c r="AE1672" i="36"/>
  <c r="A1672" i="36"/>
  <c r="AG1671" i="36"/>
  <c r="AF1671" i="36"/>
  <c r="AE1671" i="36"/>
  <c r="A1671" i="36"/>
  <c r="AG1670" i="36"/>
  <c r="AF1670" i="36"/>
  <c r="AE1670" i="36"/>
  <c r="A1670" i="36"/>
  <c r="AG1669" i="36"/>
  <c r="AF1669" i="36"/>
  <c r="AE1669" i="36"/>
  <c r="A1669" i="36"/>
  <c r="AG1668" i="36"/>
  <c r="AF1668" i="36"/>
  <c r="AE1668" i="36"/>
  <c r="A1668" i="36"/>
  <c r="AG1667" i="36"/>
  <c r="AF1667" i="36"/>
  <c r="AE1667" i="36"/>
  <c r="A1667" i="36"/>
  <c r="AG1666" i="36"/>
  <c r="AF1666" i="36"/>
  <c r="AE1666" i="36"/>
  <c r="A1666" i="36"/>
  <c r="AG1665" i="36"/>
  <c r="AF1665" i="36"/>
  <c r="AE1665" i="36"/>
  <c r="A1665" i="36"/>
  <c r="AG1664" i="36"/>
  <c r="AF1664" i="36"/>
  <c r="AE1664" i="36"/>
  <c r="A1664" i="36"/>
  <c r="AG1663" i="36"/>
  <c r="AF1663" i="36"/>
  <c r="AE1663" i="36"/>
  <c r="A1663" i="36"/>
  <c r="AG1662" i="36"/>
  <c r="AF1662" i="36"/>
  <c r="AE1662" i="36"/>
  <c r="A1662" i="36"/>
  <c r="AG1661" i="36"/>
  <c r="AF1661" i="36"/>
  <c r="AE1661" i="36"/>
  <c r="A1661" i="36"/>
  <c r="AG1660" i="36"/>
  <c r="AF1660" i="36"/>
  <c r="AE1660" i="36"/>
  <c r="A1660" i="36"/>
  <c r="AG1659" i="36"/>
  <c r="AF1659" i="36"/>
  <c r="AE1659" i="36"/>
  <c r="A1659" i="36"/>
  <c r="AG1658" i="36"/>
  <c r="AF1658" i="36"/>
  <c r="AE1658" i="36"/>
  <c r="A1658" i="36"/>
  <c r="AG1657" i="36"/>
  <c r="AF1657" i="36"/>
  <c r="AE1657" i="36"/>
  <c r="A1657" i="36"/>
  <c r="AG1656" i="36"/>
  <c r="AF1656" i="36"/>
  <c r="AE1656" i="36"/>
  <c r="A1656" i="36"/>
  <c r="AG1655" i="36"/>
  <c r="AF1655" i="36"/>
  <c r="AE1655" i="36"/>
  <c r="A1655" i="36"/>
  <c r="AG1654" i="36"/>
  <c r="AF1654" i="36"/>
  <c r="AE1654" i="36"/>
  <c r="A1654" i="36"/>
  <c r="AG1653" i="36"/>
  <c r="AF1653" i="36"/>
  <c r="AE1653" i="36"/>
  <c r="A1653" i="36"/>
  <c r="AG1652" i="36"/>
  <c r="AF1652" i="36"/>
  <c r="AE1652" i="36"/>
  <c r="A1652" i="36"/>
  <c r="AG1651" i="36"/>
  <c r="AF1651" i="36"/>
  <c r="AE1651" i="36"/>
  <c r="A1651" i="36"/>
  <c r="AG1650" i="36"/>
  <c r="AF1650" i="36"/>
  <c r="AE1650" i="36"/>
  <c r="A1650" i="36"/>
  <c r="AG1649" i="36"/>
  <c r="AF1649" i="36"/>
  <c r="AE1649" i="36"/>
  <c r="A1649" i="36"/>
  <c r="AG1648" i="36"/>
  <c r="AF1648" i="36"/>
  <c r="AE1648" i="36"/>
  <c r="A1648" i="36"/>
  <c r="AG1647" i="36"/>
  <c r="AF1647" i="36"/>
  <c r="AE1647" i="36"/>
  <c r="A1647" i="36"/>
  <c r="AG1646" i="36"/>
  <c r="AF1646" i="36"/>
  <c r="AE1646" i="36"/>
  <c r="A1646" i="36"/>
  <c r="AG1645" i="36"/>
  <c r="AF1645" i="36"/>
  <c r="AE1645" i="36"/>
  <c r="A1645" i="36"/>
  <c r="AG1644" i="36"/>
  <c r="AF1644" i="36"/>
  <c r="AE1644" i="36"/>
  <c r="A1644" i="36"/>
  <c r="AG1643" i="36"/>
  <c r="AF1643" i="36"/>
  <c r="AE1643" i="36"/>
  <c r="A1643" i="36"/>
  <c r="AG1642" i="36"/>
  <c r="AF1642" i="36"/>
  <c r="AE1642" i="36"/>
  <c r="A1642" i="36"/>
  <c r="AG1641" i="36"/>
  <c r="AF1641" i="36"/>
  <c r="AE1641" i="36"/>
  <c r="A1641" i="36"/>
  <c r="AG1640" i="36"/>
  <c r="AF1640" i="36"/>
  <c r="AE1640" i="36"/>
  <c r="A1640" i="36"/>
  <c r="AG1639" i="36"/>
  <c r="AF1639" i="36"/>
  <c r="AE1639" i="36"/>
  <c r="A1639" i="36"/>
  <c r="AG1638" i="36"/>
  <c r="AF1638" i="36"/>
  <c r="AE1638" i="36"/>
  <c r="A1638" i="36"/>
  <c r="AG1637" i="36"/>
  <c r="AF1637" i="36"/>
  <c r="AE1637" i="36"/>
  <c r="A1637" i="36"/>
  <c r="AG1636" i="36"/>
  <c r="AF1636" i="36"/>
  <c r="AE1636" i="36"/>
  <c r="A1636" i="36"/>
  <c r="AG1635" i="36"/>
  <c r="AF1635" i="36"/>
  <c r="AE1635" i="36"/>
  <c r="A1635" i="36"/>
  <c r="AG1634" i="36"/>
  <c r="AF1634" i="36"/>
  <c r="AE1634" i="36"/>
  <c r="A1634" i="36"/>
  <c r="AG1633" i="36"/>
  <c r="AF1633" i="36"/>
  <c r="AE1633" i="36"/>
  <c r="A1633" i="36"/>
  <c r="AG1632" i="36"/>
  <c r="AF1632" i="36"/>
  <c r="AE1632" i="36"/>
  <c r="A1632" i="36"/>
  <c r="AG1631" i="36"/>
  <c r="AF1631" i="36"/>
  <c r="AE1631" i="36"/>
  <c r="A1631" i="36"/>
  <c r="AG1630" i="36"/>
  <c r="AF1630" i="36"/>
  <c r="AE1630" i="36"/>
  <c r="A1630" i="36"/>
  <c r="AG1629" i="36"/>
  <c r="AF1629" i="36"/>
  <c r="AE1629" i="36"/>
  <c r="A1629" i="36"/>
  <c r="AG1628" i="36"/>
  <c r="AF1628" i="36"/>
  <c r="AE1628" i="36"/>
  <c r="A1628" i="36"/>
  <c r="AG1627" i="36"/>
  <c r="AF1627" i="36"/>
  <c r="AE1627" i="36"/>
  <c r="A1627" i="36"/>
  <c r="AG1626" i="36"/>
  <c r="AF1626" i="36"/>
  <c r="AE1626" i="36"/>
  <c r="A1626" i="36"/>
  <c r="AG1625" i="36"/>
  <c r="AF1625" i="36"/>
  <c r="AE1625" i="36"/>
  <c r="A1625" i="36"/>
  <c r="AG1624" i="36"/>
  <c r="AF1624" i="36"/>
  <c r="AE1624" i="36"/>
  <c r="A1624" i="36"/>
  <c r="AG1623" i="36"/>
  <c r="AF1623" i="36"/>
  <c r="AE1623" i="36"/>
  <c r="A1623" i="36"/>
  <c r="AG1622" i="36"/>
  <c r="AF1622" i="36"/>
  <c r="AE1622" i="36"/>
  <c r="A1622" i="36"/>
  <c r="AG1621" i="36"/>
  <c r="AF1621" i="36"/>
  <c r="AE1621" i="36"/>
  <c r="A1621" i="36"/>
  <c r="AG1620" i="36"/>
  <c r="AF1620" i="36"/>
  <c r="AE1620" i="36"/>
  <c r="A1620" i="36"/>
  <c r="AG1619" i="36"/>
  <c r="AF1619" i="36"/>
  <c r="AE1619" i="36"/>
  <c r="A1619" i="36"/>
  <c r="AG1618" i="36"/>
  <c r="AF1618" i="36"/>
  <c r="AE1618" i="36"/>
  <c r="A1618" i="36"/>
  <c r="AG1617" i="36"/>
  <c r="AF1617" i="36"/>
  <c r="AE1617" i="36"/>
  <c r="A1617" i="36"/>
  <c r="AG1616" i="36"/>
  <c r="AF1616" i="36"/>
  <c r="AE1616" i="36"/>
  <c r="A1616" i="36"/>
  <c r="AG1615" i="36"/>
  <c r="AF1615" i="36"/>
  <c r="AE1615" i="36"/>
  <c r="A1615" i="36"/>
  <c r="A1614" i="36"/>
  <c r="A1613" i="36"/>
  <c r="A1612" i="36"/>
  <c r="A1611" i="36"/>
  <c r="A1610" i="36"/>
  <c r="A1609" i="36"/>
  <c r="A1608" i="36"/>
  <c r="A1607" i="36"/>
  <c r="A1606" i="36"/>
  <c r="A1605" i="36"/>
  <c r="A1604" i="36"/>
  <c r="A1603" i="36"/>
  <c r="A1602" i="36"/>
  <c r="A1601" i="36"/>
  <c r="A1600" i="36"/>
  <c r="A1599" i="36"/>
  <c r="A1598" i="36"/>
  <c r="A1597" i="36"/>
  <c r="A1596" i="36"/>
  <c r="A1595" i="36"/>
  <c r="A1594" i="36"/>
  <c r="A1593" i="36"/>
  <c r="A1592" i="36"/>
  <c r="A1591" i="36"/>
  <c r="A1590" i="36"/>
  <c r="A1589" i="36"/>
  <c r="A1588" i="36"/>
  <c r="A1587" i="36"/>
  <c r="A1586" i="36"/>
  <c r="A1585" i="36"/>
  <c r="A1584" i="36"/>
  <c r="A1583" i="36"/>
  <c r="A1582" i="36"/>
  <c r="A1581" i="36"/>
  <c r="A1580" i="36"/>
  <c r="A1579" i="36"/>
  <c r="A1578" i="36"/>
  <c r="A1577" i="36"/>
  <c r="A1576" i="36"/>
  <c r="A1575" i="36"/>
  <c r="A1574" i="36"/>
  <c r="A1573" i="36"/>
  <c r="A1572" i="36"/>
  <c r="A1571" i="36"/>
  <c r="A1570" i="36"/>
  <c r="A1569" i="36"/>
  <c r="A1568" i="36"/>
  <c r="A1567" i="36"/>
  <c r="A1566" i="36"/>
  <c r="A1565" i="36"/>
  <c r="A1564" i="36"/>
  <c r="A1563" i="36"/>
  <c r="A1562" i="36"/>
  <c r="A1561" i="36"/>
  <c r="A1560" i="36"/>
  <c r="A1559" i="36"/>
  <c r="A1558" i="36"/>
  <c r="A1557" i="36"/>
  <c r="A1556" i="36"/>
  <c r="A1555" i="36"/>
  <c r="A1554" i="36"/>
  <c r="A1553" i="36"/>
  <c r="A1552" i="36"/>
  <c r="A1551" i="36"/>
  <c r="A1550" i="36"/>
  <c r="A1549" i="36"/>
  <c r="A1548" i="36"/>
  <c r="A1547" i="36"/>
  <c r="A1546" i="36"/>
  <c r="A1545" i="36"/>
  <c r="A1544" i="36"/>
  <c r="A1543" i="36"/>
  <c r="A1542" i="36"/>
  <c r="A1541" i="36"/>
  <c r="A1540" i="36"/>
  <c r="A1539" i="36"/>
  <c r="A1538" i="36"/>
  <c r="A1537" i="36"/>
  <c r="A1536" i="36"/>
  <c r="A1535" i="36"/>
  <c r="A1534" i="36"/>
  <c r="A1533" i="36"/>
  <c r="A1532" i="36"/>
  <c r="A1531" i="36"/>
  <c r="A1530" i="36"/>
  <c r="A1529" i="36"/>
  <c r="A1528" i="36"/>
  <c r="A1527" i="36"/>
  <c r="A1526" i="36"/>
  <c r="A1525" i="36"/>
  <c r="A1524" i="36"/>
  <c r="A1523" i="36"/>
  <c r="A1522" i="36"/>
  <c r="A1521" i="36"/>
  <c r="A1520" i="36"/>
  <c r="A1519" i="36"/>
  <c r="A1518" i="36"/>
  <c r="A1517" i="36"/>
  <c r="A1516" i="36"/>
  <c r="A1515" i="36"/>
  <c r="A1514" i="36"/>
  <c r="A1513" i="36"/>
  <c r="A1512" i="36"/>
  <c r="A1511" i="36"/>
  <c r="A1510" i="36"/>
  <c r="A1509" i="36"/>
  <c r="A1508" i="36"/>
  <c r="A1507" i="36"/>
  <c r="A1506" i="36"/>
  <c r="A1505" i="36"/>
  <c r="A1504" i="36"/>
  <c r="A1503" i="36"/>
  <c r="A1502" i="36"/>
  <c r="A1501" i="36"/>
  <c r="A1500" i="36"/>
  <c r="A1499" i="36"/>
  <c r="A1498" i="36"/>
  <c r="A1497" i="36"/>
  <c r="A1496" i="36"/>
  <c r="A1495" i="36"/>
  <c r="A1494" i="36"/>
  <c r="A1493" i="36"/>
  <c r="A1492" i="36"/>
  <c r="A1491" i="36"/>
  <c r="A1490" i="36"/>
  <c r="A1489" i="36"/>
  <c r="A1488" i="36"/>
  <c r="A1487" i="36"/>
  <c r="A1486" i="36"/>
  <c r="A1485" i="36"/>
  <c r="A1484" i="36"/>
  <c r="A1483" i="36"/>
  <c r="A1482" i="36"/>
  <c r="A1481" i="36"/>
  <c r="A1480" i="36"/>
  <c r="A1479" i="36"/>
  <c r="A1478" i="36"/>
  <c r="A1477" i="36"/>
  <c r="A1476" i="36"/>
  <c r="A1475" i="36"/>
  <c r="A1474" i="36"/>
  <c r="A1473" i="36"/>
  <c r="A1472" i="36"/>
  <c r="A1471" i="36"/>
  <c r="A1470" i="36"/>
  <c r="A1469" i="36"/>
  <c r="A1468" i="36"/>
  <c r="A1467" i="36"/>
  <c r="A1466" i="36"/>
  <c r="A1465" i="36"/>
  <c r="A1464" i="36"/>
  <c r="A1463" i="36"/>
  <c r="A1462" i="36"/>
  <c r="A1461" i="36"/>
  <c r="A1460" i="36"/>
  <c r="A1459" i="36"/>
  <c r="A1458" i="36"/>
  <c r="A1457" i="36"/>
  <c r="A1456" i="36"/>
  <c r="A1455" i="36"/>
  <c r="A1454" i="36"/>
  <c r="A1453" i="36"/>
  <c r="A1452" i="36"/>
  <c r="A1451" i="36"/>
  <c r="A1450" i="36"/>
  <c r="A1449" i="36"/>
  <c r="A1448" i="36"/>
  <c r="A1447" i="36"/>
  <c r="A1446" i="36"/>
  <c r="A1445" i="36"/>
  <c r="A1444" i="36"/>
  <c r="A1443" i="36"/>
  <c r="A1442" i="36"/>
  <c r="A1441" i="36"/>
  <c r="A1440" i="36"/>
  <c r="A1439" i="36"/>
  <c r="A1438" i="36"/>
  <c r="A1437" i="36"/>
  <c r="A1436" i="36"/>
  <c r="A1435" i="36"/>
  <c r="A1434" i="36"/>
  <c r="A1433" i="36"/>
  <c r="A1432" i="36"/>
  <c r="A1431" i="36"/>
  <c r="A1430" i="36"/>
  <c r="A1429" i="36"/>
  <c r="A1428" i="36"/>
  <c r="A1427" i="36"/>
  <c r="A1426" i="36"/>
  <c r="A1425" i="36"/>
  <c r="A1424" i="36"/>
  <c r="A1423" i="36"/>
  <c r="A1422" i="36"/>
  <c r="A1421" i="36"/>
  <c r="A1420" i="36"/>
  <c r="A1419" i="36"/>
  <c r="A1418" i="36"/>
  <c r="A1417" i="36"/>
  <c r="A1416" i="36"/>
  <c r="A1415" i="36"/>
  <c r="A1414" i="36"/>
  <c r="A1413" i="36"/>
  <c r="A1412" i="36"/>
  <c r="A1411" i="36"/>
  <c r="A1410" i="36"/>
  <c r="A1409" i="36"/>
  <c r="A1408" i="36"/>
  <c r="A1407" i="36"/>
  <c r="A1406" i="36"/>
  <c r="A1405" i="36"/>
  <c r="A1404" i="36"/>
  <c r="A1403" i="36"/>
  <c r="A1402" i="36"/>
  <c r="A1401" i="36"/>
  <c r="A1400" i="36"/>
  <c r="A1399" i="36"/>
  <c r="A1398" i="36"/>
  <c r="A1397" i="36"/>
  <c r="A1396" i="36"/>
  <c r="A1395" i="36"/>
  <c r="A1394" i="36"/>
  <c r="A1393" i="36"/>
  <c r="A1392" i="36"/>
  <c r="A1391" i="36"/>
  <c r="A1390" i="36"/>
  <c r="A1389" i="36"/>
  <c r="A1388" i="36"/>
  <c r="A1387" i="36"/>
  <c r="A1386" i="36"/>
  <c r="A1385" i="36"/>
  <c r="A1384" i="36"/>
  <c r="A1383" i="36"/>
  <c r="A1382" i="36"/>
  <c r="A1381" i="36"/>
  <c r="A1380" i="36"/>
  <c r="A1379" i="36"/>
  <c r="A1378" i="36"/>
  <c r="A1377" i="36"/>
  <c r="A1376" i="36"/>
  <c r="A1375" i="36"/>
  <c r="A1374" i="36"/>
  <c r="A1373" i="36"/>
  <c r="A1372" i="36"/>
  <c r="A1371" i="36"/>
  <c r="A1370" i="36"/>
  <c r="A1369" i="36"/>
  <c r="A1368" i="36"/>
  <c r="A1367" i="36"/>
  <c r="A1366" i="36"/>
  <c r="A1365" i="36"/>
  <c r="A1364" i="36"/>
  <c r="A1363" i="36"/>
  <c r="A1362" i="36"/>
  <c r="A1361" i="36"/>
  <c r="A1360" i="36"/>
  <c r="A1359" i="36"/>
  <c r="A1358" i="36"/>
  <c r="A1357" i="36"/>
  <c r="A1356" i="36"/>
  <c r="A1355" i="36"/>
  <c r="A1354" i="36"/>
  <c r="A1353" i="36"/>
  <c r="A1352" i="36"/>
  <c r="A1351" i="36"/>
  <c r="A1350" i="36"/>
  <c r="A1349" i="36"/>
  <c r="A1348" i="36"/>
  <c r="A1347" i="36"/>
  <c r="A1346" i="36"/>
  <c r="A1345" i="36"/>
  <c r="A1344" i="36"/>
  <c r="A1343" i="36"/>
  <c r="A1342" i="36"/>
  <c r="A1341" i="36"/>
  <c r="A1340" i="36"/>
  <c r="A1339" i="36"/>
  <c r="A1338" i="36"/>
  <c r="A1337" i="36"/>
  <c r="A1336" i="36"/>
  <c r="A1335" i="36"/>
  <c r="A1334" i="36"/>
  <c r="A1333" i="36"/>
  <c r="A1332" i="36"/>
  <c r="A1331" i="36"/>
  <c r="A1330" i="36"/>
  <c r="A1329" i="36"/>
  <c r="A1328" i="36"/>
  <c r="A1327" i="36"/>
  <c r="A1326" i="36"/>
  <c r="A1325" i="36"/>
  <c r="A1324" i="36"/>
  <c r="A1323" i="36"/>
  <c r="A1322" i="36"/>
  <c r="A1321" i="36"/>
  <c r="A1320" i="36"/>
  <c r="A1319" i="36"/>
  <c r="A1318" i="36"/>
  <c r="A1317" i="36"/>
  <c r="A1316" i="36"/>
  <c r="A1315" i="36"/>
  <c r="A1314" i="36"/>
  <c r="A1313" i="36"/>
  <c r="A1312" i="36"/>
  <c r="A1311" i="36"/>
  <c r="A1310" i="36"/>
  <c r="A1309" i="36"/>
  <c r="A1308" i="36"/>
  <c r="A1307" i="36"/>
  <c r="A1306" i="36"/>
  <c r="A1305" i="36"/>
  <c r="A1304" i="36"/>
  <c r="A1303" i="36"/>
  <c r="A1302" i="36"/>
  <c r="A1301" i="36"/>
  <c r="A1300" i="36"/>
  <c r="A1299" i="36"/>
  <c r="A1298" i="36"/>
  <c r="A1297" i="36"/>
  <c r="A1296" i="36"/>
  <c r="A1295" i="36"/>
  <c r="A1294" i="36"/>
  <c r="A1293" i="36"/>
  <c r="A1292" i="36"/>
  <c r="A1291" i="36"/>
  <c r="A1290" i="36"/>
  <c r="A1289" i="36"/>
  <c r="A1288" i="36"/>
  <c r="A1287" i="36"/>
  <c r="A1286" i="36"/>
  <c r="A1285" i="36"/>
  <c r="A1284" i="36"/>
  <c r="A1283" i="36"/>
  <c r="A1282" i="36"/>
  <c r="A1281" i="36"/>
  <c r="A1280" i="36"/>
  <c r="A1279" i="36"/>
  <c r="A1278" i="36"/>
  <c r="A1277" i="36"/>
  <c r="A1276" i="36"/>
  <c r="A1275" i="36"/>
  <c r="A1274" i="36"/>
  <c r="A1273" i="36"/>
  <c r="A1272" i="36"/>
  <c r="A1271" i="36"/>
  <c r="A1270" i="36"/>
  <c r="A1269" i="36"/>
  <c r="A1268" i="36"/>
  <c r="A1267" i="36"/>
  <c r="A1266" i="36"/>
  <c r="A1265" i="36"/>
  <c r="A1264" i="36"/>
  <c r="A1263" i="36"/>
  <c r="A1262" i="36"/>
  <c r="A1261" i="36"/>
  <c r="A1260" i="36"/>
  <c r="A1259" i="36"/>
  <c r="A1258" i="36"/>
  <c r="A1257" i="36"/>
  <c r="A1256" i="36"/>
  <c r="A1255" i="36"/>
  <c r="A1254" i="36"/>
  <c r="A1253" i="36"/>
  <c r="A1252" i="36"/>
  <c r="A1251" i="36"/>
  <c r="A1250" i="36"/>
  <c r="A1249" i="36"/>
  <c r="A1248" i="36"/>
  <c r="A1247" i="36"/>
  <c r="A1246" i="36"/>
  <c r="A1245" i="36"/>
  <c r="A1244" i="36"/>
  <c r="A1243" i="36"/>
  <c r="A1242" i="36"/>
  <c r="A1241" i="36"/>
  <c r="A1240" i="36"/>
  <c r="A1239" i="36"/>
  <c r="A1238" i="36"/>
  <c r="A1237" i="36"/>
  <c r="A1236" i="36"/>
  <c r="A1235" i="36"/>
  <c r="A1234" i="36"/>
  <c r="A1233" i="36"/>
  <c r="A1232" i="36"/>
  <c r="A1231" i="36"/>
  <c r="A1230" i="36"/>
  <c r="A1229" i="36"/>
  <c r="A1228" i="36"/>
  <c r="A1227" i="36"/>
  <c r="A1226" i="36"/>
  <c r="A1225" i="36"/>
  <c r="A1224" i="36"/>
  <c r="A1223" i="36"/>
  <c r="A1222" i="36"/>
  <c r="A1221" i="36"/>
  <c r="A1220" i="36"/>
  <c r="A1219" i="36"/>
  <c r="A1218" i="36"/>
  <c r="A1217" i="36"/>
  <c r="A1216" i="36"/>
  <c r="A1215" i="36"/>
  <c r="A1214" i="36"/>
  <c r="A1213" i="36"/>
  <c r="A1212" i="36"/>
  <c r="A1211" i="36"/>
  <c r="A1210" i="36"/>
  <c r="A1209" i="36"/>
  <c r="A1208" i="36"/>
  <c r="A1207" i="36"/>
  <c r="A1206" i="36"/>
  <c r="A1205" i="36"/>
  <c r="A1204" i="36"/>
  <c r="A1203" i="36"/>
  <c r="A1202" i="36"/>
  <c r="A1201" i="36"/>
  <c r="A1200" i="36"/>
  <c r="A1199" i="36"/>
  <c r="A1198" i="36"/>
  <c r="A1197" i="36"/>
  <c r="A1196" i="36"/>
  <c r="A1195" i="36"/>
  <c r="A1194" i="36"/>
  <c r="A1193" i="36"/>
  <c r="A1192" i="36"/>
  <c r="A1191" i="36"/>
  <c r="A1190" i="36"/>
  <c r="A1189" i="36"/>
  <c r="A1188" i="36"/>
  <c r="A1187" i="36"/>
  <c r="A1186" i="36"/>
  <c r="A1185" i="36"/>
  <c r="A1184" i="36"/>
  <c r="A1183" i="36"/>
  <c r="A1182" i="36"/>
  <c r="A1181" i="36"/>
  <c r="A1180" i="36"/>
  <c r="A1179" i="36"/>
  <c r="A1178" i="36"/>
  <c r="A1177" i="36"/>
  <c r="A1176" i="36"/>
  <c r="A1175" i="36"/>
  <c r="A1174" i="36"/>
  <c r="A1173" i="36"/>
  <c r="A1172" i="36"/>
  <c r="A1171" i="36"/>
  <c r="A1170" i="36"/>
  <c r="A1169" i="36"/>
  <c r="A1168" i="36"/>
  <c r="A1167" i="36"/>
  <c r="A1166" i="36"/>
  <c r="A1165" i="36"/>
  <c r="A1164" i="36"/>
  <c r="A1163" i="36"/>
  <c r="A1162" i="36"/>
  <c r="A1161" i="36"/>
  <c r="A1160" i="36"/>
  <c r="A1159" i="36"/>
  <c r="A1158" i="36"/>
  <c r="A1157" i="36"/>
  <c r="A1156" i="36"/>
  <c r="A1155" i="36"/>
  <c r="A1154" i="36"/>
  <c r="A1153" i="36"/>
  <c r="A1152" i="36"/>
  <c r="A1151" i="36"/>
  <c r="A1150" i="36"/>
  <c r="A1149" i="36"/>
  <c r="A1148" i="36"/>
  <c r="A1147" i="36"/>
  <c r="A1146" i="36"/>
  <c r="A1145" i="36"/>
  <c r="A1144" i="36"/>
  <c r="A1143" i="36"/>
  <c r="A1142" i="36"/>
  <c r="A1141" i="36"/>
  <c r="A1140" i="36"/>
  <c r="A1139" i="36"/>
  <c r="A1138" i="36"/>
  <c r="A1137" i="36"/>
  <c r="A1136" i="36"/>
  <c r="A1135" i="36"/>
  <c r="A1134" i="36"/>
  <c r="A1133" i="36"/>
  <c r="A1132" i="36"/>
  <c r="A1131" i="36"/>
  <c r="A1130" i="36"/>
  <c r="A1129" i="36"/>
  <c r="A1128" i="36"/>
  <c r="A1127" i="36"/>
  <c r="A1126" i="36"/>
  <c r="A1125" i="36"/>
  <c r="A1124" i="36"/>
  <c r="A1123" i="36"/>
  <c r="A1122" i="36"/>
  <c r="A1121" i="36"/>
  <c r="A1120" i="36"/>
  <c r="A1119" i="36"/>
  <c r="A1118" i="36"/>
  <c r="A1117" i="36"/>
  <c r="A1116" i="36"/>
  <c r="A1115" i="36"/>
  <c r="A1114" i="36"/>
  <c r="A1113" i="36"/>
  <c r="A1112" i="36"/>
  <c r="A1111" i="36"/>
  <c r="A1110" i="36"/>
  <c r="A1109" i="36"/>
  <c r="A1108" i="36"/>
  <c r="A1107" i="36"/>
  <c r="A1106" i="36"/>
  <c r="A1105" i="36"/>
  <c r="A1104" i="36"/>
  <c r="A1103" i="36"/>
  <c r="A1102" i="36"/>
  <c r="A1101" i="36"/>
  <c r="A1100" i="36"/>
  <c r="A1099" i="36"/>
  <c r="A1098" i="36"/>
  <c r="A1097" i="36"/>
  <c r="A1096" i="36"/>
  <c r="A1095" i="36"/>
  <c r="A1094" i="36"/>
  <c r="A1093" i="36"/>
  <c r="A1092" i="36"/>
  <c r="A1091" i="36"/>
  <c r="A1090" i="36"/>
  <c r="A1089" i="36"/>
  <c r="A1088" i="36"/>
  <c r="A1087" i="36"/>
  <c r="A1086" i="36"/>
  <c r="A1085" i="36"/>
  <c r="A1084" i="36"/>
  <c r="A1083" i="36"/>
  <c r="A1082" i="36"/>
  <c r="A1081" i="36"/>
  <c r="A1080" i="36"/>
  <c r="A1079" i="36"/>
  <c r="A1078" i="36"/>
  <c r="A1077" i="36"/>
  <c r="A1076" i="36"/>
  <c r="A1075" i="36"/>
  <c r="A1074" i="36"/>
  <c r="A1073" i="36"/>
  <c r="A1072" i="36"/>
  <c r="A1071" i="36"/>
  <c r="A1070" i="36"/>
  <c r="A1069" i="36"/>
  <c r="A1068" i="36"/>
  <c r="A1067" i="36"/>
  <c r="A1066" i="36"/>
  <c r="A1065" i="36"/>
  <c r="A1064" i="36"/>
  <c r="A1063" i="36"/>
  <c r="A1062" i="36"/>
  <c r="A1061" i="36"/>
  <c r="A1060" i="36"/>
  <c r="A1059" i="36"/>
  <c r="A1058" i="36"/>
  <c r="A1057" i="36"/>
  <c r="A1056" i="36"/>
  <c r="A1055" i="36"/>
  <c r="A1054" i="36"/>
  <c r="A1053" i="36"/>
  <c r="A1052" i="36"/>
  <c r="A1051" i="36"/>
  <c r="A1050" i="36"/>
  <c r="A1049" i="36"/>
  <c r="A1048" i="36"/>
  <c r="A1047" i="36"/>
  <c r="A1046" i="36"/>
  <c r="A1045" i="36"/>
  <c r="A1044" i="36"/>
  <c r="A1043" i="36"/>
  <c r="A1042" i="36"/>
  <c r="A1041" i="36"/>
  <c r="A1040" i="36"/>
  <c r="A1039" i="36"/>
  <c r="A1038" i="36"/>
  <c r="A1037" i="36"/>
  <c r="A1036" i="36"/>
  <c r="A1035" i="36"/>
  <c r="A1034" i="36"/>
  <c r="A1033" i="36"/>
  <c r="A1032" i="36"/>
  <c r="A1031" i="36"/>
  <c r="A1030" i="36"/>
  <c r="A1029" i="36"/>
  <c r="A1028" i="36"/>
  <c r="A1027" i="36"/>
  <c r="A1026" i="36"/>
  <c r="A1025" i="36"/>
  <c r="A1024" i="36"/>
  <c r="A1023" i="36"/>
  <c r="A1022" i="36"/>
  <c r="A1021" i="36"/>
  <c r="A1020" i="36"/>
  <c r="A1019" i="36"/>
  <c r="A1018" i="36"/>
  <c r="A1017" i="36"/>
  <c r="A1016" i="36"/>
  <c r="A1015" i="36"/>
  <c r="A1014" i="36"/>
  <c r="A1013" i="36"/>
  <c r="A1012" i="36"/>
  <c r="A1011" i="36"/>
  <c r="AB4" i="20"/>
  <c r="AB5" i="20"/>
  <c r="AB6" i="20"/>
  <c r="AB7" i="20"/>
  <c r="AB8" i="20"/>
  <c r="AB9" i="20"/>
  <c r="AB10" i="20"/>
  <c r="AB11" i="20"/>
  <c r="AB12" i="20"/>
  <c r="AB13" i="20"/>
  <c r="AB14" i="20"/>
  <c r="AB15" i="20"/>
  <c r="AB16" i="20"/>
  <c r="AB17" i="20"/>
  <c r="AB18" i="20"/>
  <c r="AB19" i="20"/>
  <c r="AB20" i="20"/>
  <c r="AB21" i="20"/>
  <c r="AB22" i="20"/>
  <c r="AB23" i="20"/>
  <c r="AB24" i="20"/>
  <c r="AB25" i="20"/>
  <c r="AB26" i="20"/>
  <c r="AB27" i="20"/>
  <c r="AB28" i="20"/>
  <c r="AB29" i="20"/>
  <c r="AB30" i="20"/>
  <c r="AB31" i="20"/>
  <c r="AB32" i="20"/>
  <c r="AB33" i="20"/>
  <c r="AB34" i="20"/>
  <c r="AB35" i="20"/>
  <c r="AB36" i="20"/>
  <c r="AB37" i="20"/>
  <c r="AB38" i="20"/>
  <c r="AB39" i="20"/>
  <c r="AB40" i="20"/>
  <c r="AB41" i="20"/>
  <c r="AB42" i="20"/>
  <c r="AB43" i="20"/>
  <c r="AB44" i="20"/>
  <c r="AB45" i="20"/>
  <c r="AB46" i="20"/>
  <c r="AB47" i="20"/>
  <c r="AB48" i="20"/>
  <c r="AB49" i="20"/>
  <c r="AB50" i="20"/>
  <c r="AB51" i="20"/>
  <c r="AB52" i="20"/>
  <c r="AB53" i="20"/>
  <c r="AB54" i="20"/>
  <c r="AB55" i="20"/>
  <c r="AB56" i="20"/>
  <c r="AB57" i="20"/>
  <c r="AB58" i="20"/>
  <c r="AB59" i="20"/>
  <c r="AB60" i="20"/>
  <c r="AB61" i="20"/>
  <c r="AB62" i="20"/>
  <c r="AB63" i="20"/>
  <c r="AB64" i="20"/>
  <c r="AB65" i="20"/>
  <c r="AB66" i="20"/>
  <c r="AB67" i="20"/>
  <c r="AB68" i="20"/>
  <c r="AB69" i="20"/>
  <c r="AB70" i="20"/>
  <c r="AB71" i="20"/>
  <c r="AB72" i="20"/>
  <c r="AB73" i="20"/>
  <c r="AB74" i="20"/>
  <c r="AB75" i="20"/>
  <c r="AB76" i="20"/>
  <c r="AB77" i="20"/>
  <c r="AB78" i="20"/>
  <c r="AB79" i="20"/>
  <c r="AB80" i="20"/>
  <c r="AB81" i="20"/>
  <c r="AB82" i="20"/>
  <c r="AB83" i="20"/>
  <c r="AB84" i="20"/>
  <c r="AB85" i="20"/>
  <c r="AB86" i="20"/>
  <c r="AB87" i="20"/>
  <c r="AB88" i="20"/>
  <c r="AB89" i="20"/>
  <c r="AB90" i="20"/>
  <c r="AB91" i="20"/>
  <c r="AB92" i="20"/>
  <c r="AB93" i="20"/>
  <c r="AB94" i="20"/>
  <c r="AB95" i="20"/>
  <c r="AB96" i="20"/>
  <c r="AB97" i="20"/>
  <c r="AB98" i="20"/>
  <c r="AB99" i="20"/>
  <c r="AB100" i="20"/>
  <c r="AB101" i="20"/>
  <c r="AB102" i="20"/>
  <c r="AB103" i="20"/>
  <c r="AB104" i="20"/>
  <c r="AB105" i="20"/>
  <c r="AB106" i="20"/>
  <c r="AB107" i="20"/>
  <c r="AB108" i="20"/>
  <c r="AB109" i="20"/>
  <c r="AB110" i="20"/>
  <c r="AB111" i="20"/>
  <c r="AB112" i="20"/>
  <c r="AB113" i="20"/>
  <c r="AB114" i="20"/>
  <c r="AB115" i="20"/>
  <c r="AB116" i="20"/>
  <c r="AB117" i="20"/>
  <c r="AB118" i="20"/>
  <c r="AB119" i="20"/>
  <c r="AB120" i="20"/>
  <c r="AB121" i="20"/>
  <c r="AB122" i="20"/>
  <c r="AB123" i="20"/>
  <c r="AB124" i="20"/>
  <c r="AB125" i="20"/>
  <c r="AB126" i="20"/>
  <c r="AB127" i="20"/>
  <c r="AB128" i="20"/>
  <c r="AB129" i="20"/>
  <c r="AB130" i="20"/>
  <c r="AB131" i="20"/>
  <c r="AB132" i="20"/>
  <c r="AB133" i="20"/>
  <c r="AB134" i="20"/>
  <c r="AB135" i="20"/>
  <c r="AB136" i="20"/>
  <c r="AB137" i="20"/>
  <c r="AB138" i="20"/>
  <c r="AB139" i="20"/>
  <c r="AB140" i="20"/>
  <c r="AB141" i="20"/>
  <c r="AB142" i="20"/>
  <c r="AB143" i="20"/>
  <c r="AB144" i="20"/>
  <c r="AB145" i="20"/>
  <c r="AB146" i="20"/>
  <c r="AB147" i="20"/>
  <c r="AB148" i="20"/>
  <c r="AB149" i="20"/>
  <c r="AB150" i="20"/>
  <c r="AB151" i="20"/>
  <c r="AB152" i="20"/>
  <c r="AB153" i="20"/>
  <c r="AB154" i="20"/>
  <c r="AB155" i="20"/>
  <c r="AB156" i="20"/>
  <c r="AB157" i="20"/>
  <c r="AB158" i="20"/>
  <c r="AB159" i="20"/>
  <c r="AB160" i="20"/>
  <c r="AB161" i="20"/>
  <c r="AB162" i="20"/>
  <c r="AB163" i="20"/>
  <c r="AB164" i="20"/>
  <c r="AB165" i="20"/>
  <c r="AB166" i="20"/>
  <c r="AB167" i="20"/>
  <c r="AB168" i="20"/>
  <c r="AB169" i="20"/>
  <c r="AB170" i="20"/>
  <c r="AB171" i="20"/>
  <c r="AB172" i="20"/>
  <c r="AB173" i="20"/>
  <c r="AB174" i="20"/>
  <c r="AB175" i="20"/>
  <c r="AB176" i="20"/>
  <c r="AB177" i="20"/>
  <c r="AB178" i="20"/>
  <c r="AB179" i="20"/>
  <c r="AB180" i="20"/>
  <c r="AB181" i="20"/>
  <c r="AB182" i="20"/>
  <c r="AB183" i="20"/>
  <c r="AB184" i="20"/>
  <c r="AB185" i="20"/>
  <c r="AB186" i="20"/>
  <c r="AB187" i="20"/>
  <c r="AB188" i="20"/>
  <c r="AB189" i="20"/>
  <c r="AB190" i="20"/>
  <c r="AB191" i="20"/>
  <c r="AB192" i="20"/>
  <c r="AB193" i="20"/>
  <c r="AB194" i="20"/>
  <c r="AB195" i="20"/>
  <c r="AB196" i="20"/>
  <c r="AB197" i="20"/>
  <c r="AB198" i="20"/>
  <c r="AB199" i="20"/>
  <c r="AB200" i="20"/>
  <c r="AB201" i="20"/>
  <c r="AB202" i="20"/>
  <c r="AB203" i="20"/>
  <c r="AB204" i="20"/>
  <c r="AB205" i="20"/>
  <c r="AB206" i="20"/>
  <c r="AB207" i="20"/>
  <c r="AB208" i="20"/>
  <c r="AB209" i="20"/>
  <c r="AB210" i="20"/>
  <c r="AB211" i="20"/>
  <c r="AB212" i="20"/>
  <c r="AB213" i="20"/>
  <c r="AB214" i="20"/>
  <c r="AB215" i="20"/>
  <c r="AB216" i="20"/>
  <c r="AB217" i="20"/>
  <c r="AB218" i="20"/>
  <c r="AB219" i="20"/>
  <c r="AB220" i="20"/>
  <c r="AB221" i="20"/>
  <c r="AB222" i="20"/>
  <c r="AB223" i="20"/>
  <c r="AB224" i="20"/>
  <c r="AB225" i="20"/>
  <c r="AB226" i="20"/>
  <c r="AB227" i="20"/>
  <c r="AB228" i="20"/>
  <c r="AB229" i="20"/>
  <c r="AB230" i="20"/>
  <c r="AB231" i="20"/>
  <c r="AB232" i="20"/>
  <c r="AB233" i="20"/>
  <c r="AB234" i="20"/>
  <c r="AB235" i="20"/>
  <c r="AB236" i="20"/>
  <c r="AB237" i="20"/>
  <c r="AB238" i="20"/>
  <c r="AB239" i="20"/>
  <c r="AB240" i="20"/>
  <c r="AB241" i="20"/>
  <c r="AB242" i="20"/>
  <c r="AB243" i="20"/>
  <c r="AB244" i="20"/>
  <c r="AB245" i="20"/>
  <c r="AB246" i="20"/>
  <c r="AB247" i="20"/>
  <c r="AB248" i="20"/>
  <c r="AB249" i="20"/>
  <c r="AB250" i="20"/>
  <c r="AB251" i="20"/>
  <c r="AB252" i="20"/>
  <c r="AB253" i="20"/>
  <c r="AB254" i="20"/>
  <c r="AB255" i="20"/>
  <c r="AB256" i="20"/>
  <c r="AB257" i="20"/>
  <c r="AB258" i="20"/>
  <c r="AB259" i="20"/>
  <c r="AB260" i="20"/>
  <c r="AB261" i="20"/>
  <c r="AB262" i="20"/>
  <c r="AB263" i="20"/>
  <c r="AB264" i="20"/>
  <c r="AB265" i="20"/>
  <c r="AB266" i="20"/>
  <c r="AB267" i="20"/>
  <c r="AB268" i="20"/>
  <c r="AB269" i="20"/>
  <c r="AB270" i="20"/>
  <c r="AB271" i="20"/>
  <c r="AB272" i="20"/>
  <c r="AB273" i="20"/>
  <c r="AB274" i="20"/>
  <c r="AB275" i="20"/>
  <c r="AB276" i="20"/>
  <c r="AB277" i="20"/>
  <c r="AB278" i="20"/>
  <c r="AB279" i="20"/>
  <c r="AB280" i="20"/>
  <c r="AB281" i="20"/>
  <c r="AB282" i="20"/>
  <c r="AB283" i="20"/>
  <c r="AB284" i="20"/>
  <c r="AB285" i="20"/>
  <c r="AB286" i="20"/>
  <c r="AB287" i="20"/>
  <c r="AB288" i="20"/>
  <c r="AB289" i="20"/>
  <c r="AB290" i="20"/>
  <c r="AB291" i="20"/>
  <c r="AB292" i="20"/>
  <c r="AB293" i="20"/>
  <c r="AB294" i="20"/>
  <c r="AB295" i="20"/>
  <c r="AB296" i="20"/>
  <c r="AB297" i="20"/>
  <c r="AB298" i="20"/>
  <c r="AB299" i="20"/>
  <c r="AB300" i="20"/>
  <c r="AB301" i="20"/>
  <c r="AB302" i="20"/>
  <c r="AB303" i="20"/>
  <c r="AB304" i="20"/>
  <c r="AB305" i="20"/>
  <c r="AB306" i="20"/>
  <c r="AB307" i="20"/>
  <c r="AB308" i="20"/>
  <c r="AB309" i="20"/>
  <c r="AB310" i="20"/>
  <c r="AB311" i="20"/>
  <c r="AB312" i="20"/>
  <c r="AB313" i="20"/>
  <c r="AB314" i="20"/>
  <c r="AB315" i="20"/>
  <c r="AB316" i="20"/>
  <c r="AB317" i="20"/>
  <c r="AB318" i="20"/>
  <c r="AB319" i="20"/>
  <c r="AB320" i="20"/>
  <c r="AB321" i="20"/>
  <c r="AB322" i="20"/>
  <c r="AB323" i="20"/>
  <c r="AB324" i="20"/>
  <c r="AB325" i="20"/>
  <c r="AB326" i="20"/>
  <c r="AB327" i="20"/>
  <c r="AB328" i="20"/>
  <c r="AB329" i="20"/>
  <c r="AB330" i="20"/>
  <c r="AB331" i="20"/>
  <c r="AB332" i="20"/>
  <c r="AB333" i="20"/>
  <c r="AB334" i="20"/>
  <c r="AB335" i="20"/>
  <c r="AB336" i="20"/>
  <c r="AB337" i="20"/>
  <c r="AB338" i="20"/>
  <c r="AB339" i="20"/>
  <c r="AB340" i="20"/>
  <c r="AB341" i="20"/>
  <c r="AB342" i="20"/>
  <c r="AB343" i="20"/>
  <c r="AB344" i="20"/>
  <c r="AB345" i="20"/>
  <c r="AB346" i="20"/>
  <c r="AB347" i="20"/>
  <c r="AB348" i="20"/>
  <c r="AB349" i="20"/>
  <c r="AB350" i="20"/>
  <c r="AB351" i="20"/>
  <c r="AB352" i="20"/>
  <c r="AB353" i="20"/>
  <c r="AB354" i="20"/>
  <c r="AB355" i="20"/>
  <c r="AB356" i="20"/>
  <c r="AB357" i="20"/>
  <c r="AB358" i="20"/>
  <c r="AB359" i="20"/>
  <c r="AB360" i="20"/>
  <c r="AB361" i="20"/>
  <c r="AB362" i="20"/>
  <c r="AB363" i="20"/>
  <c r="AB364" i="20"/>
  <c r="AB365" i="20"/>
  <c r="AB366" i="20"/>
  <c r="AB367" i="20"/>
  <c r="AB368" i="20"/>
  <c r="AB369" i="20"/>
  <c r="AB370" i="20"/>
  <c r="AB371" i="20"/>
  <c r="AB372" i="20"/>
  <c r="AB373" i="20"/>
  <c r="AB374" i="20"/>
  <c r="AB375" i="20"/>
  <c r="AB376" i="20"/>
  <c r="AB377" i="20"/>
  <c r="AB378" i="20"/>
  <c r="AB379" i="20"/>
  <c r="AB380" i="20"/>
  <c r="AB381" i="20"/>
  <c r="AB382" i="20"/>
  <c r="AB383" i="20"/>
  <c r="AB384" i="20"/>
  <c r="AB385" i="20"/>
  <c r="AB386" i="20"/>
  <c r="AB387" i="20"/>
  <c r="AB388" i="20"/>
  <c r="AB389" i="20"/>
  <c r="AB390" i="20"/>
  <c r="AB391" i="20"/>
  <c r="AB392" i="20"/>
  <c r="AB393" i="20"/>
  <c r="AB394" i="20"/>
  <c r="AB395" i="20"/>
  <c r="AB396" i="20"/>
  <c r="AB397" i="20"/>
  <c r="AB398" i="20"/>
  <c r="AB399" i="20"/>
  <c r="AB400" i="20"/>
  <c r="AB401" i="20"/>
  <c r="AB402" i="20"/>
  <c r="AB403" i="20"/>
  <c r="AB404" i="20"/>
  <c r="AB405" i="20"/>
  <c r="AB406" i="20"/>
  <c r="AB407" i="20"/>
  <c r="AB408" i="20"/>
  <c r="AB409" i="20"/>
  <c r="AB410" i="20"/>
  <c r="AB411" i="20"/>
  <c r="AB412" i="20"/>
  <c r="AB413" i="20"/>
  <c r="AB414" i="20"/>
  <c r="AB415" i="20"/>
  <c r="AB416" i="20"/>
  <c r="AB417" i="20"/>
  <c r="AB418" i="20"/>
  <c r="AB419" i="20"/>
  <c r="AB420" i="20"/>
  <c r="AB421" i="20"/>
  <c r="AB422" i="20"/>
  <c r="AB423" i="20"/>
  <c r="AB424" i="20"/>
  <c r="AB425" i="20"/>
  <c r="AB426" i="20"/>
  <c r="AB427" i="20"/>
  <c r="AB428" i="20"/>
  <c r="AB429" i="20"/>
  <c r="AB430" i="20"/>
  <c r="AB431" i="20"/>
  <c r="AB432" i="20"/>
  <c r="AB433" i="20"/>
  <c r="AB434" i="20"/>
  <c r="AB435" i="20"/>
  <c r="AB436" i="20"/>
  <c r="AB437" i="20"/>
  <c r="AB438" i="20"/>
  <c r="AB439" i="20"/>
  <c r="AB440" i="20"/>
  <c r="AB441" i="20"/>
  <c r="AB442" i="20"/>
  <c r="AB443" i="20"/>
  <c r="AB444" i="20"/>
  <c r="AB445" i="20"/>
  <c r="AB446" i="20"/>
  <c r="AB447" i="20"/>
  <c r="AB448" i="20"/>
  <c r="AB449" i="20"/>
  <c r="AB450" i="20"/>
  <c r="AB451" i="20"/>
  <c r="AB452" i="20"/>
  <c r="AB453" i="20"/>
  <c r="AB454" i="20"/>
  <c r="AB455" i="20"/>
  <c r="AB456" i="20"/>
  <c r="AB457" i="20"/>
  <c r="AB458" i="20"/>
  <c r="AB459" i="20"/>
  <c r="AB460" i="20"/>
  <c r="AB461" i="20"/>
  <c r="AB462" i="20"/>
  <c r="AB463" i="20"/>
  <c r="AB464" i="20"/>
  <c r="AB465" i="20"/>
  <c r="AB466" i="20"/>
  <c r="AB467" i="20"/>
  <c r="AB468" i="20"/>
  <c r="AB469" i="20"/>
  <c r="AB470" i="20"/>
  <c r="AB471" i="20"/>
  <c r="AB472" i="20"/>
  <c r="AB473" i="20"/>
  <c r="AB474" i="20"/>
  <c r="AB475" i="20"/>
  <c r="AB476" i="20"/>
  <c r="AB477" i="20"/>
  <c r="AB478" i="20"/>
  <c r="AB479" i="20"/>
  <c r="AB480" i="20"/>
  <c r="AB481" i="20"/>
  <c r="AB482" i="20"/>
  <c r="AB483" i="20"/>
  <c r="AB484" i="20"/>
  <c r="AB485" i="20"/>
  <c r="AB486" i="20"/>
  <c r="AB487" i="20"/>
  <c r="AB488" i="20"/>
  <c r="AB489" i="20"/>
  <c r="AB490" i="20"/>
  <c r="AB491" i="20"/>
  <c r="AB492" i="20"/>
  <c r="AB493" i="20"/>
  <c r="AB494" i="20"/>
  <c r="AB495" i="20"/>
  <c r="AB496" i="20"/>
  <c r="AB497" i="20"/>
  <c r="AB498" i="20"/>
  <c r="AB499" i="20"/>
  <c r="AB500" i="20"/>
  <c r="AB501" i="20"/>
  <c r="AB502" i="20"/>
  <c r="AB503" i="20"/>
  <c r="AB504" i="20"/>
  <c r="AB505" i="20"/>
  <c r="AB506" i="20"/>
  <c r="AB507" i="20"/>
  <c r="AB508" i="20"/>
  <c r="AB509" i="20"/>
  <c r="AB510" i="20"/>
  <c r="AB511" i="20"/>
  <c r="AB512" i="20"/>
  <c r="AB513" i="20"/>
  <c r="AB514" i="20"/>
  <c r="AB515" i="20"/>
  <c r="AB516" i="20"/>
  <c r="AB517" i="20"/>
  <c r="AB518" i="20"/>
  <c r="AB519" i="20"/>
  <c r="AB520" i="20"/>
  <c r="AB521" i="20"/>
  <c r="AB522" i="20"/>
  <c r="AB523" i="20"/>
  <c r="AB524" i="20"/>
  <c r="AB525" i="20"/>
  <c r="AB526" i="20"/>
  <c r="AB527" i="20"/>
  <c r="AB528" i="20"/>
  <c r="AB529" i="20"/>
  <c r="AB530" i="20"/>
  <c r="AB531" i="20"/>
  <c r="AB532" i="20"/>
  <c r="AB533" i="20"/>
  <c r="AB534" i="20"/>
  <c r="AB535" i="20"/>
  <c r="AB536" i="20"/>
  <c r="AB537" i="20"/>
  <c r="AB538" i="20"/>
  <c r="AB539" i="20"/>
  <c r="AB540" i="20"/>
  <c r="AB541" i="20"/>
  <c r="AB542" i="20"/>
  <c r="AB543" i="20"/>
  <c r="AB544" i="20"/>
  <c r="AB545" i="20"/>
  <c r="AB546" i="20"/>
  <c r="AB547" i="20"/>
  <c r="AB548" i="20"/>
  <c r="AB549" i="20"/>
  <c r="AB550" i="20"/>
  <c r="AB551" i="20"/>
  <c r="AB552" i="20"/>
  <c r="AB553" i="20"/>
  <c r="AB554" i="20"/>
  <c r="AB555" i="20"/>
  <c r="AB556" i="20"/>
  <c r="AB557" i="20"/>
  <c r="AB558" i="20"/>
  <c r="AB559" i="20"/>
  <c r="AB560" i="20"/>
  <c r="AB561" i="20"/>
  <c r="AB562" i="20"/>
  <c r="AB563" i="20"/>
  <c r="AB564" i="20"/>
  <c r="AB565" i="20"/>
  <c r="AB566" i="20"/>
  <c r="AB567" i="20"/>
  <c r="AB568" i="20"/>
  <c r="AB569" i="20"/>
  <c r="AB570" i="20"/>
  <c r="AB571" i="20"/>
  <c r="AB572" i="20"/>
  <c r="AB573" i="20"/>
  <c r="AB574" i="20"/>
  <c r="AB575" i="20"/>
  <c r="AB576" i="20"/>
  <c r="AB577" i="20"/>
  <c r="AB578" i="20"/>
  <c r="AB579" i="20"/>
  <c r="AB580" i="20"/>
  <c r="AB581" i="20"/>
  <c r="AB582" i="20"/>
  <c r="AB583" i="20"/>
  <c r="AB584" i="20"/>
  <c r="AB585" i="20"/>
  <c r="AB586" i="20"/>
  <c r="AB587" i="20"/>
  <c r="AB588" i="20"/>
  <c r="AB589" i="20"/>
  <c r="AB590" i="20"/>
  <c r="AB591" i="20"/>
  <c r="AB592" i="20"/>
  <c r="AB593" i="20"/>
  <c r="AB594" i="20"/>
  <c r="AB595" i="20"/>
  <c r="AB596" i="20"/>
  <c r="AB597" i="20"/>
  <c r="AB598" i="20"/>
  <c r="AB599" i="20"/>
  <c r="AB600" i="20"/>
  <c r="AB601" i="20"/>
  <c r="AB602" i="20"/>
  <c r="AB603" i="20"/>
  <c r="AB604" i="20"/>
  <c r="AB605" i="20"/>
  <c r="AB606" i="20"/>
  <c r="AB607" i="20"/>
  <c r="AB608" i="20"/>
  <c r="AB609" i="20"/>
  <c r="AB610" i="20"/>
  <c r="AB611" i="20"/>
  <c r="AB612" i="20"/>
  <c r="AB613" i="20"/>
  <c r="AB614" i="20"/>
  <c r="AB615" i="20"/>
  <c r="AB616" i="20"/>
  <c r="AB617" i="20"/>
  <c r="AB618" i="20"/>
  <c r="AB688" i="20"/>
  <c r="AB689" i="20"/>
  <c r="AB690" i="20"/>
  <c r="AB691" i="20"/>
  <c r="AB692" i="20"/>
  <c r="AB693" i="20"/>
  <c r="AB694" i="20"/>
  <c r="AB695" i="20"/>
  <c r="AB696" i="20"/>
  <c r="AB697" i="20"/>
  <c r="AB698" i="20"/>
  <c r="AB699" i="20"/>
  <c r="AB700" i="20"/>
  <c r="AB701" i="20"/>
  <c r="AB702" i="20"/>
  <c r="AB703" i="20"/>
  <c r="AB704" i="20"/>
  <c r="AB705" i="20"/>
  <c r="AB706" i="20"/>
  <c r="AB707" i="20"/>
  <c r="AB708" i="20"/>
  <c r="AB709" i="20"/>
  <c r="AB710" i="20"/>
  <c r="AB711" i="20"/>
  <c r="AB712" i="20"/>
  <c r="AB713" i="20"/>
  <c r="AB714" i="20"/>
  <c r="AB715" i="20"/>
  <c r="AB716" i="20"/>
  <c r="AB717" i="20"/>
  <c r="AB718" i="20"/>
  <c r="AB719" i="20"/>
  <c r="AB720" i="20"/>
  <c r="AB721" i="20"/>
  <c r="AB722" i="20"/>
  <c r="AB723" i="20"/>
  <c r="AB724" i="20"/>
  <c r="AB725" i="20"/>
  <c r="AB726" i="20"/>
  <c r="AB727" i="20"/>
  <c r="AB728" i="20"/>
  <c r="AB729" i="20"/>
  <c r="AB730" i="20"/>
  <c r="AB731" i="20"/>
  <c r="AB732" i="20"/>
  <c r="AB733" i="20"/>
  <c r="AB734" i="20"/>
  <c r="AB735" i="20"/>
  <c r="AB736" i="20"/>
  <c r="AB737" i="20"/>
  <c r="AA4" i="20"/>
  <c r="AA5" i="20"/>
  <c r="AA6" i="20"/>
  <c r="AA7" i="20"/>
  <c r="AA8" i="20"/>
  <c r="AA9" i="20"/>
  <c r="AA10" i="20"/>
  <c r="AA11" i="20"/>
  <c r="AA12" i="20"/>
  <c r="AA13" i="20"/>
  <c r="AA14" i="20"/>
  <c r="AA15" i="20"/>
  <c r="AA16" i="20"/>
  <c r="AA17" i="20"/>
  <c r="AA18" i="20"/>
  <c r="AA19" i="20"/>
  <c r="AA20" i="20"/>
  <c r="AA21" i="20"/>
  <c r="AA22" i="20"/>
  <c r="AA23" i="20"/>
  <c r="AA24" i="20"/>
  <c r="AA25" i="20"/>
  <c r="AA26" i="20"/>
  <c r="AA27" i="20"/>
  <c r="AA28" i="20"/>
  <c r="AA29" i="20"/>
  <c r="AA30" i="20"/>
  <c r="AA31" i="20"/>
  <c r="AA32" i="20"/>
  <c r="AA33" i="20"/>
  <c r="AA34" i="20"/>
  <c r="AA35" i="20"/>
  <c r="AA36" i="20"/>
  <c r="AA37" i="20"/>
  <c r="AA38" i="20"/>
  <c r="AA39" i="20"/>
  <c r="AA40" i="20"/>
  <c r="AA41" i="20"/>
  <c r="AA42" i="20"/>
  <c r="AA43" i="20"/>
  <c r="AA44" i="20"/>
  <c r="AA45" i="20"/>
  <c r="AA46" i="20"/>
  <c r="AA47" i="20"/>
  <c r="AA48" i="20"/>
  <c r="AA49" i="20"/>
  <c r="AA50" i="20"/>
  <c r="AA51" i="20"/>
  <c r="AA52" i="20"/>
  <c r="AA53" i="20"/>
  <c r="AA54" i="20"/>
  <c r="AA55" i="20"/>
  <c r="AA56" i="20"/>
  <c r="AA57" i="20"/>
  <c r="AA58" i="20"/>
  <c r="AA59" i="20"/>
  <c r="AA60" i="20"/>
  <c r="AA61" i="20"/>
  <c r="AA62" i="20"/>
  <c r="AA63" i="20"/>
  <c r="AA64" i="20"/>
  <c r="AA65" i="20"/>
  <c r="AA66" i="20"/>
  <c r="AA67" i="20"/>
  <c r="AA68" i="20"/>
  <c r="AA69" i="20"/>
  <c r="AA70" i="20"/>
  <c r="AA71" i="20"/>
  <c r="AA72" i="20"/>
  <c r="AA73" i="20"/>
  <c r="AA74" i="20"/>
  <c r="AA75" i="20"/>
  <c r="AA76" i="20"/>
  <c r="AA77" i="20"/>
  <c r="AA78" i="20"/>
  <c r="AA79" i="20"/>
  <c r="AA80" i="20"/>
  <c r="AA81" i="20"/>
  <c r="AA82" i="20"/>
  <c r="AA83" i="20"/>
  <c r="AA84" i="20"/>
  <c r="AA85" i="20"/>
  <c r="AA86" i="20"/>
  <c r="AA87" i="20"/>
  <c r="AA88" i="20"/>
  <c r="AA89" i="20"/>
  <c r="AA90" i="20"/>
  <c r="AA91" i="20"/>
  <c r="AA92" i="20"/>
  <c r="AA93" i="20"/>
  <c r="AA94" i="20"/>
  <c r="AA95" i="20"/>
  <c r="AA96" i="20"/>
  <c r="AA97" i="20"/>
  <c r="AA98" i="20"/>
  <c r="AA99" i="20"/>
  <c r="AA100" i="20"/>
  <c r="AA101" i="20"/>
  <c r="AA102" i="20"/>
  <c r="AA103" i="20"/>
  <c r="AA104" i="20"/>
  <c r="AA105" i="20"/>
  <c r="AA106" i="20"/>
  <c r="AA107" i="20"/>
  <c r="AA108" i="20"/>
  <c r="AA109" i="20"/>
  <c r="AA110" i="20"/>
  <c r="AA111" i="20"/>
  <c r="AA112" i="20"/>
  <c r="AA113" i="20"/>
  <c r="AA114" i="20"/>
  <c r="AA115" i="20"/>
  <c r="AA116" i="20"/>
  <c r="AA117" i="20"/>
  <c r="AA118" i="20"/>
  <c r="AA119" i="20"/>
  <c r="AA120" i="20"/>
  <c r="AA121" i="20"/>
  <c r="AA122" i="20"/>
  <c r="AA123" i="20"/>
  <c r="AA124" i="20"/>
  <c r="AA125" i="20"/>
  <c r="AA126" i="20"/>
  <c r="AA127" i="20"/>
  <c r="AA128" i="20"/>
  <c r="AA129" i="20"/>
  <c r="AA130" i="20"/>
  <c r="AA131" i="20"/>
  <c r="AA132" i="20"/>
  <c r="AA133" i="20"/>
  <c r="AA134" i="20"/>
  <c r="AA135" i="20"/>
  <c r="AA136" i="20"/>
  <c r="AA137" i="20"/>
  <c r="AA138" i="20"/>
  <c r="AA139" i="20"/>
  <c r="AA140" i="20"/>
  <c r="AA141" i="20"/>
  <c r="AA142" i="20"/>
  <c r="AA143" i="20"/>
  <c r="AA144" i="20"/>
  <c r="AA145" i="20"/>
  <c r="AA146" i="20"/>
  <c r="AA147" i="20"/>
  <c r="AA148" i="20"/>
  <c r="AA149" i="20"/>
  <c r="AA150" i="20"/>
  <c r="AA151" i="20"/>
  <c r="AA152" i="20"/>
  <c r="AA153" i="20"/>
  <c r="AA154" i="20"/>
  <c r="AA155" i="20"/>
  <c r="AA156" i="20"/>
  <c r="AA157" i="20"/>
  <c r="AA158" i="20"/>
  <c r="AA159" i="20"/>
  <c r="AA160" i="20"/>
  <c r="AA161" i="20"/>
  <c r="AA162" i="20"/>
  <c r="AA163" i="20"/>
  <c r="AA164" i="20"/>
  <c r="AA165" i="20"/>
  <c r="AA166" i="20"/>
  <c r="AA167" i="20"/>
  <c r="AA168" i="20"/>
  <c r="AA169" i="20"/>
  <c r="AA170" i="20"/>
  <c r="AA171" i="20"/>
  <c r="AA172" i="20"/>
  <c r="AA173" i="20"/>
  <c r="AA174" i="20"/>
  <c r="AA175" i="20"/>
  <c r="AA176" i="20"/>
  <c r="AA177" i="20"/>
  <c r="AA178" i="20"/>
  <c r="AA179" i="20"/>
  <c r="AA180" i="20"/>
  <c r="AA181" i="20"/>
  <c r="AA182" i="20"/>
  <c r="AA183" i="20"/>
  <c r="AA184" i="20"/>
  <c r="AA185" i="20"/>
  <c r="AA186" i="20"/>
  <c r="AA187" i="20"/>
  <c r="AA188" i="20"/>
  <c r="AA189" i="20"/>
  <c r="AA190" i="20"/>
  <c r="AA191" i="20"/>
  <c r="AA192" i="20"/>
  <c r="AA193" i="20"/>
  <c r="AA194" i="20"/>
  <c r="AA195" i="20"/>
  <c r="AA196" i="20"/>
  <c r="AA197" i="20"/>
  <c r="AA198" i="20"/>
  <c r="AA199" i="20"/>
  <c r="AA200" i="20"/>
  <c r="AA201" i="20"/>
  <c r="AA202" i="20"/>
  <c r="AA203" i="20"/>
  <c r="AA204" i="20"/>
  <c r="AA205" i="20"/>
  <c r="AA206" i="20"/>
  <c r="AA207" i="20"/>
  <c r="AA208" i="20"/>
  <c r="AA209" i="20"/>
  <c r="AA210" i="20"/>
  <c r="AA211" i="20"/>
  <c r="AA212" i="20"/>
  <c r="AA213" i="20"/>
  <c r="AA214" i="20"/>
  <c r="AA215" i="20"/>
  <c r="AA216" i="20"/>
  <c r="AA217" i="20"/>
  <c r="AA218" i="20"/>
  <c r="AA219" i="20"/>
  <c r="AA220" i="20"/>
  <c r="AA221" i="20"/>
  <c r="AA222" i="20"/>
  <c r="AA223" i="20"/>
  <c r="AA224" i="20"/>
  <c r="AA225" i="20"/>
  <c r="AA226" i="20"/>
  <c r="AA227" i="20"/>
  <c r="AA228" i="20"/>
  <c r="AA229" i="20"/>
  <c r="AA230" i="20"/>
  <c r="AA231" i="20"/>
  <c r="AA232" i="20"/>
  <c r="AA233" i="20"/>
  <c r="AA234" i="20"/>
  <c r="AA235" i="20"/>
  <c r="AA236" i="20"/>
  <c r="AA237" i="20"/>
  <c r="AA238" i="20"/>
  <c r="AA239" i="20"/>
  <c r="AA240" i="20"/>
  <c r="AA241" i="20"/>
  <c r="AA242" i="20"/>
  <c r="AA243" i="20"/>
  <c r="AA244" i="20"/>
  <c r="AA245" i="20"/>
  <c r="AA246" i="20"/>
  <c r="AA247" i="20"/>
  <c r="AA248" i="20"/>
  <c r="AA249" i="20"/>
  <c r="AA250" i="20"/>
  <c r="AA251" i="20"/>
  <c r="AA252" i="20"/>
  <c r="AA253" i="20"/>
  <c r="AA254" i="20"/>
  <c r="AA255" i="20"/>
  <c r="AA256" i="20"/>
  <c r="AA257" i="20"/>
  <c r="AA258" i="20"/>
  <c r="AA259" i="20"/>
  <c r="AA260" i="20"/>
  <c r="AA261" i="20"/>
  <c r="AA262" i="20"/>
  <c r="AA263" i="20"/>
  <c r="AA264" i="20"/>
  <c r="AA265" i="20"/>
  <c r="AA266" i="20"/>
  <c r="AA267" i="20"/>
  <c r="AA268" i="20"/>
  <c r="AA269" i="20"/>
  <c r="AA270" i="20"/>
  <c r="AA271" i="20"/>
  <c r="AA272" i="20"/>
  <c r="AA273" i="20"/>
  <c r="AA274" i="20"/>
  <c r="AA275" i="20"/>
  <c r="AA276" i="20"/>
  <c r="AA277" i="20"/>
  <c r="AA278" i="20"/>
  <c r="AA279" i="20"/>
  <c r="AA280" i="20"/>
  <c r="AA281" i="20"/>
  <c r="AA282" i="20"/>
  <c r="AA283" i="20"/>
  <c r="AA284" i="20"/>
  <c r="AA285" i="20"/>
  <c r="AA286" i="20"/>
  <c r="AA287" i="20"/>
  <c r="AA288" i="20"/>
  <c r="AA289" i="20"/>
  <c r="AA290" i="20"/>
  <c r="AA291" i="20"/>
  <c r="AA292" i="20"/>
  <c r="AA293" i="20"/>
  <c r="AA294" i="20"/>
  <c r="AA295" i="20"/>
  <c r="AA296" i="20"/>
  <c r="AA297" i="20"/>
  <c r="AA298" i="20"/>
  <c r="AA299" i="20"/>
  <c r="AA300" i="20"/>
  <c r="AA301" i="20"/>
  <c r="AA302" i="20"/>
  <c r="AA303" i="20"/>
  <c r="AA304" i="20"/>
  <c r="AA305" i="20"/>
  <c r="AA306" i="20"/>
  <c r="AA307" i="20"/>
  <c r="AA308" i="20"/>
  <c r="AA309" i="20"/>
  <c r="AA310" i="20"/>
  <c r="AA311" i="20"/>
  <c r="AA312" i="20"/>
  <c r="AA313" i="20"/>
  <c r="AA314" i="20"/>
  <c r="AA315" i="20"/>
  <c r="AA316" i="20"/>
  <c r="AA317" i="20"/>
  <c r="AA318" i="20"/>
  <c r="AA319" i="20"/>
  <c r="AA320" i="20"/>
  <c r="AA321" i="20"/>
  <c r="AA322" i="20"/>
  <c r="AA323" i="20"/>
  <c r="AA324" i="20"/>
  <c r="AA325" i="20"/>
  <c r="AA326" i="20"/>
  <c r="AA327" i="20"/>
  <c r="AA328" i="20"/>
  <c r="AA329" i="20"/>
  <c r="AA330" i="20"/>
  <c r="AA331" i="20"/>
  <c r="AA332" i="20"/>
  <c r="AA333" i="20"/>
  <c r="AA334" i="20"/>
  <c r="AA335" i="20"/>
  <c r="AA336" i="20"/>
  <c r="AA337" i="20"/>
  <c r="AA338" i="20"/>
  <c r="AA339" i="20"/>
  <c r="AA340" i="20"/>
  <c r="AA341" i="20"/>
  <c r="AA342" i="20"/>
  <c r="AA343" i="20"/>
  <c r="AA344" i="20"/>
  <c r="AA345" i="20"/>
  <c r="AA346" i="20"/>
  <c r="AA347" i="20"/>
  <c r="AA348" i="20"/>
  <c r="AA349" i="20"/>
  <c r="AA350" i="20"/>
  <c r="AA351" i="20"/>
  <c r="AA352" i="20"/>
  <c r="AA353" i="20"/>
  <c r="AA354" i="20"/>
  <c r="AA355" i="20"/>
  <c r="AA356" i="20"/>
  <c r="AA357" i="20"/>
  <c r="AA358" i="20"/>
  <c r="AA359" i="20"/>
  <c r="AA360" i="20"/>
  <c r="AA361" i="20"/>
  <c r="AA362" i="20"/>
  <c r="AA363" i="20"/>
  <c r="AA364" i="20"/>
  <c r="AA365" i="20"/>
  <c r="AA366" i="20"/>
  <c r="AA367" i="20"/>
  <c r="AA368" i="20"/>
  <c r="AA369" i="20"/>
  <c r="AA370" i="20"/>
  <c r="AA371" i="20"/>
  <c r="AA372" i="20"/>
  <c r="AA373" i="20"/>
  <c r="AA374" i="20"/>
  <c r="AA375" i="20"/>
  <c r="AA376" i="20"/>
  <c r="AA377" i="20"/>
  <c r="AA378" i="20"/>
  <c r="AA379" i="20"/>
  <c r="AA380" i="20"/>
  <c r="AA381" i="20"/>
  <c r="AA382" i="20"/>
  <c r="AA383" i="20"/>
  <c r="AA384" i="20"/>
  <c r="AA385" i="20"/>
  <c r="AA386" i="20"/>
  <c r="AA387" i="20"/>
  <c r="AA388" i="20"/>
  <c r="AA389" i="20"/>
  <c r="AA390" i="20"/>
  <c r="AA391" i="20"/>
  <c r="AA392" i="20"/>
  <c r="AA393" i="20"/>
  <c r="AA394" i="20"/>
  <c r="AA395" i="20"/>
  <c r="AA396" i="20"/>
  <c r="AA397" i="20"/>
  <c r="AA398" i="20"/>
  <c r="AA399" i="20"/>
  <c r="AA400" i="20"/>
  <c r="AA401" i="20"/>
  <c r="AA402" i="20"/>
  <c r="AA403" i="20"/>
  <c r="AA404" i="20"/>
  <c r="AA405" i="20"/>
  <c r="AA406" i="20"/>
  <c r="AA407" i="20"/>
  <c r="AA408" i="20"/>
  <c r="AA409" i="20"/>
  <c r="AA410" i="20"/>
  <c r="AA411" i="20"/>
  <c r="AA412" i="20"/>
  <c r="AA413" i="20"/>
  <c r="AA414" i="20"/>
  <c r="AA415" i="20"/>
  <c r="AA416" i="20"/>
  <c r="AA417" i="20"/>
  <c r="AA418" i="20"/>
  <c r="AA419" i="20"/>
  <c r="AA420" i="20"/>
  <c r="AA421" i="20"/>
  <c r="AA422" i="20"/>
  <c r="AA423" i="20"/>
  <c r="AA424" i="20"/>
  <c r="AA425" i="20"/>
  <c r="AA426" i="20"/>
  <c r="AA427" i="20"/>
  <c r="AA428" i="20"/>
  <c r="AA429" i="20"/>
  <c r="AA430" i="20"/>
  <c r="AA431" i="20"/>
  <c r="AA432" i="20"/>
  <c r="AA433" i="20"/>
  <c r="AA434" i="20"/>
  <c r="AA435" i="20"/>
  <c r="AA436" i="20"/>
  <c r="AA437" i="20"/>
  <c r="AA438" i="20"/>
  <c r="AA439" i="20"/>
  <c r="AA440" i="20"/>
  <c r="AA441" i="20"/>
  <c r="AA442" i="20"/>
  <c r="AA443" i="20"/>
  <c r="AA444" i="20"/>
  <c r="AA445" i="20"/>
  <c r="AA446" i="20"/>
  <c r="AA447" i="20"/>
  <c r="AA448" i="20"/>
  <c r="AA449" i="20"/>
  <c r="AA450" i="20"/>
  <c r="AA451" i="20"/>
  <c r="AA452" i="20"/>
  <c r="AA453" i="20"/>
  <c r="AA454" i="20"/>
  <c r="AA455" i="20"/>
  <c r="AA456" i="20"/>
  <c r="AA457" i="20"/>
  <c r="AA458" i="20"/>
  <c r="AA459" i="20"/>
  <c r="AA460" i="20"/>
  <c r="AA461" i="20"/>
  <c r="AA462" i="20"/>
  <c r="AA463" i="20"/>
  <c r="AA464" i="20"/>
  <c r="AA465" i="20"/>
  <c r="AA466" i="20"/>
  <c r="AA467" i="20"/>
  <c r="AA468" i="20"/>
  <c r="AA469" i="20"/>
  <c r="AA470" i="20"/>
  <c r="AA471" i="20"/>
  <c r="AA472" i="20"/>
  <c r="AA473" i="20"/>
  <c r="AA474" i="20"/>
  <c r="AA475" i="20"/>
  <c r="AA476" i="20"/>
  <c r="AA477" i="20"/>
  <c r="AA478" i="20"/>
  <c r="AA479" i="20"/>
  <c r="AA480" i="20"/>
  <c r="AA481" i="20"/>
  <c r="AA482" i="20"/>
  <c r="AA483" i="20"/>
  <c r="AA484" i="20"/>
  <c r="AA485" i="20"/>
  <c r="AA486" i="20"/>
  <c r="AA487" i="20"/>
  <c r="AA488" i="20"/>
  <c r="AA489" i="20"/>
  <c r="AA490" i="20"/>
  <c r="AA491" i="20"/>
  <c r="AA492" i="20"/>
  <c r="AA493" i="20"/>
  <c r="AA494" i="20"/>
  <c r="AA495" i="20"/>
  <c r="AA496" i="20"/>
  <c r="AA497" i="20"/>
  <c r="AA498" i="20"/>
  <c r="AA499" i="20"/>
  <c r="AA500" i="20"/>
  <c r="AA501" i="20"/>
  <c r="AA502" i="20"/>
  <c r="AA503" i="20"/>
  <c r="AA504" i="20"/>
  <c r="AA505" i="20"/>
  <c r="AA506" i="20"/>
  <c r="AA507" i="20"/>
  <c r="AA508" i="20"/>
  <c r="AA509" i="20"/>
  <c r="AA510" i="20"/>
  <c r="AA511" i="20"/>
  <c r="AA512" i="20"/>
  <c r="AA513" i="20"/>
  <c r="AA514" i="20"/>
  <c r="AA515" i="20"/>
  <c r="AA516" i="20"/>
  <c r="AA517" i="20"/>
  <c r="AA518" i="20"/>
  <c r="AA519" i="20"/>
  <c r="AA520" i="20"/>
  <c r="AA521" i="20"/>
  <c r="AA522" i="20"/>
  <c r="AA523" i="20"/>
  <c r="AA524" i="20"/>
  <c r="AA525" i="20"/>
  <c r="AA526" i="20"/>
  <c r="AA527" i="20"/>
  <c r="AA528" i="20"/>
  <c r="AA529" i="20"/>
  <c r="AA530" i="20"/>
  <c r="AA531" i="20"/>
  <c r="AA532" i="20"/>
  <c r="AA533" i="20"/>
  <c r="AA534" i="20"/>
  <c r="AA535" i="20"/>
  <c r="AA536" i="20"/>
  <c r="AA537" i="20"/>
  <c r="AA538" i="20"/>
  <c r="AA539" i="20"/>
  <c r="AA540" i="20"/>
  <c r="AA541" i="20"/>
  <c r="AA542" i="20"/>
  <c r="AA543" i="20"/>
  <c r="AA544" i="20"/>
  <c r="AA545" i="20"/>
  <c r="AA546" i="20"/>
  <c r="AA547" i="20"/>
  <c r="AA548" i="20"/>
  <c r="AA549" i="20"/>
  <c r="AA550" i="20"/>
  <c r="AA551" i="20"/>
  <c r="AA552" i="20"/>
  <c r="AA553" i="20"/>
  <c r="AA554" i="20"/>
  <c r="AA555" i="20"/>
  <c r="AA556" i="20"/>
  <c r="AA557" i="20"/>
  <c r="AA558" i="20"/>
  <c r="AA559" i="20"/>
  <c r="AA560" i="20"/>
  <c r="AA561" i="20"/>
  <c r="AA562" i="20"/>
  <c r="AA563" i="20"/>
  <c r="AA564" i="20"/>
  <c r="AA565" i="20"/>
  <c r="AA566" i="20"/>
  <c r="AA567" i="20"/>
  <c r="AA568" i="20"/>
  <c r="AA569" i="20"/>
  <c r="AA570" i="20"/>
  <c r="AA571" i="20"/>
  <c r="AA572" i="20"/>
  <c r="AA573" i="20"/>
  <c r="AA574" i="20"/>
  <c r="AA575" i="20"/>
  <c r="AA576" i="20"/>
  <c r="AA577" i="20"/>
  <c r="AA578" i="20"/>
  <c r="AA579" i="20"/>
  <c r="AA580" i="20"/>
  <c r="AA581" i="20"/>
  <c r="AA582" i="20"/>
  <c r="AA583" i="20"/>
  <c r="AA584" i="20"/>
  <c r="AA585" i="20"/>
  <c r="AA586" i="20"/>
  <c r="AA587" i="20"/>
  <c r="AA588" i="20"/>
  <c r="AA589" i="20"/>
  <c r="AA590" i="20"/>
  <c r="AA591" i="20"/>
  <c r="AA592" i="20"/>
  <c r="AA593" i="20"/>
  <c r="AA594" i="20"/>
  <c r="AA595" i="20"/>
  <c r="AA596" i="20"/>
  <c r="AA597" i="20"/>
  <c r="AA598" i="20"/>
  <c r="AA599" i="20"/>
  <c r="AA600" i="20"/>
  <c r="AA601" i="20"/>
  <c r="AA602" i="20"/>
  <c r="AA603" i="20"/>
  <c r="AA604" i="20"/>
  <c r="AA605" i="20"/>
  <c r="AA606" i="20"/>
  <c r="AA607" i="20"/>
  <c r="AA608" i="20"/>
  <c r="AA609" i="20"/>
  <c r="AA610" i="20"/>
  <c r="AA611" i="20"/>
  <c r="AA612" i="20"/>
  <c r="AA613" i="20"/>
  <c r="AA614" i="20"/>
  <c r="AA615" i="20"/>
  <c r="AA616" i="20"/>
  <c r="AA617" i="20"/>
  <c r="AA618" i="20"/>
  <c r="AA688" i="20"/>
  <c r="AA689" i="20"/>
  <c r="AA690" i="20"/>
  <c r="AA691" i="20"/>
  <c r="AA692" i="20"/>
  <c r="AA693" i="20"/>
  <c r="AA694" i="20"/>
  <c r="AA695" i="20"/>
  <c r="AA696" i="20"/>
  <c r="AA697" i="20"/>
  <c r="AA698" i="20"/>
  <c r="AA699" i="20"/>
  <c r="AA700" i="20"/>
  <c r="AA701" i="20"/>
  <c r="AA702" i="20"/>
  <c r="AA703" i="20"/>
  <c r="AA704" i="20"/>
  <c r="AA705" i="20"/>
  <c r="AA706" i="20"/>
  <c r="AA707" i="20"/>
  <c r="AA708" i="20"/>
  <c r="AA709" i="20"/>
  <c r="AA710" i="20"/>
  <c r="AA711" i="20"/>
  <c r="AA712" i="20"/>
  <c r="AA713" i="20"/>
  <c r="AA714" i="20"/>
  <c r="AA715" i="20"/>
  <c r="AA716" i="20"/>
  <c r="AA717" i="20"/>
  <c r="AA718" i="20"/>
  <c r="AA719" i="20"/>
  <c r="AA720" i="20"/>
  <c r="AA721" i="20"/>
  <c r="AA722" i="20"/>
  <c r="AA723" i="20"/>
  <c r="AA724" i="20"/>
  <c r="AA725" i="20"/>
  <c r="AA726" i="20"/>
  <c r="AA727" i="20"/>
  <c r="AA728" i="20"/>
  <c r="AA729" i="20"/>
  <c r="AA730" i="20"/>
  <c r="AA731" i="20"/>
  <c r="AA732" i="20"/>
  <c r="AA733" i="20"/>
  <c r="AA734" i="20"/>
  <c r="AA735" i="20"/>
  <c r="AA736" i="20"/>
  <c r="AA737" i="20"/>
  <c r="AB3" i="20"/>
  <c r="AA3" i="20"/>
  <c r="W111" i="33"/>
  <c r="V97" i="35"/>
  <c r="V91" i="35"/>
  <c r="V95" i="35"/>
  <c r="W91" i="35"/>
  <c r="W93" i="35"/>
  <c r="V93" i="35"/>
  <c r="L93" i="35"/>
  <c r="Z111" i="33"/>
  <c r="X111" i="33"/>
  <c r="Y111" i="33"/>
  <c r="L95" i="35"/>
  <c r="Y585" i="33"/>
  <c r="Z585" i="33"/>
  <c r="X585" i="33"/>
  <c r="AF1772" i="35" l="1"/>
  <c r="AG1772" i="35" s="1"/>
  <c r="AG1858" i="35" s="1"/>
  <c r="AF1840" i="35"/>
  <c r="AG1840" i="35" s="1"/>
  <c r="AF1429" i="35"/>
  <c r="AG1429" i="35" s="1"/>
  <c r="AG1457" i="35" s="1"/>
  <c r="AF1527" i="35"/>
  <c r="AG1527" i="35" s="1"/>
  <c r="AG1557" i="35" s="1"/>
  <c r="AF1431" i="35"/>
  <c r="AG1431" i="35" s="1"/>
  <c r="AF1445" i="35"/>
  <c r="AG1445" i="35" s="1"/>
  <c r="AF1852" i="35"/>
  <c r="AG1852" i="35" s="1"/>
  <c r="AF1954" i="35"/>
  <c r="AG1954" i="35" s="1"/>
  <c r="AG1964" i="35" s="1"/>
  <c r="AF1447" i="35"/>
  <c r="AG1447" i="35" s="1"/>
  <c r="AF1687" i="35"/>
  <c r="AG1687" i="35" s="1"/>
  <c r="AG1762" i="35" s="1"/>
  <c r="AF1054" i="35"/>
  <c r="AG1054" i="35" s="1"/>
  <c r="AG1122" i="35" s="1"/>
  <c r="AF963" i="35"/>
  <c r="AG963" i="35" s="1"/>
  <c r="AF1309" i="35"/>
  <c r="AG1309" i="35" s="1"/>
  <c r="AF1106" i="35"/>
  <c r="AG1106" i="35" s="1"/>
  <c r="AF1112" i="35"/>
  <c r="AG1112" i="35" s="1"/>
  <c r="AF1297" i="35"/>
  <c r="AG1297" i="35" s="1"/>
  <c r="AF1114" i="35"/>
  <c r="AG1114" i="35" s="1"/>
  <c r="AF961" i="35"/>
  <c r="AG961" i="35" s="1"/>
  <c r="AF1120" i="35"/>
  <c r="AG1120" i="35" s="1"/>
  <c r="AF979" i="35"/>
  <c r="AG979" i="35" s="1"/>
  <c r="G499" i="33"/>
  <c r="H742" i="33"/>
  <c r="I634" i="35"/>
  <c r="I555" i="35"/>
  <c r="G542" i="35"/>
  <c r="G555" i="35"/>
  <c r="G338" i="35"/>
  <c r="G550" i="33"/>
  <c r="G632" i="35"/>
  <c r="H524" i="35"/>
  <c r="H588" i="35"/>
  <c r="H77" i="35"/>
  <c r="I482" i="35"/>
  <c r="G589" i="35"/>
  <c r="I786" i="33"/>
  <c r="H804" i="33"/>
  <c r="G804" i="33"/>
  <c r="G99" i="33"/>
  <c r="H389" i="33"/>
  <c r="G389" i="33"/>
  <c r="H447" i="33"/>
  <c r="H369" i="33"/>
  <c r="G715" i="33"/>
  <c r="G773" i="33"/>
  <c r="H778" i="33"/>
  <c r="G725" i="33"/>
  <c r="H730" i="33"/>
  <c r="H708" i="33"/>
  <c r="G778" i="33"/>
  <c r="I773" i="33"/>
  <c r="G501" i="33"/>
  <c r="G790" i="33"/>
  <c r="H790" i="33"/>
  <c r="I381" i="33"/>
  <c r="H727" i="33"/>
  <c r="I373" i="33"/>
  <c r="I475" i="33"/>
  <c r="G333" i="33"/>
  <c r="G485" i="33"/>
  <c r="I712" i="33"/>
  <c r="G449" i="33"/>
  <c r="I345" i="33"/>
  <c r="H723" i="33"/>
  <c r="G719" i="33"/>
  <c r="G431" i="33"/>
  <c r="I415" i="33"/>
  <c r="G415" i="33"/>
  <c r="I343" i="33"/>
  <c r="I329" i="33"/>
  <c r="G347" i="33"/>
  <c r="I730" i="33"/>
  <c r="H712" i="33"/>
  <c r="G445" i="33"/>
  <c r="G343" i="33"/>
  <c r="I723" i="33"/>
  <c r="I705" i="33"/>
  <c r="I333" i="33"/>
  <c r="H373" i="33"/>
  <c r="H347" i="33"/>
  <c r="I423" i="33"/>
  <c r="I708" i="33"/>
  <c r="H423" i="33"/>
  <c r="H719" i="33"/>
  <c r="H501" i="33"/>
  <c r="G381" i="33"/>
  <c r="H763" i="33"/>
  <c r="H443" i="33"/>
  <c r="H345" i="33"/>
  <c r="G443" i="33"/>
  <c r="I689" i="33"/>
  <c r="G705" i="33"/>
  <c r="H445" i="33"/>
  <c r="I816" i="33"/>
  <c r="I485" i="33"/>
  <c r="I229" i="33"/>
  <c r="H451" i="33"/>
  <c r="H690" i="35"/>
  <c r="G371" i="33"/>
  <c r="I584" i="35"/>
  <c r="H371" i="33"/>
  <c r="G387" i="33"/>
  <c r="G630" i="35"/>
  <c r="H479" i="33"/>
  <c r="I331" i="33"/>
  <c r="H427" i="33"/>
  <c r="H611" i="35"/>
  <c r="H593" i="35"/>
  <c r="H542" i="35"/>
  <c r="G329" i="33"/>
  <c r="I198" i="33"/>
  <c r="I377" i="33"/>
  <c r="I479" i="33"/>
  <c r="H630" i="35"/>
  <c r="G451" i="33"/>
  <c r="G587" i="33"/>
  <c r="G229" i="33"/>
  <c r="G427" i="33"/>
  <c r="H419" i="33"/>
  <c r="I419" i="33"/>
  <c r="I812" i="33"/>
  <c r="H335" i="33"/>
  <c r="I101" i="33"/>
  <c r="I593" i="35"/>
  <c r="I587" i="33"/>
  <c r="H387" i="33"/>
  <c r="H584" i="35"/>
  <c r="G812" i="33"/>
  <c r="I550" i="33"/>
  <c r="G198" i="33"/>
  <c r="G433" i="33"/>
  <c r="G816" i="33"/>
  <c r="H379" i="33"/>
  <c r="I335" i="33"/>
  <c r="I353" i="33"/>
  <c r="H377" i="33"/>
  <c r="H433" i="33"/>
  <c r="G308" i="35"/>
  <c r="G736" i="33"/>
  <c r="I819" i="33"/>
  <c r="H437" i="33"/>
  <c r="G425" i="33"/>
  <c r="H341" i="33"/>
  <c r="I750" i="33"/>
  <c r="G524" i="35"/>
  <c r="H774" i="33"/>
  <c r="I761" i="33"/>
  <c r="I774" i="33"/>
  <c r="H776" i="33"/>
  <c r="I560" i="35"/>
  <c r="I481" i="33"/>
  <c r="I355" i="33"/>
  <c r="I611" i="35"/>
  <c r="I379" i="33"/>
  <c r="I534" i="35"/>
  <c r="I808" i="33"/>
  <c r="H534" i="35"/>
  <c r="G341" i="33"/>
  <c r="I385" i="33"/>
  <c r="G375" i="33"/>
  <c r="H481" i="33"/>
  <c r="I696" i="35"/>
  <c r="H499" i="33"/>
  <c r="G475" i="33"/>
  <c r="G589" i="33"/>
  <c r="I99" i="33"/>
  <c r="H337" i="33"/>
  <c r="H441" i="33"/>
  <c r="I421" i="33"/>
  <c r="G483" i="33"/>
  <c r="I727" i="33"/>
  <c r="H591" i="33"/>
  <c r="G441" i="33"/>
  <c r="H431" i="33"/>
  <c r="G487" i="33"/>
  <c r="G776" i="33"/>
  <c r="H429" i="33"/>
  <c r="I375" i="33"/>
  <c r="I591" i="33"/>
  <c r="G421" i="33"/>
  <c r="I487" i="33"/>
  <c r="I710" i="33"/>
  <c r="G139" i="35"/>
  <c r="H714" i="33"/>
  <c r="I429" i="33"/>
  <c r="G337" i="33"/>
  <c r="I369" i="33"/>
  <c r="H331" i="33"/>
  <c r="G447" i="33"/>
  <c r="I338" i="35"/>
  <c r="H589" i="33"/>
  <c r="I757" i="33"/>
  <c r="G746" i="33"/>
  <c r="G586" i="35"/>
  <c r="H558" i="35"/>
  <c r="H332" i="35"/>
  <c r="I332" i="35"/>
  <c r="I810" i="33"/>
  <c r="I742" i="33"/>
  <c r="H515" i="33"/>
  <c r="H771" i="33"/>
  <c r="H746" i="33"/>
  <c r="G771" i="33"/>
  <c r="I425" i="33"/>
  <c r="I544" i="33"/>
  <c r="H540" i="33"/>
  <c r="H509" i="33"/>
  <c r="H417" i="33"/>
  <c r="G417" i="33"/>
  <c r="G757" i="33"/>
  <c r="G750" i="33"/>
  <c r="G788" i="33"/>
  <c r="H385" i="33"/>
  <c r="G544" i="33"/>
  <c r="H585" i="33"/>
  <c r="I513" i="33"/>
  <c r="G351" i="33"/>
  <c r="I788" i="33"/>
  <c r="I753" i="33"/>
  <c r="I806" i="33"/>
  <c r="I437" i="33"/>
  <c r="G353" i="33"/>
  <c r="G267" i="33"/>
  <c r="H297" i="33"/>
  <c r="I585" i="33"/>
  <c r="G509" i="33"/>
  <c r="I507" i="33"/>
  <c r="H546" i="33"/>
  <c r="I538" i="33"/>
  <c r="H299" i="33"/>
  <c r="G511" i="33"/>
  <c r="I548" i="33"/>
  <c r="G540" i="33"/>
  <c r="I261" i="33"/>
  <c r="H308" i="35"/>
  <c r="G316" i="35"/>
  <c r="H105" i="35"/>
  <c r="H586" i="35"/>
  <c r="I131" i="35"/>
  <c r="I153" i="35"/>
  <c r="H612" i="35"/>
  <c r="I545" i="35"/>
  <c r="H316" i="35"/>
  <c r="H153" i="35"/>
  <c r="G614" i="35"/>
  <c r="G105" i="35"/>
  <c r="I53" i="35"/>
  <c r="H47" i="35"/>
  <c r="AD131" i="35"/>
  <c r="AF131" i="35" s="1"/>
  <c r="AG131" i="35" s="1"/>
  <c r="AD260" i="35"/>
  <c r="AF260" i="35" s="1"/>
  <c r="AG260" i="35" s="1"/>
  <c r="AD392" i="35"/>
  <c r="AF392" i="35" s="1"/>
  <c r="AG392" i="35" s="1"/>
  <c r="G87" i="35"/>
  <c r="I614" i="35"/>
  <c r="G350" i="35"/>
  <c r="G53" i="35"/>
  <c r="G612" i="35"/>
  <c r="I350" i="35"/>
  <c r="G71" i="35"/>
  <c r="H69" i="35"/>
  <c r="G77" i="35"/>
  <c r="I558" i="35"/>
  <c r="H545" i="35"/>
  <c r="I49" i="35"/>
  <c r="I41" i="35"/>
  <c r="H75" i="35"/>
  <c r="H85" i="35"/>
  <c r="H79" i="35"/>
  <c r="G547" i="35"/>
  <c r="I588" i="35"/>
  <c r="H543" i="35"/>
  <c r="H589" i="35"/>
  <c r="I312" i="35"/>
  <c r="H348" i="35"/>
  <c r="H340" i="35"/>
  <c r="I543" i="35"/>
  <c r="H560" i="35"/>
  <c r="G532" i="35"/>
  <c r="I532" i="35"/>
  <c r="I547" i="35"/>
  <c r="G348" i="35"/>
  <c r="G266" i="35"/>
  <c r="H336" i="35"/>
  <c r="I160" i="35"/>
  <c r="G340" i="35"/>
  <c r="H266" i="35"/>
  <c r="I162" i="35"/>
  <c r="H244" i="35"/>
  <c r="I244" i="35"/>
  <c r="H707" i="33"/>
  <c r="G707" i="33"/>
  <c r="I682" i="33"/>
  <c r="G717" i="33"/>
  <c r="G710" i="33"/>
  <c r="G728" i="33"/>
  <c r="I725" i="33"/>
  <c r="I717" i="33"/>
  <c r="H736" i="33"/>
  <c r="I714" i="33"/>
  <c r="I728" i="33"/>
  <c r="I703" i="33"/>
  <c r="G721" i="33"/>
  <c r="I453" i="33"/>
  <c r="G357" i="33"/>
  <c r="G453" i="33"/>
  <c r="I584" i="33"/>
  <c r="H357" i="33"/>
  <c r="I240" i="35"/>
  <c r="G562" i="33"/>
  <c r="H194" i="33"/>
  <c r="H265" i="33"/>
  <c r="I248" i="33"/>
  <c r="I250" i="33"/>
  <c r="H232" i="35"/>
  <c r="I232" i="35"/>
  <c r="H236" i="35"/>
  <c r="G226" i="35"/>
  <c r="I632" i="35"/>
  <c r="G634" i="35"/>
  <c r="G234" i="35"/>
  <c r="H174" i="35"/>
  <c r="I564" i="33"/>
  <c r="I265" i="33"/>
  <c r="G51" i="35"/>
  <c r="G73" i="35"/>
  <c r="G83" i="35"/>
  <c r="G85" i="35"/>
  <c r="I71" i="35"/>
  <c r="G61" i="35"/>
  <c r="I79" i="35"/>
  <c r="I87" i="35"/>
  <c r="H139" i="35"/>
  <c r="H131" i="35"/>
  <c r="I211" i="33"/>
  <c r="G477" i="33"/>
  <c r="I216" i="35"/>
  <c r="G248" i="33"/>
  <c r="I156" i="35"/>
  <c r="G236" i="35"/>
  <c r="H242" i="35"/>
  <c r="G162" i="35"/>
  <c r="I180" i="35"/>
  <c r="AD226" i="35"/>
  <c r="AF226" i="35" s="1"/>
  <c r="AG226" i="35" s="1"/>
  <c r="H564" i="33"/>
  <c r="AD244" i="35"/>
  <c r="AF244" i="35" s="1"/>
  <c r="AG244" i="35" s="1"/>
  <c r="H226" i="35"/>
  <c r="H355" i="33"/>
  <c r="H250" i="33"/>
  <c r="I336" i="35"/>
  <c r="I477" i="33"/>
  <c r="G219" i="33"/>
  <c r="G142" i="33"/>
  <c r="I234" i="35"/>
  <c r="H180" i="35"/>
  <c r="I194" i="33"/>
  <c r="G238" i="35"/>
  <c r="G218" i="35"/>
  <c r="G156" i="35"/>
  <c r="H312" i="35"/>
  <c r="H37" i="35"/>
  <c r="H584" i="33"/>
  <c r="I562" i="33"/>
  <c r="I219" i="33"/>
  <c r="G693" i="35"/>
  <c r="I690" i="35"/>
  <c r="H693" i="35"/>
  <c r="I704" i="35"/>
  <c r="I435" i="33"/>
  <c r="G435" i="33"/>
  <c r="H467" i="33"/>
  <c r="G383" i="33"/>
  <c r="AI136" i="33"/>
  <c r="H107" i="33"/>
  <c r="G755" i="33"/>
  <c r="I109" i="33"/>
  <c r="G744" i="33"/>
  <c r="H808" i="33"/>
  <c r="I769" i="33"/>
  <c r="I740" i="33"/>
  <c r="H819" i="33"/>
  <c r="G748" i="33"/>
  <c r="H505" i="33"/>
  <c r="H540" i="35"/>
  <c r="G562" i="35"/>
  <c r="G609" i="35"/>
  <c r="H609" i="35"/>
  <c r="H591" i="35"/>
  <c r="G556" i="35"/>
  <c r="I582" i="35"/>
  <c r="G553" i="35"/>
  <c r="H582" i="35"/>
  <c r="G540" i="35"/>
  <c r="I553" i="35"/>
  <c r="I556" i="35"/>
  <c r="I562" i="35"/>
  <c r="AE140" i="33"/>
  <c r="AH140" i="33" s="1"/>
  <c r="AI140" i="33" s="1"/>
  <c r="I242" i="35"/>
  <c r="H240" i="35"/>
  <c r="I238" i="35"/>
  <c r="G200" i="35"/>
  <c r="I19" i="35"/>
  <c r="G87" i="33"/>
  <c r="AD180" i="35"/>
  <c r="AF180" i="35" s="1"/>
  <c r="AG180" i="35" s="1"/>
  <c r="AD164" i="35"/>
  <c r="AD166" i="35"/>
  <c r="AF166" i="35" s="1"/>
  <c r="AG166" i="35" s="1"/>
  <c r="AD338" i="35"/>
  <c r="AF338" i="35" s="1"/>
  <c r="AG338" i="35" s="1"/>
  <c r="AD316" i="35"/>
  <c r="AF316" i="35" s="1"/>
  <c r="AG316" i="35" s="1"/>
  <c r="AD308" i="35"/>
  <c r="AF308" i="35" s="1"/>
  <c r="AG308" i="35" s="1"/>
  <c r="AD348" i="35"/>
  <c r="AF348" i="35" s="1"/>
  <c r="AG348" i="35" s="1"/>
  <c r="G176" i="35"/>
  <c r="H176" i="35"/>
  <c r="AD176" i="35"/>
  <c r="AF176" i="35" s="1"/>
  <c r="AG176" i="35" s="1"/>
  <c r="I252" i="35"/>
  <c r="H252" i="35"/>
  <c r="G252" i="35"/>
  <c r="I390" i="35"/>
  <c r="AD390" i="35"/>
  <c r="AF390" i="35" s="1"/>
  <c r="AG390" i="35" s="1"/>
  <c r="G390" i="35"/>
  <c r="H346" i="35"/>
  <c r="AD346" i="35"/>
  <c r="AF346" i="35" s="1"/>
  <c r="AG346" i="35" s="1"/>
  <c r="I346" i="35"/>
  <c r="AD252" i="35"/>
  <c r="AF252" i="35" s="1"/>
  <c r="AG252" i="35" s="1"/>
  <c r="H151" i="35"/>
  <c r="AD151" i="35"/>
  <c r="AF151" i="35" s="1"/>
  <c r="AG151" i="35" s="1"/>
  <c r="I151" i="35"/>
  <c r="G151" i="35"/>
  <c r="H178" i="35"/>
  <c r="I178" i="35"/>
  <c r="G178" i="35"/>
  <c r="I137" i="35"/>
  <c r="AD137" i="35"/>
  <c r="AF137" i="35" s="1"/>
  <c r="AG137" i="35" s="1"/>
  <c r="H164" i="35"/>
  <c r="G164" i="35"/>
  <c r="I164" i="35"/>
  <c r="I127" i="35"/>
  <c r="AD127" i="35"/>
  <c r="AF127" i="35" s="1"/>
  <c r="AG127" i="35" s="1"/>
  <c r="G127" i="35"/>
  <c r="H127" i="35"/>
  <c r="I262" i="35"/>
  <c r="AD262" i="35"/>
  <c r="AF262" i="35" s="1"/>
  <c r="AG262" i="35" s="1"/>
  <c r="I256" i="35"/>
  <c r="AD256" i="35"/>
  <c r="AF256" i="35" s="1"/>
  <c r="AG256" i="35" s="1"/>
  <c r="G256" i="35"/>
  <c r="H256" i="35"/>
  <c r="H262" i="35"/>
  <c r="I695" i="35"/>
  <c r="G698" i="35"/>
  <c r="G47" i="35"/>
  <c r="I75" i="35"/>
  <c r="H41" i="35"/>
  <c r="H49" i="35"/>
  <c r="I61" i="35"/>
  <c r="AD41" i="35"/>
  <c r="AF41" i="35" s="1"/>
  <c r="AG41" i="35" s="1"/>
  <c r="H81" i="35"/>
  <c r="I83" i="35"/>
  <c r="I81" i="35"/>
  <c r="H67" i="35"/>
  <c r="I51" i="35"/>
  <c r="G67" i="35"/>
  <c r="H73" i="35"/>
  <c r="G714" i="35"/>
  <c r="G738" i="33"/>
  <c r="G740" i="33"/>
  <c r="G786" i="33"/>
  <c r="I103" i="33"/>
  <c r="G105" i="33"/>
  <c r="I383" i="33"/>
  <c r="H744" i="33"/>
  <c r="H806" i="33"/>
  <c r="I755" i="33"/>
  <c r="I752" i="33"/>
  <c r="I505" i="33"/>
  <c r="G769" i="33"/>
  <c r="H759" i="33"/>
  <c r="I817" i="33"/>
  <c r="I105" i="33"/>
  <c r="H469" i="33"/>
  <c r="G810" i="33"/>
  <c r="G817" i="33"/>
  <c r="I469" i="33"/>
  <c r="I814" i="33"/>
  <c r="G814" i="33"/>
  <c r="G103" i="33"/>
  <c r="AE261" i="33"/>
  <c r="AG261" i="33" s="1"/>
  <c r="AH261" i="33" s="1"/>
  <c r="AH273" i="33" s="1"/>
  <c r="I297" i="33"/>
  <c r="I107" i="33"/>
  <c r="AB738" i="33"/>
  <c r="I759" i="33"/>
  <c r="H748" i="33"/>
  <c r="H752" i="33"/>
  <c r="I199" i="33"/>
  <c r="I467" i="33"/>
  <c r="G261" i="33"/>
  <c r="H511" i="33"/>
  <c r="H513" i="33"/>
  <c r="H548" i="33"/>
  <c r="H538" i="33"/>
  <c r="I546" i="33"/>
  <c r="H507" i="33"/>
  <c r="G109" i="33"/>
  <c r="H267" i="33"/>
  <c r="H351" i="33"/>
  <c r="G663" i="35"/>
  <c r="AD153" i="35"/>
  <c r="AF153" i="35" s="1"/>
  <c r="AG153" i="35" s="1"/>
  <c r="AD158" i="35"/>
  <c r="AF158" i="35" s="1"/>
  <c r="AG158" i="35" s="1"/>
  <c r="AD139" i="35"/>
  <c r="AF139" i="35" s="1"/>
  <c r="AG139" i="35" s="1"/>
  <c r="AD162" i="35"/>
  <c r="AF162" i="35" s="1"/>
  <c r="AG162" i="35" s="1"/>
  <c r="AD254" i="35"/>
  <c r="AF254" i="35" s="1"/>
  <c r="AG254" i="35" s="1"/>
  <c r="AD250" i="35"/>
  <c r="AF250" i="35" s="1"/>
  <c r="AG250" i="35" s="1"/>
  <c r="AD266" i="35"/>
  <c r="AD340" i="35"/>
  <c r="AF340" i="35" s="1"/>
  <c r="AG340" i="35" s="1"/>
  <c r="AD312" i="35"/>
  <c r="AF312" i="35" s="1"/>
  <c r="AG312" i="35" s="1"/>
  <c r="H95" i="33"/>
  <c r="H117" i="33"/>
  <c r="H71" i="33"/>
  <c r="G19" i="33"/>
  <c r="H121" i="33"/>
  <c r="H19" i="33"/>
  <c r="H87" i="33"/>
  <c r="H203" i="33"/>
  <c r="G115" i="33"/>
  <c r="I605" i="33"/>
  <c r="I203" i="33"/>
  <c r="H85" i="33"/>
  <c r="H168" i="33"/>
  <c r="I115" i="33"/>
  <c r="H211" i="33"/>
  <c r="I57" i="33"/>
  <c r="I51" i="33"/>
  <c r="H158" i="33"/>
  <c r="G196" i="33"/>
  <c r="I71" i="33"/>
  <c r="I67" i="33"/>
  <c r="I53" i="33"/>
  <c r="I61" i="33"/>
  <c r="H61" i="33"/>
  <c r="H15" i="33"/>
  <c r="H227" i="33"/>
  <c r="H237" i="33"/>
  <c r="G121" i="33"/>
  <c r="I235" i="33"/>
  <c r="G73" i="33"/>
  <c r="I45" i="33"/>
  <c r="H37" i="33"/>
  <c r="G91" i="33"/>
  <c r="H57" i="33"/>
  <c r="G75" i="33"/>
  <c r="H201" i="33"/>
  <c r="G51" i="33"/>
  <c r="H63" i="33"/>
  <c r="G15" i="33"/>
  <c r="G674" i="35"/>
  <c r="H663" i="35"/>
  <c r="H698" i="35"/>
  <c r="H674" i="35"/>
  <c r="AD632" i="35"/>
  <c r="AF632" i="35" s="1"/>
  <c r="AG632" i="35" s="1"/>
  <c r="I619" i="33"/>
  <c r="G299" i="33"/>
  <c r="AE142" i="33"/>
  <c r="AH142" i="33" s="1"/>
  <c r="AI142" i="33" s="1"/>
  <c r="H225" i="33"/>
  <c r="H196" i="33"/>
  <c r="H484" i="35"/>
  <c r="H205" i="33"/>
  <c r="G227" i="33"/>
  <c r="I85" i="33"/>
  <c r="I95" i="33"/>
  <c r="I89" i="33"/>
  <c r="G201" i="33"/>
  <c r="H323" i="33"/>
  <c r="G205" i="33"/>
  <c r="I81" i="33"/>
  <c r="H81" i="33"/>
  <c r="I113" i="33"/>
  <c r="I117" i="33"/>
  <c r="G47" i="33"/>
  <c r="G63" i="33"/>
  <c r="I21" i="33"/>
  <c r="G27" i="33"/>
  <c r="I183" i="33"/>
  <c r="I185" i="33"/>
  <c r="G185" i="33"/>
  <c r="G140" i="33"/>
  <c r="I140" i="33"/>
  <c r="I134" i="33"/>
  <c r="H134" i="33"/>
  <c r="I73" i="33"/>
  <c r="H45" i="33"/>
  <c r="I237" i="33"/>
  <c r="I37" i="33"/>
  <c r="G21" i="33"/>
  <c r="I225" i="33"/>
  <c r="H91" i="33"/>
  <c r="G89" i="33"/>
  <c r="G53" i="33"/>
  <c r="H67" i="33"/>
  <c r="H47" i="33"/>
  <c r="H75" i="33"/>
  <c r="H113" i="33"/>
  <c r="G235" i="33"/>
  <c r="H233" i="33"/>
  <c r="I233" i="33"/>
  <c r="G233" i="33"/>
  <c r="G231" i="33"/>
  <c r="H231" i="33"/>
  <c r="I231" i="33"/>
  <c r="H217" i="33"/>
  <c r="G217" i="33"/>
  <c r="G215" i="33"/>
  <c r="I215" i="33"/>
  <c r="H213" i="33"/>
  <c r="G213" i="33"/>
  <c r="I209" i="33"/>
  <c r="H209" i="33"/>
  <c r="I192" i="33"/>
  <c r="G192" i="33"/>
  <c r="H192" i="33"/>
  <c r="I186" i="33"/>
  <c r="G186" i="33"/>
  <c r="I154" i="33"/>
  <c r="G154" i="33"/>
  <c r="I152" i="33"/>
  <c r="H152" i="33"/>
  <c r="I119" i="33"/>
  <c r="H119" i="33"/>
  <c r="H97" i="33"/>
  <c r="G97" i="33"/>
  <c r="I93" i="33"/>
  <c r="G93" i="33"/>
  <c r="G83" i="33"/>
  <c r="I83" i="33"/>
  <c r="I77" i="33"/>
  <c r="H77" i="33"/>
  <c r="I69" i="33"/>
  <c r="H69" i="33"/>
  <c r="I65" i="33"/>
  <c r="G65" i="33"/>
  <c r="H65" i="33"/>
  <c r="H59" i="33"/>
  <c r="I59" i="33"/>
  <c r="I55" i="33"/>
  <c r="G55" i="33"/>
  <c r="I49" i="33"/>
  <c r="G49" i="33"/>
  <c r="G43" i="33"/>
  <c r="I43" i="33"/>
  <c r="H43" i="33"/>
  <c r="I41" i="33"/>
  <c r="G41" i="33"/>
  <c r="H39" i="33"/>
  <c r="I39" i="33"/>
  <c r="I31" i="33"/>
  <c r="H31" i="33"/>
  <c r="I29" i="33"/>
  <c r="H29" i="33"/>
  <c r="H25" i="33"/>
  <c r="I25" i="33"/>
  <c r="I23" i="33"/>
  <c r="H23" i="33"/>
  <c r="H17" i="33"/>
  <c r="G17" i="33"/>
  <c r="G199" i="33"/>
  <c r="H669" i="33"/>
  <c r="I878" i="33"/>
  <c r="AD332" i="35"/>
  <c r="AF332" i="35" s="1"/>
  <c r="AG332" i="35" s="1"/>
  <c r="H684" i="33"/>
  <c r="AE134" i="33"/>
  <c r="AH134" i="33" s="1"/>
  <c r="AI134" i="33" s="1"/>
  <c r="I508" i="35"/>
  <c r="I684" i="33"/>
  <c r="I736" i="35"/>
  <c r="G736" i="35"/>
  <c r="H736" i="35"/>
  <c r="I716" i="35"/>
  <c r="G720" i="35"/>
  <c r="I718" i="35"/>
  <c r="G716" i="35"/>
  <c r="H720" i="35"/>
  <c r="I720" i="35"/>
  <c r="H716" i="35"/>
  <c r="H718" i="35"/>
  <c r="G718" i="35"/>
  <c r="H1024" i="33"/>
  <c r="I1024" i="33"/>
  <c r="G1024" i="33"/>
  <c r="I1022" i="33"/>
  <c r="H1022" i="33"/>
  <c r="G1018" i="33"/>
  <c r="G1022" i="33"/>
  <c r="I1018" i="33"/>
  <c r="H1018" i="33"/>
  <c r="I1016" i="33"/>
  <c r="G1016" i="33"/>
  <c r="H1016" i="33"/>
  <c r="I1006" i="33"/>
  <c r="I756" i="35"/>
  <c r="G752" i="35"/>
  <c r="I970" i="33"/>
  <c r="H970" i="33"/>
  <c r="H1006" i="33"/>
  <c r="I1004" i="33"/>
  <c r="G756" i="35"/>
  <c r="H1012" i="33"/>
  <c r="G1006" i="33"/>
  <c r="G1004" i="33"/>
  <c r="H1004" i="33"/>
  <c r="I752" i="35"/>
  <c r="I1014" i="33"/>
  <c r="H1014" i="33"/>
  <c r="G1012" i="33"/>
  <c r="H754" i="35"/>
  <c r="H752" i="35"/>
  <c r="G970" i="33"/>
  <c r="G754" i="35"/>
  <c r="H756" i="35"/>
  <c r="G1014" i="33"/>
  <c r="I1012" i="33"/>
  <c r="I754" i="35"/>
  <c r="W649" i="33"/>
  <c r="I17" i="35"/>
  <c r="G508" i="35"/>
  <c r="G700" i="35"/>
  <c r="I149" i="35"/>
  <c r="G37" i="35"/>
  <c r="G19" i="35"/>
  <c r="G149" i="35"/>
  <c r="I15" i="35"/>
  <c r="AD242" i="35"/>
  <c r="AF242" i="35" s="1"/>
  <c r="AG242" i="35" s="1"/>
  <c r="AD240" i="35"/>
  <c r="AF240" i="35" s="1"/>
  <c r="AG240" i="35" s="1"/>
  <c r="AD234" i="35"/>
  <c r="AF234" i="35" s="1"/>
  <c r="AG234" i="35" s="1"/>
  <c r="AD230" i="35"/>
  <c r="AF230" i="35" s="1"/>
  <c r="AG230" i="35" s="1"/>
  <c r="AD85" i="35"/>
  <c r="AF85" i="35" s="1"/>
  <c r="AG85" i="35" s="1"/>
  <c r="AD83" i="35"/>
  <c r="AF83" i="35" s="1"/>
  <c r="AG83" i="35" s="1"/>
  <c r="AD79" i="35"/>
  <c r="AF79" i="35" s="1"/>
  <c r="AG79" i="35" s="1"/>
  <c r="AD77" i="35"/>
  <c r="AF77" i="35" s="1"/>
  <c r="AG77" i="35" s="1"/>
  <c r="AD75" i="35"/>
  <c r="AF75" i="35" s="1"/>
  <c r="AG75" i="35" s="1"/>
  <c r="AD73" i="35"/>
  <c r="AF73" i="35" s="1"/>
  <c r="AG73" i="35" s="1"/>
  <c r="AD71" i="35"/>
  <c r="AF71" i="35" s="1"/>
  <c r="AG71" i="35" s="1"/>
  <c r="AD67" i="35"/>
  <c r="AF67" i="35" s="1"/>
  <c r="AG67" i="35" s="1"/>
  <c r="AD61" i="35"/>
  <c r="AF61" i="35" s="1"/>
  <c r="AG61" i="35" s="1"/>
  <c r="AD53" i="35"/>
  <c r="AF53" i="35" s="1"/>
  <c r="AG53" i="35" s="1"/>
  <c r="AD51" i="35"/>
  <c r="AF51" i="35" s="1"/>
  <c r="AG51" i="35" s="1"/>
  <c r="AD49" i="35"/>
  <c r="AF49" i="35" s="1"/>
  <c r="AG49" i="35" s="1"/>
  <c r="AD47" i="35"/>
  <c r="AF47" i="35" s="1"/>
  <c r="AG47" i="35" s="1"/>
  <c r="AD147" i="35"/>
  <c r="AF147" i="35" s="1"/>
  <c r="AG147" i="35" s="1"/>
  <c r="G447" i="35"/>
  <c r="G676" i="35"/>
  <c r="H700" i="35"/>
  <c r="G724" i="35"/>
  <c r="AD726" i="35"/>
  <c r="AF726" i="35" s="1"/>
  <c r="AG726" i="35" s="1"/>
  <c r="AD702" i="35"/>
  <c r="AF702" i="35" s="1"/>
  <c r="AG702" i="35" s="1"/>
  <c r="AD688" i="35"/>
  <c r="AF688" i="35" s="1"/>
  <c r="AG688" i="35" s="1"/>
  <c r="AD670" i="35"/>
  <c r="AF670" i="35" s="1"/>
  <c r="AG670" i="35" s="1"/>
  <c r="AD667" i="35"/>
  <c r="AF667" i="35" s="1"/>
  <c r="AG667" i="35" s="1"/>
  <c r="G665" i="35"/>
  <c r="H676" i="35"/>
  <c r="I700" i="35"/>
  <c r="H724" i="35"/>
  <c r="G710" i="35"/>
  <c r="H133" i="35"/>
  <c r="G133" i="35"/>
  <c r="G125" i="35"/>
  <c r="I125" i="35"/>
  <c r="AD81" i="35"/>
  <c r="AF81" i="35" s="1"/>
  <c r="AG81" i="35" s="1"/>
  <c r="G43" i="35"/>
  <c r="I43" i="35"/>
  <c r="H43" i="35"/>
  <c r="AD43" i="35"/>
  <c r="AF43" i="35" s="1"/>
  <c r="AG43" i="35" s="1"/>
  <c r="I123" i="35"/>
  <c r="G123" i="35"/>
  <c r="H123" i="35"/>
  <c r="AD123" i="35"/>
  <c r="AF123" i="35" s="1"/>
  <c r="AG123" i="35" s="1"/>
  <c r="I135" i="35"/>
  <c r="AD135" i="35"/>
  <c r="AF135" i="35" s="1"/>
  <c r="AG135" i="35" s="1"/>
  <c r="G135" i="35"/>
  <c r="H135" i="35"/>
  <c r="H473" i="35"/>
  <c r="G473" i="35"/>
  <c r="G522" i="35"/>
  <c r="H522" i="35"/>
  <c r="I404" i="35"/>
  <c r="G404" i="35"/>
  <c r="I624" i="35"/>
  <c r="H624" i="35"/>
  <c r="I616" i="35"/>
  <c r="H607" i="35"/>
  <c r="G607" i="35"/>
  <c r="I580" i="35"/>
  <c r="H580" i="35"/>
  <c r="G538" i="35"/>
  <c r="H538" i="35"/>
  <c r="G418" i="35"/>
  <c r="H418" i="35"/>
  <c r="H421" i="35"/>
  <c r="G421" i="35"/>
  <c r="H423" i="35"/>
  <c r="G423" i="35"/>
  <c r="I155" i="35"/>
  <c r="H155" i="35"/>
  <c r="AD155" i="35"/>
  <c r="AF155" i="35" s="1"/>
  <c r="AG155" i="35" s="1"/>
  <c r="H145" i="35"/>
  <c r="I145" i="35"/>
  <c r="I184" i="35"/>
  <c r="G184" i="35"/>
  <c r="H264" i="35"/>
  <c r="G264" i="35"/>
  <c r="G260" i="35"/>
  <c r="H260" i="35"/>
  <c r="I260" i="35"/>
  <c r="I228" i="35"/>
  <c r="G228" i="35"/>
  <c r="H258" i="35"/>
  <c r="G258" i="35"/>
  <c r="I258" i="35"/>
  <c r="I294" i="35"/>
  <c r="H294" i="35"/>
  <c r="H292" i="35"/>
  <c r="I292" i="35"/>
  <c r="I392" i="35"/>
  <c r="G392" i="35"/>
  <c r="H392" i="35"/>
  <c r="G360" i="35"/>
  <c r="H360" i="35"/>
  <c r="H324" i="35"/>
  <c r="G324" i="35"/>
  <c r="G334" i="35"/>
  <c r="AD334" i="35"/>
  <c r="AF334" i="35" s="1"/>
  <c r="AG334" i="35" s="1"/>
  <c r="I334" i="35"/>
  <c r="I310" i="35"/>
  <c r="AD418" i="35"/>
  <c r="AF418" i="35" s="1"/>
  <c r="AG418" i="35" s="1"/>
  <c r="G595" i="35"/>
  <c r="AD611" i="35"/>
  <c r="AF611" i="35" s="1"/>
  <c r="AG611" i="35" s="1"/>
  <c r="AD599" i="35"/>
  <c r="AF599" i="35" s="1"/>
  <c r="AG599" i="35" s="1"/>
  <c r="AD593" i="35"/>
  <c r="AF593" i="35" s="1"/>
  <c r="AG593" i="35" s="1"/>
  <c r="AD582" i="35"/>
  <c r="AF582" i="35" s="1"/>
  <c r="AG582" i="35" s="1"/>
  <c r="AD553" i="35"/>
  <c r="AF553" i="35" s="1"/>
  <c r="AG553" i="35" s="1"/>
  <c r="AD330" i="35"/>
  <c r="AF330" i="35" s="1"/>
  <c r="AG330" i="35" s="1"/>
  <c r="G659" i="35"/>
  <c r="H688" i="35"/>
  <c r="AD258" i="35"/>
  <c r="AF258" i="35" s="1"/>
  <c r="AG258" i="35" s="1"/>
  <c r="AD236" i="35"/>
  <c r="AF236" i="35" s="1"/>
  <c r="AG236" i="35" s="1"/>
  <c r="AD238" i="35"/>
  <c r="AF238" i="35" s="1"/>
  <c r="AG238" i="35" s="1"/>
  <c r="AD125" i="35"/>
  <c r="AF125" i="35" s="1"/>
  <c r="AG125" i="35" s="1"/>
  <c r="I133" i="35"/>
  <c r="AD224" i="35"/>
  <c r="AF224" i="35" s="1"/>
  <c r="AG224" i="35" s="1"/>
  <c r="AD69" i="35"/>
  <c r="AF69" i="35" s="1"/>
  <c r="AG69" i="35" s="1"/>
  <c r="I322" i="35"/>
  <c r="AD310" i="35"/>
  <c r="AF310" i="35" s="1"/>
  <c r="AG310" i="35" s="1"/>
  <c r="AD328" i="35"/>
  <c r="AF328" i="35" s="1"/>
  <c r="AG328" i="35" s="1"/>
  <c r="I400" i="35"/>
  <c r="H443" i="35"/>
  <c r="G578" i="35"/>
  <c r="AD133" i="35"/>
  <c r="AF133" i="35" s="1"/>
  <c r="AG133" i="35" s="1"/>
  <c r="AD232" i="35"/>
  <c r="AF232" i="35" s="1"/>
  <c r="AG232" i="35" s="1"/>
  <c r="H328" i="35"/>
  <c r="H125" i="35"/>
  <c r="I107" i="35"/>
  <c r="AD178" i="35"/>
  <c r="AF178" i="35" s="1"/>
  <c r="AG178" i="35" s="1"/>
  <c r="AD336" i="35"/>
  <c r="AF336" i="35" s="1"/>
  <c r="AG336" i="35" s="1"/>
  <c r="H447" i="35"/>
  <c r="G667" i="35"/>
  <c r="G708" i="35"/>
  <c r="G101" i="35"/>
  <c r="G113" i="35"/>
  <c r="H200" i="35"/>
  <c r="H220" i="35"/>
  <c r="G224" i="35"/>
  <c r="H230" i="35"/>
  <c r="G17" i="35"/>
  <c r="AD412" i="35"/>
  <c r="AF412" i="35" s="1"/>
  <c r="AG412" i="35" s="1"/>
  <c r="G386" i="35"/>
  <c r="I492" i="35"/>
  <c r="AD492" i="35"/>
  <c r="AF492" i="35" s="1"/>
  <c r="AG492" i="35" s="1"/>
  <c r="G591" i="35"/>
  <c r="H578" i="35"/>
  <c r="G649" i="35"/>
  <c r="H651" i="35"/>
  <c r="H667" i="35"/>
  <c r="AD728" i="35"/>
  <c r="AF728" i="35" s="1"/>
  <c r="AG728" i="35" s="1"/>
  <c r="L107" i="35"/>
  <c r="H103" i="35"/>
  <c r="H218" i="35"/>
  <c r="H15" i="35"/>
  <c r="AD160" i="35"/>
  <c r="AF160" i="35" s="1"/>
  <c r="AG160" i="35" s="1"/>
  <c r="AD218" i="35"/>
  <c r="AF218" i="35" s="1"/>
  <c r="AG218" i="35" s="1"/>
  <c r="AD220" i="35"/>
  <c r="AF220" i="35" s="1"/>
  <c r="AG220" i="35" s="1"/>
  <c r="H224" i="35"/>
  <c r="AD216" i="35"/>
  <c r="AF216" i="35" s="1"/>
  <c r="AG216" i="35" s="1"/>
  <c r="H113" i="35"/>
  <c r="H107" i="35"/>
  <c r="AD87" i="35"/>
  <c r="AF87" i="35" s="1"/>
  <c r="AG87" i="35" s="1"/>
  <c r="H101" i="35"/>
  <c r="AD37" i="35"/>
  <c r="AF37" i="35" s="1"/>
  <c r="AG37" i="35" s="1"/>
  <c r="I402" i="35"/>
  <c r="H649" i="35"/>
  <c r="I220" i="35"/>
  <c r="G216" i="35"/>
  <c r="I230" i="35"/>
  <c r="H160" i="35"/>
  <c r="G103" i="35"/>
  <c r="AD149" i="35"/>
  <c r="AF149" i="35" s="1"/>
  <c r="AG149" i="35" s="1"/>
  <c r="AD228" i="35"/>
  <c r="AF228" i="35" s="1"/>
  <c r="AG228" i="35" s="1"/>
  <c r="G310" i="35"/>
  <c r="I328" i="35"/>
  <c r="H404" i="35"/>
  <c r="I421" i="35"/>
  <c r="AD425" i="35"/>
  <c r="AF425" i="35" s="1"/>
  <c r="AG425" i="35" s="1"/>
  <c r="G443" i="35"/>
  <c r="H468" i="35"/>
  <c r="V603" i="35"/>
  <c r="AD558" i="35"/>
  <c r="AF558" i="35" s="1"/>
  <c r="AG558" i="35" s="1"/>
  <c r="G702" i="35"/>
  <c r="H712" i="35"/>
  <c r="H158" i="35"/>
  <c r="I158" i="35"/>
  <c r="H250" i="35"/>
  <c r="I250" i="35"/>
  <c r="G250" i="35"/>
  <c r="AD394" i="35"/>
  <c r="AF394" i="35" s="1"/>
  <c r="AG394" i="35" s="1"/>
  <c r="G394" i="35"/>
  <c r="I314" i="35"/>
  <c r="H314" i="35"/>
  <c r="AD314" i="35"/>
  <c r="AF314" i="35" s="1"/>
  <c r="AG314" i="35" s="1"/>
  <c r="I408" i="35"/>
  <c r="G408" i="35"/>
  <c r="H408" i="35"/>
  <c r="G398" i="35"/>
  <c r="H398" i="35"/>
  <c r="AD427" i="35"/>
  <c r="AF427" i="35" s="1"/>
  <c r="AG427" i="35" s="1"/>
  <c r="G427" i="35"/>
  <c r="H465" i="35"/>
  <c r="G465" i="35"/>
  <c r="I465" i="35"/>
  <c r="I129" i="35"/>
  <c r="H129" i="35"/>
  <c r="AD129" i="35"/>
  <c r="AF129" i="35" s="1"/>
  <c r="AG129" i="35" s="1"/>
  <c r="I168" i="35"/>
  <c r="G168" i="35"/>
  <c r="G174" i="35"/>
  <c r="AD174" i="35"/>
  <c r="AF174" i="35" s="1"/>
  <c r="AG174" i="35" s="1"/>
  <c r="G166" i="35"/>
  <c r="I166" i="35"/>
  <c r="H166" i="35"/>
  <c r="H254" i="35"/>
  <c r="G254" i="35"/>
  <c r="AD324" i="35"/>
  <c r="AF324" i="35" s="1"/>
  <c r="AG324" i="35" s="1"/>
  <c r="G69" i="35"/>
  <c r="I147" i="35"/>
  <c r="G147" i="35"/>
  <c r="G145" i="35"/>
  <c r="AD145" i="35"/>
  <c r="AF145" i="35" s="1"/>
  <c r="AG145" i="35" s="1"/>
  <c r="H467" i="35"/>
  <c r="I467" i="35"/>
  <c r="G467" i="35"/>
  <c r="AD500" i="35"/>
  <c r="AF500" i="35" s="1"/>
  <c r="AG500" i="35" s="1"/>
  <c r="I500" i="35"/>
  <c r="I394" i="35"/>
  <c r="H390" i="35"/>
  <c r="G155" i="35"/>
  <c r="G137" i="35"/>
  <c r="H137" i="35"/>
  <c r="H500" i="35"/>
  <c r="AD481" i="35"/>
  <c r="AF481" i="35" s="1"/>
  <c r="AG481" i="35" s="1"/>
  <c r="AD465" i="35"/>
  <c r="AF465" i="35" s="1"/>
  <c r="AG465" i="35" s="1"/>
  <c r="AD467" i="35"/>
  <c r="AF467" i="35" s="1"/>
  <c r="AG467" i="35" s="1"/>
  <c r="G599" i="35"/>
  <c r="I618" i="35"/>
  <c r="AD620" i="35"/>
  <c r="AF620" i="35" s="1"/>
  <c r="AG620" i="35" s="1"/>
  <c r="AD601" i="35"/>
  <c r="AF601" i="35" s="1"/>
  <c r="AG601" i="35" s="1"/>
  <c r="AD584" i="35"/>
  <c r="AF584" i="35" s="1"/>
  <c r="AG584" i="35" s="1"/>
  <c r="AD555" i="35"/>
  <c r="AF555" i="35" s="1"/>
  <c r="AG555" i="35" s="1"/>
  <c r="G670" i="35"/>
  <c r="I702" i="35"/>
  <c r="I712" i="35"/>
  <c r="H726" i="35"/>
  <c r="I688" i="35"/>
  <c r="AD714" i="35"/>
  <c r="AF714" i="35" s="1"/>
  <c r="AG714" i="35" s="1"/>
  <c r="AD704" i="35"/>
  <c r="AF704" i="35" s="1"/>
  <c r="AG704" i="35" s="1"/>
  <c r="AD693" i="35"/>
  <c r="AF693" i="35" s="1"/>
  <c r="AG693" i="35" s="1"/>
  <c r="H322" i="35"/>
  <c r="AD322" i="35"/>
  <c r="AF322" i="35" s="1"/>
  <c r="AG322" i="35" s="1"/>
  <c r="I473" i="35"/>
  <c r="AD482" i="35"/>
  <c r="AF482" i="35" s="1"/>
  <c r="AG482" i="35" s="1"/>
  <c r="AD473" i="35"/>
  <c r="AF473" i="35" s="1"/>
  <c r="AG473" i="35" s="1"/>
  <c r="AD468" i="35"/>
  <c r="AF468" i="35" s="1"/>
  <c r="AG468" i="35" s="1"/>
  <c r="H599" i="35"/>
  <c r="G601" i="35"/>
  <c r="I667" i="35"/>
  <c r="H670" i="35"/>
  <c r="G696" i="35"/>
  <c r="I726" i="35"/>
  <c r="G728" i="35"/>
  <c r="H659" i="35"/>
  <c r="L688" i="35"/>
  <c r="V708" i="35"/>
  <c r="AD722" i="35"/>
  <c r="AF722" i="35" s="1"/>
  <c r="AG722" i="35" s="1"/>
  <c r="AD698" i="35"/>
  <c r="AF698" i="35" s="1"/>
  <c r="AG698" i="35" s="1"/>
  <c r="AD674" i="35"/>
  <c r="AF674" i="35" s="1"/>
  <c r="AG674" i="35" s="1"/>
  <c r="AD663" i="35"/>
  <c r="AF663" i="35" s="1"/>
  <c r="AG663" i="35" s="1"/>
  <c r="AD634" i="35"/>
  <c r="AF634" i="35" s="1"/>
  <c r="AG634" i="35" s="1"/>
  <c r="I358" i="35"/>
  <c r="AD402" i="35"/>
  <c r="AF402" i="35" s="1"/>
  <c r="AG402" i="35" s="1"/>
  <c r="G468" i="35"/>
  <c r="AD486" i="35"/>
  <c r="AF486" i="35" s="1"/>
  <c r="AG486" i="35" s="1"/>
  <c r="I601" i="35"/>
  <c r="AA618" i="35"/>
  <c r="AD609" i="35"/>
  <c r="AF609" i="35" s="1"/>
  <c r="AG609" i="35" s="1"/>
  <c r="AD607" i="35"/>
  <c r="AF607" i="35" s="1"/>
  <c r="AG607" i="35" s="1"/>
  <c r="AD597" i="35"/>
  <c r="AF597" i="35" s="1"/>
  <c r="AG597" i="35" s="1"/>
  <c r="AD591" i="35"/>
  <c r="AF591" i="35" s="1"/>
  <c r="AG591" i="35" s="1"/>
  <c r="AD588" i="35"/>
  <c r="AF588" i="35" s="1"/>
  <c r="AG588" i="35" s="1"/>
  <c r="AD580" i="35"/>
  <c r="AF580" i="35" s="1"/>
  <c r="AG580" i="35" s="1"/>
  <c r="AD562" i="35"/>
  <c r="AF562" i="35" s="1"/>
  <c r="AG562" i="35" s="1"/>
  <c r="I670" i="35"/>
  <c r="G704" i="35"/>
  <c r="V704" i="35"/>
  <c r="AA704" i="35"/>
  <c r="I714" i="35"/>
  <c r="W726" i="35"/>
  <c r="H728" i="35"/>
  <c r="G688" i="35"/>
  <c r="AA688" i="35"/>
  <c r="AD724" i="35"/>
  <c r="AF724" i="35" s="1"/>
  <c r="AG724" i="35" s="1"/>
  <c r="AD710" i="35"/>
  <c r="AF710" i="35" s="1"/>
  <c r="AG710" i="35" s="1"/>
  <c r="AD700" i="35"/>
  <c r="AF700" i="35" s="1"/>
  <c r="AG700" i="35" s="1"/>
  <c r="I601" i="33"/>
  <c r="G621" i="33"/>
  <c r="H657" i="33"/>
  <c r="I612" i="33"/>
  <c r="H615" i="33"/>
  <c r="G761" i="33"/>
  <c r="I886" i="33"/>
  <c r="H896" i="33"/>
  <c r="L205" i="33"/>
  <c r="H612" i="33"/>
  <c r="I621" i="33"/>
  <c r="G689" i="33"/>
  <c r="G878" i="33"/>
  <c r="W819" i="33"/>
  <c r="H655" i="33"/>
  <c r="I940" i="33"/>
  <c r="G101" i="33"/>
  <c r="G183" i="33"/>
  <c r="G181" i="33"/>
  <c r="I181" i="33"/>
  <c r="I142" i="33"/>
  <c r="I449" i="33"/>
  <c r="I483" i="33"/>
  <c r="L185" i="33"/>
  <c r="I542" i="33"/>
  <c r="H605" i="33"/>
  <c r="H627" i="33"/>
  <c r="H619" i="33"/>
  <c r="I615" i="33"/>
  <c r="I627" i="33"/>
  <c r="H667" i="33"/>
  <c r="Y707" i="33"/>
  <c r="Y804" i="33"/>
  <c r="H132" i="33"/>
  <c r="I132" i="33"/>
  <c r="AE132" i="33"/>
  <c r="AH132" i="33" s="1"/>
  <c r="AI132" i="33" s="1"/>
  <c r="G130" i="33"/>
  <c r="H130" i="33"/>
  <c r="L130" i="33"/>
  <c r="I124" i="33"/>
  <c r="G124" i="33"/>
  <c r="G180" i="33"/>
  <c r="I180" i="33"/>
  <c r="G178" i="33"/>
  <c r="H178" i="33"/>
  <c r="G176" i="33"/>
  <c r="I176" i="33"/>
  <c r="H176" i="33"/>
  <c r="I174" i="33"/>
  <c r="H174" i="33"/>
  <c r="G174" i="33"/>
  <c r="G172" i="33"/>
  <c r="I172" i="33"/>
  <c r="H172" i="33"/>
  <c r="H170" i="33"/>
  <c r="G170" i="33"/>
  <c r="I170" i="33"/>
  <c r="G168" i="33"/>
  <c r="H166" i="33"/>
  <c r="G166" i="33"/>
  <c r="L166" i="33"/>
  <c r="I164" i="33"/>
  <c r="G164" i="33"/>
  <c r="H164" i="33"/>
  <c r="I162" i="33"/>
  <c r="G162" i="33"/>
  <c r="H162" i="33"/>
  <c r="I158" i="33"/>
  <c r="G156" i="33"/>
  <c r="H156" i="33"/>
  <c r="I156" i="33"/>
  <c r="I327" i="33"/>
  <c r="G327" i="33"/>
  <c r="H327" i="33"/>
  <c r="L327" i="33"/>
  <c r="G325" i="33"/>
  <c r="H325" i="33"/>
  <c r="I325" i="33"/>
  <c r="G323" i="33"/>
  <c r="H321" i="33"/>
  <c r="I321" i="33"/>
  <c r="L321" i="33"/>
  <c r="I319" i="33"/>
  <c r="H319" i="33"/>
  <c r="I317" i="33"/>
  <c r="G317" i="33"/>
  <c r="H315" i="33"/>
  <c r="G315" i="33"/>
  <c r="H313" i="33"/>
  <c r="I311" i="33"/>
  <c r="G311" i="33"/>
  <c r="I309" i="33"/>
  <c r="H309" i="33"/>
  <c r="G307" i="33"/>
  <c r="I307" i="33"/>
  <c r="H307" i="33"/>
  <c r="G305" i="33"/>
  <c r="I305" i="33"/>
  <c r="G303" i="33"/>
  <c r="I303" i="33"/>
  <c r="H301" i="33"/>
  <c r="I301" i="33"/>
  <c r="G301" i="33"/>
  <c r="H291" i="33"/>
  <c r="G291" i="33"/>
  <c r="I291" i="33"/>
  <c r="I289" i="33"/>
  <c r="H289" i="33"/>
  <c r="I287" i="33"/>
  <c r="H287" i="33"/>
  <c r="G285" i="33"/>
  <c r="I285" i="33"/>
  <c r="H285" i="33"/>
  <c r="L285" i="33"/>
  <c r="H283" i="33"/>
  <c r="G283" i="33"/>
  <c r="I283" i="33"/>
  <c r="L283" i="33"/>
  <c r="I259" i="33"/>
  <c r="G259" i="33"/>
  <c r="H259" i="33"/>
  <c r="G257" i="33"/>
  <c r="L257" i="33"/>
  <c r="H257" i="33"/>
  <c r="I246" i="33"/>
  <c r="H246" i="33"/>
  <c r="G246" i="33"/>
  <c r="G244" i="33"/>
  <c r="H244" i="33"/>
  <c r="I244" i="33"/>
  <c r="G242" i="33"/>
  <c r="I242" i="33"/>
  <c r="I240" i="33"/>
  <c r="H240" i="33"/>
  <c r="G240" i="33"/>
  <c r="G238" i="33"/>
  <c r="H238" i="33"/>
  <c r="G23" i="33"/>
  <c r="G665" i="33"/>
  <c r="H671" i="33"/>
  <c r="H837" i="33"/>
  <c r="I17" i="33"/>
  <c r="G251" i="33"/>
  <c r="H251" i="33"/>
  <c r="I503" i="33"/>
  <c r="G674" i="33"/>
  <c r="G854" i="33"/>
  <c r="I629" i="33"/>
  <c r="I674" i="33"/>
  <c r="G653" i="33"/>
  <c r="G870" i="33"/>
  <c r="G886" i="33"/>
  <c r="G515" i="33"/>
  <c r="H601" i="33"/>
  <c r="G629" i="33"/>
  <c r="G657" i="33"/>
  <c r="G671" i="33"/>
  <c r="H661" i="33"/>
  <c r="G763" i="33"/>
  <c r="H838" i="33"/>
  <c r="I856" i="33"/>
  <c r="L902" i="33"/>
  <c r="L940" i="33"/>
  <c r="G119" i="33"/>
  <c r="I27" i="33"/>
  <c r="G136" i="33"/>
  <c r="H136" i="33"/>
  <c r="H140" i="33"/>
  <c r="H582" i="33"/>
  <c r="I516" i="33"/>
  <c r="I623" i="33"/>
  <c r="H653" i="33"/>
  <c r="I665" i="33"/>
  <c r="G661" i="33"/>
  <c r="I838" i="33"/>
  <c r="AB854" i="33"/>
  <c r="I910" i="33"/>
  <c r="H516" i="33"/>
  <c r="H566" i="33"/>
  <c r="G639" i="33"/>
  <c r="I882" i="33"/>
  <c r="G896" i="33"/>
  <c r="L898" i="33"/>
  <c r="G902" i="33"/>
  <c r="G936" i="33"/>
  <c r="G570" i="33"/>
  <c r="G607" i="33"/>
  <c r="G651" i="33"/>
  <c r="I655" i="33"/>
  <c r="AB851" i="33"/>
  <c r="G858" i="33"/>
  <c r="G864" i="33"/>
  <c r="I872" i="33"/>
  <c r="G880" i="33"/>
  <c r="I900" i="33"/>
  <c r="I934" i="33"/>
  <c r="I944" i="33"/>
  <c r="H311" i="33"/>
  <c r="I313" i="33"/>
  <c r="G309" i="33"/>
  <c r="H242" i="33"/>
  <c r="I238" i="33"/>
  <c r="X134" i="33"/>
  <c r="W117" i="33"/>
  <c r="G572" i="33"/>
  <c r="I570" i="33"/>
  <c r="H607" i="33"/>
  <c r="G672" i="33"/>
  <c r="G703" i="33"/>
  <c r="G835" i="33"/>
  <c r="L838" i="33"/>
  <c r="G840" i="33"/>
  <c r="H842" i="33"/>
  <c r="I858" i="33"/>
  <c r="I864" i="33"/>
  <c r="AB872" i="33"/>
  <c r="H870" i="33"/>
  <c r="I880" i="33"/>
  <c r="I884" i="33"/>
  <c r="I888" i="33"/>
  <c r="H894" i="33"/>
  <c r="H908" i="33"/>
  <c r="I932" i="33"/>
  <c r="G503" i="33"/>
  <c r="I572" i="33"/>
  <c r="G566" i="33"/>
  <c r="H651" i="33"/>
  <c r="I667" i="33"/>
  <c r="I672" i="33"/>
  <c r="G669" i="33"/>
  <c r="H686" i="33"/>
  <c r="G686" i="33"/>
  <c r="I840" i="33"/>
  <c r="I848" i="33"/>
  <c r="H851" i="33"/>
  <c r="H853" i="33"/>
  <c r="I876" i="33"/>
  <c r="AB880" i="33"/>
  <c r="Y572" i="33"/>
  <c r="Z570" i="33"/>
  <c r="Z876" i="33"/>
  <c r="W237" i="33"/>
  <c r="X233" i="33"/>
  <c r="X132" i="33"/>
  <c r="G314" i="35"/>
  <c r="I326" i="35"/>
  <c r="G358" i="35"/>
  <c r="G406" i="35"/>
  <c r="Y582" i="33"/>
  <c r="G542" i="33"/>
  <c r="I427" i="35"/>
  <c r="I398" i="35"/>
  <c r="H427" i="35"/>
  <c r="AD398" i="35"/>
  <c r="AF398" i="35" s="1"/>
  <c r="AG398" i="35" s="1"/>
  <c r="AD420" i="35"/>
  <c r="AF420" i="35" s="1"/>
  <c r="AG420" i="35" s="1"/>
  <c r="H608" i="33"/>
  <c r="G608" i="33"/>
  <c r="G482" i="35"/>
  <c r="H639" i="33"/>
  <c r="H502" i="35"/>
  <c r="I502" i="35"/>
  <c r="G582" i="33"/>
  <c r="I386" i="35"/>
  <c r="AD408" i="35"/>
  <c r="AF408" i="35" s="1"/>
  <c r="AG408" i="35" s="1"/>
  <c r="AD404" i="35"/>
  <c r="AF404" i="35" s="1"/>
  <c r="AG404" i="35" s="1"/>
  <c r="H425" i="35"/>
  <c r="AD400" i="35"/>
  <c r="AF400" i="35" s="1"/>
  <c r="AG400" i="35" s="1"/>
  <c r="AD423" i="35"/>
  <c r="AF423" i="35" s="1"/>
  <c r="AG423" i="35" s="1"/>
  <c r="I599" i="33"/>
  <c r="I481" i="35"/>
  <c r="G481" i="35"/>
  <c r="G484" i="35"/>
  <c r="AD484" i="35"/>
  <c r="AF484" i="35" s="1"/>
  <c r="AG484" i="35" s="1"/>
  <c r="AD508" i="35"/>
  <c r="AF508" i="35" s="1"/>
  <c r="AG508" i="35" s="1"/>
  <c r="W95" i="33"/>
  <c r="AD326" i="35"/>
  <c r="AF326" i="35" s="1"/>
  <c r="AG326" i="35" s="1"/>
  <c r="G425" i="35"/>
  <c r="I425" i="35"/>
  <c r="H682" i="33"/>
  <c r="H715" i="33"/>
  <c r="AB802" i="33"/>
  <c r="W576" i="35"/>
  <c r="H597" i="35"/>
  <c r="I599" i="35"/>
  <c r="H601" i="35"/>
  <c r="W601" i="35"/>
  <c r="G603" i="35"/>
  <c r="H620" i="35"/>
  <c r="AD618" i="35"/>
  <c r="AF618" i="35" s="1"/>
  <c r="AG618" i="35" s="1"/>
  <c r="AD614" i="35"/>
  <c r="AF614" i="35" s="1"/>
  <c r="AG614" i="35" s="1"/>
  <c r="AD595" i="35"/>
  <c r="AF595" i="35" s="1"/>
  <c r="AG595" i="35" s="1"/>
  <c r="AD578" i="35"/>
  <c r="AF578" i="35" s="1"/>
  <c r="AG578" i="35" s="1"/>
  <c r="AD545" i="35"/>
  <c r="AF545" i="35" s="1"/>
  <c r="AG545" i="35" s="1"/>
  <c r="AB835" i="33"/>
  <c r="G837" i="33"/>
  <c r="G838" i="33"/>
  <c r="AB840" i="33"/>
  <c r="I842" i="33"/>
  <c r="AB858" i="33"/>
  <c r="L876" i="33"/>
  <c r="G882" i="33"/>
  <c r="AB886" i="33"/>
  <c r="H898" i="33"/>
  <c r="G900" i="33"/>
  <c r="H902" i="33"/>
  <c r="L908" i="33"/>
  <c r="G626" i="35"/>
  <c r="AD730" i="35"/>
  <c r="AF730" i="35" s="1"/>
  <c r="AG730" i="35" s="1"/>
  <c r="AD676" i="35"/>
  <c r="AF676" i="35" s="1"/>
  <c r="AG676" i="35" s="1"/>
  <c r="AD672" i="35"/>
  <c r="AF672" i="35" s="1"/>
  <c r="AG672" i="35" s="1"/>
  <c r="AD630" i="35"/>
  <c r="AF630" i="35" s="1"/>
  <c r="AG630" i="35" s="1"/>
  <c r="H936" i="33"/>
  <c r="G948" i="33"/>
  <c r="AB876" i="33"/>
  <c r="I898" i="33"/>
  <c r="I902" i="33"/>
  <c r="I626" i="35"/>
  <c r="AD626" i="35"/>
  <c r="AF626" i="35" s="1"/>
  <c r="AG626" i="35" s="1"/>
  <c r="G934" i="33"/>
  <c r="G944" i="33"/>
  <c r="G946" i="33"/>
  <c r="I948" i="33"/>
  <c r="G753" i="33"/>
  <c r="I576" i="35"/>
  <c r="L597" i="35"/>
  <c r="V616" i="35"/>
  <c r="L620" i="35"/>
  <c r="AD603" i="35"/>
  <c r="AF603" i="35" s="1"/>
  <c r="AG603" i="35" s="1"/>
  <c r="AD586" i="35"/>
  <c r="AF586" i="35" s="1"/>
  <c r="AG586" i="35" s="1"/>
  <c r="AD547" i="35"/>
  <c r="AF547" i="35" s="1"/>
  <c r="AG547" i="35" s="1"/>
  <c r="AD540" i="35"/>
  <c r="AF540" i="35" s="1"/>
  <c r="AG540" i="35" s="1"/>
  <c r="H835" i="33"/>
  <c r="I849" i="33"/>
  <c r="I851" i="33"/>
  <c r="G856" i="33"/>
  <c r="I868" i="33"/>
  <c r="G872" i="33"/>
  <c r="G876" i="33"/>
  <c r="G884" i="33"/>
  <c r="H888" i="33"/>
  <c r="AB902" i="33"/>
  <c r="G908" i="33"/>
  <c r="L626" i="35"/>
  <c r="W710" i="35"/>
  <c r="AD708" i="35"/>
  <c r="AF708" i="35" s="1"/>
  <c r="AG708" i="35" s="1"/>
  <c r="V601" i="35"/>
  <c r="L618" i="35"/>
  <c r="L942" i="33"/>
  <c r="H552" i="33"/>
  <c r="G552" i="33"/>
  <c r="I552" i="33"/>
  <c r="I412" i="35"/>
  <c r="G412" i="35"/>
  <c r="H560" i="33"/>
  <c r="I560" i="33"/>
  <c r="X560" i="33"/>
  <c r="G362" i="35"/>
  <c r="H362" i="35"/>
  <c r="AD496" i="35"/>
  <c r="AF496" i="35" s="1"/>
  <c r="AG496" i="35" s="1"/>
  <c r="I330" i="35"/>
  <c r="H330" i="35"/>
  <c r="G330" i="35"/>
  <c r="I473" i="33"/>
  <c r="G473" i="33"/>
  <c r="H410" i="35"/>
  <c r="I410" i="35"/>
  <c r="AD410" i="35"/>
  <c r="AF410" i="35" s="1"/>
  <c r="AG410" i="35" s="1"/>
  <c r="G410" i="35"/>
  <c r="H477" i="35"/>
  <c r="AD477" i="35"/>
  <c r="AF477" i="35" s="1"/>
  <c r="AG477" i="35" s="1"/>
  <c r="G477" i="35"/>
  <c r="H496" i="35"/>
  <c r="G496" i="35"/>
  <c r="H475" i="35"/>
  <c r="G475" i="35"/>
  <c r="I475" i="35"/>
  <c r="AD475" i="35"/>
  <c r="AF475" i="35" s="1"/>
  <c r="AG475" i="35" s="1"/>
  <c r="G643" i="33"/>
  <c r="I643" i="33"/>
  <c r="H637" i="33"/>
  <c r="I637" i="33"/>
  <c r="G637" i="33"/>
  <c r="G506" i="35"/>
  <c r="I506" i="35"/>
  <c r="G326" i="35"/>
  <c r="I406" i="35"/>
  <c r="AD406" i="35"/>
  <c r="AF406" i="35" s="1"/>
  <c r="AG406" i="35" s="1"/>
  <c r="I568" i="33"/>
  <c r="G568" i="33"/>
  <c r="G603" i="33"/>
  <c r="H603" i="33"/>
  <c r="H610" i="33"/>
  <c r="G610" i="33"/>
  <c r="H614" i="33"/>
  <c r="I614" i="33"/>
  <c r="H617" i="33"/>
  <c r="G617" i="33"/>
  <c r="H625" i="33"/>
  <c r="G625" i="33"/>
  <c r="G445" i="35"/>
  <c r="H445" i="35"/>
  <c r="I486" i="35"/>
  <c r="AD479" i="35"/>
  <c r="AF479" i="35" s="1"/>
  <c r="AG479" i="35" s="1"/>
  <c r="I479" i="35"/>
  <c r="AD498" i="35"/>
  <c r="AF498" i="35" s="1"/>
  <c r="AG498" i="35" s="1"/>
  <c r="I498" i="35"/>
  <c r="H498" i="35"/>
  <c r="AD504" i="35"/>
  <c r="AF504" i="35" s="1"/>
  <c r="AG504" i="35" s="1"/>
  <c r="G504" i="35"/>
  <c r="I504" i="35"/>
  <c r="I494" i="35"/>
  <c r="AD494" i="35"/>
  <c r="AF494" i="35" s="1"/>
  <c r="AG494" i="35" s="1"/>
  <c r="H599" i="33"/>
  <c r="G623" i="33"/>
  <c r="G649" i="33"/>
  <c r="H504" i="35"/>
  <c r="H479" i="35"/>
  <c r="H463" i="35"/>
  <c r="I463" i="35"/>
  <c r="AD463" i="35"/>
  <c r="AF463" i="35" s="1"/>
  <c r="AG463" i="35" s="1"/>
  <c r="AD502" i="35"/>
  <c r="AF502" i="35" s="1"/>
  <c r="AG502" i="35" s="1"/>
  <c r="H494" i="35"/>
  <c r="H680" i="33"/>
  <c r="G680" i="33"/>
  <c r="I680" i="33"/>
  <c r="W371" i="33"/>
  <c r="W467" i="33"/>
  <c r="H400" i="35"/>
  <c r="G402" i="35"/>
  <c r="H420" i="35"/>
  <c r="I423" i="35"/>
  <c r="G420" i="35"/>
  <c r="I603" i="33"/>
  <c r="I610" i="33"/>
  <c r="I617" i="33"/>
  <c r="I625" i="33"/>
  <c r="I649" i="33"/>
  <c r="G479" i="35"/>
  <c r="G486" i="35"/>
  <c r="H506" i="35"/>
  <c r="H486" i="35"/>
  <c r="AD506" i="35"/>
  <c r="AF506" i="35" s="1"/>
  <c r="AG506" i="35" s="1"/>
  <c r="H659" i="33"/>
  <c r="G659" i="33"/>
  <c r="I659" i="33"/>
  <c r="H663" i="33"/>
  <c r="I663" i="33"/>
  <c r="X669" i="33"/>
  <c r="G802" i="33"/>
  <c r="L603" i="35"/>
  <c r="H622" i="35"/>
  <c r="H844" i="33"/>
  <c r="G844" i="33"/>
  <c r="L864" i="33"/>
  <c r="H866" i="33"/>
  <c r="G866" i="33"/>
  <c r="L866" i="33"/>
  <c r="W674" i="33"/>
  <c r="H492" i="35"/>
  <c r="I721" i="33"/>
  <c r="I802" i="33"/>
  <c r="G576" i="35"/>
  <c r="I578" i="35"/>
  <c r="H595" i="35"/>
  <c r="W595" i="35"/>
  <c r="G597" i="35"/>
  <c r="AA597" i="35"/>
  <c r="H603" i="35"/>
  <c r="W603" i="35"/>
  <c r="G616" i="35"/>
  <c r="W616" i="35"/>
  <c r="V622" i="35"/>
  <c r="AA622" i="35"/>
  <c r="AD624" i="35"/>
  <c r="AF624" i="35" s="1"/>
  <c r="AG624" i="35" s="1"/>
  <c r="AA620" i="35"/>
  <c r="G620" i="35"/>
  <c r="AD616" i="35"/>
  <c r="AF616" i="35" s="1"/>
  <c r="AG616" i="35" s="1"/>
  <c r="AD560" i="35"/>
  <c r="AF560" i="35" s="1"/>
  <c r="AG560" i="35" s="1"/>
  <c r="AD538" i="35"/>
  <c r="AF538" i="35" s="1"/>
  <c r="AG538" i="35" s="1"/>
  <c r="L835" i="33"/>
  <c r="I844" i="33"/>
  <c r="H846" i="33"/>
  <c r="G846" i="33"/>
  <c r="W812" i="33"/>
  <c r="I595" i="35"/>
  <c r="I603" i="35"/>
  <c r="H616" i="35"/>
  <c r="G622" i="35"/>
  <c r="W622" i="35"/>
  <c r="G624" i="35"/>
  <c r="W624" i="35"/>
  <c r="AD622" i="35"/>
  <c r="AF622" i="35" s="1"/>
  <c r="AG622" i="35" s="1"/>
  <c r="W618" i="35"/>
  <c r="H618" i="35"/>
  <c r="AD542" i="35"/>
  <c r="AF542" i="35" s="1"/>
  <c r="AG542" i="35" s="1"/>
  <c r="I866" i="33"/>
  <c r="AB870" i="33"/>
  <c r="L870" i="33"/>
  <c r="H874" i="33"/>
  <c r="G874" i="33"/>
  <c r="L874" i="33"/>
  <c r="G906" i="33"/>
  <c r="AA695" i="35"/>
  <c r="V695" i="35"/>
  <c r="G695" i="35"/>
  <c r="AD695" i="35"/>
  <c r="AF695" i="35" s="1"/>
  <c r="AG695" i="35" s="1"/>
  <c r="L695" i="35"/>
  <c r="W690" i="35"/>
  <c r="V690" i="35"/>
  <c r="I665" i="35"/>
  <c r="AD665" i="35"/>
  <c r="AF665" i="35" s="1"/>
  <c r="AG665" i="35" s="1"/>
  <c r="H665" i="35"/>
  <c r="G848" i="33"/>
  <c r="G849" i="33"/>
  <c r="AB849" i="33"/>
  <c r="G842" i="33"/>
  <c r="G851" i="33"/>
  <c r="G853" i="33"/>
  <c r="H854" i="33"/>
  <c r="G868" i="33"/>
  <c r="AB894" i="33"/>
  <c r="G894" i="33"/>
  <c r="H906" i="33"/>
  <c r="G910" i="33"/>
  <c r="L910" i="33"/>
  <c r="L643" i="35"/>
  <c r="AA643" i="35"/>
  <c r="H668" i="35"/>
  <c r="H691" i="35"/>
  <c r="AA730" i="35"/>
  <c r="V730" i="35"/>
  <c r="AD712" i="35"/>
  <c r="AF712" i="35" s="1"/>
  <c r="AG712" i="35" s="1"/>
  <c r="AD690" i="35"/>
  <c r="AF690" i="35" s="1"/>
  <c r="AG690" i="35" s="1"/>
  <c r="AB936" i="33"/>
  <c r="L936" i="33"/>
  <c r="H938" i="33"/>
  <c r="AB938" i="33"/>
  <c r="G938" i="33"/>
  <c r="L938" i="33"/>
  <c r="I906" i="33"/>
  <c r="AB888" i="33"/>
  <c r="G888" i="33"/>
  <c r="AB898" i="33"/>
  <c r="G898" i="33"/>
  <c r="G651" i="35"/>
  <c r="L651" i="35"/>
  <c r="I643" i="35"/>
  <c r="AD643" i="35"/>
  <c r="W643" i="35"/>
  <c r="H643" i="35"/>
  <c r="AA668" i="35"/>
  <c r="G668" i="35"/>
  <c r="L668" i="35"/>
  <c r="AA691" i="35"/>
  <c r="G691" i="35"/>
  <c r="V696" i="35"/>
  <c r="AA698" i="35"/>
  <c r="V698" i="35"/>
  <c r="I661" i="35"/>
  <c r="AD661" i="35"/>
  <c r="AF661" i="35" s="1"/>
  <c r="AG661" i="35" s="1"/>
  <c r="H661" i="35"/>
  <c r="I938" i="33"/>
  <c r="G932" i="33"/>
  <c r="G940" i="33"/>
  <c r="AB940" i="33"/>
  <c r="H942" i="33"/>
  <c r="H946" i="33"/>
  <c r="L948" i="33"/>
  <c r="V693" i="35"/>
  <c r="H702" i="35"/>
  <c r="L712" i="35"/>
  <c r="H722" i="35"/>
  <c r="W722" i="35"/>
  <c r="H730" i="35"/>
  <c r="H626" i="35"/>
  <c r="G672" i="35"/>
  <c r="AA672" i="35"/>
  <c r="I708" i="35"/>
  <c r="H710" i="35"/>
  <c r="I942" i="33"/>
  <c r="I946" i="33"/>
  <c r="G712" i="35"/>
  <c r="AA712" i="35"/>
  <c r="I722" i="35"/>
  <c r="G726" i="35"/>
  <c r="AA726" i="35"/>
  <c r="I730" i="35"/>
  <c r="H672" i="35"/>
  <c r="L708" i="35"/>
  <c r="W684" i="33"/>
  <c r="Z742" i="33"/>
  <c r="Y788" i="33"/>
  <c r="Z776" i="33"/>
  <c r="W774" i="33"/>
  <c r="Y776" i="33"/>
  <c r="Z790" i="33"/>
  <c r="Z725" i="33"/>
  <c r="X659" i="33"/>
  <c r="W669" i="33"/>
  <c r="Z511" i="33"/>
  <c r="W511" i="33"/>
  <c r="X477" i="33"/>
  <c r="X742" i="33"/>
  <c r="Y812" i="33"/>
  <c r="Y763" i="33"/>
  <c r="X808" i="33"/>
  <c r="X771" i="33"/>
  <c r="Z788" i="33"/>
  <c r="Y771" i="33"/>
  <c r="Y546" i="33"/>
  <c r="Z808" i="33"/>
  <c r="X689" i="33"/>
  <c r="Y607" i="33"/>
  <c r="W788" i="33"/>
  <c r="W808" i="33"/>
  <c r="Y570" i="33"/>
  <c r="Y742" i="33"/>
  <c r="W746" i="33"/>
  <c r="X572" i="33"/>
  <c r="X757" i="33"/>
  <c r="Z447" i="33"/>
  <c r="W433" i="33"/>
  <c r="Z614" i="33"/>
  <c r="X774" i="33"/>
  <c r="X776" i="33"/>
  <c r="Y774" i="33"/>
  <c r="Z355" i="33"/>
  <c r="X790" i="33"/>
  <c r="W721" i="33"/>
  <c r="X599" i="33"/>
  <c r="Y599" i="33"/>
  <c r="X617" i="33"/>
  <c r="W736" i="33"/>
  <c r="Y710" i="33"/>
  <c r="Z714" i="33"/>
  <c r="X667" i="33"/>
  <c r="W778" i="33"/>
  <c r="Y625" i="33"/>
  <c r="W610" i="33"/>
  <c r="Y717" i="33"/>
  <c r="W637" i="33"/>
  <c r="X375" i="33"/>
  <c r="W373" i="33"/>
  <c r="X663" i="33"/>
  <c r="Z651" i="33"/>
  <c r="Y663" i="33"/>
  <c r="W477" i="33"/>
  <c r="W689" i="33"/>
  <c r="X750" i="33"/>
  <c r="Y750" i="33"/>
  <c r="X746" i="33"/>
  <c r="Z607" i="33"/>
  <c r="W582" i="33"/>
  <c r="X566" i="33"/>
  <c r="Y568" i="33"/>
  <c r="Y684" i="33"/>
  <c r="W763" i="33"/>
  <c r="Z433" i="33"/>
  <c r="W443" i="33"/>
  <c r="X433" i="33"/>
  <c r="X816" i="33"/>
  <c r="Z771" i="33"/>
  <c r="Z750" i="33"/>
  <c r="Z689" i="33"/>
  <c r="W570" i="33"/>
  <c r="Y566" i="33"/>
  <c r="Y746" i="33"/>
  <c r="Z757" i="33"/>
  <c r="Z763" i="33"/>
  <c r="W757" i="33"/>
  <c r="Y761" i="33"/>
  <c r="Y816" i="33"/>
  <c r="Z443" i="33"/>
  <c r="Z441" i="33"/>
  <c r="W445" i="33"/>
  <c r="Y371" i="33"/>
  <c r="X357" i="33"/>
  <c r="W431" i="33"/>
  <c r="Z599" i="33"/>
  <c r="X591" i="33"/>
  <c r="W672" i="33"/>
  <c r="X250" i="33"/>
  <c r="W469" i="33"/>
  <c r="W603" i="33"/>
  <c r="Y623" i="33"/>
  <c r="Z667" i="33"/>
  <c r="Y250" i="33"/>
  <c r="W509" i="33"/>
  <c r="Z341" i="33"/>
  <c r="W297" i="33"/>
  <c r="X373" i="33"/>
  <c r="W667" i="33"/>
  <c r="W651" i="33"/>
  <c r="X736" i="33"/>
  <c r="X623" i="33"/>
  <c r="W773" i="33"/>
  <c r="Y643" i="33"/>
  <c r="Z515" i="33"/>
  <c r="X637" i="33"/>
  <c r="Z544" i="33"/>
  <c r="X341" i="33"/>
  <c r="Z423" i="33"/>
  <c r="W355" i="33"/>
  <c r="W107" i="33"/>
  <c r="X355" i="33"/>
  <c r="W728" i="33"/>
  <c r="Y725" i="33"/>
  <c r="Z773" i="33"/>
  <c r="Y773" i="33"/>
  <c r="Z637" i="33"/>
  <c r="Z373" i="33"/>
  <c r="Z297" i="33"/>
  <c r="Y427" i="33"/>
  <c r="X107" i="33"/>
  <c r="X377" i="33"/>
  <c r="W250" i="33"/>
  <c r="X651" i="33"/>
  <c r="X672" i="33"/>
  <c r="Y736" i="33"/>
  <c r="X778" i="33"/>
  <c r="X725" i="33"/>
  <c r="W617" i="33"/>
  <c r="Z623" i="33"/>
  <c r="Y617" i="33"/>
  <c r="Y778" i="33"/>
  <c r="Y672" i="33"/>
  <c r="W544" i="33"/>
  <c r="W341" i="33"/>
  <c r="Y297" i="33"/>
  <c r="X423" i="33"/>
  <c r="W331" i="33"/>
  <c r="Y415" i="33"/>
  <c r="W562" i="33"/>
  <c r="Y562" i="33"/>
  <c r="X441" i="33"/>
  <c r="W546" i="33"/>
  <c r="X761" i="33"/>
  <c r="X485" i="33"/>
  <c r="W485" i="33"/>
  <c r="X682" i="33"/>
  <c r="Y769" i="33"/>
  <c r="Z686" i="33"/>
  <c r="Z682" i="33"/>
  <c r="W761" i="33"/>
  <c r="X552" i="33"/>
  <c r="X748" i="33"/>
  <c r="W608" i="33"/>
  <c r="X381" i="33"/>
  <c r="W473" i="33"/>
  <c r="X353" i="33"/>
  <c r="W682" i="33"/>
  <c r="W703" i="33"/>
  <c r="Y786" i="33"/>
  <c r="Z552" i="33"/>
  <c r="Y560" i="33"/>
  <c r="X744" i="33"/>
  <c r="W769" i="33"/>
  <c r="Z473" i="33"/>
  <c r="Y759" i="33"/>
  <c r="Z389" i="33"/>
  <c r="Z483" i="33"/>
  <c r="X389" i="33"/>
  <c r="X686" i="33"/>
  <c r="W686" i="33"/>
  <c r="X473" i="33"/>
  <c r="W680" i="33"/>
  <c r="X680" i="33"/>
  <c r="Y703" i="33"/>
  <c r="Z759" i="33"/>
  <c r="Z752" i="33"/>
  <c r="W552" i="33"/>
  <c r="Z560" i="33"/>
  <c r="Z740" i="33"/>
  <c r="Z744" i="33"/>
  <c r="Z786" i="33"/>
  <c r="X769" i="33"/>
  <c r="W740" i="33"/>
  <c r="Y748" i="33"/>
  <c r="Y744" i="33"/>
  <c r="X589" i="33"/>
  <c r="X483" i="33"/>
  <c r="W560" i="33"/>
  <c r="Z703" i="33"/>
  <c r="W748" i="33"/>
  <c r="X759" i="33"/>
  <c r="Z680" i="33"/>
  <c r="W786" i="33"/>
  <c r="X752" i="33"/>
  <c r="Z608" i="33"/>
  <c r="Y608" i="33"/>
  <c r="W752" i="33"/>
  <c r="Y353" i="33"/>
  <c r="X109" i="33"/>
  <c r="Y485" i="33"/>
  <c r="Z415" i="33"/>
  <c r="W540" i="33"/>
  <c r="X487" i="33"/>
  <c r="W487" i="33"/>
  <c r="W483" i="33"/>
  <c r="X387" i="33"/>
  <c r="W389" i="33"/>
  <c r="W353" i="33"/>
  <c r="W381" i="33"/>
  <c r="W387" i="33"/>
  <c r="X540" i="33"/>
  <c r="Y381" i="33"/>
  <c r="Y387" i="33"/>
  <c r="Y267" i="33"/>
  <c r="W447" i="33"/>
  <c r="X437" i="33"/>
  <c r="Y441" i="33"/>
  <c r="X447" i="33"/>
  <c r="Z546" i="33"/>
  <c r="X445" i="33"/>
  <c r="Z105" i="33"/>
  <c r="W105" i="33"/>
  <c r="W345" i="33"/>
  <c r="Z445" i="33"/>
  <c r="X443" i="33"/>
  <c r="Y511" i="33"/>
  <c r="W329" i="33"/>
  <c r="X415" i="33"/>
  <c r="W499" i="33"/>
  <c r="Z507" i="33"/>
  <c r="Y337" i="33"/>
  <c r="Z329" i="33"/>
  <c r="W337" i="33"/>
  <c r="Z229" i="33"/>
  <c r="X499" i="33"/>
  <c r="Y499" i="33"/>
  <c r="Z251" i="33"/>
  <c r="Z109" i="33"/>
  <c r="Y487" i="33"/>
  <c r="Y589" i="33"/>
  <c r="W229" i="33"/>
  <c r="X229" i="33"/>
  <c r="X584" i="33"/>
  <c r="Y584" i="33"/>
  <c r="Y329" i="33"/>
  <c r="W267" i="33"/>
  <c r="Y507" i="33"/>
  <c r="W233" i="33"/>
  <c r="X77" i="33"/>
  <c r="X237" i="33"/>
  <c r="Y95" i="33"/>
  <c r="Y544" i="33"/>
  <c r="W419" i="33"/>
  <c r="Y331" i="33"/>
  <c r="X331" i="33"/>
  <c r="W591" i="33"/>
  <c r="Y591" i="33"/>
  <c r="W421" i="33"/>
  <c r="X421" i="33"/>
  <c r="Z421" i="33"/>
  <c r="Z419" i="33"/>
  <c r="X419" i="33"/>
  <c r="Y369" i="33"/>
  <c r="X369" i="33"/>
  <c r="W369" i="33"/>
  <c r="Z371" i="33"/>
  <c r="X371" i="33"/>
  <c r="Z375" i="33"/>
  <c r="W375" i="33"/>
  <c r="Y377" i="33"/>
  <c r="W377" i="33"/>
  <c r="Z351" i="33"/>
  <c r="Y351" i="33"/>
  <c r="W351" i="33"/>
  <c r="Z357" i="33"/>
  <c r="Y357" i="33"/>
  <c r="Z385" i="33"/>
  <c r="Y385" i="33"/>
  <c r="W385" i="33"/>
  <c r="Y467" i="33"/>
  <c r="X467" i="33"/>
  <c r="Z467" i="33"/>
  <c r="Z469" i="33"/>
  <c r="X469" i="33"/>
  <c r="W435" i="33"/>
  <c r="X435" i="33"/>
  <c r="Y435" i="33"/>
  <c r="W515" i="33"/>
  <c r="X515" i="33"/>
  <c r="Z603" i="33"/>
  <c r="X603" i="33"/>
  <c r="X610" i="33"/>
  <c r="Z610" i="33"/>
  <c r="X614" i="33"/>
  <c r="W614" i="33"/>
  <c r="Z625" i="33"/>
  <c r="W625" i="33"/>
  <c r="Y649" i="33"/>
  <c r="Z649" i="33"/>
  <c r="X643" i="33"/>
  <c r="W643" i="33"/>
  <c r="Y655" i="33"/>
  <c r="W655" i="33"/>
  <c r="Y659" i="33"/>
  <c r="Z659" i="33"/>
  <c r="Z669" i="33"/>
  <c r="Y669" i="33"/>
  <c r="Z707" i="33"/>
  <c r="X707" i="33"/>
  <c r="X710" i="33"/>
  <c r="Z710" i="33"/>
  <c r="Y714" i="33"/>
  <c r="W714" i="33"/>
  <c r="Z717" i="33"/>
  <c r="X717" i="33"/>
  <c r="X721" i="33"/>
  <c r="Z721" i="33"/>
  <c r="Y728" i="33"/>
  <c r="Z728" i="33"/>
  <c r="W804" i="33"/>
  <c r="X804" i="33"/>
  <c r="Z812" i="33"/>
  <c r="X812" i="33"/>
  <c r="Y819" i="33"/>
  <c r="Z819" i="33"/>
  <c r="X140" i="33"/>
  <c r="X53" i="33"/>
  <c r="Z57" i="33"/>
  <c r="X21" i="33"/>
  <c r="Y57" i="33"/>
  <c r="Z77" i="33"/>
  <c r="X95" i="33"/>
  <c r="Z49" i="33"/>
  <c r="Z552" i="20"/>
  <c r="Z508" i="20"/>
  <c r="Z492" i="20"/>
  <c r="Z480" i="20"/>
  <c r="Z444" i="20"/>
  <c r="Z416" i="20"/>
  <c r="Z380" i="20"/>
  <c r="Z336" i="20"/>
  <c r="Z284" i="20"/>
  <c r="Z248" i="20"/>
  <c r="Z220" i="20"/>
  <c r="Z192" i="20"/>
  <c r="Z176" i="20"/>
  <c r="Z156" i="20"/>
  <c r="Z148" i="20"/>
  <c r="Z144" i="20"/>
  <c r="Z140" i="20"/>
  <c r="Z100" i="20"/>
  <c r="Z96" i="20"/>
  <c r="Z76" i="20"/>
  <c r="Z64" i="20"/>
  <c r="Z4" i="20"/>
  <c r="Y325" i="33"/>
  <c r="W248" i="33"/>
  <c r="Z345" i="33"/>
  <c r="X105" i="33"/>
  <c r="W333" i="33"/>
  <c r="W101" i="33"/>
  <c r="Y248" i="33"/>
  <c r="X333" i="33"/>
  <c r="X101" i="33"/>
  <c r="X248" i="33"/>
  <c r="X345" i="33"/>
  <c r="Z101" i="33"/>
  <c r="Y333" i="33"/>
  <c r="W451" i="33"/>
  <c r="Z608" i="20"/>
  <c r="X117" i="33"/>
  <c r="W109" i="33"/>
  <c r="X244" i="33"/>
  <c r="Z95" i="33"/>
  <c r="Y538" i="33"/>
  <c r="Z584" i="33"/>
  <c r="Y299" i="33"/>
  <c r="W29" i="33"/>
  <c r="X194" i="33"/>
  <c r="Z299" i="33"/>
  <c r="Y25" i="33"/>
  <c r="Y41" i="33"/>
  <c r="Z240" i="33"/>
  <c r="W65" i="33"/>
  <c r="Z337" i="33"/>
  <c r="Z267" i="33"/>
  <c r="Y194" i="33"/>
  <c r="Z244" i="33"/>
  <c r="Z65" i="33"/>
  <c r="Y45" i="33"/>
  <c r="Y53" i="33"/>
  <c r="Y121" i="33"/>
  <c r="W41" i="33"/>
  <c r="Y69" i="33"/>
  <c r="X17" i="33"/>
  <c r="W538" i="33"/>
  <c r="W240" i="33"/>
  <c r="X538" i="33"/>
  <c r="X240" i="33"/>
  <c r="W589" i="33"/>
  <c r="W507" i="33"/>
  <c r="W45" i="33"/>
  <c r="Z73" i="33"/>
  <c r="W53" i="33"/>
  <c r="Y49" i="33"/>
  <c r="W77" i="33"/>
  <c r="Z69" i="33"/>
  <c r="Y540" i="33"/>
  <c r="X299" i="33"/>
  <c r="X639" i="33"/>
  <c r="Y601" i="33"/>
  <c r="W814" i="33"/>
  <c r="X661" i="33"/>
  <c r="Y661" i="33"/>
  <c r="X755" i="33"/>
  <c r="Z806" i="33"/>
  <c r="Y548" i="33"/>
  <c r="X564" i="33"/>
  <c r="Z712" i="33"/>
  <c r="W727" i="33"/>
  <c r="Z615" i="33"/>
  <c r="Z727" i="33"/>
  <c r="Y814" i="33"/>
  <c r="Z817" i="33"/>
  <c r="X481" i="33"/>
  <c r="X475" i="33"/>
  <c r="Y715" i="33"/>
  <c r="W810" i="33"/>
  <c r="X627" i="33"/>
  <c r="W166" i="33"/>
  <c r="Y244" i="33"/>
  <c r="Y309" i="33"/>
  <c r="X325" i="33"/>
  <c r="Z325" i="33"/>
  <c r="W321" i="33"/>
  <c r="Y321" i="33"/>
  <c r="X321" i="33"/>
  <c r="W317" i="33"/>
  <c r="Z317" i="33"/>
  <c r="X317" i="33"/>
  <c r="W313" i="33"/>
  <c r="Y313" i="33"/>
  <c r="Z313" i="33"/>
  <c r="X313" i="33"/>
  <c r="X309" i="33"/>
  <c r="W309" i="33"/>
  <c r="Y305" i="33"/>
  <c r="Z305" i="33"/>
  <c r="X305" i="33"/>
  <c r="Y301" i="33"/>
  <c r="Z301" i="33"/>
  <c r="W301" i="33"/>
  <c r="Z289" i="33"/>
  <c r="W289" i="33"/>
  <c r="X289" i="33"/>
  <c r="Y289" i="33"/>
  <c r="W285" i="33"/>
  <c r="Z285" i="33"/>
  <c r="X285" i="33"/>
  <c r="Y285" i="33"/>
  <c r="W257" i="33"/>
  <c r="Z257" i="33"/>
  <c r="Y257" i="33"/>
  <c r="Z183" i="33"/>
  <c r="Y183" i="33"/>
  <c r="X183" i="33"/>
  <c r="W183" i="33"/>
  <c r="Y140" i="33"/>
  <c r="W140" i="33"/>
  <c r="Z134" i="33"/>
  <c r="W134" i="33"/>
  <c r="Y134" i="33"/>
  <c r="Y130" i="33"/>
  <c r="W130" i="33"/>
  <c r="Z130" i="33"/>
  <c r="Z91" i="33"/>
  <c r="W121" i="33"/>
  <c r="W91" i="33"/>
  <c r="X121" i="33"/>
  <c r="X87" i="33"/>
  <c r="X91" i="33"/>
  <c r="W87" i="33"/>
  <c r="Z113" i="33"/>
  <c r="Z41" i="33"/>
  <c r="Z45" i="33"/>
  <c r="Y81" i="33"/>
  <c r="Z117" i="33"/>
  <c r="Y117" i="33"/>
  <c r="X73" i="33"/>
  <c r="W49" i="33"/>
  <c r="W194" i="33"/>
  <c r="W61" i="33"/>
  <c r="Z87" i="33"/>
  <c r="W69" i="33"/>
  <c r="X29" i="33"/>
  <c r="Z81" i="33"/>
  <c r="X81" i="33"/>
  <c r="X57" i="33"/>
  <c r="W73" i="33"/>
  <c r="X65" i="33"/>
  <c r="Y29" i="33"/>
  <c r="Z61" i="33"/>
  <c r="X61" i="33"/>
  <c r="Y203" i="33"/>
  <c r="X235" i="33"/>
  <c r="Z231" i="33"/>
  <c r="Z225" i="33"/>
  <c r="W615" i="33"/>
  <c r="X154" i="33"/>
  <c r="Z186" i="33"/>
  <c r="Z159" i="20"/>
  <c r="Z155" i="20"/>
  <c r="Z151" i="20"/>
  <c r="Z143" i="20"/>
  <c r="Z139" i="20"/>
  <c r="Z135" i="20"/>
  <c r="Z131" i="20"/>
  <c r="Z127" i="20"/>
  <c r="Z123" i="20"/>
  <c r="Z119" i="20"/>
  <c r="Z115" i="20"/>
  <c r="Z111" i="20"/>
  <c r="Z107" i="20"/>
  <c r="Z103" i="20"/>
  <c r="Z99" i="20"/>
  <c r="Z95" i="20"/>
  <c r="Z91" i="20"/>
  <c r="Z87" i="20"/>
  <c r="Z83" i="20"/>
  <c r="Z79" i="20"/>
  <c r="Z75" i="20"/>
  <c r="Z71" i="20"/>
  <c r="Z67" i="20"/>
  <c r="Z63" i="20"/>
  <c r="Z59" i="20"/>
  <c r="Z55" i="20"/>
  <c r="Z51" i="20"/>
  <c r="Z47" i="20"/>
  <c r="Z43" i="20"/>
  <c r="Z39" i="20"/>
  <c r="Z35" i="20"/>
  <c r="Z31" i="20"/>
  <c r="Z27" i="20"/>
  <c r="Z23" i="20"/>
  <c r="Z19" i="20"/>
  <c r="Z15" i="20"/>
  <c r="Z11" i="20"/>
  <c r="Z7" i="20"/>
  <c r="X113" i="33"/>
  <c r="W231" i="33"/>
  <c r="W817" i="33"/>
  <c r="W103" i="33"/>
  <c r="X810" i="33"/>
  <c r="X142" i="33"/>
  <c r="X674" i="33"/>
  <c r="X653" i="33"/>
  <c r="Z719" i="33"/>
  <c r="Z705" i="33"/>
  <c r="W723" i="33"/>
  <c r="W708" i="33"/>
  <c r="Z639" i="33"/>
  <c r="Z715" i="33"/>
  <c r="Y674" i="33"/>
  <c r="W671" i="33"/>
  <c r="W503" i="33"/>
  <c r="Z657" i="33"/>
  <c r="Y612" i="33"/>
  <c r="Y755" i="33"/>
  <c r="Y806" i="33"/>
  <c r="Y730" i="33"/>
  <c r="X621" i="33"/>
  <c r="X712" i="33"/>
  <c r="W619" i="33"/>
  <c r="Z158" i="33"/>
  <c r="Z170" i="33"/>
  <c r="Z203" i="33"/>
  <c r="Y231" i="33"/>
  <c r="X196" i="33"/>
  <c r="Y479" i="33"/>
  <c r="Z475" i="33"/>
  <c r="W481" i="33"/>
  <c r="X99" i="33"/>
  <c r="W665" i="33"/>
  <c r="X671" i="33"/>
  <c r="W653" i="33"/>
  <c r="Y712" i="33"/>
  <c r="Y723" i="33"/>
  <c r="Y708" i="33"/>
  <c r="X715" i="33"/>
  <c r="Z810" i="33"/>
  <c r="X705" i="33"/>
  <c r="Y629" i="33"/>
  <c r="X503" i="33"/>
  <c r="Z653" i="33"/>
  <c r="X542" i="33"/>
  <c r="X727" i="33"/>
  <c r="W755" i="33"/>
  <c r="W730" i="33"/>
  <c r="X730" i="33"/>
  <c r="Y605" i="33"/>
  <c r="Y621" i="33"/>
  <c r="Y162" i="33"/>
  <c r="X178" i="33"/>
  <c r="X215" i="33"/>
  <c r="W178" i="33"/>
  <c r="W211" i="33"/>
  <c r="W505" i="33"/>
  <c r="Y417" i="33"/>
  <c r="W261" i="33"/>
  <c r="W475" i="33"/>
  <c r="W479" i="33"/>
  <c r="X817" i="33"/>
  <c r="X814" i="33"/>
  <c r="W806" i="33"/>
  <c r="Y719" i="33"/>
  <c r="Y705" i="33"/>
  <c r="Z723" i="33"/>
  <c r="Z708" i="33"/>
  <c r="X657" i="33"/>
  <c r="Y615" i="33"/>
  <c r="Z627" i="33"/>
  <c r="X719" i="33"/>
  <c r="W162" i="33"/>
  <c r="Y178" i="33"/>
  <c r="Y215" i="33"/>
  <c r="Z196" i="33"/>
  <c r="Z174" i="33"/>
  <c r="X174" i="33"/>
  <c r="Y379" i="33"/>
  <c r="X513" i="33"/>
  <c r="Z130" i="20"/>
  <c r="Z154" i="33"/>
  <c r="X158" i="33"/>
  <c r="X162" i="33"/>
  <c r="W170" i="33"/>
  <c r="Y186" i="33"/>
  <c r="Z211" i="33"/>
  <c r="Y225" i="33"/>
  <c r="X166" i="33"/>
  <c r="Z215" i="33"/>
  <c r="Z735" i="20"/>
  <c r="Z731" i="20"/>
  <c r="Z727" i="20"/>
  <c r="Z723" i="20"/>
  <c r="Z719" i="20"/>
  <c r="Z715" i="20"/>
  <c r="Z711" i="20"/>
  <c r="Z707" i="20"/>
  <c r="Z703" i="20"/>
  <c r="Z700" i="20"/>
  <c r="Z698" i="20"/>
  <c r="Z696" i="20"/>
  <c r="Z693" i="20"/>
  <c r="Z691" i="20"/>
  <c r="Z688" i="20"/>
  <c r="Z615" i="20"/>
  <c r="Z611" i="20"/>
  <c r="Z607" i="20"/>
  <c r="Z603" i="20"/>
  <c r="Z599" i="20"/>
  <c r="Z595" i="20"/>
  <c r="Z591" i="20"/>
  <c r="Z587" i="20"/>
  <c r="Z583" i="20"/>
  <c r="Z579" i="20"/>
  <c r="Z575" i="20"/>
  <c r="Z567" i="20"/>
  <c r="Z563" i="20"/>
  <c r="Z559" i="20"/>
  <c r="Z555" i="20"/>
  <c r="Z547" i="20"/>
  <c r="Z543" i="20"/>
  <c r="Z535" i="20"/>
  <c r="Z531" i="20"/>
  <c r="W235" i="33"/>
  <c r="W154" i="33"/>
  <c r="Z166" i="33"/>
  <c r="Y170" i="33"/>
  <c r="X186" i="33"/>
  <c r="X211" i="33"/>
  <c r="W225" i="33"/>
  <c r="Z235" i="33"/>
  <c r="W158" i="33"/>
  <c r="Y174" i="33"/>
  <c r="W196" i="33"/>
  <c r="X203" i="33"/>
  <c r="Z734" i="20"/>
  <c r="Z730" i="20"/>
  <c r="Z726" i="20"/>
  <c r="Z722" i="20"/>
  <c r="Z718" i="20"/>
  <c r="Z714" i="20"/>
  <c r="Z710" i="20"/>
  <c r="Z706" i="20"/>
  <c r="Z702" i="20"/>
  <c r="Z690" i="20"/>
  <c r="Z618" i="20"/>
  <c r="Z614" i="20"/>
  <c r="Z610" i="20"/>
  <c r="Z606" i="20"/>
  <c r="Z602" i="20"/>
  <c r="Z598" i="20"/>
  <c r="Z594" i="20"/>
  <c r="Z590" i="20"/>
  <c r="Z527" i="20"/>
  <c r="Z523" i="20"/>
  <c r="Z519" i="20"/>
  <c r="Z515" i="20"/>
  <c r="Z511" i="20"/>
  <c r="Z507" i="20"/>
  <c r="Z503" i="20"/>
  <c r="Z499" i="20"/>
  <c r="Z495" i="20"/>
  <c r="Z487" i="20"/>
  <c r="Z483" i="20"/>
  <c r="Z479" i="20"/>
  <c r="Z475" i="20"/>
  <c r="Z471" i="20"/>
  <c r="Z467" i="20"/>
  <c r="Z459" i="20"/>
  <c r="Z455" i="20"/>
  <c r="Z447" i="20"/>
  <c r="Z443" i="20"/>
  <c r="Z439" i="20"/>
  <c r="Z435" i="20"/>
  <c r="Z431" i="20"/>
  <c r="Z427" i="20"/>
  <c r="Z423" i="20"/>
  <c r="Z419" i="20"/>
  <c r="Z415" i="20"/>
  <c r="Z411" i="20"/>
  <c r="Z407" i="20"/>
  <c r="Z403" i="20"/>
  <c r="Z399" i="20"/>
  <c r="Z395" i="20"/>
  <c r="Z391" i="20"/>
  <c r="Z383" i="20"/>
  <c r="Z379" i="20"/>
  <c r="Z375" i="20"/>
  <c r="Z371" i="20"/>
  <c r="Z367" i="20"/>
  <c r="Z363" i="20"/>
  <c r="Z359" i="20"/>
  <c r="Z355" i="20"/>
  <c r="Z351" i="20"/>
  <c r="Z347" i="20"/>
  <c r="Z339" i="20"/>
  <c r="Z335" i="20"/>
  <c r="Z331" i="20"/>
  <c r="Z327" i="20"/>
  <c r="Z323" i="20"/>
  <c r="Z319" i="20"/>
  <c r="Z315" i="20"/>
  <c r="Z311" i="20"/>
  <c r="Z307" i="20"/>
  <c r="Z303" i="20"/>
  <c r="Z299" i="20"/>
  <c r="Z295" i="20"/>
  <c r="Z291" i="20"/>
  <c r="Z283" i="20"/>
  <c r="Z279" i="20"/>
  <c r="Z275" i="20"/>
  <c r="Z271" i="20"/>
  <c r="Z267" i="20"/>
  <c r="Z263" i="20"/>
  <c r="Z259" i="20"/>
  <c r="Z255" i="20"/>
  <c r="Z251" i="20"/>
  <c r="Z247" i="20"/>
  <c r="Z243" i="20"/>
  <c r="Z239" i="20"/>
  <c r="Z231" i="20"/>
  <c r="Z227" i="20"/>
  <c r="Z223" i="20"/>
  <c r="Z219" i="20"/>
  <c r="Z215" i="20"/>
  <c r="Z211" i="20"/>
  <c r="Z207" i="20"/>
  <c r="Z203" i="20"/>
  <c r="Z199" i="20"/>
  <c r="Z195" i="20"/>
  <c r="Z191" i="20"/>
  <c r="Z187" i="20"/>
  <c r="Z183" i="20"/>
  <c r="Z179" i="20"/>
  <c r="Z175" i="20"/>
  <c r="Z171" i="20"/>
  <c r="Z167" i="20"/>
  <c r="Z163" i="20"/>
  <c r="Z586" i="20"/>
  <c r="Z582" i="20"/>
  <c r="Z578" i="20"/>
  <c r="Z574" i="20"/>
  <c r="Z570" i="20"/>
  <c r="Z566" i="20"/>
  <c r="Z562" i="20"/>
  <c r="Z558" i="20"/>
  <c r="Z554" i="20"/>
  <c r="Z550" i="20"/>
  <c r="Z546" i="20"/>
  <c r="Z542" i="20"/>
  <c r="Z538" i="20"/>
  <c r="Z534" i="20"/>
  <c r="Z530" i="20"/>
  <c r="Z526" i="20"/>
  <c r="Z522" i="20"/>
  <c r="Z518" i="20"/>
  <c r="Z514" i="20"/>
  <c r="Z510" i="20"/>
  <c r="Z506" i="20"/>
  <c r="Z502" i="20"/>
  <c r="Z498" i="20"/>
  <c r="Z494" i="20"/>
  <c r="Z490" i="20"/>
  <c r="Z330" i="20"/>
  <c r="Z266" i="20"/>
  <c r="Z246" i="20"/>
  <c r="Z218" i="20"/>
  <c r="Z106" i="20"/>
  <c r="W93" i="33"/>
  <c r="W790" i="33"/>
  <c r="W142" i="33"/>
  <c r="X383" i="33"/>
  <c r="X261" i="33"/>
  <c r="X479" i="33"/>
  <c r="W661" i="33"/>
  <c r="X619" i="33"/>
  <c r="X629" i="33"/>
  <c r="W612" i="33"/>
  <c r="Y627" i="33"/>
  <c r="Z612" i="33"/>
  <c r="Z542" i="33"/>
  <c r="Z601" i="33"/>
  <c r="Y619" i="33"/>
  <c r="Y261" i="33"/>
  <c r="Z674" i="33"/>
  <c r="W449" i="33"/>
  <c r="W548" i="33"/>
  <c r="Z379" i="33"/>
  <c r="Z451" i="33"/>
  <c r="Y481" i="33"/>
  <c r="Y505" i="33"/>
  <c r="W513" i="33"/>
  <c r="Z425" i="33"/>
  <c r="X379" i="33"/>
  <c r="W564" i="33"/>
  <c r="W383" i="33"/>
  <c r="X665" i="33"/>
  <c r="W657" i="33"/>
  <c r="W639" i="33"/>
  <c r="X601" i="33"/>
  <c r="Y665" i="33"/>
  <c r="Z629" i="33"/>
  <c r="Z503" i="33"/>
  <c r="Y542" i="33"/>
  <c r="Y671" i="33"/>
  <c r="Z621" i="33"/>
  <c r="Z605" i="33"/>
  <c r="X605" i="33"/>
  <c r="X198" i="33"/>
  <c r="Z548" i="33"/>
  <c r="Z417" i="33"/>
  <c r="Z449" i="33"/>
  <c r="X451" i="33"/>
  <c r="Z505" i="33"/>
  <c r="Z550" i="33"/>
  <c r="Y425" i="33"/>
  <c r="X425" i="33"/>
  <c r="W71" i="33"/>
  <c r="Y319" i="33"/>
  <c r="X587" i="33"/>
  <c r="W417" i="33"/>
  <c r="X449" i="33"/>
  <c r="Y513" i="33"/>
  <c r="Y383" i="33"/>
  <c r="Z733" i="20"/>
  <c r="Z729" i="20"/>
  <c r="Z725" i="20"/>
  <c r="Z697" i="20"/>
  <c r="Z609" i="20"/>
  <c r="Z605" i="20"/>
  <c r="Z585" i="20"/>
  <c r="Z573" i="20"/>
  <c r="Z553" i="20"/>
  <c r="Z549" i="20"/>
  <c r="Z533" i="20"/>
  <c r="Z509" i="20"/>
  <c r="Z505" i="20"/>
  <c r="Z477" i="20"/>
  <c r="Z473" i="20"/>
  <c r="Z453" i="20"/>
  <c r="Z441" i="20"/>
  <c r="Z433" i="20"/>
  <c r="Z417" i="20"/>
  <c r="Z409" i="20"/>
  <c r="Z389" i="20"/>
  <c r="Z385" i="20"/>
  <c r="Z361" i="20"/>
  <c r="Z353" i="20"/>
  <c r="Z337" i="20"/>
  <c r="Z333" i="20"/>
  <c r="Z321" i="20"/>
  <c r="Z309" i="20"/>
  <c r="Z305" i="20"/>
  <c r="Z301" i="20"/>
  <c r="Z285" i="20"/>
  <c r="Z277" i="20"/>
  <c r="Z253" i="20"/>
  <c r="Z249" i="20"/>
  <c r="Z229" i="20"/>
  <c r="Z225" i="20"/>
  <c r="Z201" i="20"/>
  <c r="Z193" i="20"/>
  <c r="Z177" i="20"/>
  <c r="Z173" i="20"/>
  <c r="Z169" i="20"/>
  <c r="Z153" i="20"/>
  <c r="Z149" i="20"/>
  <c r="Z145" i="20"/>
  <c r="Z133" i="20"/>
  <c r="Z129" i="20"/>
  <c r="Z109" i="20"/>
  <c r="Z105" i="20"/>
  <c r="Z93" i="20"/>
  <c r="Z85" i="20"/>
  <c r="Z81" i="20"/>
  <c r="Z73" i="20"/>
  <c r="Z65" i="20"/>
  <c r="Z61" i="20"/>
  <c r="Z49" i="20"/>
  <c r="Z45" i="20"/>
  <c r="Z33" i="20"/>
  <c r="Z29" i="20"/>
  <c r="Z25" i="20"/>
  <c r="Z21" i="20"/>
  <c r="Z17" i="20"/>
  <c r="Z13" i="20"/>
  <c r="Z9" i="20"/>
  <c r="Z5" i="20"/>
  <c r="W944" i="33"/>
  <c r="Z315" i="33"/>
  <c r="Y315" i="33"/>
  <c r="Y307" i="33"/>
  <c r="Z307" i="33"/>
  <c r="Y303" i="33"/>
  <c r="W303" i="33"/>
  <c r="Z287" i="33"/>
  <c r="W287" i="33"/>
  <c r="Z259" i="33"/>
  <c r="X259" i="33"/>
  <c r="W259" i="33"/>
  <c r="Z242" i="33"/>
  <c r="X242" i="33"/>
  <c r="W242" i="33"/>
  <c r="Z238" i="33"/>
  <c r="Y238" i="33"/>
  <c r="X185" i="33"/>
  <c r="W185" i="33"/>
  <c r="Z185" i="33"/>
  <c r="Z136" i="33"/>
  <c r="X136" i="33"/>
  <c r="W136" i="33"/>
  <c r="Y119" i="33"/>
  <c r="W119" i="33"/>
  <c r="X119" i="33"/>
  <c r="Y115" i="33"/>
  <c r="Z115" i="33"/>
  <c r="X115" i="33"/>
  <c r="W115" i="33"/>
  <c r="Z97" i="33"/>
  <c r="W97" i="33"/>
  <c r="Y97" i="33"/>
  <c r="Y89" i="33"/>
  <c r="Z89" i="33"/>
  <c r="W89" i="33"/>
  <c r="Y85" i="33"/>
  <c r="X85" i="33"/>
  <c r="W83" i="33"/>
  <c r="Z83" i="33"/>
  <c r="X75" i="33"/>
  <c r="Z75" i="33"/>
  <c r="Y75" i="33"/>
  <c r="Y59" i="33"/>
  <c r="W59" i="33"/>
  <c r="Z59" i="33"/>
  <c r="W55" i="33"/>
  <c r="Z55" i="33"/>
  <c r="W47" i="33"/>
  <c r="Z47" i="33"/>
  <c r="Y47" i="33"/>
  <c r="W43" i="33"/>
  <c r="X43" i="33"/>
  <c r="W39" i="33"/>
  <c r="X39" i="33"/>
  <c r="Z27" i="33"/>
  <c r="Y27" i="33"/>
  <c r="X27" i="33"/>
  <c r="W19" i="33"/>
  <c r="Z19" i="33"/>
  <c r="X19" i="33"/>
  <c r="Y15" i="33"/>
  <c r="W15" i="33"/>
  <c r="W246" i="33"/>
  <c r="W124" i="33"/>
  <c r="W75" i="33"/>
  <c r="W27" i="33"/>
  <c r="Y242" i="33"/>
  <c r="X97" i="33"/>
  <c r="Y83" i="33"/>
  <c r="X47" i="33"/>
  <c r="W113" i="33"/>
  <c r="X89" i="33"/>
  <c r="W63" i="33"/>
  <c r="W99" i="33"/>
  <c r="Z431" i="33"/>
  <c r="Y501" i="33"/>
  <c r="Y509" i="33"/>
  <c r="Y99" i="33"/>
  <c r="X347" i="33"/>
  <c r="X429" i="33"/>
  <c r="X335" i="33"/>
  <c r="X582" i="33"/>
  <c r="Z566" i="33"/>
  <c r="W607" i="33"/>
  <c r="W568" i="33"/>
  <c r="Z572" i="33"/>
  <c r="Z477" i="33"/>
  <c r="Y431" i="33"/>
  <c r="Z501" i="33"/>
  <c r="X509" i="33"/>
  <c r="Y265" i="33"/>
  <c r="Y198" i="33"/>
  <c r="Y142" i="33"/>
  <c r="Y219" i="33"/>
  <c r="Z347" i="33"/>
  <c r="X453" i="33"/>
  <c r="W453" i="33"/>
  <c r="Z437" i="33"/>
  <c r="Y335" i="33"/>
  <c r="W423" i="33"/>
  <c r="Z429" i="33"/>
  <c r="X103" i="33"/>
  <c r="Z568" i="33"/>
  <c r="X501" i="33"/>
  <c r="Z198" i="33"/>
  <c r="Z103" i="33"/>
  <c r="Y437" i="33"/>
  <c r="Z453" i="33"/>
  <c r="Z587" i="33"/>
  <c r="Y587" i="33"/>
  <c r="X550" i="33"/>
  <c r="W323" i="33"/>
  <c r="X323" i="33"/>
  <c r="Z311" i="33"/>
  <c r="X311" i="33"/>
  <c r="X291" i="33"/>
  <c r="W291" i="33"/>
  <c r="Z291" i="33"/>
  <c r="Z181" i="33"/>
  <c r="Y181" i="33"/>
  <c r="Y132" i="33"/>
  <c r="W132" i="33"/>
  <c r="Z124" i="33"/>
  <c r="Y124" i="33"/>
  <c r="Y93" i="33"/>
  <c r="X93" i="33"/>
  <c r="Z71" i="33"/>
  <c r="X71" i="33"/>
  <c r="Y67" i="33"/>
  <c r="X67" i="33"/>
  <c r="Z67" i="33"/>
  <c r="X63" i="33"/>
  <c r="Z63" i="33"/>
  <c r="W51" i="33"/>
  <c r="Y51" i="33"/>
  <c r="Z43" i="33"/>
  <c r="Y43" i="33"/>
  <c r="Y39" i="33"/>
  <c r="Z39" i="33"/>
  <c r="W31" i="33"/>
  <c r="X31" i="33"/>
  <c r="W23" i="33"/>
  <c r="X23" i="33"/>
  <c r="X219" i="33"/>
  <c r="Z219" i="33"/>
  <c r="X265" i="33"/>
  <c r="Z265" i="33"/>
  <c r="W283" i="33"/>
  <c r="W307" i="33"/>
  <c r="Y246" i="33"/>
  <c r="X181" i="33"/>
  <c r="Y259" i="33"/>
  <c r="Y287" i="33"/>
  <c r="Z303" i="33"/>
  <c r="X315" i="33"/>
  <c r="Y323" i="33"/>
  <c r="X307" i="33"/>
  <c r="Z486" i="20"/>
  <c r="X246" i="33"/>
  <c r="W315" i="33"/>
  <c r="Z132" i="33"/>
  <c r="X55" i="33"/>
  <c r="Z119" i="33"/>
  <c r="Z15" i="33"/>
  <c r="W327" i="33"/>
  <c r="X15" i="33"/>
  <c r="Z23" i="33"/>
  <c r="Y31" i="33"/>
  <c r="X51" i="33"/>
  <c r="X59" i="33"/>
  <c r="Z85" i="33"/>
  <c r="Y185" i="33"/>
  <c r="X287" i="33"/>
  <c r="W311" i="33"/>
  <c r="X319" i="33"/>
  <c r="Z327" i="33"/>
  <c r="Y55" i="33"/>
  <c r="Y283" i="33"/>
  <c r="Y136" i="33"/>
  <c r="X283" i="33"/>
  <c r="X303" i="33"/>
  <c r="Y311" i="33"/>
  <c r="Z319" i="33"/>
  <c r="Y327" i="33"/>
  <c r="Z482" i="20"/>
  <c r="Z478" i="20"/>
  <c r="Z474" i="20"/>
  <c r="Z470" i="20"/>
  <c r="Z466" i="20"/>
  <c r="Z462" i="20"/>
  <c r="Z458" i="20"/>
  <c r="Z454" i="20"/>
  <c r="Z450" i="20"/>
  <c r="Z446" i="20"/>
  <c r="Z442" i="20"/>
  <c r="Z438" i="20"/>
  <c r="Z434" i="20"/>
  <c r="Z430" i="20"/>
  <c r="Z426" i="20"/>
  <c r="Z422" i="20"/>
  <c r="Z418" i="20"/>
  <c r="Z414" i="20"/>
  <c r="Z410" i="20"/>
  <c r="Z406" i="20"/>
  <c r="Z402" i="20"/>
  <c r="Z398" i="20"/>
  <c r="Z394" i="20"/>
  <c r="Z390" i="20"/>
  <c r="Z386" i="20"/>
  <c r="Z382" i="20"/>
  <c r="Z378" i="20"/>
  <c r="Z374" i="20"/>
  <c r="Z370" i="20"/>
  <c r="Z366" i="20"/>
  <c r="Z362" i="20"/>
  <c r="Z358" i="20"/>
  <c r="Z354" i="20"/>
  <c r="Z350" i="20"/>
  <c r="Z346" i="20"/>
  <c r="Z342" i="20"/>
  <c r="W550" i="33"/>
  <c r="Z564" i="33"/>
  <c r="Y429" i="33"/>
  <c r="W335" i="33"/>
  <c r="X427" i="33"/>
  <c r="W347" i="33"/>
  <c r="Z427" i="33"/>
  <c r="Z737" i="20"/>
  <c r="Z721" i="20"/>
  <c r="Z717" i="20"/>
  <c r="Z713" i="20"/>
  <c r="Z709" i="20"/>
  <c r="Z705" i="20"/>
  <c r="Z699" i="20"/>
  <c r="Z695" i="20"/>
  <c r="Z692" i="20"/>
  <c r="Z617" i="20"/>
  <c r="Z613" i="20"/>
  <c r="Z601" i="20"/>
  <c r="Z597" i="20"/>
  <c r="Z593" i="20"/>
  <c r="Z589" i="20"/>
  <c r="Z581" i="20"/>
  <c r="Z577" i="20"/>
  <c r="Z569" i="20"/>
  <c r="Z565" i="20"/>
  <c r="Z561" i="20"/>
  <c r="Z557" i="20"/>
  <c r="Z545" i="20"/>
  <c r="Z541" i="20"/>
  <c r="Z537" i="20"/>
  <c r="Z529" i="20"/>
  <c r="Z525" i="20"/>
  <c r="Z521" i="20"/>
  <c r="Z517" i="20"/>
  <c r="Z513" i="20"/>
  <c r="Z501" i="20"/>
  <c r="Z497" i="20"/>
  <c r="Z493" i="20"/>
  <c r="Z489" i="20"/>
  <c r="Z485" i="20"/>
  <c r="Z481" i="20"/>
  <c r="Z469" i="20"/>
  <c r="Z465" i="20"/>
  <c r="Z461" i="20"/>
  <c r="Z457" i="20"/>
  <c r="Z449" i="20"/>
  <c r="Z445" i="20"/>
  <c r="Z437" i="20"/>
  <c r="Z429" i="20"/>
  <c r="Z425" i="20"/>
  <c r="Z421" i="20"/>
  <c r="Z413" i="20"/>
  <c r="Z405" i="20"/>
  <c r="Z401" i="20"/>
  <c r="Z397" i="20"/>
  <c r="Z393" i="20"/>
  <c r="Z381" i="20"/>
  <c r="Z377" i="20"/>
  <c r="Z373" i="20"/>
  <c r="Z369" i="20"/>
  <c r="Z365" i="20"/>
  <c r="Z357" i="20"/>
  <c r="Z349" i="20"/>
  <c r="Z345" i="20"/>
  <c r="Z341" i="20"/>
  <c r="W849" i="33"/>
  <c r="Z338" i="20"/>
  <c r="Z334" i="20"/>
  <c r="Z326" i="20"/>
  <c r="Z322" i="20"/>
  <c r="Z318" i="20"/>
  <c r="Z314" i="20"/>
  <c r="Z310" i="20"/>
  <c r="Z306" i="20"/>
  <c r="Z302" i="20"/>
  <c r="Z298" i="20"/>
  <c r="Z294" i="20"/>
  <c r="Z290" i="20"/>
  <c r="Z286" i="20"/>
  <c r="Z282" i="20"/>
  <c r="Z278" i="20"/>
  <c r="Z274" i="20"/>
  <c r="Z270" i="20"/>
  <c r="Z262" i="20"/>
  <c r="Z258" i="20"/>
  <c r="Z254" i="20"/>
  <c r="Z250" i="20"/>
  <c r="Z242" i="20"/>
  <c r="Z238" i="20"/>
  <c r="Z234" i="20"/>
  <c r="Z230" i="20"/>
  <c r="Z226" i="20"/>
  <c r="Z222" i="20"/>
  <c r="Z214" i="20"/>
  <c r="Z210" i="20"/>
  <c r="Z206" i="20"/>
  <c r="Z202" i="20"/>
  <c r="Z198" i="20"/>
  <c r="Z194" i="20"/>
  <c r="Z190" i="20"/>
  <c r="Z186" i="20"/>
  <c r="Z182" i="20"/>
  <c r="Z178" i="20"/>
  <c r="Z174" i="20"/>
  <c r="Z170" i="20"/>
  <c r="Z166" i="20"/>
  <c r="Z162" i="20"/>
  <c r="Z158" i="20"/>
  <c r="Z154" i="20"/>
  <c r="Z150" i="20"/>
  <c r="Z146" i="20"/>
  <c r="Z142" i="20"/>
  <c r="Z138" i="20"/>
  <c r="Z134" i="20"/>
  <c r="Z126" i="20"/>
  <c r="Z122" i="20"/>
  <c r="Z118" i="20"/>
  <c r="Z114" i="20"/>
  <c r="Z110" i="20"/>
  <c r="Z102" i="20"/>
  <c r="Z98" i="20"/>
  <c r="Z94" i="20"/>
  <c r="Z90" i="20"/>
  <c r="Z86" i="20"/>
  <c r="Z82" i="20"/>
  <c r="Z78" i="20"/>
  <c r="Z74" i="20"/>
  <c r="Z70" i="20"/>
  <c r="Z66" i="20"/>
  <c r="Z62" i="20"/>
  <c r="Z58" i="20"/>
  <c r="Z54" i="20"/>
  <c r="Z50" i="20"/>
  <c r="Z46" i="20"/>
  <c r="Z42" i="20"/>
  <c r="Z38" i="20"/>
  <c r="Z34" i="20"/>
  <c r="Z30" i="20"/>
  <c r="Z26" i="20"/>
  <c r="Z22" i="20"/>
  <c r="Z18" i="20"/>
  <c r="Z14" i="20"/>
  <c r="Z10" i="20"/>
  <c r="Z6" i="20"/>
  <c r="Z300" i="20"/>
  <c r="Z244" i="20"/>
  <c r="Z136" i="20"/>
  <c r="Z72" i="20"/>
  <c r="Z40" i="20"/>
  <c r="Z329" i="20"/>
  <c r="Z325" i="20"/>
  <c r="Z317" i="20"/>
  <c r="Z313" i="20"/>
  <c r="Z297" i="20"/>
  <c r="Z293" i="20"/>
  <c r="Z289" i="20"/>
  <c r="Z281" i="20"/>
  <c r="Z273" i="20"/>
  <c r="Z269" i="20"/>
  <c r="Z265" i="20"/>
  <c r="Z261" i="20"/>
  <c r="Z257" i="20"/>
  <c r="Z245" i="20"/>
  <c r="Z241" i="20"/>
  <c r="Z237" i="20"/>
  <c r="Z233" i="20"/>
  <c r="Z221" i="20"/>
  <c r="Z217" i="20"/>
  <c r="Z213" i="20"/>
  <c r="Z209" i="20"/>
  <c r="Z205" i="20"/>
  <c r="Z197" i="20"/>
  <c r="Z189" i="20"/>
  <c r="Z185" i="20"/>
  <c r="Z181" i="20"/>
  <c r="Z165" i="20"/>
  <c r="Z161" i="20"/>
  <c r="Z157" i="20"/>
  <c r="Z141" i="20"/>
  <c r="Z137" i="20"/>
  <c r="Z125" i="20"/>
  <c r="Z121" i="20"/>
  <c r="Z117" i="20"/>
  <c r="Z113" i="20"/>
  <c r="Z101" i="20"/>
  <c r="Z97" i="20"/>
  <c r="Z89" i="20"/>
  <c r="Z77" i="20"/>
  <c r="Z69" i="20"/>
  <c r="Z57" i="20"/>
  <c r="Z53" i="20"/>
  <c r="Z41" i="20"/>
  <c r="Z37" i="20"/>
  <c r="Z728" i="20"/>
  <c r="Z689" i="20"/>
  <c r="Z584" i="20"/>
  <c r="Z544" i="20"/>
  <c r="Z420" i="20"/>
  <c r="Z352" i="20"/>
  <c r="Z292" i="20"/>
  <c r="Z200" i="20"/>
  <c r="Z849" i="33"/>
  <c r="Z694" i="20"/>
  <c r="Z571" i="20"/>
  <c r="Z551" i="20"/>
  <c r="Z539" i="20"/>
  <c r="Z491" i="20"/>
  <c r="Z463" i="20"/>
  <c r="Z451" i="20"/>
  <c r="Z387" i="20"/>
  <c r="Z343" i="20"/>
  <c r="Z287" i="20"/>
  <c r="Z235" i="20"/>
  <c r="Z147" i="20"/>
  <c r="X868" i="33"/>
  <c r="Z882" i="33"/>
  <c r="Z3" i="20"/>
  <c r="Z736" i="20"/>
  <c r="Z732" i="20"/>
  <c r="Z720" i="20"/>
  <c r="Z716" i="20"/>
  <c r="Z712" i="20"/>
  <c r="Z708" i="20"/>
  <c r="Z704" i="20"/>
  <c r="Z701" i="20"/>
  <c r="Z616" i="20"/>
  <c r="Z612" i="20"/>
  <c r="Z604" i="20"/>
  <c r="Z596" i="20"/>
  <c r="Z592" i="20"/>
  <c r="Z588" i="20"/>
  <c r="Z580" i="20"/>
  <c r="Z576" i="20"/>
  <c r="Z572" i="20"/>
  <c r="Z568" i="20"/>
  <c r="Z564" i="20"/>
  <c r="Z548" i="20"/>
  <c r="Z540" i="20"/>
  <c r="Z536" i="20"/>
  <c r="Z528" i="20"/>
  <c r="Z524" i="20"/>
  <c r="Z520" i="20"/>
  <c r="Z516" i="20"/>
  <c r="Z846" i="33"/>
  <c r="W932" i="33"/>
  <c r="W934" i="33"/>
  <c r="W948" i="33"/>
  <c r="Z512" i="20"/>
  <c r="Z504" i="20"/>
  <c r="Z500" i="20"/>
  <c r="Z496" i="20"/>
  <c r="Z484" i="20"/>
  <c r="Z476" i="20"/>
  <c r="Z472" i="20"/>
  <c r="Z468" i="20"/>
  <c r="Z464" i="20"/>
  <c r="Z460" i="20"/>
  <c r="Z456" i="20"/>
  <c r="Z448" i="20"/>
  <c r="Z440" i="20"/>
  <c r="Z436" i="20"/>
  <c r="Z432" i="20"/>
  <c r="Z428" i="20"/>
  <c r="Z424" i="20"/>
  <c r="Z412" i="20"/>
  <c r="Z404" i="20"/>
  <c r="Z400" i="20"/>
  <c r="Z396" i="20"/>
  <c r="Z392" i="20"/>
  <c r="Z388" i="20"/>
  <c r="Z384" i="20"/>
  <c r="Z376" i="20"/>
  <c r="Z372" i="20"/>
  <c r="Z364" i="20"/>
  <c r="Z360" i="20"/>
  <c r="Z356" i="20"/>
  <c r="Z344" i="20"/>
  <c r="Z332" i="20"/>
  <c r="Z328" i="20"/>
  <c r="Z324" i="20"/>
  <c r="Z320" i="20"/>
  <c r="Z316" i="20"/>
  <c r="Z312" i="20"/>
  <c r="Z296" i="20"/>
  <c r="Z288" i="20"/>
  <c r="Z276" i="20"/>
  <c r="Z272" i="20"/>
  <c r="Z268" i="20"/>
  <c r="Z264" i="20"/>
  <c r="Z260" i="20"/>
  <c r="Z256" i="20"/>
  <c r="Z240" i="20"/>
  <c r="Z236" i="20"/>
  <c r="Z232" i="20"/>
  <c r="Z224" i="20"/>
  <c r="Z216" i="20"/>
  <c r="Z212" i="20"/>
  <c r="Z208" i="20"/>
  <c r="Z204" i="20"/>
  <c r="Z188" i="20"/>
  <c r="Z184" i="20"/>
  <c r="Z180" i="20"/>
  <c r="Z172" i="20"/>
  <c r="Z164" i="20"/>
  <c r="Z160" i="20"/>
  <c r="Z152" i="20"/>
  <c r="Z128" i="20"/>
  <c r="Z124" i="20"/>
  <c r="Z120" i="20"/>
  <c r="Z116" i="20"/>
  <c r="Z112" i="20"/>
  <c r="Z108" i="20"/>
  <c r="Z104" i="20"/>
  <c r="Z92" i="20"/>
  <c r="Z88" i="20"/>
  <c r="Z84" i="20"/>
  <c r="Z80" i="20"/>
  <c r="Z68" i="20"/>
  <c r="Z60" i="20"/>
  <c r="Z56" i="20"/>
  <c r="Z52" i="20"/>
  <c r="Z48" i="20"/>
  <c r="Z44" i="20"/>
  <c r="Z32" i="20"/>
  <c r="Z28" i="20"/>
  <c r="Z24" i="20"/>
  <c r="Z20" i="20"/>
  <c r="Z16" i="20"/>
  <c r="Z12" i="20"/>
  <c r="Z8" i="20"/>
  <c r="W886" i="33"/>
  <c r="Y902" i="33"/>
  <c r="Z851" i="33"/>
  <c r="Y858" i="33"/>
  <c r="Z888" i="33"/>
  <c r="X37" i="33"/>
  <c r="Z37" i="33"/>
  <c r="W37" i="33"/>
  <c r="X25" i="33"/>
  <c r="W25" i="33"/>
  <c r="W21" i="33"/>
  <c r="Y21" i="33"/>
  <c r="Y17" i="33"/>
  <c r="W17" i="33"/>
  <c r="Z237" i="33"/>
  <c r="Y237" i="33"/>
  <c r="Z233" i="33"/>
  <c r="Y233" i="33"/>
  <c r="Z227" i="33"/>
  <c r="Y227" i="33"/>
  <c r="W227" i="33"/>
  <c r="X217" i="33"/>
  <c r="Y217" i="33"/>
  <c r="W217" i="33"/>
  <c r="Y213" i="33"/>
  <c r="W213" i="33"/>
  <c r="X209" i="33"/>
  <c r="Z209" i="33"/>
  <c r="W209" i="33"/>
  <c r="Y209" i="33"/>
  <c r="Y205" i="33"/>
  <c r="W205" i="33"/>
  <c r="X205" i="33"/>
  <c r="W201" i="33"/>
  <c r="X201" i="33"/>
  <c r="Y201" i="33"/>
  <c r="W192" i="33"/>
  <c r="Z192" i="33"/>
  <c r="Z180" i="33"/>
  <c r="X180" i="33"/>
  <c r="Y180" i="33"/>
  <c r="Y176" i="33"/>
  <c r="W176" i="33"/>
  <c r="X176" i="33"/>
  <c r="Y172" i="33"/>
  <c r="X172" i="33"/>
  <c r="W172" i="33"/>
  <c r="Y168" i="33"/>
  <c r="Z168" i="33"/>
  <c r="Y164" i="33"/>
  <c r="W164" i="33"/>
  <c r="Z164" i="33"/>
  <c r="Z156" i="33"/>
  <c r="X156" i="33"/>
  <c r="Y156" i="33"/>
  <c r="Z152" i="33"/>
  <c r="Y152" i="33"/>
  <c r="X152" i="33"/>
  <c r="W168" i="33"/>
  <c r="X192" i="33"/>
  <c r="X213" i="33"/>
  <c r="Z201" i="33"/>
  <c r="Z217" i="33"/>
  <c r="W180" i="33"/>
  <c r="W835" i="33"/>
  <c r="W846" i="33"/>
  <c r="W851" i="33"/>
  <c r="Z853" i="33"/>
  <c r="Z858" i="33"/>
  <c r="Y868" i="33"/>
  <c r="Z878" i="33"/>
  <c r="W888" i="33"/>
  <c r="Z942" i="33"/>
  <c r="Y944" i="33"/>
  <c r="Y107" i="33"/>
  <c r="Z724" i="20"/>
  <c r="Z600" i="20"/>
  <c r="Z560" i="20"/>
  <c r="Z556" i="20"/>
  <c r="Z532" i="20"/>
  <c r="Z488" i="20"/>
  <c r="Z452" i="20"/>
  <c r="Z408" i="20"/>
  <c r="Z368" i="20"/>
  <c r="Z348" i="20"/>
  <c r="Z340" i="20"/>
  <c r="Z308" i="20"/>
  <c r="Z304" i="20"/>
  <c r="Z280" i="20"/>
  <c r="Z252" i="20"/>
  <c r="Z228" i="20"/>
  <c r="Z196" i="20"/>
  <c r="Z168" i="20"/>
  <c r="Z132" i="20"/>
  <c r="Z36" i="20"/>
  <c r="W858" i="33"/>
  <c r="W868" i="33"/>
  <c r="Z884" i="33"/>
  <c r="Z898" i="33"/>
  <c r="W900" i="33"/>
  <c r="W902" i="33"/>
  <c r="W936" i="33"/>
  <c r="X946" i="33"/>
  <c r="W837" i="33"/>
  <c r="W844" i="33"/>
  <c r="W848" i="33"/>
  <c r="W842" i="33"/>
  <c r="Z854" i="33"/>
  <c r="Z872" i="33"/>
  <c r="W870" i="33"/>
  <c r="Y876" i="33"/>
  <c r="W880" i="33"/>
  <c r="Z886" i="33"/>
  <c r="Z894" i="33"/>
  <c r="Z902" i="33"/>
  <c r="Z908" i="33"/>
  <c r="Y936" i="33"/>
  <c r="Z837" i="33"/>
  <c r="Z844" i="33"/>
  <c r="Z848" i="33"/>
  <c r="Z842" i="33"/>
  <c r="Z870" i="33"/>
  <c r="W874" i="33"/>
  <c r="W878" i="33"/>
  <c r="Z880" i="33"/>
  <c r="Z896" i="33"/>
  <c r="W898" i="33"/>
  <c r="Z936" i="33"/>
  <c r="W938" i="33"/>
  <c r="W840" i="33"/>
  <c r="W856" i="33"/>
  <c r="X934" i="33"/>
  <c r="Y802" i="33"/>
  <c r="W838" i="33"/>
  <c r="Y840" i="33"/>
  <c r="X844" i="33"/>
  <c r="X846" i="33"/>
  <c r="X848" i="33"/>
  <c r="X849" i="33"/>
  <c r="X842" i="33"/>
  <c r="X851" i="33"/>
  <c r="W854" i="33"/>
  <c r="Y856" i="33"/>
  <c r="W864" i="33"/>
  <c r="W872" i="33"/>
  <c r="W908" i="33"/>
  <c r="Y934" i="33"/>
  <c r="Z938" i="33"/>
  <c r="W940" i="33"/>
  <c r="X944" i="33"/>
  <c r="Z946" i="33"/>
  <c r="Y948" i="33"/>
  <c r="Z838" i="33"/>
  <c r="Z840" i="33"/>
  <c r="W853" i="33"/>
  <c r="Y854" i="33"/>
  <c r="Z856" i="33"/>
  <c r="Z864" i="33"/>
  <c r="W866" i="33"/>
  <c r="Y872" i="33"/>
  <c r="W882" i="33"/>
  <c r="W884" i="33"/>
  <c r="W896" i="33"/>
  <c r="W894" i="33"/>
  <c r="W906" i="33"/>
  <c r="Y908" i="33"/>
  <c r="W910" i="33"/>
  <c r="X802" i="33"/>
  <c r="W802" i="33"/>
  <c r="X740" i="33"/>
  <c r="G825" i="33"/>
  <c r="X835" i="33"/>
  <c r="X866" i="33"/>
  <c r="X874" i="33"/>
  <c r="X900" i="33"/>
  <c r="X906" i="33"/>
  <c r="X910" i="33"/>
  <c r="X932" i="33"/>
  <c r="X940" i="33"/>
  <c r="H825" i="33"/>
  <c r="Y835" i="33"/>
  <c r="X837" i="33"/>
  <c r="X838" i="33"/>
  <c r="X853" i="33"/>
  <c r="X864" i="33"/>
  <c r="Y866" i="33"/>
  <c r="X870" i="33"/>
  <c r="Y874" i="33"/>
  <c r="W876" i="33"/>
  <c r="X878" i="33"/>
  <c r="X882" i="33"/>
  <c r="X880" i="33"/>
  <c r="X884" i="33"/>
  <c r="X886" i="33"/>
  <c r="X896" i="33"/>
  <c r="X888" i="33"/>
  <c r="X894" i="33"/>
  <c r="X898" i="33"/>
  <c r="Y900" i="33"/>
  <c r="Y906" i="33"/>
  <c r="Y910" i="33"/>
  <c r="Y932" i="33"/>
  <c r="X938" i="33"/>
  <c r="Y940" i="33"/>
  <c r="W942" i="33"/>
  <c r="X948" i="33"/>
  <c r="X942" i="33"/>
  <c r="W946" i="33"/>
  <c r="AG1353" i="35" l="1"/>
  <c r="AG1030" i="35"/>
  <c r="AI138" i="33"/>
  <c r="AG97" i="35"/>
  <c r="L667" i="35"/>
  <c r="L134" i="33"/>
  <c r="L192" i="33"/>
  <c r="L172" i="33"/>
  <c r="L158" i="33"/>
  <c r="L156" i="33"/>
  <c r="L323" i="33"/>
  <c r="L289" i="33"/>
  <c r="L246" i="33"/>
  <c r="L244" i="33"/>
  <c r="L888" i="33"/>
  <c r="L934" i="33"/>
  <c r="L842" i="33"/>
  <c r="L932" i="33"/>
  <c r="L853" i="33"/>
  <c r="L872" i="33"/>
  <c r="L884" i="33"/>
  <c r="L880" i="33"/>
  <c r="L601" i="35"/>
  <c r="L622" i="35"/>
  <c r="L882" i="33"/>
  <c r="L851" i="33"/>
  <c r="L578" i="35"/>
  <c r="L844" i="33"/>
  <c r="L944" i="33"/>
  <c r="L698" i="35"/>
  <c r="L661" i="35"/>
  <c r="L216" i="35"/>
  <c r="L649" i="35"/>
  <c r="L599" i="35"/>
  <c r="L722" i="35"/>
  <c r="L878" i="33"/>
  <c r="L176" i="33"/>
  <c r="L174" i="33"/>
  <c r="L170" i="33"/>
  <c r="L162" i="33"/>
  <c r="L325" i="33"/>
  <c r="L319" i="33"/>
  <c r="L313" i="33"/>
  <c r="L81" i="35"/>
  <c r="AB88" i="33"/>
  <c r="V670" i="35"/>
  <c r="V714" i="35"/>
  <c r="AA702" i="35"/>
  <c r="AA728" i="35"/>
  <c r="V702" i="35"/>
  <c r="AB164" i="33"/>
  <c r="AB856" i="33"/>
  <c r="X130" i="33"/>
  <c r="AB837" i="33"/>
  <c r="AB875" i="33"/>
  <c r="V618" i="35"/>
  <c r="AB934" i="33"/>
  <c r="V578" i="35"/>
  <c r="AA626" i="35"/>
  <c r="W597" i="35"/>
  <c r="X385" i="33"/>
  <c r="W659" i="33"/>
  <c r="X806" i="33"/>
  <c r="AB864" i="33"/>
  <c r="V597" i="35"/>
  <c r="V624" i="35"/>
  <c r="V620" i="35"/>
  <c r="AB846" i="33"/>
  <c r="AA690" i="35"/>
  <c r="W665" i="35"/>
  <c r="AB896" i="33"/>
  <c r="V668" i="35"/>
  <c r="V691" i="35"/>
  <c r="AA696" i="35"/>
  <c r="AB932" i="33"/>
  <c r="W730" i="35"/>
  <c r="V220" i="35"/>
  <c r="AA710" i="35"/>
  <c r="AA601" i="35"/>
  <c r="V149" i="35"/>
  <c r="W688" i="35"/>
  <c r="AA670" i="35"/>
  <c r="W670" i="35"/>
  <c r="W668" i="35"/>
  <c r="W728" i="35"/>
  <c r="V688" i="35"/>
  <c r="AB900" i="33"/>
  <c r="AA700" i="35"/>
  <c r="AA200" i="35"/>
  <c r="X649" i="33"/>
  <c r="W816" i="33"/>
  <c r="X655" i="33"/>
  <c r="X562" i="33"/>
  <c r="W663" i="33"/>
  <c r="W672" i="35"/>
  <c r="V726" i="35"/>
  <c r="V712" i="35"/>
  <c r="X936" i="33"/>
  <c r="V672" i="35"/>
  <c r="L726" i="35"/>
  <c r="W702" i="35"/>
  <c r="L691" i="35"/>
  <c r="AB868" i="33"/>
  <c r="AB848" i="33"/>
  <c r="L906" i="33"/>
  <c r="AB874" i="33"/>
  <c r="X819" i="33"/>
  <c r="AA624" i="35"/>
  <c r="V576" i="35"/>
  <c r="AB866" i="33"/>
  <c r="AB844" i="33"/>
  <c r="L595" i="35"/>
  <c r="W357" i="33"/>
  <c r="L868" i="33"/>
  <c r="AA693" i="35"/>
  <c r="W696" i="35"/>
  <c r="AA599" i="35"/>
  <c r="L856" i="33"/>
  <c r="W85" i="33"/>
  <c r="L894" i="33"/>
  <c r="L858" i="33"/>
  <c r="L846" i="33"/>
  <c r="L900" i="33"/>
  <c r="W244" i="33"/>
  <c r="L848" i="33"/>
  <c r="L837" i="33"/>
  <c r="L240" i="33"/>
  <c r="L242" i="33"/>
  <c r="L315" i="33"/>
  <c r="AB842" i="33"/>
  <c r="V659" i="35"/>
  <c r="AA722" i="35"/>
  <c r="W599" i="35"/>
  <c r="L702" i="35"/>
  <c r="AA603" i="35"/>
  <c r="V700" i="35"/>
  <c r="L704" i="35"/>
  <c r="X351" i="33"/>
  <c r="W379" i="33"/>
  <c r="L849" i="33"/>
  <c r="V643" i="35"/>
  <c r="L624" i="35"/>
  <c r="V599" i="35"/>
  <c r="AB884" i="33"/>
  <c r="W659" i="35"/>
  <c r="AB878" i="33"/>
  <c r="L854" i="33"/>
  <c r="X124" i="33"/>
  <c r="L896" i="33"/>
  <c r="X231" i="33"/>
  <c r="L840" i="33"/>
  <c r="X257" i="33"/>
  <c r="L886" i="33"/>
  <c r="L238" i="33"/>
  <c r="L307" i="33"/>
  <c r="L309" i="33"/>
  <c r="L311" i="33"/>
  <c r="L168" i="33"/>
  <c r="L180" i="33"/>
  <c r="L132" i="33"/>
  <c r="AB882" i="33"/>
  <c r="L183" i="33"/>
  <c r="AB838" i="33"/>
  <c r="V626" i="35"/>
  <c r="L696" i="35"/>
  <c r="V728" i="35"/>
  <c r="W220" i="35"/>
  <c r="AA219" i="35"/>
  <c r="L83" i="35"/>
  <c r="AA724" i="35"/>
  <c r="L576" i="35"/>
  <c r="AA667" i="35"/>
  <c r="L700" i="35"/>
  <c r="AA161" i="35"/>
  <c r="AA233" i="35"/>
  <c r="AA39" i="35"/>
  <c r="AA62" i="35"/>
  <c r="AA82" i="35"/>
  <c r="AA93" i="35"/>
  <c r="AB66" i="33"/>
  <c r="AB78" i="33"/>
  <c r="AB92" i="33"/>
  <c r="L291" i="33"/>
  <c r="L736" i="35"/>
  <c r="L718" i="35"/>
  <c r="L716" i="35"/>
  <c r="L720" i="35"/>
  <c r="L1024" i="33"/>
  <c r="L1018" i="33"/>
  <c r="L1022" i="33"/>
  <c r="L1016" i="33"/>
  <c r="L754" i="35"/>
  <c r="L1014" i="33"/>
  <c r="L752" i="35"/>
  <c r="L970" i="33"/>
  <c r="L756" i="35"/>
  <c r="L1006" i="33"/>
  <c r="L1004" i="33"/>
  <c r="L1012" i="33"/>
  <c r="L663" i="35"/>
  <c r="L674" i="35"/>
  <c r="L634" i="35"/>
  <c r="L632" i="35"/>
  <c r="L586" i="35"/>
  <c r="L591" i="35"/>
  <c r="L804" i="33"/>
  <c r="L562" i="35"/>
  <c r="L522" i="35"/>
  <c r="L752" i="33"/>
  <c r="L710" i="33"/>
  <c r="L816" i="33"/>
  <c r="L609" i="35"/>
  <c r="L542" i="35"/>
  <c r="L532" i="35"/>
  <c r="L750" i="33"/>
  <c r="L708" i="33"/>
  <c r="L755" i="33"/>
  <c r="L686" i="33"/>
  <c r="L500" i="35"/>
  <c r="L479" i="35"/>
  <c r="L621" i="33"/>
  <c r="L423" i="35"/>
  <c r="L408" i="35"/>
  <c r="L406" i="35"/>
  <c r="L705" i="33"/>
  <c r="L671" i="33"/>
  <c r="L473" i="35"/>
  <c r="L617" i="33"/>
  <c r="L420" i="35"/>
  <c r="L552" i="33"/>
  <c r="L721" i="33"/>
  <c r="L669" i="33"/>
  <c r="L468" i="35"/>
  <c r="L482" i="35"/>
  <c r="L601" i="33"/>
  <c r="L566" i="33"/>
  <c r="L503" i="33"/>
  <c r="L740" i="33"/>
  <c r="L680" i="33"/>
  <c r="L665" i="33"/>
  <c r="L481" i="35"/>
  <c r="L614" i="33"/>
  <c r="L402" i="35"/>
  <c r="L509" i="33"/>
  <c r="L412" i="35"/>
  <c r="L584" i="33"/>
  <c r="L548" i="33"/>
  <c r="L326" i="35"/>
  <c r="L507" i="33"/>
  <c r="L546" i="33"/>
  <c r="L591" i="33"/>
  <c r="L308" i="35"/>
  <c r="L379" i="33"/>
  <c r="L373" i="33"/>
  <c r="L441" i="33"/>
  <c r="L123" i="35"/>
  <c r="L93" i="33"/>
  <c r="L250" i="33"/>
  <c r="L355" i="33"/>
  <c r="L389" i="33"/>
  <c r="L89" i="33"/>
  <c r="L49" i="35"/>
  <c r="L630" i="35"/>
  <c r="L730" i="35"/>
  <c r="L545" i="35"/>
  <c r="L776" i="33"/>
  <c r="L806" i="33"/>
  <c r="L553" i="35"/>
  <c r="L763" i="33"/>
  <c r="L707" i="33"/>
  <c r="L812" i="33"/>
  <c r="L558" i="35"/>
  <c r="L524" i="35"/>
  <c r="L730" i="33"/>
  <c r="L556" i="35"/>
  <c r="L761" i="33"/>
  <c r="L506" i="35"/>
  <c r="L447" i="35"/>
  <c r="L608" i="33"/>
  <c r="L386" i="35"/>
  <c r="L748" i="33"/>
  <c r="L653" i="33"/>
  <c r="L496" i="35"/>
  <c r="L603" i="33"/>
  <c r="L560" i="33"/>
  <c r="L715" i="33"/>
  <c r="L667" i="33"/>
  <c r="L498" i="35"/>
  <c r="L607" i="33"/>
  <c r="L362" i="35"/>
  <c r="L771" i="33"/>
  <c r="L492" i="35"/>
  <c r="L637" i="33"/>
  <c r="L623" i="33"/>
  <c r="L570" i="33"/>
  <c r="L585" i="33"/>
  <c r="L564" i="33"/>
  <c r="L513" i="33"/>
  <c r="L544" i="33"/>
  <c r="L328" i="35"/>
  <c r="L390" i="35"/>
  <c r="L332" i="35"/>
  <c r="L261" i="33"/>
  <c r="L336" i="35"/>
  <c r="L267" i="33"/>
  <c r="L19" i="33"/>
  <c r="L333" i="33"/>
  <c r="L337" i="33"/>
  <c r="L115" i="33"/>
  <c r="L77" i="33"/>
  <c r="L23" i="33"/>
  <c r="L41" i="35"/>
  <c r="L353" i="33"/>
  <c r="L479" i="33"/>
  <c r="L153" i="35"/>
  <c r="L369" i="33"/>
  <c r="L477" i="33"/>
  <c r="L331" i="33"/>
  <c r="L449" i="33"/>
  <c r="L419" i="33"/>
  <c r="L540" i="35"/>
  <c r="L611" i="35"/>
  <c r="L774" i="33"/>
  <c r="L723" i="33"/>
  <c r="L810" i="33"/>
  <c r="L538" i="35"/>
  <c r="L744" i="33"/>
  <c r="L753" i="33"/>
  <c r="L672" i="33"/>
  <c r="L465" i="35"/>
  <c r="L398" i="35"/>
  <c r="L358" i="35"/>
  <c r="L684" i="33"/>
  <c r="L445" i="35"/>
  <c r="L568" i="33"/>
  <c r="L742" i="33"/>
  <c r="L508" i="35"/>
  <c r="L619" i="33"/>
  <c r="L410" i="35"/>
  <c r="L725" i="33"/>
  <c r="L674" i="33"/>
  <c r="L651" i="33"/>
  <c r="L542" i="33"/>
  <c r="L582" i="33"/>
  <c r="L392" i="35"/>
  <c r="L473" i="33"/>
  <c r="L310" i="35"/>
  <c r="L467" i="33"/>
  <c r="L264" i="35"/>
  <c r="L131" i="35"/>
  <c r="L201" i="33"/>
  <c r="L152" i="33"/>
  <c r="L103" i="33"/>
  <c r="L371" i="33"/>
  <c r="L164" i="33"/>
  <c r="L178" i="35"/>
  <c r="L385" i="33"/>
  <c r="L15" i="33"/>
  <c r="L338" i="35"/>
  <c r="L198" i="33"/>
  <c r="L162" i="35"/>
  <c r="L487" i="33"/>
  <c r="L194" i="33"/>
  <c r="L67" i="35"/>
  <c r="L176" i="35"/>
  <c r="L265" i="33"/>
  <c r="L417" i="33"/>
  <c r="L236" i="35"/>
  <c r="L133" i="35"/>
  <c r="L31" i="33"/>
  <c r="L65" i="33"/>
  <c r="L77" i="35"/>
  <c r="L79" i="35"/>
  <c r="L180" i="35"/>
  <c r="L225" i="33"/>
  <c r="L340" i="35"/>
  <c r="L43" i="35"/>
  <c r="L375" i="33"/>
  <c r="L95" i="33"/>
  <c r="L151" i="35"/>
  <c r="L107" i="33"/>
  <c r="L17" i="33"/>
  <c r="L51" i="35"/>
  <c r="L427" i="33"/>
  <c r="L160" i="35"/>
  <c r="L113" i="33"/>
  <c r="L211" i="33"/>
  <c r="L312" i="35"/>
  <c r="L142" i="33"/>
  <c r="L226" i="35"/>
  <c r="L69" i="35"/>
  <c r="L819" i="33"/>
  <c r="L543" i="35"/>
  <c r="L589" i="35"/>
  <c r="L560" i="35"/>
  <c r="L759" i="33"/>
  <c r="L719" i="33"/>
  <c r="L643" i="33"/>
  <c r="L612" i="33"/>
  <c r="L746" i="33"/>
  <c r="L484" i="35"/>
  <c r="L400" i="35"/>
  <c r="L689" i="33"/>
  <c r="L629" i="33"/>
  <c r="L421" i="35"/>
  <c r="L714" i="33"/>
  <c r="L475" i="35"/>
  <c r="L427" i="35"/>
  <c r="L589" i="33"/>
  <c r="L330" i="35"/>
  <c r="L501" i="33"/>
  <c r="L147" i="35"/>
  <c r="L136" i="33"/>
  <c r="L156" i="35"/>
  <c r="L251" i="33"/>
  <c r="L262" i="35"/>
  <c r="L91" i="33"/>
  <c r="L45" i="33"/>
  <c r="L135" i="35"/>
  <c r="L499" i="33"/>
  <c r="L415" i="33"/>
  <c r="L73" i="33"/>
  <c r="L351" i="33"/>
  <c r="L199" i="33"/>
  <c r="L227" i="33"/>
  <c r="L121" i="33"/>
  <c r="L244" i="35"/>
  <c r="L73" i="35"/>
  <c r="L203" i="33"/>
  <c r="L437" i="33"/>
  <c r="L260" i="35"/>
  <c r="L423" i="33"/>
  <c r="L209" i="33"/>
  <c r="L481" i="33"/>
  <c r="L27" i="33"/>
  <c r="L59" i="33"/>
  <c r="L196" i="33"/>
  <c r="L266" i="35"/>
  <c r="L329" i="33"/>
  <c r="L174" i="35"/>
  <c r="L297" i="33"/>
  <c r="L85" i="35"/>
  <c r="L25" i="33"/>
  <c r="L228" i="35"/>
  <c r="L47" i="33"/>
  <c r="L217" i="33"/>
  <c r="L350" i="35"/>
  <c r="L593" i="35"/>
  <c r="L582" i="35"/>
  <c r="L588" i="35"/>
  <c r="L773" i="33"/>
  <c r="L580" i="35"/>
  <c r="L477" i="35"/>
  <c r="L572" i="33"/>
  <c r="L661" i="33"/>
  <c r="L404" i="35"/>
  <c r="L659" i="33"/>
  <c r="L418" i="35"/>
  <c r="L703" i="33"/>
  <c r="L599" i="33"/>
  <c r="L314" i="35"/>
  <c r="L540" i="33"/>
  <c r="L322" i="35"/>
  <c r="L347" i="33"/>
  <c r="L61" i="33"/>
  <c r="L381" i="33"/>
  <c r="L71" i="35"/>
  <c r="L334" i="35"/>
  <c r="L39" i="33"/>
  <c r="L105" i="35"/>
  <c r="L127" i="35"/>
  <c r="L475" i="33"/>
  <c r="L139" i="35"/>
  <c r="L237" i="33"/>
  <c r="L431" i="33"/>
  <c r="L57" i="33"/>
  <c r="L447" i="33"/>
  <c r="L87" i="33"/>
  <c r="L109" i="33"/>
  <c r="L299" i="33"/>
  <c r="L97" i="33"/>
  <c r="L154" i="33"/>
  <c r="L19" i="35"/>
  <c r="L220" i="35"/>
  <c r="L235" i="33"/>
  <c r="L808" i="33"/>
  <c r="L736" i="33"/>
  <c r="L786" i="33"/>
  <c r="L655" i="33"/>
  <c r="L425" i="35"/>
  <c r="L639" i="33"/>
  <c r="L788" i="33"/>
  <c r="L625" i="33"/>
  <c r="L657" i="33"/>
  <c r="L562" i="33"/>
  <c r="L505" i="33"/>
  <c r="L453" i="33"/>
  <c r="L343" i="33"/>
  <c r="L345" i="33"/>
  <c r="L63" i="33"/>
  <c r="L81" i="33"/>
  <c r="L181" i="33"/>
  <c r="L254" i="35"/>
  <c r="L335" i="33"/>
  <c r="L219" i="33"/>
  <c r="L469" i="33"/>
  <c r="L85" i="33"/>
  <c r="L67" i="33"/>
  <c r="L346" i="35"/>
  <c r="L43" i="33"/>
  <c r="L124" i="33"/>
  <c r="L137" i="35"/>
  <c r="L213" i="33"/>
  <c r="L113" i="35"/>
  <c r="L584" i="35"/>
  <c r="L817" i="33"/>
  <c r="L728" i="33"/>
  <c r="L663" i="33"/>
  <c r="L515" i="33"/>
  <c r="L627" i="33"/>
  <c r="L494" i="35"/>
  <c r="L516" i="33"/>
  <c r="L502" i="35"/>
  <c r="L550" i="33"/>
  <c r="L587" i="33"/>
  <c r="L231" i="33"/>
  <c r="L445" i="33"/>
  <c r="L433" i="33"/>
  <c r="L166" i="35"/>
  <c r="L387" i="33"/>
  <c r="L71" i="33"/>
  <c r="L294" i="35"/>
  <c r="L258" i="35"/>
  <c r="L105" i="33"/>
  <c r="L435" i="33"/>
  <c r="L49" i="33"/>
  <c r="L145" i="35"/>
  <c r="L425" i="33"/>
  <c r="L451" i="33"/>
  <c r="L252" i="35"/>
  <c r="L429" i="33"/>
  <c r="L248" i="33"/>
  <c r="L778" i="33"/>
  <c r="L757" i="33"/>
  <c r="L555" i="35"/>
  <c r="L712" i="33"/>
  <c r="L615" i="33"/>
  <c r="L682" i="33"/>
  <c r="L814" i="33"/>
  <c r="L443" i="35"/>
  <c r="L534" i="35"/>
  <c r="L605" i="33"/>
  <c r="L394" i="35"/>
  <c r="L511" i="33"/>
  <c r="L250" i="35"/>
  <c r="L421" i="33"/>
  <c r="L292" i="35"/>
  <c r="L29" i="33"/>
  <c r="L186" i="33"/>
  <c r="L301" i="33"/>
  <c r="L215" i="33"/>
  <c r="L324" i="35"/>
  <c r="L485" i="33"/>
  <c r="L101" i="33"/>
  <c r="L51" i="33"/>
  <c r="L377" i="33"/>
  <c r="L383" i="33"/>
  <c r="L483" i="33"/>
  <c r="L316" i="35"/>
  <c r="L229" i="33"/>
  <c r="L47" i="35"/>
  <c r="L158" i="35"/>
  <c r="L612" i="35"/>
  <c r="L649" i="33"/>
  <c r="L547" i="35"/>
  <c r="L168" i="35"/>
  <c r="L155" i="35"/>
  <c r="L53" i="33"/>
  <c r="L769" i="33"/>
  <c r="L727" i="33"/>
  <c r="L504" i="35"/>
  <c r="L119" i="33"/>
  <c r="L99" i="33"/>
  <c r="L178" i="33"/>
  <c r="L75" i="33"/>
  <c r="L75" i="35"/>
  <c r="L348" i="35"/>
  <c r="L21" i="33"/>
  <c r="L443" i="33"/>
  <c r="L717" i="33"/>
  <c r="L486" i="35"/>
  <c r="L360" i="35"/>
  <c r="L69" i="33"/>
  <c r="L55" i="33"/>
  <c r="L233" i="33"/>
  <c r="L184" i="35"/>
  <c r="L41" i="33"/>
  <c r="L610" i="33"/>
  <c r="L117" i="33"/>
  <c r="L83" i="33"/>
  <c r="L164" i="35"/>
  <c r="L538" i="33"/>
  <c r="L256" i="35"/>
  <c r="L53" i="35"/>
  <c r="L341" i="33"/>
  <c r="L357" i="33"/>
  <c r="L614" i="35"/>
  <c r="L37" i="33"/>
  <c r="L467" i="35"/>
  <c r="AA714" i="35"/>
  <c r="L693" i="35"/>
  <c r="L710" i="35"/>
  <c r="W691" i="35"/>
  <c r="AA576" i="35"/>
  <c r="W41" i="35"/>
  <c r="L659" i="35"/>
  <c r="L230" i="35"/>
  <c r="W230" i="35"/>
  <c r="AA218" i="35"/>
  <c r="L129" i="35"/>
  <c r="L61" i="35"/>
  <c r="L724" i="35"/>
  <c r="W620" i="35"/>
  <c r="W724" i="35"/>
  <c r="W676" i="35"/>
  <c r="L87" i="35"/>
  <c r="AA210" i="35"/>
  <c r="L224" i="35"/>
  <c r="V236" i="35"/>
  <c r="AA2423" i="35"/>
  <c r="AA19" i="35"/>
  <c r="L149" i="35"/>
  <c r="L672" i="35"/>
  <c r="W714" i="35"/>
  <c r="L17" i="35"/>
  <c r="AA193" i="35"/>
  <c r="AA40" i="35"/>
  <c r="AA70" i="35"/>
  <c r="AA86" i="35"/>
  <c r="AA96" i="35"/>
  <c r="AB72" i="33"/>
  <c r="AB84" i="33"/>
  <c r="L140" i="33"/>
  <c r="L303" i="33"/>
  <c r="L946" i="33"/>
  <c r="W626" i="35"/>
  <c r="L670" i="35"/>
  <c r="AA578" i="35"/>
  <c r="W708" i="35"/>
  <c r="L242" i="35"/>
  <c r="V242" i="35"/>
  <c r="L125" i="35"/>
  <c r="AA242" i="35"/>
  <c r="L103" i="35"/>
  <c r="L714" i="35"/>
  <c r="L234" i="35"/>
  <c r="AA616" i="35"/>
  <c r="L240" i="35"/>
  <c r="V710" i="35"/>
  <c r="V661" i="35"/>
  <c r="W160" i="35"/>
  <c r="AA216" i="35"/>
  <c r="L238" i="35"/>
  <c r="V37" i="35"/>
  <c r="L690" i="35"/>
  <c r="L728" i="35"/>
  <c r="AA676" i="35"/>
  <c r="L37" i="35"/>
  <c r="W578" i="35"/>
  <c r="AA209" i="35"/>
  <c r="AA23" i="35"/>
  <c r="AA44" i="35"/>
  <c r="AA74" i="35"/>
  <c r="AA88" i="35"/>
  <c r="AA116" i="35"/>
  <c r="AB74" i="33"/>
  <c r="AB86" i="33"/>
  <c r="L259" i="33"/>
  <c r="L305" i="33"/>
  <c r="AA736" i="35"/>
  <c r="W736" i="35"/>
  <c r="V736" i="35"/>
  <c r="AA720" i="35"/>
  <c r="V720" i="35"/>
  <c r="AA716" i="35"/>
  <c r="V718" i="35"/>
  <c r="AA718" i="35"/>
  <c r="W716" i="35"/>
  <c r="W720" i="35"/>
  <c r="V716" i="35"/>
  <c r="W718" i="35"/>
  <c r="AB1024" i="33"/>
  <c r="AB1022" i="33"/>
  <c r="AB1018" i="33"/>
  <c r="AB1016" i="33"/>
  <c r="AB1014" i="33"/>
  <c r="AB1006" i="33"/>
  <c r="AB1004" i="33"/>
  <c r="AA756" i="35"/>
  <c r="AB970" i="33"/>
  <c r="AB1012" i="33"/>
  <c r="AA632" i="35"/>
  <c r="V632" i="35"/>
  <c r="W630" i="35"/>
  <c r="V722" i="35"/>
  <c r="AB836" i="33"/>
  <c r="AA630" i="35"/>
  <c r="V630" i="35"/>
  <c r="X684" i="33"/>
  <c r="W695" i="35"/>
  <c r="W663" i="35"/>
  <c r="V676" i="35"/>
  <c r="W674" i="35"/>
  <c r="V665" i="35"/>
  <c r="AB841" i="33"/>
  <c r="AB839" i="33"/>
  <c r="W634" i="35"/>
  <c r="W698" i="35"/>
  <c r="AA663" i="35"/>
  <c r="V663" i="35"/>
  <c r="AA674" i="35"/>
  <c r="V674" i="35"/>
  <c r="AA661" i="35"/>
  <c r="AA634" i="35"/>
  <c r="V634" i="35"/>
  <c r="W632" i="35"/>
  <c r="V588" i="35"/>
  <c r="AA582" i="35"/>
  <c r="W609" i="35"/>
  <c r="V589" i="35"/>
  <c r="W614" i="35"/>
  <c r="AA562" i="35"/>
  <c r="V560" i="35"/>
  <c r="AA553" i="35"/>
  <c r="AB790" i="33"/>
  <c r="V591" i="35"/>
  <c r="V609" i="35"/>
  <c r="AA556" i="35"/>
  <c r="AA538" i="35"/>
  <c r="AB759" i="33"/>
  <c r="AB713" i="33"/>
  <c r="AA545" i="35"/>
  <c r="AB806" i="33"/>
  <c r="V607" i="35"/>
  <c r="AA560" i="35"/>
  <c r="AA543" i="35"/>
  <c r="AB771" i="33"/>
  <c r="AB709" i="33"/>
  <c r="AB710" i="33"/>
  <c r="AB786" i="33"/>
  <c r="AB708" i="33"/>
  <c r="AB671" i="33"/>
  <c r="AA486" i="35"/>
  <c r="AA481" i="35"/>
  <c r="AA479" i="35"/>
  <c r="AB637" i="33"/>
  <c r="AB608" i="33"/>
  <c r="AA424" i="35"/>
  <c r="AB569" i="33"/>
  <c r="AA362" i="35"/>
  <c r="AB552" i="33"/>
  <c r="V562" i="35"/>
  <c r="AB788" i="33"/>
  <c r="AB712" i="33"/>
  <c r="AB674" i="33"/>
  <c r="W484" i="35"/>
  <c r="W463" i="35"/>
  <c r="V465" i="35"/>
  <c r="AA445" i="35"/>
  <c r="AB610" i="33"/>
  <c r="V402" i="35"/>
  <c r="AA425" i="35"/>
  <c r="AA409" i="35"/>
  <c r="AB561" i="33"/>
  <c r="AA412" i="35"/>
  <c r="W553" i="35"/>
  <c r="AB750" i="33"/>
  <c r="V494" i="35"/>
  <c r="W502" i="35"/>
  <c r="AA484" i="35"/>
  <c r="AA477" i="35"/>
  <c r="AA482" i="35"/>
  <c r="AB619" i="33"/>
  <c r="AA418" i="35"/>
  <c r="W400" i="35"/>
  <c r="AB573" i="33"/>
  <c r="AB543" i="33"/>
  <c r="AA358" i="35"/>
  <c r="V611" i="35"/>
  <c r="V543" i="35"/>
  <c r="AB730" i="33"/>
  <c r="AB655" i="33"/>
  <c r="AA463" i="35"/>
  <c r="V463" i="35"/>
  <c r="AA496" i="35"/>
  <c r="V481" i="35"/>
  <c r="AB614" i="33"/>
  <c r="AA399" i="35"/>
  <c r="AA423" i="35"/>
  <c r="AA404" i="35"/>
  <c r="AB503" i="33"/>
  <c r="W394" i="35"/>
  <c r="AA343" i="35"/>
  <c r="W334" i="35"/>
  <c r="V340" i="35"/>
  <c r="AA364" i="35"/>
  <c r="AA346" i="35"/>
  <c r="AA383" i="35"/>
  <c r="AB417" i="33"/>
  <c r="AB211" i="33"/>
  <c r="AA22" i="35"/>
  <c r="AA224" i="35"/>
  <c r="V336" i="35"/>
  <c r="AB34" i="33"/>
  <c r="W236" i="35"/>
  <c r="AB57" i="33"/>
  <c r="AB551" i="33"/>
  <c r="AB582" i="33"/>
  <c r="V326" i="35"/>
  <c r="W348" i="35"/>
  <c r="AB435" i="33"/>
  <c r="W324" i="35"/>
  <c r="AA316" i="35"/>
  <c r="W242" i="35"/>
  <c r="AB217" i="33"/>
  <c r="AB182" i="33"/>
  <c r="AA60" i="35"/>
  <c r="W340" i="35"/>
  <c r="AB181" i="33"/>
  <c r="AB213" i="33"/>
  <c r="AB62" i="33"/>
  <c r="AA330" i="35"/>
  <c r="AA370" i="35"/>
  <c r="AA372" i="35"/>
  <c r="AA355" i="35"/>
  <c r="AB228" i="33"/>
  <c r="AA213" i="35"/>
  <c r="AB369" i="33"/>
  <c r="AB130" i="33"/>
  <c r="AA63" i="35"/>
  <c r="AA319" i="35"/>
  <c r="AA322" i="35"/>
  <c r="V392" i="35"/>
  <c r="AA326" i="35"/>
  <c r="AA338" i="35"/>
  <c r="V346" i="35"/>
  <c r="AA339" i="35"/>
  <c r="AA290" i="35"/>
  <c r="AB16" i="33"/>
  <c r="AA117" i="35"/>
  <c r="AB423" i="33"/>
  <c r="AB415" i="33"/>
  <c r="W588" i="35"/>
  <c r="V614" i="35"/>
  <c r="V584" i="35"/>
  <c r="V555" i="35"/>
  <c r="AA589" i="35"/>
  <c r="AB804" i="33"/>
  <c r="V582" i="35"/>
  <c r="W538" i="35"/>
  <c r="AB746" i="33"/>
  <c r="AB714" i="33"/>
  <c r="AA611" i="35"/>
  <c r="V586" i="35"/>
  <c r="W560" i="35"/>
  <c r="AB740" i="33"/>
  <c r="AB725" i="33"/>
  <c r="W582" i="35"/>
  <c r="AB761" i="33"/>
  <c r="AA468" i="35"/>
  <c r="AA502" i="35"/>
  <c r="W473" i="35"/>
  <c r="AB617" i="33"/>
  <c r="V427" i="35"/>
  <c r="V404" i="35"/>
  <c r="W412" i="35"/>
  <c r="W586" i="35"/>
  <c r="AB748" i="33"/>
  <c r="W492" i="35"/>
  <c r="V508" i="35"/>
  <c r="W496" i="35"/>
  <c r="AA465" i="35"/>
  <c r="AB621" i="33"/>
  <c r="AA400" i="35"/>
  <c r="AB571" i="33"/>
  <c r="AB560" i="33"/>
  <c r="W611" i="35"/>
  <c r="AA532" i="35"/>
  <c r="AA492" i="35"/>
  <c r="AA500" i="35"/>
  <c r="AA473" i="35"/>
  <c r="W479" i="35"/>
  <c r="AB615" i="33"/>
  <c r="W420" i="35"/>
  <c r="W418" i="35"/>
  <c r="AB517" i="33"/>
  <c r="AB810" i="33"/>
  <c r="W547" i="35"/>
  <c r="AB705" i="33"/>
  <c r="AB663" i="33"/>
  <c r="V486" i="35"/>
  <c r="W477" i="35"/>
  <c r="AB649" i="33"/>
  <c r="V420" i="35"/>
  <c r="AA419" i="35"/>
  <c r="AB542" i="33"/>
  <c r="V390" i="35"/>
  <c r="V328" i="35"/>
  <c r="AA392" i="35"/>
  <c r="AA395" i="35"/>
  <c r="AA360" i="35"/>
  <c r="AA351" i="35"/>
  <c r="AB496" i="33"/>
  <c r="AB196" i="33"/>
  <c r="V324" i="35"/>
  <c r="AB240" i="33"/>
  <c r="V330" i="35"/>
  <c r="AA367" i="35"/>
  <c r="AA385" i="35"/>
  <c r="AA377" i="35"/>
  <c r="AA34" i="35"/>
  <c r="V67" i="35"/>
  <c r="AB529" i="33"/>
  <c r="V79" i="35"/>
  <c r="AB446" i="33"/>
  <c r="AA744" i="35"/>
  <c r="AA112" i="35"/>
  <c r="V310" i="35"/>
  <c r="W332" i="35"/>
  <c r="AA354" i="35"/>
  <c r="AB79" i="33"/>
  <c r="AB207" i="33"/>
  <c r="AA373" i="35"/>
  <c r="AB336" i="33"/>
  <c r="V160" i="35"/>
  <c r="AA97" i="35"/>
  <c r="AA329" i="35"/>
  <c r="AA344" i="35"/>
  <c r="W328" i="35"/>
  <c r="AB468" i="33"/>
  <c r="AA337" i="35"/>
  <c r="AB45" i="33"/>
  <c r="V71" i="35"/>
  <c r="W73" i="35"/>
  <c r="AA120" i="35"/>
  <c r="AB553" i="33"/>
  <c r="AB242" i="33"/>
  <c r="V83" i="35"/>
  <c r="AB345" i="33"/>
  <c r="AA6" i="35"/>
  <c r="AB469" i="33"/>
  <c r="AA341" i="35"/>
  <c r="AA241" i="35"/>
  <c r="W71" i="35"/>
  <c r="AB318" i="33"/>
  <c r="AA32" i="35"/>
  <c r="AA67" i="35"/>
  <c r="AB604" i="33"/>
  <c r="AA202" i="35"/>
  <c r="AA36" i="35"/>
  <c r="AB279" i="33"/>
  <c r="AA72" i="35"/>
  <c r="AA66" i="35"/>
  <c r="AA56" i="35"/>
  <c r="W591" i="35"/>
  <c r="W555" i="35"/>
  <c r="V556" i="35"/>
  <c r="AA588" i="35"/>
  <c r="W556" i="35"/>
  <c r="V547" i="35"/>
  <c r="AB718" i="33"/>
  <c r="W545" i="35"/>
  <c r="V593" i="35"/>
  <c r="AA547" i="35"/>
  <c r="AB752" i="33"/>
  <c r="AA584" i="35"/>
  <c r="W494" i="35"/>
  <c r="V502" i="35"/>
  <c r="W465" i="35"/>
  <c r="AB603" i="33"/>
  <c r="W402" i="35"/>
  <c r="AB516" i="33"/>
  <c r="W543" i="35"/>
  <c r="AB736" i="33"/>
  <c r="AA508" i="35"/>
  <c r="W482" i="35"/>
  <c r="AB651" i="33"/>
  <c r="AA402" i="35"/>
  <c r="AA405" i="35"/>
  <c r="W406" i="35"/>
  <c r="V540" i="35"/>
  <c r="AB665" i="33"/>
  <c r="V468" i="35"/>
  <c r="V496" i="35"/>
  <c r="AB599" i="33"/>
  <c r="V418" i="35"/>
  <c r="AA408" i="35"/>
  <c r="AA614" i="35"/>
  <c r="AB753" i="33"/>
  <c r="AB672" i="33"/>
  <c r="V475" i="35"/>
  <c r="V498" i="35"/>
  <c r="AB605" i="33"/>
  <c r="AA428" i="35"/>
  <c r="AA413" i="35"/>
  <c r="W330" i="35"/>
  <c r="AA307" i="35"/>
  <c r="AA317" i="35"/>
  <c r="W308" i="35"/>
  <c r="AB522" i="33"/>
  <c r="AB292" i="33"/>
  <c r="AB408" i="33"/>
  <c r="AA327" i="35"/>
  <c r="AA366" i="35"/>
  <c r="AB340" i="33"/>
  <c r="AA162" i="35"/>
  <c r="AB324" i="33"/>
  <c r="AA8" i="35"/>
  <c r="AA276" i="35"/>
  <c r="AB15" i="33"/>
  <c r="W322" i="35"/>
  <c r="AA353" i="35"/>
  <c r="V155" i="35"/>
  <c r="V133" i="35"/>
  <c r="V314" i="35"/>
  <c r="AA387" i="35"/>
  <c r="AB812" i="33"/>
  <c r="W584" i="35"/>
  <c r="W542" i="35"/>
  <c r="AA591" i="35"/>
  <c r="AA586" i="35"/>
  <c r="AA536" i="35"/>
  <c r="AB721" i="33"/>
  <c r="V545" i="35"/>
  <c r="AA580" i="35"/>
  <c r="AA540" i="35"/>
  <c r="AB728" i="33"/>
  <c r="AB757" i="33"/>
  <c r="AB667" i="33"/>
  <c r="V467" i="35"/>
  <c r="W481" i="35"/>
  <c r="W427" i="35"/>
  <c r="V425" i="35"/>
  <c r="AA407" i="35"/>
  <c r="W540" i="35"/>
  <c r="AA494" i="35"/>
  <c r="AA467" i="35"/>
  <c r="AA475" i="35"/>
  <c r="AB627" i="33"/>
  <c r="V423" i="35"/>
  <c r="AA411" i="35"/>
  <c r="V412" i="35"/>
  <c r="AB755" i="33"/>
  <c r="AB659" i="33"/>
  <c r="W468" i="35"/>
  <c r="V477" i="35"/>
  <c r="AB612" i="33"/>
  <c r="AA427" i="35"/>
  <c r="AA359" i="35"/>
  <c r="W593" i="35"/>
  <c r="AB711" i="33"/>
  <c r="W500" i="35"/>
  <c r="V473" i="35"/>
  <c r="AB641" i="33"/>
  <c r="W423" i="35"/>
  <c r="V410" i="35"/>
  <c r="V394" i="35"/>
  <c r="W310" i="35"/>
  <c r="AB454" i="33"/>
  <c r="AB477" i="33"/>
  <c r="AA384" i="35"/>
  <c r="AB410" i="33"/>
  <c r="V216" i="35"/>
  <c r="AA375" i="35"/>
  <c r="AB278" i="33"/>
  <c r="AB562" i="33"/>
  <c r="AA331" i="35"/>
  <c r="AA379" i="35"/>
  <c r="AA309" i="35"/>
  <c r="AA144" i="35"/>
  <c r="AB440" i="33"/>
  <c r="AB14" i="33"/>
  <c r="AB54" i="33"/>
  <c r="AB239" i="33"/>
  <c r="AB600" i="33"/>
  <c r="AA239" i="35"/>
  <c r="AA325" i="35"/>
  <c r="AB425" i="33"/>
  <c r="AA292" i="35"/>
  <c r="V224" i="35"/>
  <c r="W338" i="35"/>
  <c r="AB42" i="33"/>
  <c r="AB178" i="33"/>
  <c r="AA7" i="35"/>
  <c r="AA236" i="35"/>
  <c r="W392" i="35"/>
  <c r="W314" i="35"/>
  <c r="AA390" i="35"/>
  <c r="W151" i="35"/>
  <c r="AB320" i="33"/>
  <c r="AA14" i="35"/>
  <c r="V69" i="35"/>
  <c r="AA125" i="35"/>
  <c r="AB458" i="33"/>
  <c r="AA396" i="35"/>
  <c r="AB113" i="33"/>
  <c r="AA221" i="35"/>
  <c r="AB294" i="33"/>
  <c r="AB377" i="33"/>
  <c r="AB329" i="33"/>
  <c r="AB235" i="33"/>
  <c r="AB205" i="33"/>
  <c r="AB30" i="33"/>
  <c r="AB17" i="33"/>
  <c r="W75" i="35"/>
  <c r="AA69" i="35"/>
  <c r="AB162" i="33"/>
  <c r="AB129" i="33"/>
  <c r="W53" i="35"/>
  <c r="W336" i="35"/>
  <c r="AA269" i="35"/>
  <c r="AB337" i="33"/>
  <c r="AA203" i="35"/>
  <c r="AA75" i="35"/>
  <c r="W216" i="35"/>
  <c r="AB597" i="33"/>
  <c r="AB51" i="33"/>
  <c r="AA17" i="35"/>
  <c r="AB168" i="33"/>
  <c r="AA68" i="35"/>
  <c r="AA197" i="35"/>
  <c r="AA220" i="35"/>
  <c r="AA16" i="35"/>
  <c r="AA240" i="35"/>
  <c r="V87" i="35"/>
  <c r="AA28" i="35"/>
  <c r="AB8" i="33"/>
  <c r="AA312" i="35"/>
  <c r="AA58" i="35"/>
  <c r="V240" i="35"/>
  <c r="AA273" i="35"/>
  <c r="AA368" i="35"/>
  <c r="AA160" i="35"/>
  <c r="V218" i="35"/>
  <c r="W238" i="35"/>
  <c r="W87" i="35"/>
  <c r="AB58" i="33"/>
  <c r="AB236" i="33"/>
  <c r="AB184" i="33"/>
  <c r="AB29" i="33"/>
  <c r="AB462" i="33"/>
  <c r="V226" i="35"/>
  <c r="W125" i="35"/>
  <c r="AB520" i="33"/>
  <c r="AB387" i="33"/>
  <c r="AB199" i="33"/>
  <c r="AB381" i="33"/>
  <c r="AB358" i="33"/>
  <c r="AB47" i="33"/>
  <c r="V123" i="35"/>
  <c r="AB157" i="33"/>
  <c r="AA278" i="35"/>
  <c r="W228" i="35"/>
  <c r="AB269" i="33"/>
  <c r="AB250" i="33"/>
  <c r="AB464" i="33"/>
  <c r="AB175" i="33"/>
  <c r="AB483" i="33"/>
  <c r="AB549" i="33"/>
  <c r="AB298" i="33"/>
  <c r="AA263" i="35"/>
  <c r="AA258" i="35"/>
  <c r="V129" i="35"/>
  <c r="W254" i="35"/>
  <c r="AB606" i="33"/>
  <c r="AB95" i="33"/>
  <c r="AB353" i="33"/>
  <c r="W133" i="35"/>
  <c r="AA288" i="35"/>
  <c r="V308" i="35"/>
  <c r="W149" i="35"/>
  <c r="AB37" i="33"/>
  <c r="AA64" i="35"/>
  <c r="AB154" i="33"/>
  <c r="AA150" i="35"/>
  <c r="AA141" i="35"/>
  <c r="AB490" i="33"/>
  <c r="AB554" i="33"/>
  <c r="AA262" i="35"/>
  <c r="AB270" i="33"/>
  <c r="AA135" i="35"/>
  <c r="AA237" i="35"/>
  <c r="V260" i="35"/>
  <c r="AB27" i="33"/>
  <c r="AB312" i="33"/>
  <c r="AA217" i="35"/>
  <c r="AA98" i="35"/>
  <c r="AA95" i="35"/>
  <c r="AA231" i="35"/>
  <c r="AB46" i="33"/>
  <c r="AB20" i="33"/>
  <c r="W129" i="35"/>
  <c r="AB378" i="33"/>
  <c r="AB290" i="33"/>
  <c r="AB189" i="33"/>
  <c r="AB449" i="33"/>
  <c r="AA270" i="35"/>
  <c r="AB432" i="33"/>
  <c r="AB534" i="33"/>
  <c r="AB382" i="33"/>
  <c r="AB259" i="33"/>
  <c r="AB531" i="33"/>
  <c r="AB357" i="33"/>
  <c r="AB390" i="33"/>
  <c r="AB412" i="33"/>
  <c r="AA225" i="35"/>
  <c r="AB109" i="33"/>
  <c r="AA287" i="35"/>
  <c r="AA284" i="35"/>
  <c r="AB342" i="33"/>
  <c r="V228" i="35"/>
  <c r="AA145" i="35"/>
  <c r="AB80" i="33"/>
  <c r="AB101" i="33"/>
  <c r="AB282" i="33"/>
  <c r="AB420" i="33"/>
  <c r="AB476" i="33"/>
  <c r="AB478" i="33"/>
  <c r="AA201" i="35"/>
  <c r="AA24" i="35"/>
  <c r="AA129" i="35"/>
  <c r="V61" i="35"/>
  <c r="AB124" i="33"/>
  <c r="AB191" i="33"/>
  <c r="AB539" i="33"/>
  <c r="V127" i="35"/>
  <c r="AB108" i="33"/>
  <c r="AB579" i="33"/>
  <c r="V178" i="35"/>
  <c r="AB252" i="33"/>
  <c r="AB422" i="33"/>
  <c r="AB538" i="33"/>
  <c r="AB179" i="33"/>
  <c r="AA76" i="35"/>
  <c r="AB379" i="33"/>
  <c r="V51" i="35"/>
  <c r="AB210" i="33"/>
  <c r="AB321" i="33"/>
  <c r="AB161" i="33"/>
  <c r="AB275" i="33"/>
  <c r="V164" i="35"/>
  <c r="W127" i="35"/>
  <c r="AB96" i="33"/>
  <c r="AA247" i="35"/>
  <c r="AA137" i="35"/>
  <c r="AB530" i="33"/>
  <c r="AB67" i="33"/>
  <c r="V75" i="35"/>
  <c r="AB153" i="33"/>
  <c r="AA166" i="35"/>
  <c r="AB103" i="33"/>
  <c r="AB398" i="33"/>
  <c r="AB590" i="33"/>
  <c r="AB238" i="33"/>
  <c r="AB163" i="33"/>
  <c r="AB512" i="33"/>
  <c r="AB115" i="33"/>
  <c r="AA268" i="35"/>
  <c r="AB218" i="33"/>
  <c r="AA271" i="35"/>
  <c r="AB303" i="33"/>
  <c r="AB371" i="33"/>
  <c r="AB550" i="33"/>
  <c r="AA208" i="35"/>
  <c r="AA147" i="35"/>
  <c r="AB575" i="33"/>
  <c r="AB356" i="33"/>
  <c r="AB288" i="33"/>
  <c r="AB325" i="33"/>
  <c r="AB424" i="33"/>
  <c r="AB87" i="33"/>
  <c r="AB299" i="33"/>
  <c r="AB308" i="33"/>
  <c r="AA609" i="35"/>
  <c r="AA558" i="35"/>
  <c r="V538" i="35"/>
  <c r="AA607" i="35"/>
  <c r="AA542" i="35"/>
  <c r="AB744" i="33"/>
  <c r="W589" i="35"/>
  <c r="AA593" i="35"/>
  <c r="V580" i="35"/>
  <c r="AB742" i="33"/>
  <c r="W558" i="35"/>
  <c r="AB723" i="33"/>
  <c r="V484" i="35"/>
  <c r="W504" i="35"/>
  <c r="AB625" i="33"/>
  <c r="AA401" i="35"/>
  <c r="W404" i="35"/>
  <c r="W607" i="35"/>
  <c r="AB706" i="33"/>
  <c r="AB653" i="33"/>
  <c r="W467" i="35"/>
  <c r="V479" i="35"/>
  <c r="AA426" i="35"/>
  <c r="AA420" i="35"/>
  <c r="AB523" i="33"/>
  <c r="V558" i="35"/>
  <c r="AB715" i="33"/>
  <c r="W486" i="35"/>
  <c r="W475" i="35"/>
  <c r="AB635" i="33"/>
  <c r="AA421" i="35"/>
  <c r="AA410" i="35"/>
  <c r="V406" i="35"/>
  <c r="AB763" i="33"/>
  <c r="AA515" i="35"/>
  <c r="W506" i="35"/>
  <c r="V504" i="35"/>
  <c r="AB601" i="33"/>
  <c r="V398" i="35"/>
  <c r="AB515" i="33"/>
  <c r="V322" i="35"/>
  <c r="W346" i="35"/>
  <c r="AA371" i="35"/>
  <c r="AA361" i="35"/>
  <c r="AB444" i="33"/>
  <c r="AA46" i="35"/>
  <c r="AB137" i="33"/>
  <c r="AB474" i="33"/>
  <c r="AB453" i="33"/>
  <c r="AA381" i="35"/>
  <c r="AB557" i="33"/>
  <c r="AB439" i="33"/>
  <c r="AA294" i="35"/>
  <c r="AB69" i="33"/>
  <c r="AB388" i="33"/>
  <c r="AB53" i="33"/>
  <c r="AA320" i="35"/>
  <c r="AB467" i="33"/>
  <c r="AA313" i="35"/>
  <c r="W51" i="35"/>
  <c r="AA139" i="35"/>
  <c r="AB6" i="33"/>
  <c r="AA310" i="35"/>
  <c r="AA318" i="35"/>
  <c r="AB437" i="33"/>
  <c r="AA352" i="35"/>
  <c r="AA38" i="35"/>
  <c r="AA393" i="35"/>
  <c r="V145" i="35"/>
  <c r="AB187" i="33"/>
  <c r="AB127" i="33"/>
  <c r="AB55" i="33"/>
  <c r="AB280" i="33"/>
  <c r="AA15" i="35"/>
  <c r="AB307" i="33"/>
  <c r="AA380" i="35"/>
  <c r="AB567" i="33"/>
  <c r="AB73" i="33"/>
  <c r="AB89" i="33"/>
  <c r="V238" i="35"/>
  <c r="AB38" i="33"/>
  <c r="W218" i="35"/>
  <c r="AB188" i="33"/>
  <c r="AA73" i="35"/>
  <c r="AA102" i="35"/>
  <c r="AB316" i="33"/>
  <c r="AB314" i="33"/>
  <c r="AB26" i="33"/>
  <c r="AA5" i="35"/>
  <c r="AB32" i="33"/>
  <c r="AA12" i="35"/>
  <c r="AA378" i="35"/>
  <c r="AA349" i="35"/>
  <c r="AB295" i="33"/>
  <c r="AB98" i="33"/>
  <c r="W77" i="35"/>
  <c r="AB2893" i="33"/>
  <c r="AB286" i="33"/>
  <c r="AB247" i="33"/>
  <c r="AB131" i="33"/>
  <c r="AB202" i="33"/>
  <c r="AA293" i="35"/>
  <c r="AB39" i="33"/>
  <c r="AB28" i="33"/>
  <c r="W69" i="35"/>
  <c r="V338" i="35"/>
  <c r="AA347" i="35"/>
  <c r="AB5" i="33"/>
  <c r="AA20" i="35"/>
  <c r="AA121" i="35"/>
  <c r="W61" i="35"/>
  <c r="AA61" i="35"/>
  <c r="AB104" i="33"/>
  <c r="AA171" i="35"/>
  <c r="AA126" i="35"/>
  <c r="AB68" i="33"/>
  <c r="AA212" i="35"/>
  <c r="AA234" i="35"/>
  <c r="AB203" i="33"/>
  <c r="W47" i="35"/>
  <c r="AB287" i="33"/>
  <c r="AB305" i="33"/>
  <c r="AB206" i="33"/>
  <c r="AB578" i="33"/>
  <c r="W166" i="35"/>
  <c r="AA235" i="35"/>
  <c r="AA260" i="35"/>
  <c r="W135" i="35"/>
  <c r="AB309" i="33"/>
  <c r="W244" i="35"/>
  <c r="AB234" i="33"/>
  <c r="AA277" i="35"/>
  <c r="AB285" i="33"/>
  <c r="AB481" i="33"/>
  <c r="AA253" i="35"/>
  <c r="AB117" i="33"/>
  <c r="AA272" i="35"/>
  <c r="AB375" i="33"/>
  <c r="AB194" i="33"/>
  <c r="AB479" i="33"/>
  <c r="AB152" i="33"/>
  <c r="W155" i="35"/>
  <c r="W258" i="35"/>
  <c r="AB374" i="33"/>
  <c r="AB584" i="33"/>
  <c r="AB246" i="33"/>
  <c r="AB328" i="33"/>
  <c r="W174" i="35"/>
  <c r="AB297" i="33"/>
  <c r="AA84" i="35"/>
  <c r="AB135" i="33"/>
  <c r="AB23" i="33"/>
  <c r="AB147" i="33"/>
  <c r="AA196" i="35"/>
  <c r="AA52" i="35"/>
  <c r="AA49" i="35"/>
  <c r="AA9" i="35"/>
  <c r="AA205" i="35"/>
  <c r="W81" i="35"/>
  <c r="AB193" i="33"/>
  <c r="AB237" i="33"/>
  <c r="AB463" i="33"/>
  <c r="AB334" i="33"/>
  <c r="AA42" i="35"/>
  <c r="V151" i="35"/>
  <c r="W153" i="35"/>
  <c r="AB347" i="33"/>
  <c r="AB63" i="33"/>
  <c r="AA108" i="35"/>
  <c r="AB547" i="33"/>
  <c r="AB41" i="33"/>
  <c r="AB141" i="33"/>
  <c r="AB160" i="33"/>
  <c r="AA136" i="35"/>
  <c r="AB241" i="33"/>
  <c r="AA87" i="35"/>
  <c r="AB56" i="33"/>
  <c r="W79" i="35"/>
  <c r="AA41" i="35"/>
  <c r="AB12" i="33"/>
  <c r="V135" i="35"/>
  <c r="AB254" i="33"/>
  <c r="V147" i="35"/>
  <c r="W43" i="35"/>
  <c r="AB505" i="33"/>
  <c r="AB395" i="33"/>
  <c r="AB485" i="33"/>
  <c r="AB126" i="33"/>
  <c r="AB421" i="33"/>
  <c r="AB173" i="33"/>
  <c r="V125" i="35"/>
  <c r="AA164" i="35"/>
  <c r="AB276" i="33"/>
  <c r="AB430" i="33"/>
  <c r="AB291" i="33"/>
  <c r="AB589" i="33"/>
  <c r="W162" i="35"/>
  <c r="AB105" i="33"/>
  <c r="AB171" i="33"/>
  <c r="AB564" i="33"/>
  <c r="V158" i="35"/>
  <c r="V180" i="35"/>
  <c r="AA254" i="35"/>
  <c r="AA172" i="35"/>
  <c r="AA127" i="35"/>
  <c r="AB330" i="33"/>
  <c r="AB146" i="33"/>
  <c r="W37" i="35"/>
  <c r="AB508" i="33"/>
  <c r="AA745" i="35"/>
  <c r="AB151" i="33"/>
  <c r="AA153" i="35"/>
  <c r="V256" i="35"/>
  <c r="AB249" i="33"/>
  <c r="AB498" i="33"/>
  <c r="AB229" i="33"/>
  <c r="AB585" i="33"/>
  <c r="AB455" i="33"/>
  <c r="AB370" i="33"/>
  <c r="AB507" i="33"/>
  <c r="AB82" i="33"/>
  <c r="AB448" i="33"/>
  <c r="AA155" i="35"/>
  <c r="AB248" i="33"/>
  <c r="V266" i="35"/>
  <c r="AB341" i="33"/>
  <c r="AB272" i="33"/>
  <c r="AB556" i="33"/>
  <c r="AB150" i="33"/>
  <c r="AA133" i="35"/>
  <c r="AB355" i="33"/>
  <c r="AA186" i="35"/>
  <c r="AB456" i="33"/>
  <c r="AB594" i="33"/>
  <c r="AB222" i="33"/>
  <c r="AA246" i="35"/>
  <c r="AB526" i="33"/>
  <c r="AB125" i="33"/>
  <c r="AB487" i="33"/>
  <c r="AB313" i="33"/>
  <c r="AB401" i="33"/>
  <c r="AB204" i="33"/>
  <c r="W180" i="35"/>
  <c r="AA37" i="35"/>
  <c r="AA243" i="35"/>
  <c r="AB90" i="33"/>
  <c r="AB332" i="33"/>
  <c r="AB114" i="33"/>
  <c r="AB451" i="33"/>
  <c r="W234" i="35"/>
  <c r="AB323" i="33"/>
  <c r="AB406" i="33"/>
  <c r="AB100" i="33"/>
  <c r="AB428" i="33"/>
  <c r="AB145" i="33"/>
  <c r="AB489" i="33"/>
  <c r="AB528" i="33"/>
  <c r="AA47" i="35"/>
  <c r="AA394" i="35"/>
  <c r="AB261" i="33"/>
  <c r="AB473" i="33"/>
  <c r="AB814" i="33"/>
  <c r="AA612" i="35"/>
  <c r="AB716" i="33"/>
  <c r="W425" i="35"/>
  <c r="AB661" i="33"/>
  <c r="AA398" i="35"/>
  <c r="AB657" i="33"/>
  <c r="W410" i="35"/>
  <c r="V506" i="35"/>
  <c r="W408" i="35"/>
  <c r="V316" i="35"/>
  <c r="AB121" i="33"/>
  <c r="AA340" i="35"/>
  <c r="AB592" i="33"/>
  <c r="AA291" i="35"/>
  <c r="AB43" i="33"/>
  <c r="AA328" i="35"/>
  <c r="W158" i="35"/>
  <c r="AA55" i="35"/>
  <c r="AB484" i="33"/>
  <c r="AB443" i="33"/>
  <c r="AA332" i="35"/>
  <c r="AA279" i="35"/>
  <c r="W262" i="35"/>
  <c r="AA90" i="35"/>
  <c r="AA81" i="35"/>
  <c r="AA18" i="35"/>
  <c r="AB40" i="33"/>
  <c r="AB64" i="33"/>
  <c r="V348" i="35"/>
  <c r="AB10" i="33"/>
  <c r="AA198" i="35"/>
  <c r="AB565" i="33"/>
  <c r="V230" i="35"/>
  <c r="AB133" i="33"/>
  <c r="AA115" i="35"/>
  <c r="AB159" i="33"/>
  <c r="AA206" i="35"/>
  <c r="AA13" i="35"/>
  <c r="AA27" i="35"/>
  <c r="V312" i="35"/>
  <c r="AB13" i="33"/>
  <c r="AB44" i="33"/>
  <c r="W49" i="35"/>
  <c r="W232" i="35"/>
  <c r="AB502" i="33"/>
  <c r="AB110" i="33"/>
  <c r="AB366" i="33"/>
  <c r="V162" i="35"/>
  <c r="AB499" i="33"/>
  <c r="V77" i="35"/>
  <c r="AB429" i="33"/>
  <c r="AB97" i="33"/>
  <c r="W178" i="35"/>
  <c r="AB808" i="33"/>
  <c r="AA555" i="35"/>
  <c r="W580" i="35"/>
  <c r="AA506" i="35"/>
  <c r="V408" i="35"/>
  <c r="V500" i="35"/>
  <c r="AA386" i="35"/>
  <c r="V482" i="35"/>
  <c r="AA406" i="35"/>
  <c r="AA504" i="35"/>
  <c r="W326" i="35"/>
  <c r="AB409" i="33"/>
  <c r="AB506" i="33"/>
  <c r="AB514" i="33"/>
  <c r="AB223" i="33"/>
  <c r="AB59" i="33"/>
  <c r="AB176" i="33"/>
  <c r="AA374" i="35"/>
  <c r="AB201" i="33"/>
  <c r="AB501" i="33"/>
  <c r="AB233" i="33"/>
  <c r="AA334" i="35"/>
  <c r="AB265" i="33"/>
  <c r="AB122" i="33"/>
  <c r="AB583" i="33"/>
  <c r="AB231" i="33"/>
  <c r="AB166" i="33"/>
  <c r="AA25" i="35"/>
  <c r="W316" i="35"/>
  <c r="AB304" i="33"/>
  <c r="W83" i="35"/>
  <c r="AA30" i="35"/>
  <c r="V81" i="35"/>
  <c r="AB216" i="33"/>
  <c r="AB322" i="33"/>
  <c r="W312" i="35"/>
  <c r="AB225" i="33"/>
  <c r="AA111" i="35"/>
  <c r="AB267" i="33"/>
  <c r="AA51" i="35"/>
  <c r="W224" i="35"/>
  <c r="AA89" i="35"/>
  <c r="AA83" i="35"/>
  <c r="AB156" i="33"/>
  <c r="AB545" i="33"/>
  <c r="AB301" i="33"/>
  <c r="AB155" i="33"/>
  <c r="AB372" i="33"/>
  <c r="AB185" i="33"/>
  <c r="AB519" i="33"/>
  <c r="AB106" i="33"/>
  <c r="W252" i="35"/>
  <c r="W250" i="35"/>
  <c r="AB11" i="33"/>
  <c r="AB419" i="33"/>
  <c r="AB209" i="33"/>
  <c r="V542" i="35"/>
  <c r="AB707" i="33"/>
  <c r="AB717" i="33"/>
  <c r="AB650" i="33"/>
  <c r="AB703" i="33"/>
  <c r="AB607" i="33"/>
  <c r="AB719" i="33"/>
  <c r="V400" i="35"/>
  <c r="V492" i="35"/>
  <c r="W398" i="35"/>
  <c r="AA348" i="35"/>
  <c r="AB9" i="33"/>
  <c r="AA397" i="35"/>
  <c r="AA365" i="35"/>
  <c r="AA342" i="35"/>
  <c r="W145" i="35"/>
  <c r="AA376" i="35"/>
  <c r="AA31" i="35"/>
  <c r="AB158" i="33"/>
  <c r="AB165" i="33"/>
  <c r="AB373" i="33"/>
  <c r="AB192" i="33"/>
  <c r="AB81" i="33"/>
  <c r="AA274" i="35"/>
  <c r="AB266" i="33"/>
  <c r="AA21" i="35"/>
  <c r="AB546" i="33"/>
  <c r="AB227" i="33"/>
  <c r="AB368" i="33"/>
  <c r="AA122" i="35"/>
  <c r="AA199" i="35"/>
  <c r="AB119" i="33"/>
  <c r="V334" i="35"/>
  <c r="AB253" i="33"/>
  <c r="AA114" i="35"/>
  <c r="AB48" i="33"/>
  <c r="AA105" i="35"/>
  <c r="AA369" i="35"/>
  <c r="AB186" i="33"/>
  <c r="AB35" i="33"/>
  <c r="AA194" i="35"/>
  <c r="AB123" i="33"/>
  <c r="AB180" i="33"/>
  <c r="AA230" i="35"/>
  <c r="AA85" i="35"/>
  <c r="AA71" i="35"/>
  <c r="AB588" i="33"/>
  <c r="AA10" i="35"/>
  <c r="AB535" i="33"/>
  <c r="AB306" i="33"/>
  <c r="AB365" i="33"/>
  <c r="AA252" i="35"/>
  <c r="AB396" i="33"/>
  <c r="V262" i="35"/>
  <c r="AB380" i="33"/>
  <c r="AB441" i="33"/>
  <c r="AA226" i="35"/>
  <c r="W562" i="35"/>
  <c r="W612" i="35"/>
  <c r="V553" i="35"/>
  <c r="AA308" i="35"/>
  <c r="AB197" i="33"/>
  <c r="AA79" i="35"/>
  <c r="AB75" i="33"/>
  <c r="AB22" i="33"/>
  <c r="AB65" i="33"/>
  <c r="AB7" i="33"/>
  <c r="AB24" i="33"/>
  <c r="AB245" i="33"/>
  <c r="AB460" i="33"/>
  <c r="AB548" i="33"/>
  <c r="V47" i="35"/>
  <c r="AB18" i="33"/>
  <c r="AB111" i="33"/>
  <c r="V53" i="35"/>
  <c r="AA151" i="35"/>
  <c r="V258" i="35"/>
  <c r="AA158" i="35"/>
  <c r="AB221" i="33"/>
  <c r="AB215" i="33"/>
  <c r="AB128" i="33"/>
  <c r="AA92" i="35"/>
  <c r="AA204" i="35"/>
  <c r="V166" i="35"/>
  <c r="AA248" i="35"/>
  <c r="AA177" i="35"/>
  <c r="AA156" i="35"/>
  <c r="AB338" i="33"/>
  <c r="AB112" i="33"/>
  <c r="W123" i="35"/>
  <c r="AB518" i="33"/>
  <c r="AB120" i="33"/>
  <c r="V244" i="35"/>
  <c r="AB596" i="33"/>
  <c r="AB60" i="33"/>
  <c r="AB91" i="33"/>
  <c r="AB327" i="33"/>
  <c r="AB99" i="33"/>
  <c r="AA59" i="35"/>
  <c r="AA257" i="35"/>
  <c r="AA282" i="35"/>
  <c r="AB190" i="33"/>
  <c r="AA249" i="35"/>
  <c r="AB367" i="33"/>
  <c r="AB504" i="33"/>
  <c r="AB224" i="33"/>
  <c r="V174" i="35"/>
  <c r="AB577" i="33"/>
  <c r="AB587" i="33"/>
  <c r="AA275" i="35"/>
  <c r="AB198" i="33"/>
  <c r="AB400" i="33"/>
  <c r="AB226" i="33"/>
  <c r="AB525" i="33"/>
  <c r="AB555" i="33"/>
  <c r="AB586" i="33"/>
  <c r="AB509" i="33"/>
  <c r="AB243" i="33"/>
  <c r="W266" i="35"/>
  <c r="AB431" i="33"/>
  <c r="V612" i="35"/>
  <c r="AB25" i="33"/>
  <c r="AB326" i="33"/>
  <c r="AB540" i="33"/>
  <c r="AA131" i="35"/>
  <c r="AB411" i="33"/>
  <c r="V254" i="35"/>
  <c r="AB208" i="33"/>
  <c r="AB486" i="33"/>
  <c r="AB148" i="33"/>
  <c r="AA65" i="35"/>
  <c r="V43" i="35"/>
  <c r="AB447" i="33"/>
  <c r="AA255" i="35"/>
  <c r="AB591" i="33"/>
  <c r="AA250" i="35"/>
  <c r="AA113" i="35"/>
  <c r="AB172" i="33"/>
  <c r="AB293" i="33"/>
  <c r="AB214" i="33"/>
  <c r="AA182" i="35"/>
  <c r="AB399" i="33"/>
  <c r="AB93" i="33"/>
  <c r="AB262" i="33"/>
  <c r="W226" i="35"/>
  <c r="W131" i="35"/>
  <c r="V49" i="35"/>
  <c r="AB769" i="33"/>
  <c r="AA498" i="35"/>
  <c r="AB623" i="33"/>
  <c r="AA180" i="35"/>
  <c r="W390" i="35"/>
  <c r="AB1921" i="33"/>
  <c r="AA149" i="35"/>
  <c r="AB170" i="33"/>
  <c r="AB21" i="33"/>
  <c r="AB602" i="33"/>
  <c r="AB403" i="33"/>
  <c r="V73" i="35"/>
  <c r="AB315" i="33"/>
  <c r="AB339" i="33"/>
  <c r="AB277" i="33"/>
  <c r="AB563" i="33"/>
  <c r="AB488" i="33"/>
  <c r="AB31" i="33"/>
  <c r="AB94" i="33"/>
  <c r="AB33" i="33"/>
  <c r="AA103" i="35"/>
  <c r="AB544" i="33"/>
  <c r="AB397" i="33"/>
  <c r="AB232" i="33"/>
  <c r="V332" i="35"/>
  <c r="AA48" i="35"/>
  <c r="AA29" i="35"/>
  <c r="AA207" i="35"/>
  <c r="AA11" i="35"/>
  <c r="AA54" i="35"/>
  <c r="AA285" i="35"/>
  <c r="AB258" i="33"/>
  <c r="AB195" i="33"/>
  <c r="V252" i="35"/>
  <c r="AA228" i="35"/>
  <c r="AB511" i="33"/>
  <c r="AB475" i="33"/>
  <c r="AB70" i="33"/>
  <c r="AB532" i="33"/>
  <c r="AB445" i="33"/>
  <c r="AB558" i="33"/>
  <c r="AB167" i="33"/>
  <c r="AB482" i="33"/>
  <c r="AB83" i="33"/>
  <c r="AB317" i="33"/>
  <c r="AA94" i="35"/>
  <c r="AA45" i="35"/>
  <c r="AA130" i="35"/>
  <c r="W256" i="35"/>
  <c r="AB581" i="33"/>
  <c r="AB260" i="33"/>
  <c r="AB144" i="33"/>
  <c r="AB442" i="33"/>
  <c r="AB351" i="33"/>
  <c r="AA256" i="35"/>
  <c r="AB183" i="33"/>
  <c r="V153" i="35"/>
  <c r="AB52" i="33"/>
  <c r="AA232" i="35"/>
  <c r="AA78" i="35"/>
  <c r="AA35" i="35"/>
  <c r="AB116" i="33"/>
  <c r="AB480" i="33"/>
  <c r="AB311" i="33"/>
  <c r="AA227" i="35"/>
  <c r="AB352" i="33"/>
  <c r="AB404" i="33"/>
  <c r="AB271" i="33"/>
  <c r="AB527" i="33"/>
  <c r="AB376" i="33"/>
  <c r="AA534" i="35"/>
  <c r="AA314" i="35"/>
  <c r="AA336" i="35"/>
  <c r="AA289" i="35"/>
  <c r="AB524" i="33"/>
  <c r="AA104" i="35"/>
  <c r="AB283" i="33"/>
  <c r="AA238" i="35"/>
  <c r="AB296" i="33"/>
  <c r="AB559" i="33"/>
  <c r="AB36" i="33"/>
  <c r="AA26" i="35"/>
  <c r="AA142" i="35"/>
  <c r="AA53" i="35"/>
  <c r="AB500" i="33"/>
  <c r="AA179" i="35"/>
  <c r="AA170" i="35"/>
  <c r="AB598" i="33"/>
  <c r="AB77" i="33"/>
  <c r="AB865" i="33"/>
  <c r="AA222" i="35"/>
  <c r="AA265" i="35"/>
  <c r="AB289" i="33"/>
  <c r="AB510" i="33"/>
  <c r="AA478" i="35"/>
  <c r="AB220" i="33"/>
  <c r="AA244" i="35"/>
  <c r="W498" i="35"/>
  <c r="AA443" i="35"/>
  <c r="AA345" i="35"/>
  <c r="AA107" i="35"/>
  <c r="V234" i="35"/>
  <c r="AA57" i="35"/>
  <c r="AB407" i="33"/>
  <c r="AB494" i="33"/>
  <c r="AB212" i="33"/>
  <c r="AB513" i="33"/>
  <c r="AB257" i="33"/>
  <c r="AB49" i="33"/>
  <c r="AB50" i="33"/>
  <c r="AA195" i="35"/>
  <c r="AB333" i="33"/>
  <c r="AB149" i="33"/>
  <c r="AB452" i="33"/>
  <c r="AB433" i="33"/>
  <c r="AA382" i="35"/>
  <c r="AA295" i="35"/>
  <c r="AA211" i="35"/>
  <c r="AB71" i="33"/>
  <c r="AA143" i="35"/>
  <c r="AB102" i="33"/>
  <c r="AB255" i="33"/>
  <c r="AB461" i="33"/>
  <c r="AB107" i="33"/>
  <c r="AB346" i="33"/>
  <c r="AB521" i="33"/>
  <c r="AA123" i="35"/>
  <c r="AB493" i="33"/>
  <c r="AB427" i="33"/>
  <c r="AB61" i="33"/>
  <c r="AB319" i="33"/>
  <c r="AB580" i="33"/>
  <c r="AB459" i="33"/>
  <c r="AB143" i="33"/>
  <c r="AA43" i="35"/>
  <c r="AB85" i="33"/>
  <c r="V176" i="35"/>
  <c r="AB348" i="33"/>
  <c r="AA176" i="35"/>
  <c r="AB495" i="33"/>
  <c r="AA174" i="35"/>
  <c r="AB533" i="33"/>
  <c r="AB335" i="33"/>
  <c r="AB19" i="33"/>
  <c r="W147" i="35"/>
  <c r="W164" i="35"/>
  <c r="AB450" i="33"/>
  <c r="AA178" i="35"/>
  <c r="AB416" i="33"/>
  <c r="AB331" i="33"/>
  <c r="AA324" i="35"/>
  <c r="AA118" i="35"/>
  <c r="AB434" i="33"/>
  <c r="AB405" i="33"/>
  <c r="AA283" i="35"/>
  <c r="W85" i="35"/>
  <c r="AB284" i="33"/>
  <c r="W260" i="35"/>
  <c r="AB302" i="33"/>
  <c r="AA101" i="35"/>
  <c r="AB593" i="33"/>
  <c r="AA261" i="35"/>
  <c r="V85" i="35"/>
  <c r="AA286" i="35"/>
  <c r="AB497" i="33"/>
  <c r="AB402" i="33"/>
  <c r="AA391" i="35"/>
  <c r="V131" i="35"/>
  <c r="AB281" i="33"/>
  <c r="AB310" i="33"/>
  <c r="V250" i="35"/>
  <c r="AA119" i="35"/>
  <c r="AB174" i="33"/>
  <c r="AB177" i="33"/>
  <c r="AB574" i="33"/>
  <c r="AB389" i="33"/>
  <c r="AB595" i="33"/>
  <c r="AB219" i="33"/>
  <c r="W176" i="35"/>
  <c r="AB169" i="33"/>
  <c r="AB541" i="33"/>
  <c r="AB244" i="33"/>
  <c r="AA165" i="35"/>
  <c r="AB118" i="33"/>
  <c r="W67" i="35"/>
  <c r="AB457" i="33"/>
  <c r="AA665" i="35"/>
  <c r="W667" i="35"/>
  <c r="V595" i="35"/>
  <c r="L15" i="35"/>
  <c r="V667" i="35"/>
  <c r="W240" i="35"/>
  <c r="V232" i="35"/>
  <c r="V41" i="35"/>
  <c r="L101" i="35"/>
  <c r="W704" i="35"/>
  <c r="L616" i="35"/>
  <c r="L676" i="35"/>
  <c r="L200" i="35"/>
  <c r="L607" i="35"/>
  <c r="AA708" i="35"/>
  <c r="L665" i="35"/>
  <c r="W712" i="35"/>
  <c r="W700" i="35"/>
  <c r="L463" i="35"/>
  <c r="AA192" i="35"/>
  <c r="L218" i="35"/>
  <c r="L232" i="35"/>
  <c r="V724" i="35"/>
  <c r="W693" i="35"/>
  <c r="AA595" i="35"/>
  <c r="AA33" i="35"/>
  <c r="AA50" i="35"/>
  <c r="AA80" i="35"/>
  <c r="AA91" i="35"/>
  <c r="AA134" i="35"/>
  <c r="AB76" i="33"/>
  <c r="L287" i="33"/>
  <c r="L317" i="33"/>
  <c r="V137" i="35"/>
  <c r="W350" i="35"/>
  <c r="V350" i="35"/>
  <c r="V139" i="35"/>
  <c r="W168" i="35"/>
  <c r="W137" i="35"/>
  <c r="W139" i="35"/>
  <c r="W264" i="35"/>
  <c r="V184" i="35"/>
  <c r="V264" i="35"/>
  <c r="W89" i="35"/>
  <c r="V168" i="35"/>
  <c r="V89" i="35"/>
  <c r="W184" i="35"/>
  <c r="AG280" i="35"/>
  <c r="AG356" i="35"/>
  <c r="AG190" i="35"/>
  <c r="AG738" i="35"/>
  <c r="AG439" i="35"/>
  <c r="AG628" i="35"/>
  <c r="AG518" i="35"/>
  <c r="AI97" i="35" l="1"/>
</calcChain>
</file>

<file path=xl/sharedStrings.xml><?xml version="1.0" encoding="utf-8"?>
<sst xmlns="http://schemas.openxmlformats.org/spreadsheetml/2006/main" count="52712" uniqueCount="3477">
  <si>
    <t>生産課
コード</t>
  </si>
  <si>
    <t>部課
コード</t>
  </si>
  <si>
    <t>ユーザ
コード</t>
  </si>
  <si>
    <t>検査表
（要不要）</t>
  </si>
  <si>
    <t>製品区分</t>
  </si>
  <si>
    <t>内輸
区分</t>
  </si>
  <si>
    <t>ﾀｲﾌﾟ</t>
  </si>
  <si>
    <t>品番</t>
  </si>
  <si>
    <t>コアタイプ</t>
  </si>
  <si>
    <t>サイズ(㎜)</t>
  </si>
  <si>
    <t>パナック㈱亀山工場</t>
    <phoneticPr fontId="20"/>
  </si>
  <si>
    <t>3F1A</t>
    <phoneticPr fontId="20"/>
  </si>
  <si>
    <t>要</t>
    <rPh sb="0" eb="1">
      <t>ヨウ</t>
    </rPh>
    <phoneticPr fontId="26"/>
  </si>
  <si>
    <t>XD500P</t>
  </si>
  <si>
    <t>CF2</t>
  </si>
  <si>
    <t>直出し</t>
    <rPh sb="0" eb="2">
      <t>チョクダ</t>
    </rPh>
    <phoneticPr fontId="20"/>
  </si>
  <si>
    <t>6ｲﾝﾁABS</t>
    <phoneticPr fontId="20"/>
  </si>
  <si>
    <t>パナック㈱亀山工場</t>
  </si>
  <si>
    <t>3F1A</t>
  </si>
  <si>
    <t>S</t>
  </si>
  <si>
    <t>N</t>
  </si>
  <si>
    <t>CERA</t>
  </si>
  <si>
    <t>BKE09</t>
  </si>
  <si>
    <t>セラピール　ＢＫＥ（０９）</t>
  </si>
  <si>
    <t>6ｲﾝﾁFWP</t>
    <phoneticPr fontId="20"/>
  </si>
  <si>
    <t>MK1</t>
    <phoneticPr fontId="20"/>
  </si>
  <si>
    <t>要</t>
    <rPh sb="0" eb="1">
      <t>ヨウ</t>
    </rPh>
    <phoneticPr fontId="25"/>
  </si>
  <si>
    <t>半直</t>
    <rPh sb="0" eb="2">
      <t>ハンチョク</t>
    </rPh>
    <phoneticPr fontId="20"/>
  </si>
  <si>
    <t>Y</t>
  </si>
  <si>
    <t>BKERXPT</t>
  </si>
  <si>
    <t>セラピール　ＢＫＥ（ＲＸ）</t>
  </si>
  <si>
    <t>R75X</t>
  </si>
  <si>
    <t>㈱巴川製紙所</t>
  </si>
  <si>
    <t>BKERXT</t>
  </si>
  <si>
    <t>R75XK</t>
  </si>
  <si>
    <t>積水マテリアル</t>
    <rPh sb="0" eb="2">
      <t>セキスイ</t>
    </rPh>
    <phoneticPr fontId="26"/>
  </si>
  <si>
    <t>BKU</t>
  </si>
  <si>
    <t>セラピ－ル　ＢＫ（Ｕ）</t>
  </si>
  <si>
    <t>1000以上</t>
    <rPh sb="4" eb="6">
      <t>イジョウ</t>
    </rPh>
    <phoneticPr fontId="20"/>
  </si>
  <si>
    <t>3ｲﾝﾁABS</t>
    <phoneticPr fontId="20"/>
  </si>
  <si>
    <t>㈱きもと　三重工場</t>
  </si>
  <si>
    <t>3J1A</t>
  </si>
  <si>
    <t>BKUK</t>
  </si>
  <si>
    <t>セラピール　ＢＫ（Ｕ）Ｋ</t>
  </si>
  <si>
    <t>利昌工業　尼崎工場</t>
  </si>
  <si>
    <t>3FAB</t>
  </si>
  <si>
    <t>要</t>
  </si>
  <si>
    <t>BX8ARX</t>
  </si>
  <si>
    <t>セラピール　ＢＸ８Ａ（ＲＸ）</t>
  </si>
  <si>
    <t>エージング後スリット</t>
    <rPh sb="5" eb="6">
      <t>ゴ</t>
    </rPh>
    <phoneticPr fontId="20"/>
  </si>
  <si>
    <t>住友電工プリントサーキット</t>
    <rPh sb="2" eb="4">
      <t>デンコウ</t>
    </rPh>
    <phoneticPr fontId="26"/>
  </si>
  <si>
    <t>ｶﾞﾗｽｴﾎﾟｷｼ</t>
    <phoneticPr fontId="20"/>
  </si>
  <si>
    <t>BX8ARXA</t>
  </si>
  <si>
    <t>セラピール　ＢＸ８ＡＲＸ</t>
  </si>
  <si>
    <t>BX8ARXT</t>
  </si>
  <si>
    <t>T102</t>
    <phoneticPr fontId="20"/>
  </si>
  <si>
    <t>BX8AX</t>
  </si>
  <si>
    <t>日榮新化</t>
  </si>
  <si>
    <t>3K4A</t>
  </si>
  <si>
    <t>S28</t>
  </si>
  <si>
    <t>BX9AS</t>
  </si>
  <si>
    <t>日東電工㈱豊橋工場</t>
  </si>
  <si>
    <t>MD(A)R</t>
  </si>
  <si>
    <t>セラピール　ＭＤ（Ａ）（Ｒ）</t>
  </si>
  <si>
    <t>3直</t>
    <rPh sb="1" eb="2">
      <t>チョク</t>
    </rPh>
    <phoneticPr fontId="20"/>
  </si>
  <si>
    <t>日東電工㈱尾道事業所</t>
  </si>
  <si>
    <t>3JAB</t>
  </si>
  <si>
    <t>MDACPFL</t>
  </si>
  <si>
    <t>Ｋ　セラピールＭＤＡ（ＣＰＲＦ）Ｌ</t>
  </si>
  <si>
    <t>XF60R</t>
  </si>
  <si>
    <t>MDAPFL</t>
  </si>
  <si>
    <t>Ｋ　セラピールＭＤＡ（ＰＲＦ）Ｌ</t>
  </si>
  <si>
    <t>XD1NB1</t>
    <phoneticPr fontId="20"/>
  </si>
  <si>
    <t>住友べークライト尼崎</t>
  </si>
  <si>
    <t>MDARX</t>
  </si>
  <si>
    <t>セラピール　ＭＤＡ（ＲＸ）</t>
  </si>
  <si>
    <t>MDAS</t>
  </si>
  <si>
    <t>セラピール　ＭＤＡ（Ｓ）</t>
  </si>
  <si>
    <t>S28M</t>
  </si>
  <si>
    <t>パナソニック　ＡＩＳ</t>
  </si>
  <si>
    <t>MFACR</t>
  </si>
  <si>
    <t>セラピール　ＭＦＡ（ＣＲ）</t>
  </si>
  <si>
    <t>A56</t>
  </si>
  <si>
    <t>３Ｍジャパン</t>
  </si>
  <si>
    <t>MFARX</t>
  </si>
  <si>
    <t>セラピール　ＭＦＡ（ＲＸ）</t>
  </si>
  <si>
    <t>3R</t>
  </si>
  <si>
    <t>真田ＫＯＡ㈱</t>
  </si>
  <si>
    <t>MFAS</t>
  </si>
  <si>
    <t>セラピール　ＭＦＡ（Ｓ）</t>
  </si>
  <si>
    <t>ＭＡＲＵＷＡ</t>
  </si>
  <si>
    <t>下田工業</t>
  </si>
  <si>
    <t>1050以上</t>
    <rPh sb="4" eb="6">
      <t>イジョウ</t>
    </rPh>
    <phoneticPr fontId="20"/>
  </si>
  <si>
    <t>京セラ鹿児島川内工場</t>
  </si>
  <si>
    <t>三井化学</t>
    <rPh sb="0" eb="2">
      <t>ミツイ</t>
    </rPh>
    <rPh sb="2" eb="4">
      <t>カガク</t>
    </rPh>
    <phoneticPr fontId="25"/>
  </si>
  <si>
    <t>ＮＧＫセラミック</t>
  </si>
  <si>
    <t>3H</t>
  </si>
  <si>
    <t>ＫＥＲＡＦＯＬ</t>
  </si>
  <si>
    <t>ナガセケムテックス㈱</t>
  </si>
  <si>
    <t>SY08</t>
  </si>
  <si>
    <t>セラピール　ＳＹ（０８）</t>
  </si>
  <si>
    <t>栗村化学</t>
    <rPh sb="0" eb="4">
      <t>クリムラカガク</t>
    </rPh>
    <phoneticPr fontId="26"/>
  </si>
  <si>
    <t>SY09</t>
  </si>
  <si>
    <t>セラピール　ＳＹ（０９）</t>
  </si>
  <si>
    <t>WZ</t>
  </si>
  <si>
    <t>セラピール　ＷＺ</t>
  </si>
  <si>
    <t>古河電気工業㈱</t>
  </si>
  <si>
    <t>WZE</t>
  </si>
  <si>
    <t>セラピール　ＷＺ（Ｅ）</t>
  </si>
  <si>
    <t>E5001</t>
  </si>
  <si>
    <t>日東電工㈱亀山購買課</t>
  </si>
  <si>
    <t>要</t>
    <rPh sb="0" eb="1">
      <t>ヨウ</t>
    </rPh>
    <phoneticPr fontId="49"/>
  </si>
  <si>
    <t>WZRX</t>
  </si>
  <si>
    <t>セラピール　ＷＺ（ＲＸ）</t>
  </si>
  <si>
    <t>三栄産業㈱尾久工場</t>
  </si>
  <si>
    <t>東洋包材㈱</t>
  </si>
  <si>
    <t>リンテック㈱</t>
  </si>
  <si>
    <t>3K1A</t>
  </si>
  <si>
    <t>WZS</t>
  </si>
  <si>
    <t>セラピールＷＺ（Ｓ）</t>
  </si>
  <si>
    <t>東洋機材</t>
  </si>
  <si>
    <t>セラピール　ＷＺ（Ｓ）</t>
  </si>
  <si>
    <t>WZT</t>
  </si>
  <si>
    <t>セラピール　ＷＺ（Ｔ）</t>
  </si>
  <si>
    <t>T70A</t>
  </si>
  <si>
    <t>T75</t>
    <phoneticPr fontId="20"/>
  </si>
  <si>
    <t>フジコピアン</t>
  </si>
  <si>
    <t>3M1A</t>
  </si>
  <si>
    <t>WZU</t>
  </si>
  <si>
    <t>セラピール　ＷＺ（Ｕ）</t>
  </si>
  <si>
    <t>藤産業㈱</t>
  </si>
  <si>
    <t>双信電機㈱</t>
  </si>
  <si>
    <t>CERANS</t>
  </si>
  <si>
    <t>HP2UDF</t>
  </si>
  <si>
    <t>セラピール　ＨＰ２（Ｕ）Ｄ</t>
  </si>
  <si>
    <t>SD</t>
  </si>
  <si>
    <t>CF4</t>
  </si>
  <si>
    <t>昭和電工マテリアルズ</t>
    <rPh sb="0" eb="4">
      <t>ショウワデンコウ</t>
    </rPh>
    <phoneticPr fontId="20"/>
  </si>
  <si>
    <t>3M2A</t>
  </si>
  <si>
    <t>PJ27103</t>
  </si>
  <si>
    <t>セラピール　ＰＪ２７１（０３）</t>
  </si>
  <si>
    <t>R75XH</t>
  </si>
  <si>
    <t>CF3</t>
  </si>
  <si>
    <t>CLB</t>
  </si>
  <si>
    <t>E20V</t>
  </si>
  <si>
    <t>ルミラー　Ｅ－２０　Ｖ</t>
  </si>
  <si>
    <t>E20</t>
  </si>
  <si>
    <t>6ｲﾝﾁMｺｱ</t>
    <phoneticPr fontId="20"/>
  </si>
  <si>
    <t>新タック化成㈱</t>
  </si>
  <si>
    <t>LEYK</t>
  </si>
  <si>
    <t>ルミラー　ＥＹＫ</t>
  </si>
  <si>
    <t>T62M</t>
  </si>
  <si>
    <t>LMEYK</t>
  </si>
  <si>
    <t>ルミマットＥＹＫ</t>
  </si>
  <si>
    <t>LUMIMAT</t>
  </si>
  <si>
    <t>王子タック㈱本社</t>
  </si>
  <si>
    <t>LTL</t>
  </si>
  <si>
    <t>ルミラー　ＴＬ</t>
  </si>
  <si>
    <t>33S</t>
  </si>
  <si>
    <t>PETMV</t>
  </si>
  <si>
    <t>ＰＥＴ　マットＶ</t>
  </si>
  <si>
    <t>MAT</t>
  </si>
  <si>
    <t>藤森工業㈱掛川事業所</t>
  </si>
  <si>
    <t>PETTL</t>
  </si>
  <si>
    <t>ＰＥＴ　ＴＬ</t>
  </si>
  <si>
    <t>MCLB</t>
  </si>
  <si>
    <t>DMSV</t>
  </si>
  <si>
    <t>ＤＭＳ　Ｖ</t>
  </si>
  <si>
    <t>X44</t>
  </si>
  <si>
    <t>EYK</t>
  </si>
  <si>
    <t>メタルミー　ＥＹＫ</t>
  </si>
  <si>
    <t>大阪シーリング印刷㈱</t>
  </si>
  <si>
    <t>HLGKJV</t>
  </si>
  <si>
    <t>メタルミー　ヘヤライン　銀消Ｖ</t>
  </si>
  <si>
    <t>HL-MAT</t>
  </si>
  <si>
    <t>6ｲﾝﾁSｺｱ</t>
    <phoneticPr fontId="20"/>
  </si>
  <si>
    <t>HLGTV</t>
  </si>
  <si>
    <t>メタルミー　ヘヤライン　銀艶Ｖ</t>
  </si>
  <si>
    <t>BRIGHT</t>
  </si>
  <si>
    <t>ﾏｯﾄﾙﾐﾗｰ</t>
    <phoneticPr fontId="20"/>
  </si>
  <si>
    <t>MSNEYK</t>
  </si>
  <si>
    <t>ＭＳＮ　ＥＹＫ</t>
  </si>
  <si>
    <t>N-MAT</t>
  </si>
  <si>
    <t>マルウ接着㈱</t>
  </si>
  <si>
    <t>不要</t>
  </si>
  <si>
    <t>NGKVB</t>
  </si>
  <si>
    <t>メタルミー　ネーマー銀消　ＶＢ</t>
  </si>
  <si>
    <t>NGTVB</t>
  </si>
  <si>
    <t>メタルミー　ネーマー　銀艶ＶＢ</t>
  </si>
  <si>
    <t>T62</t>
  </si>
  <si>
    <t>SCB</t>
  </si>
  <si>
    <t>メタルミー　シロコート（Ｂ）</t>
  </si>
  <si>
    <t>TEKKFV</t>
  </si>
  <si>
    <t>メタルミー　ＴＥＳ消開封　Ｖ</t>
  </si>
  <si>
    <t>X44SEPA</t>
  </si>
  <si>
    <t>TEKV0V</t>
  </si>
  <si>
    <t>メタルミー　ＴＥ－Ｓ消　ＶＯＩＤ　Ｖ</t>
  </si>
  <si>
    <t>TETKFV</t>
  </si>
  <si>
    <t>メタルミー　ＴＥＳ艶開封　Ｖ</t>
  </si>
  <si>
    <t>S28SEPA</t>
  </si>
  <si>
    <t>TETV0V</t>
  </si>
  <si>
    <t>メタルミー　ＴＥＳ艶ＶＯＩＤＶ</t>
  </si>
  <si>
    <t>WCB</t>
  </si>
  <si>
    <t>メタルミー　ホワイトコート　（Ｂ）</t>
  </si>
  <si>
    <t>五洋紙工㈱</t>
  </si>
  <si>
    <t>MLB</t>
  </si>
  <si>
    <t>MDMSJF</t>
  </si>
  <si>
    <t>ＤＭＳ蒸着（Ｘ－４４）</t>
  </si>
  <si>
    <t>S-5</t>
    <phoneticPr fontId="20"/>
  </si>
  <si>
    <t>原反コア</t>
    <rPh sb="0" eb="2">
      <t>ゲンタン</t>
    </rPh>
    <phoneticPr fontId="17"/>
  </si>
  <si>
    <t>要</t>
    <rPh sb="0" eb="1">
      <t>ヨウ</t>
    </rPh>
    <phoneticPr fontId="20"/>
  </si>
  <si>
    <t>MNGKBF</t>
  </si>
  <si>
    <t>MNGKKBF</t>
  </si>
  <si>
    <t>メタルミー　ネーマー銀消改　Ｂ</t>
  </si>
  <si>
    <t>FMATS99</t>
  </si>
  <si>
    <t>S99-MAT</t>
  </si>
  <si>
    <t>MNGTBF</t>
  </si>
  <si>
    <t>メタルミー　ネーマー　銀艶　Ｂ</t>
  </si>
  <si>
    <t>MNNGKBF</t>
  </si>
  <si>
    <t>メタルミー　ニューネーマー銀消　Ｂ</t>
  </si>
  <si>
    <t>X44C</t>
  </si>
  <si>
    <t>MNQR66F</t>
  </si>
  <si>
    <t>ＱＲ６６蒸着品</t>
  </si>
  <si>
    <t>E315</t>
  </si>
  <si>
    <t>MSBBF</t>
  </si>
  <si>
    <t>ＭＥＴＡＬＵＭＹ　ＳＩＬＶＥＲ　ＢＲＩＧＨＴ　Ｔ６２Ｍ　Ｂ</t>
  </si>
  <si>
    <t>MSBBZF</t>
  </si>
  <si>
    <t>ＭＥＴＡＬＵＭＹ　ＳＩＬＶＥＲ　ＢＲＩＧＨＴ　Ｂ</t>
  </si>
  <si>
    <t>T62</t>
    <phoneticPr fontId="20"/>
  </si>
  <si>
    <t>寺岡製作所　大宮工場</t>
  </si>
  <si>
    <t>MSF</t>
  </si>
  <si>
    <t>メタルミー　Ｓ</t>
  </si>
  <si>
    <t>日精㈱東京支店</t>
  </si>
  <si>
    <t>MSNMBF</t>
  </si>
  <si>
    <t>ＭＥＴＡＬＵＭＹ　ＳＩＬＶＥＲ　Ｎ－ＭＡＴＴＥ　Ｘ４４Ｍ　Ｂ</t>
  </si>
  <si>
    <t>MSNMBZF</t>
  </si>
  <si>
    <t>ＭＥＴＡＬＵＭＹ　ＳＩＬＶＥＲ　Ｎ－ＭＡＴＴＥ　Ｂ</t>
  </si>
  <si>
    <t>MSSMBF</t>
  </si>
  <si>
    <t>ＭＥＴＡＬＵＭＹ　ＳＩＬＶＥＲ　Ｓ－ＭＡＴＴＥ　Ｓ２８ＭＭ　Ｂ</t>
  </si>
  <si>
    <t>LI-MAT</t>
  </si>
  <si>
    <t>MSSMBZF</t>
  </si>
  <si>
    <t>ＭＥＴＡＬＵＭＹ　ＳＩＬＶＥＲ　Ｓ－ＭＡＴＴＥ　Ｂ</t>
  </si>
  <si>
    <t>MTSF</t>
  </si>
  <si>
    <t>メタルミー　ＴＳ</t>
  </si>
  <si>
    <t>T60</t>
  </si>
  <si>
    <t>NGKEYKB</t>
  </si>
  <si>
    <t>メタルミー　ネーマー銀消ＥＹＫ　Ｂ</t>
  </si>
  <si>
    <t>アジヤアルミ㈱</t>
  </si>
  <si>
    <t>MNSJF</t>
  </si>
  <si>
    <t>ＮＳ蒸着</t>
  </si>
  <si>
    <t>NS</t>
  </si>
  <si>
    <t>TPIC</t>
  </si>
  <si>
    <t>TT405B</t>
  </si>
  <si>
    <t>５０ＴＴ４０５Ｂ</t>
  </si>
  <si>
    <t>UTE6</t>
  </si>
  <si>
    <t>㈱三共プラス</t>
  </si>
  <si>
    <t>TTP</t>
  </si>
  <si>
    <t>B2T0</t>
  </si>
  <si>
    <t>タフトップ　Ｂ２Ｔ０</t>
  </si>
  <si>
    <t xml:space="preserve">A4360  </t>
  </si>
  <si>
    <t>LC1000</t>
  </si>
  <si>
    <t>タフトップ　ＬＣ１０００</t>
  </si>
  <si>
    <t xml:space="preserve">U483   </t>
  </si>
  <si>
    <t>BX8A37</t>
  </si>
  <si>
    <t>セラピール　ＢＸ８Ａ（３７）</t>
  </si>
  <si>
    <t>T</t>
  </si>
  <si>
    <t>6ｲﾝﾁFWP</t>
  </si>
  <si>
    <t>積水化学工業</t>
    <rPh sb="0" eb="2">
      <t>セキスイ</t>
    </rPh>
    <rPh sb="2" eb="4">
      <t>カガク</t>
    </rPh>
    <rPh sb="4" eb="6">
      <t>コウギョウ</t>
    </rPh>
    <phoneticPr fontId="26"/>
  </si>
  <si>
    <t>T75</t>
  </si>
  <si>
    <t>U</t>
  </si>
  <si>
    <t>試作中止のため不明</t>
    <rPh sb="0" eb="2">
      <t>シサク</t>
    </rPh>
    <rPh sb="2" eb="4">
      <t>チュウシ</t>
    </rPh>
    <rPh sb="7" eb="9">
      <t>フメイ</t>
    </rPh>
    <phoneticPr fontId="20"/>
  </si>
  <si>
    <t>試作中止のため不明</t>
  </si>
  <si>
    <t>6ｲﾝﾁABS</t>
  </si>
  <si>
    <t>太陽インキ製造(株)</t>
    <rPh sb="0" eb="2">
      <t>タイヨウ</t>
    </rPh>
    <rPh sb="5" eb="7">
      <t>セイゾウ</t>
    </rPh>
    <rPh sb="7" eb="10">
      <t>カブシキガイシャ</t>
    </rPh>
    <phoneticPr fontId="20"/>
  </si>
  <si>
    <t>タツタ電線</t>
    <rPh sb="3" eb="5">
      <t>デンセン</t>
    </rPh>
    <phoneticPr fontId="20"/>
  </si>
  <si>
    <t>QZ54</t>
    <phoneticPr fontId="20"/>
  </si>
  <si>
    <t>パナック㈱</t>
  </si>
  <si>
    <t>BKE24</t>
  </si>
  <si>
    <t>セラピール　ＢＫＥ（２４）</t>
  </si>
  <si>
    <t>R75</t>
  </si>
  <si>
    <t>トーヨーケム</t>
  </si>
  <si>
    <t>BX8A40</t>
  </si>
  <si>
    <t>セラピール　ＢＸ８Ａ（４０）</t>
  </si>
  <si>
    <t>XD5AD2</t>
  </si>
  <si>
    <t>セラピール　ＢＸ８Ａ（３３）</t>
  </si>
  <si>
    <t>RM1Z</t>
  </si>
  <si>
    <t>BX8A07</t>
  </si>
  <si>
    <t>セラピール　ＢＸ８Ａ（０７）</t>
  </si>
  <si>
    <t>R41</t>
  </si>
  <si>
    <t>TKA0707</t>
  </si>
  <si>
    <t>セラピール　ＴＫＡ０７（０７）</t>
  </si>
  <si>
    <t>日東電工</t>
  </si>
  <si>
    <t>JMDAB</t>
  </si>
  <si>
    <t>セラピール　ＪＭＤＡ（Ｂ）</t>
  </si>
  <si>
    <t>QZ54</t>
  </si>
  <si>
    <t>SL-1</t>
  </si>
  <si>
    <t>JWZB</t>
  </si>
  <si>
    <t>セラピール　ＪＷＺ（Ｂ）</t>
  </si>
  <si>
    <t>MDB8K14</t>
  </si>
  <si>
    <t>セラピール　ＭＤＡ／ＢＸ８ＫＡ（１４）</t>
  </si>
  <si>
    <t>MK1</t>
  </si>
  <si>
    <t>BX8K加工→エージング→MDA加工</t>
    <rPh sb="4" eb="6">
      <t>カコウ</t>
    </rPh>
    <rPh sb="16" eb="18">
      <t>カコウ</t>
    </rPh>
    <phoneticPr fontId="20"/>
  </si>
  <si>
    <t>JMDB8KB</t>
  </si>
  <si>
    <t>セラピール　ＪＭＤＡ／ＢＸ８ＫＡ（Ｂ）</t>
  </si>
  <si>
    <t>ニトムズ　松山事業所</t>
  </si>
  <si>
    <t>タフトップ　ＴＮＪ－ＡＳ</t>
  </si>
  <si>
    <t>住友化学㈱</t>
    <rPh sb="0" eb="2">
      <t>スミトモ</t>
    </rPh>
    <rPh sb="2" eb="4">
      <t>カガク</t>
    </rPh>
    <phoneticPr fontId="20"/>
  </si>
  <si>
    <t>JTC</t>
  </si>
  <si>
    <t>STHCE</t>
  </si>
  <si>
    <t>TR-PRHC=HCPET-TA20-E</t>
  </si>
  <si>
    <t>CF2/ｴｰｼﾞﾝｸﾞ/CF3/SL1</t>
  </si>
  <si>
    <t>日本化薬(株)</t>
    <rPh sb="0" eb="2">
      <t>ニホン</t>
    </rPh>
    <rPh sb="2" eb="4">
      <t>カヤク</t>
    </rPh>
    <rPh sb="4" eb="7">
      <t>カブ</t>
    </rPh>
    <phoneticPr fontId="26"/>
  </si>
  <si>
    <t>DMS</t>
  </si>
  <si>
    <t>X42G</t>
  </si>
  <si>
    <t>ＤＭＳ蒸着（Ｘ－４２）</t>
  </si>
  <si>
    <t>-</t>
  </si>
  <si>
    <t>㈱ポラテクノ</t>
  </si>
  <si>
    <t>X42GPC</t>
  </si>
  <si>
    <t>ＤＭＳ（Ｘ４２Ｇ）ＰＣ</t>
  </si>
  <si>
    <t>HLKTV</t>
  </si>
  <si>
    <t>メタルミー　ヘヤライン金艶　Ｖ</t>
  </si>
  <si>
    <t>HL50/EC</t>
  </si>
  <si>
    <t>HLDTV</t>
  </si>
  <si>
    <t>メタルミー　ＨＬ銅艶　Ｖ</t>
  </si>
  <si>
    <t>栃木カネカ㈱電材検査</t>
  </si>
  <si>
    <t>KF9BF</t>
  </si>
  <si>
    <t>ＫＦ－９Ｂ</t>
  </si>
  <si>
    <t>F53</t>
  </si>
  <si>
    <t>約定№</t>
  </si>
  <si>
    <t>生産課名</t>
  </si>
  <si>
    <t>契約部課名</t>
  </si>
  <si>
    <t>契約担当名</t>
  </si>
  <si>
    <t>ユーザ名</t>
  </si>
  <si>
    <t>原価区分</t>
  </si>
  <si>
    <t>製区</t>
  </si>
  <si>
    <t>内輸</t>
  </si>
  <si>
    <t>品名</t>
  </si>
  <si>
    <t>元原反</t>
  </si>
  <si>
    <t>タイプ</t>
  </si>
  <si>
    <t>表示製品名</t>
  </si>
  <si>
    <t>決済幅</t>
  </si>
  <si>
    <t>幅</t>
  </si>
  <si>
    <t>長さ</t>
  </si>
  <si>
    <t>規格</t>
  </si>
  <si>
    <t>契約数  (契単)</t>
    <phoneticPr fontId="17"/>
  </si>
  <si>
    <t>契約      単位名</t>
    <phoneticPr fontId="17"/>
  </si>
  <si>
    <t>依頼日</t>
  </si>
  <si>
    <t>納期</t>
  </si>
  <si>
    <t>仕向地名</t>
  </si>
  <si>
    <t>契約備考翻訳</t>
  </si>
  <si>
    <t>契約備考</t>
  </si>
  <si>
    <t>福島コーティング</t>
  </si>
  <si>
    <t>プロセス材１課</t>
  </si>
  <si>
    <t>ダミー担当者</t>
  </si>
  <si>
    <t>本</t>
  </si>
  <si>
    <t>㈱須賀川東部鏡石</t>
  </si>
  <si>
    <t>工材１部電材課</t>
  </si>
  <si>
    <t>セラピール　ＷＺ（ＲＸ）　　　　　　</t>
  </si>
  <si>
    <t>工材１部大阪電材課</t>
  </si>
  <si>
    <t>光学機能材１課</t>
  </si>
  <si>
    <t>福島工場ＣＯ２次スリ</t>
  </si>
  <si>
    <t>セラピール　　　　　　　　　　　ＭＦＡ（Ｓ）</t>
  </si>
  <si>
    <t>下田工業㈱</t>
  </si>
  <si>
    <t>大阪光学機能材課</t>
  </si>
  <si>
    <t>プロセス材２課</t>
  </si>
  <si>
    <t>セラピール　　　　　　　　　　　ＭＤＡ（ＲＸ）</t>
  </si>
  <si>
    <t>メタルミー　ネーマー　ギンケシ　ＥＹＫＢ</t>
  </si>
  <si>
    <t>セラピール　　　　　　　　　　　ＷＺ（Ｅ）</t>
  </si>
  <si>
    <t>セラピール　　　　　　　　　　　ＷＺ（Ｓ）</t>
  </si>
  <si>
    <t>住友電工プリント</t>
  </si>
  <si>
    <t>メタルミー　ネーマー銀消　Ｂ</t>
  </si>
  <si>
    <t>日榮新化㈱</t>
  </si>
  <si>
    <t>セラピール　　　　　　　　　　　ＢＸ９Ａ（Ｓ）</t>
  </si>
  <si>
    <t>パナソニック　ＩＳ社</t>
  </si>
  <si>
    <t>セラピ－ル　ＭＦＡ（ＣＲ）</t>
  </si>
  <si>
    <t>セラピール　　　　　　　　　　　ＷＺ</t>
  </si>
  <si>
    <t>セラピール　　　　　　　　　　　ＢＸ８Ａ（Ｘ）</t>
  </si>
  <si>
    <t>積水化学武蔵工場</t>
  </si>
  <si>
    <t>ナガセケム　播磨</t>
  </si>
  <si>
    <t>非表示にする</t>
    <rPh sb="0" eb="3">
      <t>ヒヒョウジ</t>
    </rPh>
    <phoneticPr fontId="17"/>
  </si>
  <si>
    <t>作成</t>
  </si>
  <si>
    <t>確認</t>
    <rPh sb="0" eb="2">
      <t>カクニン</t>
    </rPh>
    <phoneticPr fontId="17"/>
  </si>
  <si>
    <t>承認</t>
  </si>
  <si>
    <t>Ｓ－４ 週間作業指示書（予定）</t>
    <rPh sb="4" eb="6">
      <t>サギョウ</t>
    </rPh>
    <rPh sb="6" eb="9">
      <t>シジショ</t>
    </rPh>
    <phoneticPr fontId="18"/>
  </si>
  <si>
    <t>製品区分　Ｓ：生産、Ｔ：Ｔ試作、Ｕ：Ｕ試作</t>
    <rPh sb="0" eb="2">
      <t>セイヒン</t>
    </rPh>
    <rPh sb="2" eb="4">
      <t>クブン</t>
    </rPh>
    <rPh sb="7" eb="9">
      <t>セイサン</t>
    </rPh>
    <rPh sb="13" eb="15">
      <t>シサク</t>
    </rPh>
    <rPh sb="19" eb="21">
      <t>シサク</t>
    </rPh>
    <phoneticPr fontId="17"/>
  </si>
  <si>
    <t>能力</t>
    <rPh sb="0" eb="2">
      <t>ノウリョク</t>
    </rPh>
    <phoneticPr fontId="17"/>
  </si>
  <si>
    <t>所要</t>
    <rPh sb="0" eb="2">
      <t>ショヨウ</t>
    </rPh>
    <phoneticPr fontId="17"/>
  </si>
  <si>
    <t>切替</t>
    <rPh sb="0" eb="2">
      <t>キリカエ</t>
    </rPh>
    <phoneticPr fontId="17"/>
  </si>
  <si>
    <t>ｵｰﾌﾞﾝ</t>
    <phoneticPr fontId="17"/>
  </si>
  <si>
    <t>所要合計</t>
    <rPh sb="0" eb="2">
      <t>ショヨウ</t>
    </rPh>
    <rPh sb="2" eb="4">
      <t>ゴウケイ</t>
    </rPh>
    <phoneticPr fontId="17"/>
  </si>
  <si>
    <t>開始</t>
    <rPh sb="0" eb="2">
      <t>カイシ</t>
    </rPh>
    <phoneticPr fontId="17"/>
  </si>
  <si>
    <t>終了</t>
    <rPh sb="0" eb="2">
      <t>シュウリョウ</t>
    </rPh>
    <phoneticPr fontId="17"/>
  </si>
  <si>
    <t>日</t>
  </si>
  <si>
    <t>曜日</t>
  </si>
  <si>
    <t>依頼月</t>
    <rPh sb="0" eb="2">
      <t>イライ</t>
    </rPh>
    <rPh sb="2" eb="3">
      <t>ツキ</t>
    </rPh>
    <phoneticPr fontId="17"/>
  </si>
  <si>
    <t>約定NO</t>
    <rPh sb="0" eb="2">
      <t>ヤクジョウ</t>
    </rPh>
    <phoneticPr fontId="17"/>
  </si>
  <si>
    <t>作業指示NO</t>
    <rPh sb="0" eb="2">
      <t>サギョウ</t>
    </rPh>
    <rPh sb="2" eb="4">
      <t>シジ</t>
    </rPh>
    <phoneticPr fontId="17"/>
  </si>
  <si>
    <t>TAF製品Co</t>
    <rPh sb="3" eb="5">
      <t>セイヒン</t>
    </rPh>
    <phoneticPr fontId="17"/>
  </si>
  <si>
    <t>製品区分</t>
    <rPh sb="0" eb="2">
      <t>セイヒン</t>
    </rPh>
    <rPh sb="2" eb="4">
      <t>クブン</t>
    </rPh>
    <phoneticPr fontId="18"/>
  </si>
  <si>
    <t>タイプ</t>
    <phoneticPr fontId="17"/>
  </si>
  <si>
    <t>表示製品名（加工内容）</t>
    <rPh sb="0" eb="2">
      <t>ヒョウジ</t>
    </rPh>
    <rPh sb="2" eb="5">
      <t>セイヒンメイ</t>
    </rPh>
    <phoneticPr fontId="17"/>
  </si>
  <si>
    <t>品番</t>
    <rPh sb="0" eb="2">
      <t>ヒンバン</t>
    </rPh>
    <phoneticPr fontId="17"/>
  </si>
  <si>
    <t>原反名</t>
    <rPh sb="0" eb="2">
      <t>ゲンタン</t>
    </rPh>
    <rPh sb="2" eb="3">
      <t>メイ</t>
    </rPh>
    <phoneticPr fontId="17"/>
  </si>
  <si>
    <t>原反幅</t>
    <rPh sb="2" eb="3">
      <t>ハバ</t>
    </rPh>
    <phoneticPr fontId="17"/>
  </si>
  <si>
    <t>原反長さ</t>
    <rPh sb="0" eb="2">
      <t>ゲンタン</t>
    </rPh>
    <rPh sb="2" eb="3">
      <t>ナガ</t>
    </rPh>
    <phoneticPr fontId="17"/>
  </si>
  <si>
    <t>本数</t>
  </si>
  <si>
    <t>製品
実幅</t>
    <rPh sb="0" eb="2">
      <t>セイヒン</t>
    </rPh>
    <rPh sb="3" eb="4">
      <t>ジツ</t>
    </rPh>
    <rPh sb="4" eb="5">
      <t>ハバ</t>
    </rPh>
    <phoneticPr fontId="17"/>
  </si>
  <si>
    <t>基準幅</t>
    <rPh sb="0" eb="2">
      <t>キジュン</t>
    </rPh>
    <rPh sb="2" eb="3">
      <t>ハバ</t>
    </rPh>
    <phoneticPr fontId="17"/>
  </si>
  <si>
    <t>基準長さ</t>
    <rPh sb="0" eb="2">
      <t>キジュン</t>
    </rPh>
    <rPh sb="2" eb="3">
      <t>ナガ</t>
    </rPh>
    <phoneticPr fontId="17"/>
  </si>
  <si>
    <t>製品本数</t>
    <rPh sb="0" eb="2">
      <t>セイヒン</t>
    </rPh>
    <rPh sb="2" eb="4">
      <t>ホンスウ</t>
    </rPh>
    <phoneticPr fontId="17"/>
  </si>
  <si>
    <t>ｺｱﾀｲﾌﾟ</t>
  </si>
  <si>
    <t>ｻｲｽﾞ(㎜)</t>
  </si>
  <si>
    <t>規格</t>
    <rPh sb="0" eb="2">
      <t>キカク</t>
    </rPh>
    <phoneticPr fontId="17"/>
  </si>
  <si>
    <t>ユーザー</t>
    <phoneticPr fontId="17"/>
  </si>
  <si>
    <t>備考</t>
  </si>
  <si>
    <t>投入数量</t>
    <rPh sb="0" eb="4">
      <t>トウニュウスウリョウ</t>
    </rPh>
    <phoneticPr fontId="17"/>
  </si>
  <si>
    <t>入庫数量</t>
    <rPh sb="0" eb="4">
      <t>ニュウコスウリョウ</t>
    </rPh>
    <phoneticPr fontId="17"/>
  </si>
  <si>
    <t>Ｓ－５ 週間作業指示書（予定）</t>
    <rPh sb="4" eb="6">
      <t>サギョウ</t>
    </rPh>
    <rPh sb="6" eb="9">
      <t>シジショ</t>
    </rPh>
    <phoneticPr fontId="18"/>
  </si>
  <si>
    <t>本数</t>
    <rPh sb="0" eb="2">
      <t>ホンスウ</t>
    </rPh>
    <phoneticPr fontId="17"/>
  </si>
  <si>
    <t>合計</t>
    <rPh sb="0" eb="2">
      <t>ゴウケイ</t>
    </rPh>
    <phoneticPr fontId="20"/>
  </si>
  <si>
    <t>Ｓ４</t>
    <phoneticPr fontId="20"/>
  </si>
  <si>
    <t>Ｓ５</t>
    <phoneticPr fontId="20"/>
  </si>
  <si>
    <t>MLB</t>
    <phoneticPr fontId="17"/>
  </si>
  <si>
    <t>機能Ｆ　ラベル福島原</t>
  </si>
  <si>
    <t>メタルミー　ホワイトコート　　　（Ｂ）</t>
  </si>
  <si>
    <t>TET1MV</t>
  </si>
  <si>
    <t>メタルミー銀艶　市松柄Ｖ</t>
  </si>
  <si>
    <t>情材福島開発</t>
  </si>
  <si>
    <t>福島工場ＣＯ</t>
  </si>
  <si>
    <t>WZ26</t>
  </si>
  <si>
    <t>セラピール　ＷＺ（２６）</t>
  </si>
  <si>
    <t>情材福島原価</t>
  </si>
  <si>
    <t>機能材料ＴＴＰ福原価</t>
  </si>
  <si>
    <t>TNJ-AS</t>
  </si>
  <si>
    <t>工材３部工材２課</t>
  </si>
  <si>
    <t>WZ34</t>
  </si>
  <si>
    <t>セラピール　ＷＺ（３４）</t>
  </si>
  <si>
    <t>BX8AD</t>
  </si>
  <si>
    <t>セラピール　　　　　　　　　　　ＢＸ８ＡＤ</t>
  </si>
  <si>
    <t>昭和電工マテリアルズ</t>
  </si>
  <si>
    <t>機能Ｆ　受託福島原価</t>
  </si>
  <si>
    <t>ＴＲ－ＰＲＨＣ＝ＨＣＰＥＴ－ＴＡ２０－Ｅ</t>
  </si>
  <si>
    <t>水</t>
    <rPh sb="0" eb="1">
      <t>スイ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</si>
  <si>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</si>
  <si>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</si>
  <si>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</si>
  <si>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</si>
  <si>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巻返し</t>
    <rPh sb="0" eb="2">
      <t>マキカエ</t>
    </rPh>
    <phoneticPr fontId="17"/>
  </si>
  <si>
    <t>公休</t>
    <rPh sb="0" eb="2">
      <t>コウキュウ</t>
    </rPh>
    <phoneticPr fontId="17"/>
  </si>
  <si>
    <t>エージング後スリット 短尺品</t>
    <rPh sb="5" eb="6">
      <t>ゴ</t>
    </rPh>
    <rPh sb="11" eb="14">
      <t>タンジャクヒン</t>
    </rPh>
    <phoneticPr fontId="20"/>
  </si>
  <si>
    <t>S</t>
    <phoneticPr fontId="17"/>
  </si>
  <si>
    <t>MCLB</t>
    <phoneticPr fontId="17"/>
  </si>
  <si>
    <t>U</t>
    <phoneticPr fontId="17"/>
  </si>
  <si>
    <t>TNJ-AS</t>
    <phoneticPr fontId="17"/>
  </si>
  <si>
    <t>巻足
本数</t>
    <rPh sb="0" eb="1">
      <t>マキ</t>
    </rPh>
    <rPh sb="1" eb="2">
      <t>タ</t>
    </rPh>
    <rPh sb="3" eb="5">
      <t>ホンスウ</t>
    </rPh>
    <phoneticPr fontId="17"/>
  </si>
  <si>
    <t>原反
本数</t>
    <rPh sb="0" eb="2">
      <t>ゲンタン</t>
    </rPh>
    <phoneticPr fontId="17"/>
  </si>
  <si>
    <t>製品区分</t>
    <rPh sb="0" eb="2">
      <t>セイヒン</t>
    </rPh>
    <rPh sb="2" eb="4">
      <t>クブン</t>
    </rPh>
    <phoneticPr fontId="17"/>
  </si>
  <si>
    <t>MDA14</t>
  </si>
  <si>
    <t>セラピール　ＭＤＡ（１４）</t>
  </si>
  <si>
    <t>3ｲﾝﾁABS</t>
  </si>
  <si>
    <t>DIC</t>
  </si>
  <si>
    <t>TFS</t>
  </si>
  <si>
    <t>月</t>
    <rPh sb="0" eb="1">
      <t>ゲツ</t>
    </rPh>
    <phoneticPr fontId="17"/>
  </si>
  <si>
    <t>スリット</t>
    <phoneticPr fontId="17"/>
  </si>
  <si>
    <t>リード付け</t>
    <rPh sb="3" eb="4">
      <t>ツ</t>
    </rPh>
    <phoneticPr fontId="17"/>
  </si>
  <si>
    <t>BX8AS</t>
  </si>
  <si>
    <t>セラピール　ＢＸ８Ａ（Ｓ）</t>
  </si>
  <si>
    <t>特殊東海製紙(株)</t>
    <rPh sb="0" eb="2">
      <t>トクシュ</t>
    </rPh>
    <rPh sb="2" eb="4">
      <t>トウカイ</t>
    </rPh>
    <rPh sb="4" eb="6">
      <t>セイシ</t>
    </rPh>
    <rPh sb="6" eb="9">
      <t>カブシキガイシャ</t>
    </rPh>
    <phoneticPr fontId="20"/>
  </si>
  <si>
    <t>3H</t>
    <phoneticPr fontId="20"/>
  </si>
  <si>
    <t>巻足し</t>
    <rPh sb="0" eb="2">
      <t>マキタ</t>
    </rPh>
    <phoneticPr fontId="17"/>
  </si>
  <si>
    <t>N</t>
    <phoneticPr fontId="17"/>
  </si>
  <si>
    <t>コート後3日</t>
    <rPh sb="3" eb="4">
      <t>ゴ</t>
    </rPh>
    <rPh sb="5" eb="6">
      <t>ヒ</t>
    </rPh>
    <phoneticPr fontId="20"/>
  </si>
  <si>
    <t>エージング後3日</t>
    <rPh sb="5" eb="6">
      <t>ゴ</t>
    </rPh>
    <rPh sb="7" eb="8">
      <t>ヒ</t>
    </rPh>
    <phoneticPr fontId="20"/>
  </si>
  <si>
    <t>コート後4日</t>
    <rPh sb="3" eb="4">
      <t>ゴ</t>
    </rPh>
    <rPh sb="5" eb="6">
      <t>ヒ</t>
    </rPh>
    <phoneticPr fontId="20"/>
  </si>
  <si>
    <t>コート後5日+2日</t>
    <rPh sb="3" eb="4">
      <t>ゴ</t>
    </rPh>
    <rPh sb="5" eb="6">
      <t>ヒ</t>
    </rPh>
    <rPh sb="8" eb="9">
      <t>ヒ</t>
    </rPh>
    <phoneticPr fontId="20"/>
  </si>
  <si>
    <t>コート後5日+3日</t>
    <rPh sb="3" eb="4">
      <t>ゴ</t>
    </rPh>
    <rPh sb="5" eb="6">
      <t>ヒ</t>
    </rPh>
    <rPh sb="8" eb="9">
      <t>ヒ</t>
    </rPh>
    <phoneticPr fontId="20"/>
  </si>
  <si>
    <t>スリット後3日</t>
    <rPh sb="4" eb="5">
      <t>ゴ</t>
    </rPh>
    <rPh sb="6" eb="7">
      <t>ヒ</t>
    </rPh>
    <phoneticPr fontId="20"/>
  </si>
  <si>
    <t>物性：コート後4日
外観：コート後5日（1本当たり）</t>
    <rPh sb="0" eb="2">
      <t>ブッセイ</t>
    </rPh>
    <rPh sb="6" eb="7">
      <t>ゴ</t>
    </rPh>
    <rPh sb="8" eb="9">
      <t>ニチ</t>
    </rPh>
    <rPh sb="10" eb="12">
      <t>ガイカン</t>
    </rPh>
    <rPh sb="16" eb="17">
      <t>ゴ</t>
    </rPh>
    <rPh sb="18" eb="19">
      <t>ニチ</t>
    </rPh>
    <rPh sb="21" eb="22">
      <t>ホン</t>
    </rPh>
    <rPh sb="22" eb="23">
      <t>ア</t>
    </rPh>
    <phoneticPr fontId="20"/>
  </si>
  <si>
    <t>品証検査無し(生産課で塗布量測定）</t>
    <rPh sb="0" eb="2">
      <t>ヒンショウ</t>
    </rPh>
    <rPh sb="2" eb="4">
      <t>ケンサ</t>
    </rPh>
    <rPh sb="4" eb="5">
      <t>ナ</t>
    </rPh>
    <rPh sb="7" eb="9">
      <t>セイサン</t>
    </rPh>
    <rPh sb="9" eb="10">
      <t>カ</t>
    </rPh>
    <rPh sb="11" eb="13">
      <t>トフ</t>
    </rPh>
    <rPh sb="13" eb="14">
      <t>リョウ</t>
    </rPh>
    <rPh sb="14" eb="16">
      <t>ソクテイ</t>
    </rPh>
    <phoneticPr fontId="20"/>
  </si>
  <si>
    <t>品証検査無し(技術で対応)</t>
    <rPh sb="0" eb="2">
      <t>ヒンショウ</t>
    </rPh>
    <rPh sb="2" eb="4">
      <t>ケンサ</t>
    </rPh>
    <rPh sb="4" eb="5">
      <t>ナ</t>
    </rPh>
    <rPh sb="7" eb="9">
      <t>ギジュツ</t>
    </rPh>
    <rPh sb="10" eb="12">
      <t>タイオウ</t>
    </rPh>
    <phoneticPr fontId="20"/>
  </si>
  <si>
    <t>物性：コート後4日
外観：スリット後3日(1本当たり)</t>
    <rPh sb="0" eb="2">
      <t>ブッセイ</t>
    </rPh>
    <rPh sb="6" eb="7">
      <t>ゴ</t>
    </rPh>
    <rPh sb="8" eb="9">
      <t>ニチ</t>
    </rPh>
    <rPh sb="10" eb="12">
      <t>ガイカン</t>
    </rPh>
    <rPh sb="17" eb="18">
      <t>ゴ</t>
    </rPh>
    <rPh sb="19" eb="20">
      <t>ニチ</t>
    </rPh>
    <rPh sb="22" eb="23">
      <t>ホン</t>
    </rPh>
    <rPh sb="23" eb="24">
      <t>ア</t>
    </rPh>
    <phoneticPr fontId="20"/>
  </si>
  <si>
    <t>原反
入荷日
蒸着日</t>
    <rPh sb="0" eb="2">
      <t>ゲンタン</t>
    </rPh>
    <rPh sb="3" eb="5">
      <t>ニュウカ</t>
    </rPh>
    <rPh sb="5" eb="6">
      <t>ビ</t>
    </rPh>
    <rPh sb="7" eb="9">
      <t>ジョウチャク</t>
    </rPh>
    <rPh sb="9" eb="10">
      <t>ビ</t>
    </rPh>
    <phoneticPr fontId="17"/>
  </si>
  <si>
    <t>製品
入庫
予定日</t>
    <rPh sb="0" eb="2">
      <t>セイヒン</t>
    </rPh>
    <rPh sb="3" eb="5">
      <t>ニュウコ</t>
    </rPh>
    <rPh sb="6" eb="8">
      <t>ヨテイ</t>
    </rPh>
    <rPh sb="8" eb="9">
      <t>ビ</t>
    </rPh>
    <phoneticPr fontId="17"/>
  </si>
  <si>
    <t>メタルミー　ヘヤライン金艶Ｖ</t>
  </si>
  <si>
    <t>QZ52</t>
    <phoneticPr fontId="20"/>
  </si>
  <si>
    <t>巻返しリード付け</t>
    <rPh sb="0" eb="1">
      <t>マキ</t>
    </rPh>
    <rPh sb="1" eb="2">
      <t>カエ</t>
    </rPh>
    <rPh sb="6" eb="7">
      <t>ヅ</t>
    </rPh>
    <phoneticPr fontId="17"/>
  </si>
  <si>
    <t>XD500P</t>
    <phoneticPr fontId="20"/>
  </si>
  <si>
    <t>直出し</t>
    <rPh sb="0" eb="1">
      <t>チョク</t>
    </rPh>
    <rPh sb="1" eb="2">
      <t>ダ</t>
    </rPh>
    <phoneticPr fontId="20"/>
  </si>
  <si>
    <t>製品
依頼
本数</t>
    <rPh sb="0" eb="2">
      <t>セイヒン</t>
    </rPh>
    <rPh sb="3" eb="5">
      <t>イライ</t>
    </rPh>
    <rPh sb="6" eb="8">
      <t>ホンスウ</t>
    </rPh>
    <phoneticPr fontId="17"/>
  </si>
  <si>
    <t>リード作成</t>
    <rPh sb="3" eb="5">
      <t>サクセイ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</si>
  <si>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</si>
  <si>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メタルミー　ネーマー銀消　Ｂ　Ｇコート用</t>
  </si>
  <si>
    <t>7/2</t>
    <phoneticPr fontId="17"/>
  </si>
  <si>
    <t>7/8</t>
    <phoneticPr fontId="17"/>
  </si>
  <si>
    <t>7/15</t>
    <phoneticPr fontId="17"/>
  </si>
  <si>
    <t>7/16</t>
    <phoneticPr fontId="17"/>
  </si>
  <si>
    <t>7/17</t>
    <phoneticPr fontId="17"/>
  </si>
  <si>
    <t>7/18</t>
    <phoneticPr fontId="17"/>
  </si>
  <si>
    <t>7/19</t>
    <phoneticPr fontId="17"/>
  </si>
  <si>
    <t>7/20</t>
    <phoneticPr fontId="17"/>
  </si>
  <si>
    <t>アジアアルミ(株)</t>
    <rPh sb="6" eb="9">
      <t>カブシキガイシャ</t>
    </rPh>
    <phoneticPr fontId="20"/>
  </si>
  <si>
    <t>原反ケース再利用</t>
    <rPh sb="0" eb="2">
      <t>ゲンタン</t>
    </rPh>
    <rPh sb="5" eb="8">
      <t>サイリヨウ</t>
    </rPh>
    <phoneticPr fontId="17"/>
  </si>
  <si>
    <t>東京セロレーベル</t>
    <rPh sb="0" eb="2">
      <t>トウキョウ</t>
    </rPh>
    <phoneticPr fontId="20"/>
  </si>
  <si>
    <t>S28M</t>
    <phoneticPr fontId="20"/>
  </si>
  <si>
    <t>XF60L</t>
    <phoneticPr fontId="17"/>
  </si>
  <si>
    <t>CF2</t>
    <phoneticPr fontId="17"/>
  </si>
  <si>
    <t>直出し</t>
    <rPh sb="0" eb="1">
      <t>チョク</t>
    </rPh>
    <rPh sb="1" eb="2">
      <t>ダ</t>
    </rPh>
    <phoneticPr fontId="17"/>
  </si>
  <si>
    <t>7/6</t>
    <phoneticPr fontId="17"/>
  </si>
  <si>
    <t>7/9</t>
    <phoneticPr fontId="17"/>
  </si>
  <si>
    <t>7/11</t>
    <phoneticPr fontId="17"/>
  </si>
  <si>
    <t>機能Ｆ　ラベル福島開</t>
  </si>
  <si>
    <t>7/13</t>
    <phoneticPr fontId="17"/>
  </si>
  <si>
    <t>7/21</t>
    <phoneticPr fontId="17"/>
  </si>
  <si>
    <t>7/23</t>
    <phoneticPr fontId="17"/>
  </si>
  <si>
    <t>7/24</t>
    <phoneticPr fontId="17"/>
  </si>
  <si>
    <t>7/25</t>
    <phoneticPr fontId="17"/>
  </si>
  <si>
    <t>7/26</t>
    <phoneticPr fontId="17"/>
  </si>
  <si>
    <t>7/27</t>
    <phoneticPr fontId="17"/>
  </si>
  <si>
    <t>7/22</t>
    <phoneticPr fontId="17"/>
  </si>
  <si>
    <t>7/28</t>
    <phoneticPr fontId="17"/>
  </si>
  <si>
    <t>7/29</t>
    <phoneticPr fontId="17"/>
  </si>
  <si>
    <t>7/30</t>
    <phoneticPr fontId="17"/>
  </si>
  <si>
    <t>MBSF</t>
  </si>
  <si>
    <t>メタルミー　ＢＳ</t>
  </si>
  <si>
    <t>古河電工ﾊﾟﾜｰｼｽﾃﾑｽﾞ</t>
    <rPh sb="0" eb="4">
      <t>フルカワデンコウ</t>
    </rPh>
    <phoneticPr fontId="20"/>
  </si>
  <si>
    <t>日東電工豊橋</t>
    <rPh sb="0" eb="4">
      <t>ニットウデンコウ</t>
    </rPh>
    <rPh sb="4" eb="6">
      <t>トヨハシ</t>
    </rPh>
    <phoneticPr fontId="20"/>
  </si>
  <si>
    <t>S27</t>
    <phoneticPr fontId="20"/>
  </si>
  <si>
    <t>東京応化工業</t>
    <rPh sb="0" eb="2">
      <t>トウキョウ</t>
    </rPh>
    <rPh sb="2" eb="6">
      <t>オウカコウギョウ</t>
    </rPh>
    <phoneticPr fontId="20"/>
  </si>
  <si>
    <t>QS63</t>
    <phoneticPr fontId="20"/>
  </si>
  <si>
    <t>CF4</t>
    <phoneticPr fontId="20"/>
  </si>
  <si>
    <t>日東電工</t>
    <rPh sb="0" eb="4">
      <t>ニットウデンコウ</t>
    </rPh>
    <phoneticPr fontId="20"/>
  </si>
  <si>
    <t>MLB</t>
    <phoneticPr fontId="20"/>
  </si>
  <si>
    <t>8/3</t>
    <phoneticPr fontId="17"/>
  </si>
  <si>
    <t>8/4</t>
    <phoneticPr fontId="17"/>
  </si>
  <si>
    <t>8/5</t>
    <phoneticPr fontId="17"/>
  </si>
  <si>
    <t>8/6</t>
    <phoneticPr fontId="17"/>
  </si>
  <si>
    <t>8/7</t>
    <phoneticPr fontId="17"/>
  </si>
  <si>
    <t>8/8</t>
    <phoneticPr fontId="17"/>
  </si>
  <si>
    <t>8/9</t>
    <phoneticPr fontId="17"/>
  </si>
  <si>
    <t>8/17</t>
    <phoneticPr fontId="17"/>
  </si>
  <si>
    <t>8/19</t>
    <phoneticPr fontId="17"/>
  </si>
  <si>
    <t>8/21</t>
    <phoneticPr fontId="17"/>
  </si>
  <si>
    <t>8/22</t>
    <phoneticPr fontId="17"/>
  </si>
  <si>
    <t>収率</t>
    <rPh sb="0" eb="2">
      <t>シュウリツ</t>
    </rPh>
    <phoneticPr fontId="17"/>
  </si>
  <si>
    <t>王子ﾎｰﾙﾃﾞｨﾝｸﾞｽ</t>
    <rPh sb="0" eb="2">
      <t>オオジ</t>
    </rPh>
    <phoneticPr fontId="20"/>
  </si>
  <si>
    <t>東レ㈱</t>
    <rPh sb="0" eb="1">
      <t>トウ</t>
    </rPh>
    <phoneticPr fontId="20"/>
  </si>
  <si>
    <t>9/1</t>
    <phoneticPr fontId="17"/>
  </si>
  <si>
    <t>9/2</t>
    <phoneticPr fontId="17"/>
  </si>
  <si>
    <t>9/3</t>
    <phoneticPr fontId="17"/>
  </si>
  <si>
    <t>9/4</t>
    <phoneticPr fontId="17"/>
  </si>
  <si>
    <t>9/5</t>
    <phoneticPr fontId="17"/>
  </si>
  <si>
    <t>9/6</t>
    <phoneticPr fontId="17"/>
  </si>
  <si>
    <t>9/7</t>
    <phoneticPr fontId="17"/>
  </si>
  <si>
    <t>9/8</t>
    <phoneticPr fontId="17"/>
  </si>
  <si>
    <t>9/9</t>
    <phoneticPr fontId="17"/>
  </si>
  <si>
    <t>9/10</t>
    <phoneticPr fontId="17"/>
  </si>
  <si>
    <t>9/11</t>
    <phoneticPr fontId="17"/>
  </si>
  <si>
    <t>9/12</t>
    <phoneticPr fontId="17"/>
  </si>
  <si>
    <t>T83</t>
    <phoneticPr fontId="20"/>
  </si>
  <si>
    <t>RP43</t>
    <phoneticPr fontId="20"/>
  </si>
  <si>
    <t>日東電工㈱尾道工場</t>
    <rPh sb="5" eb="7">
      <t>オノミチ</t>
    </rPh>
    <phoneticPr fontId="20"/>
  </si>
  <si>
    <t>9/13</t>
    <phoneticPr fontId="17"/>
  </si>
  <si>
    <t>9/14</t>
    <phoneticPr fontId="17"/>
  </si>
  <si>
    <t>9/15</t>
    <phoneticPr fontId="17"/>
  </si>
  <si>
    <t>9/16</t>
    <phoneticPr fontId="17"/>
  </si>
  <si>
    <t>9/17</t>
    <phoneticPr fontId="17"/>
  </si>
  <si>
    <t>9/18</t>
    <phoneticPr fontId="17"/>
  </si>
  <si>
    <t>9/19</t>
    <phoneticPr fontId="17"/>
  </si>
  <si>
    <t>9/20</t>
    <phoneticPr fontId="17"/>
  </si>
  <si>
    <t>9/21</t>
    <phoneticPr fontId="17"/>
  </si>
  <si>
    <t>9/22</t>
    <phoneticPr fontId="17"/>
  </si>
  <si>
    <t>9/24</t>
    <phoneticPr fontId="17"/>
  </si>
  <si>
    <t>9/25</t>
    <phoneticPr fontId="17"/>
  </si>
  <si>
    <t>9/26</t>
    <phoneticPr fontId="17"/>
  </si>
  <si>
    <t>巻返しリード付け</t>
    <rPh sb="0" eb="2">
      <t>マキカエ</t>
    </rPh>
    <rPh sb="6" eb="7">
      <t>ツ</t>
    </rPh>
    <phoneticPr fontId="17"/>
  </si>
  <si>
    <t>韓国太陽インキ製造</t>
    <rPh sb="0" eb="2">
      <t>カンコク</t>
    </rPh>
    <rPh sb="2" eb="4">
      <t>タイヨウ</t>
    </rPh>
    <rPh sb="7" eb="9">
      <t>セイゾウ</t>
    </rPh>
    <phoneticPr fontId="20"/>
  </si>
  <si>
    <t>メタルミー　ヘヤライン銀消　Ｖ</t>
  </si>
  <si>
    <t>メタルミー　ヘヤライン銀艶　Ｖ</t>
  </si>
  <si>
    <t>R41</t>
    <phoneticPr fontId="20"/>
  </si>
  <si>
    <t>9/27</t>
    <phoneticPr fontId="17"/>
  </si>
  <si>
    <t>検品</t>
    <rPh sb="0" eb="2">
      <t>ケンピン</t>
    </rPh>
    <phoneticPr fontId="17"/>
  </si>
  <si>
    <t>9/28</t>
    <phoneticPr fontId="17"/>
  </si>
  <si>
    <t>9/29</t>
    <phoneticPr fontId="17"/>
  </si>
  <si>
    <t>9/30</t>
    <phoneticPr fontId="17"/>
  </si>
  <si>
    <t>10/1</t>
    <phoneticPr fontId="17"/>
  </si>
  <si>
    <t>10/2</t>
    <phoneticPr fontId="17"/>
  </si>
  <si>
    <t>10/3</t>
    <phoneticPr fontId="17"/>
  </si>
  <si>
    <t>10/4</t>
    <phoneticPr fontId="17"/>
  </si>
  <si>
    <t>10/5</t>
    <phoneticPr fontId="17"/>
  </si>
  <si>
    <t>10/6</t>
    <phoneticPr fontId="17"/>
  </si>
  <si>
    <t>10/7</t>
    <phoneticPr fontId="17"/>
  </si>
  <si>
    <t>10/8</t>
    <phoneticPr fontId="17"/>
  </si>
  <si>
    <t>10/9</t>
    <phoneticPr fontId="17"/>
  </si>
  <si>
    <t>10/10</t>
    <phoneticPr fontId="17"/>
  </si>
  <si>
    <t>10/11</t>
    <phoneticPr fontId="17"/>
  </si>
  <si>
    <t>10/12</t>
    <phoneticPr fontId="17"/>
  </si>
  <si>
    <t>10/13</t>
    <phoneticPr fontId="17"/>
  </si>
  <si>
    <t>10/14</t>
    <phoneticPr fontId="17"/>
  </si>
  <si>
    <t>10/15</t>
    <phoneticPr fontId="17"/>
  </si>
  <si>
    <t>10/16</t>
    <phoneticPr fontId="17"/>
  </si>
  <si>
    <t>10/17</t>
    <phoneticPr fontId="17"/>
  </si>
  <si>
    <t>村田製作所</t>
    <rPh sb="0" eb="2">
      <t>ムラタ</t>
    </rPh>
    <rPh sb="2" eb="5">
      <t>セイサクショ</t>
    </rPh>
    <phoneticPr fontId="20"/>
  </si>
  <si>
    <t>加工CO＆品番&amp;基準幅</t>
    <rPh sb="0" eb="1">
      <t>カ</t>
    </rPh>
    <rPh sb="1" eb="2">
      <t>コウ</t>
    </rPh>
    <rPh sb="5" eb="7">
      <t>ヒンバン</t>
    </rPh>
    <rPh sb="8" eb="10">
      <t>キジュン</t>
    </rPh>
    <rPh sb="10" eb="11">
      <t>ハバ</t>
    </rPh>
    <phoneticPr fontId="25"/>
  </si>
  <si>
    <t>原価区分</t>
    <rPh sb="0" eb="2">
      <t>ゲンカ</t>
    </rPh>
    <rPh sb="2" eb="4">
      <t>クブン</t>
    </rPh>
    <phoneticPr fontId="32"/>
  </si>
  <si>
    <t>原反タイプ</t>
    <rPh sb="0" eb="2">
      <t>ゲンタン</t>
    </rPh>
    <phoneticPr fontId="22"/>
  </si>
  <si>
    <t>原反幅</t>
    <rPh sb="0" eb="2">
      <t>ゲンタン</t>
    </rPh>
    <phoneticPr fontId="22"/>
  </si>
  <si>
    <t>原反
長さ</t>
    <rPh sb="0" eb="2">
      <t>ゲンタン</t>
    </rPh>
    <phoneticPr fontId="22"/>
  </si>
  <si>
    <t>実製品
幅</t>
    <rPh sb="0" eb="1">
      <t>ジツ</t>
    </rPh>
    <rPh sb="1" eb="3">
      <t>セイヒン</t>
    </rPh>
    <phoneticPr fontId="32"/>
  </si>
  <si>
    <t>基準幅</t>
    <rPh sb="0" eb="2">
      <t>キジュン</t>
    </rPh>
    <rPh sb="2" eb="3">
      <t>ハバ</t>
    </rPh>
    <phoneticPr fontId="32"/>
  </si>
  <si>
    <t>製品
長さ</t>
    <rPh sb="0" eb="2">
      <t>セイヒン</t>
    </rPh>
    <phoneticPr fontId="22"/>
  </si>
  <si>
    <t>製品
規格</t>
    <rPh sb="0" eb="2">
      <t>セイヒン</t>
    </rPh>
    <phoneticPr fontId="22"/>
  </si>
  <si>
    <t>次工程</t>
    <rPh sb="0" eb="3">
      <t>ジコウテイ</t>
    </rPh>
    <phoneticPr fontId="29"/>
  </si>
  <si>
    <t>コア径</t>
    <rPh sb="2" eb="3">
      <t>ケイ</t>
    </rPh>
    <phoneticPr fontId="22"/>
  </si>
  <si>
    <t>スリット
コア径</t>
    <rPh sb="7" eb="8">
      <t>ケイ</t>
    </rPh>
    <phoneticPr fontId="22"/>
  </si>
  <si>
    <t>スリット
コアタイプ</t>
  </si>
  <si>
    <t>スリット
コア幅</t>
    <rPh sb="7" eb="8">
      <t>ハバ</t>
    </rPh>
    <phoneticPr fontId="22"/>
  </si>
  <si>
    <t>巻足し
本数</t>
    <rPh sb="0" eb="2">
      <t>マキタ</t>
    </rPh>
    <rPh sb="4" eb="6">
      <t>ホンスウ</t>
    </rPh>
    <phoneticPr fontId="25"/>
  </si>
  <si>
    <t>巻足し
コアタイプ</t>
    <rPh sb="0" eb="2">
      <t>マキタ</t>
    </rPh>
    <phoneticPr fontId="25"/>
  </si>
  <si>
    <t>エージング
日数</t>
    <rPh sb="6" eb="8">
      <t>ニッスウ</t>
    </rPh>
    <phoneticPr fontId="22"/>
  </si>
  <si>
    <t>備考</t>
    <rPh sb="0" eb="2">
      <t>ビコウ</t>
    </rPh>
    <phoneticPr fontId="22"/>
  </si>
  <si>
    <t>入庫までのリードタイム</t>
    <rPh sb="0" eb="2">
      <t>ニュウコ</t>
    </rPh>
    <phoneticPr fontId="22"/>
  </si>
  <si>
    <t>加工CO＆品番</t>
    <rPh sb="0" eb="1">
      <t>カ</t>
    </rPh>
    <rPh sb="1" eb="2">
      <t>コウ</t>
    </rPh>
    <rPh sb="5" eb="7">
      <t>ヒンバン</t>
    </rPh>
    <phoneticPr fontId="25"/>
  </si>
  <si>
    <t>10/18</t>
    <phoneticPr fontId="17"/>
  </si>
  <si>
    <t>10/19</t>
    <phoneticPr fontId="17"/>
  </si>
  <si>
    <t>10/20</t>
    <phoneticPr fontId="17"/>
  </si>
  <si>
    <t>ユーザ
翻訳</t>
    <rPh sb="4" eb="6">
      <t>ホンヤク</t>
    </rPh>
    <phoneticPr fontId="32"/>
  </si>
  <si>
    <t>社外
タイプ</t>
  </si>
  <si>
    <t>TAF</t>
  </si>
  <si>
    <t>品名</t>
    <rPh sb="0" eb="2">
      <t>ヒンメイ</t>
    </rPh>
    <phoneticPr fontId="32"/>
  </si>
  <si>
    <t>表示製品名</t>
    <rPh sb="0" eb="2">
      <t>ヒョウジ</t>
    </rPh>
    <rPh sb="2" eb="5">
      <t>セイヒンメイ</t>
    </rPh>
    <phoneticPr fontId="32"/>
  </si>
  <si>
    <t>加工CO＆品番&amp;原反幅</t>
    <rPh sb="0" eb="1">
      <t>カ</t>
    </rPh>
    <rPh sb="1" eb="2">
      <t>コウ</t>
    </rPh>
    <rPh sb="5" eb="7">
      <t>ヒンバン</t>
    </rPh>
    <rPh sb="8" eb="10">
      <t>ゲンタン</t>
    </rPh>
    <rPh sb="10" eb="11">
      <t>ハバ</t>
    </rPh>
    <phoneticPr fontId="25"/>
  </si>
  <si>
    <t>10/23</t>
    <phoneticPr fontId="17"/>
  </si>
  <si>
    <t>BX8A14</t>
  </si>
  <si>
    <t>セラピール　ＢＸ８Ａ（１４）</t>
  </si>
  <si>
    <t>10/24</t>
    <phoneticPr fontId="17"/>
  </si>
  <si>
    <t>10/25</t>
    <phoneticPr fontId="17"/>
  </si>
  <si>
    <t>10/26</t>
    <phoneticPr fontId="17"/>
  </si>
  <si>
    <t>10/27</t>
    <phoneticPr fontId="17"/>
  </si>
  <si>
    <t>10/30</t>
    <phoneticPr fontId="17"/>
  </si>
  <si>
    <t>10/31</t>
    <phoneticPr fontId="17"/>
  </si>
  <si>
    <t>11/1</t>
    <phoneticPr fontId="17"/>
  </si>
  <si>
    <t>11/2</t>
    <phoneticPr fontId="17"/>
  </si>
  <si>
    <t>11/6</t>
    <phoneticPr fontId="17"/>
  </si>
  <si>
    <t>11/8</t>
    <phoneticPr fontId="17"/>
  </si>
  <si>
    <t>11/9</t>
    <phoneticPr fontId="17"/>
  </si>
  <si>
    <t>11/10</t>
    <phoneticPr fontId="17"/>
  </si>
  <si>
    <t>11/13</t>
    <phoneticPr fontId="17"/>
  </si>
  <si>
    <t>11/14</t>
    <phoneticPr fontId="17"/>
  </si>
  <si>
    <t>日東関東</t>
    <rPh sb="2" eb="4">
      <t>カントウ</t>
    </rPh>
    <phoneticPr fontId="20"/>
  </si>
  <si>
    <t>11/15</t>
    <phoneticPr fontId="17"/>
  </si>
  <si>
    <t>11/16</t>
    <phoneticPr fontId="17"/>
  </si>
  <si>
    <t>11/17</t>
    <phoneticPr fontId="17"/>
  </si>
  <si>
    <t>11/20</t>
    <phoneticPr fontId="17"/>
  </si>
  <si>
    <t>11/21</t>
    <phoneticPr fontId="17"/>
  </si>
  <si>
    <t>11/22</t>
    <phoneticPr fontId="17"/>
  </si>
  <si>
    <t>保留品処置</t>
    <rPh sb="0" eb="3">
      <t>ホリュウヒン</t>
    </rPh>
    <rPh sb="3" eb="5">
      <t>ショチ</t>
    </rPh>
    <phoneticPr fontId="17"/>
  </si>
  <si>
    <t>11/23</t>
    <phoneticPr fontId="17"/>
  </si>
  <si>
    <t>11/24</t>
    <phoneticPr fontId="17"/>
  </si>
  <si>
    <t>11/25</t>
    <phoneticPr fontId="17"/>
  </si>
  <si>
    <t>11/26</t>
    <phoneticPr fontId="17"/>
  </si>
  <si>
    <t>11/27</t>
    <phoneticPr fontId="17"/>
  </si>
  <si>
    <t>11/28</t>
    <phoneticPr fontId="17"/>
  </si>
  <si>
    <t>DMSEYK</t>
  </si>
  <si>
    <t>ＤＭＳ　ＥＹＫ</t>
  </si>
  <si>
    <t>11/29</t>
    <phoneticPr fontId="17"/>
  </si>
  <si>
    <t>ﾘｰﾄﾞ作成</t>
    <rPh sb="4" eb="6">
      <t>サクセイ</t>
    </rPh>
    <phoneticPr fontId="17"/>
  </si>
  <si>
    <t>PETV</t>
  </si>
  <si>
    <t>ＰＥＴ　Ｖ</t>
  </si>
  <si>
    <t>栗村化学</t>
  </si>
  <si>
    <t>11/30</t>
    <phoneticPr fontId="17"/>
  </si>
  <si>
    <t>12/1</t>
    <phoneticPr fontId="17"/>
  </si>
  <si>
    <t>12/2</t>
    <phoneticPr fontId="17"/>
  </si>
  <si>
    <t>12/3</t>
    <phoneticPr fontId="17"/>
  </si>
  <si>
    <t>12/4</t>
    <phoneticPr fontId="17"/>
  </si>
  <si>
    <t>12/6</t>
    <phoneticPr fontId="17"/>
  </si>
  <si>
    <t>12/7</t>
    <phoneticPr fontId="17"/>
  </si>
  <si>
    <t>12/8</t>
    <phoneticPr fontId="17"/>
  </si>
  <si>
    <t>12/12</t>
    <phoneticPr fontId="17"/>
  </si>
  <si>
    <t>12/18</t>
    <phoneticPr fontId="17"/>
  </si>
  <si>
    <t>12/19</t>
    <phoneticPr fontId="17"/>
  </si>
  <si>
    <t>R80</t>
    <phoneticPr fontId="20"/>
  </si>
  <si>
    <t>㈱富士セラミックス</t>
    <rPh sb="1" eb="3">
      <t>フジ</t>
    </rPh>
    <phoneticPr fontId="20"/>
  </si>
  <si>
    <t>積水化学工業多賀工場</t>
    <rPh sb="0" eb="2">
      <t>セキスイ</t>
    </rPh>
    <rPh sb="2" eb="4">
      <t>カガク</t>
    </rPh>
    <rPh sb="4" eb="6">
      <t>コウギョウ</t>
    </rPh>
    <rPh sb="6" eb="8">
      <t>タガ</t>
    </rPh>
    <rPh sb="8" eb="10">
      <t>コウジョウ</t>
    </rPh>
    <phoneticPr fontId="20"/>
  </si>
  <si>
    <t>12/14</t>
    <phoneticPr fontId="17"/>
  </si>
  <si>
    <t>12/15</t>
    <phoneticPr fontId="17"/>
  </si>
  <si>
    <t>12/20</t>
    <phoneticPr fontId="17"/>
  </si>
  <si>
    <t>12/21</t>
    <phoneticPr fontId="17"/>
  </si>
  <si>
    <t>12/22</t>
    <phoneticPr fontId="17"/>
  </si>
  <si>
    <t>火</t>
    <rPh sb="0" eb="1">
      <t>ヒ</t>
    </rPh>
    <phoneticPr fontId="17"/>
  </si>
  <si>
    <t>原価ｷｰ</t>
    <rPh sb="0" eb="2">
      <t>ゲンカ</t>
    </rPh>
    <phoneticPr fontId="17"/>
  </si>
  <si>
    <t>品名訳</t>
  </si>
  <si>
    <t>品区</t>
  </si>
  <si>
    <t>取扱年月</t>
  </si>
  <si>
    <t>標準原価</t>
  </si>
  <si>
    <t>収率</t>
  </si>
  <si>
    <t>第２収率</t>
  </si>
  <si>
    <t>第１主原材料費</t>
  </si>
  <si>
    <t>第２主原材料費</t>
  </si>
  <si>
    <t>主原外注加工費</t>
  </si>
  <si>
    <t>主原その他費１</t>
  </si>
  <si>
    <t>主原その他費２</t>
  </si>
  <si>
    <t>副原料費</t>
  </si>
  <si>
    <t>荷材費</t>
  </si>
  <si>
    <t>工場消耗費</t>
  </si>
  <si>
    <t>エネルギー費</t>
  </si>
  <si>
    <t>外注その他</t>
  </si>
  <si>
    <t>比例その他費１</t>
  </si>
  <si>
    <t>直接固定費</t>
  </si>
  <si>
    <t>間接固定費</t>
  </si>
  <si>
    <t>固定その他費１</t>
  </si>
  <si>
    <t>固定その他費２</t>
  </si>
  <si>
    <t>メタ原価区分</t>
  </si>
  <si>
    <t>比例費</t>
    <rPh sb="0" eb="2">
      <t>ヒレイ</t>
    </rPh>
    <rPh sb="2" eb="3">
      <t>ヒ</t>
    </rPh>
    <phoneticPr fontId="17"/>
  </si>
  <si>
    <t>固定費</t>
    <rPh sb="0" eb="3">
      <t>コテイヒ</t>
    </rPh>
    <phoneticPr fontId="17"/>
  </si>
  <si>
    <t>標準-固定費</t>
    <rPh sb="0" eb="2">
      <t>ヒョウジュン</t>
    </rPh>
    <rPh sb="3" eb="6">
      <t>コテイヒ</t>
    </rPh>
    <phoneticPr fontId="17"/>
  </si>
  <si>
    <t>販売単価</t>
    <rPh sb="0" eb="2">
      <t>ハンバイ</t>
    </rPh>
    <rPh sb="2" eb="4">
      <t>タンカ</t>
    </rPh>
    <phoneticPr fontId="17"/>
  </si>
  <si>
    <t>限界利益</t>
    <rPh sb="0" eb="2">
      <t>ゲンカイ</t>
    </rPh>
    <rPh sb="2" eb="4">
      <t>リエキ</t>
    </rPh>
    <phoneticPr fontId="17"/>
  </si>
  <si>
    <t>限界利益＝販売単価-（主原+比例）</t>
    <rPh sb="0" eb="2">
      <t>ゲンカイ</t>
    </rPh>
    <rPh sb="2" eb="4">
      <t>リエキ</t>
    </rPh>
    <rPh sb="5" eb="7">
      <t>ハンバイ</t>
    </rPh>
    <rPh sb="7" eb="9">
      <t>タンカ</t>
    </rPh>
    <rPh sb="11" eb="12">
      <t>シュ</t>
    </rPh>
    <rPh sb="12" eb="13">
      <t>ゲン</t>
    </rPh>
    <rPh sb="14" eb="16">
      <t>ヒレイ</t>
    </rPh>
    <phoneticPr fontId="17"/>
  </si>
  <si>
    <t>B</t>
  </si>
  <si>
    <t>セラピール</t>
  </si>
  <si>
    <t>K</t>
  </si>
  <si>
    <t>A</t>
  </si>
  <si>
    <t>Ｃラベル</t>
  </si>
  <si>
    <t>ＭＣラベル</t>
  </si>
  <si>
    <t>Ｍラベル</t>
  </si>
  <si>
    <t>C</t>
  </si>
  <si>
    <t>BX8A14</t>
    <phoneticPr fontId="56"/>
  </si>
  <si>
    <t>MDAPR</t>
  </si>
  <si>
    <t>BQT</t>
    <phoneticPr fontId="17"/>
  </si>
  <si>
    <t>BKERXP</t>
  </si>
  <si>
    <t>75P</t>
    <phoneticPr fontId="17"/>
  </si>
  <si>
    <t>3H</t>
    <phoneticPr fontId="17"/>
  </si>
  <si>
    <t>12/23</t>
    <phoneticPr fontId="17"/>
  </si>
  <si>
    <t>12/24</t>
    <phoneticPr fontId="17"/>
  </si>
  <si>
    <t>12/25</t>
    <phoneticPr fontId="17"/>
  </si>
  <si>
    <t>12/26</t>
    <phoneticPr fontId="17"/>
  </si>
  <si>
    <t>巻足し</t>
    <rPh sb="0" eb="2">
      <t>マキタ</t>
    </rPh>
    <phoneticPr fontId="17"/>
  </si>
  <si>
    <t>12/27</t>
    <phoneticPr fontId="17"/>
  </si>
  <si>
    <t>水</t>
    <rPh sb="0" eb="1">
      <t>スイ</t>
    </rPh>
    <phoneticPr fontId="17"/>
  </si>
  <si>
    <t>12/28</t>
    <phoneticPr fontId="17"/>
  </si>
  <si>
    <t>1/1</t>
    <phoneticPr fontId="17"/>
  </si>
  <si>
    <t>1/2</t>
    <phoneticPr fontId="17"/>
  </si>
  <si>
    <t>1/3</t>
    <phoneticPr fontId="17"/>
  </si>
  <si>
    <t>1/4</t>
    <phoneticPr fontId="17"/>
  </si>
  <si>
    <t>1/5</t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</si>
  <si>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</si>
  <si>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</si>
  <si>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</si>
  <si>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</si>
  <si>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</si>
  <si>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火</t>
    <rPh sb="0" eb="1">
      <t>カ</t>
    </rPh>
    <phoneticPr fontId="17"/>
  </si>
  <si>
    <t>立上げ</t>
    <rPh sb="0" eb="2">
      <t>タチア</t>
    </rPh>
    <phoneticPr fontId="17"/>
  </si>
  <si>
    <t>14:00</t>
    <phoneticPr fontId="17"/>
  </si>
  <si>
    <t>日東シンコー㈱</t>
  </si>
  <si>
    <t>工材３部工材１課</t>
  </si>
  <si>
    <t>フジコピアン　岡山</t>
  </si>
  <si>
    <t>セラピール　　　　　　　　　　　ＷＺ（Ｕ）</t>
  </si>
  <si>
    <t>1/6</t>
    <phoneticPr fontId="17"/>
  </si>
  <si>
    <t>1/7</t>
    <phoneticPr fontId="17"/>
  </si>
  <si>
    <t>1/8</t>
    <phoneticPr fontId="17"/>
  </si>
  <si>
    <t>1/9</t>
    <phoneticPr fontId="17"/>
  </si>
  <si>
    <t>1/10</t>
    <phoneticPr fontId="17"/>
  </si>
  <si>
    <t>1/11</t>
    <phoneticPr fontId="17"/>
  </si>
  <si>
    <t>1/12</t>
    <phoneticPr fontId="17"/>
  </si>
  <si>
    <t>1/13</t>
    <phoneticPr fontId="17"/>
  </si>
  <si>
    <t>1/14</t>
    <phoneticPr fontId="17"/>
  </si>
  <si>
    <t>1/15</t>
    <phoneticPr fontId="17"/>
  </si>
  <si>
    <t>1/16</t>
    <phoneticPr fontId="17"/>
  </si>
  <si>
    <t>1/17</t>
    <phoneticPr fontId="17"/>
  </si>
  <si>
    <t>日東シンコー(株)</t>
    <rPh sb="0" eb="2">
      <t>ニットウ</t>
    </rPh>
    <rPh sb="6" eb="9">
      <t>カブシキガイシャ</t>
    </rPh>
    <phoneticPr fontId="20"/>
  </si>
  <si>
    <t>7/1</t>
    <phoneticPr fontId="17"/>
  </si>
  <si>
    <t>T</t>
    <phoneticPr fontId="17"/>
  </si>
  <si>
    <t>CLB</t>
    <phoneticPr fontId="17"/>
  </si>
  <si>
    <t>6ｲﾝﾁMｺｱ</t>
    <phoneticPr fontId="17"/>
  </si>
  <si>
    <t>機能材料G　中野部員</t>
    <rPh sb="0" eb="2">
      <t>ザイリョウ</t>
    </rPh>
    <rPh sb="4" eb="6">
      <t>ナカノ</t>
    </rPh>
    <rPh sb="6" eb="8">
      <t>ブイン</t>
    </rPh>
    <phoneticPr fontId="5"/>
  </si>
  <si>
    <t>1/11</t>
    <phoneticPr fontId="17"/>
  </si>
  <si>
    <t>1/12</t>
    <phoneticPr fontId="17"/>
  </si>
  <si>
    <t>1/13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</si>
  <si>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</si>
  <si>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</si>
  <si>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</si>
  <si>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14:00</t>
    <phoneticPr fontId="17"/>
  </si>
  <si>
    <t>1/14</t>
    <phoneticPr fontId="17"/>
  </si>
  <si>
    <t>土</t>
    <rPh sb="0" eb="1">
      <t>ド</t>
    </rPh>
    <phoneticPr fontId="17"/>
  </si>
  <si>
    <t>1/15</t>
    <phoneticPr fontId="17"/>
  </si>
  <si>
    <t>日</t>
    <rPh sb="0" eb="1">
      <t>ニチ</t>
    </rPh>
    <phoneticPr fontId="17"/>
  </si>
  <si>
    <t>1/16</t>
    <phoneticPr fontId="17"/>
  </si>
  <si>
    <t>月</t>
    <rPh sb="0" eb="1">
      <t>ゲツ</t>
    </rPh>
    <phoneticPr fontId="17"/>
  </si>
  <si>
    <t>1/17</t>
    <phoneticPr fontId="17"/>
  </si>
  <si>
    <t>火</t>
    <rPh sb="0" eb="1">
      <t>カ</t>
    </rPh>
    <phoneticPr fontId="17"/>
  </si>
  <si>
    <t>1/18</t>
    <phoneticPr fontId="17"/>
  </si>
  <si>
    <t>1/19</t>
    <phoneticPr fontId="17"/>
  </si>
  <si>
    <t>1/20</t>
    <phoneticPr fontId="17"/>
  </si>
  <si>
    <t>1/21</t>
    <phoneticPr fontId="17"/>
  </si>
  <si>
    <t>1/22</t>
    <phoneticPr fontId="17"/>
  </si>
  <si>
    <t>1/23</t>
    <phoneticPr fontId="17"/>
  </si>
  <si>
    <t>1/24</t>
    <phoneticPr fontId="17"/>
  </si>
  <si>
    <t>1/25</t>
    <phoneticPr fontId="17"/>
  </si>
  <si>
    <t>1/26</t>
    <phoneticPr fontId="17"/>
  </si>
  <si>
    <t>1/27</t>
    <phoneticPr fontId="17"/>
  </si>
  <si>
    <t>保留品</t>
    <rPh sb="0" eb="3">
      <t>ホリュウヒン</t>
    </rPh>
    <phoneticPr fontId="17"/>
  </si>
  <si>
    <t>巻返し</t>
    <rPh sb="0" eb="2">
      <t>マキカエ</t>
    </rPh>
    <phoneticPr fontId="17"/>
  </si>
  <si>
    <t>1/18</t>
    <phoneticPr fontId="17"/>
  </si>
  <si>
    <t>水</t>
    <rPh sb="0" eb="1">
      <t>スイ</t>
    </rPh>
    <phoneticPr fontId="17"/>
  </si>
  <si>
    <t>1/20</t>
    <phoneticPr fontId="17"/>
  </si>
  <si>
    <t>金</t>
    <rPh sb="0" eb="1">
      <t>キン</t>
    </rPh>
    <phoneticPr fontId="17"/>
  </si>
  <si>
    <t>6ｲﾝﾁSｺｱ</t>
  </si>
  <si>
    <t>1/21</t>
    <phoneticPr fontId="17"/>
  </si>
  <si>
    <t>1/22</t>
    <phoneticPr fontId="17"/>
  </si>
  <si>
    <t>1/23</t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</si>
  <si>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</si>
  <si>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</si>
  <si>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</si>
  <si>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17:00</t>
    <phoneticPr fontId="17"/>
  </si>
  <si>
    <t>工程管理はS5</t>
    <rPh sb="0" eb="1">
      <t>コウテイ</t>
    </rPh>
    <rPh sb="1" eb="3">
      <t>カンリ</t>
    </rPh>
    <phoneticPr fontId="17"/>
  </si>
  <si>
    <t>1/24</t>
    <phoneticPr fontId="17"/>
  </si>
  <si>
    <t>火</t>
    <rPh sb="0" eb="1">
      <t>カ</t>
    </rPh>
    <phoneticPr fontId="17"/>
  </si>
  <si>
    <t>1/25</t>
    <phoneticPr fontId="17"/>
  </si>
  <si>
    <t>ﾘｰﾄﾞ作成</t>
    <rPh sb="4" eb="6">
      <t>サクセイ</t>
    </rPh>
    <phoneticPr fontId="17"/>
  </si>
  <si>
    <t>1/28</t>
    <phoneticPr fontId="17"/>
  </si>
  <si>
    <t>TICU</t>
  </si>
  <si>
    <t>メタルミーＣＲ　アルミ面コート</t>
    <rPh sb="11" eb="12">
      <t>メン</t>
    </rPh>
    <phoneticPr fontId="16"/>
  </si>
  <si>
    <t>日東豊橋</t>
    <rPh sb="0" eb="4">
      <t>ニットウトヨハシ</t>
    </rPh>
    <phoneticPr fontId="16"/>
  </si>
  <si>
    <t>1/29</t>
    <phoneticPr fontId="17"/>
  </si>
  <si>
    <t>ﾘｰﾄﾞ作成</t>
    <rPh sb="4" eb="6">
      <t>サクセイ</t>
    </rPh>
    <phoneticPr fontId="17"/>
  </si>
  <si>
    <t>3SYMLBMSNMBF50</t>
  </si>
  <si>
    <t>S4+S5</t>
    <phoneticPr fontId="17"/>
  </si>
  <si>
    <t>工程管理はS4</t>
    <rPh sb="0" eb="3">
      <t>コウテイカンリ</t>
    </rPh>
    <phoneticPr fontId="17"/>
  </si>
  <si>
    <t>スリット</t>
    <phoneticPr fontId="17"/>
  </si>
  <si>
    <t>6ｲﾝﾁMｺｱ</t>
  </si>
  <si>
    <t>日東電工豊橋</t>
    <rPh sb="0" eb="2">
      <t>ニットウ</t>
    </rPh>
    <rPh sb="2" eb="4">
      <t>デンコウ</t>
    </rPh>
    <rPh sb="4" eb="6">
      <t>トヨハシ</t>
    </rPh>
    <phoneticPr fontId="20"/>
  </si>
  <si>
    <t>S28</t>
    <phoneticPr fontId="17"/>
  </si>
  <si>
    <t>巻足し</t>
    <rPh sb="0" eb="2">
      <t>マキタ</t>
    </rPh>
    <phoneticPr fontId="17"/>
  </si>
  <si>
    <t>土</t>
    <rPh sb="0" eb="1">
      <t>ド</t>
    </rPh>
    <phoneticPr fontId="17"/>
  </si>
  <si>
    <t>1/29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</si>
  <si>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</si>
  <si>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</si>
  <si>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1/30</t>
    <phoneticPr fontId="17"/>
  </si>
  <si>
    <t>月</t>
    <rPh sb="0" eb="1">
      <t>ゲツ</t>
    </rPh>
    <phoneticPr fontId="17"/>
  </si>
  <si>
    <t>1/31</t>
    <phoneticPr fontId="17"/>
  </si>
  <si>
    <t>火</t>
    <rPh sb="0" eb="1">
      <t>カ</t>
    </rPh>
    <phoneticPr fontId="17"/>
  </si>
  <si>
    <t>2/1</t>
    <phoneticPr fontId="17"/>
  </si>
  <si>
    <t>水</t>
    <rPh sb="0" eb="1">
      <t>スイ</t>
    </rPh>
    <phoneticPr fontId="17"/>
  </si>
  <si>
    <t>2/2</t>
    <phoneticPr fontId="17"/>
  </si>
  <si>
    <t>木</t>
    <rPh sb="0" eb="1">
      <t>モク</t>
    </rPh>
    <phoneticPr fontId="17"/>
  </si>
  <si>
    <t>2/3</t>
    <phoneticPr fontId="17"/>
  </si>
  <si>
    <t>金</t>
    <rPh sb="0" eb="1">
      <t>キン</t>
    </rPh>
    <phoneticPr fontId="17"/>
  </si>
  <si>
    <t>2/4</t>
    <phoneticPr fontId="17"/>
  </si>
  <si>
    <t>2/5</t>
    <phoneticPr fontId="17"/>
  </si>
  <si>
    <t>2/6</t>
    <phoneticPr fontId="17"/>
  </si>
  <si>
    <t>リード付け</t>
    <rPh sb="3" eb="4">
      <t>ツ</t>
    </rPh>
    <phoneticPr fontId="17"/>
  </si>
  <si>
    <t>2/7</t>
    <phoneticPr fontId="17"/>
  </si>
  <si>
    <t>2/8</t>
    <phoneticPr fontId="17"/>
  </si>
  <si>
    <t>2/9</t>
    <phoneticPr fontId="17"/>
  </si>
  <si>
    <t>2/11</t>
    <phoneticPr fontId="17"/>
  </si>
  <si>
    <t>2/12</t>
    <phoneticPr fontId="17"/>
  </si>
  <si>
    <t>2/13</t>
    <phoneticPr fontId="17"/>
  </si>
  <si>
    <t>1/27</t>
    <phoneticPr fontId="17"/>
  </si>
  <si>
    <t>金</t>
    <rPh sb="0" eb="1">
      <t>キン</t>
    </rPh>
    <phoneticPr fontId="17"/>
  </si>
  <si>
    <t>1/28</t>
    <phoneticPr fontId="17"/>
  </si>
  <si>
    <t>土</t>
    <rPh sb="0" eb="1">
      <t>ド</t>
    </rPh>
    <phoneticPr fontId="17"/>
  </si>
  <si>
    <t>2/1</t>
    <phoneticPr fontId="17"/>
  </si>
  <si>
    <t>水</t>
    <rPh sb="0" eb="1">
      <t>スイ</t>
    </rPh>
    <phoneticPr fontId="17"/>
  </si>
  <si>
    <t>2/2</t>
    <phoneticPr fontId="17"/>
  </si>
  <si>
    <t>木</t>
    <rPh sb="0" eb="1">
      <t>モク</t>
    </rPh>
    <phoneticPr fontId="17"/>
  </si>
  <si>
    <t>TAF在庫</t>
    <rPh sb="3" eb="5">
      <t>ザイコ</t>
    </rPh>
    <phoneticPr fontId="17"/>
  </si>
  <si>
    <t>1/31</t>
    <phoneticPr fontId="17"/>
  </si>
  <si>
    <t>火</t>
    <rPh sb="0" eb="1">
      <t>ヒ</t>
    </rPh>
    <phoneticPr fontId="17"/>
  </si>
  <si>
    <t>生技テスト</t>
    <rPh sb="0" eb="1">
      <t>ギ</t>
    </rPh>
    <phoneticPr fontId="17"/>
  </si>
  <si>
    <t>河村産業</t>
    <rPh sb="0" eb="2">
      <t>カワムラ</t>
    </rPh>
    <rPh sb="2" eb="4">
      <t>サンギョウ</t>
    </rPh>
    <phoneticPr fontId="20"/>
  </si>
  <si>
    <t>㈱ﾚｿﾞﾅｯｸ五井事業所</t>
    <rPh sb="7" eb="9">
      <t>ゴイ</t>
    </rPh>
    <rPh sb="9" eb="12">
      <t>ジギョウショ</t>
    </rPh>
    <phoneticPr fontId="20"/>
  </si>
  <si>
    <t>2/10</t>
    <phoneticPr fontId="17"/>
  </si>
  <si>
    <t>金</t>
    <rPh sb="0" eb="1">
      <t>キン</t>
    </rPh>
    <phoneticPr fontId="17"/>
  </si>
  <si>
    <t>2/14</t>
    <phoneticPr fontId="17"/>
  </si>
  <si>
    <t>2/3</t>
    <phoneticPr fontId="17"/>
  </si>
  <si>
    <t>金</t>
    <rPh sb="0" eb="1">
      <t>キン</t>
    </rPh>
    <phoneticPr fontId="17"/>
  </si>
  <si>
    <t>2/4</t>
    <phoneticPr fontId="17"/>
  </si>
  <si>
    <t>土</t>
    <rPh sb="0" eb="1">
      <t>ド</t>
    </rPh>
    <phoneticPr fontId="17"/>
  </si>
  <si>
    <t>2/5</t>
    <phoneticPr fontId="17"/>
  </si>
  <si>
    <t>日</t>
    <rPh sb="0" eb="1">
      <t>ニチ</t>
    </rPh>
    <phoneticPr fontId="17"/>
  </si>
  <si>
    <t>2/6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</si>
  <si>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</si>
  <si>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</si>
  <si>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2/11</t>
    <phoneticPr fontId="17"/>
  </si>
  <si>
    <t>2/12</t>
    <phoneticPr fontId="17"/>
  </si>
  <si>
    <t>2/18</t>
    <phoneticPr fontId="17"/>
  </si>
  <si>
    <t>2/19</t>
    <phoneticPr fontId="17"/>
  </si>
  <si>
    <t>2/23</t>
    <phoneticPr fontId="17"/>
  </si>
  <si>
    <t>2/24</t>
    <phoneticPr fontId="17"/>
  </si>
  <si>
    <t>2/25</t>
    <phoneticPr fontId="17"/>
  </si>
  <si>
    <t>2/26</t>
    <phoneticPr fontId="17"/>
  </si>
  <si>
    <t>2/27</t>
    <phoneticPr fontId="17"/>
  </si>
  <si>
    <t>2/28</t>
    <phoneticPr fontId="17"/>
  </si>
  <si>
    <t>巻返し</t>
    <rPh sb="0" eb="2">
      <t>マキカエ</t>
    </rPh>
    <phoneticPr fontId="17"/>
  </si>
  <si>
    <t>2/10</t>
    <phoneticPr fontId="17"/>
  </si>
  <si>
    <t>金</t>
    <rPh sb="0" eb="1">
      <t>キン</t>
    </rPh>
    <phoneticPr fontId="17"/>
  </si>
  <si>
    <t>2/15</t>
    <phoneticPr fontId="17"/>
  </si>
  <si>
    <t>水</t>
    <rPh sb="0" eb="1">
      <t>スイ</t>
    </rPh>
    <phoneticPr fontId="17"/>
  </si>
  <si>
    <t>2/16</t>
    <phoneticPr fontId="17"/>
  </si>
  <si>
    <t>木</t>
    <rPh sb="0" eb="1">
      <t>モク</t>
    </rPh>
    <phoneticPr fontId="17"/>
  </si>
  <si>
    <t>2/17</t>
    <phoneticPr fontId="17"/>
  </si>
  <si>
    <t>2/20</t>
    <phoneticPr fontId="17"/>
  </si>
  <si>
    <t>2/22</t>
    <phoneticPr fontId="17"/>
  </si>
  <si>
    <t>3ｲﾝﾁSｺｱ</t>
  </si>
  <si>
    <t>リード作成</t>
    <rPh sb="3" eb="5">
      <t>サクセイ</t>
    </rPh>
    <phoneticPr fontId="17"/>
  </si>
  <si>
    <t>欠点検出器年次点検</t>
    <rPh sb="0" eb="1">
      <t>ケッテン</t>
    </rPh>
    <rPh sb="1" eb="4">
      <t>ケンシュツキ</t>
    </rPh>
    <rPh sb="4" eb="6">
      <t>ネンジ</t>
    </rPh>
    <rPh sb="6" eb="8">
      <t>テンケン</t>
    </rPh>
    <phoneticPr fontId="17"/>
  </si>
  <si>
    <t>決算棚卸し</t>
    <rPh sb="0" eb="2">
      <t>ケッサン</t>
    </rPh>
    <rPh sb="2" eb="4">
      <t>タナオロ</t>
    </rPh>
    <phoneticPr fontId="17"/>
  </si>
  <si>
    <t>巻返し</t>
    <rPh sb="0" eb="2">
      <t>マキカエ</t>
    </rPh>
    <phoneticPr fontId="17"/>
  </si>
  <si>
    <t>2/15</t>
    <phoneticPr fontId="17"/>
  </si>
  <si>
    <t>水</t>
    <rPh sb="0" eb="1">
      <t>スイ</t>
    </rPh>
    <phoneticPr fontId="17"/>
  </si>
  <si>
    <t>2/16</t>
    <phoneticPr fontId="17"/>
  </si>
  <si>
    <t>木</t>
    <rPh sb="0" eb="1">
      <t>モク</t>
    </rPh>
    <phoneticPr fontId="17"/>
  </si>
  <si>
    <t>2/17</t>
    <phoneticPr fontId="17"/>
  </si>
  <si>
    <t>金</t>
    <rPh sb="0" eb="1">
      <t>キン</t>
    </rPh>
    <phoneticPr fontId="17"/>
  </si>
  <si>
    <t>月</t>
    <rPh sb="0" eb="1">
      <t>ゲツ</t>
    </rPh>
    <phoneticPr fontId="17"/>
  </si>
  <si>
    <t>2/21</t>
    <phoneticPr fontId="17"/>
  </si>
  <si>
    <t>火</t>
    <rPh sb="0" eb="1">
      <t>ヒ</t>
    </rPh>
    <phoneticPr fontId="17"/>
  </si>
  <si>
    <t>2/23</t>
    <phoneticPr fontId="17"/>
  </si>
  <si>
    <t>2/24</t>
    <phoneticPr fontId="17"/>
  </si>
  <si>
    <t>ﾘｰﾄﾞ作成</t>
    <rPh sb="4" eb="6">
      <t>サクセイ</t>
    </rPh>
    <phoneticPr fontId="17"/>
  </si>
  <si>
    <t>2/25</t>
    <phoneticPr fontId="17"/>
  </si>
  <si>
    <t>土</t>
    <rPh sb="0" eb="1">
      <t>ド</t>
    </rPh>
    <phoneticPr fontId="17"/>
  </si>
  <si>
    <t>2/26</t>
    <phoneticPr fontId="17"/>
  </si>
  <si>
    <t>日</t>
    <rPh sb="0" eb="1">
      <t>ニチ</t>
    </rPh>
    <phoneticPr fontId="17"/>
  </si>
  <si>
    <t>2/27</t>
    <phoneticPr fontId="17"/>
  </si>
  <si>
    <t>2/28</t>
    <phoneticPr fontId="17"/>
  </si>
  <si>
    <t>棚卸し</t>
    <rPh sb="0" eb="2">
      <t>タナオロ</t>
    </rPh>
    <phoneticPr fontId="17"/>
  </si>
  <si>
    <t>3SNMLBMDMSJF</t>
  </si>
  <si>
    <t/>
  </si>
  <si>
    <t>2/21</t>
    <phoneticPr fontId="17"/>
  </si>
  <si>
    <t>火</t>
    <rPh sb="0" eb="1">
      <t>ヒ</t>
    </rPh>
    <phoneticPr fontId="17"/>
  </si>
  <si>
    <t>※工程管理S-5</t>
    <rPh sb="0" eb="2">
      <t>コウテイ</t>
    </rPh>
    <rPh sb="2" eb="4">
      <t>カンリ</t>
    </rPh>
    <phoneticPr fontId="17"/>
  </si>
  <si>
    <t>改装</t>
    <rPh sb="0" eb="2">
      <t>カイソウ</t>
    </rPh>
    <phoneticPr fontId="17"/>
  </si>
  <si>
    <t>3/1</t>
    <phoneticPr fontId="17"/>
  </si>
  <si>
    <t>水</t>
    <rPh sb="0" eb="1">
      <t>スイ</t>
    </rPh>
    <phoneticPr fontId="17"/>
  </si>
  <si>
    <t>巻足し</t>
    <rPh sb="0" eb="1">
      <t>マキ</t>
    </rPh>
    <rPh sb="1" eb="2">
      <t>タ</t>
    </rPh>
    <phoneticPr fontId="17"/>
  </si>
  <si>
    <t>3/2</t>
    <phoneticPr fontId="17"/>
  </si>
  <si>
    <t>木</t>
    <rPh sb="0" eb="1">
      <t>モク</t>
    </rPh>
    <phoneticPr fontId="17"/>
  </si>
  <si>
    <t>3/3</t>
    <phoneticPr fontId="17"/>
  </si>
  <si>
    <t>金</t>
    <rPh sb="0" eb="1">
      <t>キン</t>
    </rPh>
    <phoneticPr fontId="17"/>
  </si>
  <si>
    <t>3/4</t>
    <phoneticPr fontId="17"/>
  </si>
  <si>
    <t>土</t>
    <rPh sb="0" eb="1">
      <t>ド</t>
    </rPh>
    <phoneticPr fontId="17"/>
  </si>
  <si>
    <t>3/5</t>
    <phoneticPr fontId="17"/>
  </si>
  <si>
    <t>日</t>
    <rPh sb="0" eb="1">
      <t>ニチ</t>
    </rPh>
    <phoneticPr fontId="17"/>
  </si>
  <si>
    <t>3/6</t>
    <phoneticPr fontId="17"/>
  </si>
  <si>
    <t>月</t>
    <rPh sb="0" eb="1">
      <t>ゲツ</t>
    </rPh>
    <phoneticPr fontId="17"/>
  </si>
  <si>
    <t>3/7</t>
    <phoneticPr fontId="17"/>
  </si>
  <si>
    <t>火</t>
    <rPh sb="0" eb="1">
      <t>ヒ</t>
    </rPh>
    <phoneticPr fontId="17"/>
  </si>
  <si>
    <t>3/8</t>
    <phoneticPr fontId="17"/>
  </si>
  <si>
    <t>3/9</t>
    <phoneticPr fontId="17"/>
  </si>
  <si>
    <t>3/10</t>
    <phoneticPr fontId="17"/>
  </si>
  <si>
    <t>3/11</t>
    <phoneticPr fontId="17"/>
  </si>
  <si>
    <t>3/12</t>
    <phoneticPr fontId="17"/>
  </si>
  <si>
    <t>3/13</t>
    <phoneticPr fontId="17"/>
  </si>
  <si>
    <t>リード付け</t>
    <rPh sb="3" eb="4">
      <t>ツ</t>
    </rPh>
    <phoneticPr fontId="17"/>
  </si>
  <si>
    <t>3/14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</si>
  <si>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</si>
  <si>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</si>
  <si>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</si>
  <si>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</si>
  <si>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</si>
  <si>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</si>
  <si>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巻返し</t>
    <rPh sb="0" eb="2">
      <t>マキカエ</t>
    </rPh>
    <phoneticPr fontId="17"/>
  </si>
  <si>
    <t>火</t>
    <rPh sb="0" eb="1">
      <t>ヒ</t>
    </rPh>
    <phoneticPr fontId="17"/>
  </si>
  <si>
    <t>3/15</t>
    <phoneticPr fontId="17"/>
  </si>
  <si>
    <t>3/16</t>
    <phoneticPr fontId="17"/>
  </si>
  <si>
    <t>3/17</t>
    <phoneticPr fontId="17"/>
  </si>
  <si>
    <t>3/18</t>
    <phoneticPr fontId="17"/>
  </si>
  <si>
    <t>3/19</t>
    <phoneticPr fontId="17"/>
  </si>
  <si>
    <t>3/20</t>
    <phoneticPr fontId="17"/>
  </si>
  <si>
    <t>スリット</t>
  </si>
  <si>
    <t>3/23</t>
    <phoneticPr fontId="17"/>
  </si>
  <si>
    <t>3/24</t>
    <phoneticPr fontId="17"/>
  </si>
  <si>
    <t>3/25</t>
    <phoneticPr fontId="17"/>
  </si>
  <si>
    <t>3/26</t>
    <phoneticPr fontId="17"/>
  </si>
  <si>
    <t>3/27</t>
    <phoneticPr fontId="17"/>
  </si>
  <si>
    <t>3/28</t>
    <phoneticPr fontId="17"/>
  </si>
  <si>
    <t>3/29</t>
    <phoneticPr fontId="17"/>
  </si>
  <si>
    <t>3/30</t>
    <phoneticPr fontId="17"/>
  </si>
  <si>
    <t>3/31</t>
    <phoneticPr fontId="17"/>
  </si>
  <si>
    <t>4/1</t>
    <phoneticPr fontId="17"/>
  </si>
  <si>
    <t>4/2</t>
    <phoneticPr fontId="17"/>
  </si>
  <si>
    <t>パナソニック　ＩＳ社</t>
    <rPh sb="9" eb="10">
      <t>シャ</t>
    </rPh>
    <phoneticPr fontId="20"/>
  </si>
  <si>
    <t>3/13</t>
    <phoneticPr fontId="17"/>
  </si>
  <si>
    <t>月</t>
    <rPh sb="0" eb="1">
      <t>ゲツ</t>
    </rPh>
    <phoneticPr fontId="17"/>
  </si>
  <si>
    <t>3/14</t>
    <phoneticPr fontId="17"/>
  </si>
  <si>
    <t>火</t>
    <rPh sb="0" eb="1">
      <t>ヒ</t>
    </rPh>
    <phoneticPr fontId="17"/>
  </si>
  <si>
    <t>3/15</t>
    <phoneticPr fontId="17"/>
  </si>
  <si>
    <t>水</t>
    <rPh sb="0" eb="1">
      <t>スイ</t>
    </rPh>
    <phoneticPr fontId="17"/>
  </si>
  <si>
    <t>3/16</t>
    <phoneticPr fontId="17"/>
  </si>
  <si>
    <t>木</t>
    <rPh sb="0" eb="1">
      <t>モク</t>
    </rPh>
    <phoneticPr fontId="17"/>
  </si>
  <si>
    <t>3/20</t>
    <phoneticPr fontId="17"/>
  </si>
  <si>
    <t>月</t>
    <rPh sb="0" eb="1">
      <t>ゲツ</t>
    </rPh>
    <phoneticPr fontId="17"/>
  </si>
  <si>
    <t>3/21</t>
    <phoneticPr fontId="17"/>
  </si>
  <si>
    <t>火</t>
    <rPh sb="0" eb="1">
      <t>ヒ</t>
    </rPh>
    <phoneticPr fontId="17"/>
  </si>
  <si>
    <t>3/22</t>
    <phoneticPr fontId="17"/>
  </si>
  <si>
    <t>水</t>
    <rPh sb="0" eb="1">
      <t>スイ</t>
    </rPh>
    <phoneticPr fontId="17"/>
  </si>
  <si>
    <t>HLGTF</t>
  </si>
  <si>
    <t>メタルミーヘヤライン銀艶</t>
  </si>
  <si>
    <t>BRIGHT</t>
    <phoneticPr fontId="20"/>
  </si>
  <si>
    <t>メタルミーヘヤライン銀艶</t>
    <rPh sb="10" eb="11">
      <t>ギン</t>
    </rPh>
    <rPh sb="11" eb="12">
      <t>ツヤ</t>
    </rPh>
    <phoneticPr fontId="20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</si>
  <si>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</si>
  <si>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</si>
  <si>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停機</t>
    <rPh sb="0" eb="2">
      <t>テイキ</t>
    </rPh>
    <phoneticPr fontId="17"/>
  </si>
  <si>
    <t>R80G</t>
    <phoneticPr fontId="20"/>
  </si>
  <si>
    <t>3/15</t>
    <phoneticPr fontId="17"/>
  </si>
  <si>
    <t>水</t>
    <rPh sb="0" eb="1">
      <t>スイ</t>
    </rPh>
    <phoneticPr fontId="17"/>
  </si>
  <si>
    <t>3/16</t>
    <phoneticPr fontId="17"/>
  </si>
  <si>
    <t>木</t>
    <rPh sb="0" eb="1">
      <t>モク</t>
    </rPh>
    <phoneticPr fontId="17"/>
  </si>
  <si>
    <t>3/17</t>
    <phoneticPr fontId="17"/>
  </si>
  <si>
    <t>金</t>
    <rPh sb="0" eb="1">
      <t>キン</t>
    </rPh>
    <phoneticPr fontId="17"/>
  </si>
  <si>
    <t>3/21</t>
    <phoneticPr fontId="17"/>
  </si>
  <si>
    <t>火</t>
    <rPh sb="0" eb="1">
      <t>ヒ</t>
    </rPh>
    <phoneticPr fontId="17"/>
  </si>
  <si>
    <t>3/22</t>
    <phoneticPr fontId="17"/>
  </si>
  <si>
    <t>3/23</t>
    <phoneticPr fontId="17"/>
  </si>
  <si>
    <t>3/24</t>
    <phoneticPr fontId="17"/>
  </si>
  <si>
    <t>－</t>
    <phoneticPr fontId="17"/>
  </si>
  <si>
    <t>4/5</t>
    <phoneticPr fontId="17"/>
  </si>
  <si>
    <t>水</t>
    <rPh sb="0" eb="1">
      <t>スイ</t>
    </rPh>
    <phoneticPr fontId="17"/>
  </si>
  <si>
    <t>4/3</t>
    <phoneticPr fontId="17"/>
  </si>
  <si>
    <t>月</t>
    <rPh sb="0" eb="1">
      <t>ゲツ</t>
    </rPh>
    <phoneticPr fontId="17"/>
  </si>
  <si>
    <t>切替</t>
    <rPh sb="0" eb="2">
      <t>キリカエ</t>
    </rPh>
    <phoneticPr fontId="17"/>
  </si>
  <si>
    <t>巻足し</t>
    <rPh sb="0" eb="1">
      <t>マキ</t>
    </rPh>
    <rPh sb="1" eb="2">
      <t>タ</t>
    </rPh>
    <phoneticPr fontId="17"/>
  </si>
  <si>
    <t>4/4</t>
    <phoneticPr fontId="17"/>
  </si>
  <si>
    <t>火</t>
    <rPh sb="0" eb="1">
      <t>ヒ</t>
    </rPh>
    <phoneticPr fontId="17"/>
  </si>
  <si>
    <t>4/6</t>
    <phoneticPr fontId="17"/>
  </si>
  <si>
    <t>木</t>
    <rPh sb="0" eb="1">
      <t>モク</t>
    </rPh>
    <phoneticPr fontId="17"/>
  </si>
  <si>
    <t>4/7</t>
    <phoneticPr fontId="17"/>
  </si>
  <si>
    <t>金</t>
    <rPh sb="0" eb="1">
      <t>キン</t>
    </rPh>
    <phoneticPr fontId="17"/>
  </si>
  <si>
    <t>4/8</t>
    <phoneticPr fontId="17"/>
  </si>
  <si>
    <t>土</t>
    <rPh sb="0" eb="1">
      <t>ド</t>
    </rPh>
    <phoneticPr fontId="17"/>
  </si>
  <si>
    <t>4/9</t>
    <phoneticPr fontId="17"/>
  </si>
  <si>
    <t>4/10</t>
    <phoneticPr fontId="17"/>
  </si>
  <si>
    <t>4/9</t>
    <phoneticPr fontId="17"/>
  </si>
  <si>
    <t>日</t>
    <rPh sb="0" eb="1">
      <t>ニチ</t>
    </rPh>
    <phoneticPr fontId="17"/>
  </si>
  <si>
    <t>停機</t>
    <rPh sb="0" eb="2">
      <t>テイキ</t>
    </rPh>
    <phoneticPr fontId="17"/>
  </si>
  <si>
    <t>4/11</t>
    <phoneticPr fontId="17"/>
  </si>
  <si>
    <t>4/12</t>
    <phoneticPr fontId="17"/>
  </si>
  <si>
    <t>水</t>
    <rPh sb="0" eb="1">
      <t>スイ</t>
    </rPh>
    <phoneticPr fontId="17"/>
  </si>
  <si>
    <t>4/13</t>
    <phoneticPr fontId="17"/>
  </si>
  <si>
    <t>木</t>
    <rPh sb="0" eb="1">
      <t>モク</t>
    </rPh>
    <phoneticPr fontId="17"/>
  </si>
  <si>
    <t>4/14</t>
    <phoneticPr fontId="17"/>
  </si>
  <si>
    <t>金</t>
    <rPh sb="0" eb="1">
      <t>キン</t>
    </rPh>
    <phoneticPr fontId="17"/>
  </si>
  <si>
    <t>4/15</t>
    <phoneticPr fontId="17"/>
  </si>
  <si>
    <t>土</t>
    <rPh sb="0" eb="1">
      <t>ド</t>
    </rPh>
    <phoneticPr fontId="17"/>
  </si>
  <si>
    <t>4/16</t>
    <phoneticPr fontId="17"/>
  </si>
  <si>
    <t>日</t>
    <rPh sb="0" eb="1">
      <t>ニチ</t>
    </rPh>
    <phoneticPr fontId="17"/>
  </si>
  <si>
    <t>4/10</t>
    <phoneticPr fontId="17"/>
  </si>
  <si>
    <t>月</t>
    <rPh sb="0" eb="1">
      <t>ゲツ</t>
    </rPh>
    <phoneticPr fontId="17"/>
  </si>
  <si>
    <t>4/11</t>
    <phoneticPr fontId="17"/>
  </si>
  <si>
    <t>火</t>
    <rPh sb="0" eb="1">
      <t>ヒ</t>
    </rPh>
    <phoneticPr fontId="17"/>
  </si>
  <si>
    <t>巻返し</t>
    <rPh sb="0" eb="2">
      <t>マキカエ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</si>
  <si>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</si>
  <si>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</si>
  <si>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</si>
  <si>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</si>
  <si>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4/17</t>
    <phoneticPr fontId="17"/>
  </si>
  <si>
    <t>月</t>
    <rPh sb="0" eb="1">
      <t>ゲツ</t>
    </rPh>
    <phoneticPr fontId="17"/>
  </si>
  <si>
    <t>停機</t>
    <rPh sb="0" eb="2">
      <t>テイキ</t>
    </rPh>
    <phoneticPr fontId="17"/>
  </si>
  <si>
    <t>4/18</t>
    <phoneticPr fontId="17"/>
  </si>
  <si>
    <t>4/19</t>
    <phoneticPr fontId="17"/>
  </si>
  <si>
    <t>4/20</t>
    <phoneticPr fontId="17"/>
  </si>
  <si>
    <t>4/21</t>
    <phoneticPr fontId="17"/>
  </si>
  <si>
    <t>4/22</t>
    <phoneticPr fontId="17"/>
  </si>
  <si>
    <t>4/23</t>
    <phoneticPr fontId="17"/>
  </si>
  <si>
    <t>4/24</t>
    <phoneticPr fontId="17"/>
  </si>
  <si>
    <t>4/25</t>
    <phoneticPr fontId="17"/>
  </si>
  <si>
    <t>4/26</t>
    <phoneticPr fontId="17"/>
  </si>
  <si>
    <t>4/27</t>
    <phoneticPr fontId="17"/>
  </si>
  <si>
    <t>4/28</t>
    <phoneticPr fontId="17"/>
  </si>
  <si>
    <t>4/29</t>
    <phoneticPr fontId="17"/>
  </si>
  <si>
    <t>4/30</t>
    <phoneticPr fontId="17"/>
  </si>
  <si>
    <t>スリット</t>
    <phoneticPr fontId="17"/>
  </si>
  <si>
    <t>3H</t>
    <phoneticPr fontId="20"/>
  </si>
  <si>
    <t>切替</t>
    <rPh sb="0" eb="2">
      <t>キリカエ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</si>
  <si>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</si>
  <si>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</si>
  <si>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巻足し</t>
    <rPh sb="0" eb="1">
      <t>マキ</t>
    </rPh>
    <rPh sb="1" eb="2">
      <t>タ</t>
    </rPh>
    <phoneticPr fontId="17"/>
  </si>
  <si>
    <t>KNZ</t>
  </si>
  <si>
    <t>MCRALCB</t>
  </si>
  <si>
    <t>巻足し</t>
    <rPh sb="0" eb="1">
      <t>マキ</t>
    </rPh>
    <rPh sb="1" eb="2">
      <t>タ</t>
    </rPh>
    <phoneticPr fontId="17"/>
  </si>
  <si>
    <t>MNQR66F</t>
    <phoneticPr fontId="17"/>
  </si>
  <si>
    <t>6ｲﾝﾁMｺｱ</t>
    <phoneticPr fontId="17"/>
  </si>
  <si>
    <t>原反ケース再利用</t>
  </si>
  <si>
    <t>4/17</t>
    <phoneticPr fontId="17"/>
  </si>
  <si>
    <t>月</t>
    <rPh sb="0" eb="1">
      <t>ゲツ</t>
    </rPh>
    <phoneticPr fontId="17"/>
  </si>
  <si>
    <t>4/18</t>
    <phoneticPr fontId="17"/>
  </si>
  <si>
    <t>火</t>
    <rPh sb="0" eb="1">
      <t>ヒ</t>
    </rPh>
    <phoneticPr fontId="17"/>
  </si>
  <si>
    <t>4/19</t>
    <phoneticPr fontId="17"/>
  </si>
  <si>
    <t>水</t>
    <rPh sb="0" eb="1">
      <t>スイ</t>
    </rPh>
    <phoneticPr fontId="17"/>
  </si>
  <si>
    <t>4/20</t>
    <phoneticPr fontId="17"/>
  </si>
  <si>
    <t>木</t>
    <rPh sb="0" eb="1">
      <t>モク</t>
    </rPh>
    <phoneticPr fontId="17"/>
  </si>
  <si>
    <t>4/21</t>
    <phoneticPr fontId="17"/>
  </si>
  <si>
    <t>金</t>
    <rPh sb="0" eb="1">
      <t>キン</t>
    </rPh>
    <phoneticPr fontId="17"/>
  </si>
  <si>
    <t>4/24</t>
    <phoneticPr fontId="17"/>
  </si>
  <si>
    <t>PETV44</t>
  </si>
  <si>
    <t>ＰＥＴ　Ｖ（Ｘ－４４）</t>
  </si>
  <si>
    <t>特種東海製紙㈱</t>
  </si>
  <si>
    <t>4/26</t>
    <phoneticPr fontId="17"/>
  </si>
  <si>
    <t>水</t>
    <rPh sb="0" eb="1">
      <t>スイ</t>
    </rPh>
    <phoneticPr fontId="17"/>
  </si>
  <si>
    <t>4/27</t>
    <phoneticPr fontId="17"/>
  </si>
  <si>
    <t>木</t>
    <rPh sb="0" eb="1">
      <t>モク</t>
    </rPh>
    <phoneticPr fontId="17"/>
  </si>
  <si>
    <t>巻足し</t>
    <rPh sb="0" eb="1">
      <t>マキ</t>
    </rPh>
    <rPh sb="1" eb="2">
      <t>タ</t>
    </rPh>
    <phoneticPr fontId="17"/>
  </si>
  <si>
    <t>金</t>
    <rPh sb="0" eb="1">
      <t>キン</t>
    </rPh>
    <phoneticPr fontId="17"/>
  </si>
  <si>
    <t>4/29</t>
    <phoneticPr fontId="17"/>
  </si>
  <si>
    <t>土</t>
    <rPh sb="0" eb="1">
      <t>ド</t>
    </rPh>
    <phoneticPr fontId="17"/>
  </si>
  <si>
    <t>4/30</t>
    <phoneticPr fontId="17"/>
  </si>
  <si>
    <t>日</t>
    <rPh sb="0" eb="1">
      <t>ニチ</t>
    </rPh>
    <phoneticPr fontId="17"/>
  </si>
  <si>
    <t>5/1</t>
    <phoneticPr fontId="17"/>
  </si>
  <si>
    <t>月</t>
    <rPh sb="0" eb="1">
      <t>ゲツ</t>
    </rPh>
    <phoneticPr fontId="17"/>
  </si>
  <si>
    <t>5/2</t>
    <phoneticPr fontId="17"/>
  </si>
  <si>
    <t>火</t>
    <rPh sb="0" eb="1">
      <t>ヒ</t>
    </rPh>
    <phoneticPr fontId="17"/>
  </si>
  <si>
    <t>5/3</t>
    <phoneticPr fontId="17"/>
  </si>
  <si>
    <t>5/4</t>
    <phoneticPr fontId="17"/>
  </si>
  <si>
    <t>5/5</t>
    <phoneticPr fontId="17"/>
  </si>
  <si>
    <t>5/6</t>
    <phoneticPr fontId="17"/>
  </si>
  <si>
    <t>5/7</t>
    <phoneticPr fontId="17"/>
  </si>
  <si>
    <t>5/8</t>
    <phoneticPr fontId="17"/>
  </si>
  <si>
    <t>5/9</t>
    <phoneticPr fontId="17"/>
  </si>
  <si>
    <t>5/10</t>
    <phoneticPr fontId="17"/>
  </si>
  <si>
    <t>5/11</t>
    <phoneticPr fontId="17"/>
  </si>
  <si>
    <t>5/12</t>
    <phoneticPr fontId="17"/>
  </si>
  <si>
    <t>リード付け</t>
    <rPh sb="3" eb="4">
      <t>ツ</t>
    </rPh>
    <phoneticPr fontId="17"/>
  </si>
  <si>
    <t>巻返し</t>
    <rPh sb="0" eb="2">
      <t>マキカエ</t>
    </rPh>
    <phoneticPr fontId="17"/>
  </si>
  <si>
    <t>5/13</t>
    <phoneticPr fontId="17"/>
  </si>
  <si>
    <t>5/14</t>
    <phoneticPr fontId="17"/>
  </si>
  <si>
    <t>公休</t>
    <rPh sb="0" eb="2">
      <t>コウキュウ</t>
    </rPh>
    <phoneticPr fontId="17"/>
  </si>
  <si>
    <t>5/15</t>
    <phoneticPr fontId="17"/>
  </si>
  <si>
    <t>5/16</t>
    <phoneticPr fontId="17"/>
  </si>
  <si>
    <t>5/17</t>
    <phoneticPr fontId="17"/>
  </si>
  <si>
    <t>5/18</t>
    <phoneticPr fontId="17"/>
  </si>
  <si>
    <t>5/19</t>
    <phoneticPr fontId="17"/>
  </si>
  <si>
    <t>5/20</t>
    <phoneticPr fontId="17"/>
  </si>
  <si>
    <t>5/21</t>
    <phoneticPr fontId="17"/>
  </si>
  <si>
    <t>リード作成</t>
    <rPh sb="3" eb="5">
      <t>サクセイ</t>
    </rPh>
    <phoneticPr fontId="17"/>
  </si>
  <si>
    <t>5/22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</si>
  <si>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</si>
  <si>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5/23</t>
    <phoneticPr fontId="17"/>
  </si>
  <si>
    <t>5/24</t>
    <phoneticPr fontId="17"/>
  </si>
  <si>
    <t>5/25</t>
    <phoneticPr fontId="17"/>
  </si>
  <si>
    <t>5/26</t>
    <phoneticPr fontId="17"/>
  </si>
  <si>
    <t>5/27</t>
    <phoneticPr fontId="17"/>
  </si>
  <si>
    <t>5/28</t>
    <phoneticPr fontId="17"/>
  </si>
  <si>
    <t>5/30</t>
    <phoneticPr fontId="17"/>
  </si>
  <si>
    <t>5/31</t>
    <phoneticPr fontId="17"/>
  </si>
  <si>
    <t>巻返し</t>
    <rPh sb="0" eb="2">
      <t>マキカエ</t>
    </rPh>
    <phoneticPr fontId="17"/>
  </si>
  <si>
    <t>リード作成</t>
    <rPh sb="3" eb="5">
      <t>サクセイ</t>
    </rPh>
    <phoneticPr fontId="17"/>
  </si>
  <si>
    <t>T60</t>
    <phoneticPr fontId="20"/>
  </si>
  <si>
    <t>三井化学</t>
    <rPh sb="0" eb="2">
      <t>ミツイ</t>
    </rPh>
    <rPh sb="2" eb="4">
      <t>カガク</t>
    </rPh>
    <phoneticPr fontId="20"/>
  </si>
  <si>
    <t>東レ</t>
    <rPh sb="0" eb="1">
      <t>トウ</t>
    </rPh>
    <phoneticPr fontId="20"/>
  </si>
  <si>
    <t>メタルミーCRアルミ面コートB</t>
    <rPh sb="10" eb="11">
      <t>メン</t>
    </rPh>
    <phoneticPr fontId="20"/>
  </si>
  <si>
    <t>SL-3</t>
    <phoneticPr fontId="20"/>
  </si>
  <si>
    <t>5/15</t>
    <phoneticPr fontId="17"/>
  </si>
  <si>
    <t>月</t>
    <rPh sb="0" eb="1">
      <t>ゲツ</t>
    </rPh>
    <phoneticPr fontId="17"/>
  </si>
  <si>
    <t>5/18</t>
    <phoneticPr fontId="17"/>
  </si>
  <si>
    <t>木</t>
    <rPh sb="0" eb="1">
      <t>モク</t>
    </rPh>
    <phoneticPr fontId="17"/>
  </si>
  <si>
    <t>5/19</t>
    <phoneticPr fontId="17"/>
  </si>
  <si>
    <t>金</t>
    <rPh sb="0" eb="1">
      <t>キン</t>
    </rPh>
    <phoneticPr fontId="17"/>
  </si>
  <si>
    <t>5/22</t>
    <phoneticPr fontId="17"/>
  </si>
  <si>
    <t>R75XH</t>
    <phoneticPr fontId="20"/>
  </si>
  <si>
    <t>5/29</t>
    <phoneticPr fontId="17"/>
  </si>
  <si>
    <t>月</t>
    <rPh sb="0" eb="1">
      <t>ゲツ</t>
    </rPh>
    <phoneticPr fontId="17"/>
  </si>
  <si>
    <t>ニッコー㈱</t>
  </si>
  <si>
    <t>㈱レゾナック</t>
  </si>
  <si>
    <t>巻足し</t>
    <rPh sb="0" eb="1">
      <t>マ</t>
    </rPh>
    <rPh sb="1" eb="2">
      <t>タ</t>
    </rPh>
    <phoneticPr fontId="17"/>
  </si>
  <si>
    <t>5/30</t>
    <phoneticPr fontId="17"/>
  </si>
  <si>
    <t>火</t>
    <rPh sb="0" eb="1">
      <t>ヒ</t>
    </rPh>
    <phoneticPr fontId="17"/>
  </si>
  <si>
    <t>5/31</t>
    <phoneticPr fontId="17"/>
  </si>
  <si>
    <t>水</t>
    <rPh sb="0" eb="1">
      <t>スイ</t>
    </rPh>
    <phoneticPr fontId="17"/>
  </si>
  <si>
    <t>6/1</t>
    <phoneticPr fontId="17"/>
  </si>
  <si>
    <t>6/2</t>
    <phoneticPr fontId="17"/>
  </si>
  <si>
    <t>木</t>
    <rPh sb="0" eb="1">
      <t>モク</t>
    </rPh>
    <phoneticPr fontId="17"/>
  </si>
  <si>
    <t>6/3</t>
    <phoneticPr fontId="17"/>
  </si>
  <si>
    <t>金</t>
    <rPh sb="0" eb="1">
      <t>キン</t>
    </rPh>
    <phoneticPr fontId="17"/>
  </si>
  <si>
    <t>6/4</t>
    <phoneticPr fontId="17"/>
  </si>
  <si>
    <t>土</t>
    <rPh sb="0" eb="1">
      <t>ド</t>
    </rPh>
    <phoneticPr fontId="17"/>
  </si>
  <si>
    <t>6/5</t>
    <phoneticPr fontId="17"/>
  </si>
  <si>
    <t>日</t>
    <rPh sb="0" eb="1">
      <t>ニチ</t>
    </rPh>
    <phoneticPr fontId="17"/>
  </si>
  <si>
    <t>6/6</t>
    <phoneticPr fontId="17"/>
  </si>
  <si>
    <t>6/7</t>
    <phoneticPr fontId="17"/>
  </si>
  <si>
    <t>6/8</t>
    <phoneticPr fontId="17"/>
  </si>
  <si>
    <t>6/9</t>
    <phoneticPr fontId="17"/>
  </si>
  <si>
    <t>6/10</t>
    <phoneticPr fontId="17"/>
  </si>
  <si>
    <t>6/11</t>
    <phoneticPr fontId="17"/>
  </si>
  <si>
    <t>6/12</t>
    <phoneticPr fontId="17"/>
  </si>
  <si>
    <t>エージング後スリット</t>
  </si>
  <si>
    <t>5/29</t>
    <phoneticPr fontId="17"/>
  </si>
  <si>
    <t>月</t>
    <rPh sb="0" eb="1">
      <t>ゲツ</t>
    </rPh>
    <phoneticPr fontId="17"/>
  </si>
  <si>
    <t>QZ68</t>
    <phoneticPr fontId="20"/>
  </si>
  <si>
    <t>6/1</t>
    <phoneticPr fontId="17"/>
  </si>
  <si>
    <t>木</t>
    <rPh sb="0" eb="1">
      <t>モク</t>
    </rPh>
    <phoneticPr fontId="17"/>
  </si>
  <si>
    <t>6/2</t>
    <phoneticPr fontId="17"/>
  </si>
  <si>
    <t>金</t>
    <rPh sb="0" eb="1">
      <t>キン</t>
    </rPh>
    <phoneticPr fontId="17"/>
  </si>
  <si>
    <t>6/3</t>
    <phoneticPr fontId="17"/>
  </si>
  <si>
    <t>土</t>
    <rPh sb="0" eb="1">
      <t>ド</t>
    </rPh>
    <phoneticPr fontId="17"/>
  </si>
  <si>
    <t>6/4</t>
    <phoneticPr fontId="17"/>
  </si>
  <si>
    <t>日</t>
    <rPh sb="0" eb="1">
      <t>ニチ</t>
    </rPh>
    <phoneticPr fontId="17"/>
  </si>
  <si>
    <t>6/5</t>
    <phoneticPr fontId="17"/>
  </si>
  <si>
    <t>月</t>
    <rPh sb="0" eb="1">
      <t>ゲツ</t>
    </rPh>
    <phoneticPr fontId="17"/>
  </si>
  <si>
    <t>6/6</t>
    <phoneticPr fontId="17"/>
  </si>
  <si>
    <t>火</t>
    <rPh sb="0" eb="1">
      <t>ヒ</t>
    </rPh>
    <phoneticPr fontId="17"/>
  </si>
  <si>
    <t>6/7</t>
    <phoneticPr fontId="17"/>
  </si>
  <si>
    <t>水</t>
    <rPh sb="0" eb="1">
      <t>スイ</t>
    </rPh>
    <phoneticPr fontId="17"/>
  </si>
  <si>
    <t>6/9</t>
    <phoneticPr fontId="17"/>
  </si>
  <si>
    <t>6/10</t>
    <phoneticPr fontId="17"/>
  </si>
  <si>
    <t>6/11</t>
    <phoneticPr fontId="17"/>
  </si>
  <si>
    <t>6/13</t>
    <phoneticPr fontId="17"/>
  </si>
  <si>
    <t>6/14</t>
    <phoneticPr fontId="17"/>
  </si>
  <si>
    <t>6/15</t>
    <phoneticPr fontId="17"/>
  </si>
  <si>
    <t>6/17</t>
    <phoneticPr fontId="17"/>
  </si>
  <si>
    <t>6/18</t>
    <phoneticPr fontId="17"/>
  </si>
  <si>
    <t>6/23</t>
    <phoneticPr fontId="17"/>
  </si>
  <si>
    <t>6/24</t>
    <phoneticPr fontId="17"/>
  </si>
  <si>
    <t>6/25</t>
    <phoneticPr fontId="17"/>
  </si>
  <si>
    <t>6/27</t>
    <phoneticPr fontId="17"/>
  </si>
  <si>
    <t>6/28</t>
    <phoneticPr fontId="17"/>
  </si>
  <si>
    <t>6/29</t>
    <phoneticPr fontId="17"/>
  </si>
  <si>
    <t>6/30</t>
    <phoneticPr fontId="17"/>
  </si>
  <si>
    <t>7/1</t>
    <phoneticPr fontId="17"/>
  </si>
  <si>
    <t>7/2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</si>
  <si>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</si>
  <si>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公休</t>
    <rPh sb="0" eb="2">
      <t>コウキュウ</t>
    </rPh>
    <phoneticPr fontId="17"/>
  </si>
  <si>
    <t>6/16</t>
    <phoneticPr fontId="17"/>
  </si>
  <si>
    <t>6/19</t>
    <phoneticPr fontId="17"/>
  </si>
  <si>
    <t>6/20</t>
    <phoneticPr fontId="17"/>
  </si>
  <si>
    <t>6/26</t>
    <phoneticPr fontId="17"/>
  </si>
  <si>
    <t>6/13</t>
    <phoneticPr fontId="17"/>
  </si>
  <si>
    <t>火</t>
    <rPh sb="0" eb="1">
      <t>ヒ</t>
    </rPh>
    <phoneticPr fontId="17"/>
  </si>
  <si>
    <t>6/14</t>
    <phoneticPr fontId="17"/>
  </si>
  <si>
    <t>水</t>
    <rPh sb="0" eb="1">
      <t>スイ</t>
    </rPh>
    <phoneticPr fontId="17"/>
  </si>
  <si>
    <t>6/15</t>
    <phoneticPr fontId="17"/>
  </si>
  <si>
    <t>木</t>
    <rPh sb="0" eb="1">
      <t>モク</t>
    </rPh>
    <phoneticPr fontId="17"/>
  </si>
  <si>
    <t>6/16</t>
    <phoneticPr fontId="17"/>
  </si>
  <si>
    <t>金</t>
    <rPh sb="0" eb="1">
      <t>キン</t>
    </rPh>
    <phoneticPr fontId="17"/>
  </si>
  <si>
    <t>6/18</t>
    <phoneticPr fontId="17"/>
  </si>
  <si>
    <t>6/17</t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</si>
  <si>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</si>
  <si>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</si>
  <si>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</si>
  <si>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6/20</t>
    <phoneticPr fontId="17"/>
  </si>
  <si>
    <t>火</t>
    <rPh sb="0" eb="1">
      <t>ヒ</t>
    </rPh>
    <phoneticPr fontId="17"/>
  </si>
  <si>
    <t>6/21</t>
    <phoneticPr fontId="17"/>
  </si>
  <si>
    <t>水</t>
    <rPh sb="0" eb="1">
      <t>スイ</t>
    </rPh>
    <phoneticPr fontId="17"/>
  </si>
  <si>
    <t>6/22</t>
    <phoneticPr fontId="17"/>
  </si>
  <si>
    <t>木</t>
    <rPh sb="0" eb="1">
      <t>モク</t>
    </rPh>
    <phoneticPr fontId="17"/>
  </si>
  <si>
    <t>6/23</t>
    <phoneticPr fontId="17"/>
  </si>
  <si>
    <t>金</t>
    <rPh sb="0" eb="1">
      <t>キン</t>
    </rPh>
    <phoneticPr fontId="17"/>
  </si>
  <si>
    <t>6/24</t>
    <phoneticPr fontId="17"/>
  </si>
  <si>
    <t>6/25</t>
    <phoneticPr fontId="17"/>
  </si>
  <si>
    <t>6/26</t>
    <phoneticPr fontId="17"/>
  </si>
  <si>
    <t>6/21</t>
    <phoneticPr fontId="17"/>
  </si>
  <si>
    <t>水</t>
    <rPh sb="0" eb="1">
      <t>スイ</t>
    </rPh>
    <phoneticPr fontId="17"/>
  </si>
  <si>
    <t>6/22</t>
    <phoneticPr fontId="17"/>
  </si>
  <si>
    <t>木</t>
    <rPh sb="0" eb="1">
      <t>モク</t>
    </rPh>
    <phoneticPr fontId="17"/>
  </si>
  <si>
    <t>－</t>
  </si>
  <si>
    <t>－</t>
    <phoneticPr fontId="17"/>
  </si>
  <si>
    <t>T70M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</si>
  <si>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</si>
  <si>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</si>
  <si>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6/30</t>
    <phoneticPr fontId="17"/>
  </si>
  <si>
    <t>金</t>
    <rPh sb="0" eb="1">
      <t>キン</t>
    </rPh>
    <phoneticPr fontId="17"/>
  </si>
  <si>
    <t>7/3</t>
    <phoneticPr fontId="17"/>
  </si>
  <si>
    <t>月</t>
    <rPh sb="0" eb="1">
      <t>ゲツ</t>
    </rPh>
    <phoneticPr fontId="17"/>
  </si>
  <si>
    <t>7/4</t>
    <phoneticPr fontId="17"/>
  </si>
  <si>
    <t>火</t>
    <rPh sb="0" eb="1">
      <t>ヒ</t>
    </rPh>
    <phoneticPr fontId="17"/>
  </si>
  <si>
    <t>7/5</t>
    <phoneticPr fontId="17"/>
  </si>
  <si>
    <t>水</t>
    <rPh sb="0" eb="1">
      <t>スイ</t>
    </rPh>
    <phoneticPr fontId="17"/>
  </si>
  <si>
    <t>カレンダー用蒸着</t>
    <rPh sb="5" eb="6">
      <t>ヨウ</t>
    </rPh>
    <rPh sb="6" eb="8">
      <t>ジョウチャク</t>
    </rPh>
    <phoneticPr fontId="17"/>
  </si>
  <si>
    <t>T60</t>
    <phoneticPr fontId="17"/>
  </si>
  <si>
    <t>リード付け</t>
    <rPh sb="3" eb="4">
      <t>ヅ</t>
    </rPh>
    <phoneticPr fontId="17"/>
  </si>
  <si>
    <t>ＴＡＦ本社</t>
    <rPh sb="3" eb="5">
      <t>ホンシャ</t>
    </rPh>
    <phoneticPr fontId="17"/>
  </si>
  <si>
    <t>7/7</t>
    <phoneticPr fontId="17"/>
  </si>
  <si>
    <t>7/10</t>
    <phoneticPr fontId="17"/>
  </si>
  <si>
    <t>7/12</t>
    <phoneticPr fontId="17"/>
  </si>
  <si>
    <t>カレンダー用蒸着品</t>
    <rPh sb="5" eb="6">
      <t>ヨウ</t>
    </rPh>
    <rPh sb="6" eb="8">
      <t>ジョウチャク</t>
    </rPh>
    <rPh sb="8" eb="9">
      <t>ヒン</t>
    </rPh>
    <phoneticPr fontId="4"/>
  </si>
  <si>
    <t>TAF本社</t>
    <rPh sb="3" eb="5">
      <t>ホンシャ</t>
    </rPh>
    <phoneticPr fontId="4"/>
  </si>
  <si>
    <t>約定なし</t>
    <rPh sb="0" eb="2">
      <t>ヤクジョウ</t>
    </rPh>
    <phoneticPr fontId="17"/>
  </si>
  <si>
    <t>作業指示なし</t>
    <rPh sb="0" eb="2">
      <t>サギョウ</t>
    </rPh>
    <rPh sb="2" eb="4">
      <t>シジ</t>
    </rPh>
    <phoneticPr fontId="17"/>
  </si>
  <si>
    <t>7/5</t>
    <phoneticPr fontId="17"/>
  </si>
  <si>
    <t>水</t>
    <rPh sb="0" eb="1">
      <t>スイ</t>
    </rPh>
    <phoneticPr fontId="17"/>
  </si>
  <si>
    <t>7/6</t>
    <phoneticPr fontId="17"/>
  </si>
  <si>
    <t>木</t>
    <rPh sb="0" eb="1">
      <t>モク</t>
    </rPh>
    <phoneticPr fontId="17"/>
  </si>
  <si>
    <t>7/7</t>
    <phoneticPr fontId="17"/>
  </si>
  <si>
    <t>金</t>
    <rPh sb="0" eb="1">
      <t>キン</t>
    </rPh>
    <phoneticPr fontId="17"/>
  </si>
  <si>
    <t>7/8</t>
    <phoneticPr fontId="17"/>
  </si>
  <si>
    <t>土</t>
    <rPh sb="0" eb="1">
      <t>ド</t>
    </rPh>
    <phoneticPr fontId="17"/>
  </si>
  <si>
    <t>7/9</t>
    <phoneticPr fontId="17"/>
  </si>
  <si>
    <t>日</t>
    <rPh sb="0" eb="1">
      <t>ニチ</t>
    </rPh>
    <phoneticPr fontId="17"/>
  </si>
  <si>
    <t>7/10</t>
    <phoneticPr fontId="17"/>
  </si>
  <si>
    <t>月</t>
    <rPh sb="0" eb="1">
      <t>ゲツ</t>
    </rPh>
    <phoneticPr fontId="17"/>
  </si>
  <si>
    <t>7/11</t>
    <phoneticPr fontId="17"/>
  </si>
  <si>
    <t>火</t>
    <rPh sb="0" eb="1">
      <t>ヒ</t>
    </rPh>
    <phoneticPr fontId="17"/>
  </si>
  <si>
    <t>7/12</t>
    <phoneticPr fontId="17"/>
  </si>
  <si>
    <t>8/1</t>
    <phoneticPr fontId="17"/>
  </si>
  <si>
    <t>7/13</t>
    <phoneticPr fontId="17"/>
  </si>
  <si>
    <t>木</t>
    <rPh sb="0" eb="1">
      <t>モク</t>
    </rPh>
    <phoneticPr fontId="17"/>
  </si>
  <si>
    <t>7/14</t>
    <phoneticPr fontId="17"/>
  </si>
  <si>
    <t>金</t>
    <rPh sb="0" eb="1">
      <t>キン</t>
    </rPh>
    <phoneticPr fontId="17"/>
  </si>
  <si>
    <t>7/15</t>
    <phoneticPr fontId="17"/>
  </si>
  <si>
    <t>土</t>
    <rPh sb="0" eb="1">
      <t>ド</t>
    </rPh>
    <phoneticPr fontId="17"/>
  </si>
  <si>
    <t>7/16</t>
    <phoneticPr fontId="17"/>
  </si>
  <si>
    <t>日</t>
    <rPh sb="0" eb="1">
      <t>ニチ</t>
    </rPh>
    <phoneticPr fontId="17"/>
  </si>
  <si>
    <t>7/17</t>
    <phoneticPr fontId="17"/>
  </si>
  <si>
    <t>月</t>
    <rPh sb="0" eb="1">
      <t>ゲツ</t>
    </rPh>
    <phoneticPr fontId="17"/>
  </si>
  <si>
    <t>3UNMCLBHLGKJV</t>
  </si>
  <si>
    <t>約定なし</t>
    <rPh sb="0" eb="2">
      <t>ヤクジョウ</t>
    </rPh>
    <phoneticPr fontId="17"/>
  </si>
  <si>
    <t>作業指示なし</t>
    <rPh sb="0" eb="2">
      <t>サギョウ</t>
    </rPh>
    <rPh sb="2" eb="4">
      <t>シジ</t>
    </rPh>
    <phoneticPr fontId="17"/>
  </si>
  <si>
    <t>メタルミー　ヘヤライン　銀艶Ｖ</t>
    <rPh sb="13" eb="14">
      <t>ツヤ</t>
    </rPh>
    <phoneticPr fontId="17"/>
  </si>
  <si>
    <t>メタルミー　ヘヤライン　銀消Ｖ</t>
    <rPh sb="13" eb="14">
      <t>ケ</t>
    </rPh>
    <phoneticPr fontId="17"/>
  </si>
  <si>
    <t>7/23</t>
    <phoneticPr fontId="17"/>
  </si>
  <si>
    <t>公休</t>
    <rPh sb="0" eb="2">
      <t>コウキュウ</t>
    </rPh>
    <phoneticPr fontId="17"/>
  </si>
  <si>
    <t>7/24</t>
    <phoneticPr fontId="17"/>
  </si>
  <si>
    <t>7/29</t>
    <phoneticPr fontId="17"/>
  </si>
  <si>
    <t>7/30</t>
    <phoneticPr fontId="17"/>
  </si>
  <si>
    <t>7/31</t>
    <phoneticPr fontId="17"/>
  </si>
  <si>
    <t>－</t>
    <phoneticPr fontId="17"/>
  </si>
  <si>
    <t>メタルミー　ネーマー　金艶</t>
    <rPh sb="11" eb="12">
      <t>キン</t>
    </rPh>
    <rPh sb="12" eb="13">
      <t>ツヤ</t>
    </rPh>
    <phoneticPr fontId="17"/>
  </si>
  <si>
    <t>メタルミー　ネーマー　金消</t>
    <rPh sb="11" eb="12">
      <t>キン</t>
    </rPh>
    <phoneticPr fontId="17"/>
  </si>
  <si>
    <t>MNKT</t>
    <phoneticPr fontId="17"/>
  </si>
  <si>
    <t>MNKKC</t>
    <phoneticPr fontId="17"/>
  </si>
  <si>
    <t>T62</t>
    <phoneticPr fontId="17"/>
  </si>
  <si>
    <t>S28</t>
    <phoneticPr fontId="17"/>
  </si>
  <si>
    <t>巻返し</t>
    <rPh sb="0" eb="2">
      <t>マキカエ</t>
    </rPh>
    <phoneticPr fontId="17"/>
  </si>
  <si>
    <t>SCB</t>
    <phoneticPr fontId="17"/>
  </si>
  <si>
    <r>
      <t>メタルミー　シロコート（Ｂ）</t>
    </r>
    <r>
      <rPr>
        <sz val="16"/>
        <color rgb="FFFF0000"/>
        <rFont val="ＭＳ Ｐゴシック"/>
        <family val="3"/>
        <charset val="128"/>
        <scheme val="major"/>
      </rPr>
      <t>検品</t>
    </r>
    <rPh sb="14" eb="16">
      <t>ケンピン</t>
    </rPh>
    <phoneticPr fontId="17"/>
  </si>
  <si>
    <t>品質トラブル対応</t>
    <rPh sb="0" eb="1">
      <t>ヒンシツ</t>
    </rPh>
    <rPh sb="5" eb="7">
      <t>タイオウ</t>
    </rPh>
    <phoneticPr fontId="17"/>
  </si>
  <si>
    <t>7/14</t>
    <phoneticPr fontId="17"/>
  </si>
  <si>
    <t>金</t>
    <rPh sb="0" eb="1">
      <t>キン</t>
    </rPh>
    <phoneticPr fontId="17"/>
  </si>
  <si>
    <r>
      <t>メタルミー　ネーマー　銀艶　Ｂ　</t>
    </r>
    <r>
      <rPr>
        <b/>
        <sz val="16"/>
        <color rgb="FFFF0000"/>
        <rFont val="ＭＳ Ｐゴシック"/>
        <family val="3"/>
        <charset val="128"/>
        <scheme val="major"/>
      </rPr>
      <t>検品</t>
    </r>
    <rPh sb="16" eb="18">
      <t>ケンピン</t>
    </rPh>
    <phoneticPr fontId="17"/>
  </si>
  <si>
    <t>7/18</t>
    <phoneticPr fontId="17"/>
  </si>
  <si>
    <t>火</t>
    <rPh sb="0" eb="1">
      <t>ヒ</t>
    </rPh>
    <phoneticPr fontId="17"/>
  </si>
  <si>
    <t>7/20</t>
    <phoneticPr fontId="17"/>
  </si>
  <si>
    <t>木</t>
    <rPh sb="0" eb="1">
      <t>モク</t>
    </rPh>
    <phoneticPr fontId="17"/>
  </si>
  <si>
    <t>7/21</t>
    <phoneticPr fontId="17"/>
  </si>
  <si>
    <t>金</t>
    <rPh sb="0" eb="1">
      <t>キン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</si>
  <si>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</si>
  <si>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</si>
  <si>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7/25</t>
    <phoneticPr fontId="17"/>
  </si>
  <si>
    <t>火</t>
    <rPh sb="0" eb="1">
      <t>ヒ</t>
    </rPh>
    <phoneticPr fontId="17"/>
  </si>
  <si>
    <t>7/26</t>
    <phoneticPr fontId="17"/>
  </si>
  <si>
    <t>水</t>
    <rPh sb="0" eb="1">
      <t>スイ</t>
    </rPh>
    <phoneticPr fontId="17"/>
  </si>
  <si>
    <t>7/27</t>
    <phoneticPr fontId="17"/>
  </si>
  <si>
    <t>木</t>
    <rPh sb="0" eb="1">
      <t>モク</t>
    </rPh>
    <phoneticPr fontId="17"/>
  </si>
  <si>
    <t>7/28</t>
    <phoneticPr fontId="17"/>
  </si>
  <si>
    <t>金</t>
    <rPh sb="0" eb="1">
      <t>キン</t>
    </rPh>
    <phoneticPr fontId="17"/>
  </si>
  <si>
    <t>8/1</t>
    <phoneticPr fontId="17"/>
  </si>
  <si>
    <t>8/2</t>
    <phoneticPr fontId="17"/>
  </si>
  <si>
    <t>8/7</t>
    <phoneticPr fontId="17"/>
  </si>
  <si>
    <t>月</t>
    <rPh sb="0" eb="1">
      <t>ゲツ</t>
    </rPh>
    <phoneticPr fontId="17"/>
  </si>
  <si>
    <t>8/8</t>
    <phoneticPr fontId="17"/>
  </si>
  <si>
    <t>8/9</t>
    <phoneticPr fontId="17"/>
  </si>
  <si>
    <t>8/10</t>
    <phoneticPr fontId="17"/>
  </si>
  <si>
    <t>8/11</t>
    <phoneticPr fontId="17"/>
  </si>
  <si>
    <t>巻返し検品</t>
    <rPh sb="0" eb="2">
      <t>マキカエ</t>
    </rPh>
    <rPh sb="3" eb="5">
      <t>ケンピン</t>
    </rPh>
    <phoneticPr fontId="17"/>
  </si>
  <si>
    <t>8/2</t>
    <phoneticPr fontId="17"/>
  </si>
  <si>
    <t>水</t>
    <rPh sb="0" eb="1">
      <t>スイ</t>
    </rPh>
    <phoneticPr fontId="17"/>
  </si>
  <si>
    <t>7/31</t>
    <phoneticPr fontId="17"/>
  </si>
  <si>
    <t>月</t>
    <rPh sb="0" eb="1">
      <t>ゲツ</t>
    </rPh>
    <phoneticPr fontId="17"/>
  </si>
  <si>
    <t>8/4</t>
    <phoneticPr fontId="17"/>
  </si>
  <si>
    <t>金</t>
    <rPh sb="0" eb="1">
      <t>キン</t>
    </rPh>
    <phoneticPr fontId="17"/>
  </si>
  <si>
    <t>8/5</t>
    <phoneticPr fontId="17"/>
  </si>
  <si>
    <t>土</t>
    <rPh sb="0" eb="1">
      <t>ド</t>
    </rPh>
    <phoneticPr fontId="17"/>
  </si>
  <si>
    <t>8/6</t>
    <phoneticPr fontId="17"/>
  </si>
  <si>
    <t>日</t>
    <rPh sb="0" eb="1">
      <t>ニチ</t>
    </rPh>
    <phoneticPr fontId="17"/>
  </si>
  <si>
    <t>機能材料ＫＮＺ福開発</t>
  </si>
  <si>
    <t>日東電工有限公司</t>
  </si>
  <si>
    <t>Ｍｅｔａｌｕｍｙ　ＣＲ　ａｌｕｍｉｎｕｍ　ｓｕｒｆａｃｅ　ｃｏａｔ　Ｂ</t>
  </si>
  <si>
    <t>日東電工有限公司</t>
    <rPh sb="4" eb="6">
      <t>ユウゲン</t>
    </rPh>
    <rPh sb="6" eb="8">
      <t>コウシ</t>
    </rPh>
    <phoneticPr fontId="20"/>
  </si>
  <si>
    <t>機能材料G　押切部員</t>
    <rPh sb="0" eb="2">
      <t>ザイリョウ</t>
    </rPh>
    <rPh sb="4" eb="6">
      <t>ナカノ</t>
    </rPh>
    <rPh sb="6" eb="8">
      <t>オシキリ</t>
    </rPh>
    <phoneticPr fontId="5"/>
  </si>
  <si>
    <t>月</t>
    <rPh sb="0" eb="1">
      <t>ゲツ</t>
    </rPh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</si>
  <si>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</si>
  <si>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</si>
  <si>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8/11</t>
    <phoneticPr fontId="17"/>
  </si>
  <si>
    <t>金</t>
    <rPh sb="0" eb="1">
      <t>キン</t>
    </rPh>
    <phoneticPr fontId="17"/>
  </si>
  <si>
    <t>8/12</t>
    <phoneticPr fontId="17"/>
  </si>
  <si>
    <t>土</t>
    <rPh sb="0" eb="1">
      <t>ド</t>
    </rPh>
    <phoneticPr fontId="17"/>
  </si>
  <si>
    <t>8/13</t>
    <phoneticPr fontId="17"/>
  </si>
  <si>
    <t>日</t>
    <rPh sb="0" eb="1">
      <t>ニチ</t>
    </rPh>
    <phoneticPr fontId="17"/>
  </si>
  <si>
    <t>8/14</t>
    <phoneticPr fontId="17"/>
  </si>
  <si>
    <t>8/15</t>
    <phoneticPr fontId="17"/>
  </si>
  <si>
    <t>火</t>
    <rPh sb="0" eb="1">
      <t>ヒ</t>
    </rPh>
    <phoneticPr fontId="17"/>
  </si>
  <si>
    <t>8/16</t>
    <phoneticPr fontId="17"/>
  </si>
  <si>
    <t>公休</t>
    <rPh sb="0" eb="2">
      <t>コウキュウ</t>
    </rPh>
    <phoneticPr fontId="17"/>
  </si>
  <si>
    <t>8/20</t>
    <phoneticPr fontId="17"/>
  </si>
  <si>
    <t>8/26</t>
    <phoneticPr fontId="17"/>
  </si>
  <si>
    <t>8/27</t>
    <phoneticPr fontId="17"/>
  </si>
  <si>
    <t>8/29</t>
    <phoneticPr fontId="17"/>
  </si>
  <si>
    <t>8/30</t>
    <phoneticPr fontId="17"/>
  </si>
  <si>
    <t>8/31</t>
    <phoneticPr fontId="17"/>
  </si>
  <si>
    <t>9/1</t>
    <phoneticPr fontId="17"/>
  </si>
  <si>
    <t>9/2</t>
    <phoneticPr fontId="17"/>
  </si>
  <si>
    <t>9/3</t>
    <phoneticPr fontId="17"/>
  </si>
  <si>
    <t>8/10</t>
    <phoneticPr fontId="17"/>
  </si>
  <si>
    <t>木</t>
    <rPh sb="0" eb="1">
      <t>モク</t>
    </rPh>
    <phoneticPr fontId="17"/>
  </si>
  <si>
    <t>8/18</t>
    <phoneticPr fontId="17"/>
  </si>
  <si>
    <t>金</t>
    <rPh sb="0" eb="1">
      <t>キン</t>
    </rPh>
    <phoneticPr fontId="17"/>
  </si>
  <si>
    <t>8/12</t>
    <phoneticPr fontId="17"/>
  </si>
  <si>
    <t>土</t>
  </si>
  <si>
    <t>土</t>
    <rPh sb="0" eb="1">
      <t>ド</t>
    </rPh>
    <phoneticPr fontId="17"/>
  </si>
  <si>
    <t>8/13</t>
    <phoneticPr fontId="17"/>
  </si>
  <si>
    <t>日</t>
    <rPh sb="0" eb="1">
      <t>ニチ</t>
    </rPh>
    <phoneticPr fontId="17"/>
  </si>
  <si>
    <t>8/14</t>
    <phoneticPr fontId="17"/>
  </si>
  <si>
    <t>月</t>
  </si>
  <si>
    <t>月</t>
    <rPh sb="0" eb="1">
      <t>ゲツ</t>
    </rPh>
    <phoneticPr fontId="17"/>
  </si>
  <si>
    <t>8/15</t>
    <phoneticPr fontId="17"/>
  </si>
  <si>
    <t>火</t>
  </si>
  <si>
    <t>火</t>
    <rPh sb="0" eb="1">
      <t>ヒ</t>
    </rPh>
    <phoneticPr fontId="17"/>
  </si>
  <si>
    <t>8/16</t>
    <phoneticPr fontId="17"/>
  </si>
  <si>
    <t>木</t>
  </si>
  <si>
    <t>金</t>
  </si>
  <si>
    <t>金</t>
    <rPh sb="0" eb="1">
      <t>キン</t>
    </rPh>
    <phoneticPr fontId="17"/>
  </si>
  <si>
    <t>8/18</t>
    <phoneticPr fontId="17"/>
  </si>
  <si>
    <t>水</t>
  </si>
  <si>
    <t>水</t>
    <rPh sb="0" eb="1">
      <t>スイ</t>
    </rPh>
    <phoneticPr fontId="17"/>
  </si>
  <si>
    <t>8/19</t>
    <phoneticPr fontId="17"/>
  </si>
  <si>
    <t>8/20</t>
  </si>
  <si>
    <t>8/21</t>
  </si>
  <si>
    <t>8/22</t>
  </si>
  <si>
    <t>8/23</t>
  </si>
  <si>
    <t>8/24</t>
  </si>
  <si>
    <t>8/25</t>
  </si>
  <si>
    <t>8/26</t>
  </si>
  <si>
    <t>8/27</t>
  </si>
  <si>
    <t>8/28</t>
  </si>
  <si>
    <t>8/29</t>
  </si>
  <si>
    <t>8/30</t>
  </si>
  <si>
    <t>8/31</t>
  </si>
  <si>
    <t>日</t>
    <phoneticPr fontId="17"/>
  </si>
  <si>
    <t>公休</t>
    <rPh sb="0" eb="2">
      <t>コウキュウ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</si>
  <si>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</si>
  <si>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</si>
  <si>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HLGTV</t>
    <phoneticPr fontId="17"/>
  </si>
  <si>
    <t>改装</t>
    <rPh sb="0" eb="2">
      <t>カイソウ</t>
    </rPh>
    <phoneticPr fontId="17"/>
  </si>
  <si>
    <t>PETMV</t>
    <phoneticPr fontId="17"/>
  </si>
  <si>
    <t>ＰＥＴマットＶ</t>
    <phoneticPr fontId="17"/>
  </si>
  <si>
    <t>6ｲﾝﾁMｺｱ</t>
    <phoneticPr fontId="17"/>
  </si>
  <si>
    <t>スリーエム輸出</t>
  </si>
  <si>
    <t>27114MA</t>
  </si>
  <si>
    <t>ＣＥＲＡＰＥＥＬ　ＰＪ２７１（１４）</t>
  </si>
  <si>
    <t>月</t>
    <rPh sb="0" eb="1">
      <t>ゲツ</t>
    </rPh>
    <phoneticPr fontId="17"/>
  </si>
  <si>
    <t>水</t>
    <rPh sb="0" eb="1">
      <t>スイ</t>
    </rPh>
    <phoneticPr fontId="17"/>
  </si>
  <si>
    <t>8/23</t>
    <phoneticPr fontId="17"/>
  </si>
  <si>
    <t>8/24</t>
    <phoneticPr fontId="17"/>
  </si>
  <si>
    <t>木</t>
    <rPh sb="0" eb="1">
      <t>モク</t>
    </rPh>
    <phoneticPr fontId="17"/>
  </si>
  <si>
    <t>8/25</t>
    <phoneticPr fontId="17"/>
  </si>
  <si>
    <t>金</t>
    <rPh sb="0" eb="1">
      <t>キン</t>
    </rPh>
    <phoneticPr fontId="17"/>
  </si>
  <si>
    <t>8/28</t>
    <phoneticPr fontId="17"/>
  </si>
  <si>
    <t>9/4</t>
    <phoneticPr fontId="17"/>
  </si>
  <si>
    <t>月</t>
    <rPh sb="0" eb="1">
      <t>ゲツ</t>
    </rPh>
    <phoneticPr fontId="17"/>
  </si>
  <si>
    <t>土</t>
    <rPh sb="0" eb="1">
      <t>ド</t>
    </rPh>
    <phoneticPr fontId="17"/>
  </si>
  <si>
    <t>9/16</t>
    <phoneticPr fontId="17"/>
  </si>
  <si>
    <t>9/17</t>
    <phoneticPr fontId="17"/>
  </si>
  <si>
    <t>日</t>
    <rPh sb="0" eb="1">
      <t>ニチ</t>
    </rPh>
    <phoneticPr fontId="17"/>
  </si>
  <si>
    <t>9/18</t>
    <phoneticPr fontId="17"/>
  </si>
  <si>
    <t>公休</t>
    <rPh sb="0" eb="2">
      <t>コウキュウ</t>
    </rPh>
    <phoneticPr fontId="17"/>
  </si>
  <si>
    <t>9/23</t>
    <phoneticPr fontId="17"/>
  </si>
  <si>
    <t>土</t>
    <rPh sb="0" eb="1">
      <t>ド</t>
    </rPh>
    <phoneticPr fontId="17"/>
  </si>
  <si>
    <t>9/24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</si>
  <si>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</si>
  <si>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</si>
  <si>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9/25</t>
    <phoneticPr fontId="17"/>
  </si>
  <si>
    <t>月</t>
    <rPh sb="0" eb="1">
      <t>ゲツ</t>
    </rPh>
    <phoneticPr fontId="17"/>
  </si>
  <si>
    <t>メタルミーＣＲアルミ面コートＢ</t>
  </si>
  <si>
    <t>9/5</t>
    <phoneticPr fontId="17"/>
  </si>
  <si>
    <t>火</t>
    <rPh sb="0" eb="1">
      <t>ヒ</t>
    </rPh>
    <phoneticPr fontId="17"/>
  </si>
  <si>
    <t>9/6</t>
    <phoneticPr fontId="17"/>
  </si>
  <si>
    <t>水</t>
    <rPh sb="0" eb="1">
      <t>スイ</t>
    </rPh>
    <phoneticPr fontId="17"/>
  </si>
  <si>
    <t>機能材料G　中野部員</t>
    <rPh sb="0" eb="2">
      <t>ザイリョウ</t>
    </rPh>
    <rPh sb="4" eb="6">
      <t>ナカノ</t>
    </rPh>
    <rPh sb="6" eb="8">
      <t>ブイン</t>
    </rPh>
    <phoneticPr fontId="3"/>
  </si>
  <si>
    <t>指示なし</t>
    <rPh sb="0" eb="2">
      <t>シジ</t>
    </rPh>
    <phoneticPr fontId="17"/>
  </si>
  <si>
    <t>膜厚変更テスト</t>
    <rPh sb="0" eb="1">
      <t>マクアツ</t>
    </rPh>
    <rPh sb="1" eb="3">
      <t>ヘンコウ</t>
    </rPh>
    <phoneticPr fontId="17"/>
  </si>
  <si>
    <t>機能材料G　鈴木課員</t>
    <rPh sb="0" eb="2">
      <t>ザイリョウ</t>
    </rPh>
    <rPh sb="4" eb="6">
      <t>ナカノ</t>
    </rPh>
    <rPh sb="6" eb="8">
      <t>スズキ</t>
    </rPh>
    <rPh sb="8" eb="10">
      <t>カイン</t>
    </rPh>
    <phoneticPr fontId="3"/>
  </si>
  <si>
    <t xml:space="preserve">福島コーティング    </t>
  </si>
  <si>
    <t xml:space="preserve">工材１部大阪電材課  </t>
  </si>
  <si>
    <t xml:space="preserve">ダミー担当者        </t>
  </si>
  <si>
    <t xml:space="preserve">日東電工㈱豊橋工場  </t>
  </si>
  <si>
    <t xml:space="preserve">   </t>
  </si>
  <si>
    <t xml:space="preserve">セラピール　ＭＤ（Ａ）（Ｒ）                                            </t>
  </si>
  <si>
    <t xml:space="preserve">本        </t>
  </si>
  <si>
    <t>2023/09/21</t>
  </si>
  <si>
    <t>2023/10/06</t>
  </si>
  <si>
    <t xml:space="preserve">㈱須賀川東部鏡石    </t>
  </si>
  <si>
    <t xml:space="preserve">                                                                                </t>
  </si>
  <si>
    <t xml:space="preserve">     </t>
  </si>
  <si>
    <t xml:space="preserve">大阪光学機能材課    </t>
  </si>
  <si>
    <t xml:space="preserve">Ｋ　セラピールＭＤＡ（ＣＰＲＦ）Ｌ                                      </t>
  </si>
  <si>
    <t xml:space="preserve">Ｋ　セラピールＭＤＡ（ＰＲＦ）Ｌ                                        </t>
  </si>
  <si>
    <t xml:space="preserve">工材１部電材課      </t>
  </si>
  <si>
    <t xml:space="preserve">パナック㈱亀山工場  </t>
  </si>
  <si>
    <t xml:space="preserve">セラピール　ＢＸ８ＡＲＸ                                                </t>
  </si>
  <si>
    <t>2023/10/13</t>
  </si>
  <si>
    <t>2023/10/19</t>
  </si>
  <si>
    <t xml:space="preserve">㈱巴川製紙所        </t>
  </si>
  <si>
    <t xml:space="preserve">情材福島原価        </t>
  </si>
  <si>
    <t xml:space="preserve">ニッコー㈱          </t>
  </si>
  <si>
    <t xml:space="preserve">セラピール　ＢＸ８Ａ（１４）                                            </t>
  </si>
  <si>
    <t xml:space="preserve">プロセス材２課      </t>
  </si>
  <si>
    <t xml:space="preserve">日榮新化㈱          </t>
  </si>
  <si>
    <t xml:space="preserve">セラピール　ＢＸ８Ａ（Ｓ）                                              </t>
  </si>
  <si>
    <t xml:space="preserve">セラピール　　　　　　　　　　　ＢＸ９Ａ（Ｓ）                          </t>
  </si>
  <si>
    <t xml:space="preserve">セラピール　ＢＫＥ（ＲＸ）                                              </t>
  </si>
  <si>
    <t xml:space="preserve">光学機能材１課      </t>
  </si>
  <si>
    <t xml:space="preserve">㈱きもと　三重工場  </t>
  </si>
  <si>
    <t xml:space="preserve">セラピール　ＢＫ（Ｕ）Ｋ                                                </t>
  </si>
  <si>
    <t xml:space="preserve">セラピール　ＢＫＥ（０９）                                              </t>
  </si>
  <si>
    <t xml:space="preserve">三栄産業㈱尾久工場  </t>
  </si>
  <si>
    <t xml:space="preserve">セラピール　ＷＺ（ＲＸ）　　　　　　                                    </t>
  </si>
  <si>
    <t>2023/10/20</t>
  </si>
  <si>
    <t xml:space="preserve">セラピールＷＺ（Ｓ）                                                    </t>
  </si>
  <si>
    <t xml:space="preserve">藤産業㈱            </t>
  </si>
  <si>
    <t xml:space="preserve">セラピール　ＷＺ（３４）                                                </t>
  </si>
  <si>
    <t xml:space="preserve">プロセス材１課      </t>
  </si>
  <si>
    <t xml:space="preserve">リンテック㈱        </t>
  </si>
  <si>
    <t xml:space="preserve">セラピール　　　　　　　　　　　ＷＺ（Ｓ）                              </t>
  </si>
  <si>
    <t>2023/10/30</t>
  </si>
  <si>
    <t xml:space="preserve">東洋包材㈱          </t>
  </si>
  <si>
    <t xml:space="preserve">セラピール　ＷＺ（Ｔ）                                                  </t>
  </si>
  <si>
    <t xml:space="preserve">古河電気工業㈱      </t>
  </si>
  <si>
    <t xml:space="preserve">セラピール　　　　　　　　　　　ＷＺ（Ｅ）                              </t>
  </si>
  <si>
    <t>2023/10/23</t>
  </si>
  <si>
    <t>3727584</t>
  </si>
  <si>
    <t xml:space="preserve">スリーエム輸出      </t>
  </si>
  <si>
    <t>27114MB</t>
  </si>
  <si>
    <t xml:space="preserve">ＣＥＲＡＰＥＥＬ　ＰＪ２７１（１４）                                    </t>
  </si>
  <si>
    <t>3727585</t>
  </si>
  <si>
    <t xml:space="preserve">日東シンコー㈱      </t>
  </si>
  <si>
    <t xml:space="preserve">メタルミー　Ｓ                                                          </t>
  </si>
  <si>
    <t>2023/10/15</t>
  </si>
  <si>
    <t xml:space="preserve">メタルミー　ＴＳ                                                        </t>
  </si>
  <si>
    <t xml:space="preserve">王子タック㈱本社    </t>
  </si>
  <si>
    <t xml:space="preserve">ルミラー　ＴＬ                                                          </t>
  </si>
  <si>
    <t xml:space="preserve">日精㈱東京支店      </t>
  </si>
  <si>
    <t xml:space="preserve">ＰＥＴ　ＴＬ                                                            </t>
  </si>
  <si>
    <t xml:space="preserve">新タック化成㈱      </t>
  </si>
  <si>
    <t xml:space="preserve">メタルミー　ホワイトコート　　　（Ｂ）                                  </t>
  </si>
  <si>
    <t xml:space="preserve">ＭＳＮ　ＥＹＫ                                                          </t>
  </si>
  <si>
    <t xml:space="preserve">メタルミー　ネーマー銀消改　Ｂ                                          </t>
  </si>
  <si>
    <t>2023/10/25</t>
  </si>
  <si>
    <t xml:space="preserve">メタルミー　ネーマー銀消　Ｂ                                            </t>
  </si>
  <si>
    <t xml:space="preserve">メタルミー　ネーマー　銀艶　Ｂ                                          </t>
  </si>
  <si>
    <t>2023/11/09</t>
  </si>
  <si>
    <t xml:space="preserve">メタルミー　ニューネーマー銀消　Ｂ                                      </t>
  </si>
  <si>
    <t xml:space="preserve">メタルミー　ＴＥＳ消開封　Ｖ                                            </t>
  </si>
  <si>
    <t xml:space="preserve">メタルミー　ＴＥＳ艶開封　Ｖ                                            </t>
  </si>
  <si>
    <t xml:space="preserve">メタルミー　ヘヤライン　銀消Ｖ                                          </t>
  </si>
  <si>
    <t xml:space="preserve">メタルミー　ヘヤライン　銀艶Ｖ                                          </t>
  </si>
  <si>
    <t xml:space="preserve">ＤＭＳ　Ｖ                                                              </t>
  </si>
  <si>
    <t>2023/11/08</t>
  </si>
  <si>
    <t xml:space="preserve">ＱＲ６６蒸着品                                                          </t>
  </si>
  <si>
    <t xml:space="preserve">ＭＥＴＡＬＵＭＹ　ＳＩＬＶＥＲ　ＢＲＩＧＨＴ　Ｔ６２Ｍ　Ｂ              </t>
  </si>
  <si>
    <t>S</t>
    <phoneticPr fontId="20"/>
  </si>
  <si>
    <t>N</t>
    <phoneticPr fontId="20"/>
  </si>
  <si>
    <t xml:space="preserve">プロセス材１課      </t>
    <phoneticPr fontId="20"/>
  </si>
  <si>
    <t>CERA</t>
    <phoneticPr fontId="20"/>
  </si>
  <si>
    <t>MLB</t>
    <phoneticPr fontId="20"/>
  </si>
  <si>
    <t>CLB</t>
    <phoneticPr fontId="20"/>
  </si>
  <si>
    <t>MCLB</t>
    <phoneticPr fontId="20"/>
  </si>
  <si>
    <t>MD(A)R</t>
    <phoneticPr fontId="20"/>
  </si>
  <si>
    <t>MDACPFL</t>
    <phoneticPr fontId="20"/>
  </si>
  <si>
    <t>MDAPFL</t>
    <phoneticPr fontId="20"/>
  </si>
  <si>
    <t>BX8ARXA</t>
    <phoneticPr fontId="20"/>
  </si>
  <si>
    <t>BX8ARXT</t>
    <phoneticPr fontId="20"/>
  </si>
  <si>
    <t>BX8A14</t>
    <phoneticPr fontId="20"/>
  </si>
  <si>
    <t>BX8AS</t>
    <phoneticPr fontId="20"/>
  </si>
  <si>
    <t>BX9AS</t>
    <phoneticPr fontId="20"/>
  </si>
  <si>
    <t>BKERXT</t>
    <phoneticPr fontId="20"/>
  </si>
  <si>
    <t>BKUK</t>
    <phoneticPr fontId="20"/>
  </si>
  <si>
    <t>BKE09</t>
    <phoneticPr fontId="20"/>
  </si>
  <si>
    <t>WZRX</t>
    <phoneticPr fontId="20"/>
  </si>
  <si>
    <t>WZS</t>
    <phoneticPr fontId="20"/>
  </si>
  <si>
    <t>WZ34</t>
    <phoneticPr fontId="20"/>
  </si>
  <si>
    <t>WZT</t>
    <phoneticPr fontId="20"/>
  </si>
  <si>
    <t>WZE</t>
    <phoneticPr fontId="20"/>
  </si>
  <si>
    <t>MSF</t>
    <phoneticPr fontId="20"/>
  </si>
  <si>
    <t>MTSF</t>
    <phoneticPr fontId="20"/>
  </si>
  <si>
    <t>LTL</t>
    <phoneticPr fontId="20"/>
  </si>
  <si>
    <t>PETTL</t>
    <phoneticPr fontId="20"/>
  </si>
  <si>
    <t>WCB</t>
    <phoneticPr fontId="20"/>
  </si>
  <si>
    <t>MSNEYK</t>
    <phoneticPr fontId="20"/>
  </si>
  <si>
    <t>MNGKKBF</t>
    <phoneticPr fontId="20"/>
  </si>
  <si>
    <t>MNGKBF</t>
    <phoneticPr fontId="20"/>
  </si>
  <si>
    <t>MNGTBF</t>
    <phoneticPr fontId="20"/>
  </si>
  <si>
    <t>MNNGKBF</t>
    <phoneticPr fontId="20"/>
  </si>
  <si>
    <t>TEKKFV</t>
    <phoneticPr fontId="20"/>
  </si>
  <si>
    <t>TETKFV</t>
    <phoneticPr fontId="20"/>
  </si>
  <si>
    <t>HLGKJV</t>
    <phoneticPr fontId="20"/>
  </si>
  <si>
    <t>HLGTV</t>
    <phoneticPr fontId="20"/>
  </si>
  <si>
    <t>DMSV</t>
    <phoneticPr fontId="20"/>
  </si>
  <si>
    <t>MNQR66F</t>
    <phoneticPr fontId="20"/>
  </si>
  <si>
    <t>MSBBF</t>
    <phoneticPr fontId="20"/>
  </si>
  <si>
    <t>S</t>
    <phoneticPr fontId="20"/>
  </si>
  <si>
    <t>N</t>
    <phoneticPr fontId="20"/>
  </si>
  <si>
    <t>9/29</t>
    <phoneticPr fontId="17"/>
  </si>
  <si>
    <t>金</t>
    <rPh sb="0" eb="1">
      <t>キン</t>
    </rPh>
    <phoneticPr fontId="17"/>
  </si>
  <si>
    <t>9/30</t>
    <phoneticPr fontId="17"/>
  </si>
  <si>
    <t>土</t>
    <rPh sb="0" eb="1">
      <t>ド</t>
    </rPh>
    <phoneticPr fontId="17"/>
  </si>
  <si>
    <t>10/1</t>
    <phoneticPr fontId="17"/>
  </si>
  <si>
    <t>日</t>
    <rPh sb="0" eb="1">
      <t>ニチ</t>
    </rPh>
    <phoneticPr fontId="17"/>
  </si>
  <si>
    <t>10/2</t>
    <phoneticPr fontId="17"/>
  </si>
  <si>
    <t>月</t>
    <rPh sb="0" eb="1">
      <t>ゲツ</t>
    </rPh>
    <phoneticPr fontId="17"/>
  </si>
  <si>
    <t>10/3</t>
    <phoneticPr fontId="17"/>
  </si>
  <si>
    <t>火</t>
    <rPh sb="0" eb="1">
      <t>ヒ</t>
    </rPh>
    <phoneticPr fontId="17"/>
  </si>
  <si>
    <t>ダミー担当者</t>
    <phoneticPr fontId="20"/>
  </si>
  <si>
    <t>33S</t>
    <phoneticPr fontId="20"/>
  </si>
  <si>
    <t>3SNMLBMNGKKBF</t>
  </si>
  <si>
    <t>Ｕ</t>
    <phoneticPr fontId="17"/>
  </si>
  <si>
    <t>在庫積み増し</t>
    <rPh sb="0" eb="2">
      <t>ザイコ</t>
    </rPh>
    <rPh sb="2" eb="3">
      <t>ツ</t>
    </rPh>
    <rPh sb="4" eb="5">
      <t>マ</t>
    </rPh>
    <phoneticPr fontId="17"/>
  </si>
  <si>
    <t>メタルミー　ネーマー銀消改　Ｂ　＊</t>
    <phoneticPr fontId="17"/>
  </si>
  <si>
    <t>9/23</t>
    <phoneticPr fontId="17"/>
  </si>
  <si>
    <t>土</t>
    <rPh sb="0" eb="1">
      <t>ド</t>
    </rPh>
    <phoneticPr fontId="17"/>
  </si>
  <si>
    <t>9/27</t>
    <phoneticPr fontId="17"/>
  </si>
  <si>
    <t>水</t>
    <rPh sb="0" eb="1">
      <t>スイ</t>
    </rPh>
    <phoneticPr fontId="17"/>
  </si>
  <si>
    <t>9/28</t>
    <phoneticPr fontId="17"/>
  </si>
  <si>
    <t>木</t>
    <rPh sb="0" eb="1">
      <t>モク</t>
    </rPh>
    <phoneticPr fontId="17"/>
  </si>
  <si>
    <t>3SNMCLBWCB501150</t>
  </si>
  <si>
    <t>3SNMCLBWCB501120</t>
  </si>
  <si>
    <t>S-4</t>
  </si>
  <si>
    <t>3SNMCLBWCB50</t>
  </si>
  <si>
    <t>CERA</t>
    <phoneticPr fontId="17"/>
  </si>
  <si>
    <t>Y</t>
    <phoneticPr fontId="17"/>
  </si>
  <si>
    <t>10/5</t>
    <phoneticPr fontId="17"/>
  </si>
  <si>
    <t>木</t>
    <rPh sb="0" eb="1">
      <t>モク</t>
    </rPh>
    <phoneticPr fontId="17"/>
  </si>
  <si>
    <t>10/6</t>
    <phoneticPr fontId="17"/>
  </si>
  <si>
    <t>金</t>
    <rPh sb="0" eb="1">
      <t>キン</t>
    </rPh>
    <phoneticPr fontId="17"/>
  </si>
  <si>
    <t>10/7</t>
    <phoneticPr fontId="17"/>
  </si>
  <si>
    <t>土</t>
    <rPh sb="0" eb="1">
      <t>ド</t>
    </rPh>
    <phoneticPr fontId="17"/>
  </si>
  <si>
    <t>10/8</t>
    <phoneticPr fontId="17"/>
  </si>
  <si>
    <t>日</t>
    <rPh sb="0" eb="1">
      <t>ニチ</t>
    </rPh>
    <phoneticPr fontId="17"/>
  </si>
  <si>
    <t>10/9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</si>
  <si>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</si>
  <si>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</si>
  <si>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</si>
  <si>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10/15</t>
    <phoneticPr fontId="17"/>
  </si>
  <si>
    <t>公休</t>
    <rPh sb="0" eb="2">
      <t>コウキュウ</t>
    </rPh>
    <phoneticPr fontId="17"/>
  </si>
  <si>
    <t>10/18</t>
    <phoneticPr fontId="17"/>
  </si>
  <si>
    <t>10/19</t>
    <phoneticPr fontId="17"/>
  </si>
  <si>
    <t>10/20</t>
    <phoneticPr fontId="17"/>
  </si>
  <si>
    <t>10/21</t>
    <phoneticPr fontId="17"/>
  </si>
  <si>
    <t>10/22</t>
    <phoneticPr fontId="17"/>
  </si>
  <si>
    <t>10/23</t>
    <phoneticPr fontId="17"/>
  </si>
  <si>
    <t>10/24</t>
    <phoneticPr fontId="17"/>
  </si>
  <si>
    <t>S</t>
    <phoneticPr fontId="20"/>
  </si>
  <si>
    <t>N</t>
    <phoneticPr fontId="20"/>
  </si>
  <si>
    <t>10/25</t>
    <phoneticPr fontId="17"/>
  </si>
  <si>
    <t>10/26</t>
    <phoneticPr fontId="17"/>
  </si>
  <si>
    <t>10/28</t>
    <phoneticPr fontId="17"/>
  </si>
  <si>
    <t>10/29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</si>
  <si>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</si>
  <si>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メタルミー　ネーマー銀消改　Ｂ　＊</t>
  </si>
  <si>
    <t>T</t>
    <phoneticPr fontId="20"/>
  </si>
  <si>
    <t>MCLB</t>
    <phoneticPr fontId="20"/>
  </si>
  <si>
    <t>HLKTV</t>
    <phoneticPr fontId="20"/>
  </si>
  <si>
    <t>リード作成</t>
    <rPh sb="3" eb="5">
      <t>サクセイ</t>
    </rPh>
    <phoneticPr fontId="17"/>
  </si>
  <si>
    <t>10/4</t>
    <phoneticPr fontId="17"/>
  </si>
  <si>
    <t>水</t>
    <rPh sb="0" eb="1">
      <t>スイ</t>
    </rPh>
    <phoneticPr fontId="17"/>
  </si>
  <si>
    <t>10/16</t>
    <phoneticPr fontId="17"/>
  </si>
  <si>
    <t>月</t>
    <rPh sb="0" eb="1">
      <t>ゲツ</t>
    </rPh>
    <phoneticPr fontId="17"/>
  </si>
  <si>
    <t>3ｲﾝﾁFWP</t>
    <phoneticPr fontId="20"/>
  </si>
  <si>
    <t>U</t>
    <phoneticPr fontId="20"/>
  </si>
  <si>
    <t>N</t>
    <phoneticPr fontId="20"/>
  </si>
  <si>
    <t>MLB</t>
    <phoneticPr fontId="20"/>
  </si>
  <si>
    <t>KF9BF</t>
    <phoneticPr fontId="20"/>
  </si>
  <si>
    <t>10/12</t>
    <phoneticPr fontId="17"/>
  </si>
  <si>
    <t>木</t>
    <rPh sb="0" eb="1">
      <t>モク</t>
    </rPh>
    <phoneticPr fontId="17"/>
  </si>
  <si>
    <t>3UNKNZMCRALCB</t>
  </si>
  <si>
    <t>メタルミーCRアルミ面コートB</t>
  </si>
  <si>
    <t>指示なし</t>
    <rPh sb="0" eb="2">
      <t>シジ</t>
    </rPh>
    <phoneticPr fontId="17"/>
  </si>
  <si>
    <t>福島コーティング</t>
    <phoneticPr fontId="56"/>
  </si>
  <si>
    <t>工材１部電材課</t>
    <phoneticPr fontId="56"/>
  </si>
  <si>
    <t>ダミー担当者</t>
    <phoneticPr fontId="56"/>
  </si>
  <si>
    <t>㈱巴川製紙所</t>
    <phoneticPr fontId="56"/>
  </si>
  <si>
    <t>S</t>
    <phoneticPr fontId="56"/>
  </si>
  <si>
    <t>N</t>
    <phoneticPr fontId="56"/>
  </si>
  <si>
    <t>CERA</t>
    <phoneticPr fontId="56"/>
  </si>
  <si>
    <t>BX8ARXT</t>
    <phoneticPr fontId="56"/>
  </si>
  <si>
    <t>セラピール　ＢＸ８ＡＲＸ</t>
    <phoneticPr fontId="56"/>
  </si>
  <si>
    <t>2023/10/24</t>
  </si>
  <si>
    <t>パナック㈱亀山工場</t>
    <phoneticPr fontId="56"/>
  </si>
  <si>
    <t>BX8AX</t>
    <phoneticPr fontId="56"/>
  </si>
  <si>
    <t>セラピール　　　　　　　　　　　ＢＸ８Ａ（Ｘ）</t>
    <phoneticPr fontId="56"/>
  </si>
  <si>
    <t>2023/11/14</t>
  </si>
  <si>
    <t>情材福島原価</t>
    <phoneticPr fontId="56"/>
  </si>
  <si>
    <t>工材１部大阪電材課</t>
    <phoneticPr fontId="56"/>
  </si>
  <si>
    <t>河村産業㈱</t>
  </si>
  <si>
    <t>セラピール　ＢＸ８Ａ（１４）</t>
    <phoneticPr fontId="56"/>
  </si>
  <si>
    <t>プロセス材２課</t>
    <phoneticPr fontId="56"/>
  </si>
  <si>
    <t>日榮新化㈱</t>
    <phoneticPr fontId="56"/>
  </si>
  <si>
    <t>Y</t>
    <phoneticPr fontId="56"/>
  </si>
  <si>
    <t>BX9AS</t>
    <phoneticPr fontId="56"/>
  </si>
  <si>
    <t>セラピール　　　　　　　　　　　ＢＸ９Ａ（Ｓ）</t>
    <phoneticPr fontId="56"/>
  </si>
  <si>
    <t>セラピール　ＢＫＥ（ＲＸ）</t>
    <phoneticPr fontId="56"/>
  </si>
  <si>
    <t>2023/11/10</t>
  </si>
  <si>
    <t>S</t>
    <phoneticPr fontId="56"/>
  </si>
  <si>
    <t>N</t>
    <phoneticPr fontId="56"/>
  </si>
  <si>
    <t>CERA</t>
    <phoneticPr fontId="56"/>
  </si>
  <si>
    <t>BKERXT</t>
    <phoneticPr fontId="56"/>
  </si>
  <si>
    <t>セラピール　ＢＫＥ（ＲＸ）</t>
    <phoneticPr fontId="56"/>
  </si>
  <si>
    <t>福島コーティング</t>
    <phoneticPr fontId="56"/>
  </si>
  <si>
    <t>光学機能材１課</t>
    <phoneticPr fontId="56"/>
  </si>
  <si>
    <t>ダミー担当者</t>
    <phoneticPr fontId="56"/>
  </si>
  <si>
    <t>㈱きもと　三重工場</t>
    <phoneticPr fontId="56"/>
  </si>
  <si>
    <t>BKUK</t>
    <phoneticPr fontId="56"/>
  </si>
  <si>
    <t>セラピール　ＢＫ（Ｕ）Ｋ</t>
    <phoneticPr fontId="56"/>
  </si>
  <si>
    <t>工材１部電材課</t>
    <phoneticPr fontId="56"/>
  </si>
  <si>
    <t>パナック㈱亀山工場</t>
    <phoneticPr fontId="56"/>
  </si>
  <si>
    <t>Y</t>
    <phoneticPr fontId="56"/>
  </si>
  <si>
    <t>BKE09</t>
    <phoneticPr fontId="56"/>
  </si>
  <si>
    <t>ＣＥＲＡＰＥＥＬ　ＢＫＥ（０９）</t>
    <phoneticPr fontId="56"/>
  </si>
  <si>
    <t>セラピール　ＢＫＥ（０９）</t>
    <phoneticPr fontId="56"/>
  </si>
  <si>
    <t>積水化学武蔵工場</t>
    <phoneticPr fontId="56"/>
  </si>
  <si>
    <t>プロセス材２課</t>
    <phoneticPr fontId="56"/>
  </si>
  <si>
    <t>日榮新化㈱</t>
    <phoneticPr fontId="56"/>
  </si>
  <si>
    <t>WZS</t>
    <phoneticPr fontId="56"/>
  </si>
  <si>
    <t>セラピールＷＺ（Ｓ）</t>
    <phoneticPr fontId="56"/>
  </si>
  <si>
    <t>2023/11/17</t>
  </si>
  <si>
    <t>セラピール　ＷＺ（３４）</t>
    <phoneticPr fontId="56"/>
  </si>
  <si>
    <t>プロセス材１課</t>
    <phoneticPr fontId="56"/>
  </si>
  <si>
    <t>リンテック㈱</t>
    <phoneticPr fontId="56"/>
  </si>
  <si>
    <t>2023/11/24</t>
  </si>
  <si>
    <t>古河電気工業㈱</t>
    <phoneticPr fontId="56"/>
  </si>
  <si>
    <t>WZE</t>
    <phoneticPr fontId="56"/>
  </si>
  <si>
    <t>セラピール　　　　　　　　　　　ＷＺ（Ｅ）</t>
    <phoneticPr fontId="56"/>
  </si>
  <si>
    <t>2023/11/21</t>
  </si>
  <si>
    <t>WZRX</t>
    <phoneticPr fontId="56"/>
  </si>
  <si>
    <t>セラピール　ＷＺ（ＲＸ）　　　　　　</t>
    <phoneticPr fontId="56"/>
  </si>
  <si>
    <t>情材福島原価</t>
    <phoneticPr fontId="56"/>
  </si>
  <si>
    <t>工材１部大阪電材課</t>
    <phoneticPr fontId="56"/>
  </si>
  <si>
    <t>T</t>
    <phoneticPr fontId="56"/>
  </si>
  <si>
    <t>2023/11/23</t>
  </si>
  <si>
    <t>2023/11/15</t>
  </si>
  <si>
    <t>2023/11/06</t>
  </si>
  <si>
    <t>2023/12/08</t>
  </si>
  <si>
    <t>2023/11/27</t>
  </si>
  <si>
    <t>欠点検出器制御盤内工事</t>
    <rPh sb="0" eb="1">
      <t>ケッテン</t>
    </rPh>
    <rPh sb="1" eb="4">
      <t>ケンシュツキ</t>
    </rPh>
    <rPh sb="5" eb="8">
      <t>セイギョバン</t>
    </rPh>
    <rPh sb="8" eb="9">
      <t>ナイ</t>
    </rPh>
    <rPh sb="9" eb="11">
      <t>コウジ</t>
    </rPh>
    <phoneticPr fontId="17"/>
  </si>
  <si>
    <t>ﾘｰﾄﾞ付け</t>
    <rPh sb="4" eb="5">
      <t>ツ</t>
    </rPh>
    <phoneticPr fontId="17"/>
  </si>
  <si>
    <t>11/3</t>
    <phoneticPr fontId="17"/>
  </si>
  <si>
    <t>11/4</t>
    <phoneticPr fontId="17"/>
  </si>
  <si>
    <t>11/5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</si>
  <si>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</si>
  <si>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</si>
  <si>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</si>
  <si>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</si>
  <si>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11/11</t>
    <phoneticPr fontId="17"/>
  </si>
  <si>
    <t>11/12</t>
    <phoneticPr fontId="17"/>
  </si>
  <si>
    <t>11/18</t>
    <phoneticPr fontId="17"/>
  </si>
  <si>
    <t>11/19</t>
    <phoneticPr fontId="17"/>
  </si>
  <si>
    <t>11/2</t>
    <phoneticPr fontId="17"/>
  </si>
  <si>
    <t>木</t>
    <rPh sb="0" eb="1">
      <t>モク</t>
    </rPh>
    <phoneticPr fontId="17"/>
  </si>
  <si>
    <t>11/3</t>
    <phoneticPr fontId="17"/>
  </si>
  <si>
    <t>11/4</t>
    <phoneticPr fontId="17"/>
  </si>
  <si>
    <t>11/5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</si>
  <si>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</si>
  <si>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</si>
  <si>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</si>
  <si>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11/6</t>
    <phoneticPr fontId="17"/>
  </si>
  <si>
    <t>月</t>
    <rPh sb="0" eb="1">
      <t>ゲツ</t>
    </rPh>
    <phoneticPr fontId="17"/>
  </si>
  <si>
    <t>公休</t>
    <rPh sb="0" eb="2">
      <t>コウキュウ</t>
    </rPh>
    <phoneticPr fontId="17"/>
  </si>
  <si>
    <t>2023/11/30</t>
  </si>
  <si>
    <t>2023/10/31</t>
  </si>
  <si>
    <t>2023/10/26</t>
  </si>
  <si>
    <t>T62M</t>
    <phoneticPr fontId="17"/>
  </si>
  <si>
    <t>11/7</t>
    <phoneticPr fontId="17"/>
  </si>
  <si>
    <t>火</t>
    <rPh sb="0" eb="1">
      <t>ヒ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</si>
  <si>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</si>
  <si>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</si>
  <si>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11/11</t>
    <phoneticPr fontId="17"/>
  </si>
  <si>
    <t>土</t>
    <rPh sb="0" eb="1">
      <t>ド</t>
    </rPh>
    <phoneticPr fontId="17"/>
  </si>
  <si>
    <t>11/12</t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</si>
  <si>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</si>
  <si>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</si>
  <si>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11/18</t>
    <phoneticPr fontId="17"/>
  </si>
  <si>
    <t>11/19</t>
    <phoneticPr fontId="17"/>
  </si>
  <si>
    <t>11/25</t>
    <phoneticPr fontId="17"/>
  </si>
  <si>
    <t>11/26</t>
    <phoneticPr fontId="17"/>
  </si>
  <si>
    <t>11/27</t>
    <phoneticPr fontId="17"/>
  </si>
  <si>
    <t>11/28</t>
    <phoneticPr fontId="17"/>
  </si>
  <si>
    <t>11/30</t>
    <phoneticPr fontId="17"/>
  </si>
  <si>
    <t>12/1</t>
    <phoneticPr fontId="17"/>
  </si>
  <si>
    <t>12/2</t>
    <phoneticPr fontId="17"/>
  </si>
  <si>
    <t>12/3</t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</si>
  <si>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</si>
  <si>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</si>
  <si>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11/20</t>
    <phoneticPr fontId="17"/>
  </si>
  <si>
    <t>月</t>
    <rPh sb="0" eb="1">
      <t>ゲツ</t>
    </rPh>
    <phoneticPr fontId="17"/>
  </si>
  <si>
    <t>11/21</t>
    <phoneticPr fontId="17"/>
  </si>
  <si>
    <t>火</t>
    <rPh sb="0" eb="1">
      <t>ヒ</t>
    </rPh>
    <phoneticPr fontId="17"/>
  </si>
  <si>
    <t>11/22</t>
    <phoneticPr fontId="17"/>
  </si>
  <si>
    <t>水</t>
    <rPh sb="0" eb="1">
      <t>スイ</t>
    </rPh>
    <phoneticPr fontId="17"/>
  </si>
  <si>
    <t>11/23</t>
    <phoneticPr fontId="17"/>
  </si>
  <si>
    <t>11/24</t>
    <phoneticPr fontId="17"/>
  </si>
  <si>
    <t>11/7</t>
    <phoneticPr fontId="17"/>
  </si>
  <si>
    <t>火</t>
    <rPh sb="0" eb="1">
      <t>ヒ</t>
    </rPh>
    <phoneticPr fontId="17"/>
  </si>
  <si>
    <t>11/13</t>
    <phoneticPr fontId="17"/>
  </si>
  <si>
    <t>月</t>
    <rPh sb="0" eb="1">
      <t>ゲツ</t>
    </rPh>
    <phoneticPr fontId="17"/>
  </si>
  <si>
    <t>11/14</t>
    <phoneticPr fontId="17"/>
  </si>
  <si>
    <t>10/31</t>
    <phoneticPr fontId="17"/>
  </si>
  <si>
    <t>火</t>
    <rPh sb="0" eb="1">
      <t>ヒ</t>
    </rPh>
    <phoneticPr fontId="17"/>
  </si>
  <si>
    <t>ルミラー２部工材課</t>
  </si>
  <si>
    <t>2023/11/07</t>
  </si>
  <si>
    <t>T62M</t>
    <phoneticPr fontId="20"/>
  </si>
  <si>
    <t>11/10</t>
    <phoneticPr fontId="17"/>
  </si>
  <si>
    <t>金</t>
    <rPh sb="0" eb="1">
      <t>キン</t>
    </rPh>
    <phoneticPr fontId="17"/>
  </si>
  <si>
    <t>ルミラー１部情材１課</t>
  </si>
  <si>
    <t>2023/12/28</t>
  </si>
  <si>
    <t>ルミラー２部大阪</t>
  </si>
  <si>
    <t>工程管理S4 11/15</t>
    <rPh sb="0" eb="1">
      <t>コウテイ</t>
    </rPh>
    <rPh sb="1" eb="3">
      <t>カンリ</t>
    </rPh>
    <phoneticPr fontId="17"/>
  </si>
  <si>
    <t>工程管理 S5 11/16</t>
    <rPh sb="0" eb="1">
      <t>コウテイ</t>
    </rPh>
    <rPh sb="1" eb="3">
      <t>カンリ</t>
    </rPh>
    <phoneticPr fontId="17"/>
  </si>
  <si>
    <t>11/17</t>
    <phoneticPr fontId="17"/>
  </si>
  <si>
    <t>金</t>
    <rPh sb="0" eb="1">
      <t>キン</t>
    </rPh>
    <phoneticPr fontId="17"/>
  </si>
  <si>
    <t>2023/11/20</t>
  </si>
  <si>
    <t>2023/11/22</t>
  </si>
  <si>
    <t>2023/12/31</t>
  </si>
  <si>
    <t>2023/12/25</t>
  </si>
  <si>
    <t>2023/12/30</t>
  </si>
  <si>
    <t>2024/01/12</t>
  </si>
  <si>
    <t>ルミラー２部光学課</t>
  </si>
  <si>
    <t>ＣＥＲＡＰＥＥＬ　ＢＫＥ（０９）</t>
  </si>
  <si>
    <t>2023/12/27</t>
  </si>
  <si>
    <t>2023/12/15</t>
  </si>
  <si>
    <t>3X</t>
  </si>
  <si>
    <t>2023/12/18</t>
  </si>
  <si>
    <t>2023/12/26</t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</si>
  <si>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</si>
  <si>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</si>
  <si>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11/29</t>
    <phoneticPr fontId="17"/>
  </si>
  <si>
    <t>水</t>
    <rPh sb="0" eb="1">
      <t>スイ</t>
    </rPh>
    <phoneticPr fontId="17"/>
  </si>
  <si>
    <t>3X</t>
    <phoneticPr fontId="20"/>
  </si>
  <si>
    <t>12/9</t>
    <phoneticPr fontId="17"/>
  </si>
  <si>
    <t>土</t>
    <rPh sb="0" eb="1">
      <t>ド</t>
    </rPh>
    <phoneticPr fontId="17"/>
  </si>
  <si>
    <t>12/10</t>
    <phoneticPr fontId="17"/>
  </si>
  <si>
    <t>日</t>
    <rPh sb="0" eb="1">
      <t>ニチ</t>
    </rPh>
    <phoneticPr fontId="17"/>
  </si>
  <si>
    <t>12/11</t>
    <phoneticPr fontId="17"/>
  </si>
  <si>
    <t>月</t>
    <rPh sb="0" eb="1">
      <t>ゲツ</t>
    </rPh>
    <phoneticPr fontId="17"/>
  </si>
  <si>
    <t>12/16</t>
    <phoneticPr fontId="17"/>
  </si>
  <si>
    <t>12/17</t>
    <phoneticPr fontId="17"/>
  </si>
  <si>
    <t>12/4</t>
    <phoneticPr fontId="17"/>
  </si>
  <si>
    <t>月</t>
    <rPh sb="0" eb="1">
      <t>ゲツ</t>
    </rPh>
    <phoneticPr fontId="17"/>
  </si>
  <si>
    <t>12/5</t>
  </si>
  <si>
    <t>12/6</t>
  </si>
  <si>
    <t>12/7</t>
  </si>
  <si>
    <t>12/9</t>
  </si>
  <si>
    <t>12/10</t>
  </si>
  <si>
    <t>12/8</t>
    <phoneticPr fontId="17"/>
  </si>
  <si>
    <t>金</t>
    <rPh sb="0" eb="1">
      <t>キン</t>
    </rPh>
    <phoneticPr fontId="17"/>
  </si>
  <si>
    <t>12/11</t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</si>
  <si>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</si>
  <si>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</si>
  <si>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</si>
  <si>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12/16</t>
    <phoneticPr fontId="17"/>
  </si>
  <si>
    <t>12/17</t>
    <phoneticPr fontId="17"/>
  </si>
  <si>
    <t>12/19</t>
    <phoneticPr fontId="17"/>
  </si>
  <si>
    <t>12/20</t>
    <phoneticPr fontId="17"/>
  </si>
  <si>
    <t>12/26</t>
    <phoneticPr fontId="17"/>
  </si>
  <si>
    <t>12/27</t>
    <phoneticPr fontId="17"/>
  </si>
  <si>
    <t>12/28</t>
    <phoneticPr fontId="17"/>
  </si>
  <si>
    <t>12/29</t>
  </si>
  <si>
    <t>12/30</t>
  </si>
  <si>
    <t>12/31</t>
  </si>
  <si>
    <t>1/1</t>
    <phoneticPr fontId="17"/>
  </si>
  <si>
    <t>1/2</t>
  </si>
  <si>
    <t>1/3</t>
  </si>
  <si>
    <t>1/4</t>
  </si>
  <si>
    <t>1/5</t>
  </si>
  <si>
    <t>1/6</t>
  </si>
  <si>
    <t>1/7</t>
  </si>
  <si>
    <t>1/8</t>
  </si>
  <si>
    <t>1/9</t>
  </si>
  <si>
    <t>掃除</t>
    <rPh sb="0" eb="2">
      <t>ソウジ</t>
    </rPh>
    <phoneticPr fontId="17"/>
  </si>
  <si>
    <t>公休</t>
    <rPh sb="0" eb="2">
      <t>コウキュウ</t>
    </rPh>
    <phoneticPr fontId="17"/>
  </si>
  <si>
    <t>12/29</t>
    <phoneticPr fontId="17"/>
  </si>
  <si>
    <t>－</t>
    <phoneticPr fontId="17"/>
  </si>
  <si>
    <t>※キズ懸念原反投入</t>
    <rPh sb="2" eb="4">
      <t>ケネン</t>
    </rPh>
    <rPh sb="4" eb="6">
      <t>ゲンタン</t>
    </rPh>
    <rPh sb="6" eb="8">
      <t>トウニュウ</t>
    </rPh>
    <phoneticPr fontId="17"/>
  </si>
  <si>
    <t>※巻芯ピラミッド懸念原反投入</t>
    <rPh sb="1" eb="2">
      <t>マ</t>
    </rPh>
    <rPh sb="2" eb="3">
      <t>シン</t>
    </rPh>
    <rPh sb="7" eb="9">
      <t>ケネン</t>
    </rPh>
    <rPh sb="8" eb="10">
      <t>ゲンタン</t>
    </rPh>
    <rPh sb="10" eb="12">
      <t>トウニュウ</t>
    </rPh>
    <phoneticPr fontId="17"/>
  </si>
  <si>
    <t>12/13</t>
    <phoneticPr fontId="17"/>
  </si>
  <si>
    <t>水</t>
    <rPh sb="0" eb="1">
      <t>スイ</t>
    </rPh>
    <phoneticPr fontId="17"/>
  </si>
  <si>
    <t>12/5</t>
    <phoneticPr fontId="17"/>
  </si>
  <si>
    <t>火</t>
    <rPh sb="0" eb="1">
      <t>ヒ</t>
    </rPh>
    <phoneticPr fontId="17"/>
  </si>
  <si>
    <t>12/12</t>
    <phoneticPr fontId="17"/>
  </si>
  <si>
    <t>ｽﾘｯﾄ</t>
    <phoneticPr fontId="17"/>
  </si>
  <si>
    <t>MSF</t>
    <phoneticPr fontId="17"/>
  </si>
  <si>
    <t>3ｲﾝﾁABS</t>
    <phoneticPr fontId="17"/>
  </si>
  <si>
    <t>指示なし</t>
    <rPh sb="0" eb="2">
      <t>シジ</t>
    </rPh>
    <phoneticPr fontId="17"/>
  </si>
  <si>
    <t>2023/12/11</t>
  </si>
  <si>
    <t>12/15</t>
  </si>
  <si>
    <t>2023/12/14</t>
  </si>
  <si>
    <t>3UYKNZMCRALCB</t>
  </si>
  <si>
    <t>Metalumy CR aluminum surface coat B</t>
  </si>
  <si>
    <t>QZ54</t>
    <phoneticPr fontId="17"/>
  </si>
  <si>
    <t>－</t>
    <phoneticPr fontId="17"/>
  </si>
  <si>
    <t>調整停機</t>
    <rPh sb="0" eb="2">
      <t>チョウセイ</t>
    </rPh>
    <rPh sb="2" eb="4">
      <t>テイキ</t>
    </rPh>
    <phoneticPr fontId="17"/>
  </si>
  <si>
    <t>調整停機</t>
    <rPh sb="0" eb="2">
      <t>チョウセイ</t>
    </rPh>
    <rPh sb="2" eb="4">
      <t>テイキ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</si>
  <si>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</si>
  <si>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1/10</t>
  </si>
  <si>
    <t>1/11</t>
  </si>
  <si>
    <t>1/12</t>
  </si>
  <si>
    <t>1/13</t>
  </si>
  <si>
    <t>1/14</t>
  </si>
  <si>
    <t>1/15</t>
  </si>
  <si>
    <t>1/16</t>
  </si>
  <si>
    <t>1/17</t>
  </si>
  <si>
    <t>1/18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</si>
  <si>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</si>
  <si>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</si>
  <si>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</si>
  <si>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</si>
  <si>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</si>
  <si>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</si>
  <si>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</si>
  <si>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</si>
  <si>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</si>
  <si>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</si>
  <si>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</si>
  <si>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</si>
  <si>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1/31</t>
  </si>
  <si>
    <t>2/1</t>
    <phoneticPr fontId="17"/>
  </si>
  <si>
    <t>調整停機</t>
    <rPh sb="0" eb="2">
      <t>チョウセイ</t>
    </rPh>
    <rPh sb="2" eb="4">
      <t>テイキ</t>
    </rPh>
    <phoneticPr fontId="17"/>
  </si>
  <si>
    <t>木</t>
    <phoneticPr fontId="17"/>
  </si>
  <si>
    <t>1/12</t>
    <phoneticPr fontId="17"/>
  </si>
  <si>
    <t>金</t>
    <rPh sb="0" eb="1">
      <t>キン</t>
    </rPh>
    <phoneticPr fontId="17"/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</si>
  <si>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</si>
  <si>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</si>
  <si>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</si>
  <si>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</si>
  <si>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</si>
  <si>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</si>
  <si>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</si>
  <si>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</si>
  <si>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</si>
  <si>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</si>
  <si>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</si>
  <si>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</si>
  <si>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</si>
  <si>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2/16</t>
  </si>
  <si>
    <t>2/17</t>
  </si>
  <si>
    <t>2/18</t>
  </si>
  <si>
    <t>2/19</t>
  </si>
  <si>
    <t>2/20</t>
  </si>
  <si>
    <t>2/21</t>
  </si>
  <si>
    <t>2/22</t>
  </si>
  <si>
    <t>2/23</t>
  </si>
  <si>
    <t>2/24</t>
  </si>
  <si>
    <t>2/25</t>
  </si>
  <si>
    <t>2/26</t>
  </si>
  <si>
    <t>2/27</t>
  </si>
  <si>
    <t>2/28</t>
  </si>
  <si>
    <t>2/29</t>
  </si>
  <si>
    <t>3/3</t>
  </si>
  <si>
    <t>2024/01/22</t>
  </si>
  <si>
    <t>2024/02/27</t>
  </si>
  <si>
    <t>2024/02/16</t>
  </si>
  <si>
    <t>2024/02/29</t>
  </si>
  <si>
    <t>2024/03/08</t>
  </si>
  <si>
    <t>2024/03/04</t>
  </si>
  <si>
    <t>ルミラー１部情材２課</t>
  </si>
  <si>
    <t>2024/03/15</t>
  </si>
  <si>
    <t>2024/03/06</t>
  </si>
  <si>
    <t>2024/03/13</t>
  </si>
  <si>
    <t>2024/03/12</t>
  </si>
  <si>
    <t>2024/03/22</t>
  </si>
  <si>
    <t>メタルミー　ＴＥ－Ｓ消　ＶＯＩＤ　Ｖ　輸出梱包</t>
  </si>
  <si>
    <t>2024/02/22</t>
  </si>
  <si>
    <t>2/15</t>
    <phoneticPr fontId="17"/>
  </si>
  <si>
    <t>木</t>
    <rPh sb="0" eb="1">
      <t>モク</t>
    </rPh>
    <phoneticPr fontId="17"/>
  </si>
  <si>
    <t>3/2</t>
    <phoneticPr fontId="17"/>
  </si>
  <si>
    <t>掃除</t>
    <rPh sb="0" eb="2">
      <t>ソウジ</t>
    </rPh>
    <phoneticPr fontId="17"/>
  </si>
  <si>
    <t>リード作成</t>
    <rPh sb="3" eb="5">
      <t>サクセイ</t>
    </rPh>
    <phoneticPr fontId="17"/>
  </si>
  <si>
    <t>2/16</t>
    <phoneticPr fontId="17"/>
  </si>
  <si>
    <t>2/17</t>
    <phoneticPr fontId="17"/>
  </si>
  <si>
    <t>2024/02/28</t>
  </si>
  <si>
    <t>2/19</t>
    <phoneticPr fontId="17"/>
  </si>
  <si>
    <t>月</t>
    <rPh sb="0" eb="1">
      <t>ゲツ</t>
    </rPh>
    <phoneticPr fontId="17"/>
  </si>
  <si>
    <t>3/1</t>
    <phoneticPr fontId="17"/>
  </si>
  <si>
    <t>金</t>
    <rPh sb="0" eb="1">
      <t>キン</t>
    </rPh>
    <phoneticPr fontId="17"/>
  </si>
  <si>
    <t>2/27</t>
    <phoneticPr fontId="17"/>
  </si>
  <si>
    <t>火</t>
    <rPh sb="0" eb="1">
      <t>カ</t>
    </rPh>
    <phoneticPr fontId="17"/>
  </si>
  <si>
    <t>2/28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</si>
  <si>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</si>
  <si>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</si>
  <si>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2/23</t>
    <phoneticPr fontId="17"/>
  </si>
  <si>
    <t>2/24</t>
    <phoneticPr fontId="17"/>
  </si>
  <si>
    <t>土</t>
    <rPh sb="0" eb="1">
      <t>ド</t>
    </rPh>
    <phoneticPr fontId="17"/>
  </si>
  <si>
    <t>2/25</t>
    <phoneticPr fontId="17"/>
  </si>
  <si>
    <t>日</t>
    <rPh sb="0" eb="1">
      <t>ニチ</t>
    </rPh>
    <phoneticPr fontId="17"/>
  </si>
  <si>
    <t>2/26</t>
    <phoneticPr fontId="17"/>
  </si>
  <si>
    <t>2/29</t>
    <phoneticPr fontId="17"/>
  </si>
  <si>
    <t>3/2</t>
    <phoneticPr fontId="17"/>
  </si>
  <si>
    <t>3/3</t>
    <phoneticPr fontId="17"/>
  </si>
  <si>
    <t>3/4</t>
    <phoneticPr fontId="17"/>
  </si>
  <si>
    <t>2/20</t>
    <phoneticPr fontId="17"/>
  </si>
  <si>
    <t>2/21</t>
    <phoneticPr fontId="17"/>
  </si>
  <si>
    <t>棚卸し</t>
    <rPh sb="0" eb="2">
      <t>タナオロシ</t>
    </rPh>
    <phoneticPr fontId="17"/>
  </si>
  <si>
    <t>調整停機</t>
    <rPh sb="0" eb="2">
      <t>チョウセイ</t>
    </rPh>
    <rPh sb="2" eb="4">
      <t>テイキ</t>
    </rPh>
    <phoneticPr fontId="17"/>
  </si>
  <si>
    <t>S28</t>
    <phoneticPr fontId="20"/>
  </si>
  <si>
    <t>R75X</t>
    <phoneticPr fontId="20"/>
  </si>
  <si>
    <t>R75XK</t>
    <phoneticPr fontId="20"/>
  </si>
  <si>
    <t>MK-1</t>
    <phoneticPr fontId="20"/>
  </si>
  <si>
    <t>25E</t>
    <phoneticPr fontId="20"/>
  </si>
  <si>
    <t>S105</t>
    <phoneticPr fontId="20"/>
  </si>
  <si>
    <t>S-4</t>
    <phoneticPr fontId="20"/>
  </si>
  <si>
    <t>3ｲﾝﾁSｺｱ</t>
    <phoneticPr fontId="20"/>
  </si>
  <si>
    <t>X44</t>
    <phoneticPr fontId="20"/>
  </si>
  <si>
    <t>-</t>
    <phoneticPr fontId="17"/>
  </si>
  <si>
    <t>33S</t>
    <phoneticPr fontId="17"/>
  </si>
  <si>
    <t>S10</t>
    <phoneticPr fontId="20"/>
  </si>
  <si>
    <t>SL-3</t>
    <phoneticPr fontId="17"/>
  </si>
  <si>
    <t>U483N</t>
    <phoneticPr fontId="20"/>
  </si>
  <si>
    <t>RM1Z</t>
    <phoneticPr fontId="20"/>
  </si>
  <si>
    <t>Kｺｱ</t>
    <phoneticPr fontId="20"/>
  </si>
  <si>
    <t>3KS</t>
    <phoneticPr fontId="17"/>
  </si>
  <si>
    <t>MK1</t>
    <phoneticPr fontId="17"/>
  </si>
  <si>
    <t>CF2</t>
    <phoneticPr fontId="20"/>
  </si>
  <si>
    <t>SL-1</t>
    <phoneticPr fontId="20"/>
  </si>
  <si>
    <t>QZ43</t>
    <phoneticPr fontId="20"/>
  </si>
  <si>
    <t>X30</t>
    <phoneticPr fontId="20"/>
  </si>
  <si>
    <t>E20</t>
    <phoneticPr fontId="20"/>
  </si>
  <si>
    <t>MR1E</t>
    <phoneticPr fontId="20"/>
  </si>
  <si>
    <t>U48K</t>
    <phoneticPr fontId="20"/>
  </si>
  <si>
    <t>XD5AD2</t>
    <phoneticPr fontId="20"/>
  </si>
  <si>
    <t>T6AM</t>
    <phoneticPr fontId="20"/>
  </si>
  <si>
    <t>RP44</t>
    <phoneticPr fontId="20"/>
  </si>
  <si>
    <t>RS1T</t>
    <phoneticPr fontId="20"/>
  </si>
  <si>
    <t>A56</t>
    <phoneticPr fontId="20"/>
  </si>
  <si>
    <t>QZR1</t>
    <phoneticPr fontId="20"/>
  </si>
  <si>
    <t>650～720㎜</t>
    <phoneticPr fontId="20"/>
  </si>
  <si>
    <t>XD500N</t>
    <phoneticPr fontId="17"/>
  </si>
  <si>
    <t>S10</t>
    <phoneticPr fontId="17"/>
  </si>
  <si>
    <t>CF3</t>
    <phoneticPr fontId="20"/>
  </si>
  <si>
    <t>T70A</t>
    <phoneticPr fontId="20"/>
  </si>
  <si>
    <t>F68</t>
    <phoneticPr fontId="20"/>
  </si>
  <si>
    <t>3ｲﾝﾁMｺｱ</t>
    <phoneticPr fontId="20"/>
  </si>
  <si>
    <t>S28離型ｲﾁﾏﾂ</t>
    <phoneticPr fontId="17"/>
  </si>
  <si>
    <t>セラピール　ＢＫＥ（０９）</t>
    <phoneticPr fontId="20"/>
  </si>
  <si>
    <t>Y</t>
    <phoneticPr fontId="20"/>
  </si>
  <si>
    <t>セラピール　ＢＫＥ（ＲＸ）</t>
    <phoneticPr fontId="17"/>
  </si>
  <si>
    <t>セラピール　ＢＫ（Ｕ）</t>
    <phoneticPr fontId="17"/>
  </si>
  <si>
    <t>BX8AD</t>
    <phoneticPr fontId="20"/>
  </si>
  <si>
    <t>セラピール　ＢＸ８Ａ（Ｄ）</t>
    <phoneticPr fontId="20"/>
  </si>
  <si>
    <t>セラピール　ＢＸ８Ａ（Ｘ）</t>
    <phoneticPr fontId="20"/>
  </si>
  <si>
    <t>セラピール　ＢＸ８Ａ(Ｓ)</t>
    <phoneticPr fontId="20"/>
  </si>
  <si>
    <t>トーヨーケム</t>
    <phoneticPr fontId="20"/>
  </si>
  <si>
    <t>セラピール　ＢＸ８Ａ（１４）</t>
    <phoneticPr fontId="20"/>
  </si>
  <si>
    <t>セラピール　ＢＸ９Ａ(Ｓ)</t>
    <phoneticPr fontId="20"/>
  </si>
  <si>
    <t>MDAR</t>
    <phoneticPr fontId="20"/>
  </si>
  <si>
    <t>セラピール　ＭＤＡ（Ｒ）</t>
    <phoneticPr fontId="20"/>
  </si>
  <si>
    <t>3K4A</t>
    <phoneticPr fontId="20"/>
  </si>
  <si>
    <t>セラピール　ＷＺ（Ｓ）</t>
    <phoneticPr fontId="20"/>
  </si>
  <si>
    <t>藤産業㈱</t>
    <phoneticPr fontId="20"/>
  </si>
  <si>
    <t>セラピール　ＷＺ（34）</t>
    <phoneticPr fontId="20"/>
  </si>
  <si>
    <t>不要</t>
    <phoneticPr fontId="20"/>
  </si>
  <si>
    <t>3K1A</t>
    <phoneticPr fontId="20"/>
  </si>
  <si>
    <t>リンテック㈱</t>
    <phoneticPr fontId="20"/>
  </si>
  <si>
    <t>PETV44</t>
    <phoneticPr fontId="20"/>
  </si>
  <si>
    <t>ＰＥＴ　Ｖ（Ｘ－４４）</t>
    <phoneticPr fontId="20"/>
  </si>
  <si>
    <t>要</t>
    <phoneticPr fontId="20"/>
  </si>
  <si>
    <t>MSKTLHG</t>
    <phoneticPr fontId="20"/>
  </si>
  <si>
    <t>ＭＳＫ　ＴＬ（ＨＧ）</t>
    <phoneticPr fontId="20"/>
  </si>
  <si>
    <t>TEKV0V</t>
    <phoneticPr fontId="17"/>
  </si>
  <si>
    <t>要→×</t>
    <phoneticPr fontId="20"/>
  </si>
  <si>
    <t>メタルミー　ネーマー銀消　Ｂ</t>
    <phoneticPr fontId="17"/>
  </si>
  <si>
    <t>ＭＥＴＡＬＵＭＹ　ＳＩＬＶＥＲ　Ｎ－ＭＡＴＴＥ　Ｘ４４Ｍ　Ｂ</t>
    <phoneticPr fontId="20"/>
  </si>
  <si>
    <t>TONGDA</t>
    <phoneticPr fontId="20"/>
  </si>
  <si>
    <t>THS</t>
    <phoneticPr fontId="20"/>
  </si>
  <si>
    <t>タフトップ　ＴＨＳ</t>
    <phoneticPr fontId="20"/>
  </si>
  <si>
    <t>J-ETC</t>
    <phoneticPr fontId="20"/>
  </si>
  <si>
    <t>ADX44</t>
    <phoneticPr fontId="20"/>
  </si>
  <si>
    <t>MFAS</t>
    <phoneticPr fontId="20"/>
  </si>
  <si>
    <t>セラピール　ＭＦＡ（Ｓ）</t>
    <phoneticPr fontId="20"/>
  </si>
  <si>
    <t>MFAX</t>
    <phoneticPr fontId="20"/>
  </si>
  <si>
    <t>セラピール　ＭＦＡ（X）</t>
    <phoneticPr fontId="20"/>
  </si>
  <si>
    <t>MFA01</t>
    <phoneticPr fontId="20"/>
  </si>
  <si>
    <t>セラピール　ＭＦＡ（０１）</t>
    <phoneticPr fontId="20"/>
  </si>
  <si>
    <t>Apple</t>
    <phoneticPr fontId="20"/>
  </si>
  <si>
    <t>マルワ</t>
    <phoneticPr fontId="20"/>
  </si>
  <si>
    <t>MFA45</t>
    <phoneticPr fontId="20"/>
  </si>
  <si>
    <t>セラピール　ＭＦＡ（４５）</t>
    <phoneticPr fontId="20"/>
  </si>
  <si>
    <t>MFA46</t>
    <phoneticPr fontId="20"/>
  </si>
  <si>
    <t>セラピール　ＭＦＡ（４６）</t>
    <phoneticPr fontId="20"/>
  </si>
  <si>
    <t>MFA09</t>
    <phoneticPr fontId="20"/>
  </si>
  <si>
    <t>セラピール　ＭＦＡ（０９）</t>
    <phoneticPr fontId="20"/>
  </si>
  <si>
    <t>NGKｴﾚｸﾄﾛﾃﾞﾊﾞｲｽ</t>
    <phoneticPr fontId="20"/>
  </si>
  <si>
    <t>MFA14</t>
    <phoneticPr fontId="20"/>
  </si>
  <si>
    <t>セラピール　ＭＦＡ（１４）</t>
    <phoneticPr fontId="20"/>
  </si>
  <si>
    <t>ＭＡＲＵＷＡ</t>
    <phoneticPr fontId="20"/>
  </si>
  <si>
    <t>JMFAJ</t>
    <phoneticPr fontId="20"/>
  </si>
  <si>
    <t>セラピール　ＪＭＦＡ（Ｊ）</t>
    <phoneticPr fontId="20"/>
  </si>
  <si>
    <t>JTKA07J</t>
    <phoneticPr fontId="20"/>
  </si>
  <si>
    <t>セラピール　ＪＴＫＡ０７（Ｊ）</t>
    <phoneticPr fontId="20"/>
  </si>
  <si>
    <t>JTKA07H</t>
    <phoneticPr fontId="20"/>
  </si>
  <si>
    <t>セラピール　ＪＴＫＡ０７（Ｈ）</t>
    <phoneticPr fontId="20"/>
  </si>
  <si>
    <t>デンカ</t>
    <phoneticPr fontId="20"/>
  </si>
  <si>
    <t>WZ26</t>
    <phoneticPr fontId="20"/>
  </si>
  <si>
    <t>セラピール　ＷＺ（26）</t>
    <phoneticPr fontId="20"/>
  </si>
  <si>
    <t>パナック</t>
    <phoneticPr fontId="20"/>
  </si>
  <si>
    <t>古河電気工業㈱</t>
    <phoneticPr fontId="20"/>
  </si>
  <si>
    <t>WZ48</t>
    <phoneticPr fontId="20"/>
  </si>
  <si>
    <t>セラピール　ＷＺ（48）</t>
    <phoneticPr fontId="20"/>
  </si>
  <si>
    <t>SY14</t>
    <phoneticPr fontId="20"/>
  </si>
  <si>
    <t>セラピール　ＳＹ（１４）</t>
    <phoneticPr fontId="20"/>
  </si>
  <si>
    <t>SY18</t>
    <phoneticPr fontId="20"/>
  </si>
  <si>
    <t>セラピール　ＳＹ（１８）</t>
    <phoneticPr fontId="20"/>
  </si>
  <si>
    <t>ＴＳＭＣ</t>
    <phoneticPr fontId="20"/>
  </si>
  <si>
    <t>27121BM</t>
    <phoneticPr fontId="20"/>
  </si>
  <si>
    <t>セラピール　ＰＪ２７１（２１）ＢＭ</t>
    <phoneticPr fontId="20"/>
  </si>
  <si>
    <t>カネカ</t>
    <phoneticPr fontId="20"/>
  </si>
  <si>
    <t>3J1A</t>
    <phoneticPr fontId="20"/>
  </si>
  <si>
    <t>セラピール　ＰＪ１０１（０６）</t>
    <phoneticPr fontId="20"/>
  </si>
  <si>
    <t>デクセリアルズ</t>
    <phoneticPr fontId="20"/>
  </si>
  <si>
    <t>セラピール　ＰＪ２７１（１８）</t>
    <phoneticPr fontId="20"/>
  </si>
  <si>
    <t>3M</t>
    <phoneticPr fontId="20"/>
  </si>
  <si>
    <t>ＰＯＬＯＭＯ</t>
    <phoneticPr fontId="20"/>
  </si>
  <si>
    <t>セラピール　ＰＪ２７１（１４）</t>
    <phoneticPr fontId="20"/>
  </si>
  <si>
    <t>27114MA</t>
    <phoneticPr fontId="20"/>
  </si>
  <si>
    <t>27114MB</t>
    <phoneticPr fontId="20"/>
  </si>
  <si>
    <t>セラピール　ＰＪ２７２（１４）</t>
    <phoneticPr fontId="20"/>
  </si>
  <si>
    <t>3MUS</t>
    <phoneticPr fontId="20"/>
  </si>
  <si>
    <t>下田工業/デンソー</t>
    <phoneticPr fontId="20"/>
  </si>
  <si>
    <t>3FAB</t>
    <phoneticPr fontId="20"/>
  </si>
  <si>
    <t>PJ3114</t>
    <phoneticPr fontId="20"/>
  </si>
  <si>
    <t>セラピール　ＰＪ３１（１４）</t>
    <phoneticPr fontId="20"/>
  </si>
  <si>
    <t>G14</t>
    <phoneticPr fontId="20"/>
  </si>
  <si>
    <t>セラピール　Ｇ（１４）</t>
    <phoneticPr fontId="20"/>
  </si>
  <si>
    <t>271G14</t>
    <phoneticPr fontId="20"/>
  </si>
  <si>
    <t>セラピール　ＰＪ２７１Ｇ（１４）</t>
    <phoneticPr fontId="20"/>
  </si>
  <si>
    <t>271/G14</t>
    <phoneticPr fontId="20"/>
  </si>
  <si>
    <t>セラピール　ＰＪ２７１／Ｇ（１４）</t>
    <phoneticPr fontId="20"/>
  </si>
  <si>
    <t>セラピール　ＰＪ２７１（４０）</t>
    <phoneticPr fontId="20"/>
  </si>
  <si>
    <t>27114T1</t>
    <phoneticPr fontId="20"/>
  </si>
  <si>
    <t>セラピール　ＰＪ２７１ＢＳ（１４）</t>
    <phoneticPr fontId="20"/>
  </si>
  <si>
    <t>フジコピアン</t>
    <phoneticPr fontId="20"/>
  </si>
  <si>
    <t>3M2A</t>
    <phoneticPr fontId="20"/>
  </si>
  <si>
    <t>セラピール　ＰＪ２７１（１６）</t>
    <phoneticPr fontId="20"/>
  </si>
  <si>
    <t>セラピール　ＰＪ１１１（１６）</t>
    <phoneticPr fontId="20"/>
  </si>
  <si>
    <t>セラピール　ＰＪ２７１（３６）</t>
    <phoneticPr fontId="20"/>
  </si>
  <si>
    <t>HP316</t>
    <phoneticPr fontId="20"/>
  </si>
  <si>
    <t>セラピール　ＨＰ３（１６）</t>
    <phoneticPr fontId="20"/>
  </si>
  <si>
    <t>HP2SDF</t>
    <phoneticPr fontId="20"/>
  </si>
  <si>
    <t>セラピール　ＨＰ２（Ｓ）Ｄ</t>
    <phoneticPr fontId="20"/>
  </si>
  <si>
    <t>HP216</t>
    <phoneticPr fontId="20"/>
  </si>
  <si>
    <t>セラピール　ＨＰ２（１６）</t>
    <phoneticPr fontId="20"/>
  </si>
  <si>
    <t>ニッパ</t>
    <phoneticPr fontId="20"/>
  </si>
  <si>
    <t>ＰＥＴ２５ｘ１－ＪＯＬ</t>
    <phoneticPr fontId="20"/>
  </si>
  <si>
    <t>ＰＥＴ２５ｘ１－ＪＯ</t>
    <phoneticPr fontId="20"/>
  </si>
  <si>
    <t>日東電工</t>
    <phoneticPr fontId="20"/>
  </si>
  <si>
    <t>3JAB</t>
    <phoneticPr fontId="20"/>
  </si>
  <si>
    <t>MDA01</t>
    <phoneticPr fontId="20"/>
  </si>
  <si>
    <t>セラピール　ＭＤＡ（０１）</t>
    <phoneticPr fontId="20"/>
  </si>
  <si>
    <t>ＡＳコート</t>
    <phoneticPr fontId="20"/>
  </si>
  <si>
    <t>ＡＳＥ</t>
    <phoneticPr fontId="20"/>
  </si>
  <si>
    <t>3Z1A</t>
    <phoneticPr fontId="20"/>
  </si>
  <si>
    <t>セラピール　ＰＪ２７１（１１）</t>
    <phoneticPr fontId="20"/>
  </si>
  <si>
    <t>J22B</t>
    <phoneticPr fontId="20"/>
  </si>
  <si>
    <t>セラピール　ＪＰＪ２２（Ｂ）</t>
    <phoneticPr fontId="20"/>
  </si>
  <si>
    <t>JPJ113B</t>
    <phoneticPr fontId="20"/>
  </si>
  <si>
    <t>セラピール　ＪＰＪ１１３（Ｂ）</t>
    <phoneticPr fontId="20"/>
  </si>
  <si>
    <t>WZCR</t>
    <phoneticPr fontId="20"/>
  </si>
  <si>
    <t>セラピール　ＷＺ（ＣＲ）</t>
    <phoneticPr fontId="20"/>
  </si>
  <si>
    <t>ＰＨＣ</t>
    <phoneticPr fontId="20"/>
  </si>
  <si>
    <t>JWZ(B)</t>
    <phoneticPr fontId="20"/>
  </si>
  <si>
    <t>セラピール　ＪＷＺ（Ｂ）</t>
    <phoneticPr fontId="20"/>
  </si>
  <si>
    <t>JWZK</t>
    <phoneticPr fontId="20"/>
  </si>
  <si>
    <t>セラピール　ＪＷＺ（Ｋ）</t>
    <phoneticPr fontId="20"/>
  </si>
  <si>
    <t>JTK14B</t>
    <phoneticPr fontId="20"/>
  </si>
  <si>
    <t>セラピール　ＪＴＫ１４（Ｂ）</t>
    <phoneticPr fontId="20"/>
  </si>
  <si>
    <t>JTKE14B</t>
    <phoneticPr fontId="20"/>
  </si>
  <si>
    <t>セラピール　ＪＴＫＥ１４（Ｂ）</t>
    <phoneticPr fontId="20"/>
  </si>
  <si>
    <t>JTKA16B</t>
    <phoneticPr fontId="20"/>
  </si>
  <si>
    <t>セラピール　ＪＴＫＡ１６（Ｂ）</t>
    <phoneticPr fontId="20"/>
  </si>
  <si>
    <t>JTKG16B</t>
    <phoneticPr fontId="20"/>
  </si>
  <si>
    <t>セラピール　ＪＴＫG１６（Ｂ）</t>
    <phoneticPr fontId="20"/>
  </si>
  <si>
    <t>BX8A33</t>
    <phoneticPr fontId="17"/>
  </si>
  <si>
    <t>BX8A26</t>
    <phoneticPr fontId="17"/>
  </si>
  <si>
    <t>セラピール　ＢＸ８Ａ（２６）</t>
    <phoneticPr fontId="20"/>
  </si>
  <si>
    <t>BX8A01</t>
    <phoneticPr fontId="20"/>
  </si>
  <si>
    <t>セラピール　ＢＸ８Ａ（０１）</t>
    <phoneticPr fontId="20"/>
  </si>
  <si>
    <t>BX9A09</t>
    <phoneticPr fontId="20"/>
  </si>
  <si>
    <t>セラピール　ＢＸ９Ａ（０９）</t>
    <phoneticPr fontId="20"/>
  </si>
  <si>
    <t>TKA1214</t>
    <phoneticPr fontId="20"/>
  </si>
  <si>
    <t>セラピール　ＴＫＡ１２（１４）</t>
    <phoneticPr fontId="20"/>
  </si>
  <si>
    <t>リケンテクノス</t>
    <phoneticPr fontId="20"/>
  </si>
  <si>
    <t>JMDAB</t>
    <phoneticPr fontId="20"/>
  </si>
  <si>
    <t>セラピール　ＪＭＤＡ（Ｂ）</t>
    <phoneticPr fontId="20"/>
  </si>
  <si>
    <t>JMDGB</t>
    <phoneticPr fontId="20"/>
  </si>
  <si>
    <t>セラピール　ＪＭＤＧ（Ｂ）</t>
    <phoneticPr fontId="20"/>
  </si>
  <si>
    <t>JMDEB</t>
    <phoneticPr fontId="20"/>
  </si>
  <si>
    <t>セラピール　ＪＭＤＥ（Ｂ）</t>
    <phoneticPr fontId="20"/>
  </si>
  <si>
    <t>セラピール　ＭＤ（Ａ）（Ｒ）</t>
    <phoneticPr fontId="20"/>
  </si>
  <si>
    <t>TKA0709</t>
    <phoneticPr fontId="20"/>
  </si>
  <si>
    <t>セラピール　ＴＫＡ０７（０９）</t>
    <phoneticPr fontId="20"/>
  </si>
  <si>
    <t>TKA1440</t>
    <phoneticPr fontId="20"/>
  </si>
  <si>
    <t>セラピール　ＴＫＡ１４（４０）</t>
    <phoneticPr fontId="20"/>
  </si>
  <si>
    <t>TKA1540</t>
    <phoneticPr fontId="20"/>
  </si>
  <si>
    <t>セラピール　ＴＫＡ１５（４０）</t>
    <phoneticPr fontId="20"/>
  </si>
  <si>
    <t>TKA0909</t>
    <phoneticPr fontId="20"/>
  </si>
  <si>
    <t>セラピール　ＴＫＡ０９（０９）</t>
    <phoneticPr fontId="20"/>
  </si>
  <si>
    <t>TKA09RX</t>
    <phoneticPr fontId="20"/>
  </si>
  <si>
    <t>セラピール　ＴＫＡ０９（ＲＸ）</t>
    <phoneticPr fontId="20"/>
  </si>
  <si>
    <t>TKA07X</t>
    <phoneticPr fontId="20"/>
  </si>
  <si>
    <t>セラピール　ＴＫＡ０７（Ｘ）</t>
    <phoneticPr fontId="20"/>
  </si>
  <si>
    <t>セラピール　ＴＫＡ０７Ｘ</t>
    <phoneticPr fontId="20"/>
  </si>
  <si>
    <t>BX8AX</t>
    <phoneticPr fontId="20"/>
  </si>
  <si>
    <t>セラピール　ＢＸ８ＡＸ</t>
    <phoneticPr fontId="20"/>
  </si>
  <si>
    <t>BX8A37</t>
    <phoneticPr fontId="20"/>
  </si>
  <si>
    <t>セラピール　ＢＸ８Ａ（３７）</t>
    <phoneticPr fontId="20"/>
  </si>
  <si>
    <t>JBX8AB</t>
    <phoneticPr fontId="20"/>
  </si>
  <si>
    <t>セラピール　ＪＢＸ８Ａ（Ｂ）</t>
    <phoneticPr fontId="20"/>
  </si>
  <si>
    <t>JBX9AB</t>
    <phoneticPr fontId="20"/>
  </si>
  <si>
    <t>セラピール　ＪＢＸ９Ａ（Ｂ）</t>
    <phoneticPr fontId="20"/>
  </si>
  <si>
    <t>BX8E26</t>
    <phoneticPr fontId="20"/>
  </si>
  <si>
    <t>セラピール　ＢＸ８Ｅ（２６）</t>
    <phoneticPr fontId="20"/>
  </si>
  <si>
    <t>BKE26</t>
    <phoneticPr fontId="20"/>
  </si>
  <si>
    <t>セラピール　ＢＫＥ（２６）</t>
    <phoneticPr fontId="20"/>
  </si>
  <si>
    <t>BX8APF</t>
    <phoneticPr fontId="17"/>
  </si>
  <si>
    <t>セラピール　ＢＸ８Ａ（ＰＲＦ）</t>
    <phoneticPr fontId="17"/>
  </si>
  <si>
    <t>BX8AX</t>
    <phoneticPr fontId="17"/>
  </si>
  <si>
    <t>セラピール　ＢＸ８Ａ（Ｘ）</t>
    <phoneticPr fontId="17"/>
  </si>
  <si>
    <t>BX8G07</t>
    <phoneticPr fontId="20"/>
  </si>
  <si>
    <t>セラピール　ＢＸ８Ｇ（０７）</t>
    <phoneticPr fontId="20"/>
  </si>
  <si>
    <t>TKG0707</t>
    <phoneticPr fontId="20"/>
  </si>
  <si>
    <t>セラピール　ＴＫＧ０７（０７）</t>
    <phoneticPr fontId="20"/>
  </si>
  <si>
    <t>TKA12PF</t>
    <phoneticPr fontId="17"/>
  </si>
  <si>
    <t>セラピール　ＴＫＡ１２（ＰＲＦ）</t>
    <phoneticPr fontId="17"/>
  </si>
  <si>
    <t>TKA13PF</t>
    <phoneticPr fontId="17"/>
  </si>
  <si>
    <t>セラピール　ＴＫＡ１３（ＰＲＦ）</t>
    <phoneticPr fontId="17"/>
  </si>
  <si>
    <t>TKA15PF</t>
    <phoneticPr fontId="17"/>
  </si>
  <si>
    <t>セラピール　ＴＫＡ１５（ＰＲＦ）</t>
    <phoneticPr fontId="17"/>
  </si>
  <si>
    <t>TT405D</t>
    <phoneticPr fontId="17"/>
  </si>
  <si>
    <t>５０ＴＴ４０５Ｄ</t>
    <phoneticPr fontId="17"/>
  </si>
  <si>
    <t>TT405B</t>
    <phoneticPr fontId="17"/>
  </si>
  <si>
    <t>５０ＴＴ４０５Ｂ</t>
    <phoneticPr fontId="17"/>
  </si>
  <si>
    <t>TTP</t>
    <phoneticPr fontId="20"/>
  </si>
  <si>
    <t>3K4A</t>
    <phoneticPr fontId="17"/>
  </si>
  <si>
    <t>KNZ</t>
    <phoneticPr fontId="20"/>
  </si>
  <si>
    <t>MCRALCB</t>
    <phoneticPr fontId="20"/>
  </si>
  <si>
    <t>Metalumy CR aluminum surface coat B</t>
    <phoneticPr fontId="20"/>
  </si>
  <si>
    <t>PETV</t>
    <phoneticPr fontId="20"/>
  </si>
  <si>
    <t>ＰＥＴ　Ｖ</t>
    <phoneticPr fontId="20"/>
  </si>
  <si>
    <t>MBSF</t>
    <phoneticPr fontId="20"/>
  </si>
  <si>
    <t>メタルミー ＢＳ</t>
    <phoneticPr fontId="20"/>
  </si>
  <si>
    <t>DMSEYK</t>
    <phoneticPr fontId="20"/>
  </si>
  <si>
    <t>ＤＭＳ　ＥＹＫ</t>
    <phoneticPr fontId="20"/>
  </si>
  <si>
    <t>HLGTF</t>
    <phoneticPr fontId="20"/>
  </si>
  <si>
    <t>3/4</t>
    <phoneticPr fontId="17"/>
  </si>
  <si>
    <t>月</t>
    <rPh sb="0" eb="1">
      <t>ゲツ</t>
    </rPh>
    <phoneticPr fontId="17"/>
  </si>
  <si>
    <t>※輸出梱包(ﾘﾝﾃｯｸ蘇州向け)</t>
    <rPh sb="0" eb="2">
      <t>ユシュツ</t>
    </rPh>
    <rPh sb="2" eb="4">
      <t>コンポウ</t>
    </rPh>
    <rPh sb="11" eb="13">
      <t>ソシュウ</t>
    </rPh>
    <rPh sb="13" eb="14">
      <t>ム</t>
    </rPh>
    <phoneticPr fontId="17"/>
  </si>
  <si>
    <t>※1本ﾘｰﾄﾞ付けしない</t>
    <rPh sb="1" eb="2">
      <t>ポン</t>
    </rPh>
    <rPh sb="6" eb="7">
      <t>ツ</t>
    </rPh>
    <phoneticPr fontId="17"/>
  </si>
  <si>
    <t>3/5</t>
  </si>
  <si>
    <t>3/6</t>
  </si>
  <si>
    <t>3/7</t>
  </si>
  <si>
    <t>3/8</t>
  </si>
  <si>
    <t>3/9</t>
  </si>
  <si>
    <t>3/10</t>
  </si>
  <si>
    <t>3/16</t>
  </si>
  <si>
    <t>3/17</t>
  </si>
  <si>
    <t>3/24</t>
  </si>
  <si>
    <t>3/26</t>
  </si>
  <si>
    <t>3/27</t>
  </si>
  <si>
    <t>2024/02/09</t>
  </si>
  <si>
    <t>3/1</t>
    <phoneticPr fontId="17"/>
  </si>
  <si>
    <t>金</t>
    <rPh sb="0" eb="1">
      <t>キン</t>
    </rPh>
    <phoneticPr fontId="17"/>
  </si>
  <si>
    <t>6ｲﾝﾁSｺｱ</t>
    <phoneticPr fontId="17"/>
  </si>
  <si>
    <t>2024/02/14</t>
  </si>
  <si>
    <t>2024/03/20</t>
  </si>
  <si>
    <t>2024/03/29</t>
  </si>
  <si>
    <t>4/18</t>
    <phoneticPr fontId="17"/>
  </si>
  <si>
    <t>木</t>
    <rPh sb="0" eb="1">
      <t>モク</t>
    </rPh>
    <phoneticPr fontId="17"/>
  </si>
  <si>
    <t>4/19</t>
    <phoneticPr fontId="17"/>
  </si>
  <si>
    <t>金</t>
    <rPh sb="0" eb="1">
      <t>キン</t>
    </rPh>
    <phoneticPr fontId="17"/>
  </si>
  <si>
    <t>2024/02/19</t>
  </si>
  <si>
    <t>2024/03/31</t>
  </si>
  <si>
    <t>2024/02/20</t>
  </si>
  <si>
    <t>2024/04/01</t>
  </si>
  <si>
    <t>メタルミー　ヘヤライン金艶V</t>
    <rPh sb="11" eb="12">
      <t>キン</t>
    </rPh>
    <rPh sb="12" eb="13">
      <t>ツヤ</t>
    </rPh>
    <phoneticPr fontId="17"/>
  </si>
  <si>
    <t>メタルミー　ヘヤライン銅艶V</t>
    <rPh sb="11" eb="12">
      <t>ドウ</t>
    </rPh>
    <rPh sb="12" eb="13">
      <t>ツヤ</t>
    </rPh>
    <phoneticPr fontId="17"/>
  </si>
  <si>
    <t>3/8</t>
    <phoneticPr fontId="17"/>
  </si>
  <si>
    <t>金</t>
    <rPh sb="0" eb="1">
      <t>キン</t>
    </rPh>
    <phoneticPr fontId="17"/>
  </si>
  <si>
    <t>3/5</t>
    <phoneticPr fontId="17"/>
  </si>
  <si>
    <t>火</t>
    <rPh sb="0" eb="1">
      <t>ヒ</t>
    </rPh>
    <phoneticPr fontId="17"/>
  </si>
  <si>
    <t>3/6</t>
    <phoneticPr fontId="17"/>
  </si>
  <si>
    <t>水</t>
    <rPh sb="0" eb="1">
      <t>スイ</t>
    </rPh>
    <phoneticPr fontId="17"/>
  </si>
  <si>
    <t>3/12</t>
    <phoneticPr fontId="17"/>
  </si>
  <si>
    <t>3/13</t>
    <phoneticPr fontId="17"/>
  </si>
  <si>
    <t>3/11</t>
    <phoneticPr fontId="17"/>
  </si>
  <si>
    <t>月</t>
    <rPh sb="0" eb="1">
      <t>ゲツ</t>
    </rPh>
    <phoneticPr fontId="17"/>
  </si>
  <si>
    <t>2024/02/26</t>
  </si>
  <si>
    <t>2024/04/10</t>
  </si>
  <si>
    <t>3/11</t>
    <phoneticPr fontId="17"/>
  </si>
  <si>
    <t>月</t>
    <rPh sb="0" eb="1">
      <t>ゲツ</t>
    </rPh>
    <phoneticPr fontId="17"/>
  </si>
  <si>
    <t>3/12</t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</si>
  <si>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</si>
  <si>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</si>
  <si>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3/15</t>
    <phoneticPr fontId="17"/>
  </si>
  <si>
    <t>金</t>
    <rPh sb="0" eb="1">
      <t>キン</t>
    </rPh>
    <phoneticPr fontId="17"/>
  </si>
  <si>
    <t>3/18</t>
    <phoneticPr fontId="17"/>
  </si>
  <si>
    <t>3/19</t>
    <phoneticPr fontId="17"/>
  </si>
  <si>
    <t>3/20</t>
    <phoneticPr fontId="17"/>
  </si>
  <si>
    <t>土</t>
    <rPh sb="0" eb="1">
      <t>ド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</si>
  <si>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</si>
  <si>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3/30</t>
    <phoneticPr fontId="17"/>
  </si>
  <si>
    <t>3/31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</si>
  <si>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</si>
  <si>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</si>
  <si>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3/14</t>
    <phoneticPr fontId="17"/>
  </si>
  <si>
    <t>木</t>
    <rPh sb="0" eb="1">
      <t>モク</t>
    </rPh>
    <phoneticPr fontId="17"/>
  </si>
  <si>
    <t>3/15</t>
    <phoneticPr fontId="17"/>
  </si>
  <si>
    <t>金</t>
    <rPh sb="0" eb="1">
      <t>キン</t>
    </rPh>
    <phoneticPr fontId="17"/>
  </si>
  <si>
    <t>3/16</t>
    <phoneticPr fontId="17"/>
  </si>
  <si>
    <t>土</t>
    <rPh sb="0" eb="1">
      <t>ド</t>
    </rPh>
    <phoneticPr fontId="17"/>
  </si>
  <si>
    <t>3/17</t>
    <phoneticPr fontId="17"/>
  </si>
  <si>
    <t>日</t>
    <rPh sb="0" eb="1">
      <t>ニチ</t>
    </rPh>
    <phoneticPr fontId="17"/>
  </si>
  <si>
    <t>3/18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</si>
  <si>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</si>
  <si>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</si>
  <si>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3/20</t>
    <phoneticPr fontId="17"/>
  </si>
  <si>
    <t>水</t>
    <rPh sb="0" eb="1">
      <t>スイ</t>
    </rPh>
    <phoneticPr fontId="17"/>
  </si>
  <si>
    <t>3/21</t>
    <phoneticPr fontId="17"/>
  </si>
  <si>
    <t>3/24</t>
    <phoneticPr fontId="17"/>
  </si>
  <si>
    <t>公休</t>
    <rPh sb="0" eb="2">
      <t>コウキュウ</t>
    </rPh>
    <phoneticPr fontId="17"/>
  </si>
  <si>
    <t>3/25</t>
    <phoneticPr fontId="17"/>
  </si>
  <si>
    <t>3/26</t>
    <phoneticPr fontId="17"/>
  </si>
  <si>
    <t>3/31</t>
    <phoneticPr fontId="17"/>
  </si>
  <si>
    <t>3/30</t>
    <phoneticPr fontId="17"/>
  </si>
  <si>
    <t>※メタルミーCRテスト予定</t>
    <rPh sb="10" eb="12">
      <t>ヨテイ</t>
    </rPh>
    <phoneticPr fontId="17"/>
  </si>
  <si>
    <t>3/14</t>
    <phoneticPr fontId="17"/>
  </si>
  <si>
    <t>木</t>
    <rPh sb="0" eb="1">
      <t>モク</t>
    </rPh>
    <phoneticPr fontId="17"/>
  </si>
  <si>
    <t>※納期急ぎ</t>
    <rPh sb="0" eb="2">
      <t>ノウキ</t>
    </rPh>
    <rPh sb="2" eb="3">
      <t>イソ</t>
    </rPh>
    <phoneticPr fontId="17"/>
  </si>
  <si>
    <t>3/29</t>
    <phoneticPr fontId="17"/>
  </si>
  <si>
    <t>金</t>
    <rPh sb="0" eb="1">
      <t>キン</t>
    </rPh>
    <phoneticPr fontId="17"/>
  </si>
  <si>
    <t>3/25</t>
    <phoneticPr fontId="17"/>
  </si>
  <si>
    <t>月</t>
    <rPh sb="0" eb="1">
      <t>ゲツ</t>
    </rPh>
    <phoneticPr fontId="17"/>
  </si>
  <si>
    <t>ﾘｰﾄﾞ作成</t>
    <rPh sb="4" eb="6">
      <t>サクセイ</t>
    </rPh>
    <phoneticPr fontId="17"/>
  </si>
  <si>
    <t>※納期急ぎ、8,000ｍ仕上げに変更</t>
    <rPh sb="0" eb="2">
      <t>ノウキ</t>
    </rPh>
    <rPh sb="2" eb="3">
      <t>イソ</t>
    </rPh>
    <rPh sb="12" eb="14">
      <t>シア</t>
    </rPh>
    <rPh sb="16" eb="18">
      <t>ヘンコウ</t>
    </rPh>
    <phoneticPr fontId="17"/>
  </si>
  <si>
    <t>※輸出梱包</t>
    <rPh sb="0" eb="2">
      <t>ユシュツ</t>
    </rPh>
    <rPh sb="2" eb="4">
      <t>コンポウ</t>
    </rPh>
    <phoneticPr fontId="17"/>
  </si>
  <si>
    <t>3/23</t>
  </si>
  <si>
    <t>2024/03/14</t>
  </si>
  <si>
    <t>E50柄印刷</t>
    <rPh sb="3" eb="4">
      <t>ガラ</t>
    </rPh>
    <rPh sb="4" eb="6">
      <t>インサツ</t>
    </rPh>
    <phoneticPr fontId="39"/>
  </si>
  <si>
    <t>JR70</t>
  </si>
  <si>
    <t>HL25/EC</t>
    <phoneticPr fontId="20"/>
  </si>
  <si>
    <t>HL50/EC</t>
    <phoneticPr fontId="20"/>
  </si>
  <si>
    <t>WZ14</t>
  </si>
  <si>
    <t>セラピール　ＷＺ（１４）</t>
  </si>
  <si>
    <t>27118MC</t>
    <phoneticPr fontId="20"/>
  </si>
  <si>
    <t>PSPB18</t>
  </si>
  <si>
    <t>セラピール　ＰＳＰＢ（１８）</t>
  </si>
  <si>
    <t>TKA07RX</t>
    <phoneticPr fontId="20"/>
  </si>
  <si>
    <t>セラピール　ＴＫＡ０７（ＲＸ）</t>
    <phoneticPr fontId="20"/>
  </si>
  <si>
    <t>TKA12PF</t>
  </si>
  <si>
    <t>セラピール　ＴＫＡ１２（ＰＲＦ）</t>
  </si>
  <si>
    <t>3/21</t>
    <phoneticPr fontId="17"/>
  </si>
  <si>
    <t>木</t>
    <rPh sb="0" eb="1">
      <t>モク</t>
    </rPh>
    <phoneticPr fontId="17"/>
  </si>
  <si>
    <t>3/22</t>
    <phoneticPr fontId="17"/>
  </si>
  <si>
    <t>金</t>
    <rPh sb="0" eb="1">
      <t>キン</t>
    </rPh>
    <phoneticPr fontId="17"/>
  </si>
  <si>
    <t>3/23</t>
    <phoneticPr fontId="17"/>
  </si>
  <si>
    <t>土</t>
    <rPh sb="0" eb="1">
      <t>ド</t>
    </rPh>
    <phoneticPr fontId="17"/>
  </si>
  <si>
    <t>機能材料G　中野部員</t>
    <rPh sb="0" eb="2">
      <t>ザイリョウ</t>
    </rPh>
    <rPh sb="4" eb="6">
      <t>ナカノ</t>
    </rPh>
    <rPh sb="6" eb="8">
      <t>ブイン</t>
    </rPh>
    <phoneticPr fontId="2"/>
  </si>
  <si>
    <t>メタルミー　ヘヤライン金艶</t>
    <rPh sb="11" eb="12">
      <t>キン</t>
    </rPh>
    <rPh sb="12" eb="13">
      <t>ツヤ</t>
    </rPh>
    <phoneticPr fontId="17"/>
  </si>
  <si>
    <t>メタルミー　ヘヤライン銅艶</t>
    <rPh sb="11" eb="12">
      <t>ドウ</t>
    </rPh>
    <rPh sb="12" eb="13">
      <t>ツヤ</t>
    </rPh>
    <phoneticPr fontId="17"/>
  </si>
  <si>
    <t>2024/03/21</t>
  </si>
  <si>
    <t>2024/04/19</t>
  </si>
  <si>
    <t>2024/04/26</t>
  </si>
  <si>
    <t>2024/05/10</t>
  </si>
  <si>
    <t>2024/05/07</t>
  </si>
  <si>
    <t>2024/05/13</t>
  </si>
  <si>
    <t>2024/05/15</t>
  </si>
  <si>
    <t>2024/04/15</t>
  </si>
  <si>
    <t>2024/04/22</t>
  </si>
  <si>
    <t>2024/04/30</t>
  </si>
  <si>
    <t>2024/03/25</t>
  </si>
  <si>
    <t>4/2</t>
    <phoneticPr fontId="17"/>
  </si>
  <si>
    <t>火</t>
    <rPh sb="0" eb="1">
      <t>ヒ</t>
    </rPh>
    <phoneticPr fontId="17"/>
  </si>
  <si>
    <t>4/3</t>
    <phoneticPr fontId="17"/>
  </si>
  <si>
    <t>水</t>
    <rPh sb="0" eb="1">
      <t>スイ</t>
    </rPh>
    <phoneticPr fontId="17"/>
  </si>
  <si>
    <t>3H</t>
    <phoneticPr fontId="20"/>
  </si>
  <si>
    <t>T62M</t>
    <phoneticPr fontId="17"/>
  </si>
  <si>
    <t>4/4</t>
    <phoneticPr fontId="17"/>
  </si>
  <si>
    <t>木</t>
    <rPh sb="0" eb="1">
      <t>モク</t>
    </rPh>
    <phoneticPr fontId="17"/>
  </si>
  <si>
    <t>4/5</t>
    <phoneticPr fontId="17"/>
  </si>
  <si>
    <t>金</t>
    <rPh sb="0" eb="1">
      <t>キン</t>
    </rPh>
    <phoneticPr fontId="17"/>
  </si>
  <si>
    <t>4/6</t>
    <phoneticPr fontId="17"/>
  </si>
  <si>
    <t>土</t>
    <rPh sb="0" eb="1">
      <t>ド</t>
    </rPh>
    <phoneticPr fontId="17"/>
  </si>
  <si>
    <t>4/7</t>
    <phoneticPr fontId="17"/>
  </si>
  <si>
    <t>日</t>
    <rPh sb="0" eb="1">
      <t>ニチ</t>
    </rPh>
    <phoneticPr fontId="17"/>
  </si>
  <si>
    <t>4/8</t>
    <phoneticPr fontId="17"/>
  </si>
  <si>
    <t>月</t>
    <rPh sb="0" eb="1">
      <t>ゲツ</t>
    </rPh>
    <phoneticPr fontId="17"/>
  </si>
  <si>
    <t>4/9</t>
    <phoneticPr fontId="17"/>
  </si>
  <si>
    <t>4/10</t>
    <phoneticPr fontId="17"/>
  </si>
  <si>
    <t>4/13</t>
    <phoneticPr fontId="17"/>
  </si>
  <si>
    <t>4/14</t>
    <phoneticPr fontId="17"/>
  </si>
  <si>
    <t>4/1</t>
    <phoneticPr fontId="17"/>
  </si>
  <si>
    <t>T70M</t>
    <phoneticPr fontId="17"/>
  </si>
  <si>
    <t>A1</t>
  </si>
  <si>
    <t>バリアロックス</t>
  </si>
  <si>
    <t>31HG</t>
  </si>
  <si>
    <t>3C</t>
  </si>
  <si>
    <t>2024/04</t>
  </si>
  <si>
    <t>31HGM</t>
  </si>
  <si>
    <t>HG</t>
  </si>
  <si>
    <t>3A</t>
  </si>
  <si>
    <t>3G</t>
  </si>
  <si>
    <t>HGM</t>
  </si>
  <si>
    <t>SBJ2</t>
  </si>
  <si>
    <t>3M5</t>
  </si>
  <si>
    <t>A1C</t>
  </si>
  <si>
    <t>バリアロックスコート</t>
  </si>
  <si>
    <t>14HGCW</t>
  </si>
  <si>
    <t>31HGCR</t>
  </si>
  <si>
    <t>31HGMCR</t>
  </si>
  <si>
    <t>CXR</t>
  </si>
  <si>
    <t>33</t>
  </si>
  <si>
    <t>3M35</t>
  </si>
  <si>
    <t>3M55</t>
  </si>
  <si>
    <t>EGC1</t>
  </si>
  <si>
    <t>3F</t>
  </si>
  <si>
    <t>3M</t>
  </si>
  <si>
    <t>HGAS</t>
  </si>
  <si>
    <t>HGCA</t>
  </si>
  <si>
    <t>HGCH</t>
  </si>
  <si>
    <t>HGCR</t>
  </si>
  <si>
    <t>3B</t>
  </si>
  <si>
    <t>HGCW</t>
  </si>
  <si>
    <t>HGCX</t>
  </si>
  <si>
    <t>HGMAS</t>
  </si>
  <si>
    <t>HGMCR</t>
  </si>
  <si>
    <t>HGMCW</t>
  </si>
  <si>
    <t>RGCR</t>
  </si>
  <si>
    <t>RGCW</t>
  </si>
  <si>
    <t>SBMR2</t>
  </si>
  <si>
    <t>3IF</t>
  </si>
  <si>
    <t>SBR2</t>
  </si>
  <si>
    <t>3I</t>
  </si>
  <si>
    <t>SBR2A</t>
  </si>
  <si>
    <t>SBR2AK</t>
  </si>
  <si>
    <t>SBR2E</t>
  </si>
  <si>
    <t>SBR2I</t>
  </si>
  <si>
    <t>SBR2K</t>
  </si>
  <si>
    <t>BR</t>
  </si>
  <si>
    <t>ＢＲ－ＰＥＴ</t>
  </si>
  <si>
    <t>1005</t>
  </si>
  <si>
    <t>1005CR</t>
  </si>
  <si>
    <t>1012</t>
  </si>
  <si>
    <t>3B7</t>
  </si>
  <si>
    <t>3C7</t>
  </si>
  <si>
    <t>3L5</t>
  </si>
  <si>
    <t>1012A</t>
  </si>
  <si>
    <t>7F</t>
  </si>
  <si>
    <t>1012ED</t>
  </si>
  <si>
    <t>7FT</t>
  </si>
  <si>
    <t>1012J</t>
  </si>
  <si>
    <t>1012JD</t>
  </si>
  <si>
    <t>1012M</t>
  </si>
  <si>
    <t>1012TJ</t>
  </si>
  <si>
    <t>1019</t>
  </si>
  <si>
    <t>3A5</t>
  </si>
  <si>
    <t>1062</t>
  </si>
  <si>
    <t>1075</t>
  </si>
  <si>
    <t>1075N</t>
  </si>
  <si>
    <t>1312</t>
  </si>
  <si>
    <t>3C5</t>
  </si>
  <si>
    <t>1312M</t>
  </si>
  <si>
    <t>1412</t>
  </si>
  <si>
    <t>1512</t>
  </si>
  <si>
    <t>1517</t>
  </si>
  <si>
    <t>1712TTB</t>
  </si>
  <si>
    <t>1812</t>
  </si>
  <si>
    <t>BRON</t>
  </si>
  <si>
    <t>ＢＲ－ＯＮ</t>
  </si>
  <si>
    <t>7012</t>
  </si>
  <si>
    <t>3</t>
  </si>
  <si>
    <t>331</t>
  </si>
  <si>
    <t>330</t>
  </si>
  <si>
    <t>BKUN</t>
  </si>
  <si>
    <t>9</t>
  </si>
  <si>
    <t>3313</t>
  </si>
  <si>
    <t>3321</t>
  </si>
  <si>
    <t>MFSBS</t>
  </si>
  <si>
    <t>WDS</t>
  </si>
  <si>
    <t>CF10</t>
  </si>
  <si>
    <t>”トレテック”</t>
  </si>
  <si>
    <t>7111</t>
  </si>
  <si>
    <t>2</t>
  </si>
  <si>
    <t>7111D</t>
  </si>
  <si>
    <t>7116B</t>
  </si>
  <si>
    <t>7116DB</t>
  </si>
  <si>
    <t>7121</t>
  </si>
  <si>
    <t>7121D</t>
  </si>
  <si>
    <t>7232</t>
  </si>
  <si>
    <t>7232D</t>
  </si>
  <si>
    <t>7234D</t>
  </si>
  <si>
    <t>7332</t>
  </si>
  <si>
    <t>8</t>
  </si>
  <si>
    <t>7332D</t>
  </si>
  <si>
    <t>7332K</t>
  </si>
  <si>
    <t>7332N</t>
  </si>
  <si>
    <t>7461</t>
  </si>
  <si>
    <t>7531</t>
  </si>
  <si>
    <t>7531D</t>
  </si>
  <si>
    <t>7536DG</t>
  </si>
  <si>
    <t>7536G</t>
  </si>
  <si>
    <t>7571</t>
  </si>
  <si>
    <t>7571D</t>
  </si>
  <si>
    <t>7721</t>
  </si>
  <si>
    <t>7721D</t>
  </si>
  <si>
    <t>7726DP</t>
  </si>
  <si>
    <t>7726DY</t>
  </si>
  <si>
    <t>7726P</t>
  </si>
  <si>
    <t>7726Y</t>
  </si>
  <si>
    <t>7832</t>
  </si>
  <si>
    <t>7832C</t>
  </si>
  <si>
    <t>7832C_</t>
  </si>
  <si>
    <t>7A62</t>
  </si>
  <si>
    <t>7E42</t>
  </si>
  <si>
    <t>7H52</t>
  </si>
  <si>
    <t>7H52D</t>
  </si>
  <si>
    <t>7H56G</t>
  </si>
  <si>
    <t>A521</t>
  </si>
  <si>
    <t>CF470</t>
  </si>
  <si>
    <t>CF470SB</t>
  </si>
  <si>
    <t>CF47W</t>
  </si>
  <si>
    <t>L252</t>
  </si>
  <si>
    <t>72C</t>
  </si>
  <si>
    <t>R034</t>
  </si>
  <si>
    <t>R307K</t>
  </si>
  <si>
    <t>S500A</t>
  </si>
  <si>
    <t>CF100</t>
  </si>
  <si>
    <t>”トレファン”ＮＯ</t>
  </si>
  <si>
    <t>9021T</t>
  </si>
  <si>
    <t>9041</t>
  </si>
  <si>
    <t>9405S</t>
  </si>
  <si>
    <t>9407</t>
  </si>
  <si>
    <t>9710B4</t>
  </si>
  <si>
    <t>9720</t>
  </si>
  <si>
    <t>9720NK</t>
  </si>
  <si>
    <t>CF100P</t>
  </si>
  <si>
    <t>ＣＦフィルム</t>
  </si>
  <si>
    <t>9501A</t>
  </si>
  <si>
    <t>9501C</t>
  </si>
  <si>
    <t>9501E</t>
  </si>
  <si>
    <t>9501F</t>
  </si>
  <si>
    <t>9501G</t>
  </si>
  <si>
    <t>9501H</t>
  </si>
  <si>
    <t>9501HG</t>
  </si>
  <si>
    <t>9501K2</t>
  </si>
  <si>
    <t>9501KF</t>
  </si>
  <si>
    <t>9521T</t>
  </si>
  <si>
    <t>CX8</t>
  </si>
  <si>
    <t>CF10P</t>
  </si>
  <si>
    <t>7601A</t>
  </si>
  <si>
    <t>7601AA</t>
  </si>
  <si>
    <t>7601C</t>
  </si>
  <si>
    <t>7601EA</t>
  </si>
  <si>
    <t>7601EB</t>
  </si>
  <si>
    <t>7601ED</t>
  </si>
  <si>
    <t>7601EK</t>
  </si>
  <si>
    <t>7601TA</t>
  </si>
  <si>
    <t>7603B</t>
  </si>
  <si>
    <t>7603C</t>
  </si>
  <si>
    <t>7603MS</t>
  </si>
  <si>
    <t>761HF4</t>
  </si>
  <si>
    <t>GR01</t>
  </si>
  <si>
    <t>GR02</t>
  </si>
  <si>
    <t>CPP</t>
  </si>
  <si>
    <t>3419</t>
  </si>
  <si>
    <t>3429K</t>
  </si>
  <si>
    <t>3501</t>
  </si>
  <si>
    <t>3701J</t>
  </si>
  <si>
    <t>3721</t>
  </si>
  <si>
    <t>3951</t>
  </si>
  <si>
    <t>9801TS</t>
  </si>
  <si>
    <t>ZK100</t>
  </si>
  <si>
    <t>ZK205</t>
  </si>
  <si>
    <t>ZK207</t>
  </si>
  <si>
    <t>ZK209</t>
  </si>
  <si>
    <t>ZK401</t>
  </si>
  <si>
    <t>ZK500</t>
  </si>
  <si>
    <t>ZK500R</t>
  </si>
  <si>
    <t>ZK59H9</t>
  </si>
  <si>
    <t>ZK93FM</t>
  </si>
  <si>
    <t>ZK99S</t>
  </si>
  <si>
    <t>F-FILM</t>
  </si>
  <si>
    <t>”トヨフロン”フィルム</t>
  </si>
  <si>
    <t>E</t>
  </si>
  <si>
    <t>EAM</t>
  </si>
  <si>
    <t>ER</t>
  </si>
  <si>
    <t>EV2</t>
  </si>
  <si>
    <t>F</t>
  </si>
  <si>
    <t>FR</t>
  </si>
  <si>
    <t>FV</t>
  </si>
  <si>
    <t>F-LH</t>
  </si>
  <si>
    <t>FL</t>
  </si>
  <si>
    <t>F-PC</t>
  </si>
  <si>
    <t>FRP</t>
  </si>
  <si>
    <t>MCL</t>
  </si>
  <si>
    <t>メタクリアー</t>
  </si>
  <si>
    <t>MCPET</t>
  </si>
  <si>
    <t>32</t>
  </si>
  <si>
    <t>MCP</t>
  </si>
  <si>
    <t>ＶＭ－ＣＰＰ</t>
  </si>
  <si>
    <t>2203</t>
  </si>
  <si>
    <t>2703</t>
  </si>
  <si>
    <t>3K</t>
  </si>
  <si>
    <t>3S</t>
  </si>
  <si>
    <t>2803EZ</t>
  </si>
  <si>
    <t>MOP</t>
  </si>
  <si>
    <t>ＶＭ－ＯＰＰ</t>
  </si>
  <si>
    <t>MS33</t>
  </si>
  <si>
    <t>7C</t>
  </si>
  <si>
    <t>MPET</t>
  </si>
  <si>
    <t>ＶＭ－ＰＥＴ</t>
  </si>
  <si>
    <t>1018</t>
  </si>
  <si>
    <t>8A</t>
  </si>
  <si>
    <t>1200</t>
  </si>
  <si>
    <t>1300</t>
  </si>
  <si>
    <t>1310</t>
  </si>
  <si>
    <t>7A</t>
  </si>
  <si>
    <t>1310F</t>
  </si>
  <si>
    <t>1310M</t>
  </si>
  <si>
    <t>1360</t>
  </si>
  <si>
    <t>1510</t>
  </si>
  <si>
    <t>1519</t>
  </si>
  <si>
    <t>PFR1010</t>
  </si>
  <si>
    <t>VM1010</t>
  </si>
  <si>
    <t>OPP</t>
  </si>
  <si>
    <t>トレファンＢＯ</t>
  </si>
  <si>
    <t>Y333</t>
  </si>
  <si>
    <t>6603</t>
  </si>
  <si>
    <t>YT49</t>
  </si>
  <si>
    <t>PET</t>
  </si>
  <si>
    <t>ルミラー</t>
  </si>
  <si>
    <t>F865</t>
  </si>
  <si>
    <t>6360</t>
  </si>
  <si>
    <t>P60</t>
  </si>
  <si>
    <t>6370</t>
  </si>
  <si>
    <t>6371</t>
  </si>
  <si>
    <t>6372</t>
  </si>
  <si>
    <t>6376</t>
  </si>
  <si>
    <t>6377</t>
  </si>
  <si>
    <t>6378</t>
  </si>
  <si>
    <t>P60C</t>
  </si>
  <si>
    <t>P60D</t>
  </si>
  <si>
    <t>P60K</t>
  </si>
  <si>
    <t>6260</t>
  </si>
  <si>
    <t>P60M</t>
  </si>
  <si>
    <t>P60P</t>
  </si>
  <si>
    <t>P60T</t>
  </si>
  <si>
    <t>P60W</t>
  </si>
  <si>
    <t>タフトップ</t>
  </si>
  <si>
    <t>XL</t>
  </si>
  <si>
    <t>エクセル</t>
  </si>
  <si>
    <t>XP35P</t>
  </si>
  <si>
    <t>6240</t>
  </si>
  <si>
    <t>XP37</t>
  </si>
  <si>
    <t>XP37C</t>
  </si>
  <si>
    <t>XP55</t>
  </si>
  <si>
    <t>HG6</t>
  </si>
  <si>
    <t>31HGCX</t>
  </si>
  <si>
    <t>HGCX6</t>
  </si>
  <si>
    <t>SBR2-T</t>
  </si>
  <si>
    <t>SBR2A6</t>
  </si>
  <si>
    <t>SBR2AT</t>
  </si>
  <si>
    <t>7832CH</t>
  </si>
  <si>
    <t>R405CZ</t>
  </si>
  <si>
    <t>ZK207Y</t>
  </si>
  <si>
    <t>EA</t>
  </si>
  <si>
    <t>3S5G</t>
  </si>
  <si>
    <t>27114</t>
  </si>
  <si>
    <t>7116DP</t>
  </si>
  <si>
    <t>7236CB</t>
  </si>
  <si>
    <t>7721HT</t>
  </si>
  <si>
    <t>7A82</t>
  </si>
  <si>
    <t>A521U</t>
  </si>
  <si>
    <t>CF567</t>
  </si>
  <si>
    <t>CF588</t>
  </si>
  <si>
    <t>CF604</t>
  </si>
  <si>
    <t>CF619E</t>
  </si>
  <si>
    <t>CF622E</t>
  </si>
  <si>
    <t>CF625</t>
  </si>
  <si>
    <t>CF626</t>
  </si>
  <si>
    <t>CF657</t>
  </si>
  <si>
    <t>L352</t>
  </si>
  <si>
    <t>L356OR</t>
  </si>
  <si>
    <t>R210H</t>
  </si>
  <si>
    <t>R213</t>
  </si>
  <si>
    <t>R587FB</t>
  </si>
  <si>
    <t>72B</t>
  </si>
  <si>
    <t>R587KB</t>
  </si>
  <si>
    <t>R701</t>
  </si>
  <si>
    <t>R701CB</t>
  </si>
  <si>
    <t>R702</t>
  </si>
  <si>
    <t>SC470</t>
  </si>
  <si>
    <t>9061</t>
  </si>
  <si>
    <t>9500SE</t>
  </si>
  <si>
    <t>3301S</t>
  </si>
  <si>
    <t>3700J</t>
  </si>
  <si>
    <t>3701JK</t>
  </si>
  <si>
    <t>9801RT</t>
  </si>
  <si>
    <t>ZK500X</t>
  </si>
  <si>
    <t>ＤＭＳ</t>
  </si>
  <si>
    <t>FVF</t>
  </si>
  <si>
    <t>FVF-2</t>
  </si>
  <si>
    <t>機能材料</t>
  </si>
  <si>
    <t>39H</t>
  </si>
  <si>
    <t>2704</t>
  </si>
  <si>
    <t>2755</t>
  </si>
  <si>
    <t>MNKKCT</t>
  </si>
  <si>
    <t>39C</t>
  </si>
  <si>
    <t>MNMKTT</t>
  </si>
  <si>
    <t>27111</t>
  </si>
  <si>
    <t>27118</t>
  </si>
  <si>
    <t>CF633A</t>
  </si>
  <si>
    <t>CF634F</t>
  </si>
  <si>
    <t>CF636</t>
  </si>
  <si>
    <t>R304C</t>
  </si>
  <si>
    <t>R307CBK</t>
  </si>
  <si>
    <t>FBC101</t>
  </si>
  <si>
    <t>STHCE2</t>
  </si>
  <si>
    <t>4/4</t>
    <phoneticPr fontId="17"/>
  </si>
  <si>
    <t>木</t>
    <rPh sb="0" eb="1">
      <t>モク</t>
    </rPh>
    <phoneticPr fontId="17"/>
  </si>
  <si>
    <t>4/5</t>
    <phoneticPr fontId="17"/>
  </si>
  <si>
    <t>金</t>
    <rPh sb="0" eb="1">
      <t>キン</t>
    </rPh>
    <phoneticPr fontId="17"/>
  </si>
  <si>
    <t>4/8</t>
    <phoneticPr fontId="17"/>
  </si>
  <si>
    <t>月</t>
    <rPh sb="0" eb="1">
      <t>ゲツ</t>
    </rPh>
    <phoneticPr fontId="17"/>
  </si>
  <si>
    <t>4/25</t>
    <phoneticPr fontId="17"/>
  </si>
  <si>
    <t>4/26</t>
    <phoneticPr fontId="17"/>
  </si>
  <si>
    <t>4/15</t>
    <phoneticPr fontId="17"/>
  </si>
  <si>
    <t>月</t>
    <rPh sb="0" eb="1">
      <t>ゲツ</t>
    </rPh>
    <phoneticPr fontId="17"/>
  </si>
  <si>
    <t>4/16</t>
  </si>
  <si>
    <t>4/17</t>
  </si>
  <si>
    <t>4/20</t>
    <phoneticPr fontId="17"/>
  </si>
  <si>
    <t>土</t>
    <rPh sb="0" eb="1">
      <t>ド</t>
    </rPh>
    <phoneticPr fontId="17"/>
  </si>
  <si>
    <t>4/21</t>
    <phoneticPr fontId="17"/>
  </si>
  <si>
    <t>日</t>
    <rPh sb="0" eb="1">
      <t>ニチ</t>
    </rPh>
    <phoneticPr fontId="17"/>
  </si>
  <si>
    <t>4/27</t>
    <phoneticPr fontId="17"/>
  </si>
  <si>
    <t>4/28</t>
    <phoneticPr fontId="17"/>
  </si>
  <si>
    <t>2024/04/04</t>
  </si>
  <si>
    <t>2024/04/25</t>
  </si>
  <si>
    <t>4/12</t>
    <phoneticPr fontId="17"/>
  </si>
  <si>
    <t>金</t>
    <rPh sb="0" eb="1">
      <t>キン</t>
    </rPh>
    <phoneticPr fontId="17"/>
  </si>
  <si>
    <t>安全カメラ配線工事(原反・製品ストッカー内)</t>
    <rPh sb="0" eb="2">
      <t>アンゼン</t>
    </rPh>
    <rPh sb="5" eb="7">
      <t>ハイセン</t>
    </rPh>
    <rPh sb="6" eb="8">
      <t>コウジ</t>
    </rPh>
    <rPh sb="20" eb="21">
      <t>ナイ</t>
    </rPh>
    <phoneticPr fontId="17"/>
  </si>
  <si>
    <t>ＬＥＤ工事、安全カメラ工事</t>
    <rPh sb="2" eb="4">
      <t>コウジ</t>
    </rPh>
    <rPh sb="6" eb="8">
      <t>アンゼン</t>
    </rPh>
    <rPh sb="11" eb="13">
      <t>コウジ</t>
    </rPh>
    <phoneticPr fontId="17"/>
  </si>
  <si>
    <t>安全カメラ工事</t>
    <phoneticPr fontId="17"/>
  </si>
  <si>
    <t>2024/04/05</t>
  </si>
  <si>
    <t>2024/05/29</t>
  </si>
  <si>
    <t>2024/04/09</t>
  </si>
  <si>
    <t>月</t>
    <rPh sb="0" eb="1">
      <t>ゲツ</t>
    </rPh>
    <phoneticPr fontId="17"/>
  </si>
  <si>
    <t>金</t>
    <rPh sb="0" eb="1">
      <t>キン</t>
    </rPh>
    <phoneticPr fontId="17"/>
  </si>
  <si>
    <t>5/3</t>
    <phoneticPr fontId="17"/>
  </si>
  <si>
    <t>公休</t>
    <rPh sb="0" eb="2">
      <t>コウキュウ</t>
    </rPh>
    <phoneticPr fontId="17"/>
  </si>
  <si>
    <t>5/4</t>
    <phoneticPr fontId="17"/>
  </si>
  <si>
    <t>土</t>
    <rPh sb="0" eb="1">
      <t>ド</t>
    </rPh>
    <phoneticPr fontId="17"/>
  </si>
  <si>
    <t>5/5</t>
    <phoneticPr fontId="17"/>
  </si>
  <si>
    <t>日</t>
    <rPh sb="0" eb="1">
      <t>ニチ</t>
    </rPh>
    <phoneticPr fontId="17"/>
  </si>
  <si>
    <t>5/6</t>
    <phoneticPr fontId="17"/>
  </si>
  <si>
    <t>※５BT分　CF4直出し</t>
    <rPh sb="3" eb="4">
      <t>ブン</t>
    </rPh>
    <rPh sb="8" eb="9">
      <t>チョク</t>
    </rPh>
    <rPh sb="9" eb="10">
      <t>ダ</t>
    </rPh>
    <phoneticPr fontId="17"/>
  </si>
  <si>
    <t>※輸出梱包</t>
    <rPh sb="0" eb="2">
      <t>ユシュツ</t>
    </rPh>
    <rPh sb="2" eb="4">
      <t>コンポウ</t>
    </rPh>
    <phoneticPr fontId="17"/>
  </si>
  <si>
    <t>2024/05/21</t>
  </si>
  <si>
    <t>2024/05/31</t>
  </si>
  <si>
    <t>2024/05/20</t>
  </si>
  <si>
    <t>積水化学工業多賀工場</t>
  </si>
  <si>
    <t>2024/06/03</t>
  </si>
  <si>
    <t>2024/05/24</t>
  </si>
  <si>
    <t>メタルミー　ネーマー銀消改　Ｂ　輸出梱包</t>
  </si>
  <si>
    <t>2024/05/30</t>
  </si>
  <si>
    <t>2024/05/17</t>
  </si>
  <si>
    <t>2024/05/22</t>
  </si>
  <si>
    <t>2024/05/28</t>
  </si>
  <si>
    <t>5/1</t>
    <phoneticPr fontId="17"/>
  </si>
  <si>
    <t>水</t>
    <rPh sb="0" eb="1">
      <t>スイ</t>
    </rPh>
    <phoneticPr fontId="17"/>
  </si>
  <si>
    <t>5/2</t>
    <phoneticPr fontId="17"/>
  </si>
  <si>
    <t>木</t>
    <rPh sb="0" eb="1">
      <t>モク</t>
    </rPh>
    <phoneticPr fontId="17"/>
  </si>
  <si>
    <t>5/7</t>
    <phoneticPr fontId="17"/>
  </si>
  <si>
    <t>火</t>
    <rPh sb="0" eb="1">
      <t>ヒ</t>
    </rPh>
    <phoneticPr fontId="17"/>
  </si>
  <si>
    <t>5/8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</si>
  <si>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</si>
  <si>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</si>
  <si>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5/12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</si>
  <si>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</si>
  <si>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</si>
  <si>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月</t>
    <rPh sb="0" eb="1">
      <t>ゲツ</t>
    </rPh>
    <phoneticPr fontId="17"/>
  </si>
  <si>
    <t>4/29</t>
    <phoneticPr fontId="17"/>
  </si>
  <si>
    <t>4/30</t>
    <phoneticPr fontId="17"/>
  </si>
  <si>
    <t>5/3</t>
    <phoneticPr fontId="17"/>
  </si>
  <si>
    <t>5/4</t>
    <phoneticPr fontId="17"/>
  </si>
  <si>
    <t>5/5</t>
    <phoneticPr fontId="17"/>
  </si>
  <si>
    <t>5/6</t>
    <phoneticPr fontId="17"/>
  </si>
  <si>
    <t>5/1</t>
    <phoneticPr fontId="17"/>
  </si>
  <si>
    <t>水</t>
    <rPh sb="0" eb="1">
      <t>スイ</t>
    </rPh>
    <phoneticPr fontId="17"/>
  </si>
  <si>
    <t>5/11</t>
    <phoneticPr fontId="17"/>
  </si>
  <si>
    <t>土</t>
    <rPh sb="0" eb="1">
      <t>ド</t>
    </rPh>
    <phoneticPr fontId="17"/>
  </si>
  <si>
    <t>3SNMLBMTSF</t>
  </si>
  <si>
    <t>U</t>
    <phoneticPr fontId="17"/>
  </si>
  <si>
    <t>5/8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</si>
  <si>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</si>
  <si>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</si>
  <si>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5/14</t>
    <phoneticPr fontId="17"/>
  </si>
  <si>
    <t>火</t>
    <rPh sb="0" eb="1">
      <t>ヒ</t>
    </rPh>
    <phoneticPr fontId="17"/>
  </si>
  <si>
    <t>Ｕ</t>
    <phoneticPr fontId="17"/>
  </si>
  <si>
    <t>3SNMLBMTSF50</t>
  </si>
  <si>
    <t>5/29</t>
    <phoneticPr fontId="17"/>
  </si>
  <si>
    <t>5/30</t>
    <phoneticPr fontId="17"/>
  </si>
  <si>
    <t>木</t>
    <rPh sb="0" eb="1">
      <t>モク</t>
    </rPh>
    <phoneticPr fontId="17"/>
  </si>
  <si>
    <t>5/17</t>
    <phoneticPr fontId="17"/>
  </si>
  <si>
    <t>金</t>
    <rPh sb="0" eb="1">
      <t>キン</t>
    </rPh>
    <phoneticPr fontId="17"/>
  </si>
  <si>
    <t>5/18</t>
    <phoneticPr fontId="17"/>
  </si>
  <si>
    <t>土</t>
    <rPh sb="0" eb="1">
      <t>ド</t>
    </rPh>
    <phoneticPr fontId="17"/>
  </si>
  <si>
    <t>5/19</t>
    <phoneticPr fontId="17"/>
  </si>
  <si>
    <t>日</t>
    <rPh sb="0" eb="1">
      <t>ニチ</t>
    </rPh>
    <phoneticPr fontId="17"/>
  </si>
  <si>
    <t>5/22</t>
    <phoneticPr fontId="17"/>
  </si>
  <si>
    <t>水</t>
    <rPh sb="0" eb="1">
      <t>スイ</t>
    </rPh>
    <phoneticPr fontId="17"/>
  </si>
  <si>
    <t>5/23</t>
    <phoneticPr fontId="17"/>
  </si>
  <si>
    <t>5/24</t>
    <phoneticPr fontId="17"/>
  </si>
  <si>
    <t>5/25</t>
    <phoneticPr fontId="17"/>
  </si>
  <si>
    <t>5/26</t>
    <phoneticPr fontId="17"/>
  </si>
  <si>
    <t>6/1</t>
    <phoneticPr fontId="17"/>
  </si>
  <si>
    <t>6/2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</si>
  <si>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</si>
  <si>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S28M</t>
    <phoneticPr fontId="17"/>
  </si>
  <si>
    <t>機能材料G　鈴木課員</t>
    <rPh sb="0" eb="4">
      <t>キノウザイリョウ</t>
    </rPh>
    <rPh sb="6" eb="8">
      <t>スズキ</t>
    </rPh>
    <rPh sb="8" eb="10">
      <t>カイン</t>
    </rPh>
    <phoneticPr fontId="13"/>
  </si>
  <si>
    <t>5/10</t>
    <phoneticPr fontId="17"/>
  </si>
  <si>
    <t>金</t>
    <rPh sb="0" eb="1">
      <t>キン</t>
    </rPh>
    <phoneticPr fontId="17"/>
  </si>
  <si>
    <t>－</t>
    <phoneticPr fontId="17"/>
  </si>
  <si>
    <t>6ｲﾝﾁABS</t>
    <phoneticPr fontId="17"/>
  </si>
  <si>
    <t>Metalumy TAF-D8テスト</t>
    <phoneticPr fontId="17"/>
  </si>
  <si>
    <t>5/11</t>
    <phoneticPr fontId="17"/>
  </si>
  <si>
    <t>土</t>
    <rPh sb="0" eb="1">
      <t>ド</t>
    </rPh>
    <phoneticPr fontId="17"/>
  </si>
  <si>
    <t>ニップロール交換</t>
    <rPh sb="5" eb="7">
      <t>コウカン</t>
    </rPh>
    <phoneticPr fontId="17"/>
  </si>
  <si>
    <t>3SNMLBMSF</t>
  </si>
  <si>
    <t>作業指示なし</t>
    <rPh sb="0" eb="2">
      <t>サギョウ</t>
    </rPh>
    <rPh sb="2" eb="4">
      <t>シジ</t>
    </rPh>
    <phoneticPr fontId="17"/>
  </si>
  <si>
    <t>金</t>
    <rPh sb="0" eb="1">
      <t>キン</t>
    </rPh>
    <phoneticPr fontId="17"/>
  </si>
  <si>
    <t>ﾘｰﾄﾞ作成</t>
    <rPh sb="4" eb="6">
      <t>サクセイ</t>
    </rPh>
    <phoneticPr fontId="17"/>
  </si>
  <si>
    <t>5/20</t>
    <phoneticPr fontId="17"/>
  </si>
  <si>
    <t>月</t>
    <rPh sb="0" eb="1">
      <t>ゲツ</t>
    </rPh>
    <phoneticPr fontId="17"/>
  </si>
  <si>
    <t>※工程管理Ｓ４に修正済み</t>
    <rPh sb="0" eb="2">
      <t>コウテイ</t>
    </rPh>
    <rPh sb="2" eb="4">
      <t>カンリ</t>
    </rPh>
    <rPh sb="8" eb="10">
      <t>シュウセイ</t>
    </rPh>
    <rPh sb="9" eb="10">
      <t>ズ</t>
    </rPh>
    <phoneticPr fontId="17"/>
  </si>
  <si>
    <t>ＯＰＰ蒸着テスト用原反巻足し</t>
    <rPh sb="2" eb="4">
      <t>ジョウチャク</t>
    </rPh>
    <rPh sb="7" eb="8">
      <t>ヨウ</t>
    </rPh>
    <rPh sb="8" eb="10">
      <t>ゲンタン</t>
    </rPh>
    <rPh sb="10" eb="11">
      <t>マキ</t>
    </rPh>
    <rPh sb="11" eb="12">
      <t>タ</t>
    </rPh>
    <phoneticPr fontId="17"/>
  </si>
  <si>
    <t>機能材料ＫＮＺ福原価</t>
  </si>
  <si>
    <t>MCR</t>
  </si>
  <si>
    <t>Ｍｅｔａｌｕｍｙ　ＣＲ</t>
  </si>
  <si>
    <t>2024/05/16</t>
  </si>
  <si>
    <t>Metalumy CR</t>
    <phoneticPr fontId="20"/>
  </si>
  <si>
    <t>MCR</t>
    <phoneticPr fontId="20"/>
  </si>
  <si>
    <t>6/3</t>
    <phoneticPr fontId="17"/>
  </si>
  <si>
    <t>月</t>
    <rPh sb="0" eb="1">
      <t>ゲツ</t>
    </rPh>
    <phoneticPr fontId="17"/>
  </si>
  <si>
    <t>6/4</t>
    <phoneticPr fontId="17"/>
  </si>
  <si>
    <t>火</t>
    <rPh sb="0" eb="1">
      <t>ヒ</t>
    </rPh>
    <phoneticPr fontId="17"/>
  </si>
  <si>
    <t>－</t>
    <phoneticPr fontId="17"/>
  </si>
  <si>
    <t>※製品ロット：４０５０８３５１０２００６</t>
    <rPh sb="0" eb="2">
      <t>セイヒン</t>
    </rPh>
    <phoneticPr fontId="17"/>
  </si>
  <si>
    <t>MSF</t>
    <phoneticPr fontId="17"/>
  </si>
  <si>
    <r>
      <t>メタルミー　Ｓ　</t>
    </r>
    <r>
      <rPr>
        <b/>
        <sz val="16"/>
        <color rgb="FF0000FF"/>
        <rFont val="ＭＳ Ｐゴシック"/>
        <family val="3"/>
        <charset val="128"/>
        <scheme val="major"/>
      </rPr>
      <t>巻き返し検品</t>
    </r>
    <rPh sb="8" eb="9">
      <t>マ</t>
    </rPh>
    <rPh sb="10" eb="11">
      <t>カエ</t>
    </rPh>
    <rPh sb="12" eb="14">
      <t>ケンピン</t>
    </rPh>
    <phoneticPr fontId="17"/>
  </si>
  <si>
    <t>※製品ロット：４０４０４３５１０１００１</t>
    <rPh sb="0" eb="2">
      <t>セイヒン</t>
    </rPh>
    <phoneticPr fontId="17"/>
  </si>
  <si>
    <t>3SNMLBMNGTBF</t>
  </si>
  <si>
    <t>3SNMLBMNGTBF25</t>
  </si>
  <si>
    <r>
      <t>メタルミー　ネーマー　銀艶　Ｂ　</t>
    </r>
    <r>
      <rPr>
        <b/>
        <sz val="16"/>
        <color rgb="FF0000FF"/>
        <rFont val="ＭＳ Ｐゴシック"/>
        <family val="3"/>
        <charset val="128"/>
        <scheme val="major"/>
      </rPr>
      <t>巻き返し検品</t>
    </r>
    <rPh sb="16" eb="17">
      <t>マ</t>
    </rPh>
    <rPh sb="18" eb="19">
      <t>カエ</t>
    </rPh>
    <rPh sb="20" eb="22">
      <t>ケンピン</t>
    </rPh>
    <phoneticPr fontId="17"/>
  </si>
  <si>
    <t>※製品ロット：４０４０９３５１０５００１</t>
    <rPh sb="0" eb="2">
      <t>セイヒン</t>
    </rPh>
    <phoneticPr fontId="17"/>
  </si>
  <si>
    <t>5/23</t>
    <phoneticPr fontId="17"/>
  </si>
  <si>
    <t>木</t>
    <rPh sb="0" eb="1">
      <t>モク</t>
    </rPh>
    <phoneticPr fontId="17"/>
  </si>
  <si>
    <t>※製品幅変更予定</t>
    <rPh sb="0" eb="2">
      <t>セイヒン</t>
    </rPh>
    <rPh sb="2" eb="3">
      <t>ハバ</t>
    </rPh>
    <rPh sb="3" eb="5">
      <t>ヘンコウ</t>
    </rPh>
    <rPh sb="5" eb="7">
      <t>ヨテイ</t>
    </rPh>
    <phoneticPr fontId="17"/>
  </si>
  <si>
    <t>2024/06/17</t>
  </si>
  <si>
    <t>2024/06/30</t>
  </si>
  <si>
    <t>三井化学㈱ペリクル</t>
  </si>
  <si>
    <t>2024/06/24</t>
  </si>
  <si>
    <t>2024/06/26</t>
  </si>
  <si>
    <t>2024/07/02</t>
  </si>
  <si>
    <t>2024/06/28</t>
  </si>
  <si>
    <t>2024/06/19</t>
  </si>
  <si>
    <t>2024/07/10</t>
  </si>
  <si>
    <t>2024/06/21</t>
  </si>
  <si>
    <t>5/27</t>
    <phoneticPr fontId="17"/>
  </si>
  <si>
    <t>月</t>
    <rPh sb="0" eb="1">
      <t>ゲツ</t>
    </rPh>
    <phoneticPr fontId="17"/>
  </si>
  <si>
    <t>5/28</t>
    <phoneticPr fontId="17"/>
  </si>
  <si>
    <t>火</t>
    <rPh sb="0" eb="1">
      <t>ヒ</t>
    </rPh>
    <phoneticPr fontId="17"/>
  </si>
  <si>
    <t>5/29</t>
    <phoneticPr fontId="17"/>
  </si>
  <si>
    <t>水</t>
    <rPh sb="0" eb="1">
      <t>スイ</t>
    </rPh>
    <phoneticPr fontId="17"/>
  </si>
  <si>
    <t>5/30</t>
    <phoneticPr fontId="17"/>
  </si>
  <si>
    <t>木</t>
    <rPh sb="0" eb="1">
      <t>モク</t>
    </rPh>
    <phoneticPr fontId="17"/>
  </si>
  <si>
    <t>5/31</t>
    <phoneticPr fontId="17"/>
  </si>
  <si>
    <t>金</t>
    <rPh sb="0" eb="1">
      <t>キン</t>
    </rPh>
    <phoneticPr fontId="17"/>
  </si>
  <si>
    <t>6/3</t>
    <phoneticPr fontId="17"/>
  </si>
  <si>
    <t>5/31</t>
    <phoneticPr fontId="17"/>
  </si>
  <si>
    <t>金</t>
    <rPh sb="0" eb="1">
      <t>キン</t>
    </rPh>
    <phoneticPr fontId="17"/>
  </si>
  <si>
    <t>※2,000ｍ降ろしに変更</t>
    <rPh sb="6" eb="7">
      <t>オ</t>
    </rPh>
    <rPh sb="10" eb="12">
      <t>ヘンコウ</t>
    </rPh>
    <phoneticPr fontId="17"/>
  </si>
  <si>
    <t>3ｲﾝﾁSｺｱ</t>
    <phoneticPr fontId="17"/>
  </si>
  <si>
    <t>月</t>
    <rPh sb="0" eb="1">
      <t>ゲツ</t>
    </rPh>
    <phoneticPr fontId="17"/>
  </si>
  <si>
    <t>6/11</t>
    <phoneticPr fontId="17"/>
  </si>
  <si>
    <t>火</t>
    <rPh sb="0" eb="1">
      <t>ヒ</t>
    </rPh>
    <phoneticPr fontId="17"/>
  </si>
  <si>
    <t>6/12</t>
    <phoneticPr fontId="17"/>
  </si>
  <si>
    <t>水</t>
    <rPh sb="0" eb="1">
      <t>スイ</t>
    </rPh>
    <phoneticPr fontId="17"/>
  </si>
  <si>
    <t>6/13</t>
    <phoneticPr fontId="17"/>
  </si>
  <si>
    <t>木</t>
    <rPh sb="0" eb="1">
      <t>モク</t>
    </rPh>
    <phoneticPr fontId="17"/>
  </si>
  <si>
    <t>6/14</t>
    <phoneticPr fontId="17"/>
  </si>
  <si>
    <t>金</t>
    <rPh sb="0" eb="1">
      <t>キン</t>
    </rPh>
    <phoneticPr fontId="17"/>
  </si>
  <si>
    <t>6/17</t>
    <phoneticPr fontId="17"/>
  </si>
  <si>
    <t>火</t>
    <rPh sb="0" eb="1">
      <t>ヒ</t>
    </rPh>
    <phoneticPr fontId="17"/>
  </si>
  <si>
    <t>6/10</t>
    <phoneticPr fontId="17"/>
  </si>
  <si>
    <t>月</t>
    <rPh sb="0" eb="1">
      <t>ゲツ</t>
    </rPh>
    <phoneticPr fontId="17"/>
  </si>
  <si>
    <t>5/28</t>
    <phoneticPr fontId="17"/>
  </si>
  <si>
    <t>機能材料G　鈴木課員</t>
    <rPh sb="0" eb="2">
      <t>ザイリョウ</t>
    </rPh>
    <rPh sb="4" eb="6">
      <t>ナカノ</t>
    </rPh>
    <rPh sb="6" eb="8">
      <t>スズキ</t>
    </rPh>
    <rPh sb="8" eb="10">
      <t>カイン</t>
    </rPh>
    <phoneticPr fontId="5"/>
  </si>
  <si>
    <t>6/8</t>
    <phoneticPr fontId="17"/>
  </si>
  <si>
    <t>土</t>
    <rPh sb="0" eb="1">
      <t>ド</t>
    </rPh>
    <phoneticPr fontId="17"/>
  </si>
  <si>
    <t>6/5</t>
    <phoneticPr fontId="17"/>
  </si>
  <si>
    <t>水</t>
    <rPh sb="0" eb="1">
      <t>スイ</t>
    </rPh>
    <phoneticPr fontId="17"/>
  </si>
  <si>
    <t>※7本のみﾘｰﾄﾞ付け実施</t>
    <rPh sb="1" eb="2">
      <t>ホン</t>
    </rPh>
    <rPh sb="8" eb="9">
      <t>ツ</t>
    </rPh>
    <rPh sb="10" eb="12">
      <t>ジッシ</t>
    </rPh>
    <phoneticPr fontId="17"/>
  </si>
  <si>
    <t>6/11</t>
    <phoneticPr fontId="17"/>
  </si>
  <si>
    <t>火</t>
    <rPh sb="0" eb="1">
      <t>ヒ</t>
    </rPh>
    <phoneticPr fontId="17"/>
  </si>
  <si>
    <t>木</t>
    <rPh sb="0" eb="1">
      <t>モク</t>
    </rPh>
    <phoneticPr fontId="17"/>
  </si>
  <si>
    <t>ロール交換</t>
    <rPh sb="2" eb="4">
      <t>コウカン</t>
    </rPh>
    <phoneticPr fontId="17"/>
  </si>
  <si>
    <t>6/13</t>
    <phoneticPr fontId="17"/>
  </si>
  <si>
    <t>6/14</t>
    <phoneticPr fontId="17"/>
  </si>
  <si>
    <t>金</t>
    <rPh sb="0" eb="1">
      <t>キン</t>
    </rPh>
    <phoneticPr fontId="17"/>
  </si>
  <si>
    <t>6/26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</si>
  <si>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</si>
  <si>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ﾘｰﾄﾞ作成</t>
    <rPh sb="4" eb="6">
      <t>サクセイ</t>
    </rPh>
    <phoneticPr fontId="17"/>
  </si>
  <si>
    <t>2024/06/05</t>
  </si>
  <si>
    <t>2024/06/25</t>
  </si>
  <si>
    <t>メタルミーCR保留品処置</t>
    <rPh sb="6" eb="8">
      <t>ホリュウ</t>
    </rPh>
    <rPh sb="8" eb="9">
      <t>ヒン</t>
    </rPh>
    <rPh sb="9" eb="11">
      <t>ショチ</t>
    </rPh>
    <phoneticPr fontId="17"/>
  </si>
  <si>
    <t>欠点検出器調整テスト</t>
    <rPh sb="0" eb="1">
      <t>ケッテン</t>
    </rPh>
    <rPh sb="1" eb="4">
      <t>ケンシュツキ</t>
    </rPh>
    <rPh sb="4" eb="6">
      <t>チョウセイ</t>
    </rPh>
    <phoneticPr fontId="17"/>
  </si>
  <si>
    <t>6/17</t>
    <phoneticPr fontId="17"/>
  </si>
  <si>
    <t>月</t>
    <rPh sb="0" eb="1">
      <t>ゲツ</t>
    </rPh>
    <phoneticPr fontId="17"/>
  </si>
  <si>
    <t>27114HA</t>
    <phoneticPr fontId="20"/>
  </si>
  <si>
    <t>27114HB</t>
    <phoneticPr fontId="20"/>
  </si>
  <si>
    <t>27114DB</t>
    <phoneticPr fontId="20"/>
  </si>
  <si>
    <t>メタルミー　ネーマー金艶</t>
    <rPh sb="10" eb="11">
      <t>キン</t>
    </rPh>
    <rPh sb="11" eb="12">
      <t>ツヤ</t>
    </rPh>
    <phoneticPr fontId="17"/>
  </si>
  <si>
    <t>メタルミー　ネーマー金消</t>
    <rPh sb="10" eb="11">
      <t>キン</t>
    </rPh>
    <rPh sb="11" eb="12">
      <t>ケ</t>
    </rPh>
    <phoneticPr fontId="17"/>
  </si>
  <si>
    <t>MNMKTT</t>
    <phoneticPr fontId="17"/>
  </si>
  <si>
    <t>MNKKCT</t>
    <phoneticPr fontId="17"/>
  </si>
  <si>
    <t>Sﾏｯﾄ</t>
    <phoneticPr fontId="17"/>
  </si>
  <si>
    <t>2024/07/15</t>
  </si>
  <si>
    <t>2024/07/29</t>
  </si>
  <si>
    <t>2024/07/25</t>
  </si>
  <si>
    <t>2024/07/22</t>
  </si>
  <si>
    <t>2024/07/26</t>
  </si>
  <si>
    <t>2024/07/30</t>
  </si>
  <si>
    <t>2024/08/03</t>
  </si>
  <si>
    <t>2024/08/05</t>
  </si>
  <si>
    <t>2024/07/16</t>
  </si>
  <si>
    <t>2024/08/26</t>
  </si>
  <si>
    <t>2024/07/19</t>
  </si>
  <si>
    <t>セラピール　ＰＪ２７１（１４）</t>
  </si>
  <si>
    <t>メタルミー　ネーマー　銀艶ＶＢ</t>
    <phoneticPr fontId="20"/>
  </si>
  <si>
    <t>木</t>
    <rPh sb="0" eb="1">
      <t>モク</t>
    </rPh>
    <phoneticPr fontId="17"/>
  </si>
  <si>
    <t>6/28</t>
    <phoneticPr fontId="17"/>
  </si>
  <si>
    <t>金</t>
    <rPh sb="0" eb="1">
      <t>キン</t>
    </rPh>
    <phoneticPr fontId="17"/>
  </si>
  <si>
    <t>7/3</t>
    <phoneticPr fontId="17"/>
  </si>
  <si>
    <t>水</t>
    <rPh sb="0" eb="1">
      <t>スイ</t>
    </rPh>
    <phoneticPr fontId="17"/>
  </si>
  <si>
    <t>7/1</t>
    <phoneticPr fontId="17"/>
  </si>
  <si>
    <t>月</t>
    <rPh sb="0" eb="1">
      <t>ゲツ</t>
    </rPh>
    <phoneticPr fontId="17"/>
  </si>
  <si>
    <t>7/4</t>
    <phoneticPr fontId="17"/>
  </si>
  <si>
    <t>7/5</t>
    <phoneticPr fontId="17"/>
  </si>
  <si>
    <t>7/8</t>
    <phoneticPr fontId="17"/>
  </si>
  <si>
    <t>火</t>
    <rPh sb="0" eb="1">
      <t>ヒ</t>
    </rPh>
    <phoneticPr fontId="17"/>
  </si>
  <si>
    <t>7/9</t>
    <phoneticPr fontId="17"/>
  </si>
  <si>
    <t>Metalumy CR保留品処置</t>
    <rPh sb="11" eb="13">
      <t>ホリュウ</t>
    </rPh>
    <rPh sb="13" eb="14">
      <t>ヒン</t>
    </rPh>
    <rPh sb="14" eb="16">
      <t>ショチ</t>
    </rPh>
    <phoneticPr fontId="17"/>
  </si>
  <si>
    <t>透明バリアＯＰＰ巻返し検品</t>
    <rPh sb="0" eb="1">
      <t>トウメイ</t>
    </rPh>
    <rPh sb="7" eb="9">
      <t>マキカエ</t>
    </rPh>
    <rPh sb="10" eb="12">
      <t>ケンピン</t>
    </rPh>
    <phoneticPr fontId="17"/>
  </si>
  <si>
    <t>2024/06/27</t>
  </si>
  <si>
    <t>※リカバリー原反1本7/2着</t>
    <rPh sb="5" eb="7">
      <t>ゲンタン</t>
    </rPh>
    <rPh sb="8" eb="9">
      <t>ポン</t>
    </rPh>
    <rPh sb="12" eb="13">
      <t>チャク</t>
    </rPh>
    <phoneticPr fontId="17"/>
  </si>
  <si>
    <t>7/5</t>
    <phoneticPr fontId="17"/>
  </si>
  <si>
    <t>金</t>
    <rPh sb="0" eb="1">
      <t>キン</t>
    </rPh>
    <phoneticPr fontId="17"/>
  </si>
  <si>
    <t>7/6</t>
    <phoneticPr fontId="17"/>
  </si>
  <si>
    <t>土</t>
    <rPh sb="0" eb="1">
      <t>ド</t>
    </rPh>
    <phoneticPr fontId="17"/>
  </si>
  <si>
    <t>7/7</t>
    <phoneticPr fontId="17"/>
  </si>
  <si>
    <t>日</t>
    <rPh sb="0" eb="1">
      <t>ニチ</t>
    </rPh>
    <phoneticPr fontId="17"/>
  </si>
  <si>
    <t>7/8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</si>
  <si>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</si>
  <si>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</si>
  <si>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</si>
  <si>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7/11</t>
    <phoneticPr fontId="17"/>
  </si>
  <si>
    <t>木</t>
    <rPh sb="0" eb="1">
      <t>モク</t>
    </rPh>
    <phoneticPr fontId="17"/>
  </si>
  <si>
    <t>7/12</t>
    <phoneticPr fontId="17"/>
  </si>
  <si>
    <t>7/13</t>
    <phoneticPr fontId="17"/>
  </si>
  <si>
    <t>7/14</t>
    <phoneticPr fontId="17"/>
  </si>
  <si>
    <t>7/15</t>
    <phoneticPr fontId="17"/>
  </si>
  <si>
    <t>7/18</t>
    <phoneticPr fontId="17"/>
  </si>
  <si>
    <t>7/20</t>
    <phoneticPr fontId="17"/>
  </si>
  <si>
    <t>7/21</t>
    <phoneticPr fontId="17"/>
  </si>
  <si>
    <t>7/22</t>
    <phoneticPr fontId="17"/>
  </si>
  <si>
    <t>7/23</t>
    <phoneticPr fontId="17"/>
  </si>
  <si>
    <t>7/27</t>
    <phoneticPr fontId="17"/>
  </si>
  <si>
    <t>7/28</t>
    <phoneticPr fontId="17"/>
  </si>
  <si>
    <t>7/31</t>
    <phoneticPr fontId="17"/>
  </si>
  <si>
    <t>棚卸し</t>
    <rPh sb="0" eb="2">
      <t>タナオロ</t>
    </rPh>
    <phoneticPr fontId="17"/>
  </si>
  <si>
    <t>※8月依頼分</t>
    <rPh sb="1" eb="3">
      <t>ガツブン</t>
    </rPh>
    <rPh sb="3" eb="5">
      <t>イライ</t>
    </rPh>
    <phoneticPr fontId="17"/>
  </si>
  <si>
    <t>ﾘｰﾄﾞ作成</t>
    <rPh sb="4" eb="6">
      <t>サクセイ</t>
    </rPh>
    <phoneticPr fontId="17"/>
  </si>
  <si>
    <t>2024/07/08</t>
  </si>
  <si>
    <t>※７月追加依頼</t>
    <rPh sb="1" eb="2">
      <t>ガツ</t>
    </rPh>
    <rPh sb="2" eb="4">
      <t>ツイカ</t>
    </rPh>
    <rPh sb="4" eb="6">
      <t>イライ</t>
    </rPh>
    <phoneticPr fontId="17"/>
  </si>
  <si>
    <t>7/12</t>
  </si>
  <si>
    <t>7/16</t>
  </si>
  <si>
    <t>2024/07/12</t>
  </si>
  <si>
    <t>27114HB</t>
  </si>
  <si>
    <t>※ﾘｶﾊﾞﾘｰ追加</t>
    <rPh sb="6" eb="8">
      <t>ツイカ</t>
    </rPh>
    <phoneticPr fontId="17"/>
  </si>
  <si>
    <t>7/17</t>
    <phoneticPr fontId="17"/>
  </si>
  <si>
    <t>水</t>
    <rPh sb="0" eb="1">
      <t>スイ</t>
    </rPh>
    <phoneticPr fontId="17"/>
  </si>
  <si>
    <t>7/18</t>
    <phoneticPr fontId="17"/>
  </si>
  <si>
    <t>木</t>
    <rPh sb="0" eb="1">
      <t>モク</t>
    </rPh>
    <phoneticPr fontId="17"/>
  </si>
  <si>
    <t>7/19</t>
    <phoneticPr fontId="17"/>
  </si>
  <si>
    <t>金</t>
    <rPh sb="0" eb="1">
      <t>キン</t>
    </rPh>
    <phoneticPr fontId="17"/>
  </si>
  <si>
    <t>7/20</t>
    <phoneticPr fontId="17"/>
  </si>
  <si>
    <t>土</t>
    <rPh sb="0" eb="1">
      <t>ド</t>
    </rPh>
    <phoneticPr fontId="17"/>
  </si>
  <si>
    <t>メタルミー　ＴＳ</t>
    <phoneticPr fontId="17"/>
  </si>
  <si>
    <t>MTSF</t>
    <phoneticPr fontId="17"/>
  </si>
  <si>
    <t>※Ｓ５配台</t>
    <rPh sb="2" eb="3">
      <t>ハイ</t>
    </rPh>
    <rPh sb="3" eb="4">
      <t>ダイ</t>
    </rPh>
    <phoneticPr fontId="17"/>
  </si>
  <si>
    <t>※ﾘｶﾊﾞﾘｰ</t>
    <phoneticPr fontId="17"/>
  </si>
  <si>
    <t>7/30</t>
  </si>
  <si>
    <t>2024/08/19</t>
  </si>
  <si>
    <t>2024/08/30</t>
  </si>
  <si>
    <t>2024/09/13</t>
  </si>
  <si>
    <t>2024/09/07</t>
  </si>
  <si>
    <t>2024/08/09</t>
  </si>
  <si>
    <t>2024/08/23</t>
  </si>
  <si>
    <t>2024/08/31</t>
  </si>
  <si>
    <t>2024/08/24</t>
  </si>
  <si>
    <t>7/25</t>
    <phoneticPr fontId="17"/>
  </si>
  <si>
    <t>木</t>
    <rPh sb="0" eb="1">
      <t>モク</t>
    </rPh>
    <phoneticPr fontId="17"/>
  </si>
  <si>
    <t>8/1</t>
    <phoneticPr fontId="17"/>
  </si>
  <si>
    <t>8/2</t>
    <phoneticPr fontId="17"/>
  </si>
  <si>
    <t>金</t>
    <rPh sb="0" eb="1">
      <t>キン</t>
    </rPh>
    <phoneticPr fontId="17"/>
  </si>
  <si>
    <t>保留品処置</t>
    <rPh sb="0" eb="1">
      <t>ホリュウ</t>
    </rPh>
    <rPh sb="1" eb="2">
      <t>ヒン</t>
    </rPh>
    <rPh sb="2" eb="4">
      <t>ショチ</t>
    </rPh>
    <phoneticPr fontId="17"/>
  </si>
  <si>
    <t>再ﾘｰﾄﾞ付け</t>
    <rPh sb="0" eb="1">
      <t>サイ</t>
    </rPh>
    <rPh sb="5" eb="6">
      <t>ツ</t>
    </rPh>
    <phoneticPr fontId="17"/>
  </si>
  <si>
    <t>2024/07/24</t>
  </si>
  <si>
    <t>7/31</t>
    <phoneticPr fontId="17"/>
  </si>
  <si>
    <t>水</t>
    <rPh sb="0" eb="1">
      <t>スイ</t>
    </rPh>
    <phoneticPr fontId="17"/>
  </si>
  <si>
    <t>棚卸し</t>
    <rPh sb="0" eb="1">
      <t>タナオロ</t>
    </rPh>
    <phoneticPr fontId="17"/>
  </si>
  <si>
    <t>リード付け</t>
  </si>
  <si>
    <t>－</t>
    <phoneticPr fontId="17"/>
  </si>
  <si>
    <t>※巻き芯リード必要</t>
    <rPh sb="0" eb="1">
      <t>マ</t>
    </rPh>
    <rPh sb="2" eb="3">
      <t>シン</t>
    </rPh>
    <rPh sb="6" eb="8">
      <t>ヒツヨウ</t>
    </rPh>
    <phoneticPr fontId="17"/>
  </si>
  <si>
    <t>8/11</t>
    <phoneticPr fontId="17"/>
  </si>
  <si>
    <t>日</t>
    <rPh sb="0" eb="1">
      <t>ニチ</t>
    </rPh>
    <phoneticPr fontId="17"/>
  </si>
  <si>
    <t>8/12</t>
    <phoneticPr fontId="17"/>
  </si>
  <si>
    <t>月</t>
    <rPh sb="0" eb="1">
      <t>ゲツ</t>
    </rPh>
    <phoneticPr fontId="17"/>
  </si>
  <si>
    <t>8/13</t>
    <phoneticPr fontId="17"/>
  </si>
  <si>
    <t>火</t>
    <rPh sb="0" eb="1">
      <t>ヒ</t>
    </rPh>
    <phoneticPr fontId="17"/>
  </si>
  <si>
    <t>8/14</t>
    <phoneticPr fontId="17"/>
  </si>
  <si>
    <t>水</t>
    <rPh sb="0" eb="1">
      <t>スイ</t>
    </rPh>
    <phoneticPr fontId="17"/>
  </si>
  <si>
    <t>8/15</t>
    <phoneticPr fontId="17"/>
  </si>
  <si>
    <t>木</t>
    <rPh sb="0" eb="1">
      <t>モク</t>
    </rPh>
    <phoneticPr fontId="17"/>
  </si>
  <si>
    <t>8/16</t>
    <phoneticPr fontId="17"/>
  </si>
  <si>
    <t>金</t>
    <rPh sb="0" eb="1">
      <t>キン</t>
    </rPh>
    <phoneticPr fontId="17"/>
  </si>
  <si>
    <t>8/17</t>
    <phoneticPr fontId="17"/>
  </si>
  <si>
    <t>土</t>
    <rPh sb="0" eb="1">
      <t>ド</t>
    </rPh>
    <phoneticPr fontId="17"/>
  </si>
  <si>
    <t>8/18</t>
    <phoneticPr fontId="17"/>
  </si>
  <si>
    <t>9/1</t>
    <phoneticPr fontId="17"/>
  </si>
  <si>
    <t>透明バリアＯＰＰ巻足し</t>
    <rPh sb="0" eb="1">
      <t>トウメイ</t>
    </rPh>
    <rPh sb="8" eb="9">
      <t>マキ</t>
    </rPh>
    <rPh sb="9" eb="10">
      <t>タ</t>
    </rPh>
    <phoneticPr fontId="17"/>
  </si>
  <si>
    <t>7/29</t>
    <phoneticPr fontId="17"/>
  </si>
  <si>
    <t>月</t>
    <rPh sb="0" eb="1">
      <t>ゲツ</t>
    </rPh>
    <phoneticPr fontId="17"/>
  </si>
  <si>
    <t>7/30</t>
    <phoneticPr fontId="17"/>
  </si>
  <si>
    <t>火</t>
    <rPh sb="0" eb="1">
      <t>ヒ</t>
    </rPh>
    <phoneticPr fontId="17"/>
  </si>
  <si>
    <t>メタルミー　ヘヤライン　銀艶Ｖ　輸出梱包</t>
  </si>
  <si>
    <t>8/3</t>
    <phoneticPr fontId="17"/>
  </si>
  <si>
    <t>土</t>
    <rPh sb="0" eb="1">
      <t>ド</t>
    </rPh>
    <phoneticPr fontId="17"/>
  </si>
  <si>
    <t>8/4</t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</si>
  <si>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</si>
  <si>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</si>
  <si>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8/6</t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</si>
  <si>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</si>
  <si>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</si>
  <si>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</si>
  <si>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8/11</t>
    <phoneticPr fontId="17"/>
  </si>
  <si>
    <t>8/12</t>
    <phoneticPr fontId="17"/>
  </si>
  <si>
    <t>8/13</t>
    <phoneticPr fontId="17"/>
  </si>
  <si>
    <t>8/14</t>
    <phoneticPr fontId="17"/>
  </si>
  <si>
    <t>8/15</t>
    <phoneticPr fontId="17"/>
  </si>
  <si>
    <t>8/18</t>
    <phoneticPr fontId="17"/>
  </si>
  <si>
    <t>Ｕ</t>
    <phoneticPr fontId="17"/>
  </si>
  <si>
    <t>8/9</t>
    <phoneticPr fontId="17"/>
  </si>
  <si>
    <t>金</t>
    <rPh sb="0" eb="1">
      <t>キン</t>
    </rPh>
    <phoneticPr fontId="17"/>
  </si>
  <si>
    <t>8/10</t>
    <phoneticPr fontId="17"/>
  </si>
  <si>
    <t>土</t>
    <rPh sb="0" eb="1">
      <t>ド</t>
    </rPh>
    <phoneticPr fontId="17"/>
  </si>
  <si>
    <t>8/20</t>
    <phoneticPr fontId="17"/>
  </si>
  <si>
    <t>火</t>
    <rPh sb="0" eb="1">
      <t>ヒ</t>
    </rPh>
    <phoneticPr fontId="17"/>
  </si>
  <si>
    <t>8/21</t>
    <phoneticPr fontId="17"/>
  </si>
  <si>
    <t>水</t>
    <rPh sb="0" eb="1">
      <t>スイ</t>
    </rPh>
    <phoneticPr fontId="17"/>
  </si>
  <si>
    <t>8/22</t>
    <phoneticPr fontId="17"/>
  </si>
  <si>
    <t>木</t>
    <rPh sb="0" eb="1">
      <t>モク</t>
    </rPh>
    <phoneticPr fontId="17"/>
  </si>
  <si>
    <t>8/28</t>
    <phoneticPr fontId="17"/>
  </si>
  <si>
    <t>8/30</t>
    <phoneticPr fontId="17"/>
  </si>
  <si>
    <t>9/2</t>
    <phoneticPr fontId="17"/>
  </si>
  <si>
    <t>月</t>
    <rPh sb="0" eb="1">
      <t>ゲツ</t>
    </rPh>
    <phoneticPr fontId="17"/>
  </si>
  <si>
    <t>8/5</t>
    <phoneticPr fontId="17"/>
  </si>
  <si>
    <t>月</t>
    <rPh sb="0" eb="1">
      <t>ゲツ</t>
    </rPh>
    <phoneticPr fontId="17"/>
  </si>
  <si>
    <t>8/7</t>
    <phoneticPr fontId="17"/>
  </si>
  <si>
    <t>水</t>
    <rPh sb="0" eb="1">
      <t>スイ</t>
    </rPh>
    <phoneticPr fontId="17"/>
  </si>
  <si>
    <t>8/8</t>
    <phoneticPr fontId="17"/>
  </si>
  <si>
    <t>木</t>
    <rPh sb="0" eb="1">
      <t>モク</t>
    </rPh>
    <phoneticPr fontId="17"/>
  </si>
  <si>
    <t>HL着色品(HL銀艶/銀消/金艶/銅艶)</t>
    <rPh sb="1" eb="3">
      <t>チャクショク</t>
    </rPh>
    <rPh sb="3" eb="4">
      <t>ヒン</t>
    </rPh>
    <rPh sb="7" eb="8">
      <t>ギン</t>
    </rPh>
    <rPh sb="8" eb="9">
      <t>ツヤ</t>
    </rPh>
    <rPh sb="11" eb="12">
      <t>ギン</t>
    </rPh>
    <rPh sb="12" eb="13">
      <t>ケ</t>
    </rPh>
    <rPh sb="14" eb="15">
      <t>キン</t>
    </rPh>
    <rPh sb="15" eb="16">
      <t>ツヤ</t>
    </rPh>
    <rPh sb="17" eb="18">
      <t>ドウ</t>
    </rPh>
    <rPh sb="18" eb="19">
      <t>ツヤ</t>
    </rPh>
    <phoneticPr fontId="17"/>
  </si>
  <si>
    <t>火</t>
    <rPh sb="0" eb="1">
      <t>ヒ</t>
    </rPh>
    <phoneticPr fontId="17"/>
  </si>
  <si>
    <t>※輸出梱包</t>
    <rPh sb="0" eb="2">
      <t>ユシュツ</t>
    </rPh>
    <rPh sb="2" eb="4">
      <t>コンポウ</t>
    </rPh>
    <phoneticPr fontId="17"/>
  </si>
  <si>
    <t>8/10</t>
    <phoneticPr fontId="17"/>
  </si>
  <si>
    <t>土</t>
    <rPh sb="0" eb="1">
      <t>ド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</si>
  <si>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</si>
  <si>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ﾘｰﾄﾞ作成</t>
    <rPh sb="4" eb="6">
      <t>サクセイ</t>
    </rPh>
    <phoneticPr fontId="17"/>
  </si>
  <si>
    <t>8/27</t>
    <phoneticPr fontId="17"/>
  </si>
  <si>
    <t>約定№なし</t>
    <rPh sb="0" eb="2">
      <t>ヤクジョウ</t>
    </rPh>
    <phoneticPr fontId="17"/>
  </si>
  <si>
    <t>指示№なし</t>
    <rPh sb="0" eb="2">
      <t>シジ</t>
    </rPh>
    <phoneticPr fontId="17"/>
  </si>
  <si>
    <t>8/20</t>
    <phoneticPr fontId="17"/>
  </si>
  <si>
    <t>火</t>
    <rPh sb="0" eb="1">
      <t>ヒ</t>
    </rPh>
    <phoneticPr fontId="17"/>
  </si>
  <si>
    <t>※午後一に防虫対策現場確認</t>
    <rPh sb="1" eb="2">
      <t>ゴゴ</t>
    </rPh>
    <rPh sb="2" eb="3">
      <t>イチ</t>
    </rPh>
    <rPh sb="5" eb="7">
      <t>ボウチュウ</t>
    </rPh>
    <rPh sb="7" eb="9">
      <t>タイサク</t>
    </rPh>
    <rPh sb="9" eb="11">
      <t>ゲンバ</t>
    </rPh>
    <rPh sb="11" eb="13">
      <t>カクニン</t>
    </rPh>
    <phoneticPr fontId="17"/>
  </si>
  <si>
    <t>9/3</t>
    <phoneticPr fontId="17"/>
  </si>
  <si>
    <t>火</t>
    <rPh sb="0" eb="1">
      <t>ヒ</t>
    </rPh>
    <phoneticPr fontId="17"/>
  </si>
  <si>
    <t>9/4</t>
    <phoneticPr fontId="17"/>
  </si>
  <si>
    <t>水</t>
    <rPh sb="0" eb="1">
      <t>スイ</t>
    </rPh>
    <phoneticPr fontId="17"/>
  </si>
  <si>
    <t>ﾒﾀﾙﾐｰﾈｰﾏｰ銀艶Ｂ</t>
    <rPh sb="8" eb="9">
      <t>ギン</t>
    </rPh>
    <rPh sb="9" eb="10">
      <t>ツヤ</t>
    </rPh>
    <phoneticPr fontId="17"/>
  </si>
  <si>
    <t>検品</t>
    <rPh sb="0" eb="2">
      <t>ケンピン</t>
    </rPh>
    <phoneticPr fontId="17"/>
  </si>
  <si>
    <t>S</t>
    <phoneticPr fontId="17"/>
  </si>
  <si>
    <t>巻返し検品</t>
    <rPh sb="0" eb="2">
      <t>マキカエ</t>
    </rPh>
    <rPh sb="3" eb="5">
      <t>ケンピン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</si>
  <si>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</si>
  <si>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9/8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</si>
  <si>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</si>
  <si>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</si>
  <si>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2024/08/22</t>
  </si>
  <si>
    <t>2024/09/15</t>
  </si>
  <si>
    <t>2024/09/17</t>
  </si>
  <si>
    <t>2024/09/30</t>
  </si>
  <si>
    <t>2024/10/03</t>
  </si>
  <si>
    <t>2024/10/08</t>
  </si>
  <si>
    <t>2024/10/10</t>
  </si>
  <si>
    <t>2024/09/24</t>
  </si>
  <si>
    <t>2024/10/01</t>
  </si>
  <si>
    <t>2024/09/20</t>
  </si>
  <si>
    <t>月</t>
    <rPh sb="0" eb="1">
      <t>ゲツ</t>
    </rPh>
    <phoneticPr fontId="17"/>
  </si>
  <si>
    <t>U</t>
    <phoneticPr fontId="17"/>
  </si>
  <si>
    <t>火</t>
    <rPh sb="0" eb="1">
      <t>ヒ</t>
    </rPh>
    <phoneticPr fontId="17"/>
  </si>
  <si>
    <t>9/5</t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</si>
  <si>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</si>
  <si>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</si>
  <si>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9/7</t>
    <phoneticPr fontId="17"/>
  </si>
  <si>
    <t>土</t>
    <rPh sb="0" eb="1">
      <t>ド</t>
    </rPh>
    <phoneticPr fontId="17"/>
  </si>
  <si>
    <t>調整停機</t>
    <rPh sb="0" eb="2">
      <t>チョウセイ</t>
    </rPh>
    <rPh sb="2" eb="4">
      <t>テイキ</t>
    </rPh>
    <phoneticPr fontId="17"/>
  </si>
  <si>
    <t>9/9</t>
    <phoneticPr fontId="17"/>
  </si>
  <si>
    <t>9/10</t>
    <phoneticPr fontId="17"/>
  </si>
  <si>
    <t>9/12</t>
    <phoneticPr fontId="17"/>
  </si>
  <si>
    <t>9/13</t>
    <phoneticPr fontId="17"/>
  </si>
  <si>
    <t>9/17</t>
    <phoneticPr fontId="17"/>
  </si>
  <si>
    <t>日東電工尾道</t>
    <rPh sb="0" eb="1">
      <t>ニットウ</t>
    </rPh>
    <rPh sb="1" eb="3">
      <t>デンコウ</t>
    </rPh>
    <rPh sb="3" eb="5">
      <t>オノミチ</t>
    </rPh>
    <phoneticPr fontId="17"/>
  </si>
  <si>
    <t>巻返しﾘｰﾄﾞ付け</t>
    <rPh sb="0" eb="2">
      <t>マキカエ</t>
    </rPh>
    <rPh sb="7" eb="8">
      <t>ツ</t>
    </rPh>
    <phoneticPr fontId="17"/>
  </si>
  <si>
    <t>調整停機</t>
    <rPh sb="0" eb="2">
      <t>チョウセイ</t>
    </rPh>
    <rPh sb="2" eb="4">
      <t>テイキ</t>
    </rPh>
    <phoneticPr fontId="17"/>
  </si>
  <si>
    <t>9/2</t>
  </si>
  <si>
    <t>火</t>
    <rPh sb="0" eb="1">
      <t>ヒ</t>
    </rPh>
    <phoneticPr fontId="17"/>
  </si>
  <si>
    <t>水</t>
    <rPh sb="0" eb="1">
      <t>スイ</t>
    </rPh>
    <phoneticPr fontId="17"/>
  </si>
  <si>
    <t>9/12</t>
    <phoneticPr fontId="17"/>
  </si>
  <si>
    <t>木</t>
    <rPh sb="0" eb="1">
      <t>モク</t>
    </rPh>
    <phoneticPr fontId="17"/>
  </si>
  <si>
    <t>9/13</t>
    <phoneticPr fontId="17"/>
  </si>
  <si>
    <t>金</t>
    <rPh sb="0" eb="1">
      <t>キン</t>
    </rPh>
    <phoneticPr fontId="17"/>
  </si>
  <si>
    <t>9/18</t>
    <phoneticPr fontId="17"/>
  </si>
  <si>
    <t>9/19</t>
  </si>
  <si>
    <t>9/27</t>
    <phoneticPr fontId="17"/>
  </si>
  <si>
    <t>9/28</t>
    <phoneticPr fontId="17"/>
  </si>
  <si>
    <t>土</t>
    <rPh sb="0" eb="1">
      <t>ド</t>
    </rPh>
    <phoneticPr fontId="17"/>
  </si>
  <si>
    <t>9/30</t>
    <phoneticPr fontId="17"/>
  </si>
  <si>
    <t>月</t>
    <rPh sb="0" eb="1">
      <t>ゲツ</t>
    </rPh>
    <phoneticPr fontId="17"/>
  </si>
  <si>
    <t>10/1</t>
    <phoneticPr fontId="17"/>
  </si>
  <si>
    <t>3SNMLBMDMSJF50</t>
  </si>
  <si>
    <t>Ｕ</t>
    <phoneticPr fontId="17"/>
  </si>
  <si>
    <t>6ｲﾝﾁSｺｱ</t>
    <phoneticPr fontId="17"/>
  </si>
  <si>
    <t>9/25</t>
    <phoneticPr fontId="17"/>
  </si>
  <si>
    <t>9/29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</si>
  <si>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</si>
  <si>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</si>
  <si>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9/6</t>
    <phoneticPr fontId="17"/>
  </si>
  <si>
    <t>9/4</t>
  </si>
  <si>
    <t>2024/09/02</t>
  </si>
  <si>
    <t>2024/09/04</t>
  </si>
  <si>
    <t>2024/09/27</t>
  </si>
  <si>
    <t>9/5</t>
  </si>
  <si>
    <t>9/9</t>
  </si>
  <si>
    <t>9/11</t>
    <phoneticPr fontId="17"/>
  </si>
  <si>
    <t>水</t>
    <rPh sb="0" eb="1">
      <t>スイ</t>
    </rPh>
    <phoneticPr fontId="17"/>
  </si>
  <si>
    <t>9/10</t>
  </si>
  <si>
    <t>9/11</t>
  </si>
  <si>
    <t>2024/09/09</t>
  </si>
  <si>
    <t>2024/10/07</t>
  </si>
  <si>
    <t>加工ﾏｼﾝ</t>
    <rPh sb="0" eb="2">
      <t>カコウ</t>
    </rPh>
    <phoneticPr fontId="1"/>
  </si>
  <si>
    <t>SD</t>
    <phoneticPr fontId="20"/>
  </si>
  <si>
    <t>BKRUK</t>
    <phoneticPr fontId="20"/>
  </si>
  <si>
    <t>セラピール　ＢＫＲ（Ｕ）Ｋ</t>
    <phoneticPr fontId="20"/>
  </si>
  <si>
    <t>DMSX44</t>
    <phoneticPr fontId="17"/>
  </si>
  <si>
    <t>ＤＭＳ蒸着（Ｘ４４）</t>
    <phoneticPr fontId="17"/>
  </si>
  <si>
    <t>2024/09/12</t>
  </si>
  <si>
    <t>9/19</t>
    <phoneticPr fontId="17"/>
  </si>
  <si>
    <t>木</t>
    <rPh sb="0" eb="1">
      <t>モク</t>
    </rPh>
    <phoneticPr fontId="17"/>
  </si>
  <si>
    <t>ＰＥＴ　マット　Ｖ</t>
  </si>
  <si>
    <t>2024/09/19</t>
  </si>
  <si>
    <t>U</t>
    <phoneticPr fontId="17"/>
  </si>
  <si>
    <t>PETMV</t>
    <phoneticPr fontId="17"/>
  </si>
  <si>
    <t>ＰＥＴマットＶ</t>
    <phoneticPr fontId="17"/>
  </si>
  <si>
    <t>LUMIMAT</t>
    <phoneticPr fontId="17"/>
  </si>
  <si>
    <t>クレーム検品</t>
    <rPh sb="3" eb="5">
      <t>ケンピン</t>
    </rPh>
    <phoneticPr fontId="17"/>
  </si>
  <si>
    <t>生産課　鈴木係長</t>
    <rPh sb="0" eb="2">
      <t>セイサン</t>
    </rPh>
    <rPh sb="2" eb="3">
      <t>カ</t>
    </rPh>
    <rPh sb="4" eb="5">
      <t>スズキ</t>
    </rPh>
    <rPh sb="5" eb="7">
      <t>カカリチョウ</t>
    </rPh>
    <phoneticPr fontId="17"/>
  </si>
  <si>
    <t>2024/09/25</t>
  </si>
  <si>
    <t>2024/10/21</t>
  </si>
  <si>
    <t>2024/10/31</t>
  </si>
  <si>
    <t>2024/10/25</t>
  </si>
  <si>
    <t>2024/11/05</t>
  </si>
  <si>
    <t>2024/11/07</t>
  </si>
  <si>
    <t>2024/11/11</t>
  </si>
  <si>
    <t>27118MC</t>
  </si>
  <si>
    <t>ＣＥＲＡＰＥＥＬ　ＰＪ２７１（１８）</t>
  </si>
  <si>
    <t>2024/10/18</t>
  </si>
  <si>
    <t>2024/10/11</t>
  </si>
  <si>
    <t>2024/10/15</t>
  </si>
  <si>
    <t>2024/10/14</t>
  </si>
  <si>
    <t>2024/10/30</t>
  </si>
  <si>
    <t>9/26</t>
  </si>
  <si>
    <t>10/2</t>
    <phoneticPr fontId="17"/>
  </si>
  <si>
    <t>水</t>
    <rPh sb="0" eb="1">
      <t>スイ</t>
    </rPh>
    <phoneticPr fontId="17"/>
  </si>
  <si>
    <t>10/5</t>
    <phoneticPr fontId="17"/>
  </si>
  <si>
    <t>土</t>
    <rPh sb="0" eb="1">
      <t>ド</t>
    </rPh>
    <phoneticPr fontId="17"/>
  </si>
  <si>
    <t>10/6</t>
    <phoneticPr fontId="17"/>
  </si>
  <si>
    <t>日</t>
    <rPh sb="0" eb="1">
      <t>ニチ</t>
    </rPh>
    <phoneticPr fontId="17"/>
  </si>
  <si>
    <t>10/8</t>
    <phoneticPr fontId="17"/>
  </si>
  <si>
    <t>火</t>
    <rPh sb="0" eb="1">
      <t>ヒ</t>
    </rPh>
    <phoneticPr fontId="17"/>
  </si>
  <si>
    <t>33S</t>
    <phoneticPr fontId="20"/>
  </si>
  <si>
    <t>10/12</t>
    <phoneticPr fontId="17"/>
  </si>
  <si>
    <t>土</t>
    <rPh sb="0" eb="1">
      <t>ド</t>
    </rPh>
    <phoneticPr fontId="17"/>
  </si>
  <si>
    <t>10/13</t>
    <phoneticPr fontId="17"/>
  </si>
  <si>
    <t>日</t>
    <rPh sb="0" eb="1">
      <t>ニチ</t>
    </rPh>
    <phoneticPr fontId="17"/>
  </si>
  <si>
    <t>10/14</t>
    <phoneticPr fontId="17"/>
  </si>
  <si>
    <t>月</t>
    <rPh sb="0" eb="1">
      <t>ゲツ</t>
    </rPh>
    <phoneticPr fontId="17"/>
  </si>
  <si>
    <t>10/15</t>
    <phoneticPr fontId="17"/>
  </si>
  <si>
    <t>10/4</t>
    <phoneticPr fontId="17"/>
  </si>
  <si>
    <t>金</t>
    <rPh sb="0" eb="1">
      <t>キン</t>
    </rPh>
    <phoneticPr fontId="17"/>
  </si>
  <si>
    <t>10/5</t>
    <phoneticPr fontId="17"/>
  </si>
  <si>
    <t>土</t>
    <rPh sb="0" eb="1">
      <t>ド</t>
    </rPh>
    <phoneticPr fontId="17"/>
  </si>
  <si>
    <t>10/6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</si>
  <si>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</si>
  <si>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</si>
  <si>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10/7</t>
    <phoneticPr fontId="17"/>
  </si>
  <si>
    <t>月</t>
    <rPh sb="0" eb="1">
      <t>ゲツ</t>
    </rPh>
    <phoneticPr fontId="17"/>
  </si>
  <si>
    <t>ガイドロール取り外し</t>
    <rPh sb="5" eb="6">
      <t>ト</t>
    </rPh>
    <rPh sb="7" eb="8">
      <t>ハズ</t>
    </rPh>
    <phoneticPr fontId="17"/>
  </si>
  <si>
    <t>火</t>
    <rPh sb="0" eb="1">
      <t>ヒ</t>
    </rPh>
    <phoneticPr fontId="17"/>
  </si>
  <si>
    <t>10/9</t>
    <phoneticPr fontId="17"/>
  </si>
  <si>
    <t>水</t>
    <rPh sb="0" eb="1">
      <t>スイ</t>
    </rPh>
    <phoneticPr fontId="17"/>
  </si>
  <si>
    <t>10/12</t>
    <phoneticPr fontId="17"/>
  </si>
  <si>
    <t>10/13</t>
    <phoneticPr fontId="17"/>
  </si>
  <si>
    <t>10/14</t>
    <phoneticPr fontId="17"/>
  </si>
  <si>
    <t>10/15</t>
    <phoneticPr fontId="17"/>
  </si>
  <si>
    <t>10/16</t>
    <phoneticPr fontId="17"/>
  </si>
  <si>
    <t>10/29</t>
    <phoneticPr fontId="17"/>
  </si>
  <si>
    <t>10/30</t>
    <phoneticPr fontId="17"/>
  </si>
  <si>
    <t>11/2</t>
    <phoneticPr fontId="17"/>
  </si>
  <si>
    <t>11/3</t>
    <phoneticPr fontId="17"/>
  </si>
  <si>
    <t>11/4</t>
    <phoneticPr fontId="17"/>
  </si>
  <si>
    <t>2024/10</t>
  </si>
  <si>
    <t>JTKE14B</t>
  </si>
  <si>
    <t>TKA1540</t>
  </si>
  <si>
    <t>HP2SDF</t>
  </si>
  <si>
    <t>9160</t>
  </si>
  <si>
    <t>FBJ101</t>
  </si>
  <si>
    <t>39CH</t>
  </si>
  <si>
    <t>SY18</t>
  </si>
  <si>
    <t>PBPB18</t>
  </si>
  <si>
    <t>PBPG18</t>
  </si>
  <si>
    <t>CF634DB</t>
  </si>
  <si>
    <t>積水化学工業</t>
    <rPh sb="0" eb="6">
      <t>セキスイカガクコウギョウ</t>
    </rPh>
    <phoneticPr fontId="56"/>
  </si>
  <si>
    <t>10/18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</si>
  <si>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</si>
  <si>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</si>
  <si>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10/20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</si>
  <si>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</si>
  <si>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</si>
  <si>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10/21</t>
    <phoneticPr fontId="17"/>
  </si>
  <si>
    <t>月</t>
    <rPh sb="0" eb="1">
      <t>ゲツ</t>
    </rPh>
    <phoneticPr fontId="17"/>
  </si>
  <si>
    <t>10/22</t>
    <phoneticPr fontId="17"/>
  </si>
  <si>
    <t>火</t>
    <rPh sb="0" eb="1">
      <t>ヒ</t>
    </rPh>
    <phoneticPr fontId="17"/>
  </si>
  <si>
    <t>10/23</t>
    <phoneticPr fontId="17"/>
  </si>
  <si>
    <t>水</t>
    <rPh sb="0" eb="1">
      <t>スイ</t>
    </rPh>
    <phoneticPr fontId="17"/>
  </si>
  <si>
    <t>10/26</t>
    <phoneticPr fontId="17"/>
  </si>
  <si>
    <t>10/27</t>
    <phoneticPr fontId="17"/>
  </si>
  <si>
    <t>10/17</t>
    <phoneticPr fontId="17"/>
  </si>
  <si>
    <t>木</t>
    <rPh sb="0" eb="1">
      <t>モク</t>
    </rPh>
    <phoneticPr fontId="17"/>
  </si>
  <si>
    <t>10/19</t>
    <phoneticPr fontId="17"/>
  </si>
  <si>
    <t>土</t>
    <rPh sb="0" eb="1">
      <t>ド</t>
    </rPh>
    <phoneticPr fontId="17"/>
  </si>
  <si>
    <t>10/21</t>
    <phoneticPr fontId="17"/>
  </si>
  <si>
    <t>月</t>
    <rPh sb="0" eb="1">
      <t>ゲツ</t>
    </rPh>
    <phoneticPr fontId="17"/>
  </si>
  <si>
    <t>10/22</t>
    <phoneticPr fontId="17"/>
  </si>
  <si>
    <t>火</t>
    <rPh sb="0" eb="1">
      <t>ヒ</t>
    </rPh>
    <phoneticPr fontId="17"/>
  </si>
  <si>
    <t>10/23</t>
    <phoneticPr fontId="17"/>
  </si>
  <si>
    <t>10/25</t>
    <phoneticPr fontId="17"/>
  </si>
  <si>
    <t>金</t>
    <rPh sb="0" eb="1">
      <t>キン</t>
    </rPh>
    <phoneticPr fontId="17"/>
  </si>
  <si>
    <t>3SNMLBMSF25</t>
  </si>
  <si>
    <t>10/3</t>
    <phoneticPr fontId="17"/>
  </si>
  <si>
    <t>指示なし</t>
    <rPh sb="0" eb="2">
      <t>シジ</t>
    </rPh>
    <phoneticPr fontId="17"/>
  </si>
  <si>
    <t>10/4</t>
    <phoneticPr fontId="17"/>
  </si>
  <si>
    <t>金</t>
    <rPh sb="0" eb="1">
      <t>キン</t>
    </rPh>
    <phoneticPr fontId="17"/>
  </si>
  <si>
    <t>2024/10/04</t>
  </si>
  <si>
    <t>10/9</t>
    <phoneticPr fontId="17"/>
  </si>
  <si>
    <t>水</t>
    <rPh sb="0" eb="1">
      <t>スイ</t>
    </rPh>
    <phoneticPr fontId="17"/>
  </si>
  <si>
    <t>11/5</t>
    <phoneticPr fontId="17"/>
  </si>
  <si>
    <t>火</t>
    <rPh sb="0" eb="1">
      <t>ヒ</t>
    </rPh>
    <phoneticPr fontId="17"/>
  </si>
  <si>
    <t>2024/11/20</t>
  </si>
  <si>
    <t>2024/11/27</t>
  </si>
  <si>
    <t>2024/11/30</t>
  </si>
  <si>
    <t>2024/12/04</t>
  </si>
  <si>
    <t>2024/12/11</t>
  </si>
  <si>
    <t>2024/12/06</t>
  </si>
  <si>
    <t>2024/11/29</t>
  </si>
  <si>
    <t>2024/11/25</t>
  </si>
  <si>
    <t>2024/11/19</t>
  </si>
  <si>
    <t>巻返し</t>
  </si>
  <si>
    <t>10/19</t>
    <phoneticPr fontId="17"/>
  </si>
  <si>
    <t>土</t>
    <rPh sb="0" eb="1">
      <t>ド</t>
    </rPh>
    <phoneticPr fontId="17"/>
  </si>
  <si>
    <t>ﾘｰﾄﾞ作成</t>
    <rPh sb="4" eb="6">
      <t>サクセイ</t>
    </rPh>
    <phoneticPr fontId="17"/>
  </si>
  <si>
    <t>10/24</t>
    <phoneticPr fontId="17"/>
  </si>
  <si>
    <t>木</t>
    <rPh sb="0" eb="1">
      <t>モク</t>
    </rPh>
    <phoneticPr fontId="17"/>
  </si>
  <si>
    <t>10/25</t>
    <phoneticPr fontId="17"/>
  </si>
  <si>
    <t>金</t>
    <rPh sb="0" eb="1">
      <t>キン</t>
    </rPh>
    <phoneticPr fontId="17"/>
  </si>
  <si>
    <t>10/28</t>
    <phoneticPr fontId="17"/>
  </si>
  <si>
    <t>月</t>
    <rPh sb="0" eb="1">
      <t>ゲツ</t>
    </rPh>
    <phoneticPr fontId="17"/>
  </si>
  <si>
    <t>10/29</t>
    <phoneticPr fontId="17"/>
  </si>
  <si>
    <t>火</t>
    <rPh sb="0" eb="1">
      <t>ヒ</t>
    </rPh>
    <phoneticPr fontId="17"/>
  </si>
  <si>
    <t>10/30</t>
    <phoneticPr fontId="17"/>
  </si>
  <si>
    <t>水</t>
    <rPh sb="0" eb="1">
      <t>スイ</t>
    </rPh>
    <phoneticPr fontId="17"/>
  </si>
  <si>
    <t>調整停機</t>
    <rPh sb="0" eb="2">
      <t>チョウセイ</t>
    </rPh>
    <rPh sb="2" eb="4">
      <t>テイキ</t>
    </rPh>
    <phoneticPr fontId="17"/>
  </si>
  <si>
    <t>11/2</t>
    <phoneticPr fontId="17"/>
  </si>
  <si>
    <t>公休</t>
    <rPh sb="0" eb="2">
      <t>コウキュウ</t>
    </rPh>
    <phoneticPr fontId="17"/>
  </si>
  <si>
    <t>11/3</t>
    <phoneticPr fontId="17"/>
  </si>
  <si>
    <t>日</t>
    <rPh sb="0" eb="1">
      <t>ニチ</t>
    </rPh>
    <phoneticPr fontId="17"/>
  </si>
  <si>
    <t>11/4</t>
    <phoneticPr fontId="17"/>
  </si>
  <si>
    <t>11/5</t>
    <phoneticPr fontId="17"/>
  </si>
  <si>
    <t>11/6</t>
    <phoneticPr fontId="17"/>
  </si>
  <si>
    <t>11/7</t>
    <phoneticPr fontId="17"/>
  </si>
  <si>
    <t>11/9</t>
    <phoneticPr fontId="17"/>
  </si>
  <si>
    <t>11/10</t>
    <phoneticPr fontId="17"/>
  </si>
  <si>
    <t>11/11</t>
    <phoneticPr fontId="17"/>
  </si>
  <si>
    <t>11/12</t>
    <phoneticPr fontId="17"/>
  </si>
  <si>
    <t>11/13</t>
    <phoneticPr fontId="17"/>
  </si>
  <si>
    <t>11/14</t>
    <phoneticPr fontId="17"/>
  </si>
  <si>
    <t>11/15</t>
    <phoneticPr fontId="17"/>
  </si>
  <si>
    <t>11/1</t>
    <phoneticPr fontId="17"/>
  </si>
  <si>
    <t>金</t>
    <rPh sb="0" eb="1">
      <t>キン</t>
    </rPh>
    <phoneticPr fontId="17"/>
  </si>
  <si>
    <t>2024/10/23</t>
  </si>
  <si>
    <t>機能材料G　石田部員</t>
    <rPh sb="0" eb="2">
      <t>ザイリョウ</t>
    </rPh>
    <rPh sb="4" eb="6">
      <t>ナカノ</t>
    </rPh>
    <rPh sb="6" eb="8">
      <t>イシダ</t>
    </rPh>
    <phoneticPr fontId="5"/>
  </si>
  <si>
    <t>10/31</t>
    <phoneticPr fontId="17"/>
  </si>
  <si>
    <t>木</t>
    <rPh sb="0" eb="1">
      <t>モク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</si>
  <si>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</si>
  <si>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</si>
  <si>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2/17</t>
    <phoneticPr fontId="17"/>
  </si>
  <si>
    <t>月</t>
    <rPh sb="0" eb="1">
      <t>ゲツ</t>
    </rPh>
    <phoneticPr fontId="17"/>
  </si>
  <si>
    <t>ＬＥＤ更新工事</t>
    <rPh sb="2" eb="4">
      <t>コウシン</t>
    </rPh>
    <rPh sb="4" eb="6">
      <t>コウジ</t>
    </rPh>
    <phoneticPr fontId="17"/>
  </si>
  <si>
    <t>欠点取り</t>
    <rPh sb="0" eb="2">
      <t>ケッテン</t>
    </rPh>
    <rPh sb="2" eb="3">
      <t>ド</t>
    </rPh>
    <phoneticPr fontId="17"/>
  </si>
  <si>
    <t>Metalumy CR</t>
  </si>
  <si>
    <t>MCR</t>
    <phoneticPr fontId="17"/>
  </si>
  <si>
    <t>2024/10/28</t>
  </si>
  <si>
    <t>2024/12/09</t>
  </si>
  <si>
    <t>2024/11/15</t>
  </si>
  <si>
    <t>BX8A06</t>
  </si>
  <si>
    <t>ＣＥＲＡＰＥＥＬ　ＢＸ８Ａ０６</t>
  </si>
  <si>
    <t>加工ﾌｨﾙﾑ開発部　円谷課員</t>
    <rPh sb="0" eb="1">
      <t>カコウ</t>
    </rPh>
    <rPh sb="5" eb="7">
      <t>カイハツ</t>
    </rPh>
    <rPh sb="7" eb="8">
      <t>ブ</t>
    </rPh>
    <rPh sb="9" eb="11">
      <t>ツムラヤ</t>
    </rPh>
    <rPh sb="11" eb="13">
      <t>カイン</t>
    </rPh>
    <phoneticPr fontId="17"/>
  </si>
  <si>
    <t>※タイプ名変更</t>
    <rPh sb="3" eb="4">
      <t>メイ</t>
    </rPh>
    <rPh sb="4" eb="6">
      <t>ヘンコウ</t>
    </rPh>
    <phoneticPr fontId="17"/>
  </si>
  <si>
    <t>※追加</t>
    <rPh sb="0" eb="2">
      <t>ツイカ</t>
    </rPh>
    <phoneticPr fontId="17"/>
  </si>
  <si>
    <t>※追加</t>
    <rPh sb="0" eb="1">
      <t>ツイカ</t>
    </rPh>
    <phoneticPr fontId="17"/>
  </si>
  <si>
    <t>水</t>
    <rPh sb="0" eb="1">
      <t>スイ</t>
    </rPh>
    <phoneticPr fontId="17"/>
  </si>
  <si>
    <t>11/6</t>
    <phoneticPr fontId="17"/>
  </si>
  <si>
    <t>11/7</t>
    <phoneticPr fontId="17"/>
  </si>
  <si>
    <t>木</t>
    <rPh sb="0" eb="1">
      <t>モク</t>
    </rPh>
    <phoneticPr fontId="17"/>
  </si>
  <si>
    <t>機能材料G　石田部員</t>
    <rPh sb="0" eb="2">
      <t>ザイリョウ</t>
    </rPh>
    <rPh sb="4" eb="6">
      <t>ナカノ</t>
    </rPh>
    <rPh sb="6" eb="8">
      <t>イシダ</t>
    </rPh>
    <rPh sb="8" eb="10">
      <t>ブイン</t>
    </rPh>
    <phoneticPr fontId="5"/>
  </si>
  <si>
    <t>ニップロール交換、プーリー交換</t>
    <rPh sb="6" eb="8">
      <t>コウカン</t>
    </rPh>
    <rPh sb="13" eb="15">
      <t>コウカン</t>
    </rPh>
    <phoneticPr fontId="17"/>
  </si>
  <si>
    <t>11/8</t>
  </si>
  <si>
    <t>11/18</t>
  </si>
  <si>
    <t>※ﾘｶﾊﾞﾘｰ原反</t>
    <rPh sb="6" eb="8">
      <t>ゲンタン</t>
    </rPh>
    <phoneticPr fontId="17"/>
  </si>
  <si>
    <t>11/9</t>
    <phoneticPr fontId="17"/>
  </si>
  <si>
    <t>土</t>
    <rPh sb="0" eb="1">
      <t>ド</t>
    </rPh>
    <phoneticPr fontId="17"/>
  </si>
  <si>
    <t>11/11</t>
    <phoneticPr fontId="17"/>
  </si>
  <si>
    <t>11/18</t>
    <phoneticPr fontId="17"/>
  </si>
  <si>
    <t>11/19</t>
    <phoneticPr fontId="17"/>
  </si>
  <si>
    <t>火</t>
    <rPh sb="0" eb="1">
      <t>ヒ</t>
    </rPh>
    <phoneticPr fontId="17"/>
  </si>
  <si>
    <t>11/20</t>
    <phoneticPr fontId="17"/>
  </si>
  <si>
    <t>水</t>
    <rPh sb="0" eb="1">
      <t>スイ</t>
    </rPh>
    <phoneticPr fontId="17"/>
  </si>
  <si>
    <t>11/14</t>
  </si>
  <si>
    <t>11/15</t>
    <phoneticPr fontId="17"/>
  </si>
  <si>
    <t>金</t>
    <rPh sb="0" eb="1">
      <t>キン</t>
    </rPh>
    <phoneticPr fontId="17"/>
  </si>
  <si>
    <t>11/20</t>
    <phoneticPr fontId="17"/>
  </si>
  <si>
    <t>水</t>
    <rPh sb="0" eb="1">
      <t>スイ</t>
    </rPh>
    <phoneticPr fontId="17"/>
  </si>
  <si>
    <t>11/21</t>
    <phoneticPr fontId="17"/>
  </si>
  <si>
    <t>木</t>
    <rPh sb="0" eb="1">
      <t>モク</t>
    </rPh>
    <phoneticPr fontId="17"/>
  </si>
  <si>
    <t>11/22</t>
    <phoneticPr fontId="17"/>
  </si>
  <si>
    <t>11/25</t>
    <phoneticPr fontId="17"/>
  </si>
  <si>
    <t>月</t>
    <rPh sb="0" eb="1">
      <t>ゲツ</t>
    </rPh>
    <phoneticPr fontId="17"/>
  </si>
  <si>
    <t>11/26</t>
    <phoneticPr fontId="17"/>
  </si>
  <si>
    <t>火</t>
    <rPh sb="0" eb="1">
      <t>ヒ</t>
    </rPh>
    <phoneticPr fontId="17"/>
  </si>
  <si>
    <t>11/23</t>
    <phoneticPr fontId="17"/>
  </si>
  <si>
    <t>土</t>
    <rPh sb="0" eb="1">
      <t>ド</t>
    </rPh>
    <phoneticPr fontId="17"/>
  </si>
  <si>
    <t>11/24</t>
    <phoneticPr fontId="17"/>
  </si>
  <si>
    <t>日</t>
    <rPh sb="0" eb="1">
      <t>ニチ</t>
    </rPh>
    <phoneticPr fontId="17"/>
  </si>
  <si>
    <t>11/30</t>
    <phoneticPr fontId="17"/>
  </si>
  <si>
    <t>12/1</t>
    <phoneticPr fontId="17"/>
  </si>
  <si>
    <t>11/1</t>
    <phoneticPr fontId="17"/>
  </si>
  <si>
    <t>2024/11/18</t>
  </si>
  <si>
    <t>11/27</t>
    <phoneticPr fontId="17"/>
  </si>
  <si>
    <t>水</t>
    <rPh sb="0" eb="1">
      <t>スイ</t>
    </rPh>
    <phoneticPr fontId="17"/>
  </si>
  <si>
    <t>11/26</t>
    <phoneticPr fontId="17"/>
  </si>
  <si>
    <t>火</t>
    <rPh sb="0" eb="1">
      <t>ヒ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</si>
  <si>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</si>
  <si>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ﾘｰﾄﾞ作成</t>
    <rPh sb="4" eb="6">
      <t>サクセイ</t>
    </rPh>
    <phoneticPr fontId="17"/>
  </si>
  <si>
    <t>2024/11/21</t>
  </si>
  <si>
    <t>2024/12/20</t>
  </si>
  <si>
    <t>トーヨーケム　川越</t>
  </si>
  <si>
    <t>2024/12/27</t>
  </si>
  <si>
    <t>2025/01/08</t>
  </si>
  <si>
    <t>2024/12/16</t>
  </si>
  <si>
    <t>27114DB</t>
  </si>
  <si>
    <t>2024/12/26</t>
  </si>
  <si>
    <t>2025/01/27</t>
  </si>
  <si>
    <t>2024/12/18</t>
  </si>
  <si>
    <t>11/28</t>
    <phoneticPr fontId="17"/>
  </si>
  <si>
    <t>木</t>
    <rPh sb="0" eb="1">
      <t>モク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</si>
  <si>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</si>
  <si>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11/29</t>
    <phoneticPr fontId="17"/>
  </si>
  <si>
    <t>金</t>
    <rPh sb="0" eb="1">
      <t>キン</t>
    </rPh>
    <phoneticPr fontId="17"/>
  </si>
  <si>
    <t>11/30</t>
    <phoneticPr fontId="17"/>
  </si>
  <si>
    <t>土</t>
    <rPh sb="0" eb="1">
      <t>ド</t>
    </rPh>
    <phoneticPr fontId="17"/>
  </si>
  <si>
    <t>公休</t>
    <rPh sb="0" eb="2">
      <t>コウキュウ</t>
    </rPh>
    <phoneticPr fontId="17"/>
  </si>
  <si>
    <t>12/1</t>
    <phoneticPr fontId="17"/>
  </si>
  <si>
    <t>日</t>
    <rPh sb="0" eb="1">
      <t>ニチ</t>
    </rPh>
    <phoneticPr fontId="17"/>
  </si>
  <si>
    <t>12/2</t>
    <phoneticPr fontId="17"/>
  </si>
  <si>
    <t>月</t>
    <rPh sb="0" eb="1">
      <t>ゲツ</t>
    </rPh>
    <phoneticPr fontId="17"/>
  </si>
  <si>
    <t>調整停機</t>
    <rPh sb="0" eb="2">
      <t>チョウセイ</t>
    </rPh>
    <rPh sb="2" eb="4">
      <t>テイキ</t>
    </rPh>
    <phoneticPr fontId="17"/>
  </si>
  <si>
    <t>12/3</t>
    <phoneticPr fontId="17"/>
  </si>
  <si>
    <t>火</t>
    <rPh sb="0" eb="1">
      <t>ヒ</t>
    </rPh>
    <phoneticPr fontId="17"/>
  </si>
  <si>
    <t>12/4</t>
    <phoneticPr fontId="17"/>
  </si>
  <si>
    <t>水</t>
    <rPh sb="0" eb="1">
      <t>スイ</t>
    </rPh>
    <phoneticPr fontId="17"/>
  </si>
  <si>
    <t>12/5</t>
    <phoneticPr fontId="17"/>
  </si>
  <si>
    <t>12/7</t>
    <phoneticPr fontId="17"/>
  </si>
  <si>
    <t>12/8</t>
    <phoneticPr fontId="17"/>
  </si>
  <si>
    <t>月</t>
    <rPh sb="0" eb="1">
      <t>ツキ</t>
    </rPh>
    <phoneticPr fontId="17"/>
  </si>
  <si>
    <t>12/13</t>
    <phoneticPr fontId="17"/>
  </si>
  <si>
    <t>12/3</t>
    <phoneticPr fontId="17"/>
  </si>
  <si>
    <t>火</t>
    <rPh sb="0" eb="1">
      <t>ヒ</t>
    </rPh>
    <phoneticPr fontId="17"/>
  </si>
  <si>
    <t>12/11</t>
    <phoneticPr fontId="17"/>
  </si>
  <si>
    <t>水</t>
    <rPh sb="0" eb="1">
      <t>スイ</t>
    </rPh>
    <phoneticPr fontId="17"/>
  </si>
  <si>
    <t>12/12</t>
    <phoneticPr fontId="17"/>
  </si>
  <si>
    <t>木</t>
    <rPh sb="0" eb="1">
      <t>モク</t>
    </rPh>
    <phoneticPr fontId="17"/>
  </si>
  <si>
    <t>12/10</t>
    <phoneticPr fontId="17"/>
  </si>
  <si>
    <t>火</t>
    <rPh sb="0" eb="1">
      <t>ヒ</t>
    </rPh>
    <phoneticPr fontId="17"/>
  </si>
  <si>
    <t>12/11</t>
    <phoneticPr fontId="17"/>
  </si>
  <si>
    <t>水</t>
    <rPh sb="0" eb="1">
      <t>スイ</t>
    </rPh>
    <phoneticPr fontId="17"/>
  </si>
  <si>
    <t>12/12</t>
    <phoneticPr fontId="17"/>
  </si>
  <si>
    <t>木</t>
    <rPh sb="0" eb="1">
      <t>モク</t>
    </rPh>
    <phoneticPr fontId="17"/>
  </si>
  <si>
    <t>12/13</t>
    <phoneticPr fontId="17"/>
  </si>
  <si>
    <t>金</t>
    <rPh sb="0" eb="1">
      <t>キン</t>
    </rPh>
    <phoneticPr fontId="17"/>
  </si>
  <si>
    <t>12/14</t>
    <phoneticPr fontId="17"/>
  </si>
  <si>
    <t>土</t>
    <rPh sb="0" eb="1">
      <t>ド</t>
    </rPh>
    <phoneticPr fontId="17"/>
  </si>
  <si>
    <t>12/15</t>
    <phoneticPr fontId="17"/>
  </si>
  <si>
    <t>日</t>
    <rPh sb="0" eb="1">
      <t>ニチ</t>
    </rPh>
    <phoneticPr fontId="17"/>
  </si>
  <si>
    <t>12/16</t>
    <phoneticPr fontId="17"/>
  </si>
  <si>
    <t>月</t>
    <rPh sb="0" eb="1">
      <t>ゲツ</t>
    </rPh>
    <phoneticPr fontId="17"/>
  </si>
  <si>
    <t>12/17</t>
    <phoneticPr fontId="17"/>
  </si>
  <si>
    <t>12/18</t>
    <phoneticPr fontId="17"/>
  </si>
  <si>
    <t>12/19</t>
    <phoneticPr fontId="17"/>
  </si>
  <si>
    <t>12/20</t>
    <phoneticPr fontId="17"/>
  </si>
  <si>
    <t>公休</t>
    <rPh sb="0" eb="2">
      <t>コウキュウ</t>
    </rPh>
    <phoneticPr fontId="17"/>
  </si>
  <si>
    <t>※輸出梱包</t>
    <rPh sb="0" eb="2">
      <t>ユシュツ</t>
    </rPh>
    <rPh sb="2" eb="4">
      <t>コンポウ</t>
    </rPh>
    <phoneticPr fontId="17"/>
  </si>
  <si>
    <t>ﾘｰﾄﾞ作成</t>
    <rPh sb="4" eb="6">
      <t>サクセイ</t>
    </rPh>
    <phoneticPr fontId="17"/>
  </si>
  <si>
    <t>12/21</t>
    <phoneticPr fontId="17"/>
  </si>
  <si>
    <t>12/22</t>
    <phoneticPr fontId="17"/>
  </si>
  <si>
    <t>12/23</t>
    <phoneticPr fontId="17"/>
  </si>
  <si>
    <t>12/24</t>
    <phoneticPr fontId="17"/>
  </si>
  <si>
    <t>12/25</t>
    <phoneticPr fontId="17"/>
  </si>
  <si>
    <t>U</t>
    <phoneticPr fontId="17"/>
  </si>
  <si>
    <t>MCR</t>
    <phoneticPr fontId="17"/>
  </si>
  <si>
    <t>メタルミー　ＣＲ</t>
    <phoneticPr fontId="17"/>
  </si>
  <si>
    <t>巻足し</t>
    <rPh sb="0" eb="1">
      <t>マキ</t>
    </rPh>
    <rPh sb="1" eb="2">
      <t>タ</t>
    </rPh>
    <phoneticPr fontId="17"/>
  </si>
  <si>
    <t>S28M</t>
    <phoneticPr fontId="17"/>
  </si>
  <si>
    <t>S105</t>
    <phoneticPr fontId="17"/>
  </si>
  <si>
    <t>日東電工上海</t>
    <rPh sb="0" eb="1">
      <t>ニットウ</t>
    </rPh>
    <rPh sb="1" eb="3">
      <t>デンコウ</t>
    </rPh>
    <rPh sb="3" eb="5">
      <t>シャンハイ</t>
    </rPh>
    <phoneticPr fontId="17"/>
  </si>
  <si>
    <t>メタルミー　ＣＲ（コロナ原反）</t>
    <rPh sb="12" eb="14">
      <t>ゲンタン</t>
    </rPh>
    <phoneticPr fontId="17"/>
  </si>
  <si>
    <t>12/4</t>
    <phoneticPr fontId="17"/>
  </si>
  <si>
    <t>水</t>
    <rPh sb="0" eb="1">
      <t>スイ</t>
    </rPh>
    <phoneticPr fontId="17"/>
  </si>
  <si>
    <t>約定№なし</t>
    <rPh sb="0" eb="2">
      <t>ヤクジョウ</t>
    </rPh>
    <phoneticPr fontId="17"/>
  </si>
  <si>
    <t>作業指示なし</t>
    <rPh sb="0" eb="2">
      <t>サギョウ</t>
    </rPh>
    <rPh sb="2" eb="4">
      <t>シジ</t>
    </rPh>
    <phoneticPr fontId="17"/>
  </si>
  <si>
    <t>12/20</t>
    <phoneticPr fontId="17"/>
  </si>
  <si>
    <t>金</t>
    <rPh sb="0" eb="1">
      <t>キン</t>
    </rPh>
    <phoneticPr fontId="17"/>
  </si>
  <si>
    <t>12/21</t>
    <phoneticPr fontId="17"/>
  </si>
  <si>
    <t>土</t>
    <rPh sb="0" eb="1">
      <t>ド</t>
    </rPh>
    <phoneticPr fontId="17"/>
  </si>
  <si>
    <t>12/23</t>
    <phoneticPr fontId="17"/>
  </si>
  <si>
    <t>月</t>
    <rPh sb="0" eb="1">
      <t>ゲツ</t>
    </rPh>
    <phoneticPr fontId="17"/>
  </si>
  <si>
    <t>12/24</t>
    <phoneticPr fontId="17"/>
  </si>
  <si>
    <t>火</t>
    <rPh sb="0" eb="1">
      <t>ヒ</t>
    </rPh>
    <phoneticPr fontId="17"/>
  </si>
  <si>
    <t>日東電工上海</t>
    <rPh sb="0" eb="1">
      <t>ニットウ</t>
    </rPh>
    <rPh sb="1" eb="3">
      <t>デンコウ</t>
    </rPh>
    <rPh sb="3" eb="5">
      <t>シャンハイ</t>
    </rPh>
    <phoneticPr fontId="17"/>
  </si>
  <si>
    <t>12/16</t>
    <phoneticPr fontId="17"/>
  </si>
  <si>
    <t>月</t>
    <rPh sb="0" eb="1">
      <t>ゲツ</t>
    </rPh>
    <phoneticPr fontId="17"/>
  </si>
  <si>
    <t>・蒸着スケジュールに合わせ配台調整実施</t>
    <rPh sb="1" eb="3">
      <t>ジョウチャク</t>
    </rPh>
    <rPh sb="10" eb="11">
      <t>ア</t>
    </rPh>
    <rPh sb="13" eb="14">
      <t>ハイ</t>
    </rPh>
    <rPh sb="14" eb="15">
      <t>ダイ</t>
    </rPh>
    <rPh sb="15" eb="17">
      <t>チョウセイ</t>
    </rPh>
    <rPh sb="17" eb="19">
      <t>ジッシ</t>
    </rPh>
    <phoneticPr fontId="17"/>
  </si>
  <si>
    <t>※ｽﾎﾟｰｷﾝｸﾞ発生のためS4で対応</t>
    <rPh sb="8" eb="10">
      <t>ハッセイ</t>
    </rPh>
    <rPh sb="16" eb="18">
      <t>タイオウ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</si>
</sst>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mm/dd"/>
    <numFmt numFmtId="177" formatCode="m/d"/>
    <numFmt numFmtId="178" formatCode="m/d;@"/>
    <numFmt numFmtId="179" formatCode="#,##0_ "/>
    <numFmt numFmtId="180" formatCode="#,##0_ ;[Red]\-#,##0\ "/>
    <numFmt numFmtId="181" formatCode="#,##0_);[Red]\(#,##0\)"/>
    <numFmt numFmtId="182" formatCode="yyyy/m/d;@"/>
  </numFmts>
  <fonts count="6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9"/>
      <color indexed="9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  <scheme val="major"/>
    </font>
    <font>
      <u/>
      <sz val="24"/>
      <name val="ＭＳ Ｐゴシック"/>
      <family val="3"/>
      <charset val="128"/>
      <scheme val="major"/>
    </font>
    <font>
      <sz val="14"/>
      <name val="ＭＳ Ｐゴシック"/>
      <family val="3"/>
      <charset val="128"/>
      <scheme val="major"/>
    </font>
    <font>
      <b/>
      <sz val="18"/>
      <name val="ＭＳ Ｐゴシック"/>
      <family val="3"/>
      <charset val="128"/>
      <scheme val="major"/>
    </font>
    <font>
      <b/>
      <sz val="18"/>
      <color theme="0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ajor"/>
    </font>
    <font>
      <sz val="16"/>
      <name val="ＭＳ Ｐゴシック"/>
      <family val="3"/>
      <charset val="128"/>
      <scheme val="major"/>
    </font>
    <font>
      <sz val="16"/>
      <color rgb="FFFF0000"/>
      <name val="ＭＳ Ｐゴシック"/>
      <family val="3"/>
      <charset val="128"/>
      <scheme val="major"/>
    </font>
    <font>
      <sz val="24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6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10"/>
      <name val="Arial"/>
      <family val="2"/>
    </font>
    <font>
      <sz val="10"/>
      <color rgb="FF0000FF"/>
      <name val="ＭＳ Ｐゴシック"/>
      <family val="3"/>
      <charset val="128"/>
    </font>
    <font>
      <sz val="11"/>
      <color rgb="FF0000FF"/>
      <name val="ＭＳ Ｐゴシック"/>
      <family val="3"/>
      <charset val="128"/>
    </font>
    <font>
      <sz val="11"/>
      <color rgb="FF0000FF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rgb="FFFF0000"/>
      <name val="Arial"/>
      <family val="2"/>
    </font>
    <font>
      <sz val="14"/>
      <color theme="0"/>
      <name val="ＭＳ Ｐゴシック"/>
      <family val="3"/>
      <charset val="128"/>
      <scheme val="major"/>
    </font>
    <font>
      <sz val="11"/>
      <color theme="0"/>
      <name val="ＭＳ Ｐゴシック"/>
      <family val="3"/>
      <charset val="128"/>
      <scheme val="major"/>
    </font>
    <font>
      <b/>
      <sz val="22"/>
      <color rgb="FFFF0000"/>
      <name val="ＭＳ Ｐゴシック"/>
      <family val="3"/>
      <charset val="128"/>
      <scheme val="major"/>
    </font>
    <font>
      <sz val="16"/>
      <color rgb="FF0000FF"/>
      <name val="ＭＳ Ｐゴシック"/>
      <family val="3"/>
      <charset val="128"/>
      <scheme val="major"/>
    </font>
    <font>
      <b/>
      <sz val="16"/>
      <color rgb="FFFF0000"/>
      <name val="ＭＳ Ｐゴシック"/>
      <family val="3"/>
      <charset val="128"/>
      <scheme val="major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b/>
      <sz val="16"/>
      <color rgb="FF0000FF"/>
      <name val="ＭＳ Ｐゴシック"/>
      <family val="3"/>
      <charset val="128"/>
      <scheme val="major"/>
    </font>
    <font>
      <sz val="16"/>
      <color rgb="FFFF3300"/>
      <name val="ＭＳ Ｐゴシック"/>
      <family val="3"/>
      <charset val="128"/>
      <scheme val="major"/>
    </font>
    <font>
      <sz val="14"/>
      <color rgb="FFFF0000"/>
      <name val="ＭＳ Ｐゴシック"/>
      <family val="3"/>
      <charset val="128"/>
      <scheme val="major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medium">
        <color indexed="8"/>
      </bottom>
      <diagonal/>
    </border>
    <border>
      <left/>
      <right/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medium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dotted">
        <color indexed="8"/>
      </top>
      <bottom style="medium">
        <color indexed="8"/>
      </bottom>
      <diagonal/>
    </border>
    <border>
      <left/>
      <right/>
      <top style="dotted">
        <color indexed="8"/>
      </top>
      <bottom style="dotted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9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/>
      <diagonal/>
    </border>
    <border>
      <left style="thin">
        <color indexed="8"/>
      </left>
      <right style="thin">
        <color auto="1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dotted">
        <color indexed="8"/>
      </top>
      <bottom style="dotted">
        <color indexed="8"/>
      </bottom>
      <diagonal/>
    </border>
    <border>
      <left style="medium">
        <color indexed="8"/>
      </left>
      <right/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dotted">
        <color indexed="8"/>
      </top>
      <bottom style="dotted">
        <color indexed="8"/>
      </bottom>
      <diagonal/>
    </border>
    <border>
      <left/>
      <right style="medium">
        <color indexed="8"/>
      </right>
      <top style="dotted">
        <color indexed="8"/>
      </top>
      <bottom style="medium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8"/>
      </left>
      <right/>
      <top style="dotted">
        <color indexed="8"/>
      </top>
      <bottom/>
      <diagonal/>
    </border>
    <border>
      <left/>
      <right/>
      <top style="dotted">
        <color indexed="8"/>
      </top>
      <bottom/>
      <diagonal/>
    </border>
    <border>
      <left style="thin">
        <color indexed="8"/>
      </left>
      <right/>
      <top style="dotted">
        <color indexed="8"/>
      </top>
      <bottom/>
      <diagonal/>
    </border>
    <border>
      <left/>
      <right style="thin">
        <color indexed="8"/>
      </right>
      <top style="dotted">
        <color indexed="8"/>
      </top>
      <bottom/>
      <diagonal/>
    </border>
    <border>
      <left style="thin">
        <color indexed="8"/>
      </left>
      <right style="medium">
        <color indexed="8"/>
      </right>
      <top style="dotted">
        <color indexed="8"/>
      </top>
      <bottom/>
      <diagonal/>
    </border>
    <border>
      <left style="medium">
        <color indexed="8"/>
      </left>
      <right style="medium">
        <color indexed="8"/>
      </right>
      <top style="dotted">
        <color indexed="8"/>
      </top>
      <bottom/>
      <diagonal/>
    </border>
    <border>
      <left/>
      <right style="medium">
        <color indexed="8"/>
      </right>
      <top style="dotted">
        <color indexed="8"/>
      </top>
      <bottom/>
      <diagonal/>
    </border>
    <border>
      <left style="medium">
        <color indexed="8"/>
      </left>
      <right style="thin">
        <color indexed="8"/>
      </right>
      <top style="dotted">
        <color indexed="8"/>
      </top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/>
      <diagonal/>
    </border>
  </borders>
  <cellStyleXfs count="185">
    <xf numFmtId="0" fontId="0" fillId="0" borderId="0"/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8" fillId="6" borderId="16" applyNumberFormat="0" applyAlignment="0" applyProtection="0">
      <alignment vertical="center"/>
    </xf>
    <xf numFmtId="0" fontId="29" fillId="7" borderId="17" applyNumberFormat="0" applyAlignment="0" applyProtection="0">
      <alignment vertical="center"/>
    </xf>
    <xf numFmtId="0" fontId="30" fillId="7" borderId="16" applyNumberFormat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8" borderId="1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9" borderId="20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9" borderId="20" applyNumberFormat="0" applyFont="0" applyAlignment="0" applyProtection="0">
      <alignment vertical="center"/>
    </xf>
    <xf numFmtId="0" fontId="14" fillId="0" borderId="0">
      <alignment vertical="center"/>
    </xf>
    <xf numFmtId="0" fontId="14" fillId="9" borderId="20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9" borderId="20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9" borderId="20" applyNumberFormat="0" applyFont="0" applyAlignment="0" applyProtection="0">
      <alignment vertical="center"/>
    </xf>
    <xf numFmtId="0" fontId="13" fillId="0" borderId="0">
      <alignment vertical="center"/>
    </xf>
    <xf numFmtId="0" fontId="13" fillId="9" borderId="20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9" borderId="2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9" borderId="20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9" borderId="20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9" borderId="20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9" borderId="20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</cellStyleXfs>
  <cellXfs count="493">
    <xf numFmtId="0" fontId="0" fillId="0" borderId="0" xfId="0"/>
    <xf numFmtId="0" fontId="40" fillId="0" borderId="0" xfId="0" applyFont="1" applyFill="1"/>
    <xf numFmtId="0" fontId="41" fillId="0" borderId="0" xfId="0" applyFont="1" applyFill="1" applyProtection="1"/>
    <xf numFmtId="0" fontId="40" fillId="0" borderId="0" xfId="0" applyFont="1" applyFill="1" applyProtection="1"/>
    <xf numFmtId="49" fontId="40" fillId="0" borderId="0" xfId="0" applyNumberFormat="1" applyFont="1" applyFill="1" applyAlignment="1" applyProtection="1">
      <alignment horizontal="left"/>
    </xf>
    <xf numFmtId="0" fontId="40" fillId="0" borderId="0" xfId="0" applyFont="1" applyFill="1" applyAlignment="1" applyProtection="1">
      <alignment horizontal="center" shrinkToFit="1"/>
    </xf>
    <xf numFmtId="0" fontId="40" fillId="0" borderId="0" xfId="0" applyFont="1" applyFill="1" applyAlignment="1" applyProtection="1">
      <alignment horizontal="center"/>
    </xf>
    <xf numFmtId="180" fontId="40" fillId="0" borderId="0" xfId="0" applyNumberFormat="1" applyFont="1" applyFill="1" applyProtection="1"/>
    <xf numFmtId="49" fontId="40" fillId="0" borderId="0" xfId="0" applyNumberFormat="1" applyFont="1" applyFill="1" applyAlignment="1" applyProtection="1">
      <alignment horizontal="center"/>
    </xf>
    <xf numFmtId="0" fontId="42" fillId="0" borderId="30" xfId="0" applyFont="1" applyFill="1" applyBorder="1" applyAlignment="1" applyProtection="1">
      <alignment horizontal="center"/>
    </xf>
    <xf numFmtId="176" fontId="42" fillId="0" borderId="22" xfId="0" applyNumberFormat="1" applyFont="1" applyFill="1" applyBorder="1" applyAlignment="1" applyProtection="1">
      <alignment horizontal="center"/>
    </xf>
    <xf numFmtId="0" fontId="42" fillId="0" borderId="22" xfId="0" applyFont="1" applyFill="1" applyBorder="1" applyAlignment="1" applyProtection="1">
      <alignment horizontal="center"/>
    </xf>
    <xf numFmtId="178" fontId="40" fillId="0" borderId="0" xfId="0" applyNumberFormat="1" applyFont="1" applyFill="1"/>
    <xf numFmtId="0" fontId="43" fillId="0" borderId="0" xfId="0" applyFont="1" applyFill="1"/>
    <xf numFmtId="0" fontId="44" fillId="0" borderId="0" xfId="0" applyFont="1" applyFill="1"/>
    <xf numFmtId="0" fontId="45" fillId="0" borderId="0" xfId="0" applyFont="1" applyFill="1"/>
    <xf numFmtId="0" fontId="41" fillId="0" borderId="0" xfId="0" quotePrefix="1" applyFont="1" applyFill="1" applyAlignment="1" applyProtection="1">
      <alignment horizontal="left"/>
    </xf>
    <xf numFmtId="0" fontId="46" fillId="0" borderId="0" xfId="0" applyFont="1" applyFill="1"/>
    <xf numFmtId="0" fontId="40" fillId="0" borderId="30" xfId="0" applyFont="1" applyFill="1" applyBorder="1" applyProtection="1"/>
    <xf numFmtId="176" fontId="40" fillId="0" borderId="22" xfId="0" applyNumberFormat="1" applyFont="1" applyFill="1" applyBorder="1" applyProtection="1"/>
    <xf numFmtId="0" fontId="40" fillId="0" borderId="22" xfId="0" applyFont="1" applyFill="1" applyBorder="1" applyProtection="1"/>
    <xf numFmtId="179" fontId="45" fillId="0" borderId="0" xfId="0" applyNumberFormat="1" applyFont="1" applyFill="1"/>
    <xf numFmtId="176" fontId="40" fillId="0" borderId="0" xfId="0" applyNumberFormat="1" applyFont="1" applyFill="1" applyProtection="1"/>
    <xf numFmtId="176" fontId="40" fillId="0" borderId="0" xfId="0" applyNumberFormat="1" applyFont="1" applyFill="1" applyAlignment="1" applyProtection="1">
      <alignment horizontal="center"/>
    </xf>
    <xf numFmtId="0" fontId="40" fillId="0" borderId="0" xfId="0" applyFont="1" applyFill="1" applyAlignment="1">
      <alignment horizontal="center"/>
    </xf>
    <xf numFmtId="0" fontId="42" fillId="0" borderId="23" xfId="0" applyFont="1" applyFill="1" applyBorder="1" applyAlignment="1" applyProtection="1">
      <alignment horizontal="center" wrapText="1"/>
    </xf>
    <xf numFmtId="178" fontId="42" fillId="0" borderId="0" xfId="0" applyNumberFormat="1" applyFont="1" applyFill="1" applyBorder="1" applyAlignment="1" applyProtection="1">
      <alignment horizontal="center"/>
    </xf>
    <xf numFmtId="0" fontId="43" fillId="0" borderId="0" xfId="0" applyFont="1" applyFill="1" applyAlignment="1">
      <alignment vertical="center"/>
    </xf>
    <xf numFmtId="0" fontId="44" fillId="0" borderId="0" xfId="0" applyFont="1" applyFill="1" applyAlignment="1">
      <alignment vertical="center"/>
    </xf>
    <xf numFmtId="0" fontId="45" fillId="0" borderId="0" xfId="0" applyFont="1" applyFill="1" applyAlignment="1">
      <alignment vertical="center"/>
    </xf>
    <xf numFmtId="178" fontId="46" fillId="0" borderId="0" xfId="0" applyNumberFormat="1" applyFont="1" applyFill="1" applyBorder="1"/>
    <xf numFmtId="0" fontId="46" fillId="0" borderId="8" xfId="0" applyFont="1" applyFill="1" applyBorder="1" applyAlignment="1" applyProtection="1">
      <alignment horizontal="center"/>
    </xf>
    <xf numFmtId="0" fontId="46" fillId="0" borderId="7" xfId="0" applyFont="1" applyFill="1" applyBorder="1" applyProtection="1"/>
    <xf numFmtId="0" fontId="46" fillId="0" borderId="12" xfId="0" applyFont="1" applyFill="1" applyBorder="1" applyProtection="1"/>
    <xf numFmtId="0" fontId="46" fillId="0" borderId="3" xfId="0" applyFont="1" applyFill="1" applyBorder="1" applyAlignment="1" applyProtection="1">
      <alignment horizontal="center"/>
    </xf>
    <xf numFmtId="0" fontId="46" fillId="0" borderId="2" xfId="0" applyFont="1" applyFill="1" applyBorder="1" applyProtection="1"/>
    <xf numFmtId="0" fontId="46" fillId="0" borderId="4" xfId="0" applyFont="1" applyFill="1" applyBorder="1" applyProtection="1"/>
    <xf numFmtId="49" fontId="46" fillId="0" borderId="31" xfId="0" applyNumberFormat="1" applyFont="1" applyFill="1" applyBorder="1" applyAlignment="1" applyProtection="1">
      <alignment horizontal="center"/>
    </xf>
    <xf numFmtId="0" fontId="46" fillId="0" borderId="12" xfId="0" applyFont="1" applyFill="1" applyBorder="1" applyAlignment="1" applyProtection="1">
      <alignment horizontal="center"/>
    </xf>
    <xf numFmtId="181" fontId="46" fillId="0" borderId="8" xfId="0" applyNumberFormat="1" applyFont="1" applyFill="1" applyBorder="1" applyProtection="1"/>
    <xf numFmtId="181" fontId="46" fillId="0" borderId="8" xfId="0" applyNumberFormat="1" applyFont="1" applyFill="1" applyBorder="1" applyAlignment="1" applyProtection="1">
      <alignment horizontal="center"/>
    </xf>
    <xf numFmtId="49" fontId="46" fillId="0" borderId="32" xfId="0" applyNumberFormat="1" applyFont="1" applyFill="1" applyBorder="1" applyAlignment="1" applyProtection="1">
      <alignment horizontal="center"/>
    </xf>
    <xf numFmtId="0" fontId="46" fillId="0" borderId="4" xfId="0" applyFont="1" applyFill="1" applyBorder="1" applyAlignment="1" applyProtection="1">
      <alignment horizontal="center"/>
    </xf>
    <xf numFmtId="181" fontId="46" fillId="0" borderId="12" xfId="0" applyNumberFormat="1" applyFont="1" applyFill="1" applyBorder="1" applyProtection="1"/>
    <xf numFmtId="0" fontId="42" fillId="0" borderId="25" xfId="0" applyFont="1" applyFill="1" applyBorder="1" applyAlignment="1" applyProtection="1">
      <alignment horizontal="center"/>
    </xf>
    <xf numFmtId="49" fontId="46" fillId="0" borderId="31" xfId="0" applyNumberFormat="1" applyFont="1" applyFill="1" applyBorder="1" applyAlignment="1" applyProtection="1">
      <alignment horizontal="left"/>
    </xf>
    <xf numFmtId="49" fontId="46" fillId="0" borderId="32" xfId="0" applyNumberFormat="1" applyFont="1" applyFill="1" applyBorder="1" applyAlignment="1" applyProtection="1">
      <alignment horizontal="left"/>
    </xf>
    <xf numFmtId="181" fontId="46" fillId="0" borderId="10" xfId="0" applyNumberFormat="1" applyFont="1" applyFill="1" applyBorder="1" applyProtection="1"/>
    <xf numFmtId="181" fontId="46" fillId="0" borderId="3" xfId="0" applyNumberFormat="1" applyFont="1" applyFill="1" applyBorder="1" applyProtection="1"/>
    <xf numFmtId="181" fontId="46" fillId="0" borderId="11" xfId="0" applyNumberFormat="1" applyFont="1" applyFill="1" applyBorder="1" applyProtection="1"/>
    <xf numFmtId="181" fontId="46" fillId="0" borderId="3" xfId="0" applyNumberFormat="1" applyFont="1" applyFill="1" applyBorder="1" applyAlignment="1" applyProtection="1">
      <alignment horizontal="center"/>
    </xf>
    <xf numFmtId="0" fontId="42" fillId="0" borderId="0" xfId="0" applyFont="1" applyFill="1" applyBorder="1" applyAlignment="1" applyProtection="1">
      <alignment horizontal="center"/>
    </xf>
    <xf numFmtId="0" fontId="40" fillId="0" borderId="0" xfId="0" applyFont="1" applyFill="1" applyBorder="1" applyProtection="1"/>
    <xf numFmtId="0" fontId="40" fillId="0" borderId="33" xfId="0" applyFont="1" applyFill="1" applyBorder="1" applyAlignment="1" applyProtection="1"/>
    <xf numFmtId="0" fontId="46" fillId="0" borderId="33" xfId="0" applyFont="1" applyFill="1" applyBorder="1" applyProtection="1"/>
    <xf numFmtId="181" fontId="46" fillId="0" borderId="9" xfId="0" applyNumberFormat="1" applyFont="1" applyFill="1" applyBorder="1" applyProtection="1"/>
    <xf numFmtId="181" fontId="46" fillId="0" borderId="6" xfId="0" applyNumberFormat="1" applyFont="1" applyFill="1" applyBorder="1" applyProtection="1"/>
    <xf numFmtId="178" fontId="46" fillId="0" borderId="1" xfId="0" applyNumberFormat="1" applyFont="1" applyFill="1" applyBorder="1" applyAlignment="1">
      <alignment horizontal="center"/>
    </xf>
    <xf numFmtId="178" fontId="46" fillId="0" borderId="5" xfId="0" applyNumberFormat="1" applyFont="1" applyFill="1" applyBorder="1" applyAlignment="1">
      <alignment horizontal="center"/>
    </xf>
    <xf numFmtId="0" fontId="40" fillId="2" borderId="0" xfId="0" applyFont="1" applyFill="1" applyAlignment="1">
      <alignment horizontal="center" shrinkToFit="1"/>
    </xf>
    <xf numFmtId="0" fontId="19" fillId="0" borderId="0" xfId="184" applyFont="1">
      <alignment vertical="center"/>
    </xf>
    <xf numFmtId="0" fontId="19" fillId="0" borderId="0" xfId="184" applyFont="1" applyAlignment="1">
      <alignment horizontal="center" vertical="center"/>
    </xf>
    <xf numFmtId="0" fontId="48" fillId="0" borderId="0" xfId="184" applyFont="1">
      <alignment vertical="center"/>
    </xf>
    <xf numFmtId="0" fontId="19" fillId="0" borderId="39" xfId="184" applyFont="1" applyBorder="1" applyAlignment="1">
      <alignment horizontal="center" vertical="center" wrapText="1"/>
    </xf>
    <xf numFmtId="0" fontId="19" fillId="0" borderId="40" xfId="184" applyFont="1" applyBorder="1" applyAlignment="1">
      <alignment horizontal="center" vertical="center" wrapText="1"/>
    </xf>
    <xf numFmtId="0" fontId="39" fillId="0" borderId="29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19" fillId="0" borderId="41" xfId="184" applyFont="1" applyBorder="1" applyAlignment="1">
      <alignment horizontal="center" vertical="center" wrapText="1"/>
    </xf>
    <xf numFmtId="0" fontId="19" fillId="0" borderId="42" xfId="184" applyFont="1" applyBorder="1" applyAlignment="1">
      <alignment horizontal="center" vertical="center" wrapText="1"/>
    </xf>
    <xf numFmtId="0" fontId="19" fillId="0" borderId="43" xfId="184" applyFont="1" applyBorder="1" applyAlignment="1">
      <alignment horizontal="center" vertical="center" wrapText="1"/>
    </xf>
    <xf numFmtId="0" fontId="19" fillId="0" borderId="44" xfId="184" applyFont="1" applyBorder="1" applyAlignment="1">
      <alignment horizontal="center" vertical="center" wrapText="1"/>
    </xf>
    <xf numFmtId="0" fontId="19" fillId="0" borderId="0" xfId="184" applyFont="1" applyAlignment="1">
      <alignment horizontal="center" vertical="center" wrapText="1"/>
    </xf>
    <xf numFmtId="0" fontId="19" fillId="0" borderId="45" xfId="184" applyFont="1" applyBorder="1">
      <alignment vertical="center"/>
    </xf>
    <xf numFmtId="0" fontId="19" fillId="0" borderId="35" xfId="184" applyFont="1" applyBorder="1">
      <alignment vertical="center"/>
    </xf>
    <xf numFmtId="179" fontId="19" fillId="0" borderId="35" xfId="184" applyNumberFormat="1" applyFont="1" applyBorder="1">
      <alignment vertical="center"/>
    </xf>
    <xf numFmtId="179" fontId="19" fillId="0" borderId="46" xfId="184" applyNumberFormat="1" applyFont="1" applyBorder="1">
      <alignment vertical="center"/>
    </xf>
    <xf numFmtId="179" fontId="19" fillId="0" borderId="47" xfId="184" applyNumberFormat="1" applyFont="1" applyBorder="1" applyAlignment="1">
      <alignment horizontal="center" vertical="center"/>
    </xf>
    <xf numFmtId="0" fontId="19" fillId="0" borderId="45" xfId="184" applyFont="1" applyBorder="1" applyAlignment="1">
      <alignment horizontal="center" vertical="center"/>
    </xf>
    <xf numFmtId="0" fontId="19" fillId="0" borderId="48" xfId="184" applyFont="1" applyBorder="1" applyAlignment="1">
      <alignment horizontal="center" vertical="center"/>
    </xf>
    <xf numFmtId="0" fontId="19" fillId="0" borderId="35" xfId="184" applyFont="1" applyBorder="1" applyAlignment="1">
      <alignment horizontal="center" vertical="center"/>
    </xf>
    <xf numFmtId="0" fontId="19" fillId="0" borderId="46" xfId="184" applyFont="1" applyBorder="1" applyAlignment="1">
      <alignment horizontal="center" vertical="center"/>
    </xf>
    <xf numFmtId="0" fontId="19" fillId="0" borderId="49" xfId="184" applyFont="1" applyBorder="1" applyAlignment="1">
      <alignment horizontal="center" vertical="center"/>
    </xf>
    <xf numFmtId="0" fontId="19" fillId="0" borderId="46" xfId="184" applyFont="1" applyBorder="1">
      <alignment vertical="center"/>
    </xf>
    <xf numFmtId="0" fontId="19" fillId="0" borderId="50" xfId="184" applyFont="1" applyBorder="1">
      <alignment vertical="center"/>
    </xf>
    <xf numFmtId="179" fontId="19" fillId="0" borderId="51" xfId="184" applyNumberFormat="1" applyFont="1" applyBorder="1">
      <alignment vertical="center"/>
    </xf>
    <xf numFmtId="179" fontId="19" fillId="0" borderId="52" xfId="184" applyNumberFormat="1" applyFont="1" applyBorder="1" applyAlignment="1">
      <alignment horizontal="center" vertical="center"/>
    </xf>
    <xf numFmtId="0" fontId="19" fillId="0" borderId="50" xfId="184" applyFont="1" applyBorder="1" applyAlignment="1">
      <alignment horizontal="center" vertical="center"/>
    </xf>
    <xf numFmtId="0" fontId="19" fillId="0" borderId="36" xfId="184" applyFont="1" applyBorder="1" applyAlignment="1">
      <alignment horizontal="center" vertical="center"/>
    </xf>
    <xf numFmtId="0" fontId="19" fillId="0" borderId="53" xfId="184" applyFont="1" applyBorder="1" applyAlignment="1">
      <alignment horizontal="center" vertical="center"/>
    </xf>
    <xf numFmtId="0" fontId="19" fillId="0" borderId="51" xfId="184" applyFont="1" applyBorder="1" applyAlignment="1">
      <alignment horizontal="center" vertical="center"/>
    </xf>
    <xf numFmtId="0" fontId="19" fillId="0" borderId="54" xfId="184" applyFont="1" applyBorder="1" applyAlignment="1">
      <alignment horizontal="center" vertical="center"/>
    </xf>
    <xf numFmtId="0" fontId="19" fillId="0" borderId="51" xfId="184" applyFont="1" applyBorder="1">
      <alignment vertical="center"/>
    </xf>
    <xf numFmtId="0" fontId="19" fillId="0" borderId="53" xfId="184" applyFont="1" applyBorder="1">
      <alignment vertical="center"/>
    </xf>
    <xf numFmtId="179" fontId="19" fillId="0" borderId="53" xfId="184" applyNumberFormat="1" applyFont="1" applyBorder="1">
      <alignment vertical="center"/>
    </xf>
    <xf numFmtId="0" fontId="19" fillId="0" borderId="37" xfId="184" applyFont="1" applyBorder="1">
      <alignment vertical="center"/>
    </xf>
    <xf numFmtId="0" fontId="19" fillId="2" borderId="51" xfId="184" applyFont="1" applyFill="1" applyBorder="1" applyAlignment="1">
      <alignment horizontal="center" vertical="center"/>
    </xf>
    <xf numFmtId="0" fontId="19" fillId="2" borderId="53" xfId="184" applyFont="1" applyFill="1" applyBorder="1">
      <alignment vertical="center"/>
    </xf>
    <xf numFmtId="0" fontId="19" fillId="0" borderId="55" xfId="184" applyFont="1" applyBorder="1">
      <alignment vertical="center"/>
    </xf>
    <xf numFmtId="0" fontId="19" fillId="0" borderId="38" xfId="184" applyFont="1" applyBorder="1">
      <alignment vertical="center"/>
    </xf>
    <xf numFmtId="179" fontId="19" fillId="0" borderId="38" xfId="184" applyNumberFormat="1" applyFont="1" applyBorder="1">
      <alignment vertical="center"/>
    </xf>
    <xf numFmtId="179" fontId="19" fillId="0" borderId="56" xfId="184" applyNumberFormat="1" applyFont="1" applyBorder="1">
      <alignment vertical="center"/>
    </xf>
    <xf numFmtId="179" fontId="19" fillId="0" borderId="57" xfId="184" applyNumberFormat="1" applyFont="1" applyBorder="1" applyAlignment="1">
      <alignment horizontal="center" vertical="center"/>
    </xf>
    <xf numFmtId="0" fontId="19" fillId="0" borderId="55" xfId="184" applyFont="1" applyBorder="1" applyAlignment="1">
      <alignment horizontal="center" vertical="center"/>
    </xf>
    <xf numFmtId="0" fontId="19" fillId="0" borderId="58" xfId="184" applyFont="1" applyBorder="1" applyAlignment="1">
      <alignment horizontal="center" vertical="center"/>
    </xf>
    <xf numFmtId="0" fontId="19" fillId="0" borderId="38" xfId="184" applyFont="1" applyBorder="1" applyAlignment="1">
      <alignment horizontal="center" vertical="center"/>
    </xf>
    <xf numFmtId="0" fontId="19" fillId="0" borderId="56" xfId="184" applyFont="1" applyBorder="1" applyAlignment="1">
      <alignment horizontal="center" vertical="center"/>
    </xf>
    <xf numFmtId="0" fontId="19" fillId="0" borderId="59" xfId="184" applyFont="1" applyBorder="1" applyAlignment="1">
      <alignment horizontal="center" vertical="center"/>
    </xf>
    <xf numFmtId="0" fontId="19" fillId="0" borderId="56" xfId="184" applyFont="1" applyBorder="1">
      <alignment vertical="center"/>
    </xf>
    <xf numFmtId="0" fontId="19" fillId="0" borderId="60" xfId="184" applyFont="1" applyBorder="1">
      <alignment vertical="center"/>
    </xf>
    <xf numFmtId="0" fontId="19" fillId="0" borderId="27" xfId="184" applyFont="1" applyBorder="1">
      <alignment vertical="center"/>
    </xf>
    <xf numFmtId="179" fontId="19" fillId="0" borderId="27" xfId="184" applyNumberFormat="1" applyFont="1" applyBorder="1">
      <alignment vertical="center"/>
    </xf>
    <xf numFmtId="179" fontId="19" fillId="0" borderId="61" xfId="184" applyNumberFormat="1" applyFont="1" applyBorder="1">
      <alignment vertical="center"/>
    </xf>
    <xf numFmtId="179" fontId="19" fillId="0" borderId="62" xfId="184" applyNumberFormat="1" applyFont="1" applyBorder="1" applyAlignment="1">
      <alignment horizontal="center" vertical="center"/>
    </xf>
    <xf numFmtId="0" fontId="19" fillId="0" borderId="60" xfId="184" applyFont="1" applyBorder="1" applyAlignment="1">
      <alignment horizontal="center" vertical="center"/>
    </xf>
    <xf numFmtId="0" fontId="19" fillId="0" borderId="63" xfId="184" applyFont="1" applyBorder="1" applyAlignment="1">
      <alignment horizontal="center" vertical="center"/>
    </xf>
    <xf numFmtId="0" fontId="19" fillId="0" borderId="27" xfId="184" applyFont="1" applyBorder="1" applyAlignment="1">
      <alignment horizontal="center" vertical="center"/>
    </xf>
    <xf numFmtId="0" fontId="19" fillId="0" borderId="61" xfId="184" applyFont="1" applyBorder="1" applyAlignment="1">
      <alignment horizontal="center" vertical="center"/>
    </xf>
    <xf numFmtId="0" fontId="19" fillId="0" borderId="64" xfId="184" applyFont="1" applyBorder="1" applyAlignment="1">
      <alignment horizontal="center" vertical="center"/>
    </xf>
    <xf numFmtId="0" fontId="19" fillId="0" borderId="61" xfId="184" applyFont="1" applyBorder="1">
      <alignment vertical="center"/>
    </xf>
    <xf numFmtId="0" fontId="19" fillId="0" borderId="65" xfId="184" applyFont="1" applyBorder="1">
      <alignment vertical="center"/>
    </xf>
    <xf numFmtId="179" fontId="19" fillId="0" borderId="37" xfId="184" applyNumberFormat="1" applyFont="1" applyBorder="1">
      <alignment vertical="center"/>
    </xf>
    <xf numFmtId="179" fontId="19" fillId="0" borderId="66" xfId="184" applyNumberFormat="1" applyFont="1" applyBorder="1">
      <alignment vertical="center"/>
    </xf>
    <xf numFmtId="179" fontId="19" fillId="0" borderId="67" xfId="184" applyNumberFormat="1" applyFont="1" applyBorder="1" applyAlignment="1">
      <alignment horizontal="center" vertical="center"/>
    </xf>
    <xf numFmtId="0" fontId="19" fillId="0" borderId="65" xfId="184" applyFont="1" applyBorder="1" applyAlignment="1">
      <alignment horizontal="center" vertical="center"/>
    </xf>
    <xf numFmtId="0" fontId="19" fillId="0" borderId="68" xfId="184" applyFont="1" applyBorder="1" applyAlignment="1">
      <alignment horizontal="center" vertical="center"/>
    </xf>
    <xf numFmtId="0" fontId="19" fillId="0" borderId="37" xfId="184" applyFont="1" applyBorder="1" applyAlignment="1">
      <alignment horizontal="center" vertical="center"/>
    </xf>
    <xf numFmtId="0" fontId="19" fillId="0" borderId="66" xfId="184" applyFont="1" applyBorder="1" applyAlignment="1">
      <alignment horizontal="center" vertical="center"/>
    </xf>
    <xf numFmtId="0" fontId="19" fillId="0" borderId="69" xfId="184" applyFont="1" applyBorder="1" applyAlignment="1">
      <alignment horizontal="center" vertical="center"/>
    </xf>
    <xf numFmtId="0" fontId="19" fillId="0" borderId="66" xfId="184" applyFont="1" applyBorder="1">
      <alignment vertical="center"/>
    </xf>
    <xf numFmtId="0" fontId="19" fillId="2" borderId="53" xfId="184" applyFont="1" applyFill="1" applyBorder="1" applyAlignment="1">
      <alignment horizontal="center" vertical="center"/>
    </xf>
    <xf numFmtId="179" fontId="19" fillId="0" borderId="49" xfId="184" applyNumberFormat="1" applyFont="1" applyBorder="1" applyAlignment="1">
      <alignment horizontal="center" vertical="center"/>
    </xf>
    <xf numFmtId="0" fontId="19" fillId="0" borderId="70" xfId="184" applyFont="1" applyBorder="1">
      <alignment vertical="center"/>
    </xf>
    <xf numFmtId="0" fontId="19" fillId="0" borderId="71" xfId="184" applyFont="1" applyBorder="1">
      <alignment vertical="center"/>
    </xf>
    <xf numFmtId="179" fontId="19" fillId="0" borderId="71" xfId="184" applyNumberFormat="1" applyFont="1" applyBorder="1">
      <alignment vertical="center"/>
    </xf>
    <xf numFmtId="179" fontId="19" fillId="0" borderId="72" xfId="184" applyNumberFormat="1" applyFont="1" applyBorder="1">
      <alignment vertical="center"/>
    </xf>
    <xf numFmtId="179" fontId="19" fillId="0" borderId="73" xfId="184" applyNumberFormat="1" applyFont="1" applyBorder="1" applyAlignment="1">
      <alignment horizontal="center" vertical="center"/>
    </xf>
    <xf numFmtId="0" fontId="19" fillId="0" borderId="74" xfId="184" applyFont="1" applyBorder="1" applyAlignment="1">
      <alignment horizontal="center" vertical="center"/>
    </xf>
    <xf numFmtId="0" fontId="19" fillId="0" borderId="75" xfId="184" applyFont="1" applyBorder="1" applyAlignment="1">
      <alignment horizontal="center" vertical="center"/>
    </xf>
    <xf numFmtId="0" fontId="19" fillId="0" borderId="34" xfId="184" applyFont="1" applyBorder="1" applyAlignment="1">
      <alignment horizontal="center" vertical="center"/>
    </xf>
    <xf numFmtId="0" fontId="19" fillId="0" borderId="76" xfId="184" applyFont="1" applyBorder="1" applyAlignment="1">
      <alignment horizontal="center" vertical="center"/>
    </xf>
    <xf numFmtId="0" fontId="19" fillId="0" borderId="77" xfId="184" applyFont="1" applyBorder="1" applyAlignment="1">
      <alignment horizontal="center" vertical="center"/>
    </xf>
    <xf numFmtId="0" fontId="19" fillId="0" borderId="76" xfId="184" applyFont="1" applyBorder="1">
      <alignment vertical="center"/>
    </xf>
    <xf numFmtId="0" fontId="19" fillId="2" borderId="50" xfId="184" applyFont="1" applyFill="1" applyBorder="1" applyAlignment="1">
      <alignment horizontal="center" vertical="center"/>
    </xf>
    <xf numFmtId="0" fontId="37" fillId="34" borderId="26" xfId="0" applyFont="1" applyFill="1" applyBorder="1" applyAlignment="1" applyProtection="1">
      <protection locked="0"/>
    </xf>
    <xf numFmtId="0" fontId="38" fillId="0" borderId="0" xfId="0" applyFont="1" applyAlignment="1" applyProtection="1">
      <protection locked="0"/>
    </xf>
    <xf numFmtId="0" fontId="38" fillId="0" borderId="0" xfId="0" applyFont="1" applyAlignment="1" applyProtection="1">
      <alignment horizontal="center" vertical="center" wrapText="1"/>
      <protection locked="0"/>
    </xf>
    <xf numFmtId="0" fontId="39" fillId="0" borderId="0" xfId="0" applyFont="1" applyAlignment="1" applyProtection="1">
      <protection locked="0"/>
    </xf>
    <xf numFmtId="180" fontId="39" fillId="0" borderId="0" xfId="0" applyNumberFormat="1" applyFont="1" applyAlignment="1" applyProtection="1">
      <protection locked="0"/>
    </xf>
    <xf numFmtId="182" fontId="39" fillId="0" borderId="0" xfId="0" applyNumberFormat="1" applyFont="1" applyAlignment="1" applyProtection="1">
      <protection locked="0"/>
    </xf>
    <xf numFmtId="0" fontId="38" fillId="0" borderId="0" xfId="0" applyFont="1" applyAlignment="1" applyProtection="1"/>
    <xf numFmtId="0" fontId="38" fillId="0" borderId="0" xfId="0" applyFont="1" applyAlignment="1" applyProtection="1">
      <alignment horizontal="center" vertical="center" wrapText="1"/>
    </xf>
    <xf numFmtId="0" fontId="39" fillId="0" borderId="0" xfId="0" applyFont="1" applyAlignment="1" applyProtection="1"/>
    <xf numFmtId="0" fontId="38" fillId="0" borderId="53" xfId="0" applyFont="1" applyFill="1" applyBorder="1" applyAlignment="1" applyProtection="1">
      <alignment horizontal="center" vertical="center" wrapText="1"/>
      <protection locked="0"/>
    </xf>
    <xf numFmtId="180" fontId="38" fillId="0" borderId="53" xfId="0" applyNumberFormat="1" applyFont="1" applyFill="1" applyBorder="1" applyAlignment="1" applyProtection="1">
      <alignment horizontal="center" vertical="center" wrapText="1"/>
      <protection locked="0"/>
    </xf>
    <xf numFmtId="182" fontId="38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70" xfId="184" applyFont="1" applyBorder="1" applyAlignment="1">
      <alignment horizontal="center" vertical="center"/>
    </xf>
    <xf numFmtId="181" fontId="46" fillId="0" borderId="78" xfId="0" applyNumberFormat="1" applyFont="1" applyFill="1" applyBorder="1" applyProtection="1"/>
    <xf numFmtId="181" fontId="46" fillId="0" borderId="79" xfId="0" applyNumberFormat="1" applyFont="1" applyFill="1" applyBorder="1" applyProtection="1"/>
    <xf numFmtId="180" fontId="42" fillId="0" borderId="81" xfId="0" applyNumberFormat="1" applyFont="1" applyFill="1" applyBorder="1" applyAlignment="1" applyProtection="1">
      <alignment horizontal="center"/>
    </xf>
    <xf numFmtId="0" fontId="42" fillId="0" borderId="82" xfId="0" applyFont="1" applyFill="1" applyBorder="1" applyAlignment="1" applyProtection="1">
      <alignment horizontal="center" wrapText="1"/>
    </xf>
    <xf numFmtId="0" fontId="42" fillId="0" borderId="83" xfId="0" applyFont="1" applyFill="1" applyBorder="1" applyAlignment="1" applyProtection="1">
      <alignment horizontal="center" wrapText="1"/>
    </xf>
    <xf numFmtId="177" fontId="42" fillId="0" borderId="22" xfId="0" applyNumberFormat="1" applyFont="1" applyFill="1" applyBorder="1" applyAlignment="1">
      <alignment horizontal="center" wrapText="1"/>
    </xf>
    <xf numFmtId="176" fontId="42" fillId="0" borderId="80" xfId="0" applyNumberFormat="1" applyFont="1" applyFill="1" applyBorder="1" applyAlignment="1" applyProtection="1">
      <alignment horizontal="center" wrapText="1"/>
    </xf>
    <xf numFmtId="176" fontId="42" fillId="0" borderId="81" xfId="0" applyNumberFormat="1" applyFont="1" applyFill="1" applyBorder="1" applyAlignment="1" applyProtection="1">
      <alignment horizontal="center"/>
    </xf>
    <xf numFmtId="49" fontId="42" fillId="0" borderId="81" xfId="0" applyNumberFormat="1" applyFont="1" applyFill="1" applyBorder="1" applyAlignment="1" applyProtection="1">
      <alignment horizontal="center" wrapText="1"/>
    </xf>
    <xf numFmtId="0" fontId="42" fillId="0" borderId="81" xfId="0" applyFont="1" applyFill="1" applyBorder="1" applyAlignment="1" applyProtection="1">
      <alignment horizontal="center"/>
    </xf>
    <xf numFmtId="0" fontId="42" fillId="0" borderId="82" xfId="0" applyFont="1" applyFill="1" applyBorder="1" applyAlignment="1" applyProtection="1">
      <alignment horizontal="center"/>
    </xf>
    <xf numFmtId="49" fontId="42" fillId="0" borderId="82" xfId="0" applyNumberFormat="1" applyFont="1" applyFill="1" applyBorder="1" applyAlignment="1" applyProtection="1">
      <alignment horizontal="center"/>
    </xf>
    <xf numFmtId="49" fontId="42" fillId="0" borderId="81" xfId="0" applyNumberFormat="1" applyFont="1" applyFill="1" applyBorder="1" applyAlignment="1" applyProtection="1">
      <alignment horizontal="center"/>
    </xf>
    <xf numFmtId="0" fontId="42" fillId="0" borderId="81" xfId="0" applyFont="1" applyFill="1" applyBorder="1" applyAlignment="1" applyProtection="1">
      <alignment horizontal="center" shrinkToFit="1"/>
    </xf>
    <xf numFmtId="0" fontId="42" fillId="0" borderId="81" xfId="0" applyFont="1" applyFill="1" applyBorder="1" applyAlignment="1" applyProtection="1">
      <alignment horizontal="center" wrapText="1"/>
    </xf>
    <xf numFmtId="0" fontId="42" fillId="0" borderId="81" xfId="0" applyFont="1" applyFill="1" applyBorder="1" applyAlignment="1" applyProtection="1">
      <alignment horizontal="centerContinuous"/>
    </xf>
    <xf numFmtId="180" fontId="42" fillId="0" borderId="81" xfId="0" applyNumberFormat="1" applyFont="1" applyFill="1" applyBorder="1" applyAlignment="1" applyProtection="1">
      <alignment horizontal="center" wrapText="1"/>
    </xf>
    <xf numFmtId="0" fontId="42" fillId="0" borderId="83" xfId="0" applyFont="1" applyFill="1" applyBorder="1" applyAlignment="1" applyProtection="1">
      <alignment horizontal="center"/>
    </xf>
    <xf numFmtId="49" fontId="42" fillId="0" borderId="82" xfId="0" applyNumberFormat="1" applyFont="1" applyFill="1" applyBorder="1" applyAlignment="1" applyProtection="1">
      <alignment horizontal="center" wrapText="1"/>
    </xf>
    <xf numFmtId="181" fontId="46" fillId="0" borderId="10" xfId="0" applyNumberFormat="1" applyFont="1" applyBorder="1"/>
    <xf numFmtId="180" fontId="42" fillId="0" borderId="82" xfId="0" applyNumberFormat="1" applyFont="1" applyFill="1" applyBorder="1" applyAlignment="1" applyProtection="1">
      <alignment horizontal="center" wrapText="1"/>
    </xf>
    <xf numFmtId="0" fontId="38" fillId="0" borderId="53" xfId="0" applyFont="1" applyFill="1" applyBorder="1" applyProtection="1">
      <protection locked="0"/>
    </xf>
    <xf numFmtId="180" fontId="38" fillId="0" borderId="53" xfId="0" applyNumberFormat="1" applyFont="1" applyFill="1" applyBorder="1" applyProtection="1">
      <protection locked="0"/>
    </xf>
    <xf numFmtId="182" fontId="38" fillId="0" borderId="53" xfId="0" applyNumberFormat="1" applyFont="1" applyFill="1" applyBorder="1" applyProtection="1">
      <protection locked="0"/>
    </xf>
    <xf numFmtId="0" fontId="38" fillId="0" borderId="27" xfId="0" applyFont="1" applyFill="1" applyBorder="1" applyProtection="1">
      <protection locked="0"/>
    </xf>
    <xf numFmtId="180" fontId="38" fillId="0" borderId="27" xfId="0" applyNumberFormat="1" applyFont="1" applyFill="1" applyBorder="1" applyProtection="1">
      <protection locked="0"/>
    </xf>
    <xf numFmtId="182" fontId="38" fillId="0" borderId="27" xfId="0" applyNumberFormat="1" applyFont="1" applyFill="1" applyBorder="1" applyProtection="1">
      <protection locked="0"/>
    </xf>
    <xf numFmtId="181" fontId="46" fillId="0" borderId="8" xfId="0" applyNumberFormat="1" applyFont="1" applyBorder="1" applyAlignment="1">
      <alignment horizontal="center"/>
    </xf>
    <xf numFmtId="49" fontId="42" fillId="0" borderId="84" xfId="0" applyNumberFormat="1" applyFont="1" applyFill="1" applyBorder="1" applyAlignment="1" applyProtection="1">
      <alignment horizontal="center"/>
    </xf>
    <xf numFmtId="0" fontId="42" fillId="0" borderId="80" xfId="0" applyFont="1" applyFill="1" applyBorder="1" applyAlignment="1" applyProtection="1">
      <alignment horizontal="center"/>
    </xf>
    <xf numFmtId="49" fontId="42" fillId="0" borderId="84" xfId="0" applyNumberFormat="1" applyFont="1" applyFill="1" applyBorder="1" applyAlignment="1" applyProtection="1">
      <alignment horizontal="center" wrapText="1"/>
    </xf>
    <xf numFmtId="0" fontId="40" fillId="0" borderId="80" xfId="0" applyFont="1" applyFill="1" applyBorder="1" applyAlignment="1" applyProtection="1">
      <alignment horizontal="centerContinuous"/>
    </xf>
    <xf numFmtId="0" fontId="40" fillId="0" borderId="86" xfId="0" applyFont="1" applyFill="1" applyBorder="1" applyAlignment="1" applyProtection="1">
      <alignment horizontal="centerContinuous"/>
    </xf>
    <xf numFmtId="0" fontId="46" fillId="0" borderId="87" xfId="0" applyFont="1" applyFill="1" applyBorder="1" applyProtection="1"/>
    <xf numFmtId="0" fontId="46" fillId="0" borderId="88" xfId="0" applyFont="1" applyFill="1" applyBorder="1" applyProtection="1"/>
    <xf numFmtId="0" fontId="40" fillId="0" borderId="24" xfId="0" applyFont="1" applyFill="1" applyBorder="1" applyProtection="1"/>
    <xf numFmtId="49" fontId="40" fillId="0" borderId="24" xfId="0" applyNumberFormat="1" applyFont="1" applyFill="1" applyBorder="1" applyAlignment="1" applyProtection="1">
      <alignment horizontal="left"/>
    </xf>
    <xf numFmtId="0" fontId="40" fillId="0" borderId="24" xfId="0" applyFont="1" applyFill="1" applyBorder="1" applyAlignment="1" applyProtection="1">
      <alignment horizontal="center" shrinkToFit="1"/>
    </xf>
    <xf numFmtId="0" fontId="40" fillId="0" borderId="24" xfId="0" applyFont="1" applyFill="1" applyBorder="1" applyAlignment="1" applyProtection="1">
      <alignment horizontal="center"/>
    </xf>
    <xf numFmtId="180" fontId="40" fillId="0" borderId="24" xfId="0" applyNumberFormat="1" applyFont="1" applyFill="1" applyBorder="1" applyProtection="1"/>
    <xf numFmtId="0" fontId="40" fillId="0" borderId="24" xfId="0" applyFont="1" applyFill="1" applyBorder="1"/>
    <xf numFmtId="176" fontId="40" fillId="0" borderId="24" xfId="0" applyNumberFormat="1" applyFont="1" applyFill="1" applyBorder="1" applyProtection="1"/>
    <xf numFmtId="176" fontId="40" fillId="0" borderId="24" xfId="0" applyNumberFormat="1" applyFont="1" applyFill="1" applyBorder="1" applyAlignment="1" applyProtection="1">
      <alignment horizontal="center"/>
    </xf>
    <xf numFmtId="49" fontId="40" fillId="0" borderId="24" xfId="0" applyNumberFormat="1" applyFont="1" applyFill="1" applyBorder="1" applyAlignment="1" applyProtection="1">
      <alignment horizontal="center"/>
    </xf>
    <xf numFmtId="0" fontId="40" fillId="0" borderId="24" xfId="0" applyFont="1" applyFill="1" applyBorder="1" applyAlignment="1">
      <alignment horizontal="center"/>
    </xf>
    <xf numFmtId="0" fontId="19" fillId="0" borderId="49" xfId="184" applyFont="1" applyBorder="1">
      <alignment vertical="center"/>
    </xf>
    <xf numFmtId="0" fontId="19" fillId="0" borderId="76" xfId="184" applyFont="1" applyBorder="1" applyAlignment="1">
      <alignment vertical="center" wrapText="1"/>
    </xf>
    <xf numFmtId="0" fontId="19" fillId="0" borderId="69" xfId="184" applyFont="1" applyBorder="1">
      <alignment vertical="center"/>
    </xf>
    <xf numFmtId="0" fontId="19" fillId="0" borderId="73" xfId="184" applyFont="1" applyBorder="1">
      <alignment vertical="center"/>
    </xf>
    <xf numFmtId="0" fontId="19" fillId="0" borderId="51" xfId="184" applyFont="1" applyBorder="1" applyAlignment="1">
      <alignment vertical="center" wrapText="1"/>
    </xf>
    <xf numFmtId="0" fontId="19" fillId="2" borderId="51" xfId="184" applyFont="1" applyFill="1" applyBorder="1">
      <alignment vertical="center"/>
    </xf>
    <xf numFmtId="0" fontId="46" fillId="0" borderId="8" xfId="0" quotePrefix="1" applyFont="1" applyBorder="1"/>
    <xf numFmtId="0" fontId="40" fillId="0" borderId="0" xfId="0" applyFont="1" applyFill="1" applyAlignment="1" applyProtection="1">
      <alignment shrinkToFit="1"/>
    </xf>
    <xf numFmtId="0" fontId="42" fillId="0" borderId="85" xfId="0" applyFont="1" applyFill="1" applyBorder="1" applyAlignment="1" applyProtection="1">
      <alignment horizontal="centerContinuous" shrinkToFit="1"/>
    </xf>
    <xf numFmtId="0" fontId="46" fillId="0" borderId="7" xfId="0" applyFont="1" applyFill="1" applyBorder="1" applyAlignment="1" applyProtection="1">
      <alignment shrinkToFit="1"/>
    </xf>
    <xf numFmtId="0" fontId="46" fillId="0" borderId="2" xfId="0" applyFont="1" applyFill="1" applyBorder="1" applyAlignment="1" applyProtection="1">
      <alignment shrinkToFit="1"/>
    </xf>
    <xf numFmtId="181" fontId="46" fillId="0" borderId="4" xfId="0" applyNumberFormat="1" applyFont="1" applyFill="1" applyBorder="1" applyProtection="1"/>
    <xf numFmtId="178" fontId="46" fillId="2" borderId="1" xfId="0" applyNumberFormat="1" applyFont="1" applyFill="1" applyBorder="1" applyAlignment="1">
      <alignment horizontal="center"/>
    </xf>
    <xf numFmtId="181" fontId="46" fillId="0" borderId="0" xfId="0" applyNumberFormat="1" applyFont="1" applyFill="1" applyBorder="1"/>
    <xf numFmtId="0" fontId="42" fillId="0" borderId="24" xfId="0" applyFont="1" applyFill="1" applyBorder="1" applyAlignment="1" applyProtection="1">
      <alignment horizontal="center" wrapText="1"/>
    </xf>
    <xf numFmtId="181" fontId="46" fillId="0" borderId="9" xfId="0" applyNumberFormat="1" applyFont="1" applyBorder="1"/>
    <xf numFmtId="49" fontId="46" fillId="2" borderId="31" xfId="0" applyNumberFormat="1" applyFont="1" applyFill="1" applyBorder="1" applyAlignment="1" applyProtection="1">
      <alignment horizontal="center"/>
    </xf>
    <xf numFmtId="0" fontId="46" fillId="2" borderId="12" xfId="0" applyFont="1" applyFill="1" applyBorder="1" applyAlignment="1" applyProtection="1">
      <alignment horizontal="center"/>
    </xf>
    <xf numFmtId="0" fontId="46" fillId="2" borderId="8" xfId="0" applyFont="1" applyFill="1" applyBorder="1" applyAlignment="1" applyProtection="1">
      <alignment horizontal="center"/>
    </xf>
    <xf numFmtId="0" fontId="46" fillId="2" borderId="7" xfId="0" applyFont="1" applyFill="1" applyBorder="1" applyProtection="1"/>
    <xf numFmtId="181" fontId="46" fillId="2" borderId="8" xfId="0" applyNumberFormat="1" applyFont="1" applyFill="1" applyBorder="1" applyProtection="1"/>
    <xf numFmtId="181" fontId="46" fillId="2" borderId="10" xfId="0" applyNumberFormat="1" applyFont="1" applyFill="1" applyBorder="1" applyProtection="1"/>
    <xf numFmtId="181" fontId="46" fillId="2" borderId="12" xfId="0" applyNumberFormat="1" applyFont="1" applyFill="1" applyBorder="1" applyProtection="1"/>
    <xf numFmtId="181" fontId="46" fillId="2" borderId="8" xfId="0" applyNumberFormat="1" applyFont="1" applyFill="1" applyBorder="1" applyAlignment="1" applyProtection="1">
      <alignment horizontal="center"/>
    </xf>
    <xf numFmtId="0" fontId="46" fillId="2" borderId="12" xfId="0" applyFont="1" applyFill="1" applyBorder="1" applyProtection="1"/>
    <xf numFmtId="0" fontId="46" fillId="2" borderId="87" xfId="0" applyFont="1" applyFill="1" applyBorder="1" applyProtection="1"/>
    <xf numFmtId="0" fontId="46" fillId="2" borderId="33" xfId="0" applyFont="1" applyFill="1" applyBorder="1" applyProtection="1"/>
    <xf numFmtId="181" fontId="46" fillId="2" borderId="9" xfId="0" applyNumberFormat="1" applyFont="1" applyFill="1" applyBorder="1" applyProtection="1"/>
    <xf numFmtId="178" fontId="46" fillId="2" borderId="0" xfId="0" applyNumberFormat="1" applyFont="1" applyFill="1" applyBorder="1"/>
    <xf numFmtId="0" fontId="43" fillId="2" borderId="0" xfId="0" applyFont="1" applyFill="1"/>
    <xf numFmtId="0" fontId="44" fillId="2" borderId="0" xfId="0" applyFont="1" applyFill="1"/>
    <xf numFmtId="0" fontId="45" fillId="2" borderId="0" xfId="0" applyFont="1" applyFill="1"/>
    <xf numFmtId="0" fontId="46" fillId="2" borderId="0" xfId="0" applyFont="1" applyFill="1"/>
    <xf numFmtId="181" fontId="50" fillId="2" borderId="10" xfId="0" applyNumberFormat="1" applyFont="1" applyFill="1" applyBorder="1" applyProtection="1"/>
    <xf numFmtId="0" fontId="51" fillId="0" borderId="41" xfId="184" applyFont="1" applyBorder="1" applyAlignment="1">
      <alignment horizontal="center" vertical="center" wrapText="1"/>
    </xf>
    <xf numFmtId="0" fontId="51" fillId="0" borderId="40" xfId="184" applyFont="1" applyBorder="1" applyAlignment="1">
      <alignment horizontal="center" vertical="center" wrapText="1"/>
    </xf>
    <xf numFmtId="0" fontId="40" fillId="0" borderId="0" xfId="0" applyFont="1" applyFill="1" applyAlignment="1" applyProtection="1"/>
    <xf numFmtId="176" fontId="40" fillId="0" borderId="0" xfId="0" applyNumberFormat="1" applyFont="1" applyFill="1" applyAlignment="1" applyProtection="1"/>
    <xf numFmtId="176" fontId="42" fillId="0" borderId="82" xfId="0" applyNumberFormat="1" applyFont="1" applyFill="1" applyBorder="1" applyAlignment="1" applyProtection="1">
      <alignment horizontal="center"/>
    </xf>
    <xf numFmtId="0" fontId="38" fillId="0" borderId="53" xfId="0" applyFont="1" applyFill="1" applyBorder="1" applyAlignment="1" applyProtection="1">
      <protection locked="0"/>
    </xf>
    <xf numFmtId="180" fontId="38" fillId="0" borderId="53" xfId="0" applyNumberFormat="1" applyFont="1" applyFill="1" applyBorder="1" applyAlignment="1" applyProtection="1">
      <protection locked="0"/>
    </xf>
    <xf numFmtId="182" fontId="38" fillId="0" borderId="53" xfId="0" applyNumberFormat="1" applyFont="1" applyFill="1" applyBorder="1" applyAlignment="1" applyProtection="1">
      <protection locked="0"/>
    </xf>
    <xf numFmtId="0" fontId="19" fillId="0" borderId="54" xfId="184" applyFont="1" applyBorder="1">
      <alignment vertical="center"/>
    </xf>
    <xf numFmtId="0" fontId="19" fillId="0" borderId="59" xfId="184" applyFont="1" applyBorder="1">
      <alignment vertical="center"/>
    </xf>
    <xf numFmtId="0" fontId="19" fillId="0" borderId="64" xfId="184" applyFont="1" applyBorder="1">
      <alignment vertical="center"/>
    </xf>
    <xf numFmtId="0" fontId="19" fillId="0" borderId="89" xfId="184" applyFont="1" applyBorder="1">
      <alignment vertical="center"/>
    </xf>
    <xf numFmtId="0" fontId="19" fillId="0" borderId="89" xfId="184" applyFont="1" applyBorder="1" applyAlignment="1">
      <alignment vertical="center" wrapText="1"/>
    </xf>
    <xf numFmtId="0" fontId="19" fillId="0" borderId="90" xfId="184" applyFont="1" applyBorder="1">
      <alignment vertical="center"/>
    </xf>
    <xf numFmtId="0" fontId="19" fillId="0" borderId="91" xfId="184" applyFont="1" applyBorder="1">
      <alignment vertical="center"/>
    </xf>
    <xf numFmtId="0" fontId="19" fillId="0" borderId="92" xfId="184" applyFont="1" applyBorder="1">
      <alignment vertical="center"/>
    </xf>
    <xf numFmtId="0" fontId="38" fillId="35" borderId="27" xfId="0" applyFont="1" applyFill="1" applyBorder="1" applyProtection="1">
      <protection locked="0"/>
    </xf>
    <xf numFmtId="0" fontId="0" fillId="0" borderId="0" xfId="0" applyAlignment="1">
      <alignment vertical="center"/>
    </xf>
    <xf numFmtId="0" fontId="52" fillId="0" borderId="0" xfId="0" applyFont="1"/>
    <xf numFmtId="0" fontId="52" fillId="36" borderId="0" xfId="0" applyFont="1" applyFill="1"/>
    <xf numFmtId="0" fontId="19" fillId="36" borderId="0" xfId="0" applyFont="1" applyFill="1"/>
    <xf numFmtId="0" fontId="53" fillId="0" borderId="0" xfId="0" applyFont="1"/>
    <xf numFmtId="0" fontId="54" fillId="0" borderId="0" xfId="0" applyFont="1" applyAlignment="1">
      <alignment vertical="center"/>
    </xf>
    <xf numFmtId="17" fontId="0" fillId="0" borderId="0" xfId="0" applyNumberFormat="1" applyAlignment="1">
      <alignment vertical="center"/>
    </xf>
    <xf numFmtId="0" fontId="55" fillId="0" borderId="0" xfId="0" applyFont="1" applyAlignment="1">
      <alignment vertical="center"/>
    </xf>
    <xf numFmtId="17" fontId="55" fillId="0" borderId="0" xfId="0" applyNumberFormat="1" applyFont="1" applyAlignment="1">
      <alignment vertical="center"/>
    </xf>
    <xf numFmtId="0" fontId="57" fillId="0" borderId="0" xfId="0" applyFont="1"/>
    <xf numFmtId="17" fontId="57" fillId="0" borderId="0" xfId="0" applyNumberFormat="1" applyFont="1"/>
    <xf numFmtId="0" fontId="58" fillId="0" borderId="80" xfId="0" applyFont="1" applyFill="1" applyBorder="1" applyAlignment="1" applyProtection="1">
      <alignment horizontal="centerContinuous"/>
    </xf>
    <xf numFmtId="0" fontId="59" fillId="0" borderId="80" xfId="0" applyFont="1" applyFill="1" applyBorder="1" applyAlignment="1" applyProtection="1">
      <alignment horizontal="centerContinuous"/>
    </xf>
    <xf numFmtId="0" fontId="59" fillId="0" borderId="86" xfId="0" applyFont="1" applyFill="1" applyBorder="1" applyAlignment="1" applyProtection="1">
      <alignment horizontal="centerContinuous"/>
    </xf>
    <xf numFmtId="0" fontId="59" fillId="0" borderId="33" xfId="0" applyFont="1" applyFill="1" applyBorder="1" applyAlignment="1" applyProtection="1"/>
    <xf numFmtId="20" fontId="46" fillId="0" borderId="12" xfId="0" applyNumberFormat="1" applyFont="1" applyFill="1" applyBorder="1" applyAlignment="1" applyProtection="1">
      <alignment horizontal="center"/>
    </xf>
    <xf numFmtId="0" fontId="46" fillId="0" borderId="8" xfId="0" quotePrefix="1" applyFont="1" applyFill="1" applyBorder="1" applyAlignment="1" applyProtection="1">
      <alignment shrinkToFit="1"/>
    </xf>
    <xf numFmtId="0" fontId="46" fillId="0" borderId="8" xfId="0" quotePrefix="1" applyFont="1" applyFill="1" applyBorder="1" applyAlignment="1" applyProtection="1">
      <alignment horizontal="center"/>
    </xf>
    <xf numFmtId="0" fontId="46" fillId="0" borderId="8" xfId="0" quotePrefix="1" applyFont="1" applyFill="1" applyBorder="1" applyAlignment="1" applyProtection="1"/>
    <xf numFmtId="181" fontId="46" fillId="0" borderId="31" xfId="0" quotePrefix="1" applyNumberFormat="1" applyFont="1" applyFill="1" applyBorder="1"/>
    <xf numFmtId="181" fontId="46" fillId="0" borderId="8" xfId="0" quotePrefix="1" applyNumberFormat="1" applyFont="1" applyFill="1" applyBorder="1"/>
    <xf numFmtId="181" fontId="46" fillId="0" borderId="8" xfId="0" quotePrefix="1" applyNumberFormat="1" applyFont="1" applyFill="1" applyBorder="1" applyAlignment="1" applyProtection="1"/>
    <xf numFmtId="181" fontId="46" fillId="0" borderId="78" xfId="0" quotePrefix="1" applyNumberFormat="1" applyFont="1" applyFill="1" applyBorder="1" applyAlignment="1" applyProtection="1">
      <alignment horizontal="center"/>
    </xf>
    <xf numFmtId="0" fontId="46" fillId="0" borderId="8" xfId="0" quotePrefix="1" applyNumberFormat="1" applyFont="1" applyFill="1" applyBorder="1" applyAlignment="1" applyProtection="1">
      <alignment horizontal="center"/>
    </xf>
    <xf numFmtId="181" fontId="46" fillId="0" borderId="12" xfId="0" quotePrefix="1" applyNumberFormat="1" applyFont="1" applyFill="1" applyBorder="1" applyProtection="1"/>
    <xf numFmtId="181" fontId="46" fillId="0" borderId="8" xfId="0" quotePrefix="1" applyNumberFormat="1" applyFont="1" applyFill="1" applyBorder="1" applyAlignment="1" applyProtection="1">
      <alignment horizontal="center"/>
    </xf>
    <xf numFmtId="181" fontId="46" fillId="0" borderId="8" xfId="0" quotePrefix="1" applyNumberFormat="1" applyFont="1" applyBorder="1" applyAlignment="1">
      <alignment horizontal="center"/>
    </xf>
    <xf numFmtId="0" fontId="46" fillId="0" borderId="8" xfId="0" applyFont="1" applyBorder="1" applyAlignment="1">
      <alignment horizontal="center"/>
    </xf>
    <xf numFmtId="49" fontId="46" fillId="2" borderId="31" xfId="0" applyNumberFormat="1" applyFont="1" applyFill="1" applyBorder="1" applyAlignment="1" applyProtection="1">
      <alignment horizontal="left"/>
    </xf>
    <xf numFmtId="0" fontId="46" fillId="2" borderId="8" xfId="0" quotePrefix="1" applyFont="1" applyFill="1" applyBorder="1" applyAlignment="1" applyProtection="1">
      <alignment shrinkToFit="1"/>
    </xf>
    <xf numFmtId="0" fontId="46" fillId="2" borderId="8" xfId="0" quotePrefix="1" applyFont="1" applyFill="1" applyBorder="1" applyAlignment="1" applyProtection="1">
      <alignment horizontal="center"/>
    </xf>
    <xf numFmtId="0" fontId="46" fillId="2" borderId="8" xfId="0" quotePrefix="1" applyFont="1" applyFill="1" applyBorder="1" applyAlignment="1" applyProtection="1"/>
    <xf numFmtId="181" fontId="46" fillId="2" borderId="12" xfId="0" quotePrefix="1" applyNumberFormat="1" applyFont="1" applyFill="1" applyBorder="1" applyProtection="1"/>
    <xf numFmtId="181" fontId="46" fillId="2" borderId="8" xfId="0" quotePrefix="1" applyNumberFormat="1" applyFont="1" applyFill="1" applyBorder="1" applyAlignment="1" applyProtection="1">
      <alignment horizontal="center"/>
    </xf>
    <xf numFmtId="181" fontId="46" fillId="2" borderId="8" xfId="0" quotePrefix="1" applyNumberFormat="1" applyFont="1" applyFill="1" applyBorder="1" applyAlignment="1">
      <alignment horizontal="center"/>
    </xf>
    <xf numFmtId="0" fontId="46" fillId="2" borderId="8" xfId="0" quotePrefix="1" applyNumberFormat="1" applyFont="1" applyFill="1" applyBorder="1" applyAlignment="1" applyProtection="1">
      <alignment horizontal="center"/>
    </xf>
    <xf numFmtId="0" fontId="46" fillId="2" borderId="8" xfId="0" quotePrefix="1" applyFont="1" applyFill="1" applyBorder="1"/>
    <xf numFmtId="0" fontId="46" fillId="2" borderId="7" xfId="0" applyFont="1" applyFill="1" applyBorder="1" applyAlignment="1" applyProtection="1">
      <alignment shrinkToFit="1"/>
    </xf>
    <xf numFmtId="181" fontId="46" fillId="2" borderId="78" xfId="0" applyNumberFormat="1" applyFont="1" applyFill="1" applyBorder="1" applyProtection="1"/>
    <xf numFmtId="181" fontId="46" fillId="2" borderId="31" xfId="0" quotePrefix="1" applyNumberFormat="1" applyFont="1" applyFill="1" applyBorder="1"/>
    <xf numFmtId="181" fontId="46" fillId="2" borderId="8" xfId="0" quotePrefix="1" applyNumberFormat="1" applyFont="1" applyFill="1" applyBorder="1"/>
    <xf numFmtId="181" fontId="46" fillId="2" borderId="8" xfId="0" quotePrefix="1" applyNumberFormat="1" applyFont="1" applyFill="1" applyBorder="1" applyAlignment="1" applyProtection="1"/>
    <xf numFmtId="181" fontId="46" fillId="2" borderId="78" xfId="0" quotePrefix="1" applyNumberFormat="1" applyFont="1" applyFill="1" applyBorder="1" applyAlignment="1" applyProtection="1">
      <alignment horizontal="center"/>
    </xf>
    <xf numFmtId="181" fontId="50" fillId="2" borderId="0" xfId="0" applyNumberFormat="1" applyFont="1" applyFill="1" applyBorder="1"/>
    <xf numFmtId="0" fontId="0" fillId="0" borderId="53" xfId="0" applyFill="1" applyBorder="1" applyAlignment="1">
      <alignment vertical="center"/>
    </xf>
    <xf numFmtId="4" fontId="0" fillId="0" borderId="53" xfId="0" applyNumberFormat="1" applyFill="1" applyBorder="1" applyAlignment="1">
      <alignment vertical="center"/>
    </xf>
    <xf numFmtId="14" fontId="0" fillId="0" borderId="53" xfId="0" applyNumberFormat="1" applyFill="1" applyBorder="1" applyAlignment="1">
      <alignment vertical="center"/>
    </xf>
    <xf numFmtId="178" fontId="42" fillId="0" borderId="1" xfId="0" applyNumberFormat="1" applyFont="1" applyFill="1" applyBorder="1" applyAlignment="1">
      <alignment horizontal="center"/>
    </xf>
    <xf numFmtId="0" fontId="47" fillId="0" borderId="8" xfId="0" applyFont="1" applyFill="1" applyBorder="1" applyAlignment="1" applyProtection="1">
      <alignment horizontal="center"/>
    </xf>
    <xf numFmtId="0" fontId="47" fillId="0" borderId="8" xfId="0" quotePrefix="1" applyFont="1" applyFill="1" applyBorder="1" applyAlignment="1" applyProtection="1"/>
    <xf numFmtId="181" fontId="46" fillId="0" borderId="8" xfId="0" quotePrefix="1" applyNumberFormat="1" applyFont="1" applyFill="1" applyBorder="1" applyAlignment="1">
      <alignment horizontal="center"/>
    </xf>
    <xf numFmtId="0" fontId="46" fillId="0" borderId="8" xfId="0" quotePrefix="1" applyFont="1" applyFill="1" applyBorder="1"/>
    <xf numFmtId="0" fontId="61" fillId="0" borderId="8" xfId="0" quotePrefix="1" applyFont="1" applyFill="1" applyBorder="1" applyAlignment="1" applyProtection="1"/>
    <xf numFmtId="0" fontId="0" fillId="35" borderId="53" xfId="0" applyFill="1" applyBorder="1" applyAlignment="1">
      <alignment vertical="center"/>
    </xf>
    <xf numFmtId="0" fontId="47" fillId="0" borderId="7" xfId="0" applyFont="1" applyFill="1" applyBorder="1" applyAlignment="1" applyProtection="1">
      <alignment shrinkToFit="1"/>
    </xf>
    <xf numFmtId="0" fontId="19" fillId="0" borderId="77" xfId="184" applyFont="1" applyBorder="1">
      <alignment vertical="center"/>
    </xf>
    <xf numFmtId="0" fontId="19" fillId="0" borderId="40" xfId="184" applyFont="1" applyBorder="1">
      <alignment vertical="center"/>
    </xf>
    <xf numFmtId="179" fontId="19" fillId="0" borderId="40" xfId="184" applyNumberFormat="1" applyFont="1" applyBorder="1">
      <alignment vertical="center"/>
    </xf>
    <xf numFmtId="179" fontId="19" fillId="0" borderId="41" xfId="184" applyNumberFormat="1" applyFont="1" applyBorder="1">
      <alignment vertical="center"/>
    </xf>
    <xf numFmtId="179" fontId="19" fillId="0" borderId="42" xfId="184" applyNumberFormat="1" applyFont="1" applyBorder="1" applyAlignment="1">
      <alignment horizontal="center" vertical="center"/>
    </xf>
    <xf numFmtId="0" fontId="19" fillId="0" borderId="39" xfId="184" applyFont="1" applyBorder="1" applyAlignment="1">
      <alignment horizontal="center" vertical="center"/>
    </xf>
    <xf numFmtId="0" fontId="19" fillId="0" borderId="43" xfId="184" applyFont="1" applyBorder="1" applyAlignment="1">
      <alignment horizontal="center" vertical="center"/>
    </xf>
    <xf numFmtId="0" fontId="19" fillId="0" borderId="41" xfId="184" applyFont="1" applyBorder="1" applyAlignment="1">
      <alignment horizontal="center" vertical="center"/>
    </xf>
    <xf numFmtId="0" fontId="19" fillId="0" borderId="40" xfId="184" applyFont="1" applyBorder="1" applyAlignment="1">
      <alignment horizontal="center" vertical="center"/>
    </xf>
    <xf numFmtId="0" fontId="19" fillId="0" borderId="44" xfId="184" applyFont="1" applyBorder="1" applyAlignment="1">
      <alignment horizontal="center" vertical="center"/>
    </xf>
    <xf numFmtId="0" fontId="19" fillId="0" borderId="41" xfId="184" applyFont="1" applyBorder="1">
      <alignment vertical="center"/>
    </xf>
    <xf numFmtId="0" fontId="19" fillId="0" borderId="44" xfId="184" applyFont="1" applyBorder="1">
      <alignment vertical="center"/>
    </xf>
    <xf numFmtId="0" fontId="19" fillId="0" borderId="39" xfId="184" applyFont="1" applyBorder="1">
      <alignment vertical="center"/>
    </xf>
    <xf numFmtId="49" fontId="46" fillId="0" borderId="31" xfId="0" applyNumberFormat="1" applyFont="1" applyBorder="1" applyAlignment="1">
      <alignment horizontal="center"/>
    </xf>
    <xf numFmtId="0" fontId="46" fillId="0" borderId="12" xfId="0" applyFont="1" applyBorder="1" applyAlignment="1">
      <alignment horizontal="center"/>
    </xf>
    <xf numFmtId="49" fontId="46" fillId="0" borderId="31" xfId="0" applyNumberFormat="1" applyFont="1" applyBorder="1" applyAlignment="1">
      <alignment horizontal="left"/>
    </xf>
    <xf numFmtId="0" fontId="46" fillId="0" borderId="8" xfId="0" applyFont="1" applyBorder="1" applyAlignment="1">
      <alignment shrinkToFit="1"/>
    </xf>
    <xf numFmtId="0" fontId="46" fillId="0" borderId="8" xfId="0" applyFont="1" applyBorder="1"/>
    <xf numFmtId="0" fontId="46" fillId="0" borderId="7" xfId="0" applyFont="1" applyBorder="1" applyAlignment="1">
      <alignment shrinkToFit="1"/>
    </xf>
    <xf numFmtId="181" fontId="46" fillId="0" borderId="8" xfId="0" applyNumberFormat="1" applyFont="1" applyBorder="1"/>
    <xf numFmtId="181" fontId="46" fillId="0" borderId="78" xfId="0" applyNumberFormat="1" applyFont="1" applyBorder="1"/>
    <xf numFmtId="181" fontId="46" fillId="0" borderId="12" xfId="0" applyNumberFormat="1" applyFont="1" applyBorder="1"/>
    <xf numFmtId="178" fontId="46" fillId="0" borderId="1" xfId="0" applyNumberFormat="1" applyFont="1" applyBorder="1" applyAlignment="1">
      <alignment horizontal="center"/>
    </xf>
    <xf numFmtId="0" fontId="46" fillId="0" borderId="12" xfId="0" applyFont="1" applyBorder="1"/>
    <xf numFmtId="0" fontId="46" fillId="0" borderId="87" xfId="0" applyFont="1" applyBorder="1"/>
    <xf numFmtId="0" fontId="46" fillId="0" borderId="33" xfId="0" applyFont="1" applyBorder="1"/>
    <xf numFmtId="178" fontId="46" fillId="0" borderId="0" xfId="0" applyNumberFormat="1" applyFont="1"/>
    <xf numFmtId="0" fontId="43" fillId="0" borderId="0" xfId="0" applyFont="1"/>
    <xf numFmtId="0" fontId="44" fillId="0" borderId="0" xfId="0" applyFont="1"/>
    <xf numFmtId="0" fontId="45" fillId="0" borderId="0" xfId="0" applyFont="1"/>
    <xf numFmtId="0" fontId="46" fillId="0" borderId="0" xfId="0" applyFont="1"/>
    <xf numFmtId="181" fontId="46" fillId="0" borderId="12" xfId="0" quotePrefix="1" applyNumberFormat="1" applyFont="1" applyFill="1" applyBorder="1"/>
    <xf numFmtId="181" fontId="46" fillId="0" borderId="0" xfId="0" applyNumberFormat="1" applyFont="1" applyFill="1" applyBorder="1" applyProtection="1"/>
    <xf numFmtId="178" fontId="46" fillId="0" borderId="10" xfId="0" applyNumberFormat="1" applyFont="1" applyBorder="1"/>
    <xf numFmtId="0" fontId="62" fillId="0" borderId="8" xfId="0" quotePrefix="1" applyFont="1" applyFill="1" applyBorder="1" applyAlignment="1" applyProtection="1"/>
    <xf numFmtId="56" fontId="46" fillId="0" borderId="12" xfId="0" applyNumberFormat="1" applyFont="1" applyFill="1" applyBorder="1" applyAlignment="1" applyProtection="1">
      <alignment horizontal="center"/>
    </xf>
    <xf numFmtId="49" fontId="46" fillId="0" borderId="93" xfId="0" applyNumberFormat="1" applyFont="1" applyFill="1" applyBorder="1" applyAlignment="1" applyProtection="1">
      <alignment horizontal="center"/>
    </xf>
    <xf numFmtId="0" fontId="46" fillId="0" borderId="94" xfId="0" applyFont="1" applyFill="1" applyBorder="1" applyAlignment="1" applyProtection="1">
      <alignment horizontal="center"/>
    </xf>
    <xf numFmtId="49" fontId="46" fillId="0" borderId="93" xfId="0" applyNumberFormat="1" applyFont="1" applyFill="1" applyBorder="1" applyAlignment="1" applyProtection="1">
      <alignment horizontal="left"/>
    </xf>
    <xf numFmtId="0" fontId="46" fillId="0" borderId="95" xfId="0" applyFont="1" applyFill="1" applyBorder="1" applyAlignment="1" applyProtection="1">
      <alignment horizontal="center"/>
    </xf>
    <xf numFmtId="0" fontId="46" fillId="0" borderId="96" xfId="0" applyFont="1" applyFill="1" applyBorder="1" applyProtection="1"/>
    <xf numFmtId="181" fontId="46" fillId="0" borderId="95" xfId="0" applyNumberFormat="1" applyFont="1" applyFill="1" applyBorder="1" applyProtection="1"/>
    <xf numFmtId="181" fontId="46" fillId="0" borderId="97" xfId="0" applyNumberFormat="1" applyFont="1" applyFill="1" applyBorder="1" applyProtection="1"/>
    <xf numFmtId="178" fontId="46" fillId="0" borderId="98" xfId="0" applyNumberFormat="1" applyFont="1" applyFill="1" applyBorder="1" applyAlignment="1">
      <alignment horizontal="center"/>
    </xf>
    <xf numFmtId="181" fontId="46" fillId="0" borderId="95" xfId="0" applyNumberFormat="1" applyFont="1" applyFill="1" applyBorder="1" applyAlignment="1" applyProtection="1">
      <alignment horizontal="center"/>
    </xf>
    <xf numFmtId="0" fontId="46" fillId="0" borderId="94" xfId="0" applyFont="1" applyFill="1" applyBorder="1" applyProtection="1"/>
    <xf numFmtId="0" fontId="46" fillId="0" borderId="99" xfId="0" applyFont="1" applyFill="1" applyBorder="1" applyProtection="1"/>
    <xf numFmtId="181" fontId="46" fillId="0" borderId="100" xfId="0" applyNumberFormat="1" applyFont="1" applyFill="1" applyBorder="1" applyProtection="1"/>
    <xf numFmtId="181" fontId="46" fillId="0" borderId="94" xfId="0" applyNumberFormat="1" applyFont="1" applyFill="1" applyBorder="1" applyProtection="1"/>
    <xf numFmtId="178" fontId="46" fillId="2" borderId="98" xfId="0" applyNumberFormat="1" applyFont="1" applyFill="1" applyBorder="1" applyAlignment="1">
      <alignment horizontal="center"/>
    </xf>
    <xf numFmtId="178" fontId="46" fillId="0" borderId="98" xfId="0" applyNumberFormat="1" applyFont="1" applyBorder="1" applyAlignment="1">
      <alignment horizontal="center"/>
    </xf>
    <xf numFmtId="49" fontId="46" fillId="0" borderId="93" xfId="0" applyNumberFormat="1" applyFont="1" applyBorder="1" applyAlignment="1">
      <alignment horizontal="center"/>
    </xf>
    <xf numFmtId="0" fontId="46" fillId="0" borderId="94" xfId="0" applyFont="1" applyBorder="1" applyAlignment="1">
      <alignment horizontal="center"/>
    </xf>
    <xf numFmtId="49" fontId="46" fillId="0" borderId="93" xfId="0" applyNumberFormat="1" applyFont="1" applyBorder="1" applyAlignment="1">
      <alignment horizontal="left"/>
    </xf>
    <xf numFmtId="0" fontId="46" fillId="0" borderId="95" xfId="0" applyFont="1" applyBorder="1" applyAlignment="1">
      <alignment horizontal="center"/>
    </xf>
    <xf numFmtId="0" fontId="46" fillId="0" borderId="8" xfId="0" quotePrefix="1" applyFont="1" applyBorder="1" applyAlignment="1">
      <alignment shrinkToFit="1"/>
    </xf>
    <xf numFmtId="0" fontId="46" fillId="0" borderId="8" xfId="0" quotePrefix="1" applyFont="1" applyBorder="1" applyAlignment="1">
      <alignment horizontal="center"/>
    </xf>
    <xf numFmtId="0" fontId="46" fillId="0" borderId="96" xfId="0" applyFont="1" applyBorder="1"/>
    <xf numFmtId="181" fontId="46" fillId="0" borderId="95" xfId="0" applyNumberFormat="1" applyFont="1" applyBorder="1"/>
    <xf numFmtId="181" fontId="46" fillId="0" borderId="97" xfId="0" applyNumberFormat="1" applyFont="1" applyBorder="1"/>
    <xf numFmtId="181" fontId="46" fillId="0" borderId="12" xfId="0" quotePrefix="1" applyNumberFormat="1" applyFont="1" applyBorder="1"/>
    <xf numFmtId="181" fontId="46" fillId="0" borderId="95" xfId="0" applyNumberFormat="1" applyFont="1" applyBorder="1" applyAlignment="1">
      <alignment horizontal="center"/>
    </xf>
    <xf numFmtId="0" fontId="46" fillId="0" borderId="94" xfId="0" applyFont="1" applyBorder="1"/>
    <xf numFmtId="0" fontId="46" fillId="0" borderId="99" xfId="0" applyFont="1" applyBorder="1"/>
    <xf numFmtId="181" fontId="46" fillId="0" borderId="100" xfId="0" applyNumberFormat="1" applyFont="1" applyBorder="1"/>
    <xf numFmtId="181" fontId="46" fillId="0" borderId="94" xfId="0" applyNumberFormat="1" applyFont="1" applyBorder="1"/>
    <xf numFmtId="0" fontId="46" fillId="0" borderId="7" xfId="0" applyFont="1" applyBorder="1"/>
    <xf numFmtId="49" fontId="46" fillId="2" borderId="93" xfId="0" applyNumberFormat="1" applyFont="1" applyFill="1" applyBorder="1" applyAlignment="1">
      <alignment horizontal="center"/>
    </xf>
    <xf numFmtId="0" fontId="46" fillId="2" borderId="94" xfId="0" applyFont="1" applyFill="1" applyBorder="1" applyAlignment="1">
      <alignment horizontal="center"/>
    </xf>
    <xf numFmtId="49" fontId="46" fillId="2" borderId="93" xfId="0" applyNumberFormat="1" applyFont="1" applyFill="1" applyBorder="1" applyAlignment="1">
      <alignment horizontal="left"/>
    </xf>
    <xf numFmtId="0" fontId="46" fillId="2" borderId="95" xfId="0" applyFont="1" applyFill="1" applyBorder="1" applyAlignment="1">
      <alignment horizontal="center"/>
    </xf>
    <xf numFmtId="0" fontId="46" fillId="2" borderId="8" xfId="0" quotePrefix="1" applyFont="1" applyFill="1" applyBorder="1" applyAlignment="1">
      <alignment shrinkToFit="1"/>
    </xf>
    <xf numFmtId="0" fontId="46" fillId="2" borderId="8" xfId="0" quotePrefix="1" applyFont="1" applyFill="1" applyBorder="1" applyAlignment="1">
      <alignment horizontal="center"/>
    </xf>
    <xf numFmtId="0" fontId="46" fillId="2" borderId="96" xfId="0" applyFont="1" applyFill="1" applyBorder="1"/>
    <xf numFmtId="181" fontId="46" fillId="2" borderId="95" xfId="0" applyNumberFormat="1" applyFont="1" applyFill="1" applyBorder="1"/>
    <xf numFmtId="181" fontId="46" fillId="2" borderId="97" xfId="0" applyNumberFormat="1" applyFont="1" applyFill="1" applyBorder="1"/>
    <xf numFmtId="181" fontId="46" fillId="2" borderId="12" xfId="0" quotePrefix="1" applyNumberFormat="1" applyFont="1" applyFill="1" applyBorder="1"/>
    <xf numFmtId="181" fontId="46" fillId="2" borderId="95" xfId="0" applyNumberFormat="1" applyFont="1" applyFill="1" applyBorder="1" applyAlignment="1">
      <alignment horizontal="center"/>
    </xf>
    <xf numFmtId="0" fontId="46" fillId="2" borderId="94" xfId="0" applyFont="1" applyFill="1" applyBorder="1"/>
    <xf numFmtId="0" fontId="46" fillId="2" borderId="99" xfId="0" applyFont="1" applyFill="1" applyBorder="1"/>
    <xf numFmtId="0" fontId="46" fillId="2" borderId="33" xfId="0" applyFont="1" applyFill="1" applyBorder="1"/>
    <xf numFmtId="181" fontId="46" fillId="2" borderId="100" xfId="0" applyNumberFormat="1" applyFont="1" applyFill="1" applyBorder="1"/>
    <xf numFmtId="181" fontId="46" fillId="2" borderId="94" xfId="0" applyNumberFormat="1" applyFont="1" applyFill="1" applyBorder="1"/>
    <xf numFmtId="181" fontId="50" fillId="2" borderId="97" xfId="0" applyNumberFormat="1" applyFont="1" applyFill="1" applyBorder="1"/>
    <xf numFmtId="178" fontId="46" fillId="2" borderId="0" xfId="0" applyNumberFormat="1" applyFont="1" applyFill="1"/>
    <xf numFmtId="0" fontId="63" fillId="0" borderId="53" xfId="0" applyFont="1" applyFill="1" applyBorder="1" applyAlignment="1">
      <alignment vertical="center"/>
    </xf>
    <xf numFmtId="0" fontId="38" fillId="0" borderId="53" xfId="0" applyFont="1" applyFill="1" applyBorder="1" applyAlignment="1">
      <alignment vertical="center"/>
    </xf>
    <xf numFmtId="0" fontId="64" fillId="0" borderId="53" xfId="0" applyFont="1" applyFill="1" applyBorder="1" applyAlignment="1">
      <alignment vertical="center"/>
    </xf>
    <xf numFmtId="0" fontId="47" fillId="0" borderId="87" xfId="0" applyFont="1" applyFill="1" applyBorder="1" applyProtection="1"/>
    <xf numFmtId="0" fontId="46" fillId="2" borderId="8" xfId="0" applyFont="1" applyFill="1" applyBorder="1" applyAlignment="1">
      <alignment horizontal="center"/>
    </xf>
    <xf numFmtId="14" fontId="0" fillId="0" borderId="0" xfId="0" applyNumberFormat="1" applyAlignment="1">
      <alignment vertical="center"/>
    </xf>
    <xf numFmtId="0" fontId="46" fillId="0" borderId="8" xfId="0" applyFont="1" applyFill="1" applyBorder="1" applyAlignment="1">
      <alignment horizontal="center"/>
    </xf>
    <xf numFmtId="49" fontId="46" fillId="2" borderId="93" xfId="0" applyNumberFormat="1" applyFont="1" applyFill="1" applyBorder="1" applyAlignment="1" applyProtection="1">
      <alignment horizontal="center"/>
    </xf>
    <xf numFmtId="0" fontId="46" fillId="2" borderId="94" xfId="0" applyFont="1" applyFill="1" applyBorder="1" applyAlignment="1" applyProtection="1">
      <alignment horizontal="center"/>
    </xf>
    <xf numFmtId="49" fontId="46" fillId="2" borderId="93" xfId="0" applyNumberFormat="1" applyFont="1" applyFill="1" applyBorder="1" applyAlignment="1" applyProtection="1">
      <alignment horizontal="left"/>
    </xf>
    <xf numFmtId="0" fontId="46" fillId="2" borderId="95" xfId="0" applyFont="1" applyFill="1" applyBorder="1" applyAlignment="1" applyProtection="1">
      <alignment horizontal="center"/>
    </xf>
    <xf numFmtId="0" fontId="46" fillId="2" borderId="96" xfId="0" applyFont="1" applyFill="1" applyBorder="1" applyProtection="1"/>
    <xf numFmtId="181" fontId="46" fillId="2" borderId="95" xfId="0" applyNumberFormat="1" applyFont="1" applyFill="1" applyBorder="1" applyProtection="1"/>
    <xf numFmtId="181" fontId="46" fillId="2" borderId="97" xfId="0" applyNumberFormat="1" applyFont="1" applyFill="1" applyBorder="1" applyProtection="1"/>
    <xf numFmtId="181" fontId="46" fillId="2" borderId="95" xfId="0" applyNumberFormat="1" applyFont="1" applyFill="1" applyBorder="1" applyAlignment="1" applyProtection="1">
      <alignment horizontal="center"/>
    </xf>
    <xf numFmtId="0" fontId="46" fillId="2" borderId="94" xfId="0" applyFont="1" applyFill="1" applyBorder="1" applyProtection="1"/>
    <xf numFmtId="0" fontId="46" fillId="2" borderId="99" xfId="0" applyFont="1" applyFill="1" applyBorder="1" applyProtection="1"/>
    <xf numFmtId="181" fontId="46" fillId="2" borderId="100" xfId="0" applyNumberFormat="1" applyFont="1" applyFill="1" applyBorder="1" applyProtection="1"/>
    <xf numFmtId="181" fontId="46" fillId="2" borderId="94" xfId="0" applyNumberFormat="1" applyFont="1" applyFill="1" applyBorder="1" applyProtection="1"/>
    <xf numFmtId="181" fontId="50" fillId="2" borderId="97" xfId="0" applyNumberFormat="1" applyFont="1" applyFill="1" applyBorder="1" applyProtection="1"/>
    <xf numFmtId="0" fontId="61" fillId="0" borderId="8" xfId="0" quotePrefix="1" applyFont="1" applyBorder="1"/>
    <xf numFmtId="0" fontId="47" fillId="0" borderId="95" xfId="0" applyFont="1" applyFill="1" applyBorder="1" applyAlignment="1" applyProtection="1">
      <alignment horizontal="center"/>
    </xf>
    <xf numFmtId="0" fontId="42" fillId="0" borderId="8" xfId="0" applyFont="1" applyFill="1" applyBorder="1" applyAlignment="1" applyProtection="1">
      <alignment horizontal="center"/>
    </xf>
    <xf numFmtId="181" fontId="46" fillId="0" borderId="87" xfId="0" applyNumberFormat="1" applyFont="1" applyFill="1" applyBorder="1" applyProtection="1"/>
    <xf numFmtId="0" fontId="0" fillId="0" borderId="53" xfId="0" applyNumberFormat="1" applyFill="1" applyBorder="1" applyAlignment="1">
      <alignment vertical="center"/>
    </xf>
    <xf numFmtId="0" fontId="39" fillId="0" borderId="53" xfId="0" applyFont="1" applyFill="1" applyBorder="1" applyAlignment="1" applyProtection="1">
      <protection locked="0"/>
    </xf>
    <xf numFmtId="0" fontId="61" fillId="0" borderId="7" xfId="0" applyFont="1" applyFill="1" applyBorder="1" applyAlignment="1" applyProtection="1">
      <alignment shrinkToFit="1"/>
    </xf>
    <xf numFmtId="178" fontId="46" fillId="37" borderId="1" xfId="0" applyNumberFormat="1" applyFont="1" applyFill="1" applyBorder="1" applyAlignment="1">
      <alignment horizontal="center"/>
    </xf>
    <xf numFmtId="178" fontId="46" fillId="37" borderId="98" xfId="0" applyNumberFormat="1" applyFont="1" applyFill="1" applyBorder="1" applyAlignment="1">
      <alignment horizontal="center"/>
    </xf>
    <xf numFmtId="181" fontId="46" fillId="0" borderId="8" xfId="0" applyNumberFormat="1" applyFont="1" applyFill="1" applyBorder="1" applyAlignment="1" applyProtection="1"/>
    <xf numFmtId="181" fontId="46" fillId="0" borderId="8" xfId="0" applyNumberFormat="1" applyFont="1" applyFill="1" applyBorder="1" applyAlignment="1" applyProtection="1">
      <alignment horizontal="right"/>
    </xf>
    <xf numFmtId="181" fontId="46" fillId="2" borderId="9" xfId="0" applyNumberFormat="1" applyFont="1" applyFill="1" applyBorder="1"/>
    <xf numFmtId="0" fontId="62" fillId="0" borderId="8" xfId="0" quotePrefix="1" applyFont="1" applyBorder="1"/>
    <xf numFmtId="0" fontId="0" fillId="35" borderId="53" xfId="0" applyNumberFormat="1" applyFill="1" applyBorder="1" applyAlignment="1">
      <alignment vertical="center"/>
    </xf>
    <xf numFmtId="181" fontId="62" fillId="0" borderId="8" xfId="0" quotePrefix="1" applyNumberFormat="1" applyFont="1" applyFill="1" applyBorder="1" applyAlignment="1" applyProtection="1">
      <alignment horizontal="center"/>
    </xf>
    <xf numFmtId="181" fontId="62" fillId="0" borderId="8" xfId="0" applyNumberFormat="1" applyFont="1" applyFill="1" applyBorder="1" applyAlignment="1" applyProtection="1">
      <alignment horizontal="center"/>
    </xf>
    <xf numFmtId="181" fontId="62" fillId="0" borderId="8" xfId="0" quotePrefix="1" applyNumberFormat="1" applyFont="1" applyBorder="1" applyAlignment="1">
      <alignment horizontal="center"/>
    </xf>
    <xf numFmtId="0" fontId="47" fillId="0" borderId="8" xfId="0" quotePrefix="1" applyFont="1" applyBorder="1"/>
    <xf numFmtId="0" fontId="42" fillId="0" borderId="8" xfId="0" applyFont="1" applyBorder="1" applyAlignment="1">
      <alignment horizontal="center"/>
    </xf>
    <xf numFmtId="181" fontId="46" fillId="0" borderId="31" xfId="0" quotePrefix="1" applyNumberFormat="1" applyFont="1" applyBorder="1"/>
    <xf numFmtId="181" fontId="46" fillId="0" borderId="8" xfId="0" quotePrefix="1" applyNumberFormat="1" applyFont="1" applyBorder="1"/>
    <xf numFmtId="181" fontId="46" fillId="0" borderId="78" xfId="0" quotePrefix="1" applyNumberFormat="1" applyFont="1" applyBorder="1" applyAlignment="1">
      <alignment horizontal="center"/>
    </xf>
    <xf numFmtId="0" fontId="46" fillId="0" borderId="96" xfId="0" applyFont="1" applyFill="1" applyBorder="1" applyAlignment="1" applyProtection="1">
      <alignment shrinkToFit="1"/>
    </xf>
    <xf numFmtId="181" fontId="46" fillId="0" borderId="101" xfId="0" applyNumberFormat="1" applyFont="1" applyFill="1" applyBorder="1" applyProtection="1"/>
    <xf numFmtId="180" fontId="39" fillId="0" borderId="53" xfId="0" applyNumberFormat="1" applyFont="1" applyFill="1" applyBorder="1" applyAlignment="1" applyProtection="1">
      <protection locked="0"/>
    </xf>
    <xf numFmtId="182" fontId="39" fillId="0" borderId="53" xfId="0" applyNumberFormat="1" applyFont="1" applyFill="1" applyBorder="1" applyAlignment="1" applyProtection="1">
      <protection locked="0"/>
    </xf>
    <xf numFmtId="0" fontId="39" fillId="35" borderId="53" xfId="0" applyFont="1" applyFill="1" applyBorder="1" applyAlignment="1" applyProtection="1">
      <protection locked="0"/>
    </xf>
    <xf numFmtId="0" fontId="0" fillId="0" borderId="38" xfId="0" applyFill="1" applyBorder="1" applyAlignment="1">
      <alignment vertical="center"/>
    </xf>
    <xf numFmtId="0" fontId="62" fillId="0" borderId="8" xfId="0" quotePrefix="1" applyFont="1" applyFill="1" applyBorder="1" applyAlignment="1" applyProtection="1">
      <alignment vertical="top"/>
    </xf>
    <xf numFmtId="0" fontId="47" fillId="0" borderId="7" xfId="0" applyFont="1" applyFill="1" applyBorder="1" applyProtection="1"/>
    <xf numFmtId="0" fontId="47" fillId="0" borderId="8" xfId="0" applyFont="1" applyFill="1" applyBorder="1" applyAlignment="1">
      <alignment horizontal="center"/>
    </xf>
    <xf numFmtId="0" fontId="67" fillId="0" borderId="8" xfId="0" quotePrefix="1" applyFont="1" applyFill="1" applyBorder="1" applyAlignment="1" applyProtection="1"/>
    <xf numFmtId="0" fontId="47" fillId="0" borderId="96" xfId="0" applyFont="1" applyFill="1" applyBorder="1" applyAlignment="1" applyProtection="1">
      <alignment shrinkToFit="1"/>
    </xf>
    <xf numFmtId="0" fontId="46" fillId="2" borderId="96" xfId="0" applyFont="1" applyFill="1" applyBorder="1" applyAlignment="1" applyProtection="1">
      <alignment shrinkToFit="1"/>
    </xf>
    <xf numFmtId="181" fontId="46" fillId="2" borderId="101" xfId="0" applyNumberFormat="1" applyFont="1" applyFill="1" applyBorder="1" applyProtection="1"/>
    <xf numFmtId="0" fontId="66" fillId="0" borderId="8" xfId="0" quotePrefix="1" applyFont="1" applyFill="1" applyBorder="1" applyAlignment="1" applyProtection="1"/>
    <xf numFmtId="0" fontId="42" fillId="0" borderId="8" xfId="0" applyFont="1" applyFill="1" applyBorder="1" applyAlignment="1">
      <alignment horizontal="center"/>
    </xf>
    <xf numFmtId="49" fontId="46" fillId="38" borderId="93" xfId="0" applyNumberFormat="1" applyFont="1" applyFill="1" applyBorder="1" applyAlignment="1" applyProtection="1">
      <alignment horizontal="center"/>
    </xf>
    <xf numFmtId="0" fontId="46" fillId="38" borderId="94" xfId="0" applyFont="1" applyFill="1" applyBorder="1" applyAlignment="1" applyProtection="1">
      <alignment horizontal="center"/>
    </xf>
    <xf numFmtId="49" fontId="46" fillId="38" borderId="93" xfId="0" applyNumberFormat="1" applyFont="1" applyFill="1" applyBorder="1" applyAlignment="1" applyProtection="1">
      <alignment horizontal="left"/>
    </xf>
    <xf numFmtId="0" fontId="46" fillId="38" borderId="95" xfId="0" applyFont="1" applyFill="1" applyBorder="1" applyAlignment="1" applyProtection="1">
      <alignment horizontal="center"/>
    </xf>
    <xf numFmtId="0" fontId="46" fillId="38" borderId="8" xfId="0" quotePrefix="1" applyFont="1" applyFill="1" applyBorder="1" applyAlignment="1" applyProtection="1">
      <alignment shrinkToFit="1"/>
    </xf>
    <xf numFmtId="0" fontId="46" fillId="38" borderId="8" xfId="0" quotePrefix="1" applyFont="1" applyFill="1" applyBorder="1" applyAlignment="1" applyProtection="1">
      <alignment horizontal="center"/>
    </xf>
    <xf numFmtId="0" fontId="46" fillId="38" borderId="8" xfId="0" quotePrefix="1" applyFont="1" applyFill="1" applyBorder="1" applyAlignment="1" applyProtection="1"/>
    <xf numFmtId="0" fontId="46" fillId="38" borderId="96" xfId="0" applyFont="1" applyFill="1" applyBorder="1" applyAlignment="1" applyProtection="1">
      <alignment shrinkToFit="1"/>
    </xf>
    <xf numFmtId="181" fontId="46" fillId="38" borderId="95" xfId="0" applyNumberFormat="1" applyFont="1" applyFill="1" applyBorder="1" applyProtection="1"/>
    <xf numFmtId="181" fontId="46" fillId="38" borderId="101" xfId="0" applyNumberFormat="1" applyFont="1" applyFill="1" applyBorder="1" applyProtection="1"/>
    <xf numFmtId="181" fontId="46" fillId="38" borderId="97" xfId="0" applyNumberFormat="1" applyFont="1" applyFill="1" applyBorder="1" applyProtection="1"/>
    <xf numFmtId="178" fontId="46" fillId="38" borderId="98" xfId="0" applyNumberFormat="1" applyFont="1" applyFill="1" applyBorder="1" applyAlignment="1">
      <alignment horizontal="center"/>
    </xf>
    <xf numFmtId="181" fontId="46" fillId="38" borderId="31" xfId="0" quotePrefix="1" applyNumberFormat="1" applyFont="1" applyFill="1" applyBorder="1"/>
    <xf numFmtId="181" fontId="46" fillId="38" borderId="8" xfId="0" quotePrefix="1" applyNumberFormat="1" applyFont="1" applyFill="1" applyBorder="1"/>
    <xf numFmtId="181" fontId="46" fillId="38" borderId="8" xfId="0" quotePrefix="1" applyNumberFormat="1" applyFont="1" applyFill="1" applyBorder="1" applyAlignment="1" applyProtection="1"/>
    <xf numFmtId="181" fontId="46" fillId="38" borderId="95" xfId="0" applyNumberFormat="1" applyFont="1" applyFill="1" applyBorder="1" applyAlignment="1" applyProtection="1">
      <alignment horizontal="center"/>
    </xf>
    <xf numFmtId="181" fontId="46" fillId="38" borderId="78" xfId="0" quotePrefix="1" applyNumberFormat="1" applyFont="1" applyFill="1" applyBorder="1" applyAlignment="1" applyProtection="1">
      <alignment horizontal="center"/>
    </xf>
    <xf numFmtId="0" fontId="46" fillId="38" borderId="8" xfId="0" quotePrefix="1" applyNumberFormat="1" applyFont="1" applyFill="1" applyBorder="1" applyAlignment="1" applyProtection="1">
      <alignment horizontal="center"/>
    </xf>
    <xf numFmtId="0" fontId="46" fillId="38" borderId="8" xfId="0" quotePrefix="1" applyFont="1" applyFill="1" applyBorder="1"/>
    <xf numFmtId="0" fontId="46" fillId="38" borderId="94" xfId="0" applyFont="1" applyFill="1" applyBorder="1" applyProtection="1"/>
    <xf numFmtId="0" fontId="46" fillId="38" borderId="99" xfId="0" applyFont="1" applyFill="1" applyBorder="1" applyProtection="1"/>
    <xf numFmtId="0" fontId="46" fillId="38" borderId="33" xfId="0" applyFont="1" applyFill="1" applyBorder="1" applyProtection="1"/>
    <xf numFmtId="181" fontId="46" fillId="38" borderId="100" xfId="0" applyNumberFormat="1" applyFont="1" applyFill="1" applyBorder="1" applyProtection="1"/>
    <xf numFmtId="181" fontId="46" fillId="38" borderId="94" xfId="0" applyNumberFormat="1" applyFont="1" applyFill="1" applyBorder="1" applyProtection="1"/>
    <xf numFmtId="178" fontId="46" fillId="38" borderId="0" xfId="0" applyNumberFormat="1" applyFont="1" applyFill="1" applyBorder="1"/>
    <xf numFmtId="0" fontId="43" fillId="38" borderId="0" xfId="0" applyFont="1" applyFill="1"/>
    <xf numFmtId="0" fontId="44" fillId="38" borderId="0" xfId="0" applyFont="1" applyFill="1"/>
    <xf numFmtId="0" fontId="45" fillId="38" borderId="0" xfId="0" applyFont="1" applyFill="1"/>
    <xf numFmtId="0" fontId="46" fillId="38" borderId="0" xfId="0" applyFont="1" applyFill="1"/>
    <xf numFmtId="49" fontId="46" fillId="38" borderId="31" xfId="0" applyNumberFormat="1" applyFont="1" applyFill="1" applyBorder="1" applyAlignment="1" applyProtection="1">
      <alignment horizontal="left"/>
    </xf>
    <xf numFmtId="0" fontId="46" fillId="38" borderId="8" xfId="0" applyFont="1" applyFill="1" applyBorder="1" applyAlignment="1" applyProtection="1">
      <alignment horizontal="center"/>
    </xf>
    <xf numFmtId="0" fontId="46" fillId="38" borderId="7" xfId="0" applyFont="1" applyFill="1" applyBorder="1" applyAlignment="1" applyProtection="1">
      <alignment shrinkToFit="1"/>
    </xf>
    <xf numFmtId="181" fontId="46" fillId="38" borderId="8" xfId="0" applyNumberFormat="1" applyFont="1" applyFill="1" applyBorder="1" applyProtection="1"/>
    <xf numFmtId="181" fontId="46" fillId="38" borderId="78" xfId="0" applyNumberFormat="1" applyFont="1" applyFill="1" applyBorder="1" applyProtection="1"/>
    <xf numFmtId="181" fontId="46" fillId="38" borderId="10" xfId="0" applyNumberFormat="1" applyFont="1" applyFill="1" applyBorder="1" applyProtection="1"/>
    <xf numFmtId="178" fontId="46" fillId="38" borderId="1" xfId="0" applyNumberFormat="1" applyFont="1" applyFill="1" applyBorder="1" applyAlignment="1">
      <alignment horizontal="center"/>
    </xf>
    <xf numFmtId="181" fontId="46" fillId="38" borderId="8" xfId="0" applyNumberFormat="1" applyFont="1" applyFill="1" applyBorder="1" applyAlignment="1" applyProtection="1">
      <alignment horizontal="center"/>
    </xf>
    <xf numFmtId="0" fontId="46" fillId="38" borderId="12" xfId="0" applyFont="1" applyFill="1" applyBorder="1" applyProtection="1"/>
    <xf numFmtId="0" fontId="46" fillId="38" borderId="87" xfId="0" applyFont="1" applyFill="1" applyBorder="1" applyProtection="1"/>
    <xf numFmtId="181" fontId="46" fillId="38" borderId="9" xfId="0" applyNumberFormat="1" applyFont="1" applyFill="1" applyBorder="1" applyProtection="1"/>
    <xf numFmtId="181" fontId="46" fillId="38" borderId="12" xfId="0" applyNumberFormat="1" applyFont="1" applyFill="1" applyBorder="1" applyProtection="1"/>
    <xf numFmtId="0" fontId="66" fillId="38" borderId="8" xfId="0" quotePrefix="1" applyFont="1" applyFill="1" applyBorder="1" applyAlignment="1" applyProtection="1"/>
    <xf numFmtId="0" fontId="60" fillId="0" borderId="0" xfId="0" applyFont="1" applyFill="1" applyAlignment="1" applyProtection="1">
      <alignment wrapText="1"/>
    </xf>
    <xf numFmtId="0" fontId="60" fillId="0" borderId="0" xfId="0" applyFont="1" applyFill="1" applyAlignment="1">
      <alignment wrapText="1"/>
    </xf>
  </cellXfs>
  <cellStyles count="185">
    <cellStyle name="20% - アクセント 1" xfId="18" builtinId="30" customBuiltin="1"/>
    <cellStyle name="20% - アクセント 1 2" xfId="43" xr:uid="{00000000-0005-0000-0000-000001000000}"/>
    <cellStyle name="20% - アクセント 1 2 2" xfId="85" xr:uid="{00000000-0005-0000-0000-000002000000}"/>
    <cellStyle name="20% - アクセント 1 3" xfId="59" xr:uid="{00000000-0005-0000-0000-000003000000}"/>
    <cellStyle name="20% - アクセント 1 3 2" xfId="101" xr:uid="{00000000-0005-0000-0000-000004000000}"/>
    <cellStyle name="20% - アクセント 1 4" xfId="71" xr:uid="{00000000-0005-0000-0000-000005000000}"/>
    <cellStyle name="20% - アクセント 1 5" xfId="115" xr:uid="{00000000-0005-0000-0000-000006000000}"/>
    <cellStyle name="20% - アクセント 1 6" xfId="129" xr:uid="{00000000-0005-0000-0000-000007000000}"/>
    <cellStyle name="20% - アクセント 1 7" xfId="143" xr:uid="{00000000-0005-0000-0000-000008000000}"/>
    <cellStyle name="20% - アクセント 1 8" xfId="157" xr:uid="{00000000-0005-0000-0000-000009000000}"/>
    <cellStyle name="20% - アクセント 1 9" xfId="171" xr:uid="{00000000-0005-0000-0000-00000A000000}"/>
    <cellStyle name="20% - アクセント 2" xfId="22" builtinId="34" customBuiltin="1"/>
    <cellStyle name="20% - アクセント 2 2" xfId="45" xr:uid="{00000000-0005-0000-0000-00000C000000}"/>
    <cellStyle name="20% - アクセント 2 2 2" xfId="87" xr:uid="{00000000-0005-0000-0000-00000D000000}"/>
    <cellStyle name="20% - アクセント 2 3" xfId="61" xr:uid="{00000000-0005-0000-0000-00000E000000}"/>
    <cellStyle name="20% - アクセント 2 3 2" xfId="103" xr:uid="{00000000-0005-0000-0000-00000F000000}"/>
    <cellStyle name="20% - アクセント 2 4" xfId="73" xr:uid="{00000000-0005-0000-0000-000010000000}"/>
    <cellStyle name="20% - アクセント 2 5" xfId="117" xr:uid="{00000000-0005-0000-0000-000011000000}"/>
    <cellStyle name="20% - アクセント 2 6" xfId="131" xr:uid="{00000000-0005-0000-0000-000012000000}"/>
    <cellStyle name="20% - アクセント 2 7" xfId="145" xr:uid="{00000000-0005-0000-0000-000013000000}"/>
    <cellStyle name="20% - アクセント 2 8" xfId="159" xr:uid="{00000000-0005-0000-0000-000014000000}"/>
    <cellStyle name="20% - アクセント 2 9" xfId="173" xr:uid="{00000000-0005-0000-0000-000015000000}"/>
    <cellStyle name="20% - アクセント 3" xfId="26" builtinId="38" customBuiltin="1"/>
    <cellStyle name="20% - アクセント 3 2" xfId="47" xr:uid="{00000000-0005-0000-0000-000017000000}"/>
    <cellStyle name="20% - アクセント 3 2 2" xfId="89" xr:uid="{00000000-0005-0000-0000-000018000000}"/>
    <cellStyle name="20% - アクセント 3 3" xfId="63" xr:uid="{00000000-0005-0000-0000-000019000000}"/>
    <cellStyle name="20% - アクセント 3 3 2" xfId="105" xr:uid="{00000000-0005-0000-0000-00001A000000}"/>
    <cellStyle name="20% - アクセント 3 4" xfId="75" xr:uid="{00000000-0005-0000-0000-00001B000000}"/>
    <cellStyle name="20% - アクセント 3 5" xfId="119" xr:uid="{00000000-0005-0000-0000-00001C000000}"/>
    <cellStyle name="20% - アクセント 3 6" xfId="133" xr:uid="{00000000-0005-0000-0000-00001D000000}"/>
    <cellStyle name="20% - アクセント 3 7" xfId="147" xr:uid="{00000000-0005-0000-0000-00001E000000}"/>
    <cellStyle name="20% - アクセント 3 8" xfId="161" xr:uid="{00000000-0005-0000-0000-00001F000000}"/>
    <cellStyle name="20% - アクセント 3 9" xfId="175" xr:uid="{00000000-0005-0000-0000-000020000000}"/>
    <cellStyle name="20% - アクセント 4" xfId="30" builtinId="42" customBuiltin="1"/>
    <cellStyle name="20% - アクセント 4 2" xfId="49" xr:uid="{00000000-0005-0000-0000-000022000000}"/>
    <cellStyle name="20% - アクセント 4 2 2" xfId="91" xr:uid="{00000000-0005-0000-0000-000023000000}"/>
    <cellStyle name="20% - アクセント 4 3" xfId="65" xr:uid="{00000000-0005-0000-0000-000024000000}"/>
    <cellStyle name="20% - アクセント 4 3 2" xfId="107" xr:uid="{00000000-0005-0000-0000-000025000000}"/>
    <cellStyle name="20% - アクセント 4 4" xfId="77" xr:uid="{00000000-0005-0000-0000-000026000000}"/>
    <cellStyle name="20% - アクセント 4 5" xfId="121" xr:uid="{00000000-0005-0000-0000-000027000000}"/>
    <cellStyle name="20% - アクセント 4 6" xfId="135" xr:uid="{00000000-0005-0000-0000-000028000000}"/>
    <cellStyle name="20% - アクセント 4 7" xfId="149" xr:uid="{00000000-0005-0000-0000-000029000000}"/>
    <cellStyle name="20% - アクセント 4 8" xfId="163" xr:uid="{00000000-0005-0000-0000-00002A000000}"/>
    <cellStyle name="20% - アクセント 4 9" xfId="177" xr:uid="{00000000-0005-0000-0000-00002B000000}"/>
    <cellStyle name="20% - アクセント 5" xfId="34" builtinId="46" customBuiltin="1"/>
    <cellStyle name="20% - アクセント 5 2" xfId="51" xr:uid="{00000000-0005-0000-0000-00002D000000}"/>
    <cellStyle name="20% - アクセント 5 2 2" xfId="93" xr:uid="{00000000-0005-0000-0000-00002E000000}"/>
    <cellStyle name="20% - アクセント 5 3" xfId="67" xr:uid="{00000000-0005-0000-0000-00002F000000}"/>
    <cellStyle name="20% - アクセント 5 3 2" xfId="109" xr:uid="{00000000-0005-0000-0000-000030000000}"/>
    <cellStyle name="20% - アクセント 5 4" xfId="79" xr:uid="{00000000-0005-0000-0000-000031000000}"/>
    <cellStyle name="20% - アクセント 5 5" xfId="123" xr:uid="{00000000-0005-0000-0000-000032000000}"/>
    <cellStyle name="20% - アクセント 5 6" xfId="137" xr:uid="{00000000-0005-0000-0000-000033000000}"/>
    <cellStyle name="20% - アクセント 5 7" xfId="151" xr:uid="{00000000-0005-0000-0000-000034000000}"/>
    <cellStyle name="20% - アクセント 5 8" xfId="165" xr:uid="{00000000-0005-0000-0000-000035000000}"/>
    <cellStyle name="20% - アクセント 5 9" xfId="179" xr:uid="{00000000-0005-0000-0000-000036000000}"/>
    <cellStyle name="20% - アクセント 6" xfId="38" builtinId="50" customBuiltin="1"/>
    <cellStyle name="20% - アクセント 6 2" xfId="53" xr:uid="{00000000-0005-0000-0000-000038000000}"/>
    <cellStyle name="20% - アクセント 6 2 2" xfId="95" xr:uid="{00000000-0005-0000-0000-000039000000}"/>
    <cellStyle name="20% - アクセント 6 3" xfId="69" xr:uid="{00000000-0005-0000-0000-00003A000000}"/>
    <cellStyle name="20% - アクセント 6 3 2" xfId="111" xr:uid="{00000000-0005-0000-0000-00003B000000}"/>
    <cellStyle name="20% - アクセント 6 4" xfId="81" xr:uid="{00000000-0005-0000-0000-00003C000000}"/>
    <cellStyle name="20% - アクセント 6 5" xfId="125" xr:uid="{00000000-0005-0000-0000-00003D000000}"/>
    <cellStyle name="20% - アクセント 6 6" xfId="139" xr:uid="{00000000-0005-0000-0000-00003E000000}"/>
    <cellStyle name="20% - アクセント 6 7" xfId="153" xr:uid="{00000000-0005-0000-0000-00003F000000}"/>
    <cellStyle name="20% - アクセント 6 8" xfId="167" xr:uid="{00000000-0005-0000-0000-000040000000}"/>
    <cellStyle name="20% - アクセント 6 9" xfId="181" xr:uid="{00000000-0005-0000-0000-000041000000}"/>
    <cellStyle name="40% - アクセント 1" xfId="19" builtinId="31" customBuiltin="1"/>
    <cellStyle name="40% - アクセント 1 2" xfId="44" xr:uid="{00000000-0005-0000-0000-000043000000}"/>
    <cellStyle name="40% - アクセント 1 2 2" xfId="86" xr:uid="{00000000-0005-0000-0000-000044000000}"/>
    <cellStyle name="40% - アクセント 1 3" xfId="60" xr:uid="{00000000-0005-0000-0000-000045000000}"/>
    <cellStyle name="40% - アクセント 1 3 2" xfId="102" xr:uid="{00000000-0005-0000-0000-000046000000}"/>
    <cellStyle name="40% - アクセント 1 4" xfId="72" xr:uid="{00000000-0005-0000-0000-000047000000}"/>
    <cellStyle name="40% - アクセント 1 5" xfId="116" xr:uid="{00000000-0005-0000-0000-000048000000}"/>
    <cellStyle name="40% - アクセント 1 6" xfId="130" xr:uid="{00000000-0005-0000-0000-000049000000}"/>
    <cellStyle name="40% - アクセント 1 7" xfId="144" xr:uid="{00000000-0005-0000-0000-00004A000000}"/>
    <cellStyle name="40% - アクセント 1 8" xfId="158" xr:uid="{00000000-0005-0000-0000-00004B000000}"/>
    <cellStyle name="40% - アクセント 1 9" xfId="172" xr:uid="{00000000-0005-0000-0000-00004C000000}"/>
    <cellStyle name="40% - アクセント 2" xfId="23" builtinId="35" customBuiltin="1"/>
    <cellStyle name="40% - アクセント 2 2" xfId="46" xr:uid="{00000000-0005-0000-0000-00004E000000}"/>
    <cellStyle name="40% - アクセント 2 2 2" xfId="88" xr:uid="{00000000-0005-0000-0000-00004F000000}"/>
    <cellStyle name="40% - アクセント 2 3" xfId="62" xr:uid="{00000000-0005-0000-0000-000050000000}"/>
    <cellStyle name="40% - アクセント 2 3 2" xfId="104" xr:uid="{00000000-0005-0000-0000-000051000000}"/>
    <cellStyle name="40% - アクセント 2 4" xfId="74" xr:uid="{00000000-0005-0000-0000-000052000000}"/>
    <cellStyle name="40% - アクセント 2 5" xfId="118" xr:uid="{00000000-0005-0000-0000-000053000000}"/>
    <cellStyle name="40% - アクセント 2 6" xfId="132" xr:uid="{00000000-0005-0000-0000-000054000000}"/>
    <cellStyle name="40% - アクセント 2 7" xfId="146" xr:uid="{00000000-0005-0000-0000-000055000000}"/>
    <cellStyle name="40% - アクセント 2 8" xfId="160" xr:uid="{00000000-0005-0000-0000-000056000000}"/>
    <cellStyle name="40% - アクセント 2 9" xfId="174" xr:uid="{00000000-0005-0000-0000-000057000000}"/>
    <cellStyle name="40% - アクセント 3" xfId="27" builtinId="39" customBuiltin="1"/>
    <cellStyle name="40% - アクセント 3 2" xfId="48" xr:uid="{00000000-0005-0000-0000-000059000000}"/>
    <cellStyle name="40% - アクセント 3 2 2" xfId="90" xr:uid="{00000000-0005-0000-0000-00005A000000}"/>
    <cellStyle name="40% - アクセント 3 3" xfId="64" xr:uid="{00000000-0005-0000-0000-00005B000000}"/>
    <cellStyle name="40% - アクセント 3 3 2" xfId="106" xr:uid="{00000000-0005-0000-0000-00005C000000}"/>
    <cellStyle name="40% - アクセント 3 4" xfId="76" xr:uid="{00000000-0005-0000-0000-00005D000000}"/>
    <cellStyle name="40% - アクセント 3 5" xfId="120" xr:uid="{00000000-0005-0000-0000-00005E000000}"/>
    <cellStyle name="40% - アクセント 3 6" xfId="134" xr:uid="{00000000-0005-0000-0000-00005F000000}"/>
    <cellStyle name="40% - アクセント 3 7" xfId="148" xr:uid="{00000000-0005-0000-0000-000060000000}"/>
    <cellStyle name="40% - アクセント 3 8" xfId="162" xr:uid="{00000000-0005-0000-0000-000061000000}"/>
    <cellStyle name="40% - アクセント 3 9" xfId="176" xr:uid="{00000000-0005-0000-0000-000062000000}"/>
    <cellStyle name="40% - アクセント 4" xfId="31" builtinId="43" customBuiltin="1"/>
    <cellStyle name="40% - アクセント 4 2" xfId="50" xr:uid="{00000000-0005-0000-0000-000064000000}"/>
    <cellStyle name="40% - アクセント 4 2 2" xfId="92" xr:uid="{00000000-0005-0000-0000-000065000000}"/>
    <cellStyle name="40% - アクセント 4 3" xfId="66" xr:uid="{00000000-0005-0000-0000-000066000000}"/>
    <cellStyle name="40% - アクセント 4 3 2" xfId="108" xr:uid="{00000000-0005-0000-0000-000067000000}"/>
    <cellStyle name="40% - アクセント 4 4" xfId="78" xr:uid="{00000000-0005-0000-0000-000068000000}"/>
    <cellStyle name="40% - アクセント 4 5" xfId="122" xr:uid="{00000000-0005-0000-0000-000069000000}"/>
    <cellStyle name="40% - アクセント 4 6" xfId="136" xr:uid="{00000000-0005-0000-0000-00006A000000}"/>
    <cellStyle name="40% - アクセント 4 7" xfId="150" xr:uid="{00000000-0005-0000-0000-00006B000000}"/>
    <cellStyle name="40% - アクセント 4 8" xfId="164" xr:uid="{00000000-0005-0000-0000-00006C000000}"/>
    <cellStyle name="40% - アクセント 4 9" xfId="178" xr:uid="{00000000-0005-0000-0000-00006D000000}"/>
    <cellStyle name="40% - アクセント 5" xfId="35" builtinId="47" customBuiltin="1"/>
    <cellStyle name="40% - アクセント 5 2" xfId="52" xr:uid="{00000000-0005-0000-0000-00006F000000}"/>
    <cellStyle name="40% - アクセント 5 2 2" xfId="94" xr:uid="{00000000-0005-0000-0000-000070000000}"/>
    <cellStyle name="40% - アクセント 5 3" xfId="68" xr:uid="{00000000-0005-0000-0000-000071000000}"/>
    <cellStyle name="40% - アクセント 5 3 2" xfId="110" xr:uid="{00000000-0005-0000-0000-000072000000}"/>
    <cellStyle name="40% - アクセント 5 4" xfId="80" xr:uid="{00000000-0005-0000-0000-000073000000}"/>
    <cellStyle name="40% - アクセント 5 5" xfId="124" xr:uid="{00000000-0005-0000-0000-000074000000}"/>
    <cellStyle name="40% - アクセント 5 6" xfId="138" xr:uid="{00000000-0005-0000-0000-000075000000}"/>
    <cellStyle name="40% - アクセント 5 7" xfId="152" xr:uid="{00000000-0005-0000-0000-000076000000}"/>
    <cellStyle name="40% - アクセント 5 8" xfId="166" xr:uid="{00000000-0005-0000-0000-000077000000}"/>
    <cellStyle name="40% - アクセント 5 9" xfId="180" xr:uid="{00000000-0005-0000-0000-000078000000}"/>
    <cellStyle name="40% - アクセント 6" xfId="39" builtinId="51" customBuiltin="1"/>
    <cellStyle name="40% - アクセント 6 2" xfId="54" xr:uid="{00000000-0005-0000-0000-00007A000000}"/>
    <cellStyle name="40% - アクセント 6 2 2" xfId="96" xr:uid="{00000000-0005-0000-0000-00007B000000}"/>
    <cellStyle name="40% - アクセント 6 3" xfId="70" xr:uid="{00000000-0005-0000-0000-00007C000000}"/>
    <cellStyle name="40% - アクセント 6 3 2" xfId="112" xr:uid="{00000000-0005-0000-0000-00007D000000}"/>
    <cellStyle name="40% - アクセント 6 4" xfId="82" xr:uid="{00000000-0005-0000-0000-00007E000000}"/>
    <cellStyle name="40% - アクセント 6 5" xfId="126" xr:uid="{00000000-0005-0000-0000-00007F000000}"/>
    <cellStyle name="40% - アクセント 6 6" xfId="140" xr:uid="{00000000-0005-0000-0000-000080000000}"/>
    <cellStyle name="40% - アクセント 6 7" xfId="154" xr:uid="{00000000-0005-0000-0000-000081000000}"/>
    <cellStyle name="40% - アクセント 6 8" xfId="168" xr:uid="{00000000-0005-0000-0000-000082000000}"/>
    <cellStyle name="40% - アクセント 6 9" xfId="182" xr:uid="{00000000-0005-0000-0000-000083000000}"/>
    <cellStyle name="60% - アクセント 1" xfId="20" builtinId="32" customBuiltin="1"/>
    <cellStyle name="60% - アクセント 2" xfId="24" builtinId="36" customBuiltin="1"/>
    <cellStyle name="60% - アクセント 3" xfId="28" builtinId="40" customBuiltin="1"/>
    <cellStyle name="60% - アクセント 4" xfId="32" builtinId="44" customBuiltin="1"/>
    <cellStyle name="60% - アクセント 5" xfId="36" builtinId="48" customBuiltin="1"/>
    <cellStyle name="60% - アクセント 6" xfId="40" builtinId="52" customBuiltin="1"/>
    <cellStyle name="アクセント 1" xfId="17" builtinId="29" customBuiltin="1"/>
    <cellStyle name="アクセント 2" xfId="21" builtinId="33" customBuiltin="1"/>
    <cellStyle name="アクセント 3" xfId="25" builtinId="37" customBuiltin="1"/>
    <cellStyle name="アクセント 4" xfId="29" builtinId="41" customBuiltin="1"/>
    <cellStyle name="アクセント 5" xfId="33" builtinId="45" customBuiltin="1"/>
    <cellStyle name="アクセント 6" xfId="37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 2" xfId="42" xr:uid="{00000000-0005-0000-0000-000093000000}"/>
    <cellStyle name="メモ 2 2" xfId="56" xr:uid="{00000000-0005-0000-0000-000094000000}"/>
    <cellStyle name="メモ 2 2 2" xfId="98" xr:uid="{00000000-0005-0000-0000-000095000000}"/>
    <cellStyle name="メモ 2 3" xfId="84" xr:uid="{00000000-0005-0000-0000-000096000000}"/>
    <cellStyle name="メモ 3" xfId="58" xr:uid="{00000000-0005-0000-0000-000097000000}"/>
    <cellStyle name="メモ 3 2" xfId="100" xr:uid="{00000000-0005-0000-0000-000098000000}"/>
    <cellStyle name="メモ 4" xfId="114" xr:uid="{00000000-0005-0000-0000-000099000000}"/>
    <cellStyle name="メモ 5" xfId="128" xr:uid="{00000000-0005-0000-0000-00009A000000}"/>
    <cellStyle name="メモ 6" xfId="142" xr:uid="{00000000-0005-0000-0000-00009B000000}"/>
    <cellStyle name="メモ 7" xfId="156" xr:uid="{00000000-0005-0000-0000-00009C000000}"/>
    <cellStyle name="メモ 8" xfId="170" xr:uid="{00000000-0005-0000-0000-00009D000000}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6" builtinId="25" customBuiltin="1"/>
    <cellStyle name="出力" xfId="10" builtinId="21" customBuiltin="1"/>
    <cellStyle name="説明文" xfId="15" builtinId="53" customBuiltin="1"/>
    <cellStyle name="入力" xfId="9" builtinId="20" customBuiltin="1"/>
    <cellStyle name="標準" xfId="0" builtinId="0"/>
    <cellStyle name="標準 10" xfId="184" xr:uid="{00000000-0005-0000-0000-0000AB000000}"/>
    <cellStyle name="標準 2" xfId="41" xr:uid="{00000000-0005-0000-0000-0000AC000000}"/>
    <cellStyle name="標準 2 2" xfId="55" xr:uid="{00000000-0005-0000-0000-0000AD000000}"/>
    <cellStyle name="標準 2 2 2" xfId="97" xr:uid="{00000000-0005-0000-0000-0000AE000000}"/>
    <cellStyle name="標準 2 3" xfId="83" xr:uid="{00000000-0005-0000-0000-0000AF000000}"/>
    <cellStyle name="標準 3" xfId="57" xr:uid="{00000000-0005-0000-0000-0000B0000000}"/>
    <cellStyle name="標準 3 2" xfId="99" xr:uid="{00000000-0005-0000-0000-0000B1000000}"/>
    <cellStyle name="標準 4" xfId="113" xr:uid="{00000000-0005-0000-0000-0000B2000000}"/>
    <cellStyle name="標準 5" xfId="127" xr:uid="{00000000-0005-0000-0000-0000B3000000}"/>
    <cellStyle name="標準 6" xfId="141" xr:uid="{00000000-0005-0000-0000-0000B4000000}"/>
    <cellStyle name="標準 7" xfId="155" xr:uid="{00000000-0005-0000-0000-0000B5000000}"/>
    <cellStyle name="標準 8" xfId="169" xr:uid="{00000000-0005-0000-0000-0000B6000000}"/>
    <cellStyle name="標準 9" xfId="183" xr:uid="{00000000-0005-0000-0000-0000B7000000}"/>
    <cellStyle name="良い" xfId="6" builtinId="26" customBuiltin="1"/>
  </cellStyles>
  <dxfs count="12">
    <dxf>
      <fill>
        <patternFill>
          <bgColor rgb="FFFFFF6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6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66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CCFF"/>
      <color rgb="FFFFFF66"/>
      <color rgb="FFFFFFCC"/>
      <color rgb="FFFF66FF"/>
      <color rgb="FFF8F8F8"/>
      <color rgb="FFEAEAEA"/>
      <color rgb="FFFF3300"/>
      <color rgb="FF66FF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476250</xdr:colOff>
      <xdr:row>103</xdr:row>
      <xdr:rowOff>76200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E82291F-82B5-4C6F-A0D7-CA54C6AC93AF}"/>
            </a:ext>
          </a:extLst>
        </xdr:cNvPr>
        <xdr:cNvSpPr txBox="1"/>
      </xdr:nvSpPr>
      <xdr:spPr>
        <a:xfrm>
          <a:off x="4191000" y="764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476250</xdr:colOff>
      <xdr:row>308</xdr:row>
      <xdr:rowOff>76200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FBBC2C4-B54D-4C5D-BA08-AB7F0CA219E6}"/>
            </a:ext>
          </a:extLst>
        </xdr:cNvPr>
        <xdr:cNvSpPr txBox="1"/>
      </xdr:nvSpPr>
      <xdr:spPr>
        <a:xfrm>
          <a:off x="4191000" y="3537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476250</xdr:colOff>
      <xdr:row>1235</xdr:row>
      <xdr:rowOff>76200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384D3D3-4EB8-4F20-A0E0-4D10BF1680AD}"/>
            </a:ext>
          </a:extLst>
        </xdr:cNvPr>
        <xdr:cNvSpPr txBox="1"/>
      </xdr:nvSpPr>
      <xdr:spPr>
        <a:xfrm>
          <a:off x="4191000" y="279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476250</xdr:colOff>
      <xdr:row>1255</xdr:row>
      <xdr:rowOff>76200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9F0A10C-7624-470C-9F64-9CBE49A5DD6C}"/>
            </a:ext>
          </a:extLst>
        </xdr:cNvPr>
        <xdr:cNvSpPr txBox="1"/>
      </xdr:nvSpPr>
      <xdr:spPr>
        <a:xfrm>
          <a:off x="41910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f-fs001\&#29983;&#29987;&#37096;&#38272;\&#31119;&#23798;&#24037;&#22580;\&#65402;&#65392;&#65411;&#65384;&#65437;&#65400;&#65438;&#29983;&#29987;&#35506;&#12288;&#26032;\&#12467;&#12540;&#12479;&#12540;&#12473;&#12522;&#12483;&#12479;&#12540;&#37197;&#21488;&#34920;\2022&#24180;&#24230;&#29983;&#29987;&#35336;&#30011;&#34920;\2022&#24180;7&#26376;\2022&#24180;7&#26376;S-4,5&#20316;&#26989;&#25351;&#31034;&#26360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328150/Desktop/2023&#24180;9&#26376;S-45&#20316;&#26989;&#25351;&#31034;&#26360;(9.6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製品マスタ"/>
      <sheetName val="契約台帳"/>
      <sheetName val="S4"/>
      <sheetName val="S5"/>
    </sheetNames>
    <sheetDataSet>
      <sheetData sheetId="0">
        <row r="5">
          <cell r="G5" t="str">
            <v>3SNCERABKE09</v>
          </cell>
          <cell r="H5" t="str">
            <v>S</v>
          </cell>
          <cell r="I5" t="str">
            <v>N</v>
          </cell>
          <cell r="J5" t="str">
            <v>CERA</v>
          </cell>
          <cell r="K5" t="str">
            <v>BKE09</v>
          </cell>
          <cell r="M5" t="str">
            <v>3SNCERABKE09381037</v>
          </cell>
          <cell r="N5" t="str">
            <v>3SNCERABKE09381030</v>
          </cell>
          <cell r="O5">
            <v>38</v>
          </cell>
          <cell r="P5">
            <v>3</v>
          </cell>
          <cell r="Q5" t="str">
            <v>XD500P</v>
          </cell>
          <cell r="R5">
            <v>1037</v>
          </cell>
          <cell r="S5">
            <v>8450</v>
          </cell>
          <cell r="T5">
            <v>1037</v>
          </cell>
          <cell r="U5">
            <v>1030</v>
          </cell>
          <cell r="V5">
            <v>8400</v>
          </cell>
          <cell r="W5">
            <v>2</v>
          </cell>
          <cell r="X5" t="str">
            <v>CF2</v>
          </cell>
          <cell r="Y5" t="str">
            <v>直出し</v>
          </cell>
          <cell r="Z5">
            <v>6</v>
          </cell>
          <cell r="AA5" t="str">
            <v>6ｲﾝﾁFWP</v>
          </cell>
          <cell r="AB5">
            <v>1450</v>
          </cell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</row>
        <row r="6">
          <cell r="G6" t="str">
            <v>3SNCERABKE09</v>
          </cell>
          <cell r="H6" t="str">
            <v>S</v>
          </cell>
          <cell r="I6" t="str">
            <v>N</v>
          </cell>
          <cell r="J6" t="str">
            <v>CERA</v>
          </cell>
          <cell r="K6" t="str">
            <v>BKE09</v>
          </cell>
          <cell r="M6" t="str">
            <v>3SNCERABKE09381057</v>
          </cell>
          <cell r="N6" t="str">
            <v>3SNCERABKE09381050</v>
          </cell>
          <cell r="O6">
            <v>38</v>
          </cell>
          <cell r="P6">
            <v>3</v>
          </cell>
          <cell r="Q6" t="str">
            <v>XD500P</v>
          </cell>
          <cell r="R6">
            <v>1057</v>
          </cell>
          <cell r="S6">
            <v>8450</v>
          </cell>
          <cell r="T6">
            <v>1057</v>
          </cell>
          <cell r="U6">
            <v>1050</v>
          </cell>
          <cell r="V6">
            <v>8400</v>
          </cell>
          <cell r="W6">
            <v>2</v>
          </cell>
          <cell r="X6" t="str">
            <v>CF2</v>
          </cell>
          <cell r="Y6" t="str">
            <v>直出し</v>
          </cell>
          <cell r="Z6">
            <v>6</v>
          </cell>
          <cell r="AA6" t="str">
            <v>6ｲﾝﾁFWP</v>
          </cell>
          <cell r="AB6">
            <v>1450</v>
          </cell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</row>
        <row r="7">
          <cell r="G7" t="str">
            <v>330SYCERABKE09</v>
          </cell>
          <cell r="H7" t="str">
            <v>S</v>
          </cell>
          <cell r="I7" t="str">
            <v>Y</v>
          </cell>
          <cell r="J7" t="str">
            <v>CERA</v>
          </cell>
          <cell r="K7" t="str">
            <v>BKE09</v>
          </cell>
          <cell r="M7" t="str">
            <v>330SYCERABKE09381037</v>
          </cell>
          <cell r="N7" t="str">
            <v>330SYCERABKE09381030</v>
          </cell>
          <cell r="O7">
            <v>38</v>
          </cell>
          <cell r="P7">
            <v>330</v>
          </cell>
          <cell r="Q7" t="str">
            <v>XD500P</v>
          </cell>
          <cell r="R7">
            <v>1037</v>
          </cell>
          <cell r="S7">
            <v>12800</v>
          </cell>
          <cell r="T7">
            <v>1037</v>
          </cell>
          <cell r="U7">
            <v>1030</v>
          </cell>
          <cell r="V7">
            <v>8400</v>
          </cell>
          <cell r="W7">
            <v>2</v>
          </cell>
          <cell r="X7" t="str">
            <v>CF2</v>
          </cell>
          <cell r="Y7" t="str">
            <v>MK1</v>
          </cell>
          <cell r="Z7">
            <v>6</v>
          </cell>
          <cell r="AA7" t="str">
            <v>6ｲﾝﾁABS</v>
          </cell>
          <cell r="AB7">
            <v>1170</v>
          </cell>
          <cell r="AC7">
            <v>6</v>
          </cell>
          <cell r="AD7" t="str">
            <v>6ｲﾝﾁABS</v>
          </cell>
          <cell r="AE7">
            <v>1170</v>
          </cell>
          <cell r="AF7"/>
          <cell r="AG7"/>
          <cell r="AH7"/>
          <cell r="AI7"/>
          <cell r="AJ7"/>
          <cell r="AK7"/>
          <cell r="AL7"/>
          <cell r="AM7"/>
        </row>
        <row r="8">
          <cell r="G8" t="str">
            <v>330SYCERABKE09</v>
          </cell>
          <cell r="H8" t="str">
            <v>S</v>
          </cell>
          <cell r="I8" t="str">
            <v>Y</v>
          </cell>
          <cell r="J8" t="str">
            <v>CERA</v>
          </cell>
          <cell r="K8" t="str">
            <v>BKE09</v>
          </cell>
          <cell r="M8" t="str">
            <v>330SYCERABKE09381037</v>
          </cell>
          <cell r="N8" t="str">
            <v>330SYCERABKE09381030</v>
          </cell>
          <cell r="O8">
            <v>38</v>
          </cell>
          <cell r="P8">
            <v>330</v>
          </cell>
          <cell r="Q8" t="str">
            <v>XD500P</v>
          </cell>
          <cell r="R8">
            <v>1037</v>
          </cell>
          <cell r="S8">
            <v>12800</v>
          </cell>
          <cell r="T8">
            <v>1037</v>
          </cell>
          <cell r="U8">
            <v>1030</v>
          </cell>
          <cell r="V8">
            <v>4200</v>
          </cell>
          <cell r="W8">
            <v>2</v>
          </cell>
          <cell r="X8" t="str">
            <v>CF2</v>
          </cell>
          <cell r="Y8" t="str">
            <v>MK1</v>
          </cell>
          <cell r="Z8">
            <v>6</v>
          </cell>
          <cell r="AA8" t="str">
            <v>6ｲﾝﾁABS</v>
          </cell>
          <cell r="AB8">
            <v>1170</v>
          </cell>
          <cell r="AC8">
            <v>6</v>
          </cell>
          <cell r="AD8" t="str">
            <v>6ｲﾝﾁABS</v>
          </cell>
          <cell r="AE8">
            <v>1170</v>
          </cell>
          <cell r="AF8"/>
          <cell r="AG8"/>
          <cell r="AH8"/>
          <cell r="AI8"/>
          <cell r="AJ8"/>
          <cell r="AK8"/>
          <cell r="AL8"/>
          <cell r="AM8"/>
        </row>
        <row r="9">
          <cell r="G9" t="str">
            <v>331SNCERABKE09</v>
          </cell>
          <cell r="H9" t="str">
            <v>S</v>
          </cell>
          <cell r="I9" t="str">
            <v>N</v>
          </cell>
          <cell r="J9" t="str">
            <v>CERA</v>
          </cell>
          <cell r="K9" t="str">
            <v>BKE09</v>
          </cell>
          <cell r="M9" t="str">
            <v>331SNCERABKE09381337</v>
          </cell>
          <cell r="N9" t="str">
            <v>331SNCERABKE09381330</v>
          </cell>
          <cell r="O9">
            <v>38</v>
          </cell>
          <cell r="P9">
            <v>331</v>
          </cell>
          <cell r="Q9" t="str">
            <v>XD500P</v>
          </cell>
          <cell r="R9">
            <v>1337</v>
          </cell>
          <cell r="S9">
            <v>12800</v>
          </cell>
          <cell r="T9">
            <v>1337</v>
          </cell>
          <cell r="U9">
            <v>1330</v>
          </cell>
          <cell r="V9">
            <v>6000</v>
          </cell>
          <cell r="W9">
            <v>2</v>
          </cell>
          <cell r="X9" t="str">
            <v>CF2</v>
          </cell>
          <cell r="Y9" t="str">
            <v>半直</v>
          </cell>
          <cell r="Z9">
            <v>6</v>
          </cell>
          <cell r="AA9" t="str">
            <v>6ｲﾝﾁFWP</v>
          </cell>
          <cell r="AB9">
            <v>1450</v>
          </cell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</row>
        <row r="10">
          <cell r="G10" t="str">
            <v>331SNCERABKE09</v>
          </cell>
          <cell r="H10" t="str">
            <v>S</v>
          </cell>
          <cell r="I10" t="str">
            <v>N</v>
          </cell>
          <cell r="J10" t="str">
            <v>CERA</v>
          </cell>
          <cell r="K10" t="str">
            <v>BKE09</v>
          </cell>
          <cell r="M10" t="str">
            <v>331SNCERABKE09381335</v>
          </cell>
          <cell r="N10" t="str">
            <v>331SNCERABKE09381330</v>
          </cell>
          <cell r="O10">
            <v>38</v>
          </cell>
          <cell r="P10">
            <v>331</v>
          </cell>
          <cell r="Q10" t="str">
            <v>XD500P</v>
          </cell>
          <cell r="R10">
            <v>1335</v>
          </cell>
          <cell r="S10">
            <v>12200</v>
          </cell>
          <cell r="T10">
            <v>1335</v>
          </cell>
          <cell r="U10">
            <v>1330</v>
          </cell>
          <cell r="V10">
            <v>6000</v>
          </cell>
          <cell r="W10">
            <v>2</v>
          </cell>
          <cell r="X10" t="str">
            <v>CF2</v>
          </cell>
          <cell r="Y10" t="str">
            <v>半直</v>
          </cell>
          <cell r="Z10">
            <v>6</v>
          </cell>
          <cell r="AA10" t="str">
            <v>6ｲﾝﾁFWP</v>
          </cell>
          <cell r="AB10">
            <v>1450</v>
          </cell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</row>
        <row r="11">
          <cell r="G11" t="str">
            <v>331SNCERABKE09</v>
          </cell>
          <cell r="H11" t="str">
            <v>S</v>
          </cell>
          <cell r="I11" t="str">
            <v>N</v>
          </cell>
          <cell r="J11" t="str">
            <v>CERA</v>
          </cell>
          <cell r="K11" t="str">
            <v>BKE09</v>
          </cell>
          <cell r="M11" t="str">
            <v>331SNCERABKE09381367</v>
          </cell>
          <cell r="N11" t="str">
            <v>331SNCERABKE09381360</v>
          </cell>
          <cell r="O11">
            <v>38</v>
          </cell>
          <cell r="P11">
            <v>331</v>
          </cell>
          <cell r="Q11" t="str">
            <v>XD500P</v>
          </cell>
          <cell r="R11">
            <v>1367</v>
          </cell>
          <cell r="S11">
            <v>12800</v>
          </cell>
          <cell r="T11">
            <v>1367</v>
          </cell>
          <cell r="U11">
            <v>1360</v>
          </cell>
          <cell r="V11">
            <v>6000</v>
          </cell>
          <cell r="W11">
            <v>2</v>
          </cell>
          <cell r="X11" t="str">
            <v>CF2</v>
          </cell>
          <cell r="Y11" t="str">
            <v>半直</v>
          </cell>
          <cell r="Z11">
            <v>6</v>
          </cell>
          <cell r="AA11" t="str">
            <v>6ｲﾝﾁFWP</v>
          </cell>
          <cell r="AB11">
            <v>1600</v>
          </cell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</row>
        <row r="12">
          <cell r="G12" t="str">
            <v>331SYCERABKERXPT</v>
          </cell>
          <cell r="H12" t="str">
            <v>S</v>
          </cell>
          <cell r="I12" t="str">
            <v>Y</v>
          </cell>
          <cell r="J12" t="str">
            <v>CERA</v>
          </cell>
          <cell r="K12" t="str">
            <v>BKERXPT</v>
          </cell>
          <cell r="M12" t="str">
            <v>331SYCERABKERXPT381035</v>
          </cell>
          <cell r="N12" t="str">
            <v>331SYCERABKERXPT381030</v>
          </cell>
          <cell r="O12">
            <v>38</v>
          </cell>
          <cell r="P12">
            <v>331</v>
          </cell>
          <cell r="Q12" t="str">
            <v>R75X</v>
          </cell>
          <cell r="R12">
            <v>1035</v>
          </cell>
          <cell r="S12">
            <v>8500</v>
          </cell>
          <cell r="T12">
            <v>1030</v>
          </cell>
          <cell r="U12">
            <v>1030</v>
          </cell>
          <cell r="V12">
            <v>8400</v>
          </cell>
          <cell r="W12">
            <v>2</v>
          </cell>
          <cell r="X12" t="str">
            <v>CF2</v>
          </cell>
          <cell r="Y12" t="str">
            <v>直出し</v>
          </cell>
          <cell r="Z12">
            <v>6</v>
          </cell>
          <cell r="AA12" t="str">
            <v>6ｲﾝﾁABS</v>
          </cell>
          <cell r="AB12">
            <v>1170</v>
          </cell>
          <cell r="AC12">
            <v>6</v>
          </cell>
          <cell r="AD12" t="str">
            <v>6ｲﾝﾁABS</v>
          </cell>
          <cell r="AE12">
            <v>1170</v>
          </cell>
          <cell r="AF12"/>
          <cell r="AG12"/>
          <cell r="AH12"/>
          <cell r="AI12"/>
          <cell r="AJ12"/>
          <cell r="AK12"/>
          <cell r="AL12"/>
          <cell r="AM12"/>
        </row>
        <row r="13">
          <cell r="G13" t="str">
            <v>331SNCERABKERXPT</v>
          </cell>
          <cell r="H13" t="str">
            <v>S</v>
          </cell>
          <cell r="I13" t="str">
            <v>N</v>
          </cell>
          <cell r="J13" t="str">
            <v>CERA</v>
          </cell>
          <cell r="K13" t="str">
            <v>BKERXPT</v>
          </cell>
          <cell r="M13" t="str">
            <v>331SNCERABKERXPT381335</v>
          </cell>
          <cell r="N13" t="str">
            <v>331SNCERABKERXPT381330</v>
          </cell>
          <cell r="O13">
            <v>38</v>
          </cell>
          <cell r="P13">
            <v>331</v>
          </cell>
          <cell r="Q13" t="str">
            <v>R75X</v>
          </cell>
          <cell r="R13">
            <v>1335</v>
          </cell>
          <cell r="S13">
            <v>12200</v>
          </cell>
          <cell r="T13">
            <v>1330</v>
          </cell>
          <cell r="U13">
            <v>1330</v>
          </cell>
          <cell r="V13">
            <v>6000</v>
          </cell>
          <cell r="W13">
            <v>2</v>
          </cell>
          <cell r="X13" t="str">
            <v>CF2</v>
          </cell>
          <cell r="Y13" t="str">
            <v>半直</v>
          </cell>
          <cell r="Z13">
            <v>6</v>
          </cell>
          <cell r="AA13" t="str">
            <v>6ｲﾝﾁFWP</v>
          </cell>
          <cell r="AB13">
            <v>1450</v>
          </cell>
          <cell r="AC13">
            <v>6</v>
          </cell>
          <cell r="AD13" t="str">
            <v>6ｲﾝﾁFWP</v>
          </cell>
          <cell r="AE13">
            <v>1450</v>
          </cell>
          <cell r="AF13"/>
          <cell r="AG13"/>
          <cell r="AH13"/>
          <cell r="AI13"/>
          <cell r="AJ13"/>
          <cell r="AK13"/>
          <cell r="AL13"/>
          <cell r="AM13"/>
        </row>
        <row r="14">
          <cell r="G14" t="str">
            <v>3SNCERABKERXPT</v>
          </cell>
          <cell r="H14" t="str">
            <v>S</v>
          </cell>
          <cell r="I14" t="str">
            <v>N</v>
          </cell>
          <cell r="J14" t="str">
            <v>CERA</v>
          </cell>
          <cell r="K14" t="str">
            <v>BKERXPT</v>
          </cell>
          <cell r="M14" t="str">
            <v>3SNCERABKERXPT381335</v>
          </cell>
          <cell r="N14" t="str">
            <v>3SNCERABKERXPT381330</v>
          </cell>
          <cell r="O14">
            <v>38</v>
          </cell>
          <cell r="P14">
            <v>3</v>
          </cell>
          <cell r="Q14" t="str">
            <v>R75X</v>
          </cell>
          <cell r="R14">
            <v>1335</v>
          </cell>
          <cell r="S14">
            <v>12200</v>
          </cell>
          <cell r="T14">
            <v>1330</v>
          </cell>
          <cell r="U14">
            <v>1330</v>
          </cell>
          <cell r="V14">
            <v>6000</v>
          </cell>
          <cell r="W14">
            <v>2</v>
          </cell>
          <cell r="X14" t="str">
            <v>CF2</v>
          </cell>
          <cell r="Y14" t="str">
            <v>半直</v>
          </cell>
          <cell r="Z14">
            <v>6</v>
          </cell>
          <cell r="AA14" t="str">
            <v>6ｲﾝﾁFWP</v>
          </cell>
          <cell r="AB14">
            <v>1450</v>
          </cell>
          <cell r="AC14">
            <v>6</v>
          </cell>
          <cell r="AD14" t="str">
            <v>6ｲﾝﾁFWP</v>
          </cell>
          <cell r="AE14">
            <v>1450</v>
          </cell>
          <cell r="AF14"/>
          <cell r="AG14"/>
          <cell r="AH14"/>
          <cell r="AI14"/>
          <cell r="AJ14"/>
          <cell r="AK14"/>
          <cell r="AL14"/>
          <cell r="AM14"/>
        </row>
        <row r="15">
          <cell r="G15" t="str">
            <v>331SNCERABKERXT</v>
          </cell>
          <cell r="H15" t="str">
            <v>S</v>
          </cell>
          <cell r="I15" t="str">
            <v>N</v>
          </cell>
          <cell r="J15" t="str">
            <v>CERA</v>
          </cell>
          <cell r="K15" t="str">
            <v>BKERXT</v>
          </cell>
          <cell r="M15" t="str">
            <v>331SNCERABKERXT251337</v>
          </cell>
          <cell r="N15" t="str">
            <v>331SNCERABKERXT251330</v>
          </cell>
          <cell r="O15">
            <v>25</v>
          </cell>
          <cell r="P15">
            <v>331</v>
          </cell>
          <cell r="Q15" t="str">
            <v>R75XK</v>
          </cell>
          <cell r="R15">
            <v>1337</v>
          </cell>
          <cell r="S15">
            <v>12300</v>
          </cell>
          <cell r="T15">
            <v>1330</v>
          </cell>
          <cell r="U15">
            <v>1330</v>
          </cell>
          <cell r="V15">
            <v>6000</v>
          </cell>
          <cell r="W15">
            <v>2</v>
          </cell>
          <cell r="X15" t="str">
            <v>CF2</v>
          </cell>
          <cell r="Y15" t="str">
            <v>SL-1</v>
          </cell>
          <cell r="Z15">
            <v>6</v>
          </cell>
          <cell r="AA15" t="str">
            <v>6ｲﾝﾁFWP</v>
          </cell>
          <cell r="AB15">
            <v>1450</v>
          </cell>
          <cell r="AC15">
            <v>6</v>
          </cell>
          <cell r="AD15" t="str">
            <v>6ｲﾝﾁFWP</v>
          </cell>
          <cell r="AE15">
            <v>1450</v>
          </cell>
          <cell r="AF15"/>
          <cell r="AG15"/>
          <cell r="AH15"/>
          <cell r="AI15"/>
          <cell r="AJ15"/>
          <cell r="AK15"/>
          <cell r="AL15"/>
          <cell r="AM15"/>
        </row>
        <row r="16">
          <cell r="G16" t="str">
            <v>331SNCERABKERXT</v>
          </cell>
          <cell r="H16" t="str">
            <v>S</v>
          </cell>
          <cell r="I16" t="str">
            <v>N</v>
          </cell>
          <cell r="J16" t="str">
            <v>CERA</v>
          </cell>
          <cell r="K16" t="str">
            <v>BKERXT</v>
          </cell>
          <cell r="M16" t="str">
            <v>331SNCERABKERXT381335</v>
          </cell>
          <cell r="N16" t="str">
            <v>331SNCERABKERXT381330</v>
          </cell>
          <cell r="O16">
            <v>38</v>
          </cell>
          <cell r="P16">
            <v>331</v>
          </cell>
          <cell r="Q16" t="str">
            <v>R75XK</v>
          </cell>
          <cell r="R16">
            <v>1335</v>
          </cell>
          <cell r="S16">
            <v>12200</v>
          </cell>
          <cell r="T16">
            <v>1330</v>
          </cell>
          <cell r="U16">
            <v>1330</v>
          </cell>
          <cell r="V16">
            <v>6000</v>
          </cell>
          <cell r="W16">
            <v>2</v>
          </cell>
          <cell r="X16" t="str">
            <v>CF2</v>
          </cell>
          <cell r="Y16" t="str">
            <v>SL-1</v>
          </cell>
          <cell r="Z16">
            <v>6</v>
          </cell>
          <cell r="AA16" t="str">
            <v>6ｲﾝﾁFWP</v>
          </cell>
          <cell r="AB16">
            <v>1450</v>
          </cell>
          <cell r="AC16">
            <v>6</v>
          </cell>
          <cell r="AD16" t="str">
            <v>6ｲﾝﾁFWP</v>
          </cell>
          <cell r="AE16">
            <v>1450</v>
          </cell>
          <cell r="AF16"/>
          <cell r="AG16"/>
          <cell r="AH16"/>
          <cell r="AI16"/>
          <cell r="AJ16"/>
          <cell r="AK16"/>
          <cell r="AL16"/>
          <cell r="AM16"/>
        </row>
        <row r="17">
          <cell r="G17" t="str">
            <v>331SNCERABKERXT</v>
          </cell>
          <cell r="H17" t="str">
            <v>S</v>
          </cell>
          <cell r="I17" t="str">
            <v>N</v>
          </cell>
          <cell r="J17" t="str">
            <v>CERA</v>
          </cell>
          <cell r="K17" t="str">
            <v>BKERXT</v>
          </cell>
          <cell r="M17" t="str">
            <v>331SNCERABKERXT381585</v>
          </cell>
          <cell r="N17" t="str">
            <v>331SNCERABKERXT381580</v>
          </cell>
          <cell r="O17">
            <v>38</v>
          </cell>
          <cell r="P17">
            <v>331</v>
          </cell>
          <cell r="Q17" t="str">
            <v>R75XK</v>
          </cell>
          <cell r="R17">
            <v>1585</v>
          </cell>
          <cell r="S17">
            <v>12200</v>
          </cell>
          <cell r="T17">
            <v>1580</v>
          </cell>
          <cell r="U17">
            <v>1580</v>
          </cell>
          <cell r="V17">
            <v>6000</v>
          </cell>
          <cell r="W17">
            <v>2</v>
          </cell>
          <cell r="X17" t="str">
            <v>CF2</v>
          </cell>
          <cell r="Y17" t="str">
            <v>SL-1</v>
          </cell>
          <cell r="Z17">
            <v>6</v>
          </cell>
          <cell r="AA17" t="str">
            <v>6ｲﾝﾁFWP</v>
          </cell>
          <cell r="AB17">
            <v>1700</v>
          </cell>
          <cell r="AC17">
            <v>6</v>
          </cell>
          <cell r="AD17" t="str">
            <v>6ｲﾝﾁFWP</v>
          </cell>
          <cell r="AE17">
            <v>1700</v>
          </cell>
          <cell r="AF17"/>
          <cell r="AG17"/>
          <cell r="AH17"/>
          <cell r="AI17"/>
          <cell r="AJ17"/>
          <cell r="AK17"/>
          <cell r="AL17"/>
          <cell r="AM17"/>
        </row>
        <row r="18">
          <cell r="G18" t="str">
            <v>3SNCERABKU</v>
          </cell>
          <cell r="H18" t="str">
            <v>S</v>
          </cell>
          <cell r="I18" t="str">
            <v>N</v>
          </cell>
          <cell r="J18" t="str">
            <v>CERA</v>
          </cell>
          <cell r="K18" t="str">
            <v>BKU</v>
          </cell>
          <cell r="M18" t="str">
            <v>3SNCERABKU25895</v>
          </cell>
          <cell r="N18" t="str">
            <v>3SNCERABKU25890</v>
          </cell>
          <cell r="O18">
            <v>25</v>
          </cell>
          <cell r="P18">
            <v>3</v>
          </cell>
          <cell r="Q18" t="str">
            <v>S</v>
          </cell>
          <cell r="R18">
            <v>895</v>
          </cell>
          <cell r="S18">
            <v>12400</v>
          </cell>
          <cell r="T18">
            <v>890</v>
          </cell>
          <cell r="U18">
            <v>890</v>
          </cell>
          <cell r="V18">
            <v>3800</v>
          </cell>
          <cell r="W18">
            <v>2</v>
          </cell>
          <cell r="X18" t="str">
            <v>CF2</v>
          </cell>
          <cell r="Y18" t="str">
            <v>SL-1</v>
          </cell>
          <cell r="Z18">
            <v>6</v>
          </cell>
          <cell r="AA18" t="str">
            <v>6ｲﾝﾁFWP</v>
          </cell>
          <cell r="AB18" t="str">
            <v>1000以上</v>
          </cell>
          <cell r="AC18">
            <v>3</v>
          </cell>
          <cell r="AD18" t="str">
            <v>3ｲﾝﾁABS</v>
          </cell>
          <cell r="AE18">
            <v>898</v>
          </cell>
          <cell r="AF18"/>
          <cell r="AG18"/>
          <cell r="AH18"/>
          <cell r="AI18"/>
          <cell r="AJ18"/>
          <cell r="AK18"/>
          <cell r="AL18"/>
          <cell r="AM18"/>
        </row>
        <row r="19">
          <cell r="G19" t="str">
            <v>3SNCERABKUK</v>
          </cell>
          <cell r="H19" t="str">
            <v>S</v>
          </cell>
          <cell r="I19" t="str">
            <v>N</v>
          </cell>
          <cell r="J19" t="str">
            <v>CERA</v>
          </cell>
          <cell r="K19" t="str">
            <v>BKUK</v>
          </cell>
          <cell r="M19" t="str">
            <v>3SNCERABKUK251045</v>
          </cell>
          <cell r="N19" t="str">
            <v>3SNCERABKUK251040</v>
          </cell>
          <cell r="O19">
            <v>25</v>
          </cell>
          <cell r="P19">
            <v>3</v>
          </cell>
          <cell r="Q19" t="str">
            <v>S</v>
          </cell>
          <cell r="R19">
            <v>1045</v>
          </cell>
          <cell r="S19">
            <v>12400</v>
          </cell>
          <cell r="T19">
            <v>1045</v>
          </cell>
          <cell r="U19">
            <v>1040</v>
          </cell>
          <cell r="V19">
            <v>6000</v>
          </cell>
          <cell r="W19">
            <v>2</v>
          </cell>
          <cell r="X19" t="str">
            <v>CF2</v>
          </cell>
          <cell r="Y19" t="str">
            <v>半直</v>
          </cell>
          <cell r="Z19">
            <v>6</v>
          </cell>
          <cell r="AA19" t="str">
            <v>6ｲﾝﾁFWP</v>
          </cell>
          <cell r="AB19">
            <v>1170</v>
          </cell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</row>
        <row r="20">
          <cell r="G20" t="str">
            <v>3SNCERABKUK</v>
          </cell>
          <cell r="H20" t="str">
            <v>S</v>
          </cell>
          <cell r="I20" t="str">
            <v>N</v>
          </cell>
          <cell r="J20" t="str">
            <v>CERA</v>
          </cell>
          <cell r="K20" t="str">
            <v>BKUK</v>
          </cell>
          <cell r="M20" t="str">
            <v>3SNCERABKUK251085</v>
          </cell>
          <cell r="N20" t="str">
            <v>3SNCERABKUK251080</v>
          </cell>
          <cell r="O20">
            <v>25</v>
          </cell>
          <cell r="P20">
            <v>3</v>
          </cell>
          <cell r="Q20" t="str">
            <v>S</v>
          </cell>
          <cell r="R20">
            <v>1085</v>
          </cell>
          <cell r="S20">
            <v>12400</v>
          </cell>
          <cell r="T20">
            <v>1085</v>
          </cell>
          <cell r="U20">
            <v>1080</v>
          </cell>
          <cell r="V20">
            <v>6000</v>
          </cell>
          <cell r="W20">
            <v>2</v>
          </cell>
          <cell r="X20" t="str">
            <v>CF2</v>
          </cell>
          <cell r="Y20" t="str">
            <v>半直</v>
          </cell>
          <cell r="Z20">
            <v>6</v>
          </cell>
          <cell r="AA20" t="str">
            <v>6ｲﾝﾁFWP</v>
          </cell>
          <cell r="AB20">
            <v>1170</v>
          </cell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</row>
        <row r="21">
          <cell r="G21" t="str">
            <v>3SNCERABX8ARX</v>
          </cell>
          <cell r="H21" t="str">
            <v>S</v>
          </cell>
          <cell r="I21" t="str">
            <v>N</v>
          </cell>
          <cell r="J21" t="str">
            <v>CERA</v>
          </cell>
          <cell r="K21" t="str">
            <v>BX8ARX</v>
          </cell>
          <cell r="M21" t="str">
            <v>3SNCERABX8ARX251520</v>
          </cell>
          <cell r="N21" t="str">
            <v>3SNCERABX8ARX25740</v>
          </cell>
          <cell r="O21">
            <v>25</v>
          </cell>
          <cell r="P21">
            <v>3</v>
          </cell>
          <cell r="Q21" t="str">
            <v>R75X</v>
          </cell>
          <cell r="R21">
            <v>1520</v>
          </cell>
          <cell r="S21">
            <v>13000</v>
          </cell>
          <cell r="T21">
            <v>740</v>
          </cell>
          <cell r="U21">
            <v>740</v>
          </cell>
          <cell r="V21">
            <v>2100</v>
          </cell>
          <cell r="W21">
            <v>1</v>
          </cell>
          <cell r="X21" t="str">
            <v>CF2</v>
          </cell>
          <cell r="Y21" t="str">
            <v>SL-1</v>
          </cell>
          <cell r="Z21">
            <v>6</v>
          </cell>
          <cell r="AA21" t="str">
            <v>6ｲﾝﾁFWP</v>
          </cell>
          <cell r="AB21">
            <v>1700</v>
          </cell>
          <cell r="AC21">
            <v>3</v>
          </cell>
          <cell r="AD21" t="str">
            <v>3ｲﾝﾁABS</v>
          </cell>
          <cell r="AE21">
            <v>750</v>
          </cell>
          <cell r="AF21"/>
          <cell r="AG21"/>
          <cell r="AH21"/>
          <cell r="AI21"/>
          <cell r="AJ21"/>
          <cell r="AK21"/>
          <cell r="AL21">
            <v>14</v>
          </cell>
          <cell r="AM21" t="str">
            <v>エージング後スリット</v>
          </cell>
        </row>
        <row r="22">
          <cell r="G22" t="str">
            <v>3SNCERABX8ARX</v>
          </cell>
          <cell r="H22" t="str">
            <v>S</v>
          </cell>
          <cell r="I22" t="str">
            <v>N</v>
          </cell>
          <cell r="J22" t="str">
            <v>CERA</v>
          </cell>
          <cell r="K22" t="str">
            <v>BX8ARX</v>
          </cell>
          <cell r="M22" t="str">
            <v>3SNCERABX8ARX381135</v>
          </cell>
          <cell r="N22" t="str">
            <v>3SNCERABX8ARX38535</v>
          </cell>
          <cell r="O22">
            <v>38</v>
          </cell>
          <cell r="P22">
            <v>3</v>
          </cell>
          <cell r="Q22" t="str">
            <v>R75X</v>
          </cell>
          <cell r="R22">
            <v>1135</v>
          </cell>
          <cell r="S22">
            <v>12200</v>
          </cell>
          <cell r="T22">
            <v>535</v>
          </cell>
          <cell r="U22">
            <v>535</v>
          </cell>
          <cell r="V22">
            <v>2000</v>
          </cell>
          <cell r="W22">
            <v>2</v>
          </cell>
          <cell r="X22" t="str">
            <v>CF2</v>
          </cell>
          <cell r="Y22" t="str">
            <v>SL-1</v>
          </cell>
          <cell r="Z22">
            <v>6</v>
          </cell>
          <cell r="AA22" t="str">
            <v>6ｲﾝﾁFWP</v>
          </cell>
          <cell r="AB22">
            <v>1450</v>
          </cell>
          <cell r="AC22">
            <v>3</v>
          </cell>
          <cell r="AD22" t="str">
            <v>ｶﾞﾗｽｴﾎﾟｷｼ</v>
          </cell>
          <cell r="AE22">
            <v>570</v>
          </cell>
          <cell r="AF22"/>
          <cell r="AG22"/>
          <cell r="AH22"/>
          <cell r="AI22"/>
          <cell r="AJ22"/>
          <cell r="AK22"/>
          <cell r="AL22">
            <v>6</v>
          </cell>
          <cell r="AM22" t="str">
            <v>エージング後スリット</v>
          </cell>
        </row>
        <row r="23">
          <cell r="G23" t="str">
            <v>331SNCERABX8ARXA</v>
          </cell>
          <cell r="H23" t="str">
            <v>S</v>
          </cell>
          <cell r="I23" t="str">
            <v>N</v>
          </cell>
          <cell r="J23" t="str">
            <v>CERA</v>
          </cell>
          <cell r="K23" t="str">
            <v>BX8ARXA</v>
          </cell>
          <cell r="M23" t="str">
            <v>331SNCERABX8ARXA381335</v>
          </cell>
          <cell r="N23" t="str">
            <v>331SNCERABX8ARXA381330</v>
          </cell>
          <cell r="O23">
            <v>38</v>
          </cell>
          <cell r="P23">
            <v>331</v>
          </cell>
          <cell r="Q23" t="str">
            <v>R75X</v>
          </cell>
          <cell r="R23">
            <v>1335</v>
          </cell>
          <cell r="S23">
            <v>12200</v>
          </cell>
          <cell r="T23">
            <v>1330</v>
          </cell>
          <cell r="U23">
            <v>1330</v>
          </cell>
          <cell r="V23">
            <v>6000</v>
          </cell>
          <cell r="W23">
            <v>2</v>
          </cell>
          <cell r="X23" t="str">
            <v>CF2</v>
          </cell>
          <cell r="Y23" t="str">
            <v>半直</v>
          </cell>
          <cell r="Z23">
            <v>6</v>
          </cell>
          <cell r="AA23" t="str">
            <v>6ｲﾝﾁFWP</v>
          </cell>
          <cell r="AB23">
            <v>1450</v>
          </cell>
          <cell r="AC23">
            <v>6</v>
          </cell>
          <cell r="AD23" t="str">
            <v>6ｲﾝﾁFWP</v>
          </cell>
          <cell r="AE23">
            <v>1450</v>
          </cell>
          <cell r="AF23"/>
          <cell r="AG23"/>
          <cell r="AH23"/>
          <cell r="AI23"/>
          <cell r="AJ23"/>
          <cell r="AK23"/>
          <cell r="AL23">
            <v>6</v>
          </cell>
          <cell r="AM23"/>
        </row>
        <row r="24">
          <cell r="G24" t="str">
            <v>3303SNCERABX8ARXA</v>
          </cell>
          <cell r="H24" t="str">
            <v>S</v>
          </cell>
          <cell r="I24" t="str">
            <v>N</v>
          </cell>
          <cell r="J24" t="str">
            <v>CERA</v>
          </cell>
          <cell r="K24" t="str">
            <v>BX8ARXA</v>
          </cell>
          <cell r="M24" t="str">
            <v>3303SNCERABX8ARXA381335</v>
          </cell>
          <cell r="N24" t="str">
            <v>3303SNCERABX8ARXA381330</v>
          </cell>
          <cell r="O24">
            <v>38</v>
          </cell>
          <cell r="P24">
            <v>3303</v>
          </cell>
          <cell r="Q24" t="str">
            <v>R75X</v>
          </cell>
          <cell r="R24">
            <v>1335</v>
          </cell>
          <cell r="S24">
            <v>12200</v>
          </cell>
          <cell r="T24">
            <v>1330</v>
          </cell>
          <cell r="U24">
            <v>1330</v>
          </cell>
          <cell r="V24">
            <v>6000</v>
          </cell>
          <cell r="W24">
            <v>2</v>
          </cell>
          <cell r="X24" t="str">
            <v>CF2</v>
          </cell>
          <cell r="Y24" t="str">
            <v>半直</v>
          </cell>
          <cell r="Z24">
            <v>6</v>
          </cell>
          <cell r="AA24" t="str">
            <v>6ｲﾝﾁFWP</v>
          </cell>
          <cell r="AB24">
            <v>1450</v>
          </cell>
          <cell r="AC24">
            <v>6</v>
          </cell>
          <cell r="AD24" t="str">
            <v>6ｲﾝﾁFWP</v>
          </cell>
          <cell r="AE24">
            <v>1450</v>
          </cell>
          <cell r="AF24"/>
          <cell r="AG24"/>
          <cell r="AH24"/>
          <cell r="AI24"/>
          <cell r="AJ24"/>
          <cell r="AK24"/>
          <cell r="AL24">
            <v>6</v>
          </cell>
          <cell r="AM24"/>
        </row>
        <row r="25">
          <cell r="G25" t="str">
            <v>331SNCERABX8ARXT</v>
          </cell>
          <cell r="H25" t="str">
            <v>S</v>
          </cell>
          <cell r="I25" t="str">
            <v>N</v>
          </cell>
          <cell r="J25" t="str">
            <v>CERA</v>
          </cell>
          <cell r="K25" t="str">
            <v>BX8ARXT</v>
          </cell>
          <cell r="M25" t="str">
            <v>331SNCERABX8ARXT381335</v>
          </cell>
          <cell r="N25" t="str">
            <v>331SNCERABX8ARXT381330</v>
          </cell>
          <cell r="O25">
            <v>38</v>
          </cell>
          <cell r="P25">
            <v>331</v>
          </cell>
          <cell r="Q25" t="str">
            <v>R75XK</v>
          </cell>
          <cell r="R25">
            <v>1335</v>
          </cell>
          <cell r="S25">
            <v>12200</v>
          </cell>
          <cell r="T25">
            <v>1330</v>
          </cell>
          <cell r="U25">
            <v>1330</v>
          </cell>
          <cell r="V25">
            <v>6000</v>
          </cell>
          <cell r="W25">
            <v>2</v>
          </cell>
          <cell r="X25" t="str">
            <v>CF2</v>
          </cell>
          <cell r="Y25" t="str">
            <v>SL-1</v>
          </cell>
          <cell r="Z25">
            <v>6</v>
          </cell>
          <cell r="AA25" t="str">
            <v>6ｲﾝﾁFWP</v>
          </cell>
          <cell r="AB25">
            <v>1450</v>
          </cell>
          <cell r="AC25">
            <v>6</v>
          </cell>
          <cell r="AD25" t="str">
            <v>6ｲﾝﾁFWP</v>
          </cell>
          <cell r="AE25">
            <v>1450</v>
          </cell>
          <cell r="AF25"/>
          <cell r="AG25"/>
          <cell r="AH25"/>
          <cell r="AI25"/>
          <cell r="AJ25"/>
          <cell r="AK25"/>
          <cell r="AL25">
            <v>6</v>
          </cell>
          <cell r="AM25" t="str">
            <v>エージング後スリット</v>
          </cell>
        </row>
        <row r="26">
          <cell r="G26" t="str">
            <v>3303SNCERABX8ARXT</v>
          </cell>
          <cell r="H26" t="str">
            <v>S</v>
          </cell>
          <cell r="I26" t="str">
            <v>N</v>
          </cell>
          <cell r="J26" t="str">
            <v>CERA</v>
          </cell>
          <cell r="K26" t="str">
            <v>BX8ARXT</v>
          </cell>
          <cell r="M26" t="str">
            <v>3303SNCERABX8ARXT381335</v>
          </cell>
          <cell r="N26" t="str">
            <v>3303SNCERABX8ARXT381330</v>
          </cell>
          <cell r="O26">
            <v>38</v>
          </cell>
          <cell r="P26">
            <v>3303</v>
          </cell>
          <cell r="Q26" t="str">
            <v>R75XK</v>
          </cell>
          <cell r="R26">
            <v>1335</v>
          </cell>
          <cell r="S26">
            <v>12200</v>
          </cell>
          <cell r="T26">
            <v>1330</v>
          </cell>
          <cell r="U26">
            <v>1330</v>
          </cell>
          <cell r="V26">
            <v>6000</v>
          </cell>
          <cell r="W26">
            <v>2</v>
          </cell>
          <cell r="X26" t="str">
            <v>CF2</v>
          </cell>
          <cell r="Y26" t="str">
            <v>SL-1</v>
          </cell>
          <cell r="Z26">
            <v>6</v>
          </cell>
          <cell r="AA26" t="str">
            <v>6ｲﾝﾁFWP</v>
          </cell>
          <cell r="AB26">
            <v>1450</v>
          </cell>
          <cell r="AC26">
            <v>6</v>
          </cell>
          <cell r="AD26" t="str">
            <v>6ｲﾝﾁFWP</v>
          </cell>
          <cell r="AE26">
            <v>1450</v>
          </cell>
          <cell r="AF26"/>
          <cell r="AG26"/>
          <cell r="AH26"/>
          <cell r="AI26"/>
          <cell r="AJ26"/>
          <cell r="AK26"/>
          <cell r="AL26">
            <v>6</v>
          </cell>
          <cell r="AM26" t="str">
            <v>エージング後スリット 短尺品</v>
          </cell>
        </row>
        <row r="27">
          <cell r="G27" t="str">
            <v>331SNCERABX8ARXT</v>
          </cell>
          <cell r="H27" t="str">
            <v>S</v>
          </cell>
          <cell r="I27" t="str">
            <v>N</v>
          </cell>
          <cell r="J27" t="str">
            <v>CERA</v>
          </cell>
          <cell r="K27" t="str">
            <v>BX8ARXT</v>
          </cell>
          <cell r="M27" t="str">
            <v>331SNCERABX8ARXT381585</v>
          </cell>
          <cell r="N27" t="str">
            <v>331SNCERABX8ARXT381580</v>
          </cell>
          <cell r="O27">
            <v>38</v>
          </cell>
          <cell r="P27">
            <v>331</v>
          </cell>
          <cell r="Q27" t="str">
            <v>R75XK</v>
          </cell>
          <cell r="R27">
            <v>1585</v>
          </cell>
          <cell r="S27">
            <v>12200</v>
          </cell>
          <cell r="T27">
            <v>1580</v>
          </cell>
          <cell r="U27">
            <v>1580</v>
          </cell>
          <cell r="V27">
            <v>6000</v>
          </cell>
          <cell r="W27">
            <v>2</v>
          </cell>
          <cell r="X27" t="str">
            <v>CF2</v>
          </cell>
          <cell r="Y27" t="str">
            <v>SL-1</v>
          </cell>
          <cell r="Z27">
            <v>6</v>
          </cell>
          <cell r="AA27" t="str">
            <v>6ｲﾝﾁFWP</v>
          </cell>
          <cell r="AB27">
            <v>1700</v>
          </cell>
          <cell r="AC27">
            <v>6</v>
          </cell>
          <cell r="AD27" t="str">
            <v>6ｲﾝﾁFWP</v>
          </cell>
          <cell r="AE27">
            <v>1700</v>
          </cell>
          <cell r="AF27"/>
          <cell r="AG27"/>
          <cell r="AH27"/>
          <cell r="AI27"/>
          <cell r="AJ27"/>
          <cell r="AK27"/>
          <cell r="AL27">
            <v>6</v>
          </cell>
          <cell r="AM27" t="str">
            <v>エージング後スリット</v>
          </cell>
        </row>
        <row r="28">
          <cell r="G28" t="str">
            <v>3SNCERABX8AD</v>
          </cell>
          <cell r="H28" t="str">
            <v>S</v>
          </cell>
          <cell r="I28" t="str">
            <v>N</v>
          </cell>
          <cell r="J28" t="str">
            <v>CERA</v>
          </cell>
          <cell r="K28" t="str">
            <v>BX8AD</v>
          </cell>
          <cell r="M28" t="str">
            <v>3SNCERABX8AD751337</v>
          </cell>
          <cell r="N28" t="str">
            <v>3SNCERABX8AD751330</v>
          </cell>
          <cell r="O28">
            <v>75</v>
          </cell>
          <cell r="P28">
            <v>3</v>
          </cell>
          <cell r="Q28" t="str">
            <v>T102</v>
          </cell>
          <cell r="R28">
            <v>1337</v>
          </cell>
          <cell r="S28">
            <v>5200</v>
          </cell>
          <cell r="T28">
            <v>1337</v>
          </cell>
          <cell r="U28">
            <v>1330</v>
          </cell>
          <cell r="V28">
            <v>5000</v>
          </cell>
          <cell r="W28"/>
          <cell r="X28" t="str">
            <v>CF2</v>
          </cell>
          <cell r="Y28" t="str">
            <v>直出し</v>
          </cell>
          <cell r="Z28">
            <v>6</v>
          </cell>
          <cell r="AA28" t="str">
            <v>6ｲﾝﾁFWP</v>
          </cell>
          <cell r="AB28">
            <v>1450</v>
          </cell>
          <cell r="AC28">
            <v>6</v>
          </cell>
          <cell r="AD28" t="str">
            <v>6ｲﾝﾁFWP</v>
          </cell>
          <cell r="AE28">
            <v>1450</v>
          </cell>
          <cell r="AF28"/>
          <cell r="AG28"/>
          <cell r="AH28"/>
          <cell r="AI28"/>
          <cell r="AJ28"/>
          <cell r="AK28"/>
          <cell r="AL28">
            <v>6</v>
          </cell>
          <cell r="AM28"/>
        </row>
        <row r="29">
          <cell r="G29" t="str">
            <v>3SNCERABX8AX</v>
          </cell>
          <cell r="H29" t="str">
            <v>S</v>
          </cell>
          <cell r="I29" t="str">
            <v>N</v>
          </cell>
          <cell r="J29" t="str">
            <v>CERA</v>
          </cell>
          <cell r="K29" t="str">
            <v>BX8AX</v>
          </cell>
          <cell r="M29" t="str">
            <v>3SNCERABX8AX751335</v>
          </cell>
          <cell r="N29" t="str">
            <v>3SNCERABX8AX751330</v>
          </cell>
          <cell r="O29">
            <v>75</v>
          </cell>
          <cell r="P29">
            <v>3</v>
          </cell>
          <cell r="Q29" t="str">
            <v>XD500P</v>
          </cell>
          <cell r="R29">
            <v>1335</v>
          </cell>
          <cell r="S29">
            <v>4300</v>
          </cell>
          <cell r="T29">
            <v>1330</v>
          </cell>
          <cell r="U29">
            <v>1330</v>
          </cell>
          <cell r="V29">
            <v>4100</v>
          </cell>
          <cell r="W29">
            <v>2</v>
          </cell>
          <cell r="X29" t="str">
            <v>CF2</v>
          </cell>
          <cell r="Y29" t="str">
            <v>直出し</v>
          </cell>
          <cell r="Z29">
            <v>6</v>
          </cell>
          <cell r="AA29" t="str">
            <v>6ｲﾝﾁFWP</v>
          </cell>
          <cell r="AB29">
            <v>1450</v>
          </cell>
          <cell r="AC29">
            <v>6</v>
          </cell>
          <cell r="AD29" t="str">
            <v>6ｲﾝﾁFWP</v>
          </cell>
          <cell r="AE29">
            <v>1450</v>
          </cell>
          <cell r="AF29"/>
          <cell r="AG29"/>
          <cell r="AH29"/>
          <cell r="AI29"/>
          <cell r="AJ29"/>
          <cell r="AK29"/>
          <cell r="AL29">
            <v>6</v>
          </cell>
          <cell r="AM29"/>
        </row>
        <row r="30">
          <cell r="G30" t="str">
            <v>3SYCERABX8AS</v>
          </cell>
          <cell r="H30" t="str">
            <v>S</v>
          </cell>
          <cell r="I30" t="str">
            <v>Y</v>
          </cell>
          <cell r="J30" t="str">
            <v>CERA</v>
          </cell>
          <cell r="K30" t="str">
            <v>BX8AS</v>
          </cell>
          <cell r="M30" t="str">
            <v>3SYCERABX8AS751045</v>
          </cell>
          <cell r="N30" t="str">
            <v>3SYCERABX8AS751040</v>
          </cell>
          <cell r="O30">
            <v>75</v>
          </cell>
          <cell r="P30">
            <v>3</v>
          </cell>
          <cell r="Q30" t="str">
            <v>S28</v>
          </cell>
          <cell r="R30">
            <v>1045</v>
          </cell>
          <cell r="S30">
            <v>4200</v>
          </cell>
          <cell r="T30">
            <v>1040</v>
          </cell>
          <cell r="U30">
            <v>1040</v>
          </cell>
          <cell r="V30">
            <v>4000</v>
          </cell>
          <cell r="W30">
            <v>1</v>
          </cell>
          <cell r="X30" t="str">
            <v>CF2</v>
          </cell>
          <cell r="Y30" t="str">
            <v>直出し</v>
          </cell>
          <cell r="Z30">
            <v>6</v>
          </cell>
          <cell r="AA30" t="str">
            <v>6ｲﾝﾁABS</v>
          </cell>
          <cell r="AB30">
            <v>1060</v>
          </cell>
          <cell r="AC30">
            <v>6</v>
          </cell>
          <cell r="AD30" t="str">
            <v>6ｲﾝﾁABS</v>
          </cell>
          <cell r="AE30">
            <v>1060</v>
          </cell>
          <cell r="AF30"/>
          <cell r="AG30"/>
          <cell r="AH30"/>
          <cell r="AI30"/>
          <cell r="AJ30"/>
          <cell r="AK30"/>
          <cell r="AL30">
            <v>6</v>
          </cell>
          <cell r="AM30"/>
        </row>
        <row r="31">
          <cell r="G31" t="str">
            <v>3SYCERABX9AS</v>
          </cell>
          <cell r="H31" t="str">
            <v>S</v>
          </cell>
          <cell r="I31" t="str">
            <v>Y</v>
          </cell>
          <cell r="J31" t="str">
            <v>CERA</v>
          </cell>
          <cell r="K31" t="str">
            <v>BX9AS</v>
          </cell>
          <cell r="M31" t="str">
            <v>3SYCERABX9AS751045</v>
          </cell>
          <cell r="N31" t="str">
            <v>3SYCERABX9AS751040</v>
          </cell>
          <cell r="O31">
            <v>75</v>
          </cell>
          <cell r="P31">
            <v>3</v>
          </cell>
          <cell r="Q31" t="str">
            <v>S28</v>
          </cell>
          <cell r="R31">
            <v>1045</v>
          </cell>
          <cell r="S31">
            <v>4200</v>
          </cell>
          <cell r="T31">
            <v>1040</v>
          </cell>
          <cell r="U31">
            <v>1040</v>
          </cell>
          <cell r="V31">
            <v>4000</v>
          </cell>
          <cell r="W31">
            <v>1</v>
          </cell>
          <cell r="X31" t="str">
            <v>CF2</v>
          </cell>
          <cell r="Y31" t="str">
            <v>直出し</v>
          </cell>
          <cell r="Z31">
            <v>6</v>
          </cell>
          <cell r="AA31" t="str">
            <v>6ｲﾝﾁABS</v>
          </cell>
          <cell r="AB31">
            <v>1060</v>
          </cell>
          <cell r="AC31">
            <v>6</v>
          </cell>
          <cell r="AD31" t="str">
            <v>6ｲﾝﾁABS</v>
          </cell>
          <cell r="AE31">
            <v>1060</v>
          </cell>
          <cell r="AF31"/>
          <cell r="AG31"/>
          <cell r="AH31"/>
          <cell r="AI31"/>
          <cell r="AJ31"/>
          <cell r="AK31"/>
          <cell r="AL31">
            <v>6</v>
          </cell>
          <cell r="AM31"/>
        </row>
        <row r="32">
          <cell r="G32" t="str">
            <v>3313SNCERAMD(A)R</v>
          </cell>
          <cell r="H32" t="str">
            <v>S</v>
          </cell>
          <cell r="I32" t="str">
            <v>N</v>
          </cell>
          <cell r="J32" t="str">
            <v>CERA</v>
          </cell>
          <cell r="K32" t="str">
            <v>MD(A)R</v>
          </cell>
          <cell r="M32" t="str">
            <v>3313SNCERAMD(A)R381550</v>
          </cell>
          <cell r="N32" t="str">
            <v>3313SNCERAMD(A)R38750</v>
          </cell>
          <cell r="O32">
            <v>38</v>
          </cell>
          <cell r="P32">
            <v>3313</v>
          </cell>
          <cell r="Q32" t="str">
            <v>R75X</v>
          </cell>
          <cell r="R32">
            <v>1550</v>
          </cell>
          <cell r="S32">
            <v>12200</v>
          </cell>
          <cell r="T32">
            <v>750</v>
          </cell>
          <cell r="U32">
            <v>750</v>
          </cell>
          <cell r="V32">
            <v>6000</v>
          </cell>
          <cell r="W32">
            <v>2</v>
          </cell>
          <cell r="X32" t="str">
            <v>CF2</v>
          </cell>
          <cell r="Y32" t="str">
            <v>SL-1</v>
          </cell>
          <cell r="Z32">
            <v>6</v>
          </cell>
          <cell r="AA32" t="str">
            <v>6ｲﾝﾁFWP</v>
          </cell>
          <cell r="AB32">
            <v>1700</v>
          </cell>
          <cell r="AC32">
            <v>6</v>
          </cell>
          <cell r="AD32" t="str">
            <v>6ｲﾝﾁFWP</v>
          </cell>
          <cell r="AE32">
            <v>930</v>
          </cell>
          <cell r="AF32"/>
          <cell r="AG32"/>
          <cell r="AH32"/>
          <cell r="AI32"/>
          <cell r="AJ32"/>
          <cell r="AK32"/>
          <cell r="AL32"/>
          <cell r="AM32"/>
        </row>
        <row r="33">
          <cell r="G33" t="str">
            <v>331SNCERAMD(A)R</v>
          </cell>
          <cell r="H33" t="str">
            <v>S</v>
          </cell>
          <cell r="I33" t="str">
            <v>N</v>
          </cell>
          <cell r="J33" t="str">
            <v>CERA</v>
          </cell>
          <cell r="K33" t="str">
            <v>MD(A)R</v>
          </cell>
          <cell r="M33" t="str">
            <v>331SNCERAMD(A)R381025</v>
          </cell>
          <cell r="N33" t="str">
            <v>331SNCERAMD(A)R381020</v>
          </cell>
          <cell r="O33">
            <v>38</v>
          </cell>
          <cell r="P33">
            <v>331</v>
          </cell>
          <cell r="Q33" t="str">
            <v>R75X</v>
          </cell>
          <cell r="R33">
            <v>1025</v>
          </cell>
          <cell r="S33">
            <v>12200</v>
          </cell>
          <cell r="T33">
            <v>1025</v>
          </cell>
          <cell r="U33">
            <v>1020</v>
          </cell>
          <cell r="V33">
            <v>6000</v>
          </cell>
          <cell r="W33">
            <v>2</v>
          </cell>
          <cell r="X33" t="str">
            <v>CF2</v>
          </cell>
          <cell r="Y33" t="str">
            <v>半直</v>
          </cell>
          <cell r="Z33">
            <v>6</v>
          </cell>
          <cell r="AA33" t="str">
            <v>6ｲﾝﾁFWP</v>
          </cell>
          <cell r="AB33">
            <v>1040</v>
          </cell>
          <cell r="AC33">
            <v>6</v>
          </cell>
          <cell r="AD33" t="str">
            <v>6ｲﾝﾁFWP</v>
          </cell>
          <cell r="AE33">
            <v>1040</v>
          </cell>
          <cell r="AF33"/>
          <cell r="AG33"/>
          <cell r="AH33"/>
          <cell r="AI33"/>
          <cell r="AJ33"/>
          <cell r="AK33"/>
          <cell r="AL33"/>
          <cell r="AM33"/>
        </row>
        <row r="34">
          <cell r="G34" t="str">
            <v>331SNCERAMD(A)R</v>
          </cell>
          <cell r="H34" t="str">
            <v>S</v>
          </cell>
          <cell r="I34" t="str">
            <v>N</v>
          </cell>
          <cell r="J34" t="str">
            <v>CERA</v>
          </cell>
          <cell r="K34" t="str">
            <v>MD(A)R</v>
          </cell>
          <cell r="M34" t="str">
            <v>331SNCERAMD(A)R381255</v>
          </cell>
          <cell r="N34" t="str">
            <v>331SNCERAMD(A)R381250</v>
          </cell>
          <cell r="O34">
            <v>38</v>
          </cell>
          <cell r="P34">
            <v>331</v>
          </cell>
          <cell r="Q34" t="str">
            <v>R75X</v>
          </cell>
          <cell r="R34">
            <v>1255</v>
          </cell>
          <cell r="S34">
            <v>12200</v>
          </cell>
          <cell r="T34">
            <v>1255</v>
          </cell>
          <cell r="U34">
            <v>1250</v>
          </cell>
          <cell r="V34">
            <v>6000</v>
          </cell>
          <cell r="W34">
            <v>2</v>
          </cell>
          <cell r="X34" t="str">
            <v>CF2</v>
          </cell>
          <cell r="Y34" t="str">
            <v>半直</v>
          </cell>
          <cell r="Z34">
            <v>6</v>
          </cell>
          <cell r="AA34" t="str">
            <v>6ｲﾝﾁFWP</v>
          </cell>
          <cell r="AB34">
            <v>1270</v>
          </cell>
          <cell r="AC34">
            <v>6</v>
          </cell>
          <cell r="AD34" t="str">
            <v>6ｲﾝﾁFWP</v>
          </cell>
          <cell r="AE34">
            <v>1270</v>
          </cell>
          <cell r="AF34"/>
          <cell r="AG34"/>
          <cell r="AH34"/>
          <cell r="AI34"/>
          <cell r="AJ34"/>
          <cell r="AK34"/>
          <cell r="AL34"/>
          <cell r="AM34"/>
        </row>
        <row r="35">
          <cell r="G35" t="str">
            <v>331SNCERAMD(A)R</v>
          </cell>
          <cell r="H35" t="str">
            <v>S</v>
          </cell>
          <cell r="I35" t="str">
            <v>N</v>
          </cell>
          <cell r="J35" t="str">
            <v>CERA</v>
          </cell>
          <cell r="K35" t="str">
            <v>MD(A)R</v>
          </cell>
          <cell r="M35" t="str">
            <v>331SNCERAMD(A)R381585</v>
          </cell>
          <cell r="N35" t="str">
            <v>331SNCERAMD(A)R381580</v>
          </cell>
          <cell r="O35">
            <v>38</v>
          </cell>
          <cell r="P35">
            <v>331</v>
          </cell>
          <cell r="Q35" t="str">
            <v>R75X</v>
          </cell>
          <cell r="R35">
            <v>1585</v>
          </cell>
          <cell r="S35">
            <v>12200</v>
          </cell>
          <cell r="T35">
            <v>1585</v>
          </cell>
          <cell r="U35">
            <v>1580</v>
          </cell>
          <cell r="V35">
            <v>4000</v>
          </cell>
          <cell r="W35">
            <v>2</v>
          </cell>
          <cell r="X35" t="str">
            <v>CF2</v>
          </cell>
          <cell r="Y35" t="str">
            <v>3直</v>
          </cell>
          <cell r="Z35">
            <v>6</v>
          </cell>
          <cell r="AA35" t="str">
            <v>6ｲﾝﾁFWP</v>
          </cell>
          <cell r="AB35">
            <v>1700</v>
          </cell>
          <cell r="AC35">
            <v>6</v>
          </cell>
          <cell r="AD35" t="str">
            <v>6ｲﾝﾁFWP</v>
          </cell>
          <cell r="AE35">
            <v>1700</v>
          </cell>
          <cell r="AF35"/>
          <cell r="AG35"/>
          <cell r="AH35"/>
          <cell r="AI35"/>
          <cell r="AJ35"/>
          <cell r="AK35"/>
          <cell r="AL35"/>
          <cell r="AM35"/>
        </row>
        <row r="36">
          <cell r="G36" t="str">
            <v>3321SNCERAMDACPFL</v>
          </cell>
          <cell r="H36" t="str">
            <v>S</v>
          </cell>
          <cell r="I36" t="str">
            <v>N</v>
          </cell>
          <cell r="J36" t="str">
            <v>CERA</v>
          </cell>
          <cell r="K36" t="str">
            <v>MDACPFL</v>
          </cell>
          <cell r="M36" t="str">
            <v>3321SNCERAMDACPFL381336</v>
          </cell>
          <cell r="N36" t="str">
            <v>3321SNCERAMDACPFL381325</v>
          </cell>
          <cell r="O36">
            <v>38</v>
          </cell>
          <cell r="P36">
            <v>3321</v>
          </cell>
          <cell r="Q36" t="str">
            <v>XF60R</v>
          </cell>
          <cell r="R36">
            <v>1336</v>
          </cell>
          <cell r="S36">
            <v>12050</v>
          </cell>
          <cell r="T36">
            <v>1336</v>
          </cell>
          <cell r="U36">
            <v>1325</v>
          </cell>
          <cell r="V36">
            <v>12000</v>
          </cell>
          <cell r="W36">
            <v>2</v>
          </cell>
          <cell r="X36" t="str">
            <v>CF2</v>
          </cell>
          <cell r="Y36" t="str">
            <v>直出し</v>
          </cell>
          <cell r="Z36">
            <v>6</v>
          </cell>
          <cell r="AA36" t="str">
            <v>6ｲﾝﾁFWP</v>
          </cell>
          <cell r="AB36">
            <v>1450</v>
          </cell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</row>
        <row r="37">
          <cell r="G37" t="str">
            <v>3321SNCERAMDAPFL</v>
          </cell>
          <cell r="H37" t="str">
            <v>S</v>
          </cell>
          <cell r="I37" t="str">
            <v>N</v>
          </cell>
          <cell r="J37" t="str">
            <v>CERA</v>
          </cell>
          <cell r="K37" t="str">
            <v>MDAPFL</v>
          </cell>
          <cell r="M37" t="str">
            <v>3321SNCERAMDAPFL381336</v>
          </cell>
          <cell r="N37" t="str">
            <v>3321SNCERAMDAPFL381325</v>
          </cell>
          <cell r="O37">
            <v>38</v>
          </cell>
          <cell r="P37">
            <v>3321</v>
          </cell>
          <cell r="Q37" t="str">
            <v>XF60R</v>
          </cell>
          <cell r="R37">
            <v>1336</v>
          </cell>
          <cell r="S37">
            <v>12050</v>
          </cell>
          <cell r="T37">
            <v>1336</v>
          </cell>
          <cell r="U37">
            <v>1325</v>
          </cell>
          <cell r="V37">
            <v>12000</v>
          </cell>
          <cell r="W37">
            <v>2</v>
          </cell>
          <cell r="X37" t="str">
            <v>CF2</v>
          </cell>
          <cell r="Y37" t="str">
            <v>直出し</v>
          </cell>
          <cell r="Z37">
            <v>6</v>
          </cell>
          <cell r="AA37" t="str">
            <v>6ｲﾝﾁFWP</v>
          </cell>
          <cell r="AB37">
            <v>1450</v>
          </cell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</row>
        <row r="38">
          <cell r="G38" t="str">
            <v>330SNCERAMDAR</v>
          </cell>
          <cell r="H38" t="str">
            <v>S</v>
          </cell>
          <cell r="I38" t="str">
            <v>N</v>
          </cell>
          <cell r="J38" t="str">
            <v>CERA</v>
          </cell>
          <cell r="K38" t="str">
            <v>MDAR</v>
          </cell>
          <cell r="M38" t="str">
            <v>330SNCERAMDAR1251105</v>
          </cell>
          <cell r="N38" t="str">
            <v>330SNCERAMDAR1251100</v>
          </cell>
          <cell r="O38">
            <v>125</v>
          </cell>
          <cell r="P38">
            <v>330</v>
          </cell>
          <cell r="Q38" t="str">
            <v>XD1NB1</v>
          </cell>
          <cell r="R38">
            <v>1105</v>
          </cell>
          <cell r="S38">
            <v>3450</v>
          </cell>
          <cell r="T38">
            <v>1105</v>
          </cell>
          <cell r="U38">
            <v>1100</v>
          </cell>
          <cell r="V38">
            <v>3400</v>
          </cell>
          <cell r="W38">
            <v>2</v>
          </cell>
          <cell r="X38" t="str">
            <v>CF2</v>
          </cell>
          <cell r="Y38" t="str">
            <v>直出し</v>
          </cell>
          <cell r="Z38">
            <v>6</v>
          </cell>
          <cell r="AA38" t="str">
            <v>6ｲﾝﾁFWP</v>
          </cell>
          <cell r="AB38">
            <v>1450</v>
          </cell>
          <cell r="AC38"/>
          <cell r="AD38"/>
          <cell r="AE38"/>
          <cell r="AF38"/>
          <cell r="AG38"/>
          <cell r="AH38"/>
          <cell r="AI38"/>
          <cell r="AJ38"/>
          <cell r="AK38"/>
          <cell r="AL38"/>
          <cell r="AM38"/>
        </row>
        <row r="39">
          <cell r="G39" t="str">
            <v>331SNCERAMDARX</v>
          </cell>
          <cell r="H39" t="str">
            <v>S</v>
          </cell>
          <cell r="I39" t="str">
            <v>N</v>
          </cell>
          <cell r="J39" t="str">
            <v>CERA</v>
          </cell>
          <cell r="K39" t="str">
            <v>MDARX</v>
          </cell>
          <cell r="M39" t="str">
            <v>331SNCERAMDARX381305</v>
          </cell>
          <cell r="N39" t="str">
            <v>331SNCERAMDARX38315</v>
          </cell>
          <cell r="O39">
            <v>38</v>
          </cell>
          <cell r="P39">
            <v>331</v>
          </cell>
          <cell r="Q39" t="str">
            <v>R75X</v>
          </cell>
          <cell r="R39">
            <v>1305</v>
          </cell>
          <cell r="S39">
            <v>12200</v>
          </cell>
          <cell r="T39">
            <v>315</v>
          </cell>
          <cell r="U39">
            <v>315</v>
          </cell>
          <cell r="V39">
            <v>1950</v>
          </cell>
          <cell r="W39">
            <v>2</v>
          </cell>
          <cell r="X39" t="str">
            <v>CF2</v>
          </cell>
          <cell r="Y39" t="str">
            <v>SL-1</v>
          </cell>
          <cell r="Z39">
            <v>6</v>
          </cell>
          <cell r="AA39" t="str">
            <v>6ｲﾝﾁFWP</v>
          </cell>
          <cell r="AB39">
            <v>1450</v>
          </cell>
          <cell r="AC39">
            <v>3</v>
          </cell>
          <cell r="AD39" t="str">
            <v>3ｲﾝﾁABS</v>
          </cell>
          <cell r="AE39">
            <v>322</v>
          </cell>
          <cell r="AF39"/>
          <cell r="AG39"/>
          <cell r="AH39"/>
          <cell r="AI39"/>
          <cell r="AJ39"/>
          <cell r="AK39"/>
          <cell r="AL39"/>
          <cell r="AM39"/>
        </row>
        <row r="40">
          <cell r="G40" t="str">
            <v>331SNCERAMDARX</v>
          </cell>
          <cell r="H40" t="str">
            <v>S</v>
          </cell>
          <cell r="I40" t="str">
            <v>N</v>
          </cell>
          <cell r="J40" t="str">
            <v>CERA</v>
          </cell>
          <cell r="K40" t="str">
            <v>MDARX</v>
          </cell>
          <cell r="M40" t="str">
            <v>331SNCERAMDARX381305</v>
          </cell>
          <cell r="N40" t="str">
            <v>331SNCERAMDARX38415</v>
          </cell>
          <cell r="O40">
            <v>38</v>
          </cell>
          <cell r="P40">
            <v>331</v>
          </cell>
          <cell r="Q40" t="str">
            <v>R75X</v>
          </cell>
          <cell r="R40">
            <v>1305</v>
          </cell>
          <cell r="S40">
            <v>12200</v>
          </cell>
          <cell r="T40">
            <v>415</v>
          </cell>
          <cell r="U40">
            <v>415</v>
          </cell>
          <cell r="V40">
            <v>1950</v>
          </cell>
          <cell r="W40">
            <v>2</v>
          </cell>
          <cell r="X40" t="str">
            <v>CF2</v>
          </cell>
          <cell r="Y40" t="str">
            <v>SL-1</v>
          </cell>
          <cell r="Z40">
            <v>6</v>
          </cell>
          <cell r="AA40" t="str">
            <v>6ｲﾝﾁFWP</v>
          </cell>
          <cell r="AB40">
            <v>1450</v>
          </cell>
          <cell r="AC40">
            <v>3</v>
          </cell>
          <cell r="AD40" t="str">
            <v>3ｲﾝﾁABS</v>
          </cell>
          <cell r="AE40">
            <v>422</v>
          </cell>
          <cell r="AF40"/>
          <cell r="AG40"/>
          <cell r="AH40"/>
          <cell r="AI40"/>
          <cell r="AJ40"/>
          <cell r="AK40"/>
          <cell r="AL40"/>
          <cell r="AM40"/>
        </row>
        <row r="41">
          <cell r="G41" t="str">
            <v>3SNCERAMDAS</v>
          </cell>
          <cell r="H41" t="str">
            <v>S</v>
          </cell>
          <cell r="I41" t="str">
            <v>N</v>
          </cell>
          <cell r="J41" t="str">
            <v>CERA</v>
          </cell>
          <cell r="K41" t="str">
            <v>MDAS</v>
          </cell>
          <cell r="M41" t="str">
            <v>3SNCERAMDAS501310</v>
          </cell>
          <cell r="N41" t="str">
            <v>3SNCERAMDAS501300</v>
          </cell>
          <cell r="O41">
            <v>50</v>
          </cell>
          <cell r="P41">
            <v>3</v>
          </cell>
          <cell r="Q41" t="str">
            <v>S28M</v>
          </cell>
          <cell r="R41">
            <v>1310</v>
          </cell>
          <cell r="S41">
            <v>6400</v>
          </cell>
          <cell r="T41">
            <v>1310</v>
          </cell>
          <cell r="U41">
            <v>1300</v>
          </cell>
          <cell r="V41">
            <v>6200</v>
          </cell>
          <cell r="W41">
            <v>2</v>
          </cell>
          <cell r="X41" t="str">
            <v>CF2</v>
          </cell>
          <cell r="Y41" t="str">
            <v>直出し</v>
          </cell>
          <cell r="Z41">
            <v>6</v>
          </cell>
          <cell r="AA41" t="str">
            <v>6ｲﾝﾁFWP</v>
          </cell>
          <cell r="AB41">
            <v>1320</v>
          </cell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</row>
        <row r="42">
          <cell r="G42" t="str">
            <v>3SNCERAMFACR</v>
          </cell>
          <cell r="H42" t="str">
            <v>S</v>
          </cell>
          <cell r="I42" t="str">
            <v>N</v>
          </cell>
          <cell r="J42" t="str">
            <v>CERA</v>
          </cell>
          <cell r="K42" t="str">
            <v>MFACR</v>
          </cell>
          <cell r="M42" t="str">
            <v>3SNCERAMFACR311370</v>
          </cell>
          <cell r="N42" t="str">
            <v>3SNCERAMFACR31440</v>
          </cell>
          <cell r="O42">
            <v>31</v>
          </cell>
          <cell r="P42">
            <v>3</v>
          </cell>
          <cell r="Q42" t="str">
            <v>A56</v>
          </cell>
          <cell r="R42">
            <v>1370</v>
          </cell>
          <cell r="S42">
            <v>13450</v>
          </cell>
          <cell r="T42">
            <v>440</v>
          </cell>
          <cell r="U42">
            <v>440</v>
          </cell>
          <cell r="V42">
            <v>6500</v>
          </cell>
          <cell r="W42">
            <v>1</v>
          </cell>
          <cell r="X42" t="str">
            <v>CF2</v>
          </cell>
          <cell r="Y42" t="str">
            <v>SL-1</v>
          </cell>
          <cell r="Z42">
            <v>6</v>
          </cell>
          <cell r="AA42" t="str">
            <v>6ｲﾝﾁFWP</v>
          </cell>
          <cell r="AB42">
            <v>1450</v>
          </cell>
          <cell r="AC42">
            <v>3</v>
          </cell>
          <cell r="AD42" t="str">
            <v>ｶﾞﾗｽｴﾎﾟｷｼ</v>
          </cell>
          <cell r="AE42">
            <v>595</v>
          </cell>
          <cell r="AF42"/>
          <cell r="AG42"/>
          <cell r="AH42"/>
          <cell r="AI42"/>
          <cell r="AJ42"/>
          <cell r="AK42"/>
          <cell r="AL42"/>
          <cell r="AM42"/>
        </row>
        <row r="43">
          <cell r="G43" t="str">
            <v>3RSNCERAMFARX</v>
          </cell>
          <cell r="H43" t="str">
            <v>S</v>
          </cell>
          <cell r="I43" t="str">
            <v>N</v>
          </cell>
          <cell r="J43" t="str">
            <v>CERA</v>
          </cell>
          <cell r="K43" t="str">
            <v>MFARX</v>
          </cell>
          <cell r="M43" t="str">
            <v>3RSNCERAMFARX381270</v>
          </cell>
          <cell r="N43" t="str">
            <v>3RSNCERAMFARX381265</v>
          </cell>
          <cell r="O43">
            <v>38</v>
          </cell>
          <cell r="P43" t="str">
            <v>3R</v>
          </cell>
          <cell r="Q43" t="str">
            <v>R75X</v>
          </cell>
          <cell r="R43">
            <v>1270</v>
          </cell>
          <cell r="S43">
            <v>12200</v>
          </cell>
          <cell r="T43">
            <v>1265</v>
          </cell>
          <cell r="U43">
            <v>1265</v>
          </cell>
          <cell r="V43">
            <v>4000</v>
          </cell>
          <cell r="W43">
            <v>2</v>
          </cell>
          <cell r="X43" t="str">
            <v>CF2</v>
          </cell>
          <cell r="Y43" t="str">
            <v>SL-1</v>
          </cell>
          <cell r="Z43">
            <v>6</v>
          </cell>
          <cell r="AA43" t="str">
            <v>6ｲﾝﾁFWP</v>
          </cell>
          <cell r="AB43">
            <v>1450</v>
          </cell>
          <cell r="AC43">
            <v>6</v>
          </cell>
          <cell r="AD43" t="str">
            <v>6ｲﾝﾁFWP</v>
          </cell>
          <cell r="AE43">
            <v>1300</v>
          </cell>
          <cell r="AF43"/>
          <cell r="AG43"/>
          <cell r="AH43"/>
          <cell r="AI43"/>
          <cell r="AJ43"/>
          <cell r="AK43"/>
          <cell r="AL43"/>
          <cell r="AM43"/>
        </row>
        <row r="44">
          <cell r="G44" t="str">
            <v>3SNCERAMFAS</v>
          </cell>
          <cell r="H44" t="str">
            <v>S</v>
          </cell>
          <cell r="I44" t="str">
            <v>N</v>
          </cell>
          <cell r="J44" t="str">
            <v>CERA</v>
          </cell>
          <cell r="K44" t="str">
            <v>MFAS</v>
          </cell>
          <cell r="M44" t="str">
            <v>3SNCERAMFAS751120</v>
          </cell>
          <cell r="N44" t="str">
            <v>3SNCERAMFAS75220</v>
          </cell>
          <cell r="O44">
            <v>75</v>
          </cell>
          <cell r="P44">
            <v>3</v>
          </cell>
          <cell r="Q44" t="str">
            <v>S28</v>
          </cell>
          <cell r="R44">
            <v>1120</v>
          </cell>
          <cell r="S44">
            <v>4000</v>
          </cell>
          <cell r="T44">
            <v>220</v>
          </cell>
          <cell r="U44">
            <v>220</v>
          </cell>
          <cell r="V44">
            <v>1200</v>
          </cell>
          <cell r="W44">
            <v>1</v>
          </cell>
          <cell r="X44" t="str">
            <v>CF2</v>
          </cell>
          <cell r="Y44" t="str">
            <v>SL-1</v>
          </cell>
          <cell r="Z44">
            <v>6</v>
          </cell>
          <cell r="AA44" t="str">
            <v>6ｲﾝﾁFWP</v>
          </cell>
          <cell r="AB44">
            <v>1450</v>
          </cell>
          <cell r="AC44">
            <v>3</v>
          </cell>
          <cell r="AD44" t="str">
            <v>3ｲﾝﾁABS</v>
          </cell>
          <cell r="AE44">
            <v>224</v>
          </cell>
          <cell r="AF44"/>
          <cell r="AG44"/>
          <cell r="AH44"/>
          <cell r="AI44"/>
          <cell r="AJ44"/>
          <cell r="AK44"/>
          <cell r="AL44"/>
          <cell r="AM44"/>
        </row>
        <row r="45">
          <cell r="G45" t="str">
            <v>3SNCERAMFAS</v>
          </cell>
          <cell r="H45" t="str">
            <v>S</v>
          </cell>
          <cell r="I45" t="str">
            <v>N</v>
          </cell>
          <cell r="J45" t="str">
            <v>CERA</v>
          </cell>
          <cell r="K45" t="str">
            <v>MFAS</v>
          </cell>
          <cell r="M45" t="str">
            <v>3SNCERAMFAS751310</v>
          </cell>
          <cell r="N45" t="str">
            <v>3SNCERAMFAS75620</v>
          </cell>
          <cell r="O45">
            <v>75</v>
          </cell>
          <cell r="P45">
            <v>3</v>
          </cell>
          <cell r="Q45" t="str">
            <v>S28</v>
          </cell>
          <cell r="R45">
            <v>1310</v>
          </cell>
          <cell r="S45">
            <v>4000</v>
          </cell>
          <cell r="T45">
            <v>620</v>
          </cell>
          <cell r="U45">
            <v>620</v>
          </cell>
          <cell r="V45">
            <v>400</v>
          </cell>
          <cell r="W45">
            <v>2</v>
          </cell>
          <cell r="X45" t="str">
            <v>CF2</v>
          </cell>
          <cell r="Y45" t="str">
            <v>SL-1</v>
          </cell>
          <cell r="Z45">
            <v>6</v>
          </cell>
          <cell r="AA45" t="str">
            <v>6ｲﾝﾁFWP</v>
          </cell>
          <cell r="AB45">
            <v>1450</v>
          </cell>
          <cell r="AC45">
            <v>3</v>
          </cell>
          <cell r="AD45" t="str">
            <v>3ｲﾝﾁABS</v>
          </cell>
          <cell r="AE45">
            <v>625</v>
          </cell>
          <cell r="AF45"/>
          <cell r="AG45"/>
          <cell r="AH45"/>
          <cell r="AI45"/>
          <cell r="AJ45"/>
          <cell r="AK45"/>
          <cell r="AL45"/>
          <cell r="AM45"/>
        </row>
        <row r="46">
          <cell r="G46" t="str">
            <v>3SNCERAMFAS</v>
          </cell>
          <cell r="H46" t="str">
            <v>S</v>
          </cell>
          <cell r="I46" t="str">
            <v>N</v>
          </cell>
          <cell r="J46" t="str">
            <v>CERA</v>
          </cell>
          <cell r="K46" t="str">
            <v>MFAS</v>
          </cell>
          <cell r="M46" t="str">
            <v>3SNCERAMFAS751045</v>
          </cell>
          <cell r="N46" t="str">
            <v>3SNCERAMFAS751040</v>
          </cell>
          <cell r="O46">
            <v>75</v>
          </cell>
          <cell r="P46">
            <v>3</v>
          </cell>
          <cell r="Q46" t="str">
            <v>S28</v>
          </cell>
          <cell r="R46">
            <v>1045</v>
          </cell>
          <cell r="S46">
            <v>4200</v>
          </cell>
          <cell r="T46">
            <v>1045</v>
          </cell>
          <cell r="U46">
            <v>1040</v>
          </cell>
          <cell r="V46">
            <v>4000</v>
          </cell>
          <cell r="W46">
            <v>2</v>
          </cell>
          <cell r="X46" t="str">
            <v>CF2</v>
          </cell>
          <cell r="Y46"/>
          <cell r="Z46">
            <v>6</v>
          </cell>
          <cell r="AA46" t="str">
            <v>6ｲﾝﾁFWP</v>
          </cell>
          <cell r="AB46">
            <v>1450</v>
          </cell>
          <cell r="AC46"/>
          <cell r="AD46"/>
          <cell r="AE46"/>
          <cell r="AF46"/>
          <cell r="AG46"/>
          <cell r="AH46"/>
          <cell r="AI46"/>
          <cell r="AJ46"/>
          <cell r="AK46"/>
          <cell r="AL46"/>
          <cell r="AM46"/>
        </row>
        <row r="47">
          <cell r="G47" t="str">
            <v>3SNCERAMFAS</v>
          </cell>
          <cell r="H47" t="str">
            <v>S</v>
          </cell>
          <cell r="I47" t="str">
            <v>N</v>
          </cell>
          <cell r="J47" t="str">
            <v>CERA</v>
          </cell>
          <cell r="K47" t="str">
            <v>MFAS</v>
          </cell>
          <cell r="M47" t="str">
            <v>3SNCERAMFAS1001020</v>
          </cell>
          <cell r="N47" t="str">
            <v>3SNCERAMFAS100330</v>
          </cell>
          <cell r="O47">
            <v>100</v>
          </cell>
          <cell r="P47">
            <v>3</v>
          </cell>
          <cell r="Q47" t="str">
            <v>S28</v>
          </cell>
          <cell r="R47">
            <v>1020</v>
          </cell>
          <cell r="S47">
            <v>2400</v>
          </cell>
          <cell r="T47">
            <v>330</v>
          </cell>
          <cell r="U47">
            <v>330</v>
          </cell>
          <cell r="V47">
            <v>550</v>
          </cell>
          <cell r="W47">
            <v>1</v>
          </cell>
          <cell r="X47" t="str">
            <v>CF2</v>
          </cell>
          <cell r="Y47" t="str">
            <v>SL-1</v>
          </cell>
          <cell r="Z47">
            <v>6</v>
          </cell>
          <cell r="AA47" t="str">
            <v>6ｲﾝﾁFWP</v>
          </cell>
          <cell r="AB47" t="str">
            <v>1050以上</v>
          </cell>
          <cell r="AC47">
            <v>3</v>
          </cell>
          <cell r="AD47" t="str">
            <v>3ｲﾝﾁABS</v>
          </cell>
          <cell r="AE47">
            <v>333</v>
          </cell>
          <cell r="AF47"/>
          <cell r="AG47"/>
          <cell r="AH47"/>
          <cell r="AI47"/>
          <cell r="AJ47"/>
          <cell r="AK47"/>
          <cell r="AL47"/>
          <cell r="AM47"/>
        </row>
        <row r="48">
          <cell r="G48" t="str">
            <v>331SNCERAMFAS</v>
          </cell>
          <cell r="H48" t="str">
            <v>S</v>
          </cell>
          <cell r="I48" t="str">
            <v>N</v>
          </cell>
          <cell r="J48" t="str">
            <v>CERA</v>
          </cell>
          <cell r="K48" t="str">
            <v>MFAS</v>
          </cell>
          <cell r="M48" t="str">
            <v>331SNCERAMFAS1001040</v>
          </cell>
          <cell r="N48" t="str">
            <v>331SNCERAMFAS100450</v>
          </cell>
          <cell r="O48">
            <v>100</v>
          </cell>
          <cell r="P48">
            <v>331</v>
          </cell>
          <cell r="Q48" t="str">
            <v>S28</v>
          </cell>
          <cell r="R48">
            <v>1040</v>
          </cell>
          <cell r="S48">
            <v>2100</v>
          </cell>
          <cell r="T48">
            <v>450</v>
          </cell>
          <cell r="U48">
            <v>450</v>
          </cell>
          <cell r="V48">
            <v>800</v>
          </cell>
          <cell r="W48">
            <v>2</v>
          </cell>
          <cell r="X48" t="str">
            <v>CF2</v>
          </cell>
          <cell r="Y48" t="str">
            <v>SL-1</v>
          </cell>
          <cell r="Z48">
            <v>6</v>
          </cell>
          <cell r="AA48" t="str">
            <v>6ｲﾝﾁFWP</v>
          </cell>
          <cell r="AB48">
            <v>1450</v>
          </cell>
          <cell r="AC48">
            <v>3</v>
          </cell>
          <cell r="AD48" t="str">
            <v>3ｲﾝﾁABS</v>
          </cell>
          <cell r="AE48">
            <v>450</v>
          </cell>
          <cell r="AF48"/>
          <cell r="AG48"/>
          <cell r="AH48"/>
          <cell r="AI48"/>
          <cell r="AJ48"/>
          <cell r="AK48"/>
          <cell r="AL48"/>
          <cell r="AM48"/>
        </row>
        <row r="49">
          <cell r="G49" t="str">
            <v>331SNCERAMFAS</v>
          </cell>
          <cell r="H49" t="str">
            <v>S</v>
          </cell>
          <cell r="I49" t="str">
            <v>N</v>
          </cell>
          <cell r="J49" t="str">
            <v>CERA</v>
          </cell>
          <cell r="K49" t="str">
            <v>MFAS</v>
          </cell>
          <cell r="M49" t="str">
            <v>331SNCERAMFAS1001020</v>
          </cell>
          <cell r="N49" t="str">
            <v>331SNCERAMFAS100450</v>
          </cell>
          <cell r="O49">
            <v>100</v>
          </cell>
          <cell r="P49">
            <v>331</v>
          </cell>
          <cell r="Q49" t="str">
            <v>S28</v>
          </cell>
          <cell r="R49">
            <v>1020</v>
          </cell>
          <cell r="S49">
            <v>2400</v>
          </cell>
          <cell r="T49">
            <v>450</v>
          </cell>
          <cell r="U49">
            <v>450</v>
          </cell>
          <cell r="V49">
            <v>800</v>
          </cell>
          <cell r="W49">
            <v>2</v>
          </cell>
          <cell r="X49" t="str">
            <v>CF2</v>
          </cell>
          <cell r="Y49" t="str">
            <v>SL-1</v>
          </cell>
          <cell r="Z49">
            <v>6</v>
          </cell>
          <cell r="AA49" t="str">
            <v>6ｲﾝﾁFWP</v>
          </cell>
          <cell r="AB49">
            <v>1450</v>
          </cell>
          <cell r="AC49">
            <v>3</v>
          </cell>
          <cell r="AD49" t="str">
            <v>3ｲﾝﾁABS</v>
          </cell>
          <cell r="AE49">
            <v>450</v>
          </cell>
          <cell r="AF49"/>
          <cell r="AG49"/>
          <cell r="AH49"/>
          <cell r="AI49"/>
          <cell r="AJ49"/>
          <cell r="AK49"/>
          <cell r="AL49"/>
          <cell r="AM49"/>
        </row>
        <row r="50">
          <cell r="G50" t="str">
            <v>3SNCERAMFAS</v>
          </cell>
          <cell r="H50" t="str">
            <v>S</v>
          </cell>
          <cell r="I50" t="str">
            <v>N</v>
          </cell>
          <cell r="J50" t="str">
            <v>CERA</v>
          </cell>
          <cell r="K50" t="str">
            <v>MFAS</v>
          </cell>
          <cell r="M50" t="str">
            <v>3SNCERAMFAS1251250</v>
          </cell>
          <cell r="N50" t="str">
            <v>3SNCERAMFAS125150</v>
          </cell>
          <cell r="O50">
            <v>125</v>
          </cell>
          <cell r="P50">
            <v>3</v>
          </cell>
          <cell r="Q50" t="str">
            <v>S28</v>
          </cell>
          <cell r="R50">
            <v>1250</v>
          </cell>
          <cell r="S50">
            <v>2000</v>
          </cell>
          <cell r="T50">
            <v>150</v>
          </cell>
          <cell r="U50">
            <v>150</v>
          </cell>
          <cell r="V50">
            <v>200</v>
          </cell>
          <cell r="W50">
            <v>1</v>
          </cell>
          <cell r="X50" t="str">
            <v>CF2</v>
          </cell>
          <cell r="Y50" t="str">
            <v>SL-1</v>
          </cell>
          <cell r="Z50">
            <v>6</v>
          </cell>
          <cell r="AA50" t="str">
            <v>6ｲﾝﾁFWP</v>
          </cell>
          <cell r="AB50">
            <v>1450</v>
          </cell>
          <cell r="AC50">
            <v>3</v>
          </cell>
          <cell r="AD50" t="str">
            <v>3ｲﾝﾁABS</v>
          </cell>
          <cell r="AE50">
            <v>151</v>
          </cell>
          <cell r="AF50"/>
          <cell r="AG50"/>
          <cell r="AH50"/>
          <cell r="AI50"/>
          <cell r="AJ50"/>
          <cell r="AK50"/>
          <cell r="AL50"/>
          <cell r="AM50"/>
        </row>
        <row r="51">
          <cell r="G51" t="str">
            <v>3SNCERAMFAS</v>
          </cell>
          <cell r="H51" t="str">
            <v>S</v>
          </cell>
          <cell r="I51" t="str">
            <v>N</v>
          </cell>
          <cell r="J51" t="str">
            <v>CERA</v>
          </cell>
          <cell r="K51" t="str">
            <v>MFAS</v>
          </cell>
          <cell r="M51" t="str">
            <v>3SNCERAMFAS1251250</v>
          </cell>
          <cell r="N51" t="str">
            <v>3SNCERAMFAS125200</v>
          </cell>
          <cell r="O51">
            <v>125</v>
          </cell>
          <cell r="P51">
            <v>3</v>
          </cell>
          <cell r="Q51" t="str">
            <v>S28</v>
          </cell>
          <cell r="R51">
            <v>1250</v>
          </cell>
          <cell r="S51">
            <v>2000</v>
          </cell>
          <cell r="T51">
            <v>200</v>
          </cell>
          <cell r="U51">
            <v>200</v>
          </cell>
          <cell r="V51">
            <v>400</v>
          </cell>
          <cell r="W51">
            <v>1</v>
          </cell>
          <cell r="X51" t="str">
            <v>CF2</v>
          </cell>
          <cell r="Y51" t="str">
            <v>SL-1</v>
          </cell>
          <cell r="Z51">
            <v>6</v>
          </cell>
          <cell r="AA51" t="str">
            <v>6ｲﾝﾁFWP</v>
          </cell>
          <cell r="AB51">
            <v>1450</v>
          </cell>
          <cell r="AC51">
            <v>3</v>
          </cell>
          <cell r="AD51" t="str">
            <v>3ｲﾝﾁABS</v>
          </cell>
          <cell r="AE51">
            <v>210</v>
          </cell>
          <cell r="AF51"/>
          <cell r="AG51"/>
          <cell r="AH51"/>
          <cell r="AI51"/>
          <cell r="AJ51"/>
          <cell r="AK51"/>
          <cell r="AL51"/>
          <cell r="AM51"/>
        </row>
        <row r="52">
          <cell r="G52" t="str">
            <v>3HSNCERAMFAS</v>
          </cell>
          <cell r="H52" t="str">
            <v>S</v>
          </cell>
          <cell r="I52" t="str">
            <v>N</v>
          </cell>
          <cell r="J52" t="str">
            <v>CERA</v>
          </cell>
          <cell r="K52" t="str">
            <v>MFAS</v>
          </cell>
          <cell r="M52" t="str">
            <v>3HSNCERAMFAS1881230</v>
          </cell>
          <cell r="N52" t="str">
            <v>3HSNCERAMFAS188270</v>
          </cell>
          <cell r="O52">
            <v>188</v>
          </cell>
          <cell r="P52" t="str">
            <v>3H</v>
          </cell>
          <cell r="Q52" t="str">
            <v>S28M</v>
          </cell>
          <cell r="R52">
            <v>1230</v>
          </cell>
          <cell r="S52">
            <v>1800</v>
          </cell>
          <cell r="T52">
            <v>270</v>
          </cell>
          <cell r="U52">
            <v>270</v>
          </cell>
          <cell r="V52">
            <v>250</v>
          </cell>
          <cell r="W52">
            <v>2</v>
          </cell>
          <cell r="X52" t="str">
            <v>CF2</v>
          </cell>
          <cell r="Y52" t="str">
            <v>SL-1</v>
          </cell>
          <cell r="Z52">
            <v>6</v>
          </cell>
          <cell r="AA52" t="str">
            <v>6ｲﾝﾁFWP</v>
          </cell>
          <cell r="AB52">
            <v>1450</v>
          </cell>
          <cell r="AC52">
            <v>3</v>
          </cell>
          <cell r="AD52" t="str">
            <v>3ｲﾝﾁABS</v>
          </cell>
          <cell r="AE52">
            <v>400</v>
          </cell>
          <cell r="AF52"/>
          <cell r="AG52"/>
          <cell r="AH52"/>
          <cell r="AI52"/>
          <cell r="AJ52"/>
          <cell r="AK52"/>
          <cell r="AL52"/>
          <cell r="AM52"/>
        </row>
        <row r="53">
          <cell r="G53" t="str">
            <v>3HSNCERAMFAS</v>
          </cell>
          <cell r="H53" t="str">
            <v>S</v>
          </cell>
          <cell r="I53" t="str">
            <v>N</v>
          </cell>
          <cell r="J53" t="str">
            <v>CERA</v>
          </cell>
          <cell r="K53" t="str">
            <v>MFAS</v>
          </cell>
          <cell r="M53" t="str">
            <v>3HSNCERAMFAS1881230</v>
          </cell>
          <cell r="N53" t="str">
            <v>3HSNCERAMFAS188360</v>
          </cell>
          <cell r="O53">
            <v>188</v>
          </cell>
          <cell r="P53" t="str">
            <v>3H</v>
          </cell>
          <cell r="Q53" t="str">
            <v>S28M</v>
          </cell>
          <cell r="R53">
            <v>1230</v>
          </cell>
          <cell r="S53">
            <v>1800</v>
          </cell>
          <cell r="T53">
            <v>360</v>
          </cell>
          <cell r="U53">
            <v>360</v>
          </cell>
          <cell r="V53">
            <v>250</v>
          </cell>
          <cell r="W53">
            <v>2</v>
          </cell>
          <cell r="X53" t="str">
            <v>CF2</v>
          </cell>
          <cell r="Y53" t="str">
            <v>SL-1</v>
          </cell>
          <cell r="Z53">
            <v>6</v>
          </cell>
          <cell r="AA53" t="str">
            <v>6ｲﾝﾁFWP</v>
          </cell>
          <cell r="AB53">
            <v>1450</v>
          </cell>
          <cell r="AC53">
            <v>3</v>
          </cell>
          <cell r="AD53" t="str">
            <v>3ｲﾝﾁABS</v>
          </cell>
          <cell r="AE53">
            <v>400</v>
          </cell>
          <cell r="AF53"/>
          <cell r="AG53"/>
          <cell r="AH53"/>
          <cell r="AI53"/>
          <cell r="AJ53"/>
          <cell r="AK53"/>
          <cell r="AL53"/>
          <cell r="AM53"/>
        </row>
        <row r="54">
          <cell r="G54" t="str">
            <v>331SYCERAMFAS</v>
          </cell>
          <cell r="H54" t="str">
            <v>S</v>
          </cell>
          <cell r="I54" t="str">
            <v>Y</v>
          </cell>
          <cell r="J54" t="str">
            <v>CERA</v>
          </cell>
          <cell r="K54" t="str">
            <v>MFAS</v>
          </cell>
          <cell r="M54" t="str">
            <v>331SYCERAMFAS1881040</v>
          </cell>
          <cell r="N54" t="str">
            <v>331SYCERAMFAS188500</v>
          </cell>
          <cell r="O54">
            <v>188</v>
          </cell>
          <cell r="P54">
            <v>331</v>
          </cell>
          <cell r="Q54" t="str">
            <v>S28M</v>
          </cell>
          <cell r="R54">
            <v>1040</v>
          </cell>
          <cell r="S54">
            <v>1800</v>
          </cell>
          <cell r="T54">
            <v>500</v>
          </cell>
          <cell r="U54">
            <v>500</v>
          </cell>
          <cell r="V54">
            <v>200</v>
          </cell>
          <cell r="W54">
            <v>1</v>
          </cell>
          <cell r="X54" t="str">
            <v>CF2</v>
          </cell>
          <cell r="Y54" t="str">
            <v>SL-1</v>
          </cell>
          <cell r="Z54">
            <v>6</v>
          </cell>
          <cell r="AA54" t="str">
            <v>6ｲﾝﾁFWP</v>
          </cell>
          <cell r="AB54">
            <v>1450</v>
          </cell>
          <cell r="AC54">
            <v>6</v>
          </cell>
          <cell r="AD54" t="str">
            <v>6ｲﾝﾁABS</v>
          </cell>
          <cell r="AE54">
            <v>505</v>
          </cell>
          <cell r="AF54"/>
          <cell r="AG54"/>
          <cell r="AH54"/>
          <cell r="AI54"/>
          <cell r="AJ54"/>
          <cell r="AK54"/>
          <cell r="AL54"/>
          <cell r="AM54"/>
        </row>
        <row r="55">
          <cell r="G55" t="str">
            <v>3SNCERAMFAS</v>
          </cell>
          <cell r="H55" t="str">
            <v>S</v>
          </cell>
          <cell r="I55" t="str">
            <v>N</v>
          </cell>
          <cell r="J55" t="str">
            <v>CERA</v>
          </cell>
          <cell r="K55" t="str">
            <v>MFAS</v>
          </cell>
          <cell r="M55" t="str">
            <v>3SNCERAMFAS1881134</v>
          </cell>
          <cell r="N55" t="str">
            <v>3SNCERAMFAS1881130</v>
          </cell>
          <cell r="O55">
            <v>188</v>
          </cell>
          <cell r="P55">
            <v>3</v>
          </cell>
          <cell r="Q55" t="str">
            <v>S28M</v>
          </cell>
          <cell r="R55">
            <v>1134</v>
          </cell>
          <cell r="S55">
            <v>1800</v>
          </cell>
          <cell r="T55">
            <v>1130</v>
          </cell>
          <cell r="U55">
            <v>1130</v>
          </cell>
          <cell r="V55">
            <v>1620</v>
          </cell>
          <cell r="W55">
            <v>2</v>
          </cell>
          <cell r="X55" t="str">
            <v>CF2</v>
          </cell>
          <cell r="Y55" t="str">
            <v>直出し</v>
          </cell>
          <cell r="Z55">
            <v>6</v>
          </cell>
          <cell r="AA55" t="str">
            <v>6ｲﾝﾁFWP</v>
          </cell>
          <cell r="AB55">
            <v>1170</v>
          </cell>
          <cell r="AC55"/>
          <cell r="AD55"/>
          <cell r="AE55"/>
          <cell r="AF55"/>
          <cell r="AG55"/>
          <cell r="AH55"/>
          <cell r="AI55"/>
          <cell r="AJ55"/>
          <cell r="AK55"/>
          <cell r="AL55"/>
          <cell r="AM55"/>
        </row>
        <row r="56">
          <cell r="G56" t="str">
            <v>3SNCERAMFAS</v>
          </cell>
          <cell r="H56" t="str">
            <v>S</v>
          </cell>
          <cell r="I56" t="str">
            <v>N</v>
          </cell>
          <cell r="J56" t="str">
            <v>CERA</v>
          </cell>
          <cell r="K56" t="str">
            <v>MFAS</v>
          </cell>
          <cell r="M56" t="str">
            <v>3SNCERAMFAS1881230</v>
          </cell>
          <cell r="N56" t="str">
            <v>3SNCERAMFAS1881220</v>
          </cell>
          <cell r="O56">
            <v>188</v>
          </cell>
          <cell r="P56">
            <v>3</v>
          </cell>
          <cell r="Q56" t="str">
            <v>S28M</v>
          </cell>
          <cell r="R56">
            <v>1230</v>
          </cell>
          <cell r="S56">
            <v>1800</v>
          </cell>
          <cell r="T56">
            <v>1230</v>
          </cell>
          <cell r="U56">
            <v>1220</v>
          </cell>
          <cell r="V56">
            <v>800</v>
          </cell>
          <cell r="W56">
            <v>2</v>
          </cell>
          <cell r="X56" t="str">
            <v>CF2</v>
          </cell>
          <cell r="Y56" t="str">
            <v>SL-1</v>
          </cell>
          <cell r="Z56">
            <v>6</v>
          </cell>
          <cell r="AA56" t="str">
            <v>6ｲﾝﾁFWP</v>
          </cell>
          <cell r="AB56">
            <v>1450</v>
          </cell>
          <cell r="AC56">
            <v>6</v>
          </cell>
          <cell r="AD56" t="str">
            <v>6ｲﾝﾁABS</v>
          </cell>
          <cell r="AE56">
            <v>1235</v>
          </cell>
          <cell r="AF56"/>
          <cell r="AG56"/>
          <cell r="AH56"/>
          <cell r="AI56"/>
          <cell r="AJ56"/>
          <cell r="AK56"/>
          <cell r="AL56"/>
          <cell r="AM56"/>
        </row>
        <row r="57">
          <cell r="G57" t="str">
            <v>3SNCERASY08</v>
          </cell>
          <cell r="H57" t="str">
            <v>S</v>
          </cell>
          <cell r="I57" t="str">
            <v>N</v>
          </cell>
          <cell r="J57" t="str">
            <v>CERA</v>
          </cell>
          <cell r="K57" t="str">
            <v>SY08</v>
          </cell>
          <cell r="M57" t="str">
            <v>3SNCERASY08251045</v>
          </cell>
          <cell r="N57" t="str">
            <v>3SNCERASY0825500</v>
          </cell>
          <cell r="O57">
            <v>25</v>
          </cell>
          <cell r="P57">
            <v>3</v>
          </cell>
          <cell r="Q57" t="str">
            <v>S</v>
          </cell>
          <cell r="R57">
            <v>1045</v>
          </cell>
          <cell r="S57">
            <v>12400</v>
          </cell>
          <cell r="T57">
            <v>500</v>
          </cell>
          <cell r="U57">
            <v>500</v>
          </cell>
          <cell r="V57">
            <v>4000</v>
          </cell>
          <cell r="W57">
            <v>2</v>
          </cell>
          <cell r="X57" t="str">
            <v>CF2</v>
          </cell>
          <cell r="Y57" t="str">
            <v>SL-1</v>
          </cell>
          <cell r="Z57">
            <v>6</v>
          </cell>
          <cell r="AA57" t="str">
            <v>6ｲﾝﾁFWP</v>
          </cell>
          <cell r="AB57">
            <v>1450</v>
          </cell>
          <cell r="AC57">
            <v>3</v>
          </cell>
          <cell r="AD57" t="str">
            <v>3ｲﾝﾁABS</v>
          </cell>
          <cell r="AE57">
            <v>505</v>
          </cell>
          <cell r="AF57"/>
          <cell r="AG57"/>
          <cell r="AH57"/>
          <cell r="AI57"/>
          <cell r="AJ57"/>
          <cell r="AK57"/>
          <cell r="AL57"/>
          <cell r="AM57"/>
        </row>
        <row r="58">
          <cell r="G58" t="str">
            <v>3SYCERASY09</v>
          </cell>
          <cell r="H58" t="str">
            <v>S</v>
          </cell>
          <cell r="I58" t="str">
            <v>Y</v>
          </cell>
          <cell r="J58" t="str">
            <v>CERA</v>
          </cell>
          <cell r="K58" t="str">
            <v>SY09</v>
          </cell>
          <cell r="M58" t="str">
            <v>3SYCERASY09501050</v>
          </cell>
          <cell r="N58" t="str">
            <v>3SYCERASY09501040</v>
          </cell>
          <cell r="O58">
            <v>50</v>
          </cell>
          <cell r="P58">
            <v>3</v>
          </cell>
          <cell r="Q58" t="str">
            <v>XD500P</v>
          </cell>
          <cell r="R58">
            <v>1050</v>
          </cell>
          <cell r="S58">
            <v>4200</v>
          </cell>
          <cell r="T58">
            <v>1050</v>
          </cell>
          <cell r="U58">
            <v>1040</v>
          </cell>
          <cell r="V58">
            <v>4000</v>
          </cell>
          <cell r="W58">
            <v>2</v>
          </cell>
          <cell r="X58" t="str">
            <v>CF2</v>
          </cell>
          <cell r="Y58" t="str">
            <v>直出し</v>
          </cell>
          <cell r="Z58">
            <v>6</v>
          </cell>
          <cell r="AA58" t="str">
            <v>6ｲﾝﾁFWP</v>
          </cell>
          <cell r="AB58">
            <v>1100</v>
          </cell>
          <cell r="AC58"/>
          <cell r="AD58"/>
          <cell r="AE58"/>
          <cell r="AF58"/>
          <cell r="AG58"/>
          <cell r="AH58"/>
          <cell r="AI58"/>
          <cell r="AJ58"/>
          <cell r="AK58"/>
          <cell r="AL58"/>
          <cell r="AM58"/>
        </row>
        <row r="59">
          <cell r="G59" t="str">
            <v>3SNCERAWZ</v>
          </cell>
          <cell r="H59" t="str">
            <v>S</v>
          </cell>
          <cell r="I59" t="str">
            <v>N</v>
          </cell>
          <cell r="J59" t="str">
            <v>CERA</v>
          </cell>
          <cell r="K59" t="str">
            <v>WZ</v>
          </cell>
          <cell r="M59" t="str">
            <v>3SNCERAWZ251040</v>
          </cell>
          <cell r="N59" t="str">
            <v>3SNCERAWZ251030</v>
          </cell>
          <cell r="O59">
            <v>25</v>
          </cell>
          <cell r="P59">
            <v>3</v>
          </cell>
          <cell r="Q59" t="str">
            <v>R75X</v>
          </cell>
          <cell r="R59">
            <v>1040</v>
          </cell>
          <cell r="S59">
            <v>12300</v>
          </cell>
          <cell r="T59">
            <v>1040</v>
          </cell>
          <cell r="U59">
            <v>1030</v>
          </cell>
          <cell r="V59">
            <v>12000</v>
          </cell>
          <cell r="W59">
            <v>2</v>
          </cell>
          <cell r="X59" t="str">
            <v>CF2</v>
          </cell>
          <cell r="Y59" t="str">
            <v>直出し</v>
          </cell>
          <cell r="Z59">
            <v>6</v>
          </cell>
          <cell r="AA59" t="str">
            <v>6ｲﾝﾁFWP</v>
          </cell>
          <cell r="AB59">
            <v>1450</v>
          </cell>
          <cell r="AC59"/>
          <cell r="AD59"/>
          <cell r="AE59"/>
          <cell r="AF59"/>
          <cell r="AG59"/>
          <cell r="AH59"/>
          <cell r="AI59"/>
          <cell r="AJ59"/>
          <cell r="AK59"/>
          <cell r="AL59"/>
          <cell r="AM59"/>
        </row>
        <row r="60">
          <cell r="G60" t="str">
            <v>3SNCERAWZ</v>
          </cell>
          <cell r="H60" t="str">
            <v>S</v>
          </cell>
          <cell r="I60" t="str">
            <v>N</v>
          </cell>
          <cell r="J60" t="str">
            <v>CERA</v>
          </cell>
          <cell r="K60" t="str">
            <v>WZ</v>
          </cell>
          <cell r="M60" t="str">
            <v>3SNCERAWZ251150</v>
          </cell>
          <cell r="N60" t="str">
            <v>3SNCERAWZ251145</v>
          </cell>
          <cell r="O60">
            <v>25</v>
          </cell>
          <cell r="P60">
            <v>3</v>
          </cell>
          <cell r="Q60" t="str">
            <v>R75X</v>
          </cell>
          <cell r="R60">
            <v>1150</v>
          </cell>
          <cell r="S60">
            <v>16600</v>
          </cell>
          <cell r="T60">
            <v>1150</v>
          </cell>
          <cell r="U60">
            <v>1145</v>
          </cell>
          <cell r="V60">
            <v>16300</v>
          </cell>
          <cell r="W60">
            <v>2</v>
          </cell>
          <cell r="X60" t="str">
            <v>CF2</v>
          </cell>
          <cell r="Y60" t="str">
            <v>直出し</v>
          </cell>
          <cell r="Z60">
            <v>6</v>
          </cell>
          <cell r="AA60" t="str">
            <v>6ｲﾝﾁFWP</v>
          </cell>
          <cell r="AB60">
            <v>1450</v>
          </cell>
          <cell r="AC60"/>
          <cell r="AD60"/>
          <cell r="AE60"/>
          <cell r="AF60"/>
          <cell r="AG60"/>
          <cell r="AH60"/>
          <cell r="AI60"/>
          <cell r="AJ60"/>
          <cell r="AK60"/>
          <cell r="AL60"/>
          <cell r="AM60"/>
        </row>
        <row r="61">
          <cell r="G61" t="str">
            <v>3SNCERAWZ</v>
          </cell>
          <cell r="H61" t="str">
            <v>S</v>
          </cell>
          <cell r="I61" t="str">
            <v>N</v>
          </cell>
          <cell r="J61" t="str">
            <v>CERA</v>
          </cell>
          <cell r="K61" t="str">
            <v>WZ</v>
          </cell>
          <cell r="M61" t="str">
            <v>3SNCERAWZ251325</v>
          </cell>
          <cell r="N61" t="str">
            <v>3SNCERAWZ251320</v>
          </cell>
          <cell r="O61">
            <v>25</v>
          </cell>
          <cell r="P61">
            <v>3</v>
          </cell>
          <cell r="Q61" t="str">
            <v>R75X</v>
          </cell>
          <cell r="R61">
            <v>1325</v>
          </cell>
          <cell r="S61">
            <v>12300</v>
          </cell>
          <cell r="T61">
            <v>1325</v>
          </cell>
          <cell r="U61">
            <v>1320</v>
          </cell>
          <cell r="V61">
            <v>6000</v>
          </cell>
          <cell r="W61">
            <v>2</v>
          </cell>
          <cell r="X61" t="str">
            <v>CF2</v>
          </cell>
          <cell r="Y61" t="str">
            <v>半直</v>
          </cell>
          <cell r="Z61">
            <v>6</v>
          </cell>
          <cell r="AA61" t="str">
            <v>6ｲﾝﾁFWP</v>
          </cell>
          <cell r="AB61">
            <v>1450</v>
          </cell>
          <cell r="AC61"/>
          <cell r="AD61"/>
          <cell r="AE61"/>
          <cell r="AF61"/>
          <cell r="AG61"/>
          <cell r="AH61"/>
          <cell r="AI61"/>
          <cell r="AJ61"/>
          <cell r="AK61"/>
          <cell r="AL61"/>
          <cell r="AM61"/>
        </row>
        <row r="62">
          <cell r="G62" t="str">
            <v>3SNCERAWZE</v>
          </cell>
          <cell r="H62" t="str">
            <v>S</v>
          </cell>
          <cell r="I62" t="str">
            <v>N</v>
          </cell>
          <cell r="J62" t="str">
            <v>CERA</v>
          </cell>
          <cell r="K62" t="str">
            <v>WZE</v>
          </cell>
          <cell r="M62" t="str">
            <v>3SNCERAWZE251045</v>
          </cell>
          <cell r="N62" t="str">
            <v>3SNCERAWZE251040</v>
          </cell>
          <cell r="O62">
            <v>25</v>
          </cell>
          <cell r="P62">
            <v>3</v>
          </cell>
          <cell r="Q62" t="str">
            <v>E5001</v>
          </cell>
          <cell r="R62">
            <v>1045</v>
          </cell>
          <cell r="S62">
            <v>12300</v>
          </cell>
          <cell r="T62">
            <v>1040</v>
          </cell>
          <cell r="U62">
            <v>1040</v>
          </cell>
          <cell r="V62">
            <v>6000</v>
          </cell>
          <cell r="W62">
            <v>2</v>
          </cell>
          <cell r="X62" t="str">
            <v>CF2</v>
          </cell>
          <cell r="Y62" t="str">
            <v>半直</v>
          </cell>
          <cell r="Z62">
            <v>6</v>
          </cell>
          <cell r="AA62" t="str">
            <v>6ｲﾝﾁFWP</v>
          </cell>
          <cell r="AB62">
            <v>1500</v>
          </cell>
          <cell r="AC62">
            <v>6</v>
          </cell>
          <cell r="AD62" t="str">
            <v>6ｲﾝﾁFWP</v>
          </cell>
          <cell r="AE62">
            <v>1500</v>
          </cell>
          <cell r="AF62"/>
          <cell r="AG62"/>
          <cell r="AH62"/>
          <cell r="AI62"/>
          <cell r="AJ62"/>
          <cell r="AK62"/>
          <cell r="AL62"/>
          <cell r="AM62"/>
        </row>
        <row r="63">
          <cell r="G63" t="str">
            <v>3SNCERAWZE</v>
          </cell>
          <cell r="H63" t="str">
            <v>S</v>
          </cell>
          <cell r="I63" t="str">
            <v>N</v>
          </cell>
          <cell r="J63" t="str">
            <v>CERA</v>
          </cell>
          <cell r="K63" t="str">
            <v>WZE</v>
          </cell>
          <cell r="M63" t="str">
            <v>3SNCERAWZE381045</v>
          </cell>
          <cell r="N63" t="str">
            <v>3SNCERAWZE381040</v>
          </cell>
          <cell r="O63">
            <v>38</v>
          </cell>
          <cell r="P63">
            <v>3</v>
          </cell>
          <cell r="Q63" t="str">
            <v>E5001</v>
          </cell>
          <cell r="R63">
            <v>1045</v>
          </cell>
          <cell r="S63">
            <v>6200</v>
          </cell>
          <cell r="T63">
            <v>1040</v>
          </cell>
          <cell r="U63">
            <v>1040</v>
          </cell>
          <cell r="V63">
            <v>6000</v>
          </cell>
          <cell r="W63">
            <v>2</v>
          </cell>
          <cell r="X63" t="str">
            <v>CF2</v>
          </cell>
          <cell r="Y63" t="str">
            <v>直出し</v>
          </cell>
          <cell r="Z63">
            <v>6</v>
          </cell>
          <cell r="AA63" t="str">
            <v>6ｲﾝﾁFWP</v>
          </cell>
          <cell r="AB63">
            <v>1500</v>
          </cell>
          <cell r="AC63"/>
          <cell r="AD63"/>
          <cell r="AE63"/>
          <cell r="AF63"/>
          <cell r="AG63"/>
          <cell r="AH63"/>
          <cell r="AI63"/>
          <cell r="AJ63"/>
          <cell r="AK63"/>
          <cell r="AL63"/>
          <cell r="AM63"/>
        </row>
        <row r="64">
          <cell r="G64" t="str">
            <v>3303SNCERAWZE</v>
          </cell>
          <cell r="H64" t="str">
            <v>S</v>
          </cell>
          <cell r="I64" t="str">
            <v>N</v>
          </cell>
          <cell r="J64" t="str">
            <v>CERA</v>
          </cell>
          <cell r="K64" t="str">
            <v>WZE</v>
          </cell>
          <cell r="M64" t="str">
            <v>3303SNCERAWZE251045</v>
          </cell>
          <cell r="N64" t="str">
            <v>3303SNCERAWZE251040</v>
          </cell>
          <cell r="O64">
            <v>25</v>
          </cell>
          <cell r="P64">
            <v>3303</v>
          </cell>
          <cell r="Q64" t="str">
            <v>E5001</v>
          </cell>
          <cell r="R64">
            <v>1045</v>
          </cell>
          <cell r="S64">
            <v>12300</v>
          </cell>
          <cell r="T64">
            <v>1040</v>
          </cell>
          <cell r="U64">
            <v>1040</v>
          </cell>
          <cell r="V64">
            <v>6000</v>
          </cell>
          <cell r="W64">
            <v>2</v>
          </cell>
          <cell r="X64" t="str">
            <v>CF2</v>
          </cell>
          <cell r="Y64" t="str">
            <v>半直</v>
          </cell>
          <cell r="Z64">
            <v>6</v>
          </cell>
          <cell r="AA64" t="str">
            <v>6ｲﾝﾁFWP</v>
          </cell>
          <cell r="AB64">
            <v>1500</v>
          </cell>
          <cell r="AC64">
            <v>6</v>
          </cell>
          <cell r="AD64" t="str">
            <v>6ｲﾝﾁFWP</v>
          </cell>
          <cell r="AE64">
            <v>1500</v>
          </cell>
          <cell r="AF64"/>
          <cell r="AG64"/>
          <cell r="AH64"/>
          <cell r="AI64"/>
          <cell r="AJ64"/>
          <cell r="AK64"/>
          <cell r="AL64"/>
          <cell r="AM64"/>
        </row>
        <row r="65">
          <cell r="G65" t="str">
            <v>3SNCERAWZE</v>
          </cell>
          <cell r="H65" t="str">
            <v>S</v>
          </cell>
          <cell r="I65" t="str">
            <v>N</v>
          </cell>
          <cell r="J65" t="str">
            <v>CERA</v>
          </cell>
          <cell r="K65" t="str">
            <v>WZE</v>
          </cell>
          <cell r="M65" t="str">
            <v>3SNCERAWZE251245</v>
          </cell>
          <cell r="N65" t="str">
            <v>3SNCERAWZE251240</v>
          </cell>
          <cell r="O65">
            <v>25</v>
          </cell>
          <cell r="P65">
            <v>3</v>
          </cell>
          <cell r="Q65" t="str">
            <v>E5001</v>
          </cell>
          <cell r="R65">
            <v>1245</v>
          </cell>
          <cell r="S65">
            <v>12300</v>
          </cell>
          <cell r="T65">
            <v>1240</v>
          </cell>
          <cell r="U65">
            <v>1240</v>
          </cell>
          <cell r="V65">
            <v>6000</v>
          </cell>
          <cell r="W65">
            <v>2</v>
          </cell>
          <cell r="X65" t="str">
            <v>CF2</v>
          </cell>
          <cell r="Y65" t="str">
            <v>半直</v>
          </cell>
          <cell r="Z65">
            <v>6</v>
          </cell>
          <cell r="AA65" t="str">
            <v>6ｲﾝﾁFWP</v>
          </cell>
          <cell r="AB65">
            <v>1500</v>
          </cell>
          <cell r="AC65">
            <v>6</v>
          </cell>
          <cell r="AD65" t="str">
            <v>6ｲﾝﾁFWP</v>
          </cell>
          <cell r="AE65">
            <v>1500</v>
          </cell>
          <cell r="AF65"/>
          <cell r="AG65"/>
          <cell r="AH65"/>
          <cell r="AI65"/>
          <cell r="AJ65"/>
          <cell r="AK65"/>
          <cell r="AL65"/>
          <cell r="AM65"/>
        </row>
        <row r="66">
          <cell r="G66" t="str">
            <v>3SNCERAWZE</v>
          </cell>
          <cell r="H66" t="str">
            <v>S</v>
          </cell>
          <cell r="I66" t="str">
            <v>N</v>
          </cell>
          <cell r="J66" t="str">
            <v>CERA</v>
          </cell>
          <cell r="K66" t="str">
            <v>WZE</v>
          </cell>
          <cell r="M66" t="str">
            <v>3SNCERAWZE381245</v>
          </cell>
          <cell r="N66" t="str">
            <v>3SNCERAWZE381040</v>
          </cell>
          <cell r="O66">
            <v>38</v>
          </cell>
          <cell r="P66">
            <v>3</v>
          </cell>
          <cell r="Q66" t="str">
            <v>E5001</v>
          </cell>
          <cell r="R66">
            <v>1245</v>
          </cell>
          <cell r="S66">
            <v>6200</v>
          </cell>
          <cell r="T66">
            <v>1040</v>
          </cell>
          <cell r="U66">
            <v>1040</v>
          </cell>
          <cell r="V66">
            <v>6000</v>
          </cell>
          <cell r="W66">
            <v>2</v>
          </cell>
          <cell r="X66" t="str">
            <v>CF2</v>
          </cell>
          <cell r="Y66" t="str">
            <v>直出し</v>
          </cell>
          <cell r="Z66">
            <v>6</v>
          </cell>
          <cell r="AA66" t="str">
            <v>6ｲﾝﾁFWP</v>
          </cell>
          <cell r="AB66">
            <v>1500</v>
          </cell>
          <cell r="AC66">
            <v>6</v>
          </cell>
          <cell r="AD66" t="str">
            <v>6ｲﾝﾁFWP</v>
          </cell>
          <cell r="AE66">
            <v>1500</v>
          </cell>
          <cell r="AF66"/>
          <cell r="AG66"/>
          <cell r="AH66"/>
          <cell r="AI66"/>
          <cell r="AJ66"/>
          <cell r="AK66"/>
          <cell r="AL66"/>
          <cell r="AM66"/>
        </row>
        <row r="67">
          <cell r="G67" t="str">
            <v>3SNCERAWZE</v>
          </cell>
          <cell r="H67" t="str">
            <v>S</v>
          </cell>
          <cell r="I67" t="str">
            <v>N</v>
          </cell>
          <cell r="J67" t="str">
            <v>CERA</v>
          </cell>
          <cell r="K67" t="str">
            <v>WZE</v>
          </cell>
          <cell r="M67" t="str">
            <v>3SNCERAWZE381245</v>
          </cell>
          <cell r="N67" t="str">
            <v>3SNCERAWZE381240</v>
          </cell>
          <cell r="O67">
            <v>38</v>
          </cell>
          <cell r="P67">
            <v>3</v>
          </cell>
          <cell r="Q67" t="str">
            <v>E5001</v>
          </cell>
          <cell r="R67">
            <v>1245</v>
          </cell>
          <cell r="S67">
            <v>6200</v>
          </cell>
          <cell r="T67">
            <v>1240</v>
          </cell>
          <cell r="U67">
            <v>1240</v>
          </cell>
          <cell r="V67">
            <v>6000</v>
          </cell>
          <cell r="W67">
            <v>2</v>
          </cell>
          <cell r="X67" t="str">
            <v>CF2</v>
          </cell>
          <cell r="Y67" t="str">
            <v>直出し</v>
          </cell>
          <cell r="Z67">
            <v>6</v>
          </cell>
          <cell r="AA67" t="str">
            <v>6ｲﾝﾁFWP</v>
          </cell>
          <cell r="AB67">
            <v>1500</v>
          </cell>
          <cell r="AC67">
            <v>6</v>
          </cell>
          <cell r="AD67" t="str">
            <v>6ｲﾝﾁFWP</v>
          </cell>
          <cell r="AE67">
            <v>1500</v>
          </cell>
          <cell r="AF67"/>
          <cell r="AG67"/>
          <cell r="AH67"/>
          <cell r="AI67"/>
          <cell r="AJ67"/>
          <cell r="AK67"/>
          <cell r="AL67"/>
          <cell r="AM67"/>
        </row>
        <row r="68">
          <cell r="G68" t="str">
            <v>3SNCERAWZRX</v>
          </cell>
          <cell r="H68" t="str">
            <v>S</v>
          </cell>
          <cell r="I68" t="str">
            <v>N</v>
          </cell>
          <cell r="J68" t="str">
            <v>CERA</v>
          </cell>
          <cell r="K68" t="str">
            <v>WZRX</v>
          </cell>
          <cell r="M68" t="str">
            <v>3SNCERAWZRX251040</v>
          </cell>
          <cell r="N68" t="str">
            <v>3SNCERAWZRX25450</v>
          </cell>
          <cell r="O68">
            <v>25</v>
          </cell>
          <cell r="P68">
            <v>3</v>
          </cell>
          <cell r="Q68" t="str">
            <v>R75X</v>
          </cell>
          <cell r="R68">
            <v>1040</v>
          </cell>
          <cell r="S68">
            <v>12300</v>
          </cell>
          <cell r="T68">
            <v>450</v>
          </cell>
          <cell r="U68">
            <v>450</v>
          </cell>
          <cell r="V68">
            <v>4000</v>
          </cell>
          <cell r="W68">
            <v>2</v>
          </cell>
          <cell r="X68" t="str">
            <v>CF2</v>
          </cell>
          <cell r="Y68" t="str">
            <v>SL-1</v>
          </cell>
          <cell r="Z68">
            <v>6</v>
          </cell>
          <cell r="AA68" t="str">
            <v>6ｲﾝﾁFWP</v>
          </cell>
          <cell r="AB68">
            <v>1450</v>
          </cell>
          <cell r="AC68">
            <v>6</v>
          </cell>
          <cell r="AD68" t="str">
            <v>6ｲﾝﾁABS</v>
          </cell>
          <cell r="AE68">
            <v>460</v>
          </cell>
          <cell r="AF68"/>
          <cell r="AG68"/>
          <cell r="AH68"/>
          <cell r="AI68"/>
          <cell r="AJ68"/>
          <cell r="AK68"/>
          <cell r="AL68"/>
          <cell r="AM68"/>
        </row>
        <row r="69">
          <cell r="G69" t="str">
            <v>3SNCERAWZRX</v>
          </cell>
          <cell r="H69" t="str">
            <v>S</v>
          </cell>
          <cell r="I69" t="str">
            <v>N</v>
          </cell>
          <cell r="J69" t="str">
            <v>CERA</v>
          </cell>
          <cell r="K69" t="str">
            <v>WZRX</v>
          </cell>
          <cell r="M69" t="str">
            <v>3SNCERAWZRX251337</v>
          </cell>
          <cell r="N69" t="str">
            <v>3SNCERAWZRX25640</v>
          </cell>
          <cell r="O69">
            <v>25</v>
          </cell>
          <cell r="P69">
            <v>3</v>
          </cell>
          <cell r="Q69" t="str">
            <v>R75XK</v>
          </cell>
          <cell r="R69">
            <v>1337</v>
          </cell>
          <cell r="S69">
            <v>12300</v>
          </cell>
          <cell r="T69">
            <v>640</v>
          </cell>
          <cell r="U69">
            <v>640</v>
          </cell>
          <cell r="V69">
            <v>2000</v>
          </cell>
          <cell r="W69">
            <v>2</v>
          </cell>
          <cell r="X69" t="str">
            <v>CF2</v>
          </cell>
          <cell r="Y69" t="str">
            <v>SL-1</v>
          </cell>
          <cell r="Z69">
            <v>6</v>
          </cell>
          <cell r="AA69" t="str">
            <v>6ｲﾝﾁFWP</v>
          </cell>
          <cell r="AB69">
            <v>1450</v>
          </cell>
          <cell r="AC69">
            <v>3</v>
          </cell>
          <cell r="AD69" t="str">
            <v>3ｲﾝﾁABS</v>
          </cell>
          <cell r="AE69">
            <v>645</v>
          </cell>
          <cell r="AF69"/>
          <cell r="AG69"/>
          <cell r="AH69"/>
          <cell r="AI69"/>
          <cell r="AJ69"/>
          <cell r="AK69"/>
          <cell r="AL69"/>
          <cell r="AM69"/>
        </row>
        <row r="70">
          <cell r="G70" t="str">
            <v>3SNCERAWZRX</v>
          </cell>
          <cell r="H70" t="str">
            <v>S</v>
          </cell>
          <cell r="I70" t="str">
            <v>N</v>
          </cell>
          <cell r="J70" t="str">
            <v>CERA</v>
          </cell>
          <cell r="K70" t="str">
            <v>WZRX</v>
          </cell>
          <cell r="M70" t="str">
            <v>3SNCERAWZRX251337</v>
          </cell>
          <cell r="N70" t="str">
            <v>3SNCERAWZRX25540</v>
          </cell>
          <cell r="O70">
            <v>25</v>
          </cell>
          <cell r="P70">
            <v>3</v>
          </cell>
          <cell r="Q70" t="str">
            <v>R75XK</v>
          </cell>
          <cell r="R70">
            <v>1337</v>
          </cell>
          <cell r="S70">
            <v>12300</v>
          </cell>
          <cell r="T70">
            <v>540</v>
          </cell>
          <cell r="U70">
            <v>540</v>
          </cell>
          <cell r="V70">
            <v>2000</v>
          </cell>
          <cell r="W70">
            <v>2</v>
          </cell>
          <cell r="X70" t="str">
            <v>CF2</v>
          </cell>
          <cell r="Y70" t="str">
            <v>SL-1</v>
          </cell>
          <cell r="Z70">
            <v>6</v>
          </cell>
          <cell r="AA70" t="str">
            <v>6ｲﾝﾁFWP</v>
          </cell>
          <cell r="AB70">
            <v>1450</v>
          </cell>
          <cell r="AC70">
            <v>3</v>
          </cell>
          <cell r="AD70" t="str">
            <v>3ｲﾝﾁABS</v>
          </cell>
          <cell r="AE70">
            <v>545</v>
          </cell>
          <cell r="AF70"/>
          <cell r="AG70"/>
          <cell r="AH70"/>
          <cell r="AI70"/>
          <cell r="AJ70"/>
          <cell r="AK70"/>
          <cell r="AL70"/>
          <cell r="AM70"/>
        </row>
        <row r="71">
          <cell r="G71" t="str">
            <v>3SNCERAWZRX</v>
          </cell>
          <cell r="H71" t="str">
            <v>S</v>
          </cell>
          <cell r="I71" t="str">
            <v>N</v>
          </cell>
          <cell r="J71" t="str">
            <v>CERA</v>
          </cell>
          <cell r="K71" t="str">
            <v>WZRX</v>
          </cell>
          <cell r="M71" t="str">
            <v>3SNCERAWZRX251520</v>
          </cell>
          <cell r="N71" t="str">
            <v>3SNCERAWZRX25640</v>
          </cell>
          <cell r="O71">
            <v>25</v>
          </cell>
          <cell r="P71">
            <v>3</v>
          </cell>
          <cell r="Q71" t="str">
            <v>R75X</v>
          </cell>
          <cell r="R71">
            <v>1520</v>
          </cell>
          <cell r="S71">
            <v>13000</v>
          </cell>
          <cell r="T71">
            <v>640</v>
          </cell>
          <cell r="U71">
            <v>640</v>
          </cell>
          <cell r="V71">
            <v>2000</v>
          </cell>
          <cell r="W71">
            <v>2</v>
          </cell>
          <cell r="X71" t="str">
            <v>CF2</v>
          </cell>
          <cell r="Y71" t="str">
            <v>SL-1</v>
          </cell>
          <cell r="Z71">
            <v>6</v>
          </cell>
          <cell r="AA71" t="str">
            <v>6ｲﾝﾁFWP</v>
          </cell>
          <cell r="AB71">
            <v>1450</v>
          </cell>
          <cell r="AC71">
            <v>3</v>
          </cell>
          <cell r="AD71" t="str">
            <v>3ｲﾝﾁABS</v>
          </cell>
          <cell r="AE71">
            <v>645</v>
          </cell>
          <cell r="AF71"/>
          <cell r="AG71"/>
          <cell r="AH71"/>
          <cell r="AI71"/>
          <cell r="AJ71"/>
          <cell r="AK71"/>
          <cell r="AL71"/>
          <cell r="AM71"/>
        </row>
        <row r="72">
          <cell r="G72" t="str">
            <v>3SNCERAWZRX</v>
          </cell>
          <cell r="H72" t="str">
            <v>S</v>
          </cell>
          <cell r="I72" t="str">
            <v>N</v>
          </cell>
          <cell r="J72" t="str">
            <v>CERA</v>
          </cell>
          <cell r="K72" t="str">
            <v>WZRX</v>
          </cell>
          <cell r="M72" t="str">
            <v>3SNCERAWZRX251520</v>
          </cell>
          <cell r="N72" t="str">
            <v>3SNCERAWZRX25540</v>
          </cell>
          <cell r="O72">
            <v>25</v>
          </cell>
          <cell r="P72">
            <v>3</v>
          </cell>
          <cell r="Q72" t="str">
            <v>R75X</v>
          </cell>
          <cell r="R72">
            <v>1520</v>
          </cell>
          <cell r="S72">
            <v>13000</v>
          </cell>
          <cell r="T72">
            <v>540</v>
          </cell>
          <cell r="U72">
            <v>540</v>
          </cell>
          <cell r="V72">
            <v>2000</v>
          </cell>
          <cell r="W72">
            <v>2</v>
          </cell>
          <cell r="X72" t="str">
            <v>CF2</v>
          </cell>
          <cell r="Y72" t="str">
            <v>SL-1</v>
          </cell>
          <cell r="Z72">
            <v>6</v>
          </cell>
          <cell r="AA72" t="str">
            <v>6ｲﾝﾁFWP</v>
          </cell>
          <cell r="AB72">
            <v>1450</v>
          </cell>
          <cell r="AC72">
            <v>3</v>
          </cell>
          <cell r="AD72" t="str">
            <v>3ｲﾝﾁABS</v>
          </cell>
          <cell r="AE72">
            <v>545</v>
          </cell>
          <cell r="AF72"/>
          <cell r="AG72"/>
          <cell r="AH72"/>
          <cell r="AI72"/>
          <cell r="AJ72"/>
          <cell r="AK72"/>
          <cell r="AL72"/>
          <cell r="AM72"/>
        </row>
        <row r="73">
          <cell r="G73" t="str">
            <v>3SNCERAWZRX</v>
          </cell>
          <cell r="H73" t="str">
            <v>S</v>
          </cell>
          <cell r="I73" t="str">
            <v>N</v>
          </cell>
          <cell r="J73" t="str">
            <v>CERA</v>
          </cell>
          <cell r="K73" t="str">
            <v>WZRX</v>
          </cell>
          <cell r="M73" t="str">
            <v>3SNCERAWZRX381135</v>
          </cell>
          <cell r="N73" t="str">
            <v>3SNCERAWZRX381130</v>
          </cell>
          <cell r="O73">
            <v>38</v>
          </cell>
          <cell r="P73">
            <v>3</v>
          </cell>
          <cell r="Q73" t="str">
            <v>R75X</v>
          </cell>
          <cell r="R73">
            <v>1135</v>
          </cell>
          <cell r="S73">
            <v>12200</v>
          </cell>
          <cell r="T73">
            <v>1135</v>
          </cell>
          <cell r="U73">
            <v>1130</v>
          </cell>
          <cell r="V73">
            <v>6000</v>
          </cell>
          <cell r="W73">
            <v>2</v>
          </cell>
          <cell r="X73" t="str">
            <v>CF2</v>
          </cell>
          <cell r="Y73" t="str">
            <v>半直</v>
          </cell>
          <cell r="Z73">
            <v>6</v>
          </cell>
          <cell r="AA73" t="str">
            <v>6ｲﾝﾁFWP</v>
          </cell>
          <cell r="AB73">
            <v>1450</v>
          </cell>
          <cell r="AC73">
            <v>6</v>
          </cell>
          <cell r="AD73" t="str">
            <v>6ｲﾝﾁFWP</v>
          </cell>
          <cell r="AE73">
            <v>1450</v>
          </cell>
          <cell r="AF73"/>
          <cell r="AG73"/>
          <cell r="AH73"/>
          <cell r="AI73"/>
          <cell r="AJ73"/>
          <cell r="AK73"/>
          <cell r="AL73"/>
          <cell r="AM73"/>
        </row>
        <row r="74">
          <cell r="G74" t="str">
            <v>3SNCERAWZS</v>
          </cell>
          <cell r="H74" t="str">
            <v>S</v>
          </cell>
          <cell r="I74" t="str">
            <v>N</v>
          </cell>
          <cell r="J74" t="str">
            <v>CERA</v>
          </cell>
          <cell r="K74" t="str">
            <v>WZS</v>
          </cell>
          <cell r="M74" t="str">
            <v>3SNCERAWZS381005</v>
          </cell>
          <cell r="N74" t="str">
            <v>3SNCERAWZS381000</v>
          </cell>
          <cell r="O74">
            <v>38</v>
          </cell>
          <cell r="P74">
            <v>3</v>
          </cell>
          <cell r="Q74" t="str">
            <v>S28</v>
          </cell>
          <cell r="R74">
            <v>1005</v>
          </cell>
          <cell r="S74">
            <v>8000</v>
          </cell>
          <cell r="T74">
            <v>1005</v>
          </cell>
          <cell r="U74">
            <v>1000</v>
          </cell>
          <cell r="V74">
            <v>8000</v>
          </cell>
          <cell r="W74">
            <v>2</v>
          </cell>
          <cell r="X74" t="str">
            <v>CF2</v>
          </cell>
          <cell r="Y74" t="str">
            <v>直出し</v>
          </cell>
          <cell r="Z74">
            <v>6</v>
          </cell>
          <cell r="AA74" t="str">
            <v>6ｲﾝﾁFWP</v>
          </cell>
          <cell r="AB74">
            <v>1170</v>
          </cell>
          <cell r="AC74">
            <v>6</v>
          </cell>
          <cell r="AD74" t="str">
            <v>6ｲﾝﾁFWP</v>
          </cell>
          <cell r="AE74">
            <v>1170</v>
          </cell>
          <cell r="AF74"/>
          <cell r="AG74"/>
          <cell r="AH74"/>
          <cell r="AI74"/>
          <cell r="AJ74"/>
          <cell r="AK74"/>
          <cell r="AL74"/>
          <cell r="AM74"/>
        </row>
        <row r="75">
          <cell r="G75" t="str">
            <v>3SNCERAWZS</v>
          </cell>
          <cell r="H75" t="str">
            <v>S</v>
          </cell>
          <cell r="I75" t="str">
            <v>N</v>
          </cell>
          <cell r="J75" t="str">
            <v>CERA</v>
          </cell>
          <cell r="K75" t="str">
            <v>WZS</v>
          </cell>
          <cell r="M75" t="str">
            <v>3SNCERAWZS381125</v>
          </cell>
          <cell r="N75" t="str">
            <v>3SNCERAWZS381120</v>
          </cell>
          <cell r="O75">
            <v>38</v>
          </cell>
          <cell r="P75">
            <v>3</v>
          </cell>
          <cell r="Q75" t="str">
            <v>S28</v>
          </cell>
          <cell r="R75">
            <v>1125</v>
          </cell>
          <cell r="S75">
            <v>6000</v>
          </cell>
          <cell r="T75">
            <v>1125</v>
          </cell>
          <cell r="U75">
            <v>1120</v>
          </cell>
          <cell r="V75">
            <v>6000</v>
          </cell>
          <cell r="W75">
            <v>2</v>
          </cell>
          <cell r="X75" t="str">
            <v>CF2</v>
          </cell>
          <cell r="Y75" t="str">
            <v>直出し</v>
          </cell>
          <cell r="Z75">
            <v>6</v>
          </cell>
          <cell r="AA75" t="str">
            <v>6ｲﾝﾁFWP</v>
          </cell>
          <cell r="AB75">
            <v>1170</v>
          </cell>
          <cell r="AC75"/>
          <cell r="AD75"/>
          <cell r="AE75"/>
          <cell r="AF75"/>
          <cell r="AG75"/>
          <cell r="AH75"/>
          <cell r="AI75"/>
          <cell r="AJ75"/>
          <cell r="AK75"/>
          <cell r="AL75"/>
          <cell r="AM75"/>
        </row>
        <row r="76">
          <cell r="G76" t="str">
            <v>3SNCERAWZS</v>
          </cell>
          <cell r="H76" t="str">
            <v>S</v>
          </cell>
          <cell r="I76" t="str">
            <v>N</v>
          </cell>
          <cell r="J76" t="str">
            <v>CERA</v>
          </cell>
          <cell r="K76" t="str">
            <v>WZS</v>
          </cell>
          <cell r="M76" t="str">
            <v>3SNCERAWZS381415</v>
          </cell>
          <cell r="N76" t="str">
            <v>3SNCERAWZS381410</v>
          </cell>
          <cell r="O76">
            <v>38</v>
          </cell>
          <cell r="P76">
            <v>3</v>
          </cell>
          <cell r="Q76" t="str">
            <v>S28</v>
          </cell>
          <cell r="R76">
            <v>1415</v>
          </cell>
          <cell r="S76">
            <v>8000</v>
          </cell>
          <cell r="T76">
            <v>1415</v>
          </cell>
          <cell r="U76">
            <v>1410</v>
          </cell>
          <cell r="V76">
            <v>8000</v>
          </cell>
          <cell r="W76">
            <v>2</v>
          </cell>
          <cell r="X76" t="str">
            <v>CF2</v>
          </cell>
          <cell r="Y76" t="str">
            <v>直出し</v>
          </cell>
          <cell r="Z76">
            <v>6</v>
          </cell>
          <cell r="AA76" t="str">
            <v>6ｲﾝﾁFWP</v>
          </cell>
          <cell r="AB76">
            <v>1450</v>
          </cell>
          <cell r="AC76"/>
          <cell r="AD76"/>
          <cell r="AE76"/>
          <cell r="AF76"/>
          <cell r="AG76"/>
          <cell r="AH76"/>
          <cell r="AI76"/>
          <cell r="AJ76"/>
          <cell r="AK76"/>
          <cell r="AL76"/>
          <cell r="AM76"/>
        </row>
        <row r="77">
          <cell r="G77" t="str">
            <v>3SNCERAWZS</v>
          </cell>
          <cell r="H77" t="str">
            <v>S</v>
          </cell>
          <cell r="I77" t="str">
            <v>N</v>
          </cell>
          <cell r="J77" t="str">
            <v>CERA</v>
          </cell>
          <cell r="K77" t="str">
            <v>WZS</v>
          </cell>
          <cell r="M77" t="str">
            <v>3SNCERAWZS1251230</v>
          </cell>
          <cell r="N77" t="str">
            <v>3SNCERAWZS1251225</v>
          </cell>
          <cell r="O77">
            <v>125</v>
          </cell>
          <cell r="P77">
            <v>3</v>
          </cell>
          <cell r="Q77" t="str">
            <v>S28</v>
          </cell>
          <cell r="R77">
            <v>1230</v>
          </cell>
          <cell r="S77">
            <v>2000</v>
          </cell>
          <cell r="T77">
            <v>1230</v>
          </cell>
          <cell r="U77">
            <v>1225</v>
          </cell>
          <cell r="V77">
            <v>1800</v>
          </cell>
          <cell r="W77">
            <v>2</v>
          </cell>
          <cell r="X77" t="str">
            <v>CF2</v>
          </cell>
          <cell r="Y77" t="str">
            <v>直出し</v>
          </cell>
          <cell r="Z77">
            <v>6</v>
          </cell>
          <cell r="AA77" t="str">
            <v>6ｲﾝﾁFWP</v>
          </cell>
          <cell r="AB77">
            <v>1450</v>
          </cell>
          <cell r="AC77"/>
          <cell r="AD77"/>
          <cell r="AE77"/>
          <cell r="AF77"/>
          <cell r="AG77"/>
          <cell r="AH77"/>
          <cell r="AI77"/>
          <cell r="AJ77"/>
          <cell r="AK77"/>
          <cell r="AL77"/>
          <cell r="AM77"/>
        </row>
        <row r="78">
          <cell r="G78" t="str">
            <v>3SNCERAWZT</v>
          </cell>
          <cell r="H78" t="str">
            <v>S</v>
          </cell>
          <cell r="I78" t="str">
            <v>N</v>
          </cell>
          <cell r="J78" t="str">
            <v>CERA</v>
          </cell>
          <cell r="K78" t="str">
            <v>WZT</v>
          </cell>
          <cell r="M78" t="str">
            <v>3SNCERAWZT251325</v>
          </cell>
          <cell r="N78" t="str">
            <v>3SNCERAWZT251320</v>
          </cell>
          <cell r="O78">
            <v>25</v>
          </cell>
          <cell r="P78">
            <v>3</v>
          </cell>
          <cell r="Q78" t="str">
            <v>T70A</v>
          </cell>
          <cell r="R78">
            <v>1325</v>
          </cell>
          <cell r="S78">
            <v>8200</v>
          </cell>
          <cell r="T78">
            <v>1325</v>
          </cell>
          <cell r="U78">
            <v>1320</v>
          </cell>
          <cell r="V78">
            <v>8000</v>
          </cell>
          <cell r="W78">
            <v>2</v>
          </cell>
          <cell r="X78" t="str">
            <v>CF2</v>
          </cell>
          <cell r="Y78" t="str">
            <v>直出し</v>
          </cell>
          <cell r="Z78">
            <v>6</v>
          </cell>
          <cell r="AA78" t="str">
            <v>6ｲﾝﾁFWP</v>
          </cell>
          <cell r="AB78">
            <v>1450</v>
          </cell>
          <cell r="AC78"/>
          <cell r="AD78"/>
          <cell r="AE78"/>
          <cell r="AF78"/>
          <cell r="AG78"/>
          <cell r="AH78"/>
          <cell r="AI78"/>
          <cell r="AJ78"/>
          <cell r="AK78"/>
          <cell r="AL78"/>
          <cell r="AM78"/>
        </row>
        <row r="79">
          <cell r="G79" t="str">
            <v>3SNCERAWZT</v>
          </cell>
          <cell r="H79" t="str">
            <v>S</v>
          </cell>
          <cell r="I79" t="str">
            <v>N</v>
          </cell>
          <cell r="J79" t="str">
            <v>CERA</v>
          </cell>
          <cell r="K79" t="str">
            <v>WZT</v>
          </cell>
          <cell r="M79" t="str">
            <v>3SNCERAWZT381005</v>
          </cell>
          <cell r="N79" t="str">
            <v>3SNCERAWZT381000</v>
          </cell>
          <cell r="O79">
            <v>38</v>
          </cell>
          <cell r="P79">
            <v>3</v>
          </cell>
          <cell r="Q79" t="str">
            <v>T75</v>
          </cell>
          <cell r="R79">
            <v>1005</v>
          </cell>
          <cell r="S79">
            <v>6000</v>
          </cell>
          <cell r="T79">
            <v>1000</v>
          </cell>
          <cell r="U79">
            <v>1000</v>
          </cell>
          <cell r="V79">
            <v>6000</v>
          </cell>
          <cell r="W79">
            <v>2</v>
          </cell>
          <cell r="X79" t="str">
            <v>CF2</v>
          </cell>
          <cell r="Y79" t="str">
            <v>直出し</v>
          </cell>
          <cell r="Z79">
            <v>6</v>
          </cell>
          <cell r="AA79" t="str">
            <v>6ｲﾝﾁFWP</v>
          </cell>
          <cell r="AB79"/>
          <cell r="AC79"/>
          <cell r="AD79"/>
          <cell r="AE79"/>
          <cell r="AF79"/>
          <cell r="AG79"/>
          <cell r="AH79"/>
          <cell r="AI79"/>
          <cell r="AJ79"/>
          <cell r="AK79"/>
          <cell r="AL79"/>
          <cell r="AM79"/>
        </row>
        <row r="80">
          <cell r="G80" t="str">
            <v>3SNCERAWZU</v>
          </cell>
          <cell r="H80" t="str">
            <v>S</v>
          </cell>
          <cell r="I80" t="str">
            <v>N</v>
          </cell>
          <cell r="J80" t="str">
            <v>CERA</v>
          </cell>
          <cell r="K80" t="str">
            <v>WZU</v>
          </cell>
          <cell r="M80" t="str">
            <v>3SNCERAWZU251155</v>
          </cell>
          <cell r="N80" t="str">
            <v>3SNCERAWZU251150</v>
          </cell>
          <cell r="O80">
            <v>25</v>
          </cell>
          <cell r="P80">
            <v>3</v>
          </cell>
          <cell r="Q80" t="str">
            <v>S</v>
          </cell>
          <cell r="R80">
            <v>1155</v>
          </cell>
          <cell r="S80">
            <v>12600</v>
          </cell>
          <cell r="T80">
            <v>1155</v>
          </cell>
          <cell r="U80">
            <v>1150</v>
          </cell>
          <cell r="V80">
            <v>12400</v>
          </cell>
          <cell r="W80">
            <v>2</v>
          </cell>
          <cell r="X80" t="str">
            <v>CF2</v>
          </cell>
          <cell r="Y80" t="str">
            <v>直出し</v>
          </cell>
          <cell r="Z80">
            <v>6</v>
          </cell>
          <cell r="AA80" t="str">
            <v>6ｲﾝﾁFWP</v>
          </cell>
          <cell r="AB80">
            <v>1270</v>
          </cell>
          <cell r="AC80"/>
          <cell r="AD80"/>
          <cell r="AE80"/>
          <cell r="AF80"/>
          <cell r="AG80"/>
          <cell r="AH80"/>
          <cell r="AI80"/>
          <cell r="AJ80"/>
          <cell r="AK80"/>
          <cell r="AL80"/>
          <cell r="AM80"/>
        </row>
        <row r="81">
          <cell r="G81" t="str">
            <v>3SNCERAWZU</v>
          </cell>
          <cell r="H81" t="str">
            <v>S</v>
          </cell>
          <cell r="I81" t="str">
            <v>N</v>
          </cell>
          <cell r="J81" t="str">
            <v>CERA</v>
          </cell>
          <cell r="K81" t="str">
            <v>WZU</v>
          </cell>
          <cell r="M81" t="str">
            <v>3SNCERAWZU251415</v>
          </cell>
          <cell r="N81" t="str">
            <v>3SNCERAWZU251410</v>
          </cell>
          <cell r="O81">
            <v>25</v>
          </cell>
          <cell r="P81">
            <v>3</v>
          </cell>
          <cell r="Q81" t="str">
            <v>S</v>
          </cell>
          <cell r="R81">
            <v>1415</v>
          </cell>
          <cell r="S81">
            <v>12300</v>
          </cell>
          <cell r="T81">
            <v>1410</v>
          </cell>
          <cell r="U81">
            <v>1410</v>
          </cell>
          <cell r="V81">
            <v>6000</v>
          </cell>
          <cell r="W81">
            <v>2</v>
          </cell>
          <cell r="X81" t="str">
            <v>CF2</v>
          </cell>
          <cell r="Y81" t="str">
            <v>半直</v>
          </cell>
          <cell r="Z81">
            <v>6</v>
          </cell>
          <cell r="AA81" t="str">
            <v>6ｲﾝﾁFWP</v>
          </cell>
          <cell r="AB81">
            <v>1600</v>
          </cell>
          <cell r="AC81">
            <v>6</v>
          </cell>
          <cell r="AD81" t="str">
            <v>6ｲﾝﾁFWP</v>
          </cell>
          <cell r="AE81">
            <v>1600</v>
          </cell>
          <cell r="AF81"/>
          <cell r="AG81"/>
          <cell r="AH81"/>
          <cell r="AI81"/>
          <cell r="AJ81"/>
          <cell r="AK81"/>
          <cell r="AL81"/>
          <cell r="AM81"/>
        </row>
        <row r="82">
          <cell r="G82" t="str">
            <v>3SNCERAWZU</v>
          </cell>
          <cell r="H82" t="str">
            <v>S</v>
          </cell>
          <cell r="I82" t="str">
            <v>N</v>
          </cell>
          <cell r="J82" t="str">
            <v>CERA</v>
          </cell>
          <cell r="K82" t="str">
            <v>WZU</v>
          </cell>
          <cell r="M82" t="str">
            <v>3SNCERAWZU251425</v>
          </cell>
          <cell r="N82" t="str">
            <v>3SNCERAWZU251420</v>
          </cell>
          <cell r="O82">
            <v>25</v>
          </cell>
          <cell r="P82">
            <v>3</v>
          </cell>
          <cell r="Q82" t="str">
            <v>S</v>
          </cell>
          <cell r="R82">
            <v>1425</v>
          </cell>
          <cell r="S82">
            <v>12600</v>
          </cell>
          <cell r="T82">
            <v>1425</v>
          </cell>
          <cell r="U82">
            <v>1420</v>
          </cell>
          <cell r="V82">
            <v>12400</v>
          </cell>
          <cell r="W82">
            <v>2</v>
          </cell>
          <cell r="X82" t="str">
            <v>CF2</v>
          </cell>
          <cell r="Y82" t="str">
            <v>直出し</v>
          </cell>
          <cell r="Z82">
            <v>6</v>
          </cell>
          <cell r="AA82" t="str">
            <v>6ｲﾝﾁFWP</v>
          </cell>
          <cell r="AB82">
            <v>1500</v>
          </cell>
          <cell r="AC82">
            <v>6</v>
          </cell>
          <cell r="AD82" t="str">
            <v>6ｲﾝﾁFWP</v>
          </cell>
          <cell r="AE82">
            <v>1500</v>
          </cell>
          <cell r="AF82"/>
          <cell r="AG82"/>
          <cell r="AH82"/>
          <cell r="AI82"/>
          <cell r="AJ82"/>
          <cell r="AK82"/>
          <cell r="AL82"/>
          <cell r="AM82"/>
        </row>
        <row r="83">
          <cell r="G83" t="str">
            <v>3SNCERANSHP2UDF</v>
          </cell>
          <cell r="H83" t="str">
            <v>S</v>
          </cell>
          <cell r="I83" t="str">
            <v>N</v>
          </cell>
          <cell r="J83" t="str">
            <v>CERANS</v>
          </cell>
          <cell r="K83" t="str">
            <v>HP2UDF</v>
          </cell>
          <cell r="M83" t="str">
            <v>3SNCERANSHP2UDF751230</v>
          </cell>
          <cell r="N83" t="str">
            <v>3SNCERANSHP2UDF75600</v>
          </cell>
          <cell r="O83">
            <v>75</v>
          </cell>
          <cell r="P83">
            <v>3</v>
          </cell>
          <cell r="Q83" t="str">
            <v>SD</v>
          </cell>
          <cell r="R83">
            <v>1230</v>
          </cell>
          <cell r="S83">
            <v>2100</v>
          </cell>
          <cell r="T83">
            <v>600</v>
          </cell>
          <cell r="U83">
            <v>600</v>
          </cell>
          <cell r="V83">
            <v>600</v>
          </cell>
          <cell r="W83">
            <v>2</v>
          </cell>
          <cell r="X83" t="str">
            <v>CF4</v>
          </cell>
          <cell r="Y83" t="str">
            <v>SL-1</v>
          </cell>
          <cell r="Z83">
            <v>6</v>
          </cell>
          <cell r="AA83" t="str">
            <v>6ｲﾝﾁFWP</v>
          </cell>
          <cell r="AB83">
            <v>1450</v>
          </cell>
          <cell r="AC83">
            <v>3</v>
          </cell>
          <cell r="AD83" t="str">
            <v>3ｲﾝﾁABS</v>
          </cell>
          <cell r="AE83">
            <v>605</v>
          </cell>
          <cell r="AF83"/>
          <cell r="AG83"/>
          <cell r="AH83"/>
          <cell r="AI83"/>
          <cell r="AJ83"/>
          <cell r="AK83"/>
          <cell r="AL83"/>
          <cell r="AM83"/>
        </row>
        <row r="84">
          <cell r="G84" t="str">
            <v>3SNCERANSPJ27103</v>
          </cell>
          <cell r="H84" t="str">
            <v>S</v>
          </cell>
          <cell r="I84" t="str">
            <v>N</v>
          </cell>
          <cell r="J84" t="str">
            <v>CERANS</v>
          </cell>
          <cell r="K84" t="str">
            <v>PJ27103</v>
          </cell>
          <cell r="M84" t="str">
            <v>3SNCERANSPJ27103251580</v>
          </cell>
          <cell r="N84" t="str">
            <v>3SNCERANSPJ27103251575</v>
          </cell>
          <cell r="O84">
            <v>25</v>
          </cell>
          <cell r="P84">
            <v>3</v>
          </cell>
          <cell r="Q84" t="str">
            <v>R75XH</v>
          </cell>
          <cell r="R84">
            <v>1580</v>
          </cell>
          <cell r="S84">
            <v>12300</v>
          </cell>
          <cell r="T84">
            <v>1575</v>
          </cell>
          <cell r="U84">
            <v>1575</v>
          </cell>
          <cell r="V84">
            <v>12000</v>
          </cell>
          <cell r="W84">
            <v>2</v>
          </cell>
          <cell r="X84" t="str">
            <v>CF3</v>
          </cell>
          <cell r="Y84" t="str">
            <v>直出し</v>
          </cell>
          <cell r="Z84">
            <v>6</v>
          </cell>
          <cell r="AA84" t="str">
            <v>6ｲﾝﾁFWP</v>
          </cell>
          <cell r="AB84">
            <v>1640</v>
          </cell>
          <cell r="AC84"/>
          <cell r="AD84"/>
          <cell r="AE84"/>
          <cell r="AF84"/>
          <cell r="AG84"/>
          <cell r="AH84"/>
          <cell r="AI84"/>
          <cell r="AJ84"/>
          <cell r="AK84"/>
          <cell r="AL84"/>
          <cell r="AM84"/>
        </row>
        <row r="85">
          <cell r="G85" t="str">
            <v>3SNCLBE20V</v>
          </cell>
          <cell r="H85" t="str">
            <v>S</v>
          </cell>
          <cell r="I85" t="str">
            <v>N</v>
          </cell>
          <cell r="J85" t="str">
            <v>CLB</v>
          </cell>
          <cell r="K85" t="str">
            <v>E20V</v>
          </cell>
          <cell r="M85" t="str">
            <v>3SNCLBE20V381005</v>
          </cell>
          <cell r="N85" t="str">
            <v>3SNCLBE20V381000</v>
          </cell>
          <cell r="O85">
            <v>38</v>
          </cell>
          <cell r="P85">
            <v>3</v>
          </cell>
          <cell r="Q85" t="str">
            <v>E20</v>
          </cell>
          <cell r="R85">
            <v>1005</v>
          </cell>
          <cell r="S85">
            <v>4000</v>
          </cell>
          <cell r="T85">
            <v>1005</v>
          </cell>
          <cell r="U85">
            <v>1000</v>
          </cell>
          <cell r="V85">
            <v>4000</v>
          </cell>
          <cell r="W85">
            <v>2</v>
          </cell>
          <cell r="X85" t="str">
            <v>CF4</v>
          </cell>
          <cell r="Y85" t="str">
            <v>直出し</v>
          </cell>
          <cell r="Z85">
            <v>6</v>
          </cell>
          <cell r="AA85" t="str">
            <v>6ｲﾝﾁMｺｱ</v>
          </cell>
          <cell r="AB85">
            <v>1015</v>
          </cell>
          <cell r="AC85"/>
          <cell r="AD85"/>
          <cell r="AE85"/>
          <cell r="AF85"/>
          <cell r="AG85"/>
          <cell r="AH85"/>
          <cell r="AI85"/>
          <cell r="AJ85"/>
          <cell r="AK85"/>
          <cell r="AL85"/>
          <cell r="AM85"/>
        </row>
        <row r="86">
          <cell r="G86" t="str">
            <v>3SNCLBE20V</v>
          </cell>
          <cell r="H86" t="str">
            <v>S</v>
          </cell>
          <cell r="I86" t="str">
            <v>N</v>
          </cell>
          <cell r="J86" t="str">
            <v>CLB</v>
          </cell>
          <cell r="K86" t="str">
            <v>E20V</v>
          </cell>
          <cell r="M86" t="str">
            <v>3SNCLBE20V501002</v>
          </cell>
          <cell r="N86" t="str">
            <v>3SNCLBE20V501000</v>
          </cell>
          <cell r="O86">
            <v>50</v>
          </cell>
          <cell r="P86">
            <v>3</v>
          </cell>
          <cell r="Q86" t="str">
            <v>E20</v>
          </cell>
          <cell r="R86">
            <v>1002</v>
          </cell>
          <cell r="S86">
            <v>4000</v>
          </cell>
          <cell r="T86">
            <v>1002</v>
          </cell>
          <cell r="U86">
            <v>1000</v>
          </cell>
          <cell r="V86">
            <v>4000</v>
          </cell>
          <cell r="W86">
            <v>2</v>
          </cell>
          <cell r="X86" t="str">
            <v>CF4</v>
          </cell>
          <cell r="Y86" t="str">
            <v>直出し</v>
          </cell>
          <cell r="Z86">
            <v>6</v>
          </cell>
          <cell r="AA86" t="str">
            <v>6ｲﾝﾁMｺｱ</v>
          </cell>
          <cell r="AB86">
            <v>1015</v>
          </cell>
          <cell r="AC86"/>
          <cell r="AD86"/>
          <cell r="AE86"/>
          <cell r="AF86"/>
          <cell r="AG86"/>
          <cell r="AH86"/>
          <cell r="AI86"/>
          <cell r="AJ86"/>
          <cell r="AK86"/>
          <cell r="AL86"/>
          <cell r="AM86"/>
        </row>
        <row r="87">
          <cell r="G87" t="str">
            <v>3SNCLBE20V</v>
          </cell>
          <cell r="H87" t="str">
            <v>S</v>
          </cell>
          <cell r="I87" t="str">
            <v>N</v>
          </cell>
          <cell r="J87" t="str">
            <v>CLB</v>
          </cell>
          <cell r="K87" t="str">
            <v>E20V</v>
          </cell>
          <cell r="M87" t="str">
            <v>3SNCLBE20V501002</v>
          </cell>
          <cell r="N87" t="str">
            <v>3SNCLBE20V501000</v>
          </cell>
          <cell r="O87">
            <v>50</v>
          </cell>
          <cell r="P87">
            <v>3</v>
          </cell>
          <cell r="Q87" t="str">
            <v>E20</v>
          </cell>
          <cell r="R87">
            <v>1002</v>
          </cell>
          <cell r="S87">
            <v>4000</v>
          </cell>
          <cell r="T87">
            <v>1005</v>
          </cell>
          <cell r="U87">
            <v>1000</v>
          </cell>
          <cell r="V87">
            <v>4000</v>
          </cell>
          <cell r="W87">
            <v>2</v>
          </cell>
          <cell r="X87" t="str">
            <v>CF4</v>
          </cell>
          <cell r="Y87" t="str">
            <v>直出し</v>
          </cell>
          <cell r="Z87">
            <v>6</v>
          </cell>
          <cell r="AA87" t="str">
            <v>6ｲﾝﾁMｺｱ</v>
          </cell>
          <cell r="AB87">
            <v>1015</v>
          </cell>
          <cell r="AC87"/>
          <cell r="AD87"/>
          <cell r="AE87"/>
          <cell r="AF87"/>
          <cell r="AG87"/>
          <cell r="AH87"/>
          <cell r="AI87"/>
          <cell r="AJ87"/>
          <cell r="AK87"/>
          <cell r="AL87"/>
          <cell r="AM87"/>
        </row>
        <row r="88">
          <cell r="G88" t="str">
            <v>3SNCLBE20V</v>
          </cell>
          <cell r="H88" t="str">
            <v>S</v>
          </cell>
          <cell r="I88" t="str">
            <v>N</v>
          </cell>
          <cell r="J88" t="str">
            <v>CLB</v>
          </cell>
          <cell r="K88" t="str">
            <v>E20V</v>
          </cell>
          <cell r="M88" t="str">
            <v>3SNCLBE20V751002</v>
          </cell>
          <cell r="N88" t="str">
            <v>3SNCLBE20V751000</v>
          </cell>
          <cell r="O88">
            <v>75</v>
          </cell>
          <cell r="P88">
            <v>3</v>
          </cell>
          <cell r="Q88" t="str">
            <v>E20</v>
          </cell>
          <cell r="R88">
            <v>1002</v>
          </cell>
          <cell r="S88">
            <v>3000</v>
          </cell>
          <cell r="T88">
            <v>1002</v>
          </cell>
          <cell r="U88">
            <v>1000</v>
          </cell>
          <cell r="V88">
            <v>3000</v>
          </cell>
          <cell r="W88">
            <v>2</v>
          </cell>
          <cell r="X88" t="str">
            <v>CF4</v>
          </cell>
          <cell r="Y88" t="str">
            <v>直出し</v>
          </cell>
          <cell r="Z88">
            <v>6</v>
          </cell>
          <cell r="AA88" t="str">
            <v>6ｲﾝﾁMｺｱ</v>
          </cell>
          <cell r="AB88">
            <v>1015</v>
          </cell>
          <cell r="AC88"/>
          <cell r="AD88"/>
          <cell r="AE88"/>
          <cell r="AF88"/>
          <cell r="AG88"/>
          <cell r="AH88"/>
          <cell r="AI88"/>
          <cell r="AJ88"/>
          <cell r="AK88"/>
          <cell r="AL88"/>
          <cell r="AM88"/>
        </row>
        <row r="89">
          <cell r="G89" t="str">
            <v>3SNCLBE20V</v>
          </cell>
          <cell r="H89" t="str">
            <v>S</v>
          </cell>
          <cell r="I89" t="str">
            <v>N</v>
          </cell>
          <cell r="J89" t="str">
            <v>CLB</v>
          </cell>
          <cell r="K89" t="str">
            <v>E20V</v>
          </cell>
          <cell r="M89" t="str">
            <v>3SNCLBE20V751002</v>
          </cell>
          <cell r="N89" t="str">
            <v>3SNCLBE20V751000</v>
          </cell>
          <cell r="O89">
            <v>75</v>
          </cell>
          <cell r="P89">
            <v>3</v>
          </cell>
          <cell r="Q89" t="str">
            <v>E20</v>
          </cell>
          <cell r="R89">
            <v>1002</v>
          </cell>
          <cell r="S89">
            <v>3000</v>
          </cell>
          <cell r="T89">
            <v>1005</v>
          </cell>
          <cell r="U89">
            <v>1000</v>
          </cell>
          <cell r="V89">
            <v>3000</v>
          </cell>
          <cell r="W89">
            <v>2</v>
          </cell>
          <cell r="X89" t="str">
            <v>CF4</v>
          </cell>
          <cell r="Y89" t="str">
            <v>直出し</v>
          </cell>
          <cell r="Z89">
            <v>6</v>
          </cell>
          <cell r="AA89" t="str">
            <v>6ｲﾝﾁMｺｱ</v>
          </cell>
          <cell r="AB89">
            <v>1015</v>
          </cell>
          <cell r="AC89"/>
          <cell r="AD89"/>
          <cell r="AE89"/>
          <cell r="AF89"/>
          <cell r="AG89"/>
          <cell r="AH89"/>
          <cell r="AI89"/>
          <cell r="AJ89"/>
          <cell r="AK89"/>
          <cell r="AL89"/>
          <cell r="AM89"/>
        </row>
        <row r="90">
          <cell r="G90" t="str">
            <v>3SNCLBE20V</v>
          </cell>
          <cell r="H90" t="str">
            <v>S</v>
          </cell>
          <cell r="I90" t="str">
            <v>N</v>
          </cell>
          <cell r="J90" t="str">
            <v>CLB</v>
          </cell>
          <cell r="K90" t="str">
            <v>E20V</v>
          </cell>
          <cell r="M90" t="str">
            <v>3SNCLBE20V1001005</v>
          </cell>
          <cell r="N90" t="str">
            <v>3SNCLBE20V1001000</v>
          </cell>
          <cell r="O90">
            <v>100</v>
          </cell>
          <cell r="P90">
            <v>3</v>
          </cell>
          <cell r="Q90" t="str">
            <v>E20</v>
          </cell>
          <cell r="R90">
            <v>1005</v>
          </cell>
          <cell r="S90">
            <v>2000</v>
          </cell>
          <cell r="T90">
            <v>1005</v>
          </cell>
          <cell r="U90">
            <v>1000</v>
          </cell>
          <cell r="V90">
            <v>2000</v>
          </cell>
          <cell r="W90">
            <v>2</v>
          </cell>
          <cell r="X90" t="str">
            <v>CF4</v>
          </cell>
          <cell r="Y90" t="str">
            <v>直出し</v>
          </cell>
          <cell r="Z90">
            <v>6</v>
          </cell>
          <cell r="AA90" t="str">
            <v>6ｲﾝﾁMｺｱ</v>
          </cell>
          <cell r="AB90">
            <v>1015</v>
          </cell>
          <cell r="AC90"/>
          <cell r="AD90"/>
          <cell r="AE90"/>
          <cell r="AF90"/>
          <cell r="AG90"/>
          <cell r="AH90"/>
          <cell r="AI90"/>
          <cell r="AJ90"/>
          <cell r="AK90"/>
          <cell r="AL90"/>
          <cell r="AM90"/>
        </row>
        <row r="91">
          <cell r="G91" t="str">
            <v>3SNCLBLEYK</v>
          </cell>
          <cell r="H91" t="str">
            <v>S</v>
          </cell>
          <cell r="I91" t="str">
            <v>N</v>
          </cell>
          <cell r="J91" t="str">
            <v>CLB</v>
          </cell>
          <cell r="K91" t="str">
            <v>LEYK</v>
          </cell>
          <cell r="M91" t="str">
            <v>3SNCLBLEYK251120</v>
          </cell>
          <cell r="N91" t="str">
            <v>3SNCLBLEYK251120</v>
          </cell>
          <cell r="O91">
            <v>25</v>
          </cell>
          <cell r="P91">
            <v>3</v>
          </cell>
          <cell r="Q91" t="str">
            <v>T62M</v>
          </cell>
          <cell r="R91">
            <v>1120</v>
          </cell>
          <cell r="S91">
            <v>12100</v>
          </cell>
          <cell r="T91">
            <v>1120</v>
          </cell>
          <cell r="U91">
            <v>1120</v>
          </cell>
          <cell r="V91">
            <v>6000</v>
          </cell>
          <cell r="W91">
            <v>2</v>
          </cell>
          <cell r="X91" t="str">
            <v>CF4</v>
          </cell>
          <cell r="Y91" t="str">
            <v>S-4</v>
          </cell>
          <cell r="Z91">
            <v>6</v>
          </cell>
          <cell r="AA91" t="str">
            <v>6ｲﾝﾁFWP</v>
          </cell>
          <cell r="AB91">
            <v>1450</v>
          </cell>
          <cell r="AC91">
            <v>6</v>
          </cell>
          <cell r="AD91" t="str">
            <v>6ｲﾝﾁMｺｱ</v>
          </cell>
          <cell r="AE91">
            <v>1140</v>
          </cell>
          <cell r="AF91"/>
          <cell r="AG91"/>
          <cell r="AH91"/>
          <cell r="AI91"/>
          <cell r="AJ91"/>
          <cell r="AK91"/>
          <cell r="AL91"/>
          <cell r="AM91"/>
        </row>
        <row r="92">
          <cell r="G92" t="str">
            <v>3SNCLBLEYK</v>
          </cell>
          <cell r="H92" t="str">
            <v>S</v>
          </cell>
          <cell r="I92" t="str">
            <v>N</v>
          </cell>
          <cell r="J92" t="str">
            <v>CLB</v>
          </cell>
          <cell r="K92" t="str">
            <v>LEYK</v>
          </cell>
          <cell r="M92" t="str">
            <v>3SNCLBLEYK381125</v>
          </cell>
          <cell r="N92" t="str">
            <v>3SNCLBLEYK381120</v>
          </cell>
          <cell r="O92">
            <v>38</v>
          </cell>
          <cell r="P92">
            <v>3</v>
          </cell>
          <cell r="Q92" t="str">
            <v>T75</v>
          </cell>
          <cell r="R92">
            <v>1125</v>
          </cell>
          <cell r="S92">
            <v>4000</v>
          </cell>
          <cell r="T92">
            <v>1125</v>
          </cell>
          <cell r="U92">
            <v>1120</v>
          </cell>
          <cell r="V92">
            <v>4000</v>
          </cell>
          <cell r="W92">
            <v>2</v>
          </cell>
          <cell r="X92" t="str">
            <v>CF4</v>
          </cell>
          <cell r="Y92" t="str">
            <v>S-4</v>
          </cell>
          <cell r="Z92">
            <v>6</v>
          </cell>
          <cell r="AA92" t="str">
            <v>6ｲﾝﾁFWP</v>
          </cell>
          <cell r="AB92">
            <v>1450</v>
          </cell>
          <cell r="AC92">
            <v>6</v>
          </cell>
          <cell r="AD92" t="str">
            <v>6ｲﾝﾁMｺｱ</v>
          </cell>
          <cell r="AE92">
            <v>1140</v>
          </cell>
          <cell r="AF92"/>
          <cell r="AG92"/>
          <cell r="AH92"/>
          <cell r="AI92"/>
          <cell r="AJ92"/>
          <cell r="AK92"/>
          <cell r="AL92"/>
          <cell r="AM92"/>
        </row>
        <row r="93">
          <cell r="G93" t="str">
            <v>3SNCLBLEYK</v>
          </cell>
          <cell r="H93" t="str">
            <v>S</v>
          </cell>
          <cell r="I93" t="str">
            <v>N</v>
          </cell>
          <cell r="J93" t="str">
            <v>CLB</v>
          </cell>
          <cell r="K93" t="str">
            <v>LEYK</v>
          </cell>
          <cell r="M93" t="str">
            <v>3SNCLBLEYK501125</v>
          </cell>
          <cell r="N93" t="str">
            <v>3SNCLBLEYK501120</v>
          </cell>
          <cell r="O93">
            <v>50</v>
          </cell>
          <cell r="P93">
            <v>3</v>
          </cell>
          <cell r="Q93" t="str">
            <v>T62M</v>
          </cell>
          <cell r="R93">
            <v>1125</v>
          </cell>
          <cell r="S93">
            <v>6200</v>
          </cell>
          <cell r="T93">
            <v>1120</v>
          </cell>
          <cell r="U93">
            <v>1120</v>
          </cell>
          <cell r="V93">
            <v>6000</v>
          </cell>
          <cell r="W93">
            <v>2</v>
          </cell>
          <cell r="X93" t="str">
            <v>CF4</v>
          </cell>
          <cell r="Y93" t="str">
            <v>S-4</v>
          </cell>
          <cell r="Z93">
            <v>6</v>
          </cell>
          <cell r="AA93" t="str">
            <v>6ｲﾝﾁFWP</v>
          </cell>
          <cell r="AB93">
            <v>1450</v>
          </cell>
          <cell r="AC93">
            <v>6</v>
          </cell>
          <cell r="AD93" t="str">
            <v>6ｲﾝﾁMｺｱ</v>
          </cell>
          <cell r="AE93">
            <v>1140</v>
          </cell>
          <cell r="AF93"/>
          <cell r="AG93"/>
          <cell r="AH93"/>
          <cell r="AI93"/>
          <cell r="AJ93"/>
          <cell r="AK93"/>
          <cell r="AL93"/>
          <cell r="AM93" t="str">
            <v>原反ケース再利用</v>
          </cell>
        </row>
        <row r="94">
          <cell r="G94" t="str">
            <v>3SNCLBLMEYK</v>
          </cell>
          <cell r="H94" t="str">
            <v>S</v>
          </cell>
          <cell r="I94" t="str">
            <v>N</v>
          </cell>
          <cell r="J94" t="str">
            <v>CLB</v>
          </cell>
          <cell r="K94" t="str">
            <v>LMEYK</v>
          </cell>
          <cell r="M94" t="str">
            <v>3SNCLBLMEYK381005</v>
          </cell>
          <cell r="N94" t="str">
            <v>3SNCLBLMEYK381000</v>
          </cell>
          <cell r="O94">
            <v>38</v>
          </cell>
          <cell r="P94">
            <v>3</v>
          </cell>
          <cell r="Q94" t="str">
            <v>LUMIMAT</v>
          </cell>
          <cell r="R94">
            <v>1005</v>
          </cell>
          <cell r="S94">
            <v>8000</v>
          </cell>
          <cell r="T94">
            <v>1005</v>
          </cell>
          <cell r="U94">
            <v>1000</v>
          </cell>
          <cell r="V94">
            <v>4000</v>
          </cell>
          <cell r="W94">
            <v>2</v>
          </cell>
          <cell r="X94" t="str">
            <v>CF4</v>
          </cell>
          <cell r="Y94" t="str">
            <v>S-4</v>
          </cell>
          <cell r="Z94">
            <v>6</v>
          </cell>
          <cell r="AA94" t="str">
            <v>6ｲﾝﾁFWP</v>
          </cell>
          <cell r="AB94">
            <v>1450</v>
          </cell>
          <cell r="AC94">
            <v>3</v>
          </cell>
          <cell r="AD94" t="str">
            <v>3ｲﾝﾁSｺｱ</v>
          </cell>
          <cell r="AE94">
            <v>1015</v>
          </cell>
          <cell r="AF94"/>
          <cell r="AG94"/>
          <cell r="AH94"/>
          <cell r="AI94"/>
          <cell r="AJ94"/>
          <cell r="AK94"/>
          <cell r="AL94"/>
          <cell r="AM94"/>
        </row>
        <row r="95">
          <cell r="G95" t="str">
            <v>33SSNCLBLTL</v>
          </cell>
          <cell r="H95" t="str">
            <v>S</v>
          </cell>
          <cell r="I95" t="str">
            <v>N</v>
          </cell>
          <cell r="J95" t="str">
            <v>CLB</v>
          </cell>
          <cell r="K95" t="str">
            <v>LTL</v>
          </cell>
          <cell r="M95" t="str">
            <v>33SSNCLBLTL251125</v>
          </cell>
          <cell r="N95" t="str">
            <v>33SSNCLBLTL251120</v>
          </cell>
          <cell r="O95">
            <v>25</v>
          </cell>
          <cell r="P95" t="str">
            <v>33S</v>
          </cell>
          <cell r="Q95" t="str">
            <v>T62M</v>
          </cell>
          <cell r="R95">
            <v>1125</v>
          </cell>
          <cell r="S95">
            <v>12100</v>
          </cell>
          <cell r="T95">
            <v>1120</v>
          </cell>
          <cell r="U95">
            <v>1120</v>
          </cell>
          <cell r="V95">
            <v>12000</v>
          </cell>
          <cell r="W95">
            <v>2</v>
          </cell>
          <cell r="X95" t="str">
            <v>CF4</v>
          </cell>
          <cell r="Y95" t="str">
            <v>直出し</v>
          </cell>
          <cell r="Z95">
            <v>6</v>
          </cell>
          <cell r="AA95" t="str">
            <v>6ｲﾝﾁMｺｱ</v>
          </cell>
          <cell r="AB95">
            <v>1140</v>
          </cell>
          <cell r="AC95"/>
          <cell r="AD95"/>
          <cell r="AE95"/>
          <cell r="AF95"/>
          <cell r="AG95"/>
          <cell r="AH95"/>
          <cell r="AI95"/>
          <cell r="AJ95"/>
          <cell r="AK95"/>
          <cell r="AL95"/>
          <cell r="AM95"/>
        </row>
        <row r="96">
          <cell r="G96" t="str">
            <v>3SNCLBPETMV</v>
          </cell>
          <cell r="H96" t="str">
            <v>S</v>
          </cell>
          <cell r="I96" t="str">
            <v>N</v>
          </cell>
          <cell r="J96" t="str">
            <v>CLB</v>
          </cell>
          <cell r="K96" t="str">
            <v>PETMV</v>
          </cell>
          <cell r="M96" t="str">
            <v>3SNCLBPETMV251005</v>
          </cell>
          <cell r="N96" t="str">
            <v>3SNCLBPETMV251000</v>
          </cell>
          <cell r="O96">
            <v>25</v>
          </cell>
          <cell r="P96">
            <v>3</v>
          </cell>
          <cell r="Q96" t="str">
            <v>LUMIMAT</v>
          </cell>
          <cell r="R96">
            <v>1005</v>
          </cell>
          <cell r="S96">
            <v>4000</v>
          </cell>
          <cell r="T96">
            <v>1005</v>
          </cell>
          <cell r="U96">
            <v>1000</v>
          </cell>
          <cell r="V96">
            <v>4000</v>
          </cell>
          <cell r="W96">
            <v>2</v>
          </cell>
          <cell r="X96" t="str">
            <v>CF4</v>
          </cell>
          <cell r="Y96" t="str">
            <v>直出し</v>
          </cell>
          <cell r="Z96">
            <v>6</v>
          </cell>
          <cell r="AA96" t="str">
            <v>6ｲﾝﾁMｺｱ</v>
          </cell>
          <cell r="AB96">
            <v>1015</v>
          </cell>
          <cell r="AC96"/>
          <cell r="AD96"/>
          <cell r="AE96"/>
          <cell r="AF96"/>
          <cell r="AG96"/>
          <cell r="AH96"/>
          <cell r="AI96"/>
          <cell r="AJ96"/>
          <cell r="AK96"/>
          <cell r="AL96"/>
          <cell r="AM96"/>
        </row>
        <row r="97">
          <cell r="G97" t="str">
            <v>3SYCLBPETMV</v>
          </cell>
          <cell r="H97" t="str">
            <v>S</v>
          </cell>
          <cell r="I97" t="str">
            <v>Y</v>
          </cell>
          <cell r="J97" t="str">
            <v>CLB</v>
          </cell>
          <cell r="K97" t="str">
            <v>PETMV</v>
          </cell>
          <cell r="M97" t="str">
            <v>3SYCLBPETMV501005</v>
          </cell>
          <cell r="N97" t="str">
            <v>3SYCLBPETMV501000</v>
          </cell>
          <cell r="O97">
            <v>50</v>
          </cell>
          <cell r="P97">
            <v>3</v>
          </cell>
          <cell r="Q97" t="str">
            <v>MAT</v>
          </cell>
          <cell r="R97">
            <v>1005</v>
          </cell>
          <cell r="S97">
            <v>4100</v>
          </cell>
          <cell r="T97">
            <v>1005</v>
          </cell>
          <cell r="U97">
            <v>1000</v>
          </cell>
          <cell r="V97">
            <v>4000</v>
          </cell>
          <cell r="W97">
            <v>2</v>
          </cell>
          <cell r="X97" t="str">
            <v>CF4</v>
          </cell>
          <cell r="Y97" t="str">
            <v>直出し</v>
          </cell>
          <cell r="Z97">
            <v>6</v>
          </cell>
          <cell r="AA97" t="str">
            <v>6ｲﾝﾁMｺｱ</v>
          </cell>
          <cell r="AB97">
            <v>1015</v>
          </cell>
          <cell r="AC97"/>
          <cell r="AD97"/>
          <cell r="AE97"/>
          <cell r="AF97"/>
          <cell r="AG97"/>
          <cell r="AH97"/>
          <cell r="AI97"/>
          <cell r="AJ97"/>
          <cell r="AK97"/>
          <cell r="AL97"/>
          <cell r="AM97" t="str">
            <v>輸出梱包</v>
          </cell>
        </row>
        <row r="98">
          <cell r="G98" t="str">
            <v>3SNCLBPETTL</v>
          </cell>
          <cell r="H98" t="str">
            <v>S</v>
          </cell>
          <cell r="I98" t="str">
            <v>N</v>
          </cell>
          <cell r="J98" t="str">
            <v>CLB</v>
          </cell>
          <cell r="K98" t="str">
            <v>PETTL</v>
          </cell>
          <cell r="M98" t="str">
            <v>3SNCLBPETTL381350</v>
          </cell>
          <cell r="N98" t="str">
            <v>3SNCLBPETTL381320</v>
          </cell>
          <cell r="O98">
            <v>38</v>
          </cell>
          <cell r="P98">
            <v>3</v>
          </cell>
          <cell r="Q98" t="str">
            <v>E5001</v>
          </cell>
          <cell r="R98">
            <v>1350</v>
          </cell>
          <cell r="S98">
            <v>4400</v>
          </cell>
          <cell r="T98">
            <v>1320</v>
          </cell>
          <cell r="U98">
            <v>1320</v>
          </cell>
          <cell r="V98">
            <v>4200</v>
          </cell>
          <cell r="W98">
            <v>2</v>
          </cell>
          <cell r="X98" t="str">
            <v>CF4</v>
          </cell>
          <cell r="Y98" t="str">
            <v>SL-1</v>
          </cell>
          <cell r="Z98">
            <v>6</v>
          </cell>
          <cell r="AA98" t="str">
            <v>6ｲﾝﾁFWP</v>
          </cell>
          <cell r="AB98">
            <v>1450</v>
          </cell>
          <cell r="AC98">
            <v>6</v>
          </cell>
          <cell r="AD98" t="str">
            <v>FWP</v>
          </cell>
          <cell r="AE98">
            <v>1450</v>
          </cell>
          <cell r="AF98"/>
          <cell r="AG98"/>
          <cell r="AH98"/>
          <cell r="AI98"/>
          <cell r="AJ98"/>
          <cell r="AK98"/>
          <cell r="AL98"/>
          <cell r="AM98"/>
        </row>
        <row r="99">
          <cell r="G99" t="str">
            <v>3SNCLBPETTL</v>
          </cell>
          <cell r="H99" t="str">
            <v>S</v>
          </cell>
          <cell r="I99" t="str">
            <v>N</v>
          </cell>
          <cell r="J99" t="str">
            <v>CLB</v>
          </cell>
          <cell r="K99" t="str">
            <v>PETTL</v>
          </cell>
          <cell r="M99" t="str">
            <v>3SNCLBPETTL501350</v>
          </cell>
          <cell r="N99" t="str">
            <v>3SNCLBPETTL501320</v>
          </cell>
          <cell r="O99">
            <v>50</v>
          </cell>
          <cell r="P99">
            <v>3</v>
          </cell>
          <cell r="Q99" t="str">
            <v>E5001</v>
          </cell>
          <cell r="R99">
            <v>1350</v>
          </cell>
          <cell r="S99">
            <v>4400</v>
          </cell>
          <cell r="T99">
            <v>1320</v>
          </cell>
          <cell r="U99">
            <v>1320</v>
          </cell>
          <cell r="V99">
            <v>4200</v>
          </cell>
          <cell r="W99">
            <v>2</v>
          </cell>
          <cell r="X99" t="str">
            <v>CF4</v>
          </cell>
          <cell r="Y99" t="str">
            <v>SL-1</v>
          </cell>
          <cell r="Z99">
            <v>6</v>
          </cell>
          <cell r="AA99" t="str">
            <v>6ｲﾝﾁFWP</v>
          </cell>
          <cell r="AB99">
            <v>1450</v>
          </cell>
          <cell r="AC99">
            <v>6</v>
          </cell>
          <cell r="AD99" t="str">
            <v>FWP</v>
          </cell>
          <cell r="AE99">
            <v>1450</v>
          </cell>
          <cell r="AF99"/>
          <cell r="AG99"/>
          <cell r="AH99"/>
          <cell r="AI99"/>
          <cell r="AJ99"/>
          <cell r="AK99"/>
          <cell r="AL99"/>
          <cell r="AM99"/>
        </row>
        <row r="100">
          <cell r="G100" t="str">
            <v>3SNMCLBDMSV</v>
          </cell>
          <cell r="H100" t="str">
            <v>S</v>
          </cell>
          <cell r="I100" t="str">
            <v>N</v>
          </cell>
          <cell r="J100" t="str">
            <v>MCLB</v>
          </cell>
          <cell r="K100" t="str">
            <v>DMSV</v>
          </cell>
          <cell r="M100" t="str">
            <v>3SNMCLBDMSV501005</v>
          </cell>
          <cell r="N100" t="str">
            <v>3SNMCLBDMSV501000</v>
          </cell>
          <cell r="O100">
            <v>50</v>
          </cell>
          <cell r="P100">
            <v>3</v>
          </cell>
          <cell r="Q100" t="str">
            <v>X44</v>
          </cell>
          <cell r="R100">
            <v>1005</v>
          </cell>
          <cell r="S100">
            <v>4000</v>
          </cell>
          <cell r="T100">
            <v>1005</v>
          </cell>
          <cell r="U100">
            <v>1000</v>
          </cell>
          <cell r="V100">
            <v>2000</v>
          </cell>
          <cell r="W100">
            <v>2</v>
          </cell>
          <cell r="X100" t="str">
            <v>CF4</v>
          </cell>
          <cell r="Y100" t="str">
            <v>S-4</v>
          </cell>
          <cell r="Z100">
            <v>6</v>
          </cell>
          <cell r="AA100" t="str">
            <v>6ｲﾝﾁFWP</v>
          </cell>
          <cell r="AB100">
            <v>1450</v>
          </cell>
          <cell r="AC100">
            <v>6</v>
          </cell>
          <cell r="AD100" t="str">
            <v>6ｲﾝﾁMｺｱ</v>
          </cell>
          <cell r="AE100">
            <v>1020</v>
          </cell>
          <cell r="AF100">
            <v>2</v>
          </cell>
          <cell r="AG100" t="str">
            <v>6ｲﾝﾁFWP</v>
          </cell>
          <cell r="AH100">
            <v>1450</v>
          </cell>
          <cell r="AI100">
            <v>3</v>
          </cell>
          <cell r="AJ100" t="str">
            <v>6ｲﾝﾁFWP</v>
          </cell>
          <cell r="AK100">
            <v>1450</v>
          </cell>
          <cell r="AL100"/>
          <cell r="AM100"/>
        </row>
        <row r="101">
          <cell r="G101" t="str">
            <v>3SNMCLBEYK</v>
          </cell>
          <cell r="H101" t="str">
            <v>S</v>
          </cell>
          <cell r="I101" t="str">
            <v>N</v>
          </cell>
          <cell r="J101" t="str">
            <v>MCLB</v>
          </cell>
          <cell r="K101" t="str">
            <v>EYK</v>
          </cell>
          <cell r="M101" t="str">
            <v>3SNMCLBEYK501125</v>
          </cell>
          <cell r="N101" t="str">
            <v>3SNMCLBEYK501120</v>
          </cell>
          <cell r="O101">
            <v>50</v>
          </cell>
          <cell r="P101">
            <v>3</v>
          </cell>
          <cell r="Q101" t="str">
            <v>T62M</v>
          </cell>
          <cell r="R101">
            <v>1125</v>
          </cell>
          <cell r="S101">
            <v>6100</v>
          </cell>
          <cell r="T101">
            <v>1120</v>
          </cell>
          <cell r="U101">
            <v>1120</v>
          </cell>
          <cell r="V101">
            <v>6000</v>
          </cell>
          <cell r="W101">
            <v>2</v>
          </cell>
          <cell r="X101" t="str">
            <v>CF4</v>
          </cell>
          <cell r="Y101" t="str">
            <v>S-4</v>
          </cell>
          <cell r="Z101">
            <v>6</v>
          </cell>
          <cell r="AA101" t="str">
            <v>6ｲﾝﾁFWP</v>
          </cell>
          <cell r="AB101">
            <v>1450</v>
          </cell>
          <cell r="AC101">
            <v>6</v>
          </cell>
          <cell r="AD101" t="str">
            <v>6ｲﾝﾁMｺｱ</v>
          </cell>
          <cell r="AE101">
            <v>1140</v>
          </cell>
          <cell r="AF101">
            <v>2</v>
          </cell>
          <cell r="AG101" t="str">
            <v>6ｲﾝﾁFWP</v>
          </cell>
          <cell r="AH101">
            <v>1450</v>
          </cell>
          <cell r="AI101">
            <v>3</v>
          </cell>
          <cell r="AJ101" t="str">
            <v>6ｲﾝﾁFWP</v>
          </cell>
          <cell r="AK101">
            <v>1450</v>
          </cell>
          <cell r="AL101"/>
          <cell r="AM101" t="str">
            <v>原反ケース再利用</v>
          </cell>
        </row>
        <row r="102">
          <cell r="G102" t="str">
            <v>3HSNMCLBEYK</v>
          </cell>
          <cell r="H102" t="str">
            <v>S</v>
          </cell>
          <cell r="I102" t="str">
            <v>N</v>
          </cell>
          <cell r="J102" t="str">
            <v>MCLB</v>
          </cell>
          <cell r="K102" t="str">
            <v>EYK</v>
          </cell>
          <cell r="M102" t="str">
            <v>3HSNMCLBEYK501195</v>
          </cell>
          <cell r="N102" t="str">
            <v>3HSNMCLBEYK501190</v>
          </cell>
          <cell r="O102">
            <v>50</v>
          </cell>
          <cell r="P102" t="str">
            <v>3H</v>
          </cell>
          <cell r="Q102" t="str">
            <v>T62M</v>
          </cell>
          <cell r="R102">
            <v>1195</v>
          </cell>
          <cell r="S102">
            <v>6100</v>
          </cell>
          <cell r="T102">
            <v>1190</v>
          </cell>
          <cell r="U102">
            <v>1190</v>
          </cell>
          <cell r="V102">
            <v>6000</v>
          </cell>
          <cell r="W102">
            <v>2</v>
          </cell>
          <cell r="X102" t="str">
            <v>CF4</v>
          </cell>
          <cell r="Y102" t="str">
            <v>S-4</v>
          </cell>
          <cell r="Z102">
            <v>6</v>
          </cell>
          <cell r="AA102" t="str">
            <v>6ｲﾝﾁFWP</v>
          </cell>
          <cell r="AB102">
            <v>1450</v>
          </cell>
          <cell r="AC102">
            <v>6</v>
          </cell>
          <cell r="AD102" t="str">
            <v>6ｲﾝﾁMｺｱ</v>
          </cell>
          <cell r="AE102">
            <v>1220</v>
          </cell>
          <cell r="AF102">
            <v>2</v>
          </cell>
          <cell r="AG102" t="str">
            <v>6ｲﾝﾁFWP</v>
          </cell>
          <cell r="AH102">
            <v>1450</v>
          </cell>
          <cell r="AI102">
            <v>3</v>
          </cell>
          <cell r="AJ102" t="str">
            <v>6ｲﾝﾁFWP</v>
          </cell>
          <cell r="AK102">
            <v>1450</v>
          </cell>
          <cell r="AL102"/>
          <cell r="AM102" t="str">
            <v>原反ケース再利用</v>
          </cell>
        </row>
        <row r="103">
          <cell r="G103" t="str">
            <v>3SNMCLBHLGKJV</v>
          </cell>
          <cell r="H103" t="str">
            <v>S</v>
          </cell>
          <cell r="I103" t="str">
            <v>N</v>
          </cell>
          <cell r="J103" t="str">
            <v>MCLB</v>
          </cell>
          <cell r="K103" t="str">
            <v>HLGKJV</v>
          </cell>
          <cell r="M103" t="str">
            <v>3SNMCLBHLGKJV251005</v>
          </cell>
          <cell r="N103" t="str">
            <v>3SNMCLBHLGKJV251000</v>
          </cell>
          <cell r="O103">
            <v>25</v>
          </cell>
          <cell r="P103">
            <v>3</v>
          </cell>
          <cell r="Q103" t="str">
            <v>HL-MAT</v>
          </cell>
          <cell r="R103">
            <v>1005</v>
          </cell>
          <cell r="S103">
            <v>2000</v>
          </cell>
          <cell r="T103">
            <v>1005</v>
          </cell>
          <cell r="U103">
            <v>1000</v>
          </cell>
          <cell r="V103">
            <v>2000</v>
          </cell>
          <cell r="W103">
            <v>2</v>
          </cell>
          <cell r="X103" t="str">
            <v>CF4</v>
          </cell>
          <cell r="Y103" t="str">
            <v>S-4</v>
          </cell>
          <cell r="Z103">
            <v>6</v>
          </cell>
          <cell r="AA103" t="str">
            <v>6ｲﾝﾁFWP</v>
          </cell>
          <cell r="AB103">
            <v>1450</v>
          </cell>
          <cell r="AC103">
            <v>6</v>
          </cell>
          <cell r="AD103" t="str">
            <v>6ｲﾝﾁSｺｱ</v>
          </cell>
          <cell r="AE103">
            <v>1015</v>
          </cell>
          <cell r="AF103">
            <v>2</v>
          </cell>
          <cell r="AG103" t="str">
            <v>6ｲﾝﾁFWP</v>
          </cell>
          <cell r="AH103">
            <v>1450</v>
          </cell>
          <cell r="AI103">
            <v>3</v>
          </cell>
          <cell r="AJ103" t="str">
            <v>6ｲﾝﾁFWP</v>
          </cell>
          <cell r="AK103">
            <v>1450</v>
          </cell>
          <cell r="AL103"/>
          <cell r="AM103"/>
        </row>
        <row r="104">
          <cell r="G104" t="str">
            <v>3SNMCLBHLGKJV</v>
          </cell>
          <cell r="H104" t="str">
            <v>S</v>
          </cell>
          <cell r="I104" t="str">
            <v>N</v>
          </cell>
          <cell r="J104" t="str">
            <v>MCLB</v>
          </cell>
          <cell r="K104" t="str">
            <v>HLGKJV</v>
          </cell>
          <cell r="M104" t="str">
            <v>3SNMCLBHLGKJV501005</v>
          </cell>
          <cell r="N104" t="str">
            <v>3SNMCLBHLGKJV501000</v>
          </cell>
          <cell r="O104">
            <v>50</v>
          </cell>
          <cell r="P104">
            <v>3</v>
          </cell>
          <cell r="Q104" t="str">
            <v>HL-MAT</v>
          </cell>
          <cell r="R104">
            <v>1005</v>
          </cell>
          <cell r="S104">
            <v>4000</v>
          </cell>
          <cell r="T104">
            <v>1005</v>
          </cell>
          <cell r="U104">
            <v>1000</v>
          </cell>
          <cell r="V104">
            <v>2000</v>
          </cell>
          <cell r="W104">
            <v>2</v>
          </cell>
          <cell r="X104" t="str">
            <v>CF4</v>
          </cell>
          <cell r="Y104" t="str">
            <v>S-4</v>
          </cell>
          <cell r="Z104">
            <v>6</v>
          </cell>
          <cell r="AA104" t="str">
            <v>6ｲﾝﾁFWP</v>
          </cell>
          <cell r="AB104">
            <v>1450</v>
          </cell>
          <cell r="AC104">
            <v>6</v>
          </cell>
          <cell r="AD104" t="str">
            <v>6ｲﾝﾁSｺｱ</v>
          </cell>
          <cell r="AE104">
            <v>1015</v>
          </cell>
          <cell r="AF104">
            <v>2</v>
          </cell>
          <cell r="AG104" t="str">
            <v>6ｲﾝﾁFWP</v>
          </cell>
          <cell r="AH104">
            <v>1450</v>
          </cell>
          <cell r="AI104">
            <v>3</v>
          </cell>
          <cell r="AJ104" t="str">
            <v>6ｲﾝﾁFWP</v>
          </cell>
          <cell r="AK104">
            <v>1450</v>
          </cell>
          <cell r="AL104"/>
          <cell r="AM104"/>
        </row>
        <row r="105">
          <cell r="G105" t="str">
            <v>3SNMCLBHLGTV</v>
          </cell>
          <cell r="H105" t="str">
            <v>S</v>
          </cell>
          <cell r="I105" t="str">
            <v>N</v>
          </cell>
          <cell r="J105" t="str">
            <v>MCLB</v>
          </cell>
          <cell r="K105" t="str">
            <v>HLGTV</v>
          </cell>
          <cell r="M105" t="str">
            <v>3SNMCLBHLGTV251005</v>
          </cell>
          <cell r="N105" t="str">
            <v>3SNMCLBHLGTV251000</v>
          </cell>
          <cell r="O105">
            <v>25</v>
          </cell>
          <cell r="P105">
            <v>3</v>
          </cell>
          <cell r="Q105" t="str">
            <v>BRIGHT</v>
          </cell>
          <cell r="R105">
            <v>1005</v>
          </cell>
          <cell r="S105">
            <v>8000</v>
          </cell>
          <cell r="T105">
            <v>1005</v>
          </cell>
          <cell r="U105">
            <v>1000</v>
          </cell>
          <cell r="V105">
            <v>2000</v>
          </cell>
          <cell r="W105">
            <v>2</v>
          </cell>
          <cell r="X105" t="str">
            <v>CF4</v>
          </cell>
          <cell r="Y105" t="str">
            <v>S-4</v>
          </cell>
          <cell r="Z105">
            <v>6</v>
          </cell>
          <cell r="AA105" t="str">
            <v>6ｲﾝﾁFWP</v>
          </cell>
          <cell r="AB105">
            <v>1450</v>
          </cell>
          <cell r="AC105">
            <v>6</v>
          </cell>
          <cell r="AD105" t="str">
            <v>6ｲﾝﾁSｺｱ</v>
          </cell>
          <cell r="AE105">
            <v>1015</v>
          </cell>
          <cell r="AF105">
            <v>2</v>
          </cell>
          <cell r="AG105" t="str">
            <v>6ｲﾝﾁFWP</v>
          </cell>
          <cell r="AH105">
            <v>1450</v>
          </cell>
          <cell r="AI105">
            <v>3</v>
          </cell>
          <cell r="AJ105" t="str">
            <v>6ｲﾝﾁFWP</v>
          </cell>
          <cell r="AK105">
            <v>1450</v>
          </cell>
          <cell r="AL105"/>
          <cell r="AM105"/>
        </row>
        <row r="106">
          <cell r="G106" t="str">
            <v>3SNMCLBHLGTV</v>
          </cell>
          <cell r="H106" t="str">
            <v>S</v>
          </cell>
          <cell r="I106" t="str">
            <v>N</v>
          </cell>
          <cell r="J106" t="str">
            <v>MCLB</v>
          </cell>
          <cell r="K106" t="str">
            <v>HLGTV</v>
          </cell>
          <cell r="M106" t="str">
            <v>3SNMCLBHLGTV501005</v>
          </cell>
          <cell r="N106" t="str">
            <v>3SNMCLBHLGTV501000</v>
          </cell>
          <cell r="O106">
            <v>50</v>
          </cell>
          <cell r="P106">
            <v>3</v>
          </cell>
          <cell r="Q106" t="str">
            <v>BRIGHT</v>
          </cell>
          <cell r="R106">
            <v>1005</v>
          </cell>
          <cell r="S106">
            <v>4100</v>
          </cell>
          <cell r="T106">
            <v>1005</v>
          </cell>
          <cell r="U106">
            <v>1000</v>
          </cell>
          <cell r="V106">
            <v>2000</v>
          </cell>
          <cell r="W106">
            <v>2</v>
          </cell>
          <cell r="X106" t="str">
            <v>CF4</v>
          </cell>
          <cell r="Y106" t="str">
            <v>S-4</v>
          </cell>
          <cell r="Z106">
            <v>6</v>
          </cell>
          <cell r="AA106" t="str">
            <v>6ｲﾝﾁFWP</v>
          </cell>
          <cell r="AB106">
            <v>1450</v>
          </cell>
          <cell r="AC106">
            <v>6</v>
          </cell>
          <cell r="AD106" t="str">
            <v>6ｲﾝﾁSｺｱ</v>
          </cell>
          <cell r="AE106">
            <v>1015</v>
          </cell>
          <cell r="AF106">
            <v>2</v>
          </cell>
          <cell r="AG106" t="str">
            <v>6ｲﾝﾁFWP</v>
          </cell>
          <cell r="AH106">
            <v>1450</v>
          </cell>
          <cell r="AI106">
            <v>3</v>
          </cell>
          <cell r="AJ106" t="str">
            <v>6ｲﾝﾁFWP</v>
          </cell>
          <cell r="AK106">
            <v>1450</v>
          </cell>
          <cell r="AL106"/>
          <cell r="AM106"/>
        </row>
        <row r="107">
          <cell r="G107" t="str">
            <v>3SNMCLBHLGTV</v>
          </cell>
          <cell r="H107" t="str">
            <v>S</v>
          </cell>
          <cell r="I107" t="str">
            <v>N</v>
          </cell>
          <cell r="J107" t="str">
            <v>MCLB</v>
          </cell>
          <cell r="K107" t="str">
            <v>HLGTV</v>
          </cell>
          <cell r="M107" t="str">
            <v>3SNMCLBHLGTV501125</v>
          </cell>
          <cell r="N107" t="str">
            <v>3SNMCLBHLGTV501120</v>
          </cell>
          <cell r="O107">
            <v>50</v>
          </cell>
          <cell r="P107">
            <v>3</v>
          </cell>
          <cell r="Q107" t="str">
            <v>BRIGHT</v>
          </cell>
          <cell r="R107">
            <v>1125</v>
          </cell>
          <cell r="S107">
            <v>4100</v>
          </cell>
          <cell r="T107">
            <v>1125</v>
          </cell>
          <cell r="U107">
            <v>1120</v>
          </cell>
          <cell r="V107">
            <v>2000</v>
          </cell>
          <cell r="W107">
            <v>2</v>
          </cell>
          <cell r="X107" t="str">
            <v>CF4</v>
          </cell>
          <cell r="Y107" t="str">
            <v>S-4</v>
          </cell>
          <cell r="Z107">
            <v>6</v>
          </cell>
          <cell r="AA107" t="str">
            <v>6ｲﾝﾁFWP</v>
          </cell>
          <cell r="AB107">
            <v>1450</v>
          </cell>
          <cell r="AC107">
            <v>6</v>
          </cell>
          <cell r="AD107" t="str">
            <v>6ｲﾝﾁSｺｱ</v>
          </cell>
          <cell r="AE107">
            <v>1140</v>
          </cell>
          <cell r="AF107">
            <v>2</v>
          </cell>
          <cell r="AG107" t="str">
            <v>6ｲﾝﾁFWP</v>
          </cell>
          <cell r="AH107">
            <v>1450</v>
          </cell>
          <cell r="AI107">
            <v>3</v>
          </cell>
          <cell r="AJ107" t="str">
            <v>6ｲﾝﾁFWP</v>
          </cell>
          <cell r="AK107">
            <v>1450</v>
          </cell>
          <cell r="AL107"/>
          <cell r="AM107"/>
        </row>
        <row r="108">
          <cell r="G108" t="str">
            <v>3SYMCLBHLGTV</v>
          </cell>
          <cell r="H108" t="str">
            <v>S</v>
          </cell>
          <cell r="I108" t="str">
            <v>Y</v>
          </cell>
          <cell r="J108" t="str">
            <v>MCLB</v>
          </cell>
          <cell r="K108" t="str">
            <v>HLGTV</v>
          </cell>
          <cell r="M108" t="str">
            <v>3SYMCLBHLGTV501005</v>
          </cell>
          <cell r="N108" t="str">
            <v>3SYMCLBHLGTV501000</v>
          </cell>
          <cell r="O108">
            <v>50</v>
          </cell>
          <cell r="P108">
            <v>3</v>
          </cell>
          <cell r="Q108" t="str">
            <v>BRIGHT</v>
          </cell>
          <cell r="R108">
            <v>1005</v>
          </cell>
          <cell r="S108">
            <v>4100</v>
          </cell>
          <cell r="T108">
            <v>1005</v>
          </cell>
          <cell r="U108">
            <v>1000</v>
          </cell>
          <cell r="V108">
            <v>4000</v>
          </cell>
          <cell r="W108">
            <v>2</v>
          </cell>
          <cell r="X108" t="str">
            <v>CF4</v>
          </cell>
          <cell r="Y108" t="str">
            <v>S-4</v>
          </cell>
          <cell r="Z108">
            <v>6</v>
          </cell>
          <cell r="AA108" t="str">
            <v>6ｲﾝﾁFWP</v>
          </cell>
          <cell r="AB108">
            <v>1450</v>
          </cell>
          <cell r="AC108">
            <v>6</v>
          </cell>
          <cell r="AD108" t="str">
            <v>6ｲﾝﾁSｺｱ</v>
          </cell>
          <cell r="AE108">
            <v>1015</v>
          </cell>
          <cell r="AF108">
            <v>2</v>
          </cell>
          <cell r="AG108" t="str">
            <v>6ｲﾝﾁFWP</v>
          </cell>
          <cell r="AH108">
            <v>1450</v>
          </cell>
          <cell r="AI108">
            <v>3</v>
          </cell>
          <cell r="AJ108" t="str">
            <v>6ｲﾝﾁFWP</v>
          </cell>
          <cell r="AK108">
            <v>1450</v>
          </cell>
          <cell r="AL108"/>
          <cell r="AM108" t="str">
            <v>輸出梱包</v>
          </cell>
        </row>
        <row r="109">
          <cell r="G109" t="str">
            <v>3SNMCLBMSKTLHG</v>
          </cell>
          <cell r="H109" t="str">
            <v>S</v>
          </cell>
          <cell r="I109" t="str">
            <v>N</v>
          </cell>
          <cell r="J109" t="str">
            <v>MCLB</v>
          </cell>
          <cell r="K109" t="str">
            <v>MSKTLHG</v>
          </cell>
          <cell r="M109" t="str">
            <v>3SNMCLBMSKTLHG1001020</v>
          </cell>
          <cell r="N109" t="str">
            <v>3SNMCLBMSKTLHG1001020</v>
          </cell>
          <cell r="O109">
            <v>100</v>
          </cell>
          <cell r="P109">
            <v>3</v>
          </cell>
          <cell r="Q109" t="str">
            <v>ﾏｯﾄﾙﾐﾗｰ</v>
          </cell>
          <cell r="R109">
            <v>1020</v>
          </cell>
          <cell r="S109">
            <v>2400</v>
          </cell>
          <cell r="T109">
            <v>1020</v>
          </cell>
          <cell r="U109">
            <v>1020</v>
          </cell>
          <cell r="V109">
            <v>2400</v>
          </cell>
          <cell r="W109">
            <v>2</v>
          </cell>
          <cell r="X109" t="str">
            <v>CF4</v>
          </cell>
          <cell r="Y109" t="str">
            <v>直出し</v>
          </cell>
          <cell r="Z109">
            <v>6</v>
          </cell>
          <cell r="AA109" t="str">
            <v>6ｲﾝﾁFWP</v>
          </cell>
          <cell r="AB109">
            <v>1450</v>
          </cell>
          <cell r="AC109"/>
          <cell r="AD109"/>
          <cell r="AE109"/>
          <cell r="AF109">
            <v>2</v>
          </cell>
          <cell r="AG109" t="str">
            <v>6ｲﾝﾁFWP</v>
          </cell>
          <cell r="AH109">
            <v>1450</v>
          </cell>
          <cell r="AI109">
            <v>3</v>
          </cell>
          <cell r="AJ109" t="str">
            <v>6ｲﾝﾁFWP</v>
          </cell>
          <cell r="AK109">
            <v>1450</v>
          </cell>
          <cell r="AL109"/>
          <cell r="AM109"/>
        </row>
        <row r="110">
          <cell r="G110" t="str">
            <v>3SNMCLBMSNEYK</v>
          </cell>
          <cell r="H110" t="str">
            <v>S</v>
          </cell>
          <cell r="I110" t="str">
            <v>N</v>
          </cell>
          <cell r="J110" t="str">
            <v>MCLB</v>
          </cell>
          <cell r="K110" t="str">
            <v>MSNEYK</v>
          </cell>
          <cell r="M110" t="str">
            <v>3SNMCLBMSNEYK251120</v>
          </cell>
          <cell r="N110" t="str">
            <v>3SNMCLBMSNEYK251120</v>
          </cell>
          <cell r="O110">
            <v>25</v>
          </cell>
          <cell r="P110">
            <v>3</v>
          </cell>
          <cell r="Q110" t="str">
            <v>N-MAT</v>
          </cell>
          <cell r="R110">
            <v>1120</v>
          </cell>
          <cell r="S110">
            <v>4000</v>
          </cell>
          <cell r="T110">
            <v>1120</v>
          </cell>
          <cell r="U110">
            <v>1120</v>
          </cell>
          <cell r="V110">
            <v>4000</v>
          </cell>
          <cell r="W110">
            <v>2</v>
          </cell>
          <cell r="X110" t="str">
            <v>CF4</v>
          </cell>
          <cell r="Y110" t="str">
            <v>S-4</v>
          </cell>
          <cell r="Z110">
            <v>6</v>
          </cell>
          <cell r="AA110" t="str">
            <v>6ｲﾝﾁFWP</v>
          </cell>
          <cell r="AB110">
            <v>1450</v>
          </cell>
          <cell r="AC110">
            <v>6</v>
          </cell>
          <cell r="AD110" t="str">
            <v>6ｲﾝﾁMｺｱ</v>
          </cell>
          <cell r="AE110">
            <v>1140</v>
          </cell>
          <cell r="AF110">
            <v>2</v>
          </cell>
          <cell r="AG110" t="str">
            <v>6ｲﾝﾁFWP</v>
          </cell>
          <cell r="AH110">
            <v>1450</v>
          </cell>
          <cell r="AI110">
            <v>3</v>
          </cell>
          <cell r="AJ110" t="str">
            <v>6ｲﾝﾁFWP</v>
          </cell>
          <cell r="AK110">
            <v>1450</v>
          </cell>
          <cell r="AL110"/>
          <cell r="AM110" t="str">
            <v>原反ケース再利用</v>
          </cell>
        </row>
        <row r="111">
          <cell r="G111" t="str">
            <v>3SNMCLBMSNEYK</v>
          </cell>
          <cell r="H111" t="str">
            <v>S</v>
          </cell>
          <cell r="I111" t="str">
            <v>N</v>
          </cell>
          <cell r="J111" t="str">
            <v>MCLB</v>
          </cell>
          <cell r="K111" t="str">
            <v>MSNEYK</v>
          </cell>
          <cell r="M111" t="str">
            <v>3SNMCLBMSNEYK501120</v>
          </cell>
          <cell r="N111" t="str">
            <v>3SNMCLBMSNEYK501120</v>
          </cell>
          <cell r="O111">
            <v>50</v>
          </cell>
          <cell r="P111">
            <v>3</v>
          </cell>
          <cell r="Q111" t="str">
            <v>N-MAT</v>
          </cell>
          <cell r="R111">
            <v>1120</v>
          </cell>
          <cell r="S111">
            <v>4000</v>
          </cell>
          <cell r="T111">
            <v>1120</v>
          </cell>
          <cell r="U111">
            <v>1120</v>
          </cell>
          <cell r="V111">
            <v>4000</v>
          </cell>
          <cell r="W111">
            <v>2</v>
          </cell>
          <cell r="X111" t="str">
            <v>CF4</v>
          </cell>
          <cell r="Y111" t="str">
            <v>S-4</v>
          </cell>
          <cell r="Z111">
            <v>6</v>
          </cell>
          <cell r="AA111" t="str">
            <v>6ｲﾝﾁFWP</v>
          </cell>
          <cell r="AB111">
            <v>1450</v>
          </cell>
          <cell r="AC111">
            <v>6</v>
          </cell>
          <cell r="AD111" t="str">
            <v>6ｲﾝﾁMｺｱ</v>
          </cell>
          <cell r="AE111">
            <v>1140</v>
          </cell>
          <cell r="AF111">
            <v>2</v>
          </cell>
          <cell r="AG111" t="str">
            <v>6ｲﾝﾁFWP</v>
          </cell>
          <cell r="AH111">
            <v>1450</v>
          </cell>
          <cell r="AI111">
            <v>3</v>
          </cell>
          <cell r="AJ111" t="str">
            <v>6ｲﾝﾁFWP</v>
          </cell>
          <cell r="AK111">
            <v>1450</v>
          </cell>
          <cell r="AL111"/>
          <cell r="AM111" t="str">
            <v>原反ケース再利用</v>
          </cell>
        </row>
        <row r="112">
          <cell r="G112" t="str">
            <v>3SNMCLBMSNEYK</v>
          </cell>
          <cell r="H112" t="str">
            <v>S</v>
          </cell>
          <cell r="I112" t="str">
            <v>N</v>
          </cell>
          <cell r="J112" t="str">
            <v>MCLB</v>
          </cell>
          <cell r="K112" t="str">
            <v>MSNEYK</v>
          </cell>
          <cell r="M112" t="str">
            <v>3SNMCLBMSNEYK501200</v>
          </cell>
          <cell r="N112" t="str">
            <v>3SNMCLBMSNEYK501190</v>
          </cell>
          <cell r="O112">
            <v>50</v>
          </cell>
          <cell r="P112">
            <v>3</v>
          </cell>
          <cell r="Q112" t="str">
            <v>N-MAT</v>
          </cell>
          <cell r="R112">
            <v>1200</v>
          </cell>
          <cell r="S112">
            <v>6000</v>
          </cell>
          <cell r="T112">
            <v>1200</v>
          </cell>
          <cell r="U112">
            <v>1190</v>
          </cell>
          <cell r="V112">
            <v>6000</v>
          </cell>
          <cell r="W112">
            <v>2</v>
          </cell>
          <cell r="X112" t="str">
            <v>CF4</v>
          </cell>
          <cell r="Y112" t="str">
            <v>S-4</v>
          </cell>
          <cell r="Z112">
            <v>6</v>
          </cell>
          <cell r="AA112" t="str">
            <v>6ｲﾝﾁFWP</v>
          </cell>
          <cell r="AB112">
            <v>1450</v>
          </cell>
          <cell r="AC112">
            <v>6</v>
          </cell>
          <cell r="AD112" t="str">
            <v>6ｲﾝﾁMｺｱ</v>
          </cell>
          <cell r="AE112">
            <v>1220</v>
          </cell>
          <cell r="AF112">
            <v>2</v>
          </cell>
          <cell r="AG112" t="str">
            <v>6ｲﾝﾁFWP</v>
          </cell>
          <cell r="AH112">
            <v>1450</v>
          </cell>
          <cell r="AI112">
            <v>3</v>
          </cell>
          <cell r="AJ112" t="str">
            <v>6ｲﾝﾁFWP</v>
          </cell>
          <cell r="AK112">
            <v>1450</v>
          </cell>
          <cell r="AL112"/>
          <cell r="AM112" t="str">
            <v>原反ケース再利用</v>
          </cell>
        </row>
        <row r="113">
          <cell r="G113" t="str">
            <v>3SNMCLBMSNEYK</v>
          </cell>
          <cell r="H113" t="str">
            <v>S</v>
          </cell>
          <cell r="I113" t="str">
            <v>N</v>
          </cell>
          <cell r="J113" t="str">
            <v>MCLB</v>
          </cell>
          <cell r="K113" t="str">
            <v>MSNEYK</v>
          </cell>
          <cell r="M113" t="str">
            <v>3SNMCLBMSNEYK1001205</v>
          </cell>
          <cell r="N113" t="str">
            <v>3SNMCLBMSNEYK1001205</v>
          </cell>
          <cell r="O113">
            <v>100</v>
          </cell>
          <cell r="P113">
            <v>3</v>
          </cell>
          <cell r="Q113" t="str">
            <v>N-MAT</v>
          </cell>
          <cell r="R113">
            <v>1205</v>
          </cell>
          <cell r="S113">
            <v>2500</v>
          </cell>
          <cell r="T113">
            <v>1205</v>
          </cell>
          <cell r="U113">
            <v>1205</v>
          </cell>
          <cell r="V113">
            <v>2500</v>
          </cell>
          <cell r="W113">
            <v>2</v>
          </cell>
          <cell r="X113" t="str">
            <v>CF4</v>
          </cell>
          <cell r="Y113" t="str">
            <v>S-4</v>
          </cell>
          <cell r="Z113">
            <v>6</v>
          </cell>
          <cell r="AA113" t="str">
            <v>6ｲﾝﾁFWP</v>
          </cell>
          <cell r="AB113">
            <v>1450</v>
          </cell>
          <cell r="AC113">
            <v>6</v>
          </cell>
          <cell r="AD113" t="str">
            <v>6ｲﾝﾁMｺｱ</v>
          </cell>
          <cell r="AE113">
            <v>1220</v>
          </cell>
          <cell r="AF113">
            <v>2</v>
          </cell>
          <cell r="AG113" t="str">
            <v>6ｲﾝﾁFWP</v>
          </cell>
          <cell r="AH113">
            <v>1450</v>
          </cell>
          <cell r="AI113">
            <v>3</v>
          </cell>
          <cell r="AJ113" t="str">
            <v>6ｲﾝﾁFWP</v>
          </cell>
          <cell r="AK113">
            <v>1450</v>
          </cell>
          <cell r="AL113"/>
          <cell r="AM113" t="str">
            <v>原反ケース再利用</v>
          </cell>
        </row>
        <row r="114">
          <cell r="G114" t="str">
            <v>3SNMCLBNGKVB</v>
          </cell>
          <cell r="H114" t="str">
            <v>S</v>
          </cell>
          <cell r="I114" t="str">
            <v>N</v>
          </cell>
          <cell r="J114" t="str">
            <v>MCLB</v>
          </cell>
          <cell r="K114" t="str">
            <v>NGKVB</v>
          </cell>
          <cell r="M114" t="str">
            <v>3SNMCLBNGKVB501005</v>
          </cell>
          <cell r="N114" t="str">
            <v>3SNMCLBNGKVB501000</v>
          </cell>
          <cell r="O114">
            <v>50</v>
          </cell>
          <cell r="P114">
            <v>3</v>
          </cell>
          <cell r="Q114" t="str">
            <v>MAT</v>
          </cell>
          <cell r="R114">
            <v>1005</v>
          </cell>
          <cell r="S114">
            <v>4100</v>
          </cell>
          <cell r="T114">
            <v>1005</v>
          </cell>
          <cell r="U114">
            <v>1000</v>
          </cell>
          <cell r="V114">
            <v>4000</v>
          </cell>
          <cell r="W114">
            <v>2</v>
          </cell>
          <cell r="X114" t="str">
            <v>CF4</v>
          </cell>
          <cell r="Y114" t="str">
            <v>S-4</v>
          </cell>
          <cell r="Z114">
            <v>6</v>
          </cell>
          <cell r="AA114" t="str">
            <v>6ｲﾝﾁFWP</v>
          </cell>
          <cell r="AB114">
            <v>1450</v>
          </cell>
          <cell r="AC114">
            <v>6</v>
          </cell>
          <cell r="AD114" t="str">
            <v>6ｲﾝﾁMｺｱ</v>
          </cell>
          <cell r="AE114">
            <v>1020</v>
          </cell>
          <cell r="AF114">
            <v>2</v>
          </cell>
          <cell r="AG114" t="str">
            <v>6ｲﾝﾁFWP</v>
          </cell>
          <cell r="AH114">
            <v>1450</v>
          </cell>
          <cell r="AI114">
            <v>3</v>
          </cell>
          <cell r="AJ114" t="str">
            <v>6ｲﾝﾁFWP</v>
          </cell>
          <cell r="AK114">
            <v>1450</v>
          </cell>
          <cell r="AL114"/>
          <cell r="AM114"/>
        </row>
        <row r="115">
          <cell r="G115" t="str">
            <v>3SNMCLBNGTVB</v>
          </cell>
          <cell r="H115" t="str">
            <v>S</v>
          </cell>
          <cell r="I115" t="str">
            <v>N</v>
          </cell>
          <cell r="J115" t="str">
            <v>MCLB</v>
          </cell>
          <cell r="K115" t="str">
            <v>NGTVB</v>
          </cell>
          <cell r="M115" t="str">
            <v>3SNMCLBNGTVB501040</v>
          </cell>
          <cell r="N115" t="str">
            <v>3SNMCLBNGTVB501000</v>
          </cell>
          <cell r="O115">
            <v>50</v>
          </cell>
          <cell r="P115">
            <v>3</v>
          </cell>
          <cell r="Q115" t="str">
            <v>T62</v>
          </cell>
          <cell r="R115">
            <v>1040</v>
          </cell>
          <cell r="S115">
            <v>5000</v>
          </cell>
          <cell r="T115">
            <v>1000</v>
          </cell>
          <cell r="U115">
            <v>1000</v>
          </cell>
          <cell r="V115">
            <v>2500</v>
          </cell>
          <cell r="W115">
            <v>2</v>
          </cell>
          <cell r="X115" t="str">
            <v>CF4</v>
          </cell>
          <cell r="Y115" t="str">
            <v>S-4</v>
          </cell>
          <cell r="Z115">
            <v>6</v>
          </cell>
          <cell r="AA115" t="str">
            <v>6ｲﾝﾁFWP</v>
          </cell>
          <cell r="AB115">
            <v>1450</v>
          </cell>
          <cell r="AC115">
            <v>6</v>
          </cell>
          <cell r="AD115" t="str">
            <v>6ｲﾝﾁMｺｱ</v>
          </cell>
          <cell r="AE115">
            <v>1020</v>
          </cell>
          <cell r="AF115">
            <v>2</v>
          </cell>
          <cell r="AG115" t="str">
            <v>6ｲﾝﾁFWP</v>
          </cell>
          <cell r="AH115">
            <v>1450</v>
          </cell>
          <cell r="AI115">
            <v>3</v>
          </cell>
          <cell r="AJ115" t="str">
            <v>6ｲﾝﾁFWP</v>
          </cell>
          <cell r="AK115">
            <v>1450</v>
          </cell>
          <cell r="AL115"/>
          <cell r="AM115"/>
        </row>
        <row r="116">
          <cell r="G116" t="str">
            <v>3SNMCLBNGTVB</v>
          </cell>
          <cell r="H116" t="str">
            <v>S</v>
          </cell>
          <cell r="I116" t="str">
            <v>N</v>
          </cell>
          <cell r="J116" t="str">
            <v>MCLB</v>
          </cell>
          <cell r="K116" t="str">
            <v>NGTVB</v>
          </cell>
          <cell r="M116" t="str">
            <v>3SNMCLBNGTVB501235</v>
          </cell>
          <cell r="N116" t="str">
            <v>3SNMCLBNGTVB501195</v>
          </cell>
          <cell r="O116">
            <v>50</v>
          </cell>
          <cell r="P116">
            <v>3</v>
          </cell>
          <cell r="Q116" t="str">
            <v>T62M</v>
          </cell>
          <cell r="R116">
            <v>1235</v>
          </cell>
          <cell r="S116">
            <v>6200</v>
          </cell>
          <cell r="T116">
            <v>1195</v>
          </cell>
          <cell r="U116">
            <v>1195</v>
          </cell>
          <cell r="V116">
            <v>6200</v>
          </cell>
          <cell r="W116">
            <v>2</v>
          </cell>
          <cell r="X116" t="str">
            <v>CF4</v>
          </cell>
          <cell r="Y116" t="str">
            <v>S-4</v>
          </cell>
          <cell r="Z116">
            <v>6</v>
          </cell>
          <cell r="AA116" t="str">
            <v>6ｲﾝﾁFWP</v>
          </cell>
          <cell r="AB116">
            <v>1450</v>
          </cell>
          <cell r="AC116">
            <v>6</v>
          </cell>
          <cell r="AD116" t="str">
            <v>6ｲﾝﾁMｺｱ</v>
          </cell>
          <cell r="AE116">
            <v>1220</v>
          </cell>
          <cell r="AF116">
            <v>2</v>
          </cell>
          <cell r="AG116" t="str">
            <v>6ｲﾝﾁFWP</v>
          </cell>
          <cell r="AH116">
            <v>1450</v>
          </cell>
          <cell r="AI116">
            <v>3</v>
          </cell>
          <cell r="AJ116" t="str">
            <v>6ｲﾝﾁFWP</v>
          </cell>
          <cell r="AK116">
            <v>1450</v>
          </cell>
          <cell r="AL116"/>
          <cell r="AM116"/>
        </row>
        <row r="117">
          <cell r="G117" t="str">
            <v>3SNMCLBSCB</v>
          </cell>
          <cell r="H117" t="str">
            <v>S</v>
          </cell>
          <cell r="I117" t="str">
            <v>N</v>
          </cell>
          <cell r="J117" t="str">
            <v>MCLB</v>
          </cell>
          <cell r="K117" t="str">
            <v>SCB</v>
          </cell>
          <cell r="M117" t="str">
            <v>3SNMCLBSCB251060</v>
          </cell>
          <cell r="N117" t="str">
            <v>3SNMCLBSCB251020</v>
          </cell>
          <cell r="O117">
            <v>25</v>
          </cell>
          <cell r="P117">
            <v>3</v>
          </cell>
          <cell r="Q117" t="str">
            <v>T70A</v>
          </cell>
          <cell r="R117">
            <v>1060</v>
          </cell>
          <cell r="S117">
            <v>12200</v>
          </cell>
          <cell r="T117">
            <v>1020</v>
          </cell>
          <cell r="U117">
            <v>1020</v>
          </cell>
          <cell r="V117">
            <v>6000</v>
          </cell>
          <cell r="W117">
            <v>2</v>
          </cell>
          <cell r="X117" t="str">
            <v>CF4</v>
          </cell>
          <cell r="Y117" t="str">
            <v>S-4</v>
          </cell>
          <cell r="Z117">
            <v>6</v>
          </cell>
          <cell r="AA117" t="str">
            <v>6ｲﾝﾁFWP</v>
          </cell>
          <cell r="AB117">
            <v>1450</v>
          </cell>
          <cell r="AC117">
            <v>6</v>
          </cell>
          <cell r="AD117" t="str">
            <v>6ｲﾝﾁSｺｱ</v>
          </cell>
          <cell r="AE117">
            <v>1035</v>
          </cell>
          <cell r="AF117">
            <v>2</v>
          </cell>
          <cell r="AG117" t="str">
            <v>6ｲﾝﾁFWP</v>
          </cell>
          <cell r="AH117">
            <v>1450</v>
          </cell>
          <cell r="AI117">
            <v>3</v>
          </cell>
          <cell r="AJ117" t="str">
            <v>6ｲﾝﾁFWP</v>
          </cell>
          <cell r="AK117">
            <v>1450</v>
          </cell>
          <cell r="AL117">
            <v>2</v>
          </cell>
          <cell r="AM117" t="str">
            <v>エージング後スリット</v>
          </cell>
        </row>
        <row r="118">
          <cell r="G118" t="str">
            <v>33SSNMCLBTEKKFV</v>
          </cell>
          <cell r="H118" t="str">
            <v>S</v>
          </cell>
          <cell r="I118" t="str">
            <v>N</v>
          </cell>
          <cell r="J118" t="str">
            <v>MCLB</v>
          </cell>
          <cell r="K118" t="str">
            <v>TEKKFV</v>
          </cell>
          <cell r="M118" t="str">
            <v>33SSNMCLBTEKKFV381005</v>
          </cell>
          <cell r="N118" t="str">
            <v>33SSNMCLBTEKKFV381000</v>
          </cell>
          <cell r="O118">
            <v>38</v>
          </cell>
          <cell r="P118" t="str">
            <v>33S</v>
          </cell>
          <cell r="Q118" t="str">
            <v>X44SEPA</v>
          </cell>
          <cell r="R118">
            <v>1005</v>
          </cell>
          <cell r="S118">
            <v>2000</v>
          </cell>
          <cell r="T118">
            <v>1005</v>
          </cell>
          <cell r="U118">
            <v>1000</v>
          </cell>
          <cell r="V118">
            <v>2000</v>
          </cell>
          <cell r="W118">
            <v>2</v>
          </cell>
          <cell r="X118" t="str">
            <v>CF4</v>
          </cell>
          <cell r="Y118" t="str">
            <v>S-4</v>
          </cell>
          <cell r="Z118">
            <v>6</v>
          </cell>
          <cell r="AA118" t="str">
            <v>6ｲﾝﾁFWP</v>
          </cell>
          <cell r="AB118">
            <v>1450</v>
          </cell>
          <cell r="AC118">
            <v>6</v>
          </cell>
          <cell r="AD118" t="str">
            <v>6ｲﾝﾁSｺｱ</v>
          </cell>
          <cell r="AE118">
            <v>1015</v>
          </cell>
          <cell r="AF118">
            <v>2</v>
          </cell>
          <cell r="AG118" t="str">
            <v>6ｲﾝﾁFWP</v>
          </cell>
          <cell r="AH118">
            <v>1450</v>
          </cell>
          <cell r="AI118">
            <v>3</v>
          </cell>
          <cell r="AJ118" t="str">
            <v>6ｲﾝﾁFWP</v>
          </cell>
          <cell r="AK118">
            <v>1450</v>
          </cell>
          <cell r="AL118"/>
          <cell r="AM118"/>
        </row>
        <row r="119">
          <cell r="G119" t="str">
            <v>33SSNMCLBTEKKFV</v>
          </cell>
          <cell r="H119" t="str">
            <v>S</v>
          </cell>
          <cell r="I119" t="str">
            <v>N</v>
          </cell>
          <cell r="J119" t="str">
            <v>MCLB</v>
          </cell>
          <cell r="K119" t="str">
            <v>TEKKFV</v>
          </cell>
          <cell r="M119" t="str">
            <v>33SSNMCLBTEKKFV501005</v>
          </cell>
          <cell r="N119" t="str">
            <v>33SSNMCLBTEKKFV501000</v>
          </cell>
          <cell r="O119">
            <v>50</v>
          </cell>
          <cell r="P119" t="str">
            <v>33S</v>
          </cell>
          <cell r="Q119" t="str">
            <v>X44SEPA</v>
          </cell>
          <cell r="R119">
            <v>1005</v>
          </cell>
          <cell r="S119">
            <v>4000</v>
          </cell>
          <cell r="T119">
            <v>1005</v>
          </cell>
          <cell r="U119">
            <v>1000</v>
          </cell>
          <cell r="V119">
            <v>4000</v>
          </cell>
          <cell r="W119">
            <v>2</v>
          </cell>
          <cell r="X119" t="str">
            <v>CF4</v>
          </cell>
          <cell r="Y119" t="str">
            <v>S-4</v>
          </cell>
          <cell r="Z119">
            <v>6</v>
          </cell>
          <cell r="AA119" t="str">
            <v>6ｲﾝﾁFWP</v>
          </cell>
          <cell r="AB119">
            <v>1450</v>
          </cell>
          <cell r="AC119">
            <v>6</v>
          </cell>
          <cell r="AD119" t="str">
            <v>6ｲﾝﾁSｺｱ</v>
          </cell>
          <cell r="AE119">
            <v>1015</v>
          </cell>
          <cell r="AF119">
            <v>2</v>
          </cell>
          <cell r="AG119" t="str">
            <v>6ｲﾝﾁFWP</v>
          </cell>
          <cell r="AH119">
            <v>1450</v>
          </cell>
          <cell r="AI119">
            <v>3</v>
          </cell>
          <cell r="AJ119" t="str">
            <v>6ｲﾝﾁFWP</v>
          </cell>
          <cell r="AK119">
            <v>1450</v>
          </cell>
          <cell r="AL119"/>
          <cell r="AM119"/>
        </row>
        <row r="120">
          <cell r="G120" t="str">
            <v>33SSNMCLBTEKV0V</v>
          </cell>
          <cell r="H120" t="str">
            <v>S</v>
          </cell>
          <cell r="I120" t="str">
            <v>N</v>
          </cell>
          <cell r="J120" t="str">
            <v>MCLB</v>
          </cell>
          <cell r="K120" t="str">
            <v>TEKV0V</v>
          </cell>
          <cell r="M120" t="str">
            <v>33SSNMCLBTEKV0V501005</v>
          </cell>
          <cell r="N120" t="str">
            <v>33SSNMCLBTEKV0V501000</v>
          </cell>
          <cell r="O120">
            <v>50</v>
          </cell>
          <cell r="P120" t="str">
            <v>33S</v>
          </cell>
          <cell r="Q120" t="str">
            <v>X44SEPA</v>
          </cell>
          <cell r="R120">
            <v>1005</v>
          </cell>
          <cell r="S120">
            <v>4000</v>
          </cell>
          <cell r="T120">
            <v>1005</v>
          </cell>
          <cell r="U120">
            <v>1000</v>
          </cell>
          <cell r="V120">
            <v>4000</v>
          </cell>
          <cell r="W120">
            <v>2</v>
          </cell>
          <cell r="X120" t="str">
            <v>CF4</v>
          </cell>
          <cell r="Y120" t="str">
            <v>S-4</v>
          </cell>
          <cell r="Z120">
            <v>6</v>
          </cell>
          <cell r="AA120" t="str">
            <v>6ｲﾝﾁFWP</v>
          </cell>
          <cell r="AB120">
            <v>1450</v>
          </cell>
          <cell r="AC120">
            <v>6</v>
          </cell>
          <cell r="AD120" t="str">
            <v>6ｲﾝﾁSｺｱ</v>
          </cell>
          <cell r="AE120">
            <v>1015</v>
          </cell>
          <cell r="AF120">
            <v>2</v>
          </cell>
          <cell r="AG120" t="str">
            <v>6ｲﾝﾁFWP</v>
          </cell>
          <cell r="AH120">
            <v>1450</v>
          </cell>
          <cell r="AI120">
            <v>3</v>
          </cell>
          <cell r="AJ120" t="str">
            <v>6ｲﾝﾁFWP</v>
          </cell>
          <cell r="AK120">
            <v>1450</v>
          </cell>
          <cell r="AL120"/>
          <cell r="AM120"/>
        </row>
        <row r="121">
          <cell r="G121" t="str">
            <v>33SSYMCLBTEKV0V</v>
          </cell>
          <cell r="H121" t="str">
            <v>S</v>
          </cell>
          <cell r="I121" t="str">
            <v>Y</v>
          </cell>
          <cell r="J121" t="str">
            <v>MCLB</v>
          </cell>
          <cell r="K121" t="str">
            <v>TEKV0V</v>
          </cell>
          <cell r="M121" t="str">
            <v>33SSYMCLBTEKV0V501005</v>
          </cell>
          <cell r="N121" t="str">
            <v>33SSYMCLBTEKV0V501000</v>
          </cell>
          <cell r="O121">
            <v>50</v>
          </cell>
          <cell r="P121" t="str">
            <v>33S</v>
          </cell>
          <cell r="Q121" t="str">
            <v>X44SEPA</v>
          </cell>
          <cell r="R121">
            <v>1005</v>
          </cell>
          <cell r="S121">
            <v>4000</v>
          </cell>
          <cell r="T121">
            <v>1005</v>
          </cell>
          <cell r="U121">
            <v>1000</v>
          </cell>
          <cell r="V121">
            <v>4000</v>
          </cell>
          <cell r="W121">
            <v>2</v>
          </cell>
          <cell r="X121" t="str">
            <v>CF4</v>
          </cell>
          <cell r="Y121" t="str">
            <v>S-4</v>
          </cell>
          <cell r="Z121">
            <v>6</v>
          </cell>
          <cell r="AA121" t="str">
            <v>6ｲﾝﾁFWP</v>
          </cell>
          <cell r="AB121">
            <v>1450</v>
          </cell>
          <cell r="AC121">
            <v>6</v>
          </cell>
          <cell r="AD121" t="str">
            <v>6ｲﾝﾁSｺｱ</v>
          </cell>
          <cell r="AE121">
            <v>1015</v>
          </cell>
          <cell r="AF121">
            <v>2</v>
          </cell>
          <cell r="AG121" t="str">
            <v>6ｲﾝﾁFWP</v>
          </cell>
          <cell r="AH121">
            <v>1450</v>
          </cell>
          <cell r="AI121">
            <v>3</v>
          </cell>
          <cell r="AJ121" t="str">
            <v>6ｲﾝﾁFWP</v>
          </cell>
          <cell r="AK121">
            <v>1450</v>
          </cell>
          <cell r="AL121"/>
          <cell r="AM121" t="str">
            <v>輸出梱包</v>
          </cell>
        </row>
        <row r="122">
          <cell r="G122" t="str">
            <v>33SSNMCLBTETKFV</v>
          </cell>
          <cell r="H122" t="str">
            <v>S</v>
          </cell>
          <cell r="I122" t="str">
            <v>N</v>
          </cell>
          <cell r="J122" t="str">
            <v>MCLB</v>
          </cell>
          <cell r="K122" t="str">
            <v>TETKFV</v>
          </cell>
          <cell r="M122" t="str">
            <v>33SSNMCLBTETKFV501005</v>
          </cell>
          <cell r="N122" t="str">
            <v>33SSNMCLBTETKFV501000</v>
          </cell>
          <cell r="O122">
            <v>50</v>
          </cell>
          <cell r="P122" t="str">
            <v>33S</v>
          </cell>
          <cell r="Q122" t="str">
            <v>S28SEPA</v>
          </cell>
          <cell r="R122">
            <v>1005</v>
          </cell>
          <cell r="S122">
            <v>4100</v>
          </cell>
          <cell r="T122">
            <v>1005</v>
          </cell>
          <cell r="U122">
            <v>1000</v>
          </cell>
          <cell r="V122">
            <v>4000</v>
          </cell>
          <cell r="W122">
            <v>2</v>
          </cell>
          <cell r="X122" t="str">
            <v>CF4</v>
          </cell>
          <cell r="Y122" t="str">
            <v>S-4</v>
          </cell>
          <cell r="Z122">
            <v>6</v>
          </cell>
          <cell r="AA122" t="str">
            <v>6ｲﾝﾁFWP</v>
          </cell>
          <cell r="AB122">
            <v>1450</v>
          </cell>
          <cell r="AC122">
            <v>6</v>
          </cell>
          <cell r="AD122" t="str">
            <v>6ｲﾝﾁSｺｱ</v>
          </cell>
          <cell r="AE122">
            <v>1015</v>
          </cell>
          <cell r="AF122">
            <v>2</v>
          </cell>
          <cell r="AG122" t="str">
            <v>6ｲﾝﾁFWP</v>
          </cell>
          <cell r="AH122">
            <v>1450</v>
          </cell>
          <cell r="AI122">
            <v>3</v>
          </cell>
          <cell r="AJ122" t="str">
            <v>6ｲﾝﾁFWP</v>
          </cell>
          <cell r="AK122">
            <v>1450</v>
          </cell>
          <cell r="AL122"/>
          <cell r="AM122"/>
        </row>
        <row r="123">
          <cell r="G123" t="str">
            <v>3SNMCLBTETV0V</v>
          </cell>
          <cell r="H123" t="str">
            <v>S</v>
          </cell>
          <cell r="I123" t="str">
            <v>N</v>
          </cell>
          <cell r="J123" t="str">
            <v>MCLB</v>
          </cell>
          <cell r="K123" t="str">
            <v>TETV0V</v>
          </cell>
          <cell r="M123" t="str">
            <v>3SNMCLBTETV0V501005</v>
          </cell>
          <cell r="N123" t="str">
            <v>3SNMCLBTETV0V501000</v>
          </cell>
          <cell r="O123">
            <v>50</v>
          </cell>
          <cell r="P123">
            <v>3</v>
          </cell>
          <cell r="Q123" t="str">
            <v>S28SEPA</v>
          </cell>
          <cell r="R123">
            <v>1005</v>
          </cell>
          <cell r="S123">
            <v>4100</v>
          </cell>
          <cell r="T123">
            <v>1005</v>
          </cell>
          <cell r="U123">
            <v>1000</v>
          </cell>
          <cell r="V123">
            <v>4000</v>
          </cell>
          <cell r="W123">
            <v>2</v>
          </cell>
          <cell r="X123" t="str">
            <v>CF4</v>
          </cell>
          <cell r="Y123" t="str">
            <v>S-4</v>
          </cell>
          <cell r="Z123">
            <v>6</v>
          </cell>
          <cell r="AA123" t="str">
            <v>6ｲﾝﾁFWP</v>
          </cell>
          <cell r="AB123">
            <v>1450</v>
          </cell>
          <cell r="AC123">
            <v>6</v>
          </cell>
          <cell r="AD123" t="str">
            <v>6ｲﾝﾁSｺｱ</v>
          </cell>
          <cell r="AE123">
            <v>1015</v>
          </cell>
          <cell r="AF123">
            <v>2</v>
          </cell>
          <cell r="AG123" t="str">
            <v>6ｲﾝﾁFWP</v>
          </cell>
          <cell r="AH123">
            <v>1450</v>
          </cell>
          <cell r="AI123">
            <v>3</v>
          </cell>
          <cell r="AJ123" t="str">
            <v>6ｲﾝﾁFWP</v>
          </cell>
          <cell r="AK123">
            <v>1450</v>
          </cell>
          <cell r="AL123"/>
          <cell r="AM123"/>
        </row>
        <row r="124">
          <cell r="G124" t="str">
            <v>3SNMCLBWCB</v>
          </cell>
          <cell r="H124" t="str">
            <v>S</v>
          </cell>
          <cell r="I124" t="str">
            <v>N</v>
          </cell>
          <cell r="J124" t="str">
            <v>MCLB</v>
          </cell>
          <cell r="K124" t="str">
            <v>WCB</v>
          </cell>
          <cell r="M124" t="str">
            <v>3SNMCLBWCB501150</v>
          </cell>
          <cell r="N124" t="str">
            <v>3SNMCLBWCB501120</v>
          </cell>
          <cell r="O124">
            <v>50</v>
          </cell>
          <cell r="P124">
            <v>3</v>
          </cell>
          <cell r="Q124" t="str">
            <v>T62M</v>
          </cell>
          <cell r="R124">
            <v>1150</v>
          </cell>
          <cell r="S124">
            <v>5000</v>
          </cell>
          <cell r="T124">
            <v>1120</v>
          </cell>
          <cell r="U124">
            <v>1120</v>
          </cell>
          <cell r="V124">
            <v>5000</v>
          </cell>
          <cell r="W124">
            <v>2</v>
          </cell>
          <cell r="X124" t="str">
            <v>CF4</v>
          </cell>
          <cell r="Y124" t="str">
            <v>S-4</v>
          </cell>
          <cell r="Z124">
            <v>6</v>
          </cell>
          <cell r="AA124" t="str">
            <v>6ｲﾝﾁFWP</v>
          </cell>
          <cell r="AB124">
            <v>1450</v>
          </cell>
          <cell r="AC124">
            <v>6</v>
          </cell>
          <cell r="AD124" t="str">
            <v>6ｲﾝﾁSｺｱ</v>
          </cell>
          <cell r="AE124">
            <v>1140</v>
          </cell>
          <cell r="AF124">
            <v>2</v>
          </cell>
          <cell r="AG124" t="str">
            <v>6ｲﾝﾁFWP</v>
          </cell>
          <cell r="AH124">
            <v>1450</v>
          </cell>
          <cell r="AI124">
            <v>3</v>
          </cell>
          <cell r="AJ124" t="str">
            <v>6ｲﾝﾁFWP</v>
          </cell>
          <cell r="AK124">
            <v>1450</v>
          </cell>
          <cell r="AL124">
            <v>2</v>
          </cell>
          <cell r="AM124" t="str">
            <v>エージング後スリット</v>
          </cell>
        </row>
        <row r="125">
          <cell r="G125" t="str">
            <v>3SNMLBMDMSJF</v>
          </cell>
          <cell r="H125" t="str">
            <v>S</v>
          </cell>
          <cell r="I125" t="str">
            <v>N</v>
          </cell>
          <cell r="J125" t="str">
            <v>MLB</v>
          </cell>
          <cell r="K125" t="str">
            <v>MDMSJF</v>
          </cell>
          <cell r="M125" t="str">
            <v>3SNMLBMDMSJF501020</v>
          </cell>
          <cell r="N125" t="str">
            <v>3SNMLBMDMSJF501000</v>
          </cell>
          <cell r="O125">
            <v>50</v>
          </cell>
          <cell r="P125">
            <v>3</v>
          </cell>
          <cell r="Q125" t="str">
            <v>X44</v>
          </cell>
          <cell r="R125">
            <v>1020</v>
          </cell>
          <cell r="S125">
            <v>4000</v>
          </cell>
          <cell r="T125">
            <v>1020</v>
          </cell>
          <cell r="U125">
            <v>1000</v>
          </cell>
          <cell r="V125">
            <v>2000</v>
          </cell>
          <cell r="W125">
            <v>2</v>
          </cell>
          <cell r="X125"/>
          <cell r="Y125" t="str">
            <v>S-5</v>
          </cell>
          <cell r="Z125"/>
          <cell r="AA125"/>
          <cell r="AB125"/>
          <cell r="AC125">
            <v>3</v>
          </cell>
          <cell r="AD125" t="str">
            <v>3ｲﾝﾁSｺｱ</v>
          </cell>
          <cell r="AE125">
            <v>1005</v>
          </cell>
          <cell r="AF125">
            <v>2</v>
          </cell>
          <cell r="AG125" t="str">
            <v>原反コア</v>
          </cell>
          <cell r="AH125" t="str">
            <v>-</v>
          </cell>
          <cell r="AI125">
            <v>3</v>
          </cell>
          <cell r="AJ125" t="str">
            <v>6ｲﾝﾁFWP</v>
          </cell>
          <cell r="AK125">
            <v>1450</v>
          </cell>
          <cell r="AL125"/>
          <cell r="AM125"/>
        </row>
        <row r="126">
          <cell r="G126" t="str">
            <v>3SNMLBMNGKBF</v>
          </cell>
          <cell r="H126" t="str">
            <v>S</v>
          </cell>
          <cell r="I126" t="str">
            <v>N</v>
          </cell>
          <cell r="J126" t="str">
            <v>MLB</v>
          </cell>
          <cell r="K126" t="str">
            <v>MNGKBF</v>
          </cell>
          <cell r="M126" t="str">
            <v>3SNMLBMNGKBF251005</v>
          </cell>
          <cell r="N126" t="str">
            <v>3SNMLBMNGKBF251000</v>
          </cell>
          <cell r="O126">
            <v>25</v>
          </cell>
          <cell r="P126">
            <v>3</v>
          </cell>
          <cell r="Q126" t="str">
            <v>LUMIMAT</v>
          </cell>
          <cell r="R126">
            <v>1005</v>
          </cell>
          <cell r="S126">
            <v>8000</v>
          </cell>
          <cell r="T126">
            <v>1005</v>
          </cell>
          <cell r="U126">
            <v>1000</v>
          </cell>
          <cell r="V126">
            <v>4000</v>
          </cell>
          <cell r="W126">
            <v>2</v>
          </cell>
          <cell r="X126"/>
          <cell r="Y126" t="str">
            <v>S-5</v>
          </cell>
          <cell r="Z126"/>
          <cell r="AA126"/>
          <cell r="AB126"/>
          <cell r="AC126">
            <v>6</v>
          </cell>
          <cell r="AD126" t="str">
            <v>6ｲﾝﾁSｺｱ</v>
          </cell>
          <cell r="AE126">
            <v>1015</v>
          </cell>
          <cell r="AF126">
            <v>2</v>
          </cell>
          <cell r="AG126" t="str">
            <v>原反コア</v>
          </cell>
          <cell r="AH126" t="str">
            <v>-</v>
          </cell>
          <cell r="AI126">
            <v>3</v>
          </cell>
          <cell r="AJ126" t="str">
            <v>6ｲﾝﾁFWP</v>
          </cell>
          <cell r="AK126">
            <v>1450</v>
          </cell>
          <cell r="AL126"/>
          <cell r="AM126"/>
        </row>
        <row r="127">
          <cell r="G127" t="str">
            <v>3SNMLBMNGKBF</v>
          </cell>
          <cell r="H127" t="str">
            <v>S</v>
          </cell>
          <cell r="I127" t="str">
            <v>N</v>
          </cell>
          <cell r="J127" t="str">
            <v>MLB</v>
          </cell>
          <cell r="K127" t="str">
            <v>MNGKBF</v>
          </cell>
          <cell r="M127" t="str">
            <v>3SNMLBMNGKBF251050</v>
          </cell>
          <cell r="N127" t="str">
            <v>3SNMLBMNGKBF251050</v>
          </cell>
          <cell r="O127">
            <v>25</v>
          </cell>
          <cell r="P127">
            <v>3</v>
          </cell>
          <cell r="Q127" t="str">
            <v>LUMIMAT</v>
          </cell>
          <cell r="R127">
            <v>1050</v>
          </cell>
          <cell r="S127">
            <v>8000</v>
          </cell>
          <cell r="T127">
            <v>1050</v>
          </cell>
          <cell r="U127">
            <v>1050</v>
          </cell>
          <cell r="V127">
            <v>4000</v>
          </cell>
          <cell r="W127">
            <v>2</v>
          </cell>
          <cell r="X127"/>
          <cell r="Y127" t="str">
            <v>S-5</v>
          </cell>
          <cell r="Z127"/>
          <cell r="AA127"/>
          <cell r="AB127"/>
          <cell r="AC127">
            <v>6</v>
          </cell>
          <cell r="AD127" t="str">
            <v>6ｲﾝﾁSｺｱ</v>
          </cell>
          <cell r="AE127">
            <v>1055</v>
          </cell>
          <cell r="AF127">
            <v>2</v>
          </cell>
          <cell r="AG127" t="str">
            <v>原反コア</v>
          </cell>
          <cell r="AH127" t="str">
            <v>-</v>
          </cell>
          <cell r="AI127">
            <v>3</v>
          </cell>
          <cell r="AJ127" t="str">
            <v>6ｲﾝﾁFWP</v>
          </cell>
          <cell r="AK127">
            <v>1450</v>
          </cell>
          <cell r="AL127"/>
          <cell r="AM127"/>
        </row>
        <row r="128">
          <cell r="G128" t="str">
            <v>3SNMLBMNGKBF</v>
          </cell>
          <cell r="H128" t="str">
            <v>S</v>
          </cell>
          <cell r="I128" t="str">
            <v>N</v>
          </cell>
          <cell r="J128" t="str">
            <v>MLB</v>
          </cell>
          <cell r="K128" t="str">
            <v>MNGKBF</v>
          </cell>
          <cell r="M128" t="str">
            <v>3SNMLBMNGKBF381005</v>
          </cell>
          <cell r="N128" t="str">
            <v>3SNMLBMNGKBF381000</v>
          </cell>
          <cell r="O128">
            <v>38</v>
          </cell>
          <cell r="P128">
            <v>3</v>
          </cell>
          <cell r="Q128" t="str">
            <v>LUMIMAT</v>
          </cell>
          <cell r="R128">
            <v>1005</v>
          </cell>
          <cell r="S128">
            <v>4100</v>
          </cell>
          <cell r="T128">
            <v>1005</v>
          </cell>
          <cell r="U128">
            <v>1000</v>
          </cell>
          <cell r="V128">
            <v>4000</v>
          </cell>
          <cell r="W128">
            <v>2</v>
          </cell>
          <cell r="X128"/>
          <cell r="Y128" t="str">
            <v>S-5</v>
          </cell>
          <cell r="Z128"/>
          <cell r="AA128"/>
          <cell r="AB128"/>
          <cell r="AC128">
            <v>6</v>
          </cell>
          <cell r="AD128" t="str">
            <v>6ｲﾝﾁSｺｱ</v>
          </cell>
          <cell r="AE128">
            <v>1015</v>
          </cell>
          <cell r="AF128">
            <v>2</v>
          </cell>
          <cell r="AG128" t="str">
            <v>原反コア</v>
          </cell>
          <cell r="AH128" t="str">
            <v>-</v>
          </cell>
          <cell r="AI128">
            <v>3</v>
          </cell>
          <cell r="AJ128" t="str">
            <v>6ｲﾝﾁFWP</v>
          </cell>
          <cell r="AK128">
            <v>1450</v>
          </cell>
          <cell r="AL128"/>
          <cell r="AM128"/>
        </row>
        <row r="129">
          <cell r="G129" t="str">
            <v>3SNMLBMNGKBF</v>
          </cell>
          <cell r="H129" t="str">
            <v>S</v>
          </cell>
          <cell r="I129" t="str">
            <v>N</v>
          </cell>
          <cell r="J129" t="str">
            <v>MLB</v>
          </cell>
          <cell r="K129" t="str">
            <v>MNGKBF</v>
          </cell>
          <cell r="M129" t="str">
            <v>3SNMLBMNGKBF501050</v>
          </cell>
          <cell r="N129" t="str">
            <v>3SNMLBMNGKBF501050</v>
          </cell>
          <cell r="O129">
            <v>50</v>
          </cell>
          <cell r="P129">
            <v>3</v>
          </cell>
          <cell r="Q129" t="str">
            <v>MAT</v>
          </cell>
          <cell r="R129">
            <v>1050</v>
          </cell>
          <cell r="S129">
            <v>4100</v>
          </cell>
          <cell r="T129">
            <v>1050</v>
          </cell>
          <cell r="U129">
            <v>1050</v>
          </cell>
          <cell r="V129">
            <v>4100</v>
          </cell>
          <cell r="W129">
            <v>2</v>
          </cell>
          <cell r="X129"/>
          <cell r="Y129" t="str">
            <v>S-5</v>
          </cell>
          <cell r="Z129"/>
          <cell r="AA129"/>
          <cell r="AB129"/>
          <cell r="AC129">
            <v>6</v>
          </cell>
          <cell r="AD129" t="str">
            <v>6ｲﾝﾁSｺｱ</v>
          </cell>
          <cell r="AE129">
            <v>1055</v>
          </cell>
          <cell r="AF129">
            <v>2</v>
          </cell>
          <cell r="AG129" t="str">
            <v>原反コア</v>
          </cell>
          <cell r="AH129" t="str">
            <v>-</v>
          </cell>
          <cell r="AI129">
            <v>3</v>
          </cell>
          <cell r="AJ129" t="str">
            <v>6ｲﾝﾁFWP</v>
          </cell>
          <cell r="AK129">
            <v>1450</v>
          </cell>
          <cell r="AL129"/>
          <cell r="AM129"/>
        </row>
        <row r="130">
          <cell r="G130" t="str">
            <v>3SNMLBMNGKBF</v>
          </cell>
          <cell r="H130" t="str">
            <v>S</v>
          </cell>
          <cell r="I130" t="str">
            <v>N</v>
          </cell>
          <cell r="J130" t="str">
            <v>MLB</v>
          </cell>
          <cell r="K130" t="str">
            <v>MNGKBF</v>
          </cell>
          <cell r="M130" t="str">
            <v>3SNMLBMNGKBF501170</v>
          </cell>
          <cell r="N130" t="str">
            <v>3SNMLBMNGKBF501170</v>
          </cell>
          <cell r="O130">
            <v>50</v>
          </cell>
          <cell r="P130">
            <v>3</v>
          </cell>
          <cell r="Q130" t="str">
            <v>MAT</v>
          </cell>
          <cell r="R130">
            <v>1170</v>
          </cell>
          <cell r="S130">
            <v>4000</v>
          </cell>
          <cell r="T130">
            <v>1170</v>
          </cell>
          <cell r="U130">
            <v>1170</v>
          </cell>
          <cell r="V130">
            <v>4000</v>
          </cell>
          <cell r="W130">
            <v>2</v>
          </cell>
          <cell r="X130"/>
          <cell r="Y130" t="str">
            <v>S-5</v>
          </cell>
          <cell r="Z130"/>
          <cell r="AA130"/>
          <cell r="AB130"/>
          <cell r="AC130">
            <v>6</v>
          </cell>
          <cell r="AD130" t="str">
            <v>6ｲﾝﾁSｺｱ</v>
          </cell>
          <cell r="AE130">
            <v>1175</v>
          </cell>
          <cell r="AF130">
            <v>2</v>
          </cell>
          <cell r="AG130" t="str">
            <v>原反コア</v>
          </cell>
          <cell r="AH130" t="str">
            <v>-</v>
          </cell>
          <cell r="AI130">
            <v>3</v>
          </cell>
          <cell r="AJ130" t="str">
            <v>6ｲﾝﾁFWP</v>
          </cell>
          <cell r="AK130">
            <v>1450</v>
          </cell>
          <cell r="AL130"/>
          <cell r="AM130"/>
        </row>
        <row r="131">
          <cell r="G131" t="str">
            <v>3SNMLBMNGKBF</v>
          </cell>
          <cell r="H131" t="str">
            <v>S</v>
          </cell>
          <cell r="I131" t="str">
            <v>N</v>
          </cell>
          <cell r="J131" t="str">
            <v>MLB</v>
          </cell>
          <cell r="K131" t="str">
            <v>MNGKBF</v>
          </cell>
          <cell r="M131" t="str">
            <v>3SNMLBMNGKBF751050</v>
          </cell>
          <cell r="N131" t="str">
            <v>3SNMLBMNGKBF751050</v>
          </cell>
          <cell r="O131">
            <v>75</v>
          </cell>
          <cell r="P131">
            <v>3</v>
          </cell>
          <cell r="Q131" t="str">
            <v>MAT</v>
          </cell>
          <cell r="R131">
            <v>1050</v>
          </cell>
          <cell r="S131">
            <v>2000</v>
          </cell>
          <cell r="T131">
            <v>1050</v>
          </cell>
          <cell r="U131">
            <v>1050</v>
          </cell>
          <cell r="V131">
            <v>2000</v>
          </cell>
          <cell r="W131">
            <v>2</v>
          </cell>
          <cell r="X131"/>
          <cell r="Y131" t="str">
            <v>S-5</v>
          </cell>
          <cell r="Z131"/>
          <cell r="AA131"/>
          <cell r="AB131"/>
          <cell r="AC131">
            <v>6</v>
          </cell>
          <cell r="AD131" t="str">
            <v>6ｲﾝﾁSｺｱ</v>
          </cell>
          <cell r="AE131">
            <v>1055</v>
          </cell>
          <cell r="AF131">
            <v>2</v>
          </cell>
          <cell r="AG131" t="str">
            <v>原反コア</v>
          </cell>
          <cell r="AH131" t="str">
            <v>-</v>
          </cell>
          <cell r="AI131">
            <v>3</v>
          </cell>
          <cell r="AJ131" t="str">
            <v>6ｲﾝﾁFWP</v>
          </cell>
          <cell r="AK131">
            <v>1450</v>
          </cell>
          <cell r="AL131"/>
          <cell r="AM131"/>
        </row>
        <row r="132">
          <cell r="G132" t="str">
            <v>3SNMLBMNGKKBF</v>
          </cell>
          <cell r="H132" t="str">
            <v>S</v>
          </cell>
          <cell r="I132" t="str">
            <v>N</v>
          </cell>
          <cell r="J132" t="str">
            <v>MLB</v>
          </cell>
          <cell r="K132" t="str">
            <v>MNGKKBF</v>
          </cell>
          <cell r="M132" t="str">
            <v>3SNMLBMNGKKBF251000</v>
          </cell>
          <cell r="N132" t="str">
            <v>3SNMLBMNGKKBF251000</v>
          </cell>
          <cell r="O132">
            <v>25</v>
          </cell>
          <cell r="P132">
            <v>3</v>
          </cell>
          <cell r="Q132" t="str">
            <v>FMATS99</v>
          </cell>
          <cell r="R132">
            <v>1000</v>
          </cell>
          <cell r="S132">
            <v>4000</v>
          </cell>
          <cell r="T132">
            <v>1000</v>
          </cell>
          <cell r="U132">
            <v>1000</v>
          </cell>
          <cell r="V132">
            <v>4000</v>
          </cell>
          <cell r="W132">
            <v>2</v>
          </cell>
          <cell r="X132"/>
          <cell r="Y132" t="str">
            <v>S-5</v>
          </cell>
          <cell r="Z132"/>
          <cell r="AA132"/>
          <cell r="AB132"/>
          <cell r="AC132">
            <v>6</v>
          </cell>
          <cell r="AD132" t="str">
            <v>6ｲﾝﾁSｺｱ</v>
          </cell>
          <cell r="AE132">
            <v>1005</v>
          </cell>
          <cell r="AF132">
            <v>2</v>
          </cell>
          <cell r="AG132" t="str">
            <v>原反コア</v>
          </cell>
          <cell r="AH132" t="str">
            <v>-</v>
          </cell>
          <cell r="AI132">
            <v>3</v>
          </cell>
          <cell r="AJ132" t="str">
            <v>6ｲﾝﾁFWP</v>
          </cell>
          <cell r="AK132">
            <v>1450</v>
          </cell>
          <cell r="AL132"/>
          <cell r="AM132"/>
        </row>
        <row r="133">
          <cell r="G133" t="str">
            <v>3SNMLBMNGKKBF</v>
          </cell>
          <cell r="H133" t="str">
            <v>S</v>
          </cell>
          <cell r="I133" t="str">
            <v>N</v>
          </cell>
          <cell r="J133" t="str">
            <v>MLB</v>
          </cell>
          <cell r="K133" t="str">
            <v>MNGKKBF</v>
          </cell>
          <cell r="M133" t="str">
            <v>3SNMLBMNGKKBF251120</v>
          </cell>
          <cell r="N133" t="str">
            <v>3SNMLBMNGKKBF251120</v>
          </cell>
          <cell r="O133">
            <v>25</v>
          </cell>
          <cell r="P133">
            <v>3</v>
          </cell>
          <cell r="Q133" t="str">
            <v>FMATS99</v>
          </cell>
          <cell r="R133">
            <v>1120</v>
          </cell>
          <cell r="S133">
            <v>4000</v>
          </cell>
          <cell r="T133">
            <v>1120</v>
          </cell>
          <cell r="U133">
            <v>1120</v>
          </cell>
          <cell r="V133">
            <v>4000</v>
          </cell>
          <cell r="W133">
            <v>2</v>
          </cell>
          <cell r="X133"/>
          <cell r="Y133" t="str">
            <v>S-5</v>
          </cell>
          <cell r="Z133"/>
          <cell r="AA133"/>
          <cell r="AB133"/>
          <cell r="AC133">
            <v>6</v>
          </cell>
          <cell r="AD133" t="str">
            <v>6ｲﾝﾁSｺｱ</v>
          </cell>
          <cell r="AE133">
            <v>1125</v>
          </cell>
          <cell r="AF133">
            <v>2</v>
          </cell>
          <cell r="AG133" t="str">
            <v>原反コア</v>
          </cell>
          <cell r="AH133" t="str">
            <v>-</v>
          </cell>
          <cell r="AI133">
            <v>3</v>
          </cell>
          <cell r="AJ133" t="str">
            <v>6ｲﾝﾁFWP</v>
          </cell>
          <cell r="AK133">
            <v>1450</v>
          </cell>
          <cell r="AL133"/>
          <cell r="AM133"/>
        </row>
        <row r="134">
          <cell r="G134" t="str">
            <v>3SYMLBMNGKKBF</v>
          </cell>
          <cell r="H134" t="str">
            <v>S</v>
          </cell>
          <cell r="I134" t="str">
            <v>Y</v>
          </cell>
          <cell r="J134" t="str">
            <v>MLB</v>
          </cell>
          <cell r="K134" t="str">
            <v>MNGKKBF</v>
          </cell>
          <cell r="M134" t="str">
            <v>3SYMLBMNGKKBF251120</v>
          </cell>
          <cell r="N134" t="str">
            <v>3SYMLBMNGKKBF251120</v>
          </cell>
          <cell r="O134">
            <v>25</v>
          </cell>
          <cell r="P134">
            <v>3</v>
          </cell>
          <cell r="Q134" t="str">
            <v>FMATS99</v>
          </cell>
          <cell r="R134">
            <v>1120</v>
          </cell>
          <cell r="S134">
            <v>4000</v>
          </cell>
          <cell r="T134">
            <v>1120</v>
          </cell>
          <cell r="U134">
            <v>1120</v>
          </cell>
          <cell r="V134">
            <v>4000</v>
          </cell>
          <cell r="W134">
            <v>2</v>
          </cell>
          <cell r="X134"/>
          <cell r="Y134" t="str">
            <v>S-5</v>
          </cell>
          <cell r="Z134"/>
          <cell r="AA134"/>
          <cell r="AB134"/>
          <cell r="AC134">
            <v>6</v>
          </cell>
          <cell r="AD134" t="str">
            <v>6ｲﾝﾁSｺｱ</v>
          </cell>
          <cell r="AE134">
            <v>1125</v>
          </cell>
          <cell r="AF134">
            <v>2</v>
          </cell>
          <cell r="AG134" t="str">
            <v>原反コア</v>
          </cell>
          <cell r="AH134" t="str">
            <v>-</v>
          </cell>
          <cell r="AI134">
            <v>3</v>
          </cell>
          <cell r="AJ134" t="str">
            <v>6ｲﾝﾁFWP</v>
          </cell>
          <cell r="AK134">
            <v>1450</v>
          </cell>
          <cell r="AL134"/>
          <cell r="AM134" t="str">
            <v>輸出梱包</v>
          </cell>
        </row>
        <row r="135">
          <cell r="G135" t="str">
            <v>3SNMLBMNGKKBF</v>
          </cell>
          <cell r="H135" t="str">
            <v>S</v>
          </cell>
          <cell r="I135" t="str">
            <v>N</v>
          </cell>
          <cell r="J135" t="str">
            <v>MLB</v>
          </cell>
          <cell r="K135" t="str">
            <v>MNGKKBF</v>
          </cell>
          <cell r="M135" t="str">
            <v>3SNMLBMNGKKBF501000</v>
          </cell>
          <cell r="N135" t="str">
            <v>3SNMLBMNGKKBF501000</v>
          </cell>
          <cell r="O135">
            <v>50</v>
          </cell>
          <cell r="P135">
            <v>3</v>
          </cell>
          <cell r="Q135" t="str">
            <v>S99-MAT</v>
          </cell>
          <cell r="R135">
            <v>1000</v>
          </cell>
          <cell r="S135">
            <v>4000</v>
          </cell>
          <cell r="T135">
            <v>1000</v>
          </cell>
          <cell r="U135">
            <v>1000</v>
          </cell>
          <cell r="V135">
            <v>4000</v>
          </cell>
          <cell r="W135">
            <v>2</v>
          </cell>
          <cell r="X135"/>
          <cell r="Y135" t="str">
            <v>S-5</v>
          </cell>
          <cell r="Z135"/>
          <cell r="AA135"/>
          <cell r="AB135"/>
          <cell r="AC135">
            <v>6</v>
          </cell>
          <cell r="AD135" t="str">
            <v>6ｲﾝﾁSｺｱ</v>
          </cell>
          <cell r="AE135">
            <v>1005</v>
          </cell>
          <cell r="AF135">
            <v>2</v>
          </cell>
          <cell r="AG135" t="str">
            <v>原反コア</v>
          </cell>
          <cell r="AH135" t="str">
            <v>-</v>
          </cell>
          <cell r="AI135">
            <v>3</v>
          </cell>
          <cell r="AJ135" t="str">
            <v>6ｲﾝﾁFWP</v>
          </cell>
          <cell r="AK135">
            <v>1450</v>
          </cell>
          <cell r="AL135"/>
          <cell r="AM135"/>
        </row>
        <row r="136">
          <cell r="G136" t="str">
            <v>3SNMLBMNGKKBF</v>
          </cell>
          <cell r="H136" t="str">
            <v>S</v>
          </cell>
          <cell r="I136" t="str">
            <v>N</v>
          </cell>
          <cell r="J136" t="str">
            <v>MLB</v>
          </cell>
          <cell r="K136" t="str">
            <v>MNGKKBF</v>
          </cell>
          <cell r="M136" t="str">
            <v>3SNMLBMNGKKBF501120</v>
          </cell>
          <cell r="N136" t="str">
            <v>3SNMLBMNGKKBF501120</v>
          </cell>
          <cell r="O136">
            <v>50</v>
          </cell>
          <cell r="P136">
            <v>3</v>
          </cell>
          <cell r="Q136" t="str">
            <v>S99-MAT</v>
          </cell>
          <cell r="R136">
            <v>1120</v>
          </cell>
          <cell r="S136">
            <v>4000</v>
          </cell>
          <cell r="T136">
            <v>1120</v>
          </cell>
          <cell r="U136">
            <v>1120</v>
          </cell>
          <cell r="V136">
            <v>4000</v>
          </cell>
          <cell r="W136">
            <v>2</v>
          </cell>
          <cell r="X136"/>
          <cell r="Y136" t="str">
            <v>S-5</v>
          </cell>
          <cell r="Z136"/>
          <cell r="AA136"/>
          <cell r="AB136"/>
          <cell r="AC136">
            <v>6</v>
          </cell>
          <cell r="AD136" t="str">
            <v>6ｲﾝﾁSｺｱ</v>
          </cell>
          <cell r="AE136">
            <v>1125</v>
          </cell>
          <cell r="AF136">
            <v>2</v>
          </cell>
          <cell r="AG136" t="str">
            <v>原反コア</v>
          </cell>
          <cell r="AH136" t="str">
            <v>-</v>
          </cell>
          <cell r="AI136">
            <v>3</v>
          </cell>
          <cell r="AJ136" t="str">
            <v>6ｲﾝﾁFWP</v>
          </cell>
          <cell r="AK136">
            <v>1450</v>
          </cell>
          <cell r="AL136"/>
          <cell r="AM136"/>
        </row>
        <row r="137">
          <cell r="G137" t="str">
            <v>3SNMLBMNGKKBF</v>
          </cell>
          <cell r="H137" t="str">
            <v>S</v>
          </cell>
          <cell r="I137" t="str">
            <v>N</v>
          </cell>
          <cell r="J137" t="str">
            <v>MLB</v>
          </cell>
          <cell r="K137" t="str">
            <v>MNGKKBF</v>
          </cell>
          <cell r="M137" t="str">
            <v>3SNMLBMNGKKBF751000</v>
          </cell>
          <cell r="N137" t="str">
            <v>3SNMLBMNGKKBF751000</v>
          </cell>
          <cell r="O137">
            <v>75</v>
          </cell>
          <cell r="P137">
            <v>3</v>
          </cell>
          <cell r="Q137" t="str">
            <v>S99-MAT</v>
          </cell>
          <cell r="R137">
            <v>1000</v>
          </cell>
          <cell r="S137">
            <v>2000</v>
          </cell>
          <cell r="T137">
            <v>1000</v>
          </cell>
          <cell r="U137">
            <v>1000</v>
          </cell>
          <cell r="V137">
            <v>2000</v>
          </cell>
          <cell r="W137">
            <v>2</v>
          </cell>
          <cell r="X137"/>
          <cell r="Y137" t="str">
            <v>S-5</v>
          </cell>
          <cell r="Z137"/>
          <cell r="AA137"/>
          <cell r="AB137"/>
          <cell r="AC137">
            <v>6</v>
          </cell>
          <cell r="AD137" t="str">
            <v>6ｲﾝﾁSｺｱ</v>
          </cell>
          <cell r="AE137">
            <v>1005</v>
          </cell>
          <cell r="AF137">
            <v>2</v>
          </cell>
          <cell r="AG137" t="str">
            <v>原反コア</v>
          </cell>
          <cell r="AH137" t="str">
            <v>-</v>
          </cell>
          <cell r="AI137">
            <v>3</v>
          </cell>
          <cell r="AJ137" t="str">
            <v>6ｲﾝﾁFWP</v>
          </cell>
          <cell r="AK137">
            <v>1450</v>
          </cell>
          <cell r="AL137"/>
          <cell r="AM137"/>
        </row>
        <row r="138">
          <cell r="G138" t="str">
            <v>3SNMLBMNGTBF</v>
          </cell>
          <cell r="H138" t="str">
            <v>S</v>
          </cell>
          <cell r="I138" t="str">
            <v>N</v>
          </cell>
          <cell r="J138" t="str">
            <v>MLB</v>
          </cell>
          <cell r="K138" t="str">
            <v>MNGTBF</v>
          </cell>
          <cell r="M138" t="str">
            <v>3SNMLBMNGTBF251005</v>
          </cell>
          <cell r="N138" t="str">
            <v>3SNMLBMNGTBF251000</v>
          </cell>
          <cell r="O138">
            <v>25</v>
          </cell>
          <cell r="P138">
            <v>3</v>
          </cell>
          <cell r="Q138" t="str">
            <v>T62M</v>
          </cell>
          <cell r="R138">
            <v>1005</v>
          </cell>
          <cell r="S138">
            <v>12100</v>
          </cell>
          <cell r="T138">
            <v>1005</v>
          </cell>
          <cell r="U138">
            <v>1000</v>
          </cell>
          <cell r="V138">
            <v>4000</v>
          </cell>
          <cell r="W138">
            <v>2</v>
          </cell>
          <cell r="X138"/>
          <cell r="Y138" t="str">
            <v>S-5</v>
          </cell>
          <cell r="Z138"/>
          <cell r="AA138"/>
          <cell r="AB138"/>
          <cell r="AC138">
            <v>6</v>
          </cell>
          <cell r="AD138" t="str">
            <v>6ｲﾝﾁSｺｱ</v>
          </cell>
          <cell r="AE138">
            <v>1015</v>
          </cell>
          <cell r="AF138">
            <v>2</v>
          </cell>
          <cell r="AG138" t="str">
            <v>原反コア</v>
          </cell>
          <cell r="AH138" t="str">
            <v>-</v>
          </cell>
          <cell r="AI138"/>
          <cell r="AJ138"/>
          <cell r="AK138"/>
          <cell r="AL138"/>
          <cell r="AM138"/>
        </row>
        <row r="139">
          <cell r="G139" t="str">
            <v>3SNMLBMNGTBF</v>
          </cell>
          <cell r="H139" t="str">
            <v>S</v>
          </cell>
          <cell r="I139" t="str">
            <v>N</v>
          </cell>
          <cell r="J139" t="str">
            <v>MLB</v>
          </cell>
          <cell r="K139" t="str">
            <v>MNGTBF</v>
          </cell>
          <cell r="M139" t="str">
            <v>3SNMLBMNGTBF251125</v>
          </cell>
          <cell r="N139" t="str">
            <v>3SNMLBMNGTBF251120</v>
          </cell>
          <cell r="O139">
            <v>25</v>
          </cell>
          <cell r="P139">
            <v>3</v>
          </cell>
          <cell r="Q139" t="str">
            <v>T62M</v>
          </cell>
          <cell r="R139">
            <v>1125</v>
          </cell>
          <cell r="S139">
            <v>12100</v>
          </cell>
          <cell r="T139">
            <v>1125</v>
          </cell>
          <cell r="U139">
            <v>1120</v>
          </cell>
          <cell r="V139">
            <v>4000</v>
          </cell>
          <cell r="W139">
            <v>2</v>
          </cell>
          <cell r="X139"/>
          <cell r="Y139" t="str">
            <v>S-5</v>
          </cell>
          <cell r="Z139"/>
          <cell r="AA139"/>
          <cell r="AB139"/>
          <cell r="AC139">
            <v>6</v>
          </cell>
          <cell r="AD139" t="str">
            <v>6ｲﾝﾁSｺｱ</v>
          </cell>
          <cell r="AE139">
            <v>1125</v>
          </cell>
          <cell r="AF139">
            <v>2</v>
          </cell>
          <cell r="AG139" t="str">
            <v>原反コア</v>
          </cell>
          <cell r="AH139" t="str">
            <v>-</v>
          </cell>
          <cell r="AI139"/>
          <cell r="AJ139"/>
          <cell r="AK139"/>
          <cell r="AL139"/>
          <cell r="AM139"/>
        </row>
        <row r="140">
          <cell r="G140" t="str">
            <v>3SNMLBMNGTBF</v>
          </cell>
          <cell r="H140" t="str">
            <v>S</v>
          </cell>
          <cell r="I140" t="str">
            <v>N</v>
          </cell>
          <cell r="J140" t="str">
            <v>MLB</v>
          </cell>
          <cell r="K140" t="str">
            <v>MNGTBF</v>
          </cell>
          <cell r="M140" t="str">
            <v>3SNMLBMNGTBF501120</v>
          </cell>
          <cell r="N140" t="str">
            <v>3SNMLBMNGTBF501120</v>
          </cell>
          <cell r="O140">
            <v>50</v>
          </cell>
          <cell r="P140">
            <v>3</v>
          </cell>
          <cell r="Q140" t="str">
            <v>T62</v>
          </cell>
          <cell r="R140">
            <v>1120</v>
          </cell>
          <cell r="S140">
            <v>5000</v>
          </cell>
          <cell r="T140">
            <v>1120</v>
          </cell>
          <cell r="U140">
            <v>1120</v>
          </cell>
          <cell r="V140">
            <v>5000</v>
          </cell>
          <cell r="W140">
            <v>2</v>
          </cell>
          <cell r="X140"/>
          <cell r="Y140" t="str">
            <v>S-5</v>
          </cell>
          <cell r="Z140"/>
          <cell r="AA140"/>
          <cell r="AB140"/>
          <cell r="AC140">
            <v>6</v>
          </cell>
          <cell r="AD140" t="str">
            <v>6ｲﾝﾁSｺｱ</v>
          </cell>
          <cell r="AE140">
            <v>1125</v>
          </cell>
          <cell r="AF140">
            <v>2</v>
          </cell>
          <cell r="AG140" t="str">
            <v>6ｲﾝﾁFWP</v>
          </cell>
          <cell r="AH140">
            <v>1450</v>
          </cell>
          <cell r="AI140"/>
          <cell r="AJ140"/>
          <cell r="AK140"/>
          <cell r="AL140"/>
          <cell r="AM140" t="str">
            <v>原反ケース再利用</v>
          </cell>
        </row>
        <row r="141">
          <cell r="G141" t="str">
            <v>3SNMLBMNNGKBF</v>
          </cell>
          <cell r="H141" t="str">
            <v>S</v>
          </cell>
          <cell r="I141" t="str">
            <v>N</v>
          </cell>
          <cell r="J141" t="str">
            <v>MLB</v>
          </cell>
          <cell r="K141" t="str">
            <v>MNNGKBF</v>
          </cell>
          <cell r="M141" t="str">
            <v>3SNMLBMNNGKBF251005</v>
          </cell>
          <cell r="N141" t="str">
            <v>3SNMLBMNNGKBF251000</v>
          </cell>
          <cell r="O141">
            <v>25</v>
          </cell>
          <cell r="P141">
            <v>3</v>
          </cell>
          <cell r="Q141" t="str">
            <v>X44C</v>
          </cell>
          <cell r="R141">
            <v>1005</v>
          </cell>
          <cell r="S141">
            <v>8000</v>
          </cell>
          <cell r="T141">
            <v>1005</v>
          </cell>
          <cell r="U141">
            <v>1000</v>
          </cell>
          <cell r="V141">
            <v>4000</v>
          </cell>
          <cell r="W141">
            <v>2</v>
          </cell>
          <cell r="X141"/>
          <cell r="Y141" t="str">
            <v>S-5</v>
          </cell>
          <cell r="Z141"/>
          <cell r="AA141"/>
          <cell r="AB141"/>
          <cell r="AC141">
            <v>6</v>
          </cell>
          <cell r="AD141" t="str">
            <v>6ｲﾝﾁSｺｱ</v>
          </cell>
          <cell r="AE141">
            <v>1015</v>
          </cell>
          <cell r="AF141">
            <v>2</v>
          </cell>
          <cell r="AG141" t="str">
            <v>原反コア</v>
          </cell>
          <cell r="AH141" t="str">
            <v>-</v>
          </cell>
          <cell r="AI141">
            <v>3</v>
          </cell>
          <cell r="AJ141" t="str">
            <v>6ｲﾝﾁFWP</v>
          </cell>
          <cell r="AK141">
            <v>1450</v>
          </cell>
          <cell r="AL141"/>
          <cell r="AM141"/>
        </row>
        <row r="142">
          <cell r="G142" t="str">
            <v>3SNMLBMNNGKBF</v>
          </cell>
          <cell r="H142" t="str">
            <v>S</v>
          </cell>
          <cell r="I142" t="str">
            <v>N</v>
          </cell>
          <cell r="J142" t="str">
            <v>MLB</v>
          </cell>
          <cell r="K142" t="str">
            <v>MNNGKBF</v>
          </cell>
          <cell r="M142" t="str">
            <v>3SNMLBMNNGKBF501000</v>
          </cell>
          <cell r="N142" t="str">
            <v>3SNMLBMNNGKBF501000</v>
          </cell>
          <cell r="O142">
            <v>50</v>
          </cell>
          <cell r="P142">
            <v>3</v>
          </cell>
          <cell r="Q142" t="str">
            <v>X44</v>
          </cell>
          <cell r="R142">
            <v>1000</v>
          </cell>
          <cell r="S142">
            <v>4000</v>
          </cell>
          <cell r="T142">
            <v>1000</v>
          </cell>
          <cell r="U142">
            <v>1000</v>
          </cell>
          <cell r="V142">
            <v>4000</v>
          </cell>
          <cell r="W142">
            <v>2</v>
          </cell>
          <cell r="X142"/>
          <cell r="Y142" t="str">
            <v>S-5</v>
          </cell>
          <cell r="Z142"/>
          <cell r="AA142"/>
          <cell r="AB142"/>
          <cell r="AC142">
            <v>6</v>
          </cell>
          <cell r="AD142" t="str">
            <v>6ｲﾝﾁSｺｱ</v>
          </cell>
          <cell r="AE142">
            <v>1005</v>
          </cell>
          <cell r="AF142">
            <v>2</v>
          </cell>
          <cell r="AG142" t="str">
            <v>原反コア</v>
          </cell>
          <cell r="AH142" t="str">
            <v>-</v>
          </cell>
          <cell r="AI142">
            <v>3</v>
          </cell>
          <cell r="AJ142" t="str">
            <v>6ｲﾝﾁFWP</v>
          </cell>
          <cell r="AK142">
            <v>1450</v>
          </cell>
          <cell r="AL142"/>
          <cell r="AM142"/>
        </row>
        <row r="143">
          <cell r="G143" t="str">
            <v>3SNMLBMNQR66F</v>
          </cell>
          <cell r="H143" t="str">
            <v>S</v>
          </cell>
          <cell r="I143" t="str">
            <v>N</v>
          </cell>
          <cell r="J143" t="str">
            <v>MLB</v>
          </cell>
          <cell r="K143" t="str">
            <v>MNQR66F</v>
          </cell>
          <cell r="M143" t="str">
            <v>3SNMLBMNQR66F251000</v>
          </cell>
          <cell r="N143" t="str">
            <v>3SNMLBMNQR66F251000</v>
          </cell>
          <cell r="O143">
            <v>25</v>
          </cell>
          <cell r="P143">
            <v>3</v>
          </cell>
          <cell r="Q143" t="str">
            <v>E315</v>
          </cell>
          <cell r="R143">
            <v>1000</v>
          </cell>
          <cell r="S143">
            <v>6000</v>
          </cell>
          <cell r="T143">
            <v>1000</v>
          </cell>
          <cell r="U143">
            <v>1000</v>
          </cell>
          <cell r="V143">
            <v>6000</v>
          </cell>
          <cell r="W143">
            <v>2</v>
          </cell>
          <cell r="X143"/>
          <cell r="Y143" t="str">
            <v>S-5</v>
          </cell>
          <cell r="Z143"/>
          <cell r="AA143"/>
          <cell r="AB143"/>
          <cell r="AC143">
            <v>6</v>
          </cell>
          <cell r="AD143" t="str">
            <v>6ｲﾝﾁMｺｱ</v>
          </cell>
          <cell r="AE143">
            <v>1010</v>
          </cell>
          <cell r="AF143">
            <v>2</v>
          </cell>
          <cell r="AG143" t="str">
            <v>6ｲﾝﾁFWP</v>
          </cell>
          <cell r="AH143">
            <v>1450</v>
          </cell>
          <cell r="AI143">
            <v>3</v>
          </cell>
          <cell r="AJ143" t="str">
            <v>6ｲﾝﾁFWP</v>
          </cell>
          <cell r="AK143">
            <v>1450</v>
          </cell>
          <cell r="AL143"/>
          <cell r="AM143" t="str">
            <v>原反ケース再利用</v>
          </cell>
        </row>
        <row r="144">
          <cell r="G144" t="str">
            <v>3SNMLBMNQR66F</v>
          </cell>
          <cell r="H144" t="str">
            <v>S</v>
          </cell>
          <cell r="I144" t="str">
            <v>N</v>
          </cell>
          <cell r="J144" t="str">
            <v>MLB</v>
          </cell>
          <cell r="K144" t="str">
            <v>MNQR66F</v>
          </cell>
          <cell r="M144" t="str">
            <v>3SNMLBMNQR66F251100</v>
          </cell>
          <cell r="N144" t="str">
            <v>3SNMLBMNQR66F251100</v>
          </cell>
          <cell r="O144">
            <v>25</v>
          </cell>
          <cell r="P144">
            <v>3</v>
          </cell>
          <cell r="Q144" t="str">
            <v>E315</v>
          </cell>
          <cell r="R144">
            <v>1100</v>
          </cell>
          <cell r="S144">
            <v>6000</v>
          </cell>
          <cell r="T144">
            <v>1100</v>
          </cell>
          <cell r="U144">
            <v>1100</v>
          </cell>
          <cell r="V144">
            <v>6000</v>
          </cell>
          <cell r="W144">
            <v>2</v>
          </cell>
          <cell r="X144"/>
          <cell r="Y144" t="str">
            <v>S-5</v>
          </cell>
          <cell r="Z144"/>
          <cell r="AA144"/>
          <cell r="AB144"/>
          <cell r="AC144">
            <v>6</v>
          </cell>
          <cell r="AD144" t="str">
            <v>6ｲﾝﾁMｺｱ</v>
          </cell>
          <cell r="AE144">
            <v>1110</v>
          </cell>
          <cell r="AF144">
            <v>2</v>
          </cell>
          <cell r="AG144" t="str">
            <v>6ｲﾝﾁFWP</v>
          </cell>
          <cell r="AH144">
            <v>1450</v>
          </cell>
          <cell r="AI144">
            <v>3</v>
          </cell>
          <cell r="AJ144" t="str">
            <v>6ｲﾝﾁFWP</v>
          </cell>
          <cell r="AK144">
            <v>1450</v>
          </cell>
          <cell r="AL144"/>
          <cell r="AM144" t="str">
            <v>原反ケース再利用</v>
          </cell>
        </row>
        <row r="145">
          <cell r="G145" t="str">
            <v>3SYMLBMSBBF</v>
          </cell>
          <cell r="H145" t="str">
            <v>S</v>
          </cell>
          <cell r="I145" t="str">
            <v>Y</v>
          </cell>
          <cell r="J145" t="str">
            <v>MLB</v>
          </cell>
          <cell r="K145" t="str">
            <v>MSBBF</v>
          </cell>
          <cell r="M145" t="str">
            <v>3SYMLBMSBBF251120</v>
          </cell>
          <cell r="N145" t="str">
            <v>3SYMLBMSBBF251120</v>
          </cell>
          <cell r="O145">
            <v>25</v>
          </cell>
          <cell r="P145">
            <v>3</v>
          </cell>
          <cell r="Q145" t="str">
            <v>T62</v>
          </cell>
          <cell r="R145">
            <v>1120</v>
          </cell>
          <cell r="S145">
            <v>8000</v>
          </cell>
          <cell r="T145">
            <v>1120</v>
          </cell>
          <cell r="U145">
            <v>1120</v>
          </cell>
          <cell r="V145">
            <v>8000</v>
          </cell>
          <cell r="W145">
            <v>2</v>
          </cell>
          <cell r="X145"/>
          <cell r="Y145" t="str">
            <v>S-5</v>
          </cell>
          <cell r="Z145"/>
          <cell r="AA145"/>
          <cell r="AB145"/>
          <cell r="AC145">
            <v>6</v>
          </cell>
          <cell r="AD145" t="str">
            <v>6ｲﾝﾁSｺｱ</v>
          </cell>
          <cell r="AE145">
            <v>1125</v>
          </cell>
          <cell r="AF145">
            <v>2</v>
          </cell>
          <cell r="AG145" t="str">
            <v>原反コア</v>
          </cell>
          <cell r="AH145" t="str">
            <v>-</v>
          </cell>
          <cell r="AI145">
            <v>3</v>
          </cell>
          <cell r="AJ145" t="str">
            <v>6ｲﾝﾁFWP</v>
          </cell>
          <cell r="AK145">
            <v>1450</v>
          </cell>
          <cell r="AL145"/>
          <cell r="AM145"/>
        </row>
        <row r="146">
          <cell r="G146" t="str">
            <v>3SYMLBMSBBF</v>
          </cell>
          <cell r="H146" t="str">
            <v>S</v>
          </cell>
          <cell r="I146" t="str">
            <v>Y</v>
          </cell>
          <cell r="J146" t="str">
            <v>MLB</v>
          </cell>
          <cell r="K146" t="str">
            <v>MSBBF</v>
          </cell>
          <cell r="M146" t="str">
            <v>3SYMLBMSBBF501120</v>
          </cell>
          <cell r="N146" t="str">
            <v>3SYMLBMSBBF501120</v>
          </cell>
          <cell r="O146">
            <v>50</v>
          </cell>
          <cell r="P146">
            <v>3</v>
          </cell>
          <cell r="Q146" t="str">
            <v>T62</v>
          </cell>
          <cell r="R146">
            <v>1120</v>
          </cell>
          <cell r="S146">
            <v>5000</v>
          </cell>
          <cell r="T146">
            <v>1120</v>
          </cell>
          <cell r="U146">
            <v>1120</v>
          </cell>
          <cell r="V146">
            <v>5000</v>
          </cell>
          <cell r="W146">
            <v>2</v>
          </cell>
          <cell r="X146"/>
          <cell r="Y146" t="str">
            <v>S-5</v>
          </cell>
          <cell r="Z146"/>
          <cell r="AA146"/>
          <cell r="AB146"/>
          <cell r="AC146">
            <v>6</v>
          </cell>
          <cell r="AD146" t="str">
            <v>6ｲﾝﾁSｺｱ</v>
          </cell>
          <cell r="AE146">
            <v>1125</v>
          </cell>
          <cell r="AF146">
            <v>2</v>
          </cell>
          <cell r="AG146" t="str">
            <v>原反コア</v>
          </cell>
          <cell r="AH146" t="str">
            <v>-</v>
          </cell>
          <cell r="AI146">
            <v>3</v>
          </cell>
          <cell r="AJ146" t="str">
            <v>6ｲﾝﾁFWP</v>
          </cell>
          <cell r="AK146">
            <v>1450</v>
          </cell>
          <cell r="AL146"/>
          <cell r="AM146" t="str">
            <v>原反ケース再利用</v>
          </cell>
        </row>
        <row r="147">
          <cell r="G147" t="str">
            <v>3SYMLBMSBBF</v>
          </cell>
          <cell r="H147" t="str">
            <v>S</v>
          </cell>
          <cell r="I147" t="str">
            <v>Y</v>
          </cell>
          <cell r="J147" t="str">
            <v>MLB</v>
          </cell>
          <cell r="K147" t="str">
            <v>MSBBF</v>
          </cell>
          <cell r="M147" t="str">
            <v>3SYMLBMSBBF501120</v>
          </cell>
          <cell r="N147" t="str">
            <v>3SYMLBMSBBF501120</v>
          </cell>
          <cell r="O147">
            <v>50</v>
          </cell>
          <cell r="P147">
            <v>3</v>
          </cell>
          <cell r="Q147" t="str">
            <v>T62</v>
          </cell>
          <cell r="R147">
            <v>1120</v>
          </cell>
          <cell r="S147">
            <v>5000</v>
          </cell>
          <cell r="T147">
            <v>1120</v>
          </cell>
          <cell r="U147">
            <v>1120</v>
          </cell>
          <cell r="V147">
            <v>5000</v>
          </cell>
          <cell r="W147">
            <v>2</v>
          </cell>
          <cell r="X147"/>
          <cell r="Y147" t="str">
            <v>S-5</v>
          </cell>
          <cell r="Z147"/>
          <cell r="AA147"/>
          <cell r="AB147"/>
          <cell r="AC147">
            <v>6</v>
          </cell>
          <cell r="AD147" t="str">
            <v>6ｲﾝﾁSｺｱ</v>
          </cell>
          <cell r="AE147">
            <v>1125</v>
          </cell>
          <cell r="AF147">
            <v>2</v>
          </cell>
          <cell r="AG147" t="str">
            <v>原反コア</v>
          </cell>
          <cell r="AH147" t="str">
            <v>-</v>
          </cell>
          <cell r="AI147">
            <v>3</v>
          </cell>
          <cell r="AJ147" t="str">
            <v>6ｲﾝﾁFWP</v>
          </cell>
          <cell r="AK147">
            <v>1450</v>
          </cell>
          <cell r="AL147"/>
          <cell r="AM147" t="str">
            <v>原反ケース再利用</v>
          </cell>
        </row>
        <row r="148">
          <cell r="G148" t="str">
            <v>3SYMLBMSBBZF</v>
          </cell>
          <cell r="H148" t="str">
            <v>S</v>
          </cell>
          <cell r="I148" t="str">
            <v>Y</v>
          </cell>
          <cell r="J148" t="str">
            <v>MLB</v>
          </cell>
          <cell r="K148" t="str">
            <v>MSBBZF</v>
          </cell>
          <cell r="M148" t="str">
            <v>3SYMLBMSBBZF251120</v>
          </cell>
          <cell r="N148" t="str">
            <v>3SYMLBMSBBZF251120</v>
          </cell>
          <cell r="O148">
            <v>25</v>
          </cell>
          <cell r="P148">
            <v>3</v>
          </cell>
          <cell r="Q148" t="str">
            <v>T62</v>
          </cell>
          <cell r="R148">
            <v>1120</v>
          </cell>
          <cell r="S148">
            <v>8000</v>
          </cell>
          <cell r="T148">
            <v>1120</v>
          </cell>
          <cell r="U148">
            <v>1120</v>
          </cell>
          <cell r="V148">
            <v>8000</v>
          </cell>
          <cell r="W148">
            <v>2</v>
          </cell>
          <cell r="X148"/>
          <cell r="Y148" t="str">
            <v>S-5</v>
          </cell>
          <cell r="Z148"/>
          <cell r="AA148"/>
          <cell r="AB148"/>
          <cell r="AC148">
            <v>6</v>
          </cell>
          <cell r="AD148" t="str">
            <v>6ｲﾝﾁSｺｱ</v>
          </cell>
          <cell r="AE148">
            <v>1125</v>
          </cell>
          <cell r="AF148">
            <v>2</v>
          </cell>
          <cell r="AG148" t="str">
            <v>原反コア</v>
          </cell>
          <cell r="AH148" t="str">
            <v>-</v>
          </cell>
          <cell r="AI148">
            <v>3</v>
          </cell>
          <cell r="AJ148" t="str">
            <v>6ｲﾝﾁFWP</v>
          </cell>
          <cell r="AK148">
            <v>1450</v>
          </cell>
          <cell r="AL148"/>
          <cell r="AM148"/>
        </row>
        <row r="149">
          <cell r="G149" t="str">
            <v>3SYMLBMSBBZF</v>
          </cell>
          <cell r="H149" t="str">
            <v>S</v>
          </cell>
          <cell r="I149" t="str">
            <v>Y</v>
          </cell>
          <cell r="J149" t="str">
            <v>MLB</v>
          </cell>
          <cell r="K149" t="str">
            <v>MSBBZF</v>
          </cell>
          <cell r="M149" t="str">
            <v>3SYMLBMSBBZF501120</v>
          </cell>
          <cell r="N149" t="str">
            <v>3SYMLBMSBBZF501120</v>
          </cell>
          <cell r="O149">
            <v>50</v>
          </cell>
          <cell r="P149">
            <v>3</v>
          </cell>
          <cell r="Q149" t="str">
            <v>T62</v>
          </cell>
          <cell r="R149">
            <v>1120</v>
          </cell>
          <cell r="S149">
            <v>5000</v>
          </cell>
          <cell r="T149">
            <v>1120</v>
          </cell>
          <cell r="U149">
            <v>1120</v>
          </cell>
          <cell r="V149">
            <v>5000</v>
          </cell>
          <cell r="W149">
            <v>2</v>
          </cell>
          <cell r="X149"/>
          <cell r="Y149" t="str">
            <v>S-5</v>
          </cell>
          <cell r="Z149"/>
          <cell r="AA149"/>
          <cell r="AB149"/>
          <cell r="AC149">
            <v>6</v>
          </cell>
          <cell r="AD149" t="str">
            <v>6ｲﾝﾁSｺｱ</v>
          </cell>
          <cell r="AE149">
            <v>1125</v>
          </cell>
          <cell r="AF149">
            <v>2</v>
          </cell>
          <cell r="AG149" t="str">
            <v>原反コア</v>
          </cell>
          <cell r="AH149" t="str">
            <v>-</v>
          </cell>
          <cell r="AI149">
            <v>3</v>
          </cell>
          <cell r="AJ149" t="str">
            <v>6ｲﾝﾁFWP</v>
          </cell>
          <cell r="AK149">
            <v>1450</v>
          </cell>
          <cell r="AL149"/>
          <cell r="AM149" t="str">
            <v>原反ケース再利用</v>
          </cell>
        </row>
        <row r="150">
          <cell r="G150" t="str">
            <v>3SNMLBMSF</v>
          </cell>
          <cell r="H150" t="str">
            <v>S</v>
          </cell>
          <cell r="I150" t="str">
            <v>N</v>
          </cell>
          <cell r="J150" t="str">
            <v>MLB</v>
          </cell>
          <cell r="K150" t="str">
            <v>MSF</v>
          </cell>
          <cell r="M150" t="str">
            <v>3SNMLBMSF251020</v>
          </cell>
          <cell r="N150" t="str">
            <v>3SNMLBMSF251000</v>
          </cell>
          <cell r="O150">
            <v>25</v>
          </cell>
          <cell r="P150">
            <v>3</v>
          </cell>
          <cell r="Q150" t="str">
            <v>T62M</v>
          </cell>
          <cell r="R150">
            <v>1020</v>
          </cell>
          <cell r="S150">
            <v>12100</v>
          </cell>
          <cell r="T150">
            <v>1000</v>
          </cell>
          <cell r="U150">
            <v>1000</v>
          </cell>
          <cell r="V150">
            <v>2000</v>
          </cell>
          <cell r="W150">
            <v>2</v>
          </cell>
          <cell r="X150"/>
          <cell r="Y150" t="str">
            <v>S-5</v>
          </cell>
          <cell r="Z150"/>
          <cell r="AA150"/>
          <cell r="AB150"/>
          <cell r="AC150">
            <v>3</v>
          </cell>
          <cell r="AD150" t="str">
            <v>3ｲﾝﾁSｺｱ</v>
          </cell>
          <cell r="AE150">
            <v>1005</v>
          </cell>
          <cell r="AF150">
            <v>2</v>
          </cell>
          <cell r="AG150" t="str">
            <v>原反コア</v>
          </cell>
          <cell r="AH150" t="str">
            <v>-</v>
          </cell>
          <cell r="AI150">
            <v>3</v>
          </cell>
          <cell r="AJ150" t="str">
            <v>6ｲﾝﾁFWP</v>
          </cell>
          <cell r="AK150">
            <v>1450</v>
          </cell>
          <cell r="AL150"/>
          <cell r="AM150"/>
        </row>
        <row r="151">
          <cell r="G151" t="str">
            <v>3SNMLBMSF</v>
          </cell>
          <cell r="H151" t="str">
            <v>S</v>
          </cell>
          <cell r="I151" t="str">
            <v>N</v>
          </cell>
          <cell r="J151" t="str">
            <v>MLB</v>
          </cell>
          <cell r="K151" t="str">
            <v>MSF</v>
          </cell>
          <cell r="M151" t="str">
            <v>3SNMLBMSF251020</v>
          </cell>
          <cell r="N151" t="str">
            <v>3SNMLBMSF251020</v>
          </cell>
          <cell r="O151">
            <v>25</v>
          </cell>
          <cell r="P151">
            <v>3</v>
          </cell>
          <cell r="Q151" t="str">
            <v>T62M</v>
          </cell>
          <cell r="R151">
            <v>1020</v>
          </cell>
          <cell r="S151">
            <v>12100</v>
          </cell>
          <cell r="T151">
            <v>1020</v>
          </cell>
          <cell r="U151">
            <v>1020</v>
          </cell>
          <cell r="V151">
            <v>2000</v>
          </cell>
          <cell r="W151">
            <v>1</v>
          </cell>
          <cell r="X151"/>
          <cell r="Y151" t="str">
            <v>S-5</v>
          </cell>
          <cell r="Z151"/>
          <cell r="AA151"/>
          <cell r="AB151"/>
          <cell r="AC151">
            <v>3</v>
          </cell>
          <cell r="AD151" t="str">
            <v>3ｲﾝﾁSｺｱ</v>
          </cell>
          <cell r="AE151">
            <v>1025</v>
          </cell>
          <cell r="AF151">
            <v>2</v>
          </cell>
          <cell r="AG151" t="str">
            <v>原反コア</v>
          </cell>
          <cell r="AH151" t="str">
            <v>-</v>
          </cell>
          <cell r="AI151">
            <v>3</v>
          </cell>
          <cell r="AJ151" t="str">
            <v>6ｲﾝﾁFWP</v>
          </cell>
          <cell r="AK151">
            <v>1450</v>
          </cell>
          <cell r="AL151"/>
          <cell r="AM151"/>
        </row>
        <row r="152">
          <cell r="G152" t="str">
            <v>3SNMLBMSF</v>
          </cell>
          <cell r="H152" t="str">
            <v>S</v>
          </cell>
          <cell r="I152" t="str">
            <v>N</v>
          </cell>
          <cell r="J152" t="str">
            <v>MLB</v>
          </cell>
          <cell r="K152" t="str">
            <v>MSF</v>
          </cell>
          <cell r="M152" t="str">
            <v>3SNMLBMSF251240</v>
          </cell>
          <cell r="N152" t="str">
            <v>3SNMLBMSF251240</v>
          </cell>
          <cell r="O152">
            <v>25</v>
          </cell>
          <cell r="P152">
            <v>3</v>
          </cell>
          <cell r="Q152" t="str">
            <v>T62M</v>
          </cell>
          <cell r="R152">
            <v>1240</v>
          </cell>
          <cell r="S152">
            <v>12100</v>
          </cell>
          <cell r="T152">
            <v>1240</v>
          </cell>
          <cell r="U152">
            <v>1240</v>
          </cell>
          <cell r="V152">
            <v>2000</v>
          </cell>
          <cell r="W152">
            <v>1</v>
          </cell>
          <cell r="X152"/>
          <cell r="Y152" t="str">
            <v>S-5</v>
          </cell>
          <cell r="Z152"/>
          <cell r="AA152"/>
          <cell r="AB152"/>
          <cell r="AC152">
            <v>3</v>
          </cell>
          <cell r="AD152" t="str">
            <v>3ｲﾝﾁSｺｱ</v>
          </cell>
          <cell r="AE152">
            <v>1245</v>
          </cell>
          <cell r="AF152">
            <v>2</v>
          </cell>
          <cell r="AG152" t="str">
            <v>原反コア</v>
          </cell>
          <cell r="AH152" t="str">
            <v>-</v>
          </cell>
          <cell r="AI152">
            <v>3</v>
          </cell>
          <cell r="AJ152" t="str">
            <v>6ｲﾝﾁFWP</v>
          </cell>
          <cell r="AK152">
            <v>1450</v>
          </cell>
          <cell r="AL152"/>
          <cell r="AM152"/>
        </row>
        <row r="153">
          <cell r="G153" t="str">
            <v>3HSNMLBMSF</v>
          </cell>
          <cell r="H153" t="str">
            <v>S</v>
          </cell>
          <cell r="I153" t="str">
            <v>N</v>
          </cell>
          <cell r="J153" t="str">
            <v>MLB</v>
          </cell>
          <cell r="K153" t="str">
            <v>MSF</v>
          </cell>
          <cell r="M153" t="str">
            <v>3HSNMLBMSF381000</v>
          </cell>
          <cell r="N153" t="str">
            <v>3HSNMLBMSF38865</v>
          </cell>
          <cell r="O153">
            <v>38</v>
          </cell>
          <cell r="P153" t="str">
            <v>3H</v>
          </cell>
          <cell r="Q153" t="str">
            <v>S10</v>
          </cell>
          <cell r="R153">
            <v>1000</v>
          </cell>
          <cell r="S153">
            <v>6000</v>
          </cell>
          <cell r="T153">
            <v>865</v>
          </cell>
          <cell r="U153">
            <v>865</v>
          </cell>
          <cell r="V153">
            <v>2800</v>
          </cell>
          <cell r="W153">
            <v>2</v>
          </cell>
          <cell r="X153"/>
          <cell r="Y153" t="str">
            <v>S-5</v>
          </cell>
          <cell r="Z153"/>
          <cell r="AA153"/>
          <cell r="AB153"/>
          <cell r="AC153">
            <v>3</v>
          </cell>
          <cell r="AD153" t="str">
            <v>3ｲﾝﾁSｺｱ</v>
          </cell>
          <cell r="AE153">
            <v>870</v>
          </cell>
          <cell r="AF153">
            <v>2</v>
          </cell>
          <cell r="AG153" t="str">
            <v>原反コア</v>
          </cell>
          <cell r="AH153" t="str">
            <v>-</v>
          </cell>
          <cell r="AI153">
            <v>3</v>
          </cell>
          <cell r="AJ153" t="str">
            <v>6ｲﾝﾁFWP</v>
          </cell>
          <cell r="AK153">
            <v>1450</v>
          </cell>
          <cell r="AL153"/>
          <cell r="AM153"/>
        </row>
        <row r="154">
          <cell r="G154" t="str">
            <v>3HSNMLBMSF</v>
          </cell>
          <cell r="H154" t="str">
            <v>S</v>
          </cell>
          <cell r="I154" t="str">
            <v>N</v>
          </cell>
          <cell r="J154" t="str">
            <v>MLB</v>
          </cell>
          <cell r="K154" t="str">
            <v>MSF</v>
          </cell>
          <cell r="M154" t="str">
            <v>3HSNMLBMSF381100</v>
          </cell>
          <cell r="N154" t="str">
            <v>3HSNMLBMSF381075</v>
          </cell>
          <cell r="O154">
            <v>38</v>
          </cell>
          <cell r="P154" t="str">
            <v>3H</v>
          </cell>
          <cell r="Q154" t="str">
            <v>S10</v>
          </cell>
          <cell r="R154">
            <v>1100</v>
          </cell>
          <cell r="S154">
            <v>6000</v>
          </cell>
          <cell r="T154">
            <v>1075</v>
          </cell>
          <cell r="U154">
            <v>1075</v>
          </cell>
          <cell r="V154">
            <v>2800</v>
          </cell>
          <cell r="W154">
            <v>2</v>
          </cell>
          <cell r="X154"/>
          <cell r="Y154" t="str">
            <v>S-5</v>
          </cell>
          <cell r="Z154"/>
          <cell r="AA154"/>
          <cell r="AB154"/>
          <cell r="AC154">
            <v>3</v>
          </cell>
          <cell r="AD154" t="str">
            <v>3ｲﾝﾁSｺｱ</v>
          </cell>
          <cell r="AE154">
            <v>1080</v>
          </cell>
          <cell r="AF154">
            <v>2</v>
          </cell>
          <cell r="AG154" t="str">
            <v>原反コア</v>
          </cell>
          <cell r="AH154" t="str">
            <v>-</v>
          </cell>
          <cell r="AI154">
            <v>3</v>
          </cell>
          <cell r="AJ154" t="str">
            <v>6ｲﾝﾁFWP</v>
          </cell>
          <cell r="AK154">
            <v>1450</v>
          </cell>
          <cell r="AL154"/>
          <cell r="AM154"/>
        </row>
        <row r="155">
          <cell r="G155" t="str">
            <v>3HSNMLBMSF</v>
          </cell>
          <cell r="H155" t="str">
            <v>S</v>
          </cell>
          <cell r="I155" t="str">
            <v>N</v>
          </cell>
          <cell r="J155" t="str">
            <v>MLB</v>
          </cell>
          <cell r="K155" t="str">
            <v>MSF</v>
          </cell>
          <cell r="M155" t="str">
            <v>3HSNMLBMSF381165</v>
          </cell>
          <cell r="N155" t="str">
            <v>3HSNMLBMSF381165</v>
          </cell>
          <cell r="O155">
            <v>38</v>
          </cell>
          <cell r="P155" t="str">
            <v>3H</v>
          </cell>
          <cell r="Q155" t="str">
            <v>S10</v>
          </cell>
          <cell r="R155">
            <v>1165</v>
          </cell>
          <cell r="S155">
            <v>6000</v>
          </cell>
          <cell r="T155">
            <v>1165</v>
          </cell>
          <cell r="U155">
            <v>1165</v>
          </cell>
          <cell r="V155">
            <v>2800</v>
          </cell>
          <cell r="W155">
            <v>2</v>
          </cell>
          <cell r="X155"/>
          <cell r="Y155" t="str">
            <v>S-5</v>
          </cell>
          <cell r="Z155"/>
          <cell r="AA155"/>
          <cell r="AB155"/>
          <cell r="AC155">
            <v>3</v>
          </cell>
          <cell r="AD155" t="str">
            <v>3ｲﾝﾁSｺｱ</v>
          </cell>
          <cell r="AE155">
            <v>1170</v>
          </cell>
          <cell r="AF155">
            <v>2</v>
          </cell>
          <cell r="AG155" t="str">
            <v>原反コア</v>
          </cell>
          <cell r="AH155" t="str">
            <v>-</v>
          </cell>
          <cell r="AI155">
            <v>3</v>
          </cell>
          <cell r="AJ155" t="str">
            <v>6ｲﾝﾁFWP</v>
          </cell>
          <cell r="AK155">
            <v>1450</v>
          </cell>
          <cell r="AL155"/>
          <cell r="AM155"/>
        </row>
        <row r="156">
          <cell r="G156" t="str">
            <v>3SYMLBMSNMBF</v>
          </cell>
          <cell r="H156" t="str">
            <v>S</v>
          </cell>
          <cell r="I156" t="str">
            <v>Y</v>
          </cell>
          <cell r="J156" t="str">
            <v>MLB</v>
          </cell>
          <cell r="K156" t="str">
            <v>MSNMBF</v>
          </cell>
          <cell r="M156" t="str">
            <v>3SYMLBMSNMBF501120</v>
          </cell>
          <cell r="N156" t="str">
            <v>3SYMLBMSNMBF501120</v>
          </cell>
          <cell r="O156">
            <v>50</v>
          </cell>
          <cell r="P156">
            <v>3</v>
          </cell>
          <cell r="Q156" t="str">
            <v>X44</v>
          </cell>
          <cell r="R156">
            <v>1120</v>
          </cell>
          <cell r="S156">
            <v>4000</v>
          </cell>
          <cell r="T156">
            <v>1120</v>
          </cell>
          <cell r="U156">
            <v>1120</v>
          </cell>
          <cell r="V156">
            <v>4000</v>
          </cell>
          <cell r="W156">
            <v>2</v>
          </cell>
          <cell r="X156"/>
          <cell r="Y156" t="str">
            <v>S-5</v>
          </cell>
          <cell r="Z156"/>
          <cell r="AA156"/>
          <cell r="AB156"/>
          <cell r="AC156">
            <v>6</v>
          </cell>
          <cell r="AD156" t="str">
            <v>6ｲﾝﾁMｺｱ</v>
          </cell>
          <cell r="AE156">
            <v>1125</v>
          </cell>
          <cell r="AF156">
            <v>2</v>
          </cell>
          <cell r="AG156" t="str">
            <v>原反コア</v>
          </cell>
          <cell r="AH156" t="str">
            <v>-</v>
          </cell>
          <cell r="AI156">
            <v>3</v>
          </cell>
          <cell r="AJ156" t="str">
            <v>6ｲﾝﾁFWP</v>
          </cell>
          <cell r="AK156">
            <v>1450</v>
          </cell>
          <cell r="AL156"/>
          <cell r="AM156"/>
        </row>
        <row r="157">
          <cell r="G157" t="str">
            <v>3SYMLBMSNMBF</v>
          </cell>
          <cell r="H157" t="str">
            <v>S</v>
          </cell>
          <cell r="I157" t="str">
            <v>Y</v>
          </cell>
          <cell r="J157" t="str">
            <v>MLB</v>
          </cell>
          <cell r="K157" t="str">
            <v>MSNMBF</v>
          </cell>
          <cell r="M157" t="str">
            <v>3SYMLBMSNMBF501120</v>
          </cell>
          <cell r="N157" t="str">
            <v>3SYMLBMSNMBF501120</v>
          </cell>
          <cell r="O157">
            <v>50</v>
          </cell>
          <cell r="P157">
            <v>3</v>
          </cell>
          <cell r="Q157" t="str">
            <v>X44</v>
          </cell>
          <cell r="R157">
            <v>1120</v>
          </cell>
          <cell r="S157">
            <v>4000</v>
          </cell>
          <cell r="T157">
            <v>1120</v>
          </cell>
          <cell r="U157">
            <v>1120</v>
          </cell>
          <cell r="V157">
            <v>4000</v>
          </cell>
          <cell r="W157">
            <v>2</v>
          </cell>
          <cell r="X157"/>
          <cell r="Y157" t="str">
            <v>S-5</v>
          </cell>
          <cell r="Z157"/>
          <cell r="AA157"/>
          <cell r="AB157"/>
          <cell r="AC157">
            <v>6</v>
          </cell>
          <cell r="AD157" t="str">
            <v>6ｲﾝﾁMｺｱ</v>
          </cell>
          <cell r="AE157">
            <v>1125</v>
          </cell>
          <cell r="AF157">
            <v>2</v>
          </cell>
          <cell r="AG157" t="str">
            <v>原反コア</v>
          </cell>
          <cell r="AH157" t="str">
            <v>-</v>
          </cell>
          <cell r="AI157">
            <v>3</v>
          </cell>
          <cell r="AJ157" t="str">
            <v>6ｲﾝﾁFWP</v>
          </cell>
          <cell r="AK157">
            <v>1450</v>
          </cell>
          <cell r="AL157"/>
          <cell r="AM157"/>
        </row>
        <row r="158">
          <cell r="G158" t="str">
            <v>3SYMLBMSNMBZF</v>
          </cell>
          <cell r="H158" t="str">
            <v>S</v>
          </cell>
          <cell r="I158" t="str">
            <v>Y</v>
          </cell>
          <cell r="J158" t="str">
            <v>MLB</v>
          </cell>
          <cell r="K158" t="str">
            <v>MSNMBZF</v>
          </cell>
          <cell r="M158" t="str">
            <v>3SYMLBMSNMBZF251120</v>
          </cell>
          <cell r="N158" t="str">
            <v>3SYMLBMSNMBZF251120</v>
          </cell>
          <cell r="O158">
            <v>25</v>
          </cell>
          <cell r="P158">
            <v>3</v>
          </cell>
          <cell r="Q158" t="str">
            <v>X44</v>
          </cell>
          <cell r="R158">
            <v>1120</v>
          </cell>
          <cell r="S158">
            <v>8000</v>
          </cell>
          <cell r="T158">
            <v>1120</v>
          </cell>
          <cell r="U158">
            <v>1120</v>
          </cell>
          <cell r="V158">
            <v>8000</v>
          </cell>
          <cell r="W158">
            <v>2</v>
          </cell>
          <cell r="X158"/>
          <cell r="Y158" t="str">
            <v>S-5</v>
          </cell>
          <cell r="Z158"/>
          <cell r="AA158"/>
          <cell r="AB158"/>
          <cell r="AC158">
            <v>6</v>
          </cell>
          <cell r="AD158" t="str">
            <v>6ｲﾝﾁMｺｱ</v>
          </cell>
          <cell r="AE158">
            <v>1125</v>
          </cell>
          <cell r="AF158">
            <v>2</v>
          </cell>
          <cell r="AG158" t="str">
            <v>原反コア</v>
          </cell>
          <cell r="AH158" t="str">
            <v>-</v>
          </cell>
          <cell r="AI158">
            <v>3</v>
          </cell>
          <cell r="AJ158" t="str">
            <v>6ｲﾝﾁFWP</v>
          </cell>
          <cell r="AK158">
            <v>1450</v>
          </cell>
          <cell r="AL158"/>
          <cell r="AM158"/>
        </row>
        <row r="159">
          <cell r="G159" t="str">
            <v>3SYMLBMSNMBZF</v>
          </cell>
          <cell r="H159" t="str">
            <v>S</v>
          </cell>
          <cell r="I159" t="str">
            <v>Y</v>
          </cell>
          <cell r="J159" t="str">
            <v>MLB</v>
          </cell>
          <cell r="K159" t="str">
            <v>MSNMBZF</v>
          </cell>
          <cell r="M159" t="str">
            <v>3SYMLBMSNMBZF501120</v>
          </cell>
          <cell r="N159" t="str">
            <v>3SYMLBMSNMBZF501120</v>
          </cell>
          <cell r="O159">
            <v>50</v>
          </cell>
          <cell r="P159">
            <v>3</v>
          </cell>
          <cell r="Q159" t="str">
            <v>X44</v>
          </cell>
          <cell r="R159">
            <v>1120</v>
          </cell>
          <cell r="S159">
            <v>4000</v>
          </cell>
          <cell r="T159">
            <v>1120</v>
          </cell>
          <cell r="U159">
            <v>1120</v>
          </cell>
          <cell r="V159">
            <v>4000</v>
          </cell>
          <cell r="W159">
            <v>2</v>
          </cell>
          <cell r="X159"/>
          <cell r="Y159" t="str">
            <v>S-5</v>
          </cell>
          <cell r="Z159"/>
          <cell r="AA159"/>
          <cell r="AB159"/>
          <cell r="AC159">
            <v>6</v>
          </cell>
          <cell r="AD159" t="str">
            <v>6ｲﾝﾁMｺｱ</v>
          </cell>
          <cell r="AE159">
            <v>1125</v>
          </cell>
          <cell r="AF159">
            <v>2</v>
          </cell>
          <cell r="AG159" t="str">
            <v>原反コア</v>
          </cell>
          <cell r="AH159" t="str">
            <v>-</v>
          </cell>
          <cell r="AI159">
            <v>3</v>
          </cell>
          <cell r="AJ159" t="str">
            <v>6ｲﾝﾁFWP</v>
          </cell>
          <cell r="AK159">
            <v>1450</v>
          </cell>
          <cell r="AL159"/>
          <cell r="AM159"/>
        </row>
        <row r="160">
          <cell r="G160" t="str">
            <v>3SYMLBMSSMBF</v>
          </cell>
          <cell r="H160" t="str">
            <v>S</v>
          </cell>
          <cell r="I160" t="str">
            <v>Y</v>
          </cell>
          <cell r="J160" t="str">
            <v>MLB</v>
          </cell>
          <cell r="K160" t="str">
            <v>MSSMBF</v>
          </cell>
          <cell r="M160" t="str">
            <v>3SYMLBMSSMBF251120</v>
          </cell>
          <cell r="N160" t="str">
            <v>3SYMLBMSSMBF251120</v>
          </cell>
          <cell r="O160">
            <v>25</v>
          </cell>
          <cell r="P160">
            <v>3</v>
          </cell>
          <cell r="Q160" t="str">
            <v>LI-MAT</v>
          </cell>
          <cell r="R160">
            <v>1120</v>
          </cell>
          <cell r="S160">
            <v>8000</v>
          </cell>
          <cell r="T160">
            <v>1120</v>
          </cell>
          <cell r="U160">
            <v>1120</v>
          </cell>
          <cell r="V160">
            <v>8000</v>
          </cell>
          <cell r="W160">
            <v>2</v>
          </cell>
          <cell r="X160"/>
          <cell r="Y160" t="str">
            <v>S-5</v>
          </cell>
          <cell r="Z160"/>
          <cell r="AA160"/>
          <cell r="AB160"/>
          <cell r="AC160">
            <v>6</v>
          </cell>
          <cell r="AD160" t="str">
            <v>6ｲﾝﾁSｺｱ</v>
          </cell>
          <cell r="AE160">
            <v>1125</v>
          </cell>
          <cell r="AF160">
            <v>2</v>
          </cell>
          <cell r="AG160" t="str">
            <v>原反コア</v>
          </cell>
          <cell r="AH160" t="str">
            <v>-</v>
          </cell>
          <cell r="AI160">
            <v>3</v>
          </cell>
          <cell r="AJ160" t="str">
            <v>6ｲﾝﾁFWP</v>
          </cell>
          <cell r="AK160">
            <v>1450</v>
          </cell>
          <cell r="AL160"/>
          <cell r="AM160"/>
        </row>
        <row r="161">
          <cell r="G161" t="str">
            <v>3SYMLBMSSMBF</v>
          </cell>
          <cell r="H161" t="str">
            <v>S</v>
          </cell>
          <cell r="I161" t="str">
            <v>Y</v>
          </cell>
          <cell r="J161" t="str">
            <v>MLB</v>
          </cell>
          <cell r="K161" t="str">
            <v>MSSMBF</v>
          </cell>
          <cell r="M161" t="str">
            <v>3SYMLBMSSMBF501120</v>
          </cell>
          <cell r="N161" t="str">
            <v>3SYMLBMSSMBF501120</v>
          </cell>
          <cell r="O161">
            <v>50</v>
          </cell>
          <cell r="P161">
            <v>3</v>
          </cell>
          <cell r="Q161" t="str">
            <v>LI-MAT</v>
          </cell>
          <cell r="R161">
            <v>1120</v>
          </cell>
          <cell r="S161">
            <v>4000</v>
          </cell>
          <cell r="T161">
            <v>1120</v>
          </cell>
          <cell r="U161">
            <v>1120</v>
          </cell>
          <cell r="V161">
            <v>4000</v>
          </cell>
          <cell r="W161">
            <v>2</v>
          </cell>
          <cell r="X161"/>
          <cell r="Y161" t="str">
            <v>S-5</v>
          </cell>
          <cell r="Z161"/>
          <cell r="AA161"/>
          <cell r="AB161"/>
          <cell r="AC161">
            <v>6</v>
          </cell>
          <cell r="AD161" t="str">
            <v>6ｲﾝﾁSｺｱ</v>
          </cell>
          <cell r="AE161">
            <v>1125</v>
          </cell>
          <cell r="AF161">
            <v>2</v>
          </cell>
          <cell r="AG161" t="str">
            <v>原反コア</v>
          </cell>
          <cell r="AH161" t="str">
            <v>-</v>
          </cell>
          <cell r="AI161">
            <v>3</v>
          </cell>
          <cell r="AJ161" t="str">
            <v>6ｲﾝﾁFWP</v>
          </cell>
          <cell r="AK161">
            <v>1450</v>
          </cell>
          <cell r="AL161"/>
          <cell r="AM161"/>
        </row>
        <row r="162">
          <cell r="G162" t="str">
            <v>3SYMLBMSSMBZF</v>
          </cell>
          <cell r="H162" t="str">
            <v>S</v>
          </cell>
          <cell r="I162" t="str">
            <v>Y</v>
          </cell>
          <cell r="J162" t="str">
            <v>MLB</v>
          </cell>
          <cell r="K162" t="str">
            <v>MSSMBZF</v>
          </cell>
          <cell r="M162" t="str">
            <v>3SYMLBMSSMBZF501120</v>
          </cell>
          <cell r="N162" t="str">
            <v>3SYMLBMSSMBZF501120</v>
          </cell>
          <cell r="O162">
            <v>50</v>
          </cell>
          <cell r="P162">
            <v>3</v>
          </cell>
          <cell r="Q162" t="str">
            <v>LI-MAT</v>
          </cell>
          <cell r="R162">
            <v>1120</v>
          </cell>
          <cell r="S162">
            <v>4000</v>
          </cell>
          <cell r="T162">
            <v>1120</v>
          </cell>
          <cell r="U162">
            <v>1120</v>
          </cell>
          <cell r="V162">
            <v>4000</v>
          </cell>
          <cell r="W162">
            <v>2</v>
          </cell>
          <cell r="X162"/>
          <cell r="Y162" t="str">
            <v>S-5</v>
          </cell>
          <cell r="Z162"/>
          <cell r="AA162"/>
          <cell r="AB162"/>
          <cell r="AC162">
            <v>6</v>
          </cell>
          <cell r="AD162" t="str">
            <v>6ｲﾝﾁSｺｱ</v>
          </cell>
          <cell r="AE162">
            <v>1125</v>
          </cell>
          <cell r="AF162">
            <v>2</v>
          </cell>
          <cell r="AG162" t="str">
            <v>原反コア</v>
          </cell>
          <cell r="AH162" t="str">
            <v>-</v>
          </cell>
          <cell r="AI162">
            <v>3</v>
          </cell>
          <cell r="AJ162" t="str">
            <v>6ｲﾝﾁFWP</v>
          </cell>
          <cell r="AK162">
            <v>1450</v>
          </cell>
          <cell r="AL162"/>
          <cell r="AM162"/>
        </row>
        <row r="163">
          <cell r="G163" t="str">
            <v>3SNMLBMTSF</v>
          </cell>
          <cell r="H163" t="str">
            <v>S</v>
          </cell>
          <cell r="I163" t="str">
            <v>N</v>
          </cell>
          <cell r="J163" t="str">
            <v>MLB</v>
          </cell>
          <cell r="K163" t="str">
            <v>MTSF</v>
          </cell>
          <cell r="M163" t="str">
            <v>3SNMLBMTSF501060</v>
          </cell>
          <cell r="N163" t="str">
            <v>3SNMLBMTSF501000</v>
          </cell>
          <cell r="O163">
            <v>50</v>
          </cell>
          <cell r="P163">
            <v>3</v>
          </cell>
          <cell r="Q163" t="str">
            <v>T62M</v>
          </cell>
          <cell r="R163">
            <v>1060</v>
          </cell>
          <cell r="S163">
            <v>6100</v>
          </cell>
          <cell r="T163">
            <v>1000</v>
          </cell>
          <cell r="U163">
            <v>1000</v>
          </cell>
          <cell r="V163">
            <v>1000</v>
          </cell>
          <cell r="W163">
            <v>2</v>
          </cell>
          <cell r="X163"/>
          <cell r="Y163" t="str">
            <v>S-5</v>
          </cell>
          <cell r="Z163"/>
          <cell r="AA163"/>
          <cell r="AB163"/>
          <cell r="AC163">
            <v>3</v>
          </cell>
          <cell r="AD163" t="str">
            <v>3ｲﾝﾁSｺｱ</v>
          </cell>
          <cell r="AE163">
            <v>1005</v>
          </cell>
          <cell r="AF163">
            <v>2</v>
          </cell>
          <cell r="AG163" t="str">
            <v>原反コア</v>
          </cell>
          <cell r="AH163" t="str">
            <v>-</v>
          </cell>
          <cell r="AI163">
            <v>3</v>
          </cell>
          <cell r="AJ163" t="str">
            <v>6ｲﾝﾁFWP</v>
          </cell>
          <cell r="AK163">
            <v>1450</v>
          </cell>
          <cell r="AL163"/>
          <cell r="AM163"/>
        </row>
        <row r="164">
          <cell r="G164" t="str">
            <v>3SNMLBMTSF</v>
          </cell>
          <cell r="H164" t="str">
            <v>S</v>
          </cell>
          <cell r="I164" t="str">
            <v>N</v>
          </cell>
          <cell r="J164" t="str">
            <v>MLB</v>
          </cell>
          <cell r="K164" t="str">
            <v>MTSF</v>
          </cell>
          <cell r="M164" t="str">
            <v>3SNMLBMTSF501060</v>
          </cell>
          <cell r="N164" t="str">
            <v>3SNMLBMTSF501000</v>
          </cell>
          <cell r="O164">
            <v>50</v>
          </cell>
          <cell r="P164">
            <v>3</v>
          </cell>
          <cell r="Q164" t="str">
            <v>T62M</v>
          </cell>
          <cell r="R164">
            <v>1060</v>
          </cell>
          <cell r="S164">
            <v>6100</v>
          </cell>
          <cell r="T164">
            <v>1000</v>
          </cell>
          <cell r="U164">
            <v>1000</v>
          </cell>
          <cell r="V164">
            <v>3000</v>
          </cell>
          <cell r="W164">
            <v>2</v>
          </cell>
          <cell r="X164"/>
          <cell r="Y164" t="str">
            <v>S-5</v>
          </cell>
          <cell r="Z164"/>
          <cell r="AA164"/>
          <cell r="AB164"/>
          <cell r="AC164">
            <v>3</v>
          </cell>
          <cell r="AD164" t="str">
            <v>3ｲﾝﾁSｺｱ</v>
          </cell>
          <cell r="AE164">
            <v>1005</v>
          </cell>
          <cell r="AF164">
            <v>2</v>
          </cell>
          <cell r="AG164" t="str">
            <v>原反コア</v>
          </cell>
          <cell r="AH164" t="str">
            <v>-</v>
          </cell>
          <cell r="AI164">
            <v>3</v>
          </cell>
          <cell r="AJ164" t="str">
            <v>6ｲﾝﾁFWP</v>
          </cell>
          <cell r="AK164">
            <v>1450</v>
          </cell>
          <cell r="AL164"/>
          <cell r="AM164"/>
        </row>
        <row r="165">
          <cell r="G165" t="str">
            <v>3SNMLBMTSF</v>
          </cell>
          <cell r="H165" t="str">
            <v>S</v>
          </cell>
          <cell r="I165" t="str">
            <v>N</v>
          </cell>
          <cell r="J165" t="str">
            <v>MLB</v>
          </cell>
          <cell r="K165" t="str">
            <v>MTSF</v>
          </cell>
          <cell r="M165" t="str">
            <v>3SNMLBMTSF501255</v>
          </cell>
          <cell r="N165" t="str">
            <v>3SNMLBMTSF501250</v>
          </cell>
          <cell r="O165">
            <v>50</v>
          </cell>
          <cell r="P165">
            <v>3</v>
          </cell>
          <cell r="Q165" t="str">
            <v>T62M</v>
          </cell>
          <cell r="R165">
            <v>1255</v>
          </cell>
          <cell r="S165">
            <v>6100</v>
          </cell>
          <cell r="T165">
            <v>1255</v>
          </cell>
          <cell r="U165">
            <v>1250</v>
          </cell>
          <cell r="V165">
            <v>2000</v>
          </cell>
          <cell r="W165">
            <v>2</v>
          </cell>
          <cell r="X165"/>
          <cell r="Y165" t="str">
            <v>S-5</v>
          </cell>
          <cell r="Z165"/>
          <cell r="AA165"/>
          <cell r="AB165"/>
          <cell r="AC165">
            <v>3</v>
          </cell>
          <cell r="AD165" t="str">
            <v>3ｲﾝﾁSｺｱ</v>
          </cell>
          <cell r="AE165">
            <v>1260</v>
          </cell>
          <cell r="AF165">
            <v>2</v>
          </cell>
          <cell r="AG165" t="str">
            <v>原反コア</v>
          </cell>
          <cell r="AH165" t="str">
            <v>-</v>
          </cell>
          <cell r="AI165">
            <v>3</v>
          </cell>
          <cell r="AJ165" t="str">
            <v>6ｲﾝﾁFWP</v>
          </cell>
          <cell r="AK165">
            <v>1450</v>
          </cell>
          <cell r="AL165"/>
          <cell r="AM165"/>
        </row>
        <row r="166">
          <cell r="G166" t="str">
            <v>3SNMLBMTSF</v>
          </cell>
          <cell r="H166" t="str">
            <v>S</v>
          </cell>
          <cell r="I166" t="str">
            <v>N</v>
          </cell>
          <cell r="J166" t="str">
            <v>MLB</v>
          </cell>
          <cell r="K166" t="str">
            <v>MTSF</v>
          </cell>
          <cell r="M166" t="str">
            <v>3SNMLBMTSF751100</v>
          </cell>
          <cell r="N166" t="str">
            <v>3SNMLBMTSF751000</v>
          </cell>
          <cell r="O166">
            <v>75</v>
          </cell>
          <cell r="P166">
            <v>3</v>
          </cell>
          <cell r="Q166" t="str">
            <v>T60</v>
          </cell>
          <cell r="R166">
            <v>1100</v>
          </cell>
          <cell r="S166">
            <v>2000</v>
          </cell>
          <cell r="T166">
            <v>1000</v>
          </cell>
          <cell r="U166">
            <v>1000</v>
          </cell>
          <cell r="V166">
            <v>1000</v>
          </cell>
          <cell r="W166">
            <v>2</v>
          </cell>
          <cell r="X166"/>
          <cell r="Y166" t="str">
            <v>S-5</v>
          </cell>
          <cell r="Z166"/>
          <cell r="AA166"/>
          <cell r="AB166"/>
          <cell r="AC166">
            <v>3</v>
          </cell>
          <cell r="AD166" t="str">
            <v>3ｲﾝﾁSｺｱ</v>
          </cell>
          <cell r="AE166">
            <v>1005</v>
          </cell>
          <cell r="AF166">
            <v>2</v>
          </cell>
          <cell r="AG166" t="str">
            <v>原反コア</v>
          </cell>
          <cell r="AH166" t="str">
            <v>-</v>
          </cell>
          <cell r="AI166">
            <v>3</v>
          </cell>
          <cell r="AJ166" t="str">
            <v>6ｲﾝﾁFWP</v>
          </cell>
          <cell r="AK166">
            <v>1450</v>
          </cell>
          <cell r="AL166"/>
          <cell r="AM166"/>
        </row>
        <row r="167">
          <cell r="G167" t="str">
            <v>3SNMCLBNGKEYKB</v>
          </cell>
          <cell r="H167" t="str">
            <v>S</v>
          </cell>
          <cell r="I167" t="str">
            <v>N</v>
          </cell>
          <cell r="J167" t="str">
            <v>MCLB</v>
          </cell>
          <cell r="K167" t="str">
            <v>NGKEYKB</v>
          </cell>
          <cell r="M167" t="str">
            <v>3SNMCLBNGKEYKB161005</v>
          </cell>
          <cell r="N167" t="str">
            <v>3SNMCLBNGKEYKB161000</v>
          </cell>
          <cell r="O167">
            <v>16</v>
          </cell>
          <cell r="P167">
            <v>3</v>
          </cell>
          <cell r="Q167" t="str">
            <v>LUMIMAT</v>
          </cell>
          <cell r="R167">
            <v>1005</v>
          </cell>
          <cell r="S167">
            <v>3000</v>
          </cell>
          <cell r="T167">
            <v>1005</v>
          </cell>
          <cell r="U167">
            <v>1000</v>
          </cell>
          <cell r="V167">
            <v>3000</v>
          </cell>
          <cell r="W167">
            <v>2</v>
          </cell>
          <cell r="X167" t="str">
            <v>CF4</v>
          </cell>
          <cell r="Y167" t="str">
            <v>S-5</v>
          </cell>
          <cell r="Z167"/>
          <cell r="AA167"/>
          <cell r="AB167"/>
          <cell r="AC167">
            <v>6</v>
          </cell>
          <cell r="AD167" t="str">
            <v>6ｲﾝﾁMｺｱ</v>
          </cell>
          <cell r="AE167">
            <v>1015</v>
          </cell>
          <cell r="AF167">
            <v>2</v>
          </cell>
          <cell r="AG167" t="str">
            <v>原反コア</v>
          </cell>
          <cell r="AH167" t="str">
            <v>-</v>
          </cell>
          <cell r="AI167">
            <v>3</v>
          </cell>
          <cell r="AJ167" t="str">
            <v>6ｲﾝﾁFWP</v>
          </cell>
          <cell r="AK167">
            <v>1450</v>
          </cell>
          <cell r="AL167"/>
          <cell r="AM167"/>
        </row>
        <row r="168">
          <cell r="G168" t="str">
            <v>3SNMLBMNSJF</v>
          </cell>
          <cell r="H168" t="str">
            <v>S</v>
          </cell>
          <cell r="I168" t="str">
            <v>N</v>
          </cell>
          <cell r="J168" t="str">
            <v>MLB</v>
          </cell>
          <cell r="K168" t="str">
            <v>MNSJF</v>
          </cell>
          <cell r="M168" t="str">
            <v>3SNMLBMNSJF121120</v>
          </cell>
          <cell r="N168" t="str">
            <v>3SNMLBMNSJF121000</v>
          </cell>
          <cell r="O168">
            <v>12</v>
          </cell>
          <cell r="P168">
            <v>3</v>
          </cell>
          <cell r="Q168" t="str">
            <v>NS</v>
          </cell>
          <cell r="R168">
            <v>1120</v>
          </cell>
          <cell r="S168">
            <v>24230</v>
          </cell>
          <cell r="T168">
            <v>1000</v>
          </cell>
          <cell r="U168">
            <v>1000</v>
          </cell>
          <cell r="V168">
            <v>6000</v>
          </cell>
          <cell r="W168">
            <v>2</v>
          </cell>
          <cell r="X168"/>
          <cell r="Y168" t="str">
            <v>S-5</v>
          </cell>
          <cell r="Z168"/>
          <cell r="AA168"/>
          <cell r="AB168"/>
          <cell r="AC168">
            <v>6</v>
          </cell>
          <cell r="AD168" t="str">
            <v>6ｲﾝﾁMｺｱ</v>
          </cell>
          <cell r="AE168">
            <v>1005</v>
          </cell>
          <cell r="AF168"/>
          <cell r="AG168"/>
          <cell r="AH168"/>
          <cell r="AI168"/>
          <cell r="AJ168"/>
          <cell r="AK168"/>
          <cell r="AL168"/>
          <cell r="AM168"/>
        </row>
        <row r="169">
          <cell r="G169" t="str">
            <v>3SNMLBMNSJF</v>
          </cell>
          <cell r="H169" t="str">
            <v>S</v>
          </cell>
          <cell r="I169" t="str">
            <v>N</v>
          </cell>
          <cell r="J169" t="str">
            <v>MLB</v>
          </cell>
          <cell r="K169" t="str">
            <v>MNSJF</v>
          </cell>
          <cell r="M169" t="str">
            <v>3SNMLBMNSJF121120</v>
          </cell>
          <cell r="N169" t="str">
            <v>3SNMLBMNSJF121120</v>
          </cell>
          <cell r="O169">
            <v>12</v>
          </cell>
          <cell r="P169">
            <v>3</v>
          </cell>
          <cell r="Q169" t="str">
            <v>NS</v>
          </cell>
          <cell r="R169">
            <v>1120</v>
          </cell>
          <cell r="S169">
            <v>24230</v>
          </cell>
          <cell r="T169">
            <v>1120</v>
          </cell>
          <cell r="U169">
            <v>1120</v>
          </cell>
          <cell r="V169">
            <v>6000</v>
          </cell>
          <cell r="W169">
            <v>2</v>
          </cell>
          <cell r="X169"/>
          <cell r="Y169" t="str">
            <v>S-5</v>
          </cell>
          <cell r="Z169"/>
          <cell r="AA169"/>
          <cell r="AB169"/>
          <cell r="AC169">
            <v>6</v>
          </cell>
          <cell r="AD169" t="str">
            <v>6ｲﾝﾁMｺｱ</v>
          </cell>
          <cell r="AE169">
            <v>1125</v>
          </cell>
          <cell r="AF169"/>
          <cell r="AG169"/>
          <cell r="AH169"/>
          <cell r="AI169"/>
          <cell r="AJ169"/>
          <cell r="AK169"/>
          <cell r="AL169"/>
          <cell r="AM169"/>
        </row>
        <row r="170">
          <cell r="G170" t="str">
            <v>3HSNTPICTT405B</v>
          </cell>
          <cell r="H170" t="str">
            <v>S</v>
          </cell>
          <cell r="I170" t="str">
            <v>N</v>
          </cell>
          <cell r="J170" t="str">
            <v>TPIC</v>
          </cell>
          <cell r="K170" t="str">
            <v>TT405B</v>
          </cell>
          <cell r="M170" t="str">
            <v>3HSNTPICTT405B501094</v>
          </cell>
          <cell r="N170" t="str">
            <v>3HSNTPICTT405B501094</v>
          </cell>
          <cell r="O170">
            <v>50</v>
          </cell>
          <cell r="P170" t="str">
            <v>3H</v>
          </cell>
          <cell r="Q170" t="str">
            <v>UTE6</v>
          </cell>
          <cell r="R170">
            <v>1094</v>
          </cell>
          <cell r="S170">
            <v>6000</v>
          </cell>
          <cell r="T170">
            <v>1094</v>
          </cell>
          <cell r="U170">
            <v>1094</v>
          </cell>
          <cell r="V170">
            <v>5000</v>
          </cell>
          <cell r="W170">
            <v>2</v>
          </cell>
          <cell r="X170" t="str">
            <v>CF3</v>
          </cell>
          <cell r="Y170" t="str">
            <v>直出し</v>
          </cell>
          <cell r="Z170">
            <v>6</v>
          </cell>
          <cell r="AA170" t="str">
            <v>6ｲﾝﾁFWP</v>
          </cell>
          <cell r="AB170">
            <v>1700</v>
          </cell>
          <cell r="AC170"/>
          <cell r="AD170"/>
          <cell r="AE170"/>
          <cell r="AF170"/>
          <cell r="AG170"/>
          <cell r="AH170"/>
          <cell r="AI170"/>
          <cell r="AJ170"/>
          <cell r="AK170"/>
          <cell r="AL170"/>
          <cell r="AM170"/>
        </row>
        <row r="171">
          <cell r="G171" t="str">
            <v>3SNTTPB2T0</v>
          </cell>
          <cell r="H171" t="str">
            <v>S</v>
          </cell>
          <cell r="I171" t="str">
            <v>N</v>
          </cell>
          <cell r="J171" t="str">
            <v>TTP</v>
          </cell>
          <cell r="K171" t="str">
            <v>B2T0</v>
          </cell>
          <cell r="M171" t="str">
            <v>3SNTTPB2T01001020</v>
          </cell>
          <cell r="N171" t="str">
            <v>3SNTTPB2T01001000</v>
          </cell>
          <cell r="O171">
            <v>100</v>
          </cell>
          <cell r="P171">
            <v>3</v>
          </cell>
          <cell r="Q171" t="str">
            <v xml:space="preserve">A4360  </v>
          </cell>
          <cell r="R171">
            <v>1020</v>
          </cell>
          <cell r="S171">
            <v>2000</v>
          </cell>
          <cell r="T171">
            <v>1000</v>
          </cell>
          <cell r="U171">
            <v>1000</v>
          </cell>
          <cell r="V171">
            <v>1000</v>
          </cell>
          <cell r="W171">
            <v>2</v>
          </cell>
          <cell r="X171" t="str">
            <v>CF3</v>
          </cell>
          <cell r="Y171" t="str">
            <v>SL-3</v>
          </cell>
          <cell r="Z171">
            <v>6</v>
          </cell>
          <cell r="AA171" t="str">
            <v>6ｲﾝﾁABS</v>
          </cell>
          <cell r="AB171">
            <v>1020</v>
          </cell>
          <cell r="AC171">
            <v>6</v>
          </cell>
          <cell r="AD171" t="str">
            <v>6ｲﾝﾁABS</v>
          </cell>
          <cell r="AE171">
            <v>1020</v>
          </cell>
          <cell r="AF171"/>
          <cell r="AG171"/>
          <cell r="AH171"/>
          <cell r="AI171"/>
          <cell r="AJ171"/>
          <cell r="AK171"/>
          <cell r="AL171"/>
          <cell r="AM171"/>
        </row>
        <row r="172">
          <cell r="G172" t="str">
            <v>3SNTTPB2T0</v>
          </cell>
          <cell r="H172" t="str">
            <v>S</v>
          </cell>
          <cell r="I172" t="str">
            <v>N</v>
          </cell>
          <cell r="J172" t="str">
            <v>TTP</v>
          </cell>
          <cell r="K172" t="str">
            <v>B2T0</v>
          </cell>
          <cell r="M172" t="str">
            <v>3SNTTPB2T01251020</v>
          </cell>
          <cell r="N172" t="str">
            <v>3SNTTPB2T01251000</v>
          </cell>
          <cell r="O172">
            <v>125</v>
          </cell>
          <cell r="P172">
            <v>3</v>
          </cell>
          <cell r="Q172" t="str">
            <v xml:space="preserve">A4360  </v>
          </cell>
          <cell r="R172">
            <v>1020</v>
          </cell>
          <cell r="S172">
            <v>2000</v>
          </cell>
          <cell r="T172">
            <v>1000</v>
          </cell>
          <cell r="U172">
            <v>1000</v>
          </cell>
          <cell r="V172">
            <v>1000</v>
          </cell>
          <cell r="W172">
            <v>2</v>
          </cell>
          <cell r="X172" t="str">
            <v>CF3</v>
          </cell>
          <cell r="Y172" t="str">
            <v>SL-3</v>
          </cell>
          <cell r="Z172">
            <v>6</v>
          </cell>
          <cell r="AA172" t="str">
            <v>6ｲﾝﾁABS</v>
          </cell>
          <cell r="AB172">
            <v>1020</v>
          </cell>
          <cell r="AC172">
            <v>6</v>
          </cell>
          <cell r="AD172" t="str">
            <v>6ｲﾝﾁABS</v>
          </cell>
          <cell r="AE172">
            <v>1020</v>
          </cell>
          <cell r="AF172"/>
          <cell r="AG172"/>
          <cell r="AH172"/>
          <cell r="AI172"/>
          <cell r="AJ172"/>
          <cell r="AK172"/>
          <cell r="AL172"/>
          <cell r="AM172"/>
        </row>
        <row r="173">
          <cell r="G173" t="str">
            <v>3SNTTPB2T0</v>
          </cell>
          <cell r="H173" t="str">
            <v>S</v>
          </cell>
          <cell r="I173" t="str">
            <v>N</v>
          </cell>
          <cell r="J173" t="str">
            <v>TTP</v>
          </cell>
          <cell r="K173" t="str">
            <v>B2T0</v>
          </cell>
          <cell r="M173" t="str">
            <v>3SNTTPB2T01881020</v>
          </cell>
          <cell r="N173" t="str">
            <v>3SNTTPB2T01881000</v>
          </cell>
          <cell r="O173">
            <v>188</v>
          </cell>
          <cell r="P173">
            <v>3</v>
          </cell>
          <cell r="Q173" t="str">
            <v xml:space="preserve">A4360  </v>
          </cell>
          <cell r="R173">
            <v>1020</v>
          </cell>
          <cell r="S173">
            <v>1200</v>
          </cell>
          <cell r="T173">
            <v>1000</v>
          </cell>
          <cell r="U173">
            <v>1000</v>
          </cell>
          <cell r="V173">
            <v>1000</v>
          </cell>
          <cell r="W173">
            <v>2</v>
          </cell>
          <cell r="X173" t="str">
            <v>CF3</v>
          </cell>
          <cell r="Y173" t="str">
            <v>SL-3</v>
          </cell>
          <cell r="Z173">
            <v>6</v>
          </cell>
          <cell r="AA173" t="str">
            <v>6ｲﾝﾁABS</v>
          </cell>
          <cell r="AB173">
            <v>1020</v>
          </cell>
          <cell r="AC173">
            <v>6</v>
          </cell>
          <cell r="AD173" t="str">
            <v>6ｲﾝﾁABS</v>
          </cell>
          <cell r="AE173">
            <v>1020</v>
          </cell>
          <cell r="AF173"/>
          <cell r="AG173"/>
          <cell r="AH173"/>
          <cell r="AI173"/>
          <cell r="AJ173"/>
          <cell r="AK173"/>
          <cell r="AL173"/>
          <cell r="AM173"/>
        </row>
        <row r="174">
          <cell r="G174" t="str">
            <v>3SYTTPTHS</v>
          </cell>
          <cell r="H174" t="str">
            <v>S</v>
          </cell>
          <cell r="I174" t="str">
            <v>Y</v>
          </cell>
          <cell r="J174" t="str">
            <v>TTP</v>
          </cell>
          <cell r="K174" t="str">
            <v>THS</v>
          </cell>
          <cell r="M174" t="str">
            <v>3SYTTPTHS1251300</v>
          </cell>
          <cell r="N174" t="str">
            <v>3SYTTPTHS1251300</v>
          </cell>
          <cell r="O174">
            <v>125</v>
          </cell>
          <cell r="P174">
            <v>3</v>
          </cell>
          <cell r="Q174" t="str">
            <v>U483N</v>
          </cell>
          <cell r="R174">
            <v>1300</v>
          </cell>
          <cell r="S174">
            <v>1600</v>
          </cell>
          <cell r="T174">
            <v>1300</v>
          </cell>
          <cell r="U174">
            <v>1300</v>
          </cell>
          <cell r="V174">
            <v>1600</v>
          </cell>
          <cell r="W174">
            <v>2</v>
          </cell>
          <cell r="X174" t="str">
            <v>CF3</v>
          </cell>
          <cell r="Y174" t="str">
            <v>SL-3</v>
          </cell>
          <cell r="Z174">
            <v>6</v>
          </cell>
          <cell r="AA174" t="str">
            <v>6ｲﾝﾁABS</v>
          </cell>
          <cell r="AB174">
            <v>1450</v>
          </cell>
          <cell r="AC174">
            <v>6</v>
          </cell>
          <cell r="AD174" t="str">
            <v>6ｲﾝﾁABS</v>
          </cell>
          <cell r="AE174">
            <v>1270</v>
          </cell>
          <cell r="AF174"/>
          <cell r="AG174"/>
          <cell r="AH174"/>
          <cell r="AI174"/>
          <cell r="AJ174"/>
          <cell r="AK174"/>
          <cell r="AL174"/>
          <cell r="AM174"/>
        </row>
        <row r="175">
          <cell r="G175" t="str">
            <v>3SYTTPLC1000</v>
          </cell>
          <cell r="H175" t="str">
            <v>S</v>
          </cell>
          <cell r="I175" t="str">
            <v>Y</v>
          </cell>
          <cell r="J175" t="str">
            <v>TTP</v>
          </cell>
          <cell r="K175" t="str">
            <v>LC1000</v>
          </cell>
          <cell r="M175" t="str">
            <v>3SYTTPLC10001251330</v>
          </cell>
          <cell r="N175" t="str">
            <v>3SYTTPLC10001251320</v>
          </cell>
          <cell r="O175">
            <v>125</v>
          </cell>
          <cell r="P175">
            <v>3</v>
          </cell>
          <cell r="Q175" t="str">
            <v xml:space="preserve">U483   </v>
          </cell>
          <cell r="R175">
            <v>1330</v>
          </cell>
          <cell r="S175">
            <v>800</v>
          </cell>
          <cell r="T175">
            <v>1320</v>
          </cell>
          <cell r="U175">
            <v>1320</v>
          </cell>
          <cell r="V175">
            <v>800</v>
          </cell>
          <cell r="W175">
            <v>2</v>
          </cell>
          <cell r="X175" t="str">
            <v>CF3</v>
          </cell>
          <cell r="Y175" t="str">
            <v>直出し</v>
          </cell>
          <cell r="Z175">
            <v>6</v>
          </cell>
          <cell r="AA175" t="str">
            <v>6ｲﾝﾁABS</v>
          </cell>
          <cell r="AB175">
            <v>1500</v>
          </cell>
          <cell r="AC175"/>
          <cell r="AD175"/>
          <cell r="AE175"/>
          <cell r="AF175"/>
          <cell r="AG175"/>
          <cell r="AH175"/>
          <cell r="AI175"/>
          <cell r="AJ175"/>
          <cell r="AK175"/>
          <cell r="AL175"/>
          <cell r="AM175"/>
        </row>
        <row r="176">
          <cell r="G176" t="str">
            <v>3SYTTPLC1000</v>
          </cell>
          <cell r="H176" t="str">
            <v>S</v>
          </cell>
          <cell r="I176" t="str">
            <v>Y</v>
          </cell>
          <cell r="J176" t="str">
            <v>TTP</v>
          </cell>
          <cell r="K176" t="str">
            <v>LC1000</v>
          </cell>
          <cell r="M176" t="str">
            <v>3SYTTPLC10001251360</v>
          </cell>
          <cell r="N176" t="str">
            <v>3SYTTPLC10001251320</v>
          </cell>
          <cell r="O176">
            <v>125</v>
          </cell>
          <cell r="P176">
            <v>3</v>
          </cell>
          <cell r="Q176" t="str">
            <v xml:space="preserve">U483   </v>
          </cell>
          <cell r="R176">
            <v>1360</v>
          </cell>
          <cell r="S176">
            <v>1600</v>
          </cell>
          <cell r="T176">
            <v>1320</v>
          </cell>
          <cell r="U176">
            <v>1320</v>
          </cell>
          <cell r="V176">
            <v>1500</v>
          </cell>
          <cell r="W176">
            <v>2</v>
          </cell>
          <cell r="X176" t="str">
            <v>CF3</v>
          </cell>
          <cell r="Y176" t="str">
            <v>直出し</v>
          </cell>
          <cell r="Z176">
            <v>6</v>
          </cell>
          <cell r="AA176" t="str">
            <v>6ｲﾝﾁABS</v>
          </cell>
          <cell r="AB176">
            <v>1500</v>
          </cell>
          <cell r="AC176"/>
          <cell r="AD176"/>
          <cell r="AE176"/>
          <cell r="AF176"/>
          <cell r="AG176"/>
          <cell r="AH176"/>
          <cell r="AI176"/>
          <cell r="AJ176"/>
          <cell r="AK176"/>
          <cell r="AL176"/>
          <cell r="AM176"/>
        </row>
        <row r="177">
          <cell r="G177" t="str">
            <v>3SNJ-ETCADX44</v>
          </cell>
          <cell r="H177" t="str">
            <v>S</v>
          </cell>
          <cell r="I177" t="str">
            <v>N</v>
          </cell>
          <cell r="J177" t="str">
            <v>J-ETC</v>
          </cell>
          <cell r="K177" t="str">
            <v>ADX44</v>
          </cell>
          <cell r="M177" t="str">
            <v>3SNJ-ETCADX44501110</v>
          </cell>
          <cell r="N177" t="str">
            <v>3SNJ-ETCADX44501100</v>
          </cell>
          <cell r="O177">
            <v>50</v>
          </cell>
          <cell r="P177">
            <v>3</v>
          </cell>
          <cell r="Q177" t="str">
            <v>X44</v>
          </cell>
          <cell r="R177">
            <v>1110</v>
          </cell>
          <cell r="S177">
            <v>4000</v>
          </cell>
          <cell r="T177">
            <v>1100</v>
          </cell>
          <cell r="U177">
            <v>1100</v>
          </cell>
          <cell r="V177">
            <v>4000</v>
          </cell>
          <cell r="W177">
            <v>2</v>
          </cell>
          <cell r="X177" t="str">
            <v>CF4</v>
          </cell>
          <cell r="Y177"/>
          <cell r="Z177">
            <v>6</v>
          </cell>
          <cell r="AA177" t="str">
            <v>6ｲﾝﾁFWP</v>
          </cell>
          <cell r="AB177">
            <v>1450</v>
          </cell>
          <cell r="AC177"/>
          <cell r="AD177"/>
          <cell r="AE177"/>
          <cell r="AF177"/>
          <cell r="AG177"/>
          <cell r="AH177"/>
          <cell r="AI177"/>
          <cell r="AJ177"/>
          <cell r="AK177"/>
          <cell r="AL177"/>
          <cell r="AM177"/>
        </row>
        <row r="178">
          <cell r="G178" t="str">
            <v>3TNCERABX8A37</v>
          </cell>
          <cell r="H178" t="str">
            <v>T</v>
          </cell>
          <cell r="I178" t="str">
            <v>N</v>
          </cell>
          <cell r="J178" t="str">
            <v>CERA</v>
          </cell>
          <cell r="K178" t="str">
            <v>BX8A37</v>
          </cell>
          <cell r="M178" t="str">
            <v>3TNCERABX8A37751060</v>
          </cell>
          <cell r="N178" t="str">
            <v>3TNCERABX8A37751050</v>
          </cell>
          <cell r="O178">
            <v>75</v>
          </cell>
          <cell r="P178">
            <v>3</v>
          </cell>
          <cell r="Q178" t="str">
            <v>RM1Z</v>
          </cell>
          <cell r="R178">
            <v>1060</v>
          </cell>
          <cell r="S178">
            <v>6000</v>
          </cell>
          <cell r="T178">
            <v>1050</v>
          </cell>
          <cell r="U178">
            <v>1050</v>
          </cell>
          <cell r="V178">
            <v>5800</v>
          </cell>
          <cell r="W178">
            <v>2</v>
          </cell>
          <cell r="X178" t="str">
            <v>CF2</v>
          </cell>
          <cell r="Y178" t="str">
            <v>直出し</v>
          </cell>
          <cell r="Z178">
            <v>6</v>
          </cell>
          <cell r="AA178" t="str">
            <v>6ｲﾝﾁFWP</v>
          </cell>
          <cell r="AB178">
            <v>1250</v>
          </cell>
          <cell r="AC178"/>
          <cell r="AD178"/>
          <cell r="AE178"/>
          <cell r="AF178"/>
          <cell r="AG178"/>
          <cell r="AH178"/>
          <cell r="AI178"/>
          <cell r="AJ178"/>
          <cell r="AK178"/>
          <cell r="AL178"/>
          <cell r="AM178"/>
        </row>
        <row r="179">
          <cell r="G179" t="str">
            <v>330TNCERABX8A37</v>
          </cell>
          <cell r="H179" t="str">
            <v>T</v>
          </cell>
          <cell r="I179" t="str">
            <v>N</v>
          </cell>
          <cell r="J179" t="str">
            <v>CERA</v>
          </cell>
          <cell r="K179" t="str">
            <v>BX8A37</v>
          </cell>
          <cell r="M179" t="str">
            <v>330TNCERABX8A37751060</v>
          </cell>
          <cell r="N179" t="str">
            <v>330TNCERABX8A37751050</v>
          </cell>
          <cell r="O179">
            <v>75</v>
          </cell>
          <cell r="P179">
            <v>330</v>
          </cell>
          <cell r="Q179" t="str">
            <v>RM1Z</v>
          </cell>
          <cell r="R179">
            <v>1060</v>
          </cell>
          <cell r="S179">
            <v>6000</v>
          </cell>
          <cell r="T179">
            <v>1050</v>
          </cell>
          <cell r="U179">
            <v>1050</v>
          </cell>
          <cell r="V179">
            <v>5800</v>
          </cell>
          <cell r="W179">
            <v>2</v>
          </cell>
          <cell r="X179" t="str">
            <v>CF2</v>
          </cell>
          <cell r="Y179" t="str">
            <v>直出し</v>
          </cell>
          <cell r="Z179">
            <v>6</v>
          </cell>
          <cell r="AA179" t="str">
            <v>6ｲﾝﾁFWP</v>
          </cell>
          <cell r="AB179">
            <v>1250</v>
          </cell>
          <cell r="AC179"/>
          <cell r="AD179"/>
          <cell r="AE179"/>
          <cell r="AF179"/>
          <cell r="AG179"/>
          <cell r="AH179"/>
          <cell r="AI179"/>
          <cell r="AJ179"/>
          <cell r="AK179"/>
          <cell r="AL179"/>
          <cell r="AM179"/>
        </row>
        <row r="180">
          <cell r="G180" t="str">
            <v>3TNCERAWZRX</v>
          </cell>
          <cell r="H180" t="str">
            <v>T</v>
          </cell>
          <cell r="I180" t="str">
            <v>N</v>
          </cell>
          <cell r="J180" t="str">
            <v>CERA</v>
          </cell>
          <cell r="K180" t="str">
            <v>WZRX</v>
          </cell>
          <cell r="M180" t="str">
            <v>3TNCERAWZRX381335</v>
          </cell>
          <cell r="N180" t="str">
            <v>3TNCERAWZRX381220</v>
          </cell>
          <cell r="O180">
            <v>38</v>
          </cell>
          <cell r="P180">
            <v>3</v>
          </cell>
          <cell r="Q180" t="str">
            <v>R75X</v>
          </cell>
          <cell r="R180">
            <v>1335</v>
          </cell>
          <cell r="S180">
            <v>12200</v>
          </cell>
          <cell r="T180">
            <v>1220</v>
          </cell>
          <cell r="U180">
            <v>1220</v>
          </cell>
          <cell r="V180">
            <v>6000</v>
          </cell>
          <cell r="W180">
            <v>2</v>
          </cell>
          <cell r="X180" t="str">
            <v>CF2</v>
          </cell>
          <cell r="Y180" t="str">
            <v>SL-1</v>
          </cell>
          <cell r="Z180">
            <v>6</v>
          </cell>
          <cell r="AA180" t="str">
            <v>6ｲﾝﾁFWP</v>
          </cell>
          <cell r="AB180">
            <v>1450</v>
          </cell>
          <cell r="AC180">
            <v>6</v>
          </cell>
          <cell r="AD180" t="str">
            <v>6ｲﾝﾁFWP</v>
          </cell>
          <cell r="AE180">
            <v>1270</v>
          </cell>
          <cell r="AF180"/>
          <cell r="AG180"/>
          <cell r="AH180"/>
          <cell r="AI180"/>
          <cell r="AJ180"/>
          <cell r="AK180"/>
          <cell r="AL180"/>
          <cell r="AM180"/>
        </row>
        <row r="181">
          <cell r="G181" t="str">
            <v>3TNCERAWZS</v>
          </cell>
          <cell r="H181" t="str">
            <v>T</v>
          </cell>
          <cell r="I181" t="str">
            <v>N</v>
          </cell>
          <cell r="J181" t="str">
            <v>CERA</v>
          </cell>
          <cell r="K181" t="str">
            <v>WZS</v>
          </cell>
          <cell r="M181" t="str">
            <v>3TNCERAWZS251110</v>
          </cell>
          <cell r="N181" t="str">
            <v>3TNCERAWZS251100</v>
          </cell>
          <cell r="O181">
            <v>25</v>
          </cell>
          <cell r="P181">
            <v>3</v>
          </cell>
          <cell r="Q181" t="str">
            <v>S28M</v>
          </cell>
          <cell r="R181">
            <v>1110</v>
          </cell>
          <cell r="S181">
            <v>12100</v>
          </cell>
          <cell r="T181">
            <v>1100</v>
          </cell>
          <cell r="U181">
            <v>1100</v>
          </cell>
          <cell r="V181">
            <v>12000</v>
          </cell>
          <cell r="W181">
            <v>2</v>
          </cell>
          <cell r="X181" t="str">
            <v>CF2</v>
          </cell>
          <cell r="Y181" t="str">
            <v>直出し</v>
          </cell>
          <cell r="Z181">
            <v>6</v>
          </cell>
          <cell r="AA181" t="str">
            <v>Kｺｱ</v>
          </cell>
          <cell r="AB181">
            <v>1450</v>
          </cell>
          <cell r="AC181"/>
          <cell r="AD181"/>
          <cell r="AE181"/>
          <cell r="AF181"/>
          <cell r="AG181"/>
          <cell r="AH181"/>
          <cell r="AI181"/>
          <cell r="AJ181"/>
          <cell r="AK181"/>
          <cell r="AL181"/>
          <cell r="AM181"/>
        </row>
        <row r="182">
          <cell r="G182" t="str">
            <v>3UNCERAWZS</v>
          </cell>
          <cell r="H182" t="str">
            <v>U</v>
          </cell>
          <cell r="I182" t="str">
            <v>N</v>
          </cell>
          <cell r="J182" t="str">
            <v>CERA</v>
          </cell>
          <cell r="K182" t="str">
            <v>WZS</v>
          </cell>
          <cell r="M182" t="str">
            <v>3UNCERAWZS251110</v>
          </cell>
          <cell r="N182" t="str">
            <v>3UNCERAWZS251100</v>
          </cell>
          <cell r="O182">
            <v>25</v>
          </cell>
          <cell r="P182">
            <v>3</v>
          </cell>
          <cell r="Q182" t="str">
            <v>S28M</v>
          </cell>
          <cell r="R182">
            <v>1110</v>
          </cell>
          <cell r="S182">
            <v>12100</v>
          </cell>
          <cell r="T182">
            <v>1100</v>
          </cell>
          <cell r="U182">
            <v>1100</v>
          </cell>
          <cell r="V182">
            <v>12000</v>
          </cell>
          <cell r="W182">
            <v>2</v>
          </cell>
          <cell r="X182" t="str">
            <v>CF2</v>
          </cell>
          <cell r="Y182" t="str">
            <v>直出し</v>
          </cell>
          <cell r="Z182">
            <v>6</v>
          </cell>
          <cell r="AA182" t="str">
            <v>Kｺｱ</v>
          </cell>
          <cell r="AB182">
            <v>1450</v>
          </cell>
          <cell r="AC182"/>
          <cell r="AD182"/>
          <cell r="AE182"/>
          <cell r="AF182"/>
          <cell r="AG182"/>
          <cell r="AH182"/>
          <cell r="AI182"/>
          <cell r="AJ182"/>
          <cell r="AK182"/>
          <cell r="AL182"/>
          <cell r="AM182"/>
        </row>
        <row r="183">
          <cell r="G183" t="str">
            <v>3KSTNCERAWZS</v>
          </cell>
          <cell r="H183" t="str">
            <v>T</v>
          </cell>
          <cell r="I183" t="str">
            <v>N</v>
          </cell>
          <cell r="J183" t="str">
            <v>CERA</v>
          </cell>
          <cell r="K183" t="str">
            <v>WZS</v>
          </cell>
          <cell r="M183" t="str">
            <v>3KSTNCERAWZS251100</v>
          </cell>
          <cell r="N183" t="str">
            <v>3KSTNCERAWZS251100</v>
          </cell>
          <cell r="O183">
            <v>25</v>
          </cell>
          <cell r="P183" t="str">
            <v>3KS</v>
          </cell>
          <cell r="Q183" t="str">
            <v>S28M</v>
          </cell>
          <cell r="R183">
            <v>1100</v>
          </cell>
          <cell r="S183">
            <v>12000</v>
          </cell>
          <cell r="T183">
            <v>1100</v>
          </cell>
          <cell r="U183">
            <v>1100</v>
          </cell>
          <cell r="V183">
            <v>12000</v>
          </cell>
          <cell r="W183">
            <v>2</v>
          </cell>
          <cell r="X183" t="str">
            <v>MK1</v>
          </cell>
          <cell r="Y183" t="str">
            <v>MK1</v>
          </cell>
          <cell r="Z183">
            <v>6</v>
          </cell>
          <cell r="AA183" t="str">
            <v>6ｲﾝﾁFWP</v>
          </cell>
          <cell r="AB183">
            <v>1450</v>
          </cell>
          <cell r="AC183">
            <v>6</v>
          </cell>
          <cell r="AD183" t="str">
            <v>6ｲﾝﾁFWP</v>
          </cell>
          <cell r="AE183">
            <v>1450</v>
          </cell>
          <cell r="AF183"/>
          <cell r="AG183"/>
          <cell r="AH183"/>
          <cell r="AI183"/>
          <cell r="AJ183"/>
          <cell r="AK183"/>
          <cell r="AL183"/>
          <cell r="AM183"/>
        </row>
        <row r="184">
          <cell r="G184" t="str">
            <v>3SNCERAWZT</v>
          </cell>
          <cell r="H184" t="str">
            <v>S</v>
          </cell>
          <cell r="I184" t="str">
            <v>N</v>
          </cell>
          <cell r="J184" t="str">
            <v>CERA</v>
          </cell>
          <cell r="K184" t="str">
            <v>WZT</v>
          </cell>
          <cell r="M184" t="str">
            <v>3SNCERAWZT381005</v>
          </cell>
          <cell r="N184" t="str">
            <v>3SNCERAWZT381000</v>
          </cell>
          <cell r="O184">
            <v>38</v>
          </cell>
          <cell r="P184">
            <v>3</v>
          </cell>
          <cell r="Q184" t="str">
            <v>T75</v>
          </cell>
          <cell r="R184">
            <v>1005</v>
          </cell>
          <cell r="S184">
            <v>6000</v>
          </cell>
          <cell r="T184">
            <v>1005</v>
          </cell>
          <cell r="U184">
            <v>1000</v>
          </cell>
          <cell r="V184">
            <v>6000</v>
          </cell>
          <cell r="W184">
            <v>2</v>
          </cell>
          <cell r="X184" t="str">
            <v>CF2</v>
          </cell>
          <cell r="Y184" t="str">
            <v>直出し</v>
          </cell>
          <cell r="Z184">
            <v>6</v>
          </cell>
          <cell r="AA184" t="str">
            <v>6ｲﾝﾁFWP</v>
          </cell>
          <cell r="AB184"/>
          <cell r="AC184"/>
          <cell r="AD184"/>
          <cell r="AE184"/>
          <cell r="AF184"/>
          <cell r="AG184"/>
          <cell r="AH184"/>
          <cell r="AI184"/>
          <cell r="AJ184"/>
          <cell r="AK184"/>
          <cell r="AL184"/>
          <cell r="AM184"/>
        </row>
        <row r="185">
          <cell r="G185" t="str">
            <v>3TNCERAMFAS</v>
          </cell>
          <cell r="H185" t="str">
            <v>T</v>
          </cell>
          <cell r="I185" t="str">
            <v>N</v>
          </cell>
          <cell r="J185" t="str">
            <v>CERA</v>
          </cell>
          <cell r="K185" t="str">
            <v>MFAS</v>
          </cell>
          <cell r="M185" t="str">
            <v>3TNCERAMFAS1881230</v>
          </cell>
          <cell r="N185" t="str">
            <v>3TNCERAMFAS188360</v>
          </cell>
          <cell r="O185">
            <v>188</v>
          </cell>
          <cell r="P185">
            <v>3</v>
          </cell>
          <cell r="Q185" t="str">
            <v>S28M</v>
          </cell>
          <cell r="R185">
            <v>1230</v>
          </cell>
          <cell r="S185">
            <v>1800</v>
          </cell>
          <cell r="T185">
            <v>360</v>
          </cell>
          <cell r="U185">
            <v>360</v>
          </cell>
          <cell r="V185">
            <v>250</v>
          </cell>
          <cell r="W185">
            <v>2</v>
          </cell>
          <cell r="X185" t="str">
            <v>CF2</v>
          </cell>
          <cell r="Y185" t="str">
            <v>SL-1</v>
          </cell>
          <cell r="Z185">
            <v>6</v>
          </cell>
          <cell r="AA185" t="str">
            <v>6ｲﾝﾁFWP</v>
          </cell>
          <cell r="AB185">
            <v>1450</v>
          </cell>
          <cell r="AC185">
            <v>3</v>
          </cell>
          <cell r="AD185" t="str">
            <v>3ｲﾝﾁABS</v>
          </cell>
          <cell r="AE185">
            <v>400</v>
          </cell>
          <cell r="AF185"/>
          <cell r="AG185"/>
          <cell r="AH185"/>
          <cell r="AI185"/>
          <cell r="AJ185"/>
          <cell r="AK185"/>
          <cell r="AL185"/>
          <cell r="AM185"/>
        </row>
        <row r="186">
          <cell r="G186" t="str">
            <v>3TNCERAMFAS</v>
          </cell>
          <cell r="H186" t="str">
            <v>T</v>
          </cell>
          <cell r="I186" t="str">
            <v>N</v>
          </cell>
          <cell r="J186" t="str">
            <v>CERA</v>
          </cell>
          <cell r="K186" t="str">
            <v>MFAS</v>
          </cell>
          <cell r="M186" t="str">
            <v>3TNCERAMFAS1881230</v>
          </cell>
          <cell r="N186" t="str">
            <v>3TNCERAMFAS188290</v>
          </cell>
          <cell r="O186">
            <v>188</v>
          </cell>
          <cell r="P186">
            <v>3</v>
          </cell>
          <cell r="Q186" t="str">
            <v>S28M</v>
          </cell>
          <cell r="R186">
            <v>1230</v>
          </cell>
          <cell r="S186">
            <v>1800</v>
          </cell>
          <cell r="T186">
            <v>290</v>
          </cell>
          <cell r="U186">
            <v>290</v>
          </cell>
          <cell r="V186">
            <v>250</v>
          </cell>
          <cell r="W186">
            <v>2</v>
          </cell>
          <cell r="X186" t="str">
            <v>CF2</v>
          </cell>
          <cell r="Y186" t="str">
            <v>SL-1</v>
          </cell>
          <cell r="Z186">
            <v>6</v>
          </cell>
          <cell r="AA186" t="str">
            <v>6ｲﾝﾁFWP</v>
          </cell>
          <cell r="AB186">
            <v>1450</v>
          </cell>
          <cell r="AC186">
            <v>3</v>
          </cell>
          <cell r="AD186" t="str">
            <v>3ｲﾝﾁABS</v>
          </cell>
          <cell r="AE186">
            <v>400</v>
          </cell>
          <cell r="AF186"/>
          <cell r="AG186"/>
          <cell r="AH186"/>
          <cell r="AI186"/>
          <cell r="AJ186"/>
          <cell r="AK186"/>
          <cell r="AL186"/>
          <cell r="AM186"/>
        </row>
        <row r="187">
          <cell r="G187" t="str">
            <v>3UNCERAMFAS</v>
          </cell>
          <cell r="H187" t="str">
            <v>U</v>
          </cell>
          <cell r="I187" t="str">
            <v>N</v>
          </cell>
          <cell r="J187" t="str">
            <v>CERA</v>
          </cell>
          <cell r="K187" t="str">
            <v>MFAS</v>
          </cell>
          <cell r="M187" t="str">
            <v>3UNCERAMFAS1881134</v>
          </cell>
          <cell r="N187" t="str">
            <v>3UNCERAMFAS188500</v>
          </cell>
          <cell r="O187">
            <v>188</v>
          </cell>
          <cell r="P187">
            <v>3</v>
          </cell>
          <cell r="Q187" t="str">
            <v>S28M</v>
          </cell>
          <cell r="R187">
            <v>1134</v>
          </cell>
          <cell r="S187">
            <v>1800</v>
          </cell>
          <cell r="T187">
            <v>500</v>
          </cell>
          <cell r="U187">
            <v>500</v>
          </cell>
          <cell r="V187">
            <v>400</v>
          </cell>
          <cell r="W187">
            <v>2</v>
          </cell>
          <cell r="X187" t="str">
            <v>CF2</v>
          </cell>
          <cell r="Y187" t="str">
            <v>SL-1</v>
          </cell>
          <cell r="Z187">
            <v>6</v>
          </cell>
          <cell r="AA187" t="str">
            <v>6ｲﾝﾁFWP</v>
          </cell>
          <cell r="AB187">
            <v>1450</v>
          </cell>
          <cell r="AC187"/>
          <cell r="AD187"/>
          <cell r="AE187"/>
          <cell r="AF187"/>
          <cell r="AG187"/>
          <cell r="AH187"/>
          <cell r="AI187"/>
          <cell r="AJ187"/>
          <cell r="AK187"/>
          <cell r="AL187"/>
          <cell r="AM187"/>
        </row>
        <row r="188">
          <cell r="G188" t="str">
            <v>3UNCERAMFAS</v>
          </cell>
          <cell r="H188" t="str">
            <v>U</v>
          </cell>
          <cell r="I188" t="str">
            <v>N</v>
          </cell>
          <cell r="J188" t="str">
            <v>CERA</v>
          </cell>
          <cell r="K188" t="str">
            <v>MFAS</v>
          </cell>
          <cell r="M188" t="str">
            <v>3UNCERAMFAS1881134</v>
          </cell>
          <cell r="N188" t="str">
            <v>3UNCERAMFAS188500</v>
          </cell>
          <cell r="O188">
            <v>188</v>
          </cell>
          <cell r="P188">
            <v>3</v>
          </cell>
          <cell r="Q188" t="str">
            <v>S28M</v>
          </cell>
          <cell r="R188">
            <v>1134</v>
          </cell>
          <cell r="S188">
            <v>1800</v>
          </cell>
          <cell r="T188">
            <v>500</v>
          </cell>
          <cell r="U188">
            <v>500</v>
          </cell>
          <cell r="V188">
            <v>300</v>
          </cell>
          <cell r="W188">
            <v>2</v>
          </cell>
          <cell r="X188" t="str">
            <v>CF2</v>
          </cell>
          <cell r="Y188" t="str">
            <v>SL-1</v>
          </cell>
          <cell r="Z188">
            <v>6</v>
          </cell>
          <cell r="AA188" t="str">
            <v>6ｲﾝﾁFWP</v>
          </cell>
          <cell r="AB188">
            <v>1450</v>
          </cell>
          <cell r="AC188"/>
          <cell r="AD188"/>
          <cell r="AE188"/>
          <cell r="AF188"/>
          <cell r="AG188"/>
          <cell r="AH188"/>
          <cell r="AI188"/>
          <cell r="AJ188"/>
          <cell r="AK188"/>
          <cell r="AL188"/>
          <cell r="AM188"/>
        </row>
        <row r="189">
          <cell r="G189" t="str">
            <v>3UNCERAMFAS</v>
          </cell>
          <cell r="H189" t="str">
            <v>U</v>
          </cell>
          <cell r="I189" t="str">
            <v>N</v>
          </cell>
          <cell r="J189" t="str">
            <v>CERA</v>
          </cell>
          <cell r="K189" t="str">
            <v>MFAS</v>
          </cell>
          <cell r="M189" t="str">
            <v>3UNCERAMFAS1881134</v>
          </cell>
          <cell r="N189" t="str">
            <v>3UNCERAMFAS188500</v>
          </cell>
          <cell r="O189">
            <v>188</v>
          </cell>
          <cell r="P189">
            <v>3</v>
          </cell>
          <cell r="Q189" t="str">
            <v>S28M</v>
          </cell>
          <cell r="R189">
            <v>1134</v>
          </cell>
          <cell r="S189">
            <v>1800</v>
          </cell>
          <cell r="T189">
            <v>500</v>
          </cell>
          <cell r="U189">
            <v>500</v>
          </cell>
          <cell r="V189">
            <v>200</v>
          </cell>
          <cell r="W189">
            <v>2</v>
          </cell>
          <cell r="X189" t="str">
            <v>CF2</v>
          </cell>
          <cell r="Y189" t="str">
            <v>SL-1</v>
          </cell>
          <cell r="Z189">
            <v>6</v>
          </cell>
          <cell r="AA189" t="str">
            <v>6ｲﾝﾁFWP</v>
          </cell>
          <cell r="AB189">
            <v>1450</v>
          </cell>
          <cell r="AC189"/>
          <cell r="AD189"/>
          <cell r="AE189"/>
          <cell r="AF189"/>
          <cell r="AG189"/>
          <cell r="AH189"/>
          <cell r="AI189"/>
          <cell r="AJ189"/>
          <cell r="AK189"/>
          <cell r="AL189"/>
          <cell r="AM189"/>
        </row>
        <row r="190">
          <cell r="G190" t="str">
            <v>3UNCERAMFA45</v>
          </cell>
          <cell r="H190" t="str">
            <v>U</v>
          </cell>
          <cell r="I190" t="str">
            <v>N</v>
          </cell>
          <cell r="J190" t="str">
            <v>CERA</v>
          </cell>
          <cell r="K190" t="str">
            <v>MFA45</v>
          </cell>
          <cell r="M190" t="str">
            <v>3UNCERAMFA45501640</v>
          </cell>
          <cell r="N190" t="str">
            <v>3UNCERAMFA4550250</v>
          </cell>
          <cell r="O190">
            <v>50</v>
          </cell>
          <cell r="P190">
            <v>3</v>
          </cell>
          <cell r="Q190" t="str">
            <v>QZ52</v>
          </cell>
          <cell r="R190">
            <v>1640</v>
          </cell>
          <cell r="S190">
            <v>2200</v>
          </cell>
          <cell r="T190">
            <v>250</v>
          </cell>
          <cell r="U190">
            <v>250</v>
          </cell>
          <cell r="V190">
            <v>1000</v>
          </cell>
          <cell r="W190">
            <v>2</v>
          </cell>
          <cell r="X190" t="str">
            <v>CF2</v>
          </cell>
          <cell r="Y190" t="str">
            <v>SL-1</v>
          </cell>
          <cell r="Z190">
            <v>6</v>
          </cell>
          <cell r="AA190" t="str">
            <v>6ｲﾝﾁFWP</v>
          </cell>
          <cell r="AB190">
            <v>1700</v>
          </cell>
          <cell r="AC190"/>
          <cell r="AD190"/>
          <cell r="AE190"/>
          <cell r="AF190"/>
          <cell r="AG190"/>
          <cell r="AH190"/>
          <cell r="AI190"/>
          <cell r="AJ190"/>
          <cell r="AK190"/>
          <cell r="AL190"/>
          <cell r="AM190"/>
        </row>
        <row r="191">
          <cell r="G191" t="str">
            <v>3UNCERAMFA09</v>
          </cell>
          <cell r="H191" t="str">
            <v>U</v>
          </cell>
          <cell r="I191" t="str">
            <v>N</v>
          </cell>
          <cell r="J191" t="str">
            <v>CERA</v>
          </cell>
          <cell r="K191" t="str">
            <v>MFA09</v>
          </cell>
          <cell r="M191" t="str">
            <v>3UNCERAMFA09751200</v>
          </cell>
          <cell r="N191" t="str">
            <v>3UNCERAMFA09751190</v>
          </cell>
          <cell r="O191">
            <v>75</v>
          </cell>
          <cell r="P191">
            <v>3</v>
          </cell>
          <cell r="Q191" t="str">
            <v>XD500P</v>
          </cell>
          <cell r="R191">
            <v>1200</v>
          </cell>
          <cell r="S191">
            <v>4500</v>
          </cell>
          <cell r="T191">
            <v>1190</v>
          </cell>
          <cell r="U191">
            <v>1190</v>
          </cell>
          <cell r="V191">
            <v>4000</v>
          </cell>
          <cell r="W191">
            <v>2</v>
          </cell>
          <cell r="X191" t="str">
            <v>CF2</v>
          </cell>
          <cell r="Y191" t="str">
            <v>直出し</v>
          </cell>
          <cell r="Z191">
            <v>6</v>
          </cell>
          <cell r="AA191" t="str">
            <v>6ｲﾝﾁFWP</v>
          </cell>
          <cell r="AB191"/>
          <cell r="AC191"/>
          <cell r="AD191"/>
          <cell r="AE191"/>
          <cell r="AF191"/>
          <cell r="AG191"/>
          <cell r="AH191"/>
          <cell r="AI191"/>
          <cell r="AJ191"/>
          <cell r="AK191"/>
          <cell r="AL191"/>
          <cell r="AM191"/>
        </row>
        <row r="192">
          <cell r="G192" t="str">
            <v>3UNCERAWZ34</v>
          </cell>
          <cell r="H192" t="str">
            <v>U</v>
          </cell>
          <cell r="I192" t="str">
            <v>N</v>
          </cell>
          <cell r="J192" t="str">
            <v>CERA</v>
          </cell>
          <cell r="K192" t="str">
            <v>WZ34</v>
          </cell>
          <cell r="M192" t="str">
            <v>3UNCERAWZ3425E1420</v>
          </cell>
          <cell r="N192" t="str">
            <v>3UNCERAWZ3425E1410</v>
          </cell>
          <cell r="O192" t="str">
            <v>25E</v>
          </cell>
          <cell r="P192">
            <v>3</v>
          </cell>
          <cell r="Q192" t="str">
            <v>S105</v>
          </cell>
          <cell r="R192">
            <v>1420</v>
          </cell>
          <cell r="S192">
            <v>12700</v>
          </cell>
          <cell r="T192">
            <v>1410</v>
          </cell>
          <cell r="U192">
            <v>1410</v>
          </cell>
          <cell r="V192">
            <v>6000</v>
          </cell>
          <cell r="W192">
            <v>1</v>
          </cell>
          <cell r="X192" t="str">
            <v>CF2</v>
          </cell>
          <cell r="Y192" t="str">
            <v>半直</v>
          </cell>
          <cell r="Z192">
            <v>6</v>
          </cell>
          <cell r="AA192" t="str">
            <v>6ｲﾝﾁFWP</v>
          </cell>
          <cell r="AB192">
            <v>1600</v>
          </cell>
          <cell r="AC192"/>
          <cell r="AD192"/>
          <cell r="AE192"/>
          <cell r="AF192"/>
          <cell r="AG192"/>
          <cell r="AH192"/>
          <cell r="AI192"/>
          <cell r="AJ192"/>
          <cell r="AK192"/>
          <cell r="AL192"/>
          <cell r="AM192"/>
        </row>
        <row r="193">
          <cell r="G193" t="str">
            <v>3TNCERAWZ34</v>
          </cell>
          <cell r="H193" t="str">
            <v>T</v>
          </cell>
          <cell r="I193" t="str">
            <v>N</v>
          </cell>
          <cell r="J193" t="str">
            <v>CERA</v>
          </cell>
          <cell r="K193" t="str">
            <v>WZ34</v>
          </cell>
          <cell r="M193" t="str">
            <v>3TNCERAWZ3425E1420</v>
          </cell>
          <cell r="N193" t="str">
            <v>3TNCERAWZ3425E1410</v>
          </cell>
          <cell r="O193" t="str">
            <v>25E</v>
          </cell>
          <cell r="P193">
            <v>3</v>
          </cell>
          <cell r="Q193" t="str">
            <v>S105</v>
          </cell>
          <cell r="R193">
            <v>1420</v>
          </cell>
          <cell r="S193">
            <v>12700</v>
          </cell>
          <cell r="T193">
            <v>1410</v>
          </cell>
          <cell r="U193">
            <v>1410</v>
          </cell>
          <cell r="V193">
            <v>6000</v>
          </cell>
          <cell r="W193">
            <v>1</v>
          </cell>
          <cell r="X193" t="str">
            <v>CF2</v>
          </cell>
          <cell r="Y193" t="str">
            <v>半直</v>
          </cell>
          <cell r="Z193">
            <v>6</v>
          </cell>
          <cell r="AA193" t="str">
            <v>6ｲﾝﾁFWP</v>
          </cell>
          <cell r="AB193">
            <v>1600</v>
          </cell>
          <cell r="AC193"/>
          <cell r="AD193"/>
          <cell r="AE193"/>
          <cell r="AF193"/>
          <cell r="AG193"/>
          <cell r="AH193"/>
          <cell r="AI193"/>
          <cell r="AJ193"/>
          <cell r="AK193"/>
          <cell r="AL193"/>
          <cell r="AM193"/>
        </row>
        <row r="194">
          <cell r="G194" t="str">
            <v>3UNCERAWZ26</v>
          </cell>
          <cell r="H194" t="str">
            <v>U</v>
          </cell>
          <cell r="I194" t="str">
            <v>N</v>
          </cell>
          <cell r="J194" t="str">
            <v>CERA</v>
          </cell>
          <cell r="K194" t="str">
            <v>WZ26</v>
          </cell>
          <cell r="M194" t="str">
            <v>3UNCERAWZ26381010</v>
          </cell>
          <cell r="N194" t="str">
            <v>3UNCERAWZ26381000</v>
          </cell>
          <cell r="O194">
            <v>38</v>
          </cell>
          <cell r="P194">
            <v>3</v>
          </cell>
          <cell r="Q194" t="str">
            <v>QZ43</v>
          </cell>
          <cell r="R194">
            <v>1010</v>
          </cell>
          <cell r="S194">
            <v>6200</v>
          </cell>
          <cell r="T194">
            <v>1000</v>
          </cell>
          <cell r="U194">
            <v>1000</v>
          </cell>
          <cell r="V194">
            <v>6000</v>
          </cell>
          <cell r="W194">
            <v>1</v>
          </cell>
          <cell r="X194" t="str">
            <v>CF2</v>
          </cell>
          <cell r="Y194" t="str">
            <v>半直</v>
          </cell>
          <cell r="Z194">
            <v>6</v>
          </cell>
          <cell r="AA194" t="str">
            <v>6ｲﾝﾁFWP</v>
          </cell>
          <cell r="AB194">
            <v>1100</v>
          </cell>
          <cell r="AC194"/>
          <cell r="AD194"/>
          <cell r="AE194"/>
          <cell r="AF194"/>
          <cell r="AG194"/>
          <cell r="AH194"/>
          <cell r="AI194"/>
          <cell r="AJ194"/>
          <cell r="AK194"/>
          <cell r="AL194"/>
          <cell r="AM194"/>
        </row>
        <row r="195">
          <cell r="G195" t="str">
            <v>3UNCERAWZ26</v>
          </cell>
          <cell r="H195" t="str">
            <v>U</v>
          </cell>
          <cell r="I195" t="str">
            <v>N</v>
          </cell>
          <cell r="J195" t="str">
            <v>CERA</v>
          </cell>
          <cell r="K195" t="str">
            <v>WZ26</v>
          </cell>
          <cell r="M195" t="str">
            <v>3UNCERAWZ26381010</v>
          </cell>
          <cell r="N195" t="str">
            <v>3UNCERAWZ26381000</v>
          </cell>
          <cell r="O195">
            <v>38</v>
          </cell>
          <cell r="P195">
            <v>3</v>
          </cell>
          <cell r="Q195" t="str">
            <v>QZ43</v>
          </cell>
          <cell r="R195">
            <v>1010</v>
          </cell>
          <cell r="S195">
            <v>12200</v>
          </cell>
          <cell r="T195">
            <v>1000</v>
          </cell>
          <cell r="U195">
            <v>1000</v>
          </cell>
          <cell r="V195">
            <v>6000</v>
          </cell>
          <cell r="W195">
            <v>1</v>
          </cell>
          <cell r="X195" t="str">
            <v>CF2</v>
          </cell>
          <cell r="Y195" t="str">
            <v>直出し</v>
          </cell>
          <cell r="Z195">
            <v>6</v>
          </cell>
          <cell r="AA195" t="str">
            <v>6ｲﾝﾁFWP</v>
          </cell>
          <cell r="AB195">
            <v>1100</v>
          </cell>
          <cell r="AC195"/>
          <cell r="AD195"/>
          <cell r="AE195"/>
          <cell r="AF195"/>
          <cell r="AG195"/>
          <cell r="AH195"/>
          <cell r="AI195"/>
          <cell r="AJ195"/>
          <cell r="AK195"/>
          <cell r="AL195"/>
          <cell r="AM195"/>
        </row>
        <row r="196">
          <cell r="G196" t="str">
            <v>3UNCERAWZ26</v>
          </cell>
          <cell r="H196" t="str">
            <v>U</v>
          </cell>
          <cell r="I196" t="str">
            <v>N</v>
          </cell>
          <cell r="J196" t="str">
            <v>CERA</v>
          </cell>
          <cell r="K196" t="str">
            <v>WZ26</v>
          </cell>
          <cell r="M196" t="str">
            <v>3UNCERAWZ26251105</v>
          </cell>
          <cell r="N196" t="str">
            <v>3UNCERAWZ26251100</v>
          </cell>
          <cell r="O196">
            <v>25</v>
          </cell>
          <cell r="P196">
            <v>3</v>
          </cell>
          <cell r="Q196" t="str">
            <v>QZ43</v>
          </cell>
          <cell r="R196">
            <v>1105</v>
          </cell>
          <cell r="S196">
            <v>12300</v>
          </cell>
          <cell r="T196">
            <v>1100</v>
          </cell>
          <cell r="U196">
            <v>1100</v>
          </cell>
          <cell r="V196">
            <v>12000</v>
          </cell>
          <cell r="W196">
            <v>1</v>
          </cell>
          <cell r="X196" t="str">
            <v>CF2</v>
          </cell>
          <cell r="Y196" t="str">
            <v>直出し</v>
          </cell>
          <cell r="Z196">
            <v>6</v>
          </cell>
          <cell r="AA196" t="str">
            <v>6ｲﾝﾁFWP</v>
          </cell>
          <cell r="AB196"/>
          <cell r="AC196"/>
          <cell r="AD196"/>
          <cell r="AE196"/>
          <cell r="AF196"/>
          <cell r="AG196"/>
          <cell r="AH196"/>
          <cell r="AI196"/>
          <cell r="AJ196"/>
          <cell r="AK196"/>
          <cell r="AL196"/>
          <cell r="AM196"/>
        </row>
        <row r="197">
          <cell r="G197" t="str">
            <v>3UYCERANS27118</v>
          </cell>
          <cell r="H197" t="str">
            <v>U</v>
          </cell>
          <cell r="I197" t="str">
            <v>Y</v>
          </cell>
          <cell r="J197" t="str">
            <v>CERANS</v>
          </cell>
          <cell r="K197">
            <v>27118</v>
          </cell>
          <cell r="M197" t="str">
            <v>3UYCERANS27118751160</v>
          </cell>
          <cell r="N197" t="str">
            <v>3UYCERANS27118751160</v>
          </cell>
          <cell r="O197">
            <v>75</v>
          </cell>
          <cell r="P197">
            <v>3</v>
          </cell>
          <cell r="Q197" t="str">
            <v>E20</v>
          </cell>
          <cell r="R197">
            <v>1160</v>
          </cell>
          <cell r="S197">
            <v>2000</v>
          </cell>
          <cell r="T197">
            <v>1160</v>
          </cell>
          <cell r="U197">
            <v>1160</v>
          </cell>
          <cell r="V197">
            <v>2000</v>
          </cell>
          <cell r="W197">
            <v>2</v>
          </cell>
          <cell r="X197" t="str">
            <v>CF3</v>
          </cell>
          <cell r="Y197" t="str">
            <v>SL-1</v>
          </cell>
          <cell r="Z197">
            <v>6</v>
          </cell>
          <cell r="AA197" t="str">
            <v>6ｲﾝﾁFWP</v>
          </cell>
          <cell r="AB197">
            <v>1450</v>
          </cell>
          <cell r="AC197"/>
          <cell r="AD197"/>
          <cell r="AE197"/>
          <cell r="AF197"/>
          <cell r="AG197"/>
          <cell r="AH197"/>
          <cell r="AI197"/>
          <cell r="AJ197"/>
          <cell r="AK197"/>
          <cell r="AL197"/>
          <cell r="AM197"/>
        </row>
        <row r="198">
          <cell r="G198" t="str">
            <v>3UNCERANS27118</v>
          </cell>
          <cell r="H198" t="str">
            <v>U</v>
          </cell>
          <cell r="I198" t="str">
            <v>N</v>
          </cell>
          <cell r="J198" t="str">
            <v>CERANS</v>
          </cell>
          <cell r="K198">
            <v>27118</v>
          </cell>
          <cell r="M198" t="str">
            <v>3UNCERANS27118751160</v>
          </cell>
          <cell r="N198" t="str">
            <v>3UNCERANS27118751160</v>
          </cell>
          <cell r="O198">
            <v>75</v>
          </cell>
          <cell r="P198">
            <v>3</v>
          </cell>
          <cell r="Q198" t="str">
            <v>E20</v>
          </cell>
          <cell r="R198">
            <v>1160</v>
          </cell>
          <cell r="S198">
            <v>2000</v>
          </cell>
          <cell r="T198">
            <v>1160</v>
          </cell>
          <cell r="U198">
            <v>1160</v>
          </cell>
          <cell r="V198">
            <v>2000</v>
          </cell>
          <cell r="W198">
            <v>2</v>
          </cell>
          <cell r="X198" t="str">
            <v>CF3</v>
          </cell>
          <cell r="Y198" t="str">
            <v>SL-1</v>
          </cell>
          <cell r="Z198">
            <v>6</v>
          </cell>
          <cell r="AA198" t="str">
            <v>6ｲﾝﾁFWP</v>
          </cell>
          <cell r="AB198">
            <v>1450</v>
          </cell>
          <cell r="AC198"/>
          <cell r="AD198"/>
          <cell r="AE198"/>
          <cell r="AF198"/>
          <cell r="AG198"/>
          <cell r="AH198"/>
          <cell r="AI198"/>
          <cell r="AJ198"/>
          <cell r="AK198"/>
          <cell r="AL198"/>
          <cell r="AM198"/>
        </row>
        <row r="199">
          <cell r="G199" t="str">
            <v>3UYCERANS27114</v>
          </cell>
          <cell r="H199" t="str">
            <v>U</v>
          </cell>
          <cell r="I199" t="str">
            <v>Y</v>
          </cell>
          <cell r="J199" t="str">
            <v>CERANS</v>
          </cell>
          <cell r="K199">
            <v>27114</v>
          </cell>
          <cell r="M199" t="str">
            <v>3UYCERANS27114751310</v>
          </cell>
          <cell r="N199" t="str">
            <v>3UYCERANS2711475180</v>
          </cell>
          <cell r="O199">
            <v>75</v>
          </cell>
          <cell r="P199">
            <v>3</v>
          </cell>
          <cell r="Q199" t="str">
            <v>S28</v>
          </cell>
          <cell r="R199">
            <v>1310</v>
          </cell>
          <cell r="S199">
            <v>4500</v>
          </cell>
          <cell r="T199">
            <v>180</v>
          </cell>
          <cell r="U199">
            <v>180</v>
          </cell>
          <cell r="V199">
            <v>2000</v>
          </cell>
          <cell r="W199">
            <v>2</v>
          </cell>
          <cell r="X199" t="str">
            <v>CF3</v>
          </cell>
          <cell r="Y199" t="str">
            <v>SL-1</v>
          </cell>
          <cell r="Z199">
            <v>6</v>
          </cell>
          <cell r="AA199" t="str">
            <v>6ｲﾝﾁFWP</v>
          </cell>
          <cell r="AB199">
            <v>1450</v>
          </cell>
          <cell r="AC199"/>
          <cell r="AD199"/>
          <cell r="AE199">
            <v>180</v>
          </cell>
          <cell r="AF199"/>
          <cell r="AG199"/>
          <cell r="AH199"/>
          <cell r="AI199"/>
          <cell r="AJ199"/>
          <cell r="AK199"/>
          <cell r="AL199"/>
          <cell r="AM199" t="str">
            <v>試作中止のため不明</v>
          </cell>
        </row>
        <row r="200">
          <cell r="G200" t="str">
            <v>3UYCERANS27114</v>
          </cell>
          <cell r="H200" t="str">
            <v>U</v>
          </cell>
          <cell r="I200" t="str">
            <v>Y</v>
          </cell>
          <cell r="J200" t="str">
            <v>CERANS</v>
          </cell>
          <cell r="K200">
            <v>27114</v>
          </cell>
          <cell r="M200" t="str">
            <v>3UYCERANS27114751310</v>
          </cell>
          <cell r="N200" t="str">
            <v>3UYCERANS2711475240</v>
          </cell>
          <cell r="O200">
            <v>75</v>
          </cell>
          <cell r="P200">
            <v>3</v>
          </cell>
          <cell r="Q200" t="str">
            <v>S28</v>
          </cell>
          <cell r="R200">
            <v>1310</v>
          </cell>
          <cell r="S200">
            <v>4500</v>
          </cell>
          <cell r="T200">
            <v>240</v>
          </cell>
          <cell r="U200">
            <v>240</v>
          </cell>
          <cell r="V200">
            <v>2000</v>
          </cell>
          <cell r="W200">
            <v>2</v>
          </cell>
          <cell r="X200" t="str">
            <v>CF3</v>
          </cell>
          <cell r="Y200" t="str">
            <v>SL-1</v>
          </cell>
          <cell r="Z200">
            <v>6</v>
          </cell>
          <cell r="AA200" t="str">
            <v>6ｲﾝﾁFWP</v>
          </cell>
          <cell r="AB200">
            <v>1450</v>
          </cell>
          <cell r="AC200"/>
          <cell r="AD200"/>
          <cell r="AE200">
            <v>240</v>
          </cell>
          <cell r="AF200"/>
          <cell r="AG200"/>
          <cell r="AH200"/>
          <cell r="AI200"/>
          <cell r="AJ200"/>
          <cell r="AK200"/>
          <cell r="AL200"/>
          <cell r="AM200" t="str">
            <v>試作中止のため不明</v>
          </cell>
        </row>
        <row r="201">
          <cell r="G201" t="str">
            <v>3UYCERANS27114</v>
          </cell>
          <cell r="H201" t="str">
            <v>U</v>
          </cell>
          <cell r="I201" t="str">
            <v>Y</v>
          </cell>
          <cell r="J201" t="str">
            <v>CERANS</v>
          </cell>
          <cell r="K201">
            <v>27114</v>
          </cell>
          <cell r="M201" t="str">
            <v>3UYCERANS27114751310</v>
          </cell>
          <cell r="N201" t="str">
            <v>3UYCERANS2711475280</v>
          </cell>
          <cell r="O201">
            <v>75</v>
          </cell>
          <cell r="P201">
            <v>3</v>
          </cell>
          <cell r="Q201" t="str">
            <v>S28</v>
          </cell>
          <cell r="R201">
            <v>1310</v>
          </cell>
          <cell r="S201">
            <v>4500</v>
          </cell>
          <cell r="T201">
            <v>280</v>
          </cell>
          <cell r="U201">
            <v>280</v>
          </cell>
          <cell r="V201">
            <v>2000</v>
          </cell>
          <cell r="W201">
            <v>2</v>
          </cell>
          <cell r="X201" t="str">
            <v>CF3</v>
          </cell>
          <cell r="Y201" t="str">
            <v>SL-1</v>
          </cell>
          <cell r="Z201">
            <v>6</v>
          </cell>
          <cell r="AA201" t="str">
            <v>6ｲﾝﾁFWP</v>
          </cell>
          <cell r="AB201">
            <v>1450</v>
          </cell>
          <cell r="AC201"/>
          <cell r="AD201"/>
          <cell r="AE201">
            <v>280</v>
          </cell>
          <cell r="AF201"/>
          <cell r="AG201"/>
          <cell r="AH201"/>
          <cell r="AI201"/>
          <cell r="AJ201"/>
          <cell r="AK201"/>
          <cell r="AL201"/>
          <cell r="AM201" t="str">
            <v>試作中止のため不明</v>
          </cell>
        </row>
        <row r="202">
          <cell r="G202" t="str">
            <v>3UYCERANS27114</v>
          </cell>
          <cell r="H202" t="str">
            <v>U</v>
          </cell>
          <cell r="I202" t="str">
            <v>Y</v>
          </cell>
          <cell r="J202" t="str">
            <v>CERANS</v>
          </cell>
          <cell r="K202">
            <v>27114</v>
          </cell>
          <cell r="M202" t="str">
            <v>3UYCERANS27114751310</v>
          </cell>
          <cell r="N202" t="str">
            <v>3UYCERANS2711475305</v>
          </cell>
          <cell r="O202">
            <v>75</v>
          </cell>
          <cell r="P202">
            <v>3</v>
          </cell>
          <cell r="Q202" t="str">
            <v>S28</v>
          </cell>
          <cell r="R202">
            <v>1310</v>
          </cell>
          <cell r="S202">
            <v>4500</v>
          </cell>
          <cell r="T202">
            <v>305</v>
          </cell>
          <cell r="U202">
            <v>305</v>
          </cell>
          <cell r="V202">
            <v>2000</v>
          </cell>
          <cell r="W202">
            <v>2</v>
          </cell>
          <cell r="X202" t="str">
            <v>CF3</v>
          </cell>
          <cell r="Y202" t="str">
            <v>SL-1</v>
          </cell>
          <cell r="Z202">
            <v>6</v>
          </cell>
          <cell r="AA202" t="str">
            <v>6ｲﾝﾁFWP</v>
          </cell>
          <cell r="AB202">
            <v>1450</v>
          </cell>
          <cell r="AC202"/>
          <cell r="AD202"/>
          <cell r="AE202">
            <v>305</v>
          </cell>
          <cell r="AF202"/>
          <cell r="AG202"/>
          <cell r="AH202"/>
          <cell r="AI202"/>
          <cell r="AJ202"/>
          <cell r="AK202"/>
          <cell r="AL202"/>
          <cell r="AM202" t="str">
            <v>試作中止のため不明</v>
          </cell>
        </row>
        <row r="203">
          <cell r="G203" t="str">
            <v>3UNCERANS27214</v>
          </cell>
          <cell r="H203" t="str">
            <v>U</v>
          </cell>
          <cell r="I203" t="str">
            <v>N</v>
          </cell>
          <cell r="J203" t="str">
            <v>CERANS</v>
          </cell>
          <cell r="K203">
            <v>27214</v>
          </cell>
          <cell r="M203" t="str">
            <v>3UNCERANS27214751120</v>
          </cell>
          <cell r="N203" t="str">
            <v>3UNCERANS2721475350</v>
          </cell>
          <cell r="O203">
            <v>75</v>
          </cell>
          <cell r="P203">
            <v>3</v>
          </cell>
          <cell r="Q203" t="str">
            <v>S28</v>
          </cell>
          <cell r="R203">
            <v>1120</v>
          </cell>
          <cell r="S203">
            <v>3000</v>
          </cell>
          <cell r="T203">
            <v>350</v>
          </cell>
          <cell r="U203">
            <v>350</v>
          </cell>
          <cell r="V203">
            <v>500</v>
          </cell>
          <cell r="W203">
            <v>2</v>
          </cell>
          <cell r="X203" t="str">
            <v>CF3</v>
          </cell>
          <cell r="Y203" t="str">
            <v>SL-1</v>
          </cell>
          <cell r="Z203">
            <v>6</v>
          </cell>
          <cell r="AA203" t="str">
            <v>6ｲﾝﾁFWP</v>
          </cell>
          <cell r="AB203">
            <v>1450</v>
          </cell>
          <cell r="AC203">
            <v>3</v>
          </cell>
          <cell r="AD203" t="str">
            <v>3ｲﾝﾁABS</v>
          </cell>
          <cell r="AE203">
            <v>404</v>
          </cell>
          <cell r="AF203"/>
          <cell r="AG203"/>
          <cell r="AH203"/>
          <cell r="AI203"/>
          <cell r="AJ203"/>
          <cell r="AK203"/>
          <cell r="AL203"/>
          <cell r="AM203" t="str">
            <v>試作中止のため不明</v>
          </cell>
        </row>
        <row r="204">
          <cell r="G204" t="str">
            <v>3UYCERANS27114</v>
          </cell>
          <cell r="H204" t="str">
            <v>U</v>
          </cell>
          <cell r="I204" t="str">
            <v>Y</v>
          </cell>
          <cell r="J204" t="str">
            <v>CERANS</v>
          </cell>
          <cell r="K204">
            <v>27114</v>
          </cell>
          <cell r="M204" t="str">
            <v>3UYCERANS27114751310</v>
          </cell>
          <cell r="N204" t="str">
            <v>3UYCERANS27114751300</v>
          </cell>
          <cell r="O204">
            <v>75</v>
          </cell>
          <cell r="P204">
            <v>3</v>
          </cell>
          <cell r="Q204" t="str">
            <v>S28</v>
          </cell>
          <cell r="R204">
            <v>1310</v>
          </cell>
          <cell r="S204">
            <v>4500</v>
          </cell>
          <cell r="T204">
            <v>1300</v>
          </cell>
          <cell r="U204">
            <v>1300</v>
          </cell>
          <cell r="V204">
            <v>4500</v>
          </cell>
          <cell r="W204">
            <v>2</v>
          </cell>
          <cell r="X204" t="str">
            <v>CF3</v>
          </cell>
          <cell r="Y204" t="str">
            <v>直出し</v>
          </cell>
          <cell r="Z204">
            <v>6</v>
          </cell>
          <cell r="AA204" t="str">
            <v>6ｲﾝﾁFWP</v>
          </cell>
          <cell r="AB204">
            <v>1450</v>
          </cell>
          <cell r="AC204"/>
          <cell r="AD204"/>
          <cell r="AE204"/>
          <cell r="AF204"/>
          <cell r="AG204"/>
          <cell r="AH204"/>
          <cell r="AI204"/>
          <cell r="AJ204"/>
          <cell r="AK204"/>
          <cell r="AL204"/>
          <cell r="AM204"/>
        </row>
        <row r="205">
          <cell r="G205" t="str">
            <v>3UYCERANS27114</v>
          </cell>
          <cell r="H205" t="str">
            <v>U</v>
          </cell>
          <cell r="I205" t="str">
            <v>Y</v>
          </cell>
          <cell r="J205" t="str">
            <v>CERANS</v>
          </cell>
          <cell r="K205">
            <v>27114</v>
          </cell>
          <cell r="M205" t="str">
            <v>3UYCERANS27114751310</v>
          </cell>
          <cell r="N205" t="str">
            <v>3UYCERANS27114751300</v>
          </cell>
          <cell r="O205">
            <v>75</v>
          </cell>
          <cell r="P205">
            <v>3</v>
          </cell>
          <cell r="Q205" t="str">
            <v>S28</v>
          </cell>
          <cell r="R205">
            <v>1310</v>
          </cell>
          <cell r="S205">
            <v>4500</v>
          </cell>
          <cell r="T205">
            <v>1300</v>
          </cell>
          <cell r="U205">
            <v>1300</v>
          </cell>
          <cell r="V205">
            <v>2000</v>
          </cell>
          <cell r="W205">
            <v>2</v>
          </cell>
          <cell r="X205" t="str">
            <v>CF3</v>
          </cell>
          <cell r="Y205" t="str">
            <v>直出し</v>
          </cell>
          <cell r="Z205">
            <v>6</v>
          </cell>
          <cell r="AA205" t="str">
            <v>6ｲﾝﾁFWP</v>
          </cell>
          <cell r="AB205">
            <v>1450</v>
          </cell>
          <cell r="AC205"/>
          <cell r="AD205"/>
          <cell r="AE205"/>
          <cell r="AF205"/>
          <cell r="AG205"/>
          <cell r="AH205"/>
          <cell r="AI205"/>
          <cell r="AJ205"/>
          <cell r="AK205"/>
          <cell r="AL205"/>
          <cell r="AM205"/>
        </row>
        <row r="206">
          <cell r="G206" t="str">
            <v>3KSUYCERANS27114</v>
          </cell>
          <cell r="H206" t="str">
            <v>U</v>
          </cell>
          <cell r="I206" t="str">
            <v>Y</v>
          </cell>
          <cell r="J206" t="str">
            <v>CERANS</v>
          </cell>
          <cell r="K206">
            <v>27114</v>
          </cell>
          <cell r="M206" t="str">
            <v>3KSUYCERANS27114751300</v>
          </cell>
          <cell r="N206" t="str">
            <v>3KSUYCERANS2711475180</v>
          </cell>
          <cell r="O206">
            <v>75</v>
          </cell>
          <cell r="P206" t="str">
            <v>3KS</v>
          </cell>
          <cell r="Q206" t="str">
            <v>S28</v>
          </cell>
          <cell r="R206">
            <v>1300</v>
          </cell>
          <cell r="S206">
            <v>4300</v>
          </cell>
          <cell r="T206">
            <v>180</v>
          </cell>
          <cell r="U206">
            <v>180</v>
          </cell>
          <cell r="V206">
            <v>2000</v>
          </cell>
          <cell r="W206">
            <v>2</v>
          </cell>
          <cell r="X206" t="str">
            <v>CF3</v>
          </cell>
          <cell r="Y206" t="str">
            <v>SL-1</v>
          </cell>
          <cell r="Z206">
            <v>6</v>
          </cell>
          <cell r="AA206" t="str">
            <v>6ｲﾝﾁFWP</v>
          </cell>
          <cell r="AB206">
            <v>1450</v>
          </cell>
          <cell r="AC206">
            <v>3</v>
          </cell>
          <cell r="AD206" t="str">
            <v>3ｲﾝﾁABS</v>
          </cell>
          <cell r="AE206">
            <v>180</v>
          </cell>
          <cell r="AF206"/>
          <cell r="AG206"/>
          <cell r="AH206"/>
          <cell r="AI206"/>
          <cell r="AJ206"/>
          <cell r="AK206"/>
          <cell r="AL206"/>
          <cell r="AM206" t="str">
            <v>試作中止のため不明</v>
          </cell>
        </row>
        <row r="207">
          <cell r="G207" t="str">
            <v>3KSUYCERANS27114</v>
          </cell>
          <cell r="H207" t="str">
            <v>U</v>
          </cell>
          <cell r="I207" t="str">
            <v>Y</v>
          </cell>
          <cell r="J207" t="str">
            <v>CERANS</v>
          </cell>
          <cell r="K207">
            <v>27114</v>
          </cell>
          <cell r="M207" t="str">
            <v>3KSUYCERANS27114751300</v>
          </cell>
          <cell r="N207" t="str">
            <v>3KSUYCERANS2711475240</v>
          </cell>
          <cell r="O207">
            <v>75</v>
          </cell>
          <cell r="P207" t="str">
            <v>3KS</v>
          </cell>
          <cell r="Q207" t="str">
            <v>S28</v>
          </cell>
          <cell r="R207">
            <v>1300</v>
          </cell>
          <cell r="S207">
            <v>4300</v>
          </cell>
          <cell r="T207">
            <v>240</v>
          </cell>
          <cell r="U207">
            <v>240</v>
          </cell>
          <cell r="V207">
            <v>2000</v>
          </cell>
          <cell r="W207">
            <v>2</v>
          </cell>
          <cell r="X207" t="str">
            <v>CF3</v>
          </cell>
          <cell r="Y207" t="str">
            <v>SL-1</v>
          </cell>
          <cell r="Z207">
            <v>6</v>
          </cell>
          <cell r="AA207" t="str">
            <v>6ｲﾝﾁFWP</v>
          </cell>
          <cell r="AB207">
            <v>1450</v>
          </cell>
          <cell r="AC207">
            <v>3</v>
          </cell>
          <cell r="AD207" t="str">
            <v>3ｲﾝﾁABS</v>
          </cell>
          <cell r="AE207">
            <v>240</v>
          </cell>
          <cell r="AF207"/>
          <cell r="AG207"/>
          <cell r="AH207"/>
          <cell r="AI207"/>
          <cell r="AJ207"/>
          <cell r="AK207"/>
          <cell r="AL207"/>
          <cell r="AM207" t="str">
            <v>試作中止のため不明</v>
          </cell>
        </row>
        <row r="208">
          <cell r="G208" t="str">
            <v>3KSUYCERANS27114</v>
          </cell>
          <cell r="H208" t="str">
            <v>U</v>
          </cell>
          <cell r="I208" t="str">
            <v>Y</v>
          </cell>
          <cell r="J208" t="str">
            <v>CERANS</v>
          </cell>
          <cell r="K208">
            <v>27114</v>
          </cell>
          <cell r="M208" t="str">
            <v>3KSUYCERANS27114751300</v>
          </cell>
          <cell r="N208" t="str">
            <v>3KSUYCERANS2711475280</v>
          </cell>
          <cell r="O208">
            <v>75</v>
          </cell>
          <cell r="P208" t="str">
            <v>3KS</v>
          </cell>
          <cell r="Q208" t="str">
            <v>S28</v>
          </cell>
          <cell r="R208">
            <v>1300</v>
          </cell>
          <cell r="S208">
            <v>4300</v>
          </cell>
          <cell r="T208">
            <v>280</v>
          </cell>
          <cell r="U208">
            <v>280</v>
          </cell>
          <cell r="V208">
            <v>2000</v>
          </cell>
          <cell r="W208">
            <v>2</v>
          </cell>
          <cell r="X208" t="str">
            <v>CF3</v>
          </cell>
          <cell r="Y208" t="str">
            <v>SL-1</v>
          </cell>
          <cell r="Z208">
            <v>6</v>
          </cell>
          <cell r="AA208" t="str">
            <v>6ｲﾝﾁFWP</v>
          </cell>
          <cell r="AB208">
            <v>1450</v>
          </cell>
          <cell r="AC208">
            <v>3</v>
          </cell>
          <cell r="AD208" t="str">
            <v>3ｲﾝﾁABS</v>
          </cell>
          <cell r="AE208">
            <v>280</v>
          </cell>
          <cell r="AF208"/>
          <cell r="AG208"/>
          <cell r="AH208"/>
          <cell r="AI208"/>
          <cell r="AJ208"/>
          <cell r="AK208"/>
          <cell r="AL208"/>
          <cell r="AM208" t="str">
            <v>試作中止のため不明</v>
          </cell>
        </row>
        <row r="209">
          <cell r="G209" t="str">
            <v>3KSUYCERANS27114</v>
          </cell>
          <cell r="H209" t="str">
            <v>U</v>
          </cell>
          <cell r="I209" t="str">
            <v>Y</v>
          </cell>
          <cell r="J209" t="str">
            <v>CERANS</v>
          </cell>
          <cell r="K209">
            <v>27114</v>
          </cell>
          <cell r="M209" t="str">
            <v>3KSUYCERANS27114751300</v>
          </cell>
          <cell r="N209" t="str">
            <v>3KSUYCERANS2711475685</v>
          </cell>
          <cell r="O209">
            <v>75</v>
          </cell>
          <cell r="P209" t="str">
            <v>3KS</v>
          </cell>
          <cell r="Q209" t="str">
            <v>S28</v>
          </cell>
          <cell r="R209">
            <v>1300</v>
          </cell>
          <cell r="S209">
            <v>4300</v>
          </cell>
          <cell r="T209">
            <v>685</v>
          </cell>
          <cell r="U209">
            <v>685</v>
          </cell>
          <cell r="V209">
            <v>2000</v>
          </cell>
          <cell r="W209">
            <v>2</v>
          </cell>
          <cell r="X209" t="str">
            <v>CF3</v>
          </cell>
          <cell r="Y209" t="str">
            <v>SL-1</v>
          </cell>
          <cell r="Z209">
            <v>6</v>
          </cell>
          <cell r="AA209" t="str">
            <v>6ｲﾝﾁFWP</v>
          </cell>
          <cell r="AB209">
            <v>1450</v>
          </cell>
          <cell r="AC209">
            <v>3</v>
          </cell>
          <cell r="AD209" t="str">
            <v>3ｲﾝﾁABS</v>
          </cell>
          <cell r="AE209">
            <v>305</v>
          </cell>
          <cell r="AF209"/>
          <cell r="AG209"/>
          <cell r="AH209"/>
          <cell r="AI209"/>
          <cell r="AJ209"/>
          <cell r="AK209"/>
          <cell r="AL209"/>
          <cell r="AM209" t="str">
            <v>試作中止のため不明</v>
          </cell>
        </row>
        <row r="210">
          <cell r="G210" t="str">
            <v>3KSUYCERANS27114</v>
          </cell>
          <cell r="H210" t="str">
            <v>U</v>
          </cell>
          <cell r="I210" t="str">
            <v>Y</v>
          </cell>
          <cell r="J210" t="str">
            <v>CERANS</v>
          </cell>
          <cell r="K210">
            <v>27114</v>
          </cell>
          <cell r="M210" t="str">
            <v>3KSUYCERANS27114751300</v>
          </cell>
          <cell r="N210" t="str">
            <v>3KSUYCERANS2711475590</v>
          </cell>
          <cell r="O210">
            <v>75</v>
          </cell>
          <cell r="P210" t="str">
            <v>3KS</v>
          </cell>
          <cell r="Q210" t="str">
            <v>S28</v>
          </cell>
          <cell r="R210">
            <v>1300</v>
          </cell>
          <cell r="S210">
            <v>4300</v>
          </cell>
          <cell r="T210">
            <v>590</v>
          </cell>
          <cell r="U210">
            <v>590</v>
          </cell>
          <cell r="V210">
            <v>2000</v>
          </cell>
          <cell r="W210">
            <v>2</v>
          </cell>
          <cell r="X210" t="str">
            <v>CF3</v>
          </cell>
          <cell r="Y210" t="str">
            <v>SL-1</v>
          </cell>
          <cell r="Z210">
            <v>6</v>
          </cell>
          <cell r="AA210" t="str">
            <v>6ｲﾝﾁFWP</v>
          </cell>
          <cell r="AB210">
            <v>1450</v>
          </cell>
          <cell r="AC210">
            <v>3</v>
          </cell>
          <cell r="AD210" t="str">
            <v>3ｲﾝﾁABS</v>
          </cell>
          <cell r="AE210">
            <v>305</v>
          </cell>
          <cell r="AF210"/>
          <cell r="AG210"/>
          <cell r="AH210"/>
          <cell r="AI210"/>
          <cell r="AJ210"/>
          <cell r="AK210"/>
          <cell r="AL210"/>
          <cell r="AM210" t="str">
            <v>試作中止のため不明</v>
          </cell>
        </row>
        <row r="211">
          <cell r="G211" t="str">
            <v>3UNCERANS27114</v>
          </cell>
          <cell r="H211" t="str">
            <v>U</v>
          </cell>
          <cell r="I211" t="str">
            <v>N</v>
          </cell>
          <cell r="J211" t="str">
            <v>CERANS</v>
          </cell>
          <cell r="K211">
            <v>27114</v>
          </cell>
          <cell r="M211" t="str">
            <v>3UNCERANS27114751310</v>
          </cell>
          <cell r="N211" t="str">
            <v>3UNCERANS2711475180</v>
          </cell>
          <cell r="O211">
            <v>75</v>
          </cell>
          <cell r="P211">
            <v>3</v>
          </cell>
          <cell r="Q211" t="str">
            <v>S28</v>
          </cell>
          <cell r="R211">
            <v>1310</v>
          </cell>
          <cell r="S211">
            <v>4500</v>
          </cell>
          <cell r="T211">
            <v>180</v>
          </cell>
          <cell r="U211">
            <v>180</v>
          </cell>
          <cell r="V211">
            <v>2000</v>
          </cell>
          <cell r="W211">
            <v>2</v>
          </cell>
          <cell r="X211" t="str">
            <v>CF3</v>
          </cell>
          <cell r="Y211" t="str">
            <v>SL-1</v>
          </cell>
          <cell r="Z211">
            <v>6</v>
          </cell>
          <cell r="AA211" t="str">
            <v>6ｲﾝﾁFWP</v>
          </cell>
          <cell r="AB211">
            <v>1450</v>
          </cell>
          <cell r="AC211"/>
          <cell r="AD211"/>
          <cell r="AE211">
            <v>180</v>
          </cell>
          <cell r="AF211"/>
          <cell r="AG211"/>
          <cell r="AH211"/>
          <cell r="AI211"/>
          <cell r="AJ211"/>
          <cell r="AK211"/>
          <cell r="AL211"/>
          <cell r="AM211" t="str">
            <v>試作中止のため不明</v>
          </cell>
        </row>
        <row r="212">
          <cell r="G212" t="str">
            <v>3UNCERANS27114</v>
          </cell>
          <cell r="H212" t="str">
            <v>U</v>
          </cell>
          <cell r="I212" t="str">
            <v>N</v>
          </cell>
          <cell r="J212" t="str">
            <v>CERANS</v>
          </cell>
          <cell r="K212">
            <v>27114</v>
          </cell>
          <cell r="M212" t="str">
            <v>3UNCERANS27114751310</v>
          </cell>
          <cell r="N212" t="str">
            <v>3UNCERANS2711475240</v>
          </cell>
          <cell r="O212">
            <v>75</v>
          </cell>
          <cell r="P212">
            <v>3</v>
          </cell>
          <cell r="Q212" t="str">
            <v>S28</v>
          </cell>
          <cell r="R212">
            <v>1310</v>
          </cell>
          <cell r="S212">
            <v>4500</v>
          </cell>
          <cell r="T212">
            <v>240</v>
          </cell>
          <cell r="U212">
            <v>240</v>
          </cell>
          <cell r="V212">
            <v>2000</v>
          </cell>
          <cell r="W212">
            <v>2</v>
          </cell>
          <cell r="X212" t="str">
            <v>CF3</v>
          </cell>
          <cell r="Y212" t="str">
            <v>SL-1</v>
          </cell>
          <cell r="Z212">
            <v>6</v>
          </cell>
          <cell r="AA212" t="str">
            <v>6ｲﾝﾁFWP</v>
          </cell>
          <cell r="AB212">
            <v>1450</v>
          </cell>
          <cell r="AC212"/>
          <cell r="AD212"/>
          <cell r="AE212">
            <v>240</v>
          </cell>
          <cell r="AF212"/>
          <cell r="AG212"/>
          <cell r="AH212"/>
          <cell r="AI212"/>
          <cell r="AJ212"/>
          <cell r="AK212"/>
          <cell r="AL212"/>
          <cell r="AM212" t="str">
            <v>試作中止のため不明</v>
          </cell>
        </row>
        <row r="213">
          <cell r="G213" t="str">
            <v>3UNCERANS27114</v>
          </cell>
          <cell r="H213" t="str">
            <v>U</v>
          </cell>
          <cell r="I213" t="str">
            <v>N</v>
          </cell>
          <cell r="J213" t="str">
            <v>CERANS</v>
          </cell>
          <cell r="K213">
            <v>27114</v>
          </cell>
          <cell r="M213" t="str">
            <v>3UNCERANS27114751310</v>
          </cell>
          <cell r="N213" t="str">
            <v>3UNCERANS2711475280</v>
          </cell>
          <cell r="O213">
            <v>75</v>
          </cell>
          <cell r="P213">
            <v>3</v>
          </cell>
          <cell r="Q213" t="str">
            <v>S28</v>
          </cell>
          <cell r="R213">
            <v>1310</v>
          </cell>
          <cell r="S213">
            <v>4500</v>
          </cell>
          <cell r="T213">
            <v>280</v>
          </cell>
          <cell r="U213">
            <v>280</v>
          </cell>
          <cell r="V213">
            <v>2000</v>
          </cell>
          <cell r="W213">
            <v>2</v>
          </cell>
          <cell r="X213" t="str">
            <v>CF3</v>
          </cell>
          <cell r="Y213" t="str">
            <v>SL-1</v>
          </cell>
          <cell r="Z213">
            <v>6</v>
          </cell>
          <cell r="AA213" t="str">
            <v>6ｲﾝﾁFWP</v>
          </cell>
          <cell r="AB213">
            <v>1450</v>
          </cell>
          <cell r="AC213"/>
          <cell r="AD213"/>
          <cell r="AE213">
            <v>280</v>
          </cell>
          <cell r="AF213"/>
          <cell r="AG213"/>
          <cell r="AH213"/>
          <cell r="AI213"/>
          <cell r="AJ213"/>
          <cell r="AK213"/>
          <cell r="AL213"/>
          <cell r="AM213" t="str">
            <v>試作中止のため不明</v>
          </cell>
        </row>
        <row r="214">
          <cell r="G214" t="str">
            <v>3UNCERANS27114</v>
          </cell>
          <cell r="H214" t="str">
            <v>U</v>
          </cell>
          <cell r="I214" t="str">
            <v>N</v>
          </cell>
          <cell r="J214" t="str">
            <v>CERANS</v>
          </cell>
          <cell r="K214">
            <v>27114</v>
          </cell>
          <cell r="M214" t="str">
            <v>3UNCERANS27114751310</v>
          </cell>
          <cell r="N214" t="str">
            <v>3UNCERANS2711475305</v>
          </cell>
          <cell r="O214">
            <v>75</v>
          </cell>
          <cell r="P214">
            <v>3</v>
          </cell>
          <cell r="Q214" t="str">
            <v>S28</v>
          </cell>
          <cell r="R214">
            <v>1310</v>
          </cell>
          <cell r="S214">
            <v>4500</v>
          </cell>
          <cell r="T214">
            <v>305</v>
          </cell>
          <cell r="U214">
            <v>305</v>
          </cell>
          <cell r="V214">
            <v>2000</v>
          </cell>
          <cell r="W214">
            <v>2</v>
          </cell>
          <cell r="X214" t="str">
            <v>CF3</v>
          </cell>
          <cell r="Y214" t="str">
            <v>SL-1</v>
          </cell>
          <cell r="Z214">
            <v>6</v>
          </cell>
          <cell r="AA214" t="str">
            <v>6ｲﾝﾁFWP</v>
          </cell>
          <cell r="AB214">
            <v>1450</v>
          </cell>
          <cell r="AC214"/>
          <cell r="AD214"/>
          <cell r="AE214">
            <v>305</v>
          </cell>
          <cell r="AF214"/>
          <cell r="AG214"/>
          <cell r="AH214"/>
          <cell r="AI214"/>
          <cell r="AJ214"/>
          <cell r="AK214"/>
          <cell r="AL214"/>
          <cell r="AM214" t="str">
            <v>試作中止のため不明</v>
          </cell>
        </row>
        <row r="215">
          <cell r="G215" t="str">
            <v>3UNCERANS27114</v>
          </cell>
          <cell r="H215" t="str">
            <v>U</v>
          </cell>
          <cell r="I215" t="str">
            <v>N</v>
          </cell>
          <cell r="J215" t="str">
            <v>CERANS</v>
          </cell>
          <cell r="K215">
            <v>27114</v>
          </cell>
          <cell r="M215" t="str">
            <v>3UNCERANS27114751310</v>
          </cell>
          <cell r="N215" t="str">
            <v>3UNCERANS27114751300</v>
          </cell>
          <cell r="O215">
            <v>75</v>
          </cell>
          <cell r="P215">
            <v>3</v>
          </cell>
          <cell r="Q215" t="str">
            <v>S28</v>
          </cell>
          <cell r="R215">
            <v>1310</v>
          </cell>
          <cell r="S215">
            <v>4500</v>
          </cell>
          <cell r="T215">
            <v>1300</v>
          </cell>
          <cell r="U215">
            <v>1300</v>
          </cell>
          <cell r="V215">
            <v>2000</v>
          </cell>
          <cell r="W215">
            <v>2</v>
          </cell>
          <cell r="X215" t="str">
            <v>CF3</v>
          </cell>
          <cell r="Y215" t="str">
            <v>直出し</v>
          </cell>
          <cell r="Z215">
            <v>6</v>
          </cell>
          <cell r="AA215" t="str">
            <v>6ｲﾝﾁFWP</v>
          </cell>
          <cell r="AB215">
            <v>1450</v>
          </cell>
          <cell r="AC215"/>
          <cell r="AD215"/>
          <cell r="AE215"/>
          <cell r="AF215"/>
          <cell r="AG215"/>
          <cell r="AH215"/>
          <cell r="AI215"/>
          <cell r="AJ215"/>
          <cell r="AK215"/>
          <cell r="AL215"/>
          <cell r="AM215"/>
        </row>
        <row r="216">
          <cell r="G216" t="str">
            <v>3UNCERANS27114</v>
          </cell>
          <cell r="H216" t="str">
            <v>U</v>
          </cell>
          <cell r="I216" t="str">
            <v>N</v>
          </cell>
          <cell r="J216" t="str">
            <v>CERANS</v>
          </cell>
          <cell r="K216">
            <v>27114</v>
          </cell>
          <cell r="M216" t="str">
            <v>3UNCERANS27114381120</v>
          </cell>
          <cell r="N216" t="str">
            <v>3UNCERANS2711438750</v>
          </cell>
          <cell r="O216">
            <v>38</v>
          </cell>
          <cell r="P216">
            <v>3</v>
          </cell>
          <cell r="Q216" t="str">
            <v>S27</v>
          </cell>
          <cell r="R216">
            <v>1120</v>
          </cell>
          <cell r="S216">
            <v>3000</v>
          </cell>
          <cell r="T216">
            <v>750</v>
          </cell>
          <cell r="U216">
            <v>750</v>
          </cell>
          <cell r="V216">
            <v>2800</v>
          </cell>
          <cell r="W216">
            <v>2</v>
          </cell>
          <cell r="X216" t="str">
            <v>CF3</v>
          </cell>
          <cell r="Y216" t="str">
            <v>SL-1</v>
          </cell>
          <cell r="Z216">
            <v>6</v>
          </cell>
          <cell r="AA216" t="str">
            <v>6ｲﾝﾁFWP</v>
          </cell>
          <cell r="AB216">
            <v>1450</v>
          </cell>
          <cell r="AC216">
            <v>6</v>
          </cell>
          <cell r="AD216" t="str">
            <v>6ｲﾝﾁFWP</v>
          </cell>
          <cell r="AE216">
            <v>930</v>
          </cell>
          <cell r="AF216"/>
          <cell r="AG216"/>
          <cell r="AH216"/>
          <cell r="AI216"/>
          <cell r="AJ216"/>
          <cell r="AK216"/>
          <cell r="AL216"/>
          <cell r="AM216" t="str">
            <v>試作中止のため不明</v>
          </cell>
        </row>
        <row r="217">
          <cell r="G217" t="str">
            <v>3UNCERANS27116</v>
          </cell>
          <cell r="H217" t="str">
            <v>U</v>
          </cell>
          <cell r="I217" t="str">
            <v>N</v>
          </cell>
          <cell r="J217" t="str">
            <v>CERANS</v>
          </cell>
          <cell r="K217">
            <v>27116</v>
          </cell>
          <cell r="M217" t="str">
            <v>3UNCERANS2711638930</v>
          </cell>
          <cell r="N217" t="str">
            <v>3UNCERANS2711638230</v>
          </cell>
          <cell r="O217">
            <v>38</v>
          </cell>
          <cell r="P217">
            <v>3</v>
          </cell>
          <cell r="Q217" t="str">
            <v>T6AM</v>
          </cell>
          <cell r="R217">
            <v>930</v>
          </cell>
          <cell r="S217">
            <v>6225</v>
          </cell>
          <cell r="T217">
            <v>230</v>
          </cell>
          <cell r="U217">
            <v>230</v>
          </cell>
          <cell r="V217">
            <v>1000</v>
          </cell>
          <cell r="W217">
            <v>2</v>
          </cell>
          <cell r="X217" t="str">
            <v>CF3</v>
          </cell>
          <cell r="Y217" t="str">
            <v>SL-1</v>
          </cell>
          <cell r="Z217">
            <v>6</v>
          </cell>
          <cell r="AA217" t="str">
            <v>6ｲﾝﾁFWP</v>
          </cell>
          <cell r="AB217">
            <v>1450</v>
          </cell>
          <cell r="AC217">
            <v>3</v>
          </cell>
          <cell r="AD217" t="str">
            <v>3ｲﾝﾁABS</v>
          </cell>
          <cell r="AE217">
            <v>242</v>
          </cell>
          <cell r="AF217"/>
          <cell r="AG217"/>
          <cell r="AH217"/>
          <cell r="AI217"/>
          <cell r="AJ217"/>
          <cell r="AK217"/>
          <cell r="AL217"/>
          <cell r="AM217"/>
        </row>
        <row r="218">
          <cell r="G218" t="str">
            <v>3UNCERANS27116</v>
          </cell>
          <cell r="H218" t="str">
            <v>U</v>
          </cell>
          <cell r="I218" t="str">
            <v>N</v>
          </cell>
          <cell r="J218" t="str">
            <v>CERANS</v>
          </cell>
          <cell r="K218">
            <v>27116</v>
          </cell>
          <cell r="M218" t="str">
            <v>3UNCERANS2711638930</v>
          </cell>
          <cell r="N218" t="str">
            <v>3UNCERANS2711638210</v>
          </cell>
          <cell r="O218">
            <v>38</v>
          </cell>
          <cell r="P218">
            <v>3</v>
          </cell>
          <cell r="Q218" t="str">
            <v>T6AM</v>
          </cell>
          <cell r="R218">
            <v>930</v>
          </cell>
          <cell r="S218">
            <v>6225</v>
          </cell>
          <cell r="T218">
            <v>210</v>
          </cell>
          <cell r="U218">
            <v>210</v>
          </cell>
          <cell r="V218">
            <v>1000</v>
          </cell>
          <cell r="W218">
            <v>2</v>
          </cell>
          <cell r="X218" t="str">
            <v>CF3</v>
          </cell>
          <cell r="Y218" t="str">
            <v>SL-1</v>
          </cell>
          <cell r="Z218">
            <v>6</v>
          </cell>
          <cell r="AA218" t="str">
            <v>6ｲﾝﾁFWP</v>
          </cell>
          <cell r="AB218">
            <v>1450</v>
          </cell>
          <cell r="AC218">
            <v>3</v>
          </cell>
          <cell r="AD218" t="str">
            <v>3ｲﾝﾁABS</v>
          </cell>
          <cell r="AE218">
            <v>242</v>
          </cell>
          <cell r="AF218"/>
          <cell r="AG218"/>
          <cell r="AH218"/>
          <cell r="AI218"/>
          <cell r="AJ218"/>
          <cell r="AK218"/>
          <cell r="AL218"/>
          <cell r="AM218"/>
        </row>
        <row r="219">
          <cell r="G219" t="str">
            <v>3UNCERANS11116</v>
          </cell>
          <cell r="H219" t="str">
            <v>U</v>
          </cell>
          <cell r="I219" t="str">
            <v>N</v>
          </cell>
          <cell r="J219" t="str">
            <v>CERANS</v>
          </cell>
          <cell r="K219">
            <v>11116</v>
          </cell>
          <cell r="M219" t="str">
            <v>3UNCERANS1111638930</v>
          </cell>
          <cell r="N219" t="str">
            <v>3UNCERANS1111638230</v>
          </cell>
          <cell r="O219">
            <v>38</v>
          </cell>
          <cell r="P219">
            <v>3</v>
          </cell>
          <cell r="Q219" t="str">
            <v>T6AM</v>
          </cell>
          <cell r="R219">
            <v>930</v>
          </cell>
          <cell r="S219">
            <v>6225</v>
          </cell>
          <cell r="T219">
            <v>230</v>
          </cell>
          <cell r="U219">
            <v>230</v>
          </cell>
          <cell r="V219">
            <v>1000</v>
          </cell>
          <cell r="W219">
            <v>2</v>
          </cell>
          <cell r="X219" t="str">
            <v>CF3</v>
          </cell>
          <cell r="Y219" t="str">
            <v>SL-1</v>
          </cell>
          <cell r="Z219">
            <v>6</v>
          </cell>
          <cell r="AA219" t="str">
            <v>6ｲﾝﾁFWP</v>
          </cell>
          <cell r="AB219">
            <v>1450</v>
          </cell>
          <cell r="AC219">
            <v>3</v>
          </cell>
          <cell r="AD219" t="str">
            <v>3ｲﾝﾁABS</v>
          </cell>
          <cell r="AE219">
            <v>242</v>
          </cell>
          <cell r="AF219"/>
          <cell r="AG219"/>
          <cell r="AH219"/>
          <cell r="AI219"/>
          <cell r="AJ219"/>
          <cell r="AK219"/>
          <cell r="AL219"/>
          <cell r="AM219"/>
        </row>
        <row r="220">
          <cell r="G220" t="str">
            <v>3UNCERANS11116</v>
          </cell>
          <cell r="H220" t="str">
            <v>U</v>
          </cell>
          <cell r="I220" t="str">
            <v>N</v>
          </cell>
          <cell r="J220" t="str">
            <v>CERANS</v>
          </cell>
          <cell r="K220">
            <v>11116</v>
          </cell>
          <cell r="M220" t="str">
            <v>3UNCERANS1111638930</v>
          </cell>
          <cell r="N220" t="str">
            <v>3UNCERANS1111638210</v>
          </cell>
          <cell r="O220">
            <v>38</v>
          </cell>
          <cell r="P220">
            <v>3</v>
          </cell>
          <cell r="Q220" t="str">
            <v>T6AM</v>
          </cell>
          <cell r="R220">
            <v>930</v>
          </cell>
          <cell r="S220">
            <v>6225</v>
          </cell>
          <cell r="T220">
            <v>210</v>
          </cell>
          <cell r="U220">
            <v>210</v>
          </cell>
          <cell r="V220">
            <v>1000</v>
          </cell>
          <cell r="W220">
            <v>2</v>
          </cell>
          <cell r="X220" t="str">
            <v>CF3</v>
          </cell>
          <cell r="Y220" t="str">
            <v>SL-1</v>
          </cell>
          <cell r="Z220">
            <v>6</v>
          </cell>
          <cell r="AA220" t="str">
            <v>6ｲﾝﾁFWP</v>
          </cell>
          <cell r="AB220">
            <v>1450</v>
          </cell>
          <cell r="AC220">
            <v>3</v>
          </cell>
          <cell r="AD220" t="str">
            <v>3ｲﾝﾁABS</v>
          </cell>
          <cell r="AE220">
            <v>242</v>
          </cell>
          <cell r="AF220"/>
          <cell r="AG220"/>
          <cell r="AH220"/>
          <cell r="AI220"/>
          <cell r="AJ220"/>
          <cell r="AK220"/>
          <cell r="AL220"/>
          <cell r="AM220"/>
        </row>
        <row r="221">
          <cell r="G221" t="str">
            <v>3UNCERANS27136</v>
          </cell>
          <cell r="H221" t="str">
            <v>U</v>
          </cell>
          <cell r="I221" t="str">
            <v>N</v>
          </cell>
          <cell r="J221" t="str">
            <v>CERANS</v>
          </cell>
          <cell r="K221">
            <v>27136</v>
          </cell>
          <cell r="M221" t="str">
            <v>3UNCERANS27136251116</v>
          </cell>
          <cell r="N221" t="str">
            <v>3UNCERANS2713625230</v>
          </cell>
          <cell r="O221">
            <v>25</v>
          </cell>
          <cell r="P221">
            <v>3</v>
          </cell>
          <cell r="Q221" t="str">
            <v>QS63</v>
          </cell>
          <cell r="R221">
            <v>1116</v>
          </cell>
          <cell r="S221">
            <v>8500</v>
          </cell>
          <cell r="T221">
            <v>230</v>
          </cell>
          <cell r="U221">
            <v>230</v>
          </cell>
          <cell r="V221">
            <v>1000</v>
          </cell>
          <cell r="W221">
            <v>2</v>
          </cell>
          <cell r="X221" t="str">
            <v>CF3</v>
          </cell>
          <cell r="Y221" t="str">
            <v>SL-1</v>
          </cell>
          <cell r="Z221">
            <v>6</v>
          </cell>
          <cell r="AA221" t="str">
            <v>6ｲﾝﾁFWP</v>
          </cell>
          <cell r="AB221">
            <v>1450</v>
          </cell>
          <cell r="AC221">
            <v>3</v>
          </cell>
          <cell r="AD221" t="str">
            <v>3ｲﾝﾁABS</v>
          </cell>
          <cell r="AE221">
            <v>242</v>
          </cell>
          <cell r="AF221"/>
          <cell r="AG221"/>
          <cell r="AH221"/>
          <cell r="AI221"/>
          <cell r="AJ221"/>
          <cell r="AK221"/>
          <cell r="AL221"/>
          <cell r="AM221"/>
        </row>
        <row r="222">
          <cell r="G222" t="str">
            <v>3UNCERANS27136</v>
          </cell>
          <cell r="H222" t="str">
            <v>U</v>
          </cell>
          <cell r="I222" t="str">
            <v>N</v>
          </cell>
          <cell r="J222" t="str">
            <v>CERANS</v>
          </cell>
          <cell r="K222">
            <v>27136</v>
          </cell>
          <cell r="M222" t="str">
            <v>3UNCERANS27136251116</v>
          </cell>
          <cell r="N222" t="str">
            <v>3UNCERANS2713625860</v>
          </cell>
          <cell r="O222">
            <v>25</v>
          </cell>
          <cell r="P222">
            <v>3</v>
          </cell>
          <cell r="Q222" t="str">
            <v>QS63</v>
          </cell>
          <cell r="R222">
            <v>1116</v>
          </cell>
          <cell r="S222">
            <v>8500</v>
          </cell>
          <cell r="T222">
            <v>860</v>
          </cell>
          <cell r="U222">
            <v>860</v>
          </cell>
          <cell r="V222">
            <v>1000</v>
          </cell>
          <cell r="W222">
            <v>2</v>
          </cell>
          <cell r="X222" t="str">
            <v>CF3</v>
          </cell>
          <cell r="Y222" t="str">
            <v>SL-1</v>
          </cell>
          <cell r="Z222">
            <v>6</v>
          </cell>
          <cell r="AA222" t="str">
            <v>6ｲﾝﾁFWP</v>
          </cell>
          <cell r="AB222">
            <v>1450</v>
          </cell>
          <cell r="AC222">
            <v>3</v>
          </cell>
          <cell r="AD222" t="str">
            <v>3ｲﾝﾁABS</v>
          </cell>
          <cell r="AE222">
            <v>898</v>
          </cell>
          <cell r="AF222"/>
          <cell r="AG222"/>
          <cell r="AH222"/>
          <cell r="AI222"/>
          <cell r="AJ222"/>
          <cell r="AK222"/>
          <cell r="AL222"/>
          <cell r="AM222"/>
        </row>
        <row r="223">
          <cell r="G223" t="str">
            <v>3UNCERANSHP316</v>
          </cell>
          <cell r="H223" t="str">
            <v>U</v>
          </cell>
          <cell r="I223" t="str">
            <v>N</v>
          </cell>
          <cell r="J223" t="str">
            <v>CERANS</v>
          </cell>
          <cell r="K223" t="str">
            <v>HP316</v>
          </cell>
          <cell r="M223" t="str">
            <v>3UNCERANSHP31638930</v>
          </cell>
          <cell r="N223" t="str">
            <v>3UNCERANSHP31638230</v>
          </cell>
          <cell r="O223">
            <v>38</v>
          </cell>
          <cell r="P223">
            <v>3</v>
          </cell>
          <cell r="Q223" t="str">
            <v>T6AM</v>
          </cell>
          <cell r="R223">
            <v>930</v>
          </cell>
          <cell r="S223">
            <v>6225</v>
          </cell>
          <cell r="T223">
            <v>230</v>
          </cell>
          <cell r="U223">
            <v>230</v>
          </cell>
          <cell r="V223">
            <v>1000</v>
          </cell>
          <cell r="W223">
            <v>2</v>
          </cell>
          <cell r="X223" t="str">
            <v>CF3</v>
          </cell>
          <cell r="Y223" t="str">
            <v>SL-1</v>
          </cell>
          <cell r="Z223">
            <v>6</v>
          </cell>
          <cell r="AA223" t="str">
            <v>6ｲﾝﾁFWP</v>
          </cell>
          <cell r="AB223">
            <v>1450</v>
          </cell>
          <cell r="AC223">
            <v>3</v>
          </cell>
          <cell r="AD223" t="str">
            <v>3ｲﾝﾁABS</v>
          </cell>
          <cell r="AE223">
            <v>242</v>
          </cell>
          <cell r="AF223"/>
          <cell r="AG223"/>
          <cell r="AH223"/>
          <cell r="AI223"/>
          <cell r="AJ223"/>
          <cell r="AK223"/>
          <cell r="AL223"/>
          <cell r="AM223"/>
        </row>
        <row r="224">
          <cell r="G224" t="str">
            <v>3UNCERANSHP316</v>
          </cell>
          <cell r="H224" t="str">
            <v>U</v>
          </cell>
          <cell r="I224" t="str">
            <v>N</v>
          </cell>
          <cell r="J224" t="str">
            <v>CERANS</v>
          </cell>
          <cell r="K224" t="str">
            <v>HP316</v>
          </cell>
          <cell r="M224" t="str">
            <v>3UNCERANSHP31638930</v>
          </cell>
          <cell r="N224" t="str">
            <v>3UNCERANSHP31638210</v>
          </cell>
          <cell r="O224">
            <v>38</v>
          </cell>
          <cell r="P224">
            <v>3</v>
          </cell>
          <cell r="Q224" t="str">
            <v>T6AM</v>
          </cell>
          <cell r="R224">
            <v>930</v>
          </cell>
          <cell r="S224">
            <v>6225</v>
          </cell>
          <cell r="T224">
            <v>210</v>
          </cell>
          <cell r="U224">
            <v>210</v>
          </cell>
          <cell r="V224">
            <v>1000</v>
          </cell>
          <cell r="W224">
            <v>2</v>
          </cell>
          <cell r="X224" t="str">
            <v>CF3</v>
          </cell>
          <cell r="Y224" t="str">
            <v>SL-1</v>
          </cell>
          <cell r="Z224">
            <v>6</v>
          </cell>
          <cell r="AA224" t="str">
            <v>6ｲﾝﾁFWP</v>
          </cell>
          <cell r="AB224">
            <v>1450</v>
          </cell>
          <cell r="AC224">
            <v>3</v>
          </cell>
          <cell r="AD224" t="str">
            <v>3ｲﾝﾁABS</v>
          </cell>
          <cell r="AE224">
            <v>242</v>
          </cell>
          <cell r="AF224"/>
          <cell r="AG224"/>
          <cell r="AH224"/>
          <cell r="AI224"/>
          <cell r="AJ224"/>
          <cell r="AK224"/>
          <cell r="AL224"/>
          <cell r="AM224"/>
        </row>
        <row r="225">
          <cell r="G225" t="str">
            <v>3UNCERA</v>
          </cell>
          <cell r="H225" t="str">
            <v>U</v>
          </cell>
          <cell r="I225" t="str">
            <v>N</v>
          </cell>
          <cell r="J225" t="str">
            <v>CERA</v>
          </cell>
          <cell r="K225"/>
          <cell r="M225" t="str">
            <v>3UNCERA251045</v>
          </cell>
          <cell r="N225" t="str">
            <v>3UNCERA251005</v>
          </cell>
          <cell r="O225">
            <v>25</v>
          </cell>
          <cell r="P225">
            <v>3</v>
          </cell>
          <cell r="Q225" t="str">
            <v>S28M</v>
          </cell>
          <cell r="R225">
            <v>1045</v>
          </cell>
          <cell r="S225">
            <v>12500</v>
          </cell>
          <cell r="T225">
            <v>1005</v>
          </cell>
          <cell r="U225">
            <v>1005</v>
          </cell>
          <cell r="V225">
            <v>6000</v>
          </cell>
          <cell r="W225">
            <v>1</v>
          </cell>
          <cell r="X225" t="str">
            <v>CF2</v>
          </cell>
          <cell r="Y225" t="str">
            <v>MK1</v>
          </cell>
          <cell r="Z225">
            <v>6</v>
          </cell>
          <cell r="AA225" t="str">
            <v>6ｲﾝﾁFWP</v>
          </cell>
          <cell r="AB225">
            <v>1450</v>
          </cell>
          <cell r="AC225">
            <v>6</v>
          </cell>
          <cell r="AD225" t="str">
            <v>6ｲﾝﾁABS</v>
          </cell>
          <cell r="AE225">
            <v>1153</v>
          </cell>
          <cell r="AF225"/>
          <cell r="AG225"/>
          <cell r="AH225"/>
          <cell r="AI225"/>
          <cell r="AJ225"/>
          <cell r="AK225"/>
          <cell r="AL225"/>
          <cell r="AM225"/>
        </row>
        <row r="226">
          <cell r="G226" t="str">
            <v>3UNCERA</v>
          </cell>
          <cell r="H226" t="str">
            <v>U</v>
          </cell>
          <cell r="I226" t="str">
            <v>N</v>
          </cell>
          <cell r="J226" t="str">
            <v>CERA</v>
          </cell>
          <cell r="K226"/>
          <cell r="M226" t="str">
            <v>3UNCERA251045</v>
          </cell>
          <cell r="N226" t="str">
            <v>3UNCERA251005</v>
          </cell>
          <cell r="O226">
            <v>25</v>
          </cell>
          <cell r="P226">
            <v>3</v>
          </cell>
          <cell r="Q226" t="str">
            <v>S28M</v>
          </cell>
          <cell r="R226">
            <v>1045</v>
          </cell>
          <cell r="S226">
            <v>12500</v>
          </cell>
          <cell r="T226">
            <v>1005</v>
          </cell>
          <cell r="U226">
            <v>1005</v>
          </cell>
          <cell r="V226">
            <v>6000</v>
          </cell>
          <cell r="W226">
            <v>1</v>
          </cell>
          <cell r="X226" t="str">
            <v>CF2</v>
          </cell>
          <cell r="Y226" t="str">
            <v>MK1</v>
          </cell>
          <cell r="Z226">
            <v>6</v>
          </cell>
          <cell r="AA226" t="str">
            <v>6ｲﾝﾁFWP</v>
          </cell>
          <cell r="AB226">
            <v>1450</v>
          </cell>
          <cell r="AC226">
            <v>6</v>
          </cell>
          <cell r="AD226" t="str">
            <v>6ｲﾝﾁABS</v>
          </cell>
          <cell r="AE226">
            <v>1153</v>
          </cell>
          <cell r="AF226"/>
          <cell r="AG226"/>
          <cell r="AH226"/>
          <cell r="AI226"/>
          <cell r="AJ226"/>
          <cell r="AK226"/>
          <cell r="AL226"/>
          <cell r="AM226"/>
        </row>
        <row r="227">
          <cell r="G227" t="str">
            <v>3UNCERAMDA01</v>
          </cell>
          <cell r="H227" t="str">
            <v>U</v>
          </cell>
          <cell r="I227" t="str">
            <v>N</v>
          </cell>
          <cell r="J227" t="str">
            <v>CERA</v>
          </cell>
          <cell r="K227" t="str">
            <v>MDA01</v>
          </cell>
          <cell r="M227" t="str">
            <v>3UNCERAMDA01381560</v>
          </cell>
          <cell r="N227" t="str">
            <v>3UNCERAMDA01381560</v>
          </cell>
          <cell r="O227">
            <v>38</v>
          </cell>
          <cell r="P227">
            <v>3</v>
          </cell>
          <cell r="Q227" t="str">
            <v>RP44</v>
          </cell>
          <cell r="R227">
            <v>1560</v>
          </cell>
          <cell r="S227">
            <v>7700</v>
          </cell>
          <cell r="T227">
            <v>1560</v>
          </cell>
          <cell r="U227">
            <v>1560</v>
          </cell>
          <cell r="V227">
            <v>3500</v>
          </cell>
          <cell r="W227">
            <v>2</v>
          </cell>
          <cell r="X227" t="str">
            <v>CF2</v>
          </cell>
          <cell r="Y227" t="str">
            <v>半直</v>
          </cell>
          <cell r="Z227">
            <v>6</v>
          </cell>
          <cell r="AA227" t="str">
            <v>6ｲﾝﾁFWP</v>
          </cell>
          <cell r="AB227">
            <v>1700</v>
          </cell>
          <cell r="AC227"/>
          <cell r="AD227"/>
          <cell r="AE227"/>
          <cell r="AF227"/>
          <cell r="AG227"/>
          <cell r="AH227"/>
          <cell r="AI227"/>
          <cell r="AJ227"/>
          <cell r="AK227"/>
          <cell r="AL227"/>
          <cell r="AM227"/>
        </row>
        <row r="228">
          <cell r="G228" t="str">
            <v>3UNCERAMDA01</v>
          </cell>
          <cell r="H228" t="str">
            <v>U</v>
          </cell>
          <cell r="I228" t="str">
            <v>N</v>
          </cell>
          <cell r="J228" t="str">
            <v>CERA</v>
          </cell>
          <cell r="K228" t="str">
            <v>MDA01</v>
          </cell>
          <cell r="M228" t="str">
            <v>3UNCERAMDA01381320</v>
          </cell>
          <cell r="N228" t="str">
            <v>3UNCERAMDA01381320</v>
          </cell>
          <cell r="O228">
            <v>38</v>
          </cell>
          <cell r="P228">
            <v>3</v>
          </cell>
          <cell r="Q228" t="str">
            <v>RP44</v>
          </cell>
          <cell r="R228">
            <v>1320</v>
          </cell>
          <cell r="S228">
            <v>7700</v>
          </cell>
          <cell r="T228">
            <v>1320</v>
          </cell>
          <cell r="U228">
            <v>1320</v>
          </cell>
          <cell r="V228">
            <v>7500</v>
          </cell>
          <cell r="W228">
            <v>2</v>
          </cell>
          <cell r="X228" t="str">
            <v>CF2</v>
          </cell>
          <cell r="Y228" t="str">
            <v>直出し</v>
          </cell>
          <cell r="Z228">
            <v>6</v>
          </cell>
          <cell r="AA228" t="str">
            <v>6ｲﾝﾁFWP</v>
          </cell>
          <cell r="AB228">
            <v>1450</v>
          </cell>
          <cell r="AC228"/>
          <cell r="AD228"/>
          <cell r="AE228"/>
          <cell r="AF228"/>
          <cell r="AG228"/>
          <cell r="AH228"/>
          <cell r="AI228"/>
          <cell r="AJ228"/>
          <cell r="AK228"/>
          <cell r="AL228"/>
          <cell r="AM228"/>
        </row>
        <row r="229">
          <cell r="G229" t="str">
            <v>N</v>
          </cell>
          <cell r="H229"/>
          <cell r="I229" t="str">
            <v>N</v>
          </cell>
          <cell r="J229"/>
          <cell r="K229"/>
          <cell r="M229" t="str">
            <v>N381560</v>
          </cell>
          <cell r="N229" t="str">
            <v>N381560</v>
          </cell>
          <cell r="O229">
            <v>38</v>
          </cell>
          <cell r="P229"/>
          <cell r="Q229" t="str">
            <v>RP44</v>
          </cell>
          <cell r="R229">
            <v>1560</v>
          </cell>
          <cell r="S229">
            <v>7700</v>
          </cell>
          <cell r="T229">
            <v>1560</v>
          </cell>
          <cell r="U229">
            <v>1560</v>
          </cell>
          <cell r="V229">
            <v>1000</v>
          </cell>
          <cell r="W229">
            <v>2</v>
          </cell>
          <cell r="X229"/>
          <cell r="Y229" t="str">
            <v>直出し</v>
          </cell>
          <cell r="Z229">
            <v>6</v>
          </cell>
          <cell r="AA229" t="str">
            <v>6ｲﾝﾁFWP</v>
          </cell>
          <cell r="AB229">
            <v>1700</v>
          </cell>
          <cell r="AC229"/>
          <cell r="AD229"/>
          <cell r="AE229"/>
          <cell r="AF229"/>
          <cell r="AG229"/>
          <cell r="AH229"/>
          <cell r="AI229"/>
          <cell r="AJ229"/>
          <cell r="AK229"/>
          <cell r="AL229"/>
          <cell r="AM229"/>
        </row>
        <row r="230">
          <cell r="G230" t="str">
            <v>3UNCERANS27103</v>
          </cell>
          <cell r="H230" t="str">
            <v>U</v>
          </cell>
          <cell r="I230" t="str">
            <v>N</v>
          </cell>
          <cell r="J230" t="str">
            <v>CERANS</v>
          </cell>
          <cell r="K230">
            <v>27103</v>
          </cell>
          <cell r="M230" t="str">
            <v>3UNCERANS27103251520</v>
          </cell>
          <cell r="N230" t="str">
            <v>3UNCERANS27103251100</v>
          </cell>
          <cell r="O230">
            <v>25</v>
          </cell>
          <cell r="P230">
            <v>3</v>
          </cell>
          <cell r="Q230" t="str">
            <v>R75X</v>
          </cell>
          <cell r="R230">
            <v>1520</v>
          </cell>
          <cell r="S230">
            <v>10900</v>
          </cell>
          <cell r="T230">
            <v>1100</v>
          </cell>
          <cell r="U230">
            <v>1100</v>
          </cell>
          <cell r="V230">
            <v>4000</v>
          </cell>
          <cell r="W230">
            <v>2</v>
          </cell>
          <cell r="X230" t="str">
            <v>CF3</v>
          </cell>
          <cell r="Y230" t="str">
            <v>SL-1</v>
          </cell>
          <cell r="Z230">
            <v>6</v>
          </cell>
          <cell r="AA230" t="str">
            <v>6ｲﾝﾁFWP</v>
          </cell>
          <cell r="AB230">
            <v>1700</v>
          </cell>
          <cell r="AC230">
            <v>6</v>
          </cell>
          <cell r="AD230" t="str">
            <v>6ｲﾝﾁABS</v>
          </cell>
          <cell r="AE230">
            <v>1250</v>
          </cell>
          <cell r="AF230"/>
          <cell r="AG230"/>
          <cell r="AH230"/>
          <cell r="AI230"/>
          <cell r="AJ230"/>
          <cell r="AK230"/>
          <cell r="AL230"/>
          <cell r="AM230"/>
        </row>
        <row r="231">
          <cell r="G231" t="str">
            <v>3UNCERANS27103</v>
          </cell>
          <cell r="H231" t="str">
            <v>U</v>
          </cell>
          <cell r="I231" t="str">
            <v>N</v>
          </cell>
          <cell r="J231" t="str">
            <v>CERANS</v>
          </cell>
          <cell r="K231">
            <v>27103</v>
          </cell>
          <cell r="M231" t="str">
            <v>3UNCERANS27103251520</v>
          </cell>
          <cell r="N231" t="str">
            <v>3UNCERANS27103251100</v>
          </cell>
          <cell r="O231">
            <v>25</v>
          </cell>
          <cell r="P231">
            <v>3</v>
          </cell>
          <cell r="Q231" t="str">
            <v>R75X</v>
          </cell>
          <cell r="R231">
            <v>1520</v>
          </cell>
          <cell r="S231">
            <v>10900</v>
          </cell>
          <cell r="T231">
            <v>1100</v>
          </cell>
          <cell r="U231">
            <v>1100</v>
          </cell>
          <cell r="V231">
            <v>6000</v>
          </cell>
          <cell r="W231">
            <v>2</v>
          </cell>
          <cell r="X231" t="str">
            <v>CF3</v>
          </cell>
          <cell r="Y231" t="str">
            <v>SL-1</v>
          </cell>
          <cell r="Z231">
            <v>6</v>
          </cell>
          <cell r="AA231" t="str">
            <v>6ｲﾝﾁFWP</v>
          </cell>
          <cell r="AB231">
            <v>1700</v>
          </cell>
          <cell r="AC231">
            <v>6</v>
          </cell>
          <cell r="AD231" t="str">
            <v>6ｲﾝﾁABS</v>
          </cell>
          <cell r="AE231">
            <v>1250</v>
          </cell>
          <cell r="AF231"/>
          <cell r="AG231"/>
          <cell r="AH231"/>
          <cell r="AI231"/>
          <cell r="AJ231"/>
          <cell r="AK231"/>
          <cell r="AL231"/>
          <cell r="AM231"/>
        </row>
        <row r="232">
          <cell r="G232" t="str">
            <v>3UYCERANS27111</v>
          </cell>
          <cell r="H232" t="str">
            <v>U</v>
          </cell>
          <cell r="I232" t="str">
            <v>Y</v>
          </cell>
          <cell r="J232" t="str">
            <v>CERANS</v>
          </cell>
          <cell r="K232">
            <v>27111</v>
          </cell>
          <cell r="M232" t="str">
            <v>3UYCERANS27111501345</v>
          </cell>
          <cell r="N232" t="str">
            <v>3UYCERANS2711150375</v>
          </cell>
          <cell r="O232">
            <v>50</v>
          </cell>
          <cell r="P232">
            <v>3</v>
          </cell>
          <cell r="Q232" t="str">
            <v>RS1T</v>
          </cell>
          <cell r="R232">
            <v>1345</v>
          </cell>
          <cell r="S232">
            <v>6800</v>
          </cell>
          <cell r="T232">
            <v>375</v>
          </cell>
          <cell r="U232">
            <v>375</v>
          </cell>
          <cell r="V232">
            <v>260</v>
          </cell>
          <cell r="W232">
            <v>2</v>
          </cell>
          <cell r="X232" t="str">
            <v>CF3</v>
          </cell>
          <cell r="Y232" t="str">
            <v>SL-1</v>
          </cell>
          <cell r="Z232">
            <v>6</v>
          </cell>
          <cell r="AA232" t="str">
            <v>6ｲﾝﾁFWP</v>
          </cell>
          <cell r="AB232">
            <v>1700</v>
          </cell>
          <cell r="AC232">
            <v>3</v>
          </cell>
          <cell r="AD232" t="str">
            <v>6ｲﾝﾁABS</v>
          </cell>
          <cell r="AE232">
            <v>395</v>
          </cell>
          <cell r="AF232"/>
          <cell r="AG232"/>
          <cell r="AH232"/>
          <cell r="AI232"/>
          <cell r="AJ232"/>
          <cell r="AK232"/>
          <cell r="AL232"/>
          <cell r="AM232"/>
        </row>
        <row r="233">
          <cell r="G233" t="str">
            <v>3UNCERAWZS</v>
          </cell>
          <cell r="H233" t="str">
            <v>U</v>
          </cell>
          <cell r="I233" t="str">
            <v>N</v>
          </cell>
          <cell r="J233" t="str">
            <v>CERA</v>
          </cell>
          <cell r="K233" t="str">
            <v>WZS</v>
          </cell>
          <cell r="M233" t="str">
            <v>3UNCERAWZS251030</v>
          </cell>
          <cell r="N233" t="str">
            <v>3UNCERAWZS251000</v>
          </cell>
          <cell r="O233">
            <v>25</v>
          </cell>
          <cell r="P233">
            <v>3</v>
          </cell>
          <cell r="Q233" t="str">
            <v>S28M</v>
          </cell>
          <cell r="R233">
            <v>1030</v>
          </cell>
          <cell r="S233">
            <v>8000</v>
          </cell>
          <cell r="T233">
            <v>1000</v>
          </cell>
          <cell r="U233">
            <v>1000</v>
          </cell>
          <cell r="V233">
            <v>8000</v>
          </cell>
          <cell r="W233">
            <v>2</v>
          </cell>
          <cell r="X233" t="str">
            <v>CF2</v>
          </cell>
          <cell r="Y233" t="str">
            <v>SL-1</v>
          </cell>
          <cell r="Z233">
            <v>6</v>
          </cell>
          <cell r="AA233" t="str">
            <v>6ｲﾝﾁFWP</v>
          </cell>
          <cell r="AB233">
            <v>1450</v>
          </cell>
          <cell r="AC233">
            <v>6</v>
          </cell>
          <cell r="AD233" t="str">
            <v>6ｲﾝﾁFWP</v>
          </cell>
          <cell r="AE233">
            <v>1020</v>
          </cell>
          <cell r="AF233"/>
          <cell r="AG233"/>
          <cell r="AH233"/>
          <cell r="AI233"/>
          <cell r="AJ233"/>
          <cell r="AK233"/>
          <cell r="AL233"/>
          <cell r="AM233"/>
        </row>
        <row r="234">
          <cell r="G234" t="str">
            <v>3UNCERAWZS</v>
          </cell>
          <cell r="H234" t="str">
            <v>U</v>
          </cell>
          <cell r="I234" t="str">
            <v>N</v>
          </cell>
          <cell r="J234" t="str">
            <v>CERA</v>
          </cell>
          <cell r="K234" t="str">
            <v>WZS</v>
          </cell>
          <cell r="M234" t="str">
            <v>3UNCERAWZS251430</v>
          </cell>
          <cell r="N234" t="str">
            <v>3UNCERAWZS251420</v>
          </cell>
          <cell r="O234">
            <v>25</v>
          </cell>
          <cell r="P234">
            <v>3</v>
          </cell>
          <cell r="Q234" t="str">
            <v>S28M</v>
          </cell>
          <cell r="R234">
            <v>1430</v>
          </cell>
          <cell r="S234">
            <v>12500</v>
          </cell>
          <cell r="T234">
            <v>1420</v>
          </cell>
          <cell r="U234">
            <v>1420</v>
          </cell>
          <cell r="V234">
            <v>12400</v>
          </cell>
          <cell r="W234">
            <v>2</v>
          </cell>
          <cell r="X234" t="str">
            <v>CF2</v>
          </cell>
          <cell r="Y234" t="str">
            <v>MK1</v>
          </cell>
          <cell r="Z234">
            <v>6</v>
          </cell>
          <cell r="AA234" t="str">
            <v>6ｲﾝﾁFWP</v>
          </cell>
          <cell r="AB234">
            <v>1500</v>
          </cell>
          <cell r="AC234">
            <v>6</v>
          </cell>
          <cell r="AD234" t="str">
            <v>6ｲﾝﾁFWP</v>
          </cell>
          <cell r="AE234">
            <v>1500</v>
          </cell>
          <cell r="AF234"/>
          <cell r="AG234"/>
          <cell r="AH234"/>
          <cell r="AI234"/>
          <cell r="AJ234"/>
          <cell r="AK234"/>
          <cell r="AL234"/>
          <cell r="AM234"/>
        </row>
        <row r="235">
          <cell r="G235" t="str">
            <v>3TNCERAWZS</v>
          </cell>
          <cell r="H235" t="str">
            <v>T</v>
          </cell>
          <cell r="I235" t="str">
            <v>N</v>
          </cell>
          <cell r="J235" t="str">
            <v>CERA</v>
          </cell>
          <cell r="K235" t="str">
            <v>WZS</v>
          </cell>
          <cell r="M235" t="str">
            <v>3TNCERAWZS251430</v>
          </cell>
          <cell r="N235" t="str">
            <v>3TNCERAWZS251420</v>
          </cell>
          <cell r="O235">
            <v>25</v>
          </cell>
          <cell r="P235">
            <v>3</v>
          </cell>
          <cell r="Q235" t="str">
            <v>S28M</v>
          </cell>
          <cell r="R235">
            <v>1430</v>
          </cell>
          <cell r="S235">
            <v>12500</v>
          </cell>
          <cell r="T235">
            <v>1425</v>
          </cell>
          <cell r="U235">
            <v>1420</v>
          </cell>
          <cell r="V235">
            <v>12400</v>
          </cell>
          <cell r="W235">
            <v>2</v>
          </cell>
          <cell r="X235" t="str">
            <v>CF2</v>
          </cell>
          <cell r="Y235" t="str">
            <v>MK1</v>
          </cell>
          <cell r="Z235">
            <v>6</v>
          </cell>
          <cell r="AA235" t="str">
            <v>6ｲﾝﾁFWP</v>
          </cell>
          <cell r="AB235">
            <v>1500</v>
          </cell>
          <cell r="AC235">
            <v>6</v>
          </cell>
          <cell r="AD235" t="str">
            <v>6ｲﾝﾁFWP</v>
          </cell>
          <cell r="AE235">
            <v>1500</v>
          </cell>
          <cell r="AF235"/>
          <cell r="AG235"/>
          <cell r="AH235"/>
          <cell r="AI235"/>
          <cell r="AJ235"/>
          <cell r="AK235"/>
          <cell r="AL235"/>
          <cell r="AM235"/>
        </row>
        <row r="236">
          <cell r="G236" t="str">
            <v>3UNCERAWZS</v>
          </cell>
          <cell r="H236" t="str">
            <v>U</v>
          </cell>
          <cell r="I236" t="str">
            <v>N</v>
          </cell>
          <cell r="J236" t="str">
            <v>CERA</v>
          </cell>
          <cell r="K236" t="str">
            <v>WZS</v>
          </cell>
          <cell r="M236" t="str">
            <v>3UNCERAWZS251160</v>
          </cell>
          <cell r="N236" t="str">
            <v>3UNCERAWZS251150</v>
          </cell>
          <cell r="O236">
            <v>25</v>
          </cell>
          <cell r="P236">
            <v>3</v>
          </cell>
          <cell r="Q236" t="str">
            <v>S28M</v>
          </cell>
          <cell r="R236">
            <v>1160</v>
          </cell>
          <cell r="S236">
            <v>12500</v>
          </cell>
          <cell r="T236">
            <v>1150</v>
          </cell>
          <cell r="U236">
            <v>1150</v>
          </cell>
          <cell r="V236">
            <v>12400</v>
          </cell>
          <cell r="W236">
            <v>2</v>
          </cell>
          <cell r="X236" t="str">
            <v>CF2</v>
          </cell>
          <cell r="Y236" t="str">
            <v>MK1</v>
          </cell>
          <cell r="Z236">
            <v>6</v>
          </cell>
          <cell r="AA236" t="str">
            <v>6ｲﾝﾁFWP</v>
          </cell>
          <cell r="AB236">
            <v>1170</v>
          </cell>
          <cell r="AC236">
            <v>6</v>
          </cell>
          <cell r="AD236" t="str">
            <v>6ｲﾝﾁFWP</v>
          </cell>
          <cell r="AE236">
            <v>1170</v>
          </cell>
          <cell r="AF236"/>
          <cell r="AG236"/>
          <cell r="AH236"/>
          <cell r="AI236"/>
          <cell r="AJ236"/>
          <cell r="AK236"/>
          <cell r="AL236"/>
          <cell r="AM236"/>
        </row>
        <row r="237">
          <cell r="G237" t="str">
            <v>3TNCERAWZS</v>
          </cell>
          <cell r="H237" t="str">
            <v>T</v>
          </cell>
          <cell r="I237" t="str">
            <v>N</v>
          </cell>
          <cell r="J237" t="str">
            <v>CERA</v>
          </cell>
          <cell r="K237" t="str">
            <v>WZS</v>
          </cell>
          <cell r="M237" t="str">
            <v>3TNCERAWZS251158</v>
          </cell>
          <cell r="N237" t="str">
            <v>3TNCERAWZS251150</v>
          </cell>
          <cell r="O237">
            <v>25</v>
          </cell>
          <cell r="P237">
            <v>3</v>
          </cell>
          <cell r="Q237" t="str">
            <v>S28M</v>
          </cell>
          <cell r="R237">
            <v>1158</v>
          </cell>
          <cell r="S237">
            <v>12500</v>
          </cell>
          <cell r="T237">
            <v>1155</v>
          </cell>
          <cell r="U237">
            <v>1150</v>
          </cell>
          <cell r="V237">
            <v>4200</v>
          </cell>
          <cell r="W237">
            <v>2</v>
          </cell>
          <cell r="X237" t="str">
            <v>CF2</v>
          </cell>
          <cell r="Y237" t="str">
            <v>MK1</v>
          </cell>
          <cell r="Z237">
            <v>6</v>
          </cell>
          <cell r="AA237" t="str">
            <v>6ｲﾝﾁFWP</v>
          </cell>
          <cell r="AB237">
            <v>1170</v>
          </cell>
          <cell r="AC237">
            <v>6</v>
          </cell>
          <cell r="AD237" t="str">
            <v>6ｲﾝﾁFWP</v>
          </cell>
          <cell r="AE237">
            <v>1170</v>
          </cell>
          <cell r="AF237"/>
          <cell r="AG237"/>
          <cell r="AH237"/>
          <cell r="AI237"/>
          <cell r="AJ237"/>
          <cell r="AK237"/>
          <cell r="AL237"/>
          <cell r="AM237"/>
        </row>
        <row r="238">
          <cell r="G238" t="str">
            <v>3UNCERABX8A14</v>
          </cell>
          <cell r="H238" t="str">
            <v>U</v>
          </cell>
          <cell r="I238" t="str">
            <v>N</v>
          </cell>
          <cell r="J238" t="str">
            <v>CERA</v>
          </cell>
          <cell r="K238" t="str">
            <v>BX8A14</v>
          </cell>
          <cell r="M238" t="str">
            <v>3UNCERABX8A14751310</v>
          </cell>
          <cell r="N238" t="str">
            <v>3UNCERABX8A14751300</v>
          </cell>
          <cell r="O238">
            <v>75</v>
          </cell>
          <cell r="P238">
            <v>3</v>
          </cell>
          <cell r="Q238" t="str">
            <v>S28</v>
          </cell>
          <cell r="R238">
            <v>1310</v>
          </cell>
          <cell r="S238">
            <v>4500</v>
          </cell>
          <cell r="T238">
            <v>1300</v>
          </cell>
          <cell r="U238">
            <v>1300</v>
          </cell>
          <cell r="V238">
            <v>4300</v>
          </cell>
          <cell r="W238">
            <v>2</v>
          </cell>
          <cell r="X238" t="str">
            <v>CF2</v>
          </cell>
          <cell r="Y238" t="str">
            <v>直出し</v>
          </cell>
          <cell r="Z238">
            <v>6</v>
          </cell>
          <cell r="AA238" t="str">
            <v>6ｲﾝﾁFWP</v>
          </cell>
          <cell r="AB238">
            <v>1320</v>
          </cell>
          <cell r="AC238"/>
          <cell r="AD238"/>
          <cell r="AE238"/>
          <cell r="AF238"/>
          <cell r="AG238"/>
          <cell r="AH238"/>
          <cell r="AI238"/>
          <cell r="AJ238"/>
          <cell r="AK238"/>
          <cell r="AL238">
            <v>6</v>
          </cell>
          <cell r="AM238"/>
        </row>
        <row r="239">
          <cell r="G239" t="str">
            <v>3UNCERABX8A14</v>
          </cell>
          <cell r="H239" t="str">
            <v>U</v>
          </cell>
          <cell r="I239" t="str">
            <v>N</v>
          </cell>
          <cell r="J239" t="str">
            <v>CERA</v>
          </cell>
          <cell r="K239" t="str">
            <v>BX8A14</v>
          </cell>
          <cell r="M239" t="str">
            <v>3UNCERABX8A14501240</v>
          </cell>
          <cell r="N239" t="str">
            <v>3UNCERABX8A1450600</v>
          </cell>
          <cell r="O239">
            <v>50</v>
          </cell>
          <cell r="P239">
            <v>3</v>
          </cell>
          <cell r="Q239" t="str">
            <v>S28M</v>
          </cell>
          <cell r="R239">
            <v>1240</v>
          </cell>
          <cell r="S239">
            <v>4200</v>
          </cell>
          <cell r="T239">
            <v>600</v>
          </cell>
          <cell r="U239">
            <v>600</v>
          </cell>
          <cell r="V239">
            <v>2000</v>
          </cell>
          <cell r="W239">
            <v>2</v>
          </cell>
          <cell r="X239" t="str">
            <v>CF2</v>
          </cell>
          <cell r="Y239" t="str">
            <v>SL-1</v>
          </cell>
          <cell r="Z239">
            <v>6</v>
          </cell>
          <cell r="AA239" t="str">
            <v>6ｲﾝﾁFWP</v>
          </cell>
          <cell r="AB239"/>
          <cell r="AC239"/>
          <cell r="AD239"/>
          <cell r="AE239"/>
          <cell r="AF239"/>
          <cell r="AG239"/>
          <cell r="AH239"/>
          <cell r="AI239"/>
          <cell r="AJ239"/>
          <cell r="AK239"/>
          <cell r="AL239">
            <v>6</v>
          </cell>
          <cell r="AM239"/>
        </row>
        <row r="240">
          <cell r="G240" t="str">
            <v>3UNCERAJWZ(B)</v>
          </cell>
          <cell r="H240" t="str">
            <v>U</v>
          </cell>
          <cell r="I240" t="str">
            <v>N</v>
          </cell>
          <cell r="J240" t="str">
            <v>CERA</v>
          </cell>
          <cell r="K240" t="str">
            <v>JWZ(B)</v>
          </cell>
          <cell r="M240" t="str">
            <v>3UNCERAJWZ(B)251270</v>
          </cell>
          <cell r="N240" t="str">
            <v>3UNCERAJWZ(B)251120</v>
          </cell>
          <cell r="O240">
            <v>25</v>
          </cell>
          <cell r="P240">
            <v>3</v>
          </cell>
          <cell r="Q240" t="str">
            <v>QZ54</v>
          </cell>
          <cell r="R240">
            <v>1270</v>
          </cell>
          <cell r="S240">
            <v>6000</v>
          </cell>
          <cell r="T240">
            <v>1120</v>
          </cell>
          <cell r="U240">
            <v>1120</v>
          </cell>
          <cell r="V240">
            <v>2000</v>
          </cell>
          <cell r="W240">
            <v>2</v>
          </cell>
          <cell r="X240" t="str">
            <v>CF2</v>
          </cell>
          <cell r="Y240" t="str">
            <v>SL-1</v>
          </cell>
          <cell r="Z240">
            <v>6</v>
          </cell>
          <cell r="AA240" t="str">
            <v>6ｲﾝﾁFWP</v>
          </cell>
          <cell r="AB240">
            <v>1450</v>
          </cell>
          <cell r="AC240">
            <v>6</v>
          </cell>
          <cell r="AD240" t="str">
            <v>6ｲﾝﾁFWP</v>
          </cell>
          <cell r="AE240">
            <v>1170</v>
          </cell>
          <cell r="AF240"/>
          <cell r="AG240"/>
          <cell r="AH240"/>
          <cell r="AI240"/>
          <cell r="AJ240"/>
          <cell r="AK240"/>
          <cell r="AL240"/>
          <cell r="AM240"/>
        </row>
        <row r="241">
          <cell r="G241" t="str">
            <v>3UNCERABKE24</v>
          </cell>
          <cell r="H241" t="str">
            <v>U</v>
          </cell>
          <cell r="I241" t="str">
            <v>N</v>
          </cell>
          <cell r="J241" t="str">
            <v>CERA</v>
          </cell>
          <cell r="K241" t="str">
            <v>BKE24</v>
          </cell>
          <cell r="M241" t="str">
            <v>3UNCERABKE24381335</v>
          </cell>
          <cell r="N241" t="str">
            <v>3UNCERABKE24381330</v>
          </cell>
          <cell r="O241">
            <v>38</v>
          </cell>
          <cell r="P241">
            <v>3</v>
          </cell>
          <cell r="Q241" t="str">
            <v>R75</v>
          </cell>
          <cell r="R241">
            <v>1335</v>
          </cell>
          <cell r="S241">
            <v>6100</v>
          </cell>
          <cell r="T241">
            <v>1330</v>
          </cell>
          <cell r="U241">
            <v>1330</v>
          </cell>
          <cell r="V241">
            <v>6000</v>
          </cell>
          <cell r="W241">
            <v>2</v>
          </cell>
          <cell r="X241" t="str">
            <v>CF2</v>
          </cell>
          <cell r="Y241" t="str">
            <v>直出し</v>
          </cell>
          <cell r="Z241">
            <v>6</v>
          </cell>
          <cell r="AA241" t="str">
            <v>6ｲﾝﾁFWP</v>
          </cell>
          <cell r="AB241">
            <v>1450</v>
          </cell>
          <cell r="AC241"/>
          <cell r="AD241"/>
          <cell r="AE241"/>
          <cell r="AF241"/>
          <cell r="AG241"/>
          <cell r="AH241"/>
          <cell r="AI241"/>
          <cell r="AJ241"/>
          <cell r="AK241"/>
          <cell r="AL241"/>
          <cell r="AM241"/>
        </row>
        <row r="242">
          <cell r="G242" t="str">
            <v>3UNCERABX8A40</v>
          </cell>
          <cell r="H242" t="str">
            <v>U</v>
          </cell>
          <cell r="I242" t="str">
            <v>N</v>
          </cell>
          <cell r="J242" t="str">
            <v>CERA</v>
          </cell>
          <cell r="K242" t="str">
            <v>BX8A40</v>
          </cell>
          <cell r="M242" t="str">
            <v>3UNCERABX8A40751100</v>
          </cell>
          <cell r="N242" t="str">
            <v>3UNCERABX8A40751090</v>
          </cell>
          <cell r="O242">
            <v>75</v>
          </cell>
          <cell r="P242">
            <v>3</v>
          </cell>
          <cell r="Q242" t="str">
            <v>XD5AD2</v>
          </cell>
          <cell r="R242">
            <v>1100</v>
          </cell>
          <cell r="S242">
            <v>4200</v>
          </cell>
          <cell r="T242">
            <v>1090</v>
          </cell>
          <cell r="U242">
            <v>1090</v>
          </cell>
          <cell r="V242">
            <v>4000</v>
          </cell>
          <cell r="W242">
            <v>2</v>
          </cell>
          <cell r="X242" t="str">
            <v>CF2</v>
          </cell>
          <cell r="Y242" t="str">
            <v>直出し</v>
          </cell>
          <cell r="Z242">
            <v>6</v>
          </cell>
          <cell r="AA242" t="str">
            <v>6ｲﾝﾁFWP</v>
          </cell>
          <cell r="AB242">
            <v>1170</v>
          </cell>
          <cell r="AC242"/>
          <cell r="AD242"/>
          <cell r="AE242"/>
          <cell r="AF242"/>
          <cell r="AG242"/>
          <cell r="AH242"/>
          <cell r="AI242"/>
          <cell r="AJ242"/>
          <cell r="AK242"/>
          <cell r="AL242">
            <v>6</v>
          </cell>
          <cell r="AM242"/>
        </row>
        <row r="243">
          <cell r="G243" t="str">
            <v>3UNCERABX8A33</v>
          </cell>
          <cell r="H243" t="str">
            <v>U</v>
          </cell>
          <cell r="I243" t="str">
            <v>N</v>
          </cell>
          <cell r="J243" t="str">
            <v>CERA</v>
          </cell>
          <cell r="K243" t="str">
            <v>BX8A33</v>
          </cell>
          <cell r="M243" t="str">
            <v>3UNCERABX8A33751245</v>
          </cell>
          <cell r="N243" t="str">
            <v>3UNCERABX8A33751240</v>
          </cell>
          <cell r="O243">
            <v>75</v>
          </cell>
          <cell r="P243">
            <v>3</v>
          </cell>
          <cell r="Q243" t="str">
            <v>RM1Z</v>
          </cell>
          <cell r="R243">
            <v>1245</v>
          </cell>
          <cell r="S243">
            <v>4200</v>
          </cell>
          <cell r="T243">
            <v>1240</v>
          </cell>
          <cell r="U243">
            <v>1240</v>
          </cell>
          <cell r="V243">
            <v>2000</v>
          </cell>
          <cell r="W243">
            <v>2</v>
          </cell>
          <cell r="X243" t="str">
            <v>CF2</v>
          </cell>
          <cell r="Y243" t="str">
            <v>直出し</v>
          </cell>
          <cell r="Z243">
            <v>6</v>
          </cell>
          <cell r="AA243" t="str">
            <v>6ｲﾝﾁFWP</v>
          </cell>
          <cell r="AB243">
            <v>1450</v>
          </cell>
          <cell r="AC243"/>
          <cell r="AD243"/>
          <cell r="AE243"/>
          <cell r="AF243"/>
          <cell r="AG243"/>
          <cell r="AH243"/>
          <cell r="AI243"/>
          <cell r="AJ243"/>
          <cell r="AK243"/>
          <cell r="AL243">
            <v>6</v>
          </cell>
          <cell r="AM243"/>
        </row>
        <row r="244">
          <cell r="G244" t="str">
            <v>3UNCERABX8A33</v>
          </cell>
          <cell r="H244" t="str">
            <v>U</v>
          </cell>
          <cell r="I244" t="str">
            <v>N</v>
          </cell>
          <cell r="J244" t="str">
            <v>CERA</v>
          </cell>
          <cell r="K244" t="str">
            <v>BX8A33</v>
          </cell>
          <cell r="M244" t="str">
            <v>3UNCERABX8A33751335</v>
          </cell>
          <cell r="N244" t="str">
            <v>3UNCERABX8A33751330</v>
          </cell>
          <cell r="O244">
            <v>75</v>
          </cell>
          <cell r="P244">
            <v>3</v>
          </cell>
          <cell r="Q244" t="str">
            <v>RM1Z</v>
          </cell>
          <cell r="R244">
            <v>1335</v>
          </cell>
          <cell r="S244">
            <v>4200</v>
          </cell>
          <cell r="T244">
            <v>1330</v>
          </cell>
          <cell r="U244">
            <v>1330</v>
          </cell>
          <cell r="V244">
            <v>2000</v>
          </cell>
          <cell r="W244">
            <v>2</v>
          </cell>
          <cell r="X244" t="str">
            <v>CF2</v>
          </cell>
          <cell r="Y244" t="str">
            <v>直出し</v>
          </cell>
          <cell r="Z244">
            <v>6</v>
          </cell>
          <cell r="AA244" t="str">
            <v>6ｲﾝﾁFWP</v>
          </cell>
          <cell r="AB244">
            <v>1450</v>
          </cell>
          <cell r="AC244"/>
          <cell r="AD244"/>
          <cell r="AE244"/>
          <cell r="AF244"/>
          <cell r="AG244"/>
          <cell r="AH244"/>
          <cell r="AI244"/>
          <cell r="AJ244"/>
          <cell r="AK244"/>
          <cell r="AL244">
            <v>6</v>
          </cell>
          <cell r="AM244"/>
        </row>
        <row r="245">
          <cell r="G245" t="str">
            <v>3UNCERABX8A07</v>
          </cell>
          <cell r="H245" t="str">
            <v>U</v>
          </cell>
          <cell r="I245" t="str">
            <v>N</v>
          </cell>
          <cell r="J245" t="str">
            <v>CERA</v>
          </cell>
          <cell r="K245" t="str">
            <v>BX8A07</v>
          </cell>
          <cell r="M245" t="str">
            <v>3UNCERABX8A07751100</v>
          </cell>
          <cell r="N245" t="str">
            <v>3UNCERABX8A07751090</v>
          </cell>
          <cell r="O245">
            <v>75</v>
          </cell>
          <cell r="P245">
            <v>3</v>
          </cell>
          <cell r="Q245" t="str">
            <v>R41</v>
          </cell>
          <cell r="R245">
            <v>1100</v>
          </cell>
          <cell r="S245">
            <v>4400</v>
          </cell>
          <cell r="T245">
            <v>1090</v>
          </cell>
          <cell r="U245">
            <v>1090</v>
          </cell>
          <cell r="V245">
            <v>2000</v>
          </cell>
          <cell r="W245">
            <v>2</v>
          </cell>
          <cell r="X245" t="str">
            <v>CF2</v>
          </cell>
          <cell r="Y245" t="str">
            <v>直出し</v>
          </cell>
          <cell r="Z245">
            <v>6</v>
          </cell>
          <cell r="AA245" t="str">
            <v>6ｲﾝﾁFWP</v>
          </cell>
          <cell r="AB245">
            <v>1450</v>
          </cell>
          <cell r="AC245"/>
          <cell r="AD245"/>
          <cell r="AE245"/>
          <cell r="AF245"/>
          <cell r="AG245"/>
          <cell r="AH245"/>
          <cell r="AI245"/>
          <cell r="AJ245"/>
          <cell r="AK245"/>
          <cell r="AL245">
            <v>6</v>
          </cell>
          <cell r="AM245"/>
        </row>
        <row r="246">
          <cell r="G246" t="str">
            <v>3UNCERATKA0707</v>
          </cell>
          <cell r="H246" t="str">
            <v>U</v>
          </cell>
          <cell r="I246" t="str">
            <v>N</v>
          </cell>
          <cell r="J246" t="str">
            <v>CERA</v>
          </cell>
          <cell r="K246" t="str">
            <v>TKA0707</v>
          </cell>
          <cell r="M246" t="str">
            <v>3UNCERATKA0707751100</v>
          </cell>
          <cell r="N246" t="str">
            <v>3UNCERATKA0707751090</v>
          </cell>
          <cell r="O246">
            <v>75</v>
          </cell>
          <cell r="P246">
            <v>3</v>
          </cell>
          <cell r="Q246" t="str">
            <v>R41</v>
          </cell>
          <cell r="R246">
            <v>1100</v>
          </cell>
          <cell r="S246">
            <v>4400</v>
          </cell>
          <cell r="T246">
            <v>1090</v>
          </cell>
          <cell r="U246">
            <v>1090</v>
          </cell>
          <cell r="V246">
            <v>2000</v>
          </cell>
          <cell r="W246">
            <v>2</v>
          </cell>
          <cell r="X246" t="str">
            <v>CF2</v>
          </cell>
          <cell r="Y246" t="str">
            <v>直出し</v>
          </cell>
          <cell r="Z246">
            <v>6</v>
          </cell>
          <cell r="AA246" t="str">
            <v>6ｲﾝﾁFWP</v>
          </cell>
          <cell r="AB246">
            <v>1450</v>
          </cell>
          <cell r="AC246"/>
          <cell r="AD246"/>
          <cell r="AE246"/>
          <cell r="AF246"/>
          <cell r="AG246"/>
          <cell r="AH246"/>
          <cell r="AI246"/>
          <cell r="AJ246"/>
          <cell r="AK246"/>
          <cell r="AL246"/>
          <cell r="AM246"/>
        </row>
        <row r="247">
          <cell r="G247" t="str">
            <v>3UNCERAJMDAB</v>
          </cell>
          <cell r="H247" t="str">
            <v>U</v>
          </cell>
          <cell r="I247" t="str">
            <v>N</v>
          </cell>
          <cell r="J247" t="str">
            <v>CERA</v>
          </cell>
          <cell r="K247" t="str">
            <v>JMDAB</v>
          </cell>
          <cell r="M247" t="str">
            <v>3UNCERAJMDAB381550</v>
          </cell>
          <cell r="N247" t="str">
            <v>3UNCERAJMDAB38750</v>
          </cell>
          <cell r="O247">
            <v>38</v>
          </cell>
          <cell r="P247">
            <v>3</v>
          </cell>
          <cell r="Q247" t="str">
            <v>QZ54</v>
          </cell>
          <cell r="R247">
            <v>1550</v>
          </cell>
          <cell r="S247">
            <v>12200</v>
          </cell>
          <cell r="T247">
            <v>750</v>
          </cell>
          <cell r="U247">
            <v>750</v>
          </cell>
          <cell r="V247">
            <v>6000</v>
          </cell>
          <cell r="W247">
            <v>2</v>
          </cell>
          <cell r="X247" t="str">
            <v>CF2</v>
          </cell>
          <cell r="Y247" t="str">
            <v>SL-1</v>
          </cell>
          <cell r="Z247">
            <v>6</v>
          </cell>
          <cell r="AA247" t="str">
            <v>6ｲﾝﾁFWP</v>
          </cell>
          <cell r="AB247">
            <v>1700</v>
          </cell>
          <cell r="AC247">
            <v>6</v>
          </cell>
          <cell r="AD247" t="str">
            <v>6ｲﾝﾁFWP</v>
          </cell>
          <cell r="AE247">
            <v>930</v>
          </cell>
          <cell r="AF247"/>
          <cell r="AG247"/>
          <cell r="AH247"/>
          <cell r="AI247"/>
          <cell r="AJ247"/>
          <cell r="AK247"/>
          <cell r="AL247"/>
          <cell r="AM247"/>
        </row>
        <row r="248">
          <cell r="G248" t="str">
            <v>3UNCERAJWZB</v>
          </cell>
          <cell r="H248" t="str">
            <v>U</v>
          </cell>
          <cell r="I248" t="str">
            <v>N</v>
          </cell>
          <cell r="J248" t="str">
            <v>CERA</v>
          </cell>
          <cell r="K248" t="str">
            <v>JWZB</v>
          </cell>
          <cell r="M248" t="str">
            <v>3UNCERAJWZB381595</v>
          </cell>
          <cell r="N248" t="str">
            <v>3UNCERAJWZB381585</v>
          </cell>
          <cell r="O248">
            <v>38</v>
          </cell>
          <cell r="P248">
            <v>3</v>
          </cell>
          <cell r="Q248" t="str">
            <v>QZ54</v>
          </cell>
          <cell r="R248">
            <v>1595</v>
          </cell>
          <cell r="S248">
            <v>6200</v>
          </cell>
          <cell r="T248">
            <v>1585</v>
          </cell>
          <cell r="U248">
            <v>1585</v>
          </cell>
          <cell r="V248">
            <v>6000</v>
          </cell>
          <cell r="W248">
            <v>2</v>
          </cell>
          <cell r="X248" t="str">
            <v>CF2</v>
          </cell>
          <cell r="Y248" t="str">
            <v>直出し</v>
          </cell>
          <cell r="Z248">
            <v>6</v>
          </cell>
          <cell r="AA248" t="str">
            <v>6ｲﾝﾁFWP</v>
          </cell>
          <cell r="AB248">
            <v>1700</v>
          </cell>
          <cell r="AC248"/>
          <cell r="AD248"/>
          <cell r="AE248"/>
          <cell r="AF248"/>
          <cell r="AG248"/>
          <cell r="AH248"/>
          <cell r="AI248"/>
          <cell r="AJ248"/>
          <cell r="AK248"/>
          <cell r="AL248"/>
          <cell r="AM248"/>
        </row>
        <row r="249">
          <cell r="G249" t="str">
            <v>3UNCERAJWZB</v>
          </cell>
          <cell r="H249" t="str">
            <v>U</v>
          </cell>
          <cell r="I249" t="str">
            <v>N</v>
          </cell>
          <cell r="J249" t="str">
            <v>CERA</v>
          </cell>
          <cell r="K249" t="str">
            <v>JWZB</v>
          </cell>
          <cell r="M249" t="str">
            <v>3UNCERAJWZB501595</v>
          </cell>
          <cell r="N249" t="str">
            <v>3UNCERAJWZB501585</v>
          </cell>
          <cell r="O249">
            <v>50</v>
          </cell>
          <cell r="P249">
            <v>3</v>
          </cell>
          <cell r="Q249" t="str">
            <v>QZ54</v>
          </cell>
          <cell r="R249">
            <v>1595</v>
          </cell>
          <cell r="S249">
            <v>6000</v>
          </cell>
          <cell r="T249">
            <v>1585</v>
          </cell>
          <cell r="U249">
            <v>1585</v>
          </cell>
          <cell r="V249">
            <v>5800</v>
          </cell>
          <cell r="W249">
            <v>2</v>
          </cell>
          <cell r="X249" t="str">
            <v>CF2</v>
          </cell>
          <cell r="Y249" t="str">
            <v>直出し</v>
          </cell>
          <cell r="Z249">
            <v>6</v>
          </cell>
          <cell r="AA249" t="str">
            <v>6ｲﾝﾁFWP</v>
          </cell>
          <cell r="AB249">
            <v>1700</v>
          </cell>
          <cell r="AC249"/>
          <cell r="AD249"/>
          <cell r="AE249"/>
          <cell r="AF249"/>
          <cell r="AG249"/>
          <cell r="AH249"/>
          <cell r="AI249"/>
          <cell r="AJ249"/>
          <cell r="AK249"/>
          <cell r="AL249"/>
          <cell r="AM249"/>
        </row>
        <row r="250">
          <cell r="G250" t="str">
            <v>3UNCERAMDB8K14</v>
          </cell>
          <cell r="H250" t="str">
            <v>U</v>
          </cell>
          <cell r="I250" t="str">
            <v>N</v>
          </cell>
          <cell r="J250" t="str">
            <v>CERA</v>
          </cell>
          <cell r="K250" t="str">
            <v>MDB8K14</v>
          </cell>
          <cell r="M250" t="str">
            <v>3UNCERAMDB8K14751060</v>
          </cell>
          <cell r="N250" t="str">
            <v>3UNCERAMDB8K14751050</v>
          </cell>
          <cell r="O250">
            <v>75</v>
          </cell>
          <cell r="P250">
            <v>3</v>
          </cell>
          <cell r="Q250" t="str">
            <v>S28</v>
          </cell>
          <cell r="R250">
            <v>1060</v>
          </cell>
          <cell r="S250">
            <v>4300</v>
          </cell>
          <cell r="T250">
            <v>1050</v>
          </cell>
          <cell r="U250">
            <v>1050</v>
          </cell>
          <cell r="V250">
            <v>4000</v>
          </cell>
          <cell r="W250">
            <v>2</v>
          </cell>
          <cell r="X250" t="str">
            <v>CF2</v>
          </cell>
          <cell r="Y250" t="str">
            <v>MK1</v>
          </cell>
          <cell r="Z250">
            <v>6</v>
          </cell>
          <cell r="AA250" t="str">
            <v>6ｲﾝﾁFWP</v>
          </cell>
          <cell r="AB250">
            <v>1450</v>
          </cell>
          <cell r="AC250">
            <v>6</v>
          </cell>
          <cell r="AD250" t="str">
            <v>6ｲﾝﾁFWP</v>
          </cell>
          <cell r="AE250">
            <v>1250</v>
          </cell>
          <cell r="AF250"/>
          <cell r="AG250"/>
          <cell r="AH250"/>
          <cell r="AI250"/>
          <cell r="AJ250"/>
          <cell r="AK250"/>
          <cell r="AL250">
            <v>6</v>
          </cell>
          <cell r="AM250" t="str">
            <v>BX8K加工→エージング→MDA加工</v>
          </cell>
        </row>
        <row r="251">
          <cell r="G251" t="str">
            <v>3UNCERAJMDB8KB</v>
          </cell>
          <cell r="H251" t="str">
            <v>U</v>
          </cell>
          <cell r="I251" t="str">
            <v>N</v>
          </cell>
          <cell r="J251" t="str">
            <v>CERA</v>
          </cell>
          <cell r="K251" t="str">
            <v>JMDB8KB</v>
          </cell>
          <cell r="M251" t="str">
            <v>3UNCERAJMDB8KB751060</v>
          </cell>
          <cell r="N251" t="str">
            <v>3UNCERAJMDB8KB751050</v>
          </cell>
          <cell r="O251">
            <v>75</v>
          </cell>
          <cell r="P251">
            <v>3</v>
          </cell>
          <cell r="Q251" t="str">
            <v>QZ54</v>
          </cell>
          <cell r="R251">
            <v>1060</v>
          </cell>
          <cell r="S251">
            <v>4300</v>
          </cell>
          <cell r="T251">
            <v>1050</v>
          </cell>
          <cell r="U251">
            <v>1050</v>
          </cell>
          <cell r="V251">
            <v>4000</v>
          </cell>
          <cell r="W251">
            <v>2</v>
          </cell>
          <cell r="X251" t="str">
            <v>CF2</v>
          </cell>
          <cell r="Y251" t="str">
            <v>MK1</v>
          </cell>
          <cell r="Z251">
            <v>6</v>
          </cell>
          <cell r="AA251" t="str">
            <v>6ｲﾝﾁFWP</v>
          </cell>
          <cell r="AB251">
            <v>1450</v>
          </cell>
          <cell r="AC251">
            <v>6</v>
          </cell>
          <cell r="AD251" t="str">
            <v>6ｲﾝﾁFWP</v>
          </cell>
          <cell r="AE251">
            <v>1250</v>
          </cell>
          <cell r="AF251"/>
          <cell r="AG251"/>
          <cell r="AH251"/>
          <cell r="AI251"/>
          <cell r="AJ251"/>
          <cell r="AK251"/>
          <cell r="AL251">
            <v>6</v>
          </cell>
          <cell r="AM251" t="str">
            <v>BX8K加工→エージング→MDA加工</v>
          </cell>
        </row>
        <row r="252">
          <cell r="G252" t="str">
            <v>3UNCERATKA0709</v>
          </cell>
          <cell r="H252" t="str">
            <v>U</v>
          </cell>
          <cell r="I252" t="str">
            <v>N</v>
          </cell>
          <cell r="J252" t="str">
            <v>CERA</v>
          </cell>
          <cell r="K252" t="str">
            <v>TKA0709</v>
          </cell>
          <cell r="M252" t="str">
            <v>3UNCERATKA0709751200</v>
          </cell>
          <cell r="N252" t="str">
            <v>3UNCERATKA0709751190</v>
          </cell>
          <cell r="O252">
            <v>75</v>
          </cell>
          <cell r="P252">
            <v>3</v>
          </cell>
          <cell r="Q252" t="str">
            <v>XD500P</v>
          </cell>
          <cell r="R252">
            <v>1200</v>
          </cell>
          <cell r="S252">
            <v>4500</v>
          </cell>
          <cell r="T252">
            <v>1190</v>
          </cell>
          <cell r="U252">
            <v>1190</v>
          </cell>
          <cell r="V252">
            <v>4000</v>
          </cell>
          <cell r="W252">
            <v>2</v>
          </cell>
          <cell r="X252" t="str">
            <v>CF2</v>
          </cell>
          <cell r="Y252" t="str">
            <v>直出し</v>
          </cell>
          <cell r="Z252">
            <v>6</v>
          </cell>
          <cell r="AA252" t="str">
            <v>6ｲﾝﾁFWP</v>
          </cell>
          <cell r="AB252">
            <v>1250</v>
          </cell>
          <cell r="AC252"/>
          <cell r="AD252"/>
          <cell r="AE252"/>
          <cell r="AF252"/>
          <cell r="AG252"/>
          <cell r="AH252"/>
          <cell r="AI252"/>
          <cell r="AJ252"/>
          <cell r="AK252"/>
          <cell r="AL252"/>
          <cell r="AM252"/>
        </row>
        <row r="253">
          <cell r="G253" t="str">
            <v>3UNCERATKA07X</v>
          </cell>
          <cell r="H253" t="str">
            <v>U</v>
          </cell>
          <cell r="I253" t="str">
            <v>N</v>
          </cell>
          <cell r="J253" t="str">
            <v>CERA</v>
          </cell>
          <cell r="K253" t="str">
            <v>TKA07X</v>
          </cell>
          <cell r="M253" t="str">
            <v>3UNCERATKA07X501110</v>
          </cell>
          <cell r="N253" t="str">
            <v>3UNCERATKA07X501100</v>
          </cell>
          <cell r="O253">
            <v>50</v>
          </cell>
          <cell r="P253">
            <v>3</v>
          </cell>
          <cell r="Q253" t="str">
            <v>XD500P</v>
          </cell>
          <cell r="R253">
            <v>1110</v>
          </cell>
          <cell r="S253">
            <v>4200</v>
          </cell>
          <cell r="T253">
            <v>1100</v>
          </cell>
          <cell r="U253">
            <v>1100</v>
          </cell>
          <cell r="V253">
            <v>4000</v>
          </cell>
          <cell r="W253">
            <v>2</v>
          </cell>
          <cell r="X253" t="str">
            <v>CF2</v>
          </cell>
          <cell r="Y253" t="str">
            <v>直出し</v>
          </cell>
          <cell r="Z253">
            <v>6</v>
          </cell>
          <cell r="AA253" t="str">
            <v>6ｲﾝﾁFWP</v>
          </cell>
          <cell r="AB253">
            <v>1170</v>
          </cell>
          <cell r="AC253"/>
          <cell r="AD253"/>
          <cell r="AE253"/>
          <cell r="AF253"/>
          <cell r="AG253"/>
          <cell r="AH253"/>
          <cell r="AI253"/>
          <cell r="AJ253"/>
          <cell r="AK253"/>
          <cell r="AL253"/>
          <cell r="AM253"/>
        </row>
        <row r="254">
          <cell r="G254" t="str">
            <v>330UNCERABX8AX</v>
          </cell>
          <cell r="H254" t="str">
            <v>U</v>
          </cell>
          <cell r="I254" t="str">
            <v>N</v>
          </cell>
          <cell r="J254" t="str">
            <v>CERA</v>
          </cell>
          <cell r="K254" t="str">
            <v>BX8AX</v>
          </cell>
          <cell r="M254" t="str">
            <v>330UNCERABX8AX751110</v>
          </cell>
          <cell r="N254" t="str">
            <v>330UNCERABX8AX751100</v>
          </cell>
          <cell r="O254">
            <v>75</v>
          </cell>
          <cell r="P254">
            <v>330</v>
          </cell>
          <cell r="Q254" t="str">
            <v>XD500P</v>
          </cell>
          <cell r="R254">
            <v>1110</v>
          </cell>
          <cell r="S254">
            <v>4200</v>
          </cell>
          <cell r="T254">
            <v>1100</v>
          </cell>
          <cell r="U254">
            <v>1100</v>
          </cell>
          <cell r="V254">
            <v>4000</v>
          </cell>
          <cell r="W254">
            <v>2</v>
          </cell>
          <cell r="X254" t="str">
            <v>CF2</v>
          </cell>
          <cell r="Y254" t="str">
            <v>直出し</v>
          </cell>
          <cell r="Z254">
            <v>6</v>
          </cell>
          <cell r="AA254" t="str">
            <v>6ｲﾝﾁFWP</v>
          </cell>
          <cell r="AB254">
            <v>1170</v>
          </cell>
          <cell r="AC254"/>
          <cell r="AD254"/>
          <cell r="AE254"/>
          <cell r="AF254"/>
          <cell r="AG254"/>
          <cell r="AH254"/>
          <cell r="AI254"/>
          <cell r="AJ254"/>
          <cell r="AK254"/>
          <cell r="AL254"/>
          <cell r="AM254"/>
        </row>
        <row r="255">
          <cell r="G255" t="str">
            <v>3UNCERABX8A37</v>
          </cell>
          <cell r="H255" t="str">
            <v>U</v>
          </cell>
          <cell r="I255" t="str">
            <v>N</v>
          </cell>
          <cell r="J255" t="str">
            <v>CERA</v>
          </cell>
          <cell r="K255" t="str">
            <v>BX8A37</v>
          </cell>
          <cell r="M255" t="str">
            <v>3UNCERABX8A37751060</v>
          </cell>
          <cell r="N255" t="str">
            <v>3UNCERABX8A37751050</v>
          </cell>
          <cell r="O255">
            <v>75</v>
          </cell>
          <cell r="P255">
            <v>3</v>
          </cell>
          <cell r="Q255" t="str">
            <v>RM1Z</v>
          </cell>
          <cell r="R255">
            <v>1060</v>
          </cell>
          <cell r="S255">
            <v>6200</v>
          </cell>
          <cell r="T255">
            <v>1050</v>
          </cell>
          <cell r="U255">
            <v>1050</v>
          </cell>
          <cell r="V255">
            <v>6000</v>
          </cell>
          <cell r="W255">
            <v>2</v>
          </cell>
          <cell r="X255" t="str">
            <v>CF2</v>
          </cell>
          <cell r="Y255" t="str">
            <v>直出し</v>
          </cell>
          <cell r="Z255">
            <v>6</v>
          </cell>
          <cell r="AA255" t="str">
            <v>6ｲﾝﾁFWP</v>
          </cell>
          <cell r="AB255">
            <v>1250</v>
          </cell>
          <cell r="AC255"/>
          <cell r="AD255"/>
          <cell r="AE255"/>
          <cell r="AF255"/>
          <cell r="AG255"/>
          <cell r="AH255"/>
          <cell r="AI255"/>
          <cell r="AJ255"/>
          <cell r="AK255"/>
          <cell r="AL255"/>
          <cell r="AM255"/>
        </row>
        <row r="256">
          <cell r="G256" t="str">
            <v>3UNCERAJBX8AB</v>
          </cell>
          <cell r="H256" t="str">
            <v>U</v>
          </cell>
          <cell r="I256" t="str">
            <v>N</v>
          </cell>
          <cell r="J256" t="str">
            <v>CERA</v>
          </cell>
          <cell r="K256" t="str">
            <v>JBX8AB</v>
          </cell>
          <cell r="M256" t="str">
            <v>3UNCERAJBX8AB751060</v>
          </cell>
          <cell r="N256" t="str">
            <v>3UNCERAJBX8AB751050</v>
          </cell>
          <cell r="O256">
            <v>75</v>
          </cell>
          <cell r="P256">
            <v>3</v>
          </cell>
          <cell r="Q256" t="str">
            <v>QZ54</v>
          </cell>
          <cell r="R256">
            <v>1060</v>
          </cell>
          <cell r="S256">
            <v>6000</v>
          </cell>
          <cell r="T256">
            <v>1050</v>
          </cell>
          <cell r="U256">
            <v>1050</v>
          </cell>
          <cell r="V256">
            <v>5800</v>
          </cell>
          <cell r="W256">
            <v>2</v>
          </cell>
          <cell r="X256" t="str">
            <v>CF2</v>
          </cell>
          <cell r="Y256" t="str">
            <v>直出し</v>
          </cell>
          <cell r="Z256">
            <v>6</v>
          </cell>
          <cell r="AA256" t="str">
            <v>6ｲﾝﾁFWP</v>
          </cell>
          <cell r="AB256">
            <v>1250</v>
          </cell>
          <cell r="AC256"/>
          <cell r="AD256"/>
          <cell r="AE256"/>
          <cell r="AF256"/>
          <cell r="AG256"/>
          <cell r="AH256"/>
          <cell r="AI256"/>
          <cell r="AJ256"/>
          <cell r="AK256"/>
          <cell r="AL256"/>
          <cell r="AM256"/>
        </row>
        <row r="257">
          <cell r="G257" t="str">
            <v>3UNCERABX8E26</v>
          </cell>
          <cell r="H257" t="str">
            <v>U</v>
          </cell>
          <cell r="I257" t="str">
            <v>N</v>
          </cell>
          <cell r="J257" t="str">
            <v>CERA</v>
          </cell>
          <cell r="K257" t="str">
            <v>BX8E26</v>
          </cell>
          <cell r="M257" t="str">
            <v>3UNCERABX8E26381340</v>
          </cell>
          <cell r="N257" t="str">
            <v>3UNCERABX8E26381330</v>
          </cell>
          <cell r="O257">
            <v>38</v>
          </cell>
          <cell r="P257">
            <v>3</v>
          </cell>
          <cell r="Q257" t="str">
            <v>QZ43</v>
          </cell>
          <cell r="R257">
            <v>1340</v>
          </cell>
          <cell r="S257">
            <v>12200</v>
          </cell>
          <cell r="T257">
            <v>1330</v>
          </cell>
          <cell r="U257">
            <v>1330</v>
          </cell>
          <cell r="V257">
            <v>6000</v>
          </cell>
          <cell r="W257">
            <v>2</v>
          </cell>
          <cell r="X257" t="str">
            <v>CF2</v>
          </cell>
          <cell r="Y257" t="str">
            <v>直出し</v>
          </cell>
          <cell r="Z257">
            <v>6</v>
          </cell>
          <cell r="AA257" t="str">
            <v>6ｲﾝﾁFWP</v>
          </cell>
          <cell r="AB257"/>
          <cell r="AC257"/>
          <cell r="AD257"/>
          <cell r="AE257"/>
          <cell r="AF257"/>
          <cell r="AG257"/>
          <cell r="AH257"/>
          <cell r="AI257"/>
          <cell r="AJ257"/>
          <cell r="AK257"/>
          <cell r="AL257"/>
          <cell r="AM257"/>
        </row>
        <row r="258">
          <cell r="G258" t="str">
            <v>3UNCERABKE26</v>
          </cell>
          <cell r="H258" t="str">
            <v>U</v>
          </cell>
          <cell r="I258" t="str">
            <v>N</v>
          </cell>
          <cell r="J258" t="str">
            <v>CERA</v>
          </cell>
          <cell r="K258" t="str">
            <v>BKE26</v>
          </cell>
          <cell r="M258" t="str">
            <v>3UNCERABKE26251330</v>
          </cell>
          <cell r="N258" t="str">
            <v>3UNCERABKE2625650</v>
          </cell>
          <cell r="O258">
            <v>25</v>
          </cell>
          <cell r="P258">
            <v>3</v>
          </cell>
          <cell r="Q258" t="str">
            <v>QZ43</v>
          </cell>
          <cell r="R258">
            <v>1330</v>
          </cell>
          <cell r="S258">
            <v>6000</v>
          </cell>
          <cell r="T258">
            <v>650</v>
          </cell>
          <cell r="U258">
            <v>650</v>
          </cell>
          <cell r="V258">
            <v>1000</v>
          </cell>
          <cell r="W258">
            <v>2</v>
          </cell>
          <cell r="X258" t="str">
            <v>CF2</v>
          </cell>
          <cell r="Y258" t="str">
            <v>SL-1</v>
          </cell>
          <cell r="Z258">
            <v>6</v>
          </cell>
          <cell r="AA258" t="str">
            <v>6ｲﾝﾁFWP</v>
          </cell>
          <cell r="AB258">
            <v>1450</v>
          </cell>
          <cell r="AC258">
            <v>3</v>
          </cell>
          <cell r="AD258" t="str">
            <v>3ｲﾝﾁABS</v>
          </cell>
          <cell r="AE258" t="str">
            <v>650～720㎜</v>
          </cell>
          <cell r="AF258"/>
          <cell r="AG258"/>
          <cell r="AH258"/>
          <cell r="AI258"/>
          <cell r="AJ258"/>
          <cell r="AK258"/>
          <cell r="AL258"/>
          <cell r="AM258"/>
        </row>
        <row r="259">
          <cell r="G259" t="str">
            <v>3UNCERABKE26</v>
          </cell>
          <cell r="H259" t="str">
            <v>U</v>
          </cell>
          <cell r="I259" t="str">
            <v>N</v>
          </cell>
          <cell r="J259" t="str">
            <v>CERA</v>
          </cell>
          <cell r="K259" t="str">
            <v>BKE26</v>
          </cell>
          <cell r="M259" t="str">
            <v>3UNCERABKE26251340</v>
          </cell>
          <cell r="N259" t="str">
            <v>3UNCERABKE26251330</v>
          </cell>
          <cell r="O259">
            <v>25</v>
          </cell>
          <cell r="P259">
            <v>3</v>
          </cell>
          <cell r="Q259" t="str">
            <v>QZ43</v>
          </cell>
          <cell r="R259">
            <v>1340</v>
          </cell>
          <cell r="S259">
            <v>12300</v>
          </cell>
          <cell r="T259">
            <v>1330</v>
          </cell>
          <cell r="U259">
            <v>1330</v>
          </cell>
          <cell r="V259">
            <v>6000</v>
          </cell>
          <cell r="W259">
            <v>2</v>
          </cell>
          <cell r="X259" t="str">
            <v>CF2</v>
          </cell>
          <cell r="Y259" t="str">
            <v>直出し</v>
          </cell>
          <cell r="Z259">
            <v>6</v>
          </cell>
          <cell r="AA259" t="str">
            <v>6ｲﾝﾁFWP</v>
          </cell>
          <cell r="AB259"/>
          <cell r="AC259"/>
          <cell r="AD259"/>
          <cell r="AE259"/>
          <cell r="AF259"/>
          <cell r="AG259"/>
          <cell r="AH259"/>
          <cell r="AI259"/>
          <cell r="AJ259"/>
          <cell r="AK259"/>
          <cell r="AL259"/>
          <cell r="AM259"/>
        </row>
        <row r="260">
          <cell r="G260" t="str">
            <v>3UNCERABX8APF</v>
          </cell>
          <cell r="H260" t="str">
            <v>U</v>
          </cell>
          <cell r="I260" t="str">
            <v>N</v>
          </cell>
          <cell r="J260" t="str">
            <v>CERA</v>
          </cell>
          <cell r="K260" t="str">
            <v>BX8APF</v>
          </cell>
          <cell r="M260" t="str">
            <v>3UNCERABX8APF501330</v>
          </cell>
          <cell r="N260" t="str">
            <v>3UNCERABX8APF501310</v>
          </cell>
          <cell r="O260">
            <v>50</v>
          </cell>
          <cell r="P260">
            <v>3</v>
          </cell>
          <cell r="Q260" t="str">
            <v>XF60L</v>
          </cell>
          <cell r="R260">
            <v>1330</v>
          </cell>
          <cell r="S260">
            <v>6251</v>
          </cell>
          <cell r="T260">
            <v>1310</v>
          </cell>
          <cell r="U260">
            <v>1310</v>
          </cell>
          <cell r="V260">
            <v>5800</v>
          </cell>
          <cell r="W260">
            <v>2</v>
          </cell>
          <cell r="X260" t="str">
            <v>CF2</v>
          </cell>
          <cell r="Y260" t="str">
            <v>直出し</v>
          </cell>
          <cell r="Z260">
            <v>6</v>
          </cell>
          <cell r="AA260" t="str">
            <v>6ｲﾝﾁFWP</v>
          </cell>
          <cell r="AB260"/>
          <cell r="AC260"/>
          <cell r="AD260"/>
          <cell r="AE260"/>
          <cell r="AF260"/>
          <cell r="AG260"/>
          <cell r="AH260"/>
          <cell r="AI260"/>
          <cell r="AJ260"/>
          <cell r="AK260"/>
          <cell r="AL260"/>
          <cell r="AM260"/>
        </row>
        <row r="261">
          <cell r="G261" t="str">
            <v>3UNCERABX8AX</v>
          </cell>
          <cell r="H261" t="str">
            <v>U</v>
          </cell>
          <cell r="I261" t="str">
            <v>N</v>
          </cell>
          <cell r="J261" t="str">
            <v>CERA</v>
          </cell>
          <cell r="K261" t="str">
            <v>BX8AX</v>
          </cell>
          <cell r="M261" t="str">
            <v>3UNCERABX8AX751490</v>
          </cell>
          <cell r="N261" t="str">
            <v>3UNCERABX8AX751485</v>
          </cell>
          <cell r="O261">
            <v>75</v>
          </cell>
          <cell r="P261">
            <v>3</v>
          </cell>
          <cell r="Q261" t="str">
            <v>XD500N</v>
          </cell>
          <cell r="R261">
            <v>1490</v>
          </cell>
          <cell r="S261">
            <v>6000</v>
          </cell>
          <cell r="T261">
            <v>1485</v>
          </cell>
          <cell r="U261">
            <v>1485</v>
          </cell>
          <cell r="V261">
            <v>5800</v>
          </cell>
          <cell r="W261">
            <v>2</v>
          </cell>
          <cell r="X261" t="str">
            <v>CF2</v>
          </cell>
          <cell r="Y261" t="str">
            <v>直出し</v>
          </cell>
          <cell r="Z261">
            <v>6</v>
          </cell>
          <cell r="AA261" t="str">
            <v>6ｲﾝﾁFWP</v>
          </cell>
          <cell r="AB261">
            <v>1600</v>
          </cell>
          <cell r="AC261"/>
          <cell r="AD261"/>
          <cell r="AE261"/>
          <cell r="AF261"/>
          <cell r="AG261"/>
          <cell r="AH261"/>
          <cell r="AI261"/>
          <cell r="AJ261"/>
          <cell r="AK261"/>
          <cell r="AL261"/>
          <cell r="AM261"/>
        </row>
        <row r="262">
          <cell r="G262" t="str">
            <v>3UNTPICTT405D</v>
          </cell>
          <cell r="H262" t="str">
            <v>U</v>
          </cell>
          <cell r="I262" t="str">
            <v>N</v>
          </cell>
          <cell r="J262" t="str">
            <v>TPIC</v>
          </cell>
          <cell r="K262" t="str">
            <v>TT405D</v>
          </cell>
          <cell r="M262" t="str">
            <v>3UNTPICTT405D501094</v>
          </cell>
          <cell r="N262" t="str">
            <v>3UNTPICTT405D501094</v>
          </cell>
          <cell r="O262">
            <v>50</v>
          </cell>
          <cell r="P262">
            <v>3</v>
          </cell>
          <cell r="Q262" t="str">
            <v>UTE6</v>
          </cell>
          <cell r="R262">
            <v>1094</v>
          </cell>
          <cell r="S262">
            <v>6000</v>
          </cell>
          <cell r="T262">
            <v>1094</v>
          </cell>
          <cell r="U262">
            <v>1094</v>
          </cell>
          <cell r="V262">
            <v>5000</v>
          </cell>
          <cell r="W262">
            <v>2</v>
          </cell>
          <cell r="X262" t="str">
            <v>CF3</v>
          </cell>
          <cell r="Y262" t="str">
            <v>直出し</v>
          </cell>
          <cell r="Z262">
            <v>6</v>
          </cell>
          <cell r="AA262" t="str">
            <v>6ｲﾝﾁFWP</v>
          </cell>
          <cell r="AB262">
            <v>1700</v>
          </cell>
          <cell r="AC262"/>
          <cell r="AD262"/>
          <cell r="AE262"/>
          <cell r="AF262"/>
          <cell r="AG262"/>
          <cell r="AH262"/>
          <cell r="AI262"/>
          <cell r="AJ262"/>
          <cell r="AK262"/>
          <cell r="AL262"/>
          <cell r="AM262"/>
        </row>
        <row r="263">
          <cell r="G263" t="str">
            <v>3UNCERAMDA14</v>
          </cell>
          <cell r="H263" t="str">
            <v>U</v>
          </cell>
          <cell r="I263" t="str">
            <v>N</v>
          </cell>
          <cell r="J263" t="str">
            <v>CERA</v>
          </cell>
          <cell r="K263" t="str">
            <v>MDA14</v>
          </cell>
          <cell r="M263" t="str">
            <v>3UNCERAMDA14501100</v>
          </cell>
          <cell r="N263" t="str">
            <v>3UNCERAMDA14501090</v>
          </cell>
          <cell r="O263">
            <v>50</v>
          </cell>
          <cell r="P263">
            <v>3</v>
          </cell>
          <cell r="Q263" t="str">
            <v>S10</v>
          </cell>
          <cell r="R263">
            <v>1100</v>
          </cell>
          <cell r="S263">
            <v>4000</v>
          </cell>
          <cell r="T263">
            <v>1090</v>
          </cell>
          <cell r="U263">
            <v>1090</v>
          </cell>
          <cell r="V263">
            <v>1000</v>
          </cell>
          <cell r="W263">
            <v>1</v>
          </cell>
          <cell r="X263" t="str">
            <v>CF2</v>
          </cell>
          <cell r="Y263" t="str">
            <v>SL-1</v>
          </cell>
          <cell r="Z263">
            <v>6</v>
          </cell>
          <cell r="AA263" t="str">
            <v>6ｲﾝﾁFWP</v>
          </cell>
          <cell r="AB263">
            <v>1450</v>
          </cell>
          <cell r="AC263"/>
          <cell r="AD263"/>
          <cell r="AE263"/>
          <cell r="AF263"/>
          <cell r="AG263"/>
          <cell r="AH263"/>
          <cell r="AI263"/>
          <cell r="AJ263"/>
          <cell r="AK263"/>
          <cell r="AL263"/>
          <cell r="AM263"/>
        </row>
        <row r="264">
          <cell r="G264" t="str">
            <v>3UNCERAMDA14</v>
          </cell>
          <cell r="H264" t="str">
            <v>U</v>
          </cell>
          <cell r="I264" t="str">
            <v>N</v>
          </cell>
          <cell r="J264" t="str">
            <v>CERA</v>
          </cell>
          <cell r="K264" t="str">
            <v>MDA14</v>
          </cell>
          <cell r="M264" t="str">
            <v>3UNCERAMDA14501100</v>
          </cell>
          <cell r="N264" t="str">
            <v>3UNCERAMDA14501090</v>
          </cell>
          <cell r="O264">
            <v>50</v>
          </cell>
          <cell r="P264">
            <v>3</v>
          </cell>
          <cell r="Q264" t="str">
            <v>S10</v>
          </cell>
          <cell r="R264">
            <v>1100</v>
          </cell>
          <cell r="S264">
            <v>4000</v>
          </cell>
          <cell r="T264">
            <v>1090</v>
          </cell>
          <cell r="U264">
            <v>1090</v>
          </cell>
          <cell r="V264">
            <v>2800</v>
          </cell>
          <cell r="W264">
            <v>2</v>
          </cell>
          <cell r="X264" t="str">
            <v>CF2</v>
          </cell>
          <cell r="Y264" t="str">
            <v>SL-1</v>
          </cell>
          <cell r="Z264">
            <v>6</v>
          </cell>
          <cell r="AA264" t="str">
            <v>6ｲﾝﾁFWP</v>
          </cell>
          <cell r="AB264">
            <v>1450</v>
          </cell>
          <cell r="AC264"/>
          <cell r="AD264"/>
          <cell r="AE264"/>
          <cell r="AF264"/>
          <cell r="AG264"/>
          <cell r="AH264"/>
          <cell r="AI264"/>
          <cell r="AJ264"/>
          <cell r="AK264"/>
          <cell r="AL264"/>
          <cell r="AM264"/>
        </row>
        <row r="265">
          <cell r="G265" t="str">
            <v>3301TNTTPTNJ-AS</v>
          </cell>
          <cell r="H265" t="str">
            <v>T</v>
          </cell>
          <cell r="I265" t="str">
            <v>N</v>
          </cell>
          <cell r="J265" t="str">
            <v>TTP</v>
          </cell>
          <cell r="K265" t="str">
            <v>TNJ-AS</v>
          </cell>
          <cell r="M265" t="str">
            <v>3301TNTTPTNJ-AS1001110</v>
          </cell>
          <cell r="N265" t="str">
            <v>3301TNTTPTNJ-AS1001050</v>
          </cell>
          <cell r="O265">
            <v>100</v>
          </cell>
          <cell r="P265">
            <v>3301</v>
          </cell>
          <cell r="Q265" t="str">
            <v xml:space="preserve">U483   </v>
          </cell>
          <cell r="R265">
            <v>1110</v>
          </cell>
          <cell r="S265">
            <v>2000</v>
          </cell>
          <cell r="T265">
            <v>1150</v>
          </cell>
          <cell r="U265">
            <v>1050</v>
          </cell>
          <cell r="V265">
            <v>2000</v>
          </cell>
          <cell r="W265">
            <v>2</v>
          </cell>
          <cell r="X265" t="str">
            <v>CF4</v>
          </cell>
          <cell r="Y265" t="str">
            <v>SL-3</v>
          </cell>
          <cell r="Z265">
            <v>6</v>
          </cell>
          <cell r="AA265" t="str">
            <v>6ｲﾝﾁABS</v>
          </cell>
          <cell r="AB265">
            <v>1270</v>
          </cell>
          <cell r="AC265">
            <v>6</v>
          </cell>
          <cell r="AD265" t="str">
            <v>6ｲﾝﾁABS</v>
          </cell>
          <cell r="AE265">
            <v>1270</v>
          </cell>
          <cell r="AF265"/>
          <cell r="AG265"/>
          <cell r="AH265"/>
          <cell r="AI265"/>
          <cell r="AJ265"/>
          <cell r="AK265"/>
          <cell r="AL265"/>
          <cell r="AM265"/>
        </row>
        <row r="266">
          <cell r="G266" t="str">
            <v>3301TNTTPTNJ-AS</v>
          </cell>
          <cell r="H266" t="str">
            <v>T</v>
          </cell>
          <cell r="I266" t="str">
            <v>N</v>
          </cell>
          <cell r="J266" t="str">
            <v>TTP</v>
          </cell>
          <cell r="K266" t="str">
            <v>TNJ-AS</v>
          </cell>
          <cell r="M266" t="str">
            <v>3301TNTTPTNJ-AS1001280</v>
          </cell>
          <cell r="N266" t="str">
            <v>3301TNTTPTNJ-AS1001050</v>
          </cell>
          <cell r="O266">
            <v>100</v>
          </cell>
          <cell r="P266">
            <v>3301</v>
          </cell>
          <cell r="Q266" t="str">
            <v xml:space="preserve">U483   </v>
          </cell>
          <cell r="R266">
            <v>1280</v>
          </cell>
          <cell r="S266">
            <v>2000</v>
          </cell>
          <cell r="T266">
            <v>1150</v>
          </cell>
          <cell r="U266">
            <v>1050</v>
          </cell>
          <cell r="V266">
            <v>2000</v>
          </cell>
          <cell r="W266">
            <v>2</v>
          </cell>
          <cell r="X266" t="str">
            <v>CF4</v>
          </cell>
          <cell r="Y266" t="str">
            <v>SL-3</v>
          </cell>
          <cell r="Z266">
            <v>6</v>
          </cell>
          <cell r="AA266" t="str">
            <v>6ｲﾝﾁABS</v>
          </cell>
          <cell r="AB266">
            <v>1450</v>
          </cell>
          <cell r="AC266">
            <v>6</v>
          </cell>
          <cell r="AD266" t="str">
            <v>6ｲﾝﾁABS</v>
          </cell>
          <cell r="AE266">
            <v>1270</v>
          </cell>
          <cell r="AF266"/>
          <cell r="AG266"/>
          <cell r="AH266"/>
          <cell r="AI266"/>
          <cell r="AJ266"/>
          <cell r="AK266"/>
          <cell r="AL266"/>
          <cell r="AM266"/>
        </row>
        <row r="267">
          <cell r="G267" t="str">
            <v>3301TNTTPTNJ-AS</v>
          </cell>
          <cell r="H267" t="str">
            <v>T</v>
          </cell>
          <cell r="I267" t="str">
            <v>N</v>
          </cell>
          <cell r="J267" t="str">
            <v>TTP</v>
          </cell>
          <cell r="K267" t="str">
            <v>TNJ-AS</v>
          </cell>
          <cell r="M267" t="str">
            <v>3301TNTTPTNJ-AS1001200</v>
          </cell>
          <cell r="N267" t="str">
            <v>3301TNTTPTNJ-AS1001050</v>
          </cell>
          <cell r="O267">
            <v>100</v>
          </cell>
          <cell r="P267">
            <v>3301</v>
          </cell>
          <cell r="Q267" t="str">
            <v xml:space="preserve">U483   </v>
          </cell>
          <cell r="R267">
            <v>1200</v>
          </cell>
          <cell r="S267">
            <v>2000</v>
          </cell>
          <cell r="T267">
            <v>1150</v>
          </cell>
          <cell r="U267">
            <v>1050</v>
          </cell>
          <cell r="V267">
            <v>2000</v>
          </cell>
          <cell r="W267">
            <v>2</v>
          </cell>
          <cell r="X267" t="str">
            <v>CF4</v>
          </cell>
          <cell r="Y267" t="str">
            <v>SL-3</v>
          </cell>
          <cell r="Z267">
            <v>6</v>
          </cell>
          <cell r="AA267" t="str">
            <v>6ｲﾝﾁABS</v>
          </cell>
          <cell r="AB267">
            <v>1270</v>
          </cell>
          <cell r="AC267">
            <v>6</v>
          </cell>
          <cell r="AD267" t="str">
            <v>6ｲﾝﾁABS</v>
          </cell>
          <cell r="AE267">
            <v>1270</v>
          </cell>
          <cell r="AF267"/>
          <cell r="AG267"/>
          <cell r="AH267"/>
          <cell r="AI267"/>
          <cell r="AJ267"/>
          <cell r="AK267"/>
          <cell r="AL267"/>
          <cell r="AM267"/>
        </row>
        <row r="268">
          <cell r="G268" t="str">
            <v>UYJTCSTHCE</v>
          </cell>
          <cell r="H268" t="str">
            <v>U</v>
          </cell>
          <cell r="I268" t="str">
            <v>Y</v>
          </cell>
          <cell r="J268" t="str">
            <v>JTC</v>
          </cell>
          <cell r="K268" t="str">
            <v>STHCE</v>
          </cell>
          <cell r="M268" t="str">
            <v>UYJTCSTHCE381336</v>
          </cell>
          <cell r="N268" t="str">
            <v>UYJTCSTHCE38715</v>
          </cell>
          <cell r="O268">
            <v>38</v>
          </cell>
          <cell r="P268"/>
          <cell r="Q268" t="str">
            <v>XF60R</v>
          </cell>
          <cell r="R268">
            <v>1336</v>
          </cell>
          <cell r="S268">
            <v>12050</v>
          </cell>
          <cell r="T268">
            <v>715</v>
          </cell>
          <cell r="U268">
            <v>715</v>
          </cell>
          <cell r="V268">
            <v>3920</v>
          </cell>
          <cell r="W268">
            <v>2</v>
          </cell>
          <cell r="X268" t="str">
            <v>CF2</v>
          </cell>
          <cell r="Y268" t="str">
            <v>CF3</v>
          </cell>
          <cell r="Z268">
            <v>6</v>
          </cell>
          <cell r="AA268" t="str">
            <v>6ｲﾝﾁFWP</v>
          </cell>
          <cell r="AB268">
            <v>1600</v>
          </cell>
          <cell r="AC268">
            <v>6</v>
          </cell>
          <cell r="AD268" t="str">
            <v>6ｲﾝﾁABS</v>
          </cell>
          <cell r="AE268">
            <v>1500</v>
          </cell>
          <cell r="AF268"/>
          <cell r="AG268"/>
          <cell r="AH268"/>
          <cell r="AI268"/>
          <cell r="AJ268"/>
          <cell r="AK268"/>
          <cell r="AL268">
            <v>7</v>
          </cell>
          <cell r="AM268" t="str">
            <v>CF2/ｴｰｼﾞﾝｸﾞ/CF3/SL1</v>
          </cell>
        </row>
        <row r="269">
          <cell r="G269" t="str">
            <v>3TYJTCSTHCE</v>
          </cell>
          <cell r="H269" t="str">
            <v>T</v>
          </cell>
          <cell r="I269" t="str">
            <v>Y</v>
          </cell>
          <cell r="J269" t="str">
            <v>JTC</v>
          </cell>
          <cell r="K269" t="str">
            <v>STHCE</v>
          </cell>
          <cell r="M269" t="str">
            <v>3TYJTCSTHCE381336</v>
          </cell>
          <cell r="N269" t="str">
            <v>3TYJTCSTHCE38715</v>
          </cell>
          <cell r="O269">
            <v>38</v>
          </cell>
          <cell r="P269">
            <v>3</v>
          </cell>
          <cell r="Q269" t="str">
            <v>XF60R</v>
          </cell>
          <cell r="R269">
            <v>1336</v>
          </cell>
          <cell r="S269">
            <v>12050</v>
          </cell>
          <cell r="T269">
            <v>715</v>
          </cell>
          <cell r="U269">
            <v>715</v>
          </cell>
          <cell r="V269">
            <v>3920</v>
          </cell>
          <cell r="W269">
            <v>2</v>
          </cell>
          <cell r="X269" t="str">
            <v>CF2</v>
          </cell>
          <cell r="Y269" t="str">
            <v>CF3</v>
          </cell>
          <cell r="Z269">
            <v>6</v>
          </cell>
          <cell r="AA269" t="str">
            <v>6ｲﾝﾁFWP</v>
          </cell>
          <cell r="AB269">
            <v>1600</v>
          </cell>
          <cell r="AC269">
            <v>6</v>
          </cell>
          <cell r="AD269" t="str">
            <v>6ｲﾝﾁABS</v>
          </cell>
          <cell r="AE269">
            <v>1500</v>
          </cell>
          <cell r="AF269"/>
          <cell r="AG269"/>
          <cell r="AH269"/>
          <cell r="AI269"/>
          <cell r="AJ269"/>
          <cell r="AK269"/>
          <cell r="AL269">
            <v>7</v>
          </cell>
          <cell r="AM269" t="str">
            <v>CF2/ｴｰｼﾞﾝｸﾞ/CF3/SL1</v>
          </cell>
        </row>
        <row r="270">
          <cell r="G270" t="str">
            <v>33STYJTCSTHCE</v>
          </cell>
          <cell r="H270" t="str">
            <v>T</v>
          </cell>
          <cell r="I270" t="str">
            <v>Y</v>
          </cell>
          <cell r="J270" t="str">
            <v>JTC</v>
          </cell>
          <cell r="K270" t="str">
            <v>STHCE</v>
          </cell>
          <cell r="M270" t="str">
            <v>33STYJTCSTHCE381336</v>
          </cell>
          <cell r="N270" t="str">
            <v>33STYJTCSTHCE38715</v>
          </cell>
          <cell r="O270">
            <v>38</v>
          </cell>
          <cell r="P270" t="str">
            <v>33S</v>
          </cell>
          <cell r="Q270" t="str">
            <v>XF60R</v>
          </cell>
          <cell r="R270">
            <v>1336</v>
          </cell>
          <cell r="S270">
            <v>12050</v>
          </cell>
          <cell r="T270">
            <v>715</v>
          </cell>
          <cell r="U270">
            <v>715</v>
          </cell>
          <cell r="V270">
            <v>3920</v>
          </cell>
          <cell r="W270">
            <v>2</v>
          </cell>
          <cell r="X270" t="str">
            <v>CF2</v>
          </cell>
          <cell r="Y270" t="str">
            <v>CF3</v>
          </cell>
          <cell r="Z270">
            <v>6</v>
          </cell>
          <cell r="AA270" t="str">
            <v>6ｲﾝﾁFWP</v>
          </cell>
          <cell r="AB270">
            <v>1600</v>
          </cell>
          <cell r="AC270">
            <v>6</v>
          </cell>
          <cell r="AD270" t="str">
            <v>6ｲﾝﾁABS</v>
          </cell>
          <cell r="AE270">
            <v>1500</v>
          </cell>
          <cell r="AF270"/>
          <cell r="AG270"/>
          <cell r="AH270"/>
          <cell r="AI270"/>
          <cell r="AJ270"/>
          <cell r="AK270"/>
          <cell r="AL270">
            <v>7</v>
          </cell>
          <cell r="AM270" t="str">
            <v>CF2/ｴｰｼﾞﾝｸﾞ/CF3/SL1</v>
          </cell>
        </row>
        <row r="271">
          <cell r="G271" t="str">
            <v>3TNMLBMBSF</v>
          </cell>
          <cell r="H271" t="str">
            <v>T</v>
          </cell>
          <cell r="I271" t="str">
            <v>N</v>
          </cell>
          <cell r="J271" t="str">
            <v>MLB</v>
          </cell>
          <cell r="K271" t="str">
            <v>MBSF</v>
          </cell>
          <cell r="M271" t="str">
            <v>3TNMLBMBSF121350</v>
          </cell>
          <cell r="N271" t="str">
            <v>3TNMLBMBSF12600</v>
          </cell>
          <cell r="O271">
            <v>12</v>
          </cell>
          <cell r="P271">
            <v>3</v>
          </cell>
          <cell r="Q271" t="str">
            <v>F68</v>
          </cell>
          <cell r="R271">
            <v>1350</v>
          </cell>
          <cell r="S271">
            <v>12800</v>
          </cell>
          <cell r="T271">
            <v>600</v>
          </cell>
          <cell r="U271">
            <v>600</v>
          </cell>
          <cell r="V271">
            <v>3000</v>
          </cell>
          <cell r="W271">
            <v>1</v>
          </cell>
          <cell r="X271"/>
          <cell r="Y271" t="str">
            <v>S-5</v>
          </cell>
          <cell r="Z271">
            <v>6</v>
          </cell>
          <cell r="AA271" t="str">
            <v>6ｲﾝﾁMｺｱ</v>
          </cell>
          <cell r="AB271">
            <v>605</v>
          </cell>
          <cell r="AC271">
            <v>6</v>
          </cell>
          <cell r="AD271" t="str">
            <v>3ｲﾝﾁSｺｱ</v>
          </cell>
          <cell r="AE271">
            <v>605</v>
          </cell>
          <cell r="AF271"/>
          <cell r="AG271"/>
          <cell r="AH271"/>
          <cell r="AI271"/>
          <cell r="AJ271"/>
          <cell r="AK271"/>
          <cell r="AL271"/>
          <cell r="AM271"/>
        </row>
        <row r="272">
          <cell r="G272" t="str">
            <v>3TNDMSX42G</v>
          </cell>
          <cell r="H272" t="str">
            <v>T</v>
          </cell>
          <cell r="I272" t="str">
            <v>N</v>
          </cell>
          <cell r="J272" t="str">
            <v>DMS</v>
          </cell>
          <cell r="K272" t="str">
            <v>X42G</v>
          </cell>
          <cell r="M272" t="str">
            <v>3TNDMSX42G501360</v>
          </cell>
          <cell r="N272" t="str">
            <v>3TNDMSX42G50680</v>
          </cell>
          <cell r="O272">
            <v>50</v>
          </cell>
          <cell r="P272">
            <v>3</v>
          </cell>
          <cell r="Q272" t="str">
            <v>X42G</v>
          </cell>
          <cell r="R272">
            <v>1360</v>
          </cell>
          <cell r="S272">
            <v>4100</v>
          </cell>
          <cell r="T272">
            <v>680</v>
          </cell>
          <cell r="U272">
            <v>680</v>
          </cell>
          <cell r="V272">
            <v>2000</v>
          </cell>
          <cell r="W272">
            <v>2</v>
          </cell>
          <cell r="X272"/>
          <cell r="Y272" t="str">
            <v>S-5</v>
          </cell>
          <cell r="Z272"/>
          <cell r="AA272"/>
          <cell r="AB272"/>
          <cell r="AC272">
            <v>6</v>
          </cell>
          <cell r="AD272" t="str">
            <v>6ｲﾝﾁFWP</v>
          </cell>
          <cell r="AE272">
            <v>1600</v>
          </cell>
          <cell r="AF272">
            <v>2</v>
          </cell>
          <cell r="AG272" t="str">
            <v>原反コア</v>
          </cell>
          <cell r="AH272" t="str">
            <v>-</v>
          </cell>
          <cell r="AI272">
            <v>3</v>
          </cell>
          <cell r="AJ272" t="str">
            <v>6ｲﾝﾁFWP</v>
          </cell>
          <cell r="AK272">
            <v>1450</v>
          </cell>
          <cell r="AL272"/>
          <cell r="AM272"/>
        </row>
        <row r="273">
          <cell r="G273" t="str">
            <v>3TNDMSX42GPC</v>
          </cell>
          <cell r="H273" t="str">
            <v>T</v>
          </cell>
          <cell r="I273" t="str">
            <v>N</v>
          </cell>
          <cell r="J273" t="str">
            <v>DMS</v>
          </cell>
          <cell r="K273" t="str">
            <v>X42GPC</v>
          </cell>
          <cell r="M273" t="str">
            <v>3TNDMSX42GPC501360</v>
          </cell>
          <cell r="N273" t="str">
            <v>3TNDMSX42GPC50680</v>
          </cell>
          <cell r="O273">
            <v>50</v>
          </cell>
          <cell r="P273">
            <v>3</v>
          </cell>
          <cell r="Q273" t="str">
            <v>X42G</v>
          </cell>
          <cell r="R273">
            <v>1360</v>
          </cell>
          <cell r="S273">
            <v>4100</v>
          </cell>
          <cell r="T273">
            <v>680</v>
          </cell>
          <cell r="U273">
            <v>680</v>
          </cell>
          <cell r="V273">
            <v>2000</v>
          </cell>
          <cell r="W273">
            <v>2</v>
          </cell>
          <cell r="X273" t="str">
            <v>CF4</v>
          </cell>
          <cell r="Y273" t="str">
            <v>S-5</v>
          </cell>
          <cell r="Z273">
            <v>6</v>
          </cell>
          <cell r="AA273" t="str">
            <v>6ｲﾝﾁFWP</v>
          </cell>
          <cell r="AB273">
            <v>1450</v>
          </cell>
          <cell r="AC273">
            <v>3</v>
          </cell>
          <cell r="AD273" t="str">
            <v>3ｲﾝﾁMｺｱ</v>
          </cell>
          <cell r="AE273">
            <v>690</v>
          </cell>
          <cell r="AF273"/>
          <cell r="AG273" t="str">
            <v>6ｲﾝﾁFWP</v>
          </cell>
          <cell r="AH273">
            <v>1450</v>
          </cell>
          <cell r="AI273"/>
          <cell r="AJ273"/>
          <cell r="AK273"/>
          <cell r="AL273"/>
          <cell r="AM273"/>
        </row>
        <row r="274">
          <cell r="G274" t="str">
            <v>3TNMCLBTET1MV</v>
          </cell>
          <cell r="H274" t="str">
            <v>T</v>
          </cell>
          <cell r="I274" t="str">
            <v>N</v>
          </cell>
          <cell r="J274" t="str">
            <v>MCLB</v>
          </cell>
          <cell r="K274" t="str">
            <v>TET1MV</v>
          </cell>
          <cell r="M274" t="str">
            <v>3TNMCLBTET1MV381005</v>
          </cell>
          <cell r="N274" t="str">
            <v>3TNMCLBTET1MV381000</v>
          </cell>
          <cell r="O274">
            <v>38</v>
          </cell>
          <cell r="P274">
            <v>3</v>
          </cell>
          <cell r="Q274" t="str">
            <v>S28離型ｲﾁﾏﾂ</v>
          </cell>
          <cell r="R274">
            <v>1005</v>
          </cell>
          <cell r="S274">
            <v>8000</v>
          </cell>
          <cell r="T274">
            <v>1005</v>
          </cell>
          <cell r="U274">
            <v>1000</v>
          </cell>
          <cell r="V274">
            <v>8000</v>
          </cell>
          <cell r="W274">
            <v>2</v>
          </cell>
          <cell r="X274" t="str">
            <v>CF4</v>
          </cell>
          <cell r="Y274" t="str">
            <v>S-4</v>
          </cell>
          <cell r="Z274">
            <v>6</v>
          </cell>
          <cell r="AA274" t="str">
            <v>6ｲﾝﾁFWP</v>
          </cell>
          <cell r="AB274">
            <v>1450</v>
          </cell>
          <cell r="AC274">
            <v>6</v>
          </cell>
          <cell r="AD274" t="str">
            <v>6ｲﾝﾁSｺｱ</v>
          </cell>
          <cell r="AE274">
            <v>1015</v>
          </cell>
          <cell r="AF274">
            <v>2</v>
          </cell>
          <cell r="AG274" t="str">
            <v>6ｲﾝﾁFWP</v>
          </cell>
          <cell r="AH274">
            <v>1450</v>
          </cell>
          <cell r="AI274">
            <v>3</v>
          </cell>
          <cell r="AJ274" t="str">
            <v>6ｲﾝﾁFWP</v>
          </cell>
          <cell r="AK274">
            <v>1450</v>
          </cell>
          <cell r="AL274"/>
          <cell r="AM274"/>
        </row>
        <row r="275">
          <cell r="G275" t="str">
            <v>3TNMCLBHLKTV</v>
          </cell>
          <cell r="H275" t="str">
            <v>T</v>
          </cell>
          <cell r="I275" t="str">
            <v>N</v>
          </cell>
          <cell r="J275" t="str">
            <v>MCLB</v>
          </cell>
          <cell r="K275" t="str">
            <v>HLKTV</v>
          </cell>
          <cell r="M275" t="str">
            <v>3TNMCLBHLKTV251030</v>
          </cell>
          <cell r="N275" t="str">
            <v>3TNMCLBHLKTV251000</v>
          </cell>
          <cell r="O275">
            <v>25</v>
          </cell>
          <cell r="P275">
            <v>3</v>
          </cell>
          <cell r="Q275" t="str">
            <v>HL50/EC</v>
          </cell>
          <cell r="R275">
            <v>1030</v>
          </cell>
          <cell r="S275">
            <v>4000</v>
          </cell>
          <cell r="T275">
            <v>1000</v>
          </cell>
          <cell r="U275">
            <v>1000</v>
          </cell>
          <cell r="V275">
            <v>2000</v>
          </cell>
          <cell r="W275">
            <v>2</v>
          </cell>
          <cell r="X275" t="str">
            <v>CF4</v>
          </cell>
          <cell r="Y275" t="str">
            <v>S-4</v>
          </cell>
          <cell r="Z275">
            <v>6</v>
          </cell>
          <cell r="AA275" t="str">
            <v>6ｲﾝﾁFWP</v>
          </cell>
          <cell r="AB275">
            <v>1450</v>
          </cell>
          <cell r="AC275">
            <v>6</v>
          </cell>
          <cell r="AD275" t="str">
            <v>6ｲﾝﾁSｺｱ</v>
          </cell>
          <cell r="AE275">
            <v>1015</v>
          </cell>
          <cell r="AF275"/>
          <cell r="AG275" t="str">
            <v>6ｲﾝﾁFWP</v>
          </cell>
          <cell r="AH275">
            <v>1450</v>
          </cell>
          <cell r="AI275"/>
          <cell r="AJ275"/>
          <cell r="AK275"/>
          <cell r="AL275"/>
          <cell r="AM275"/>
        </row>
        <row r="276">
          <cell r="G276" t="str">
            <v>3TNMCLBHLKTV</v>
          </cell>
          <cell r="H276" t="str">
            <v>T</v>
          </cell>
          <cell r="I276" t="str">
            <v>N</v>
          </cell>
          <cell r="J276" t="str">
            <v>MCLB</v>
          </cell>
          <cell r="K276" t="str">
            <v>HLKTV</v>
          </cell>
          <cell r="M276" t="str">
            <v>3TNMCLBHLKTV501030</v>
          </cell>
          <cell r="N276" t="str">
            <v>3TNMCLBHLKTV501000</v>
          </cell>
          <cell r="O276">
            <v>50</v>
          </cell>
          <cell r="P276">
            <v>3</v>
          </cell>
          <cell r="Q276" t="str">
            <v>HL50/EC</v>
          </cell>
          <cell r="R276">
            <v>1030</v>
          </cell>
          <cell r="S276">
            <v>4100</v>
          </cell>
          <cell r="T276">
            <v>1000</v>
          </cell>
          <cell r="U276">
            <v>1000</v>
          </cell>
          <cell r="V276">
            <v>2000</v>
          </cell>
          <cell r="W276">
            <v>2</v>
          </cell>
          <cell r="X276" t="str">
            <v>CF4</v>
          </cell>
          <cell r="Y276" t="str">
            <v>S-4</v>
          </cell>
          <cell r="Z276">
            <v>6</v>
          </cell>
          <cell r="AA276" t="str">
            <v>6ｲﾝﾁFWP</v>
          </cell>
          <cell r="AB276">
            <v>1450</v>
          </cell>
          <cell r="AC276">
            <v>6</v>
          </cell>
          <cell r="AD276" t="str">
            <v>6ｲﾝﾁSｺｱ</v>
          </cell>
          <cell r="AE276">
            <v>1015</v>
          </cell>
          <cell r="AF276"/>
          <cell r="AG276" t="str">
            <v>6ｲﾝﾁFWP</v>
          </cell>
          <cell r="AH276">
            <v>1450</v>
          </cell>
          <cell r="AI276"/>
          <cell r="AJ276"/>
          <cell r="AK276"/>
          <cell r="AL276"/>
          <cell r="AM276"/>
        </row>
        <row r="277">
          <cell r="G277" t="str">
            <v>3TNMCLBHLDTV</v>
          </cell>
          <cell r="H277" t="str">
            <v>T</v>
          </cell>
          <cell r="I277" t="str">
            <v>N</v>
          </cell>
          <cell r="J277" t="str">
            <v>MCLB</v>
          </cell>
          <cell r="K277" t="str">
            <v>HLDTV</v>
          </cell>
          <cell r="M277" t="str">
            <v>3TNMCLBHLDTV501030</v>
          </cell>
          <cell r="N277" t="str">
            <v>3TNMCLBHLDTV501000</v>
          </cell>
          <cell r="O277">
            <v>50</v>
          </cell>
          <cell r="P277">
            <v>3</v>
          </cell>
          <cell r="Q277" t="str">
            <v>HL25/EC</v>
          </cell>
          <cell r="R277">
            <v>1030</v>
          </cell>
          <cell r="S277">
            <v>4100</v>
          </cell>
          <cell r="T277">
            <v>1005</v>
          </cell>
          <cell r="U277">
            <v>1000</v>
          </cell>
          <cell r="V277">
            <v>2000</v>
          </cell>
          <cell r="W277">
            <v>2</v>
          </cell>
          <cell r="X277" t="str">
            <v>CF4</v>
          </cell>
          <cell r="Y277" t="str">
            <v>S-4</v>
          </cell>
          <cell r="Z277">
            <v>6</v>
          </cell>
          <cell r="AA277" t="str">
            <v>6ｲﾝﾁFWP</v>
          </cell>
          <cell r="AB277">
            <v>1450</v>
          </cell>
          <cell r="AC277">
            <v>6</v>
          </cell>
          <cell r="AD277" t="str">
            <v>6ｲﾝﾁSｺｱ</v>
          </cell>
          <cell r="AE277">
            <v>1015</v>
          </cell>
          <cell r="AF277"/>
          <cell r="AG277" t="str">
            <v>6ｲﾝﾁFWP</v>
          </cell>
          <cell r="AH277">
            <v>1450</v>
          </cell>
          <cell r="AI277"/>
          <cell r="AJ277"/>
          <cell r="AK277"/>
          <cell r="AL277"/>
          <cell r="AM277"/>
        </row>
        <row r="278">
          <cell r="G278" t="str">
            <v>3UNMLBKF9BF</v>
          </cell>
          <cell r="H278" t="str">
            <v>U</v>
          </cell>
          <cell r="I278" t="str">
            <v>N</v>
          </cell>
          <cell r="J278" t="str">
            <v>MLB</v>
          </cell>
          <cell r="K278" t="str">
            <v>KF9BF</v>
          </cell>
          <cell r="M278" t="str">
            <v>3UNMLBKF9BF91280</v>
          </cell>
          <cell r="N278" t="str">
            <v>3UNMLBKF9BF91200</v>
          </cell>
          <cell r="O278">
            <v>9</v>
          </cell>
          <cell r="P278">
            <v>3</v>
          </cell>
          <cell r="Q278" t="str">
            <v>F53</v>
          </cell>
          <cell r="R278">
            <v>1280</v>
          </cell>
          <cell r="S278">
            <v>12000</v>
          </cell>
          <cell r="T278">
            <v>1200</v>
          </cell>
          <cell r="U278">
            <v>1200</v>
          </cell>
          <cell r="V278">
            <v>2000</v>
          </cell>
          <cell r="W278">
            <v>2</v>
          </cell>
          <cell r="X278"/>
          <cell r="Y278" t="str">
            <v>S-5</v>
          </cell>
          <cell r="Z278"/>
          <cell r="AA278"/>
          <cell r="AB278"/>
          <cell r="AC278">
            <v>3</v>
          </cell>
          <cell r="AD278" t="str">
            <v>3ｲﾝﾁMｺｱ</v>
          </cell>
          <cell r="AE278">
            <v>1220</v>
          </cell>
          <cell r="AF278"/>
          <cell r="AG278"/>
          <cell r="AH278"/>
          <cell r="AI278"/>
          <cell r="AJ278"/>
          <cell r="AK278"/>
          <cell r="AL278"/>
          <cell r="AM278"/>
        </row>
        <row r="279">
          <cell r="G279" t="str">
            <v>3UNMLBKF9BF</v>
          </cell>
          <cell r="H279" t="str">
            <v>U</v>
          </cell>
          <cell r="I279" t="str">
            <v>N</v>
          </cell>
          <cell r="J279" t="str">
            <v>MLB</v>
          </cell>
          <cell r="K279" t="str">
            <v>KF9BF</v>
          </cell>
          <cell r="M279" t="str">
            <v>3UNMLBKF9BF91400</v>
          </cell>
          <cell r="N279" t="str">
            <v>3UNMLBKF9BF91360</v>
          </cell>
          <cell r="O279">
            <v>9</v>
          </cell>
          <cell r="P279">
            <v>3</v>
          </cell>
          <cell r="Q279" t="str">
            <v>F53</v>
          </cell>
          <cell r="R279">
            <v>1400</v>
          </cell>
          <cell r="S279">
            <v>12000</v>
          </cell>
          <cell r="T279">
            <v>1360</v>
          </cell>
          <cell r="U279">
            <v>1360</v>
          </cell>
          <cell r="V279">
            <v>2100</v>
          </cell>
          <cell r="W279">
            <v>2</v>
          </cell>
          <cell r="X279"/>
          <cell r="Y279" t="str">
            <v>S-5</v>
          </cell>
          <cell r="Z279"/>
          <cell r="AA279"/>
          <cell r="AB279"/>
          <cell r="AC279">
            <v>3</v>
          </cell>
          <cell r="AD279" t="str">
            <v>3ｲﾝﾁMｺｱ</v>
          </cell>
          <cell r="AE279">
            <v>1220</v>
          </cell>
          <cell r="AF279"/>
          <cell r="AG279"/>
          <cell r="AH279"/>
          <cell r="AI279"/>
          <cell r="AJ279"/>
          <cell r="AK279"/>
          <cell r="AL279"/>
          <cell r="AM279"/>
        </row>
      </sheetData>
      <sheetData sheetId="1">
        <row r="3">
          <cell r="A3">
            <v>3647425</v>
          </cell>
          <cell r="B3" t="str">
            <v>福島コーティング</v>
          </cell>
          <cell r="C3" t="str">
            <v>プロセス材１課</v>
          </cell>
          <cell r="D3" t="str">
            <v>ダミー担当者</v>
          </cell>
          <cell r="E3" t="str">
            <v>リンテック㈱</v>
          </cell>
          <cell r="F3">
            <v>3</v>
          </cell>
          <cell r="G3" t="str">
            <v>S</v>
          </cell>
          <cell r="H3" t="str">
            <v>N</v>
          </cell>
          <cell r="I3" t="str">
            <v>MLB</v>
          </cell>
          <cell r="J3"/>
          <cell r="K3" t="str">
            <v>MNGKKBF</v>
          </cell>
          <cell r="L3">
            <v>50</v>
          </cell>
          <cell r="M3" t="str">
            <v>メタルミー　ネーマー銀消改　Ｂ</v>
          </cell>
          <cell r="N3">
            <v>1120</v>
          </cell>
          <cell r="O3">
            <v>1120</v>
          </cell>
          <cell r="P3">
            <v>4000</v>
          </cell>
          <cell r="Q3">
            <v>2</v>
          </cell>
          <cell r="R3">
            <v>8</v>
          </cell>
          <cell r="S3" t="str">
            <v>本</v>
          </cell>
          <cell r="T3">
            <v>44582</v>
          </cell>
          <cell r="U3">
            <v>44624</v>
          </cell>
          <cell r="V3" t="str">
            <v>㈱須賀川東部鏡石</v>
          </cell>
          <cell r="W3"/>
          <cell r="X3"/>
        </row>
        <row r="4">
          <cell r="A4">
            <v>3647426</v>
          </cell>
          <cell r="B4" t="str">
            <v>福島コーティング</v>
          </cell>
          <cell r="C4" t="str">
            <v>プロセス材１課</v>
          </cell>
          <cell r="D4" t="str">
            <v>ダミー担当者</v>
          </cell>
          <cell r="E4" t="str">
            <v>リンテック㈱</v>
          </cell>
          <cell r="F4">
            <v>3</v>
          </cell>
          <cell r="G4" t="str">
            <v>S</v>
          </cell>
          <cell r="H4" t="str">
            <v>N</v>
          </cell>
          <cell r="I4" t="str">
            <v>MLB</v>
          </cell>
          <cell r="J4"/>
          <cell r="K4" t="str">
            <v>MNGKKBF</v>
          </cell>
          <cell r="L4">
            <v>50</v>
          </cell>
          <cell r="M4" t="str">
            <v>メタルミー　ネーマー銀消改　Ｂ</v>
          </cell>
          <cell r="N4">
            <v>1120</v>
          </cell>
          <cell r="O4">
            <v>1120</v>
          </cell>
          <cell r="P4">
            <v>4000</v>
          </cell>
          <cell r="Q4">
            <v>2</v>
          </cell>
          <cell r="R4">
            <v>6</v>
          </cell>
          <cell r="S4" t="str">
            <v>本</v>
          </cell>
          <cell r="T4">
            <v>44582</v>
          </cell>
          <cell r="U4">
            <v>44629</v>
          </cell>
          <cell r="V4" t="str">
            <v>㈱須賀川東部鏡石</v>
          </cell>
          <cell r="W4"/>
          <cell r="X4"/>
        </row>
        <row r="5">
          <cell r="A5">
            <v>3647427</v>
          </cell>
          <cell r="B5" t="str">
            <v>福島コーティング</v>
          </cell>
          <cell r="C5" t="str">
            <v>プロセス材１課</v>
          </cell>
          <cell r="D5" t="str">
            <v>ダミー担当者</v>
          </cell>
          <cell r="E5" t="str">
            <v>リンテック㈱</v>
          </cell>
          <cell r="F5">
            <v>3</v>
          </cell>
          <cell r="G5" t="str">
            <v>S</v>
          </cell>
          <cell r="H5" t="str">
            <v>N</v>
          </cell>
          <cell r="I5" t="str">
            <v>MLB</v>
          </cell>
          <cell r="J5"/>
          <cell r="K5" t="str">
            <v>MNGKKBF</v>
          </cell>
          <cell r="L5">
            <v>50</v>
          </cell>
          <cell r="M5" t="str">
            <v>メタルミー　ネーマー銀消改　Ｂ</v>
          </cell>
          <cell r="N5">
            <v>1120</v>
          </cell>
          <cell r="O5">
            <v>1120</v>
          </cell>
          <cell r="P5">
            <v>4000</v>
          </cell>
          <cell r="Q5">
            <v>2</v>
          </cell>
          <cell r="R5">
            <v>8</v>
          </cell>
          <cell r="S5" t="str">
            <v>本</v>
          </cell>
          <cell r="T5">
            <v>44582</v>
          </cell>
          <cell r="U5">
            <v>44631</v>
          </cell>
          <cell r="V5" t="str">
            <v>㈱須賀川東部鏡石</v>
          </cell>
          <cell r="W5"/>
          <cell r="X5"/>
        </row>
        <row r="6">
          <cell r="A6">
            <v>3647428</v>
          </cell>
          <cell r="B6" t="str">
            <v>福島コーティング</v>
          </cell>
          <cell r="C6" t="str">
            <v>プロセス材１課</v>
          </cell>
          <cell r="D6" t="str">
            <v>ダミー担当者</v>
          </cell>
          <cell r="E6" t="str">
            <v>リンテック㈱</v>
          </cell>
          <cell r="F6">
            <v>3</v>
          </cell>
          <cell r="G6" t="str">
            <v>S</v>
          </cell>
          <cell r="H6" t="str">
            <v>N</v>
          </cell>
          <cell r="I6" t="str">
            <v>MLB</v>
          </cell>
          <cell r="J6"/>
          <cell r="K6" t="str">
            <v>MNGKKBF</v>
          </cell>
          <cell r="L6">
            <v>50</v>
          </cell>
          <cell r="M6" t="str">
            <v>メタルミー　ネーマー銀消改　Ｂ</v>
          </cell>
          <cell r="N6">
            <v>1120</v>
          </cell>
          <cell r="O6">
            <v>1120</v>
          </cell>
          <cell r="P6">
            <v>4000</v>
          </cell>
          <cell r="Q6">
            <v>2</v>
          </cell>
          <cell r="R6">
            <v>8</v>
          </cell>
          <cell r="S6" t="str">
            <v>本</v>
          </cell>
          <cell r="T6">
            <v>44582</v>
          </cell>
          <cell r="U6">
            <v>44637</v>
          </cell>
          <cell r="V6" t="str">
            <v>㈱須賀川東部鏡石</v>
          </cell>
          <cell r="W6"/>
          <cell r="X6"/>
        </row>
        <row r="7">
          <cell r="A7">
            <v>3652310</v>
          </cell>
          <cell r="B7" t="str">
            <v>福島コーティング</v>
          </cell>
          <cell r="C7" t="str">
            <v>工材１部大阪電材課</v>
          </cell>
          <cell r="D7" t="str">
            <v>ダミー担当者</v>
          </cell>
          <cell r="E7" t="str">
            <v>日東電工㈱豊橋工場</v>
          </cell>
          <cell r="F7">
            <v>3</v>
          </cell>
          <cell r="G7" t="str">
            <v>S</v>
          </cell>
          <cell r="H7" t="str">
            <v>N</v>
          </cell>
          <cell r="I7" t="str">
            <v>MLB</v>
          </cell>
          <cell r="J7"/>
          <cell r="K7" t="str">
            <v>MTSF</v>
          </cell>
          <cell r="L7">
            <v>50</v>
          </cell>
          <cell r="M7" t="str">
            <v>メタルミー　ＴＳ</v>
          </cell>
          <cell r="N7">
            <v>1000</v>
          </cell>
          <cell r="O7">
            <v>1000</v>
          </cell>
          <cell r="P7">
            <v>3000</v>
          </cell>
          <cell r="Q7">
            <v>2</v>
          </cell>
          <cell r="R7">
            <v>4</v>
          </cell>
          <cell r="S7" t="str">
            <v>本</v>
          </cell>
          <cell r="T7">
            <v>44613</v>
          </cell>
          <cell r="U7">
            <v>44645</v>
          </cell>
          <cell r="V7" t="str">
            <v>㈱須賀川東部鏡石</v>
          </cell>
          <cell r="W7"/>
          <cell r="X7"/>
        </row>
        <row r="8">
          <cell r="A8">
            <v>3652313</v>
          </cell>
          <cell r="B8" t="str">
            <v>福島コーティング</v>
          </cell>
          <cell r="C8" t="str">
            <v>プロセス材１課</v>
          </cell>
          <cell r="D8" t="str">
            <v>ダミー担当者</v>
          </cell>
          <cell r="E8" t="str">
            <v>日精㈱東京支店</v>
          </cell>
          <cell r="F8">
            <v>3</v>
          </cell>
          <cell r="G8" t="str">
            <v>S</v>
          </cell>
          <cell r="H8" t="str">
            <v>N</v>
          </cell>
          <cell r="I8" t="str">
            <v>MLB</v>
          </cell>
          <cell r="J8"/>
          <cell r="K8" t="str">
            <v>MSF</v>
          </cell>
          <cell r="L8">
            <v>25</v>
          </cell>
          <cell r="M8" t="str">
            <v>メタルミー　Ｓ</v>
          </cell>
          <cell r="N8">
            <v>1020</v>
          </cell>
          <cell r="O8">
            <v>1020</v>
          </cell>
          <cell r="P8">
            <v>2000</v>
          </cell>
          <cell r="Q8">
            <v>1</v>
          </cell>
          <cell r="R8">
            <v>6</v>
          </cell>
          <cell r="S8" t="str">
            <v>本</v>
          </cell>
          <cell r="T8">
            <v>44613</v>
          </cell>
          <cell r="U8">
            <v>44645</v>
          </cell>
          <cell r="V8" t="str">
            <v>㈱須賀川東部鏡石</v>
          </cell>
          <cell r="W8"/>
          <cell r="X8"/>
        </row>
        <row r="9">
          <cell r="A9">
            <v>3652314</v>
          </cell>
          <cell r="B9" t="str">
            <v>福島コーティング</v>
          </cell>
          <cell r="C9" t="str">
            <v>プロセス材１課</v>
          </cell>
          <cell r="D9" t="str">
            <v>ダミー担当者</v>
          </cell>
          <cell r="E9" t="str">
            <v>日精㈱東京支店</v>
          </cell>
          <cell r="F9">
            <v>3</v>
          </cell>
          <cell r="G9" t="str">
            <v>S</v>
          </cell>
          <cell r="H9" t="str">
            <v>N</v>
          </cell>
          <cell r="I9" t="str">
            <v>MLB</v>
          </cell>
          <cell r="J9"/>
          <cell r="K9" t="str">
            <v>MSF</v>
          </cell>
          <cell r="L9">
            <v>25</v>
          </cell>
          <cell r="M9" t="str">
            <v>メタルミー　Ｓ</v>
          </cell>
          <cell r="N9">
            <v>1240</v>
          </cell>
          <cell r="O9">
            <v>1240</v>
          </cell>
          <cell r="P9">
            <v>2000</v>
          </cell>
          <cell r="Q9">
            <v>1</v>
          </cell>
          <cell r="R9">
            <v>6</v>
          </cell>
          <cell r="S9" t="str">
            <v>本</v>
          </cell>
          <cell r="T9">
            <v>44613</v>
          </cell>
          <cell r="U9">
            <v>44645</v>
          </cell>
          <cell r="V9" t="str">
            <v>㈱須賀川東部鏡石</v>
          </cell>
          <cell r="W9"/>
          <cell r="X9"/>
        </row>
        <row r="10">
          <cell r="A10">
            <v>3652315</v>
          </cell>
          <cell r="B10" t="str">
            <v>福島コーティング</v>
          </cell>
          <cell r="C10" t="str">
            <v>プロセス材２課</v>
          </cell>
          <cell r="D10" t="str">
            <v>ダミー担当者</v>
          </cell>
          <cell r="E10" t="str">
            <v>大阪シーリング印刷㈱</v>
          </cell>
          <cell r="F10" t="str">
            <v>3H</v>
          </cell>
          <cell r="G10" t="str">
            <v>S</v>
          </cell>
          <cell r="H10" t="str">
            <v>N</v>
          </cell>
          <cell r="I10" t="str">
            <v>MCLB</v>
          </cell>
          <cell r="J10"/>
          <cell r="K10" t="str">
            <v>EYK</v>
          </cell>
          <cell r="L10">
            <v>50</v>
          </cell>
          <cell r="M10" t="str">
            <v>メタルミー　ＥＹＫ</v>
          </cell>
          <cell r="N10">
            <v>1190</v>
          </cell>
          <cell r="O10">
            <v>1190</v>
          </cell>
          <cell r="P10">
            <v>6000</v>
          </cell>
          <cell r="Q10">
            <v>2</v>
          </cell>
          <cell r="R10">
            <v>20</v>
          </cell>
          <cell r="S10" t="str">
            <v>本</v>
          </cell>
          <cell r="T10">
            <v>44613</v>
          </cell>
          <cell r="U10">
            <v>44645</v>
          </cell>
          <cell r="V10" t="str">
            <v>㈱須賀川東部鏡石</v>
          </cell>
          <cell r="W10"/>
          <cell r="X10"/>
        </row>
        <row r="11">
          <cell r="A11">
            <v>3652316</v>
          </cell>
          <cell r="B11" t="str">
            <v>福島コーティング</v>
          </cell>
          <cell r="C11" t="str">
            <v>プロセス材２課</v>
          </cell>
          <cell r="D11" t="str">
            <v>ダミー担当者</v>
          </cell>
          <cell r="E11" t="str">
            <v>大阪シーリング印刷㈱</v>
          </cell>
          <cell r="F11">
            <v>3</v>
          </cell>
          <cell r="G11" t="str">
            <v>S</v>
          </cell>
          <cell r="H11" t="str">
            <v>N</v>
          </cell>
          <cell r="I11" t="str">
            <v>MCLB</v>
          </cell>
          <cell r="J11"/>
          <cell r="K11" t="str">
            <v>MSNEYK</v>
          </cell>
          <cell r="L11">
            <v>50</v>
          </cell>
          <cell r="M11" t="str">
            <v>ＭＳＮ　ＥＹＫ</v>
          </cell>
          <cell r="N11">
            <v>1200</v>
          </cell>
          <cell r="O11">
            <v>1190</v>
          </cell>
          <cell r="P11">
            <v>6000</v>
          </cell>
          <cell r="Q11">
            <v>2</v>
          </cell>
          <cell r="R11">
            <v>6</v>
          </cell>
          <cell r="S11" t="str">
            <v>本</v>
          </cell>
          <cell r="T11">
            <v>44613</v>
          </cell>
          <cell r="U11">
            <v>44645</v>
          </cell>
          <cell r="V11" t="str">
            <v>㈱須賀川東部鏡石</v>
          </cell>
          <cell r="W11"/>
          <cell r="X11"/>
        </row>
        <row r="12">
          <cell r="A12">
            <v>3652318</v>
          </cell>
          <cell r="B12" t="str">
            <v>福島コーティング</v>
          </cell>
          <cell r="C12" t="str">
            <v>プロセス材２課</v>
          </cell>
          <cell r="D12" t="str">
            <v>ダミー担当者</v>
          </cell>
          <cell r="E12" t="str">
            <v>マルウ接着㈱</v>
          </cell>
          <cell r="F12">
            <v>3</v>
          </cell>
          <cell r="G12" t="str">
            <v>S</v>
          </cell>
          <cell r="H12" t="str">
            <v>N</v>
          </cell>
          <cell r="I12" t="str">
            <v>MCLB</v>
          </cell>
          <cell r="J12"/>
          <cell r="K12" t="str">
            <v>MSNEYK</v>
          </cell>
          <cell r="L12">
            <v>100</v>
          </cell>
          <cell r="M12" t="str">
            <v>ＭＳＮ　ＥＹＫ</v>
          </cell>
          <cell r="N12">
            <v>1205</v>
          </cell>
          <cell r="O12">
            <v>1205</v>
          </cell>
          <cell r="P12">
            <v>2500</v>
          </cell>
          <cell r="Q12">
            <v>2</v>
          </cell>
          <cell r="R12">
            <v>4</v>
          </cell>
          <cell r="S12" t="str">
            <v>本</v>
          </cell>
          <cell r="T12">
            <v>44613</v>
          </cell>
          <cell r="U12">
            <v>44645</v>
          </cell>
          <cell r="V12" t="str">
            <v>㈱須賀川東部鏡石</v>
          </cell>
          <cell r="W12"/>
          <cell r="X12"/>
        </row>
        <row r="13">
          <cell r="A13">
            <v>3652319</v>
          </cell>
          <cell r="B13" t="str">
            <v>福島コーティング</v>
          </cell>
          <cell r="C13" t="str">
            <v>プロセス材２課</v>
          </cell>
          <cell r="D13" t="str">
            <v>ダミー担当者</v>
          </cell>
          <cell r="E13" t="str">
            <v>新タック化成㈱</v>
          </cell>
          <cell r="F13">
            <v>3</v>
          </cell>
          <cell r="G13" t="str">
            <v>S</v>
          </cell>
          <cell r="H13" t="str">
            <v>N</v>
          </cell>
          <cell r="I13" t="str">
            <v>CLB</v>
          </cell>
          <cell r="J13"/>
          <cell r="K13" t="str">
            <v>LEYK</v>
          </cell>
          <cell r="L13">
            <v>25</v>
          </cell>
          <cell r="M13" t="str">
            <v>ルミラー　ＥＹＫ</v>
          </cell>
          <cell r="N13">
            <v>1120</v>
          </cell>
          <cell r="O13">
            <v>1120</v>
          </cell>
          <cell r="P13">
            <v>6000</v>
          </cell>
          <cell r="Q13">
            <v>2</v>
          </cell>
          <cell r="R13">
            <v>6</v>
          </cell>
          <cell r="S13" t="str">
            <v>本</v>
          </cell>
          <cell r="T13">
            <v>44613</v>
          </cell>
          <cell r="U13">
            <v>44645</v>
          </cell>
          <cell r="V13" t="str">
            <v>㈱須賀川東部鏡石</v>
          </cell>
          <cell r="W13"/>
          <cell r="X13"/>
        </row>
        <row r="14">
          <cell r="A14">
            <v>3652320</v>
          </cell>
          <cell r="B14" t="str">
            <v>福島コーティング</v>
          </cell>
          <cell r="C14" t="str">
            <v>プロセス材２課</v>
          </cell>
          <cell r="D14" t="str">
            <v>ダミー担当者</v>
          </cell>
          <cell r="E14" t="str">
            <v>新タック化成㈱</v>
          </cell>
          <cell r="F14">
            <v>3</v>
          </cell>
          <cell r="G14" t="str">
            <v>S</v>
          </cell>
          <cell r="H14" t="str">
            <v>N</v>
          </cell>
          <cell r="I14" t="str">
            <v>CLB</v>
          </cell>
          <cell r="J14"/>
          <cell r="K14" t="str">
            <v>LEYK</v>
          </cell>
          <cell r="L14">
            <v>50</v>
          </cell>
          <cell r="M14" t="str">
            <v>ルミラー　ＥＹＫ</v>
          </cell>
          <cell r="N14">
            <v>1120</v>
          </cell>
          <cell r="O14">
            <v>1120</v>
          </cell>
          <cell r="P14">
            <v>6000</v>
          </cell>
          <cell r="Q14">
            <v>2</v>
          </cell>
          <cell r="R14">
            <v>4</v>
          </cell>
          <cell r="S14" t="str">
            <v>本</v>
          </cell>
          <cell r="T14">
            <v>44613</v>
          </cell>
          <cell r="U14">
            <v>44645</v>
          </cell>
          <cell r="V14" t="str">
            <v>㈱須賀川東部鏡石</v>
          </cell>
          <cell r="W14"/>
          <cell r="X14"/>
        </row>
        <row r="15">
          <cell r="A15">
            <v>3652321</v>
          </cell>
          <cell r="B15" t="str">
            <v>福島コーティング</v>
          </cell>
          <cell r="C15" t="str">
            <v>プロセス材２課</v>
          </cell>
          <cell r="D15" t="str">
            <v>ダミー担当者</v>
          </cell>
          <cell r="E15" t="str">
            <v>新タック化成㈱</v>
          </cell>
          <cell r="F15">
            <v>3</v>
          </cell>
          <cell r="G15" t="str">
            <v>S</v>
          </cell>
          <cell r="H15" t="str">
            <v>N</v>
          </cell>
          <cell r="I15" t="str">
            <v>MCLB</v>
          </cell>
          <cell r="J15"/>
          <cell r="K15" t="str">
            <v>EYK</v>
          </cell>
          <cell r="L15">
            <v>50</v>
          </cell>
          <cell r="M15" t="str">
            <v>メタルミー　ＥＹＫ</v>
          </cell>
          <cell r="N15">
            <v>1120</v>
          </cell>
          <cell r="O15">
            <v>1120</v>
          </cell>
          <cell r="P15">
            <v>6000</v>
          </cell>
          <cell r="Q15">
            <v>2</v>
          </cell>
          <cell r="R15">
            <v>1</v>
          </cell>
          <cell r="S15" t="str">
            <v>本</v>
          </cell>
          <cell r="T15">
            <v>44613</v>
          </cell>
          <cell r="U15">
            <v>44645</v>
          </cell>
          <cell r="V15" t="str">
            <v>㈱須賀川東部鏡石</v>
          </cell>
          <cell r="W15"/>
          <cell r="X15"/>
        </row>
        <row r="16">
          <cell r="A16">
            <v>3652322</v>
          </cell>
          <cell r="B16" t="str">
            <v>福島コーティング</v>
          </cell>
          <cell r="C16" t="str">
            <v>プロセス材２課</v>
          </cell>
          <cell r="D16" t="str">
            <v>ダミー担当者</v>
          </cell>
          <cell r="E16" t="str">
            <v>新タック化成㈱</v>
          </cell>
          <cell r="F16">
            <v>3</v>
          </cell>
          <cell r="G16" t="str">
            <v>S</v>
          </cell>
          <cell r="H16" t="str">
            <v>N</v>
          </cell>
          <cell r="I16" t="str">
            <v>MCLB</v>
          </cell>
          <cell r="J16"/>
          <cell r="K16" t="str">
            <v>MSNEYK</v>
          </cell>
          <cell r="L16">
            <v>50</v>
          </cell>
          <cell r="M16" t="str">
            <v>ＭＳＮ　ＥＹＫ</v>
          </cell>
          <cell r="N16">
            <v>1120</v>
          </cell>
          <cell r="O16">
            <v>1120</v>
          </cell>
          <cell r="P16">
            <v>4000</v>
          </cell>
          <cell r="Q16">
            <v>2</v>
          </cell>
          <cell r="R16">
            <v>2</v>
          </cell>
          <cell r="S16" t="str">
            <v>本</v>
          </cell>
          <cell r="T16">
            <v>44613</v>
          </cell>
          <cell r="U16">
            <v>44645</v>
          </cell>
          <cell r="V16" t="str">
            <v>㈱須賀川東部鏡石</v>
          </cell>
          <cell r="W16"/>
          <cell r="X16"/>
        </row>
        <row r="17">
          <cell r="A17">
            <v>3652323</v>
          </cell>
          <cell r="B17" t="str">
            <v>福島コーティング</v>
          </cell>
          <cell r="C17" t="str">
            <v>プロセス材１課</v>
          </cell>
          <cell r="D17" t="str">
            <v>ダミー担当者</v>
          </cell>
          <cell r="E17" t="str">
            <v>アジヤアルミ㈱</v>
          </cell>
          <cell r="F17">
            <v>3</v>
          </cell>
          <cell r="G17" t="str">
            <v>S</v>
          </cell>
          <cell r="H17" t="str">
            <v>N</v>
          </cell>
          <cell r="I17" t="str">
            <v>MLB</v>
          </cell>
          <cell r="J17"/>
          <cell r="K17" t="str">
            <v>MNSJF</v>
          </cell>
          <cell r="L17">
            <v>12</v>
          </cell>
          <cell r="M17" t="str">
            <v>ＮＳ蒸着</v>
          </cell>
          <cell r="N17">
            <v>1000</v>
          </cell>
          <cell r="O17">
            <v>1000</v>
          </cell>
          <cell r="P17">
            <v>6000</v>
          </cell>
          <cell r="Q17">
            <v>2</v>
          </cell>
          <cell r="R17">
            <v>8</v>
          </cell>
          <cell r="S17" t="str">
            <v>本</v>
          </cell>
          <cell r="T17">
            <v>44613</v>
          </cell>
          <cell r="U17">
            <v>44628</v>
          </cell>
          <cell r="V17" t="str">
            <v>㈱須賀川東部鏡石</v>
          </cell>
          <cell r="W17"/>
          <cell r="X17"/>
        </row>
        <row r="18">
          <cell r="A18">
            <v>3652324</v>
          </cell>
          <cell r="B18" t="str">
            <v>福島コーティング</v>
          </cell>
          <cell r="C18" t="str">
            <v>プロセス材１課</v>
          </cell>
          <cell r="D18" t="str">
            <v>ダミー担当者</v>
          </cell>
          <cell r="E18" t="str">
            <v>リンテック㈱</v>
          </cell>
          <cell r="F18">
            <v>3</v>
          </cell>
          <cell r="G18" t="str">
            <v>S</v>
          </cell>
          <cell r="H18" t="str">
            <v>N</v>
          </cell>
          <cell r="I18" t="str">
            <v>MLB</v>
          </cell>
          <cell r="J18"/>
          <cell r="K18" t="str">
            <v>MNGKKBF</v>
          </cell>
          <cell r="L18">
            <v>25</v>
          </cell>
          <cell r="M18" t="str">
            <v>メタルミー　ネーマー銀消改　Ｂ</v>
          </cell>
          <cell r="N18">
            <v>1120</v>
          </cell>
          <cell r="O18">
            <v>1120</v>
          </cell>
          <cell r="P18">
            <v>4000</v>
          </cell>
          <cell r="Q18">
            <v>2</v>
          </cell>
          <cell r="R18">
            <v>7</v>
          </cell>
          <cell r="S18" t="str">
            <v>本</v>
          </cell>
          <cell r="T18">
            <v>44613</v>
          </cell>
          <cell r="U18">
            <v>44635</v>
          </cell>
          <cell r="V18" t="str">
            <v>㈱須賀川東部鏡石</v>
          </cell>
          <cell r="W18"/>
          <cell r="X18"/>
        </row>
        <row r="19">
          <cell r="A19">
            <v>3652325</v>
          </cell>
          <cell r="B19" t="str">
            <v>福島コーティング</v>
          </cell>
          <cell r="C19" t="str">
            <v>プロセス材１課</v>
          </cell>
          <cell r="D19" t="str">
            <v>ダミー担当者</v>
          </cell>
          <cell r="E19" t="str">
            <v>リンテック㈱</v>
          </cell>
          <cell r="F19">
            <v>3</v>
          </cell>
          <cell r="G19" t="str">
            <v>S</v>
          </cell>
          <cell r="H19" t="str">
            <v>N</v>
          </cell>
          <cell r="I19" t="str">
            <v>MLB</v>
          </cell>
          <cell r="J19"/>
          <cell r="K19" t="str">
            <v>MNGKKBF</v>
          </cell>
          <cell r="L19">
            <v>50</v>
          </cell>
          <cell r="M19" t="str">
            <v>メタルミー　ネーマー銀消改　Ｂ</v>
          </cell>
          <cell r="N19">
            <v>1000</v>
          </cell>
          <cell r="O19">
            <v>1000</v>
          </cell>
          <cell r="P19">
            <v>4000</v>
          </cell>
          <cell r="Q19">
            <v>2</v>
          </cell>
          <cell r="R19">
            <v>2</v>
          </cell>
          <cell r="S19" t="str">
            <v>本</v>
          </cell>
          <cell r="T19">
            <v>44613</v>
          </cell>
          <cell r="U19">
            <v>44645</v>
          </cell>
          <cell r="V19" t="str">
            <v>㈱須賀川東部鏡石</v>
          </cell>
          <cell r="W19"/>
          <cell r="X19"/>
        </row>
        <row r="20">
          <cell r="A20">
            <v>3652326</v>
          </cell>
          <cell r="B20" t="str">
            <v>福島コーティング</v>
          </cell>
          <cell r="C20" t="str">
            <v>プロセス材１課</v>
          </cell>
          <cell r="D20" t="str">
            <v>ダミー担当者</v>
          </cell>
          <cell r="E20" t="str">
            <v>リンテック㈱</v>
          </cell>
          <cell r="F20">
            <v>3</v>
          </cell>
          <cell r="G20" t="str">
            <v>S</v>
          </cell>
          <cell r="H20" t="str">
            <v>N</v>
          </cell>
          <cell r="I20" t="str">
            <v>MLB</v>
          </cell>
          <cell r="J20"/>
          <cell r="K20" t="str">
            <v>MNGKBF</v>
          </cell>
          <cell r="L20">
            <v>50</v>
          </cell>
          <cell r="M20" t="str">
            <v>メタルミー　ネーマー銀消　Ｂ</v>
          </cell>
          <cell r="N20">
            <v>1050</v>
          </cell>
          <cell r="O20">
            <v>1050</v>
          </cell>
          <cell r="P20">
            <v>4100</v>
          </cell>
          <cell r="Q20">
            <v>2</v>
          </cell>
          <cell r="R20">
            <v>6</v>
          </cell>
          <cell r="S20" t="str">
            <v>本</v>
          </cell>
          <cell r="T20">
            <v>44613</v>
          </cell>
          <cell r="U20">
            <v>44645</v>
          </cell>
          <cell r="V20" t="str">
            <v>㈱須賀川東部鏡石</v>
          </cell>
          <cell r="W20"/>
          <cell r="X20"/>
        </row>
        <row r="21">
          <cell r="A21">
            <v>3652327</v>
          </cell>
          <cell r="B21" t="str">
            <v>福島コーティング</v>
          </cell>
          <cell r="C21" t="str">
            <v>プロセス材１課</v>
          </cell>
          <cell r="D21" t="str">
            <v>ダミー担当者</v>
          </cell>
          <cell r="E21" t="str">
            <v>リンテック㈱</v>
          </cell>
          <cell r="F21">
            <v>3</v>
          </cell>
          <cell r="G21" t="str">
            <v>S</v>
          </cell>
          <cell r="H21" t="str">
            <v>N</v>
          </cell>
          <cell r="I21" t="str">
            <v>MLB</v>
          </cell>
          <cell r="J21"/>
          <cell r="K21" t="str">
            <v>MNGKBF</v>
          </cell>
          <cell r="L21">
            <v>75</v>
          </cell>
          <cell r="M21" t="str">
            <v>メタルミー　ネーマー銀消　Ｂ</v>
          </cell>
          <cell r="N21">
            <v>1050</v>
          </cell>
          <cell r="O21">
            <v>1050</v>
          </cell>
          <cell r="P21">
            <v>2000</v>
          </cell>
          <cell r="Q21">
            <v>2</v>
          </cell>
          <cell r="R21">
            <v>2</v>
          </cell>
          <cell r="S21" t="str">
            <v>本</v>
          </cell>
          <cell r="T21">
            <v>44613</v>
          </cell>
          <cell r="U21">
            <v>44645</v>
          </cell>
          <cell r="V21" t="str">
            <v>㈱須賀川東部鏡石</v>
          </cell>
          <cell r="W21"/>
          <cell r="X21"/>
        </row>
        <row r="22">
          <cell r="A22">
            <v>3652328</v>
          </cell>
          <cell r="B22" t="str">
            <v>福島コーティング</v>
          </cell>
          <cell r="C22" t="str">
            <v>プロセス材１課</v>
          </cell>
          <cell r="D22" t="str">
            <v>ダミー担当者</v>
          </cell>
          <cell r="E22" t="str">
            <v>リンテック㈱</v>
          </cell>
          <cell r="F22">
            <v>3</v>
          </cell>
          <cell r="G22" t="str">
            <v>S</v>
          </cell>
          <cell r="H22" t="str">
            <v>N</v>
          </cell>
          <cell r="I22" t="str">
            <v>MCLB</v>
          </cell>
          <cell r="J22"/>
          <cell r="K22" t="str">
            <v>NGKVB</v>
          </cell>
          <cell r="L22">
            <v>50</v>
          </cell>
          <cell r="M22" t="str">
            <v>メタルミー　ネーマー銀消　ＶＢ</v>
          </cell>
          <cell r="N22">
            <v>1005</v>
          </cell>
          <cell r="O22">
            <v>1000</v>
          </cell>
          <cell r="P22">
            <v>4000</v>
          </cell>
          <cell r="Q22">
            <v>2</v>
          </cell>
          <cell r="R22">
            <v>3</v>
          </cell>
          <cell r="S22" t="str">
            <v>本</v>
          </cell>
          <cell r="T22">
            <v>44613</v>
          </cell>
          <cell r="U22">
            <v>44645</v>
          </cell>
          <cell r="V22" t="str">
            <v>㈱須賀川東部鏡石</v>
          </cell>
          <cell r="W22"/>
          <cell r="X22"/>
        </row>
        <row r="23">
          <cell r="A23">
            <v>3652331</v>
          </cell>
          <cell r="B23" t="str">
            <v>福島コーティング</v>
          </cell>
          <cell r="C23" t="str">
            <v>プロセス材１課</v>
          </cell>
          <cell r="D23" t="str">
            <v>ダミー担当者</v>
          </cell>
          <cell r="E23" t="str">
            <v>リンテック㈱</v>
          </cell>
          <cell r="F23">
            <v>3</v>
          </cell>
          <cell r="G23" t="str">
            <v>S</v>
          </cell>
          <cell r="H23" t="str">
            <v>N</v>
          </cell>
          <cell r="I23" t="str">
            <v>MCLB</v>
          </cell>
          <cell r="J23"/>
          <cell r="K23" t="str">
            <v>NGKEYKB</v>
          </cell>
          <cell r="L23">
            <v>16</v>
          </cell>
          <cell r="M23" t="str">
            <v>メタルミー　ネーマー　ギンケシ　ＥＹＫＢ</v>
          </cell>
          <cell r="N23">
            <v>1005</v>
          </cell>
          <cell r="O23">
            <v>1000</v>
          </cell>
          <cell r="P23">
            <v>3000</v>
          </cell>
          <cell r="Q23">
            <v>2</v>
          </cell>
          <cell r="R23">
            <v>1</v>
          </cell>
          <cell r="S23" t="str">
            <v>本</v>
          </cell>
          <cell r="T23">
            <v>44613</v>
          </cell>
          <cell r="U23">
            <v>44627</v>
          </cell>
          <cell r="V23" t="str">
            <v>㈱須賀川東部鏡石</v>
          </cell>
          <cell r="W23"/>
          <cell r="X23"/>
        </row>
        <row r="24">
          <cell r="A24">
            <v>3652332</v>
          </cell>
          <cell r="B24" t="str">
            <v>福島コーティング</v>
          </cell>
          <cell r="C24" t="str">
            <v>プロセス材１課</v>
          </cell>
          <cell r="D24" t="str">
            <v>ダミー担当者</v>
          </cell>
          <cell r="E24" t="str">
            <v>リンテック㈱</v>
          </cell>
          <cell r="F24">
            <v>3</v>
          </cell>
          <cell r="G24" t="str">
            <v>S</v>
          </cell>
          <cell r="H24" t="str">
            <v>N</v>
          </cell>
          <cell r="I24" t="str">
            <v>MLB</v>
          </cell>
          <cell r="J24"/>
          <cell r="K24" t="str">
            <v>MNGTBF</v>
          </cell>
          <cell r="L24">
            <v>25</v>
          </cell>
          <cell r="M24" t="str">
            <v>メタルミー　ネーマー　銀艶　Ｂ</v>
          </cell>
          <cell r="N24">
            <v>1005</v>
          </cell>
          <cell r="O24">
            <v>1000</v>
          </cell>
          <cell r="P24">
            <v>4000</v>
          </cell>
          <cell r="Q24">
            <v>2</v>
          </cell>
          <cell r="R24">
            <v>12</v>
          </cell>
          <cell r="S24" t="str">
            <v>本</v>
          </cell>
          <cell r="T24">
            <v>44613</v>
          </cell>
          <cell r="U24">
            <v>44638</v>
          </cell>
          <cell r="V24" t="str">
            <v>㈱須賀川東部鏡石</v>
          </cell>
          <cell r="W24"/>
          <cell r="X24"/>
        </row>
        <row r="25">
          <cell r="A25">
            <v>3652333</v>
          </cell>
          <cell r="B25" t="str">
            <v>福島コーティング</v>
          </cell>
          <cell r="C25" t="str">
            <v>プロセス材１課</v>
          </cell>
          <cell r="D25" t="str">
            <v>ダミー担当者</v>
          </cell>
          <cell r="E25" t="str">
            <v>リンテック㈱</v>
          </cell>
          <cell r="F25">
            <v>3</v>
          </cell>
          <cell r="G25" t="str">
            <v>S</v>
          </cell>
          <cell r="H25" t="str">
            <v>N</v>
          </cell>
          <cell r="I25" t="str">
            <v>MLB</v>
          </cell>
          <cell r="J25"/>
          <cell r="K25" t="str">
            <v>MNGTBF</v>
          </cell>
          <cell r="L25">
            <v>50</v>
          </cell>
          <cell r="M25" t="str">
            <v>メタルミー　ネーマー　銀艶　Ｂ</v>
          </cell>
          <cell r="N25">
            <v>1120</v>
          </cell>
          <cell r="O25">
            <v>1120</v>
          </cell>
          <cell r="P25">
            <v>5000</v>
          </cell>
          <cell r="Q25">
            <v>2</v>
          </cell>
          <cell r="R25">
            <v>12</v>
          </cell>
          <cell r="S25" t="str">
            <v>本</v>
          </cell>
          <cell r="T25">
            <v>44613</v>
          </cell>
          <cell r="U25">
            <v>44645</v>
          </cell>
          <cell r="V25" t="str">
            <v>㈱須賀川東部鏡石</v>
          </cell>
          <cell r="W25"/>
          <cell r="X25"/>
        </row>
        <row r="26">
          <cell r="A26">
            <v>3652334</v>
          </cell>
          <cell r="B26" t="str">
            <v>福島コーティング</v>
          </cell>
          <cell r="C26" t="str">
            <v>プロセス材１課</v>
          </cell>
          <cell r="D26" t="str">
            <v>ダミー担当者</v>
          </cell>
          <cell r="E26" t="str">
            <v>リンテック㈱</v>
          </cell>
          <cell r="F26">
            <v>3</v>
          </cell>
          <cell r="G26" t="str">
            <v>S</v>
          </cell>
          <cell r="H26" t="str">
            <v>N</v>
          </cell>
          <cell r="I26" t="str">
            <v>MLB</v>
          </cell>
          <cell r="J26"/>
          <cell r="K26" t="str">
            <v>MNGTBF</v>
          </cell>
          <cell r="L26">
            <v>50</v>
          </cell>
          <cell r="M26" t="str">
            <v>メタルミー　ネーマー　銀艶　Ｂ</v>
          </cell>
          <cell r="N26">
            <v>1120</v>
          </cell>
          <cell r="O26">
            <v>1120</v>
          </cell>
          <cell r="P26">
            <v>5000</v>
          </cell>
          <cell r="Q26">
            <v>2</v>
          </cell>
          <cell r="R26">
            <v>12</v>
          </cell>
          <cell r="S26" t="str">
            <v>本</v>
          </cell>
          <cell r="T26">
            <v>44613</v>
          </cell>
          <cell r="U26">
            <v>44652</v>
          </cell>
          <cell r="V26" t="str">
            <v>㈱須賀川東部鏡石</v>
          </cell>
          <cell r="W26"/>
          <cell r="X26"/>
        </row>
        <row r="27">
          <cell r="A27">
            <v>3652335</v>
          </cell>
          <cell r="B27" t="str">
            <v>福島コーティング</v>
          </cell>
          <cell r="C27" t="str">
            <v>プロセス材１課</v>
          </cell>
          <cell r="D27" t="str">
            <v>ダミー担当者</v>
          </cell>
          <cell r="E27" t="str">
            <v>リンテック㈱</v>
          </cell>
          <cell r="F27">
            <v>3</v>
          </cell>
          <cell r="G27" t="str">
            <v>S</v>
          </cell>
          <cell r="H27" t="str">
            <v>N</v>
          </cell>
          <cell r="I27" t="str">
            <v>MLB</v>
          </cell>
          <cell r="J27"/>
          <cell r="K27" t="str">
            <v>MNGTBF</v>
          </cell>
          <cell r="L27">
            <v>50</v>
          </cell>
          <cell r="M27" t="str">
            <v>メタルミー　ネーマー　銀艶　Ｂ</v>
          </cell>
          <cell r="N27">
            <v>1120</v>
          </cell>
          <cell r="O27">
            <v>1120</v>
          </cell>
          <cell r="P27">
            <v>5000</v>
          </cell>
          <cell r="Q27">
            <v>2</v>
          </cell>
          <cell r="R27">
            <v>14</v>
          </cell>
          <cell r="S27" t="str">
            <v>本</v>
          </cell>
          <cell r="T27">
            <v>44613</v>
          </cell>
          <cell r="U27">
            <v>44659</v>
          </cell>
          <cell r="V27" t="str">
            <v>㈱須賀川東部鏡石</v>
          </cell>
          <cell r="W27"/>
          <cell r="X27"/>
        </row>
        <row r="28">
          <cell r="A28">
            <v>3652336</v>
          </cell>
          <cell r="B28" t="str">
            <v>福島コーティング</v>
          </cell>
          <cell r="C28" t="str">
            <v>プロセス材１課</v>
          </cell>
          <cell r="D28" t="str">
            <v>ダミー担当者</v>
          </cell>
          <cell r="E28" t="str">
            <v>リンテック㈱</v>
          </cell>
          <cell r="F28">
            <v>3</v>
          </cell>
          <cell r="G28" t="str">
            <v>S</v>
          </cell>
          <cell r="H28" t="str">
            <v>N</v>
          </cell>
          <cell r="I28" t="str">
            <v>MLB</v>
          </cell>
          <cell r="J28"/>
          <cell r="K28" t="str">
            <v>MNGTBF</v>
          </cell>
          <cell r="L28">
            <v>50</v>
          </cell>
          <cell r="M28" t="str">
            <v>メタルミー　ネーマー　銀艶　Ｂ</v>
          </cell>
          <cell r="N28">
            <v>1120</v>
          </cell>
          <cell r="O28">
            <v>1120</v>
          </cell>
          <cell r="P28">
            <v>5000</v>
          </cell>
          <cell r="Q28">
            <v>2</v>
          </cell>
          <cell r="R28">
            <v>12</v>
          </cell>
          <cell r="S28" t="str">
            <v>本</v>
          </cell>
          <cell r="T28">
            <v>44613</v>
          </cell>
          <cell r="U28">
            <v>44676</v>
          </cell>
          <cell r="V28" t="str">
            <v>㈱須賀川東部鏡石</v>
          </cell>
          <cell r="W28"/>
          <cell r="X28"/>
        </row>
        <row r="29">
          <cell r="A29">
            <v>3652337</v>
          </cell>
          <cell r="B29" t="str">
            <v>福島コーティング</v>
          </cell>
          <cell r="C29" t="str">
            <v>プロセス材１課</v>
          </cell>
          <cell r="D29" t="str">
            <v>ダミー担当者</v>
          </cell>
          <cell r="E29" t="str">
            <v>リンテック㈱</v>
          </cell>
          <cell r="F29">
            <v>3</v>
          </cell>
          <cell r="G29" t="str">
            <v>S</v>
          </cell>
          <cell r="H29" t="str">
            <v>N</v>
          </cell>
          <cell r="I29" t="str">
            <v>MLB</v>
          </cell>
          <cell r="J29"/>
          <cell r="K29" t="str">
            <v>MNNGKBF</v>
          </cell>
          <cell r="L29">
            <v>25</v>
          </cell>
          <cell r="M29" t="str">
            <v>メタルミー　ニューネーマー銀消　Ｂ</v>
          </cell>
          <cell r="N29">
            <v>1005</v>
          </cell>
          <cell r="O29">
            <v>1000</v>
          </cell>
          <cell r="P29">
            <v>4000</v>
          </cell>
          <cell r="Q29">
            <v>2</v>
          </cell>
          <cell r="R29">
            <v>2</v>
          </cell>
          <cell r="S29" t="str">
            <v>本</v>
          </cell>
          <cell r="T29">
            <v>44613</v>
          </cell>
          <cell r="U29">
            <v>44645</v>
          </cell>
          <cell r="V29" t="str">
            <v>㈱須賀川東部鏡石</v>
          </cell>
          <cell r="W29"/>
          <cell r="X29"/>
        </row>
        <row r="30">
          <cell r="A30">
            <v>3652338</v>
          </cell>
          <cell r="B30" t="str">
            <v>福島コーティング</v>
          </cell>
          <cell r="C30" t="str">
            <v>プロセス材１課</v>
          </cell>
          <cell r="D30" t="str">
            <v>ダミー担当者</v>
          </cell>
          <cell r="E30" t="str">
            <v>リンテック㈱</v>
          </cell>
          <cell r="F30">
            <v>3</v>
          </cell>
          <cell r="G30" t="str">
            <v>S</v>
          </cell>
          <cell r="H30" t="str">
            <v>N</v>
          </cell>
          <cell r="I30" t="str">
            <v>MLB</v>
          </cell>
          <cell r="J30"/>
          <cell r="K30" t="str">
            <v>MNNGKBF</v>
          </cell>
          <cell r="L30">
            <v>50</v>
          </cell>
          <cell r="M30" t="str">
            <v>メタルミー　ニューネーマー銀消　Ｂ</v>
          </cell>
          <cell r="N30">
            <v>1000</v>
          </cell>
          <cell r="O30">
            <v>1000</v>
          </cell>
          <cell r="P30">
            <v>4000</v>
          </cell>
          <cell r="Q30">
            <v>2</v>
          </cell>
          <cell r="R30">
            <v>30</v>
          </cell>
          <cell r="S30" t="str">
            <v>本</v>
          </cell>
          <cell r="T30">
            <v>44613</v>
          </cell>
          <cell r="U30">
            <v>44645</v>
          </cell>
          <cell r="V30" t="str">
            <v>㈱須賀川東部鏡石</v>
          </cell>
          <cell r="W30"/>
          <cell r="X30"/>
        </row>
        <row r="31">
          <cell r="A31">
            <v>3652339</v>
          </cell>
          <cell r="B31" t="str">
            <v>福島コーティング</v>
          </cell>
          <cell r="C31" t="str">
            <v>プロセス材１課</v>
          </cell>
          <cell r="D31" t="str">
            <v>ダミー担当者</v>
          </cell>
          <cell r="E31" t="str">
            <v>リンテック㈱</v>
          </cell>
          <cell r="F31" t="str">
            <v>33S</v>
          </cell>
          <cell r="G31" t="str">
            <v>S</v>
          </cell>
          <cell r="H31" t="str">
            <v>N</v>
          </cell>
          <cell r="I31" t="str">
            <v>MCLB</v>
          </cell>
          <cell r="J31"/>
          <cell r="K31" t="str">
            <v>TEKKFV</v>
          </cell>
          <cell r="L31">
            <v>50</v>
          </cell>
          <cell r="M31" t="str">
            <v>メタルミー　ＴＥＳ消開封　Ｖ</v>
          </cell>
          <cell r="N31">
            <v>1005</v>
          </cell>
          <cell r="O31">
            <v>1000</v>
          </cell>
          <cell r="P31">
            <v>4000</v>
          </cell>
          <cell r="Q31">
            <v>2</v>
          </cell>
          <cell r="R31">
            <v>6</v>
          </cell>
          <cell r="S31" t="str">
            <v>本</v>
          </cell>
          <cell r="T31">
            <v>44613</v>
          </cell>
          <cell r="U31">
            <v>44645</v>
          </cell>
          <cell r="V31" t="str">
            <v>㈱須賀川東部鏡石</v>
          </cell>
          <cell r="W31"/>
          <cell r="X31"/>
        </row>
        <row r="32">
          <cell r="A32">
            <v>3652340</v>
          </cell>
          <cell r="B32" t="str">
            <v>福島コーティング</v>
          </cell>
          <cell r="C32" t="str">
            <v>プロセス材１課</v>
          </cell>
          <cell r="D32" t="str">
            <v>ダミー担当者</v>
          </cell>
          <cell r="E32" t="str">
            <v>リンテック㈱</v>
          </cell>
          <cell r="F32" t="str">
            <v>33S</v>
          </cell>
          <cell r="G32" t="str">
            <v>S</v>
          </cell>
          <cell r="H32" t="str">
            <v>N</v>
          </cell>
          <cell r="I32" t="str">
            <v>MCLB</v>
          </cell>
          <cell r="J32"/>
          <cell r="K32" t="str">
            <v>TEKV0V</v>
          </cell>
          <cell r="L32">
            <v>50</v>
          </cell>
          <cell r="M32" t="str">
            <v>メタルミー　ＴＥ－Ｓ消　ＶＯＩＤ　Ｖ</v>
          </cell>
          <cell r="N32">
            <v>1005</v>
          </cell>
          <cell r="O32">
            <v>1000</v>
          </cell>
          <cell r="P32">
            <v>4000</v>
          </cell>
          <cell r="Q32">
            <v>2</v>
          </cell>
          <cell r="R32">
            <v>3</v>
          </cell>
          <cell r="S32" t="str">
            <v>本</v>
          </cell>
          <cell r="T32">
            <v>44613</v>
          </cell>
          <cell r="U32">
            <v>44642</v>
          </cell>
          <cell r="V32" t="str">
            <v>㈱須賀川東部鏡石</v>
          </cell>
          <cell r="W32"/>
          <cell r="X32"/>
        </row>
        <row r="33">
          <cell r="A33">
            <v>3652341</v>
          </cell>
          <cell r="B33" t="str">
            <v>福島コーティング</v>
          </cell>
          <cell r="C33" t="str">
            <v>プロセス材１課</v>
          </cell>
          <cell r="D33" t="str">
            <v>ダミー担当者</v>
          </cell>
          <cell r="E33" t="str">
            <v>リンテック㈱</v>
          </cell>
          <cell r="F33" t="str">
            <v>33S</v>
          </cell>
          <cell r="G33" t="str">
            <v>S</v>
          </cell>
          <cell r="H33" t="str">
            <v>Y</v>
          </cell>
          <cell r="I33" t="str">
            <v>MCLB</v>
          </cell>
          <cell r="J33"/>
          <cell r="K33" t="str">
            <v>TEKV0V</v>
          </cell>
          <cell r="L33">
            <v>50</v>
          </cell>
          <cell r="M33" t="str">
            <v>メタルミー　ＴＥ－Ｓ消　ＶＯＩＤ　Ｖ</v>
          </cell>
          <cell r="N33">
            <v>1005</v>
          </cell>
          <cell r="O33">
            <v>1000</v>
          </cell>
          <cell r="P33">
            <v>4000</v>
          </cell>
          <cell r="Q33">
            <v>2</v>
          </cell>
          <cell r="R33">
            <v>2</v>
          </cell>
          <cell r="S33" t="str">
            <v>本</v>
          </cell>
          <cell r="T33">
            <v>44613</v>
          </cell>
          <cell r="U33">
            <v>44642</v>
          </cell>
          <cell r="V33" t="str">
            <v>㈱須賀川東部鏡石</v>
          </cell>
          <cell r="W33"/>
          <cell r="X33"/>
        </row>
        <row r="34">
          <cell r="A34">
            <v>3652342</v>
          </cell>
          <cell r="B34" t="str">
            <v>福島コーティング</v>
          </cell>
          <cell r="C34" t="str">
            <v>プロセス材１課</v>
          </cell>
          <cell r="D34" t="str">
            <v>ダミー担当者</v>
          </cell>
          <cell r="E34" t="str">
            <v>リンテック㈱</v>
          </cell>
          <cell r="F34" t="str">
            <v>33S</v>
          </cell>
          <cell r="G34" t="str">
            <v>S</v>
          </cell>
          <cell r="H34" t="str">
            <v>N</v>
          </cell>
          <cell r="I34" t="str">
            <v>MCLB</v>
          </cell>
          <cell r="J34"/>
          <cell r="K34" t="str">
            <v>TETKFV</v>
          </cell>
          <cell r="L34">
            <v>50</v>
          </cell>
          <cell r="M34" t="str">
            <v>メタルミー　ＴＥＳ艶開封　Ｖ</v>
          </cell>
          <cell r="N34">
            <v>1005</v>
          </cell>
          <cell r="O34">
            <v>1000</v>
          </cell>
          <cell r="P34">
            <v>4000</v>
          </cell>
          <cell r="Q34">
            <v>2</v>
          </cell>
          <cell r="R34">
            <v>2</v>
          </cell>
          <cell r="S34" t="str">
            <v>本</v>
          </cell>
          <cell r="T34">
            <v>44613</v>
          </cell>
          <cell r="U34">
            <v>44645</v>
          </cell>
          <cell r="V34" t="str">
            <v>㈱須賀川東部鏡石</v>
          </cell>
          <cell r="W34"/>
          <cell r="X34"/>
        </row>
        <row r="35">
          <cell r="A35">
            <v>3652345</v>
          </cell>
          <cell r="B35" t="str">
            <v>福島コーティング</v>
          </cell>
          <cell r="C35" t="str">
            <v>プロセス材１課</v>
          </cell>
          <cell r="D35" t="str">
            <v>ダミー担当者</v>
          </cell>
          <cell r="E35" t="str">
            <v>リンテック㈱</v>
          </cell>
          <cell r="F35">
            <v>3</v>
          </cell>
          <cell r="G35" t="str">
            <v>S</v>
          </cell>
          <cell r="H35" t="str">
            <v>N</v>
          </cell>
          <cell r="I35" t="str">
            <v>MLB</v>
          </cell>
          <cell r="J35"/>
          <cell r="K35" t="str">
            <v>MNQR66F</v>
          </cell>
          <cell r="L35">
            <v>25</v>
          </cell>
          <cell r="M35" t="str">
            <v>ＱＲ６６蒸着品</v>
          </cell>
          <cell r="N35">
            <v>1100</v>
          </cell>
          <cell r="O35">
            <v>1100</v>
          </cell>
          <cell r="P35">
            <v>6000</v>
          </cell>
          <cell r="Q35">
            <v>2</v>
          </cell>
          <cell r="R35">
            <v>20</v>
          </cell>
          <cell r="S35" t="str">
            <v>本</v>
          </cell>
          <cell r="T35">
            <v>44613</v>
          </cell>
          <cell r="U35">
            <v>44635</v>
          </cell>
          <cell r="V35" t="str">
            <v>㈱須賀川東部鏡石</v>
          </cell>
          <cell r="W35"/>
          <cell r="X35"/>
        </row>
        <row r="36">
          <cell r="A36">
            <v>3652346</v>
          </cell>
          <cell r="B36" t="str">
            <v>福島コーティング</v>
          </cell>
          <cell r="C36" t="str">
            <v>プロセス材１課</v>
          </cell>
          <cell r="D36" t="str">
            <v>ダミー担当者</v>
          </cell>
          <cell r="E36" t="str">
            <v>リンテック㈱</v>
          </cell>
          <cell r="F36">
            <v>3</v>
          </cell>
          <cell r="G36" t="str">
            <v>S</v>
          </cell>
          <cell r="H36" t="str">
            <v>N</v>
          </cell>
          <cell r="I36" t="str">
            <v>MCLB</v>
          </cell>
          <cell r="J36"/>
          <cell r="K36" t="str">
            <v>HLGTV</v>
          </cell>
          <cell r="L36">
            <v>50</v>
          </cell>
          <cell r="M36" t="str">
            <v>メタルミー　ヘヤライン　銀艶Ｖ</v>
          </cell>
          <cell r="N36">
            <v>1005</v>
          </cell>
          <cell r="O36">
            <v>1000</v>
          </cell>
          <cell r="P36">
            <v>2000</v>
          </cell>
          <cell r="Q36">
            <v>2</v>
          </cell>
          <cell r="R36">
            <v>1</v>
          </cell>
          <cell r="S36" t="str">
            <v>本</v>
          </cell>
          <cell r="T36">
            <v>44613</v>
          </cell>
          <cell r="U36">
            <v>44638</v>
          </cell>
          <cell r="V36" t="str">
            <v>㈱須賀川東部鏡石</v>
          </cell>
          <cell r="W36"/>
          <cell r="X36"/>
        </row>
        <row r="37">
          <cell r="A37">
            <v>3652346</v>
          </cell>
          <cell r="B37" t="str">
            <v>福島コーティング</v>
          </cell>
          <cell r="C37" t="str">
            <v>プロセス材１課</v>
          </cell>
          <cell r="D37" t="str">
            <v>ダミー担当者</v>
          </cell>
          <cell r="E37" t="str">
            <v>リンテック㈱</v>
          </cell>
          <cell r="F37">
            <v>3</v>
          </cell>
          <cell r="G37" t="str">
            <v>S</v>
          </cell>
          <cell r="H37" t="str">
            <v>Y</v>
          </cell>
          <cell r="I37" t="str">
            <v>MCLB</v>
          </cell>
          <cell r="J37"/>
          <cell r="K37" t="str">
            <v>HLGTV</v>
          </cell>
          <cell r="L37">
            <v>50</v>
          </cell>
          <cell r="M37" t="str">
            <v>メタルミー　ヘヤライン　銀艶Ｖ</v>
          </cell>
          <cell r="N37">
            <v>1005</v>
          </cell>
          <cell r="O37">
            <v>1000</v>
          </cell>
          <cell r="P37">
            <v>2000</v>
          </cell>
          <cell r="Q37">
            <v>2</v>
          </cell>
          <cell r="R37">
            <v>1</v>
          </cell>
          <cell r="S37" t="str">
            <v>本</v>
          </cell>
          <cell r="T37">
            <v>44613</v>
          </cell>
          <cell r="U37">
            <v>44638</v>
          </cell>
          <cell r="V37" t="str">
            <v>㈱須賀川東部鏡石</v>
          </cell>
          <cell r="W37"/>
          <cell r="X37"/>
        </row>
        <row r="38">
          <cell r="A38">
            <v>3652347</v>
          </cell>
          <cell r="B38" t="str">
            <v>福島コーティング</v>
          </cell>
          <cell r="C38" t="str">
            <v>プロセス材１課</v>
          </cell>
          <cell r="D38" t="str">
            <v>ダミー担当者</v>
          </cell>
          <cell r="E38" t="str">
            <v>リンテック㈱</v>
          </cell>
          <cell r="F38">
            <v>3</v>
          </cell>
          <cell r="G38" t="str">
            <v>S</v>
          </cell>
          <cell r="H38" t="str">
            <v>Y</v>
          </cell>
          <cell r="I38" t="str">
            <v>MCLB</v>
          </cell>
          <cell r="J38"/>
          <cell r="K38" t="str">
            <v>HLGTV</v>
          </cell>
          <cell r="L38">
            <v>50</v>
          </cell>
          <cell r="M38" t="str">
            <v>メタルミー　ヘヤライン　銀艶Ｖ</v>
          </cell>
          <cell r="N38">
            <v>1005</v>
          </cell>
          <cell r="O38">
            <v>1000</v>
          </cell>
          <cell r="P38">
            <v>2000</v>
          </cell>
          <cell r="Q38">
            <v>2</v>
          </cell>
          <cell r="R38">
            <v>2</v>
          </cell>
          <cell r="S38" t="str">
            <v>本</v>
          </cell>
          <cell r="T38">
            <v>44613</v>
          </cell>
          <cell r="U38">
            <v>44638</v>
          </cell>
          <cell r="V38" t="str">
            <v>㈱須賀川東部鏡石</v>
          </cell>
          <cell r="W38"/>
          <cell r="X38"/>
        </row>
        <row r="39">
          <cell r="A39">
            <v>3652348</v>
          </cell>
          <cell r="B39" t="str">
            <v>福島コーティング</v>
          </cell>
          <cell r="C39" t="str">
            <v>プロセス材１課</v>
          </cell>
          <cell r="D39" t="str">
            <v>ダミー担当者</v>
          </cell>
          <cell r="E39" t="str">
            <v>リンテック㈱</v>
          </cell>
          <cell r="F39">
            <v>3</v>
          </cell>
          <cell r="G39" t="str">
            <v>S</v>
          </cell>
          <cell r="H39" t="str">
            <v>N</v>
          </cell>
          <cell r="I39" t="str">
            <v>CLB</v>
          </cell>
          <cell r="J39"/>
          <cell r="K39" t="str">
            <v>LMEYK</v>
          </cell>
          <cell r="L39">
            <v>38</v>
          </cell>
          <cell r="M39" t="str">
            <v>ルミマットＥＹＫ</v>
          </cell>
          <cell r="N39">
            <v>1005</v>
          </cell>
          <cell r="O39">
            <v>1000</v>
          </cell>
          <cell r="P39">
            <v>4000</v>
          </cell>
          <cell r="Q39">
            <v>2</v>
          </cell>
          <cell r="R39">
            <v>2</v>
          </cell>
          <cell r="S39" t="str">
            <v>本</v>
          </cell>
          <cell r="T39">
            <v>44613</v>
          </cell>
          <cell r="U39">
            <v>44645</v>
          </cell>
          <cell r="V39" t="str">
            <v>㈱須賀川東部鏡石</v>
          </cell>
          <cell r="W39"/>
          <cell r="X39"/>
        </row>
        <row r="40">
          <cell r="A40">
            <v>3652349</v>
          </cell>
          <cell r="B40" t="str">
            <v>福島コーティング</v>
          </cell>
          <cell r="C40" t="str">
            <v>プロセス材１課</v>
          </cell>
          <cell r="D40" t="str">
            <v>ダミー担当者</v>
          </cell>
          <cell r="E40" t="str">
            <v>リンテック㈱</v>
          </cell>
          <cell r="F40">
            <v>3</v>
          </cell>
          <cell r="G40" t="str">
            <v>S</v>
          </cell>
          <cell r="H40" t="str">
            <v>N</v>
          </cell>
          <cell r="I40" t="str">
            <v>MLB</v>
          </cell>
          <cell r="J40"/>
          <cell r="K40" t="str">
            <v>MNQR66F</v>
          </cell>
          <cell r="L40">
            <v>25</v>
          </cell>
          <cell r="M40" t="str">
            <v>ＱＲ６６蒸着品</v>
          </cell>
          <cell r="N40">
            <v>1000</v>
          </cell>
          <cell r="O40">
            <v>1000</v>
          </cell>
          <cell r="P40">
            <v>6000</v>
          </cell>
          <cell r="Q40">
            <v>2</v>
          </cell>
          <cell r="R40">
            <v>4</v>
          </cell>
          <cell r="S40" t="str">
            <v>本</v>
          </cell>
          <cell r="T40">
            <v>44613</v>
          </cell>
          <cell r="U40">
            <v>44645</v>
          </cell>
          <cell r="V40" t="str">
            <v>㈱須賀川東部鏡石</v>
          </cell>
          <cell r="W40"/>
          <cell r="X40"/>
        </row>
        <row r="41">
          <cell r="A41">
            <v>3652350</v>
          </cell>
          <cell r="B41" t="str">
            <v>福島コーティング</v>
          </cell>
          <cell r="C41" t="str">
            <v>プロセス材１課</v>
          </cell>
          <cell r="D41" t="str">
            <v>ダミー担当者</v>
          </cell>
          <cell r="E41" t="str">
            <v>リンテック㈱</v>
          </cell>
          <cell r="F41">
            <v>3</v>
          </cell>
          <cell r="G41" t="str">
            <v>S</v>
          </cell>
          <cell r="H41" t="str">
            <v>Y</v>
          </cell>
          <cell r="I41" t="str">
            <v>MLB</v>
          </cell>
          <cell r="J41"/>
          <cell r="K41" t="str">
            <v>MSNMBF</v>
          </cell>
          <cell r="L41">
            <v>50</v>
          </cell>
          <cell r="M41" t="str">
            <v>ＭＥＴＡＬＵＭＹ　ＳＩＬＶＥＲ　Ｎ－ＭＡＴＴＥ　Ｘ４４Ｍ　Ｂ</v>
          </cell>
          <cell r="N41">
            <v>1120</v>
          </cell>
          <cell r="O41">
            <v>1120</v>
          </cell>
          <cell r="P41">
            <v>4000</v>
          </cell>
          <cell r="Q41">
            <v>2</v>
          </cell>
          <cell r="R41">
            <v>6</v>
          </cell>
          <cell r="S41" t="str">
            <v>本</v>
          </cell>
          <cell r="T41">
            <v>44613</v>
          </cell>
          <cell r="U41">
            <v>44644</v>
          </cell>
          <cell r="V41" t="str">
            <v>㈱須賀川東部鏡石</v>
          </cell>
          <cell r="W41"/>
          <cell r="X41"/>
        </row>
        <row r="42">
          <cell r="A42">
            <v>3652351</v>
          </cell>
          <cell r="B42" t="str">
            <v>福島コーティング</v>
          </cell>
          <cell r="C42" t="str">
            <v>プロセス材１課</v>
          </cell>
          <cell r="D42" t="str">
            <v>ダミー担当者</v>
          </cell>
          <cell r="E42" t="str">
            <v>リンテック㈱</v>
          </cell>
          <cell r="F42">
            <v>3</v>
          </cell>
          <cell r="G42" t="str">
            <v>S</v>
          </cell>
          <cell r="H42" t="str">
            <v>Y</v>
          </cell>
          <cell r="I42" t="str">
            <v>MLB</v>
          </cell>
          <cell r="J42"/>
          <cell r="K42" t="str">
            <v>MSBBF</v>
          </cell>
          <cell r="L42">
            <v>50</v>
          </cell>
          <cell r="M42" t="str">
            <v>ＭＥＴＡＬＵＭＹ　ＳＩＬＶＥＲ　ＢＲＩＧＨＴ　Ｔ６２Ｍ　Ｂ</v>
          </cell>
          <cell r="N42">
            <v>1120</v>
          </cell>
          <cell r="O42">
            <v>1120</v>
          </cell>
          <cell r="P42">
            <v>5000</v>
          </cell>
          <cell r="Q42">
            <v>2</v>
          </cell>
          <cell r="R42">
            <v>4</v>
          </cell>
          <cell r="S42" t="str">
            <v>本</v>
          </cell>
          <cell r="T42">
            <v>44613</v>
          </cell>
          <cell r="U42">
            <v>44642</v>
          </cell>
          <cell r="V42" t="str">
            <v>㈱須賀川東部鏡石</v>
          </cell>
          <cell r="W42"/>
          <cell r="X42"/>
        </row>
        <row r="43">
          <cell r="A43">
            <v>3652352</v>
          </cell>
          <cell r="B43" t="str">
            <v>福島コーティング</v>
          </cell>
          <cell r="C43" t="str">
            <v>プロセス材１課</v>
          </cell>
          <cell r="D43" t="str">
            <v>ダミー担当者</v>
          </cell>
          <cell r="E43" t="str">
            <v>リンテック㈱</v>
          </cell>
          <cell r="F43">
            <v>3</v>
          </cell>
          <cell r="G43" t="str">
            <v>S</v>
          </cell>
          <cell r="H43" t="str">
            <v>Y</v>
          </cell>
          <cell r="I43" t="str">
            <v>MLB</v>
          </cell>
          <cell r="J43"/>
          <cell r="K43" t="str">
            <v>MSBBF</v>
          </cell>
          <cell r="L43">
            <v>50</v>
          </cell>
          <cell r="M43" t="str">
            <v>ＭＥＴＡＬＵＭＹ　ＳＩＬＶＥＲ　ＢＲＩＧＨＴ　Ｔ６２Ｍ　Ｂ</v>
          </cell>
          <cell r="N43">
            <v>1120</v>
          </cell>
          <cell r="O43">
            <v>1120</v>
          </cell>
          <cell r="P43">
            <v>5000</v>
          </cell>
          <cell r="Q43">
            <v>2</v>
          </cell>
          <cell r="R43">
            <v>4</v>
          </cell>
          <cell r="S43" t="str">
            <v>本</v>
          </cell>
          <cell r="T43">
            <v>44613</v>
          </cell>
          <cell r="U43">
            <v>44656</v>
          </cell>
          <cell r="V43" t="str">
            <v>㈱須賀川東部鏡石</v>
          </cell>
          <cell r="W43"/>
          <cell r="X43"/>
        </row>
        <row r="44">
          <cell r="A44">
            <v>3652353</v>
          </cell>
          <cell r="B44" t="str">
            <v>福島コーティング</v>
          </cell>
          <cell r="C44" t="str">
            <v>プロセス材１課</v>
          </cell>
          <cell r="D44" t="str">
            <v>ダミー担当者</v>
          </cell>
          <cell r="E44" t="str">
            <v>リンテック㈱</v>
          </cell>
          <cell r="F44">
            <v>3</v>
          </cell>
          <cell r="G44" t="str">
            <v>S</v>
          </cell>
          <cell r="H44" t="str">
            <v>Y</v>
          </cell>
          <cell r="I44" t="str">
            <v>MLB</v>
          </cell>
          <cell r="J44"/>
          <cell r="K44" t="str">
            <v>MSSMBF</v>
          </cell>
          <cell r="L44">
            <v>50</v>
          </cell>
          <cell r="M44" t="str">
            <v>ＭＥＴＡＬＵＭＹ　ＳＩＬＶＥＲ　Ｓ－ＭＡＴＴＥ　Ｓ２８ＭＭ　Ｂ</v>
          </cell>
          <cell r="N44">
            <v>1120</v>
          </cell>
          <cell r="O44">
            <v>1120</v>
          </cell>
          <cell r="P44">
            <v>4000</v>
          </cell>
          <cell r="Q44">
            <v>2</v>
          </cell>
          <cell r="R44">
            <v>3</v>
          </cell>
          <cell r="S44" t="str">
            <v>本</v>
          </cell>
          <cell r="T44">
            <v>44613</v>
          </cell>
          <cell r="U44">
            <v>44656</v>
          </cell>
          <cell r="V44" t="str">
            <v>㈱須賀川東部鏡石</v>
          </cell>
          <cell r="W44"/>
          <cell r="X44"/>
        </row>
        <row r="45">
          <cell r="A45">
            <v>3652354</v>
          </cell>
          <cell r="B45" t="str">
            <v>福島コーティング</v>
          </cell>
          <cell r="C45" t="str">
            <v>プロセス材１課</v>
          </cell>
          <cell r="D45" t="str">
            <v>ダミー担当者</v>
          </cell>
          <cell r="E45" t="str">
            <v>リンテック㈱</v>
          </cell>
          <cell r="F45">
            <v>3</v>
          </cell>
          <cell r="G45" t="str">
            <v>S</v>
          </cell>
          <cell r="H45" t="str">
            <v>Y</v>
          </cell>
          <cell r="I45" t="str">
            <v>MLB</v>
          </cell>
          <cell r="J45"/>
          <cell r="K45" t="str">
            <v>MSSMBZF</v>
          </cell>
          <cell r="L45">
            <v>50</v>
          </cell>
          <cell r="M45" t="str">
            <v>ＭＥＴＡＬＵＭＹ　ＳＩＬＶＥＲ　Ｓ－ＭＡＴＴＥ　Ｂ</v>
          </cell>
          <cell r="N45">
            <v>1120</v>
          </cell>
          <cell r="O45">
            <v>1120</v>
          </cell>
          <cell r="P45">
            <v>4000</v>
          </cell>
          <cell r="Q45">
            <v>2</v>
          </cell>
          <cell r="R45">
            <v>4</v>
          </cell>
          <cell r="S45" t="str">
            <v>本</v>
          </cell>
          <cell r="T45">
            <v>44613</v>
          </cell>
          <cell r="U45">
            <v>44628</v>
          </cell>
          <cell r="V45" t="str">
            <v>㈱須賀川東部鏡石</v>
          </cell>
          <cell r="W45"/>
          <cell r="X45"/>
        </row>
        <row r="46">
          <cell r="A46">
            <v>3652355</v>
          </cell>
          <cell r="B46" t="str">
            <v>福島コーティング</v>
          </cell>
          <cell r="C46" t="str">
            <v>プロセス材１課</v>
          </cell>
          <cell r="D46" t="str">
            <v>ダミー担当者</v>
          </cell>
          <cell r="E46" t="str">
            <v>リンテック㈱</v>
          </cell>
          <cell r="F46">
            <v>3</v>
          </cell>
          <cell r="G46" t="str">
            <v>S</v>
          </cell>
          <cell r="H46" t="str">
            <v>Y</v>
          </cell>
          <cell r="I46" t="str">
            <v>MLB</v>
          </cell>
          <cell r="J46"/>
          <cell r="K46" t="str">
            <v>MSNMBZF</v>
          </cell>
          <cell r="L46">
            <v>25</v>
          </cell>
          <cell r="M46" t="str">
            <v>ＭＥＴＡＬＵＭＹ　ＳＩＬＶＥＲ　Ｎ－ＭＡＴＴＥ　Ｂ</v>
          </cell>
          <cell r="N46">
            <v>1120</v>
          </cell>
          <cell r="O46">
            <v>1120</v>
          </cell>
          <cell r="P46">
            <v>8000</v>
          </cell>
          <cell r="Q46">
            <v>2</v>
          </cell>
          <cell r="R46">
            <v>2</v>
          </cell>
          <cell r="S46" t="str">
            <v>本</v>
          </cell>
          <cell r="T46">
            <v>44613</v>
          </cell>
          <cell r="U46">
            <v>44628</v>
          </cell>
          <cell r="V46" t="str">
            <v>㈱須賀川東部鏡石</v>
          </cell>
          <cell r="W46"/>
          <cell r="X46"/>
        </row>
        <row r="47">
          <cell r="A47">
            <v>3652356</v>
          </cell>
          <cell r="B47" t="str">
            <v>福島コーティング</v>
          </cell>
          <cell r="C47" t="str">
            <v>プロセス材１課</v>
          </cell>
          <cell r="D47" t="str">
            <v>ダミー担当者</v>
          </cell>
          <cell r="E47" t="str">
            <v>リンテック㈱</v>
          </cell>
          <cell r="F47">
            <v>3</v>
          </cell>
          <cell r="G47" t="str">
            <v>S</v>
          </cell>
          <cell r="H47" t="str">
            <v>Y</v>
          </cell>
          <cell r="I47" t="str">
            <v>MLB</v>
          </cell>
          <cell r="J47"/>
          <cell r="K47" t="str">
            <v>MSNMBF</v>
          </cell>
          <cell r="L47">
            <v>50</v>
          </cell>
          <cell r="M47" t="str">
            <v>ＭＥＴＡＬＵＭＹ　ＳＩＬＶＥＲ　Ｎ－ＭＡＴＴＥ　Ｘ４４Ｍ　Ｂ</v>
          </cell>
          <cell r="N47">
            <v>1120</v>
          </cell>
          <cell r="O47">
            <v>1120</v>
          </cell>
          <cell r="P47">
            <v>4000</v>
          </cell>
          <cell r="Q47">
            <v>2</v>
          </cell>
          <cell r="R47">
            <v>6</v>
          </cell>
          <cell r="S47" t="str">
            <v>本</v>
          </cell>
          <cell r="T47">
            <v>44613</v>
          </cell>
          <cell r="U47">
            <v>44644</v>
          </cell>
          <cell r="V47" t="str">
            <v>㈱須賀川東部鏡石</v>
          </cell>
          <cell r="W47"/>
          <cell r="X47"/>
        </row>
        <row r="48">
          <cell r="A48">
            <v>3652357</v>
          </cell>
          <cell r="B48" t="str">
            <v>福島コーティング</v>
          </cell>
          <cell r="C48" t="str">
            <v>プロセス材１課</v>
          </cell>
          <cell r="D48" t="str">
            <v>ダミー担当者</v>
          </cell>
          <cell r="E48" t="str">
            <v>リンテック㈱</v>
          </cell>
          <cell r="F48">
            <v>3</v>
          </cell>
          <cell r="G48" t="str">
            <v>S</v>
          </cell>
          <cell r="H48" t="str">
            <v>Y</v>
          </cell>
          <cell r="I48" t="str">
            <v>MLB</v>
          </cell>
          <cell r="J48"/>
          <cell r="K48" t="str">
            <v>MSNMBF</v>
          </cell>
          <cell r="L48">
            <v>50</v>
          </cell>
          <cell r="M48" t="str">
            <v>ＭＥＴＡＬＵＭＹ　ＳＩＬＶＥＲ　Ｎ－ＭＡＴＴＥ　Ｘ４４Ｍ　Ｂ</v>
          </cell>
          <cell r="N48">
            <v>1120</v>
          </cell>
          <cell r="O48">
            <v>1120</v>
          </cell>
          <cell r="P48">
            <v>4000</v>
          </cell>
          <cell r="Q48">
            <v>2</v>
          </cell>
          <cell r="R48">
            <v>6</v>
          </cell>
          <cell r="S48" t="str">
            <v>本</v>
          </cell>
          <cell r="T48">
            <v>44613</v>
          </cell>
          <cell r="U48">
            <v>44644</v>
          </cell>
          <cell r="V48" t="str">
            <v>㈱須賀川東部鏡石</v>
          </cell>
          <cell r="W48"/>
          <cell r="X48"/>
        </row>
        <row r="49">
          <cell r="A49">
            <v>3652543</v>
          </cell>
          <cell r="B49" t="str">
            <v>福島コーティング</v>
          </cell>
          <cell r="C49" t="str">
            <v>プロセス材１課</v>
          </cell>
          <cell r="D49" t="str">
            <v>ダミー担当者</v>
          </cell>
          <cell r="E49" t="str">
            <v>リンテック㈱</v>
          </cell>
          <cell r="F49">
            <v>3</v>
          </cell>
          <cell r="G49" t="str">
            <v>S</v>
          </cell>
          <cell r="H49" t="str">
            <v>Y</v>
          </cell>
          <cell r="I49" t="str">
            <v>MLB</v>
          </cell>
          <cell r="J49"/>
          <cell r="K49" t="str">
            <v>MNGKKBF</v>
          </cell>
          <cell r="L49">
            <v>25</v>
          </cell>
          <cell r="M49" t="str">
            <v>メタルミー　ネーマー銀消改　Ｂ</v>
          </cell>
          <cell r="N49">
            <v>1120</v>
          </cell>
          <cell r="O49">
            <v>1120</v>
          </cell>
          <cell r="P49">
            <v>4000</v>
          </cell>
          <cell r="Q49">
            <v>2</v>
          </cell>
          <cell r="R49">
            <v>2</v>
          </cell>
          <cell r="S49" t="str">
            <v>本</v>
          </cell>
          <cell r="T49">
            <v>44614</v>
          </cell>
          <cell r="U49">
            <v>44635</v>
          </cell>
          <cell r="V49" t="str">
            <v>㈱須賀川東部鏡石</v>
          </cell>
          <cell r="W49"/>
          <cell r="X49"/>
        </row>
        <row r="50">
          <cell r="A50">
            <v>3653022</v>
          </cell>
          <cell r="B50" t="str">
            <v>福島コーティング</v>
          </cell>
          <cell r="C50" t="str">
            <v>プロセス材１課</v>
          </cell>
          <cell r="D50" t="str">
            <v>ダミー担当者</v>
          </cell>
          <cell r="E50" t="str">
            <v>リンテック㈱</v>
          </cell>
          <cell r="F50">
            <v>3</v>
          </cell>
          <cell r="G50" t="str">
            <v>S</v>
          </cell>
          <cell r="H50" t="str">
            <v>Y</v>
          </cell>
          <cell r="I50" t="str">
            <v>MLB</v>
          </cell>
          <cell r="J50"/>
          <cell r="K50" t="str">
            <v>MSBBF</v>
          </cell>
          <cell r="L50">
            <v>25</v>
          </cell>
          <cell r="M50" t="str">
            <v>ＭＥＴＡＬＵＭＹ　ＳＩＬＶＥＲ　ＢＲＩＧＨＴ　Ｔ６２Ｍ　Ｂ</v>
          </cell>
          <cell r="N50">
            <v>1120</v>
          </cell>
          <cell r="O50">
            <v>1120</v>
          </cell>
          <cell r="P50">
            <v>8000</v>
          </cell>
          <cell r="Q50">
            <v>2</v>
          </cell>
          <cell r="R50">
            <v>2</v>
          </cell>
          <cell r="S50" t="str">
            <v>本</v>
          </cell>
          <cell r="T50">
            <v>44621</v>
          </cell>
          <cell r="U50">
            <v>44651</v>
          </cell>
          <cell r="V50" t="str">
            <v>㈱須賀川東部鏡石</v>
          </cell>
          <cell r="W50"/>
          <cell r="X50"/>
        </row>
        <row r="51">
          <cell r="A51">
            <v>3653181</v>
          </cell>
          <cell r="B51" t="str">
            <v>機能Ｆ　ラベル福島原</v>
          </cell>
          <cell r="C51" t="str">
            <v>プロセス材１課</v>
          </cell>
          <cell r="D51" t="str">
            <v>ダミー担当者</v>
          </cell>
          <cell r="E51" t="str">
            <v>リンテック㈱</v>
          </cell>
          <cell r="F51">
            <v>3</v>
          </cell>
          <cell r="G51" t="str">
            <v>T</v>
          </cell>
          <cell r="H51" t="str">
            <v>N</v>
          </cell>
          <cell r="I51" t="str">
            <v>MCLB</v>
          </cell>
          <cell r="J51"/>
          <cell r="K51" t="str">
            <v>HLKTV</v>
          </cell>
          <cell r="L51">
            <v>25</v>
          </cell>
          <cell r="M51" t="str">
            <v>メタルミー　ヘヤライン金艶　Ｖ</v>
          </cell>
          <cell r="N51">
            <v>1000</v>
          </cell>
          <cell r="O51">
            <v>1000</v>
          </cell>
          <cell r="P51">
            <v>2000</v>
          </cell>
          <cell r="Q51">
            <v>2</v>
          </cell>
          <cell r="R51">
            <v>2</v>
          </cell>
          <cell r="S51" t="str">
            <v>本</v>
          </cell>
          <cell r="T51">
            <v>44624</v>
          </cell>
          <cell r="U51">
            <v>44631</v>
          </cell>
          <cell r="V51" t="str">
            <v>㈱須賀川東部鏡石</v>
          </cell>
          <cell r="W51"/>
          <cell r="X51"/>
        </row>
        <row r="52">
          <cell r="A52">
            <v>3655533</v>
          </cell>
          <cell r="B52" t="str">
            <v>福島コーティング</v>
          </cell>
          <cell r="C52" t="str">
            <v>工材１部大阪電材課</v>
          </cell>
          <cell r="D52" t="str">
            <v>ダミー担当者</v>
          </cell>
          <cell r="E52" t="str">
            <v>日東電工㈱豊橋工場</v>
          </cell>
          <cell r="F52">
            <v>3</v>
          </cell>
          <cell r="G52" t="str">
            <v>S</v>
          </cell>
          <cell r="H52" t="str">
            <v>N</v>
          </cell>
          <cell r="I52" t="str">
            <v>MLB</v>
          </cell>
          <cell r="J52"/>
          <cell r="K52" t="str">
            <v>MTSF</v>
          </cell>
          <cell r="L52">
            <v>50</v>
          </cell>
          <cell r="M52" t="str">
            <v>メタルミー　ＴＳ</v>
          </cell>
          <cell r="N52">
            <v>1000</v>
          </cell>
          <cell r="O52">
            <v>1000</v>
          </cell>
          <cell r="P52">
            <v>3000</v>
          </cell>
          <cell r="Q52">
            <v>2</v>
          </cell>
          <cell r="R52">
            <v>4</v>
          </cell>
          <cell r="S52" t="str">
            <v>本</v>
          </cell>
          <cell r="T52">
            <v>44642</v>
          </cell>
          <cell r="U52">
            <v>44673</v>
          </cell>
          <cell r="V52" t="str">
            <v>㈱須賀川東部鏡石</v>
          </cell>
          <cell r="W52"/>
          <cell r="X52"/>
        </row>
        <row r="53">
          <cell r="A53">
            <v>3655534</v>
          </cell>
          <cell r="B53" t="str">
            <v>福島コーティング</v>
          </cell>
          <cell r="C53" t="str">
            <v>工材１部大阪電材課</v>
          </cell>
          <cell r="D53" t="str">
            <v>ダミー担当者</v>
          </cell>
          <cell r="E53" t="str">
            <v>日東電工㈱豊橋工場</v>
          </cell>
          <cell r="F53">
            <v>3</v>
          </cell>
          <cell r="G53" t="str">
            <v>S</v>
          </cell>
          <cell r="H53" t="str">
            <v>N</v>
          </cell>
          <cell r="I53" t="str">
            <v>MLB</v>
          </cell>
          <cell r="J53"/>
          <cell r="K53" t="str">
            <v>MTSF</v>
          </cell>
          <cell r="L53">
            <v>50</v>
          </cell>
          <cell r="M53" t="str">
            <v>メタルミー　ＴＳ</v>
          </cell>
          <cell r="N53">
            <v>1000</v>
          </cell>
          <cell r="O53">
            <v>1000</v>
          </cell>
          <cell r="P53">
            <v>3000</v>
          </cell>
          <cell r="Q53">
            <v>2</v>
          </cell>
          <cell r="R53">
            <v>4</v>
          </cell>
          <cell r="S53" t="str">
            <v>本</v>
          </cell>
          <cell r="T53">
            <v>44642</v>
          </cell>
          <cell r="U53">
            <v>44673</v>
          </cell>
          <cell r="V53" t="str">
            <v>㈱須賀川東部鏡石</v>
          </cell>
          <cell r="W53"/>
          <cell r="X53"/>
        </row>
        <row r="54">
          <cell r="A54">
            <v>3655535</v>
          </cell>
          <cell r="B54" t="str">
            <v>福島コーティング</v>
          </cell>
          <cell r="C54" t="str">
            <v>工材１部大阪電材課</v>
          </cell>
          <cell r="D54" t="str">
            <v>ダミー担当者</v>
          </cell>
          <cell r="E54" t="str">
            <v>日東電工㈱豊橋工場</v>
          </cell>
          <cell r="F54">
            <v>3</v>
          </cell>
          <cell r="G54" t="str">
            <v>S</v>
          </cell>
          <cell r="H54" t="str">
            <v>N</v>
          </cell>
          <cell r="I54" t="str">
            <v>MLB</v>
          </cell>
          <cell r="J54"/>
          <cell r="K54" t="str">
            <v>MTSF</v>
          </cell>
          <cell r="L54">
            <v>50</v>
          </cell>
          <cell r="M54" t="str">
            <v>メタルミー　ＴＳ</v>
          </cell>
          <cell r="N54">
            <v>1255</v>
          </cell>
          <cell r="O54">
            <v>1250</v>
          </cell>
          <cell r="P54">
            <v>2000</v>
          </cell>
          <cell r="Q54">
            <v>2</v>
          </cell>
          <cell r="R54">
            <v>9</v>
          </cell>
          <cell r="S54" t="str">
            <v>本</v>
          </cell>
          <cell r="T54">
            <v>44642</v>
          </cell>
          <cell r="U54">
            <v>44673</v>
          </cell>
          <cell r="V54" t="str">
            <v>㈱須賀川東部鏡石</v>
          </cell>
          <cell r="W54"/>
          <cell r="X54"/>
        </row>
        <row r="55">
          <cell r="A55">
            <v>3655536</v>
          </cell>
          <cell r="B55" t="str">
            <v>福島コーティング</v>
          </cell>
          <cell r="C55" t="str">
            <v>工材１部電材課</v>
          </cell>
          <cell r="D55" t="str">
            <v>ダミー担当者</v>
          </cell>
          <cell r="E55" t="str">
            <v>パナック㈱亀山工場</v>
          </cell>
          <cell r="F55">
            <v>3</v>
          </cell>
          <cell r="G55" t="str">
            <v>S</v>
          </cell>
          <cell r="H55" t="str">
            <v>N</v>
          </cell>
          <cell r="I55" t="str">
            <v>MLB</v>
          </cell>
          <cell r="J55"/>
          <cell r="K55" t="str">
            <v>MTSF</v>
          </cell>
          <cell r="L55">
            <v>75</v>
          </cell>
          <cell r="M55" t="str">
            <v>メタルミー　ＴＳ</v>
          </cell>
          <cell r="N55">
            <v>1000</v>
          </cell>
          <cell r="O55">
            <v>1000</v>
          </cell>
          <cell r="P55">
            <v>1000</v>
          </cell>
          <cell r="Q55">
            <v>2</v>
          </cell>
          <cell r="R55">
            <v>2</v>
          </cell>
          <cell r="S55" t="str">
            <v>本</v>
          </cell>
          <cell r="T55">
            <v>44642</v>
          </cell>
          <cell r="U55">
            <v>44673</v>
          </cell>
          <cell r="V55" t="str">
            <v>㈱須賀川東部鏡石</v>
          </cell>
          <cell r="W55"/>
          <cell r="X55"/>
        </row>
        <row r="56">
          <cell r="A56">
            <v>3655537</v>
          </cell>
          <cell r="B56" t="str">
            <v>福島コーティング</v>
          </cell>
          <cell r="C56" t="str">
            <v>プロセス材２課</v>
          </cell>
          <cell r="D56" t="str">
            <v>ダミー担当者</v>
          </cell>
          <cell r="E56" t="str">
            <v>大阪シーリング印刷㈱</v>
          </cell>
          <cell r="F56" t="str">
            <v>3H</v>
          </cell>
          <cell r="G56" t="str">
            <v>S</v>
          </cell>
          <cell r="H56" t="str">
            <v>N</v>
          </cell>
          <cell r="I56" t="str">
            <v>MCLB</v>
          </cell>
          <cell r="J56"/>
          <cell r="K56" t="str">
            <v>EYK</v>
          </cell>
          <cell r="L56">
            <v>50</v>
          </cell>
          <cell r="M56" t="str">
            <v>メタルミー　ＥＹＫ</v>
          </cell>
          <cell r="N56">
            <v>1190</v>
          </cell>
          <cell r="O56">
            <v>1190</v>
          </cell>
          <cell r="P56">
            <v>6000</v>
          </cell>
          <cell r="Q56">
            <v>2</v>
          </cell>
          <cell r="R56">
            <v>14</v>
          </cell>
          <cell r="S56" t="str">
            <v>本</v>
          </cell>
          <cell r="T56">
            <v>44642</v>
          </cell>
          <cell r="U56">
            <v>44673</v>
          </cell>
          <cell r="V56" t="str">
            <v>㈱須賀川東部鏡石</v>
          </cell>
          <cell r="W56"/>
          <cell r="X56"/>
        </row>
        <row r="57">
          <cell r="A57">
            <v>3655538</v>
          </cell>
          <cell r="B57" t="str">
            <v>福島コーティング</v>
          </cell>
          <cell r="C57" t="str">
            <v>プロセス材２課</v>
          </cell>
          <cell r="D57" t="str">
            <v>ダミー担当者</v>
          </cell>
          <cell r="E57" t="str">
            <v>大阪シーリング印刷㈱</v>
          </cell>
          <cell r="F57">
            <v>3</v>
          </cell>
          <cell r="G57" t="str">
            <v>S</v>
          </cell>
          <cell r="H57" t="str">
            <v>N</v>
          </cell>
          <cell r="I57" t="str">
            <v>MCLB</v>
          </cell>
          <cell r="J57"/>
          <cell r="K57" t="str">
            <v>MSNEYK</v>
          </cell>
          <cell r="L57">
            <v>50</v>
          </cell>
          <cell r="M57" t="str">
            <v>ＭＳＮ　ＥＹＫ</v>
          </cell>
          <cell r="N57">
            <v>1200</v>
          </cell>
          <cell r="O57">
            <v>1190</v>
          </cell>
          <cell r="P57">
            <v>6000</v>
          </cell>
          <cell r="Q57">
            <v>2</v>
          </cell>
          <cell r="R57">
            <v>8</v>
          </cell>
          <cell r="S57" t="str">
            <v>本</v>
          </cell>
          <cell r="T57">
            <v>44642</v>
          </cell>
          <cell r="U57">
            <v>44673</v>
          </cell>
          <cell r="V57" t="str">
            <v>㈱須賀川東部鏡石</v>
          </cell>
          <cell r="W57"/>
          <cell r="X57"/>
        </row>
        <row r="58">
          <cell r="A58">
            <v>3655539</v>
          </cell>
          <cell r="B58" t="str">
            <v>福島コーティング</v>
          </cell>
          <cell r="C58" t="str">
            <v>プロセス材２課</v>
          </cell>
          <cell r="D58" t="str">
            <v>ダミー担当者</v>
          </cell>
          <cell r="E58" t="str">
            <v>新タック化成㈱</v>
          </cell>
          <cell r="F58">
            <v>3</v>
          </cell>
          <cell r="G58" t="str">
            <v>S</v>
          </cell>
          <cell r="H58" t="str">
            <v>N</v>
          </cell>
          <cell r="I58" t="str">
            <v>CLB</v>
          </cell>
          <cell r="J58"/>
          <cell r="K58" t="str">
            <v>LEYK</v>
          </cell>
          <cell r="L58">
            <v>50</v>
          </cell>
          <cell r="M58" t="str">
            <v>ルミラー　ＥＹＫ</v>
          </cell>
          <cell r="N58">
            <v>1120</v>
          </cell>
          <cell r="O58">
            <v>1120</v>
          </cell>
          <cell r="P58">
            <v>6000</v>
          </cell>
          <cell r="Q58">
            <v>2</v>
          </cell>
          <cell r="R58">
            <v>8</v>
          </cell>
          <cell r="S58" t="str">
            <v>本</v>
          </cell>
          <cell r="T58">
            <v>44642</v>
          </cell>
          <cell r="U58">
            <v>44673</v>
          </cell>
          <cell r="V58" t="str">
            <v>㈱須賀川東部鏡石</v>
          </cell>
          <cell r="W58"/>
          <cell r="X58"/>
        </row>
        <row r="59">
          <cell r="A59">
            <v>3655540</v>
          </cell>
          <cell r="B59" t="str">
            <v>福島コーティング</v>
          </cell>
          <cell r="C59" t="str">
            <v>プロセス材２課</v>
          </cell>
          <cell r="D59" t="str">
            <v>ダミー担当者</v>
          </cell>
          <cell r="E59" t="str">
            <v>新タック化成㈱</v>
          </cell>
          <cell r="F59">
            <v>3</v>
          </cell>
          <cell r="G59" t="str">
            <v>S</v>
          </cell>
          <cell r="H59" t="str">
            <v>N</v>
          </cell>
          <cell r="I59" t="str">
            <v>MCLB</v>
          </cell>
          <cell r="J59"/>
          <cell r="K59" t="str">
            <v>MSNEYK</v>
          </cell>
          <cell r="L59">
            <v>25</v>
          </cell>
          <cell r="M59" t="str">
            <v>ＭＳＮ　ＥＹＫ</v>
          </cell>
          <cell r="N59">
            <v>1120</v>
          </cell>
          <cell r="O59">
            <v>1120</v>
          </cell>
          <cell r="P59">
            <v>4000</v>
          </cell>
          <cell r="Q59">
            <v>2</v>
          </cell>
          <cell r="R59">
            <v>4</v>
          </cell>
          <cell r="S59" t="str">
            <v>本</v>
          </cell>
          <cell r="T59">
            <v>44642</v>
          </cell>
          <cell r="U59">
            <v>44673</v>
          </cell>
          <cell r="V59" t="str">
            <v>㈱須賀川東部鏡石</v>
          </cell>
          <cell r="W59"/>
          <cell r="X59"/>
        </row>
        <row r="60">
          <cell r="A60">
            <v>3655541</v>
          </cell>
          <cell r="B60" t="str">
            <v>福島コーティング</v>
          </cell>
          <cell r="C60" t="str">
            <v>プロセス材２課</v>
          </cell>
          <cell r="D60" t="str">
            <v>ダミー担当者</v>
          </cell>
          <cell r="E60" t="str">
            <v>新タック化成㈱</v>
          </cell>
          <cell r="F60">
            <v>3</v>
          </cell>
          <cell r="G60" t="str">
            <v>S</v>
          </cell>
          <cell r="H60" t="str">
            <v>N</v>
          </cell>
          <cell r="I60" t="str">
            <v>MCLB</v>
          </cell>
          <cell r="J60"/>
          <cell r="K60" t="str">
            <v>MSNEYK</v>
          </cell>
          <cell r="L60">
            <v>50</v>
          </cell>
          <cell r="M60" t="str">
            <v>ＭＳＮ　ＥＹＫ</v>
          </cell>
          <cell r="N60">
            <v>1120</v>
          </cell>
          <cell r="O60">
            <v>1120</v>
          </cell>
          <cell r="P60">
            <v>4000</v>
          </cell>
          <cell r="Q60">
            <v>2</v>
          </cell>
          <cell r="R60">
            <v>3</v>
          </cell>
          <cell r="S60" t="str">
            <v>本</v>
          </cell>
          <cell r="T60">
            <v>44642</v>
          </cell>
          <cell r="U60">
            <v>44673</v>
          </cell>
          <cell r="V60" t="str">
            <v>㈱須賀川東部鏡石</v>
          </cell>
          <cell r="W60"/>
          <cell r="X60"/>
        </row>
        <row r="61">
          <cell r="A61">
            <v>3655542</v>
          </cell>
          <cell r="B61" t="str">
            <v>福島コーティング</v>
          </cell>
          <cell r="C61" t="str">
            <v>プロセス材２課</v>
          </cell>
          <cell r="D61" t="str">
            <v>ダミー担当者</v>
          </cell>
          <cell r="E61" t="str">
            <v>新タック化成㈱</v>
          </cell>
          <cell r="F61">
            <v>3</v>
          </cell>
          <cell r="G61" t="str">
            <v>S</v>
          </cell>
          <cell r="H61" t="str">
            <v>N</v>
          </cell>
          <cell r="I61" t="str">
            <v>MCLB</v>
          </cell>
          <cell r="J61"/>
          <cell r="K61" t="str">
            <v>SCB</v>
          </cell>
          <cell r="L61">
            <v>25</v>
          </cell>
          <cell r="M61" t="str">
            <v>メタルミー　シロコート（Ｂ）</v>
          </cell>
          <cell r="N61">
            <v>1020</v>
          </cell>
          <cell r="O61">
            <v>1020</v>
          </cell>
          <cell r="P61">
            <v>6000</v>
          </cell>
          <cell r="Q61">
            <v>2</v>
          </cell>
          <cell r="R61">
            <v>4</v>
          </cell>
          <cell r="S61" t="str">
            <v>本</v>
          </cell>
          <cell r="T61">
            <v>44642</v>
          </cell>
          <cell r="U61">
            <v>44673</v>
          </cell>
          <cell r="V61" t="str">
            <v>㈱須賀川東部鏡石</v>
          </cell>
          <cell r="W61"/>
          <cell r="X61"/>
        </row>
        <row r="62">
          <cell r="A62">
            <v>3655543</v>
          </cell>
          <cell r="B62" t="str">
            <v>福島コーティング</v>
          </cell>
          <cell r="C62" t="str">
            <v>プロセス材１課</v>
          </cell>
          <cell r="D62" t="str">
            <v>ダミー担当者</v>
          </cell>
          <cell r="E62" t="str">
            <v>リンテック㈱</v>
          </cell>
          <cell r="F62">
            <v>3</v>
          </cell>
          <cell r="G62" t="str">
            <v>S</v>
          </cell>
          <cell r="H62" t="str">
            <v>N</v>
          </cell>
          <cell r="I62" t="str">
            <v>MLB</v>
          </cell>
          <cell r="J62"/>
          <cell r="K62" t="str">
            <v>MNGKKBF</v>
          </cell>
          <cell r="L62">
            <v>25</v>
          </cell>
          <cell r="M62" t="str">
            <v>メタルミー　ネーマー銀消改　Ｂ</v>
          </cell>
          <cell r="N62">
            <v>1000</v>
          </cell>
          <cell r="O62">
            <v>1000</v>
          </cell>
          <cell r="P62">
            <v>4000</v>
          </cell>
          <cell r="Q62">
            <v>2</v>
          </cell>
          <cell r="R62">
            <v>2</v>
          </cell>
          <cell r="S62" t="str">
            <v>本</v>
          </cell>
          <cell r="T62">
            <v>44642</v>
          </cell>
          <cell r="U62">
            <v>44673</v>
          </cell>
          <cell r="V62" t="str">
            <v>㈱須賀川東部鏡石</v>
          </cell>
          <cell r="W62"/>
          <cell r="X62"/>
        </row>
        <row r="63">
          <cell r="A63">
            <v>3655544</v>
          </cell>
          <cell r="B63" t="str">
            <v>福島コーティング</v>
          </cell>
          <cell r="C63" t="str">
            <v>プロセス材１課</v>
          </cell>
          <cell r="D63" t="str">
            <v>ダミー担当者</v>
          </cell>
          <cell r="E63" t="str">
            <v>リンテック㈱</v>
          </cell>
          <cell r="F63">
            <v>3</v>
          </cell>
          <cell r="G63" t="str">
            <v>S</v>
          </cell>
          <cell r="H63" t="str">
            <v>N</v>
          </cell>
          <cell r="I63" t="str">
            <v>MLB</v>
          </cell>
          <cell r="J63"/>
          <cell r="K63" t="str">
            <v>MNGKKBF</v>
          </cell>
          <cell r="L63">
            <v>25</v>
          </cell>
          <cell r="M63" t="str">
            <v>メタルミー　ネーマー銀消改　Ｂ</v>
          </cell>
          <cell r="N63">
            <v>1120</v>
          </cell>
          <cell r="O63">
            <v>1120</v>
          </cell>
          <cell r="P63">
            <v>4000</v>
          </cell>
          <cell r="Q63">
            <v>2</v>
          </cell>
          <cell r="R63">
            <v>14</v>
          </cell>
          <cell r="S63" t="str">
            <v>本</v>
          </cell>
          <cell r="T63">
            <v>44642</v>
          </cell>
          <cell r="U63">
            <v>44669</v>
          </cell>
          <cell r="V63" t="str">
            <v>㈱須賀川東部鏡石</v>
          </cell>
          <cell r="W63"/>
          <cell r="X63"/>
        </row>
        <row r="64">
          <cell r="A64">
            <v>3655545</v>
          </cell>
          <cell r="B64" t="str">
            <v>福島コーティング</v>
          </cell>
          <cell r="C64" t="str">
            <v>プロセス材１課</v>
          </cell>
          <cell r="D64" t="str">
            <v>ダミー担当者</v>
          </cell>
          <cell r="E64" t="str">
            <v>リンテック㈱</v>
          </cell>
          <cell r="F64">
            <v>3</v>
          </cell>
          <cell r="G64" t="str">
            <v>S</v>
          </cell>
          <cell r="H64" t="str">
            <v>N</v>
          </cell>
          <cell r="I64" t="str">
            <v>MLB</v>
          </cell>
          <cell r="J64"/>
          <cell r="K64" t="str">
            <v>MNGKKBF</v>
          </cell>
          <cell r="L64">
            <v>50</v>
          </cell>
          <cell r="M64" t="str">
            <v>メタルミー　ネーマー銀消改　Ｂ</v>
          </cell>
          <cell r="N64">
            <v>1120</v>
          </cell>
          <cell r="O64">
            <v>1120</v>
          </cell>
          <cell r="P64">
            <v>4000</v>
          </cell>
          <cell r="Q64">
            <v>2</v>
          </cell>
          <cell r="R64">
            <v>8</v>
          </cell>
          <cell r="S64" t="str">
            <v>本</v>
          </cell>
          <cell r="T64">
            <v>44642</v>
          </cell>
          <cell r="U64">
            <v>44690</v>
          </cell>
          <cell r="V64" t="str">
            <v>㈱須賀川東部鏡石</v>
          </cell>
          <cell r="W64"/>
          <cell r="X64"/>
        </row>
        <row r="65">
          <cell r="A65">
            <v>3655546</v>
          </cell>
          <cell r="B65" t="str">
            <v>福島コーティング</v>
          </cell>
          <cell r="C65" t="str">
            <v>プロセス材１課</v>
          </cell>
          <cell r="D65" t="str">
            <v>ダミー担当者</v>
          </cell>
          <cell r="E65" t="str">
            <v>リンテック㈱</v>
          </cell>
          <cell r="F65">
            <v>3</v>
          </cell>
          <cell r="G65" t="str">
            <v>S</v>
          </cell>
          <cell r="H65" t="str">
            <v>N</v>
          </cell>
          <cell r="I65" t="str">
            <v>MLB</v>
          </cell>
          <cell r="J65"/>
          <cell r="K65" t="str">
            <v>MNGKKBF</v>
          </cell>
          <cell r="L65">
            <v>50</v>
          </cell>
          <cell r="M65" t="str">
            <v>メタルミー　ネーマー銀消改　Ｂ</v>
          </cell>
          <cell r="N65">
            <v>1120</v>
          </cell>
          <cell r="O65">
            <v>1120</v>
          </cell>
          <cell r="P65">
            <v>4000</v>
          </cell>
          <cell r="Q65">
            <v>2</v>
          </cell>
          <cell r="R65">
            <v>8</v>
          </cell>
          <cell r="S65" t="str">
            <v>本</v>
          </cell>
          <cell r="T65">
            <v>44642</v>
          </cell>
          <cell r="U65">
            <v>44697</v>
          </cell>
          <cell r="V65" t="str">
            <v>㈱須賀川東部鏡石</v>
          </cell>
          <cell r="W65"/>
          <cell r="X65"/>
        </row>
        <row r="66">
          <cell r="A66">
            <v>3655547</v>
          </cell>
          <cell r="B66" t="str">
            <v>福島コーティング</v>
          </cell>
          <cell r="C66" t="str">
            <v>プロセス材１課</v>
          </cell>
          <cell r="D66" t="str">
            <v>ダミー担当者</v>
          </cell>
          <cell r="E66" t="str">
            <v>リンテック㈱</v>
          </cell>
          <cell r="F66">
            <v>3</v>
          </cell>
          <cell r="G66" t="str">
            <v>S</v>
          </cell>
          <cell r="H66" t="str">
            <v>N</v>
          </cell>
          <cell r="I66" t="str">
            <v>MLB</v>
          </cell>
          <cell r="J66"/>
          <cell r="K66" t="str">
            <v>MNGKKBF</v>
          </cell>
          <cell r="L66">
            <v>50</v>
          </cell>
          <cell r="M66" t="str">
            <v>メタルミー　ネーマー銀消改　Ｂ</v>
          </cell>
          <cell r="N66">
            <v>1120</v>
          </cell>
          <cell r="O66">
            <v>1120</v>
          </cell>
          <cell r="P66">
            <v>4000</v>
          </cell>
          <cell r="Q66">
            <v>2</v>
          </cell>
          <cell r="R66">
            <v>8</v>
          </cell>
          <cell r="S66" t="str">
            <v>本</v>
          </cell>
          <cell r="T66">
            <v>44642</v>
          </cell>
          <cell r="U66">
            <v>44701</v>
          </cell>
          <cell r="V66" t="str">
            <v>㈱須賀川東部鏡石</v>
          </cell>
          <cell r="W66"/>
          <cell r="X66"/>
        </row>
        <row r="67">
          <cell r="A67">
            <v>3655548</v>
          </cell>
          <cell r="B67" t="str">
            <v>福島コーティング</v>
          </cell>
          <cell r="C67" t="str">
            <v>プロセス材１課</v>
          </cell>
          <cell r="D67" t="str">
            <v>ダミー担当者</v>
          </cell>
          <cell r="E67" t="str">
            <v>リンテック㈱</v>
          </cell>
          <cell r="F67">
            <v>3</v>
          </cell>
          <cell r="G67" t="str">
            <v>S</v>
          </cell>
          <cell r="H67" t="str">
            <v>N</v>
          </cell>
          <cell r="I67" t="str">
            <v>MLB</v>
          </cell>
          <cell r="J67"/>
          <cell r="K67" t="str">
            <v>MNGKKBF</v>
          </cell>
          <cell r="L67">
            <v>75</v>
          </cell>
          <cell r="M67" t="str">
            <v>メタルミー　ネーマー銀消改　Ｂ</v>
          </cell>
          <cell r="N67">
            <v>1000</v>
          </cell>
          <cell r="O67">
            <v>1000</v>
          </cell>
          <cell r="P67">
            <v>2000</v>
          </cell>
          <cell r="Q67">
            <v>2</v>
          </cell>
          <cell r="R67">
            <v>2</v>
          </cell>
          <cell r="S67" t="str">
            <v>本</v>
          </cell>
          <cell r="T67">
            <v>44642</v>
          </cell>
          <cell r="U67">
            <v>44671</v>
          </cell>
          <cell r="V67" t="str">
            <v>㈱須賀川東部鏡石</v>
          </cell>
          <cell r="W67"/>
          <cell r="X67"/>
        </row>
        <row r="68">
          <cell r="A68">
            <v>3655549</v>
          </cell>
          <cell r="B68" t="str">
            <v>福島コーティング</v>
          </cell>
          <cell r="C68" t="str">
            <v>プロセス材１課</v>
          </cell>
          <cell r="D68" t="str">
            <v>ダミー担当者</v>
          </cell>
          <cell r="E68" t="str">
            <v>リンテック㈱</v>
          </cell>
          <cell r="F68">
            <v>3</v>
          </cell>
          <cell r="G68" t="str">
            <v>S</v>
          </cell>
          <cell r="H68" t="str">
            <v>N</v>
          </cell>
          <cell r="I68" t="str">
            <v>MLB</v>
          </cell>
          <cell r="J68"/>
          <cell r="K68" t="str">
            <v>MNGKBF</v>
          </cell>
          <cell r="L68">
            <v>38</v>
          </cell>
          <cell r="M68" t="str">
            <v>メタルミー　ネーマー銀消　Ｂ</v>
          </cell>
          <cell r="N68">
            <v>1005</v>
          </cell>
          <cell r="O68">
            <v>1000</v>
          </cell>
          <cell r="P68">
            <v>4000</v>
          </cell>
          <cell r="Q68">
            <v>2</v>
          </cell>
          <cell r="R68">
            <v>3</v>
          </cell>
          <cell r="S68" t="str">
            <v>本</v>
          </cell>
          <cell r="T68">
            <v>44642</v>
          </cell>
          <cell r="U68">
            <v>44671</v>
          </cell>
          <cell r="V68" t="str">
            <v>㈱須賀川東部鏡石</v>
          </cell>
          <cell r="W68"/>
          <cell r="X68"/>
        </row>
        <row r="69">
          <cell r="A69">
            <v>3655550</v>
          </cell>
          <cell r="B69" t="str">
            <v>福島コーティング</v>
          </cell>
          <cell r="C69" t="str">
            <v>プロセス材１課</v>
          </cell>
          <cell r="D69" t="str">
            <v>ダミー担当者</v>
          </cell>
          <cell r="E69" t="str">
            <v>リンテック㈱</v>
          </cell>
          <cell r="F69">
            <v>3</v>
          </cell>
          <cell r="G69" t="str">
            <v>S</v>
          </cell>
          <cell r="H69" t="str">
            <v>N</v>
          </cell>
          <cell r="I69" t="str">
            <v>MCLB</v>
          </cell>
          <cell r="J69"/>
          <cell r="K69" t="str">
            <v>NGKVB</v>
          </cell>
          <cell r="L69">
            <v>50</v>
          </cell>
          <cell r="M69" t="str">
            <v>メタルミー　ネーマー銀消　ＶＢ</v>
          </cell>
          <cell r="N69">
            <v>1005</v>
          </cell>
          <cell r="O69">
            <v>1000</v>
          </cell>
          <cell r="P69">
            <v>4000</v>
          </cell>
          <cell r="Q69">
            <v>2</v>
          </cell>
          <cell r="R69">
            <v>3</v>
          </cell>
          <cell r="S69" t="str">
            <v>本</v>
          </cell>
          <cell r="T69">
            <v>44642</v>
          </cell>
          <cell r="U69">
            <v>44670</v>
          </cell>
          <cell r="V69" t="str">
            <v>㈱須賀川東部鏡石</v>
          </cell>
          <cell r="W69"/>
          <cell r="X69"/>
        </row>
        <row r="70">
          <cell r="A70">
            <v>3655552</v>
          </cell>
          <cell r="B70" t="str">
            <v>福島コーティング</v>
          </cell>
          <cell r="C70" t="str">
            <v>プロセス材１課</v>
          </cell>
          <cell r="D70" t="str">
            <v>ダミー担当者</v>
          </cell>
          <cell r="E70" t="str">
            <v>リンテック㈱</v>
          </cell>
          <cell r="F70">
            <v>3</v>
          </cell>
          <cell r="G70" t="str">
            <v>S</v>
          </cell>
          <cell r="H70" t="str">
            <v>N</v>
          </cell>
          <cell r="I70" t="str">
            <v>MLB</v>
          </cell>
          <cell r="J70"/>
          <cell r="K70" t="str">
            <v>MNGTBF</v>
          </cell>
          <cell r="L70">
            <v>25</v>
          </cell>
          <cell r="M70" t="str">
            <v>メタルミー　ネーマー　銀艶　Ｂ</v>
          </cell>
          <cell r="N70">
            <v>1005</v>
          </cell>
          <cell r="O70">
            <v>1000</v>
          </cell>
          <cell r="P70">
            <v>4000</v>
          </cell>
          <cell r="Q70">
            <v>2</v>
          </cell>
          <cell r="R70">
            <v>18</v>
          </cell>
          <cell r="S70" t="str">
            <v>本</v>
          </cell>
          <cell r="T70">
            <v>44642</v>
          </cell>
          <cell r="U70">
            <v>44669</v>
          </cell>
          <cell r="V70" t="str">
            <v>㈱須賀川東部鏡石</v>
          </cell>
          <cell r="W70"/>
          <cell r="X70"/>
        </row>
        <row r="71">
          <cell r="A71">
            <v>3655553</v>
          </cell>
          <cell r="B71" t="str">
            <v>福島コーティング</v>
          </cell>
          <cell r="C71" t="str">
            <v>プロセス材１課</v>
          </cell>
          <cell r="D71" t="str">
            <v>ダミー担当者</v>
          </cell>
          <cell r="E71" t="str">
            <v>リンテック㈱</v>
          </cell>
          <cell r="F71">
            <v>3</v>
          </cell>
          <cell r="G71" t="str">
            <v>S</v>
          </cell>
          <cell r="H71" t="str">
            <v>N</v>
          </cell>
          <cell r="I71" t="str">
            <v>MLB</v>
          </cell>
          <cell r="J71"/>
          <cell r="K71" t="str">
            <v>MNGTBF</v>
          </cell>
          <cell r="L71">
            <v>50</v>
          </cell>
          <cell r="M71" t="str">
            <v>メタルミー　ネーマー　銀艶　Ｂ</v>
          </cell>
          <cell r="N71">
            <v>1120</v>
          </cell>
          <cell r="O71">
            <v>1120</v>
          </cell>
          <cell r="P71">
            <v>5000</v>
          </cell>
          <cell r="Q71">
            <v>2</v>
          </cell>
          <cell r="R71">
            <v>12</v>
          </cell>
          <cell r="S71" t="str">
            <v>本</v>
          </cell>
          <cell r="T71">
            <v>44642</v>
          </cell>
          <cell r="U71">
            <v>44687</v>
          </cell>
          <cell r="V71" t="str">
            <v>㈱須賀川東部鏡石</v>
          </cell>
          <cell r="W71"/>
          <cell r="X71"/>
        </row>
        <row r="72">
          <cell r="A72">
            <v>3655554</v>
          </cell>
          <cell r="B72" t="str">
            <v>福島コーティング</v>
          </cell>
          <cell r="C72" t="str">
            <v>プロセス材１課</v>
          </cell>
          <cell r="D72" t="str">
            <v>ダミー担当者</v>
          </cell>
          <cell r="E72" t="str">
            <v>リンテック㈱</v>
          </cell>
          <cell r="F72">
            <v>3</v>
          </cell>
          <cell r="G72" t="str">
            <v>S</v>
          </cell>
          <cell r="H72" t="str">
            <v>N</v>
          </cell>
          <cell r="I72" t="str">
            <v>MLB</v>
          </cell>
          <cell r="J72"/>
          <cell r="K72" t="str">
            <v>MNGTBF</v>
          </cell>
          <cell r="L72">
            <v>50</v>
          </cell>
          <cell r="M72" t="str">
            <v>メタルミー　ネーマー　銀艶　Ｂ</v>
          </cell>
          <cell r="N72">
            <v>1120</v>
          </cell>
          <cell r="O72">
            <v>1120</v>
          </cell>
          <cell r="P72">
            <v>5000</v>
          </cell>
          <cell r="Q72">
            <v>2</v>
          </cell>
          <cell r="R72">
            <v>12</v>
          </cell>
          <cell r="S72" t="str">
            <v>本</v>
          </cell>
          <cell r="T72">
            <v>44642</v>
          </cell>
          <cell r="U72">
            <v>44694</v>
          </cell>
          <cell r="V72" t="str">
            <v>㈱須賀川東部鏡石</v>
          </cell>
          <cell r="W72"/>
          <cell r="X72"/>
        </row>
        <row r="73">
          <cell r="A73">
            <v>3655555</v>
          </cell>
          <cell r="B73" t="str">
            <v>福島コーティング</v>
          </cell>
          <cell r="C73" t="str">
            <v>プロセス材１課</v>
          </cell>
          <cell r="D73" t="str">
            <v>ダミー担当者</v>
          </cell>
          <cell r="E73" t="str">
            <v>リンテック㈱</v>
          </cell>
          <cell r="F73">
            <v>3</v>
          </cell>
          <cell r="G73" t="str">
            <v>S</v>
          </cell>
          <cell r="H73" t="str">
            <v>N</v>
          </cell>
          <cell r="I73" t="str">
            <v>MLB</v>
          </cell>
          <cell r="J73"/>
          <cell r="K73" t="str">
            <v>MNGTBF</v>
          </cell>
          <cell r="L73">
            <v>50</v>
          </cell>
          <cell r="M73" t="str">
            <v>メタルミー　ネーマー　銀艶　Ｂ</v>
          </cell>
          <cell r="N73">
            <v>1120</v>
          </cell>
          <cell r="O73">
            <v>1120</v>
          </cell>
          <cell r="P73">
            <v>5000</v>
          </cell>
          <cell r="Q73">
            <v>2</v>
          </cell>
          <cell r="R73">
            <v>12</v>
          </cell>
          <cell r="S73" t="str">
            <v>本</v>
          </cell>
          <cell r="T73">
            <v>44642</v>
          </cell>
          <cell r="U73">
            <v>44701</v>
          </cell>
          <cell r="V73" t="str">
            <v>㈱須賀川東部鏡石</v>
          </cell>
          <cell r="W73"/>
          <cell r="X73"/>
        </row>
        <row r="74">
          <cell r="A74">
            <v>3655556</v>
          </cell>
          <cell r="B74" t="str">
            <v>福島コーティング</v>
          </cell>
          <cell r="C74" t="str">
            <v>プロセス材１課</v>
          </cell>
          <cell r="D74" t="str">
            <v>ダミー担当者</v>
          </cell>
          <cell r="E74" t="str">
            <v>リンテック㈱</v>
          </cell>
          <cell r="F74">
            <v>3</v>
          </cell>
          <cell r="G74" t="str">
            <v>S</v>
          </cell>
          <cell r="H74" t="str">
            <v>N</v>
          </cell>
          <cell r="I74" t="str">
            <v>MCLB</v>
          </cell>
          <cell r="J74"/>
          <cell r="K74" t="str">
            <v>NGTVB</v>
          </cell>
          <cell r="L74">
            <v>50</v>
          </cell>
          <cell r="M74" t="str">
            <v>メタルミー　ネーマー　銀艶ＶＢ</v>
          </cell>
          <cell r="N74">
            <v>1000</v>
          </cell>
          <cell r="O74">
            <v>1000</v>
          </cell>
          <cell r="P74">
            <v>2500</v>
          </cell>
          <cell r="Q74">
            <v>2</v>
          </cell>
          <cell r="R74">
            <v>2</v>
          </cell>
          <cell r="S74" t="str">
            <v>本</v>
          </cell>
          <cell r="T74">
            <v>44642</v>
          </cell>
          <cell r="U74">
            <v>44669</v>
          </cell>
          <cell r="V74" t="str">
            <v>㈱須賀川東部鏡石</v>
          </cell>
          <cell r="W74"/>
          <cell r="X74"/>
        </row>
        <row r="75">
          <cell r="A75">
            <v>3655557</v>
          </cell>
          <cell r="B75" t="str">
            <v>福島コーティング</v>
          </cell>
          <cell r="C75" t="str">
            <v>プロセス材１課</v>
          </cell>
          <cell r="D75" t="str">
            <v>ダミー担当者</v>
          </cell>
          <cell r="E75" t="str">
            <v>リンテック㈱</v>
          </cell>
          <cell r="F75">
            <v>3</v>
          </cell>
          <cell r="G75" t="str">
            <v>S</v>
          </cell>
          <cell r="H75" t="str">
            <v>N</v>
          </cell>
          <cell r="I75" t="str">
            <v>MLB</v>
          </cell>
          <cell r="J75"/>
          <cell r="K75" t="str">
            <v>MNNGKBF</v>
          </cell>
          <cell r="L75">
            <v>25</v>
          </cell>
          <cell r="M75" t="str">
            <v>メタルミー　ニューネーマー銀消　Ｂ</v>
          </cell>
          <cell r="N75">
            <v>1005</v>
          </cell>
          <cell r="O75">
            <v>1000</v>
          </cell>
          <cell r="P75">
            <v>4000</v>
          </cell>
          <cell r="Q75">
            <v>2</v>
          </cell>
          <cell r="R75">
            <v>2</v>
          </cell>
          <cell r="S75" t="str">
            <v>本</v>
          </cell>
          <cell r="T75">
            <v>44642</v>
          </cell>
          <cell r="U75">
            <v>44669</v>
          </cell>
          <cell r="V75" t="str">
            <v>㈱須賀川東部鏡石</v>
          </cell>
          <cell r="W75"/>
          <cell r="X75"/>
        </row>
        <row r="76">
          <cell r="A76">
            <v>3655558</v>
          </cell>
          <cell r="B76" t="str">
            <v>福島コーティング</v>
          </cell>
          <cell r="C76" t="str">
            <v>プロセス材１課</v>
          </cell>
          <cell r="D76" t="str">
            <v>ダミー担当者</v>
          </cell>
          <cell r="E76" t="str">
            <v>リンテック㈱</v>
          </cell>
          <cell r="F76">
            <v>3</v>
          </cell>
          <cell r="G76" t="str">
            <v>S</v>
          </cell>
          <cell r="H76" t="str">
            <v>N</v>
          </cell>
          <cell r="I76" t="str">
            <v>MLB</v>
          </cell>
          <cell r="J76"/>
          <cell r="K76" t="str">
            <v>MNNGKBF</v>
          </cell>
          <cell r="L76">
            <v>50</v>
          </cell>
          <cell r="M76" t="str">
            <v>メタルミー　ニューネーマー銀消　Ｂ</v>
          </cell>
          <cell r="N76">
            <v>1000</v>
          </cell>
          <cell r="O76">
            <v>1000</v>
          </cell>
          <cell r="P76">
            <v>4000</v>
          </cell>
          <cell r="Q76">
            <v>2</v>
          </cell>
          <cell r="R76">
            <v>29</v>
          </cell>
          <cell r="S76" t="str">
            <v>本</v>
          </cell>
          <cell r="T76">
            <v>44642</v>
          </cell>
          <cell r="U76">
            <v>44669</v>
          </cell>
          <cell r="V76" t="str">
            <v>㈱須賀川東部鏡石</v>
          </cell>
          <cell r="W76"/>
          <cell r="X76"/>
        </row>
        <row r="77">
          <cell r="A77">
            <v>3655559</v>
          </cell>
          <cell r="B77" t="str">
            <v>福島コーティング</v>
          </cell>
          <cell r="C77" t="str">
            <v>プロセス材１課</v>
          </cell>
          <cell r="D77" t="str">
            <v>ダミー担当者</v>
          </cell>
          <cell r="E77" t="str">
            <v>リンテック㈱</v>
          </cell>
          <cell r="F77" t="str">
            <v>33S</v>
          </cell>
          <cell r="G77" t="str">
            <v>S</v>
          </cell>
          <cell r="H77" t="str">
            <v>N</v>
          </cell>
          <cell r="I77" t="str">
            <v>MCLB</v>
          </cell>
          <cell r="J77"/>
          <cell r="K77" t="str">
            <v>TEKKFV</v>
          </cell>
          <cell r="L77">
            <v>38</v>
          </cell>
          <cell r="M77" t="str">
            <v>メタルミー　ＴＥＳ消開封　Ｖ</v>
          </cell>
          <cell r="N77">
            <v>1005</v>
          </cell>
          <cell r="O77">
            <v>1000</v>
          </cell>
          <cell r="P77">
            <v>2000</v>
          </cell>
          <cell r="Q77">
            <v>2</v>
          </cell>
          <cell r="R77">
            <v>1</v>
          </cell>
          <cell r="S77" t="str">
            <v>本</v>
          </cell>
          <cell r="T77">
            <v>44642</v>
          </cell>
          <cell r="U77">
            <v>44665</v>
          </cell>
          <cell r="V77" t="str">
            <v>㈱須賀川東部鏡石</v>
          </cell>
          <cell r="W77"/>
          <cell r="X77"/>
        </row>
        <row r="78">
          <cell r="A78">
            <v>3655560</v>
          </cell>
          <cell r="B78" t="str">
            <v>福島コーティング</v>
          </cell>
          <cell r="C78" t="str">
            <v>プロセス材１課</v>
          </cell>
          <cell r="D78" t="str">
            <v>ダミー担当者</v>
          </cell>
          <cell r="E78" t="str">
            <v>リンテック㈱</v>
          </cell>
          <cell r="F78" t="str">
            <v>33S</v>
          </cell>
          <cell r="G78" t="str">
            <v>S</v>
          </cell>
          <cell r="H78" t="str">
            <v>N</v>
          </cell>
          <cell r="I78" t="str">
            <v>MCLB</v>
          </cell>
          <cell r="J78"/>
          <cell r="K78" t="str">
            <v>TEKV0V</v>
          </cell>
          <cell r="L78">
            <v>50</v>
          </cell>
          <cell r="M78" t="str">
            <v>メタルミー　ＴＥ－Ｓ消　ＶＯＩＤ　Ｖ</v>
          </cell>
          <cell r="N78">
            <v>1005</v>
          </cell>
          <cell r="O78">
            <v>1000</v>
          </cell>
          <cell r="P78">
            <v>4000</v>
          </cell>
          <cell r="Q78">
            <v>2</v>
          </cell>
          <cell r="R78">
            <v>6</v>
          </cell>
          <cell r="S78" t="str">
            <v>本</v>
          </cell>
          <cell r="T78">
            <v>44642</v>
          </cell>
          <cell r="U78">
            <v>44669</v>
          </cell>
          <cell r="V78" t="str">
            <v>㈱須賀川東部鏡石</v>
          </cell>
          <cell r="W78"/>
          <cell r="X78"/>
        </row>
        <row r="79">
          <cell r="A79">
            <v>3655561</v>
          </cell>
          <cell r="B79" t="str">
            <v>福島コーティング</v>
          </cell>
          <cell r="C79" t="str">
            <v>プロセス材１課</v>
          </cell>
          <cell r="D79" t="str">
            <v>ダミー担当者</v>
          </cell>
          <cell r="E79" t="str">
            <v>リンテック㈱</v>
          </cell>
          <cell r="F79" t="str">
            <v>33S</v>
          </cell>
          <cell r="G79" t="str">
            <v>S</v>
          </cell>
          <cell r="H79" t="str">
            <v>N</v>
          </cell>
          <cell r="I79" t="str">
            <v>MCLB</v>
          </cell>
          <cell r="J79"/>
          <cell r="K79" t="str">
            <v>TETKFV</v>
          </cell>
          <cell r="L79">
            <v>50</v>
          </cell>
          <cell r="M79" t="str">
            <v>メタルミー　ＴＥＳ艶開封　Ｖ</v>
          </cell>
          <cell r="N79">
            <v>1005</v>
          </cell>
          <cell r="O79">
            <v>1000</v>
          </cell>
          <cell r="P79">
            <v>4000</v>
          </cell>
          <cell r="Q79">
            <v>2</v>
          </cell>
          <cell r="R79">
            <v>3</v>
          </cell>
          <cell r="S79" t="str">
            <v>本</v>
          </cell>
          <cell r="T79">
            <v>44642</v>
          </cell>
          <cell r="U79">
            <v>44669</v>
          </cell>
          <cell r="V79" t="str">
            <v>㈱須賀川東部鏡石</v>
          </cell>
          <cell r="W79"/>
          <cell r="X79"/>
        </row>
        <row r="80">
          <cell r="A80">
            <v>3655562</v>
          </cell>
          <cell r="B80" t="str">
            <v>福島コーティング</v>
          </cell>
          <cell r="C80" t="str">
            <v>プロセス材１課</v>
          </cell>
          <cell r="D80" t="str">
            <v>ダミー担当者</v>
          </cell>
          <cell r="E80" t="str">
            <v>リンテック㈱</v>
          </cell>
          <cell r="F80">
            <v>3</v>
          </cell>
          <cell r="G80" t="str">
            <v>S</v>
          </cell>
          <cell r="H80" t="str">
            <v>N</v>
          </cell>
          <cell r="I80" t="str">
            <v>MCLB</v>
          </cell>
          <cell r="J80"/>
          <cell r="K80" t="str">
            <v>DMSV</v>
          </cell>
          <cell r="L80">
            <v>50</v>
          </cell>
          <cell r="M80" t="str">
            <v>ＤＭＳ　Ｖ</v>
          </cell>
          <cell r="N80">
            <v>1005</v>
          </cell>
          <cell r="O80">
            <v>1000</v>
          </cell>
          <cell r="P80">
            <v>2000</v>
          </cell>
          <cell r="Q80">
            <v>2</v>
          </cell>
          <cell r="R80">
            <v>2</v>
          </cell>
          <cell r="S80" t="str">
            <v>本</v>
          </cell>
          <cell r="T80">
            <v>44642</v>
          </cell>
          <cell r="U80">
            <v>44701</v>
          </cell>
          <cell r="V80" t="str">
            <v>㈱須賀川東部鏡石</v>
          </cell>
          <cell r="W80"/>
          <cell r="X80"/>
        </row>
        <row r="81">
          <cell r="A81">
            <v>3655566</v>
          </cell>
          <cell r="B81" t="str">
            <v>福島コーティング</v>
          </cell>
          <cell r="C81" t="str">
            <v>プロセス材１課</v>
          </cell>
          <cell r="D81" t="str">
            <v>ダミー担当者</v>
          </cell>
          <cell r="E81" t="str">
            <v>リンテック㈱</v>
          </cell>
          <cell r="F81">
            <v>3</v>
          </cell>
          <cell r="G81" t="str">
            <v>S</v>
          </cell>
          <cell r="H81" t="str">
            <v>N</v>
          </cell>
          <cell r="I81" t="str">
            <v>MLB</v>
          </cell>
          <cell r="J81"/>
          <cell r="K81" t="str">
            <v>MNQR66F</v>
          </cell>
          <cell r="L81">
            <v>25</v>
          </cell>
          <cell r="M81" t="str">
            <v>ＱＲ６６蒸着品</v>
          </cell>
          <cell r="N81">
            <v>1100</v>
          </cell>
          <cell r="O81">
            <v>1100</v>
          </cell>
          <cell r="P81">
            <v>6000</v>
          </cell>
          <cell r="Q81">
            <v>2</v>
          </cell>
          <cell r="R81">
            <v>25</v>
          </cell>
          <cell r="S81" t="str">
            <v>本</v>
          </cell>
          <cell r="T81">
            <v>44642</v>
          </cell>
          <cell r="U81">
            <v>44676</v>
          </cell>
          <cell r="V81" t="str">
            <v>㈱須賀川東部鏡石</v>
          </cell>
          <cell r="W81"/>
          <cell r="X81"/>
        </row>
        <row r="82">
          <cell r="A82">
            <v>3655567</v>
          </cell>
          <cell r="B82" t="str">
            <v>福島コーティング</v>
          </cell>
          <cell r="C82" t="str">
            <v>プロセス材１課</v>
          </cell>
          <cell r="D82" t="str">
            <v>ダミー担当者</v>
          </cell>
          <cell r="E82" t="str">
            <v>リンテック㈱</v>
          </cell>
          <cell r="F82">
            <v>3</v>
          </cell>
          <cell r="G82" t="str">
            <v>S</v>
          </cell>
          <cell r="H82" t="str">
            <v>N</v>
          </cell>
          <cell r="I82" t="str">
            <v>MCLB</v>
          </cell>
          <cell r="J82"/>
          <cell r="K82" t="str">
            <v>HLGKJV</v>
          </cell>
          <cell r="L82">
            <v>50</v>
          </cell>
          <cell r="M82" t="str">
            <v>メタルミー　ヘヤライン　銀消Ｖ</v>
          </cell>
          <cell r="N82">
            <v>1005</v>
          </cell>
          <cell r="O82">
            <v>1000</v>
          </cell>
          <cell r="P82">
            <v>2000</v>
          </cell>
          <cell r="Q82">
            <v>2</v>
          </cell>
          <cell r="R82">
            <v>4</v>
          </cell>
          <cell r="S82" t="str">
            <v>本</v>
          </cell>
          <cell r="T82">
            <v>44642</v>
          </cell>
          <cell r="U82">
            <v>44669</v>
          </cell>
          <cell r="V82" t="str">
            <v>㈱須賀川東部鏡石</v>
          </cell>
          <cell r="W82"/>
          <cell r="X82"/>
        </row>
        <row r="83">
          <cell r="A83">
            <v>3655568</v>
          </cell>
          <cell r="B83" t="str">
            <v>福島コーティング</v>
          </cell>
          <cell r="C83" t="str">
            <v>プロセス材１課</v>
          </cell>
          <cell r="D83" t="str">
            <v>ダミー担当者</v>
          </cell>
          <cell r="E83" t="str">
            <v>リンテック㈱</v>
          </cell>
          <cell r="F83">
            <v>3</v>
          </cell>
          <cell r="G83" t="str">
            <v>S</v>
          </cell>
          <cell r="H83" t="str">
            <v>N</v>
          </cell>
          <cell r="I83" t="str">
            <v>CLB</v>
          </cell>
          <cell r="J83"/>
          <cell r="K83" t="str">
            <v>LMEYK</v>
          </cell>
          <cell r="L83">
            <v>38</v>
          </cell>
          <cell r="M83" t="str">
            <v>ルミマットＥＹＫ</v>
          </cell>
          <cell r="N83">
            <v>1005</v>
          </cell>
          <cell r="O83">
            <v>1000</v>
          </cell>
          <cell r="P83">
            <v>4000</v>
          </cell>
          <cell r="Q83">
            <v>2</v>
          </cell>
          <cell r="R83">
            <v>6</v>
          </cell>
          <cell r="S83" t="str">
            <v>本</v>
          </cell>
          <cell r="T83">
            <v>44642</v>
          </cell>
          <cell r="U83">
            <v>44671</v>
          </cell>
          <cell r="V83" t="str">
            <v>㈱須賀川東部鏡石</v>
          </cell>
          <cell r="W83"/>
          <cell r="X83"/>
        </row>
        <row r="84">
          <cell r="A84">
            <v>3655569</v>
          </cell>
          <cell r="B84" t="str">
            <v>福島コーティング</v>
          </cell>
          <cell r="C84" t="str">
            <v>プロセス材１課</v>
          </cell>
          <cell r="D84" t="str">
            <v>ダミー担当者</v>
          </cell>
          <cell r="E84" t="str">
            <v>リンテック㈱</v>
          </cell>
          <cell r="F84">
            <v>3</v>
          </cell>
          <cell r="G84" t="str">
            <v>S</v>
          </cell>
          <cell r="H84" t="str">
            <v>Y</v>
          </cell>
          <cell r="I84" t="str">
            <v>MLB</v>
          </cell>
          <cell r="J84"/>
          <cell r="K84" t="str">
            <v>MSBBF</v>
          </cell>
          <cell r="L84">
            <v>50</v>
          </cell>
          <cell r="M84" t="str">
            <v>ＭＥＴＡＬＵＭＹ　ＳＩＬＶＥＲ　ＢＲＩＧＨＴ　Ｔ６２Ｍ　Ｂ</v>
          </cell>
          <cell r="N84">
            <v>1120</v>
          </cell>
          <cell r="O84">
            <v>1120</v>
          </cell>
          <cell r="P84">
            <v>5000</v>
          </cell>
          <cell r="Q84">
            <v>2</v>
          </cell>
          <cell r="R84">
            <v>4</v>
          </cell>
          <cell r="S84" t="str">
            <v>本</v>
          </cell>
          <cell r="T84">
            <v>44642</v>
          </cell>
          <cell r="U84">
            <v>44666</v>
          </cell>
          <cell r="V84" t="str">
            <v>㈱須賀川東部鏡石</v>
          </cell>
          <cell r="W84"/>
          <cell r="X84"/>
        </row>
        <row r="85">
          <cell r="A85">
            <v>3655570</v>
          </cell>
          <cell r="B85" t="str">
            <v>福島コーティング</v>
          </cell>
          <cell r="C85" t="str">
            <v>プロセス材１課</v>
          </cell>
          <cell r="D85" t="str">
            <v>ダミー担当者</v>
          </cell>
          <cell r="E85" t="str">
            <v>リンテック㈱</v>
          </cell>
          <cell r="F85">
            <v>3</v>
          </cell>
          <cell r="G85" t="str">
            <v>S</v>
          </cell>
          <cell r="H85" t="str">
            <v>Y</v>
          </cell>
          <cell r="I85" t="str">
            <v>MLB</v>
          </cell>
          <cell r="J85"/>
          <cell r="K85" t="str">
            <v>MSNMBZF</v>
          </cell>
          <cell r="L85">
            <v>50</v>
          </cell>
          <cell r="M85" t="str">
            <v>ＭＥＴＡＬＵＭＹ　ＳＩＬＶＥＲ　Ｎ－ＭＡＴＴＥ　Ｂ</v>
          </cell>
          <cell r="N85">
            <v>1120</v>
          </cell>
          <cell r="O85">
            <v>1120</v>
          </cell>
          <cell r="P85">
            <v>4000</v>
          </cell>
          <cell r="Q85">
            <v>2</v>
          </cell>
          <cell r="R85">
            <v>12</v>
          </cell>
          <cell r="S85" t="str">
            <v>本</v>
          </cell>
          <cell r="T85">
            <v>44642</v>
          </cell>
          <cell r="U85">
            <v>44671</v>
          </cell>
          <cell r="V85" t="str">
            <v>㈱須賀川東部鏡石</v>
          </cell>
          <cell r="W85"/>
          <cell r="X85"/>
        </row>
        <row r="86">
          <cell r="A86">
            <v>3656693</v>
          </cell>
          <cell r="B86" t="str">
            <v>福島コーティング</v>
          </cell>
          <cell r="C86" t="str">
            <v>プロセス材１課</v>
          </cell>
          <cell r="D86" t="str">
            <v>ダミー担当者</v>
          </cell>
          <cell r="E86" t="str">
            <v>日精㈱東京支店</v>
          </cell>
          <cell r="F86">
            <v>3</v>
          </cell>
          <cell r="G86" t="str">
            <v>S</v>
          </cell>
          <cell r="H86" t="str">
            <v>N</v>
          </cell>
          <cell r="I86" t="str">
            <v>MLB</v>
          </cell>
          <cell r="J86"/>
          <cell r="K86" t="str">
            <v>MSF</v>
          </cell>
          <cell r="L86">
            <v>25</v>
          </cell>
          <cell r="M86" t="str">
            <v>メタルミー　Ｓ</v>
          </cell>
          <cell r="N86">
            <v>1240</v>
          </cell>
          <cell r="O86">
            <v>1240</v>
          </cell>
          <cell r="P86">
            <v>2000</v>
          </cell>
          <cell r="Q86">
            <v>2</v>
          </cell>
          <cell r="R86">
            <v>1</v>
          </cell>
          <cell r="S86" t="str">
            <v>本</v>
          </cell>
          <cell r="T86">
            <v>44649</v>
          </cell>
          <cell r="U86">
            <v>44645</v>
          </cell>
          <cell r="V86" t="str">
            <v>㈱須賀川東部鏡石</v>
          </cell>
          <cell r="W86"/>
          <cell r="X86"/>
        </row>
        <row r="87">
          <cell r="A87">
            <v>3659683</v>
          </cell>
          <cell r="B87" t="str">
            <v>福島コーティング</v>
          </cell>
          <cell r="C87" t="str">
            <v>工材１部大阪電材課</v>
          </cell>
          <cell r="D87" t="str">
            <v>ダミー担当者</v>
          </cell>
          <cell r="E87" t="str">
            <v>日東シンコー㈱</v>
          </cell>
          <cell r="F87">
            <v>3</v>
          </cell>
          <cell r="G87" t="str">
            <v>S</v>
          </cell>
          <cell r="H87" t="str">
            <v>N</v>
          </cell>
          <cell r="I87" t="str">
            <v>MLB</v>
          </cell>
          <cell r="J87"/>
          <cell r="K87" t="str">
            <v>MSF</v>
          </cell>
          <cell r="L87">
            <v>25</v>
          </cell>
          <cell r="M87" t="str">
            <v>メタルミー　Ｓ</v>
          </cell>
          <cell r="N87">
            <v>510</v>
          </cell>
          <cell r="O87">
            <v>510</v>
          </cell>
          <cell r="P87">
            <v>2000</v>
          </cell>
          <cell r="Q87">
            <v>1</v>
          </cell>
          <cell r="R87">
            <v>12</v>
          </cell>
          <cell r="S87" t="str">
            <v>本</v>
          </cell>
          <cell r="T87">
            <v>44672</v>
          </cell>
          <cell r="U87">
            <v>44704</v>
          </cell>
          <cell r="V87" t="str">
            <v>㈱須賀川東部鏡石</v>
          </cell>
          <cell r="W87"/>
          <cell r="X87"/>
        </row>
        <row r="88">
          <cell r="A88">
            <v>3659684</v>
          </cell>
          <cell r="B88" t="str">
            <v>福島コーティング</v>
          </cell>
          <cell r="C88" t="str">
            <v>工材１部大阪電材課</v>
          </cell>
          <cell r="D88" t="str">
            <v>ダミー担当者</v>
          </cell>
          <cell r="E88" t="str">
            <v>日東電工㈱豊橋工場</v>
          </cell>
          <cell r="F88">
            <v>3</v>
          </cell>
          <cell r="G88" t="str">
            <v>S</v>
          </cell>
          <cell r="H88" t="str">
            <v>N</v>
          </cell>
          <cell r="I88" t="str">
            <v>MLB</v>
          </cell>
          <cell r="J88"/>
          <cell r="K88" t="str">
            <v>MTSF</v>
          </cell>
          <cell r="L88">
            <v>50</v>
          </cell>
          <cell r="M88" t="str">
            <v>メタルミー　ＴＳ</v>
          </cell>
          <cell r="N88">
            <v>1000</v>
          </cell>
          <cell r="O88">
            <v>1000</v>
          </cell>
          <cell r="P88">
            <v>3000</v>
          </cell>
          <cell r="Q88">
            <v>2</v>
          </cell>
          <cell r="R88">
            <v>8</v>
          </cell>
          <cell r="S88" t="str">
            <v>本</v>
          </cell>
          <cell r="T88">
            <v>44672</v>
          </cell>
          <cell r="U88">
            <v>44704</v>
          </cell>
          <cell r="V88" t="str">
            <v>㈱須賀川東部鏡石</v>
          </cell>
          <cell r="W88"/>
          <cell r="X88"/>
        </row>
        <row r="89">
          <cell r="A89">
            <v>3659685</v>
          </cell>
          <cell r="B89" t="str">
            <v>福島コーティング</v>
          </cell>
          <cell r="C89" t="str">
            <v>工材１部大阪電材課</v>
          </cell>
          <cell r="D89" t="str">
            <v>ダミー担当者</v>
          </cell>
          <cell r="E89" t="str">
            <v>日東電工㈱豊橋工場</v>
          </cell>
          <cell r="F89">
            <v>3</v>
          </cell>
          <cell r="G89" t="str">
            <v>S</v>
          </cell>
          <cell r="H89" t="str">
            <v>N</v>
          </cell>
          <cell r="I89" t="str">
            <v>MLB</v>
          </cell>
          <cell r="J89"/>
          <cell r="K89" t="str">
            <v>MTSF</v>
          </cell>
          <cell r="L89">
            <v>50</v>
          </cell>
          <cell r="M89" t="str">
            <v>メタルミー　ＴＳ</v>
          </cell>
          <cell r="N89">
            <v>1255</v>
          </cell>
          <cell r="O89">
            <v>1250</v>
          </cell>
          <cell r="P89">
            <v>2000</v>
          </cell>
          <cell r="Q89">
            <v>2</v>
          </cell>
          <cell r="R89">
            <v>6</v>
          </cell>
          <cell r="S89" t="str">
            <v>本</v>
          </cell>
          <cell r="T89">
            <v>44672</v>
          </cell>
          <cell r="U89">
            <v>44704</v>
          </cell>
          <cell r="V89" t="str">
            <v>㈱須賀川東部鏡石</v>
          </cell>
          <cell r="W89"/>
          <cell r="X89"/>
        </row>
        <row r="90">
          <cell r="A90">
            <v>3659690</v>
          </cell>
          <cell r="B90" t="str">
            <v>福島コーティング</v>
          </cell>
          <cell r="C90" t="str">
            <v>プロセス材２課</v>
          </cell>
          <cell r="D90" t="str">
            <v>ダミー担当者</v>
          </cell>
          <cell r="E90" t="str">
            <v>新タック化成㈱</v>
          </cell>
          <cell r="F90">
            <v>3</v>
          </cell>
          <cell r="G90" t="str">
            <v>S</v>
          </cell>
          <cell r="H90" t="str">
            <v>N</v>
          </cell>
          <cell r="I90" t="str">
            <v>CLB</v>
          </cell>
          <cell r="J90"/>
          <cell r="K90" t="str">
            <v>LEYK</v>
          </cell>
          <cell r="L90">
            <v>25</v>
          </cell>
          <cell r="M90" t="str">
            <v>ルミラー　ＥＹＫ</v>
          </cell>
          <cell r="N90">
            <v>1120</v>
          </cell>
          <cell r="O90">
            <v>1120</v>
          </cell>
          <cell r="P90">
            <v>6000</v>
          </cell>
          <cell r="Q90">
            <v>2</v>
          </cell>
          <cell r="R90">
            <v>10</v>
          </cell>
          <cell r="S90" t="str">
            <v>本</v>
          </cell>
          <cell r="T90">
            <v>44672</v>
          </cell>
          <cell r="U90">
            <v>44704</v>
          </cell>
          <cell r="V90" t="str">
            <v>㈱須賀川東部鏡石</v>
          </cell>
          <cell r="W90"/>
          <cell r="X90"/>
        </row>
        <row r="91">
          <cell r="A91">
            <v>3659691</v>
          </cell>
          <cell r="B91" t="str">
            <v>福島コーティング</v>
          </cell>
          <cell r="C91" t="str">
            <v>プロセス材２課</v>
          </cell>
          <cell r="D91" t="str">
            <v>ダミー担当者</v>
          </cell>
          <cell r="E91" t="str">
            <v>新タック化成㈱</v>
          </cell>
          <cell r="F91">
            <v>3</v>
          </cell>
          <cell r="G91" t="str">
            <v>S</v>
          </cell>
          <cell r="H91" t="str">
            <v>N</v>
          </cell>
          <cell r="I91" t="str">
            <v>CLB</v>
          </cell>
          <cell r="J91"/>
          <cell r="K91" t="str">
            <v>LEYK</v>
          </cell>
          <cell r="L91">
            <v>50</v>
          </cell>
          <cell r="M91" t="str">
            <v>ルミラー　ＥＹＫ</v>
          </cell>
          <cell r="N91">
            <v>1120</v>
          </cell>
          <cell r="O91">
            <v>1120</v>
          </cell>
          <cell r="P91">
            <v>6000</v>
          </cell>
          <cell r="Q91">
            <v>2</v>
          </cell>
          <cell r="R91">
            <v>5</v>
          </cell>
          <cell r="S91" t="str">
            <v>本</v>
          </cell>
          <cell r="T91">
            <v>44672</v>
          </cell>
          <cell r="U91">
            <v>44704</v>
          </cell>
          <cell r="V91" t="str">
            <v>㈱須賀川東部鏡石</v>
          </cell>
          <cell r="W91"/>
          <cell r="X91"/>
        </row>
        <row r="92">
          <cell r="A92">
            <v>3659692</v>
          </cell>
          <cell r="B92" t="str">
            <v>福島コーティング</v>
          </cell>
          <cell r="C92" t="str">
            <v>プロセス材２課</v>
          </cell>
          <cell r="D92" t="str">
            <v>ダミー担当者</v>
          </cell>
          <cell r="E92" t="str">
            <v>新タック化成㈱</v>
          </cell>
          <cell r="F92">
            <v>3</v>
          </cell>
          <cell r="G92" t="str">
            <v>S</v>
          </cell>
          <cell r="H92" t="str">
            <v>N</v>
          </cell>
          <cell r="I92" t="str">
            <v>MCLB</v>
          </cell>
          <cell r="J92"/>
          <cell r="K92" t="str">
            <v>EYK</v>
          </cell>
          <cell r="L92">
            <v>50</v>
          </cell>
          <cell r="M92" t="str">
            <v>メタルミー　ＥＹＫ</v>
          </cell>
          <cell r="N92">
            <v>1120</v>
          </cell>
          <cell r="O92">
            <v>1120</v>
          </cell>
          <cell r="P92">
            <v>6000</v>
          </cell>
          <cell r="Q92">
            <v>2</v>
          </cell>
          <cell r="R92">
            <v>2</v>
          </cell>
          <cell r="S92" t="str">
            <v>本</v>
          </cell>
          <cell r="T92">
            <v>44672</v>
          </cell>
          <cell r="U92">
            <v>44704</v>
          </cell>
          <cell r="V92" t="str">
            <v>㈱須賀川東部鏡石</v>
          </cell>
          <cell r="W92"/>
          <cell r="X92"/>
        </row>
        <row r="93">
          <cell r="A93">
            <v>3659693</v>
          </cell>
          <cell r="B93" t="str">
            <v>福島コーティング</v>
          </cell>
          <cell r="C93" t="str">
            <v>プロセス材２課</v>
          </cell>
          <cell r="D93" t="str">
            <v>ダミー担当者</v>
          </cell>
          <cell r="E93" t="str">
            <v>新タック化成㈱</v>
          </cell>
          <cell r="F93">
            <v>3</v>
          </cell>
          <cell r="G93" t="str">
            <v>S</v>
          </cell>
          <cell r="H93" t="str">
            <v>N</v>
          </cell>
          <cell r="I93" t="str">
            <v>MCLB</v>
          </cell>
          <cell r="J93"/>
          <cell r="K93" t="str">
            <v>MSNEYK</v>
          </cell>
          <cell r="L93">
            <v>50</v>
          </cell>
          <cell r="M93" t="str">
            <v>ＭＳＮ　ＥＹＫ</v>
          </cell>
          <cell r="N93">
            <v>1120</v>
          </cell>
          <cell r="O93">
            <v>1120</v>
          </cell>
          <cell r="P93">
            <v>4000</v>
          </cell>
          <cell r="Q93">
            <v>2</v>
          </cell>
          <cell r="R93">
            <v>2</v>
          </cell>
          <cell r="S93" t="str">
            <v>本</v>
          </cell>
          <cell r="T93">
            <v>44672</v>
          </cell>
          <cell r="U93">
            <v>44704</v>
          </cell>
          <cell r="V93" t="str">
            <v>㈱須賀川東部鏡石</v>
          </cell>
          <cell r="W93"/>
          <cell r="X93"/>
        </row>
        <row r="94">
          <cell r="A94">
            <v>3659694</v>
          </cell>
          <cell r="B94" t="str">
            <v>福島コーティング</v>
          </cell>
          <cell r="C94" t="str">
            <v>プロセス材２課</v>
          </cell>
          <cell r="D94" t="str">
            <v>ダミー担当者</v>
          </cell>
          <cell r="E94" t="str">
            <v>新タック化成㈱</v>
          </cell>
          <cell r="F94">
            <v>3</v>
          </cell>
          <cell r="G94" t="str">
            <v>S</v>
          </cell>
          <cell r="H94" t="str">
            <v>N</v>
          </cell>
          <cell r="I94" t="str">
            <v>MCLB</v>
          </cell>
          <cell r="J94"/>
          <cell r="K94" t="str">
            <v>WCB</v>
          </cell>
          <cell r="L94">
            <v>50</v>
          </cell>
          <cell r="M94" t="str">
            <v>メタルミー　ホワイトコート　　　（Ｂ）</v>
          </cell>
          <cell r="N94">
            <v>1120</v>
          </cell>
          <cell r="O94">
            <v>1120</v>
          </cell>
          <cell r="P94">
            <v>5000</v>
          </cell>
          <cell r="Q94">
            <v>2</v>
          </cell>
          <cell r="R94">
            <v>2</v>
          </cell>
          <cell r="S94" t="str">
            <v>本</v>
          </cell>
          <cell r="T94">
            <v>44672</v>
          </cell>
          <cell r="U94">
            <v>44704</v>
          </cell>
          <cell r="V94" t="str">
            <v>㈱須賀川東部鏡石</v>
          </cell>
          <cell r="W94"/>
          <cell r="X94"/>
        </row>
        <row r="95">
          <cell r="A95">
            <v>3659696</v>
          </cell>
          <cell r="B95" t="str">
            <v>福島コーティング</v>
          </cell>
          <cell r="C95" t="str">
            <v>プロセス材１課</v>
          </cell>
          <cell r="D95" t="str">
            <v>ダミー担当者</v>
          </cell>
          <cell r="E95" t="str">
            <v>アジヤアルミ㈱</v>
          </cell>
          <cell r="F95">
            <v>3</v>
          </cell>
          <cell r="G95" t="str">
            <v>S</v>
          </cell>
          <cell r="H95" t="str">
            <v>N</v>
          </cell>
          <cell r="I95" t="str">
            <v>MLB</v>
          </cell>
          <cell r="J95"/>
          <cell r="K95" t="str">
            <v>MNSJF</v>
          </cell>
          <cell r="L95">
            <v>12</v>
          </cell>
          <cell r="M95" t="str">
            <v>ＮＳ蒸着</v>
          </cell>
          <cell r="N95">
            <v>1000</v>
          </cell>
          <cell r="O95">
            <v>1000</v>
          </cell>
          <cell r="P95">
            <v>6000</v>
          </cell>
          <cell r="Q95">
            <v>2</v>
          </cell>
          <cell r="R95">
            <v>4</v>
          </cell>
          <cell r="S95" t="str">
            <v>本</v>
          </cell>
          <cell r="T95">
            <v>44672</v>
          </cell>
          <cell r="U95">
            <v>44701</v>
          </cell>
          <cell r="V95" t="str">
            <v>㈱須賀川東部鏡石</v>
          </cell>
          <cell r="W95"/>
          <cell r="X95"/>
        </row>
        <row r="96">
          <cell r="A96">
            <v>3659697</v>
          </cell>
          <cell r="B96" t="str">
            <v>福島コーティング</v>
          </cell>
          <cell r="C96" t="str">
            <v>プロセス材１課</v>
          </cell>
          <cell r="D96" t="str">
            <v>ダミー担当者</v>
          </cell>
          <cell r="E96" t="str">
            <v>リンテック㈱</v>
          </cell>
          <cell r="F96">
            <v>3</v>
          </cell>
          <cell r="G96" t="str">
            <v>S</v>
          </cell>
          <cell r="H96" t="str">
            <v>N</v>
          </cell>
          <cell r="I96" t="str">
            <v>MLB</v>
          </cell>
          <cell r="J96"/>
          <cell r="K96" t="str">
            <v>MNGKKBF</v>
          </cell>
          <cell r="L96">
            <v>25</v>
          </cell>
          <cell r="M96" t="str">
            <v>メタルミー　ネーマー銀消改　Ｂ</v>
          </cell>
          <cell r="N96">
            <v>1000</v>
          </cell>
          <cell r="O96">
            <v>1000</v>
          </cell>
          <cell r="P96">
            <v>4000</v>
          </cell>
          <cell r="Q96">
            <v>2</v>
          </cell>
          <cell r="R96">
            <v>2</v>
          </cell>
          <cell r="S96" t="str">
            <v>本</v>
          </cell>
          <cell r="T96">
            <v>44672</v>
          </cell>
          <cell r="U96">
            <v>44701</v>
          </cell>
          <cell r="V96" t="str">
            <v>㈱須賀川東部鏡石</v>
          </cell>
          <cell r="W96"/>
          <cell r="X96"/>
        </row>
        <row r="97">
          <cell r="A97">
            <v>3659698</v>
          </cell>
          <cell r="B97" t="str">
            <v>福島コーティング</v>
          </cell>
          <cell r="C97" t="str">
            <v>プロセス材１課</v>
          </cell>
          <cell r="D97" t="str">
            <v>ダミー担当者</v>
          </cell>
          <cell r="E97" t="str">
            <v>リンテック㈱</v>
          </cell>
          <cell r="F97">
            <v>3</v>
          </cell>
          <cell r="G97" t="str">
            <v>S</v>
          </cell>
          <cell r="H97" t="str">
            <v>N</v>
          </cell>
          <cell r="I97" t="str">
            <v>MLB</v>
          </cell>
          <cell r="J97"/>
          <cell r="K97" t="str">
            <v>MNGKKBF</v>
          </cell>
          <cell r="L97">
            <v>25</v>
          </cell>
          <cell r="M97" t="str">
            <v>メタルミー　ネーマー銀消改　Ｂ</v>
          </cell>
          <cell r="N97">
            <v>1120</v>
          </cell>
          <cell r="O97">
            <v>1120</v>
          </cell>
          <cell r="P97">
            <v>4000</v>
          </cell>
          <cell r="Q97">
            <v>2</v>
          </cell>
          <cell r="R97">
            <v>10</v>
          </cell>
          <cell r="S97" t="str">
            <v>本</v>
          </cell>
          <cell r="T97">
            <v>44672</v>
          </cell>
          <cell r="U97">
            <v>44700</v>
          </cell>
          <cell r="V97" t="str">
            <v>㈱須賀川東部鏡石</v>
          </cell>
          <cell r="W97"/>
          <cell r="X97"/>
        </row>
        <row r="98">
          <cell r="A98">
            <v>3659699</v>
          </cell>
          <cell r="B98" t="str">
            <v>福島コーティング</v>
          </cell>
          <cell r="C98" t="str">
            <v>プロセス材１課</v>
          </cell>
          <cell r="D98" t="str">
            <v>ダミー担当者</v>
          </cell>
          <cell r="E98" t="str">
            <v>リンテック㈱</v>
          </cell>
          <cell r="F98">
            <v>3</v>
          </cell>
          <cell r="G98" t="str">
            <v>S</v>
          </cell>
          <cell r="H98" t="str">
            <v>N</v>
          </cell>
          <cell r="I98" t="str">
            <v>MLB</v>
          </cell>
          <cell r="J98"/>
          <cell r="K98" t="str">
            <v>MNGKKBF</v>
          </cell>
          <cell r="L98">
            <v>50</v>
          </cell>
          <cell r="M98" t="str">
            <v>メタルミー　ネーマー銀消改　Ｂ</v>
          </cell>
          <cell r="N98">
            <v>1120</v>
          </cell>
          <cell r="O98">
            <v>1120</v>
          </cell>
          <cell r="P98">
            <v>4000</v>
          </cell>
          <cell r="Q98">
            <v>2</v>
          </cell>
          <cell r="R98">
            <v>8</v>
          </cell>
          <cell r="S98" t="str">
            <v>本</v>
          </cell>
          <cell r="T98">
            <v>44672</v>
          </cell>
          <cell r="U98">
            <v>44708</v>
          </cell>
          <cell r="V98" t="str">
            <v>㈱須賀川東部鏡石</v>
          </cell>
          <cell r="W98"/>
          <cell r="X98"/>
        </row>
        <row r="99">
          <cell r="A99">
            <v>3659700</v>
          </cell>
          <cell r="B99" t="str">
            <v>福島コーティング</v>
          </cell>
          <cell r="C99" t="str">
            <v>プロセス材１課</v>
          </cell>
          <cell r="D99" t="str">
            <v>ダミー担当者</v>
          </cell>
          <cell r="E99" t="str">
            <v>リンテック㈱</v>
          </cell>
          <cell r="F99">
            <v>3</v>
          </cell>
          <cell r="G99" t="str">
            <v>S</v>
          </cell>
          <cell r="H99" t="str">
            <v>N</v>
          </cell>
          <cell r="I99" t="str">
            <v>MLB</v>
          </cell>
          <cell r="J99"/>
          <cell r="K99" t="str">
            <v>MNGKKBF</v>
          </cell>
          <cell r="L99">
            <v>50</v>
          </cell>
          <cell r="M99" t="str">
            <v>メタルミー　ネーマー銀消改　Ｂ</v>
          </cell>
          <cell r="N99">
            <v>1120</v>
          </cell>
          <cell r="O99">
            <v>1120</v>
          </cell>
          <cell r="P99">
            <v>4000</v>
          </cell>
          <cell r="Q99">
            <v>2</v>
          </cell>
          <cell r="R99">
            <v>8</v>
          </cell>
          <cell r="S99" t="str">
            <v>本</v>
          </cell>
          <cell r="T99">
            <v>44672</v>
          </cell>
          <cell r="U99">
            <v>44715</v>
          </cell>
          <cell r="V99" t="str">
            <v>㈱須賀川東部鏡石</v>
          </cell>
          <cell r="W99"/>
          <cell r="X99"/>
        </row>
        <row r="100">
          <cell r="A100">
            <v>3659701</v>
          </cell>
          <cell r="B100" t="str">
            <v>福島コーティング</v>
          </cell>
          <cell r="C100" t="str">
            <v>プロセス材１課</v>
          </cell>
          <cell r="D100" t="str">
            <v>ダミー担当者</v>
          </cell>
          <cell r="E100" t="str">
            <v>リンテック㈱</v>
          </cell>
          <cell r="F100">
            <v>3</v>
          </cell>
          <cell r="G100" t="str">
            <v>S</v>
          </cell>
          <cell r="H100" t="str">
            <v>N</v>
          </cell>
          <cell r="I100" t="str">
            <v>MLB</v>
          </cell>
          <cell r="J100"/>
          <cell r="K100" t="str">
            <v>MNGKKBF</v>
          </cell>
          <cell r="L100">
            <v>50</v>
          </cell>
          <cell r="M100" t="str">
            <v>メタルミー　ネーマー銀消改　Ｂ</v>
          </cell>
          <cell r="N100">
            <v>1120</v>
          </cell>
          <cell r="O100">
            <v>1120</v>
          </cell>
          <cell r="P100">
            <v>4000</v>
          </cell>
          <cell r="Q100">
            <v>2</v>
          </cell>
          <cell r="R100">
            <v>8</v>
          </cell>
          <cell r="S100" t="str">
            <v>本</v>
          </cell>
          <cell r="T100">
            <v>44672</v>
          </cell>
          <cell r="U100">
            <v>44720</v>
          </cell>
          <cell r="V100" t="str">
            <v>㈱須賀川東部鏡石</v>
          </cell>
          <cell r="W100"/>
          <cell r="X100"/>
        </row>
        <row r="101">
          <cell r="A101">
            <v>3659702</v>
          </cell>
          <cell r="B101" t="str">
            <v>福島コーティング</v>
          </cell>
          <cell r="C101" t="str">
            <v>プロセス材１課</v>
          </cell>
          <cell r="D101" t="str">
            <v>ダミー担当者</v>
          </cell>
          <cell r="E101" t="str">
            <v>リンテック㈱</v>
          </cell>
          <cell r="F101">
            <v>3</v>
          </cell>
          <cell r="G101" t="str">
            <v>S</v>
          </cell>
          <cell r="H101" t="str">
            <v>N</v>
          </cell>
          <cell r="I101" t="str">
            <v>MLB</v>
          </cell>
          <cell r="J101"/>
          <cell r="K101" t="str">
            <v>MNGKKBF</v>
          </cell>
          <cell r="L101">
            <v>50</v>
          </cell>
          <cell r="M101" t="str">
            <v>メタルミー　ネーマー銀消改　Ｂ</v>
          </cell>
          <cell r="N101">
            <v>1120</v>
          </cell>
          <cell r="O101">
            <v>1120</v>
          </cell>
          <cell r="P101">
            <v>4000</v>
          </cell>
          <cell r="Q101">
            <v>2</v>
          </cell>
          <cell r="R101">
            <v>8</v>
          </cell>
          <cell r="S101" t="str">
            <v>本</v>
          </cell>
          <cell r="T101">
            <v>44672</v>
          </cell>
          <cell r="U101">
            <v>44727</v>
          </cell>
          <cell r="V101" t="str">
            <v>㈱須賀川東部鏡石</v>
          </cell>
          <cell r="W101"/>
          <cell r="X101"/>
        </row>
        <row r="102">
          <cell r="A102">
            <v>3659703</v>
          </cell>
          <cell r="B102" t="str">
            <v>福島コーティング</v>
          </cell>
          <cell r="C102" t="str">
            <v>プロセス材１課</v>
          </cell>
          <cell r="D102" t="str">
            <v>ダミー担当者</v>
          </cell>
          <cell r="E102" t="str">
            <v>リンテック㈱</v>
          </cell>
          <cell r="F102">
            <v>3</v>
          </cell>
          <cell r="G102" t="str">
            <v>S</v>
          </cell>
          <cell r="H102" t="str">
            <v>N</v>
          </cell>
          <cell r="I102" t="str">
            <v>MLB</v>
          </cell>
          <cell r="J102"/>
          <cell r="K102" t="str">
            <v>MNGKBF</v>
          </cell>
          <cell r="L102">
            <v>50</v>
          </cell>
          <cell r="M102" t="str">
            <v>メタルミー　ネーマー銀消　Ｂ</v>
          </cell>
          <cell r="N102">
            <v>1050</v>
          </cell>
          <cell r="O102">
            <v>1050</v>
          </cell>
          <cell r="P102">
            <v>4100</v>
          </cell>
          <cell r="Q102">
            <v>2</v>
          </cell>
          <cell r="R102">
            <v>7</v>
          </cell>
          <cell r="S102" t="str">
            <v>本</v>
          </cell>
          <cell r="T102">
            <v>44672</v>
          </cell>
          <cell r="U102">
            <v>44694</v>
          </cell>
          <cell r="V102" t="str">
            <v>㈱須賀川東部鏡石</v>
          </cell>
          <cell r="W102"/>
          <cell r="X102"/>
        </row>
        <row r="103">
          <cell r="A103">
            <v>3659704</v>
          </cell>
          <cell r="B103" t="str">
            <v>福島コーティング</v>
          </cell>
          <cell r="C103" t="str">
            <v>プロセス材１課</v>
          </cell>
          <cell r="D103" t="str">
            <v>ダミー担当者</v>
          </cell>
          <cell r="E103" t="str">
            <v>リンテック㈱</v>
          </cell>
          <cell r="F103">
            <v>3</v>
          </cell>
          <cell r="G103" t="str">
            <v>S</v>
          </cell>
          <cell r="H103" t="str">
            <v>N</v>
          </cell>
          <cell r="I103" t="str">
            <v>MLB</v>
          </cell>
          <cell r="J103"/>
          <cell r="K103" t="str">
            <v>MNGKBF</v>
          </cell>
          <cell r="L103">
            <v>75</v>
          </cell>
          <cell r="M103" t="str">
            <v>メタルミー　ネーマー銀消　Ｂ</v>
          </cell>
          <cell r="N103">
            <v>1050</v>
          </cell>
          <cell r="O103">
            <v>1050</v>
          </cell>
          <cell r="P103">
            <v>2000</v>
          </cell>
          <cell r="Q103">
            <v>2</v>
          </cell>
          <cell r="R103">
            <v>1</v>
          </cell>
          <cell r="S103" t="str">
            <v>本</v>
          </cell>
          <cell r="T103">
            <v>44672</v>
          </cell>
          <cell r="U103">
            <v>44694</v>
          </cell>
          <cell r="V103" t="str">
            <v>㈱須賀川東部鏡石</v>
          </cell>
          <cell r="W103"/>
          <cell r="X103"/>
        </row>
        <row r="104">
          <cell r="A104">
            <v>3659705</v>
          </cell>
          <cell r="B104" t="str">
            <v>福島コーティング</v>
          </cell>
          <cell r="C104" t="str">
            <v>プロセス材１課</v>
          </cell>
          <cell r="D104" t="str">
            <v>ダミー担当者</v>
          </cell>
          <cell r="E104" t="str">
            <v>リンテック㈱</v>
          </cell>
          <cell r="F104">
            <v>3</v>
          </cell>
          <cell r="G104" t="str">
            <v>S</v>
          </cell>
          <cell r="H104" t="str">
            <v>N</v>
          </cell>
          <cell r="I104" t="str">
            <v>MCLB</v>
          </cell>
          <cell r="J104"/>
          <cell r="K104" t="str">
            <v>NGKVB</v>
          </cell>
          <cell r="L104">
            <v>50</v>
          </cell>
          <cell r="M104" t="str">
            <v>メタルミー　ネーマー銀消　ＶＢ</v>
          </cell>
          <cell r="N104">
            <v>1005</v>
          </cell>
          <cell r="O104">
            <v>1000</v>
          </cell>
          <cell r="P104">
            <v>4000</v>
          </cell>
          <cell r="Q104">
            <v>2</v>
          </cell>
          <cell r="R104">
            <v>3</v>
          </cell>
          <cell r="S104" t="str">
            <v>本</v>
          </cell>
          <cell r="T104">
            <v>44672</v>
          </cell>
          <cell r="U104">
            <v>44701</v>
          </cell>
          <cell r="V104" t="str">
            <v>㈱須賀川東部鏡石</v>
          </cell>
          <cell r="W104"/>
          <cell r="X104"/>
        </row>
        <row r="105">
          <cell r="A105">
            <v>3659709</v>
          </cell>
          <cell r="B105" t="str">
            <v>福島コーティング</v>
          </cell>
          <cell r="C105" t="str">
            <v>プロセス材１課</v>
          </cell>
          <cell r="D105" t="str">
            <v>ダミー担当者</v>
          </cell>
          <cell r="E105" t="str">
            <v>リンテック㈱</v>
          </cell>
          <cell r="F105">
            <v>3</v>
          </cell>
          <cell r="G105" t="str">
            <v>S</v>
          </cell>
          <cell r="H105" t="str">
            <v>N</v>
          </cell>
          <cell r="I105" t="str">
            <v>MLB</v>
          </cell>
          <cell r="J105"/>
          <cell r="K105" t="str">
            <v>MNGTBF</v>
          </cell>
          <cell r="L105">
            <v>25</v>
          </cell>
          <cell r="M105" t="str">
            <v>メタルミー　ネーマー　銀艶　Ｂ</v>
          </cell>
          <cell r="N105">
            <v>1005</v>
          </cell>
          <cell r="O105">
            <v>1000</v>
          </cell>
          <cell r="P105">
            <v>4000</v>
          </cell>
          <cell r="Q105">
            <v>2</v>
          </cell>
          <cell r="R105">
            <v>18</v>
          </cell>
          <cell r="S105" t="str">
            <v>本</v>
          </cell>
          <cell r="T105">
            <v>44672</v>
          </cell>
          <cell r="U105">
            <v>44701</v>
          </cell>
          <cell r="V105" t="str">
            <v>㈱須賀川東部鏡石</v>
          </cell>
          <cell r="W105"/>
          <cell r="X105"/>
        </row>
        <row r="106">
          <cell r="A106">
            <v>3659710</v>
          </cell>
          <cell r="B106" t="str">
            <v>福島コーティング</v>
          </cell>
          <cell r="C106" t="str">
            <v>プロセス材１課</v>
          </cell>
          <cell r="D106" t="str">
            <v>ダミー担当者</v>
          </cell>
          <cell r="E106" t="str">
            <v>リンテック㈱</v>
          </cell>
          <cell r="F106">
            <v>3</v>
          </cell>
          <cell r="G106" t="str">
            <v>S</v>
          </cell>
          <cell r="H106" t="str">
            <v>N</v>
          </cell>
          <cell r="I106" t="str">
            <v>MLB</v>
          </cell>
          <cell r="J106"/>
          <cell r="K106" t="str">
            <v>MNGTBF</v>
          </cell>
          <cell r="L106">
            <v>50</v>
          </cell>
          <cell r="M106" t="str">
            <v>メタルミー　ネーマー　銀艶　Ｂ</v>
          </cell>
          <cell r="N106">
            <v>1120</v>
          </cell>
          <cell r="O106">
            <v>1120</v>
          </cell>
          <cell r="P106">
            <v>5000</v>
          </cell>
          <cell r="Q106">
            <v>2</v>
          </cell>
          <cell r="R106">
            <v>10</v>
          </cell>
          <cell r="S106" t="str">
            <v>本</v>
          </cell>
          <cell r="T106">
            <v>44672</v>
          </cell>
          <cell r="U106">
            <v>44708</v>
          </cell>
          <cell r="V106" t="str">
            <v>㈱須賀川東部鏡石</v>
          </cell>
          <cell r="W106"/>
          <cell r="X106"/>
        </row>
        <row r="107">
          <cell r="A107">
            <v>3659711</v>
          </cell>
          <cell r="B107" t="str">
            <v>福島コーティング</v>
          </cell>
          <cell r="C107" t="str">
            <v>プロセス材１課</v>
          </cell>
          <cell r="D107" t="str">
            <v>ダミー担当者</v>
          </cell>
          <cell r="E107" t="str">
            <v>リンテック㈱</v>
          </cell>
          <cell r="F107">
            <v>3</v>
          </cell>
          <cell r="G107" t="str">
            <v>S</v>
          </cell>
          <cell r="H107" t="str">
            <v>N</v>
          </cell>
          <cell r="I107" t="str">
            <v>MLB</v>
          </cell>
          <cell r="J107"/>
          <cell r="K107" t="str">
            <v>MNGTBF</v>
          </cell>
          <cell r="L107">
            <v>50</v>
          </cell>
          <cell r="M107" t="str">
            <v>メタルミー　ネーマー　銀艶　Ｂ</v>
          </cell>
          <cell r="N107">
            <v>1120</v>
          </cell>
          <cell r="O107">
            <v>1120</v>
          </cell>
          <cell r="P107">
            <v>5000</v>
          </cell>
          <cell r="Q107">
            <v>2</v>
          </cell>
          <cell r="R107">
            <v>8</v>
          </cell>
          <cell r="S107" t="str">
            <v>本</v>
          </cell>
          <cell r="T107">
            <v>44672</v>
          </cell>
          <cell r="U107">
            <v>44713</v>
          </cell>
          <cell r="V107" t="str">
            <v>㈱須賀川東部鏡石</v>
          </cell>
          <cell r="W107"/>
          <cell r="X107"/>
        </row>
        <row r="108">
          <cell r="A108">
            <v>3659713</v>
          </cell>
          <cell r="B108" t="str">
            <v>福島コーティング</v>
          </cell>
          <cell r="C108" t="str">
            <v>プロセス材１課</v>
          </cell>
          <cell r="D108" t="str">
            <v>ダミー担当者</v>
          </cell>
          <cell r="E108" t="str">
            <v>リンテック㈱</v>
          </cell>
          <cell r="F108">
            <v>3</v>
          </cell>
          <cell r="G108" t="str">
            <v>S</v>
          </cell>
          <cell r="H108" t="str">
            <v>N</v>
          </cell>
          <cell r="I108" t="str">
            <v>MLB</v>
          </cell>
          <cell r="J108"/>
          <cell r="K108" t="str">
            <v>MNNGKBF</v>
          </cell>
          <cell r="L108">
            <v>25</v>
          </cell>
          <cell r="M108" t="str">
            <v>メタルミー　ニューネーマー銀消　Ｂ</v>
          </cell>
          <cell r="N108">
            <v>1005</v>
          </cell>
          <cell r="O108">
            <v>1000</v>
          </cell>
          <cell r="P108">
            <v>4000</v>
          </cell>
          <cell r="Q108">
            <v>2</v>
          </cell>
          <cell r="R108">
            <v>6</v>
          </cell>
          <cell r="S108" t="str">
            <v>本</v>
          </cell>
          <cell r="T108">
            <v>44672</v>
          </cell>
          <cell r="U108">
            <v>44703</v>
          </cell>
          <cell r="V108" t="str">
            <v>㈱須賀川東部鏡石</v>
          </cell>
          <cell r="W108"/>
          <cell r="X108"/>
        </row>
        <row r="109">
          <cell r="A109">
            <v>3659714</v>
          </cell>
          <cell r="B109" t="str">
            <v>福島コーティング</v>
          </cell>
          <cell r="C109" t="str">
            <v>プロセス材１課</v>
          </cell>
          <cell r="D109" t="str">
            <v>ダミー担当者</v>
          </cell>
          <cell r="E109" t="str">
            <v>リンテック㈱</v>
          </cell>
          <cell r="F109">
            <v>3</v>
          </cell>
          <cell r="G109" t="str">
            <v>S</v>
          </cell>
          <cell r="H109" t="str">
            <v>N</v>
          </cell>
          <cell r="I109" t="str">
            <v>MLB</v>
          </cell>
          <cell r="J109"/>
          <cell r="K109" t="str">
            <v>MNNGKBF</v>
          </cell>
          <cell r="L109">
            <v>50</v>
          </cell>
          <cell r="M109" t="str">
            <v>メタルミー　ニューネーマー銀消　Ｂ</v>
          </cell>
          <cell r="N109">
            <v>1000</v>
          </cell>
          <cell r="O109">
            <v>1000</v>
          </cell>
          <cell r="P109">
            <v>4000</v>
          </cell>
          <cell r="Q109">
            <v>2</v>
          </cell>
          <cell r="R109">
            <v>27</v>
          </cell>
          <cell r="S109" t="str">
            <v>本</v>
          </cell>
          <cell r="T109">
            <v>44672</v>
          </cell>
          <cell r="U109">
            <v>44703</v>
          </cell>
          <cell r="V109" t="str">
            <v>㈱須賀川東部鏡石</v>
          </cell>
          <cell r="W109"/>
          <cell r="X109"/>
        </row>
        <row r="110">
          <cell r="A110">
            <v>3659715</v>
          </cell>
          <cell r="B110" t="str">
            <v>福島コーティング</v>
          </cell>
          <cell r="C110" t="str">
            <v>プロセス材１課</v>
          </cell>
          <cell r="D110" t="str">
            <v>ダミー担当者</v>
          </cell>
          <cell r="E110" t="str">
            <v>リンテック㈱</v>
          </cell>
          <cell r="F110" t="str">
            <v>33S</v>
          </cell>
          <cell r="G110" t="str">
            <v>S</v>
          </cell>
          <cell r="H110" t="str">
            <v>N</v>
          </cell>
          <cell r="I110" t="str">
            <v>MCLB</v>
          </cell>
          <cell r="J110"/>
          <cell r="K110" t="str">
            <v>TEKKFV</v>
          </cell>
          <cell r="L110">
            <v>50</v>
          </cell>
          <cell r="M110" t="str">
            <v>メタルミー　ＴＥＳ消開封　Ｖ</v>
          </cell>
          <cell r="N110">
            <v>1005</v>
          </cell>
          <cell r="O110">
            <v>1000</v>
          </cell>
          <cell r="P110">
            <v>4000</v>
          </cell>
          <cell r="Q110">
            <v>2</v>
          </cell>
          <cell r="R110">
            <v>6</v>
          </cell>
          <cell r="S110" t="str">
            <v>本</v>
          </cell>
          <cell r="T110">
            <v>44672</v>
          </cell>
          <cell r="U110">
            <v>44700</v>
          </cell>
          <cell r="V110" t="str">
            <v>㈱須賀川東部鏡石</v>
          </cell>
          <cell r="W110"/>
          <cell r="X110"/>
        </row>
        <row r="111">
          <cell r="A111">
            <v>3659716</v>
          </cell>
          <cell r="B111" t="str">
            <v>福島コーティング</v>
          </cell>
          <cell r="C111" t="str">
            <v>プロセス材１課</v>
          </cell>
          <cell r="D111" t="str">
            <v>ダミー担当者</v>
          </cell>
          <cell r="E111" t="str">
            <v>リンテック㈱</v>
          </cell>
          <cell r="F111" t="str">
            <v>33S</v>
          </cell>
          <cell r="G111" t="str">
            <v>S</v>
          </cell>
          <cell r="H111" t="str">
            <v>N</v>
          </cell>
          <cell r="I111" t="str">
            <v>MCLB</v>
          </cell>
          <cell r="J111"/>
          <cell r="K111" t="str">
            <v>TEKV0V</v>
          </cell>
          <cell r="L111">
            <v>50</v>
          </cell>
          <cell r="M111" t="str">
            <v>メタルミー　ＴＥ－Ｓ消　ＶＯＩＤ　Ｖ</v>
          </cell>
          <cell r="N111">
            <v>1005</v>
          </cell>
          <cell r="O111">
            <v>1000</v>
          </cell>
          <cell r="P111">
            <v>4000</v>
          </cell>
          <cell r="Q111">
            <v>2</v>
          </cell>
          <cell r="R111">
            <v>6</v>
          </cell>
          <cell r="S111" t="str">
            <v>本</v>
          </cell>
          <cell r="T111">
            <v>44672</v>
          </cell>
          <cell r="U111">
            <v>44700</v>
          </cell>
          <cell r="V111" t="str">
            <v>㈱須賀川東部鏡石</v>
          </cell>
          <cell r="W111"/>
          <cell r="X111"/>
        </row>
        <row r="112">
          <cell r="A112">
            <v>3659717</v>
          </cell>
          <cell r="B112" t="str">
            <v>福島コーティング</v>
          </cell>
          <cell r="C112" t="str">
            <v>プロセス材１課</v>
          </cell>
          <cell r="D112" t="str">
            <v>ダミー担当者</v>
          </cell>
          <cell r="E112" t="str">
            <v>リンテック㈱</v>
          </cell>
          <cell r="F112" t="str">
            <v>33S</v>
          </cell>
          <cell r="G112" t="str">
            <v>S</v>
          </cell>
          <cell r="H112" t="str">
            <v>N</v>
          </cell>
          <cell r="I112" t="str">
            <v>MCLB</v>
          </cell>
          <cell r="J112"/>
          <cell r="K112" t="str">
            <v>TETKFV</v>
          </cell>
          <cell r="L112">
            <v>50</v>
          </cell>
          <cell r="M112" t="str">
            <v>メタルミー　ＴＥＳ艶開封　Ｖ</v>
          </cell>
          <cell r="N112">
            <v>1005</v>
          </cell>
          <cell r="O112">
            <v>1000</v>
          </cell>
          <cell r="P112">
            <v>4000</v>
          </cell>
          <cell r="Q112">
            <v>2</v>
          </cell>
          <cell r="R112">
            <v>6</v>
          </cell>
          <cell r="S112" t="str">
            <v>本</v>
          </cell>
          <cell r="T112">
            <v>44672</v>
          </cell>
          <cell r="U112">
            <v>44700</v>
          </cell>
          <cell r="V112" t="str">
            <v>㈱須賀川東部鏡石</v>
          </cell>
          <cell r="W112"/>
          <cell r="X112"/>
        </row>
        <row r="113">
          <cell r="A113">
            <v>3659721</v>
          </cell>
          <cell r="B113" t="str">
            <v>福島コーティング</v>
          </cell>
          <cell r="C113" t="str">
            <v>プロセス材１課</v>
          </cell>
          <cell r="D113" t="str">
            <v>ダミー担当者</v>
          </cell>
          <cell r="E113" t="str">
            <v>リンテック㈱</v>
          </cell>
          <cell r="F113">
            <v>3</v>
          </cell>
          <cell r="G113" t="str">
            <v>S</v>
          </cell>
          <cell r="H113" t="str">
            <v>N</v>
          </cell>
          <cell r="I113" t="str">
            <v>MLB</v>
          </cell>
          <cell r="J113"/>
          <cell r="K113" t="str">
            <v>MNQR66F</v>
          </cell>
          <cell r="L113">
            <v>25</v>
          </cell>
          <cell r="M113" t="str">
            <v>ＱＲ６６蒸着品</v>
          </cell>
          <cell r="N113">
            <v>1000</v>
          </cell>
          <cell r="O113">
            <v>1000</v>
          </cell>
          <cell r="P113">
            <v>6000</v>
          </cell>
          <cell r="Q113">
            <v>2</v>
          </cell>
          <cell r="R113">
            <v>8</v>
          </cell>
          <cell r="S113" t="str">
            <v>本</v>
          </cell>
          <cell r="T113">
            <v>44672</v>
          </cell>
          <cell r="U113">
            <v>44700</v>
          </cell>
          <cell r="V113" t="str">
            <v>㈱須賀川東部鏡石</v>
          </cell>
          <cell r="W113"/>
          <cell r="X113"/>
        </row>
        <row r="114">
          <cell r="A114">
            <v>3659722</v>
          </cell>
          <cell r="B114" t="str">
            <v>福島コーティング</v>
          </cell>
          <cell r="C114" t="str">
            <v>プロセス材１課</v>
          </cell>
          <cell r="D114" t="str">
            <v>ダミー担当者</v>
          </cell>
          <cell r="E114" t="str">
            <v>リンテック㈱</v>
          </cell>
          <cell r="F114">
            <v>3</v>
          </cell>
          <cell r="G114" t="str">
            <v>S</v>
          </cell>
          <cell r="H114" t="str">
            <v>N</v>
          </cell>
          <cell r="I114" t="str">
            <v>MLB</v>
          </cell>
          <cell r="J114"/>
          <cell r="K114" t="str">
            <v>MNQR66F</v>
          </cell>
          <cell r="L114">
            <v>25</v>
          </cell>
          <cell r="M114" t="str">
            <v>ＱＲ６６蒸着品</v>
          </cell>
          <cell r="N114">
            <v>1100</v>
          </cell>
          <cell r="O114">
            <v>1100</v>
          </cell>
          <cell r="P114">
            <v>6000</v>
          </cell>
          <cell r="Q114">
            <v>2</v>
          </cell>
          <cell r="R114">
            <v>22</v>
          </cell>
          <cell r="S114" t="str">
            <v>本</v>
          </cell>
          <cell r="T114">
            <v>44672</v>
          </cell>
          <cell r="U114">
            <v>44700</v>
          </cell>
          <cell r="V114" t="str">
            <v>㈱須賀川東部鏡石</v>
          </cell>
          <cell r="W114"/>
          <cell r="X114"/>
        </row>
        <row r="115">
          <cell r="A115">
            <v>3659723</v>
          </cell>
          <cell r="B115" t="str">
            <v>福島コーティング</v>
          </cell>
          <cell r="C115" t="str">
            <v>プロセス材１課</v>
          </cell>
          <cell r="D115" t="str">
            <v>ダミー担当者</v>
          </cell>
          <cell r="E115" t="str">
            <v>リンテック㈱</v>
          </cell>
          <cell r="F115">
            <v>3</v>
          </cell>
          <cell r="G115" t="str">
            <v>S</v>
          </cell>
          <cell r="H115" t="str">
            <v>N</v>
          </cell>
          <cell r="I115" t="str">
            <v>MCLB</v>
          </cell>
          <cell r="J115"/>
          <cell r="K115" t="str">
            <v>HLGKJV</v>
          </cell>
          <cell r="L115">
            <v>50</v>
          </cell>
          <cell r="M115" t="str">
            <v>メタルミー　ヘヤライン　銀消Ｖ</v>
          </cell>
          <cell r="N115">
            <v>1005</v>
          </cell>
          <cell r="O115">
            <v>1000</v>
          </cell>
          <cell r="P115">
            <v>2000</v>
          </cell>
          <cell r="Q115">
            <v>2</v>
          </cell>
          <cell r="R115">
            <v>6</v>
          </cell>
          <cell r="S115" t="str">
            <v>本</v>
          </cell>
          <cell r="T115">
            <v>44672</v>
          </cell>
          <cell r="U115">
            <v>44694</v>
          </cell>
          <cell r="V115" t="str">
            <v>㈱須賀川東部鏡石</v>
          </cell>
          <cell r="W115"/>
          <cell r="X115"/>
        </row>
        <row r="116">
          <cell r="A116">
            <v>3659724</v>
          </cell>
          <cell r="B116" t="str">
            <v>福島コーティング</v>
          </cell>
          <cell r="C116" t="str">
            <v>プロセス材１課</v>
          </cell>
          <cell r="D116" t="str">
            <v>ダミー担当者</v>
          </cell>
          <cell r="E116" t="str">
            <v>リンテック㈱</v>
          </cell>
          <cell r="F116">
            <v>3</v>
          </cell>
          <cell r="G116" t="str">
            <v>S</v>
          </cell>
          <cell r="H116" t="str">
            <v>N</v>
          </cell>
          <cell r="I116" t="str">
            <v>CLB</v>
          </cell>
          <cell r="J116"/>
          <cell r="K116" t="str">
            <v>LMEYK</v>
          </cell>
          <cell r="L116">
            <v>38</v>
          </cell>
          <cell r="M116" t="str">
            <v>ルミマットＥＹＫ</v>
          </cell>
          <cell r="N116">
            <v>1005</v>
          </cell>
          <cell r="O116">
            <v>1000</v>
          </cell>
          <cell r="P116">
            <v>4000</v>
          </cell>
          <cell r="Q116">
            <v>2</v>
          </cell>
          <cell r="R116">
            <v>4</v>
          </cell>
          <cell r="S116" t="str">
            <v>本</v>
          </cell>
          <cell r="T116">
            <v>44672</v>
          </cell>
          <cell r="U116">
            <v>44700</v>
          </cell>
          <cell r="V116" t="str">
            <v>㈱須賀川東部鏡石</v>
          </cell>
          <cell r="W116"/>
          <cell r="X116"/>
        </row>
        <row r="117">
          <cell r="A117">
            <v>3659725</v>
          </cell>
          <cell r="B117" t="str">
            <v>福島コーティング</v>
          </cell>
          <cell r="C117" t="str">
            <v>プロセス材１課</v>
          </cell>
          <cell r="D117" t="str">
            <v>ダミー担当者</v>
          </cell>
          <cell r="E117" t="str">
            <v>リンテック㈱</v>
          </cell>
          <cell r="F117">
            <v>3</v>
          </cell>
          <cell r="G117" t="str">
            <v>S</v>
          </cell>
          <cell r="H117" t="str">
            <v>Y</v>
          </cell>
          <cell r="I117" t="str">
            <v>MLB</v>
          </cell>
          <cell r="J117"/>
          <cell r="K117" t="str">
            <v>MSNMBZF</v>
          </cell>
          <cell r="L117">
            <v>50</v>
          </cell>
          <cell r="M117" t="str">
            <v>ＭＥＴＡＬＵＭＹ　ＳＩＬＶＥＲ　Ｎ－ＭＡＴＴＥ　Ｂ</v>
          </cell>
          <cell r="N117">
            <v>1120</v>
          </cell>
          <cell r="O117">
            <v>1120</v>
          </cell>
          <cell r="P117">
            <v>4000</v>
          </cell>
          <cell r="Q117">
            <v>2</v>
          </cell>
          <cell r="R117">
            <v>4</v>
          </cell>
          <cell r="S117" t="str">
            <v>本</v>
          </cell>
          <cell r="T117">
            <v>44672</v>
          </cell>
          <cell r="U117">
            <v>44701</v>
          </cell>
          <cell r="V117" t="str">
            <v>㈱須賀川東部鏡石</v>
          </cell>
          <cell r="W117"/>
          <cell r="X117"/>
        </row>
        <row r="118">
          <cell r="A118">
            <v>3659726</v>
          </cell>
          <cell r="B118" t="str">
            <v>福島コーティング</v>
          </cell>
          <cell r="C118" t="str">
            <v>プロセス材１課</v>
          </cell>
          <cell r="D118" t="str">
            <v>ダミー担当者</v>
          </cell>
          <cell r="E118" t="str">
            <v>リンテック㈱</v>
          </cell>
          <cell r="F118">
            <v>3</v>
          </cell>
          <cell r="G118" t="str">
            <v>S</v>
          </cell>
          <cell r="H118" t="str">
            <v>Y</v>
          </cell>
          <cell r="I118" t="str">
            <v>MLB</v>
          </cell>
          <cell r="J118"/>
          <cell r="K118" t="str">
            <v>MSBBZF</v>
          </cell>
          <cell r="L118">
            <v>50</v>
          </cell>
          <cell r="M118" t="str">
            <v>ＭＥＴＡＬＵＭＹ　ＳＩＬＶＥＲ　ＢＲＩＧＨＴ　Ｂ</v>
          </cell>
          <cell r="N118">
            <v>1120</v>
          </cell>
          <cell r="O118">
            <v>1120</v>
          </cell>
          <cell r="P118">
            <v>5000</v>
          </cell>
          <cell r="Q118">
            <v>2</v>
          </cell>
          <cell r="R118">
            <v>2</v>
          </cell>
          <cell r="S118" t="str">
            <v>本</v>
          </cell>
          <cell r="T118">
            <v>44672</v>
          </cell>
          <cell r="U118">
            <v>44715</v>
          </cell>
          <cell r="V118" t="str">
            <v>㈱須賀川東部鏡石</v>
          </cell>
          <cell r="W118"/>
          <cell r="X118"/>
        </row>
        <row r="119">
          <cell r="A119">
            <v>3659727</v>
          </cell>
          <cell r="B119" t="str">
            <v>福島コーティング</v>
          </cell>
          <cell r="C119" t="str">
            <v>プロセス材１課</v>
          </cell>
          <cell r="D119" t="str">
            <v>ダミー担当者</v>
          </cell>
          <cell r="E119" t="str">
            <v>リンテック㈱</v>
          </cell>
          <cell r="F119">
            <v>3</v>
          </cell>
          <cell r="G119" t="str">
            <v>S</v>
          </cell>
          <cell r="H119" t="str">
            <v>Y</v>
          </cell>
          <cell r="I119" t="str">
            <v>MLB</v>
          </cell>
          <cell r="J119"/>
          <cell r="K119" t="str">
            <v>MSBBF</v>
          </cell>
          <cell r="L119">
            <v>50</v>
          </cell>
          <cell r="M119" t="str">
            <v>ＭＥＴＡＬＵＭＹ　ＳＩＬＶＥＲ　ＢＲＩＧＨＴ　Ｔ６２Ｍ　Ｂ</v>
          </cell>
          <cell r="N119">
            <v>1120</v>
          </cell>
          <cell r="O119">
            <v>1120</v>
          </cell>
          <cell r="P119">
            <v>5000</v>
          </cell>
          <cell r="Q119">
            <v>2</v>
          </cell>
          <cell r="R119">
            <v>4</v>
          </cell>
          <cell r="S119" t="str">
            <v>本</v>
          </cell>
          <cell r="T119">
            <v>44672</v>
          </cell>
          <cell r="U119">
            <v>44704</v>
          </cell>
          <cell r="V119" t="str">
            <v>㈱須賀川東部鏡石</v>
          </cell>
          <cell r="W119"/>
          <cell r="X119"/>
        </row>
        <row r="120">
          <cell r="A120">
            <v>3659728</v>
          </cell>
          <cell r="B120" t="str">
            <v>福島コーティング</v>
          </cell>
          <cell r="C120" t="str">
            <v>プロセス材１課</v>
          </cell>
          <cell r="D120" t="str">
            <v>ダミー担当者</v>
          </cell>
          <cell r="E120" t="str">
            <v>リンテック㈱</v>
          </cell>
          <cell r="F120">
            <v>3</v>
          </cell>
          <cell r="G120" t="str">
            <v>S</v>
          </cell>
          <cell r="H120" t="str">
            <v>Y</v>
          </cell>
          <cell r="I120" t="str">
            <v>MLB</v>
          </cell>
          <cell r="J120"/>
          <cell r="K120" t="str">
            <v>MSBBF</v>
          </cell>
          <cell r="L120">
            <v>50</v>
          </cell>
          <cell r="M120" t="str">
            <v>ＭＥＴＡＬＵＭＹ　ＳＩＬＶＥＲ　ＢＲＩＧＨＴ　Ｔ６２Ｍ　Ｂ</v>
          </cell>
          <cell r="N120">
            <v>1120</v>
          </cell>
          <cell r="O120">
            <v>1120</v>
          </cell>
          <cell r="P120">
            <v>5000</v>
          </cell>
          <cell r="Q120">
            <v>2</v>
          </cell>
          <cell r="R120">
            <v>2</v>
          </cell>
          <cell r="S120" t="str">
            <v>本</v>
          </cell>
          <cell r="T120">
            <v>44672</v>
          </cell>
          <cell r="U120">
            <v>44715</v>
          </cell>
          <cell r="V120" t="str">
            <v>㈱須賀川東部鏡石</v>
          </cell>
          <cell r="W120"/>
          <cell r="X120"/>
        </row>
        <row r="121">
          <cell r="A121">
            <v>3659753</v>
          </cell>
          <cell r="B121" t="str">
            <v>機能Ｆ　ラベル福島原</v>
          </cell>
          <cell r="C121" t="str">
            <v>プロセス材２課</v>
          </cell>
          <cell r="D121" t="str">
            <v>ダミー担当者</v>
          </cell>
          <cell r="E121" t="str">
            <v>㈱ポラテクノ</v>
          </cell>
          <cell r="F121">
            <v>3</v>
          </cell>
          <cell r="G121" t="str">
            <v>T</v>
          </cell>
          <cell r="H121" t="str">
            <v>N</v>
          </cell>
          <cell r="I121" t="str">
            <v>DMS</v>
          </cell>
          <cell r="J121"/>
          <cell r="K121" t="str">
            <v>X42GPC</v>
          </cell>
          <cell r="L121">
            <v>50</v>
          </cell>
          <cell r="M121" t="str">
            <v>ＤＭＳ（Ｘ４２Ｇ）ＰＣ</v>
          </cell>
          <cell r="N121">
            <v>680</v>
          </cell>
          <cell r="O121">
            <v>680</v>
          </cell>
          <cell r="P121">
            <v>2000</v>
          </cell>
          <cell r="Q121">
            <v>2</v>
          </cell>
          <cell r="R121">
            <v>4</v>
          </cell>
          <cell r="S121" t="str">
            <v>本</v>
          </cell>
          <cell r="T121">
            <v>44676</v>
          </cell>
          <cell r="U121">
            <v>44704</v>
          </cell>
          <cell r="V121" t="str">
            <v>㈱須賀川東部鏡石</v>
          </cell>
          <cell r="W121"/>
          <cell r="X121"/>
        </row>
        <row r="122">
          <cell r="A122">
            <v>3659754</v>
          </cell>
          <cell r="B122" t="str">
            <v>機能Ｆ　ラベル福島原</v>
          </cell>
          <cell r="C122" t="str">
            <v>プロセス材１課</v>
          </cell>
          <cell r="D122" t="str">
            <v>ダミー担当者</v>
          </cell>
          <cell r="E122" t="str">
            <v>リンテック㈱</v>
          </cell>
          <cell r="F122">
            <v>3</v>
          </cell>
          <cell r="G122" t="str">
            <v>T</v>
          </cell>
          <cell r="H122" t="str">
            <v>N</v>
          </cell>
          <cell r="I122" t="str">
            <v>MCLB</v>
          </cell>
          <cell r="J122"/>
          <cell r="K122" t="str">
            <v>TET1MV</v>
          </cell>
          <cell r="L122">
            <v>38</v>
          </cell>
          <cell r="M122" t="str">
            <v>メタルミー銀艶　市松柄Ｖ</v>
          </cell>
          <cell r="N122">
            <v>1005</v>
          </cell>
          <cell r="O122">
            <v>1000</v>
          </cell>
          <cell r="P122">
            <v>8000</v>
          </cell>
          <cell r="Q122">
            <v>2</v>
          </cell>
          <cell r="R122">
            <v>1</v>
          </cell>
          <cell r="S122" t="str">
            <v>本</v>
          </cell>
          <cell r="T122">
            <v>44676</v>
          </cell>
          <cell r="U122">
            <v>44712</v>
          </cell>
          <cell r="V122" t="str">
            <v>㈱須賀川東部鏡石</v>
          </cell>
          <cell r="W122"/>
          <cell r="X122"/>
        </row>
        <row r="123">
          <cell r="A123">
            <v>3660489</v>
          </cell>
          <cell r="B123" t="str">
            <v>福島コーティング</v>
          </cell>
          <cell r="C123" t="str">
            <v>プロセス材１課</v>
          </cell>
          <cell r="D123" t="str">
            <v>ダミー担当者</v>
          </cell>
          <cell r="E123" t="str">
            <v>リンテック㈱</v>
          </cell>
          <cell r="F123">
            <v>3</v>
          </cell>
          <cell r="G123" t="str">
            <v>S</v>
          </cell>
          <cell r="H123" t="str">
            <v>N</v>
          </cell>
          <cell r="I123" t="str">
            <v>MLB</v>
          </cell>
          <cell r="J123"/>
          <cell r="K123" t="str">
            <v>MNQR66F</v>
          </cell>
          <cell r="L123">
            <v>25</v>
          </cell>
          <cell r="M123" t="str">
            <v>ＱＲ６６蒸着品</v>
          </cell>
          <cell r="N123">
            <v>1000</v>
          </cell>
          <cell r="O123">
            <v>1000</v>
          </cell>
          <cell r="P123">
            <v>6000</v>
          </cell>
          <cell r="Q123">
            <v>2</v>
          </cell>
          <cell r="R123">
            <v>2</v>
          </cell>
          <cell r="S123" t="str">
            <v>本</v>
          </cell>
          <cell r="T123">
            <v>44687</v>
          </cell>
          <cell r="U123">
            <v>44712</v>
          </cell>
          <cell r="V123" t="str">
            <v>㈱須賀川東部鏡石</v>
          </cell>
          <cell r="W123"/>
          <cell r="X123"/>
        </row>
        <row r="124">
          <cell r="A124">
            <v>3662779</v>
          </cell>
          <cell r="B124" t="str">
            <v>福島コーティング</v>
          </cell>
          <cell r="C124" t="str">
            <v>プロセス材１課</v>
          </cell>
          <cell r="D124" t="str">
            <v>ダミー担当者</v>
          </cell>
          <cell r="E124" t="str">
            <v>特種東海製紙㈱</v>
          </cell>
          <cell r="F124" t="str">
            <v>3H</v>
          </cell>
          <cell r="G124" t="str">
            <v>S</v>
          </cell>
          <cell r="H124" t="str">
            <v>N</v>
          </cell>
          <cell r="I124" t="str">
            <v>MLB</v>
          </cell>
          <cell r="J124"/>
          <cell r="K124" t="str">
            <v>MSF</v>
          </cell>
          <cell r="L124">
            <v>38</v>
          </cell>
          <cell r="M124" t="str">
            <v>メタルミー　Ｓ</v>
          </cell>
          <cell r="N124">
            <v>865</v>
          </cell>
          <cell r="O124">
            <v>865</v>
          </cell>
          <cell r="P124">
            <v>2800</v>
          </cell>
          <cell r="Q124">
            <v>2</v>
          </cell>
          <cell r="R124">
            <v>6</v>
          </cell>
          <cell r="S124" t="str">
            <v>本</v>
          </cell>
          <cell r="T124">
            <v>44704</v>
          </cell>
          <cell r="U124">
            <v>44727</v>
          </cell>
          <cell r="V124" t="str">
            <v>㈱須賀川東部鏡石</v>
          </cell>
          <cell r="W124"/>
          <cell r="X124"/>
        </row>
        <row r="125">
          <cell r="A125">
            <v>3662780</v>
          </cell>
          <cell r="B125" t="str">
            <v>福島コーティング</v>
          </cell>
          <cell r="C125" t="str">
            <v>プロセス材１課</v>
          </cell>
          <cell r="D125" t="str">
            <v>ダミー担当者</v>
          </cell>
          <cell r="E125" t="str">
            <v>特種東海製紙㈱</v>
          </cell>
          <cell r="F125" t="str">
            <v>3H</v>
          </cell>
          <cell r="G125" t="str">
            <v>S</v>
          </cell>
          <cell r="H125" t="str">
            <v>N</v>
          </cell>
          <cell r="I125" t="str">
            <v>MLB</v>
          </cell>
          <cell r="J125"/>
          <cell r="K125" t="str">
            <v>MSF</v>
          </cell>
          <cell r="L125">
            <v>38</v>
          </cell>
          <cell r="M125" t="str">
            <v>メタルミー　Ｓ</v>
          </cell>
          <cell r="N125">
            <v>1075</v>
          </cell>
          <cell r="O125">
            <v>1075</v>
          </cell>
          <cell r="P125">
            <v>2800</v>
          </cell>
          <cell r="Q125">
            <v>2</v>
          </cell>
          <cell r="R125">
            <v>6</v>
          </cell>
          <cell r="S125" t="str">
            <v>本</v>
          </cell>
          <cell r="T125">
            <v>44704</v>
          </cell>
          <cell r="U125">
            <v>44727</v>
          </cell>
          <cell r="V125" t="str">
            <v>㈱須賀川東部鏡石</v>
          </cell>
          <cell r="W125"/>
          <cell r="X125"/>
        </row>
        <row r="126">
          <cell r="A126">
            <v>3662781</v>
          </cell>
          <cell r="B126" t="str">
            <v>福島コーティング</v>
          </cell>
          <cell r="C126" t="str">
            <v>プロセス材１課</v>
          </cell>
          <cell r="D126" t="str">
            <v>ダミー担当者</v>
          </cell>
          <cell r="E126" t="str">
            <v>特種東海製紙㈱</v>
          </cell>
          <cell r="F126" t="str">
            <v>3H</v>
          </cell>
          <cell r="G126" t="str">
            <v>S</v>
          </cell>
          <cell r="H126" t="str">
            <v>N</v>
          </cell>
          <cell r="I126" t="str">
            <v>MLB</v>
          </cell>
          <cell r="J126"/>
          <cell r="K126" t="str">
            <v>MSF</v>
          </cell>
          <cell r="L126">
            <v>38</v>
          </cell>
          <cell r="M126" t="str">
            <v>メタルミー　Ｓ</v>
          </cell>
          <cell r="N126">
            <v>1165</v>
          </cell>
          <cell r="O126">
            <v>1165</v>
          </cell>
          <cell r="P126">
            <v>2800</v>
          </cell>
          <cell r="Q126">
            <v>2</v>
          </cell>
          <cell r="R126">
            <v>6</v>
          </cell>
          <cell r="S126" t="str">
            <v>本</v>
          </cell>
          <cell r="T126">
            <v>44704</v>
          </cell>
          <cell r="U126">
            <v>44727</v>
          </cell>
          <cell r="V126" t="str">
            <v>㈱須賀川東部鏡石</v>
          </cell>
          <cell r="W126"/>
          <cell r="X126"/>
        </row>
        <row r="127">
          <cell r="A127">
            <v>3662784</v>
          </cell>
          <cell r="B127" t="str">
            <v>福島コーティング</v>
          </cell>
          <cell r="C127" t="str">
            <v>プロセス材２課</v>
          </cell>
          <cell r="D127" t="str">
            <v>ダミー担当者</v>
          </cell>
          <cell r="E127" t="str">
            <v>大阪シーリング印刷㈱</v>
          </cell>
          <cell r="F127">
            <v>3</v>
          </cell>
          <cell r="G127" t="str">
            <v>S</v>
          </cell>
          <cell r="H127" t="str">
            <v>N</v>
          </cell>
          <cell r="I127" t="str">
            <v>MCLB</v>
          </cell>
          <cell r="J127"/>
          <cell r="K127" t="str">
            <v>MSNEYK</v>
          </cell>
          <cell r="L127">
            <v>50</v>
          </cell>
          <cell r="M127" t="str">
            <v>ＭＳＮ　ＥＹＫ</v>
          </cell>
          <cell r="N127">
            <v>1200</v>
          </cell>
          <cell r="O127">
            <v>1190</v>
          </cell>
          <cell r="P127">
            <v>6000</v>
          </cell>
          <cell r="Q127">
            <v>2</v>
          </cell>
          <cell r="R127">
            <v>6</v>
          </cell>
          <cell r="S127" t="str">
            <v>本</v>
          </cell>
          <cell r="T127">
            <v>44704</v>
          </cell>
          <cell r="U127">
            <v>44733</v>
          </cell>
          <cell r="V127" t="str">
            <v>㈱須賀川東部鏡石</v>
          </cell>
          <cell r="W127"/>
          <cell r="X127"/>
        </row>
        <row r="128">
          <cell r="A128">
            <v>3662785</v>
          </cell>
          <cell r="B128" t="str">
            <v>福島コーティング</v>
          </cell>
          <cell r="C128" t="str">
            <v>プロセス材２課</v>
          </cell>
          <cell r="D128" t="str">
            <v>ダミー担当者</v>
          </cell>
          <cell r="E128" t="str">
            <v>新タック化成㈱</v>
          </cell>
          <cell r="F128">
            <v>3</v>
          </cell>
          <cell r="G128" t="str">
            <v>S</v>
          </cell>
          <cell r="H128" t="str">
            <v>N</v>
          </cell>
          <cell r="I128" t="str">
            <v>MCLB</v>
          </cell>
          <cell r="J128"/>
          <cell r="K128" t="str">
            <v>MSNEYK</v>
          </cell>
          <cell r="L128">
            <v>25</v>
          </cell>
          <cell r="M128" t="str">
            <v>ＭＳＮ　ＥＹＫ</v>
          </cell>
          <cell r="N128">
            <v>1120</v>
          </cell>
          <cell r="O128">
            <v>1120</v>
          </cell>
          <cell r="P128">
            <v>4000</v>
          </cell>
          <cell r="Q128">
            <v>2</v>
          </cell>
          <cell r="R128">
            <v>2</v>
          </cell>
          <cell r="S128" t="str">
            <v>本</v>
          </cell>
          <cell r="T128">
            <v>44704</v>
          </cell>
          <cell r="U128">
            <v>44733</v>
          </cell>
          <cell r="V128" t="str">
            <v>㈱須賀川東部鏡石</v>
          </cell>
          <cell r="W128"/>
          <cell r="X128"/>
        </row>
        <row r="129">
          <cell r="A129">
            <v>3662786</v>
          </cell>
          <cell r="B129" t="str">
            <v>福島コーティング</v>
          </cell>
          <cell r="C129" t="str">
            <v>プロセス材２課</v>
          </cell>
          <cell r="D129" t="str">
            <v>ダミー担当者</v>
          </cell>
          <cell r="E129" t="str">
            <v>新タック化成㈱</v>
          </cell>
          <cell r="F129">
            <v>3</v>
          </cell>
          <cell r="G129" t="str">
            <v>S</v>
          </cell>
          <cell r="H129" t="str">
            <v>N</v>
          </cell>
          <cell r="I129" t="str">
            <v>MCLB</v>
          </cell>
          <cell r="J129"/>
          <cell r="K129" t="str">
            <v>MSNEYK</v>
          </cell>
          <cell r="L129">
            <v>50</v>
          </cell>
          <cell r="M129" t="str">
            <v>ＭＳＮ　ＥＹＫ</v>
          </cell>
          <cell r="N129">
            <v>1120</v>
          </cell>
          <cell r="O129">
            <v>1120</v>
          </cell>
          <cell r="P129">
            <v>4000</v>
          </cell>
          <cell r="Q129">
            <v>2</v>
          </cell>
          <cell r="R129">
            <v>6</v>
          </cell>
          <cell r="S129" t="str">
            <v>本</v>
          </cell>
          <cell r="T129">
            <v>44704</v>
          </cell>
          <cell r="U129">
            <v>44733</v>
          </cell>
          <cell r="V129" t="str">
            <v>㈱須賀川東部鏡石</v>
          </cell>
          <cell r="W129"/>
          <cell r="X129"/>
        </row>
        <row r="130">
          <cell r="A130">
            <v>3662787</v>
          </cell>
          <cell r="B130" t="str">
            <v>福島コーティング</v>
          </cell>
          <cell r="C130" t="str">
            <v>プロセス材２課</v>
          </cell>
          <cell r="D130" t="str">
            <v>ダミー担当者</v>
          </cell>
          <cell r="E130" t="str">
            <v>新タック化成㈱</v>
          </cell>
          <cell r="F130">
            <v>3</v>
          </cell>
          <cell r="G130" t="str">
            <v>S</v>
          </cell>
          <cell r="H130" t="str">
            <v>N</v>
          </cell>
          <cell r="I130" t="str">
            <v>CLB</v>
          </cell>
          <cell r="J130"/>
          <cell r="K130" t="str">
            <v>LEYK</v>
          </cell>
          <cell r="L130">
            <v>50</v>
          </cell>
          <cell r="M130" t="str">
            <v>ルミラー　ＥＹＫ</v>
          </cell>
          <cell r="N130">
            <v>1120</v>
          </cell>
          <cell r="O130">
            <v>1120</v>
          </cell>
          <cell r="P130">
            <v>6000</v>
          </cell>
          <cell r="Q130">
            <v>2</v>
          </cell>
          <cell r="R130">
            <v>9</v>
          </cell>
          <cell r="S130" t="str">
            <v>本</v>
          </cell>
          <cell r="T130">
            <v>44704</v>
          </cell>
          <cell r="U130">
            <v>44733</v>
          </cell>
          <cell r="V130" t="str">
            <v>㈱須賀川東部鏡石</v>
          </cell>
          <cell r="W130"/>
          <cell r="X130"/>
        </row>
        <row r="131">
          <cell r="A131">
            <v>3662788</v>
          </cell>
          <cell r="B131" t="str">
            <v>福島コーティング</v>
          </cell>
          <cell r="C131" t="str">
            <v>プロセス材２課</v>
          </cell>
          <cell r="D131" t="str">
            <v>ダミー担当者</v>
          </cell>
          <cell r="E131" t="str">
            <v>新タック化成㈱</v>
          </cell>
          <cell r="F131">
            <v>3</v>
          </cell>
          <cell r="G131" t="str">
            <v>S</v>
          </cell>
          <cell r="H131" t="str">
            <v>N</v>
          </cell>
          <cell r="I131" t="str">
            <v>MCLB</v>
          </cell>
          <cell r="J131"/>
          <cell r="K131" t="str">
            <v>EYK</v>
          </cell>
          <cell r="L131">
            <v>50</v>
          </cell>
          <cell r="M131" t="str">
            <v>メタルミー　ＥＹＫ</v>
          </cell>
          <cell r="N131">
            <v>1120</v>
          </cell>
          <cell r="O131">
            <v>1120</v>
          </cell>
          <cell r="P131">
            <v>6000</v>
          </cell>
          <cell r="Q131">
            <v>2</v>
          </cell>
          <cell r="R131">
            <v>3</v>
          </cell>
          <cell r="S131" t="str">
            <v>本</v>
          </cell>
          <cell r="T131">
            <v>44704</v>
          </cell>
          <cell r="U131">
            <v>44733</v>
          </cell>
          <cell r="V131" t="str">
            <v>㈱須賀川東部鏡石</v>
          </cell>
          <cell r="W131"/>
          <cell r="X131"/>
        </row>
        <row r="132">
          <cell r="A132">
            <v>3662789</v>
          </cell>
          <cell r="B132" t="str">
            <v>福島コーティング</v>
          </cell>
          <cell r="C132" t="str">
            <v>プロセス材２課</v>
          </cell>
          <cell r="D132" t="str">
            <v>ダミー担当者</v>
          </cell>
          <cell r="E132" t="str">
            <v>新タック化成㈱</v>
          </cell>
          <cell r="F132">
            <v>3</v>
          </cell>
          <cell r="G132" t="str">
            <v>S</v>
          </cell>
          <cell r="H132" t="str">
            <v>N</v>
          </cell>
          <cell r="I132" t="str">
            <v>MCLB</v>
          </cell>
          <cell r="J132"/>
          <cell r="K132" t="str">
            <v>WCB</v>
          </cell>
          <cell r="L132">
            <v>50</v>
          </cell>
          <cell r="M132" t="str">
            <v>メタルミー　ホワイトコート　　　（Ｂ）</v>
          </cell>
          <cell r="N132">
            <v>1120</v>
          </cell>
          <cell r="O132">
            <v>1120</v>
          </cell>
          <cell r="P132">
            <v>5000</v>
          </cell>
          <cell r="Q132">
            <v>2</v>
          </cell>
          <cell r="R132">
            <v>1</v>
          </cell>
          <cell r="S132" t="str">
            <v>本</v>
          </cell>
          <cell r="T132">
            <v>44704</v>
          </cell>
          <cell r="U132">
            <v>44733</v>
          </cell>
          <cell r="V132" t="str">
            <v>㈱須賀川東部鏡石</v>
          </cell>
          <cell r="W132"/>
          <cell r="X132"/>
        </row>
        <row r="133">
          <cell r="A133">
            <v>3662790</v>
          </cell>
          <cell r="B133" t="str">
            <v>福島コーティング</v>
          </cell>
          <cell r="C133" t="str">
            <v>プロセス材２課</v>
          </cell>
          <cell r="D133" t="str">
            <v>ダミー担当者</v>
          </cell>
          <cell r="E133" t="str">
            <v>新タック化成㈱</v>
          </cell>
          <cell r="F133">
            <v>3</v>
          </cell>
          <cell r="G133" t="str">
            <v>S</v>
          </cell>
          <cell r="H133" t="str">
            <v>N</v>
          </cell>
          <cell r="I133" t="str">
            <v>MCLB</v>
          </cell>
          <cell r="J133"/>
          <cell r="K133" t="str">
            <v>WCB</v>
          </cell>
          <cell r="L133">
            <v>50</v>
          </cell>
          <cell r="M133" t="str">
            <v>メタルミー　ホワイトコート　　　（Ｂ）</v>
          </cell>
          <cell r="N133">
            <v>1120</v>
          </cell>
          <cell r="O133">
            <v>1120</v>
          </cell>
          <cell r="P133">
            <v>5000</v>
          </cell>
          <cell r="Q133">
            <v>2</v>
          </cell>
          <cell r="R133">
            <v>1</v>
          </cell>
          <cell r="S133" t="str">
            <v>本</v>
          </cell>
          <cell r="T133">
            <v>44704</v>
          </cell>
          <cell r="U133">
            <v>44733</v>
          </cell>
          <cell r="V133" t="str">
            <v>㈱須賀川東部鏡石</v>
          </cell>
          <cell r="W133"/>
          <cell r="X133"/>
        </row>
        <row r="134">
          <cell r="A134">
            <v>3662791</v>
          </cell>
          <cell r="B134" t="str">
            <v>福島コーティング</v>
          </cell>
          <cell r="C134" t="str">
            <v>プロセス材１課</v>
          </cell>
          <cell r="D134" t="str">
            <v>ダミー担当者</v>
          </cell>
          <cell r="E134" t="str">
            <v>アジヤアルミ㈱</v>
          </cell>
          <cell r="F134">
            <v>3</v>
          </cell>
          <cell r="G134" t="str">
            <v>S</v>
          </cell>
          <cell r="H134" t="str">
            <v>N</v>
          </cell>
          <cell r="I134" t="str">
            <v>MLB</v>
          </cell>
          <cell r="J134"/>
          <cell r="K134" t="str">
            <v>MNSJF</v>
          </cell>
          <cell r="L134">
            <v>12</v>
          </cell>
          <cell r="M134" t="str">
            <v>ＮＳ蒸着</v>
          </cell>
          <cell r="N134">
            <v>1000</v>
          </cell>
          <cell r="O134">
            <v>1000</v>
          </cell>
          <cell r="P134">
            <v>6000</v>
          </cell>
          <cell r="Q134">
            <v>2</v>
          </cell>
          <cell r="R134">
            <v>4</v>
          </cell>
          <cell r="S134" t="str">
            <v>本</v>
          </cell>
          <cell r="T134">
            <v>44704</v>
          </cell>
          <cell r="U134">
            <v>44736</v>
          </cell>
          <cell r="V134" t="str">
            <v>㈱須賀川東部鏡石</v>
          </cell>
          <cell r="W134"/>
          <cell r="X134"/>
        </row>
        <row r="135">
          <cell r="A135">
            <v>3662792</v>
          </cell>
          <cell r="B135" t="str">
            <v>福島コーティング</v>
          </cell>
          <cell r="C135" t="str">
            <v>プロセス材１課</v>
          </cell>
          <cell r="D135" t="str">
            <v>ダミー担当者</v>
          </cell>
          <cell r="E135" t="str">
            <v>リンテック㈱</v>
          </cell>
          <cell r="F135">
            <v>3</v>
          </cell>
          <cell r="G135" t="str">
            <v>S</v>
          </cell>
          <cell r="H135" t="str">
            <v>N</v>
          </cell>
          <cell r="I135" t="str">
            <v>MLB</v>
          </cell>
          <cell r="J135"/>
          <cell r="K135" t="str">
            <v>MNGKKBF</v>
          </cell>
          <cell r="L135">
            <v>25</v>
          </cell>
          <cell r="M135" t="str">
            <v>メタルミー　ネーマー銀消改　Ｂ</v>
          </cell>
          <cell r="N135">
            <v>1120</v>
          </cell>
          <cell r="O135">
            <v>1120</v>
          </cell>
          <cell r="P135">
            <v>4000</v>
          </cell>
          <cell r="Q135">
            <v>2</v>
          </cell>
          <cell r="R135">
            <v>9</v>
          </cell>
          <cell r="S135" t="str">
            <v>本</v>
          </cell>
          <cell r="T135">
            <v>44704</v>
          </cell>
          <cell r="U135">
            <v>44733</v>
          </cell>
          <cell r="V135" t="str">
            <v>㈱須賀川東部鏡石</v>
          </cell>
          <cell r="W135"/>
          <cell r="X135"/>
        </row>
        <row r="136">
          <cell r="A136">
            <v>3662793</v>
          </cell>
          <cell r="B136" t="str">
            <v>福島コーティング</v>
          </cell>
          <cell r="C136" t="str">
            <v>プロセス材１課</v>
          </cell>
          <cell r="D136" t="str">
            <v>ダミー担当者</v>
          </cell>
          <cell r="E136" t="str">
            <v>リンテック㈱</v>
          </cell>
          <cell r="F136">
            <v>3</v>
          </cell>
          <cell r="G136" t="str">
            <v>S</v>
          </cell>
          <cell r="H136" t="str">
            <v>N</v>
          </cell>
          <cell r="I136" t="str">
            <v>MLB</v>
          </cell>
          <cell r="J136"/>
          <cell r="K136" t="str">
            <v>MNGKKBF</v>
          </cell>
          <cell r="L136">
            <v>50</v>
          </cell>
          <cell r="M136" t="str">
            <v>メタルミー　ネーマー銀消改　Ｂ</v>
          </cell>
          <cell r="N136">
            <v>1000</v>
          </cell>
          <cell r="O136">
            <v>1000</v>
          </cell>
          <cell r="P136">
            <v>4000</v>
          </cell>
          <cell r="Q136">
            <v>2</v>
          </cell>
          <cell r="R136">
            <v>2</v>
          </cell>
          <cell r="S136" t="str">
            <v>本</v>
          </cell>
          <cell r="T136">
            <v>44704</v>
          </cell>
          <cell r="U136">
            <v>44732</v>
          </cell>
          <cell r="V136" t="str">
            <v>㈱須賀川東部鏡石</v>
          </cell>
          <cell r="W136"/>
          <cell r="X136"/>
        </row>
        <row r="137">
          <cell r="A137">
            <v>3662794</v>
          </cell>
          <cell r="B137" t="str">
            <v>福島コーティング</v>
          </cell>
          <cell r="C137" t="str">
            <v>プロセス材１課</v>
          </cell>
          <cell r="D137" t="str">
            <v>ダミー担当者</v>
          </cell>
          <cell r="E137" t="str">
            <v>リンテック㈱</v>
          </cell>
          <cell r="F137">
            <v>3</v>
          </cell>
          <cell r="G137" t="str">
            <v>S</v>
          </cell>
          <cell r="H137" t="str">
            <v>N</v>
          </cell>
          <cell r="I137" t="str">
            <v>MLB</v>
          </cell>
          <cell r="J137"/>
          <cell r="K137" t="str">
            <v>MNGKKBF</v>
          </cell>
          <cell r="L137">
            <v>50</v>
          </cell>
          <cell r="M137" t="str">
            <v>メタルミー　ネーマー銀消改　Ｂ</v>
          </cell>
          <cell r="N137">
            <v>1120</v>
          </cell>
          <cell r="O137">
            <v>1120</v>
          </cell>
          <cell r="P137">
            <v>4000</v>
          </cell>
          <cell r="Q137">
            <v>2</v>
          </cell>
          <cell r="R137">
            <v>8</v>
          </cell>
          <cell r="S137" t="str">
            <v>本</v>
          </cell>
          <cell r="T137">
            <v>44704</v>
          </cell>
          <cell r="U137">
            <v>44740</v>
          </cell>
          <cell r="V137" t="str">
            <v>㈱須賀川東部鏡石</v>
          </cell>
          <cell r="W137"/>
          <cell r="X137"/>
        </row>
        <row r="138">
          <cell r="A138">
            <v>3662795</v>
          </cell>
          <cell r="B138" t="str">
            <v>福島コーティング</v>
          </cell>
          <cell r="C138" t="str">
            <v>プロセス材１課</v>
          </cell>
          <cell r="D138" t="str">
            <v>ダミー担当者</v>
          </cell>
          <cell r="E138" t="str">
            <v>リンテック㈱</v>
          </cell>
          <cell r="F138">
            <v>3</v>
          </cell>
          <cell r="G138" t="str">
            <v>S</v>
          </cell>
          <cell r="H138" t="str">
            <v>N</v>
          </cell>
          <cell r="I138" t="str">
            <v>MLB</v>
          </cell>
          <cell r="J138"/>
          <cell r="K138" t="str">
            <v>MNGKKBF</v>
          </cell>
          <cell r="L138">
            <v>50</v>
          </cell>
          <cell r="M138" t="str">
            <v>メタルミー　ネーマー銀消改　Ｂ</v>
          </cell>
          <cell r="N138">
            <v>1120</v>
          </cell>
          <cell r="O138">
            <v>1120</v>
          </cell>
          <cell r="P138">
            <v>4000</v>
          </cell>
          <cell r="Q138">
            <v>2</v>
          </cell>
          <cell r="R138">
            <v>8</v>
          </cell>
          <cell r="S138" t="str">
            <v>本</v>
          </cell>
          <cell r="T138">
            <v>44704</v>
          </cell>
          <cell r="U138">
            <v>44740</v>
          </cell>
          <cell r="V138" t="str">
            <v>㈱須賀川東部鏡石</v>
          </cell>
          <cell r="W138"/>
          <cell r="X138"/>
        </row>
        <row r="139">
          <cell r="A139">
            <v>3662796</v>
          </cell>
          <cell r="B139" t="str">
            <v>福島コーティング</v>
          </cell>
          <cell r="C139" t="str">
            <v>プロセス材１課</v>
          </cell>
          <cell r="D139" t="str">
            <v>ダミー担当者</v>
          </cell>
          <cell r="E139" t="str">
            <v>リンテック㈱</v>
          </cell>
          <cell r="F139">
            <v>3</v>
          </cell>
          <cell r="G139" t="str">
            <v>S</v>
          </cell>
          <cell r="H139" t="str">
            <v>N</v>
          </cell>
          <cell r="I139" t="str">
            <v>MLB</v>
          </cell>
          <cell r="J139"/>
          <cell r="K139" t="str">
            <v>MNGKKBF</v>
          </cell>
          <cell r="L139">
            <v>50</v>
          </cell>
          <cell r="M139" t="str">
            <v>メタルミー　ネーマー銀消改　Ｂ</v>
          </cell>
          <cell r="N139">
            <v>1120</v>
          </cell>
          <cell r="O139">
            <v>1120</v>
          </cell>
          <cell r="P139">
            <v>4000</v>
          </cell>
          <cell r="Q139">
            <v>2</v>
          </cell>
          <cell r="R139">
            <v>5</v>
          </cell>
          <cell r="S139" t="str">
            <v>本</v>
          </cell>
          <cell r="T139">
            <v>44704</v>
          </cell>
          <cell r="U139">
            <v>44742</v>
          </cell>
          <cell r="V139" t="str">
            <v>㈱須賀川東部鏡石</v>
          </cell>
          <cell r="W139"/>
          <cell r="X139"/>
        </row>
        <row r="140">
          <cell r="A140">
            <v>3662797</v>
          </cell>
          <cell r="B140" t="str">
            <v>福島コーティング</v>
          </cell>
          <cell r="C140" t="str">
            <v>プロセス材１課</v>
          </cell>
          <cell r="D140" t="str">
            <v>ダミー担当者</v>
          </cell>
          <cell r="E140" t="str">
            <v>リンテック㈱</v>
          </cell>
          <cell r="F140">
            <v>3</v>
          </cell>
          <cell r="G140" t="str">
            <v>S</v>
          </cell>
          <cell r="H140" t="str">
            <v>N</v>
          </cell>
          <cell r="I140" t="str">
            <v>MLB</v>
          </cell>
          <cell r="J140"/>
          <cell r="K140" t="str">
            <v>MNGKKBF</v>
          </cell>
          <cell r="L140">
            <v>50</v>
          </cell>
          <cell r="M140" t="str">
            <v>メタルミー　ネーマー銀消改　Ｂ</v>
          </cell>
          <cell r="N140">
            <v>1120</v>
          </cell>
          <cell r="O140">
            <v>1120</v>
          </cell>
          <cell r="P140">
            <v>4000</v>
          </cell>
          <cell r="Q140">
            <v>2</v>
          </cell>
          <cell r="R140">
            <v>8</v>
          </cell>
          <cell r="S140" t="str">
            <v>本</v>
          </cell>
          <cell r="T140">
            <v>44704</v>
          </cell>
          <cell r="U140">
            <v>44740</v>
          </cell>
          <cell r="V140" t="str">
            <v>㈱須賀川東部鏡石</v>
          </cell>
          <cell r="W140"/>
          <cell r="X140"/>
        </row>
        <row r="141">
          <cell r="A141">
            <v>3662798</v>
          </cell>
          <cell r="B141" t="str">
            <v>福島コーティング</v>
          </cell>
          <cell r="C141" t="str">
            <v>プロセス材１課</v>
          </cell>
          <cell r="D141" t="str">
            <v>ダミー担当者</v>
          </cell>
          <cell r="E141" t="str">
            <v>リンテック㈱</v>
          </cell>
          <cell r="F141">
            <v>3</v>
          </cell>
          <cell r="G141" t="str">
            <v>S</v>
          </cell>
          <cell r="H141" t="str">
            <v>N</v>
          </cell>
          <cell r="I141" t="str">
            <v>MLB</v>
          </cell>
          <cell r="J141"/>
          <cell r="K141" t="str">
            <v>MNGKKBF</v>
          </cell>
          <cell r="L141">
            <v>50</v>
          </cell>
          <cell r="M141" t="str">
            <v>メタルミー　ネーマー銀消改　Ｂ</v>
          </cell>
          <cell r="N141">
            <v>1120</v>
          </cell>
          <cell r="O141">
            <v>1120</v>
          </cell>
          <cell r="P141">
            <v>4000</v>
          </cell>
          <cell r="Q141">
            <v>2</v>
          </cell>
          <cell r="R141">
            <v>8</v>
          </cell>
          <cell r="S141" t="str">
            <v>本</v>
          </cell>
          <cell r="T141">
            <v>44704</v>
          </cell>
          <cell r="U141">
            <v>44755</v>
          </cell>
          <cell r="V141" t="str">
            <v>㈱須賀川東部鏡石</v>
          </cell>
          <cell r="W141"/>
          <cell r="X141"/>
        </row>
        <row r="142">
          <cell r="A142">
            <v>3662799</v>
          </cell>
          <cell r="B142" t="str">
            <v>福島コーティング</v>
          </cell>
          <cell r="C142" t="str">
            <v>プロセス材１課</v>
          </cell>
          <cell r="D142" t="str">
            <v>ダミー担当者</v>
          </cell>
          <cell r="E142" t="str">
            <v>リンテック㈱</v>
          </cell>
          <cell r="F142">
            <v>3</v>
          </cell>
          <cell r="G142" t="str">
            <v>S</v>
          </cell>
          <cell r="H142" t="str">
            <v>N</v>
          </cell>
          <cell r="I142" t="str">
            <v>MLB</v>
          </cell>
          <cell r="J142"/>
          <cell r="K142" t="str">
            <v>MNGKBF</v>
          </cell>
          <cell r="L142">
            <v>38</v>
          </cell>
          <cell r="M142" t="str">
            <v>メタルミー　ネーマー銀消　Ｂ</v>
          </cell>
          <cell r="N142">
            <v>1005</v>
          </cell>
          <cell r="O142">
            <v>1000</v>
          </cell>
          <cell r="P142">
            <v>4000</v>
          </cell>
          <cell r="Q142">
            <v>2</v>
          </cell>
          <cell r="R142">
            <v>2</v>
          </cell>
          <cell r="S142" t="str">
            <v>本</v>
          </cell>
          <cell r="T142">
            <v>44704</v>
          </cell>
          <cell r="U142">
            <v>44733</v>
          </cell>
          <cell r="V142" t="str">
            <v>㈱須賀川東部鏡石</v>
          </cell>
          <cell r="W142"/>
          <cell r="X142"/>
        </row>
        <row r="143">
          <cell r="A143">
            <v>3662800</v>
          </cell>
          <cell r="B143" t="str">
            <v>福島コーティング</v>
          </cell>
          <cell r="C143" t="str">
            <v>プロセス材１課</v>
          </cell>
          <cell r="D143" t="str">
            <v>ダミー担当者</v>
          </cell>
          <cell r="E143" t="str">
            <v>リンテック㈱</v>
          </cell>
          <cell r="F143">
            <v>3</v>
          </cell>
          <cell r="G143" t="str">
            <v>S</v>
          </cell>
          <cell r="H143" t="str">
            <v>N</v>
          </cell>
          <cell r="I143" t="str">
            <v>MLB</v>
          </cell>
          <cell r="J143"/>
          <cell r="K143" t="str">
            <v>MNGKBF</v>
          </cell>
          <cell r="L143">
            <v>50</v>
          </cell>
          <cell r="M143" t="str">
            <v>メタルミー　ネーマー銀消　Ｂ</v>
          </cell>
          <cell r="N143">
            <v>1050</v>
          </cell>
          <cell r="O143">
            <v>1050</v>
          </cell>
          <cell r="P143">
            <v>4100</v>
          </cell>
          <cell r="Q143">
            <v>2</v>
          </cell>
          <cell r="R143">
            <v>2</v>
          </cell>
          <cell r="S143" t="str">
            <v>本</v>
          </cell>
          <cell r="T143">
            <v>44704</v>
          </cell>
          <cell r="U143">
            <v>44727</v>
          </cell>
          <cell r="V143" t="str">
            <v>㈱須賀川東部鏡石</v>
          </cell>
          <cell r="W143"/>
          <cell r="X143"/>
        </row>
        <row r="144">
          <cell r="A144">
            <v>3662801</v>
          </cell>
          <cell r="B144" t="str">
            <v>福島コーティング</v>
          </cell>
          <cell r="C144" t="str">
            <v>プロセス材１課</v>
          </cell>
          <cell r="D144" t="str">
            <v>ダミー担当者</v>
          </cell>
          <cell r="E144" t="str">
            <v>リンテック㈱</v>
          </cell>
          <cell r="F144">
            <v>3</v>
          </cell>
          <cell r="G144" t="str">
            <v>S</v>
          </cell>
          <cell r="H144" t="str">
            <v>N</v>
          </cell>
          <cell r="I144" t="str">
            <v>MLB</v>
          </cell>
          <cell r="J144"/>
          <cell r="K144" t="str">
            <v>MNGKBF</v>
          </cell>
          <cell r="L144">
            <v>50</v>
          </cell>
          <cell r="M144" t="str">
            <v>メタルミー　ネーマー銀消　Ｂ</v>
          </cell>
          <cell r="N144">
            <v>1170</v>
          </cell>
          <cell r="O144">
            <v>1170</v>
          </cell>
          <cell r="P144">
            <v>4000</v>
          </cell>
          <cell r="Q144">
            <v>2</v>
          </cell>
          <cell r="R144">
            <v>4</v>
          </cell>
          <cell r="S144" t="str">
            <v>本</v>
          </cell>
          <cell r="T144">
            <v>44704</v>
          </cell>
          <cell r="U144">
            <v>44727</v>
          </cell>
          <cell r="V144" t="str">
            <v>㈱須賀川東部鏡石</v>
          </cell>
          <cell r="W144"/>
          <cell r="X144"/>
        </row>
        <row r="145">
          <cell r="A145">
            <v>3662802</v>
          </cell>
          <cell r="B145" t="str">
            <v>福島コーティング</v>
          </cell>
          <cell r="C145" t="str">
            <v>プロセス材１課</v>
          </cell>
          <cell r="D145" t="str">
            <v>ダミー担当者</v>
          </cell>
          <cell r="E145" t="str">
            <v>リンテック㈱</v>
          </cell>
          <cell r="F145">
            <v>3</v>
          </cell>
          <cell r="G145" t="str">
            <v>S</v>
          </cell>
          <cell r="H145" t="str">
            <v>N</v>
          </cell>
          <cell r="I145" t="str">
            <v>MLB</v>
          </cell>
          <cell r="J145"/>
          <cell r="K145" t="str">
            <v>MNGKBF</v>
          </cell>
          <cell r="L145">
            <v>75</v>
          </cell>
          <cell r="M145" t="str">
            <v>メタルミー　ネーマー銀消　Ｂ</v>
          </cell>
          <cell r="N145">
            <v>1050</v>
          </cell>
          <cell r="O145">
            <v>1050</v>
          </cell>
          <cell r="P145">
            <v>2000</v>
          </cell>
          <cell r="Q145">
            <v>2</v>
          </cell>
          <cell r="R145">
            <v>2</v>
          </cell>
          <cell r="S145" t="str">
            <v>本</v>
          </cell>
          <cell r="T145">
            <v>44704</v>
          </cell>
          <cell r="U145">
            <v>44727</v>
          </cell>
          <cell r="V145" t="str">
            <v>㈱須賀川東部鏡石</v>
          </cell>
          <cell r="W145"/>
          <cell r="X145"/>
        </row>
        <row r="146">
          <cell r="A146">
            <v>3662804</v>
          </cell>
          <cell r="B146" t="str">
            <v>福島コーティング</v>
          </cell>
          <cell r="C146" t="str">
            <v>プロセス材１課</v>
          </cell>
          <cell r="D146" t="str">
            <v>ダミー担当者</v>
          </cell>
          <cell r="E146" t="str">
            <v>リンテック㈱</v>
          </cell>
          <cell r="F146">
            <v>3</v>
          </cell>
          <cell r="G146" t="str">
            <v>S</v>
          </cell>
          <cell r="H146" t="str">
            <v>N</v>
          </cell>
          <cell r="I146" t="str">
            <v>MLB</v>
          </cell>
          <cell r="J146"/>
          <cell r="K146" t="str">
            <v>MNGTBF</v>
          </cell>
          <cell r="L146">
            <v>25</v>
          </cell>
          <cell r="M146" t="str">
            <v>メタルミー　ネーマー　銀艶　Ｂ</v>
          </cell>
          <cell r="N146">
            <v>1005</v>
          </cell>
          <cell r="O146">
            <v>1000</v>
          </cell>
          <cell r="P146">
            <v>4000</v>
          </cell>
          <cell r="Q146">
            <v>2</v>
          </cell>
          <cell r="R146">
            <v>12</v>
          </cell>
          <cell r="S146" t="str">
            <v>本</v>
          </cell>
          <cell r="T146">
            <v>44704</v>
          </cell>
          <cell r="U146">
            <v>44732</v>
          </cell>
          <cell r="V146" t="str">
            <v>㈱須賀川東部鏡石</v>
          </cell>
          <cell r="W146"/>
          <cell r="X146"/>
        </row>
        <row r="147">
          <cell r="A147">
            <v>3662805</v>
          </cell>
          <cell r="B147" t="str">
            <v>福島コーティング</v>
          </cell>
          <cell r="C147" t="str">
            <v>プロセス材１課</v>
          </cell>
          <cell r="D147" t="str">
            <v>ダミー担当者</v>
          </cell>
          <cell r="E147" t="str">
            <v>リンテック㈱</v>
          </cell>
          <cell r="F147">
            <v>3</v>
          </cell>
          <cell r="G147" t="str">
            <v>S</v>
          </cell>
          <cell r="H147" t="str">
            <v>N</v>
          </cell>
          <cell r="I147" t="str">
            <v>MLB</v>
          </cell>
          <cell r="J147"/>
          <cell r="K147" t="str">
            <v>MNGTBF</v>
          </cell>
          <cell r="L147">
            <v>25</v>
          </cell>
          <cell r="M147" t="str">
            <v>メタルミー　ネーマー　銀艶　Ｂ</v>
          </cell>
          <cell r="N147">
            <v>1125</v>
          </cell>
          <cell r="O147">
            <v>1120</v>
          </cell>
          <cell r="P147">
            <v>4000</v>
          </cell>
          <cell r="Q147">
            <v>2</v>
          </cell>
          <cell r="R147">
            <v>6</v>
          </cell>
          <cell r="S147" t="str">
            <v>本</v>
          </cell>
          <cell r="T147">
            <v>44704</v>
          </cell>
          <cell r="U147">
            <v>44732</v>
          </cell>
          <cell r="V147" t="str">
            <v>㈱須賀川東部鏡石</v>
          </cell>
          <cell r="W147"/>
          <cell r="X147"/>
        </row>
        <row r="148">
          <cell r="A148">
            <v>3662806</v>
          </cell>
          <cell r="B148" t="str">
            <v>福島コーティング</v>
          </cell>
          <cell r="C148" t="str">
            <v>プロセス材１課</v>
          </cell>
          <cell r="D148" t="str">
            <v>ダミー担当者</v>
          </cell>
          <cell r="E148" t="str">
            <v>リンテック㈱</v>
          </cell>
          <cell r="F148">
            <v>3</v>
          </cell>
          <cell r="G148" t="str">
            <v>S</v>
          </cell>
          <cell r="H148" t="str">
            <v>N</v>
          </cell>
          <cell r="I148" t="str">
            <v>MLB</v>
          </cell>
          <cell r="J148"/>
          <cell r="K148" t="str">
            <v>MNGTBF</v>
          </cell>
          <cell r="L148">
            <v>50</v>
          </cell>
          <cell r="M148" t="str">
            <v>メタルミー　ネーマー　銀艶　Ｂ</v>
          </cell>
          <cell r="N148">
            <v>1120</v>
          </cell>
          <cell r="O148">
            <v>1120</v>
          </cell>
          <cell r="P148">
            <v>5000</v>
          </cell>
          <cell r="Q148">
            <v>2</v>
          </cell>
          <cell r="R148">
            <v>14</v>
          </cell>
          <cell r="S148" t="str">
            <v>本</v>
          </cell>
          <cell r="T148">
            <v>44704</v>
          </cell>
          <cell r="U148">
            <v>44729</v>
          </cell>
          <cell r="V148" t="str">
            <v>㈱須賀川東部鏡石</v>
          </cell>
          <cell r="W148"/>
          <cell r="X148"/>
        </row>
        <row r="149">
          <cell r="A149">
            <v>3662807</v>
          </cell>
          <cell r="B149" t="str">
            <v>福島コーティング</v>
          </cell>
          <cell r="C149" t="str">
            <v>プロセス材１課</v>
          </cell>
          <cell r="D149" t="str">
            <v>ダミー担当者</v>
          </cell>
          <cell r="E149" t="str">
            <v>リンテック㈱</v>
          </cell>
          <cell r="F149">
            <v>3</v>
          </cell>
          <cell r="G149" t="str">
            <v>S</v>
          </cell>
          <cell r="H149" t="str">
            <v>N</v>
          </cell>
          <cell r="I149" t="str">
            <v>MLB</v>
          </cell>
          <cell r="J149"/>
          <cell r="K149" t="str">
            <v>MNGTBF</v>
          </cell>
          <cell r="L149">
            <v>50</v>
          </cell>
          <cell r="M149" t="str">
            <v>メタルミー　ネーマー　銀艶　Ｂ</v>
          </cell>
          <cell r="N149">
            <v>1120</v>
          </cell>
          <cell r="O149">
            <v>1120</v>
          </cell>
          <cell r="P149">
            <v>5000</v>
          </cell>
          <cell r="Q149">
            <v>2</v>
          </cell>
          <cell r="R149">
            <v>2</v>
          </cell>
          <cell r="S149" t="str">
            <v>本</v>
          </cell>
          <cell r="T149">
            <v>44704</v>
          </cell>
          <cell r="U149">
            <v>44741</v>
          </cell>
          <cell r="V149" t="str">
            <v>㈱須賀川東部鏡石</v>
          </cell>
          <cell r="W149"/>
          <cell r="X149"/>
        </row>
        <row r="150">
          <cell r="A150">
            <v>3662808</v>
          </cell>
          <cell r="B150" t="str">
            <v>福島コーティング</v>
          </cell>
          <cell r="C150" t="str">
            <v>プロセス材１課</v>
          </cell>
          <cell r="D150" t="str">
            <v>ダミー担当者</v>
          </cell>
          <cell r="E150" t="str">
            <v>リンテック㈱</v>
          </cell>
          <cell r="F150">
            <v>3</v>
          </cell>
          <cell r="G150" t="str">
            <v>S</v>
          </cell>
          <cell r="H150" t="str">
            <v>N</v>
          </cell>
          <cell r="I150" t="str">
            <v>MLB</v>
          </cell>
          <cell r="J150"/>
          <cell r="K150" t="str">
            <v>MNGTBF</v>
          </cell>
          <cell r="L150">
            <v>50</v>
          </cell>
          <cell r="M150" t="str">
            <v>メタルミー　ネーマー　銀艶　Ｂ</v>
          </cell>
          <cell r="N150">
            <v>1120</v>
          </cell>
          <cell r="O150">
            <v>1120</v>
          </cell>
          <cell r="P150">
            <v>5000</v>
          </cell>
          <cell r="Q150">
            <v>2</v>
          </cell>
          <cell r="R150">
            <v>10</v>
          </cell>
          <cell r="S150" t="str">
            <v>本</v>
          </cell>
          <cell r="T150">
            <v>44704</v>
          </cell>
          <cell r="U150">
            <v>44741</v>
          </cell>
          <cell r="V150" t="str">
            <v>㈱須賀川東部鏡石</v>
          </cell>
          <cell r="W150"/>
          <cell r="X150"/>
        </row>
        <row r="151">
          <cell r="A151">
            <v>3662809</v>
          </cell>
          <cell r="B151" t="str">
            <v>福島コーティング</v>
          </cell>
          <cell r="C151" t="str">
            <v>プロセス材１課</v>
          </cell>
          <cell r="D151" t="str">
            <v>ダミー担当者</v>
          </cell>
          <cell r="E151" t="str">
            <v>リンテック㈱</v>
          </cell>
          <cell r="F151">
            <v>3</v>
          </cell>
          <cell r="G151" t="str">
            <v>S</v>
          </cell>
          <cell r="H151" t="str">
            <v>N</v>
          </cell>
          <cell r="I151" t="str">
            <v>MLB</v>
          </cell>
          <cell r="J151"/>
          <cell r="K151" t="str">
            <v>MNGTBF</v>
          </cell>
          <cell r="L151">
            <v>50</v>
          </cell>
          <cell r="M151" t="str">
            <v>メタルミー　ネーマー　銀艶　Ｂ</v>
          </cell>
          <cell r="N151">
            <v>1120</v>
          </cell>
          <cell r="O151">
            <v>1120</v>
          </cell>
          <cell r="P151">
            <v>5000</v>
          </cell>
          <cell r="Q151">
            <v>2</v>
          </cell>
          <cell r="R151">
            <v>12</v>
          </cell>
          <cell r="S151" t="str">
            <v>本</v>
          </cell>
          <cell r="T151">
            <v>44704</v>
          </cell>
          <cell r="U151">
            <v>44743</v>
          </cell>
          <cell r="V151" t="str">
            <v>㈱須賀川東部鏡石</v>
          </cell>
          <cell r="W151"/>
          <cell r="X151"/>
        </row>
        <row r="152">
          <cell r="A152">
            <v>3662810</v>
          </cell>
          <cell r="B152" t="str">
            <v>福島コーティング</v>
          </cell>
          <cell r="C152" t="str">
            <v>プロセス材１課</v>
          </cell>
          <cell r="D152" t="str">
            <v>ダミー担当者</v>
          </cell>
          <cell r="E152" t="str">
            <v>リンテック㈱</v>
          </cell>
          <cell r="F152">
            <v>3</v>
          </cell>
          <cell r="G152" t="str">
            <v>S</v>
          </cell>
          <cell r="H152" t="str">
            <v>N</v>
          </cell>
          <cell r="I152" t="str">
            <v>MLB</v>
          </cell>
          <cell r="J152"/>
          <cell r="K152" t="str">
            <v>MNGTBF</v>
          </cell>
          <cell r="L152">
            <v>50</v>
          </cell>
          <cell r="M152" t="str">
            <v>メタルミー　ネーマー　銀艶　Ｂ</v>
          </cell>
          <cell r="N152">
            <v>1120</v>
          </cell>
          <cell r="O152">
            <v>1120</v>
          </cell>
          <cell r="P152">
            <v>5000</v>
          </cell>
          <cell r="Q152">
            <v>2</v>
          </cell>
          <cell r="R152">
            <v>12</v>
          </cell>
          <cell r="S152" t="str">
            <v>本</v>
          </cell>
          <cell r="T152">
            <v>44704</v>
          </cell>
          <cell r="U152">
            <v>44750</v>
          </cell>
          <cell r="V152" t="str">
            <v>㈱須賀川東部鏡石</v>
          </cell>
          <cell r="W152"/>
          <cell r="X152"/>
        </row>
        <row r="153">
          <cell r="A153">
            <v>3662811</v>
          </cell>
          <cell r="B153" t="str">
            <v>福島コーティング</v>
          </cell>
          <cell r="C153" t="str">
            <v>プロセス材１課</v>
          </cell>
          <cell r="D153" t="str">
            <v>ダミー担当者</v>
          </cell>
          <cell r="E153" t="str">
            <v>リンテック㈱</v>
          </cell>
          <cell r="F153">
            <v>3</v>
          </cell>
          <cell r="G153" t="str">
            <v>S</v>
          </cell>
          <cell r="H153" t="str">
            <v>N</v>
          </cell>
          <cell r="I153" t="str">
            <v>MLB</v>
          </cell>
          <cell r="J153"/>
          <cell r="K153" t="str">
            <v>MNGTBF</v>
          </cell>
          <cell r="L153">
            <v>50</v>
          </cell>
          <cell r="M153" t="str">
            <v>メタルミー　ネーマー　銀艶　Ｂ</v>
          </cell>
          <cell r="N153">
            <v>1120</v>
          </cell>
          <cell r="O153">
            <v>1120</v>
          </cell>
          <cell r="P153">
            <v>5000</v>
          </cell>
          <cell r="Q153">
            <v>2</v>
          </cell>
          <cell r="R153">
            <v>12</v>
          </cell>
          <cell r="S153" t="str">
            <v>本</v>
          </cell>
          <cell r="T153">
            <v>44704</v>
          </cell>
          <cell r="U153">
            <v>44755</v>
          </cell>
          <cell r="V153" t="str">
            <v>㈱須賀川東部鏡石</v>
          </cell>
          <cell r="W153"/>
          <cell r="X153"/>
        </row>
        <row r="154">
          <cell r="A154">
            <v>3662812</v>
          </cell>
          <cell r="B154" t="str">
            <v>福島コーティング</v>
          </cell>
          <cell r="C154" t="str">
            <v>プロセス材１課</v>
          </cell>
          <cell r="D154" t="str">
            <v>ダミー担当者</v>
          </cell>
          <cell r="E154" t="str">
            <v>リンテック㈱</v>
          </cell>
          <cell r="F154">
            <v>3</v>
          </cell>
          <cell r="G154" t="str">
            <v>S</v>
          </cell>
          <cell r="H154" t="str">
            <v>N</v>
          </cell>
          <cell r="I154" t="str">
            <v>MCLB</v>
          </cell>
          <cell r="J154"/>
          <cell r="K154" t="str">
            <v>NGTVB</v>
          </cell>
          <cell r="L154">
            <v>50</v>
          </cell>
          <cell r="M154" t="str">
            <v>メタルミー　ネーマー　銀艶ＶＢ</v>
          </cell>
          <cell r="N154">
            <v>1000</v>
          </cell>
          <cell r="O154">
            <v>1000</v>
          </cell>
          <cell r="P154">
            <v>2500</v>
          </cell>
          <cell r="Q154">
            <v>2</v>
          </cell>
          <cell r="R154">
            <v>2</v>
          </cell>
          <cell r="S154" t="str">
            <v>本</v>
          </cell>
          <cell r="T154">
            <v>44704</v>
          </cell>
          <cell r="U154">
            <v>44732</v>
          </cell>
          <cell r="V154" t="str">
            <v>㈱須賀川東部鏡石</v>
          </cell>
          <cell r="W154"/>
          <cell r="X154"/>
        </row>
        <row r="155">
          <cell r="A155">
            <v>3662813</v>
          </cell>
          <cell r="B155" t="str">
            <v>福島コーティング</v>
          </cell>
          <cell r="C155" t="str">
            <v>プロセス材１課</v>
          </cell>
          <cell r="D155" t="str">
            <v>ダミー担当者</v>
          </cell>
          <cell r="E155" t="str">
            <v>リンテック㈱</v>
          </cell>
          <cell r="F155">
            <v>3</v>
          </cell>
          <cell r="G155" t="str">
            <v>S</v>
          </cell>
          <cell r="H155" t="str">
            <v>N</v>
          </cell>
          <cell r="I155" t="str">
            <v>MLB</v>
          </cell>
          <cell r="J155"/>
          <cell r="K155" t="str">
            <v>MNNGKBF</v>
          </cell>
          <cell r="L155">
            <v>50</v>
          </cell>
          <cell r="M155" t="str">
            <v>メタルミー　ニューネーマー銀消　Ｂ</v>
          </cell>
          <cell r="N155">
            <v>1000</v>
          </cell>
          <cell r="O155">
            <v>1000</v>
          </cell>
          <cell r="P155">
            <v>4000</v>
          </cell>
          <cell r="Q155">
            <v>2</v>
          </cell>
          <cell r="R155">
            <v>20</v>
          </cell>
          <cell r="S155" t="str">
            <v>本</v>
          </cell>
          <cell r="T155">
            <v>44704</v>
          </cell>
          <cell r="U155">
            <v>44732</v>
          </cell>
          <cell r="V155" t="str">
            <v>㈱須賀川東部鏡石</v>
          </cell>
          <cell r="W155"/>
          <cell r="X155"/>
        </row>
        <row r="156">
          <cell r="A156">
            <v>3662814</v>
          </cell>
          <cell r="B156" t="str">
            <v>福島コーティング</v>
          </cell>
          <cell r="C156" t="str">
            <v>プロセス材１課</v>
          </cell>
          <cell r="D156" t="str">
            <v>ダミー担当者</v>
          </cell>
          <cell r="E156" t="str">
            <v>リンテック㈱</v>
          </cell>
          <cell r="F156" t="str">
            <v>33S</v>
          </cell>
          <cell r="G156" t="str">
            <v>S</v>
          </cell>
          <cell r="H156" t="str">
            <v>N</v>
          </cell>
          <cell r="I156" t="str">
            <v>MCLB</v>
          </cell>
          <cell r="J156"/>
          <cell r="K156" t="str">
            <v>TEKKFV</v>
          </cell>
          <cell r="L156">
            <v>50</v>
          </cell>
          <cell r="M156" t="str">
            <v>メタルミー　ＴＥＳ消開封　Ｖ</v>
          </cell>
          <cell r="N156">
            <v>1005</v>
          </cell>
          <cell r="O156">
            <v>1000</v>
          </cell>
          <cell r="P156">
            <v>4000</v>
          </cell>
          <cell r="Q156">
            <v>2</v>
          </cell>
          <cell r="R156">
            <v>3</v>
          </cell>
          <cell r="S156" t="str">
            <v>本</v>
          </cell>
          <cell r="T156">
            <v>44704</v>
          </cell>
          <cell r="U156">
            <v>44732</v>
          </cell>
          <cell r="V156" t="str">
            <v>㈱須賀川東部鏡石</v>
          </cell>
          <cell r="W156"/>
          <cell r="X156"/>
        </row>
        <row r="157">
          <cell r="A157">
            <v>3662815</v>
          </cell>
          <cell r="B157" t="str">
            <v>福島コーティング</v>
          </cell>
          <cell r="C157" t="str">
            <v>プロセス材１課</v>
          </cell>
          <cell r="D157" t="str">
            <v>ダミー担当者</v>
          </cell>
          <cell r="E157" t="str">
            <v>リンテック㈱</v>
          </cell>
          <cell r="F157" t="str">
            <v>33S</v>
          </cell>
          <cell r="G157" t="str">
            <v>S</v>
          </cell>
          <cell r="H157" t="str">
            <v>N</v>
          </cell>
          <cell r="I157" t="str">
            <v>MCLB</v>
          </cell>
          <cell r="J157"/>
          <cell r="K157" t="str">
            <v>TEKV0V</v>
          </cell>
          <cell r="L157">
            <v>50</v>
          </cell>
          <cell r="M157" t="str">
            <v>メタルミー　ＴＥ－Ｓ消　ＶＯＩＤ　Ｖ</v>
          </cell>
          <cell r="N157">
            <v>1005</v>
          </cell>
          <cell r="O157">
            <v>1000</v>
          </cell>
          <cell r="P157">
            <v>4000</v>
          </cell>
          <cell r="Q157">
            <v>2</v>
          </cell>
          <cell r="R157">
            <v>3</v>
          </cell>
          <cell r="S157" t="str">
            <v>本</v>
          </cell>
          <cell r="T157">
            <v>44704</v>
          </cell>
          <cell r="U157">
            <v>44732</v>
          </cell>
          <cell r="V157" t="str">
            <v>㈱須賀川東部鏡石</v>
          </cell>
          <cell r="W157"/>
          <cell r="X157"/>
        </row>
        <row r="158">
          <cell r="A158">
            <v>3662816</v>
          </cell>
          <cell r="B158" t="str">
            <v>福島コーティング</v>
          </cell>
          <cell r="C158" t="str">
            <v>プロセス材１課</v>
          </cell>
          <cell r="D158" t="str">
            <v>ダミー担当者</v>
          </cell>
          <cell r="E158" t="str">
            <v>リンテック㈱</v>
          </cell>
          <cell r="F158" t="str">
            <v>33S</v>
          </cell>
          <cell r="G158" t="str">
            <v>S</v>
          </cell>
          <cell r="H158" t="str">
            <v>Y</v>
          </cell>
          <cell r="I158" t="str">
            <v>MCLB</v>
          </cell>
          <cell r="J158"/>
          <cell r="K158" t="str">
            <v>TEKV0V</v>
          </cell>
          <cell r="L158">
            <v>50</v>
          </cell>
          <cell r="M158" t="str">
            <v>メタルミー　ＴＥ－Ｓ消　ＶＯＩＤ　Ｖ</v>
          </cell>
          <cell r="N158">
            <v>1005</v>
          </cell>
          <cell r="O158">
            <v>1000</v>
          </cell>
          <cell r="P158">
            <v>4000</v>
          </cell>
          <cell r="Q158">
            <v>2</v>
          </cell>
          <cell r="R158">
            <v>2</v>
          </cell>
          <cell r="S158" t="str">
            <v>本</v>
          </cell>
          <cell r="T158">
            <v>44704</v>
          </cell>
          <cell r="U158">
            <v>44735</v>
          </cell>
          <cell r="V158" t="str">
            <v>㈱須賀川東部鏡石</v>
          </cell>
          <cell r="W158"/>
          <cell r="X158"/>
        </row>
        <row r="159">
          <cell r="A159">
            <v>3662817</v>
          </cell>
          <cell r="B159" t="str">
            <v>福島コーティング</v>
          </cell>
          <cell r="C159" t="str">
            <v>プロセス材１課</v>
          </cell>
          <cell r="D159" t="str">
            <v>ダミー担当者</v>
          </cell>
          <cell r="E159" t="str">
            <v>リンテック㈱</v>
          </cell>
          <cell r="F159" t="str">
            <v>33S</v>
          </cell>
          <cell r="G159" t="str">
            <v>S</v>
          </cell>
          <cell r="H159" t="str">
            <v>N</v>
          </cell>
          <cell r="I159" t="str">
            <v>MCLB</v>
          </cell>
          <cell r="J159"/>
          <cell r="K159" t="str">
            <v>TETKFV</v>
          </cell>
          <cell r="L159">
            <v>50</v>
          </cell>
          <cell r="M159" t="str">
            <v>メタルミー　ＴＥＳ艶開封　Ｖ</v>
          </cell>
          <cell r="N159">
            <v>1005</v>
          </cell>
          <cell r="O159">
            <v>1000</v>
          </cell>
          <cell r="P159">
            <v>4000</v>
          </cell>
          <cell r="Q159">
            <v>2</v>
          </cell>
          <cell r="R159">
            <v>3</v>
          </cell>
          <cell r="S159" t="str">
            <v>本</v>
          </cell>
          <cell r="T159">
            <v>44704</v>
          </cell>
          <cell r="U159">
            <v>44732</v>
          </cell>
          <cell r="V159" t="str">
            <v>㈱須賀川東部鏡石</v>
          </cell>
          <cell r="W159"/>
          <cell r="X159"/>
        </row>
        <row r="160">
          <cell r="A160">
            <v>3662818</v>
          </cell>
          <cell r="B160" t="str">
            <v>福島コーティング</v>
          </cell>
          <cell r="C160" t="str">
            <v>プロセス材１課</v>
          </cell>
          <cell r="D160" t="str">
            <v>ダミー担当者</v>
          </cell>
          <cell r="E160" t="str">
            <v>リンテック㈱</v>
          </cell>
          <cell r="F160">
            <v>3</v>
          </cell>
          <cell r="G160" t="str">
            <v>S</v>
          </cell>
          <cell r="H160" t="str">
            <v>N</v>
          </cell>
          <cell r="I160" t="str">
            <v>MCLB</v>
          </cell>
          <cell r="J160"/>
          <cell r="K160" t="str">
            <v>TETV0V</v>
          </cell>
          <cell r="L160">
            <v>50</v>
          </cell>
          <cell r="M160" t="str">
            <v>メタルミー　ＴＥＳ艶ＶＯＩＤＶ</v>
          </cell>
          <cell r="N160">
            <v>1005</v>
          </cell>
          <cell r="O160">
            <v>1000</v>
          </cell>
          <cell r="P160">
            <v>4000</v>
          </cell>
          <cell r="Q160">
            <v>2</v>
          </cell>
          <cell r="R160">
            <v>2</v>
          </cell>
          <cell r="S160" t="str">
            <v>本</v>
          </cell>
          <cell r="T160">
            <v>44704</v>
          </cell>
          <cell r="U160">
            <v>44732</v>
          </cell>
          <cell r="V160" t="str">
            <v>㈱須賀川東部鏡石</v>
          </cell>
          <cell r="W160"/>
          <cell r="X160"/>
        </row>
        <row r="161">
          <cell r="A161">
            <v>3662823</v>
          </cell>
          <cell r="B161" t="str">
            <v>福島コーティング</v>
          </cell>
          <cell r="C161" t="str">
            <v>プロセス材１課</v>
          </cell>
          <cell r="D161" t="str">
            <v>ダミー担当者</v>
          </cell>
          <cell r="E161" t="str">
            <v>リンテック㈱</v>
          </cell>
          <cell r="F161">
            <v>3</v>
          </cell>
          <cell r="G161" t="str">
            <v>S</v>
          </cell>
          <cell r="H161" t="str">
            <v>N</v>
          </cell>
          <cell r="I161" t="str">
            <v>MLB</v>
          </cell>
          <cell r="J161"/>
          <cell r="K161" t="str">
            <v>MNQR66F</v>
          </cell>
          <cell r="L161">
            <v>25</v>
          </cell>
          <cell r="M161" t="str">
            <v>ＱＲ６６蒸着品</v>
          </cell>
          <cell r="N161">
            <v>1000</v>
          </cell>
          <cell r="O161">
            <v>1000</v>
          </cell>
          <cell r="P161">
            <v>6000</v>
          </cell>
          <cell r="Q161">
            <v>2</v>
          </cell>
          <cell r="R161">
            <v>4</v>
          </cell>
          <cell r="S161" t="str">
            <v>本</v>
          </cell>
          <cell r="T161">
            <v>44704</v>
          </cell>
          <cell r="U161">
            <v>44727</v>
          </cell>
          <cell r="V161" t="str">
            <v>㈱須賀川東部鏡石</v>
          </cell>
          <cell r="W161"/>
          <cell r="X161"/>
        </row>
        <row r="162">
          <cell r="A162">
            <v>3662824</v>
          </cell>
          <cell r="B162" t="str">
            <v>福島コーティング</v>
          </cell>
          <cell r="C162" t="str">
            <v>プロセス材１課</v>
          </cell>
          <cell r="D162" t="str">
            <v>ダミー担当者</v>
          </cell>
          <cell r="E162" t="str">
            <v>リンテック㈱</v>
          </cell>
          <cell r="F162">
            <v>3</v>
          </cell>
          <cell r="G162" t="str">
            <v>S</v>
          </cell>
          <cell r="H162" t="str">
            <v>N</v>
          </cell>
          <cell r="I162" t="str">
            <v>MLB</v>
          </cell>
          <cell r="J162"/>
          <cell r="K162" t="str">
            <v>MNQR66F</v>
          </cell>
          <cell r="L162">
            <v>25</v>
          </cell>
          <cell r="M162" t="str">
            <v>ＱＲ６６蒸着品</v>
          </cell>
          <cell r="N162">
            <v>1100</v>
          </cell>
          <cell r="O162">
            <v>1100</v>
          </cell>
          <cell r="P162">
            <v>6000</v>
          </cell>
          <cell r="Q162">
            <v>2</v>
          </cell>
          <cell r="R162">
            <v>15</v>
          </cell>
          <cell r="S162" t="str">
            <v>本</v>
          </cell>
          <cell r="T162">
            <v>44704</v>
          </cell>
          <cell r="U162">
            <v>44727</v>
          </cell>
          <cell r="V162" t="str">
            <v>㈱須賀川東部鏡石</v>
          </cell>
          <cell r="W162"/>
          <cell r="X162"/>
        </row>
        <row r="163">
          <cell r="A163">
            <v>3662825</v>
          </cell>
          <cell r="B163" t="str">
            <v>福島コーティング</v>
          </cell>
          <cell r="C163" t="str">
            <v>プロセス材１課</v>
          </cell>
          <cell r="D163" t="str">
            <v>ダミー担当者</v>
          </cell>
          <cell r="E163" t="str">
            <v>リンテック㈱</v>
          </cell>
          <cell r="F163">
            <v>3</v>
          </cell>
          <cell r="G163" t="str">
            <v>S</v>
          </cell>
          <cell r="H163" t="str">
            <v>N</v>
          </cell>
          <cell r="I163" t="str">
            <v>MCLB</v>
          </cell>
          <cell r="J163"/>
          <cell r="K163" t="str">
            <v>HLGTV</v>
          </cell>
          <cell r="L163">
            <v>25</v>
          </cell>
          <cell r="M163" t="str">
            <v>メタルミー　ヘヤライン　銀艶Ｖ</v>
          </cell>
          <cell r="N163">
            <v>1005</v>
          </cell>
          <cell r="O163">
            <v>1000</v>
          </cell>
          <cell r="P163">
            <v>2000</v>
          </cell>
          <cell r="Q163">
            <v>2</v>
          </cell>
          <cell r="R163">
            <v>2</v>
          </cell>
          <cell r="S163" t="str">
            <v>本</v>
          </cell>
          <cell r="T163">
            <v>44704</v>
          </cell>
          <cell r="U163">
            <v>44725</v>
          </cell>
          <cell r="V163" t="str">
            <v>㈱須賀川東部鏡石</v>
          </cell>
          <cell r="W163"/>
          <cell r="X163"/>
        </row>
        <row r="164">
          <cell r="A164">
            <v>3662825</v>
          </cell>
          <cell r="B164" t="str">
            <v>福島コーティング</v>
          </cell>
          <cell r="C164" t="str">
            <v>プロセス材１課</v>
          </cell>
          <cell r="D164" t="str">
            <v>ダミー担当者</v>
          </cell>
          <cell r="E164" t="str">
            <v>リンテック㈱</v>
          </cell>
          <cell r="F164">
            <v>3</v>
          </cell>
          <cell r="G164" t="str">
            <v>S</v>
          </cell>
          <cell r="H164" t="str">
            <v>N</v>
          </cell>
          <cell r="I164" t="str">
            <v>MCLB</v>
          </cell>
          <cell r="J164"/>
          <cell r="K164" t="str">
            <v>HLGTV</v>
          </cell>
          <cell r="L164">
            <v>25</v>
          </cell>
          <cell r="M164" t="str">
            <v>メタルミー　ヘヤライン　銀艶Ｖ</v>
          </cell>
          <cell r="N164">
            <v>1005</v>
          </cell>
          <cell r="O164">
            <v>1000</v>
          </cell>
          <cell r="P164">
            <v>6000</v>
          </cell>
          <cell r="Q164">
            <v>2</v>
          </cell>
          <cell r="R164">
            <v>2</v>
          </cell>
          <cell r="S164" t="str">
            <v>本</v>
          </cell>
          <cell r="T164">
            <v>44704</v>
          </cell>
          <cell r="U164">
            <v>44725</v>
          </cell>
          <cell r="V164" t="str">
            <v>㈱須賀川東部鏡石</v>
          </cell>
          <cell r="W164"/>
          <cell r="X164"/>
        </row>
        <row r="165">
          <cell r="A165">
            <v>3662826</v>
          </cell>
          <cell r="B165" t="str">
            <v>福島コーティング</v>
          </cell>
          <cell r="C165" t="str">
            <v>プロセス材１課</v>
          </cell>
          <cell r="D165" t="str">
            <v>ダミー担当者</v>
          </cell>
          <cell r="E165" t="str">
            <v>リンテック㈱</v>
          </cell>
          <cell r="F165">
            <v>3</v>
          </cell>
          <cell r="G165" t="str">
            <v>S</v>
          </cell>
          <cell r="H165" t="str">
            <v>N</v>
          </cell>
          <cell r="I165" t="str">
            <v>CLB</v>
          </cell>
          <cell r="J165"/>
          <cell r="K165" t="str">
            <v>LMEYK</v>
          </cell>
          <cell r="L165">
            <v>38</v>
          </cell>
          <cell r="M165" t="str">
            <v>ルミマットＥＹＫ</v>
          </cell>
          <cell r="N165">
            <v>1005</v>
          </cell>
          <cell r="O165">
            <v>1000</v>
          </cell>
          <cell r="P165">
            <v>4000</v>
          </cell>
          <cell r="Q165">
            <v>2</v>
          </cell>
          <cell r="R165">
            <v>4</v>
          </cell>
          <cell r="S165" t="str">
            <v>本</v>
          </cell>
          <cell r="T165">
            <v>44704</v>
          </cell>
          <cell r="U165">
            <v>44732</v>
          </cell>
          <cell r="V165" t="str">
            <v>㈱須賀川東部鏡石</v>
          </cell>
          <cell r="W165"/>
          <cell r="X165"/>
        </row>
        <row r="166">
          <cell r="A166">
            <v>3662827</v>
          </cell>
          <cell r="B166" t="str">
            <v>福島コーティング</v>
          </cell>
          <cell r="C166" t="str">
            <v>プロセス材１課</v>
          </cell>
          <cell r="D166" t="str">
            <v>ダミー担当者</v>
          </cell>
          <cell r="E166" t="str">
            <v>リンテック㈱</v>
          </cell>
          <cell r="F166">
            <v>3</v>
          </cell>
          <cell r="G166" t="str">
            <v>S</v>
          </cell>
          <cell r="H166" t="str">
            <v>Y</v>
          </cell>
          <cell r="I166" t="str">
            <v>MLB</v>
          </cell>
          <cell r="J166"/>
          <cell r="K166" t="str">
            <v>MSBBF</v>
          </cell>
          <cell r="L166">
            <v>50</v>
          </cell>
          <cell r="M166" t="str">
            <v>ＭＥＴＡＬＵＭＹ　ＳＩＬＶＥＲ　ＢＲＩＧＨＴ　Ｔ６２Ｍ　Ｂ</v>
          </cell>
          <cell r="N166">
            <v>1120</v>
          </cell>
          <cell r="O166">
            <v>1120</v>
          </cell>
          <cell r="P166">
            <v>5000</v>
          </cell>
          <cell r="Q166">
            <v>2</v>
          </cell>
          <cell r="R166">
            <v>4</v>
          </cell>
          <cell r="S166" t="str">
            <v>本</v>
          </cell>
          <cell r="T166">
            <v>44704</v>
          </cell>
          <cell r="U166">
            <v>44739</v>
          </cell>
          <cell r="V166" t="str">
            <v>㈱須賀川東部鏡石</v>
          </cell>
          <cell r="W166"/>
          <cell r="X166"/>
        </row>
        <row r="167">
          <cell r="A167">
            <v>3662828</v>
          </cell>
          <cell r="B167" t="str">
            <v>福島コーティング</v>
          </cell>
          <cell r="C167" t="str">
            <v>プロセス材１課</v>
          </cell>
          <cell r="D167" t="str">
            <v>ダミー担当者</v>
          </cell>
          <cell r="E167" t="str">
            <v>リンテック㈱</v>
          </cell>
          <cell r="F167">
            <v>3</v>
          </cell>
          <cell r="G167" t="str">
            <v>S</v>
          </cell>
          <cell r="H167" t="str">
            <v>Y</v>
          </cell>
          <cell r="I167" t="str">
            <v>MLB</v>
          </cell>
          <cell r="J167"/>
          <cell r="K167" t="str">
            <v>MSBBF</v>
          </cell>
          <cell r="L167">
            <v>50</v>
          </cell>
          <cell r="M167" t="str">
            <v>ＭＥＴＡＬＵＭＹ　ＳＩＬＶＥＲ　ＢＲＩＧＨＴ　Ｔ６２Ｍ　Ｂ</v>
          </cell>
          <cell r="N167">
            <v>1120</v>
          </cell>
          <cell r="O167">
            <v>1120</v>
          </cell>
          <cell r="P167">
            <v>5000</v>
          </cell>
          <cell r="Q167">
            <v>2</v>
          </cell>
          <cell r="R167">
            <v>12</v>
          </cell>
          <cell r="S167" t="str">
            <v>本</v>
          </cell>
          <cell r="T167">
            <v>44704</v>
          </cell>
          <cell r="U167">
            <v>44739</v>
          </cell>
          <cell r="V167" t="str">
            <v>㈱須賀川東部鏡石</v>
          </cell>
          <cell r="W167"/>
          <cell r="X167"/>
        </row>
        <row r="168">
          <cell r="A168">
            <v>3662829</v>
          </cell>
          <cell r="B168" t="str">
            <v>福島コーティング</v>
          </cell>
          <cell r="C168" t="str">
            <v>プロセス材１課</v>
          </cell>
          <cell r="D168" t="str">
            <v>ダミー担当者</v>
          </cell>
          <cell r="E168" t="str">
            <v>リンテック㈱</v>
          </cell>
          <cell r="F168">
            <v>3</v>
          </cell>
          <cell r="G168" t="str">
            <v>S</v>
          </cell>
          <cell r="H168" t="str">
            <v>Y</v>
          </cell>
          <cell r="I168" t="str">
            <v>MLB</v>
          </cell>
          <cell r="J168"/>
          <cell r="K168" t="str">
            <v>MSBBZF</v>
          </cell>
          <cell r="L168">
            <v>50</v>
          </cell>
          <cell r="M168" t="str">
            <v>ＭＥＴＡＬＵＭＹ　ＳＩＬＶＥＲ　ＢＲＩＧＨＴ　Ｂ</v>
          </cell>
          <cell r="N168">
            <v>1120</v>
          </cell>
          <cell r="O168">
            <v>1120</v>
          </cell>
          <cell r="P168">
            <v>5000</v>
          </cell>
          <cell r="Q168">
            <v>2</v>
          </cell>
          <cell r="R168">
            <v>2</v>
          </cell>
          <cell r="S168" t="str">
            <v>本</v>
          </cell>
          <cell r="T168">
            <v>44704</v>
          </cell>
          <cell r="U168">
            <v>44739</v>
          </cell>
          <cell r="V168" t="str">
            <v>㈱須賀川東部鏡石</v>
          </cell>
          <cell r="W168"/>
          <cell r="X168"/>
        </row>
        <row r="169">
          <cell r="A169">
            <v>3662830</v>
          </cell>
          <cell r="B169" t="str">
            <v>福島コーティング</v>
          </cell>
          <cell r="C169" t="str">
            <v>プロセス材１課</v>
          </cell>
          <cell r="D169" t="str">
            <v>ダミー担当者</v>
          </cell>
          <cell r="E169" t="str">
            <v>リンテック㈱</v>
          </cell>
          <cell r="F169">
            <v>3</v>
          </cell>
          <cell r="G169" t="str">
            <v>S</v>
          </cell>
          <cell r="H169" t="str">
            <v>Y</v>
          </cell>
          <cell r="I169" t="str">
            <v>MLB</v>
          </cell>
          <cell r="J169"/>
          <cell r="K169" t="str">
            <v>MSBBF</v>
          </cell>
          <cell r="L169">
            <v>25</v>
          </cell>
          <cell r="M169" t="str">
            <v>ＭＥＴＡＬＵＭＹ　ＳＩＬＶＥＲ　ＢＲＩＧＨＴ　Ｔ６２Ｍ　Ｂ</v>
          </cell>
          <cell r="N169">
            <v>1120</v>
          </cell>
          <cell r="O169">
            <v>1120</v>
          </cell>
          <cell r="P169">
            <v>8000</v>
          </cell>
          <cell r="Q169">
            <v>2</v>
          </cell>
          <cell r="R169">
            <v>2</v>
          </cell>
          <cell r="S169" t="str">
            <v>本</v>
          </cell>
          <cell r="T169">
            <v>44704</v>
          </cell>
          <cell r="U169">
            <v>44734</v>
          </cell>
          <cell r="V169" t="str">
            <v>㈱須賀川東部鏡石</v>
          </cell>
          <cell r="W169"/>
          <cell r="X169"/>
        </row>
        <row r="170">
          <cell r="A170">
            <v>3662831</v>
          </cell>
          <cell r="B170" t="str">
            <v>福島コーティング</v>
          </cell>
          <cell r="C170" t="str">
            <v>プロセス材１課</v>
          </cell>
          <cell r="D170" t="str">
            <v>ダミー担当者</v>
          </cell>
          <cell r="E170" t="str">
            <v>リンテック㈱</v>
          </cell>
          <cell r="F170">
            <v>3</v>
          </cell>
          <cell r="G170" t="str">
            <v>S</v>
          </cell>
          <cell r="H170" t="str">
            <v>Y</v>
          </cell>
          <cell r="I170" t="str">
            <v>MLB</v>
          </cell>
          <cell r="J170"/>
          <cell r="K170" t="str">
            <v>MSNMBZF</v>
          </cell>
          <cell r="L170">
            <v>50</v>
          </cell>
          <cell r="M170" t="str">
            <v>ＭＥＴＡＬＵＭＹ　ＳＩＬＶＥＲ　Ｎ－ＭＡＴＴＥ　Ｂ</v>
          </cell>
          <cell r="N170">
            <v>1120</v>
          </cell>
          <cell r="O170">
            <v>1120</v>
          </cell>
          <cell r="P170">
            <v>4000</v>
          </cell>
          <cell r="Q170">
            <v>2</v>
          </cell>
          <cell r="R170">
            <v>16</v>
          </cell>
          <cell r="S170" t="str">
            <v>本</v>
          </cell>
          <cell r="T170">
            <v>44704</v>
          </cell>
          <cell r="U170">
            <v>44729</v>
          </cell>
          <cell r="V170" t="str">
            <v>㈱須賀川東部鏡石</v>
          </cell>
          <cell r="W170"/>
          <cell r="X170"/>
        </row>
        <row r="171">
          <cell r="A171">
            <v>3662832</v>
          </cell>
          <cell r="B171" t="str">
            <v>福島コーティング</v>
          </cell>
          <cell r="C171" t="str">
            <v>プロセス材１課</v>
          </cell>
          <cell r="D171" t="str">
            <v>ダミー担当者</v>
          </cell>
          <cell r="E171" t="str">
            <v>リンテック㈱</v>
          </cell>
          <cell r="F171">
            <v>3</v>
          </cell>
          <cell r="G171" t="str">
            <v>S</v>
          </cell>
          <cell r="H171" t="str">
            <v>Y</v>
          </cell>
          <cell r="I171" t="str">
            <v>MLB</v>
          </cell>
          <cell r="J171"/>
          <cell r="K171" t="str">
            <v>MSSMBZF</v>
          </cell>
          <cell r="L171">
            <v>50</v>
          </cell>
          <cell r="M171" t="str">
            <v>ＭＥＴＡＬＵＭＹ　ＳＩＬＶＥＲ　Ｓ－ＭＡＴＴＥ　Ｂ</v>
          </cell>
          <cell r="N171">
            <v>1120</v>
          </cell>
          <cell r="O171">
            <v>1120</v>
          </cell>
          <cell r="P171">
            <v>4000</v>
          </cell>
          <cell r="Q171">
            <v>2</v>
          </cell>
          <cell r="R171">
            <v>6</v>
          </cell>
          <cell r="S171" t="str">
            <v>本</v>
          </cell>
          <cell r="T171">
            <v>44704</v>
          </cell>
          <cell r="U171">
            <v>44729</v>
          </cell>
          <cell r="V171" t="str">
            <v>㈱須賀川東部鏡石</v>
          </cell>
          <cell r="W171"/>
          <cell r="X171"/>
        </row>
        <row r="172">
          <cell r="A172">
            <v>3662833</v>
          </cell>
          <cell r="B172" t="str">
            <v>福島コーティング</v>
          </cell>
          <cell r="C172" t="str">
            <v>プロセス材１課</v>
          </cell>
          <cell r="D172" t="str">
            <v>ダミー担当者</v>
          </cell>
          <cell r="E172" t="str">
            <v>リンテック㈱</v>
          </cell>
          <cell r="F172">
            <v>3</v>
          </cell>
          <cell r="G172" t="str">
            <v>S</v>
          </cell>
          <cell r="H172" t="str">
            <v>Y</v>
          </cell>
          <cell r="I172" t="str">
            <v>MLB</v>
          </cell>
          <cell r="J172"/>
          <cell r="K172" t="str">
            <v>MSSMBZF</v>
          </cell>
          <cell r="L172">
            <v>50</v>
          </cell>
          <cell r="M172" t="str">
            <v>ＭＥＴＡＬＵＭＹ　ＳＩＬＶＥＲ　Ｓ－ＭＡＴＴＥ　Ｂ</v>
          </cell>
          <cell r="N172">
            <v>1120</v>
          </cell>
          <cell r="O172">
            <v>1120</v>
          </cell>
          <cell r="P172">
            <v>4000</v>
          </cell>
          <cell r="Q172">
            <v>2</v>
          </cell>
          <cell r="R172">
            <v>4</v>
          </cell>
          <cell r="S172" t="str">
            <v>本</v>
          </cell>
          <cell r="T172">
            <v>44704</v>
          </cell>
          <cell r="U172">
            <v>44734</v>
          </cell>
          <cell r="V172" t="str">
            <v>㈱須賀川東部鏡石</v>
          </cell>
          <cell r="W172"/>
          <cell r="X172"/>
        </row>
        <row r="173">
          <cell r="A173">
            <v>3662834</v>
          </cell>
          <cell r="B173" t="str">
            <v>福島コーティング</v>
          </cell>
          <cell r="C173" t="str">
            <v>プロセス材１課</v>
          </cell>
          <cell r="D173" t="str">
            <v>ダミー担当者</v>
          </cell>
          <cell r="E173" t="str">
            <v>リンテック㈱</v>
          </cell>
          <cell r="F173">
            <v>3</v>
          </cell>
          <cell r="G173" t="str">
            <v>S</v>
          </cell>
          <cell r="H173" t="str">
            <v>Y</v>
          </cell>
          <cell r="I173" t="str">
            <v>MLB</v>
          </cell>
          <cell r="J173"/>
          <cell r="K173" t="str">
            <v>MSSMBF</v>
          </cell>
          <cell r="L173">
            <v>50</v>
          </cell>
          <cell r="M173" t="str">
            <v>ＭＥＴＡＬＵＭＹ　ＳＩＬＶＥＲ　Ｓ－ＭＡＴＴＥ　Ｓ２８ＭＭ　Ｂ</v>
          </cell>
          <cell r="N173">
            <v>1120</v>
          </cell>
          <cell r="O173">
            <v>1120</v>
          </cell>
          <cell r="P173">
            <v>4000</v>
          </cell>
          <cell r="Q173">
            <v>2</v>
          </cell>
          <cell r="R173">
            <v>2</v>
          </cell>
          <cell r="S173" t="str">
            <v>本</v>
          </cell>
          <cell r="T173">
            <v>44704</v>
          </cell>
          <cell r="U173">
            <v>44734</v>
          </cell>
          <cell r="V173" t="str">
            <v>㈱須賀川東部鏡石</v>
          </cell>
          <cell r="W173"/>
          <cell r="X173"/>
        </row>
        <row r="174">
          <cell r="A174">
            <v>3662837</v>
          </cell>
          <cell r="B174" t="str">
            <v>福島コーティング</v>
          </cell>
          <cell r="C174" t="str">
            <v>プロセス材２課</v>
          </cell>
          <cell r="D174" t="str">
            <v>ダミー担当者</v>
          </cell>
          <cell r="E174" t="str">
            <v>大阪シーリング印刷㈱</v>
          </cell>
          <cell r="F174">
            <v>3</v>
          </cell>
          <cell r="G174" t="str">
            <v>S</v>
          </cell>
          <cell r="H174" t="str">
            <v>N</v>
          </cell>
          <cell r="I174" t="str">
            <v>MCLB</v>
          </cell>
          <cell r="J174"/>
          <cell r="K174" t="str">
            <v>MSNEYK</v>
          </cell>
          <cell r="L174">
            <v>50</v>
          </cell>
          <cell r="M174" t="str">
            <v>ＭＳＮ　ＥＹＫ</v>
          </cell>
          <cell r="N174">
            <v>1200</v>
          </cell>
          <cell r="O174">
            <v>1190</v>
          </cell>
          <cell r="P174">
            <v>6000</v>
          </cell>
          <cell r="Q174">
            <v>2</v>
          </cell>
          <cell r="R174">
            <v>8</v>
          </cell>
          <cell r="S174" t="str">
            <v>本</v>
          </cell>
          <cell r="T174">
            <v>44704</v>
          </cell>
          <cell r="U174">
            <v>44733</v>
          </cell>
          <cell r="V174" t="str">
            <v>㈱須賀川東部鏡石</v>
          </cell>
          <cell r="W174"/>
          <cell r="X174"/>
        </row>
        <row r="175">
          <cell r="A175">
            <v>3663226</v>
          </cell>
          <cell r="B175" t="str">
            <v>福島コーティング</v>
          </cell>
          <cell r="C175" t="str">
            <v>大阪光学機能材課</v>
          </cell>
          <cell r="D175" t="str">
            <v>ダミー担当者</v>
          </cell>
          <cell r="E175" t="str">
            <v>五洋紙工㈱</v>
          </cell>
          <cell r="F175">
            <v>3</v>
          </cell>
          <cell r="G175" t="str">
            <v>S</v>
          </cell>
          <cell r="H175" t="str">
            <v>N</v>
          </cell>
          <cell r="I175" t="str">
            <v>MLB</v>
          </cell>
          <cell r="J175"/>
          <cell r="K175" t="str">
            <v>MDMSJF</v>
          </cell>
          <cell r="L175">
            <v>50</v>
          </cell>
          <cell r="M175" t="str">
            <v>ＤＭＳ蒸着（Ｘ－４４）</v>
          </cell>
          <cell r="N175">
            <v>1000</v>
          </cell>
          <cell r="O175">
            <v>1000</v>
          </cell>
          <cell r="P175">
            <v>2000</v>
          </cell>
          <cell r="Q175">
            <v>2</v>
          </cell>
          <cell r="R175">
            <v>4</v>
          </cell>
          <cell r="S175" t="str">
            <v>本</v>
          </cell>
          <cell r="T175">
            <v>44706</v>
          </cell>
          <cell r="U175">
            <v>44742</v>
          </cell>
          <cell r="V175" t="str">
            <v>㈱須賀川東部鏡石</v>
          </cell>
          <cell r="W175"/>
          <cell r="X175"/>
        </row>
        <row r="176">
          <cell r="A176">
            <v>3664159</v>
          </cell>
          <cell r="B176" t="str">
            <v>機能Ｆ　ラベル福島原</v>
          </cell>
          <cell r="C176" t="str">
            <v>プロセス材１課</v>
          </cell>
          <cell r="D176" t="str">
            <v>ダミー担当者</v>
          </cell>
          <cell r="E176" t="str">
            <v>リンテック㈱</v>
          </cell>
          <cell r="F176">
            <v>3</v>
          </cell>
          <cell r="G176" t="str">
            <v>T</v>
          </cell>
          <cell r="H176" t="str">
            <v>N</v>
          </cell>
          <cell r="I176" t="str">
            <v>MCLB</v>
          </cell>
          <cell r="J176"/>
          <cell r="K176" t="str">
            <v>HLDTV</v>
          </cell>
          <cell r="L176">
            <v>50</v>
          </cell>
          <cell r="M176" t="str">
            <v>メタルミー　ＨＬ銅艶　Ｖ</v>
          </cell>
          <cell r="N176">
            <v>1000</v>
          </cell>
          <cell r="O176">
            <v>1000</v>
          </cell>
          <cell r="P176">
            <v>2000</v>
          </cell>
          <cell r="Q176">
            <v>2</v>
          </cell>
          <cell r="R176">
            <v>1</v>
          </cell>
          <cell r="S176" t="str">
            <v>本</v>
          </cell>
          <cell r="T176">
            <v>44712</v>
          </cell>
          <cell r="U176">
            <v>44742</v>
          </cell>
          <cell r="V176" t="str">
            <v>㈱須賀川東部鏡石</v>
          </cell>
          <cell r="W176"/>
          <cell r="X176"/>
        </row>
        <row r="177">
          <cell r="A177">
            <v>3664160</v>
          </cell>
          <cell r="B177" t="str">
            <v>機能Ｆ　ラベル福島原</v>
          </cell>
          <cell r="C177" t="str">
            <v>プロセス材１課</v>
          </cell>
          <cell r="D177" t="str">
            <v>ダミー担当者</v>
          </cell>
          <cell r="E177" t="str">
            <v>リンテック㈱</v>
          </cell>
          <cell r="F177">
            <v>3</v>
          </cell>
          <cell r="G177" t="str">
            <v>T</v>
          </cell>
          <cell r="H177" t="str">
            <v>N</v>
          </cell>
          <cell r="I177" t="str">
            <v>MCLB</v>
          </cell>
          <cell r="J177"/>
          <cell r="K177" t="str">
            <v>HLKTV</v>
          </cell>
          <cell r="L177">
            <v>50</v>
          </cell>
          <cell r="M177" t="str">
            <v>メタルミー　ヘヤライン金艶Ｖ</v>
          </cell>
          <cell r="N177">
            <v>1000</v>
          </cell>
          <cell r="O177">
            <v>1000</v>
          </cell>
          <cell r="P177">
            <v>2000</v>
          </cell>
          <cell r="Q177">
            <v>2</v>
          </cell>
          <cell r="R177">
            <v>1</v>
          </cell>
          <cell r="S177" t="str">
            <v>本</v>
          </cell>
          <cell r="T177">
            <v>44712</v>
          </cell>
          <cell r="U177">
            <v>44742</v>
          </cell>
          <cell r="V177" t="str">
            <v>㈱須賀川東部鏡石</v>
          </cell>
          <cell r="W177"/>
          <cell r="X177"/>
        </row>
        <row r="178">
          <cell r="A178">
            <v>3664161</v>
          </cell>
          <cell r="B178" t="str">
            <v>機能Ｆ　ラベル福島原</v>
          </cell>
          <cell r="C178" t="str">
            <v>プロセス材１課</v>
          </cell>
          <cell r="D178" t="str">
            <v>ダミー担当者</v>
          </cell>
          <cell r="E178" t="str">
            <v>リンテック㈱</v>
          </cell>
          <cell r="F178">
            <v>3</v>
          </cell>
          <cell r="G178" t="str">
            <v>T</v>
          </cell>
          <cell r="H178" t="str">
            <v>N</v>
          </cell>
          <cell r="I178" t="str">
            <v>MCLB</v>
          </cell>
          <cell r="J178"/>
          <cell r="K178" t="str">
            <v>HLKTV</v>
          </cell>
          <cell r="L178">
            <v>50</v>
          </cell>
          <cell r="M178" t="str">
            <v>メタルミー　ヘヤライン金艶Ｖ</v>
          </cell>
          <cell r="N178">
            <v>1000</v>
          </cell>
          <cell r="O178">
            <v>1000</v>
          </cell>
          <cell r="P178">
            <v>2000</v>
          </cell>
          <cell r="Q178">
            <v>2</v>
          </cell>
          <cell r="R178">
            <v>2</v>
          </cell>
          <cell r="S178" t="str">
            <v>本</v>
          </cell>
          <cell r="T178">
            <v>44712</v>
          </cell>
          <cell r="U178">
            <v>44742</v>
          </cell>
          <cell r="V178" t="str">
            <v>㈱須賀川東部鏡石</v>
          </cell>
          <cell r="W178"/>
          <cell r="X178"/>
        </row>
        <row r="179">
          <cell r="A179">
            <v>3664260</v>
          </cell>
          <cell r="B179" t="str">
            <v>福島コーティング</v>
          </cell>
          <cell r="C179" t="str">
            <v>プロセス材２課</v>
          </cell>
          <cell r="D179" t="str">
            <v>ダミー担当者</v>
          </cell>
          <cell r="E179" t="str">
            <v>大阪シーリング印刷㈱</v>
          </cell>
          <cell r="F179" t="str">
            <v>3H</v>
          </cell>
          <cell r="G179" t="str">
            <v>S</v>
          </cell>
          <cell r="H179" t="str">
            <v>N</v>
          </cell>
          <cell r="I179" t="str">
            <v>MCLB</v>
          </cell>
          <cell r="J179"/>
          <cell r="K179" t="str">
            <v>EYK</v>
          </cell>
          <cell r="L179">
            <v>50</v>
          </cell>
          <cell r="M179" t="str">
            <v>メタルミー　ＥＹＫ</v>
          </cell>
          <cell r="N179">
            <v>1190</v>
          </cell>
          <cell r="O179">
            <v>1190</v>
          </cell>
          <cell r="P179">
            <v>6000</v>
          </cell>
          <cell r="Q179">
            <v>2</v>
          </cell>
          <cell r="R179">
            <v>12</v>
          </cell>
          <cell r="S179" t="str">
            <v>本</v>
          </cell>
          <cell r="T179">
            <v>44714</v>
          </cell>
          <cell r="U179">
            <v>44742</v>
          </cell>
          <cell r="V179" t="str">
            <v>㈱須賀川東部鏡石</v>
          </cell>
          <cell r="W179"/>
          <cell r="X179"/>
        </row>
        <row r="180">
          <cell r="A180">
            <v>3664275</v>
          </cell>
          <cell r="B180" t="str">
            <v>福島コーティング</v>
          </cell>
          <cell r="C180" t="str">
            <v>プロセス材２課</v>
          </cell>
          <cell r="D180" t="str">
            <v>ダミー担当者</v>
          </cell>
          <cell r="E180" t="str">
            <v>新タック化成㈱</v>
          </cell>
          <cell r="F180">
            <v>3</v>
          </cell>
          <cell r="G180" t="str">
            <v>S</v>
          </cell>
          <cell r="H180" t="str">
            <v>N</v>
          </cell>
          <cell r="I180" t="str">
            <v>MCLB</v>
          </cell>
          <cell r="J180"/>
          <cell r="K180" t="str">
            <v>WCB</v>
          </cell>
          <cell r="L180">
            <v>50</v>
          </cell>
          <cell r="M180" t="str">
            <v>メタルミー　ホワイトコート　　　（Ｂ）</v>
          </cell>
          <cell r="N180">
            <v>1190</v>
          </cell>
          <cell r="O180">
            <v>1190</v>
          </cell>
          <cell r="P180">
            <v>5000</v>
          </cell>
          <cell r="Q180">
            <v>2</v>
          </cell>
          <cell r="R180">
            <v>2</v>
          </cell>
          <cell r="S180" t="str">
            <v>本</v>
          </cell>
          <cell r="T180">
            <v>44714</v>
          </cell>
          <cell r="U180">
            <v>44733</v>
          </cell>
          <cell r="V180" t="str">
            <v>福島工場ＣＯ２次スリ</v>
          </cell>
          <cell r="W180"/>
          <cell r="X180"/>
        </row>
        <row r="181">
          <cell r="A181">
            <v>3665620</v>
          </cell>
          <cell r="B181" t="str">
            <v>福島コーティング</v>
          </cell>
          <cell r="C181" t="str">
            <v>プロセス材１課</v>
          </cell>
          <cell r="D181" t="str">
            <v>ダミー担当者</v>
          </cell>
          <cell r="E181" t="str">
            <v>リンテック㈱</v>
          </cell>
          <cell r="F181">
            <v>3</v>
          </cell>
          <cell r="G181" t="str">
            <v>S</v>
          </cell>
          <cell r="H181" t="str">
            <v>Y</v>
          </cell>
          <cell r="I181" t="str">
            <v>MLB</v>
          </cell>
          <cell r="J181"/>
          <cell r="K181" t="str">
            <v>MSBBF</v>
          </cell>
          <cell r="L181">
            <v>50</v>
          </cell>
          <cell r="M181" t="str">
            <v>ＭＥＴＡＬＵＭＹ　ＳＩＬＶＥＲ　ＢＲＩＧＨＴ　Ｔ６２Ｍ　Ｂ</v>
          </cell>
          <cell r="N181">
            <v>1120</v>
          </cell>
          <cell r="O181">
            <v>1120</v>
          </cell>
          <cell r="P181">
            <v>5000</v>
          </cell>
          <cell r="Q181">
            <v>2</v>
          </cell>
          <cell r="R181">
            <v>2</v>
          </cell>
          <cell r="S181" t="str">
            <v>本</v>
          </cell>
          <cell r="T181">
            <v>44728</v>
          </cell>
          <cell r="U181">
            <v>44739</v>
          </cell>
          <cell r="V181" t="str">
            <v>㈱須賀川東部鏡石</v>
          </cell>
          <cell r="W181"/>
          <cell r="X181"/>
        </row>
        <row r="182">
          <cell r="A182">
            <v>3667093</v>
          </cell>
          <cell r="B182" t="str">
            <v>福島コーティング</v>
          </cell>
          <cell r="C182" t="str">
            <v>工材１部大阪電材課</v>
          </cell>
          <cell r="D182" t="str">
            <v>ダミー担当者</v>
          </cell>
          <cell r="E182" t="str">
            <v>日東電工㈱豊橋工場</v>
          </cell>
          <cell r="F182">
            <v>3</v>
          </cell>
          <cell r="G182" t="str">
            <v>S</v>
          </cell>
          <cell r="H182" t="str">
            <v>N</v>
          </cell>
          <cell r="I182" t="str">
            <v>MLB</v>
          </cell>
          <cell r="J182"/>
          <cell r="K182" t="str">
            <v>MTSF</v>
          </cell>
          <cell r="L182">
            <v>50</v>
          </cell>
          <cell r="M182" t="str">
            <v>メタルミー　ＴＳ</v>
          </cell>
          <cell r="N182">
            <v>1255</v>
          </cell>
          <cell r="O182">
            <v>1250</v>
          </cell>
          <cell r="P182">
            <v>2000</v>
          </cell>
          <cell r="Q182">
            <v>2</v>
          </cell>
          <cell r="R182">
            <v>12</v>
          </cell>
          <cell r="S182" t="str">
            <v>本</v>
          </cell>
          <cell r="T182">
            <v>44734</v>
          </cell>
          <cell r="U182">
            <v>44757</v>
          </cell>
          <cell r="V182" t="str">
            <v>㈱須賀川東部鏡石</v>
          </cell>
          <cell r="W182"/>
          <cell r="X182"/>
        </row>
        <row r="183">
          <cell r="A183">
            <v>3667095</v>
          </cell>
          <cell r="B183" t="str">
            <v>福島コーティング</v>
          </cell>
          <cell r="C183" t="str">
            <v>プロセス材１課</v>
          </cell>
          <cell r="D183" t="str">
            <v>ダミー担当者</v>
          </cell>
          <cell r="E183" t="str">
            <v>日精㈱東京支店</v>
          </cell>
          <cell r="F183">
            <v>3</v>
          </cell>
          <cell r="G183" t="str">
            <v>S</v>
          </cell>
          <cell r="H183" t="str">
            <v>N</v>
          </cell>
          <cell r="I183" t="str">
            <v>MLB</v>
          </cell>
          <cell r="J183"/>
          <cell r="K183" t="str">
            <v>MSF</v>
          </cell>
          <cell r="L183">
            <v>25</v>
          </cell>
          <cell r="M183" t="str">
            <v>メタルミー　Ｓ</v>
          </cell>
          <cell r="N183">
            <v>1240</v>
          </cell>
          <cell r="O183">
            <v>1240</v>
          </cell>
          <cell r="P183">
            <v>2000</v>
          </cell>
          <cell r="Q183">
            <v>1</v>
          </cell>
          <cell r="R183">
            <v>6</v>
          </cell>
          <cell r="S183" t="str">
            <v>本</v>
          </cell>
          <cell r="T183">
            <v>44734</v>
          </cell>
          <cell r="U183">
            <v>44757</v>
          </cell>
          <cell r="V183" t="str">
            <v>㈱須賀川東部鏡石</v>
          </cell>
          <cell r="W183"/>
          <cell r="X183"/>
        </row>
        <row r="184">
          <cell r="A184">
            <v>3667096</v>
          </cell>
          <cell r="B184" t="str">
            <v>福島コーティング</v>
          </cell>
          <cell r="C184" t="str">
            <v>プロセス材２課</v>
          </cell>
          <cell r="D184" t="str">
            <v>ダミー担当者</v>
          </cell>
          <cell r="E184" t="str">
            <v>大阪シーリング印刷㈱</v>
          </cell>
          <cell r="F184" t="str">
            <v>3H</v>
          </cell>
          <cell r="G184" t="str">
            <v>S</v>
          </cell>
          <cell r="H184" t="str">
            <v>N</v>
          </cell>
          <cell r="I184" t="str">
            <v>MCLB</v>
          </cell>
          <cell r="J184"/>
          <cell r="K184" t="str">
            <v>EYK</v>
          </cell>
          <cell r="L184">
            <v>50</v>
          </cell>
          <cell r="M184" t="str">
            <v>メタルミー　ＥＹＫ</v>
          </cell>
          <cell r="N184">
            <v>1190</v>
          </cell>
          <cell r="O184">
            <v>1190</v>
          </cell>
          <cell r="P184">
            <v>6000</v>
          </cell>
          <cell r="Q184">
            <v>2</v>
          </cell>
          <cell r="R184">
            <v>22</v>
          </cell>
          <cell r="S184" t="str">
            <v>本</v>
          </cell>
          <cell r="T184">
            <v>44734</v>
          </cell>
          <cell r="U184">
            <v>44757</v>
          </cell>
          <cell r="V184" t="str">
            <v>㈱須賀川東部鏡石</v>
          </cell>
          <cell r="W184"/>
          <cell r="X184"/>
        </row>
        <row r="185">
          <cell r="A185">
            <v>3667098</v>
          </cell>
          <cell r="B185" t="str">
            <v>機能Ｆ　ラベル福島原</v>
          </cell>
          <cell r="C185" t="str">
            <v>プロセス材２課</v>
          </cell>
          <cell r="D185" t="str">
            <v>ダミー担当者</v>
          </cell>
          <cell r="E185" t="str">
            <v>㈱ポラテクノ</v>
          </cell>
          <cell r="F185">
            <v>3</v>
          </cell>
          <cell r="G185" t="str">
            <v>T</v>
          </cell>
          <cell r="H185" t="str">
            <v>N</v>
          </cell>
          <cell r="I185" t="str">
            <v>DMS</v>
          </cell>
          <cell r="J185"/>
          <cell r="K185" t="str">
            <v>X42GPC</v>
          </cell>
          <cell r="L185">
            <v>50</v>
          </cell>
          <cell r="M185" t="str">
            <v>ＤＭＳ（Ｘ４２Ｇ）ＰＣ</v>
          </cell>
          <cell r="N185">
            <v>680</v>
          </cell>
          <cell r="O185">
            <v>680</v>
          </cell>
          <cell r="P185">
            <v>2000</v>
          </cell>
          <cell r="Q185">
            <v>2</v>
          </cell>
          <cell r="R185">
            <v>8</v>
          </cell>
          <cell r="S185" t="str">
            <v>本</v>
          </cell>
          <cell r="T185">
            <v>44734</v>
          </cell>
          <cell r="U185">
            <v>44757</v>
          </cell>
          <cell r="V185" t="str">
            <v>㈱須賀川東部鏡石</v>
          </cell>
          <cell r="W185"/>
          <cell r="X185"/>
        </row>
        <row r="186">
          <cell r="A186">
            <v>3667098</v>
          </cell>
          <cell r="B186" t="str">
            <v>機能Ｆ　ラベル福島原</v>
          </cell>
          <cell r="C186" t="str">
            <v>プロセス材２課</v>
          </cell>
          <cell r="D186" t="str">
            <v>ダミー担当者</v>
          </cell>
          <cell r="E186" t="str">
            <v>㈱ポラテクノ</v>
          </cell>
          <cell r="F186">
            <v>3</v>
          </cell>
          <cell r="G186" t="str">
            <v>T</v>
          </cell>
          <cell r="H186" t="str">
            <v>N</v>
          </cell>
          <cell r="I186" t="str">
            <v>DMS</v>
          </cell>
          <cell r="J186"/>
          <cell r="K186" t="str">
            <v>X42GPC</v>
          </cell>
          <cell r="L186">
            <v>50</v>
          </cell>
          <cell r="M186" t="str">
            <v>ＤＭＳ（Ｘ４２Ｇ）ＰＣ</v>
          </cell>
          <cell r="N186">
            <v>680</v>
          </cell>
          <cell r="O186">
            <v>680</v>
          </cell>
          <cell r="P186">
            <v>2000</v>
          </cell>
          <cell r="Q186">
            <v>2</v>
          </cell>
          <cell r="R186">
            <v>8</v>
          </cell>
          <cell r="S186" t="str">
            <v>本</v>
          </cell>
          <cell r="T186">
            <v>44734</v>
          </cell>
          <cell r="U186">
            <v>44757</v>
          </cell>
          <cell r="V186" t="str">
            <v>㈱須賀川東部鏡石</v>
          </cell>
          <cell r="W186"/>
          <cell r="X186"/>
        </row>
        <row r="187">
          <cell r="A187">
            <v>3667099</v>
          </cell>
          <cell r="B187" t="str">
            <v>福島コーティング</v>
          </cell>
          <cell r="C187" t="str">
            <v>プロセス材２課</v>
          </cell>
          <cell r="D187" t="str">
            <v>ダミー担当者</v>
          </cell>
          <cell r="E187" t="str">
            <v>マルウ接着㈱</v>
          </cell>
          <cell r="F187">
            <v>3</v>
          </cell>
          <cell r="G187" t="str">
            <v>S</v>
          </cell>
          <cell r="H187" t="str">
            <v>N</v>
          </cell>
          <cell r="I187" t="str">
            <v>MCLB</v>
          </cell>
          <cell r="J187"/>
          <cell r="K187" t="str">
            <v>MSNEYK</v>
          </cell>
          <cell r="L187">
            <v>100</v>
          </cell>
          <cell r="M187" t="str">
            <v>ＭＳＮ　ＥＹＫ</v>
          </cell>
          <cell r="N187">
            <v>1205</v>
          </cell>
          <cell r="O187">
            <v>1205</v>
          </cell>
          <cell r="P187">
            <v>2500</v>
          </cell>
          <cell r="Q187">
            <v>2</v>
          </cell>
          <cell r="R187">
            <v>4</v>
          </cell>
          <cell r="S187" t="str">
            <v>本</v>
          </cell>
          <cell r="T187">
            <v>44734</v>
          </cell>
          <cell r="U187">
            <v>44757</v>
          </cell>
          <cell r="V187" t="str">
            <v>㈱須賀川東部鏡石</v>
          </cell>
          <cell r="W187"/>
          <cell r="X187"/>
        </row>
        <row r="188">
          <cell r="A188">
            <v>3667100</v>
          </cell>
          <cell r="B188" t="str">
            <v>福島コーティング</v>
          </cell>
          <cell r="C188" t="str">
            <v>プロセス材２課</v>
          </cell>
          <cell r="D188" t="str">
            <v>ダミー担当者</v>
          </cell>
          <cell r="E188" t="str">
            <v>新タック化成㈱</v>
          </cell>
          <cell r="F188">
            <v>3</v>
          </cell>
          <cell r="G188" t="str">
            <v>S</v>
          </cell>
          <cell r="H188" t="str">
            <v>N</v>
          </cell>
          <cell r="I188" t="str">
            <v>CLB</v>
          </cell>
          <cell r="J188"/>
          <cell r="K188" t="str">
            <v>LEYK</v>
          </cell>
          <cell r="L188">
            <v>50</v>
          </cell>
          <cell r="M188" t="str">
            <v>ルミラー　ＥＹＫ</v>
          </cell>
          <cell r="N188">
            <v>1120</v>
          </cell>
          <cell r="O188">
            <v>1120</v>
          </cell>
          <cell r="P188">
            <v>6000</v>
          </cell>
          <cell r="Q188">
            <v>2</v>
          </cell>
          <cell r="R188">
            <v>6</v>
          </cell>
          <cell r="S188" t="str">
            <v>本</v>
          </cell>
          <cell r="T188">
            <v>44734</v>
          </cell>
          <cell r="U188">
            <v>44757</v>
          </cell>
          <cell r="V188" t="str">
            <v>㈱須賀川東部鏡石</v>
          </cell>
          <cell r="W188"/>
          <cell r="X188"/>
        </row>
        <row r="189">
          <cell r="A189">
            <v>3667101</v>
          </cell>
          <cell r="B189" t="str">
            <v>福島コーティング</v>
          </cell>
          <cell r="C189" t="str">
            <v>プロセス材２課</v>
          </cell>
          <cell r="D189" t="str">
            <v>ダミー担当者</v>
          </cell>
          <cell r="E189" t="str">
            <v>新タック化成㈱</v>
          </cell>
          <cell r="F189">
            <v>3</v>
          </cell>
          <cell r="G189" t="str">
            <v>S</v>
          </cell>
          <cell r="H189" t="str">
            <v>N</v>
          </cell>
          <cell r="I189" t="str">
            <v>MCLB</v>
          </cell>
          <cell r="J189"/>
          <cell r="K189" t="str">
            <v>EYK</v>
          </cell>
          <cell r="L189">
            <v>50</v>
          </cell>
          <cell r="M189" t="str">
            <v>メタルミー　ＥＹＫ</v>
          </cell>
          <cell r="N189">
            <v>1120</v>
          </cell>
          <cell r="O189">
            <v>1120</v>
          </cell>
          <cell r="P189">
            <v>6000</v>
          </cell>
          <cell r="Q189">
            <v>2</v>
          </cell>
          <cell r="R189">
            <v>1</v>
          </cell>
          <cell r="S189" t="str">
            <v>本</v>
          </cell>
          <cell r="T189">
            <v>44734</v>
          </cell>
          <cell r="U189">
            <v>44757</v>
          </cell>
          <cell r="V189" t="str">
            <v>㈱須賀川東部鏡石</v>
          </cell>
          <cell r="W189"/>
          <cell r="X189"/>
        </row>
        <row r="190">
          <cell r="A190">
            <v>3667102</v>
          </cell>
          <cell r="B190" t="str">
            <v>福島コーティング</v>
          </cell>
          <cell r="C190" t="str">
            <v>プロセス材２課</v>
          </cell>
          <cell r="D190" t="str">
            <v>ダミー担当者</v>
          </cell>
          <cell r="E190" t="str">
            <v>新タック化成㈱</v>
          </cell>
          <cell r="F190">
            <v>3</v>
          </cell>
          <cell r="G190" t="str">
            <v>S</v>
          </cell>
          <cell r="H190" t="str">
            <v>N</v>
          </cell>
          <cell r="I190" t="str">
            <v>MCLB</v>
          </cell>
          <cell r="J190"/>
          <cell r="K190" t="str">
            <v>MSNEYK</v>
          </cell>
          <cell r="L190">
            <v>25</v>
          </cell>
          <cell r="M190" t="str">
            <v>ＭＳＮ　ＥＹＫ</v>
          </cell>
          <cell r="N190">
            <v>1120</v>
          </cell>
          <cell r="O190">
            <v>1120</v>
          </cell>
          <cell r="P190">
            <v>4000</v>
          </cell>
          <cell r="Q190">
            <v>2</v>
          </cell>
          <cell r="R190">
            <v>4</v>
          </cell>
          <cell r="S190" t="str">
            <v>本</v>
          </cell>
          <cell r="T190">
            <v>44734</v>
          </cell>
          <cell r="U190">
            <v>44757</v>
          </cell>
          <cell r="V190" t="str">
            <v>㈱須賀川東部鏡石</v>
          </cell>
          <cell r="W190"/>
          <cell r="X190"/>
        </row>
        <row r="191">
          <cell r="A191">
            <v>3667103</v>
          </cell>
          <cell r="B191" t="str">
            <v>福島コーティング</v>
          </cell>
          <cell r="C191" t="str">
            <v>プロセス材２課</v>
          </cell>
          <cell r="D191" t="str">
            <v>ダミー担当者</v>
          </cell>
          <cell r="E191" t="str">
            <v>新タック化成㈱</v>
          </cell>
          <cell r="F191">
            <v>3</v>
          </cell>
          <cell r="G191" t="str">
            <v>S</v>
          </cell>
          <cell r="H191" t="str">
            <v>N</v>
          </cell>
          <cell r="I191" t="str">
            <v>MCLB</v>
          </cell>
          <cell r="J191"/>
          <cell r="K191" t="str">
            <v>MSNEYK</v>
          </cell>
          <cell r="L191">
            <v>50</v>
          </cell>
          <cell r="M191" t="str">
            <v>ＭＳＮ　ＥＹＫ</v>
          </cell>
          <cell r="N191">
            <v>1120</v>
          </cell>
          <cell r="O191">
            <v>1120</v>
          </cell>
          <cell r="P191">
            <v>4000</v>
          </cell>
          <cell r="Q191">
            <v>2</v>
          </cell>
          <cell r="R191">
            <v>6</v>
          </cell>
          <cell r="S191" t="str">
            <v>本</v>
          </cell>
          <cell r="T191">
            <v>44734</v>
          </cell>
          <cell r="U191">
            <v>44757</v>
          </cell>
          <cell r="V191" t="str">
            <v>㈱須賀川東部鏡石</v>
          </cell>
          <cell r="W191"/>
          <cell r="X191"/>
        </row>
        <row r="192">
          <cell r="A192">
            <v>3667104</v>
          </cell>
          <cell r="B192" t="str">
            <v>福島コーティング</v>
          </cell>
          <cell r="C192" t="str">
            <v>プロセス材１課</v>
          </cell>
          <cell r="D192" t="str">
            <v>ダミー担当者</v>
          </cell>
          <cell r="E192" t="str">
            <v>アジヤアルミ㈱</v>
          </cell>
          <cell r="F192">
            <v>3</v>
          </cell>
          <cell r="G192" t="str">
            <v>S</v>
          </cell>
          <cell r="H192" t="str">
            <v>N</v>
          </cell>
          <cell r="I192" t="str">
            <v>MLB</v>
          </cell>
          <cell r="J192"/>
          <cell r="K192" t="str">
            <v>MNSJF</v>
          </cell>
          <cell r="L192">
            <v>12</v>
          </cell>
          <cell r="M192" t="str">
            <v>ＮＳ蒸着</v>
          </cell>
          <cell r="N192">
            <v>1000</v>
          </cell>
          <cell r="O192">
            <v>1000</v>
          </cell>
          <cell r="P192">
            <v>6000</v>
          </cell>
          <cell r="Q192">
            <v>2</v>
          </cell>
          <cell r="R192">
            <v>4</v>
          </cell>
          <cell r="S192" t="str">
            <v>本</v>
          </cell>
          <cell r="T192">
            <v>44734</v>
          </cell>
          <cell r="U192">
            <v>44762</v>
          </cell>
          <cell r="V192" t="str">
            <v>㈱須賀川東部鏡石</v>
          </cell>
          <cell r="W192"/>
          <cell r="X192"/>
        </row>
        <row r="193">
          <cell r="A193">
            <v>3667105</v>
          </cell>
          <cell r="B193" t="str">
            <v>福島コーティング</v>
          </cell>
          <cell r="C193" t="str">
            <v>プロセス材１課</v>
          </cell>
          <cell r="D193" t="str">
            <v>ダミー担当者</v>
          </cell>
          <cell r="E193" t="str">
            <v>アジヤアルミ㈱</v>
          </cell>
          <cell r="F193">
            <v>3</v>
          </cell>
          <cell r="G193" t="str">
            <v>S</v>
          </cell>
          <cell r="H193" t="str">
            <v>N</v>
          </cell>
          <cell r="I193" t="str">
            <v>CLB</v>
          </cell>
          <cell r="J193"/>
          <cell r="K193" t="str">
            <v>LEYK</v>
          </cell>
          <cell r="L193">
            <v>38</v>
          </cell>
          <cell r="M193" t="str">
            <v>ルミラー　ＥＹＫ</v>
          </cell>
          <cell r="N193">
            <v>1125</v>
          </cell>
          <cell r="O193">
            <v>1120</v>
          </cell>
          <cell r="P193">
            <v>4000</v>
          </cell>
          <cell r="Q193">
            <v>2</v>
          </cell>
          <cell r="R193">
            <v>2</v>
          </cell>
          <cell r="S193" t="str">
            <v>本</v>
          </cell>
          <cell r="T193">
            <v>44734</v>
          </cell>
          <cell r="U193">
            <v>44750</v>
          </cell>
          <cell r="V193" t="str">
            <v>㈱須賀川東部鏡石</v>
          </cell>
          <cell r="W193"/>
          <cell r="X193"/>
        </row>
        <row r="194">
          <cell r="A194">
            <v>3667106</v>
          </cell>
          <cell r="B194" t="str">
            <v>福島コーティング</v>
          </cell>
          <cell r="C194" t="str">
            <v>プロセス材１課</v>
          </cell>
          <cell r="D194" t="str">
            <v>ダミー担当者</v>
          </cell>
          <cell r="E194" t="str">
            <v>リンテック㈱</v>
          </cell>
          <cell r="F194">
            <v>3</v>
          </cell>
          <cell r="G194" t="str">
            <v>S</v>
          </cell>
          <cell r="H194" t="str">
            <v>N</v>
          </cell>
          <cell r="I194" t="str">
            <v>MLB</v>
          </cell>
          <cell r="J194"/>
          <cell r="K194" t="str">
            <v>MNGKKBF</v>
          </cell>
          <cell r="L194">
            <v>25</v>
          </cell>
          <cell r="M194" t="str">
            <v>メタルミー　ネーマー銀消改　Ｂ</v>
          </cell>
          <cell r="N194">
            <v>1120</v>
          </cell>
          <cell r="O194">
            <v>1120</v>
          </cell>
          <cell r="P194">
            <v>4000</v>
          </cell>
          <cell r="Q194">
            <v>2</v>
          </cell>
          <cell r="R194">
            <v>4</v>
          </cell>
          <cell r="S194" t="str">
            <v>本</v>
          </cell>
          <cell r="T194">
            <v>44734</v>
          </cell>
          <cell r="U194">
            <v>44767</v>
          </cell>
          <cell r="V194" t="str">
            <v>㈱須賀川東部鏡石</v>
          </cell>
          <cell r="W194"/>
          <cell r="X194"/>
        </row>
        <row r="195">
          <cell r="A195">
            <v>3667107</v>
          </cell>
          <cell r="B195" t="str">
            <v>福島コーティング</v>
          </cell>
          <cell r="C195" t="str">
            <v>プロセス材１課</v>
          </cell>
          <cell r="D195" t="str">
            <v>ダミー担当者</v>
          </cell>
          <cell r="E195" t="str">
            <v>リンテック㈱</v>
          </cell>
          <cell r="F195">
            <v>3</v>
          </cell>
          <cell r="G195" t="str">
            <v>S</v>
          </cell>
          <cell r="H195" t="str">
            <v>Y</v>
          </cell>
          <cell r="I195" t="str">
            <v>MLB</v>
          </cell>
          <cell r="J195"/>
          <cell r="K195" t="str">
            <v>MNGKKBF</v>
          </cell>
          <cell r="L195">
            <v>25</v>
          </cell>
          <cell r="M195" t="str">
            <v>メタルミー　ネーマー銀消改　Ｂ</v>
          </cell>
          <cell r="N195">
            <v>1120</v>
          </cell>
          <cell r="O195">
            <v>1120</v>
          </cell>
          <cell r="P195">
            <v>4000</v>
          </cell>
          <cell r="Q195">
            <v>2</v>
          </cell>
          <cell r="R195">
            <v>2</v>
          </cell>
          <cell r="S195" t="str">
            <v>本</v>
          </cell>
          <cell r="T195">
            <v>44734</v>
          </cell>
          <cell r="U195">
            <v>44767</v>
          </cell>
          <cell r="V195" t="str">
            <v>㈱須賀川東部鏡石</v>
          </cell>
          <cell r="W195"/>
          <cell r="X195"/>
        </row>
        <row r="196">
          <cell r="A196">
            <v>3667108</v>
          </cell>
          <cell r="B196" t="str">
            <v>福島コーティング</v>
          </cell>
          <cell r="C196" t="str">
            <v>プロセス材１課</v>
          </cell>
          <cell r="D196" t="str">
            <v>ダミー担当者</v>
          </cell>
          <cell r="E196" t="str">
            <v>リンテック㈱</v>
          </cell>
          <cell r="F196">
            <v>3</v>
          </cell>
          <cell r="G196" t="str">
            <v>S</v>
          </cell>
          <cell r="H196" t="str">
            <v>N</v>
          </cell>
          <cell r="I196" t="str">
            <v>MLB</v>
          </cell>
          <cell r="J196"/>
          <cell r="K196" t="str">
            <v>MNGKKBF</v>
          </cell>
          <cell r="L196">
            <v>50</v>
          </cell>
          <cell r="M196" t="str">
            <v>メタルミー　ネーマー銀消改　Ｂ</v>
          </cell>
          <cell r="N196">
            <v>1000</v>
          </cell>
          <cell r="O196">
            <v>1000</v>
          </cell>
          <cell r="P196">
            <v>4000</v>
          </cell>
          <cell r="Q196">
            <v>2</v>
          </cell>
          <cell r="R196">
            <v>2</v>
          </cell>
          <cell r="S196" t="str">
            <v>本</v>
          </cell>
          <cell r="T196">
            <v>44734</v>
          </cell>
          <cell r="U196">
            <v>44761</v>
          </cell>
          <cell r="V196" t="str">
            <v>㈱須賀川東部鏡石</v>
          </cell>
          <cell r="W196"/>
          <cell r="X196"/>
        </row>
        <row r="197">
          <cell r="A197">
            <v>3667109</v>
          </cell>
          <cell r="B197" t="str">
            <v>福島コーティング</v>
          </cell>
          <cell r="C197" t="str">
            <v>プロセス材１課</v>
          </cell>
          <cell r="D197" t="str">
            <v>ダミー担当者</v>
          </cell>
          <cell r="E197" t="str">
            <v>リンテック㈱</v>
          </cell>
          <cell r="F197">
            <v>3</v>
          </cell>
          <cell r="G197" t="str">
            <v>S</v>
          </cell>
          <cell r="H197" t="str">
            <v>N</v>
          </cell>
          <cell r="I197" t="str">
            <v>MLB</v>
          </cell>
          <cell r="J197"/>
          <cell r="K197" t="str">
            <v>MNGKKBF</v>
          </cell>
          <cell r="L197">
            <v>50</v>
          </cell>
          <cell r="M197" t="str">
            <v>メタルミー　ネーマー銀消改　Ｂ</v>
          </cell>
          <cell r="N197">
            <v>1120</v>
          </cell>
          <cell r="O197">
            <v>1120</v>
          </cell>
          <cell r="P197">
            <v>4000</v>
          </cell>
          <cell r="Q197">
            <v>2</v>
          </cell>
          <cell r="R197">
            <v>8</v>
          </cell>
          <cell r="S197" t="str">
            <v>本</v>
          </cell>
          <cell r="T197">
            <v>44734</v>
          </cell>
          <cell r="U197">
            <v>44774</v>
          </cell>
          <cell r="V197" t="str">
            <v>㈱須賀川東部鏡石</v>
          </cell>
          <cell r="W197"/>
          <cell r="X197"/>
        </row>
        <row r="198">
          <cell r="A198">
            <v>3667110</v>
          </cell>
          <cell r="B198" t="str">
            <v>福島コーティング</v>
          </cell>
          <cell r="C198" t="str">
            <v>プロセス材１課</v>
          </cell>
          <cell r="D198" t="str">
            <v>ダミー担当者</v>
          </cell>
          <cell r="E198" t="str">
            <v>リンテック㈱</v>
          </cell>
          <cell r="F198">
            <v>3</v>
          </cell>
          <cell r="G198" t="str">
            <v>S</v>
          </cell>
          <cell r="H198" t="str">
            <v>N</v>
          </cell>
          <cell r="I198" t="str">
            <v>MLB</v>
          </cell>
          <cell r="J198"/>
          <cell r="K198" t="str">
            <v>MNGKKBF</v>
          </cell>
          <cell r="L198">
            <v>50</v>
          </cell>
          <cell r="M198" t="str">
            <v>メタルミー　ネーマー銀消改　Ｂ</v>
          </cell>
          <cell r="N198">
            <v>1120</v>
          </cell>
          <cell r="O198">
            <v>1120</v>
          </cell>
          <cell r="P198">
            <v>4000</v>
          </cell>
          <cell r="Q198">
            <v>2</v>
          </cell>
          <cell r="R198">
            <v>8</v>
          </cell>
          <cell r="S198" t="str">
            <v>本</v>
          </cell>
          <cell r="T198">
            <v>44734</v>
          </cell>
          <cell r="U198">
            <v>44774</v>
          </cell>
          <cell r="V198" t="str">
            <v>㈱須賀川東部鏡石</v>
          </cell>
          <cell r="W198"/>
          <cell r="X198"/>
        </row>
        <row r="199">
          <cell r="A199">
            <v>3667111</v>
          </cell>
          <cell r="B199" t="str">
            <v>福島コーティング</v>
          </cell>
          <cell r="C199" t="str">
            <v>プロセス材１課</v>
          </cell>
          <cell r="D199" t="str">
            <v>ダミー担当者</v>
          </cell>
          <cell r="E199" t="str">
            <v>リンテック㈱</v>
          </cell>
          <cell r="F199">
            <v>3</v>
          </cell>
          <cell r="G199" t="str">
            <v>S</v>
          </cell>
          <cell r="H199" t="str">
            <v>N</v>
          </cell>
          <cell r="I199" t="str">
            <v>MLB</v>
          </cell>
          <cell r="J199"/>
          <cell r="K199" t="str">
            <v>MNGKKBF</v>
          </cell>
          <cell r="L199">
            <v>50</v>
          </cell>
          <cell r="M199" t="str">
            <v>メタルミー　ネーマー銀消改　Ｂ</v>
          </cell>
          <cell r="N199">
            <v>1120</v>
          </cell>
          <cell r="O199">
            <v>1120</v>
          </cell>
          <cell r="P199">
            <v>4000</v>
          </cell>
          <cell r="Q199">
            <v>2</v>
          </cell>
          <cell r="R199">
            <v>4</v>
          </cell>
          <cell r="S199" t="str">
            <v>本</v>
          </cell>
          <cell r="T199">
            <v>44734</v>
          </cell>
          <cell r="U199">
            <v>44774</v>
          </cell>
          <cell r="V199" t="str">
            <v>㈱須賀川東部鏡石</v>
          </cell>
          <cell r="W199"/>
          <cell r="X199"/>
        </row>
        <row r="200">
          <cell r="A200">
            <v>3667112</v>
          </cell>
          <cell r="B200" t="str">
            <v>福島コーティング</v>
          </cell>
          <cell r="C200" t="str">
            <v>プロセス材１課</v>
          </cell>
          <cell r="D200" t="str">
            <v>ダミー担当者</v>
          </cell>
          <cell r="E200" t="str">
            <v>リンテック㈱</v>
          </cell>
          <cell r="F200">
            <v>3</v>
          </cell>
          <cell r="G200" t="str">
            <v>S</v>
          </cell>
          <cell r="H200" t="str">
            <v>N</v>
          </cell>
          <cell r="I200" t="str">
            <v>MLB</v>
          </cell>
          <cell r="J200"/>
          <cell r="K200" t="str">
            <v>MNGKKBF</v>
          </cell>
          <cell r="L200">
            <v>50</v>
          </cell>
          <cell r="M200" t="str">
            <v>メタルミー　ネーマー銀消改　Ｂ</v>
          </cell>
          <cell r="N200">
            <v>1120</v>
          </cell>
          <cell r="O200">
            <v>1120</v>
          </cell>
          <cell r="P200">
            <v>4000</v>
          </cell>
          <cell r="Q200">
            <v>2</v>
          </cell>
          <cell r="R200">
            <v>8</v>
          </cell>
          <cell r="S200" t="str">
            <v>本</v>
          </cell>
          <cell r="T200">
            <v>44734</v>
          </cell>
          <cell r="U200">
            <v>44781</v>
          </cell>
          <cell r="V200" t="str">
            <v>㈱須賀川東部鏡石</v>
          </cell>
          <cell r="W200"/>
          <cell r="X200"/>
        </row>
        <row r="201">
          <cell r="A201">
            <v>3667113</v>
          </cell>
          <cell r="B201" t="str">
            <v>福島コーティング</v>
          </cell>
          <cell r="C201" t="str">
            <v>プロセス材１課</v>
          </cell>
          <cell r="D201" t="str">
            <v>ダミー担当者</v>
          </cell>
          <cell r="E201" t="str">
            <v>リンテック㈱</v>
          </cell>
          <cell r="F201">
            <v>3</v>
          </cell>
          <cell r="G201" t="str">
            <v>S</v>
          </cell>
          <cell r="H201" t="str">
            <v>N</v>
          </cell>
          <cell r="I201" t="str">
            <v>MLB</v>
          </cell>
          <cell r="J201"/>
          <cell r="K201" t="str">
            <v>MNGKKBF</v>
          </cell>
          <cell r="L201">
            <v>50</v>
          </cell>
          <cell r="M201" t="str">
            <v>メタルミー　ネーマー銀消改　Ｂ</v>
          </cell>
          <cell r="N201">
            <v>1120</v>
          </cell>
          <cell r="O201">
            <v>1120</v>
          </cell>
          <cell r="P201">
            <v>4000</v>
          </cell>
          <cell r="Q201">
            <v>2</v>
          </cell>
          <cell r="R201">
            <v>8</v>
          </cell>
          <cell r="S201" t="str">
            <v>本</v>
          </cell>
          <cell r="T201">
            <v>44734</v>
          </cell>
          <cell r="U201">
            <v>44790</v>
          </cell>
          <cell r="V201" t="str">
            <v>㈱須賀川東部鏡石</v>
          </cell>
          <cell r="W201"/>
          <cell r="X201"/>
        </row>
        <row r="202">
          <cell r="A202">
            <v>3667114</v>
          </cell>
          <cell r="B202" t="str">
            <v>福島コーティング</v>
          </cell>
          <cell r="C202" t="str">
            <v>プロセス材１課</v>
          </cell>
          <cell r="D202" t="str">
            <v>ダミー担当者</v>
          </cell>
          <cell r="E202" t="str">
            <v>リンテック㈱</v>
          </cell>
          <cell r="F202">
            <v>3</v>
          </cell>
          <cell r="G202" t="str">
            <v>S</v>
          </cell>
          <cell r="H202" t="str">
            <v>N</v>
          </cell>
          <cell r="I202" t="str">
            <v>MLB</v>
          </cell>
          <cell r="J202"/>
          <cell r="K202" t="str">
            <v>MNGKBF</v>
          </cell>
          <cell r="L202">
            <v>25</v>
          </cell>
          <cell r="M202" t="str">
            <v>メタルミー　ネーマー銀消　Ｂ　Ｇコート用</v>
          </cell>
          <cell r="N202">
            <v>1050</v>
          </cell>
          <cell r="O202">
            <v>1050</v>
          </cell>
          <cell r="P202">
            <v>4000</v>
          </cell>
          <cell r="Q202">
            <v>2</v>
          </cell>
          <cell r="R202">
            <v>2</v>
          </cell>
          <cell r="S202" t="str">
            <v>本</v>
          </cell>
          <cell r="T202">
            <v>44734</v>
          </cell>
          <cell r="U202">
            <v>44757</v>
          </cell>
          <cell r="V202" t="str">
            <v>㈱須賀川東部鏡石</v>
          </cell>
          <cell r="W202"/>
          <cell r="X202"/>
        </row>
        <row r="203">
          <cell r="A203">
            <v>3667115</v>
          </cell>
          <cell r="B203" t="str">
            <v>福島コーティング</v>
          </cell>
          <cell r="C203" t="str">
            <v>プロセス材１課</v>
          </cell>
          <cell r="D203" t="str">
            <v>ダミー担当者</v>
          </cell>
          <cell r="E203" t="str">
            <v>リンテック㈱</v>
          </cell>
          <cell r="F203">
            <v>3</v>
          </cell>
          <cell r="G203" t="str">
            <v>S</v>
          </cell>
          <cell r="H203" t="str">
            <v>N</v>
          </cell>
          <cell r="I203" t="str">
            <v>MLB</v>
          </cell>
          <cell r="J203"/>
          <cell r="K203" t="str">
            <v>MNGKBF</v>
          </cell>
          <cell r="L203">
            <v>50</v>
          </cell>
          <cell r="M203" t="str">
            <v>メタルミー　ネーマー銀消　Ｂ</v>
          </cell>
          <cell r="N203">
            <v>1050</v>
          </cell>
          <cell r="O203">
            <v>1050</v>
          </cell>
          <cell r="P203">
            <v>4100</v>
          </cell>
          <cell r="Q203">
            <v>2</v>
          </cell>
          <cell r="R203">
            <v>6</v>
          </cell>
          <cell r="S203" t="str">
            <v>本</v>
          </cell>
          <cell r="T203">
            <v>44734</v>
          </cell>
          <cell r="U203">
            <v>44757</v>
          </cell>
          <cell r="V203" t="str">
            <v>㈱須賀川東部鏡石</v>
          </cell>
          <cell r="W203"/>
          <cell r="X203"/>
        </row>
        <row r="204">
          <cell r="A204">
            <v>3667116</v>
          </cell>
          <cell r="B204" t="str">
            <v>福島コーティング</v>
          </cell>
          <cell r="C204" t="str">
            <v>プロセス材１課</v>
          </cell>
          <cell r="D204" t="str">
            <v>ダミー担当者</v>
          </cell>
          <cell r="E204" t="str">
            <v>リンテック㈱</v>
          </cell>
          <cell r="F204">
            <v>3</v>
          </cell>
          <cell r="G204" t="str">
            <v>S</v>
          </cell>
          <cell r="H204" t="str">
            <v>N</v>
          </cell>
          <cell r="I204" t="str">
            <v>MLB</v>
          </cell>
          <cell r="J204"/>
          <cell r="K204" t="str">
            <v>MNGKBF</v>
          </cell>
          <cell r="L204">
            <v>75</v>
          </cell>
          <cell r="M204" t="str">
            <v>メタルミー　ネーマー銀消　Ｂ</v>
          </cell>
          <cell r="N204">
            <v>1050</v>
          </cell>
          <cell r="O204">
            <v>1050</v>
          </cell>
          <cell r="P204">
            <v>2000</v>
          </cell>
          <cell r="Q204">
            <v>2</v>
          </cell>
          <cell r="R204">
            <v>2</v>
          </cell>
          <cell r="S204" t="str">
            <v>本</v>
          </cell>
          <cell r="T204">
            <v>44734</v>
          </cell>
          <cell r="U204">
            <v>44757</v>
          </cell>
          <cell r="V204" t="str">
            <v>㈱須賀川東部鏡石</v>
          </cell>
          <cell r="W204"/>
          <cell r="X204"/>
        </row>
        <row r="205">
          <cell r="A205">
            <v>3667117</v>
          </cell>
          <cell r="B205" t="str">
            <v>福島コーティング</v>
          </cell>
          <cell r="C205" t="str">
            <v>プロセス材１課</v>
          </cell>
          <cell r="D205" t="str">
            <v>ダミー担当者</v>
          </cell>
          <cell r="E205" t="str">
            <v>リンテック㈱</v>
          </cell>
          <cell r="F205">
            <v>3</v>
          </cell>
          <cell r="G205" t="str">
            <v>S</v>
          </cell>
          <cell r="H205" t="str">
            <v>N</v>
          </cell>
          <cell r="I205" t="str">
            <v>MCLB</v>
          </cell>
          <cell r="J205"/>
          <cell r="K205" t="str">
            <v>NGKVB</v>
          </cell>
          <cell r="L205">
            <v>50</v>
          </cell>
          <cell r="M205" t="str">
            <v>メタルミー　ネーマー銀消　ＶＢ</v>
          </cell>
          <cell r="N205">
            <v>1005</v>
          </cell>
          <cell r="O205">
            <v>1000</v>
          </cell>
          <cell r="P205">
            <v>4000</v>
          </cell>
          <cell r="Q205">
            <v>2</v>
          </cell>
          <cell r="R205">
            <v>3</v>
          </cell>
          <cell r="S205" t="str">
            <v>本</v>
          </cell>
          <cell r="T205">
            <v>44734</v>
          </cell>
          <cell r="U205">
            <v>44757</v>
          </cell>
          <cell r="V205" t="str">
            <v>㈱須賀川東部鏡石</v>
          </cell>
          <cell r="W205"/>
          <cell r="X205"/>
        </row>
        <row r="206">
          <cell r="A206">
            <v>3667119</v>
          </cell>
          <cell r="B206" t="str">
            <v>福島コーティング</v>
          </cell>
          <cell r="C206" t="str">
            <v>プロセス材１課</v>
          </cell>
          <cell r="D206" t="str">
            <v>ダミー担当者</v>
          </cell>
          <cell r="E206" t="str">
            <v>リンテック㈱</v>
          </cell>
          <cell r="F206">
            <v>3</v>
          </cell>
          <cell r="G206" t="str">
            <v>S</v>
          </cell>
          <cell r="H206" t="str">
            <v>N</v>
          </cell>
          <cell r="I206" t="str">
            <v>MLB</v>
          </cell>
          <cell r="J206"/>
          <cell r="K206" t="str">
            <v>MNGTBF</v>
          </cell>
          <cell r="L206">
            <v>25</v>
          </cell>
          <cell r="M206" t="str">
            <v>メタルミー　ネーマー　銀艶　Ｂ</v>
          </cell>
          <cell r="N206">
            <v>1005</v>
          </cell>
          <cell r="O206">
            <v>1000</v>
          </cell>
          <cell r="P206">
            <v>4000</v>
          </cell>
          <cell r="Q206">
            <v>2</v>
          </cell>
          <cell r="R206">
            <v>15</v>
          </cell>
          <cell r="S206" t="str">
            <v>本</v>
          </cell>
          <cell r="T206">
            <v>44734</v>
          </cell>
          <cell r="U206">
            <v>44767</v>
          </cell>
          <cell r="V206" t="str">
            <v>㈱須賀川東部鏡石</v>
          </cell>
          <cell r="W206"/>
          <cell r="X206"/>
        </row>
        <row r="207">
          <cell r="A207">
            <v>3667120</v>
          </cell>
          <cell r="B207" t="str">
            <v>福島コーティング</v>
          </cell>
          <cell r="C207" t="str">
            <v>プロセス材１課</v>
          </cell>
          <cell r="D207" t="str">
            <v>ダミー担当者</v>
          </cell>
          <cell r="E207" t="str">
            <v>リンテック㈱</v>
          </cell>
          <cell r="F207">
            <v>3</v>
          </cell>
          <cell r="G207" t="str">
            <v>S</v>
          </cell>
          <cell r="H207" t="str">
            <v>N</v>
          </cell>
          <cell r="I207" t="str">
            <v>MLB</v>
          </cell>
          <cell r="J207"/>
          <cell r="K207" t="str">
            <v>MNGTBF</v>
          </cell>
          <cell r="L207">
            <v>50</v>
          </cell>
          <cell r="M207" t="str">
            <v>メタルミー　ネーマー　銀艶　Ｂ</v>
          </cell>
          <cell r="N207">
            <v>1120</v>
          </cell>
          <cell r="O207">
            <v>1120</v>
          </cell>
          <cell r="P207">
            <v>5000</v>
          </cell>
          <cell r="Q207">
            <v>2</v>
          </cell>
          <cell r="R207">
            <v>12</v>
          </cell>
          <cell r="S207" t="str">
            <v>本</v>
          </cell>
          <cell r="T207">
            <v>44734</v>
          </cell>
          <cell r="U207">
            <v>44762</v>
          </cell>
          <cell r="V207" t="str">
            <v>㈱須賀川東部鏡石</v>
          </cell>
          <cell r="W207"/>
          <cell r="X207"/>
        </row>
        <row r="208">
          <cell r="A208">
            <v>3667121</v>
          </cell>
          <cell r="B208" t="str">
            <v>福島コーティング</v>
          </cell>
          <cell r="C208" t="str">
            <v>プロセス材１課</v>
          </cell>
          <cell r="D208" t="str">
            <v>ダミー担当者</v>
          </cell>
          <cell r="E208" t="str">
            <v>リンテック㈱</v>
          </cell>
          <cell r="F208">
            <v>3</v>
          </cell>
          <cell r="G208" t="str">
            <v>S</v>
          </cell>
          <cell r="H208" t="str">
            <v>N</v>
          </cell>
          <cell r="I208" t="str">
            <v>MLB</v>
          </cell>
          <cell r="J208"/>
          <cell r="K208" t="str">
            <v>MNGTBF</v>
          </cell>
          <cell r="L208">
            <v>50</v>
          </cell>
          <cell r="M208" t="str">
            <v>メタルミー　ネーマー　銀艶　Ｂ</v>
          </cell>
          <cell r="N208">
            <v>1120</v>
          </cell>
          <cell r="O208">
            <v>1120</v>
          </cell>
          <cell r="P208">
            <v>5000</v>
          </cell>
          <cell r="Q208">
            <v>2</v>
          </cell>
          <cell r="R208">
            <v>12</v>
          </cell>
          <cell r="S208" t="str">
            <v>本</v>
          </cell>
          <cell r="T208">
            <v>44734</v>
          </cell>
          <cell r="U208">
            <v>44774</v>
          </cell>
          <cell r="V208" t="str">
            <v>㈱須賀川東部鏡石</v>
          </cell>
          <cell r="W208"/>
          <cell r="X208"/>
        </row>
        <row r="209">
          <cell r="A209">
            <v>3667122</v>
          </cell>
          <cell r="B209" t="str">
            <v>福島コーティング</v>
          </cell>
          <cell r="C209" t="str">
            <v>プロセス材１課</v>
          </cell>
          <cell r="D209" t="str">
            <v>ダミー担当者</v>
          </cell>
          <cell r="E209" t="str">
            <v>リンテック㈱</v>
          </cell>
          <cell r="F209">
            <v>3</v>
          </cell>
          <cell r="G209" t="str">
            <v>S</v>
          </cell>
          <cell r="H209" t="str">
            <v>N</v>
          </cell>
          <cell r="I209" t="str">
            <v>MLB</v>
          </cell>
          <cell r="J209"/>
          <cell r="K209" t="str">
            <v>MNGTBF</v>
          </cell>
          <cell r="L209">
            <v>50</v>
          </cell>
          <cell r="M209" t="str">
            <v>メタルミー　ネーマー　銀艶　Ｂ</v>
          </cell>
          <cell r="N209">
            <v>1120</v>
          </cell>
          <cell r="O209">
            <v>1120</v>
          </cell>
          <cell r="P209">
            <v>5000</v>
          </cell>
          <cell r="Q209">
            <v>2</v>
          </cell>
          <cell r="R209">
            <v>12</v>
          </cell>
          <cell r="S209" t="str">
            <v>本</v>
          </cell>
          <cell r="T209">
            <v>44734</v>
          </cell>
          <cell r="U209">
            <v>44781</v>
          </cell>
          <cell r="V209" t="str">
            <v>㈱須賀川東部鏡石</v>
          </cell>
          <cell r="W209"/>
          <cell r="X209"/>
        </row>
        <row r="210">
          <cell r="A210">
            <v>3667123</v>
          </cell>
          <cell r="B210" t="str">
            <v>福島コーティング</v>
          </cell>
          <cell r="C210" t="str">
            <v>プロセス材１課</v>
          </cell>
          <cell r="D210" t="str">
            <v>ダミー担当者</v>
          </cell>
          <cell r="E210" t="str">
            <v>リンテック㈱</v>
          </cell>
          <cell r="F210">
            <v>3</v>
          </cell>
          <cell r="G210" t="str">
            <v>S</v>
          </cell>
          <cell r="H210" t="str">
            <v>N</v>
          </cell>
          <cell r="I210" t="str">
            <v>MLB</v>
          </cell>
          <cell r="J210"/>
          <cell r="K210" t="str">
            <v>MNGTBF</v>
          </cell>
          <cell r="L210">
            <v>50</v>
          </cell>
          <cell r="M210" t="str">
            <v>メタルミー　ネーマー　銀艶　Ｂ</v>
          </cell>
          <cell r="N210">
            <v>1120</v>
          </cell>
          <cell r="O210">
            <v>1120</v>
          </cell>
          <cell r="P210">
            <v>5000</v>
          </cell>
          <cell r="Q210">
            <v>2</v>
          </cell>
          <cell r="R210">
            <v>12</v>
          </cell>
          <cell r="S210" t="str">
            <v>本</v>
          </cell>
          <cell r="T210">
            <v>44734</v>
          </cell>
          <cell r="U210">
            <v>44790</v>
          </cell>
          <cell r="V210" t="str">
            <v>㈱須賀川東部鏡石</v>
          </cell>
          <cell r="W210"/>
          <cell r="X210"/>
        </row>
        <row r="211">
          <cell r="A211">
            <v>3667124</v>
          </cell>
          <cell r="B211" t="str">
            <v>福島コーティング</v>
          </cell>
          <cell r="C211" t="str">
            <v>プロセス材１課</v>
          </cell>
          <cell r="D211" t="str">
            <v>ダミー担当者</v>
          </cell>
          <cell r="E211" t="str">
            <v>リンテック㈱</v>
          </cell>
          <cell r="F211">
            <v>3</v>
          </cell>
          <cell r="G211" t="str">
            <v>S</v>
          </cell>
          <cell r="H211" t="str">
            <v>N</v>
          </cell>
          <cell r="I211" t="str">
            <v>MCLB</v>
          </cell>
          <cell r="J211"/>
          <cell r="K211" t="str">
            <v>NGTVB</v>
          </cell>
          <cell r="L211">
            <v>50</v>
          </cell>
          <cell r="M211" t="str">
            <v>メタルミー　ネーマー　銀艶ＶＢ</v>
          </cell>
          <cell r="N211">
            <v>1000</v>
          </cell>
          <cell r="O211">
            <v>1000</v>
          </cell>
          <cell r="P211">
            <v>3000</v>
          </cell>
          <cell r="Q211">
            <v>2</v>
          </cell>
          <cell r="R211">
            <v>2</v>
          </cell>
          <cell r="S211" t="str">
            <v>本</v>
          </cell>
          <cell r="T211">
            <v>44734</v>
          </cell>
          <cell r="U211">
            <v>44767</v>
          </cell>
          <cell r="V211" t="str">
            <v>㈱須賀川東部鏡石</v>
          </cell>
          <cell r="W211"/>
          <cell r="X211"/>
        </row>
        <row r="212">
          <cell r="A212">
            <v>3667125</v>
          </cell>
          <cell r="B212" t="str">
            <v>福島コーティング</v>
          </cell>
          <cell r="C212" t="str">
            <v>プロセス材１課</v>
          </cell>
          <cell r="D212" t="str">
            <v>ダミー担当者</v>
          </cell>
          <cell r="E212" t="str">
            <v>リンテック㈱</v>
          </cell>
          <cell r="F212">
            <v>3</v>
          </cell>
          <cell r="G212" t="str">
            <v>S</v>
          </cell>
          <cell r="H212" t="str">
            <v>N</v>
          </cell>
          <cell r="I212" t="str">
            <v>MLB</v>
          </cell>
          <cell r="J212"/>
          <cell r="K212" t="str">
            <v>MNNGKBF</v>
          </cell>
          <cell r="L212">
            <v>25</v>
          </cell>
          <cell r="M212" t="str">
            <v>メタルミー　ニューネーマー銀消　Ｂ</v>
          </cell>
          <cell r="N212">
            <v>1005</v>
          </cell>
          <cell r="O212">
            <v>1000</v>
          </cell>
          <cell r="P212">
            <v>4000</v>
          </cell>
          <cell r="Q212">
            <v>2</v>
          </cell>
          <cell r="R212">
            <v>2</v>
          </cell>
          <cell r="S212" t="str">
            <v>本</v>
          </cell>
          <cell r="T212">
            <v>44734</v>
          </cell>
          <cell r="U212">
            <v>44767</v>
          </cell>
          <cell r="V212" t="str">
            <v>㈱須賀川東部鏡石</v>
          </cell>
          <cell r="W212"/>
          <cell r="X212"/>
        </row>
        <row r="213">
          <cell r="A213">
            <v>3667126</v>
          </cell>
          <cell r="B213" t="str">
            <v>福島コーティング</v>
          </cell>
          <cell r="C213" t="str">
            <v>プロセス材１課</v>
          </cell>
          <cell r="D213" t="str">
            <v>ダミー担当者</v>
          </cell>
          <cell r="E213" t="str">
            <v>リンテック㈱</v>
          </cell>
          <cell r="F213">
            <v>3</v>
          </cell>
          <cell r="G213" t="str">
            <v>S</v>
          </cell>
          <cell r="H213" t="str">
            <v>N</v>
          </cell>
          <cell r="I213" t="str">
            <v>MLB</v>
          </cell>
          <cell r="J213"/>
          <cell r="K213" t="str">
            <v>MNNGKBF</v>
          </cell>
          <cell r="L213">
            <v>50</v>
          </cell>
          <cell r="M213" t="str">
            <v>メタルミー　ニューネーマー銀消　Ｂ</v>
          </cell>
          <cell r="N213">
            <v>1000</v>
          </cell>
          <cell r="O213">
            <v>1000</v>
          </cell>
          <cell r="P213">
            <v>4000</v>
          </cell>
          <cell r="Q213">
            <v>2</v>
          </cell>
          <cell r="R213">
            <v>15</v>
          </cell>
          <cell r="S213" t="str">
            <v>本</v>
          </cell>
          <cell r="T213">
            <v>44734</v>
          </cell>
          <cell r="U213">
            <v>44767</v>
          </cell>
          <cell r="V213" t="str">
            <v>㈱須賀川東部鏡石</v>
          </cell>
          <cell r="W213"/>
          <cell r="X213"/>
        </row>
        <row r="214">
          <cell r="A214">
            <v>3667127</v>
          </cell>
          <cell r="B214" t="str">
            <v>福島コーティング</v>
          </cell>
          <cell r="C214" t="str">
            <v>プロセス材１課</v>
          </cell>
          <cell r="D214" t="str">
            <v>ダミー担当者</v>
          </cell>
          <cell r="E214" t="str">
            <v>リンテック㈱</v>
          </cell>
          <cell r="F214" t="str">
            <v>33S</v>
          </cell>
          <cell r="G214" t="str">
            <v>S</v>
          </cell>
          <cell r="H214" t="str">
            <v>N</v>
          </cell>
          <cell r="I214" t="str">
            <v>MCLB</v>
          </cell>
          <cell r="J214"/>
          <cell r="K214" t="str">
            <v>TEKKFV</v>
          </cell>
          <cell r="L214">
            <v>50</v>
          </cell>
          <cell r="M214" t="str">
            <v>メタルミー　ＴＥＳ消開封　Ｖ</v>
          </cell>
          <cell r="N214">
            <v>1005</v>
          </cell>
          <cell r="O214">
            <v>1000</v>
          </cell>
          <cell r="P214">
            <v>4000</v>
          </cell>
          <cell r="Q214">
            <v>2</v>
          </cell>
          <cell r="R214">
            <v>6</v>
          </cell>
          <cell r="S214" t="str">
            <v>本</v>
          </cell>
          <cell r="T214">
            <v>44734</v>
          </cell>
          <cell r="U214">
            <v>44767</v>
          </cell>
          <cell r="V214" t="str">
            <v>㈱須賀川東部鏡石</v>
          </cell>
          <cell r="W214"/>
          <cell r="X214"/>
        </row>
        <row r="215">
          <cell r="A215">
            <v>3667128</v>
          </cell>
          <cell r="B215" t="str">
            <v>福島コーティング</v>
          </cell>
          <cell r="C215" t="str">
            <v>プロセス材１課</v>
          </cell>
          <cell r="D215" t="str">
            <v>ダミー担当者</v>
          </cell>
          <cell r="E215" t="str">
            <v>リンテック㈱</v>
          </cell>
          <cell r="F215" t="str">
            <v>33S</v>
          </cell>
          <cell r="G215" t="str">
            <v>S</v>
          </cell>
          <cell r="H215" t="str">
            <v>N</v>
          </cell>
          <cell r="I215" t="str">
            <v>MCLB</v>
          </cell>
          <cell r="J215"/>
          <cell r="K215" t="str">
            <v>TEKV0V</v>
          </cell>
          <cell r="L215">
            <v>50</v>
          </cell>
          <cell r="M215" t="str">
            <v>メタルミー　ＴＥ－Ｓ消　ＶＯＩＤ　Ｖ</v>
          </cell>
          <cell r="N215">
            <v>1005</v>
          </cell>
          <cell r="O215">
            <v>1000</v>
          </cell>
          <cell r="P215">
            <v>4000</v>
          </cell>
          <cell r="Q215">
            <v>2</v>
          </cell>
          <cell r="R215">
            <v>3</v>
          </cell>
          <cell r="S215" t="str">
            <v>本</v>
          </cell>
          <cell r="T215">
            <v>44734</v>
          </cell>
          <cell r="U215">
            <v>44767</v>
          </cell>
          <cell r="V215" t="str">
            <v>㈱須賀川東部鏡石</v>
          </cell>
          <cell r="W215"/>
          <cell r="X215"/>
        </row>
        <row r="216">
          <cell r="A216">
            <v>3667129</v>
          </cell>
          <cell r="B216" t="str">
            <v>福島コーティング</v>
          </cell>
          <cell r="C216" t="str">
            <v>プロセス材１課</v>
          </cell>
          <cell r="D216" t="str">
            <v>ダミー担当者</v>
          </cell>
          <cell r="E216" t="str">
            <v>リンテック㈱</v>
          </cell>
          <cell r="F216" t="str">
            <v>33S</v>
          </cell>
          <cell r="G216" t="str">
            <v>S</v>
          </cell>
          <cell r="H216" t="str">
            <v>N</v>
          </cell>
          <cell r="I216" t="str">
            <v>MCLB</v>
          </cell>
          <cell r="J216"/>
          <cell r="K216" t="str">
            <v>TETKFV</v>
          </cell>
          <cell r="L216">
            <v>50</v>
          </cell>
          <cell r="M216" t="str">
            <v>メタルミー　ＴＥＳ艶開封　Ｖ</v>
          </cell>
          <cell r="N216">
            <v>1005</v>
          </cell>
          <cell r="O216">
            <v>1000</v>
          </cell>
          <cell r="P216">
            <v>4000</v>
          </cell>
          <cell r="Q216">
            <v>2</v>
          </cell>
          <cell r="R216">
            <v>6</v>
          </cell>
          <cell r="S216" t="str">
            <v>本</v>
          </cell>
          <cell r="T216">
            <v>44734</v>
          </cell>
          <cell r="U216">
            <v>44767</v>
          </cell>
          <cell r="V216" t="str">
            <v>㈱須賀川東部鏡石</v>
          </cell>
          <cell r="W216"/>
          <cell r="X216"/>
        </row>
        <row r="217">
          <cell r="A217">
            <v>3667132</v>
          </cell>
          <cell r="B217" t="str">
            <v>福島コーティング</v>
          </cell>
          <cell r="C217" t="str">
            <v>プロセス材１課</v>
          </cell>
          <cell r="D217" t="str">
            <v>ダミー担当者</v>
          </cell>
          <cell r="E217" t="str">
            <v>リンテック㈱</v>
          </cell>
          <cell r="F217">
            <v>3</v>
          </cell>
          <cell r="G217" t="str">
            <v>S</v>
          </cell>
          <cell r="H217" t="str">
            <v>N</v>
          </cell>
          <cell r="I217" t="str">
            <v>MLB</v>
          </cell>
          <cell r="J217"/>
          <cell r="K217" t="str">
            <v>MNQR66F</v>
          </cell>
          <cell r="L217">
            <v>25</v>
          </cell>
          <cell r="M217" t="str">
            <v>ＱＲ６６蒸着品</v>
          </cell>
          <cell r="N217">
            <v>1000</v>
          </cell>
          <cell r="O217">
            <v>1000</v>
          </cell>
          <cell r="P217">
            <v>6000</v>
          </cell>
          <cell r="Q217">
            <v>2</v>
          </cell>
          <cell r="R217">
            <v>6</v>
          </cell>
          <cell r="S217" t="str">
            <v>本</v>
          </cell>
          <cell r="T217">
            <v>44734</v>
          </cell>
          <cell r="U217">
            <v>44774</v>
          </cell>
          <cell r="V217" t="str">
            <v>㈱須賀川東部鏡石</v>
          </cell>
          <cell r="W217"/>
          <cell r="X217"/>
        </row>
        <row r="218">
          <cell r="A218">
            <v>3667133</v>
          </cell>
          <cell r="B218" t="str">
            <v>福島コーティング</v>
          </cell>
          <cell r="C218" t="str">
            <v>プロセス材１課</v>
          </cell>
          <cell r="D218" t="str">
            <v>ダミー担当者</v>
          </cell>
          <cell r="E218" t="str">
            <v>リンテック㈱</v>
          </cell>
          <cell r="F218">
            <v>3</v>
          </cell>
          <cell r="G218" t="str">
            <v>S</v>
          </cell>
          <cell r="H218" t="str">
            <v>N</v>
          </cell>
          <cell r="I218" t="str">
            <v>MLB</v>
          </cell>
          <cell r="J218"/>
          <cell r="K218" t="str">
            <v>MNQR66F</v>
          </cell>
          <cell r="L218">
            <v>25</v>
          </cell>
          <cell r="M218" t="str">
            <v>ＱＲ６６蒸着品</v>
          </cell>
          <cell r="N218">
            <v>1100</v>
          </cell>
          <cell r="O218">
            <v>1100</v>
          </cell>
          <cell r="P218">
            <v>6000</v>
          </cell>
          <cell r="Q218">
            <v>2</v>
          </cell>
          <cell r="R218">
            <v>12</v>
          </cell>
          <cell r="S218" t="str">
            <v>本</v>
          </cell>
          <cell r="T218">
            <v>44734</v>
          </cell>
          <cell r="U218">
            <v>44774</v>
          </cell>
          <cell r="V218" t="str">
            <v>㈱須賀川東部鏡石</v>
          </cell>
          <cell r="W218"/>
          <cell r="X218"/>
        </row>
        <row r="219">
          <cell r="A219">
            <v>3667134</v>
          </cell>
          <cell r="B219" t="str">
            <v>福島コーティング</v>
          </cell>
          <cell r="C219" t="str">
            <v>プロセス材１課</v>
          </cell>
          <cell r="D219" t="str">
            <v>ダミー担当者</v>
          </cell>
          <cell r="E219" t="str">
            <v>リンテック㈱</v>
          </cell>
          <cell r="F219">
            <v>3</v>
          </cell>
          <cell r="G219" t="str">
            <v>S</v>
          </cell>
          <cell r="H219" t="str">
            <v>N</v>
          </cell>
          <cell r="I219" t="str">
            <v>MCLB</v>
          </cell>
          <cell r="J219"/>
          <cell r="K219" t="str">
            <v>HLGKJV</v>
          </cell>
          <cell r="L219">
            <v>50</v>
          </cell>
          <cell r="M219" t="str">
            <v>メタルミー　ヘヤライン　銀消Ｖ</v>
          </cell>
          <cell r="N219">
            <v>1005</v>
          </cell>
          <cell r="O219">
            <v>1000</v>
          </cell>
          <cell r="P219">
            <v>2000</v>
          </cell>
          <cell r="Q219">
            <v>2</v>
          </cell>
          <cell r="R219">
            <v>4</v>
          </cell>
          <cell r="S219" t="str">
            <v>本</v>
          </cell>
          <cell r="T219">
            <v>44734</v>
          </cell>
          <cell r="U219">
            <v>44767</v>
          </cell>
          <cell r="V219" t="str">
            <v>㈱須賀川東部鏡石</v>
          </cell>
          <cell r="W219"/>
          <cell r="X219"/>
        </row>
        <row r="220">
          <cell r="A220">
            <v>3667135</v>
          </cell>
          <cell r="B220" t="str">
            <v>福島コーティング</v>
          </cell>
          <cell r="C220" t="str">
            <v>プロセス材１課</v>
          </cell>
          <cell r="D220" t="str">
            <v>ダミー担当者</v>
          </cell>
          <cell r="E220" t="str">
            <v>リンテック㈱</v>
          </cell>
          <cell r="F220">
            <v>3</v>
          </cell>
          <cell r="G220" t="str">
            <v>S</v>
          </cell>
          <cell r="H220" t="str">
            <v>N</v>
          </cell>
          <cell r="I220" t="str">
            <v>MCLB</v>
          </cell>
          <cell r="J220"/>
          <cell r="K220" t="str">
            <v>HLGTV</v>
          </cell>
          <cell r="L220">
            <v>25</v>
          </cell>
          <cell r="M220" t="str">
            <v>メタルミー　ヘヤライン　銀艶Ｖ</v>
          </cell>
          <cell r="N220">
            <v>1005</v>
          </cell>
          <cell r="O220">
            <v>1000</v>
          </cell>
          <cell r="P220">
            <v>2000</v>
          </cell>
          <cell r="Q220">
            <v>2</v>
          </cell>
          <cell r="R220">
            <v>8</v>
          </cell>
          <cell r="S220" t="str">
            <v>本</v>
          </cell>
          <cell r="T220">
            <v>44734</v>
          </cell>
          <cell r="U220">
            <v>44767</v>
          </cell>
          <cell r="V220" t="str">
            <v>㈱須賀川東部鏡石</v>
          </cell>
          <cell r="W220"/>
          <cell r="X220"/>
        </row>
        <row r="221">
          <cell r="A221">
            <v>3667136</v>
          </cell>
          <cell r="B221" t="str">
            <v>福島コーティング</v>
          </cell>
          <cell r="C221" t="str">
            <v>プロセス材１課</v>
          </cell>
          <cell r="D221" t="str">
            <v>ダミー担当者</v>
          </cell>
          <cell r="E221" t="str">
            <v>リンテック㈱</v>
          </cell>
          <cell r="F221">
            <v>3</v>
          </cell>
          <cell r="G221" t="str">
            <v>S</v>
          </cell>
          <cell r="H221" t="str">
            <v>N</v>
          </cell>
          <cell r="I221" t="str">
            <v>MCLB</v>
          </cell>
          <cell r="J221"/>
          <cell r="K221" t="str">
            <v>HLGTV</v>
          </cell>
          <cell r="L221">
            <v>50</v>
          </cell>
          <cell r="M221" t="str">
            <v>メタルミー　ヘヤライン　銀艶Ｖ</v>
          </cell>
          <cell r="N221">
            <v>1005</v>
          </cell>
          <cell r="O221">
            <v>1000</v>
          </cell>
          <cell r="P221">
            <v>4000</v>
          </cell>
          <cell r="Q221">
            <v>2</v>
          </cell>
          <cell r="R221">
            <v>2</v>
          </cell>
          <cell r="S221" t="str">
            <v>本</v>
          </cell>
          <cell r="T221">
            <v>44734</v>
          </cell>
          <cell r="U221">
            <v>44767</v>
          </cell>
          <cell r="V221" t="str">
            <v>㈱須賀川東部鏡石</v>
          </cell>
          <cell r="W221"/>
          <cell r="X221"/>
        </row>
        <row r="222">
          <cell r="A222">
            <v>3667137</v>
          </cell>
          <cell r="B222" t="str">
            <v>福島コーティング</v>
          </cell>
          <cell r="C222" t="str">
            <v>プロセス材１課</v>
          </cell>
          <cell r="D222" t="str">
            <v>ダミー担当者</v>
          </cell>
          <cell r="E222" t="str">
            <v>リンテック㈱</v>
          </cell>
          <cell r="F222">
            <v>3</v>
          </cell>
          <cell r="G222" t="str">
            <v>S</v>
          </cell>
          <cell r="H222" t="str">
            <v>N</v>
          </cell>
          <cell r="I222" t="str">
            <v>MCLB</v>
          </cell>
          <cell r="J222"/>
          <cell r="K222" t="str">
            <v>HLGTV</v>
          </cell>
          <cell r="L222">
            <v>50</v>
          </cell>
          <cell r="M222" t="str">
            <v>メタルミー　ヘヤライン　銀艶Ｖ</v>
          </cell>
          <cell r="N222">
            <v>1125</v>
          </cell>
          <cell r="O222">
            <v>1120</v>
          </cell>
          <cell r="P222">
            <v>4000</v>
          </cell>
          <cell r="Q222">
            <v>2</v>
          </cell>
          <cell r="R222">
            <v>9</v>
          </cell>
          <cell r="S222" t="str">
            <v>本</v>
          </cell>
          <cell r="T222">
            <v>44734</v>
          </cell>
          <cell r="U222">
            <v>44767</v>
          </cell>
          <cell r="V222" t="str">
            <v>㈱須賀川東部鏡石</v>
          </cell>
          <cell r="W222"/>
          <cell r="X222"/>
        </row>
        <row r="223">
          <cell r="A223">
            <v>3667138</v>
          </cell>
          <cell r="B223" t="str">
            <v>福島コーティング</v>
          </cell>
          <cell r="C223" t="str">
            <v>プロセス材１課</v>
          </cell>
          <cell r="D223" t="str">
            <v>ダミー担当者</v>
          </cell>
          <cell r="E223" t="str">
            <v>リンテック㈱</v>
          </cell>
          <cell r="F223">
            <v>3</v>
          </cell>
          <cell r="G223" t="str">
            <v>S</v>
          </cell>
          <cell r="H223" t="str">
            <v>N</v>
          </cell>
          <cell r="I223" t="str">
            <v>CLB</v>
          </cell>
          <cell r="J223"/>
          <cell r="K223" t="str">
            <v>LMEYK</v>
          </cell>
          <cell r="L223">
            <v>38</v>
          </cell>
          <cell r="M223" t="str">
            <v>ルミマットＥＹＫ</v>
          </cell>
          <cell r="N223">
            <v>1005</v>
          </cell>
          <cell r="O223">
            <v>1000</v>
          </cell>
          <cell r="P223">
            <v>4000</v>
          </cell>
          <cell r="Q223">
            <v>2</v>
          </cell>
          <cell r="R223">
            <v>4</v>
          </cell>
          <cell r="S223" t="str">
            <v>本</v>
          </cell>
          <cell r="T223">
            <v>44734</v>
          </cell>
          <cell r="U223">
            <v>44767</v>
          </cell>
          <cell r="V223" t="str">
            <v>㈱須賀川東部鏡石</v>
          </cell>
          <cell r="W223"/>
          <cell r="X223"/>
        </row>
        <row r="224">
          <cell r="A224">
            <v>3667139</v>
          </cell>
          <cell r="B224" t="str">
            <v>福島コーティング</v>
          </cell>
          <cell r="C224" t="str">
            <v>プロセス材１課</v>
          </cell>
          <cell r="D224" t="str">
            <v>ダミー担当者</v>
          </cell>
          <cell r="E224" t="str">
            <v>リンテック㈱</v>
          </cell>
          <cell r="F224">
            <v>3</v>
          </cell>
          <cell r="G224" t="str">
            <v>S</v>
          </cell>
          <cell r="H224" t="str">
            <v>Y</v>
          </cell>
          <cell r="I224" t="str">
            <v>MLB</v>
          </cell>
          <cell r="J224"/>
          <cell r="K224" t="str">
            <v>MSSMBF</v>
          </cell>
          <cell r="L224">
            <v>25</v>
          </cell>
          <cell r="M224" t="str">
            <v>ＭＥＴＡＬＵＭＹ　ＳＩＬＶＥＲ　Ｓ－ＭＡＴＴＥ　Ｓ２８ＭＭ　Ｂ</v>
          </cell>
          <cell r="N224">
            <v>1120</v>
          </cell>
          <cell r="O224">
            <v>1120</v>
          </cell>
          <cell r="P224">
            <v>8000</v>
          </cell>
          <cell r="Q224">
            <v>2</v>
          </cell>
          <cell r="R224">
            <v>2</v>
          </cell>
          <cell r="S224" t="str">
            <v>本</v>
          </cell>
          <cell r="T224">
            <v>44734</v>
          </cell>
          <cell r="U224">
            <v>44753</v>
          </cell>
          <cell r="V224" t="str">
            <v>㈱須賀川東部鏡石</v>
          </cell>
          <cell r="W224"/>
          <cell r="X224"/>
        </row>
        <row r="225">
          <cell r="A225">
            <v>3667140</v>
          </cell>
          <cell r="B225" t="str">
            <v>福島コーティング</v>
          </cell>
          <cell r="C225" t="str">
            <v>プロセス材１課</v>
          </cell>
          <cell r="D225" t="str">
            <v>ダミー担当者</v>
          </cell>
          <cell r="E225" t="str">
            <v>リンテック㈱</v>
          </cell>
          <cell r="F225">
            <v>3</v>
          </cell>
          <cell r="G225" t="str">
            <v>S</v>
          </cell>
          <cell r="H225" t="str">
            <v>Y</v>
          </cell>
          <cell r="I225" t="str">
            <v>MLB</v>
          </cell>
          <cell r="J225"/>
          <cell r="K225" t="str">
            <v>MSNMBF</v>
          </cell>
          <cell r="L225">
            <v>50</v>
          </cell>
          <cell r="M225" t="str">
            <v>ＭＥＴＡＬＵＭＹ　ＳＩＬＶＥＲ　Ｎ－ＭＡＴＴＥ　Ｘ４４Ｍ　Ｂ</v>
          </cell>
          <cell r="N225">
            <v>1120</v>
          </cell>
          <cell r="O225">
            <v>1120</v>
          </cell>
          <cell r="P225">
            <v>4000</v>
          </cell>
          <cell r="Q225">
            <v>2</v>
          </cell>
          <cell r="R225">
            <v>9</v>
          </cell>
          <cell r="S225" t="str">
            <v>本</v>
          </cell>
          <cell r="T225">
            <v>44734</v>
          </cell>
          <cell r="U225">
            <v>44762</v>
          </cell>
          <cell r="V225" t="str">
            <v>㈱須賀川東部鏡石</v>
          </cell>
          <cell r="W225"/>
          <cell r="X225"/>
        </row>
        <row r="226">
          <cell r="A226">
            <v>3667141</v>
          </cell>
          <cell r="B226" t="str">
            <v>福島コーティング</v>
          </cell>
          <cell r="C226" t="str">
            <v>プロセス材１課</v>
          </cell>
          <cell r="D226" t="str">
            <v>ダミー担当者</v>
          </cell>
          <cell r="E226" t="str">
            <v>リンテック㈱</v>
          </cell>
          <cell r="F226">
            <v>3</v>
          </cell>
          <cell r="G226" t="str">
            <v>S</v>
          </cell>
          <cell r="H226" t="str">
            <v>Y</v>
          </cell>
          <cell r="I226" t="str">
            <v>MLB</v>
          </cell>
          <cell r="J226"/>
          <cell r="K226" t="str">
            <v>MSBBF</v>
          </cell>
          <cell r="L226">
            <v>25</v>
          </cell>
          <cell r="M226" t="str">
            <v>ＭＥＴＡＬＵＭＹ　ＳＩＬＶＥＲ　ＢＲＩＧＨＴ　Ｔ６２Ｍ　Ｂ</v>
          </cell>
          <cell r="N226">
            <v>1120</v>
          </cell>
          <cell r="O226">
            <v>1120</v>
          </cell>
          <cell r="P226">
            <v>8000</v>
          </cell>
          <cell r="Q226">
            <v>2</v>
          </cell>
          <cell r="R226">
            <v>1</v>
          </cell>
          <cell r="S226" t="str">
            <v>本</v>
          </cell>
          <cell r="T226">
            <v>44734</v>
          </cell>
          <cell r="U226">
            <v>44767</v>
          </cell>
          <cell r="V226" t="str">
            <v>㈱須賀川東部鏡石</v>
          </cell>
          <cell r="W226"/>
          <cell r="X226"/>
        </row>
        <row r="227">
          <cell r="A227">
            <v>3667142</v>
          </cell>
          <cell r="B227" t="str">
            <v>福島コーティング</v>
          </cell>
          <cell r="C227" t="str">
            <v>プロセス材１課</v>
          </cell>
          <cell r="D227" t="str">
            <v>ダミー担当者</v>
          </cell>
          <cell r="E227" t="str">
            <v>リンテック㈱</v>
          </cell>
          <cell r="F227">
            <v>3</v>
          </cell>
          <cell r="G227" t="str">
            <v>S</v>
          </cell>
          <cell r="H227" t="str">
            <v>Y</v>
          </cell>
          <cell r="I227" t="str">
            <v>MLB</v>
          </cell>
          <cell r="J227"/>
          <cell r="K227" t="str">
            <v>MSNMBF</v>
          </cell>
          <cell r="L227">
            <v>50</v>
          </cell>
          <cell r="M227" t="str">
            <v>ＭＥＴＡＬＵＭＹ　ＳＩＬＶＥＲ　Ｎ－ＭＡＴＴＥ　Ｘ４４Ｍ　Ｂ</v>
          </cell>
          <cell r="N227">
            <v>1120</v>
          </cell>
          <cell r="O227">
            <v>1120</v>
          </cell>
          <cell r="P227">
            <v>4000</v>
          </cell>
          <cell r="Q227">
            <v>2</v>
          </cell>
          <cell r="R227">
            <v>6</v>
          </cell>
          <cell r="S227" t="str">
            <v>本</v>
          </cell>
          <cell r="T227">
            <v>44734</v>
          </cell>
          <cell r="U227">
            <v>44762</v>
          </cell>
          <cell r="V227" t="str">
            <v>㈱須賀川東部鏡石</v>
          </cell>
          <cell r="W227"/>
          <cell r="X227"/>
        </row>
        <row r="228">
          <cell r="A228">
            <v>3667714</v>
          </cell>
          <cell r="B228" t="str">
            <v>機能Ｆ　ラベル福島原</v>
          </cell>
          <cell r="C228" t="str">
            <v>プロセス材２課</v>
          </cell>
          <cell r="D228" t="str">
            <v>ダミー担当者</v>
          </cell>
          <cell r="E228" t="str">
            <v>㈱ポラテクノ</v>
          </cell>
          <cell r="F228">
            <v>3</v>
          </cell>
          <cell r="G228" t="str">
            <v>T</v>
          </cell>
          <cell r="H228" t="str">
            <v>N</v>
          </cell>
          <cell r="I228" t="str">
            <v>DMS</v>
          </cell>
          <cell r="J228"/>
          <cell r="K228" t="str">
            <v>X42GPC</v>
          </cell>
          <cell r="L228">
            <v>50</v>
          </cell>
          <cell r="M228" t="str">
            <v>ＤＭＳ（Ｘ４２Ｇ）ＰＣ</v>
          </cell>
          <cell r="N228">
            <v>680</v>
          </cell>
          <cell r="O228">
            <v>680</v>
          </cell>
          <cell r="P228">
            <v>2000</v>
          </cell>
          <cell r="Q228">
            <v>2</v>
          </cell>
          <cell r="R228">
            <v>8</v>
          </cell>
          <cell r="S228" t="str">
            <v>本</v>
          </cell>
          <cell r="T228">
            <v>44735</v>
          </cell>
          <cell r="U228">
            <v>44757</v>
          </cell>
          <cell r="V228" t="str">
            <v>㈱須賀川東部鏡石</v>
          </cell>
          <cell r="W228"/>
          <cell r="X228"/>
        </row>
        <row r="229">
          <cell r="A229">
            <v>3667721</v>
          </cell>
          <cell r="B229" t="str">
            <v>機能Ｆ　ラベル福島開</v>
          </cell>
          <cell r="C229" t="str">
            <v>プロセス材２課</v>
          </cell>
          <cell r="D229" t="str">
            <v>ダミー担当者</v>
          </cell>
          <cell r="E229" t="str">
            <v>栃木カネカ㈱電材検査</v>
          </cell>
          <cell r="F229">
            <v>3</v>
          </cell>
          <cell r="G229" t="str">
            <v>U</v>
          </cell>
          <cell r="H229" t="str">
            <v>N</v>
          </cell>
          <cell r="I229" t="str">
            <v>MLB</v>
          </cell>
          <cell r="J229"/>
          <cell r="K229" t="str">
            <v>KF9BF</v>
          </cell>
          <cell r="L229">
            <v>9</v>
          </cell>
          <cell r="M229" t="str">
            <v>ＫＦ－９Ｂ</v>
          </cell>
          <cell r="N229">
            <v>1200</v>
          </cell>
          <cell r="O229">
            <v>1200</v>
          </cell>
          <cell r="P229">
            <v>2000</v>
          </cell>
          <cell r="Q229">
            <v>2</v>
          </cell>
          <cell r="R229">
            <v>10</v>
          </cell>
          <cell r="S229" t="str">
            <v>本</v>
          </cell>
          <cell r="T229">
            <v>44735</v>
          </cell>
          <cell r="U229">
            <v>44773</v>
          </cell>
          <cell r="V229" t="str">
            <v>福島工場ＣＯ</v>
          </cell>
          <cell r="W229"/>
          <cell r="X229"/>
        </row>
        <row r="230">
          <cell r="A230">
            <v>3669159</v>
          </cell>
          <cell r="B230" t="str">
            <v>機能Ｆ　ラベル福島原</v>
          </cell>
          <cell r="C230" t="str">
            <v>工材１部電材課</v>
          </cell>
          <cell r="D230" t="str">
            <v>ダミー担当者</v>
          </cell>
          <cell r="E230" t="str">
            <v>日東電工</v>
          </cell>
          <cell r="F230">
            <v>3</v>
          </cell>
          <cell r="G230" t="str">
            <v>T</v>
          </cell>
          <cell r="H230" t="str">
            <v>N</v>
          </cell>
          <cell r="I230" t="str">
            <v>MLB</v>
          </cell>
          <cell r="J230"/>
          <cell r="K230" t="str">
            <v>MBSF</v>
          </cell>
          <cell r="L230">
            <v>12</v>
          </cell>
          <cell r="M230" t="str">
            <v>メタルミー　ＢＳ</v>
          </cell>
          <cell r="N230">
            <v>600</v>
          </cell>
          <cell r="O230">
            <v>600</v>
          </cell>
          <cell r="P230">
            <v>3000</v>
          </cell>
          <cell r="Q230">
            <v>1</v>
          </cell>
          <cell r="R230">
            <v>8</v>
          </cell>
          <cell r="S230" t="str">
            <v>本</v>
          </cell>
          <cell r="T230">
            <v>44747</v>
          </cell>
          <cell r="U230">
            <v>44773</v>
          </cell>
          <cell r="V230" t="str">
            <v>㈱須賀川東部鏡石</v>
          </cell>
          <cell r="W230"/>
          <cell r="X230"/>
        </row>
        <row r="231">
          <cell r="A231">
            <v>3671808</v>
          </cell>
          <cell r="B231" t="str">
            <v>福島コーティング</v>
          </cell>
          <cell r="C231" t="str">
            <v>工材１部大阪電材課</v>
          </cell>
          <cell r="D231" t="str">
            <v>ダミー担当者</v>
          </cell>
          <cell r="E231" t="str">
            <v>日東電工㈱豊橋工場</v>
          </cell>
          <cell r="F231">
            <v>3</v>
          </cell>
          <cell r="G231" t="str">
            <v>S</v>
          </cell>
          <cell r="H231" t="str">
            <v>N</v>
          </cell>
          <cell r="I231" t="str">
            <v>MLB</v>
          </cell>
          <cell r="J231"/>
          <cell r="K231" t="str">
            <v>MTSF</v>
          </cell>
          <cell r="L231">
            <v>50</v>
          </cell>
          <cell r="M231" t="str">
            <v>メタルミー　ＴＳ</v>
          </cell>
          <cell r="N231">
            <v>1255</v>
          </cell>
          <cell r="O231">
            <v>1250</v>
          </cell>
          <cell r="P231">
            <v>2000</v>
          </cell>
          <cell r="Q231">
            <v>2</v>
          </cell>
          <cell r="R231">
            <v>6</v>
          </cell>
          <cell r="S231" t="str">
            <v>本</v>
          </cell>
          <cell r="T231">
            <v>44763</v>
          </cell>
          <cell r="U231">
            <v>44795</v>
          </cell>
          <cell r="V231" t="str">
            <v>㈱須賀川東部鏡石</v>
          </cell>
          <cell r="W231"/>
          <cell r="X231"/>
        </row>
        <row r="232">
          <cell r="A232">
            <v>3671810</v>
          </cell>
          <cell r="B232" t="str">
            <v>福島コーティング</v>
          </cell>
          <cell r="C232" t="str">
            <v>プロセス材２課</v>
          </cell>
          <cell r="D232" t="str">
            <v>ダミー担当者</v>
          </cell>
          <cell r="E232" t="str">
            <v>大阪シーリング印刷㈱</v>
          </cell>
          <cell r="F232" t="str">
            <v>3H</v>
          </cell>
          <cell r="G232" t="str">
            <v>S</v>
          </cell>
          <cell r="H232" t="str">
            <v>N</v>
          </cell>
          <cell r="I232" t="str">
            <v>MCLB</v>
          </cell>
          <cell r="J232"/>
          <cell r="K232" t="str">
            <v>EYK</v>
          </cell>
          <cell r="L232">
            <v>50</v>
          </cell>
          <cell r="M232" t="str">
            <v>メタルミー　ＥＹＫ</v>
          </cell>
          <cell r="N232">
            <v>1190</v>
          </cell>
          <cell r="O232">
            <v>1190</v>
          </cell>
          <cell r="P232">
            <v>6000</v>
          </cell>
          <cell r="Q232">
            <v>2</v>
          </cell>
          <cell r="R232">
            <v>2</v>
          </cell>
          <cell r="S232" t="str">
            <v>本</v>
          </cell>
          <cell r="T232">
            <v>44763</v>
          </cell>
          <cell r="U232">
            <v>44795</v>
          </cell>
          <cell r="V232" t="str">
            <v>㈱須賀川東部鏡石</v>
          </cell>
          <cell r="W232"/>
          <cell r="X232"/>
        </row>
        <row r="233">
          <cell r="A233">
            <v>3671811</v>
          </cell>
          <cell r="B233" t="str">
            <v>福島コーティング</v>
          </cell>
          <cell r="C233" t="str">
            <v>プロセス材２課</v>
          </cell>
          <cell r="D233" t="str">
            <v>ダミー担当者</v>
          </cell>
          <cell r="E233" t="str">
            <v>大阪シーリング印刷㈱</v>
          </cell>
          <cell r="F233">
            <v>3</v>
          </cell>
          <cell r="G233" t="str">
            <v>S</v>
          </cell>
          <cell r="H233" t="str">
            <v>N</v>
          </cell>
          <cell r="I233" t="str">
            <v>MCLB</v>
          </cell>
          <cell r="J233"/>
          <cell r="K233" t="str">
            <v>MSNEYK</v>
          </cell>
          <cell r="L233">
            <v>50</v>
          </cell>
          <cell r="M233" t="str">
            <v>ＭＳＮ　ＥＹＫ</v>
          </cell>
          <cell r="N233">
            <v>1200</v>
          </cell>
          <cell r="O233">
            <v>1190</v>
          </cell>
          <cell r="P233">
            <v>6000</v>
          </cell>
          <cell r="Q233">
            <v>2</v>
          </cell>
          <cell r="R233">
            <v>10</v>
          </cell>
          <cell r="S233" t="str">
            <v>本</v>
          </cell>
          <cell r="T233">
            <v>44763</v>
          </cell>
          <cell r="U233">
            <v>44795</v>
          </cell>
          <cell r="V233" t="str">
            <v>㈱須賀川東部鏡石</v>
          </cell>
          <cell r="W233"/>
          <cell r="X233"/>
        </row>
        <row r="234">
          <cell r="A234">
            <v>3671813</v>
          </cell>
          <cell r="B234" t="str">
            <v>福島コーティング</v>
          </cell>
          <cell r="C234" t="str">
            <v>プロセス材２課</v>
          </cell>
          <cell r="D234" t="str">
            <v>ダミー担当者</v>
          </cell>
          <cell r="E234" t="str">
            <v>マルウ接着㈱</v>
          </cell>
          <cell r="F234">
            <v>3</v>
          </cell>
          <cell r="G234" t="str">
            <v>S</v>
          </cell>
          <cell r="H234" t="str">
            <v>N</v>
          </cell>
          <cell r="I234" t="str">
            <v>MCLB</v>
          </cell>
          <cell r="J234"/>
          <cell r="K234" t="str">
            <v>MSNEYK</v>
          </cell>
          <cell r="L234">
            <v>100</v>
          </cell>
          <cell r="M234" t="str">
            <v>ＭＳＮ　ＥＹＫ</v>
          </cell>
          <cell r="N234">
            <v>1205</v>
          </cell>
          <cell r="O234">
            <v>1205</v>
          </cell>
          <cell r="P234">
            <v>2500</v>
          </cell>
          <cell r="Q234">
            <v>2</v>
          </cell>
          <cell r="R234">
            <v>4</v>
          </cell>
          <cell r="S234" t="str">
            <v>本</v>
          </cell>
          <cell r="T234">
            <v>44763</v>
          </cell>
          <cell r="U234">
            <v>44795</v>
          </cell>
          <cell r="V234" t="str">
            <v>㈱須賀川東部鏡石</v>
          </cell>
          <cell r="W234"/>
          <cell r="X234"/>
        </row>
        <row r="235">
          <cell r="A235">
            <v>3671814</v>
          </cell>
          <cell r="B235" t="str">
            <v>福島コーティング</v>
          </cell>
          <cell r="C235" t="str">
            <v>プロセス材２課</v>
          </cell>
          <cell r="D235" t="str">
            <v>ダミー担当者</v>
          </cell>
          <cell r="E235" t="str">
            <v>新タック化成㈱</v>
          </cell>
          <cell r="F235">
            <v>3</v>
          </cell>
          <cell r="G235" t="str">
            <v>S</v>
          </cell>
          <cell r="H235" t="str">
            <v>N</v>
          </cell>
          <cell r="I235" t="str">
            <v>CLB</v>
          </cell>
          <cell r="J235"/>
          <cell r="K235" t="str">
            <v>LEYK</v>
          </cell>
          <cell r="L235">
            <v>50</v>
          </cell>
          <cell r="M235" t="str">
            <v>ルミラー　ＥＹＫ</v>
          </cell>
          <cell r="N235">
            <v>1120</v>
          </cell>
          <cell r="O235">
            <v>1120</v>
          </cell>
          <cell r="P235">
            <v>6000</v>
          </cell>
          <cell r="Q235">
            <v>2</v>
          </cell>
          <cell r="R235">
            <v>6</v>
          </cell>
          <cell r="S235" t="str">
            <v>本</v>
          </cell>
          <cell r="T235">
            <v>44763</v>
          </cell>
          <cell r="U235">
            <v>44795</v>
          </cell>
          <cell r="V235" t="str">
            <v>㈱須賀川東部鏡石</v>
          </cell>
          <cell r="W235"/>
          <cell r="X235"/>
        </row>
        <row r="236">
          <cell r="A236">
            <v>3671815</v>
          </cell>
          <cell r="B236" t="str">
            <v>福島コーティング</v>
          </cell>
          <cell r="C236" t="str">
            <v>プロセス材２課</v>
          </cell>
          <cell r="D236" t="str">
            <v>ダミー担当者</v>
          </cell>
          <cell r="E236" t="str">
            <v>新タック化成㈱</v>
          </cell>
          <cell r="F236">
            <v>3</v>
          </cell>
          <cell r="G236" t="str">
            <v>S</v>
          </cell>
          <cell r="H236" t="str">
            <v>N</v>
          </cell>
          <cell r="I236" t="str">
            <v>MCLB</v>
          </cell>
          <cell r="J236"/>
          <cell r="K236" t="str">
            <v>EYK</v>
          </cell>
          <cell r="L236">
            <v>50</v>
          </cell>
          <cell r="M236" t="str">
            <v>メタルミー　ＥＹＫ</v>
          </cell>
          <cell r="N236">
            <v>1120</v>
          </cell>
          <cell r="O236">
            <v>1120</v>
          </cell>
          <cell r="P236">
            <v>6000</v>
          </cell>
          <cell r="Q236">
            <v>2</v>
          </cell>
          <cell r="R236">
            <v>2</v>
          </cell>
          <cell r="S236" t="str">
            <v>本</v>
          </cell>
          <cell r="T236">
            <v>44763</v>
          </cell>
          <cell r="U236">
            <v>44795</v>
          </cell>
          <cell r="V236" t="str">
            <v>㈱須賀川東部鏡石</v>
          </cell>
          <cell r="W236"/>
          <cell r="X236"/>
        </row>
        <row r="237">
          <cell r="A237">
            <v>3671816</v>
          </cell>
          <cell r="B237" t="str">
            <v>福島コーティング</v>
          </cell>
          <cell r="C237" t="str">
            <v>プロセス材２課</v>
          </cell>
          <cell r="D237" t="str">
            <v>ダミー担当者</v>
          </cell>
          <cell r="E237" t="str">
            <v>新タック化成㈱</v>
          </cell>
          <cell r="F237">
            <v>3</v>
          </cell>
          <cell r="G237" t="str">
            <v>S</v>
          </cell>
          <cell r="H237" t="str">
            <v>N</v>
          </cell>
          <cell r="I237" t="str">
            <v>MCLB</v>
          </cell>
          <cell r="J237"/>
          <cell r="K237" t="str">
            <v>MSNEYK</v>
          </cell>
          <cell r="L237">
            <v>25</v>
          </cell>
          <cell r="M237" t="str">
            <v>ＭＳＮ　ＥＹＫ</v>
          </cell>
          <cell r="N237">
            <v>1120</v>
          </cell>
          <cell r="O237">
            <v>1120</v>
          </cell>
          <cell r="P237">
            <v>4000</v>
          </cell>
          <cell r="Q237">
            <v>2</v>
          </cell>
          <cell r="R237">
            <v>4</v>
          </cell>
          <cell r="S237" t="str">
            <v>本</v>
          </cell>
          <cell r="T237">
            <v>44763</v>
          </cell>
          <cell r="U237">
            <v>44795</v>
          </cell>
          <cell r="V237" t="str">
            <v>㈱須賀川東部鏡石</v>
          </cell>
          <cell r="W237"/>
          <cell r="X237"/>
        </row>
        <row r="238">
          <cell r="A238">
            <v>3671817</v>
          </cell>
          <cell r="B238" t="str">
            <v>福島コーティング</v>
          </cell>
          <cell r="C238" t="str">
            <v>プロセス材２課</v>
          </cell>
          <cell r="D238" t="str">
            <v>ダミー担当者</v>
          </cell>
          <cell r="E238" t="str">
            <v>新タック化成㈱</v>
          </cell>
          <cell r="F238">
            <v>3</v>
          </cell>
          <cell r="G238" t="str">
            <v>S</v>
          </cell>
          <cell r="H238" t="str">
            <v>N</v>
          </cell>
          <cell r="I238" t="str">
            <v>MCLB</v>
          </cell>
          <cell r="J238"/>
          <cell r="K238" t="str">
            <v>MSNEYK</v>
          </cell>
          <cell r="L238">
            <v>50</v>
          </cell>
          <cell r="M238" t="str">
            <v>ＭＳＮ　ＥＹＫ</v>
          </cell>
          <cell r="N238">
            <v>1120</v>
          </cell>
          <cell r="O238">
            <v>1120</v>
          </cell>
          <cell r="P238">
            <v>4000</v>
          </cell>
          <cell r="Q238">
            <v>2</v>
          </cell>
          <cell r="R238">
            <v>6</v>
          </cell>
          <cell r="S238" t="str">
            <v>本</v>
          </cell>
          <cell r="T238">
            <v>44763</v>
          </cell>
          <cell r="U238">
            <v>44795</v>
          </cell>
          <cell r="V238" t="str">
            <v>㈱須賀川東部鏡石</v>
          </cell>
          <cell r="W238"/>
          <cell r="X238"/>
        </row>
        <row r="239">
          <cell r="A239">
            <v>3671818</v>
          </cell>
          <cell r="B239" t="str">
            <v>福島コーティング</v>
          </cell>
          <cell r="C239" t="str">
            <v>プロセス材１課</v>
          </cell>
          <cell r="D239" t="str">
            <v>ダミー担当者</v>
          </cell>
          <cell r="E239" t="str">
            <v>リンテック㈱</v>
          </cell>
          <cell r="F239">
            <v>3</v>
          </cell>
          <cell r="G239" t="str">
            <v>S</v>
          </cell>
          <cell r="H239" t="str">
            <v>N</v>
          </cell>
          <cell r="I239" t="str">
            <v>MLB</v>
          </cell>
          <cell r="J239"/>
          <cell r="K239" t="str">
            <v>MNGKKBF</v>
          </cell>
          <cell r="L239">
            <v>25</v>
          </cell>
          <cell r="M239" t="str">
            <v>メタルミー　ネーマー銀消改　Ｂ</v>
          </cell>
          <cell r="N239">
            <v>1000</v>
          </cell>
          <cell r="O239">
            <v>1000</v>
          </cell>
          <cell r="P239">
            <v>4000</v>
          </cell>
          <cell r="Q239">
            <v>2</v>
          </cell>
          <cell r="R239">
            <v>3</v>
          </cell>
          <cell r="S239" t="str">
            <v>本</v>
          </cell>
          <cell r="T239">
            <v>44763</v>
          </cell>
          <cell r="U239">
            <v>44795</v>
          </cell>
          <cell r="V239" t="str">
            <v>㈱須賀川東部鏡石</v>
          </cell>
          <cell r="W239"/>
          <cell r="X239"/>
        </row>
        <row r="240">
          <cell r="A240">
            <v>3671819</v>
          </cell>
          <cell r="B240" t="str">
            <v>福島コーティング</v>
          </cell>
          <cell r="C240" t="str">
            <v>プロセス材１課</v>
          </cell>
          <cell r="D240" t="str">
            <v>ダミー担当者</v>
          </cell>
          <cell r="E240" t="str">
            <v>リンテック㈱</v>
          </cell>
          <cell r="F240">
            <v>3</v>
          </cell>
          <cell r="G240" t="str">
            <v>S</v>
          </cell>
          <cell r="H240" t="str">
            <v>N</v>
          </cell>
          <cell r="I240" t="str">
            <v>MLB</v>
          </cell>
          <cell r="J240"/>
          <cell r="K240" t="str">
            <v>MNGKKBF</v>
          </cell>
          <cell r="L240">
            <v>25</v>
          </cell>
          <cell r="M240" t="str">
            <v>メタルミー　ネーマー銀消改　Ｂ</v>
          </cell>
          <cell r="N240">
            <v>1120</v>
          </cell>
          <cell r="O240">
            <v>1120</v>
          </cell>
          <cell r="P240">
            <v>4000</v>
          </cell>
          <cell r="Q240">
            <v>2</v>
          </cell>
          <cell r="R240">
            <v>6</v>
          </cell>
          <cell r="S240" t="str">
            <v>本</v>
          </cell>
          <cell r="T240">
            <v>44763</v>
          </cell>
          <cell r="U240">
            <v>44795</v>
          </cell>
          <cell r="V240" t="str">
            <v>㈱須賀川東部鏡石</v>
          </cell>
          <cell r="W240"/>
          <cell r="X240"/>
        </row>
        <row r="241">
          <cell r="A241">
            <v>3671820</v>
          </cell>
          <cell r="B241" t="str">
            <v>福島コーティング</v>
          </cell>
          <cell r="C241" t="str">
            <v>プロセス材１課</v>
          </cell>
          <cell r="D241" t="str">
            <v>ダミー担当者</v>
          </cell>
          <cell r="E241" t="str">
            <v>リンテック㈱</v>
          </cell>
          <cell r="F241">
            <v>3</v>
          </cell>
          <cell r="G241" t="str">
            <v>S</v>
          </cell>
          <cell r="H241" t="str">
            <v>N</v>
          </cell>
          <cell r="I241" t="str">
            <v>MLB</v>
          </cell>
          <cell r="J241"/>
          <cell r="K241" t="str">
            <v>MNGKKBF</v>
          </cell>
          <cell r="L241">
            <v>50</v>
          </cell>
          <cell r="M241" t="str">
            <v>メタルミー　ネーマー銀消改　Ｂ</v>
          </cell>
          <cell r="N241">
            <v>1000</v>
          </cell>
          <cell r="O241">
            <v>1000</v>
          </cell>
          <cell r="P241">
            <v>4000</v>
          </cell>
          <cell r="Q241">
            <v>2</v>
          </cell>
          <cell r="R241">
            <v>4</v>
          </cell>
          <cell r="S241" t="str">
            <v>本</v>
          </cell>
          <cell r="T241">
            <v>44763</v>
          </cell>
          <cell r="U241">
            <v>44790</v>
          </cell>
          <cell r="V241" t="str">
            <v>㈱須賀川東部鏡石</v>
          </cell>
          <cell r="W241"/>
          <cell r="X241"/>
        </row>
        <row r="242">
          <cell r="A242">
            <v>3671821</v>
          </cell>
          <cell r="B242" t="str">
            <v>福島コーティング</v>
          </cell>
          <cell r="C242" t="str">
            <v>プロセス材１課</v>
          </cell>
          <cell r="D242" t="str">
            <v>ダミー担当者</v>
          </cell>
          <cell r="E242" t="str">
            <v>リンテック㈱</v>
          </cell>
          <cell r="F242">
            <v>3</v>
          </cell>
          <cell r="G242" t="str">
            <v>S</v>
          </cell>
          <cell r="H242" t="str">
            <v>N</v>
          </cell>
          <cell r="I242" t="str">
            <v>MLB</v>
          </cell>
          <cell r="J242"/>
          <cell r="K242" t="str">
            <v>MNGKKBF</v>
          </cell>
          <cell r="L242">
            <v>50</v>
          </cell>
          <cell r="M242" t="str">
            <v>メタルミー　ネーマー銀消改　Ｂ</v>
          </cell>
          <cell r="N242">
            <v>1120</v>
          </cell>
          <cell r="O242">
            <v>1120</v>
          </cell>
          <cell r="P242">
            <v>4000</v>
          </cell>
          <cell r="Q242">
            <v>2</v>
          </cell>
          <cell r="R242">
            <v>8</v>
          </cell>
          <cell r="S242" t="str">
            <v>本</v>
          </cell>
          <cell r="T242">
            <v>44763</v>
          </cell>
          <cell r="U242">
            <v>44802</v>
          </cell>
          <cell r="V242" t="str">
            <v>㈱須賀川東部鏡石</v>
          </cell>
          <cell r="W242"/>
          <cell r="X242"/>
        </row>
        <row r="243">
          <cell r="A243">
            <v>3671822</v>
          </cell>
          <cell r="B243" t="str">
            <v>福島コーティング</v>
          </cell>
          <cell r="C243" t="str">
            <v>プロセス材１課</v>
          </cell>
          <cell r="D243" t="str">
            <v>ダミー担当者</v>
          </cell>
          <cell r="E243" t="str">
            <v>リンテック㈱</v>
          </cell>
          <cell r="F243">
            <v>3</v>
          </cell>
          <cell r="G243" t="str">
            <v>S</v>
          </cell>
          <cell r="H243" t="str">
            <v>N</v>
          </cell>
          <cell r="I243" t="str">
            <v>MLB</v>
          </cell>
          <cell r="J243"/>
          <cell r="K243" t="str">
            <v>MNGKKBF</v>
          </cell>
          <cell r="L243">
            <v>50</v>
          </cell>
          <cell r="M243" t="str">
            <v>メタルミー　ネーマー銀消改　Ｂ</v>
          </cell>
          <cell r="N243">
            <v>1120</v>
          </cell>
          <cell r="O243">
            <v>1120</v>
          </cell>
          <cell r="P243">
            <v>4000</v>
          </cell>
          <cell r="Q243">
            <v>2</v>
          </cell>
          <cell r="R243">
            <v>4</v>
          </cell>
          <cell r="S243" t="str">
            <v>本</v>
          </cell>
          <cell r="T243">
            <v>44763</v>
          </cell>
          <cell r="U243">
            <v>44804</v>
          </cell>
          <cell r="V243" t="str">
            <v>㈱須賀川東部鏡石</v>
          </cell>
          <cell r="W243"/>
          <cell r="X243"/>
        </row>
        <row r="244">
          <cell r="A244">
            <v>3671823</v>
          </cell>
          <cell r="B244" t="str">
            <v>福島コーティング</v>
          </cell>
          <cell r="C244" t="str">
            <v>プロセス材１課</v>
          </cell>
          <cell r="D244" t="str">
            <v>ダミー担当者</v>
          </cell>
          <cell r="E244" t="str">
            <v>リンテック㈱</v>
          </cell>
          <cell r="F244">
            <v>3</v>
          </cell>
          <cell r="G244" t="str">
            <v>S</v>
          </cell>
          <cell r="H244" t="str">
            <v>N</v>
          </cell>
          <cell r="I244" t="str">
            <v>MLB</v>
          </cell>
          <cell r="J244"/>
          <cell r="K244" t="str">
            <v>MNGKKBF</v>
          </cell>
          <cell r="L244">
            <v>50</v>
          </cell>
          <cell r="M244" t="str">
            <v>メタルミー　ネーマー銀消改　Ｂ</v>
          </cell>
          <cell r="N244">
            <v>1120</v>
          </cell>
          <cell r="O244">
            <v>1120</v>
          </cell>
          <cell r="P244">
            <v>4000</v>
          </cell>
          <cell r="Q244">
            <v>2</v>
          </cell>
          <cell r="R244">
            <v>8</v>
          </cell>
          <cell r="S244" t="str">
            <v>本</v>
          </cell>
          <cell r="T244">
            <v>44763</v>
          </cell>
          <cell r="U244">
            <v>44809</v>
          </cell>
          <cell r="V244" t="str">
            <v>㈱須賀川東部鏡石</v>
          </cell>
          <cell r="W244"/>
          <cell r="X244"/>
        </row>
        <row r="245">
          <cell r="A245">
            <v>3671824</v>
          </cell>
          <cell r="B245" t="str">
            <v>福島コーティング</v>
          </cell>
          <cell r="C245" t="str">
            <v>プロセス材１課</v>
          </cell>
          <cell r="D245" t="str">
            <v>ダミー担当者</v>
          </cell>
          <cell r="E245" t="str">
            <v>リンテック㈱</v>
          </cell>
          <cell r="F245">
            <v>3</v>
          </cell>
          <cell r="G245" t="str">
            <v>S</v>
          </cell>
          <cell r="H245" t="str">
            <v>N</v>
          </cell>
          <cell r="I245" t="str">
            <v>MLB</v>
          </cell>
          <cell r="J245"/>
          <cell r="K245" t="str">
            <v>MNGKKBF</v>
          </cell>
          <cell r="L245">
            <v>50</v>
          </cell>
          <cell r="M245" t="str">
            <v>メタルミー　ネーマー銀消改　Ｂ</v>
          </cell>
          <cell r="N245">
            <v>1120</v>
          </cell>
          <cell r="O245">
            <v>1120</v>
          </cell>
          <cell r="P245">
            <v>4000</v>
          </cell>
          <cell r="Q245">
            <v>2</v>
          </cell>
          <cell r="R245">
            <v>8</v>
          </cell>
          <cell r="S245" t="str">
            <v>本</v>
          </cell>
          <cell r="T245">
            <v>44763</v>
          </cell>
          <cell r="U245">
            <v>44816</v>
          </cell>
          <cell r="V245" t="str">
            <v>㈱須賀川東部鏡石</v>
          </cell>
          <cell r="W245"/>
          <cell r="X245"/>
        </row>
        <row r="246">
          <cell r="A246">
            <v>3671825</v>
          </cell>
          <cell r="B246" t="str">
            <v>福島コーティング</v>
          </cell>
          <cell r="C246" t="str">
            <v>プロセス材１課</v>
          </cell>
          <cell r="D246" t="str">
            <v>ダミー担当者</v>
          </cell>
          <cell r="E246" t="str">
            <v>リンテック㈱</v>
          </cell>
          <cell r="F246">
            <v>3</v>
          </cell>
          <cell r="G246" t="str">
            <v>S</v>
          </cell>
          <cell r="H246" t="str">
            <v>N</v>
          </cell>
          <cell r="I246" t="str">
            <v>MLB</v>
          </cell>
          <cell r="J246"/>
          <cell r="K246" t="str">
            <v>MNGKBF</v>
          </cell>
          <cell r="L246">
            <v>50</v>
          </cell>
          <cell r="M246" t="str">
            <v>メタルミー　ネーマー銀消　Ｂ</v>
          </cell>
          <cell r="N246">
            <v>1050</v>
          </cell>
          <cell r="O246">
            <v>1050</v>
          </cell>
          <cell r="P246">
            <v>4100</v>
          </cell>
          <cell r="Q246">
            <v>2</v>
          </cell>
          <cell r="R246">
            <v>3</v>
          </cell>
          <cell r="S246" t="str">
            <v>本</v>
          </cell>
          <cell r="T246">
            <v>44763</v>
          </cell>
          <cell r="U246">
            <v>44790</v>
          </cell>
          <cell r="V246" t="str">
            <v>㈱須賀川東部鏡石</v>
          </cell>
          <cell r="W246"/>
          <cell r="X246"/>
        </row>
        <row r="247">
          <cell r="A247">
            <v>3671826</v>
          </cell>
          <cell r="B247" t="str">
            <v>福島コーティング</v>
          </cell>
          <cell r="C247" t="str">
            <v>プロセス材１課</v>
          </cell>
          <cell r="D247" t="str">
            <v>ダミー担当者</v>
          </cell>
          <cell r="E247" t="str">
            <v>リンテック㈱</v>
          </cell>
          <cell r="F247">
            <v>3</v>
          </cell>
          <cell r="G247" t="str">
            <v>S</v>
          </cell>
          <cell r="H247" t="str">
            <v>N</v>
          </cell>
          <cell r="I247" t="str">
            <v>MLB</v>
          </cell>
          <cell r="J247"/>
          <cell r="K247" t="str">
            <v>MNGKBF</v>
          </cell>
          <cell r="L247">
            <v>75</v>
          </cell>
          <cell r="M247" t="str">
            <v>メタルミー　ネーマー銀消　Ｂ</v>
          </cell>
          <cell r="N247">
            <v>1050</v>
          </cell>
          <cell r="O247">
            <v>1050</v>
          </cell>
          <cell r="P247">
            <v>2000</v>
          </cell>
          <cell r="Q247">
            <v>2</v>
          </cell>
          <cell r="R247">
            <v>2</v>
          </cell>
          <cell r="S247" t="str">
            <v>本</v>
          </cell>
          <cell r="T247">
            <v>44763</v>
          </cell>
          <cell r="U247">
            <v>44790</v>
          </cell>
          <cell r="V247" t="str">
            <v>㈱須賀川東部鏡石</v>
          </cell>
          <cell r="W247"/>
          <cell r="X247"/>
        </row>
        <row r="248">
          <cell r="A248">
            <v>3671828</v>
          </cell>
          <cell r="B248" t="str">
            <v>福島コーティング</v>
          </cell>
          <cell r="C248" t="str">
            <v>プロセス材１課</v>
          </cell>
          <cell r="D248" t="str">
            <v>ダミー担当者</v>
          </cell>
          <cell r="E248" t="str">
            <v>リンテック㈱</v>
          </cell>
          <cell r="F248">
            <v>3</v>
          </cell>
          <cell r="G248" t="str">
            <v>S</v>
          </cell>
          <cell r="H248" t="str">
            <v>N</v>
          </cell>
          <cell r="I248" t="str">
            <v>MCLB</v>
          </cell>
          <cell r="J248"/>
          <cell r="K248" t="str">
            <v>NGKEYKB</v>
          </cell>
          <cell r="L248">
            <v>16</v>
          </cell>
          <cell r="M248" t="str">
            <v>メタルミー　ネーマー　ギンケシ　ＥＹＫＢ</v>
          </cell>
          <cell r="N248">
            <v>1005</v>
          </cell>
          <cell r="O248">
            <v>1005</v>
          </cell>
          <cell r="P248">
            <v>3000</v>
          </cell>
          <cell r="Q248">
            <v>2</v>
          </cell>
          <cell r="R248">
            <v>1</v>
          </cell>
          <cell r="S248" t="str">
            <v>本</v>
          </cell>
          <cell r="T248">
            <v>44763</v>
          </cell>
          <cell r="U248">
            <v>44810</v>
          </cell>
          <cell r="V248" t="str">
            <v>㈱須賀川東部鏡石</v>
          </cell>
          <cell r="W248"/>
          <cell r="X248"/>
        </row>
        <row r="249">
          <cell r="A249">
            <v>3671829</v>
          </cell>
          <cell r="B249" t="str">
            <v>福島コーティング</v>
          </cell>
          <cell r="C249" t="str">
            <v>プロセス材１課</v>
          </cell>
          <cell r="D249" t="str">
            <v>ダミー担当者</v>
          </cell>
          <cell r="E249" t="str">
            <v>リンテック㈱</v>
          </cell>
          <cell r="F249">
            <v>3</v>
          </cell>
          <cell r="G249" t="str">
            <v>S</v>
          </cell>
          <cell r="H249" t="str">
            <v>N</v>
          </cell>
          <cell r="I249" t="str">
            <v>MLB</v>
          </cell>
          <cell r="J249"/>
          <cell r="K249" t="str">
            <v>MNGTBF</v>
          </cell>
          <cell r="L249">
            <v>25</v>
          </cell>
          <cell r="M249" t="str">
            <v>メタルミー　ネーマー　銀艶　Ｂ</v>
          </cell>
          <cell r="N249">
            <v>1005</v>
          </cell>
          <cell r="O249">
            <v>1000</v>
          </cell>
          <cell r="P249">
            <v>4000</v>
          </cell>
          <cell r="Q249">
            <v>2</v>
          </cell>
          <cell r="R249">
            <v>6</v>
          </cell>
          <cell r="S249" t="str">
            <v>本</v>
          </cell>
          <cell r="T249">
            <v>44763</v>
          </cell>
          <cell r="U249">
            <v>44795</v>
          </cell>
          <cell r="V249" t="str">
            <v>㈱須賀川東部鏡石</v>
          </cell>
          <cell r="W249"/>
          <cell r="X249"/>
        </row>
        <row r="250">
          <cell r="A250">
            <v>3671830</v>
          </cell>
          <cell r="B250" t="str">
            <v>福島コーティング</v>
          </cell>
          <cell r="C250" t="str">
            <v>プロセス材１課</v>
          </cell>
          <cell r="D250" t="str">
            <v>ダミー担当者</v>
          </cell>
          <cell r="E250" t="str">
            <v>リンテック㈱</v>
          </cell>
          <cell r="F250">
            <v>3</v>
          </cell>
          <cell r="G250" t="str">
            <v>S</v>
          </cell>
          <cell r="H250" t="str">
            <v>N</v>
          </cell>
          <cell r="I250" t="str">
            <v>MLB</v>
          </cell>
          <cell r="J250"/>
          <cell r="K250" t="str">
            <v>MNGTBF</v>
          </cell>
          <cell r="L250">
            <v>50</v>
          </cell>
          <cell r="M250" t="str">
            <v>メタルミー　ネーマー　銀艶　Ｂ</v>
          </cell>
          <cell r="N250">
            <v>1120</v>
          </cell>
          <cell r="O250">
            <v>1120</v>
          </cell>
          <cell r="P250">
            <v>5000</v>
          </cell>
          <cell r="Q250">
            <v>2</v>
          </cell>
          <cell r="R250">
            <v>12</v>
          </cell>
          <cell r="S250" t="str">
            <v>本</v>
          </cell>
          <cell r="T250">
            <v>44763</v>
          </cell>
          <cell r="U250">
            <v>44796</v>
          </cell>
          <cell r="V250" t="str">
            <v>㈱須賀川東部鏡石</v>
          </cell>
          <cell r="W250"/>
          <cell r="X250"/>
        </row>
        <row r="251">
          <cell r="A251">
            <v>3671831</v>
          </cell>
          <cell r="B251" t="str">
            <v>福島コーティング</v>
          </cell>
          <cell r="C251" t="str">
            <v>プロセス材１課</v>
          </cell>
          <cell r="D251" t="str">
            <v>ダミー担当者</v>
          </cell>
          <cell r="E251" t="str">
            <v>リンテック㈱</v>
          </cell>
          <cell r="F251">
            <v>3</v>
          </cell>
          <cell r="G251" t="str">
            <v>S</v>
          </cell>
          <cell r="H251" t="str">
            <v>N</v>
          </cell>
          <cell r="I251" t="str">
            <v>MLB</v>
          </cell>
          <cell r="J251"/>
          <cell r="K251" t="str">
            <v>MNGTBF</v>
          </cell>
          <cell r="L251">
            <v>50</v>
          </cell>
          <cell r="M251" t="str">
            <v>メタルミー　ネーマー　銀艶　Ｂ</v>
          </cell>
          <cell r="N251">
            <v>1120</v>
          </cell>
          <cell r="O251">
            <v>1120</v>
          </cell>
          <cell r="P251">
            <v>5000</v>
          </cell>
          <cell r="Q251">
            <v>2</v>
          </cell>
          <cell r="R251">
            <v>12</v>
          </cell>
          <cell r="S251" t="str">
            <v>本</v>
          </cell>
          <cell r="T251">
            <v>44763</v>
          </cell>
          <cell r="U251">
            <v>44802</v>
          </cell>
          <cell r="V251" t="str">
            <v>㈱須賀川東部鏡石</v>
          </cell>
          <cell r="W251"/>
          <cell r="X251"/>
        </row>
        <row r="252">
          <cell r="A252">
            <v>3671832</v>
          </cell>
          <cell r="B252" t="str">
            <v>福島コーティング</v>
          </cell>
          <cell r="C252" t="str">
            <v>プロセス材１課</v>
          </cell>
          <cell r="D252" t="str">
            <v>ダミー担当者</v>
          </cell>
          <cell r="E252" t="str">
            <v>リンテック㈱</v>
          </cell>
          <cell r="F252">
            <v>3</v>
          </cell>
          <cell r="G252" t="str">
            <v>S</v>
          </cell>
          <cell r="H252" t="str">
            <v>N</v>
          </cell>
          <cell r="I252" t="str">
            <v>MLB</v>
          </cell>
          <cell r="J252"/>
          <cell r="K252" t="str">
            <v>MNGTBF</v>
          </cell>
          <cell r="L252">
            <v>50</v>
          </cell>
          <cell r="M252" t="str">
            <v>メタルミー　ネーマー　銀艶　Ｂ</v>
          </cell>
          <cell r="N252">
            <v>1120</v>
          </cell>
          <cell r="O252">
            <v>1120</v>
          </cell>
          <cell r="P252">
            <v>5000</v>
          </cell>
          <cell r="Q252">
            <v>2</v>
          </cell>
          <cell r="R252">
            <v>14</v>
          </cell>
          <cell r="S252" t="str">
            <v>本</v>
          </cell>
          <cell r="T252">
            <v>44763</v>
          </cell>
          <cell r="U252">
            <v>44809</v>
          </cell>
          <cell r="V252" t="str">
            <v>㈱須賀川東部鏡石</v>
          </cell>
          <cell r="W252"/>
          <cell r="X252"/>
        </row>
        <row r="253">
          <cell r="A253">
            <v>3671833</v>
          </cell>
          <cell r="B253" t="str">
            <v>福島コーティング</v>
          </cell>
          <cell r="C253" t="str">
            <v>プロセス材１課</v>
          </cell>
          <cell r="D253" t="str">
            <v>ダミー担当者</v>
          </cell>
          <cell r="E253" t="str">
            <v>リンテック㈱</v>
          </cell>
          <cell r="F253">
            <v>3</v>
          </cell>
          <cell r="G253" t="str">
            <v>S</v>
          </cell>
          <cell r="H253" t="str">
            <v>N</v>
          </cell>
          <cell r="I253" t="str">
            <v>MLB</v>
          </cell>
          <cell r="J253"/>
          <cell r="K253" t="str">
            <v>MNGTBF</v>
          </cell>
          <cell r="L253">
            <v>50</v>
          </cell>
          <cell r="M253" t="str">
            <v>メタルミー　ネーマー　銀艶　Ｂ</v>
          </cell>
          <cell r="N253">
            <v>1120</v>
          </cell>
          <cell r="O253">
            <v>1120</v>
          </cell>
          <cell r="P253">
            <v>5000</v>
          </cell>
          <cell r="Q253">
            <v>2</v>
          </cell>
          <cell r="R253">
            <v>14</v>
          </cell>
          <cell r="S253" t="str">
            <v>本</v>
          </cell>
          <cell r="T253">
            <v>44763</v>
          </cell>
          <cell r="U253">
            <v>44816</v>
          </cell>
          <cell r="V253" t="str">
            <v>㈱須賀川東部鏡石</v>
          </cell>
          <cell r="W253"/>
          <cell r="X253"/>
        </row>
        <row r="254">
          <cell r="A254">
            <v>3671834</v>
          </cell>
          <cell r="B254" t="str">
            <v>福島コーティング</v>
          </cell>
          <cell r="C254" t="str">
            <v>プロセス材１課</v>
          </cell>
          <cell r="D254" t="str">
            <v>ダミー担当者</v>
          </cell>
          <cell r="E254" t="str">
            <v>リンテック㈱</v>
          </cell>
          <cell r="F254">
            <v>3</v>
          </cell>
          <cell r="G254" t="str">
            <v>S</v>
          </cell>
          <cell r="H254" t="str">
            <v>N</v>
          </cell>
          <cell r="I254" t="str">
            <v>MLB</v>
          </cell>
          <cell r="J254"/>
          <cell r="K254" t="str">
            <v>MNNGKBF</v>
          </cell>
          <cell r="L254">
            <v>25</v>
          </cell>
          <cell r="M254" t="str">
            <v>メタルミー　ニューネーマー銀消　Ｂ</v>
          </cell>
          <cell r="N254">
            <v>1005</v>
          </cell>
          <cell r="O254">
            <v>1000</v>
          </cell>
          <cell r="P254">
            <v>4000</v>
          </cell>
          <cell r="Q254">
            <v>2</v>
          </cell>
          <cell r="R254">
            <v>6</v>
          </cell>
          <cell r="S254" t="str">
            <v>本</v>
          </cell>
          <cell r="T254">
            <v>44763</v>
          </cell>
          <cell r="U254">
            <v>44795</v>
          </cell>
          <cell r="V254" t="str">
            <v>㈱須賀川東部鏡石</v>
          </cell>
          <cell r="W254"/>
          <cell r="X254"/>
        </row>
        <row r="255">
          <cell r="A255">
            <v>3671835</v>
          </cell>
          <cell r="B255" t="str">
            <v>福島コーティング</v>
          </cell>
          <cell r="C255" t="str">
            <v>プロセス材１課</v>
          </cell>
          <cell r="D255" t="str">
            <v>ダミー担当者</v>
          </cell>
          <cell r="E255" t="str">
            <v>リンテック㈱</v>
          </cell>
          <cell r="F255">
            <v>3</v>
          </cell>
          <cell r="G255" t="str">
            <v>S</v>
          </cell>
          <cell r="H255" t="str">
            <v>N</v>
          </cell>
          <cell r="I255" t="str">
            <v>MLB</v>
          </cell>
          <cell r="J255"/>
          <cell r="K255" t="str">
            <v>MNNGKBF</v>
          </cell>
          <cell r="L255">
            <v>50</v>
          </cell>
          <cell r="M255" t="str">
            <v>メタルミー　ニューネーマー銀消　Ｂ</v>
          </cell>
          <cell r="N255">
            <v>1000</v>
          </cell>
          <cell r="O255">
            <v>1000</v>
          </cell>
          <cell r="P255">
            <v>4000</v>
          </cell>
          <cell r="Q255">
            <v>2</v>
          </cell>
          <cell r="R255">
            <v>21</v>
          </cell>
          <cell r="S255" t="str">
            <v>本</v>
          </cell>
          <cell r="T255">
            <v>44763</v>
          </cell>
          <cell r="U255">
            <v>44795</v>
          </cell>
          <cell r="V255" t="str">
            <v>㈱須賀川東部鏡石</v>
          </cell>
          <cell r="W255"/>
          <cell r="X255"/>
        </row>
        <row r="256">
          <cell r="A256">
            <v>3671836</v>
          </cell>
          <cell r="B256" t="str">
            <v>福島コーティング</v>
          </cell>
          <cell r="C256" t="str">
            <v>プロセス材１課</v>
          </cell>
          <cell r="D256" t="str">
            <v>ダミー担当者</v>
          </cell>
          <cell r="E256" t="str">
            <v>リンテック㈱</v>
          </cell>
          <cell r="F256" t="str">
            <v>33S</v>
          </cell>
          <cell r="G256" t="str">
            <v>S</v>
          </cell>
          <cell r="H256" t="str">
            <v>N</v>
          </cell>
          <cell r="I256" t="str">
            <v>MCLB</v>
          </cell>
          <cell r="J256"/>
          <cell r="K256" t="str">
            <v>TEKKFV</v>
          </cell>
          <cell r="L256">
            <v>50</v>
          </cell>
          <cell r="M256" t="str">
            <v>メタルミー　ＴＥＳ消開封　Ｖ</v>
          </cell>
          <cell r="N256">
            <v>1005</v>
          </cell>
          <cell r="O256">
            <v>1000</v>
          </cell>
          <cell r="P256">
            <v>4000</v>
          </cell>
          <cell r="Q256">
            <v>2</v>
          </cell>
          <cell r="R256">
            <v>3</v>
          </cell>
          <cell r="S256" t="str">
            <v>本</v>
          </cell>
          <cell r="T256">
            <v>44763</v>
          </cell>
          <cell r="U256">
            <v>44795</v>
          </cell>
          <cell r="V256" t="str">
            <v>㈱須賀川東部鏡石</v>
          </cell>
          <cell r="W256"/>
          <cell r="X256"/>
        </row>
        <row r="257">
          <cell r="A257">
            <v>3671837</v>
          </cell>
          <cell r="B257" t="str">
            <v>福島コーティング</v>
          </cell>
          <cell r="C257" t="str">
            <v>プロセス材１課</v>
          </cell>
          <cell r="D257" t="str">
            <v>ダミー担当者</v>
          </cell>
          <cell r="E257" t="str">
            <v>リンテック㈱</v>
          </cell>
          <cell r="F257" t="str">
            <v>33S</v>
          </cell>
          <cell r="G257" t="str">
            <v>S</v>
          </cell>
          <cell r="H257" t="str">
            <v>N</v>
          </cell>
          <cell r="I257" t="str">
            <v>MCLB</v>
          </cell>
          <cell r="J257"/>
          <cell r="K257" t="str">
            <v>TETKFV</v>
          </cell>
          <cell r="L257">
            <v>50</v>
          </cell>
          <cell r="M257" t="str">
            <v>メタルミー　ＴＥＳ艶開封　Ｖ</v>
          </cell>
          <cell r="N257">
            <v>1005</v>
          </cell>
          <cell r="O257">
            <v>1000</v>
          </cell>
          <cell r="P257">
            <v>4000</v>
          </cell>
          <cell r="Q257">
            <v>2</v>
          </cell>
          <cell r="R257">
            <v>3</v>
          </cell>
          <cell r="S257" t="str">
            <v>本</v>
          </cell>
          <cell r="T257">
            <v>44763</v>
          </cell>
          <cell r="U257">
            <v>44795</v>
          </cell>
          <cell r="V257" t="str">
            <v>㈱須賀川東部鏡石</v>
          </cell>
          <cell r="W257"/>
          <cell r="X257"/>
        </row>
        <row r="258">
          <cell r="A258">
            <v>3671838</v>
          </cell>
          <cell r="B258" t="str">
            <v>福島コーティング</v>
          </cell>
          <cell r="C258" t="str">
            <v>プロセス材１課</v>
          </cell>
          <cell r="D258" t="str">
            <v>ダミー担当者</v>
          </cell>
          <cell r="E258" t="str">
            <v>リンテック㈱</v>
          </cell>
          <cell r="F258">
            <v>3</v>
          </cell>
          <cell r="G258" t="str">
            <v>S</v>
          </cell>
          <cell r="H258" t="str">
            <v>N</v>
          </cell>
          <cell r="I258" t="str">
            <v>MCLB</v>
          </cell>
          <cell r="J258"/>
          <cell r="K258" t="str">
            <v>DMSV</v>
          </cell>
          <cell r="L258">
            <v>50</v>
          </cell>
          <cell r="M258" t="str">
            <v>ＤＭＳ　Ｖ</v>
          </cell>
          <cell r="N258">
            <v>1005</v>
          </cell>
          <cell r="O258">
            <v>1000</v>
          </cell>
          <cell r="P258">
            <v>2000</v>
          </cell>
          <cell r="Q258">
            <v>2</v>
          </cell>
          <cell r="R258">
            <v>2</v>
          </cell>
          <cell r="S258" t="str">
            <v>本</v>
          </cell>
          <cell r="T258">
            <v>44763</v>
          </cell>
          <cell r="U258">
            <v>44792</v>
          </cell>
          <cell r="V258" t="str">
            <v>㈱須賀川東部鏡石</v>
          </cell>
          <cell r="W258"/>
          <cell r="X258"/>
        </row>
        <row r="259">
          <cell r="A259">
            <v>3671839</v>
          </cell>
          <cell r="B259" t="str">
            <v>福島コーティング</v>
          </cell>
          <cell r="C259" t="str">
            <v>プロセス材１課</v>
          </cell>
          <cell r="D259" t="str">
            <v>ダミー担当者</v>
          </cell>
          <cell r="E259" t="str">
            <v>リンテック㈱</v>
          </cell>
          <cell r="F259">
            <v>3</v>
          </cell>
          <cell r="G259" t="str">
            <v>S</v>
          </cell>
          <cell r="H259" t="str">
            <v>N</v>
          </cell>
          <cell r="I259" t="str">
            <v>MCLB</v>
          </cell>
          <cell r="J259"/>
          <cell r="K259" t="str">
            <v>HLGKJV</v>
          </cell>
          <cell r="L259">
            <v>50</v>
          </cell>
          <cell r="M259" t="str">
            <v>メタルミー　ヘヤライン　銀消Ｖ</v>
          </cell>
          <cell r="N259">
            <v>1005</v>
          </cell>
          <cell r="O259">
            <v>1000</v>
          </cell>
          <cell r="P259">
            <v>2000</v>
          </cell>
          <cell r="Q259">
            <v>2</v>
          </cell>
          <cell r="R259">
            <v>6</v>
          </cell>
          <cell r="S259" t="str">
            <v>本</v>
          </cell>
          <cell r="T259">
            <v>44763</v>
          </cell>
          <cell r="U259">
            <v>44795</v>
          </cell>
          <cell r="V259" t="str">
            <v>㈱須賀川東部鏡石</v>
          </cell>
          <cell r="W259"/>
          <cell r="X259"/>
        </row>
        <row r="260">
          <cell r="A260">
            <v>3671840</v>
          </cell>
          <cell r="B260" t="str">
            <v>福島コーティング</v>
          </cell>
          <cell r="C260" t="str">
            <v>プロセス材１課</v>
          </cell>
          <cell r="D260" t="str">
            <v>ダミー担当者</v>
          </cell>
          <cell r="E260" t="str">
            <v>リンテック㈱</v>
          </cell>
          <cell r="F260">
            <v>3</v>
          </cell>
          <cell r="G260" t="str">
            <v>S</v>
          </cell>
          <cell r="H260" t="str">
            <v>N</v>
          </cell>
          <cell r="I260" t="str">
            <v>MCLB</v>
          </cell>
          <cell r="J260"/>
          <cell r="K260" t="str">
            <v>HLGTV</v>
          </cell>
          <cell r="L260">
            <v>50</v>
          </cell>
          <cell r="M260" t="str">
            <v>メタルミー　ヘヤライン　銀艶Ｖ</v>
          </cell>
          <cell r="N260">
            <v>1005</v>
          </cell>
          <cell r="O260">
            <v>1000</v>
          </cell>
          <cell r="P260">
            <v>4000</v>
          </cell>
          <cell r="Q260">
            <v>2</v>
          </cell>
          <cell r="R260">
            <v>3</v>
          </cell>
          <cell r="S260" t="str">
            <v>本</v>
          </cell>
          <cell r="T260">
            <v>44763</v>
          </cell>
          <cell r="U260">
            <v>44795</v>
          </cell>
          <cell r="V260" t="str">
            <v>㈱須賀川東部鏡石</v>
          </cell>
          <cell r="W260"/>
          <cell r="X260"/>
        </row>
        <row r="261">
          <cell r="A261">
            <v>3671841</v>
          </cell>
          <cell r="B261" t="str">
            <v>福島コーティング</v>
          </cell>
          <cell r="C261" t="str">
            <v>プロセス材１課</v>
          </cell>
          <cell r="D261" t="str">
            <v>ダミー担当者</v>
          </cell>
          <cell r="E261" t="str">
            <v>リンテック㈱</v>
          </cell>
          <cell r="F261">
            <v>3</v>
          </cell>
          <cell r="G261" t="str">
            <v>S</v>
          </cell>
          <cell r="H261" t="str">
            <v>N</v>
          </cell>
          <cell r="I261" t="str">
            <v>CLB</v>
          </cell>
          <cell r="J261"/>
          <cell r="K261" t="str">
            <v>LMEYK</v>
          </cell>
          <cell r="L261">
            <v>38</v>
          </cell>
          <cell r="M261" t="str">
            <v>ルミマットＥＹＫ</v>
          </cell>
          <cell r="N261">
            <v>1005</v>
          </cell>
          <cell r="O261">
            <v>1000</v>
          </cell>
          <cell r="P261">
            <v>4000</v>
          </cell>
          <cell r="Q261">
            <v>2</v>
          </cell>
          <cell r="R261">
            <v>2</v>
          </cell>
          <cell r="S261" t="str">
            <v>本</v>
          </cell>
          <cell r="T261">
            <v>44763</v>
          </cell>
          <cell r="U261">
            <v>44795</v>
          </cell>
          <cell r="V261" t="str">
            <v>㈱須賀川東部鏡石</v>
          </cell>
          <cell r="W261"/>
          <cell r="X261"/>
        </row>
        <row r="262">
          <cell r="A262">
            <v>3671842</v>
          </cell>
          <cell r="B262" t="str">
            <v>福島コーティング</v>
          </cell>
          <cell r="C262" t="str">
            <v>プロセス材１課</v>
          </cell>
          <cell r="D262" t="str">
            <v>ダミー担当者</v>
          </cell>
          <cell r="E262" t="str">
            <v>リンテック㈱</v>
          </cell>
          <cell r="F262">
            <v>3</v>
          </cell>
          <cell r="G262" t="str">
            <v>S</v>
          </cell>
          <cell r="H262" t="str">
            <v>Y</v>
          </cell>
          <cell r="I262" t="str">
            <v>MLB</v>
          </cell>
          <cell r="J262"/>
          <cell r="K262" t="str">
            <v>MSSMBF</v>
          </cell>
          <cell r="L262">
            <v>50</v>
          </cell>
          <cell r="M262" t="str">
            <v>ＭＥＴＡＬＵＭＹ　ＳＩＬＶＥＲ　Ｓ－ＭＡＴＴＥ　Ｓ２８ＭＭ　Ｂ</v>
          </cell>
          <cell r="N262">
            <v>1120</v>
          </cell>
          <cell r="O262">
            <v>1120</v>
          </cell>
          <cell r="P262">
            <v>4000</v>
          </cell>
          <cell r="Q262">
            <v>2</v>
          </cell>
          <cell r="R262">
            <v>2</v>
          </cell>
          <cell r="S262" t="str">
            <v>本</v>
          </cell>
          <cell r="T262">
            <v>44763</v>
          </cell>
          <cell r="U262">
            <v>44795</v>
          </cell>
          <cell r="V262" t="str">
            <v>㈱須賀川東部鏡石</v>
          </cell>
          <cell r="W262"/>
          <cell r="X262"/>
        </row>
        <row r="263">
          <cell r="A263">
            <v>3671843</v>
          </cell>
          <cell r="B263" t="str">
            <v>福島コーティング</v>
          </cell>
          <cell r="C263" t="str">
            <v>プロセス材１課</v>
          </cell>
          <cell r="D263" t="str">
            <v>ダミー担当者</v>
          </cell>
          <cell r="E263" t="str">
            <v>リンテック㈱</v>
          </cell>
          <cell r="F263">
            <v>3</v>
          </cell>
          <cell r="G263" t="str">
            <v>S</v>
          </cell>
          <cell r="H263" t="str">
            <v>Y</v>
          </cell>
          <cell r="I263" t="str">
            <v>MLB</v>
          </cell>
          <cell r="J263"/>
          <cell r="K263" t="str">
            <v>MSSMBF</v>
          </cell>
          <cell r="L263">
            <v>25</v>
          </cell>
          <cell r="M263" t="str">
            <v>ＭＥＴＡＬＵＭＹ　ＳＩＬＶＥＲ　Ｓ－ＭＡＴＴＥ　Ｓ２８ＭＭ　Ｂ</v>
          </cell>
          <cell r="N263">
            <v>1120</v>
          </cell>
          <cell r="O263">
            <v>1120</v>
          </cell>
          <cell r="P263">
            <v>8000</v>
          </cell>
          <cell r="Q263">
            <v>2</v>
          </cell>
          <cell r="R263">
            <v>1</v>
          </cell>
          <cell r="S263" t="str">
            <v>本</v>
          </cell>
          <cell r="T263">
            <v>44763</v>
          </cell>
          <cell r="U263">
            <v>44795</v>
          </cell>
          <cell r="V263" t="str">
            <v>㈱須賀川東部鏡石</v>
          </cell>
          <cell r="W263"/>
          <cell r="X263"/>
        </row>
        <row r="264">
          <cell r="A264">
            <v>3671844</v>
          </cell>
          <cell r="B264" t="str">
            <v>福島コーティング</v>
          </cell>
          <cell r="C264" t="str">
            <v>プロセス材１課</v>
          </cell>
          <cell r="D264" t="str">
            <v>ダミー担当者</v>
          </cell>
          <cell r="E264" t="str">
            <v>リンテック㈱</v>
          </cell>
          <cell r="F264">
            <v>3</v>
          </cell>
          <cell r="G264" t="str">
            <v>S</v>
          </cell>
          <cell r="H264" t="str">
            <v>Y</v>
          </cell>
          <cell r="I264" t="str">
            <v>MLB</v>
          </cell>
          <cell r="J264"/>
          <cell r="K264" t="str">
            <v>MSNMBZF</v>
          </cell>
          <cell r="L264">
            <v>50</v>
          </cell>
          <cell r="M264" t="str">
            <v>ＭＥＴＡＬＵＭＹ　ＳＩＬＶＥＲ　Ｎ－ＭＡＴＴＥ　Ｂ</v>
          </cell>
          <cell r="N264">
            <v>1120</v>
          </cell>
          <cell r="O264">
            <v>1120</v>
          </cell>
          <cell r="P264">
            <v>4000</v>
          </cell>
          <cell r="Q264">
            <v>2</v>
          </cell>
          <cell r="R264">
            <v>16</v>
          </cell>
          <cell r="S264" t="str">
            <v>本</v>
          </cell>
          <cell r="T264">
            <v>44763</v>
          </cell>
          <cell r="U264">
            <v>44795</v>
          </cell>
          <cell r="V264" t="str">
            <v>㈱須賀川東部鏡石</v>
          </cell>
          <cell r="W264"/>
          <cell r="X264"/>
        </row>
        <row r="265">
          <cell r="A265">
            <v>3671845</v>
          </cell>
          <cell r="B265" t="str">
            <v>福島コーティング</v>
          </cell>
          <cell r="C265" t="str">
            <v>プロセス材１課</v>
          </cell>
          <cell r="D265" t="str">
            <v>ダミー担当者</v>
          </cell>
          <cell r="E265" t="str">
            <v>リンテック㈱</v>
          </cell>
          <cell r="F265">
            <v>3</v>
          </cell>
          <cell r="G265" t="str">
            <v>S</v>
          </cell>
          <cell r="H265" t="str">
            <v>Y</v>
          </cell>
          <cell r="I265" t="str">
            <v>MLB</v>
          </cell>
          <cell r="J265"/>
          <cell r="K265" t="str">
            <v>MSBBF</v>
          </cell>
          <cell r="L265">
            <v>25</v>
          </cell>
          <cell r="M265" t="str">
            <v>ＭＥＴＡＬＵＭＹ　ＳＩＬＶＥＲ　ＢＲＩＧＨＴ　Ｔ６２Ｍ　Ｂ</v>
          </cell>
          <cell r="N265">
            <v>1120</v>
          </cell>
          <cell r="O265">
            <v>1120</v>
          </cell>
          <cell r="P265">
            <v>8000</v>
          </cell>
          <cell r="Q265">
            <v>2</v>
          </cell>
          <cell r="R265">
            <v>1</v>
          </cell>
          <cell r="S265" t="str">
            <v>本</v>
          </cell>
          <cell r="T265">
            <v>44763</v>
          </cell>
          <cell r="U265">
            <v>44790</v>
          </cell>
          <cell r="V265" t="str">
            <v>㈱須賀川東部鏡石</v>
          </cell>
          <cell r="W265"/>
          <cell r="X265"/>
        </row>
        <row r="266">
          <cell r="A266">
            <v>3671846</v>
          </cell>
          <cell r="B266" t="str">
            <v>福島コーティング</v>
          </cell>
          <cell r="C266" t="str">
            <v>プロセス材１課</v>
          </cell>
          <cell r="D266" t="str">
            <v>ダミー担当者</v>
          </cell>
          <cell r="E266" t="str">
            <v>リンテック㈱</v>
          </cell>
          <cell r="F266">
            <v>3</v>
          </cell>
          <cell r="G266" t="str">
            <v>S</v>
          </cell>
          <cell r="H266" t="str">
            <v>Y</v>
          </cell>
          <cell r="I266" t="str">
            <v>MLB</v>
          </cell>
          <cell r="J266"/>
          <cell r="K266" t="str">
            <v>MSBBF</v>
          </cell>
          <cell r="L266">
            <v>50</v>
          </cell>
          <cell r="M266" t="str">
            <v>ＭＥＴＡＬＵＭＹ　ＳＩＬＶＥＲ　ＢＲＩＧＨＴ　Ｔ６２Ｍ　Ｂ</v>
          </cell>
          <cell r="N266">
            <v>1120</v>
          </cell>
          <cell r="O266">
            <v>1120</v>
          </cell>
          <cell r="P266">
            <v>5000</v>
          </cell>
          <cell r="Q266">
            <v>2</v>
          </cell>
          <cell r="R266">
            <v>2</v>
          </cell>
          <cell r="S266" t="str">
            <v>本</v>
          </cell>
          <cell r="T266">
            <v>44763</v>
          </cell>
          <cell r="U266">
            <v>44790</v>
          </cell>
          <cell r="V266" t="str">
            <v>㈱須賀川東部鏡石</v>
          </cell>
          <cell r="W266"/>
          <cell r="X266"/>
        </row>
        <row r="267">
          <cell r="A267">
            <v>3672286</v>
          </cell>
          <cell r="B267" t="str">
            <v>機能Ｆ　ラベル福島開</v>
          </cell>
          <cell r="C267" t="str">
            <v>プロセス材２課</v>
          </cell>
          <cell r="D267" t="str">
            <v>ダミー担当者</v>
          </cell>
          <cell r="E267" t="str">
            <v>栃木カネカ㈱電材検査</v>
          </cell>
          <cell r="F267">
            <v>3</v>
          </cell>
          <cell r="G267" t="str">
            <v>U</v>
          </cell>
          <cell r="H267" t="str">
            <v>N</v>
          </cell>
          <cell r="I267" t="str">
            <v>MLB</v>
          </cell>
          <cell r="J267"/>
          <cell r="K267" t="str">
            <v>KF9BF</v>
          </cell>
          <cell r="L267">
            <v>9</v>
          </cell>
          <cell r="M267" t="str">
            <v>ＫＦ－９Ｂ</v>
          </cell>
          <cell r="N267">
            <v>1360</v>
          </cell>
          <cell r="O267">
            <v>1360</v>
          </cell>
          <cell r="P267">
            <v>2100</v>
          </cell>
          <cell r="Q267">
            <v>2</v>
          </cell>
          <cell r="R267">
            <v>25</v>
          </cell>
          <cell r="S267" t="str">
            <v>本</v>
          </cell>
          <cell r="T267">
            <v>44767</v>
          </cell>
          <cell r="U267">
            <v>44851</v>
          </cell>
          <cell r="V267" t="str">
            <v>福島工場ＣＯ</v>
          </cell>
          <cell r="W267"/>
          <cell r="X267"/>
        </row>
        <row r="268">
          <cell r="A268">
            <v>3672431</v>
          </cell>
          <cell r="B268" t="str">
            <v>機能Ｆ　ラベル福島開</v>
          </cell>
          <cell r="C268" t="str">
            <v>プロセス材２課</v>
          </cell>
          <cell r="D268" t="str">
            <v>ダミー担当者</v>
          </cell>
          <cell r="E268" t="str">
            <v>栃木カネカ㈱電材検査</v>
          </cell>
          <cell r="F268">
            <v>3</v>
          </cell>
          <cell r="G268" t="str">
            <v>U</v>
          </cell>
          <cell r="H268" t="str">
            <v>N</v>
          </cell>
          <cell r="I268" t="str">
            <v>MLB</v>
          </cell>
          <cell r="J268"/>
          <cell r="K268" t="str">
            <v>KF9BF</v>
          </cell>
          <cell r="L268">
            <v>9</v>
          </cell>
          <cell r="M268" t="str">
            <v>ＫＦ－９Ｂ</v>
          </cell>
          <cell r="N268">
            <v>1200</v>
          </cell>
          <cell r="O268">
            <v>1200</v>
          </cell>
          <cell r="P268">
            <v>2000</v>
          </cell>
          <cell r="Q268">
            <v>2</v>
          </cell>
          <cell r="R268">
            <v>5</v>
          </cell>
          <cell r="S268" t="str">
            <v>本</v>
          </cell>
          <cell r="T268">
            <v>44769</v>
          </cell>
          <cell r="U268">
            <v>44773</v>
          </cell>
          <cell r="V268" t="str">
            <v>福島工場ＣＯ</v>
          </cell>
          <cell r="W268"/>
          <cell r="X268"/>
        </row>
        <row r="269">
          <cell r="A269">
            <v>3652290</v>
          </cell>
          <cell r="B269" t="str">
            <v>福島コーティング</v>
          </cell>
          <cell r="C269" t="str">
            <v>工材１部電材課</v>
          </cell>
          <cell r="D269" t="str">
            <v>ダミー担当者</v>
          </cell>
          <cell r="E269" t="str">
            <v>パナック㈱亀山工場</v>
          </cell>
          <cell r="F269">
            <v>3</v>
          </cell>
          <cell r="G269" t="str">
            <v>S</v>
          </cell>
          <cell r="H269" t="str">
            <v>Y</v>
          </cell>
          <cell r="I269" t="str">
            <v>CERA</v>
          </cell>
          <cell r="J269"/>
          <cell r="K269" t="str">
            <v>BKE09</v>
          </cell>
          <cell r="L269">
            <v>38</v>
          </cell>
          <cell r="M269" t="str">
            <v>ＣＥＲＡＰＥＥＬ　ＢＫＥ（０９）</v>
          </cell>
          <cell r="N269">
            <v>1037</v>
          </cell>
          <cell r="O269">
            <v>1030</v>
          </cell>
          <cell r="P269">
            <v>8400</v>
          </cell>
          <cell r="Q269">
            <v>2</v>
          </cell>
          <cell r="R269">
            <v>45</v>
          </cell>
          <cell r="S269" t="str">
            <v>本</v>
          </cell>
          <cell r="T269">
            <v>44613</v>
          </cell>
          <cell r="U269">
            <v>44632</v>
          </cell>
          <cell r="V269" t="str">
            <v>㈱須賀川東部鏡石</v>
          </cell>
          <cell r="W269"/>
          <cell r="X269"/>
        </row>
        <row r="270">
          <cell r="A270">
            <v>3653633</v>
          </cell>
          <cell r="B270" t="str">
            <v>情材福島開発</v>
          </cell>
          <cell r="C270" t="str">
            <v>大阪光学機能材課</v>
          </cell>
          <cell r="D270" t="str">
            <v>ダミー担当者</v>
          </cell>
          <cell r="E270"/>
          <cell r="F270">
            <v>3</v>
          </cell>
          <cell r="G270" t="str">
            <v>U</v>
          </cell>
          <cell r="H270" t="str">
            <v>N</v>
          </cell>
          <cell r="I270" t="str">
            <v>CERA</v>
          </cell>
          <cell r="J270"/>
          <cell r="K270" t="str">
            <v>JTKA07J</v>
          </cell>
          <cell r="L270">
            <v>38</v>
          </cell>
          <cell r="M270" t="str">
            <v>セラピール　ＪＴＫＡ０７（Ｊ）</v>
          </cell>
          <cell r="N270">
            <v>400</v>
          </cell>
          <cell r="O270">
            <v>400</v>
          </cell>
          <cell r="P270">
            <v>500</v>
          </cell>
          <cell r="Q270">
            <v>1</v>
          </cell>
          <cell r="R270">
            <v>6</v>
          </cell>
          <cell r="S270" t="str">
            <v>本</v>
          </cell>
          <cell r="T270">
            <v>44628</v>
          </cell>
          <cell r="U270">
            <v>44651</v>
          </cell>
          <cell r="V270" t="str">
            <v>福島工場ＣＯ</v>
          </cell>
          <cell r="W270"/>
          <cell r="X270"/>
        </row>
        <row r="271">
          <cell r="A271">
            <v>3653916</v>
          </cell>
          <cell r="B271" t="str">
            <v>情材福島開発</v>
          </cell>
          <cell r="C271" t="str">
            <v>大阪光学機能材課</v>
          </cell>
          <cell r="D271" t="str">
            <v>ダミー担当者</v>
          </cell>
          <cell r="E271"/>
          <cell r="F271">
            <v>3</v>
          </cell>
          <cell r="G271" t="str">
            <v>U</v>
          </cell>
          <cell r="H271" t="str">
            <v>N</v>
          </cell>
          <cell r="I271" t="str">
            <v>CERA</v>
          </cell>
          <cell r="J271"/>
          <cell r="K271" t="str">
            <v>TKA07PF</v>
          </cell>
          <cell r="L271">
            <v>38</v>
          </cell>
          <cell r="M271" t="str">
            <v>セラピール　ＴＫＡ０７（ＰＲＦ）</v>
          </cell>
          <cell r="N271">
            <v>1320</v>
          </cell>
          <cell r="O271">
            <v>1320</v>
          </cell>
          <cell r="P271">
            <v>2000</v>
          </cell>
          <cell r="Q271">
            <v>2</v>
          </cell>
          <cell r="R271">
            <v>1</v>
          </cell>
          <cell r="S271" t="str">
            <v>本</v>
          </cell>
          <cell r="T271">
            <v>44635</v>
          </cell>
          <cell r="U271">
            <v>44651</v>
          </cell>
          <cell r="V271" t="str">
            <v>福島工場ＣＯ</v>
          </cell>
          <cell r="W271"/>
          <cell r="X271"/>
        </row>
        <row r="272">
          <cell r="A272">
            <v>3656125</v>
          </cell>
          <cell r="B272" t="str">
            <v>情材福島開発</v>
          </cell>
          <cell r="C272" t="str">
            <v>大阪光学機能材課</v>
          </cell>
          <cell r="D272" t="str">
            <v>ダミー担当者</v>
          </cell>
          <cell r="E272"/>
          <cell r="F272">
            <v>3</v>
          </cell>
          <cell r="G272" t="str">
            <v>U</v>
          </cell>
          <cell r="H272" t="str">
            <v>N</v>
          </cell>
          <cell r="I272" t="str">
            <v>CERA</v>
          </cell>
          <cell r="J272"/>
          <cell r="K272" t="str">
            <v>TKA11PF</v>
          </cell>
          <cell r="L272">
            <v>38</v>
          </cell>
          <cell r="M272" t="str">
            <v>セラピール　ＴＫＡ１１（ＰＲＦ）</v>
          </cell>
          <cell r="N272">
            <v>1320</v>
          </cell>
          <cell r="O272">
            <v>1320</v>
          </cell>
          <cell r="P272">
            <v>2000</v>
          </cell>
          <cell r="Q272">
            <v>2</v>
          </cell>
          <cell r="R272">
            <v>1</v>
          </cell>
          <cell r="S272" t="str">
            <v>本</v>
          </cell>
          <cell r="T272">
            <v>44645</v>
          </cell>
          <cell r="U272">
            <v>44651</v>
          </cell>
          <cell r="V272" t="str">
            <v>福島工場ＣＯ</v>
          </cell>
          <cell r="W272"/>
          <cell r="X272"/>
        </row>
        <row r="273">
          <cell r="A273">
            <v>3656126</v>
          </cell>
          <cell r="B273" t="str">
            <v>情材福島開発</v>
          </cell>
          <cell r="C273" t="str">
            <v>大阪光学機能材課</v>
          </cell>
          <cell r="D273" t="str">
            <v>ダミー担当者</v>
          </cell>
          <cell r="E273"/>
          <cell r="F273">
            <v>3</v>
          </cell>
          <cell r="G273" t="str">
            <v>U</v>
          </cell>
          <cell r="H273" t="str">
            <v>N</v>
          </cell>
          <cell r="I273" t="str">
            <v>CERA</v>
          </cell>
          <cell r="J273"/>
          <cell r="K273" t="str">
            <v>TKA12PF</v>
          </cell>
          <cell r="L273">
            <v>38</v>
          </cell>
          <cell r="M273" t="str">
            <v>セラピール　ＴＫＡ１２（ＰＲＦ）</v>
          </cell>
          <cell r="N273">
            <v>1320</v>
          </cell>
          <cell r="O273">
            <v>1320</v>
          </cell>
          <cell r="P273">
            <v>2000</v>
          </cell>
          <cell r="Q273">
            <v>2</v>
          </cell>
          <cell r="R273">
            <v>1</v>
          </cell>
          <cell r="S273" t="str">
            <v>本</v>
          </cell>
          <cell r="T273">
            <v>44645</v>
          </cell>
          <cell r="U273">
            <v>44651</v>
          </cell>
          <cell r="V273" t="str">
            <v>福島工場ＣＯ</v>
          </cell>
          <cell r="W273"/>
          <cell r="X273"/>
        </row>
        <row r="274">
          <cell r="A274">
            <v>3656127</v>
          </cell>
          <cell r="B274" t="str">
            <v>情材福島開発</v>
          </cell>
          <cell r="C274" t="str">
            <v>大阪光学機能材課</v>
          </cell>
          <cell r="D274" t="str">
            <v>ダミー担当者</v>
          </cell>
          <cell r="E274"/>
          <cell r="F274">
            <v>3</v>
          </cell>
          <cell r="G274" t="str">
            <v>U</v>
          </cell>
          <cell r="H274" t="str">
            <v>N</v>
          </cell>
          <cell r="I274" t="str">
            <v>CERA</v>
          </cell>
          <cell r="J274"/>
          <cell r="K274" t="str">
            <v>TKA13PF</v>
          </cell>
          <cell r="L274">
            <v>38</v>
          </cell>
          <cell r="M274" t="str">
            <v>セラピール　ＴＫＡ１３（ＰＲＦ）</v>
          </cell>
          <cell r="N274">
            <v>1320</v>
          </cell>
          <cell r="O274">
            <v>1320</v>
          </cell>
          <cell r="P274">
            <v>2000</v>
          </cell>
          <cell r="Q274">
            <v>2</v>
          </cell>
          <cell r="R274">
            <v>1</v>
          </cell>
          <cell r="S274" t="str">
            <v>本</v>
          </cell>
          <cell r="T274">
            <v>44645</v>
          </cell>
          <cell r="U274">
            <v>44651</v>
          </cell>
          <cell r="V274" t="str">
            <v>福島工場ＣＯ</v>
          </cell>
          <cell r="W274"/>
          <cell r="X274"/>
        </row>
        <row r="275">
          <cell r="A275">
            <v>3656678</v>
          </cell>
          <cell r="B275" t="str">
            <v>情材福島開発</v>
          </cell>
          <cell r="C275" t="str">
            <v>工材１部大阪電材課</v>
          </cell>
          <cell r="D275" t="str">
            <v>ダミー担当者</v>
          </cell>
          <cell r="E275"/>
          <cell r="F275">
            <v>3</v>
          </cell>
          <cell r="G275" t="str">
            <v>U</v>
          </cell>
          <cell r="H275" t="str">
            <v>N</v>
          </cell>
          <cell r="I275" t="str">
            <v>CERA</v>
          </cell>
          <cell r="J275"/>
          <cell r="K275" t="str">
            <v>MFA44</v>
          </cell>
          <cell r="L275">
            <v>188</v>
          </cell>
          <cell r="M275" t="str">
            <v>セラピール　ＭＦＡ（４４）</v>
          </cell>
          <cell r="N275">
            <v>360</v>
          </cell>
          <cell r="O275">
            <v>360</v>
          </cell>
          <cell r="P275">
            <v>250</v>
          </cell>
          <cell r="Q275">
            <v>2</v>
          </cell>
          <cell r="R275">
            <v>6</v>
          </cell>
          <cell r="S275" t="str">
            <v>本</v>
          </cell>
          <cell r="T275">
            <v>44649</v>
          </cell>
          <cell r="U275">
            <v>44651</v>
          </cell>
          <cell r="V275" t="str">
            <v>福島工場ＣＯ</v>
          </cell>
          <cell r="W275"/>
          <cell r="X275"/>
        </row>
        <row r="276">
          <cell r="A276">
            <v>3657538</v>
          </cell>
          <cell r="B276" t="str">
            <v>情材福島開発</v>
          </cell>
          <cell r="C276" t="str">
            <v>大阪光学機能材課</v>
          </cell>
          <cell r="D276" t="str">
            <v>ダミー担当者</v>
          </cell>
          <cell r="E276"/>
          <cell r="F276">
            <v>3</v>
          </cell>
          <cell r="G276" t="str">
            <v>U</v>
          </cell>
          <cell r="H276" t="str">
            <v>N</v>
          </cell>
          <cell r="I276" t="str">
            <v>CERA</v>
          </cell>
          <cell r="J276"/>
          <cell r="K276" t="str">
            <v>MDAAS01</v>
          </cell>
          <cell r="L276">
            <v>38</v>
          </cell>
          <cell r="M276" t="str">
            <v>セラピール　ＭＤＡ／ＡＳ（０１）</v>
          </cell>
          <cell r="N276">
            <v>1560</v>
          </cell>
          <cell r="O276">
            <v>1560</v>
          </cell>
          <cell r="P276">
            <v>2500</v>
          </cell>
          <cell r="Q276">
            <v>2</v>
          </cell>
          <cell r="R276">
            <v>1</v>
          </cell>
          <cell r="S276" t="str">
            <v>本</v>
          </cell>
          <cell r="T276">
            <v>44665</v>
          </cell>
          <cell r="U276">
            <v>44679</v>
          </cell>
          <cell r="V276" t="str">
            <v>福島工場ＣＯ</v>
          </cell>
          <cell r="W276"/>
          <cell r="X276"/>
        </row>
        <row r="277">
          <cell r="A277">
            <v>3659648</v>
          </cell>
          <cell r="B277" t="str">
            <v>情材福島開発</v>
          </cell>
          <cell r="C277" t="str">
            <v>工材１部電材課</v>
          </cell>
          <cell r="D277" t="str">
            <v>ダミー担当者</v>
          </cell>
          <cell r="E277"/>
          <cell r="F277">
            <v>3</v>
          </cell>
          <cell r="G277" t="str">
            <v>U</v>
          </cell>
          <cell r="H277" t="str">
            <v>Y</v>
          </cell>
          <cell r="I277" t="str">
            <v>CERA</v>
          </cell>
          <cell r="J277"/>
          <cell r="K277" t="str">
            <v>SY18</v>
          </cell>
          <cell r="L277">
            <v>50</v>
          </cell>
          <cell r="M277" t="str">
            <v>セラピール　ＳＹ（１８）</v>
          </cell>
          <cell r="N277">
            <v>1300</v>
          </cell>
          <cell r="O277">
            <v>1300</v>
          </cell>
          <cell r="P277">
            <v>4000</v>
          </cell>
          <cell r="Q277">
            <v>2</v>
          </cell>
          <cell r="R277">
            <v>1</v>
          </cell>
          <cell r="S277" t="str">
            <v>本</v>
          </cell>
          <cell r="T277">
            <v>44672</v>
          </cell>
          <cell r="U277">
            <v>44679</v>
          </cell>
          <cell r="V277" t="str">
            <v>福島工場ＣＯ</v>
          </cell>
          <cell r="W277"/>
          <cell r="X277"/>
        </row>
        <row r="278">
          <cell r="A278">
            <v>3652277</v>
          </cell>
          <cell r="B278" t="str">
            <v>福島コーティング</v>
          </cell>
          <cell r="C278" t="str">
            <v>工材１部電材課</v>
          </cell>
          <cell r="D278" t="str">
            <v>ダミー担当者</v>
          </cell>
          <cell r="E278" t="str">
            <v>パナック㈱亀山工場</v>
          </cell>
          <cell r="F278">
            <v>3</v>
          </cell>
          <cell r="G278" t="str">
            <v>S</v>
          </cell>
          <cell r="H278" t="str">
            <v>N</v>
          </cell>
          <cell r="I278" t="str">
            <v>CERA</v>
          </cell>
          <cell r="J278" t="str">
            <v>75P</v>
          </cell>
          <cell r="K278" t="str">
            <v>WZ</v>
          </cell>
          <cell r="L278">
            <v>25</v>
          </cell>
          <cell r="M278" t="str">
            <v>セラピール　　　　　　　　　　　ＷＺ</v>
          </cell>
          <cell r="N278">
            <v>1040</v>
          </cell>
          <cell r="O278">
            <v>1030</v>
          </cell>
          <cell r="P278">
            <v>12000</v>
          </cell>
          <cell r="Q278">
            <v>2</v>
          </cell>
          <cell r="R278">
            <v>25</v>
          </cell>
          <cell r="S278" t="str">
            <v>本</v>
          </cell>
          <cell r="T278">
            <v>44613</v>
          </cell>
          <cell r="U278">
            <v>44632</v>
          </cell>
          <cell r="V278" t="str">
            <v>㈱須賀川東部鏡石</v>
          </cell>
          <cell r="W278"/>
          <cell r="X278"/>
        </row>
        <row r="279">
          <cell r="A279">
            <v>3652278</v>
          </cell>
          <cell r="B279" t="str">
            <v>福島コーティング</v>
          </cell>
          <cell r="C279" t="str">
            <v>工材１部電材課</v>
          </cell>
          <cell r="D279" t="str">
            <v>ダミー担当者</v>
          </cell>
          <cell r="E279" t="str">
            <v>パナック㈱亀山工場</v>
          </cell>
          <cell r="F279">
            <v>3</v>
          </cell>
          <cell r="G279" t="str">
            <v>S</v>
          </cell>
          <cell r="H279" t="str">
            <v>N</v>
          </cell>
          <cell r="I279" t="str">
            <v>CERA</v>
          </cell>
          <cell r="J279" t="str">
            <v>75P</v>
          </cell>
          <cell r="K279" t="str">
            <v>WZ</v>
          </cell>
          <cell r="L279">
            <v>25</v>
          </cell>
          <cell r="M279" t="str">
            <v>セラピール　　　　　　　　　　　ＷＺ</v>
          </cell>
          <cell r="N279">
            <v>1040</v>
          </cell>
          <cell r="O279">
            <v>1030</v>
          </cell>
          <cell r="P279">
            <v>12000</v>
          </cell>
          <cell r="Q279">
            <v>2</v>
          </cell>
          <cell r="R279">
            <v>7</v>
          </cell>
          <cell r="S279" t="str">
            <v>本</v>
          </cell>
          <cell r="T279">
            <v>44613</v>
          </cell>
          <cell r="U279">
            <v>44632</v>
          </cell>
          <cell r="V279" t="str">
            <v>㈱須賀川東部鏡石</v>
          </cell>
          <cell r="W279"/>
          <cell r="X279"/>
        </row>
        <row r="280">
          <cell r="A280">
            <v>3652279</v>
          </cell>
          <cell r="B280" t="str">
            <v>福島コーティング</v>
          </cell>
          <cell r="C280" t="str">
            <v>工材１部電材課</v>
          </cell>
          <cell r="D280" t="str">
            <v>ダミー担当者</v>
          </cell>
          <cell r="E280" t="str">
            <v>古河電気工業㈱</v>
          </cell>
          <cell r="F280">
            <v>3</v>
          </cell>
          <cell r="G280" t="str">
            <v>S</v>
          </cell>
          <cell r="H280" t="str">
            <v>N</v>
          </cell>
          <cell r="I280" t="str">
            <v>CERA</v>
          </cell>
          <cell r="J280"/>
          <cell r="K280" t="str">
            <v>WZE</v>
          </cell>
          <cell r="L280">
            <v>25</v>
          </cell>
          <cell r="M280" t="str">
            <v>セラピール　　　　　　　　　　　ＷＺ（Ｅ）</v>
          </cell>
          <cell r="N280">
            <v>1240</v>
          </cell>
          <cell r="O280">
            <v>1240</v>
          </cell>
          <cell r="P280">
            <v>6000</v>
          </cell>
          <cell r="Q280">
            <v>2</v>
          </cell>
          <cell r="R280">
            <v>6</v>
          </cell>
          <cell r="S280" t="str">
            <v>本</v>
          </cell>
          <cell r="T280">
            <v>44613</v>
          </cell>
          <cell r="U280">
            <v>44632</v>
          </cell>
          <cell r="V280" t="str">
            <v>㈱須賀川東部鏡石</v>
          </cell>
          <cell r="W280"/>
          <cell r="X280"/>
        </row>
        <row r="281">
          <cell r="A281">
            <v>3652280</v>
          </cell>
          <cell r="B281" t="str">
            <v>福島コーティング</v>
          </cell>
          <cell r="C281" t="str">
            <v>工材１部電材課</v>
          </cell>
          <cell r="D281" t="str">
            <v>ダミー担当者</v>
          </cell>
          <cell r="E281" t="str">
            <v>東洋包材㈱</v>
          </cell>
          <cell r="F281">
            <v>3</v>
          </cell>
          <cell r="G281" t="str">
            <v>S</v>
          </cell>
          <cell r="H281" t="str">
            <v>N</v>
          </cell>
          <cell r="I281" t="str">
            <v>CERA</v>
          </cell>
          <cell r="J281"/>
          <cell r="K281" t="str">
            <v>WZRX</v>
          </cell>
          <cell r="L281">
            <v>38</v>
          </cell>
          <cell r="M281" t="str">
            <v>セラピール　ＷＺ（ＲＸ）　　　　　　</v>
          </cell>
          <cell r="N281">
            <v>1135</v>
          </cell>
          <cell r="O281">
            <v>1130</v>
          </cell>
          <cell r="P281">
            <v>6000</v>
          </cell>
          <cell r="Q281">
            <v>2</v>
          </cell>
          <cell r="R281">
            <v>4</v>
          </cell>
          <cell r="S281" t="str">
            <v>本</v>
          </cell>
          <cell r="T281">
            <v>44613</v>
          </cell>
          <cell r="U281">
            <v>44632</v>
          </cell>
          <cell r="V281" t="str">
            <v>㈱須賀川東部鏡石</v>
          </cell>
          <cell r="W281"/>
          <cell r="X281"/>
        </row>
        <row r="282">
          <cell r="A282">
            <v>3652281</v>
          </cell>
          <cell r="B282" t="str">
            <v>福島コーティング</v>
          </cell>
          <cell r="C282" t="str">
            <v>工材１部電材課</v>
          </cell>
          <cell r="D282" t="str">
            <v>ダミー担当者</v>
          </cell>
          <cell r="E282" t="str">
            <v>東洋包材㈱</v>
          </cell>
          <cell r="F282">
            <v>3</v>
          </cell>
          <cell r="G282" t="str">
            <v>S</v>
          </cell>
          <cell r="H282" t="str">
            <v>N</v>
          </cell>
          <cell r="I282" t="str">
            <v>CERA</v>
          </cell>
          <cell r="J282"/>
          <cell r="K282" t="str">
            <v>WZT</v>
          </cell>
          <cell r="L282">
            <v>25</v>
          </cell>
          <cell r="M282" t="str">
            <v>セラピール　ＷＺ（Ｔ）</v>
          </cell>
          <cell r="N282">
            <v>1325</v>
          </cell>
          <cell r="O282">
            <v>1320</v>
          </cell>
          <cell r="P282">
            <v>8000</v>
          </cell>
          <cell r="Q282">
            <v>2</v>
          </cell>
          <cell r="R282">
            <v>1</v>
          </cell>
          <cell r="S282" t="str">
            <v>本</v>
          </cell>
          <cell r="T282">
            <v>44613</v>
          </cell>
          <cell r="U282">
            <v>44632</v>
          </cell>
          <cell r="V282" t="str">
            <v>㈱須賀川東部鏡石</v>
          </cell>
          <cell r="W282"/>
          <cell r="X282"/>
        </row>
        <row r="283">
          <cell r="A283">
            <v>3652283</v>
          </cell>
          <cell r="B283" t="str">
            <v>福島コーティング</v>
          </cell>
          <cell r="C283" t="str">
            <v>工材１部大阪電材課</v>
          </cell>
          <cell r="D283" t="str">
            <v>ダミー担当者</v>
          </cell>
          <cell r="E283" t="str">
            <v>東洋機材</v>
          </cell>
          <cell r="F283">
            <v>3</v>
          </cell>
          <cell r="G283" t="str">
            <v>S</v>
          </cell>
          <cell r="H283" t="str">
            <v>N</v>
          </cell>
          <cell r="I283" t="str">
            <v>CERA</v>
          </cell>
          <cell r="J283"/>
          <cell r="K283" t="str">
            <v>WZS</v>
          </cell>
          <cell r="L283">
            <v>125</v>
          </cell>
          <cell r="M283" t="str">
            <v>セラピール　ＷＺ（Ｓ）</v>
          </cell>
          <cell r="N283">
            <v>1230</v>
          </cell>
          <cell r="O283">
            <v>1225</v>
          </cell>
          <cell r="P283">
            <v>1800</v>
          </cell>
          <cell r="Q283">
            <v>2</v>
          </cell>
          <cell r="R283">
            <v>2</v>
          </cell>
          <cell r="S283" t="str">
            <v>本</v>
          </cell>
          <cell r="T283">
            <v>44613</v>
          </cell>
          <cell r="U283">
            <v>44632</v>
          </cell>
          <cell r="V283" t="str">
            <v>㈱須賀川東部鏡石</v>
          </cell>
          <cell r="W283"/>
          <cell r="X283"/>
        </row>
        <row r="284">
          <cell r="A284">
            <v>3652284</v>
          </cell>
          <cell r="B284" t="str">
            <v>福島コーティング</v>
          </cell>
          <cell r="C284" t="str">
            <v>プロセス材１課</v>
          </cell>
          <cell r="D284" t="str">
            <v>ダミー担当者</v>
          </cell>
          <cell r="E284" t="str">
            <v>リンテック㈱</v>
          </cell>
          <cell r="F284">
            <v>3</v>
          </cell>
          <cell r="G284" t="str">
            <v>S</v>
          </cell>
          <cell r="H284" t="str">
            <v>N</v>
          </cell>
          <cell r="I284" t="str">
            <v>CERA</v>
          </cell>
          <cell r="J284"/>
          <cell r="K284" t="str">
            <v>WZS</v>
          </cell>
          <cell r="L284">
            <v>38</v>
          </cell>
          <cell r="M284" t="str">
            <v>セラピール　　　　　　　　　　　ＷＺ（Ｓ）</v>
          </cell>
          <cell r="N284">
            <v>1005</v>
          </cell>
          <cell r="O284">
            <v>1000</v>
          </cell>
          <cell r="P284">
            <v>8000</v>
          </cell>
          <cell r="Q284">
            <v>2</v>
          </cell>
          <cell r="R284">
            <v>10</v>
          </cell>
          <cell r="S284" t="str">
            <v>本</v>
          </cell>
          <cell r="T284">
            <v>44613</v>
          </cell>
          <cell r="U284">
            <v>44659</v>
          </cell>
          <cell r="V284" t="str">
            <v>㈱須賀川東部鏡石</v>
          </cell>
          <cell r="W284"/>
          <cell r="X284"/>
        </row>
        <row r="285">
          <cell r="A285">
            <v>3652285</v>
          </cell>
          <cell r="B285" t="str">
            <v>福島コーティング</v>
          </cell>
          <cell r="C285" t="str">
            <v>プロセス材１課</v>
          </cell>
          <cell r="D285" t="str">
            <v>ダミー担当者</v>
          </cell>
          <cell r="E285" t="str">
            <v>リンテック㈱</v>
          </cell>
          <cell r="F285">
            <v>3</v>
          </cell>
          <cell r="G285" t="str">
            <v>S</v>
          </cell>
          <cell r="H285" t="str">
            <v>N</v>
          </cell>
          <cell r="I285" t="str">
            <v>CERA</v>
          </cell>
          <cell r="J285"/>
          <cell r="K285" t="str">
            <v>WZS</v>
          </cell>
          <cell r="L285">
            <v>38</v>
          </cell>
          <cell r="M285" t="str">
            <v>セラピール　　　　　　　　　　　ＷＺ（Ｓ）</v>
          </cell>
          <cell r="N285">
            <v>1415</v>
          </cell>
          <cell r="O285">
            <v>1410</v>
          </cell>
          <cell r="P285">
            <v>8000</v>
          </cell>
          <cell r="Q285">
            <v>2</v>
          </cell>
          <cell r="R285">
            <v>4</v>
          </cell>
          <cell r="S285" t="str">
            <v>本</v>
          </cell>
          <cell r="T285">
            <v>44613</v>
          </cell>
          <cell r="U285">
            <v>44645</v>
          </cell>
          <cell r="V285" t="str">
            <v>㈱須賀川東部鏡石</v>
          </cell>
          <cell r="W285"/>
          <cell r="X285"/>
        </row>
        <row r="286">
          <cell r="A286">
            <v>3652287</v>
          </cell>
          <cell r="B286" t="str">
            <v>福島コーティング</v>
          </cell>
          <cell r="C286" t="str">
            <v>工材１部大阪電材課</v>
          </cell>
          <cell r="D286" t="str">
            <v>ダミー担当者</v>
          </cell>
          <cell r="E286" t="str">
            <v>日東電工㈱亀山購買課</v>
          </cell>
          <cell r="F286">
            <v>3</v>
          </cell>
          <cell r="G286" t="str">
            <v>S</v>
          </cell>
          <cell r="H286" t="str">
            <v>N</v>
          </cell>
          <cell r="I286" t="str">
            <v>CERA</v>
          </cell>
          <cell r="J286"/>
          <cell r="K286" t="str">
            <v>WZRX</v>
          </cell>
          <cell r="L286">
            <v>25</v>
          </cell>
          <cell r="M286" t="str">
            <v>セラピール　ＷＺ（ＲＸ）　　　　　　</v>
          </cell>
          <cell r="N286">
            <v>450</v>
          </cell>
          <cell r="O286">
            <v>450</v>
          </cell>
          <cell r="P286">
            <v>4000</v>
          </cell>
          <cell r="Q286">
            <v>2</v>
          </cell>
          <cell r="R286">
            <v>12</v>
          </cell>
          <cell r="S286" t="str">
            <v>本</v>
          </cell>
          <cell r="T286">
            <v>44613</v>
          </cell>
          <cell r="U286">
            <v>44632</v>
          </cell>
          <cell r="V286" t="str">
            <v>㈱須賀川東部鏡石</v>
          </cell>
          <cell r="W286"/>
          <cell r="X286"/>
        </row>
        <row r="287">
          <cell r="A287">
            <v>3652288</v>
          </cell>
          <cell r="B287" t="str">
            <v>福島コーティング</v>
          </cell>
          <cell r="C287" t="str">
            <v>工材１部大阪電材課</v>
          </cell>
          <cell r="D287" t="str">
            <v>ダミー担当者</v>
          </cell>
          <cell r="E287" t="str">
            <v>ナガセケム　播磨</v>
          </cell>
          <cell r="F287">
            <v>3</v>
          </cell>
          <cell r="G287" t="str">
            <v>S</v>
          </cell>
          <cell r="H287" t="str">
            <v>N</v>
          </cell>
          <cell r="I287" t="str">
            <v>CERA</v>
          </cell>
          <cell r="J287"/>
          <cell r="K287" t="str">
            <v>SY08</v>
          </cell>
          <cell r="L287">
            <v>25</v>
          </cell>
          <cell r="M287" t="str">
            <v>セラピール　ＳＹ（０８）</v>
          </cell>
          <cell r="N287">
            <v>500</v>
          </cell>
          <cell r="O287">
            <v>500</v>
          </cell>
          <cell r="P287">
            <v>4000</v>
          </cell>
          <cell r="Q287">
            <v>2</v>
          </cell>
          <cell r="R287">
            <v>54</v>
          </cell>
          <cell r="S287" t="str">
            <v>本</v>
          </cell>
          <cell r="T287">
            <v>44613</v>
          </cell>
          <cell r="U287">
            <v>44632</v>
          </cell>
          <cell r="V287" t="str">
            <v>㈱須賀川東部鏡石</v>
          </cell>
          <cell r="W287"/>
          <cell r="X287"/>
        </row>
        <row r="288">
          <cell r="A288">
            <v>3652289</v>
          </cell>
          <cell r="B288" t="str">
            <v>福島コーティング</v>
          </cell>
          <cell r="C288" t="str">
            <v>工材１部電材課</v>
          </cell>
          <cell r="D288" t="str">
            <v>ダミー担当者</v>
          </cell>
          <cell r="E288" t="str">
            <v>積水化学武蔵工場</v>
          </cell>
          <cell r="F288">
            <v>3</v>
          </cell>
          <cell r="G288" t="str">
            <v>S</v>
          </cell>
          <cell r="H288" t="str">
            <v>N</v>
          </cell>
          <cell r="I288" t="str">
            <v>CERA</v>
          </cell>
          <cell r="J288"/>
          <cell r="K288" t="str">
            <v>BKU</v>
          </cell>
          <cell r="L288">
            <v>25</v>
          </cell>
          <cell r="M288" t="str">
            <v>セラピ－ル　ＢＫ（Ｕ）</v>
          </cell>
          <cell r="N288">
            <v>890</v>
          </cell>
          <cell r="O288">
            <v>890</v>
          </cell>
          <cell r="P288">
            <v>3800</v>
          </cell>
          <cell r="Q288">
            <v>2</v>
          </cell>
          <cell r="R288">
            <v>6</v>
          </cell>
          <cell r="S288" t="str">
            <v>本</v>
          </cell>
          <cell r="T288">
            <v>44613</v>
          </cell>
          <cell r="U288">
            <v>44632</v>
          </cell>
          <cell r="V288" t="str">
            <v>㈱須賀川東部鏡石</v>
          </cell>
          <cell r="W288"/>
          <cell r="X288"/>
        </row>
        <row r="289">
          <cell r="A289">
            <v>3652292</v>
          </cell>
          <cell r="B289" t="str">
            <v>福島コーティング</v>
          </cell>
          <cell r="C289" t="str">
            <v>工材１部大阪電材課</v>
          </cell>
          <cell r="D289" t="str">
            <v>ダミー担当者</v>
          </cell>
          <cell r="E289" t="str">
            <v>住友電工プリント</v>
          </cell>
          <cell r="F289">
            <v>3</v>
          </cell>
          <cell r="G289" t="str">
            <v>S</v>
          </cell>
          <cell r="H289" t="str">
            <v>N</v>
          </cell>
          <cell r="I289" t="str">
            <v>CERA</v>
          </cell>
          <cell r="J289"/>
          <cell r="K289" t="str">
            <v>BX8ARX</v>
          </cell>
          <cell r="L289">
            <v>38</v>
          </cell>
          <cell r="M289" t="str">
            <v>セラピール　ＢＸ８ＡＲＸ</v>
          </cell>
          <cell r="N289">
            <v>535</v>
          </cell>
          <cell r="O289">
            <v>535</v>
          </cell>
          <cell r="P289">
            <v>2000</v>
          </cell>
          <cell r="Q289">
            <v>2</v>
          </cell>
          <cell r="R289">
            <v>36</v>
          </cell>
          <cell r="S289" t="str">
            <v>本</v>
          </cell>
          <cell r="T289">
            <v>44613</v>
          </cell>
          <cell r="U289">
            <v>44638</v>
          </cell>
          <cell r="V289" t="str">
            <v>㈱須賀川東部鏡石</v>
          </cell>
          <cell r="W289"/>
          <cell r="X289"/>
        </row>
        <row r="290">
          <cell r="A290">
            <v>3652293</v>
          </cell>
          <cell r="B290" t="str">
            <v>福島コーティング</v>
          </cell>
          <cell r="C290" t="str">
            <v>工材１部大阪電材課</v>
          </cell>
          <cell r="D290" t="str">
            <v>ダミー担当者</v>
          </cell>
          <cell r="E290" t="str">
            <v>利昌工業　尼崎工場</v>
          </cell>
          <cell r="F290">
            <v>3</v>
          </cell>
          <cell r="G290" t="str">
            <v>S</v>
          </cell>
          <cell r="H290" t="str">
            <v>N</v>
          </cell>
          <cell r="I290" t="str">
            <v>CERA</v>
          </cell>
          <cell r="J290"/>
          <cell r="K290" t="str">
            <v>BX8ARX</v>
          </cell>
          <cell r="L290">
            <v>25</v>
          </cell>
          <cell r="M290" t="str">
            <v>セラピール　ＢＸ８Ａ（ＲＸ）</v>
          </cell>
          <cell r="N290">
            <v>740</v>
          </cell>
          <cell r="O290">
            <v>740</v>
          </cell>
          <cell r="P290">
            <v>2100</v>
          </cell>
          <cell r="Q290">
            <v>1</v>
          </cell>
          <cell r="R290">
            <v>72</v>
          </cell>
          <cell r="S290" t="str">
            <v>本</v>
          </cell>
          <cell r="T290">
            <v>44613</v>
          </cell>
          <cell r="U290">
            <v>44638</v>
          </cell>
          <cell r="V290" t="str">
            <v>㈱須賀川東部鏡石</v>
          </cell>
          <cell r="W290"/>
          <cell r="X290"/>
        </row>
        <row r="291">
          <cell r="A291">
            <v>3652294</v>
          </cell>
          <cell r="B291" t="str">
            <v>福島コーティング</v>
          </cell>
          <cell r="C291" t="str">
            <v>工材１部電材課</v>
          </cell>
          <cell r="D291" t="str">
            <v>ダミー担当者</v>
          </cell>
          <cell r="E291" t="str">
            <v>パナック㈱亀山工場</v>
          </cell>
          <cell r="F291">
            <v>331</v>
          </cell>
          <cell r="G291" t="str">
            <v>S</v>
          </cell>
          <cell r="H291" t="str">
            <v>N</v>
          </cell>
          <cell r="I291" t="str">
            <v>CERA</v>
          </cell>
          <cell r="J291" t="str">
            <v>75P</v>
          </cell>
          <cell r="K291" t="str">
            <v>BX8ARXA</v>
          </cell>
          <cell r="L291">
            <v>38</v>
          </cell>
          <cell r="M291" t="str">
            <v>セラピール　ＢＸ８ＡＲＸ</v>
          </cell>
          <cell r="N291">
            <v>1330</v>
          </cell>
          <cell r="O291">
            <v>1330</v>
          </cell>
          <cell r="P291">
            <v>6000</v>
          </cell>
          <cell r="Q291">
            <v>2</v>
          </cell>
          <cell r="R291">
            <v>46</v>
          </cell>
          <cell r="S291" t="str">
            <v>本</v>
          </cell>
          <cell r="T291">
            <v>44613</v>
          </cell>
          <cell r="U291">
            <v>44638</v>
          </cell>
          <cell r="V291" t="str">
            <v>㈱須賀川東部鏡石</v>
          </cell>
          <cell r="W291"/>
          <cell r="X291"/>
        </row>
        <row r="292">
          <cell r="A292">
            <v>3652295</v>
          </cell>
          <cell r="B292" t="str">
            <v>福島コーティング</v>
          </cell>
          <cell r="C292" t="str">
            <v>工材１部電材課</v>
          </cell>
          <cell r="D292" t="str">
            <v>ダミー担当者</v>
          </cell>
          <cell r="E292" t="str">
            <v>㈱巴川製紙所</v>
          </cell>
          <cell r="F292">
            <v>331</v>
          </cell>
          <cell r="G292" t="str">
            <v>S</v>
          </cell>
          <cell r="H292" t="str">
            <v>N</v>
          </cell>
          <cell r="I292" t="str">
            <v>CERA</v>
          </cell>
          <cell r="J292"/>
          <cell r="K292" t="str">
            <v>BX8ARXT</v>
          </cell>
          <cell r="L292">
            <v>38</v>
          </cell>
          <cell r="M292" t="str">
            <v>セラピール　ＢＸ８ＡＲＸ</v>
          </cell>
          <cell r="N292">
            <v>1330</v>
          </cell>
          <cell r="O292">
            <v>1330</v>
          </cell>
          <cell r="P292">
            <v>6000</v>
          </cell>
          <cell r="Q292">
            <v>2</v>
          </cell>
          <cell r="R292">
            <v>16</v>
          </cell>
          <cell r="S292" t="str">
            <v>本</v>
          </cell>
          <cell r="T292">
            <v>44613</v>
          </cell>
          <cell r="U292">
            <v>44638</v>
          </cell>
          <cell r="V292" t="str">
            <v>㈱須賀川東部鏡石</v>
          </cell>
          <cell r="W292"/>
          <cell r="X292"/>
        </row>
        <row r="293">
          <cell r="A293">
            <v>3652297</v>
          </cell>
          <cell r="B293" t="str">
            <v>福島コーティング</v>
          </cell>
          <cell r="C293" t="str">
            <v>工材１部電材課</v>
          </cell>
          <cell r="D293" t="str">
            <v>ダミー担当者</v>
          </cell>
          <cell r="E293" t="str">
            <v>パナック㈱亀山工場</v>
          </cell>
          <cell r="F293">
            <v>3</v>
          </cell>
          <cell r="G293" t="str">
            <v>S</v>
          </cell>
          <cell r="H293" t="str">
            <v>N</v>
          </cell>
          <cell r="I293" t="str">
            <v>CERA</v>
          </cell>
          <cell r="J293"/>
          <cell r="K293" t="str">
            <v>BKE09</v>
          </cell>
          <cell r="L293">
            <v>38</v>
          </cell>
          <cell r="M293" t="str">
            <v>セラピール　ＢＫＥ（０９）</v>
          </cell>
          <cell r="N293">
            <v>1057</v>
          </cell>
          <cell r="O293">
            <v>1050</v>
          </cell>
          <cell r="P293">
            <v>8400</v>
          </cell>
          <cell r="Q293">
            <v>2</v>
          </cell>
          <cell r="R293">
            <v>12</v>
          </cell>
          <cell r="S293" t="str">
            <v>本</v>
          </cell>
          <cell r="T293">
            <v>44613</v>
          </cell>
          <cell r="U293">
            <v>44642</v>
          </cell>
          <cell r="V293" t="str">
            <v>㈱須賀川東部鏡石</v>
          </cell>
          <cell r="W293"/>
          <cell r="X293"/>
        </row>
        <row r="294">
          <cell r="A294">
            <v>3652298</v>
          </cell>
          <cell r="B294" t="str">
            <v>福島コーティング</v>
          </cell>
          <cell r="C294" t="str">
            <v>工材１部電材課</v>
          </cell>
          <cell r="D294" t="str">
            <v>ダミー担当者</v>
          </cell>
          <cell r="E294" t="str">
            <v>パナック㈱亀山工場</v>
          </cell>
          <cell r="F294">
            <v>331</v>
          </cell>
          <cell r="G294" t="str">
            <v>S</v>
          </cell>
          <cell r="H294" t="str">
            <v>N</v>
          </cell>
          <cell r="I294" t="str">
            <v>CERA</v>
          </cell>
          <cell r="J294" t="str">
            <v>75P</v>
          </cell>
          <cell r="K294" t="str">
            <v>BKERXPT</v>
          </cell>
          <cell r="L294">
            <v>38</v>
          </cell>
          <cell r="M294" t="str">
            <v>セラピール　ＢＫＥ（ＲＸ）</v>
          </cell>
          <cell r="N294">
            <v>1330</v>
          </cell>
          <cell r="O294">
            <v>1330</v>
          </cell>
          <cell r="P294">
            <v>6000</v>
          </cell>
          <cell r="Q294">
            <v>2</v>
          </cell>
          <cell r="R294">
            <v>44</v>
          </cell>
          <cell r="S294" t="str">
            <v>本</v>
          </cell>
          <cell r="T294">
            <v>44613</v>
          </cell>
          <cell r="U294">
            <v>44642</v>
          </cell>
          <cell r="V294" t="str">
            <v>㈱須賀川東部鏡石</v>
          </cell>
          <cell r="W294"/>
          <cell r="X294"/>
        </row>
        <row r="295">
          <cell r="A295">
            <v>3652299</v>
          </cell>
          <cell r="B295" t="str">
            <v>福島コーティング</v>
          </cell>
          <cell r="C295" t="str">
            <v>工材１部電材課</v>
          </cell>
          <cell r="D295" t="str">
            <v>ダミー担当者</v>
          </cell>
          <cell r="E295" t="str">
            <v>㈱巴川製紙所</v>
          </cell>
          <cell r="F295">
            <v>331</v>
          </cell>
          <cell r="G295" t="str">
            <v>S</v>
          </cell>
          <cell r="H295" t="str">
            <v>N</v>
          </cell>
          <cell r="I295" t="str">
            <v>CERA</v>
          </cell>
          <cell r="J295"/>
          <cell r="K295" t="str">
            <v>BKERXT</v>
          </cell>
          <cell r="L295">
            <v>38</v>
          </cell>
          <cell r="M295" t="str">
            <v>セラピール　ＢＫＥ（ＲＸ）</v>
          </cell>
          <cell r="N295">
            <v>1330</v>
          </cell>
          <cell r="O295">
            <v>1330</v>
          </cell>
          <cell r="P295">
            <v>6000</v>
          </cell>
          <cell r="Q295">
            <v>2</v>
          </cell>
          <cell r="R295">
            <v>8</v>
          </cell>
          <cell r="S295" t="str">
            <v>本</v>
          </cell>
          <cell r="T295">
            <v>44613</v>
          </cell>
          <cell r="U295">
            <v>44642</v>
          </cell>
          <cell r="V295" t="str">
            <v>㈱須賀川東部鏡石</v>
          </cell>
          <cell r="W295"/>
          <cell r="X295"/>
        </row>
        <row r="296">
          <cell r="A296">
            <v>3652300</v>
          </cell>
          <cell r="B296" t="str">
            <v>福島コーティング</v>
          </cell>
          <cell r="C296" t="str">
            <v>光学機能材１課</v>
          </cell>
          <cell r="D296" t="str">
            <v>ダミー担当者</v>
          </cell>
          <cell r="E296" t="str">
            <v>㈱きもと　三重工場</v>
          </cell>
          <cell r="F296">
            <v>3</v>
          </cell>
          <cell r="G296" t="str">
            <v>S</v>
          </cell>
          <cell r="H296" t="str">
            <v>N</v>
          </cell>
          <cell r="I296" t="str">
            <v>CERA</v>
          </cell>
          <cell r="J296"/>
          <cell r="K296" t="str">
            <v>BKUK</v>
          </cell>
          <cell r="L296">
            <v>25</v>
          </cell>
          <cell r="M296" t="str">
            <v>セラピール　ＢＫ（Ｕ）Ｋ</v>
          </cell>
          <cell r="N296">
            <v>1045</v>
          </cell>
          <cell r="O296">
            <v>1040</v>
          </cell>
          <cell r="P296">
            <v>6000</v>
          </cell>
          <cell r="Q296">
            <v>2</v>
          </cell>
          <cell r="R296">
            <v>14</v>
          </cell>
          <cell r="S296" t="str">
            <v>本</v>
          </cell>
          <cell r="T296">
            <v>44613</v>
          </cell>
          <cell r="U296">
            <v>44642</v>
          </cell>
          <cell r="V296" t="str">
            <v>㈱須賀川東部鏡石</v>
          </cell>
          <cell r="W296"/>
          <cell r="X296"/>
        </row>
        <row r="297">
          <cell r="A297">
            <v>3652301</v>
          </cell>
          <cell r="B297" t="str">
            <v>福島コーティング</v>
          </cell>
          <cell r="C297" t="str">
            <v>光学機能材１課</v>
          </cell>
          <cell r="D297" t="str">
            <v>ダミー担当者</v>
          </cell>
          <cell r="E297" t="str">
            <v>㈱きもと　三重工場</v>
          </cell>
          <cell r="F297">
            <v>3</v>
          </cell>
          <cell r="G297" t="str">
            <v>S</v>
          </cell>
          <cell r="H297" t="str">
            <v>N</v>
          </cell>
          <cell r="I297" t="str">
            <v>CERA</v>
          </cell>
          <cell r="J297"/>
          <cell r="K297" t="str">
            <v>BKUK</v>
          </cell>
          <cell r="L297">
            <v>25</v>
          </cell>
          <cell r="M297" t="str">
            <v>セラピール　ＢＫ（Ｕ）Ｋ</v>
          </cell>
          <cell r="N297">
            <v>1085</v>
          </cell>
          <cell r="O297">
            <v>1080</v>
          </cell>
          <cell r="P297">
            <v>6000</v>
          </cell>
          <cell r="Q297">
            <v>2</v>
          </cell>
          <cell r="R297">
            <v>6</v>
          </cell>
          <cell r="S297" t="str">
            <v>本</v>
          </cell>
          <cell r="T297">
            <v>44613</v>
          </cell>
          <cell r="U297">
            <v>44642</v>
          </cell>
          <cell r="V297" t="str">
            <v>㈱須賀川東部鏡石</v>
          </cell>
          <cell r="W297"/>
          <cell r="X297"/>
        </row>
        <row r="298">
          <cell r="A298">
            <v>3652302</v>
          </cell>
          <cell r="B298" t="str">
            <v>福島コーティング</v>
          </cell>
          <cell r="C298" t="str">
            <v>工材１部大阪電材課</v>
          </cell>
          <cell r="D298" t="str">
            <v>ダミー担当者</v>
          </cell>
          <cell r="E298" t="str">
            <v>住友べークライト尼崎</v>
          </cell>
          <cell r="F298">
            <v>331</v>
          </cell>
          <cell r="G298" t="str">
            <v>S</v>
          </cell>
          <cell r="H298" t="str">
            <v>N</v>
          </cell>
          <cell r="I298" t="str">
            <v>CERA</v>
          </cell>
          <cell r="J298"/>
          <cell r="K298" t="str">
            <v>MDARX</v>
          </cell>
          <cell r="L298">
            <v>38</v>
          </cell>
          <cell r="M298" t="str">
            <v>セラピール　　　　　　　　　　　ＭＤＡ（ＲＸ）</v>
          </cell>
          <cell r="N298">
            <v>315</v>
          </cell>
          <cell r="O298">
            <v>415</v>
          </cell>
          <cell r="P298">
            <v>1950</v>
          </cell>
          <cell r="Q298">
            <v>2</v>
          </cell>
          <cell r="R298">
            <v>54</v>
          </cell>
          <cell r="S298" t="str">
            <v>本</v>
          </cell>
          <cell r="T298">
            <v>44613</v>
          </cell>
          <cell r="U298">
            <v>44645</v>
          </cell>
          <cell r="V298" t="str">
            <v>㈱須賀川東部鏡石</v>
          </cell>
          <cell r="W298"/>
          <cell r="X298"/>
        </row>
        <row r="299">
          <cell r="A299">
            <v>3652303</v>
          </cell>
          <cell r="B299" t="str">
            <v>福島コーティング</v>
          </cell>
          <cell r="C299" t="str">
            <v>工材１部大阪電材課</v>
          </cell>
          <cell r="D299" t="str">
            <v>ダミー担当者</v>
          </cell>
          <cell r="E299" t="str">
            <v>日東電工㈱豊橋工場</v>
          </cell>
          <cell r="F299">
            <v>3313</v>
          </cell>
          <cell r="G299" t="str">
            <v>S</v>
          </cell>
          <cell r="H299" t="str">
            <v>N</v>
          </cell>
          <cell r="I299" t="str">
            <v>CERA</v>
          </cell>
          <cell r="J299">
            <v>143</v>
          </cell>
          <cell r="K299" t="str">
            <v>MD(A)R</v>
          </cell>
          <cell r="L299">
            <v>38</v>
          </cell>
          <cell r="M299" t="str">
            <v>セラピール　ＭＤ（Ａ）（Ｒ）</v>
          </cell>
          <cell r="N299">
            <v>750</v>
          </cell>
          <cell r="O299">
            <v>750</v>
          </cell>
          <cell r="P299">
            <v>6000</v>
          </cell>
          <cell r="Q299">
            <v>2</v>
          </cell>
          <cell r="R299">
            <v>40</v>
          </cell>
          <cell r="S299" t="str">
            <v>本</v>
          </cell>
          <cell r="T299">
            <v>44613</v>
          </cell>
          <cell r="U299">
            <v>44645</v>
          </cell>
          <cell r="V299" t="str">
            <v>㈱須賀川東部鏡石</v>
          </cell>
          <cell r="W299"/>
          <cell r="X299"/>
        </row>
        <row r="300">
          <cell r="A300">
            <v>3652304</v>
          </cell>
          <cell r="B300" t="str">
            <v>福島コーティング</v>
          </cell>
          <cell r="C300" t="str">
            <v>工材１部大阪電材課</v>
          </cell>
          <cell r="D300" t="str">
            <v>ダミー担当者</v>
          </cell>
          <cell r="E300" t="str">
            <v>日東電工㈱豊橋工場</v>
          </cell>
          <cell r="F300">
            <v>331</v>
          </cell>
          <cell r="G300" t="str">
            <v>S</v>
          </cell>
          <cell r="H300" t="str">
            <v>N</v>
          </cell>
          <cell r="I300" t="str">
            <v>CERA</v>
          </cell>
          <cell r="J300">
            <v>143</v>
          </cell>
          <cell r="K300" t="str">
            <v>MD(A)R</v>
          </cell>
          <cell r="L300">
            <v>38</v>
          </cell>
          <cell r="M300" t="str">
            <v>セラピール　ＭＤ（Ａ）（Ｒ）</v>
          </cell>
          <cell r="N300">
            <v>1255</v>
          </cell>
          <cell r="O300">
            <v>1250</v>
          </cell>
          <cell r="P300">
            <v>6000</v>
          </cell>
          <cell r="Q300">
            <v>2</v>
          </cell>
          <cell r="R300">
            <v>52</v>
          </cell>
          <cell r="S300" t="str">
            <v>本</v>
          </cell>
          <cell r="T300">
            <v>44613</v>
          </cell>
          <cell r="U300">
            <v>44645</v>
          </cell>
          <cell r="V300" t="str">
            <v>㈱須賀川東部鏡石</v>
          </cell>
          <cell r="W300"/>
          <cell r="X300"/>
        </row>
        <row r="301">
          <cell r="A301">
            <v>3652305</v>
          </cell>
          <cell r="B301" t="str">
            <v>福島コーティング</v>
          </cell>
          <cell r="C301" t="str">
            <v>大阪光学機能材課</v>
          </cell>
          <cell r="D301" t="str">
            <v>ダミー担当者</v>
          </cell>
          <cell r="E301" t="str">
            <v>日東電工㈱尾道事業所</v>
          </cell>
          <cell r="F301">
            <v>3321</v>
          </cell>
          <cell r="G301" t="str">
            <v>S</v>
          </cell>
          <cell r="H301" t="str">
            <v>N</v>
          </cell>
          <cell r="I301" t="str">
            <v>CERA</v>
          </cell>
          <cell r="J301" t="str">
            <v>KLR</v>
          </cell>
          <cell r="K301" t="str">
            <v>MDACPFL</v>
          </cell>
          <cell r="L301">
            <v>38</v>
          </cell>
          <cell r="M301" t="str">
            <v>Ｋ　セラピールＭＤＡ（ＣＰＲＦ）Ｌ</v>
          </cell>
          <cell r="N301">
            <v>1336</v>
          </cell>
          <cell r="O301">
            <v>1325</v>
          </cell>
          <cell r="P301">
            <v>12000</v>
          </cell>
          <cell r="Q301">
            <v>2</v>
          </cell>
          <cell r="R301">
            <v>24</v>
          </cell>
          <cell r="S301" t="str">
            <v>本</v>
          </cell>
          <cell r="T301">
            <v>44613</v>
          </cell>
          <cell r="U301">
            <v>44645</v>
          </cell>
          <cell r="V301" t="str">
            <v>㈱須賀川東部鏡石</v>
          </cell>
          <cell r="W301"/>
          <cell r="X301"/>
        </row>
        <row r="302">
          <cell r="A302">
            <v>3652306</v>
          </cell>
          <cell r="B302" t="str">
            <v>福島コーティング</v>
          </cell>
          <cell r="C302" t="str">
            <v>大阪光学機能材課</v>
          </cell>
          <cell r="D302" t="str">
            <v>ダミー担当者</v>
          </cell>
          <cell r="E302" t="str">
            <v>日東電工㈱尾道事業所</v>
          </cell>
          <cell r="F302">
            <v>3321</v>
          </cell>
          <cell r="G302" t="str">
            <v>S</v>
          </cell>
          <cell r="H302" t="str">
            <v>N</v>
          </cell>
          <cell r="I302" t="str">
            <v>CERA</v>
          </cell>
          <cell r="J302" t="str">
            <v>KLR</v>
          </cell>
          <cell r="K302" t="str">
            <v>MDAPFL</v>
          </cell>
          <cell r="L302">
            <v>38</v>
          </cell>
          <cell r="M302" t="str">
            <v>Ｋ　セラピールＭＤＡ（ＰＲＦ）Ｌ</v>
          </cell>
          <cell r="N302">
            <v>1336</v>
          </cell>
          <cell r="O302">
            <v>1325</v>
          </cell>
          <cell r="P302">
            <v>12000</v>
          </cell>
          <cell r="Q302">
            <v>2</v>
          </cell>
          <cell r="R302">
            <v>59</v>
          </cell>
          <cell r="S302" t="str">
            <v>本</v>
          </cell>
          <cell r="T302">
            <v>44613</v>
          </cell>
          <cell r="U302">
            <v>44645</v>
          </cell>
          <cell r="V302" t="str">
            <v>㈱須賀川東部鏡石</v>
          </cell>
          <cell r="W302"/>
          <cell r="X302"/>
        </row>
        <row r="303">
          <cell r="A303">
            <v>3652307</v>
          </cell>
          <cell r="B303" t="str">
            <v>福島コーティング</v>
          </cell>
          <cell r="C303" t="str">
            <v>プロセス材１課</v>
          </cell>
          <cell r="D303" t="str">
            <v>ダミー担当者</v>
          </cell>
          <cell r="E303" t="str">
            <v>リンテック㈱</v>
          </cell>
          <cell r="F303">
            <v>3</v>
          </cell>
          <cell r="G303" t="str">
            <v>S</v>
          </cell>
          <cell r="H303" t="str">
            <v>N</v>
          </cell>
          <cell r="I303" t="str">
            <v>CERA</v>
          </cell>
          <cell r="J303"/>
          <cell r="K303" t="str">
            <v>WZS</v>
          </cell>
          <cell r="L303">
            <v>38</v>
          </cell>
          <cell r="M303" t="str">
            <v>セラピール　　　　　　　　　　　ＷＺ（Ｓ）</v>
          </cell>
          <cell r="N303">
            <v>1125</v>
          </cell>
          <cell r="O303">
            <v>1120</v>
          </cell>
          <cell r="P303">
            <v>6000</v>
          </cell>
          <cell r="Q303">
            <v>2</v>
          </cell>
          <cell r="R303">
            <v>7</v>
          </cell>
          <cell r="S303" t="str">
            <v>本</v>
          </cell>
          <cell r="T303">
            <v>44613</v>
          </cell>
          <cell r="U303">
            <v>44648</v>
          </cell>
          <cell r="V303" t="str">
            <v>㈱須賀川東部鏡石</v>
          </cell>
          <cell r="W303"/>
          <cell r="X303"/>
        </row>
        <row r="304">
          <cell r="A304">
            <v>3652308</v>
          </cell>
          <cell r="B304" t="str">
            <v>福島コーティング</v>
          </cell>
          <cell r="C304" t="str">
            <v>工材１部電材課</v>
          </cell>
          <cell r="D304" t="str">
            <v>ダミー担当者</v>
          </cell>
          <cell r="E304" t="str">
            <v>古河電気工業㈱</v>
          </cell>
          <cell r="F304">
            <v>3</v>
          </cell>
          <cell r="G304" t="str">
            <v>S</v>
          </cell>
          <cell r="H304" t="str">
            <v>N</v>
          </cell>
          <cell r="I304" t="str">
            <v>CERA</v>
          </cell>
          <cell r="J304"/>
          <cell r="K304" t="str">
            <v>WZE</v>
          </cell>
          <cell r="L304">
            <v>25</v>
          </cell>
          <cell r="M304" t="str">
            <v>セラピール　　　　　　　　　　　ＷＺ（Ｅ）</v>
          </cell>
          <cell r="N304">
            <v>1040</v>
          </cell>
          <cell r="O304">
            <v>1040</v>
          </cell>
          <cell r="P304">
            <v>6000</v>
          </cell>
          <cell r="Q304">
            <v>2</v>
          </cell>
          <cell r="R304">
            <v>40</v>
          </cell>
          <cell r="S304" t="str">
            <v>本</v>
          </cell>
          <cell r="T304">
            <v>44613</v>
          </cell>
          <cell r="U304">
            <v>44648</v>
          </cell>
          <cell r="V304" t="str">
            <v>㈱須賀川東部鏡石</v>
          </cell>
          <cell r="W304"/>
          <cell r="X304"/>
        </row>
        <row r="305">
          <cell r="A305">
            <v>3652309</v>
          </cell>
          <cell r="B305" t="str">
            <v>福島コーティング</v>
          </cell>
          <cell r="C305" t="str">
            <v>工材１部大阪電材課</v>
          </cell>
          <cell r="D305" t="str">
            <v>ダミー担当者</v>
          </cell>
          <cell r="E305" t="str">
            <v>双信電機㈱</v>
          </cell>
          <cell r="F305">
            <v>3</v>
          </cell>
          <cell r="G305" t="str">
            <v>S</v>
          </cell>
          <cell r="H305" t="str">
            <v>N</v>
          </cell>
          <cell r="I305" t="str">
            <v>CERANS</v>
          </cell>
          <cell r="J305"/>
          <cell r="K305" t="str">
            <v>HP2UDF</v>
          </cell>
          <cell r="L305">
            <v>75</v>
          </cell>
          <cell r="M305" t="str">
            <v>セラピール　ＨＰ２（Ｕ）Ｄ</v>
          </cell>
          <cell r="N305">
            <v>600</v>
          </cell>
          <cell r="O305">
            <v>600</v>
          </cell>
          <cell r="P305">
            <v>600</v>
          </cell>
          <cell r="Q305">
            <v>2</v>
          </cell>
          <cell r="R305">
            <v>42</v>
          </cell>
          <cell r="S305" t="str">
            <v>本</v>
          </cell>
          <cell r="T305">
            <v>44613</v>
          </cell>
          <cell r="U305">
            <v>44645</v>
          </cell>
          <cell r="V305" t="str">
            <v>㈱須賀川東部鏡石</v>
          </cell>
          <cell r="W305"/>
          <cell r="X305"/>
        </row>
        <row r="306">
          <cell r="A306">
            <v>3652312</v>
          </cell>
          <cell r="B306" t="str">
            <v>福島コーティング</v>
          </cell>
          <cell r="C306" t="str">
            <v>プロセス材１課</v>
          </cell>
          <cell r="D306" t="str">
            <v>ダミー担当者</v>
          </cell>
          <cell r="E306" t="str">
            <v>王子タック㈱本社</v>
          </cell>
          <cell r="F306" t="str">
            <v>33S</v>
          </cell>
          <cell r="G306" t="str">
            <v>S</v>
          </cell>
          <cell r="H306" t="str">
            <v>N</v>
          </cell>
          <cell r="I306" t="str">
            <v>CLB</v>
          </cell>
          <cell r="J306"/>
          <cell r="K306" t="str">
            <v>LTL</v>
          </cell>
          <cell r="L306">
            <v>25</v>
          </cell>
          <cell r="M306" t="str">
            <v>ルミラー　ＴＬ</v>
          </cell>
          <cell r="N306">
            <v>1120</v>
          </cell>
          <cell r="O306">
            <v>1120</v>
          </cell>
          <cell r="P306">
            <v>12000</v>
          </cell>
          <cell r="Q306">
            <v>2</v>
          </cell>
          <cell r="R306">
            <v>5</v>
          </cell>
          <cell r="S306" t="str">
            <v>本</v>
          </cell>
          <cell r="T306">
            <v>44613</v>
          </cell>
          <cell r="U306">
            <v>44645</v>
          </cell>
          <cell r="V306" t="str">
            <v>㈱須賀川東部鏡石</v>
          </cell>
          <cell r="W306"/>
          <cell r="X306"/>
        </row>
        <row r="307">
          <cell r="A307">
            <v>3652317</v>
          </cell>
          <cell r="B307" t="str">
            <v>福島コーティング</v>
          </cell>
          <cell r="C307" t="str">
            <v>プロセス材２課</v>
          </cell>
          <cell r="D307" t="str">
            <v>ダミー担当者</v>
          </cell>
          <cell r="E307" t="str">
            <v>藤森工業㈱掛川事業所</v>
          </cell>
          <cell r="F307">
            <v>3</v>
          </cell>
          <cell r="G307" t="str">
            <v>S</v>
          </cell>
          <cell r="H307" t="str">
            <v>N</v>
          </cell>
          <cell r="I307" t="str">
            <v>CLB</v>
          </cell>
          <cell r="J307"/>
          <cell r="K307" t="str">
            <v>PETTL</v>
          </cell>
          <cell r="L307">
            <v>38</v>
          </cell>
          <cell r="M307" t="str">
            <v>ＰＥＴ　ＴＬ</v>
          </cell>
          <cell r="N307">
            <v>1320</v>
          </cell>
          <cell r="O307">
            <v>1320</v>
          </cell>
          <cell r="P307">
            <v>4200</v>
          </cell>
          <cell r="Q307">
            <v>2</v>
          </cell>
          <cell r="R307">
            <v>14</v>
          </cell>
          <cell r="S307" t="str">
            <v>本</v>
          </cell>
          <cell r="T307">
            <v>44613</v>
          </cell>
          <cell r="U307">
            <v>44645</v>
          </cell>
          <cell r="V307" t="str">
            <v>㈱須賀川東部鏡石</v>
          </cell>
          <cell r="W307"/>
          <cell r="X307"/>
        </row>
        <row r="308">
          <cell r="A308">
            <v>3652329</v>
          </cell>
          <cell r="B308" t="str">
            <v>福島コーティング</v>
          </cell>
          <cell r="C308" t="str">
            <v>プロセス材１課</v>
          </cell>
          <cell r="D308" t="str">
            <v>ダミー担当者</v>
          </cell>
          <cell r="E308" t="str">
            <v>リンテック㈱</v>
          </cell>
          <cell r="F308">
            <v>3</v>
          </cell>
          <cell r="G308" t="str">
            <v>S</v>
          </cell>
          <cell r="H308" t="str">
            <v>N</v>
          </cell>
          <cell r="I308" t="str">
            <v>CLB</v>
          </cell>
          <cell r="J308"/>
          <cell r="K308" t="str">
            <v>PETMV</v>
          </cell>
          <cell r="L308">
            <v>25</v>
          </cell>
          <cell r="M308" t="str">
            <v>ＰＥＴ　マットＶ</v>
          </cell>
          <cell r="N308">
            <v>1005</v>
          </cell>
          <cell r="O308">
            <v>1000</v>
          </cell>
          <cell r="P308">
            <v>4000</v>
          </cell>
          <cell r="Q308">
            <v>2</v>
          </cell>
          <cell r="R308">
            <v>2</v>
          </cell>
          <cell r="S308" t="str">
            <v>本</v>
          </cell>
          <cell r="T308">
            <v>44613</v>
          </cell>
          <cell r="U308">
            <v>44642</v>
          </cell>
          <cell r="V308" t="str">
            <v>㈱須賀川東部鏡石</v>
          </cell>
          <cell r="W308"/>
          <cell r="X308"/>
        </row>
        <row r="309">
          <cell r="A309">
            <v>3652330</v>
          </cell>
          <cell r="B309" t="str">
            <v>福島コーティング</v>
          </cell>
          <cell r="C309" t="str">
            <v>プロセス材１課</v>
          </cell>
          <cell r="D309" t="str">
            <v>ダミー担当者</v>
          </cell>
          <cell r="E309" t="str">
            <v>リンテック㈱</v>
          </cell>
          <cell r="F309">
            <v>3</v>
          </cell>
          <cell r="G309" t="str">
            <v>S</v>
          </cell>
          <cell r="H309" t="str">
            <v>Y</v>
          </cell>
          <cell r="I309" t="str">
            <v>CLB</v>
          </cell>
          <cell r="J309"/>
          <cell r="K309" t="str">
            <v>PETMV</v>
          </cell>
          <cell r="L309">
            <v>50</v>
          </cell>
          <cell r="M309" t="str">
            <v>ＰＥＴ　マットＶ　輸出梱包</v>
          </cell>
          <cell r="N309">
            <v>1005</v>
          </cell>
          <cell r="O309">
            <v>1000</v>
          </cell>
          <cell r="P309">
            <v>4000</v>
          </cell>
          <cell r="Q309">
            <v>2</v>
          </cell>
          <cell r="R309">
            <v>4</v>
          </cell>
          <cell r="S309" t="str">
            <v>本</v>
          </cell>
          <cell r="T309">
            <v>44613</v>
          </cell>
          <cell r="U309">
            <v>44627</v>
          </cell>
          <cell r="V309" t="str">
            <v>㈱須賀川東部鏡石</v>
          </cell>
          <cell r="W309"/>
          <cell r="X309"/>
        </row>
        <row r="310">
          <cell r="A310">
            <v>3652343</v>
          </cell>
          <cell r="B310" t="str">
            <v>福島コーティング</v>
          </cell>
          <cell r="C310" t="str">
            <v>プロセス材１課</v>
          </cell>
          <cell r="D310" t="str">
            <v>ダミー担当者</v>
          </cell>
          <cell r="E310" t="str">
            <v>リンテック㈱</v>
          </cell>
          <cell r="F310">
            <v>3</v>
          </cell>
          <cell r="G310" t="str">
            <v>S</v>
          </cell>
          <cell r="H310" t="str">
            <v>N</v>
          </cell>
          <cell r="I310" t="str">
            <v>CLB</v>
          </cell>
          <cell r="J310"/>
          <cell r="K310" t="str">
            <v>E20V</v>
          </cell>
          <cell r="L310">
            <v>38</v>
          </cell>
          <cell r="M310" t="str">
            <v>ルミラー　Ｅ－２０　Ｖ</v>
          </cell>
          <cell r="N310">
            <v>1005</v>
          </cell>
          <cell r="O310">
            <v>1000</v>
          </cell>
          <cell r="P310">
            <v>4000</v>
          </cell>
          <cell r="Q310">
            <v>2</v>
          </cell>
          <cell r="R310">
            <v>1</v>
          </cell>
          <cell r="S310" t="str">
            <v>本</v>
          </cell>
          <cell r="T310">
            <v>44613</v>
          </cell>
          <cell r="U310">
            <v>44642</v>
          </cell>
          <cell r="V310" t="str">
            <v>㈱須賀川東部鏡石</v>
          </cell>
          <cell r="W310"/>
          <cell r="X310"/>
        </row>
        <row r="311">
          <cell r="A311">
            <v>3652344</v>
          </cell>
          <cell r="B311" t="str">
            <v>福島コーティング</v>
          </cell>
          <cell r="C311" t="str">
            <v>プロセス材１課</v>
          </cell>
          <cell r="D311" t="str">
            <v>ダミー担当者</v>
          </cell>
          <cell r="E311" t="str">
            <v>リンテック㈱</v>
          </cell>
          <cell r="F311">
            <v>3</v>
          </cell>
          <cell r="G311" t="str">
            <v>S</v>
          </cell>
          <cell r="H311" t="str">
            <v>N</v>
          </cell>
          <cell r="I311" t="str">
            <v>CLB</v>
          </cell>
          <cell r="J311"/>
          <cell r="K311" t="str">
            <v>E20V</v>
          </cell>
          <cell r="L311">
            <v>75</v>
          </cell>
          <cell r="M311" t="str">
            <v>ルミラー　Ｅ－２０　Ｖ</v>
          </cell>
          <cell r="N311">
            <v>1002</v>
          </cell>
          <cell r="O311">
            <v>1000</v>
          </cell>
          <cell r="P311">
            <v>3000</v>
          </cell>
          <cell r="Q311">
            <v>2</v>
          </cell>
          <cell r="R311">
            <v>3</v>
          </cell>
          <cell r="S311" t="str">
            <v>本</v>
          </cell>
          <cell r="T311">
            <v>44613</v>
          </cell>
          <cell r="U311">
            <v>44642</v>
          </cell>
          <cell r="V311" t="str">
            <v>㈱須賀川東部鏡石</v>
          </cell>
          <cell r="W311"/>
          <cell r="X311"/>
        </row>
        <row r="312">
          <cell r="A312">
            <v>3652947</v>
          </cell>
          <cell r="B312" t="str">
            <v>福島コーティング</v>
          </cell>
          <cell r="C312" t="str">
            <v>プロセス材１課</v>
          </cell>
          <cell r="D312" t="str">
            <v>ダミー担当者</v>
          </cell>
          <cell r="E312" t="str">
            <v>リンテック㈱</v>
          </cell>
          <cell r="F312">
            <v>3</v>
          </cell>
          <cell r="G312" t="str">
            <v>S</v>
          </cell>
          <cell r="H312" t="str">
            <v>N</v>
          </cell>
          <cell r="I312" t="str">
            <v>CERA</v>
          </cell>
          <cell r="J312"/>
          <cell r="K312" t="str">
            <v>WZT</v>
          </cell>
          <cell r="L312">
            <v>38</v>
          </cell>
          <cell r="M312" t="str">
            <v>セラピール　ＷＺ（Ｔ）</v>
          </cell>
          <cell r="N312">
            <v>1005</v>
          </cell>
          <cell r="O312">
            <v>1000</v>
          </cell>
          <cell r="P312">
            <v>6000</v>
          </cell>
          <cell r="Q312">
            <v>2</v>
          </cell>
          <cell r="R312">
            <v>1</v>
          </cell>
          <cell r="S312" t="str">
            <v>本</v>
          </cell>
          <cell r="T312">
            <v>44617</v>
          </cell>
          <cell r="U312">
            <v>44655</v>
          </cell>
          <cell r="V312" t="str">
            <v>㈱須賀川東部鏡石</v>
          </cell>
          <cell r="W312"/>
          <cell r="X312"/>
        </row>
        <row r="313">
          <cell r="A313">
            <v>3652989</v>
          </cell>
          <cell r="B313" t="str">
            <v>情材福島開発</v>
          </cell>
          <cell r="C313" t="str">
            <v>プロセス材２課</v>
          </cell>
          <cell r="D313" t="str">
            <v>ダミー担当者</v>
          </cell>
          <cell r="E313"/>
          <cell r="F313">
            <v>3</v>
          </cell>
          <cell r="G313" t="str">
            <v>U</v>
          </cell>
          <cell r="H313" t="str">
            <v>N</v>
          </cell>
          <cell r="I313" t="str">
            <v>CERA</v>
          </cell>
          <cell r="J313"/>
          <cell r="K313" t="str">
            <v>WZS</v>
          </cell>
          <cell r="L313">
            <v>25</v>
          </cell>
          <cell r="M313" t="str">
            <v>セラピール　ＷＺ（Ｓ）</v>
          </cell>
          <cell r="N313">
            <v>1420</v>
          </cell>
          <cell r="O313">
            <v>1420</v>
          </cell>
          <cell r="P313">
            <v>12400</v>
          </cell>
          <cell r="Q313">
            <v>2</v>
          </cell>
          <cell r="R313">
            <v>10</v>
          </cell>
          <cell r="S313" t="str">
            <v>本</v>
          </cell>
          <cell r="T313">
            <v>44620</v>
          </cell>
          <cell r="U313">
            <v>44651</v>
          </cell>
          <cell r="V313" t="str">
            <v>福島工場ＣＯ</v>
          </cell>
          <cell r="W313"/>
          <cell r="X313"/>
        </row>
        <row r="314">
          <cell r="A314">
            <v>3652990</v>
          </cell>
          <cell r="B314" t="str">
            <v>情材福島開発</v>
          </cell>
          <cell r="C314" t="str">
            <v>プロセス材２課</v>
          </cell>
          <cell r="D314" t="str">
            <v>ダミー担当者</v>
          </cell>
          <cell r="E314"/>
          <cell r="F314">
            <v>3</v>
          </cell>
          <cell r="G314" t="str">
            <v>U</v>
          </cell>
          <cell r="H314" t="str">
            <v>N</v>
          </cell>
          <cell r="I314" t="str">
            <v>CERA</v>
          </cell>
          <cell r="J314"/>
          <cell r="K314" t="str">
            <v>WZS</v>
          </cell>
          <cell r="L314">
            <v>25</v>
          </cell>
          <cell r="M314" t="str">
            <v>セラピール　ＷＺ（Ｓ）</v>
          </cell>
          <cell r="N314">
            <v>1150</v>
          </cell>
          <cell r="O314">
            <v>1150</v>
          </cell>
          <cell r="P314">
            <v>4200</v>
          </cell>
          <cell r="Q314">
            <v>2</v>
          </cell>
          <cell r="R314">
            <v>9</v>
          </cell>
          <cell r="S314" t="str">
            <v>本</v>
          </cell>
          <cell r="T314">
            <v>44620</v>
          </cell>
          <cell r="U314">
            <v>44651</v>
          </cell>
          <cell r="V314" t="str">
            <v>福島工場ＣＯ</v>
          </cell>
          <cell r="W314"/>
          <cell r="X314"/>
        </row>
        <row r="315">
          <cell r="A315">
            <v>3653128</v>
          </cell>
          <cell r="B315" t="str">
            <v>情材福島開発</v>
          </cell>
          <cell r="C315" t="str">
            <v>工材１部電材課</v>
          </cell>
          <cell r="D315" t="str">
            <v>ダミー担当者</v>
          </cell>
          <cell r="E315"/>
          <cell r="F315">
            <v>3</v>
          </cell>
          <cell r="G315" t="str">
            <v>U</v>
          </cell>
          <cell r="H315" t="str">
            <v>N</v>
          </cell>
          <cell r="I315" t="str">
            <v>CERA</v>
          </cell>
          <cell r="J315"/>
          <cell r="K315" t="str">
            <v>BKE24</v>
          </cell>
          <cell r="L315">
            <v>38</v>
          </cell>
          <cell r="M315" t="str">
            <v>セラピール　ＢＫＥ（２４）</v>
          </cell>
          <cell r="N315">
            <v>1335</v>
          </cell>
          <cell r="O315">
            <v>1330</v>
          </cell>
          <cell r="P315">
            <v>6000</v>
          </cell>
          <cell r="Q315">
            <v>2</v>
          </cell>
          <cell r="R315">
            <v>1</v>
          </cell>
          <cell r="S315" t="str">
            <v>本</v>
          </cell>
          <cell r="T315">
            <v>44622</v>
          </cell>
          <cell r="U315">
            <v>44651</v>
          </cell>
          <cell r="V315" t="str">
            <v>福島工場ＣＯ</v>
          </cell>
          <cell r="W315"/>
          <cell r="X315"/>
        </row>
        <row r="316">
          <cell r="A316">
            <v>3653174</v>
          </cell>
          <cell r="B316" t="str">
            <v>福島コーティング</v>
          </cell>
          <cell r="C316" t="str">
            <v>光学機能材１課</v>
          </cell>
          <cell r="D316" t="str">
            <v>ダミー担当者</v>
          </cell>
          <cell r="E316" t="str">
            <v>パナック㈱亀山工場</v>
          </cell>
          <cell r="F316">
            <v>3</v>
          </cell>
          <cell r="G316" t="str">
            <v>S</v>
          </cell>
          <cell r="H316" t="str">
            <v>Y</v>
          </cell>
          <cell r="I316" t="str">
            <v>TTP</v>
          </cell>
          <cell r="J316"/>
          <cell r="K316" t="str">
            <v>LC1000</v>
          </cell>
          <cell r="L316">
            <v>125</v>
          </cell>
          <cell r="M316" t="str">
            <v>タフトップ　ＬＣ１０００</v>
          </cell>
          <cell r="N316">
            <v>1360</v>
          </cell>
          <cell r="O316">
            <v>1360</v>
          </cell>
          <cell r="P316">
            <v>1600</v>
          </cell>
          <cell r="Q316">
            <v>2</v>
          </cell>
          <cell r="R316">
            <v>1</v>
          </cell>
          <cell r="S316" t="str">
            <v>本</v>
          </cell>
          <cell r="T316">
            <v>44624</v>
          </cell>
          <cell r="U316">
            <v>44651</v>
          </cell>
          <cell r="V316" t="str">
            <v>福島工場ＣＯ２次スリ</v>
          </cell>
          <cell r="W316"/>
          <cell r="X316"/>
        </row>
        <row r="317">
          <cell r="A317">
            <v>3653629</v>
          </cell>
          <cell r="B317" t="str">
            <v>情材福島開発</v>
          </cell>
          <cell r="C317" t="str">
            <v>工材１部電材課</v>
          </cell>
          <cell r="D317" t="str">
            <v>ダミー担当者</v>
          </cell>
          <cell r="E317"/>
          <cell r="F317">
            <v>3</v>
          </cell>
          <cell r="G317" t="str">
            <v>U</v>
          </cell>
          <cell r="H317" t="str">
            <v>N</v>
          </cell>
          <cell r="I317" t="str">
            <v>CERA</v>
          </cell>
          <cell r="J317"/>
          <cell r="K317" t="str">
            <v>BX8A33</v>
          </cell>
          <cell r="L317">
            <v>75</v>
          </cell>
          <cell r="M317" t="str">
            <v>セラピール　ＢＸ８Ａ（３３）</v>
          </cell>
          <cell r="N317">
            <v>1330</v>
          </cell>
          <cell r="O317">
            <v>1330</v>
          </cell>
          <cell r="P317">
            <v>2000</v>
          </cell>
          <cell r="Q317">
            <v>2</v>
          </cell>
          <cell r="R317">
            <v>1</v>
          </cell>
          <cell r="S317" t="str">
            <v>本</v>
          </cell>
          <cell r="T317">
            <v>44628</v>
          </cell>
          <cell r="U317">
            <v>44651</v>
          </cell>
          <cell r="V317" t="str">
            <v>福島工場ＣＯ</v>
          </cell>
          <cell r="W317"/>
          <cell r="X317"/>
        </row>
        <row r="318">
          <cell r="A318">
            <v>3653630</v>
          </cell>
          <cell r="B318" t="str">
            <v>情材福島開発</v>
          </cell>
          <cell r="C318" t="str">
            <v>工材１部電材課</v>
          </cell>
          <cell r="D318" t="str">
            <v>ダミー担当者</v>
          </cell>
          <cell r="E318"/>
          <cell r="F318">
            <v>3</v>
          </cell>
          <cell r="G318" t="str">
            <v>U</v>
          </cell>
          <cell r="H318" t="str">
            <v>N</v>
          </cell>
          <cell r="I318" t="str">
            <v>CERA</v>
          </cell>
          <cell r="J318"/>
          <cell r="K318" t="str">
            <v>BX8A33</v>
          </cell>
          <cell r="L318">
            <v>75</v>
          </cell>
          <cell r="M318" t="str">
            <v>セラピール　ＢＸ８Ａ（３３）</v>
          </cell>
          <cell r="N318">
            <v>1240</v>
          </cell>
          <cell r="O318">
            <v>1240</v>
          </cell>
          <cell r="P318">
            <v>2000</v>
          </cell>
          <cell r="Q318">
            <v>2</v>
          </cell>
          <cell r="R318">
            <v>1</v>
          </cell>
          <cell r="S318" t="str">
            <v>本</v>
          </cell>
          <cell r="T318">
            <v>44628</v>
          </cell>
          <cell r="U318">
            <v>44651</v>
          </cell>
          <cell r="V318" t="str">
            <v>福島工場ＣＯ</v>
          </cell>
          <cell r="W318"/>
          <cell r="X318"/>
        </row>
        <row r="319">
          <cell r="A319">
            <v>3653631</v>
          </cell>
          <cell r="B319" t="str">
            <v>情材福島開発</v>
          </cell>
          <cell r="C319" t="str">
            <v>工材１部電材課</v>
          </cell>
          <cell r="D319" t="str">
            <v>ダミー担当者</v>
          </cell>
          <cell r="E319"/>
          <cell r="F319">
            <v>3</v>
          </cell>
          <cell r="G319" t="str">
            <v>U</v>
          </cell>
          <cell r="H319" t="str">
            <v>N</v>
          </cell>
          <cell r="I319" t="str">
            <v>CERA</v>
          </cell>
          <cell r="J319"/>
          <cell r="K319" t="str">
            <v>BX8A40</v>
          </cell>
          <cell r="L319">
            <v>75</v>
          </cell>
          <cell r="M319" t="str">
            <v>セラピール　ＢＸ８Ａ（４０）</v>
          </cell>
          <cell r="N319">
            <v>1090</v>
          </cell>
          <cell r="O319">
            <v>1090</v>
          </cell>
          <cell r="P319">
            <v>4000</v>
          </cell>
          <cell r="Q319">
            <v>2</v>
          </cell>
          <cell r="R319">
            <v>1</v>
          </cell>
          <cell r="S319" t="str">
            <v>本</v>
          </cell>
          <cell r="T319">
            <v>44628</v>
          </cell>
          <cell r="U319">
            <v>44651</v>
          </cell>
          <cell r="V319" t="str">
            <v>福島工場ＣＯ</v>
          </cell>
          <cell r="W319"/>
          <cell r="X319"/>
        </row>
        <row r="320">
          <cell r="A320">
            <v>3653632</v>
          </cell>
          <cell r="B320" t="str">
            <v>情材福島開発</v>
          </cell>
          <cell r="C320" t="str">
            <v>工材１部電材課</v>
          </cell>
          <cell r="D320" t="str">
            <v>ダミー担当者</v>
          </cell>
          <cell r="E320"/>
          <cell r="F320">
            <v>3</v>
          </cell>
          <cell r="G320" t="str">
            <v>U</v>
          </cell>
          <cell r="H320" t="str">
            <v>N</v>
          </cell>
          <cell r="I320" t="str">
            <v>CERA</v>
          </cell>
          <cell r="J320"/>
          <cell r="K320" t="str">
            <v>WZ26</v>
          </cell>
          <cell r="L320">
            <v>38</v>
          </cell>
          <cell r="M320" t="str">
            <v>セラピール　ＷＺ（２６）</v>
          </cell>
          <cell r="N320">
            <v>1000</v>
          </cell>
          <cell r="O320">
            <v>1000</v>
          </cell>
          <cell r="P320">
            <v>6000</v>
          </cell>
          <cell r="Q320">
            <v>2</v>
          </cell>
          <cell r="R320">
            <v>10</v>
          </cell>
          <cell r="S320" t="str">
            <v>本</v>
          </cell>
          <cell r="T320">
            <v>44628</v>
          </cell>
          <cell r="U320">
            <v>44651</v>
          </cell>
          <cell r="V320" t="str">
            <v>福島工場ＣＯ</v>
          </cell>
          <cell r="W320"/>
          <cell r="X320"/>
        </row>
        <row r="321">
          <cell r="A321">
            <v>3654373</v>
          </cell>
          <cell r="B321" t="str">
            <v>情材福島原価</v>
          </cell>
          <cell r="C321" t="str">
            <v>工材１部大阪電材課</v>
          </cell>
          <cell r="D321" t="str">
            <v>ダミー担当者</v>
          </cell>
          <cell r="E321" t="str">
            <v>日東電工㈱豊橋工場</v>
          </cell>
          <cell r="F321">
            <v>330</v>
          </cell>
          <cell r="G321" t="str">
            <v>T</v>
          </cell>
          <cell r="H321" t="str">
            <v>N</v>
          </cell>
          <cell r="I321" t="str">
            <v>CERA</v>
          </cell>
          <cell r="J321"/>
          <cell r="K321" t="str">
            <v>BX8A37</v>
          </cell>
          <cell r="L321">
            <v>75</v>
          </cell>
          <cell r="M321" t="str">
            <v>セラピール　ＢＸ８Ａ（３７）</v>
          </cell>
          <cell r="N321">
            <v>1050</v>
          </cell>
          <cell r="O321">
            <v>1050</v>
          </cell>
          <cell r="P321">
            <v>5800</v>
          </cell>
          <cell r="Q321">
            <v>2</v>
          </cell>
          <cell r="R321">
            <v>30</v>
          </cell>
          <cell r="S321" t="str">
            <v>本</v>
          </cell>
          <cell r="T321">
            <v>44636</v>
          </cell>
          <cell r="U321">
            <v>44651</v>
          </cell>
          <cell r="V321" t="str">
            <v>㈱須賀川東部鏡石</v>
          </cell>
          <cell r="W321"/>
          <cell r="X321"/>
        </row>
        <row r="322">
          <cell r="A322">
            <v>3654753</v>
          </cell>
          <cell r="B322" t="str">
            <v>情材福島開発</v>
          </cell>
          <cell r="C322" t="str">
            <v>工材１部電材課</v>
          </cell>
          <cell r="D322" t="str">
            <v>ダミー担当者</v>
          </cell>
          <cell r="E322"/>
          <cell r="F322">
            <v>3</v>
          </cell>
          <cell r="G322" t="str">
            <v>U</v>
          </cell>
          <cell r="H322" t="str">
            <v>N</v>
          </cell>
          <cell r="I322" t="str">
            <v>CERANS</v>
          </cell>
          <cell r="J322"/>
          <cell r="K322">
            <v>27114</v>
          </cell>
          <cell r="L322">
            <v>25</v>
          </cell>
          <cell r="M322" t="str">
            <v>セラピール　ＰＪ２７１（１４）</v>
          </cell>
          <cell r="N322">
            <v>1300</v>
          </cell>
          <cell r="O322">
            <v>1300</v>
          </cell>
          <cell r="P322">
            <v>6000</v>
          </cell>
          <cell r="Q322">
            <v>2</v>
          </cell>
          <cell r="R322">
            <v>1</v>
          </cell>
          <cell r="S322" t="str">
            <v>本</v>
          </cell>
          <cell r="T322">
            <v>44638</v>
          </cell>
          <cell r="U322">
            <v>44651</v>
          </cell>
          <cell r="V322" t="str">
            <v>福島工場ＣＯ</v>
          </cell>
          <cell r="W322"/>
          <cell r="X322"/>
        </row>
        <row r="323">
          <cell r="A323">
            <v>3655492</v>
          </cell>
          <cell r="B323" t="str">
            <v>福島コーティング</v>
          </cell>
          <cell r="C323" t="str">
            <v>工材１部電材課</v>
          </cell>
          <cell r="D323" t="str">
            <v>ダミー担当者</v>
          </cell>
          <cell r="E323" t="str">
            <v>３Ｍジャパン</v>
          </cell>
          <cell r="F323" t="str">
            <v>3R</v>
          </cell>
          <cell r="G323" t="str">
            <v>S</v>
          </cell>
          <cell r="H323" t="str">
            <v>N</v>
          </cell>
          <cell r="I323" t="str">
            <v>CERA</v>
          </cell>
          <cell r="J323"/>
          <cell r="K323" t="str">
            <v>MFARX</v>
          </cell>
          <cell r="L323">
            <v>38</v>
          </cell>
          <cell r="M323" t="str">
            <v>セラピール　ＭＦＡ（ＲＸ）</v>
          </cell>
          <cell r="N323">
            <v>1265</v>
          </cell>
          <cell r="O323">
            <v>1265</v>
          </cell>
          <cell r="P323">
            <v>4000</v>
          </cell>
          <cell r="Q323">
            <v>2</v>
          </cell>
          <cell r="R323">
            <v>6</v>
          </cell>
          <cell r="S323" t="str">
            <v>本</v>
          </cell>
          <cell r="T323">
            <v>44642</v>
          </cell>
          <cell r="U323">
            <v>44659</v>
          </cell>
          <cell r="V323" t="str">
            <v>㈱須賀川東部鏡石</v>
          </cell>
          <cell r="W323"/>
          <cell r="X323"/>
        </row>
        <row r="324">
          <cell r="A324">
            <v>3655493</v>
          </cell>
          <cell r="B324" t="str">
            <v>福島コーティング</v>
          </cell>
          <cell r="C324" t="str">
            <v>工材１部電材課</v>
          </cell>
          <cell r="D324" t="str">
            <v>ダミー担当者</v>
          </cell>
          <cell r="E324" t="str">
            <v>真田ＫＯＡ㈱</v>
          </cell>
          <cell r="F324">
            <v>3</v>
          </cell>
          <cell r="G324" t="str">
            <v>S</v>
          </cell>
          <cell r="H324" t="str">
            <v>N</v>
          </cell>
          <cell r="I324" t="str">
            <v>CERA</v>
          </cell>
          <cell r="J324"/>
          <cell r="K324" t="str">
            <v>MFAS</v>
          </cell>
          <cell r="L324">
            <v>75</v>
          </cell>
          <cell r="M324" t="str">
            <v>セラピール　　　　　　　　　　　ＭＦＡ（Ｓ）</v>
          </cell>
          <cell r="N324">
            <v>220</v>
          </cell>
          <cell r="O324">
            <v>220</v>
          </cell>
          <cell r="P324">
            <v>1200</v>
          </cell>
          <cell r="Q324">
            <v>1</v>
          </cell>
          <cell r="R324">
            <v>75</v>
          </cell>
          <cell r="S324" t="str">
            <v>本</v>
          </cell>
          <cell r="T324">
            <v>44642</v>
          </cell>
          <cell r="U324">
            <v>44659</v>
          </cell>
          <cell r="V324" t="str">
            <v>㈱須賀川東部鏡石</v>
          </cell>
          <cell r="W324"/>
          <cell r="X324"/>
        </row>
        <row r="325">
          <cell r="A325">
            <v>3655494</v>
          </cell>
          <cell r="B325" t="str">
            <v>福島コーティング</v>
          </cell>
          <cell r="C325" t="str">
            <v>工材１部電材課</v>
          </cell>
          <cell r="D325" t="str">
            <v>ダミー担当者</v>
          </cell>
          <cell r="E325"/>
          <cell r="F325">
            <v>3</v>
          </cell>
          <cell r="G325" t="str">
            <v>S</v>
          </cell>
          <cell r="H325" t="str">
            <v>N</v>
          </cell>
          <cell r="I325" t="str">
            <v>CERA</v>
          </cell>
          <cell r="J325"/>
          <cell r="K325" t="str">
            <v>MFAS</v>
          </cell>
          <cell r="L325">
            <v>125</v>
          </cell>
          <cell r="M325" t="str">
            <v>セラピール　　　　　　　　　　　ＭＦＡ（Ｓ）</v>
          </cell>
          <cell r="N325">
            <v>200</v>
          </cell>
          <cell r="O325">
            <v>200</v>
          </cell>
          <cell r="P325">
            <v>400</v>
          </cell>
          <cell r="Q325">
            <v>1</v>
          </cell>
          <cell r="R325">
            <v>60</v>
          </cell>
          <cell r="S325" t="str">
            <v>本</v>
          </cell>
          <cell r="T325">
            <v>44642</v>
          </cell>
          <cell r="U325">
            <v>44659</v>
          </cell>
          <cell r="V325" t="str">
            <v>㈱須賀川東部鏡石</v>
          </cell>
          <cell r="W325"/>
          <cell r="X325"/>
        </row>
        <row r="326">
          <cell r="A326">
            <v>3655495</v>
          </cell>
          <cell r="B326" t="str">
            <v>福島コーティング</v>
          </cell>
          <cell r="C326" t="str">
            <v>工材１部大阪電材課</v>
          </cell>
          <cell r="D326" t="str">
            <v>ダミー担当者</v>
          </cell>
          <cell r="E326" t="str">
            <v>ＭＡＲＵＷＡ</v>
          </cell>
          <cell r="F326">
            <v>3</v>
          </cell>
          <cell r="G326" t="str">
            <v>S</v>
          </cell>
          <cell r="H326" t="str">
            <v>N</v>
          </cell>
          <cell r="I326" t="str">
            <v>CERA</v>
          </cell>
          <cell r="J326"/>
          <cell r="K326" t="str">
            <v>MFAS</v>
          </cell>
          <cell r="L326">
            <v>75</v>
          </cell>
          <cell r="M326" t="str">
            <v>セラピール　　　　　　　　　　　ＭＦＡ（Ｓ）</v>
          </cell>
          <cell r="N326">
            <v>620</v>
          </cell>
          <cell r="O326">
            <v>620</v>
          </cell>
          <cell r="P326">
            <v>400</v>
          </cell>
          <cell r="Q326">
            <v>2</v>
          </cell>
          <cell r="R326">
            <v>18</v>
          </cell>
          <cell r="S326" t="str">
            <v>本</v>
          </cell>
          <cell r="T326">
            <v>44642</v>
          </cell>
          <cell r="U326">
            <v>44659</v>
          </cell>
          <cell r="V326" t="str">
            <v>㈱須賀川東部鏡石</v>
          </cell>
          <cell r="W326"/>
          <cell r="X326"/>
        </row>
        <row r="327">
          <cell r="A327">
            <v>3655496</v>
          </cell>
          <cell r="B327" t="str">
            <v>福島コーティング</v>
          </cell>
          <cell r="C327" t="str">
            <v>工材１部大阪電材課</v>
          </cell>
          <cell r="D327" t="str">
            <v>ダミー担当者</v>
          </cell>
          <cell r="E327" t="str">
            <v>ＮＧＫセラミック</v>
          </cell>
          <cell r="F327" t="str">
            <v>3H</v>
          </cell>
          <cell r="G327" t="str">
            <v>S</v>
          </cell>
          <cell r="H327" t="str">
            <v>N</v>
          </cell>
          <cell r="I327" t="str">
            <v>CERA</v>
          </cell>
          <cell r="J327"/>
          <cell r="K327" t="str">
            <v>MFAS</v>
          </cell>
          <cell r="L327">
            <v>188</v>
          </cell>
          <cell r="M327" t="str">
            <v>セラピール　　　　　　　　　　　ＭＦＡ（Ｓ）</v>
          </cell>
          <cell r="N327">
            <v>360</v>
          </cell>
          <cell r="O327">
            <v>360</v>
          </cell>
          <cell r="P327">
            <v>250</v>
          </cell>
          <cell r="Q327">
            <v>2</v>
          </cell>
          <cell r="R327">
            <v>72</v>
          </cell>
          <cell r="S327" t="str">
            <v>本</v>
          </cell>
          <cell r="T327">
            <v>44642</v>
          </cell>
          <cell r="U327">
            <v>44659</v>
          </cell>
          <cell r="V327" t="str">
            <v>㈱須賀川東部鏡石</v>
          </cell>
          <cell r="W327"/>
          <cell r="X327"/>
        </row>
        <row r="328">
          <cell r="A328">
            <v>3655497</v>
          </cell>
          <cell r="B328" t="str">
            <v>福島コーティング</v>
          </cell>
          <cell r="C328" t="str">
            <v>工材１部大阪電材課</v>
          </cell>
          <cell r="D328" t="str">
            <v>ダミー担当者</v>
          </cell>
          <cell r="E328" t="str">
            <v>ＮＧＫセラミック</v>
          </cell>
          <cell r="F328" t="str">
            <v>3H</v>
          </cell>
          <cell r="G328" t="str">
            <v>S</v>
          </cell>
          <cell r="H328" t="str">
            <v>N</v>
          </cell>
          <cell r="I328" t="str">
            <v>CERA</v>
          </cell>
          <cell r="J328"/>
          <cell r="K328" t="str">
            <v>MFAS</v>
          </cell>
          <cell r="L328">
            <v>188</v>
          </cell>
          <cell r="M328" t="str">
            <v>セラピール　　　　　　　　　　　ＭＦＡ（Ｓ）</v>
          </cell>
          <cell r="N328">
            <v>1230</v>
          </cell>
          <cell r="O328">
            <v>1220</v>
          </cell>
          <cell r="P328">
            <v>800</v>
          </cell>
          <cell r="Q328">
            <v>2</v>
          </cell>
          <cell r="R328">
            <v>10</v>
          </cell>
          <cell r="S328" t="str">
            <v>本</v>
          </cell>
          <cell r="T328">
            <v>44642</v>
          </cell>
          <cell r="U328">
            <v>44659</v>
          </cell>
          <cell r="V328" t="str">
            <v>㈱須賀川東部鏡石</v>
          </cell>
          <cell r="W328"/>
          <cell r="X328"/>
        </row>
        <row r="329">
          <cell r="A329">
            <v>3655498</v>
          </cell>
          <cell r="B329" t="str">
            <v>福島コーティング</v>
          </cell>
          <cell r="C329" t="str">
            <v>工材１部大阪電材課</v>
          </cell>
          <cell r="D329" t="str">
            <v>ダミー担当者</v>
          </cell>
          <cell r="E329" t="str">
            <v>下田工業㈱</v>
          </cell>
          <cell r="F329">
            <v>3</v>
          </cell>
          <cell r="G329" t="str">
            <v>S</v>
          </cell>
          <cell r="H329" t="str">
            <v>N</v>
          </cell>
          <cell r="I329" t="str">
            <v>CERA</v>
          </cell>
          <cell r="J329"/>
          <cell r="K329" t="str">
            <v>MFAS</v>
          </cell>
          <cell r="L329">
            <v>100</v>
          </cell>
          <cell r="M329" t="str">
            <v>セラピール　　　　　　　　　　　ＭＦＡ（Ｓ）</v>
          </cell>
          <cell r="N329">
            <v>330</v>
          </cell>
          <cell r="O329">
            <v>330</v>
          </cell>
          <cell r="P329">
            <v>550</v>
          </cell>
          <cell r="Q329">
            <v>1</v>
          </cell>
          <cell r="R329">
            <v>48</v>
          </cell>
          <cell r="S329" t="str">
            <v>本</v>
          </cell>
          <cell r="T329">
            <v>44642</v>
          </cell>
          <cell r="U329">
            <v>44659</v>
          </cell>
          <cell r="V329" t="str">
            <v>㈱須賀川東部鏡石</v>
          </cell>
          <cell r="W329"/>
          <cell r="X329"/>
        </row>
        <row r="330">
          <cell r="A330">
            <v>3655499</v>
          </cell>
          <cell r="B330" t="str">
            <v>福島コーティング</v>
          </cell>
          <cell r="C330" t="str">
            <v>工材１部大阪電材課</v>
          </cell>
          <cell r="D330" t="str">
            <v>ダミー担当者</v>
          </cell>
          <cell r="E330" t="str">
            <v>下田工業㈱</v>
          </cell>
          <cell r="F330">
            <v>3</v>
          </cell>
          <cell r="G330" t="str">
            <v>S</v>
          </cell>
          <cell r="H330" t="str">
            <v>N</v>
          </cell>
          <cell r="I330" t="str">
            <v>CERA</v>
          </cell>
          <cell r="J330"/>
          <cell r="K330" t="str">
            <v>MFAS</v>
          </cell>
          <cell r="L330">
            <v>125</v>
          </cell>
          <cell r="M330" t="str">
            <v>セラピール　　　　　　　　　　　ＭＦＡ（Ｓ）</v>
          </cell>
          <cell r="N330">
            <v>150</v>
          </cell>
          <cell r="O330">
            <v>150</v>
          </cell>
          <cell r="P330">
            <v>200</v>
          </cell>
          <cell r="Q330">
            <v>1</v>
          </cell>
          <cell r="R330">
            <v>64</v>
          </cell>
          <cell r="S330" t="str">
            <v>本</v>
          </cell>
          <cell r="T330">
            <v>44642</v>
          </cell>
          <cell r="U330">
            <v>44659</v>
          </cell>
          <cell r="V330" t="str">
            <v>㈱須賀川東部鏡石</v>
          </cell>
          <cell r="W330"/>
          <cell r="X330"/>
        </row>
        <row r="331">
          <cell r="A331">
            <v>3655500</v>
          </cell>
          <cell r="B331" t="str">
            <v>福島コーティング</v>
          </cell>
          <cell r="C331" t="str">
            <v>工材１部大阪電材課</v>
          </cell>
          <cell r="D331" t="str">
            <v>ダミー担当者</v>
          </cell>
          <cell r="E331" t="str">
            <v>下田工業㈱</v>
          </cell>
          <cell r="F331">
            <v>3</v>
          </cell>
          <cell r="G331" t="str">
            <v>S</v>
          </cell>
          <cell r="H331" t="str">
            <v>N</v>
          </cell>
          <cell r="I331" t="str">
            <v>CERA</v>
          </cell>
          <cell r="J331"/>
          <cell r="K331" t="str">
            <v>MFAS</v>
          </cell>
          <cell r="L331">
            <v>188</v>
          </cell>
          <cell r="M331" t="str">
            <v>セラピール　　　　　　　　　　　ＭＦＡ（Ｓ）</v>
          </cell>
          <cell r="N331">
            <v>1130</v>
          </cell>
          <cell r="O331">
            <v>1130</v>
          </cell>
          <cell r="P331">
            <v>1620</v>
          </cell>
          <cell r="Q331">
            <v>2</v>
          </cell>
          <cell r="R331">
            <v>19</v>
          </cell>
          <cell r="S331" t="str">
            <v>本</v>
          </cell>
          <cell r="T331">
            <v>44642</v>
          </cell>
          <cell r="U331">
            <v>44659</v>
          </cell>
          <cell r="V331" t="str">
            <v>㈱須賀川東部鏡石</v>
          </cell>
          <cell r="W331"/>
          <cell r="X331"/>
        </row>
        <row r="332">
          <cell r="A332">
            <v>3655501</v>
          </cell>
          <cell r="B332" t="str">
            <v>福島コーティング</v>
          </cell>
          <cell r="C332" t="str">
            <v>プロセス材２課</v>
          </cell>
          <cell r="D332" t="str">
            <v>ダミー担当者</v>
          </cell>
          <cell r="E332" t="str">
            <v>京セラ鹿児島川内工場</v>
          </cell>
          <cell r="F332">
            <v>331</v>
          </cell>
          <cell r="G332" t="str">
            <v>S</v>
          </cell>
          <cell r="H332" t="str">
            <v>N</v>
          </cell>
          <cell r="I332" t="str">
            <v>CERA</v>
          </cell>
          <cell r="J332"/>
          <cell r="K332" t="str">
            <v>MFAS</v>
          </cell>
          <cell r="L332">
            <v>100</v>
          </cell>
          <cell r="M332" t="str">
            <v>セラピール　　　　　　　　　　　ＭＦＡ（Ｓ）</v>
          </cell>
          <cell r="N332">
            <v>450</v>
          </cell>
          <cell r="O332">
            <v>450</v>
          </cell>
          <cell r="P332">
            <v>800</v>
          </cell>
          <cell r="Q332">
            <v>2</v>
          </cell>
          <cell r="R332">
            <v>30</v>
          </cell>
          <cell r="S332" t="str">
            <v>本</v>
          </cell>
          <cell r="T332">
            <v>44642</v>
          </cell>
          <cell r="U332">
            <v>44659</v>
          </cell>
          <cell r="V332" t="str">
            <v>㈱須賀川東部鏡石</v>
          </cell>
          <cell r="W332"/>
          <cell r="X332"/>
        </row>
        <row r="333">
          <cell r="A333">
            <v>3655502</v>
          </cell>
          <cell r="B333" t="str">
            <v>福島コーティング</v>
          </cell>
          <cell r="C333" t="str">
            <v>工材１部大阪電材課</v>
          </cell>
          <cell r="D333" t="str">
            <v>ダミー担当者</v>
          </cell>
          <cell r="E333" t="str">
            <v>日東電工㈱豊橋工場</v>
          </cell>
          <cell r="F333">
            <v>3313</v>
          </cell>
          <cell r="G333" t="str">
            <v>S</v>
          </cell>
          <cell r="H333" t="str">
            <v>N</v>
          </cell>
          <cell r="I333" t="str">
            <v>CERA</v>
          </cell>
          <cell r="J333"/>
          <cell r="K333" t="str">
            <v>MD(A)R</v>
          </cell>
          <cell r="L333">
            <v>38</v>
          </cell>
          <cell r="M333" t="str">
            <v>セラピール　ＭＤ（Ａ）（Ｒ）</v>
          </cell>
          <cell r="N333">
            <v>750</v>
          </cell>
          <cell r="O333">
            <v>750</v>
          </cell>
          <cell r="P333">
            <v>6000</v>
          </cell>
          <cell r="Q333">
            <v>2</v>
          </cell>
          <cell r="R333">
            <v>24</v>
          </cell>
          <cell r="S333" t="str">
            <v>本</v>
          </cell>
          <cell r="T333">
            <v>44642</v>
          </cell>
          <cell r="U333">
            <v>44661</v>
          </cell>
          <cell r="V333" t="str">
            <v>㈱須賀川東部鏡石</v>
          </cell>
          <cell r="W333"/>
          <cell r="X333"/>
        </row>
        <row r="334">
          <cell r="A334">
            <v>3655503</v>
          </cell>
          <cell r="B334" t="str">
            <v>福島コーティング</v>
          </cell>
          <cell r="C334" t="str">
            <v>工材１部大阪電材課</v>
          </cell>
          <cell r="D334" t="str">
            <v>ダミー担当者</v>
          </cell>
          <cell r="E334" t="str">
            <v>日東電工㈱豊橋工場</v>
          </cell>
          <cell r="F334">
            <v>331</v>
          </cell>
          <cell r="G334" t="str">
            <v>S</v>
          </cell>
          <cell r="H334" t="str">
            <v>N</v>
          </cell>
          <cell r="I334" t="str">
            <v>CERA</v>
          </cell>
          <cell r="J334"/>
          <cell r="K334" t="str">
            <v>MD(A)R</v>
          </cell>
          <cell r="L334">
            <v>38</v>
          </cell>
          <cell r="M334" t="str">
            <v>セラピール　ＭＤ（Ａ）（Ｒ）</v>
          </cell>
          <cell r="N334">
            <v>1025</v>
          </cell>
          <cell r="O334">
            <v>1020</v>
          </cell>
          <cell r="P334">
            <v>6000</v>
          </cell>
          <cell r="Q334">
            <v>2</v>
          </cell>
          <cell r="R334">
            <v>2</v>
          </cell>
          <cell r="S334" t="str">
            <v>本</v>
          </cell>
          <cell r="T334">
            <v>44642</v>
          </cell>
          <cell r="U334">
            <v>44661</v>
          </cell>
          <cell r="V334" t="str">
            <v>㈱須賀川東部鏡石</v>
          </cell>
          <cell r="W334"/>
          <cell r="X334"/>
        </row>
        <row r="335">
          <cell r="A335">
            <v>3655504</v>
          </cell>
          <cell r="B335" t="str">
            <v>福島コーティング</v>
          </cell>
          <cell r="C335" t="str">
            <v>工材１部大阪電材課</v>
          </cell>
          <cell r="D335" t="str">
            <v>ダミー担当者</v>
          </cell>
          <cell r="E335" t="str">
            <v>日東電工㈱豊橋工場</v>
          </cell>
          <cell r="F335">
            <v>331</v>
          </cell>
          <cell r="G335" t="str">
            <v>S</v>
          </cell>
          <cell r="H335" t="str">
            <v>N</v>
          </cell>
          <cell r="I335" t="str">
            <v>CERA</v>
          </cell>
          <cell r="J335"/>
          <cell r="K335" t="str">
            <v>MD(A)R</v>
          </cell>
          <cell r="L335">
            <v>38</v>
          </cell>
          <cell r="M335" t="str">
            <v>セラピール　ＭＤ（Ａ）（Ｒ）</v>
          </cell>
          <cell r="N335">
            <v>1255</v>
          </cell>
          <cell r="O335">
            <v>1250</v>
          </cell>
          <cell r="P335">
            <v>6000</v>
          </cell>
          <cell r="Q335">
            <v>2</v>
          </cell>
          <cell r="R335">
            <v>20</v>
          </cell>
          <cell r="S335" t="str">
            <v>本</v>
          </cell>
          <cell r="T335">
            <v>44642</v>
          </cell>
          <cell r="U335">
            <v>44661</v>
          </cell>
          <cell r="V335" t="str">
            <v>㈱須賀川東部鏡石</v>
          </cell>
          <cell r="W335"/>
          <cell r="X335"/>
        </row>
        <row r="336">
          <cell r="A336">
            <v>3655505</v>
          </cell>
          <cell r="B336" t="str">
            <v>福島コーティング</v>
          </cell>
          <cell r="C336" t="str">
            <v>工材１部大阪電材課</v>
          </cell>
          <cell r="D336" t="str">
            <v>ダミー担当者</v>
          </cell>
          <cell r="E336" t="str">
            <v>住友べークライト尼崎</v>
          </cell>
          <cell r="F336">
            <v>331</v>
          </cell>
          <cell r="G336" t="str">
            <v>S</v>
          </cell>
          <cell r="H336" t="str">
            <v>N</v>
          </cell>
          <cell r="I336" t="str">
            <v>CERA</v>
          </cell>
          <cell r="J336"/>
          <cell r="K336" t="str">
            <v>MDARX</v>
          </cell>
          <cell r="L336">
            <v>38</v>
          </cell>
          <cell r="M336" t="str">
            <v>セラピール　　　　　　　　　　　ＭＤＡ（ＲＸ）</v>
          </cell>
          <cell r="N336">
            <v>415</v>
          </cell>
          <cell r="O336">
            <v>415</v>
          </cell>
          <cell r="P336">
            <v>1950</v>
          </cell>
          <cell r="Q336">
            <v>2</v>
          </cell>
          <cell r="R336">
            <v>90</v>
          </cell>
          <cell r="S336" t="str">
            <v>本</v>
          </cell>
          <cell r="T336">
            <v>44642</v>
          </cell>
          <cell r="U336">
            <v>44661</v>
          </cell>
          <cell r="V336" t="str">
            <v>㈱須賀川東部鏡石</v>
          </cell>
          <cell r="W336"/>
          <cell r="X336"/>
        </row>
        <row r="337">
          <cell r="A337">
            <v>3655506</v>
          </cell>
          <cell r="B337" t="str">
            <v>福島コーティング</v>
          </cell>
          <cell r="C337" t="str">
            <v>大阪光学機能材課</v>
          </cell>
          <cell r="D337" t="str">
            <v>ダミー担当者</v>
          </cell>
          <cell r="E337" t="str">
            <v>日東電工㈱尾道事業所</v>
          </cell>
          <cell r="F337">
            <v>3321</v>
          </cell>
          <cell r="G337" t="str">
            <v>S</v>
          </cell>
          <cell r="H337" t="str">
            <v>N</v>
          </cell>
          <cell r="I337" t="str">
            <v>CERA</v>
          </cell>
          <cell r="J337"/>
          <cell r="K337" t="str">
            <v>MDACPFL</v>
          </cell>
          <cell r="L337">
            <v>38</v>
          </cell>
          <cell r="M337" t="str">
            <v>Ｋ　セラピールＭＤＡ（ＣＰＲＦ）Ｌ</v>
          </cell>
          <cell r="N337">
            <v>1336</v>
          </cell>
          <cell r="O337">
            <v>1325</v>
          </cell>
          <cell r="P337">
            <v>12000</v>
          </cell>
          <cell r="Q337">
            <v>2</v>
          </cell>
          <cell r="R337">
            <v>12</v>
          </cell>
          <cell r="S337" t="str">
            <v>本</v>
          </cell>
          <cell r="T337">
            <v>44642</v>
          </cell>
          <cell r="U337">
            <v>44661</v>
          </cell>
          <cell r="V337" t="str">
            <v>㈱須賀川東部鏡石</v>
          </cell>
          <cell r="W337"/>
          <cell r="X337"/>
        </row>
        <row r="338">
          <cell r="A338">
            <v>3655507</v>
          </cell>
          <cell r="B338" t="str">
            <v>福島コーティング</v>
          </cell>
          <cell r="C338" t="str">
            <v>大阪光学機能材課</v>
          </cell>
          <cell r="D338" t="str">
            <v>ダミー担当者</v>
          </cell>
          <cell r="E338" t="str">
            <v>日東電工㈱尾道事業所</v>
          </cell>
          <cell r="F338">
            <v>3321</v>
          </cell>
          <cell r="G338" t="str">
            <v>S</v>
          </cell>
          <cell r="H338" t="str">
            <v>N</v>
          </cell>
          <cell r="I338" t="str">
            <v>CERA</v>
          </cell>
          <cell r="J338"/>
          <cell r="K338" t="str">
            <v>MDAPFL</v>
          </cell>
          <cell r="L338">
            <v>38</v>
          </cell>
          <cell r="M338" t="str">
            <v>Ｋ　セラピールＭＤＡ（ＰＲＦ）Ｌ</v>
          </cell>
          <cell r="N338">
            <v>1336</v>
          </cell>
          <cell r="O338">
            <v>1325</v>
          </cell>
          <cell r="P338">
            <v>12000</v>
          </cell>
          <cell r="Q338">
            <v>2</v>
          </cell>
          <cell r="R338">
            <v>18</v>
          </cell>
          <cell r="S338" t="str">
            <v>本</v>
          </cell>
          <cell r="T338">
            <v>44642</v>
          </cell>
          <cell r="U338">
            <v>44661</v>
          </cell>
          <cell r="V338" t="str">
            <v>㈱須賀川東部鏡石</v>
          </cell>
          <cell r="W338"/>
          <cell r="X338"/>
        </row>
        <row r="339">
          <cell r="A339">
            <v>3655508</v>
          </cell>
          <cell r="B339" t="str">
            <v>福島コーティング</v>
          </cell>
          <cell r="C339" t="str">
            <v>工材１部電材課</v>
          </cell>
          <cell r="D339" t="str">
            <v>ダミー担当者</v>
          </cell>
          <cell r="E339" t="str">
            <v>古河電気工業㈱</v>
          </cell>
          <cell r="F339">
            <v>3</v>
          </cell>
          <cell r="G339" t="str">
            <v>S</v>
          </cell>
          <cell r="H339" t="str">
            <v>N</v>
          </cell>
          <cell r="I339" t="str">
            <v>CERA</v>
          </cell>
          <cell r="J339"/>
          <cell r="K339" t="str">
            <v>WZE</v>
          </cell>
          <cell r="L339">
            <v>25</v>
          </cell>
          <cell r="M339" t="str">
            <v>セラピール　　　　　　　　　　　ＷＺ（Ｅ）</v>
          </cell>
          <cell r="N339">
            <v>1240</v>
          </cell>
          <cell r="O339">
            <v>1240</v>
          </cell>
          <cell r="P339">
            <v>6000</v>
          </cell>
          <cell r="Q339">
            <v>2</v>
          </cell>
          <cell r="R339">
            <v>18</v>
          </cell>
          <cell r="S339" t="str">
            <v>本</v>
          </cell>
          <cell r="T339">
            <v>44642</v>
          </cell>
          <cell r="U339">
            <v>44667</v>
          </cell>
          <cell r="V339" t="str">
            <v>㈱須賀川東部鏡石</v>
          </cell>
          <cell r="W339"/>
          <cell r="X339"/>
        </row>
        <row r="340">
          <cell r="A340">
            <v>3655509</v>
          </cell>
          <cell r="B340" t="str">
            <v>福島コーティング</v>
          </cell>
          <cell r="C340" t="str">
            <v>工材１部電材課</v>
          </cell>
          <cell r="D340" t="str">
            <v>ダミー担当者</v>
          </cell>
          <cell r="E340" t="str">
            <v>古河電気工業㈱</v>
          </cell>
          <cell r="F340">
            <v>3</v>
          </cell>
          <cell r="G340" t="str">
            <v>S</v>
          </cell>
          <cell r="H340" t="str">
            <v>N</v>
          </cell>
          <cell r="I340" t="str">
            <v>CERA</v>
          </cell>
          <cell r="J340"/>
          <cell r="K340" t="str">
            <v>WZE</v>
          </cell>
          <cell r="L340">
            <v>38</v>
          </cell>
          <cell r="M340" t="str">
            <v>セラピール　　　　　　　　　　　ＷＺ（Ｅ）</v>
          </cell>
          <cell r="N340">
            <v>1240</v>
          </cell>
          <cell r="O340">
            <v>1240</v>
          </cell>
          <cell r="P340">
            <v>6000</v>
          </cell>
          <cell r="Q340">
            <v>2</v>
          </cell>
          <cell r="R340">
            <v>12</v>
          </cell>
          <cell r="S340" t="str">
            <v>本</v>
          </cell>
          <cell r="T340">
            <v>44642</v>
          </cell>
          <cell r="U340">
            <v>44667</v>
          </cell>
          <cell r="V340" t="str">
            <v>㈱須賀川東部鏡石</v>
          </cell>
          <cell r="W340"/>
          <cell r="X340"/>
        </row>
        <row r="341">
          <cell r="A341">
            <v>3655510</v>
          </cell>
          <cell r="B341" t="str">
            <v>情材福島原価</v>
          </cell>
          <cell r="C341" t="str">
            <v>工材１部大阪電材課</v>
          </cell>
          <cell r="D341" t="str">
            <v>ダミー担当者</v>
          </cell>
          <cell r="E341"/>
          <cell r="F341">
            <v>3</v>
          </cell>
          <cell r="G341" t="str">
            <v>T</v>
          </cell>
          <cell r="H341" t="str">
            <v>N</v>
          </cell>
          <cell r="I341" t="str">
            <v>CERA</v>
          </cell>
          <cell r="J341"/>
          <cell r="K341" t="str">
            <v>WZS</v>
          </cell>
          <cell r="L341">
            <v>25</v>
          </cell>
          <cell r="M341" t="str">
            <v>セラピールＷＺ（Ｓ）</v>
          </cell>
          <cell r="N341">
            <v>1100</v>
          </cell>
          <cell r="O341">
            <v>1100</v>
          </cell>
          <cell r="P341">
            <v>12000</v>
          </cell>
          <cell r="Q341">
            <v>2</v>
          </cell>
          <cell r="R341">
            <v>7</v>
          </cell>
          <cell r="S341" t="str">
            <v>本</v>
          </cell>
          <cell r="T341">
            <v>44642</v>
          </cell>
          <cell r="U341">
            <v>44667</v>
          </cell>
          <cell r="V341" t="str">
            <v>㈱須賀川東部鏡石</v>
          </cell>
          <cell r="W341"/>
          <cell r="X341"/>
        </row>
        <row r="342">
          <cell r="A342">
            <v>3655512</v>
          </cell>
          <cell r="B342" t="str">
            <v>福島コーティング</v>
          </cell>
          <cell r="C342" t="str">
            <v>プロセス材１課</v>
          </cell>
          <cell r="D342" t="str">
            <v>ダミー担当者</v>
          </cell>
          <cell r="E342" t="str">
            <v>リンテック㈱</v>
          </cell>
          <cell r="F342">
            <v>3</v>
          </cell>
          <cell r="G342" t="str">
            <v>S</v>
          </cell>
          <cell r="H342" t="str">
            <v>N</v>
          </cell>
          <cell r="I342" t="str">
            <v>CERA</v>
          </cell>
          <cell r="J342"/>
          <cell r="K342" t="str">
            <v>WZS</v>
          </cell>
          <cell r="L342">
            <v>38</v>
          </cell>
          <cell r="M342" t="str">
            <v>セラピール　　　　　　　　　　　ＷＺ（Ｓ）</v>
          </cell>
          <cell r="N342">
            <v>1005</v>
          </cell>
          <cell r="O342">
            <v>1000</v>
          </cell>
          <cell r="P342">
            <v>8000</v>
          </cell>
          <cell r="Q342">
            <v>2</v>
          </cell>
          <cell r="R342">
            <v>5</v>
          </cell>
          <cell r="S342" t="str">
            <v>本</v>
          </cell>
          <cell r="T342">
            <v>44642</v>
          </cell>
          <cell r="U342">
            <v>44676</v>
          </cell>
          <cell r="V342" t="str">
            <v>㈱須賀川東部鏡石</v>
          </cell>
          <cell r="W342"/>
          <cell r="X342"/>
        </row>
        <row r="343">
          <cell r="A343">
            <v>3655513</v>
          </cell>
          <cell r="B343" t="str">
            <v>福島コーティング</v>
          </cell>
          <cell r="C343" t="str">
            <v>プロセス材１課</v>
          </cell>
          <cell r="D343" t="str">
            <v>ダミー担当者</v>
          </cell>
          <cell r="E343" t="str">
            <v>リンテック㈱</v>
          </cell>
          <cell r="F343">
            <v>3</v>
          </cell>
          <cell r="G343" t="str">
            <v>S</v>
          </cell>
          <cell r="H343" t="str">
            <v>N</v>
          </cell>
          <cell r="I343" t="str">
            <v>CERA</v>
          </cell>
          <cell r="J343"/>
          <cell r="K343" t="str">
            <v>WZS</v>
          </cell>
          <cell r="L343">
            <v>38</v>
          </cell>
          <cell r="M343" t="str">
            <v>セラピール　　　　　　　　　　　ＷＺ（Ｓ）</v>
          </cell>
          <cell r="N343">
            <v>1415</v>
          </cell>
          <cell r="O343">
            <v>1410</v>
          </cell>
          <cell r="P343">
            <v>8000</v>
          </cell>
          <cell r="Q343">
            <v>2</v>
          </cell>
          <cell r="R343">
            <v>4</v>
          </cell>
          <cell r="S343" t="str">
            <v>本</v>
          </cell>
          <cell r="T343">
            <v>44642</v>
          </cell>
          <cell r="U343">
            <v>44676</v>
          </cell>
          <cell r="V343" t="str">
            <v>㈱須賀川東部鏡石</v>
          </cell>
          <cell r="W343"/>
          <cell r="X343"/>
        </row>
        <row r="344">
          <cell r="A344">
            <v>3655514</v>
          </cell>
          <cell r="B344" t="str">
            <v>福島コーティング</v>
          </cell>
          <cell r="C344" t="str">
            <v>工材１部電材課</v>
          </cell>
          <cell r="D344" t="str">
            <v>ダミー担当者</v>
          </cell>
          <cell r="E344" t="str">
            <v>㈱巴川製紙所</v>
          </cell>
          <cell r="F344">
            <v>331</v>
          </cell>
          <cell r="G344" t="str">
            <v>S</v>
          </cell>
          <cell r="H344" t="str">
            <v>N</v>
          </cell>
          <cell r="I344" t="str">
            <v>CERA</v>
          </cell>
          <cell r="J344"/>
          <cell r="K344" t="str">
            <v>BX8ARXT</v>
          </cell>
          <cell r="L344">
            <v>38</v>
          </cell>
          <cell r="M344" t="str">
            <v>セラピール　ＢＸ８ＡＲＸ</v>
          </cell>
          <cell r="N344">
            <v>1580</v>
          </cell>
          <cell r="O344">
            <v>1580</v>
          </cell>
          <cell r="P344">
            <v>6000</v>
          </cell>
          <cell r="Q344">
            <v>2</v>
          </cell>
          <cell r="R344">
            <v>4</v>
          </cell>
          <cell r="S344" t="str">
            <v>本</v>
          </cell>
          <cell r="T344">
            <v>44642</v>
          </cell>
          <cell r="U344">
            <v>44669</v>
          </cell>
          <cell r="V344" t="str">
            <v>㈱須賀川東部鏡石</v>
          </cell>
          <cell r="W344"/>
          <cell r="X344"/>
        </row>
        <row r="345">
          <cell r="A345">
            <v>3655515</v>
          </cell>
          <cell r="B345" t="str">
            <v>福島コーティング</v>
          </cell>
          <cell r="C345" t="str">
            <v>工材１部電材課</v>
          </cell>
          <cell r="D345" t="str">
            <v>ダミー担当者</v>
          </cell>
          <cell r="E345" t="str">
            <v>㈱巴川製紙所</v>
          </cell>
          <cell r="F345">
            <v>3</v>
          </cell>
          <cell r="G345" t="str">
            <v>S</v>
          </cell>
          <cell r="H345" t="str">
            <v>N</v>
          </cell>
          <cell r="I345" t="str">
            <v>CERA</v>
          </cell>
          <cell r="J345"/>
          <cell r="K345" t="str">
            <v>BX8AX</v>
          </cell>
          <cell r="L345">
            <v>75</v>
          </cell>
          <cell r="M345" t="str">
            <v>セラピール　　　　　　　　　　　ＢＸ８Ａ（Ｘ）</v>
          </cell>
          <cell r="N345">
            <v>1330</v>
          </cell>
          <cell r="O345">
            <v>1330</v>
          </cell>
          <cell r="P345">
            <v>4100</v>
          </cell>
          <cell r="Q345">
            <v>2</v>
          </cell>
          <cell r="R345">
            <v>20</v>
          </cell>
          <cell r="S345" t="str">
            <v>本</v>
          </cell>
          <cell r="T345">
            <v>44642</v>
          </cell>
          <cell r="U345">
            <v>44669</v>
          </cell>
          <cell r="V345" t="str">
            <v>㈱須賀川東部鏡石</v>
          </cell>
          <cell r="W345"/>
          <cell r="X345"/>
        </row>
        <row r="346">
          <cell r="A346">
            <v>3655516</v>
          </cell>
          <cell r="B346" t="str">
            <v>福島コーティング</v>
          </cell>
          <cell r="C346" t="str">
            <v>工材１部大阪電材課</v>
          </cell>
          <cell r="D346" t="str">
            <v>ダミー担当者</v>
          </cell>
          <cell r="E346" t="str">
            <v>住友電工プリント</v>
          </cell>
          <cell r="F346">
            <v>3</v>
          </cell>
          <cell r="G346" t="str">
            <v>S</v>
          </cell>
          <cell r="H346" t="str">
            <v>N</v>
          </cell>
          <cell r="I346" t="str">
            <v>CERA</v>
          </cell>
          <cell r="J346"/>
          <cell r="K346" t="str">
            <v>BX8ARX</v>
          </cell>
          <cell r="L346">
            <v>38</v>
          </cell>
          <cell r="M346" t="str">
            <v>セラピール　ＢＸ８ＡＲＸ</v>
          </cell>
          <cell r="N346">
            <v>535</v>
          </cell>
          <cell r="O346">
            <v>535</v>
          </cell>
          <cell r="P346">
            <v>2000</v>
          </cell>
          <cell r="Q346">
            <v>2</v>
          </cell>
          <cell r="R346">
            <v>12</v>
          </cell>
          <cell r="S346" t="str">
            <v>本</v>
          </cell>
          <cell r="T346">
            <v>44642</v>
          </cell>
          <cell r="U346">
            <v>44669</v>
          </cell>
          <cell r="V346" t="str">
            <v>㈱須賀川東部鏡石</v>
          </cell>
          <cell r="W346"/>
          <cell r="X346"/>
        </row>
        <row r="347">
          <cell r="A347">
            <v>3655517</v>
          </cell>
          <cell r="B347" t="str">
            <v>福島コーティング</v>
          </cell>
          <cell r="C347" t="str">
            <v>工材１部大阪電材課</v>
          </cell>
          <cell r="D347" t="str">
            <v>ダミー担当者</v>
          </cell>
          <cell r="E347" t="str">
            <v>利昌工業　尼崎工場</v>
          </cell>
          <cell r="F347">
            <v>3</v>
          </cell>
          <cell r="G347" t="str">
            <v>S</v>
          </cell>
          <cell r="H347" t="str">
            <v>N</v>
          </cell>
          <cell r="I347" t="str">
            <v>CERA</v>
          </cell>
          <cell r="J347"/>
          <cell r="K347" t="str">
            <v>BX8ARX</v>
          </cell>
          <cell r="L347">
            <v>25</v>
          </cell>
          <cell r="M347" t="str">
            <v>セラピール　ＢＸ８Ａ（ＲＸ）</v>
          </cell>
          <cell r="N347">
            <v>740</v>
          </cell>
          <cell r="O347">
            <v>740</v>
          </cell>
          <cell r="P347">
            <v>2100</v>
          </cell>
          <cell r="Q347">
            <v>1</v>
          </cell>
          <cell r="R347">
            <v>48</v>
          </cell>
          <cell r="S347" t="str">
            <v>本</v>
          </cell>
          <cell r="T347">
            <v>44642</v>
          </cell>
          <cell r="U347">
            <v>44669</v>
          </cell>
          <cell r="V347" t="str">
            <v>㈱須賀川東部鏡石</v>
          </cell>
          <cell r="W347"/>
          <cell r="X347"/>
        </row>
        <row r="348">
          <cell r="A348">
            <v>3655518</v>
          </cell>
          <cell r="B348" t="str">
            <v>福島コーティング</v>
          </cell>
          <cell r="C348" t="str">
            <v>プロセス材２課</v>
          </cell>
          <cell r="D348" t="str">
            <v>ダミー担当者</v>
          </cell>
          <cell r="E348" t="str">
            <v>日榮新化㈱</v>
          </cell>
          <cell r="F348">
            <v>3</v>
          </cell>
          <cell r="G348" t="str">
            <v>S</v>
          </cell>
          <cell r="H348" t="str">
            <v>Y</v>
          </cell>
          <cell r="I348" t="str">
            <v>CERA</v>
          </cell>
          <cell r="J348"/>
          <cell r="K348" t="str">
            <v>BX9AS</v>
          </cell>
          <cell r="L348">
            <v>75</v>
          </cell>
          <cell r="M348" t="str">
            <v>セラピール　　　　　　　　　　　ＢＸ９Ａ（Ｓ）</v>
          </cell>
          <cell r="N348">
            <v>1040</v>
          </cell>
          <cell r="O348">
            <v>1040</v>
          </cell>
          <cell r="P348">
            <v>4000</v>
          </cell>
          <cell r="Q348">
            <v>1</v>
          </cell>
          <cell r="R348">
            <v>2</v>
          </cell>
          <cell r="S348" t="str">
            <v>本</v>
          </cell>
          <cell r="T348">
            <v>44642</v>
          </cell>
          <cell r="U348">
            <v>44669</v>
          </cell>
          <cell r="V348" t="str">
            <v>㈱須賀川東部鏡石</v>
          </cell>
          <cell r="W348"/>
          <cell r="X348"/>
        </row>
        <row r="349">
          <cell r="A349">
            <v>3655519</v>
          </cell>
          <cell r="B349" t="str">
            <v>福島コーティング</v>
          </cell>
          <cell r="C349" t="str">
            <v>工材１部電材課</v>
          </cell>
          <cell r="D349" t="str">
            <v>ダミー担当者</v>
          </cell>
          <cell r="E349" t="str">
            <v>パナック㈱亀山工場</v>
          </cell>
          <cell r="F349">
            <v>331</v>
          </cell>
          <cell r="G349" t="str">
            <v>S</v>
          </cell>
          <cell r="H349" t="str">
            <v>N</v>
          </cell>
          <cell r="I349" t="str">
            <v>CERA</v>
          </cell>
          <cell r="J349"/>
          <cell r="K349" t="str">
            <v>BX8ARXA</v>
          </cell>
          <cell r="L349">
            <v>38</v>
          </cell>
          <cell r="M349" t="str">
            <v>セラピール　ＢＸ８ＡＲＸ</v>
          </cell>
          <cell r="N349">
            <v>1330</v>
          </cell>
          <cell r="O349">
            <v>1330</v>
          </cell>
          <cell r="P349">
            <v>6000</v>
          </cell>
          <cell r="Q349">
            <v>2</v>
          </cell>
          <cell r="R349">
            <v>30</v>
          </cell>
          <cell r="S349" t="str">
            <v>本</v>
          </cell>
          <cell r="T349">
            <v>44642</v>
          </cell>
          <cell r="U349">
            <v>44669</v>
          </cell>
          <cell r="V349" t="str">
            <v>㈱須賀川東部鏡石</v>
          </cell>
          <cell r="W349"/>
          <cell r="X349"/>
        </row>
        <row r="350">
          <cell r="A350">
            <v>3655520</v>
          </cell>
          <cell r="B350" t="str">
            <v>福島コーティング</v>
          </cell>
          <cell r="C350" t="str">
            <v>工材１部電材課</v>
          </cell>
          <cell r="D350" t="str">
            <v>ダミー担当者</v>
          </cell>
          <cell r="E350" t="str">
            <v>㈱巴川製紙所</v>
          </cell>
          <cell r="F350">
            <v>331</v>
          </cell>
          <cell r="G350" t="str">
            <v>S</v>
          </cell>
          <cell r="H350" t="str">
            <v>N</v>
          </cell>
          <cell r="I350" t="str">
            <v>CERA</v>
          </cell>
          <cell r="J350"/>
          <cell r="K350" t="str">
            <v>BX8ARXT</v>
          </cell>
          <cell r="L350">
            <v>38</v>
          </cell>
          <cell r="M350" t="str">
            <v>セラピール　ＢＸ８ＡＲＸ</v>
          </cell>
          <cell r="N350">
            <v>1330</v>
          </cell>
          <cell r="O350">
            <v>1330</v>
          </cell>
          <cell r="P350">
            <v>6000</v>
          </cell>
          <cell r="Q350">
            <v>2</v>
          </cell>
          <cell r="R350">
            <v>8</v>
          </cell>
          <cell r="S350" t="str">
            <v>本</v>
          </cell>
          <cell r="T350">
            <v>44642</v>
          </cell>
          <cell r="U350">
            <v>44669</v>
          </cell>
          <cell r="V350" t="str">
            <v>㈱須賀川東部鏡石</v>
          </cell>
          <cell r="W350"/>
          <cell r="X350"/>
        </row>
        <row r="351">
          <cell r="A351">
            <v>3655521</v>
          </cell>
          <cell r="B351" t="str">
            <v>情材福島原価</v>
          </cell>
          <cell r="C351" t="str">
            <v>工材１部大阪電材課</v>
          </cell>
          <cell r="D351" t="str">
            <v>ダミー担当者</v>
          </cell>
          <cell r="E351" t="str">
            <v>日東電工㈱豊橋工場</v>
          </cell>
          <cell r="F351">
            <v>3</v>
          </cell>
          <cell r="G351" t="str">
            <v>T</v>
          </cell>
          <cell r="H351" t="str">
            <v>N</v>
          </cell>
          <cell r="I351" t="str">
            <v>CERA</v>
          </cell>
          <cell r="J351"/>
          <cell r="K351" t="str">
            <v>BX8A37</v>
          </cell>
          <cell r="L351">
            <v>75</v>
          </cell>
          <cell r="M351" t="str">
            <v>セラピール　ＢＸ８Ａ（３７）</v>
          </cell>
          <cell r="N351">
            <v>1050</v>
          </cell>
          <cell r="O351">
            <v>1050</v>
          </cell>
          <cell r="P351">
            <v>5800</v>
          </cell>
          <cell r="Q351">
            <v>2</v>
          </cell>
          <cell r="R351">
            <v>57</v>
          </cell>
          <cell r="S351" t="str">
            <v>本</v>
          </cell>
          <cell r="T351">
            <v>44642</v>
          </cell>
          <cell r="U351">
            <v>44669</v>
          </cell>
          <cell r="V351" t="str">
            <v>㈱須賀川東部鏡石</v>
          </cell>
          <cell r="W351"/>
          <cell r="X351"/>
        </row>
        <row r="352">
          <cell r="A352">
            <v>3655522</v>
          </cell>
          <cell r="B352" t="str">
            <v>福島コーティング</v>
          </cell>
          <cell r="C352" t="str">
            <v>工材１部電材課</v>
          </cell>
          <cell r="D352" t="str">
            <v>ダミー担当者</v>
          </cell>
          <cell r="E352" t="str">
            <v>パナック㈱亀山工場</v>
          </cell>
          <cell r="F352">
            <v>3</v>
          </cell>
          <cell r="G352" t="str">
            <v>S</v>
          </cell>
          <cell r="H352" t="str">
            <v>N</v>
          </cell>
          <cell r="I352" t="str">
            <v>CERA</v>
          </cell>
          <cell r="J352"/>
          <cell r="K352" t="str">
            <v>BKE09</v>
          </cell>
          <cell r="L352">
            <v>38</v>
          </cell>
          <cell r="M352" t="str">
            <v>セラピール　ＢＫＥ（０９）</v>
          </cell>
          <cell r="N352">
            <v>1367</v>
          </cell>
          <cell r="O352">
            <v>1360</v>
          </cell>
          <cell r="P352">
            <v>6000</v>
          </cell>
          <cell r="Q352">
            <v>2</v>
          </cell>
          <cell r="R352">
            <v>6</v>
          </cell>
          <cell r="S352" t="str">
            <v>本</v>
          </cell>
          <cell r="T352">
            <v>44642</v>
          </cell>
          <cell r="U352">
            <v>44673</v>
          </cell>
          <cell r="V352" t="str">
            <v>㈱須賀川東部鏡石</v>
          </cell>
          <cell r="W352"/>
          <cell r="X352"/>
        </row>
        <row r="353">
          <cell r="A353">
            <v>3655523</v>
          </cell>
          <cell r="B353" t="str">
            <v>福島コーティング</v>
          </cell>
          <cell r="C353" t="str">
            <v>工材１部電材課</v>
          </cell>
          <cell r="D353" t="str">
            <v>ダミー担当者</v>
          </cell>
          <cell r="E353" t="str">
            <v>パナック㈱亀山工場</v>
          </cell>
          <cell r="F353">
            <v>3</v>
          </cell>
          <cell r="G353" t="str">
            <v>S</v>
          </cell>
          <cell r="H353" t="str">
            <v>N</v>
          </cell>
          <cell r="I353" t="str">
            <v>CERA</v>
          </cell>
          <cell r="J353"/>
          <cell r="K353" t="str">
            <v>BKE09</v>
          </cell>
          <cell r="L353">
            <v>38</v>
          </cell>
          <cell r="M353" t="str">
            <v>セラピール　ＢＫＥ（０９）</v>
          </cell>
          <cell r="N353">
            <v>1037</v>
          </cell>
          <cell r="O353">
            <v>1030</v>
          </cell>
          <cell r="P353">
            <v>8400</v>
          </cell>
          <cell r="Q353">
            <v>2</v>
          </cell>
          <cell r="R353">
            <v>30</v>
          </cell>
          <cell r="S353" t="str">
            <v>本</v>
          </cell>
          <cell r="T353">
            <v>44642</v>
          </cell>
          <cell r="U353">
            <v>44673</v>
          </cell>
          <cell r="V353" t="str">
            <v>㈱須賀川東部鏡石</v>
          </cell>
          <cell r="W353"/>
          <cell r="X353"/>
        </row>
        <row r="354">
          <cell r="A354">
            <v>3655524</v>
          </cell>
          <cell r="B354" t="str">
            <v>福島コーティング</v>
          </cell>
          <cell r="C354" t="str">
            <v>工材１部電材課</v>
          </cell>
          <cell r="D354" t="str">
            <v>ダミー担当者</v>
          </cell>
          <cell r="E354" t="str">
            <v>パナック㈱亀山工場</v>
          </cell>
          <cell r="F354">
            <v>3</v>
          </cell>
          <cell r="G354" t="str">
            <v>S</v>
          </cell>
          <cell r="H354" t="str">
            <v>N</v>
          </cell>
          <cell r="I354" t="str">
            <v>CERA</v>
          </cell>
          <cell r="J354"/>
          <cell r="K354" t="str">
            <v>BKE09</v>
          </cell>
          <cell r="L354">
            <v>38</v>
          </cell>
          <cell r="M354" t="str">
            <v>セラピール　ＢＫＥ（０９）</v>
          </cell>
          <cell r="N354">
            <v>1057</v>
          </cell>
          <cell r="O354">
            <v>1050</v>
          </cell>
          <cell r="P354">
            <v>8400</v>
          </cell>
          <cell r="Q354">
            <v>2</v>
          </cell>
          <cell r="R354">
            <v>26</v>
          </cell>
          <cell r="S354" t="str">
            <v>本</v>
          </cell>
          <cell r="T354">
            <v>44642</v>
          </cell>
          <cell r="U354">
            <v>44673</v>
          </cell>
          <cell r="V354" t="str">
            <v>㈱須賀川東部鏡石</v>
          </cell>
          <cell r="W354"/>
          <cell r="X354"/>
        </row>
        <row r="355">
          <cell r="A355">
            <v>3655525</v>
          </cell>
          <cell r="B355" t="str">
            <v>福島コーティング</v>
          </cell>
          <cell r="C355" t="str">
            <v>工材１部電材課</v>
          </cell>
          <cell r="D355" t="str">
            <v>ダミー担当者</v>
          </cell>
          <cell r="E355" t="str">
            <v>パナック㈱亀山工場</v>
          </cell>
          <cell r="F355">
            <v>331</v>
          </cell>
          <cell r="G355" t="str">
            <v>S</v>
          </cell>
          <cell r="H355" t="str">
            <v>N</v>
          </cell>
          <cell r="I355" t="str">
            <v>CERA</v>
          </cell>
          <cell r="J355"/>
          <cell r="K355" t="str">
            <v>BKERXPT</v>
          </cell>
          <cell r="L355">
            <v>38</v>
          </cell>
          <cell r="M355" t="str">
            <v>セラピール　ＢＫＥ（ＲＸ）</v>
          </cell>
          <cell r="N355">
            <v>1330</v>
          </cell>
          <cell r="O355">
            <v>1330</v>
          </cell>
          <cell r="P355">
            <v>6000</v>
          </cell>
          <cell r="Q355">
            <v>2</v>
          </cell>
          <cell r="R355">
            <v>16</v>
          </cell>
          <cell r="S355" t="str">
            <v>本</v>
          </cell>
          <cell r="T355">
            <v>44642</v>
          </cell>
          <cell r="U355">
            <v>44673</v>
          </cell>
          <cell r="V355" t="str">
            <v>㈱須賀川東部鏡石</v>
          </cell>
          <cell r="W355"/>
          <cell r="X355"/>
        </row>
        <row r="356">
          <cell r="A356">
            <v>3655526</v>
          </cell>
          <cell r="B356" t="str">
            <v>福島コーティング</v>
          </cell>
          <cell r="C356" t="str">
            <v>工材１部電材課</v>
          </cell>
          <cell r="D356" t="str">
            <v>ダミー担当者</v>
          </cell>
          <cell r="E356" t="str">
            <v>㈱巴川製紙所</v>
          </cell>
          <cell r="F356">
            <v>331</v>
          </cell>
          <cell r="G356" t="str">
            <v>S</v>
          </cell>
          <cell r="H356" t="str">
            <v>N</v>
          </cell>
          <cell r="I356" t="str">
            <v>CERA</v>
          </cell>
          <cell r="J356"/>
          <cell r="K356" t="str">
            <v>BKERXT</v>
          </cell>
          <cell r="L356">
            <v>38</v>
          </cell>
          <cell r="M356" t="str">
            <v>セラピール　ＢＫＥ（ＲＸ）</v>
          </cell>
          <cell r="N356">
            <v>1330</v>
          </cell>
          <cell r="O356">
            <v>1330</v>
          </cell>
          <cell r="P356">
            <v>6000</v>
          </cell>
          <cell r="Q356">
            <v>2</v>
          </cell>
          <cell r="R356">
            <v>14</v>
          </cell>
          <cell r="S356" t="str">
            <v>本</v>
          </cell>
          <cell r="T356">
            <v>44642</v>
          </cell>
          <cell r="U356">
            <v>44673</v>
          </cell>
          <cell r="V356" t="str">
            <v>㈱須賀川東部鏡石</v>
          </cell>
          <cell r="W356"/>
          <cell r="X356"/>
        </row>
        <row r="357">
          <cell r="A357">
            <v>3655527</v>
          </cell>
          <cell r="B357" t="str">
            <v>福島コーティング</v>
          </cell>
          <cell r="C357" t="str">
            <v>光学機能材１課</v>
          </cell>
          <cell r="D357" t="str">
            <v>ダミー担当者</v>
          </cell>
          <cell r="E357" t="str">
            <v>㈱きもと　三重工場</v>
          </cell>
          <cell r="F357">
            <v>3</v>
          </cell>
          <cell r="G357" t="str">
            <v>S</v>
          </cell>
          <cell r="H357" t="str">
            <v>N</v>
          </cell>
          <cell r="I357" t="str">
            <v>CERA</v>
          </cell>
          <cell r="J357"/>
          <cell r="K357" t="str">
            <v>BKUK</v>
          </cell>
          <cell r="L357">
            <v>25</v>
          </cell>
          <cell r="M357" t="str">
            <v>セラピール　ＢＫ（Ｕ）Ｋ</v>
          </cell>
          <cell r="N357">
            <v>1045</v>
          </cell>
          <cell r="O357">
            <v>1040</v>
          </cell>
          <cell r="P357">
            <v>6000</v>
          </cell>
          <cell r="Q357">
            <v>2</v>
          </cell>
          <cell r="R357">
            <v>10</v>
          </cell>
          <cell r="S357" t="str">
            <v>本</v>
          </cell>
          <cell r="T357">
            <v>44642</v>
          </cell>
          <cell r="U357">
            <v>44673</v>
          </cell>
          <cell r="V357" t="str">
            <v>㈱須賀川東部鏡石</v>
          </cell>
          <cell r="W357"/>
          <cell r="X357"/>
        </row>
        <row r="358">
          <cell r="A358">
            <v>3655529</v>
          </cell>
          <cell r="B358" t="str">
            <v>福島コーティング</v>
          </cell>
          <cell r="C358" t="str">
            <v>大阪光学機能材課</v>
          </cell>
          <cell r="D358" t="str">
            <v>ダミー担当者</v>
          </cell>
          <cell r="E358" t="str">
            <v>日東電工㈱尾道事業所</v>
          </cell>
          <cell r="F358">
            <v>3321</v>
          </cell>
          <cell r="G358" t="str">
            <v>S</v>
          </cell>
          <cell r="H358" t="str">
            <v>N</v>
          </cell>
          <cell r="I358" t="str">
            <v>CERA</v>
          </cell>
          <cell r="J358"/>
          <cell r="K358" t="str">
            <v>MDACPFL</v>
          </cell>
          <cell r="L358">
            <v>38</v>
          </cell>
          <cell r="M358" t="str">
            <v>Ｋ　セラピールＭＤＡ（ＣＰＲＦ）Ｌ</v>
          </cell>
          <cell r="N358">
            <v>1336</v>
          </cell>
          <cell r="O358">
            <v>1325</v>
          </cell>
          <cell r="P358">
            <v>12000</v>
          </cell>
          <cell r="Q358">
            <v>2</v>
          </cell>
          <cell r="R358">
            <v>38</v>
          </cell>
          <cell r="S358" t="str">
            <v>本</v>
          </cell>
          <cell r="T358">
            <v>44642</v>
          </cell>
          <cell r="U358">
            <v>44676</v>
          </cell>
          <cell r="V358" t="str">
            <v>㈱須賀川東部鏡石</v>
          </cell>
          <cell r="W358"/>
          <cell r="X358"/>
        </row>
        <row r="359">
          <cell r="A359">
            <v>3655530</v>
          </cell>
          <cell r="B359" t="str">
            <v>福島コーティング</v>
          </cell>
          <cell r="C359" t="str">
            <v>大阪光学機能材課</v>
          </cell>
          <cell r="D359" t="str">
            <v>ダミー担当者</v>
          </cell>
          <cell r="E359" t="str">
            <v>日東電工㈱尾道事業所</v>
          </cell>
          <cell r="F359">
            <v>3321</v>
          </cell>
          <cell r="G359" t="str">
            <v>S</v>
          </cell>
          <cell r="H359" t="str">
            <v>N</v>
          </cell>
          <cell r="I359" t="str">
            <v>CERA</v>
          </cell>
          <cell r="J359"/>
          <cell r="K359" t="str">
            <v>MDAPFL</v>
          </cell>
          <cell r="L359">
            <v>38</v>
          </cell>
          <cell r="M359" t="str">
            <v>Ｋ　セラピールＭＤＡ（ＰＲＦ）Ｌ</v>
          </cell>
          <cell r="N359">
            <v>1336</v>
          </cell>
          <cell r="O359">
            <v>1325</v>
          </cell>
          <cell r="P359">
            <v>12000</v>
          </cell>
          <cell r="Q359">
            <v>2</v>
          </cell>
          <cell r="R359">
            <v>37</v>
          </cell>
          <cell r="S359" t="str">
            <v>本</v>
          </cell>
          <cell r="T359">
            <v>44642</v>
          </cell>
          <cell r="U359">
            <v>44676</v>
          </cell>
          <cell r="V359" t="str">
            <v>㈱須賀川東部鏡石</v>
          </cell>
          <cell r="W359"/>
          <cell r="X359"/>
        </row>
        <row r="360">
          <cell r="A360">
            <v>3655531</v>
          </cell>
          <cell r="B360" t="str">
            <v>福島コーティング</v>
          </cell>
          <cell r="C360" t="str">
            <v>工材１部大阪電材課</v>
          </cell>
          <cell r="D360" t="str">
            <v>ダミー担当者</v>
          </cell>
          <cell r="E360" t="str">
            <v>ナガセケム　播磨</v>
          </cell>
          <cell r="F360">
            <v>3</v>
          </cell>
          <cell r="G360" t="str">
            <v>S</v>
          </cell>
          <cell r="H360" t="str">
            <v>N</v>
          </cell>
          <cell r="I360" t="str">
            <v>CERA</v>
          </cell>
          <cell r="J360"/>
          <cell r="K360" t="str">
            <v>SY08</v>
          </cell>
          <cell r="L360">
            <v>25</v>
          </cell>
          <cell r="M360" t="str">
            <v>セラピール　ＳＹ（０８）</v>
          </cell>
          <cell r="N360">
            <v>500</v>
          </cell>
          <cell r="O360">
            <v>500</v>
          </cell>
          <cell r="P360">
            <v>4000</v>
          </cell>
          <cell r="Q360">
            <v>2</v>
          </cell>
          <cell r="R360">
            <v>78</v>
          </cell>
          <cell r="S360" t="str">
            <v>本</v>
          </cell>
          <cell r="T360">
            <v>44642</v>
          </cell>
          <cell r="U360">
            <v>44676</v>
          </cell>
          <cell r="V360" t="str">
            <v>㈱須賀川東部鏡石</v>
          </cell>
          <cell r="W360"/>
          <cell r="X360"/>
        </row>
        <row r="361">
          <cell r="A361">
            <v>3655532</v>
          </cell>
          <cell r="B361" t="str">
            <v>機能材料ＴＴＰ福原価</v>
          </cell>
          <cell r="C361" t="str">
            <v>工材１部大阪電材課</v>
          </cell>
          <cell r="D361" t="str">
            <v>ダミー担当者</v>
          </cell>
          <cell r="E361" t="str">
            <v>ニトムズ　松山事業所</v>
          </cell>
          <cell r="F361">
            <v>3301</v>
          </cell>
          <cell r="G361" t="str">
            <v>T</v>
          </cell>
          <cell r="H361" t="str">
            <v>N</v>
          </cell>
          <cell r="I361" t="str">
            <v>TTP</v>
          </cell>
          <cell r="J361"/>
          <cell r="K361" t="str">
            <v>TNJ-AS</v>
          </cell>
          <cell r="L361">
            <v>100</v>
          </cell>
          <cell r="M361" t="str">
            <v>タフトップ　ＴＮＪ－ＡＳ</v>
          </cell>
          <cell r="N361">
            <v>1150</v>
          </cell>
          <cell r="O361">
            <v>1280</v>
          </cell>
          <cell r="P361">
            <v>2000</v>
          </cell>
          <cell r="Q361">
            <v>2</v>
          </cell>
          <cell r="R361">
            <v>2</v>
          </cell>
          <cell r="S361" t="str">
            <v>本</v>
          </cell>
          <cell r="T361">
            <v>44642</v>
          </cell>
          <cell r="U361">
            <v>44673</v>
          </cell>
          <cell r="V361" t="str">
            <v>福島工場ＣＯ２次スリ</v>
          </cell>
          <cell r="W361"/>
          <cell r="X361"/>
        </row>
        <row r="362">
          <cell r="A362">
            <v>3655551</v>
          </cell>
          <cell r="B362" t="str">
            <v>福島コーティング</v>
          </cell>
          <cell r="C362" t="str">
            <v>プロセス材１課</v>
          </cell>
          <cell r="D362" t="str">
            <v>ダミー担当者</v>
          </cell>
          <cell r="E362" t="str">
            <v>リンテック㈱</v>
          </cell>
          <cell r="F362">
            <v>3</v>
          </cell>
          <cell r="G362" t="str">
            <v>S</v>
          </cell>
          <cell r="H362" t="str">
            <v>N</v>
          </cell>
          <cell r="I362" t="str">
            <v>CLB</v>
          </cell>
          <cell r="J362"/>
          <cell r="K362" t="str">
            <v>PETMV</v>
          </cell>
          <cell r="L362">
            <v>25</v>
          </cell>
          <cell r="M362" t="str">
            <v>ＰＥＴ　マットＶ</v>
          </cell>
          <cell r="N362">
            <v>1005</v>
          </cell>
          <cell r="O362">
            <v>1000</v>
          </cell>
          <cell r="P362">
            <v>4000</v>
          </cell>
          <cell r="Q362">
            <v>2</v>
          </cell>
          <cell r="R362">
            <v>3</v>
          </cell>
          <cell r="S362" t="str">
            <v>本</v>
          </cell>
          <cell r="T362">
            <v>44642</v>
          </cell>
          <cell r="U362">
            <v>44672</v>
          </cell>
          <cell r="V362" t="str">
            <v>㈱須賀川東部鏡石</v>
          </cell>
          <cell r="W362"/>
          <cell r="X362"/>
        </row>
        <row r="363">
          <cell r="A363">
            <v>3655563</v>
          </cell>
          <cell r="B363" t="str">
            <v>福島コーティング</v>
          </cell>
          <cell r="C363" t="str">
            <v>プロセス材１課</v>
          </cell>
          <cell r="D363" t="str">
            <v>ダミー担当者</v>
          </cell>
          <cell r="E363" t="str">
            <v>リンテック㈱</v>
          </cell>
          <cell r="F363">
            <v>3</v>
          </cell>
          <cell r="G363" t="str">
            <v>S</v>
          </cell>
          <cell r="H363" t="str">
            <v>N</v>
          </cell>
          <cell r="I363" t="str">
            <v>CLB</v>
          </cell>
          <cell r="J363"/>
          <cell r="K363" t="str">
            <v>E20V</v>
          </cell>
          <cell r="L363">
            <v>38</v>
          </cell>
          <cell r="M363" t="str">
            <v>ルミラー　Ｅ－２０　Ｖ</v>
          </cell>
          <cell r="N363">
            <v>1005</v>
          </cell>
          <cell r="O363">
            <v>1000</v>
          </cell>
          <cell r="P363">
            <v>4000</v>
          </cell>
          <cell r="Q363">
            <v>2</v>
          </cell>
          <cell r="R363">
            <v>1</v>
          </cell>
          <cell r="S363" t="str">
            <v>本</v>
          </cell>
          <cell r="T363">
            <v>44642</v>
          </cell>
          <cell r="U363">
            <v>44669</v>
          </cell>
          <cell r="V363" t="str">
            <v>㈱須賀川東部鏡石</v>
          </cell>
          <cell r="W363"/>
          <cell r="X363"/>
        </row>
        <row r="364">
          <cell r="A364">
            <v>3655564</v>
          </cell>
          <cell r="B364" t="str">
            <v>福島コーティング</v>
          </cell>
          <cell r="C364" t="str">
            <v>プロセス材１課</v>
          </cell>
          <cell r="D364" t="str">
            <v>ダミー担当者</v>
          </cell>
          <cell r="E364" t="str">
            <v>リンテック㈱</v>
          </cell>
          <cell r="F364">
            <v>3</v>
          </cell>
          <cell r="G364" t="str">
            <v>S</v>
          </cell>
          <cell r="H364" t="str">
            <v>N</v>
          </cell>
          <cell r="I364" t="str">
            <v>CLB</v>
          </cell>
          <cell r="J364"/>
          <cell r="K364" t="str">
            <v>E20V</v>
          </cell>
          <cell r="L364">
            <v>50</v>
          </cell>
          <cell r="M364" t="str">
            <v>ルミラー　Ｅ－２０　Ｖ</v>
          </cell>
          <cell r="N364">
            <v>1005</v>
          </cell>
          <cell r="O364">
            <v>1000</v>
          </cell>
          <cell r="P364">
            <v>4000</v>
          </cell>
          <cell r="Q364">
            <v>2</v>
          </cell>
          <cell r="R364">
            <v>2</v>
          </cell>
          <cell r="S364" t="str">
            <v>本</v>
          </cell>
          <cell r="T364">
            <v>44642</v>
          </cell>
          <cell r="U364">
            <v>44669</v>
          </cell>
          <cell r="V364" t="str">
            <v>㈱須賀川東部鏡石</v>
          </cell>
          <cell r="W364"/>
          <cell r="X364"/>
        </row>
        <row r="365">
          <cell r="A365">
            <v>3655565</v>
          </cell>
          <cell r="B365" t="str">
            <v>福島コーティング</v>
          </cell>
          <cell r="C365" t="str">
            <v>プロセス材１課</v>
          </cell>
          <cell r="D365" t="str">
            <v>ダミー担当者</v>
          </cell>
          <cell r="E365" t="str">
            <v>リンテック㈱</v>
          </cell>
          <cell r="F365">
            <v>3</v>
          </cell>
          <cell r="G365" t="str">
            <v>S</v>
          </cell>
          <cell r="H365" t="str">
            <v>N</v>
          </cell>
          <cell r="I365" t="str">
            <v>CLB</v>
          </cell>
          <cell r="J365"/>
          <cell r="K365" t="str">
            <v>E20V</v>
          </cell>
          <cell r="L365">
            <v>75</v>
          </cell>
          <cell r="M365" t="str">
            <v>ルミラー　Ｅ－２０　Ｖ</v>
          </cell>
          <cell r="N365">
            <v>1005</v>
          </cell>
          <cell r="O365">
            <v>1000</v>
          </cell>
          <cell r="P365">
            <v>3000</v>
          </cell>
          <cell r="Q365">
            <v>2</v>
          </cell>
          <cell r="R365">
            <v>3</v>
          </cell>
          <cell r="S365" t="str">
            <v>本</v>
          </cell>
          <cell r="T365">
            <v>44642</v>
          </cell>
          <cell r="U365">
            <v>44669</v>
          </cell>
          <cell r="V365" t="str">
            <v>㈱須賀川東部鏡石</v>
          </cell>
          <cell r="W365"/>
          <cell r="X365"/>
        </row>
        <row r="366">
          <cell r="A366">
            <v>3655874</v>
          </cell>
          <cell r="B366" t="str">
            <v>福島コーティング</v>
          </cell>
          <cell r="C366" t="str">
            <v>工材１部大阪電材課</v>
          </cell>
          <cell r="D366" t="str">
            <v>ダミー担当者</v>
          </cell>
          <cell r="E366" t="str">
            <v>パナソニック　ＩＳ社</v>
          </cell>
          <cell r="F366">
            <v>3</v>
          </cell>
          <cell r="G366" t="str">
            <v>S</v>
          </cell>
          <cell r="H366" t="str">
            <v>N</v>
          </cell>
          <cell r="I366" t="str">
            <v>CERA</v>
          </cell>
          <cell r="J366"/>
          <cell r="K366" t="str">
            <v>MFACR</v>
          </cell>
          <cell r="L366">
            <v>31</v>
          </cell>
          <cell r="M366" t="str">
            <v>セラピ－ル　ＭＦＡ（ＣＲ）</v>
          </cell>
          <cell r="N366">
            <v>440</v>
          </cell>
          <cell r="O366">
            <v>440</v>
          </cell>
          <cell r="P366">
            <v>6500</v>
          </cell>
          <cell r="Q366">
            <v>1</v>
          </cell>
          <cell r="R366">
            <v>36</v>
          </cell>
          <cell r="S366" t="str">
            <v>本</v>
          </cell>
          <cell r="T366">
            <v>44643</v>
          </cell>
          <cell r="U366">
            <v>44659</v>
          </cell>
          <cell r="V366" t="str">
            <v>㈱須賀川東部鏡石</v>
          </cell>
          <cell r="W366"/>
          <cell r="X366"/>
        </row>
        <row r="367">
          <cell r="A367">
            <v>3656128</v>
          </cell>
          <cell r="B367" t="str">
            <v>福島コーティング</v>
          </cell>
          <cell r="C367" t="str">
            <v>プロセス材１課</v>
          </cell>
          <cell r="D367" t="str">
            <v>ダミー担当者</v>
          </cell>
          <cell r="E367" t="str">
            <v>リンテック㈱</v>
          </cell>
          <cell r="F367">
            <v>3</v>
          </cell>
          <cell r="G367" t="str">
            <v>S</v>
          </cell>
          <cell r="H367" t="str">
            <v>N</v>
          </cell>
          <cell r="I367" t="str">
            <v>CERA</v>
          </cell>
          <cell r="J367"/>
          <cell r="K367" t="str">
            <v>WZS</v>
          </cell>
          <cell r="L367">
            <v>38</v>
          </cell>
          <cell r="M367" t="str">
            <v>セラピール　　　　　　　　　　　ＷＺ（Ｓ）</v>
          </cell>
          <cell r="N367">
            <v>1415</v>
          </cell>
          <cell r="O367">
            <v>1410</v>
          </cell>
          <cell r="P367">
            <v>8000</v>
          </cell>
          <cell r="Q367">
            <v>2</v>
          </cell>
          <cell r="R367">
            <v>8</v>
          </cell>
          <cell r="S367" t="str">
            <v>本</v>
          </cell>
          <cell r="T367">
            <v>44645</v>
          </cell>
          <cell r="U367">
            <v>44676</v>
          </cell>
          <cell r="V367" t="str">
            <v>福島工場ＣＯ２次スリ</v>
          </cell>
          <cell r="W367"/>
          <cell r="X367"/>
        </row>
        <row r="368">
          <cell r="A368">
            <v>3656129</v>
          </cell>
          <cell r="B368" t="str">
            <v>福島コーティング</v>
          </cell>
          <cell r="C368" t="str">
            <v>工材１部大阪電材課</v>
          </cell>
          <cell r="D368" t="str">
            <v>ダミー担当者</v>
          </cell>
          <cell r="E368" t="str">
            <v>住友べークライト尼崎</v>
          </cell>
          <cell r="F368">
            <v>331</v>
          </cell>
          <cell r="G368" t="str">
            <v>S</v>
          </cell>
          <cell r="H368" t="str">
            <v>N</v>
          </cell>
          <cell r="I368" t="str">
            <v>CERA</v>
          </cell>
          <cell r="J368"/>
          <cell r="K368" t="str">
            <v>MDARX</v>
          </cell>
          <cell r="L368">
            <v>38</v>
          </cell>
          <cell r="M368" t="str">
            <v>セラピール　　　　　　　　　　　ＭＤＡ（ＲＸ）</v>
          </cell>
          <cell r="N368">
            <v>315</v>
          </cell>
          <cell r="O368">
            <v>315</v>
          </cell>
          <cell r="P368">
            <v>1950</v>
          </cell>
          <cell r="Q368">
            <v>2</v>
          </cell>
          <cell r="R368">
            <v>24</v>
          </cell>
          <cell r="S368" t="str">
            <v>本</v>
          </cell>
          <cell r="T368">
            <v>44645</v>
          </cell>
          <cell r="U368">
            <v>44679</v>
          </cell>
          <cell r="V368" t="str">
            <v>㈱須賀川東部鏡石</v>
          </cell>
          <cell r="W368"/>
          <cell r="X368"/>
        </row>
        <row r="369">
          <cell r="A369">
            <v>3656149</v>
          </cell>
          <cell r="B369" t="str">
            <v>福島コーティング</v>
          </cell>
          <cell r="C369" t="str">
            <v>工材１部電材課</v>
          </cell>
          <cell r="D369" t="str">
            <v>ダミー担当者</v>
          </cell>
          <cell r="E369" t="str">
            <v>パナック㈱亀山工場</v>
          </cell>
          <cell r="F369">
            <v>3303</v>
          </cell>
          <cell r="G369" t="str">
            <v>S</v>
          </cell>
          <cell r="H369" t="str">
            <v>N</v>
          </cell>
          <cell r="I369" t="str">
            <v>CERA</v>
          </cell>
          <cell r="J369" t="str">
            <v>75P</v>
          </cell>
          <cell r="K369" t="str">
            <v>BX8ARXA</v>
          </cell>
          <cell r="L369">
            <v>38</v>
          </cell>
          <cell r="M369" t="str">
            <v>セラピール　ＢＸ８ＡＲＸ</v>
          </cell>
          <cell r="N369">
            <v>1330</v>
          </cell>
          <cell r="O369">
            <v>1330</v>
          </cell>
          <cell r="P369">
            <v>6000</v>
          </cell>
          <cell r="Q369">
            <v>2</v>
          </cell>
          <cell r="R369">
            <v>1</v>
          </cell>
          <cell r="S369" t="str">
            <v>本</v>
          </cell>
          <cell r="T369">
            <v>44648</v>
          </cell>
          <cell r="U369">
            <v>44651</v>
          </cell>
          <cell r="V369" t="str">
            <v>㈱須賀川東部鏡石</v>
          </cell>
          <cell r="W369"/>
          <cell r="X369"/>
        </row>
        <row r="370">
          <cell r="A370">
            <v>3656150</v>
          </cell>
          <cell r="B370" t="str">
            <v>情材福島原価</v>
          </cell>
          <cell r="C370" t="str">
            <v>プロセス材１課</v>
          </cell>
          <cell r="D370" t="str">
            <v>ダミー担当者</v>
          </cell>
          <cell r="E370" t="str">
            <v>リンテック㈱</v>
          </cell>
          <cell r="F370">
            <v>3</v>
          </cell>
          <cell r="G370" t="str">
            <v>T</v>
          </cell>
          <cell r="H370" t="str">
            <v>N</v>
          </cell>
          <cell r="I370" t="str">
            <v>CERA</v>
          </cell>
          <cell r="J370"/>
          <cell r="K370" t="str">
            <v>WZS</v>
          </cell>
          <cell r="L370">
            <v>38</v>
          </cell>
          <cell r="M370" t="str">
            <v>セラピール　　　　　　　　　　　ＷＺ（Ｓ）</v>
          </cell>
          <cell r="N370">
            <v>1125</v>
          </cell>
          <cell r="O370">
            <v>1120</v>
          </cell>
          <cell r="P370">
            <v>6000</v>
          </cell>
          <cell r="Q370">
            <v>2</v>
          </cell>
          <cell r="R370">
            <v>7</v>
          </cell>
          <cell r="S370" t="str">
            <v>本</v>
          </cell>
          <cell r="T370">
            <v>44648</v>
          </cell>
          <cell r="U370">
            <v>44648</v>
          </cell>
          <cell r="V370" t="str">
            <v>㈱須賀川東部鏡石</v>
          </cell>
          <cell r="W370"/>
          <cell r="X370"/>
        </row>
        <row r="371">
          <cell r="A371">
            <v>3656590</v>
          </cell>
          <cell r="B371" t="str">
            <v>情材福島原価</v>
          </cell>
          <cell r="C371" t="str">
            <v>工材１部大阪電材課</v>
          </cell>
          <cell r="D371" t="str">
            <v>ダミー担当者</v>
          </cell>
          <cell r="E371" t="str">
            <v>ＮＧＫセラミック</v>
          </cell>
          <cell r="F371">
            <v>3</v>
          </cell>
          <cell r="G371" t="str">
            <v>T</v>
          </cell>
          <cell r="H371" t="str">
            <v>N</v>
          </cell>
          <cell r="I371" t="str">
            <v>CERA</v>
          </cell>
          <cell r="J371"/>
          <cell r="K371" t="str">
            <v>MFAS</v>
          </cell>
          <cell r="L371">
            <v>188</v>
          </cell>
          <cell r="M371" t="str">
            <v>セラピール　　　　　　　　　　　ＭＦＡ（Ｓ）</v>
          </cell>
          <cell r="N371">
            <v>360</v>
          </cell>
          <cell r="O371">
            <v>360</v>
          </cell>
          <cell r="P371">
            <v>250</v>
          </cell>
          <cell r="Q371">
            <v>2</v>
          </cell>
          <cell r="R371">
            <v>15</v>
          </cell>
          <cell r="S371" t="str">
            <v>本</v>
          </cell>
          <cell r="T371">
            <v>44648</v>
          </cell>
          <cell r="U371">
            <v>44659</v>
          </cell>
          <cell r="V371" t="str">
            <v>㈱須賀川東部鏡石</v>
          </cell>
          <cell r="W371"/>
          <cell r="X371"/>
        </row>
        <row r="372">
          <cell r="A372">
            <v>3656590</v>
          </cell>
          <cell r="B372" t="str">
            <v>情材福島原価</v>
          </cell>
          <cell r="C372" t="str">
            <v>工材１部大阪電材課</v>
          </cell>
          <cell r="D372" t="str">
            <v>ダミー担当者</v>
          </cell>
          <cell r="E372" t="str">
            <v>ＮＧＫセラミック</v>
          </cell>
          <cell r="F372">
            <v>3</v>
          </cell>
          <cell r="G372" t="str">
            <v>T</v>
          </cell>
          <cell r="H372" t="str">
            <v>N</v>
          </cell>
          <cell r="I372" t="str">
            <v>CERA</v>
          </cell>
          <cell r="J372"/>
          <cell r="K372" t="str">
            <v>MFAS</v>
          </cell>
          <cell r="L372">
            <v>188</v>
          </cell>
          <cell r="M372" t="str">
            <v>セラピール　　　　　　　　　　　ＭＦＡ（Ｓ）</v>
          </cell>
          <cell r="N372">
            <v>290</v>
          </cell>
          <cell r="O372">
            <v>290</v>
          </cell>
          <cell r="P372">
            <v>250</v>
          </cell>
          <cell r="Q372">
            <v>2</v>
          </cell>
          <cell r="R372">
            <v>4</v>
          </cell>
          <cell r="S372" t="str">
            <v>本</v>
          </cell>
          <cell r="T372">
            <v>44648</v>
          </cell>
          <cell r="U372">
            <v>44659</v>
          </cell>
          <cell r="V372" t="str">
            <v>㈱須賀川東部鏡石</v>
          </cell>
          <cell r="W372"/>
          <cell r="X372"/>
        </row>
        <row r="373">
          <cell r="A373">
            <v>3656748</v>
          </cell>
          <cell r="B373" t="str">
            <v>福島コーティング</v>
          </cell>
          <cell r="C373" t="str">
            <v>工材１部電材課</v>
          </cell>
          <cell r="D373" t="str">
            <v>ダミー担当者</v>
          </cell>
          <cell r="E373" t="str">
            <v>古河電気工業㈱</v>
          </cell>
          <cell r="F373">
            <v>3303</v>
          </cell>
          <cell r="G373" t="str">
            <v>S</v>
          </cell>
          <cell r="H373" t="str">
            <v>N</v>
          </cell>
          <cell r="I373" t="str">
            <v>CERA</v>
          </cell>
          <cell r="J373"/>
          <cell r="K373" t="str">
            <v>WZE</v>
          </cell>
          <cell r="L373">
            <v>25</v>
          </cell>
          <cell r="M373" t="str">
            <v>セラピール　　　　　　　　　　　ＷＺ（Ｅ）</v>
          </cell>
          <cell r="N373">
            <v>1040</v>
          </cell>
          <cell r="O373">
            <v>1040</v>
          </cell>
          <cell r="P373">
            <v>6000</v>
          </cell>
          <cell r="Q373">
            <v>2</v>
          </cell>
          <cell r="R373">
            <v>8</v>
          </cell>
          <cell r="S373" t="str">
            <v>本</v>
          </cell>
          <cell r="T373">
            <v>44651</v>
          </cell>
          <cell r="U373">
            <v>44648</v>
          </cell>
          <cell r="V373" t="str">
            <v>㈱須賀川東部鏡石</v>
          </cell>
          <cell r="W373"/>
          <cell r="X373"/>
        </row>
        <row r="374">
          <cell r="A374">
            <v>3656749</v>
          </cell>
          <cell r="B374" t="str">
            <v>情材福島原価</v>
          </cell>
          <cell r="C374" t="str">
            <v>工材１部大阪電材課</v>
          </cell>
          <cell r="D374" t="str">
            <v>ダミー担当者</v>
          </cell>
          <cell r="E374" t="str">
            <v>日東電工㈱豊橋工場</v>
          </cell>
          <cell r="F374">
            <v>3</v>
          </cell>
          <cell r="G374" t="str">
            <v>T</v>
          </cell>
          <cell r="H374" t="str">
            <v>N</v>
          </cell>
          <cell r="I374" t="str">
            <v>CERA</v>
          </cell>
          <cell r="J374"/>
          <cell r="K374" t="str">
            <v>BX8A37</v>
          </cell>
          <cell r="L374">
            <v>75</v>
          </cell>
          <cell r="M374" t="str">
            <v>セラピール　ＢＸ８Ａ（３７）</v>
          </cell>
          <cell r="N374">
            <v>1050</v>
          </cell>
          <cell r="O374">
            <v>1050</v>
          </cell>
          <cell r="P374">
            <v>5800</v>
          </cell>
          <cell r="Q374">
            <v>2</v>
          </cell>
          <cell r="R374">
            <v>30</v>
          </cell>
          <cell r="S374" t="str">
            <v>本</v>
          </cell>
          <cell r="T374">
            <v>44651</v>
          </cell>
          <cell r="U374">
            <v>44651</v>
          </cell>
          <cell r="V374" t="str">
            <v>㈱須賀川東部鏡石</v>
          </cell>
          <cell r="W374"/>
          <cell r="X374"/>
        </row>
        <row r="375">
          <cell r="A375">
            <v>3656797</v>
          </cell>
          <cell r="B375" t="str">
            <v>情材福島開発</v>
          </cell>
          <cell r="C375" t="str">
            <v>工材１部電材課</v>
          </cell>
          <cell r="D375" t="str">
            <v>ダミー担当者</v>
          </cell>
          <cell r="E375"/>
          <cell r="F375">
            <v>3</v>
          </cell>
          <cell r="G375" t="str">
            <v>U</v>
          </cell>
          <cell r="H375" t="str">
            <v>N</v>
          </cell>
          <cell r="I375" t="str">
            <v>CERANS</v>
          </cell>
          <cell r="J375"/>
          <cell r="K375">
            <v>27114</v>
          </cell>
          <cell r="L375">
            <v>50</v>
          </cell>
          <cell r="M375" t="str">
            <v>セラピール　ＰＪ２７１（１４）</v>
          </cell>
          <cell r="N375">
            <v>1584</v>
          </cell>
          <cell r="O375">
            <v>1584</v>
          </cell>
          <cell r="P375">
            <v>4000</v>
          </cell>
          <cell r="Q375">
            <v>2</v>
          </cell>
          <cell r="R375">
            <v>1</v>
          </cell>
          <cell r="S375" t="str">
            <v>本</v>
          </cell>
          <cell r="T375">
            <v>44652</v>
          </cell>
          <cell r="U375">
            <v>44679</v>
          </cell>
          <cell r="V375" t="str">
            <v>福島工場ＣＯ</v>
          </cell>
          <cell r="W375"/>
          <cell r="X375"/>
        </row>
        <row r="376">
          <cell r="A376">
            <v>3656798</v>
          </cell>
          <cell r="B376" t="str">
            <v>情材福島開発</v>
          </cell>
          <cell r="C376" t="str">
            <v>工材１部電材課</v>
          </cell>
          <cell r="D376" t="str">
            <v>ダミー担当者</v>
          </cell>
          <cell r="E376"/>
          <cell r="F376">
            <v>3</v>
          </cell>
          <cell r="G376" t="str">
            <v>U</v>
          </cell>
          <cell r="H376" t="str">
            <v>N</v>
          </cell>
          <cell r="I376" t="str">
            <v>CERANS</v>
          </cell>
          <cell r="J376"/>
          <cell r="K376">
            <v>27114</v>
          </cell>
          <cell r="L376">
            <v>38</v>
          </cell>
          <cell r="M376" t="str">
            <v>セラピール　ＰＪ２７１（１４）</v>
          </cell>
          <cell r="N376">
            <v>1405</v>
          </cell>
          <cell r="O376">
            <v>1405</v>
          </cell>
          <cell r="P376">
            <v>7800</v>
          </cell>
          <cell r="Q376">
            <v>2</v>
          </cell>
          <cell r="R376">
            <v>1</v>
          </cell>
          <cell r="S376" t="str">
            <v>本</v>
          </cell>
          <cell r="T376">
            <v>44652</v>
          </cell>
          <cell r="U376">
            <v>44679</v>
          </cell>
          <cell r="V376" t="str">
            <v>福島工場ＣＯ</v>
          </cell>
          <cell r="W376"/>
          <cell r="X376"/>
        </row>
        <row r="377">
          <cell r="A377">
            <v>3656799</v>
          </cell>
          <cell r="B377" t="str">
            <v>情材福島開発</v>
          </cell>
          <cell r="C377" t="str">
            <v>工材３部工材２課</v>
          </cell>
          <cell r="D377" t="str">
            <v>ダミー担当者</v>
          </cell>
          <cell r="E377"/>
          <cell r="F377">
            <v>3</v>
          </cell>
          <cell r="G377" t="str">
            <v>U</v>
          </cell>
          <cell r="H377" t="str">
            <v>N</v>
          </cell>
          <cell r="I377" t="str">
            <v>CERANS</v>
          </cell>
          <cell r="J377"/>
          <cell r="K377">
            <v>27103</v>
          </cell>
          <cell r="L377">
            <v>25</v>
          </cell>
          <cell r="M377" t="str">
            <v>セラピール　ＰＪ２７１（０３）</v>
          </cell>
          <cell r="N377">
            <v>1100</v>
          </cell>
          <cell r="O377">
            <v>1100</v>
          </cell>
          <cell r="P377">
            <v>4000</v>
          </cell>
          <cell r="Q377">
            <v>2</v>
          </cell>
          <cell r="R377">
            <v>1</v>
          </cell>
          <cell r="S377" t="str">
            <v>本</v>
          </cell>
          <cell r="T377">
            <v>44652</v>
          </cell>
          <cell r="U377">
            <v>44679</v>
          </cell>
          <cell r="V377" t="str">
            <v>福島工場ＣＯ</v>
          </cell>
          <cell r="W377"/>
          <cell r="X377"/>
        </row>
        <row r="378">
          <cell r="A378">
            <v>3656799</v>
          </cell>
          <cell r="B378" t="str">
            <v>情材福島開発</v>
          </cell>
          <cell r="C378" t="str">
            <v>工材３部工材２課</v>
          </cell>
          <cell r="D378" t="str">
            <v>ダミー担当者</v>
          </cell>
          <cell r="E378"/>
          <cell r="F378">
            <v>3</v>
          </cell>
          <cell r="G378" t="str">
            <v>U</v>
          </cell>
          <cell r="H378" t="str">
            <v>N</v>
          </cell>
          <cell r="I378" t="str">
            <v>CERANS</v>
          </cell>
          <cell r="J378"/>
          <cell r="K378">
            <v>27103</v>
          </cell>
          <cell r="L378">
            <v>25</v>
          </cell>
          <cell r="M378" t="str">
            <v>セラピール　ＰＪ２７１（０３）</v>
          </cell>
          <cell r="N378">
            <v>1100</v>
          </cell>
          <cell r="O378">
            <v>1100</v>
          </cell>
          <cell r="P378">
            <v>6000</v>
          </cell>
          <cell r="Q378">
            <v>2</v>
          </cell>
          <cell r="R378">
            <v>1</v>
          </cell>
          <cell r="S378" t="str">
            <v>本</v>
          </cell>
          <cell r="T378">
            <v>44652</v>
          </cell>
          <cell r="U378">
            <v>44679</v>
          </cell>
          <cell r="V378" t="str">
            <v>福島工場ＣＯ</v>
          </cell>
          <cell r="W378"/>
          <cell r="X378"/>
        </row>
        <row r="379">
          <cell r="A379">
            <v>3656800</v>
          </cell>
          <cell r="B379" t="str">
            <v>情材福島開発</v>
          </cell>
          <cell r="C379" t="str">
            <v>工材１部電材課</v>
          </cell>
          <cell r="D379" t="str">
            <v>ダミー担当者</v>
          </cell>
          <cell r="E379"/>
          <cell r="F379">
            <v>3</v>
          </cell>
          <cell r="G379" t="str">
            <v>U</v>
          </cell>
          <cell r="H379" t="str">
            <v>N</v>
          </cell>
          <cell r="I379" t="str">
            <v>CERANS</v>
          </cell>
          <cell r="J379"/>
          <cell r="K379">
            <v>27114</v>
          </cell>
          <cell r="L379">
            <v>25</v>
          </cell>
          <cell r="M379" t="str">
            <v>セラピール　ＰＪ２７１（１４）</v>
          </cell>
          <cell r="N379">
            <v>1410</v>
          </cell>
          <cell r="O379">
            <v>1410</v>
          </cell>
          <cell r="P379">
            <v>4500</v>
          </cell>
          <cell r="Q379">
            <v>2</v>
          </cell>
          <cell r="R379">
            <v>1</v>
          </cell>
          <cell r="S379" t="str">
            <v>本</v>
          </cell>
          <cell r="T379">
            <v>44652</v>
          </cell>
          <cell r="U379">
            <v>44679</v>
          </cell>
          <cell r="V379" t="str">
            <v>福島工場ＣＯ</v>
          </cell>
          <cell r="W379"/>
          <cell r="X379"/>
        </row>
        <row r="380">
          <cell r="A380">
            <v>3656801</v>
          </cell>
          <cell r="B380" t="str">
            <v>福島コーティング</v>
          </cell>
          <cell r="C380" t="str">
            <v>工材１部電材課</v>
          </cell>
          <cell r="D380" t="str">
            <v>ダミー担当者</v>
          </cell>
          <cell r="E380" t="str">
            <v>㈱巴川製紙所</v>
          </cell>
          <cell r="F380">
            <v>3303</v>
          </cell>
          <cell r="G380" t="str">
            <v>S</v>
          </cell>
          <cell r="H380" t="str">
            <v>N</v>
          </cell>
          <cell r="I380" t="str">
            <v>CERA</v>
          </cell>
          <cell r="J380"/>
          <cell r="K380" t="str">
            <v>BX8ARXT</v>
          </cell>
          <cell r="L380">
            <v>38</v>
          </cell>
          <cell r="M380" t="str">
            <v>セラピール　ＢＸ８ＡＲＸ</v>
          </cell>
          <cell r="N380">
            <v>1330</v>
          </cell>
          <cell r="O380">
            <v>1330</v>
          </cell>
          <cell r="P380">
            <v>6000</v>
          </cell>
          <cell r="Q380">
            <v>2</v>
          </cell>
          <cell r="R380">
            <v>2</v>
          </cell>
          <cell r="S380" t="str">
            <v>本</v>
          </cell>
          <cell r="T380">
            <v>44652</v>
          </cell>
          <cell r="U380">
            <v>44638</v>
          </cell>
          <cell r="V380" t="str">
            <v>㈱須賀川東部鏡石</v>
          </cell>
          <cell r="W380"/>
          <cell r="X380"/>
        </row>
        <row r="381">
          <cell r="A381">
            <v>3656804</v>
          </cell>
          <cell r="B381" t="str">
            <v>情材福島開発</v>
          </cell>
          <cell r="C381" t="str">
            <v>フィルムグローバル部</v>
          </cell>
          <cell r="D381" t="str">
            <v>ダミー担当者</v>
          </cell>
          <cell r="E381"/>
          <cell r="F381">
            <v>3</v>
          </cell>
          <cell r="G381" t="str">
            <v>U</v>
          </cell>
          <cell r="H381" t="str">
            <v>Y</v>
          </cell>
          <cell r="I381" t="str">
            <v>CERANS</v>
          </cell>
          <cell r="J381"/>
          <cell r="K381">
            <v>27111</v>
          </cell>
          <cell r="L381">
            <v>50</v>
          </cell>
          <cell r="M381" t="str">
            <v>ＣＥＲＡＰＥＥＬ　ＰＪ２７１（１１）</v>
          </cell>
          <cell r="N381">
            <v>375</v>
          </cell>
          <cell r="O381">
            <v>375</v>
          </cell>
          <cell r="P381">
            <v>260</v>
          </cell>
          <cell r="Q381">
            <v>2</v>
          </cell>
          <cell r="R381">
            <v>72</v>
          </cell>
          <cell r="S381" t="str">
            <v>本</v>
          </cell>
          <cell r="T381">
            <v>44652</v>
          </cell>
          <cell r="U381">
            <v>44679</v>
          </cell>
          <cell r="V381" t="str">
            <v>福島工場ＣＯ</v>
          </cell>
          <cell r="W381"/>
          <cell r="X381"/>
        </row>
        <row r="382">
          <cell r="A382">
            <v>3656804</v>
          </cell>
          <cell r="B382" t="str">
            <v>情材福島開発</v>
          </cell>
          <cell r="C382" t="str">
            <v>フィルムグローバル部</v>
          </cell>
          <cell r="D382" t="str">
            <v>ダミー担当者</v>
          </cell>
          <cell r="E382"/>
          <cell r="F382">
            <v>3</v>
          </cell>
          <cell r="G382" t="str">
            <v>U</v>
          </cell>
          <cell r="H382" t="str">
            <v>Y</v>
          </cell>
          <cell r="I382" t="str">
            <v>CERANS</v>
          </cell>
          <cell r="J382"/>
          <cell r="K382">
            <v>27111</v>
          </cell>
          <cell r="L382">
            <v>50</v>
          </cell>
          <cell r="M382" t="str">
            <v>ＣＥＲＡＰＥＥＬ　ＰＪ２７１（１１）</v>
          </cell>
          <cell r="N382">
            <v>500</v>
          </cell>
          <cell r="O382">
            <v>500</v>
          </cell>
          <cell r="P382">
            <v>20</v>
          </cell>
          <cell r="Q382">
            <v>2</v>
          </cell>
          <cell r="R382">
            <v>1</v>
          </cell>
          <cell r="S382" t="str">
            <v>本</v>
          </cell>
          <cell r="T382">
            <v>44652</v>
          </cell>
          <cell r="U382">
            <v>44679</v>
          </cell>
          <cell r="V382" t="str">
            <v>福島工場ＣＯ</v>
          </cell>
          <cell r="W382"/>
          <cell r="X382"/>
        </row>
        <row r="383">
          <cell r="A383">
            <v>3656805</v>
          </cell>
          <cell r="B383" t="str">
            <v>情材福島開発</v>
          </cell>
          <cell r="C383" t="str">
            <v>工材１部電材課</v>
          </cell>
          <cell r="D383" t="str">
            <v>ダミー担当者</v>
          </cell>
          <cell r="E383"/>
          <cell r="F383">
            <v>3</v>
          </cell>
          <cell r="G383" t="str">
            <v>U</v>
          </cell>
          <cell r="H383" t="str">
            <v>N</v>
          </cell>
          <cell r="I383" t="str">
            <v>CERANS</v>
          </cell>
          <cell r="J383"/>
          <cell r="K383">
            <v>27114</v>
          </cell>
          <cell r="L383">
            <v>75</v>
          </cell>
          <cell r="M383" t="str">
            <v>ＣＥＲＡＰＥＥＬ　ＰＪ２７１（１４）</v>
          </cell>
          <cell r="N383">
            <v>1300</v>
          </cell>
          <cell r="O383">
            <v>1300</v>
          </cell>
          <cell r="P383">
            <v>4300</v>
          </cell>
          <cell r="Q383">
            <v>2</v>
          </cell>
          <cell r="R383">
            <v>3</v>
          </cell>
          <cell r="S383" t="str">
            <v>本</v>
          </cell>
          <cell r="T383">
            <v>44652</v>
          </cell>
          <cell r="U383">
            <v>44679</v>
          </cell>
          <cell r="V383" t="str">
            <v>福島工場ＣＯ</v>
          </cell>
          <cell r="W383"/>
          <cell r="X383"/>
        </row>
        <row r="384">
          <cell r="A384">
            <v>3656866</v>
          </cell>
          <cell r="B384" t="str">
            <v>情材福島開発</v>
          </cell>
          <cell r="C384" t="str">
            <v>プロセス材２課</v>
          </cell>
          <cell r="D384" t="str">
            <v>ダミー担当者</v>
          </cell>
          <cell r="E384"/>
          <cell r="F384">
            <v>3</v>
          </cell>
          <cell r="G384" t="str">
            <v>U</v>
          </cell>
          <cell r="H384" t="str">
            <v>N</v>
          </cell>
          <cell r="I384" t="str">
            <v>CERA</v>
          </cell>
          <cell r="J384"/>
          <cell r="K384" t="str">
            <v>WZS</v>
          </cell>
          <cell r="L384">
            <v>25</v>
          </cell>
          <cell r="M384" t="str">
            <v>セラピール　ＷＺ（Ｓ）</v>
          </cell>
          <cell r="N384">
            <v>1420</v>
          </cell>
          <cell r="O384">
            <v>1420</v>
          </cell>
          <cell r="P384">
            <v>12400</v>
          </cell>
          <cell r="Q384">
            <v>2</v>
          </cell>
          <cell r="R384">
            <v>8</v>
          </cell>
          <cell r="S384" t="str">
            <v>本</v>
          </cell>
          <cell r="T384">
            <v>44655</v>
          </cell>
          <cell r="U384">
            <v>44679</v>
          </cell>
          <cell r="V384" t="str">
            <v>福島工場ＣＯ</v>
          </cell>
          <cell r="W384"/>
          <cell r="X384"/>
        </row>
        <row r="385">
          <cell r="A385">
            <v>3656901</v>
          </cell>
          <cell r="B385" t="str">
            <v>情材福島開発</v>
          </cell>
          <cell r="C385" t="str">
            <v>工材１部電材課</v>
          </cell>
          <cell r="D385" t="str">
            <v>ダミー担当者</v>
          </cell>
          <cell r="E385"/>
          <cell r="F385">
            <v>3</v>
          </cell>
          <cell r="G385" t="str">
            <v>U</v>
          </cell>
          <cell r="H385" t="str">
            <v>N</v>
          </cell>
          <cell r="I385" t="str">
            <v>CERA</v>
          </cell>
          <cell r="J385"/>
          <cell r="K385" t="str">
            <v>WZ34</v>
          </cell>
          <cell r="L385">
            <v>25</v>
          </cell>
          <cell r="M385" t="str">
            <v>セラピール　ＷＺ（３４）</v>
          </cell>
          <cell r="N385">
            <v>1410</v>
          </cell>
          <cell r="O385">
            <v>1410</v>
          </cell>
          <cell r="P385">
            <v>6000</v>
          </cell>
          <cell r="Q385">
            <v>2</v>
          </cell>
          <cell r="R385">
            <v>14</v>
          </cell>
          <cell r="S385" t="str">
            <v>本</v>
          </cell>
          <cell r="T385">
            <v>44655</v>
          </cell>
          <cell r="U385">
            <v>44679</v>
          </cell>
          <cell r="V385" t="str">
            <v>福島工場ＣＯ</v>
          </cell>
          <cell r="W385"/>
          <cell r="X385"/>
        </row>
        <row r="386">
          <cell r="A386">
            <v>3656924</v>
          </cell>
          <cell r="B386" t="str">
            <v>情材福島開発</v>
          </cell>
          <cell r="C386" t="str">
            <v>プロセス材２課</v>
          </cell>
          <cell r="D386" t="str">
            <v>ダミー担当者</v>
          </cell>
          <cell r="E386"/>
          <cell r="F386">
            <v>3</v>
          </cell>
          <cell r="G386" t="str">
            <v>U</v>
          </cell>
          <cell r="H386" t="str">
            <v>N</v>
          </cell>
          <cell r="I386" t="str">
            <v>CERA</v>
          </cell>
          <cell r="J386"/>
          <cell r="K386" t="str">
            <v>WZS</v>
          </cell>
          <cell r="L386">
            <v>25</v>
          </cell>
          <cell r="M386" t="str">
            <v>セラピール　ＷＺ（Ｓ）</v>
          </cell>
          <cell r="N386">
            <v>1150</v>
          </cell>
          <cell r="O386">
            <v>1150</v>
          </cell>
          <cell r="P386">
            <v>4200</v>
          </cell>
          <cell r="Q386">
            <v>2</v>
          </cell>
          <cell r="R386">
            <v>1</v>
          </cell>
          <cell r="S386" t="str">
            <v>本</v>
          </cell>
          <cell r="T386">
            <v>44656</v>
          </cell>
          <cell r="U386">
            <v>44679</v>
          </cell>
          <cell r="V386" t="str">
            <v>福島工場ＣＯ</v>
          </cell>
          <cell r="W386"/>
          <cell r="X386"/>
        </row>
        <row r="387">
          <cell r="A387">
            <v>3656925</v>
          </cell>
          <cell r="B387" t="str">
            <v>情材福島開発</v>
          </cell>
          <cell r="C387" t="str">
            <v>工材１部大阪電材課</v>
          </cell>
          <cell r="D387" t="str">
            <v>ダミー担当者</v>
          </cell>
          <cell r="E387" t="str">
            <v>積水化学工業多賀工場</v>
          </cell>
          <cell r="F387">
            <v>3</v>
          </cell>
          <cell r="G387" t="str">
            <v>U</v>
          </cell>
          <cell r="H387" t="str">
            <v>N</v>
          </cell>
          <cell r="I387" t="str">
            <v>CERA</v>
          </cell>
          <cell r="J387"/>
          <cell r="K387" t="str">
            <v>WZS</v>
          </cell>
          <cell r="L387">
            <v>25</v>
          </cell>
          <cell r="M387" t="str">
            <v>セラピール　ＷＺ（Ｓ）</v>
          </cell>
          <cell r="N387">
            <v>1100</v>
          </cell>
          <cell r="O387">
            <v>1100</v>
          </cell>
          <cell r="P387">
            <v>12000</v>
          </cell>
          <cell r="Q387">
            <v>2</v>
          </cell>
          <cell r="R387">
            <v>1</v>
          </cell>
          <cell r="S387" t="str">
            <v>本</v>
          </cell>
          <cell r="T387">
            <v>44656</v>
          </cell>
          <cell r="U387">
            <v>44659</v>
          </cell>
          <cell r="V387" t="str">
            <v>㈱須賀川東部鏡石</v>
          </cell>
          <cell r="W387"/>
          <cell r="X387"/>
        </row>
        <row r="388">
          <cell r="A388">
            <v>3656941</v>
          </cell>
          <cell r="B388" t="str">
            <v>情材福島開発</v>
          </cell>
          <cell r="C388" t="str">
            <v>工材１部電材課</v>
          </cell>
          <cell r="D388" t="str">
            <v>ダミー担当者</v>
          </cell>
          <cell r="E388"/>
          <cell r="F388">
            <v>3</v>
          </cell>
          <cell r="G388" t="str">
            <v>U</v>
          </cell>
          <cell r="H388" t="str">
            <v>N</v>
          </cell>
          <cell r="I388" t="str">
            <v>CERA</v>
          </cell>
          <cell r="J388"/>
          <cell r="K388" t="str">
            <v>WZ26</v>
          </cell>
          <cell r="L388">
            <v>38</v>
          </cell>
          <cell r="M388" t="str">
            <v>セラピール　ＷＺ（２６）</v>
          </cell>
          <cell r="N388">
            <v>1000</v>
          </cell>
          <cell r="O388">
            <v>1000</v>
          </cell>
          <cell r="P388">
            <v>6000</v>
          </cell>
          <cell r="Q388">
            <v>2</v>
          </cell>
          <cell r="R388">
            <v>11</v>
          </cell>
          <cell r="S388" t="str">
            <v>本</v>
          </cell>
          <cell r="T388">
            <v>44656</v>
          </cell>
          <cell r="U388">
            <v>44679</v>
          </cell>
          <cell r="V388" t="str">
            <v>福島工場ＣＯ</v>
          </cell>
          <cell r="W388"/>
          <cell r="X388"/>
        </row>
        <row r="389">
          <cell r="A389">
            <v>3656942</v>
          </cell>
          <cell r="B389" t="str">
            <v>情材福島開発</v>
          </cell>
          <cell r="C389" t="str">
            <v>工材１部電材課</v>
          </cell>
          <cell r="D389" t="str">
            <v>ダミー担当者</v>
          </cell>
          <cell r="E389"/>
          <cell r="F389">
            <v>3</v>
          </cell>
          <cell r="G389" t="str">
            <v>U</v>
          </cell>
          <cell r="H389" t="str">
            <v>N</v>
          </cell>
          <cell r="I389" t="str">
            <v>CERA</v>
          </cell>
          <cell r="J389"/>
          <cell r="K389" t="str">
            <v>WZ26</v>
          </cell>
          <cell r="L389">
            <v>38</v>
          </cell>
          <cell r="M389" t="str">
            <v>セラピール　ＷＺ（２６）</v>
          </cell>
          <cell r="N389">
            <v>1000</v>
          </cell>
          <cell r="O389">
            <v>1000</v>
          </cell>
          <cell r="P389">
            <v>6000</v>
          </cell>
          <cell r="Q389">
            <v>2</v>
          </cell>
          <cell r="R389">
            <v>12</v>
          </cell>
          <cell r="S389" t="str">
            <v>本</v>
          </cell>
          <cell r="T389">
            <v>44656</v>
          </cell>
          <cell r="U389">
            <v>44679</v>
          </cell>
          <cell r="V389" t="str">
            <v>福島工場ＣＯ</v>
          </cell>
          <cell r="W389"/>
          <cell r="X389"/>
        </row>
        <row r="390">
          <cell r="A390">
            <v>3656968</v>
          </cell>
          <cell r="B390" t="str">
            <v>情材福島開発</v>
          </cell>
          <cell r="C390" t="str">
            <v>工材１部電材課</v>
          </cell>
          <cell r="D390" t="str">
            <v>ダミー担当者</v>
          </cell>
          <cell r="E390"/>
          <cell r="F390">
            <v>3</v>
          </cell>
          <cell r="G390" t="str">
            <v>U</v>
          </cell>
          <cell r="H390" t="str">
            <v>N</v>
          </cell>
          <cell r="I390" t="str">
            <v>CERA</v>
          </cell>
          <cell r="J390"/>
          <cell r="K390" t="str">
            <v>BX8A14</v>
          </cell>
          <cell r="L390">
            <v>75</v>
          </cell>
          <cell r="M390" t="str">
            <v>セラピール　ＢＸ８Ａ（１４）</v>
          </cell>
          <cell r="N390">
            <v>1300</v>
          </cell>
          <cell r="O390">
            <v>1300</v>
          </cell>
          <cell r="P390">
            <v>4300</v>
          </cell>
          <cell r="Q390">
            <v>2</v>
          </cell>
          <cell r="R390">
            <v>1</v>
          </cell>
          <cell r="S390" t="str">
            <v>本</v>
          </cell>
          <cell r="T390">
            <v>44657</v>
          </cell>
          <cell r="U390">
            <v>44679</v>
          </cell>
          <cell r="V390" t="str">
            <v>福島工場ＣＯ</v>
          </cell>
          <cell r="W390"/>
          <cell r="X390"/>
        </row>
        <row r="391">
          <cell r="A391">
            <v>3657220</v>
          </cell>
          <cell r="B391" t="str">
            <v>情材福島原価</v>
          </cell>
          <cell r="C391" t="str">
            <v>工材１部大阪電材課</v>
          </cell>
          <cell r="D391" t="str">
            <v>ダミー担当者</v>
          </cell>
          <cell r="E391" t="str">
            <v>日東電工㈱豊橋工場</v>
          </cell>
          <cell r="F391">
            <v>3</v>
          </cell>
          <cell r="G391" t="str">
            <v>T</v>
          </cell>
          <cell r="H391" t="str">
            <v>N</v>
          </cell>
          <cell r="I391" t="str">
            <v>CERA</v>
          </cell>
          <cell r="J391"/>
          <cell r="K391" t="str">
            <v>BX8A37</v>
          </cell>
          <cell r="L391">
            <v>75</v>
          </cell>
          <cell r="M391" t="str">
            <v>セラピール　ＢＸ８Ａ（３７）</v>
          </cell>
          <cell r="N391">
            <v>1050</v>
          </cell>
          <cell r="O391">
            <v>1050</v>
          </cell>
          <cell r="P391">
            <v>5800</v>
          </cell>
          <cell r="Q391">
            <v>2</v>
          </cell>
          <cell r="R391">
            <v>13</v>
          </cell>
          <cell r="S391" t="str">
            <v>本</v>
          </cell>
          <cell r="T391">
            <v>44658</v>
          </cell>
          <cell r="U391">
            <v>44669</v>
          </cell>
          <cell r="V391" t="str">
            <v>㈱須賀川東部鏡石</v>
          </cell>
          <cell r="W391"/>
          <cell r="X391"/>
        </row>
        <row r="392">
          <cell r="A392">
            <v>3657221</v>
          </cell>
          <cell r="B392" t="str">
            <v>情材福島原価</v>
          </cell>
          <cell r="C392" t="str">
            <v>工材１部大阪電材課</v>
          </cell>
          <cell r="D392" t="str">
            <v>ダミー担当者</v>
          </cell>
          <cell r="E392" t="str">
            <v>日東電工㈱豊橋工場</v>
          </cell>
          <cell r="F392">
            <v>3</v>
          </cell>
          <cell r="G392" t="str">
            <v>T</v>
          </cell>
          <cell r="H392" t="str">
            <v>N</v>
          </cell>
          <cell r="I392" t="str">
            <v>CERA</v>
          </cell>
          <cell r="J392"/>
          <cell r="K392" t="str">
            <v>BX8A37</v>
          </cell>
          <cell r="L392">
            <v>75</v>
          </cell>
          <cell r="M392" t="str">
            <v>セラピール　ＢＸ８Ａ（３７）</v>
          </cell>
          <cell r="N392">
            <v>1050</v>
          </cell>
          <cell r="O392">
            <v>1050</v>
          </cell>
          <cell r="P392">
            <v>5800</v>
          </cell>
          <cell r="Q392">
            <v>2</v>
          </cell>
          <cell r="R392">
            <v>63</v>
          </cell>
          <cell r="S392" t="str">
            <v>本</v>
          </cell>
          <cell r="T392">
            <v>44658</v>
          </cell>
          <cell r="U392">
            <v>44687</v>
          </cell>
          <cell r="V392" t="str">
            <v>㈱須賀川東部鏡石</v>
          </cell>
          <cell r="W392"/>
          <cell r="X392"/>
        </row>
        <row r="393">
          <cell r="A393">
            <v>3657304</v>
          </cell>
          <cell r="B393" t="str">
            <v>情材福島開発</v>
          </cell>
          <cell r="C393" t="str">
            <v>大阪光学機能材課</v>
          </cell>
          <cell r="D393" t="str">
            <v>ダミー担当者</v>
          </cell>
          <cell r="E393"/>
          <cell r="F393">
            <v>3</v>
          </cell>
          <cell r="G393" t="str">
            <v>U</v>
          </cell>
          <cell r="H393" t="str">
            <v>N</v>
          </cell>
          <cell r="I393" t="str">
            <v>CERA</v>
          </cell>
          <cell r="J393"/>
          <cell r="K393" t="str">
            <v>MDA01</v>
          </cell>
          <cell r="L393">
            <v>38</v>
          </cell>
          <cell r="M393" t="str">
            <v>セラピール　ＭＤＡ（０１）</v>
          </cell>
          <cell r="N393">
            <v>1560</v>
          </cell>
          <cell r="O393">
            <v>1560</v>
          </cell>
          <cell r="P393">
            <v>3500</v>
          </cell>
          <cell r="Q393">
            <v>2</v>
          </cell>
          <cell r="R393">
            <v>1</v>
          </cell>
          <cell r="S393" t="str">
            <v>本</v>
          </cell>
          <cell r="T393">
            <v>44659</v>
          </cell>
          <cell r="U393">
            <v>44679</v>
          </cell>
          <cell r="V393" t="str">
            <v>福島工場ＣＯ</v>
          </cell>
          <cell r="W393"/>
          <cell r="X393"/>
        </row>
        <row r="394">
          <cell r="A394">
            <v>3657527</v>
          </cell>
          <cell r="B394" t="str">
            <v>情材福島開発</v>
          </cell>
          <cell r="C394" t="str">
            <v>大阪光学機能材課</v>
          </cell>
          <cell r="D394" t="str">
            <v>ダミー担当者</v>
          </cell>
          <cell r="E394"/>
          <cell r="F394">
            <v>3</v>
          </cell>
          <cell r="G394" t="str">
            <v>U</v>
          </cell>
          <cell r="H394" t="str">
            <v>N</v>
          </cell>
          <cell r="I394" t="str">
            <v>CERA</v>
          </cell>
          <cell r="J394"/>
          <cell r="K394" t="str">
            <v>MDA01</v>
          </cell>
          <cell r="L394">
            <v>38</v>
          </cell>
          <cell r="M394" t="str">
            <v>セラピール　ＭＤＡ（０１）</v>
          </cell>
          <cell r="N394">
            <v>1560</v>
          </cell>
          <cell r="O394">
            <v>1560</v>
          </cell>
          <cell r="P394">
            <v>3500</v>
          </cell>
          <cell r="Q394">
            <v>2</v>
          </cell>
          <cell r="R394">
            <v>1</v>
          </cell>
          <cell r="S394" t="str">
            <v>本</v>
          </cell>
          <cell r="T394">
            <v>44665</v>
          </cell>
          <cell r="U394">
            <v>44679</v>
          </cell>
          <cell r="V394" t="str">
            <v>福島工場ＣＯ</v>
          </cell>
          <cell r="W394"/>
          <cell r="X394"/>
        </row>
        <row r="395">
          <cell r="A395">
            <v>3657528</v>
          </cell>
          <cell r="B395" t="str">
            <v>情材福島開発</v>
          </cell>
          <cell r="C395" t="str">
            <v>大阪光学機能材課</v>
          </cell>
          <cell r="D395" t="str">
            <v>ダミー担当者</v>
          </cell>
          <cell r="E395"/>
          <cell r="F395">
            <v>3</v>
          </cell>
          <cell r="G395" t="str">
            <v>U</v>
          </cell>
          <cell r="H395" t="str">
            <v>N</v>
          </cell>
          <cell r="I395" t="str">
            <v>CERA</v>
          </cell>
          <cell r="J395"/>
          <cell r="K395" t="str">
            <v>MDA01</v>
          </cell>
          <cell r="L395">
            <v>38</v>
          </cell>
          <cell r="M395" t="str">
            <v>セラピール　ＭＤＡ（０１）</v>
          </cell>
          <cell r="N395">
            <v>1320</v>
          </cell>
          <cell r="O395">
            <v>1320</v>
          </cell>
          <cell r="P395">
            <v>7500</v>
          </cell>
          <cell r="Q395">
            <v>2</v>
          </cell>
          <cell r="R395">
            <v>1</v>
          </cell>
          <cell r="S395" t="str">
            <v>本</v>
          </cell>
          <cell r="T395">
            <v>44665</v>
          </cell>
          <cell r="U395">
            <v>44679</v>
          </cell>
          <cell r="V395" t="str">
            <v>福島工場ＣＯ</v>
          </cell>
          <cell r="W395"/>
          <cell r="X395"/>
        </row>
        <row r="396">
          <cell r="A396">
            <v>3658533</v>
          </cell>
          <cell r="B396" t="str">
            <v>福島コーティング</v>
          </cell>
          <cell r="C396" t="str">
            <v>工材１部電材課</v>
          </cell>
          <cell r="D396" t="str">
            <v>ダミー担当者</v>
          </cell>
          <cell r="E396" t="str">
            <v>栗村化学</v>
          </cell>
          <cell r="F396">
            <v>3</v>
          </cell>
          <cell r="G396" t="str">
            <v>S</v>
          </cell>
          <cell r="H396" t="str">
            <v>Y</v>
          </cell>
          <cell r="I396" t="str">
            <v>CERA</v>
          </cell>
          <cell r="J396"/>
          <cell r="K396" t="str">
            <v>SY09</v>
          </cell>
          <cell r="L396">
            <v>50</v>
          </cell>
          <cell r="M396" t="str">
            <v>セラピール　ＳＹ（０９）</v>
          </cell>
          <cell r="N396">
            <v>1050</v>
          </cell>
          <cell r="O396">
            <v>1040</v>
          </cell>
          <cell r="P396">
            <v>4000</v>
          </cell>
          <cell r="Q396">
            <v>2</v>
          </cell>
          <cell r="R396">
            <v>6</v>
          </cell>
          <cell r="S396" t="str">
            <v>本</v>
          </cell>
          <cell r="T396">
            <v>44666</v>
          </cell>
          <cell r="U396">
            <v>44679</v>
          </cell>
          <cell r="V396" t="str">
            <v>㈱須賀川東部鏡石</v>
          </cell>
          <cell r="W396"/>
          <cell r="X396"/>
        </row>
        <row r="397">
          <cell r="A397">
            <v>3659153</v>
          </cell>
          <cell r="B397" t="str">
            <v>情材福島開発</v>
          </cell>
          <cell r="C397" t="str">
            <v>工材１部電材課</v>
          </cell>
          <cell r="D397" t="str">
            <v>ダミー担当者</v>
          </cell>
          <cell r="E397"/>
          <cell r="F397">
            <v>3</v>
          </cell>
          <cell r="G397" t="str">
            <v>U</v>
          </cell>
          <cell r="H397" t="str">
            <v>N</v>
          </cell>
          <cell r="I397" t="str">
            <v>CERA</v>
          </cell>
          <cell r="J397"/>
          <cell r="K397" t="str">
            <v>TKA0709</v>
          </cell>
          <cell r="L397">
            <v>50</v>
          </cell>
          <cell r="M397" t="str">
            <v>セラピール　ＴＫＡ０７（０９）</v>
          </cell>
          <cell r="N397">
            <v>1100</v>
          </cell>
          <cell r="O397">
            <v>1100</v>
          </cell>
          <cell r="P397">
            <v>2000</v>
          </cell>
          <cell r="Q397">
            <v>2</v>
          </cell>
          <cell r="R397">
            <v>1</v>
          </cell>
          <cell r="S397" t="str">
            <v>本</v>
          </cell>
          <cell r="T397">
            <v>44671</v>
          </cell>
          <cell r="U397">
            <v>44673</v>
          </cell>
          <cell r="V397" t="str">
            <v>福島工場ＣＯ</v>
          </cell>
          <cell r="W397"/>
          <cell r="X397"/>
        </row>
        <row r="398">
          <cell r="A398">
            <v>3659649</v>
          </cell>
          <cell r="B398" t="str">
            <v>情材福島原価</v>
          </cell>
          <cell r="C398" t="str">
            <v>工材１部大阪電材課</v>
          </cell>
          <cell r="D398" t="str">
            <v>ダミー担当者</v>
          </cell>
          <cell r="E398" t="str">
            <v>積水化学工業多賀工場</v>
          </cell>
          <cell r="F398">
            <v>3</v>
          </cell>
          <cell r="G398" t="str">
            <v>T</v>
          </cell>
          <cell r="H398" t="str">
            <v>N</v>
          </cell>
          <cell r="I398" t="str">
            <v>CERA</v>
          </cell>
          <cell r="J398"/>
          <cell r="K398" t="str">
            <v>WZS</v>
          </cell>
          <cell r="L398">
            <v>25</v>
          </cell>
          <cell r="M398" t="str">
            <v>セラピールＷＺ（Ｓ）</v>
          </cell>
          <cell r="N398">
            <v>1100</v>
          </cell>
          <cell r="O398">
            <v>1100</v>
          </cell>
          <cell r="P398">
            <v>12000</v>
          </cell>
          <cell r="Q398">
            <v>2</v>
          </cell>
          <cell r="R398">
            <v>24</v>
          </cell>
          <cell r="S398" t="str">
            <v>本</v>
          </cell>
          <cell r="T398">
            <v>44672</v>
          </cell>
          <cell r="U398">
            <v>44691</v>
          </cell>
          <cell r="V398" t="str">
            <v>㈱須賀川東部鏡石</v>
          </cell>
          <cell r="W398"/>
          <cell r="X398"/>
        </row>
        <row r="399">
          <cell r="A399">
            <v>3659650</v>
          </cell>
          <cell r="B399" t="str">
            <v>福島コーティング</v>
          </cell>
          <cell r="C399" t="str">
            <v>工材１部電材課</v>
          </cell>
          <cell r="D399" t="str">
            <v>ダミー担当者</v>
          </cell>
          <cell r="E399" t="str">
            <v>古河電気工業㈱</v>
          </cell>
          <cell r="F399">
            <v>3</v>
          </cell>
          <cell r="G399" t="str">
            <v>S</v>
          </cell>
          <cell r="H399" t="str">
            <v>N</v>
          </cell>
          <cell r="I399" t="str">
            <v>CERA</v>
          </cell>
          <cell r="J399"/>
          <cell r="K399" t="str">
            <v>WZE</v>
          </cell>
          <cell r="L399">
            <v>25</v>
          </cell>
          <cell r="M399" t="str">
            <v>セラピール　　　　　　　　　　　ＷＺ（Ｅ）</v>
          </cell>
          <cell r="N399">
            <v>1240</v>
          </cell>
          <cell r="O399">
            <v>1240</v>
          </cell>
          <cell r="P399">
            <v>6000</v>
          </cell>
          <cell r="Q399">
            <v>2</v>
          </cell>
          <cell r="R399">
            <v>24</v>
          </cell>
          <cell r="S399" t="str">
            <v>本</v>
          </cell>
          <cell r="T399">
            <v>44672</v>
          </cell>
          <cell r="U399">
            <v>44691</v>
          </cell>
          <cell r="V399" t="str">
            <v>㈱須賀川東部鏡石</v>
          </cell>
          <cell r="W399"/>
          <cell r="X399"/>
        </row>
        <row r="400">
          <cell r="A400">
            <v>3659651</v>
          </cell>
          <cell r="B400" t="str">
            <v>福島コーティング</v>
          </cell>
          <cell r="C400" t="str">
            <v>工材１部電材課</v>
          </cell>
          <cell r="D400" t="str">
            <v>ダミー担当者</v>
          </cell>
          <cell r="E400" t="str">
            <v>パナック㈱亀山工場</v>
          </cell>
          <cell r="F400">
            <v>3</v>
          </cell>
          <cell r="G400" t="str">
            <v>S</v>
          </cell>
          <cell r="H400" t="str">
            <v>N</v>
          </cell>
          <cell r="I400" t="str">
            <v>CERA</v>
          </cell>
          <cell r="J400"/>
          <cell r="K400" t="str">
            <v>BX8AD</v>
          </cell>
          <cell r="L400">
            <v>75</v>
          </cell>
          <cell r="M400" t="str">
            <v>セラピール　　　　　　　　　　　ＢＸ８ＡＤ</v>
          </cell>
          <cell r="N400">
            <v>1330</v>
          </cell>
          <cell r="O400">
            <v>1330</v>
          </cell>
          <cell r="P400">
            <v>5000</v>
          </cell>
          <cell r="Q400">
            <v>2</v>
          </cell>
          <cell r="R400">
            <v>2</v>
          </cell>
          <cell r="S400" t="str">
            <v>本</v>
          </cell>
          <cell r="T400">
            <v>44672</v>
          </cell>
          <cell r="U400">
            <v>44697</v>
          </cell>
          <cell r="V400" t="str">
            <v>㈱須賀川東部鏡石</v>
          </cell>
          <cell r="W400"/>
          <cell r="X400"/>
        </row>
        <row r="401">
          <cell r="A401">
            <v>3659652</v>
          </cell>
          <cell r="B401" t="str">
            <v>福島コーティング</v>
          </cell>
          <cell r="C401" t="str">
            <v>工材１部電材課</v>
          </cell>
          <cell r="D401" t="str">
            <v>ダミー担当者</v>
          </cell>
          <cell r="E401" t="str">
            <v>パナック㈱亀山工場</v>
          </cell>
          <cell r="F401">
            <v>331</v>
          </cell>
          <cell r="G401" t="str">
            <v>S</v>
          </cell>
          <cell r="H401" t="str">
            <v>N</v>
          </cell>
          <cell r="I401" t="str">
            <v>CERA</v>
          </cell>
          <cell r="J401"/>
          <cell r="K401" t="str">
            <v>BX8ARXA</v>
          </cell>
          <cell r="L401">
            <v>38</v>
          </cell>
          <cell r="M401" t="str">
            <v>セラピール　ＢＸ８ＡＲＸ</v>
          </cell>
          <cell r="N401">
            <v>1330</v>
          </cell>
          <cell r="O401">
            <v>1330</v>
          </cell>
          <cell r="P401">
            <v>6000</v>
          </cell>
          <cell r="Q401">
            <v>2</v>
          </cell>
          <cell r="R401">
            <v>44</v>
          </cell>
          <cell r="S401" t="str">
            <v>本</v>
          </cell>
          <cell r="T401">
            <v>44672</v>
          </cell>
          <cell r="U401">
            <v>44697</v>
          </cell>
          <cell r="V401" t="str">
            <v>㈱須賀川東部鏡石</v>
          </cell>
          <cell r="W401"/>
          <cell r="X401"/>
        </row>
        <row r="402">
          <cell r="A402">
            <v>3659653</v>
          </cell>
          <cell r="B402" t="str">
            <v>福島コーティング</v>
          </cell>
          <cell r="C402" t="str">
            <v>工材１部電材課</v>
          </cell>
          <cell r="D402" t="str">
            <v>ダミー担当者</v>
          </cell>
          <cell r="E402" t="str">
            <v>㈱巴川製紙所</v>
          </cell>
          <cell r="F402">
            <v>331</v>
          </cell>
          <cell r="G402" t="str">
            <v>S</v>
          </cell>
          <cell r="H402" t="str">
            <v>N</v>
          </cell>
          <cell r="I402" t="str">
            <v>CERA</v>
          </cell>
          <cell r="J402"/>
          <cell r="K402" t="str">
            <v>BX8ARXT</v>
          </cell>
          <cell r="L402">
            <v>38</v>
          </cell>
          <cell r="M402" t="str">
            <v>セラピール　ＢＸ８ＡＲＸ</v>
          </cell>
          <cell r="N402">
            <v>1330</v>
          </cell>
          <cell r="O402">
            <v>1330</v>
          </cell>
          <cell r="P402">
            <v>6000</v>
          </cell>
          <cell r="Q402">
            <v>2</v>
          </cell>
          <cell r="R402">
            <v>14</v>
          </cell>
          <cell r="S402" t="str">
            <v>本</v>
          </cell>
          <cell r="T402">
            <v>44672</v>
          </cell>
          <cell r="U402">
            <v>44697</v>
          </cell>
          <cell r="V402" t="str">
            <v>㈱須賀川東部鏡石</v>
          </cell>
          <cell r="W402"/>
          <cell r="X402"/>
        </row>
        <row r="403">
          <cell r="A403">
            <v>3659654</v>
          </cell>
          <cell r="B403" t="str">
            <v>福島コーティング</v>
          </cell>
          <cell r="C403" t="str">
            <v>工材１部電材課</v>
          </cell>
          <cell r="D403" t="str">
            <v>ダミー担当者</v>
          </cell>
          <cell r="E403" t="str">
            <v>㈱巴川製紙所</v>
          </cell>
          <cell r="F403">
            <v>331</v>
          </cell>
          <cell r="G403" t="str">
            <v>S</v>
          </cell>
          <cell r="H403" t="str">
            <v>N</v>
          </cell>
          <cell r="I403" t="str">
            <v>CERA</v>
          </cell>
          <cell r="J403"/>
          <cell r="K403" t="str">
            <v>BX8ARXT</v>
          </cell>
          <cell r="L403">
            <v>38</v>
          </cell>
          <cell r="M403" t="str">
            <v>セラピール　ＢＸ８ＡＲＸ</v>
          </cell>
          <cell r="N403">
            <v>1580</v>
          </cell>
          <cell r="O403">
            <v>1580</v>
          </cell>
          <cell r="P403">
            <v>6000</v>
          </cell>
          <cell r="Q403">
            <v>2</v>
          </cell>
          <cell r="R403">
            <v>2</v>
          </cell>
          <cell r="S403" t="str">
            <v>本</v>
          </cell>
          <cell r="T403">
            <v>44672</v>
          </cell>
          <cell r="U403">
            <v>44697</v>
          </cell>
          <cell r="V403" t="str">
            <v>㈱須賀川東部鏡石</v>
          </cell>
          <cell r="W403"/>
          <cell r="X403"/>
        </row>
        <row r="404">
          <cell r="A404">
            <v>3659655</v>
          </cell>
          <cell r="B404" t="str">
            <v>福島コーティング</v>
          </cell>
          <cell r="C404" t="str">
            <v>工材１部電材課</v>
          </cell>
          <cell r="D404" t="str">
            <v>ダミー担当者</v>
          </cell>
          <cell r="E404" t="str">
            <v>㈱巴川製紙所</v>
          </cell>
          <cell r="F404">
            <v>3</v>
          </cell>
          <cell r="G404" t="str">
            <v>S</v>
          </cell>
          <cell r="H404" t="str">
            <v>N</v>
          </cell>
          <cell r="I404" t="str">
            <v>CERA</v>
          </cell>
          <cell r="J404"/>
          <cell r="K404" t="str">
            <v>BX8AX</v>
          </cell>
          <cell r="L404">
            <v>75</v>
          </cell>
          <cell r="M404" t="str">
            <v>セラピール　　　　　　　　　　　ＢＸ８Ａ（Ｘ）</v>
          </cell>
          <cell r="N404">
            <v>1330</v>
          </cell>
          <cell r="O404">
            <v>1330</v>
          </cell>
          <cell r="P404">
            <v>4100</v>
          </cell>
          <cell r="Q404">
            <v>2</v>
          </cell>
          <cell r="R404">
            <v>5</v>
          </cell>
          <cell r="S404" t="str">
            <v>本</v>
          </cell>
          <cell r="T404">
            <v>44672</v>
          </cell>
          <cell r="U404">
            <v>44697</v>
          </cell>
          <cell r="V404" t="str">
            <v>㈱須賀川東部鏡石</v>
          </cell>
          <cell r="W404"/>
          <cell r="X404"/>
        </row>
        <row r="405">
          <cell r="A405">
            <v>3659656</v>
          </cell>
          <cell r="B405" t="str">
            <v>福島コーティング</v>
          </cell>
          <cell r="C405" t="str">
            <v>工材１部大阪電材課</v>
          </cell>
          <cell r="D405" t="str">
            <v>ダミー担当者</v>
          </cell>
          <cell r="E405" t="str">
            <v>利昌工業　尼崎工場</v>
          </cell>
          <cell r="F405">
            <v>3</v>
          </cell>
          <cell r="G405" t="str">
            <v>S</v>
          </cell>
          <cell r="H405" t="str">
            <v>N</v>
          </cell>
          <cell r="I405" t="str">
            <v>CERA</v>
          </cell>
          <cell r="J405"/>
          <cell r="K405" t="str">
            <v>BX8ARX</v>
          </cell>
          <cell r="L405">
            <v>25</v>
          </cell>
          <cell r="M405" t="str">
            <v>セラピール　ＢＸ８Ａ（ＲＸ）</v>
          </cell>
          <cell r="N405">
            <v>740</v>
          </cell>
          <cell r="O405">
            <v>740</v>
          </cell>
          <cell r="P405">
            <v>2100</v>
          </cell>
          <cell r="Q405">
            <v>1</v>
          </cell>
          <cell r="R405">
            <v>24</v>
          </cell>
          <cell r="S405" t="str">
            <v>本</v>
          </cell>
          <cell r="T405">
            <v>44672</v>
          </cell>
          <cell r="U405">
            <v>44697</v>
          </cell>
          <cell r="V405" t="str">
            <v>㈱須賀川東部鏡石</v>
          </cell>
          <cell r="W405"/>
          <cell r="X405"/>
        </row>
        <row r="406">
          <cell r="A406">
            <v>3659657</v>
          </cell>
          <cell r="B406" t="str">
            <v>福島コーティング</v>
          </cell>
          <cell r="C406" t="str">
            <v>工材１部大阪電材課</v>
          </cell>
          <cell r="D406" t="str">
            <v>ダミー担当者</v>
          </cell>
          <cell r="E406" t="str">
            <v>日東電工㈱豊橋工場</v>
          </cell>
          <cell r="F406">
            <v>3313</v>
          </cell>
          <cell r="G406" t="str">
            <v>S</v>
          </cell>
          <cell r="H406" t="str">
            <v>N</v>
          </cell>
          <cell r="I406" t="str">
            <v>CERA</v>
          </cell>
          <cell r="J406"/>
          <cell r="K406" t="str">
            <v>MD(A)R</v>
          </cell>
          <cell r="L406">
            <v>38</v>
          </cell>
          <cell r="M406" t="str">
            <v>セラピール　ＭＤ（Ａ）（Ｒ）</v>
          </cell>
          <cell r="N406">
            <v>750</v>
          </cell>
          <cell r="O406">
            <v>750</v>
          </cell>
          <cell r="P406">
            <v>6000</v>
          </cell>
          <cell r="Q406">
            <v>2</v>
          </cell>
          <cell r="R406">
            <v>32</v>
          </cell>
          <cell r="S406" t="str">
            <v>本</v>
          </cell>
          <cell r="T406">
            <v>44672</v>
          </cell>
          <cell r="U406">
            <v>44697</v>
          </cell>
          <cell r="V406" t="str">
            <v>㈱須賀川東部鏡石</v>
          </cell>
          <cell r="W406"/>
          <cell r="X406"/>
        </row>
        <row r="407">
          <cell r="A407">
            <v>3659658</v>
          </cell>
          <cell r="B407" t="str">
            <v>福島コーティング</v>
          </cell>
          <cell r="C407" t="str">
            <v>工材１部大阪電材課</v>
          </cell>
          <cell r="D407" t="str">
            <v>ダミー担当者</v>
          </cell>
          <cell r="E407" t="str">
            <v>日東電工㈱豊橋工場</v>
          </cell>
          <cell r="F407">
            <v>331</v>
          </cell>
          <cell r="G407" t="str">
            <v>S</v>
          </cell>
          <cell r="H407" t="str">
            <v>N</v>
          </cell>
          <cell r="I407" t="str">
            <v>CERA</v>
          </cell>
          <cell r="J407"/>
          <cell r="K407" t="str">
            <v>MD(A)R</v>
          </cell>
          <cell r="L407">
            <v>38</v>
          </cell>
          <cell r="M407" t="str">
            <v>セラピール　ＭＤ（Ａ）（Ｒ）</v>
          </cell>
          <cell r="N407">
            <v>1025</v>
          </cell>
          <cell r="O407">
            <v>1020</v>
          </cell>
          <cell r="P407">
            <v>6000</v>
          </cell>
          <cell r="Q407">
            <v>2</v>
          </cell>
          <cell r="R407">
            <v>2</v>
          </cell>
          <cell r="S407" t="str">
            <v>本</v>
          </cell>
          <cell r="T407">
            <v>44672</v>
          </cell>
          <cell r="U407">
            <v>44697</v>
          </cell>
          <cell r="V407" t="str">
            <v>㈱須賀川東部鏡石</v>
          </cell>
          <cell r="W407"/>
          <cell r="X407"/>
        </row>
        <row r="408">
          <cell r="A408">
            <v>3659659</v>
          </cell>
          <cell r="B408" t="str">
            <v>福島コーティング</v>
          </cell>
          <cell r="C408" t="str">
            <v>工材１部大阪電材課</v>
          </cell>
          <cell r="D408" t="str">
            <v>ダミー担当者</v>
          </cell>
          <cell r="E408" t="str">
            <v>日東電工㈱豊橋工場</v>
          </cell>
          <cell r="F408">
            <v>331</v>
          </cell>
          <cell r="G408" t="str">
            <v>S</v>
          </cell>
          <cell r="H408" t="str">
            <v>N</v>
          </cell>
          <cell r="I408" t="str">
            <v>CERA</v>
          </cell>
          <cell r="J408"/>
          <cell r="K408" t="str">
            <v>MD(A)R</v>
          </cell>
          <cell r="L408">
            <v>38</v>
          </cell>
          <cell r="M408" t="str">
            <v>セラピール　ＭＤ（Ａ）（Ｒ）</v>
          </cell>
          <cell r="N408">
            <v>1255</v>
          </cell>
          <cell r="O408">
            <v>1250</v>
          </cell>
          <cell r="P408">
            <v>6000</v>
          </cell>
          <cell r="Q408">
            <v>2</v>
          </cell>
          <cell r="R408">
            <v>40</v>
          </cell>
          <cell r="S408" t="str">
            <v>本</v>
          </cell>
          <cell r="T408">
            <v>44672</v>
          </cell>
          <cell r="U408">
            <v>44697</v>
          </cell>
          <cell r="V408" t="str">
            <v>㈱須賀川東部鏡石</v>
          </cell>
          <cell r="W408"/>
          <cell r="X408"/>
        </row>
        <row r="409">
          <cell r="A409">
            <v>3659660</v>
          </cell>
          <cell r="B409" t="str">
            <v>福島コーティング</v>
          </cell>
          <cell r="C409" t="str">
            <v>工材１部大阪電材課</v>
          </cell>
          <cell r="D409" t="str">
            <v>ダミー担当者</v>
          </cell>
          <cell r="E409" t="str">
            <v>住友べークライト尼崎</v>
          </cell>
          <cell r="F409">
            <v>331</v>
          </cell>
          <cell r="G409" t="str">
            <v>S</v>
          </cell>
          <cell r="H409" t="str">
            <v>N</v>
          </cell>
          <cell r="I409" t="str">
            <v>CERA</v>
          </cell>
          <cell r="J409"/>
          <cell r="K409" t="str">
            <v>MDARX</v>
          </cell>
          <cell r="L409">
            <v>38</v>
          </cell>
          <cell r="M409" t="str">
            <v>セラピール　　　　　　　　　　　ＭＤＡ（ＲＸ）</v>
          </cell>
          <cell r="N409">
            <v>415</v>
          </cell>
          <cell r="O409">
            <v>415</v>
          </cell>
          <cell r="P409">
            <v>1950</v>
          </cell>
          <cell r="Q409">
            <v>2</v>
          </cell>
          <cell r="R409">
            <v>90</v>
          </cell>
          <cell r="S409" t="str">
            <v>本</v>
          </cell>
          <cell r="T409">
            <v>44672</v>
          </cell>
          <cell r="U409">
            <v>44697</v>
          </cell>
          <cell r="V409" t="str">
            <v>㈱須賀川東部鏡石</v>
          </cell>
          <cell r="W409"/>
          <cell r="X409"/>
        </row>
        <row r="410">
          <cell r="A410">
            <v>3659661</v>
          </cell>
          <cell r="B410" t="str">
            <v>福島コーティング</v>
          </cell>
          <cell r="C410" t="str">
            <v>大阪光学機能材課</v>
          </cell>
          <cell r="D410" t="str">
            <v>ダミー担当者</v>
          </cell>
          <cell r="E410" t="str">
            <v>日東電工㈱尾道事業所</v>
          </cell>
          <cell r="F410">
            <v>3321</v>
          </cell>
          <cell r="G410" t="str">
            <v>S</v>
          </cell>
          <cell r="H410" t="str">
            <v>N</v>
          </cell>
          <cell r="I410" t="str">
            <v>CERA</v>
          </cell>
          <cell r="J410"/>
          <cell r="K410" t="str">
            <v>MDACPFL</v>
          </cell>
          <cell r="L410">
            <v>38</v>
          </cell>
          <cell r="M410" t="str">
            <v>Ｋ　セラピールＭＤＡ（ＣＰＲＦ）Ｌ</v>
          </cell>
          <cell r="N410">
            <v>1336</v>
          </cell>
          <cell r="O410">
            <v>1325</v>
          </cell>
          <cell r="P410">
            <v>12000</v>
          </cell>
          <cell r="Q410">
            <v>2</v>
          </cell>
          <cell r="R410">
            <v>50</v>
          </cell>
          <cell r="S410" t="str">
            <v>本</v>
          </cell>
          <cell r="T410">
            <v>44672</v>
          </cell>
          <cell r="U410">
            <v>44704</v>
          </cell>
          <cell r="V410" t="str">
            <v>㈱須賀川東部鏡石</v>
          </cell>
          <cell r="W410"/>
          <cell r="X410"/>
        </row>
        <row r="411">
          <cell r="A411">
            <v>3659662</v>
          </cell>
          <cell r="B411" t="str">
            <v>福島コーティング</v>
          </cell>
          <cell r="C411" t="str">
            <v>大阪光学機能材課</v>
          </cell>
          <cell r="D411" t="str">
            <v>ダミー担当者</v>
          </cell>
          <cell r="E411" t="str">
            <v>日東電工㈱尾道事業所</v>
          </cell>
          <cell r="F411">
            <v>3321</v>
          </cell>
          <cell r="G411" t="str">
            <v>S</v>
          </cell>
          <cell r="H411" t="str">
            <v>N</v>
          </cell>
          <cell r="I411" t="str">
            <v>CERA</v>
          </cell>
          <cell r="J411"/>
          <cell r="K411" t="str">
            <v>MDAPFL</v>
          </cell>
          <cell r="L411">
            <v>38</v>
          </cell>
          <cell r="M411" t="str">
            <v>Ｋ　セラピールＭＤＡ（ＰＲＦ）Ｌ</v>
          </cell>
          <cell r="N411">
            <v>1336</v>
          </cell>
          <cell r="O411">
            <v>1325</v>
          </cell>
          <cell r="P411">
            <v>12000</v>
          </cell>
          <cell r="Q411">
            <v>2</v>
          </cell>
          <cell r="R411">
            <v>70</v>
          </cell>
          <cell r="S411" t="str">
            <v>本</v>
          </cell>
          <cell r="T411">
            <v>44672</v>
          </cell>
          <cell r="U411">
            <v>44704</v>
          </cell>
          <cell r="V411" t="str">
            <v>㈱須賀川東部鏡石</v>
          </cell>
          <cell r="W411"/>
          <cell r="X411"/>
        </row>
        <row r="412">
          <cell r="A412">
            <v>3659665</v>
          </cell>
          <cell r="B412" t="str">
            <v>福島コーティング</v>
          </cell>
          <cell r="C412" t="str">
            <v>工材１部電材課</v>
          </cell>
          <cell r="D412" t="str">
            <v>ダミー担当者</v>
          </cell>
          <cell r="E412" t="str">
            <v>古河電気工業㈱</v>
          </cell>
          <cell r="F412">
            <v>3</v>
          </cell>
          <cell r="G412" t="str">
            <v>S</v>
          </cell>
          <cell r="H412" t="str">
            <v>N</v>
          </cell>
          <cell r="I412" t="str">
            <v>CERA</v>
          </cell>
          <cell r="J412"/>
          <cell r="K412" t="str">
            <v>WZE</v>
          </cell>
          <cell r="L412">
            <v>38</v>
          </cell>
          <cell r="M412" t="str">
            <v>セラピール　　　　　　　　　　　ＷＺ（Ｅ）</v>
          </cell>
          <cell r="N412">
            <v>1040</v>
          </cell>
          <cell r="O412">
            <v>1040</v>
          </cell>
          <cell r="P412">
            <v>6000</v>
          </cell>
          <cell r="Q412">
            <v>2</v>
          </cell>
          <cell r="R412">
            <v>2</v>
          </cell>
          <cell r="S412" t="str">
            <v>本</v>
          </cell>
          <cell r="T412">
            <v>44672</v>
          </cell>
          <cell r="U412">
            <v>44708</v>
          </cell>
          <cell r="V412" t="str">
            <v>㈱須賀川東部鏡石</v>
          </cell>
          <cell r="W412"/>
          <cell r="X412"/>
        </row>
        <row r="413">
          <cell r="A413">
            <v>3659666</v>
          </cell>
          <cell r="B413" t="str">
            <v>福島コーティング</v>
          </cell>
          <cell r="C413" t="str">
            <v>工材１部電材課</v>
          </cell>
          <cell r="D413" t="str">
            <v>ダミー担当者</v>
          </cell>
          <cell r="E413" t="str">
            <v>古河電気工業㈱</v>
          </cell>
          <cell r="F413">
            <v>3</v>
          </cell>
          <cell r="G413" t="str">
            <v>S</v>
          </cell>
          <cell r="H413" t="str">
            <v>N</v>
          </cell>
          <cell r="I413" t="str">
            <v>CERA</v>
          </cell>
          <cell r="J413"/>
          <cell r="K413" t="str">
            <v>WZE</v>
          </cell>
          <cell r="L413">
            <v>38</v>
          </cell>
          <cell r="M413" t="str">
            <v>セラピール　　　　　　　　　　　ＷＺ（Ｅ）</v>
          </cell>
          <cell r="N413">
            <v>1240</v>
          </cell>
          <cell r="O413">
            <v>1240</v>
          </cell>
          <cell r="P413">
            <v>6000</v>
          </cell>
          <cell r="Q413">
            <v>2</v>
          </cell>
          <cell r="R413">
            <v>10</v>
          </cell>
          <cell r="S413" t="str">
            <v>本</v>
          </cell>
          <cell r="T413">
            <v>44672</v>
          </cell>
          <cell r="U413">
            <v>44708</v>
          </cell>
          <cell r="V413" t="str">
            <v>㈱須賀川東部鏡石</v>
          </cell>
          <cell r="W413"/>
          <cell r="X413"/>
        </row>
        <row r="414">
          <cell r="A414">
            <v>3659667</v>
          </cell>
          <cell r="B414" t="str">
            <v>福島コーティング</v>
          </cell>
          <cell r="C414" t="str">
            <v>工材１部電材課</v>
          </cell>
          <cell r="D414" t="str">
            <v>ダミー担当者</v>
          </cell>
          <cell r="E414" t="str">
            <v>東洋包材㈱</v>
          </cell>
          <cell r="F414">
            <v>3</v>
          </cell>
          <cell r="G414" t="str">
            <v>S</v>
          </cell>
          <cell r="H414" t="str">
            <v>N</v>
          </cell>
          <cell r="I414" t="str">
            <v>CERA</v>
          </cell>
          <cell r="J414"/>
          <cell r="K414" t="str">
            <v>WZRX</v>
          </cell>
          <cell r="L414">
            <v>38</v>
          </cell>
          <cell r="M414" t="str">
            <v>セラピール　ＷＺ（ＲＸ）　　　　　　</v>
          </cell>
          <cell r="N414">
            <v>1135</v>
          </cell>
          <cell r="O414">
            <v>1130</v>
          </cell>
          <cell r="P414">
            <v>6000</v>
          </cell>
          <cell r="Q414">
            <v>2</v>
          </cell>
          <cell r="R414">
            <v>2</v>
          </cell>
          <cell r="S414" t="str">
            <v>本</v>
          </cell>
          <cell r="T414">
            <v>44672</v>
          </cell>
          <cell r="U414">
            <v>44708</v>
          </cell>
          <cell r="V414" t="str">
            <v>㈱須賀川東部鏡石</v>
          </cell>
          <cell r="W414"/>
          <cell r="X414"/>
        </row>
        <row r="415">
          <cell r="A415">
            <v>3659668</v>
          </cell>
          <cell r="B415" t="str">
            <v>福島コーティング</v>
          </cell>
          <cell r="C415" t="str">
            <v>工材１部大阪電材課</v>
          </cell>
          <cell r="D415" t="str">
            <v>ダミー担当者</v>
          </cell>
          <cell r="E415" t="str">
            <v>東洋機材</v>
          </cell>
          <cell r="F415">
            <v>3</v>
          </cell>
          <cell r="G415" t="str">
            <v>S</v>
          </cell>
          <cell r="H415" t="str">
            <v>N</v>
          </cell>
          <cell r="I415" t="str">
            <v>CERA</v>
          </cell>
          <cell r="J415"/>
          <cell r="K415" t="str">
            <v>WZS</v>
          </cell>
          <cell r="L415">
            <v>125</v>
          </cell>
          <cell r="M415" t="str">
            <v>セラピール　ＷＺ（Ｓ）</v>
          </cell>
          <cell r="N415">
            <v>1230</v>
          </cell>
          <cell r="O415">
            <v>1225</v>
          </cell>
          <cell r="P415">
            <v>1800</v>
          </cell>
          <cell r="Q415">
            <v>2</v>
          </cell>
          <cell r="R415">
            <v>1</v>
          </cell>
          <cell r="S415" t="str">
            <v>本</v>
          </cell>
          <cell r="T415">
            <v>44672</v>
          </cell>
          <cell r="U415">
            <v>44708</v>
          </cell>
          <cell r="V415" t="str">
            <v>㈱須賀川東部鏡石</v>
          </cell>
          <cell r="W415"/>
          <cell r="X415"/>
        </row>
        <row r="416">
          <cell r="A416">
            <v>3659669</v>
          </cell>
          <cell r="B416" t="str">
            <v>福島コーティング</v>
          </cell>
          <cell r="C416" t="str">
            <v>工材１部電材課</v>
          </cell>
          <cell r="D416" t="str">
            <v>ダミー担当者</v>
          </cell>
          <cell r="E416" t="str">
            <v>パナック㈱亀山工場</v>
          </cell>
          <cell r="F416">
            <v>3</v>
          </cell>
          <cell r="G416" t="str">
            <v>S</v>
          </cell>
          <cell r="H416" t="str">
            <v>N</v>
          </cell>
          <cell r="I416" t="str">
            <v>CERA</v>
          </cell>
          <cell r="J416"/>
          <cell r="K416" t="str">
            <v>WZ</v>
          </cell>
          <cell r="L416">
            <v>25</v>
          </cell>
          <cell r="M416" t="str">
            <v>セラピール　　　　　　　　　　　ＷＺ</v>
          </cell>
          <cell r="N416">
            <v>1325</v>
          </cell>
          <cell r="O416">
            <v>1320</v>
          </cell>
          <cell r="P416">
            <v>6000</v>
          </cell>
          <cell r="Q416">
            <v>2</v>
          </cell>
          <cell r="R416">
            <v>6</v>
          </cell>
          <cell r="S416" t="str">
            <v>本</v>
          </cell>
          <cell r="T416">
            <v>44672</v>
          </cell>
          <cell r="U416">
            <v>44708</v>
          </cell>
          <cell r="V416" t="str">
            <v>㈱須賀川東部鏡石</v>
          </cell>
          <cell r="W416"/>
          <cell r="X416"/>
        </row>
        <row r="417">
          <cell r="A417">
            <v>3659672</v>
          </cell>
          <cell r="B417" t="str">
            <v>情材福島原価</v>
          </cell>
          <cell r="C417" t="str">
            <v>工材１部電材課</v>
          </cell>
          <cell r="D417" t="str">
            <v>ダミー担当者</v>
          </cell>
          <cell r="E417" t="str">
            <v>藤産業㈱</v>
          </cell>
          <cell r="F417">
            <v>3</v>
          </cell>
          <cell r="G417" t="str">
            <v>T</v>
          </cell>
          <cell r="H417" t="str">
            <v>N</v>
          </cell>
          <cell r="I417" t="str">
            <v>CERA</v>
          </cell>
          <cell r="J417"/>
          <cell r="K417" t="str">
            <v>WZ34</v>
          </cell>
          <cell r="L417">
            <v>25</v>
          </cell>
          <cell r="M417" t="str">
            <v>セラピール　ＷＺ（３４）</v>
          </cell>
          <cell r="N417">
            <v>1410</v>
          </cell>
          <cell r="O417">
            <v>1410</v>
          </cell>
          <cell r="P417">
            <v>6000</v>
          </cell>
          <cell r="Q417">
            <v>2</v>
          </cell>
          <cell r="R417">
            <v>30</v>
          </cell>
          <cell r="S417" t="str">
            <v>本</v>
          </cell>
          <cell r="T417">
            <v>44672</v>
          </cell>
          <cell r="U417">
            <v>44708</v>
          </cell>
          <cell r="V417" t="str">
            <v>㈱須賀川東部鏡石</v>
          </cell>
          <cell r="W417"/>
          <cell r="X417"/>
        </row>
        <row r="418">
          <cell r="A418">
            <v>3659673</v>
          </cell>
          <cell r="B418" t="str">
            <v>福島コーティング</v>
          </cell>
          <cell r="C418" t="str">
            <v>工材１部電材課</v>
          </cell>
          <cell r="D418" t="str">
            <v>ダミー担当者</v>
          </cell>
          <cell r="E418" t="str">
            <v>積水化学武蔵工場</v>
          </cell>
          <cell r="F418">
            <v>3</v>
          </cell>
          <cell r="G418" t="str">
            <v>S</v>
          </cell>
          <cell r="H418" t="str">
            <v>N</v>
          </cell>
          <cell r="I418" t="str">
            <v>CERA</v>
          </cell>
          <cell r="J418"/>
          <cell r="K418" t="str">
            <v>BKU</v>
          </cell>
          <cell r="L418">
            <v>25</v>
          </cell>
          <cell r="M418" t="str">
            <v>セラピ－ル　ＢＫ（Ｕ）</v>
          </cell>
          <cell r="N418">
            <v>890</v>
          </cell>
          <cell r="O418">
            <v>890</v>
          </cell>
          <cell r="P418">
            <v>3800</v>
          </cell>
          <cell r="Q418">
            <v>2</v>
          </cell>
          <cell r="R418">
            <v>3</v>
          </cell>
          <cell r="S418" t="str">
            <v>本</v>
          </cell>
          <cell r="T418">
            <v>44672</v>
          </cell>
          <cell r="U418">
            <v>44708</v>
          </cell>
          <cell r="V418" t="str">
            <v>㈱須賀川東部鏡石</v>
          </cell>
          <cell r="W418"/>
          <cell r="X418"/>
        </row>
        <row r="419">
          <cell r="A419">
            <v>3659674</v>
          </cell>
          <cell r="B419" t="str">
            <v>福島コーティング</v>
          </cell>
          <cell r="C419" t="str">
            <v>工材１部電材課</v>
          </cell>
          <cell r="D419" t="str">
            <v>ダミー担当者</v>
          </cell>
          <cell r="E419" t="str">
            <v>パナック㈱亀山工場</v>
          </cell>
          <cell r="F419">
            <v>331</v>
          </cell>
          <cell r="G419" t="str">
            <v>S</v>
          </cell>
          <cell r="H419" t="str">
            <v>N</v>
          </cell>
          <cell r="I419" t="str">
            <v>CERA</v>
          </cell>
          <cell r="J419"/>
          <cell r="K419" t="str">
            <v>BKE09</v>
          </cell>
          <cell r="L419">
            <v>38</v>
          </cell>
          <cell r="M419" t="str">
            <v>セラピール　ＢＫＥ（０９）</v>
          </cell>
          <cell r="N419">
            <v>1367</v>
          </cell>
          <cell r="O419">
            <v>1360</v>
          </cell>
          <cell r="P419">
            <v>6000</v>
          </cell>
          <cell r="Q419">
            <v>2</v>
          </cell>
          <cell r="R419">
            <v>6</v>
          </cell>
          <cell r="S419" t="str">
            <v>本</v>
          </cell>
          <cell r="T419">
            <v>44672</v>
          </cell>
          <cell r="U419">
            <v>44708</v>
          </cell>
          <cell r="V419" t="str">
            <v>㈱須賀川東部鏡石</v>
          </cell>
          <cell r="W419"/>
          <cell r="X419"/>
        </row>
        <row r="420">
          <cell r="A420">
            <v>3659675</v>
          </cell>
          <cell r="B420" t="str">
            <v>福島コーティング</v>
          </cell>
          <cell r="C420" t="str">
            <v>工材１部電材課</v>
          </cell>
          <cell r="D420" t="str">
            <v>ダミー担当者</v>
          </cell>
          <cell r="E420" t="str">
            <v>パナック㈱亀山工場</v>
          </cell>
          <cell r="F420">
            <v>3</v>
          </cell>
          <cell r="G420" t="str">
            <v>S</v>
          </cell>
          <cell r="H420" t="str">
            <v>N</v>
          </cell>
          <cell r="I420" t="str">
            <v>CERA</v>
          </cell>
          <cell r="J420"/>
          <cell r="K420" t="str">
            <v>BKE09</v>
          </cell>
          <cell r="L420">
            <v>38</v>
          </cell>
          <cell r="M420" t="str">
            <v>セラピール　ＢＫＥ（０９）</v>
          </cell>
          <cell r="N420">
            <v>1057</v>
          </cell>
          <cell r="O420">
            <v>1050</v>
          </cell>
          <cell r="P420">
            <v>8400</v>
          </cell>
          <cell r="Q420">
            <v>2</v>
          </cell>
          <cell r="R420">
            <v>13</v>
          </cell>
          <cell r="S420" t="str">
            <v>本</v>
          </cell>
          <cell r="T420">
            <v>44672</v>
          </cell>
          <cell r="U420">
            <v>44708</v>
          </cell>
          <cell r="V420" t="str">
            <v>㈱須賀川東部鏡石</v>
          </cell>
          <cell r="W420"/>
          <cell r="X420"/>
        </row>
        <row r="421">
          <cell r="A421">
            <v>3659676</v>
          </cell>
          <cell r="B421" t="str">
            <v>福島コーティング</v>
          </cell>
          <cell r="C421" t="str">
            <v>工材１部電材課</v>
          </cell>
          <cell r="D421" t="str">
            <v>ダミー担当者</v>
          </cell>
          <cell r="E421" t="str">
            <v>㈱巴川製紙所</v>
          </cell>
          <cell r="F421">
            <v>331</v>
          </cell>
          <cell r="G421" t="str">
            <v>S</v>
          </cell>
          <cell r="H421" t="str">
            <v>N</v>
          </cell>
          <cell r="I421" t="str">
            <v>CERA</v>
          </cell>
          <cell r="J421"/>
          <cell r="K421" t="str">
            <v>BKERXT</v>
          </cell>
          <cell r="L421">
            <v>25</v>
          </cell>
          <cell r="M421" t="str">
            <v>セラピール　ＢＫＥ（ＲＸ）</v>
          </cell>
          <cell r="N421">
            <v>1330</v>
          </cell>
          <cell r="O421">
            <v>1330</v>
          </cell>
          <cell r="P421">
            <v>6000</v>
          </cell>
          <cell r="Q421">
            <v>2</v>
          </cell>
          <cell r="R421">
            <v>16</v>
          </cell>
          <cell r="S421" t="str">
            <v>本</v>
          </cell>
          <cell r="T421">
            <v>44672</v>
          </cell>
          <cell r="U421">
            <v>44708</v>
          </cell>
          <cell r="V421" t="str">
            <v>㈱須賀川東部鏡石</v>
          </cell>
          <cell r="W421"/>
          <cell r="X421"/>
        </row>
        <row r="422">
          <cell r="A422">
            <v>3659677</v>
          </cell>
          <cell r="B422" t="str">
            <v>福島コーティング</v>
          </cell>
          <cell r="C422" t="str">
            <v>工材１部電材課</v>
          </cell>
          <cell r="D422" t="str">
            <v>ダミー担当者</v>
          </cell>
          <cell r="E422" t="str">
            <v>㈱巴川製紙所</v>
          </cell>
          <cell r="F422">
            <v>331</v>
          </cell>
          <cell r="G422" t="str">
            <v>S</v>
          </cell>
          <cell r="H422" t="str">
            <v>N</v>
          </cell>
          <cell r="I422" t="str">
            <v>CERA</v>
          </cell>
          <cell r="J422"/>
          <cell r="K422" t="str">
            <v>BKERXT</v>
          </cell>
          <cell r="L422">
            <v>38</v>
          </cell>
          <cell r="M422" t="str">
            <v>セラピール　ＢＫＥ（ＲＸ）</v>
          </cell>
          <cell r="N422">
            <v>1330</v>
          </cell>
          <cell r="O422">
            <v>1330</v>
          </cell>
          <cell r="P422">
            <v>6000</v>
          </cell>
          <cell r="Q422">
            <v>2</v>
          </cell>
          <cell r="R422">
            <v>16</v>
          </cell>
          <cell r="S422" t="str">
            <v>本</v>
          </cell>
          <cell r="T422">
            <v>44672</v>
          </cell>
          <cell r="U422">
            <v>44708</v>
          </cell>
          <cell r="V422" t="str">
            <v>㈱須賀川東部鏡石</v>
          </cell>
          <cell r="W422"/>
          <cell r="X422"/>
        </row>
        <row r="423">
          <cell r="A423">
            <v>3659678</v>
          </cell>
          <cell r="B423" t="str">
            <v>福島コーティング</v>
          </cell>
          <cell r="C423" t="str">
            <v>光学機能材１課</v>
          </cell>
          <cell r="D423" t="str">
            <v>ダミー担当者</v>
          </cell>
          <cell r="E423" t="str">
            <v>㈱きもと　三重工場</v>
          </cell>
          <cell r="F423">
            <v>3</v>
          </cell>
          <cell r="G423" t="str">
            <v>S</v>
          </cell>
          <cell r="H423" t="str">
            <v>N</v>
          </cell>
          <cell r="I423" t="str">
            <v>CERA</v>
          </cell>
          <cell r="J423"/>
          <cell r="K423" t="str">
            <v>BKUK</v>
          </cell>
          <cell r="L423">
            <v>25</v>
          </cell>
          <cell r="M423" t="str">
            <v>セラピール　ＢＫ（Ｕ）Ｋ</v>
          </cell>
          <cell r="N423">
            <v>1045</v>
          </cell>
          <cell r="O423">
            <v>1040</v>
          </cell>
          <cell r="P423">
            <v>6000</v>
          </cell>
          <cell r="Q423">
            <v>2</v>
          </cell>
          <cell r="R423">
            <v>10</v>
          </cell>
          <cell r="S423" t="str">
            <v>本</v>
          </cell>
          <cell r="T423">
            <v>44672</v>
          </cell>
          <cell r="U423">
            <v>44708</v>
          </cell>
          <cell r="V423" t="str">
            <v>㈱須賀川東部鏡石</v>
          </cell>
          <cell r="W423"/>
          <cell r="X423"/>
        </row>
        <row r="424">
          <cell r="A424">
            <v>3659679</v>
          </cell>
          <cell r="B424" t="str">
            <v>福島コーティング</v>
          </cell>
          <cell r="C424" t="str">
            <v>光学機能材１課</v>
          </cell>
          <cell r="D424" t="str">
            <v>ダミー担当者</v>
          </cell>
          <cell r="E424" t="str">
            <v>㈱きもと　三重工場</v>
          </cell>
          <cell r="F424">
            <v>3</v>
          </cell>
          <cell r="G424" t="str">
            <v>S</v>
          </cell>
          <cell r="H424" t="str">
            <v>N</v>
          </cell>
          <cell r="I424" t="str">
            <v>CERA</v>
          </cell>
          <cell r="J424"/>
          <cell r="K424" t="str">
            <v>BKUK</v>
          </cell>
          <cell r="L424">
            <v>25</v>
          </cell>
          <cell r="M424" t="str">
            <v>セラピール　ＢＫ（Ｕ）Ｋ</v>
          </cell>
          <cell r="N424">
            <v>1085</v>
          </cell>
          <cell r="O424">
            <v>1080</v>
          </cell>
          <cell r="P424">
            <v>6000</v>
          </cell>
          <cell r="Q424">
            <v>2</v>
          </cell>
          <cell r="R424">
            <v>6</v>
          </cell>
          <cell r="S424" t="str">
            <v>本</v>
          </cell>
          <cell r="T424">
            <v>44672</v>
          </cell>
          <cell r="U424">
            <v>44708</v>
          </cell>
          <cell r="V424" t="str">
            <v>㈱須賀川東部鏡石</v>
          </cell>
          <cell r="W424"/>
          <cell r="X424"/>
        </row>
        <row r="425">
          <cell r="A425">
            <v>3659680</v>
          </cell>
          <cell r="B425" t="str">
            <v>福島コーティング</v>
          </cell>
          <cell r="C425" t="str">
            <v>工材１部電材課</v>
          </cell>
          <cell r="D425" t="str">
            <v>ダミー担当者</v>
          </cell>
          <cell r="E425" t="str">
            <v>㈱三共プラス</v>
          </cell>
          <cell r="F425">
            <v>3</v>
          </cell>
          <cell r="G425" t="str">
            <v>S</v>
          </cell>
          <cell r="H425" t="str">
            <v>N</v>
          </cell>
          <cell r="I425" t="str">
            <v>TTP</v>
          </cell>
          <cell r="J425"/>
          <cell r="K425" t="str">
            <v>B2T0</v>
          </cell>
          <cell r="L425">
            <v>100</v>
          </cell>
          <cell r="M425" t="str">
            <v>タフトップ　Ｂ２Ｔ０</v>
          </cell>
          <cell r="N425">
            <v>1000</v>
          </cell>
          <cell r="O425">
            <v>1000</v>
          </cell>
          <cell r="P425">
            <v>1000</v>
          </cell>
          <cell r="Q425">
            <v>2</v>
          </cell>
          <cell r="R425">
            <v>6</v>
          </cell>
          <cell r="S425" t="str">
            <v>本</v>
          </cell>
          <cell r="T425">
            <v>44672</v>
          </cell>
          <cell r="U425">
            <v>44704</v>
          </cell>
          <cell r="V425" t="str">
            <v>㈱須賀川東部鏡石</v>
          </cell>
          <cell r="W425"/>
          <cell r="X425"/>
        </row>
        <row r="426">
          <cell r="A426">
            <v>3659681</v>
          </cell>
          <cell r="B426" t="str">
            <v>福島コーティング</v>
          </cell>
          <cell r="C426" t="str">
            <v>工材１部電材課</v>
          </cell>
          <cell r="D426" t="str">
            <v>ダミー担当者</v>
          </cell>
          <cell r="E426" t="str">
            <v>㈱三共プラス</v>
          </cell>
          <cell r="F426">
            <v>3</v>
          </cell>
          <cell r="G426" t="str">
            <v>S</v>
          </cell>
          <cell r="H426" t="str">
            <v>N</v>
          </cell>
          <cell r="I426" t="str">
            <v>TTP</v>
          </cell>
          <cell r="J426"/>
          <cell r="K426" t="str">
            <v>B2T0</v>
          </cell>
          <cell r="L426">
            <v>125</v>
          </cell>
          <cell r="M426" t="str">
            <v>タフトップ　Ｂ２Ｔ０</v>
          </cell>
          <cell r="N426">
            <v>1000</v>
          </cell>
          <cell r="O426">
            <v>1000</v>
          </cell>
          <cell r="P426">
            <v>1000</v>
          </cell>
          <cell r="Q426">
            <v>2</v>
          </cell>
          <cell r="R426">
            <v>10</v>
          </cell>
          <cell r="S426" t="str">
            <v>本</v>
          </cell>
          <cell r="T426">
            <v>44672</v>
          </cell>
          <cell r="U426">
            <v>44704</v>
          </cell>
          <cell r="V426" t="str">
            <v>㈱須賀川東部鏡石</v>
          </cell>
          <cell r="W426"/>
          <cell r="X426"/>
        </row>
        <row r="427">
          <cell r="A427">
            <v>3659682</v>
          </cell>
          <cell r="B427" t="str">
            <v>福島コーティング</v>
          </cell>
          <cell r="C427" t="str">
            <v>工材１部電材課</v>
          </cell>
          <cell r="D427" t="str">
            <v>ダミー担当者</v>
          </cell>
          <cell r="E427" t="str">
            <v>㈱三共プラス</v>
          </cell>
          <cell r="F427">
            <v>3</v>
          </cell>
          <cell r="G427" t="str">
            <v>S</v>
          </cell>
          <cell r="H427" t="str">
            <v>N</v>
          </cell>
          <cell r="I427" t="str">
            <v>TTP</v>
          </cell>
          <cell r="J427"/>
          <cell r="K427" t="str">
            <v>B2T0</v>
          </cell>
          <cell r="L427">
            <v>188</v>
          </cell>
          <cell r="M427" t="str">
            <v>タフトップ　Ｂ２Ｔ０</v>
          </cell>
          <cell r="N427">
            <v>1000</v>
          </cell>
          <cell r="O427">
            <v>1000</v>
          </cell>
          <cell r="P427">
            <v>1000</v>
          </cell>
          <cell r="Q427">
            <v>2</v>
          </cell>
          <cell r="R427">
            <v>7</v>
          </cell>
          <cell r="S427" t="str">
            <v>本</v>
          </cell>
          <cell r="T427">
            <v>44672</v>
          </cell>
          <cell r="U427">
            <v>44704</v>
          </cell>
          <cell r="V427" t="str">
            <v>㈱須賀川東部鏡石</v>
          </cell>
          <cell r="W427"/>
          <cell r="X427"/>
        </row>
        <row r="428">
          <cell r="A428">
            <v>3659686</v>
          </cell>
          <cell r="B428" t="str">
            <v>福島コーティング</v>
          </cell>
          <cell r="C428" t="str">
            <v>工材１部大阪電材課</v>
          </cell>
          <cell r="D428" t="str">
            <v>ダミー担当者</v>
          </cell>
          <cell r="E428" t="str">
            <v>双信電機㈱</v>
          </cell>
          <cell r="F428">
            <v>3</v>
          </cell>
          <cell r="G428" t="str">
            <v>S</v>
          </cell>
          <cell r="H428" t="str">
            <v>N</v>
          </cell>
          <cell r="I428" t="str">
            <v>CERANS</v>
          </cell>
          <cell r="J428"/>
          <cell r="K428" t="str">
            <v>HP2UDF</v>
          </cell>
          <cell r="L428">
            <v>75</v>
          </cell>
          <cell r="M428" t="str">
            <v>セラピール　ＨＰ２（Ｕ）Ｄ</v>
          </cell>
          <cell r="N428">
            <v>600</v>
          </cell>
          <cell r="O428">
            <v>600</v>
          </cell>
          <cell r="P428">
            <v>600</v>
          </cell>
          <cell r="Q428">
            <v>2</v>
          </cell>
          <cell r="R428">
            <v>78</v>
          </cell>
          <cell r="S428" t="str">
            <v>本</v>
          </cell>
          <cell r="T428">
            <v>44672</v>
          </cell>
          <cell r="U428">
            <v>44704</v>
          </cell>
          <cell r="V428" t="str">
            <v>㈱須賀川東部鏡石</v>
          </cell>
          <cell r="W428"/>
          <cell r="X428"/>
        </row>
        <row r="429">
          <cell r="A429">
            <v>3659687</v>
          </cell>
          <cell r="B429" t="str">
            <v>福島コーティング</v>
          </cell>
          <cell r="C429" t="str">
            <v>大阪光学機能材課</v>
          </cell>
          <cell r="D429" t="str">
            <v>ダミー担当者</v>
          </cell>
          <cell r="E429" t="str">
            <v>日東電工㈱尾道事業所</v>
          </cell>
          <cell r="F429" t="str">
            <v>3H</v>
          </cell>
          <cell r="G429" t="str">
            <v>S</v>
          </cell>
          <cell r="H429" t="str">
            <v>N</v>
          </cell>
          <cell r="I429" t="str">
            <v>TPIC</v>
          </cell>
          <cell r="J429"/>
          <cell r="K429" t="str">
            <v>TT405B</v>
          </cell>
          <cell r="L429">
            <v>50</v>
          </cell>
          <cell r="M429" t="str">
            <v>５０ＴＴ４０５Ｂ</v>
          </cell>
          <cell r="N429">
            <v>1094</v>
          </cell>
          <cell r="O429">
            <v>1094</v>
          </cell>
          <cell r="P429">
            <v>5000</v>
          </cell>
          <cell r="Q429">
            <v>2</v>
          </cell>
          <cell r="R429">
            <v>2</v>
          </cell>
          <cell r="S429" t="str">
            <v>本</v>
          </cell>
          <cell r="T429">
            <v>44672</v>
          </cell>
          <cell r="U429">
            <v>44704</v>
          </cell>
          <cell r="V429" t="str">
            <v>㈱須賀川東部鏡石</v>
          </cell>
          <cell r="W429"/>
          <cell r="X429"/>
        </row>
        <row r="430">
          <cell r="A430">
            <v>3659688</v>
          </cell>
          <cell r="B430" t="str">
            <v>福島コーティング</v>
          </cell>
          <cell r="C430" t="str">
            <v>プロセス材１課</v>
          </cell>
          <cell r="D430" t="str">
            <v>ダミー担当者</v>
          </cell>
          <cell r="E430" t="str">
            <v>王子タック㈱本社</v>
          </cell>
          <cell r="F430" t="str">
            <v>33S</v>
          </cell>
          <cell r="G430" t="str">
            <v>S</v>
          </cell>
          <cell r="H430" t="str">
            <v>N</v>
          </cell>
          <cell r="I430" t="str">
            <v>CLB</v>
          </cell>
          <cell r="J430"/>
          <cell r="K430" t="str">
            <v>LTL</v>
          </cell>
          <cell r="L430">
            <v>25</v>
          </cell>
          <cell r="M430" t="str">
            <v>ルミラー　ＴＬ</v>
          </cell>
          <cell r="N430">
            <v>1120</v>
          </cell>
          <cell r="O430">
            <v>1120</v>
          </cell>
          <cell r="P430">
            <v>12000</v>
          </cell>
          <cell r="Q430">
            <v>2</v>
          </cell>
          <cell r="R430">
            <v>6</v>
          </cell>
          <cell r="S430" t="str">
            <v>本</v>
          </cell>
          <cell r="T430">
            <v>44672</v>
          </cell>
          <cell r="U430">
            <v>44704</v>
          </cell>
          <cell r="V430" t="str">
            <v>㈱須賀川東部鏡石</v>
          </cell>
          <cell r="W430"/>
          <cell r="X430"/>
        </row>
        <row r="431">
          <cell r="A431">
            <v>3659689</v>
          </cell>
          <cell r="B431" t="str">
            <v>福島コーティング</v>
          </cell>
          <cell r="C431" t="str">
            <v>プロセス材２課</v>
          </cell>
          <cell r="D431" t="str">
            <v>ダミー担当者</v>
          </cell>
          <cell r="E431" t="str">
            <v>藤森工業㈱掛川事業所</v>
          </cell>
          <cell r="F431">
            <v>3</v>
          </cell>
          <cell r="G431" t="str">
            <v>S</v>
          </cell>
          <cell r="H431" t="str">
            <v>N</v>
          </cell>
          <cell r="I431" t="str">
            <v>CLB</v>
          </cell>
          <cell r="J431"/>
          <cell r="K431" t="str">
            <v>PETTL</v>
          </cell>
          <cell r="L431">
            <v>38</v>
          </cell>
          <cell r="M431" t="str">
            <v>ＰＥＴ　ＴＬ</v>
          </cell>
          <cell r="N431">
            <v>1320</v>
          </cell>
          <cell r="O431">
            <v>1320</v>
          </cell>
          <cell r="P431">
            <v>4200</v>
          </cell>
          <cell r="Q431">
            <v>2</v>
          </cell>
          <cell r="R431">
            <v>1</v>
          </cell>
          <cell r="S431" t="str">
            <v>本</v>
          </cell>
          <cell r="T431">
            <v>44672</v>
          </cell>
          <cell r="U431">
            <v>44704</v>
          </cell>
          <cell r="V431" t="str">
            <v>㈱須賀川東部鏡石</v>
          </cell>
          <cell r="W431"/>
          <cell r="X431"/>
        </row>
        <row r="432">
          <cell r="A432">
            <v>3659695</v>
          </cell>
          <cell r="B432" t="str">
            <v>福島コーティング</v>
          </cell>
          <cell r="C432" t="str">
            <v>工材３部工材２課</v>
          </cell>
          <cell r="D432" t="str">
            <v>ダミー担当者</v>
          </cell>
          <cell r="E432" t="str">
            <v>昭和電工マテリアルズ</v>
          </cell>
          <cell r="F432">
            <v>3</v>
          </cell>
          <cell r="G432" t="str">
            <v>S</v>
          </cell>
          <cell r="H432" t="str">
            <v>N</v>
          </cell>
          <cell r="I432" t="str">
            <v>CERANS</v>
          </cell>
          <cell r="J432"/>
          <cell r="K432" t="str">
            <v>PJ27103</v>
          </cell>
          <cell r="L432">
            <v>25</v>
          </cell>
          <cell r="M432" t="str">
            <v>セラピール　ＰＪ２７１（０３）</v>
          </cell>
          <cell r="N432">
            <v>1575</v>
          </cell>
          <cell r="O432">
            <v>1575</v>
          </cell>
          <cell r="P432">
            <v>12000</v>
          </cell>
          <cell r="Q432">
            <v>2</v>
          </cell>
          <cell r="R432">
            <v>7</v>
          </cell>
          <cell r="S432" t="str">
            <v>本</v>
          </cell>
          <cell r="T432">
            <v>44672</v>
          </cell>
          <cell r="U432">
            <v>44704</v>
          </cell>
          <cell r="V432" t="str">
            <v>㈱須賀川東部鏡石</v>
          </cell>
          <cell r="W432"/>
          <cell r="X432"/>
        </row>
        <row r="433">
          <cell r="A433">
            <v>3659706</v>
          </cell>
          <cell r="B433" t="str">
            <v>福島コーティング</v>
          </cell>
          <cell r="C433" t="str">
            <v>プロセス材１課</v>
          </cell>
          <cell r="D433" t="str">
            <v>ダミー担当者</v>
          </cell>
          <cell r="E433" t="str">
            <v>リンテック㈱</v>
          </cell>
          <cell r="F433">
            <v>3</v>
          </cell>
          <cell r="G433" t="str">
            <v>S</v>
          </cell>
          <cell r="H433" t="str">
            <v>N</v>
          </cell>
          <cell r="I433" t="str">
            <v>CLB</v>
          </cell>
          <cell r="J433"/>
          <cell r="K433" t="str">
            <v>PETMV</v>
          </cell>
          <cell r="L433">
            <v>25</v>
          </cell>
          <cell r="M433" t="str">
            <v>ＰＥＴ　マットＶ</v>
          </cell>
          <cell r="N433">
            <v>1005</v>
          </cell>
          <cell r="O433">
            <v>1000</v>
          </cell>
          <cell r="P433">
            <v>4000</v>
          </cell>
          <cell r="Q433">
            <v>2</v>
          </cell>
          <cell r="R433">
            <v>1</v>
          </cell>
          <cell r="S433" t="str">
            <v>本</v>
          </cell>
          <cell r="T433">
            <v>44672</v>
          </cell>
          <cell r="U433">
            <v>44694</v>
          </cell>
          <cell r="V433" t="str">
            <v>㈱須賀川東部鏡石</v>
          </cell>
          <cell r="W433"/>
          <cell r="X433"/>
        </row>
        <row r="434">
          <cell r="A434">
            <v>3659707</v>
          </cell>
          <cell r="B434" t="str">
            <v>福島コーティング</v>
          </cell>
          <cell r="C434" t="str">
            <v>プロセス材１課</v>
          </cell>
          <cell r="D434" t="str">
            <v>ダミー担当者</v>
          </cell>
          <cell r="E434" t="str">
            <v>リンテック㈱</v>
          </cell>
          <cell r="F434">
            <v>3</v>
          </cell>
          <cell r="G434" t="str">
            <v>S</v>
          </cell>
          <cell r="H434" t="str">
            <v>N</v>
          </cell>
          <cell r="I434" t="str">
            <v>CERA</v>
          </cell>
          <cell r="J434"/>
          <cell r="K434" t="str">
            <v>WZS</v>
          </cell>
          <cell r="L434">
            <v>38</v>
          </cell>
          <cell r="M434" t="str">
            <v>セラピール　　　　　　　　　　　ＷＺ（Ｓ）</v>
          </cell>
          <cell r="N434">
            <v>1005</v>
          </cell>
          <cell r="O434">
            <v>1000</v>
          </cell>
          <cell r="P434">
            <v>8000</v>
          </cell>
          <cell r="Q434">
            <v>2</v>
          </cell>
          <cell r="R434">
            <v>10</v>
          </cell>
          <cell r="S434" t="str">
            <v>本</v>
          </cell>
          <cell r="T434">
            <v>44672</v>
          </cell>
          <cell r="U434">
            <v>44711</v>
          </cell>
          <cell r="V434" t="str">
            <v>㈱須賀川東部鏡石</v>
          </cell>
          <cell r="W434"/>
          <cell r="X434"/>
        </row>
        <row r="435">
          <cell r="A435">
            <v>3659708</v>
          </cell>
          <cell r="B435" t="str">
            <v>福島コーティング</v>
          </cell>
          <cell r="C435" t="str">
            <v>プロセス材１課</v>
          </cell>
          <cell r="D435" t="str">
            <v>ダミー担当者</v>
          </cell>
          <cell r="E435" t="str">
            <v>リンテック㈱</v>
          </cell>
          <cell r="F435">
            <v>3</v>
          </cell>
          <cell r="G435" t="str">
            <v>S</v>
          </cell>
          <cell r="H435" t="str">
            <v>N</v>
          </cell>
          <cell r="I435" t="str">
            <v>CERA</v>
          </cell>
          <cell r="J435"/>
          <cell r="K435" t="str">
            <v>WZS</v>
          </cell>
          <cell r="L435">
            <v>38</v>
          </cell>
          <cell r="M435" t="str">
            <v>セラピール　　　　　　　　　　　ＷＺ（Ｓ）</v>
          </cell>
          <cell r="N435">
            <v>1415</v>
          </cell>
          <cell r="O435">
            <v>1410</v>
          </cell>
          <cell r="P435">
            <v>8000</v>
          </cell>
          <cell r="Q435">
            <v>2</v>
          </cell>
          <cell r="R435">
            <v>14</v>
          </cell>
          <cell r="S435" t="str">
            <v>本</v>
          </cell>
          <cell r="T435">
            <v>44672</v>
          </cell>
          <cell r="U435">
            <v>44697</v>
          </cell>
          <cell r="V435" t="str">
            <v>㈱須賀川東部鏡石</v>
          </cell>
          <cell r="W435"/>
          <cell r="X435"/>
        </row>
        <row r="436">
          <cell r="A436">
            <v>3659718</v>
          </cell>
          <cell r="B436" t="str">
            <v>福島コーティング</v>
          </cell>
          <cell r="C436" t="str">
            <v>プロセス材１課</v>
          </cell>
          <cell r="D436" t="str">
            <v>ダミー担当者</v>
          </cell>
          <cell r="E436" t="str">
            <v>リンテック㈱</v>
          </cell>
          <cell r="F436">
            <v>3</v>
          </cell>
          <cell r="G436" t="str">
            <v>S</v>
          </cell>
          <cell r="H436" t="str">
            <v>N</v>
          </cell>
          <cell r="I436" t="str">
            <v>CLB</v>
          </cell>
          <cell r="J436"/>
          <cell r="K436" t="str">
            <v>E20V</v>
          </cell>
          <cell r="L436">
            <v>38</v>
          </cell>
          <cell r="M436" t="str">
            <v>ルミラー　Ｅ－２０　Ｖ</v>
          </cell>
          <cell r="N436">
            <v>1005</v>
          </cell>
          <cell r="O436">
            <v>1000</v>
          </cell>
          <cell r="P436">
            <v>4000</v>
          </cell>
          <cell r="Q436">
            <v>2</v>
          </cell>
          <cell r="R436">
            <v>1</v>
          </cell>
          <cell r="S436" t="str">
            <v>本</v>
          </cell>
          <cell r="T436">
            <v>44672</v>
          </cell>
          <cell r="U436">
            <v>44703</v>
          </cell>
          <cell r="V436" t="str">
            <v>㈱須賀川東部鏡石</v>
          </cell>
          <cell r="W436"/>
          <cell r="X436"/>
        </row>
        <row r="437">
          <cell r="A437">
            <v>3659719</v>
          </cell>
          <cell r="B437" t="str">
            <v>福島コーティング</v>
          </cell>
          <cell r="C437" t="str">
            <v>プロセス材１課</v>
          </cell>
          <cell r="D437" t="str">
            <v>ダミー担当者</v>
          </cell>
          <cell r="E437" t="str">
            <v>リンテック㈱</v>
          </cell>
          <cell r="F437">
            <v>3</v>
          </cell>
          <cell r="G437" t="str">
            <v>S</v>
          </cell>
          <cell r="H437" t="str">
            <v>N</v>
          </cell>
          <cell r="I437" t="str">
            <v>CLB</v>
          </cell>
          <cell r="J437"/>
          <cell r="K437" t="str">
            <v>E20V</v>
          </cell>
          <cell r="L437">
            <v>50</v>
          </cell>
          <cell r="M437" t="str">
            <v>ルミラー　Ｅ－２０　Ｖ</v>
          </cell>
          <cell r="N437">
            <v>1002</v>
          </cell>
          <cell r="O437">
            <v>1000</v>
          </cell>
          <cell r="P437">
            <v>4000</v>
          </cell>
          <cell r="Q437">
            <v>2</v>
          </cell>
          <cell r="R437">
            <v>6</v>
          </cell>
          <cell r="S437" t="str">
            <v>本</v>
          </cell>
          <cell r="T437">
            <v>44672</v>
          </cell>
          <cell r="U437">
            <v>44703</v>
          </cell>
          <cell r="V437" t="str">
            <v>㈱須賀川東部鏡石</v>
          </cell>
          <cell r="W437"/>
          <cell r="X437"/>
        </row>
        <row r="438">
          <cell r="A438">
            <v>3659720</v>
          </cell>
          <cell r="B438" t="str">
            <v>福島コーティング</v>
          </cell>
          <cell r="C438" t="str">
            <v>プロセス材１課</v>
          </cell>
          <cell r="D438" t="str">
            <v>ダミー担当者</v>
          </cell>
          <cell r="E438" t="str">
            <v>リンテック㈱</v>
          </cell>
          <cell r="F438">
            <v>3</v>
          </cell>
          <cell r="G438" t="str">
            <v>S</v>
          </cell>
          <cell r="H438" t="str">
            <v>N</v>
          </cell>
          <cell r="I438" t="str">
            <v>CLB</v>
          </cell>
          <cell r="J438"/>
          <cell r="K438" t="str">
            <v>E20V</v>
          </cell>
          <cell r="L438">
            <v>75</v>
          </cell>
          <cell r="M438" t="str">
            <v>ルミラー　Ｅ－２０　Ｖ</v>
          </cell>
          <cell r="N438">
            <v>1002</v>
          </cell>
          <cell r="O438">
            <v>1000</v>
          </cell>
          <cell r="P438">
            <v>3000</v>
          </cell>
          <cell r="Q438">
            <v>2</v>
          </cell>
          <cell r="R438">
            <v>5</v>
          </cell>
          <cell r="S438" t="str">
            <v>本</v>
          </cell>
          <cell r="T438">
            <v>44672</v>
          </cell>
          <cell r="U438">
            <v>44703</v>
          </cell>
          <cell r="V438" t="str">
            <v>㈱須賀川東部鏡石</v>
          </cell>
          <cell r="W438"/>
          <cell r="X438"/>
        </row>
        <row r="439">
          <cell r="A439">
            <v>3659752</v>
          </cell>
          <cell r="B439" t="str">
            <v>機能Ｆ　受託福島原価</v>
          </cell>
          <cell r="C439" t="str">
            <v>プロセス材２課</v>
          </cell>
          <cell r="D439" t="str">
            <v>ダミー担当者</v>
          </cell>
          <cell r="E439" t="str">
            <v>住友化学　原料部</v>
          </cell>
          <cell r="F439">
            <v>3</v>
          </cell>
          <cell r="G439" t="str">
            <v>T</v>
          </cell>
          <cell r="H439" t="str">
            <v>Y</v>
          </cell>
          <cell r="I439" t="str">
            <v>JTC</v>
          </cell>
          <cell r="J439"/>
          <cell r="K439" t="str">
            <v>STHCE</v>
          </cell>
          <cell r="L439">
            <v>38</v>
          </cell>
          <cell r="M439" t="str">
            <v>ＴＲ－ＰＲＨＣ＝ＨＣＰＥＴ－ＴＡ２０－Ｅ</v>
          </cell>
          <cell r="N439">
            <v>715</v>
          </cell>
          <cell r="O439">
            <v>715</v>
          </cell>
          <cell r="P439">
            <v>3920</v>
          </cell>
          <cell r="Q439">
            <v>2</v>
          </cell>
          <cell r="R439">
            <v>6</v>
          </cell>
          <cell r="S439" t="str">
            <v>本</v>
          </cell>
          <cell r="T439">
            <v>44676</v>
          </cell>
          <cell r="U439">
            <v>44704</v>
          </cell>
          <cell r="V439" t="str">
            <v>㈱須賀川東部鏡石</v>
          </cell>
          <cell r="W439"/>
          <cell r="X439"/>
        </row>
        <row r="440">
          <cell r="A440">
            <v>3660260</v>
          </cell>
          <cell r="B440" t="str">
            <v>福島コーティング</v>
          </cell>
          <cell r="C440" t="str">
            <v>工材１部電材課</v>
          </cell>
          <cell r="D440" t="str">
            <v>ダミー担当者</v>
          </cell>
          <cell r="E440" t="str">
            <v>古河電気工業㈱</v>
          </cell>
          <cell r="F440">
            <v>3</v>
          </cell>
          <cell r="G440" t="str">
            <v>S</v>
          </cell>
          <cell r="H440" t="str">
            <v>N</v>
          </cell>
          <cell r="I440" t="str">
            <v>CERA</v>
          </cell>
          <cell r="J440"/>
          <cell r="K440" t="str">
            <v>WZE</v>
          </cell>
          <cell r="L440">
            <v>25</v>
          </cell>
          <cell r="M440" t="str">
            <v>セラピール　　　　　　　　　　　ＷＺ（Ｅ）</v>
          </cell>
          <cell r="N440">
            <v>1240</v>
          </cell>
          <cell r="O440">
            <v>1240</v>
          </cell>
          <cell r="P440">
            <v>6000</v>
          </cell>
          <cell r="Q440">
            <v>2</v>
          </cell>
          <cell r="R440">
            <v>26</v>
          </cell>
          <cell r="S440" t="str">
            <v>本</v>
          </cell>
          <cell r="T440">
            <v>44677</v>
          </cell>
          <cell r="U440">
            <v>44691</v>
          </cell>
          <cell r="V440" t="str">
            <v>㈱須賀川東部鏡石</v>
          </cell>
          <cell r="W440"/>
          <cell r="X440"/>
        </row>
        <row r="441">
          <cell r="A441">
            <v>3660483</v>
          </cell>
          <cell r="B441" t="str">
            <v>福島コーティング</v>
          </cell>
          <cell r="C441" t="str">
            <v>プロセス材２課</v>
          </cell>
          <cell r="D441" t="str">
            <v>ダミー担当者</v>
          </cell>
          <cell r="E441" t="str">
            <v>日榮新化㈱</v>
          </cell>
          <cell r="F441">
            <v>3</v>
          </cell>
          <cell r="G441" t="str">
            <v>S</v>
          </cell>
          <cell r="H441" t="str">
            <v>Y</v>
          </cell>
          <cell r="I441" t="str">
            <v>CERA</v>
          </cell>
          <cell r="J441"/>
          <cell r="K441" t="str">
            <v>BX9AS</v>
          </cell>
          <cell r="L441">
            <v>75</v>
          </cell>
          <cell r="M441" t="str">
            <v>セラピール　　　　　　　　　　　ＢＸ９Ａ（Ｓ）</v>
          </cell>
          <cell r="N441">
            <v>1120</v>
          </cell>
          <cell r="O441">
            <v>1115</v>
          </cell>
          <cell r="P441">
            <v>4000</v>
          </cell>
          <cell r="Q441">
            <v>1</v>
          </cell>
          <cell r="R441">
            <v>2</v>
          </cell>
          <cell r="S441" t="str">
            <v>本</v>
          </cell>
          <cell r="T441">
            <v>44683</v>
          </cell>
          <cell r="U441">
            <v>44712</v>
          </cell>
          <cell r="V441" t="str">
            <v>㈱須賀川東部鏡石</v>
          </cell>
          <cell r="W441"/>
          <cell r="X441"/>
        </row>
        <row r="442">
          <cell r="A442">
            <v>3660484</v>
          </cell>
          <cell r="B442" t="str">
            <v>機能材料ＩＭ福島開発</v>
          </cell>
          <cell r="C442" t="str">
            <v>大阪光学機能材課</v>
          </cell>
          <cell r="D442" t="str">
            <v>ダミー担当者</v>
          </cell>
          <cell r="E442" t="str">
            <v>日東電工㈱尾道事業所</v>
          </cell>
          <cell r="F442">
            <v>3</v>
          </cell>
          <cell r="G442" t="str">
            <v>U</v>
          </cell>
          <cell r="H442" t="str">
            <v>N</v>
          </cell>
          <cell r="I442" t="str">
            <v>TPIC</v>
          </cell>
          <cell r="J442"/>
          <cell r="K442" t="str">
            <v>TT405D</v>
          </cell>
          <cell r="L442">
            <v>50</v>
          </cell>
          <cell r="M442" t="str">
            <v>５０ＴＴ４０５Ｂ</v>
          </cell>
          <cell r="N442">
            <v>1094</v>
          </cell>
          <cell r="O442">
            <v>1094</v>
          </cell>
          <cell r="P442">
            <v>4000</v>
          </cell>
          <cell r="Q442">
            <v>2</v>
          </cell>
          <cell r="R442">
            <v>1</v>
          </cell>
          <cell r="S442" t="str">
            <v>本</v>
          </cell>
          <cell r="T442">
            <v>44683</v>
          </cell>
          <cell r="U442">
            <v>44712</v>
          </cell>
          <cell r="V442" t="str">
            <v>福島工場ＣＯ</v>
          </cell>
          <cell r="W442"/>
          <cell r="X442"/>
        </row>
        <row r="443">
          <cell r="A443">
            <v>3660484</v>
          </cell>
          <cell r="B443" t="str">
            <v>機能材料ＩＭ福島開発</v>
          </cell>
          <cell r="C443" t="str">
            <v>大阪光学機能材課</v>
          </cell>
          <cell r="D443" t="str">
            <v>ダミー担当者</v>
          </cell>
          <cell r="E443" t="str">
            <v>日東電工㈱尾道事業所</v>
          </cell>
          <cell r="F443">
            <v>3</v>
          </cell>
          <cell r="G443" t="str">
            <v>U</v>
          </cell>
          <cell r="H443" t="str">
            <v>N</v>
          </cell>
          <cell r="I443" t="str">
            <v>TPIC</v>
          </cell>
          <cell r="J443"/>
          <cell r="K443" t="str">
            <v>TT405D</v>
          </cell>
          <cell r="L443">
            <v>50</v>
          </cell>
          <cell r="M443" t="str">
            <v>５０ＴＴ４０５Ｂ</v>
          </cell>
          <cell r="N443">
            <v>1094</v>
          </cell>
          <cell r="O443">
            <v>1094</v>
          </cell>
          <cell r="P443">
            <v>4000</v>
          </cell>
          <cell r="Q443">
            <v>2</v>
          </cell>
          <cell r="R443">
            <v>1</v>
          </cell>
          <cell r="S443" t="str">
            <v>本</v>
          </cell>
          <cell r="T443">
            <v>44683</v>
          </cell>
          <cell r="U443">
            <v>44712</v>
          </cell>
          <cell r="V443" t="str">
            <v>福島工場ＣＯ</v>
          </cell>
          <cell r="W443"/>
          <cell r="X443"/>
        </row>
        <row r="444">
          <cell r="A444">
            <v>3660500</v>
          </cell>
          <cell r="B444" t="str">
            <v>情材福島開発</v>
          </cell>
          <cell r="C444" t="str">
            <v>工材１部電材課</v>
          </cell>
          <cell r="D444" t="str">
            <v>ダミー担当者</v>
          </cell>
          <cell r="E444"/>
          <cell r="F444">
            <v>3</v>
          </cell>
          <cell r="G444" t="str">
            <v>U</v>
          </cell>
          <cell r="H444" t="str">
            <v>N</v>
          </cell>
          <cell r="I444" t="str">
            <v>CERA</v>
          </cell>
          <cell r="J444"/>
          <cell r="K444" t="str">
            <v>BX8A14</v>
          </cell>
          <cell r="L444">
            <v>75</v>
          </cell>
          <cell r="M444" t="str">
            <v>セラピール　ＢＸ８Ａ（１４）</v>
          </cell>
          <cell r="N444">
            <v>1300</v>
          </cell>
          <cell r="O444">
            <v>1300</v>
          </cell>
          <cell r="P444">
            <v>4300</v>
          </cell>
          <cell r="Q444">
            <v>2</v>
          </cell>
          <cell r="R444">
            <v>3</v>
          </cell>
          <cell r="S444" t="str">
            <v>本</v>
          </cell>
          <cell r="T444">
            <v>44687</v>
          </cell>
          <cell r="U444">
            <v>44712</v>
          </cell>
          <cell r="V444" t="str">
            <v>福島工場ＣＯ</v>
          </cell>
          <cell r="W444"/>
          <cell r="X444"/>
        </row>
        <row r="445">
          <cell r="A445">
            <v>3660501</v>
          </cell>
          <cell r="B445" t="str">
            <v>情材福島開発</v>
          </cell>
          <cell r="C445" t="str">
            <v>工材３部工材２課</v>
          </cell>
          <cell r="D445" t="str">
            <v>ダミー担当者</v>
          </cell>
          <cell r="E445"/>
          <cell r="F445">
            <v>3</v>
          </cell>
          <cell r="G445" t="str">
            <v>U</v>
          </cell>
          <cell r="H445" t="str">
            <v>N</v>
          </cell>
          <cell r="I445" t="str">
            <v>CERA</v>
          </cell>
          <cell r="J445"/>
          <cell r="K445" t="str">
            <v>MDA14</v>
          </cell>
          <cell r="L445">
            <v>50</v>
          </cell>
          <cell r="M445" t="str">
            <v>セラピール　ＭＤＡ（１４）</v>
          </cell>
          <cell r="N445">
            <v>1090</v>
          </cell>
          <cell r="O445">
            <v>1090</v>
          </cell>
          <cell r="P445">
            <v>1000</v>
          </cell>
          <cell r="Q445">
            <v>1</v>
          </cell>
          <cell r="R445">
            <v>1</v>
          </cell>
          <cell r="S445" t="str">
            <v>本</v>
          </cell>
          <cell r="T445">
            <v>44687</v>
          </cell>
          <cell r="U445">
            <v>44712</v>
          </cell>
          <cell r="V445" t="str">
            <v>福島工場ＣＯ</v>
          </cell>
          <cell r="W445"/>
          <cell r="X445"/>
        </row>
        <row r="446">
          <cell r="A446">
            <v>3660501</v>
          </cell>
          <cell r="B446" t="str">
            <v>情材福島開発</v>
          </cell>
          <cell r="C446" t="str">
            <v>工材３部工材２課</v>
          </cell>
          <cell r="D446" t="str">
            <v>ダミー担当者</v>
          </cell>
          <cell r="E446"/>
          <cell r="F446">
            <v>3</v>
          </cell>
          <cell r="G446" t="str">
            <v>U</v>
          </cell>
          <cell r="H446" t="str">
            <v>N</v>
          </cell>
          <cell r="I446" t="str">
            <v>CERA</v>
          </cell>
          <cell r="J446"/>
          <cell r="K446" t="str">
            <v>MDA14</v>
          </cell>
          <cell r="L446">
            <v>50</v>
          </cell>
          <cell r="M446" t="str">
            <v>セラピール　ＭＤＡ（１４）</v>
          </cell>
          <cell r="N446">
            <v>1090</v>
          </cell>
          <cell r="O446">
            <v>1090</v>
          </cell>
          <cell r="P446">
            <v>2800</v>
          </cell>
          <cell r="Q446">
            <v>2</v>
          </cell>
          <cell r="R446">
            <v>1</v>
          </cell>
          <cell r="S446" t="str">
            <v>本</v>
          </cell>
          <cell r="T446">
            <v>44687</v>
          </cell>
          <cell r="U446">
            <v>44712</v>
          </cell>
          <cell r="V446" t="str">
            <v>福島工場ＣＯ</v>
          </cell>
          <cell r="W446"/>
          <cell r="X446"/>
        </row>
        <row r="447">
          <cell r="A447">
            <v>3660968</v>
          </cell>
          <cell r="B447" t="str">
            <v>情材福島原価</v>
          </cell>
          <cell r="C447" t="str">
            <v>プロセス材２課</v>
          </cell>
          <cell r="D447" t="str">
            <v>ダミー担当者</v>
          </cell>
          <cell r="E447" t="str">
            <v>日榮新化㈱</v>
          </cell>
          <cell r="F447">
            <v>3</v>
          </cell>
          <cell r="G447" t="str">
            <v>T</v>
          </cell>
          <cell r="H447" t="str">
            <v>N</v>
          </cell>
          <cell r="I447" t="str">
            <v>CERA</v>
          </cell>
          <cell r="J447"/>
          <cell r="K447" t="str">
            <v>WZS</v>
          </cell>
          <cell r="L447">
            <v>25</v>
          </cell>
          <cell r="M447" t="str">
            <v>セラピールＷＺ（Ｓ）</v>
          </cell>
          <cell r="N447">
            <v>1425</v>
          </cell>
          <cell r="O447">
            <v>1420</v>
          </cell>
          <cell r="P447">
            <v>12400</v>
          </cell>
          <cell r="Q447">
            <v>2</v>
          </cell>
          <cell r="R447">
            <v>12</v>
          </cell>
          <cell r="S447" t="str">
            <v>本</v>
          </cell>
          <cell r="T447">
            <v>44692</v>
          </cell>
          <cell r="U447">
            <v>44708</v>
          </cell>
          <cell r="V447" t="str">
            <v>㈱須賀川東部鏡石</v>
          </cell>
          <cell r="W447"/>
          <cell r="X447"/>
        </row>
        <row r="448">
          <cell r="A448">
            <v>3660969</v>
          </cell>
          <cell r="B448" t="str">
            <v>情材福島原価</v>
          </cell>
          <cell r="C448" t="str">
            <v>プロセス材２課</v>
          </cell>
          <cell r="D448" t="str">
            <v>ダミー担当者</v>
          </cell>
          <cell r="E448" t="str">
            <v>日榮新化㈱</v>
          </cell>
          <cell r="F448">
            <v>3</v>
          </cell>
          <cell r="G448" t="str">
            <v>T</v>
          </cell>
          <cell r="H448" t="str">
            <v>N</v>
          </cell>
          <cell r="I448" t="str">
            <v>CERA</v>
          </cell>
          <cell r="J448"/>
          <cell r="K448" t="str">
            <v>WZS</v>
          </cell>
          <cell r="L448">
            <v>25</v>
          </cell>
          <cell r="M448" t="str">
            <v>セラピールＷＺ（Ｓ）</v>
          </cell>
          <cell r="N448">
            <v>1425</v>
          </cell>
          <cell r="O448">
            <v>1150</v>
          </cell>
          <cell r="P448">
            <v>4200</v>
          </cell>
          <cell r="Q448">
            <v>2</v>
          </cell>
          <cell r="R448">
            <v>9</v>
          </cell>
          <cell r="S448" t="str">
            <v>本</v>
          </cell>
          <cell r="T448">
            <v>44692</v>
          </cell>
          <cell r="U448">
            <v>44708</v>
          </cell>
          <cell r="V448" t="str">
            <v>㈱須賀川東部鏡石</v>
          </cell>
          <cell r="W448"/>
          <cell r="X448"/>
        </row>
        <row r="449">
          <cell r="A449">
            <v>3661075</v>
          </cell>
          <cell r="B449" t="str">
            <v>情材福島開発</v>
          </cell>
          <cell r="C449" t="str">
            <v>工材１部電材課</v>
          </cell>
          <cell r="D449" t="str">
            <v>ダミー担当者</v>
          </cell>
          <cell r="E449"/>
          <cell r="F449">
            <v>3</v>
          </cell>
          <cell r="G449" t="str">
            <v>U</v>
          </cell>
          <cell r="H449" t="str">
            <v>N</v>
          </cell>
          <cell r="I449" t="str">
            <v>CERA</v>
          </cell>
          <cell r="J449"/>
          <cell r="K449" t="str">
            <v>JWZB</v>
          </cell>
          <cell r="L449">
            <v>38</v>
          </cell>
          <cell r="M449" t="str">
            <v>セラピール　ＪＷＺ（Ｂ）</v>
          </cell>
          <cell r="N449">
            <v>1585</v>
          </cell>
          <cell r="O449">
            <v>1585</v>
          </cell>
          <cell r="P449">
            <v>6000</v>
          </cell>
          <cell r="Q449">
            <v>2</v>
          </cell>
          <cell r="R449">
            <v>4</v>
          </cell>
          <cell r="S449" t="str">
            <v>本</v>
          </cell>
          <cell r="T449">
            <v>44693</v>
          </cell>
          <cell r="U449">
            <v>44712</v>
          </cell>
          <cell r="V449" t="str">
            <v>福島工場ＣＯ</v>
          </cell>
          <cell r="W449"/>
          <cell r="X449"/>
        </row>
        <row r="450">
          <cell r="A450">
            <v>3661076</v>
          </cell>
          <cell r="B450" t="str">
            <v>情材福島開発</v>
          </cell>
          <cell r="C450" t="str">
            <v>工材１部電材課</v>
          </cell>
          <cell r="D450" t="str">
            <v>ダミー担当者</v>
          </cell>
          <cell r="E450"/>
          <cell r="F450">
            <v>3</v>
          </cell>
          <cell r="G450" t="str">
            <v>U</v>
          </cell>
          <cell r="H450" t="str">
            <v>N</v>
          </cell>
          <cell r="I450" t="str">
            <v>CERA</v>
          </cell>
          <cell r="J450"/>
          <cell r="K450" t="str">
            <v>JWZB</v>
          </cell>
          <cell r="L450">
            <v>38</v>
          </cell>
          <cell r="M450" t="str">
            <v>セラピール　ＪＷＺ（Ｂ）</v>
          </cell>
          <cell r="N450">
            <v>1585</v>
          </cell>
          <cell r="O450">
            <v>1585</v>
          </cell>
          <cell r="P450">
            <v>5800</v>
          </cell>
          <cell r="Q450">
            <v>2</v>
          </cell>
          <cell r="R450">
            <v>1</v>
          </cell>
          <cell r="S450" t="str">
            <v>本</v>
          </cell>
          <cell r="T450">
            <v>44693</v>
          </cell>
          <cell r="U450">
            <v>44712</v>
          </cell>
          <cell r="V450" t="str">
            <v>福島工場ＣＯ</v>
          </cell>
          <cell r="W450"/>
          <cell r="X450"/>
        </row>
        <row r="451">
          <cell r="A451">
            <v>3661078</v>
          </cell>
          <cell r="B451" t="str">
            <v>情材福島開発</v>
          </cell>
          <cell r="C451" t="str">
            <v>工材１部電材課</v>
          </cell>
          <cell r="D451" t="str">
            <v>ダミー担当者</v>
          </cell>
          <cell r="E451"/>
          <cell r="F451">
            <v>3</v>
          </cell>
          <cell r="G451" t="str">
            <v>U</v>
          </cell>
          <cell r="H451" t="str">
            <v>Y</v>
          </cell>
          <cell r="I451" t="str">
            <v>CERANS</v>
          </cell>
          <cell r="J451"/>
          <cell r="K451">
            <v>27114</v>
          </cell>
          <cell r="L451">
            <v>75</v>
          </cell>
          <cell r="M451" t="str">
            <v>ＣＥＲＡＰＥＥＬ　ＰＪ２７１（１４）</v>
          </cell>
          <cell r="N451">
            <v>1300</v>
          </cell>
          <cell r="O451">
            <v>1300</v>
          </cell>
          <cell r="P451">
            <v>3900</v>
          </cell>
          <cell r="Q451">
            <v>2</v>
          </cell>
          <cell r="R451">
            <v>1</v>
          </cell>
          <cell r="S451" t="str">
            <v>本</v>
          </cell>
          <cell r="T451">
            <v>44693</v>
          </cell>
          <cell r="U451">
            <v>44712</v>
          </cell>
          <cell r="V451" t="str">
            <v>福島工場ＣＯ</v>
          </cell>
          <cell r="W451"/>
          <cell r="X451"/>
        </row>
        <row r="452">
          <cell r="A452">
            <v>3661091</v>
          </cell>
          <cell r="B452" t="str">
            <v>情材福島開発</v>
          </cell>
          <cell r="C452" t="str">
            <v>工材１部電材課</v>
          </cell>
          <cell r="D452" t="str">
            <v>ダミー担当者</v>
          </cell>
          <cell r="E452"/>
          <cell r="F452">
            <v>3</v>
          </cell>
          <cell r="G452" t="str">
            <v>U</v>
          </cell>
          <cell r="H452" t="str">
            <v>Y</v>
          </cell>
          <cell r="I452" t="str">
            <v>CERANS</v>
          </cell>
          <cell r="J452"/>
          <cell r="K452">
            <v>27114</v>
          </cell>
          <cell r="L452">
            <v>25</v>
          </cell>
          <cell r="M452" t="str">
            <v>ＣＥＲＡＰＥＥＬ　ＰＪ２７１（１４）</v>
          </cell>
          <cell r="N452">
            <v>1600</v>
          </cell>
          <cell r="O452">
            <v>1600</v>
          </cell>
          <cell r="P452">
            <v>6000</v>
          </cell>
          <cell r="Q452">
            <v>2</v>
          </cell>
          <cell r="R452">
            <v>2</v>
          </cell>
          <cell r="S452" t="str">
            <v>本</v>
          </cell>
          <cell r="T452">
            <v>44693</v>
          </cell>
          <cell r="U452">
            <v>44712</v>
          </cell>
          <cell r="V452" t="str">
            <v>福島工場ＣＯ</v>
          </cell>
          <cell r="W452"/>
          <cell r="X452"/>
        </row>
        <row r="453">
          <cell r="A453">
            <v>3661144</v>
          </cell>
          <cell r="B453" t="str">
            <v>情材福島開発</v>
          </cell>
          <cell r="C453" t="str">
            <v>工材１部電材課</v>
          </cell>
          <cell r="D453" t="str">
            <v>ダミー担当者</v>
          </cell>
          <cell r="E453"/>
          <cell r="F453">
            <v>3</v>
          </cell>
          <cell r="G453" t="str">
            <v>U</v>
          </cell>
          <cell r="H453" t="str">
            <v>Y</v>
          </cell>
          <cell r="I453" t="str">
            <v>CERANS</v>
          </cell>
          <cell r="J453"/>
          <cell r="K453">
            <v>27118</v>
          </cell>
          <cell r="L453">
            <v>75</v>
          </cell>
          <cell r="M453" t="str">
            <v>ＣＥＲＡＰＥＥＬ　ＰＪ２７１（１８）</v>
          </cell>
          <cell r="N453">
            <v>1160</v>
          </cell>
          <cell r="O453">
            <v>1160</v>
          </cell>
          <cell r="P453">
            <v>2000</v>
          </cell>
          <cell r="Q453">
            <v>2</v>
          </cell>
          <cell r="R453">
            <v>2</v>
          </cell>
          <cell r="S453" t="str">
            <v>本</v>
          </cell>
          <cell r="T453">
            <v>44694</v>
          </cell>
          <cell r="U453">
            <v>44712</v>
          </cell>
          <cell r="V453" t="str">
            <v>福島工場ＣＯ</v>
          </cell>
          <cell r="W453"/>
          <cell r="X453"/>
        </row>
        <row r="454">
          <cell r="A454">
            <v>3661155</v>
          </cell>
          <cell r="B454" t="str">
            <v>福島コーティング</v>
          </cell>
          <cell r="C454" t="str">
            <v>光学機能材１課</v>
          </cell>
          <cell r="D454" t="str">
            <v>ダミー担当者</v>
          </cell>
          <cell r="E454" t="str">
            <v>パナック㈱亀山工場</v>
          </cell>
          <cell r="F454">
            <v>3</v>
          </cell>
          <cell r="G454" t="str">
            <v>S</v>
          </cell>
          <cell r="H454" t="str">
            <v>Y</v>
          </cell>
          <cell r="I454" t="str">
            <v>TTP</v>
          </cell>
          <cell r="J454"/>
          <cell r="K454" t="str">
            <v>LC1000</v>
          </cell>
          <cell r="L454">
            <v>125</v>
          </cell>
          <cell r="M454" t="str">
            <v>タフトップ　ＬＣ１０００</v>
          </cell>
          <cell r="N454">
            <v>1320</v>
          </cell>
          <cell r="O454">
            <v>1320</v>
          </cell>
          <cell r="P454">
            <v>1500</v>
          </cell>
          <cell r="Q454">
            <v>2</v>
          </cell>
          <cell r="R454">
            <v>1</v>
          </cell>
          <cell r="S454" t="str">
            <v>本</v>
          </cell>
          <cell r="T454">
            <v>44694</v>
          </cell>
          <cell r="U454">
            <v>44722</v>
          </cell>
          <cell r="V454" t="str">
            <v>㈱須賀川東部鏡石</v>
          </cell>
          <cell r="W454"/>
          <cell r="X454"/>
        </row>
        <row r="455">
          <cell r="A455">
            <v>3661363</v>
          </cell>
          <cell r="B455" t="str">
            <v>情材福島開発</v>
          </cell>
          <cell r="C455" t="str">
            <v>工材１部電材課</v>
          </cell>
          <cell r="D455" t="str">
            <v>ダミー担当者</v>
          </cell>
          <cell r="E455"/>
          <cell r="F455">
            <v>3</v>
          </cell>
          <cell r="G455" t="str">
            <v>U</v>
          </cell>
          <cell r="H455" t="str">
            <v>Y</v>
          </cell>
          <cell r="I455" t="str">
            <v>CERANS</v>
          </cell>
          <cell r="J455"/>
          <cell r="K455">
            <v>27114</v>
          </cell>
          <cell r="L455">
            <v>75</v>
          </cell>
          <cell r="M455" t="str">
            <v>ＣＥＲＡＰＥＥＬ　ＰＪ２７１（１４）</v>
          </cell>
          <cell r="N455">
            <v>1300</v>
          </cell>
          <cell r="O455">
            <v>1300</v>
          </cell>
          <cell r="P455">
            <v>1000</v>
          </cell>
          <cell r="Q455">
            <v>2</v>
          </cell>
          <cell r="R455">
            <v>1</v>
          </cell>
          <cell r="S455" t="str">
            <v>本</v>
          </cell>
          <cell r="T455">
            <v>44698</v>
          </cell>
          <cell r="U455">
            <v>44712</v>
          </cell>
          <cell r="V455" t="str">
            <v>福島工場ＣＯ</v>
          </cell>
          <cell r="W455"/>
          <cell r="X455"/>
        </row>
        <row r="456">
          <cell r="A456">
            <v>3661363</v>
          </cell>
          <cell r="B456" t="str">
            <v>情材福島開発</v>
          </cell>
          <cell r="C456" t="str">
            <v>工材１部電材課</v>
          </cell>
          <cell r="D456" t="str">
            <v>ダミー担当者</v>
          </cell>
          <cell r="E456"/>
          <cell r="F456">
            <v>3</v>
          </cell>
          <cell r="G456" t="str">
            <v>U</v>
          </cell>
          <cell r="H456" t="str">
            <v>Y</v>
          </cell>
          <cell r="I456" t="str">
            <v>CERANS</v>
          </cell>
          <cell r="J456"/>
          <cell r="K456">
            <v>27114</v>
          </cell>
          <cell r="L456">
            <v>75</v>
          </cell>
          <cell r="M456" t="str">
            <v>ＣＥＲＡＰＥＥＬ　ＰＪ２７１（１４）</v>
          </cell>
          <cell r="N456">
            <v>1300</v>
          </cell>
          <cell r="O456">
            <v>1300</v>
          </cell>
          <cell r="P456">
            <v>2900</v>
          </cell>
          <cell r="Q456">
            <v>2</v>
          </cell>
          <cell r="R456">
            <v>1</v>
          </cell>
          <cell r="S456" t="str">
            <v>本</v>
          </cell>
          <cell r="T456">
            <v>44698</v>
          </cell>
          <cell r="U456">
            <v>44712</v>
          </cell>
          <cell r="V456" t="str">
            <v>福島工場ＣＯ</v>
          </cell>
          <cell r="W456"/>
          <cell r="X456"/>
        </row>
        <row r="457">
          <cell r="A457">
            <v>3661364</v>
          </cell>
          <cell r="B457" t="str">
            <v>情材福島開発</v>
          </cell>
          <cell r="C457" t="str">
            <v>工材１部電材課</v>
          </cell>
          <cell r="D457" t="str">
            <v>ダミー担当者</v>
          </cell>
          <cell r="E457"/>
          <cell r="F457">
            <v>3</v>
          </cell>
          <cell r="G457" t="str">
            <v>U</v>
          </cell>
          <cell r="H457" t="str">
            <v>N</v>
          </cell>
          <cell r="I457" t="str">
            <v>CERANS</v>
          </cell>
          <cell r="J457"/>
          <cell r="K457">
            <v>27118</v>
          </cell>
          <cell r="L457">
            <v>38</v>
          </cell>
          <cell r="M457" t="str">
            <v>ＣＥＲＡＰＥＥＬ　ＰＪ２７１（１８）</v>
          </cell>
          <cell r="N457">
            <v>1090</v>
          </cell>
          <cell r="O457">
            <v>1090</v>
          </cell>
          <cell r="P457">
            <v>3800</v>
          </cell>
          <cell r="Q457">
            <v>2</v>
          </cell>
          <cell r="R457">
            <v>1</v>
          </cell>
          <cell r="S457" t="str">
            <v>本</v>
          </cell>
          <cell r="T457">
            <v>44698</v>
          </cell>
          <cell r="U457">
            <v>44712</v>
          </cell>
          <cell r="V457" t="str">
            <v>福島工場ＣＯ</v>
          </cell>
          <cell r="W457"/>
          <cell r="X457"/>
        </row>
        <row r="458">
          <cell r="A458">
            <v>3661569</v>
          </cell>
          <cell r="B458" t="str">
            <v>情材福島開発</v>
          </cell>
          <cell r="C458" t="str">
            <v>工材１部大阪電材課</v>
          </cell>
          <cell r="D458" t="str">
            <v>ダミー担当者</v>
          </cell>
          <cell r="E458"/>
          <cell r="F458">
            <v>3</v>
          </cell>
          <cell r="G458" t="str">
            <v>U</v>
          </cell>
          <cell r="H458" t="str">
            <v>N</v>
          </cell>
          <cell r="I458" t="str">
            <v>CERA</v>
          </cell>
          <cell r="J458"/>
          <cell r="K458" t="str">
            <v>JWZB</v>
          </cell>
          <cell r="L458">
            <v>25</v>
          </cell>
          <cell r="M458" t="str">
            <v>セラピール　ＪＷＺ（Ｂ）</v>
          </cell>
          <cell r="N458">
            <v>1260</v>
          </cell>
          <cell r="O458">
            <v>1260</v>
          </cell>
          <cell r="P458">
            <v>2000</v>
          </cell>
          <cell r="Q458">
            <v>2</v>
          </cell>
          <cell r="R458">
            <v>1</v>
          </cell>
          <cell r="S458" t="str">
            <v>本</v>
          </cell>
          <cell r="T458">
            <v>44698</v>
          </cell>
          <cell r="U458">
            <v>44712</v>
          </cell>
          <cell r="V458" t="str">
            <v>福島工場ＣＯ</v>
          </cell>
          <cell r="W458"/>
          <cell r="X458"/>
        </row>
        <row r="459">
          <cell r="A459">
            <v>3661570</v>
          </cell>
          <cell r="B459" t="str">
            <v>情材福島開発</v>
          </cell>
          <cell r="C459" t="str">
            <v>工材１部大阪電材課</v>
          </cell>
          <cell r="D459" t="str">
            <v>ダミー担当者</v>
          </cell>
          <cell r="E459" t="str">
            <v>積水化学工業多賀工場</v>
          </cell>
          <cell r="F459">
            <v>3</v>
          </cell>
          <cell r="G459" t="str">
            <v>U</v>
          </cell>
          <cell r="H459" t="str">
            <v>N</v>
          </cell>
          <cell r="I459" t="str">
            <v>CERA</v>
          </cell>
          <cell r="J459"/>
          <cell r="K459" t="str">
            <v>WZS</v>
          </cell>
          <cell r="L459">
            <v>25</v>
          </cell>
          <cell r="M459" t="str">
            <v>セラピール　ＷＺ（Ｓ）</v>
          </cell>
          <cell r="N459">
            <v>1100</v>
          </cell>
          <cell r="O459">
            <v>1100</v>
          </cell>
          <cell r="P459">
            <v>12000</v>
          </cell>
          <cell r="Q459">
            <v>2</v>
          </cell>
          <cell r="R459">
            <v>1</v>
          </cell>
          <cell r="S459" t="str">
            <v>本</v>
          </cell>
          <cell r="T459">
            <v>44698</v>
          </cell>
          <cell r="U459">
            <v>44712</v>
          </cell>
          <cell r="V459" t="str">
            <v>福島工場ＣＯ</v>
          </cell>
          <cell r="W459"/>
          <cell r="X459"/>
        </row>
        <row r="460">
          <cell r="A460">
            <v>3661571</v>
          </cell>
          <cell r="B460" t="str">
            <v>情材福島開発</v>
          </cell>
          <cell r="C460" t="str">
            <v>工材１部電材課</v>
          </cell>
          <cell r="D460" t="str">
            <v>ダミー担当者</v>
          </cell>
          <cell r="E460"/>
          <cell r="F460">
            <v>3</v>
          </cell>
          <cell r="G460" t="str">
            <v>U</v>
          </cell>
          <cell r="H460" t="str">
            <v>N</v>
          </cell>
          <cell r="I460" t="str">
            <v>CERA</v>
          </cell>
          <cell r="J460"/>
          <cell r="K460" t="str">
            <v>WZ26</v>
          </cell>
          <cell r="L460">
            <v>38</v>
          </cell>
          <cell r="M460" t="str">
            <v>セラピール　ＷＺ（２６）</v>
          </cell>
          <cell r="N460">
            <v>1000</v>
          </cell>
          <cell r="O460">
            <v>1000</v>
          </cell>
          <cell r="P460">
            <v>6000</v>
          </cell>
          <cell r="Q460">
            <v>2</v>
          </cell>
          <cell r="R460">
            <v>4</v>
          </cell>
          <cell r="S460" t="str">
            <v>本</v>
          </cell>
          <cell r="T460">
            <v>44698</v>
          </cell>
          <cell r="U460">
            <v>44712</v>
          </cell>
          <cell r="V460" t="str">
            <v>福島工場ＣＯ</v>
          </cell>
          <cell r="W460"/>
          <cell r="X460"/>
        </row>
        <row r="461">
          <cell r="A461">
            <v>3661572</v>
          </cell>
          <cell r="B461" t="str">
            <v>情材福島開発</v>
          </cell>
          <cell r="C461" t="str">
            <v>工材１部電材課</v>
          </cell>
          <cell r="D461" t="str">
            <v>ダミー担当者</v>
          </cell>
          <cell r="E461"/>
          <cell r="F461">
            <v>3</v>
          </cell>
          <cell r="G461" t="str">
            <v>U</v>
          </cell>
          <cell r="H461" t="str">
            <v>N</v>
          </cell>
          <cell r="I461" t="str">
            <v>CERA</v>
          </cell>
          <cell r="J461"/>
          <cell r="K461" t="str">
            <v>WZ26</v>
          </cell>
          <cell r="L461">
            <v>38</v>
          </cell>
          <cell r="M461" t="str">
            <v>セラピール　ＷＺ（２６）</v>
          </cell>
          <cell r="N461">
            <v>1000</v>
          </cell>
          <cell r="O461">
            <v>1000</v>
          </cell>
          <cell r="P461">
            <v>6000</v>
          </cell>
          <cell r="Q461">
            <v>2</v>
          </cell>
          <cell r="R461">
            <v>10</v>
          </cell>
          <cell r="S461" t="str">
            <v>本</v>
          </cell>
          <cell r="T461">
            <v>44698</v>
          </cell>
          <cell r="U461">
            <v>44712</v>
          </cell>
          <cell r="V461" t="str">
            <v>福島工場ＣＯ</v>
          </cell>
          <cell r="W461"/>
          <cell r="X461"/>
        </row>
        <row r="462">
          <cell r="A462">
            <v>3662727</v>
          </cell>
          <cell r="B462" t="str">
            <v>機能Ｆ　受託福島原価</v>
          </cell>
          <cell r="C462" t="str">
            <v>プロセス材２課</v>
          </cell>
          <cell r="D462" t="str">
            <v>ダミー担当者</v>
          </cell>
          <cell r="E462" t="str">
            <v>住友化学　原料部</v>
          </cell>
          <cell r="F462" t="str">
            <v>33S</v>
          </cell>
          <cell r="G462" t="str">
            <v>T</v>
          </cell>
          <cell r="H462" t="str">
            <v>Y</v>
          </cell>
          <cell r="I462" t="str">
            <v>JTC</v>
          </cell>
          <cell r="J462"/>
          <cell r="K462" t="str">
            <v>STHCE</v>
          </cell>
          <cell r="L462">
            <v>38</v>
          </cell>
          <cell r="M462" t="str">
            <v>ＴＲ－ＰＲＨＣ＝ＨＣＰＥＴ－ＴＡ２０－Ｅ</v>
          </cell>
          <cell r="N462">
            <v>715</v>
          </cell>
          <cell r="O462">
            <v>715</v>
          </cell>
          <cell r="P462">
            <v>3920</v>
          </cell>
          <cell r="Q462">
            <v>2</v>
          </cell>
          <cell r="R462">
            <v>6</v>
          </cell>
          <cell r="S462" t="str">
            <v>本</v>
          </cell>
          <cell r="T462">
            <v>44704</v>
          </cell>
          <cell r="U462">
            <v>44704</v>
          </cell>
          <cell r="V462" t="str">
            <v>㈱須賀川東部鏡石</v>
          </cell>
          <cell r="W462"/>
          <cell r="X462"/>
        </row>
        <row r="463">
          <cell r="A463">
            <v>3662731</v>
          </cell>
          <cell r="B463" t="str">
            <v>情材福島原価</v>
          </cell>
          <cell r="C463" t="str">
            <v>工材１部大阪電材課</v>
          </cell>
          <cell r="D463" t="str">
            <v>ダミー担当者</v>
          </cell>
          <cell r="E463"/>
          <cell r="F463">
            <v>3</v>
          </cell>
          <cell r="G463" t="str">
            <v>T</v>
          </cell>
          <cell r="H463" t="str">
            <v>N</v>
          </cell>
          <cell r="I463" t="str">
            <v>CERA</v>
          </cell>
          <cell r="J463"/>
          <cell r="K463" t="str">
            <v>WZS</v>
          </cell>
          <cell r="L463">
            <v>25</v>
          </cell>
          <cell r="M463" t="str">
            <v>セラピールＷＺ（Ｓ）</v>
          </cell>
          <cell r="N463">
            <v>1100</v>
          </cell>
          <cell r="O463">
            <v>1100</v>
          </cell>
          <cell r="P463">
            <v>12000</v>
          </cell>
          <cell r="Q463">
            <v>2</v>
          </cell>
          <cell r="R463">
            <v>34</v>
          </cell>
          <cell r="S463" t="str">
            <v>本</v>
          </cell>
          <cell r="T463">
            <v>44704</v>
          </cell>
          <cell r="U463">
            <v>44722</v>
          </cell>
          <cell r="V463" t="str">
            <v>㈱須賀川東部鏡石</v>
          </cell>
          <cell r="W463"/>
          <cell r="X463"/>
        </row>
        <row r="464">
          <cell r="A464">
            <v>3662732</v>
          </cell>
          <cell r="B464" t="str">
            <v>情材福島原価</v>
          </cell>
          <cell r="C464" t="str">
            <v>プロセス材２課</v>
          </cell>
          <cell r="D464" t="str">
            <v>ダミー担当者</v>
          </cell>
          <cell r="E464" t="str">
            <v>日榮新化㈱</v>
          </cell>
          <cell r="F464">
            <v>3</v>
          </cell>
          <cell r="G464" t="str">
            <v>T</v>
          </cell>
          <cell r="H464" t="str">
            <v>N</v>
          </cell>
          <cell r="I464" t="str">
            <v>CERA</v>
          </cell>
          <cell r="J464"/>
          <cell r="K464" t="str">
            <v>WZS</v>
          </cell>
          <cell r="L464">
            <v>25</v>
          </cell>
          <cell r="M464" t="str">
            <v>セラピールＷＺ（Ｓ）</v>
          </cell>
          <cell r="N464">
            <v>1425</v>
          </cell>
          <cell r="O464">
            <v>1420</v>
          </cell>
          <cell r="P464">
            <v>12400</v>
          </cell>
          <cell r="Q464">
            <v>2</v>
          </cell>
          <cell r="R464">
            <v>10</v>
          </cell>
          <cell r="S464" t="str">
            <v>本</v>
          </cell>
          <cell r="T464">
            <v>44704</v>
          </cell>
          <cell r="U464">
            <v>44722</v>
          </cell>
          <cell r="V464" t="str">
            <v>㈱須賀川東部鏡石</v>
          </cell>
          <cell r="W464"/>
          <cell r="X464"/>
        </row>
        <row r="465">
          <cell r="A465">
            <v>3662733</v>
          </cell>
          <cell r="B465" t="str">
            <v>福島コーティング</v>
          </cell>
          <cell r="C465" t="str">
            <v>プロセス材１課</v>
          </cell>
          <cell r="D465" t="str">
            <v>ダミー担当者</v>
          </cell>
          <cell r="E465" t="str">
            <v>リンテック㈱</v>
          </cell>
          <cell r="F465">
            <v>3</v>
          </cell>
          <cell r="G465" t="str">
            <v>S</v>
          </cell>
          <cell r="H465" t="str">
            <v>N</v>
          </cell>
          <cell r="I465" t="str">
            <v>CERA</v>
          </cell>
          <cell r="J465"/>
          <cell r="K465" t="str">
            <v>WZS</v>
          </cell>
          <cell r="L465">
            <v>38</v>
          </cell>
          <cell r="M465" t="str">
            <v>セラピール　　　　　　　　　　　ＷＺ（Ｓ）</v>
          </cell>
          <cell r="N465">
            <v>1005</v>
          </cell>
          <cell r="O465">
            <v>1000</v>
          </cell>
          <cell r="P465">
            <v>8000</v>
          </cell>
          <cell r="Q465">
            <v>2</v>
          </cell>
          <cell r="R465">
            <v>10</v>
          </cell>
          <cell r="S465" t="str">
            <v>本</v>
          </cell>
          <cell r="T465">
            <v>44704</v>
          </cell>
          <cell r="U465">
            <v>44742</v>
          </cell>
          <cell r="V465" t="str">
            <v>㈱須賀川東部鏡石</v>
          </cell>
          <cell r="W465"/>
          <cell r="X465"/>
        </row>
        <row r="466">
          <cell r="A466">
            <v>3662734</v>
          </cell>
          <cell r="B466" t="str">
            <v>福島コーティング</v>
          </cell>
          <cell r="C466" t="str">
            <v>工材１部電材課</v>
          </cell>
          <cell r="D466" t="str">
            <v>ダミー担当者</v>
          </cell>
          <cell r="E466" t="str">
            <v>３Ｍジャパン</v>
          </cell>
          <cell r="F466" t="str">
            <v>3R</v>
          </cell>
          <cell r="G466" t="str">
            <v>S</v>
          </cell>
          <cell r="H466" t="str">
            <v>N</v>
          </cell>
          <cell r="I466" t="str">
            <v>CERA</v>
          </cell>
          <cell r="J466"/>
          <cell r="K466" t="str">
            <v>MFARX</v>
          </cell>
          <cell r="L466">
            <v>38</v>
          </cell>
          <cell r="M466" t="str">
            <v>セラピール　ＭＦＡ（ＲＸ）</v>
          </cell>
          <cell r="N466">
            <v>1265</v>
          </cell>
          <cell r="O466">
            <v>1265</v>
          </cell>
          <cell r="P466">
            <v>4000</v>
          </cell>
          <cell r="Q466">
            <v>2</v>
          </cell>
          <cell r="R466">
            <v>9</v>
          </cell>
          <cell r="S466" t="str">
            <v>本</v>
          </cell>
          <cell r="T466">
            <v>44704</v>
          </cell>
          <cell r="U466">
            <v>44719</v>
          </cell>
          <cell r="V466" t="str">
            <v>㈱須賀川東部鏡石</v>
          </cell>
          <cell r="W466"/>
          <cell r="X466"/>
        </row>
        <row r="467">
          <cell r="A467">
            <v>3662735</v>
          </cell>
          <cell r="B467" t="str">
            <v>福島コーティング</v>
          </cell>
          <cell r="C467" t="str">
            <v>工材１部電材課</v>
          </cell>
          <cell r="D467" t="str">
            <v>ダミー担当者</v>
          </cell>
          <cell r="E467" t="str">
            <v>真田ＫＯＡ㈱</v>
          </cell>
          <cell r="F467">
            <v>3</v>
          </cell>
          <cell r="G467" t="str">
            <v>S</v>
          </cell>
          <cell r="H467" t="str">
            <v>N</v>
          </cell>
          <cell r="I467" t="str">
            <v>CERA</v>
          </cell>
          <cell r="J467"/>
          <cell r="K467" t="str">
            <v>MFAS</v>
          </cell>
          <cell r="L467">
            <v>75</v>
          </cell>
          <cell r="M467" t="str">
            <v>セラピール　　　　　　　　　　　ＭＦＡ（Ｓ）</v>
          </cell>
          <cell r="N467">
            <v>220</v>
          </cell>
          <cell r="O467">
            <v>220</v>
          </cell>
          <cell r="P467">
            <v>1200</v>
          </cell>
          <cell r="Q467">
            <v>1</v>
          </cell>
          <cell r="R467">
            <v>30</v>
          </cell>
          <cell r="S467" t="str">
            <v>本</v>
          </cell>
          <cell r="T467">
            <v>44704</v>
          </cell>
          <cell r="U467">
            <v>44719</v>
          </cell>
          <cell r="V467" t="str">
            <v>㈱須賀川東部鏡石</v>
          </cell>
          <cell r="W467"/>
          <cell r="X467"/>
        </row>
        <row r="468">
          <cell r="A468">
            <v>3662736</v>
          </cell>
          <cell r="B468" t="str">
            <v>福島コーティング</v>
          </cell>
          <cell r="C468" t="str">
            <v>工材１部大阪電材課</v>
          </cell>
          <cell r="D468" t="str">
            <v>ダミー担当者</v>
          </cell>
          <cell r="E468" t="str">
            <v>ＮＧＫセラミック</v>
          </cell>
          <cell r="F468" t="str">
            <v>3H</v>
          </cell>
          <cell r="G468" t="str">
            <v>S</v>
          </cell>
          <cell r="H468" t="str">
            <v>N</v>
          </cell>
          <cell r="I468" t="str">
            <v>CERA</v>
          </cell>
          <cell r="J468"/>
          <cell r="K468" t="str">
            <v>MFAS</v>
          </cell>
          <cell r="L468">
            <v>188</v>
          </cell>
          <cell r="M468" t="str">
            <v>セラピール　　　　　　　　　　　ＭＦＡ（Ｓ）</v>
          </cell>
          <cell r="N468">
            <v>360</v>
          </cell>
          <cell r="O468">
            <v>360</v>
          </cell>
          <cell r="P468">
            <v>250</v>
          </cell>
          <cell r="Q468">
            <v>2</v>
          </cell>
          <cell r="R468">
            <v>54</v>
          </cell>
          <cell r="S468" t="str">
            <v>本</v>
          </cell>
          <cell r="T468">
            <v>44704</v>
          </cell>
          <cell r="U468">
            <v>44719</v>
          </cell>
          <cell r="V468" t="str">
            <v>㈱須賀川東部鏡石</v>
          </cell>
          <cell r="W468"/>
          <cell r="X468"/>
        </row>
        <row r="469">
          <cell r="A469">
            <v>3662737</v>
          </cell>
          <cell r="B469" t="str">
            <v>福島コーティング</v>
          </cell>
          <cell r="C469" t="str">
            <v>工材１部大阪電材課</v>
          </cell>
          <cell r="D469" t="str">
            <v>ダミー担当者</v>
          </cell>
          <cell r="E469" t="str">
            <v>ＮＧＫセラミック</v>
          </cell>
          <cell r="F469">
            <v>3</v>
          </cell>
          <cell r="G469" t="str">
            <v>S</v>
          </cell>
          <cell r="H469" t="str">
            <v>N</v>
          </cell>
          <cell r="I469" t="str">
            <v>CERA</v>
          </cell>
          <cell r="J469"/>
          <cell r="K469" t="str">
            <v>MFAS</v>
          </cell>
          <cell r="L469">
            <v>188</v>
          </cell>
          <cell r="M469" t="str">
            <v>セラピール　　　　　　　　　　　ＭＦＡ（Ｓ）</v>
          </cell>
          <cell r="N469">
            <v>1230</v>
          </cell>
          <cell r="O469">
            <v>1220</v>
          </cell>
          <cell r="P469">
            <v>800</v>
          </cell>
          <cell r="Q469">
            <v>2</v>
          </cell>
          <cell r="R469">
            <v>14</v>
          </cell>
          <cell r="S469" t="str">
            <v>本</v>
          </cell>
          <cell r="T469">
            <v>44704</v>
          </cell>
          <cell r="U469">
            <v>44719</v>
          </cell>
          <cell r="V469" t="str">
            <v>㈱須賀川東部鏡石</v>
          </cell>
          <cell r="W469"/>
          <cell r="X469"/>
        </row>
        <row r="470">
          <cell r="A470">
            <v>3662738</v>
          </cell>
          <cell r="B470" t="str">
            <v>福島コーティング</v>
          </cell>
          <cell r="C470" t="str">
            <v>プロセス材２課</v>
          </cell>
          <cell r="D470" t="str">
            <v>ダミー担当者</v>
          </cell>
          <cell r="E470" t="str">
            <v>日榮新化㈱</v>
          </cell>
          <cell r="F470">
            <v>3</v>
          </cell>
          <cell r="G470" t="str">
            <v>S</v>
          </cell>
          <cell r="H470" t="str">
            <v>N</v>
          </cell>
          <cell r="I470" t="str">
            <v>CERA</v>
          </cell>
          <cell r="J470"/>
          <cell r="K470" t="str">
            <v>MFAS</v>
          </cell>
          <cell r="L470">
            <v>75</v>
          </cell>
          <cell r="M470" t="str">
            <v>セラピール　　　　　　　　　　　ＭＦＡ（Ｓ）</v>
          </cell>
          <cell r="N470">
            <v>1045</v>
          </cell>
          <cell r="O470">
            <v>1040</v>
          </cell>
          <cell r="P470">
            <v>4000</v>
          </cell>
          <cell r="Q470">
            <v>2</v>
          </cell>
          <cell r="R470">
            <v>1</v>
          </cell>
          <cell r="S470" t="str">
            <v>本</v>
          </cell>
          <cell r="T470">
            <v>44704</v>
          </cell>
          <cell r="U470">
            <v>44719</v>
          </cell>
          <cell r="V470" t="str">
            <v>㈱須賀川東部鏡石</v>
          </cell>
          <cell r="W470"/>
          <cell r="X470"/>
        </row>
        <row r="471">
          <cell r="A471">
            <v>3662739</v>
          </cell>
          <cell r="B471" t="str">
            <v>福島コーティング</v>
          </cell>
          <cell r="C471" t="str">
            <v>プロセス材２課</v>
          </cell>
          <cell r="D471" t="str">
            <v>ダミー担当者</v>
          </cell>
          <cell r="E471" t="str">
            <v>京セラ鹿児島川内工場</v>
          </cell>
          <cell r="F471">
            <v>331</v>
          </cell>
          <cell r="G471" t="str">
            <v>S</v>
          </cell>
          <cell r="H471" t="str">
            <v>N</v>
          </cell>
          <cell r="I471" t="str">
            <v>CERA</v>
          </cell>
          <cell r="J471"/>
          <cell r="K471" t="str">
            <v>MFAS</v>
          </cell>
          <cell r="L471">
            <v>100</v>
          </cell>
          <cell r="M471" t="str">
            <v>セラピール　　　　　　　　　　　ＭＦＡ（Ｓ）</v>
          </cell>
          <cell r="N471">
            <v>450</v>
          </cell>
          <cell r="O471">
            <v>450</v>
          </cell>
          <cell r="P471">
            <v>800</v>
          </cell>
          <cell r="Q471">
            <v>2</v>
          </cell>
          <cell r="R471">
            <v>18</v>
          </cell>
          <cell r="S471" t="str">
            <v>本</v>
          </cell>
          <cell r="T471">
            <v>44704</v>
          </cell>
          <cell r="U471">
            <v>44719</v>
          </cell>
          <cell r="V471" t="str">
            <v>㈱須賀川東部鏡石</v>
          </cell>
          <cell r="W471"/>
          <cell r="X471"/>
        </row>
        <row r="472">
          <cell r="A472">
            <v>3662740</v>
          </cell>
          <cell r="B472" t="str">
            <v>福島コーティング</v>
          </cell>
          <cell r="C472" t="str">
            <v>プロセス材２課</v>
          </cell>
          <cell r="D472" t="str">
            <v>ダミー担当者</v>
          </cell>
          <cell r="E472" t="str">
            <v>京セラ鹿児島川内工場</v>
          </cell>
          <cell r="F472">
            <v>331</v>
          </cell>
          <cell r="G472" t="str">
            <v>S</v>
          </cell>
          <cell r="H472" t="str">
            <v>N</v>
          </cell>
          <cell r="I472" t="str">
            <v>CERA</v>
          </cell>
          <cell r="J472"/>
          <cell r="K472" t="str">
            <v>MFAS</v>
          </cell>
          <cell r="L472">
            <v>100</v>
          </cell>
          <cell r="M472" t="str">
            <v>セラピール　　　　　　　　　　　ＭＦＡ（Ｓ）</v>
          </cell>
          <cell r="N472">
            <v>450</v>
          </cell>
          <cell r="O472">
            <v>450</v>
          </cell>
          <cell r="P472">
            <v>800</v>
          </cell>
          <cell r="Q472">
            <v>2</v>
          </cell>
          <cell r="R472">
            <v>24</v>
          </cell>
          <cell r="S472" t="str">
            <v>本</v>
          </cell>
          <cell r="T472">
            <v>44704</v>
          </cell>
          <cell r="U472">
            <v>44719</v>
          </cell>
          <cell r="V472" t="str">
            <v>㈱須賀川東部鏡石</v>
          </cell>
          <cell r="W472"/>
          <cell r="X472"/>
        </row>
        <row r="473">
          <cell r="A473">
            <v>3662741</v>
          </cell>
          <cell r="B473" t="str">
            <v>福島コーティング</v>
          </cell>
          <cell r="C473" t="str">
            <v>大阪光学機能材課</v>
          </cell>
          <cell r="D473" t="str">
            <v>ダミー担当者</v>
          </cell>
          <cell r="E473" t="str">
            <v>日東電工㈱尾道事業所</v>
          </cell>
          <cell r="F473">
            <v>3321</v>
          </cell>
          <cell r="G473" t="str">
            <v>S</v>
          </cell>
          <cell r="H473" t="str">
            <v>N</v>
          </cell>
          <cell r="I473" t="str">
            <v>CERA</v>
          </cell>
          <cell r="J473"/>
          <cell r="K473" t="str">
            <v>MDACPFL</v>
          </cell>
          <cell r="L473">
            <v>38</v>
          </cell>
          <cell r="M473" t="str">
            <v>Ｋ　セラピールＭＤＡ（ＣＰＲＦ）Ｌ</v>
          </cell>
          <cell r="N473">
            <v>1336</v>
          </cell>
          <cell r="O473">
            <v>1325</v>
          </cell>
          <cell r="P473">
            <v>12000</v>
          </cell>
          <cell r="Q473">
            <v>2</v>
          </cell>
          <cell r="R473">
            <v>11</v>
          </cell>
          <cell r="S473" t="str">
            <v>本</v>
          </cell>
          <cell r="T473">
            <v>44704</v>
          </cell>
          <cell r="U473">
            <v>44722</v>
          </cell>
          <cell r="V473" t="str">
            <v>㈱須賀川東部鏡石</v>
          </cell>
          <cell r="W473"/>
          <cell r="X473"/>
        </row>
        <row r="474">
          <cell r="A474">
            <v>3662742</v>
          </cell>
          <cell r="B474" t="str">
            <v>福島コーティング</v>
          </cell>
          <cell r="C474" t="str">
            <v>大阪光学機能材課</v>
          </cell>
          <cell r="D474" t="str">
            <v>ダミー担当者</v>
          </cell>
          <cell r="E474" t="str">
            <v>日東電工㈱尾道事業所</v>
          </cell>
          <cell r="F474">
            <v>3321</v>
          </cell>
          <cell r="G474" t="str">
            <v>S</v>
          </cell>
          <cell r="H474" t="str">
            <v>N</v>
          </cell>
          <cell r="I474" t="str">
            <v>CERA</v>
          </cell>
          <cell r="J474"/>
          <cell r="K474" t="str">
            <v>MDAPFL</v>
          </cell>
          <cell r="L474">
            <v>38</v>
          </cell>
          <cell r="M474" t="str">
            <v>Ｋ　セラピールＭＤＡ（ＰＲＦ）Ｌ</v>
          </cell>
          <cell r="N474">
            <v>1336</v>
          </cell>
          <cell r="O474">
            <v>1325</v>
          </cell>
          <cell r="P474">
            <v>12000</v>
          </cell>
          <cell r="Q474">
            <v>2</v>
          </cell>
          <cell r="R474">
            <v>12</v>
          </cell>
          <cell r="S474" t="str">
            <v>本</v>
          </cell>
          <cell r="T474">
            <v>44704</v>
          </cell>
          <cell r="U474">
            <v>44722</v>
          </cell>
          <cell r="V474" t="str">
            <v>㈱須賀川東部鏡石</v>
          </cell>
          <cell r="W474"/>
          <cell r="X474"/>
        </row>
        <row r="475">
          <cell r="A475">
            <v>3662743</v>
          </cell>
          <cell r="B475" t="str">
            <v>福島コーティング</v>
          </cell>
          <cell r="C475" t="str">
            <v>工材１部大阪電材課</v>
          </cell>
          <cell r="D475" t="str">
            <v>ダミー担当者</v>
          </cell>
          <cell r="E475" t="str">
            <v>日東電工㈱豊橋工場</v>
          </cell>
          <cell r="F475">
            <v>331</v>
          </cell>
          <cell r="G475" t="str">
            <v>S</v>
          </cell>
          <cell r="H475" t="str">
            <v>N</v>
          </cell>
          <cell r="I475" t="str">
            <v>CERA</v>
          </cell>
          <cell r="J475"/>
          <cell r="K475" t="str">
            <v>MD(A)R</v>
          </cell>
          <cell r="L475">
            <v>38</v>
          </cell>
          <cell r="M475" t="str">
            <v>セラピール　ＭＤ（Ａ）（Ｒ）</v>
          </cell>
          <cell r="N475">
            <v>1025</v>
          </cell>
          <cell r="O475">
            <v>1020</v>
          </cell>
          <cell r="P475">
            <v>6000</v>
          </cell>
          <cell r="Q475">
            <v>2</v>
          </cell>
          <cell r="R475">
            <v>2</v>
          </cell>
          <cell r="S475" t="str">
            <v>本</v>
          </cell>
          <cell r="T475">
            <v>44704</v>
          </cell>
          <cell r="U475">
            <v>44722</v>
          </cell>
          <cell r="V475" t="str">
            <v>㈱須賀川東部鏡石</v>
          </cell>
          <cell r="W475"/>
          <cell r="X475"/>
        </row>
        <row r="476">
          <cell r="A476">
            <v>3662744</v>
          </cell>
          <cell r="B476" t="str">
            <v>福島コーティング</v>
          </cell>
          <cell r="C476" t="str">
            <v>工材１部大阪電材課</v>
          </cell>
          <cell r="D476" t="str">
            <v>ダミー担当者</v>
          </cell>
          <cell r="E476" t="str">
            <v>日東電工㈱豊橋工場</v>
          </cell>
          <cell r="F476">
            <v>331</v>
          </cell>
          <cell r="G476" t="str">
            <v>S</v>
          </cell>
          <cell r="H476" t="str">
            <v>N</v>
          </cell>
          <cell r="I476" t="str">
            <v>CERA</v>
          </cell>
          <cell r="J476"/>
          <cell r="K476" t="str">
            <v>MD(A)R</v>
          </cell>
          <cell r="L476">
            <v>38</v>
          </cell>
          <cell r="M476" t="str">
            <v>セラピール　ＭＤ（Ａ）（Ｒ）</v>
          </cell>
          <cell r="N476">
            <v>1255</v>
          </cell>
          <cell r="O476">
            <v>1250</v>
          </cell>
          <cell r="P476">
            <v>6000</v>
          </cell>
          <cell r="Q476">
            <v>2</v>
          </cell>
          <cell r="R476">
            <v>30</v>
          </cell>
          <cell r="S476" t="str">
            <v>本</v>
          </cell>
          <cell r="T476">
            <v>44704</v>
          </cell>
          <cell r="U476">
            <v>44722</v>
          </cell>
          <cell r="V476" t="str">
            <v>㈱須賀川東部鏡石</v>
          </cell>
          <cell r="W476"/>
          <cell r="X476"/>
        </row>
        <row r="477">
          <cell r="A477">
            <v>3662745</v>
          </cell>
          <cell r="B477" t="str">
            <v>情材福島原価</v>
          </cell>
          <cell r="C477" t="str">
            <v>工材１部大阪電材課</v>
          </cell>
          <cell r="D477" t="str">
            <v>ダミー担当者</v>
          </cell>
          <cell r="E477" t="str">
            <v>日東電工㈱豊橋工場</v>
          </cell>
          <cell r="F477">
            <v>3</v>
          </cell>
          <cell r="G477" t="str">
            <v>T</v>
          </cell>
          <cell r="H477" t="str">
            <v>N</v>
          </cell>
          <cell r="I477" t="str">
            <v>CERA</v>
          </cell>
          <cell r="J477"/>
          <cell r="K477" t="str">
            <v>BX8A37</v>
          </cell>
          <cell r="L477">
            <v>75</v>
          </cell>
          <cell r="M477" t="str">
            <v>セラピール　ＢＸ８Ａ（３７）</v>
          </cell>
          <cell r="N477">
            <v>1050</v>
          </cell>
          <cell r="O477">
            <v>1050</v>
          </cell>
          <cell r="P477">
            <v>5800</v>
          </cell>
          <cell r="Q477">
            <v>2</v>
          </cell>
          <cell r="R477">
            <v>64</v>
          </cell>
          <cell r="S477" t="str">
            <v>本</v>
          </cell>
          <cell r="T477">
            <v>44704</v>
          </cell>
          <cell r="U477">
            <v>44728</v>
          </cell>
          <cell r="V477" t="str">
            <v>㈱須賀川東部鏡石</v>
          </cell>
          <cell r="W477"/>
          <cell r="X477"/>
        </row>
        <row r="478">
          <cell r="A478">
            <v>3662746</v>
          </cell>
          <cell r="B478" t="str">
            <v>福島コーティング</v>
          </cell>
          <cell r="C478" t="str">
            <v>工材１部電材課</v>
          </cell>
          <cell r="D478" t="str">
            <v>ダミー担当者</v>
          </cell>
          <cell r="E478" t="str">
            <v>パナック㈱亀山工場</v>
          </cell>
          <cell r="F478">
            <v>331</v>
          </cell>
          <cell r="G478" t="str">
            <v>S</v>
          </cell>
          <cell r="H478" t="str">
            <v>N</v>
          </cell>
          <cell r="I478" t="str">
            <v>CERA</v>
          </cell>
          <cell r="J478"/>
          <cell r="K478" t="str">
            <v>BX8ARXA</v>
          </cell>
          <cell r="L478">
            <v>38</v>
          </cell>
          <cell r="M478" t="str">
            <v>セラピール　ＢＸ８ＡＲＸ</v>
          </cell>
          <cell r="N478">
            <v>1330</v>
          </cell>
          <cell r="O478">
            <v>1330</v>
          </cell>
          <cell r="P478">
            <v>6000</v>
          </cell>
          <cell r="Q478">
            <v>2</v>
          </cell>
          <cell r="R478">
            <v>8</v>
          </cell>
          <cell r="S478" t="str">
            <v>本</v>
          </cell>
          <cell r="T478">
            <v>44704</v>
          </cell>
          <cell r="U478">
            <v>44728</v>
          </cell>
          <cell r="V478" t="str">
            <v>㈱須賀川東部鏡石</v>
          </cell>
          <cell r="W478"/>
          <cell r="X478"/>
        </row>
        <row r="479">
          <cell r="A479">
            <v>3662747</v>
          </cell>
          <cell r="B479" t="str">
            <v>福島コーティング</v>
          </cell>
          <cell r="C479" t="str">
            <v>工材１部電材課</v>
          </cell>
          <cell r="D479" t="str">
            <v>ダミー担当者</v>
          </cell>
          <cell r="E479" t="str">
            <v>パナック㈱亀山工場</v>
          </cell>
          <cell r="F479">
            <v>331</v>
          </cell>
          <cell r="G479" t="str">
            <v>S</v>
          </cell>
          <cell r="H479" t="str">
            <v>N</v>
          </cell>
          <cell r="I479" t="str">
            <v>CERA</v>
          </cell>
          <cell r="J479"/>
          <cell r="K479" t="str">
            <v>BX8ARXA</v>
          </cell>
          <cell r="L479">
            <v>38</v>
          </cell>
          <cell r="M479" t="str">
            <v>セラピール　ＢＸ８ＡＲＸ</v>
          </cell>
          <cell r="N479">
            <v>1330</v>
          </cell>
          <cell r="O479">
            <v>1330</v>
          </cell>
          <cell r="P479">
            <v>6000</v>
          </cell>
          <cell r="Q479">
            <v>2</v>
          </cell>
          <cell r="R479">
            <v>52</v>
          </cell>
          <cell r="S479" t="str">
            <v>本</v>
          </cell>
          <cell r="T479">
            <v>44704</v>
          </cell>
          <cell r="U479">
            <v>44732</v>
          </cell>
          <cell r="V479" t="str">
            <v>㈱須賀川東部鏡石</v>
          </cell>
          <cell r="W479"/>
          <cell r="X479"/>
        </row>
        <row r="480">
          <cell r="A480">
            <v>3662748</v>
          </cell>
          <cell r="B480" t="str">
            <v>福島コーティング</v>
          </cell>
          <cell r="C480" t="str">
            <v>工材１部電材課</v>
          </cell>
          <cell r="D480" t="str">
            <v>ダミー担当者</v>
          </cell>
          <cell r="E480" t="str">
            <v>㈱巴川製紙所</v>
          </cell>
          <cell r="F480">
            <v>3</v>
          </cell>
          <cell r="G480" t="str">
            <v>S</v>
          </cell>
          <cell r="H480" t="str">
            <v>N</v>
          </cell>
          <cell r="I480" t="str">
            <v>CERA</v>
          </cell>
          <cell r="J480"/>
          <cell r="K480" t="str">
            <v>BX8AX</v>
          </cell>
          <cell r="L480">
            <v>75</v>
          </cell>
          <cell r="M480" t="str">
            <v>セラピール　　　　　　　　　　　ＢＸ８Ａ（Ｘ）</v>
          </cell>
          <cell r="N480">
            <v>1330</v>
          </cell>
          <cell r="O480">
            <v>1330</v>
          </cell>
          <cell r="P480">
            <v>4100</v>
          </cell>
          <cell r="Q480">
            <v>2</v>
          </cell>
          <cell r="R480">
            <v>18</v>
          </cell>
          <cell r="S480" t="str">
            <v>本</v>
          </cell>
          <cell r="T480">
            <v>44704</v>
          </cell>
          <cell r="U480">
            <v>44732</v>
          </cell>
          <cell r="V480" t="str">
            <v>㈱須賀川東部鏡石</v>
          </cell>
          <cell r="W480"/>
          <cell r="X480"/>
        </row>
        <row r="481">
          <cell r="A481">
            <v>3662749</v>
          </cell>
          <cell r="B481" t="str">
            <v>福島コーティング</v>
          </cell>
          <cell r="C481" t="str">
            <v>プロセス材２課</v>
          </cell>
          <cell r="D481" t="str">
            <v>ダミー担当者</v>
          </cell>
          <cell r="E481" t="str">
            <v>日榮新化㈱</v>
          </cell>
          <cell r="F481">
            <v>3</v>
          </cell>
          <cell r="G481" t="str">
            <v>S</v>
          </cell>
          <cell r="H481" t="str">
            <v>Y</v>
          </cell>
          <cell r="I481" t="str">
            <v>CERA</v>
          </cell>
          <cell r="J481"/>
          <cell r="K481" t="str">
            <v>BX8AS</v>
          </cell>
          <cell r="L481">
            <v>75</v>
          </cell>
          <cell r="M481" t="str">
            <v>セラピール　ＢＸ８Ａ（Ｓ）</v>
          </cell>
          <cell r="N481">
            <v>1040</v>
          </cell>
          <cell r="O481">
            <v>1040</v>
          </cell>
          <cell r="P481">
            <v>4000</v>
          </cell>
          <cell r="Q481">
            <v>1</v>
          </cell>
          <cell r="R481">
            <v>2</v>
          </cell>
          <cell r="S481" t="str">
            <v>本</v>
          </cell>
          <cell r="T481">
            <v>44704</v>
          </cell>
          <cell r="U481">
            <v>44732</v>
          </cell>
          <cell r="V481" t="str">
            <v>㈱須賀川東部鏡石</v>
          </cell>
          <cell r="W481"/>
          <cell r="X481"/>
        </row>
        <row r="482">
          <cell r="A482">
            <v>3662750</v>
          </cell>
          <cell r="B482" t="str">
            <v>福島コーティング</v>
          </cell>
          <cell r="C482" t="str">
            <v>プロセス材２課</v>
          </cell>
          <cell r="D482" t="str">
            <v>ダミー担当者</v>
          </cell>
          <cell r="E482" t="str">
            <v>日榮新化㈱</v>
          </cell>
          <cell r="F482">
            <v>3</v>
          </cell>
          <cell r="G482" t="str">
            <v>S</v>
          </cell>
          <cell r="H482" t="str">
            <v>Y</v>
          </cell>
          <cell r="I482" t="str">
            <v>CERA</v>
          </cell>
          <cell r="J482"/>
          <cell r="K482" t="str">
            <v>BX9AS</v>
          </cell>
          <cell r="L482">
            <v>75</v>
          </cell>
          <cell r="M482" t="str">
            <v>セラピール　　　　　　　　　　　ＢＸ９Ａ（Ｓ）</v>
          </cell>
          <cell r="N482">
            <v>1040</v>
          </cell>
          <cell r="O482">
            <v>1040</v>
          </cell>
          <cell r="P482">
            <v>4000</v>
          </cell>
          <cell r="Q482">
            <v>1</v>
          </cell>
          <cell r="R482">
            <v>8</v>
          </cell>
          <cell r="S482" t="str">
            <v>本</v>
          </cell>
          <cell r="T482">
            <v>44704</v>
          </cell>
          <cell r="U482">
            <v>44732</v>
          </cell>
          <cell r="V482" t="str">
            <v>㈱須賀川東部鏡石</v>
          </cell>
          <cell r="W482"/>
          <cell r="X482"/>
        </row>
        <row r="483">
          <cell r="A483">
            <v>3662751</v>
          </cell>
          <cell r="B483" t="str">
            <v>福島コーティング</v>
          </cell>
          <cell r="C483" t="str">
            <v>大阪光学機能材課</v>
          </cell>
          <cell r="D483" t="str">
            <v>ダミー担当者</v>
          </cell>
          <cell r="E483" t="str">
            <v>日東電工㈱尾道事業所</v>
          </cell>
          <cell r="F483">
            <v>3321</v>
          </cell>
          <cell r="G483" t="str">
            <v>S</v>
          </cell>
          <cell r="H483" t="str">
            <v>N</v>
          </cell>
          <cell r="I483" t="str">
            <v>CERA</v>
          </cell>
          <cell r="J483"/>
          <cell r="K483" t="str">
            <v>MDACPFL</v>
          </cell>
          <cell r="L483">
            <v>38</v>
          </cell>
          <cell r="M483" t="str">
            <v>Ｋ　セラピールＭＤＡ（ＣＰＲＦ）Ｌ</v>
          </cell>
          <cell r="N483">
            <v>1336</v>
          </cell>
          <cell r="O483">
            <v>1325</v>
          </cell>
          <cell r="P483">
            <v>12000</v>
          </cell>
          <cell r="Q483">
            <v>2</v>
          </cell>
          <cell r="R483">
            <v>26</v>
          </cell>
          <cell r="S483" t="str">
            <v>本</v>
          </cell>
          <cell r="T483">
            <v>44704</v>
          </cell>
          <cell r="U483">
            <v>44732</v>
          </cell>
          <cell r="V483" t="str">
            <v>㈱須賀川東部鏡石</v>
          </cell>
          <cell r="W483"/>
          <cell r="X483"/>
        </row>
        <row r="484">
          <cell r="A484">
            <v>3662752</v>
          </cell>
          <cell r="B484" t="str">
            <v>福島コーティング</v>
          </cell>
          <cell r="C484" t="str">
            <v>大阪光学機能材課</v>
          </cell>
          <cell r="D484" t="str">
            <v>ダミー担当者</v>
          </cell>
          <cell r="E484" t="str">
            <v>日東電工㈱尾道事業所</v>
          </cell>
          <cell r="F484">
            <v>3321</v>
          </cell>
          <cell r="G484" t="str">
            <v>S</v>
          </cell>
          <cell r="H484" t="str">
            <v>N</v>
          </cell>
          <cell r="I484" t="str">
            <v>CERA</v>
          </cell>
          <cell r="J484"/>
          <cell r="K484" t="str">
            <v>MDAPFL</v>
          </cell>
          <cell r="L484">
            <v>38</v>
          </cell>
          <cell r="M484" t="str">
            <v>Ｋ　セラピールＭＤＡ（ＰＲＦ）Ｌ</v>
          </cell>
          <cell r="N484">
            <v>1336</v>
          </cell>
          <cell r="O484">
            <v>1325</v>
          </cell>
          <cell r="P484">
            <v>12000</v>
          </cell>
          <cell r="Q484">
            <v>2</v>
          </cell>
          <cell r="R484">
            <v>26</v>
          </cell>
          <cell r="S484" t="str">
            <v>本</v>
          </cell>
          <cell r="T484">
            <v>44704</v>
          </cell>
          <cell r="U484">
            <v>44732</v>
          </cell>
          <cell r="V484" t="str">
            <v>㈱須賀川東部鏡石</v>
          </cell>
          <cell r="W484"/>
          <cell r="X484"/>
        </row>
        <row r="485">
          <cell r="A485">
            <v>3662753</v>
          </cell>
          <cell r="B485" t="str">
            <v>福島コーティング</v>
          </cell>
          <cell r="C485" t="str">
            <v>大阪光学機能材課</v>
          </cell>
          <cell r="D485" t="str">
            <v>ダミー担当者</v>
          </cell>
          <cell r="E485" t="str">
            <v>日東電工㈱尾道事業所</v>
          </cell>
          <cell r="F485">
            <v>3321</v>
          </cell>
          <cell r="G485" t="str">
            <v>S</v>
          </cell>
          <cell r="H485" t="str">
            <v>N</v>
          </cell>
          <cell r="I485" t="str">
            <v>CERA</v>
          </cell>
          <cell r="J485"/>
          <cell r="K485" t="str">
            <v>MDACPFL</v>
          </cell>
          <cell r="L485">
            <v>38</v>
          </cell>
          <cell r="M485" t="str">
            <v>Ｋ　セラピールＭＤＡ（ＣＰＲＦ）Ｌ</v>
          </cell>
          <cell r="N485">
            <v>1336</v>
          </cell>
          <cell r="O485">
            <v>1325</v>
          </cell>
          <cell r="P485">
            <v>12000</v>
          </cell>
          <cell r="Q485">
            <v>2</v>
          </cell>
          <cell r="R485">
            <v>38</v>
          </cell>
          <cell r="S485" t="str">
            <v>本</v>
          </cell>
          <cell r="T485">
            <v>44704</v>
          </cell>
          <cell r="U485">
            <v>44734</v>
          </cell>
          <cell r="V485" t="str">
            <v>㈱須賀川東部鏡石</v>
          </cell>
          <cell r="W485"/>
          <cell r="X485"/>
        </row>
        <row r="486">
          <cell r="A486">
            <v>3662754</v>
          </cell>
          <cell r="B486" t="str">
            <v>福島コーティング</v>
          </cell>
          <cell r="C486" t="str">
            <v>大阪光学機能材課</v>
          </cell>
          <cell r="D486" t="str">
            <v>ダミー担当者</v>
          </cell>
          <cell r="E486" t="str">
            <v>日東電工㈱尾道事業所</v>
          </cell>
          <cell r="F486">
            <v>3321</v>
          </cell>
          <cell r="G486" t="str">
            <v>S</v>
          </cell>
          <cell r="H486" t="str">
            <v>N</v>
          </cell>
          <cell r="I486" t="str">
            <v>CERA</v>
          </cell>
          <cell r="J486"/>
          <cell r="K486" t="str">
            <v>MDAPFL</v>
          </cell>
          <cell r="L486">
            <v>38</v>
          </cell>
          <cell r="M486" t="str">
            <v>Ｋ　セラピールＭＤＡ（ＰＲＦ）Ｌ</v>
          </cell>
          <cell r="N486">
            <v>1336</v>
          </cell>
          <cell r="O486">
            <v>1325</v>
          </cell>
          <cell r="P486">
            <v>12000</v>
          </cell>
          <cell r="Q486">
            <v>2</v>
          </cell>
          <cell r="R486">
            <v>37</v>
          </cell>
          <cell r="S486" t="str">
            <v>本</v>
          </cell>
          <cell r="T486">
            <v>44704</v>
          </cell>
          <cell r="U486">
            <v>44734</v>
          </cell>
          <cell r="V486" t="str">
            <v>㈱須賀川東部鏡石</v>
          </cell>
          <cell r="W486"/>
          <cell r="X486"/>
        </row>
        <row r="487">
          <cell r="A487">
            <v>3662755</v>
          </cell>
          <cell r="B487" t="str">
            <v>福島コーティング</v>
          </cell>
          <cell r="C487" t="str">
            <v>工材１部大阪電材課</v>
          </cell>
          <cell r="D487" t="str">
            <v>ダミー担当者</v>
          </cell>
          <cell r="E487" t="str">
            <v>日東電工㈱豊橋工場</v>
          </cell>
          <cell r="F487">
            <v>3313</v>
          </cell>
          <cell r="G487" t="str">
            <v>S</v>
          </cell>
          <cell r="H487" t="str">
            <v>N</v>
          </cell>
          <cell r="I487" t="str">
            <v>CERA</v>
          </cell>
          <cell r="J487"/>
          <cell r="K487" t="str">
            <v>MD(A)R</v>
          </cell>
          <cell r="L487">
            <v>38</v>
          </cell>
          <cell r="M487" t="str">
            <v>セラピール　ＭＤ（Ａ）（Ｒ）</v>
          </cell>
          <cell r="N487">
            <v>750</v>
          </cell>
          <cell r="O487">
            <v>750</v>
          </cell>
          <cell r="P487">
            <v>6000</v>
          </cell>
          <cell r="Q487">
            <v>2</v>
          </cell>
          <cell r="R487">
            <v>24</v>
          </cell>
          <cell r="S487" t="str">
            <v>本</v>
          </cell>
          <cell r="T487">
            <v>44704</v>
          </cell>
          <cell r="U487">
            <v>44736</v>
          </cell>
          <cell r="V487" t="str">
            <v>㈱須賀川東部鏡石</v>
          </cell>
          <cell r="W487"/>
          <cell r="X487"/>
        </row>
        <row r="488">
          <cell r="A488">
            <v>3662756</v>
          </cell>
          <cell r="B488" t="str">
            <v>福島コーティング</v>
          </cell>
          <cell r="C488" t="str">
            <v>工材１部大阪電材課</v>
          </cell>
          <cell r="D488" t="str">
            <v>ダミー担当者</v>
          </cell>
          <cell r="E488" t="str">
            <v>住友べークライト尼崎</v>
          </cell>
          <cell r="F488">
            <v>331</v>
          </cell>
          <cell r="G488" t="str">
            <v>S</v>
          </cell>
          <cell r="H488" t="str">
            <v>N</v>
          </cell>
          <cell r="I488" t="str">
            <v>CERA</v>
          </cell>
          <cell r="J488"/>
          <cell r="K488" t="str">
            <v>MDARX</v>
          </cell>
          <cell r="L488">
            <v>38</v>
          </cell>
          <cell r="M488" t="str">
            <v>セラピール　　　　　　　　　　　ＭＤＡ（ＲＸ）</v>
          </cell>
          <cell r="N488">
            <v>415</v>
          </cell>
          <cell r="O488">
            <v>415</v>
          </cell>
          <cell r="P488">
            <v>1950</v>
          </cell>
          <cell r="Q488">
            <v>2</v>
          </cell>
          <cell r="R488">
            <v>90</v>
          </cell>
          <cell r="S488" t="str">
            <v>本</v>
          </cell>
          <cell r="T488">
            <v>44704</v>
          </cell>
          <cell r="U488">
            <v>44736</v>
          </cell>
          <cell r="V488" t="str">
            <v>㈱須賀川東部鏡石</v>
          </cell>
          <cell r="W488"/>
          <cell r="X488"/>
        </row>
        <row r="489">
          <cell r="A489">
            <v>3662757</v>
          </cell>
          <cell r="B489" t="str">
            <v>福島コーティング</v>
          </cell>
          <cell r="C489" t="str">
            <v>工材１部電材課</v>
          </cell>
          <cell r="D489" t="str">
            <v>ダミー担当者</v>
          </cell>
          <cell r="E489" t="str">
            <v>古河電気工業㈱</v>
          </cell>
          <cell r="F489">
            <v>3</v>
          </cell>
          <cell r="G489" t="str">
            <v>S</v>
          </cell>
          <cell r="H489" t="str">
            <v>N</v>
          </cell>
          <cell r="I489" t="str">
            <v>CERA</v>
          </cell>
          <cell r="J489"/>
          <cell r="K489" t="str">
            <v>WZE</v>
          </cell>
          <cell r="L489">
            <v>25</v>
          </cell>
          <cell r="M489" t="str">
            <v>セラピール　　　　　　　　　　　ＷＺ（Ｅ）</v>
          </cell>
          <cell r="N489">
            <v>1040</v>
          </cell>
          <cell r="O489">
            <v>1040</v>
          </cell>
          <cell r="P489">
            <v>6000</v>
          </cell>
          <cell r="Q489">
            <v>2</v>
          </cell>
          <cell r="R489">
            <v>36</v>
          </cell>
          <cell r="S489" t="str">
            <v>本</v>
          </cell>
          <cell r="T489">
            <v>44704</v>
          </cell>
          <cell r="U489">
            <v>44736</v>
          </cell>
          <cell r="V489" t="str">
            <v>㈱須賀川東部鏡石</v>
          </cell>
          <cell r="W489"/>
          <cell r="X489"/>
        </row>
        <row r="490">
          <cell r="A490">
            <v>3662758</v>
          </cell>
          <cell r="B490" t="str">
            <v>福島コーティング</v>
          </cell>
          <cell r="C490" t="str">
            <v>工材１部電材課</v>
          </cell>
          <cell r="D490" t="str">
            <v>ダミー担当者</v>
          </cell>
          <cell r="E490" t="str">
            <v>パナック㈱亀山工場</v>
          </cell>
          <cell r="F490">
            <v>3</v>
          </cell>
          <cell r="G490" t="str">
            <v>S</v>
          </cell>
          <cell r="H490" t="str">
            <v>N</v>
          </cell>
          <cell r="I490" t="str">
            <v>CERA</v>
          </cell>
          <cell r="J490"/>
          <cell r="K490" t="str">
            <v>WZ</v>
          </cell>
          <cell r="L490">
            <v>25</v>
          </cell>
          <cell r="M490" t="str">
            <v>セラピール　　　　　　　　　　　ＷＺ</v>
          </cell>
          <cell r="N490">
            <v>1325</v>
          </cell>
          <cell r="O490">
            <v>1320</v>
          </cell>
          <cell r="P490">
            <v>6000</v>
          </cell>
          <cell r="Q490">
            <v>2</v>
          </cell>
          <cell r="R490">
            <v>2</v>
          </cell>
          <cell r="S490" t="str">
            <v>本</v>
          </cell>
          <cell r="T490">
            <v>44704</v>
          </cell>
          <cell r="U490">
            <v>44740</v>
          </cell>
          <cell r="V490" t="str">
            <v>㈱須賀川東部鏡石</v>
          </cell>
          <cell r="W490"/>
          <cell r="X490"/>
        </row>
        <row r="491">
          <cell r="A491">
            <v>3662759</v>
          </cell>
          <cell r="B491" t="str">
            <v>福島コーティング</v>
          </cell>
          <cell r="C491" t="str">
            <v>工材１部電材課</v>
          </cell>
          <cell r="D491" t="str">
            <v>ダミー担当者</v>
          </cell>
          <cell r="E491" t="str">
            <v>古河電気工業㈱</v>
          </cell>
          <cell r="F491">
            <v>3</v>
          </cell>
          <cell r="G491" t="str">
            <v>S</v>
          </cell>
          <cell r="H491" t="str">
            <v>N</v>
          </cell>
          <cell r="I491" t="str">
            <v>CERA</v>
          </cell>
          <cell r="J491"/>
          <cell r="K491" t="str">
            <v>WZE</v>
          </cell>
          <cell r="L491">
            <v>25</v>
          </cell>
          <cell r="M491" t="str">
            <v>セラピール　　　　　　　　　　　ＷＺ（Ｅ）</v>
          </cell>
          <cell r="N491">
            <v>1040</v>
          </cell>
          <cell r="O491">
            <v>1040</v>
          </cell>
          <cell r="P491">
            <v>6000</v>
          </cell>
          <cell r="Q491">
            <v>2</v>
          </cell>
          <cell r="R491">
            <v>14</v>
          </cell>
          <cell r="S491" t="str">
            <v>本</v>
          </cell>
          <cell r="T491">
            <v>44704</v>
          </cell>
          <cell r="U491">
            <v>44740</v>
          </cell>
          <cell r="V491" t="str">
            <v>㈱須賀川東部鏡石</v>
          </cell>
          <cell r="W491"/>
          <cell r="X491"/>
        </row>
        <row r="492">
          <cell r="A492">
            <v>3662760</v>
          </cell>
          <cell r="B492" t="str">
            <v>福島コーティング</v>
          </cell>
          <cell r="C492" t="str">
            <v>工材１部電材課</v>
          </cell>
          <cell r="D492" t="str">
            <v>ダミー担当者</v>
          </cell>
          <cell r="E492" t="str">
            <v>古河電気工業㈱</v>
          </cell>
          <cell r="F492">
            <v>3</v>
          </cell>
          <cell r="G492" t="str">
            <v>S</v>
          </cell>
          <cell r="H492" t="str">
            <v>N</v>
          </cell>
          <cell r="I492" t="str">
            <v>CERA</v>
          </cell>
          <cell r="J492"/>
          <cell r="K492" t="str">
            <v>WZE</v>
          </cell>
          <cell r="L492">
            <v>25</v>
          </cell>
          <cell r="M492" t="str">
            <v>セラピール　　　　　　　　　　　ＷＺ（Ｅ）</v>
          </cell>
          <cell r="N492">
            <v>1240</v>
          </cell>
          <cell r="O492">
            <v>1240</v>
          </cell>
          <cell r="P492">
            <v>6000</v>
          </cell>
          <cell r="Q492">
            <v>2</v>
          </cell>
          <cell r="R492">
            <v>50</v>
          </cell>
          <cell r="S492" t="str">
            <v>本</v>
          </cell>
          <cell r="T492">
            <v>44704</v>
          </cell>
          <cell r="U492">
            <v>44740</v>
          </cell>
          <cell r="V492" t="str">
            <v>㈱須賀川東部鏡石</v>
          </cell>
          <cell r="W492"/>
          <cell r="X492"/>
        </row>
        <row r="493">
          <cell r="A493">
            <v>3662761</v>
          </cell>
          <cell r="B493" t="str">
            <v>福島コーティング</v>
          </cell>
          <cell r="C493" t="str">
            <v>工材１部電材課</v>
          </cell>
          <cell r="D493" t="str">
            <v>ダミー担当者</v>
          </cell>
          <cell r="E493" t="str">
            <v>古河電気工業㈱</v>
          </cell>
          <cell r="F493">
            <v>3</v>
          </cell>
          <cell r="G493" t="str">
            <v>S</v>
          </cell>
          <cell r="H493" t="str">
            <v>N</v>
          </cell>
          <cell r="I493" t="str">
            <v>CERA</v>
          </cell>
          <cell r="J493"/>
          <cell r="K493" t="str">
            <v>WZE</v>
          </cell>
          <cell r="L493">
            <v>38</v>
          </cell>
          <cell r="M493" t="str">
            <v>セラピール　　　　　　　　　　　ＷＺ（Ｅ）</v>
          </cell>
          <cell r="N493">
            <v>1040</v>
          </cell>
          <cell r="O493">
            <v>1040</v>
          </cell>
          <cell r="P493">
            <v>6000</v>
          </cell>
          <cell r="Q493">
            <v>2</v>
          </cell>
          <cell r="R493">
            <v>2</v>
          </cell>
          <cell r="S493" t="str">
            <v>本</v>
          </cell>
          <cell r="T493">
            <v>44704</v>
          </cell>
          <cell r="U493">
            <v>44740</v>
          </cell>
          <cell r="V493" t="str">
            <v>㈱須賀川東部鏡石</v>
          </cell>
          <cell r="W493"/>
          <cell r="X493"/>
        </row>
        <row r="494">
          <cell r="A494">
            <v>3662762</v>
          </cell>
          <cell r="B494" t="str">
            <v>福島コーティング</v>
          </cell>
          <cell r="C494" t="str">
            <v>工材１部電材課</v>
          </cell>
          <cell r="D494" t="str">
            <v>ダミー担当者</v>
          </cell>
          <cell r="E494" t="str">
            <v>古河電気工業㈱</v>
          </cell>
          <cell r="F494">
            <v>3</v>
          </cell>
          <cell r="G494" t="str">
            <v>S</v>
          </cell>
          <cell r="H494" t="str">
            <v>N</v>
          </cell>
          <cell r="I494" t="str">
            <v>CERA</v>
          </cell>
          <cell r="J494"/>
          <cell r="K494" t="str">
            <v>WZE</v>
          </cell>
          <cell r="L494">
            <v>38</v>
          </cell>
          <cell r="M494" t="str">
            <v>セラピール　　　　　　　　　　　ＷＺ（Ｅ）</v>
          </cell>
          <cell r="N494">
            <v>1240</v>
          </cell>
          <cell r="O494">
            <v>1240</v>
          </cell>
          <cell r="P494">
            <v>6000</v>
          </cell>
          <cell r="Q494">
            <v>2</v>
          </cell>
          <cell r="R494">
            <v>12</v>
          </cell>
          <cell r="S494" t="str">
            <v>本</v>
          </cell>
          <cell r="T494">
            <v>44704</v>
          </cell>
          <cell r="U494">
            <v>44740</v>
          </cell>
          <cell r="V494" t="str">
            <v>㈱須賀川東部鏡石</v>
          </cell>
          <cell r="W494"/>
          <cell r="X494"/>
        </row>
        <row r="495">
          <cell r="A495">
            <v>3662763</v>
          </cell>
          <cell r="B495" t="str">
            <v>情材福島原価</v>
          </cell>
          <cell r="C495" t="str">
            <v>工材１部電材課</v>
          </cell>
          <cell r="D495" t="str">
            <v>ダミー担当者</v>
          </cell>
          <cell r="E495" t="str">
            <v>藤産業㈱</v>
          </cell>
          <cell r="F495">
            <v>3</v>
          </cell>
          <cell r="G495" t="str">
            <v>T</v>
          </cell>
          <cell r="H495" t="str">
            <v>N</v>
          </cell>
          <cell r="I495" t="str">
            <v>CERA</v>
          </cell>
          <cell r="J495"/>
          <cell r="K495" t="str">
            <v>WZ34</v>
          </cell>
          <cell r="L495">
            <v>25</v>
          </cell>
          <cell r="M495" t="str">
            <v>セラピール　ＷＺ（３４）</v>
          </cell>
          <cell r="N495">
            <v>1410</v>
          </cell>
          <cell r="O495">
            <v>1410</v>
          </cell>
          <cell r="P495">
            <v>6000</v>
          </cell>
          <cell r="Q495">
            <v>2</v>
          </cell>
          <cell r="R495">
            <v>4</v>
          </cell>
          <cell r="S495" t="str">
            <v>本</v>
          </cell>
          <cell r="T495">
            <v>44704</v>
          </cell>
          <cell r="U495">
            <v>44740</v>
          </cell>
          <cell r="V495" t="str">
            <v>㈱須賀川東部鏡石</v>
          </cell>
          <cell r="W495"/>
          <cell r="X495"/>
        </row>
        <row r="496">
          <cell r="A496">
            <v>3662764</v>
          </cell>
          <cell r="B496" t="str">
            <v>福島コーティング</v>
          </cell>
          <cell r="C496" t="str">
            <v>工材１部電材課</v>
          </cell>
          <cell r="D496" t="str">
            <v>ダミー担当者</v>
          </cell>
          <cell r="E496" t="str">
            <v>三栄産業㈱尾久工場</v>
          </cell>
          <cell r="F496">
            <v>3</v>
          </cell>
          <cell r="G496" t="str">
            <v>S</v>
          </cell>
          <cell r="H496" t="str">
            <v>N</v>
          </cell>
          <cell r="I496" t="str">
            <v>CERA</v>
          </cell>
          <cell r="J496"/>
          <cell r="K496" t="str">
            <v>WZRX</v>
          </cell>
          <cell r="L496">
            <v>25</v>
          </cell>
          <cell r="M496" t="str">
            <v>セラピール　ＷＺ（ＲＸ）　　　　　　</v>
          </cell>
          <cell r="N496">
            <v>640</v>
          </cell>
          <cell r="O496">
            <v>640</v>
          </cell>
          <cell r="P496">
            <v>2000</v>
          </cell>
          <cell r="Q496">
            <v>2</v>
          </cell>
          <cell r="R496">
            <v>18</v>
          </cell>
          <cell r="S496" t="str">
            <v>本</v>
          </cell>
          <cell r="T496">
            <v>44704</v>
          </cell>
          <cell r="U496">
            <v>44740</v>
          </cell>
          <cell r="V496" t="str">
            <v>㈱須賀川東部鏡石</v>
          </cell>
          <cell r="W496"/>
          <cell r="X496"/>
        </row>
        <row r="497">
          <cell r="A497">
            <v>3662764</v>
          </cell>
          <cell r="B497" t="str">
            <v>福島コーティング</v>
          </cell>
          <cell r="C497" t="str">
            <v>工材１部電材課</v>
          </cell>
          <cell r="D497" t="str">
            <v>ダミー担当者</v>
          </cell>
          <cell r="E497" t="str">
            <v>三栄産業㈱尾久工場</v>
          </cell>
          <cell r="F497">
            <v>3</v>
          </cell>
          <cell r="G497" t="str">
            <v>S</v>
          </cell>
          <cell r="H497" t="str">
            <v>N</v>
          </cell>
          <cell r="I497" t="str">
            <v>CERA</v>
          </cell>
          <cell r="J497"/>
          <cell r="K497" t="str">
            <v>WZRX</v>
          </cell>
          <cell r="L497">
            <v>25</v>
          </cell>
          <cell r="M497" t="str">
            <v>セラピール　ＷＺ（ＲＸ）　　　　　　</v>
          </cell>
          <cell r="N497">
            <v>540</v>
          </cell>
          <cell r="O497">
            <v>540</v>
          </cell>
          <cell r="P497">
            <v>2000</v>
          </cell>
          <cell r="Q497">
            <v>2</v>
          </cell>
          <cell r="R497">
            <v>6</v>
          </cell>
          <cell r="S497" t="str">
            <v>本</v>
          </cell>
          <cell r="T497">
            <v>44704</v>
          </cell>
          <cell r="U497">
            <v>44740</v>
          </cell>
          <cell r="V497" t="str">
            <v>㈱須賀川東部鏡石</v>
          </cell>
          <cell r="W497"/>
          <cell r="X497"/>
        </row>
        <row r="498">
          <cell r="A498">
            <v>3662765</v>
          </cell>
          <cell r="B498" t="str">
            <v>福島コーティング</v>
          </cell>
          <cell r="C498" t="str">
            <v>工材１部電材課</v>
          </cell>
          <cell r="D498" t="str">
            <v>ダミー担当者</v>
          </cell>
          <cell r="E498" t="str">
            <v>東洋包材㈱</v>
          </cell>
          <cell r="F498">
            <v>3</v>
          </cell>
          <cell r="G498" t="str">
            <v>S</v>
          </cell>
          <cell r="H498" t="str">
            <v>N</v>
          </cell>
          <cell r="I498" t="str">
            <v>CERA</v>
          </cell>
          <cell r="J498"/>
          <cell r="K498" t="str">
            <v>WZRX</v>
          </cell>
          <cell r="L498">
            <v>38</v>
          </cell>
          <cell r="M498" t="str">
            <v>セラピール　ＷＺ（ＲＸ）　　　　　　</v>
          </cell>
          <cell r="N498">
            <v>1135</v>
          </cell>
          <cell r="O498">
            <v>1130</v>
          </cell>
          <cell r="P498">
            <v>6000</v>
          </cell>
          <cell r="Q498">
            <v>2</v>
          </cell>
          <cell r="R498">
            <v>2</v>
          </cell>
          <cell r="S498" t="str">
            <v>本</v>
          </cell>
          <cell r="T498">
            <v>44704</v>
          </cell>
          <cell r="U498">
            <v>44740</v>
          </cell>
          <cell r="V498" t="str">
            <v>㈱須賀川東部鏡石</v>
          </cell>
          <cell r="W498"/>
          <cell r="X498"/>
        </row>
        <row r="499">
          <cell r="A499">
            <v>3662766</v>
          </cell>
          <cell r="B499" t="str">
            <v>福島コーティング</v>
          </cell>
          <cell r="C499" t="str">
            <v>工材１部電材課</v>
          </cell>
          <cell r="D499" t="str">
            <v>ダミー担当者</v>
          </cell>
          <cell r="E499" t="str">
            <v>東洋包材㈱</v>
          </cell>
          <cell r="F499">
            <v>3</v>
          </cell>
          <cell r="G499" t="str">
            <v>S</v>
          </cell>
          <cell r="H499" t="str">
            <v>N</v>
          </cell>
          <cell r="I499" t="str">
            <v>CERA</v>
          </cell>
          <cell r="J499"/>
          <cell r="K499" t="str">
            <v>WZT</v>
          </cell>
          <cell r="L499">
            <v>25</v>
          </cell>
          <cell r="M499" t="str">
            <v>セラピール　ＷＺ（Ｔ）</v>
          </cell>
          <cell r="N499">
            <v>1325</v>
          </cell>
          <cell r="O499">
            <v>1320</v>
          </cell>
          <cell r="P499">
            <v>8000</v>
          </cell>
          <cell r="Q499">
            <v>2</v>
          </cell>
          <cell r="R499">
            <v>2</v>
          </cell>
          <cell r="S499" t="str">
            <v>本</v>
          </cell>
          <cell r="T499">
            <v>44704</v>
          </cell>
          <cell r="U499">
            <v>44740</v>
          </cell>
          <cell r="V499" t="str">
            <v>㈱須賀川東部鏡石</v>
          </cell>
          <cell r="W499"/>
          <cell r="X499"/>
        </row>
        <row r="500">
          <cell r="A500">
            <v>3662767</v>
          </cell>
          <cell r="B500" t="str">
            <v>福島コーティング</v>
          </cell>
          <cell r="C500" t="str">
            <v>工材１部大阪電材課</v>
          </cell>
          <cell r="D500" t="str">
            <v>ダミー担当者</v>
          </cell>
          <cell r="E500" t="str">
            <v>東洋機材</v>
          </cell>
          <cell r="F500">
            <v>3</v>
          </cell>
          <cell r="G500" t="str">
            <v>S</v>
          </cell>
          <cell r="H500" t="str">
            <v>N</v>
          </cell>
          <cell r="I500" t="str">
            <v>CERA</v>
          </cell>
          <cell r="J500"/>
          <cell r="K500" t="str">
            <v>WZS</v>
          </cell>
          <cell r="L500">
            <v>125</v>
          </cell>
          <cell r="M500" t="str">
            <v>セラピール　ＷＺ（Ｓ）</v>
          </cell>
          <cell r="N500">
            <v>1230</v>
          </cell>
          <cell r="O500">
            <v>1225</v>
          </cell>
          <cell r="P500">
            <v>1800</v>
          </cell>
          <cell r="Q500">
            <v>2</v>
          </cell>
          <cell r="R500">
            <v>1</v>
          </cell>
          <cell r="S500" t="str">
            <v>本</v>
          </cell>
          <cell r="T500">
            <v>44704</v>
          </cell>
          <cell r="U500">
            <v>44740</v>
          </cell>
          <cell r="V500" t="str">
            <v>㈱須賀川東部鏡石</v>
          </cell>
          <cell r="W500"/>
          <cell r="X500"/>
        </row>
        <row r="501">
          <cell r="A501">
            <v>3662768</v>
          </cell>
          <cell r="B501" t="str">
            <v>情材福島原価</v>
          </cell>
          <cell r="C501" t="str">
            <v>プロセス材２課</v>
          </cell>
          <cell r="D501" t="str">
            <v>ダミー担当者</v>
          </cell>
          <cell r="E501" t="str">
            <v>日榮新化㈱</v>
          </cell>
          <cell r="F501">
            <v>3</v>
          </cell>
          <cell r="G501" t="str">
            <v>T</v>
          </cell>
          <cell r="H501" t="str">
            <v>N</v>
          </cell>
          <cell r="I501" t="str">
            <v>CERA</v>
          </cell>
          <cell r="J501"/>
          <cell r="K501" t="str">
            <v>WZS</v>
          </cell>
          <cell r="L501">
            <v>25</v>
          </cell>
          <cell r="M501" t="str">
            <v>セラピールＷＺ（Ｓ）</v>
          </cell>
          <cell r="N501">
            <v>1155</v>
          </cell>
          <cell r="O501">
            <v>1150</v>
          </cell>
          <cell r="P501">
            <v>4200</v>
          </cell>
          <cell r="Q501">
            <v>2</v>
          </cell>
          <cell r="R501">
            <v>3</v>
          </cell>
          <cell r="S501" t="str">
            <v>本</v>
          </cell>
          <cell r="T501">
            <v>44704</v>
          </cell>
          <cell r="U501">
            <v>44740</v>
          </cell>
          <cell r="V501" t="str">
            <v>㈱須賀川東部鏡石</v>
          </cell>
          <cell r="W501"/>
          <cell r="X501"/>
        </row>
        <row r="502">
          <cell r="A502">
            <v>3662769</v>
          </cell>
          <cell r="B502" t="str">
            <v>福島コーティング</v>
          </cell>
          <cell r="C502" t="str">
            <v>プロセス材１課</v>
          </cell>
          <cell r="D502" t="str">
            <v>ダミー担当者</v>
          </cell>
          <cell r="E502" t="str">
            <v>リンテック㈱</v>
          </cell>
          <cell r="F502">
            <v>3</v>
          </cell>
          <cell r="G502" t="str">
            <v>S</v>
          </cell>
          <cell r="H502" t="str">
            <v>N</v>
          </cell>
          <cell r="I502" t="str">
            <v>CERA</v>
          </cell>
          <cell r="J502"/>
          <cell r="K502" t="str">
            <v>WZS</v>
          </cell>
          <cell r="L502">
            <v>38</v>
          </cell>
          <cell r="M502" t="str">
            <v>セラピール　　　　　　　　　　　ＷＺ（Ｓ）</v>
          </cell>
          <cell r="N502">
            <v>1415</v>
          </cell>
          <cell r="O502">
            <v>1410</v>
          </cell>
          <cell r="P502">
            <v>8000</v>
          </cell>
          <cell r="Q502">
            <v>2</v>
          </cell>
          <cell r="R502">
            <v>9</v>
          </cell>
          <cell r="S502" t="str">
            <v>本</v>
          </cell>
          <cell r="T502">
            <v>44704</v>
          </cell>
          <cell r="U502">
            <v>44732</v>
          </cell>
          <cell r="V502" t="str">
            <v>㈱須賀川東部鏡石</v>
          </cell>
          <cell r="W502"/>
          <cell r="X502"/>
        </row>
        <row r="503">
          <cell r="A503">
            <v>3662770</v>
          </cell>
          <cell r="B503" t="str">
            <v>福島コーティング</v>
          </cell>
          <cell r="C503" t="str">
            <v>工材３部工材１課</v>
          </cell>
          <cell r="D503" t="str">
            <v>ダミー担当者</v>
          </cell>
          <cell r="E503" t="str">
            <v>フジコピアン　岡山</v>
          </cell>
          <cell r="F503">
            <v>3</v>
          </cell>
          <cell r="G503" t="str">
            <v>S</v>
          </cell>
          <cell r="H503" t="str">
            <v>N</v>
          </cell>
          <cell r="I503" t="str">
            <v>CERA</v>
          </cell>
          <cell r="J503"/>
          <cell r="K503" t="str">
            <v>WZU</v>
          </cell>
          <cell r="L503">
            <v>25</v>
          </cell>
          <cell r="M503" t="str">
            <v>セラピール　　　　　　　　　　　ＷＺ（Ｕ）</v>
          </cell>
          <cell r="N503">
            <v>1155</v>
          </cell>
          <cell r="O503">
            <v>1150</v>
          </cell>
          <cell r="P503">
            <v>12400</v>
          </cell>
          <cell r="Q503">
            <v>2</v>
          </cell>
          <cell r="R503">
            <v>2</v>
          </cell>
          <cell r="S503" t="str">
            <v>本</v>
          </cell>
          <cell r="T503">
            <v>44704</v>
          </cell>
          <cell r="U503">
            <v>44740</v>
          </cell>
          <cell r="V503" t="str">
            <v>㈱須賀川東部鏡石</v>
          </cell>
          <cell r="W503"/>
          <cell r="X503"/>
        </row>
        <row r="504">
          <cell r="A504">
            <v>3662771</v>
          </cell>
          <cell r="B504" t="str">
            <v>福島コーティング</v>
          </cell>
          <cell r="C504" t="str">
            <v>工材１部電材課</v>
          </cell>
          <cell r="D504" t="str">
            <v>ダミー担当者</v>
          </cell>
          <cell r="E504" t="str">
            <v>積水化学武蔵工場</v>
          </cell>
          <cell r="F504">
            <v>3</v>
          </cell>
          <cell r="G504" t="str">
            <v>S</v>
          </cell>
          <cell r="H504" t="str">
            <v>N</v>
          </cell>
          <cell r="I504" t="str">
            <v>CERA</v>
          </cell>
          <cell r="J504"/>
          <cell r="K504" t="str">
            <v>BKU</v>
          </cell>
          <cell r="L504">
            <v>25</v>
          </cell>
          <cell r="M504" t="str">
            <v>セラピ－ル　ＢＫ（Ｕ）</v>
          </cell>
          <cell r="N504">
            <v>890</v>
          </cell>
          <cell r="O504">
            <v>890</v>
          </cell>
          <cell r="P504">
            <v>3800</v>
          </cell>
          <cell r="Q504">
            <v>2</v>
          </cell>
          <cell r="R504">
            <v>3</v>
          </cell>
          <cell r="S504" t="str">
            <v>本</v>
          </cell>
          <cell r="T504">
            <v>44704</v>
          </cell>
          <cell r="U504">
            <v>44740</v>
          </cell>
          <cell r="V504" t="str">
            <v>㈱須賀川東部鏡石</v>
          </cell>
          <cell r="W504"/>
          <cell r="X504"/>
        </row>
        <row r="505">
          <cell r="A505">
            <v>3662772</v>
          </cell>
          <cell r="B505" t="str">
            <v>福島コーティング</v>
          </cell>
          <cell r="C505" t="str">
            <v>工材１部電材課</v>
          </cell>
          <cell r="D505" t="str">
            <v>ダミー担当者</v>
          </cell>
          <cell r="E505" t="str">
            <v>パナック㈱亀山工場</v>
          </cell>
          <cell r="F505">
            <v>3</v>
          </cell>
          <cell r="G505" t="str">
            <v>S</v>
          </cell>
          <cell r="H505" t="str">
            <v>N</v>
          </cell>
          <cell r="I505" t="str">
            <v>CERA</v>
          </cell>
          <cell r="J505"/>
          <cell r="K505" t="str">
            <v>BKE09</v>
          </cell>
          <cell r="L505">
            <v>38</v>
          </cell>
          <cell r="M505" t="str">
            <v>セラピール　ＢＫＥ（０９）</v>
          </cell>
          <cell r="N505">
            <v>1057</v>
          </cell>
          <cell r="O505">
            <v>1050</v>
          </cell>
          <cell r="P505">
            <v>8400</v>
          </cell>
          <cell r="Q505">
            <v>2</v>
          </cell>
          <cell r="R505">
            <v>30</v>
          </cell>
          <cell r="S505" t="str">
            <v>本</v>
          </cell>
          <cell r="T505">
            <v>44704</v>
          </cell>
          <cell r="U505">
            <v>44740</v>
          </cell>
          <cell r="V505" t="str">
            <v>㈱須賀川東部鏡石</v>
          </cell>
          <cell r="W505"/>
          <cell r="X505"/>
        </row>
        <row r="506">
          <cell r="A506">
            <v>3662773</v>
          </cell>
          <cell r="B506" t="str">
            <v>福島コーティング</v>
          </cell>
          <cell r="C506" t="str">
            <v>工材１部電材課</v>
          </cell>
          <cell r="D506" t="str">
            <v>ダミー担当者</v>
          </cell>
          <cell r="E506" t="str">
            <v>パナック㈱亀山工場</v>
          </cell>
          <cell r="F506">
            <v>331</v>
          </cell>
          <cell r="G506" t="str">
            <v>S</v>
          </cell>
          <cell r="H506" t="str">
            <v>N</v>
          </cell>
          <cell r="I506" t="str">
            <v>CERA</v>
          </cell>
          <cell r="J506"/>
          <cell r="K506" t="str">
            <v>BKERXPT</v>
          </cell>
          <cell r="L506">
            <v>38</v>
          </cell>
          <cell r="M506" t="str">
            <v>セラピール　ＢＫＥ（ＲＸ）</v>
          </cell>
          <cell r="N506">
            <v>1330</v>
          </cell>
          <cell r="O506">
            <v>1330</v>
          </cell>
          <cell r="P506">
            <v>6000</v>
          </cell>
          <cell r="Q506">
            <v>2</v>
          </cell>
          <cell r="R506">
            <v>30</v>
          </cell>
          <cell r="S506" t="str">
            <v>本</v>
          </cell>
          <cell r="T506">
            <v>44704</v>
          </cell>
          <cell r="U506">
            <v>44740</v>
          </cell>
          <cell r="V506" t="str">
            <v>㈱須賀川東部鏡石</v>
          </cell>
          <cell r="W506"/>
          <cell r="X506"/>
        </row>
        <row r="507">
          <cell r="A507">
            <v>3662774</v>
          </cell>
          <cell r="B507" t="str">
            <v>福島コーティング</v>
          </cell>
          <cell r="C507" t="str">
            <v>光学機能材１課</v>
          </cell>
          <cell r="D507" t="str">
            <v>ダミー担当者</v>
          </cell>
          <cell r="E507" t="str">
            <v>㈱きもと　三重工場</v>
          </cell>
          <cell r="F507">
            <v>3</v>
          </cell>
          <cell r="G507" t="str">
            <v>S</v>
          </cell>
          <cell r="H507" t="str">
            <v>N</v>
          </cell>
          <cell r="I507" t="str">
            <v>CERA</v>
          </cell>
          <cell r="J507"/>
          <cell r="K507" t="str">
            <v>BKUK</v>
          </cell>
          <cell r="L507">
            <v>25</v>
          </cell>
          <cell r="M507" t="str">
            <v>セラピール　ＢＫ（Ｕ）Ｋ</v>
          </cell>
          <cell r="N507">
            <v>1045</v>
          </cell>
          <cell r="O507">
            <v>1040</v>
          </cell>
          <cell r="P507">
            <v>6000</v>
          </cell>
          <cell r="Q507">
            <v>2</v>
          </cell>
          <cell r="R507">
            <v>16</v>
          </cell>
          <cell r="S507" t="str">
            <v>本</v>
          </cell>
          <cell r="T507">
            <v>44704</v>
          </cell>
          <cell r="U507">
            <v>44740</v>
          </cell>
          <cell r="V507" t="str">
            <v>㈱須賀川東部鏡石</v>
          </cell>
          <cell r="W507"/>
          <cell r="X507"/>
        </row>
        <row r="508">
          <cell r="A508">
            <v>3662775</v>
          </cell>
          <cell r="B508" t="str">
            <v>福島コーティング</v>
          </cell>
          <cell r="C508" t="str">
            <v>光学機能材１課</v>
          </cell>
          <cell r="D508" t="str">
            <v>ダミー担当者</v>
          </cell>
          <cell r="E508" t="str">
            <v>㈱きもと　三重工場</v>
          </cell>
          <cell r="F508">
            <v>3</v>
          </cell>
          <cell r="G508" t="str">
            <v>S</v>
          </cell>
          <cell r="H508" t="str">
            <v>N</v>
          </cell>
          <cell r="I508" t="str">
            <v>CERA</v>
          </cell>
          <cell r="J508"/>
          <cell r="K508" t="str">
            <v>BKUK</v>
          </cell>
          <cell r="L508">
            <v>25</v>
          </cell>
          <cell r="M508" t="str">
            <v>セラピール　ＢＫ（Ｕ）Ｋ</v>
          </cell>
          <cell r="N508">
            <v>1085</v>
          </cell>
          <cell r="O508">
            <v>1080</v>
          </cell>
          <cell r="P508">
            <v>6000</v>
          </cell>
          <cell r="Q508">
            <v>2</v>
          </cell>
          <cell r="R508">
            <v>4</v>
          </cell>
          <cell r="S508" t="str">
            <v>本</v>
          </cell>
          <cell r="T508">
            <v>44704</v>
          </cell>
          <cell r="U508">
            <v>44740</v>
          </cell>
          <cell r="V508" t="str">
            <v>㈱須賀川東部鏡石</v>
          </cell>
          <cell r="W508"/>
          <cell r="X508"/>
        </row>
        <row r="509">
          <cell r="A509">
            <v>3662776</v>
          </cell>
          <cell r="B509" t="str">
            <v>福島コーティング</v>
          </cell>
          <cell r="C509" t="str">
            <v>工材１部電材課</v>
          </cell>
          <cell r="D509" t="str">
            <v>ダミー担当者</v>
          </cell>
          <cell r="E509" t="str">
            <v>㈱巴川製紙所</v>
          </cell>
          <cell r="F509">
            <v>331</v>
          </cell>
          <cell r="G509" t="str">
            <v>S</v>
          </cell>
          <cell r="H509" t="str">
            <v>N</v>
          </cell>
          <cell r="I509" t="str">
            <v>CERA</v>
          </cell>
          <cell r="J509"/>
          <cell r="K509" t="str">
            <v>BKERXT</v>
          </cell>
          <cell r="L509">
            <v>38</v>
          </cell>
          <cell r="M509" t="str">
            <v>セラピール　ＢＫＥ（ＲＸ）</v>
          </cell>
          <cell r="N509">
            <v>1330</v>
          </cell>
          <cell r="O509">
            <v>1330</v>
          </cell>
          <cell r="P509">
            <v>6000</v>
          </cell>
          <cell r="Q509">
            <v>2</v>
          </cell>
          <cell r="R509">
            <v>8</v>
          </cell>
          <cell r="S509" t="str">
            <v>本</v>
          </cell>
          <cell r="T509">
            <v>44704</v>
          </cell>
          <cell r="U509">
            <v>44740</v>
          </cell>
          <cell r="V509" t="str">
            <v>㈱須賀川東部鏡石</v>
          </cell>
          <cell r="W509"/>
          <cell r="X509"/>
        </row>
        <row r="510">
          <cell r="A510">
            <v>3662777</v>
          </cell>
          <cell r="B510" t="str">
            <v>福島コーティング</v>
          </cell>
          <cell r="C510" t="str">
            <v>工材１部大阪電材課</v>
          </cell>
          <cell r="D510" t="str">
            <v>ダミー担当者</v>
          </cell>
          <cell r="E510" t="str">
            <v>双信電機㈱</v>
          </cell>
          <cell r="F510">
            <v>3</v>
          </cell>
          <cell r="G510" t="str">
            <v>S</v>
          </cell>
          <cell r="H510" t="str">
            <v>N</v>
          </cell>
          <cell r="I510" t="str">
            <v>CERANS</v>
          </cell>
          <cell r="J510"/>
          <cell r="K510" t="str">
            <v>HP2UDF</v>
          </cell>
          <cell r="L510">
            <v>75</v>
          </cell>
          <cell r="M510" t="str">
            <v>セラピール　ＨＰ２（Ｕ）Ｄ</v>
          </cell>
          <cell r="N510">
            <v>600</v>
          </cell>
          <cell r="O510">
            <v>600</v>
          </cell>
          <cell r="P510">
            <v>600</v>
          </cell>
          <cell r="Q510">
            <v>2</v>
          </cell>
          <cell r="R510">
            <v>24</v>
          </cell>
          <cell r="S510" t="str">
            <v>本</v>
          </cell>
          <cell r="T510">
            <v>44704</v>
          </cell>
          <cell r="U510">
            <v>44727</v>
          </cell>
          <cell r="V510" t="str">
            <v>㈱須賀川東部鏡石</v>
          </cell>
          <cell r="W510"/>
          <cell r="X510"/>
        </row>
        <row r="511">
          <cell r="A511">
            <v>3662778</v>
          </cell>
          <cell r="B511" t="str">
            <v>福島コーティング</v>
          </cell>
          <cell r="C511" t="str">
            <v>プロセス材１課</v>
          </cell>
          <cell r="D511" t="str">
            <v>ダミー担当者</v>
          </cell>
          <cell r="E511" t="str">
            <v>王子タック㈱本社</v>
          </cell>
          <cell r="F511" t="str">
            <v>33S</v>
          </cell>
          <cell r="G511" t="str">
            <v>S</v>
          </cell>
          <cell r="H511" t="str">
            <v>N</v>
          </cell>
          <cell r="I511" t="str">
            <v>CLB</v>
          </cell>
          <cell r="J511"/>
          <cell r="K511" t="str">
            <v>LTL</v>
          </cell>
          <cell r="L511">
            <v>25</v>
          </cell>
          <cell r="M511" t="str">
            <v>ルミラー　ＴＬ</v>
          </cell>
          <cell r="N511">
            <v>1120</v>
          </cell>
          <cell r="O511">
            <v>1120</v>
          </cell>
          <cell r="P511">
            <v>12000</v>
          </cell>
          <cell r="Q511">
            <v>2</v>
          </cell>
          <cell r="R511">
            <v>2</v>
          </cell>
          <cell r="S511" t="str">
            <v>本</v>
          </cell>
          <cell r="T511">
            <v>44704</v>
          </cell>
          <cell r="U511">
            <v>44727</v>
          </cell>
          <cell r="V511" t="str">
            <v>㈱須賀川東部鏡石</v>
          </cell>
          <cell r="W511"/>
          <cell r="X511"/>
        </row>
        <row r="512">
          <cell r="A512">
            <v>3662782</v>
          </cell>
          <cell r="B512" t="str">
            <v>機能Ｆ　受託福島原価</v>
          </cell>
          <cell r="C512" t="str">
            <v>プロセス材２課</v>
          </cell>
          <cell r="D512" t="str">
            <v>ダミー担当者</v>
          </cell>
          <cell r="E512"/>
          <cell r="F512" t="str">
            <v>33S</v>
          </cell>
          <cell r="G512" t="str">
            <v>T</v>
          </cell>
          <cell r="H512" t="str">
            <v>Y</v>
          </cell>
          <cell r="I512" t="str">
            <v>JTC</v>
          </cell>
          <cell r="J512"/>
          <cell r="K512" t="str">
            <v>STHCE</v>
          </cell>
          <cell r="L512">
            <v>38</v>
          </cell>
          <cell r="M512" t="str">
            <v>ＴＲ－ＰＲＨＣ＝ＨＣＰＥＴ－ＴＡ２０－Ｅ</v>
          </cell>
          <cell r="N512">
            <v>715</v>
          </cell>
          <cell r="O512">
            <v>715</v>
          </cell>
          <cell r="P512">
            <v>3920</v>
          </cell>
          <cell r="Q512">
            <v>2</v>
          </cell>
          <cell r="R512">
            <v>6</v>
          </cell>
          <cell r="S512" t="str">
            <v>本</v>
          </cell>
          <cell r="T512">
            <v>44704</v>
          </cell>
          <cell r="U512">
            <v>44733</v>
          </cell>
          <cell r="V512" t="str">
            <v>㈱須賀川東部鏡石</v>
          </cell>
          <cell r="W512"/>
          <cell r="X512"/>
        </row>
        <row r="513">
          <cell r="A513">
            <v>3662783</v>
          </cell>
          <cell r="B513" t="str">
            <v>福島コーティング</v>
          </cell>
          <cell r="C513" t="str">
            <v>プロセス材２課</v>
          </cell>
          <cell r="D513" t="str">
            <v>ダミー担当者</v>
          </cell>
          <cell r="E513" t="str">
            <v>藤森工業㈱掛川事業所</v>
          </cell>
          <cell r="F513">
            <v>3</v>
          </cell>
          <cell r="G513" t="str">
            <v>S</v>
          </cell>
          <cell r="H513" t="str">
            <v>N</v>
          </cell>
          <cell r="I513" t="str">
            <v>CLB</v>
          </cell>
          <cell r="J513"/>
          <cell r="K513" t="str">
            <v>PETTL</v>
          </cell>
          <cell r="L513">
            <v>38</v>
          </cell>
          <cell r="M513" t="str">
            <v>ＰＥＴ　ＴＬ</v>
          </cell>
          <cell r="N513">
            <v>1320</v>
          </cell>
          <cell r="O513">
            <v>1320</v>
          </cell>
          <cell r="P513">
            <v>4200</v>
          </cell>
          <cell r="Q513">
            <v>2</v>
          </cell>
          <cell r="R513">
            <v>9</v>
          </cell>
          <cell r="S513" t="str">
            <v>本</v>
          </cell>
          <cell r="T513">
            <v>44704</v>
          </cell>
          <cell r="U513">
            <v>44733</v>
          </cell>
          <cell r="V513" t="str">
            <v>㈱須賀川東部鏡石</v>
          </cell>
          <cell r="W513"/>
          <cell r="X513"/>
        </row>
        <row r="514">
          <cell r="A514">
            <v>3662803</v>
          </cell>
          <cell r="B514" t="str">
            <v>福島コーティング</v>
          </cell>
          <cell r="C514" t="str">
            <v>プロセス材１課</v>
          </cell>
          <cell r="D514" t="str">
            <v>ダミー担当者</v>
          </cell>
          <cell r="E514" t="str">
            <v>リンテック㈱</v>
          </cell>
          <cell r="F514">
            <v>3</v>
          </cell>
          <cell r="G514" t="str">
            <v>S</v>
          </cell>
          <cell r="H514" t="str">
            <v>N</v>
          </cell>
          <cell r="I514" t="str">
            <v>CLB</v>
          </cell>
          <cell r="J514"/>
          <cell r="K514" t="str">
            <v>PETMV</v>
          </cell>
          <cell r="L514">
            <v>25</v>
          </cell>
          <cell r="M514" t="str">
            <v>ＰＥＴ　マットＶ</v>
          </cell>
          <cell r="N514">
            <v>1005</v>
          </cell>
          <cell r="O514">
            <v>1000</v>
          </cell>
          <cell r="P514">
            <v>4000</v>
          </cell>
          <cell r="Q514">
            <v>2</v>
          </cell>
          <cell r="R514">
            <v>6</v>
          </cell>
          <cell r="S514" t="str">
            <v>本</v>
          </cell>
          <cell r="T514">
            <v>44704</v>
          </cell>
          <cell r="U514">
            <v>44722</v>
          </cell>
          <cell r="V514" t="str">
            <v>㈱須賀川東部鏡石</v>
          </cell>
          <cell r="W514"/>
          <cell r="X514"/>
        </row>
        <row r="515">
          <cell r="A515">
            <v>3662819</v>
          </cell>
          <cell r="B515" t="str">
            <v>福島コーティング</v>
          </cell>
          <cell r="C515" t="str">
            <v>プロセス材１課</v>
          </cell>
          <cell r="D515" t="str">
            <v>ダミー担当者</v>
          </cell>
          <cell r="E515" t="str">
            <v>リンテック㈱</v>
          </cell>
          <cell r="F515">
            <v>3</v>
          </cell>
          <cell r="G515" t="str">
            <v>S</v>
          </cell>
          <cell r="H515" t="str">
            <v>N</v>
          </cell>
          <cell r="I515" t="str">
            <v>CLB</v>
          </cell>
          <cell r="J515"/>
          <cell r="K515" t="str">
            <v>E20V</v>
          </cell>
          <cell r="L515">
            <v>38</v>
          </cell>
          <cell r="M515" t="str">
            <v>ルミラー　Ｅ－２０　Ｖ</v>
          </cell>
          <cell r="N515">
            <v>1005</v>
          </cell>
          <cell r="O515">
            <v>1000</v>
          </cell>
          <cell r="P515">
            <v>4000</v>
          </cell>
          <cell r="Q515">
            <v>2</v>
          </cell>
          <cell r="R515">
            <v>1</v>
          </cell>
          <cell r="S515" t="str">
            <v>本</v>
          </cell>
          <cell r="T515">
            <v>44704</v>
          </cell>
          <cell r="U515">
            <v>44732</v>
          </cell>
          <cell r="V515" t="str">
            <v>㈱須賀川東部鏡石</v>
          </cell>
          <cell r="W515"/>
          <cell r="X515"/>
        </row>
        <row r="516">
          <cell r="A516">
            <v>3662820</v>
          </cell>
          <cell r="B516" t="str">
            <v>福島コーティング</v>
          </cell>
          <cell r="C516" t="str">
            <v>プロセス材１課</v>
          </cell>
          <cell r="D516" t="str">
            <v>ダミー担当者</v>
          </cell>
          <cell r="E516" t="str">
            <v>リンテック㈱</v>
          </cell>
          <cell r="F516">
            <v>3</v>
          </cell>
          <cell r="G516" t="str">
            <v>S</v>
          </cell>
          <cell r="H516" t="str">
            <v>N</v>
          </cell>
          <cell r="I516" t="str">
            <v>CLB</v>
          </cell>
          <cell r="J516"/>
          <cell r="K516" t="str">
            <v>E20V</v>
          </cell>
          <cell r="L516">
            <v>50</v>
          </cell>
          <cell r="M516" t="str">
            <v>ルミラー　Ｅ－２０　Ｖ</v>
          </cell>
          <cell r="N516">
            <v>1002</v>
          </cell>
          <cell r="O516">
            <v>1000</v>
          </cell>
          <cell r="P516">
            <v>4000</v>
          </cell>
          <cell r="Q516">
            <v>2</v>
          </cell>
          <cell r="R516">
            <v>3</v>
          </cell>
          <cell r="S516" t="str">
            <v>本</v>
          </cell>
          <cell r="T516">
            <v>44704</v>
          </cell>
          <cell r="U516">
            <v>44727</v>
          </cell>
          <cell r="V516" t="str">
            <v>㈱須賀川東部鏡石</v>
          </cell>
          <cell r="W516"/>
          <cell r="X516"/>
        </row>
        <row r="517">
          <cell r="A517">
            <v>3662821</v>
          </cell>
          <cell r="B517" t="str">
            <v>福島コーティング</v>
          </cell>
          <cell r="C517" t="str">
            <v>プロセス材１課</v>
          </cell>
          <cell r="D517" t="str">
            <v>ダミー担当者</v>
          </cell>
          <cell r="E517" t="str">
            <v>リンテック㈱</v>
          </cell>
          <cell r="F517">
            <v>3</v>
          </cell>
          <cell r="G517" t="str">
            <v>S</v>
          </cell>
          <cell r="H517" t="str">
            <v>N</v>
          </cell>
          <cell r="I517" t="str">
            <v>CLB</v>
          </cell>
          <cell r="J517"/>
          <cell r="K517" t="str">
            <v>E20V</v>
          </cell>
          <cell r="L517">
            <v>75</v>
          </cell>
          <cell r="M517" t="str">
            <v>ルミラー　Ｅ－２０　Ｖ</v>
          </cell>
          <cell r="N517">
            <v>1002</v>
          </cell>
          <cell r="O517">
            <v>1000</v>
          </cell>
          <cell r="P517">
            <v>3000</v>
          </cell>
          <cell r="Q517">
            <v>2</v>
          </cell>
          <cell r="R517">
            <v>3</v>
          </cell>
          <cell r="S517" t="str">
            <v>本</v>
          </cell>
          <cell r="T517">
            <v>44704</v>
          </cell>
          <cell r="U517">
            <v>44727</v>
          </cell>
          <cell r="V517" t="str">
            <v>㈱須賀川東部鏡石</v>
          </cell>
          <cell r="W517"/>
          <cell r="X517"/>
        </row>
        <row r="518">
          <cell r="A518">
            <v>3662822</v>
          </cell>
          <cell r="B518" t="str">
            <v>福島コーティング</v>
          </cell>
          <cell r="C518" t="str">
            <v>プロセス材１課</v>
          </cell>
          <cell r="D518" t="str">
            <v>ダミー担当者</v>
          </cell>
          <cell r="E518" t="str">
            <v>リンテック㈱</v>
          </cell>
          <cell r="F518">
            <v>3</v>
          </cell>
          <cell r="G518" t="str">
            <v>S</v>
          </cell>
          <cell r="H518" t="str">
            <v>N</v>
          </cell>
          <cell r="I518" t="str">
            <v>CLB</v>
          </cell>
          <cell r="J518"/>
          <cell r="K518" t="str">
            <v>E20V</v>
          </cell>
          <cell r="L518">
            <v>100</v>
          </cell>
          <cell r="M518" t="str">
            <v>ルミラー　Ｅ－２０　Ｖ</v>
          </cell>
          <cell r="N518">
            <v>1005</v>
          </cell>
          <cell r="O518">
            <v>1000</v>
          </cell>
          <cell r="P518">
            <v>2000</v>
          </cell>
          <cell r="Q518">
            <v>2</v>
          </cell>
          <cell r="R518">
            <v>2</v>
          </cell>
          <cell r="S518" t="str">
            <v>本</v>
          </cell>
          <cell r="T518">
            <v>44704</v>
          </cell>
          <cell r="U518">
            <v>44727</v>
          </cell>
          <cell r="V518" t="str">
            <v>㈱須賀川東部鏡石</v>
          </cell>
          <cell r="W518"/>
          <cell r="X518"/>
        </row>
        <row r="519">
          <cell r="A519">
            <v>3663193</v>
          </cell>
          <cell r="B519" t="str">
            <v>情材福島開発</v>
          </cell>
          <cell r="C519" t="str">
            <v>工材１部電材課</v>
          </cell>
          <cell r="D519" t="str">
            <v>ダミー担当者</v>
          </cell>
          <cell r="E519"/>
          <cell r="F519">
            <v>3</v>
          </cell>
          <cell r="G519" t="str">
            <v>U</v>
          </cell>
          <cell r="H519" t="str">
            <v>Y</v>
          </cell>
          <cell r="I519" t="str">
            <v>CERANS</v>
          </cell>
          <cell r="J519"/>
          <cell r="K519">
            <v>27114</v>
          </cell>
          <cell r="L519">
            <v>75</v>
          </cell>
          <cell r="M519" t="str">
            <v>ＣＥＲＡＰＥＥＬ　ＰＪ２７１（１４）</v>
          </cell>
          <cell r="N519">
            <v>1300</v>
          </cell>
          <cell r="O519">
            <v>1300</v>
          </cell>
          <cell r="P519">
            <v>1900</v>
          </cell>
          <cell r="Q519">
            <v>2</v>
          </cell>
          <cell r="R519">
            <v>1</v>
          </cell>
          <cell r="S519" t="str">
            <v>本</v>
          </cell>
          <cell r="T519">
            <v>44705</v>
          </cell>
          <cell r="U519">
            <v>44712</v>
          </cell>
          <cell r="V519" t="str">
            <v>福島工場ＣＯ</v>
          </cell>
          <cell r="W519"/>
          <cell r="X519"/>
        </row>
        <row r="520">
          <cell r="A520">
            <v>3663193</v>
          </cell>
          <cell r="B520" t="str">
            <v>情材福島開発</v>
          </cell>
          <cell r="C520" t="str">
            <v>工材１部電材課</v>
          </cell>
          <cell r="D520" t="str">
            <v>ダミー担当者</v>
          </cell>
          <cell r="E520"/>
          <cell r="F520">
            <v>3</v>
          </cell>
          <cell r="G520" t="str">
            <v>U</v>
          </cell>
          <cell r="H520" t="str">
            <v>Y</v>
          </cell>
          <cell r="I520" t="str">
            <v>CERANS</v>
          </cell>
          <cell r="J520"/>
          <cell r="K520">
            <v>27114</v>
          </cell>
          <cell r="L520">
            <v>75</v>
          </cell>
          <cell r="M520" t="str">
            <v>ＣＥＲＡＰＥＥＬ　ＰＪ２７１（１４）</v>
          </cell>
          <cell r="N520">
            <v>1300</v>
          </cell>
          <cell r="O520">
            <v>1300</v>
          </cell>
          <cell r="P520">
            <v>2000</v>
          </cell>
          <cell r="Q520">
            <v>2</v>
          </cell>
          <cell r="R520">
            <v>1</v>
          </cell>
          <cell r="S520" t="str">
            <v>本</v>
          </cell>
          <cell r="T520">
            <v>44705</v>
          </cell>
          <cell r="U520">
            <v>44712</v>
          </cell>
          <cell r="V520" t="str">
            <v>福島工場ＣＯ</v>
          </cell>
          <cell r="W520"/>
          <cell r="X520"/>
        </row>
        <row r="521">
          <cell r="A521">
            <v>3663972</v>
          </cell>
          <cell r="B521" t="str">
            <v>情材福島開発</v>
          </cell>
          <cell r="C521" t="str">
            <v>プロセス材２課</v>
          </cell>
          <cell r="D521" t="str">
            <v>ダミー担当者</v>
          </cell>
          <cell r="E521"/>
          <cell r="F521">
            <v>3</v>
          </cell>
          <cell r="G521" t="str">
            <v>U</v>
          </cell>
          <cell r="H521" t="str">
            <v>N</v>
          </cell>
          <cell r="I521" t="str">
            <v>CERA</v>
          </cell>
          <cell r="J521"/>
          <cell r="K521" t="str">
            <v>MFA45</v>
          </cell>
          <cell r="L521">
            <v>50</v>
          </cell>
          <cell r="M521" t="str">
            <v>セラピール　ＭＦＡ（４５）</v>
          </cell>
          <cell r="N521">
            <v>250</v>
          </cell>
          <cell r="O521">
            <v>250</v>
          </cell>
          <cell r="P521">
            <v>1000</v>
          </cell>
          <cell r="Q521">
            <v>2</v>
          </cell>
          <cell r="R521">
            <v>6</v>
          </cell>
          <cell r="S521" t="str">
            <v>本</v>
          </cell>
          <cell r="T521">
            <v>44711</v>
          </cell>
          <cell r="U521">
            <v>44742</v>
          </cell>
          <cell r="V521" t="str">
            <v>福島工場ＣＯ</v>
          </cell>
          <cell r="W521"/>
          <cell r="X521"/>
        </row>
        <row r="522">
          <cell r="A522">
            <v>3663973</v>
          </cell>
          <cell r="B522" t="str">
            <v>情材福島開発</v>
          </cell>
          <cell r="C522" t="str">
            <v>工材１部電材課</v>
          </cell>
          <cell r="D522" t="str">
            <v>ダミー担当者</v>
          </cell>
          <cell r="E522"/>
          <cell r="F522">
            <v>3</v>
          </cell>
          <cell r="G522" t="str">
            <v>U</v>
          </cell>
          <cell r="H522" t="str">
            <v>N</v>
          </cell>
          <cell r="I522" t="str">
            <v>CERA</v>
          </cell>
          <cell r="J522"/>
          <cell r="K522" t="str">
            <v>MFAS</v>
          </cell>
          <cell r="L522">
            <v>188</v>
          </cell>
          <cell r="M522" t="str">
            <v>セラピール　　　　　　　　　　　ＭＦＡ（Ｓ）</v>
          </cell>
          <cell r="N522">
            <v>500</v>
          </cell>
          <cell r="O522">
            <v>500</v>
          </cell>
          <cell r="P522">
            <v>400</v>
          </cell>
          <cell r="Q522">
            <v>2</v>
          </cell>
          <cell r="R522">
            <v>4</v>
          </cell>
          <cell r="S522" t="str">
            <v>本</v>
          </cell>
          <cell r="T522">
            <v>44711</v>
          </cell>
          <cell r="U522">
            <v>44742</v>
          </cell>
          <cell r="V522" t="str">
            <v>福島工場ＣＯ</v>
          </cell>
          <cell r="W522"/>
          <cell r="X522"/>
        </row>
        <row r="523">
          <cell r="A523">
            <v>3663973</v>
          </cell>
          <cell r="B523" t="str">
            <v>情材福島開発</v>
          </cell>
          <cell r="C523" t="str">
            <v>工材１部電材課</v>
          </cell>
          <cell r="D523" t="str">
            <v>ダミー担当者</v>
          </cell>
          <cell r="E523"/>
          <cell r="F523">
            <v>3</v>
          </cell>
          <cell r="G523" t="str">
            <v>U</v>
          </cell>
          <cell r="H523" t="str">
            <v>N</v>
          </cell>
          <cell r="I523" t="str">
            <v>CERA</v>
          </cell>
          <cell r="J523"/>
          <cell r="K523" t="str">
            <v>MFAS</v>
          </cell>
          <cell r="L523">
            <v>188</v>
          </cell>
          <cell r="M523" t="str">
            <v>セラピール　　　　　　　　　　　ＭＦＡ（Ｓ）</v>
          </cell>
          <cell r="N523">
            <v>500</v>
          </cell>
          <cell r="O523">
            <v>500</v>
          </cell>
          <cell r="P523">
            <v>300</v>
          </cell>
          <cell r="Q523">
            <v>2</v>
          </cell>
          <cell r="R523">
            <v>4</v>
          </cell>
          <cell r="S523" t="str">
            <v>本</v>
          </cell>
          <cell r="T523">
            <v>44711</v>
          </cell>
          <cell r="U523">
            <v>44742</v>
          </cell>
          <cell r="V523" t="str">
            <v>福島工場ＣＯ</v>
          </cell>
          <cell r="W523"/>
          <cell r="X523"/>
        </row>
        <row r="524">
          <cell r="A524">
            <v>3663973</v>
          </cell>
          <cell r="B524" t="str">
            <v>情材福島開発</v>
          </cell>
          <cell r="C524" t="str">
            <v>工材１部電材課</v>
          </cell>
          <cell r="D524" t="str">
            <v>ダミー担当者</v>
          </cell>
          <cell r="E524"/>
          <cell r="F524">
            <v>3</v>
          </cell>
          <cell r="G524" t="str">
            <v>U</v>
          </cell>
          <cell r="H524" t="str">
            <v>N</v>
          </cell>
          <cell r="I524" t="str">
            <v>CERA</v>
          </cell>
          <cell r="J524"/>
          <cell r="K524" t="str">
            <v>MFAS</v>
          </cell>
          <cell r="L524">
            <v>188</v>
          </cell>
          <cell r="M524" t="str">
            <v>セラピール　　　　　　　　　　　ＭＦＡ（Ｓ）</v>
          </cell>
          <cell r="N524">
            <v>500</v>
          </cell>
          <cell r="O524">
            <v>500</v>
          </cell>
          <cell r="P524">
            <v>200</v>
          </cell>
          <cell r="Q524">
            <v>2</v>
          </cell>
          <cell r="R524">
            <v>2</v>
          </cell>
          <cell r="S524" t="str">
            <v>本</v>
          </cell>
          <cell r="T524">
            <v>44711</v>
          </cell>
          <cell r="U524">
            <v>44742</v>
          </cell>
          <cell r="V524" t="str">
            <v>福島工場ＣＯ</v>
          </cell>
          <cell r="W524"/>
          <cell r="X524"/>
        </row>
        <row r="525">
          <cell r="A525">
            <v>3664085</v>
          </cell>
          <cell r="B525" t="str">
            <v>福島コーティング</v>
          </cell>
          <cell r="C525" t="str">
            <v>プロセス材２課</v>
          </cell>
          <cell r="D525" t="str">
            <v>ダミー担当者</v>
          </cell>
          <cell r="E525" t="str">
            <v>藤森工業㈱掛川事業所</v>
          </cell>
          <cell r="F525">
            <v>3</v>
          </cell>
          <cell r="G525" t="str">
            <v>S</v>
          </cell>
          <cell r="H525" t="str">
            <v>N</v>
          </cell>
          <cell r="I525" t="str">
            <v>CLB</v>
          </cell>
          <cell r="J525"/>
          <cell r="K525" t="str">
            <v>PETTL</v>
          </cell>
          <cell r="L525">
            <v>38</v>
          </cell>
          <cell r="M525" t="str">
            <v>ＰＥＴ　ＴＬ</v>
          </cell>
          <cell r="N525">
            <v>1320</v>
          </cell>
          <cell r="O525">
            <v>1320</v>
          </cell>
          <cell r="P525">
            <v>4200</v>
          </cell>
          <cell r="Q525">
            <v>2</v>
          </cell>
          <cell r="R525">
            <v>1</v>
          </cell>
          <cell r="S525" t="str">
            <v>本</v>
          </cell>
          <cell r="T525">
            <v>44712</v>
          </cell>
          <cell r="U525">
            <v>44742</v>
          </cell>
          <cell r="V525" t="str">
            <v>㈱須賀川東部鏡石</v>
          </cell>
          <cell r="W525"/>
          <cell r="X525"/>
        </row>
        <row r="526">
          <cell r="A526">
            <v>3667055</v>
          </cell>
          <cell r="B526" t="str">
            <v>福島コーティング</v>
          </cell>
          <cell r="C526" t="str">
            <v>工材１部電材課</v>
          </cell>
          <cell r="D526" t="str">
            <v>ダミー担当者</v>
          </cell>
          <cell r="E526" t="str">
            <v>古河電気工業㈱</v>
          </cell>
          <cell r="F526">
            <v>3</v>
          </cell>
          <cell r="G526" t="str">
            <v>S</v>
          </cell>
          <cell r="H526" t="str">
            <v>N</v>
          </cell>
          <cell r="I526" t="str">
            <v>CERA</v>
          </cell>
          <cell r="J526"/>
          <cell r="K526" t="str">
            <v>WZE</v>
          </cell>
          <cell r="L526">
            <v>38</v>
          </cell>
          <cell r="M526" t="str">
            <v>セラピール　　　　　　　　　　　ＷＺ（Ｅ）</v>
          </cell>
          <cell r="N526">
            <v>1240</v>
          </cell>
          <cell r="O526">
            <v>1240</v>
          </cell>
          <cell r="P526">
            <v>6000</v>
          </cell>
          <cell r="Q526">
            <v>2</v>
          </cell>
          <cell r="R526">
            <v>4</v>
          </cell>
          <cell r="S526" t="str">
            <v>本</v>
          </cell>
          <cell r="T526">
            <v>44734</v>
          </cell>
          <cell r="U526">
            <v>44753</v>
          </cell>
          <cell r="V526" t="str">
            <v>㈱須賀川東部鏡石</v>
          </cell>
          <cell r="W526"/>
          <cell r="X526"/>
        </row>
        <row r="527">
          <cell r="A527">
            <v>3667056</v>
          </cell>
          <cell r="B527" t="str">
            <v>福島コーティング</v>
          </cell>
          <cell r="C527" t="str">
            <v>工材１部電材課</v>
          </cell>
          <cell r="D527" t="str">
            <v>ダミー担当者</v>
          </cell>
          <cell r="E527" t="str">
            <v>東洋包材㈱</v>
          </cell>
          <cell r="F527">
            <v>3</v>
          </cell>
          <cell r="G527" t="str">
            <v>S</v>
          </cell>
          <cell r="H527" t="str">
            <v>N</v>
          </cell>
          <cell r="I527" t="str">
            <v>CERA</v>
          </cell>
          <cell r="J527"/>
          <cell r="K527" t="str">
            <v>WZRX</v>
          </cell>
          <cell r="L527">
            <v>38</v>
          </cell>
          <cell r="M527" t="str">
            <v>セラピール　ＷＺ（ＲＸ）　　　　　　</v>
          </cell>
          <cell r="N527">
            <v>1135</v>
          </cell>
          <cell r="O527">
            <v>1130</v>
          </cell>
          <cell r="P527">
            <v>6000</v>
          </cell>
          <cell r="Q527">
            <v>2</v>
          </cell>
          <cell r="R527">
            <v>4</v>
          </cell>
          <cell r="S527" t="str">
            <v>本</v>
          </cell>
          <cell r="T527">
            <v>44734</v>
          </cell>
          <cell r="U527">
            <v>44753</v>
          </cell>
          <cell r="V527" t="str">
            <v>㈱須賀川東部鏡石</v>
          </cell>
          <cell r="W527"/>
          <cell r="X527"/>
        </row>
        <row r="528">
          <cell r="A528">
            <v>3667057</v>
          </cell>
          <cell r="B528" t="str">
            <v>福島コーティング</v>
          </cell>
          <cell r="C528" t="str">
            <v>工材１部大阪電材課</v>
          </cell>
          <cell r="D528" t="str">
            <v>ダミー担当者</v>
          </cell>
          <cell r="E528" t="str">
            <v>東洋機材</v>
          </cell>
          <cell r="F528">
            <v>3</v>
          </cell>
          <cell r="G528" t="str">
            <v>S</v>
          </cell>
          <cell r="H528" t="str">
            <v>N</v>
          </cell>
          <cell r="I528" t="str">
            <v>CERA</v>
          </cell>
          <cell r="J528"/>
          <cell r="K528" t="str">
            <v>WZS</v>
          </cell>
          <cell r="L528">
            <v>125</v>
          </cell>
          <cell r="M528" t="str">
            <v>セラピール　ＷＺ（Ｓ）</v>
          </cell>
          <cell r="N528">
            <v>1230</v>
          </cell>
          <cell r="O528">
            <v>1225</v>
          </cell>
          <cell r="P528">
            <v>1800</v>
          </cell>
          <cell r="Q528">
            <v>2</v>
          </cell>
          <cell r="R528">
            <v>1</v>
          </cell>
          <cell r="S528" t="str">
            <v>本</v>
          </cell>
          <cell r="T528">
            <v>44734</v>
          </cell>
          <cell r="U528">
            <v>44753</v>
          </cell>
          <cell r="V528" t="str">
            <v>㈱須賀川東部鏡石</v>
          </cell>
          <cell r="W528"/>
          <cell r="X528"/>
        </row>
        <row r="529">
          <cell r="A529">
            <v>3667058</v>
          </cell>
          <cell r="B529" t="str">
            <v>福島コーティング</v>
          </cell>
          <cell r="C529" t="str">
            <v>工材１部電材課</v>
          </cell>
          <cell r="D529" t="str">
            <v>ダミー担当者</v>
          </cell>
          <cell r="E529" t="str">
            <v>パナック㈱亀山工場</v>
          </cell>
          <cell r="F529">
            <v>3</v>
          </cell>
          <cell r="G529" t="str">
            <v>S</v>
          </cell>
          <cell r="H529" t="str">
            <v>N</v>
          </cell>
          <cell r="I529" t="str">
            <v>CERA</v>
          </cell>
          <cell r="J529"/>
          <cell r="K529" t="str">
            <v>WZ</v>
          </cell>
          <cell r="L529">
            <v>25</v>
          </cell>
          <cell r="M529" t="str">
            <v>セラピール　　　　　　　　　　　ＷＺ</v>
          </cell>
          <cell r="N529">
            <v>1145</v>
          </cell>
          <cell r="O529">
            <v>1145</v>
          </cell>
          <cell r="P529">
            <v>16300</v>
          </cell>
          <cell r="Q529">
            <v>2</v>
          </cell>
          <cell r="R529">
            <v>2</v>
          </cell>
          <cell r="S529" t="str">
            <v>本</v>
          </cell>
          <cell r="T529">
            <v>44734</v>
          </cell>
          <cell r="U529">
            <v>44753</v>
          </cell>
          <cell r="V529" t="str">
            <v>福島工場ＣＯ２次スリ</v>
          </cell>
          <cell r="W529"/>
          <cell r="X529"/>
        </row>
        <row r="530">
          <cell r="A530">
            <v>3667059</v>
          </cell>
          <cell r="B530" t="str">
            <v>福島コーティング</v>
          </cell>
          <cell r="C530" t="str">
            <v>工材１部電材課</v>
          </cell>
          <cell r="D530" t="str">
            <v>ダミー担当者</v>
          </cell>
          <cell r="E530" t="str">
            <v>パナック㈱亀山工場</v>
          </cell>
          <cell r="F530">
            <v>3</v>
          </cell>
          <cell r="G530" t="str">
            <v>S</v>
          </cell>
          <cell r="H530" t="str">
            <v>N</v>
          </cell>
          <cell r="I530" t="str">
            <v>CERA</v>
          </cell>
          <cell r="J530"/>
          <cell r="K530" t="str">
            <v>WZ</v>
          </cell>
          <cell r="L530">
            <v>25</v>
          </cell>
          <cell r="M530" t="str">
            <v>セラピール　　　　　　　　　　　ＷＺ</v>
          </cell>
          <cell r="N530">
            <v>1325</v>
          </cell>
          <cell r="O530">
            <v>1320</v>
          </cell>
          <cell r="P530">
            <v>6000</v>
          </cell>
          <cell r="Q530">
            <v>2</v>
          </cell>
          <cell r="R530">
            <v>4</v>
          </cell>
          <cell r="S530" t="str">
            <v>本</v>
          </cell>
          <cell r="T530">
            <v>44734</v>
          </cell>
          <cell r="U530">
            <v>44753</v>
          </cell>
          <cell r="V530" t="str">
            <v>㈱須賀川東部鏡石</v>
          </cell>
          <cell r="W530"/>
          <cell r="X530"/>
        </row>
        <row r="531">
          <cell r="A531">
            <v>3667060</v>
          </cell>
          <cell r="B531" t="str">
            <v>情材福島原価</v>
          </cell>
          <cell r="C531" t="str">
            <v>プロセス材２課</v>
          </cell>
          <cell r="D531" t="str">
            <v>ダミー担当者</v>
          </cell>
          <cell r="E531" t="str">
            <v>日榮新化㈱</v>
          </cell>
          <cell r="F531">
            <v>3</v>
          </cell>
          <cell r="G531" t="str">
            <v>T</v>
          </cell>
          <cell r="H531" t="str">
            <v>N</v>
          </cell>
          <cell r="I531" t="str">
            <v>CERA</v>
          </cell>
          <cell r="J531"/>
          <cell r="K531" t="str">
            <v>WZS</v>
          </cell>
          <cell r="L531">
            <v>25</v>
          </cell>
          <cell r="M531" t="str">
            <v>セラピールＷＺ（Ｓ）</v>
          </cell>
          <cell r="N531">
            <v>1425</v>
          </cell>
          <cell r="O531">
            <v>1420</v>
          </cell>
          <cell r="P531">
            <v>12400</v>
          </cell>
          <cell r="Q531">
            <v>2</v>
          </cell>
          <cell r="R531">
            <v>10</v>
          </cell>
          <cell r="S531" t="str">
            <v>本</v>
          </cell>
          <cell r="T531">
            <v>44734</v>
          </cell>
          <cell r="U531">
            <v>44753</v>
          </cell>
          <cell r="V531" t="str">
            <v>㈱須賀川東部鏡石</v>
          </cell>
          <cell r="W531"/>
          <cell r="X531"/>
        </row>
        <row r="532">
          <cell r="A532">
            <v>3667060</v>
          </cell>
          <cell r="B532" t="str">
            <v>情材福島原価</v>
          </cell>
          <cell r="C532" t="str">
            <v>プロセス材２課</v>
          </cell>
          <cell r="D532" t="str">
            <v>ダミー担当者</v>
          </cell>
          <cell r="E532" t="str">
            <v>日榮新化㈱</v>
          </cell>
          <cell r="F532">
            <v>3</v>
          </cell>
          <cell r="G532" t="str">
            <v>T</v>
          </cell>
          <cell r="H532" t="str">
            <v>N</v>
          </cell>
          <cell r="I532" t="str">
            <v>CERA</v>
          </cell>
          <cell r="J532"/>
          <cell r="K532" t="str">
            <v>WZS</v>
          </cell>
          <cell r="L532">
            <v>25</v>
          </cell>
          <cell r="M532" t="str">
            <v>セラピールＷＺ（Ｓ）</v>
          </cell>
          <cell r="N532">
            <v>1425</v>
          </cell>
          <cell r="O532">
            <v>1420</v>
          </cell>
          <cell r="P532">
            <v>12400</v>
          </cell>
          <cell r="Q532">
            <v>2</v>
          </cell>
          <cell r="R532">
            <v>10</v>
          </cell>
          <cell r="S532" t="str">
            <v>本</v>
          </cell>
          <cell r="T532">
            <v>44734</v>
          </cell>
          <cell r="U532">
            <v>44753</v>
          </cell>
          <cell r="V532" t="str">
            <v>㈱須賀川東部鏡石</v>
          </cell>
          <cell r="W532"/>
          <cell r="X532"/>
        </row>
        <row r="533">
          <cell r="A533">
            <v>3667061</v>
          </cell>
          <cell r="B533" t="str">
            <v>福島コーティング</v>
          </cell>
          <cell r="C533" t="str">
            <v>工材１部電材課</v>
          </cell>
          <cell r="D533" t="str">
            <v>ダミー担当者</v>
          </cell>
          <cell r="E533" t="str">
            <v>古河電気工業㈱</v>
          </cell>
          <cell r="F533">
            <v>3</v>
          </cell>
          <cell r="G533" t="str">
            <v>S</v>
          </cell>
          <cell r="H533" t="str">
            <v>N</v>
          </cell>
          <cell r="I533" t="str">
            <v>CERA</v>
          </cell>
          <cell r="J533"/>
          <cell r="K533" t="str">
            <v>WZE</v>
          </cell>
          <cell r="L533">
            <v>25</v>
          </cell>
          <cell r="M533" t="str">
            <v>セラピール　　　　　　　　　　　ＷＺ（Ｅ）</v>
          </cell>
          <cell r="N533">
            <v>1040</v>
          </cell>
          <cell r="O533">
            <v>1040</v>
          </cell>
          <cell r="P533">
            <v>6000</v>
          </cell>
          <cell r="Q533">
            <v>2</v>
          </cell>
          <cell r="R533">
            <v>44</v>
          </cell>
          <cell r="S533" t="str">
            <v>本</v>
          </cell>
          <cell r="T533">
            <v>44734</v>
          </cell>
          <cell r="U533">
            <v>44753</v>
          </cell>
          <cell r="V533" t="str">
            <v>㈱須賀川東部鏡石</v>
          </cell>
          <cell r="W533"/>
          <cell r="X533"/>
        </row>
        <row r="534">
          <cell r="A534">
            <v>3667062</v>
          </cell>
          <cell r="B534" t="str">
            <v>情材福島原価</v>
          </cell>
          <cell r="C534" t="str">
            <v>工材１部電材課</v>
          </cell>
          <cell r="D534" t="str">
            <v>ダミー担当者</v>
          </cell>
          <cell r="E534" t="str">
            <v>藤産業㈱</v>
          </cell>
          <cell r="F534">
            <v>3</v>
          </cell>
          <cell r="G534" t="str">
            <v>T</v>
          </cell>
          <cell r="H534" t="str">
            <v>N</v>
          </cell>
          <cell r="I534" t="str">
            <v>CERA</v>
          </cell>
          <cell r="J534"/>
          <cell r="K534" t="str">
            <v>WZ34</v>
          </cell>
          <cell r="L534">
            <v>25</v>
          </cell>
          <cell r="M534" t="str">
            <v>セラピール　ＷＺ（３４）</v>
          </cell>
          <cell r="N534">
            <v>1410</v>
          </cell>
          <cell r="O534">
            <v>1410</v>
          </cell>
          <cell r="P534">
            <v>6000</v>
          </cell>
          <cell r="Q534">
            <v>2</v>
          </cell>
          <cell r="R534">
            <v>14</v>
          </cell>
          <cell r="S534" t="str">
            <v>本</v>
          </cell>
          <cell r="T534">
            <v>44734</v>
          </cell>
          <cell r="U534">
            <v>44753</v>
          </cell>
          <cell r="V534" t="str">
            <v>㈱須賀川東部鏡石</v>
          </cell>
          <cell r="W534"/>
          <cell r="X534"/>
        </row>
        <row r="535">
          <cell r="A535">
            <v>3667062</v>
          </cell>
          <cell r="B535" t="str">
            <v>情材福島原価</v>
          </cell>
          <cell r="C535" t="str">
            <v>工材１部電材課</v>
          </cell>
          <cell r="D535" t="str">
            <v>ダミー担当者</v>
          </cell>
          <cell r="E535" t="str">
            <v>藤産業㈱</v>
          </cell>
          <cell r="F535">
            <v>3</v>
          </cell>
          <cell r="G535" t="str">
            <v>T</v>
          </cell>
          <cell r="H535" t="str">
            <v>N</v>
          </cell>
          <cell r="I535" t="str">
            <v>CERA</v>
          </cell>
          <cell r="J535"/>
          <cell r="K535" t="str">
            <v>WZ34</v>
          </cell>
          <cell r="L535">
            <v>25</v>
          </cell>
          <cell r="M535" t="str">
            <v>セラピール　ＷＺ（３４）</v>
          </cell>
          <cell r="N535">
            <v>1410</v>
          </cell>
          <cell r="O535">
            <v>1410</v>
          </cell>
          <cell r="P535">
            <v>6000</v>
          </cell>
          <cell r="Q535">
            <v>2</v>
          </cell>
          <cell r="R535">
            <v>14</v>
          </cell>
          <cell r="S535" t="str">
            <v>本</v>
          </cell>
          <cell r="T535">
            <v>44734</v>
          </cell>
          <cell r="U535">
            <v>44753</v>
          </cell>
          <cell r="V535" t="str">
            <v>㈱須賀川東部鏡石</v>
          </cell>
          <cell r="W535"/>
          <cell r="X535"/>
        </row>
        <row r="536">
          <cell r="A536">
            <v>3667063</v>
          </cell>
          <cell r="B536" t="str">
            <v>福島コーティング</v>
          </cell>
          <cell r="C536" t="str">
            <v>プロセス材１課</v>
          </cell>
          <cell r="D536" t="str">
            <v>ダミー担当者</v>
          </cell>
          <cell r="E536" t="str">
            <v>リンテック㈱</v>
          </cell>
          <cell r="F536">
            <v>3</v>
          </cell>
          <cell r="G536" t="str">
            <v>S</v>
          </cell>
          <cell r="H536" t="str">
            <v>N</v>
          </cell>
          <cell r="I536" t="str">
            <v>CERA</v>
          </cell>
          <cell r="J536"/>
          <cell r="K536" t="str">
            <v>WZS</v>
          </cell>
          <cell r="L536">
            <v>38</v>
          </cell>
          <cell r="M536" t="str">
            <v>セラピール　　　　　　　　　　　ＷＺ（Ｓ）</v>
          </cell>
          <cell r="N536">
            <v>1005</v>
          </cell>
          <cell r="O536">
            <v>1000</v>
          </cell>
          <cell r="P536">
            <v>8000</v>
          </cell>
          <cell r="Q536">
            <v>2</v>
          </cell>
          <cell r="R536">
            <v>5</v>
          </cell>
          <cell r="S536" t="str">
            <v>本</v>
          </cell>
          <cell r="T536">
            <v>44734</v>
          </cell>
          <cell r="U536">
            <v>44767</v>
          </cell>
          <cell r="V536" t="str">
            <v>㈱須賀川東部鏡石</v>
          </cell>
          <cell r="W536"/>
          <cell r="X536"/>
        </row>
        <row r="537">
          <cell r="A537">
            <v>3667064</v>
          </cell>
          <cell r="B537" t="str">
            <v>福島コーティング</v>
          </cell>
          <cell r="C537" t="str">
            <v>プロセス材１課</v>
          </cell>
          <cell r="D537" t="str">
            <v>ダミー担当者</v>
          </cell>
          <cell r="E537" t="str">
            <v>リンテック㈱</v>
          </cell>
          <cell r="F537">
            <v>3</v>
          </cell>
          <cell r="G537" t="str">
            <v>S</v>
          </cell>
          <cell r="H537" t="str">
            <v>N</v>
          </cell>
          <cell r="I537" t="str">
            <v>CERA</v>
          </cell>
          <cell r="J537"/>
          <cell r="K537" t="str">
            <v>WZS</v>
          </cell>
          <cell r="L537">
            <v>38</v>
          </cell>
          <cell r="M537" t="str">
            <v>セラピール　　　　　　　　　　　ＷＺ（Ｓ）</v>
          </cell>
          <cell r="N537">
            <v>1005</v>
          </cell>
          <cell r="O537">
            <v>1000</v>
          </cell>
          <cell r="P537">
            <v>8000</v>
          </cell>
          <cell r="Q537">
            <v>2</v>
          </cell>
          <cell r="R537">
            <v>10</v>
          </cell>
          <cell r="S537" t="str">
            <v>本</v>
          </cell>
          <cell r="T537">
            <v>44734</v>
          </cell>
          <cell r="U537">
            <v>44774</v>
          </cell>
          <cell r="V537" t="str">
            <v>㈱須賀川東部鏡石</v>
          </cell>
          <cell r="W537"/>
          <cell r="X537"/>
        </row>
        <row r="538">
          <cell r="A538">
            <v>3667065</v>
          </cell>
          <cell r="B538" t="str">
            <v>福島コーティング</v>
          </cell>
          <cell r="C538" t="str">
            <v>プロセス材１課</v>
          </cell>
          <cell r="D538" t="str">
            <v>ダミー担当者</v>
          </cell>
          <cell r="E538" t="str">
            <v>リンテック㈱</v>
          </cell>
          <cell r="F538">
            <v>3</v>
          </cell>
          <cell r="G538" t="str">
            <v>S</v>
          </cell>
          <cell r="H538" t="str">
            <v>N</v>
          </cell>
          <cell r="I538" t="str">
            <v>CERA</v>
          </cell>
          <cell r="J538"/>
          <cell r="K538" t="str">
            <v>WZS</v>
          </cell>
          <cell r="L538">
            <v>38</v>
          </cell>
          <cell r="M538" t="str">
            <v>セラピール　　　　　　　　　　　ＷＺ（Ｓ）</v>
          </cell>
          <cell r="N538">
            <v>1415</v>
          </cell>
          <cell r="O538">
            <v>1410</v>
          </cell>
          <cell r="P538">
            <v>8000</v>
          </cell>
          <cell r="Q538">
            <v>2</v>
          </cell>
          <cell r="R538">
            <v>12</v>
          </cell>
          <cell r="S538" t="str">
            <v>本</v>
          </cell>
          <cell r="T538">
            <v>44734</v>
          </cell>
          <cell r="U538">
            <v>44767</v>
          </cell>
          <cell r="V538" t="str">
            <v>㈱須賀川東部鏡石</v>
          </cell>
          <cell r="W538"/>
          <cell r="X538"/>
        </row>
        <row r="539">
          <cell r="A539">
            <v>3667066</v>
          </cell>
          <cell r="B539" t="str">
            <v>福島コーティング</v>
          </cell>
          <cell r="C539" t="str">
            <v>工材１部電材課</v>
          </cell>
          <cell r="D539" t="str">
            <v>ダミー担当者</v>
          </cell>
          <cell r="E539" t="str">
            <v>㈱巴川製紙所</v>
          </cell>
          <cell r="F539">
            <v>331</v>
          </cell>
          <cell r="G539" t="str">
            <v>S</v>
          </cell>
          <cell r="H539" t="str">
            <v>N</v>
          </cell>
          <cell r="I539" t="str">
            <v>CERA</v>
          </cell>
          <cell r="J539"/>
          <cell r="K539" t="str">
            <v>BKERXT</v>
          </cell>
          <cell r="L539">
            <v>38</v>
          </cell>
          <cell r="M539" t="str">
            <v>セラピール　ＢＫＥ（ＲＸ）</v>
          </cell>
          <cell r="N539">
            <v>1330</v>
          </cell>
          <cell r="O539">
            <v>1330</v>
          </cell>
          <cell r="P539">
            <v>6000</v>
          </cell>
          <cell r="Q539">
            <v>2</v>
          </cell>
          <cell r="R539">
            <v>4</v>
          </cell>
          <cell r="S539" t="str">
            <v>本</v>
          </cell>
          <cell r="T539">
            <v>44734</v>
          </cell>
          <cell r="U539">
            <v>44753</v>
          </cell>
          <cell r="V539" t="str">
            <v>㈱須賀川東部鏡石</v>
          </cell>
          <cell r="W539"/>
          <cell r="X539"/>
        </row>
        <row r="540">
          <cell r="A540">
            <v>3667067</v>
          </cell>
          <cell r="B540" t="str">
            <v>福島コーティング</v>
          </cell>
          <cell r="C540" t="str">
            <v>工材１部電材課</v>
          </cell>
          <cell r="D540" t="str">
            <v>ダミー担当者</v>
          </cell>
          <cell r="E540" t="str">
            <v>パナック㈱亀山工場</v>
          </cell>
          <cell r="F540">
            <v>331</v>
          </cell>
          <cell r="G540" t="str">
            <v>S</v>
          </cell>
          <cell r="H540" t="str">
            <v>N</v>
          </cell>
          <cell r="I540" t="str">
            <v>CERA</v>
          </cell>
          <cell r="J540"/>
          <cell r="K540" t="str">
            <v>BKE09</v>
          </cell>
          <cell r="L540">
            <v>38</v>
          </cell>
          <cell r="M540" t="str">
            <v>セラピール　ＢＫＥ（０９）</v>
          </cell>
          <cell r="N540">
            <v>1367</v>
          </cell>
          <cell r="O540">
            <v>1360</v>
          </cell>
          <cell r="P540">
            <v>6000</v>
          </cell>
          <cell r="Q540">
            <v>2</v>
          </cell>
          <cell r="R540">
            <v>4</v>
          </cell>
          <cell r="S540" t="str">
            <v>本</v>
          </cell>
          <cell r="T540">
            <v>44734</v>
          </cell>
          <cell r="U540">
            <v>44753</v>
          </cell>
          <cell r="V540" t="str">
            <v>㈱須賀川東部鏡石</v>
          </cell>
          <cell r="W540"/>
          <cell r="X540"/>
        </row>
        <row r="541">
          <cell r="A541">
            <v>3667068</v>
          </cell>
          <cell r="B541" t="str">
            <v>福島コーティング</v>
          </cell>
          <cell r="C541" t="str">
            <v>工材１部電材課</v>
          </cell>
          <cell r="D541" t="str">
            <v>ダミー担当者</v>
          </cell>
          <cell r="E541" t="str">
            <v>パナック㈱亀山工場</v>
          </cell>
          <cell r="F541">
            <v>331</v>
          </cell>
          <cell r="G541" t="str">
            <v>S</v>
          </cell>
          <cell r="H541" t="str">
            <v>N</v>
          </cell>
          <cell r="I541" t="str">
            <v>CERA</v>
          </cell>
          <cell r="J541"/>
          <cell r="K541" t="str">
            <v>BKE09</v>
          </cell>
          <cell r="L541">
            <v>38</v>
          </cell>
          <cell r="M541" t="str">
            <v>セラピール　ＢＫＥ（０９）</v>
          </cell>
          <cell r="N541">
            <v>1337</v>
          </cell>
          <cell r="O541">
            <v>1330</v>
          </cell>
          <cell r="P541">
            <v>6000</v>
          </cell>
          <cell r="Q541">
            <v>2</v>
          </cell>
          <cell r="R541">
            <v>4</v>
          </cell>
          <cell r="S541" t="str">
            <v>本</v>
          </cell>
          <cell r="T541">
            <v>44734</v>
          </cell>
          <cell r="U541">
            <v>44753</v>
          </cell>
          <cell r="V541" t="str">
            <v>㈱須賀川東部鏡石</v>
          </cell>
          <cell r="W541"/>
          <cell r="X541"/>
        </row>
        <row r="542">
          <cell r="A542">
            <v>3667069</v>
          </cell>
          <cell r="B542" t="str">
            <v>福島コーティング</v>
          </cell>
          <cell r="C542" t="str">
            <v>工材１部電材課</v>
          </cell>
          <cell r="D542" t="str">
            <v>ダミー担当者</v>
          </cell>
          <cell r="E542" t="str">
            <v>積水化学武蔵工場</v>
          </cell>
          <cell r="F542">
            <v>3</v>
          </cell>
          <cell r="G542" t="str">
            <v>S</v>
          </cell>
          <cell r="H542" t="str">
            <v>N</v>
          </cell>
          <cell r="I542" t="str">
            <v>CERA</v>
          </cell>
          <cell r="J542"/>
          <cell r="K542" t="str">
            <v>BKU</v>
          </cell>
          <cell r="L542">
            <v>25</v>
          </cell>
          <cell r="M542" t="str">
            <v>セラピ－ル　ＢＫ（Ｕ）</v>
          </cell>
          <cell r="N542">
            <v>890</v>
          </cell>
          <cell r="O542">
            <v>890</v>
          </cell>
          <cell r="P542">
            <v>3800</v>
          </cell>
          <cell r="Q542">
            <v>2</v>
          </cell>
          <cell r="R542">
            <v>6</v>
          </cell>
          <cell r="S542" t="str">
            <v>本</v>
          </cell>
          <cell r="T542">
            <v>44734</v>
          </cell>
          <cell r="U542">
            <v>44757</v>
          </cell>
          <cell r="V542" t="str">
            <v>㈱須賀川東部鏡石</v>
          </cell>
          <cell r="W542"/>
          <cell r="X542"/>
        </row>
        <row r="543">
          <cell r="A543">
            <v>3667070</v>
          </cell>
          <cell r="B543" t="str">
            <v>福島コーティング</v>
          </cell>
          <cell r="C543" t="str">
            <v>工材１部電材課</v>
          </cell>
          <cell r="D543" t="str">
            <v>ダミー担当者</v>
          </cell>
          <cell r="E543" t="str">
            <v>パナック㈱亀山工場</v>
          </cell>
          <cell r="F543">
            <v>331</v>
          </cell>
          <cell r="G543" t="str">
            <v>S</v>
          </cell>
          <cell r="H543" t="str">
            <v>N</v>
          </cell>
          <cell r="I543" t="str">
            <v>CERA</v>
          </cell>
          <cell r="J543"/>
          <cell r="K543" t="str">
            <v>BKE09</v>
          </cell>
          <cell r="L543">
            <v>38</v>
          </cell>
          <cell r="M543" t="str">
            <v>セラピール　ＢＫＥ（０９）</v>
          </cell>
          <cell r="N543">
            <v>1335</v>
          </cell>
          <cell r="O543">
            <v>1330</v>
          </cell>
          <cell r="P543">
            <v>6000</v>
          </cell>
          <cell r="Q543">
            <v>2</v>
          </cell>
          <cell r="R543">
            <v>18</v>
          </cell>
          <cell r="S543" t="str">
            <v>本</v>
          </cell>
          <cell r="T543">
            <v>44734</v>
          </cell>
          <cell r="U543">
            <v>44757</v>
          </cell>
          <cell r="V543" t="str">
            <v>㈱須賀川東部鏡石</v>
          </cell>
          <cell r="W543"/>
          <cell r="X543"/>
        </row>
        <row r="544">
          <cell r="A544">
            <v>3667071</v>
          </cell>
          <cell r="B544" t="str">
            <v>福島コーティング</v>
          </cell>
          <cell r="C544" t="str">
            <v>工材１部電材課</v>
          </cell>
          <cell r="D544" t="str">
            <v>ダミー担当者</v>
          </cell>
          <cell r="E544" t="str">
            <v>パナック㈱亀山工場</v>
          </cell>
          <cell r="F544">
            <v>3</v>
          </cell>
          <cell r="G544" t="str">
            <v>S</v>
          </cell>
          <cell r="H544" t="str">
            <v>N</v>
          </cell>
          <cell r="I544" t="str">
            <v>CERA</v>
          </cell>
          <cell r="J544"/>
          <cell r="K544" t="str">
            <v>BKE09</v>
          </cell>
          <cell r="L544">
            <v>38</v>
          </cell>
          <cell r="M544" t="str">
            <v>セラピール　ＢＫＥ（０９）</v>
          </cell>
          <cell r="N544">
            <v>1037</v>
          </cell>
          <cell r="O544">
            <v>1030</v>
          </cell>
          <cell r="P544">
            <v>8400</v>
          </cell>
          <cell r="Q544">
            <v>2</v>
          </cell>
          <cell r="R544">
            <v>57</v>
          </cell>
          <cell r="S544" t="str">
            <v>本</v>
          </cell>
          <cell r="T544">
            <v>44734</v>
          </cell>
          <cell r="U544">
            <v>44757</v>
          </cell>
          <cell r="V544" t="str">
            <v>㈱須賀川東部鏡石</v>
          </cell>
          <cell r="W544"/>
          <cell r="X544"/>
        </row>
        <row r="545">
          <cell r="A545">
            <v>3667072</v>
          </cell>
          <cell r="B545" t="str">
            <v>福島コーティング</v>
          </cell>
          <cell r="C545" t="str">
            <v>工材１部電材課</v>
          </cell>
          <cell r="D545" t="str">
            <v>ダミー担当者</v>
          </cell>
          <cell r="E545" t="str">
            <v>㈱巴川製紙所</v>
          </cell>
          <cell r="F545">
            <v>331</v>
          </cell>
          <cell r="G545" t="str">
            <v>S</v>
          </cell>
          <cell r="H545" t="str">
            <v>N</v>
          </cell>
          <cell r="I545" t="str">
            <v>CERA</v>
          </cell>
          <cell r="J545"/>
          <cell r="K545" t="str">
            <v>BKERXT</v>
          </cell>
          <cell r="L545">
            <v>38</v>
          </cell>
          <cell r="M545" t="str">
            <v>セラピール　ＢＫＥ（ＲＸ）</v>
          </cell>
          <cell r="N545">
            <v>1580</v>
          </cell>
          <cell r="O545">
            <v>1580</v>
          </cell>
          <cell r="P545">
            <v>6000</v>
          </cell>
          <cell r="Q545">
            <v>2</v>
          </cell>
          <cell r="R545">
            <v>4</v>
          </cell>
          <cell r="S545" t="str">
            <v>本</v>
          </cell>
          <cell r="T545">
            <v>44734</v>
          </cell>
          <cell r="U545">
            <v>44757</v>
          </cell>
          <cell r="V545" t="str">
            <v>㈱須賀川東部鏡石</v>
          </cell>
          <cell r="W545"/>
          <cell r="X545"/>
        </row>
        <row r="546">
          <cell r="A546">
            <v>3667073</v>
          </cell>
          <cell r="B546" t="str">
            <v>福島コーティング</v>
          </cell>
          <cell r="C546" t="str">
            <v>大阪光学機能材課</v>
          </cell>
          <cell r="D546" t="str">
            <v>ダミー担当者</v>
          </cell>
          <cell r="E546" t="str">
            <v>日東電工㈱尾道事業所</v>
          </cell>
          <cell r="F546">
            <v>3321</v>
          </cell>
          <cell r="G546" t="str">
            <v>S</v>
          </cell>
          <cell r="H546" t="str">
            <v>N</v>
          </cell>
          <cell r="I546" t="str">
            <v>CERA</v>
          </cell>
          <cell r="J546"/>
          <cell r="K546" t="str">
            <v>MDACPFL</v>
          </cell>
          <cell r="L546">
            <v>38</v>
          </cell>
          <cell r="M546" t="str">
            <v>Ｋ　セラピールＭＤＡ（ＣＰＲＦ）Ｌ</v>
          </cell>
          <cell r="N546">
            <v>1336</v>
          </cell>
          <cell r="O546">
            <v>1325</v>
          </cell>
          <cell r="P546">
            <v>12000</v>
          </cell>
          <cell r="Q546">
            <v>2</v>
          </cell>
          <cell r="R546">
            <v>23</v>
          </cell>
          <cell r="S546" t="str">
            <v>本</v>
          </cell>
          <cell r="T546">
            <v>44734</v>
          </cell>
          <cell r="U546">
            <v>44757</v>
          </cell>
          <cell r="V546" t="str">
            <v>㈱須賀川東部鏡石</v>
          </cell>
          <cell r="W546"/>
          <cell r="X546"/>
        </row>
        <row r="547">
          <cell r="A547">
            <v>3667074</v>
          </cell>
          <cell r="B547" t="str">
            <v>福島コーティング</v>
          </cell>
          <cell r="C547" t="str">
            <v>大阪光学機能材課</v>
          </cell>
          <cell r="D547" t="str">
            <v>ダミー担当者</v>
          </cell>
          <cell r="E547" t="str">
            <v>日東電工㈱尾道事業所</v>
          </cell>
          <cell r="F547">
            <v>3321</v>
          </cell>
          <cell r="G547" t="str">
            <v>S</v>
          </cell>
          <cell r="H547" t="str">
            <v>N</v>
          </cell>
          <cell r="I547" t="str">
            <v>CERA</v>
          </cell>
          <cell r="J547"/>
          <cell r="K547" t="str">
            <v>MDAPFL</v>
          </cell>
          <cell r="L547">
            <v>38</v>
          </cell>
          <cell r="M547" t="str">
            <v>Ｋ　セラピールＭＤＡ（ＰＲＦ）Ｌ</v>
          </cell>
          <cell r="N547">
            <v>1336</v>
          </cell>
          <cell r="O547">
            <v>1325</v>
          </cell>
          <cell r="P547">
            <v>12000</v>
          </cell>
          <cell r="Q547">
            <v>2</v>
          </cell>
          <cell r="R547">
            <v>23</v>
          </cell>
          <cell r="S547" t="str">
            <v>本</v>
          </cell>
          <cell r="T547">
            <v>44734</v>
          </cell>
          <cell r="U547">
            <v>44757</v>
          </cell>
          <cell r="V547" t="str">
            <v>㈱須賀川東部鏡石</v>
          </cell>
          <cell r="W547"/>
          <cell r="X547"/>
        </row>
        <row r="548">
          <cell r="A548">
            <v>3667075</v>
          </cell>
          <cell r="B548" t="str">
            <v>福島コーティング</v>
          </cell>
          <cell r="C548" t="str">
            <v>工材１部電材課</v>
          </cell>
          <cell r="D548" t="str">
            <v>ダミー担当者</v>
          </cell>
          <cell r="E548" t="str">
            <v>パナック㈱亀山工場</v>
          </cell>
          <cell r="F548">
            <v>331</v>
          </cell>
          <cell r="G548" t="str">
            <v>S</v>
          </cell>
          <cell r="H548" t="str">
            <v>N</v>
          </cell>
          <cell r="I548" t="str">
            <v>CERA</v>
          </cell>
          <cell r="J548"/>
          <cell r="K548" t="str">
            <v>BX8ARXA</v>
          </cell>
          <cell r="L548">
            <v>38</v>
          </cell>
          <cell r="M548" t="str">
            <v>セラピール　ＢＸ８ＡＲＸ</v>
          </cell>
          <cell r="N548">
            <v>1330</v>
          </cell>
          <cell r="O548">
            <v>1330</v>
          </cell>
          <cell r="P548">
            <v>6000</v>
          </cell>
          <cell r="Q548">
            <v>2</v>
          </cell>
          <cell r="R548">
            <v>50</v>
          </cell>
          <cell r="S548" t="str">
            <v>本</v>
          </cell>
          <cell r="T548">
            <v>44734</v>
          </cell>
          <cell r="U548">
            <v>44764</v>
          </cell>
          <cell r="V548" t="str">
            <v>㈱須賀川東部鏡石</v>
          </cell>
          <cell r="W548"/>
          <cell r="X548"/>
        </row>
        <row r="549">
          <cell r="A549">
            <v>3667076</v>
          </cell>
          <cell r="B549" t="str">
            <v>福島コーティング</v>
          </cell>
          <cell r="C549" t="str">
            <v>工材１部電材課</v>
          </cell>
          <cell r="D549" t="str">
            <v>ダミー担当者</v>
          </cell>
          <cell r="E549" t="str">
            <v>㈱巴川製紙所</v>
          </cell>
          <cell r="F549">
            <v>3</v>
          </cell>
          <cell r="G549" t="str">
            <v>S</v>
          </cell>
          <cell r="H549" t="str">
            <v>N</v>
          </cell>
          <cell r="I549" t="str">
            <v>CERA</v>
          </cell>
          <cell r="J549"/>
          <cell r="K549" t="str">
            <v>BX8AX</v>
          </cell>
          <cell r="L549">
            <v>75</v>
          </cell>
          <cell r="M549" t="str">
            <v>セラピール　　　　　　　　　　　ＢＸ８Ａ（Ｘ）</v>
          </cell>
          <cell r="N549">
            <v>1330</v>
          </cell>
          <cell r="O549">
            <v>1330</v>
          </cell>
          <cell r="P549">
            <v>4100</v>
          </cell>
          <cell r="Q549">
            <v>2</v>
          </cell>
          <cell r="R549">
            <v>24</v>
          </cell>
          <cell r="S549" t="str">
            <v>本</v>
          </cell>
          <cell r="T549">
            <v>44734</v>
          </cell>
          <cell r="U549">
            <v>44764</v>
          </cell>
          <cell r="V549" t="str">
            <v>㈱須賀川東部鏡石</v>
          </cell>
          <cell r="W549"/>
          <cell r="X549"/>
        </row>
        <row r="550">
          <cell r="A550">
            <v>3667077</v>
          </cell>
          <cell r="B550" t="str">
            <v>福島コーティング</v>
          </cell>
          <cell r="C550" t="str">
            <v>工材１部電材課</v>
          </cell>
          <cell r="D550" t="str">
            <v>ダミー担当者</v>
          </cell>
          <cell r="E550" t="str">
            <v>㈱巴川製紙所</v>
          </cell>
          <cell r="F550">
            <v>331</v>
          </cell>
          <cell r="G550" t="str">
            <v>S</v>
          </cell>
          <cell r="H550" t="str">
            <v>N</v>
          </cell>
          <cell r="I550" t="str">
            <v>CERA</v>
          </cell>
          <cell r="J550"/>
          <cell r="K550" t="str">
            <v>BX8ARXT</v>
          </cell>
          <cell r="L550">
            <v>38</v>
          </cell>
          <cell r="M550" t="str">
            <v>セラピール　ＢＸ８ＡＲＸ</v>
          </cell>
          <cell r="N550">
            <v>1580</v>
          </cell>
          <cell r="O550">
            <v>1580</v>
          </cell>
          <cell r="P550">
            <v>6000</v>
          </cell>
          <cell r="Q550">
            <v>2</v>
          </cell>
          <cell r="R550">
            <v>4</v>
          </cell>
          <cell r="S550" t="str">
            <v>本</v>
          </cell>
          <cell r="T550">
            <v>44734</v>
          </cell>
          <cell r="U550">
            <v>44764</v>
          </cell>
          <cell r="V550" t="str">
            <v>㈱須賀川東部鏡石</v>
          </cell>
          <cell r="W550"/>
          <cell r="X550"/>
        </row>
        <row r="551">
          <cell r="A551">
            <v>3667078</v>
          </cell>
          <cell r="B551" t="str">
            <v>情材福島原価</v>
          </cell>
          <cell r="C551" t="str">
            <v>工材１部大阪電材課</v>
          </cell>
          <cell r="D551" t="str">
            <v>ダミー担当者</v>
          </cell>
          <cell r="E551" t="str">
            <v>日東電工㈱豊橋工場</v>
          </cell>
          <cell r="F551">
            <v>3</v>
          </cell>
          <cell r="G551" t="str">
            <v>T</v>
          </cell>
          <cell r="H551" t="str">
            <v>N</v>
          </cell>
          <cell r="I551" t="str">
            <v>CERA</v>
          </cell>
          <cell r="J551"/>
          <cell r="K551" t="str">
            <v>BX8A37</v>
          </cell>
          <cell r="L551">
            <v>75</v>
          </cell>
          <cell r="M551" t="str">
            <v>セラピール　ＢＸ８Ａ（３７）</v>
          </cell>
          <cell r="N551">
            <v>1050</v>
          </cell>
          <cell r="O551">
            <v>1050</v>
          </cell>
          <cell r="P551">
            <v>5800</v>
          </cell>
          <cell r="Q551">
            <v>2</v>
          </cell>
          <cell r="R551">
            <v>18</v>
          </cell>
          <cell r="S551" t="str">
            <v>本</v>
          </cell>
          <cell r="T551">
            <v>44734</v>
          </cell>
          <cell r="U551">
            <v>44764</v>
          </cell>
          <cell r="V551" t="str">
            <v>㈱須賀川東部鏡石</v>
          </cell>
          <cell r="W551"/>
          <cell r="X551"/>
        </row>
        <row r="552">
          <cell r="A552">
            <v>3667078</v>
          </cell>
          <cell r="B552" t="str">
            <v>情材福島原価</v>
          </cell>
          <cell r="C552" t="str">
            <v>工材１部大阪電材課</v>
          </cell>
          <cell r="D552" t="str">
            <v>ダミー担当者</v>
          </cell>
          <cell r="E552" t="str">
            <v>日東電工㈱豊橋工場</v>
          </cell>
          <cell r="F552">
            <v>3</v>
          </cell>
          <cell r="G552" t="str">
            <v>T</v>
          </cell>
          <cell r="H552" t="str">
            <v>N</v>
          </cell>
          <cell r="I552" t="str">
            <v>CERA</v>
          </cell>
          <cell r="J552"/>
          <cell r="K552" t="str">
            <v>BX8A37</v>
          </cell>
          <cell r="L552">
            <v>75</v>
          </cell>
          <cell r="M552" t="str">
            <v>セラピール　ＢＸ８Ａ（３７）</v>
          </cell>
          <cell r="N552">
            <v>1050</v>
          </cell>
          <cell r="O552">
            <v>1050</v>
          </cell>
          <cell r="P552">
            <v>5800</v>
          </cell>
          <cell r="Q552">
            <v>2</v>
          </cell>
          <cell r="R552">
            <v>18</v>
          </cell>
          <cell r="S552" t="str">
            <v>本</v>
          </cell>
          <cell r="T552">
            <v>44734</v>
          </cell>
          <cell r="U552">
            <v>44764</v>
          </cell>
          <cell r="V552" t="str">
            <v>㈱須賀川東部鏡石</v>
          </cell>
          <cell r="W552"/>
          <cell r="X552"/>
        </row>
        <row r="553">
          <cell r="A553">
            <v>3667079</v>
          </cell>
          <cell r="B553" t="str">
            <v>福島コーティング</v>
          </cell>
          <cell r="C553" t="str">
            <v>プロセス材２課</v>
          </cell>
          <cell r="D553" t="str">
            <v>ダミー担当者</v>
          </cell>
          <cell r="E553" t="str">
            <v>日榮新化㈱</v>
          </cell>
          <cell r="F553">
            <v>3</v>
          </cell>
          <cell r="G553" t="str">
            <v>S</v>
          </cell>
          <cell r="H553" t="str">
            <v>Y</v>
          </cell>
          <cell r="I553" t="str">
            <v>CERA</v>
          </cell>
          <cell r="J553"/>
          <cell r="K553" t="str">
            <v>BX8AS</v>
          </cell>
          <cell r="L553">
            <v>75</v>
          </cell>
          <cell r="M553" t="str">
            <v>セラピール　ＢＸ８Ａ（Ｓ）</v>
          </cell>
          <cell r="N553">
            <v>1040</v>
          </cell>
          <cell r="O553">
            <v>1040</v>
          </cell>
          <cell r="P553">
            <v>4000</v>
          </cell>
          <cell r="Q553">
            <v>1</v>
          </cell>
          <cell r="R553">
            <v>1</v>
          </cell>
          <cell r="S553" t="str">
            <v>本</v>
          </cell>
          <cell r="T553">
            <v>44734</v>
          </cell>
          <cell r="U553">
            <v>44764</v>
          </cell>
          <cell r="V553" t="str">
            <v>㈱須賀川東部鏡石</v>
          </cell>
          <cell r="W553"/>
          <cell r="X553"/>
        </row>
        <row r="554">
          <cell r="A554">
            <v>3667080</v>
          </cell>
          <cell r="B554" t="str">
            <v>福島コーティング</v>
          </cell>
          <cell r="C554" t="str">
            <v>プロセス材２課</v>
          </cell>
          <cell r="D554" t="str">
            <v>ダミー担当者</v>
          </cell>
          <cell r="E554" t="str">
            <v>日榮新化㈱</v>
          </cell>
          <cell r="F554">
            <v>3</v>
          </cell>
          <cell r="G554" t="str">
            <v>S</v>
          </cell>
          <cell r="H554" t="str">
            <v>Y</v>
          </cell>
          <cell r="I554" t="str">
            <v>CERA</v>
          </cell>
          <cell r="J554"/>
          <cell r="K554" t="str">
            <v>BX9AS</v>
          </cell>
          <cell r="L554">
            <v>75</v>
          </cell>
          <cell r="M554" t="str">
            <v>セラピール　　　　　　　　　　　ＢＸ９Ａ（Ｓ）</v>
          </cell>
          <cell r="N554">
            <v>1040</v>
          </cell>
          <cell r="O554">
            <v>1040</v>
          </cell>
          <cell r="P554">
            <v>4000</v>
          </cell>
          <cell r="Q554">
            <v>1</v>
          </cell>
          <cell r="R554">
            <v>3</v>
          </cell>
          <cell r="S554" t="str">
            <v>本</v>
          </cell>
          <cell r="T554">
            <v>44734</v>
          </cell>
          <cell r="U554">
            <v>44764</v>
          </cell>
          <cell r="V554" t="str">
            <v>㈱須賀川東部鏡石</v>
          </cell>
          <cell r="W554"/>
          <cell r="X554"/>
        </row>
        <row r="555">
          <cell r="A555">
            <v>3667081</v>
          </cell>
          <cell r="B555" t="str">
            <v>福島コーティング</v>
          </cell>
          <cell r="C555" t="str">
            <v>工材１部電材課</v>
          </cell>
          <cell r="D555" t="str">
            <v>ダミー担当者</v>
          </cell>
          <cell r="E555" t="str">
            <v>パナック㈱亀山工場</v>
          </cell>
          <cell r="F555">
            <v>3</v>
          </cell>
          <cell r="G555" t="str">
            <v>S</v>
          </cell>
          <cell r="H555" t="str">
            <v>N</v>
          </cell>
          <cell r="I555" t="str">
            <v>CERA</v>
          </cell>
          <cell r="J555"/>
          <cell r="K555" t="str">
            <v>BKE09</v>
          </cell>
          <cell r="L555">
            <v>38</v>
          </cell>
          <cell r="M555" t="str">
            <v>セラピール　ＢＫＥ（０９）</v>
          </cell>
          <cell r="N555">
            <v>1057</v>
          </cell>
          <cell r="O555">
            <v>1050</v>
          </cell>
          <cell r="P555">
            <v>8400</v>
          </cell>
          <cell r="Q555">
            <v>2</v>
          </cell>
          <cell r="R555">
            <v>3</v>
          </cell>
          <cell r="S555" t="str">
            <v>本</v>
          </cell>
          <cell r="T555">
            <v>44734</v>
          </cell>
          <cell r="U555">
            <v>44764</v>
          </cell>
          <cell r="V555" t="str">
            <v>㈱須賀川東部鏡石</v>
          </cell>
          <cell r="W555"/>
          <cell r="X555"/>
        </row>
        <row r="556">
          <cell r="A556">
            <v>3667082</v>
          </cell>
          <cell r="B556" t="str">
            <v>福島コーティング</v>
          </cell>
          <cell r="C556" t="str">
            <v>工材１部電材課</v>
          </cell>
          <cell r="D556" t="str">
            <v>ダミー担当者</v>
          </cell>
          <cell r="E556" t="str">
            <v>㈱巴川製紙所</v>
          </cell>
          <cell r="F556">
            <v>331</v>
          </cell>
          <cell r="G556" t="str">
            <v>S</v>
          </cell>
          <cell r="H556" t="str">
            <v>N</v>
          </cell>
          <cell r="I556" t="str">
            <v>CERA</v>
          </cell>
          <cell r="J556"/>
          <cell r="K556" t="str">
            <v>BKERXT</v>
          </cell>
          <cell r="L556">
            <v>38</v>
          </cell>
          <cell r="M556" t="str">
            <v>セラピール　ＢＫＥ（ＲＸ）</v>
          </cell>
          <cell r="N556">
            <v>1330</v>
          </cell>
          <cell r="O556">
            <v>1330</v>
          </cell>
          <cell r="P556">
            <v>6000</v>
          </cell>
          <cell r="Q556">
            <v>2</v>
          </cell>
          <cell r="R556">
            <v>16</v>
          </cell>
          <cell r="S556" t="str">
            <v>本</v>
          </cell>
          <cell r="T556">
            <v>44734</v>
          </cell>
          <cell r="U556">
            <v>44764</v>
          </cell>
          <cell r="V556" t="str">
            <v>㈱須賀川東部鏡石</v>
          </cell>
          <cell r="W556"/>
          <cell r="X556"/>
        </row>
        <row r="557">
          <cell r="A557">
            <v>3667083</v>
          </cell>
          <cell r="B557" t="str">
            <v>福島コーティング</v>
          </cell>
          <cell r="C557" t="str">
            <v>光学機能材１課</v>
          </cell>
          <cell r="D557" t="str">
            <v>ダミー担当者</v>
          </cell>
          <cell r="E557" t="str">
            <v>㈱きもと　三重工場</v>
          </cell>
          <cell r="F557">
            <v>3</v>
          </cell>
          <cell r="G557" t="str">
            <v>S</v>
          </cell>
          <cell r="H557" t="str">
            <v>N</v>
          </cell>
          <cell r="I557" t="str">
            <v>CERA</v>
          </cell>
          <cell r="J557"/>
          <cell r="K557" t="str">
            <v>BKUK</v>
          </cell>
          <cell r="L557">
            <v>25</v>
          </cell>
          <cell r="M557" t="str">
            <v>セラピール　ＢＫ（Ｕ）Ｋ</v>
          </cell>
          <cell r="N557">
            <v>1045</v>
          </cell>
          <cell r="O557">
            <v>1040</v>
          </cell>
          <cell r="P557">
            <v>6000</v>
          </cell>
          <cell r="Q557">
            <v>2</v>
          </cell>
          <cell r="R557">
            <v>12</v>
          </cell>
          <cell r="S557" t="str">
            <v>本</v>
          </cell>
          <cell r="T557">
            <v>44734</v>
          </cell>
          <cell r="U557">
            <v>44764</v>
          </cell>
          <cell r="V557" t="str">
            <v>㈱須賀川東部鏡石</v>
          </cell>
          <cell r="W557"/>
          <cell r="X557"/>
        </row>
        <row r="558">
          <cell r="A558">
            <v>3667084</v>
          </cell>
          <cell r="B558" t="str">
            <v>福島コーティング</v>
          </cell>
          <cell r="C558" t="str">
            <v>光学機能材１課</v>
          </cell>
          <cell r="D558" t="str">
            <v>ダミー担当者</v>
          </cell>
          <cell r="E558" t="str">
            <v>㈱きもと　三重工場</v>
          </cell>
          <cell r="F558">
            <v>3</v>
          </cell>
          <cell r="G558" t="str">
            <v>S</v>
          </cell>
          <cell r="H558" t="str">
            <v>N</v>
          </cell>
          <cell r="I558" t="str">
            <v>CERA</v>
          </cell>
          <cell r="J558"/>
          <cell r="K558" t="str">
            <v>BKUK</v>
          </cell>
          <cell r="L558">
            <v>25</v>
          </cell>
          <cell r="M558" t="str">
            <v>セラピール　ＢＫ（Ｕ）Ｋ</v>
          </cell>
          <cell r="N558">
            <v>1085</v>
          </cell>
          <cell r="O558">
            <v>1080</v>
          </cell>
          <cell r="P558">
            <v>6000</v>
          </cell>
          <cell r="Q558">
            <v>2</v>
          </cell>
          <cell r="R558">
            <v>4</v>
          </cell>
          <cell r="S558" t="str">
            <v>本</v>
          </cell>
          <cell r="T558">
            <v>44734</v>
          </cell>
          <cell r="U558">
            <v>44764</v>
          </cell>
          <cell r="V558" t="str">
            <v>㈱須賀川東部鏡石</v>
          </cell>
          <cell r="W558"/>
          <cell r="X558"/>
        </row>
        <row r="559">
          <cell r="A559">
            <v>3667085</v>
          </cell>
          <cell r="B559" t="str">
            <v>福島コーティング</v>
          </cell>
          <cell r="C559" t="str">
            <v>工材１部大阪電材課</v>
          </cell>
          <cell r="D559" t="str">
            <v>ダミー担当者</v>
          </cell>
          <cell r="E559" t="str">
            <v>住友べークライト尼崎</v>
          </cell>
          <cell r="F559">
            <v>331</v>
          </cell>
          <cell r="G559" t="str">
            <v>S</v>
          </cell>
          <cell r="H559" t="str">
            <v>N</v>
          </cell>
          <cell r="I559" t="str">
            <v>CERA</v>
          </cell>
          <cell r="J559"/>
          <cell r="K559" t="str">
            <v>MDARX</v>
          </cell>
          <cell r="L559">
            <v>38</v>
          </cell>
          <cell r="M559" t="str">
            <v>セラピール　　　　　　　　　　　ＭＤＡ（ＲＸ）</v>
          </cell>
          <cell r="N559">
            <v>415</v>
          </cell>
          <cell r="O559">
            <v>415</v>
          </cell>
          <cell r="P559">
            <v>1950</v>
          </cell>
          <cell r="Q559">
            <v>2</v>
          </cell>
          <cell r="R559">
            <v>108</v>
          </cell>
          <cell r="S559" t="str">
            <v>本</v>
          </cell>
          <cell r="T559">
            <v>44734</v>
          </cell>
          <cell r="U559">
            <v>44764</v>
          </cell>
          <cell r="V559" t="str">
            <v>㈱須賀川東部鏡石</v>
          </cell>
          <cell r="W559"/>
          <cell r="X559"/>
        </row>
        <row r="560">
          <cell r="A560">
            <v>3667086</v>
          </cell>
          <cell r="B560" t="str">
            <v>福島コーティング</v>
          </cell>
          <cell r="C560" t="str">
            <v>工材１部大阪電材課</v>
          </cell>
          <cell r="D560" t="str">
            <v>ダミー担当者</v>
          </cell>
          <cell r="E560" t="str">
            <v>日東電工㈱豊橋工場</v>
          </cell>
          <cell r="F560">
            <v>3313</v>
          </cell>
          <cell r="G560" t="str">
            <v>S</v>
          </cell>
          <cell r="H560" t="str">
            <v>N</v>
          </cell>
          <cell r="I560" t="str">
            <v>CERA</v>
          </cell>
          <cell r="J560"/>
          <cell r="K560" t="str">
            <v>MD(A)R</v>
          </cell>
          <cell r="L560">
            <v>38</v>
          </cell>
          <cell r="M560" t="str">
            <v>セラピール　ＭＤ（Ａ）（Ｒ）</v>
          </cell>
          <cell r="N560">
            <v>750</v>
          </cell>
          <cell r="O560">
            <v>750</v>
          </cell>
          <cell r="P560">
            <v>6000</v>
          </cell>
          <cell r="Q560">
            <v>2</v>
          </cell>
          <cell r="R560">
            <v>20</v>
          </cell>
          <cell r="S560" t="str">
            <v>本</v>
          </cell>
          <cell r="T560">
            <v>44734</v>
          </cell>
          <cell r="U560">
            <v>44771</v>
          </cell>
          <cell r="V560" t="str">
            <v>㈱須賀川東部鏡石</v>
          </cell>
          <cell r="W560"/>
          <cell r="X560"/>
        </row>
        <row r="561">
          <cell r="A561">
            <v>3667087</v>
          </cell>
          <cell r="B561" t="str">
            <v>福島コーティング</v>
          </cell>
          <cell r="C561" t="str">
            <v>工材１部大阪電材課</v>
          </cell>
          <cell r="D561" t="str">
            <v>ダミー担当者</v>
          </cell>
          <cell r="E561" t="str">
            <v>日東電工㈱豊橋工場</v>
          </cell>
          <cell r="F561">
            <v>331</v>
          </cell>
          <cell r="G561" t="str">
            <v>S</v>
          </cell>
          <cell r="H561" t="str">
            <v>N</v>
          </cell>
          <cell r="I561" t="str">
            <v>CERA</v>
          </cell>
          <cell r="J561"/>
          <cell r="K561" t="str">
            <v>MD(A)R</v>
          </cell>
          <cell r="L561">
            <v>38</v>
          </cell>
          <cell r="M561" t="str">
            <v>セラピール　ＭＤ（Ａ）（Ｒ）</v>
          </cell>
          <cell r="N561">
            <v>1255</v>
          </cell>
          <cell r="O561">
            <v>1250</v>
          </cell>
          <cell r="P561">
            <v>6000</v>
          </cell>
          <cell r="Q561">
            <v>2</v>
          </cell>
          <cell r="R561">
            <v>28</v>
          </cell>
          <cell r="S561" t="str">
            <v>本</v>
          </cell>
          <cell r="T561">
            <v>44734</v>
          </cell>
          <cell r="U561">
            <v>44771</v>
          </cell>
          <cell r="V561" t="str">
            <v>㈱須賀川東部鏡石</v>
          </cell>
          <cell r="W561"/>
          <cell r="X561"/>
        </row>
        <row r="562">
          <cell r="A562">
            <v>3667088</v>
          </cell>
          <cell r="B562" t="str">
            <v>福島コーティング</v>
          </cell>
          <cell r="C562" t="str">
            <v>工材１部大阪電材課</v>
          </cell>
          <cell r="D562" t="str">
            <v>ダミー担当者</v>
          </cell>
          <cell r="E562" t="str">
            <v>日東電工㈱豊橋工場</v>
          </cell>
          <cell r="F562">
            <v>331</v>
          </cell>
          <cell r="G562" t="str">
            <v>S</v>
          </cell>
          <cell r="H562" t="str">
            <v>N</v>
          </cell>
          <cell r="I562" t="str">
            <v>CERA</v>
          </cell>
          <cell r="J562"/>
          <cell r="K562" t="str">
            <v>MD(A)R</v>
          </cell>
          <cell r="L562">
            <v>38</v>
          </cell>
          <cell r="M562" t="str">
            <v>セラピール　ＭＤ（Ａ）（Ｒ）</v>
          </cell>
          <cell r="N562">
            <v>1585</v>
          </cell>
          <cell r="O562">
            <v>1580</v>
          </cell>
          <cell r="P562">
            <v>4000</v>
          </cell>
          <cell r="Q562">
            <v>2</v>
          </cell>
          <cell r="R562">
            <v>3</v>
          </cell>
          <cell r="S562" t="str">
            <v>本</v>
          </cell>
          <cell r="T562">
            <v>44734</v>
          </cell>
          <cell r="U562">
            <v>44771</v>
          </cell>
          <cell r="V562" t="str">
            <v>㈱須賀川東部鏡石</v>
          </cell>
          <cell r="W562"/>
          <cell r="X562"/>
        </row>
        <row r="563">
          <cell r="A563">
            <v>3667089</v>
          </cell>
          <cell r="B563" t="str">
            <v>福島コーティング</v>
          </cell>
          <cell r="C563" t="str">
            <v>大阪光学機能材課</v>
          </cell>
          <cell r="D563" t="str">
            <v>ダミー担当者</v>
          </cell>
          <cell r="E563" t="str">
            <v>日東電工㈱尾道事業所</v>
          </cell>
          <cell r="F563">
            <v>3321</v>
          </cell>
          <cell r="G563" t="str">
            <v>S</v>
          </cell>
          <cell r="H563" t="str">
            <v>N</v>
          </cell>
          <cell r="I563" t="str">
            <v>CERA</v>
          </cell>
          <cell r="J563"/>
          <cell r="K563" t="str">
            <v>MDACPFL</v>
          </cell>
          <cell r="L563">
            <v>38</v>
          </cell>
          <cell r="M563" t="str">
            <v>Ｋ　セラピールＭＤＡ（ＣＰＲＦ）Ｌ</v>
          </cell>
          <cell r="N563">
            <v>1336</v>
          </cell>
          <cell r="O563">
            <v>1325</v>
          </cell>
          <cell r="P563">
            <v>12000</v>
          </cell>
          <cell r="Q563">
            <v>2</v>
          </cell>
          <cell r="R563">
            <v>33</v>
          </cell>
          <cell r="S563" t="str">
            <v>本</v>
          </cell>
          <cell r="T563">
            <v>44734</v>
          </cell>
          <cell r="U563">
            <v>44771</v>
          </cell>
          <cell r="V563" t="str">
            <v>㈱須賀川東部鏡石</v>
          </cell>
          <cell r="W563"/>
          <cell r="X563"/>
        </row>
        <row r="564">
          <cell r="A564">
            <v>3667090</v>
          </cell>
          <cell r="B564" t="str">
            <v>福島コーティング</v>
          </cell>
          <cell r="C564" t="str">
            <v>大阪光学機能材課</v>
          </cell>
          <cell r="D564" t="str">
            <v>ダミー担当者</v>
          </cell>
          <cell r="E564" t="str">
            <v>日東電工㈱尾道事業所</v>
          </cell>
          <cell r="F564">
            <v>3321</v>
          </cell>
          <cell r="G564" t="str">
            <v>S</v>
          </cell>
          <cell r="H564" t="str">
            <v>N</v>
          </cell>
          <cell r="I564" t="str">
            <v>CERA</v>
          </cell>
          <cell r="J564"/>
          <cell r="K564" t="str">
            <v>MDAPFL</v>
          </cell>
          <cell r="L564">
            <v>38</v>
          </cell>
          <cell r="M564" t="str">
            <v>Ｋ　セラピールＭＤＡ（ＰＲＦ）Ｌ</v>
          </cell>
          <cell r="N564">
            <v>1336</v>
          </cell>
          <cell r="O564">
            <v>1325</v>
          </cell>
          <cell r="P564">
            <v>12000</v>
          </cell>
          <cell r="Q564">
            <v>2</v>
          </cell>
          <cell r="R564">
            <v>33</v>
          </cell>
          <cell r="S564" t="str">
            <v>本</v>
          </cell>
          <cell r="T564">
            <v>44734</v>
          </cell>
          <cell r="U564">
            <v>44771</v>
          </cell>
          <cell r="V564" t="str">
            <v>㈱須賀川東部鏡石</v>
          </cell>
          <cell r="W564"/>
          <cell r="X564"/>
        </row>
        <row r="565">
          <cell r="A565">
            <v>3667091</v>
          </cell>
          <cell r="B565" t="str">
            <v>機能材料ＴＴＰ福原価</v>
          </cell>
          <cell r="C565" t="str">
            <v>工材１部大阪電材課</v>
          </cell>
          <cell r="D565" t="str">
            <v>ダミー担当者</v>
          </cell>
          <cell r="E565" t="str">
            <v>ニトムズ　松山事業所</v>
          </cell>
          <cell r="F565">
            <v>3301</v>
          </cell>
          <cell r="G565" t="str">
            <v>T</v>
          </cell>
          <cell r="H565" t="str">
            <v>N</v>
          </cell>
          <cell r="I565" t="str">
            <v>TTP</v>
          </cell>
          <cell r="J565"/>
          <cell r="K565" t="str">
            <v>TNJ-AS</v>
          </cell>
          <cell r="L565">
            <v>100</v>
          </cell>
          <cell r="M565" t="str">
            <v>タフトップ　ＴＮＪ－ＡＳ</v>
          </cell>
          <cell r="N565">
            <v>1050</v>
          </cell>
          <cell r="O565">
            <v>1050</v>
          </cell>
          <cell r="P565">
            <v>2000</v>
          </cell>
          <cell r="Q565">
            <v>2</v>
          </cell>
          <cell r="R565">
            <v>1</v>
          </cell>
          <cell r="S565" t="str">
            <v>本</v>
          </cell>
          <cell r="T565">
            <v>44734</v>
          </cell>
          <cell r="U565">
            <v>44757</v>
          </cell>
          <cell r="V565" t="str">
            <v>㈱須賀川東部鏡石</v>
          </cell>
          <cell r="W565"/>
          <cell r="X565"/>
        </row>
        <row r="566">
          <cell r="A566">
            <v>3667091</v>
          </cell>
          <cell r="B566" t="str">
            <v>機能材料ＴＴＰ福原価</v>
          </cell>
          <cell r="C566" t="str">
            <v>工材１部大阪電材課</v>
          </cell>
          <cell r="D566" t="str">
            <v>ダミー担当者</v>
          </cell>
          <cell r="E566" t="str">
            <v>ニトムズ　松山事業所</v>
          </cell>
          <cell r="F566">
            <v>3301</v>
          </cell>
          <cell r="G566" t="str">
            <v>T</v>
          </cell>
          <cell r="H566" t="str">
            <v>N</v>
          </cell>
          <cell r="I566" t="str">
            <v>TTP</v>
          </cell>
          <cell r="J566"/>
          <cell r="K566" t="str">
            <v>TNJ-AS</v>
          </cell>
          <cell r="L566">
            <v>100</v>
          </cell>
          <cell r="M566" t="str">
            <v>タフトップ　ＴＮＪ－ＡＳ</v>
          </cell>
          <cell r="N566">
            <v>1050</v>
          </cell>
          <cell r="O566">
            <v>1050</v>
          </cell>
          <cell r="P566">
            <v>2000</v>
          </cell>
          <cell r="Q566">
            <v>2</v>
          </cell>
          <cell r="R566">
            <v>1</v>
          </cell>
          <cell r="S566" t="str">
            <v>本</v>
          </cell>
          <cell r="T566">
            <v>44734</v>
          </cell>
          <cell r="U566">
            <v>44757</v>
          </cell>
          <cell r="V566" t="str">
            <v>㈱須賀川東部鏡石</v>
          </cell>
          <cell r="W566"/>
          <cell r="X566"/>
        </row>
        <row r="567">
          <cell r="A567">
            <v>3667091</v>
          </cell>
          <cell r="B567" t="str">
            <v>機能材料ＴＴＰ福原価</v>
          </cell>
          <cell r="C567" t="str">
            <v>工材１部大阪電材課</v>
          </cell>
          <cell r="D567" t="str">
            <v>ダミー担当者</v>
          </cell>
          <cell r="E567" t="str">
            <v>ニトムズ　松山事業所</v>
          </cell>
          <cell r="F567">
            <v>3301</v>
          </cell>
          <cell r="G567" t="str">
            <v>T</v>
          </cell>
          <cell r="H567" t="str">
            <v>N</v>
          </cell>
          <cell r="I567" t="str">
            <v>TTP</v>
          </cell>
          <cell r="J567"/>
          <cell r="K567" t="str">
            <v>TNJ-AS</v>
          </cell>
          <cell r="L567">
            <v>100</v>
          </cell>
          <cell r="M567" t="str">
            <v>タフトップ　ＴＮＪ－ＡＳ</v>
          </cell>
          <cell r="N567">
            <v>1050</v>
          </cell>
          <cell r="O567">
            <v>1050</v>
          </cell>
          <cell r="P567">
            <v>2000</v>
          </cell>
          <cell r="Q567">
            <v>2</v>
          </cell>
          <cell r="R567">
            <v>1</v>
          </cell>
          <cell r="S567" t="str">
            <v>本</v>
          </cell>
          <cell r="T567">
            <v>44734</v>
          </cell>
          <cell r="U567">
            <v>44757</v>
          </cell>
          <cell r="V567" t="str">
            <v>㈱須賀川東部鏡石</v>
          </cell>
          <cell r="W567"/>
          <cell r="X567"/>
        </row>
        <row r="568">
          <cell r="A568">
            <v>3667092</v>
          </cell>
          <cell r="B568" t="str">
            <v>機能材料ＴＴＰ福原価</v>
          </cell>
          <cell r="C568" t="str">
            <v>工材１部大阪電材課</v>
          </cell>
          <cell r="D568" t="str">
            <v>ダミー担当者</v>
          </cell>
          <cell r="E568" t="str">
            <v>ニトムズ　松山事業所</v>
          </cell>
          <cell r="F568">
            <v>3301</v>
          </cell>
          <cell r="G568" t="str">
            <v>T</v>
          </cell>
          <cell r="H568" t="str">
            <v>N</v>
          </cell>
          <cell r="I568" t="str">
            <v>TTP</v>
          </cell>
          <cell r="J568"/>
          <cell r="K568" t="str">
            <v>TNJ-AS</v>
          </cell>
          <cell r="L568">
            <v>100</v>
          </cell>
          <cell r="M568" t="str">
            <v>タフトップ　ＴＮＪ－ＡＳ</v>
          </cell>
          <cell r="N568">
            <v>1050</v>
          </cell>
          <cell r="O568">
            <v>1050</v>
          </cell>
          <cell r="P568">
            <v>2000</v>
          </cell>
          <cell r="Q568">
            <v>2</v>
          </cell>
          <cell r="R568">
            <v>1</v>
          </cell>
          <cell r="S568" t="str">
            <v>本</v>
          </cell>
          <cell r="T568">
            <v>44734</v>
          </cell>
          <cell r="U568">
            <v>44757</v>
          </cell>
          <cell r="V568" t="str">
            <v>㈱須賀川東部鏡石</v>
          </cell>
          <cell r="W568"/>
          <cell r="X568"/>
        </row>
        <row r="569">
          <cell r="A569">
            <v>3667092</v>
          </cell>
          <cell r="B569" t="str">
            <v>機能材料ＴＴＰ福原価</v>
          </cell>
          <cell r="C569" t="str">
            <v>工材１部大阪電材課</v>
          </cell>
          <cell r="D569" t="str">
            <v>ダミー担当者</v>
          </cell>
          <cell r="E569" t="str">
            <v>ニトムズ　松山事業所</v>
          </cell>
          <cell r="F569">
            <v>3301</v>
          </cell>
          <cell r="G569" t="str">
            <v>T</v>
          </cell>
          <cell r="H569" t="str">
            <v>N</v>
          </cell>
          <cell r="I569" t="str">
            <v>TTP</v>
          </cell>
          <cell r="J569"/>
          <cell r="K569" t="str">
            <v>TNJ-AS</v>
          </cell>
          <cell r="L569">
            <v>100</v>
          </cell>
          <cell r="M569" t="str">
            <v>タフトップ　ＴＮＪ－ＡＳ</v>
          </cell>
          <cell r="N569">
            <v>1050</v>
          </cell>
          <cell r="O569">
            <v>1050</v>
          </cell>
          <cell r="P569">
            <v>2000</v>
          </cell>
          <cell r="Q569">
            <v>2</v>
          </cell>
          <cell r="R569">
            <v>1</v>
          </cell>
          <cell r="S569" t="str">
            <v>本</v>
          </cell>
          <cell r="T569">
            <v>44734</v>
          </cell>
          <cell r="U569">
            <v>44757</v>
          </cell>
          <cell r="V569" t="str">
            <v>㈱須賀川東部鏡石</v>
          </cell>
          <cell r="W569"/>
          <cell r="X569"/>
        </row>
        <row r="570">
          <cell r="A570">
            <v>3667092</v>
          </cell>
          <cell r="B570" t="str">
            <v>機能材料ＴＴＰ福原価</v>
          </cell>
          <cell r="C570" t="str">
            <v>工材１部大阪電材課</v>
          </cell>
          <cell r="D570" t="str">
            <v>ダミー担当者</v>
          </cell>
          <cell r="E570" t="str">
            <v>ニトムズ　松山事業所</v>
          </cell>
          <cell r="F570">
            <v>3301</v>
          </cell>
          <cell r="G570" t="str">
            <v>T</v>
          </cell>
          <cell r="H570" t="str">
            <v>N</v>
          </cell>
          <cell r="I570" t="str">
            <v>TTP</v>
          </cell>
          <cell r="J570"/>
          <cell r="K570" t="str">
            <v>TNJ-AS</v>
          </cell>
          <cell r="L570">
            <v>100</v>
          </cell>
          <cell r="M570" t="str">
            <v>タフトップ　ＴＮＪ－ＡＳ</v>
          </cell>
          <cell r="N570">
            <v>1050</v>
          </cell>
          <cell r="O570">
            <v>1050</v>
          </cell>
          <cell r="P570">
            <v>2000</v>
          </cell>
          <cell r="Q570">
            <v>2</v>
          </cell>
          <cell r="R570">
            <v>1</v>
          </cell>
          <cell r="S570" t="str">
            <v>本</v>
          </cell>
          <cell r="T570">
            <v>44734</v>
          </cell>
          <cell r="U570">
            <v>44757</v>
          </cell>
          <cell r="V570" t="str">
            <v>㈱須賀川東部鏡石</v>
          </cell>
          <cell r="W570"/>
          <cell r="X570"/>
        </row>
        <row r="571">
          <cell r="A571">
            <v>3667094</v>
          </cell>
          <cell r="B571" t="str">
            <v>福島コーティング</v>
          </cell>
          <cell r="C571" t="str">
            <v>大阪光学機能材課</v>
          </cell>
          <cell r="D571" t="str">
            <v>ダミー担当者</v>
          </cell>
          <cell r="E571" t="str">
            <v>日東電工㈱尾道事業所</v>
          </cell>
          <cell r="F571" t="str">
            <v>3H</v>
          </cell>
          <cell r="G571" t="str">
            <v>S</v>
          </cell>
          <cell r="H571" t="str">
            <v>N</v>
          </cell>
          <cell r="I571" t="str">
            <v>TPIC</v>
          </cell>
          <cell r="J571"/>
          <cell r="K571" t="str">
            <v>TT405B</v>
          </cell>
          <cell r="L571">
            <v>50</v>
          </cell>
          <cell r="M571" t="str">
            <v>５０ＴＴ４０５Ｂ</v>
          </cell>
          <cell r="N571">
            <v>1094</v>
          </cell>
          <cell r="O571">
            <v>1094</v>
          </cell>
          <cell r="P571">
            <v>5000</v>
          </cell>
          <cell r="Q571">
            <v>2</v>
          </cell>
          <cell r="R571">
            <v>5</v>
          </cell>
          <cell r="S571" t="str">
            <v>本</v>
          </cell>
          <cell r="T571">
            <v>44734</v>
          </cell>
          <cell r="U571">
            <v>44757</v>
          </cell>
          <cell r="V571" t="str">
            <v>㈱須賀川東部鏡石</v>
          </cell>
          <cell r="W571"/>
          <cell r="X571"/>
        </row>
        <row r="572">
          <cell r="A572">
            <v>3667097</v>
          </cell>
          <cell r="B572" t="str">
            <v>機能Ｆ　受託福島原価</v>
          </cell>
          <cell r="C572" t="str">
            <v>プロセス材２課</v>
          </cell>
          <cell r="D572" t="str">
            <v>ダミー担当者</v>
          </cell>
          <cell r="E572"/>
          <cell r="F572" t="str">
            <v>33S</v>
          </cell>
          <cell r="G572" t="str">
            <v>T</v>
          </cell>
          <cell r="H572" t="str">
            <v>Y</v>
          </cell>
          <cell r="I572" t="str">
            <v>JTC</v>
          </cell>
          <cell r="J572"/>
          <cell r="K572" t="str">
            <v>STHCE</v>
          </cell>
          <cell r="L572">
            <v>38</v>
          </cell>
          <cell r="M572" t="str">
            <v>ＴＲ－ＰＲＨＣ＝ＨＣＰＥＴ－ＴＡ２０－Ｅ</v>
          </cell>
          <cell r="N572">
            <v>715</v>
          </cell>
          <cell r="O572">
            <v>715</v>
          </cell>
          <cell r="P572">
            <v>3920</v>
          </cell>
          <cell r="Q572">
            <v>2</v>
          </cell>
          <cell r="R572">
            <v>9</v>
          </cell>
          <cell r="S572" t="str">
            <v>本</v>
          </cell>
          <cell r="T572">
            <v>44734</v>
          </cell>
          <cell r="U572">
            <v>44757</v>
          </cell>
          <cell r="V572" t="str">
            <v>㈱須賀川東部鏡石</v>
          </cell>
          <cell r="W572"/>
          <cell r="X572"/>
        </row>
        <row r="573">
          <cell r="A573">
            <v>3667097</v>
          </cell>
          <cell r="B573" t="str">
            <v>機能Ｆ　受託福島原価</v>
          </cell>
          <cell r="C573" t="str">
            <v>プロセス材２課</v>
          </cell>
          <cell r="D573" t="str">
            <v>ダミー担当者</v>
          </cell>
          <cell r="E573"/>
          <cell r="F573" t="str">
            <v>33S</v>
          </cell>
          <cell r="G573" t="str">
            <v>T</v>
          </cell>
          <cell r="H573" t="str">
            <v>Y</v>
          </cell>
          <cell r="I573" t="str">
            <v>JTC</v>
          </cell>
          <cell r="J573"/>
          <cell r="K573" t="str">
            <v>STHCE</v>
          </cell>
          <cell r="L573">
            <v>38</v>
          </cell>
          <cell r="M573" t="str">
            <v>ＴＲ－ＰＲＨＣ＝ＨＣＰＥＴ－ＴＡ２０－Ｅ</v>
          </cell>
          <cell r="N573">
            <v>715</v>
          </cell>
          <cell r="O573">
            <v>715</v>
          </cell>
          <cell r="P573">
            <v>3920</v>
          </cell>
          <cell r="Q573">
            <v>2</v>
          </cell>
          <cell r="R573">
            <v>9</v>
          </cell>
          <cell r="S573" t="str">
            <v>本</v>
          </cell>
          <cell r="T573">
            <v>44734</v>
          </cell>
          <cell r="U573">
            <v>44757</v>
          </cell>
          <cell r="V573" t="str">
            <v>㈱須賀川東部鏡石</v>
          </cell>
          <cell r="W573"/>
          <cell r="X573"/>
        </row>
        <row r="574">
          <cell r="A574">
            <v>3667118</v>
          </cell>
          <cell r="B574" t="str">
            <v>福島コーティング</v>
          </cell>
          <cell r="C574" t="str">
            <v>プロセス材１課</v>
          </cell>
          <cell r="D574" t="str">
            <v>ダミー担当者</v>
          </cell>
          <cell r="E574" t="str">
            <v>リンテック㈱</v>
          </cell>
          <cell r="F574">
            <v>3</v>
          </cell>
          <cell r="G574" t="str">
            <v>S</v>
          </cell>
          <cell r="H574" t="str">
            <v>N</v>
          </cell>
          <cell r="I574" t="str">
            <v>CLB</v>
          </cell>
          <cell r="J574"/>
          <cell r="K574" t="str">
            <v>PETMV</v>
          </cell>
          <cell r="L574">
            <v>25</v>
          </cell>
          <cell r="M574" t="str">
            <v>ＰＥＴ　マットＶ</v>
          </cell>
          <cell r="N574">
            <v>1005</v>
          </cell>
          <cell r="O574">
            <v>1000</v>
          </cell>
          <cell r="P574">
            <v>4000</v>
          </cell>
          <cell r="Q574">
            <v>2</v>
          </cell>
          <cell r="R574">
            <v>3</v>
          </cell>
          <cell r="S574" t="str">
            <v>本</v>
          </cell>
          <cell r="T574">
            <v>44734</v>
          </cell>
          <cell r="U574">
            <v>44757</v>
          </cell>
          <cell r="V574" t="str">
            <v>㈱須賀川東部鏡石</v>
          </cell>
          <cell r="W574"/>
          <cell r="X574"/>
        </row>
        <row r="575">
          <cell r="A575">
            <v>3667130</v>
          </cell>
          <cell r="B575" t="str">
            <v>福島コーティング</v>
          </cell>
          <cell r="C575" t="str">
            <v>プロセス材１課</v>
          </cell>
          <cell r="D575" t="str">
            <v>ダミー担当者</v>
          </cell>
          <cell r="E575" t="str">
            <v>リンテック㈱</v>
          </cell>
          <cell r="F575">
            <v>3</v>
          </cell>
          <cell r="G575" t="str">
            <v>S</v>
          </cell>
          <cell r="H575" t="str">
            <v>N</v>
          </cell>
          <cell r="I575" t="str">
            <v>CLB</v>
          </cell>
          <cell r="J575"/>
          <cell r="K575" t="str">
            <v>E20V</v>
          </cell>
          <cell r="L575">
            <v>50</v>
          </cell>
          <cell r="M575" t="str">
            <v>ルミラー　Ｅ－２０　Ｖ</v>
          </cell>
          <cell r="N575">
            <v>1002</v>
          </cell>
          <cell r="O575">
            <v>1000</v>
          </cell>
          <cell r="P575">
            <v>4000</v>
          </cell>
          <cell r="Q575">
            <v>2</v>
          </cell>
          <cell r="R575">
            <v>9</v>
          </cell>
          <cell r="S575" t="str">
            <v>本</v>
          </cell>
          <cell r="T575">
            <v>44734</v>
          </cell>
          <cell r="U575">
            <v>44767</v>
          </cell>
          <cell r="V575" t="str">
            <v>㈱須賀川東部鏡石</v>
          </cell>
          <cell r="W575"/>
          <cell r="X575"/>
        </row>
        <row r="576">
          <cell r="A576">
            <v>3667131</v>
          </cell>
          <cell r="B576" t="str">
            <v>福島コーティング</v>
          </cell>
          <cell r="C576" t="str">
            <v>プロセス材１課</v>
          </cell>
          <cell r="D576" t="str">
            <v>ダミー担当者</v>
          </cell>
          <cell r="E576" t="str">
            <v>リンテック㈱</v>
          </cell>
          <cell r="F576">
            <v>3</v>
          </cell>
          <cell r="G576" t="str">
            <v>S</v>
          </cell>
          <cell r="H576" t="str">
            <v>N</v>
          </cell>
          <cell r="I576" t="str">
            <v>CLB</v>
          </cell>
          <cell r="J576"/>
          <cell r="K576" t="str">
            <v>E20V</v>
          </cell>
          <cell r="L576">
            <v>75</v>
          </cell>
          <cell r="M576" t="str">
            <v>ルミラー　Ｅ－２０　Ｖ</v>
          </cell>
          <cell r="N576">
            <v>1002</v>
          </cell>
          <cell r="O576">
            <v>1000</v>
          </cell>
          <cell r="P576">
            <v>3000</v>
          </cell>
          <cell r="Q576">
            <v>2</v>
          </cell>
          <cell r="R576">
            <v>2</v>
          </cell>
          <cell r="S576" t="str">
            <v>本</v>
          </cell>
          <cell r="T576">
            <v>44734</v>
          </cell>
          <cell r="U576">
            <v>44767</v>
          </cell>
          <cell r="V576" t="str">
            <v>㈱須賀川東部鏡石</v>
          </cell>
          <cell r="W576"/>
          <cell r="X576"/>
        </row>
        <row r="577">
          <cell r="A577">
            <v>3667835</v>
          </cell>
          <cell r="B577" t="str">
            <v>情材福島開発</v>
          </cell>
          <cell r="C577" t="str">
            <v>工材１部電材課</v>
          </cell>
          <cell r="D577" t="str">
            <v>ダミー担当者</v>
          </cell>
          <cell r="E577"/>
          <cell r="F577">
            <v>3</v>
          </cell>
          <cell r="G577" t="str">
            <v>U</v>
          </cell>
          <cell r="H577" t="str">
            <v>N</v>
          </cell>
          <cell r="I577" t="str">
            <v>CERA</v>
          </cell>
          <cell r="J577"/>
          <cell r="K577" t="str">
            <v>WZ26</v>
          </cell>
          <cell r="L577">
            <v>25</v>
          </cell>
          <cell r="M577" t="str">
            <v>セラピール　ＷＺ（２６）</v>
          </cell>
          <cell r="N577">
            <v>1100</v>
          </cell>
          <cell r="O577">
            <v>1100</v>
          </cell>
          <cell r="P577">
            <v>12000</v>
          </cell>
          <cell r="Q577">
            <v>2</v>
          </cell>
          <cell r="R577">
            <v>1</v>
          </cell>
          <cell r="S577" t="str">
            <v>本</v>
          </cell>
          <cell r="T577">
            <v>44736</v>
          </cell>
          <cell r="U577">
            <v>44773</v>
          </cell>
          <cell r="V577" t="str">
            <v>福島工場ＣＯ</v>
          </cell>
          <cell r="W577"/>
          <cell r="X577"/>
        </row>
        <row r="578">
          <cell r="A578">
            <v>3667836</v>
          </cell>
          <cell r="B578" t="str">
            <v>情材福島開発</v>
          </cell>
          <cell r="C578" t="str">
            <v>プロセス材１課</v>
          </cell>
          <cell r="D578" t="str">
            <v>ダミー担当者</v>
          </cell>
          <cell r="E578"/>
          <cell r="F578">
            <v>3</v>
          </cell>
          <cell r="G578" t="str">
            <v>U</v>
          </cell>
          <cell r="H578" t="str">
            <v>N</v>
          </cell>
          <cell r="I578" t="str">
            <v>CERA</v>
          </cell>
          <cell r="J578"/>
          <cell r="K578" t="str">
            <v>WZS</v>
          </cell>
          <cell r="L578">
            <v>25</v>
          </cell>
          <cell r="M578" t="str">
            <v>セラピール　ＷＺ（Ｓ）</v>
          </cell>
          <cell r="N578">
            <v>1000</v>
          </cell>
          <cell r="O578">
            <v>1000</v>
          </cell>
          <cell r="P578">
            <v>8000</v>
          </cell>
          <cell r="Q578">
            <v>2</v>
          </cell>
          <cell r="R578">
            <v>1</v>
          </cell>
          <cell r="S578" t="str">
            <v>本</v>
          </cell>
          <cell r="T578">
            <v>44736</v>
          </cell>
          <cell r="U578">
            <v>44773</v>
          </cell>
          <cell r="V578" t="str">
            <v>福島工場ＣＯ</v>
          </cell>
          <cell r="W578"/>
          <cell r="X578"/>
        </row>
        <row r="579">
          <cell r="A579">
            <v>3667837</v>
          </cell>
          <cell r="B579" t="str">
            <v>情材福島開発</v>
          </cell>
          <cell r="C579" t="str">
            <v>工材１部電材課</v>
          </cell>
          <cell r="D579" t="str">
            <v>ダミー担当者</v>
          </cell>
          <cell r="E579"/>
          <cell r="F579">
            <v>3</v>
          </cell>
          <cell r="G579" t="str">
            <v>U</v>
          </cell>
          <cell r="H579" t="str">
            <v>N</v>
          </cell>
          <cell r="I579" t="str">
            <v>CERA</v>
          </cell>
          <cell r="J579"/>
          <cell r="K579" t="str">
            <v>WZ26</v>
          </cell>
          <cell r="L579">
            <v>38</v>
          </cell>
          <cell r="M579" t="str">
            <v>セラピール　ＷＺ（２６）</v>
          </cell>
          <cell r="N579">
            <v>1000</v>
          </cell>
          <cell r="O579">
            <v>1000</v>
          </cell>
          <cell r="P579">
            <v>6000</v>
          </cell>
          <cell r="Q579">
            <v>2</v>
          </cell>
          <cell r="R579">
            <v>12</v>
          </cell>
          <cell r="S579" t="str">
            <v>本</v>
          </cell>
          <cell r="T579">
            <v>44736</v>
          </cell>
          <cell r="U579">
            <v>44773</v>
          </cell>
          <cell r="V579" t="str">
            <v>福島工場ＣＯ</v>
          </cell>
          <cell r="W579"/>
          <cell r="X579"/>
        </row>
        <row r="580">
          <cell r="A580">
            <v>3667838</v>
          </cell>
          <cell r="B580" t="str">
            <v>情材福島開発</v>
          </cell>
          <cell r="C580" t="str">
            <v>工材１部電材課</v>
          </cell>
          <cell r="D580" t="str">
            <v>ダミー担当者</v>
          </cell>
          <cell r="E580"/>
          <cell r="F580">
            <v>3</v>
          </cell>
          <cell r="G580" t="str">
            <v>U</v>
          </cell>
          <cell r="H580" t="str">
            <v>N</v>
          </cell>
          <cell r="I580" t="str">
            <v>CERA</v>
          </cell>
          <cell r="J580"/>
          <cell r="K580" t="str">
            <v>WZ26</v>
          </cell>
          <cell r="L580">
            <v>38</v>
          </cell>
          <cell r="M580" t="str">
            <v>セラピール　ＷＺ（２６）</v>
          </cell>
          <cell r="N580">
            <v>1000</v>
          </cell>
          <cell r="O580">
            <v>1000</v>
          </cell>
          <cell r="P580">
            <v>6000</v>
          </cell>
          <cell r="Q580">
            <v>2</v>
          </cell>
          <cell r="R580">
            <v>7</v>
          </cell>
          <cell r="S580" t="str">
            <v>本</v>
          </cell>
          <cell r="T580">
            <v>44736</v>
          </cell>
          <cell r="U580">
            <v>44773</v>
          </cell>
          <cell r="V580" t="str">
            <v>福島工場ＣＯ</v>
          </cell>
          <cell r="W580"/>
          <cell r="X580"/>
        </row>
        <row r="581">
          <cell r="A581">
            <v>3668867</v>
          </cell>
          <cell r="B581" t="str">
            <v>福島コーティング</v>
          </cell>
          <cell r="C581" t="str">
            <v>工材１部大阪電材課</v>
          </cell>
          <cell r="D581" t="str">
            <v>ダミー担当者</v>
          </cell>
          <cell r="E581" t="str">
            <v>双信電機㈱</v>
          </cell>
          <cell r="F581">
            <v>3</v>
          </cell>
          <cell r="G581" t="str">
            <v>S</v>
          </cell>
          <cell r="H581" t="str">
            <v>N</v>
          </cell>
          <cell r="I581" t="str">
            <v>CERANS</v>
          </cell>
          <cell r="J581"/>
          <cell r="K581" t="str">
            <v>HP2UDF</v>
          </cell>
          <cell r="L581">
            <v>75</v>
          </cell>
          <cell r="M581" t="str">
            <v>セラピール　ＨＰ２（Ｕ）Ｄ</v>
          </cell>
          <cell r="N581">
            <v>600</v>
          </cell>
          <cell r="O581">
            <v>600</v>
          </cell>
          <cell r="P581">
            <v>600</v>
          </cell>
          <cell r="Q581">
            <v>2</v>
          </cell>
          <cell r="R581">
            <v>24</v>
          </cell>
          <cell r="S581" t="str">
            <v>本</v>
          </cell>
          <cell r="T581">
            <v>44741</v>
          </cell>
          <cell r="U581">
            <v>44773</v>
          </cell>
          <cell r="V581" t="str">
            <v>㈱須賀川東部鏡石</v>
          </cell>
          <cell r="W581"/>
          <cell r="X581"/>
        </row>
        <row r="582">
          <cell r="A582">
            <v>3668915</v>
          </cell>
          <cell r="B582" t="str">
            <v>福島コーティング</v>
          </cell>
          <cell r="C582" t="str">
            <v>工材３部工材２課</v>
          </cell>
          <cell r="D582" t="str">
            <v>ダミー担当者</v>
          </cell>
          <cell r="E582" t="str">
            <v>昭和電工マテリアルズ</v>
          </cell>
          <cell r="F582">
            <v>3</v>
          </cell>
          <cell r="G582" t="str">
            <v>S</v>
          </cell>
          <cell r="H582" t="str">
            <v>N</v>
          </cell>
          <cell r="I582" t="str">
            <v>CERANS</v>
          </cell>
          <cell r="J582"/>
          <cell r="K582" t="str">
            <v>PJ27103</v>
          </cell>
          <cell r="L582">
            <v>25</v>
          </cell>
          <cell r="M582" t="str">
            <v>セラピール　ＰＪ２７１（０３）</v>
          </cell>
          <cell r="N582">
            <v>1575</v>
          </cell>
          <cell r="O582">
            <v>1575</v>
          </cell>
          <cell r="P582">
            <v>12000</v>
          </cell>
          <cell r="Q582">
            <v>2</v>
          </cell>
          <cell r="R582">
            <v>2</v>
          </cell>
          <cell r="S582" t="str">
            <v>本</v>
          </cell>
          <cell r="T582">
            <v>44741</v>
          </cell>
          <cell r="U582">
            <v>44773</v>
          </cell>
          <cell r="V582" t="str">
            <v>㈱須賀川東部鏡石</v>
          </cell>
          <cell r="W582"/>
          <cell r="X582"/>
        </row>
        <row r="583">
          <cell r="A583">
            <v>3671779</v>
          </cell>
          <cell r="B583" t="str">
            <v>福島コーティング</v>
          </cell>
          <cell r="C583" t="str">
            <v>工材１部電材課</v>
          </cell>
          <cell r="D583" t="str">
            <v>ダミー担当者</v>
          </cell>
          <cell r="E583" t="str">
            <v>パナック㈱亀山工場</v>
          </cell>
          <cell r="F583">
            <v>331</v>
          </cell>
          <cell r="G583" t="str">
            <v>S</v>
          </cell>
          <cell r="H583" t="str">
            <v>N</v>
          </cell>
          <cell r="I583" t="str">
            <v>CERA</v>
          </cell>
          <cell r="J583"/>
          <cell r="K583" t="str">
            <v>BX8ARXA</v>
          </cell>
          <cell r="L583">
            <v>38</v>
          </cell>
          <cell r="M583" t="str">
            <v>セラピール　ＢＸ８ＡＲＸ</v>
          </cell>
          <cell r="N583">
            <v>1330</v>
          </cell>
          <cell r="O583">
            <v>1330</v>
          </cell>
          <cell r="P583">
            <v>6000</v>
          </cell>
          <cell r="Q583">
            <v>2</v>
          </cell>
          <cell r="R583">
            <v>36</v>
          </cell>
          <cell r="S583" t="str">
            <v>本</v>
          </cell>
          <cell r="T583">
            <v>44763</v>
          </cell>
          <cell r="U583">
            <v>44783</v>
          </cell>
          <cell r="V583" t="str">
            <v>㈱須賀川東部鏡石</v>
          </cell>
          <cell r="W583"/>
          <cell r="X583"/>
        </row>
        <row r="584">
          <cell r="A584">
            <v>3671780</v>
          </cell>
          <cell r="B584" t="str">
            <v>福島コーティング</v>
          </cell>
          <cell r="C584" t="str">
            <v>工材１部大阪電材課</v>
          </cell>
          <cell r="D584" t="str">
            <v>ダミー担当者</v>
          </cell>
          <cell r="E584" t="str">
            <v>住友べークライト尼崎</v>
          </cell>
          <cell r="F584">
            <v>331</v>
          </cell>
          <cell r="G584" t="str">
            <v>S</v>
          </cell>
          <cell r="H584" t="str">
            <v>N</v>
          </cell>
          <cell r="I584" t="str">
            <v>CERA</v>
          </cell>
          <cell r="J584"/>
          <cell r="K584" t="str">
            <v>MDARX</v>
          </cell>
          <cell r="L584">
            <v>38</v>
          </cell>
          <cell r="M584" t="str">
            <v>セラピール　　　　　　　　　　　ＭＤＡ（ＲＸ）</v>
          </cell>
          <cell r="N584">
            <v>415</v>
          </cell>
          <cell r="O584">
            <v>415</v>
          </cell>
          <cell r="P584">
            <v>1950</v>
          </cell>
          <cell r="Q584">
            <v>2</v>
          </cell>
          <cell r="R584">
            <v>198</v>
          </cell>
          <cell r="S584" t="str">
            <v>本</v>
          </cell>
          <cell r="T584">
            <v>44763</v>
          </cell>
          <cell r="U584">
            <v>44783</v>
          </cell>
          <cell r="V584" t="str">
            <v>㈱須賀川東部鏡石</v>
          </cell>
          <cell r="W584"/>
          <cell r="X584"/>
        </row>
        <row r="585">
          <cell r="A585">
            <v>3671781</v>
          </cell>
          <cell r="B585" t="str">
            <v>福島コーティング</v>
          </cell>
          <cell r="C585" t="str">
            <v>工材１部大阪電材課</v>
          </cell>
          <cell r="D585" t="str">
            <v>ダミー担当者</v>
          </cell>
          <cell r="E585" t="str">
            <v>日東電工㈱豊橋工場</v>
          </cell>
          <cell r="F585">
            <v>331</v>
          </cell>
          <cell r="G585" t="str">
            <v>S</v>
          </cell>
          <cell r="H585" t="str">
            <v>N</v>
          </cell>
          <cell r="I585" t="str">
            <v>CERA</v>
          </cell>
          <cell r="J585"/>
          <cell r="K585" t="str">
            <v>MD(A)R</v>
          </cell>
          <cell r="L585">
            <v>38</v>
          </cell>
          <cell r="M585" t="str">
            <v>セラピール　ＭＤ（Ａ）（Ｒ）</v>
          </cell>
          <cell r="N585">
            <v>1255</v>
          </cell>
          <cell r="O585">
            <v>1250</v>
          </cell>
          <cell r="P585">
            <v>6000</v>
          </cell>
          <cell r="Q585">
            <v>2</v>
          </cell>
          <cell r="R585">
            <v>36</v>
          </cell>
          <cell r="S585" t="str">
            <v>本</v>
          </cell>
          <cell r="T585">
            <v>44763</v>
          </cell>
          <cell r="U585">
            <v>44783</v>
          </cell>
          <cell r="V585" t="str">
            <v>㈱須賀川東部鏡石</v>
          </cell>
          <cell r="W585"/>
          <cell r="X585"/>
        </row>
        <row r="586">
          <cell r="A586">
            <v>3671782</v>
          </cell>
          <cell r="B586" t="str">
            <v>福島コーティング</v>
          </cell>
          <cell r="C586" t="str">
            <v>工材１部電材課</v>
          </cell>
          <cell r="D586" t="str">
            <v>ダミー担当者</v>
          </cell>
          <cell r="E586" t="str">
            <v>パナック㈱亀山工場</v>
          </cell>
          <cell r="F586">
            <v>331</v>
          </cell>
          <cell r="G586" t="str">
            <v>S</v>
          </cell>
          <cell r="H586" t="str">
            <v>N</v>
          </cell>
          <cell r="I586" t="str">
            <v>CERA</v>
          </cell>
          <cell r="J586"/>
          <cell r="K586" t="str">
            <v>BKE09</v>
          </cell>
          <cell r="L586">
            <v>38</v>
          </cell>
          <cell r="M586" t="str">
            <v>セラピール　ＢＫＥ（０９）</v>
          </cell>
          <cell r="N586">
            <v>1367</v>
          </cell>
          <cell r="O586">
            <v>1360</v>
          </cell>
          <cell r="P586">
            <v>6000</v>
          </cell>
          <cell r="Q586">
            <v>2</v>
          </cell>
          <cell r="R586">
            <v>6</v>
          </cell>
          <cell r="S586" t="str">
            <v>本</v>
          </cell>
          <cell r="T586">
            <v>44763</v>
          </cell>
          <cell r="U586">
            <v>44783</v>
          </cell>
          <cell r="V586" t="str">
            <v>㈱須賀川東部鏡石</v>
          </cell>
          <cell r="W586"/>
          <cell r="X586"/>
        </row>
        <row r="587">
          <cell r="A587">
            <v>3671783</v>
          </cell>
          <cell r="B587" t="str">
            <v>福島コーティング</v>
          </cell>
          <cell r="C587" t="str">
            <v>工材１部電材課</v>
          </cell>
          <cell r="D587" t="str">
            <v>ダミー担当者</v>
          </cell>
          <cell r="E587" t="str">
            <v>パナック㈱亀山工場</v>
          </cell>
          <cell r="F587">
            <v>3</v>
          </cell>
          <cell r="G587" t="str">
            <v>S</v>
          </cell>
          <cell r="H587" t="str">
            <v>N</v>
          </cell>
          <cell r="I587" t="str">
            <v>CERA</v>
          </cell>
          <cell r="J587"/>
          <cell r="K587" t="str">
            <v>BKE09</v>
          </cell>
          <cell r="L587">
            <v>38</v>
          </cell>
          <cell r="M587" t="str">
            <v>セラピール　ＢＫＥ（０９）</v>
          </cell>
          <cell r="N587">
            <v>1037</v>
          </cell>
          <cell r="O587">
            <v>1030</v>
          </cell>
          <cell r="P587">
            <v>8400</v>
          </cell>
          <cell r="Q587">
            <v>2</v>
          </cell>
          <cell r="R587">
            <v>20</v>
          </cell>
          <cell r="S587" t="str">
            <v>本</v>
          </cell>
          <cell r="T587">
            <v>44763</v>
          </cell>
          <cell r="U587">
            <v>44783</v>
          </cell>
          <cell r="V587" t="str">
            <v>㈱須賀川東部鏡石</v>
          </cell>
          <cell r="W587"/>
          <cell r="X587"/>
        </row>
        <row r="588">
          <cell r="A588">
            <v>3671784</v>
          </cell>
          <cell r="B588" t="str">
            <v>福島コーティング</v>
          </cell>
          <cell r="C588" t="str">
            <v>工材１部電材課</v>
          </cell>
          <cell r="D588" t="str">
            <v>ダミー担当者</v>
          </cell>
          <cell r="E588" t="str">
            <v>パナック㈱亀山工場</v>
          </cell>
          <cell r="F588">
            <v>331</v>
          </cell>
          <cell r="G588" t="str">
            <v>S</v>
          </cell>
          <cell r="H588" t="str">
            <v>N</v>
          </cell>
          <cell r="I588" t="str">
            <v>CERA</v>
          </cell>
          <cell r="J588"/>
          <cell r="K588" t="str">
            <v>BKERXPT</v>
          </cell>
          <cell r="L588">
            <v>38</v>
          </cell>
          <cell r="M588" t="str">
            <v>セラピール　ＢＫＥ（ＲＸ）</v>
          </cell>
          <cell r="N588">
            <v>1330</v>
          </cell>
          <cell r="O588">
            <v>1330</v>
          </cell>
          <cell r="P588">
            <v>6000</v>
          </cell>
          <cell r="Q588">
            <v>2</v>
          </cell>
          <cell r="R588">
            <v>20</v>
          </cell>
          <cell r="S588" t="str">
            <v>本</v>
          </cell>
          <cell r="T588">
            <v>44763</v>
          </cell>
          <cell r="U588">
            <v>44783</v>
          </cell>
          <cell r="V588" t="str">
            <v>㈱須賀川東部鏡石</v>
          </cell>
          <cell r="W588"/>
          <cell r="X588"/>
        </row>
        <row r="589">
          <cell r="A589">
            <v>3671785</v>
          </cell>
          <cell r="B589" t="str">
            <v>福島コーティング</v>
          </cell>
          <cell r="C589" t="str">
            <v>工材１部電材課</v>
          </cell>
          <cell r="D589" t="str">
            <v>ダミー担当者</v>
          </cell>
          <cell r="E589" t="str">
            <v>㈱巴川製紙所</v>
          </cell>
          <cell r="F589">
            <v>331</v>
          </cell>
          <cell r="G589" t="str">
            <v>S</v>
          </cell>
          <cell r="H589" t="str">
            <v>N</v>
          </cell>
          <cell r="I589" t="str">
            <v>CERA</v>
          </cell>
          <cell r="J589"/>
          <cell r="K589" t="str">
            <v>BKERXT</v>
          </cell>
          <cell r="L589">
            <v>38</v>
          </cell>
          <cell r="M589" t="str">
            <v>セラピール　ＢＫＥ（ＲＸ）</v>
          </cell>
          <cell r="N589">
            <v>1580</v>
          </cell>
          <cell r="O589">
            <v>1580</v>
          </cell>
          <cell r="P589">
            <v>6000</v>
          </cell>
          <cell r="Q589">
            <v>2</v>
          </cell>
          <cell r="R589">
            <v>2</v>
          </cell>
          <cell r="S589" t="str">
            <v>本</v>
          </cell>
          <cell r="T589">
            <v>44763</v>
          </cell>
          <cell r="U589">
            <v>44783</v>
          </cell>
          <cell r="V589" t="str">
            <v>㈱須賀川東部鏡石</v>
          </cell>
          <cell r="W589"/>
          <cell r="X589"/>
        </row>
        <row r="590">
          <cell r="A590">
            <v>3671786</v>
          </cell>
          <cell r="B590" t="str">
            <v>福島コーティング</v>
          </cell>
          <cell r="C590" t="str">
            <v>工材１部電材課</v>
          </cell>
          <cell r="D590" t="str">
            <v>ダミー担当者</v>
          </cell>
          <cell r="E590" t="str">
            <v>古河電気工業㈱</v>
          </cell>
          <cell r="F590">
            <v>3</v>
          </cell>
          <cell r="G590" t="str">
            <v>S</v>
          </cell>
          <cell r="H590" t="str">
            <v>N</v>
          </cell>
          <cell r="I590" t="str">
            <v>CERA</v>
          </cell>
          <cell r="J590"/>
          <cell r="K590" t="str">
            <v>WZE</v>
          </cell>
          <cell r="L590">
            <v>25</v>
          </cell>
          <cell r="M590" t="str">
            <v>セラピール　　　　　　　　　　　ＷＺ（Ｅ）</v>
          </cell>
          <cell r="N590">
            <v>1040</v>
          </cell>
          <cell r="O590">
            <v>1040</v>
          </cell>
          <cell r="P590">
            <v>6000</v>
          </cell>
          <cell r="Q590">
            <v>2</v>
          </cell>
          <cell r="R590">
            <v>24</v>
          </cell>
          <cell r="S590" t="str">
            <v>本</v>
          </cell>
          <cell r="T590">
            <v>44763</v>
          </cell>
          <cell r="U590">
            <v>44790</v>
          </cell>
          <cell r="V590" t="str">
            <v>㈱須賀川東部鏡石</v>
          </cell>
          <cell r="W590"/>
          <cell r="X590"/>
        </row>
        <row r="591">
          <cell r="A591">
            <v>3671787</v>
          </cell>
          <cell r="B591" t="str">
            <v>福島コーティング</v>
          </cell>
          <cell r="C591" t="str">
            <v>工材１部電材課</v>
          </cell>
          <cell r="D591" t="str">
            <v>ダミー担当者</v>
          </cell>
          <cell r="E591" t="str">
            <v>古河電気工業㈱</v>
          </cell>
          <cell r="F591">
            <v>3</v>
          </cell>
          <cell r="G591" t="str">
            <v>S</v>
          </cell>
          <cell r="H591" t="str">
            <v>N</v>
          </cell>
          <cell r="I591" t="str">
            <v>CERA</v>
          </cell>
          <cell r="J591"/>
          <cell r="K591" t="str">
            <v>WZE</v>
          </cell>
          <cell r="L591">
            <v>38</v>
          </cell>
          <cell r="M591" t="str">
            <v>セラピール　　　　　　　　　　　ＷＺ（Ｅ）</v>
          </cell>
          <cell r="N591">
            <v>1240</v>
          </cell>
          <cell r="O591">
            <v>1240</v>
          </cell>
          <cell r="P591">
            <v>6000</v>
          </cell>
          <cell r="Q591">
            <v>2</v>
          </cell>
          <cell r="R591">
            <v>10</v>
          </cell>
          <cell r="S591" t="str">
            <v>本</v>
          </cell>
          <cell r="T591">
            <v>44763</v>
          </cell>
          <cell r="U591">
            <v>44790</v>
          </cell>
          <cell r="V591" t="str">
            <v>㈱須賀川東部鏡石</v>
          </cell>
          <cell r="W591"/>
          <cell r="X591"/>
        </row>
        <row r="592">
          <cell r="A592">
            <v>3671788</v>
          </cell>
          <cell r="B592" t="str">
            <v>福島コーティング</v>
          </cell>
          <cell r="C592" t="str">
            <v>工材１部電材課</v>
          </cell>
          <cell r="D592" t="str">
            <v>ダミー担当者</v>
          </cell>
          <cell r="E592" t="str">
            <v>東洋包材㈱</v>
          </cell>
          <cell r="F592">
            <v>3</v>
          </cell>
          <cell r="G592" t="str">
            <v>S</v>
          </cell>
          <cell r="H592" t="str">
            <v>N</v>
          </cell>
          <cell r="I592" t="str">
            <v>CERA</v>
          </cell>
          <cell r="J592"/>
          <cell r="K592" t="str">
            <v>WZRX</v>
          </cell>
          <cell r="L592">
            <v>38</v>
          </cell>
          <cell r="M592" t="str">
            <v>セラピール　ＷＺ（ＲＸ）　　　　　　</v>
          </cell>
          <cell r="N592">
            <v>1135</v>
          </cell>
          <cell r="O592">
            <v>1130</v>
          </cell>
          <cell r="P592">
            <v>6000</v>
          </cell>
          <cell r="Q592">
            <v>2</v>
          </cell>
          <cell r="R592">
            <v>2</v>
          </cell>
          <cell r="S592" t="str">
            <v>本</v>
          </cell>
          <cell r="T592">
            <v>44763</v>
          </cell>
          <cell r="U592">
            <v>44790</v>
          </cell>
          <cell r="V592" t="str">
            <v>㈱須賀川東部鏡石</v>
          </cell>
          <cell r="W592"/>
          <cell r="X592"/>
        </row>
        <row r="593">
          <cell r="A593">
            <v>3671789</v>
          </cell>
          <cell r="B593" t="str">
            <v>情材福島原価</v>
          </cell>
          <cell r="C593" t="str">
            <v>工材１部電材課</v>
          </cell>
          <cell r="D593" t="str">
            <v>ダミー担当者</v>
          </cell>
          <cell r="E593" t="str">
            <v>藤産業㈱</v>
          </cell>
          <cell r="F593">
            <v>3</v>
          </cell>
          <cell r="G593" t="str">
            <v>T</v>
          </cell>
          <cell r="H593" t="str">
            <v>N</v>
          </cell>
          <cell r="I593" t="str">
            <v>CERA</v>
          </cell>
          <cell r="J593"/>
          <cell r="K593" t="str">
            <v>WZ34</v>
          </cell>
          <cell r="L593">
            <v>25</v>
          </cell>
          <cell r="M593" t="str">
            <v>セラピール　ＷＺ（３４）</v>
          </cell>
          <cell r="N593">
            <v>1410</v>
          </cell>
          <cell r="O593">
            <v>1410</v>
          </cell>
          <cell r="P593">
            <v>6000</v>
          </cell>
          <cell r="Q593">
            <v>2</v>
          </cell>
          <cell r="R593">
            <v>18</v>
          </cell>
          <cell r="S593" t="str">
            <v>本</v>
          </cell>
          <cell r="T593">
            <v>44763</v>
          </cell>
          <cell r="U593">
            <v>44790</v>
          </cell>
          <cell r="V593" t="str">
            <v>㈱須賀川東部鏡石</v>
          </cell>
          <cell r="W593"/>
          <cell r="X593"/>
        </row>
        <row r="594">
          <cell r="A594">
            <v>3671790</v>
          </cell>
          <cell r="B594" t="str">
            <v>福島コーティング</v>
          </cell>
          <cell r="C594" t="str">
            <v>工材１部電材課</v>
          </cell>
          <cell r="D594" t="str">
            <v>ダミー担当者</v>
          </cell>
          <cell r="E594" t="str">
            <v>三栄産業㈱尾久工場</v>
          </cell>
          <cell r="F594">
            <v>3</v>
          </cell>
          <cell r="G594" t="str">
            <v>S</v>
          </cell>
          <cell r="H594" t="str">
            <v>N</v>
          </cell>
          <cell r="I594" t="str">
            <v>CERA</v>
          </cell>
          <cell r="J594"/>
          <cell r="K594" t="str">
            <v>WZRX</v>
          </cell>
          <cell r="L594">
            <v>25</v>
          </cell>
          <cell r="M594" t="str">
            <v>セラピール　ＷＺ（ＲＸ）　　　　　　</v>
          </cell>
          <cell r="N594">
            <v>640</v>
          </cell>
          <cell r="O594">
            <v>640</v>
          </cell>
          <cell r="P594">
            <v>2000</v>
          </cell>
          <cell r="Q594">
            <v>2</v>
          </cell>
          <cell r="R594">
            <v>12</v>
          </cell>
          <cell r="S594" t="str">
            <v>本</v>
          </cell>
          <cell r="T594">
            <v>44763</v>
          </cell>
          <cell r="U594">
            <v>44790</v>
          </cell>
          <cell r="V594" t="str">
            <v>㈱須賀川東部鏡石</v>
          </cell>
          <cell r="W594"/>
          <cell r="X594"/>
        </row>
        <row r="595">
          <cell r="A595">
            <v>3671791</v>
          </cell>
          <cell r="B595" t="str">
            <v>福島コーティング</v>
          </cell>
          <cell r="C595" t="str">
            <v>工材１部大阪電材課</v>
          </cell>
          <cell r="D595" t="str">
            <v>ダミー担当者</v>
          </cell>
          <cell r="E595" t="str">
            <v>東洋機材</v>
          </cell>
          <cell r="F595">
            <v>3</v>
          </cell>
          <cell r="G595" t="str">
            <v>S</v>
          </cell>
          <cell r="H595" t="str">
            <v>N</v>
          </cell>
          <cell r="I595" t="str">
            <v>CERA</v>
          </cell>
          <cell r="J595"/>
          <cell r="K595" t="str">
            <v>WZS</v>
          </cell>
          <cell r="L595">
            <v>125</v>
          </cell>
          <cell r="M595" t="str">
            <v>セラピール　ＷＺ（Ｓ）</v>
          </cell>
          <cell r="N595">
            <v>1230</v>
          </cell>
          <cell r="O595">
            <v>1225</v>
          </cell>
          <cell r="P595">
            <v>1800</v>
          </cell>
          <cell r="Q595">
            <v>2</v>
          </cell>
          <cell r="R595">
            <v>1</v>
          </cell>
          <cell r="S595" t="str">
            <v>本</v>
          </cell>
          <cell r="T595">
            <v>44763</v>
          </cell>
          <cell r="U595">
            <v>44790</v>
          </cell>
          <cell r="V595" t="str">
            <v>㈱須賀川東部鏡石</v>
          </cell>
          <cell r="W595"/>
          <cell r="X595"/>
        </row>
        <row r="596">
          <cell r="A596">
            <v>3671792</v>
          </cell>
          <cell r="B596" t="str">
            <v>福島コーティング</v>
          </cell>
          <cell r="C596" t="str">
            <v>工材１部電材課</v>
          </cell>
          <cell r="D596" t="str">
            <v>ダミー担当者</v>
          </cell>
          <cell r="E596" t="str">
            <v>㈱巴川製紙所</v>
          </cell>
          <cell r="F596">
            <v>3</v>
          </cell>
          <cell r="G596" t="str">
            <v>S</v>
          </cell>
          <cell r="H596" t="str">
            <v>N</v>
          </cell>
          <cell r="I596" t="str">
            <v>CERA</v>
          </cell>
          <cell r="J596"/>
          <cell r="K596" t="str">
            <v>BX8AX</v>
          </cell>
          <cell r="L596">
            <v>75</v>
          </cell>
          <cell r="M596" t="str">
            <v>セラピール　　　　　　　　　　　ＢＸ８Ａ（Ｘ）</v>
          </cell>
          <cell r="N596">
            <v>1330</v>
          </cell>
          <cell r="O596">
            <v>1330</v>
          </cell>
          <cell r="P596">
            <v>4100</v>
          </cell>
          <cell r="Q596">
            <v>2</v>
          </cell>
          <cell r="R596">
            <v>40</v>
          </cell>
          <cell r="S596" t="str">
            <v>本</v>
          </cell>
          <cell r="T596">
            <v>44763</v>
          </cell>
          <cell r="U596">
            <v>44799</v>
          </cell>
          <cell r="V596" t="str">
            <v>㈱須賀川東部鏡石</v>
          </cell>
          <cell r="W596"/>
          <cell r="X596"/>
        </row>
        <row r="597">
          <cell r="A597">
            <v>3671793</v>
          </cell>
          <cell r="B597" t="str">
            <v>情材福島原価</v>
          </cell>
          <cell r="C597" t="str">
            <v>工材１部大阪電材課</v>
          </cell>
          <cell r="D597" t="str">
            <v>ダミー担当者</v>
          </cell>
          <cell r="E597" t="str">
            <v>日東電工㈱豊橋工場</v>
          </cell>
          <cell r="F597">
            <v>3</v>
          </cell>
          <cell r="G597" t="str">
            <v>T</v>
          </cell>
          <cell r="H597" t="str">
            <v>N</v>
          </cell>
          <cell r="I597" t="str">
            <v>CERA</v>
          </cell>
          <cell r="J597"/>
          <cell r="K597" t="str">
            <v>BX8A37</v>
          </cell>
          <cell r="L597">
            <v>75</v>
          </cell>
          <cell r="M597" t="str">
            <v>セラピール　ＢＸ８Ａ（３７）</v>
          </cell>
          <cell r="N597">
            <v>1050</v>
          </cell>
          <cell r="O597">
            <v>1050</v>
          </cell>
          <cell r="P597">
            <v>5800</v>
          </cell>
          <cell r="Q597">
            <v>2</v>
          </cell>
          <cell r="R597">
            <v>32</v>
          </cell>
          <cell r="S597" t="str">
            <v>本</v>
          </cell>
          <cell r="T597">
            <v>44763</v>
          </cell>
          <cell r="U597">
            <v>44799</v>
          </cell>
          <cell r="V597" t="str">
            <v>㈱須賀川東部鏡石</v>
          </cell>
          <cell r="W597"/>
          <cell r="X597"/>
        </row>
        <row r="598">
          <cell r="A598">
            <v>3671794</v>
          </cell>
          <cell r="B598" t="str">
            <v>福島コーティング</v>
          </cell>
          <cell r="C598" t="str">
            <v>工材１部電材課</v>
          </cell>
          <cell r="D598" t="str">
            <v>ダミー担当者</v>
          </cell>
          <cell r="E598" t="str">
            <v>古河電気工業㈱</v>
          </cell>
          <cell r="F598">
            <v>3</v>
          </cell>
          <cell r="G598" t="str">
            <v>S</v>
          </cell>
          <cell r="H598" t="str">
            <v>N</v>
          </cell>
          <cell r="I598" t="str">
            <v>CERA</v>
          </cell>
          <cell r="J598"/>
          <cell r="K598" t="str">
            <v>WZE</v>
          </cell>
          <cell r="L598">
            <v>25</v>
          </cell>
          <cell r="M598" t="str">
            <v>セラピール　　　　　　　　　　　ＷＺ（Ｅ）</v>
          </cell>
          <cell r="N598">
            <v>1240</v>
          </cell>
          <cell r="O598">
            <v>1240</v>
          </cell>
          <cell r="P598">
            <v>6000</v>
          </cell>
          <cell r="Q598">
            <v>2</v>
          </cell>
          <cell r="R598">
            <v>44</v>
          </cell>
          <cell r="S598" t="str">
            <v>本</v>
          </cell>
          <cell r="T598">
            <v>44763</v>
          </cell>
          <cell r="U598">
            <v>44799</v>
          </cell>
          <cell r="V598" t="str">
            <v>㈱須賀川東部鏡石</v>
          </cell>
          <cell r="W598"/>
          <cell r="X598"/>
        </row>
        <row r="599">
          <cell r="A599">
            <v>3671795</v>
          </cell>
          <cell r="B599" t="str">
            <v>福島コーティング</v>
          </cell>
          <cell r="C599" t="str">
            <v>プロセス材１課</v>
          </cell>
          <cell r="D599" t="str">
            <v>ダミー担当者</v>
          </cell>
          <cell r="E599" t="str">
            <v>リンテック㈱</v>
          </cell>
          <cell r="F599">
            <v>3</v>
          </cell>
          <cell r="G599" t="str">
            <v>S</v>
          </cell>
          <cell r="H599" t="str">
            <v>N</v>
          </cell>
          <cell r="I599" t="str">
            <v>CERA</v>
          </cell>
          <cell r="J599"/>
          <cell r="K599" t="str">
            <v>WZS</v>
          </cell>
          <cell r="L599">
            <v>38</v>
          </cell>
          <cell r="M599" t="str">
            <v>セラピール　　　　　　　　　　　ＷＺ（Ｓ）</v>
          </cell>
          <cell r="N599">
            <v>1415</v>
          </cell>
          <cell r="O599">
            <v>1410</v>
          </cell>
          <cell r="P599">
            <v>8000</v>
          </cell>
          <cell r="Q599">
            <v>2</v>
          </cell>
          <cell r="R599">
            <v>17</v>
          </cell>
          <cell r="S599" t="str">
            <v>本</v>
          </cell>
          <cell r="T599">
            <v>44763</v>
          </cell>
          <cell r="U599">
            <v>44795</v>
          </cell>
          <cell r="V599" t="str">
            <v>㈱須賀川東部鏡石</v>
          </cell>
          <cell r="W599"/>
          <cell r="X599"/>
        </row>
        <row r="600">
          <cell r="A600">
            <v>3671796</v>
          </cell>
          <cell r="B600" t="str">
            <v>福島コーティング</v>
          </cell>
          <cell r="C600" t="str">
            <v>工材１部大阪電材課</v>
          </cell>
          <cell r="D600" t="str">
            <v>ダミー担当者</v>
          </cell>
          <cell r="E600" t="str">
            <v>日東電工㈱豊橋工場</v>
          </cell>
          <cell r="F600">
            <v>3313</v>
          </cell>
          <cell r="G600" t="str">
            <v>S</v>
          </cell>
          <cell r="H600" t="str">
            <v>N</v>
          </cell>
          <cell r="I600" t="str">
            <v>CERA</v>
          </cell>
          <cell r="J600"/>
          <cell r="K600" t="str">
            <v>MD(A)R</v>
          </cell>
          <cell r="L600">
            <v>38</v>
          </cell>
          <cell r="M600" t="str">
            <v>セラピール　ＭＤ（Ａ）（Ｒ）</v>
          </cell>
          <cell r="N600">
            <v>750</v>
          </cell>
          <cell r="O600">
            <v>750</v>
          </cell>
          <cell r="P600">
            <v>6000</v>
          </cell>
          <cell r="Q600">
            <v>2</v>
          </cell>
          <cell r="R600">
            <v>32</v>
          </cell>
          <cell r="S600" t="str">
            <v>本</v>
          </cell>
          <cell r="T600">
            <v>44763</v>
          </cell>
          <cell r="U600">
            <v>44799</v>
          </cell>
          <cell r="V600" t="str">
            <v>㈱須賀川東部鏡石</v>
          </cell>
          <cell r="W600"/>
          <cell r="X600"/>
        </row>
        <row r="601">
          <cell r="A601">
            <v>3671797</v>
          </cell>
          <cell r="B601" t="str">
            <v>福島コーティング</v>
          </cell>
          <cell r="C601" t="str">
            <v>工材１部大阪電材課</v>
          </cell>
          <cell r="D601" t="str">
            <v>ダミー担当者</v>
          </cell>
          <cell r="E601" t="str">
            <v>日東電工㈱豊橋工場</v>
          </cell>
          <cell r="F601">
            <v>331</v>
          </cell>
          <cell r="G601" t="str">
            <v>S</v>
          </cell>
          <cell r="H601" t="str">
            <v>N</v>
          </cell>
          <cell r="I601" t="str">
            <v>CERA</v>
          </cell>
          <cell r="J601"/>
          <cell r="K601" t="str">
            <v>MD(A)R</v>
          </cell>
          <cell r="L601">
            <v>38</v>
          </cell>
          <cell r="M601" t="str">
            <v>セラピール　ＭＤ（Ａ）（Ｒ）</v>
          </cell>
          <cell r="N601">
            <v>1255</v>
          </cell>
          <cell r="O601">
            <v>1250</v>
          </cell>
          <cell r="P601">
            <v>6000</v>
          </cell>
          <cell r="Q601">
            <v>2</v>
          </cell>
          <cell r="R601">
            <v>12</v>
          </cell>
          <cell r="S601" t="str">
            <v>本</v>
          </cell>
          <cell r="T601">
            <v>44763</v>
          </cell>
          <cell r="U601">
            <v>44799</v>
          </cell>
          <cell r="V601" t="str">
            <v>㈱須賀川東部鏡石</v>
          </cell>
          <cell r="W601"/>
          <cell r="X601"/>
        </row>
        <row r="602">
          <cell r="A602">
            <v>3671798</v>
          </cell>
          <cell r="B602" t="str">
            <v>福島コーティング</v>
          </cell>
          <cell r="C602" t="str">
            <v>工材１部大阪電材課</v>
          </cell>
          <cell r="D602" t="str">
            <v>ダミー担当者</v>
          </cell>
          <cell r="E602" t="str">
            <v>日東電工㈱豊橋工場</v>
          </cell>
          <cell r="F602">
            <v>331</v>
          </cell>
          <cell r="G602" t="str">
            <v>S</v>
          </cell>
          <cell r="H602" t="str">
            <v>N</v>
          </cell>
          <cell r="I602" t="str">
            <v>CERA</v>
          </cell>
          <cell r="J602"/>
          <cell r="K602" t="str">
            <v>MD(A)R</v>
          </cell>
          <cell r="L602">
            <v>38</v>
          </cell>
          <cell r="M602" t="str">
            <v>セラピール　ＭＤ（Ａ）（Ｒ）</v>
          </cell>
          <cell r="N602">
            <v>1585</v>
          </cell>
          <cell r="O602">
            <v>1580</v>
          </cell>
          <cell r="P602">
            <v>4000</v>
          </cell>
          <cell r="Q602">
            <v>2</v>
          </cell>
          <cell r="R602">
            <v>3</v>
          </cell>
          <cell r="S602" t="str">
            <v>本</v>
          </cell>
          <cell r="T602">
            <v>44763</v>
          </cell>
          <cell r="U602">
            <v>44799</v>
          </cell>
          <cell r="V602" t="str">
            <v>㈱須賀川東部鏡石</v>
          </cell>
          <cell r="W602"/>
          <cell r="X602"/>
        </row>
        <row r="603">
          <cell r="A603">
            <v>3671799</v>
          </cell>
          <cell r="B603" t="str">
            <v>福島コーティング</v>
          </cell>
          <cell r="C603" t="str">
            <v>大阪光学機能材課</v>
          </cell>
          <cell r="D603" t="str">
            <v>ダミー担当者</v>
          </cell>
          <cell r="E603" t="str">
            <v>日東電工㈱尾道事業所</v>
          </cell>
          <cell r="F603">
            <v>3321</v>
          </cell>
          <cell r="G603" t="str">
            <v>S</v>
          </cell>
          <cell r="H603" t="str">
            <v>N</v>
          </cell>
          <cell r="I603" t="str">
            <v>CERA</v>
          </cell>
          <cell r="J603"/>
          <cell r="K603" t="str">
            <v>MDACPFL</v>
          </cell>
          <cell r="L603">
            <v>38</v>
          </cell>
          <cell r="M603" t="str">
            <v>Ｋ　セラピールＭＤＡ（ＣＰＲＦ）Ｌ</v>
          </cell>
          <cell r="N603">
            <v>1336</v>
          </cell>
          <cell r="O603">
            <v>1325</v>
          </cell>
          <cell r="P603">
            <v>12000</v>
          </cell>
          <cell r="Q603">
            <v>2</v>
          </cell>
          <cell r="R603">
            <v>22</v>
          </cell>
          <cell r="S603" t="str">
            <v>本</v>
          </cell>
          <cell r="T603">
            <v>44763</v>
          </cell>
          <cell r="U603">
            <v>44799</v>
          </cell>
          <cell r="V603" t="str">
            <v>㈱須賀川東部鏡石</v>
          </cell>
          <cell r="W603"/>
          <cell r="X603"/>
        </row>
        <row r="604">
          <cell r="A604">
            <v>3671800</v>
          </cell>
          <cell r="B604" t="str">
            <v>福島コーティング</v>
          </cell>
          <cell r="C604" t="str">
            <v>大阪光学機能材課</v>
          </cell>
          <cell r="D604" t="str">
            <v>ダミー担当者</v>
          </cell>
          <cell r="E604" t="str">
            <v>日東電工㈱尾道事業所</v>
          </cell>
          <cell r="F604">
            <v>3321</v>
          </cell>
          <cell r="G604" t="str">
            <v>S</v>
          </cell>
          <cell r="H604" t="str">
            <v>N</v>
          </cell>
          <cell r="I604" t="str">
            <v>CERA</v>
          </cell>
          <cell r="J604"/>
          <cell r="K604" t="str">
            <v>MDAPFL</v>
          </cell>
          <cell r="L604">
            <v>38</v>
          </cell>
          <cell r="M604" t="str">
            <v>Ｋ　セラピールＭＤＡ（ＰＲＦ）Ｌ</v>
          </cell>
          <cell r="N604">
            <v>1336</v>
          </cell>
          <cell r="O604">
            <v>1325</v>
          </cell>
          <cell r="P604">
            <v>12000</v>
          </cell>
          <cell r="Q604">
            <v>2</v>
          </cell>
          <cell r="R604">
            <v>22</v>
          </cell>
          <cell r="S604" t="str">
            <v>本</v>
          </cell>
          <cell r="T604">
            <v>44763</v>
          </cell>
          <cell r="U604">
            <v>44799</v>
          </cell>
          <cell r="V604" t="str">
            <v>㈱須賀川東部鏡石</v>
          </cell>
          <cell r="W604"/>
          <cell r="X604"/>
        </row>
        <row r="605">
          <cell r="A605">
            <v>3671801</v>
          </cell>
          <cell r="B605" t="str">
            <v>福島コーティング</v>
          </cell>
          <cell r="C605" t="str">
            <v>工材１部電材課</v>
          </cell>
          <cell r="D605" t="str">
            <v>ダミー担当者</v>
          </cell>
          <cell r="E605" t="str">
            <v>㈱巴川製紙所</v>
          </cell>
          <cell r="F605">
            <v>331</v>
          </cell>
          <cell r="G605" t="str">
            <v>S</v>
          </cell>
          <cell r="H605" t="str">
            <v>N</v>
          </cell>
          <cell r="I605" t="str">
            <v>CERA</v>
          </cell>
          <cell r="J605"/>
          <cell r="K605" t="str">
            <v>BKERXT</v>
          </cell>
          <cell r="L605">
            <v>38</v>
          </cell>
          <cell r="M605" t="str">
            <v>セラピール　ＢＫＥ（ＲＸ）</v>
          </cell>
          <cell r="N605">
            <v>1330</v>
          </cell>
          <cell r="O605">
            <v>1330</v>
          </cell>
          <cell r="P605">
            <v>6000</v>
          </cell>
          <cell r="Q605">
            <v>2</v>
          </cell>
          <cell r="R605">
            <v>10</v>
          </cell>
          <cell r="S605" t="str">
            <v>本</v>
          </cell>
          <cell r="T605">
            <v>44763</v>
          </cell>
          <cell r="U605">
            <v>44804</v>
          </cell>
          <cell r="V605" t="str">
            <v>㈱須賀川東部鏡石</v>
          </cell>
          <cell r="W605"/>
          <cell r="X605"/>
        </row>
        <row r="606">
          <cell r="A606">
            <v>3671802</v>
          </cell>
          <cell r="B606" t="str">
            <v>福島コーティング</v>
          </cell>
          <cell r="C606" t="str">
            <v>工材１部電材課</v>
          </cell>
          <cell r="D606" t="str">
            <v>ダミー担当者</v>
          </cell>
          <cell r="E606" t="str">
            <v>積水化学武蔵工場</v>
          </cell>
          <cell r="F606">
            <v>3</v>
          </cell>
          <cell r="G606" t="str">
            <v>S</v>
          </cell>
          <cell r="H606" t="str">
            <v>N</v>
          </cell>
          <cell r="I606" t="str">
            <v>CERA</v>
          </cell>
          <cell r="J606"/>
          <cell r="K606" t="str">
            <v>BKU</v>
          </cell>
          <cell r="L606">
            <v>25</v>
          </cell>
          <cell r="M606" t="str">
            <v>セラピ－ル　ＢＫ（Ｕ）</v>
          </cell>
          <cell r="N606">
            <v>890</v>
          </cell>
          <cell r="O606">
            <v>890</v>
          </cell>
          <cell r="P606">
            <v>3800</v>
          </cell>
          <cell r="Q606">
            <v>2</v>
          </cell>
          <cell r="R606">
            <v>6</v>
          </cell>
          <cell r="S606" t="str">
            <v>本</v>
          </cell>
          <cell r="T606">
            <v>44763</v>
          </cell>
          <cell r="U606">
            <v>44804</v>
          </cell>
          <cell r="V606" t="str">
            <v>㈱須賀川東部鏡石</v>
          </cell>
          <cell r="W606"/>
          <cell r="X606"/>
        </row>
        <row r="607">
          <cell r="A607">
            <v>3671803</v>
          </cell>
          <cell r="B607" t="str">
            <v>福島コーティング</v>
          </cell>
          <cell r="C607" t="str">
            <v>光学機能材１課</v>
          </cell>
          <cell r="D607" t="str">
            <v>ダミー担当者</v>
          </cell>
          <cell r="E607" t="str">
            <v>㈱きもと　三重工場</v>
          </cell>
          <cell r="F607">
            <v>3</v>
          </cell>
          <cell r="G607" t="str">
            <v>S</v>
          </cell>
          <cell r="H607" t="str">
            <v>N</v>
          </cell>
          <cell r="I607" t="str">
            <v>CERA</v>
          </cell>
          <cell r="J607"/>
          <cell r="K607" t="str">
            <v>BKUK</v>
          </cell>
          <cell r="L607">
            <v>25</v>
          </cell>
          <cell r="M607" t="str">
            <v>セラピール　ＢＫ（Ｕ）Ｋ</v>
          </cell>
          <cell r="N607">
            <v>1045</v>
          </cell>
          <cell r="O607">
            <v>1040</v>
          </cell>
          <cell r="P607">
            <v>6000</v>
          </cell>
          <cell r="Q607">
            <v>2</v>
          </cell>
          <cell r="R607">
            <v>16</v>
          </cell>
          <cell r="S607" t="str">
            <v>本</v>
          </cell>
          <cell r="T607">
            <v>44763</v>
          </cell>
          <cell r="U607">
            <v>44804</v>
          </cell>
          <cell r="V607" t="str">
            <v>㈱須賀川東部鏡石</v>
          </cell>
          <cell r="W607"/>
          <cell r="X607"/>
        </row>
        <row r="608">
          <cell r="A608">
            <v>3671804</v>
          </cell>
          <cell r="B608" t="str">
            <v>福島コーティング</v>
          </cell>
          <cell r="C608" t="str">
            <v>工材１部大阪電材課</v>
          </cell>
          <cell r="D608" t="str">
            <v>ダミー担当者</v>
          </cell>
          <cell r="E608" t="str">
            <v>ナガセケム　播磨</v>
          </cell>
          <cell r="F608">
            <v>3</v>
          </cell>
          <cell r="G608" t="str">
            <v>S</v>
          </cell>
          <cell r="H608" t="str">
            <v>N</v>
          </cell>
          <cell r="I608" t="str">
            <v>CERA</v>
          </cell>
          <cell r="J608"/>
          <cell r="K608" t="str">
            <v>SY08</v>
          </cell>
          <cell r="L608">
            <v>25</v>
          </cell>
          <cell r="M608" t="str">
            <v>セラピール　ＳＹ（０８）</v>
          </cell>
          <cell r="N608">
            <v>500</v>
          </cell>
          <cell r="O608">
            <v>500</v>
          </cell>
          <cell r="P608">
            <v>4000</v>
          </cell>
          <cell r="Q608">
            <v>2</v>
          </cell>
          <cell r="R608">
            <v>48</v>
          </cell>
          <cell r="S608" t="str">
            <v>本</v>
          </cell>
          <cell r="T608">
            <v>44763</v>
          </cell>
          <cell r="U608">
            <v>44804</v>
          </cell>
          <cell r="V608" t="str">
            <v>㈱須賀川東部鏡石</v>
          </cell>
          <cell r="W608"/>
          <cell r="X608"/>
        </row>
        <row r="609">
          <cell r="A609">
            <v>3671805</v>
          </cell>
          <cell r="B609" t="str">
            <v>福島コーティング</v>
          </cell>
          <cell r="C609" t="str">
            <v>工材１部電材課</v>
          </cell>
          <cell r="D609" t="str">
            <v>ダミー担当者</v>
          </cell>
          <cell r="E609" t="str">
            <v>㈱三共プラス</v>
          </cell>
          <cell r="F609">
            <v>3</v>
          </cell>
          <cell r="G609" t="str">
            <v>S</v>
          </cell>
          <cell r="H609" t="str">
            <v>N</v>
          </cell>
          <cell r="I609" t="str">
            <v>TTP</v>
          </cell>
          <cell r="J609"/>
          <cell r="K609" t="str">
            <v>B2T0</v>
          </cell>
          <cell r="L609">
            <v>100</v>
          </cell>
          <cell r="M609" t="str">
            <v>タフトップ　Ｂ２Ｔ０</v>
          </cell>
          <cell r="N609">
            <v>1000</v>
          </cell>
          <cell r="O609">
            <v>1000</v>
          </cell>
          <cell r="P609">
            <v>1000</v>
          </cell>
          <cell r="Q609">
            <v>2</v>
          </cell>
          <cell r="R609">
            <v>8</v>
          </cell>
          <cell r="S609" t="str">
            <v>本</v>
          </cell>
          <cell r="T609">
            <v>44763</v>
          </cell>
          <cell r="U609">
            <v>44795</v>
          </cell>
          <cell r="V609" t="str">
            <v>㈱須賀川東部鏡石</v>
          </cell>
          <cell r="W609"/>
          <cell r="X609"/>
        </row>
        <row r="610">
          <cell r="A610">
            <v>3671806</v>
          </cell>
          <cell r="B610" t="str">
            <v>福島コーティング</v>
          </cell>
          <cell r="C610" t="str">
            <v>工材１部電材課</v>
          </cell>
          <cell r="D610" t="str">
            <v>ダミー担当者</v>
          </cell>
          <cell r="E610" t="str">
            <v>㈱三共プラス</v>
          </cell>
          <cell r="F610">
            <v>3</v>
          </cell>
          <cell r="G610" t="str">
            <v>S</v>
          </cell>
          <cell r="H610" t="str">
            <v>N</v>
          </cell>
          <cell r="I610" t="str">
            <v>TTP</v>
          </cell>
          <cell r="J610"/>
          <cell r="K610" t="str">
            <v>B2T0</v>
          </cell>
          <cell r="L610">
            <v>125</v>
          </cell>
          <cell r="M610" t="str">
            <v>タフトップ　Ｂ２Ｔ０</v>
          </cell>
          <cell r="N610">
            <v>1000</v>
          </cell>
          <cell r="O610">
            <v>1000</v>
          </cell>
          <cell r="P610">
            <v>1000</v>
          </cell>
          <cell r="Q610">
            <v>2</v>
          </cell>
          <cell r="R610">
            <v>6</v>
          </cell>
          <cell r="S610" t="str">
            <v>本</v>
          </cell>
          <cell r="T610">
            <v>44763</v>
          </cell>
          <cell r="U610">
            <v>44795</v>
          </cell>
          <cell r="V610" t="str">
            <v>㈱須賀川東部鏡石</v>
          </cell>
          <cell r="W610"/>
          <cell r="X610"/>
        </row>
        <row r="611">
          <cell r="A611">
            <v>3671807</v>
          </cell>
          <cell r="B611" t="str">
            <v>福島コーティング</v>
          </cell>
          <cell r="C611" t="str">
            <v>工材１部電材課</v>
          </cell>
          <cell r="D611" t="str">
            <v>ダミー担当者</v>
          </cell>
          <cell r="E611" t="str">
            <v>㈱三共プラス</v>
          </cell>
          <cell r="F611">
            <v>3</v>
          </cell>
          <cell r="G611" t="str">
            <v>S</v>
          </cell>
          <cell r="H611" t="str">
            <v>N</v>
          </cell>
          <cell r="I611" t="str">
            <v>TTP</v>
          </cell>
          <cell r="J611"/>
          <cell r="K611" t="str">
            <v>B2T0</v>
          </cell>
          <cell r="L611">
            <v>188</v>
          </cell>
          <cell r="M611" t="str">
            <v>タフトップ　Ｂ２Ｔ０</v>
          </cell>
          <cell r="N611">
            <v>1000</v>
          </cell>
          <cell r="O611">
            <v>1000</v>
          </cell>
          <cell r="P611">
            <v>1000</v>
          </cell>
          <cell r="Q611">
            <v>2</v>
          </cell>
          <cell r="R611">
            <v>4</v>
          </cell>
          <cell r="S611" t="str">
            <v>本</v>
          </cell>
          <cell r="T611">
            <v>44763</v>
          </cell>
          <cell r="U611">
            <v>44795</v>
          </cell>
          <cell r="V611" t="str">
            <v>㈱須賀川東部鏡石</v>
          </cell>
          <cell r="W611"/>
          <cell r="X611"/>
        </row>
        <row r="612">
          <cell r="A612">
            <v>3671809</v>
          </cell>
          <cell r="B612" t="str">
            <v>福島コーティング</v>
          </cell>
          <cell r="C612" t="str">
            <v>工材１部大阪電材課</v>
          </cell>
          <cell r="D612" t="str">
            <v>ダミー担当者</v>
          </cell>
          <cell r="E612" t="str">
            <v>双信電機㈱</v>
          </cell>
          <cell r="F612">
            <v>3</v>
          </cell>
          <cell r="G612" t="str">
            <v>S</v>
          </cell>
          <cell r="H612" t="str">
            <v>N</v>
          </cell>
          <cell r="I612" t="str">
            <v>CERANS</v>
          </cell>
          <cell r="J612"/>
          <cell r="K612" t="str">
            <v>HP2UDF</v>
          </cell>
          <cell r="L612">
            <v>75</v>
          </cell>
          <cell r="M612" t="str">
            <v>セラピール　ＨＰ２（Ｕ）Ｄ</v>
          </cell>
          <cell r="N612">
            <v>600</v>
          </cell>
          <cell r="O612">
            <v>600</v>
          </cell>
          <cell r="P612">
            <v>600</v>
          </cell>
          <cell r="Q612">
            <v>2</v>
          </cell>
          <cell r="R612">
            <v>60</v>
          </cell>
          <cell r="S612" t="str">
            <v>本</v>
          </cell>
          <cell r="T612">
            <v>44763</v>
          </cell>
          <cell r="U612">
            <v>44795</v>
          </cell>
          <cell r="V612" t="str">
            <v>㈱須賀川東部鏡石</v>
          </cell>
          <cell r="W612"/>
          <cell r="X612"/>
        </row>
        <row r="613">
          <cell r="A613">
            <v>3671812</v>
          </cell>
          <cell r="B613" t="str">
            <v>福島コーティング</v>
          </cell>
          <cell r="C613" t="str">
            <v>プロセス材２課</v>
          </cell>
          <cell r="D613" t="str">
            <v>ダミー担当者</v>
          </cell>
          <cell r="E613" t="str">
            <v>藤森工業㈱掛川事業所</v>
          </cell>
          <cell r="F613">
            <v>3</v>
          </cell>
          <cell r="G613" t="str">
            <v>S</v>
          </cell>
          <cell r="H613" t="str">
            <v>N</v>
          </cell>
          <cell r="I613" t="str">
            <v>CLB</v>
          </cell>
          <cell r="J613"/>
          <cell r="K613" t="str">
            <v>PETTL</v>
          </cell>
          <cell r="L613">
            <v>38</v>
          </cell>
          <cell r="M613" t="str">
            <v>ＰＥＴ　ＴＬ</v>
          </cell>
          <cell r="N613">
            <v>1320</v>
          </cell>
          <cell r="O613">
            <v>1320</v>
          </cell>
          <cell r="P613">
            <v>4200</v>
          </cell>
          <cell r="Q613">
            <v>2</v>
          </cell>
          <cell r="R613">
            <v>10</v>
          </cell>
          <cell r="S613" t="str">
            <v>本</v>
          </cell>
          <cell r="T613">
            <v>44763</v>
          </cell>
          <cell r="U613">
            <v>44795</v>
          </cell>
          <cell r="V613" t="str">
            <v>㈱須賀川東部鏡石</v>
          </cell>
          <cell r="W613"/>
          <cell r="X613"/>
        </row>
        <row r="614">
          <cell r="A614">
            <v>3671827</v>
          </cell>
          <cell r="B614" t="str">
            <v>福島コーティング</v>
          </cell>
          <cell r="C614" t="str">
            <v>プロセス材１課</v>
          </cell>
          <cell r="D614" t="str">
            <v>ダミー担当者</v>
          </cell>
          <cell r="E614" t="str">
            <v>リンテック㈱</v>
          </cell>
          <cell r="F614">
            <v>3</v>
          </cell>
          <cell r="G614" t="str">
            <v>S</v>
          </cell>
          <cell r="H614" t="str">
            <v>N</v>
          </cell>
          <cell r="I614" t="str">
            <v>CLB</v>
          </cell>
          <cell r="J614"/>
          <cell r="K614" t="str">
            <v>PETMV</v>
          </cell>
          <cell r="L614">
            <v>25</v>
          </cell>
          <cell r="M614" t="str">
            <v>ＰＥＴ　マットＶ</v>
          </cell>
          <cell r="N614">
            <v>1005</v>
          </cell>
          <cell r="O614">
            <v>1000</v>
          </cell>
          <cell r="P614">
            <v>4000</v>
          </cell>
          <cell r="Q614">
            <v>2</v>
          </cell>
          <cell r="R614">
            <v>3</v>
          </cell>
          <cell r="S614" t="str">
            <v>本</v>
          </cell>
          <cell r="T614">
            <v>44763</v>
          </cell>
          <cell r="U614">
            <v>44790</v>
          </cell>
          <cell r="V614" t="str">
            <v>㈱須賀川東部鏡石</v>
          </cell>
          <cell r="W614"/>
          <cell r="X614"/>
        </row>
        <row r="615">
          <cell r="A615">
            <v>5340578</v>
          </cell>
          <cell r="B615" t="str">
            <v>福島工場ＣＯ</v>
          </cell>
          <cell r="C615" t="str">
            <v>工材１部電材課</v>
          </cell>
          <cell r="D615" t="str">
            <v>半田　敦子</v>
          </cell>
          <cell r="E615" t="str">
            <v>東レ</v>
          </cell>
          <cell r="F615" t="str">
            <v>3KS</v>
          </cell>
          <cell r="G615" t="str">
            <v>U</v>
          </cell>
          <cell r="H615" t="str">
            <v>Y</v>
          </cell>
          <cell r="I615" t="str">
            <v>CERANS</v>
          </cell>
          <cell r="J615"/>
          <cell r="K615">
            <v>27114</v>
          </cell>
          <cell r="L615">
            <v>75</v>
          </cell>
          <cell r="M615" t="str">
            <v>ＣＥＲＡＰＥＥＬ　ＰＪ２７１（１４）</v>
          </cell>
          <cell r="N615">
            <v>180</v>
          </cell>
          <cell r="O615">
            <v>180</v>
          </cell>
          <cell r="P615">
            <v>2000</v>
          </cell>
          <cell r="Q615">
            <v>2</v>
          </cell>
          <cell r="R615">
            <v>2</v>
          </cell>
          <cell r="S615" t="str">
            <v>本</v>
          </cell>
          <cell r="T615">
            <v>44687</v>
          </cell>
          <cell r="U615">
            <v>44693</v>
          </cell>
          <cell r="V615" t="str">
            <v>福島工場ＣＯ</v>
          </cell>
          <cell r="W615" t="str">
            <v>５月１３日指定配送</v>
          </cell>
          <cell r="X615">
            <v>513</v>
          </cell>
        </row>
        <row r="616">
          <cell r="A616">
            <v>5340578</v>
          </cell>
          <cell r="B616" t="str">
            <v>福島工場ＣＯ</v>
          </cell>
          <cell r="C616" t="str">
            <v>工材１部電材課</v>
          </cell>
          <cell r="D616" t="str">
            <v>半田　敦子</v>
          </cell>
          <cell r="E616" t="str">
            <v>東レ</v>
          </cell>
          <cell r="F616" t="str">
            <v>3KS</v>
          </cell>
          <cell r="G616" t="str">
            <v>U</v>
          </cell>
          <cell r="H616" t="str">
            <v>Y</v>
          </cell>
          <cell r="I616" t="str">
            <v>CERANS</v>
          </cell>
          <cell r="J616"/>
          <cell r="K616">
            <v>27114</v>
          </cell>
          <cell r="L616">
            <v>75</v>
          </cell>
          <cell r="M616" t="str">
            <v>ＣＥＲＡＰＥＥＬ　ＰＪ２７１（１４）</v>
          </cell>
          <cell r="N616">
            <v>685</v>
          </cell>
          <cell r="O616">
            <v>685</v>
          </cell>
          <cell r="P616">
            <v>2000</v>
          </cell>
          <cell r="Q616">
            <v>2</v>
          </cell>
          <cell r="R616">
            <v>2</v>
          </cell>
          <cell r="S616" t="str">
            <v>本</v>
          </cell>
          <cell r="T616">
            <v>44687</v>
          </cell>
          <cell r="U616">
            <v>44693</v>
          </cell>
          <cell r="V616" t="str">
            <v>福島工場ＣＯ</v>
          </cell>
          <cell r="W616" t="str">
            <v>５月１３日指定配送</v>
          </cell>
          <cell r="X616">
            <v>513</v>
          </cell>
        </row>
        <row r="617">
          <cell r="A617">
            <v>5340578</v>
          </cell>
          <cell r="B617" t="str">
            <v>福島工場ＣＯ</v>
          </cell>
          <cell r="C617" t="str">
            <v>工材１部電材課</v>
          </cell>
          <cell r="D617" t="str">
            <v>半田　敦子</v>
          </cell>
          <cell r="E617" t="str">
            <v>東レ</v>
          </cell>
          <cell r="F617" t="str">
            <v>3KS</v>
          </cell>
          <cell r="G617" t="str">
            <v>U</v>
          </cell>
          <cell r="H617" t="str">
            <v>Y</v>
          </cell>
          <cell r="I617" t="str">
            <v>CERANS</v>
          </cell>
          <cell r="J617"/>
          <cell r="K617">
            <v>27114</v>
          </cell>
          <cell r="L617">
            <v>75</v>
          </cell>
          <cell r="M617" t="str">
            <v>ＣＥＲＡＰＥＥＬ　ＰＪ２７１（１４）</v>
          </cell>
          <cell r="N617">
            <v>590</v>
          </cell>
          <cell r="O617">
            <v>590</v>
          </cell>
          <cell r="P617">
            <v>2000</v>
          </cell>
          <cell r="Q617">
            <v>2</v>
          </cell>
          <cell r="R617">
            <v>2</v>
          </cell>
          <cell r="S617" t="str">
            <v>本</v>
          </cell>
          <cell r="T617">
            <v>44687</v>
          </cell>
          <cell r="U617">
            <v>44693</v>
          </cell>
          <cell r="V617" t="str">
            <v>福島工場ＣＯ</v>
          </cell>
          <cell r="W617" t="str">
            <v>５月１３日指定配送</v>
          </cell>
          <cell r="X617">
            <v>513</v>
          </cell>
        </row>
        <row r="618">
          <cell r="A618">
            <v>5340580</v>
          </cell>
          <cell r="B618" t="str">
            <v>福島工場ＣＯ</v>
          </cell>
          <cell r="C618" t="str">
            <v>工材１部電材課</v>
          </cell>
          <cell r="D618" t="str">
            <v>半田　敦子</v>
          </cell>
          <cell r="E618" t="str">
            <v>東レ</v>
          </cell>
          <cell r="F618" t="str">
            <v>3KS</v>
          </cell>
          <cell r="G618" t="str">
            <v>U</v>
          </cell>
          <cell r="H618" t="str">
            <v>Y</v>
          </cell>
          <cell r="I618" t="str">
            <v>CERANS</v>
          </cell>
          <cell r="J618"/>
          <cell r="K618">
            <v>27114</v>
          </cell>
          <cell r="L618">
            <v>75</v>
          </cell>
          <cell r="M618" t="str">
            <v>ＣＥＲＡＰＥＥＬ　ＰＪ２７１（１４）</v>
          </cell>
          <cell r="N618">
            <v>305</v>
          </cell>
          <cell r="O618">
            <v>305</v>
          </cell>
          <cell r="P618">
            <v>2000</v>
          </cell>
          <cell r="Q618">
            <v>2</v>
          </cell>
          <cell r="R618">
            <v>2</v>
          </cell>
          <cell r="S618" t="str">
            <v>本</v>
          </cell>
          <cell r="T618">
            <v>44687</v>
          </cell>
          <cell r="U618">
            <v>44693</v>
          </cell>
          <cell r="V618" t="str">
            <v>福島工場ＣＯ</v>
          </cell>
          <cell r="W618" t="str">
            <v>５月１３日指定配送</v>
          </cell>
          <cell r="X618">
            <v>513</v>
          </cell>
        </row>
        <row r="619">
          <cell r="A619">
            <v>5340580</v>
          </cell>
          <cell r="B619" t="str">
            <v>福島工場ＣＯ</v>
          </cell>
          <cell r="C619" t="str">
            <v>工材１部電材課</v>
          </cell>
          <cell r="D619" t="str">
            <v>半田　敦子</v>
          </cell>
          <cell r="E619" t="str">
            <v>東レ</v>
          </cell>
          <cell r="F619" t="str">
            <v>3KS</v>
          </cell>
          <cell r="G619" t="str">
            <v>U</v>
          </cell>
          <cell r="H619" t="str">
            <v>Y</v>
          </cell>
          <cell r="I619" t="str">
            <v>CERANS</v>
          </cell>
          <cell r="J619"/>
          <cell r="K619">
            <v>27114</v>
          </cell>
          <cell r="L619">
            <v>75</v>
          </cell>
          <cell r="M619" t="str">
            <v>ＣＥＲＡＰＥＥＬ　ＰＪ２７１（１４）</v>
          </cell>
          <cell r="N619">
            <v>280</v>
          </cell>
          <cell r="O619">
            <v>280</v>
          </cell>
          <cell r="P619">
            <v>2000</v>
          </cell>
          <cell r="Q619">
            <v>2</v>
          </cell>
          <cell r="R619">
            <v>1</v>
          </cell>
          <cell r="S619" t="str">
            <v>本</v>
          </cell>
          <cell r="T619">
            <v>44687</v>
          </cell>
          <cell r="U619">
            <v>44693</v>
          </cell>
          <cell r="V619" t="str">
            <v>福島工場ＣＯ</v>
          </cell>
          <cell r="W619" t="str">
            <v>５月１３日指定配送</v>
          </cell>
          <cell r="X619">
            <v>513</v>
          </cell>
        </row>
        <row r="620">
          <cell r="A620">
            <v>5340580</v>
          </cell>
          <cell r="B620" t="str">
            <v>福島工場ＣＯ</v>
          </cell>
          <cell r="C620" t="str">
            <v>工材１部電材課</v>
          </cell>
          <cell r="D620" t="str">
            <v>半田　敦子</v>
          </cell>
          <cell r="E620" t="str">
            <v>東レ</v>
          </cell>
          <cell r="F620" t="str">
            <v>3KS</v>
          </cell>
          <cell r="G620" t="str">
            <v>U</v>
          </cell>
          <cell r="H620" t="str">
            <v>Y</v>
          </cell>
          <cell r="I620" t="str">
            <v>CERANS</v>
          </cell>
          <cell r="J620"/>
          <cell r="K620">
            <v>27114</v>
          </cell>
          <cell r="L620">
            <v>75</v>
          </cell>
          <cell r="M620" t="str">
            <v>ＣＥＲＡＰＥＥＬ　ＰＪ２７１（１４）</v>
          </cell>
          <cell r="N620">
            <v>180</v>
          </cell>
          <cell r="O620">
            <v>180</v>
          </cell>
          <cell r="P620">
            <v>2000</v>
          </cell>
          <cell r="Q620">
            <v>2</v>
          </cell>
          <cell r="R620">
            <v>2</v>
          </cell>
          <cell r="S620" t="str">
            <v>本</v>
          </cell>
          <cell r="T620">
            <v>44687</v>
          </cell>
          <cell r="U620">
            <v>44693</v>
          </cell>
          <cell r="V620" t="str">
            <v>福島工場ＣＯ</v>
          </cell>
          <cell r="W620" t="str">
            <v>５月１３日指定配送</v>
          </cell>
          <cell r="X620">
            <v>513</v>
          </cell>
        </row>
        <row r="621">
          <cell r="A621">
            <v>5340580</v>
          </cell>
          <cell r="B621" t="str">
            <v>福島工場ＣＯ</v>
          </cell>
          <cell r="C621" t="str">
            <v>工材１部電材課</v>
          </cell>
          <cell r="D621" t="str">
            <v>半田　敦子</v>
          </cell>
          <cell r="E621" t="str">
            <v>東レ</v>
          </cell>
          <cell r="F621" t="str">
            <v>3KS</v>
          </cell>
          <cell r="G621" t="str">
            <v>U</v>
          </cell>
          <cell r="H621" t="str">
            <v>Y</v>
          </cell>
          <cell r="I621" t="str">
            <v>CERANS</v>
          </cell>
          <cell r="J621"/>
          <cell r="K621">
            <v>27114</v>
          </cell>
          <cell r="L621">
            <v>75</v>
          </cell>
          <cell r="M621" t="str">
            <v>ＣＥＲＡＰＥＥＬ　ＰＪ２７１（１４）</v>
          </cell>
          <cell r="N621">
            <v>1300</v>
          </cell>
          <cell r="O621">
            <v>1300</v>
          </cell>
          <cell r="P621">
            <v>2000</v>
          </cell>
          <cell r="Q621">
            <v>2</v>
          </cell>
          <cell r="R621">
            <v>1</v>
          </cell>
          <cell r="S621" t="str">
            <v>本</v>
          </cell>
          <cell r="T621">
            <v>44687</v>
          </cell>
          <cell r="U621">
            <v>44693</v>
          </cell>
          <cell r="V621" t="str">
            <v>福島工場ＣＯ</v>
          </cell>
          <cell r="W621" t="str">
            <v>５月１３日指定配送</v>
          </cell>
          <cell r="X621">
            <v>513</v>
          </cell>
        </row>
        <row r="622">
          <cell r="A622"/>
          <cell r="B622"/>
          <cell r="C622"/>
          <cell r="D622"/>
          <cell r="E622"/>
          <cell r="F622"/>
          <cell r="G622"/>
          <cell r="H622"/>
          <cell r="I622"/>
          <cell r="J622"/>
          <cell r="K622"/>
          <cell r="L622"/>
          <cell r="M622"/>
          <cell r="N622"/>
          <cell r="O622"/>
          <cell r="P622"/>
          <cell r="Q622"/>
          <cell r="R622"/>
          <cell r="S622"/>
          <cell r="T622"/>
          <cell r="U622"/>
          <cell r="V622"/>
          <cell r="W622"/>
          <cell r="X622"/>
        </row>
        <row r="623">
          <cell r="A623"/>
          <cell r="B623"/>
          <cell r="C623"/>
          <cell r="D623"/>
          <cell r="E623"/>
          <cell r="F623"/>
          <cell r="G623"/>
          <cell r="H623"/>
          <cell r="I623"/>
          <cell r="J623"/>
          <cell r="K623"/>
          <cell r="L623"/>
          <cell r="M623"/>
          <cell r="N623"/>
          <cell r="O623"/>
          <cell r="P623"/>
          <cell r="Q623"/>
          <cell r="R623"/>
          <cell r="S623"/>
          <cell r="T623"/>
          <cell r="U623"/>
          <cell r="V623"/>
          <cell r="W623"/>
          <cell r="X623"/>
        </row>
        <row r="624">
          <cell r="A624"/>
          <cell r="B624"/>
          <cell r="C624"/>
          <cell r="D624"/>
          <cell r="E624"/>
          <cell r="F624"/>
          <cell r="G624"/>
          <cell r="H624"/>
          <cell r="I624"/>
          <cell r="J624"/>
          <cell r="K624"/>
          <cell r="L624"/>
          <cell r="M624"/>
          <cell r="N624"/>
          <cell r="O624"/>
          <cell r="P624"/>
          <cell r="Q624"/>
          <cell r="R624"/>
          <cell r="S624"/>
          <cell r="T624"/>
          <cell r="U624"/>
          <cell r="V624"/>
          <cell r="W624"/>
          <cell r="X624"/>
        </row>
        <row r="625">
          <cell r="A625"/>
          <cell r="B625"/>
          <cell r="C625"/>
          <cell r="D625"/>
          <cell r="E625"/>
          <cell r="F625"/>
          <cell r="G625"/>
          <cell r="H625"/>
          <cell r="I625"/>
          <cell r="J625"/>
          <cell r="K625"/>
          <cell r="L625"/>
          <cell r="M625"/>
          <cell r="N625"/>
          <cell r="O625"/>
          <cell r="P625"/>
          <cell r="Q625"/>
          <cell r="R625"/>
          <cell r="S625"/>
          <cell r="T625"/>
          <cell r="U625"/>
          <cell r="V625"/>
          <cell r="W625"/>
          <cell r="X625"/>
        </row>
        <row r="626">
          <cell r="A626"/>
          <cell r="B626"/>
          <cell r="C626"/>
          <cell r="D626"/>
          <cell r="E626"/>
          <cell r="F626"/>
          <cell r="G626"/>
          <cell r="H626"/>
          <cell r="I626"/>
          <cell r="J626"/>
          <cell r="K626"/>
          <cell r="L626"/>
          <cell r="M626"/>
          <cell r="N626"/>
          <cell r="O626"/>
          <cell r="P626"/>
          <cell r="Q626"/>
          <cell r="R626"/>
          <cell r="S626"/>
          <cell r="T626"/>
          <cell r="U626"/>
          <cell r="V626"/>
          <cell r="W626"/>
          <cell r="X626"/>
        </row>
        <row r="627">
          <cell r="A627"/>
          <cell r="B627"/>
          <cell r="C627"/>
          <cell r="D627"/>
          <cell r="E627"/>
          <cell r="F627"/>
          <cell r="G627"/>
          <cell r="H627"/>
          <cell r="I627"/>
          <cell r="J627"/>
          <cell r="K627"/>
          <cell r="L627"/>
          <cell r="M627"/>
          <cell r="N627"/>
          <cell r="O627"/>
          <cell r="P627"/>
          <cell r="Q627"/>
          <cell r="R627"/>
          <cell r="S627"/>
          <cell r="T627"/>
          <cell r="U627"/>
          <cell r="V627"/>
          <cell r="W627"/>
          <cell r="X627"/>
        </row>
        <row r="628">
          <cell r="A628"/>
          <cell r="B628"/>
          <cell r="C628"/>
          <cell r="D628"/>
          <cell r="E628"/>
          <cell r="F628"/>
          <cell r="G628"/>
          <cell r="H628"/>
          <cell r="I628"/>
          <cell r="J628"/>
          <cell r="K628"/>
          <cell r="L628"/>
          <cell r="M628"/>
          <cell r="N628"/>
          <cell r="O628"/>
          <cell r="P628"/>
          <cell r="Q628"/>
          <cell r="R628"/>
          <cell r="S628"/>
          <cell r="T628"/>
          <cell r="U628"/>
          <cell r="V628"/>
          <cell r="W628"/>
          <cell r="X628"/>
        </row>
        <row r="629">
          <cell r="A629"/>
          <cell r="B629"/>
          <cell r="C629"/>
          <cell r="D629"/>
          <cell r="E629"/>
          <cell r="F629"/>
          <cell r="G629"/>
          <cell r="H629"/>
          <cell r="I629"/>
          <cell r="J629"/>
          <cell r="K629"/>
          <cell r="L629"/>
          <cell r="M629"/>
          <cell r="N629"/>
          <cell r="O629"/>
          <cell r="P629"/>
          <cell r="Q629"/>
          <cell r="R629"/>
          <cell r="S629"/>
          <cell r="T629"/>
          <cell r="U629"/>
          <cell r="V629"/>
          <cell r="W629"/>
          <cell r="X629"/>
        </row>
        <row r="630">
          <cell r="A630"/>
          <cell r="B630"/>
          <cell r="C630"/>
          <cell r="D630"/>
          <cell r="E630"/>
          <cell r="F630"/>
          <cell r="G630"/>
          <cell r="H630"/>
          <cell r="I630"/>
          <cell r="J630"/>
          <cell r="K630"/>
          <cell r="L630"/>
          <cell r="M630"/>
          <cell r="N630"/>
          <cell r="O630"/>
          <cell r="P630"/>
          <cell r="Q630"/>
          <cell r="R630"/>
          <cell r="S630"/>
          <cell r="T630"/>
          <cell r="U630"/>
          <cell r="V630"/>
          <cell r="W630"/>
          <cell r="X630"/>
        </row>
        <row r="631">
          <cell r="A631"/>
          <cell r="B631"/>
          <cell r="C631"/>
          <cell r="D631"/>
          <cell r="E631"/>
          <cell r="F631"/>
          <cell r="G631"/>
          <cell r="H631"/>
          <cell r="I631"/>
          <cell r="J631"/>
          <cell r="K631"/>
          <cell r="L631"/>
          <cell r="M631"/>
          <cell r="N631"/>
          <cell r="O631"/>
          <cell r="P631"/>
          <cell r="Q631"/>
          <cell r="R631"/>
          <cell r="S631"/>
          <cell r="T631"/>
          <cell r="U631"/>
          <cell r="V631"/>
          <cell r="W631"/>
          <cell r="X631"/>
        </row>
        <row r="632">
          <cell r="A632"/>
          <cell r="B632"/>
          <cell r="C632"/>
          <cell r="D632"/>
          <cell r="E632"/>
          <cell r="F632"/>
          <cell r="G632"/>
          <cell r="H632"/>
          <cell r="I632"/>
          <cell r="J632"/>
          <cell r="K632"/>
          <cell r="L632"/>
          <cell r="M632"/>
          <cell r="N632"/>
          <cell r="O632"/>
          <cell r="P632"/>
          <cell r="Q632"/>
          <cell r="R632"/>
          <cell r="S632"/>
          <cell r="T632"/>
          <cell r="U632"/>
          <cell r="V632"/>
          <cell r="W632"/>
          <cell r="X632"/>
        </row>
        <row r="633">
          <cell r="A633"/>
          <cell r="B633"/>
          <cell r="C633"/>
          <cell r="D633"/>
          <cell r="E633"/>
          <cell r="F633"/>
          <cell r="G633"/>
          <cell r="H633"/>
          <cell r="I633"/>
          <cell r="J633"/>
          <cell r="K633"/>
          <cell r="L633"/>
          <cell r="M633"/>
          <cell r="N633"/>
          <cell r="O633"/>
          <cell r="P633"/>
          <cell r="Q633"/>
          <cell r="R633"/>
          <cell r="S633"/>
          <cell r="T633"/>
          <cell r="U633"/>
          <cell r="V633"/>
          <cell r="W633"/>
          <cell r="X633"/>
        </row>
        <row r="634">
          <cell r="A634"/>
          <cell r="B634"/>
          <cell r="C634"/>
          <cell r="D634"/>
          <cell r="E634"/>
          <cell r="F634"/>
          <cell r="G634"/>
          <cell r="H634"/>
          <cell r="I634"/>
          <cell r="J634"/>
          <cell r="K634"/>
          <cell r="L634"/>
          <cell r="M634"/>
          <cell r="N634"/>
          <cell r="O634"/>
          <cell r="P634"/>
          <cell r="Q634"/>
          <cell r="R634"/>
          <cell r="S634"/>
          <cell r="T634"/>
          <cell r="U634"/>
          <cell r="V634"/>
          <cell r="W634"/>
          <cell r="X634"/>
        </row>
        <row r="635">
          <cell r="A635"/>
          <cell r="B635"/>
          <cell r="C635"/>
          <cell r="D635"/>
          <cell r="E635"/>
          <cell r="F635"/>
          <cell r="G635"/>
          <cell r="H635"/>
          <cell r="I635"/>
          <cell r="J635"/>
          <cell r="K635"/>
          <cell r="L635"/>
          <cell r="M635"/>
          <cell r="N635"/>
          <cell r="O635"/>
          <cell r="P635"/>
          <cell r="Q635"/>
          <cell r="R635"/>
          <cell r="S635"/>
          <cell r="T635"/>
          <cell r="U635"/>
          <cell r="V635"/>
          <cell r="W635"/>
          <cell r="X635"/>
        </row>
        <row r="636">
          <cell r="A636"/>
          <cell r="B636"/>
          <cell r="C636"/>
          <cell r="D636"/>
          <cell r="E636"/>
          <cell r="F636"/>
          <cell r="G636"/>
          <cell r="H636"/>
          <cell r="I636"/>
          <cell r="J636"/>
          <cell r="K636"/>
          <cell r="L636"/>
          <cell r="M636"/>
          <cell r="N636"/>
          <cell r="O636"/>
          <cell r="P636"/>
          <cell r="Q636"/>
          <cell r="R636"/>
          <cell r="S636"/>
          <cell r="T636"/>
          <cell r="U636"/>
          <cell r="V636"/>
          <cell r="W636"/>
          <cell r="X636"/>
        </row>
        <row r="637">
          <cell r="A637"/>
          <cell r="B637"/>
          <cell r="C637"/>
          <cell r="D637"/>
          <cell r="E637"/>
          <cell r="F637"/>
          <cell r="G637"/>
          <cell r="H637"/>
          <cell r="I637"/>
          <cell r="J637"/>
          <cell r="K637"/>
          <cell r="L637"/>
          <cell r="M637"/>
          <cell r="N637"/>
          <cell r="O637"/>
          <cell r="P637"/>
          <cell r="Q637"/>
          <cell r="R637"/>
          <cell r="S637"/>
          <cell r="T637"/>
          <cell r="U637"/>
          <cell r="V637"/>
          <cell r="W637"/>
          <cell r="X637"/>
        </row>
        <row r="638">
          <cell r="A638"/>
          <cell r="B638"/>
          <cell r="C638"/>
          <cell r="D638"/>
          <cell r="E638"/>
          <cell r="F638"/>
          <cell r="G638"/>
          <cell r="H638"/>
          <cell r="I638"/>
          <cell r="J638"/>
          <cell r="K638"/>
          <cell r="L638"/>
          <cell r="M638"/>
          <cell r="N638"/>
          <cell r="O638"/>
          <cell r="P638"/>
          <cell r="Q638"/>
          <cell r="R638"/>
          <cell r="S638"/>
          <cell r="T638"/>
          <cell r="U638"/>
          <cell r="V638"/>
          <cell r="W638"/>
          <cell r="X638"/>
        </row>
        <row r="639">
          <cell r="A639"/>
          <cell r="B639"/>
          <cell r="C639"/>
          <cell r="D639"/>
          <cell r="E639"/>
          <cell r="F639"/>
          <cell r="G639"/>
          <cell r="H639"/>
          <cell r="I639"/>
          <cell r="J639"/>
          <cell r="K639"/>
          <cell r="L639"/>
          <cell r="M639"/>
          <cell r="N639"/>
          <cell r="O639"/>
          <cell r="P639"/>
          <cell r="Q639"/>
          <cell r="R639"/>
          <cell r="S639"/>
          <cell r="T639"/>
          <cell r="U639"/>
          <cell r="V639"/>
          <cell r="W639"/>
          <cell r="X639"/>
        </row>
        <row r="640">
          <cell r="A640"/>
          <cell r="B640"/>
          <cell r="C640"/>
          <cell r="D640"/>
          <cell r="E640"/>
          <cell r="F640"/>
          <cell r="G640"/>
          <cell r="H640"/>
          <cell r="I640"/>
          <cell r="J640"/>
          <cell r="K640"/>
          <cell r="L640"/>
          <cell r="M640"/>
          <cell r="N640"/>
          <cell r="O640"/>
          <cell r="P640"/>
          <cell r="Q640"/>
          <cell r="R640"/>
          <cell r="S640"/>
          <cell r="T640"/>
          <cell r="U640"/>
          <cell r="V640"/>
          <cell r="W640"/>
          <cell r="X640"/>
        </row>
        <row r="641">
          <cell r="A641"/>
          <cell r="B641"/>
          <cell r="C641"/>
          <cell r="D641"/>
          <cell r="E641"/>
          <cell r="F641"/>
          <cell r="G641"/>
          <cell r="H641"/>
          <cell r="I641"/>
          <cell r="J641"/>
          <cell r="K641"/>
          <cell r="L641"/>
          <cell r="M641"/>
          <cell r="N641"/>
          <cell r="O641"/>
          <cell r="P641"/>
          <cell r="Q641"/>
          <cell r="R641"/>
          <cell r="S641"/>
          <cell r="T641"/>
          <cell r="U641"/>
          <cell r="V641"/>
          <cell r="W641"/>
          <cell r="X641"/>
        </row>
        <row r="642">
          <cell r="A642"/>
          <cell r="B642"/>
          <cell r="C642"/>
          <cell r="D642"/>
          <cell r="E642"/>
          <cell r="F642"/>
          <cell r="G642"/>
          <cell r="H642"/>
          <cell r="I642"/>
          <cell r="J642"/>
          <cell r="K642"/>
          <cell r="L642"/>
          <cell r="M642"/>
          <cell r="N642"/>
          <cell r="O642"/>
          <cell r="P642"/>
          <cell r="Q642"/>
          <cell r="R642"/>
          <cell r="S642"/>
          <cell r="T642"/>
          <cell r="U642"/>
          <cell r="V642"/>
          <cell r="W642"/>
          <cell r="X642"/>
        </row>
        <row r="643">
          <cell r="A643"/>
          <cell r="B643"/>
          <cell r="C643"/>
          <cell r="D643"/>
          <cell r="E643"/>
          <cell r="F643"/>
          <cell r="G643"/>
          <cell r="H643"/>
          <cell r="I643"/>
          <cell r="J643"/>
          <cell r="K643"/>
          <cell r="L643"/>
          <cell r="M643"/>
          <cell r="N643"/>
          <cell r="O643"/>
          <cell r="P643"/>
          <cell r="Q643"/>
          <cell r="R643"/>
          <cell r="S643"/>
          <cell r="T643"/>
          <cell r="U643"/>
          <cell r="V643"/>
          <cell r="W643"/>
          <cell r="X643"/>
        </row>
        <row r="644">
          <cell r="A644"/>
          <cell r="B644"/>
          <cell r="C644"/>
          <cell r="D644"/>
          <cell r="E644"/>
          <cell r="F644"/>
          <cell r="G644"/>
          <cell r="H644"/>
          <cell r="I644"/>
          <cell r="J644"/>
          <cell r="K644"/>
          <cell r="L644"/>
          <cell r="M644"/>
          <cell r="N644"/>
          <cell r="O644"/>
          <cell r="P644"/>
          <cell r="Q644"/>
          <cell r="R644"/>
          <cell r="S644"/>
          <cell r="T644"/>
          <cell r="U644"/>
          <cell r="V644"/>
          <cell r="W644"/>
          <cell r="X644"/>
        </row>
        <row r="645">
          <cell r="A645"/>
          <cell r="B645"/>
          <cell r="C645"/>
          <cell r="D645"/>
          <cell r="E645"/>
          <cell r="F645"/>
          <cell r="G645"/>
          <cell r="H645"/>
          <cell r="I645"/>
          <cell r="J645"/>
          <cell r="K645"/>
          <cell r="L645"/>
          <cell r="M645"/>
          <cell r="N645"/>
          <cell r="O645"/>
          <cell r="P645"/>
          <cell r="Q645"/>
          <cell r="R645"/>
          <cell r="S645"/>
          <cell r="T645"/>
          <cell r="U645"/>
          <cell r="V645"/>
          <cell r="W645"/>
          <cell r="X645"/>
        </row>
        <row r="646">
          <cell r="A646"/>
          <cell r="B646"/>
          <cell r="C646"/>
          <cell r="D646"/>
          <cell r="E646"/>
          <cell r="F646"/>
          <cell r="G646"/>
          <cell r="H646"/>
          <cell r="I646"/>
          <cell r="J646"/>
          <cell r="K646"/>
          <cell r="L646"/>
          <cell r="M646"/>
          <cell r="N646"/>
          <cell r="O646"/>
          <cell r="P646"/>
          <cell r="Q646"/>
          <cell r="R646"/>
          <cell r="S646"/>
          <cell r="T646"/>
          <cell r="U646"/>
          <cell r="V646"/>
          <cell r="W646"/>
          <cell r="X646"/>
        </row>
        <row r="647">
          <cell r="A647"/>
          <cell r="B647"/>
          <cell r="C647"/>
          <cell r="D647"/>
          <cell r="E647"/>
          <cell r="F647"/>
          <cell r="G647"/>
          <cell r="H647"/>
          <cell r="I647"/>
          <cell r="J647"/>
          <cell r="K647"/>
          <cell r="L647"/>
          <cell r="M647"/>
          <cell r="N647"/>
          <cell r="O647"/>
          <cell r="P647"/>
          <cell r="Q647"/>
          <cell r="R647"/>
          <cell r="S647"/>
          <cell r="T647"/>
          <cell r="U647"/>
          <cell r="V647"/>
          <cell r="W647"/>
          <cell r="X647"/>
        </row>
        <row r="648">
          <cell r="A648"/>
          <cell r="B648"/>
          <cell r="C648"/>
          <cell r="D648"/>
          <cell r="E648"/>
          <cell r="F648"/>
          <cell r="G648"/>
          <cell r="H648"/>
          <cell r="I648"/>
          <cell r="J648"/>
          <cell r="K648"/>
          <cell r="L648"/>
          <cell r="M648"/>
          <cell r="N648"/>
          <cell r="O648"/>
          <cell r="P648"/>
          <cell r="Q648"/>
          <cell r="R648"/>
          <cell r="S648"/>
          <cell r="T648"/>
          <cell r="U648"/>
          <cell r="V648"/>
          <cell r="W648"/>
          <cell r="X648"/>
        </row>
        <row r="649">
          <cell r="A649"/>
          <cell r="B649"/>
          <cell r="C649"/>
          <cell r="D649"/>
          <cell r="E649"/>
          <cell r="F649"/>
          <cell r="G649"/>
          <cell r="H649"/>
          <cell r="I649"/>
          <cell r="J649"/>
          <cell r="K649"/>
          <cell r="L649"/>
          <cell r="M649"/>
          <cell r="N649"/>
          <cell r="O649"/>
          <cell r="P649"/>
          <cell r="Q649"/>
          <cell r="R649"/>
          <cell r="S649"/>
          <cell r="T649"/>
          <cell r="U649"/>
          <cell r="V649"/>
          <cell r="W649"/>
          <cell r="X649"/>
        </row>
        <row r="650">
          <cell r="A650"/>
          <cell r="B650"/>
          <cell r="C650"/>
          <cell r="D650"/>
          <cell r="E650"/>
          <cell r="F650"/>
          <cell r="G650"/>
          <cell r="H650"/>
          <cell r="I650"/>
          <cell r="J650"/>
          <cell r="K650"/>
          <cell r="L650"/>
          <cell r="M650"/>
          <cell r="N650"/>
          <cell r="O650"/>
          <cell r="P650"/>
          <cell r="Q650"/>
          <cell r="R650"/>
          <cell r="S650"/>
          <cell r="T650"/>
          <cell r="U650"/>
          <cell r="V650"/>
          <cell r="W650"/>
          <cell r="X650"/>
        </row>
        <row r="651">
          <cell r="A651"/>
          <cell r="B651"/>
          <cell r="C651"/>
          <cell r="D651"/>
          <cell r="E651"/>
          <cell r="F651"/>
          <cell r="G651"/>
          <cell r="H651"/>
          <cell r="I651"/>
          <cell r="J651"/>
          <cell r="K651"/>
          <cell r="L651"/>
          <cell r="M651"/>
          <cell r="N651"/>
          <cell r="O651"/>
          <cell r="P651"/>
          <cell r="Q651"/>
          <cell r="R651"/>
          <cell r="S651"/>
          <cell r="T651"/>
          <cell r="U651"/>
          <cell r="V651"/>
          <cell r="W651"/>
          <cell r="X651"/>
        </row>
        <row r="652">
          <cell r="A652"/>
          <cell r="B652"/>
          <cell r="C652"/>
          <cell r="D652"/>
          <cell r="E652"/>
          <cell r="F652"/>
          <cell r="G652"/>
          <cell r="H652"/>
          <cell r="I652"/>
          <cell r="J652"/>
          <cell r="K652"/>
          <cell r="L652"/>
          <cell r="M652"/>
          <cell r="N652"/>
          <cell r="O652"/>
          <cell r="P652"/>
          <cell r="Q652"/>
          <cell r="R652"/>
          <cell r="S652"/>
          <cell r="T652"/>
          <cell r="U652"/>
          <cell r="V652"/>
          <cell r="W652"/>
          <cell r="X652"/>
        </row>
        <row r="653">
          <cell r="A653"/>
          <cell r="B653"/>
          <cell r="C653"/>
          <cell r="D653"/>
          <cell r="E653"/>
          <cell r="F653"/>
          <cell r="G653"/>
          <cell r="H653"/>
          <cell r="I653"/>
          <cell r="J653"/>
          <cell r="K653"/>
          <cell r="L653"/>
          <cell r="M653"/>
          <cell r="N653"/>
          <cell r="O653"/>
          <cell r="P653"/>
          <cell r="Q653"/>
          <cell r="R653"/>
          <cell r="S653"/>
          <cell r="T653"/>
          <cell r="U653"/>
          <cell r="V653"/>
          <cell r="W653"/>
          <cell r="X653"/>
        </row>
        <row r="654">
          <cell r="A654"/>
          <cell r="B654"/>
          <cell r="C654"/>
          <cell r="D654"/>
          <cell r="E654"/>
          <cell r="F654"/>
          <cell r="G654"/>
          <cell r="H654"/>
          <cell r="I654"/>
          <cell r="J654"/>
          <cell r="K654"/>
          <cell r="L654"/>
          <cell r="M654"/>
          <cell r="N654"/>
          <cell r="O654"/>
          <cell r="P654"/>
          <cell r="Q654"/>
          <cell r="R654"/>
          <cell r="S654"/>
          <cell r="T654"/>
          <cell r="U654"/>
          <cell r="V654"/>
          <cell r="W654"/>
          <cell r="X654"/>
        </row>
        <row r="655">
          <cell r="A655"/>
          <cell r="B655"/>
          <cell r="C655"/>
          <cell r="D655"/>
          <cell r="E655"/>
          <cell r="F655"/>
          <cell r="G655"/>
          <cell r="H655"/>
          <cell r="I655"/>
          <cell r="J655"/>
          <cell r="K655"/>
          <cell r="L655"/>
          <cell r="M655"/>
          <cell r="N655"/>
          <cell r="O655"/>
          <cell r="P655"/>
          <cell r="Q655"/>
          <cell r="R655"/>
          <cell r="S655"/>
          <cell r="T655"/>
          <cell r="U655"/>
          <cell r="V655"/>
          <cell r="W655"/>
          <cell r="X655"/>
        </row>
        <row r="656">
          <cell r="A656"/>
          <cell r="B656"/>
          <cell r="C656"/>
          <cell r="D656"/>
          <cell r="E656"/>
          <cell r="F656"/>
          <cell r="G656"/>
          <cell r="H656"/>
          <cell r="I656"/>
          <cell r="J656"/>
          <cell r="K656"/>
          <cell r="L656"/>
          <cell r="M656"/>
          <cell r="N656"/>
          <cell r="O656"/>
          <cell r="P656"/>
          <cell r="Q656"/>
          <cell r="R656"/>
          <cell r="S656"/>
          <cell r="T656"/>
          <cell r="U656"/>
          <cell r="V656"/>
          <cell r="W656"/>
          <cell r="X656"/>
        </row>
        <row r="657">
          <cell r="A657"/>
          <cell r="B657"/>
          <cell r="C657"/>
          <cell r="D657"/>
          <cell r="E657"/>
          <cell r="F657"/>
          <cell r="G657"/>
          <cell r="H657"/>
          <cell r="I657"/>
          <cell r="J657"/>
          <cell r="K657"/>
          <cell r="L657"/>
          <cell r="M657"/>
          <cell r="N657"/>
          <cell r="O657"/>
          <cell r="P657"/>
          <cell r="Q657"/>
          <cell r="R657"/>
          <cell r="S657"/>
          <cell r="T657"/>
          <cell r="U657"/>
          <cell r="V657"/>
          <cell r="W657"/>
          <cell r="X657"/>
        </row>
        <row r="658">
          <cell r="A658"/>
          <cell r="B658"/>
          <cell r="C658"/>
          <cell r="D658"/>
          <cell r="E658"/>
          <cell r="F658"/>
          <cell r="G658"/>
          <cell r="H658"/>
          <cell r="I658"/>
          <cell r="J658"/>
          <cell r="K658"/>
          <cell r="L658"/>
          <cell r="M658"/>
          <cell r="N658"/>
          <cell r="O658"/>
          <cell r="P658"/>
          <cell r="Q658"/>
          <cell r="R658"/>
          <cell r="S658"/>
          <cell r="T658"/>
          <cell r="U658"/>
          <cell r="V658"/>
          <cell r="W658"/>
          <cell r="X658"/>
        </row>
        <row r="659">
          <cell r="A659"/>
          <cell r="B659"/>
          <cell r="C659"/>
          <cell r="D659"/>
          <cell r="E659"/>
          <cell r="F659"/>
          <cell r="G659"/>
          <cell r="H659"/>
          <cell r="I659"/>
          <cell r="J659"/>
          <cell r="K659"/>
          <cell r="L659"/>
          <cell r="M659"/>
          <cell r="N659"/>
          <cell r="O659"/>
          <cell r="P659"/>
          <cell r="Q659"/>
          <cell r="R659"/>
          <cell r="S659"/>
          <cell r="T659"/>
          <cell r="U659"/>
          <cell r="V659"/>
          <cell r="W659"/>
          <cell r="X659"/>
        </row>
        <row r="660">
          <cell r="A660"/>
          <cell r="B660"/>
          <cell r="C660"/>
          <cell r="D660"/>
          <cell r="E660"/>
          <cell r="F660"/>
          <cell r="G660"/>
          <cell r="H660"/>
          <cell r="I660"/>
          <cell r="J660"/>
          <cell r="K660"/>
          <cell r="L660"/>
          <cell r="M660"/>
          <cell r="N660"/>
          <cell r="O660"/>
          <cell r="P660"/>
          <cell r="Q660"/>
          <cell r="R660"/>
          <cell r="S660"/>
          <cell r="T660"/>
          <cell r="U660"/>
          <cell r="V660"/>
          <cell r="W660"/>
          <cell r="X660"/>
        </row>
        <row r="661">
          <cell r="A661"/>
          <cell r="B661"/>
          <cell r="C661"/>
          <cell r="D661"/>
          <cell r="E661"/>
          <cell r="F661"/>
          <cell r="G661"/>
          <cell r="H661"/>
          <cell r="I661"/>
          <cell r="J661"/>
          <cell r="K661"/>
          <cell r="L661"/>
          <cell r="M661"/>
          <cell r="N661"/>
          <cell r="O661"/>
          <cell r="P661"/>
          <cell r="Q661"/>
          <cell r="R661"/>
          <cell r="S661"/>
          <cell r="T661"/>
          <cell r="U661"/>
          <cell r="V661"/>
          <cell r="W661"/>
          <cell r="X661"/>
        </row>
        <row r="662">
          <cell r="A662"/>
          <cell r="B662"/>
          <cell r="C662"/>
          <cell r="D662"/>
          <cell r="E662"/>
          <cell r="F662"/>
          <cell r="G662"/>
          <cell r="H662"/>
          <cell r="I662"/>
          <cell r="J662"/>
          <cell r="K662"/>
          <cell r="L662"/>
          <cell r="M662"/>
          <cell r="N662"/>
          <cell r="O662"/>
          <cell r="P662"/>
          <cell r="Q662"/>
          <cell r="R662"/>
          <cell r="S662"/>
          <cell r="T662"/>
          <cell r="U662"/>
          <cell r="V662"/>
          <cell r="W662"/>
          <cell r="X662"/>
        </row>
        <row r="663">
          <cell r="A663"/>
          <cell r="B663"/>
          <cell r="C663"/>
          <cell r="D663"/>
          <cell r="E663"/>
          <cell r="F663"/>
          <cell r="G663"/>
          <cell r="H663"/>
          <cell r="I663"/>
          <cell r="J663"/>
          <cell r="K663"/>
          <cell r="L663"/>
          <cell r="M663"/>
          <cell r="N663"/>
          <cell r="O663"/>
          <cell r="P663"/>
          <cell r="Q663"/>
          <cell r="R663"/>
          <cell r="S663"/>
          <cell r="T663"/>
          <cell r="U663"/>
          <cell r="V663"/>
          <cell r="W663"/>
          <cell r="X663"/>
        </row>
        <row r="664">
          <cell r="A664"/>
          <cell r="B664"/>
          <cell r="C664"/>
          <cell r="D664"/>
          <cell r="E664"/>
          <cell r="F664"/>
          <cell r="G664"/>
          <cell r="H664"/>
          <cell r="I664"/>
          <cell r="J664"/>
          <cell r="K664"/>
          <cell r="L664"/>
          <cell r="M664"/>
          <cell r="N664"/>
          <cell r="O664"/>
          <cell r="P664"/>
          <cell r="Q664"/>
          <cell r="R664"/>
          <cell r="S664"/>
          <cell r="T664"/>
          <cell r="U664"/>
          <cell r="V664"/>
          <cell r="W664"/>
          <cell r="X664"/>
        </row>
        <row r="665">
          <cell r="A665"/>
          <cell r="B665"/>
          <cell r="C665"/>
          <cell r="D665"/>
          <cell r="E665"/>
          <cell r="F665"/>
          <cell r="G665"/>
          <cell r="H665"/>
          <cell r="I665"/>
          <cell r="J665"/>
          <cell r="K665"/>
          <cell r="L665"/>
          <cell r="M665"/>
          <cell r="N665"/>
          <cell r="O665"/>
          <cell r="P665"/>
          <cell r="Q665"/>
          <cell r="R665"/>
          <cell r="S665"/>
          <cell r="T665"/>
          <cell r="U665"/>
          <cell r="V665"/>
          <cell r="W665"/>
          <cell r="X665"/>
        </row>
        <row r="666">
          <cell r="A666"/>
          <cell r="B666"/>
          <cell r="C666"/>
          <cell r="D666"/>
          <cell r="E666"/>
          <cell r="F666"/>
          <cell r="G666"/>
          <cell r="H666"/>
          <cell r="I666"/>
          <cell r="J666"/>
          <cell r="K666"/>
          <cell r="L666"/>
          <cell r="M666"/>
          <cell r="N666"/>
          <cell r="O666"/>
          <cell r="P666"/>
          <cell r="Q666"/>
          <cell r="R666"/>
          <cell r="S666"/>
          <cell r="T666"/>
          <cell r="U666"/>
          <cell r="V666"/>
          <cell r="W666"/>
          <cell r="X666"/>
        </row>
        <row r="667">
          <cell r="A667"/>
          <cell r="B667"/>
          <cell r="C667"/>
          <cell r="D667"/>
          <cell r="E667"/>
          <cell r="F667"/>
          <cell r="G667"/>
          <cell r="H667"/>
          <cell r="I667"/>
          <cell r="J667"/>
          <cell r="K667"/>
          <cell r="L667"/>
          <cell r="M667"/>
          <cell r="N667"/>
          <cell r="O667"/>
          <cell r="P667"/>
          <cell r="Q667"/>
          <cell r="R667"/>
          <cell r="S667"/>
          <cell r="T667"/>
          <cell r="U667"/>
          <cell r="V667"/>
          <cell r="W667"/>
          <cell r="X667"/>
        </row>
        <row r="668">
          <cell r="A668"/>
          <cell r="B668"/>
          <cell r="C668"/>
          <cell r="D668"/>
          <cell r="E668"/>
          <cell r="F668"/>
          <cell r="G668"/>
          <cell r="H668"/>
          <cell r="I668"/>
          <cell r="J668"/>
          <cell r="K668"/>
          <cell r="L668"/>
          <cell r="M668"/>
          <cell r="N668"/>
          <cell r="O668"/>
          <cell r="P668"/>
          <cell r="Q668"/>
          <cell r="R668"/>
          <cell r="S668"/>
          <cell r="T668"/>
          <cell r="U668"/>
          <cell r="V668"/>
          <cell r="W668"/>
          <cell r="X668"/>
        </row>
        <row r="669">
          <cell r="A669"/>
          <cell r="B669"/>
          <cell r="C669"/>
          <cell r="D669"/>
          <cell r="E669"/>
          <cell r="F669"/>
          <cell r="G669"/>
          <cell r="H669"/>
          <cell r="I669"/>
          <cell r="J669"/>
          <cell r="K669"/>
          <cell r="L669"/>
          <cell r="M669"/>
          <cell r="N669"/>
          <cell r="O669"/>
          <cell r="P669"/>
          <cell r="Q669"/>
          <cell r="R669"/>
          <cell r="S669"/>
          <cell r="T669"/>
          <cell r="U669"/>
          <cell r="V669"/>
          <cell r="W669"/>
          <cell r="X669"/>
        </row>
        <row r="670">
          <cell r="A670"/>
          <cell r="B670"/>
          <cell r="C670"/>
          <cell r="D670"/>
          <cell r="E670"/>
          <cell r="F670"/>
          <cell r="G670"/>
          <cell r="H670"/>
          <cell r="I670"/>
          <cell r="J670"/>
          <cell r="K670"/>
          <cell r="L670"/>
          <cell r="M670"/>
          <cell r="N670"/>
          <cell r="O670"/>
          <cell r="P670"/>
          <cell r="Q670"/>
          <cell r="R670"/>
          <cell r="S670"/>
          <cell r="T670"/>
          <cell r="U670"/>
          <cell r="V670"/>
          <cell r="W670"/>
          <cell r="X670"/>
        </row>
        <row r="671">
          <cell r="A671"/>
          <cell r="B671"/>
          <cell r="C671"/>
          <cell r="D671"/>
          <cell r="E671"/>
          <cell r="F671"/>
          <cell r="G671"/>
          <cell r="H671"/>
          <cell r="I671"/>
          <cell r="J671"/>
          <cell r="K671"/>
          <cell r="L671"/>
          <cell r="M671"/>
          <cell r="N671"/>
          <cell r="O671"/>
          <cell r="P671"/>
          <cell r="Q671"/>
          <cell r="R671"/>
          <cell r="S671"/>
          <cell r="T671"/>
          <cell r="U671"/>
          <cell r="V671"/>
          <cell r="W671"/>
          <cell r="X671"/>
        </row>
        <row r="672">
          <cell r="A672"/>
          <cell r="B672"/>
          <cell r="C672"/>
          <cell r="D672"/>
          <cell r="E672"/>
          <cell r="F672"/>
          <cell r="G672"/>
          <cell r="H672"/>
          <cell r="I672"/>
          <cell r="J672"/>
          <cell r="K672"/>
          <cell r="L672"/>
          <cell r="M672"/>
          <cell r="N672"/>
          <cell r="O672"/>
          <cell r="P672"/>
          <cell r="Q672"/>
          <cell r="R672"/>
          <cell r="S672"/>
          <cell r="T672"/>
          <cell r="U672"/>
          <cell r="V672"/>
          <cell r="W672"/>
          <cell r="X672"/>
        </row>
        <row r="673">
          <cell r="A673"/>
          <cell r="B673"/>
          <cell r="C673"/>
          <cell r="D673"/>
          <cell r="E673"/>
          <cell r="F673"/>
          <cell r="G673"/>
          <cell r="H673"/>
          <cell r="I673"/>
          <cell r="J673"/>
          <cell r="K673"/>
          <cell r="L673"/>
          <cell r="M673"/>
          <cell r="N673"/>
          <cell r="O673"/>
          <cell r="P673"/>
          <cell r="Q673"/>
          <cell r="R673"/>
          <cell r="S673"/>
          <cell r="T673"/>
          <cell r="U673"/>
          <cell r="V673"/>
          <cell r="W673"/>
          <cell r="X673"/>
        </row>
        <row r="674">
          <cell r="A674"/>
          <cell r="B674"/>
          <cell r="C674"/>
          <cell r="D674"/>
          <cell r="E674"/>
          <cell r="F674"/>
          <cell r="G674"/>
          <cell r="H674"/>
          <cell r="I674"/>
          <cell r="J674"/>
          <cell r="K674"/>
          <cell r="L674"/>
          <cell r="M674"/>
          <cell r="N674"/>
          <cell r="O674"/>
          <cell r="P674"/>
          <cell r="Q674"/>
          <cell r="R674"/>
          <cell r="S674"/>
          <cell r="T674"/>
          <cell r="U674"/>
          <cell r="V674"/>
          <cell r="W674"/>
          <cell r="X674"/>
        </row>
        <row r="675">
          <cell r="A675"/>
          <cell r="B675"/>
          <cell r="C675"/>
          <cell r="D675"/>
          <cell r="E675"/>
          <cell r="F675"/>
          <cell r="G675"/>
          <cell r="H675"/>
          <cell r="I675"/>
          <cell r="J675"/>
          <cell r="K675"/>
          <cell r="L675"/>
          <cell r="M675"/>
          <cell r="N675"/>
          <cell r="O675"/>
          <cell r="P675"/>
          <cell r="Q675"/>
          <cell r="R675"/>
          <cell r="S675"/>
          <cell r="T675"/>
          <cell r="U675"/>
          <cell r="V675"/>
          <cell r="W675"/>
          <cell r="X675"/>
        </row>
        <row r="676">
          <cell r="A676"/>
          <cell r="B676"/>
          <cell r="C676"/>
          <cell r="D676"/>
          <cell r="E676"/>
          <cell r="F676"/>
          <cell r="G676"/>
          <cell r="H676"/>
          <cell r="I676"/>
          <cell r="J676"/>
          <cell r="K676"/>
          <cell r="L676"/>
          <cell r="M676"/>
          <cell r="N676"/>
          <cell r="O676"/>
          <cell r="P676"/>
          <cell r="Q676"/>
          <cell r="R676"/>
          <cell r="S676"/>
          <cell r="T676"/>
          <cell r="U676"/>
          <cell r="V676"/>
          <cell r="W676"/>
          <cell r="X676"/>
        </row>
        <row r="677">
          <cell r="A677"/>
          <cell r="B677"/>
          <cell r="C677"/>
          <cell r="D677"/>
          <cell r="E677"/>
          <cell r="F677"/>
          <cell r="G677"/>
          <cell r="H677"/>
          <cell r="I677"/>
          <cell r="J677"/>
          <cell r="K677"/>
          <cell r="L677"/>
          <cell r="M677"/>
          <cell r="N677"/>
          <cell r="O677"/>
          <cell r="P677"/>
          <cell r="Q677"/>
          <cell r="R677"/>
          <cell r="S677"/>
          <cell r="T677"/>
          <cell r="U677"/>
          <cell r="V677"/>
          <cell r="W677"/>
          <cell r="X677"/>
        </row>
        <row r="678">
          <cell r="A678"/>
          <cell r="B678"/>
          <cell r="C678"/>
          <cell r="D678"/>
          <cell r="E678"/>
          <cell r="F678"/>
          <cell r="G678"/>
          <cell r="H678"/>
          <cell r="I678"/>
          <cell r="J678"/>
          <cell r="K678"/>
          <cell r="L678"/>
          <cell r="M678"/>
          <cell r="N678"/>
          <cell r="O678"/>
          <cell r="P678"/>
          <cell r="Q678"/>
          <cell r="R678"/>
          <cell r="S678"/>
          <cell r="T678"/>
          <cell r="U678"/>
          <cell r="V678"/>
          <cell r="W678"/>
          <cell r="X678"/>
        </row>
        <row r="679">
          <cell r="A679"/>
          <cell r="B679"/>
          <cell r="C679"/>
          <cell r="D679"/>
          <cell r="E679"/>
          <cell r="F679"/>
          <cell r="G679"/>
          <cell r="H679"/>
          <cell r="I679"/>
          <cell r="J679"/>
          <cell r="K679"/>
          <cell r="L679"/>
          <cell r="M679"/>
          <cell r="N679"/>
          <cell r="O679"/>
          <cell r="P679"/>
          <cell r="Q679"/>
          <cell r="R679"/>
          <cell r="S679"/>
          <cell r="T679"/>
          <cell r="U679"/>
          <cell r="V679"/>
          <cell r="W679"/>
          <cell r="X679"/>
        </row>
        <row r="680">
          <cell r="A680"/>
          <cell r="B680"/>
          <cell r="C680"/>
          <cell r="D680"/>
          <cell r="E680"/>
          <cell r="F680"/>
          <cell r="G680"/>
          <cell r="H680"/>
          <cell r="I680"/>
          <cell r="J680"/>
          <cell r="K680"/>
          <cell r="L680"/>
          <cell r="M680"/>
          <cell r="N680"/>
          <cell r="O680"/>
          <cell r="P680"/>
          <cell r="Q680"/>
          <cell r="R680"/>
          <cell r="S680"/>
          <cell r="T680"/>
          <cell r="U680"/>
          <cell r="V680"/>
          <cell r="W680"/>
          <cell r="X680"/>
        </row>
        <row r="681">
          <cell r="A681"/>
          <cell r="B681"/>
          <cell r="C681"/>
          <cell r="D681"/>
          <cell r="E681"/>
          <cell r="F681"/>
          <cell r="G681"/>
          <cell r="H681"/>
          <cell r="I681"/>
          <cell r="J681"/>
          <cell r="K681"/>
          <cell r="L681"/>
          <cell r="M681"/>
          <cell r="N681"/>
          <cell r="O681"/>
          <cell r="P681"/>
          <cell r="Q681"/>
          <cell r="R681"/>
          <cell r="S681"/>
          <cell r="T681"/>
          <cell r="U681"/>
          <cell r="V681"/>
          <cell r="W681"/>
          <cell r="X681"/>
        </row>
        <row r="682">
          <cell r="A682"/>
          <cell r="B682"/>
          <cell r="C682"/>
          <cell r="D682"/>
          <cell r="E682"/>
          <cell r="F682"/>
          <cell r="G682"/>
          <cell r="H682"/>
          <cell r="I682"/>
          <cell r="J682"/>
          <cell r="K682"/>
          <cell r="L682"/>
          <cell r="M682"/>
          <cell r="N682"/>
          <cell r="O682"/>
          <cell r="P682"/>
          <cell r="Q682"/>
          <cell r="R682"/>
          <cell r="S682"/>
          <cell r="T682"/>
          <cell r="U682"/>
          <cell r="V682"/>
          <cell r="W682"/>
          <cell r="X682"/>
        </row>
        <row r="683">
          <cell r="A683"/>
          <cell r="B683"/>
          <cell r="C683"/>
          <cell r="D683"/>
          <cell r="E683"/>
          <cell r="F683"/>
          <cell r="G683"/>
          <cell r="H683"/>
          <cell r="I683"/>
          <cell r="J683"/>
          <cell r="K683"/>
          <cell r="L683"/>
          <cell r="M683"/>
          <cell r="N683"/>
          <cell r="O683"/>
          <cell r="P683"/>
          <cell r="Q683"/>
          <cell r="R683"/>
          <cell r="S683"/>
          <cell r="T683"/>
          <cell r="U683"/>
          <cell r="V683"/>
          <cell r="W683"/>
          <cell r="X683"/>
        </row>
        <row r="684">
          <cell r="A684"/>
          <cell r="B684"/>
          <cell r="C684"/>
          <cell r="D684"/>
          <cell r="E684"/>
          <cell r="F684"/>
          <cell r="G684"/>
          <cell r="H684"/>
          <cell r="I684"/>
          <cell r="J684"/>
          <cell r="K684"/>
          <cell r="L684"/>
          <cell r="M684"/>
          <cell r="N684"/>
          <cell r="O684"/>
          <cell r="P684"/>
          <cell r="Q684"/>
          <cell r="R684"/>
          <cell r="S684"/>
          <cell r="T684"/>
          <cell r="U684"/>
          <cell r="V684"/>
          <cell r="W684"/>
          <cell r="X684"/>
        </row>
        <row r="685">
          <cell r="A685"/>
          <cell r="B685"/>
          <cell r="C685"/>
          <cell r="D685"/>
          <cell r="E685"/>
          <cell r="F685"/>
          <cell r="G685"/>
          <cell r="H685"/>
          <cell r="I685"/>
          <cell r="J685"/>
          <cell r="K685"/>
          <cell r="L685"/>
          <cell r="M685"/>
          <cell r="N685"/>
          <cell r="O685"/>
          <cell r="P685"/>
          <cell r="Q685"/>
          <cell r="R685"/>
          <cell r="S685"/>
          <cell r="T685"/>
          <cell r="U685"/>
          <cell r="V685"/>
          <cell r="W685"/>
          <cell r="X685"/>
        </row>
        <row r="686">
          <cell r="A686"/>
          <cell r="B686"/>
          <cell r="C686"/>
          <cell r="D686"/>
          <cell r="E686"/>
          <cell r="F686"/>
          <cell r="G686"/>
          <cell r="H686"/>
          <cell r="I686"/>
          <cell r="J686"/>
          <cell r="K686"/>
          <cell r="L686"/>
          <cell r="M686"/>
          <cell r="N686"/>
          <cell r="O686"/>
          <cell r="P686"/>
          <cell r="Q686"/>
          <cell r="R686"/>
          <cell r="S686"/>
          <cell r="T686"/>
          <cell r="U686"/>
          <cell r="V686"/>
          <cell r="W686"/>
          <cell r="X686"/>
        </row>
        <row r="687">
          <cell r="A687"/>
          <cell r="B687"/>
          <cell r="C687"/>
          <cell r="D687"/>
          <cell r="E687"/>
          <cell r="F687"/>
          <cell r="G687"/>
          <cell r="H687"/>
          <cell r="I687"/>
          <cell r="J687"/>
          <cell r="K687"/>
          <cell r="L687"/>
          <cell r="M687"/>
          <cell r="N687"/>
          <cell r="O687"/>
          <cell r="P687"/>
          <cell r="Q687"/>
          <cell r="R687"/>
          <cell r="S687"/>
          <cell r="T687"/>
          <cell r="U687"/>
          <cell r="V687"/>
          <cell r="W687"/>
          <cell r="X687"/>
        </row>
        <row r="688">
          <cell r="A688"/>
          <cell r="B688"/>
          <cell r="C688"/>
          <cell r="D688"/>
          <cell r="E688"/>
          <cell r="F688"/>
          <cell r="G688"/>
          <cell r="H688"/>
          <cell r="I688"/>
          <cell r="J688"/>
          <cell r="K688"/>
          <cell r="L688"/>
          <cell r="M688"/>
          <cell r="N688"/>
          <cell r="O688"/>
          <cell r="P688"/>
          <cell r="Q688"/>
          <cell r="R688"/>
          <cell r="S688"/>
          <cell r="T688"/>
          <cell r="U688"/>
          <cell r="V688"/>
          <cell r="W688"/>
          <cell r="X688"/>
        </row>
        <row r="689">
          <cell r="A689"/>
          <cell r="B689"/>
          <cell r="C689"/>
          <cell r="D689"/>
          <cell r="E689"/>
          <cell r="F689"/>
          <cell r="G689"/>
          <cell r="H689"/>
          <cell r="I689"/>
          <cell r="J689"/>
          <cell r="K689"/>
          <cell r="L689"/>
          <cell r="M689"/>
          <cell r="N689"/>
          <cell r="O689"/>
          <cell r="P689"/>
          <cell r="Q689"/>
          <cell r="R689"/>
          <cell r="S689"/>
          <cell r="T689"/>
          <cell r="U689"/>
          <cell r="V689"/>
          <cell r="W689"/>
          <cell r="X689"/>
        </row>
        <row r="690">
          <cell r="A690"/>
          <cell r="B690"/>
          <cell r="C690"/>
          <cell r="D690"/>
          <cell r="E690"/>
          <cell r="F690"/>
          <cell r="G690"/>
          <cell r="H690"/>
          <cell r="I690"/>
          <cell r="J690"/>
          <cell r="K690"/>
          <cell r="L690"/>
          <cell r="M690"/>
          <cell r="N690"/>
          <cell r="O690"/>
          <cell r="P690"/>
          <cell r="Q690"/>
          <cell r="R690"/>
          <cell r="S690"/>
          <cell r="T690"/>
          <cell r="U690"/>
          <cell r="V690"/>
          <cell r="W690"/>
          <cell r="X690"/>
        </row>
        <row r="691">
          <cell r="A691"/>
          <cell r="B691"/>
          <cell r="C691"/>
          <cell r="D691"/>
          <cell r="E691"/>
          <cell r="F691"/>
          <cell r="G691"/>
          <cell r="H691"/>
          <cell r="I691"/>
          <cell r="J691"/>
          <cell r="K691"/>
          <cell r="L691"/>
          <cell r="M691"/>
          <cell r="N691"/>
          <cell r="O691"/>
          <cell r="P691"/>
          <cell r="Q691"/>
          <cell r="R691"/>
          <cell r="S691"/>
          <cell r="T691"/>
          <cell r="U691"/>
          <cell r="V691"/>
          <cell r="W691"/>
          <cell r="X691"/>
        </row>
        <row r="692">
          <cell r="A692"/>
          <cell r="B692"/>
          <cell r="C692"/>
          <cell r="D692"/>
          <cell r="E692"/>
          <cell r="F692"/>
          <cell r="G692"/>
          <cell r="H692"/>
          <cell r="I692"/>
          <cell r="J692"/>
          <cell r="K692"/>
          <cell r="L692"/>
          <cell r="M692"/>
          <cell r="N692"/>
          <cell r="O692"/>
          <cell r="P692"/>
          <cell r="Q692"/>
          <cell r="R692"/>
          <cell r="S692"/>
          <cell r="T692"/>
          <cell r="U692"/>
          <cell r="V692"/>
          <cell r="W692"/>
          <cell r="X692"/>
        </row>
        <row r="693">
          <cell r="A693"/>
          <cell r="B693"/>
          <cell r="C693"/>
          <cell r="D693"/>
          <cell r="E693"/>
          <cell r="F693"/>
          <cell r="G693"/>
          <cell r="H693"/>
          <cell r="I693"/>
          <cell r="J693"/>
          <cell r="K693"/>
          <cell r="L693"/>
          <cell r="M693"/>
          <cell r="N693"/>
          <cell r="O693"/>
          <cell r="P693"/>
          <cell r="Q693"/>
          <cell r="R693"/>
          <cell r="S693"/>
          <cell r="T693"/>
          <cell r="U693"/>
          <cell r="V693"/>
          <cell r="W693"/>
          <cell r="X693"/>
        </row>
        <row r="694">
          <cell r="A694"/>
          <cell r="B694"/>
          <cell r="C694"/>
          <cell r="D694"/>
          <cell r="E694"/>
          <cell r="F694"/>
          <cell r="G694"/>
          <cell r="H694"/>
          <cell r="I694"/>
          <cell r="J694"/>
          <cell r="K694"/>
          <cell r="L694"/>
          <cell r="M694"/>
          <cell r="N694"/>
          <cell r="O694"/>
          <cell r="P694"/>
          <cell r="Q694"/>
          <cell r="R694"/>
          <cell r="S694"/>
          <cell r="T694"/>
          <cell r="U694"/>
          <cell r="V694"/>
          <cell r="W694"/>
          <cell r="X694"/>
        </row>
        <row r="695">
          <cell r="A695"/>
          <cell r="B695"/>
          <cell r="C695"/>
          <cell r="D695"/>
          <cell r="E695"/>
          <cell r="F695"/>
          <cell r="G695"/>
          <cell r="H695"/>
          <cell r="I695"/>
          <cell r="J695"/>
          <cell r="K695"/>
          <cell r="L695"/>
          <cell r="M695"/>
          <cell r="N695"/>
          <cell r="O695"/>
          <cell r="P695"/>
          <cell r="Q695"/>
          <cell r="R695"/>
          <cell r="S695"/>
          <cell r="T695"/>
          <cell r="U695"/>
          <cell r="V695"/>
          <cell r="W695"/>
          <cell r="X695"/>
        </row>
        <row r="696">
          <cell r="A696"/>
          <cell r="B696"/>
          <cell r="C696"/>
          <cell r="D696"/>
          <cell r="E696"/>
          <cell r="F696"/>
          <cell r="G696"/>
          <cell r="H696"/>
          <cell r="I696"/>
          <cell r="J696"/>
          <cell r="K696"/>
          <cell r="L696"/>
          <cell r="M696"/>
          <cell r="N696"/>
          <cell r="O696"/>
          <cell r="P696"/>
          <cell r="Q696"/>
          <cell r="R696"/>
          <cell r="S696"/>
          <cell r="T696"/>
          <cell r="U696"/>
          <cell r="V696"/>
          <cell r="W696"/>
          <cell r="X696"/>
        </row>
        <row r="697">
          <cell r="A697"/>
          <cell r="B697"/>
          <cell r="C697"/>
          <cell r="D697"/>
          <cell r="E697"/>
          <cell r="F697"/>
          <cell r="G697"/>
          <cell r="H697"/>
          <cell r="I697"/>
          <cell r="J697"/>
          <cell r="K697"/>
          <cell r="L697"/>
          <cell r="M697"/>
          <cell r="N697"/>
          <cell r="O697"/>
          <cell r="P697"/>
          <cell r="Q697"/>
          <cell r="R697"/>
          <cell r="S697"/>
          <cell r="T697"/>
          <cell r="U697"/>
          <cell r="V697"/>
          <cell r="W697"/>
          <cell r="X697"/>
        </row>
        <row r="698">
          <cell r="A698"/>
          <cell r="B698"/>
          <cell r="C698"/>
          <cell r="D698"/>
          <cell r="E698"/>
          <cell r="F698"/>
          <cell r="G698"/>
          <cell r="H698"/>
          <cell r="I698"/>
          <cell r="J698"/>
          <cell r="K698"/>
          <cell r="L698"/>
          <cell r="M698"/>
          <cell r="N698"/>
          <cell r="O698"/>
          <cell r="P698"/>
          <cell r="Q698"/>
          <cell r="R698"/>
          <cell r="S698"/>
          <cell r="T698"/>
          <cell r="U698"/>
          <cell r="V698"/>
          <cell r="W698"/>
          <cell r="X698"/>
        </row>
        <row r="699">
          <cell r="A699"/>
          <cell r="B699"/>
          <cell r="C699"/>
          <cell r="D699"/>
          <cell r="E699"/>
          <cell r="F699"/>
          <cell r="G699"/>
          <cell r="H699"/>
          <cell r="I699"/>
          <cell r="J699"/>
          <cell r="K699"/>
          <cell r="L699"/>
          <cell r="M699"/>
          <cell r="N699"/>
          <cell r="O699"/>
          <cell r="P699"/>
          <cell r="Q699"/>
          <cell r="R699"/>
          <cell r="S699"/>
          <cell r="T699"/>
          <cell r="U699"/>
          <cell r="V699"/>
          <cell r="W699"/>
          <cell r="X699"/>
        </row>
        <row r="700">
          <cell r="A700"/>
          <cell r="B700"/>
          <cell r="C700"/>
          <cell r="D700"/>
          <cell r="E700"/>
          <cell r="F700"/>
          <cell r="G700"/>
          <cell r="H700"/>
          <cell r="I700"/>
          <cell r="J700"/>
          <cell r="K700"/>
          <cell r="L700"/>
          <cell r="M700"/>
          <cell r="N700"/>
          <cell r="O700"/>
          <cell r="P700"/>
          <cell r="Q700"/>
          <cell r="R700"/>
          <cell r="S700"/>
          <cell r="T700"/>
          <cell r="U700"/>
          <cell r="V700"/>
          <cell r="W700"/>
          <cell r="X700"/>
        </row>
        <row r="701">
          <cell r="A701"/>
          <cell r="B701"/>
          <cell r="C701"/>
          <cell r="D701"/>
          <cell r="E701"/>
          <cell r="F701"/>
          <cell r="G701"/>
          <cell r="H701"/>
          <cell r="I701"/>
          <cell r="J701"/>
          <cell r="K701"/>
          <cell r="L701"/>
          <cell r="M701"/>
          <cell r="N701"/>
          <cell r="O701"/>
          <cell r="P701"/>
          <cell r="Q701"/>
          <cell r="R701"/>
          <cell r="S701"/>
          <cell r="T701"/>
          <cell r="U701"/>
          <cell r="V701"/>
          <cell r="W701"/>
          <cell r="X701"/>
        </row>
        <row r="702">
          <cell r="A702"/>
          <cell r="B702"/>
          <cell r="C702"/>
          <cell r="D702"/>
          <cell r="E702"/>
          <cell r="F702"/>
          <cell r="G702"/>
          <cell r="H702"/>
          <cell r="I702"/>
          <cell r="J702"/>
          <cell r="K702"/>
          <cell r="L702"/>
          <cell r="M702"/>
          <cell r="N702"/>
          <cell r="O702"/>
          <cell r="P702"/>
          <cell r="Q702"/>
          <cell r="R702"/>
          <cell r="S702"/>
          <cell r="T702"/>
          <cell r="U702"/>
          <cell r="V702"/>
          <cell r="W702"/>
          <cell r="X702"/>
        </row>
        <row r="703">
          <cell r="A703"/>
          <cell r="B703"/>
          <cell r="C703"/>
          <cell r="D703"/>
          <cell r="E703"/>
          <cell r="F703"/>
          <cell r="G703"/>
          <cell r="H703"/>
          <cell r="I703"/>
          <cell r="J703"/>
          <cell r="K703"/>
          <cell r="L703"/>
          <cell r="M703"/>
          <cell r="N703"/>
          <cell r="O703"/>
          <cell r="P703"/>
          <cell r="Q703"/>
          <cell r="R703"/>
          <cell r="S703"/>
          <cell r="T703"/>
          <cell r="U703"/>
          <cell r="V703"/>
          <cell r="W703"/>
          <cell r="X703"/>
        </row>
        <row r="704">
          <cell r="A704"/>
          <cell r="B704"/>
          <cell r="C704"/>
          <cell r="D704"/>
          <cell r="E704"/>
          <cell r="F704"/>
          <cell r="G704"/>
          <cell r="H704"/>
          <cell r="I704"/>
          <cell r="J704"/>
          <cell r="K704"/>
          <cell r="L704"/>
          <cell r="M704"/>
          <cell r="N704"/>
          <cell r="O704"/>
          <cell r="P704"/>
          <cell r="Q704"/>
          <cell r="R704"/>
          <cell r="S704"/>
          <cell r="T704"/>
          <cell r="U704"/>
          <cell r="V704"/>
          <cell r="W704"/>
          <cell r="X704"/>
        </row>
        <row r="705">
          <cell r="A705"/>
          <cell r="B705"/>
          <cell r="C705"/>
          <cell r="D705"/>
          <cell r="E705"/>
          <cell r="F705"/>
          <cell r="G705"/>
          <cell r="H705"/>
          <cell r="I705"/>
          <cell r="J705"/>
          <cell r="K705"/>
          <cell r="L705"/>
          <cell r="M705"/>
          <cell r="N705"/>
          <cell r="O705"/>
          <cell r="P705"/>
          <cell r="Q705"/>
          <cell r="R705"/>
          <cell r="S705"/>
          <cell r="T705"/>
          <cell r="U705"/>
          <cell r="V705"/>
          <cell r="W705"/>
          <cell r="X705"/>
        </row>
        <row r="706">
          <cell r="A706"/>
          <cell r="B706"/>
          <cell r="C706"/>
          <cell r="D706"/>
          <cell r="E706"/>
          <cell r="F706"/>
          <cell r="G706"/>
          <cell r="H706"/>
          <cell r="I706"/>
          <cell r="J706"/>
          <cell r="K706"/>
          <cell r="L706"/>
          <cell r="M706"/>
          <cell r="N706"/>
          <cell r="O706"/>
          <cell r="P706"/>
          <cell r="Q706"/>
          <cell r="R706"/>
          <cell r="S706"/>
          <cell r="T706"/>
          <cell r="U706"/>
          <cell r="V706"/>
          <cell r="W706"/>
          <cell r="X706"/>
        </row>
        <row r="707">
          <cell r="A707"/>
          <cell r="B707"/>
          <cell r="C707"/>
          <cell r="D707"/>
          <cell r="E707"/>
          <cell r="F707"/>
          <cell r="G707"/>
          <cell r="H707"/>
          <cell r="I707"/>
          <cell r="J707"/>
          <cell r="K707"/>
          <cell r="L707"/>
          <cell r="M707"/>
          <cell r="N707"/>
          <cell r="O707"/>
          <cell r="P707"/>
          <cell r="Q707"/>
          <cell r="R707"/>
          <cell r="S707"/>
          <cell r="T707"/>
          <cell r="U707"/>
          <cell r="V707"/>
          <cell r="W707"/>
          <cell r="X707"/>
        </row>
        <row r="708">
          <cell r="A708"/>
          <cell r="B708"/>
          <cell r="C708"/>
          <cell r="D708"/>
          <cell r="E708"/>
          <cell r="F708"/>
          <cell r="G708"/>
          <cell r="H708"/>
          <cell r="I708"/>
          <cell r="J708"/>
          <cell r="K708"/>
          <cell r="L708"/>
          <cell r="M708"/>
          <cell r="N708"/>
          <cell r="O708"/>
          <cell r="P708"/>
          <cell r="Q708"/>
          <cell r="R708"/>
          <cell r="S708"/>
          <cell r="T708"/>
          <cell r="U708"/>
          <cell r="V708"/>
          <cell r="W708"/>
          <cell r="X708"/>
        </row>
        <row r="709">
          <cell r="A709"/>
          <cell r="B709"/>
          <cell r="C709"/>
          <cell r="D709"/>
          <cell r="E709"/>
          <cell r="F709"/>
          <cell r="G709"/>
          <cell r="H709"/>
          <cell r="I709"/>
          <cell r="J709"/>
          <cell r="K709"/>
          <cell r="L709"/>
          <cell r="M709"/>
          <cell r="N709"/>
          <cell r="O709"/>
          <cell r="P709"/>
          <cell r="Q709"/>
          <cell r="R709"/>
          <cell r="S709"/>
          <cell r="T709"/>
          <cell r="U709"/>
          <cell r="V709"/>
          <cell r="W709"/>
          <cell r="X709"/>
        </row>
        <row r="710">
          <cell r="A710"/>
          <cell r="B710"/>
          <cell r="C710"/>
          <cell r="D710"/>
          <cell r="E710"/>
          <cell r="F710"/>
          <cell r="G710"/>
          <cell r="H710"/>
          <cell r="I710"/>
          <cell r="J710"/>
          <cell r="K710"/>
          <cell r="L710"/>
          <cell r="M710"/>
          <cell r="N710"/>
          <cell r="O710"/>
          <cell r="P710"/>
          <cell r="Q710"/>
          <cell r="R710"/>
          <cell r="S710"/>
          <cell r="T710"/>
          <cell r="U710"/>
          <cell r="V710"/>
          <cell r="W710"/>
          <cell r="X710"/>
        </row>
        <row r="711">
          <cell r="A711"/>
          <cell r="B711"/>
          <cell r="C711"/>
          <cell r="D711"/>
          <cell r="E711"/>
          <cell r="F711"/>
          <cell r="G711"/>
          <cell r="H711"/>
          <cell r="I711"/>
          <cell r="J711"/>
          <cell r="K711"/>
          <cell r="L711"/>
          <cell r="M711"/>
          <cell r="N711"/>
          <cell r="O711"/>
          <cell r="P711"/>
          <cell r="Q711"/>
          <cell r="R711"/>
          <cell r="S711"/>
          <cell r="T711"/>
          <cell r="U711"/>
          <cell r="V711"/>
          <cell r="W711"/>
          <cell r="X711"/>
        </row>
        <row r="712">
          <cell r="A712"/>
          <cell r="B712"/>
          <cell r="C712"/>
          <cell r="D712"/>
          <cell r="E712"/>
          <cell r="F712"/>
          <cell r="G712"/>
          <cell r="H712"/>
          <cell r="I712"/>
          <cell r="J712"/>
          <cell r="K712"/>
          <cell r="L712"/>
          <cell r="M712"/>
          <cell r="N712"/>
          <cell r="O712"/>
          <cell r="P712"/>
          <cell r="Q712"/>
          <cell r="R712"/>
          <cell r="S712"/>
          <cell r="T712"/>
          <cell r="U712"/>
          <cell r="V712"/>
          <cell r="W712"/>
          <cell r="X712"/>
        </row>
        <row r="713">
          <cell r="A713"/>
          <cell r="B713"/>
          <cell r="C713"/>
          <cell r="D713"/>
          <cell r="E713"/>
          <cell r="F713"/>
          <cell r="G713"/>
          <cell r="H713"/>
          <cell r="I713"/>
          <cell r="J713"/>
          <cell r="K713"/>
          <cell r="L713"/>
          <cell r="M713"/>
          <cell r="N713"/>
          <cell r="O713"/>
          <cell r="P713"/>
          <cell r="Q713"/>
          <cell r="R713"/>
          <cell r="S713"/>
          <cell r="T713"/>
          <cell r="U713"/>
          <cell r="V713"/>
          <cell r="W713"/>
          <cell r="X713"/>
        </row>
        <row r="714">
          <cell r="A714"/>
          <cell r="B714"/>
          <cell r="C714"/>
          <cell r="D714"/>
          <cell r="E714"/>
          <cell r="F714"/>
          <cell r="G714"/>
          <cell r="H714"/>
          <cell r="I714"/>
          <cell r="J714"/>
          <cell r="K714"/>
          <cell r="L714"/>
          <cell r="M714"/>
          <cell r="N714"/>
          <cell r="O714"/>
          <cell r="P714"/>
          <cell r="Q714"/>
          <cell r="R714"/>
          <cell r="S714"/>
          <cell r="T714"/>
          <cell r="U714"/>
          <cell r="V714"/>
          <cell r="W714"/>
          <cell r="X714"/>
        </row>
        <row r="715">
          <cell r="A715"/>
          <cell r="B715"/>
          <cell r="C715"/>
          <cell r="D715"/>
          <cell r="E715"/>
          <cell r="F715"/>
          <cell r="G715"/>
          <cell r="H715"/>
          <cell r="I715"/>
          <cell r="J715"/>
          <cell r="K715"/>
          <cell r="L715"/>
          <cell r="M715"/>
          <cell r="N715"/>
          <cell r="O715"/>
          <cell r="P715"/>
          <cell r="Q715"/>
          <cell r="R715"/>
          <cell r="S715"/>
          <cell r="T715"/>
          <cell r="U715"/>
          <cell r="V715"/>
          <cell r="W715"/>
          <cell r="X715"/>
        </row>
        <row r="716">
          <cell r="A716"/>
          <cell r="B716"/>
          <cell r="C716"/>
          <cell r="D716"/>
          <cell r="E716"/>
          <cell r="F716"/>
          <cell r="G716"/>
          <cell r="H716"/>
          <cell r="I716"/>
          <cell r="J716"/>
          <cell r="K716"/>
          <cell r="L716"/>
          <cell r="M716"/>
          <cell r="N716"/>
          <cell r="O716"/>
          <cell r="P716"/>
          <cell r="Q716"/>
          <cell r="R716"/>
          <cell r="S716"/>
          <cell r="T716"/>
          <cell r="U716"/>
          <cell r="V716"/>
          <cell r="W716"/>
          <cell r="X716"/>
        </row>
        <row r="717">
          <cell r="A717"/>
          <cell r="B717"/>
          <cell r="C717"/>
          <cell r="D717"/>
          <cell r="E717"/>
          <cell r="F717"/>
          <cell r="G717"/>
          <cell r="H717"/>
          <cell r="I717"/>
          <cell r="J717"/>
          <cell r="K717"/>
          <cell r="L717"/>
          <cell r="M717"/>
          <cell r="N717"/>
          <cell r="O717"/>
          <cell r="P717"/>
          <cell r="Q717"/>
          <cell r="R717"/>
          <cell r="S717"/>
          <cell r="T717"/>
          <cell r="U717"/>
          <cell r="V717"/>
          <cell r="W717"/>
          <cell r="X717"/>
        </row>
        <row r="718">
          <cell r="A718"/>
          <cell r="B718"/>
          <cell r="C718"/>
          <cell r="D718"/>
          <cell r="E718"/>
          <cell r="F718"/>
          <cell r="G718"/>
          <cell r="H718"/>
          <cell r="I718"/>
          <cell r="J718"/>
          <cell r="K718"/>
          <cell r="L718"/>
          <cell r="M718"/>
          <cell r="N718"/>
          <cell r="O718"/>
          <cell r="P718"/>
          <cell r="Q718"/>
          <cell r="R718"/>
          <cell r="S718"/>
          <cell r="T718"/>
          <cell r="U718"/>
          <cell r="V718"/>
          <cell r="W718"/>
          <cell r="X718"/>
        </row>
        <row r="719">
          <cell r="A719"/>
          <cell r="B719"/>
          <cell r="C719"/>
          <cell r="D719"/>
          <cell r="E719"/>
          <cell r="F719"/>
          <cell r="G719"/>
          <cell r="H719"/>
          <cell r="I719"/>
          <cell r="J719"/>
          <cell r="K719"/>
          <cell r="L719"/>
          <cell r="M719"/>
          <cell r="N719"/>
          <cell r="O719"/>
          <cell r="P719"/>
          <cell r="Q719"/>
          <cell r="R719"/>
          <cell r="S719"/>
          <cell r="T719"/>
          <cell r="U719"/>
          <cell r="V719"/>
          <cell r="W719"/>
          <cell r="X719"/>
        </row>
        <row r="720">
          <cell r="A720"/>
          <cell r="B720"/>
          <cell r="C720"/>
          <cell r="D720"/>
          <cell r="E720"/>
          <cell r="F720"/>
          <cell r="G720"/>
          <cell r="H720"/>
          <cell r="I720"/>
          <cell r="J720"/>
          <cell r="K720"/>
          <cell r="L720"/>
          <cell r="M720"/>
          <cell r="N720"/>
          <cell r="O720"/>
          <cell r="P720"/>
          <cell r="Q720"/>
          <cell r="R720"/>
          <cell r="S720"/>
          <cell r="T720"/>
          <cell r="U720"/>
          <cell r="V720"/>
          <cell r="W720"/>
          <cell r="X720"/>
        </row>
        <row r="721">
          <cell r="A721"/>
          <cell r="B721"/>
          <cell r="C721"/>
          <cell r="D721"/>
          <cell r="E721"/>
          <cell r="F721"/>
          <cell r="G721"/>
          <cell r="H721"/>
          <cell r="I721"/>
          <cell r="J721"/>
          <cell r="K721"/>
          <cell r="L721"/>
          <cell r="M721"/>
          <cell r="N721"/>
          <cell r="O721"/>
          <cell r="P721"/>
          <cell r="Q721"/>
          <cell r="R721"/>
          <cell r="S721"/>
          <cell r="T721"/>
          <cell r="U721"/>
          <cell r="V721"/>
          <cell r="W721"/>
          <cell r="X721"/>
        </row>
        <row r="722">
          <cell r="A722"/>
          <cell r="B722"/>
          <cell r="C722"/>
          <cell r="D722"/>
          <cell r="E722"/>
          <cell r="F722"/>
          <cell r="G722"/>
          <cell r="H722"/>
          <cell r="I722"/>
          <cell r="J722"/>
          <cell r="K722"/>
          <cell r="L722"/>
          <cell r="M722"/>
          <cell r="N722"/>
          <cell r="O722"/>
          <cell r="P722"/>
          <cell r="Q722"/>
          <cell r="R722"/>
          <cell r="S722"/>
          <cell r="T722"/>
          <cell r="U722"/>
          <cell r="V722"/>
          <cell r="W722"/>
          <cell r="X722"/>
        </row>
        <row r="723">
          <cell r="A723"/>
          <cell r="B723"/>
          <cell r="C723"/>
          <cell r="D723"/>
          <cell r="E723"/>
          <cell r="F723"/>
          <cell r="G723"/>
          <cell r="H723"/>
          <cell r="I723"/>
          <cell r="J723"/>
          <cell r="K723"/>
          <cell r="L723"/>
          <cell r="M723"/>
          <cell r="N723"/>
          <cell r="O723"/>
          <cell r="P723"/>
          <cell r="Q723"/>
          <cell r="R723"/>
          <cell r="S723"/>
          <cell r="T723"/>
          <cell r="U723"/>
          <cell r="V723"/>
          <cell r="W723"/>
          <cell r="X723"/>
        </row>
        <row r="724">
          <cell r="A724"/>
          <cell r="B724"/>
          <cell r="C724"/>
          <cell r="D724"/>
          <cell r="E724"/>
          <cell r="F724"/>
          <cell r="G724"/>
          <cell r="H724"/>
          <cell r="I724"/>
          <cell r="J724"/>
          <cell r="K724"/>
          <cell r="L724"/>
          <cell r="M724"/>
          <cell r="N724"/>
          <cell r="O724"/>
          <cell r="P724"/>
          <cell r="Q724"/>
          <cell r="R724"/>
          <cell r="S724"/>
          <cell r="T724"/>
          <cell r="U724"/>
          <cell r="V724"/>
          <cell r="W724"/>
          <cell r="X724"/>
        </row>
        <row r="725">
          <cell r="A725"/>
          <cell r="B725"/>
          <cell r="C725"/>
          <cell r="D725"/>
          <cell r="E725"/>
          <cell r="F725"/>
          <cell r="G725"/>
          <cell r="H725"/>
          <cell r="I725"/>
          <cell r="J725"/>
          <cell r="K725"/>
          <cell r="L725"/>
          <cell r="M725"/>
          <cell r="N725"/>
          <cell r="O725"/>
          <cell r="P725"/>
          <cell r="Q725"/>
          <cell r="R725"/>
          <cell r="S725"/>
          <cell r="T725"/>
          <cell r="U725"/>
          <cell r="V725"/>
          <cell r="W725"/>
          <cell r="X725"/>
        </row>
        <row r="726">
          <cell r="A726"/>
          <cell r="B726"/>
          <cell r="C726"/>
          <cell r="D726"/>
          <cell r="E726"/>
          <cell r="F726"/>
          <cell r="G726"/>
          <cell r="H726"/>
          <cell r="I726"/>
          <cell r="J726"/>
          <cell r="K726"/>
          <cell r="L726"/>
          <cell r="M726"/>
          <cell r="N726"/>
          <cell r="O726"/>
          <cell r="P726"/>
          <cell r="Q726"/>
          <cell r="R726"/>
          <cell r="S726"/>
          <cell r="T726"/>
          <cell r="U726"/>
          <cell r="V726"/>
          <cell r="W726"/>
          <cell r="X726"/>
        </row>
        <row r="727">
          <cell r="A727"/>
          <cell r="B727"/>
          <cell r="C727"/>
          <cell r="D727"/>
          <cell r="E727"/>
          <cell r="F727"/>
          <cell r="G727"/>
          <cell r="H727"/>
          <cell r="I727"/>
          <cell r="J727"/>
          <cell r="K727"/>
          <cell r="L727"/>
          <cell r="M727"/>
          <cell r="N727"/>
          <cell r="O727"/>
          <cell r="P727"/>
          <cell r="Q727"/>
          <cell r="R727"/>
          <cell r="S727"/>
          <cell r="T727"/>
          <cell r="U727"/>
          <cell r="V727"/>
          <cell r="W727"/>
          <cell r="X727"/>
        </row>
        <row r="728">
          <cell r="A728"/>
          <cell r="B728"/>
          <cell r="C728"/>
          <cell r="D728"/>
          <cell r="E728"/>
          <cell r="F728"/>
          <cell r="G728"/>
          <cell r="H728"/>
          <cell r="I728"/>
          <cell r="J728"/>
          <cell r="K728"/>
          <cell r="L728"/>
          <cell r="M728"/>
          <cell r="N728"/>
          <cell r="O728"/>
          <cell r="P728"/>
          <cell r="Q728"/>
          <cell r="R728"/>
          <cell r="S728"/>
          <cell r="T728"/>
          <cell r="U728"/>
          <cell r="V728"/>
          <cell r="W728"/>
          <cell r="X728"/>
        </row>
        <row r="729">
          <cell r="A729"/>
          <cell r="B729"/>
          <cell r="C729"/>
          <cell r="D729"/>
          <cell r="E729"/>
          <cell r="F729"/>
          <cell r="G729"/>
          <cell r="H729"/>
          <cell r="I729"/>
          <cell r="J729"/>
          <cell r="K729"/>
          <cell r="L729"/>
          <cell r="M729"/>
          <cell r="N729"/>
          <cell r="O729"/>
          <cell r="P729"/>
          <cell r="Q729"/>
          <cell r="R729"/>
          <cell r="S729"/>
          <cell r="T729"/>
          <cell r="U729"/>
          <cell r="V729"/>
          <cell r="W729"/>
          <cell r="X729"/>
        </row>
        <row r="730">
          <cell r="A730"/>
          <cell r="B730"/>
          <cell r="C730"/>
          <cell r="D730"/>
          <cell r="E730"/>
          <cell r="F730"/>
          <cell r="G730"/>
          <cell r="H730"/>
          <cell r="I730"/>
          <cell r="J730"/>
          <cell r="K730"/>
          <cell r="L730"/>
          <cell r="M730"/>
          <cell r="N730"/>
          <cell r="O730"/>
          <cell r="P730"/>
          <cell r="Q730"/>
          <cell r="R730"/>
          <cell r="S730"/>
          <cell r="T730"/>
          <cell r="U730"/>
          <cell r="V730"/>
          <cell r="W730"/>
          <cell r="X730"/>
        </row>
        <row r="731">
          <cell r="A731"/>
          <cell r="B731"/>
          <cell r="C731"/>
          <cell r="D731"/>
          <cell r="E731"/>
          <cell r="F731"/>
          <cell r="G731"/>
          <cell r="H731"/>
          <cell r="I731"/>
          <cell r="J731"/>
          <cell r="K731"/>
          <cell r="L731"/>
          <cell r="M731"/>
          <cell r="N731"/>
          <cell r="O731"/>
          <cell r="P731"/>
          <cell r="Q731"/>
          <cell r="R731"/>
          <cell r="S731"/>
          <cell r="T731"/>
          <cell r="U731"/>
          <cell r="V731"/>
          <cell r="W731"/>
          <cell r="X731"/>
        </row>
        <row r="732">
          <cell r="A732"/>
          <cell r="B732"/>
          <cell r="C732"/>
          <cell r="D732"/>
          <cell r="E732"/>
          <cell r="F732"/>
          <cell r="G732"/>
          <cell r="H732"/>
          <cell r="I732"/>
          <cell r="J732"/>
          <cell r="K732"/>
          <cell r="L732"/>
          <cell r="M732"/>
          <cell r="N732"/>
          <cell r="O732"/>
          <cell r="P732"/>
          <cell r="Q732"/>
          <cell r="R732"/>
          <cell r="S732"/>
          <cell r="T732"/>
          <cell r="U732"/>
          <cell r="V732"/>
          <cell r="W732"/>
          <cell r="X732"/>
        </row>
        <row r="733">
          <cell r="A733"/>
          <cell r="B733"/>
          <cell r="C733"/>
          <cell r="D733"/>
          <cell r="E733"/>
          <cell r="F733"/>
          <cell r="G733"/>
          <cell r="H733"/>
          <cell r="I733"/>
          <cell r="J733"/>
          <cell r="K733"/>
          <cell r="L733"/>
          <cell r="M733"/>
          <cell r="N733"/>
          <cell r="O733"/>
          <cell r="P733"/>
          <cell r="Q733"/>
          <cell r="R733"/>
          <cell r="S733"/>
          <cell r="T733"/>
          <cell r="U733"/>
          <cell r="V733"/>
          <cell r="W733"/>
          <cell r="X733"/>
        </row>
        <row r="734">
          <cell r="A734"/>
          <cell r="B734"/>
          <cell r="C734"/>
          <cell r="D734"/>
          <cell r="E734"/>
          <cell r="F734"/>
          <cell r="G734"/>
          <cell r="H734"/>
          <cell r="I734"/>
          <cell r="J734"/>
          <cell r="K734"/>
          <cell r="L734"/>
          <cell r="M734"/>
          <cell r="N734"/>
          <cell r="O734"/>
          <cell r="P734"/>
          <cell r="Q734"/>
          <cell r="R734"/>
          <cell r="S734"/>
          <cell r="T734"/>
          <cell r="U734"/>
          <cell r="V734"/>
          <cell r="W734"/>
          <cell r="X734"/>
        </row>
        <row r="735">
          <cell r="A735"/>
          <cell r="B735"/>
          <cell r="C735"/>
          <cell r="D735"/>
          <cell r="E735"/>
          <cell r="F735"/>
          <cell r="G735"/>
          <cell r="H735"/>
          <cell r="I735"/>
          <cell r="J735"/>
          <cell r="K735"/>
          <cell r="L735"/>
          <cell r="M735"/>
          <cell r="N735"/>
          <cell r="O735"/>
          <cell r="P735"/>
          <cell r="Q735"/>
          <cell r="R735"/>
          <cell r="S735"/>
          <cell r="T735"/>
          <cell r="U735"/>
          <cell r="V735"/>
          <cell r="W735"/>
          <cell r="X735"/>
        </row>
        <row r="736">
          <cell r="A736"/>
          <cell r="B736"/>
          <cell r="C736"/>
          <cell r="D736"/>
          <cell r="E736"/>
          <cell r="F736"/>
          <cell r="G736"/>
          <cell r="H736"/>
          <cell r="I736"/>
          <cell r="J736"/>
          <cell r="K736"/>
          <cell r="L736"/>
          <cell r="M736"/>
          <cell r="N736"/>
          <cell r="O736"/>
          <cell r="P736"/>
          <cell r="Q736"/>
          <cell r="R736"/>
          <cell r="S736"/>
          <cell r="T736"/>
          <cell r="U736"/>
          <cell r="V736"/>
          <cell r="W736"/>
          <cell r="X736"/>
        </row>
        <row r="737">
          <cell r="A737"/>
          <cell r="B737"/>
          <cell r="C737"/>
          <cell r="D737"/>
          <cell r="E737"/>
          <cell r="F737"/>
          <cell r="G737"/>
          <cell r="H737"/>
          <cell r="I737"/>
          <cell r="J737"/>
          <cell r="K737"/>
          <cell r="L737"/>
          <cell r="M737"/>
          <cell r="N737"/>
          <cell r="O737"/>
          <cell r="P737"/>
          <cell r="Q737"/>
          <cell r="R737"/>
          <cell r="S737"/>
          <cell r="T737"/>
          <cell r="U737"/>
          <cell r="V737"/>
          <cell r="W737"/>
          <cell r="X737"/>
        </row>
        <row r="738">
          <cell r="A738"/>
          <cell r="B738"/>
          <cell r="C738"/>
          <cell r="D738"/>
          <cell r="E738"/>
          <cell r="F738"/>
          <cell r="G738"/>
          <cell r="H738"/>
          <cell r="I738"/>
          <cell r="J738"/>
          <cell r="K738"/>
          <cell r="L738"/>
          <cell r="M738"/>
          <cell r="N738"/>
          <cell r="O738"/>
          <cell r="P738"/>
          <cell r="Q738"/>
          <cell r="R738"/>
          <cell r="S738"/>
          <cell r="T738"/>
          <cell r="U738"/>
          <cell r="V738"/>
          <cell r="W738"/>
          <cell r="X738"/>
        </row>
        <row r="739">
          <cell r="A739"/>
          <cell r="B739"/>
          <cell r="C739"/>
          <cell r="D739"/>
          <cell r="E739"/>
          <cell r="F739"/>
          <cell r="G739"/>
          <cell r="H739"/>
          <cell r="I739"/>
          <cell r="J739"/>
          <cell r="K739"/>
          <cell r="L739"/>
          <cell r="M739"/>
          <cell r="N739"/>
          <cell r="O739"/>
          <cell r="P739"/>
          <cell r="Q739"/>
          <cell r="R739"/>
          <cell r="S739"/>
          <cell r="T739"/>
          <cell r="U739"/>
          <cell r="V739"/>
          <cell r="W739"/>
          <cell r="X739"/>
        </row>
        <row r="740">
          <cell r="A740"/>
          <cell r="B740"/>
          <cell r="C740"/>
          <cell r="D740"/>
          <cell r="E740"/>
          <cell r="F740"/>
          <cell r="G740"/>
          <cell r="H740"/>
          <cell r="I740"/>
          <cell r="J740"/>
          <cell r="K740"/>
          <cell r="L740"/>
          <cell r="M740"/>
          <cell r="N740"/>
          <cell r="O740"/>
          <cell r="P740"/>
          <cell r="Q740"/>
          <cell r="R740"/>
          <cell r="S740"/>
          <cell r="T740"/>
          <cell r="U740"/>
          <cell r="V740"/>
          <cell r="W740"/>
          <cell r="X740"/>
        </row>
        <row r="741">
          <cell r="A741"/>
          <cell r="B741"/>
          <cell r="C741"/>
          <cell r="D741"/>
          <cell r="E741"/>
          <cell r="F741"/>
          <cell r="G741"/>
          <cell r="H741"/>
          <cell r="I741"/>
          <cell r="J741"/>
          <cell r="K741"/>
          <cell r="L741"/>
          <cell r="M741"/>
          <cell r="N741"/>
          <cell r="O741"/>
          <cell r="P741"/>
          <cell r="Q741"/>
          <cell r="R741"/>
          <cell r="S741"/>
          <cell r="T741"/>
          <cell r="U741"/>
          <cell r="V741"/>
          <cell r="W741"/>
          <cell r="X741"/>
        </row>
        <row r="742">
          <cell r="A742"/>
          <cell r="B742"/>
          <cell r="C742"/>
          <cell r="D742"/>
          <cell r="E742"/>
          <cell r="F742"/>
          <cell r="G742"/>
          <cell r="H742"/>
          <cell r="I742"/>
          <cell r="J742"/>
          <cell r="K742"/>
          <cell r="L742"/>
          <cell r="M742"/>
          <cell r="N742"/>
          <cell r="O742"/>
          <cell r="P742"/>
          <cell r="Q742"/>
          <cell r="R742"/>
          <cell r="S742"/>
          <cell r="T742"/>
          <cell r="U742"/>
          <cell r="V742"/>
          <cell r="W742"/>
          <cell r="X742"/>
        </row>
        <row r="743">
          <cell r="A743"/>
          <cell r="B743"/>
          <cell r="C743"/>
          <cell r="D743"/>
          <cell r="E743"/>
          <cell r="F743"/>
          <cell r="G743"/>
          <cell r="H743"/>
          <cell r="I743"/>
          <cell r="J743"/>
          <cell r="K743"/>
          <cell r="L743"/>
          <cell r="M743"/>
          <cell r="N743"/>
          <cell r="O743"/>
          <cell r="P743"/>
          <cell r="Q743"/>
          <cell r="R743"/>
          <cell r="S743"/>
          <cell r="T743"/>
          <cell r="U743"/>
          <cell r="V743"/>
          <cell r="W743"/>
          <cell r="X743"/>
        </row>
        <row r="744">
          <cell r="A744"/>
          <cell r="B744"/>
          <cell r="C744"/>
          <cell r="D744"/>
          <cell r="E744"/>
          <cell r="F744"/>
          <cell r="G744"/>
          <cell r="H744"/>
          <cell r="I744"/>
          <cell r="J744"/>
          <cell r="K744"/>
          <cell r="L744"/>
          <cell r="M744"/>
          <cell r="N744"/>
          <cell r="O744"/>
          <cell r="P744"/>
          <cell r="Q744"/>
          <cell r="R744"/>
          <cell r="S744"/>
          <cell r="T744"/>
          <cell r="U744"/>
          <cell r="V744"/>
          <cell r="W744"/>
          <cell r="X744"/>
        </row>
        <row r="745">
          <cell r="A745"/>
          <cell r="B745"/>
          <cell r="C745"/>
          <cell r="D745"/>
          <cell r="E745"/>
          <cell r="F745"/>
          <cell r="G745"/>
          <cell r="H745"/>
          <cell r="I745"/>
          <cell r="J745"/>
          <cell r="K745"/>
          <cell r="L745"/>
          <cell r="M745"/>
          <cell r="N745"/>
          <cell r="O745"/>
          <cell r="P745"/>
          <cell r="Q745"/>
          <cell r="R745"/>
          <cell r="S745"/>
          <cell r="T745"/>
          <cell r="U745"/>
          <cell r="V745"/>
          <cell r="W745"/>
          <cell r="X745"/>
        </row>
        <row r="746">
          <cell r="A746"/>
          <cell r="B746"/>
          <cell r="C746"/>
          <cell r="D746"/>
          <cell r="E746"/>
          <cell r="F746"/>
          <cell r="G746"/>
          <cell r="H746"/>
          <cell r="I746"/>
          <cell r="J746"/>
          <cell r="K746"/>
          <cell r="L746"/>
          <cell r="M746"/>
          <cell r="N746"/>
          <cell r="O746"/>
          <cell r="P746"/>
          <cell r="Q746"/>
          <cell r="R746"/>
          <cell r="S746"/>
          <cell r="T746"/>
          <cell r="U746"/>
          <cell r="V746"/>
          <cell r="W746"/>
          <cell r="X746"/>
        </row>
        <row r="747">
          <cell r="A747"/>
          <cell r="B747"/>
          <cell r="C747"/>
          <cell r="D747"/>
          <cell r="E747"/>
          <cell r="F747"/>
          <cell r="G747"/>
          <cell r="H747"/>
          <cell r="I747"/>
          <cell r="J747"/>
          <cell r="K747"/>
          <cell r="L747"/>
          <cell r="M747"/>
          <cell r="N747"/>
          <cell r="O747"/>
          <cell r="P747"/>
          <cell r="Q747"/>
          <cell r="R747"/>
          <cell r="S747"/>
          <cell r="T747"/>
          <cell r="U747"/>
          <cell r="V747"/>
          <cell r="W747"/>
          <cell r="X747"/>
        </row>
        <row r="748">
          <cell r="A748"/>
          <cell r="B748"/>
          <cell r="C748"/>
          <cell r="D748"/>
          <cell r="E748"/>
          <cell r="F748"/>
          <cell r="G748"/>
          <cell r="H748"/>
          <cell r="I748"/>
          <cell r="J748"/>
          <cell r="K748"/>
          <cell r="L748"/>
          <cell r="M748"/>
          <cell r="N748"/>
          <cell r="O748"/>
          <cell r="P748"/>
          <cell r="Q748"/>
          <cell r="R748"/>
          <cell r="S748"/>
          <cell r="T748"/>
          <cell r="U748"/>
          <cell r="V748"/>
          <cell r="W748"/>
          <cell r="X748"/>
        </row>
        <row r="749">
          <cell r="A749"/>
          <cell r="B749"/>
          <cell r="C749"/>
          <cell r="D749"/>
          <cell r="E749"/>
          <cell r="F749"/>
          <cell r="G749"/>
          <cell r="H749"/>
          <cell r="I749"/>
          <cell r="J749"/>
          <cell r="K749"/>
          <cell r="L749"/>
          <cell r="M749"/>
          <cell r="N749"/>
          <cell r="O749"/>
          <cell r="P749"/>
          <cell r="Q749"/>
          <cell r="R749"/>
          <cell r="S749"/>
          <cell r="T749"/>
          <cell r="U749"/>
          <cell r="V749"/>
          <cell r="W749"/>
          <cell r="X749"/>
        </row>
        <row r="750">
          <cell r="A750"/>
          <cell r="B750"/>
          <cell r="C750"/>
          <cell r="D750"/>
          <cell r="E750"/>
          <cell r="F750"/>
          <cell r="G750"/>
          <cell r="H750"/>
          <cell r="I750"/>
          <cell r="J750"/>
          <cell r="K750"/>
          <cell r="L750"/>
          <cell r="M750"/>
          <cell r="N750"/>
          <cell r="O750"/>
          <cell r="P750"/>
          <cell r="Q750"/>
          <cell r="R750"/>
          <cell r="S750"/>
          <cell r="T750"/>
          <cell r="U750"/>
          <cell r="V750"/>
          <cell r="W750"/>
          <cell r="X750"/>
        </row>
        <row r="751">
          <cell r="A751"/>
          <cell r="B751"/>
          <cell r="C751"/>
          <cell r="D751"/>
          <cell r="E751"/>
          <cell r="F751"/>
          <cell r="G751"/>
          <cell r="H751"/>
          <cell r="I751"/>
          <cell r="J751"/>
          <cell r="K751"/>
          <cell r="L751"/>
          <cell r="M751"/>
          <cell r="N751"/>
          <cell r="O751"/>
          <cell r="P751"/>
          <cell r="Q751"/>
          <cell r="R751"/>
          <cell r="S751"/>
          <cell r="T751"/>
          <cell r="U751"/>
          <cell r="V751"/>
          <cell r="W751"/>
          <cell r="X751"/>
        </row>
        <row r="752">
          <cell r="A752"/>
          <cell r="B752"/>
          <cell r="C752"/>
          <cell r="D752"/>
          <cell r="E752"/>
          <cell r="F752"/>
          <cell r="G752"/>
          <cell r="H752"/>
          <cell r="I752"/>
          <cell r="J752"/>
          <cell r="K752"/>
          <cell r="L752"/>
          <cell r="M752"/>
          <cell r="N752"/>
          <cell r="O752"/>
          <cell r="P752"/>
          <cell r="Q752"/>
          <cell r="R752"/>
          <cell r="S752"/>
          <cell r="T752"/>
          <cell r="U752"/>
          <cell r="V752"/>
          <cell r="W752"/>
          <cell r="X752"/>
        </row>
        <row r="753">
          <cell r="A753"/>
          <cell r="B753"/>
          <cell r="C753"/>
          <cell r="D753"/>
          <cell r="E753"/>
          <cell r="F753"/>
          <cell r="G753"/>
          <cell r="H753"/>
          <cell r="I753"/>
          <cell r="J753"/>
          <cell r="K753"/>
          <cell r="L753"/>
          <cell r="M753"/>
          <cell r="N753"/>
          <cell r="O753"/>
          <cell r="P753"/>
          <cell r="Q753"/>
          <cell r="R753"/>
          <cell r="S753"/>
          <cell r="T753"/>
          <cell r="U753"/>
          <cell r="V753"/>
          <cell r="W753"/>
          <cell r="X753"/>
        </row>
        <row r="754">
          <cell r="A754"/>
          <cell r="B754"/>
          <cell r="C754"/>
          <cell r="D754"/>
          <cell r="E754"/>
          <cell r="F754"/>
          <cell r="G754"/>
          <cell r="H754"/>
          <cell r="I754"/>
          <cell r="J754"/>
          <cell r="K754"/>
          <cell r="L754"/>
          <cell r="M754"/>
          <cell r="N754"/>
          <cell r="O754"/>
          <cell r="P754"/>
          <cell r="Q754"/>
          <cell r="R754"/>
          <cell r="S754"/>
          <cell r="T754"/>
          <cell r="U754"/>
          <cell r="V754"/>
          <cell r="W754"/>
          <cell r="X754"/>
        </row>
        <row r="755">
          <cell r="A755"/>
          <cell r="B755"/>
          <cell r="C755"/>
          <cell r="D755"/>
          <cell r="E755"/>
          <cell r="F755"/>
          <cell r="G755"/>
          <cell r="H755"/>
          <cell r="I755"/>
          <cell r="J755"/>
          <cell r="K755"/>
          <cell r="L755"/>
          <cell r="M755"/>
          <cell r="N755"/>
          <cell r="O755"/>
          <cell r="P755"/>
          <cell r="Q755"/>
          <cell r="R755"/>
          <cell r="S755"/>
          <cell r="T755"/>
          <cell r="U755"/>
          <cell r="V755"/>
          <cell r="W755"/>
          <cell r="X755"/>
        </row>
        <row r="756">
          <cell r="A756"/>
          <cell r="B756"/>
          <cell r="C756"/>
          <cell r="D756"/>
          <cell r="E756"/>
          <cell r="F756"/>
          <cell r="G756"/>
          <cell r="H756"/>
          <cell r="I756"/>
          <cell r="J756"/>
          <cell r="K756"/>
          <cell r="L756"/>
          <cell r="M756"/>
          <cell r="N756"/>
          <cell r="O756"/>
          <cell r="P756"/>
          <cell r="Q756"/>
          <cell r="R756"/>
          <cell r="S756"/>
          <cell r="T756"/>
          <cell r="U756"/>
          <cell r="V756"/>
          <cell r="W756"/>
          <cell r="X756"/>
        </row>
        <row r="757">
          <cell r="A757"/>
          <cell r="B757"/>
          <cell r="C757"/>
          <cell r="D757"/>
          <cell r="E757"/>
          <cell r="F757"/>
          <cell r="G757"/>
          <cell r="H757"/>
          <cell r="I757"/>
          <cell r="J757"/>
          <cell r="K757"/>
          <cell r="L757"/>
          <cell r="M757"/>
          <cell r="N757"/>
          <cell r="O757"/>
          <cell r="P757"/>
          <cell r="Q757"/>
          <cell r="R757"/>
          <cell r="S757"/>
          <cell r="T757"/>
          <cell r="U757"/>
          <cell r="V757"/>
          <cell r="W757"/>
          <cell r="X757"/>
        </row>
        <row r="758">
          <cell r="A758"/>
          <cell r="B758"/>
          <cell r="C758"/>
          <cell r="D758"/>
          <cell r="E758"/>
          <cell r="F758"/>
          <cell r="G758"/>
          <cell r="H758"/>
          <cell r="I758"/>
          <cell r="J758"/>
          <cell r="K758"/>
          <cell r="L758"/>
          <cell r="M758"/>
          <cell r="N758"/>
          <cell r="O758"/>
          <cell r="P758"/>
          <cell r="Q758"/>
          <cell r="R758"/>
          <cell r="S758"/>
          <cell r="T758"/>
          <cell r="U758"/>
          <cell r="V758"/>
          <cell r="W758"/>
          <cell r="X758"/>
        </row>
        <row r="759">
          <cell r="A759"/>
          <cell r="B759"/>
          <cell r="C759"/>
          <cell r="D759"/>
          <cell r="E759"/>
          <cell r="F759"/>
          <cell r="G759"/>
          <cell r="H759"/>
          <cell r="I759"/>
          <cell r="J759"/>
          <cell r="K759"/>
          <cell r="L759"/>
          <cell r="M759"/>
          <cell r="N759"/>
          <cell r="O759"/>
          <cell r="P759"/>
          <cell r="Q759"/>
          <cell r="R759"/>
          <cell r="S759"/>
          <cell r="T759"/>
          <cell r="U759"/>
          <cell r="V759"/>
          <cell r="W759"/>
          <cell r="X759"/>
        </row>
        <row r="760">
          <cell r="A760"/>
          <cell r="B760"/>
          <cell r="C760"/>
          <cell r="D760"/>
          <cell r="E760"/>
          <cell r="F760"/>
          <cell r="G760"/>
          <cell r="H760"/>
          <cell r="I760"/>
          <cell r="J760"/>
          <cell r="K760"/>
          <cell r="L760"/>
          <cell r="M760"/>
          <cell r="N760"/>
          <cell r="O760"/>
          <cell r="P760"/>
          <cell r="Q760"/>
          <cell r="R760"/>
          <cell r="S760"/>
          <cell r="T760"/>
          <cell r="U760"/>
          <cell r="V760"/>
          <cell r="W760"/>
          <cell r="X760"/>
        </row>
        <row r="761">
          <cell r="A761"/>
          <cell r="B761"/>
          <cell r="C761"/>
          <cell r="D761"/>
          <cell r="E761"/>
          <cell r="F761"/>
          <cell r="G761"/>
          <cell r="H761"/>
          <cell r="I761"/>
          <cell r="J761"/>
          <cell r="K761"/>
          <cell r="L761"/>
          <cell r="M761"/>
          <cell r="N761"/>
          <cell r="O761"/>
          <cell r="P761"/>
          <cell r="Q761"/>
          <cell r="R761"/>
          <cell r="S761"/>
          <cell r="T761"/>
          <cell r="U761"/>
          <cell r="V761"/>
          <cell r="W761"/>
          <cell r="X761"/>
        </row>
        <row r="762">
          <cell r="A762"/>
          <cell r="B762"/>
          <cell r="C762"/>
          <cell r="D762"/>
          <cell r="E762"/>
          <cell r="F762"/>
          <cell r="G762"/>
          <cell r="H762"/>
          <cell r="I762"/>
          <cell r="J762"/>
          <cell r="K762"/>
          <cell r="L762"/>
          <cell r="M762"/>
          <cell r="N762"/>
          <cell r="O762"/>
          <cell r="P762"/>
          <cell r="Q762"/>
          <cell r="R762"/>
          <cell r="S762"/>
          <cell r="T762"/>
          <cell r="U762"/>
          <cell r="V762"/>
          <cell r="W762"/>
          <cell r="X762"/>
        </row>
        <row r="763">
          <cell r="A763"/>
          <cell r="B763"/>
          <cell r="C763"/>
          <cell r="D763"/>
          <cell r="E763"/>
          <cell r="F763"/>
          <cell r="G763"/>
          <cell r="H763"/>
          <cell r="I763"/>
          <cell r="J763"/>
          <cell r="K763"/>
          <cell r="L763"/>
          <cell r="M763"/>
          <cell r="N763"/>
          <cell r="O763"/>
          <cell r="P763"/>
          <cell r="Q763"/>
          <cell r="R763"/>
          <cell r="S763"/>
          <cell r="T763"/>
          <cell r="U763"/>
          <cell r="V763"/>
          <cell r="W763"/>
          <cell r="X763"/>
        </row>
        <row r="764">
          <cell r="A764"/>
          <cell r="B764"/>
          <cell r="C764"/>
          <cell r="D764"/>
          <cell r="E764"/>
          <cell r="F764"/>
          <cell r="G764"/>
          <cell r="H764"/>
          <cell r="I764"/>
          <cell r="J764"/>
          <cell r="K764"/>
          <cell r="L764"/>
          <cell r="M764"/>
          <cell r="N764"/>
          <cell r="O764"/>
          <cell r="P764"/>
          <cell r="Q764"/>
          <cell r="R764"/>
          <cell r="S764"/>
          <cell r="T764"/>
          <cell r="U764"/>
          <cell r="V764"/>
          <cell r="W764"/>
          <cell r="X764"/>
        </row>
        <row r="765">
          <cell r="A765"/>
          <cell r="B765"/>
          <cell r="C765"/>
          <cell r="D765"/>
          <cell r="E765"/>
          <cell r="F765"/>
          <cell r="G765"/>
          <cell r="H765"/>
          <cell r="I765"/>
          <cell r="J765"/>
          <cell r="K765"/>
          <cell r="L765"/>
          <cell r="M765"/>
          <cell r="N765"/>
          <cell r="O765"/>
          <cell r="P765"/>
          <cell r="Q765"/>
          <cell r="R765"/>
          <cell r="S765"/>
          <cell r="T765"/>
          <cell r="U765"/>
          <cell r="V765"/>
          <cell r="W765"/>
          <cell r="X765"/>
        </row>
        <row r="766">
          <cell r="A766"/>
          <cell r="B766"/>
          <cell r="C766"/>
          <cell r="D766"/>
          <cell r="E766"/>
          <cell r="F766"/>
          <cell r="G766"/>
          <cell r="H766"/>
          <cell r="I766"/>
          <cell r="J766"/>
          <cell r="K766"/>
          <cell r="L766"/>
          <cell r="M766"/>
          <cell r="N766"/>
          <cell r="O766"/>
          <cell r="P766"/>
          <cell r="Q766"/>
          <cell r="R766"/>
          <cell r="S766"/>
          <cell r="T766"/>
          <cell r="U766"/>
          <cell r="V766"/>
          <cell r="W766"/>
          <cell r="X766"/>
        </row>
        <row r="767">
          <cell r="A767"/>
          <cell r="B767"/>
          <cell r="C767"/>
          <cell r="D767"/>
          <cell r="E767"/>
          <cell r="F767"/>
          <cell r="G767"/>
          <cell r="H767"/>
          <cell r="I767"/>
          <cell r="J767"/>
          <cell r="K767"/>
          <cell r="L767"/>
          <cell r="M767"/>
          <cell r="N767"/>
          <cell r="O767"/>
          <cell r="P767"/>
          <cell r="Q767"/>
          <cell r="R767"/>
          <cell r="S767"/>
          <cell r="T767"/>
          <cell r="U767"/>
          <cell r="V767"/>
          <cell r="W767"/>
          <cell r="X767"/>
        </row>
        <row r="768">
          <cell r="A768"/>
          <cell r="B768"/>
          <cell r="C768"/>
          <cell r="D768"/>
          <cell r="E768"/>
          <cell r="F768"/>
          <cell r="G768"/>
          <cell r="H768"/>
          <cell r="I768"/>
          <cell r="J768"/>
          <cell r="K768"/>
          <cell r="L768"/>
          <cell r="M768"/>
          <cell r="N768"/>
          <cell r="O768"/>
          <cell r="P768"/>
          <cell r="Q768"/>
          <cell r="R768"/>
          <cell r="S768"/>
          <cell r="T768"/>
          <cell r="U768"/>
          <cell r="V768"/>
          <cell r="W768"/>
          <cell r="X768"/>
        </row>
        <row r="769">
          <cell r="A769"/>
          <cell r="B769"/>
          <cell r="C769"/>
          <cell r="D769"/>
          <cell r="E769"/>
          <cell r="F769"/>
          <cell r="G769"/>
          <cell r="H769"/>
          <cell r="I769"/>
          <cell r="J769"/>
          <cell r="K769"/>
          <cell r="L769"/>
          <cell r="M769"/>
          <cell r="N769"/>
          <cell r="O769"/>
          <cell r="P769"/>
          <cell r="Q769"/>
          <cell r="R769"/>
          <cell r="S769"/>
          <cell r="T769"/>
          <cell r="U769"/>
          <cell r="V769"/>
          <cell r="W769"/>
          <cell r="X769"/>
        </row>
        <row r="770">
          <cell r="A770"/>
          <cell r="B770"/>
          <cell r="C770"/>
          <cell r="D770"/>
          <cell r="E770"/>
          <cell r="F770"/>
          <cell r="G770"/>
          <cell r="H770"/>
          <cell r="I770"/>
          <cell r="J770"/>
          <cell r="K770"/>
          <cell r="L770"/>
          <cell r="M770"/>
          <cell r="N770"/>
          <cell r="O770"/>
          <cell r="P770"/>
          <cell r="Q770"/>
          <cell r="R770"/>
          <cell r="S770"/>
          <cell r="T770"/>
          <cell r="U770"/>
          <cell r="V770"/>
          <cell r="W770"/>
          <cell r="X770"/>
        </row>
        <row r="771">
          <cell r="A771"/>
          <cell r="B771"/>
          <cell r="C771"/>
          <cell r="D771"/>
          <cell r="E771"/>
          <cell r="F771"/>
          <cell r="G771"/>
          <cell r="H771"/>
          <cell r="I771"/>
          <cell r="J771"/>
          <cell r="K771"/>
          <cell r="L771"/>
          <cell r="M771"/>
          <cell r="N771"/>
          <cell r="O771"/>
          <cell r="P771"/>
          <cell r="Q771"/>
          <cell r="R771"/>
          <cell r="S771"/>
          <cell r="T771"/>
          <cell r="U771"/>
          <cell r="V771"/>
          <cell r="W771"/>
          <cell r="X771"/>
        </row>
        <row r="772">
          <cell r="A772"/>
          <cell r="B772"/>
          <cell r="C772"/>
          <cell r="D772"/>
          <cell r="E772"/>
          <cell r="F772"/>
          <cell r="G772"/>
          <cell r="H772"/>
          <cell r="I772"/>
          <cell r="J772"/>
          <cell r="K772"/>
          <cell r="L772"/>
          <cell r="M772"/>
          <cell r="N772"/>
          <cell r="O772"/>
          <cell r="P772"/>
          <cell r="Q772"/>
          <cell r="R772"/>
          <cell r="S772"/>
          <cell r="T772"/>
          <cell r="U772"/>
          <cell r="V772"/>
          <cell r="W772"/>
          <cell r="X772"/>
        </row>
        <row r="773">
          <cell r="A773"/>
          <cell r="B773"/>
          <cell r="C773"/>
          <cell r="D773"/>
          <cell r="E773"/>
          <cell r="F773"/>
          <cell r="G773"/>
          <cell r="H773"/>
          <cell r="I773"/>
          <cell r="J773"/>
          <cell r="K773"/>
          <cell r="L773"/>
          <cell r="M773"/>
          <cell r="N773"/>
          <cell r="O773"/>
          <cell r="P773"/>
          <cell r="Q773"/>
          <cell r="R773"/>
          <cell r="S773"/>
          <cell r="T773"/>
          <cell r="U773"/>
          <cell r="V773"/>
          <cell r="W773"/>
          <cell r="X773"/>
        </row>
        <row r="774">
          <cell r="A774"/>
          <cell r="B774"/>
          <cell r="C774"/>
          <cell r="D774"/>
          <cell r="E774"/>
          <cell r="F774"/>
          <cell r="G774"/>
          <cell r="H774"/>
          <cell r="I774"/>
          <cell r="J774"/>
          <cell r="K774"/>
          <cell r="L774"/>
          <cell r="M774"/>
          <cell r="N774"/>
          <cell r="O774"/>
          <cell r="P774"/>
          <cell r="Q774"/>
          <cell r="R774"/>
          <cell r="S774"/>
          <cell r="T774"/>
          <cell r="U774"/>
          <cell r="V774"/>
          <cell r="W774"/>
          <cell r="X774"/>
        </row>
        <row r="775">
          <cell r="A775"/>
          <cell r="B775"/>
          <cell r="C775"/>
          <cell r="D775"/>
          <cell r="E775"/>
          <cell r="F775"/>
          <cell r="G775"/>
          <cell r="H775"/>
          <cell r="I775"/>
          <cell r="J775"/>
          <cell r="K775"/>
          <cell r="L775"/>
          <cell r="M775"/>
          <cell r="N775"/>
          <cell r="O775"/>
          <cell r="P775"/>
          <cell r="Q775"/>
          <cell r="R775"/>
          <cell r="S775"/>
          <cell r="T775"/>
          <cell r="U775"/>
          <cell r="V775"/>
          <cell r="W775"/>
          <cell r="X775"/>
        </row>
        <row r="776">
          <cell r="A776"/>
          <cell r="B776"/>
          <cell r="C776"/>
          <cell r="D776"/>
          <cell r="E776"/>
          <cell r="F776"/>
          <cell r="G776"/>
          <cell r="H776"/>
          <cell r="I776"/>
          <cell r="J776"/>
          <cell r="K776"/>
          <cell r="L776"/>
          <cell r="M776"/>
          <cell r="N776"/>
          <cell r="O776"/>
          <cell r="P776"/>
          <cell r="Q776"/>
          <cell r="R776"/>
          <cell r="S776"/>
          <cell r="T776"/>
          <cell r="U776"/>
          <cell r="V776"/>
          <cell r="W776"/>
          <cell r="X776"/>
        </row>
        <row r="777">
          <cell r="A777"/>
          <cell r="B777"/>
          <cell r="C777"/>
          <cell r="D777"/>
          <cell r="E777"/>
          <cell r="F777"/>
          <cell r="G777"/>
          <cell r="H777"/>
          <cell r="I777"/>
          <cell r="J777"/>
          <cell r="K777"/>
          <cell r="L777"/>
          <cell r="M777"/>
          <cell r="N777"/>
          <cell r="O777"/>
          <cell r="P777"/>
          <cell r="Q777"/>
          <cell r="R777"/>
          <cell r="S777"/>
          <cell r="T777"/>
          <cell r="U777"/>
          <cell r="V777"/>
          <cell r="W777"/>
          <cell r="X777"/>
        </row>
        <row r="778">
          <cell r="A778"/>
          <cell r="B778"/>
          <cell r="C778"/>
          <cell r="D778"/>
          <cell r="E778"/>
          <cell r="F778"/>
          <cell r="G778"/>
          <cell r="H778"/>
          <cell r="I778"/>
          <cell r="J778"/>
          <cell r="K778"/>
          <cell r="L778"/>
          <cell r="M778"/>
          <cell r="N778"/>
          <cell r="O778"/>
          <cell r="P778"/>
          <cell r="Q778"/>
          <cell r="R778"/>
          <cell r="S778"/>
          <cell r="T778"/>
          <cell r="U778"/>
          <cell r="V778"/>
          <cell r="W778"/>
          <cell r="X778"/>
        </row>
        <row r="779">
          <cell r="A779"/>
          <cell r="B779"/>
          <cell r="C779"/>
          <cell r="D779"/>
          <cell r="E779"/>
          <cell r="F779"/>
          <cell r="G779"/>
          <cell r="H779"/>
          <cell r="I779"/>
          <cell r="J779"/>
          <cell r="K779"/>
          <cell r="L779"/>
          <cell r="M779"/>
          <cell r="N779"/>
          <cell r="O779"/>
          <cell r="P779"/>
          <cell r="Q779"/>
          <cell r="R779"/>
          <cell r="S779"/>
          <cell r="T779"/>
          <cell r="U779"/>
          <cell r="V779"/>
          <cell r="W779"/>
          <cell r="X779"/>
        </row>
        <row r="780">
          <cell r="A780"/>
          <cell r="B780"/>
          <cell r="C780"/>
          <cell r="D780"/>
          <cell r="E780"/>
          <cell r="F780"/>
          <cell r="G780"/>
          <cell r="H780"/>
          <cell r="I780"/>
          <cell r="J780"/>
          <cell r="K780"/>
          <cell r="L780"/>
          <cell r="M780"/>
          <cell r="N780"/>
          <cell r="O780"/>
          <cell r="P780"/>
          <cell r="Q780"/>
          <cell r="R780"/>
          <cell r="S780"/>
          <cell r="T780"/>
          <cell r="U780"/>
          <cell r="V780"/>
          <cell r="W780"/>
          <cell r="X780"/>
        </row>
        <row r="781">
          <cell r="A781"/>
          <cell r="B781"/>
          <cell r="C781"/>
          <cell r="D781"/>
          <cell r="E781"/>
          <cell r="F781"/>
          <cell r="G781"/>
          <cell r="H781"/>
          <cell r="I781"/>
          <cell r="J781"/>
          <cell r="K781"/>
          <cell r="L781"/>
          <cell r="M781"/>
          <cell r="N781"/>
          <cell r="O781"/>
          <cell r="P781"/>
          <cell r="Q781"/>
          <cell r="R781"/>
          <cell r="S781"/>
          <cell r="T781"/>
          <cell r="U781"/>
          <cell r="V781"/>
          <cell r="W781"/>
          <cell r="X781"/>
        </row>
        <row r="782">
          <cell r="A782"/>
          <cell r="B782"/>
          <cell r="C782"/>
          <cell r="D782"/>
          <cell r="E782"/>
          <cell r="F782"/>
          <cell r="G782"/>
          <cell r="H782"/>
          <cell r="I782"/>
          <cell r="J782"/>
          <cell r="K782"/>
          <cell r="L782"/>
          <cell r="M782"/>
          <cell r="N782"/>
          <cell r="O782"/>
          <cell r="P782"/>
          <cell r="Q782"/>
          <cell r="R782"/>
          <cell r="S782"/>
          <cell r="T782"/>
          <cell r="U782"/>
          <cell r="V782"/>
          <cell r="W782"/>
          <cell r="X782"/>
        </row>
        <row r="783">
          <cell r="A783"/>
          <cell r="B783"/>
          <cell r="C783"/>
          <cell r="D783"/>
          <cell r="E783"/>
          <cell r="F783"/>
          <cell r="G783"/>
          <cell r="H783"/>
          <cell r="I783"/>
          <cell r="J783"/>
          <cell r="K783"/>
          <cell r="L783"/>
          <cell r="M783"/>
          <cell r="N783"/>
          <cell r="O783"/>
          <cell r="P783"/>
          <cell r="Q783"/>
          <cell r="R783"/>
          <cell r="S783"/>
          <cell r="T783"/>
          <cell r="U783"/>
          <cell r="V783"/>
          <cell r="W783"/>
          <cell r="X783"/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製品マスタ"/>
      <sheetName val="契約台帳"/>
      <sheetName val="S4"/>
      <sheetName val="S5"/>
    </sheetNames>
    <sheetDataSet>
      <sheetData sheetId="0" refreshError="1">
        <row r="5">
          <cell r="G5" t="str">
            <v>3SNCERABKE09</v>
          </cell>
          <cell r="H5" t="str">
            <v>S</v>
          </cell>
          <cell r="I5" t="str">
            <v>N</v>
          </cell>
          <cell r="J5" t="str">
            <v>CERA</v>
          </cell>
          <cell r="K5" t="str">
            <v>BKE09</v>
          </cell>
          <cell r="L5" t="str">
            <v>セラピール　ＢＫＥ（０９）</v>
          </cell>
          <cell r="M5" t="str">
            <v>3SNCERABKE09381037</v>
          </cell>
          <cell r="N5" t="str">
            <v>3SNCERABKE09381030</v>
          </cell>
          <cell r="O5">
            <v>38</v>
          </cell>
          <cell r="P5">
            <v>3</v>
          </cell>
          <cell r="Q5" t="str">
            <v>XD500P</v>
          </cell>
          <cell r="R5">
            <v>1037</v>
          </cell>
          <cell r="S5">
            <v>8450</v>
          </cell>
          <cell r="T5">
            <v>1037</v>
          </cell>
          <cell r="U5">
            <v>1030</v>
          </cell>
          <cell r="V5">
            <v>8400</v>
          </cell>
          <cell r="W5">
            <v>2</v>
          </cell>
          <cell r="X5" t="str">
            <v>CF2</v>
          </cell>
          <cell r="Y5" t="str">
            <v>直出し</v>
          </cell>
          <cell r="Z5">
            <v>6</v>
          </cell>
          <cell r="AA5" t="str">
            <v>6ｲﾝﾁFWP</v>
          </cell>
          <cell r="AB5">
            <v>1450</v>
          </cell>
          <cell r="AO5" t="str">
            <v>3SNCERABKE0938</v>
          </cell>
        </row>
        <row r="6">
          <cell r="G6" t="str">
            <v>3SYCERABKE09</v>
          </cell>
          <cell r="H6" t="str">
            <v>S</v>
          </cell>
          <cell r="I6" t="str">
            <v>Y</v>
          </cell>
          <cell r="J6" t="str">
            <v>CERA</v>
          </cell>
          <cell r="K6" t="str">
            <v>BKE09</v>
          </cell>
          <cell r="L6" t="str">
            <v>セラピール　ＢＫＥ（０９）</v>
          </cell>
          <cell r="M6" t="str">
            <v>3SYCERABKE09381037</v>
          </cell>
          <cell r="N6" t="str">
            <v>3SYCERABKE09381030</v>
          </cell>
          <cell r="O6">
            <v>38</v>
          </cell>
          <cell r="P6">
            <v>3</v>
          </cell>
          <cell r="Q6" t="str">
            <v>XD500P</v>
          </cell>
          <cell r="R6">
            <v>1037</v>
          </cell>
          <cell r="S6">
            <v>8550</v>
          </cell>
          <cell r="T6">
            <v>1037</v>
          </cell>
          <cell r="U6">
            <v>1030</v>
          </cell>
          <cell r="V6">
            <v>8500</v>
          </cell>
          <cell r="W6">
            <v>2</v>
          </cell>
          <cell r="X6" t="str">
            <v>CF2</v>
          </cell>
          <cell r="Y6" t="str">
            <v>直出し</v>
          </cell>
          <cell r="Z6">
            <v>6</v>
          </cell>
          <cell r="AA6" t="str">
            <v>6ｲﾝﾁABS</v>
          </cell>
          <cell r="AB6">
            <v>1170</v>
          </cell>
          <cell r="AO6" t="str">
            <v>3SYCERABKE0938</v>
          </cell>
        </row>
        <row r="7">
          <cell r="G7" t="str">
            <v>3SNCERABKE09</v>
          </cell>
          <cell r="H7" t="str">
            <v>S</v>
          </cell>
          <cell r="I7" t="str">
            <v>N</v>
          </cell>
          <cell r="J7" t="str">
            <v>CERA</v>
          </cell>
          <cell r="K7" t="str">
            <v>BKE09</v>
          </cell>
          <cell r="L7" t="str">
            <v>セラピール　ＢＫＥ（０９）</v>
          </cell>
          <cell r="M7" t="str">
            <v>3SNCERABKE09381057</v>
          </cell>
          <cell r="N7" t="str">
            <v>3SNCERABKE09381050</v>
          </cell>
          <cell r="O7">
            <v>38</v>
          </cell>
          <cell r="P7">
            <v>3</v>
          </cell>
          <cell r="Q7" t="str">
            <v>XD500P</v>
          </cell>
          <cell r="R7">
            <v>1057</v>
          </cell>
          <cell r="S7">
            <v>8450</v>
          </cell>
          <cell r="T7">
            <v>1057</v>
          </cell>
          <cell r="U7">
            <v>1050</v>
          </cell>
          <cell r="V7">
            <v>8400</v>
          </cell>
          <cell r="W7">
            <v>2</v>
          </cell>
          <cell r="X7" t="str">
            <v>CF2</v>
          </cell>
          <cell r="Y7" t="str">
            <v>直出し</v>
          </cell>
          <cell r="Z7">
            <v>6</v>
          </cell>
          <cell r="AA7" t="str">
            <v>6ｲﾝﾁFWP</v>
          </cell>
          <cell r="AB7">
            <v>1450</v>
          </cell>
          <cell r="AO7" t="str">
            <v>3SNCERABKE0938</v>
          </cell>
        </row>
        <row r="8">
          <cell r="G8" t="str">
            <v>330SYCERABKE09</v>
          </cell>
          <cell r="H8" t="str">
            <v>S</v>
          </cell>
          <cell r="I8" t="str">
            <v>Y</v>
          </cell>
          <cell r="J8" t="str">
            <v>CERA</v>
          </cell>
          <cell r="K8" t="str">
            <v>BKE09</v>
          </cell>
          <cell r="L8" t="str">
            <v>セラピール　ＢＫＥ（０９）</v>
          </cell>
          <cell r="M8" t="str">
            <v>330SYCERABKE09381037</v>
          </cell>
          <cell r="N8" t="str">
            <v>330SYCERABKE09381030</v>
          </cell>
          <cell r="O8">
            <v>38</v>
          </cell>
          <cell r="P8">
            <v>330</v>
          </cell>
          <cell r="Q8" t="str">
            <v>XD500P</v>
          </cell>
          <cell r="R8">
            <v>1037</v>
          </cell>
          <cell r="S8">
            <v>12800</v>
          </cell>
          <cell r="T8">
            <v>1037</v>
          </cell>
          <cell r="U8">
            <v>1030</v>
          </cell>
          <cell r="V8">
            <v>8400</v>
          </cell>
          <cell r="W8">
            <v>2</v>
          </cell>
          <cell r="X8" t="str">
            <v>CF2</v>
          </cell>
          <cell r="Y8" t="str">
            <v>MK1</v>
          </cell>
          <cell r="Z8">
            <v>6</v>
          </cell>
          <cell r="AA8" t="str">
            <v>6ｲﾝﾁABS</v>
          </cell>
          <cell r="AB8">
            <v>1170</v>
          </cell>
          <cell r="AC8">
            <v>6</v>
          </cell>
          <cell r="AD8" t="str">
            <v>6ｲﾝﾁABS</v>
          </cell>
          <cell r="AE8">
            <v>1170</v>
          </cell>
          <cell r="AO8" t="str">
            <v>330SYCERABKE0938</v>
          </cell>
        </row>
        <row r="9">
          <cell r="G9" t="str">
            <v>330SYCERABKE09</v>
          </cell>
          <cell r="H9" t="str">
            <v>S</v>
          </cell>
          <cell r="I9" t="str">
            <v>Y</v>
          </cell>
          <cell r="J9" t="str">
            <v>CERA</v>
          </cell>
          <cell r="K9" t="str">
            <v>BKE09</v>
          </cell>
          <cell r="L9" t="str">
            <v>セラピール　ＢＫＥ（０９）</v>
          </cell>
          <cell r="M9" t="str">
            <v>330SYCERABKE09381037</v>
          </cell>
          <cell r="N9" t="str">
            <v>330SYCERABKE09381030</v>
          </cell>
          <cell r="O9">
            <v>38</v>
          </cell>
          <cell r="P9">
            <v>330</v>
          </cell>
          <cell r="Q9" t="str">
            <v>XD500P</v>
          </cell>
          <cell r="R9">
            <v>1037</v>
          </cell>
          <cell r="S9">
            <v>12800</v>
          </cell>
          <cell r="T9">
            <v>1037</v>
          </cell>
          <cell r="U9">
            <v>1030</v>
          </cell>
          <cell r="V9">
            <v>4200</v>
          </cell>
          <cell r="W9">
            <v>2</v>
          </cell>
          <cell r="X9" t="str">
            <v>CF2</v>
          </cell>
          <cell r="Y9" t="str">
            <v>MK1</v>
          </cell>
          <cell r="Z9">
            <v>6</v>
          </cell>
          <cell r="AA9" t="str">
            <v>6ｲﾝﾁABS</v>
          </cell>
          <cell r="AB9">
            <v>1170</v>
          </cell>
          <cell r="AC9">
            <v>6</v>
          </cell>
          <cell r="AD9" t="str">
            <v>6ｲﾝﾁABS</v>
          </cell>
          <cell r="AE9">
            <v>1170</v>
          </cell>
          <cell r="AO9" t="str">
            <v>330SYCERABKE0938</v>
          </cell>
        </row>
        <row r="10">
          <cell r="G10" t="str">
            <v>331SNCERABKE09</v>
          </cell>
          <cell r="H10" t="str">
            <v>S</v>
          </cell>
          <cell r="I10" t="str">
            <v>N</v>
          </cell>
          <cell r="J10" t="str">
            <v>CERA</v>
          </cell>
          <cell r="K10" t="str">
            <v>BKE09</v>
          </cell>
          <cell r="L10" t="str">
            <v>セラピール　ＢＫＥ（０９）</v>
          </cell>
          <cell r="M10" t="str">
            <v>331SNCERABKE09381337</v>
          </cell>
          <cell r="N10" t="str">
            <v>331SNCERABKE09381330</v>
          </cell>
          <cell r="O10">
            <v>38</v>
          </cell>
          <cell r="P10">
            <v>331</v>
          </cell>
          <cell r="Q10" t="str">
            <v>XD500P</v>
          </cell>
          <cell r="R10">
            <v>1337</v>
          </cell>
          <cell r="S10">
            <v>12800</v>
          </cell>
          <cell r="T10">
            <v>1337</v>
          </cell>
          <cell r="U10">
            <v>1330</v>
          </cell>
          <cell r="V10">
            <v>6000</v>
          </cell>
          <cell r="W10">
            <v>2</v>
          </cell>
          <cell r="X10" t="str">
            <v>CF2</v>
          </cell>
          <cell r="Y10" t="str">
            <v>半直</v>
          </cell>
          <cell r="Z10">
            <v>6</v>
          </cell>
          <cell r="AA10" t="str">
            <v>6ｲﾝﾁFWP</v>
          </cell>
          <cell r="AB10">
            <v>1450</v>
          </cell>
          <cell r="AO10" t="str">
            <v>331SNCERABKE0938</v>
          </cell>
        </row>
        <row r="11">
          <cell r="G11" t="str">
            <v>331SNCERABKE09</v>
          </cell>
          <cell r="H11" t="str">
            <v>S</v>
          </cell>
          <cell r="I11" t="str">
            <v>N</v>
          </cell>
          <cell r="J11" t="str">
            <v>CERA</v>
          </cell>
          <cell r="K11" t="str">
            <v>BKE09</v>
          </cell>
          <cell r="L11" t="str">
            <v>セラピール　ＢＫＥ（０９）</v>
          </cell>
          <cell r="M11" t="str">
            <v>331SNCERABKE09381335</v>
          </cell>
          <cell r="N11" t="str">
            <v>331SNCERABKE09381330</v>
          </cell>
          <cell r="O11">
            <v>38</v>
          </cell>
          <cell r="P11">
            <v>331</v>
          </cell>
          <cell r="Q11" t="str">
            <v>XD500P</v>
          </cell>
          <cell r="R11">
            <v>1335</v>
          </cell>
          <cell r="S11">
            <v>12200</v>
          </cell>
          <cell r="T11">
            <v>1335</v>
          </cell>
          <cell r="U11">
            <v>1330</v>
          </cell>
          <cell r="V11">
            <v>6000</v>
          </cell>
          <cell r="W11">
            <v>2</v>
          </cell>
          <cell r="X11" t="str">
            <v>CF2</v>
          </cell>
          <cell r="Y11" t="str">
            <v>半直</v>
          </cell>
          <cell r="Z11">
            <v>6</v>
          </cell>
          <cell r="AA11" t="str">
            <v>6ｲﾝﾁFWP</v>
          </cell>
          <cell r="AB11">
            <v>1450</v>
          </cell>
          <cell r="AO11" t="str">
            <v>331SNCERABKE0938</v>
          </cell>
        </row>
        <row r="12">
          <cell r="G12" t="str">
            <v>331SNCERABKE09</v>
          </cell>
          <cell r="H12" t="str">
            <v>S</v>
          </cell>
          <cell r="I12" t="str">
            <v>N</v>
          </cell>
          <cell r="J12" t="str">
            <v>CERA</v>
          </cell>
          <cell r="K12" t="str">
            <v>BKE09</v>
          </cell>
          <cell r="L12" t="str">
            <v>セラピール　ＢＫＥ（０９）</v>
          </cell>
          <cell r="M12" t="str">
            <v>331SNCERABKE09381367</v>
          </cell>
          <cell r="N12" t="str">
            <v>331SNCERABKE09381360</v>
          </cell>
          <cell r="O12">
            <v>38</v>
          </cell>
          <cell r="P12">
            <v>331</v>
          </cell>
          <cell r="Q12" t="str">
            <v>XD500P</v>
          </cell>
          <cell r="R12">
            <v>1367</v>
          </cell>
          <cell r="S12">
            <v>12800</v>
          </cell>
          <cell r="T12">
            <v>1367</v>
          </cell>
          <cell r="U12">
            <v>1360</v>
          </cell>
          <cell r="V12">
            <v>6000</v>
          </cell>
          <cell r="W12">
            <v>2</v>
          </cell>
          <cell r="X12" t="str">
            <v>CF2</v>
          </cell>
          <cell r="Y12" t="str">
            <v>半直</v>
          </cell>
          <cell r="Z12">
            <v>6</v>
          </cell>
          <cell r="AA12" t="str">
            <v>6ｲﾝﾁFWP</v>
          </cell>
          <cell r="AB12">
            <v>1600</v>
          </cell>
          <cell r="AO12" t="str">
            <v>331SNCERABKE0938</v>
          </cell>
        </row>
        <row r="13">
          <cell r="G13" t="str">
            <v>331SNCERABKE09</v>
          </cell>
          <cell r="H13" t="str">
            <v>S</v>
          </cell>
          <cell r="I13" t="str">
            <v>N</v>
          </cell>
          <cell r="J13" t="str">
            <v>CERA</v>
          </cell>
          <cell r="K13" t="str">
            <v>BKE09</v>
          </cell>
          <cell r="L13" t="str">
            <v>セラピール　ＢＫＥ（０９）</v>
          </cell>
          <cell r="M13" t="str">
            <v>331SNCERABKE09381367</v>
          </cell>
          <cell r="N13" t="str">
            <v>331SNCERABKE09381360</v>
          </cell>
          <cell r="O13">
            <v>38</v>
          </cell>
          <cell r="P13">
            <v>331</v>
          </cell>
          <cell r="Q13" t="str">
            <v>XD500P</v>
          </cell>
          <cell r="R13">
            <v>1367</v>
          </cell>
          <cell r="S13">
            <v>12200</v>
          </cell>
          <cell r="T13">
            <v>1367</v>
          </cell>
          <cell r="U13">
            <v>1360</v>
          </cell>
          <cell r="V13">
            <v>6000</v>
          </cell>
          <cell r="W13">
            <v>2</v>
          </cell>
          <cell r="X13" t="str">
            <v>CF2</v>
          </cell>
          <cell r="Y13" t="str">
            <v>半直</v>
          </cell>
          <cell r="Z13">
            <v>6</v>
          </cell>
          <cell r="AA13" t="str">
            <v>6ｲﾝﾁFWP</v>
          </cell>
          <cell r="AB13">
            <v>1600</v>
          </cell>
          <cell r="AO13" t="str">
            <v>331SNCERABKE0938</v>
          </cell>
        </row>
        <row r="14">
          <cell r="G14" t="str">
            <v>331SYCERABKERXPT</v>
          </cell>
          <cell r="H14" t="str">
            <v>S</v>
          </cell>
          <cell r="I14" t="str">
            <v>Y</v>
          </cell>
          <cell r="J14" t="str">
            <v>CERA</v>
          </cell>
          <cell r="K14" t="str">
            <v>BKERXPT</v>
          </cell>
          <cell r="L14" t="str">
            <v>セラピール　ＢＫＥ（ＲＸ）</v>
          </cell>
          <cell r="M14" t="str">
            <v>331SYCERABKERXPT381035</v>
          </cell>
          <cell r="N14" t="str">
            <v>331SYCERABKERXPT381030</v>
          </cell>
          <cell r="O14">
            <v>38</v>
          </cell>
          <cell r="P14">
            <v>331</v>
          </cell>
          <cell r="Q14" t="str">
            <v>R75X</v>
          </cell>
          <cell r="R14">
            <v>1035</v>
          </cell>
          <cell r="S14">
            <v>8500</v>
          </cell>
          <cell r="T14">
            <v>1030</v>
          </cell>
          <cell r="U14">
            <v>1030</v>
          </cell>
          <cell r="V14">
            <v>8400</v>
          </cell>
          <cell r="W14">
            <v>2</v>
          </cell>
          <cell r="X14" t="str">
            <v>CF2</v>
          </cell>
          <cell r="Y14" t="str">
            <v>直出し</v>
          </cell>
          <cell r="Z14">
            <v>6</v>
          </cell>
          <cell r="AA14" t="str">
            <v>6ｲﾝﾁABS</v>
          </cell>
          <cell r="AB14">
            <v>1170</v>
          </cell>
          <cell r="AC14">
            <v>6</v>
          </cell>
          <cell r="AD14" t="str">
            <v>6ｲﾝﾁABS</v>
          </cell>
          <cell r="AE14">
            <v>1170</v>
          </cell>
          <cell r="AO14" t="str">
            <v>331SYCERABKERXPT38</v>
          </cell>
        </row>
        <row r="15">
          <cell r="G15" t="str">
            <v>331SNCERABKERXPT</v>
          </cell>
          <cell r="H15" t="str">
            <v>S</v>
          </cell>
          <cell r="I15" t="str">
            <v>N</v>
          </cell>
          <cell r="J15" t="str">
            <v>CERA</v>
          </cell>
          <cell r="K15" t="str">
            <v>BKERXPT</v>
          </cell>
          <cell r="L15" t="str">
            <v>セラピール　ＢＫＥ（ＲＸ）</v>
          </cell>
          <cell r="M15" t="str">
            <v>331SNCERABKERXPT381035</v>
          </cell>
          <cell r="N15" t="str">
            <v>331SNCERABKERXPT381030</v>
          </cell>
          <cell r="O15">
            <v>38</v>
          </cell>
          <cell r="P15">
            <v>331</v>
          </cell>
          <cell r="Q15" t="str">
            <v>R75X</v>
          </cell>
          <cell r="R15">
            <v>1035</v>
          </cell>
          <cell r="S15">
            <v>8500</v>
          </cell>
          <cell r="T15">
            <v>1030</v>
          </cell>
          <cell r="U15">
            <v>1030</v>
          </cell>
          <cell r="V15">
            <v>8400</v>
          </cell>
          <cell r="W15">
            <v>2</v>
          </cell>
          <cell r="X15" t="str">
            <v>CF2</v>
          </cell>
          <cell r="Y15" t="str">
            <v>直出し</v>
          </cell>
          <cell r="Z15">
            <v>6</v>
          </cell>
          <cell r="AA15" t="str">
            <v>6ｲﾝﾁFWP</v>
          </cell>
          <cell r="AB15">
            <v>1450</v>
          </cell>
          <cell r="AC15">
            <v>6</v>
          </cell>
          <cell r="AD15" t="str">
            <v>6ｲﾝﾁFWP</v>
          </cell>
          <cell r="AE15">
            <v>1450</v>
          </cell>
          <cell r="AO15" t="str">
            <v>331SNCERABKERXPT38</v>
          </cell>
        </row>
        <row r="16">
          <cell r="G16" t="str">
            <v>331SNCERABKERXPT</v>
          </cell>
          <cell r="H16" t="str">
            <v>S</v>
          </cell>
          <cell r="I16" t="str">
            <v>N</v>
          </cell>
          <cell r="J16" t="str">
            <v>CERA</v>
          </cell>
          <cell r="K16" t="str">
            <v>BKERXPT</v>
          </cell>
          <cell r="L16" t="str">
            <v>セラピール　ＢＫＥ（ＲＸ）</v>
          </cell>
          <cell r="M16" t="str">
            <v>331SNCERABKERXPT381335</v>
          </cell>
          <cell r="N16" t="str">
            <v>331SNCERABKERXPT381330</v>
          </cell>
          <cell r="O16">
            <v>38</v>
          </cell>
          <cell r="P16">
            <v>331</v>
          </cell>
          <cell r="Q16" t="str">
            <v>R75X</v>
          </cell>
          <cell r="R16">
            <v>1335</v>
          </cell>
          <cell r="S16">
            <v>12200</v>
          </cell>
          <cell r="T16">
            <v>1330</v>
          </cell>
          <cell r="U16">
            <v>1330</v>
          </cell>
          <cell r="V16">
            <v>6000</v>
          </cell>
          <cell r="W16">
            <v>2</v>
          </cell>
          <cell r="X16" t="str">
            <v>CF2</v>
          </cell>
          <cell r="Y16" t="str">
            <v>半直</v>
          </cell>
          <cell r="Z16">
            <v>6</v>
          </cell>
          <cell r="AA16" t="str">
            <v>6ｲﾝﾁFWP</v>
          </cell>
          <cell r="AB16">
            <v>1450</v>
          </cell>
          <cell r="AC16">
            <v>6</v>
          </cell>
          <cell r="AD16" t="str">
            <v>6ｲﾝﾁFWP</v>
          </cell>
          <cell r="AE16">
            <v>1450</v>
          </cell>
          <cell r="AO16" t="str">
            <v>331SNCERABKERXPT38</v>
          </cell>
        </row>
        <row r="17">
          <cell r="G17" t="str">
            <v>331SNCERABKERXPT</v>
          </cell>
          <cell r="H17" t="str">
            <v>S</v>
          </cell>
          <cell r="I17" t="str">
            <v>N</v>
          </cell>
          <cell r="J17" t="str">
            <v>CERA</v>
          </cell>
          <cell r="K17" t="str">
            <v>BKERXPT</v>
          </cell>
          <cell r="L17" t="str">
            <v>セラピール　ＢＫＥ（ＲＸ）</v>
          </cell>
          <cell r="M17" t="str">
            <v>331SNCERABKERXPT381333</v>
          </cell>
          <cell r="N17" t="str">
            <v>331SNCERABKERXPT381330</v>
          </cell>
          <cell r="O17">
            <v>38</v>
          </cell>
          <cell r="P17">
            <v>331</v>
          </cell>
          <cell r="Q17" t="str">
            <v>R75X</v>
          </cell>
          <cell r="R17">
            <v>1333</v>
          </cell>
          <cell r="S17">
            <v>12200</v>
          </cell>
          <cell r="T17">
            <v>1330</v>
          </cell>
          <cell r="U17">
            <v>1330</v>
          </cell>
          <cell r="V17">
            <v>6000</v>
          </cell>
          <cell r="W17">
            <v>2</v>
          </cell>
          <cell r="X17" t="str">
            <v>CF2</v>
          </cell>
          <cell r="Y17" t="str">
            <v>半直</v>
          </cell>
          <cell r="Z17">
            <v>6</v>
          </cell>
          <cell r="AA17" t="str">
            <v>6ｲﾝﾁFWP</v>
          </cell>
          <cell r="AB17">
            <v>1450</v>
          </cell>
          <cell r="AC17">
            <v>6</v>
          </cell>
          <cell r="AD17" t="str">
            <v>6ｲﾝﾁFWP</v>
          </cell>
          <cell r="AE17">
            <v>1450</v>
          </cell>
          <cell r="AO17" t="str">
            <v>331SNCERABKERXPT38</v>
          </cell>
        </row>
        <row r="18">
          <cell r="G18" t="str">
            <v>3SNCERABKERXPT</v>
          </cell>
          <cell r="H18" t="str">
            <v>S</v>
          </cell>
          <cell r="I18" t="str">
            <v>N</v>
          </cell>
          <cell r="J18" t="str">
            <v>CERA</v>
          </cell>
          <cell r="K18" t="str">
            <v>BKERXPT</v>
          </cell>
          <cell r="L18" t="str">
            <v>セラピール　ＢＫＥ（ＲＸ）</v>
          </cell>
          <cell r="M18" t="str">
            <v>3SNCERABKERXPT381335</v>
          </cell>
          <cell r="N18" t="str">
            <v>3SNCERABKERXPT381330</v>
          </cell>
          <cell r="O18">
            <v>38</v>
          </cell>
          <cell r="P18">
            <v>3</v>
          </cell>
          <cell r="Q18" t="str">
            <v>R75X</v>
          </cell>
          <cell r="R18">
            <v>1335</v>
          </cell>
          <cell r="S18">
            <v>12200</v>
          </cell>
          <cell r="T18">
            <v>1330</v>
          </cell>
          <cell r="U18">
            <v>1330</v>
          </cell>
          <cell r="V18">
            <v>6000</v>
          </cell>
          <cell r="W18">
            <v>2</v>
          </cell>
          <cell r="X18" t="str">
            <v>CF2</v>
          </cell>
          <cell r="Y18" t="str">
            <v>半直</v>
          </cell>
          <cell r="Z18">
            <v>6</v>
          </cell>
          <cell r="AA18" t="str">
            <v>6ｲﾝﾁFWP</v>
          </cell>
          <cell r="AB18">
            <v>1450</v>
          </cell>
          <cell r="AC18">
            <v>6</v>
          </cell>
          <cell r="AD18" t="str">
            <v>6ｲﾝﾁFWP</v>
          </cell>
          <cell r="AE18">
            <v>1450</v>
          </cell>
          <cell r="AO18" t="str">
            <v>3SNCERABKERXPT38</v>
          </cell>
        </row>
        <row r="19">
          <cell r="G19" t="str">
            <v>331SNCERABKERXT</v>
          </cell>
          <cell r="H19" t="str">
            <v>S</v>
          </cell>
          <cell r="I19" t="str">
            <v>N</v>
          </cell>
          <cell r="J19" t="str">
            <v>CERA</v>
          </cell>
          <cell r="K19" t="str">
            <v>BKERXT</v>
          </cell>
          <cell r="L19" t="str">
            <v>セラピール　ＢＫＥ（ＲＸ）</v>
          </cell>
          <cell r="M19" t="str">
            <v>331SNCERABKERXT251337</v>
          </cell>
          <cell r="N19" t="str">
            <v>331SNCERABKERXT251330</v>
          </cell>
          <cell r="O19">
            <v>25</v>
          </cell>
          <cell r="P19">
            <v>331</v>
          </cell>
          <cell r="Q19" t="str">
            <v>R75XK</v>
          </cell>
          <cell r="R19">
            <v>1337</v>
          </cell>
          <cell r="S19">
            <v>12300</v>
          </cell>
          <cell r="T19">
            <v>1330</v>
          </cell>
          <cell r="U19">
            <v>1330</v>
          </cell>
          <cell r="V19">
            <v>6000</v>
          </cell>
          <cell r="W19">
            <v>2</v>
          </cell>
          <cell r="X19" t="str">
            <v>CF2</v>
          </cell>
          <cell r="Y19" t="str">
            <v>SL-1</v>
          </cell>
          <cell r="Z19">
            <v>6</v>
          </cell>
          <cell r="AA19" t="str">
            <v>6ｲﾝﾁFWP</v>
          </cell>
          <cell r="AB19">
            <v>1450</v>
          </cell>
          <cell r="AC19">
            <v>6</v>
          </cell>
          <cell r="AD19" t="str">
            <v>6ｲﾝﾁFWP</v>
          </cell>
          <cell r="AE19">
            <v>1450</v>
          </cell>
          <cell r="AO19" t="str">
            <v>331SNCERABKERXT25</v>
          </cell>
        </row>
        <row r="20">
          <cell r="G20" t="str">
            <v>331SNCERABKERXT</v>
          </cell>
          <cell r="H20" t="str">
            <v>S</v>
          </cell>
          <cell r="I20" t="str">
            <v>N</v>
          </cell>
          <cell r="J20" t="str">
            <v>CERA</v>
          </cell>
          <cell r="K20" t="str">
            <v>BKERXT</v>
          </cell>
          <cell r="L20" t="str">
            <v>セラピール　ＢＫＥ（ＲＸ）</v>
          </cell>
          <cell r="M20" t="str">
            <v>331SNCERABKERXT381335</v>
          </cell>
          <cell r="N20" t="str">
            <v>331SNCERABKERXT381330</v>
          </cell>
          <cell r="O20">
            <v>38</v>
          </cell>
          <cell r="P20">
            <v>331</v>
          </cell>
          <cell r="Q20" t="str">
            <v>R75XK</v>
          </cell>
          <cell r="R20">
            <v>1335</v>
          </cell>
          <cell r="S20">
            <v>12200</v>
          </cell>
          <cell r="T20">
            <v>1330</v>
          </cell>
          <cell r="U20">
            <v>1330</v>
          </cell>
          <cell r="V20">
            <v>6000</v>
          </cell>
          <cell r="W20">
            <v>2</v>
          </cell>
          <cell r="X20" t="str">
            <v>CF2</v>
          </cell>
          <cell r="Y20" t="str">
            <v>SL-1</v>
          </cell>
          <cell r="Z20">
            <v>6</v>
          </cell>
          <cell r="AA20" t="str">
            <v>6ｲﾝﾁFWP</v>
          </cell>
          <cell r="AB20">
            <v>1450</v>
          </cell>
          <cell r="AC20">
            <v>6</v>
          </cell>
          <cell r="AD20" t="str">
            <v>6ｲﾝﾁFWP</v>
          </cell>
          <cell r="AE20">
            <v>1450</v>
          </cell>
          <cell r="AO20" t="str">
            <v>331SNCERABKERXT38</v>
          </cell>
        </row>
        <row r="21">
          <cell r="G21" t="str">
            <v>331SNCERABKERXT</v>
          </cell>
          <cell r="H21" t="str">
            <v>S</v>
          </cell>
          <cell r="I21" t="str">
            <v>N</v>
          </cell>
          <cell r="J21" t="str">
            <v>CERA</v>
          </cell>
          <cell r="K21" t="str">
            <v>BKERXT</v>
          </cell>
          <cell r="L21" t="str">
            <v>セラピール　ＢＫＥ（ＲＸ）</v>
          </cell>
          <cell r="M21" t="str">
            <v>331SNCERABKERXT381585</v>
          </cell>
          <cell r="N21" t="str">
            <v>331SNCERABKERXT381580</v>
          </cell>
          <cell r="O21">
            <v>38</v>
          </cell>
          <cell r="P21">
            <v>331</v>
          </cell>
          <cell r="Q21" t="str">
            <v>R75XK</v>
          </cell>
          <cell r="R21">
            <v>1585</v>
          </cell>
          <cell r="S21">
            <v>12200</v>
          </cell>
          <cell r="T21">
            <v>1580</v>
          </cell>
          <cell r="U21">
            <v>1580</v>
          </cell>
          <cell r="V21">
            <v>6000</v>
          </cell>
          <cell r="W21">
            <v>2</v>
          </cell>
          <cell r="X21" t="str">
            <v>CF2</v>
          </cell>
          <cell r="Y21" t="str">
            <v>SL-1</v>
          </cell>
          <cell r="Z21">
            <v>6</v>
          </cell>
          <cell r="AA21" t="str">
            <v>6ｲﾝﾁFWP</v>
          </cell>
          <cell r="AB21">
            <v>1700</v>
          </cell>
          <cell r="AC21">
            <v>6</v>
          </cell>
          <cell r="AD21" t="str">
            <v>6ｲﾝﾁFWP</v>
          </cell>
          <cell r="AE21">
            <v>1700</v>
          </cell>
          <cell r="AO21" t="str">
            <v>331SNCERABKERXT38</v>
          </cell>
        </row>
        <row r="22">
          <cell r="G22" t="str">
            <v>3SNCERABKU</v>
          </cell>
          <cell r="H22" t="str">
            <v>S</v>
          </cell>
          <cell r="I22" t="str">
            <v>N</v>
          </cell>
          <cell r="J22" t="str">
            <v>CERA</v>
          </cell>
          <cell r="K22" t="str">
            <v>BKU</v>
          </cell>
          <cell r="L22" t="str">
            <v>セラピール　ＢＫ（Ｕ）</v>
          </cell>
          <cell r="M22" t="str">
            <v>3SNCERABKU25895</v>
          </cell>
          <cell r="N22" t="str">
            <v>3SNCERABKU25890</v>
          </cell>
          <cell r="O22">
            <v>25</v>
          </cell>
          <cell r="P22">
            <v>3</v>
          </cell>
          <cell r="Q22" t="str">
            <v>S</v>
          </cell>
          <cell r="R22">
            <v>895</v>
          </cell>
          <cell r="S22">
            <v>12400</v>
          </cell>
          <cell r="T22">
            <v>890</v>
          </cell>
          <cell r="U22">
            <v>890</v>
          </cell>
          <cell r="V22">
            <v>3800</v>
          </cell>
          <cell r="W22">
            <v>2</v>
          </cell>
          <cell r="X22" t="str">
            <v>CF2</v>
          </cell>
          <cell r="Y22" t="str">
            <v>SL-1</v>
          </cell>
          <cell r="Z22">
            <v>6</v>
          </cell>
          <cell r="AA22" t="str">
            <v>6ｲﾝﾁFWP</v>
          </cell>
          <cell r="AB22" t="str">
            <v>1000以上</v>
          </cell>
          <cell r="AC22">
            <v>3</v>
          </cell>
          <cell r="AD22" t="str">
            <v>3ｲﾝﾁABS</v>
          </cell>
          <cell r="AE22">
            <v>898</v>
          </cell>
          <cell r="AO22" t="str">
            <v>3SNCERABKU25</v>
          </cell>
        </row>
        <row r="23">
          <cell r="G23" t="str">
            <v>3SNCERABKUK</v>
          </cell>
          <cell r="H23" t="str">
            <v>S</v>
          </cell>
          <cell r="I23" t="str">
            <v>N</v>
          </cell>
          <cell r="J23" t="str">
            <v>CERA</v>
          </cell>
          <cell r="K23" t="str">
            <v>BKUK</v>
          </cell>
          <cell r="L23" t="str">
            <v>セラピール　ＢＫ（Ｕ）Ｋ</v>
          </cell>
          <cell r="M23" t="str">
            <v>3SNCERABKUK251045</v>
          </cell>
          <cell r="N23" t="str">
            <v>3SNCERABKUK251040</v>
          </cell>
          <cell r="O23">
            <v>25</v>
          </cell>
          <cell r="P23">
            <v>3</v>
          </cell>
          <cell r="Q23" t="str">
            <v>S</v>
          </cell>
          <cell r="R23">
            <v>1045</v>
          </cell>
          <cell r="S23">
            <v>12400</v>
          </cell>
          <cell r="T23">
            <v>1045</v>
          </cell>
          <cell r="U23">
            <v>1040</v>
          </cell>
          <cell r="V23">
            <v>6000</v>
          </cell>
          <cell r="W23">
            <v>2</v>
          </cell>
          <cell r="X23" t="str">
            <v>CF2</v>
          </cell>
          <cell r="Y23" t="str">
            <v>半直</v>
          </cell>
          <cell r="Z23">
            <v>6</v>
          </cell>
          <cell r="AA23" t="str">
            <v>6ｲﾝﾁFWP</v>
          </cell>
          <cell r="AB23">
            <v>1170</v>
          </cell>
          <cell r="AO23" t="str">
            <v>3SNCERABKUK25</v>
          </cell>
        </row>
        <row r="24">
          <cell r="G24" t="str">
            <v>3SNCERABKUK</v>
          </cell>
          <cell r="H24" t="str">
            <v>S</v>
          </cell>
          <cell r="I24" t="str">
            <v>N</v>
          </cell>
          <cell r="J24" t="str">
            <v>CERA</v>
          </cell>
          <cell r="K24" t="str">
            <v>BKUK</v>
          </cell>
          <cell r="L24" t="str">
            <v>セラピール　ＢＫ（Ｕ）Ｋ</v>
          </cell>
          <cell r="M24" t="str">
            <v>3SNCERABKUK251085</v>
          </cell>
          <cell r="N24" t="str">
            <v>3SNCERABKUK251080</v>
          </cell>
          <cell r="O24">
            <v>25</v>
          </cell>
          <cell r="P24">
            <v>3</v>
          </cell>
          <cell r="Q24" t="str">
            <v>S</v>
          </cell>
          <cell r="R24">
            <v>1085</v>
          </cell>
          <cell r="S24">
            <v>12400</v>
          </cell>
          <cell r="T24">
            <v>1085</v>
          </cell>
          <cell r="U24">
            <v>1080</v>
          </cell>
          <cell r="V24">
            <v>6000</v>
          </cell>
          <cell r="W24">
            <v>2</v>
          </cell>
          <cell r="X24" t="str">
            <v>CF2</v>
          </cell>
          <cell r="Y24" t="str">
            <v>半直</v>
          </cell>
          <cell r="Z24">
            <v>6</v>
          </cell>
          <cell r="AA24" t="str">
            <v>6ｲﾝﾁFWP</v>
          </cell>
          <cell r="AB24">
            <v>1170</v>
          </cell>
          <cell r="AO24" t="str">
            <v>3SNCERABKUK25</v>
          </cell>
        </row>
        <row r="25">
          <cell r="G25" t="str">
            <v>3SNCERABX8ARX</v>
          </cell>
          <cell r="H25" t="str">
            <v>S</v>
          </cell>
          <cell r="I25" t="str">
            <v>N</v>
          </cell>
          <cell r="J25" t="str">
            <v>CERA</v>
          </cell>
          <cell r="K25" t="str">
            <v>BX8ARX</v>
          </cell>
          <cell r="L25" t="str">
            <v>セラピール　ＢＸ８Ａ（ＲＸ）</v>
          </cell>
          <cell r="M25" t="str">
            <v>3SNCERABX8ARX251520</v>
          </cell>
          <cell r="N25" t="str">
            <v>3SNCERABX8ARX25740</v>
          </cell>
          <cell r="O25">
            <v>25</v>
          </cell>
          <cell r="P25">
            <v>3</v>
          </cell>
          <cell r="Q25" t="str">
            <v>R75X</v>
          </cell>
          <cell r="R25">
            <v>1520</v>
          </cell>
          <cell r="S25">
            <v>13000</v>
          </cell>
          <cell r="T25">
            <v>740</v>
          </cell>
          <cell r="U25">
            <v>740</v>
          </cell>
          <cell r="V25">
            <v>2100</v>
          </cell>
          <cell r="W25">
            <v>1</v>
          </cell>
          <cell r="X25" t="str">
            <v>CF2</v>
          </cell>
          <cell r="Y25" t="str">
            <v>SL-1</v>
          </cell>
          <cell r="Z25">
            <v>6</v>
          </cell>
          <cell r="AA25" t="str">
            <v>6ｲﾝﾁFWP</v>
          </cell>
          <cell r="AB25">
            <v>1700</v>
          </cell>
          <cell r="AC25">
            <v>3</v>
          </cell>
          <cell r="AD25" t="str">
            <v>3ｲﾝﾁABS</v>
          </cell>
          <cell r="AE25">
            <v>750</v>
          </cell>
          <cell r="AL25">
            <v>14</v>
          </cell>
          <cell r="AM25" t="str">
            <v>エージング後スリット</v>
          </cell>
          <cell r="AO25" t="str">
            <v>3SNCERABX8ARX25</v>
          </cell>
        </row>
        <row r="26">
          <cell r="G26" t="str">
            <v>3SNCERABX8ARX</v>
          </cell>
          <cell r="H26" t="str">
            <v>S</v>
          </cell>
          <cell r="I26" t="str">
            <v>N</v>
          </cell>
          <cell r="J26" t="str">
            <v>CERA</v>
          </cell>
          <cell r="K26" t="str">
            <v>BX8ARX</v>
          </cell>
          <cell r="L26" t="str">
            <v>セラピール　ＢＸ８Ａ（ＲＸ）</v>
          </cell>
          <cell r="M26" t="str">
            <v>3SNCERABX8ARX381135</v>
          </cell>
          <cell r="N26" t="str">
            <v>3SNCERABX8ARX38535</v>
          </cell>
          <cell r="O26">
            <v>38</v>
          </cell>
          <cell r="P26">
            <v>3</v>
          </cell>
          <cell r="Q26" t="str">
            <v>R75X</v>
          </cell>
          <cell r="R26">
            <v>1135</v>
          </cell>
          <cell r="S26">
            <v>12200</v>
          </cell>
          <cell r="T26">
            <v>535</v>
          </cell>
          <cell r="U26">
            <v>535</v>
          </cell>
          <cell r="V26">
            <v>2000</v>
          </cell>
          <cell r="W26">
            <v>2</v>
          </cell>
          <cell r="X26" t="str">
            <v>CF2</v>
          </cell>
          <cell r="Y26" t="str">
            <v>SL-1</v>
          </cell>
          <cell r="Z26">
            <v>6</v>
          </cell>
          <cell r="AA26" t="str">
            <v>6ｲﾝﾁFWP</v>
          </cell>
          <cell r="AB26">
            <v>1450</v>
          </cell>
          <cell r="AC26">
            <v>3</v>
          </cell>
          <cell r="AD26" t="str">
            <v>ｶﾞﾗｽｴﾎﾟｷｼ</v>
          </cell>
          <cell r="AE26">
            <v>570</v>
          </cell>
          <cell r="AL26">
            <v>6</v>
          </cell>
          <cell r="AM26" t="str">
            <v>エージング後スリット</v>
          </cell>
          <cell r="AO26" t="str">
            <v>3SNCERABX8ARX38</v>
          </cell>
        </row>
        <row r="27">
          <cell r="G27" t="str">
            <v>331SNCERABX8ARX</v>
          </cell>
          <cell r="H27" t="str">
            <v>S</v>
          </cell>
          <cell r="I27" t="str">
            <v>N</v>
          </cell>
          <cell r="J27" t="str">
            <v>CERA</v>
          </cell>
          <cell r="K27" t="str">
            <v>BX8ARX</v>
          </cell>
          <cell r="L27" t="str">
            <v>セラピール　ＢＸ８Ａ（ＲＸ）</v>
          </cell>
          <cell r="M27" t="str">
            <v>331SNCERABX8ARX381135</v>
          </cell>
          <cell r="N27" t="str">
            <v>331SNCERABX8ARX38535</v>
          </cell>
          <cell r="O27">
            <v>38</v>
          </cell>
          <cell r="P27">
            <v>331</v>
          </cell>
          <cell r="Q27" t="str">
            <v>R75X</v>
          </cell>
          <cell r="R27">
            <v>1135</v>
          </cell>
          <cell r="S27">
            <v>12200</v>
          </cell>
          <cell r="T27">
            <v>535</v>
          </cell>
          <cell r="U27">
            <v>535</v>
          </cell>
          <cell r="V27">
            <v>2000</v>
          </cell>
          <cell r="W27">
            <v>2</v>
          </cell>
          <cell r="X27" t="str">
            <v>CF2</v>
          </cell>
          <cell r="Y27" t="str">
            <v>SL-1</v>
          </cell>
          <cell r="Z27">
            <v>6</v>
          </cell>
          <cell r="AA27" t="str">
            <v>6ｲﾝﾁFWP</v>
          </cell>
          <cell r="AB27">
            <v>1450</v>
          </cell>
          <cell r="AC27">
            <v>3</v>
          </cell>
          <cell r="AD27" t="str">
            <v>ｶﾞﾗｽｴﾎﾟｷｼ</v>
          </cell>
          <cell r="AE27">
            <v>570</v>
          </cell>
          <cell r="AL27">
            <v>6</v>
          </cell>
          <cell r="AM27" t="str">
            <v>エージング後スリット</v>
          </cell>
          <cell r="AO27" t="str">
            <v>331SNCERABX8ARX38</v>
          </cell>
        </row>
        <row r="28">
          <cell r="G28" t="str">
            <v>331SNCERABX8ARXA</v>
          </cell>
          <cell r="H28" t="str">
            <v>S</v>
          </cell>
          <cell r="I28" t="str">
            <v>N</v>
          </cell>
          <cell r="J28" t="str">
            <v>CERA</v>
          </cell>
          <cell r="K28" t="str">
            <v>BX8ARXA</v>
          </cell>
          <cell r="L28" t="str">
            <v>セラピール　ＢＸ８Ａ（ＲＸ）</v>
          </cell>
          <cell r="M28" t="str">
            <v>331SNCERABX8ARXA381335</v>
          </cell>
          <cell r="N28" t="str">
            <v>331SNCERABX8ARXA381330</v>
          </cell>
          <cell r="O28">
            <v>38</v>
          </cell>
          <cell r="P28">
            <v>331</v>
          </cell>
          <cell r="Q28" t="str">
            <v>R75X</v>
          </cell>
          <cell r="R28">
            <v>1335</v>
          </cell>
          <cell r="S28">
            <v>12200</v>
          </cell>
          <cell r="T28">
            <v>1330</v>
          </cell>
          <cell r="U28">
            <v>1330</v>
          </cell>
          <cell r="V28">
            <v>6000</v>
          </cell>
          <cell r="W28">
            <v>2</v>
          </cell>
          <cell r="X28" t="str">
            <v>CF2</v>
          </cell>
          <cell r="Y28" t="str">
            <v>半直</v>
          </cell>
          <cell r="Z28">
            <v>6</v>
          </cell>
          <cell r="AA28" t="str">
            <v>6ｲﾝﾁFWP</v>
          </cell>
          <cell r="AB28">
            <v>1450</v>
          </cell>
          <cell r="AC28">
            <v>6</v>
          </cell>
          <cell r="AD28" t="str">
            <v>6ｲﾝﾁFWP</v>
          </cell>
          <cell r="AE28">
            <v>1450</v>
          </cell>
          <cell r="AL28">
            <v>6</v>
          </cell>
          <cell r="AO28" t="str">
            <v>331SNCERABX8ARXA38</v>
          </cell>
        </row>
        <row r="29">
          <cell r="G29" t="str">
            <v>331SNCERABX8ARXA</v>
          </cell>
          <cell r="H29" t="str">
            <v>S</v>
          </cell>
          <cell r="I29" t="str">
            <v>N</v>
          </cell>
          <cell r="J29" t="str">
            <v>CERA</v>
          </cell>
          <cell r="K29" t="str">
            <v>BX8ARXA</v>
          </cell>
          <cell r="L29" t="str">
            <v>セラピール　ＢＸ８Ａ（ＲＸ）</v>
          </cell>
          <cell r="M29" t="str">
            <v>331SNCERABX8ARXA381333</v>
          </cell>
          <cell r="N29" t="str">
            <v>331SNCERABX8ARXA381330</v>
          </cell>
          <cell r="O29">
            <v>38</v>
          </cell>
          <cell r="P29">
            <v>331</v>
          </cell>
          <cell r="Q29" t="str">
            <v>R75X</v>
          </cell>
          <cell r="R29">
            <v>1333</v>
          </cell>
          <cell r="S29">
            <v>12200</v>
          </cell>
          <cell r="T29">
            <v>1330</v>
          </cell>
          <cell r="U29">
            <v>1330</v>
          </cell>
          <cell r="V29">
            <v>6000</v>
          </cell>
          <cell r="W29">
            <v>2</v>
          </cell>
          <cell r="X29" t="str">
            <v>CF2</v>
          </cell>
          <cell r="Y29" t="str">
            <v>半直</v>
          </cell>
          <cell r="Z29">
            <v>6</v>
          </cell>
          <cell r="AA29" t="str">
            <v>6ｲﾝﾁFWP</v>
          </cell>
          <cell r="AB29">
            <v>1450</v>
          </cell>
          <cell r="AC29">
            <v>6</v>
          </cell>
          <cell r="AD29" t="str">
            <v>6ｲﾝﾁFWP</v>
          </cell>
          <cell r="AE29">
            <v>1450</v>
          </cell>
          <cell r="AL29">
            <v>6</v>
          </cell>
          <cell r="AO29" t="str">
            <v>331SNCERABX8ARXA38</v>
          </cell>
        </row>
        <row r="30">
          <cell r="G30" t="str">
            <v>3303SNCERABX8ARXA</v>
          </cell>
          <cell r="H30" t="str">
            <v>S</v>
          </cell>
          <cell r="I30" t="str">
            <v>N</v>
          </cell>
          <cell r="J30" t="str">
            <v>CERA</v>
          </cell>
          <cell r="K30" t="str">
            <v>BX8ARXA</v>
          </cell>
          <cell r="L30" t="str">
            <v>セラピール　ＢＸ８Ａ（ＲＸ）</v>
          </cell>
          <cell r="M30" t="str">
            <v>3303SNCERABX8ARXA381335</v>
          </cell>
          <cell r="N30" t="str">
            <v>3303SNCERABX8ARXA381330</v>
          </cell>
          <cell r="O30">
            <v>38</v>
          </cell>
          <cell r="P30">
            <v>3303</v>
          </cell>
          <cell r="Q30" t="str">
            <v>R75X</v>
          </cell>
          <cell r="R30">
            <v>1335</v>
          </cell>
          <cell r="S30">
            <v>12200</v>
          </cell>
          <cell r="T30">
            <v>1330</v>
          </cell>
          <cell r="U30">
            <v>1330</v>
          </cell>
          <cell r="V30">
            <v>6000</v>
          </cell>
          <cell r="W30">
            <v>2</v>
          </cell>
          <cell r="X30" t="str">
            <v>CF2</v>
          </cell>
          <cell r="Y30" t="str">
            <v>半直</v>
          </cell>
          <cell r="Z30">
            <v>6</v>
          </cell>
          <cell r="AA30" t="str">
            <v>6ｲﾝﾁFWP</v>
          </cell>
          <cell r="AB30">
            <v>1450</v>
          </cell>
          <cell r="AC30">
            <v>6</v>
          </cell>
          <cell r="AD30" t="str">
            <v>6ｲﾝﾁFWP</v>
          </cell>
          <cell r="AE30">
            <v>1450</v>
          </cell>
          <cell r="AL30">
            <v>6</v>
          </cell>
          <cell r="AO30" t="str">
            <v>3303SNCERABX8ARXA38</v>
          </cell>
        </row>
        <row r="31">
          <cell r="G31" t="str">
            <v>331SNCERABX8ARXT</v>
          </cell>
          <cell r="H31" t="str">
            <v>S</v>
          </cell>
          <cell r="I31" t="str">
            <v>N</v>
          </cell>
          <cell r="J31" t="str">
            <v>CERA</v>
          </cell>
          <cell r="K31" t="str">
            <v>BX8ARXT</v>
          </cell>
          <cell r="L31" t="str">
            <v>セラピール　ＢＸ８Ａ（ＲＸ）</v>
          </cell>
          <cell r="M31" t="str">
            <v>331SNCERABX8ARXT381335</v>
          </cell>
          <cell r="N31" t="str">
            <v>331SNCERABX8ARXT381330</v>
          </cell>
          <cell r="O31">
            <v>38</v>
          </cell>
          <cell r="P31">
            <v>331</v>
          </cell>
          <cell r="Q31" t="str">
            <v>R75XK</v>
          </cell>
          <cell r="R31">
            <v>1335</v>
          </cell>
          <cell r="S31">
            <v>12200</v>
          </cell>
          <cell r="T31">
            <v>1330</v>
          </cell>
          <cell r="U31">
            <v>1330</v>
          </cell>
          <cell r="V31">
            <v>6000</v>
          </cell>
          <cell r="W31">
            <v>2</v>
          </cell>
          <cell r="X31" t="str">
            <v>CF2</v>
          </cell>
          <cell r="Y31" t="str">
            <v>SL-1</v>
          </cell>
          <cell r="Z31">
            <v>6</v>
          </cell>
          <cell r="AA31" t="str">
            <v>6ｲﾝﾁFWP</v>
          </cell>
          <cell r="AB31">
            <v>1450</v>
          </cell>
          <cell r="AC31">
            <v>6</v>
          </cell>
          <cell r="AD31" t="str">
            <v>6ｲﾝﾁFWP</v>
          </cell>
          <cell r="AE31">
            <v>1450</v>
          </cell>
          <cell r="AL31">
            <v>6</v>
          </cell>
          <cell r="AM31" t="str">
            <v>エージング後スリット</v>
          </cell>
          <cell r="AO31" t="str">
            <v>331SNCERABX8ARXT38</v>
          </cell>
        </row>
        <row r="32">
          <cell r="G32" t="str">
            <v>3303SNCERABX8ARXT</v>
          </cell>
          <cell r="H32" t="str">
            <v>S</v>
          </cell>
          <cell r="I32" t="str">
            <v>N</v>
          </cell>
          <cell r="J32" t="str">
            <v>CERA</v>
          </cell>
          <cell r="K32" t="str">
            <v>BX8ARXT</v>
          </cell>
          <cell r="L32" t="str">
            <v>セラピール　ＢＸ８Ａ（ＲＸ）</v>
          </cell>
          <cell r="M32" t="str">
            <v>3303SNCERABX8ARXT381335</v>
          </cell>
          <cell r="N32" t="str">
            <v>3303SNCERABX8ARXT381330</v>
          </cell>
          <cell r="O32">
            <v>38</v>
          </cell>
          <cell r="P32">
            <v>3303</v>
          </cell>
          <cell r="Q32" t="str">
            <v>R75XK</v>
          </cell>
          <cell r="R32">
            <v>1335</v>
          </cell>
          <cell r="S32">
            <v>12200</v>
          </cell>
          <cell r="T32">
            <v>1330</v>
          </cell>
          <cell r="U32">
            <v>1330</v>
          </cell>
          <cell r="V32">
            <v>6000</v>
          </cell>
          <cell r="W32">
            <v>2</v>
          </cell>
          <cell r="X32" t="str">
            <v>CF2</v>
          </cell>
          <cell r="Y32" t="str">
            <v>SL-1</v>
          </cell>
          <cell r="Z32">
            <v>6</v>
          </cell>
          <cell r="AA32" t="str">
            <v>6ｲﾝﾁFWP</v>
          </cell>
          <cell r="AB32">
            <v>1450</v>
          </cell>
          <cell r="AC32">
            <v>6</v>
          </cell>
          <cell r="AD32" t="str">
            <v>6ｲﾝﾁFWP</v>
          </cell>
          <cell r="AE32">
            <v>1450</v>
          </cell>
          <cell r="AL32">
            <v>6</v>
          </cell>
          <cell r="AM32" t="str">
            <v>エージング後スリット 短尺品</v>
          </cell>
          <cell r="AO32" t="str">
            <v>3303SNCERABX8ARXT38</v>
          </cell>
        </row>
        <row r="33">
          <cell r="G33" t="str">
            <v>331SNCERABX8ARXT</v>
          </cell>
          <cell r="H33" t="str">
            <v>S</v>
          </cell>
          <cell r="I33" t="str">
            <v>N</v>
          </cell>
          <cell r="J33" t="str">
            <v>CERA</v>
          </cell>
          <cell r="K33" t="str">
            <v>BX8ARXT</v>
          </cell>
          <cell r="L33" t="str">
            <v>セラピール　ＢＸ８Ａ（ＲＸ）</v>
          </cell>
          <cell r="M33" t="str">
            <v>331SNCERABX8ARXT381585</v>
          </cell>
          <cell r="N33" t="str">
            <v>331SNCERABX8ARXT381580</v>
          </cell>
          <cell r="O33">
            <v>38</v>
          </cell>
          <cell r="P33">
            <v>331</v>
          </cell>
          <cell r="Q33" t="str">
            <v>R75XK</v>
          </cell>
          <cell r="R33">
            <v>1585</v>
          </cell>
          <cell r="S33">
            <v>12200</v>
          </cell>
          <cell r="T33">
            <v>1580</v>
          </cell>
          <cell r="U33">
            <v>1580</v>
          </cell>
          <cell r="V33">
            <v>6000</v>
          </cell>
          <cell r="W33">
            <v>2</v>
          </cell>
          <cell r="X33" t="str">
            <v>CF2</v>
          </cell>
          <cell r="Y33" t="str">
            <v>SL-1</v>
          </cell>
          <cell r="Z33">
            <v>6</v>
          </cell>
          <cell r="AA33" t="str">
            <v>6ｲﾝﾁFWP</v>
          </cell>
          <cell r="AB33">
            <v>1700</v>
          </cell>
          <cell r="AC33">
            <v>6</v>
          </cell>
          <cell r="AD33" t="str">
            <v>6ｲﾝﾁFWP</v>
          </cell>
          <cell r="AE33">
            <v>1700</v>
          </cell>
          <cell r="AL33">
            <v>6</v>
          </cell>
          <cell r="AM33" t="str">
            <v>エージング後スリット</v>
          </cell>
          <cell r="AO33" t="str">
            <v>331SNCERABX8ARXT38</v>
          </cell>
        </row>
        <row r="34">
          <cell r="G34" t="str">
            <v>3SNCERABX8AD</v>
          </cell>
          <cell r="H34" t="str">
            <v>S</v>
          </cell>
          <cell r="I34" t="str">
            <v>N</v>
          </cell>
          <cell r="J34" t="str">
            <v>CERA</v>
          </cell>
          <cell r="K34" t="str">
            <v>BX8AD</v>
          </cell>
          <cell r="L34" t="str">
            <v>セラピール　ＢＸ８Ａ（Ｄ）</v>
          </cell>
          <cell r="M34" t="str">
            <v>3SNCERABX8AD751337</v>
          </cell>
          <cell r="N34" t="str">
            <v>3SNCERABX8AD751330</v>
          </cell>
          <cell r="O34">
            <v>75</v>
          </cell>
          <cell r="P34">
            <v>3</v>
          </cell>
          <cell r="Q34" t="str">
            <v>T102</v>
          </cell>
          <cell r="R34">
            <v>1337</v>
          </cell>
          <cell r="S34">
            <v>5200</v>
          </cell>
          <cell r="T34">
            <v>1337</v>
          </cell>
          <cell r="U34">
            <v>1330</v>
          </cell>
          <cell r="V34">
            <v>5000</v>
          </cell>
          <cell r="W34">
            <v>2</v>
          </cell>
          <cell r="X34" t="str">
            <v>CF2</v>
          </cell>
          <cell r="Y34" t="str">
            <v>直出し</v>
          </cell>
          <cell r="Z34">
            <v>6</v>
          </cell>
          <cell r="AA34" t="str">
            <v>6ｲﾝﾁFWP</v>
          </cell>
          <cell r="AB34">
            <v>1450</v>
          </cell>
          <cell r="AC34">
            <v>6</v>
          </cell>
          <cell r="AD34" t="str">
            <v>6ｲﾝﾁFWP</v>
          </cell>
          <cell r="AE34">
            <v>1450</v>
          </cell>
          <cell r="AL34">
            <v>6</v>
          </cell>
          <cell r="AO34" t="str">
            <v>3SNCERABX8AD75</v>
          </cell>
        </row>
        <row r="35">
          <cell r="G35" t="str">
            <v>3SNCERABX8AD</v>
          </cell>
          <cell r="H35" t="str">
            <v>S</v>
          </cell>
          <cell r="I35" t="str">
            <v>N</v>
          </cell>
          <cell r="J35" t="str">
            <v>CERA</v>
          </cell>
          <cell r="K35" t="str">
            <v>BX8AD</v>
          </cell>
          <cell r="L35" t="str">
            <v>セラピール　ＢＸ８Ａ（Ｄ）</v>
          </cell>
          <cell r="M35" t="str">
            <v>3SNCERABX8AD751335</v>
          </cell>
          <cell r="N35" t="str">
            <v>3SNCERABX8AD751330</v>
          </cell>
          <cell r="O35">
            <v>75</v>
          </cell>
          <cell r="P35">
            <v>3</v>
          </cell>
          <cell r="Q35" t="str">
            <v>T102</v>
          </cell>
          <cell r="R35">
            <v>1335</v>
          </cell>
          <cell r="S35">
            <v>5200</v>
          </cell>
          <cell r="T35">
            <v>1335</v>
          </cell>
          <cell r="U35">
            <v>1330</v>
          </cell>
          <cell r="V35">
            <v>5000</v>
          </cell>
          <cell r="W35">
            <v>2</v>
          </cell>
          <cell r="X35" t="str">
            <v>CF2</v>
          </cell>
          <cell r="Y35" t="str">
            <v>直出し</v>
          </cell>
          <cell r="Z35">
            <v>6</v>
          </cell>
          <cell r="AA35" t="str">
            <v>6ｲﾝﾁFWP</v>
          </cell>
          <cell r="AB35">
            <v>1450</v>
          </cell>
          <cell r="AC35">
            <v>6</v>
          </cell>
          <cell r="AD35" t="str">
            <v>6ｲﾝﾁFWP</v>
          </cell>
          <cell r="AE35">
            <v>1450</v>
          </cell>
          <cell r="AL35">
            <v>6</v>
          </cell>
          <cell r="AO35" t="str">
            <v>3SNCERABX8AD75</v>
          </cell>
        </row>
        <row r="36">
          <cell r="G36" t="str">
            <v>3SNCERABX8AX</v>
          </cell>
          <cell r="H36" t="str">
            <v>S</v>
          </cell>
          <cell r="I36" t="str">
            <v>N</v>
          </cell>
          <cell r="J36" t="str">
            <v>CERA</v>
          </cell>
          <cell r="K36" t="str">
            <v>BX8AX</v>
          </cell>
          <cell r="L36" t="str">
            <v>セラピール　ＢＸ８Ａ（Ｘ）</v>
          </cell>
          <cell r="M36" t="str">
            <v>3SNCERABX8AX751335</v>
          </cell>
          <cell r="N36" t="str">
            <v>3SNCERABX8AX751330</v>
          </cell>
          <cell r="O36">
            <v>75</v>
          </cell>
          <cell r="P36">
            <v>3</v>
          </cell>
          <cell r="Q36" t="str">
            <v>XD500P</v>
          </cell>
          <cell r="R36">
            <v>1335</v>
          </cell>
          <cell r="S36">
            <v>4300</v>
          </cell>
          <cell r="T36">
            <v>1330</v>
          </cell>
          <cell r="U36">
            <v>1330</v>
          </cell>
          <cell r="V36">
            <v>4100</v>
          </cell>
          <cell r="W36">
            <v>2</v>
          </cell>
          <cell r="X36" t="str">
            <v>CF2</v>
          </cell>
          <cell r="Y36" t="str">
            <v>直出し</v>
          </cell>
          <cell r="Z36">
            <v>6</v>
          </cell>
          <cell r="AA36" t="str">
            <v>6ｲﾝﾁFWP</v>
          </cell>
          <cell r="AB36">
            <v>1450</v>
          </cell>
          <cell r="AC36">
            <v>6</v>
          </cell>
          <cell r="AD36" t="str">
            <v>6ｲﾝﾁFWP</v>
          </cell>
          <cell r="AE36">
            <v>1450</v>
          </cell>
          <cell r="AL36">
            <v>6</v>
          </cell>
          <cell r="AO36" t="str">
            <v>3SNCERABX8AX75</v>
          </cell>
        </row>
        <row r="37">
          <cell r="G37" t="str">
            <v>3SNCERABX8AX</v>
          </cell>
          <cell r="H37" t="str">
            <v>S</v>
          </cell>
          <cell r="I37" t="str">
            <v>N</v>
          </cell>
          <cell r="J37" t="str">
            <v>CERA</v>
          </cell>
          <cell r="K37" t="str">
            <v>BX8AX</v>
          </cell>
          <cell r="L37" t="str">
            <v>セラピール　ＢＸ８Ａ（Ｘ）</v>
          </cell>
          <cell r="M37" t="str">
            <v>3SNCERABX8AX751110</v>
          </cell>
          <cell r="N37" t="str">
            <v>3SNCERABX8AX751100</v>
          </cell>
          <cell r="O37">
            <v>75</v>
          </cell>
          <cell r="P37">
            <v>3</v>
          </cell>
          <cell r="Q37" t="str">
            <v>XD500P</v>
          </cell>
          <cell r="R37">
            <v>1110</v>
          </cell>
          <cell r="S37">
            <v>4200</v>
          </cell>
          <cell r="T37">
            <v>1110</v>
          </cell>
          <cell r="U37">
            <v>1100</v>
          </cell>
          <cell r="V37">
            <v>4000</v>
          </cell>
          <cell r="W37">
            <v>2</v>
          </cell>
          <cell r="X37" t="str">
            <v>CF2</v>
          </cell>
          <cell r="Y37" t="str">
            <v>直出し</v>
          </cell>
          <cell r="Z37">
            <v>6</v>
          </cell>
          <cell r="AA37" t="str">
            <v>6ｲﾝﾁFWP</v>
          </cell>
          <cell r="AB37">
            <v>1450</v>
          </cell>
          <cell r="AL37">
            <v>6</v>
          </cell>
          <cell r="AO37" t="str">
            <v>3SNCERABX8AX75</v>
          </cell>
        </row>
        <row r="38">
          <cell r="G38" t="str">
            <v>3SYCERABX8AS</v>
          </cell>
          <cell r="H38" t="str">
            <v>S</v>
          </cell>
          <cell r="I38" t="str">
            <v>Y</v>
          </cell>
          <cell r="J38" t="str">
            <v>CERA</v>
          </cell>
          <cell r="K38" t="str">
            <v>BX8AS</v>
          </cell>
          <cell r="L38" t="str">
            <v>セラピール　ＢＸ８Ａ(Ｓ)</v>
          </cell>
          <cell r="M38" t="str">
            <v>3SYCERABX8AS751045</v>
          </cell>
          <cell r="N38" t="str">
            <v>3SYCERABX8AS751040</v>
          </cell>
          <cell r="O38">
            <v>75</v>
          </cell>
          <cell r="P38">
            <v>3</v>
          </cell>
          <cell r="Q38" t="str">
            <v>S28</v>
          </cell>
          <cell r="R38">
            <v>1045</v>
          </cell>
          <cell r="S38">
            <v>4200</v>
          </cell>
          <cell r="T38">
            <v>1040</v>
          </cell>
          <cell r="U38">
            <v>1040</v>
          </cell>
          <cell r="V38">
            <v>4000</v>
          </cell>
          <cell r="W38">
            <v>1</v>
          </cell>
          <cell r="X38" t="str">
            <v>CF2</v>
          </cell>
          <cell r="Y38" t="str">
            <v>直出し</v>
          </cell>
          <cell r="Z38">
            <v>6</v>
          </cell>
          <cell r="AA38" t="str">
            <v>6ｲﾝﾁABS</v>
          </cell>
          <cell r="AB38">
            <v>1060</v>
          </cell>
          <cell r="AC38">
            <v>6</v>
          </cell>
          <cell r="AD38" t="str">
            <v>6ｲﾝﾁABS</v>
          </cell>
          <cell r="AE38">
            <v>1060</v>
          </cell>
          <cell r="AL38">
            <v>6</v>
          </cell>
          <cell r="AO38" t="str">
            <v>3SYCERABX8AS75</v>
          </cell>
        </row>
        <row r="39">
          <cell r="G39" t="str">
            <v>3SNCERABX8A14</v>
          </cell>
          <cell r="H39" t="str">
            <v>S</v>
          </cell>
          <cell r="I39" t="str">
            <v>N</v>
          </cell>
          <cell r="J39" t="str">
            <v>CERA</v>
          </cell>
          <cell r="K39" t="str">
            <v>BX8A14</v>
          </cell>
          <cell r="L39" t="str">
            <v>セラピール　ＢＸ８Ａ（１４）</v>
          </cell>
          <cell r="M39" t="str">
            <v>3SNCERABX8A14751310</v>
          </cell>
          <cell r="N39" t="str">
            <v>3SNCERABX8A14751300</v>
          </cell>
          <cell r="O39">
            <v>75</v>
          </cell>
          <cell r="P39">
            <v>3</v>
          </cell>
          <cell r="Q39" t="str">
            <v>S28</v>
          </cell>
          <cell r="R39">
            <v>1310</v>
          </cell>
          <cell r="S39">
            <v>4500</v>
          </cell>
          <cell r="T39">
            <v>1300</v>
          </cell>
          <cell r="U39">
            <v>1300</v>
          </cell>
          <cell r="V39">
            <v>4300</v>
          </cell>
          <cell r="W39">
            <v>2</v>
          </cell>
          <cell r="X39" t="str">
            <v>CF2</v>
          </cell>
          <cell r="Y39" t="str">
            <v>直出し</v>
          </cell>
          <cell r="Z39">
            <v>6</v>
          </cell>
          <cell r="AA39" t="str">
            <v>6ｲﾝﾁFWP</v>
          </cell>
          <cell r="AB39">
            <v>1320</v>
          </cell>
          <cell r="AL39">
            <v>6</v>
          </cell>
          <cell r="AO39" t="str">
            <v>3SNCERABX8A1475</v>
          </cell>
        </row>
        <row r="40">
          <cell r="G40" t="str">
            <v>3SYCERABX9AS</v>
          </cell>
          <cell r="H40" t="str">
            <v>S</v>
          </cell>
          <cell r="I40" t="str">
            <v>Y</v>
          </cell>
          <cell r="J40" t="str">
            <v>CERA</v>
          </cell>
          <cell r="K40" t="str">
            <v>BX9AS</v>
          </cell>
          <cell r="L40" t="str">
            <v>セラピール　ＢＸ９Ａ(Ｓ)</v>
          </cell>
          <cell r="M40" t="str">
            <v>3SYCERABX9AS751045</v>
          </cell>
          <cell r="N40" t="str">
            <v>3SYCERABX9AS751040</v>
          </cell>
          <cell r="O40">
            <v>75</v>
          </cell>
          <cell r="P40">
            <v>3</v>
          </cell>
          <cell r="Q40" t="str">
            <v>S28</v>
          </cell>
          <cell r="R40">
            <v>1045</v>
          </cell>
          <cell r="S40">
            <v>4200</v>
          </cell>
          <cell r="T40">
            <v>1040</v>
          </cell>
          <cell r="U40">
            <v>1040</v>
          </cell>
          <cell r="V40">
            <v>4000</v>
          </cell>
          <cell r="W40">
            <v>1</v>
          </cell>
          <cell r="X40" t="str">
            <v>CF2</v>
          </cell>
          <cell r="Y40" t="str">
            <v>直出し</v>
          </cell>
          <cell r="Z40">
            <v>6</v>
          </cell>
          <cell r="AA40" t="str">
            <v>6ｲﾝﾁABS</v>
          </cell>
          <cell r="AB40">
            <v>1060</v>
          </cell>
          <cell r="AC40">
            <v>6</v>
          </cell>
          <cell r="AD40" t="str">
            <v>6ｲﾝﾁABS</v>
          </cell>
          <cell r="AE40">
            <v>1060</v>
          </cell>
          <cell r="AL40">
            <v>6</v>
          </cell>
          <cell r="AO40" t="str">
            <v>3SYCERABX9AS75</v>
          </cell>
        </row>
        <row r="41">
          <cell r="G41" t="str">
            <v>3313SNCERAMD(A)R</v>
          </cell>
          <cell r="H41" t="str">
            <v>S</v>
          </cell>
          <cell r="I41" t="str">
            <v>N</v>
          </cell>
          <cell r="J41" t="str">
            <v>CERA</v>
          </cell>
          <cell r="K41" t="str">
            <v>MD(A)R</v>
          </cell>
          <cell r="L41" t="str">
            <v>セラピール　ＭＤ（Ａ）（Ｒ）</v>
          </cell>
          <cell r="M41" t="str">
            <v>3313SNCERAMD(A)R381550</v>
          </cell>
          <cell r="N41" t="str">
            <v>3313SNCERAMD(A)R38750</v>
          </cell>
          <cell r="O41">
            <v>38</v>
          </cell>
          <cell r="P41">
            <v>3313</v>
          </cell>
          <cell r="Q41" t="str">
            <v>R75X</v>
          </cell>
          <cell r="R41">
            <v>1550</v>
          </cell>
          <cell r="S41">
            <v>12200</v>
          </cell>
          <cell r="T41">
            <v>750</v>
          </cell>
          <cell r="U41">
            <v>750</v>
          </cell>
          <cell r="V41">
            <v>6000</v>
          </cell>
          <cell r="W41">
            <v>2</v>
          </cell>
          <cell r="X41" t="str">
            <v>CF2</v>
          </cell>
          <cell r="Y41" t="str">
            <v>SL-1</v>
          </cell>
          <cell r="Z41">
            <v>6</v>
          </cell>
          <cell r="AA41" t="str">
            <v>6ｲﾝﾁFWP</v>
          </cell>
          <cell r="AB41">
            <v>1700</v>
          </cell>
          <cell r="AC41">
            <v>6</v>
          </cell>
          <cell r="AD41" t="str">
            <v>6ｲﾝﾁFWP</v>
          </cell>
          <cell r="AE41">
            <v>930</v>
          </cell>
          <cell r="AO41" t="str">
            <v>3313SNCERAMD(A)R38</v>
          </cell>
        </row>
        <row r="42">
          <cell r="G42" t="str">
            <v>331SNCERAMD(A)R</v>
          </cell>
          <cell r="H42" t="str">
            <v>S</v>
          </cell>
          <cell r="I42" t="str">
            <v>N</v>
          </cell>
          <cell r="J42" t="str">
            <v>CERA</v>
          </cell>
          <cell r="K42" t="str">
            <v>MD(A)R</v>
          </cell>
          <cell r="L42" t="str">
            <v>セラピール　ＭＤ（Ａ）（Ｒ）</v>
          </cell>
          <cell r="M42" t="str">
            <v>331SNCERAMD(A)R381025</v>
          </cell>
          <cell r="N42" t="str">
            <v>331SNCERAMD(A)R381020</v>
          </cell>
          <cell r="O42">
            <v>38</v>
          </cell>
          <cell r="P42">
            <v>331</v>
          </cell>
          <cell r="Q42" t="str">
            <v>R75X</v>
          </cell>
          <cell r="R42">
            <v>1025</v>
          </cell>
          <cell r="S42">
            <v>12200</v>
          </cell>
          <cell r="T42">
            <v>1025</v>
          </cell>
          <cell r="U42">
            <v>1020</v>
          </cell>
          <cell r="V42">
            <v>6000</v>
          </cell>
          <cell r="W42">
            <v>2</v>
          </cell>
          <cell r="X42" t="str">
            <v>CF2</v>
          </cell>
          <cell r="Y42" t="str">
            <v>半直</v>
          </cell>
          <cell r="Z42">
            <v>6</v>
          </cell>
          <cell r="AA42" t="str">
            <v>6ｲﾝﾁFWP</v>
          </cell>
          <cell r="AB42">
            <v>1040</v>
          </cell>
          <cell r="AC42">
            <v>6</v>
          </cell>
          <cell r="AD42" t="str">
            <v>6ｲﾝﾁFWP</v>
          </cell>
          <cell r="AE42">
            <v>1040</v>
          </cell>
          <cell r="AO42" t="str">
            <v>331SNCERAMD(A)R38</v>
          </cell>
        </row>
        <row r="43">
          <cell r="G43" t="str">
            <v>331SNCERAMD(A)R</v>
          </cell>
          <cell r="H43" t="str">
            <v>S</v>
          </cell>
          <cell r="I43" t="str">
            <v>N</v>
          </cell>
          <cell r="J43" t="str">
            <v>CERA</v>
          </cell>
          <cell r="K43" t="str">
            <v>MD(A)R</v>
          </cell>
          <cell r="L43" t="str">
            <v>セラピール　ＭＤ（Ａ）（Ｒ）</v>
          </cell>
          <cell r="M43" t="str">
            <v>331SNCERAMD(A)R381255</v>
          </cell>
          <cell r="N43" t="str">
            <v>331SNCERAMD(A)R381250</v>
          </cell>
          <cell r="O43">
            <v>38</v>
          </cell>
          <cell r="P43">
            <v>331</v>
          </cell>
          <cell r="Q43" t="str">
            <v>R75X</v>
          </cell>
          <cell r="R43">
            <v>1255</v>
          </cell>
          <cell r="S43">
            <v>12200</v>
          </cell>
          <cell r="T43">
            <v>1255</v>
          </cell>
          <cell r="U43">
            <v>1250</v>
          </cell>
          <cell r="V43">
            <v>6000</v>
          </cell>
          <cell r="W43">
            <v>2</v>
          </cell>
          <cell r="X43" t="str">
            <v>CF2</v>
          </cell>
          <cell r="Y43" t="str">
            <v>半直</v>
          </cell>
          <cell r="Z43">
            <v>6</v>
          </cell>
          <cell r="AA43" t="str">
            <v>6ｲﾝﾁFWP</v>
          </cell>
          <cell r="AB43">
            <v>1270</v>
          </cell>
          <cell r="AC43">
            <v>6</v>
          </cell>
          <cell r="AD43" t="str">
            <v>6ｲﾝﾁFWP</v>
          </cell>
          <cell r="AE43">
            <v>1270</v>
          </cell>
          <cell r="AO43" t="str">
            <v>331SNCERAMD(A)R38</v>
          </cell>
        </row>
        <row r="44">
          <cell r="G44" t="str">
            <v>331SNCERAMD(A)R</v>
          </cell>
          <cell r="H44" t="str">
            <v>S</v>
          </cell>
          <cell r="I44" t="str">
            <v>N</v>
          </cell>
          <cell r="J44" t="str">
            <v>CERA</v>
          </cell>
          <cell r="K44" t="str">
            <v>MD(A)R</v>
          </cell>
          <cell r="L44" t="str">
            <v>セラピール　ＭＤ（Ａ）（Ｒ）</v>
          </cell>
          <cell r="M44" t="str">
            <v>331SNCERAMD(A)R381585</v>
          </cell>
          <cell r="N44" t="str">
            <v>331SNCERAMD(A)R381580</v>
          </cell>
          <cell r="O44">
            <v>38</v>
          </cell>
          <cell r="P44">
            <v>331</v>
          </cell>
          <cell r="Q44" t="str">
            <v>R75X</v>
          </cell>
          <cell r="R44">
            <v>1585</v>
          </cell>
          <cell r="S44">
            <v>12200</v>
          </cell>
          <cell r="T44">
            <v>1585</v>
          </cell>
          <cell r="U44">
            <v>1580</v>
          </cell>
          <cell r="V44">
            <v>4000</v>
          </cell>
          <cell r="W44">
            <v>2</v>
          </cell>
          <cell r="X44" t="str">
            <v>CF2</v>
          </cell>
          <cell r="Y44" t="str">
            <v>3直</v>
          </cell>
          <cell r="Z44">
            <v>6</v>
          </cell>
          <cell r="AA44" t="str">
            <v>6ｲﾝﾁFWP</v>
          </cell>
          <cell r="AB44">
            <v>1700</v>
          </cell>
          <cell r="AC44">
            <v>6</v>
          </cell>
          <cell r="AD44" t="str">
            <v>6ｲﾝﾁFWP</v>
          </cell>
          <cell r="AE44">
            <v>1700</v>
          </cell>
          <cell r="AO44" t="str">
            <v>331SNCERAMD(A)R38</v>
          </cell>
        </row>
        <row r="45">
          <cell r="G45" t="str">
            <v>3321SNCERAMDACPFL</v>
          </cell>
          <cell r="H45" t="str">
            <v>S</v>
          </cell>
          <cell r="I45" t="str">
            <v>N</v>
          </cell>
          <cell r="J45" t="str">
            <v>CERA</v>
          </cell>
          <cell r="K45" t="str">
            <v>MDACPFL</v>
          </cell>
          <cell r="L45" t="str">
            <v>Ｋ　セラピールＭＤＡ（ＣＰＲＦ）Ｌ</v>
          </cell>
          <cell r="M45" t="str">
            <v>3321SNCERAMDACPFL381336</v>
          </cell>
          <cell r="N45" t="str">
            <v>3321SNCERAMDACPFL381325</v>
          </cell>
          <cell r="O45">
            <v>38</v>
          </cell>
          <cell r="P45">
            <v>3321</v>
          </cell>
          <cell r="Q45" t="str">
            <v>XF60R</v>
          </cell>
          <cell r="R45">
            <v>1336</v>
          </cell>
          <cell r="S45">
            <v>12050</v>
          </cell>
          <cell r="T45">
            <v>1336</v>
          </cell>
          <cell r="U45">
            <v>1325</v>
          </cell>
          <cell r="V45">
            <v>12000</v>
          </cell>
          <cell r="W45">
            <v>2</v>
          </cell>
          <cell r="X45" t="str">
            <v>CF2</v>
          </cell>
          <cell r="Y45" t="str">
            <v>直出し</v>
          </cell>
          <cell r="Z45">
            <v>6</v>
          </cell>
          <cell r="AA45" t="str">
            <v>6ｲﾝﾁFWP</v>
          </cell>
          <cell r="AB45">
            <v>1450</v>
          </cell>
          <cell r="AO45" t="str">
            <v>3321SNCERAMDACPFL38</v>
          </cell>
        </row>
        <row r="46">
          <cell r="G46" t="str">
            <v>3321SNCERAMDAPFL</v>
          </cell>
          <cell r="H46" t="str">
            <v>S</v>
          </cell>
          <cell r="I46" t="str">
            <v>N</v>
          </cell>
          <cell r="J46" t="str">
            <v>CERA</v>
          </cell>
          <cell r="K46" t="str">
            <v>MDAPFL</v>
          </cell>
          <cell r="L46" t="str">
            <v>Ｋ　セラピールＭＤＡ（ＰＲＦ）Ｌ</v>
          </cell>
          <cell r="M46" t="str">
            <v>3321SNCERAMDAPFL381336</v>
          </cell>
          <cell r="N46" t="str">
            <v>3321SNCERAMDAPFL381325</v>
          </cell>
          <cell r="O46">
            <v>38</v>
          </cell>
          <cell r="P46">
            <v>3321</v>
          </cell>
          <cell r="Q46" t="str">
            <v>XF60R</v>
          </cell>
          <cell r="R46">
            <v>1336</v>
          </cell>
          <cell r="S46">
            <v>12050</v>
          </cell>
          <cell r="T46">
            <v>1336</v>
          </cell>
          <cell r="U46">
            <v>1325</v>
          </cell>
          <cell r="V46">
            <v>12000</v>
          </cell>
          <cell r="W46">
            <v>2</v>
          </cell>
          <cell r="X46" t="str">
            <v>CF2</v>
          </cell>
          <cell r="Y46" t="str">
            <v>直出し</v>
          </cell>
          <cell r="Z46">
            <v>6</v>
          </cell>
          <cell r="AA46" t="str">
            <v>6ｲﾝﾁFWP</v>
          </cell>
          <cell r="AB46">
            <v>1450</v>
          </cell>
          <cell r="AO46" t="str">
            <v>3321SNCERAMDAPFL38</v>
          </cell>
        </row>
        <row r="47">
          <cell r="G47" t="str">
            <v>330SNCERAMDAR</v>
          </cell>
          <cell r="H47" t="str">
            <v>S</v>
          </cell>
          <cell r="I47" t="str">
            <v>N</v>
          </cell>
          <cell r="J47" t="str">
            <v>CERA</v>
          </cell>
          <cell r="K47" t="str">
            <v>MDAR</v>
          </cell>
          <cell r="L47" t="str">
            <v>セラピール　ＭＤＡ（Ｒ）</v>
          </cell>
          <cell r="M47" t="str">
            <v>330SNCERAMDAR1251105</v>
          </cell>
          <cell r="N47" t="str">
            <v>330SNCERAMDAR1251100</v>
          </cell>
          <cell r="O47">
            <v>125</v>
          </cell>
          <cell r="P47">
            <v>330</v>
          </cell>
          <cell r="Q47" t="str">
            <v>XD1NB1</v>
          </cell>
          <cell r="R47">
            <v>1105</v>
          </cell>
          <cell r="S47">
            <v>3450</v>
          </cell>
          <cell r="T47">
            <v>1105</v>
          </cell>
          <cell r="U47">
            <v>1100</v>
          </cell>
          <cell r="V47">
            <v>3400</v>
          </cell>
          <cell r="W47">
            <v>2</v>
          </cell>
          <cell r="X47" t="str">
            <v>CF2</v>
          </cell>
          <cell r="Y47" t="str">
            <v>直出し</v>
          </cell>
          <cell r="Z47">
            <v>6</v>
          </cell>
          <cell r="AA47" t="str">
            <v>6ｲﾝﾁFWP</v>
          </cell>
          <cell r="AB47">
            <v>1450</v>
          </cell>
          <cell r="AO47" t="str">
            <v>330SNCERAMDAR125</v>
          </cell>
        </row>
        <row r="48">
          <cell r="G48" t="str">
            <v>331SNCERAMDARX</v>
          </cell>
          <cell r="H48" t="str">
            <v>S</v>
          </cell>
          <cell r="I48" t="str">
            <v>N</v>
          </cell>
          <cell r="J48" t="str">
            <v>CERA</v>
          </cell>
          <cell r="K48" t="str">
            <v>MDARX</v>
          </cell>
          <cell r="L48" t="str">
            <v>セラピール　ＭＤＡ（ＲＸ）</v>
          </cell>
          <cell r="M48" t="str">
            <v>331SNCERAMDARX381305</v>
          </cell>
          <cell r="N48" t="str">
            <v>331SNCERAMDARX38315</v>
          </cell>
          <cell r="O48">
            <v>38</v>
          </cell>
          <cell r="P48">
            <v>331</v>
          </cell>
          <cell r="Q48" t="str">
            <v>R75X</v>
          </cell>
          <cell r="R48">
            <v>1305</v>
          </cell>
          <cell r="S48">
            <v>12200</v>
          </cell>
          <cell r="T48">
            <v>315</v>
          </cell>
          <cell r="U48">
            <v>315</v>
          </cell>
          <cell r="V48">
            <v>1950</v>
          </cell>
          <cell r="W48">
            <v>2</v>
          </cell>
          <cell r="X48" t="str">
            <v>CF2</v>
          </cell>
          <cell r="Y48" t="str">
            <v>SL-1</v>
          </cell>
          <cell r="Z48">
            <v>6</v>
          </cell>
          <cell r="AA48" t="str">
            <v>6ｲﾝﾁFWP</v>
          </cell>
          <cell r="AB48">
            <v>1450</v>
          </cell>
          <cell r="AC48">
            <v>3</v>
          </cell>
          <cell r="AD48" t="str">
            <v>3ｲﾝﾁABS</v>
          </cell>
          <cell r="AE48">
            <v>322</v>
          </cell>
          <cell r="AO48" t="str">
            <v>331SNCERAMDARX38</v>
          </cell>
        </row>
        <row r="49">
          <cell r="G49" t="str">
            <v>331SNCERAMDARX</v>
          </cell>
          <cell r="H49" t="str">
            <v>S</v>
          </cell>
          <cell r="I49" t="str">
            <v>N</v>
          </cell>
          <cell r="J49" t="str">
            <v>CERA</v>
          </cell>
          <cell r="K49" t="str">
            <v>MDARX</v>
          </cell>
          <cell r="L49" t="str">
            <v>セラピール　ＭＤＡ（ＲＸ）</v>
          </cell>
          <cell r="M49" t="str">
            <v>331SNCERAMDARX381305</v>
          </cell>
          <cell r="N49" t="str">
            <v>331SNCERAMDARX38415</v>
          </cell>
          <cell r="O49">
            <v>38</v>
          </cell>
          <cell r="P49">
            <v>331</v>
          </cell>
          <cell r="Q49" t="str">
            <v>R75X</v>
          </cell>
          <cell r="R49">
            <v>1305</v>
          </cell>
          <cell r="S49">
            <v>12200</v>
          </cell>
          <cell r="T49">
            <v>415</v>
          </cell>
          <cell r="U49">
            <v>415</v>
          </cell>
          <cell r="V49">
            <v>1950</v>
          </cell>
          <cell r="W49">
            <v>2</v>
          </cell>
          <cell r="X49" t="str">
            <v>CF2</v>
          </cell>
          <cell r="Y49" t="str">
            <v>SL-1</v>
          </cell>
          <cell r="Z49">
            <v>6</v>
          </cell>
          <cell r="AA49" t="str">
            <v>6ｲﾝﾁFWP</v>
          </cell>
          <cell r="AB49">
            <v>1450</v>
          </cell>
          <cell r="AC49">
            <v>3</v>
          </cell>
          <cell r="AD49" t="str">
            <v>3ｲﾝﾁABS</v>
          </cell>
          <cell r="AE49">
            <v>422</v>
          </cell>
          <cell r="AO49" t="str">
            <v>331SNCERAMDARX38</v>
          </cell>
        </row>
        <row r="50">
          <cell r="G50" t="str">
            <v>3SNCERAMDAS</v>
          </cell>
          <cell r="H50" t="str">
            <v>S</v>
          </cell>
          <cell r="I50" t="str">
            <v>N</v>
          </cell>
          <cell r="J50" t="str">
            <v>CERA</v>
          </cell>
          <cell r="K50" t="str">
            <v>MDAS</v>
          </cell>
          <cell r="L50" t="str">
            <v>セラピール　ＭＤＡ（Ｓ）</v>
          </cell>
          <cell r="M50" t="str">
            <v>3SNCERAMDAS501310</v>
          </cell>
          <cell r="N50" t="str">
            <v>3SNCERAMDAS501300</v>
          </cell>
          <cell r="O50">
            <v>50</v>
          </cell>
          <cell r="P50">
            <v>3</v>
          </cell>
          <cell r="Q50" t="str">
            <v>S28M</v>
          </cell>
          <cell r="R50">
            <v>1310</v>
          </cell>
          <cell r="S50">
            <v>6400</v>
          </cell>
          <cell r="T50">
            <v>1310</v>
          </cell>
          <cell r="U50">
            <v>1300</v>
          </cell>
          <cell r="V50">
            <v>6200</v>
          </cell>
          <cell r="W50">
            <v>2</v>
          </cell>
          <cell r="X50" t="str">
            <v>CF2</v>
          </cell>
          <cell r="Y50" t="str">
            <v>直出し</v>
          </cell>
          <cell r="Z50">
            <v>6</v>
          </cell>
          <cell r="AA50" t="str">
            <v>6ｲﾝﾁFWP</v>
          </cell>
          <cell r="AB50">
            <v>1320</v>
          </cell>
          <cell r="AO50" t="str">
            <v>3SNCERAMDAS50</v>
          </cell>
        </row>
        <row r="51">
          <cell r="G51" t="str">
            <v>3SNCERAMFACR</v>
          </cell>
          <cell r="H51" t="str">
            <v>S</v>
          </cell>
          <cell r="I51" t="str">
            <v>N</v>
          </cell>
          <cell r="J51" t="str">
            <v>CERA</v>
          </cell>
          <cell r="K51" t="str">
            <v>MFACR</v>
          </cell>
          <cell r="L51" t="str">
            <v>セラピール　ＭＦＡ（ＣＲ）</v>
          </cell>
          <cell r="M51" t="str">
            <v>3SNCERAMFACR311370</v>
          </cell>
          <cell r="N51" t="str">
            <v>3SNCERAMFACR31440</v>
          </cell>
          <cell r="O51">
            <v>31</v>
          </cell>
          <cell r="P51">
            <v>3</v>
          </cell>
          <cell r="Q51" t="str">
            <v>A56</v>
          </cell>
          <cell r="R51">
            <v>1370</v>
          </cell>
          <cell r="S51">
            <v>13450</v>
          </cell>
          <cell r="T51">
            <v>440</v>
          </cell>
          <cell r="U51">
            <v>440</v>
          </cell>
          <cell r="V51">
            <v>6500</v>
          </cell>
          <cell r="W51">
            <v>1</v>
          </cell>
          <cell r="X51" t="str">
            <v>CF2</v>
          </cell>
          <cell r="Y51" t="str">
            <v>SL-1</v>
          </cell>
          <cell r="Z51">
            <v>6</v>
          </cell>
          <cell r="AA51" t="str">
            <v>6ｲﾝﾁFWP</v>
          </cell>
          <cell r="AB51">
            <v>1450</v>
          </cell>
          <cell r="AC51">
            <v>3</v>
          </cell>
          <cell r="AD51" t="str">
            <v>ｶﾞﾗｽｴﾎﾟｷｼ</v>
          </cell>
          <cell r="AE51">
            <v>595</v>
          </cell>
          <cell r="AO51" t="str">
            <v>3SNCERAMFACR31</v>
          </cell>
        </row>
        <row r="52">
          <cell r="G52" t="str">
            <v>3RSNCERAMFARX</v>
          </cell>
          <cell r="H52" t="str">
            <v>S</v>
          </cell>
          <cell r="I52" t="str">
            <v>N</v>
          </cell>
          <cell r="J52" t="str">
            <v>CERA</v>
          </cell>
          <cell r="K52" t="str">
            <v>MFARX</v>
          </cell>
          <cell r="L52" t="str">
            <v>セラピール　ＭＦＡ（ＲＸ）</v>
          </cell>
          <cell r="M52" t="str">
            <v>3RSNCERAMFARX381270</v>
          </cell>
          <cell r="N52" t="str">
            <v>3RSNCERAMFARX381265</v>
          </cell>
          <cell r="O52">
            <v>38</v>
          </cell>
          <cell r="P52" t="str">
            <v>3R</v>
          </cell>
          <cell r="Q52" t="str">
            <v>R75X</v>
          </cell>
          <cell r="R52">
            <v>1270</v>
          </cell>
          <cell r="S52">
            <v>12200</v>
          </cell>
          <cell r="T52">
            <v>1265</v>
          </cell>
          <cell r="U52">
            <v>1265</v>
          </cell>
          <cell r="V52">
            <v>4000</v>
          </cell>
          <cell r="W52">
            <v>2</v>
          </cell>
          <cell r="X52" t="str">
            <v>CF2</v>
          </cell>
          <cell r="Y52" t="str">
            <v>SL-1</v>
          </cell>
          <cell r="Z52">
            <v>6</v>
          </cell>
          <cell r="AA52" t="str">
            <v>6ｲﾝﾁFWP</v>
          </cell>
          <cell r="AB52">
            <v>1450</v>
          </cell>
          <cell r="AC52">
            <v>6</v>
          </cell>
          <cell r="AD52" t="str">
            <v>6ｲﾝﾁFWP</v>
          </cell>
          <cell r="AE52">
            <v>1300</v>
          </cell>
          <cell r="AO52" t="str">
            <v>3RSNCERAMFARX38</v>
          </cell>
        </row>
        <row r="53">
          <cell r="G53" t="str">
            <v>3SNCERAMFAS</v>
          </cell>
          <cell r="H53" t="str">
            <v>S</v>
          </cell>
          <cell r="I53" t="str">
            <v>N</v>
          </cell>
          <cell r="J53" t="str">
            <v>CERA</v>
          </cell>
          <cell r="K53" t="str">
            <v>MFAS</v>
          </cell>
          <cell r="L53" t="str">
            <v>セラピール　ＭＦＡ（Ｓ）</v>
          </cell>
          <cell r="M53" t="str">
            <v>3SNCERAMFAS751120</v>
          </cell>
          <cell r="N53" t="str">
            <v>3SNCERAMFAS75220</v>
          </cell>
          <cell r="O53">
            <v>75</v>
          </cell>
          <cell r="P53">
            <v>3</v>
          </cell>
          <cell r="Q53" t="str">
            <v>S28</v>
          </cell>
          <cell r="R53">
            <v>1120</v>
          </cell>
          <cell r="S53">
            <v>4000</v>
          </cell>
          <cell r="T53">
            <v>220</v>
          </cell>
          <cell r="U53">
            <v>220</v>
          </cell>
          <cell r="V53">
            <v>1200</v>
          </cell>
          <cell r="W53">
            <v>1</v>
          </cell>
          <cell r="X53" t="str">
            <v>CF2</v>
          </cell>
          <cell r="Y53" t="str">
            <v>SL-1</v>
          </cell>
          <cell r="Z53">
            <v>6</v>
          </cell>
          <cell r="AA53" t="str">
            <v>6ｲﾝﾁFWP</v>
          </cell>
          <cell r="AB53">
            <v>1450</v>
          </cell>
          <cell r="AC53">
            <v>3</v>
          </cell>
          <cell r="AD53" t="str">
            <v>3ｲﾝﾁABS</v>
          </cell>
          <cell r="AE53">
            <v>224</v>
          </cell>
          <cell r="AO53" t="str">
            <v>3SNCERAMFAS75</v>
          </cell>
        </row>
        <row r="54">
          <cell r="G54" t="str">
            <v>3SNCERAMFAS</v>
          </cell>
          <cell r="H54" t="str">
            <v>S</v>
          </cell>
          <cell r="I54" t="str">
            <v>N</v>
          </cell>
          <cell r="J54" t="str">
            <v>CERA</v>
          </cell>
          <cell r="K54" t="str">
            <v>MFAS</v>
          </cell>
          <cell r="L54" t="str">
            <v>セラピール　ＭＦＡ（Ｓ）</v>
          </cell>
          <cell r="M54" t="str">
            <v>3SNCERAMFAS751310</v>
          </cell>
          <cell r="N54" t="str">
            <v>3SNCERAMFAS75620</v>
          </cell>
          <cell r="O54">
            <v>75</v>
          </cell>
          <cell r="P54">
            <v>3</v>
          </cell>
          <cell r="Q54" t="str">
            <v>S28</v>
          </cell>
          <cell r="R54">
            <v>1310</v>
          </cell>
          <cell r="S54">
            <v>4000</v>
          </cell>
          <cell r="T54">
            <v>620</v>
          </cell>
          <cell r="U54">
            <v>620</v>
          </cell>
          <cell r="V54">
            <v>400</v>
          </cell>
          <cell r="W54">
            <v>2</v>
          </cell>
          <cell r="X54" t="str">
            <v>CF2</v>
          </cell>
          <cell r="Y54" t="str">
            <v>SL-1</v>
          </cell>
          <cell r="Z54">
            <v>6</v>
          </cell>
          <cell r="AA54" t="str">
            <v>6ｲﾝﾁFWP</v>
          </cell>
          <cell r="AB54">
            <v>1450</v>
          </cell>
          <cell r="AC54">
            <v>3</v>
          </cell>
          <cell r="AD54" t="str">
            <v>3ｲﾝﾁABS</v>
          </cell>
          <cell r="AE54">
            <v>625</v>
          </cell>
          <cell r="AO54" t="str">
            <v>3SNCERAMFAS75</v>
          </cell>
        </row>
        <row r="55">
          <cell r="G55" t="str">
            <v>3SNCERAMFAS</v>
          </cell>
          <cell r="H55" t="str">
            <v>S</v>
          </cell>
          <cell r="I55" t="str">
            <v>N</v>
          </cell>
          <cell r="J55" t="str">
            <v>CERA</v>
          </cell>
          <cell r="K55" t="str">
            <v>MFAS</v>
          </cell>
          <cell r="L55" t="str">
            <v>セラピール　ＭＦＡ（Ｓ）</v>
          </cell>
          <cell r="M55" t="str">
            <v>3SNCERAMFAS751350</v>
          </cell>
          <cell r="N55" t="str">
            <v>3SNCERAMFAS75620</v>
          </cell>
          <cell r="O55">
            <v>75</v>
          </cell>
          <cell r="P55">
            <v>3</v>
          </cell>
          <cell r="Q55" t="str">
            <v>S28</v>
          </cell>
          <cell r="R55">
            <v>1350</v>
          </cell>
          <cell r="S55">
            <v>4100</v>
          </cell>
          <cell r="T55">
            <v>620</v>
          </cell>
          <cell r="U55">
            <v>620</v>
          </cell>
          <cell r="V55">
            <v>400</v>
          </cell>
          <cell r="W55">
            <v>2</v>
          </cell>
          <cell r="X55" t="str">
            <v>CF2</v>
          </cell>
          <cell r="Y55" t="str">
            <v>SL-1</v>
          </cell>
          <cell r="Z55">
            <v>6</v>
          </cell>
          <cell r="AA55" t="str">
            <v>6ｲﾝﾁFWP</v>
          </cell>
          <cell r="AB55">
            <v>1450</v>
          </cell>
          <cell r="AC55">
            <v>3</v>
          </cell>
          <cell r="AD55" t="str">
            <v>3ｲﾝﾁABS</v>
          </cell>
          <cell r="AE55">
            <v>625</v>
          </cell>
          <cell r="AO55" t="str">
            <v>3SNCERAMFAS75</v>
          </cell>
        </row>
        <row r="56">
          <cell r="G56" t="str">
            <v>3SNCERAMFAS</v>
          </cell>
          <cell r="H56" t="str">
            <v>S</v>
          </cell>
          <cell r="I56" t="str">
            <v>N</v>
          </cell>
          <cell r="J56" t="str">
            <v>CERA</v>
          </cell>
          <cell r="K56" t="str">
            <v>MFAS</v>
          </cell>
          <cell r="L56" t="str">
            <v>セラピール　ＭＦＡ（Ｓ）</v>
          </cell>
          <cell r="M56" t="str">
            <v>3SNCERAMFAS751045</v>
          </cell>
          <cell r="N56" t="str">
            <v>3SNCERAMFAS751040</v>
          </cell>
          <cell r="O56">
            <v>75</v>
          </cell>
          <cell r="P56">
            <v>3</v>
          </cell>
          <cell r="Q56" t="str">
            <v>S28</v>
          </cell>
          <cell r="R56">
            <v>1045</v>
          </cell>
          <cell r="S56">
            <v>4200</v>
          </cell>
          <cell r="T56">
            <v>1045</v>
          </cell>
          <cell r="U56">
            <v>1040</v>
          </cell>
          <cell r="V56">
            <v>4000</v>
          </cell>
          <cell r="W56">
            <v>2</v>
          </cell>
          <cell r="X56" t="str">
            <v>CF2</v>
          </cell>
          <cell r="Z56">
            <v>6</v>
          </cell>
          <cell r="AA56" t="str">
            <v>6ｲﾝﾁFWP</v>
          </cell>
          <cell r="AB56">
            <v>1450</v>
          </cell>
          <cell r="AO56" t="str">
            <v>3SNCERAMFAS75</v>
          </cell>
        </row>
        <row r="57">
          <cell r="G57" t="str">
            <v>3SNCERAMFAS</v>
          </cell>
          <cell r="H57" t="str">
            <v>S</v>
          </cell>
          <cell r="I57" t="str">
            <v>N</v>
          </cell>
          <cell r="J57" t="str">
            <v>CERA</v>
          </cell>
          <cell r="K57" t="str">
            <v>MFAS</v>
          </cell>
          <cell r="L57" t="str">
            <v>セラピール　ＭＦＡ（Ｓ）</v>
          </cell>
          <cell r="M57" t="str">
            <v>3SNCERAMFAS1001020</v>
          </cell>
          <cell r="N57" t="str">
            <v>3SNCERAMFAS100330</v>
          </cell>
          <cell r="O57">
            <v>100</v>
          </cell>
          <cell r="P57">
            <v>3</v>
          </cell>
          <cell r="Q57" t="str">
            <v>S28</v>
          </cell>
          <cell r="R57">
            <v>1020</v>
          </cell>
          <cell r="S57">
            <v>2400</v>
          </cell>
          <cell r="T57">
            <v>330</v>
          </cell>
          <cell r="U57">
            <v>330</v>
          </cell>
          <cell r="V57">
            <v>550</v>
          </cell>
          <cell r="W57">
            <v>1</v>
          </cell>
          <cell r="X57" t="str">
            <v>CF2</v>
          </cell>
          <cell r="Y57" t="str">
            <v>SL-1</v>
          </cell>
          <cell r="Z57">
            <v>6</v>
          </cell>
          <cell r="AA57" t="str">
            <v>6ｲﾝﾁFWP</v>
          </cell>
          <cell r="AB57" t="str">
            <v>1050以上</v>
          </cell>
          <cell r="AC57">
            <v>3</v>
          </cell>
          <cell r="AD57" t="str">
            <v>3ｲﾝﾁABS</v>
          </cell>
          <cell r="AE57">
            <v>333</v>
          </cell>
          <cell r="AO57" t="str">
            <v>3SNCERAMFAS100</v>
          </cell>
        </row>
        <row r="58">
          <cell r="G58" t="str">
            <v>331SNCERAMFAS</v>
          </cell>
          <cell r="H58" t="str">
            <v>S</v>
          </cell>
          <cell r="I58" t="str">
            <v>N</v>
          </cell>
          <cell r="J58" t="str">
            <v>CERA</v>
          </cell>
          <cell r="K58" t="str">
            <v>MFAS</v>
          </cell>
          <cell r="L58" t="str">
            <v>セラピール　ＭＦＡ（Ｓ）</v>
          </cell>
          <cell r="M58" t="str">
            <v>331SNCERAMFAS1001040</v>
          </cell>
          <cell r="N58" t="str">
            <v>331SNCERAMFAS100450</v>
          </cell>
          <cell r="O58">
            <v>100</v>
          </cell>
          <cell r="P58">
            <v>331</v>
          </cell>
          <cell r="Q58" t="str">
            <v>S28</v>
          </cell>
          <cell r="R58">
            <v>1040</v>
          </cell>
          <cell r="S58">
            <v>2100</v>
          </cell>
          <cell r="T58">
            <v>450</v>
          </cell>
          <cell r="U58">
            <v>450</v>
          </cell>
          <cell r="V58">
            <v>800</v>
          </cell>
          <cell r="W58">
            <v>2</v>
          </cell>
          <cell r="X58" t="str">
            <v>CF2</v>
          </cell>
          <cell r="Y58" t="str">
            <v>SL-1</v>
          </cell>
          <cell r="Z58">
            <v>6</v>
          </cell>
          <cell r="AA58" t="str">
            <v>6ｲﾝﾁFWP</v>
          </cell>
          <cell r="AB58">
            <v>1450</v>
          </cell>
          <cell r="AC58">
            <v>3</v>
          </cell>
          <cell r="AD58" t="str">
            <v>3ｲﾝﾁABS</v>
          </cell>
          <cell r="AE58">
            <v>450</v>
          </cell>
          <cell r="AO58" t="str">
            <v>331SNCERAMFAS100</v>
          </cell>
        </row>
        <row r="59">
          <cell r="G59" t="str">
            <v>331SNCERAMFAS</v>
          </cell>
          <cell r="H59" t="str">
            <v>S</v>
          </cell>
          <cell r="I59" t="str">
            <v>N</v>
          </cell>
          <cell r="J59" t="str">
            <v>CERA</v>
          </cell>
          <cell r="K59" t="str">
            <v>MFAS</v>
          </cell>
          <cell r="L59" t="str">
            <v>セラピール　ＭＦＡ（Ｓ）</v>
          </cell>
          <cell r="M59" t="str">
            <v>331SNCERAMFAS1001020</v>
          </cell>
          <cell r="N59" t="str">
            <v>331SNCERAMFAS100450</v>
          </cell>
          <cell r="O59">
            <v>100</v>
          </cell>
          <cell r="P59">
            <v>331</v>
          </cell>
          <cell r="Q59" t="str">
            <v>S28</v>
          </cell>
          <cell r="R59">
            <v>1020</v>
          </cell>
          <cell r="S59">
            <v>2400</v>
          </cell>
          <cell r="T59">
            <v>450</v>
          </cell>
          <cell r="U59">
            <v>450</v>
          </cell>
          <cell r="V59">
            <v>800</v>
          </cell>
          <cell r="W59">
            <v>2</v>
          </cell>
          <cell r="X59" t="str">
            <v>CF2</v>
          </cell>
          <cell r="Y59" t="str">
            <v>SL-1</v>
          </cell>
          <cell r="Z59">
            <v>6</v>
          </cell>
          <cell r="AA59" t="str">
            <v>6ｲﾝﾁFWP</v>
          </cell>
          <cell r="AB59">
            <v>1450</v>
          </cell>
          <cell r="AC59">
            <v>3</v>
          </cell>
          <cell r="AD59" t="str">
            <v>3ｲﾝﾁABS</v>
          </cell>
          <cell r="AE59">
            <v>450</v>
          </cell>
          <cell r="AO59" t="str">
            <v>331SNCERAMFAS100</v>
          </cell>
        </row>
        <row r="60">
          <cell r="G60" t="str">
            <v>3SNCERAMFAS</v>
          </cell>
          <cell r="H60" t="str">
            <v>S</v>
          </cell>
          <cell r="I60" t="str">
            <v>N</v>
          </cell>
          <cell r="J60" t="str">
            <v>CERA</v>
          </cell>
          <cell r="K60" t="str">
            <v>MFAS</v>
          </cell>
          <cell r="L60" t="str">
            <v>セラピール　ＭＦＡ（Ｓ）</v>
          </cell>
          <cell r="M60" t="str">
            <v>3SNCERAMFAS1251250</v>
          </cell>
          <cell r="N60" t="str">
            <v>3SNCERAMFAS125150</v>
          </cell>
          <cell r="O60">
            <v>125</v>
          </cell>
          <cell r="P60">
            <v>3</v>
          </cell>
          <cell r="Q60" t="str">
            <v>S28</v>
          </cell>
          <cell r="R60">
            <v>1250</v>
          </cell>
          <cell r="S60">
            <v>2000</v>
          </cell>
          <cell r="T60">
            <v>150</v>
          </cell>
          <cell r="U60">
            <v>150</v>
          </cell>
          <cell r="V60">
            <v>200</v>
          </cell>
          <cell r="W60">
            <v>1</v>
          </cell>
          <cell r="X60" t="str">
            <v>CF2</v>
          </cell>
          <cell r="Y60" t="str">
            <v>SL-1</v>
          </cell>
          <cell r="Z60">
            <v>6</v>
          </cell>
          <cell r="AA60" t="str">
            <v>6ｲﾝﾁFWP</v>
          </cell>
          <cell r="AB60">
            <v>1450</v>
          </cell>
          <cell r="AC60">
            <v>3</v>
          </cell>
          <cell r="AD60" t="str">
            <v>3ｲﾝﾁABS</v>
          </cell>
          <cell r="AE60">
            <v>151</v>
          </cell>
          <cell r="AO60" t="str">
            <v>3SNCERAMFAS125</v>
          </cell>
        </row>
        <row r="61">
          <cell r="G61" t="str">
            <v>3SNCERAMFAS</v>
          </cell>
          <cell r="H61" t="str">
            <v>S</v>
          </cell>
          <cell r="I61" t="str">
            <v>N</v>
          </cell>
          <cell r="J61" t="str">
            <v>CERA</v>
          </cell>
          <cell r="K61" t="str">
            <v>MFAS</v>
          </cell>
          <cell r="L61" t="str">
            <v>セラピール　ＭＦＡ（Ｓ）</v>
          </cell>
          <cell r="M61" t="str">
            <v>3SNCERAMFAS1251250</v>
          </cell>
          <cell r="N61" t="str">
            <v>3SNCERAMFAS125200</v>
          </cell>
          <cell r="O61">
            <v>125</v>
          </cell>
          <cell r="P61">
            <v>3</v>
          </cell>
          <cell r="Q61" t="str">
            <v>S28</v>
          </cell>
          <cell r="R61">
            <v>1250</v>
          </cell>
          <cell r="S61">
            <v>2000</v>
          </cell>
          <cell r="T61">
            <v>200</v>
          </cell>
          <cell r="U61">
            <v>200</v>
          </cell>
          <cell r="V61">
            <v>400</v>
          </cell>
          <cell r="W61">
            <v>1</v>
          </cell>
          <cell r="X61" t="str">
            <v>CF2</v>
          </cell>
          <cell r="Y61" t="str">
            <v>SL-1</v>
          </cell>
          <cell r="Z61">
            <v>6</v>
          </cell>
          <cell r="AA61" t="str">
            <v>6ｲﾝﾁFWP</v>
          </cell>
          <cell r="AB61">
            <v>1450</v>
          </cell>
          <cell r="AC61">
            <v>3</v>
          </cell>
          <cell r="AD61" t="str">
            <v>3ｲﾝﾁABS</v>
          </cell>
          <cell r="AE61">
            <v>210</v>
          </cell>
          <cell r="AO61" t="str">
            <v>3SNCERAMFAS125</v>
          </cell>
        </row>
        <row r="62">
          <cell r="G62" t="str">
            <v>3HSNCERAMFAS</v>
          </cell>
          <cell r="H62" t="str">
            <v>S</v>
          </cell>
          <cell r="I62" t="str">
            <v>N</v>
          </cell>
          <cell r="J62" t="str">
            <v>CERA</v>
          </cell>
          <cell r="K62" t="str">
            <v>MFAS</v>
          </cell>
          <cell r="L62" t="str">
            <v>セラピール　ＭＦＡ（Ｓ）</v>
          </cell>
          <cell r="M62" t="str">
            <v>3HSNCERAMFAS1881230</v>
          </cell>
          <cell r="N62" t="str">
            <v>3HSNCERAMFAS188270</v>
          </cell>
          <cell r="O62">
            <v>188</v>
          </cell>
          <cell r="P62" t="str">
            <v>3H</v>
          </cell>
          <cell r="Q62" t="str">
            <v>S28M</v>
          </cell>
          <cell r="R62">
            <v>1230</v>
          </cell>
          <cell r="S62">
            <v>1800</v>
          </cell>
          <cell r="T62">
            <v>270</v>
          </cell>
          <cell r="U62">
            <v>270</v>
          </cell>
          <cell r="V62">
            <v>250</v>
          </cell>
          <cell r="W62">
            <v>2</v>
          </cell>
          <cell r="X62" t="str">
            <v>CF2</v>
          </cell>
          <cell r="Y62" t="str">
            <v>SL-1</v>
          </cell>
          <cell r="Z62">
            <v>6</v>
          </cell>
          <cell r="AA62" t="str">
            <v>6ｲﾝﾁFWP</v>
          </cell>
          <cell r="AB62">
            <v>1450</v>
          </cell>
          <cell r="AC62">
            <v>3</v>
          </cell>
          <cell r="AD62" t="str">
            <v>3ｲﾝﾁABS</v>
          </cell>
          <cell r="AE62">
            <v>400</v>
          </cell>
          <cell r="AO62" t="str">
            <v>3HSNCERAMFAS188</v>
          </cell>
        </row>
        <row r="63">
          <cell r="G63" t="str">
            <v>3HSNCERAMFAS</v>
          </cell>
          <cell r="H63" t="str">
            <v>S</v>
          </cell>
          <cell r="I63" t="str">
            <v>N</v>
          </cell>
          <cell r="J63" t="str">
            <v>CERA</v>
          </cell>
          <cell r="K63" t="str">
            <v>MFAS</v>
          </cell>
          <cell r="L63" t="str">
            <v>セラピール　ＭＦＡ（Ｓ）</v>
          </cell>
          <cell r="M63" t="str">
            <v>3HSNCERAMFAS1881230</v>
          </cell>
          <cell r="N63" t="str">
            <v>3HSNCERAMFAS188360</v>
          </cell>
          <cell r="O63">
            <v>188</v>
          </cell>
          <cell r="P63" t="str">
            <v>3H</v>
          </cell>
          <cell r="Q63" t="str">
            <v>S28M</v>
          </cell>
          <cell r="R63">
            <v>1230</v>
          </cell>
          <cell r="S63">
            <v>1800</v>
          </cell>
          <cell r="T63">
            <v>360</v>
          </cell>
          <cell r="U63">
            <v>360</v>
          </cell>
          <cell r="V63">
            <v>250</v>
          </cell>
          <cell r="W63">
            <v>2</v>
          </cell>
          <cell r="X63" t="str">
            <v>CF2</v>
          </cell>
          <cell r="Y63" t="str">
            <v>SL-1</v>
          </cell>
          <cell r="Z63">
            <v>6</v>
          </cell>
          <cell r="AA63" t="str">
            <v>6ｲﾝﾁFWP</v>
          </cell>
          <cell r="AB63">
            <v>1450</v>
          </cell>
          <cell r="AC63">
            <v>3</v>
          </cell>
          <cell r="AD63" t="str">
            <v>3ｲﾝﾁABS</v>
          </cell>
          <cell r="AE63">
            <v>400</v>
          </cell>
          <cell r="AO63" t="str">
            <v>3HSNCERAMFAS188</v>
          </cell>
        </row>
        <row r="64">
          <cell r="G64" t="str">
            <v>331SYCERAMFAS</v>
          </cell>
          <cell r="H64" t="str">
            <v>S</v>
          </cell>
          <cell r="I64" t="str">
            <v>Y</v>
          </cell>
          <cell r="J64" t="str">
            <v>CERA</v>
          </cell>
          <cell r="K64" t="str">
            <v>MFAS</v>
          </cell>
          <cell r="L64" t="str">
            <v>セラピール　ＭＦＡ（Ｓ）</v>
          </cell>
          <cell r="M64" t="str">
            <v>331SYCERAMFAS1881040</v>
          </cell>
          <cell r="N64" t="str">
            <v>331SYCERAMFAS188500</v>
          </cell>
          <cell r="O64">
            <v>188</v>
          </cell>
          <cell r="P64">
            <v>331</v>
          </cell>
          <cell r="Q64" t="str">
            <v>S28M</v>
          </cell>
          <cell r="R64">
            <v>1040</v>
          </cell>
          <cell r="S64">
            <v>1800</v>
          </cell>
          <cell r="T64">
            <v>500</v>
          </cell>
          <cell r="U64">
            <v>500</v>
          </cell>
          <cell r="V64">
            <v>200</v>
          </cell>
          <cell r="W64">
            <v>1</v>
          </cell>
          <cell r="X64" t="str">
            <v>CF2</v>
          </cell>
          <cell r="Y64" t="str">
            <v>SL-1</v>
          </cell>
          <cell r="Z64">
            <v>6</v>
          </cell>
          <cell r="AA64" t="str">
            <v>6ｲﾝﾁFWP</v>
          </cell>
          <cell r="AB64">
            <v>1450</v>
          </cell>
          <cell r="AC64">
            <v>6</v>
          </cell>
          <cell r="AD64" t="str">
            <v>6ｲﾝﾁABS</v>
          </cell>
          <cell r="AE64">
            <v>505</v>
          </cell>
          <cell r="AO64" t="str">
            <v>331SYCERAMFAS188</v>
          </cell>
        </row>
        <row r="65">
          <cell r="G65" t="str">
            <v>3SNCERAMFAS</v>
          </cell>
          <cell r="H65" t="str">
            <v>S</v>
          </cell>
          <cell r="I65" t="str">
            <v>N</v>
          </cell>
          <cell r="J65" t="str">
            <v>CERA</v>
          </cell>
          <cell r="K65" t="str">
            <v>MFAS</v>
          </cell>
          <cell r="L65" t="str">
            <v>セラピール　ＭＦＡ（Ｓ）</v>
          </cell>
          <cell r="M65" t="str">
            <v>3SNCERAMFAS1881134</v>
          </cell>
          <cell r="N65" t="str">
            <v>3SNCERAMFAS1881130</v>
          </cell>
          <cell r="O65">
            <v>188</v>
          </cell>
          <cell r="P65">
            <v>3</v>
          </cell>
          <cell r="Q65" t="str">
            <v>S28M</v>
          </cell>
          <cell r="R65">
            <v>1134</v>
          </cell>
          <cell r="S65">
            <v>1800</v>
          </cell>
          <cell r="T65">
            <v>1130</v>
          </cell>
          <cell r="U65">
            <v>1130</v>
          </cell>
          <cell r="V65">
            <v>1620</v>
          </cell>
          <cell r="W65">
            <v>2</v>
          </cell>
          <cell r="X65" t="str">
            <v>CF2</v>
          </cell>
          <cell r="Y65" t="str">
            <v>直出し</v>
          </cell>
          <cell r="Z65">
            <v>6</v>
          </cell>
          <cell r="AA65" t="str">
            <v>6ｲﾝﾁFWP</v>
          </cell>
          <cell r="AB65">
            <v>1170</v>
          </cell>
          <cell r="AO65" t="str">
            <v>3SNCERAMFAS188</v>
          </cell>
        </row>
        <row r="66">
          <cell r="G66" t="str">
            <v>3SNCERAMFAS</v>
          </cell>
          <cell r="H66" t="str">
            <v>S</v>
          </cell>
          <cell r="I66" t="str">
            <v>N</v>
          </cell>
          <cell r="J66" t="str">
            <v>CERA</v>
          </cell>
          <cell r="K66" t="str">
            <v>MFAS</v>
          </cell>
          <cell r="L66" t="str">
            <v>セラピール　ＭＦＡ（Ｓ）</v>
          </cell>
          <cell r="M66" t="str">
            <v>3SNCERAMFAS1881230</v>
          </cell>
          <cell r="N66" t="str">
            <v>3SNCERAMFAS1881220</v>
          </cell>
          <cell r="O66">
            <v>188</v>
          </cell>
          <cell r="P66">
            <v>3</v>
          </cell>
          <cell r="Q66" t="str">
            <v>S28M</v>
          </cell>
          <cell r="R66">
            <v>1230</v>
          </cell>
          <cell r="S66">
            <v>1800</v>
          </cell>
          <cell r="T66">
            <v>1230</v>
          </cell>
          <cell r="U66">
            <v>1220</v>
          </cell>
          <cell r="V66">
            <v>800</v>
          </cell>
          <cell r="W66">
            <v>2</v>
          </cell>
          <cell r="X66" t="str">
            <v>CF2</v>
          </cell>
          <cell r="Y66" t="str">
            <v>SL-1</v>
          </cell>
          <cell r="Z66">
            <v>6</v>
          </cell>
          <cell r="AA66" t="str">
            <v>6ｲﾝﾁFWP</v>
          </cell>
          <cell r="AB66">
            <v>1450</v>
          </cell>
          <cell r="AC66">
            <v>6</v>
          </cell>
          <cell r="AD66" t="str">
            <v>6ｲﾝﾁABS</v>
          </cell>
          <cell r="AE66">
            <v>1235</v>
          </cell>
          <cell r="AO66" t="str">
            <v>3SNCERAMFAS188</v>
          </cell>
        </row>
        <row r="67">
          <cell r="G67" t="str">
            <v>3SNCERASY08</v>
          </cell>
          <cell r="H67" t="str">
            <v>S</v>
          </cell>
          <cell r="I67" t="str">
            <v>N</v>
          </cell>
          <cell r="J67" t="str">
            <v>CERA</v>
          </cell>
          <cell r="K67" t="str">
            <v>SY08</v>
          </cell>
          <cell r="L67" t="str">
            <v>セラピール　ＳＹ（０８）</v>
          </cell>
          <cell r="M67" t="str">
            <v>3SNCERASY08251045</v>
          </cell>
          <cell r="N67" t="str">
            <v>3SNCERASY0825500</v>
          </cell>
          <cell r="O67">
            <v>25</v>
          </cell>
          <cell r="P67">
            <v>3</v>
          </cell>
          <cell r="Q67" t="str">
            <v>S</v>
          </cell>
          <cell r="R67">
            <v>1045</v>
          </cell>
          <cell r="S67">
            <v>12400</v>
          </cell>
          <cell r="T67">
            <v>500</v>
          </cell>
          <cell r="U67">
            <v>500</v>
          </cell>
          <cell r="V67">
            <v>4000</v>
          </cell>
          <cell r="W67">
            <v>2</v>
          </cell>
          <cell r="X67" t="str">
            <v>CF2</v>
          </cell>
          <cell r="Y67" t="str">
            <v>SL-1</v>
          </cell>
          <cell r="Z67">
            <v>6</v>
          </cell>
          <cell r="AA67" t="str">
            <v>6ｲﾝﾁFWP</v>
          </cell>
          <cell r="AB67">
            <v>1450</v>
          </cell>
          <cell r="AC67">
            <v>3</v>
          </cell>
          <cell r="AD67" t="str">
            <v>3ｲﾝﾁABS</v>
          </cell>
          <cell r="AE67">
            <v>505</v>
          </cell>
          <cell r="AO67" t="str">
            <v>3SNCERASY0825</v>
          </cell>
        </row>
        <row r="68">
          <cell r="G68" t="str">
            <v>3SYCERASY09</v>
          </cell>
          <cell r="H68" t="str">
            <v>S</v>
          </cell>
          <cell r="I68" t="str">
            <v>Y</v>
          </cell>
          <cell r="J68" t="str">
            <v>CERA</v>
          </cell>
          <cell r="K68" t="str">
            <v>SY09</v>
          </cell>
          <cell r="L68" t="str">
            <v>セラピール　ＳＹ（０９）</v>
          </cell>
          <cell r="M68" t="str">
            <v>3SYCERASY09501050</v>
          </cell>
          <cell r="N68" t="str">
            <v>3SYCERASY09501040</v>
          </cell>
          <cell r="O68">
            <v>50</v>
          </cell>
          <cell r="P68">
            <v>3</v>
          </cell>
          <cell r="Q68" t="str">
            <v>XD500P</v>
          </cell>
          <cell r="R68">
            <v>1050</v>
          </cell>
          <cell r="S68">
            <v>4200</v>
          </cell>
          <cell r="T68">
            <v>1050</v>
          </cell>
          <cell r="U68">
            <v>1040</v>
          </cell>
          <cell r="V68">
            <v>4000</v>
          </cell>
          <cell r="W68">
            <v>2</v>
          </cell>
          <cell r="X68" t="str">
            <v>CF2</v>
          </cell>
          <cell r="Y68" t="str">
            <v>直出し</v>
          </cell>
          <cell r="Z68">
            <v>6</v>
          </cell>
          <cell r="AA68" t="str">
            <v>6ｲﾝﾁABS</v>
          </cell>
          <cell r="AB68">
            <v>1100</v>
          </cell>
          <cell r="AO68" t="str">
            <v>3SYCERASY0950</v>
          </cell>
        </row>
        <row r="69">
          <cell r="G69" t="str">
            <v>3SNCERAWZ</v>
          </cell>
          <cell r="H69" t="str">
            <v>S</v>
          </cell>
          <cell r="I69" t="str">
            <v>N</v>
          </cell>
          <cell r="J69" t="str">
            <v>CERA</v>
          </cell>
          <cell r="K69" t="str">
            <v>WZ</v>
          </cell>
          <cell r="L69" t="str">
            <v>セラピール　ＷＺ</v>
          </cell>
          <cell r="M69" t="str">
            <v>3SNCERAWZ251040</v>
          </cell>
          <cell r="N69" t="str">
            <v>3SNCERAWZ251030</v>
          </cell>
          <cell r="O69">
            <v>25</v>
          </cell>
          <cell r="P69">
            <v>3</v>
          </cell>
          <cell r="Q69" t="str">
            <v>R75X</v>
          </cell>
          <cell r="R69">
            <v>1040</v>
          </cell>
          <cell r="S69">
            <v>12300</v>
          </cell>
          <cell r="T69">
            <v>1040</v>
          </cell>
          <cell r="U69">
            <v>1030</v>
          </cell>
          <cell r="V69">
            <v>12000</v>
          </cell>
          <cell r="W69">
            <v>2</v>
          </cell>
          <cell r="X69" t="str">
            <v>CF2</v>
          </cell>
          <cell r="Y69" t="str">
            <v>直出し</v>
          </cell>
          <cell r="Z69">
            <v>6</v>
          </cell>
          <cell r="AA69" t="str">
            <v>6ｲﾝﾁFWP</v>
          </cell>
          <cell r="AB69">
            <v>1450</v>
          </cell>
          <cell r="AO69" t="str">
            <v>3SNCERAWZ25</v>
          </cell>
        </row>
        <row r="70">
          <cell r="G70" t="str">
            <v>3SNCERAWZ</v>
          </cell>
          <cell r="H70" t="str">
            <v>S</v>
          </cell>
          <cell r="I70" t="str">
            <v>N</v>
          </cell>
          <cell r="J70" t="str">
            <v>CERA</v>
          </cell>
          <cell r="K70" t="str">
            <v>WZ</v>
          </cell>
          <cell r="L70" t="str">
            <v>セラピール　ＷＺ</v>
          </cell>
          <cell r="M70" t="str">
            <v>3SNCERAWZ251150</v>
          </cell>
          <cell r="N70" t="str">
            <v>3SNCERAWZ251145</v>
          </cell>
          <cell r="O70">
            <v>25</v>
          </cell>
          <cell r="P70">
            <v>3</v>
          </cell>
          <cell r="Q70" t="str">
            <v>R75X</v>
          </cell>
          <cell r="R70">
            <v>1150</v>
          </cell>
          <cell r="S70">
            <v>16600</v>
          </cell>
          <cell r="T70">
            <v>1150</v>
          </cell>
          <cell r="U70">
            <v>1145</v>
          </cell>
          <cell r="V70">
            <v>16300</v>
          </cell>
          <cell r="W70">
            <v>2</v>
          </cell>
          <cell r="X70" t="str">
            <v>CF2</v>
          </cell>
          <cell r="Y70" t="str">
            <v>直出し</v>
          </cell>
          <cell r="Z70">
            <v>6</v>
          </cell>
          <cell r="AA70" t="str">
            <v>6ｲﾝﾁFWP</v>
          </cell>
          <cell r="AB70">
            <v>1450</v>
          </cell>
          <cell r="AO70" t="str">
            <v>3SNCERAWZ25</v>
          </cell>
        </row>
        <row r="71">
          <cell r="G71" t="str">
            <v>3SNCERAWZ</v>
          </cell>
          <cell r="H71" t="str">
            <v>S</v>
          </cell>
          <cell r="I71" t="str">
            <v>N</v>
          </cell>
          <cell r="J71" t="str">
            <v>CERA</v>
          </cell>
          <cell r="K71" t="str">
            <v>WZ</v>
          </cell>
          <cell r="L71" t="str">
            <v>セラピール　ＷＺ</v>
          </cell>
          <cell r="M71" t="str">
            <v>3SNCERAWZ251325</v>
          </cell>
          <cell r="N71" t="str">
            <v>3SNCERAWZ251320</v>
          </cell>
          <cell r="O71">
            <v>25</v>
          </cell>
          <cell r="P71">
            <v>3</v>
          </cell>
          <cell r="Q71" t="str">
            <v>R75X</v>
          </cell>
          <cell r="R71">
            <v>1325</v>
          </cell>
          <cell r="S71">
            <v>12300</v>
          </cell>
          <cell r="T71">
            <v>1325</v>
          </cell>
          <cell r="U71">
            <v>1320</v>
          </cell>
          <cell r="V71">
            <v>6000</v>
          </cell>
          <cell r="W71">
            <v>2</v>
          </cell>
          <cell r="X71" t="str">
            <v>CF2</v>
          </cell>
          <cell r="Y71" t="str">
            <v>半直</v>
          </cell>
          <cell r="Z71">
            <v>6</v>
          </cell>
          <cell r="AA71" t="str">
            <v>6ｲﾝﾁFWP</v>
          </cell>
          <cell r="AB71">
            <v>1450</v>
          </cell>
          <cell r="AO71" t="str">
            <v>3SNCERAWZ25</v>
          </cell>
        </row>
        <row r="72">
          <cell r="G72" t="str">
            <v>3SNCERAWZ</v>
          </cell>
          <cell r="H72" t="str">
            <v>S</v>
          </cell>
          <cell r="I72" t="str">
            <v>N</v>
          </cell>
          <cell r="J72" t="str">
            <v>CERA</v>
          </cell>
          <cell r="K72" t="str">
            <v>WZ</v>
          </cell>
          <cell r="L72" t="str">
            <v>セラピール　ＷＺ</v>
          </cell>
          <cell r="M72" t="str">
            <v>3SNCERAWZ251105</v>
          </cell>
          <cell r="N72" t="str">
            <v>3SNCERAWZ251100</v>
          </cell>
          <cell r="O72">
            <v>25</v>
          </cell>
          <cell r="P72">
            <v>3</v>
          </cell>
          <cell r="Q72" t="str">
            <v>R75X</v>
          </cell>
          <cell r="R72">
            <v>1105</v>
          </cell>
          <cell r="S72">
            <v>12300</v>
          </cell>
          <cell r="T72">
            <v>1100</v>
          </cell>
          <cell r="U72">
            <v>1100</v>
          </cell>
          <cell r="V72">
            <v>12000</v>
          </cell>
          <cell r="W72">
            <v>2</v>
          </cell>
          <cell r="X72" t="str">
            <v>CF2</v>
          </cell>
          <cell r="Y72" t="str">
            <v>直出し</v>
          </cell>
          <cell r="Z72">
            <v>6</v>
          </cell>
          <cell r="AA72" t="str">
            <v>6ｲﾝﾁFWP</v>
          </cell>
          <cell r="AB72">
            <v>1450</v>
          </cell>
          <cell r="AO72" t="str">
            <v>3SNCERAWZ25</v>
          </cell>
        </row>
        <row r="73">
          <cell r="G73" t="str">
            <v>3SNCERAWZ</v>
          </cell>
          <cell r="H73" t="str">
            <v>S</v>
          </cell>
          <cell r="I73" t="str">
            <v>N</v>
          </cell>
          <cell r="J73" t="str">
            <v>CERA</v>
          </cell>
          <cell r="K73" t="str">
            <v>WZ</v>
          </cell>
          <cell r="L73" t="str">
            <v>セラピール　ＷＺ</v>
          </cell>
          <cell r="M73" t="str">
            <v>3SNCERAWZ251060</v>
          </cell>
          <cell r="N73" t="str">
            <v>3SNCERAWZ251050</v>
          </cell>
          <cell r="O73">
            <v>25</v>
          </cell>
          <cell r="P73">
            <v>3</v>
          </cell>
          <cell r="Q73" t="str">
            <v>R75X</v>
          </cell>
          <cell r="R73">
            <v>1060</v>
          </cell>
          <cell r="S73">
            <v>12300</v>
          </cell>
          <cell r="T73">
            <v>1050</v>
          </cell>
          <cell r="U73">
            <v>1050</v>
          </cell>
          <cell r="V73">
            <v>12000</v>
          </cell>
          <cell r="W73">
            <v>2</v>
          </cell>
          <cell r="X73" t="str">
            <v>CF2</v>
          </cell>
          <cell r="Y73" t="str">
            <v>直出し</v>
          </cell>
          <cell r="Z73">
            <v>6</v>
          </cell>
          <cell r="AA73" t="str">
            <v>6ｲﾝﾁFWP</v>
          </cell>
          <cell r="AB73">
            <v>1450</v>
          </cell>
          <cell r="AO73" t="str">
            <v>3SNCERAWZ25</v>
          </cell>
        </row>
        <row r="74">
          <cell r="G74" t="str">
            <v>3SNCERAWZE</v>
          </cell>
          <cell r="H74" t="str">
            <v>S</v>
          </cell>
          <cell r="I74" t="str">
            <v>N</v>
          </cell>
          <cell r="J74" t="str">
            <v>CERA</v>
          </cell>
          <cell r="K74" t="str">
            <v>WZE</v>
          </cell>
          <cell r="L74" t="str">
            <v>セラピール　ＷＺ（Ｅ）</v>
          </cell>
          <cell r="M74" t="str">
            <v>3SNCERAWZE251045</v>
          </cell>
          <cell r="N74" t="str">
            <v>3SNCERAWZE251040</v>
          </cell>
          <cell r="O74">
            <v>25</v>
          </cell>
          <cell r="P74">
            <v>3</v>
          </cell>
          <cell r="Q74" t="str">
            <v>E5001</v>
          </cell>
          <cell r="R74">
            <v>1045</v>
          </cell>
          <cell r="S74">
            <v>12300</v>
          </cell>
          <cell r="T74">
            <v>1040</v>
          </cell>
          <cell r="U74">
            <v>1040</v>
          </cell>
          <cell r="V74">
            <v>6000</v>
          </cell>
          <cell r="W74">
            <v>2</v>
          </cell>
          <cell r="X74" t="str">
            <v>CF2</v>
          </cell>
          <cell r="Y74" t="str">
            <v>半直</v>
          </cell>
          <cell r="Z74">
            <v>6</v>
          </cell>
          <cell r="AA74" t="str">
            <v>6ｲﾝﾁFWP</v>
          </cell>
          <cell r="AB74">
            <v>1500</v>
          </cell>
          <cell r="AC74">
            <v>6</v>
          </cell>
          <cell r="AD74" t="str">
            <v>6ｲﾝﾁFWP</v>
          </cell>
          <cell r="AE74">
            <v>1500</v>
          </cell>
          <cell r="AO74" t="str">
            <v>3SNCERAWZE25</v>
          </cell>
        </row>
        <row r="75">
          <cell r="G75" t="str">
            <v>3SNCERAWZE</v>
          </cell>
          <cell r="H75" t="str">
            <v>S</v>
          </cell>
          <cell r="I75" t="str">
            <v>N</v>
          </cell>
          <cell r="J75" t="str">
            <v>CERA</v>
          </cell>
          <cell r="K75" t="str">
            <v>WZE</v>
          </cell>
          <cell r="L75" t="str">
            <v>セラピール　ＷＺ（Ｅ）</v>
          </cell>
          <cell r="M75" t="str">
            <v>3SNCERAWZE381045</v>
          </cell>
          <cell r="N75" t="str">
            <v>3SNCERAWZE381040</v>
          </cell>
          <cell r="O75">
            <v>38</v>
          </cell>
          <cell r="P75">
            <v>3</v>
          </cell>
          <cell r="Q75" t="str">
            <v>E5001</v>
          </cell>
          <cell r="R75">
            <v>1045</v>
          </cell>
          <cell r="S75">
            <v>6200</v>
          </cell>
          <cell r="T75">
            <v>1040</v>
          </cell>
          <cell r="U75">
            <v>1040</v>
          </cell>
          <cell r="V75">
            <v>6000</v>
          </cell>
          <cell r="W75">
            <v>2</v>
          </cell>
          <cell r="X75" t="str">
            <v>CF2</v>
          </cell>
          <cell r="Y75" t="str">
            <v>直出し</v>
          </cell>
          <cell r="Z75">
            <v>6</v>
          </cell>
          <cell r="AA75" t="str">
            <v>6ｲﾝﾁFWP</v>
          </cell>
          <cell r="AB75">
            <v>1500</v>
          </cell>
          <cell r="AO75" t="str">
            <v>3SNCERAWZE38</v>
          </cell>
        </row>
        <row r="76">
          <cell r="G76" t="str">
            <v>3303SNCERAWZE</v>
          </cell>
          <cell r="H76" t="str">
            <v>S</v>
          </cell>
          <cell r="I76" t="str">
            <v>N</v>
          </cell>
          <cell r="J76" t="str">
            <v>CERA</v>
          </cell>
          <cell r="K76" t="str">
            <v>WZE</v>
          </cell>
          <cell r="L76" t="str">
            <v>セラピール　ＷＺ（Ｅ）</v>
          </cell>
          <cell r="M76" t="str">
            <v>3303SNCERAWZE251045</v>
          </cell>
          <cell r="N76" t="str">
            <v>3303SNCERAWZE251040</v>
          </cell>
          <cell r="O76">
            <v>25</v>
          </cell>
          <cell r="P76">
            <v>3303</v>
          </cell>
          <cell r="Q76" t="str">
            <v>E5001</v>
          </cell>
          <cell r="R76">
            <v>1045</v>
          </cell>
          <cell r="S76">
            <v>12300</v>
          </cell>
          <cell r="T76">
            <v>1040</v>
          </cell>
          <cell r="U76">
            <v>1040</v>
          </cell>
          <cell r="V76">
            <v>6000</v>
          </cell>
          <cell r="W76">
            <v>2</v>
          </cell>
          <cell r="X76" t="str">
            <v>CF2</v>
          </cell>
          <cell r="Y76" t="str">
            <v>半直</v>
          </cell>
          <cell r="Z76">
            <v>6</v>
          </cell>
          <cell r="AA76" t="str">
            <v>6ｲﾝﾁFWP</v>
          </cell>
          <cell r="AB76">
            <v>1500</v>
          </cell>
          <cell r="AC76">
            <v>6</v>
          </cell>
          <cell r="AD76" t="str">
            <v>6ｲﾝﾁFWP</v>
          </cell>
          <cell r="AE76">
            <v>1500</v>
          </cell>
          <cell r="AO76" t="str">
            <v>3303SNCERAWZE25</v>
          </cell>
        </row>
        <row r="77">
          <cell r="G77" t="str">
            <v>3SNCERAWZE</v>
          </cell>
          <cell r="H77" t="str">
            <v>S</v>
          </cell>
          <cell r="I77" t="str">
            <v>N</v>
          </cell>
          <cell r="J77" t="str">
            <v>CERA</v>
          </cell>
          <cell r="K77" t="str">
            <v>WZE</v>
          </cell>
          <cell r="L77" t="str">
            <v>セラピール　ＷＺ（Ｅ）</v>
          </cell>
          <cell r="M77" t="str">
            <v>3SNCERAWZE251245</v>
          </cell>
          <cell r="N77" t="str">
            <v>3SNCERAWZE251240</v>
          </cell>
          <cell r="O77">
            <v>25</v>
          </cell>
          <cell r="P77">
            <v>3</v>
          </cell>
          <cell r="Q77" t="str">
            <v>E5001</v>
          </cell>
          <cell r="R77">
            <v>1245</v>
          </cell>
          <cell r="S77">
            <v>12300</v>
          </cell>
          <cell r="T77">
            <v>1240</v>
          </cell>
          <cell r="U77">
            <v>1240</v>
          </cell>
          <cell r="V77">
            <v>6000</v>
          </cell>
          <cell r="W77">
            <v>2</v>
          </cell>
          <cell r="X77" t="str">
            <v>CF2</v>
          </cell>
          <cell r="Y77" t="str">
            <v>半直</v>
          </cell>
          <cell r="Z77">
            <v>6</v>
          </cell>
          <cell r="AA77" t="str">
            <v>6ｲﾝﾁFWP</v>
          </cell>
          <cell r="AB77">
            <v>1500</v>
          </cell>
          <cell r="AC77">
            <v>6</v>
          </cell>
          <cell r="AD77" t="str">
            <v>6ｲﾝﾁFWP</v>
          </cell>
          <cell r="AE77">
            <v>1500</v>
          </cell>
          <cell r="AO77" t="str">
            <v>3SNCERAWZE25</v>
          </cell>
        </row>
        <row r="78">
          <cell r="G78" t="str">
            <v>3SNCERAWZE</v>
          </cell>
          <cell r="H78" t="str">
            <v>S</v>
          </cell>
          <cell r="I78" t="str">
            <v>N</v>
          </cell>
          <cell r="J78" t="str">
            <v>CERA</v>
          </cell>
          <cell r="K78" t="str">
            <v>WZE</v>
          </cell>
          <cell r="L78" t="str">
            <v>セラピール　ＷＺ（Ｅ）</v>
          </cell>
          <cell r="M78" t="str">
            <v>3SNCERAWZE381245</v>
          </cell>
          <cell r="N78" t="str">
            <v>3SNCERAWZE381040</v>
          </cell>
          <cell r="O78">
            <v>38</v>
          </cell>
          <cell r="P78">
            <v>3</v>
          </cell>
          <cell r="Q78" t="str">
            <v>E5001</v>
          </cell>
          <cell r="R78">
            <v>1245</v>
          </cell>
          <cell r="S78">
            <v>6200</v>
          </cell>
          <cell r="T78">
            <v>1040</v>
          </cell>
          <cell r="U78">
            <v>1040</v>
          </cell>
          <cell r="V78">
            <v>6000</v>
          </cell>
          <cell r="W78">
            <v>2</v>
          </cell>
          <cell r="X78" t="str">
            <v>CF2</v>
          </cell>
          <cell r="Y78" t="str">
            <v>直出し</v>
          </cell>
          <cell r="Z78">
            <v>6</v>
          </cell>
          <cell r="AA78" t="str">
            <v>6ｲﾝﾁFWP</v>
          </cell>
          <cell r="AB78">
            <v>1500</v>
          </cell>
          <cell r="AC78">
            <v>6</v>
          </cell>
          <cell r="AD78" t="str">
            <v>6ｲﾝﾁFWP</v>
          </cell>
          <cell r="AE78">
            <v>1500</v>
          </cell>
          <cell r="AO78" t="str">
            <v>3SNCERAWZE38</v>
          </cell>
        </row>
        <row r="79">
          <cell r="G79" t="str">
            <v>3SNCERAWZE</v>
          </cell>
          <cell r="H79" t="str">
            <v>S</v>
          </cell>
          <cell r="I79" t="str">
            <v>N</v>
          </cell>
          <cell r="J79" t="str">
            <v>CERA</v>
          </cell>
          <cell r="K79" t="str">
            <v>WZE</v>
          </cell>
          <cell r="L79" t="str">
            <v>セラピール　ＷＺ（Ｅ）</v>
          </cell>
          <cell r="M79" t="str">
            <v>3SNCERAWZE381245</v>
          </cell>
          <cell r="N79" t="str">
            <v>3SNCERAWZE381240</v>
          </cell>
          <cell r="O79">
            <v>38</v>
          </cell>
          <cell r="P79">
            <v>3</v>
          </cell>
          <cell r="Q79" t="str">
            <v>E5001</v>
          </cell>
          <cell r="R79">
            <v>1245</v>
          </cell>
          <cell r="S79">
            <v>6200</v>
          </cell>
          <cell r="T79">
            <v>1240</v>
          </cell>
          <cell r="U79">
            <v>1240</v>
          </cell>
          <cell r="V79">
            <v>6000</v>
          </cell>
          <cell r="W79">
            <v>2</v>
          </cell>
          <cell r="X79" t="str">
            <v>CF2</v>
          </cell>
          <cell r="Y79" t="str">
            <v>直出し</v>
          </cell>
          <cell r="Z79">
            <v>6</v>
          </cell>
          <cell r="AA79" t="str">
            <v>6ｲﾝﾁFWP</v>
          </cell>
          <cell r="AB79">
            <v>1500</v>
          </cell>
          <cell r="AC79">
            <v>6</v>
          </cell>
          <cell r="AD79" t="str">
            <v>6ｲﾝﾁFWP</v>
          </cell>
          <cell r="AE79">
            <v>1500</v>
          </cell>
          <cell r="AO79" t="str">
            <v>3SNCERAWZE38</v>
          </cell>
        </row>
        <row r="80">
          <cell r="G80" t="str">
            <v>3SNCERAWZRX</v>
          </cell>
          <cell r="H80" t="str">
            <v>S</v>
          </cell>
          <cell r="I80" t="str">
            <v>N</v>
          </cell>
          <cell r="J80" t="str">
            <v>CERA</v>
          </cell>
          <cell r="K80" t="str">
            <v>WZRX</v>
          </cell>
          <cell r="L80" t="str">
            <v>セラピール　ＷＺ（ＲＸ）</v>
          </cell>
          <cell r="M80" t="str">
            <v>3SNCERAWZRX251040</v>
          </cell>
          <cell r="N80" t="str">
            <v>3SNCERAWZRX25450</v>
          </cell>
          <cell r="O80">
            <v>25</v>
          </cell>
          <cell r="P80">
            <v>3</v>
          </cell>
          <cell r="Q80" t="str">
            <v>R75X</v>
          </cell>
          <cell r="R80">
            <v>1040</v>
          </cell>
          <cell r="S80">
            <v>12300</v>
          </cell>
          <cell r="T80">
            <v>450</v>
          </cell>
          <cell r="U80">
            <v>450</v>
          </cell>
          <cell r="V80">
            <v>4000</v>
          </cell>
          <cell r="W80">
            <v>2</v>
          </cell>
          <cell r="X80" t="str">
            <v>CF2</v>
          </cell>
          <cell r="Y80" t="str">
            <v>SL-1</v>
          </cell>
          <cell r="Z80">
            <v>6</v>
          </cell>
          <cell r="AA80" t="str">
            <v>6ｲﾝﾁFWP</v>
          </cell>
          <cell r="AB80">
            <v>1450</v>
          </cell>
          <cell r="AC80">
            <v>6</v>
          </cell>
          <cell r="AD80" t="str">
            <v>6ｲﾝﾁFWP</v>
          </cell>
          <cell r="AE80">
            <v>460</v>
          </cell>
          <cell r="AO80" t="str">
            <v>3SNCERAWZRX25</v>
          </cell>
        </row>
        <row r="81">
          <cell r="G81" t="str">
            <v>3SNCERAWZRX</v>
          </cell>
          <cell r="H81" t="str">
            <v>S</v>
          </cell>
          <cell r="I81" t="str">
            <v>N</v>
          </cell>
          <cell r="J81" t="str">
            <v>CERA</v>
          </cell>
          <cell r="K81" t="str">
            <v>WZRX</v>
          </cell>
          <cell r="L81" t="str">
            <v>セラピール　ＷＺ（ＲＸ）</v>
          </cell>
          <cell r="M81" t="str">
            <v>3SNCERAWZRX251060</v>
          </cell>
          <cell r="N81" t="str">
            <v>3SNCERAWZRX25450</v>
          </cell>
          <cell r="O81">
            <v>25</v>
          </cell>
          <cell r="P81">
            <v>3</v>
          </cell>
          <cell r="Q81" t="str">
            <v>R75X</v>
          </cell>
          <cell r="R81">
            <v>1060</v>
          </cell>
          <cell r="S81">
            <v>12300</v>
          </cell>
          <cell r="T81">
            <v>450</v>
          </cell>
          <cell r="U81">
            <v>450</v>
          </cell>
          <cell r="V81">
            <v>4000</v>
          </cell>
          <cell r="W81">
            <v>2</v>
          </cell>
          <cell r="X81" t="str">
            <v>CF2</v>
          </cell>
          <cell r="Y81" t="str">
            <v>SL-1</v>
          </cell>
          <cell r="Z81">
            <v>6</v>
          </cell>
          <cell r="AA81" t="str">
            <v>6ｲﾝﾁFWP</v>
          </cell>
          <cell r="AB81">
            <v>1450</v>
          </cell>
          <cell r="AC81">
            <v>6</v>
          </cell>
          <cell r="AD81" t="str">
            <v>6ｲﾝﾁFWP</v>
          </cell>
          <cell r="AE81">
            <v>460</v>
          </cell>
          <cell r="AO81" t="str">
            <v>3SNCERAWZRX25</v>
          </cell>
        </row>
        <row r="82">
          <cell r="G82" t="str">
            <v>331SNCERAWZRX</v>
          </cell>
          <cell r="H82" t="str">
            <v>S</v>
          </cell>
          <cell r="I82" t="str">
            <v>N</v>
          </cell>
          <cell r="J82" t="str">
            <v>CERA</v>
          </cell>
          <cell r="K82" t="str">
            <v>WZRX</v>
          </cell>
          <cell r="L82" t="str">
            <v>セラピール　ＷＺ（ＲＸ）</v>
          </cell>
          <cell r="M82" t="str">
            <v>331SNCERAWZRX251060</v>
          </cell>
          <cell r="N82" t="str">
            <v>331SNCERAWZRX25450</v>
          </cell>
          <cell r="O82">
            <v>25</v>
          </cell>
          <cell r="P82">
            <v>331</v>
          </cell>
          <cell r="Q82" t="str">
            <v>R75X</v>
          </cell>
          <cell r="R82">
            <v>1060</v>
          </cell>
          <cell r="S82">
            <v>12300</v>
          </cell>
          <cell r="T82">
            <v>450</v>
          </cell>
          <cell r="U82">
            <v>450</v>
          </cell>
          <cell r="V82">
            <v>4000</v>
          </cell>
          <cell r="W82">
            <v>2</v>
          </cell>
          <cell r="X82" t="str">
            <v>CF2</v>
          </cell>
          <cell r="Y82" t="str">
            <v>SL-1</v>
          </cell>
          <cell r="Z82">
            <v>6</v>
          </cell>
          <cell r="AA82" t="str">
            <v>6ｲﾝﾁFWP</v>
          </cell>
          <cell r="AB82">
            <v>1450</v>
          </cell>
          <cell r="AC82">
            <v>6</v>
          </cell>
          <cell r="AD82" t="str">
            <v>6ｲﾝﾁFWP</v>
          </cell>
          <cell r="AE82">
            <v>460</v>
          </cell>
          <cell r="AO82" t="str">
            <v>331SNCERAWZRX25</v>
          </cell>
        </row>
        <row r="83">
          <cell r="G83" t="str">
            <v>331SNCERAWZRX</v>
          </cell>
          <cell r="H83" t="str">
            <v>S</v>
          </cell>
          <cell r="I83" t="str">
            <v>N</v>
          </cell>
          <cell r="J83" t="str">
            <v>CERA</v>
          </cell>
          <cell r="K83" t="str">
            <v>WZRX</v>
          </cell>
          <cell r="L83" t="str">
            <v>セラピール　ＷＺ（ＲＸ）</v>
          </cell>
          <cell r="M83" t="str">
            <v>331SNCERAWZRX251105</v>
          </cell>
          <cell r="N83" t="str">
            <v>331SNCERAWZRX25450</v>
          </cell>
          <cell r="O83">
            <v>25</v>
          </cell>
          <cell r="P83">
            <v>331</v>
          </cell>
          <cell r="Q83" t="str">
            <v>R75X</v>
          </cell>
          <cell r="R83">
            <v>1105</v>
          </cell>
          <cell r="S83">
            <v>12300</v>
          </cell>
          <cell r="T83">
            <v>450</v>
          </cell>
          <cell r="U83">
            <v>450</v>
          </cell>
          <cell r="V83">
            <v>4000</v>
          </cell>
          <cell r="W83">
            <v>2</v>
          </cell>
          <cell r="X83" t="str">
            <v>CF2</v>
          </cell>
          <cell r="Y83" t="str">
            <v>SL-1</v>
          </cell>
          <cell r="Z83">
            <v>6</v>
          </cell>
          <cell r="AA83" t="str">
            <v>6ｲﾝﾁFWP</v>
          </cell>
          <cell r="AB83">
            <v>1450</v>
          </cell>
          <cell r="AC83">
            <v>6</v>
          </cell>
          <cell r="AD83" t="str">
            <v>6ｲﾝﾁFWP</v>
          </cell>
          <cell r="AE83">
            <v>460</v>
          </cell>
          <cell r="AO83" t="str">
            <v>331SNCERAWZRX25</v>
          </cell>
        </row>
        <row r="84">
          <cell r="G84" t="str">
            <v>3SNCERAWZRX</v>
          </cell>
          <cell r="H84" t="str">
            <v>S</v>
          </cell>
          <cell r="I84" t="str">
            <v>N</v>
          </cell>
          <cell r="J84" t="str">
            <v>CERA</v>
          </cell>
          <cell r="K84" t="str">
            <v>WZRX</v>
          </cell>
          <cell r="L84" t="str">
            <v>セラピール　ＷＺ（ＲＸ）</v>
          </cell>
          <cell r="M84" t="str">
            <v>3SNCERAWZRX251325</v>
          </cell>
          <cell r="N84" t="str">
            <v>3SNCERAWZRX25640</v>
          </cell>
          <cell r="O84">
            <v>25</v>
          </cell>
          <cell r="P84">
            <v>3</v>
          </cell>
          <cell r="Q84" t="str">
            <v>R75X</v>
          </cell>
          <cell r="R84">
            <v>1325</v>
          </cell>
          <cell r="S84">
            <v>12300</v>
          </cell>
          <cell r="T84">
            <v>640</v>
          </cell>
          <cell r="U84">
            <v>640</v>
          </cell>
          <cell r="V84">
            <v>2000</v>
          </cell>
          <cell r="W84">
            <v>2</v>
          </cell>
          <cell r="X84" t="str">
            <v>CF2</v>
          </cell>
          <cell r="Y84" t="str">
            <v>SL-1</v>
          </cell>
          <cell r="Z84">
            <v>6</v>
          </cell>
          <cell r="AA84" t="str">
            <v>6ｲﾝﾁFWP</v>
          </cell>
          <cell r="AB84">
            <v>1450</v>
          </cell>
          <cell r="AC84">
            <v>3</v>
          </cell>
          <cell r="AD84" t="str">
            <v>3ｲﾝﾁABS</v>
          </cell>
          <cell r="AE84">
            <v>645</v>
          </cell>
          <cell r="AO84" t="str">
            <v>3SNCERAWZRX25</v>
          </cell>
        </row>
        <row r="85">
          <cell r="G85" t="str">
            <v>3SNCERAWZRX</v>
          </cell>
          <cell r="H85" t="str">
            <v>S</v>
          </cell>
          <cell r="I85" t="str">
            <v>N</v>
          </cell>
          <cell r="J85" t="str">
            <v>CERA</v>
          </cell>
          <cell r="K85" t="str">
            <v>WZRX</v>
          </cell>
          <cell r="L85" t="str">
            <v>セラピール　ＷＺ（ＲＸ）</v>
          </cell>
          <cell r="M85" t="str">
            <v>3SNCERAWZRX251337</v>
          </cell>
          <cell r="N85" t="str">
            <v>3SNCERAWZRX25640</v>
          </cell>
          <cell r="O85">
            <v>25</v>
          </cell>
          <cell r="P85">
            <v>3</v>
          </cell>
          <cell r="Q85" t="str">
            <v>R75XK</v>
          </cell>
          <cell r="R85">
            <v>1337</v>
          </cell>
          <cell r="S85">
            <v>12300</v>
          </cell>
          <cell r="T85">
            <v>640</v>
          </cell>
          <cell r="U85">
            <v>640</v>
          </cell>
          <cell r="V85">
            <v>2000</v>
          </cell>
          <cell r="W85">
            <v>2</v>
          </cell>
          <cell r="X85" t="str">
            <v>CF2</v>
          </cell>
          <cell r="Y85" t="str">
            <v>SL-1</v>
          </cell>
          <cell r="Z85">
            <v>6</v>
          </cell>
          <cell r="AA85" t="str">
            <v>6ｲﾝﾁFWP</v>
          </cell>
          <cell r="AB85">
            <v>1450</v>
          </cell>
          <cell r="AC85">
            <v>3</v>
          </cell>
          <cell r="AD85" t="str">
            <v>3ｲﾝﾁABS</v>
          </cell>
          <cell r="AE85">
            <v>645</v>
          </cell>
          <cell r="AO85" t="str">
            <v>3SNCERAWZRX25</v>
          </cell>
        </row>
        <row r="86">
          <cell r="G86" t="str">
            <v>3SNCERAWZRX</v>
          </cell>
          <cell r="H86" t="str">
            <v>S</v>
          </cell>
          <cell r="I86" t="str">
            <v>N</v>
          </cell>
          <cell r="J86" t="str">
            <v>CERA</v>
          </cell>
          <cell r="K86" t="str">
            <v>WZRX</v>
          </cell>
          <cell r="L86" t="str">
            <v>セラピール　ＷＺ（ＲＸ）</v>
          </cell>
          <cell r="M86" t="str">
            <v>3SNCERAWZRX251337</v>
          </cell>
          <cell r="N86" t="str">
            <v>3SNCERAWZRX25540</v>
          </cell>
          <cell r="O86">
            <v>25</v>
          </cell>
          <cell r="P86">
            <v>3</v>
          </cell>
          <cell r="Q86" t="str">
            <v>R75XK</v>
          </cell>
          <cell r="R86">
            <v>1337</v>
          </cell>
          <cell r="S86">
            <v>12300</v>
          </cell>
          <cell r="T86">
            <v>540</v>
          </cell>
          <cell r="U86">
            <v>540</v>
          </cell>
          <cell r="V86">
            <v>2000</v>
          </cell>
          <cell r="W86">
            <v>2</v>
          </cell>
          <cell r="X86" t="str">
            <v>CF2</v>
          </cell>
          <cell r="Y86" t="str">
            <v>SL-1</v>
          </cell>
          <cell r="Z86">
            <v>6</v>
          </cell>
          <cell r="AA86" t="str">
            <v>6ｲﾝﾁFWP</v>
          </cell>
          <cell r="AB86">
            <v>1450</v>
          </cell>
          <cell r="AC86">
            <v>3</v>
          </cell>
          <cell r="AD86" t="str">
            <v>3ｲﾝﾁABS</v>
          </cell>
          <cell r="AE86">
            <v>545</v>
          </cell>
          <cell r="AO86" t="str">
            <v>3SNCERAWZRX25</v>
          </cell>
        </row>
        <row r="87">
          <cell r="G87" t="str">
            <v>331SNCERAWZRX</v>
          </cell>
          <cell r="H87" t="str">
            <v>S</v>
          </cell>
          <cell r="I87" t="str">
            <v>N</v>
          </cell>
          <cell r="J87" t="str">
            <v>CERA</v>
          </cell>
          <cell r="K87" t="str">
            <v>WZRX</v>
          </cell>
          <cell r="L87" t="str">
            <v>セラピール　ＷＺ（ＲＸ）</v>
          </cell>
          <cell r="M87" t="str">
            <v>331SNCERAWZRX251520</v>
          </cell>
          <cell r="N87" t="str">
            <v>331SNCERAWZRX25640</v>
          </cell>
          <cell r="O87">
            <v>25</v>
          </cell>
          <cell r="P87">
            <v>331</v>
          </cell>
          <cell r="Q87" t="str">
            <v>R75X</v>
          </cell>
          <cell r="R87">
            <v>1520</v>
          </cell>
          <cell r="S87">
            <v>13000</v>
          </cell>
          <cell r="T87">
            <v>640</v>
          </cell>
          <cell r="U87">
            <v>640</v>
          </cell>
          <cell r="V87">
            <v>2000</v>
          </cell>
          <cell r="W87">
            <v>2</v>
          </cell>
          <cell r="X87" t="str">
            <v>CF2</v>
          </cell>
          <cell r="Y87" t="str">
            <v>SL-1</v>
          </cell>
          <cell r="Z87">
            <v>6</v>
          </cell>
          <cell r="AA87" t="str">
            <v>6ｲﾝﾁFWP</v>
          </cell>
          <cell r="AB87">
            <v>1600</v>
          </cell>
          <cell r="AC87">
            <v>3</v>
          </cell>
          <cell r="AD87" t="str">
            <v>3ｲﾝﾁABS</v>
          </cell>
          <cell r="AE87">
            <v>645</v>
          </cell>
          <cell r="AO87" t="str">
            <v>331SNCERAWZRX25</v>
          </cell>
        </row>
        <row r="88">
          <cell r="G88" t="str">
            <v>3SNCERAWZRX</v>
          </cell>
          <cell r="H88" t="str">
            <v>S</v>
          </cell>
          <cell r="I88" t="str">
            <v>N</v>
          </cell>
          <cell r="J88" t="str">
            <v>CERA</v>
          </cell>
          <cell r="K88" t="str">
            <v>WZRX</v>
          </cell>
          <cell r="L88" t="str">
            <v>セラピール　ＷＺ（ＲＸ）</v>
          </cell>
          <cell r="M88" t="str">
            <v>3SNCERAWZRX251520</v>
          </cell>
          <cell r="N88" t="str">
            <v>3SNCERAWZRX25540</v>
          </cell>
          <cell r="O88">
            <v>25</v>
          </cell>
          <cell r="P88">
            <v>3</v>
          </cell>
          <cell r="Q88" t="str">
            <v>R75X</v>
          </cell>
          <cell r="R88">
            <v>1520</v>
          </cell>
          <cell r="S88">
            <v>13000</v>
          </cell>
          <cell r="T88">
            <v>540</v>
          </cell>
          <cell r="U88">
            <v>540</v>
          </cell>
          <cell r="V88">
            <v>2000</v>
          </cell>
          <cell r="W88">
            <v>2</v>
          </cell>
          <cell r="X88" t="str">
            <v>CF2</v>
          </cell>
          <cell r="Y88" t="str">
            <v>SL-1</v>
          </cell>
          <cell r="Z88">
            <v>6</v>
          </cell>
          <cell r="AA88" t="str">
            <v>6ｲﾝﾁFWP</v>
          </cell>
          <cell r="AB88">
            <v>1600</v>
          </cell>
          <cell r="AC88">
            <v>3</v>
          </cell>
          <cell r="AD88" t="str">
            <v>3ｲﾝﾁABS</v>
          </cell>
          <cell r="AE88">
            <v>545</v>
          </cell>
          <cell r="AO88" t="str">
            <v>3SNCERAWZRX25</v>
          </cell>
        </row>
        <row r="89">
          <cell r="G89" t="str">
            <v>331SNCERAWZRX</v>
          </cell>
          <cell r="H89" t="str">
            <v>S</v>
          </cell>
          <cell r="I89" t="str">
            <v>N</v>
          </cell>
          <cell r="J89" t="str">
            <v>CERA</v>
          </cell>
          <cell r="K89" t="str">
            <v>WZRX</v>
          </cell>
          <cell r="L89" t="str">
            <v>セラピール　ＷＺ（ＲＸ）</v>
          </cell>
          <cell r="M89" t="str">
            <v>331SNCERAWZRX251325</v>
          </cell>
          <cell r="N89" t="str">
            <v>331SNCERAWZRX25640</v>
          </cell>
          <cell r="O89">
            <v>25</v>
          </cell>
          <cell r="P89">
            <v>331</v>
          </cell>
          <cell r="Q89" t="str">
            <v>R75XH</v>
          </cell>
          <cell r="R89">
            <v>1325</v>
          </cell>
          <cell r="S89">
            <v>12300</v>
          </cell>
          <cell r="T89">
            <v>640</v>
          </cell>
          <cell r="U89">
            <v>640</v>
          </cell>
          <cell r="V89">
            <v>2000</v>
          </cell>
          <cell r="W89">
            <v>2</v>
          </cell>
          <cell r="X89" t="str">
            <v>CF2</v>
          </cell>
          <cell r="Y89" t="str">
            <v>SL-1</v>
          </cell>
          <cell r="Z89">
            <v>6</v>
          </cell>
          <cell r="AA89" t="str">
            <v>6ｲﾝﾁFWP</v>
          </cell>
          <cell r="AB89">
            <v>1450</v>
          </cell>
          <cell r="AC89">
            <v>3</v>
          </cell>
          <cell r="AD89" t="str">
            <v>3ｲﾝﾁABS</v>
          </cell>
          <cell r="AE89">
            <v>645</v>
          </cell>
          <cell r="AO89" t="str">
            <v>331SNCERAWZRX25</v>
          </cell>
        </row>
        <row r="90">
          <cell r="G90" t="str">
            <v>3SNCERAWZRX</v>
          </cell>
          <cell r="H90" t="str">
            <v>S</v>
          </cell>
          <cell r="I90" t="str">
            <v>N</v>
          </cell>
          <cell r="J90" t="str">
            <v>CERA</v>
          </cell>
          <cell r="K90" t="str">
            <v>WZRX</v>
          </cell>
          <cell r="L90" t="str">
            <v>セラピール　ＷＺ（ＲＸ）</v>
          </cell>
          <cell r="M90" t="str">
            <v>3SNCERAWZRX381135</v>
          </cell>
          <cell r="N90" t="str">
            <v>3SNCERAWZRX381130</v>
          </cell>
          <cell r="O90">
            <v>38</v>
          </cell>
          <cell r="P90">
            <v>3</v>
          </cell>
          <cell r="Q90" t="str">
            <v>R75X</v>
          </cell>
          <cell r="R90">
            <v>1135</v>
          </cell>
          <cell r="S90">
            <v>12200</v>
          </cell>
          <cell r="T90">
            <v>1135</v>
          </cell>
          <cell r="U90">
            <v>1130</v>
          </cell>
          <cell r="V90">
            <v>6000</v>
          </cell>
          <cell r="W90">
            <v>2</v>
          </cell>
          <cell r="X90" t="str">
            <v>CF2</v>
          </cell>
          <cell r="Y90" t="str">
            <v>半直</v>
          </cell>
          <cell r="Z90">
            <v>6</v>
          </cell>
          <cell r="AA90" t="str">
            <v>6ｲﾝﾁFWP</v>
          </cell>
          <cell r="AB90">
            <v>1450</v>
          </cell>
          <cell r="AC90">
            <v>6</v>
          </cell>
          <cell r="AD90" t="str">
            <v>6ｲﾝﾁFWP</v>
          </cell>
          <cell r="AE90">
            <v>1450</v>
          </cell>
          <cell r="AO90" t="str">
            <v>3SNCERAWZRX38</v>
          </cell>
        </row>
        <row r="91">
          <cell r="G91" t="str">
            <v>3SNCERAWZS</v>
          </cell>
          <cell r="H91" t="str">
            <v>S</v>
          </cell>
          <cell r="I91" t="str">
            <v>N</v>
          </cell>
          <cell r="J91" t="str">
            <v>CERA</v>
          </cell>
          <cell r="K91" t="str">
            <v>WZS</v>
          </cell>
          <cell r="L91" t="str">
            <v>セラピール　ＷＺ（Ｓ）</v>
          </cell>
          <cell r="M91" t="str">
            <v>3SNCERAWZS381005</v>
          </cell>
          <cell r="N91" t="str">
            <v>3SNCERAWZS381000</v>
          </cell>
          <cell r="O91">
            <v>38</v>
          </cell>
          <cell r="P91">
            <v>3</v>
          </cell>
          <cell r="Q91" t="str">
            <v>S28</v>
          </cell>
          <cell r="R91">
            <v>1005</v>
          </cell>
          <cell r="S91">
            <v>8000</v>
          </cell>
          <cell r="T91">
            <v>1005</v>
          </cell>
          <cell r="U91">
            <v>1000</v>
          </cell>
          <cell r="V91">
            <v>8000</v>
          </cell>
          <cell r="W91">
            <v>2</v>
          </cell>
          <cell r="X91" t="str">
            <v>CF2</v>
          </cell>
          <cell r="Y91" t="str">
            <v>直出し</v>
          </cell>
          <cell r="Z91">
            <v>6</v>
          </cell>
          <cell r="AA91" t="str">
            <v>6ｲﾝﾁFWP</v>
          </cell>
          <cell r="AB91">
            <v>1170</v>
          </cell>
          <cell r="AC91">
            <v>6</v>
          </cell>
          <cell r="AD91" t="str">
            <v>6ｲﾝﾁFWP</v>
          </cell>
          <cell r="AE91">
            <v>1170</v>
          </cell>
          <cell r="AO91" t="str">
            <v>3SNCERAWZS38</v>
          </cell>
        </row>
        <row r="92">
          <cell r="G92" t="str">
            <v>3SNCERAWZS</v>
          </cell>
          <cell r="H92" t="str">
            <v>S</v>
          </cell>
          <cell r="I92" t="str">
            <v>N</v>
          </cell>
          <cell r="J92" t="str">
            <v>CERA</v>
          </cell>
          <cell r="K92" t="str">
            <v>WZS</v>
          </cell>
          <cell r="L92" t="str">
            <v>セラピール　ＷＺ（Ｓ）</v>
          </cell>
          <cell r="M92" t="str">
            <v>3SNCERAWZS381125</v>
          </cell>
          <cell r="N92" t="str">
            <v>3SNCERAWZS381120</v>
          </cell>
          <cell r="O92">
            <v>38</v>
          </cell>
          <cell r="P92">
            <v>3</v>
          </cell>
          <cell r="Q92" t="str">
            <v>S28</v>
          </cell>
          <cell r="R92">
            <v>1125</v>
          </cell>
          <cell r="S92">
            <v>6000</v>
          </cell>
          <cell r="T92">
            <v>1125</v>
          </cell>
          <cell r="U92">
            <v>1120</v>
          </cell>
          <cell r="V92">
            <v>6000</v>
          </cell>
          <cell r="W92">
            <v>2</v>
          </cell>
          <cell r="X92" t="str">
            <v>CF2</v>
          </cell>
          <cell r="Y92" t="str">
            <v>直出し</v>
          </cell>
          <cell r="Z92">
            <v>6</v>
          </cell>
          <cell r="AA92" t="str">
            <v>6ｲﾝﾁFWP</v>
          </cell>
          <cell r="AB92">
            <v>1170</v>
          </cell>
          <cell r="AO92" t="str">
            <v>3SNCERAWZS38</v>
          </cell>
        </row>
        <row r="93">
          <cell r="G93" t="str">
            <v>3SNCERAWZS</v>
          </cell>
          <cell r="H93" t="str">
            <v>S</v>
          </cell>
          <cell r="I93" t="str">
            <v>N</v>
          </cell>
          <cell r="J93" t="str">
            <v>CERA</v>
          </cell>
          <cell r="K93" t="str">
            <v>WZS</v>
          </cell>
          <cell r="L93" t="str">
            <v>セラピール　ＷＺ（Ｓ）</v>
          </cell>
          <cell r="M93" t="str">
            <v>3SNCERAWZS381415</v>
          </cell>
          <cell r="N93" t="str">
            <v>3SNCERAWZS381410</v>
          </cell>
          <cell r="O93">
            <v>38</v>
          </cell>
          <cell r="P93">
            <v>3</v>
          </cell>
          <cell r="Q93" t="str">
            <v>S28</v>
          </cell>
          <cell r="R93">
            <v>1415</v>
          </cell>
          <cell r="S93">
            <v>8000</v>
          </cell>
          <cell r="T93">
            <v>1415</v>
          </cell>
          <cell r="U93">
            <v>1410</v>
          </cell>
          <cell r="V93">
            <v>8000</v>
          </cell>
          <cell r="W93">
            <v>2</v>
          </cell>
          <cell r="X93" t="str">
            <v>CF2</v>
          </cell>
          <cell r="Y93" t="str">
            <v>直出し</v>
          </cell>
          <cell r="Z93">
            <v>6</v>
          </cell>
          <cell r="AA93" t="str">
            <v>6ｲﾝﾁFWP</v>
          </cell>
          <cell r="AB93">
            <v>1450</v>
          </cell>
          <cell r="AO93" t="str">
            <v>3SNCERAWZS38</v>
          </cell>
        </row>
        <row r="94">
          <cell r="G94" t="str">
            <v>3SNCERAWZS</v>
          </cell>
          <cell r="H94" t="str">
            <v>S</v>
          </cell>
          <cell r="I94" t="str">
            <v>N</v>
          </cell>
          <cell r="J94" t="str">
            <v>CERA</v>
          </cell>
          <cell r="K94" t="str">
            <v>WZS</v>
          </cell>
          <cell r="L94" t="str">
            <v>セラピール　ＷＺ（Ｓ）</v>
          </cell>
          <cell r="M94" t="str">
            <v>3SNCERAWZS1251230</v>
          </cell>
          <cell r="N94" t="str">
            <v>3SNCERAWZS1251225</v>
          </cell>
          <cell r="O94">
            <v>125</v>
          </cell>
          <cell r="P94">
            <v>3</v>
          </cell>
          <cell r="Q94" t="str">
            <v>S28</v>
          </cell>
          <cell r="R94">
            <v>1230</v>
          </cell>
          <cell r="S94">
            <v>2000</v>
          </cell>
          <cell r="T94">
            <v>1230</v>
          </cell>
          <cell r="U94">
            <v>1225</v>
          </cell>
          <cell r="V94">
            <v>1800</v>
          </cell>
          <cell r="W94">
            <v>2</v>
          </cell>
          <cell r="X94" t="str">
            <v>CF2</v>
          </cell>
          <cell r="Y94" t="str">
            <v>直出し</v>
          </cell>
          <cell r="Z94">
            <v>6</v>
          </cell>
          <cell r="AA94" t="str">
            <v>6ｲﾝﾁFWP</v>
          </cell>
          <cell r="AB94">
            <v>1450</v>
          </cell>
          <cell r="AO94" t="str">
            <v>3SNCERAWZS125</v>
          </cell>
        </row>
        <row r="95">
          <cell r="G95" t="str">
            <v>3SNCERAWZS</v>
          </cell>
          <cell r="H95" t="str">
            <v>S</v>
          </cell>
          <cell r="I95" t="str">
            <v>N</v>
          </cell>
          <cell r="J95" t="str">
            <v>CERA</v>
          </cell>
          <cell r="K95" t="str">
            <v>WZS</v>
          </cell>
          <cell r="L95" t="str">
            <v>セラピール　ＷＺ（Ｓ）</v>
          </cell>
          <cell r="M95" t="str">
            <v>3SNCERAWZS1251250</v>
          </cell>
          <cell r="N95" t="str">
            <v>3SNCERAWZS1251225</v>
          </cell>
          <cell r="O95">
            <v>125</v>
          </cell>
          <cell r="P95">
            <v>3</v>
          </cell>
          <cell r="Q95" t="str">
            <v>S28</v>
          </cell>
          <cell r="R95">
            <v>1250</v>
          </cell>
          <cell r="S95">
            <v>2000</v>
          </cell>
          <cell r="T95">
            <v>1230</v>
          </cell>
          <cell r="U95">
            <v>1225</v>
          </cell>
          <cell r="V95">
            <v>1800</v>
          </cell>
          <cell r="W95">
            <v>2</v>
          </cell>
          <cell r="X95" t="str">
            <v>CF2</v>
          </cell>
          <cell r="Y95" t="str">
            <v>SL-1</v>
          </cell>
          <cell r="Z95">
            <v>6</v>
          </cell>
          <cell r="AA95" t="str">
            <v>6ｲﾝﾁFWP</v>
          </cell>
          <cell r="AB95">
            <v>1450</v>
          </cell>
          <cell r="AC95">
            <v>6</v>
          </cell>
          <cell r="AD95" t="str">
            <v>6ｲﾝﾁFWP</v>
          </cell>
          <cell r="AE95">
            <v>1450</v>
          </cell>
          <cell r="AO95" t="str">
            <v>3SNCERAWZS125</v>
          </cell>
        </row>
        <row r="96">
          <cell r="G96" t="str">
            <v>3SNCERAWZT</v>
          </cell>
          <cell r="H96" t="str">
            <v>S</v>
          </cell>
          <cell r="I96" t="str">
            <v>N</v>
          </cell>
          <cell r="J96" t="str">
            <v>CERA</v>
          </cell>
          <cell r="K96" t="str">
            <v>WZT</v>
          </cell>
          <cell r="L96" t="str">
            <v>セラピール　ＷＺ（Ｔ）</v>
          </cell>
          <cell r="M96" t="str">
            <v>3SNCERAWZT251325</v>
          </cell>
          <cell r="N96" t="str">
            <v>3SNCERAWZT251320</v>
          </cell>
          <cell r="O96">
            <v>25</v>
          </cell>
          <cell r="P96">
            <v>3</v>
          </cell>
          <cell r="Q96" t="str">
            <v>T70A</v>
          </cell>
          <cell r="R96">
            <v>1325</v>
          </cell>
          <cell r="S96">
            <v>8200</v>
          </cell>
          <cell r="T96">
            <v>1325</v>
          </cell>
          <cell r="U96">
            <v>1320</v>
          </cell>
          <cell r="V96">
            <v>8000</v>
          </cell>
          <cell r="W96">
            <v>2</v>
          </cell>
          <cell r="X96" t="str">
            <v>CF2</v>
          </cell>
          <cell r="Y96" t="str">
            <v>直出し</v>
          </cell>
          <cell r="Z96">
            <v>6</v>
          </cell>
          <cell r="AA96" t="str">
            <v>6ｲﾝﾁFWP</v>
          </cell>
          <cell r="AB96">
            <v>1450</v>
          </cell>
          <cell r="AO96" t="str">
            <v>3SNCERAWZT25</v>
          </cell>
        </row>
        <row r="97">
          <cell r="G97" t="str">
            <v>3SNCERAWZT</v>
          </cell>
          <cell r="H97" t="str">
            <v>S</v>
          </cell>
          <cell r="I97" t="str">
            <v>N</v>
          </cell>
          <cell r="J97" t="str">
            <v>CERA</v>
          </cell>
          <cell r="K97" t="str">
            <v>WZT</v>
          </cell>
          <cell r="L97" t="str">
            <v>セラピール　ＷＺ（Ｔ）</v>
          </cell>
          <cell r="M97" t="str">
            <v>3SNCERAWZT381005</v>
          </cell>
          <cell r="N97" t="str">
            <v>3SNCERAWZT381000</v>
          </cell>
          <cell r="O97">
            <v>38</v>
          </cell>
          <cell r="P97">
            <v>3</v>
          </cell>
          <cell r="Q97" t="str">
            <v>T75</v>
          </cell>
          <cell r="R97">
            <v>1005</v>
          </cell>
          <cell r="S97">
            <v>6000</v>
          </cell>
          <cell r="T97">
            <v>1000</v>
          </cell>
          <cell r="U97">
            <v>1000</v>
          </cell>
          <cell r="V97">
            <v>6000</v>
          </cell>
          <cell r="W97">
            <v>2</v>
          </cell>
          <cell r="X97" t="str">
            <v>CF2</v>
          </cell>
          <cell r="Y97" t="str">
            <v>直出し</v>
          </cell>
          <cell r="Z97">
            <v>6</v>
          </cell>
          <cell r="AA97" t="str">
            <v>6ｲﾝﾁFWP</v>
          </cell>
          <cell r="AO97" t="str">
            <v>3SNCERAWZT38</v>
          </cell>
        </row>
        <row r="98">
          <cell r="G98" t="str">
            <v>3SNCERAWZU</v>
          </cell>
          <cell r="H98" t="str">
            <v>S</v>
          </cell>
          <cell r="I98" t="str">
            <v>N</v>
          </cell>
          <cell r="J98" t="str">
            <v>CERA</v>
          </cell>
          <cell r="K98" t="str">
            <v>WZU</v>
          </cell>
          <cell r="L98" t="str">
            <v>セラピール　ＷＺ（Ｕ）</v>
          </cell>
          <cell r="M98" t="str">
            <v>3SNCERAWZU251155</v>
          </cell>
          <cell r="N98" t="str">
            <v>3SNCERAWZU251150</v>
          </cell>
          <cell r="O98">
            <v>25</v>
          </cell>
          <cell r="P98">
            <v>3</v>
          </cell>
          <cell r="Q98" t="str">
            <v>S</v>
          </cell>
          <cell r="R98">
            <v>1155</v>
          </cell>
          <cell r="S98">
            <v>12600</v>
          </cell>
          <cell r="T98">
            <v>1155</v>
          </cell>
          <cell r="U98">
            <v>1150</v>
          </cell>
          <cell r="V98">
            <v>12400</v>
          </cell>
          <cell r="W98">
            <v>2</v>
          </cell>
          <cell r="X98" t="str">
            <v>CF2</v>
          </cell>
          <cell r="Y98" t="str">
            <v>直出し</v>
          </cell>
          <cell r="Z98">
            <v>6</v>
          </cell>
          <cell r="AA98" t="str">
            <v>6ｲﾝﾁFWP</v>
          </cell>
          <cell r="AB98">
            <v>1270</v>
          </cell>
          <cell r="AO98" t="str">
            <v>3SNCERAWZU25</v>
          </cell>
        </row>
        <row r="99">
          <cell r="G99" t="str">
            <v>3SNCERAWZU</v>
          </cell>
          <cell r="H99" t="str">
            <v>S</v>
          </cell>
          <cell r="I99" t="str">
            <v>N</v>
          </cell>
          <cell r="J99" t="str">
            <v>CERA</v>
          </cell>
          <cell r="K99" t="str">
            <v>WZU</v>
          </cell>
          <cell r="L99" t="str">
            <v>セラピール　ＷＺ（Ｕ）</v>
          </cell>
          <cell r="M99" t="str">
            <v>3SNCERAWZU251415</v>
          </cell>
          <cell r="N99" t="str">
            <v>3SNCERAWZU251410</v>
          </cell>
          <cell r="O99">
            <v>25</v>
          </cell>
          <cell r="P99">
            <v>3</v>
          </cell>
          <cell r="Q99" t="str">
            <v>S</v>
          </cell>
          <cell r="R99">
            <v>1415</v>
          </cell>
          <cell r="S99">
            <v>12300</v>
          </cell>
          <cell r="T99">
            <v>1410</v>
          </cell>
          <cell r="U99">
            <v>1410</v>
          </cell>
          <cell r="V99">
            <v>6000</v>
          </cell>
          <cell r="W99">
            <v>2</v>
          </cell>
          <cell r="X99" t="str">
            <v>CF2</v>
          </cell>
          <cell r="Y99" t="str">
            <v>半直</v>
          </cell>
          <cell r="Z99">
            <v>6</v>
          </cell>
          <cell r="AA99" t="str">
            <v>6ｲﾝﾁFWP</v>
          </cell>
          <cell r="AB99">
            <v>1600</v>
          </cell>
          <cell r="AC99">
            <v>6</v>
          </cell>
          <cell r="AD99" t="str">
            <v>6ｲﾝﾁFWP</v>
          </cell>
          <cell r="AE99">
            <v>1600</v>
          </cell>
          <cell r="AO99" t="str">
            <v>3SNCERAWZU25</v>
          </cell>
        </row>
        <row r="100">
          <cell r="G100" t="str">
            <v>3SNCERAWZU</v>
          </cell>
          <cell r="H100" t="str">
            <v>S</v>
          </cell>
          <cell r="I100" t="str">
            <v>N</v>
          </cell>
          <cell r="J100" t="str">
            <v>CERA</v>
          </cell>
          <cell r="K100" t="str">
            <v>WZU</v>
          </cell>
          <cell r="L100" t="str">
            <v>セラピール　ＷＺ（Ｕ）</v>
          </cell>
          <cell r="M100" t="str">
            <v>3SNCERAWZU251425</v>
          </cell>
          <cell r="N100" t="str">
            <v>3SNCERAWZU251420</v>
          </cell>
          <cell r="O100">
            <v>25</v>
          </cell>
          <cell r="P100">
            <v>3</v>
          </cell>
          <cell r="Q100" t="str">
            <v>S</v>
          </cell>
          <cell r="R100">
            <v>1425</v>
          </cell>
          <cell r="S100">
            <v>12600</v>
          </cell>
          <cell r="T100">
            <v>1425</v>
          </cell>
          <cell r="U100">
            <v>1420</v>
          </cell>
          <cell r="V100">
            <v>12400</v>
          </cell>
          <cell r="W100">
            <v>2</v>
          </cell>
          <cell r="X100" t="str">
            <v>CF2</v>
          </cell>
          <cell r="Y100" t="str">
            <v>MK-1</v>
          </cell>
          <cell r="Z100">
            <v>6</v>
          </cell>
          <cell r="AA100" t="str">
            <v>6ｲﾝﾁFWP</v>
          </cell>
          <cell r="AB100">
            <v>1500</v>
          </cell>
          <cell r="AC100">
            <v>6</v>
          </cell>
          <cell r="AD100" t="str">
            <v>6ｲﾝﾁFWP</v>
          </cell>
          <cell r="AE100">
            <v>1500</v>
          </cell>
          <cell r="AO100" t="str">
            <v>3SNCERAWZU25</v>
          </cell>
        </row>
        <row r="101">
          <cell r="G101" t="str">
            <v>331SNCERAWZ34</v>
          </cell>
          <cell r="H101" t="str">
            <v>S</v>
          </cell>
          <cell r="I101" t="str">
            <v>N</v>
          </cell>
          <cell r="J101" t="str">
            <v>CERA</v>
          </cell>
          <cell r="K101" t="str">
            <v>WZ34</v>
          </cell>
          <cell r="L101" t="str">
            <v>セラピール　ＷＺ（34）</v>
          </cell>
          <cell r="M101" t="str">
            <v>331SNCERAWZ3425E1420</v>
          </cell>
          <cell r="N101" t="str">
            <v>331SNCERAWZ3425E1410</v>
          </cell>
          <cell r="O101" t="str">
            <v>25E</v>
          </cell>
          <cell r="P101">
            <v>331</v>
          </cell>
          <cell r="Q101" t="str">
            <v>S105</v>
          </cell>
          <cell r="R101">
            <v>1420</v>
          </cell>
          <cell r="S101">
            <v>12700</v>
          </cell>
          <cell r="T101">
            <v>1410</v>
          </cell>
          <cell r="U101">
            <v>1410</v>
          </cell>
          <cell r="V101">
            <v>6000</v>
          </cell>
          <cell r="W101">
            <v>1</v>
          </cell>
          <cell r="X101" t="str">
            <v>CF2</v>
          </cell>
          <cell r="Y101" t="str">
            <v>半直</v>
          </cell>
          <cell r="Z101">
            <v>6</v>
          </cell>
          <cell r="AA101" t="str">
            <v>6ｲﾝﾁFWP</v>
          </cell>
          <cell r="AB101">
            <v>1600</v>
          </cell>
          <cell r="AO101" t="str">
            <v>331SNCERAWZ3425E</v>
          </cell>
        </row>
        <row r="102">
          <cell r="G102" t="str">
            <v>330SNCERAWZS</v>
          </cell>
          <cell r="H102" t="str">
            <v>S</v>
          </cell>
          <cell r="I102" t="str">
            <v>N</v>
          </cell>
          <cell r="J102" t="str">
            <v>CERA</v>
          </cell>
          <cell r="K102" t="str">
            <v>WZS</v>
          </cell>
          <cell r="L102" t="str">
            <v>セラピール　ＷＺ（Ｓ）</v>
          </cell>
          <cell r="M102" t="str">
            <v>330SNCERAWZS251158</v>
          </cell>
          <cell r="N102" t="str">
            <v>330SNCERAWZS251150</v>
          </cell>
          <cell r="O102">
            <v>25</v>
          </cell>
          <cell r="P102">
            <v>330</v>
          </cell>
          <cell r="Q102" t="str">
            <v>S28M</v>
          </cell>
          <cell r="R102">
            <v>1158</v>
          </cell>
          <cell r="S102">
            <v>12500</v>
          </cell>
          <cell r="T102">
            <v>1155</v>
          </cell>
          <cell r="U102">
            <v>1150</v>
          </cell>
          <cell r="V102">
            <v>4200</v>
          </cell>
          <cell r="W102">
            <v>2</v>
          </cell>
          <cell r="X102" t="str">
            <v>CF2</v>
          </cell>
          <cell r="Y102" t="str">
            <v>MK1</v>
          </cell>
          <cell r="Z102">
            <v>6</v>
          </cell>
          <cell r="AA102" t="str">
            <v>6ｲﾝﾁFWP</v>
          </cell>
          <cell r="AB102">
            <v>1170</v>
          </cell>
          <cell r="AC102">
            <v>6</v>
          </cell>
          <cell r="AD102" t="str">
            <v>6ｲﾝﾁFWP</v>
          </cell>
          <cell r="AE102">
            <v>1170</v>
          </cell>
          <cell r="AO102" t="str">
            <v>330SNCERAWZS25</v>
          </cell>
        </row>
        <row r="103">
          <cell r="G103" t="str">
            <v>331SNCERAWZS</v>
          </cell>
          <cell r="H103" t="str">
            <v>S</v>
          </cell>
          <cell r="I103" t="str">
            <v>N</v>
          </cell>
          <cell r="J103" t="str">
            <v>CERA</v>
          </cell>
          <cell r="K103" t="str">
            <v>WZS</v>
          </cell>
          <cell r="L103" t="str">
            <v>セラピール　ＷＺ（Ｓ）</v>
          </cell>
          <cell r="M103" t="str">
            <v>331SNCERAWZS251428</v>
          </cell>
          <cell r="N103" t="str">
            <v>331SNCERAWZS251420</v>
          </cell>
          <cell r="O103">
            <v>25</v>
          </cell>
          <cell r="P103">
            <v>331</v>
          </cell>
          <cell r="Q103" t="str">
            <v>S28M</v>
          </cell>
          <cell r="R103">
            <v>1428</v>
          </cell>
          <cell r="S103">
            <v>12500</v>
          </cell>
          <cell r="T103">
            <v>1425</v>
          </cell>
          <cell r="U103">
            <v>1420</v>
          </cell>
          <cell r="V103">
            <v>12400</v>
          </cell>
          <cell r="W103">
            <v>2</v>
          </cell>
          <cell r="X103" t="str">
            <v>CF2</v>
          </cell>
          <cell r="Y103" t="str">
            <v>MK1</v>
          </cell>
          <cell r="Z103">
            <v>6</v>
          </cell>
          <cell r="AA103" t="str">
            <v>6ｲﾝﾁFWP</v>
          </cell>
          <cell r="AB103">
            <v>1500</v>
          </cell>
          <cell r="AC103">
            <v>6</v>
          </cell>
          <cell r="AD103" t="str">
            <v>6ｲﾝﾁFWP</v>
          </cell>
          <cell r="AE103">
            <v>1500</v>
          </cell>
          <cell r="AO103" t="str">
            <v>331SNCERAWZS25</v>
          </cell>
        </row>
        <row r="104">
          <cell r="G104" t="str">
            <v>3SNCERANSHP2UDF</v>
          </cell>
          <cell r="H104" t="str">
            <v>S</v>
          </cell>
          <cell r="I104" t="str">
            <v>N</v>
          </cell>
          <cell r="J104" t="str">
            <v>CERANS</v>
          </cell>
          <cell r="K104" t="str">
            <v>HP2UDF</v>
          </cell>
          <cell r="L104" t="str">
            <v>セラピール　ＨＰ２（Ｕ）Ｄ</v>
          </cell>
          <cell r="M104" t="str">
            <v>3SNCERANSHP2UDF751230</v>
          </cell>
          <cell r="N104" t="str">
            <v>3SNCERANSHP2UDF75600</v>
          </cell>
          <cell r="O104">
            <v>75</v>
          </cell>
          <cell r="P104">
            <v>3</v>
          </cell>
          <cell r="Q104" t="str">
            <v>SD</v>
          </cell>
          <cell r="R104">
            <v>1230</v>
          </cell>
          <cell r="S104">
            <v>2100</v>
          </cell>
          <cell r="T104">
            <v>600</v>
          </cell>
          <cell r="U104">
            <v>600</v>
          </cell>
          <cell r="V104">
            <v>600</v>
          </cell>
          <cell r="W104">
            <v>2</v>
          </cell>
          <cell r="X104" t="str">
            <v>CF4</v>
          </cell>
          <cell r="Y104" t="str">
            <v>SL-1</v>
          </cell>
          <cell r="Z104">
            <v>6</v>
          </cell>
          <cell r="AA104" t="str">
            <v>6ｲﾝﾁFWP</v>
          </cell>
          <cell r="AB104">
            <v>1450</v>
          </cell>
          <cell r="AC104">
            <v>3</v>
          </cell>
          <cell r="AD104" t="str">
            <v>3ｲﾝﾁABS</v>
          </cell>
          <cell r="AE104">
            <v>605</v>
          </cell>
          <cell r="AO104" t="str">
            <v>3SNCERANSHP2UDF75</v>
          </cell>
        </row>
        <row r="105">
          <cell r="G105" t="str">
            <v>3SNCERANSPJ27103</v>
          </cell>
          <cell r="H105" t="str">
            <v>S</v>
          </cell>
          <cell r="I105" t="str">
            <v>N</v>
          </cell>
          <cell r="J105" t="str">
            <v>CERANS</v>
          </cell>
          <cell r="K105" t="str">
            <v>PJ27103</v>
          </cell>
          <cell r="L105" t="str">
            <v>セラピール　ＰＪ２７１（０３）</v>
          </cell>
          <cell r="M105" t="str">
            <v>3SNCERANSPJ27103251580</v>
          </cell>
          <cell r="N105" t="str">
            <v>3SNCERANSPJ27103251575</v>
          </cell>
          <cell r="O105">
            <v>25</v>
          </cell>
          <cell r="P105">
            <v>3</v>
          </cell>
          <cell r="Q105" t="str">
            <v>R75XH</v>
          </cell>
          <cell r="R105">
            <v>1580</v>
          </cell>
          <cell r="S105">
            <v>12300</v>
          </cell>
          <cell r="T105">
            <v>1575</v>
          </cell>
          <cell r="U105">
            <v>1575</v>
          </cell>
          <cell r="V105">
            <v>12000</v>
          </cell>
          <cell r="W105">
            <v>2</v>
          </cell>
          <cell r="X105" t="str">
            <v>CF3</v>
          </cell>
          <cell r="Y105" t="str">
            <v>直出し</v>
          </cell>
          <cell r="Z105">
            <v>6</v>
          </cell>
          <cell r="AA105" t="str">
            <v>6ｲﾝﾁFWP</v>
          </cell>
          <cell r="AB105">
            <v>1640</v>
          </cell>
          <cell r="AO105" t="str">
            <v>3SNCERANSPJ2710325</v>
          </cell>
        </row>
        <row r="106">
          <cell r="G106" t="str">
            <v>3SNCLBE20V</v>
          </cell>
          <cell r="H106" t="str">
            <v>S</v>
          </cell>
          <cell r="I106" t="str">
            <v>N</v>
          </cell>
          <cell r="J106" t="str">
            <v>CLB</v>
          </cell>
          <cell r="K106" t="str">
            <v>E20V</v>
          </cell>
          <cell r="L106" t="str">
            <v>ルミラー　Ｅ－２０　Ｖ</v>
          </cell>
          <cell r="M106" t="str">
            <v>3SNCLBE20V381005</v>
          </cell>
          <cell r="N106" t="str">
            <v>3SNCLBE20V381000</v>
          </cell>
          <cell r="O106">
            <v>38</v>
          </cell>
          <cell r="P106">
            <v>3</v>
          </cell>
          <cell r="Q106" t="str">
            <v>E20</v>
          </cell>
          <cell r="R106">
            <v>1005</v>
          </cell>
          <cell r="S106">
            <v>4000</v>
          </cell>
          <cell r="T106">
            <v>1005</v>
          </cell>
          <cell r="U106">
            <v>1000</v>
          </cell>
          <cell r="V106">
            <v>4000</v>
          </cell>
          <cell r="W106">
            <v>2</v>
          </cell>
          <cell r="X106" t="str">
            <v>CF4</v>
          </cell>
          <cell r="Y106" t="str">
            <v>直出し</v>
          </cell>
          <cell r="Z106">
            <v>6</v>
          </cell>
          <cell r="AA106" t="str">
            <v>6ｲﾝﾁMｺｱ</v>
          </cell>
          <cell r="AB106">
            <v>1015</v>
          </cell>
          <cell r="AM106" t="str">
            <v>原反ケース再利用</v>
          </cell>
          <cell r="AO106" t="str">
            <v>3SNCLBE20V38</v>
          </cell>
        </row>
        <row r="107">
          <cell r="G107" t="str">
            <v>3SNCLBE20V</v>
          </cell>
          <cell r="H107" t="str">
            <v>S</v>
          </cell>
          <cell r="I107" t="str">
            <v>N</v>
          </cell>
          <cell r="J107" t="str">
            <v>CLB</v>
          </cell>
          <cell r="K107" t="str">
            <v>E20V</v>
          </cell>
          <cell r="L107" t="str">
            <v>ルミラー　Ｅ－２０　Ｖ</v>
          </cell>
          <cell r="M107" t="str">
            <v>3SNCLBE20V501002</v>
          </cell>
          <cell r="N107" t="str">
            <v>3SNCLBE20V501000</v>
          </cell>
          <cell r="O107">
            <v>50</v>
          </cell>
          <cell r="P107">
            <v>3</v>
          </cell>
          <cell r="Q107" t="str">
            <v>E20</v>
          </cell>
          <cell r="R107">
            <v>1002</v>
          </cell>
          <cell r="S107">
            <v>4000</v>
          </cell>
          <cell r="T107">
            <v>1002</v>
          </cell>
          <cell r="U107">
            <v>1000</v>
          </cell>
          <cell r="V107">
            <v>4000</v>
          </cell>
          <cell r="W107">
            <v>2</v>
          </cell>
          <cell r="X107" t="str">
            <v>CF4</v>
          </cell>
          <cell r="Y107" t="str">
            <v>直出し</v>
          </cell>
          <cell r="Z107">
            <v>6</v>
          </cell>
          <cell r="AA107" t="str">
            <v>6ｲﾝﾁMｺｱ</v>
          </cell>
          <cell r="AB107">
            <v>1015</v>
          </cell>
          <cell r="AM107" t="str">
            <v>原反ケース再利用</v>
          </cell>
          <cell r="AO107" t="str">
            <v>3SNCLBE20V50</v>
          </cell>
        </row>
        <row r="108">
          <cell r="G108" t="str">
            <v>3SNCLBE20V</v>
          </cell>
          <cell r="H108" t="str">
            <v>S</v>
          </cell>
          <cell r="I108" t="str">
            <v>N</v>
          </cell>
          <cell r="J108" t="str">
            <v>CLB</v>
          </cell>
          <cell r="K108" t="str">
            <v>E20V</v>
          </cell>
          <cell r="L108" t="str">
            <v>ルミラー　Ｅ－２０　Ｖ</v>
          </cell>
          <cell r="M108" t="str">
            <v>3SNCLBE20V501002</v>
          </cell>
          <cell r="N108" t="str">
            <v>3SNCLBE20V501000</v>
          </cell>
          <cell r="O108">
            <v>50</v>
          </cell>
          <cell r="P108">
            <v>3</v>
          </cell>
          <cell r="Q108" t="str">
            <v>E20</v>
          </cell>
          <cell r="R108">
            <v>1002</v>
          </cell>
          <cell r="S108">
            <v>4000</v>
          </cell>
          <cell r="T108">
            <v>1005</v>
          </cell>
          <cell r="U108">
            <v>1000</v>
          </cell>
          <cell r="V108">
            <v>4000</v>
          </cell>
          <cell r="W108">
            <v>2</v>
          </cell>
          <cell r="X108" t="str">
            <v>CF4</v>
          </cell>
          <cell r="Y108" t="str">
            <v>直出し</v>
          </cell>
          <cell r="Z108">
            <v>6</v>
          </cell>
          <cell r="AA108" t="str">
            <v>6ｲﾝﾁMｺｱ</v>
          </cell>
          <cell r="AB108">
            <v>1015</v>
          </cell>
          <cell r="AM108" t="str">
            <v>原反ケース再利用</v>
          </cell>
          <cell r="AO108" t="str">
            <v>3SNCLBE20V50</v>
          </cell>
        </row>
        <row r="109">
          <cell r="G109" t="str">
            <v>3SNCLBE20V</v>
          </cell>
          <cell r="H109" t="str">
            <v>S</v>
          </cell>
          <cell r="I109" t="str">
            <v>N</v>
          </cell>
          <cell r="J109" t="str">
            <v>CLB</v>
          </cell>
          <cell r="K109" t="str">
            <v>E20V</v>
          </cell>
          <cell r="L109" t="str">
            <v>ルミラー　Ｅ－２０　Ｖ</v>
          </cell>
          <cell r="M109" t="str">
            <v>3SNCLBE20V751002</v>
          </cell>
          <cell r="N109" t="str">
            <v>3SNCLBE20V751000</v>
          </cell>
          <cell r="O109">
            <v>75</v>
          </cell>
          <cell r="P109">
            <v>3</v>
          </cell>
          <cell r="Q109" t="str">
            <v>E20</v>
          </cell>
          <cell r="R109">
            <v>1002</v>
          </cell>
          <cell r="S109">
            <v>3000</v>
          </cell>
          <cell r="T109">
            <v>1002</v>
          </cell>
          <cell r="U109">
            <v>1000</v>
          </cell>
          <cell r="V109">
            <v>3000</v>
          </cell>
          <cell r="W109">
            <v>2</v>
          </cell>
          <cell r="X109" t="str">
            <v>CF4</v>
          </cell>
          <cell r="Y109" t="str">
            <v>直出し</v>
          </cell>
          <cell r="Z109">
            <v>6</v>
          </cell>
          <cell r="AA109" t="str">
            <v>6ｲﾝﾁMｺｱ</v>
          </cell>
          <cell r="AB109">
            <v>1015</v>
          </cell>
          <cell r="AM109" t="str">
            <v>原反ケース再利用</v>
          </cell>
          <cell r="AO109" t="str">
            <v>3SNCLBE20V75</v>
          </cell>
        </row>
        <row r="110">
          <cell r="G110" t="str">
            <v>3SNCLBE20V</v>
          </cell>
          <cell r="H110" t="str">
            <v>S</v>
          </cell>
          <cell r="I110" t="str">
            <v>N</v>
          </cell>
          <cell r="J110" t="str">
            <v>CLB</v>
          </cell>
          <cell r="K110" t="str">
            <v>E20V</v>
          </cell>
          <cell r="L110" t="str">
            <v>ルミラー　Ｅ－２０　Ｖ</v>
          </cell>
          <cell r="M110" t="str">
            <v>3SNCLBE20V751002</v>
          </cell>
          <cell r="N110" t="str">
            <v>3SNCLBE20V751000</v>
          </cell>
          <cell r="O110">
            <v>75</v>
          </cell>
          <cell r="P110">
            <v>3</v>
          </cell>
          <cell r="Q110" t="str">
            <v>E20</v>
          </cell>
          <cell r="R110">
            <v>1002</v>
          </cell>
          <cell r="S110">
            <v>3000</v>
          </cell>
          <cell r="T110">
            <v>1005</v>
          </cell>
          <cell r="U110">
            <v>1000</v>
          </cell>
          <cell r="V110">
            <v>3000</v>
          </cell>
          <cell r="W110">
            <v>2</v>
          </cell>
          <cell r="X110" t="str">
            <v>CF4</v>
          </cell>
          <cell r="Y110" t="str">
            <v>直出し</v>
          </cell>
          <cell r="Z110">
            <v>6</v>
          </cell>
          <cell r="AA110" t="str">
            <v>6ｲﾝﾁMｺｱ</v>
          </cell>
          <cell r="AB110">
            <v>1015</v>
          </cell>
          <cell r="AM110" t="str">
            <v>原反ケース再利用</v>
          </cell>
          <cell r="AO110" t="str">
            <v>3SNCLBE20V75</v>
          </cell>
        </row>
        <row r="111">
          <cell r="G111" t="str">
            <v>3SNCLBE20V</v>
          </cell>
          <cell r="H111" t="str">
            <v>S</v>
          </cell>
          <cell r="I111" t="str">
            <v>N</v>
          </cell>
          <cell r="J111" t="str">
            <v>CLB</v>
          </cell>
          <cell r="K111" t="str">
            <v>E20V</v>
          </cell>
          <cell r="L111" t="str">
            <v>ルミラー　Ｅ－２０　Ｖ</v>
          </cell>
          <cell r="M111" t="str">
            <v>3SNCLBE20V1001005</v>
          </cell>
          <cell r="N111" t="str">
            <v>3SNCLBE20V1001000</v>
          </cell>
          <cell r="O111">
            <v>100</v>
          </cell>
          <cell r="P111">
            <v>3</v>
          </cell>
          <cell r="Q111" t="str">
            <v>E20</v>
          </cell>
          <cell r="R111">
            <v>1005</v>
          </cell>
          <cell r="S111">
            <v>2000</v>
          </cell>
          <cell r="T111">
            <v>1005</v>
          </cell>
          <cell r="U111">
            <v>1000</v>
          </cell>
          <cell r="V111">
            <v>2000</v>
          </cell>
          <cell r="W111">
            <v>2</v>
          </cell>
          <cell r="X111" t="str">
            <v>CF4</v>
          </cell>
          <cell r="Y111" t="str">
            <v>直出し</v>
          </cell>
          <cell r="Z111">
            <v>6</v>
          </cell>
          <cell r="AA111" t="str">
            <v>6ｲﾝﾁMｺｱ</v>
          </cell>
          <cell r="AB111">
            <v>1015</v>
          </cell>
          <cell r="AM111" t="str">
            <v>原反ケース再利用</v>
          </cell>
          <cell r="AO111" t="str">
            <v>3SNCLBE20V100</v>
          </cell>
        </row>
        <row r="112">
          <cell r="G112" t="str">
            <v>3SNCLBLEYK</v>
          </cell>
          <cell r="H112" t="str">
            <v>S</v>
          </cell>
          <cell r="I112" t="str">
            <v>N</v>
          </cell>
          <cell r="J112" t="str">
            <v>CLB</v>
          </cell>
          <cell r="K112" t="str">
            <v>LEYK</v>
          </cell>
          <cell r="L112" t="str">
            <v>ルミラー　ＥＹＫ</v>
          </cell>
          <cell r="M112" t="str">
            <v>3SNCLBLEYK251120</v>
          </cell>
          <cell r="N112" t="str">
            <v>3SNCLBLEYK251120</v>
          </cell>
          <cell r="O112">
            <v>25</v>
          </cell>
          <cell r="P112">
            <v>3</v>
          </cell>
          <cell r="Q112" t="str">
            <v>T62M</v>
          </cell>
          <cell r="R112">
            <v>1120</v>
          </cell>
          <cell r="S112">
            <v>12100</v>
          </cell>
          <cell r="T112">
            <v>1120</v>
          </cell>
          <cell r="U112">
            <v>1120</v>
          </cell>
          <cell r="V112">
            <v>6000</v>
          </cell>
          <cell r="W112">
            <v>2</v>
          </cell>
          <cell r="X112" t="str">
            <v>CF4</v>
          </cell>
          <cell r="Y112" t="str">
            <v>S-4</v>
          </cell>
          <cell r="Z112">
            <v>6</v>
          </cell>
          <cell r="AA112" t="str">
            <v>6ｲﾝﾁFWP</v>
          </cell>
          <cell r="AB112">
            <v>1450</v>
          </cell>
          <cell r="AC112">
            <v>6</v>
          </cell>
          <cell r="AD112" t="str">
            <v>6ｲﾝﾁMｺｱ</v>
          </cell>
          <cell r="AE112">
            <v>1140</v>
          </cell>
          <cell r="AO112" t="str">
            <v>3SNCLBLEYK25</v>
          </cell>
        </row>
        <row r="113">
          <cell r="G113" t="str">
            <v>3SNCLBLEYK</v>
          </cell>
          <cell r="H113" t="str">
            <v>S</v>
          </cell>
          <cell r="I113" t="str">
            <v>N</v>
          </cell>
          <cell r="J113" t="str">
            <v>CLB</v>
          </cell>
          <cell r="K113" t="str">
            <v>LEYK</v>
          </cell>
          <cell r="L113" t="str">
            <v>ルミラー　ＥＹＫ</v>
          </cell>
          <cell r="M113" t="str">
            <v>3SNCLBLEYK251125</v>
          </cell>
          <cell r="N113" t="str">
            <v>3SNCLBLEYK251120</v>
          </cell>
          <cell r="O113">
            <v>25</v>
          </cell>
          <cell r="P113">
            <v>3</v>
          </cell>
          <cell r="Q113" t="str">
            <v>T62M</v>
          </cell>
          <cell r="R113">
            <v>1125</v>
          </cell>
          <cell r="S113">
            <v>12100</v>
          </cell>
          <cell r="T113">
            <v>1120</v>
          </cell>
          <cell r="U113">
            <v>1120</v>
          </cell>
          <cell r="V113">
            <v>6000</v>
          </cell>
          <cell r="W113">
            <v>2</v>
          </cell>
          <cell r="X113" t="str">
            <v>CF4</v>
          </cell>
          <cell r="Y113" t="str">
            <v>S-4</v>
          </cell>
          <cell r="Z113">
            <v>6</v>
          </cell>
          <cell r="AA113" t="str">
            <v>6ｲﾝﾁFWP</v>
          </cell>
          <cell r="AB113">
            <v>1450</v>
          </cell>
          <cell r="AC113">
            <v>6</v>
          </cell>
          <cell r="AD113" t="str">
            <v>6ｲﾝﾁMｺｱ</v>
          </cell>
          <cell r="AE113">
            <v>1140</v>
          </cell>
          <cell r="AO113" t="str">
            <v>3SNCLBLEYK25</v>
          </cell>
        </row>
        <row r="114">
          <cell r="G114" t="str">
            <v>3SNCLBLEYK</v>
          </cell>
          <cell r="H114" t="str">
            <v>S</v>
          </cell>
          <cell r="I114" t="str">
            <v>N</v>
          </cell>
          <cell r="J114" t="str">
            <v>CLB</v>
          </cell>
          <cell r="K114" t="str">
            <v>LEYK</v>
          </cell>
          <cell r="L114" t="str">
            <v>ルミラー　ＥＹＫ</v>
          </cell>
          <cell r="M114" t="str">
            <v>3SNCLBLEYK381125</v>
          </cell>
          <cell r="N114" t="str">
            <v>3SNCLBLEYK381120</v>
          </cell>
          <cell r="O114">
            <v>38</v>
          </cell>
          <cell r="P114">
            <v>3</v>
          </cell>
          <cell r="Q114" t="str">
            <v>T75</v>
          </cell>
          <cell r="R114">
            <v>1125</v>
          </cell>
          <cell r="S114">
            <v>4000</v>
          </cell>
          <cell r="T114">
            <v>1125</v>
          </cell>
          <cell r="U114">
            <v>1120</v>
          </cell>
          <cell r="V114">
            <v>4000</v>
          </cell>
          <cell r="W114">
            <v>2</v>
          </cell>
          <cell r="X114" t="str">
            <v>CF4</v>
          </cell>
          <cell r="Y114" t="str">
            <v>S-4</v>
          </cell>
          <cell r="Z114">
            <v>6</v>
          </cell>
          <cell r="AA114" t="str">
            <v>6ｲﾝﾁFWP</v>
          </cell>
          <cell r="AB114">
            <v>1450</v>
          </cell>
          <cell r="AC114">
            <v>6</v>
          </cell>
          <cell r="AD114" t="str">
            <v>6ｲﾝﾁMｺｱ</v>
          </cell>
          <cell r="AE114">
            <v>1140</v>
          </cell>
          <cell r="AO114" t="str">
            <v>3SNCLBLEYK38</v>
          </cell>
        </row>
        <row r="115">
          <cell r="G115" t="str">
            <v>3SNCLBLEYK</v>
          </cell>
          <cell r="H115" t="str">
            <v>S</v>
          </cell>
          <cell r="I115" t="str">
            <v>N</v>
          </cell>
          <cell r="J115" t="str">
            <v>CLB</v>
          </cell>
          <cell r="K115" t="str">
            <v>LEYK</v>
          </cell>
          <cell r="L115" t="str">
            <v>ルミラー　ＥＹＫ</v>
          </cell>
          <cell r="M115" t="str">
            <v>3SNCLBLEYK501125</v>
          </cell>
          <cell r="N115" t="str">
            <v>3SNCLBLEYK501120</v>
          </cell>
          <cell r="O115">
            <v>50</v>
          </cell>
          <cell r="P115">
            <v>3</v>
          </cell>
          <cell r="Q115" t="str">
            <v>T62M</v>
          </cell>
          <cell r="R115">
            <v>1125</v>
          </cell>
          <cell r="S115">
            <v>6200</v>
          </cell>
          <cell r="T115">
            <v>1120</v>
          </cell>
          <cell r="U115">
            <v>1120</v>
          </cell>
          <cell r="V115">
            <v>6000</v>
          </cell>
          <cell r="W115">
            <v>2</v>
          </cell>
          <cell r="X115" t="str">
            <v>CF4</v>
          </cell>
          <cell r="Y115" t="str">
            <v>S-4</v>
          </cell>
          <cell r="Z115">
            <v>6</v>
          </cell>
          <cell r="AA115" t="str">
            <v>6ｲﾝﾁFWP</v>
          </cell>
          <cell r="AB115">
            <v>1450</v>
          </cell>
          <cell r="AC115">
            <v>6</v>
          </cell>
          <cell r="AD115" t="str">
            <v>6ｲﾝﾁMｺｱ</v>
          </cell>
          <cell r="AE115">
            <v>1140</v>
          </cell>
          <cell r="AM115" t="str">
            <v>原反ケース再利用</v>
          </cell>
          <cell r="AO115" t="str">
            <v>3SNCLBLEYK50</v>
          </cell>
        </row>
        <row r="116">
          <cell r="G116" t="str">
            <v>3SNCLBLMEYK</v>
          </cell>
          <cell r="H116" t="str">
            <v>S</v>
          </cell>
          <cell r="I116" t="str">
            <v>N</v>
          </cell>
          <cell r="J116" t="str">
            <v>CLB</v>
          </cell>
          <cell r="K116" t="str">
            <v>LMEYK</v>
          </cell>
          <cell r="L116" t="str">
            <v>ルミマットＥＹＫ</v>
          </cell>
          <cell r="M116" t="str">
            <v>3SNCLBLMEYK381005</v>
          </cell>
          <cell r="N116" t="str">
            <v>3SNCLBLMEYK381000</v>
          </cell>
          <cell r="O116">
            <v>38</v>
          </cell>
          <cell r="P116">
            <v>3</v>
          </cell>
          <cell r="Q116" t="str">
            <v>LUMIMAT</v>
          </cell>
          <cell r="R116">
            <v>1005</v>
          </cell>
          <cell r="S116">
            <v>8000</v>
          </cell>
          <cell r="T116">
            <v>1005</v>
          </cell>
          <cell r="U116">
            <v>1000</v>
          </cell>
          <cell r="V116">
            <v>4000</v>
          </cell>
          <cell r="W116">
            <v>2</v>
          </cell>
          <cell r="X116" t="str">
            <v>CF4</v>
          </cell>
          <cell r="Y116" t="str">
            <v>S-4</v>
          </cell>
          <cell r="Z116">
            <v>6</v>
          </cell>
          <cell r="AA116" t="str">
            <v>6ｲﾝﾁFWP</v>
          </cell>
          <cell r="AB116">
            <v>1450</v>
          </cell>
          <cell r="AC116">
            <v>3</v>
          </cell>
          <cell r="AD116" t="str">
            <v>3ｲﾝﾁSｺｱ</v>
          </cell>
          <cell r="AE116">
            <v>1015</v>
          </cell>
          <cell r="AO116" t="str">
            <v>3SNCLBLMEYK38</v>
          </cell>
        </row>
        <row r="117">
          <cell r="G117" t="str">
            <v>33SSNCLBLTL</v>
          </cell>
          <cell r="H117" t="str">
            <v>S</v>
          </cell>
          <cell r="I117" t="str">
            <v>N</v>
          </cell>
          <cell r="J117" t="str">
            <v>CLB</v>
          </cell>
          <cell r="K117" t="str">
            <v>LTL</v>
          </cell>
          <cell r="L117" t="str">
            <v>ルミラー　ＴＬ</v>
          </cell>
          <cell r="M117" t="str">
            <v>33SSNCLBLTL251125</v>
          </cell>
          <cell r="N117" t="str">
            <v>33SSNCLBLTL251120</v>
          </cell>
          <cell r="O117">
            <v>25</v>
          </cell>
          <cell r="P117" t="str">
            <v>33S</v>
          </cell>
          <cell r="Q117" t="str">
            <v>T62M</v>
          </cell>
          <cell r="R117">
            <v>1125</v>
          </cell>
          <cell r="S117">
            <v>12100</v>
          </cell>
          <cell r="T117">
            <v>1120</v>
          </cell>
          <cell r="U117">
            <v>1120</v>
          </cell>
          <cell r="V117">
            <v>12000</v>
          </cell>
          <cell r="W117">
            <v>2</v>
          </cell>
          <cell r="X117" t="str">
            <v>CF4</v>
          </cell>
          <cell r="Y117" t="str">
            <v>直出し</v>
          </cell>
          <cell r="Z117">
            <v>6</v>
          </cell>
          <cell r="AA117" t="str">
            <v>6ｲﾝﾁMｺｱ</v>
          </cell>
          <cell r="AB117">
            <v>1140</v>
          </cell>
          <cell r="AO117" t="str">
            <v>33SSNCLBLTL25</v>
          </cell>
        </row>
        <row r="118">
          <cell r="G118" t="str">
            <v>3SNCLBPETMV</v>
          </cell>
          <cell r="H118" t="str">
            <v>S</v>
          </cell>
          <cell r="I118" t="str">
            <v>N</v>
          </cell>
          <cell r="J118" t="str">
            <v>CLB</v>
          </cell>
          <cell r="K118" t="str">
            <v>PETMV</v>
          </cell>
          <cell r="L118" t="str">
            <v>ＰＥＴ　マットＶ</v>
          </cell>
          <cell r="M118" t="str">
            <v>3SNCLBPETMV251005</v>
          </cell>
          <cell r="N118" t="str">
            <v>3SNCLBPETMV251000</v>
          </cell>
          <cell r="O118">
            <v>25</v>
          </cell>
          <cell r="P118">
            <v>3</v>
          </cell>
          <cell r="Q118" t="str">
            <v>LUMIMAT</v>
          </cell>
          <cell r="R118">
            <v>1005</v>
          </cell>
          <cell r="S118">
            <v>4000</v>
          </cell>
          <cell r="T118">
            <v>1005</v>
          </cell>
          <cell r="U118">
            <v>1000</v>
          </cell>
          <cell r="V118">
            <v>4000</v>
          </cell>
          <cell r="W118">
            <v>2</v>
          </cell>
          <cell r="X118" t="str">
            <v>CF4</v>
          </cell>
          <cell r="Y118" t="str">
            <v>直出し</v>
          </cell>
          <cell r="Z118">
            <v>6</v>
          </cell>
          <cell r="AA118" t="str">
            <v>6ｲﾝﾁMｺｱ</v>
          </cell>
          <cell r="AB118">
            <v>1015</v>
          </cell>
          <cell r="AO118" t="str">
            <v>3SNCLBPETMV25</v>
          </cell>
        </row>
        <row r="119">
          <cell r="G119" t="str">
            <v>3SYCLBPETMV</v>
          </cell>
          <cell r="H119" t="str">
            <v>S</v>
          </cell>
          <cell r="I119" t="str">
            <v>Y</v>
          </cell>
          <cell r="J119" t="str">
            <v>CLB</v>
          </cell>
          <cell r="K119" t="str">
            <v>PETMV</v>
          </cell>
          <cell r="L119" t="str">
            <v>ＰＥＴ　マットＶ</v>
          </cell>
          <cell r="M119" t="str">
            <v>3SYCLBPETMV501005</v>
          </cell>
          <cell r="N119" t="str">
            <v>3SYCLBPETMV501000</v>
          </cell>
          <cell r="O119">
            <v>50</v>
          </cell>
          <cell r="P119">
            <v>3</v>
          </cell>
          <cell r="Q119" t="str">
            <v>MAT</v>
          </cell>
          <cell r="R119">
            <v>1005</v>
          </cell>
          <cell r="S119">
            <v>4100</v>
          </cell>
          <cell r="T119">
            <v>1005</v>
          </cell>
          <cell r="U119">
            <v>1000</v>
          </cell>
          <cell r="V119">
            <v>4000</v>
          </cell>
          <cell r="W119">
            <v>2</v>
          </cell>
          <cell r="X119" t="str">
            <v>CF4</v>
          </cell>
          <cell r="Y119" t="str">
            <v>直出し</v>
          </cell>
          <cell r="Z119">
            <v>6</v>
          </cell>
          <cell r="AA119" t="str">
            <v>6ｲﾝﾁMｺｱ</v>
          </cell>
          <cell r="AB119">
            <v>1015</v>
          </cell>
          <cell r="AO119" t="str">
            <v>3SYCLBPETMV50</v>
          </cell>
        </row>
        <row r="120">
          <cell r="G120" t="str">
            <v>3SNCLBPETTL</v>
          </cell>
          <cell r="H120" t="str">
            <v>S</v>
          </cell>
          <cell r="I120" t="str">
            <v>N</v>
          </cell>
          <cell r="J120" t="str">
            <v>CLB</v>
          </cell>
          <cell r="K120" t="str">
            <v>PETTL</v>
          </cell>
          <cell r="L120" t="str">
            <v>ＰＥＴ　ＴＬ</v>
          </cell>
          <cell r="M120" t="str">
            <v>3SNCLBPETTL381350</v>
          </cell>
          <cell r="N120" t="str">
            <v>3SNCLBPETTL381320</v>
          </cell>
          <cell r="O120">
            <v>38</v>
          </cell>
          <cell r="P120">
            <v>3</v>
          </cell>
          <cell r="Q120" t="str">
            <v>E5001</v>
          </cell>
          <cell r="R120">
            <v>1350</v>
          </cell>
          <cell r="S120">
            <v>4400</v>
          </cell>
          <cell r="T120">
            <v>1320</v>
          </cell>
          <cell r="U120">
            <v>1320</v>
          </cell>
          <cell r="V120">
            <v>4200</v>
          </cell>
          <cell r="W120">
            <v>2</v>
          </cell>
          <cell r="X120" t="str">
            <v>CF4</v>
          </cell>
          <cell r="Y120" t="str">
            <v>SL-1</v>
          </cell>
          <cell r="Z120">
            <v>6</v>
          </cell>
          <cell r="AA120" t="str">
            <v>6ｲﾝﾁFWP</v>
          </cell>
          <cell r="AB120">
            <v>1450</v>
          </cell>
          <cell r="AC120">
            <v>6</v>
          </cell>
          <cell r="AD120" t="str">
            <v>6ｲﾝﾁFWP</v>
          </cell>
          <cell r="AE120">
            <v>1450</v>
          </cell>
          <cell r="AO120" t="str">
            <v>3SNCLBPETTL38</v>
          </cell>
        </row>
        <row r="121">
          <cell r="G121" t="str">
            <v>3SNCLBPETTL</v>
          </cell>
          <cell r="H121" t="str">
            <v>S</v>
          </cell>
          <cell r="I121" t="str">
            <v>N</v>
          </cell>
          <cell r="J121" t="str">
            <v>CLB</v>
          </cell>
          <cell r="K121" t="str">
            <v>PETTL</v>
          </cell>
          <cell r="L121" t="str">
            <v>ＰＥＴ　ＴＬ</v>
          </cell>
          <cell r="M121" t="str">
            <v>3SNCLBPETTL501350</v>
          </cell>
          <cell r="N121" t="str">
            <v>3SNCLBPETTL501320</v>
          </cell>
          <cell r="O121">
            <v>50</v>
          </cell>
          <cell r="P121">
            <v>3</v>
          </cell>
          <cell r="Q121" t="str">
            <v>E5001</v>
          </cell>
          <cell r="R121">
            <v>1350</v>
          </cell>
          <cell r="S121">
            <v>4400</v>
          </cell>
          <cell r="T121">
            <v>1320</v>
          </cell>
          <cell r="U121">
            <v>1320</v>
          </cell>
          <cell r="V121">
            <v>4200</v>
          </cell>
          <cell r="W121">
            <v>2</v>
          </cell>
          <cell r="X121" t="str">
            <v>CF4</v>
          </cell>
          <cell r="Y121" t="str">
            <v>SL-1</v>
          </cell>
          <cell r="Z121">
            <v>6</v>
          </cell>
          <cell r="AA121" t="str">
            <v>6ｲﾝﾁFWP</v>
          </cell>
          <cell r="AB121">
            <v>1450</v>
          </cell>
          <cell r="AC121">
            <v>6</v>
          </cell>
          <cell r="AD121" t="str">
            <v>6ｲﾝﾁFWP</v>
          </cell>
          <cell r="AE121">
            <v>1450</v>
          </cell>
          <cell r="AO121" t="str">
            <v>3SNCLBPETTL50</v>
          </cell>
        </row>
        <row r="122">
          <cell r="G122" t="str">
            <v>3SNCLBPETV44</v>
          </cell>
          <cell r="H122" t="str">
            <v>S</v>
          </cell>
          <cell r="I122" t="str">
            <v>N</v>
          </cell>
          <cell r="J122" t="str">
            <v>CLB</v>
          </cell>
          <cell r="K122" t="str">
            <v>PETV44</v>
          </cell>
          <cell r="L122" t="str">
            <v>ＰＥＴ　Ｖ（Ｘ－４４）</v>
          </cell>
          <cell r="M122" t="str">
            <v>3SNCLBPETV44501005</v>
          </cell>
          <cell r="N122" t="str">
            <v>3SNCLBPETV44501000</v>
          </cell>
          <cell r="O122">
            <v>50</v>
          </cell>
          <cell r="P122">
            <v>3</v>
          </cell>
          <cell r="Q122" t="str">
            <v>X44</v>
          </cell>
          <cell r="R122">
            <v>1005</v>
          </cell>
          <cell r="S122">
            <v>4100</v>
          </cell>
          <cell r="T122">
            <v>1005</v>
          </cell>
          <cell r="U122">
            <v>1000</v>
          </cell>
          <cell r="V122">
            <v>4000</v>
          </cell>
          <cell r="W122">
            <v>2</v>
          </cell>
          <cell r="X122" t="str">
            <v>CF4</v>
          </cell>
          <cell r="Y122" t="str">
            <v>直出し</v>
          </cell>
          <cell r="Z122">
            <v>6</v>
          </cell>
          <cell r="AA122" t="str">
            <v>6ｲﾝﾁSｺｱ</v>
          </cell>
          <cell r="AB122">
            <v>1015</v>
          </cell>
          <cell r="AO122" t="str">
            <v>3SNCLBPETV4450</v>
          </cell>
        </row>
        <row r="123">
          <cell r="G123" t="str">
            <v>3SNMCLBDMSV</v>
          </cell>
          <cell r="H123" t="str">
            <v>S</v>
          </cell>
          <cell r="I123" t="str">
            <v>N</v>
          </cell>
          <cell r="J123" t="str">
            <v>MCLB</v>
          </cell>
          <cell r="K123" t="str">
            <v>DMSV</v>
          </cell>
          <cell r="L123" t="str">
            <v>ＤＭＳ　Ｖ</v>
          </cell>
          <cell r="M123" t="str">
            <v>3SNMCLBDMSV501005</v>
          </cell>
          <cell r="N123" t="str">
            <v>3SNMCLBDMSV501000</v>
          </cell>
          <cell r="O123">
            <v>50</v>
          </cell>
          <cell r="P123">
            <v>3</v>
          </cell>
          <cell r="Q123" t="str">
            <v>X44</v>
          </cell>
          <cell r="R123">
            <v>1005</v>
          </cell>
          <cell r="S123">
            <v>4000</v>
          </cell>
          <cell r="T123">
            <v>1005</v>
          </cell>
          <cell r="U123">
            <v>1000</v>
          </cell>
          <cell r="V123">
            <v>2000</v>
          </cell>
          <cell r="W123">
            <v>2</v>
          </cell>
          <cell r="X123" t="str">
            <v>CF4</v>
          </cell>
          <cell r="Y123" t="str">
            <v>S-4</v>
          </cell>
          <cell r="Z123">
            <v>6</v>
          </cell>
          <cell r="AA123" t="str">
            <v>6ｲﾝﾁFWP</v>
          </cell>
          <cell r="AB123">
            <v>1450</v>
          </cell>
          <cell r="AC123">
            <v>6</v>
          </cell>
          <cell r="AD123" t="str">
            <v>6ｲﾝﾁMｺｱ</v>
          </cell>
          <cell r="AE123">
            <v>1020</v>
          </cell>
          <cell r="AF123">
            <v>2</v>
          </cell>
          <cell r="AG123" t="str">
            <v>6ｲﾝﾁFWP</v>
          </cell>
          <cell r="AH123">
            <v>1450</v>
          </cell>
          <cell r="AI123">
            <v>3</v>
          </cell>
          <cell r="AJ123" t="str">
            <v>6ｲﾝﾁFWP</v>
          </cell>
          <cell r="AK123">
            <v>1450</v>
          </cell>
          <cell r="AO123" t="str">
            <v>3SNMCLBDMSV50</v>
          </cell>
        </row>
        <row r="124">
          <cell r="G124" t="str">
            <v>3SNMCLBEYK</v>
          </cell>
          <cell r="H124" t="str">
            <v>S</v>
          </cell>
          <cell r="I124" t="str">
            <v>N</v>
          </cell>
          <cell r="J124" t="str">
            <v>MCLB</v>
          </cell>
          <cell r="K124" t="str">
            <v>EYK</v>
          </cell>
          <cell r="L124" t="str">
            <v>メタルミー　ＥＹＫ</v>
          </cell>
          <cell r="M124" t="str">
            <v>3SNMCLBEYK501125</v>
          </cell>
          <cell r="N124" t="str">
            <v>3SNMCLBEYK501120</v>
          </cell>
          <cell r="O124">
            <v>50</v>
          </cell>
          <cell r="P124">
            <v>3</v>
          </cell>
          <cell r="Q124" t="str">
            <v>T62M</v>
          </cell>
          <cell r="R124">
            <v>1125</v>
          </cell>
          <cell r="S124">
            <v>6100</v>
          </cell>
          <cell r="T124">
            <v>1120</v>
          </cell>
          <cell r="U124">
            <v>1120</v>
          </cell>
          <cell r="V124">
            <v>6000</v>
          </cell>
          <cell r="W124">
            <v>2</v>
          </cell>
          <cell r="X124" t="str">
            <v>CF4</v>
          </cell>
          <cell r="Y124" t="str">
            <v>S-4</v>
          </cell>
          <cell r="Z124">
            <v>6</v>
          </cell>
          <cell r="AA124" t="str">
            <v>6ｲﾝﾁFWP</v>
          </cell>
          <cell r="AB124">
            <v>1450</v>
          </cell>
          <cell r="AC124">
            <v>6</v>
          </cell>
          <cell r="AD124" t="str">
            <v>6ｲﾝﾁMｺｱ</v>
          </cell>
          <cell r="AE124">
            <v>1140</v>
          </cell>
          <cell r="AF124">
            <v>2</v>
          </cell>
          <cell r="AG124" t="str">
            <v>6ｲﾝﾁFWP</v>
          </cell>
          <cell r="AH124">
            <v>1450</v>
          </cell>
          <cell r="AI124">
            <v>3</v>
          </cell>
          <cell r="AJ124" t="str">
            <v>6ｲﾝﾁFWP</v>
          </cell>
          <cell r="AK124">
            <v>1450</v>
          </cell>
          <cell r="AM124" t="str">
            <v>原反ケース再利用</v>
          </cell>
          <cell r="AO124" t="str">
            <v>3SNMCLBEYK50</v>
          </cell>
        </row>
        <row r="125">
          <cell r="G125" t="str">
            <v>3HSNMCLBEYK</v>
          </cell>
          <cell r="H125" t="str">
            <v>S</v>
          </cell>
          <cell r="I125" t="str">
            <v>N</v>
          </cell>
          <cell r="J125" t="str">
            <v>MCLB</v>
          </cell>
          <cell r="K125" t="str">
            <v>EYK</v>
          </cell>
          <cell r="L125" t="str">
            <v>メタルミー　ＥＹＫ</v>
          </cell>
          <cell r="M125" t="str">
            <v>3HSNMCLBEYK501195</v>
          </cell>
          <cell r="N125" t="str">
            <v>3HSNMCLBEYK501190</v>
          </cell>
          <cell r="O125">
            <v>50</v>
          </cell>
          <cell r="P125" t="str">
            <v>3H</v>
          </cell>
          <cell r="Q125" t="str">
            <v>T62M</v>
          </cell>
          <cell r="R125">
            <v>1195</v>
          </cell>
          <cell r="S125">
            <v>6100</v>
          </cell>
          <cell r="T125">
            <v>1190</v>
          </cell>
          <cell r="U125">
            <v>1190</v>
          </cell>
          <cell r="V125">
            <v>6000</v>
          </cell>
          <cell r="W125">
            <v>2</v>
          </cell>
          <cell r="X125" t="str">
            <v>CF4</v>
          </cell>
          <cell r="Y125" t="str">
            <v>S-4</v>
          </cell>
          <cell r="Z125">
            <v>6</v>
          </cell>
          <cell r="AA125" t="str">
            <v>6ｲﾝﾁFWP</v>
          </cell>
          <cell r="AB125">
            <v>1450</v>
          </cell>
          <cell r="AC125">
            <v>6</v>
          </cell>
          <cell r="AD125" t="str">
            <v>6ｲﾝﾁMｺｱ</v>
          </cell>
          <cell r="AE125">
            <v>1220</v>
          </cell>
          <cell r="AF125">
            <v>2</v>
          </cell>
          <cell r="AG125" t="str">
            <v>6ｲﾝﾁFWP</v>
          </cell>
          <cell r="AH125">
            <v>1450</v>
          </cell>
          <cell r="AI125">
            <v>3</v>
          </cell>
          <cell r="AJ125" t="str">
            <v>6ｲﾝﾁFWP</v>
          </cell>
          <cell r="AK125">
            <v>1450</v>
          </cell>
          <cell r="AM125" t="str">
            <v>原反ケース再利用</v>
          </cell>
          <cell r="AO125" t="str">
            <v>3HSNMCLBEYK50</v>
          </cell>
        </row>
        <row r="126">
          <cell r="G126" t="str">
            <v>3SNMCLBHLGKJV</v>
          </cell>
          <cell r="H126" t="str">
            <v>S</v>
          </cell>
          <cell r="I126" t="str">
            <v>N</v>
          </cell>
          <cell r="J126" t="str">
            <v>MCLB</v>
          </cell>
          <cell r="K126" t="str">
            <v>HLGKJV</v>
          </cell>
          <cell r="L126" t="str">
            <v>メタルミー　ヘヤライン　銀消Ｖ</v>
          </cell>
          <cell r="M126" t="str">
            <v>3SNMCLBHLGKJV251005</v>
          </cell>
          <cell r="N126" t="str">
            <v>3SNMCLBHLGKJV251000</v>
          </cell>
          <cell r="O126">
            <v>25</v>
          </cell>
          <cell r="P126">
            <v>3</v>
          </cell>
          <cell r="Q126" t="str">
            <v>HL-MAT</v>
          </cell>
          <cell r="R126">
            <v>1005</v>
          </cell>
          <cell r="S126">
            <v>2000</v>
          </cell>
          <cell r="T126">
            <v>1005</v>
          </cell>
          <cell r="U126">
            <v>1000</v>
          </cell>
          <cell r="V126">
            <v>2000</v>
          </cell>
          <cell r="W126">
            <v>2</v>
          </cell>
          <cell r="X126" t="str">
            <v>CF4</v>
          </cell>
          <cell r="Y126" t="str">
            <v>S-4</v>
          </cell>
          <cell r="Z126">
            <v>6</v>
          </cell>
          <cell r="AA126" t="str">
            <v>6ｲﾝﾁFWP</v>
          </cell>
          <cell r="AB126">
            <v>1450</v>
          </cell>
          <cell r="AC126">
            <v>6</v>
          </cell>
          <cell r="AD126" t="str">
            <v>6ｲﾝﾁSｺｱ</v>
          </cell>
          <cell r="AE126">
            <v>1015</v>
          </cell>
          <cell r="AF126">
            <v>2</v>
          </cell>
          <cell r="AG126" t="str">
            <v>6ｲﾝﾁFWP</v>
          </cell>
          <cell r="AH126">
            <v>1450</v>
          </cell>
          <cell r="AI126">
            <v>3</v>
          </cell>
          <cell r="AJ126" t="str">
            <v>6ｲﾝﾁFWP</v>
          </cell>
          <cell r="AK126">
            <v>1450</v>
          </cell>
          <cell r="AO126" t="str">
            <v>3SNMCLBHLGKJV25</v>
          </cell>
        </row>
        <row r="127">
          <cell r="G127" t="str">
            <v>3SNMCLBHLGKJV</v>
          </cell>
          <cell r="H127" t="str">
            <v>S</v>
          </cell>
          <cell r="I127" t="str">
            <v>N</v>
          </cell>
          <cell r="J127" t="str">
            <v>MCLB</v>
          </cell>
          <cell r="K127" t="str">
            <v>HLGKJV</v>
          </cell>
          <cell r="L127" t="str">
            <v>メタルミー　ヘヤライン　銀消Ｖ</v>
          </cell>
          <cell r="M127" t="str">
            <v>3SNMCLBHLGKJV501005</v>
          </cell>
          <cell r="N127" t="str">
            <v>3SNMCLBHLGKJV501000</v>
          </cell>
          <cell r="O127">
            <v>50</v>
          </cell>
          <cell r="P127">
            <v>3</v>
          </cell>
          <cell r="Q127" t="str">
            <v>HL-MAT</v>
          </cell>
          <cell r="R127">
            <v>1005</v>
          </cell>
          <cell r="S127">
            <v>4000</v>
          </cell>
          <cell r="T127">
            <v>1005</v>
          </cell>
          <cell r="U127">
            <v>1000</v>
          </cell>
          <cell r="V127">
            <v>2000</v>
          </cell>
          <cell r="W127">
            <v>2</v>
          </cell>
          <cell r="X127" t="str">
            <v>CF4</v>
          </cell>
          <cell r="Y127" t="str">
            <v>S-4</v>
          </cell>
          <cell r="Z127">
            <v>6</v>
          </cell>
          <cell r="AA127" t="str">
            <v>6ｲﾝﾁFWP</v>
          </cell>
          <cell r="AB127">
            <v>1450</v>
          </cell>
          <cell r="AC127">
            <v>6</v>
          </cell>
          <cell r="AD127" t="str">
            <v>6ｲﾝﾁSｺｱ</v>
          </cell>
          <cell r="AE127">
            <v>1015</v>
          </cell>
          <cell r="AF127">
            <v>2</v>
          </cell>
          <cell r="AG127" t="str">
            <v>6ｲﾝﾁFWP</v>
          </cell>
          <cell r="AH127">
            <v>1450</v>
          </cell>
          <cell r="AI127">
            <v>3</v>
          </cell>
          <cell r="AJ127" t="str">
            <v>6ｲﾝﾁFWP</v>
          </cell>
          <cell r="AK127">
            <v>1450</v>
          </cell>
          <cell r="AO127" t="str">
            <v>3SNMCLBHLGKJV50</v>
          </cell>
        </row>
        <row r="128">
          <cell r="G128" t="str">
            <v>3SNMCLBHLGTV</v>
          </cell>
          <cell r="H128" t="str">
            <v>S</v>
          </cell>
          <cell r="I128" t="str">
            <v>N</v>
          </cell>
          <cell r="J128" t="str">
            <v>MCLB</v>
          </cell>
          <cell r="K128" t="str">
            <v>HLGTV</v>
          </cell>
          <cell r="L128" t="str">
            <v>メタルミー　ヘヤライン　銀艶Ｖ</v>
          </cell>
          <cell r="M128" t="str">
            <v>3SNMCLBHLGTV251005</v>
          </cell>
          <cell r="N128" t="str">
            <v>3SNMCLBHLGTV251000</v>
          </cell>
          <cell r="O128">
            <v>25</v>
          </cell>
          <cell r="P128">
            <v>3</v>
          </cell>
          <cell r="Q128" t="str">
            <v>BRIGHT</v>
          </cell>
          <cell r="R128">
            <v>1005</v>
          </cell>
          <cell r="S128">
            <v>8000</v>
          </cell>
          <cell r="T128">
            <v>1005</v>
          </cell>
          <cell r="U128">
            <v>1000</v>
          </cell>
          <cell r="V128">
            <v>2000</v>
          </cell>
          <cell r="W128">
            <v>2</v>
          </cell>
          <cell r="X128" t="str">
            <v>CF4</v>
          </cell>
          <cell r="Y128" t="str">
            <v>S-4</v>
          </cell>
          <cell r="Z128">
            <v>6</v>
          </cell>
          <cell r="AA128" t="str">
            <v>6ｲﾝﾁFWP</v>
          </cell>
          <cell r="AB128">
            <v>1450</v>
          </cell>
          <cell r="AC128">
            <v>6</v>
          </cell>
          <cell r="AD128" t="str">
            <v>6ｲﾝﾁSｺｱ</v>
          </cell>
          <cell r="AE128">
            <v>1015</v>
          </cell>
          <cell r="AF128">
            <v>2</v>
          </cell>
          <cell r="AG128" t="str">
            <v>6ｲﾝﾁFWP</v>
          </cell>
          <cell r="AH128">
            <v>1450</v>
          </cell>
          <cell r="AI128">
            <v>3</v>
          </cell>
          <cell r="AJ128" t="str">
            <v>6ｲﾝﾁFWP</v>
          </cell>
          <cell r="AK128">
            <v>1450</v>
          </cell>
          <cell r="AO128" t="str">
            <v>3SNMCLBHLGTV25</v>
          </cell>
        </row>
        <row r="129">
          <cell r="G129" t="str">
            <v>3SNMCLBHLGTV</v>
          </cell>
          <cell r="H129" t="str">
            <v>S</v>
          </cell>
          <cell r="I129" t="str">
            <v>N</v>
          </cell>
          <cell r="J129" t="str">
            <v>MCLB</v>
          </cell>
          <cell r="K129" t="str">
            <v>HLGTV</v>
          </cell>
          <cell r="L129" t="str">
            <v>メタルミー　ヘヤライン　銀艶Ｖ</v>
          </cell>
          <cell r="M129" t="str">
            <v>3SNMCLBHLGTV501005</v>
          </cell>
          <cell r="N129" t="str">
            <v>3SNMCLBHLGTV501000</v>
          </cell>
          <cell r="O129">
            <v>50</v>
          </cell>
          <cell r="P129">
            <v>3</v>
          </cell>
          <cell r="Q129" t="str">
            <v>BRIGHT</v>
          </cell>
          <cell r="R129">
            <v>1005</v>
          </cell>
          <cell r="S129">
            <v>4100</v>
          </cell>
          <cell r="T129">
            <v>1005</v>
          </cell>
          <cell r="U129">
            <v>1000</v>
          </cell>
          <cell r="V129">
            <v>2000</v>
          </cell>
          <cell r="W129">
            <v>2</v>
          </cell>
          <cell r="X129" t="str">
            <v>CF4</v>
          </cell>
          <cell r="Y129" t="str">
            <v>S-4</v>
          </cell>
          <cell r="Z129">
            <v>6</v>
          </cell>
          <cell r="AA129" t="str">
            <v>6ｲﾝﾁFWP</v>
          </cell>
          <cell r="AB129">
            <v>1450</v>
          </cell>
          <cell r="AC129">
            <v>6</v>
          </cell>
          <cell r="AD129" t="str">
            <v>6ｲﾝﾁSｺｱ</v>
          </cell>
          <cell r="AE129">
            <v>1015</v>
          </cell>
          <cell r="AF129">
            <v>2</v>
          </cell>
          <cell r="AG129" t="str">
            <v>6ｲﾝﾁFWP</v>
          </cell>
          <cell r="AH129">
            <v>1450</v>
          </cell>
          <cell r="AI129">
            <v>3</v>
          </cell>
          <cell r="AJ129" t="str">
            <v>6ｲﾝﾁFWP</v>
          </cell>
          <cell r="AK129">
            <v>1450</v>
          </cell>
          <cell r="AO129" t="str">
            <v>3SNMCLBHLGTV50</v>
          </cell>
        </row>
        <row r="130">
          <cell r="G130" t="str">
            <v>3SNMCLBHLGTV</v>
          </cell>
          <cell r="H130" t="str">
            <v>S</v>
          </cell>
          <cell r="I130" t="str">
            <v>N</v>
          </cell>
          <cell r="J130" t="str">
            <v>MCLB</v>
          </cell>
          <cell r="K130" t="str">
            <v>HLGTV</v>
          </cell>
          <cell r="L130" t="str">
            <v>メタルミー　ヘヤライン　銀艶Ｖ</v>
          </cell>
          <cell r="M130" t="str">
            <v>3SNMCLBHLGTV501125</v>
          </cell>
          <cell r="N130" t="str">
            <v>3SNMCLBHLGTV501120</v>
          </cell>
          <cell r="O130">
            <v>50</v>
          </cell>
          <cell r="P130">
            <v>3</v>
          </cell>
          <cell r="Q130" t="str">
            <v>BRIGHT</v>
          </cell>
          <cell r="R130">
            <v>1125</v>
          </cell>
          <cell r="S130">
            <v>4100</v>
          </cell>
          <cell r="T130">
            <v>1125</v>
          </cell>
          <cell r="U130">
            <v>1120</v>
          </cell>
          <cell r="V130">
            <v>2000</v>
          </cell>
          <cell r="W130">
            <v>2</v>
          </cell>
          <cell r="X130" t="str">
            <v>CF4</v>
          </cell>
          <cell r="Y130" t="str">
            <v>S-4</v>
          </cell>
          <cell r="Z130">
            <v>6</v>
          </cell>
          <cell r="AA130" t="str">
            <v>6ｲﾝﾁFWP</v>
          </cell>
          <cell r="AB130">
            <v>1450</v>
          </cell>
          <cell r="AC130">
            <v>6</v>
          </cell>
          <cell r="AD130" t="str">
            <v>6ｲﾝﾁSｺｱ</v>
          </cell>
          <cell r="AE130">
            <v>1140</v>
          </cell>
          <cell r="AF130">
            <v>2</v>
          </cell>
          <cell r="AG130" t="str">
            <v>6ｲﾝﾁFWP</v>
          </cell>
          <cell r="AH130">
            <v>1450</v>
          </cell>
          <cell r="AI130">
            <v>3</v>
          </cell>
          <cell r="AJ130" t="str">
            <v>6ｲﾝﾁFWP</v>
          </cell>
          <cell r="AK130">
            <v>1450</v>
          </cell>
          <cell r="AO130" t="str">
            <v>3SNMCLBHLGTV50</v>
          </cell>
        </row>
        <row r="131">
          <cell r="G131" t="str">
            <v>3SYMCLBHLGTV</v>
          </cell>
          <cell r="H131" t="str">
            <v>S</v>
          </cell>
          <cell r="I131" t="str">
            <v>Y</v>
          </cell>
          <cell r="J131" t="str">
            <v>MCLB</v>
          </cell>
          <cell r="K131" t="str">
            <v>HLGTV</v>
          </cell>
          <cell r="L131" t="str">
            <v>メタルミー　ヘヤライン　銀艶Ｖ</v>
          </cell>
          <cell r="M131" t="str">
            <v>3SYMCLBHLGTV501005</v>
          </cell>
          <cell r="N131" t="str">
            <v>3SYMCLBHLGTV501000</v>
          </cell>
          <cell r="O131">
            <v>50</v>
          </cell>
          <cell r="P131">
            <v>3</v>
          </cell>
          <cell r="Q131" t="str">
            <v>BRIGHT</v>
          </cell>
          <cell r="R131">
            <v>1005</v>
          </cell>
          <cell r="S131">
            <v>4100</v>
          </cell>
          <cell r="T131">
            <v>1005</v>
          </cell>
          <cell r="U131">
            <v>1000</v>
          </cell>
          <cell r="V131">
            <v>4000</v>
          </cell>
          <cell r="W131">
            <v>2</v>
          </cell>
          <cell r="X131" t="str">
            <v>CF4</v>
          </cell>
          <cell r="Y131" t="str">
            <v>S-4</v>
          </cell>
          <cell r="Z131">
            <v>6</v>
          </cell>
          <cell r="AA131" t="str">
            <v>6ｲﾝﾁFWP</v>
          </cell>
          <cell r="AB131">
            <v>1450</v>
          </cell>
          <cell r="AC131">
            <v>6</v>
          </cell>
          <cell r="AD131" t="str">
            <v>6ｲﾝﾁSｺｱ</v>
          </cell>
          <cell r="AE131">
            <v>1015</v>
          </cell>
          <cell r="AF131">
            <v>2</v>
          </cell>
          <cell r="AG131" t="str">
            <v>6ｲﾝﾁFWP</v>
          </cell>
          <cell r="AH131">
            <v>1450</v>
          </cell>
          <cell r="AI131">
            <v>3</v>
          </cell>
          <cell r="AJ131" t="str">
            <v>6ｲﾝﾁFWP</v>
          </cell>
          <cell r="AK131">
            <v>1450</v>
          </cell>
          <cell r="AO131" t="str">
            <v>3SYMCLBHLGTV50</v>
          </cell>
        </row>
        <row r="132">
          <cell r="G132" t="str">
            <v>3SNMCLBMSKTLHG</v>
          </cell>
          <cell r="H132" t="str">
            <v>S</v>
          </cell>
          <cell r="I132" t="str">
            <v>N</v>
          </cell>
          <cell r="J132" t="str">
            <v>MCLB</v>
          </cell>
          <cell r="K132" t="str">
            <v>MSKTLHG</v>
          </cell>
          <cell r="L132" t="str">
            <v>ＭＳＫ　ＴＬ（ＨＧ）</v>
          </cell>
          <cell r="M132" t="str">
            <v>3SNMCLBMSKTLHG1001020</v>
          </cell>
          <cell r="N132" t="str">
            <v>3SNMCLBMSKTLHG1001020</v>
          </cell>
          <cell r="O132">
            <v>100</v>
          </cell>
          <cell r="P132">
            <v>3</v>
          </cell>
          <cell r="Q132" t="str">
            <v>ﾏｯﾄﾙﾐﾗｰ</v>
          </cell>
          <cell r="R132">
            <v>1020</v>
          </cell>
          <cell r="S132">
            <v>2400</v>
          </cell>
          <cell r="T132">
            <v>1020</v>
          </cell>
          <cell r="U132">
            <v>1020</v>
          </cell>
          <cell r="V132">
            <v>2400</v>
          </cell>
          <cell r="W132">
            <v>2</v>
          </cell>
          <cell r="X132" t="str">
            <v>CF4</v>
          </cell>
          <cell r="Y132" t="str">
            <v>直出し</v>
          </cell>
          <cell r="Z132">
            <v>6</v>
          </cell>
          <cell r="AA132" t="str">
            <v>6ｲﾝﾁFWP</v>
          </cell>
          <cell r="AB132">
            <v>1450</v>
          </cell>
          <cell r="AF132">
            <v>2</v>
          </cell>
          <cell r="AG132" t="str">
            <v>6ｲﾝﾁFWP</v>
          </cell>
          <cell r="AH132">
            <v>1450</v>
          </cell>
          <cell r="AI132">
            <v>3</v>
          </cell>
          <cell r="AJ132" t="str">
            <v>6ｲﾝﾁFWP</v>
          </cell>
          <cell r="AK132">
            <v>1450</v>
          </cell>
          <cell r="AO132" t="str">
            <v>3SNMCLBMSKTLHG100</v>
          </cell>
        </row>
        <row r="133">
          <cell r="G133" t="str">
            <v>3SNMCLBMSNEYK</v>
          </cell>
          <cell r="H133" t="str">
            <v>S</v>
          </cell>
          <cell r="I133" t="str">
            <v>N</v>
          </cell>
          <cell r="J133" t="str">
            <v>MCLB</v>
          </cell>
          <cell r="K133" t="str">
            <v>MSNEYK</v>
          </cell>
          <cell r="L133" t="str">
            <v>ＭＳＮ　ＥＹＫ</v>
          </cell>
          <cell r="M133" t="str">
            <v>3SNMCLBMSNEYK251120</v>
          </cell>
          <cell r="N133" t="str">
            <v>3SNMCLBMSNEYK251120</v>
          </cell>
          <cell r="O133">
            <v>25</v>
          </cell>
          <cell r="P133">
            <v>3</v>
          </cell>
          <cell r="Q133" t="str">
            <v>N-MAT</v>
          </cell>
          <cell r="R133">
            <v>1120</v>
          </cell>
          <cell r="S133">
            <v>4000</v>
          </cell>
          <cell r="T133">
            <v>1120</v>
          </cell>
          <cell r="U133">
            <v>1120</v>
          </cell>
          <cell r="V133">
            <v>4000</v>
          </cell>
          <cell r="W133">
            <v>2</v>
          </cell>
          <cell r="X133" t="str">
            <v>CF4</v>
          </cell>
          <cell r="Y133" t="str">
            <v>S-4</v>
          </cell>
          <cell r="Z133">
            <v>6</v>
          </cell>
          <cell r="AA133" t="str">
            <v>6ｲﾝﾁFWP</v>
          </cell>
          <cell r="AB133">
            <v>1450</v>
          </cell>
          <cell r="AC133">
            <v>6</v>
          </cell>
          <cell r="AD133" t="str">
            <v>6ｲﾝﾁMｺｱ</v>
          </cell>
          <cell r="AE133">
            <v>1140</v>
          </cell>
          <cell r="AF133">
            <v>2</v>
          </cell>
          <cell r="AG133" t="str">
            <v>6ｲﾝﾁFWP</v>
          </cell>
          <cell r="AH133">
            <v>1450</v>
          </cell>
          <cell r="AI133">
            <v>3</v>
          </cell>
          <cell r="AJ133" t="str">
            <v>6ｲﾝﾁFWP</v>
          </cell>
          <cell r="AK133">
            <v>1450</v>
          </cell>
          <cell r="AO133" t="str">
            <v>3SNMCLBMSNEYK25</v>
          </cell>
        </row>
        <row r="134">
          <cell r="G134" t="str">
            <v>3SNMCLBMSNEYK</v>
          </cell>
          <cell r="H134" t="str">
            <v>S</v>
          </cell>
          <cell r="I134" t="str">
            <v>N</v>
          </cell>
          <cell r="J134" t="str">
            <v>MCLB</v>
          </cell>
          <cell r="K134" t="str">
            <v>MSNEYK</v>
          </cell>
          <cell r="L134" t="str">
            <v>ＭＳＮ　ＥＹＫ</v>
          </cell>
          <cell r="M134" t="str">
            <v>3SNMCLBMSNEYK501120</v>
          </cell>
          <cell r="N134" t="str">
            <v>3SNMCLBMSNEYK501120</v>
          </cell>
          <cell r="O134">
            <v>50</v>
          </cell>
          <cell r="P134">
            <v>3</v>
          </cell>
          <cell r="Q134" t="str">
            <v>N-MAT</v>
          </cell>
          <cell r="R134">
            <v>1120</v>
          </cell>
          <cell r="S134">
            <v>4000</v>
          </cell>
          <cell r="T134">
            <v>1120</v>
          </cell>
          <cell r="U134">
            <v>1120</v>
          </cell>
          <cell r="V134">
            <v>4000</v>
          </cell>
          <cell r="W134">
            <v>2</v>
          </cell>
          <cell r="X134" t="str">
            <v>CF4</v>
          </cell>
          <cell r="Y134" t="str">
            <v>S-4</v>
          </cell>
          <cell r="Z134">
            <v>6</v>
          </cell>
          <cell r="AA134" t="str">
            <v>6ｲﾝﾁFWP</v>
          </cell>
          <cell r="AB134">
            <v>1450</v>
          </cell>
          <cell r="AC134">
            <v>6</v>
          </cell>
          <cell r="AD134" t="str">
            <v>6ｲﾝﾁMｺｱ</v>
          </cell>
          <cell r="AE134">
            <v>1140</v>
          </cell>
          <cell r="AF134">
            <v>2</v>
          </cell>
          <cell r="AG134" t="str">
            <v>6ｲﾝﾁFWP</v>
          </cell>
          <cell r="AH134">
            <v>1450</v>
          </cell>
          <cell r="AI134">
            <v>3</v>
          </cell>
          <cell r="AJ134" t="str">
            <v>6ｲﾝﾁFWP</v>
          </cell>
          <cell r="AK134">
            <v>1450</v>
          </cell>
          <cell r="AM134" t="str">
            <v>原反ケース再利用</v>
          </cell>
          <cell r="AO134" t="str">
            <v>3SNMCLBMSNEYK50</v>
          </cell>
        </row>
        <row r="135">
          <cell r="G135" t="str">
            <v>3SNMCLBMSNEYK</v>
          </cell>
          <cell r="H135" t="str">
            <v>S</v>
          </cell>
          <cell r="I135" t="str">
            <v>N</v>
          </cell>
          <cell r="J135" t="str">
            <v>MCLB</v>
          </cell>
          <cell r="K135" t="str">
            <v>MSNEYK</v>
          </cell>
          <cell r="L135" t="str">
            <v>ＭＳＮ　ＥＹＫ</v>
          </cell>
          <cell r="M135" t="str">
            <v>3SNMCLBMSNEYK501200</v>
          </cell>
          <cell r="N135" t="str">
            <v>3SNMCLBMSNEYK501190</v>
          </cell>
          <cell r="O135">
            <v>50</v>
          </cell>
          <cell r="P135">
            <v>3</v>
          </cell>
          <cell r="Q135" t="str">
            <v>N-MAT</v>
          </cell>
          <cell r="R135">
            <v>1200</v>
          </cell>
          <cell r="S135">
            <v>6000</v>
          </cell>
          <cell r="T135">
            <v>1200</v>
          </cell>
          <cell r="U135">
            <v>1190</v>
          </cell>
          <cell r="V135">
            <v>6000</v>
          </cell>
          <cell r="W135">
            <v>2</v>
          </cell>
          <cell r="X135" t="str">
            <v>CF4</v>
          </cell>
          <cell r="Y135" t="str">
            <v>S-4</v>
          </cell>
          <cell r="Z135">
            <v>6</v>
          </cell>
          <cell r="AA135" t="str">
            <v>6ｲﾝﾁFWP</v>
          </cell>
          <cell r="AB135">
            <v>1450</v>
          </cell>
          <cell r="AC135">
            <v>6</v>
          </cell>
          <cell r="AD135" t="str">
            <v>6ｲﾝﾁMｺｱ</v>
          </cell>
          <cell r="AE135">
            <v>1220</v>
          </cell>
          <cell r="AF135">
            <v>2</v>
          </cell>
          <cell r="AG135" t="str">
            <v>6ｲﾝﾁFWP</v>
          </cell>
          <cell r="AH135">
            <v>1450</v>
          </cell>
          <cell r="AI135">
            <v>3</v>
          </cell>
          <cell r="AJ135" t="str">
            <v>6ｲﾝﾁFWP</v>
          </cell>
          <cell r="AK135">
            <v>1450</v>
          </cell>
          <cell r="AM135" t="str">
            <v>原反ケース再利用</v>
          </cell>
          <cell r="AO135" t="str">
            <v>3SNMCLBMSNEYK50</v>
          </cell>
        </row>
        <row r="136">
          <cell r="G136" t="str">
            <v>3SNMCLBMSNEYK</v>
          </cell>
          <cell r="H136" t="str">
            <v>S</v>
          </cell>
          <cell r="I136" t="str">
            <v>N</v>
          </cell>
          <cell r="J136" t="str">
            <v>MCLB</v>
          </cell>
          <cell r="K136" t="str">
            <v>MSNEYK</v>
          </cell>
          <cell r="L136" t="str">
            <v>ＭＳＮ　ＥＹＫ</v>
          </cell>
          <cell r="M136" t="str">
            <v>3SNMCLBMSNEYK1001205</v>
          </cell>
          <cell r="N136" t="str">
            <v>3SNMCLBMSNEYK1001205</v>
          </cell>
          <cell r="O136">
            <v>100</v>
          </cell>
          <cell r="P136">
            <v>3</v>
          </cell>
          <cell r="Q136" t="str">
            <v>N-MAT</v>
          </cell>
          <cell r="R136">
            <v>1205</v>
          </cell>
          <cell r="S136">
            <v>2500</v>
          </cell>
          <cell r="T136">
            <v>1205</v>
          </cell>
          <cell r="U136">
            <v>1205</v>
          </cell>
          <cell r="V136">
            <v>2500</v>
          </cell>
          <cell r="W136">
            <v>2</v>
          </cell>
          <cell r="X136" t="str">
            <v>CF4</v>
          </cell>
          <cell r="Y136" t="str">
            <v>S-4</v>
          </cell>
          <cell r="Z136">
            <v>6</v>
          </cell>
          <cell r="AA136" t="str">
            <v>6ｲﾝﾁFWP</v>
          </cell>
          <cell r="AB136">
            <v>1450</v>
          </cell>
          <cell r="AC136">
            <v>6</v>
          </cell>
          <cell r="AD136" t="str">
            <v>6ｲﾝﾁMｺｱ</v>
          </cell>
          <cell r="AE136">
            <v>1220</v>
          </cell>
          <cell r="AF136">
            <v>2</v>
          </cell>
          <cell r="AG136" t="str">
            <v>6ｲﾝﾁFWP</v>
          </cell>
          <cell r="AH136">
            <v>1450</v>
          </cell>
          <cell r="AI136">
            <v>3</v>
          </cell>
          <cell r="AJ136" t="str">
            <v>6ｲﾝﾁFWP</v>
          </cell>
          <cell r="AK136">
            <v>1450</v>
          </cell>
          <cell r="AM136" t="str">
            <v>原反ケース再利用</v>
          </cell>
          <cell r="AO136" t="str">
            <v>3SNMCLBMSNEYK100</v>
          </cell>
        </row>
        <row r="137">
          <cell r="G137" t="str">
            <v>3SNMCLBNGKEYKB</v>
          </cell>
          <cell r="H137" t="str">
            <v>S</v>
          </cell>
          <cell r="I137" t="str">
            <v>N</v>
          </cell>
          <cell r="J137" t="str">
            <v>MCLB</v>
          </cell>
          <cell r="K137" t="str">
            <v>NGKEYKB</v>
          </cell>
          <cell r="L137" t="str">
            <v>メタルミー　ネーマー銀消ＥＹＫ　Ｂ</v>
          </cell>
          <cell r="M137" t="str">
            <v>3SNMCLBNGKEYKB161005</v>
          </cell>
          <cell r="N137" t="str">
            <v>3SNMCLBNGKEYKB161000</v>
          </cell>
          <cell r="O137">
            <v>16</v>
          </cell>
          <cell r="P137">
            <v>3</v>
          </cell>
          <cell r="Q137" t="str">
            <v>LUMIMAT</v>
          </cell>
          <cell r="R137">
            <v>1005</v>
          </cell>
          <cell r="S137">
            <v>3000</v>
          </cell>
          <cell r="T137">
            <v>1005</v>
          </cell>
          <cell r="U137">
            <v>1000</v>
          </cell>
          <cell r="V137">
            <v>3000</v>
          </cell>
          <cell r="W137">
            <v>2</v>
          </cell>
          <cell r="X137" t="str">
            <v>CF4</v>
          </cell>
          <cell r="Y137" t="str">
            <v>S-4</v>
          </cell>
          <cell r="Z137">
            <v>6</v>
          </cell>
          <cell r="AA137" t="str">
            <v>6ｲﾝﾁFWP</v>
          </cell>
          <cell r="AB137">
            <v>1450</v>
          </cell>
          <cell r="AC137">
            <v>6</v>
          </cell>
          <cell r="AD137" t="str">
            <v>6ｲﾝﾁMｺｱ</v>
          </cell>
          <cell r="AE137">
            <v>1020</v>
          </cell>
          <cell r="AF137">
            <v>2</v>
          </cell>
          <cell r="AG137" t="str">
            <v>原反コア</v>
          </cell>
          <cell r="AH137" t="str">
            <v>-</v>
          </cell>
          <cell r="AI137">
            <v>3</v>
          </cell>
          <cell r="AJ137" t="str">
            <v>6ｲﾝﾁFWP</v>
          </cell>
          <cell r="AK137">
            <v>1450</v>
          </cell>
          <cell r="AO137" t="str">
            <v>3SNMCLBNGKEYKB16</v>
          </cell>
        </row>
        <row r="138">
          <cell r="G138" t="str">
            <v>3SNMCLBNGKVB</v>
          </cell>
          <cell r="H138" t="str">
            <v>S</v>
          </cell>
          <cell r="I138" t="str">
            <v>N</v>
          </cell>
          <cell r="J138" t="str">
            <v>MCLB</v>
          </cell>
          <cell r="K138" t="str">
            <v>NGKVB</v>
          </cell>
          <cell r="L138" t="str">
            <v>メタルミー　ネーマー銀消　ＶＢ</v>
          </cell>
          <cell r="M138" t="str">
            <v>3SNMCLBNGKVB501005</v>
          </cell>
          <cell r="N138" t="str">
            <v>3SNMCLBNGKVB501000</v>
          </cell>
          <cell r="O138">
            <v>50</v>
          </cell>
          <cell r="P138">
            <v>3</v>
          </cell>
          <cell r="Q138" t="str">
            <v>MAT</v>
          </cell>
          <cell r="R138">
            <v>1005</v>
          </cell>
          <cell r="S138">
            <v>4100</v>
          </cell>
          <cell r="T138">
            <v>1005</v>
          </cell>
          <cell r="U138">
            <v>1000</v>
          </cell>
          <cell r="V138">
            <v>4000</v>
          </cell>
          <cell r="W138">
            <v>2</v>
          </cell>
          <cell r="X138" t="str">
            <v>CF4</v>
          </cell>
          <cell r="Y138" t="str">
            <v>S-4</v>
          </cell>
          <cell r="Z138">
            <v>6</v>
          </cell>
          <cell r="AA138" t="str">
            <v>6ｲﾝﾁFWP</v>
          </cell>
          <cell r="AB138">
            <v>1450</v>
          </cell>
          <cell r="AC138">
            <v>6</v>
          </cell>
          <cell r="AD138" t="str">
            <v>6ｲﾝﾁMｺｱ</v>
          </cell>
          <cell r="AE138">
            <v>1020</v>
          </cell>
          <cell r="AF138">
            <v>2</v>
          </cell>
          <cell r="AG138" t="str">
            <v>6ｲﾝﾁFWP</v>
          </cell>
          <cell r="AH138">
            <v>1450</v>
          </cell>
          <cell r="AI138">
            <v>3</v>
          </cell>
          <cell r="AJ138" t="str">
            <v>6ｲﾝﾁFWP</v>
          </cell>
          <cell r="AK138">
            <v>1450</v>
          </cell>
          <cell r="AO138" t="str">
            <v>3SNMCLBNGKVB50</v>
          </cell>
        </row>
        <row r="139">
          <cell r="G139" t="str">
            <v>3SNMCLBNGTVB</v>
          </cell>
          <cell r="H139" t="str">
            <v>S</v>
          </cell>
          <cell r="I139" t="str">
            <v>N</v>
          </cell>
          <cell r="J139" t="str">
            <v>MCLB</v>
          </cell>
          <cell r="K139" t="str">
            <v>NGTVB</v>
          </cell>
          <cell r="L139" t="str">
            <v>メタルミー　ネーマー　銀艶ＶＢ</v>
          </cell>
          <cell r="M139" t="str">
            <v>3SNMCLBNGTVB501040</v>
          </cell>
          <cell r="N139" t="str">
            <v>3SNMCLBNGTVB501000</v>
          </cell>
          <cell r="O139">
            <v>50</v>
          </cell>
          <cell r="P139">
            <v>3</v>
          </cell>
          <cell r="Q139" t="str">
            <v>T62</v>
          </cell>
          <cell r="R139">
            <v>1040</v>
          </cell>
          <cell r="S139">
            <v>5000</v>
          </cell>
          <cell r="T139">
            <v>1000</v>
          </cell>
          <cell r="U139">
            <v>1000</v>
          </cell>
          <cell r="V139">
            <v>2500</v>
          </cell>
          <cell r="W139">
            <v>2</v>
          </cell>
          <cell r="X139" t="str">
            <v>CF4</v>
          </cell>
          <cell r="Y139" t="str">
            <v>S-4</v>
          </cell>
          <cell r="Z139">
            <v>6</v>
          </cell>
          <cell r="AA139" t="str">
            <v>6ｲﾝﾁFWP</v>
          </cell>
          <cell r="AB139">
            <v>1450</v>
          </cell>
          <cell r="AC139">
            <v>6</v>
          </cell>
          <cell r="AD139" t="str">
            <v>6ｲﾝﾁMｺｱ</v>
          </cell>
          <cell r="AE139">
            <v>1020</v>
          </cell>
          <cell r="AF139">
            <v>2</v>
          </cell>
          <cell r="AG139" t="str">
            <v>6ｲﾝﾁFWP</v>
          </cell>
          <cell r="AH139">
            <v>1450</v>
          </cell>
          <cell r="AI139">
            <v>3</v>
          </cell>
          <cell r="AJ139" t="str">
            <v>6ｲﾝﾁFWP</v>
          </cell>
          <cell r="AK139">
            <v>1450</v>
          </cell>
          <cell r="AO139" t="str">
            <v>3SNMCLBNGTVB50</v>
          </cell>
        </row>
        <row r="140">
          <cell r="G140" t="str">
            <v>3SNMCLBNGTVB</v>
          </cell>
          <cell r="H140" t="str">
            <v>S</v>
          </cell>
          <cell r="I140" t="str">
            <v>N</v>
          </cell>
          <cell r="J140" t="str">
            <v>MCLB</v>
          </cell>
          <cell r="K140" t="str">
            <v>NGTVB</v>
          </cell>
          <cell r="L140" t="str">
            <v>メタルミー　ネーマー　銀艶ＶＢ</v>
          </cell>
          <cell r="M140" t="str">
            <v>3SNMCLBNGTVB501195</v>
          </cell>
          <cell r="N140" t="str">
            <v>3SNMCLBNGTVB501190</v>
          </cell>
          <cell r="O140">
            <v>50</v>
          </cell>
          <cell r="P140">
            <v>3</v>
          </cell>
          <cell r="Q140" t="str">
            <v>T62</v>
          </cell>
          <cell r="R140">
            <v>1195</v>
          </cell>
          <cell r="S140">
            <v>6100</v>
          </cell>
          <cell r="T140">
            <v>1195</v>
          </cell>
          <cell r="U140">
            <v>1190</v>
          </cell>
          <cell r="V140">
            <v>6000</v>
          </cell>
          <cell r="W140">
            <v>2</v>
          </cell>
          <cell r="X140" t="str">
            <v>CF4</v>
          </cell>
          <cell r="Y140" t="str">
            <v>S-4</v>
          </cell>
          <cell r="Z140">
            <v>6</v>
          </cell>
          <cell r="AA140" t="str">
            <v>6ｲﾝﾁFWP</v>
          </cell>
          <cell r="AB140">
            <v>1450</v>
          </cell>
          <cell r="AC140">
            <v>6</v>
          </cell>
          <cell r="AD140" t="str">
            <v>6ｲﾝﾁMｺｱ</v>
          </cell>
          <cell r="AE140">
            <v>1220</v>
          </cell>
          <cell r="AF140">
            <v>2</v>
          </cell>
          <cell r="AG140" t="str">
            <v>6ｲﾝﾁFWP</v>
          </cell>
          <cell r="AH140">
            <v>1450</v>
          </cell>
          <cell r="AI140">
            <v>3</v>
          </cell>
          <cell r="AJ140" t="str">
            <v>6ｲﾝﾁFWP</v>
          </cell>
          <cell r="AK140">
            <v>1450</v>
          </cell>
          <cell r="AO140" t="str">
            <v>3SNMCLBNGTVB50</v>
          </cell>
        </row>
        <row r="141">
          <cell r="G141" t="str">
            <v>3SNMCLBNGTVB</v>
          </cell>
          <cell r="H141" t="str">
            <v>S</v>
          </cell>
          <cell r="I141" t="str">
            <v>N</v>
          </cell>
          <cell r="J141" t="str">
            <v>MCLB</v>
          </cell>
          <cell r="K141" t="str">
            <v>NGTVB</v>
          </cell>
          <cell r="L141" t="str">
            <v>メタルミー　ネーマー　銀艶ＶＢ</v>
          </cell>
          <cell r="M141" t="str">
            <v>3SNMCLBNGTVB501235</v>
          </cell>
          <cell r="N141" t="str">
            <v>3SNMCLBNGTVB501195</v>
          </cell>
          <cell r="O141">
            <v>50</v>
          </cell>
          <cell r="P141">
            <v>3</v>
          </cell>
          <cell r="Q141" t="str">
            <v>T62M</v>
          </cell>
          <cell r="R141">
            <v>1235</v>
          </cell>
          <cell r="S141">
            <v>6200</v>
          </cell>
          <cell r="T141">
            <v>1195</v>
          </cell>
          <cell r="U141">
            <v>1195</v>
          </cell>
          <cell r="V141">
            <v>6200</v>
          </cell>
          <cell r="W141">
            <v>2</v>
          </cell>
          <cell r="X141" t="str">
            <v>CF4</v>
          </cell>
          <cell r="Y141" t="str">
            <v>S-4</v>
          </cell>
          <cell r="Z141">
            <v>6</v>
          </cell>
          <cell r="AA141" t="str">
            <v>6ｲﾝﾁFWP</v>
          </cell>
          <cell r="AB141">
            <v>1450</v>
          </cell>
          <cell r="AC141">
            <v>6</v>
          </cell>
          <cell r="AD141" t="str">
            <v>6ｲﾝﾁMｺｱ</v>
          </cell>
          <cell r="AE141">
            <v>1220</v>
          </cell>
          <cell r="AF141">
            <v>2</v>
          </cell>
          <cell r="AG141" t="str">
            <v>6ｲﾝﾁFWP</v>
          </cell>
          <cell r="AH141">
            <v>1450</v>
          </cell>
          <cell r="AI141">
            <v>3</v>
          </cell>
          <cell r="AJ141" t="str">
            <v>6ｲﾝﾁFWP</v>
          </cell>
          <cell r="AK141">
            <v>1450</v>
          </cell>
          <cell r="AO141" t="str">
            <v>3SNMCLBNGTVB50</v>
          </cell>
        </row>
        <row r="142">
          <cell r="G142" t="str">
            <v>3SNMCLBSCB</v>
          </cell>
          <cell r="H142" t="str">
            <v>S</v>
          </cell>
          <cell r="I142" t="str">
            <v>N</v>
          </cell>
          <cell r="J142" t="str">
            <v>MCLB</v>
          </cell>
          <cell r="K142" t="str">
            <v>SCB</v>
          </cell>
          <cell r="L142" t="str">
            <v>メタルミー　シロコート（Ｂ）</v>
          </cell>
          <cell r="M142" t="str">
            <v>3SNMCLBSCB251060</v>
          </cell>
          <cell r="N142" t="str">
            <v>3SNMCLBSCB251020</v>
          </cell>
          <cell r="O142">
            <v>25</v>
          </cell>
          <cell r="P142">
            <v>3</v>
          </cell>
          <cell r="Q142" t="str">
            <v>T70A</v>
          </cell>
          <cell r="R142">
            <v>1060</v>
          </cell>
          <cell r="S142">
            <v>12200</v>
          </cell>
          <cell r="T142">
            <v>1020</v>
          </cell>
          <cell r="U142">
            <v>1020</v>
          </cell>
          <cell r="V142">
            <v>6000</v>
          </cell>
          <cell r="W142">
            <v>2</v>
          </cell>
          <cell r="X142" t="str">
            <v>CF4</v>
          </cell>
          <cell r="Y142" t="str">
            <v>S-4</v>
          </cell>
          <cell r="Z142">
            <v>6</v>
          </cell>
          <cell r="AA142" t="str">
            <v>6ｲﾝﾁFWP</v>
          </cell>
          <cell r="AB142">
            <v>1450</v>
          </cell>
          <cell r="AC142">
            <v>6</v>
          </cell>
          <cell r="AD142" t="str">
            <v>6ｲﾝﾁSｺｱ</v>
          </cell>
          <cell r="AE142">
            <v>1035</v>
          </cell>
          <cell r="AF142">
            <v>2</v>
          </cell>
          <cell r="AG142" t="str">
            <v>6ｲﾝﾁFWP</v>
          </cell>
          <cell r="AH142">
            <v>1450</v>
          </cell>
          <cell r="AI142">
            <v>3</v>
          </cell>
          <cell r="AJ142" t="str">
            <v>6ｲﾝﾁFWP</v>
          </cell>
          <cell r="AK142">
            <v>1450</v>
          </cell>
          <cell r="AL142">
            <v>2</v>
          </cell>
          <cell r="AM142" t="str">
            <v>エージング後スリット</v>
          </cell>
          <cell r="AO142" t="str">
            <v>3SNMCLBSCB25</v>
          </cell>
        </row>
        <row r="143">
          <cell r="G143" t="str">
            <v>33SSNMCLBTEKKFV</v>
          </cell>
          <cell r="H143" t="str">
            <v>S</v>
          </cell>
          <cell r="I143" t="str">
            <v>N</v>
          </cell>
          <cell r="J143" t="str">
            <v>MCLB</v>
          </cell>
          <cell r="K143" t="str">
            <v>TEKKFV</v>
          </cell>
          <cell r="L143" t="str">
            <v>メタルミー　ＴＥＳ消開封　Ｖ</v>
          </cell>
          <cell r="M143" t="str">
            <v>33SSNMCLBTEKKFV381005</v>
          </cell>
          <cell r="N143" t="str">
            <v>33SSNMCLBTEKKFV381000</v>
          </cell>
          <cell r="O143">
            <v>38</v>
          </cell>
          <cell r="P143" t="str">
            <v>33S</v>
          </cell>
          <cell r="Q143" t="str">
            <v>X44SEPA</v>
          </cell>
          <cell r="R143">
            <v>1005</v>
          </cell>
          <cell r="S143">
            <v>2000</v>
          </cell>
          <cell r="T143">
            <v>1005</v>
          </cell>
          <cell r="U143">
            <v>1000</v>
          </cell>
          <cell r="V143">
            <v>2000</v>
          </cell>
          <cell r="W143">
            <v>2</v>
          </cell>
          <cell r="X143" t="str">
            <v>CF4</v>
          </cell>
          <cell r="Y143" t="str">
            <v>S-4</v>
          </cell>
          <cell r="Z143">
            <v>6</v>
          </cell>
          <cell r="AA143" t="str">
            <v>6ｲﾝﾁFWP</v>
          </cell>
          <cell r="AB143">
            <v>1450</v>
          </cell>
          <cell r="AC143">
            <v>6</v>
          </cell>
          <cell r="AD143" t="str">
            <v>6ｲﾝﾁSｺｱ</v>
          </cell>
          <cell r="AE143">
            <v>1015</v>
          </cell>
          <cell r="AF143">
            <v>2</v>
          </cell>
          <cell r="AG143" t="str">
            <v>6ｲﾝﾁFWP</v>
          </cell>
          <cell r="AH143">
            <v>1450</v>
          </cell>
          <cell r="AI143">
            <v>3</v>
          </cell>
          <cell r="AJ143" t="str">
            <v>6ｲﾝﾁFWP</v>
          </cell>
          <cell r="AK143">
            <v>1450</v>
          </cell>
          <cell r="AO143" t="str">
            <v>33SSNMCLBTEKKFV38</v>
          </cell>
        </row>
        <row r="144">
          <cell r="G144" t="str">
            <v>33SSNMCLBTEKKFV</v>
          </cell>
          <cell r="H144" t="str">
            <v>S</v>
          </cell>
          <cell r="I144" t="str">
            <v>N</v>
          </cell>
          <cell r="J144" t="str">
            <v>MCLB</v>
          </cell>
          <cell r="K144" t="str">
            <v>TEKKFV</v>
          </cell>
          <cell r="L144" t="str">
            <v>メタルミー　ＴＥＳ消開封　Ｖ</v>
          </cell>
          <cell r="M144" t="str">
            <v>33SSNMCLBTEKKFV501005</v>
          </cell>
          <cell r="N144" t="str">
            <v>33SSNMCLBTEKKFV501000</v>
          </cell>
          <cell r="O144">
            <v>50</v>
          </cell>
          <cell r="P144" t="str">
            <v>33S</v>
          </cell>
          <cell r="Q144" t="str">
            <v>X44SEPA</v>
          </cell>
          <cell r="R144">
            <v>1005</v>
          </cell>
          <cell r="S144">
            <v>4000</v>
          </cell>
          <cell r="T144">
            <v>1005</v>
          </cell>
          <cell r="U144">
            <v>1000</v>
          </cell>
          <cell r="V144">
            <v>4000</v>
          </cell>
          <cell r="W144">
            <v>2</v>
          </cell>
          <cell r="X144" t="str">
            <v>CF4</v>
          </cell>
          <cell r="Y144" t="str">
            <v>S-4</v>
          </cell>
          <cell r="Z144">
            <v>6</v>
          </cell>
          <cell r="AA144" t="str">
            <v>6ｲﾝﾁFWP</v>
          </cell>
          <cell r="AB144">
            <v>1450</v>
          </cell>
          <cell r="AC144">
            <v>6</v>
          </cell>
          <cell r="AD144" t="str">
            <v>6ｲﾝﾁSｺｱ</v>
          </cell>
          <cell r="AE144">
            <v>1015</v>
          </cell>
          <cell r="AF144">
            <v>2</v>
          </cell>
          <cell r="AG144" t="str">
            <v>6ｲﾝﾁFWP</v>
          </cell>
          <cell r="AH144">
            <v>1450</v>
          </cell>
          <cell r="AI144">
            <v>3</v>
          </cell>
          <cell r="AJ144" t="str">
            <v>6ｲﾝﾁFWP</v>
          </cell>
          <cell r="AK144">
            <v>1450</v>
          </cell>
          <cell r="AO144" t="str">
            <v>33SSNMCLBTEKKFV50</v>
          </cell>
        </row>
        <row r="145">
          <cell r="G145" t="str">
            <v>33SSNMCLBTEKV0V</v>
          </cell>
          <cell r="H145" t="str">
            <v>S</v>
          </cell>
          <cell r="I145" t="str">
            <v>N</v>
          </cell>
          <cell r="J145" t="str">
            <v>MCLB</v>
          </cell>
          <cell r="K145" t="str">
            <v>TEKV0V</v>
          </cell>
          <cell r="L145" t="str">
            <v>メタルミー　ＴＥ－Ｓ消　ＶＯＩＤ　Ｖ</v>
          </cell>
          <cell r="M145" t="str">
            <v>33SSNMCLBTEKV0V501005</v>
          </cell>
          <cell r="N145" t="str">
            <v>33SSNMCLBTEKV0V501000</v>
          </cell>
          <cell r="O145">
            <v>50</v>
          </cell>
          <cell r="P145" t="str">
            <v>33S</v>
          </cell>
          <cell r="Q145" t="str">
            <v>X44SEPA</v>
          </cell>
          <cell r="R145">
            <v>1005</v>
          </cell>
          <cell r="S145">
            <v>4000</v>
          </cell>
          <cell r="T145">
            <v>1005</v>
          </cell>
          <cell r="U145">
            <v>1000</v>
          </cell>
          <cell r="V145">
            <v>4000</v>
          </cell>
          <cell r="W145">
            <v>2</v>
          </cell>
          <cell r="X145" t="str">
            <v>CF4</v>
          </cell>
          <cell r="Y145" t="str">
            <v>S-4</v>
          </cell>
          <cell r="Z145">
            <v>6</v>
          </cell>
          <cell r="AA145" t="str">
            <v>6ｲﾝﾁFWP</v>
          </cell>
          <cell r="AB145">
            <v>1450</v>
          </cell>
          <cell r="AC145">
            <v>6</v>
          </cell>
          <cell r="AD145" t="str">
            <v>6ｲﾝﾁSｺｱ</v>
          </cell>
          <cell r="AE145">
            <v>1015</v>
          </cell>
          <cell r="AF145">
            <v>2</v>
          </cell>
          <cell r="AG145" t="str">
            <v>6ｲﾝﾁFWP</v>
          </cell>
          <cell r="AH145">
            <v>1450</v>
          </cell>
          <cell r="AI145">
            <v>3</v>
          </cell>
          <cell r="AJ145" t="str">
            <v>6ｲﾝﾁFWP</v>
          </cell>
          <cell r="AK145">
            <v>1450</v>
          </cell>
          <cell r="AO145" t="str">
            <v>33SSNMCLBTEKV0V50</v>
          </cell>
        </row>
        <row r="146">
          <cell r="G146" t="str">
            <v>33SSYMCLBTEKV0V</v>
          </cell>
          <cell r="H146" t="str">
            <v>S</v>
          </cell>
          <cell r="I146" t="str">
            <v>Y</v>
          </cell>
          <cell r="J146" t="str">
            <v>MCLB</v>
          </cell>
          <cell r="K146" t="str">
            <v>TEKV0V</v>
          </cell>
          <cell r="L146" t="str">
            <v>メタルミー　ＴＥ－Ｓ消　ＶＯＩＤ　Ｖ</v>
          </cell>
          <cell r="M146" t="str">
            <v>33SSYMCLBTEKV0V501005</v>
          </cell>
          <cell r="N146" t="str">
            <v>33SSYMCLBTEKV0V501000</v>
          </cell>
          <cell r="O146">
            <v>50</v>
          </cell>
          <cell r="P146" t="str">
            <v>33S</v>
          </cell>
          <cell r="Q146" t="str">
            <v>X44SEPA</v>
          </cell>
          <cell r="R146">
            <v>1005</v>
          </cell>
          <cell r="S146">
            <v>4000</v>
          </cell>
          <cell r="T146">
            <v>1005</v>
          </cell>
          <cell r="U146">
            <v>1000</v>
          </cell>
          <cell r="V146">
            <v>4000</v>
          </cell>
          <cell r="W146">
            <v>2</v>
          </cell>
          <cell r="X146" t="str">
            <v>CF4</v>
          </cell>
          <cell r="Y146" t="str">
            <v>S-4</v>
          </cell>
          <cell r="Z146">
            <v>6</v>
          </cell>
          <cell r="AA146" t="str">
            <v>6ｲﾝﾁFWP</v>
          </cell>
          <cell r="AB146">
            <v>1450</v>
          </cell>
          <cell r="AC146">
            <v>6</v>
          </cell>
          <cell r="AD146" t="str">
            <v>6ｲﾝﾁSｺｱ</v>
          </cell>
          <cell r="AE146">
            <v>1015</v>
          </cell>
          <cell r="AF146">
            <v>2</v>
          </cell>
          <cell r="AG146" t="str">
            <v>6ｲﾝﾁFWP</v>
          </cell>
          <cell r="AH146">
            <v>1450</v>
          </cell>
          <cell r="AI146">
            <v>3</v>
          </cell>
          <cell r="AJ146" t="str">
            <v>6ｲﾝﾁFWP</v>
          </cell>
          <cell r="AK146">
            <v>1450</v>
          </cell>
          <cell r="AO146" t="str">
            <v>33SSYMCLBTEKV0V50</v>
          </cell>
        </row>
        <row r="147">
          <cell r="G147" t="str">
            <v>33SSNMCLBTETKFV</v>
          </cell>
          <cell r="H147" t="str">
            <v>S</v>
          </cell>
          <cell r="I147" t="str">
            <v>N</v>
          </cell>
          <cell r="J147" t="str">
            <v>MCLB</v>
          </cell>
          <cell r="K147" t="str">
            <v>TETKFV</v>
          </cell>
          <cell r="L147" t="str">
            <v>メタルミー　ＴＥＳ艶開封　Ｖ</v>
          </cell>
          <cell r="M147" t="str">
            <v>33SSNMCLBTETKFV501005</v>
          </cell>
          <cell r="N147" t="str">
            <v>33SSNMCLBTETKFV501000</v>
          </cell>
          <cell r="O147">
            <v>50</v>
          </cell>
          <cell r="P147" t="str">
            <v>33S</v>
          </cell>
          <cell r="Q147" t="str">
            <v>S28SEPA</v>
          </cell>
          <cell r="R147">
            <v>1005</v>
          </cell>
          <cell r="S147">
            <v>4100</v>
          </cell>
          <cell r="T147">
            <v>1005</v>
          </cell>
          <cell r="U147">
            <v>1000</v>
          </cell>
          <cell r="V147">
            <v>4000</v>
          </cell>
          <cell r="W147">
            <v>2</v>
          </cell>
          <cell r="X147" t="str">
            <v>CF4</v>
          </cell>
          <cell r="Y147" t="str">
            <v>S-4</v>
          </cell>
          <cell r="Z147">
            <v>6</v>
          </cell>
          <cell r="AA147" t="str">
            <v>6ｲﾝﾁFWP</v>
          </cell>
          <cell r="AB147">
            <v>1450</v>
          </cell>
          <cell r="AC147">
            <v>6</v>
          </cell>
          <cell r="AD147" t="str">
            <v>6ｲﾝﾁSｺｱ</v>
          </cell>
          <cell r="AE147">
            <v>1015</v>
          </cell>
          <cell r="AF147">
            <v>2</v>
          </cell>
          <cell r="AG147" t="str">
            <v>6ｲﾝﾁFWP</v>
          </cell>
          <cell r="AH147">
            <v>1450</v>
          </cell>
          <cell r="AI147">
            <v>3</v>
          </cell>
          <cell r="AJ147" t="str">
            <v>6ｲﾝﾁFWP</v>
          </cell>
          <cell r="AK147">
            <v>1450</v>
          </cell>
          <cell r="AO147" t="str">
            <v>33SSNMCLBTETKFV50</v>
          </cell>
        </row>
        <row r="148">
          <cell r="G148" t="str">
            <v>3SNMCLBTETV0V</v>
          </cell>
          <cell r="H148" t="str">
            <v>S</v>
          </cell>
          <cell r="I148" t="str">
            <v>N</v>
          </cell>
          <cell r="J148" t="str">
            <v>MCLB</v>
          </cell>
          <cell r="K148" t="str">
            <v>TETV0V</v>
          </cell>
          <cell r="L148" t="str">
            <v>メタルミー　ＴＥＳ艶ＶＯＩＤＶ</v>
          </cell>
          <cell r="M148" t="str">
            <v>3SNMCLBTETV0V501005</v>
          </cell>
          <cell r="N148" t="str">
            <v>3SNMCLBTETV0V501000</v>
          </cell>
          <cell r="O148">
            <v>50</v>
          </cell>
          <cell r="P148">
            <v>3</v>
          </cell>
          <cell r="Q148" t="str">
            <v>S28SEPA</v>
          </cell>
          <cell r="R148">
            <v>1005</v>
          </cell>
          <cell r="S148">
            <v>4100</v>
          </cell>
          <cell r="T148">
            <v>1005</v>
          </cell>
          <cell r="U148">
            <v>1000</v>
          </cell>
          <cell r="V148">
            <v>4000</v>
          </cell>
          <cell r="W148">
            <v>2</v>
          </cell>
          <cell r="X148" t="str">
            <v>CF4</v>
          </cell>
          <cell r="Y148" t="str">
            <v>S-4</v>
          </cell>
          <cell r="Z148">
            <v>6</v>
          </cell>
          <cell r="AA148" t="str">
            <v>6ｲﾝﾁFWP</v>
          </cell>
          <cell r="AB148">
            <v>1450</v>
          </cell>
          <cell r="AC148">
            <v>6</v>
          </cell>
          <cell r="AD148" t="str">
            <v>6ｲﾝﾁSｺｱ</v>
          </cell>
          <cell r="AE148">
            <v>1015</v>
          </cell>
          <cell r="AF148">
            <v>2</v>
          </cell>
          <cell r="AG148" t="str">
            <v>6ｲﾝﾁFWP</v>
          </cell>
          <cell r="AH148">
            <v>1450</v>
          </cell>
          <cell r="AI148">
            <v>3</v>
          </cell>
          <cell r="AJ148" t="str">
            <v>6ｲﾝﾁFWP</v>
          </cell>
          <cell r="AK148">
            <v>1450</v>
          </cell>
          <cell r="AO148" t="str">
            <v>3SNMCLBTETV0V50</v>
          </cell>
        </row>
        <row r="149">
          <cell r="G149" t="str">
            <v>3SNMCLBWCB</v>
          </cell>
          <cell r="H149" t="str">
            <v>S</v>
          </cell>
          <cell r="I149" t="str">
            <v>N</v>
          </cell>
          <cell r="J149" t="str">
            <v>MCLB</v>
          </cell>
          <cell r="K149" t="str">
            <v>WCB</v>
          </cell>
          <cell r="L149" t="str">
            <v>メタルミー　ホワイトコート　（Ｂ）</v>
          </cell>
          <cell r="M149" t="str">
            <v>3SNMCLBWCB501150</v>
          </cell>
          <cell r="N149" t="str">
            <v>3SNMCLBWCB501120</v>
          </cell>
          <cell r="O149">
            <v>50</v>
          </cell>
          <cell r="P149">
            <v>3</v>
          </cell>
          <cell r="Q149" t="str">
            <v>T62M</v>
          </cell>
          <cell r="R149">
            <v>1150</v>
          </cell>
          <cell r="S149">
            <v>5000</v>
          </cell>
          <cell r="T149">
            <v>1120</v>
          </cell>
          <cell r="U149">
            <v>1120</v>
          </cell>
          <cell r="V149">
            <v>5000</v>
          </cell>
          <cell r="W149">
            <v>2</v>
          </cell>
          <cell r="X149" t="str">
            <v>CF4</v>
          </cell>
          <cell r="Y149" t="str">
            <v>S-4</v>
          </cell>
          <cell r="Z149">
            <v>6</v>
          </cell>
          <cell r="AA149" t="str">
            <v>6ｲﾝﾁFWP</v>
          </cell>
          <cell r="AB149">
            <v>1450</v>
          </cell>
          <cell r="AC149">
            <v>6</v>
          </cell>
          <cell r="AD149" t="str">
            <v>6ｲﾝﾁSｺｱ</v>
          </cell>
          <cell r="AE149">
            <v>1140</v>
          </cell>
          <cell r="AF149">
            <v>2</v>
          </cell>
          <cell r="AG149" t="str">
            <v>6ｲﾝﾁFWP</v>
          </cell>
          <cell r="AH149">
            <v>1450</v>
          </cell>
          <cell r="AI149">
            <v>3</v>
          </cell>
          <cell r="AJ149" t="str">
            <v>6ｲﾝﾁFWP</v>
          </cell>
          <cell r="AK149">
            <v>1450</v>
          </cell>
          <cell r="AL149">
            <v>2</v>
          </cell>
          <cell r="AM149" t="str">
            <v>エージング後スリット</v>
          </cell>
          <cell r="AO149" t="str">
            <v>3SNMCLBWCB50</v>
          </cell>
        </row>
        <row r="150">
          <cell r="G150" t="str">
            <v>3SNMLBMDMSJF</v>
          </cell>
          <cell r="H150" t="str">
            <v>S</v>
          </cell>
          <cell r="I150" t="str">
            <v>N</v>
          </cell>
          <cell r="J150" t="str">
            <v>MLB</v>
          </cell>
          <cell r="K150" t="str">
            <v>MDMSJF</v>
          </cell>
          <cell r="L150" t="str">
            <v>ＤＭＳ蒸着（Ｘ－４４）</v>
          </cell>
          <cell r="M150" t="str">
            <v>3SNMLBMDMSJF501020</v>
          </cell>
          <cell r="N150" t="str">
            <v>3SNMLBMDMSJF501000</v>
          </cell>
          <cell r="O150">
            <v>50</v>
          </cell>
          <cell r="P150">
            <v>3</v>
          </cell>
          <cell r="Q150" t="str">
            <v>X44</v>
          </cell>
          <cell r="R150">
            <v>1020</v>
          </cell>
          <cell r="S150">
            <v>4000</v>
          </cell>
          <cell r="T150">
            <v>1020</v>
          </cell>
          <cell r="U150">
            <v>1000</v>
          </cell>
          <cell r="V150">
            <v>2000</v>
          </cell>
          <cell r="W150">
            <v>2</v>
          </cell>
          <cell r="Y150" t="str">
            <v>S-5</v>
          </cell>
          <cell r="AC150">
            <v>3</v>
          </cell>
          <cell r="AD150" t="str">
            <v>3ｲﾝﾁSｺｱ</v>
          </cell>
          <cell r="AE150">
            <v>1005</v>
          </cell>
          <cell r="AF150">
            <v>2</v>
          </cell>
          <cell r="AG150" t="str">
            <v>原反コア</v>
          </cell>
          <cell r="AH150" t="str">
            <v>-</v>
          </cell>
          <cell r="AI150">
            <v>3</v>
          </cell>
          <cell r="AJ150" t="str">
            <v>6ｲﾝﾁFWP</v>
          </cell>
          <cell r="AK150">
            <v>1450</v>
          </cell>
          <cell r="AO150" t="str">
            <v>3SNMLBMDMSJF50</v>
          </cell>
        </row>
        <row r="151">
          <cell r="G151" t="str">
            <v>3SNMLBMNGKBF</v>
          </cell>
          <cell r="H151" t="str">
            <v>S</v>
          </cell>
          <cell r="I151" t="str">
            <v>N</v>
          </cell>
          <cell r="J151" t="str">
            <v>MLB</v>
          </cell>
          <cell r="K151" t="str">
            <v>MNGKBF</v>
          </cell>
          <cell r="L151" t="str">
            <v>メタルミー　ネーマー銀消　Ｂ</v>
          </cell>
          <cell r="M151" t="str">
            <v>3SNMLBMNGKBF251005</v>
          </cell>
          <cell r="N151" t="str">
            <v>3SNMLBMNGKBF251000</v>
          </cell>
          <cell r="O151">
            <v>25</v>
          </cell>
          <cell r="P151">
            <v>3</v>
          </cell>
          <cell r="Q151" t="str">
            <v>LUMIMAT</v>
          </cell>
          <cell r="R151">
            <v>1005</v>
          </cell>
          <cell r="S151">
            <v>8000</v>
          </cell>
          <cell r="T151">
            <v>1005</v>
          </cell>
          <cell r="U151">
            <v>1000</v>
          </cell>
          <cell r="V151">
            <v>4000</v>
          </cell>
          <cell r="W151">
            <v>2</v>
          </cell>
          <cell r="Y151" t="str">
            <v>S-5</v>
          </cell>
          <cell r="AC151">
            <v>6</v>
          </cell>
          <cell r="AD151" t="str">
            <v>6ｲﾝﾁSｺｱ</v>
          </cell>
          <cell r="AE151">
            <v>1015</v>
          </cell>
          <cell r="AF151">
            <v>2</v>
          </cell>
          <cell r="AG151" t="str">
            <v>原反コア</v>
          </cell>
          <cell r="AH151" t="str">
            <v>-</v>
          </cell>
          <cell r="AI151">
            <v>3</v>
          </cell>
          <cell r="AJ151" t="str">
            <v>6ｲﾝﾁFWP</v>
          </cell>
          <cell r="AK151">
            <v>1450</v>
          </cell>
          <cell r="AO151" t="str">
            <v>3SNMLBMNGKBF25</v>
          </cell>
        </row>
        <row r="152">
          <cell r="G152" t="str">
            <v>3SNMLBMNGKBF</v>
          </cell>
          <cell r="H152" t="str">
            <v>S</v>
          </cell>
          <cell r="I152" t="str">
            <v>N</v>
          </cell>
          <cell r="J152" t="str">
            <v>MLB</v>
          </cell>
          <cell r="K152" t="str">
            <v>MNGKBF</v>
          </cell>
          <cell r="L152" t="str">
            <v>メタルミー　ネーマー銀消　Ｂ</v>
          </cell>
          <cell r="M152" t="str">
            <v>3SNMLBMNGKBF251050</v>
          </cell>
          <cell r="N152" t="str">
            <v>3SNMLBMNGKBF251050</v>
          </cell>
          <cell r="O152">
            <v>25</v>
          </cell>
          <cell r="P152">
            <v>3</v>
          </cell>
          <cell r="Q152" t="str">
            <v>LUMIMAT</v>
          </cell>
          <cell r="R152">
            <v>1050</v>
          </cell>
          <cell r="S152">
            <v>8000</v>
          </cell>
          <cell r="T152">
            <v>1050</v>
          </cell>
          <cell r="U152">
            <v>1050</v>
          </cell>
          <cell r="V152">
            <v>4000</v>
          </cell>
          <cell r="W152">
            <v>2</v>
          </cell>
          <cell r="Y152" t="str">
            <v>S-5</v>
          </cell>
          <cell r="AC152">
            <v>6</v>
          </cell>
          <cell r="AD152" t="str">
            <v>6ｲﾝﾁSｺｱ</v>
          </cell>
          <cell r="AE152">
            <v>1055</v>
          </cell>
          <cell r="AF152">
            <v>2</v>
          </cell>
          <cell r="AG152" t="str">
            <v>原反コア</v>
          </cell>
          <cell r="AH152" t="str">
            <v>-</v>
          </cell>
          <cell r="AI152">
            <v>3</v>
          </cell>
          <cell r="AJ152" t="str">
            <v>6ｲﾝﾁFWP</v>
          </cell>
          <cell r="AK152">
            <v>1450</v>
          </cell>
          <cell r="AO152" t="str">
            <v>3SNMLBMNGKBF25</v>
          </cell>
        </row>
        <row r="153">
          <cell r="G153" t="str">
            <v>3SNMLBMNGKBF</v>
          </cell>
          <cell r="H153" t="str">
            <v>S</v>
          </cell>
          <cell r="I153" t="str">
            <v>N</v>
          </cell>
          <cell r="J153" t="str">
            <v>MLB</v>
          </cell>
          <cell r="K153" t="str">
            <v>MNGKBF</v>
          </cell>
          <cell r="L153" t="str">
            <v>メタルミー　ネーマー銀消　Ｂ</v>
          </cell>
          <cell r="M153" t="str">
            <v>3SNMLBMNGKBF381005</v>
          </cell>
          <cell r="N153" t="str">
            <v>3SNMLBMNGKBF381000</v>
          </cell>
          <cell r="O153">
            <v>38</v>
          </cell>
          <cell r="P153">
            <v>3</v>
          </cell>
          <cell r="Q153" t="str">
            <v>LUMIMAT</v>
          </cell>
          <cell r="R153">
            <v>1005</v>
          </cell>
          <cell r="S153">
            <v>4100</v>
          </cell>
          <cell r="T153">
            <v>1005</v>
          </cell>
          <cell r="U153">
            <v>1000</v>
          </cell>
          <cell r="V153">
            <v>4000</v>
          </cell>
          <cell r="W153">
            <v>2</v>
          </cell>
          <cell r="Y153" t="str">
            <v>S-5</v>
          </cell>
          <cell r="AC153">
            <v>6</v>
          </cell>
          <cell r="AD153" t="str">
            <v>6ｲﾝﾁSｺｱ</v>
          </cell>
          <cell r="AE153">
            <v>1015</v>
          </cell>
          <cell r="AF153">
            <v>2</v>
          </cell>
          <cell r="AG153" t="str">
            <v>原反コア</v>
          </cell>
          <cell r="AH153" t="str">
            <v>-</v>
          </cell>
          <cell r="AI153">
            <v>3</v>
          </cell>
          <cell r="AJ153" t="str">
            <v>6ｲﾝﾁFWP</v>
          </cell>
          <cell r="AK153">
            <v>1450</v>
          </cell>
          <cell r="AO153" t="str">
            <v>3SNMLBMNGKBF38</v>
          </cell>
        </row>
        <row r="154">
          <cell r="G154" t="str">
            <v>3SNMLBMNGKBF</v>
          </cell>
          <cell r="H154" t="str">
            <v>S</v>
          </cell>
          <cell r="I154" t="str">
            <v>N</v>
          </cell>
          <cell r="J154" t="str">
            <v>MLB</v>
          </cell>
          <cell r="K154" t="str">
            <v>MNGKBF</v>
          </cell>
          <cell r="L154" t="str">
            <v>メタルミー　ネーマー銀消　Ｂ</v>
          </cell>
          <cell r="M154" t="str">
            <v>3SNMLBMNGKBF501050</v>
          </cell>
          <cell r="N154" t="str">
            <v>3SNMLBMNGKBF501050</v>
          </cell>
          <cell r="O154">
            <v>50</v>
          </cell>
          <cell r="P154">
            <v>3</v>
          </cell>
          <cell r="Q154" t="str">
            <v>MAT</v>
          </cell>
          <cell r="R154">
            <v>1050</v>
          </cell>
          <cell r="S154">
            <v>4100</v>
          </cell>
          <cell r="T154">
            <v>1050</v>
          </cell>
          <cell r="U154">
            <v>1050</v>
          </cell>
          <cell r="V154">
            <v>4100</v>
          </cell>
          <cell r="W154">
            <v>2</v>
          </cell>
          <cell r="Y154" t="str">
            <v>S-5</v>
          </cell>
          <cell r="AC154">
            <v>6</v>
          </cell>
          <cell r="AD154" t="str">
            <v>6ｲﾝﾁSｺｱ</v>
          </cell>
          <cell r="AE154">
            <v>1055</v>
          </cell>
          <cell r="AF154">
            <v>2</v>
          </cell>
          <cell r="AG154" t="str">
            <v>原反コア</v>
          </cell>
          <cell r="AH154" t="str">
            <v>-</v>
          </cell>
          <cell r="AI154">
            <v>3</v>
          </cell>
          <cell r="AJ154" t="str">
            <v>6ｲﾝﾁFWP</v>
          </cell>
          <cell r="AK154">
            <v>1450</v>
          </cell>
          <cell r="AO154" t="str">
            <v>3SNMLBMNGKBF50</v>
          </cell>
        </row>
        <row r="155">
          <cell r="G155" t="str">
            <v>3SNMLBMNGKBF</v>
          </cell>
          <cell r="H155" t="str">
            <v>S</v>
          </cell>
          <cell r="I155" t="str">
            <v>N</v>
          </cell>
          <cell r="J155" t="str">
            <v>MLB</v>
          </cell>
          <cell r="K155" t="str">
            <v>MNGKBF</v>
          </cell>
          <cell r="L155" t="str">
            <v>メタルミー　ネーマー銀消　Ｂ</v>
          </cell>
          <cell r="M155" t="str">
            <v>3SNMLBMNGKBF501170</v>
          </cell>
          <cell r="N155" t="str">
            <v>3SNMLBMNGKBF501170</v>
          </cell>
          <cell r="O155">
            <v>50</v>
          </cell>
          <cell r="P155">
            <v>3</v>
          </cell>
          <cell r="Q155" t="str">
            <v>MAT</v>
          </cell>
          <cell r="R155">
            <v>1170</v>
          </cell>
          <cell r="S155">
            <v>4000</v>
          </cell>
          <cell r="T155">
            <v>1170</v>
          </cell>
          <cell r="U155">
            <v>1170</v>
          </cell>
          <cell r="V155">
            <v>4000</v>
          </cell>
          <cell r="W155">
            <v>2</v>
          </cell>
          <cell r="Y155" t="str">
            <v>S-5</v>
          </cell>
          <cell r="AC155">
            <v>6</v>
          </cell>
          <cell r="AD155" t="str">
            <v>6ｲﾝﾁSｺｱ</v>
          </cell>
          <cell r="AE155">
            <v>1175</v>
          </cell>
          <cell r="AF155">
            <v>2</v>
          </cell>
          <cell r="AG155" t="str">
            <v>原反コア</v>
          </cell>
          <cell r="AH155" t="str">
            <v>-</v>
          </cell>
          <cell r="AI155">
            <v>3</v>
          </cell>
          <cell r="AJ155" t="str">
            <v>6ｲﾝﾁFWP</v>
          </cell>
          <cell r="AK155">
            <v>1450</v>
          </cell>
          <cell r="AO155" t="str">
            <v>3SNMLBMNGKBF50</v>
          </cell>
        </row>
        <row r="156">
          <cell r="G156" t="str">
            <v>3SNMLBMNGKBF</v>
          </cell>
          <cell r="H156" t="str">
            <v>S</v>
          </cell>
          <cell r="I156" t="str">
            <v>N</v>
          </cell>
          <cell r="J156" t="str">
            <v>MLB</v>
          </cell>
          <cell r="K156" t="str">
            <v>MNGKBF</v>
          </cell>
          <cell r="L156" t="str">
            <v>メタルミー　ネーマー銀消　Ｂ</v>
          </cell>
          <cell r="M156" t="str">
            <v>3SNMLBMNGKBF751050</v>
          </cell>
          <cell r="N156" t="str">
            <v>3SNMLBMNGKBF751050</v>
          </cell>
          <cell r="O156">
            <v>75</v>
          </cell>
          <cell r="P156">
            <v>3</v>
          </cell>
          <cell r="Q156" t="str">
            <v>MAT</v>
          </cell>
          <cell r="R156">
            <v>1050</v>
          </cell>
          <cell r="S156">
            <v>2000</v>
          </cell>
          <cell r="T156">
            <v>1050</v>
          </cell>
          <cell r="U156">
            <v>1050</v>
          </cell>
          <cell r="V156">
            <v>2000</v>
          </cell>
          <cell r="W156">
            <v>2</v>
          </cell>
          <cell r="Y156" t="str">
            <v>S-5</v>
          </cell>
          <cell r="AC156">
            <v>6</v>
          </cell>
          <cell r="AD156" t="str">
            <v>6ｲﾝﾁSｺｱ</v>
          </cell>
          <cell r="AE156">
            <v>1055</v>
          </cell>
          <cell r="AF156">
            <v>2</v>
          </cell>
          <cell r="AG156" t="str">
            <v>原反コア</v>
          </cell>
          <cell r="AH156" t="str">
            <v>-</v>
          </cell>
          <cell r="AI156">
            <v>3</v>
          </cell>
          <cell r="AJ156" t="str">
            <v>6ｲﾝﾁFWP</v>
          </cell>
          <cell r="AK156">
            <v>1450</v>
          </cell>
          <cell r="AO156" t="str">
            <v>3SNMLBMNGKBF75</v>
          </cell>
        </row>
        <row r="157">
          <cell r="G157" t="str">
            <v>3SNMLBMNGKKBF</v>
          </cell>
          <cell r="H157" t="str">
            <v>S</v>
          </cell>
          <cell r="I157" t="str">
            <v>N</v>
          </cell>
          <cell r="J157" t="str">
            <v>MLB</v>
          </cell>
          <cell r="K157" t="str">
            <v>MNGKKBF</v>
          </cell>
          <cell r="L157" t="str">
            <v>メタルミー　ネーマー銀消改　Ｂ</v>
          </cell>
          <cell r="M157" t="str">
            <v>3SNMLBMNGKKBF251000</v>
          </cell>
          <cell r="N157" t="str">
            <v>3SNMLBMNGKKBF251000</v>
          </cell>
          <cell r="O157">
            <v>25</v>
          </cell>
          <cell r="P157">
            <v>3</v>
          </cell>
          <cell r="Q157" t="str">
            <v>FMATS99</v>
          </cell>
          <cell r="R157">
            <v>1000</v>
          </cell>
          <cell r="S157">
            <v>4000</v>
          </cell>
          <cell r="T157">
            <v>1000</v>
          </cell>
          <cell r="U157">
            <v>1000</v>
          </cell>
          <cell r="V157">
            <v>4000</v>
          </cell>
          <cell r="W157">
            <v>2</v>
          </cell>
          <cell r="Y157" t="str">
            <v>S-5</v>
          </cell>
          <cell r="AC157">
            <v>6</v>
          </cell>
          <cell r="AD157" t="str">
            <v>6ｲﾝﾁSｺｱ</v>
          </cell>
          <cell r="AE157">
            <v>1005</v>
          </cell>
          <cell r="AF157">
            <v>2</v>
          </cell>
          <cell r="AG157" t="str">
            <v>原反コア</v>
          </cell>
          <cell r="AH157" t="str">
            <v>-</v>
          </cell>
          <cell r="AI157">
            <v>3</v>
          </cell>
          <cell r="AJ157" t="str">
            <v>6ｲﾝﾁFWP</v>
          </cell>
          <cell r="AK157">
            <v>1450</v>
          </cell>
          <cell r="AO157" t="str">
            <v>3SNMLBMNGKKBF25</v>
          </cell>
        </row>
        <row r="158">
          <cell r="G158" t="str">
            <v>3SNMLBMNGKKBF</v>
          </cell>
          <cell r="H158" t="str">
            <v>S</v>
          </cell>
          <cell r="I158" t="str">
            <v>N</v>
          </cell>
          <cell r="J158" t="str">
            <v>MLB</v>
          </cell>
          <cell r="K158" t="str">
            <v>MNGKKBF</v>
          </cell>
          <cell r="L158" t="str">
            <v>メタルミー　ネーマー銀消改　Ｂ</v>
          </cell>
          <cell r="M158" t="str">
            <v>3SNMLBMNGKKBF251120</v>
          </cell>
          <cell r="N158" t="str">
            <v>3SNMLBMNGKKBF251120</v>
          </cell>
          <cell r="O158">
            <v>25</v>
          </cell>
          <cell r="P158">
            <v>3</v>
          </cell>
          <cell r="Q158" t="str">
            <v>FMATS99</v>
          </cell>
          <cell r="R158">
            <v>1120</v>
          </cell>
          <cell r="S158">
            <v>4000</v>
          </cell>
          <cell r="T158">
            <v>1120</v>
          </cell>
          <cell r="U158">
            <v>1120</v>
          </cell>
          <cell r="V158">
            <v>4000</v>
          </cell>
          <cell r="W158">
            <v>2</v>
          </cell>
          <cell r="Y158" t="str">
            <v>S-5</v>
          </cell>
          <cell r="AC158">
            <v>6</v>
          </cell>
          <cell r="AD158" t="str">
            <v>6ｲﾝﾁSｺｱ</v>
          </cell>
          <cell r="AE158">
            <v>1125</v>
          </cell>
          <cell r="AF158">
            <v>2</v>
          </cell>
          <cell r="AG158" t="str">
            <v>原反コア</v>
          </cell>
          <cell r="AH158" t="str">
            <v>-</v>
          </cell>
          <cell r="AI158">
            <v>3</v>
          </cell>
          <cell r="AJ158" t="str">
            <v>6ｲﾝﾁFWP</v>
          </cell>
          <cell r="AK158">
            <v>1450</v>
          </cell>
          <cell r="AO158" t="str">
            <v>3SNMLBMNGKKBF25</v>
          </cell>
        </row>
        <row r="159">
          <cell r="G159" t="str">
            <v>3SYMLBMNGKKBF</v>
          </cell>
          <cell r="H159" t="str">
            <v>S</v>
          </cell>
          <cell r="I159" t="str">
            <v>Y</v>
          </cell>
          <cell r="J159" t="str">
            <v>MLB</v>
          </cell>
          <cell r="K159" t="str">
            <v>MNGKKBF</v>
          </cell>
          <cell r="L159" t="str">
            <v>メタルミー　ネーマー銀消改　Ｂ</v>
          </cell>
          <cell r="M159" t="str">
            <v>3SYMLBMNGKKBF251120</v>
          </cell>
          <cell r="N159" t="str">
            <v>3SYMLBMNGKKBF251120</v>
          </cell>
          <cell r="O159">
            <v>25</v>
          </cell>
          <cell r="P159">
            <v>3</v>
          </cell>
          <cell r="Q159" t="str">
            <v>FMATS99</v>
          </cell>
          <cell r="R159">
            <v>1120</v>
          </cell>
          <cell r="S159">
            <v>4000</v>
          </cell>
          <cell r="T159">
            <v>1120</v>
          </cell>
          <cell r="U159">
            <v>1120</v>
          </cell>
          <cell r="V159">
            <v>4000</v>
          </cell>
          <cell r="W159">
            <v>2</v>
          </cell>
          <cell r="Y159" t="str">
            <v>S-5</v>
          </cell>
          <cell r="AC159">
            <v>6</v>
          </cell>
          <cell r="AD159" t="str">
            <v>6ｲﾝﾁSｺｱ</v>
          </cell>
          <cell r="AE159">
            <v>1125</v>
          </cell>
          <cell r="AF159">
            <v>2</v>
          </cell>
          <cell r="AG159" t="str">
            <v>原反コア</v>
          </cell>
          <cell r="AH159" t="str">
            <v>-</v>
          </cell>
          <cell r="AI159">
            <v>3</v>
          </cell>
          <cell r="AJ159" t="str">
            <v>6ｲﾝﾁFWP</v>
          </cell>
          <cell r="AK159">
            <v>1450</v>
          </cell>
          <cell r="AO159" t="str">
            <v>3SYMLBMNGKKBF25</v>
          </cell>
        </row>
        <row r="160">
          <cell r="G160" t="str">
            <v>3SNMLBMNGKKBF</v>
          </cell>
          <cell r="H160" t="str">
            <v>S</v>
          </cell>
          <cell r="I160" t="str">
            <v>N</v>
          </cell>
          <cell r="J160" t="str">
            <v>MLB</v>
          </cell>
          <cell r="K160" t="str">
            <v>MNGKKBF</v>
          </cell>
          <cell r="L160" t="str">
            <v>メタルミー　ネーマー銀消改　Ｂ</v>
          </cell>
          <cell r="M160" t="str">
            <v>3SNMLBMNGKKBF501000</v>
          </cell>
          <cell r="N160" t="str">
            <v>3SNMLBMNGKKBF501000</v>
          </cell>
          <cell r="O160">
            <v>50</v>
          </cell>
          <cell r="P160">
            <v>3</v>
          </cell>
          <cell r="Q160" t="str">
            <v>S99-MAT</v>
          </cell>
          <cell r="R160">
            <v>1000</v>
          </cell>
          <cell r="S160">
            <v>4000</v>
          </cell>
          <cell r="T160">
            <v>1000</v>
          </cell>
          <cell r="U160">
            <v>1000</v>
          </cell>
          <cell r="V160">
            <v>4000</v>
          </cell>
          <cell r="W160">
            <v>2</v>
          </cell>
          <cell r="Y160" t="str">
            <v>S-5</v>
          </cell>
          <cell r="AC160">
            <v>6</v>
          </cell>
          <cell r="AD160" t="str">
            <v>6ｲﾝﾁSｺｱ</v>
          </cell>
          <cell r="AE160">
            <v>1005</v>
          </cell>
          <cell r="AF160">
            <v>2</v>
          </cell>
          <cell r="AG160" t="str">
            <v>原反コア</v>
          </cell>
          <cell r="AH160" t="str">
            <v>-</v>
          </cell>
          <cell r="AI160">
            <v>3</v>
          </cell>
          <cell r="AJ160" t="str">
            <v>6ｲﾝﾁFWP</v>
          </cell>
          <cell r="AK160">
            <v>1450</v>
          </cell>
          <cell r="AO160" t="str">
            <v>3SNMLBMNGKKBF50</v>
          </cell>
        </row>
        <row r="161">
          <cell r="G161" t="str">
            <v>3SNMLBMNGKKBF</v>
          </cell>
          <cell r="H161" t="str">
            <v>S</v>
          </cell>
          <cell r="I161" t="str">
            <v>N</v>
          </cell>
          <cell r="J161" t="str">
            <v>MLB</v>
          </cell>
          <cell r="K161" t="str">
            <v>MNGKKBF</v>
          </cell>
          <cell r="L161" t="str">
            <v>メタルミー　ネーマー銀消改　Ｂ</v>
          </cell>
          <cell r="M161" t="str">
            <v>3SNMLBMNGKKBF501120</v>
          </cell>
          <cell r="N161" t="str">
            <v>3SNMLBMNGKKBF501120</v>
          </cell>
          <cell r="O161">
            <v>50</v>
          </cell>
          <cell r="P161">
            <v>3</v>
          </cell>
          <cell r="Q161" t="str">
            <v>S99-MAT</v>
          </cell>
          <cell r="R161">
            <v>1120</v>
          </cell>
          <cell r="S161">
            <v>4000</v>
          </cell>
          <cell r="T161">
            <v>1120</v>
          </cell>
          <cell r="U161">
            <v>1120</v>
          </cell>
          <cell r="V161">
            <v>4000</v>
          </cell>
          <cell r="W161">
            <v>2</v>
          </cell>
          <cell r="Y161" t="str">
            <v>S-5</v>
          </cell>
          <cell r="AC161">
            <v>6</v>
          </cell>
          <cell r="AD161" t="str">
            <v>6ｲﾝﾁSｺｱ</v>
          </cell>
          <cell r="AE161">
            <v>1125</v>
          </cell>
          <cell r="AF161">
            <v>2</v>
          </cell>
          <cell r="AG161" t="str">
            <v>原反コア</v>
          </cell>
          <cell r="AH161" t="str">
            <v>-</v>
          </cell>
          <cell r="AI161">
            <v>3</v>
          </cell>
          <cell r="AJ161" t="str">
            <v>6ｲﾝﾁFWP</v>
          </cell>
          <cell r="AK161">
            <v>1450</v>
          </cell>
          <cell r="AO161" t="str">
            <v>3SNMLBMNGKKBF50</v>
          </cell>
        </row>
        <row r="162">
          <cell r="G162" t="str">
            <v>3SNMLBMNGKKBF</v>
          </cell>
          <cell r="H162" t="str">
            <v>S</v>
          </cell>
          <cell r="I162" t="str">
            <v>N</v>
          </cell>
          <cell r="J162" t="str">
            <v>MLB</v>
          </cell>
          <cell r="K162" t="str">
            <v>MNGKKBF</v>
          </cell>
          <cell r="L162" t="str">
            <v>メタルミー　ネーマー銀消改　Ｂ</v>
          </cell>
          <cell r="M162" t="str">
            <v>3SNMLBMNGKKBF751000</v>
          </cell>
          <cell r="N162" t="str">
            <v>3SNMLBMNGKKBF751000</v>
          </cell>
          <cell r="O162">
            <v>75</v>
          </cell>
          <cell r="P162">
            <v>3</v>
          </cell>
          <cell r="Q162" t="str">
            <v>S99-MAT</v>
          </cell>
          <cell r="R162">
            <v>1000</v>
          </cell>
          <cell r="S162">
            <v>2000</v>
          </cell>
          <cell r="T162">
            <v>1000</v>
          </cell>
          <cell r="U162">
            <v>1000</v>
          </cell>
          <cell r="V162">
            <v>2000</v>
          </cell>
          <cell r="W162">
            <v>2</v>
          </cell>
          <cell r="Y162" t="str">
            <v>S-5</v>
          </cell>
          <cell r="AC162">
            <v>6</v>
          </cell>
          <cell r="AD162" t="str">
            <v>6ｲﾝﾁSｺｱ</v>
          </cell>
          <cell r="AE162">
            <v>1005</v>
          </cell>
          <cell r="AF162">
            <v>2</v>
          </cell>
          <cell r="AG162" t="str">
            <v>原反コア</v>
          </cell>
          <cell r="AH162" t="str">
            <v>-</v>
          </cell>
          <cell r="AI162">
            <v>3</v>
          </cell>
          <cell r="AJ162" t="str">
            <v>6ｲﾝﾁFWP</v>
          </cell>
          <cell r="AK162">
            <v>1450</v>
          </cell>
          <cell r="AO162" t="str">
            <v>3SNMLBMNGKKBF75</v>
          </cell>
        </row>
        <row r="163">
          <cell r="G163" t="str">
            <v>3SNMLBMNGTBF</v>
          </cell>
          <cell r="H163" t="str">
            <v>S</v>
          </cell>
          <cell r="I163" t="str">
            <v>N</v>
          </cell>
          <cell r="J163" t="str">
            <v>MLB</v>
          </cell>
          <cell r="K163" t="str">
            <v>MNGTBF</v>
          </cell>
          <cell r="L163" t="str">
            <v>メタルミー　ネーマー　銀艶　Ｂ</v>
          </cell>
          <cell r="M163" t="str">
            <v>3SNMLBMNGTBF251005</v>
          </cell>
          <cell r="N163" t="str">
            <v>3SNMLBMNGTBF251000</v>
          </cell>
          <cell r="O163">
            <v>25</v>
          </cell>
          <cell r="P163">
            <v>3</v>
          </cell>
          <cell r="Q163" t="str">
            <v>T62M</v>
          </cell>
          <cell r="R163">
            <v>1005</v>
          </cell>
          <cell r="S163">
            <v>12100</v>
          </cell>
          <cell r="T163">
            <v>1005</v>
          </cell>
          <cell r="U163">
            <v>1000</v>
          </cell>
          <cell r="V163">
            <v>4000</v>
          </cell>
          <cell r="W163">
            <v>2</v>
          </cell>
          <cell r="Y163" t="str">
            <v>S-5</v>
          </cell>
          <cell r="AC163">
            <v>6</v>
          </cell>
          <cell r="AD163" t="str">
            <v>6ｲﾝﾁSｺｱ</v>
          </cell>
          <cell r="AE163">
            <v>1015</v>
          </cell>
          <cell r="AF163">
            <v>2</v>
          </cell>
          <cell r="AG163" t="str">
            <v>原反コア</v>
          </cell>
          <cell r="AH163" t="str">
            <v>-</v>
          </cell>
          <cell r="AO163" t="str">
            <v>3SNMLBMNGTBF25</v>
          </cell>
        </row>
        <row r="164">
          <cell r="G164" t="str">
            <v>3SNMLBMNGTBF</v>
          </cell>
          <cell r="H164" t="str">
            <v>S</v>
          </cell>
          <cell r="I164" t="str">
            <v>N</v>
          </cell>
          <cell r="J164" t="str">
            <v>MLB</v>
          </cell>
          <cell r="K164" t="str">
            <v>MNGTBF</v>
          </cell>
          <cell r="L164" t="str">
            <v>メタルミー　ネーマー　銀艶　Ｂ</v>
          </cell>
          <cell r="M164" t="str">
            <v>3SNMLBMNGTBF251125</v>
          </cell>
          <cell r="N164" t="str">
            <v>3SNMLBMNGTBF251120</v>
          </cell>
          <cell r="O164">
            <v>25</v>
          </cell>
          <cell r="P164">
            <v>3</v>
          </cell>
          <cell r="Q164" t="str">
            <v>T62M</v>
          </cell>
          <cell r="R164">
            <v>1125</v>
          </cell>
          <cell r="S164">
            <v>12100</v>
          </cell>
          <cell r="T164">
            <v>1125</v>
          </cell>
          <cell r="U164">
            <v>1120</v>
          </cell>
          <cell r="V164">
            <v>4000</v>
          </cell>
          <cell r="W164">
            <v>2</v>
          </cell>
          <cell r="Y164" t="str">
            <v>S-5</v>
          </cell>
          <cell r="AC164">
            <v>6</v>
          </cell>
          <cell r="AD164" t="str">
            <v>6ｲﾝﾁSｺｱ</v>
          </cell>
          <cell r="AE164">
            <v>1130</v>
          </cell>
          <cell r="AF164">
            <v>2</v>
          </cell>
          <cell r="AG164" t="str">
            <v>原反コア</v>
          </cell>
          <cell r="AH164" t="str">
            <v>-</v>
          </cell>
          <cell r="AO164" t="str">
            <v>3SNMLBMNGTBF25</v>
          </cell>
        </row>
        <row r="165">
          <cell r="G165" t="str">
            <v>3SNMLBMNGTBF</v>
          </cell>
          <cell r="H165" t="str">
            <v>S</v>
          </cell>
          <cell r="I165" t="str">
            <v>N</v>
          </cell>
          <cell r="J165" t="str">
            <v>MLB</v>
          </cell>
          <cell r="K165" t="str">
            <v>MNGTBF</v>
          </cell>
          <cell r="L165" t="str">
            <v>メタルミー　ネーマー　銀艶　Ｂ</v>
          </cell>
          <cell r="M165" t="str">
            <v>3SNMLBMNGTBF501120</v>
          </cell>
          <cell r="N165" t="str">
            <v>3SNMLBMNGTBF501120</v>
          </cell>
          <cell r="O165">
            <v>50</v>
          </cell>
          <cell r="P165">
            <v>3</v>
          </cell>
          <cell r="Q165" t="str">
            <v>T62</v>
          </cell>
          <cell r="R165">
            <v>1120</v>
          </cell>
          <cell r="S165">
            <v>5000</v>
          </cell>
          <cell r="T165">
            <v>1120</v>
          </cell>
          <cell r="U165">
            <v>1120</v>
          </cell>
          <cell r="V165">
            <v>5000</v>
          </cell>
          <cell r="W165">
            <v>2</v>
          </cell>
          <cell r="Y165" t="str">
            <v>S-5</v>
          </cell>
          <cell r="AC165">
            <v>6</v>
          </cell>
          <cell r="AD165" t="str">
            <v>6ｲﾝﾁSｺｱ</v>
          </cell>
          <cell r="AE165">
            <v>1125</v>
          </cell>
          <cell r="AF165">
            <v>2</v>
          </cell>
          <cell r="AG165" t="str">
            <v>6ｲﾝﾁFWP</v>
          </cell>
          <cell r="AH165">
            <v>1450</v>
          </cell>
          <cell r="AM165" t="str">
            <v>原反ケース再利用</v>
          </cell>
          <cell r="AO165" t="str">
            <v>3SNMLBMNGTBF50</v>
          </cell>
        </row>
        <row r="166">
          <cell r="G166" t="str">
            <v>3SNMLBMNNGKBF</v>
          </cell>
          <cell r="H166" t="str">
            <v>S</v>
          </cell>
          <cell r="I166" t="str">
            <v>N</v>
          </cell>
          <cell r="J166" t="str">
            <v>MLB</v>
          </cell>
          <cell r="K166" t="str">
            <v>MNNGKBF</v>
          </cell>
          <cell r="L166" t="str">
            <v>メタルミー　ニューネーマー銀消　Ｂ</v>
          </cell>
          <cell r="M166" t="str">
            <v>3SNMLBMNNGKBF251005</v>
          </cell>
          <cell r="N166" t="str">
            <v>3SNMLBMNNGKBF251000</v>
          </cell>
          <cell r="O166">
            <v>25</v>
          </cell>
          <cell r="P166">
            <v>3</v>
          </cell>
          <cell r="Q166" t="str">
            <v>X44C</v>
          </cell>
          <cell r="R166">
            <v>1005</v>
          </cell>
          <cell r="S166">
            <v>8000</v>
          </cell>
          <cell r="T166">
            <v>1005</v>
          </cell>
          <cell r="U166">
            <v>1000</v>
          </cell>
          <cell r="V166">
            <v>4000</v>
          </cell>
          <cell r="W166">
            <v>2</v>
          </cell>
          <cell r="Y166" t="str">
            <v>S-5</v>
          </cell>
          <cell r="AC166">
            <v>6</v>
          </cell>
          <cell r="AD166" t="str">
            <v>6ｲﾝﾁSｺｱ</v>
          </cell>
          <cell r="AE166">
            <v>1015</v>
          </cell>
          <cell r="AF166">
            <v>2</v>
          </cell>
          <cell r="AG166" t="str">
            <v>原反コア</v>
          </cell>
          <cell r="AH166" t="str">
            <v>-</v>
          </cell>
          <cell r="AI166">
            <v>3</v>
          </cell>
          <cell r="AJ166" t="str">
            <v>6ｲﾝﾁFWP</v>
          </cell>
          <cell r="AK166">
            <v>1450</v>
          </cell>
          <cell r="AO166" t="str">
            <v>3SNMLBMNNGKBF25</v>
          </cell>
        </row>
        <row r="167">
          <cell r="G167" t="str">
            <v>3SNMLBMNNGKBF</v>
          </cell>
          <cell r="H167" t="str">
            <v>S</v>
          </cell>
          <cell r="I167" t="str">
            <v>N</v>
          </cell>
          <cell r="J167" t="str">
            <v>MLB</v>
          </cell>
          <cell r="K167" t="str">
            <v>MNNGKBF</v>
          </cell>
          <cell r="L167" t="str">
            <v>メタルミー　ニューネーマー銀消　Ｂ</v>
          </cell>
          <cell r="M167" t="str">
            <v>3SNMLBMNNGKBF501000</v>
          </cell>
          <cell r="N167" t="str">
            <v>3SNMLBMNNGKBF501000</v>
          </cell>
          <cell r="O167">
            <v>50</v>
          </cell>
          <cell r="P167">
            <v>3</v>
          </cell>
          <cell r="Q167" t="str">
            <v>X44</v>
          </cell>
          <cell r="R167">
            <v>1000</v>
          </cell>
          <cell r="S167">
            <v>4000</v>
          </cell>
          <cell r="T167">
            <v>1000</v>
          </cell>
          <cell r="U167">
            <v>1000</v>
          </cell>
          <cell r="V167">
            <v>4000</v>
          </cell>
          <cell r="W167">
            <v>2</v>
          </cell>
          <cell r="Y167" t="str">
            <v>S-5</v>
          </cell>
          <cell r="AC167">
            <v>6</v>
          </cell>
          <cell r="AD167" t="str">
            <v>6ｲﾝﾁSｺｱ</v>
          </cell>
          <cell r="AE167">
            <v>1005</v>
          </cell>
          <cell r="AF167">
            <v>2</v>
          </cell>
          <cell r="AG167" t="str">
            <v>原反コア</v>
          </cell>
          <cell r="AH167" t="str">
            <v>-</v>
          </cell>
          <cell r="AI167">
            <v>3</v>
          </cell>
          <cell r="AJ167" t="str">
            <v>6ｲﾝﾁFWP</v>
          </cell>
          <cell r="AK167">
            <v>1450</v>
          </cell>
          <cell r="AM167" t="str">
            <v>原反ケース再利用</v>
          </cell>
          <cell r="AO167" t="str">
            <v>3SNMLBMNNGKBF50</v>
          </cell>
        </row>
        <row r="168">
          <cell r="G168" t="str">
            <v>3SNMLBMNQR66F</v>
          </cell>
          <cell r="H168" t="str">
            <v>S</v>
          </cell>
          <cell r="I168" t="str">
            <v>N</v>
          </cell>
          <cell r="J168" t="str">
            <v>MLB</v>
          </cell>
          <cell r="K168" t="str">
            <v>MNQR66F</v>
          </cell>
          <cell r="L168" t="str">
            <v>ＱＲ６６蒸着品</v>
          </cell>
          <cell r="M168" t="str">
            <v>3SNMLBMNQR66F251000</v>
          </cell>
          <cell r="N168" t="str">
            <v>3SNMLBMNQR66F251000</v>
          </cell>
          <cell r="O168">
            <v>25</v>
          </cell>
          <cell r="P168">
            <v>3</v>
          </cell>
          <cell r="Q168" t="str">
            <v>E315</v>
          </cell>
          <cell r="R168">
            <v>1000</v>
          </cell>
          <cell r="S168">
            <v>6000</v>
          </cell>
          <cell r="T168">
            <v>1000</v>
          </cell>
          <cell r="U168">
            <v>1000</v>
          </cell>
          <cell r="V168">
            <v>6000</v>
          </cell>
          <cell r="W168">
            <v>2</v>
          </cell>
          <cell r="Y168" t="str">
            <v>S-5</v>
          </cell>
          <cell r="AC168">
            <v>6</v>
          </cell>
          <cell r="AD168" t="str">
            <v>6ｲﾝﾁMｺｱ</v>
          </cell>
          <cell r="AE168">
            <v>1010</v>
          </cell>
          <cell r="AF168">
            <v>2</v>
          </cell>
          <cell r="AG168" t="str">
            <v>6ｲﾝﾁFWP</v>
          </cell>
          <cell r="AH168">
            <v>1450</v>
          </cell>
          <cell r="AI168">
            <v>3</v>
          </cell>
          <cell r="AJ168" t="str">
            <v>6ｲﾝﾁFWP</v>
          </cell>
          <cell r="AK168">
            <v>1450</v>
          </cell>
          <cell r="AM168" t="str">
            <v>原反ケース再利用</v>
          </cell>
          <cell r="AO168" t="str">
            <v>3SNMLBMNQR66F25</v>
          </cell>
        </row>
        <row r="169">
          <cell r="G169" t="str">
            <v>3SNMLBMNQR66F</v>
          </cell>
          <cell r="H169" t="str">
            <v>S</v>
          </cell>
          <cell r="I169" t="str">
            <v>N</v>
          </cell>
          <cell r="J169" t="str">
            <v>MLB</v>
          </cell>
          <cell r="K169" t="str">
            <v>MNQR66F</v>
          </cell>
          <cell r="L169" t="str">
            <v>ＱＲ６６蒸着品</v>
          </cell>
          <cell r="M169" t="str">
            <v>3SNMLBMNQR66F251100</v>
          </cell>
          <cell r="N169" t="str">
            <v>3SNMLBMNQR66F251100</v>
          </cell>
          <cell r="O169">
            <v>25</v>
          </cell>
          <cell r="P169">
            <v>3</v>
          </cell>
          <cell r="Q169" t="str">
            <v>E315</v>
          </cell>
          <cell r="R169">
            <v>1100</v>
          </cell>
          <cell r="S169">
            <v>6000</v>
          </cell>
          <cell r="T169">
            <v>1100</v>
          </cell>
          <cell r="U169">
            <v>1100</v>
          </cell>
          <cell r="V169">
            <v>6000</v>
          </cell>
          <cell r="W169">
            <v>2</v>
          </cell>
          <cell r="Y169" t="str">
            <v>S-5</v>
          </cell>
          <cell r="AC169">
            <v>6</v>
          </cell>
          <cell r="AD169" t="str">
            <v>6ｲﾝﾁMｺｱ</v>
          </cell>
          <cell r="AE169">
            <v>1110</v>
          </cell>
          <cell r="AF169">
            <v>2</v>
          </cell>
          <cell r="AG169" t="str">
            <v>6ｲﾝﾁFWP</v>
          </cell>
          <cell r="AH169">
            <v>1450</v>
          </cell>
          <cell r="AI169">
            <v>3</v>
          </cell>
          <cell r="AJ169" t="str">
            <v>6ｲﾝﾁFWP</v>
          </cell>
          <cell r="AK169">
            <v>1450</v>
          </cell>
          <cell r="AM169" t="str">
            <v>原反ケース再利用</v>
          </cell>
          <cell r="AO169" t="str">
            <v>3SNMLBMNQR66F25</v>
          </cell>
        </row>
        <row r="170">
          <cell r="G170" t="str">
            <v>3SYMLBMSBBF</v>
          </cell>
          <cell r="H170" t="str">
            <v>S</v>
          </cell>
          <cell r="I170" t="str">
            <v>Y</v>
          </cell>
          <cell r="J170" t="str">
            <v>MLB</v>
          </cell>
          <cell r="K170" t="str">
            <v>MSBBF</v>
          </cell>
          <cell r="L170" t="str">
            <v>ＭＥＴＡＬＵＭＹ　ＳＩＬＶＥＲ　ＢＲＩＧＨＴ　Ｔ６２Ｍ　Ｂ</v>
          </cell>
          <cell r="M170" t="str">
            <v>3SYMLBMSBBF251120</v>
          </cell>
          <cell r="N170" t="str">
            <v>3SYMLBMSBBF251120</v>
          </cell>
          <cell r="O170">
            <v>25</v>
          </cell>
          <cell r="P170">
            <v>3</v>
          </cell>
          <cell r="Q170" t="str">
            <v>T62</v>
          </cell>
          <cell r="R170">
            <v>1120</v>
          </cell>
          <cell r="S170">
            <v>8000</v>
          </cell>
          <cell r="T170">
            <v>1120</v>
          </cell>
          <cell r="U170">
            <v>1120</v>
          </cell>
          <cell r="V170">
            <v>8000</v>
          </cell>
          <cell r="W170">
            <v>2</v>
          </cell>
          <cell r="Y170" t="str">
            <v>S-5</v>
          </cell>
          <cell r="AC170">
            <v>6</v>
          </cell>
          <cell r="AD170" t="str">
            <v>6ｲﾝﾁSｺｱ</v>
          </cell>
          <cell r="AE170">
            <v>1125</v>
          </cell>
          <cell r="AF170">
            <v>2</v>
          </cell>
          <cell r="AG170" t="str">
            <v>原反コア</v>
          </cell>
          <cell r="AH170" t="str">
            <v>-</v>
          </cell>
          <cell r="AI170">
            <v>3</v>
          </cell>
          <cell r="AJ170" t="str">
            <v>6ｲﾝﾁFWP</v>
          </cell>
          <cell r="AK170">
            <v>1450</v>
          </cell>
          <cell r="AO170" t="str">
            <v>3SYMLBMSBBF25</v>
          </cell>
        </row>
        <row r="171">
          <cell r="G171" t="str">
            <v>3SYMLBMSBBF</v>
          </cell>
          <cell r="H171" t="str">
            <v>S</v>
          </cell>
          <cell r="I171" t="str">
            <v>Y</v>
          </cell>
          <cell r="J171" t="str">
            <v>MLB</v>
          </cell>
          <cell r="K171" t="str">
            <v>MSBBF</v>
          </cell>
          <cell r="L171" t="str">
            <v>ＭＥＴＡＬＵＭＹ　ＳＩＬＶＥＲ　ＢＲＩＧＨＴ　Ｔ６２Ｍ　Ｂ</v>
          </cell>
          <cell r="M171" t="str">
            <v>3SYMLBMSBBF501120</v>
          </cell>
          <cell r="N171" t="str">
            <v>3SYMLBMSBBF501120</v>
          </cell>
          <cell r="O171">
            <v>50</v>
          </cell>
          <cell r="P171">
            <v>3</v>
          </cell>
          <cell r="Q171" t="str">
            <v>T62</v>
          </cell>
          <cell r="R171">
            <v>1120</v>
          </cell>
          <cell r="S171">
            <v>5000</v>
          </cell>
          <cell r="T171">
            <v>1120</v>
          </cell>
          <cell r="U171">
            <v>1120</v>
          </cell>
          <cell r="V171">
            <v>5000</v>
          </cell>
          <cell r="W171">
            <v>2</v>
          </cell>
          <cell r="Y171" t="str">
            <v>S-5</v>
          </cell>
          <cell r="AC171">
            <v>6</v>
          </cell>
          <cell r="AD171" t="str">
            <v>6ｲﾝﾁSｺｱ</v>
          </cell>
          <cell r="AE171">
            <v>1125</v>
          </cell>
          <cell r="AF171">
            <v>2</v>
          </cell>
          <cell r="AG171" t="str">
            <v>原反コア</v>
          </cell>
          <cell r="AH171" t="str">
            <v>-</v>
          </cell>
          <cell r="AI171">
            <v>3</v>
          </cell>
          <cell r="AJ171" t="str">
            <v>6ｲﾝﾁFWP</v>
          </cell>
          <cell r="AK171">
            <v>1450</v>
          </cell>
          <cell r="AM171" t="str">
            <v>原反ケース再利用</v>
          </cell>
          <cell r="AO171" t="str">
            <v>3SYMLBMSBBF50</v>
          </cell>
        </row>
        <row r="172">
          <cell r="G172" t="str">
            <v>3SYMLBMSBBF</v>
          </cell>
          <cell r="H172" t="str">
            <v>S</v>
          </cell>
          <cell r="I172" t="str">
            <v>Y</v>
          </cell>
          <cell r="J172" t="str">
            <v>MLB</v>
          </cell>
          <cell r="K172" t="str">
            <v>MSBBF</v>
          </cell>
          <cell r="L172" t="str">
            <v>ＭＥＴＡＬＵＭＹ　ＳＩＬＶＥＲ　ＢＲＩＧＨＴ　Ｔ６２Ｍ　Ｂ</v>
          </cell>
          <cell r="M172" t="str">
            <v>3SYMLBMSBBF501120</v>
          </cell>
          <cell r="N172" t="str">
            <v>3SYMLBMSBBF501120</v>
          </cell>
          <cell r="O172">
            <v>50</v>
          </cell>
          <cell r="P172">
            <v>3</v>
          </cell>
          <cell r="Q172" t="str">
            <v>T62</v>
          </cell>
          <cell r="R172">
            <v>1120</v>
          </cell>
          <cell r="S172">
            <v>5000</v>
          </cell>
          <cell r="T172">
            <v>1120</v>
          </cell>
          <cell r="U172">
            <v>1120</v>
          </cell>
          <cell r="V172">
            <v>5000</v>
          </cell>
          <cell r="W172">
            <v>2</v>
          </cell>
          <cell r="Y172" t="str">
            <v>S-5</v>
          </cell>
          <cell r="AC172">
            <v>6</v>
          </cell>
          <cell r="AD172" t="str">
            <v>6ｲﾝﾁSｺｱ</v>
          </cell>
          <cell r="AE172">
            <v>1125</v>
          </cell>
          <cell r="AF172">
            <v>2</v>
          </cell>
          <cell r="AG172" t="str">
            <v>原反コア</v>
          </cell>
          <cell r="AH172" t="str">
            <v>-</v>
          </cell>
          <cell r="AI172">
            <v>3</v>
          </cell>
          <cell r="AJ172" t="str">
            <v>6ｲﾝﾁFWP</v>
          </cell>
          <cell r="AK172">
            <v>1450</v>
          </cell>
          <cell r="AM172" t="str">
            <v>原反ケース再利用</v>
          </cell>
          <cell r="AO172" t="str">
            <v>3SYMLBMSBBF50</v>
          </cell>
        </row>
        <row r="173">
          <cell r="G173" t="str">
            <v>3SYMLBMSBBZF</v>
          </cell>
          <cell r="H173" t="str">
            <v>S</v>
          </cell>
          <cell r="I173" t="str">
            <v>Y</v>
          </cell>
          <cell r="J173" t="str">
            <v>MLB</v>
          </cell>
          <cell r="K173" t="str">
            <v>MSBBZF</v>
          </cell>
          <cell r="L173" t="str">
            <v>ＭＥＴＡＬＵＭＹ　ＳＩＬＶＥＲ　ＢＲＩＧＨＴ　Ｂ</v>
          </cell>
          <cell r="M173" t="str">
            <v>3SYMLBMSBBZF251120</v>
          </cell>
          <cell r="N173" t="str">
            <v>3SYMLBMSBBZF251120</v>
          </cell>
          <cell r="O173">
            <v>25</v>
          </cell>
          <cell r="P173">
            <v>3</v>
          </cell>
          <cell r="Q173" t="str">
            <v>T62</v>
          </cell>
          <cell r="R173">
            <v>1120</v>
          </cell>
          <cell r="S173">
            <v>8000</v>
          </cell>
          <cell r="T173">
            <v>1120</v>
          </cell>
          <cell r="U173">
            <v>1120</v>
          </cell>
          <cell r="V173">
            <v>8000</v>
          </cell>
          <cell r="W173">
            <v>2</v>
          </cell>
          <cell r="Y173" t="str">
            <v>S-5</v>
          </cell>
          <cell r="AC173">
            <v>6</v>
          </cell>
          <cell r="AD173" t="str">
            <v>6ｲﾝﾁSｺｱ</v>
          </cell>
          <cell r="AE173">
            <v>1125</v>
          </cell>
          <cell r="AF173">
            <v>2</v>
          </cell>
          <cell r="AG173" t="str">
            <v>原反コア</v>
          </cell>
          <cell r="AH173" t="str">
            <v>-</v>
          </cell>
          <cell r="AI173">
            <v>3</v>
          </cell>
          <cell r="AJ173" t="str">
            <v>6ｲﾝﾁFWP</v>
          </cell>
          <cell r="AK173">
            <v>1450</v>
          </cell>
          <cell r="AO173" t="str">
            <v>3SYMLBMSBBZF25</v>
          </cell>
        </row>
        <row r="174">
          <cell r="G174" t="str">
            <v>3SYMLBMSBBZF</v>
          </cell>
          <cell r="H174" t="str">
            <v>S</v>
          </cell>
          <cell r="I174" t="str">
            <v>Y</v>
          </cell>
          <cell r="J174" t="str">
            <v>MLB</v>
          </cell>
          <cell r="K174" t="str">
            <v>MSBBZF</v>
          </cell>
          <cell r="L174" t="str">
            <v>ＭＥＴＡＬＵＭＹ　ＳＩＬＶＥＲ　ＢＲＩＧＨＴ　Ｂ</v>
          </cell>
          <cell r="M174" t="str">
            <v>3SYMLBMSBBZF501120</v>
          </cell>
          <cell r="N174" t="str">
            <v>3SYMLBMSBBZF501120</v>
          </cell>
          <cell r="O174">
            <v>50</v>
          </cell>
          <cell r="P174">
            <v>3</v>
          </cell>
          <cell r="Q174" t="str">
            <v>T62</v>
          </cell>
          <cell r="R174">
            <v>1120</v>
          </cell>
          <cell r="S174">
            <v>5000</v>
          </cell>
          <cell r="T174">
            <v>1120</v>
          </cell>
          <cell r="U174">
            <v>1120</v>
          </cell>
          <cell r="V174">
            <v>5000</v>
          </cell>
          <cell r="W174">
            <v>2</v>
          </cell>
          <cell r="Y174" t="str">
            <v>S-5</v>
          </cell>
          <cell r="AC174">
            <v>6</v>
          </cell>
          <cell r="AD174" t="str">
            <v>6ｲﾝﾁSｺｱ</v>
          </cell>
          <cell r="AE174">
            <v>1125</v>
          </cell>
          <cell r="AF174">
            <v>2</v>
          </cell>
          <cell r="AG174" t="str">
            <v>原反コア</v>
          </cell>
          <cell r="AH174" t="str">
            <v>-</v>
          </cell>
          <cell r="AI174">
            <v>3</v>
          </cell>
          <cell r="AJ174" t="str">
            <v>6ｲﾝﾁFWP</v>
          </cell>
          <cell r="AK174">
            <v>1450</v>
          </cell>
          <cell r="AM174" t="str">
            <v>原反ケース再利用</v>
          </cell>
          <cell r="AO174" t="str">
            <v>3SYMLBMSBBZF50</v>
          </cell>
        </row>
        <row r="175">
          <cell r="G175" t="str">
            <v>3SNMLBMSF</v>
          </cell>
          <cell r="H175" t="str">
            <v>S</v>
          </cell>
          <cell r="I175" t="str">
            <v>N</v>
          </cell>
          <cell r="J175" t="str">
            <v>MLB</v>
          </cell>
          <cell r="K175" t="str">
            <v>MSF</v>
          </cell>
          <cell r="L175" t="str">
            <v>メタルミー　Ｓ</v>
          </cell>
          <cell r="M175" t="str">
            <v>3SNMLBMSF251020</v>
          </cell>
          <cell r="N175" t="str">
            <v>3SNMLBMSF251000</v>
          </cell>
          <cell r="O175">
            <v>25</v>
          </cell>
          <cell r="P175">
            <v>3</v>
          </cell>
          <cell r="Q175" t="str">
            <v>T62M</v>
          </cell>
          <cell r="R175">
            <v>1020</v>
          </cell>
          <cell r="S175">
            <v>12100</v>
          </cell>
          <cell r="T175">
            <v>1000</v>
          </cell>
          <cell r="U175">
            <v>1000</v>
          </cell>
          <cell r="V175">
            <v>2000</v>
          </cell>
          <cell r="W175">
            <v>2</v>
          </cell>
          <cell r="Y175" t="str">
            <v>S-5</v>
          </cell>
          <cell r="AC175">
            <v>3</v>
          </cell>
          <cell r="AD175" t="str">
            <v>3ｲﾝﾁSｺｱ</v>
          </cell>
          <cell r="AE175">
            <v>1005</v>
          </cell>
          <cell r="AF175">
            <v>2</v>
          </cell>
          <cell r="AG175" t="str">
            <v>原反コア</v>
          </cell>
          <cell r="AH175" t="str">
            <v>-</v>
          </cell>
          <cell r="AI175">
            <v>3</v>
          </cell>
          <cell r="AJ175" t="str">
            <v>6ｲﾝﾁFWP</v>
          </cell>
          <cell r="AK175">
            <v>1450</v>
          </cell>
          <cell r="AO175" t="str">
            <v>3SNMLBMSF25</v>
          </cell>
        </row>
        <row r="176">
          <cell r="G176" t="str">
            <v>3SNMLBMSF</v>
          </cell>
          <cell r="H176" t="str">
            <v>S</v>
          </cell>
          <cell r="I176" t="str">
            <v>N</v>
          </cell>
          <cell r="J176" t="str">
            <v>MLB</v>
          </cell>
          <cell r="K176" t="str">
            <v>MSF</v>
          </cell>
          <cell r="L176" t="str">
            <v>メタルミー　Ｓ</v>
          </cell>
          <cell r="M176" t="str">
            <v>3SNMLBMSF251020</v>
          </cell>
          <cell r="N176" t="str">
            <v>3SNMLBMSF251020</v>
          </cell>
          <cell r="O176">
            <v>25</v>
          </cell>
          <cell r="P176">
            <v>3</v>
          </cell>
          <cell r="Q176" t="str">
            <v>T62M</v>
          </cell>
          <cell r="R176">
            <v>1020</v>
          </cell>
          <cell r="S176">
            <v>12100</v>
          </cell>
          <cell r="T176">
            <v>1020</v>
          </cell>
          <cell r="U176">
            <v>1020</v>
          </cell>
          <cell r="V176">
            <v>2000</v>
          </cell>
          <cell r="W176">
            <v>1</v>
          </cell>
          <cell r="Y176" t="str">
            <v>S-5</v>
          </cell>
          <cell r="AC176">
            <v>3</v>
          </cell>
          <cell r="AD176" t="str">
            <v>3ｲﾝﾁSｺｱ</v>
          </cell>
          <cell r="AE176">
            <v>1025</v>
          </cell>
          <cell r="AF176">
            <v>2</v>
          </cell>
          <cell r="AG176" t="str">
            <v>原反コア</v>
          </cell>
          <cell r="AH176" t="str">
            <v>-</v>
          </cell>
          <cell r="AI176">
            <v>3</v>
          </cell>
          <cell r="AJ176" t="str">
            <v>6ｲﾝﾁFWP</v>
          </cell>
          <cell r="AK176">
            <v>1450</v>
          </cell>
          <cell r="AO176" t="str">
            <v>3SNMLBMSF25</v>
          </cell>
        </row>
        <row r="177">
          <cell r="G177" t="str">
            <v>3SNMLBMSF</v>
          </cell>
          <cell r="H177" t="str">
            <v>S</v>
          </cell>
          <cell r="I177" t="str">
            <v>N</v>
          </cell>
          <cell r="J177" t="str">
            <v>MLB</v>
          </cell>
          <cell r="K177" t="str">
            <v>MSF</v>
          </cell>
          <cell r="L177" t="str">
            <v>メタルミー　Ｓ</v>
          </cell>
          <cell r="M177" t="str">
            <v>3SNMLBMSF251240</v>
          </cell>
          <cell r="N177" t="str">
            <v>3SNMLBMSF251240</v>
          </cell>
          <cell r="O177">
            <v>25</v>
          </cell>
          <cell r="P177">
            <v>3</v>
          </cell>
          <cell r="Q177" t="str">
            <v>T62M</v>
          </cell>
          <cell r="R177">
            <v>1240</v>
          </cell>
          <cell r="S177">
            <v>12100</v>
          </cell>
          <cell r="T177">
            <v>1240</v>
          </cell>
          <cell r="U177">
            <v>1240</v>
          </cell>
          <cell r="V177">
            <v>2000</v>
          </cell>
          <cell r="W177">
            <v>1</v>
          </cell>
          <cell r="Y177" t="str">
            <v>S-5</v>
          </cell>
          <cell r="AC177">
            <v>3</v>
          </cell>
          <cell r="AD177" t="str">
            <v>3ｲﾝﾁSｺｱ</v>
          </cell>
          <cell r="AE177">
            <v>1245</v>
          </cell>
          <cell r="AF177">
            <v>2</v>
          </cell>
          <cell r="AG177" t="str">
            <v>原反コア</v>
          </cell>
          <cell r="AH177" t="str">
            <v>-</v>
          </cell>
          <cell r="AI177">
            <v>3</v>
          </cell>
          <cell r="AJ177" t="str">
            <v>6ｲﾝﾁFWP</v>
          </cell>
          <cell r="AK177">
            <v>1450</v>
          </cell>
          <cell r="AO177" t="str">
            <v>3SNMLBMSF25</v>
          </cell>
        </row>
        <row r="178">
          <cell r="G178" t="str">
            <v>3SNMLBMSF</v>
          </cell>
          <cell r="H178" t="str">
            <v>S</v>
          </cell>
          <cell r="I178" t="str">
            <v>N</v>
          </cell>
          <cell r="J178" t="str">
            <v>MLB</v>
          </cell>
          <cell r="K178" t="str">
            <v>MSF</v>
          </cell>
          <cell r="L178" t="str">
            <v>メタルミー　Ｓ</v>
          </cell>
          <cell r="M178" t="str">
            <v>3SNMLBMSF251020</v>
          </cell>
          <cell r="N178" t="str">
            <v>3SNMLBMSF25510</v>
          </cell>
          <cell r="O178">
            <v>25</v>
          </cell>
          <cell r="P178">
            <v>3</v>
          </cell>
          <cell r="Q178" t="str">
            <v>T62M</v>
          </cell>
          <cell r="R178">
            <v>1020</v>
          </cell>
          <cell r="S178">
            <v>12100</v>
          </cell>
          <cell r="T178">
            <v>510</v>
          </cell>
          <cell r="U178">
            <v>510</v>
          </cell>
          <cell r="V178">
            <v>2000</v>
          </cell>
          <cell r="W178">
            <v>1</v>
          </cell>
          <cell r="Y178" t="str">
            <v>S-5</v>
          </cell>
          <cell r="AC178">
            <v>3</v>
          </cell>
          <cell r="AD178" t="str">
            <v>3ｲﾝﾁSｺｱ</v>
          </cell>
          <cell r="AE178">
            <v>515</v>
          </cell>
          <cell r="AF178">
            <v>2</v>
          </cell>
          <cell r="AG178" t="str">
            <v>原反コア</v>
          </cell>
          <cell r="AH178" t="str">
            <v>-</v>
          </cell>
          <cell r="AI178">
            <v>3</v>
          </cell>
          <cell r="AJ178" t="str">
            <v>6ｲﾝﾁFWP</v>
          </cell>
          <cell r="AK178">
            <v>1450</v>
          </cell>
          <cell r="AO178" t="str">
            <v>3SNMLBMSF25</v>
          </cell>
        </row>
        <row r="179">
          <cell r="G179" t="str">
            <v>3HSNMLBMSF</v>
          </cell>
          <cell r="H179" t="str">
            <v>S</v>
          </cell>
          <cell r="I179" t="str">
            <v>N</v>
          </cell>
          <cell r="J179" t="str">
            <v>MLB</v>
          </cell>
          <cell r="K179" t="str">
            <v>MSF</v>
          </cell>
          <cell r="L179" t="str">
            <v>メタルミー　Ｓ</v>
          </cell>
          <cell r="M179" t="str">
            <v>3HSNMLBMSF381000</v>
          </cell>
          <cell r="N179" t="str">
            <v>3HSNMLBMSF38865</v>
          </cell>
          <cell r="O179">
            <v>38</v>
          </cell>
          <cell r="P179" t="str">
            <v>3H</v>
          </cell>
          <cell r="Q179" t="str">
            <v>S10</v>
          </cell>
          <cell r="R179">
            <v>1000</v>
          </cell>
          <cell r="S179">
            <v>6000</v>
          </cell>
          <cell r="T179">
            <v>865</v>
          </cell>
          <cell r="U179">
            <v>865</v>
          </cell>
          <cell r="V179">
            <v>2800</v>
          </cell>
          <cell r="W179">
            <v>2</v>
          </cell>
          <cell r="Y179" t="str">
            <v>S-5</v>
          </cell>
          <cell r="AC179">
            <v>3</v>
          </cell>
          <cell r="AD179" t="str">
            <v>3ｲﾝﾁSｺｱ</v>
          </cell>
          <cell r="AE179">
            <v>870</v>
          </cell>
          <cell r="AF179">
            <v>2</v>
          </cell>
          <cell r="AG179" t="str">
            <v>原反コア</v>
          </cell>
          <cell r="AH179" t="str">
            <v>-</v>
          </cell>
          <cell r="AI179">
            <v>3</v>
          </cell>
          <cell r="AJ179" t="str">
            <v>6ｲﾝﾁFWP</v>
          </cell>
          <cell r="AK179">
            <v>1450</v>
          </cell>
          <cell r="AO179" t="str">
            <v>3HSNMLBMSF38</v>
          </cell>
        </row>
        <row r="180">
          <cell r="G180" t="str">
            <v>3HSNMLBMSF</v>
          </cell>
          <cell r="H180" t="str">
            <v>S</v>
          </cell>
          <cell r="I180" t="str">
            <v>N</v>
          </cell>
          <cell r="J180" t="str">
            <v>MLB</v>
          </cell>
          <cell r="K180" t="str">
            <v>MSF</v>
          </cell>
          <cell r="L180" t="str">
            <v>メタルミー　Ｓ</v>
          </cell>
          <cell r="M180" t="str">
            <v>3HSNMLBMSF381100</v>
          </cell>
          <cell r="N180" t="str">
            <v>3HSNMLBMSF381075</v>
          </cell>
          <cell r="O180">
            <v>38</v>
          </cell>
          <cell r="P180" t="str">
            <v>3H</v>
          </cell>
          <cell r="Q180" t="str">
            <v>S10</v>
          </cell>
          <cell r="R180">
            <v>1100</v>
          </cell>
          <cell r="S180">
            <v>6000</v>
          </cell>
          <cell r="T180">
            <v>1075</v>
          </cell>
          <cell r="U180">
            <v>1075</v>
          </cell>
          <cell r="V180">
            <v>2800</v>
          </cell>
          <cell r="W180">
            <v>2</v>
          </cell>
          <cell r="Y180" t="str">
            <v>S-5</v>
          </cell>
          <cell r="AC180">
            <v>3</v>
          </cell>
          <cell r="AD180" t="str">
            <v>3ｲﾝﾁSｺｱ</v>
          </cell>
          <cell r="AE180">
            <v>1080</v>
          </cell>
          <cell r="AF180">
            <v>2</v>
          </cell>
          <cell r="AG180" t="str">
            <v>原反コア</v>
          </cell>
          <cell r="AH180" t="str">
            <v>-</v>
          </cell>
          <cell r="AI180">
            <v>3</v>
          </cell>
          <cell r="AJ180" t="str">
            <v>6ｲﾝﾁFWP</v>
          </cell>
          <cell r="AK180">
            <v>1450</v>
          </cell>
          <cell r="AO180" t="str">
            <v>3HSNMLBMSF38</v>
          </cell>
        </row>
        <row r="181">
          <cell r="G181" t="str">
            <v>3HSNMLBMSF</v>
          </cell>
          <cell r="H181" t="str">
            <v>S</v>
          </cell>
          <cell r="I181" t="str">
            <v>N</v>
          </cell>
          <cell r="J181" t="str">
            <v>MLB</v>
          </cell>
          <cell r="K181" t="str">
            <v>MSF</v>
          </cell>
          <cell r="L181" t="str">
            <v>メタルミー　Ｓ</v>
          </cell>
          <cell r="M181" t="str">
            <v>3HSNMLBMSF381165</v>
          </cell>
          <cell r="N181" t="str">
            <v>3HSNMLBMSF381165</v>
          </cell>
          <cell r="O181">
            <v>38</v>
          </cell>
          <cell r="P181" t="str">
            <v>3H</v>
          </cell>
          <cell r="Q181" t="str">
            <v>S10</v>
          </cell>
          <cell r="R181">
            <v>1165</v>
          </cell>
          <cell r="S181">
            <v>6000</v>
          </cell>
          <cell r="T181">
            <v>1165</v>
          </cell>
          <cell r="U181">
            <v>1165</v>
          </cell>
          <cell r="V181">
            <v>2800</v>
          </cell>
          <cell r="W181">
            <v>2</v>
          </cell>
          <cell r="Y181" t="str">
            <v>S-5</v>
          </cell>
          <cell r="AC181">
            <v>3</v>
          </cell>
          <cell r="AD181" t="str">
            <v>3ｲﾝﾁSｺｱ</v>
          </cell>
          <cell r="AE181">
            <v>1170</v>
          </cell>
          <cell r="AF181">
            <v>2</v>
          </cell>
          <cell r="AG181" t="str">
            <v>原反コア</v>
          </cell>
          <cell r="AH181" t="str">
            <v>-</v>
          </cell>
          <cell r="AI181">
            <v>3</v>
          </cell>
          <cell r="AJ181" t="str">
            <v>6ｲﾝﾁFWP</v>
          </cell>
          <cell r="AK181">
            <v>1450</v>
          </cell>
          <cell r="AO181" t="str">
            <v>3HSNMLBMSF38</v>
          </cell>
        </row>
        <row r="182">
          <cell r="G182" t="str">
            <v>3SYMLBMSNMBF</v>
          </cell>
          <cell r="H182" t="str">
            <v>S</v>
          </cell>
          <cell r="I182" t="str">
            <v>Y</v>
          </cell>
          <cell r="J182" t="str">
            <v>MLB</v>
          </cell>
          <cell r="K182" t="str">
            <v>MSNMBF</v>
          </cell>
          <cell r="L182" t="str">
            <v>ＭＥＴＡＬＵＭＹ　ＳＩＬＶＥＲ　Ｎ－ＭＡＴＴＥ　Ｘ４４Ｍ　Ｂ</v>
          </cell>
          <cell r="M182" t="str">
            <v>3SYMLBMSNMBF501120</v>
          </cell>
          <cell r="N182" t="str">
            <v>3SYMLBMSNMBF501120</v>
          </cell>
          <cell r="O182">
            <v>50</v>
          </cell>
          <cell r="P182">
            <v>3</v>
          </cell>
          <cell r="Q182" t="str">
            <v>X44</v>
          </cell>
          <cell r="R182">
            <v>1120</v>
          </cell>
          <cell r="S182">
            <v>4000</v>
          </cell>
          <cell r="T182">
            <v>1120</v>
          </cell>
          <cell r="U182">
            <v>1120</v>
          </cell>
          <cell r="V182">
            <v>4000</v>
          </cell>
          <cell r="W182">
            <v>2</v>
          </cell>
          <cell r="Y182" t="str">
            <v>S-5</v>
          </cell>
          <cell r="AC182">
            <v>6</v>
          </cell>
          <cell r="AD182" t="str">
            <v>6ｲﾝﾁMｺｱ</v>
          </cell>
          <cell r="AE182">
            <v>1125</v>
          </cell>
          <cell r="AF182">
            <v>2</v>
          </cell>
          <cell r="AG182" t="str">
            <v>原反コア</v>
          </cell>
          <cell r="AH182" t="str">
            <v>-</v>
          </cell>
          <cell r="AI182">
            <v>3</v>
          </cell>
          <cell r="AJ182" t="str">
            <v>6ｲﾝﾁFWP</v>
          </cell>
          <cell r="AK182">
            <v>1450</v>
          </cell>
          <cell r="AO182" t="str">
            <v>3SYMLBMSNMBF50</v>
          </cell>
        </row>
        <row r="183">
          <cell r="G183" t="str">
            <v>3SYMLBMSNMBF</v>
          </cell>
          <cell r="H183" t="str">
            <v>S</v>
          </cell>
          <cell r="I183" t="str">
            <v>Y</v>
          </cell>
          <cell r="J183" t="str">
            <v>MLB</v>
          </cell>
          <cell r="K183" t="str">
            <v>MSNMBF</v>
          </cell>
          <cell r="L183" t="str">
            <v>ＭＥＴＡＬＵＭＹ　ＳＩＬＶＥＲ　Ｎ－ＭＡＴＴＥ　Ｘ４４Ｍ　Ｂ</v>
          </cell>
          <cell r="M183" t="str">
            <v>3SYMLBMSNMBF501120</v>
          </cell>
          <cell r="N183" t="str">
            <v>3SYMLBMSNMBF501120</v>
          </cell>
          <cell r="O183">
            <v>50</v>
          </cell>
          <cell r="P183">
            <v>3</v>
          </cell>
          <cell r="Q183" t="str">
            <v>X44</v>
          </cell>
          <cell r="R183">
            <v>1120</v>
          </cell>
          <cell r="S183">
            <v>4000</v>
          </cell>
          <cell r="T183">
            <v>1120</v>
          </cell>
          <cell r="U183">
            <v>1120</v>
          </cell>
          <cell r="V183">
            <v>4000</v>
          </cell>
          <cell r="W183">
            <v>2</v>
          </cell>
          <cell r="Y183" t="str">
            <v>S-5</v>
          </cell>
          <cell r="AC183">
            <v>6</v>
          </cell>
          <cell r="AD183" t="str">
            <v>6ｲﾝﾁMｺｱ</v>
          </cell>
          <cell r="AE183">
            <v>1125</v>
          </cell>
          <cell r="AF183">
            <v>2</v>
          </cell>
          <cell r="AG183" t="str">
            <v>原反コア</v>
          </cell>
          <cell r="AH183" t="str">
            <v>-</v>
          </cell>
          <cell r="AI183">
            <v>3</v>
          </cell>
          <cell r="AJ183" t="str">
            <v>6ｲﾝﾁFWP</v>
          </cell>
          <cell r="AK183">
            <v>1450</v>
          </cell>
          <cell r="AO183" t="str">
            <v>3SYMLBMSNMBF50</v>
          </cell>
        </row>
        <row r="184">
          <cell r="G184" t="str">
            <v>3SYMLBMSNMBZF</v>
          </cell>
          <cell r="H184" t="str">
            <v>S</v>
          </cell>
          <cell r="I184" t="str">
            <v>Y</v>
          </cell>
          <cell r="J184" t="str">
            <v>MLB</v>
          </cell>
          <cell r="K184" t="str">
            <v>MSNMBZF</v>
          </cell>
          <cell r="L184" t="str">
            <v>ＭＥＴＡＬＵＭＹ　ＳＩＬＶＥＲ　Ｎ－ＭＡＴＴＥ　Ｂ</v>
          </cell>
          <cell r="M184" t="str">
            <v>3SYMLBMSNMBZF251120</v>
          </cell>
          <cell r="N184" t="str">
            <v>3SYMLBMSNMBZF251120</v>
          </cell>
          <cell r="O184">
            <v>25</v>
          </cell>
          <cell r="P184">
            <v>3</v>
          </cell>
          <cell r="Q184" t="str">
            <v>X44</v>
          </cell>
          <cell r="R184">
            <v>1120</v>
          </cell>
          <cell r="S184">
            <v>8000</v>
          </cell>
          <cell r="T184">
            <v>1120</v>
          </cell>
          <cell r="U184">
            <v>1120</v>
          </cell>
          <cell r="V184">
            <v>8000</v>
          </cell>
          <cell r="W184">
            <v>2</v>
          </cell>
          <cell r="Y184" t="str">
            <v>S-5</v>
          </cell>
          <cell r="AC184">
            <v>6</v>
          </cell>
          <cell r="AD184" t="str">
            <v>6ｲﾝﾁMｺｱ</v>
          </cell>
          <cell r="AE184">
            <v>1125</v>
          </cell>
          <cell r="AF184">
            <v>2</v>
          </cell>
          <cell r="AG184" t="str">
            <v>原反コア</v>
          </cell>
          <cell r="AH184" t="str">
            <v>-</v>
          </cell>
          <cell r="AI184">
            <v>3</v>
          </cell>
          <cell r="AJ184" t="str">
            <v>6ｲﾝﾁFWP</v>
          </cell>
          <cell r="AK184">
            <v>1450</v>
          </cell>
          <cell r="AO184" t="str">
            <v>3SYMLBMSNMBZF25</v>
          </cell>
        </row>
        <row r="185">
          <cell r="G185" t="str">
            <v>3SYMLBMSNMBZF</v>
          </cell>
          <cell r="H185" t="str">
            <v>S</v>
          </cell>
          <cell r="I185" t="str">
            <v>Y</v>
          </cell>
          <cell r="J185" t="str">
            <v>MLB</v>
          </cell>
          <cell r="K185" t="str">
            <v>MSNMBZF</v>
          </cell>
          <cell r="L185" t="str">
            <v>ＭＥＴＡＬＵＭＹ　ＳＩＬＶＥＲ　Ｎ－ＭＡＴＴＥ　Ｂ</v>
          </cell>
          <cell r="M185" t="str">
            <v>3SYMLBMSNMBZF501120</v>
          </cell>
          <cell r="N185" t="str">
            <v>3SYMLBMSNMBZF501120</v>
          </cell>
          <cell r="O185">
            <v>50</v>
          </cell>
          <cell r="P185">
            <v>3</v>
          </cell>
          <cell r="Q185" t="str">
            <v>X44</v>
          </cell>
          <cell r="R185">
            <v>1120</v>
          </cell>
          <cell r="S185">
            <v>4000</v>
          </cell>
          <cell r="T185">
            <v>1120</v>
          </cell>
          <cell r="U185">
            <v>1120</v>
          </cell>
          <cell r="V185">
            <v>4000</v>
          </cell>
          <cell r="W185">
            <v>2</v>
          </cell>
          <cell r="Y185" t="str">
            <v>S-5</v>
          </cell>
          <cell r="AC185">
            <v>6</v>
          </cell>
          <cell r="AD185" t="str">
            <v>6ｲﾝﾁMｺｱ</v>
          </cell>
          <cell r="AE185">
            <v>1125</v>
          </cell>
          <cell r="AF185">
            <v>2</v>
          </cell>
          <cell r="AG185" t="str">
            <v>原反コア</v>
          </cell>
          <cell r="AH185" t="str">
            <v>-</v>
          </cell>
          <cell r="AI185">
            <v>3</v>
          </cell>
          <cell r="AJ185" t="str">
            <v>6ｲﾝﾁFWP</v>
          </cell>
          <cell r="AK185">
            <v>1450</v>
          </cell>
          <cell r="AO185" t="str">
            <v>3SYMLBMSNMBZF50</v>
          </cell>
        </row>
        <row r="186">
          <cell r="G186" t="str">
            <v>3SYMLBMSSMBF</v>
          </cell>
          <cell r="H186" t="str">
            <v>S</v>
          </cell>
          <cell r="I186" t="str">
            <v>Y</v>
          </cell>
          <cell r="J186" t="str">
            <v>MLB</v>
          </cell>
          <cell r="K186" t="str">
            <v>MSSMBF</v>
          </cell>
          <cell r="L186" t="str">
            <v>ＭＥＴＡＬＵＭＹ　ＳＩＬＶＥＲ　Ｓ－ＭＡＴＴＥ　Ｓ２８ＭＭ　Ｂ</v>
          </cell>
          <cell r="M186" t="str">
            <v>3SYMLBMSSMBF251120</v>
          </cell>
          <cell r="N186" t="str">
            <v>3SYMLBMSSMBF251120</v>
          </cell>
          <cell r="O186">
            <v>25</v>
          </cell>
          <cell r="P186">
            <v>3</v>
          </cell>
          <cell r="Q186" t="str">
            <v>LI-MAT</v>
          </cell>
          <cell r="R186">
            <v>1120</v>
          </cell>
          <cell r="S186">
            <v>8000</v>
          </cell>
          <cell r="T186">
            <v>1120</v>
          </cell>
          <cell r="U186">
            <v>1120</v>
          </cell>
          <cell r="V186">
            <v>8000</v>
          </cell>
          <cell r="W186">
            <v>2</v>
          </cell>
          <cell r="Y186" t="str">
            <v>S-5</v>
          </cell>
          <cell r="AC186">
            <v>6</v>
          </cell>
          <cell r="AD186" t="str">
            <v>6ｲﾝﾁSｺｱ</v>
          </cell>
          <cell r="AE186">
            <v>1125</v>
          </cell>
          <cell r="AF186">
            <v>2</v>
          </cell>
          <cell r="AG186" t="str">
            <v>原反コア</v>
          </cell>
          <cell r="AH186" t="str">
            <v>-</v>
          </cell>
          <cell r="AI186">
            <v>3</v>
          </cell>
          <cell r="AJ186" t="str">
            <v>6ｲﾝﾁFWP</v>
          </cell>
          <cell r="AK186">
            <v>1450</v>
          </cell>
          <cell r="AO186" t="str">
            <v>3SYMLBMSSMBF25</v>
          </cell>
        </row>
        <row r="187">
          <cell r="G187" t="str">
            <v>3SYMLBMSSMBF</v>
          </cell>
          <cell r="H187" t="str">
            <v>S</v>
          </cell>
          <cell r="I187" t="str">
            <v>Y</v>
          </cell>
          <cell r="J187" t="str">
            <v>MLB</v>
          </cell>
          <cell r="K187" t="str">
            <v>MSSMBF</v>
          </cell>
          <cell r="L187" t="str">
            <v>ＭＥＴＡＬＵＭＹ　ＳＩＬＶＥＲ　Ｓ－ＭＡＴＴＥ　Ｓ２８ＭＭ　Ｂ</v>
          </cell>
          <cell r="M187" t="str">
            <v>3SYMLBMSSMBF501120</v>
          </cell>
          <cell r="N187" t="str">
            <v>3SYMLBMSSMBF501120</v>
          </cell>
          <cell r="O187">
            <v>50</v>
          </cell>
          <cell r="P187">
            <v>3</v>
          </cell>
          <cell r="Q187" t="str">
            <v>LI-MAT</v>
          </cell>
          <cell r="R187">
            <v>1120</v>
          </cell>
          <cell r="S187">
            <v>4000</v>
          </cell>
          <cell r="T187">
            <v>1120</v>
          </cell>
          <cell r="U187">
            <v>1120</v>
          </cell>
          <cell r="V187">
            <v>4000</v>
          </cell>
          <cell r="W187">
            <v>2</v>
          </cell>
          <cell r="Y187" t="str">
            <v>S-5</v>
          </cell>
          <cell r="AC187">
            <v>6</v>
          </cell>
          <cell r="AD187" t="str">
            <v>6ｲﾝﾁSｺｱ</v>
          </cell>
          <cell r="AE187">
            <v>1125</v>
          </cell>
          <cell r="AF187">
            <v>2</v>
          </cell>
          <cell r="AG187" t="str">
            <v>原反コア</v>
          </cell>
          <cell r="AH187" t="str">
            <v>-</v>
          </cell>
          <cell r="AI187">
            <v>3</v>
          </cell>
          <cell r="AJ187" t="str">
            <v>6ｲﾝﾁFWP</v>
          </cell>
          <cell r="AK187">
            <v>1450</v>
          </cell>
          <cell r="AO187" t="str">
            <v>3SYMLBMSSMBF50</v>
          </cell>
        </row>
        <row r="188">
          <cell r="G188" t="str">
            <v>3SYMLBMSSMBZF</v>
          </cell>
          <cell r="H188" t="str">
            <v>S</v>
          </cell>
          <cell r="I188" t="str">
            <v>Y</v>
          </cell>
          <cell r="J188" t="str">
            <v>MLB</v>
          </cell>
          <cell r="K188" t="str">
            <v>MSSMBZF</v>
          </cell>
          <cell r="L188" t="str">
            <v>ＭＥＴＡＬＵＭＹ　ＳＩＬＶＥＲ　Ｓ－ＭＡＴＴＥ　Ｂ</v>
          </cell>
          <cell r="M188" t="str">
            <v>3SYMLBMSSMBZF501120</v>
          </cell>
          <cell r="N188" t="str">
            <v>3SYMLBMSSMBZF501120</v>
          </cell>
          <cell r="O188">
            <v>50</v>
          </cell>
          <cell r="P188">
            <v>3</v>
          </cell>
          <cell r="Q188" t="str">
            <v>LI-MAT</v>
          </cell>
          <cell r="R188">
            <v>1120</v>
          </cell>
          <cell r="S188">
            <v>4000</v>
          </cell>
          <cell r="T188">
            <v>1120</v>
          </cell>
          <cell r="U188">
            <v>1120</v>
          </cell>
          <cell r="V188">
            <v>4000</v>
          </cell>
          <cell r="W188">
            <v>2</v>
          </cell>
          <cell r="Y188" t="str">
            <v>S-5</v>
          </cell>
          <cell r="AC188">
            <v>6</v>
          </cell>
          <cell r="AD188" t="str">
            <v>6ｲﾝﾁSｺｱ</v>
          </cell>
          <cell r="AE188">
            <v>1125</v>
          </cell>
          <cell r="AF188">
            <v>2</v>
          </cell>
          <cell r="AG188" t="str">
            <v>原反コア</v>
          </cell>
          <cell r="AH188" t="str">
            <v>-</v>
          </cell>
          <cell r="AI188">
            <v>3</v>
          </cell>
          <cell r="AJ188" t="str">
            <v>6ｲﾝﾁFWP</v>
          </cell>
          <cell r="AK188">
            <v>1450</v>
          </cell>
          <cell r="AO188" t="str">
            <v>3SYMLBMSSMBZF50</v>
          </cell>
        </row>
        <row r="189">
          <cell r="G189" t="str">
            <v>3SNMLBMTSF</v>
          </cell>
          <cell r="H189" t="str">
            <v>S</v>
          </cell>
          <cell r="I189" t="str">
            <v>N</v>
          </cell>
          <cell r="J189" t="str">
            <v>MLB</v>
          </cell>
          <cell r="K189" t="str">
            <v>MTSF</v>
          </cell>
          <cell r="L189" t="str">
            <v>メタルミー　ＴＳ</v>
          </cell>
          <cell r="M189" t="str">
            <v>3SNMLBMTSF501060</v>
          </cell>
          <cell r="N189" t="str">
            <v>3SNMLBMTSF501000</v>
          </cell>
          <cell r="O189">
            <v>50</v>
          </cell>
          <cell r="P189">
            <v>3</v>
          </cell>
          <cell r="Q189" t="str">
            <v>T62M</v>
          </cell>
          <cell r="R189">
            <v>1060</v>
          </cell>
          <cell r="S189">
            <v>6100</v>
          </cell>
          <cell r="T189">
            <v>1000</v>
          </cell>
          <cell r="U189">
            <v>1000</v>
          </cell>
          <cell r="V189">
            <v>1000</v>
          </cell>
          <cell r="W189">
            <v>2</v>
          </cell>
          <cell r="Y189" t="str">
            <v>S-5</v>
          </cell>
          <cell r="AC189">
            <v>3</v>
          </cell>
          <cell r="AD189" t="str">
            <v>3ｲﾝﾁSｺｱ</v>
          </cell>
          <cell r="AE189">
            <v>1005</v>
          </cell>
          <cell r="AF189">
            <v>2</v>
          </cell>
          <cell r="AG189" t="str">
            <v>原反コア</v>
          </cell>
          <cell r="AH189" t="str">
            <v>-</v>
          </cell>
          <cell r="AI189">
            <v>3</v>
          </cell>
          <cell r="AJ189" t="str">
            <v>6ｲﾝﾁFWP</v>
          </cell>
          <cell r="AK189">
            <v>1450</v>
          </cell>
          <cell r="AO189" t="str">
            <v>3SNMLBMTSF50</v>
          </cell>
        </row>
        <row r="190">
          <cell r="G190" t="str">
            <v>3SNMLBMTSF</v>
          </cell>
          <cell r="H190" t="str">
            <v>S</v>
          </cell>
          <cell r="I190" t="str">
            <v>N</v>
          </cell>
          <cell r="J190" t="str">
            <v>MLB</v>
          </cell>
          <cell r="K190" t="str">
            <v>MTSF</v>
          </cell>
          <cell r="L190" t="str">
            <v>メタルミー　ＴＳ</v>
          </cell>
          <cell r="M190" t="str">
            <v>3SNMLBMTSF501060</v>
          </cell>
          <cell r="N190" t="str">
            <v>3SNMLBMTSF501000</v>
          </cell>
          <cell r="O190">
            <v>50</v>
          </cell>
          <cell r="P190">
            <v>3</v>
          </cell>
          <cell r="Q190" t="str">
            <v>T62M</v>
          </cell>
          <cell r="R190">
            <v>1060</v>
          </cell>
          <cell r="S190">
            <v>6100</v>
          </cell>
          <cell r="T190">
            <v>1000</v>
          </cell>
          <cell r="U190">
            <v>1000</v>
          </cell>
          <cell r="V190">
            <v>3000</v>
          </cell>
          <cell r="W190">
            <v>2</v>
          </cell>
          <cell r="Y190" t="str">
            <v>S-5</v>
          </cell>
          <cell r="AC190">
            <v>3</v>
          </cell>
          <cell r="AD190" t="str">
            <v>3ｲﾝﾁSｺｱ</v>
          </cell>
          <cell r="AE190">
            <v>1005</v>
          </cell>
          <cell r="AF190">
            <v>2</v>
          </cell>
          <cell r="AG190" t="str">
            <v>原反コア</v>
          </cell>
          <cell r="AH190" t="str">
            <v>-</v>
          </cell>
          <cell r="AI190">
            <v>3</v>
          </cell>
          <cell r="AJ190" t="str">
            <v>6ｲﾝﾁFWP</v>
          </cell>
          <cell r="AK190">
            <v>1450</v>
          </cell>
          <cell r="AO190" t="str">
            <v>3SNMLBMTSF50</v>
          </cell>
        </row>
        <row r="191">
          <cell r="G191" t="str">
            <v>3SNMLBMTSF</v>
          </cell>
          <cell r="H191" t="str">
            <v>S</v>
          </cell>
          <cell r="I191" t="str">
            <v>N</v>
          </cell>
          <cell r="J191" t="str">
            <v>MLB</v>
          </cell>
          <cell r="K191" t="str">
            <v>MTSF</v>
          </cell>
          <cell r="L191" t="str">
            <v>メタルミー　ＴＳ</v>
          </cell>
          <cell r="M191" t="str">
            <v>3SNMLBMTSF501255</v>
          </cell>
          <cell r="N191" t="str">
            <v>3SNMLBMTSF501250</v>
          </cell>
          <cell r="O191">
            <v>50</v>
          </cell>
          <cell r="P191">
            <v>3</v>
          </cell>
          <cell r="Q191" t="str">
            <v>T62M</v>
          </cell>
          <cell r="R191">
            <v>1255</v>
          </cell>
          <cell r="S191">
            <v>6100</v>
          </cell>
          <cell r="T191">
            <v>1255</v>
          </cell>
          <cell r="U191">
            <v>1250</v>
          </cell>
          <cell r="V191">
            <v>2000</v>
          </cell>
          <cell r="W191">
            <v>2</v>
          </cell>
          <cell r="Y191" t="str">
            <v>S-5</v>
          </cell>
          <cell r="AC191">
            <v>3</v>
          </cell>
          <cell r="AD191" t="str">
            <v>3ｲﾝﾁSｺｱ</v>
          </cell>
          <cell r="AE191">
            <v>1260</v>
          </cell>
          <cell r="AF191">
            <v>2</v>
          </cell>
          <cell r="AG191" t="str">
            <v>原反コア</v>
          </cell>
          <cell r="AH191" t="str">
            <v>-</v>
          </cell>
          <cell r="AI191">
            <v>3</v>
          </cell>
          <cell r="AJ191" t="str">
            <v>6ｲﾝﾁFWP</v>
          </cell>
          <cell r="AK191">
            <v>1450</v>
          </cell>
          <cell r="AO191" t="str">
            <v>3SNMLBMTSF50</v>
          </cell>
        </row>
        <row r="192">
          <cell r="G192" t="str">
            <v>3SNMLBMTSF</v>
          </cell>
          <cell r="H192" t="str">
            <v>S</v>
          </cell>
          <cell r="I192" t="str">
            <v>N</v>
          </cell>
          <cell r="J192" t="str">
            <v>MLB</v>
          </cell>
          <cell r="K192" t="str">
            <v>MTSF</v>
          </cell>
          <cell r="L192" t="str">
            <v>メタルミー　ＴＳ</v>
          </cell>
          <cell r="M192" t="str">
            <v>3SNMLBMTSF751100</v>
          </cell>
          <cell r="N192" t="str">
            <v>3SNMLBMTSF751000</v>
          </cell>
          <cell r="O192">
            <v>75</v>
          </cell>
          <cell r="P192">
            <v>3</v>
          </cell>
          <cell r="Q192" t="str">
            <v>T60</v>
          </cell>
          <cell r="R192">
            <v>1100</v>
          </cell>
          <cell r="S192">
            <v>2000</v>
          </cell>
          <cell r="T192">
            <v>1000</v>
          </cell>
          <cell r="U192">
            <v>1000</v>
          </cell>
          <cell r="V192">
            <v>1000</v>
          </cell>
          <cell r="W192">
            <v>2</v>
          </cell>
          <cell r="Y192" t="str">
            <v>S-5</v>
          </cell>
          <cell r="AC192">
            <v>3</v>
          </cell>
          <cell r="AD192" t="str">
            <v>3ｲﾝﾁSｺｱ</v>
          </cell>
          <cell r="AE192">
            <v>1005</v>
          </cell>
          <cell r="AF192">
            <v>2</v>
          </cell>
          <cell r="AG192" t="str">
            <v>原反コア</v>
          </cell>
          <cell r="AH192" t="str">
            <v>-</v>
          </cell>
          <cell r="AI192">
            <v>3</v>
          </cell>
          <cell r="AJ192" t="str">
            <v>6ｲﾝﾁFWP</v>
          </cell>
          <cell r="AK192">
            <v>1450</v>
          </cell>
          <cell r="AO192" t="str">
            <v>3SNMLBMTSF75</v>
          </cell>
        </row>
        <row r="193">
          <cell r="G193" t="str">
            <v>3SNMLBMNSJF</v>
          </cell>
          <cell r="H193" t="str">
            <v>S</v>
          </cell>
          <cell r="I193" t="str">
            <v>N</v>
          </cell>
          <cell r="J193" t="str">
            <v>MLB</v>
          </cell>
          <cell r="K193" t="str">
            <v>MNSJF</v>
          </cell>
          <cell r="L193" t="str">
            <v>ＮＳ蒸着</v>
          </cell>
          <cell r="M193" t="str">
            <v>3SNMLBMNSJF121120</v>
          </cell>
          <cell r="N193" t="str">
            <v>3SNMLBMNSJF121000</v>
          </cell>
          <cell r="O193">
            <v>12</v>
          </cell>
          <cell r="P193">
            <v>3</v>
          </cell>
          <cell r="Q193" t="str">
            <v>NS</v>
          </cell>
          <cell r="R193">
            <v>1120</v>
          </cell>
          <cell r="S193">
            <v>24230</v>
          </cell>
          <cell r="T193">
            <v>1000</v>
          </cell>
          <cell r="U193">
            <v>1000</v>
          </cell>
          <cell r="V193">
            <v>6000</v>
          </cell>
          <cell r="W193">
            <v>2</v>
          </cell>
          <cell r="Y193" t="str">
            <v>S-5</v>
          </cell>
          <cell r="AC193">
            <v>6</v>
          </cell>
          <cell r="AD193" t="str">
            <v>6ｲﾝﾁMｺｱ</v>
          </cell>
          <cell r="AE193">
            <v>1005</v>
          </cell>
          <cell r="AO193" t="str">
            <v>3SNMLBMNSJF12</v>
          </cell>
        </row>
        <row r="194">
          <cell r="G194" t="str">
            <v>3SNMLBMNSJF</v>
          </cell>
          <cell r="H194" t="str">
            <v>S</v>
          </cell>
          <cell r="I194" t="str">
            <v>N</v>
          </cell>
          <cell r="J194" t="str">
            <v>MLB</v>
          </cell>
          <cell r="K194" t="str">
            <v>MNSJF</v>
          </cell>
          <cell r="L194" t="str">
            <v>ＮＳ蒸着</v>
          </cell>
          <cell r="M194" t="str">
            <v>3SNMLBMNSJF121120</v>
          </cell>
          <cell r="N194" t="str">
            <v>3SNMLBMNSJF121120</v>
          </cell>
          <cell r="O194">
            <v>12</v>
          </cell>
          <cell r="P194">
            <v>3</v>
          </cell>
          <cell r="Q194" t="str">
            <v>NS</v>
          </cell>
          <cell r="R194">
            <v>1120</v>
          </cell>
          <cell r="S194">
            <v>24230</v>
          </cell>
          <cell r="T194">
            <v>1120</v>
          </cell>
          <cell r="U194">
            <v>1120</v>
          </cell>
          <cell r="V194">
            <v>6000</v>
          </cell>
          <cell r="W194">
            <v>2</v>
          </cell>
          <cell r="Y194" t="str">
            <v>S-5</v>
          </cell>
          <cell r="AC194">
            <v>6</v>
          </cell>
          <cell r="AD194" t="str">
            <v>6ｲﾝﾁMｺｱ</v>
          </cell>
          <cell r="AE194">
            <v>1125</v>
          </cell>
          <cell r="AO194" t="str">
            <v>3SNMLBMNSJF12</v>
          </cell>
        </row>
        <row r="195">
          <cell r="G195" t="str">
            <v>3HSNTPICTT405B</v>
          </cell>
          <cell r="H195" t="str">
            <v>S</v>
          </cell>
          <cell r="I195" t="str">
            <v>N</v>
          </cell>
          <cell r="J195" t="str">
            <v>TPIC</v>
          </cell>
          <cell r="K195" t="str">
            <v>TT405B</v>
          </cell>
          <cell r="L195" t="str">
            <v>５０ＴＴ４０５Ｂ</v>
          </cell>
          <cell r="M195" t="str">
            <v>3HSNTPICTT405B501094</v>
          </cell>
          <cell r="N195" t="str">
            <v>3HSNTPICTT405B501094</v>
          </cell>
          <cell r="O195">
            <v>50</v>
          </cell>
          <cell r="P195" t="str">
            <v>3H</v>
          </cell>
          <cell r="Q195" t="str">
            <v>UTE6</v>
          </cell>
          <cell r="R195">
            <v>1094</v>
          </cell>
          <cell r="S195">
            <v>6000</v>
          </cell>
          <cell r="T195">
            <v>1094</v>
          </cell>
          <cell r="U195">
            <v>1094</v>
          </cell>
          <cell r="V195">
            <v>5000</v>
          </cell>
          <cell r="W195">
            <v>2</v>
          </cell>
          <cell r="X195" t="str">
            <v>CF3</v>
          </cell>
          <cell r="Y195" t="str">
            <v>直出し</v>
          </cell>
          <cell r="Z195">
            <v>6</v>
          </cell>
          <cell r="AA195" t="str">
            <v>6ｲﾝﾁFWP</v>
          </cell>
          <cell r="AB195">
            <v>1700</v>
          </cell>
          <cell r="AO195" t="str">
            <v>3HSNTPICTT405B50</v>
          </cell>
        </row>
        <row r="196">
          <cell r="G196" t="str">
            <v>3SNTTPB2T0</v>
          </cell>
          <cell r="H196" t="str">
            <v>S</v>
          </cell>
          <cell r="I196" t="str">
            <v>N</v>
          </cell>
          <cell r="J196" t="str">
            <v>TTP</v>
          </cell>
          <cell r="K196" t="str">
            <v>B2T0</v>
          </cell>
          <cell r="L196" t="str">
            <v>タフトップ　Ｂ２Ｔ０</v>
          </cell>
          <cell r="M196" t="str">
            <v>3SNTTPB2T01001020</v>
          </cell>
          <cell r="N196" t="str">
            <v>3SNTTPB2T01001000</v>
          </cell>
          <cell r="O196">
            <v>100</v>
          </cell>
          <cell r="P196">
            <v>3</v>
          </cell>
          <cell r="Q196" t="str">
            <v xml:space="preserve">A4360  </v>
          </cell>
          <cell r="R196">
            <v>1020</v>
          </cell>
          <cell r="S196">
            <v>2000</v>
          </cell>
          <cell r="T196">
            <v>1000</v>
          </cell>
          <cell r="U196">
            <v>1000</v>
          </cell>
          <cell r="V196">
            <v>1000</v>
          </cell>
          <cell r="W196">
            <v>2</v>
          </cell>
          <cell r="X196" t="str">
            <v>CF4</v>
          </cell>
          <cell r="Y196" t="str">
            <v>SL-3</v>
          </cell>
          <cell r="Z196">
            <v>6</v>
          </cell>
          <cell r="AA196" t="str">
            <v>6ｲﾝﾁABS</v>
          </cell>
          <cell r="AB196">
            <v>1020</v>
          </cell>
          <cell r="AC196">
            <v>6</v>
          </cell>
          <cell r="AD196" t="str">
            <v>6ｲﾝﾁABS</v>
          </cell>
          <cell r="AE196">
            <v>1020</v>
          </cell>
          <cell r="AO196" t="str">
            <v>3SNTTPB2T0100</v>
          </cell>
        </row>
        <row r="197">
          <cell r="G197" t="str">
            <v>3SNTTPB2T0</v>
          </cell>
          <cell r="H197" t="str">
            <v>S</v>
          </cell>
          <cell r="I197" t="str">
            <v>N</v>
          </cell>
          <cell r="J197" t="str">
            <v>TTP</v>
          </cell>
          <cell r="K197" t="str">
            <v>B2T0</v>
          </cell>
          <cell r="L197" t="str">
            <v>タフトップ　Ｂ２Ｔ０</v>
          </cell>
          <cell r="M197" t="str">
            <v>3SNTTPB2T01251020</v>
          </cell>
          <cell r="N197" t="str">
            <v>3SNTTPB2T01251000</v>
          </cell>
          <cell r="O197">
            <v>125</v>
          </cell>
          <cell r="P197">
            <v>3</v>
          </cell>
          <cell r="Q197" t="str">
            <v xml:space="preserve">A4360  </v>
          </cell>
          <cell r="R197">
            <v>1020</v>
          </cell>
          <cell r="S197">
            <v>2000</v>
          </cell>
          <cell r="T197">
            <v>1000</v>
          </cell>
          <cell r="U197">
            <v>1000</v>
          </cell>
          <cell r="V197">
            <v>1000</v>
          </cell>
          <cell r="W197">
            <v>2</v>
          </cell>
          <cell r="X197" t="str">
            <v>CF4</v>
          </cell>
          <cell r="Y197" t="str">
            <v>SL-3</v>
          </cell>
          <cell r="Z197">
            <v>6</v>
          </cell>
          <cell r="AA197" t="str">
            <v>6ｲﾝﾁABS</v>
          </cell>
          <cell r="AB197">
            <v>1020</v>
          </cell>
          <cell r="AC197">
            <v>6</v>
          </cell>
          <cell r="AD197" t="str">
            <v>6ｲﾝﾁABS</v>
          </cell>
          <cell r="AE197">
            <v>1020</v>
          </cell>
          <cell r="AO197" t="str">
            <v>3SNTTPB2T0125</v>
          </cell>
        </row>
        <row r="198">
          <cell r="G198" t="str">
            <v>3SNTTPB2T0</v>
          </cell>
          <cell r="H198" t="str">
            <v>S</v>
          </cell>
          <cell r="I198" t="str">
            <v>N</v>
          </cell>
          <cell r="J198" t="str">
            <v>TTP</v>
          </cell>
          <cell r="K198" t="str">
            <v>B2T0</v>
          </cell>
          <cell r="L198" t="str">
            <v>タフトップ　Ｂ２Ｔ０</v>
          </cell>
          <cell r="M198" t="str">
            <v>3SNTTPB2T01881020</v>
          </cell>
          <cell r="N198" t="str">
            <v>3SNTTPB2T01881000</v>
          </cell>
          <cell r="O198">
            <v>188</v>
          </cell>
          <cell r="P198">
            <v>3</v>
          </cell>
          <cell r="Q198" t="str">
            <v xml:space="preserve">A4360  </v>
          </cell>
          <cell r="R198">
            <v>1020</v>
          </cell>
          <cell r="S198">
            <v>1200</v>
          </cell>
          <cell r="T198">
            <v>1000</v>
          </cell>
          <cell r="U198">
            <v>1000</v>
          </cell>
          <cell r="V198">
            <v>1000</v>
          </cell>
          <cell r="W198">
            <v>2</v>
          </cell>
          <cell r="X198" t="str">
            <v>CF4</v>
          </cell>
          <cell r="Y198" t="str">
            <v>SL-3</v>
          </cell>
          <cell r="Z198">
            <v>6</v>
          </cell>
          <cell r="AA198" t="str">
            <v>6ｲﾝﾁABS</v>
          </cell>
          <cell r="AB198">
            <v>1020</v>
          </cell>
          <cell r="AC198">
            <v>6</v>
          </cell>
          <cell r="AD198" t="str">
            <v>6ｲﾝﾁABS</v>
          </cell>
          <cell r="AE198">
            <v>1020</v>
          </cell>
          <cell r="AO198" t="str">
            <v>3SNTTPB2T0188</v>
          </cell>
        </row>
        <row r="199">
          <cell r="G199" t="str">
            <v>3SYTTPTHS</v>
          </cell>
          <cell r="H199" t="str">
            <v>S</v>
          </cell>
          <cell r="I199" t="str">
            <v>Y</v>
          </cell>
          <cell r="J199" t="str">
            <v>TTP</v>
          </cell>
          <cell r="K199" t="str">
            <v>THS</v>
          </cell>
          <cell r="L199" t="str">
            <v>タフトップ　ＴＨＳ</v>
          </cell>
          <cell r="M199" t="str">
            <v>3SYTTPTHS1251300</v>
          </cell>
          <cell r="N199" t="str">
            <v>3SYTTPTHS1251300</v>
          </cell>
          <cell r="O199">
            <v>125</v>
          </cell>
          <cell r="P199">
            <v>3</v>
          </cell>
          <cell r="Q199" t="str">
            <v>U483N</v>
          </cell>
          <cell r="R199">
            <v>1300</v>
          </cell>
          <cell r="S199">
            <v>1600</v>
          </cell>
          <cell r="T199">
            <v>1300</v>
          </cell>
          <cell r="U199">
            <v>1300</v>
          </cell>
          <cell r="V199">
            <v>1600</v>
          </cell>
          <cell r="W199">
            <v>2</v>
          </cell>
          <cell r="X199" t="str">
            <v>CF3</v>
          </cell>
          <cell r="Y199" t="str">
            <v>SL-3</v>
          </cell>
          <cell r="Z199">
            <v>6</v>
          </cell>
          <cell r="AA199" t="str">
            <v>6ｲﾝﾁABS</v>
          </cell>
          <cell r="AB199">
            <v>1450</v>
          </cell>
          <cell r="AC199">
            <v>6</v>
          </cell>
          <cell r="AD199" t="str">
            <v>6ｲﾝﾁABS</v>
          </cell>
          <cell r="AE199">
            <v>1270</v>
          </cell>
          <cell r="AO199" t="str">
            <v>3SYTTPTHS125</v>
          </cell>
        </row>
        <row r="200">
          <cell r="G200" t="str">
            <v>3SYTTPLC1000</v>
          </cell>
          <cell r="H200" t="str">
            <v>S</v>
          </cell>
          <cell r="I200" t="str">
            <v>Y</v>
          </cell>
          <cell r="J200" t="str">
            <v>TTP</v>
          </cell>
          <cell r="K200" t="str">
            <v>LC1000</v>
          </cell>
          <cell r="L200" t="str">
            <v>タフトップ　ＬＣ１０００</v>
          </cell>
          <cell r="M200" t="str">
            <v>3SYTTPLC10001251330</v>
          </cell>
          <cell r="N200" t="str">
            <v>3SYTTPLC10001251320</v>
          </cell>
          <cell r="O200">
            <v>125</v>
          </cell>
          <cell r="P200">
            <v>3</v>
          </cell>
          <cell r="Q200" t="str">
            <v xml:space="preserve">U483   </v>
          </cell>
          <cell r="R200">
            <v>1330</v>
          </cell>
          <cell r="S200">
            <v>800</v>
          </cell>
          <cell r="T200">
            <v>1320</v>
          </cell>
          <cell r="U200">
            <v>1320</v>
          </cell>
          <cell r="V200">
            <v>800</v>
          </cell>
          <cell r="W200">
            <v>2</v>
          </cell>
          <cell r="X200" t="str">
            <v>CF3</v>
          </cell>
          <cell r="Y200" t="str">
            <v>直出し</v>
          </cell>
          <cell r="Z200">
            <v>6</v>
          </cell>
          <cell r="AA200" t="str">
            <v>6ｲﾝﾁABS</v>
          </cell>
          <cell r="AB200">
            <v>1500</v>
          </cell>
          <cell r="AO200" t="str">
            <v>3SYTTPLC1000125</v>
          </cell>
        </row>
        <row r="201">
          <cell r="G201" t="str">
            <v>3SYTTPLC1000</v>
          </cell>
          <cell r="H201" t="str">
            <v>S</v>
          </cell>
          <cell r="I201" t="str">
            <v>Y</v>
          </cell>
          <cell r="J201" t="str">
            <v>TTP</v>
          </cell>
          <cell r="K201" t="str">
            <v>LC1000</v>
          </cell>
          <cell r="L201" t="str">
            <v>タフトップ　ＬＣ１０００</v>
          </cell>
          <cell r="M201" t="str">
            <v>3SYTTPLC10001251360</v>
          </cell>
          <cell r="N201" t="str">
            <v>3SYTTPLC10001251320</v>
          </cell>
          <cell r="O201">
            <v>125</v>
          </cell>
          <cell r="P201">
            <v>3</v>
          </cell>
          <cell r="Q201" t="str">
            <v xml:space="preserve">U483   </v>
          </cell>
          <cell r="R201">
            <v>1360</v>
          </cell>
          <cell r="S201">
            <v>1600</v>
          </cell>
          <cell r="T201">
            <v>1320</v>
          </cell>
          <cell r="U201">
            <v>1320</v>
          </cell>
          <cell r="V201">
            <v>1500</v>
          </cell>
          <cell r="W201">
            <v>2</v>
          </cell>
          <cell r="X201" t="str">
            <v>CF3</v>
          </cell>
          <cell r="Y201" t="str">
            <v>直出し</v>
          </cell>
          <cell r="Z201">
            <v>6</v>
          </cell>
          <cell r="AA201" t="str">
            <v>6ｲﾝﾁABS</v>
          </cell>
          <cell r="AB201">
            <v>1500</v>
          </cell>
          <cell r="AO201" t="str">
            <v>3SYTTPLC1000125</v>
          </cell>
        </row>
        <row r="202">
          <cell r="G202" t="str">
            <v>3SNJ-ETCADX44</v>
          </cell>
          <cell r="H202" t="str">
            <v>S</v>
          </cell>
          <cell r="I202" t="str">
            <v>N</v>
          </cell>
          <cell r="J202" t="str">
            <v>J-ETC</v>
          </cell>
          <cell r="K202" t="str">
            <v>ADX44</v>
          </cell>
          <cell r="L202" t="str">
            <v>ADX44</v>
          </cell>
          <cell r="M202" t="str">
            <v>3SNJ-ETCADX44501110</v>
          </cell>
          <cell r="N202" t="str">
            <v>3SNJ-ETCADX44501100</v>
          </cell>
          <cell r="O202">
            <v>50</v>
          </cell>
          <cell r="P202">
            <v>3</v>
          </cell>
          <cell r="Q202" t="str">
            <v>X44</v>
          </cell>
          <cell r="R202">
            <v>1110</v>
          </cell>
          <cell r="S202">
            <v>4000</v>
          </cell>
          <cell r="T202">
            <v>1100</v>
          </cell>
          <cell r="U202">
            <v>1100</v>
          </cell>
          <cell r="V202">
            <v>4000</v>
          </cell>
          <cell r="W202">
            <v>2</v>
          </cell>
          <cell r="X202" t="str">
            <v>CF4</v>
          </cell>
          <cell r="Z202">
            <v>6</v>
          </cell>
          <cell r="AA202" t="str">
            <v>6ｲﾝﾁFWP</v>
          </cell>
          <cell r="AB202">
            <v>1450</v>
          </cell>
          <cell r="AO202" t="str">
            <v>3SNJ-ETCADX4450</v>
          </cell>
        </row>
        <row r="203">
          <cell r="G203" t="str">
            <v>3TNCERABX8A37</v>
          </cell>
          <cell r="H203" t="str">
            <v>T</v>
          </cell>
          <cell r="I203" t="str">
            <v>N</v>
          </cell>
          <cell r="J203" t="str">
            <v>CERA</v>
          </cell>
          <cell r="K203" t="str">
            <v>BX8A37</v>
          </cell>
          <cell r="L203" t="str">
            <v>セラピール　ＢＸ８Ａ（３７）</v>
          </cell>
          <cell r="M203" t="str">
            <v>3TNCERABX8A37751060</v>
          </cell>
          <cell r="N203" t="str">
            <v>3TNCERABX8A37751050</v>
          </cell>
          <cell r="O203">
            <v>75</v>
          </cell>
          <cell r="P203">
            <v>3</v>
          </cell>
          <cell r="Q203" t="str">
            <v>RM1Z</v>
          </cell>
          <cell r="R203">
            <v>1060</v>
          </cell>
          <cell r="S203">
            <v>6000</v>
          </cell>
          <cell r="T203">
            <v>1050</v>
          </cell>
          <cell r="U203">
            <v>1050</v>
          </cell>
          <cell r="V203">
            <v>5800</v>
          </cell>
          <cell r="W203">
            <v>2</v>
          </cell>
          <cell r="X203" t="str">
            <v>CF2</v>
          </cell>
          <cell r="Y203" t="str">
            <v>直出し</v>
          </cell>
          <cell r="Z203">
            <v>6</v>
          </cell>
          <cell r="AA203" t="str">
            <v>6ｲﾝﾁFWP</v>
          </cell>
          <cell r="AB203">
            <v>1250</v>
          </cell>
          <cell r="AO203" t="str">
            <v>3TNCERABX8A3775</v>
          </cell>
        </row>
        <row r="204">
          <cell r="G204" t="str">
            <v>330TNCERABX8A37</v>
          </cell>
          <cell r="H204" t="str">
            <v>T</v>
          </cell>
          <cell r="I204" t="str">
            <v>N</v>
          </cell>
          <cell r="J204" t="str">
            <v>CERA</v>
          </cell>
          <cell r="K204" t="str">
            <v>BX8A37</v>
          </cell>
          <cell r="L204" t="str">
            <v>セラピール　ＢＸ８Ａ（３７）</v>
          </cell>
          <cell r="M204" t="str">
            <v>330TNCERABX8A37751060</v>
          </cell>
          <cell r="N204" t="str">
            <v>330TNCERABX8A37751050</v>
          </cell>
          <cell r="O204">
            <v>75</v>
          </cell>
          <cell r="P204">
            <v>330</v>
          </cell>
          <cell r="Q204" t="str">
            <v>RM1Z</v>
          </cell>
          <cell r="R204">
            <v>1060</v>
          </cell>
          <cell r="S204">
            <v>6000</v>
          </cell>
          <cell r="T204">
            <v>1050</v>
          </cell>
          <cell r="U204">
            <v>1050</v>
          </cell>
          <cell r="V204">
            <v>5800</v>
          </cell>
          <cell r="W204">
            <v>2</v>
          </cell>
          <cell r="X204" t="str">
            <v>CF2</v>
          </cell>
          <cell r="Y204" t="str">
            <v>直出し</v>
          </cell>
          <cell r="Z204">
            <v>6</v>
          </cell>
          <cell r="AA204" t="str">
            <v>6ｲﾝﾁFWP</v>
          </cell>
          <cell r="AB204">
            <v>1250</v>
          </cell>
          <cell r="AO204" t="str">
            <v>330TNCERABX8A3775</v>
          </cell>
        </row>
        <row r="205">
          <cell r="G205" t="str">
            <v>331TNCERABX8ARX</v>
          </cell>
          <cell r="H205" t="str">
            <v>T</v>
          </cell>
          <cell r="I205" t="str">
            <v>N</v>
          </cell>
          <cell r="J205" t="str">
            <v>CERA</v>
          </cell>
          <cell r="K205" t="str">
            <v>BX8ARX</v>
          </cell>
          <cell r="L205" t="str">
            <v>セラピール　ＢＸ８Ａ（ＲＸ）</v>
          </cell>
          <cell r="M205" t="str">
            <v>331TNCERABX8ARX381135</v>
          </cell>
          <cell r="N205" t="str">
            <v>331TNCERABX8ARX38535</v>
          </cell>
          <cell r="O205">
            <v>38</v>
          </cell>
          <cell r="P205">
            <v>331</v>
          </cell>
          <cell r="Q205" t="str">
            <v>R75X</v>
          </cell>
          <cell r="R205">
            <v>1135</v>
          </cell>
          <cell r="S205">
            <v>12200</v>
          </cell>
          <cell r="T205">
            <v>535</v>
          </cell>
          <cell r="U205">
            <v>535</v>
          </cell>
          <cell r="V205">
            <v>6000</v>
          </cell>
          <cell r="W205">
            <v>2</v>
          </cell>
          <cell r="X205" t="str">
            <v>CF2</v>
          </cell>
          <cell r="Y205" t="str">
            <v>SL-1</v>
          </cell>
          <cell r="Z205">
            <v>6</v>
          </cell>
          <cell r="AA205" t="str">
            <v>6ｲﾝﾁFWP</v>
          </cell>
          <cell r="AB205">
            <v>1450</v>
          </cell>
          <cell r="AC205">
            <v>3</v>
          </cell>
          <cell r="AD205" t="str">
            <v>ｶﾞﾗｽｴﾎﾟｷｼ</v>
          </cell>
          <cell r="AE205">
            <v>570</v>
          </cell>
          <cell r="AL205">
            <v>6</v>
          </cell>
          <cell r="AM205" t="str">
            <v>エージング後スリット</v>
          </cell>
          <cell r="AO205" t="str">
            <v>331TNCERABX8ARX38</v>
          </cell>
        </row>
        <row r="206">
          <cell r="G206" t="str">
            <v>3TNCERAWZRX</v>
          </cell>
          <cell r="H206" t="str">
            <v>T</v>
          </cell>
          <cell r="I206" t="str">
            <v>N</v>
          </cell>
          <cell r="J206" t="str">
            <v>CERA</v>
          </cell>
          <cell r="K206" t="str">
            <v>WZRX</v>
          </cell>
          <cell r="L206" t="str">
            <v>セラピール　ＷＺ（ＲＸ）</v>
          </cell>
          <cell r="M206" t="str">
            <v>3TNCERAWZRX381335</v>
          </cell>
          <cell r="N206" t="str">
            <v>3TNCERAWZRX381220</v>
          </cell>
          <cell r="O206">
            <v>38</v>
          </cell>
          <cell r="P206">
            <v>3</v>
          </cell>
          <cell r="Q206" t="str">
            <v>R75X</v>
          </cell>
          <cell r="R206">
            <v>1335</v>
          </cell>
          <cell r="S206">
            <v>12200</v>
          </cell>
          <cell r="T206">
            <v>1220</v>
          </cell>
          <cell r="U206">
            <v>1220</v>
          </cell>
          <cell r="V206">
            <v>6000</v>
          </cell>
          <cell r="W206">
            <v>2</v>
          </cell>
          <cell r="X206" t="str">
            <v>CF2</v>
          </cell>
          <cell r="Y206" t="str">
            <v>SL-1</v>
          </cell>
          <cell r="Z206">
            <v>6</v>
          </cell>
          <cell r="AA206" t="str">
            <v>6ｲﾝﾁFWP</v>
          </cell>
          <cell r="AB206">
            <v>1450</v>
          </cell>
          <cell r="AC206">
            <v>6</v>
          </cell>
          <cell r="AD206" t="str">
            <v>6ｲﾝﾁFWP</v>
          </cell>
          <cell r="AE206">
            <v>1270</v>
          </cell>
          <cell r="AO206" t="str">
            <v>3TNCERAWZRX38</v>
          </cell>
        </row>
        <row r="207">
          <cell r="G207" t="str">
            <v>3UNCERAWZRX</v>
          </cell>
          <cell r="H207" t="str">
            <v>U</v>
          </cell>
          <cell r="I207" t="str">
            <v>N</v>
          </cell>
          <cell r="J207" t="str">
            <v>CERA</v>
          </cell>
          <cell r="K207" t="str">
            <v>WZRX</v>
          </cell>
          <cell r="L207" t="str">
            <v>セラピール　ＷＺ（ＲＸ）</v>
          </cell>
          <cell r="M207" t="str">
            <v>3UNCERAWZRX381255</v>
          </cell>
          <cell r="N207" t="str">
            <v>3UNCERAWZRX381245</v>
          </cell>
          <cell r="O207">
            <v>38</v>
          </cell>
          <cell r="P207">
            <v>3</v>
          </cell>
          <cell r="Q207" t="str">
            <v>R75X</v>
          </cell>
          <cell r="R207">
            <v>1255</v>
          </cell>
          <cell r="S207">
            <v>12200</v>
          </cell>
          <cell r="T207">
            <v>1245</v>
          </cell>
          <cell r="U207">
            <v>1245</v>
          </cell>
          <cell r="V207">
            <v>6000</v>
          </cell>
          <cell r="W207">
            <v>2</v>
          </cell>
          <cell r="X207" t="str">
            <v>CF2</v>
          </cell>
          <cell r="Y207" t="str">
            <v>半直</v>
          </cell>
          <cell r="Z207">
            <v>6</v>
          </cell>
          <cell r="AA207" t="str">
            <v>6ｲﾝﾁFWP</v>
          </cell>
          <cell r="AB207">
            <v>1450</v>
          </cell>
          <cell r="AO207" t="str">
            <v>3UNCERAWZRX38</v>
          </cell>
        </row>
        <row r="208">
          <cell r="G208" t="str">
            <v>3TNCERAWZS</v>
          </cell>
          <cell r="H208" t="str">
            <v>T</v>
          </cell>
          <cell r="I208" t="str">
            <v>N</v>
          </cell>
          <cell r="J208" t="str">
            <v>CERA</v>
          </cell>
          <cell r="K208" t="str">
            <v>WZS</v>
          </cell>
          <cell r="L208" t="str">
            <v>セラピール　ＷＺ（Ｓ）</v>
          </cell>
          <cell r="M208" t="str">
            <v>3TNCERAWZS251110</v>
          </cell>
          <cell r="N208" t="str">
            <v>3TNCERAWZS251100</v>
          </cell>
          <cell r="O208">
            <v>25</v>
          </cell>
          <cell r="P208">
            <v>3</v>
          </cell>
          <cell r="Q208" t="str">
            <v>S28M</v>
          </cell>
          <cell r="R208">
            <v>1110</v>
          </cell>
          <cell r="S208">
            <v>12100</v>
          </cell>
          <cell r="T208">
            <v>1100</v>
          </cell>
          <cell r="U208">
            <v>1100</v>
          </cell>
          <cell r="V208">
            <v>12000</v>
          </cell>
          <cell r="W208">
            <v>2</v>
          </cell>
          <cell r="X208" t="str">
            <v>CF2</v>
          </cell>
          <cell r="Y208" t="str">
            <v>直出し</v>
          </cell>
          <cell r="Z208">
            <v>6</v>
          </cell>
          <cell r="AA208" t="str">
            <v>Kｺｱ</v>
          </cell>
          <cell r="AB208">
            <v>1450</v>
          </cell>
          <cell r="AO208" t="str">
            <v>3TNCERAWZS25</v>
          </cell>
        </row>
        <row r="209">
          <cell r="G209" t="str">
            <v>3UNCERAWZS</v>
          </cell>
          <cell r="H209" t="str">
            <v>U</v>
          </cell>
          <cell r="I209" t="str">
            <v>N</v>
          </cell>
          <cell r="J209" t="str">
            <v>CERA</v>
          </cell>
          <cell r="K209" t="str">
            <v>WZS</v>
          </cell>
          <cell r="L209" t="str">
            <v>セラピール　ＷＺ（Ｓ）</v>
          </cell>
          <cell r="M209" t="str">
            <v>3UNCERAWZS251110</v>
          </cell>
          <cell r="N209" t="str">
            <v>3UNCERAWZS251100</v>
          </cell>
          <cell r="O209">
            <v>25</v>
          </cell>
          <cell r="P209">
            <v>3</v>
          </cell>
          <cell r="Q209" t="str">
            <v>S28M</v>
          </cell>
          <cell r="R209">
            <v>1110</v>
          </cell>
          <cell r="S209">
            <v>12100</v>
          </cell>
          <cell r="T209">
            <v>1100</v>
          </cell>
          <cell r="U209">
            <v>1100</v>
          </cell>
          <cell r="V209">
            <v>12000</v>
          </cell>
          <cell r="W209">
            <v>2</v>
          </cell>
          <cell r="X209" t="str">
            <v>CF2</v>
          </cell>
          <cell r="Y209" t="str">
            <v>直出し</v>
          </cell>
          <cell r="Z209">
            <v>6</v>
          </cell>
          <cell r="AA209" t="str">
            <v>Kｺｱ</v>
          </cell>
          <cell r="AB209">
            <v>1450</v>
          </cell>
          <cell r="AO209" t="str">
            <v>3UNCERAWZS25</v>
          </cell>
        </row>
        <row r="210">
          <cell r="G210" t="str">
            <v>3KSTNCERAWZS</v>
          </cell>
          <cell r="H210" t="str">
            <v>T</v>
          </cell>
          <cell r="I210" t="str">
            <v>N</v>
          </cell>
          <cell r="J210" t="str">
            <v>CERA</v>
          </cell>
          <cell r="K210" t="str">
            <v>WZS</v>
          </cell>
          <cell r="L210" t="str">
            <v>セラピール　ＷＺ（Ｓ）</v>
          </cell>
          <cell r="M210" t="str">
            <v>3KSTNCERAWZS251100</v>
          </cell>
          <cell r="N210" t="str">
            <v>3KSTNCERAWZS251100</v>
          </cell>
          <cell r="O210">
            <v>25</v>
          </cell>
          <cell r="P210" t="str">
            <v>3KS</v>
          </cell>
          <cell r="Q210" t="str">
            <v>S28M</v>
          </cell>
          <cell r="R210">
            <v>1100</v>
          </cell>
          <cell r="S210">
            <v>12000</v>
          </cell>
          <cell r="T210">
            <v>1100</v>
          </cell>
          <cell r="U210">
            <v>1100</v>
          </cell>
          <cell r="V210">
            <v>12000</v>
          </cell>
          <cell r="W210">
            <v>2</v>
          </cell>
          <cell r="X210" t="str">
            <v>MK1</v>
          </cell>
          <cell r="Y210" t="str">
            <v>MK1</v>
          </cell>
          <cell r="Z210">
            <v>6</v>
          </cell>
          <cell r="AA210" t="str">
            <v>6ｲﾝﾁFWP</v>
          </cell>
          <cell r="AB210">
            <v>1450</v>
          </cell>
          <cell r="AC210">
            <v>6</v>
          </cell>
          <cell r="AD210" t="str">
            <v>6ｲﾝﾁFWP</v>
          </cell>
          <cell r="AE210">
            <v>1450</v>
          </cell>
          <cell r="AO210" t="str">
            <v>3KSTNCERAWZS25</v>
          </cell>
        </row>
        <row r="211">
          <cell r="G211" t="str">
            <v>3UNCERAWZS</v>
          </cell>
          <cell r="H211" t="str">
            <v>U</v>
          </cell>
          <cell r="I211" t="str">
            <v>N</v>
          </cell>
          <cell r="J211" t="str">
            <v>CERA</v>
          </cell>
          <cell r="K211" t="str">
            <v>WZS</v>
          </cell>
          <cell r="L211" t="str">
            <v>セラピール　ＷＺ（Ｓ）</v>
          </cell>
          <cell r="M211" t="str">
            <v>3UNCERAWZS751060</v>
          </cell>
          <cell r="N211" t="str">
            <v>3UNCERAWZS751050</v>
          </cell>
          <cell r="O211">
            <v>75</v>
          </cell>
          <cell r="P211">
            <v>3</v>
          </cell>
          <cell r="Q211" t="str">
            <v>S28M</v>
          </cell>
          <cell r="R211">
            <v>1060</v>
          </cell>
          <cell r="S211">
            <v>4300</v>
          </cell>
          <cell r="T211">
            <v>1050</v>
          </cell>
          <cell r="U211">
            <v>1050</v>
          </cell>
          <cell r="V211">
            <v>4300</v>
          </cell>
          <cell r="W211">
            <v>2</v>
          </cell>
          <cell r="X211" t="str">
            <v>CF2</v>
          </cell>
          <cell r="Y211" t="str">
            <v>直出し</v>
          </cell>
          <cell r="Z211">
            <v>6</v>
          </cell>
          <cell r="AA211" t="str">
            <v>6ｲﾝﾁFWP</v>
          </cell>
          <cell r="AB211">
            <v>1450</v>
          </cell>
          <cell r="AO211" t="str">
            <v>3UNCERAWZS75</v>
          </cell>
        </row>
        <row r="212">
          <cell r="G212" t="str">
            <v>3TNCERAWZT</v>
          </cell>
          <cell r="H212" t="str">
            <v>T</v>
          </cell>
          <cell r="I212" t="str">
            <v>N</v>
          </cell>
          <cell r="J212" t="str">
            <v>CERA</v>
          </cell>
          <cell r="K212" t="str">
            <v>WZT</v>
          </cell>
          <cell r="L212" t="str">
            <v>セラピール　ＷＺ（Ｔ）</v>
          </cell>
          <cell r="M212" t="str">
            <v>3TNCERAWZT381005</v>
          </cell>
          <cell r="N212" t="str">
            <v>3TNCERAWZT381000</v>
          </cell>
          <cell r="O212">
            <v>38</v>
          </cell>
          <cell r="P212">
            <v>3</v>
          </cell>
          <cell r="Q212" t="str">
            <v>T75</v>
          </cell>
          <cell r="R212">
            <v>1005</v>
          </cell>
          <cell r="S212">
            <v>6000</v>
          </cell>
          <cell r="T212">
            <v>1005</v>
          </cell>
          <cell r="U212">
            <v>1000</v>
          </cell>
          <cell r="V212">
            <v>6000</v>
          </cell>
          <cell r="W212">
            <v>2</v>
          </cell>
          <cell r="X212" t="str">
            <v>CF2</v>
          </cell>
          <cell r="Y212" t="str">
            <v>直出し</v>
          </cell>
          <cell r="Z212">
            <v>6</v>
          </cell>
          <cell r="AA212" t="str">
            <v>6ｲﾝﾁFWP</v>
          </cell>
          <cell r="AO212" t="str">
            <v>3TNCERAWZT38</v>
          </cell>
        </row>
        <row r="213">
          <cell r="G213" t="str">
            <v>3UNCERAMFACR</v>
          </cell>
          <cell r="H213" t="str">
            <v>U</v>
          </cell>
          <cell r="I213" t="str">
            <v>N</v>
          </cell>
          <cell r="J213" t="str">
            <v>CERA</v>
          </cell>
          <cell r="K213" t="str">
            <v>MFACR</v>
          </cell>
          <cell r="L213" t="str">
            <v>セラピール　ＭＦＡ（ＣＲ）</v>
          </cell>
          <cell r="M213" t="str">
            <v>3UNCERAMFACR311370</v>
          </cell>
          <cell r="N213" t="str">
            <v>3UNCERAMFACR31440</v>
          </cell>
          <cell r="O213">
            <v>31</v>
          </cell>
          <cell r="P213">
            <v>3</v>
          </cell>
          <cell r="Q213" t="str">
            <v>A56</v>
          </cell>
          <cell r="R213">
            <v>1370</v>
          </cell>
          <cell r="S213">
            <v>13450</v>
          </cell>
          <cell r="T213">
            <v>440</v>
          </cell>
          <cell r="U213">
            <v>440</v>
          </cell>
          <cell r="V213">
            <v>6500</v>
          </cell>
          <cell r="W213">
            <v>1</v>
          </cell>
          <cell r="X213" t="str">
            <v>CF2</v>
          </cell>
          <cell r="Y213" t="str">
            <v>SL-1</v>
          </cell>
          <cell r="Z213">
            <v>6</v>
          </cell>
          <cell r="AA213" t="str">
            <v>6ｲﾝﾁFWP</v>
          </cell>
          <cell r="AB213">
            <v>1450</v>
          </cell>
          <cell r="AC213">
            <v>3</v>
          </cell>
          <cell r="AD213" t="str">
            <v>ｶﾞﾗｽｴﾎﾟｷｼ</v>
          </cell>
          <cell r="AE213">
            <v>595</v>
          </cell>
          <cell r="AO213" t="str">
            <v>3UNCERAMFACR31</v>
          </cell>
        </row>
        <row r="214">
          <cell r="G214" t="str">
            <v>3UNCERAMFAS</v>
          </cell>
          <cell r="H214" t="str">
            <v>U</v>
          </cell>
          <cell r="I214" t="str">
            <v>N</v>
          </cell>
          <cell r="J214" t="str">
            <v>CERA</v>
          </cell>
          <cell r="K214" t="str">
            <v>MFAS</v>
          </cell>
          <cell r="L214" t="str">
            <v>セラピール　ＭＦＡ（Ｓ）</v>
          </cell>
          <cell r="M214" t="str">
            <v>3UNCERAMFAS1001090</v>
          </cell>
          <cell r="N214" t="str">
            <v>3UNCERAMFAS100520</v>
          </cell>
          <cell r="O214">
            <v>100</v>
          </cell>
          <cell r="P214">
            <v>3</v>
          </cell>
          <cell r="Q214" t="str">
            <v>S28</v>
          </cell>
          <cell r="R214">
            <v>1090</v>
          </cell>
          <cell r="S214">
            <v>2400</v>
          </cell>
          <cell r="T214">
            <v>520</v>
          </cell>
          <cell r="U214">
            <v>520</v>
          </cell>
          <cell r="V214">
            <v>800</v>
          </cell>
          <cell r="W214">
            <v>1</v>
          </cell>
          <cell r="X214" t="str">
            <v>CF2</v>
          </cell>
          <cell r="Y214" t="str">
            <v>SL-1</v>
          </cell>
          <cell r="Z214">
            <v>6</v>
          </cell>
          <cell r="AA214" t="str">
            <v>6ｲﾝﾁFWP</v>
          </cell>
          <cell r="AB214">
            <v>1450</v>
          </cell>
          <cell r="AC214">
            <v>3</v>
          </cell>
          <cell r="AD214" t="str">
            <v>3ｲﾝﾁABS</v>
          </cell>
          <cell r="AE214">
            <v>525</v>
          </cell>
          <cell r="AO214" t="str">
            <v>3UNCERAMFAS100</v>
          </cell>
        </row>
        <row r="215">
          <cell r="G215" t="str">
            <v>3TNCERAMFAS</v>
          </cell>
          <cell r="H215" t="str">
            <v>T</v>
          </cell>
          <cell r="I215" t="str">
            <v>N</v>
          </cell>
          <cell r="J215" t="str">
            <v>CERA</v>
          </cell>
          <cell r="K215" t="str">
            <v>MFAS</v>
          </cell>
          <cell r="L215" t="str">
            <v>セラピール　ＭＦＡ（Ｓ）</v>
          </cell>
          <cell r="M215" t="str">
            <v>3TNCERAMFAS1881230</v>
          </cell>
          <cell r="N215" t="str">
            <v>3TNCERAMFAS188360</v>
          </cell>
          <cell r="O215">
            <v>188</v>
          </cell>
          <cell r="P215">
            <v>3</v>
          </cell>
          <cell r="Q215" t="str">
            <v>S28M</v>
          </cell>
          <cell r="R215">
            <v>1230</v>
          </cell>
          <cell r="S215">
            <v>1800</v>
          </cell>
          <cell r="T215">
            <v>360</v>
          </cell>
          <cell r="U215">
            <v>360</v>
          </cell>
          <cell r="V215">
            <v>250</v>
          </cell>
          <cell r="W215">
            <v>2</v>
          </cell>
          <cell r="X215" t="str">
            <v>CF2</v>
          </cell>
          <cell r="Y215" t="str">
            <v>SL-1</v>
          </cell>
          <cell r="Z215">
            <v>6</v>
          </cell>
          <cell r="AA215" t="str">
            <v>6ｲﾝﾁFWP</v>
          </cell>
          <cell r="AB215">
            <v>1450</v>
          </cell>
          <cell r="AC215">
            <v>3</v>
          </cell>
          <cell r="AD215" t="str">
            <v>3ｲﾝﾁABS</v>
          </cell>
          <cell r="AE215">
            <v>400</v>
          </cell>
          <cell r="AO215" t="str">
            <v>3TNCERAMFAS188</v>
          </cell>
        </row>
        <row r="216">
          <cell r="G216" t="str">
            <v>3TNCERAMFAS</v>
          </cell>
          <cell r="H216" t="str">
            <v>T</v>
          </cell>
          <cell r="I216" t="str">
            <v>N</v>
          </cell>
          <cell r="J216" t="str">
            <v>CERA</v>
          </cell>
          <cell r="K216" t="str">
            <v>MFAS</v>
          </cell>
          <cell r="L216" t="str">
            <v>セラピール　ＭＦＡ（Ｓ）</v>
          </cell>
          <cell r="M216" t="str">
            <v>3TNCERAMFAS1881230</v>
          </cell>
          <cell r="N216" t="str">
            <v>3TNCERAMFAS188290</v>
          </cell>
          <cell r="O216">
            <v>188</v>
          </cell>
          <cell r="P216">
            <v>3</v>
          </cell>
          <cell r="Q216" t="str">
            <v>S28M</v>
          </cell>
          <cell r="R216">
            <v>1230</v>
          </cell>
          <cell r="S216">
            <v>1800</v>
          </cell>
          <cell r="T216">
            <v>290</v>
          </cell>
          <cell r="U216">
            <v>290</v>
          </cell>
          <cell r="V216">
            <v>250</v>
          </cell>
          <cell r="W216">
            <v>2</v>
          </cell>
          <cell r="X216" t="str">
            <v>CF2</v>
          </cell>
          <cell r="Y216" t="str">
            <v>SL-1</v>
          </cell>
          <cell r="Z216">
            <v>6</v>
          </cell>
          <cell r="AA216" t="str">
            <v>6ｲﾝﾁFWP</v>
          </cell>
          <cell r="AB216">
            <v>1450</v>
          </cell>
          <cell r="AC216">
            <v>3</v>
          </cell>
          <cell r="AD216" t="str">
            <v>3ｲﾝﾁABS</v>
          </cell>
          <cell r="AE216">
            <v>400</v>
          </cell>
          <cell r="AO216" t="str">
            <v>3TNCERAMFAS188</v>
          </cell>
        </row>
        <row r="217">
          <cell r="G217" t="str">
            <v>3UNCERAMFAS</v>
          </cell>
          <cell r="H217" t="str">
            <v>U</v>
          </cell>
          <cell r="I217" t="str">
            <v>N</v>
          </cell>
          <cell r="J217" t="str">
            <v>CERA</v>
          </cell>
          <cell r="K217" t="str">
            <v>MFAS</v>
          </cell>
          <cell r="L217" t="str">
            <v>セラピール　ＭＦＡ（Ｓ）</v>
          </cell>
          <cell r="M217" t="str">
            <v>3UNCERAMFAS1881134</v>
          </cell>
          <cell r="N217" t="str">
            <v>3UNCERAMFAS188500</v>
          </cell>
          <cell r="O217">
            <v>188</v>
          </cell>
          <cell r="P217">
            <v>3</v>
          </cell>
          <cell r="Q217" t="str">
            <v>S28M</v>
          </cell>
          <cell r="R217">
            <v>1134</v>
          </cell>
          <cell r="S217">
            <v>1800</v>
          </cell>
          <cell r="T217">
            <v>500</v>
          </cell>
          <cell r="U217">
            <v>500</v>
          </cell>
          <cell r="V217">
            <v>400</v>
          </cell>
          <cell r="W217">
            <v>2</v>
          </cell>
          <cell r="X217" t="str">
            <v>CF2</v>
          </cell>
          <cell r="Y217" t="str">
            <v>SL-1</v>
          </cell>
          <cell r="Z217">
            <v>6</v>
          </cell>
          <cell r="AA217" t="str">
            <v>6ｲﾝﾁFWP</v>
          </cell>
          <cell r="AB217">
            <v>1450</v>
          </cell>
          <cell r="AO217" t="str">
            <v>3UNCERAMFAS188</v>
          </cell>
        </row>
        <row r="218">
          <cell r="G218" t="str">
            <v>3UNCERAMFAS</v>
          </cell>
          <cell r="H218" t="str">
            <v>U</v>
          </cell>
          <cell r="I218" t="str">
            <v>N</v>
          </cell>
          <cell r="J218" t="str">
            <v>CERA</v>
          </cell>
          <cell r="K218" t="str">
            <v>MFAS</v>
          </cell>
          <cell r="L218" t="str">
            <v>セラピール　ＭＦＡ（Ｓ）</v>
          </cell>
          <cell r="M218" t="str">
            <v>3UNCERAMFAS1881134</v>
          </cell>
          <cell r="N218" t="str">
            <v>3UNCERAMFAS188500</v>
          </cell>
          <cell r="O218">
            <v>188</v>
          </cell>
          <cell r="P218">
            <v>3</v>
          </cell>
          <cell r="Q218" t="str">
            <v>S28M</v>
          </cell>
          <cell r="R218">
            <v>1134</v>
          </cell>
          <cell r="S218">
            <v>1800</v>
          </cell>
          <cell r="T218">
            <v>500</v>
          </cell>
          <cell r="U218">
            <v>500</v>
          </cell>
          <cell r="V218">
            <v>300</v>
          </cell>
          <cell r="W218">
            <v>2</v>
          </cell>
          <cell r="X218" t="str">
            <v>CF2</v>
          </cell>
          <cell r="Y218" t="str">
            <v>SL-1</v>
          </cell>
          <cell r="Z218">
            <v>6</v>
          </cell>
          <cell r="AA218" t="str">
            <v>6ｲﾝﾁFWP</v>
          </cell>
          <cell r="AB218">
            <v>1450</v>
          </cell>
          <cell r="AO218" t="str">
            <v>3UNCERAMFAS188</v>
          </cell>
        </row>
        <row r="219">
          <cell r="G219" t="str">
            <v>3UNCERAMFAS</v>
          </cell>
          <cell r="H219" t="str">
            <v>U</v>
          </cell>
          <cell r="I219" t="str">
            <v>N</v>
          </cell>
          <cell r="J219" t="str">
            <v>CERA</v>
          </cell>
          <cell r="K219" t="str">
            <v>MFAS</v>
          </cell>
          <cell r="L219" t="str">
            <v>セラピール　ＭＦＡ（Ｓ）</v>
          </cell>
          <cell r="M219" t="str">
            <v>3UNCERAMFAS1881134</v>
          </cell>
          <cell r="N219" t="str">
            <v>3UNCERAMFAS188500</v>
          </cell>
          <cell r="O219">
            <v>188</v>
          </cell>
          <cell r="P219">
            <v>3</v>
          </cell>
          <cell r="Q219" t="str">
            <v>S28M</v>
          </cell>
          <cell r="R219">
            <v>1134</v>
          </cell>
          <cell r="S219">
            <v>1800</v>
          </cell>
          <cell r="T219">
            <v>500</v>
          </cell>
          <cell r="U219">
            <v>500</v>
          </cell>
          <cell r="V219">
            <v>200</v>
          </cell>
          <cell r="W219">
            <v>2</v>
          </cell>
          <cell r="X219" t="str">
            <v>CF2</v>
          </cell>
          <cell r="Y219" t="str">
            <v>SL-1</v>
          </cell>
          <cell r="Z219">
            <v>6</v>
          </cell>
          <cell r="AA219" t="str">
            <v>6ｲﾝﾁFWP</v>
          </cell>
          <cell r="AB219">
            <v>1450</v>
          </cell>
          <cell r="AO219" t="str">
            <v>3UNCERAMFAS188</v>
          </cell>
        </row>
        <row r="220">
          <cell r="G220" t="str">
            <v>3UNCERAMFAX</v>
          </cell>
          <cell r="H220" t="str">
            <v>U</v>
          </cell>
          <cell r="I220" t="str">
            <v>N</v>
          </cell>
          <cell r="J220" t="str">
            <v>CERA</v>
          </cell>
          <cell r="K220" t="str">
            <v>MFAX</v>
          </cell>
          <cell r="L220" t="str">
            <v>セラピール　ＭＦＡ（X）</v>
          </cell>
          <cell r="M220" t="str">
            <v>3UNCERAMFAX501110</v>
          </cell>
          <cell r="N220" t="str">
            <v>3UNCERAMFAX501100</v>
          </cell>
          <cell r="O220">
            <v>50</v>
          </cell>
          <cell r="P220">
            <v>3</v>
          </cell>
          <cell r="Q220" t="str">
            <v>XD500P</v>
          </cell>
          <cell r="R220">
            <v>1110</v>
          </cell>
          <cell r="S220">
            <v>2200</v>
          </cell>
          <cell r="T220">
            <v>1100</v>
          </cell>
          <cell r="U220">
            <v>1100</v>
          </cell>
          <cell r="V220">
            <v>1200</v>
          </cell>
          <cell r="W220">
            <v>2</v>
          </cell>
          <cell r="X220" t="str">
            <v>CF2</v>
          </cell>
          <cell r="Y220" t="str">
            <v>直出し</v>
          </cell>
          <cell r="Z220">
            <v>6</v>
          </cell>
          <cell r="AA220" t="str">
            <v>6ｲﾝﾁABS</v>
          </cell>
          <cell r="AB220">
            <v>1170</v>
          </cell>
          <cell r="AO220" t="str">
            <v>3UNCERAMFAX50</v>
          </cell>
        </row>
        <row r="221">
          <cell r="G221" t="str">
            <v>3UNCERAMFA01</v>
          </cell>
          <cell r="H221" t="str">
            <v>U</v>
          </cell>
          <cell r="I221" t="str">
            <v>N</v>
          </cell>
          <cell r="J221" t="str">
            <v>CERA</v>
          </cell>
          <cell r="K221" t="str">
            <v>MFA01</v>
          </cell>
          <cell r="L221" t="str">
            <v>セラピール　ＭＦＡ（０１）</v>
          </cell>
          <cell r="M221" t="str">
            <v>3UNCERAMFA01381110</v>
          </cell>
          <cell r="N221" t="str">
            <v>3UNCERAMFA0138305</v>
          </cell>
          <cell r="O221">
            <v>38</v>
          </cell>
          <cell r="P221">
            <v>3</v>
          </cell>
          <cell r="Q221" t="str">
            <v>R80</v>
          </cell>
          <cell r="R221">
            <v>1110</v>
          </cell>
          <cell r="S221">
            <v>4500</v>
          </cell>
          <cell r="T221">
            <v>305</v>
          </cell>
          <cell r="U221">
            <v>305</v>
          </cell>
          <cell r="V221">
            <v>300</v>
          </cell>
          <cell r="W221">
            <v>2</v>
          </cell>
          <cell r="X221" t="str">
            <v>CF2</v>
          </cell>
          <cell r="Y221" t="str">
            <v>SL-1</v>
          </cell>
          <cell r="Z221">
            <v>6</v>
          </cell>
          <cell r="AA221" t="str">
            <v>6ｲﾝﾁFWP</v>
          </cell>
          <cell r="AB221">
            <v>1450</v>
          </cell>
          <cell r="AC221">
            <v>3</v>
          </cell>
          <cell r="AD221" t="str">
            <v>3ｲﾝﾁABS</v>
          </cell>
          <cell r="AE221">
            <v>315</v>
          </cell>
          <cell r="AO221" t="str">
            <v>3UNCERAMFA0138</v>
          </cell>
        </row>
        <row r="222">
          <cell r="G222" t="str">
            <v>3UYCERAMFA01</v>
          </cell>
          <cell r="H222" t="str">
            <v>U</v>
          </cell>
          <cell r="I222" t="str">
            <v>Y</v>
          </cell>
          <cell r="J222" t="str">
            <v>CERA</v>
          </cell>
          <cell r="K222" t="str">
            <v>MFA01</v>
          </cell>
          <cell r="L222" t="str">
            <v>セラピール　ＭＦＡ（０１）</v>
          </cell>
          <cell r="M222" t="str">
            <v>3UYCERAMFA01381100</v>
          </cell>
          <cell r="N222" t="str">
            <v>3UYCERAMFA0138115</v>
          </cell>
          <cell r="O222">
            <v>38</v>
          </cell>
          <cell r="P222">
            <v>3</v>
          </cell>
          <cell r="Q222" t="str">
            <v>R80G</v>
          </cell>
          <cell r="R222">
            <v>1100</v>
          </cell>
          <cell r="S222">
            <v>7650</v>
          </cell>
          <cell r="T222">
            <v>115</v>
          </cell>
          <cell r="U222">
            <v>115</v>
          </cell>
          <cell r="V222">
            <v>300</v>
          </cell>
          <cell r="W222">
            <v>1</v>
          </cell>
          <cell r="X222" t="str">
            <v>CF2</v>
          </cell>
          <cell r="Y222" t="str">
            <v>SL-1</v>
          </cell>
          <cell r="Z222">
            <v>6</v>
          </cell>
          <cell r="AA222" t="str">
            <v>6ｲﾝﾁFWP</v>
          </cell>
          <cell r="AB222">
            <v>1450</v>
          </cell>
          <cell r="AC222">
            <v>3</v>
          </cell>
          <cell r="AD222" t="str">
            <v>3ｲﾝﾁABS</v>
          </cell>
          <cell r="AE222">
            <v>125</v>
          </cell>
          <cell r="AO222" t="str">
            <v>3UYCERAMFA0138</v>
          </cell>
        </row>
        <row r="223">
          <cell r="G223" t="str">
            <v>3UYCERAMFA01</v>
          </cell>
          <cell r="H223" t="str">
            <v>U</v>
          </cell>
          <cell r="I223" t="str">
            <v>Y</v>
          </cell>
          <cell r="J223" t="str">
            <v>CERA</v>
          </cell>
          <cell r="K223" t="str">
            <v>MFA01</v>
          </cell>
          <cell r="L223" t="str">
            <v>セラピール　ＭＦＡ（０１）</v>
          </cell>
          <cell r="M223" t="str">
            <v>3UYCERAMFA01381100</v>
          </cell>
          <cell r="N223" t="str">
            <v>3UYCERAMFA0138220</v>
          </cell>
          <cell r="O223">
            <v>38</v>
          </cell>
          <cell r="P223">
            <v>3</v>
          </cell>
          <cell r="Q223" t="str">
            <v>R80G</v>
          </cell>
          <cell r="R223">
            <v>1100</v>
          </cell>
          <cell r="S223">
            <v>7650</v>
          </cell>
          <cell r="T223">
            <v>220</v>
          </cell>
          <cell r="U223">
            <v>220</v>
          </cell>
          <cell r="V223">
            <v>300</v>
          </cell>
          <cell r="W223">
            <v>1</v>
          </cell>
          <cell r="X223" t="str">
            <v>CF2</v>
          </cell>
          <cell r="Y223" t="str">
            <v>SL-1</v>
          </cell>
          <cell r="Z223">
            <v>6</v>
          </cell>
          <cell r="AA223" t="str">
            <v>6ｲﾝﾁFWP</v>
          </cell>
          <cell r="AB223">
            <v>1450</v>
          </cell>
          <cell r="AC223">
            <v>3</v>
          </cell>
          <cell r="AD223" t="str">
            <v>3ｲﾝﾁABS</v>
          </cell>
          <cell r="AE223">
            <v>224</v>
          </cell>
          <cell r="AO223" t="str">
            <v>3UYCERAMFA0138</v>
          </cell>
        </row>
        <row r="224">
          <cell r="G224" t="str">
            <v>3UNCERAMFA45</v>
          </cell>
          <cell r="H224" t="str">
            <v>U</v>
          </cell>
          <cell r="I224" t="str">
            <v>N</v>
          </cell>
          <cell r="J224" t="str">
            <v>CERA</v>
          </cell>
          <cell r="K224" t="str">
            <v>MFA45</v>
          </cell>
          <cell r="L224" t="str">
            <v>セラピール　ＭＦＡ（４５）</v>
          </cell>
          <cell r="M224" t="str">
            <v>3UNCERAMFA45501640</v>
          </cell>
          <cell r="N224" t="str">
            <v>3UNCERAMFA4550250</v>
          </cell>
          <cell r="O224">
            <v>50</v>
          </cell>
          <cell r="P224">
            <v>3</v>
          </cell>
          <cell r="Q224" t="str">
            <v>QZ52</v>
          </cell>
          <cell r="R224">
            <v>1640</v>
          </cell>
          <cell r="S224">
            <v>2200</v>
          </cell>
          <cell r="T224">
            <v>250</v>
          </cell>
          <cell r="U224">
            <v>250</v>
          </cell>
          <cell r="V224">
            <v>1000</v>
          </cell>
          <cell r="W224">
            <v>2</v>
          </cell>
          <cell r="X224" t="str">
            <v>CF2</v>
          </cell>
          <cell r="Y224" t="str">
            <v>SL-1</v>
          </cell>
          <cell r="Z224">
            <v>6</v>
          </cell>
          <cell r="AA224" t="str">
            <v>6ｲﾝﾁFWP</v>
          </cell>
          <cell r="AB224">
            <v>1700</v>
          </cell>
          <cell r="AO224" t="str">
            <v>3UNCERAMFA4550</v>
          </cell>
        </row>
        <row r="225">
          <cell r="G225" t="str">
            <v>3UYCERAMFA45</v>
          </cell>
          <cell r="H225" t="str">
            <v>U</v>
          </cell>
          <cell r="I225" t="str">
            <v>Y</v>
          </cell>
          <cell r="J225" t="str">
            <v>CERA</v>
          </cell>
          <cell r="K225" t="str">
            <v>MFA45</v>
          </cell>
          <cell r="L225" t="str">
            <v>セラピール　ＭＦＡ（４５）</v>
          </cell>
          <cell r="M225" t="str">
            <v>3UYCERAMFA45501640</v>
          </cell>
          <cell r="N225" t="str">
            <v>3UYCERAMFA4550115</v>
          </cell>
          <cell r="O225">
            <v>50</v>
          </cell>
          <cell r="P225">
            <v>3</v>
          </cell>
          <cell r="Q225" t="str">
            <v>QZ52</v>
          </cell>
          <cell r="R225">
            <v>1640</v>
          </cell>
          <cell r="S225">
            <v>2200</v>
          </cell>
          <cell r="T225">
            <v>115</v>
          </cell>
          <cell r="U225">
            <v>115</v>
          </cell>
          <cell r="V225">
            <v>300</v>
          </cell>
          <cell r="W225">
            <v>1</v>
          </cell>
          <cell r="X225" t="str">
            <v>CF2</v>
          </cell>
          <cell r="Y225" t="str">
            <v>SL-1</v>
          </cell>
          <cell r="Z225">
            <v>6</v>
          </cell>
          <cell r="AA225" t="str">
            <v>6ｲﾝﾁFWP</v>
          </cell>
          <cell r="AB225">
            <v>1700</v>
          </cell>
          <cell r="AC225">
            <v>3</v>
          </cell>
          <cell r="AD225" t="str">
            <v>3ｲﾝﾁABS</v>
          </cell>
          <cell r="AE225">
            <v>125</v>
          </cell>
          <cell r="AO225" t="str">
            <v>3UYCERAMFA4550</v>
          </cell>
        </row>
        <row r="226">
          <cell r="G226" t="str">
            <v>3UNCERAMFA46</v>
          </cell>
          <cell r="H226" t="str">
            <v>U</v>
          </cell>
          <cell r="I226" t="str">
            <v>N</v>
          </cell>
          <cell r="J226" t="str">
            <v>CERA</v>
          </cell>
          <cell r="K226" t="str">
            <v>MFA46</v>
          </cell>
          <cell r="L226" t="str">
            <v>セラピール　ＭＦＡ（４６）</v>
          </cell>
          <cell r="M226" t="str">
            <v>3UNCERAMFA46501450</v>
          </cell>
          <cell r="N226" t="str">
            <v>3UNCERAMFA4650490</v>
          </cell>
          <cell r="O226">
            <v>50</v>
          </cell>
          <cell r="P226">
            <v>3</v>
          </cell>
          <cell r="Q226" t="str">
            <v>T83</v>
          </cell>
          <cell r="R226">
            <v>1450</v>
          </cell>
          <cell r="S226">
            <v>5000</v>
          </cell>
          <cell r="T226">
            <v>490</v>
          </cell>
          <cell r="U226">
            <v>490</v>
          </cell>
          <cell r="V226">
            <v>1000</v>
          </cell>
          <cell r="W226">
            <v>2</v>
          </cell>
          <cell r="X226" t="str">
            <v>CF2</v>
          </cell>
          <cell r="Y226" t="str">
            <v>SL-1</v>
          </cell>
          <cell r="Z226">
            <v>6</v>
          </cell>
          <cell r="AO226" t="str">
            <v>3UNCERAMFA4650</v>
          </cell>
        </row>
        <row r="227">
          <cell r="G227" t="str">
            <v>3UNCERAMFA09</v>
          </cell>
          <cell r="H227" t="str">
            <v>U</v>
          </cell>
          <cell r="I227" t="str">
            <v>N</v>
          </cell>
          <cell r="J227" t="str">
            <v>CERA</v>
          </cell>
          <cell r="K227" t="str">
            <v>MFA09</v>
          </cell>
          <cell r="L227" t="str">
            <v>セラピール　ＭＦＡ（０９）</v>
          </cell>
          <cell r="M227" t="str">
            <v>3UNCERAMFA09751200</v>
          </cell>
          <cell r="N227" t="str">
            <v>3UNCERAMFA09751190</v>
          </cell>
          <cell r="O227">
            <v>75</v>
          </cell>
          <cell r="P227">
            <v>3</v>
          </cell>
          <cell r="Q227" t="str">
            <v>XD500P</v>
          </cell>
          <cell r="R227">
            <v>1200</v>
          </cell>
          <cell r="S227">
            <v>4500</v>
          </cell>
          <cell r="T227">
            <v>1190</v>
          </cell>
          <cell r="U227">
            <v>1190</v>
          </cell>
          <cell r="V227">
            <v>4000</v>
          </cell>
          <cell r="W227">
            <v>2</v>
          </cell>
          <cell r="X227" t="str">
            <v>CF2</v>
          </cell>
          <cell r="Y227" t="str">
            <v>直出し</v>
          </cell>
          <cell r="Z227">
            <v>6</v>
          </cell>
          <cell r="AA227" t="str">
            <v>6ｲﾝﾁFWP</v>
          </cell>
          <cell r="AO227" t="str">
            <v>3UNCERAMFA0975</v>
          </cell>
        </row>
        <row r="228">
          <cell r="G228" t="str">
            <v>3UNCERAMFA14</v>
          </cell>
          <cell r="H228" t="str">
            <v>U</v>
          </cell>
          <cell r="I228" t="str">
            <v>N</v>
          </cell>
          <cell r="J228" t="str">
            <v>CERA</v>
          </cell>
          <cell r="K228" t="str">
            <v>MFA14</v>
          </cell>
          <cell r="L228" t="str">
            <v>セラピール　ＭＦＡ（１４）</v>
          </cell>
          <cell r="M228" t="str">
            <v>3UNCERAMFA14381415</v>
          </cell>
          <cell r="N228" t="str">
            <v>3UNCERAMFA14381020</v>
          </cell>
          <cell r="O228">
            <v>38</v>
          </cell>
          <cell r="P228">
            <v>3</v>
          </cell>
          <cell r="Q228" t="str">
            <v>S28</v>
          </cell>
          <cell r="R228">
            <v>1415</v>
          </cell>
          <cell r="S228">
            <v>8000</v>
          </cell>
          <cell r="T228">
            <v>1020</v>
          </cell>
          <cell r="U228">
            <v>1020</v>
          </cell>
          <cell r="V228">
            <v>4100</v>
          </cell>
          <cell r="W228">
            <v>2</v>
          </cell>
          <cell r="X228" t="str">
            <v>CF2</v>
          </cell>
          <cell r="Y228" t="str">
            <v>SL-1</v>
          </cell>
          <cell r="Z228">
            <v>6</v>
          </cell>
          <cell r="AA228" t="str">
            <v>6ｲﾝﾁFWP</v>
          </cell>
          <cell r="AB228">
            <v>1450</v>
          </cell>
          <cell r="AC228">
            <v>6</v>
          </cell>
          <cell r="AD228" t="str">
            <v>6ｲﾝﾁFWP</v>
          </cell>
          <cell r="AE228">
            <v>1100</v>
          </cell>
          <cell r="AO228" t="str">
            <v>3UNCERAMFA1438</v>
          </cell>
        </row>
        <row r="229">
          <cell r="G229" t="str">
            <v>3UNCERAMFA14</v>
          </cell>
          <cell r="H229" t="str">
            <v>U</v>
          </cell>
          <cell r="I229" t="str">
            <v>N</v>
          </cell>
          <cell r="J229" t="str">
            <v>CERA</v>
          </cell>
          <cell r="K229" t="str">
            <v>MFA14</v>
          </cell>
          <cell r="L229" t="str">
            <v>セラピール　ＭＦＡ（１４）</v>
          </cell>
          <cell r="M229" t="str">
            <v>3UNCERAMFA14751310</v>
          </cell>
          <cell r="N229" t="str">
            <v>3UNCERAMFA14751130</v>
          </cell>
          <cell r="O229">
            <v>75</v>
          </cell>
          <cell r="P229">
            <v>3</v>
          </cell>
          <cell r="Q229" t="str">
            <v>S28</v>
          </cell>
          <cell r="R229">
            <v>1310</v>
          </cell>
          <cell r="S229">
            <v>4500</v>
          </cell>
          <cell r="T229">
            <v>1130</v>
          </cell>
          <cell r="U229">
            <v>1130</v>
          </cell>
          <cell r="V229">
            <v>4300</v>
          </cell>
          <cell r="W229">
            <v>2</v>
          </cell>
          <cell r="X229" t="str">
            <v>CF2</v>
          </cell>
          <cell r="Y229" t="str">
            <v>SL-1</v>
          </cell>
          <cell r="Z229">
            <v>6</v>
          </cell>
          <cell r="AA229" t="str">
            <v>6ｲﾝﾁFWP</v>
          </cell>
          <cell r="AB229">
            <v>1450</v>
          </cell>
          <cell r="AC229">
            <v>6</v>
          </cell>
          <cell r="AD229" t="str">
            <v>6ｲﾝﾁABS</v>
          </cell>
          <cell r="AE229">
            <v>1350</v>
          </cell>
          <cell r="AO229" t="str">
            <v>3UNCERAMFA1475</v>
          </cell>
        </row>
        <row r="230">
          <cell r="G230" t="str">
            <v>3UNCERAJMFAJ</v>
          </cell>
          <cell r="H230" t="str">
            <v>U</v>
          </cell>
          <cell r="I230" t="str">
            <v>N</v>
          </cell>
          <cell r="J230" t="str">
            <v>CERA</v>
          </cell>
          <cell r="K230" t="str">
            <v>JMFAJ</v>
          </cell>
          <cell r="L230" t="str">
            <v>セラピール　ＪＭＦＡ（Ｊ）</v>
          </cell>
          <cell r="M230" t="str">
            <v>3UNCERAJMFAJ381340</v>
          </cell>
          <cell r="N230" t="str">
            <v>3UNCERAJMFAJ38400</v>
          </cell>
          <cell r="O230">
            <v>38</v>
          </cell>
          <cell r="P230">
            <v>3</v>
          </cell>
          <cell r="Q230" t="str">
            <v>RP43</v>
          </cell>
          <cell r="R230">
            <v>1340</v>
          </cell>
          <cell r="S230">
            <v>3900</v>
          </cell>
          <cell r="T230">
            <v>400</v>
          </cell>
          <cell r="U230">
            <v>400</v>
          </cell>
          <cell r="V230">
            <v>500</v>
          </cell>
          <cell r="W230">
            <v>2</v>
          </cell>
          <cell r="X230" t="str">
            <v>CF2</v>
          </cell>
          <cell r="Y230" t="str">
            <v>SL-1</v>
          </cell>
          <cell r="Z230">
            <v>6</v>
          </cell>
          <cell r="AA230" t="str">
            <v>6ｲﾝﾁFWP</v>
          </cell>
          <cell r="AB230">
            <v>1450</v>
          </cell>
          <cell r="AC230">
            <v>3</v>
          </cell>
          <cell r="AD230" t="str">
            <v>3ｲﾝﾁABS</v>
          </cell>
          <cell r="AE230">
            <v>500</v>
          </cell>
          <cell r="AO230" t="str">
            <v>3UNCERAJMFAJ38</v>
          </cell>
        </row>
        <row r="231">
          <cell r="G231" t="str">
            <v>3UNCERAJMFAJ</v>
          </cell>
          <cell r="H231" t="str">
            <v>U</v>
          </cell>
          <cell r="I231" t="str">
            <v>N</v>
          </cell>
          <cell r="J231" t="str">
            <v>CERA</v>
          </cell>
          <cell r="K231" t="str">
            <v>JMFAJ</v>
          </cell>
          <cell r="L231" t="str">
            <v>セラピール　ＪＭＦＡ（Ｊ）</v>
          </cell>
          <cell r="M231" t="str">
            <v>3UNCERAJMFAJ381340</v>
          </cell>
          <cell r="N231" t="str">
            <v>3UNCERAJMFAJ38400</v>
          </cell>
          <cell r="O231">
            <v>38</v>
          </cell>
          <cell r="P231">
            <v>3</v>
          </cell>
          <cell r="Q231" t="str">
            <v>RP43</v>
          </cell>
          <cell r="R231">
            <v>1340</v>
          </cell>
          <cell r="S231">
            <v>12100</v>
          </cell>
          <cell r="T231">
            <v>400</v>
          </cell>
          <cell r="U231">
            <v>400</v>
          </cell>
          <cell r="V231">
            <v>500</v>
          </cell>
          <cell r="W231">
            <v>1</v>
          </cell>
          <cell r="X231" t="str">
            <v>CF2</v>
          </cell>
          <cell r="Y231" t="str">
            <v>SL-1</v>
          </cell>
          <cell r="Z231">
            <v>6</v>
          </cell>
          <cell r="AA231" t="str">
            <v>6ｲﾝﾁFWP</v>
          </cell>
          <cell r="AB231">
            <v>1450</v>
          </cell>
          <cell r="AC231">
            <v>3</v>
          </cell>
          <cell r="AD231" t="str">
            <v>3ｲﾝﾁABS</v>
          </cell>
          <cell r="AE231">
            <v>450</v>
          </cell>
          <cell r="AO231" t="str">
            <v>3UNCERAJMFAJ38</v>
          </cell>
        </row>
        <row r="232">
          <cell r="G232" t="str">
            <v>3UNCERAJTKA07J</v>
          </cell>
          <cell r="H232" t="str">
            <v>U</v>
          </cell>
          <cell r="I232" t="str">
            <v>N</v>
          </cell>
          <cell r="J232" t="str">
            <v>CERA</v>
          </cell>
          <cell r="K232" t="str">
            <v>JTKA07J</v>
          </cell>
          <cell r="L232" t="str">
            <v>セラピール　ＪＴＫＡ０７（Ｊ）</v>
          </cell>
          <cell r="M232" t="str">
            <v>3UNCERAJTKA07J381340</v>
          </cell>
          <cell r="N232" t="str">
            <v>3UNCERAJTKA07J38400</v>
          </cell>
          <cell r="O232">
            <v>38</v>
          </cell>
          <cell r="P232">
            <v>3</v>
          </cell>
          <cell r="Q232" t="str">
            <v>RP43</v>
          </cell>
          <cell r="R232">
            <v>1340</v>
          </cell>
          <cell r="S232">
            <v>3900</v>
          </cell>
          <cell r="T232">
            <v>400</v>
          </cell>
          <cell r="U232">
            <v>400</v>
          </cell>
          <cell r="V232">
            <v>500</v>
          </cell>
          <cell r="W232">
            <v>2</v>
          </cell>
          <cell r="X232" t="str">
            <v>CF2</v>
          </cell>
          <cell r="Y232" t="str">
            <v>SL-1</v>
          </cell>
          <cell r="Z232">
            <v>6</v>
          </cell>
          <cell r="AA232" t="str">
            <v>6ｲﾝﾁFWP</v>
          </cell>
          <cell r="AB232">
            <v>1450</v>
          </cell>
          <cell r="AC232">
            <v>3</v>
          </cell>
          <cell r="AD232" t="str">
            <v>3ｲﾝﾁABS</v>
          </cell>
          <cell r="AE232">
            <v>500</v>
          </cell>
          <cell r="AO232" t="str">
            <v>3UNCERAJTKA07J38</v>
          </cell>
        </row>
        <row r="233">
          <cell r="G233" t="str">
            <v>3UNCERAJTKA07H</v>
          </cell>
          <cell r="H233" t="str">
            <v>U</v>
          </cell>
          <cell r="I233" t="str">
            <v>N</v>
          </cell>
          <cell r="J233" t="str">
            <v>CERA</v>
          </cell>
          <cell r="K233" t="str">
            <v>JTKA07H</v>
          </cell>
          <cell r="L233" t="str">
            <v>セラピール　ＪＴＫＡ０７（Ｈ）</v>
          </cell>
          <cell r="M233" t="str">
            <v>3UNCERAJTKA07H381326</v>
          </cell>
          <cell r="N233" t="str">
            <v>3UNCERAJTKA07H38400</v>
          </cell>
          <cell r="O233">
            <v>38</v>
          </cell>
          <cell r="P233">
            <v>3</v>
          </cell>
          <cell r="Q233" t="str">
            <v>QZ68</v>
          </cell>
          <cell r="R233">
            <v>1326</v>
          </cell>
          <cell r="S233">
            <v>12200</v>
          </cell>
          <cell r="T233">
            <v>400</v>
          </cell>
          <cell r="U233">
            <v>400</v>
          </cell>
          <cell r="V233">
            <v>500</v>
          </cell>
          <cell r="W233">
            <v>2</v>
          </cell>
          <cell r="X233" t="str">
            <v>CF2</v>
          </cell>
          <cell r="Y233" t="str">
            <v>SL-1</v>
          </cell>
          <cell r="Z233">
            <v>6</v>
          </cell>
          <cell r="AA233" t="str">
            <v>6ｲﾝﾁFWP</v>
          </cell>
          <cell r="AB233">
            <v>1450</v>
          </cell>
          <cell r="AC233">
            <v>3</v>
          </cell>
          <cell r="AD233" t="str">
            <v>3ｲﾝﾁABS</v>
          </cell>
          <cell r="AE233">
            <v>450</v>
          </cell>
          <cell r="AO233" t="str">
            <v>3UNCERAJTKA07H38</v>
          </cell>
        </row>
        <row r="234">
          <cell r="G234" t="str">
            <v>3UNCERAWZ34</v>
          </cell>
          <cell r="H234" t="str">
            <v>U</v>
          </cell>
          <cell r="I234" t="str">
            <v>N</v>
          </cell>
          <cell r="J234" t="str">
            <v>CERA</v>
          </cell>
          <cell r="K234" t="str">
            <v>WZ34</v>
          </cell>
          <cell r="L234" t="str">
            <v>セラピール　ＷＺ（34）</v>
          </cell>
          <cell r="M234" t="str">
            <v>3UNCERAWZ3425E1420</v>
          </cell>
          <cell r="N234" t="str">
            <v>3UNCERAWZ3425E1410</v>
          </cell>
          <cell r="O234" t="str">
            <v>25E</v>
          </cell>
          <cell r="P234">
            <v>3</v>
          </cell>
          <cell r="Q234" t="str">
            <v>S105</v>
          </cell>
          <cell r="R234">
            <v>1420</v>
          </cell>
          <cell r="S234">
            <v>12700</v>
          </cell>
          <cell r="T234">
            <v>1410</v>
          </cell>
          <cell r="U234">
            <v>1410</v>
          </cell>
          <cell r="V234">
            <v>6000</v>
          </cell>
          <cell r="W234">
            <v>1</v>
          </cell>
          <cell r="X234" t="str">
            <v>CF2</v>
          </cell>
          <cell r="Y234" t="str">
            <v>半直</v>
          </cell>
          <cell r="Z234">
            <v>6</v>
          </cell>
          <cell r="AA234" t="str">
            <v>6ｲﾝﾁFWP</v>
          </cell>
          <cell r="AB234">
            <v>1600</v>
          </cell>
          <cell r="AO234" t="str">
            <v>3UNCERAWZ3425E</v>
          </cell>
        </row>
        <row r="235">
          <cell r="G235" t="str">
            <v>3TNCERAWZ34</v>
          </cell>
          <cell r="H235" t="str">
            <v>T</v>
          </cell>
          <cell r="I235" t="str">
            <v>N</v>
          </cell>
          <cell r="J235" t="str">
            <v>CERA</v>
          </cell>
          <cell r="K235" t="str">
            <v>WZ34</v>
          </cell>
          <cell r="L235" t="str">
            <v>セラピール　ＷＺ（34）</v>
          </cell>
          <cell r="M235" t="str">
            <v>3TNCERAWZ3425E1420</v>
          </cell>
          <cell r="N235" t="str">
            <v>3TNCERAWZ3425E1410</v>
          </cell>
          <cell r="O235" t="str">
            <v>25E</v>
          </cell>
          <cell r="P235">
            <v>3</v>
          </cell>
          <cell r="Q235" t="str">
            <v>S105</v>
          </cell>
          <cell r="R235">
            <v>1420</v>
          </cell>
          <cell r="S235">
            <v>12700</v>
          </cell>
          <cell r="T235">
            <v>1410</v>
          </cell>
          <cell r="U235">
            <v>1410</v>
          </cell>
          <cell r="V235">
            <v>6000</v>
          </cell>
          <cell r="W235">
            <v>1</v>
          </cell>
          <cell r="X235" t="str">
            <v>CF2</v>
          </cell>
          <cell r="Y235" t="str">
            <v>半直</v>
          </cell>
          <cell r="Z235">
            <v>6</v>
          </cell>
          <cell r="AA235" t="str">
            <v>6ｲﾝﾁFWP</v>
          </cell>
          <cell r="AB235">
            <v>1600</v>
          </cell>
          <cell r="AO235" t="str">
            <v>3TNCERAWZ3425E</v>
          </cell>
        </row>
        <row r="236">
          <cell r="G236" t="str">
            <v>3UNCERAWZ26</v>
          </cell>
          <cell r="H236" t="str">
            <v>U</v>
          </cell>
          <cell r="I236" t="str">
            <v>N</v>
          </cell>
          <cell r="J236" t="str">
            <v>CERA</v>
          </cell>
          <cell r="K236" t="str">
            <v>WZ26</v>
          </cell>
          <cell r="L236" t="str">
            <v>セラピール　ＷＺ（26）</v>
          </cell>
          <cell r="M236" t="str">
            <v>3UNCERAWZ26381010</v>
          </cell>
          <cell r="N236" t="str">
            <v>3UNCERAWZ26381000</v>
          </cell>
          <cell r="O236">
            <v>38</v>
          </cell>
          <cell r="P236">
            <v>3</v>
          </cell>
          <cell r="Q236" t="str">
            <v>QZ43</v>
          </cell>
          <cell r="R236">
            <v>1010</v>
          </cell>
          <cell r="S236">
            <v>6200</v>
          </cell>
          <cell r="T236">
            <v>1000</v>
          </cell>
          <cell r="U236">
            <v>1000</v>
          </cell>
          <cell r="V236">
            <v>6000</v>
          </cell>
          <cell r="W236">
            <v>1</v>
          </cell>
          <cell r="X236" t="str">
            <v>CF2</v>
          </cell>
          <cell r="Y236" t="str">
            <v>半直</v>
          </cell>
          <cell r="Z236">
            <v>6</v>
          </cell>
          <cell r="AA236" t="str">
            <v>6ｲﾝﾁFWP</v>
          </cell>
          <cell r="AB236">
            <v>1100</v>
          </cell>
          <cell r="AO236" t="str">
            <v>3UNCERAWZ2638</v>
          </cell>
        </row>
        <row r="237">
          <cell r="G237" t="str">
            <v>3UNCERAWZ26</v>
          </cell>
          <cell r="H237" t="str">
            <v>U</v>
          </cell>
          <cell r="I237" t="str">
            <v>N</v>
          </cell>
          <cell r="J237" t="str">
            <v>CERA</v>
          </cell>
          <cell r="K237" t="str">
            <v>WZ26</v>
          </cell>
          <cell r="L237" t="str">
            <v>セラピール　ＷＺ（26）</v>
          </cell>
          <cell r="M237" t="str">
            <v>3UNCERAWZ26381010</v>
          </cell>
          <cell r="N237" t="str">
            <v>3UNCERAWZ26381000</v>
          </cell>
          <cell r="O237">
            <v>38</v>
          </cell>
          <cell r="P237">
            <v>3</v>
          </cell>
          <cell r="Q237" t="str">
            <v>QZ43</v>
          </cell>
          <cell r="R237">
            <v>1010</v>
          </cell>
          <cell r="S237">
            <v>12200</v>
          </cell>
          <cell r="T237">
            <v>1000</v>
          </cell>
          <cell r="U237">
            <v>1000</v>
          </cell>
          <cell r="V237">
            <v>6000</v>
          </cell>
          <cell r="W237">
            <v>1</v>
          </cell>
          <cell r="X237" t="str">
            <v>CF2</v>
          </cell>
          <cell r="Y237" t="str">
            <v>直出し</v>
          </cell>
          <cell r="Z237">
            <v>6</v>
          </cell>
          <cell r="AA237" t="str">
            <v>6ｲﾝﾁFWP</v>
          </cell>
          <cell r="AB237">
            <v>1100</v>
          </cell>
          <cell r="AO237" t="str">
            <v>3UNCERAWZ2638</v>
          </cell>
        </row>
        <row r="238">
          <cell r="G238" t="str">
            <v>3UNCERAWZ26</v>
          </cell>
          <cell r="H238" t="str">
            <v>U</v>
          </cell>
          <cell r="I238" t="str">
            <v>N</v>
          </cell>
          <cell r="J238" t="str">
            <v>CERA</v>
          </cell>
          <cell r="K238" t="str">
            <v>WZ26</v>
          </cell>
          <cell r="L238" t="str">
            <v>セラピール　ＷＺ（26）</v>
          </cell>
          <cell r="M238" t="str">
            <v>3UNCERAWZ26251105</v>
          </cell>
          <cell r="N238" t="str">
            <v>3UNCERAWZ26251100</v>
          </cell>
          <cell r="O238">
            <v>25</v>
          </cell>
          <cell r="P238">
            <v>3</v>
          </cell>
          <cell r="Q238" t="str">
            <v>QZ43</v>
          </cell>
          <cell r="R238">
            <v>1105</v>
          </cell>
          <cell r="S238">
            <v>12300</v>
          </cell>
          <cell r="T238">
            <v>1100</v>
          </cell>
          <cell r="U238">
            <v>1100</v>
          </cell>
          <cell r="V238">
            <v>12000</v>
          </cell>
          <cell r="W238">
            <v>1</v>
          </cell>
          <cell r="X238" t="str">
            <v>CF2</v>
          </cell>
          <cell r="Y238" t="str">
            <v>直出し</v>
          </cell>
          <cell r="Z238">
            <v>6</v>
          </cell>
          <cell r="AA238" t="str">
            <v>6ｲﾝﾁFWP</v>
          </cell>
          <cell r="AO238" t="str">
            <v>3UNCERAWZ2625</v>
          </cell>
        </row>
        <row r="239">
          <cell r="G239" t="str">
            <v>3UNCERAWZ26</v>
          </cell>
          <cell r="H239" t="str">
            <v>U</v>
          </cell>
          <cell r="I239" t="str">
            <v>N</v>
          </cell>
          <cell r="J239" t="str">
            <v>CERA</v>
          </cell>
          <cell r="K239" t="str">
            <v>WZ26</v>
          </cell>
          <cell r="L239" t="str">
            <v>セラピール　ＷＺ（26）</v>
          </cell>
          <cell r="M239" t="str">
            <v>3UNCERAWZ26251250</v>
          </cell>
          <cell r="N239" t="str">
            <v>3UNCERAWZ26251240</v>
          </cell>
          <cell r="O239">
            <v>25</v>
          </cell>
          <cell r="P239">
            <v>3</v>
          </cell>
          <cell r="Q239" t="str">
            <v>QZ43</v>
          </cell>
          <cell r="R239">
            <v>1250</v>
          </cell>
          <cell r="S239">
            <v>3300</v>
          </cell>
          <cell r="T239">
            <v>1240</v>
          </cell>
          <cell r="U239">
            <v>1240</v>
          </cell>
          <cell r="V239">
            <v>3000</v>
          </cell>
          <cell r="W239">
            <v>1</v>
          </cell>
          <cell r="X239" t="str">
            <v>CF2</v>
          </cell>
          <cell r="Y239" t="str">
            <v>直出し</v>
          </cell>
          <cell r="Z239">
            <v>6</v>
          </cell>
          <cell r="AA239" t="str">
            <v>6ｲﾝﾁFWP</v>
          </cell>
          <cell r="AB239">
            <v>1500</v>
          </cell>
          <cell r="AO239" t="str">
            <v>3UNCERAWZ2625</v>
          </cell>
        </row>
        <row r="240">
          <cell r="G240" t="str">
            <v>3UNCERAWZ26</v>
          </cell>
          <cell r="H240" t="str">
            <v>U</v>
          </cell>
          <cell r="I240" t="str">
            <v>N</v>
          </cell>
          <cell r="J240" t="str">
            <v>CERA</v>
          </cell>
          <cell r="K240" t="str">
            <v>WZ26</v>
          </cell>
          <cell r="L240" t="str">
            <v>セラピール　ＷＺ（26）</v>
          </cell>
          <cell r="M240" t="str">
            <v>3UNCERAWZ26251245</v>
          </cell>
          <cell r="N240" t="str">
            <v>3UNCERAWZ26251240</v>
          </cell>
          <cell r="O240">
            <v>25</v>
          </cell>
          <cell r="P240">
            <v>3</v>
          </cell>
          <cell r="Q240" t="str">
            <v>QZ43</v>
          </cell>
          <cell r="R240">
            <v>1245</v>
          </cell>
          <cell r="S240">
            <v>3000</v>
          </cell>
          <cell r="T240">
            <v>1240</v>
          </cell>
          <cell r="U240">
            <v>1240</v>
          </cell>
          <cell r="V240">
            <v>3000</v>
          </cell>
          <cell r="W240">
            <v>1</v>
          </cell>
          <cell r="X240" t="str">
            <v>CF2</v>
          </cell>
          <cell r="Y240" t="str">
            <v>直出し</v>
          </cell>
          <cell r="Z240">
            <v>6</v>
          </cell>
          <cell r="AA240" t="str">
            <v>6ｲﾝﾁFWP</v>
          </cell>
          <cell r="AB240">
            <v>1500</v>
          </cell>
          <cell r="AO240" t="str">
            <v>3UNCERAWZ2625</v>
          </cell>
        </row>
        <row r="241">
          <cell r="G241" t="str">
            <v>3UNCERAWZ26</v>
          </cell>
          <cell r="H241" t="str">
            <v>U</v>
          </cell>
          <cell r="I241" t="str">
            <v>N</v>
          </cell>
          <cell r="J241" t="str">
            <v>CERA</v>
          </cell>
          <cell r="K241" t="str">
            <v>WZ26</v>
          </cell>
          <cell r="L241" t="str">
            <v>セラピール　ＷＺ（26）</v>
          </cell>
          <cell r="M241" t="str">
            <v>3UNCERAWZ26381250</v>
          </cell>
          <cell r="N241" t="str">
            <v>3UNCERAWZ26381240</v>
          </cell>
          <cell r="O241">
            <v>38</v>
          </cell>
          <cell r="P241">
            <v>3</v>
          </cell>
          <cell r="Q241" t="str">
            <v>QZ43</v>
          </cell>
          <cell r="R241">
            <v>1250</v>
          </cell>
          <cell r="S241">
            <v>1300</v>
          </cell>
          <cell r="T241">
            <v>1240</v>
          </cell>
          <cell r="U241">
            <v>1240</v>
          </cell>
          <cell r="V241">
            <v>3000</v>
          </cell>
          <cell r="W241">
            <v>1</v>
          </cell>
          <cell r="X241" t="str">
            <v>CF2</v>
          </cell>
          <cell r="Y241" t="str">
            <v>直出し</v>
          </cell>
          <cell r="Z241">
            <v>6</v>
          </cell>
          <cell r="AA241" t="str">
            <v>6ｲﾝﾁFWP</v>
          </cell>
          <cell r="AB241">
            <v>1500</v>
          </cell>
          <cell r="AO241" t="str">
            <v>3UNCERAWZ2638</v>
          </cell>
        </row>
        <row r="242">
          <cell r="G242" t="str">
            <v>3UNCERAWZ26</v>
          </cell>
          <cell r="H242" t="str">
            <v>U</v>
          </cell>
          <cell r="I242" t="str">
            <v>N</v>
          </cell>
          <cell r="J242" t="str">
            <v>CERA</v>
          </cell>
          <cell r="K242" t="str">
            <v>WZ26</v>
          </cell>
          <cell r="L242" t="str">
            <v>セラピール　ＷＺ（26）</v>
          </cell>
          <cell r="M242" t="str">
            <v>3UNCERAWZ26251050</v>
          </cell>
          <cell r="N242" t="str">
            <v>3UNCERAWZ26251040</v>
          </cell>
          <cell r="O242">
            <v>25</v>
          </cell>
          <cell r="P242">
            <v>3</v>
          </cell>
          <cell r="Q242" t="str">
            <v>QZ43</v>
          </cell>
          <cell r="R242">
            <v>1050</v>
          </cell>
          <cell r="S242">
            <v>1300</v>
          </cell>
          <cell r="T242">
            <v>1040</v>
          </cell>
          <cell r="U242">
            <v>1040</v>
          </cell>
          <cell r="V242">
            <v>1000</v>
          </cell>
          <cell r="W242">
            <v>1</v>
          </cell>
          <cell r="X242" t="str">
            <v>CF2</v>
          </cell>
          <cell r="Y242" t="str">
            <v>直出し</v>
          </cell>
          <cell r="Z242">
            <v>6</v>
          </cell>
          <cell r="AA242" t="str">
            <v>6ｲﾝﾁFWP</v>
          </cell>
          <cell r="AB242">
            <v>1500</v>
          </cell>
          <cell r="AO242" t="str">
            <v>3UNCERAWZ2625</v>
          </cell>
        </row>
        <row r="243">
          <cell r="G243" t="str">
            <v>3UNCERAWZ48</v>
          </cell>
          <cell r="H243" t="str">
            <v>U</v>
          </cell>
          <cell r="I243" t="str">
            <v>N</v>
          </cell>
          <cell r="J243" t="str">
            <v>CERA</v>
          </cell>
          <cell r="K243" t="str">
            <v>WZ48</v>
          </cell>
          <cell r="L243" t="str">
            <v>セラピール　ＷＺ（48）</v>
          </cell>
          <cell r="M243" t="str">
            <v>3UNCERAWZ48501000</v>
          </cell>
          <cell r="N243" t="str">
            <v>3UNCERAWZ48501000</v>
          </cell>
          <cell r="O243">
            <v>50</v>
          </cell>
          <cell r="P243">
            <v>3</v>
          </cell>
          <cell r="Q243" t="str">
            <v>X30</v>
          </cell>
          <cell r="R243">
            <v>1000</v>
          </cell>
          <cell r="S243">
            <v>500</v>
          </cell>
          <cell r="T243">
            <v>1000</v>
          </cell>
          <cell r="U243">
            <v>1000</v>
          </cell>
          <cell r="V243">
            <v>100</v>
          </cell>
          <cell r="W243">
            <v>1</v>
          </cell>
          <cell r="X243" t="str">
            <v>CF2</v>
          </cell>
          <cell r="Y243" t="str">
            <v>直出し</v>
          </cell>
          <cell r="Z243">
            <v>6</v>
          </cell>
          <cell r="AA243" t="str">
            <v>6ｲﾝﾁFWP</v>
          </cell>
          <cell r="AB243">
            <v>1500</v>
          </cell>
          <cell r="AO243" t="str">
            <v>3UNCERAWZ4850</v>
          </cell>
        </row>
        <row r="244">
          <cell r="G244" t="str">
            <v>3UNCERASY08</v>
          </cell>
          <cell r="H244" t="str">
            <v>U</v>
          </cell>
          <cell r="I244" t="str">
            <v>N</v>
          </cell>
          <cell r="J244" t="str">
            <v>CERA</v>
          </cell>
          <cell r="K244" t="str">
            <v>SY08</v>
          </cell>
          <cell r="L244" t="str">
            <v>セラピール　ＳＹ（０８）</v>
          </cell>
          <cell r="M244" t="str">
            <v>3UNCERASY08251045</v>
          </cell>
          <cell r="N244" t="str">
            <v>3UNCERASY0825500</v>
          </cell>
          <cell r="O244">
            <v>25</v>
          </cell>
          <cell r="P244">
            <v>3</v>
          </cell>
          <cell r="Q244" t="str">
            <v>S</v>
          </cell>
          <cell r="R244">
            <v>1045</v>
          </cell>
          <cell r="S244">
            <v>12400</v>
          </cell>
          <cell r="T244">
            <v>500</v>
          </cell>
          <cell r="U244">
            <v>500</v>
          </cell>
          <cell r="V244">
            <v>4000</v>
          </cell>
          <cell r="W244">
            <v>2</v>
          </cell>
          <cell r="X244" t="str">
            <v>CF2</v>
          </cell>
          <cell r="Y244" t="str">
            <v>SL-1</v>
          </cell>
          <cell r="Z244">
            <v>6</v>
          </cell>
          <cell r="AA244" t="str">
            <v>6ｲﾝﾁFWP</v>
          </cell>
          <cell r="AB244">
            <v>1450</v>
          </cell>
          <cell r="AC244">
            <v>3</v>
          </cell>
          <cell r="AD244" t="str">
            <v>6ｲﾝﾁFWP</v>
          </cell>
          <cell r="AE244">
            <v>505</v>
          </cell>
          <cell r="AO244" t="str">
            <v>3UNCERASY0825</v>
          </cell>
        </row>
        <row r="245">
          <cell r="G245" t="str">
            <v>3UNCERASY14</v>
          </cell>
          <cell r="H245" t="str">
            <v>U</v>
          </cell>
          <cell r="I245" t="str">
            <v>N</v>
          </cell>
          <cell r="J245" t="str">
            <v>CERA</v>
          </cell>
          <cell r="K245" t="str">
            <v>SY14</v>
          </cell>
          <cell r="L245" t="str">
            <v>セラピール　ＳＹ（１４）</v>
          </cell>
          <cell r="M245" t="str">
            <v>3UNCERASY14501240</v>
          </cell>
          <cell r="N245" t="str">
            <v>3UNCERASY1450500</v>
          </cell>
          <cell r="O245">
            <v>50</v>
          </cell>
          <cell r="P245">
            <v>3</v>
          </cell>
          <cell r="Q245" t="str">
            <v>S28M</v>
          </cell>
          <cell r="R245">
            <v>1240</v>
          </cell>
          <cell r="S245">
            <v>4200</v>
          </cell>
          <cell r="T245">
            <v>500</v>
          </cell>
          <cell r="U245">
            <v>500</v>
          </cell>
          <cell r="V245">
            <v>100</v>
          </cell>
          <cell r="W245">
            <v>2</v>
          </cell>
          <cell r="X245" t="str">
            <v>CF2</v>
          </cell>
          <cell r="Y245" t="str">
            <v>SL-1</v>
          </cell>
          <cell r="Z245">
            <v>6</v>
          </cell>
          <cell r="AA245" t="str">
            <v>6ｲﾝﾁFWP</v>
          </cell>
          <cell r="AB245">
            <v>1450</v>
          </cell>
          <cell r="AC245">
            <v>3</v>
          </cell>
          <cell r="AD245" t="str">
            <v>3ｲﾝﾁABS</v>
          </cell>
          <cell r="AE245">
            <v>505</v>
          </cell>
          <cell r="AO245" t="str">
            <v>3UNCERASY1450</v>
          </cell>
        </row>
        <row r="246">
          <cell r="G246" t="str">
            <v>3UYCERASY18</v>
          </cell>
          <cell r="H246" t="str">
            <v>U</v>
          </cell>
          <cell r="I246" t="str">
            <v>Y</v>
          </cell>
          <cell r="J246" t="str">
            <v>CERA</v>
          </cell>
          <cell r="K246" t="str">
            <v>SY18</v>
          </cell>
          <cell r="L246" t="str">
            <v>セラピール　ＳＹ（１８）</v>
          </cell>
          <cell r="M246" t="str">
            <v>3UYCERASY18501050</v>
          </cell>
          <cell r="N246" t="str">
            <v>3UYCERASY18501040</v>
          </cell>
          <cell r="O246">
            <v>50</v>
          </cell>
          <cell r="P246">
            <v>3</v>
          </cell>
          <cell r="Q246" t="str">
            <v>E20</v>
          </cell>
          <cell r="R246">
            <v>1050</v>
          </cell>
          <cell r="S246">
            <v>4000</v>
          </cell>
          <cell r="T246">
            <v>1040</v>
          </cell>
          <cell r="U246">
            <v>1040</v>
          </cell>
          <cell r="V246">
            <v>3800</v>
          </cell>
          <cell r="W246">
            <v>2</v>
          </cell>
          <cell r="X246" t="str">
            <v>CF2</v>
          </cell>
          <cell r="Y246" t="str">
            <v>直出し</v>
          </cell>
          <cell r="Z246">
            <v>6</v>
          </cell>
          <cell r="AA246" t="str">
            <v>6ｲﾝﾁABS</v>
          </cell>
          <cell r="AB246">
            <v>1100</v>
          </cell>
          <cell r="AO246" t="str">
            <v>3UYCERASY1850</v>
          </cell>
        </row>
        <row r="247">
          <cell r="G247" t="str">
            <v>3UYCERANS27121BM</v>
          </cell>
          <cell r="H247" t="str">
            <v>U</v>
          </cell>
          <cell r="I247" t="str">
            <v>Y</v>
          </cell>
          <cell r="J247" t="str">
            <v>CERANS</v>
          </cell>
          <cell r="K247" t="str">
            <v>27121BM</v>
          </cell>
          <cell r="L247" t="str">
            <v>セラピール　ＰＪ２７１（２１）ＢＭ</v>
          </cell>
          <cell r="M247" t="str">
            <v>3UYCERANS27121BM351265</v>
          </cell>
          <cell r="N247" t="str">
            <v>3UYCERANS27121BM35395</v>
          </cell>
          <cell r="O247">
            <v>35</v>
          </cell>
          <cell r="P247">
            <v>3</v>
          </cell>
          <cell r="Q247" t="str">
            <v>MR1E</v>
          </cell>
          <cell r="R247">
            <v>1265</v>
          </cell>
          <cell r="S247">
            <v>3460</v>
          </cell>
          <cell r="T247">
            <v>395</v>
          </cell>
          <cell r="U247">
            <v>395</v>
          </cell>
          <cell r="V247">
            <v>260</v>
          </cell>
          <cell r="W247">
            <v>2</v>
          </cell>
          <cell r="X247" t="str">
            <v>CF3</v>
          </cell>
          <cell r="Y247" t="str">
            <v>SL-1</v>
          </cell>
          <cell r="Z247">
            <v>6</v>
          </cell>
          <cell r="AA247" t="str">
            <v>6ｲﾝﾁFWP</v>
          </cell>
          <cell r="AB247">
            <v>1450</v>
          </cell>
          <cell r="AC247">
            <v>3</v>
          </cell>
          <cell r="AD247" t="str">
            <v>3ｲﾝﾁABS</v>
          </cell>
          <cell r="AE247">
            <v>395</v>
          </cell>
          <cell r="AO247" t="str">
            <v>3UYCERANS27121BM35</v>
          </cell>
        </row>
        <row r="248">
          <cell r="G248" t="str">
            <v>3UYCERANS27121BM</v>
          </cell>
          <cell r="H248" t="str">
            <v>U</v>
          </cell>
          <cell r="I248" t="str">
            <v>Y</v>
          </cell>
          <cell r="J248" t="str">
            <v>CERANS</v>
          </cell>
          <cell r="K248" t="str">
            <v>27121BM</v>
          </cell>
          <cell r="L248" t="str">
            <v>セラピール　ＰＪ２７１（２１）ＢＭ</v>
          </cell>
          <cell r="M248" t="str">
            <v>3UYCERANS27121BM351240</v>
          </cell>
          <cell r="N248" t="str">
            <v>3UYCERANS27121BM35395</v>
          </cell>
          <cell r="O248">
            <v>35</v>
          </cell>
          <cell r="P248">
            <v>3</v>
          </cell>
          <cell r="Q248" t="str">
            <v>MR1E</v>
          </cell>
          <cell r="R248">
            <v>1240</v>
          </cell>
          <cell r="S248">
            <v>1060</v>
          </cell>
          <cell r="T248">
            <v>395</v>
          </cell>
          <cell r="U248">
            <v>395</v>
          </cell>
          <cell r="V248">
            <v>260</v>
          </cell>
          <cell r="W248">
            <v>2</v>
          </cell>
          <cell r="X248" t="str">
            <v>CF3</v>
          </cell>
          <cell r="Y248" t="str">
            <v>SL-1</v>
          </cell>
          <cell r="Z248">
            <v>6</v>
          </cell>
          <cell r="AA248" t="str">
            <v>6ｲﾝﾁFWP</v>
          </cell>
          <cell r="AB248">
            <v>1450</v>
          </cell>
          <cell r="AC248">
            <v>3</v>
          </cell>
          <cell r="AD248" t="str">
            <v>3ｲﾝﾁABS</v>
          </cell>
          <cell r="AE248">
            <v>395</v>
          </cell>
          <cell r="AO248" t="str">
            <v>3UYCERANS27121BM35</v>
          </cell>
        </row>
        <row r="249">
          <cell r="G249" t="str">
            <v>3UYCERANS27121BM</v>
          </cell>
          <cell r="H249" t="str">
            <v>U</v>
          </cell>
          <cell r="I249" t="str">
            <v>Y</v>
          </cell>
          <cell r="J249" t="str">
            <v>CERANS</v>
          </cell>
          <cell r="K249" t="str">
            <v>27121BM</v>
          </cell>
          <cell r="L249" t="str">
            <v>セラピール　ＰＪ２７１（２１）ＢＭ</v>
          </cell>
          <cell r="M249" t="str">
            <v>3UYCERANS27121BM301265</v>
          </cell>
          <cell r="N249" t="str">
            <v>3UYCERANS27121BM30394</v>
          </cell>
          <cell r="O249">
            <v>30</v>
          </cell>
          <cell r="P249">
            <v>3</v>
          </cell>
          <cell r="Q249" t="str">
            <v>MR1E</v>
          </cell>
          <cell r="R249">
            <v>1265</v>
          </cell>
          <cell r="S249">
            <v>1000</v>
          </cell>
          <cell r="T249">
            <v>394</v>
          </cell>
          <cell r="U249">
            <v>394</v>
          </cell>
          <cell r="V249">
            <v>260</v>
          </cell>
          <cell r="W249">
            <v>2</v>
          </cell>
          <cell r="X249" t="str">
            <v>CF3</v>
          </cell>
          <cell r="Y249" t="str">
            <v>SL-1</v>
          </cell>
          <cell r="Z249">
            <v>6</v>
          </cell>
          <cell r="AA249" t="str">
            <v>6ｲﾝﾁFWP</v>
          </cell>
          <cell r="AB249">
            <v>1450</v>
          </cell>
          <cell r="AC249">
            <v>3</v>
          </cell>
          <cell r="AD249" t="str">
            <v>3ｲﾝﾁABS</v>
          </cell>
          <cell r="AE249">
            <v>395</v>
          </cell>
          <cell r="AO249" t="str">
            <v>3UYCERANS27121BM30</v>
          </cell>
        </row>
        <row r="250">
          <cell r="G250" t="str">
            <v>3UNCERANS10106</v>
          </cell>
          <cell r="H250" t="str">
            <v>U</v>
          </cell>
          <cell r="I250" t="str">
            <v>N</v>
          </cell>
          <cell r="J250" t="str">
            <v>CERANS</v>
          </cell>
          <cell r="K250">
            <v>10106</v>
          </cell>
          <cell r="L250" t="str">
            <v>セラピール　ＰＪ１０１（０６）</v>
          </cell>
          <cell r="M250" t="str">
            <v>3UNCERANS101061881320</v>
          </cell>
          <cell r="N250" t="str">
            <v>3UNCERANS101061881310</v>
          </cell>
          <cell r="O250">
            <v>188</v>
          </cell>
          <cell r="P250">
            <v>3</v>
          </cell>
          <cell r="Q250" t="str">
            <v>U48K</v>
          </cell>
          <cell r="R250">
            <v>1320</v>
          </cell>
          <cell r="S250">
            <v>1200</v>
          </cell>
          <cell r="T250">
            <v>1310</v>
          </cell>
          <cell r="U250">
            <v>1310</v>
          </cell>
          <cell r="V250">
            <v>1000</v>
          </cell>
          <cell r="W250">
            <v>2</v>
          </cell>
          <cell r="X250" t="str">
            <v>CF3</v>
          </cell>
          <cell r="Y250" t="str">
            <v>直出し</v>
          </cell>
          <cell r="Z250">
            <v>6</v>
          </cell>
          <cell r="AA250" t="str">
            <v>6ｲﾝﾁABS</v>
          </cell>
          <cell r="AB250">
            <v>1400</v>
          </cell>
          <cell r="AO250" t="str">
            <v>3UNCERANS10106188</v>
          </cell>
        </row>
        <row r="251">
          <cell r="G251" t="str">
            <v>3UNCERANS27118</v>
          </cell>
          <cell r="H251" t="str">
            <v>U</v>
          </cell>
          <cell r="I251" t="str">
            <v>N</v>
          </cell>
          <cell r="J251" t="str">
            <v>CERANS</v>
          </cell>
          <cell r="K251">
            <v>27118</v>
          </cell>
          <cell r="L251" t="str">
            <v>セラピール　ＰＪ２７１（１８）</v>
          </cell>
          <cell r="M251" t="str">
            <v>3UNCERANS27118381100</v>
          </cell>
          <cell r="N251" t="str">
            <v>3UNCERANS27118381090</v>
          </cell>
          <cell r="O251">
            <v>38</v>
          </cell>
          <cell r="P251">
            <v>3</v>
          </cell>
          <cell r="Q251" t="str">
            <v>E20</v>
          </cell>
          <cell r="R251">
            <v>1100</v>
          </cell>
          <cell r="S251">
            <v>4000</v>
          </cell>
          <cell r="T251">
            <v>1090</v>
          </cell>
          <cell r="U251">
            <v>1090</v>
          </cell>
          <cell r="V251">
            <v>3800</v>
          </cell>
          <cell r="W251">
            <v>2</v>
          </cell>
          <cell r="X251" t="str">
            <v>CF3</v>
          </cell>
          <cell r="Y251" t="str">
            <v>直出し</v>
          </cell>
          <cell r="Z251">
            <v>6</v>
          </cell>
          <cell r="AA251" t="str">
            <v>6ｲﾝﾁABS</v>
          </cell>
          <cell r="AB251">
            <v>1170</v>
          </cell>
          <cell r="AO251" t="str">
            <v>3UNCERANS2711838</v>
          </cell>
        </row>
        <row r="252">
          <cell r="G252" t="str">
            <v>3UYCERANS27118</v>
          </cell>
          <cell r="H252" t="str">
            <v>U</v>
          </cell>
          <cell r="I252" t="str">
            <v>Y</v>
          </cell>
          <cell r="J252" t="str">
            <v>CERANS</v>
          </cell>
          <cell r="K252">
            <v>27118</v>
          </cell>
          <cell r="L252" t="str">
            <v>セラピール　ＰＪ２７１（１８）</v>
          </cell>
          <cell r="M252" t="str">
            <v>3UYCERANS27118751160</v>
          </cell>
          <cell r="N252" t="str">
            <v>3UYCERANS27118751160</v>
          </cell>
          <cell r="O252">
            <v>75</v>
          </cell>
          <cell r="P252">
            <v>3</v>
          </cell>
          <cell r="Q252" t="str">
            <v>E20</v>
          </cell>
          <cell r="R252">
            <v>1160</v>
          </cell>
          <cell r="S252">
            <v>2000</v>
          </cell>
          <cell r="T252">
            <v>1160</v>
          </cell>
          <cell r="U252">
            <v>1160</v>
          </cell>
          <cell r="V252">
            <v>2000</v>
          </cell>
          <cell r="W252">
            <v>2</v>
          </cell>
          <cell r="X252" t="str">
            <v>CF3</v>
          </cell>
          <cell r="Y252" t="str">
            <v>SL-1</v>
          </cell>
          <cell r="Z252">
            <v>6</v>
          </cell>
          <cell r="AA252" t="str">
            <v>6ｲﾝﾁFWP</v>
          </cell>
          <cell r="AB252">
            <v>1450</v>
          </cell>
          <cell r="AO252" t="str">
            <v>3UYCERANS2711875</v>
          </cell>
        </row>
        <row r="253">
          <cell r="G253" t="str">
            <v>3UNCERANS27118</v>
          </cell>
          <cell r="H253" t="str">
            <v>U</v>
          </cell>
          <cell r="I253" t="str">
            <v>N</v>
          </cell>
          <cell r="J253" t="str">
            <v>CERANS</v>
          </cell>
          <cell r="K253">
            <v>27118</v>
          </cell>
          <cell r="L253" t="str">
            <v>セラピール　ＰＪ２７１（１８）</v>
          </cell>
          <cell r="M253" t="str">
            <v>3UNCERANS27118751160</v>
          </cell>
          <cell r="N253" t="str">
            <v>3UNCERANS27118751160</v>
          </cell>
          <cell r="O253">
            <v>75</v>
          </cell>
          <cell r="P253">
            <v>3</v>
          </cell>
          <cell r="Q253" t="str">
            <v>E20</v>
          </cell>
          <cell r="R253">
            <v>1160</v>
          </cell>
          <cell r="S253">
            <v>2000</v>
          </cell>
          <cell r="T253">
            <v>1160</v>
          </cell>
          <cell r="U253">
            <v>1160</v>
          </cell>
          <cell r="V253">
            <v>2000</v>
          </cell>
          <cell r="W253">
            <v>2</v>
          </cell>
          <cell r="X253" t="str">
            <v>CF3</v>
          </cell>
          <cell r="Y253" t="str">
            <v>SL-1</v>
          </cell>
          <cell r="Z253">
            <v>6</v>
          </cell>
          <cell r="AA253" t="str">
            <v>6ｲﾝﾁFWP</v>
          </cell>
          <cell r="AB253">
            <v>1450</v>
          </cell>
          <cell r="AO253" t="str">
            <v>3UNCERANS2711875</v>
          </cell>
        </row>
        <row r="254">
          <cell r="G254" t="str">
            <v>3UYCERANS27118</v>
          </cell>
          <cell r="H254" t="str">
            <v>U</v>
          </cell>
          <cell r="I254" t="str">
            <v>Y</v>
          </cell>
          <cell r="J254" t="str">
            <v>CERANS</v>
          </cell>
          <cell r="K254">
            <v>27118</v>
          </cell>
          <cell r="L254" t="str">
            <v>セラピール　ＰＪ２７１（１８）</v>
          </cell>
          <cell r="M254" t="str">
            <v>3UYCERANS27118751496</v>
          </cell>
          <cell r="N254" t="str">
            <v>3UYCERANS27118751486</v>
          </cell>
          <cell r="O254">
            <v>75</v>
          </cell>
          <cell r="P254">
            <v>3</v>
          </cell>
          <cell r="Q254" t="str">
            <v>E20</v>
          </cell>
          <cell r="R254">
            <v>1496</v>
          </cell>
          <cell r="S254">
            <v>3000</v>
          </cell>
          <cell r="T254">
            <v>1486</v>
          </cell>
          <cell r="U254">
            <v>1486</v>
          </cell>
          <cell r="V254">
            <v>2900</v>
          </cell>
          <cell r="W254">
            <v>2</v>
          </cell>
          <cell r="X254" t="str">
            <v>CF3</v>
          </cell>
          <cell r="Y254" t="str">
            <v>直出し</v>
          </cell>
          <cell r="Z254">
            <v>6</v>
          </cell>
          <cell r="AA254" t="str">
            <v>6ｲﾝﾁABS</v>
          </cell>
          <cell r="AB254">
            <v>1640</v>
          </cell>
          <cell r="AO254" t="str">
            <v>3UYCERANS2711875</v>
          </cell>
        </row>
        <row r="255">
          <cell r="G255" t="str">
            <v>3UYCERANS27114</v>
          </cell>
          <cell r="H255" t="str">
            <v>U</v>
          </cell>
          <cell r="I255" t="str">
            <v>Y</v>
          </cell>
          <cell r="J255" t="str">
            <v>CERANS</v>
          </cell>
          <cell r="K255">
            <v>27114</v>
          </cell>
          <cell r="L255" t="str">
            <v>セラピール　ＰＪ２７１（１４）</v>
          </cell>
          <cell r="M255" t="str">
            <v>3UYCERANS27114501310</v>
          </cell>
          <cell r="N255" t="str">
            <v>3UYCERANS27114501300</v>
          </cell>
          <cell r="O255">
            <v>50</v>
          </cell>
          <cell r="P255">
            <v>3</v>
          </cell>
          <cell r="Q255" t="str">
            <v>S28M</v>
          </cell>
          <cell r="R255">
            <v>1310</v>
          </cell>
          <cell r="S255">
            <v>6400</v>
          </cell>
          <cell r="T255">
            <v>1300</v>
          </cell>
          <cell r="U255">
            <v>1300</v>
          </cell>
          <cell r="V255">
            <v>6200</v>
          </cell>
          <cell r="W255">
            <v>2</v>
          </cell>
          <cell r="X255" t="str">
            <v>CF3</v>
          </cell>
          <cell r="Y255" t="str">
            <v>直出し</v>
          </cell>
          <cell r="Z255">
            <v>6</v>
          </cell>
          <cell r="AA255" t="str">
            <v>6ｲﾝﾁABS</v>
          </cell>
          <cell r="AB255">
            <v>1400</v>
          </cell>
          <cell r="AO255" t="str">
            <v>3UYCERANS2711450</v>
          </cell>
        </row>
        <row r="256">
          <cell r="G256" t="str">
            <v>3UYCERANS27114</v>
          </cell>
          <cell r="H256" t="str">
            <v>U</v>
          </cell>
          <cell r="I256" t="str">
            <v>Y</v>
          </cell>
          <cell r="J256" t="str">
            <v>CERANS</v>
          </cell>
          <cell r="K256">
            <v>27114</v>
          </cell>
          <cell r="L256" t="str">
            <v>セラピール　ＰＪ２７１（１４）</v>
          </cell>
          <cell r="M256" t="str">
            <v>3UYCERANS27114751410</v>
          </cell>
          <cell r="N256" t="str">
            <v>3UYCERANS27114751400</v>
          </cell>
          <cell r="O256">
            <v>75</v>
          </cell>
          <cell r="P256">
            <v>3</v>
          </cell>
          <cell r="Q256" t="str">
            <v>S10</v>
          </cell>
          <cell r="R256">
            <v>1410</v>
          </cell>
          <cell r="S256">
            <v>4100</v>
          </cell>
          <cell r="T256">
            <v>1400</v>
          </cell>
          <cell r="U256">
            <v>1400</v>
          </cell>
          <cell r="V256">
            <v>4000</v>
          </cell>
          <cell r="W256">
            <v>2</v>
          </cell>
          <cell r="X256" t="str">
            <v>CF3</v>
          </cell>
          <cell r="Y256" t="str">
            <v>直出し</v>
          </cell>
          <cell r="Z256">
            <v>6</v>
          </cell>
          <cell r="AA256" t="str">
            <v>6ｲﾝﾁFWP</v>
          </cell>
          <cell r="AB256">
            <v>1450</v>
          </cell>
          <cell r="AO256" t="str">
            <v>3UYCERANS2711475</v>
          </cell>
        </row>
        <row r="257">
          <cell r="G257" t="str">
            <v>3UYCERANS27114MA</v>
          </cell>
          <cell r="H257" t="str">
            <v>U</v>
          </cell>
          <cell r="I257" t="str">
            <v>Y</v>
          </cell>
          <cell r="J257" t="str">
            <v>CERANS</v>
          </cell>
          <cell r="K257" t="str">
            <v>27114MA</v>
          </cell>
          <cell r="L257" t="str">
            <v>セラピール　ＰＪ２７１（１４）</v>
          </cell>
          <cell r="M257" t="str">
            <v>3UYCERANS27114MA751410</v>
          </cell>
          <cell r="N257" t="str">
            <v>3UYCERANS27114MA75685</v>
          </cell>
          <cell r="O257">
            <v>75</v>
          </cell>
          <cell r="P257">
            <v>3</v>
          </cell>
          <cell r="Q257" t="str">
            <v>S10</v>
          </cell>
          <cell r="R257">
            <v>1410</v>
          </cell>
          <cell r="S257">
            <v>4100</v>
          </cell>
          <cell r="T257">
            <v>685</v>
          </cell>
          <cell r="U257">
            <v>685</v>
          </cell>
          <cell r="V257">
            <v>2000</v>
          </cell>
          <cell r="W257">
            <v>2</v>
          </cell>
          <cell r="X257" t="str">
            <v>CF3</v>
          </cell>
          <cell r="Y257" t="str">
            <v>SL-1</v>
          </cell>
          <cell r="Z257">
            <v>6</v>
          </cell>
          <cell r="AA257" t="str">
            <v>6ｲﾝﾁFWP</v>
          </cell>
          <cell r="AB257">
            <v>1450</v>
          </cell>
          <cell r="AC257">
            <v>3</v>
          </cell>
          <cell r="AD257" t="str">
            <v>3ｲﾝﾁABS</v>
          </cell>
          <cell r="AE257">
            <v>700</v>
          </cell>
          <cell r="AO257" t="str">
            <v>3UYCERANS27114MA75</v>
          </cell>
        </row>
        <row r="258">
          <cell r="G258" t="str">
            <v>3TYCERANS27114MA</v>
          </cell>
          <cell r="H258" t="str">
            <v>T</v>
          </cell>
          <cell r="I258" t="str">
            <v>Y</v>
          </cell>
          <cell r="J258" t="str">
            <v>CERANS</v>
          </cell>
          <cell r="K258" t="str">
            <v>27114MA</v>
          </cell>
          <cell r="L258" t="str">
            <v>セラピール　ＰＪ２７１（１４）</v>
          </cell>
          <cell r="M258" t="str">
            <v>3TYCERANS27114MA751410</v>
          </cell>
          <cell r="N258" t="str">
            <v>3TYCERANS27114MA75685</v>
          </cell>
          <cell r="O258">
            <v>75</v>
          </cell>
          <cell r="P258">
            <v>3</v>
          </cell>
          <cell r="Q258" t="str">
            <v>S28</v>
          </cell>
          <cell r="R258">
            <v>1410</v>
          </cell>
          <cell r="S258">
            <v>4100</v>
          </cell>
          <cell r="T258">
            <v>685</v>
          </cell>
          <cell r="U258">
            <v>685</v>
          </cell>
          <cell r="V258">
            <v>2000</v>
          </cell>
          <cell r="W258">
            <v>2</v>
          </cell>
          <cell r="X258" t="str">
            <v>CF3</v>
          </cell>
          <cell r="Y258" t="str">
            <v>SL-1</v>
          </cell>
          <cell r="Z258">
            <v>6</v>
          </cell>
          <cell r="AA258" t="str">
            <v>6ｲﾝﾁFWP</v>
          </cell>
          <cell r="AB258">
            <v>1450</v>
          </cell>
          <cell r="AC258">
            <v>3</v>
          </cell>
          <cell r="AD258" t="str">
            <v>3ｲﾝﾁABS</v>
          </cell>
          <cell r="AE258">
            <v>700</v>
          </cell>
          <cell r="AO258" t="str">
            <v>3TYCERANS27114MA75</v>
          </cell>
        </row>
        <row r="259">
          <cell r="G259" t="str">
            <v>3TYCERANS27114MB</v>
          </cell>
          <cell r="H259" t="str">
            <v>T</v>
          </cell>
          <cell r="I259" t="str">
            <v>Y</v>
          </cell>
          <cell r="J259" t="str">
            <v>CERANS</v>
          </cell>
          <cell r="K259" t="str">
            <v>27114MB</v>
          </cell>
          <cell r="L259" t="str">
            <v>セラピール　ＰＪ２７１（１４）</v>
          </cell>
          <cell r="M259" t="str">
            <v>3TYCERANS27114MB751410</v>
          </cell>
          <cell r="N259" t="str">
            <v>3TYCERANS27114MB751400</v>
          </cell>
          <cell r="O259">
            <v>75</v>
          </cell>
          <cell r="P259">
            <v>3</v>
          </cell>
          <cell r="Q259" t="str">
            <v>S28</v>
          </cell>
          <cell r="R259">
            <v>1410</v>
          </cell>
          <cell r="S259">
            <v>4300</v>
          </cell>
          <cell r="T259">
            <v>1400</v>
          </cell>
          <cell r="U259">
            <v>1400</v>
          </cell>
          <cell r="V259">
            <v>4100</v>
          </cell>
          <cell r="W259">
            <v>2</v>
          </cell>
          <cell r="X259" t="str">
            <v>CF3</v>
          </cell>
          <cell r="Y259" t="str">
            <v>直出し</v>
          </cell>
          <cell r="Z259">
            <v>6</v>
          </cell>
          <cell r="AA259" t="str">
            <v>6ｲﾝﾁABS</v>
          </cell>
          <cell r="AB259">
            <v>1500</v>
          </cell>
          <cell r="AO259" t="str">
            <v>3TYCERANS27114MB75</v>
          </cell>
        </row>
        <row r="260">
          <cell r="G260" t="str">
            <v>3UYCERANS27114</v>
          </cell>
          <cell r="H260" t="str">
            <v>U</v>
          </cell>
          <cell r="I260" t="str">
            <v>Y</v>
          </cell>
          <cell r="J260" t="str">
            <v>CERANS</v>
          </cell>
          <cell r="K260">
            <v>27114</v>
          </cell>
          <cell r="L260" t="str">
            <v>セラピール　ＰＪ２７１（１４）</v>
          </cell>
          <cell r="M260" t="str">
            <v>3UYCERANS27114501310</v>
          </cell>
          <cell r="N260" t="str">
            <v>3UYCERANS27114501300</v>
          </cell>
          <cell r="O260">
            <v>50</v>
          </cell>
          <cell r="P260">
            <v>3</v>
          </cell>
          <cell r="Q260" t="str">
            <v>S28M</v>
          </cell>
          <cell r="R260">
            <v>1310</v>
          </cell>
          <cell r="S260">
            <v>6400</v>
          </cell>
          <cell r="T260">
            <v>1300</v>
          </cell>
          <cell r="U260">
            <v>1300</v>
          </cell>
          <cell r="V260">
            <v>1000</v>
          </cell>
          <cell r="W260">
            <v>2</v>
          </cell>
          <cell r="X260" t="str">
            <v>CF3</v>
          </cell>
          <cell r="Y260" t="str">
            <v>直出し</v>
          </cell>
          <cell r="Z260">
            <v>6</v>
          </cell>
          <cell r="AA260" t="str">
            <v>6ｲﾝﾁFWP</v>
          </cell>
          <cell r="AB260">
            <v>1450</v>
          </cell>
          <cell r="AO260" t="str">
            <v>3UYCERANS2711450</v>
          </cell>
        </row>
        <row r="261">
          <cell r="G261" t="str">
            <v>3UYCERANS27114</v>
          </cell>
          <cell r="H261" t="str">
            <v>U</v>
          </cell>
          <cell r="I261" t="str">
            <v>Y</v>
          </cell>
          <cell r="J261" t="str">
            <v>CERANS</v>
          </cell>
          <cell r="K261">
            <v>27114</v>
          </cell>
          <cell r="L261" t="str">
            <v>セラピール　ＰＪ２７１（１４）</v>
          </cell>
          <cell r="M261" t="str">
            <v>3UYCERANS27114501310</v>
          </cell>
          <cell r="N261" t="str">
            <v>3UYCERANS27114501300</v>
          </cell>
          <cell r="O261">
            <v>50</v>
          </cell>
          <cell r="P261">
            <v>3</v>
          </cell>
          <cell r="Q261" t="str">
            <v>S28M</v>
          </cell>
          <cell r="R261">
            <v>1310</v>
          </cell>
          <cell r="S261">
            <v>6400</v>
          </cell>
          <cell r="T261">
            <v>1300</v>
          </cell>
          <cell r="U261">
            <v>1300</v>
          </cell>
          <cell r="V261">
            <v>5200</v>
          </cell>
          <cell r="W261">
            <v>2</v>
          </cell>
          <cell r="X261" t="str">
            <v>CF3</v>
          </cell>
          <cell r="Y261" t="str">
            <v>直出し</v>
          </cell>
          <cell r="Z261">
            <v>6</v>
          </cell>
          <cell r="AA261" t="str">
            <v>6ｲﾝﾁFWP</v>
          </cell>
          <cell r="AB261">
            <v>1450</v>
          </cell>
          <cell r="AO261" t="str">
            <v>3UYCERANS2711450</v>
          </cell>
        </row>
        <row r="262">
          <cell r="G262" t="str">
            <v>3UNCERANS27114</v>
          </cell>
          <cell r="H262" t="str">
            <v>U</v>
          </cell>
          <cell r="I262" t="str">
            <v>N</v>
          </cell>
          <cell r="J262" t="str">
            <v>CERANS</v>
          </cell>
          <cell r="K262">
            <v>27114</v>
          </cell>
          <cell r="L262" t="str">
            <v>セラピール　ＰＪ２７１（１４）</v>
          </cell>
          <cell r="M262" t="str">
            <v>3UNCERANS27114501310</v>
          </cell>
          <cell r="N262" t="str">
            <v>3UNCERANS2711450300</v>
          </cell>
          <cell r="O262">
            <v>50</v>
          </cell>
          <cell r="P262">
            <v>3</v>
          </cell>
          <cell r="Q262" t="str">
            <v>S28M</v>
          </cell>
          <cell r="R262">
            <v>1310</v>
          </cell>
          <cell r="S262">
            <v>6400</v>
          </cell>
          <cell r="T262">
            <v>300</v>
          </cell>
          <cell r="U262">
            <v>300</v>
          </cell>
          <cell r="V262">
            <v>150</v>
          </cell>
          <cell r="W262">
            <v>2</v>
          </cell>
          <cell r="X262" t="str">
            <v>CF3</v>
          </cell>
          <cell r="Y262" t="str">
            <v>SL-1</v>
          </cell>
          <cell r="Z262">
            <v>6</v>
          </cell>
          <cell r="AA262" t="str">
            <v>6ｲﾝﾁFWP</v>
          </cell>
          <cell r="AB262">
            <v>1450</v>
          </cell>
          <cell r="AC262">
            <v>3</v>
          </cell>
          <cell r="AD262" t="str">
            <v>3ｲﾝﾁABS</v>
          </cell>
          <cell r="AE262">
            <v>322</v>
          </cell>
          <cell r="AO262" t="str">
            <v>3UNCERANS2711450</v>
          </cell>
        </row>
        <row r="263">
          <cell r="G263" t="str">
            <v>3UNCERANS27114</v>
          </cell>
          <cell r="H263" t="str">
            <v>U</v>
          </cell>
          <cell r="I263" t="str">
            <v>N</v>
          </cell>
          <cell r="J263" t="str">
            <v>CERANS</v>
          </cell>
          <cell r="K263">
            <v>27114</v>
          </cell>
          <cell r="L263" t="str">
            <v>セラピール　ＰＪ２７１（１４）</v>
          </cell>
          <cell r="M263" t="str">
            <v>3UNCERANS27114501310</v>
          </cell>
          <cell r="N263" t="str">
            <v>3UNCERANS2711450650</v>
          </cell>
          <cell r="O263">
            <v>50</v>
          </cell>
          <cell r="P263">
            <v>3</v>
          </cell>
          <cell r="Q263" t="str">
            <v>S28M</v>
          </cell>
          <cell r="R263">
            <v>1310</v>
          </cell>
          <cell r="S263">
            <v>6400</v>
          </cell>
          <cell r="T263">
            <v>650</v>
          </cell>
          <cell r="U263">
            <v>650</v>
          </cell>
          <cell r="V263">
            <v>150</v>
          </cell>
          <cell r="W263">
            <v>2</v>
          </cell>
          <cell r="X263" t="str">
            <v>CF3</v>
          </cell>
          <cell r="Y263" t="str">
            <v>SL-1</v>
          </cell>
          <cell r="Z263">
            <v>6</v>
          </cell>
          <cell r="AA263" t="str">
            <v>6ｲﾝﾁFWP</v>
          </cell>
          <cell r="AB263">
            <v>1450</v>
          </cell>
          <cell r="AC263">
            <v>3</v>
          </cell>
          <cell r="AD263" t="str">
            <v>3ｲﾝﾁABS</v>
          </cell>
          <cell r="AE263">
            <v>700</v>
          </cell>
          <cell r="AO263" t="str">
            <v>3UNCERANS2711450</v>
          </cell>
        </row>
        <row r="264">
          <cell r="G264" t="str">
            <v>3UYCERANS27114</v>
          </cell>
          <cell r="H264" t="str">
            <v>U</v>
          </cell>
          <cell r="I264" t="str">
            <v>Y</v>
          </cell>
          <cell r="J264" t="str">
            <v>CERANS</v>
          </cell>
          <cell r="K264">
            <v>27114</v>
          </cell>
          <cell r="L264" t="str">
            <v>セラピール　ＰＪ２７１（１４）</v>
          </cell>
          <cell r="M264" t="str">
            <v>3UYCERANS27114751310</v>
          </cell>
          <cell r="N264" t="str">
            <v>3UYCERANS2711475180</v>
          </cell>
          <cell r="O264">
            <v>75</v>
          </cell>
          <cell r="P264">
            <v>3</v>
          </cell>
          <cell r="Q264" t="str">
            <v>S28</v>
          </cell>
          <cell r="R264">
            <v>1310</v>
          </cell>
          <cell r="S264">
            <v>4500</v>
          </cell>
          <cell r="T264">
            <v>180</v>
          </cell>
          <cell r="U264">
            <v>180</v>
          </cell>
          <cell r="V264">
            <v>2000</v>
          </cell>
          <cell r="W264">
            <v>2</v>
          </cell>
          <cell r="X264" t="str">
            <v>CF3</v>
          </cell>
          <cell r="Y264" t="str">
            <v>SL-1</v>
          </cell>
          <cell r="Z264">
            <v>6</v>
          </cell>
          <cell r="AA264" t="str">
            <v>6ｲﾝﾁFWP</v>
          </cell>
          <cell r="AB264">
            <v>1450</v>
          </cell>
          <cell r="AE264">
            <v>180</v>
          </cell>
          <cell r="AM264" t="str">
            <v>試作中止のため不明</v>
          </cell>
          <cell r="AO264" t="str">
            <v>3UYCERANS2711475</v>
          </cell>
        </row>
        <row r="265">
          <cell r="G265" t="str">
            <v>3UYCERANS27114</v>
          </cell>
          <cell r="H265" t="str">
            <v>U</v>
          </cell>
          <cell r="I265" t="str">
            <v>Y</v>
          </cell>
          <cell r="J265" t="str">
            <v>CERANS</v>
          </cell>
          <cell r="K265">
            <v>27114</v>
          </cell>
          <cell r="L265" t="str">
            <v>セラピール　ＰＪ２７１（１４）</v>
          </cell>
          <cell r="M265" t="str">
            <v>3UYCERANS27114751310</v>
          </cell>
          <cell r="N265" t="str">
            <v>3UYCERANS2711475240</v>
          </cell>
          <cell r="O265">
            <v>75</v>
          </cell>
          <cell r="P265">
            <v>3</v>
          </cell>
          <cell r="Q265" t="str">
            <v>S28</v>
          </cell>
          <cell r="R265">
            <v>1310</v>
          </cell>
          <cell r="S265">
            <v>4500</v>
          </cell>
          <cell r="T265">
            <v>240</v>
          </cell>
          <cell r="U265">
            <v>240</v>
          </cell>
          <cell r="V265">
            <v>2000</v>
          </cell>
          <cell r="W265">
            <v>2</v>
          </cell>
          <cell r="X265" t="str">
            <v>CF3</v>
          </cell>
          <cell r="Y265" t="str">
            <v>SL-1</v>
          </cell>
          <cell r="Z265">
            <v>6</v>
          </cell>
          <cell r="AA265" t="str">
            <v>6ｲﾝﾁFWP</v>
          </cell>
          <cell r="AB265">
            <v>1450</v>
          </cell>
          <cell r="AE265">
            <v>240</v>
          </cell>
          <cell r="AM265" t="str">
            <v>試作中止のため不明</v>
          </cell>
          <cell r="AO265" t="str">
            <v>3UYCERANS2711475</v>
          </cell>
        </row>
        <row r="266">
          <cell r="G266" t="str">
            <v>3UYCERANS27114</v>
          </cell>
          <cell r="H266" t="str">
            <v>U</v>
          </cell>
          <cell r="I266" t="str">
            <v>Y</v>
          </cell>
          <cell r="J266" t="str">
            <v>CERANS</v>
          </cell>
          <cell r="K266">
            <v>27114</v>
          </cell>
          <cell r="L266" t="str">
            <v>セラピール　ＰＪ２７１（１４）</v>
          </cell>
          <cell r="M266" t="str">
            <v>3UYCERANS27114751310</v>
          </cell>
          <cell r="N266" t="str">
            <v>3UYCERANS2711475280</v>
          </cell>
          <cell r="O266">
            <v>75</v>
          </cell>
          <cell r="P266">
            <v>3</v>
          </cell>
          <cell r="Q266" t="str">
            <v>S28</v>
          </cell>
          <cell r="R266">
            <v>1310</v>
          </cell>
          <cell r="S266">
            <v>4500</v>
          </cell>
          <cell r="T266">
            <v>280</v>
          </cell>
          <cell r="U266">
            <v>280</v>
          </cell>
          <cell r="V266">
            <v>2000</v>
          </cell>
          <cell r="W266">
            <v>2</v>
          </cell>
          <cell r="X266" t="str">
            <v>CF3</v>
          </cell>
          <cell r="Y266" t="str">
            <v>SL-1</v>
          </cell>
          <cell r="Z266">
            <v>6</v>
          </cell>
          <cell r="AA266" t="str">
            <v>6ｲﾝﾁFWP</v>
          </cell>
          <cell r="AB266">
            <v>1450</v>
          </cell>
          <cell r="AE266">
            <v>280</v>
          </cell>
          <cell r="AM266" t="str">
            <v>試作中止のため不明</v>
          </cell>
          <cell r="AO266" t="str">
            <v>3UYCERANS2711475</v>
          </cell>
        </row>
        <row r="267">
          <cell r="G267" t="str">
            <v>3UYCERANS27114</v>
          </cell>
          <cell r="H267" t="str">
            <v>U</v>
          </cell>
          <cell r="I267" t="str">
            <v>Y</v>
          </cell>
          <cell r="J267" t="str">
            <v>CERANS</v>
          </cell>
          <cell r="K267">
            <v>27114</v>
          </cell>
          <cell r="L267" t="str">
            <v>セラピール　ＰＪ２７１（１４）</v>
          </cell>
          <cell r="M267" t="str">
            <v>3UYCERANS27114751310</v>
          </cell>
          <cell r="N267" t="str">
            <v>3UYCERANS2711475305</v>
          </cell>
          <cell r="O267">
            <v>75</v>
          </cell>
          <cell r="P267">
            <v>3</v>
          </cell>
          <cell r="Q267" t="str">
            <v>S28</v>
          </cell>
          <cell r="R267">
            <v>1310</v>
          </cell>
          <cell r="S267">
            <v>4500</v>
          </cell>
          <cell r="T267">
            <v>305</v>
          </cell>
          <cell r="U267">
            <v>305</v>
          </cell>
          <cell r="V267">
            <v>2000</v>
          </cell>
          <cell r="W267">
            <v>2</v>
          </cell>
          <cell r="X267" t="str">
            <v>CF3</v>
          </cell>
          <cell r="Y267" t="str">
            <v>SL-1</v>
          </cell>
          <cell r="Z267">
            <v>6</v>
          </cell>
          <cell r="AA267" t="str">
            <v>6ｲﾝﾁFWP</v>
          </cell>
          <cell r="AB267">
            <v>1450</v>
          </cell>
          <cell r="AE267">
            <v>305</v>
          </cell>
          <cell r="AM267" t="str">
            <v>試作中止のため不明</v>
          </cell>
          <cell r="AO267" t="str">
            <v>3UYCERANS2711475</v>
          </cell>
        </row>
        <row r="268">
          <cell r="G268" t="str">
            <v>3UNCERANS27214</v>
          </cell>
          <cell r="H268" t="str">
            <v>U</v>
          </cell>
          <cell r="I268" t="str">
            <v>N</v>
          </cell>
          <cell r="J268" t="str">
            <v>CERANS</v>
          </cell>
          <cell r="K268">
            <v>27214</v>
          </cell>
          <cell r="L268" t="str">
            <v>セラピール　ＰＪ２７２（１４）</v>
          </cell>
          <cell r="M268" t="str">
            <v>3UNCERANS27214751120</v>
          </cell>
          <cell r="N268" t="str">
            <v>3UNCERANS2721475350</v>
          </cell>
          <cell r="O268">
            <v>75</v>
          </cell>
          <cell r="P268">
            <v>3</v>
          </cell>
          <cell r="Q268" t="str">
            <v>S28</v>
          </cell>
          <cell r="R268">
            <v>1120</v>
          </cell>
          <cell r="S268">
            <v>3000</v>
          </cell>
          <cell r="T268">
            <v>350</v>
          </cell>
          <cell r="U268">
            <v>350</v>
          </cell>
          <cell r="V268">
            <v>500</v>
          </cell>
          <cell r="W268">
            <v>2</v>
          </cell>
          <cell r="X268" t="str">
            <v>CF3</v>
          </cell>
          <cell r="Y268" t="str">
            <v>SL-1</v>
          </cell>
          <cell r="Z268">
            <v>6</v>
          </cell>
          <cell r="AA268" t="str">
            <v>6ｲﾝﾁFWP</v>
          </cell>
          <cell r="AB268">
            <v>1450</v>
          </cell>
          <cell r="AC268">
            <v>3</v>
          </cell>
          <cell r="AD268" t="str">
            <v>3ｲﾝﾁABS</v>
          </cell>
          <cell r="AE268">
            <v>404</v>
          </cell>
          <cell r="AM268" t="str">
            <v>試作中止のため不明</v>
          </cell>
          <cell r="AO268" t="str">
            <v>3UNCERANS2721475</v>
          </cell>
        </row>
        <row r="269">
          <cell r="G269" t="str">
            <v>3UYCERANS27114</v>
          </cell>
          <cell r="H269" t="str">
            <v>U</v>
          </cell>
          <cell r="I269" t="str">
            <v>Y</v>
          </cell>
          <cell r="J269" t="str">
            <v>CERANS</v>
          </cell>
          <cell r="K269">
            <v>27114</v>
          </cell>
          <cell r="L269" t="str">
            <v>セラピール　ＰＪ２７１（１４）</v>
          </cell>
          <cell r="M269" t="str">
            <v>3UYCERANS27114751310</v>
          </cell>
          <cell r="N269" t="str">
            <v>3UYCERANS27114751300</v>
          </cell>
          <cell r="O269">
            <v>75</v>
          </cell>
          <cell r="P269">
            <v>3</v>
          </cell>
          <cell r="Q269" t="str">
            <v>S28</v>
          </cell>
          <cell r="R269">
            <v>1310</v>
          </cell>
          <cell r="S269">
            <v>4500</v>
          </cell>
          <cell r="T269">
            <v>1300</v>
          </cell>
          <cell r="U269">
            <v>1300</v>
          </cell>
          <cell r="V269">
            <v>4500</v>
          </cell>
          <cell r="W269">
            <v>2</v>
          </cell>
          <cell r="X269" t="str">
            <v>CF3</v>
          </cell>
          <cell r="Y269" t="str">
            <v>直出し</v>
          </cell>
          <cell r="Z269">
            <v>6</v>
          </cell>
          <cell r="AA269" t="str">
            <v>6ｲﾝﾁFWP</v>
          </cell>
          <cell r="AB269">
            <v>1450</v>
          </cell>
          <cell r="AO269" t="str">
            <v>3UYCERANS2711475</v>
          </cell>
        </row>
        <row r="270">
          <cell r="G270" t="str">
            <v>3UYCERANS27114</v>
          </cell>
          <cell r="H270" t="str">
            <v>U</v>
          </cell>
          <cell r="I270" t="str">
            <v>Y</v>
          </cell>
          <cell r="J270" t="str">
            <v>CERANS</v>
          </cell>
          <cell r="K270">
            <v>27114</v>
          </cell>
          <cell r="L270" t="str">
            <v>セラピール　ＰＪ２７１（１４）</v>
          </cell>
          <cell r="M270" t="str">
            <v>3UYCERANS27114751310</v>
          </cell>
          <cell r="N270" t="str">
            <v>3UYCERANS27114751300</v>
          </cell>
          <cell r="O270">
            <v>75</v>
          </cell>
          <cell r="P270">
            <v>3</v>
          </cell>
          <cell r="Q270" t="str">
            <v>S28</v>
          </cell>
          <cell r="R270">
            <v>1310</v>
          </cell>
          <cell r="S270">
            <v>4500</v>
          </cell>
          <cell r="T270">
            <v>1300</v>
          </cell>
          <cell r="U270">
            <v>1300</v>
          </cell>
          <cell r="V270">
            <v>2000</v>
          </cell>
          <cell r="W270">
            <v>2</v>
          </cell>
          <cell r="X270" t="str">
            <v>CF3</v>
          </cell>
          <cell r="Y270" t="str">
            <v>直出し</v>
          </cell>
          <cell r="Z270">
            <v>6</v>
          </cell>
          <cell r="AA270" t="str">
            <v>6ｲﾝﾁFWP</v>
          </cell>
          <cell r="AB270">
            <v>1450</v>
          </cell>
          <cell r="AO270" t="str">
            <v>3UYCERANS2711475</v>
          </cell>
        </row>
        <row r="271">
          <cell r="G271" t="str">
            <v>3UNCERANS27114</v>
          </cell>
          <cell r="H271" t="str">
            <v>U</v>
          </cell>
          <cell r="I271" t="str">
            <v>N</v>
          </cell>
          <cell r="J271" t="str">
            <v>CERANS</v>
          </cell>
          <cell r="K271">
            <v>27114</v>
          </cell>
          <cell r="L271" t="str">
            <v>セラピール　ＰＪ２７１（１４）</v>
          </cell>
          <cell r="M271" t="str">
            <v>3UNCERANS271141881134</v>
          </cell>
          <cell r="N271" t="str">
            <v>3UNCERANS27114188180</v>
          </cell>
          <cell r="O271">
            <v>188</v>
          </cell>
          <cell r="P271">
            <v>3</v>
          </cell>
          <cell r="Q271" t="str">
            <v>S28M</v>
          </cell>
          <cell r="R271">
            <v>1134</v>
          </cell>
          <cell r="S271">
            <v>1800</v>
          </cell>
          <cell r="T271">
            <v>180</v>
          </cell>
          <cell r="U271">
            <v>180</v>
          </cell>
          <cell r="V271">
            <v>100</v>
          </cell>
          <cell r="W271">
            <v>2</v>
          </cell>
          <cell r="X271" t="str">
            <v>CF3</v>
          </cell>
          <cell r="Y271" t="str">
            <v>SL-1</v>
          </cell>
          <cell r="Z271">
            <v>6</v>
          </cell>
          <cell r="AA271" t="str">
            <v>6ｲﾝﾁFWP</v>
          </cell>
          <cell r="AB271">
            <v>1450</v>
          </cell>
          <cell r="AC271">
            <v>3</v>
          </cell>
          <cell r="AD271" t="str">
            <v>3ｲﾝﾁABS</v>
          </cell>
          <cell r="AE271">
            <v>200</v>
          </cell>
          <cell r="AO271" t="str">
            <v>3UNCERANS27114188</v>
          </cell>
        </row>
        <row r="272">
          <cell r="G272" t="str">
            <v>3UNCERANS27114</v>
          </cell>
          <cell r="H272" t="str">
            <v>U</v>
          </cell>
          <cell r="I272" t="str">
            <v>N</v>
          </cell>
          <cell r="J272" t="str">
            <v>CERANS</v>
          </cell>
          <cell r="K272">
            <v>27114</v>
          </cell>
          <cell r="L272" t="str">
            <v>セラピール　ＰＪ２７１（１４）</v>
          </cell>
          <cell r="M272" t="str">
            <v>3UNCERANS27114381050</v>
          </cell>
          <cell r="N272" t="str">
            <v>3UNCERANS2711438750</v>
          </cell>
          <cell r="O272">
            <v>38</v>
          </cell>
          <cell r="P272">
            <v>3</v>
          </cell>
          <cell r="Q272" t="str">
            <v>S27</v>
          </cell>
          <cell r="R272">
            <v>1050</v>
          </cell>
          <cell r="S272">
            <v>8000</v>
          </cell>
          <cell r="T272">
            <v>750</v>
          </cell>
          <cell r="U272">
            <v>750</v>
          </cell>
          <cell r="V272">
            <v>5800</v>
          </cell>
          <cell r="W272">
            <v>2</v>
          </cell>
          <cell r="X272" t="str">
            <v>CF3</v>
          </cell>
          <cell r="Y272" t="str">
            <v>SL-1</v>
          </cell>
          <cell r="Z272">
            <v>6</v>
          </cell>
          <cell r="AA272" t="str">
            <v>6ｲﾝﾁFWP</v>
          </cell>
          <cell r="AB272">
            <v>1450</v>
          </cell>
          <cell r="AC272">
            <v>6</v>
          </cell>
          <cell r="AD272" t="str">
            <v>6ｲﾝﾁFWP</v>
          </cell>
          <cell r="AE272">
            <v>930</v>
          </cell>
          <cell r="AO272" t="str">
            <v>3UNCERANS2711438</v>
          </cell>
        </row>
        <row r="273">
          <cell r="G273" t="str">
            <v>3UNCERANSPJ3114</v>
          </cell>
          <cell r="H273" t="str">
            <v>U</v>
          </cell>
          <cell r="I273" t="str">
            <v>N</v>
          </cell>
          <cell r="J273" t="str">
            <v>CERANS</v>
          </cell>
          <cell r="K273" t="str">
            <v>PJ3114</v>
          </cell>
          <cell r="L273" t="str">
            <v>セラピール　ＰＪ３１（１４）</v>
          </cell>
          <cell r="M273" t="str">
            <v>3UNCERANSPJ3114501310</v>
          </cell>
          <cell r="N273" t="str">
            <v>3UNCERANSPJ311450300</v>
          </cell>
          <cell r="O273">
            <v>50</v>
          </cell>
          <cell r="P273">
            <v>3</v>
          </cell>
          <cell r="Q273" t="str">
            <v>S28M</v>
          </cell>
          <cell r="R273">
            <v>1310</v>
          </cell>
          <cell r="S273">
            <v>6400</v>
          </cell>
          <cell r="T273">
            <v>300</v>
          </cell>
          <cell r="U273">
            <v>300</v>
          </cell>
          <cell r="V273">
            <v>200</v>
          </cell>
          <cell r="W273">
            <v>2</v>
          </cell>
          <cell r="X273" t="str">
            <v>CF3</v>
          </cell>
          <cell r="Y273" t="str">
            <v>SL-1</v>
          </cell>
          <cell r="Z273">
            <v>6</v>
          </cell>
          <cell r="AA273" t="str">
            <v>6ｲﾝﾁFWP</v>
          </cell>
          <cell r="AB273">
            <v>1450</v>
          </cell>
          <cell r="AC273">
            <v>3</v>
          </cell>
          <cell r="AD273" t="str">
            <v>3ｲﾝﾁABS</v>
          </cell>
          <cell r="AE273">
            <v>322</v>
          </cell>
          <cell r="AO273" t="str">
            <v>3UNCERANSPJ311450</v>
          </cell>
        </row>
        <row r="274">
          <cell r="G274" t="str">
            <v>3UNCERANSPJ3114</v>
          </cell>
          <cell r="H274" t="str">
            <v>U</v>
          </cell>
          <cell r="I274" t="str">
            <v>N</v>
          </cell>
          <cell r="J274" t="str">
            <v>CERANS</v>
          </cell>
          <cell r="K274" t="str">
            <v>PJ3114</v>
          </cell>
          <cell r="L274" t="str">
            <v>セラピール　ＰＪ３１（１４）</v>
          </cell>
          <cell r="M274" t="str">
            <v>3UNCERANSPJ3114751060</v>
          </cell>
          <cell r="N274" t="str">
            <v>3UNCERANSPJ3114751050</v>
          </cell>
          <cell r="O274">
            <v>75</v>
          </cell>
          <cell r="P274">
            <v>3</v>
          </cell>
          <cell r="Q274" t="str">
            <v>S28M</v>
          </cell>
          <cell r="R274">
            <v>1060</v>
          </cell>
          <cell r="S274">
            <v>4300</v>
          </cell>
          <cell r="T274">
            <v>1050</v>
          </cell>
          <cell r="U274">
            <v>1050</v>
          </cell>
          <cell r="V274">
            <v>4100</v>
          </cell>
          <cell r="W274">
            <v>2</v>
          </cell>
          <cell r="X274" t="str">
            <v>CF3</v>
          </cell>
          <cell r="Y274" t="str">
            <v>直出し</v>
          </cell>
          <cell r="Z274">
            <v>6</v>
          </cell>
          <cell r="AA274" t="str">
            <v>6ｲﾝﾁFWP</v>
          </cell>
          <cell r="AB274">
            <v>1450</v>
          </cell>
          <cell r="AO274" t="str">
            <v>3UNCERANSPJ311475</v>
          </cell>
        </row>
        <row r="275">
          <cell r="G275" t="str">
            <v>3UYCERANSG14</v>
          </cell>
          <cell r="H275" t="str">
            <v>U</v>
          </cell>
          <cell r="I275" t="str">
            <v>Y</v>
          </cell>
          <cell r="J275" t="str">
            <v>CERANS</v>
          </cell>
          <cell r="K275" t="str">
            <v>G14</v>
          </cell>
          <cell r="L275" t="str">
            <v>セラピール　Ｇ（１４）</v>
          </cell>
          <cell r="M275" t="str">
            <v>3UYCERANSG14751310</v>
          </cell>
          <cell r="N275" t="str">
            <v>3UYCERANSG14751310</v>
          </cell>
          <cell r="O275">
            <v>75</v>
          </cell>
          <cell r="P275">
            <v>3</v>
          </cell>
          <cell r="Q275" t="str">
            <v>S28</v>
          </cell>
          <cell r="R275">
            <v>1310</v>
          </cell>
          <cell r="S275">
            <v>4500</v>
          </cell>
          <cell r="T275">
            <v>1300</v>
          </cell>
          <cell r="U275">
            <v>1310</v>
          </cell>
          <cell r="V275">
            <v>3300</v>
          </cell>
          <cell r="W275">
            <v>2</v>
          </cell>
          <cell r="X275" t="str">
            <v>CF3</v>
          </cell>
          <cell r="Y275" t="str">
            <v>直出し</v>
          </cell>
          <cell r="Z275">
            <v>6</v>
          </cell>
          <cell r="AA275" t="str">
            <v>6ｲﾝﾁFWP</v>
          </cell>
          <cell r="AB275">
            <v>1450</v>
          </cell>
          <cell r="AO275" t="str">
            <v>3UYCERANSG1475</v>
          </cell>
        </row>
        <row r="276">
          <cell r="G276" t="str">
            <v>3UYCERANS271G14</v>
          </cell>
          <cell r="H276" t="str">
            <v>U</v>
          </cell>
          <cell r="I276" t="str">
            <v>Y</v>
          </cell>
          <cell r="J276" t="str">
            <v>CERANS</v>
          </cell>
          <cell r="K276" t="str">
            <v>271G14</v>
          </cell>
          <cell r="L276" t="str">
            <v>セラピール　ＰＪ２７１Ｇ（１４）</v>
          </cell>
          <cell r="M276" t="str">
            <v>3UYCERANS271G14751310</v>
          </cell>
          <cell r="N276" t="str">
            <v>3UYCERANS271G1475205</v>
          </cell>
          <cell r="O276">
            <v>75</v>
          </cell>
          <cell r="P276">
            <v>3</v>
          </cell>
          <cell r="Q276" t="str">
            <v>S28</v>
          </cell>
          <cell r="R276">
            <v>1310</v>
          </cell>
          <cell r="S276">
            <v>4500</v>
          </cell>
          <cell r="T276">
            <v>205</v>
          </cell>
          <cell r="U276">
            <v>205</v>
          </cell>
          <cell r="V276">
            <v>300</v>
          </cell>
          <cell r="W276">
            <v>2</v>
          </cell>
          <cell r="X276" t="str">
            <v>CF3</v>
          </cell>
          <cell r="Y276" t="str">
            <v>SL-1</v>
          </cell>
          <cell r="Z276">
            <v>6</v>
          </cell>
          <cell r="AA276" t="str">
            <v>6ｲﾝﾁFWP</v>
          </cell>
          <cell r="AB276">
            <v>1450</v>
          </cell>
          <cell r="AC276">
            <v>3</v>
          </cell>
          <cell r="AD276" t="str">
            <v>3ｲﾝﾁABS</v>
          </cell>
          <cell r="AE276">
            <v>220</v>
          </cell>
          <cell r="AO276" t="str">
            <v>3UYCERANS271G1475</v>
          </cell>
        </row>
        <row r="277">
          <cell r="G277" t="str">
            <v>3UYCERANS271/G14</v>
          </cell>
          <cell r="H277" t="str">
            <v>U</v>
          </cell>
          <cell r="I277" t="str">
            <v>Y</v>
          </cell>
          <cell r="J277" t="str">
            <v>CERANS</v>
          </cell>
          <cell r="K277" t="str">
            <v>271/G14</v>
          </cell>
          <cell r="L277" t="str">
            <v>セラピール　ＰＪ２７１／Ｇ（１４）</v>
          </cell>
          <cell r="M277" t="str">
            <v>3UYCERANS271/G14751310</v>
          </cell>
          <cell r="N277" t="str">
            <v>3UYCERANS271/G1475205</v>
          </cell>
          <cell r="O277">
            <v>75</v>
          </cell>
          <cell r="P277">
            <v>3</v>
          </cell>
          <cell r="Q277" t="str">
            <v>S28</v>
          </cell>
          <cell r="R277">
            <v>1310</v>
          </cell>
          <cell r="S277">
            <v>4500</v>
          </cell>
          <cell r="T277">
            <v>205</v>
          </cell>
          <cell r="U277">
            <v>205</v>
          </cell>
          <cell r="V277">
            <v>300</v>
          </cell>
          <cell r="W277">
            <v>2</v>
          </cell>
          <cell r="X277" t="str">
            <v>CF3</v>
          </cell>
          <cell r="Y277" t="str">
            <v>SL-1</v>
          </cell>
          <cell r="Z277">
            <v>6</v>
          </cell>
          <cell r="AA277" t="str">
            <v>6ｲﾝﾁFWP</v>
          </cell>
          <cell r="AB277">
            <v>1450</v>
          </cell>
          <cell r="AC277">
            <v>3</v>
          </cell>
          <cell r="AD277" t="str">
            <v>3ｲﾝﾁABS</v>
          </cell>
          <cell r="AE277">
            <v>220</v>
          </cell>
          <cell r="AO277" t="str">
            <v>3UYCERANS271/G1475</v>
          </cell>
        </row>
        <row r="278">
          <cell r="G278" t="str">
            <v>3UYCERANS27140</v>
          </cell>
          <cell r="H278" t="str">
            <v>U</v>
          </cell>
          <cell r="I278" t="str">
            <v>Y</v>
          </cell>
          <cell r="J278" t="str">
            <v>CERANS</v>
          </cell>
          <cell r="K278">
            <v>27140</v>
          </cell>
          <cell r="L278" t="str">
            <v>セラピール　ＰＪ２７１（４０）</v>
          </cell>
          <cell r="M278" t="str">
            <v>3UYCERANS27140751080</v>
          </cell>
          <cell r="N278" t="str">
            <v>3UYCERANS2714075205</v>
          </cell>
          <cell r="O278">
            <v>75</v>
          </cell>
          <cell r="P278">
            <v>3</v>
          </cell>
          <cell r="Q278" t="str">
            <v>XD5AD2</v>
          </cell>
          <cell r="R278">
            <v>1080</v>
          </cell>
          <cell r="S278">
            <v>600</v>
          </cell>
          <cell r="T278">
            <v>205</v>
          </cell>
          <cell r="U278">
            <v>205</v>
          </cell>
          <cell r="V278">
            <v>300</v>
          </cell>
          <cell r="W278">
            <v>2</v>
          </cell>
          <cell r="X278" t="str">
            <v>CF3</v>
          </cell>
          <cell r="Y278" t="str">
            <v>SL-1</v>
          </cell>
          <cell r="Z278">
            <v>6</v>
          </cell>
          <cell r="AA278" t="str">
            <v>6ｲﾝﾁFWP</v>
          </cell>
          <cell r="AB278">
            <v>1450</v>
          </cell>
          <cell r="AC278">
            <v>3</v>
          </cell>
          <cell r="AD278" t="str">
            <v>3ｲﾝﾁABS</v>
          </cell>
          <cell r="AE278">
            <v>220</v>
          </cell>
          <cell r="AO278" t="str">
            <v>3UYCERANS2714075</v>
          </cell>
        </row>
        <row r="279">
          <cell r="G279" t="str">
            <v>3KSUYCERANS27114</v>
          </cell>
          <cell r="H279" t="str">
            <v>U</v>
          </cell>
          <cell r="I279" t="str">
            <v>Y</v>
          </cell>
          <cell r="J279" t="str">
            <v>CERANS</v>
          </cell>
          <cell r="K279">
            <v>27114</v>
          </cell>
          <cell r="L279" t="str">
            <v>セラピール　ＰＪ２７１（１４）</v>
          </cell>
          <cell r="M279" t="str">
            <v>3KSUYCERANS27114751300</v>
          </cell>
          <cell r="N279" t="str">
            <v>3KSUYCERANS2711475180</v>
          </cell>
          <cell r="O279">
            <v>75</v>
          </cell>
          <cell r="P279" t="str">
            <v>3KS</v>
          </cell>
          <cell r="Q279" t="str">
            <v>S28</v>
          </cell>
          <cell r="R279">
            <v>1300</v>
          </cell>
          <cell r="S279">
            <v>4300</v>
          </cell>
          <cell r="T279">
            <v>180</v>
          </cell>
          <cell r="U279">
            <v>180</v>
          </cell>
          <cell r="V279">
            <v>2000</v>
          </cell>
          <cell r="W279">
            <v>2</v>
          </cell>
          <cell r="X279" t="str">
            <v>CF3</v>
          </cell>
          <cell r="Y279" t="str">
            <v>SL-1</v>
          </cell>
          <cell r="Z279">
            <v>6</v>
          </cell>
          <cell r="AA279" t="str">
            <v>6ｲﾝﾁFWP</v>
          </cell>
          <cell r="AB279">
            <v>1450</v>
          </cell>
          <cell r="AC279">
            <v>3</v>
          </cell>
          <cell r="AD279" t="str">
            <v>3ｲﾝﾁABS</v>
          </cell>
          <cell r="AE279">
            <v>180</v>
          </cell>
          <cell r="AM279" t="str">
            <v>試作中止のため不明</v>
          </cell>
          <cell r="AO279" t="str">
            <v>3KSUYCERANS2711475</v>
          </cell>
        </row>
        <row r="280">
          <cell r="G280" t="str">
            <v>3KSUYCERANS27114</v>
          </cell>
          <cell r="H280" t="str">
            <v>U</v>
          </cell>
          <cell r="I280" t="str">
            <v>Y</v>
          </cell>
          <cell r="J280" t="str">
            <v>CERANS</v>
          </cell>
          <cell r="K280">
            <v>27114</v>
          </cell>
          <cell r="L280" t="str">
            <v>セラピール　ＰＪ２７１（１４）</v>
          </cell>
          <cell r="M280" t="str">
            <v>3KSUYCERANS27114751300</v>
          </cell>
          <cell r="N280" t="str">
            <v>3KSUYCERANS2711475240</v>
          </cell>
          <cell r="O280">
            <v>75</v>
          </cell>
          <cell r="P280" t="str">
            <v>3KS</v>
          </cell>
          <cell r="Q280" t="str">
            <v>S28</v>
          </cell>
          <cell r="R280">
            <v>1300</v>
          </cell>
          <cell r="S280">
            <v>4300</v>
          </cell>
          <cell r="T280">
            <v>240</v>
          </cell>
          <cell r="U280">
            <v>240</v>
          </cell>
          <cell r="V280">
            <v>2000</v>
          </cell>
          <cell r="W280">
            <v>2</v>
          </cell>
          <cell r="X280" t="str">
            <v>CF3</v>
          </cell>
          <cell r="Y280" t="str">
            <v>SL-1</v>
          </cell>
          <cell r="Z280">
            <v>6</v>
          </cell>
          <cell r="AA280" t="str">
            <v>6ｲﾝﾁFWP</v>
          </cell>
          <cell r="AB280">
            <v>1450</v>
          </cell>
          <cell r="AC280">
            <v>3</v>
          </cell>
          <cell r="AD280" t="str">
            <v>3ｲﾝﾁABS</v>
          </cell>
          <cell r="AE280">
            <v>240</v>
          </cell>
          <cell r="AM280" t="str">
            <v>試作中止のため不明</v>
          </cell>
          <cell r="AO280" t="str">
            <v>3KSUYCERANS2711475</v>
          </cell>
        </row>
        <row r="281">
          <cell r="G281" t="str">
            <v>3KSUYCERANS27114</v>
          </cell>
          <cell r="H281" t="str">
            <v>U</v>
          </cell>
          <cell r="I281" t="str">
            <v>Y</v>
          </cell>
          <cell r="J281" t="str">
            <v>CERANS</v>
          </cell>
          <cell r="K281">
            <v>27114</v>
          </cell>
          <cell r="L281" t="str">
            <v>セラピール　ＰＪ２７１（１４）</v>
          </cell>
          <cell r="M281" t="str">
            <v>3KSUYCERANS27114751300</v>
          </cell>
          <cell r="N281" t="str">
            <v>3KSUYCERANS2711475280</v>
          </cell>
          <cell r="O281">
            <v>75</v>
          </cell>
          <cell r="P281" t="str">
            <v>3KS</v>
          </cell>
          <cell r="Q281" t="str">
            <v>S28</v>
          </cell>
          <cell r="R281">
            <v>1300</v>
          </cell>
          <cell r="S281">
            <v>4300</v>
          </cell>
          <cell r="T281">
            <v>280</v>
          </cell>
          <cell r="U281">
            <v>280</v>
          </cell>
          <cell r="V281">
            <v>2000</v>
          </cell>
          <cell r="W281">
            <v>2</v>
          </cell>
          <cell r="X281" t="str">
            <v>CF3</v>
          </cell>
          <cell r="Y281" t="str">
            <v>SL-1</v>
          </cell>
          <cell r="Z281">
            <v>6</v>
          </cell>
          <cell r="AA281" t="str">
            <v>6ｲﾝﾁFWP</v>
          </cell>
          <cell r="AB281">
            <v>1450</v>
          </cell>
          <cell r="AC281">
            <v>3</v>
          </cell>
          <cell r="AD281" t="str">
            <v>3ｲﾝﾁABS</v>
          </cell>
          <cell r="AE281">
            <v>280</v>
          </cell>
          <cell r="AM281" t="str">
            <v>試作中止のため不明</v>
          </cell>
          <cell r="AO281" t="str">
            <v>3KSUYCERANS2711475</v>
          </cell>
        </row>
        <row r="282">
          <cell r="G282" t="str">
            <v>3KSUYCERANS27114</v>
          </cell>
          <cell r="H282" t="str">
            <v>U</v>
          </cell>
          <cell r="I282" t="str">
            <v>Y</v>
          </cell>
          <cell r="J282" t="str">
            <v>CERANS</v>
          </cell>
          <cell r="K282">
            <v>27114</v>
          </cell>
          <cell r="L282" t="str">
            <v>セラピール　ＰＪ２７１（１４）</v>
          </cell>
          <cell r="M282" t="str">
            <v>3KSUYCERANS27114751300</v>
          </cell>
          <cell r="N282" t="str">
            <v>3KSUYCERANS2711475685</v>
          </cell>
          <cell r="O282">
            <v>75</v>
          </cell>
          <cell r="P282" t="str">
            <v>3KS</v>
          </cell>
          <cell r="Q282" t="str">
            <v>S28</v>
          </cell>
          <cell r="R282">
            <v>1300</v>
          </cell>
          <cell r="S282">
            <v>4300</v>
          </cell>
          <cell r="T282">
            <v>685</v>
          </cell>
          <cell r="U282">
            <v>685</v>
          </cell>
          <cell r="V282">
            <v>2000</v>
          </cell>
          <cell r="W282">
            <v>2</v>
          </cell>
          <cell r="X282" t="str">
            <v>CF3</v>
          </cell>
          <cell r="Y282" t="str">
            <v>SL-1</v>
          </cell>
          <cell r="Z282">
            <v>6</v>
          </cell>
          <cell r="AA282" t="str">
            <v>6ｲﾝﾁFWP</v>
          </cell>
          <cell r="AB282">
            <v>1450</v>
          </cell>
          <cell r="AC282">
            <v>3</v>
          </cell>
          <cell r="AD282" t="str">
            <v>3ｲﾝﾁABS</v>
          </cell>
          <cell r="AE282">
            <v>700</v>
          </cell>
          <cell r="AM282" t="str">
            <v>試作中止のため不明</v>
          </cell>
          <cell r="AO282" t="str">
            <v>3KSUYCERANS2711475</v>
          </cell>
        </row>
        <row r="283">
          <cell r="G283" t="str">
            <v>3KSUYCERANS27114</v>
          </cell>
          <cell r="H283" t="str">
            <v>U</v>
          </cell>
          <cell r="I283" t="str">
            <v>Y</v>
          </cell>
          <cell r="J283" t="str">
            <v>CERANS</v>
          </cell>
          <cell r="K283">
            <v>27114</v>
          </cell>
          <cell r="L283" t="str">
            <v>セラピール　ＰＪ２７１（１４）</v>
          </cell>
          <cell r="M283" t="str">
            <v>3KSUYCERANS27114751300</v>
          </cell>
          <cell r="N283" t="str">
            <v>3KSUYCERANS2711475590</v>
          </cell>
          <cell r="O283">
            <v>75</v>
          </cell>
          <cell r="P283" t="str">
            <v>3KS</v>
          </cell>
          <cell r="Q283" t="str">
            <v>S28</v>
          </cell>
          <cell r="R283">
            <v>1300</v>
          </cell>
          <cell r="S283">
            <v>4300</v>
          </cell>
          <cell r="T283">
            <v>590</v>
          </cell>
          <cell r="U283">
            <v>590</v>
          </cell>
          <cell r="V283">
            <v>2000</v>
          </cell>
          <cell r="W283">
            <v>2</v>
          </cell>
          <cell r="X283" t="str">
            <v>CF3</v>
          </cell>
          <cell r="Y283" t="str">
            <v>SL-1</v>
          </cell>
          <cell r="Z283">
            <v>6</v>
          </cell>
          <cell r="AA283" t="str">
            <v>6ｲﾝﾁFWP</v>
          </cell>
          <cell r="AB283">
            <v>1450</v>
          </cell>
          <cell r="AC283">
            <v>3</v>
          </cell>
          <cell r="AD283" t="str">
            <v>3ｲﾝﾁABS</v>
          </cell>
          <cell r="AE283">
            <v>305</v>
          </cell>
          <cell r="AM283" t="str">
            <v>試作中止のため不明</v>
          </cell>
          <cell r="AO283" t="str">
            <v>3KSUYCERANS2711475</v>
          </cell>
        </row>
        <row r="284">
          <cell r="G284" t="str">
            <v>3UNCERANS27114</v>
          </cell>
          <cell r="H284" t="str">
            <v>U</v>
          </cell>
          <cell r="I284" t="str">
            <v>N</v>
          </cell>
          <cell r="J284" t="str">
            <v>CERANS</v>
          </cell>
          <cell r="K284">
            <v>27114</v>
          </cell>
          <cell r="L284" t="str">
            <v>セラピール　ＰＪ２７１（１４）</v>
          </cell>
          <cell r="M284" t="str">
            <v>3UNCERANS27114751310</v>
          </cell>
          <cell r="N284" t="str">
            <v>3UNCERANS2711475180</v>
          </cell>
          <cell r="O284">
            <v>75</v>
          </cell>
          <cell r="P284">
            <v>3</v>
          </cell>
          <cell r="Q284" t="str">
            <v>S28</v>
          </cell>
          <cell r="R284">
            <v>1310</v>
          </cell>
          <cell r="S284">
            <v>4500</v>
          </cell>
          <cell r="T284">
            <v>180</v>
          </cell>
          <cell r="U284">
            <v>180</v>
          </cell>
          <cell r="V284">
            <v>2000</v>
          </cell>
          <cell r="W284">
            <v>2</v>
          </cell>
          <cell r="X284" t="str">
            <v>CF3</v>
          </cell>
          <cell r="Y284" t="str">
            <v>SL-1</v>
          </cell>
          <cell r="Z284">
            <v>6</v>
          </cell>
          <cell r="AA284" t="str">
            <v>6ｲﾝﾁFWP</v>
          </cell>
          <cell r="AB284">
            <v>1450</v>
          </cell>
          <cell r="AE284">
            <v>180</v>
          </cell>
          <cell r="AM284" t="str">
            <v>試作中止のため不明</v>
          </cell>
          <cell r="AO284" t="str">
            <v>3UNCERANS2711475</v>
          </cell>
        </row>
        <row r="285">
          <cell r="G285" t="str">
            <v>3UNCERANS27114</v>
          </cell>
          <cell r="H285" t="str">
            <v>U</v>
          </cell>
          <cell r="I285" t="str">
            <v>N</v>
          </cell>
          <cell r="J285" t="str">
            <v>CERANS</v>
          </cell>
          <cell r="K285">
            <v>27114</v>
          </cell>
          <cell r="L285" t="str">
            <v>セラピール　ＰＪ２７１（１４）</v>
          </cell>
          <cell r="M285" t="str">
            <v>3UNCERANS27114751310</v>
          </cell>
          <cell r="N285" t="str">
            <v>3UNCERANS2711475240</v>
          </cell>
          <cell r="O285">
            <v>75</v>
          </cell>
          <cell r="P285">
            <v>3</v>
          </cell>
          <cell r="Q285" t="str">
            <v>S28</v>
          </cell>
          <cell r="R285">
            <v>1310</v>
          </cell>
          <cell r="S285">
            <v>4500</v>
          </cell>
          <cell r="T285">
            <v>240</v>
          </cell>
          <cell r="U285">
            <v>240</v>
          </cell>
          <cell r="V285">
            <v>2000</v>
          </cell>
          <cell r="W285">
            <v>2</v>
          </cell>
          <cell r="X285" t="str">
            <v>CF3</v>
          </cell>
          <cell r="Y285" t="str">
            <v>SL-1</v>
          </cell>
          <cell r="Z285">
            <v>6</v>
          </cell>
          <cell r="AA285" t="str">
            <v>6ｲﾝﾁFWP</v>
          </cell>
          <cell r="AB285">
            <v>1450</v>
          </cell>
          <cell r="AE285">
            <v>240</v>
          </cell>
          <cell r="AM285" t="str">
            <v>試作中止のため不明</v>
          </cell>
          <cell r="AO285" t="str">
            <v>3UNCERANS2711475</v>
          </cell>
        </row>
        <row r="286">
          <cell r="G286" t="str">
            <v>3UNCERANS27114</v>
          </cell>
          <cell r="H286" t="str">
            <v>U</v>
          </cell>
          <cell r="I286" t="str">
            <v>N</v>
          </cell>
          <cell r="J286" t="str">
            <v>CERANS</v>
          </cell>
          <cell r="K286">
            <v>27114</v>
          </cell>
          <cell r="L286" t="str">
            <v>セラピール　ＰＪ２７１（１４）</v>
          </cell>
          <cell r="M286" t="str">
            <v>3UNCERANS27114751310</v>
          </cell>
          <cell r="N286" t="str">
            <v>3UNCERANS2711475280</v>
          </cell>
          <cell r="O286">
            <v>75</v>
          </cell>
          <cell r="P286">
            <v>3</v>
          </cell>
          <cell r="Q286" t="str">
            <v>S28</v>
          </cell>
          <cell r="R286">
            <v>1310</v>
          </cell>
          <cell r="S286">
            <v>4500</v>
          </cell>
          <cell r="T286">
            <v>280</v>
          </cell>
          <cell r="U286">
            <v>280</v>
          </cell>
          <cell r="V286">
            <v>2000</v>
          </cell>
          <cell r="W286">
            <v>2</v>
          </cell>
          <cell r="X286" t="str">
            <v>CF3</v>
          </cell>
          <cell r="Y286" t="str">
            <v>SL-1</v>
          </cell>
          <cell r="Z286">
            <v>6</v>
          </cell>
          <cell r="AA286" t="str">
            <v>6ｲﾝﾁFWP</v>
          </cell>
          <cell r="AB286">
            <v>1450</v>
          </cell>
          <cell r="AE286">
            <v>280</v>
          </cell>
          <cell r="AM286" t="str">
            <v>試作中止のため不明</v>
          </cell>
          <cell r="AO286" t="str">
            <v>3UNCERANS2711475</v>
          </cell>
        </row>
        <row r="287">
          <cell r="G287" t="str">
            <v>3UNCERANS27114</v>
          </cell>
          <cell r="H287" t="str">
            <v>U</v>
          </cell>
          <cell r="I287" t="str">
            <v>N</v>
          </cell>
          <cell r="J287" t="str">
            <v>CERANS</v>
          </cell>
          <cell r="K287">
            <v>27114</v>
          </cell>
          <cell r="L287" t="str">
            <v>セラピール　ＰＪ２７１（１４）</v>
          </cell>
          <cell r="M287" t="str">
            <v>3UNCERANS27114751310</v>
          </cell>
          <cell r="N287" t="str">
            <v>3UNCERANS2711475305</v>
          </cell>
          <cell r="O287">
            <v>75</v>
          </cell>
          <cell r="P287">
            <v>3</v>
          </cell>
          <cell r="Q287" t="str">
            <v>S28</v>
          </cell>
          <cell r="R287">
            <v>1310</v>
          </cell>
          <cell r="S287">
            <v>4500</v>
          </cell>
          <cell r="T287">
            <v>305</v>
          </cell>
          <cell r="U287">
            <v>305</v>
          </cell>
          <cell r="V287">
            <v>2000</v>
          </cell>
          <cell r="W287">
            <v>2</v>
          </cell>
          <cell r="X287" t="str">
            <v>CF3</v>
          </cell>
          <cell r="Y287" t="str">
            <v>SL-1</v>
          </cell>
          <cell r="Z287">
            <v>6</v>
          </cell>
          <cell r="AA287" t="str">
            <v>6ｲﾝﾁFWP</v>
          </cell>
          <cell r="AB287">
            <v>1450</v>
          </cell>
          <cell r="AE287">
            <v>305</v>
          </cell>
          <cell r="AM287" t="str">
            <v>試作中止のため不明</v>
          </cell>
          <cell r="AO287" t="str">
            <v>3UNCERANS2711475</v>
          </cell>
        </row>
        <row r="288">
          <cell r="G288" t="str">
            <v>3UNCERANS27114</v>
          </cell>
          <cell r="H288" t="str">
            <v>U</v>
          </cell>
          <cell r="I288" t="str">
            <v>N</v>
          </cell>
          <cell r="J288" t="str">
            <v>CERANS</v>
          </cell>
          <cell r="K288">
            <v>27114</v>
          </cell>
          <cell r="L288" t="str">
            <v>セラピール　ＰＪ２７１（１４）</v>
          </cell>
          <cell r="M288" t="str">
            <v>3UNCERANS27114751310</v>
          </cell>
          <cell r="N288" t="str">
            <v>3UNCERANS27114751300</v>
          </cell>
          <cell r="O288">
            <v>75</v>
          </cell>
          <cell r="P288">
            <v>3</v>
          </cell>
          <cell r="Q288" t="str">
            <v>S28</v>
          </cell>
          <cell r="R288">
            <v>1310</v>
          </cell>
          <cell r="S288">
            <v>4500</v>
          </cell>
          <cell r="T288">
            <v>1300</v>
          </cell>
          <cell r="U288">
            <v>1300</v>
          </cell>
          <cell r="V288">
            <v>2000</v>
          </cell>
          <cell r="W288">
            <v>2</v>
          </cell>
          <cell r="X288" t="str">
            <v>CF3</v>
          </cell>
          <cell r="Y288" t="str">
            <v>直出し</v>
          </cell>
          <cell r="Z288">
            <v>6</v>
          </cell>
          <cell r="AA288" t="str">
            <v>6ｲﾝﾁFWP</v>
          </cell>
          <cell r="AB288">
            <v>1450</v>
          </cell>
          <cell r="AO288" t="str">
            <v>3UNCERANS2711475</v>
          </cell>
        </row>
        <row r="289">
          <cell r="G289" t="str">
            <v>3UYCERANS27114T1</v>
          </cell>
          <cell r="H289" t="str">
            <v>U</v>
          </cell>
          <cell r="I289" t="str">
            <v>Y</v>
          </cell>
          <cell r="J289" t="str">
            <v>CERANS</v>
          </cell>
          <cell r="K289" t="str">
            <v>27114T1</v>
          </cell>
          <cell r="L289" t="str">
            <v>セラピール　ＰＪ２７１ＢＳ（１４）</v>
          </cell>
          <cell r="M289" t="str">
            <v>3UYCERANS27114T1501310</v>
          </cell>
          <cell r="N289" t="str">
            <v>3UYCERANS27114T1501300</v>
          </cell>
          <cell r="O289">
            <v>50</v>
          </cell>
          <cell r="P289">
            <v>3</v>
          </cell>
          <cell r="Q289" t="str">
            <v>S28M</v>
          </cell>
          <cell r="R289">
            <v>1310</v>
          </cell>
          <cell r="S289">
            <v>6400</v>
          </cell>
          <cell r="T289">
            <v>1300</v>
          </cell>
          <cell r="U289">
            <v>1300</v>
          </cell>
          <cell r="V289">
            <v>2200</v>
          </cell>
          <cell r="W289">
            <v>2</v>
          </cell>
          <cell r="X289" t="str">
            <v>CF3</v>
          </cell>
          <cell r="Y289" t="str">
            <v>直出し</v>
          </cell>
          <cell r="Z289">
            <v>6</v>
          </cell>
          <cell r="AA289" t="str">
            <v>6ｲﾝﾁABS</v>
          </cell>
          <cell r="AB289">
            <v>1400</v>
          </cell>
          <cell r="AO289" t="str">
            <v>3UYCERANS27114T150</v>
          </cell>
        </row>
        <row r="290">
          <cell r="G290" t="str">
            <v>3UNCERANS27114</v>
          </cell>
          <cell r="H290" t="str">
            <v>U</v>
          </cell>
          <cell r="I290" t="str">
            <v>N</v>
          </cell>
          <cell r="J290" t="str">
            <v>CERANS</v>
          </cell>
          <cell r="K290">
            <v>27114</v>
          </cell>
          <cell r="L290" t="str">
            <v>セラピール　ＰＪ２７１（１４）</v>
          </cell>
          <cell r="M290" t="str">
            <v>3UNCERANS27114381120</v>
          </cell>
          <cell r="N290" t="str">
            <v>3UNCERANS2711438750</v>
          </cell>
          <cell r="O290">
            <v>38</v>
          </cell>
          <cell r="P290">
            <v>3</v>
          </cell>
          <cell r="Q290" t="str">
            <v>S28</v>
          </cell>
          <cell r="R290">
            <v>1120</v>
          </cell>
          <cell r="S290">
            <v>3000</v>
          </cell>
          <cell r="T290">
            <v>750</v>
          </cell>
          <cell r="U290">
            <v>750</v>
          </cell>
          <cell r="V290">
            <v>2800</v>
          </cell>
          <cell r="W290">
            <v>2</v>
          </cell>
          <cell r="X290" t="str">
            <v>CF3</v>
          </cell>
          <cell r="Y290" t="str">
            <v>SL-1</v>
          </cell>
          <cell r="Z290">
            <v>6</v>
          </cell>
          <cell r="AA290" t="str">
            <v>6ｲﾝﾁFWP</v>
          </cell>
          <cell r="AB290">
            <v>1450</v>
          </cell>
          <cell r="AC290">
            <v>6</v>
          </cell>
          <cell r="AD290" t="str">
            <v>6ｲﾝﾁFWP</v>
          </cell>
          <cell r="AE290">
            <v>930</v>
          </cell>
          <cell r="AO290" t="str">
            <v>3UNCERANS2711438</v>
          </cell>
        </row>
        <row r="291">
          <cell r="G291" t="str">
            <v>3UNCERANS27114</v>
          </cell>
          <cell r="H291" t="str">
            <v>U</v>
          </cell>
          <cell r="I291" t="str">
            <v>N</v>
          </cell>
          <cell r="J291" t="str">
            <v>CERANS</v>
          </cell>
          <cell r="K291">
            <v>27114</v>
          </cell>
          <cell r="L291" t="str">
            <v>セラピール　ＰＪ２７１（１４）</v>
          </cell>
          <cell r="M291" t="str">
            <v>3UNCERANS27114381120</v>
          </cell>
          <cell r="N291" t="str">
            <v>3UNCERANS2711438750</v>
          </cell>
          <cell r="O291">
            <v>38</v>
          </cell>
          <cell r="P291">
            <v>3</v>
          </cell>
          <cell r="Q291" t="str">
            <v>S27</v>
          </cell>
          <cell r="R291">
            <v>1120</v>
          </cell>
          <cell r="S291">
            <v>3000</v>
          </cell>
          <cell r="T291">
            <v>750</v>
          </cell>
          <cell r="U291">
            <v>750</v>
          </cell>
          <cell r="V291">
            <v>2800</v>
          </cell>
          <cell r="W291">
            <v>2</v>
          </cell>
          <cell r="X291" t="str">
            <v>CF3</v>
          </cell>
          <cell r="Y291" t="str">
            <v>SL-1</v>
          </cell>
          <cell r="Z291">
            <v>6</v>
          </cell>
          <cell r="AA291" t="str">
            <v>6ｲﾝﾁFWP</v>
          </cell>
          <cell r="AB291">
            <v>1450</v>
          </cell>
          <cell r="AC291">
            <v>6</v>
          </cell>
          <cell r="AD291" t="str">
            <v>6ｲﾝﾁFWP</v>
          </cell>
          <cell r="AE291">
            <v>930</v>
          </cell>
          <cell r="AO291" t="str">
            <v>3UNCERANS2711438</v>
          </cell>
        </row>
        <row r="292">
          <cell r="G292" t="str">
            <v>3UNCERANS27114</v>
          </cell>
          <cell r="H292" t="str">
            <v>U</v>
          </cell>
          <cell r="I292" t="str">
            <v>N</v>
          </cell>
          <cell r="J292" t="str">
            <v>CERANS</v>
          </cell>
          <cell r="K292">
            <v>27114</v>
          </cell>
          <cell r="L292" t="str">
            <v>セラピール　ＰＪ２７１（１４）</v>
          </cell>
          <cell r="M292" t="str">
            <v>3UNCERANS27114381050</v>
          </cell>
          <cell r="N292" t="str">
            <v>3UNCERANS2711438750</v>
          </cell>
          <cell r="O292">
            <v>38</v>
          </cell>
          <cell r="P292">
            <v>3</v>
          </cell>
          <cell r="Q292" t="str">
            <v>S27</v>
          </cell>
          <cell r="R292">
            <v>1050</v>
          </cell>
          <cell r="S292">
            <v>6100</v>
          </cell>
          <cell r="T292">
            <v>750</v>
          </cell>
          <cell r="U292">
            <v>750</v>
          </cell>
          <cell r="V292">
            <v>5800</v>
          </cell>
          <cell r="W292">
            <v>2</v>
          </cell>
          <cell r="X292" t="str">
            <v>CF3</v>
          </cell>
          <cell r="Y292" t="str">
            <v>SL-1</v>
          </cell>
          <cell r="Z292">
            <v>6</v>
          </cell>
          <cell r="AA292" t="str">
            <v>6ｲﾝﾁFWP</v>
          </cell>
          <cell r="AB292">
            <v>1450</v>
          </cell>
          <cell r="AC292">
            <v>6</v>
          </cell>
          <cell r="AD292" t="str">
            <v>6ｲﾝﾁFWP</v>
          </cell>
          <cell r="AE292">
            <v>930</v>
          </cell>
          <cell r="AO292" t="str">
            <v>3UNCERANS2711438</v>
          </cell>
        </row>
        <row r="293">
          <cell r="G293" t="str">
            <v>3UNCERANS27114</v>
          </cell>
          <cell r="H293" t="str">
            <v>U</v>
          </cell>
          <cell r="I293" t="str">
            <v>N</v>
          </cell>
          <cell r="J293" t="str">
            <v>CERANS</v>
          </cell>
          <cell r="K293">
            <v>27114</v>
          </cell>
          <cell r="L293" t="str">
            <v>セラピール　ＰＪ２７１（１４）</v>
          </cell>
          <cell r="M293" t="str">
            <v>3UNCERANS27114501340</v>
          </cell>
          <cell r="N293" t="str">
            <v>3UNCERANS27114501050</v>
          </cell>
          <cell r="O293">
            <v>50</v>
          </cell>
          <cell r="P293">
            <v>3</v>
          </cell>
          <cell r="Q293" t="str">
            <v>S28</v>
          </cell>
          <cell r="R293">
            <v>1340</v>
          </cell>
          <cell r="S293">
            <v>4200</v>
          </cell>
          <cell r="T293">
            <v>1050</v>
          </cell>
          <cell r="U293">
            <v>1050</v>
          </cell>
          <cell r="V293">
            <v>3900</v>
          </cell>
          <cell r="W293">
            <v>2</v>
          </cell>
          <cell r="X293" t="str">
            <v>CF3</v>
          </cell>
          <cell r="Y293" t="str">
            <v>SL-1</v>
          </cell>
          <cell r="Z293">
            <v>6</v>
          </cell>
          <cell r="AA293" t="str">
            <v>6ｲﾝﾁFWP</v>
          </cell>
          <cell r="AB293">
            <v>1450</v>
          </cell>
          <cell r="AC293">
            <v>6</v>
          </cell>
          <cell r="AD293" t="str">
            <v>6ｲﾝﾁABS</v>
          </cell>
          <cell r="AE293">
            <v>1100</v>
          </cell>
          <cell r="AO293" t="str">
            <v>3UNCERANS2711450</v>
          </cell>
        </row>
        <row r="294">
          <cell r="G294" t="str">
            <v>3UNCERANS27116</v>
          </cell>
          <cell r="H294" t="str">
            <v>U</v>
          </cell>
          <cell r="I294" t="str">
            <v>N</v>
          </cell>
          <cell r="J294" t="str">
            <v>CERANS</v>
          </cell>
          <cell r="K294">
            <v>27116</v>
          </cell>
          <cell r="L294" t="str">
            <v>セラピール　ＰＪ２７１（１６）</v>
          </cell>
          <cell r="M294" t="str">
            <v>3UNCERANS2711638930</v>
          </cell>
          <cell r="N294" t="str">
            <v>3UNCERANS2711638230</v>
          </cell>
          <cell r="O294">
            <v>38</v>
          </cell>
          <cell r="P294">
            <v>3</v>
          </cell>
          <cell r="Q294" t="str">
            <v>T6AM</v>
          </cell>
          <cell r="R294">
            <v>930</v>
          </cell>
          <cell r="S294">
            <v>6225</v>
          </cell>
          <cell r="T294">
            <v>230</v>
          </cell>
          <cell r="U294">
            <v>230</v>
          </cell>
          <cell r="V294">
            <v>1000</v>
          </cell>
          <cell r="W294">
            <v>2</v>
          </cell>
          <cell r="X294" t="str">
            <v>CF3</v>
          </cell>
          <cell r="Y294" t="str">
            <v>SL-1</v>
          </cell>
          <cell r="Z294">
            <v>6</v>
          </cell>
          <cell r="AA294" t="str">
            <v>6ｲﾝﾁFWP</v>
          </cell>
          <cell r="AB294">
            <v>1450</v>
          </cell>
          <cell r="AC294">
            <v>3</v>
          </cell>
          <cell r="AD294" t="str">
            <v>3ｲﾝﾁABS</v>
          </cell>
          <cell r="AE294">
            <v>242</v>
          </cell>
          <cell r="AO294" t="str">
            <v>3UNCERANS2711638</v>
          </cell>
        </row>
        <row r="295">
          <cell r="G295" t="str">
            <v>3UNCERANS27116</v>
          </cell>
          <cell r="H295" t="str">
            <v>U</v>
          </cell>
          <cell r="I295" t="str">
            <v>N</v>
          </cell>
          <cell r="J295" t="str">
            <v>CERANS</v>
          </cell>
          <cell r="K295">
            <v>27116</v>
          </cell>
          <cell r="L295" t="str">
            <v>セラピール　ＰＪ２７１（１６）</v>
          </cell>
          <cell r="M295" t="str">
            <v>3UNCERANS2711638930</v>
          </cell>
          <cell r="N295" t="str">
            <v>3UNCERANS2711638210</v>
          </cell>
          <cell r="O295">
            <v>38</v>
          </cell>
          <cell r="P295">
            <v>3</v>
          </cell>
          <cell r="Q295" t="str">
            <v>T6AM</v>
          </cell>
          <cell r="R295">
            <v>930</v>
          </cell>
          <cell r="S295">
            <v>6225</v>
          </cell>
          <cell r="T295">
            <v>210</v>
          </cell>
          <cell r="U295">
            <v>210</v>
          </cell>
          <cell r="V295">
            <v>1000</v>
          </cell>
          <cell r="W295">
            <v>2</v>
          </cell>
          <cell r="X295" t="str">
            <v>CF3</v>
          </cell>
          <cell r="Y295" t="str">
            <v>SL-1</v>
          </cell>
          <cell r="Z295">
            <v>6</v>
          </cell>
          <cell r="AA295" t="str">
            <v>6ｲﾝﾁFWP</v>
          </cell>
          <cell r="AB295">
            <v>1450</v>
          </cell>
          <cell r="AC295">
            <v>3</v>
          </cell>
          <cell r="AD295" t="str">
            <v>3ｲﾝﾁABS</v>
          </cell>
          <cell r="AE295">
            <v>242</v>
          </cell>
          <cell r="AO295" t="str">
            <v>3UNCERANS2711638</v>
          </cell>
        </row>
        <row r="296">
          <cell r="G296" t="str">
            <v>3UNCERANS11116</v>
          </cell>
          <cell r="H296" t="str">
            <v>U</v>
          </cell>
          <cell r="I296" t="str">
            <v>N</v>
          </cell>
          <cell r="J296" t="str">
            <v>CERANS</v>
          </cell>
          <cell r="K296">
            <v>11116</v>
          </cell>
          <cell r="L296" t="str">
            <v>セラピール　ＰＪ１１１（１６）</v>
          </cell>
          <cell r="M296" t="str">
            <v>3UNCERANS1111638930</v>
          </cell>
          <cell r="N296" t="str">
            <v>3UNCERANS1111638230</v>
          </cell>
          <cell r="O296">
            <v>38</v>
          </cell>
          <cell r="P296">
            <v>3</v>
          </cell>
          <cell r="Q296" t="str">
            <v>T6AM</v>
          </cell>
          <cell r="R296">
            <v>930</v>
          </cell>
          <cell r="S296">
            <v>6225</v>
          </cell>
          <cell r="T296">
            <v>230</v>
          </cell>
          <cell r="U296">
            <v>230</v>
          </cell>
          <cell r="V296">
            <v>1000</v>
          </cell>
          <cell r="W296">
            <v>2</v>
          </cell>
          <cell r="X296" t="str">
            <v>CF3</v>
          </cell>
          <cell r="Y296" t="str">
            <v>SL-1</v>
          </cell>
          <cell r="Z296">
            <v>6</v>
          </cell>
          <cell r="AA296" t="str">
            <v>6ｲﾝﾁFWP</v>
          </cell>
          <cell r="AB296">
            <v>1450</v>
          </cell>
          <cell r="AC296">
            <v>3</v>
          </cell>
          <cell r="AD296" t="str">
            <v>3ｲﾝﾁABS</v>
          </cell>
          <cell r="AE296">
            <v>242</v>
          </cell>
          <cell r="AO296" t="str">
            <v>3UNCERANS1111638</v>
          </cell>
        </row>
        <row r="297">
          <cell r="G297" t="str">
            <v>3UNCERANS11116</v>
          </cell>
          <cell r="H297" t="str">
            <v>U</v>
          </cell>
          <cell r="I297" t="str">
            <v>N</v>
          </cell>
          <cell r="J297" t="str">
            <v>CERANS</v>
          </cell>
          <cell r="K297">
            <v>11116</v>
          </cell>
          <cell r="L297" t="str">
            <v>セラピール　ＰＪ１１１（１６）</v>
          </cell>
          <cell r="M297" t="str">
            <v>3UNCERANS1111638930</v>
          </cell>
          <cell r="N297" t="str">
            <v>3UNCERANS1111638210</v>
          </cell>
          <cell r="O297">
            <v>38</v>
          </cell>
          <cell r="P297">
            <v>3</v>
          </cell>
          <cell r="Q297" t="str">
            <v>T6AM</v>
          </cell>
          <cell r="R297">
            <v>930</v>
          </cell>
          <cell r="S297">
            <v>6225</v>
          </cell>
          <cell r="T297">
            <v>210</v>
          </cell>
          <cell r="U297">
            <v>210</v>
          </cell>
          <cell r="V297">
            <v>1000</v>
          </cell>
          <cell r="W297">
            <v>2</v>
          </cell>
          <cell r="X297" t="str">
            <v>CF3</v>
          </cell>
          <cell r="Y297" t="str">
            <v>SL-1</v>
          </cell>
          <cell r="Z297">
            <v>6</v>
          </cell>
          <cell r="AA297" t="str">
            <v>6ｲﾝﾁFWP</v>
          </cell>
          <cell r="AB297">
            <v>1450</v>
          </cell>
          <cell r="AC297">
            <v>3</v>
          </cell>
          <cell r="AD297" t="str">
            <v>3ｲﾝﾁABS</v>
          </cell>
          <cell r="AE297">
            <v>242</v>
          </cell>
          <cell r="AO297" t="str">
            <v>3UNCERANS1111638</v>
          </cell>
        </row>
        <row r="298">
          <cell r="G298" t="str">
            <v>3UNCERANS27136</v>
          </cell>
          <cell r="H298" t="str">
            <v>U</v>
          </cell>
          <cell r="I298" t="str">
            <v>N</v>
          </cell>
          <cell r="J298" t="str">
            <v>CERANS</v>
          </cell>
          <cell r="K298">
            <v>27136</v>
          </cell>
          <cell r="L298" t="str">
            <v>セラピール　ＰＪ２７１（３６）</v>
          </cell>
          <cell r="M298" t="str">
            <v>3UNCERANS27136251116</v>
          </cell>
          <cell r="N298" t="str">
            <v>3UNCERANS2713625230</v>
          </cell>
          <cell r="O298">
            <v>25</v>
          </cell>
          <cell r="P298">
            <v>3</v>
          </cell>
          <cell r="Q298" t="str">
            <v>QS63</v>
          </cell>
          <cell r="R298">
            <v>1116</v>
          </cell>
          <cell r="S298">
            <v>8500</v>
          </cell>
          <cell r="T298">
            <v>230</v>
          </cell>
          <cell r="U298">
            <v>230</v>
          </cell>
          <cell r="V298">
            <v>1000</v>
          </cell>
          <cell r="W298">
            <v>2</v>
          </cell>
          <cell r="X298" t="str">
            <v>CF3</v>
          </cell>
          <cell r="Y298" t="str">
            <v>SL-1</v>
          </cell>
          <cell r="Z298">
            <v>6</v>
          </cell>
          <cell r="AA298" t="str">
            <v>6ｲﾝﾁFWP</v>
          </cell>
          <cell r="AB298">
            <v>1450</v>
          </cell>
          <cell r="AC298">
            <v>3</v>
          </cell>
          <cell r="AD298" t="str">
            <v>3ｲﾝﾁABS</v>
          </cell>
          <cell r="AE298">
            <v>242</v>
          </cell>
          <cell r="AO298" t="str">
            <v>3UNCERANS2713625</v>
          </cell>
        </row>
        <row r="299">
          <cell r="G299" t="str">
            <v>3UNCERANS27136</v>
          </cell>
          <cell r="H299" t="str">
            <v>U</v>
          </cell>
          <cell r="I299" t="str">
            <v>N</v>
          </cell>
          <cell r="J299" t="str">
            <v>CERANS</v>
          </cell>
          <cell r="K299">
            <v>27136</v>
          </cell>
          <cell r="L299" t="str">
            <v>セラピール　ＰＪ２７１（３６）</v>
          </cell>
          <cell r="M299" t="str">
            <v>3UNCERANS27136251116</v>
          </cell>
          <cell r="N299" t="str">
            <v>3UNCERANS2713625860</v>
          </cell>
          <cell r="O299">
            <v>25</v>
          </cell>
          <cell r="P299">
            <v>3</v>
          </cell>
          <cell r="Q299" t="str">
            <v>QS63</v>
          </cell>
          <cell r="R299">
            <v>1116</v>
          </cell>
          <cell r="S299">
            <v>8500</v>
          </cell>
          <cell r="T299">
            <v>860</v>
          </cell>
          <cell r="U299">
            <v>860</v>
          </cell>
          <cell r="V299">
            <v>1000</v>
          </cell>
          <cell r="W299">
            <v>2</v>
          </cell>
          <cell r="X299" t="str">
            <v>CF3</v>
          </cell>
          <cell r="Y299" t="str">
            <v>SL-1</v>
          </cell>
          <cell r="Z299">
            <v>6</v>
          </cell>
          <cell r="AA299" t="str">
            <v>6ｲﾝﾁFWP</v>
          </cell>
          <cell r="AB299">
            <v>1450</v>
          </cell>
          <cell r="AC299">
            <v>3</v>
          </cell>
          <cell r="AD299" t="str">
            <v>3ｲﾝﾁABS</v>
          </cell>
          <cell r="AE299">
            <v>898</v>
          </cell>
          <cell r="AO299" t="str">
            <v>3UNCERANS2713625</v>
          </cell>
        </row>
        <row r="300">
          <cell r="G300" t="str">
            <v>3UNCERANSHP316</v>
          </cell>
          <cell r="H300" t="str">
            <v>U</v>
          </cell>
          <cell r="I300" t="str">
            <v>N</v>
          </cell>
          <cell r="J300" t="str">
            <v>CERANS</v>
          </cell>
          <cell r="K300" t="str">
            <v>HP316</v>
          </cell>
          <cell r="L300" t="str">
            <v>セラピール　ＨＰ３（１６）</v>
          </cell>
          <cell r="M300" t="str">
            <v>3UNCERANSHP31638930</v>
          </cell>
          <cell r="N300" t="str">
            <v>3UNCERANSHP31638230</v>
          </cell>
          <cell r="O300">
            <v>38</v>
          </cell>
          <cell r="P300">
            <v>3</v>
          </cell>
          <cell r="Q300" t="str">
            <v>T6AM</v>
          </cell>
          <cell r="R300">
            <v>930</v>
          </cell>
          <cell r="S300">
            <v>6225</v>
          </cell>
          <cell r="T300">
            <v>230</v>
          </cell>
          <cell r="U300">
            <v>230</v>
          </cell>
          <cell r="V300">
            <v>1000</v>
          </cell>
          <cell r="W300">
            <v>2</v>
          </cell>
          <cell r="X300" t="str">
            <v>CF3</v>
          </cell>
          <cell r="Y300" t="str">
            <v>SL-1</v>
          </cell>
          <cell r="Z300">
            <v>6</v>
          </cell>
          <cell r="AA300" t="str">
            <v>6ｲﾝﾁFWP</v>
          </cell>
          <cell r="AB300">
            <v>1450</v>
          </cell>
          <cell r="AC300">
            <v>3</v>
          </cell>
          <cell r="AD300" t="str">
            <v>3ｲﾝﾁABS</v>
          </cell>
          <cell r="AE300">
            <v>242</v>
          </cell>
          <cell r="AO300" t="str">
            <v>3UNCERANSHP31638</v>
          </cell>
        </row>
        <row r="301">
          <cell r="G301" t="str">
            <v>3UNCERANSHP316</v>
          </cell>
          <cell r="H301" t="str">
            <v>U</v>
          </cell>
          <cell r="I301" t="str">
            <v>N</v>
          </cell>
          <cell r="J301" t="str">
            <v>CERANS</v>
          </cell>
          <cell r="K301" t="str">
            <v>HP316</v>
          </cell>
          <cell r="L301" t="str">
            <v>セラピール　ＨＰ３（１６）</v>
          </cell>
          <cell r="M301" t="str">
            <v>3UNCERANSHP31638930</v>
          </cell>
          <cell r="N301" t="str">
            <v>3UNCERANSHP31638210</v>
          </cell>
          <cell r="O301">
            <v>38</v>
          </cell>
          <cell r="P301">
            <v>3</v>
          </cell>
          <cell r="Q301" t="str">
            <v>T6AM</v>
          </cell>
          <cell r="R301">
            <v>930</v>
          </cell>
          <cell r="S301">
            <v>6225</v>
          </cell>
          <cell r="T301">
            <v>210</v>
          </cell>
          <cell r="U301">
            <v>210</v>
          </cell>
          <cell r="V301">
            <v>1000</v>
          </cell>
          <cell r="W301">
            <v>2</v>
          </cell>
          <cell r="X301" t="str">
            <v>CF3</v>
          </cell>
          <cell r="Y301" t="str">
            <v>SL-1</v>
          </cell>
          <cell r="Z301">
            <v>6</v>
          </cell>
          <cell r="AA301" t="str">
            <v>6ｲﾝﾁFWP</v>
          </cell>
          <cell r="AB301">
            <v>1450</v>
          </cell>
          <cell r="AC301">
            <v>3</v>
          </cell>
          <cell r="AD301" t="str">
            <v>3ｲﾝﾁABS</v>
          </cell>
          <cell r="AE301">
            <v>242</v>
          </cell>
          <cell r="AO301" t="str">
            <v>3UNCERANSHP31638</v>
          </cell>
        </row>
        <row r="302">
          <cell r="G302" t="str">
            <v>3UNCERANSHP2UDF</v>
          </cell>
          <cell r="H302" t="str">
            <v>U</v>
          </cell>
          <cell r="I302" t="str">
            <v>N</v>
          </cell>
          <cell r="J302" t="str">
            <v>CERANS</v>
          </cell>
          <cell r="K302" t="str">
            <v>HP2UDF</v>
          </cell>
          <cell r="L302" t="str">
            <v>セラピール　ＨＰ２（Ｕ）Ｄ</v>
          </cell>
          <cell r="M302" t="str">
            <v>3UNCERANSHP2UDF751230</v>
          </cell>
          <cell r="N302" t="str">
            <v>3UNCERANSHP2UDF75600</v>
          </cell>
          <cell r="O302">
            <v>75</v>
          </cell>
          <cell r="P302">
            <v>3</v>
          </cell>
          <cell r="Q302" t="str">
            <v>SD</v>
          </cell>
          <cell r="R302">
            <v>1230</v>
          </cell>
          <cell r="S302">
            <v>2100</v>
          </cell>
          <cell r="T302">
            <v>600</v>
          </cell>
          <cell r="U302">
            <v>600</v>
          </cell>
          <cell r="V302">
            <v>750</v>
          </cell>
          <cell r="W302">
            <v>2</v>
          </cell>
          <cell r="X302" t="str">
            <v>CF4</v>
          </cell>
          <cell r="Y302" t="str">
            <v>SL-1</v>
          </cell>
          <cell r="Z302">
            <v>6</v>
          </cell>
          <cell r="AA302" t="str">
            <v>6ｲﾝﾁFWP</v>
          </cell>
          <cell r="AB302">
            <v>1450</v>
          </cell>
          <cell r="AC302">
            <v>3</v>
          </cell>
          <cell r="AD302" t="str">
            <v>3ｲﾝﾁABS</v>
          </cell>
          <cell r="AE302">
            <v>605</v>
          </cell>
          <cell r="AO302" t="str">
            <v>3UNCERANSHP2UDF75</v>
          </cell>
        </row>
        <row r="303">
          <cell r="G303" t="str">
            <v>3UNCERANSHP2SDF</v>
          </cell>
          <cell r="H303" t="str">
            <v>U</v>
          </cell>
          <cell r="I303" t="str">
            <v>N</v>
          </cell>
          <cell r="J303" t="str">
            <v>CERANS</v>
          </cell>
          <cell r="K303" t="str">
            <v>HP2SDF</v>
          </cell>
          <cell r="L303" t="str">
            <v>セラピール　ＨＰ２（Ｓ）Ｄ</v>
          </cell>
          <cell r="M303" t="str">
            <v>3UNCERANSHP2SDF751150</v>
          </cell>
          <cell r="N303" t="str">
            <v>3UNCERANSHP2SDF75600</v>
          </cell>
          <cell r="O303">
            <v>75</v>
          </cell>
          <cell r="P303">
            <v>3</v>
          </cell>
          <cell r="Q303" t="str">
            <v>S28</v>
          </cell>
          <cell r="R303">
            <v>1150</v>
          </cell>
          <cell r="S303">
            <v>3800</v>
          </cell>
          <cell r="T303">
            <v>600</v>
          </cell>
          <cell r="U303">
            <v>600</v>
          </cell>
          <cell r="V303">
            <v>750</v>
          </cell>
          <cell r="W303">
            <v>2</v>
          </cell>
          <cell r="X303" t="str">
            <v>CF4</v>
          </cell>
          <cell r="Y303" t="str">
            <v>SL-1</v>
          </cell>
          <cell r="Z303">
            <v>6</v>
          </cell>
          <cell r="AA303" t="str">
            <v>6ｲﾝﾁFWP</v>
          </cell>
          <cell r="AB303">
            <v>1450</v>
          </cell>
          <cell r="AC303">
            <v>3</v>
          </cell>
          <cell r="AD303" t="str">
            <v>3ｲﾝﾁABS</v>
          </cell>
          <cell r="AE303">
            <v>605</v>
          </cell>
          <cell r="AO303" t="str">
            <v>3UNCERANSHP2SDF75</v>
          </cell>
        </row>
        <row r="304">
          <cell r="G304" t="str">
            <v>3UNCERANSHP2SDF</v>
          </cell>
          <cell r="H304" t="str">
            <v>U</v>
          </cell>
          <cell r="I304" t="str">
            <v>N</v>
          </cell>
          <cell r="J304" t="str">
            <v>CERANS</v>
          </cell>
          <cell r="K304" t="str">
            <v>HP2SDF</v>
          </cell>
          <cell r="L304" t="str">
            <v>セラピール　ＨＰ２（Ｓ）Ｄ</v>
          </cell>
          <cell r="M304" t="str">
            <v>3UNCERANSHP2SDF751120</v>
          </cell>
          <cell r="N304" t="str">
            <v>3UNCERANSHP2SDF75600</v>
          </cell>
          <cell r="O304">
            <v>75</v>
          </cell>
          <cell r="P304">
            <v>3</v>
          </cell>
          <cell r="Q304" t="str">
            <v>S28</v>
          </cell>
          <cell r="R304">
            <v>1120</v>
          </cell>
          <cell r="S304">
            <v>4000</v>
          </cell>
          <cell r="T304">
            <v>600</v>
          </cell>
          <cell r="U304">
            <v>600</v>
          </cell>
          <cell r="V304">
            <v>750</v>
          </cell>
          <cell r="W304">
            <v>2</v>
          </cell>
          <cell r="X304" t="str">
            <v>CF4</v>
          </cell>
          <cell r="Y304" t="str">
            <v>SL-1</v>
          </cell>
          <cell r="Z304">
            <v>6</v>
          </cell>
          <cell r="AA304" t="str">
            <v>6ｲﾝﾁFWP</v>
          </cell>
          <cell r="AB304">
            <v>1450</v>
          </cell>
          <cell r="AC304">
            <v>3</v>
          </cell>
          <cell r="AD304" t="str">
            <v>3ｲﾝﾁABS</v>
          </cell>
          <cell r="AE304">
            <v>605</v>
          </cell>
          <cell r="AO304" t="str">
            <v>3UNCERANSHP2SDF75</v>
          </cell>
        </row>
        <row r="305">
          <cell r="G305" t="str">
            <v>3UNCERANSHP2SDF</v>
          </cell>
          <cell r="H305" t="str">
            <v>U</v>
          </cell>
          <cell r="I305" t="str">
            <v>N</v>
          </cell>
          <cell r="J305" t="str">
            <v>CERANS</v>
          </cell>
          <cell r="K305" t="str">
            <v>HP2SDF</v>
          </cell>
          <cell r="L305" t="str">
            <v>セラピール　ＨＰ２（Ｓ）Ｄ</v>
          </cell>
          <cell r="M305" t="str">
            <v>3UNCERANSHP2SDF751120</v>
          </cell>
          <cell r="N305" t="str">
            <v>3UNCERANSHP2SDF75360</v>
          </cell>
          <cell r="O305">
            <v>75</v>
          </cell>
          <cell r="P305">
            <v>3</v>
          </cell>
          <cell r="Q305" t="str">
            <v>S28</v>
          </cell>
          <cell r="R305">
            <v>1120</v>
          </cell>
          <cell r="S305">
            <v>4000</v>
          </cell>
          <cell r="T305">
            <v>360</v>
          </cell>
          <cell r="U305">
            <v>360</v>
          </cell>
          <cell r="V305">
            <v>900</v>
          </cell>
          <cell r="W305">
            <v>2</v>
          </cell>
          <cell r="X305" t="str">
            <v>CF4</v>
          </cell>
          <cell r="Y305" t="str">
            <v>SL-1</v>
          </cell>
          <cell r="Z305">
            <v>6</v>
          </cell>
          <cell r="AA305" t="str">
            <v>6ｲﾝﾁFWP</v>
          </cell>
          <cell r="AB305">
            <v>1450</v>
          </cell>
          <cell r="AC305">
            <v>3</v>
          </cell>
          <cell r="AD305" t="str">
            <v>3ｲﾝﾁABS</v>
          </cell>
          <cell r="AO305" t="str">
            <v>3UNCERANSHP2SDF75</v>
          </cell>
        </row>
        <row r="306">
          <cell r="G306" t="str">
            <v>3UNCERANSHP216</v>
          </cell>
          <cell r="H306" t="str">
            <v>U</v>
          </cell>
          <cell r="I306" t="str">
            <v>N</v>
          </cell>
          <cell r="J306" t="str">
            <v>CERANS</v>
          </cell>
          <cell r="K306" t="str">
            <v>HP216</v>
          </cell>
          <cell r="L306" t="str">
            <v>セラピール　ＨＰ２（１６）</v>
          </cell>
          <cell r="M306" t="str">
            <v>3UNCERANSHP2162501050</v>
          </cell>
          <cell r="N306" t="str">
            <v>3UNCERANSHP216250720</v>
          </cell>
          <cell r="O306">
            <v>250</v>
          </cell>
          <cell r="P306">
            <v>3</v>
          </cell>
          <cell r="Q306" t="str">
            <v>T60</v>
          </cell>
          <cell r="R306">
            <v>1050</v>
          </cell>
          <cell r="S306">
            <v>6000</v>
          </cell>
          <cell r="T306">
            <v>720</v>
          </cell>
          <cell r="U306">
            <v>720</v>
          </cell>
          <cell r="V306">
            <v>800</v>
          </cell>
          <cell r="W306">
            <v>2</v>
          </cell>
          <cell r="X306" t="str">
            <v>CF4</v>
          </cell>
          <cell r="Y306" t="str">
            <v>SL-3</v>
          </cell>
          <cell r="Z306">
            <v>6</v>
          </cell>
          <cell r="AA306" t="str">
            <v>6ｲﾝﾁFWP</v>
          </cell>
          <cell r="AB306">
            <v>1450</v>
          </cell>
          <cell r="AC306">
            <v>3</v>
          </cell>
          <cell r="AD306" t="str">
            <v>3ｲﾝﾁABS</v>
          </cell>
          <cell r="AO306" t="str">
            <v>3UNCERANSHP216250</v>
          </cell>
        </row>
        <row r="307">
          <cell r="G307" t="str">
            <v>3UNCERA</v>
          </cell>
          <cell r="H307" t="str">
            <v>U</v>
          </cell>
          <cell r="I307" t="str">
            <v>N</v>
          </cell>
          <cell r="J307" t="str">
            <v>CERA</v>
          </cell>
          <cell r="L307" t="str">
            <v>ＰＥＴ２５ｘ１－ＪＯＬ</v>
          </cell>
          <cell r="M307" t="str">
            <v>3UNCERA251045</v>
          </cell>
          <cell r="N307" t="str">
            <v>3UNCERA251005</v>
          </cell>
          <cell r="O307">
            <v>25</v>
          </cell>
          <cell r="P307">
            <v>3</v>
          </cell>
          <cell r="Q307" t="str">
            <v>S28M</v>
          </cell>
          <cell r="R307">
            <v>1045</v>
          </cell>
          <cell r="S307">
            <v>12500</v>
          </cell>
          <cell r="T307">
            <v>1005</v>
          </cell>
          <cell r="U307">
            <v>1005</v>
          </cell>
          <cell r="V307">
            <v>6000</v>
          </cell>
          <cell r="W307">
            <v>1</v>
          </cell>
          <cell r="X307" t="str">
            <v>CF2</v>
          </cell>
          <cell r="Y307" t="str">
            <v>MK1</v>
          </cell>
          <cell r="Z307">
            <v>6</v>
          </cell>
          <cell r="AA307" t="str">
            <v>6ｲﾝﾁFWP</v>
          </cell>
          <cell r="AB307">
            <v>1450</v>
          </cell>
          <cell r="AC307">
            <v>6</v>
          </cell>
          <cell r="AD307" t="str">
            <v>6ｲﾝﾁABS</v>
          </cell>
          <cell r="AE307">
            <v>1153</v>
          </cell>
          <cell r="AO307" t="str">
            <v>3UNCERA25</v>
          </cell>
        </row>
        <row r="308">
          <cell r="G308" t="str">
            <v>3UNCERA</v>
          </cell>
          <cell r="H308" t="str">
            <v>U</v>
          </cell>
          <cell r="I308" t="str">
            <v>N</v>
          </cell>
          <cell r="J308" t="str">
            <v>CERA</v>
          </cell>
          <cell r="L308" t="str">
            <v>ＰＥＴ２５ｘ１－ＪＯ</v>
          </cell>
          <cell r="M308" t="str">
            <v>3UNCERA251045</v>
          </cell>
          <cell r="N308" t="str">
            <v>3UNCERA251005</v>
          </cell>
          <cell r="O308">
            <v>25</v>
          </cell>
          <cell r="P308">
            <v>3</v>
          </cell>
          <cell r="Q308" t="str">
            <v>S28M</v>
          </cell>
          <cell r="R308">
            <v>1045</v>
          </cell>
          <cell r="S308">
            <v>12500</v>
          </cell>
          <cell r="T308">
            <v>1005</v>
          </cell>
          <cell r="U308">
            <v>1005</v>
          </cell>
          <cell r="V308">
            <v>6000</v>
          </cell>
          <cell r="W308">
            <v>1</v>
          </cell>
          <cell r="X308" t="str">
            <v>CF2</v>
          </cell>
          <cell r="Y308" t="str">
            <v>MK1</v>
          </cell>
          <cell r="Z308">
            <v>6</v>
          </cell>
          <cell r="AA308" t="str">
            <v>6ｲﾝﾁFWP</v>
          </cell>
          <cell r="AB308">
            <v>1450</v>
          </cell>
          <cell r="AC308">
            <v>6</v>
          </cell>
          <cell r="AD308" t="str">
            <v>6ｲﾝﾁABS</v>
          </cell>
          <cell r="AE308">
            <v>1153</v>
          </cell>
          <cell r="AO308" t="str">
            <v>3UNCERA25</v>
          </cell>
        </row>
        <row r="309">
          <cell r="G309" t="str">
            <v>3UNCERAMDAR</v>
          </cell>
          <cell r="H309" t="str">
            <v>U</v>
          </cell>
          <cell r="I309" t="str">
            <v>N</v>
          </cell>
          <cell r="J309" t="str">
            <v>CERA</v>
          </cell>
          <cell r="K309" t="str">
            <v>MDAR</v>
          </cell>
          <cell r="L309" t="str">
            <v>セラピール　ＭＤＡ（Ｒ）</v>
          </cell>
          <cell r="M309" t="str">
            <v>3UNCERAMDAR1251105</v>
          </cell>
          <cell r="N309" t="str">
            <v>3UNCERAMDAR1251100</v>
          </cell>
          <cell r="O309">
            <v>125</v>
          </cell>
          <cell r="P309">
            <v>3</v>
          </cell>
          <cell r="Q309" t="str">
            <v>XD1NB1</v>
          </cell>
          <cell r="R309">
            <v>1105</v>
          </cell>
          <cell r="S309">
            <v>3450</v>
          </cell>
          <cell r="T309">
            <v>1105</v>
          </cell>
          <cell r="U309">
            <v>1100</v>
          </cell>
          <cell r="V309">
            <v>3400</v>
          </cell>
          <cell r="W309">
            <v>2</v>
          </cell>
          <cell r="X309" t="str">
            <v>CF2</v>
          </cell>
          <cell r="Y309" t="str">
            <v>直出し</v>
          </cell>
          <cell r="Z309">
            <v>6</v>
          </cell>
          <cell r="AA309" t="str">
            <v>6ｲﾝﾁFWP</v>
          </cell>
          <cell r="AB309">
            <v>1450</v>
          </cell>
          <cell r="AO309" t="str">
            <v>3UNCERAMDAR125</v>
          </cell>
        </row>
        <row r="310">
          <cell r="G310" t="str">
            <v>3UNCERAMDA01</v>
          </cell>
          <cell r="H310" t="str">
            <v>U</v>
          </cell>
          <cell r="I310" t="str">
            <v>N</v>
          </cell>
          <cell r="J310" t="str">
            <v>CERA</v>
          </cell>
          <cell r="K310" t="str">
            <v>MDA01</v>
          </cell>
          <cell r="L310" t="str">
            <v>セラピール　ＭＤＡ（０１）</v>
          </cell>
          <cell r="M310" t="str">
            <v>3UNCERAMDA01381560</v>
          </cell>
          <cell r="N310" t="str">
            <v>3UNCERAMDA01381560</v>
          </cell>
          <cell r="O310">
            <v>38</v>
          </cell>
          <cell r="P310">
            <v>3</v>
          </cell>
          <cell r="Q310" t="str">
            <v>RP44</v>
          </cell>
          <cell r="R310">
            <v>1560</v>
          </cell>
          <cell r="S310">
            <v>7700</v>
          </cell>
          <cell r="T310">
            <v>1560</v>
          </cell>
          <cell r="U310">
            <v>1560</v>
          </cell>
          <cell r="V310">
            <v>3500</v>
          </cell>
          <cell r="W310">
            <v>2</v>
          </cell>
          <cell r="X310" t="str">
            <v>CF2</v>
          </cell>
          <cell r="Y310" t="str">
            <v>半直</v>
          </cell>
          <cell r="Z310">
            <v>6</v>
          </cell>
          <cell r="AA310" t="str">
            <v>6ｲﾝﾁFWP</v>
          </cell>
          <cell r="AB310">
            <v>1700</v>
          </cell>
          <cell r="AO310" t="str">
            <v>3UNCERAMDA0138</v>
          </cell>
        </row>
        <row r="311">
          <cell r="G311" t="str">
            <v>3UNCERAMDA01</v>
          </cell>
          <cell r="H311" t="str">
            <v>U</v>
          </cell>
          <cell r="I311" t="str">
            <v>N</v>
          </cell>
          <cell r="J311" t="str">
            <v>CERA</v>
          </cell>
          <cell r="K311" t="str">
            <v>MDA01</v>
          </cell>
          <cell r="L311" t="str">
            <v>セラピール　ＭＤＡ（０１）</v>
          </cell>
          <cell r="M311" t="str">
            <v>3UNCERAMDA01381320</v>
          </cell>
          <cell r="N311" t="str">
            <v>3UNCERAMDA01381320</v>
          </cell>
          <cell r="O311">
            <v>38</v>
          </cell>
          <cell r="P311">
            <v>3</v>
          </cell>
          <cell r="Q311" t="str">
            <v>RP44</v>
          </cell>
          <cell r="R311">
            <v>1320</v>
          </cell>
          <cell r="S311">
            <v>7700</v>
          </cell>
          <cell r="T311">
            <v>1320</v>
          </cell>
          <cell r="U311">
            <v>1320</v>
          </cell>
          <cell r="V311">
            <v>7500</v>
          </cell>
          <cell r="W311">
            <v>2</v>
          </cell>
          <cell r="X311" t="str">
            <v>CF2</v>
          </cell>
          <cell r="Y311" t="str">
            <v>直出し</v>
          </cell>
          <cell r="Z311">
            <v>6</v>
          </cell>
          <cell r="AA311" t="str">
            <v>6ｲﾝﾁFWP</v>
          </cell>
          <cell r="AB311">
            <v>1450</v>
          </cell>
          <cell r="AO311" t="str">
            <v>3UNCERAMDA0138</v>
          </cell>
        </row>
        <row r="312">
          <cell r="G312" t="str">
            <v>3UNCERAMDAPFL</v>
          </cell>
          <cell r="H312" t="str">
            <v>U</v>
          </cell>
          <cell r="I312" t="str">
            <v>N</v>
          </cell>
          <cell r="J312" t="str">
            <v>CERA</v>
          </cell>
          <cell r="K312" t="str">
            <v>MDAPFL</v>
          </cell>
          <cell r="L312" t="str">
            <v>Ｋ　セラピールＭＤＡ（ＰＲＦ）Ｌ</v>
          </cell>
          <cell r="M312" t="str">
            <v>3UNCERAMDAPFL381336</v>
          </cell>
          <cell r="N312" t="str">
            <v>3UNCERAMDAPFL381325</v>
          </cell>
          <cell r="O312">
            <v>38</v>
          </cell>
          <cell r="P312">
            <v>3</v>
          </cell>
          <cell r="Q312" t="str">
            <v>XF60L</v>
          </cell>
          <cell r="R312">
            <v>1336</v>
          </cell>
          <cell r="S312">
            <v>12050</v>
          </cell>
          <cell r="T312">
            <v>1336</v>
          </cell>
          <cell r="U312">
            <v>1325</v>
          </cell>
          <cell r="V312">
            <v>12000</v>
          </cell>
          <cell r="W312">
            <v>2</v>
          </cell>
          <cell r="X312" t="str">
            <v>CF2</v>
          </cell>
          <cell r="Y312" t="str">
            <v>直出し</v>
          </cell>
          <cell r="Z312">
            <v>6</v>
          </cell>
          <cell r="AA312" t="str">
            <v>6ｲﾝﾁFWP</v>
          </cell>
          <cell r="AB312">
            <v>1450</v>
          </cell>
          <cell r="AO312" t="str">
            <v>3UNCERAMDAPFL38</v>
          </cell>
        </row>
        <row r="313">
          <cell r="G313" t="str">
            <v>N</v>
          </cell>
          <cell r="I313" t="str">
            <v>N</v>
          </cell>
          <cell r="L313" t="str">
            <v>ＡＳコート</v>
          </cell>
          <cell r="M313" t="str">
            <v>N381560</v>
          </cell>
          <cell r="N313" t="str">
            <v>N381560</v>
          </cell>
          <cell r="O313">
            <v>38</v>
          </cell>
          <cell r="Q313" t="str">
            <v>RP44</v>
          </cell>
          <cell r="R313">
            <v>1560</v>
          </cell>
          <cell r="S313">
            <v>7700</v>
          </cell>
          <cell r="T313">
            <v>1560</v>
          </cell>
          <cell r="U313">
            <v>1560</v>
          </cell>
          <cell r="V313">
            <v>1000</v>
          </cell>
          <cell r="W313">
            <v>2</v>
          </cell>
          <cell r="Y313" t="str">
            <v>直出し</v>
          </cell>
          <cell r="Z313">
            <v>6</v>
          </cell>
          <cell r="AA313" t="str">
            <v>6ｲﾝﾁFWP</v>
          </cell>
          <cell r="AB313">
            <v>1700</v>
          </cell>
          <cell r="AO313" t="str">
            <v>N38</v>
          </cell>
        </row>
        <row r="314">
          <cell r="G314" t="str">
            <v>3UNCERANS27103</v>
          </cell>
          <cell r="H314" t="str">
            <v>U</v>
          </cell>
          <cell r="I314" t="str">
            <v>N</v>
          </cell>
          <cell r="J314" t="str">
            <v>CERANS</v>
          </cell>
          <cell r="K314">
            <v>27103</v>
          </cell>
          <cell r="L314" t="str">
            <v>セラピール　ＰＪ２７１（０３）</v>
          </cell>
          <cell r="M314" t="str">
            <v>3UNCERANS27103251520</v>
          </cell>
          <cell r="N314" t="str">
            <v>3UNCERANS27103251100</v>
          </cell>
          <cell r="O314">
            <v>25</v>
          </cell>
          <cell r="P314">
            <v>3</v>
          </cell>
          <cell r="Q314" t="str">
            <v>R75X</v>
          </cell>
          <cell r="R314">
            <v>1520</v>
          </cell>
          <cell r="S314">
            <v>10900</v>
          </cell>
          <cell r="T314">
            <v>1100</v>
          </cell>
          <cell r="U314">
            <v>1100</v>
          </cell>
          <cell r="V314">
            <v>4000</v>
          </cell>
          <cell r="W314">
            <v>2</v>
          </cell>
          <cell r="X314" t="str">
            <v>CF3</v>
          </cell>
          <cell r="Y314" t="str">
            <v>SL-1</v>
          </cell>
          <cell r="Z314">
            <v>6</v>
          </cell>
          <cell r="AA314" t="str">
            <v>6ｲﾝﾁFWP</v>
          </cell>
          <cell r="AB314">
            <v>1700</v>
          </cell>
          <cell r="AC314">
            <v>6</v>
          </cell>
          <cell r="AD314" t="str">
            <v>6ｲﾝﾁABS</v>
          </cell>
          <cell r="AE314">
            <v>1250</v>
          </cell>
          <cell r="AO314" t="str">
            <v>3UNCERANS2710325</v>
          </cell>
        </row>
        <row r="315">
          <cell r="G315" t="str">
            <v>3UNCERANS27103</v>
          </cell>
          <cell r="H315" t="str">
            <v>U</v>
          </cell>
          <cell r="I315" t="str">
            <v>N</v>
          </cell>
          <cell r="J315" t="str">
            <v>CERANS</v>
          </cell>
          <cell r="K315">
            <v>27103</v>
          </cell>
          <cell r="L315" t="str">
            <v>セラピール　ＰＪ２７１（０３）</v>
          </cell>
          <cell r="M315" t="str">
            <v>3UNCERANS27103251520</v>
          </cell>
          <cell r="N315" t="str">
            <v>3UNCERANS27103251100</v>
          </cell>
          <cell r="O315">
            <v>25</v>
          </cell>
          <cell r="P315">
            <v>3</v>
          </cell>
          <cell r="Q315" t="str">
            <v>R75X</v>
          </cell>
          <cell r="R315">
            <v>1520</v>
          </cell>
          <cell r="S315">
            <v>10900</v>
          </cell>
          <cell r="T315">
            <v>1100</v>
          </cell>
          <cell r="U315">
            <v>1100</v>
          </cell>
          <cell r="V315">
            <v>6000</v>
          </cell>
          <cell r="W315">
            <v>2</v>
          </cell>
          <cell r="X315" t="str">
            <v>CF3</v>
          </cell>
          <cell r="Y315" t="str">
            <v>SL-1</v>
          </cell>
          <cell r="Z315">
            <v>6</v>
          </cell>
          <cell r="AA315" t="str">
            <v>6ｲﾝﾁFWP</v>
          </cell>
          <cell r="AB315">
            <v>1700</v>
          </cell>
          <cell r="AC315">
            <v>6</v>
          </cell>
          <cell r="AD315" t="str">
            <v>6ｲﾝﾁABS</v>
          </cell>
          <cell r="AE315">
            <v>1250</v>
          </cell>
          <cell r="AO315" t="str">
            <v>3UNCERANS2710325</v>
          </cell>
        </row>
        <row r="316">
          <cell r="G316" t="str">
            <v>3UYCERANS27111</v>
          </cell>
          <cell r="H316" t="str">
            <v>U</v>
          </cell>
          <cell r="I316" t="str">
            <v>Y</v>
          </cell>
          <cell r="J316" t="str">
            <v>CERANS</v>
          </cell>
          <cell r="K316">
            <v>27111</v>
          </cell>
          <cell r="L316" t="str">
            <v>セラピール　ＰＪ２７１（１１）</v>
          </cell>
          <cell r="M316" t="str">
            <v>3UYCERANS27111501345</v>
          </cell>
          <cell r="N316" t="str">
            <v>3UYCERANS2711150375</v>
          </cell>
          <cell r="O316">
            <v>50</v>
          </cell>
          <cell r="P316">
            <v>3</v>
          </cell>
          <cell r="Q316" t="str">
            <v>RS1T</v>
          </cell>
          <cell r="R316">
            <v>1345</v>
          </cell>
          <cell r="S316">
            <v>6800</v>
          </cell>
          <cell r="T316">
            <v>375</v>
          </cell>
          <cell r="U316">
            <v>375</v>
          </cell>
          <cell r="V316">
            <v>260</v>
          </cell>
          <cell r="W316">
            <v>2</v>
          </cell>
          <cell r="X316" t="str">
            <v>CF3</v>
          </cell>
          <cell r="Y316" t="str">
            <v>SL-1</v>
          </cell>
          <cell r="Z316">
            <v>6</v>
          </cell>
          <cell r="AA316" t="str">
            <v>6ｲﾝﾁFWP</v>
          </cell>
          <cell r="AB316">
            <v>1700</v>
          </cell>
          <cell r="AC316">
            <v>3</v>
          </cell>
          <cell r="AD316" t="str">
            <v>3ｲﾝﾁABS</v>
          </cell>
          <cell r="AE316">
            <v>395</v>
          </cell>
          <cell r="AO316" t="str">
            <v>3UYCERANS2711150</v>
          </cell>
        </row>
        <row r="317">
          <cell r="G317" t="str">
            <v>3UNCERANSJ22B</v>
          </cell>
          <cell r="H317" t="str">
            <v>U</v>
          </cell>
          <cell r="I317" t="str">
            <v>N</v>
          </cell>
          <cell r="J317" t="str">
            <v>CERANS</v>
          </cell>
          <cell r="K317" t="str">
            <v>J22B</v>
          </cell>
          <cell r="L317" t="str">
            <v>セラピール　ＪＰＪ２２（Ｂ）</v>
          </cell>
          <cell r="M317" t="str">
            <v>3UNCERANSJ22B501595</v>
          </cell>
          <cell r="N317" t="str">
            <v>3UNCERANSJ22B50300</v>
          </cell>
          <cell r="O317">
            <v>50</v>
          </cell>
          <cell r="P317">
            <v>3</v>
          </cell>
          <cell r="Q317" t="str">
            <v>QZ54</v>
          </cell>
          <cell r="R317">
            <v>1595</v>
          </cell>
          <cell r="S317">
            <v>6200</v>
          </cell>
          <cell r="T317">
            <v>300</v>
          </cell>
          <cell r="U317">
            <v>300</v>
          </cell>
          <cell r="V317">
            <v>300</v>
          </cell>
          <cell r="W317">
            <v>2</v>
          </cell>
          <cell r="X317" t="str">
            <v>CF3</v>
          </cell>
          <cell r="Y317" t="str">
            <v>SL-1</v>
          </cell>
          <cell r="Z317">
            <v>6</v>
          </cell>
          <cell r="AA317" t="str">
            <v>6ｲﾝﾁFWP</v>
          </cell>
          <cell r="AB317">
            <v>1700</v>
          </cell>
          <cell r="AC317">
            <v>3</v>
          </cell>
          <cell r="AO317" t="str">
            <v>3UNCERANSJ22B50</v>
          </cell>
        </row>
        <row r="318">
          <cell r="G318" t="str">
            <v>3UNCERANSJPJ113B</v>
          </cell>
          <cell r="H318" t="str">
            <v>U</v>
          </cell>
          <cell r="I318" t="str">
            <v>N</v>
          </cell>
          <cell r="J318" t="str">
            <v>CERANS</v>
          </cell>
          <cell r="K318" t="str">
            <v>JPJ113B</v>
          </cell>
          <cell r="L318" t="str">
            <v>セラピール　ＪＰＪ１１３（Ｂ）</v>
          </cell>
          <cell r="M318" t="str">
            <v>3UNCERANSJPJ113B501595</v>
          </cell>
          <cell r="N318" t="str">
            <v>3UNCERANSJPJ113B501300</v>
          </cell>
          <cell r="O318">
            <v>50</v>
          </cell>
          <cell r="P318">
            <v>3</v>
          </cell>
          <cell r="Q318" t="str">
            <v>QZ54</v>
          </cell>
          <cell r="R318">
            <v>1595</v>
          </cell>
          <cell r="S318">
            <v>6200</v>
          </cell>
          <cell r="T318">
            <v>1300</v>
          </cell>
          <cell r="U318">
            <v>1300</v>
          </cell>
          <cell r="V318">
            <v>1000</v>
          </cell>
          <cell r="W318">
            <v>2</v>
          </cell>
          <cell r="X318" t="str">
            <v>CF3</v>
          </cell>
          <cell r="Y318" t="str">
            <v>SL-1</v>
          </cell>
          <cell r="Z318">
            <v>6</v>
          </cell>
          <cell r="AA318" t="str">
            <v>6ｲﾝﾁFWP</v>
          </cell>
          <cell r="AB318">
            <v>1700</v>
          </cell>
          <cell r="AC318">
            <v>6</v>
          </cell>
          <cell r="AD318" t="str">
            <v>6ｲﾝﾁABS</v>
          </cell>
          <cell r="AE318">
            <v>1350</v>
          </cell>
          <cell r="AO318" t="str">
            <v>3UNCERANSJPJ113B50</v>
          </cell>
        </row>
        <row r="319">
          <cell r="G319" t="str">
            <v>3UNCERANSJPJ113B</v>
          </cell>
          <cell r="H319" t="str">
            <v>U</v>
          </cell>
          <cell r="I319" t="str">
            <v>N</v>
          </cell>
          <cell r="J319" t="str">
            <v>CERANS</v>
          </cell>
          <cell r="K319" t="str">
            <v>JPJ113B</v>
          </cell>
          <cell r="L319" t="str">
            <v>セラピール　ＪＰＪ１１３（Ｂ）</v>
          </cell>
          <cell r="M319" t="str">
            <v>3UNCERANSJPJ113B501595</v>
          </cell>
          <cell r="N319" t="str">
            <v>3UNCERANSJPJ113B501300</v>
          </cell>
          <cell r="O319">
            <v>50</v>
          </cell>
          <cell r="P319">
            <v>3</v>
          </cell>
          <cell r="Q319" t="str">
            <v>QZ54</v>
          </cell>
          <cell r="R319">
            <v>1595</v>
          </cell>
          <cell r="S319">
            <v>6200</v>
          </cell>
          <cell r="T319">
            <v>1300</v>
          </cell>
          <cell r="U319">
            <v>1300</v>
          </cell>
          <cell r="V319">
            <v>1000</v>
          </cell>
          <cell r="W319">
            <v>2</v>
          </cell>
          <cell r="X319" t="str">
            <v>CF3</v>
          </cell>
          <cell r="Y319" t="str">
            <v>SL-1</v>
          </cell>
          <cell r="Z319">
            <v>6</v>
          </cell>
          <cell r="AA319" t="str">
            <v>6ｲﾝﾁFWP</v>
          </cell>
          <cell r="AB319">
            <v>1700</v>
          </cell>
          <cell r="AC319">
            <v>3</v>
          </cell>
          <cell r="AD319" t="str">
            <v>3ｲﾝﾁABS</v>
          </cell>
          <cell r="AE319">
            <v>315</v>
          </cell>
          <cell r="AO319" t="str">
            <v>3UNCERANSJPJ113B50</v>
          </cell>
        </row>
        <row r="320">
          <cell r="G320" t="str">
            <v>3UNCERAWZS</v>
          </cell>
          <cell r="H320" t="str">
            <v>U</v>
          </cell>
          <cell r="I320" t="str">
            <v>N</v>
          </cell>
          <cell r="J320" t="str">
            <v>CERA</v>
          </cell>
          <cell r="K320" t="str">
            <v>WZS</v>
          </cell>
          <cell r="L320" t="str">
            <v>セラピール　ＷＺ（Ｓ）</v>
          </cell>
          <cell r="M320" t="str">
            <v>3UNCERAWZS251030</v>
          </cell>
          <cell r="N320" t="str">
            <v>3UNCERAWZS251000</v>
          </cell>
          <cell r="O320">
            <v>25</v>
          </cell>
          <cell r="P320">
            <v>3</v>
          </cell>
          <cell r="Q320" t="str">
            <v>S28M</v>
          </cell>
          <cell r="R320">
            <v>1030</v>
          </cell>
          <cell r="S320">
            <v>8000</v>
          </cell>
          <cell r="T320">
            <v>1000</v>
          </cell>
          <cell r="U320">
            <v>1000</v>
          </cell>
          <cell r="V320">
            <v>8000</v>
          </cell>
          <cell r="W320">
            <v>2</v>
          </cell>
          <cell r="X320" t="str">
            <v>CF2</v>
          </cell>
          <cell r="Y320" t="str">
            <v>SL-1</v>
          </cell>
          <cell r="Z320">
            <v>6</v>
          </cell>
          <cell r="AA320" t="str">
            <v>6ｲﾝﾁFWP</v>
          </cell>
          <cell r="AB320">
            <v>1450</v>
          </cell>
          <cell r="AC320">
            <v>6</v>
          </cell>
          <cell r="AD320" t="str">
            <v>6ｲﾝﾁFWP</v>
          </cell>
          <cell r="AE320">
            <v>1020</v>
          </cell>
          <cell r="AO320" t="str">
            <v>3UNCERAWZS25</v>
          </cell>
        </row>
        <row r="321">
          <cell r="G321" t="str">
            <v>331UNCERAWZS</v>
          </cell>
          <cell r="H321" t="str">
            <v>U</v>
          </cell>
          <cell r="I321" t="str">
            <v>N</v>
          </cell>
          <cell r="J321" t="str">
            <v>CERA</v>
          </cell>
          <cell r="K321" t="str">
            <v>WZS</v>
          </cell>
          <cell r="L321" t="str">
            <v>セラピール　ＷＺ（Ｓ）</v>
          </cell>
          <cell r="M321" t="str">
            <v>331UNCERAWZS251430</v>
          </cell>
          <cell r="N321" t="str">
            <v>331UNCERAWZS251420</v>
          </cell>
          <cell r="O321">
            <v>25</v>
          </cell>
          <cell r="P321">
            <v>331</v>
          </cell>
          <cell r="Q321" t="str">
            <v>S28M</v>
          </cell>
          <cell r="R321">
            <v>1430</v>
          </cell>
          <cell r="S321">
            <v>12500</v>
          </cell>
          <cell r="T321">
            <v>1420</v>
          </cell>
          <cell r="U321">
            <v>1420</v>
          </cell>
          <cell r="V321">
            <v>12400</v>
          </cell>
          <cell r="W321">
            <v>2</v>
          </cell>
          <cell r="X321" t="str">
            <v>CF2</v>
          </cell>
          <cell r="Y321" t="str">
            <v>MK1</v>
          </cell>
          <cell r="Z321">
            <v>6</v>
          </cell>
          <cell r="AA321" t="str">
            <v>6ｲﾝﾁFWP</v>
          </cell>
          <cell r="AB321">
            <v>1500</v>
          </cell>
          <cell r="AC321">
            <v>6</v>
          </cell>
          <cell r="AD321" t="str">
            <v>6ｲﾝﾁFWP</v>
          </cell>
          <cell r="AE321">
            <v>1500</v>
          </cell>
          <cell r="AO321" t="str">
            <v>331UNCERAWZS25</v>
          </cell>
        </row>
        <row r="322">
          <cell r="G322" t="str">
            <v>331TNCERAWZS</v>
          </cell>
          <cell r="H322" t="str">
            <v>T</v>
          </cell>
          <cell r="I322" t="str">
            <v>N</v>
          </cell>
          <cell r="J322" t="str">
            <v>CERA</v>
          </cell>
          <cell r="K322" t="str">
            <v>WZS</v>
          </cell>
          <cell r="L322" t="str">
            <v>セラピール　ＷＺ（Ｓ）</v>
          </cell>
          <cell r="M322" t="str">
            <v>331TNCERAWZS251430</v>
          </cell>
          <cell r="N322" t="str">
            <v>331TNCERAWZS251420</v>
          </cell>
          <cell r="O322">
            <v>25</v>
          </cell>
          <cell r="P322">
            <v>331</v>
          </cell>
          <cell r="Q322" t="str">
            <v>S28M</v>
          </cell>
          <cell r="R322">
            <v>1430</v>
          </cell>
          <cell r="S322">
            <v>12500</v>
          </cell>
          <cell r="T322">
            <v>1425</v>
          </cell>
          <cell r="U322">
            <v>1420</v>
          </cell>
          <cell r="V322">
            <v>12400</v>
          </cell>
          <cell r="W322">
            <v>2</v>
          </cell>
          <cell r="X322" t="str">
            <v>CF2</v>
          </cell>
          <cell r="Y322" t="str">
            <v>MK1</v>
          </cell>
          <cell r="Z322">
            <v>6</v>
          </cell>
          <cell r="AA322" t="str">
            <v>6ｲﾝﾁFWP</v>
          </cell>
          <cell r="AB322">
            <v>1500</v>
          </cell>
          <cell r="AC322">
            <v>6</v>
          </cell>
          <cell r="AD322" t="str">
            <v>6ｲﾝﾁFWP</v>
          </cell>
          <cell r="AE322">
            <v>1500</v>
          </cell>
          <cell r="AO322" t="str">
            <v>331TNCERAWZS25</v>
          </cell>
        </row>
        <row r="323">
          <cell r="G323" t="str">
            <v>331TNCERAWZS</v>
          </cell>
          <cell r="H323" t="str">
            <v>T</v>
          </cell>
          <cell r="I323" t="str">
            <v>N</v>
          </cell>
          <cell r="J323" t="str">
            <v>CERA</v>
          </cell>
          <cell r="K323" t="str">
            <v>WZS</v>
          </cell>
          <cell r="L323" t="str">
            <v>セラピール　ＷＺ（Ｓ）</v>
          </cell>
          <cell r="M323" t="str">
            <v>331TNCERAWZS251428</v>
          </cell>
          <cell r="N323" t="str">
            <v>331TNCERAWZS251420</v>
          </cell>
          <cell r="O323">
            <v>25</v>
          </cell>
          <cell r="P323">
            <v>331</v>
          </cell>
          <cell r="Q323" t="str">
            <v>S28M</v>
          </cell>
          <cell r="R323">
            <v>1428</v>
          </cell>
          <cell r="S323">
            <v>12500</v>
          </cell>
          <cell r="T323">
            <v>1425</v>
          </cell>
          <cell r="U323">
            <v>1420</v>
          </cell>
          <cell r="V323">
            <v>12400</v>
          </cell>
          <cell r="W323">
            <v>2</v>
          </cell>
          <cell r="X323" t="str">
            <v>CF2</v>
          </cell>
          <cell r="Y323" t="str">
            <v>MK1</v>
          </cell>
          <cell r="Z323">
            <v>6</v>
          </cell>
          <cell r="AA323" t="str">
            <v>6ｲﾝﾁFWP</v>
          </cell>
          <cell r="AB323">
            <v>1500</v>
          </cell>
          <cell r="AC323">
            <v>6</v>
          </cell>
          <cell r="AD323" t="str">
            <v>6ｲﾝﾁFWP</v>
          </cell>
          <cell r="AE323">
            <v>1500</v>
          </cell>
          <cell r="AO323" t="str">
            <v>331TNCERAWZS25</v>
          </cell>
        </row>
        <row r="324">
          <cell r="G324" t="str">
            <v>3UNCERAWZS</v>
          </cell>
          <cell r="H324" t="str">
            <v>U</v>
          </cell>
          <cell r="I324" t="str">
            <v>N</v>
          </cell>
          <cell r="J324" t="str">
            <v>CERA</v>
          </cell>
          <cell r="K324" t="str">
            <v>WZS</v>
          </cell>
          <cell r="L324" t="str">
            <v>セラピール　ＷＺ（Ｓ）</v>
          </cell>
          <cell r="M324" t="str">
            <v>3UNCERAWZS251160</v>
          </cell>
          <cell r="N324" t="str">
            <v>3UNCERAWZS251150</v>
          </cell>
          <cell r="O324">
            <v>25</v>
          </cell>
          <cell r="P324">
            <v>3</v>
          </cell>
          <cell r="Q324" t="str">
            <v>S28M</v>
          </cell>
          <cell r="R324">
            <v>1160</v>
          </cell>
          <cell r="S324">
            <v>12500</v>
          </cell>
          <cell r="T324">
            <v>1150</v>
          </cell>
          <cell r="U324">
            <v>1150</v>
          </cell>
          <cell r="V324">
            <v>12400</v>
          </cell>
          <cell r="W324">
            <v>2</v>
          </cell>
          <cell r="X324" t="str">
            <v>CF2</v>
          </cell>
          <cell r="Y324" t="str">
            <v>MK1</v>
          </cell>
          <cell r="Z324">
            <v>6</v>
          </cell>
          <cell r="AA324" t="str">
            <v>6ｲﾝﾁFWP</v>
          </cell>
          <cell r="AB324">
            <v>1170</v>
          </cell>
          <cell r="AC324">
            <v>6</v>
          </cell>
          <cell r="AD324" t="str">
            <v>6ｲﾝﾁFWP</v>
          </cell>
          <cell r="AE324">
            <v>1170</v>
          </cell>
          <cell r="AO324" t="str">
            <v>3UNCERAWZS25</v>
          </cell>
        </row>
        <row r="325">
          <cell r="G325" t="str">
            <v>3TNCERAWZS</v>
          </cell>
          <cell r="H325" t="str">
            <v>T</v>
          </cell>
          <cell r="I325" t="str">
            <v>N</v>
          </cell>
          <cell r="J325" t="str">
            <v>CERA</v>
          </cell>
          <cell r="K325" t="str">
            <v>WZS</v>
          </cell>
          <cell r="L325" t="str">
            <v>セラピール　ＷＺ（Ｓ）</v>
          </cell>
          <cell r="M325" t="str">
            <v>3TNCERAWZS251158</v>
          </cell>
          <cell r="N325" t="str">
            <v>3TNCERAWZS251150</v>
          </cell>
          <cell r="O325">
            <v>25</v>
          </cell>
          <cell r="P325">
            <v>3</v>
          </cell>
          <cell r="Q325" t="str">
            <v>S28M</v>
          </cell>
          <cell r="R325">
            <v>1158</v>
          </cell>
          <cell r="S325">
            <v>12500</v>
          </cell>
          <cell r="T325">
            <v>1155</v>
          </cell>
          <cell r="U325">
            <v>1150</v>
          </cell>
          <cell r="V325">
            <v>4200</v>
          </cell>
          <cell r="W325">
            <v>2</v>
          </cell>
          <cell r="X325" t="str">
            <v>CF2</v>
          </cell>
          <cell r="Y325" t="str">
            <v>MK1</v>
          </cell>
          <cell r="Z325">
            <v>6</v>
          </cell>
          <cell r="AA325" t="str">
            <v>6ｲﾝﾁFWP</v>
          </cell>
          <cell r="AB325">
            <v>1170</v>
          </cell>
          <cell r="AC325">
            <v>6</v>
          </cell>
          <cell r="AD325" t="str">
            <v>6ｲﾝﾁFWP</v>
          </cell>
          <cell r="AE325">
            <v>1170</v>
          </cell>
          <cell r="AO325" t="str">
            <v>3TNCERAWZS25</v>
          </cell>
        </row>
        <row r="326">
          <cell r="G326" t="str">
            <v>3UNCERAWZCR</v>
          </cell>
          <cell r="H326" t="str">
            <v>U</v>
          </cell>
          <cell r="I326" t="str">
            <v>N</v>
          </cell>
          <cell r="J326" t="str">
            <v>CERA</v>
          </cell>
          <cell r="K326" t="str">
            <v>WZCR</v>
          </cell>
          <cell r="L326" t="str">
            <v>セラピール　ＷＺ（ＣＲ）</v>
          </cell>
          <cell r="M326" t="str">
            <v>3UNCERAWZCR311370</v>
          </cell>
          <cell r="N326" t="str">
            <v>3UNCERAWZCR311360</v>
          </cell>
          <cell r="O326">
            <v>31</v>
          </cell>
          <cell r="P326">
            <v>3</v>
          </cell>
          <cell r="Q326" t="str">
            <v>A56</v>
          </cell>
          <cell r="R326">
            <v>1370</v>
          </cell>
          <cell r="S326">
            <v>13450</v>
          </cell>
          <cell r="T326">
            <v>1360</v>
          </cell>
          <cell r="U326">
            <v>1360</v>
          </cell>
          <cell r="V326">
            <v>13250</v>
          </cell>
          <cell r="W326">
            <v>2</v>
          </cell>
          <cell r="X326" t="str">
            <v>CF2</v>
          </cell>
          <cell r="Y326" t="str">
            <v>直出し</v>
          </cell>
          <cell r="Z326">
            <v>6</v>
          </cell>
          <cell r="AA326" t="str">
            <v>6ｲﾝﾁFWP</v>
          </cell>
          <cell r="AB326">
            <v>1450</v>
          </cell>
          <cell r="AO326" t="str">
            <v>3UNCERAWZCR31</v>
          </cell>
        </row>
        <row r="327">
          <cell r="G327" t="str">
            <v>3UNCERAWZCR</v>
          </cell>
          <cell r="H327" t="str">
            <v>U</v>
          </cell>
          <cell r="I327" t="str">
            <v>N</v>
          </cell>
          <cell r="J327" t="str">
            <v>CERA</v>
          </cell>
          <cell r="K327" t="str">
            <v>WZCR</v>
          </cell>
          <cell r="L327" t="str">
            <v>セラピール　ＷＺ（ＣＲ）</v>
          </cell>
          <cell r="M327" t="str">
            <v>3UNCERAWZCR251370</v>
          </cell>
          <cell r="N327" t="str">
            <v>3UNCERAWZCR251360</v>
          </cell>
          <cell r="O327">
            <v>25</v>
          </cell>
          <cell r="P327">
            <v>3</v>
          </cell>
          <cell r="Q327" t="str">
            <v>A56</v>
          </cell>
          <cell r="R327">
            <v>1370</v>
          </cell>
          <cell r="S327">
            <v>15300</v>
          </cell>
          <cell r="T327">
            <v>1360</v>
          </cell>
          <cell r="U327">
            <v>1360</v>
          </cell>
          <cell r="V327">
            <v>15100</v>
          </cell>
          <cell r="W327">
            <v>2</v>
          </cell>
          <cell r="X327" t="str">
            <v>CF2</v>
          </cell>
          <cell r="Y327" t="str">
            <v>直出し</v>
          </cell>
          <cell r="Z327">
            <v>6</v>
          </cell>
          <cell r="AA327" t="str">
            <v>6ｲﾝﾁFWP</v>
          </cell>
          <cell r="AB327">
            <v>1450</v>
          </cell>
          <cell r="AO327" t="str">
            <v>3UNCERAWZCR25</v>
          </cell>
        </row>
        <row r="328">
          <cell r="G328" t="str">
            <v>3UNCERABX8A14</v>
          </cell>
          <cell r="H328" t="str">
            <v>U</v>
          </cell>
          <cell r="I328" t="str">
            <v>N</v>
          </cell>
          <cell r="J328" t="str">
            <v>CERA</v>
          </cell>
          <cell r="K328" t="str">
            <v>BX8A14</v>
          </cell>
          <cell r="L328" t="str">
            <v>セラピール　ＢＸ８Ａ（１４）</v>
          </cell>
          <cell r="M328" t="str">
            <v>3UNCERABX8A14751310</v>
          </cell>
          <cell r="N328" t="str">
            <v>3UNCERABX8A14751300</v>
          </cell>
          <cell r="O328">
            <v>75</v>
          </cell>
          <cell r="P328">
            <v>3</v>
          </cell>
          <cell r="Q328" t="str">
            <v>S28</v>
          </cell>
          <cell r="R328">
            <v>1310</v>
          </cell>
          <cell r="S328">
            <v>4500</v>
          </cell>
          <cell r="T328">
            <v>1300</v>
          </cell>
          <cell r="U328">
            <v>1300</v>
          </cell>
          <cell r="V328">
            <v>4300</v>
          </cell>
          <cell r="W328">
            <v>2</v>
          </cell>
          <cell r="X328" t="str">
            <v>CF2</v>
          </cell>
          <cell r="Y328" t="str">
            <v>直出し</v>
          </cell>
          <cell r="Z328">
            <v>6</v>
          </cell>
          <cell r="AA328" t="str">
            <v>6ｲﾝﾁFWP</v>
          </cell>
          <cell r="AB328">
            <v>1320</v>
          </cell>
          <cell r="AL328">
            <v>6</v>
          </cell>
          <cell r="AO328" t="str">
            <v>3UNCERABX8A1475</v>
          </cell>
        </row>
        <row r="329">
          <cell r="G329" t="str">
            <v>3UNCERABX8A14</v>
          </cell>
          <cell r="H329" t="str">
            <v>U</v>
          </cell>
          <cell r="I329" t="str">
            <v>N</v>
          </cell>
          <cell r="J329" t="str">
            <v>CERA</v>
          </cell>
          <cell r="K329" t="str">
            <v>BX8A14</v>
          </cell>
          <cell r="L329" t="str">
            <v>セラピール　ＢＸ８Ａ（１４）</v>
          </cell>
          <cell r="M329" t="str">
            <v>3UNCERABX8A14501240</v>
          </cell>
          <cell r="N329" t="str">
            <v>3UNCERABX8A1450600</v>
          </cell>
          <cell r="O329">
            <v>50</v>
          </cell>
          <cell r="P329">
            <v>3</v>
          </cell>
          <cell r="Q329" t="str">
            <v>S28M</v>
          </cell>
          <cell r="R329">
            <v>1240</v>
          </cell>
          <cell r="S329">
            <v>4200</v>
          </cell>
          <cell r="T329">
            <v>600</v>
          </cell>
          <cell r="U329">
            <v>600</v>
          </cell>
          <cell r="V329">
            <v>2000</v>
          </cell>
          <cell r="W329">
            <v>2</v>
          </cell>
          <cell r="X329" t="str">
            <v>CF2</v>
          </cell>
          <cell r="Y329" t="str">
            <v>SL-1</v>
          </cell>
          <cell r="Z329">
            <v>6</v>
          </cell>
          <cell r="AA329" t="str">
            <v>6ｲﾝﾁFWP</v>
          </cell>
          <cell r="AL329">
            <v>6</v>
          </cell>
          <cell r="AO329" t="str">
            <v>3UNCERABX8A1450</v>
          </cell>
        </row>
        <row r="330">
          <cell r="G330" t="str">
            <v>3UNCERABX8A14</v>
          </cell>
          <cell r="H330" t="str">
            <v>U</v>
          </cell>
          <cell r="I330" t="str">
            <v>N</v>
          </cell>
          <cell r="J330" t="str">
            <v>CERA</v>
          </cell>
          <cell r="K330" t="str">
            <v>BX8A14</v>
          </cell>
          <cell r="L330" t="str">
            <v>セラピール　ＢＸ８Ａ（１４）</v>
          </cell>
          <cell r="M330" t="str">
            <v>3UNCERABX8A14381430</v>
          </cell>
          <cell r="N330" t="str">
            <v>3UNCERABX8A14381420</v>
          </cell>
          <cell r="O330">
            <v>38</v>
          </cell>
          <cell r="P330">
            <v>3</v>
          </cell>
          <cell r="Q330" t="str">
            <v>S10</v>
          </cell>
          <cell r="R330">
            <v>1430</v>
          </cell>
          <cell r="S330">
            <v>6000</v>
          </cell>
          <cell r="T330">
            <v>1420</v>
          </cell>
          <cell r="U330">
            <v>1420</v>
          </cell>
          <cell r="V330">
            <v>6000</v>
          </cell>
          <cell r="W330">
            <v>2</v>
          </cell>
          <cell r="X330" t="str">
            <v>CF2</v>
          </cell>
          <cell r="Y330" t="str">
            <v>直出し</v>
          </cell>
          <cell r="Z330">
            <v>6</v>
          </cell>
          <cell r="AA330" t="str">
            <v>6ｲﾝﾁFWP</v>
          </cell>
          <cell r="AB330">
            <v>1600</v>
          </cell>
          <cell r="AL330">
            <v>6</v>
          </cell>
          <cell r="AO330" t="str">
            <v>3UNCERABX8A1438</v>
          </cell>
        </row>
        <row r="331">
          <cell r="G331" t="str">
            <v>3UNCERABX8A14</v>
          </cell>
          <cell r="H331" t="str">
            <v>U</v>
          </cell>
          <cell r="I331" t="str">
            <v>N</v>
          </cell>
          <cell r="J331" t="str">
            <v>CERA</v>
          </cell>
          <cell r="K331" t="str">
            <v>BX8A14</v>
          </cell>
          <cell r="L331" t="str">
            <v>セラピール　ＢＸ８Ａ（１４）</v>
          </cell>
          <cell r="M331" t="str">
            <v>3UNCERABX8A14251110</v>
          </cell>
          <cell r="N331" t="str">
            <v>3UNCERABX8A14251100</v>
          </cell>
          <cell r="O331">
            <v>25</v>
          </cell>
          <cell r="P331">
            <v>3</v>
          </cell>
          <cell r="Q331" t="str">
            <v>S28M</v>
          </cell>
          <cell r="R331">
            <v>1110</v>
          </cell>
          <cell r="S331">
            <v>12100</v>
          </cell>
          <cell r="T331">
            <v>1100</v>
          </cell>
          <cell r="U331">
            <v>1100</v>
          </cell>
          <cell r="V331">
            <v>4000</v>
          </cell>
          <cell r="W331">
            <v>2</v>
          </cell>
          <cell r="X331" t="str">
            <v>CF2</v>
          </cell>
          <cell r="Y331" t="str">
            <v>MK1</v>
          </cell>
          <cell r="Z331">
            <v>6</v>
          </cell>
          <cell r="AA331" t="str">
            <v>6ｲﾝﾁFWP</v>
          </cell>
          <cell r="AB331">
            <v>1450</v>
          </cell>
          <cell r="AC331">
            <v>6</v>
          </cell>
          <cell r="AD331" t="str">
            <v>6ｲﾝﾁFWP</v>
          </cell>
          <cell r="AE331">
            <v>1170</v>
          </cell>
          <cell r="AL331">
            <v>6</v>
          </cell>
          <cell r="AO331" t="str">
            <v>3UNCERABX8A1425</v>
          </cell>
        </row>
        <row r="332">
          <cell r="G332" t="str">
            <v>3TNCERABX8A14</v>
          </cell>
          <cell r="H332" t="str">
            <v>T</v>
          </cell>
          <cell r="I332" t="str">
            <v>N</v>
          </cell>
          <cell r="J332" t="str">
            <v>CERA</v>
          </cell>
          <cell r="K332" t="str">
            <v>BX8A14</v>
          </cell>
          <cell r="L332" t="str">
            <v>セラピール　ＢＸ８Ａ（１４）</v>
          </cell>
          <cell r="M332" t="str">
            <v>3TNCERABX8A14251110</v>
          </cell>
          <cell r="N332" t="str">
            <v>3TNCERABX8A14251100</v>
          </cell>
          <cell r="O332">
            <v>25</v>
          </cell>
          <cell r="P332">
            <v>3</v>
          </cell>
          <cell r="Q332" t="str">
            <v>S28M</v>
          </cell>
          <cell r="R332">
            <v>1110</v>
          </cell>
          <cell r="S332">
            <v>12500</v>
          </cell>
          <cell r="T332">
            <v>1100</v>
          </cell>
          <cell r="U332">
            <v>1100</v>
          </cell>
          <cell r="V332">
            <v>4000</v>
          </cell>
          <cell r="W332">
            <v>2</v>
          </cell>
          <cell r="X332" t="str">
            <v>CF2</v>
          </cell>
          <cell r="Y332" t="str">
            <v>MK1</v>
          </cell>
          <cell r="Z332">
            <v>6</v>
          </cell>
          <cell r="AA332" t="str">
            <v>6ｲﾝﾁFWP</v>
          </cell>
          <cell r="AB332">
            <v>1450</v>
          </cell>
          <cell r="AC332">
            <v>6</v>
          </cell>
          <cell r="AD332" t="str">
            <v>6ｲﾝﾁFWP</v>
          </cell>
          <cell r="AE332">
            <v>1170</v>
          </cell>
          <cell r="AL332">
            <v>6</v>
          </cell>
          <cell r="AO332" t="str">
            <v>3TNCERABX8A1425</v>
          </cell>
        </row>
        <row r="333">
          <cell r="G333" t="str">
            <v>3UNCERABX8A14</v>
          </cell>
          <cell r="H333" t="str">
            <v>U</v>
          </cell>
          <cell r="I333" t="str">
            <v>N</v>
          </cell>
          <cell r="J333" t="str">
            <v>CERA</v>
          </cell>
          <cell r="K333" t="str">
            <v>BX8A14</v>
          </cell>
          <cell r="L333" t="str">
            <v>セラピール　ＢＸ８Ａ（１４）</v>
          </cell>
          <cell r="M333" t="str">
            <v>3UNCERABX8A14251120</v>
          </cell>
          <cell r="N333" t="str">
            <v>3UNCERABX8A14251100</v>
          </cell>
          <cell r="O333">
            <v>25</v>
          </cell>
          <cell r="P333">
            <v>3</v>
          </cell>
          <cell r="Q333" t="str">
            <v>S28M</v>
          </cell>
          <cell r="R333">
            <v>1120</v>
          </cell>
          <cell r="S333">
            <v>12500</v>
          </cell>
          <cell r="T333">
            <v>1100</v>
          </cell>
          <cell r="U333">
            <v>1100</v>
          </cell>
          <cell r="V333">
            <v>4000</v>
          </cell>
          <cell r="W333">
            <v>2</v>
          </cell>
          <cell r="X333" t="str">
            <v>CF2</v>
          </cell>
          <cell r="Y333" t="str">
            <v>MK1</v>
          </cell>
          <cell r="Z333">
            <v>6</v>
          </cell>
          <cell r="AA333" t="str">
            <v>6ｲﾝﾁFWP</v>
          </cell>
          <cell r="AB333">
            <v>1450</v>
          </cell>
          <cell r="AC333">
            <v>6</v>
          </cell>
          <cell r="AD333" t="str">
            <v>6ｲﾝﾁFWP</v>
          </cell>
          <cell r="AE333">
            <v>1170</v>
          </cell>
          <cell r="AL333">
            <v>6</v>
          </cell>
          <cell r="AO333" t="str">
            <v>3UNCERABX8A1425</v>
          </cell>
        </row>
        <row r="334">
          <cell r="G334" t="str">
            <v>3UNCERAJWZ(B)</v>
          </cell>
          <cell r="H334" t="str">
            <v>U</v>
          </cell>
          <cell r="I334" t="str">
            <v>N</v>
          </cell>
          <cell r="J334" t="str">
            <v>CERA</v>
          </cell>
          <cell r="K334" t="str">
            <v>JWZ(B)</v>
          </cell>
          <cell r="L334" t="str">
            <v>セラピール　ＪＷＺ（Ｂ）</v>
          </cell>
          <cell r="M334" t="str">
            <v>3UNCERAJWZ(B)251270</v>
          </cell>
          <cell r="N334" t="str">
            <v>3UNCERAJWZ(B)251120</v>
          </cell>
          <cell r="O334">
            <v>25</v>
          </cell>
          <cell r="P334">
            <v>3</v>
          </cell>
          <cell r="Q334" t="str">
            <v>QZ54</v>
          </cell>
          <cell r="R334">
            <v>1270</v>
          </cell>
          <cell r="S334">
            <v>6000</v>
          </cell>
          <cell r="T334">
            <v>1120</v>
          </cell>
          <cell r="U334">
            <v>1120</v>
          </cell>
          <cell r="V334">
            <v>2000</v>
          </cell>
          <cell r="W334">
            <v>2</v>
          </cell>
          <cell r="X334" t="str">
            <v>CF2</v>
          </cell>
          <cell r="Y334" t="str">
            <v>SL-1</v>
          </cell>
          <cell r="Z334">
            <v>6</v>
          </cell>
          <cell r="AA334" t="str">
            <v>6ｲﾝﾁFWP</v>
          </cell>
          <cell r="AB334">
            <v>1450</v>
          </cell>
          <cell r="AC334">
            <v>6</v>
          </cell>
          <cell r="AD334" t="str">
            <v>6ｲﾝﾁFWP</v>
          </cell>
          <cell r="AE334">
            <v>1170</v>
          </cell>
          <cell r="AO334" t="str">
            <v>3UNCERAJWZ(B)25</v>
          </cell>
        </row>
        <row r="335">
          <cell r="G335" t="str">
            <v>3UNCERAJWZ(B)</v>
          </cell>
          <cell r="H335" t="str">
            <v>U</v>
          </cell>
          <cell r="I335" t="str">
            <v>N</v>
          </cell>
          <cell r="J335" t="str">
            <v>CERA</v>
          </cell>
          <cell r="K335" t="str">
            <v>JWZ(B)</v>
          </cell>
          <cell r="L335" t="str">
            <v>セラピール　ＪＷＺ（Ｂ）</v>
          </cell>
          <cell r="M335" t="str">
            <v>3UNCERAJWZ(B)381060</v>
          </cell>
          <cell r="N335" t="str">
            <v>3UNCERAJWZ(B)381040</v>
          </cell>
          <cell r="O335">
            <v>38</v>
          </cell>
          <cell r="P335">
            <v>3</v>
          </cell>
          <cell r="Q335" t="str">
            <v>QZ54</v>
          </cell>
          <cell r="R335">
            <v>1060</v>
          </cell>
          <cell r="S335">
            <v>3000</v>
          </cell>
          <cell r="T335">
            <v>1040</v>
          </cell>
          <cell r="U335">
            <v>1040</v>
          </cell>
          <cell r="V335">
            <v>2800</v>
          </cell>
          <cell r="W335">
            <v>2</v>
          </cell>
          <cell r="X335" t="str">
            <v>CF2</v>
          </cell>
          <cell r="Y335" t="str">
            <v>直出し</v>
          </cell>
          <cell r="Z335">
            <v>6</v>
          </cell>
          <cell r="AA335" t="str">
            <v>6ｲﾝﾁFWP</v>
          </cell>
          <cell r="AB335">
            <v>1500</v>
          </cell>
          <cell r="AO335" t="str">
            <v>3UNCERAJWZ(B)38</v>
          </cell>
        </row>
        <row r="336">
          <cell r="G336" t="str">
            <v>3UNCERAJWZ(B)</v>
          </cell>
          <cell r="H336" t="str">
            <v>U</v>
          </cell>
          <cell r="I336" t="str">
            <v>N</v>
          </cell>
          <cell r="J336" t="str">
            <v>CERA</v>
          </cell>
          <cell r="K336" t="str">
            <v>JWZ(B)</v>
          </cell>
          <cell r="L336" t="str">
            <v>セラピール　ＪＷＺ（Ｂ）</v>
          </cell>
          <cell r="M336" t="str">
            <v>3UNCERAJWZ(B)251060</v>
          </cell>
          <cell r="N336" t="str">
            <v>3UNCERAJWZ(B)251040</v>
          </cell>
          <cell r="O336">
            <v>25</v>
          </cell>
          <cell r="P336">
            <v>3</v>
          </cell>
          <cell r="Q336" t="str">
            <v>QZ54</v>
          </cell>
          <cell r="R336">
            <v>1060</v>
          </cell>
          <cell r="S336">
            <v>1200</v>
          </cell>
          <cell r="T336">
            <v>1040</v>
          </cell>
          <cell r="U336">
            <v>1040</v>
          </cell>
          <cell r="V336">
            <v>1000</v>
          </cell>
          <cell r="W336">
            <v>2</v>
          </cell>
          <cell r="X336" t="str">
            <v>CF2</v>
          </cell>
          <cell r="Y336" t="str">
            <v>直出し</v>
          </cell>
          <cell r="Z336">
            <v>6</v>
          </cell>
          <cell r="AA336" t="str">
            <v>6ｲﾝﾁFWP</v>
          </cell>
          <cell r="AB336">
            <v>1500</v>
          </cell>
          <cell r="AO336" t="str">
            <v>3UNCERAJWZ(B)25</v>
          </cell>
        </row>
        <row r="337">
          <cell r="G337" t="str">
            <v>3UNCERAJWZK</v>
          </cell>
          <cell r="H337" t="str">
            <v>U</v>
          </cell>
          <cell r="I337" t="str">
            <v>N</v>
          </cell>
          <cell r="J337" t="str">
            <v>CERA</v>
          </cell>
          <cell r="K337" t="str">
            <v>JWZK</v>
          </cell>
          <cell r="L337" t="str">
            <v>セラピール　ＪＷＺ（Ｋ）</v>
          </cell>
          <cell r="M337" t="str">
            <v>3UNCERAJWZK311070</v>
          </cell>
          <cell r="N337" t="str">
            <v>3UNCERAJWZK31450</v>
          </cell>
          <cell r="O337">
            <v>31</v>
          </cell>
          <cell r="P337">
            <v>3</v>
          </cell>
          <cell r="Q337" t="str">
            <v>QZR1</v>
          </cell>
          <cell r="R337">
            <v>1070</v>
          </cell>
          <cell r="S337">
            <v>3000</v>
          </cell>
          <cell r="T337">
            <v>450</v>
          </cell>
          <cell r="U337">
            <v>450</v>
          </cell>
          <cell r="V337">
            <v>3000</v>
          </cell>
          <cell r="W337">
            <v>2</v>
          </cell>
          <cell r="X337" t="str">
            <v>CF2</v>
          </cell>
          <cell r="Y337" t="str">
            <v>SL-1</v>
          </cell>
          <cell r="Z337">
            <v>6</v>
          </cell>
          <cell r="AA337" t="str">
            <v>6ｲﾝﾁFWP</v>
          </cell>
          <cell r="AB337">
            <v>1450</v>
          </cell>
          <cell r="AC337">
            <v>3</v>
          </cell>
          <cell r="AD337" t="str">
            <v>3ｲﾝﾁABS</v>
          </cell>
          <cell r="AE337">
            <v>505</v>
          </cell>
          <cell r="AO337" t="str">
            <v>3UNCERAJWZK31</v>
          </cell>
        </row>
        <row r="338">
          <cell r="G338" t="str">
            <v>3UNCERAJTK14B</v>
          </cell>
          <cell r="H338" t="str">
            <v>U</v>
          </cell>
          <cell r="I338" t="str">
            <v>N</v>
          </cell>
          <cell r="J338" t="str">
            <v>CERA</v>
          </cell>
          <cell r="K338" t="str">
            <v>JTK14B</v>
          </cell>
          <cell r="L338" t="str">
            <v>セラピール　ＪＴＫ１４（Ｂ）</v>
          </cell>
          <cell r="M338" t="str">
            <v>3UNCERAJTK14B251110</v>
          </cell>
          <cell r="N338" t="str">
            <v>3UNCERAJTK14B251100</v>
          </cell>
          <cell r="O338">
            <v>25</v>
          </cell>
          <cell r="P338">
            <v>3</v>
          </cell>
          <cell r="Q338" t="str">
            <v>QZ54</v>
          </cell>
          <cell r="R338">
            <v>1110</v>
          </cell>
          <cell r="S338">
            <v>5300</v>
          </cell>
          <cell r="T338">
            <v>1100</v>
          </cell>
          <cell r="U338">
            <v>1100</v>
          </cell>
          <cell r="V338">
            <v>2500</v>
          </cell>
          <cell r="W338">
            <v>2</v>
          </cell>
          <cell r="X338" t="str">
            <v>CF2</v>
          </cell>
          <cell r="Y338" t="str">
            <v>直出し</v>
          </cell>
          <cell r="Z338">
            <v>6</v>
          </cell>
          <cell r="AA338" t="str">
            <v>6ｲﾝﾁFWP</v>
          </cell>
          <cell r="AB338">
            <v>1450</v>
          </cell>
          <cell r="AO338" t="str">
            <v>3UNCERAJTK14B25</v>
          </cell>
        </row>
        <row r="339">
          <cell r="G339" t="str">
            <v>3UNCERAJTKE14B</v>
          </cell>
          <cell r="H339" t="str">
            <v>U</v>
          </cell>
          <cell r="I339" t="str">
            <v>N</v>
          </cell>
          <cell r="J339" t="str">
            <v>CERA</v>
          </cell>
          <cell r="K339" t="str">
            <v>JTKE14B</v>
          </cell>
          <cell r="L339" t="str">
            <v>セラピール　ＪＴＫＥ１４（Ｂ）</v>
          </cell>
          <cell r="M339" t="str">
            <v>3UNCERAJTKE14B251110</v>
          </cell>
          <cell r="N339" t="str">
            <v>3UNCERAJTKE14B251100</v>
          </cell>
          <cell r="O339">
            <v>25</v>
          </cell>
          <cell r="P339">
            <v>3</v>
          </cell>
          <cell r="Q339" t="str">
            <v>QZ54</v>
          </cell>
          <cell r="R339">
            <v>1110</v>
          </cell>
          <cell r="S339">
            <v>5300</v>
          </cell>
          <cell r="T339">
            <v>1100</v>
          </cell>
          <cell r="U339">
            <v>1100</v>
          </cell>
          <cell r="V339">
            <v>2500</v>
          </cell>
          <cell r="W339">
            <v>2</v>
          </cell>
          <cell r="X339" t="str">
            <v>CF2</v>
          </cell>
          <cell r="Y339" t="str">
            <v>MK1</v>
          </cell>
          <cell r="Z339">
            <v>6</v>
          </cell>
          <cell r="AA339" t="str">
            <v>6ｲﾝﾁFWP</v>
          </cell>
          <cell r="AB339">
            <v>1450</v>
          </cell>
          <cell r="AC339">
            <v>6</v>
          </cell>
          <cell r="AD339" t="str">
            <v>6ｲﾝﾁFWP</v>
          </cell>
          <cell r="AE339">
            <v>1450</v>
          </cell>
          <cell r="AO339" t="str">
            <v>3UNCERAJTKE14B25</v>
          </cell>
        </row>
        <row r="340">
          <cell r="G340" t="str">
            <v>3UNCERAJTKA16B</v>
          </cell>
          <cell r="H340" t="str">
            <v>U</v>
          </cell>
          <cell r="I340" t="str">
            <v>N</v>
          </cell>
          <cell r="J340" t="str">
            <v>CERA</v>
          </cell>
          <cell r="K340" t="str">
            <v>JTKA16B</v>
          </cell>
          <cell r="L340" t="str">
            <v>セラピール　ＪＴＫＡ１６（Ｂ）</v>
          </cell>
          <cell r="M340" t="str">
            <v>3UNCERAJTKA16B381060</v>
          </cell>
          <cell r="N340" t="str">
            <v>3UNCERAJTKA16B381050</v>
          </cell>
          <cell r="O340">
            <v>38</v>
          </cell>
          <cell r="P340">
            <v>3</v>
          </cell>
          <cell r="Q340" t="str">
            <v>QZ54</v>
          </cell>
          <cell r="R340">
            <v>1060</v>
          </cell>
          <cell r="S340">
            <v>6000</v>
          </cell>
          <cell r="T340">
            <v>1050</v>
          </cell>
          <cell r="U340">
            <v>1050</v>
          </cell>
          <cell r="V340">
            <v>1800</v>
          </cell>
          <cell r="W340">
            <v>2</v>
          </cell>
          <cell r="X340" t="str">
            <v>CF2</v>
          </cell>
          <cell r="Y340" t="str">
            <v>SL-1</v>
          </cell>
          <cell r="Z340">
            <v>6</v>
          </cell>
          <cell r="AA340" t="str">
            <v>6ｲﾝﾁFWP</v>
          </cell>
          <cell r="AB340">
            <v>1450</v>
          </cell>
          <cell r="AC340">
            <v>6</v>
          </cell>
          <cell r="AD340" t="str">
            <v>6ｲﾝﾁFWP</v>
          </cell>
          <cell r="AE340">
            <v>1450</v>
          </cell>
          <cell r="AO340" t="str">
            <v>3UNCERAJTKA16B38</v>
          </cell>
        </row>
        <row r="341">
          <cell r="G341" t="str">
            <v>3UNCERAJTKG16B</v>
          </cell>
          <cell r="H341" t="str">
            <v>U</v>
          </cell>
          <cell r="I341" t="str">
            <v>N</v>
          </cell>
          <cell r="J341" t="str">
            <v>CERA</v>
          </cell>
          <cell r="K341" t="str">
            <v>JTKG16B</v>
          </cell>
          <cell r="L341" t="str">
            <v>セラピール　ＪＴＫG１６（Ｂ）</v>
          </cell>
          <cell r="M341" t="str">
            <v>3UNCERAJTKG16B381050</v>
          </cell>
          <cell r="N341" t="str">
            <v>3UNCERAJTKG16B38400</v>
          </cell>
          <cell r="O341">
            <v>38</v>
          </cell>
          <cell r="P341">
            <v>3</v>
          </cell>
          <cell r="Q341" t="str">
            <v>QZ54</v>
          </cell>
          <cell r="R341">
            <v>1050</v>
          </cell>
          <cell r="S341">
            <v>6000</v>
          </cell>
          <cell r="T341">
            <v>400</v>
          </cell>
          <cell r="U341">
            <v>400</v>
          </cell>
          <cell r="V341">
            <v>200</v>
          </cell>
          <cell r="W341">
            <v>2</v>
          </cell>
          <cell r="X341" t="str">
            <v>CF2</v>
          </cell>
          <cell r="Y341" t="str">
            <v>SL-1</v>
          </cell>
          <cell r="Z341">
            <v>6</v>
          </cell>
          <cell r="AA341" t="str">
            <v>6ｲﾝﾁFWP</v>
          </cell>
          <cell r="AB341">
            <v>1450</v>
          </cell>
          <cell r="AC341">
            <v>3</v>
          </cell>
          <cell r="AD341" t="str">
            <v>3ｲﾝﾁABS</v>
          </cell>
          <cell r="AE341">
            <v>450</v>
          </cell>
          <cell r="AO341" t="str">
            <v>3UNCERAJTKG16B38</v>
          </cell>
        </row>
        <row r="342">
          <cell r="G342" t="str">
            <v>3UNCERAJTKG16B</v>
          </cell>
          <cell r="H342" t="str">
            <v>U</v>
          </cell>
          <cell r="I342" t="str">
            <v>N</v>
          </cell>
          <cell r="J342" t="str">
            <v>CERA</v>
          </cell>
          <cell r="K342" t="str">
            <v>JTKG16B</v>
          </cell>
          <cell r="L342" t="str">
            <v>セラピール　ＪＴＫG１６（Ｂ）</v>
          </cell>
          <cell r="M342" t="str">
            <v>3UNCERAJTKG16B381050</v>
          </cell>
          <cell r="N342" t="str">
            <v>3UNCERAJTKG16B38300</v>
          </cell>
          <cell r="O342">
            <v>38</v>
          </cell>
          <cell r="P342">
            <v>3</v>
          </cell>
          <cell r="Q342" t="str">
            <v>QZ54</v>
          </cell>
          <cell r="R342">
            <v>1050</v>
          </cell>
          <cell r="S342">
            <v>6000</v>
          </cell>
          <cell r="T342">
            <v>300</v>
          </cell>
          <cell r="U342">
            <v>300</v>
          </cell>
          <cell r="V342">
            <v>200</v>
          </cell>
          <cell r="W342">
            <v>2</v>
          </cell>
          <cell r="X342" t="str">
            <v>CF2</v>
          </cell>
          <cell r="Y342" t="str">
            <v>SL-1</v>
          </cell>
          <cell r="Z342">
            <v>6</v>
          </cell>
          <cell r="AA342" t="str">
            <v>6ｲﾝﾁFWP</v>
          </cell>
          <cell r="AB342">
            <v>1450</v>
          </cell>
          <cell r="AC342">
            <v>3</v>
          </cell>
          <cell r="AD342" t="str">
            <v>3ｲﾝﾁABS</v>
          </cell>
          <cell r="AE342">
            <v>322</v>
          </cell>
          <cell r="AO342" t="str">
            <v>3UNCERAJTKG16B38</v>
          </cell>
        </row>
        <row r="343">
          <cell r="G343" t="str">
            <v>3UNCERABKE24</v>
          </cell>
          <cell r="H343" t="str">
            <v>U</v>
          </cell>
          <cell r="I343" t="str">
            <v>N</v>
          </cell>
          <cell r="J343" t="str">
            <v>CERA</v>
          </cell>
          <cell r="K343" t="str">
            <v>BKE24</v>
          </cell>
          <cell r="L343" t="str">
            <v>セラピール　ＢＫＥ（２４）</v>
          </cell>
          <cell r="M343" t="str">
            <v>3UNCERABKE24381335</v>
          </cell>
          <cell r="N343" t="str">
            <v>3UNCERABKE24381330</v>
          </cell>
          <cell r="O343">
            <v>38</v>
          </cell>
          <cell r="P343">
            <v>3</v>
          </cell>
          <cell r="Q343" t="str">
            <v>R75</v>
          </cell>
          <cell r="R343">
            <v>1335</v>
          </cell>
          <cell r="S343">
            <v>6100</v>
          </cell>
          <cell r="T343">
            <v>1330</v>
          </cell>
          <cell r="U343">
            <v>1330</v>
          </cell>
          <cell r="V343">
            <v>6000</v>
          </cell>
          <cell r="W343">
            <v>2</v>
          </cell>
          <cell r="X343" t="str">
            <v>CF2</v>
          </cell>
          <cell r="Y343" t="str">
            <v>直出し</v>
          </cell>
          <cell r="Z343">
            <v>6</v>
          </cell>
          <cell r="AA343" t="str">
            <v>6ｲﾝﾁFWP</v>
          </cell>
          <cell r="AB343">
            <v>1450</v>
          </cell>
          <cell r="AO343" t="str">
            <v>3UNCERABKE2438</v>
          </cell>
        </row>
        <row r="344">
          <cell r="G344" t="str">
            <v>3UNCERABX8A40</v>
          </cell>
          <cell r="H344" t="str">
            <v>U</v>
          </cell>
          <cell r="I344" t="str">
            <v>N</v>
          </cell>
          <cell r="J344" t="str">
            <v>CERA</v>
          </cell>
          <cell r="K344" t="str">
            <v>BX8A40</v>
          </cell>
          <cell r="L344" t="str">
            <v>セラピール　ＢＸ８Ａ（４０）</v>
          </cell>
          <cell r="M344" t="str">
            <v>3UNCERABX8A40751100</v>
          </cell>
          <cell r="N344" t="str">
            <v>3UNCERABX8A40751090</v>
          </cell>
          <cell r="O344">
            <v>75</v>
          </cell>
          <cell r="P344">
            <v>3</v>
          </cell>
          <cell r="Q344" t="str">
            <v>XD5AD2</v>
          </cell>
          <cell r="R344">
            <v>1100</v>
          </cell>
          <cell r="S344">
            <v>4200</v>
          </cell>
          <cell r="T344">
            <v>1090</v>
          </cell>
          <cell r="U344">
            <v>1090</v>
          </cell>
          <cell r="V344">
            <v>4000</v>
          </cell>
          <cell r="W344">
            <v>2</v>
          </cell>
          <cell r="X344" t="str">
            <v>CF2</v>
          </cell>
          <cell r="Y344" t="str">
            <v>直出し</v>
          </cell>
          <cell r="Z344">
            <v>6</v>
          </cell>
          <cell r="AA344" t="str">
            <v>6ｲﾝﾁFWP</v>
          </cell>
          <cell r="AB344">
            <v>1170</v>
          </cell>
          <cell r="AL344">
            <v>6</v>
          </cell>
          <cell r="AO344" t="str">
            <v>3UNCERABX8A4075</v>
          </cell>
        </row>
        <row r="345">
          <cell r="G345" t="str">
            <v>3UNCERABX8A33</v>
          </cell>
          <cell r="H345" t="str">
            <v>U</v>
          </cell>
          <cell r="I345" t="str">
            <v>N</v>
          </cell>
          <cell r="J345" t="str">
            <v>CERA</v>
          </cell>
          <cell r="K345" t="str">
            <v>BX8A33</v>
          </cell>
          <cell r="L345" t="str">
            <v>セラピール　ＢＸ８Ａ（３３）</v>
          </cell>
          <cell r="M345" t="str">
            <v>3UNCERABX8A33751245</v>
          </cell>
          <cell r="N345" t="str">
            <v>3UNCERABX8A33751240</v>
          </cell>
          <cell r="O345">
            <v>75</v>
          </cell>
          <cell r="P345">
            <v>3</v>
          </cell>
          <cell r="Q345" t="str">
            <v>RM1Z</v>
          </cell>
          <cell r="R345">
            <v>1245</v>
          </cell>
          <cell r="S345">
            <v>4200</v>
          </cell>
          <cell r="T345">
            <v>1240</v>
          </cell>
          <cell r="U345">
            <v>1240</v>
          </cell>
          <cell r="V345">
            <v>2000</v>
          </cell>
          <cell r="W345">
            <v>2</v>
          </cell>
          <cell r="X345" t="str">
            <v>CF2</v>
          </cell>
          <cell r="Y345" t="str">
            <v>直出し</v>
          </cell>
          <cell r="Z345">
            <v>6</v>
          </cell>
          <cell r="AA345" t="str">
            <v>6ｲﾝﾁFWP</v>
          </cell>
          <cell r="AB345">
            <v>1450</v>
          </cell>
          <cell r="AL345">
            <v>6</v>
          </cell>
          <cell r="AO345" t="str">
            <v>3UNCERABX8A3375</v>
          </cell>
        </row>
        <row r="346">
          <cell r="G346" t="str">
            <v>3UNCERABX8A33</v>
          </cell>
          <cell r="H346" t="str">
            <v>U</v>
          </cell>
          <cell r="I346" t="str">
            <v>N</v>
          </cell>
          <cell r="J346" t="str">
            <v>CERA</v>
          </cell>
          <cell r="K346" t="str">
            <v>BX8A33</v>
          </cell>
          <cell r="L346" t="str">
            <v>セラピール　ＢＸ８Ａ（３３）</v>
          </cell>
          <cell r="M346" t="str">
            <v>3UNCERABX8A33751340</v>
          </cell>
          <cell r="N346" t="str">
            <v>3UNCERABX8A33751330</v>
          </cell>
          <cell r="O346">
            <v>75</v>
          </cell>
          <cell r="P346">
            <v>3</v>
          </cell>
          <cell r="Q346" t="str">
            <v>RM1Z</v>
          </cell>
          <cell r="R346">
            <v>1340</v>
          </cell>
          <cell r="S346">
            <v>4200</v>
          </cell>
          <cell r="T346">
            <v>1330</v>
          </cell>
          <cell r="U346">
            <v>1330</v>
          </cell>
          <cell r="V346">
            <v>2000</v>
          </cell>
          <cell r="W346">
            <v>2</v>
          </cell>
          <cell r="X346" t="str">
            <v>CF2</v>
          </cell>
          <cell r="Y346" t="str">
            <v>直出し</v>
          </cell>
          <cell r="Z346">
            <v>6</v>
          </cell>
          <cell r="AA346" t="str">
            <v>6ｲﾝﾁFWP</v>
          </cell>
          <cell r="AB346">
            <v>1450</v>
          </cell>
          <cell r="AL346">
            <v>6</v>
          </cell>
          <cell r="AO346" t="str">
            <v>3UNCERABX8A3375</v>
          </cell>
        </row>
        <row r="347">
          <cell r="G347" t="str">
            <v>3UNCERABX8A26</v>
          </cell>
          <cell r="H347" t="str">
            <v>U</v>
          </cell>
          <cell r="I347" t="str">
            <v>N</v>
          </cell>
          <cell r="J347" t="str">
            <v>CERA</v>
          </cell>
          <cell r="K347" t="str">
            <v>BX8A26</v>
          </cell>
          <cell r="L347" t="str">
            <v>セラピール　ＢＸ８Ａ（２６）</v>
          </cell>
          <cell r="M347" t="str">
            <v>3UNCERABX8A26381260</v>
          </cell>
          <cell r="N347" t="str">
            <v>3UNCERABX8A26381250</v>
          </cell>
          <cell r="O347">
            <v>38</v>
          </cell>
          <cell r="P347">
            <v>3</v>
          </cell>
          <cell r="Q347" t="str">
            <v>QZ43</v>
          </cell>
          <cell r="R347">
            <v>1260</v>
          </cell>
          <cell r="S347">
            <v>12200</v>
          </cell>
          <cell r="T347">
            <v>1250</v>
          </cell>
          <cell r="U347">
            <v>1250</v>
          </cell>
          <cell r="V347">
            <v>7000</v>
          </cell>
          <cell r="W347">
            <v>2</v>
          </cell>
          <cell r="X347" t="str">
            <v>CF2</v>
          </cell>
          <cell r="Y347" t="str">
            <v>直出し</v>
          </cell>
          <cell r="Z347">
            <v>6</v>
          </cell>
          <cell r="AA347" t="str">
            <v>6ｲﾝﾁFWP</v>
          </cell>
          <cell r="AB347">
            <v>1450</v>
          </cell>
          <cell r="AL347">
            <v>6</v>
          </cell>
          <cell r="AO347" t="str">
            <v>3UNCERABX8A2638</v>
          </cell>
        </row>
        <row r="348">
          <cell r="G348" t="str">
            <v>3UNCERABX8AD</v>
          </cell>
          <cell r="H348" t="str">
            <v>U</v>
          </cell>
          <cell r="I348" t="str">
            <v>N</v>
          </cell>
          <cell r="J348" t="str">
            <v>CERA</v>
          </cell>
          <cell r="K348" t="str">
            <v>BX8AD</v>
          </cell>
          <cell r="L348" t="str">
            <v>セラピール　ＢＸ８Ａ（Ｄ）</v>
          </cell>
          <cell r="M348" t="str">
            <v>3UNCERABX8AD751335</v>
          </cell>
          <cell r="N348" t="str">
            <v>3UNCERABX8AD751330</v>
          </cell>
          <cell r="O348">
            <v>75</v>
          </cell>
          <cell r="P348">
            <v>3</v>
          </cell>
          <cell r="Q348" t="str">
            <v>T102</v>
          </cell>
          <cell r="R348">
            <v>1335</v>
          </cell>
          <cell r="S348">
            <v>5200</v>
          </cell>
          <cell r="T348">
            <v>1335</v>
          </cell>
          <cell r="U348">
            <v>1330</v>
          </cell>
          <cell r="V348">
            <v>5000</v>
          </cell>
          <cell r="W348">
            <v>2</v>
          </cell>
          <cell r="X348" t="str">
            <v>CF2</v>
          </cell>
          <cell r="Y348" t="str">
            <v>直出し</v>
          </cell>
          <cell r="Z348">
            <v>6</v>
          </cell>
          <cell r="AA348" t="str">
            <v>6ｲﾝﾁFWP</v>
          </cell>
          <cell r="AB348">
            <v>1450</v>
          </cell>
          <cell r="AC348">
            <v>6</v>
          </cell>
          <cell r="AD348" t="str">
            <v>6ｲﾝﾁFWP</v>
          </cell>
          <cell r="AE348">
            <v>1450</v>
          </cell>
          <cell r="AL348">
            <v>6</v>
          </cell>
          <cell r="AO348" t="str">
            <v>3UNCERABX8AD75</v>
          </cell>
        </row>
        <row r="349">
          <cell r="G349" t="str">
            <v>3UNCERABX8A07</v>
          </cell>
          <cell r="H349" t="str">
            <v>U</v>
          </cell>
          <cell r="I349" t="str">
            <v>N</v>
          </cell>
          <cell r="J349" t="str">
            <v>CERA</v>
          </cell>
          <cell r="K349" t="str">
            <v>BX8A07</v>
          </cell>
          <cell r="L349" t="str">
            <v>セラピール　ＢＸ８Ａ（０７）</v>
          </cell>
          <cell r="M349" t="str">
            <v>3UNCERABX8A07751100</v>
          </cell>
          <cell r="N349" t="str">
            <v>3UNCERABX8A07751090</v>
          </cell>
          <cell r="O349">
            <v>75</v>
          </cell>
          <cell r="P349">
            <v>3</v>
          </cell>
          <cell r="Q349" t="str">
            <v>R41</v>
          </cell>
          <cell r="R349">
            <v>1100</v>
          </cell>
          <cell r="S349">
            <v>4400</v>
          </cell>
          <cell r="T349">
            <v>1090</v>
          </cell>
          <cell r="U349">
            <v>1090</v>
          </cell>
          <cell r="V349">
            <v>2000</v>
          </cell>
          <cell r="W349">
            <v>2</v>
          </cell>
          <cell r="X349" t="str">
            <v>CF2</v>
          </cell>
          <cell r="Y349" t="str">
            <v>直出し</v>
          </cell>
          <cell r="Z349">
            <v>6</v>
          </cell>
          <cell r="AA349" t="str">
            <v>6ｲﾝﾁFWP</v>
          </cell>
          <cell r="AB349">
            <v>1450</v>
          </cell>
          <cell r="AL349">
            <v>6</v>
          </cell>
          <cell r="AO349" t="str">
            <v>3UNCERABX8A0775</v>
          </cell>
        </row>
        <row r="350">
          <cell r="G350" t="str">
            <v>3UNCERABX8A01</v>
          </cell>
          <cell r="H350" t="str">
            <v>U</v>
          </cell>
          <cell r="I350" t="str">
            <v>N</v>
          </cell>
          <cell r="J350" t="str">
            <v>CERA</v>
          </cell>
          <cell r="K350" t="str">
            <v>BX8A01</v>
          </cell>
          <cell r="L350" t="str">
            <v>セラピール　ＢＸ８Ａ（０１）</v>
          </cell>
          <cell r="M350" t="str">
            <v>3UNCERABX8A01381100</v>
          </cell>
          <cell r="N350" t="str">
            <v>3UNCERABX8A0138400</v>
          </cell>
          <cell r="O350">
            <v>38</v>
          </cell>
          <cell r="P350">
            <v>3</v>
          </cell>
          <cell r="Q350" t="str">
            <v>R80</v>
          </cell>
          <cell r="R350">
            <v>1100</v>
          </cell>
          <cell r="S350">
            <v>3650</v>
          </cell>
          <cell r="T350">
            <v>400</v>
          </cell>
          <cell r="U350">
            <v>400</v>
          </cell>
          <cell r="V350">
            <v>1000</v>
          </cell>
          <cell r="W350">
            <v>2</v>
          </cell>
          <cell r="X350" t="str">
            <v>CF2</v>
          </cell>
          <cell r="Y350" t="str">
            <v>SL-1</v>
          </cell>
          <cell r="Z350">
            <v>6</v>
          </cell>
          <cell r="AA350" t="str">
            <v>6ｲﾝﾁFWP</v>
          </cell>
          <cell r="AB350">
            <v>1450</v>
          </cell>
          <cell r="AC350">
            <v>3</v>
          </cell>
          <cell r="AD350" t="str">
            <v>3ｲﾝﾁABS</v>
          </cell>
          <cell r="AE350">
            <v>422</v>
          </cell>
          <cell r="AL350">
            <v>6</v>
          </cell>
          <cell r="AO350" t="str">
            <v>3UNCERABX8A0138</v>
          </cell>
        </row>
        <row r="351">
          <cell r="G351" t="str">
            <v>3UYCERABX9A09</v>
          </cell>
          <cell r="H351" t="str">
            <v>U</v>
          </cell>
          <cell r="I351" t="str">
            <v>Y</v>
          </cell>
          <cell r="J351" t="str">
            <v>CERA</v>
          </cell>
          <cell r="K351" t="str">
            <v>BX9A09</v>
          </cell>
          <cell r="L351" t="str">
            <v>セラピール　ＢＸ９Ａ（０９）</v>
          </cell>
          <cell r="M351" t="str">
            <v>3UYCERABX9A09501110</v>
          </cell>
          <cell r="N351" t="str">
            <v>3UYCERABX9A0950500</v>
          </cell>
          <cell r="O351">
            <v>50</v>
          </cell>
          <cell r="P351">
            <v>3</v>
          </cell>
          <cell r="Q351" t="str">
            <v>XD500P</v>
          </cell>
          <cell r="R351">
            <v>1110</v>
          </cell>
          <cell r="S351">
            <v>4200</v>
          </cell>
          <cell r="T351">
            <v>500</v>
          </cell>
          <cell r="U351">
            <v>500</v>
          </cell>
          <cell r="V351">
            <v>1000</v>
          </cell>
          <cell r="W351">
            <v>2</v>
          </cell>
          <cell r="X351" t="str">
            <v>CF2</v>
          </cell>
          <cell r="Y351" t="str">
            <v>SL-1</v>
          </cell>
          <cell r="Z351">
            <v>6</v>
          </cell>
          <cell r="AA351" t="str">
            <v>6ｲﾝﾁFWP</v>
          </cell>
          <cell r="AB351">
            <v>1450</v>
          </cell>
          <cell r="AC351">
            <v>3</v>
          </cell>
          <cell r="AD351" t="str">
            <v>3ｲﾝﾁABS</v>
          </cell>
          <cell r="AE351">
            <v>505</v>
          </cell>
          <cell r="AL351">
            <v>6</v>
          </cell>
          <cell r="AO351" t="str">
            <v>3UYCERABX9A0950</v>
          </cell>
        </row>
        <row r="352">
          <cell r="G352" t="str">
            <v>3UYCERABX9A09</v>
          </cell>
          <cell r="H352" t="str">
            <v>U</v>
          </cell>
          <cell r="I352" t="str">
            <v>Y</v>
          </cell>
          <cell r="J352" t="str">
            <v>CERA</v>
          </cell>
          <cell r="K352" t="str">
            <v>BX9A09</v>
          </cell>
          <cell r="L352" t="str">
            <v>セラピール　ＢＸ９Ａ（０９）</v>
          </cell>
          <cell r="M352" t="str">
            <v>3UYCERABX9A09501110</v>
          </cell>
          <cell r="N352" t="str">
            <v>3UYCERABX9A0950500</v>
          </cell>
          <cell r="O352">
            <v>50</v>
          </cell>
          <cell r="P352">
            <v>3</v>
          </cell>
          <cell r="Q352" t="str">
            <v>XD500P</v>
          </cell>
          <cell r="R352">
            <v>1110</v>
          </cell>
          <cell r="S352">
            <v>4200</v>
          </cell>
          <cell r="T352">
            <v>500</v>
          </cell>
          <cell r="U352">
            <v>500</v>
          </cell>
          <cell r="V352">
            <v>500</v>
          </cell>
          <cell r="W352">
            <v>2</v>
          </cell>
          <cell r="X352" t="str">
            <v>CF2</v>
          </cell>
          <cell r="Y352" t="str">
            <v>SL-1</v>
          </cell>
          <cell r="Z352">
            <v>6</v>
          </cell>
          <cell r="AA352" t="str">
            <v>6ｲﾝﾁFWP</v>
          </cell>
          <cell r="AB352">
            <v>1450</v>
          </cell>
          <cell r="AC352">
            <v>3</v>
          </cell>
          <cell r="AD352" t="str">
            <v>3ｲﾝﾁABS</v>
          </cell>
          <cell r="AE352">
            <v>505</v>
          </cell>
          <cell r="AL352">
            <v>6</v>
          </cell>
          <cell r="AO352" t="str">
            <v>3UYCERABX9A0950</v>
          </cell>
        </row>
        <row r="353">
          <cell r="G353" t="str">
            <v>3UYCERABX9A09</v>
          </cell>
          <cell r="H353" t="str">
            <v>U</v>
          </cell>
          <cell r="I353" t="str">
            <v>Y</v>
          </cell>
          <cell r="J353" t="str">
            <v>CERA</v>
          </cell>
          <cell r="K353" t="str">
            <v>BX9A09</v>
          </cell>
          <cell r="L353" t="str">
            <v>セラピール　ＢＸ９Ａ（０９）</v>
          </cell>
          <cell r="M353" t="str">
            <v>3UYCERABX9A09501050</v>
          </cell>
          <cell r="N353" t="str">
            <v>3UYCERABX9A09501000</v>
          </cell>
          <cell r="O353">
            <v>50</v>
          </cell>
          <cell r="P353">
            <v>3</v>
          </cell>
          <cell r="Q353" t="str">
            <v>XD500P</v>
          </cell>
          <cell r="R353">
            <v>1050</v>
          </cell>
          <cell r="S353">
            <v>4200</v>
          </cell>
          <cell r="T353">
            <v>1000</v>
          </cell>
          <cell r="U353">
            <v>1000</v>
          </cell>
          <cell r="V353">
            <v>1000</v>
          </cell>
          <cell r="W353">
            <v>2</v>
          </cell>
          <cell r="X353" t="str">
            <v>CF2</v>
          </cell>
          <cell r="Y353" t="str">
            <v>SL-1</v>
          </cell>
          <cell r="Z353">
            <v>6</v>
          </cell>
          <cell r="AA353" t="str">
            <v>6ｲﾝﾁFWP</v>
          </cell>
          <cell r="AB353">
            <v>1450</v>
          </cell>
          <cell r="AC353">
            <v>6</v>
          </cell>
          <cell r="AD353" t="str">
            <v>6ｲﾝﾁABS</v>
          </cell>
          <cell r="AE353">
            <v>1060</v>
          </cell>
          <cell r="AL353">
            <v>6</v>
          </cell>
          <cell r="AO353" t="str">
            <v>3UYCERABX9A0950</v>
          </cell>
        </row>
        <row r="354">
          <cell r="G354" t="str">
            <v>3UNCERABX9A09</v>
          </cell>
          <cell r="H354" t="str">
            <v>U</v>
          </cell>
          <cell r="I354" t="str">
            <v>N</v>
          </cell>
          <cell r="J354" t="str">
            <v>CERA</v>
          </cell>
          <cell r="K354" t="str">
            <v>BX9A09</v>
          </cell>
          <cell r="L354" t="str">
            <v>セラピール　ＢＸ９Ａ（０９）</v>
          </cell>
          <cell r="M354" t="str">
            <v>3UNCERABX9A09501050</v>
          </cell>
          <cell r="N354" t="str">
            <v>3UNCERABX9A09501040</v>
          </cell>
          <cell r="O354">
            <v>50</v>
          </cell>
          <cell r="P354">
            <v>3</v>
          </cell>
          <cell r="Q354" t="str">
            <v>XD500P</v>
          </cell>
          <cell r="R354">
            <v>1050</v>
          </cell>
          <cell r="S354">
            <v>4200</v>
          </cell>
          <cell r="T354">
            <v>1040</v>
          </cell>
          <cell r="U354">
            <v>1040</v>
          </cell>
          <cell r="V354">
            <v>1000</v>
          </cell>
          <cell r="W354">
            <v>2</v>
          </cell>
          <cell r="X354" t="str">
            <v>CF2</v>
          </cell>
          <cell r="Y354" t="str">
            <v>直出し</v>
          </cell>
          <cell r="Z354">
            <v>6</v>
          </cell>
          <cell r="AA354" t="str">
            <v>6ｲﾝﾁFWP</v>
          </cell>
          <cell r="AB354">
            <v>1170</v>
          </cell>
          <cell r="AL354">
            <v>6</v>
          </cell>
          <cell r="AO354" t="str">
            <v>3UNCERABX9A0950</v>
          </cell>
        </row>
        <row r="355">
          <cell r="G355" t="str">
            <v>3UNCERATKA0707</v>
          </cell>
          <cell r="H355" t="str">
            <v>U</v>
          </cell>
          <cell r="I355" t="str">
            <v>N</v>
          </cell>
          <cell r="J355" t="str">
            <v>CERA</v>
          </cell>
          <cell r="K355" t="str">
            <v>TKA0707</v>
          </cell>
          <cell r="L355" t="str">
            <v>セラピール　ＴＫＡ０７（０７）</v>
          </cell>
          <cell r="M355" t="str">
            <v>3UNCERATKA0707751100</v>
          </cell>
          <cell r="N355" t="str">
            <v>3UNCERATKA0707751090</v>
          </cell>
          <cell r="O355">
            <v>75</v>
          </cell>
          <cell r="P355">
            <v>3</v>
          </cell>
          <cell r="Q355" t="str">
            <v>R41</v>
          </cell>
          <cell r="R355">
            <v>1100</v>
          </cell>
          <cell r="S355">
            <v>4400</v>
          </cell>
          <cell r="T355">
            <v>1090</v>
          </cell>
          <cell r="U355">
            <v>1090</v>
          </cell>
          <cell r="V355">
            <v>2000</v>
          </cell>
          <cell r="W355">
            <v>2</v>
          </cell>
          <cell r="X355" t="str">
            <v>CF2</v>
          </cell>
          <cell r="Y355" t="str">
            <v>直出し</v>
          </cell>
          <cell r="Z355">
            <v>6</v>
          </cell>
          <cell r="AA355" t="str">
            <v>6ｲﾝﾁFWP</v>
          </cell>
          <cell r="AB355">
            <v>1450</v>
          </cell>
          <cell r="AO355" t="str">
            <v>3UNCERATKA070775</v>
          </cell>
        </row>
        <row r="356">
          <cell r="G356" t="str">
            <v>3UNCERATKA1214</v>
          </cell>
          <cell r="H356" t="str">
            <v>U</v>
          </cell>
          <cell r="I356" t="str">
            <v>N</v>
          </cell>
          <cell r="J356" t="str">
            <v>CERA</v>
          </cell>
          <cell r="K356" t="str">
            <v>TKA1214</v>
          </cell>
          <cell r="L356" t="str">
            <v>セラピール　ＴＫＡ１２（１４）</v>
          </cell>
          <cell r="M356" t="str">
            <v>3UNCERATKA1214381300</v>
          </cell>
          <cell r="N356" t="str">
            <v>3UNCERATKA1214381050</v>
          </cell>
          <cell r="O356">
            <v>38</v>
          </cell>
          <cell r="P356">
            <v>3</v>
          </cell>
          <cell r="Q356" t="str">
            <v>S27</v>
          </cell>
          <cell r="R356">
            <v>1300</v>
          </cell>
          <cell r="S356">
            <v>6000</v>
          </cell>
          <cell r="T356">
            <v>1050</v>
          </cell>
          <cell r="U356">
            <v>1050</v>
          </cell>
          <cell r="V356">
            <v>5500</v>
          </cell>
          <cell r="W356">
            <v>2</v>
          </cell>
          <cell r="X356" t="str">
            <v>CF2</v>
          </cell>
          <cell r="Y356" t="str">
            <v>SL-1</v>
          </cell>
          <cell r="Z356">
            <v>6</v>
          </cell>
          <cell r="AA356" t="str">
            <v>6ｲﾝﾁFWP</v>
          </cell>
          <cell r="AB356">
            <v>1450</v>
          </cell>
          <cell r="AC356">
            <v>6</v>
          </cell>
          <cell r="AD356" t="str">
            <v>6ｲﾝﾁFWP</v>
          </cell>
          <cell r="AE356">
            <v>1250</v>
          </cell>
          <cell r="AO356" t="str">
            <v>3UNCERATKA121438</v>
          </cell>
        </row>
        <row r="357">
          <cell r="G357" t="str">
            <v>3UNCERATKA1214</v>
          </cell>
          <cell r="H357" t="str">
            <v>U</v>
          </cell>
          <cell r="I357" t="str">
            <v>N</v>
          </cell>
          <cell r="J357" t="str">
            <v>CERA</v>
          </cell>
          <cell r="K357" t="str">
            <v>TKA1214</v>
          </cell>
          <cell r="L357" t="str">
            <v>セラピール　ＴＫＡ１２（１４）</v>
          </cell>
          <cell r="M357" t="str">
            <v>3UNCERATKA1214381300</v>
          </cell>
          <cell r="N357" t="str">
            <v>3UNCERATKA121438300</v>
          </cell>
          <cell r="O357">
            <v>38</v>
          </cell>
          <cell r="P357">
            <v>3</v>
          </cell>
          <cell r="Q357" t="str">
            <v>S27</v>
          </cell>
          <cell r="R357">
            <v>1300</v>
          </cell>
          <cell r="S357">
            <v>6000</v>
          </cell>
          <cell r="T357">
            <v>300</v>
          </cell>
          <cell r="U357">
            <v>300</v>
          </cell>
          <cell r="V357">
            <v>200</v>
          </cell>
          <cell r="W357">
            <v>2</v>
          </cell>
          <cell r="X357" t="str">
            <v>CF2</v>
          </cell>
          <cell r="Y357" t="str">
            <v>SL-1</v>
          </cell>
          <cell r="Z357">
            <v>6</v>
          </cell>
          <cell r="AA357" t="str">
            <v>6ｲﾝﾁFWP</v>
          </cell>
          <cell r="AB357">
            <v>1450</v>
          </cell>
          <cell r="AC357">
            <v>3</v>
          </cell>
          <cell r="AD357" t="str">
            <v>3ｲﾝﾁABS</v>
          </cell>
          <cell r="AE357">
            <v>300</v>
          </cell>
          <cell r="AO357" t="str">
            <v>3UNCERATKA121438</v>
          </cell>
        </row>
        <row r="358">
          <cell r="G358" t="str">
            <v>3UNCERAJMDAB</v>
          </cell>
          <cell r="H358" t="str">
            <v>U</v>
          </cell>
          <cell r="I358" t="str">
            <v>N</v>
          </cell>
          <cell r="J358" t="str">
            <v>CERA</v>
          </cell>
          <cell r="K358" t="str">
            <v>JMDAB</v>
          </cell>
          <cell r="L358" t="str">
            <v>セラピール　ＪＭＤＡ（Ｂ）</v>
          </cell>
          <cell r="M358" t="str">
            <v>3UNCERAJMDAB381550</v>
          </cell>
          <cell r="N358" t="str">
            <v>3UNCERAJMDAB38750</v>
          </cell>
          <cell r="O358">
            <v>38</v>
          </cell>
          <cell r="P358">
            <v>3</v>
          </cell>
          <cell r="Q358" t="str">
            <v>QZ54</v>
          </cell>
          <cell r="R358">
            <v>1550</v>
          </cell>
          <cell r="S358">
            <v>12200</v>
          </cell>
          <cell r="T358">
            <v>750</v>
          </cell>
          <cell r="U358">
            <v>750</v>
          </cell>
          <cell r="V358">
            <v>6000</v>
          </cell>
          <cell r="W358">
            <v>2</v>
          </cell>
          <cell r="X358" t="str">
            <v>CF2</v>
          </cell>
          <cell r="Y358" t="str">
            <v>SL-1</v>
          </cell>
          <cell r="Z358">
            <v>6</v>
          </cell>
          <cell r="AA358" t="str">
            <v>6ｲﾝﾁFWP</v>
          </cell>
          <cell r="AB358">
            <v>1700</v>
          </cell>
          <cell r="AC358">
            <v>6</v>
          </cell>
          <cell r="AD358" t="str">
            <v>6ｲﾝﾁFWP</v>
          </cell>
          <cell r="AE358">
            <v>930</v>
          </cell>
          <cell r="AO358" t="str">
            <v>3UNCERAJMDAB38</v>
          </cell>
        </row>
        <row r="359">
          <cell r="G359" t="str">
            <v>3UNCERAJWZB</v>
          </cell>
          <cell r="H359" t="str">
            <v>U</v>
          </cell>
          <cell r="I359" t="str">
            <v>N</v>
          </cell>
          <cell r="J359" t="str">
            <v>CERA</v>
          </cell>
          <cell r="K359" t="str">
            <v>JWZB</v>
          </cell>
          <cell r="L359" t="str">
            <v>セラピール　ＪＷＺ（Ｂ）</v>
          </cell>
          <cell r="M359" t="str">
            <v>3UNCERAJWZB381590</v>
          </cell>
          <cell r="N359" t="str">
            <v>3UNCERAJWZB381585</v>
          </cell>
          <cell r="O359">
            <v>38</v>
          </cell>
          <cell r="P359">
            <v>3</v>
          </cell>
          <cell r="Q359" t="str">
            <v>QZ54</v>
          </cell>
          <cell r="R359">
            <v>1590</v>
          </cell>
          <cell r="S359">
            <v>6200</v>
          </cell>
          <cell r="T359">
            <v>1585</v>
          </cell>
          <cell r="U359">
            <v>1585</v>
          </cell>
          <cell r="V359">
            <v>6000</v>
          </cell>
          <cell r="W359">
            <v>2</v>
          </cell>
          <cell r="X359" t="str">
            <v>CF2</v>
          </cell>
          <cell r="Y359" t="str">
            <v>直出し</v>
          </cell>
          <cell r="Z359">
            <v>6</v>
          </cell>
          <cell r="AA359" t="str">
            <v>6ｲﾝﾁFWP</v>
          </cell>
          <cell r="AB359">
            <v>1700</v>
          </cell>
          <cell r="AO359" t="str">
            <v>3UNCERAJWZB38</v>
          </cell>
        </row>
        <row r="360">
          <cell r="G360" t="str">
            <v>3UNCERAJWZB</v>
          </cell>
          <cell r="H360" t="str">
            <v>U</v>
          </cell>
          <cell r="I360" t="str">
            <v>N</v>
          </cell>
          <cell r="J360" t="str">
            <v>CERA</v>
          </cell>
          <cell r="K360" t="str">
            <v>JWZB</v>
          </cell>
          <cell r="L360" t="str">
            <v>セラピール　ＪＷＺ（Ｂ）</v>
          </cell>
          <cell r="M360" t="str">
            <v>3UNCERAJWZB381595</v>
          </cell>
          <cell r="N360" t="str">
            <v>3UNCERAJWZB381585</v>
          </cell>
          <cell r="O360">
            <v>38</v>
          </cell>
          <cell r="P360">
            <v>3</v>
          </cell>
          <cell r="Q360" t="str">
            <v>QZ54</v>
          </cell>
          <cell r="R360">
            <v>1595</v>
          </cell>
          <cell r="S360">
            <v>6200</v>
          </cell>
          <cell r="T360">
            <v>1585</v>
          </cell>
          <cell r="U360">
            <v>1585</v>
          </cell>
          <cell r="V360">
            <v>6000</v>
          </cell>
          <cell r="W360">
            <v>2</v>
          </cell>
          <cell r="X360" t="str">
            <v>CF2</v>
          </cell>
          <cell r="Y360" t="str">
            <v>直出し</v>
          </cell>
          <cell r="Z360">
            <v>6</v>
          </cell>
          <cell r="AA360" t="str">
            <v>6ｲﾝﾁFWP</v>
          </cell>
          <cell r="AB360">
            <v>1700</v>
          </cell>
          <cell r="AO360" t="str">
            <v>3UNCERAJWZB38</v>
          </cell>
        </row>
        <row r="361">
          <cell r="G361" t="str">
            <v>3UNCERAJWZB</v>
          </cell>
          <cell r="H361" t="str">
            <v>U</v>
          </cell>
          <cell r="I361" t="str">
            <v>N</v>
          </cell>
          <cell r="J361" t="str">
            <v>CERA</v>
          </cell>
          <cell r="K361" t="str">
            <v>JWZB</v>
          </cell>
          <cell r="L361" t="str">
            <v>セラピール　ＪＷＺ（Ｂ）</v>
          </cell>
          <cell r="M361" t="str">
            <v>3UNCERAJWZB501595</v>
          </cell>
          <cell r="N361" t="str">
            <v>3UNCERAJWZB501585</v>
          </cell>
          <cell r="O361">
            <v>50</v>
          </cell>
          <cell r="P361">
            <v>3</v>
          </cell>
          <cell r="Q361" t="str">
            <v>QZ54</v>
          </cell>
          <cell r="R361">
            <v>1595</v>
          </cell>
          <cell r="S361">
            <v>6000</v>
          </cell>
          <cell r="T361">
            <v>1585</v>
          </cell>
          <cell r="U361">
            <v>1585</v>
          </cell>
          <cell r="V361">
            <v>5800</v>
          </cell>
          <cell r="W361">
            <v>2</v>
          </cell>
          <cell r="X361" t="str">
            <v>CF2</v>
          </cell>
          <cell r="Y361" t="str">
            <v>直出し</v>
          </cell>
          <cell r="Z361">
            <v>6</v>
          </cell>
          <cell r="AA361" t="str">
            <v>6ｲﾝﾁFWP</v>
          </cell>
          <cell r="AB361">
            <v>1700</v>
          </cell>
          <cell r="AO361" t="str">
            <v>3UNCERAJWZB50</v>
          </cell>
        </row>
        <row r="362">
          <cell r="G362" t="str">
            <v>3UNCERAJWZB</v>
          </cell>
          <cell r="H362" t="str">
            <v>U</v>
          </cell>
          <cell r="I362" t="str">
            <v>N</v>
          </cell>
          <cell r="J362" t="str">
            <v>CERA</v>
          </cell>
          <cell r="K362" t="str">
            <v>JWZB</v>
          </cell>
          <cell r="L362" t="str">
            <v>セラピール　ＪＷＺ（Ｂ）</v>
          </cell>
          <cell r="M362" t="str">
            <v>3UNCERAJWZB251610</v>
          </cell>
          <cell r="N362" t="str">
            <v>3UNCERAJWZB251600</v>
          </cell>
          <cell r="O362">
            <v>25</v>
          </cell>
          <cell r="P362">
            <v>3</v>
          </cell>
          <cell r="Q362" t="str">
            <v>QZ54</v>
          </cell>
          <cell r="R362">
            <v>1610</v>
          </cell>
          <cell r="S362">
            <v>12300</v>
          </cell>
          <cell r="T362">
            <v>1600</v>
          </cell>
          <cell r="U362">
            <v>1600</v>
          </cell>
          <cell r="V362">
            <v>4000</v>
          </cell>
          <cell r="W362">
            <v>2</v>
          </cell>
          <cell r="X362" t="str">
            <v>CF2</v>
          </cell>
          <cell r="Y362" t="str">
            <v>直出し</v>
          </cell>
          <cell r="Z362">
            <v>6</v>
          </cell>
          <cell r="AA362" t="str">
            <v>6ｲﾝﾁFWP</v>
          </cell>
          <cell r="AB362">
            <v>1700</v>
          </cell>
          <cell r="AO362" t="str">
            <v>3UNCERAJWZB25</v>
          </cell>
        </row>
        <row r="363">
          <cell r="G363" t="str">
            <v>3UNCERAMDB8K14</v>
          </cell>
          <cell r="H363" t="str">
            <v>U</v>
          </cell>
          <cell r="I363" t="str">
            <v>N</v>
          </cell>
          <cell r="J363" t="str">
            <v>CERA</v>
          </cell>
          <cell r="K363" t="str">
            <v>MDB8K14</v>
          </cell>
          <cell r="L363" t="str">
            <v>セラピール　ＭＤＡ／ＢＸ８ＫＡ（１４）</v>
          </cell>
          <cell r="M363" t="str">
            <v>3UNCERAMDB8K14751060</v>
          </cell>
          <cell r="N363" t="str">
            <v>3UNCERAMDB8K14751050</v>
          </cell>
          <cell r="O363">
            <v>75</v>
          </cell>
          <cell r="P363">
            <v>3</v>
          </cell>
          <cell r="Q363" t="str">
            <v>S28</v>
          </cell>
          <cell r="R363">
            <v>1060</v>
          </cell>
          <cell r="S363">
            <v>4300</v>
          </cell>
          <cell r="T363">
            <v>1050</v>
          </cell>
          <cell r="U363">
            <v>1050</v>
          </cell>
          <cell r="V363">
            <v>4000</v>
          </cell>
          <cell r="W363">
            <v>2</v>
          </cell>
          <cell r="X363" t="str">
            <v>CF2</v>
          </cell>
          <cell r="Y363" t="str">
            <v>MK1</v>
          </cell>
          <cell r="Z363">
            <v>6</v>
          </cell>
          <cell r="AA363" t="str">
            <v>6ｲﾝﾁFWP</v>
          </cell>
          <cell r="AB363">
            <v>1450</v>
          </cell>
          <cell r="AC363">
            <v>6</v>
          </cell>
          <cell r="AD363" t="str">
            <v>6ｲﾝﾁFWP</v>
          </cell>
          <cell r="AE363">
            <v>1250</v>
          </cell>
          <cell r="AL363">
            <v>6</v>
          </cell>
          <cell r="AM363" t="str">
            <v>BX8K加工→エージング→MDA加工</v>
          </cell>
          <cell r="AO363" t="str">
            <v>3UNCERAMDB8K1475</v>
          </cell>
        </row>
        <row r="364">
          <cell r="G364" t="str">
            <v>3UNCERAJMDB8KB</v>
          </cell>
          <cell r="H364" t="str">
            <v>U</v>
          </cell>
          <cell r="I364" t="str">
            <v>N</v>
          </cell>
          <cell r="J364" t="str">
            <v>CERA</v>
          </cell>
          <cell r="K364" t="str">
            <v>JMDB8KB</v>
          </cell>
          <cell r="L364" t="str">
            <v>セラピール　ＪＭＤＡ／ＢＸ８ＫＡ（Ｂ）</v>
          </cell>
          <cell r="M364" t="str">
            <v>3UNCERAJMDB8KB751060</v>
          </cell>
          <cell r="N364" t="str">
            <v>3UNCERAJMDB8KB751050</v>
          </cell>
          <cell r="O364">
            <v>75</v>
          </cell>
          <cell r="P364">
            <v>3</v>
          </cell>
          <cell r="Q364" t="str">
            <v>QZ54</v>
          </cell>
          <cell r="R364">
            <v>1060</v>
          </cell>
          <cell r="S364">
            <v>4300</v>
          </cell>
          <cell r="T364">
            <v>1050</v>
          </cell>
          <cell r="U364">
            <v>1050</v>
          </cell>
          <cell r="V364">
            <v>4000</v>
          </cell>
          <cell r="W364">
            <v>2</v>
          </cell>
          <cell r="X364" t="str">
            <v>CF2</v>
          </cell>
          <cell r="Y364" t="str">
            <v>MK1</v>
          </cell>
          <cell r="Z364">
            <v>6</v>
          </cell>
          <cell r="AA364" t="str">
            <v>6ｲﾝﾁFWP</v>
          </cell>
          <cell r="AB364">
            <v>1450</v>
          </cell>
          <cell r="AC364">
            <v>6</v>
          </cell>
          <cell r="AD364" t="str">
            <v>6ｲﾝﾁFWP</v>
          </cell>
          <cell r="AE364">
            <v>1250</v>
          </cell>
          <cell r="AL364">
            <v>6</v>
          </cell>
          <cell r="AM364" t="str">
            <v>BX8K加工→エージング→MDA加工</v>
          </cell>
          <cell r="AO364" t="str">
            <v>3UNCERAJMDB8KB75</v>
          </cell>
        </row>
        <row r="365">
          <cell r="G365" t="str">
            <v>3UNCERAJMDAB</v>
          </cell>
          <cell r="H365" t="str">
            <v>U</v>
          </cell>
          <cell r="I365" t="str">
            <v>N</v>
          </cell>
          <cell r="J365" t="str">
            <v>CERA</v>
          </cell>
          <cell r="K365" t="str">
            <v>JMDAB</v>
          </cell>
          <cell r="L365" t="str">
            <v>セラピール　ＪＭＤＡ（Ｂ）</v>
          </cell>
          <cell r="M365" t="str">
            <v>3UNCERAJMDAB381270</v>
          </cell>
          <cell r="N365" t="str">
            <v>3UNCERAJMDAB381250</v>
          </cell>
          <cell r="O365">
            <v>38</v>
          </cell>
          <cell r="P365">
            <v>3</v>
          </cell>
          <cell r="Q365" t="str">
            <v>QZ54</v>
          </cell>
          <cell r="R365">
            <v>1270</v>
          </cell>
          <cell r="S365">
            <v>6000</v>
          </cell>
          <cell r="T365">
            <v>1250</v>
          </cell>
          <cell r="U365">
            <v>1250</v>
          </cell>
          <cell r="V365">
            <v>5800</v>
          </cell>
          <cell r="W365">
            <v>2</v>
          </cell>
          <cell r="X365" t="str">
            <v>CF2</v>
          </cell>
          <cell r="Y365" t="str">
            <v>直出し</v>
          </cell>
          <cell r="Z365">
            <v>6</v>
          </cell>
          <cell r="AA365" t="str">
            <v>6ｲﾝﾁFWP</v>
          </cell>
          <cell r="AB365">
            <v>1450</v>
          </cell>
          <cell r="AL365">
            <v>6</v>
          </cell>
          <cell r="AM365" t="str">
            <v>BX8K加工→エージング→MDA加工</v>
          </cell>
          <cell r="AO365" t="str">
            <v>3UNCERAJMDAB38</v>
          </cell>
        </row>
        <row r="366">
          <cell r="G366" t="str">
            <v>3UNCERAJMDAB</v>
          </cell>
          <cell r="H366" t="str">
            <v>U</v>
          </cell>
          <cell r="I366" t="str">
            <v>N</v>
          </cell>
          <cell r="J366" t="str">
            <v>CERA</v>
          </cell>
          <cell r="K366" t="str">
            <v>JMDAB</v>
          </cell>
          <cell r="L366" t="str">
            <v>セラピール　ＪＭＤＡ（Ｂ）</v>
          </cell>
          <cell r="M366" t="str">
            <v>3UNCERAJMDAB381060</v>
          </cell>
          <cell r="N366" t="str">
            <v>3UNCERAJMDAB38750</v>
          </cell>
          <cell r="O366">
            <v>38</v>
          </cell>
          <cell r="P366">
            <v>3</v>
          </cell>
          <cell r="Q366" t="str">
            <v>QZ54</v>
          </cell>
          <cell r="R366">
            <v>1060</v>
          </cell>
          <cell r="S366">
            <v>6000</v>
          </cell>
          <cell r="T366">
            <v>750</v>
          </cell>
          <cell r="U366">
            <v>750</v>
          </cell>
          <cell r="V366">
            <v>5800</v>
          </cell>
          <cell r="W366">
            <v>2</v>
          </cell>
          <cell r="X366" t="str">
            <v>CF2</v>
          </cell>
          <cell r="Y366" t="str">
            <v>SL-1</v>
          </cell>
          <cell r="Z366">
            <v>6</v>
          </cell>
          <cell r="AA366" t="str">
            <v>6ｲﾝﾁFWP</v>
          </cell>
          <cell r="AB366">
            <v>1450</v>
          </cell>
          <cell r="AC366">
            <v>6</v>
          </cell>
          <cell r="AD366" t="str">
            <v>6ｲﾝﾁFWP</v>
          </cell>
          <cell r="AE366">
            <v>930</v>
          </cell>
          <cell r="AL366">
            <v>6</v>
          </cell>
          <cell r="AM366" t="str">
            <v>BX8K加工→エージング→MDA加工</v>
          </cell>
          <cell r="AO366" t="str">
            <v>3UNCERAJMDAB38</v>
          </cell>
        </row>
        <row r="367">
          <cell r="G367" t="str">
            <v>3UNCERAJMDGB</v>
          </cell>
          <cell r="H367" t="str">
            <v>U</v>
          </cell>
          <cell r="I367" t="str">
            <v>N</v>
          </cell>
          <cell r="J367" t="str">
            <v>CERA</v>
          </cell>
          <cell r="K367" t="str">
            <v>JMDGB</v>
          </cell>
          <cell r="L367" t="str">
            <v>セラピール　ＪＭＤＧ（Ｂ）</v>
          </cell>
          <cell r="M367" t="str">
            <v>3UNCERAJMDGB381060</v>
          </cell>
          <cell r="N367" t="str">
            <v>3UNCERAJMDGB38750</v>
          </cell>
          <cell r="O367">
            <v>38</v>
          </cell>
          <cell r="P367">
            <v>3</v>
          </cell>
          <cell r="Q367" t="str">
            <v>QZ54</v>
          </cell>
          <cell r="R367">
            <v>1060</v>
          </cell>
          <cell r="S367">
            <v>6000</v>
          </cell>
          <cell r="T367">
            <v>750</v>
          </cell>
          <cell r="U367">
            <v>750</v>
          </cell>
          <cell r="V367">
            <v>2000</v>
          </cell>
          <cell r="W367">
            <v>2</v>
          </cell>
          <cell r="X367" t="str">
            <v>CF2</v>
          </cell>
          <cell r="Y367" t="str">
            <v>SL-1</v>
          </cell>
          <cell r="Z367">
            <v>6</v>
          </cell>
          <cell r="AA367" t="str">
            <v>6ｲﾝﾁFWP</v>
          </cell>
          <cell r="AB367">
            <v>1450</v>
          </cell>
          <cell r="AC367">
            <v>6</v>
          </cell>
          <cell r="AD367" t="str">
            <v>6ｲﾝﾁFWP</v>
          </cell>
          <cell r="AE367">
            <v>930</v>
          </cell>
          <cell r="AL367">
            <v>6</v>
          </cell>
          <cell r="AM367" t="str">
            <v>BX8K加工→エージング→MDA加工</v>
          </cell>
          <cell r="AO367" t="str">
            <v>3UNCERAJMDGB38</v>
          </cell>
        </row>
        <row r="368">
          <cell r="G368" t="str">
            <v>3UNCERAJMDEB</v>
          </cell>
          <cell r="H368" t="str">
            <v>U</v>
          </cell>
          <cell r="I368" t="str">
            <v>N</v>
          </cell>
          <cell r="J368" t="str">
            <v>CERA</v>
          </cell>
          <cell r="K368" t="str">
            <v>JMDEB</v>
          </cell>
          <cell r="L368" t="str">
            <v>セラピール　ＪＭＤＥ（Ｂ）</v>
          </cell>
          <cell r="M368" t="str">
            <v>3UNCERAJMDEB381060</v>
          </cell>
          <cell r="N368" t="str">
            <v>3UNCERAJMDEB38750</v>
          </cell>
          <cell r="O368">
            <v>38</v>
          </cell>
          <cell r="P368">
            <v>3</v>
          </cell>
          <cell r="Q368" t="str">
            <v>QZ54</v>
          </cell>
          <cell r="R368">
            <v>1060</v>
          </cell>
          <cell r="S368">
            <v>6000</v>
          </cell>
          <cell r="T368">
            <v>750</v>
          </cell>
          <cell r="U368">
            <v>750</v>
          </cell>
          <cell r="V368">
            <v>2000</v>
          </cell>
          <cell r="W368">
            <v>2</v>
          </cell>
          <cell r="X368" t="str">
            <v>CF2</v>
          </cell>
          <cell r="Y368" t="str">
            <v>SL-1</v>
          </cell>
          <cell r="Z368">
            <v>6</v>
          </cell>
          <cell r="AA368" t="str">
            <v>6ｲﾝﾁFWP</v>
          </cell>
          <cell r="AB368">
            <v>1450</v>
          </cell>
          <cell r="AC368">
            <v>6</v>
          </cell>
          <cell r="AD368" t="str">
            <v>6ｲﾝﾁFWP</v>
          </cell>
          <cell r="AE368">
            <v>930</v>
          </cell>
          <cell r="AL368">
            <v>6</v>
          </cell>
          <cell r="AM368" t="str">
            <v>BX8K加工→エージング→MDA加工</v>
          </cell>
          <cell r="AO368" t="str">
            <v>3UNCERAJMDEB38</v>
          </cell>
        </row>
        <row r="369">
          <cell r="G369" t="str">
            <v>3UNCERAMD(A)R</v>
          </cell>
          <cell r="H369" t="str">
            <v>U</v>
          </cell>
          <cell r="I369" t="str">
            <v>N</v>
          </cell>
          <cell r="J369" t="str">
            <v>CERA</v>
          </cell>
          <cell r="K369" t="str">
            <v>MD(A)R</v>
          </cell>
          <cell r="L369" t="str">
            <v>セラピール　ＭＤ（Ａ）（Ｒ）</v>
          </cell>
          <cell r="M369" t="str">
            <v>3UNCERAMD(A)R381255</v>
          </cell>
          <cell r="N369" t="str">
            <v>3UNCERAMD(A)R38750</v>
          </cell>
          <cell r="O369">
            <v>38</v>
          </cell>
          <cell r="P369">
            <v>3</v>
          </cell>
          <cell r="Q369" t="str">
            <v>R75X</v>
          </cell>
          <cell r="R369">
            <v>1255</v>
          </cell>
          <cell r="S369">
            <v>12200</v>
          </cell>
          <cell r="T369">
            <v>750</v>
          </cell>
          <cell r="U369">
            <v>750</v>
          </cell>
          <cell r="V369">
            <v>6000</v>
          </cell>
          <cell r="W369">
            <v>2</v>
          </cell>
          <cell r="X369" t="str">
            <v>CF2</v>
          </cell>
          <cell r="Y369" t="str">
            <v>SL-1</v>
          </cell>
          <cell r="Z369">
            <v>6</v>
          </cell>
          <cell r="AA369" t="str">
            <v>6ｲﾝﾁFWP</v>
          </cell>
          <cell r="AB369">
            <v>1450</v>
          </cell>
          <cell r="AC369">
            <v>6</v>
          </cell>
          <cell r="AD369" t="str">
            <v>6ｲﾝﾁFWP</v>
          </cell>
          <cell r="AE369">
            <v>930</v>
          </cell>
          <cell r="AL369">
            <v>6</v>
          </cell>
          <cell r="AM369" t="str">
            <v>BX8K加工→エージング→MDA加工</v>
          </cell>
          <cell r="AO369" t="str">
            <v>3UNCERAMD(A)R38</v>
          </cell>
        </row>
        <row r="370">
          <cell r="G370" t="str">
            <v>3UNCERATKA0709</v>
          </cell>
          <cell r="H370" t="str">
            <v>U</v>
          </cell>
          <cell r="I370" t="str">
            <v>N</v>
          </cell>
          <cell r="J370" t="str">
            <v>CERA</v>
          </cell>
          <cell r="K370" t="str">
            <v>TKA0709</v>
          </cell>
          <cell r="L370" t="str">
            <v>セラピール　ＴＫＡ０７（０９）</v>
          </cell>
          <cell r="M370" t="str">
            <v>3UNCERATKA0709751200</v>
          </cell>
          <cell r="N370" t="str">
            <v>3UNCERATKA0709751190</v>
          </cell>
          <cell r="O370">
            <v>75</v>
          </cell>
          <cell r="P370">
            <v>3</v>
          </cell>
          <cell r="Q370" t="str">
            <v>XD500P</v>
          </cell>
          <cell r="R370">
            <v>1200</v>
          </cell>
          <cell r="S370">
            <v>4500</v>
          </cell>
          <cell r="T370">
            <v>1190</v>
          </cell>
          <cell r="U370">
            <v>1190</v>
          </cell>
          <cell r="V370">
            <v>4000</v>
          </cell>
          <cell r="W370">
            <v>2</v>
          </cell>
          <cell r="X370" t="str">
            <v>CF2</v>
          </cell>
          <cell r="Y370" t="str">
            <v>直出し</v>
          </cell>
          <cell r="Z370">
            <v>6</v>
          </cell>
          <cell r="AA370" t="str">
            <v>6ｲﾝﾁFWP</v>
          </cell>
          <cell r="AB370">
            <v>1250</v>
          </cell>
          <cell r="AO370" t="str">
            <v>3UNCERATKA070975</v>
          </cell>
        </row>
        <row r="371">
          <cell r="G371" t="str">
            <v>3UYCERATKA1440</v>
          </cell>
          <cell r="H371" t="str">
            <v>U</v>
          </cell>
          <cell r="I371" t="str">
            <v>Y</v>
          </cell>
          <cell r="J371" t="str">
            <v>CERA</v>
          </cell>
          <cell r="K371" t="str">
            <v>TKA1440</v>
          </cell>
          <cell r="L371" t="str">
            <v>セラピール　ＴＫＡ１４（４０）</v>
          </cell>
          <cell r="M371" t="str">
            <v>3UYCERATKA1440501100</v>
          </cell>
          <cell r="N371" t="str">
            <v>3UYCERATKA1440501000</v>
          </cell>
          <cell r="O371">
            <v>50</v>
          </cell>
          <cell r="P371">
            <v>3</v>
          </cell>
          <cell r="Q371" t="str">
            <v>XD5AD2</v>
          </cell>
          <cell r="R371">
            <v>1100</v>
          </cell>
          <cell r="S371">
            <v>4200</v>
          </cell>
          <cell r="T371">
            <v>1000</v>
          </cell>
          <cell r="U371">
            <v>1000</v>
          </cell>
          <cell r="V371">
            <v>500</v>
          </cell>
          <cell r="W371">
            <v>2</v>
          </cell>
          <cell r="X371" t="str">
            <v>CF2</v>
          </cell>
          <cell r="Y371" t="str">
            <v>SL-1</v>
          </cell>
          <cell r="Z371">
            <v>6</v>
          </cell>
          <cell r="AA371" t="str">
            <v>6ｲﾝﾁFWP</v>
          </cell>
          <cell r="AB371">
            <v>1450</v>
          </cell>
          <cell r="AC371">
            <v>6</v>
          </cell>
          <cell r="AD371" t="str">
            <v>6ｲﾝﾁABS</v>
          </cell>
          <cell r="AE371">
            <v>1450</v>
          </cell>
          <cell r="AO371" t="str">
            <v>3UYCERATKA144050</v>
          </cell>
        </row>
        <row r="372">
          <cell r="G372" t="str">
            <v>3UYCERATKA1540</v>
          </cell>
          <cell r="H372" t="str">
            <v>U</v>
          </cell>
          <cell r="I372" t="str">
            <v>Y</v>
          </cell>
          <cell r="J372" t="str">
            <v>CERA</v>
          </cell>
          <cell r="K372" t="str">
            <v>TKA1540</v>
          </cell>
          <cell r="L372" t="str">
            <v>セラピール　ＴＫＡ１５（４０）</v>
          </cell>
          <cell r="M372" t="str">
            <v>3UYCERATKA1540501080</v>
          </cell>
          <cell r="N372" t="str">
            <v>3UYCERATKA1540501000</v>
          </cell>
          <cell r="O372">
            <v>50</v>
          </cell>
          <cell r="P372">
            <v>3</v>
          </cell>
          <cell r="Q372" t="str">
            <v>XD5AD2</v>
          </cell>
          <cell r="R372">
            <v>1080</v>
          </cell>
          <cell r="S372">
            <v>6500</v>
          </cell>
          <cell r="T372">
            <v>1000</v>
          </cell>
          <cell r="U372">
            <v>1000</v>
          </cell>
          <cell r="V372">
            <v>500</v>
          </cell>
          <cell r="W372">
            <v>2</v>
          </cell>
          <cell r="X372" t="str">
            <v>CF2</v>
          </cell>
          <cell r="Y372" t="str">
            <v>SL-1</v>
          </cell>
          <cell r="Z372">
            <v>6</v>
          </cell>
          <cell r="AA372" t="str">
            <v>6ｲﾝﾁFWP</v>
          </cell>
          <cell r="AB372">
            <v>1450</v>
          </cell>
          <cell r="AC372">
            <v>6</v>
          </cell>
          <cell r="AD372" t="str">
            <v>6ｲﾝﾁABS</v>
          </cell>
          <cell r="AE372">
            <v>1450</v>
          </cell>
          <cell r="AO372" t="str">
            <v>3UYCERATKA154050</v>
          </cell>
        </row>
        <row r="373">
          <cell r="G373" t="str">
            <v>3UNCERATKA1540</v>
          </cell>
          <cell r="H373" t="str">
            <v>U</v>
          </cell>
          <cell r="I373" t="str">
            <v>N</v>
          </cell>
          <cell r="J373" t="str">
            <v>CERA</v>
          </cell>
          <cell r="K373" t="str">
            <v>TKA1540</v>
          </cell>
          <cell r="L373" t="str">
            <v>セラピール　ＴＫＡ１５（４０）</v>
          </cell>
          <cell r="M373" t="str">
            <v>3UNCERATKA1540501080</v>
          </cell>
          <cell r="N373" t="str">
            <v>3UNCERATKA1540501070</v>
          </cell>
          <cell r="O373">
            <v>50</v>
          </cell>
          <cell r="P373">
            <v>3</v>
          </cell>
          <cell r="Q373" t="str">
            <v>XD5AD2</v>
          </cell>
          <cell r="R373">
            <v>1080</v>
          </cell>
          <cell r="S373">
            <v>6500</v>
          </cell>
          <cell r="T373">
            <v>1070</v>
          </cell>
          <cell r="U373">
            <v>1070</v>
          </cell>
          <cell r="V373">
            <v>5000</v>
          </cell>
          <cell r="W373">
            <v>2</v>
          </cell>
          <cell r="X373" t="str">
            <v>CF2</v>
          </cell>
          <cell r="Y373" t="str">
            <v>直出し</v>
          </cell>
          <cell r="Z373">
            <v>6</v>
          </cell>
          <cell r="AA373" t="str">
            <v>6ｲﾝﾁFWP</v>
          </cell>
          <cell r="AB373">
            <v>1450</v>
          </cell>
          <cell r="AO373" t="str">
            <v>3UNCERATKA154050</v>
          </cell>
        </row>
        <row r="374">
          <cell r="G374" t="str">
            <v>3UNCERATKA0909</v>
          </cell>
          <cell r="H374" t="str">
            <v>U</v>
          </cell>
          <cell r="I374" t="str">
            <v>N</v>
          </cell>
          <cell r="J374" t="str">
            <v>CERA</v>
          </cell>
          <cell r="K374" t="str">
            <v>TKA0909</v>
          </cell>
          <cell r="L374" t="str">
            <v>セラピール　ＴＫＡ０９（０９）</v>
          </cell>
          <cell r="M374" t="str">
            <v>3UNCERATKA0909751360</v>
          </cell>
          <cell r="N374" t="str">
            <v>3UNCERATKA0909751350</v>
          </cell>
          <cell r="O374">
            <v>75</v>
          </cell>
          <cell r="P374">
            <v>3</v>
          </cell>
          <cell r="Q374" t="str">
            <v>XD500P</v>
          </cell>
          <cell r="R374">
            <v>1360</v>
          </cell>
          <cell r="S374">
            <v>4500</v>
          </cell>
          <cell r="T374">
            <v>1350</v>
          </cell>
          <cell r="U374">
            <v>1350</v>
          </cell>
          <cell r="V374">
            <v>3000</v>
          </cell>
          <cell r="W374">
            <v>1</v>
          </cell>
          <cell r="X374" t="str">
            <v>CF2</v>
          </cell>
          <cell r="Y374" t="str">
            <v>半直</v>
          </cell>
          <cell r="Z374">
            <v>6</v>
          </cell>
          <cell r="AA374" t="str">
            <v>6ｲﾝﾁFWP</v>
          </cell>
          <cell r="AO374" t="str">
            <v>3UNCERATKA090975</v>
          </cell>
        </row>
        <row r="375">
          <cell r="G375" t="str">
            <v>3UNCERATKA0909</v>
          </cell>
          <cell r="H375" t="str">
            <v>U</v>
          </cell>
          <cell r="I375" t="str">
            <v>N</v>
          </cell>
          <cell r="J375" t="str">
            <v>CERA</v>
          </cell>
          <cell r="K375" t="str">
            <v>TKA0909</v>
          </cell>
          <cell r="L375" t="str">
            <v>セラピール　ＴＫＡ０９（０９）</v>
          </cell>
          <cell r="M375" t="str">
            <v>3UNCERATKA0909751360</v>
          </cell>
          <cell r="N375" t="str">
            <v>3UNCERATKA0909751350</v>
          </cell>
          <cell r="O375">
            <v>75</v>
          </cell>
          <cell r="P375">
            <v>3</v>
          </cell>
          <cell r="Q375" t="str">
            <v>XD500P</v>
          </cell>
          <cell r="R375">
            <v>1360</v>
          </cell>
          <cell r="S375">
            <v>4500</v>
          </cell>
          <cell r="T375">
            <v>1350</v>
          </cell>
          <cell r="U375">
            <v>1350</v>
          </cell>
          <cell r="V375">
            <v>1300</v>
          </cell>
          <cell r="W375">
            <v>2</v>
          </cell>
          <cell r="X375" t="str">
            <v>CF2</v>
          </cell>
          <cell r="Y375" t="str">
            <v>半直</v>
          </cell>
          <cell r="Z375">
            <v>6</v>
          </cell>
          <cell r="AA375" t="str">
            <v>6ｲﾝﾁFWP</v>
          </cell>
          <cell r="AO375" t="str">
            <v>3UNCERATKA090975</v>
          </cell>
        </row>
        <row r="376">
          <cell r="G376" t="str">
            <v>3UNCERATKA09RX</v>
          </cell>
          <cell r="H376" t="str">
            <v>U</v>
          </cell>
          <cell r="I376" t="str">
            <v>N</v>
          </cell>
          <cell r="J376" t="str">
            <v>CERA</v>
          </cell>
          <cell r="K376" t="str">
            <v>TKA09RX</v>
          </cell>
          <cell r="L376" t="str">
            <v>セラピール　ＴＫＡ０９（ＲＸ）</v>
          </cell>
          <cell r="M376" t="str">
            <v>3UNCERATKA09RX381335</v>
          </cell>
          <cell r="N376" t="str">
            <v>3UNCERATKA09RX381330</v>
          </cell>
          <cell r="O376">
            <v>38</v>
          </cell>
          <cell r="P376">
            <v>3</v>
          </cell>
          <cell r="Q376" t="str">
            <v>R75XK</v>
          </cell>
          <cell r="R376">
            <v>1335</v>
          </cell>
          <cell r="S376">
            <v>12200</v>
          </cell>
          <cell r="T376">
            <v>1330</v>
          </cell>
          <cell r="U376">
            <v>1330</v>
          </cell>
          <cell r="V376">
            <v>6000</v>
          </cell>
          <cell r="W376">
            <v>2</v>
          </cell>
          <cell r="X376" t="str">
            <v>CF2</v>
          </cell>
          <cell r="Y376" t="str">
            <v>直出し</v>
          </cell>
          <cell r="Z376">
            <v>6</v>
          </cell>
          <cell r="AA376" t="str">
            <v>6ｲﾝﾁFWP</v>
          </cell>
          <cell r="AB376">
            <v>1450</v>
          </cell>
          <cell r="AO376" t="str">
            <v>3UNCERATKA09RX38</v>
          </cell>
        </row>
        <row r="377">
          <cell r="G377" t="str">
            <v>3UNCERATKA07X</v>
          </cell>
          <cell r="H377" t="str">
            <v>U</v>
          </cell>
          <cell r="I377" t="str">
            <v>N</v>
          </cell>
          <cell r="J377" t="str">
            <v>CERA</v>
          </cell>
          <cell r="K377" t="str">
            <v>TKA07X</v>
          </cell>
          <cell r="L377" t="str">
            <v>セラピール　ＴＫＡ０７（Ｘ）</v>
          </cell>
          <cell r="M377" t="str">
            <v>3UNCERATKA07X751335</v>
          </cell>
          <cell r="N377" t="str">
            <v>3UNCERATKA07X751330</v>
          </cell>
          <cell r="O377">
            <v>75</v>
          </cell>
          <cell r="P377">
            <v>3</v>
          </cell>
          <cell r="Q377" t="str">
            <v>XD500P</v>
          </cell>
          <cell r="R377">
            <v>1335</v>
          </cell>
          <cell r="S377">
            <v>4200</v>
          </cell>
          <cell r="T377">
            <v>1330</v>
          </cell>
          <cell r="U377">
            <v>1330</v>
          </cell>
          <cell r="V377">
            <v>4100</v>
          </cell>
          <cell r="W377">
            <v>2</v>
          </cell>
          <cell r="X377" t="str">
            <v>CF2</v>
          </cell>
          <cell r="Y377" t="str">
            <v>直出し</v>
          </cell>
          <cell r="Z377">
            <v>6</v>
          </cell>
          <cell r="AA377" t="str">
            <v>6ｲﾝﾁFWP</v>
          </cell>
          <cell r="AB377">
            <v>1450</v>
          </cell>
          <cell r="AO377" t="str">
            <v>3UNCERATKA07X75</v>
          </cell>
        </row>
        <row r="378">
          <cell r="G378" t="str">
            <v>3UNCERATKA07X</v>
          </cell>
          <cell r="H378" t="str">
            <v>U</v>
          </cell>
          <cell r="I378" t="str">
            <v>N</v>
          </cell>
          <cell r="J378" t="str">
            <v>CERA</v>
          </cell>
          <cell r="K378" t="str">
            <v>TKA07X</v>
          </cell>
          <cell r="L378" t="str">
            <v>セラピール　ＴＫＡ０７Ｘ</v>
          </cell>
          <cell r="M378" t="str">
            <v>3UNCERATKA07X501110</v>
          </cell>
          <cell r="N378" t="str">
            <v>3UNCERATKA07X501100</v>
          </cell>
          <cell r="O378">
            <v>50</v>
          </cell>
          <cell r="P378">
            <v>3</v>
          </cell>
          <cell r="Q378" t="str">
            <v>XD500P</v>
          </cell>
          <cell r="R378">
            <v>1110</v>
          </cell>
          <cell r="S378">
            <v>4200</v>
          </cell>
          <cell r="T378">
            <v>1100</v>
          </cell>
          <cell r="U378">
            <v>1100</v>
          </cell>
          <cell r="V378">
            <v>4000</v>
          </cell>
          <cell r="W378">
            <v>2</v>
          </cell>
          <cell r="X378" t="str">
            <v>CF2</v>
          </cell>
          <cell r="Y378" t="str">
            <v>直出し</v>
          </cell>
          <cell r="Z378">
            <v>6</v>
          </cell>
          <cell r="AA378" t="str">
            <v>6ｲﾝﾁFWP</v>
          </cell>
          <cell r="AB378">
            <v>1170</v>
          </cell>
          <cell r="AO378" t="str">
            <v>3UNCERATKA07X50</v>
          </cell>
        </row>
        <row r="379">
          <cell r="G379" t="str">
            <v>330UNCERABX8AX</v>
          </cell>
          <cell r="H379" t="str">
            <v>U</v>
          </cell>
          <cell r="I379" t="str">
            <v>N</v>
          </cell>
          <cell r="J379" t="str">
            <v>CERA</v>
          </cell>
          <cell r="K379" t="str">
            <v>BX8AX</v>
          </cell>
          <cell r="L379" t="str">
            <v>セラピール　ＢＸ８ＡＸ</v>
          </cell>
          <cell r="M379" t="str">
            <v>330UNCERABX8AX751110</v>
          </cell>
          <cell r="N379" t="str">
            <v>330UNCERABX8AX751100</v>
          </cell>
          <cell r="O379">
            <v>75</v>
          </cell>
          <cell r="P379">
            <v>330</v>
          </cell>
          <cell r="Q379" t="str">
            <v>XD500P</v>
          </cell>
          <cell r="R379">
            <v>1110</v>
          </cell>
          <cell r="S379">
            <v>4200</v>
          </cell>
          <cell r="T379">
            <v>1100</v>
          </cell>
          <cell r="U379">
            <v>1100</v>
          </cell>
          <cell r="V379">
            <v>4000</v>
          </cell>
          <cell r="W379">
            <v>2</v>
          </cell>
          <cell r="X379" t="str">
            <v>CF2</v>
          </cell>
          <cell r="Y379" t="str">
            <v>直出し</v>
          </cell>
          <cell r="Z379">
            <v>6</v>
          </cell>
          <cell r="AA379" t="str">
            <v>6ｲﾝﾁFWP</v>
          </cell>
          <cell r="AB379">
            <v>1170</v>
          </cell>
          <cell r="AO379" t="str">
            <v>330UNCERABX8AX75</v>
          </cell>
        </row>
        <row r="380">
          <cell r="G380" t="str">
            <v>3UNCERABX8A37</v>
          </cell>
          <cell r="H380" t="str">
            <v>U</v>
          </cell>
          <cell r="I380" t="str">
            <v>N</v>
          </cell>
          <cell r="J380" t="str">
            <v>CERA</v>
          </cell>
          <cell r="K380" t="str">
            <v>BX8A37</v>
          </cell>
          <cell r="L380" t="str">
            <v>セラピール　ＢＸ８Ａ（３７）</v>
          </cell>
          <cell r="M380" t="str">
            <v>3UNCERABX8A37751060</v>
          </cell>
          <cell r="N380" t="str">
            <v>3UNCERABX8A37751050</v>
          </cell>
          <cell r="O380">
            <v>75</v>
          </cell>
          <cell r="P380">
            <v>3</v>
          </cell>
          <cell r="Q380" t="str">
            <v>RM1Z</v>
          </cell>
          <cell r="R380">
            <v>1060</v>
          </cell>
          <cell r="S380">
            <v>6200</v>
          </cell>
          <cell r="T380">
            <v>1050</v>
          </cell>
          <cell r="U380">
            <v>1050</v>
          </cell>
          <cell r="V380">
            <v>6000</v>
          </cell>
          <cell r="W380">
            <v>2</v>
          </cell>
          <cell r="X380" t="str">
            <v>CF2</v>
          </cell>
          <cell r="Y380" t="str">
            <v>直出し</v>
          </cell>
          <cell r="Z380">
            <v>6</v>
          </cell>
          <cell r="AA380" t="str">
            <v>6ｲﾝﾁFWP</v>
          </cell>
          <cell r="AB380">
            <v>1250</v>
          </cell>
          <cell r="AO380" t="str">
            <v>3UNCERABX8A3775</v>
          </cell>
        </row>
        <row r="381">
          <cell r="G381" t="str">
            <v>3UNCERAJBX8AB</v>
          </cell>
          <cell r="H381" t="str">
            <v>U</v>
          </cell>
          <cell r="I381" t="str">
            <v>N</v>
          </cell>
          <cell r="J381" t="str">
            <v>CERA</v>
          </cell>
          <cell r="K381" t="str">
            <v>JBX8AB</v>
          </cell>
          <cell r="L381" t="str">
            <v>セラピール　ＪＢＸ８Ａ（Ｂ）</v>
          </cell>
          <cell r="M381" t="str">
            <v>3UNCERAJBX8AB751060</v>
          </cell>
          <cell r="N381" t="str">
            <v>3UNCERAJBX8AB751050</v>
          </cell>
          <cell r="O381">
            <v>75</v>
          </cell>
          <cell r="P381">
            <v>3</v>
          </cell>
          <cell r="Q381" t="str">
            <v>QZ54</v>
          </cell>
          <cell r="R381">
            <v>1060</v>
          </cell>
          <cell r="S381">
            <v>6000</v>
          </cell>
          <cell r="T381">
            <v>1050</v>
          </cell>
          <cell r="U381">
            <v>1050</v>
          </cell>
          <cell r="V381">
            <v>5800</v>
          </cell>
          <cell r="W381">
            <v>2</v>
          </cell>
          <cell r="X381" t="str">
            <v>CF2</v>
          </cell>
          <cell r="Y381" t="str">
            <v>直出し</v>
          </cell>
          <cell r="Z381">
            <v>6</v>
          </cell>
          <cell r="AA381" t="str">
            <v>6ｲﾝﾁFWP</v>
          </cell>
          <cell r="AB381">
            <v>1250</v>
          </cell>
          <cell r="AO381" t="str">
            <v>3UNCERAJBX8AB75</v>
          </cell>
        </row>
        <row r="382">
          <cell r="G382" t="str">
            <v>3UYCERAJBX9AB</v>
          </cell>
          <cell r="H382" t="str">
            <v>U</v>
          </cell>
          <cell r="I382" t="str">
            <v>Y</v>
          </cell>
          <cell r="J382" t="str">
            <v>CERA</v>
          </cell>
          <cell r="K382" t="str">
            <v>JBX9AB</v>
          </cell>
          <cell r="L382" t="str">
            <v>セラピール　ＪＢＸ９Ａ（Ｂ）</v>
          </cell>
          <cell r="M382" t="str">
            <v>3UYCERAJBX9AB501595</v>
          </cell>
          <cell r="N382" t="str">
            <v>3UYCERAJBX9AB50600</v>
          </cell>
          <cell r="O382">
            <v>50</v>
          </cell>
          <cell r="P382">
            <v>3</v>
          </cell>
          <cell r="Q382" t="str">
            <v>QZ54</v>
          </cell>
          <cell r="R382">
            <v>1595</v>
          </cell>
          <cell r="S382">
            <v>6200</v>
          </cell>
          <cell r="T382">
            <v>600</v>
          </cell>
          <cell r="U382">
            <v>600</v>
          </cell>
          <cell r="V382">
            <v>1000</v>
          </cell>
          <cell r="W382">
            <v>2</v>
          </cell>
          <cell r="X382" t="str">
            <v>CF2</v>
          </cell>
          <cell r="Y382" t="str">
            <v>SL-1</v>
          </cell>
          <cell r="Z382">
            <v>6</v>
          </cell>
          <cell r="AA382" t="str">
            <v>6ｲﾝﾁFWP</v>
          </cell>
          <cell r="AB382">
            <v>1700</v>
          </cell>
          <cell r="AO382" t="str">
            <v>3UYCERAJBX9AB50</v>
          </cell>
        </row>
        <row r="383">
          <cell r="G383" t="str">
            <v>3UNCERABX8E26</v>
          </cell>
          <cell r="H383" t="str">
            <v>U</v>
          </cell>
          <cell r="I383" t="str">
            <v>N</v>
          </cell>
          <cell r="J383" t="str">
            <v>CERA</v>
          </cell>
          <cell r="K383" t="str">
            <v>BX8E26</v>
          </cell>
          <cell r="L383" t="str">
            <v>セラピール　ＢＸ８Ｅ（２６）</v>
          </cell>
          <cell r="M383" t="str">
            <v>3UNCERABX8E26381340</v>
          </cell>
          <cell r="N383" t="str">
            <v>3UNCERABX8E26381330</v>
          </cell>
          <cell r="O383">
            <v>38</v>
          </cell>
          <cell r="P383">
            <v>3</v>
          </cell>
          <cell r="Q383" t="str">
            <v>QZ43</v>
          </cell>
          <cell r="R383">
            <v>1340</v>
          </cell>
          <cell r="S383">
            <v>12200</v>
          </cell>
          <cell r="T383">
            <v>1330</v>
          </cell>
          <cell r="U383">
            <v>1330</v>
          </cell>
          <cell r="V383">
            <v>6000</v>
          </cell>
          <cell r="W383">
            <v>2</v>
          </cell>
          <cell r="X383" t="str">
            <v>CF2</v>
          </cell>
          <cell r="Y383" t="str">
            <v>直出し</v>
          </cell>
          <cell r="Z383">
            <v>6</v>
          </cell>
          <cell r="AA383" t="str">
            <v>6ｲﾝﾁFWP</v>
          </cell>
          <cell r="AO383" t="str">
            <v>3UNCERABX8E2638</v>
          </cell>
        </row>
        <row r="384">
          <cell r="G384" t="str">
            <v>3UNCERABKE26</v>
          </cell>
          <cell r="H384" t="str">
            <v>U</v>
          </cell>
          <cell r="I384" t="str">
            <v>N</v>
          </cell>
          <cell r="J384" t="str">
            <v>CERA</v>
          </cell>
          <cell r="K384" t="str">
            <v>BKE26</v>
          </cell>
          <cell r="L384" t="str">
            <v>セラピール　ＢＫＥ（２６）</v>
          </cell>
          <cell r="M384" t="str">
            <v>3UNCERABKE26251330</v>
          </cell>
          <cell r="N384" t="str">
            <v>3UNCERABKE2625650</v>
          </cell>
          <cell r="O384">
            <v>25</v>
          </cell>
          <cell r="P384">
            <v>3</v>
          </cell>
          <cell r="Q384" t="str">
            <v>QZ43</v>
          </cell>
          <cell r="R384">
            <v>1330</v>
          </cell>
          <cell r="S384">
            <v>6000</v>
          </cell>
          <cell r="T384">
            <v>650</v>
          </cell>
          <cell r="U384">
            <v>650</v>
          </cell>
          <cell r="V384">
            <v>1000</v>
          </cell>
          <cell r="W384">
            <v>2</v>
          </cell>
          <cell r="X384" t="str">
            <v>CF2</v>
          </cell>
          <cell r="Y384" t="str">
            <v>SL-1</v>
          </cell>
          <cell r="Z384">
            <v>6</v>
          </cell>
          <cell r="AA384" t="str">
            <v>6ｲﾝﾁFWP</v>
          </cell>
          <cell r="AB384">
            <v>1450</v>
          </cell>
          <cell r="AC384">
            <v>3</v>
          </cell>
          <cell r="AD384" t="str">
            <v>3ｲﾝﾁABS</v>
          </cell>
          <cell r="AE384" t="str">
            <v>650～720㎜</v>
          </cell>
          <cell r="AO384" t="str">
            <v>3UNCERABKE2625</v>
          </cell>
        </row>
        <row r="385">
          <cell r="G385" t="str">
            <v>3UNCERABKE26</v>
          </cell>
          <cell r="H385" t="str">
            <v>U</v>
          </cell>
          <cell r="I385" t="str">
            <v>N</v>
          </cell>
          <cell r="J385" t="str">
            <v>CERA</v>
          </cell>
          <cell r="K385" t="str">
            <v>BKE26</v>
          </cell>
          <cell r="L385" t="str">
            <v>セラピール　ＢＫＥ（２６）</v>
          </cell>
          <cell r="M385" t="str">
            <v>3UNCERABKE26251340</v>
          </cell>
          <cell r="N385" t="str">
            <v>3UNCERABKE26251330</v>
          </cell>
          <cell r="O385">
            <v>25</v>
          </cell>
          <cell r="P385">
            <v>3</v>
          </cell>
          <cell r="Q385" t="str">
            <v>QZ43</v>
          </cell>
          <cell r="R385">
            <v>1340</v>
          </cell>
          <cell r="S385">
            <v>12300</v>
          </cell>
          <cell r="T385">
            <v>1330</v>
          </cell>
          <cell r="U385">
            <v>1330</v>
          </cell>
          <cell r="V385">
            <v>6000</v>
          </cell>
          <cell r="W385">
            <v>2</v>
          </cell>
          <cell r="X385" t="str">
            <v>CF2</v>
          </cell>
          <cell r="Y385" t="str">
            <v>直出し</v>
          </cell>
          <cell r="Z385">
            <v>6</v>
          </cell>
          <cell r="AA385" t="str">
            <v>6ｲﾝﾁFWP</v>
          </cell>
          <cell r="AO385" t="str">
            <v>3UNCERABKE2625</v>
          </cell>
        </row>
        <row r="386">
          <cell r="G386" t="str">
            <v>3UNCERABX8APF</v>
          </cell>
          <cell r="H386" t="str">
            <v>U</v>
          </cell>
          <cell r="I386" t="str">
            <v>N</v>
          </cell>
          <cell r="J386" t="str">
            <v>CERA</v>
          </cell>
          <cell r="K386" t="str">
            <v>BX8APF</v>
          </cell>
          <cell r="L386" t="str">
            <v>セラピール　ＢＸ８Ａ（ＰＲＦ）</v>
          </cell>
          <cell r="M386" t="str">
            <v>3UNCERABX8APF501330</v>
          </cell>
          <cell r="N386" t="str">
            <v>3UNCERABX8APF501310</v>
          </cell>
          <cell r="O386">
            <v>50</v>
          </cell>
          <cell r="P386">
            <v>3</v>
          </cell>
          <cell r="Q386" t="str">
            <v>XF60L</v>
          </cell>
          <cell r="R386">
            <v>1330</v>
          </cell>
          <cell r="S386">
            <v>6251</v>
          </cell>
          <cell r="T386">
            <v>1310</v>
          </cell>
          <cell r="U386">
            <v>1310</v>
          </cell>
          <cell r="V386">
            <v>5800</v>
          </cell>
          <cell r="W386">
            <v>2</v>
          </cell>
          <cell r="X386" t="str">
            <v>CF2</v>
          </cell>
          <cell r="Y386" t="str">
            <v>直出し</v>
          </cell>
          <cell r="Z386">
            <v>6</v>
          </cell>
          <cell r="AA386" t="str">
            <v>6ｲﾝﾁFWP</v>
          </cell>
          <cell r="AO386" t="str">
            <v>3UNCERABX8APF50</v>
          </cell>
        </row>
        <row r="387">
          <cell r="G387" t="str">
            <v>3UNCERABX8AX</v>
          </cell>
          <cell r="H387" t="str">
            <v>U</v>
          </cell>
          <cell r="I387" t="str">
            <v>N</v>
          </cell>
          <cell r="J387" t="str">
            <v>CERA</v>
          </cell>
          <cell r="K387" t="str">
            <v>BX8AX</v>
          </cell>
          <cell r="L387" t="str">
            <v>セラピール　ＢＸ８Ａ（Ｘ）</v>
          </cell>
          <cell r="M387" t="str">
            <v>3UNCERABX8AX751490</v>
          </cell>
          <cell r="N387" t="str">
            <v>3UNCERABX8AX751485</v>
          </cell>
          <cell r="O387">
            <v>75</v>
          </cell>
          <cell r="P387">
            <v>3</v>
          </cell>
          <cell r="Q387" t="str">
            <v>XD500N</v>
          </cell>
          <cell r="R387">
            <v>1490</v>
          </cell>
          <cell r="S387">
            <v>6000</v>
          </cell>
          <cell r="T387">
            <v>1485</v>
          </cell>
          <cell r="U387">
            <v>1485</v>
          </cell>
          <cell r="V387">
            <v>5800</v>
          </cell>
          <cell r="W387">
            <v>2</v>
          </cell>
          <cell r="X387" t="str">
            <v>CF2</v>
          </cell>
          <cell r="Y387" t="str">
            <v>直出し</v>
          </cell>
          <cell r="Z387">
            <v>6</v>
          </cell>
          <cell r="AA387" t="str">
            <v>6ｲﾝﾁFWP</v>
          </cell>
          <cell r="AB387">
            <v>1600</v>
          </cell>
          <cell r="AO387" t="str">
            <v>3UNCERABX8AX75</v>
          </cell>
        </row>
        <row r="388">
          <cell r="G388" t="str">
            <v>3UNCERABX8G07</v>
          </cell>
          <cell r="H388" t="str">
            <v>U</v>
          </cell>
          <cell r="I388" t="str">
            <v>N</v>
          </cell>
          <cell r="J388" t="str">
            <v>CERA</v>
          </cell>
          <cell r="K388" t="str">
            <v>BX8G07</v>
          </cell>
          <cell r="L388" t="str">
            <v>セラピール　ＢＸ８Ｇ（０７）</v>
          </cell>
          <cell r="M388" t="str">
            <v>3UNCERABX8G07751100</v>
          </cell>
          <cell r="N388" t="str">
            <v>3UNCERABX8G07751090</v>
          </cell>
          <cell r="O388">
            <v>75</v>
          </cell>
          <cell r="P388">
            <v>3</v>
          </cell>
          <cell r="Q388" t="str">
            <v>R41</v>
          </cell>
          <cell r="R388">
            <v>1100</v>
          </cell>
          <cell r="S388">
            <v>4400</v>
          </cell>
          <cell r="T388">
            <v>1090</v>
          </cell>
          <cell r="U388">
            <v>1090</v>
          </cell>
          <cell r="V388">
            <v>1000</v>
          </cell>
          <cell r="W388">
            <v>2</v>
          </cell>
          <cell r="X388" t="str">
            <v>CF2</v>
          </cell>
          <cell r="Y388" t="str">
            <v>直出し</v>
          </cell>
          <cell r="Z388">
            <v>6</v>
          </cell>
          <cell r="AA388" t="str">
            <v>6ｲﾝﾁFWP</v>
          </cell>
          <cell r="AB388">
            <v>1450</v>
          </cell>
          <cell r="AO388" t="str">
            <v>3UNCERABX8G0775</v>
          </cell>
        </row>
        <row r="389">
          <cell r="G389" t="str">
            <v>3UNCERATKG0707</v>
          </cell>
          <cell r="H389" t="str">
            <v>U</v>
          </cell>
          <cell r="I389" t="str">
            <v>N</v>
          </cell>
          <cell r="J389" t="str">
            <v>CERA</v>
          </cell>
          <cell r="K389" t="str">
            <v>TKG0707</v>
          </cell>
          <cell r="L389" t="str">
            <v>セラピール　ＴＫＧ０７（０７）</v>
          </cell>
          <cell r="M389" t="str">
            <v>3UNCERATKG0707751100</v>
          </cell>
          <cell r="N389" t="str">
            <v>3UNCERATKG0707751090</v>
          </cell>
          <cell r="O389">
            <v>75</v>
          </cell>
          <cell r="P389">
            <v>3</v>
          </cell>
          <cell r="Q389" t="str">
            <v>R41</v>
          </cell>
          <cell r="R389">
            <v>1100</v>
          </cell>
          <cell r="S389">
            <v>4400</v>
          </cell>
          <cell r="T389">
            <v>1090</v>
          </cell>
          <cell r="U389">
            <v>1090</v>
          </cell>
          <cell r="V389">
            <v>1000</v>
          </cell>
          <cell r="W389">
            <v>2</v>
          </cell>
          <cell r="X389" t="str">
            <v>CF2</v>
          </cell>
          <cell r="Y389" t="str">
            <v>直出し</v>
          </cell>
          <cell r="Z389">
            <v>6</v>
          </cell>
          <cell r="AA389" t="str">
            <v>6ｲﾝﾁFWP</v>
          </cell>
          <cell r="AB389">
            <v>1450</v>
          </cell>
          <cell r="AO389" t="str">
            <v>3UNCERATKG070775</v>
          </cell>
        </row>
        <row r="390">
          <cell r="G390" t="str">
            <v>3UNCERATKA12PF</v>
          </cell>
          <cell r="H390" t="str">
            <v>U</v>
          </cell>
          <cell r="I390" t="str">
            <v>N</v>
          </cell>
          <cell r="J390" t="str">
            <v>CERA</v>
          </cell>
          <cell r="K390" t="str">
            <v>TKA12PF</v>
          </cell>
          <cell r="L390" t="str">
            <v>セラピール　ＴＫＡ１２（ＰＲＦ）</v>
          </cell>
          <cell r="M390" t="str">
            <v>3UNCERATKA12PF501494</v>
          </cell>
          <cell r="N390" t="str">
            <v>3UNCERATKA12PF501480</v>
          </cell>
          <cell r="O390">
            <v>50</v>
          </cell>
          <cell r="P390">
            <v>3</v>
          </cell>
          <cell r="Q390" t="str">
            <v>XF60L</v>
          </cell>
          <cell r="R390">
            <v>1494</v>
          </cell>
          <cell r="S390">
            <v>6250</v>
          </cell>
          <cell r="T390">
            <v>1480</v>
          </cell>
          <cell r="U390">
            <v>1480</v>
          </cell>
          <cell r="V390">
            <v>6000</v>
          </cell>
          <cell r="W390">
            <v>2</v>
          </cell>
          <cell r="X390" t="str">
            <v>CF2</v>
          </cell>
          <cell r="Y390" t="str">
            <v>直出し</v>
          </cell>
          <cell r="Z390">
            <v>6</v>
          </cell>
          <cell r="AA390" t="str">
            <v>6ｲﾝﾁFWP</v>
          </cell>
          <cell r="AO390" t="str">
            <v>3UNCERATKA12PF50</v>
          </cell>
        </row>
        <row r="391">
          <cell r="G391" t="str">
            <v>3UNCERATKA12PF</v>
          </cell>
          <cell r="H391" t="str">
            <v>U</v>
          </cell>
          <cell r="I391" t="str">
            <v>N</v>
          </cell>
          <cell r="J391" t="str">
            <v>CERA</v>
          </cell>
          <cell r="K391" t="str">
            <v>TKA12PF</v>
          </cell>
          <cell r="L391" t="str">
            <v>セラピール　ＴＫＡ１２（ＰＲＦ）</v>
          </cell>
          <cell r="M391" t="str">
            <v>3UNCERATKA12PF501330</v>
          </cell>
          <cell r="N391" t="str">
            <v>3UNCERATKA12PF50400</v>
          </cell>
          <cell r="O391">
            <v>50</v>
          </cell>
          <cell r="P391">
            <v>3</v>
          </cell>
          <cell r="Q391" t="str">
            <v>XF60L</v>
          </cell>
          <cell r="R391">
            <v>1330</v>
          </cell>
          <cell r="S391">
            <v>6251</v>
          </cell>
          <cell r="T391">
            <v>400</v>
          </cell>
          <cell r="U391">
            <v>400</v>
          </cell>
          <cell r="V391">
            <v>200</v>
          </cell>
          <cell r="W391">
            <v>2</v>
          </cell>
          <cell r="X391" t="str">
            <v>CF2</v>
          </cell>
          <cell r="Y391" t="str">
            <v>SL-1</v>
          </cell>
          <cell r="Z391">
            <v>6</v>
          </cell>
          <cell r="AA391" t="str">
            <v>6ｲﾝﾁFWP</v>
          </cell>
          <cell r="AB391">
            <v>1450</v>
          </cell>
          <cell r="AC391">
            <v>3</v>
          </cell>
          <cell r="AD391" t="str">
            <v>3ｲﾝﾁABS</v>
          </cell>
          <cell r="AE391">
            <v>450</v>
          </cell>
          <cell r="AO391" t="str">
            <v>3UNCERATKA12PF50</v>
          </cell>
        </row>
        <row r="392">
          <cell r="G392" t="str">
            <v>3UNCERATKA13PF</v>
          </cell>
          <cell r="H392" t="str">
            <v>U</v>
          </cell>
          <cell r="I392" t="str">
            <v>N</v>
          </cell>
          <cell r="J392" t="str">
            <v>CERA</v>
          </cell>
          <cell r="K392" t="str">
            <v>TKA13PF</v>
          </cell>
          <cell r="L392" t="str">
            <v>セラピール　ＴＫＡ１３（ＰＲＦ）</v>
          </cell>
          <cell r="M392" t="str">
            <v>3UNCERATKA13PF501330</v>
          </cell>
          <cell r="N392" t="str">
            <v>3UNCERATKA13PF50400</v>
          </cell>
          <cell r="O392">
            <v>50</v>
          </cell>
          <cell r="P392">
            <v>3</v>
          </cell>
          <cell r="Q392" t="str">
            <v>XF60L</v>
          </cell>
          <cell r="R392">
            <v>1330</v>
          </cell>
          <cell r="S392">
            <v>6251</v>
          </cell>
          <cell r="T392">
            <v>400</v>
          </cell>
          <cell r="U392">
            <v>400</v>
          </cell>
          <cell r="V392">
            <v>200</v>
          </cell>
          <cell r="W392">
            <v>2</v>
          </cell>
          <cell r="X392" t="str">
            <v>CF2</v>
          </cell>
          <cell r="Y392" t="str">
            <v>SL-1</v>
          </cell>
          <cell r="Z392">
            <v>6</v>
          </cell>
          <cell r="AA392" t="str">
            <v>6ｲﾝﾁFWP</v>
          </cell>
          <cell r="AB392">
            <v>1450</v>
          </cell>
          <cell r="AC392">
            <v>3</v>
          </cell>
          <cell r="AD392" t="str">
            <v>3ｲﾝﾁABS</v>
          </cell>
          <cell r="AE392">
            <v>450</v>
          </cell>
          <cell r="AO392" t="str">
            <v>3UNCERATKA13PF50</v>
          </cell>
        </row>
        <row r="393">
          <cell r="G393" t="str">
            <v>3UNCERATKA15PF</v>
          </cell>
          <cell r="H393" t="str">
            <v>U</v>
          </cell>
          <cell r="I393" t="str">
            <v>N</v>
          </cell>
          <cell r="J393" t="str">
            <v>CERA</v>
          </cell>
          <cell r="K393" t="str">
            <v>TKA15PF</v>
          </cell>
          <cell r="L393" t="str">
            <v>セラピール　ＴＫＡ１５（ＰＲＦ）</v>
          </cell>
          <cell r="M393" t="str">
            <v>3UNCERATKA15PF501330</v>
          </cell>
          <cell r="N393" t="str">
            <v>3UNCERATKA15PF50400</v>
          </cell>
          <cell r="O393">
            <v>50</v>
          </cell>
          <cell r="P393">
            <v>3</v>
          </cell>
          <cell r="Q393" t="str">
            <v>XF60L</v>
          </cell>
          <cell r="R393">
            <v>1330</v>
          </cell>
          <cell r="S393">
            <v>6251</v>
          </cell>
          <cell r="T393">
            <v>400</v>
          </cell>
          <cell r="U393">
            <v>400</v>
          </cell>
          <cell r="V393">
            <v>200</v>
          </cell>
          <cell r="W393">
            <v>2</v>
          </cell>
          <cell r="X393" t="str">
            <v>CF2</v>
          </cell>
          <cell r="Y393" t="str">
            <v>SL-1</v>
          </cell>
          <cell r="Z393">
            <v>6</v>
          </cell>
          <cell r="AA393" t="str">
            <v>6ｲﾝﾁFWP</v>
          </cell>
          <cell r="AB393">
            <v>1450</v>
          </cell>
          <cell r="AC393">
            <v>3</v>
          </cell>
          <cell r="AD393" t="str">
            <v>3ｲﾝﾁABS</v>
          </cell>
          <cell r="AE393">
            <v>450</v>
          </cell>
          <cell r="AO393" t="str">
            <v>3UNCERATKA15PF50</v>
          </cell>
        </row>
        <row r="394">
          <cell r="G394" t="str">
            <v>3UNTPICTT405D</v>
          </cell>
          <cell r="H394" t="str">
            <v>U</v>
          </cell>
          <cell r="I394" t="str">
            <v>N</v>
          </cell>
          <cell r="J394" t="str">
            <v>TPIC</v>
          </cell>
          <cell r="K394" t="str">
            <v>TT405D</v>
          </cell>
          <cell r="L394" t="str">
            <v>５０ＴＴ４０５Ｄ</v>
          </cell>
          <cell r="M394" t="str">
            <v>3UNTPICTT405D501094</v>
          </cell>
          <cell r="N394" t="str">
            <v>3UNTPICTT405D501094</v>
          </cell>
          <cell r="O394">
            <v>50</v>
          </cell>
          <cell r="P394">
            <v>3</v>
          </cell>
          <cell r="Q394" t="str">
            <v>UTE6</v>
          </cell>
          <cell r="R394">
            <v>1094</v>
          </cell>
          <cell r="S394">
            <v>6000</v>
          </cell>
          <cell r="T394">
            <v>1094</v>
          </cell>
          <cell r="U394">
            <v>1094</v>
          </cell>
          <cell r="V394">
            <v>5000</v>
          </cell>
          <cell r="W394">
            <v>2</v>
          </cell>
          <cell r="X394" t="str">
            <v>CF3</v>
          </cell>
          <cell r="Y394" t="str">
            <v>直出し</v>
          </cell>
          <cell r="Z394">
            <v>6</v>
          </cell>
          <cell r="AA394" t="str">
            <v>6ｲﾝﾁFWP</v>
          </cell>
          <cell r="AB394">
            <v>1700</v>
          </cell>
          <cell r="AO394" t="str">
            <v>3UNTPICTT405D50</v>
          </cell>
        </row>
        <row r="395">
          <cell r="G395" t="str">
            <v>3UNCERAMDA14</v>
          </cell>
          <cell r="H395" t="str">
            <v>U</v>
          </cell>
          <cell r="I395" t="str">
            <v>N</v>
          </cell>
          <cell r="J395" t="str">
            <v>CERA</v>
          </cell>
          <cell r="K395" t="str">
            <v>MDA14</v>
          </cell>
          <cell r="L395" t="str">
            <v>セラピール　ＭＤＡ（１４）</v>
          </cell>
          <cell r="M395" t="str">
            <v>3UNCERAMDA14501100</v>
          </cell>
          <cell r="N395" t="str">
            <v>3UNCERAMDA14501090</v>
          </cell>
          <cell r="O395">
            <v>50</v>
          </cell>
          <cell r="P395">
            <v>3</v>
          </cell>
          <cell r="Q395" t="str">
            <v>S10</v>
          </cell>
          <cell r="R395">
            <v>1100</v>
          </cell>
          <cell r="S395">
            <v>4000</v>
          </cell>
          <cell r="T395">
            <v>1090</v>
          </cell>
          <cell r="U395">
            <v>1090</v>
          </cell>
          <cell r="V395">
            <v>1000</v>
          </cell>
          <cell r="W395">
            <v>1</v>
          </cell>
          <cell r="X395" t="str">
            <v>CF2</v>
          </cell>
          <cell r="Y395" t="str">
            <v>SL-1</v>
          </cell>
          <cell r="Z395">
            <v>6</v>
          </cell>
          <cell r="AA395" t="str">
            <v>6ｲﾝﾁFWP</v>
          </cell>
          <cell r="AB395">
            <v>1450</v>
          </cell>
          <cell r="AO395" t="str">
            <v>3UNCERAMDA1450</v>
          </cell>
        </row>
        <row r="396">
          <cell r="G396" t="str">
            <v>3UNCERAMDA14</v>
          </cell>
          <cell r="H396" t="str">
            <v>U</v>
          </cell>
          <cell r="I396" t="str">
            <v>N</v>
          </cell>
          <cell r="J396" t="str">
            <v>CERA</v>
          </cell>
          <cell r="K396" t="str">
            <v>MDA14</v>
          </cell>
          <cell r="L396" t="str">
            <v>セラピール　ＭＤＡ（１４）</v>
          </cell>
          <cell r="M396" t="str">
            <v>3UNCERAMDA14501100</v>
          </cell>
          <cell r="N396" t="str">
            <v>3UNCERAMDA14501090</v>
          </cell>
          <cell r="O396">
            <v>50</v>
          </cell>
          <cell r="P396">
            <v>3</v>
          </cell>
          <cell r="Q396" t="str">
            <v>S10</v>
          </cell>
          <cell r="R396">
            <v>1100</v>
          </cell>
          <cell r="S396">
            <v>4000</v>
          </cell>
          <cell r="T396">
            <v>1090</v>
          </cell>
          <cell r="U396">
            <v>1090</v>
          </cell>
          <cell r="V396">
            <v>2800</v>
          </cell>
          <cell r="W396">
            <v>2</v>
          </cell>
          <cell r="X396" t="str">
            <v>CF2</v>
          </cell>
          <cell r="Y396" t="str">
            <v>SL-1</v>
          </cell>
          <cell r="Z396">
            <v>6</v>
          </cell>
          <cell r="AA396" t="str">
            <v>6ｲﾝﾁFWP</v>
          </cell>
          <cell r="AB396">
            <v>1450</v>
          </cell>
          <cell r="AO396" t="str">
            <v>3UNCERAMDA1450</v>
          </cell>
        </row>
        <row r="397">
          <cell r="G397" t="str">
            <v>3UNCERAMDA14</v>
          </cell>
          <cell r="H397" t="str">
            <v>U</v>
          </cell>
          <cell r="I397" t="str">
            <v>N</v>
          </cell>
          <cell r="J397" t="str">
            <v>CERA</v>
          </cell>
          <cell r="K397" t="str">
            <v>MDA14</v>
          </cell>
          <cell r="L397" t="str">
            <v>セラピール　ＭＤＡ（１４）</v>
          </cell>
          <cell r="M397" t="str">
            <v>3UNCERAMDA141001310</v>
          </cell>
          <cell r="N397" t="str">
            <v>3UNCERAMDA141001300</v>
          </cell>
          <cell r="O397">
            <v>100</v>
          </cell>
          <cell r="P397">
            <v>3</v>
          </cell>
          <cell r="Q397" t="str">
            <v>S28</v>
          </cell>
          <cell r="R397">
            <v>1310</v>
          </cell>
          <cell r="S397">
            <v>2400</v>
          </cell>
          <cell r="T397">
            <v>1300</v>
          </cell>
          <cell r="U397">
            <v>1300</v>
          </cell>
          <cell r="V397">
            <v>2100</v>
          </cell>
          <cell r="W397">
            <v>2</v>
          </cell>
          <cell r="X397" t="str">
            <v>CF2</v>
          </cell>
          <cell r="Y397" t="str">
            <v>直出し</v>
          </cell>
          <cell r="Z397">
            <v>6</v>
          </cell>
          <cell r="AA397" t="str">
            <v>6ｲﾝﾁFWP</v>
          </cell>
          <cell r="AB397">
            <v>1450</v>
          </cell>
          <cell r="AO397" t="str">
            <v>3UNCERAMDA14100</v>
          </cell>
        </row>
        <row r="398">
          <cell r="G398" t="str">
            <v>3301TNTTPTNJ-AS</v>
          </cell>
          <cell r="H398" t="str">
            <v>T</v>
          </cell>
          <cell r="I398" t="str">
            <v>N</v>
          </cell>
          <cell r="J398" t="str">
            <v>TTP</v>
          </cell>
          <cell r="K398" t="str">
            <v>TNJ-AS</v>
          </cell>
          <cell r="L398" t="str">
            <v>タフトップ　ＴＮＪ－ＡＳ</v>
          </cell>
          <cell r="M398" t="str">
            <v>3301TNTTPTNJ-AS1001110</v>
          </cell>
          <cell r="N398" t="str">
            <v>3301TNTTPTNJ-AS1001050</v>
          </cell>
          <cell r="O398">
            <v>100</v>
          </cell>
          <cell r="P398">
            <v>3301</v>
          </cell>
          <cell r="Q398" t="str">
            <v xml:space="preserve">U483   </v>
          </cell>
          <cell r="R398">
            <v>1110</v>
          </cell>
          <cell r="S398">
            <v>2000</v>
          </cell>
          <cell r="T398">
            <v>1150</v>
          </cell>
          <cell r="U398">
            <v>1050</v>
          </cell>
          <cell r="V398">
            <v>2000</v>
          </cell>
          <cell r="W398">
            <v>2</v>
          </cell>
          <cell r="X398" t="str">
            <v>CF4</v>
          </cell>
          <cell r="Y398" t="str">
            <v>SL-1</v>
          </cell>
          <cell r="Z398">
            <v>6</v>
          </cell>
          <cell r="AA398" t="str">
            <v>6ｲﾝﾁABS</v>
          </cell>
          <cell r="AB398">
            <v>1270</v>
          </cell>
          <cell r="AC398">
            <v>6</v>
          </cell>
          <cell r="AD398" t="str">
            <v>6ｲﾝﾁABS</v>
          </cell>
          <cell r="AE398">
            <v>1270</v>
          </cell>
          <cell r="AO398" t="str">
            <v>3301TNTTPTNJ-AS100</v>
          </cell>
        </row>
        <row r="399">
          <cell r="G399" t="str">
            <v>3301TNTTPTNJ-AS</v>
          </cell>
          <cell r="H399" t="str">
            <v>T</v>
          </cell>
          <cell r="I399" t="str">
            <v>N</v>
          </cell>
          <cell r="J399" t="str">
            <v>TTP</v>
          </cell>
          <cell r="K399" t="str">
            <v>TNJ-AS</v>
          </cell>
          <cell r="L399" t="str">
            <v>タフトップ　ＴＮＪ－ＡＳ</v>
          </cell>
          <cell r="M399" t="str">
            <v>3301TNTTPTNJ-AS1001280</v>
          </cell>
          <cell r="N399" t="str">
            <v>3301TNTTPTNJ-AS1001050</v>
          </cell>
          <cell r="O399">
            <v>100</v>
          </cell>
          <cell r="P399">
            <v>3301</v>
          </cell>
          <cell r="Q399" t="str">
            <v xml:space="preserve">U483   </v>
          </cell>
          <cell r="R399">
            <v>1280</v>
          </cell>
          <cell r="S399">
            <v>2000</v>
          </cell>
          <cell r="T399">
            <v>1150</v>
          </cell>
          <cell r="U399">
            <v>1050</v>
          </cell>
          <cell r="V399">
            <v>2000</v>
          </cell>
          <cell r="W399">
            <v>2</v>
          </cell>
          <cell r="X399" t="str">
            <v>CF4</v>
          </cell>
          <cell r="Y399" t="str">
            <v>SL-1</v>
          </cell>
          <cell r="Z399">
            <v>6</v>
          </cell>
          <cell r="AA399" t="str">
            <v>6ｲﾝﾁABS</v>
          </cell>
          <cell r="AB399">
            <v>1450</v>
          </cell>
          <cell r="AC399">
            <v>6</v>
          </cell>
          <cell r="AD399" t="str">
            <v>6ｲﾝﾁABS</v>
          </cell>
          <cell r="AE399">
            <v>1270</v>
          </cell>
          <cell r="AO399" t="str">
            <v>3301TNTTPTNJ-AS100</v>
          </cell>
        </row>
        <row r="400">
          <cell r="G400" t="str">
            <v>3301TNTTPTNJ-AS</v>
          </cell>
          <cell r="H400" t="str">
            <v>T</v>
          </cell>
          <cell r="I400" t="str">
            <v>N</v>
          </cell>
          <cell r="J400" t="str">
            <v>TTP</v>
          </cell>
          <cell r="K400" t="str">
            <v>TNJ-AS</v>
          </cell>
          <cell r="L400" t="str">
            <v>タフトップ　ＴＮＪ－ＡＳ</v>
          </cell>
          <cell r="M400" t="str">
            <v>3301TNTTPTNJ-AS1001200</v>
          </cell>
          <cell r="N400" t="str">
            <v>3301TNTTPTNJ-AS1001050</v>
          </cell>
          <cell r="O400">
            <v>100</v>
          </cell>
          <cell r="P400">
            <v>3301</v>
          </cell>
          <cell r="Q400" t="str">
            <v xml:space="preserve">U483   </v>
          </cell>
          <cell r="R400">
            <v>1200</v>
          </cell>
          <cell r="S400">
            <v>2000</v>
          </cell>
          <cell r="T400">
            <v>1150</v>
          </cell>
          <cell r="U400">
            <v>1050</v>
          </cell>
          <cell r="V400">
            <v>2000</v>
          </cell>
          <cell r="W400">
            <v>2</v>
          </cell>
          <cell r="X400" t="str">
            <v>CF4</v>
          </cell>
          <cell r="Y400" t="str">
            <v>SL-1</v>
          </cell>
          <cell r="Z400">
            <v>6</v>
          </cell>
          <cell r="AA400" t="str">
            <v>6ｲﾝﾁABS</v>
          </cell>
          <cell r="AB400">
            <v>1270</v>
          </cell>
          <cell r="AC400">
            <v>6</v>
          </cell>
          <cell r="AD400" t="str">
            <v>6ｲﾝﾁABS</v>
          </cell>
          <cell r="AE400">
            <v>1270</v>
          </cell>
          <cell r="AO400" t="str">
            <v>3301TNTTPTNJ-AS100</v>
          </cell>
        </row>
        <row r="401">
          <cell r="G401" t="str">
            <v>UYJTCSTHCE</v>
          </cell>
          <cell r="H401" t="str">
            <v>U</v>
          </cell>
          <cell r="I401" t="str">
            <v>Y</v>
          </cell>
          <cell r="J401" t="str">
            <v>JTC</v>
          </cell>
          <cell r="K401" t="str">
            <v>STHCE</v>
          </cell>
          <cell r="L401" t="str">
            <v>TR-PRHC=HCPET-TA20-E</v>
          </cell>
          <cell r="M401" t="str">
            <v>UYJTCSTHCE381336</v>
          </cell>
          <cell r="N401" t="str">
            <v>UYJTCSTHCE38715</v>
          </cell>
          <cell r="O401">
            <v>38</v>
          </cell>
          <cell r="Q401" t="str">
            <v>XF60R</v>
          </cell>
          <cell r="R401">
            <v>1336</v>
          </cell>
          <cell r="S401">
            <v>12050</v>
          </cell>
          <cell r="T401">
            <v>715</v>
          </cell>
          <cell r="U401">
            <v>715</v>
          </cell>
          <cell r="V401">
            <v>3920</v>
          </cell>
          <cell r="W401">
            <v>2</v>
          </cell>
          <cell r="X401" t="str">
            <v>CF2</v>
          </cell>
          <cell r="Y401" t="str">
            <v>CF3</v>
          </cell>
          <cell r="Z401">
            <v>6</v>
          </cell>
          <cell r="AA401" t="str">
            <v>6ｲﾝﾁFWP</v>
          </cell>
          <cell r="AB401">
            <v>1600</v>
          </cell>
          <cell r="AC401">
            <v>6</v>
          </cell>
          <cell r="AD401" t="str">
            <v>6ｲﾝﾁABS</v>
          </cell>
          <cell r="AE401">
            <v>1500</v>
          </cell>
          <cell r="AL401">
            <v>7</v>
          </cell>
          <cell r="AM401" t="str">
            <v>CF2/ｴｰｼﾞﾝｸﾞ/CF3/SL1</v>
          </cell>
          <cell r="AO401" t="str">
            <v>UYJTCSTHCE38</v>
          </cell>
        </row>
        <row r="402">
          <cell r="G402" t="str">
            <v>3TYJTCSTHCE</v>
          </cell>
          <cell r="H402" t="str">
            <v>T</v>
          </cell>
          <cell r="I402" t="str">
            <v>Y</v>
          </cell>
          <cell r="J402" t="str">
            <v>JTC</v>
          </cell>
          <cell r="K402" t="str">
            <v>STHCE</v>
          </cell>
          <cell r="L402" t="str">
            <v>TR-PRHC=HCPET-TA20-E</v>
          </cell>
          <cell r="M402" t="str">
            <v>3TYJTCSTHCE381336</v>
          </cell>
          <cell r="N402" t="str">
            <v>3TYJTCSTHCE38715</v>
          </cell>
          <cell r="O402">
            <v>38</v>
          </cell>
          <cell r="P402">
            <v>3</v>
          </cell>
          <cell r="Q402" t="str">
            <v>XF60R</v>
          </cell>
          <cell r="R402">
            <v>1336</v>
          </cell>
          <cell r="S402">
            <v>12050</v>
          </cell>
          <cell r="T402">
            <v>715</v>
          </cell>
          <cell r="U402">
            <v>715</v>
          </cell>
          <cell r="V402">
            <v>3920</v>
          </cell>
          <cell r="W402">
            <v>2</v>
          </cell>
          <cell r="X402" t="str">
            <v>CF2</v>
          </cell>
          <cell r="Y402" t="str">
            <v>CF3</v>
          </cell>
          <cell r="Z402">
            <v>6</v>
          </cell>
          <cell r="AA402" t="str">
            <v>6ｲﾝﾁFWP</v>
          </cell>
          <cell r="AB402">
            <v>1600</v>
          </cell>
          <cell r="AC402">
            <v>6</v>
          </cell>
          <cell r="AD402" t="str">
            <v>6ｲﾝﾁABS</v>
          </cell>
          <cell r="AE402">
            <v>1500</v>
          </cell>
          <cell r="AL402">
            <v>7</v>
          </cell>
          <cell r="AM402" t="str">
            <v>CF2/ｴｰｼﾞﾝｸﾞ/CF3/SL1</v>
          </cell>
          <cell r="AO402" t="str">
            <v>3TYJTCSTHCE38</v>
          </cell>
        </row>
        <row r="403">
          <cell r="G403" t="str">
            <v>33STYJTCSTHCE</v>
          </cell>
          <cell r="H403" t="str">
            <v>T</v>
          </cell>
          <cell r="I403" t="str">
            <v>Y</v>
          </cell>
          <cell r="J403" t="str">
            <v>JTC</v>
          </cell>
          <cell r="K403" t="str">
            <v>STHCE</v>
          </cell>
          <cell r="L403" t="str">
            <v>TR-PRHC=HCPET-TA20-E</v>
          </cell>
          <cell r="M403" t="str">
            <v>33STYJTCSTHCE381336</v>
          </cell>
          <cell r="N403" t="str">
            <v>33STYJTCSTHCE38715</v>
          </cell>
          <cell r="O403">
            <v>38</v>
          </cell>
          <cell r="P403" t="str">
            <v>33S</v>
          </cell>
          <cell r="Q403" t="str">
            <v>XF60R</v>
          </cell>
          <cell r="R403">
            <v>1336</v>
          </cell>
          <cell r="S403">
            <v>12050</v>
          </cell>
          <cell r="T403">
            <v>715</v>
          </cell>
          <cell r="U403">
            <v>715</v>
          </cell>
          <cell r="V403">
            <v>3920</v>
          </cell>
          <cell r="W403">
            <v>2</v>
          </cell>
          <cell r="X403" t="str">
            <v>CF2</v>
          </cell>
          <cell r="Y403" t="str">
            <v>CF3</v>
          </cell>
          <cell r="Z403">
            <v>6</v>
          </cell>
          <cell r="AA403" t="str">
            <v>6ｲﾝﾁFWP</v>
          </cell>
          <cell r="AB403">
            <v>1600</v>
          </cell>
          <cell r="AC403">
            <v>6</v>
          </cell>
          <cell r="AD403" t="str">
            <v>6ｲﾝﾁABS</v>
          </cell>
          <cell r="AE403">
            <v>1500</v>
          </cell>
          <cell r="AL403">
            <v>7</v>
          </cell>
          <cell r="AM403" t="str">
            <v>CF2/ｴｰｼﾞﾝｸﾞ/CF3/SL1</v>
          </cell>
          <cell r="AO403" t="str">
            <v>33STYJTCSTHCE38</v>
          </cell>
        </row>
        <row r="404">
          <cell r="G404" t="str">
            <v>3UNKNZMCRALCB</v>
          </cell>
          <cell r="H404" t="str">
            <v>U</v>
          </cell>
          <cell r="I404" t="str">
            <v>N</v>
          </cell>
          <cell r="J404" t="str">
            <v>KNZ</v>
          </cell>
          <cell r="K404" t="str">
            <v>MCRALCB</v>
          </cell>
          <cell r="L404" t="str">
            <v>メタルミーCRアルミ面コートB</v>
          </cell>
          <cell r="M404" t="str">
            <v>3UNKNZMCRALCB251590</v>
          </cell>
          <cell r="N404" t="str">
            <v>3UNKNZMCRALCB251540</v>
          </cell>
          <cell r="O404">
            <v>25</v>
          </cell>
          <cell r="P404">
            <v>3</v>
          </cell>
          <cell r="Q404" t="str">
            <v>S28M</v>
          </cell>
          <cell r="R404">
            <v>1590</v>
          </cell>
          <cell r="S404">
            <v>12500</v>
          </cell>
          <cell r="T404">
            <v>1590</v>
          </cell>
          <cell r="U404">
            <v>1540</v>
          </cell>
          <cell r="V404">
            <v>12000</v>
          </cell>
          <cell r="W404">
            <v>2</v>
          </cell>
          <cell r="X404" t="str">
            <v>CF4</v>
          </cell>
          <cell r="Y404" t="str">
            <v>直出し</v>
          </cell>
          <cell r="Z404">
            <v>6</v>
          </cell>
          <cell r="AA404" t="str">
            <v>6ｲﾝﾁFWP</v>
          </cell>
          <cell r="AB404">
            <v>1700</v>
          </cell>
          <cell r="AO404" t="str">
            <v>3UNKNZMCRALCB25</v>
          </cell>
        </row>
        <row r="405">
          <cell r="G405" t="str">
            <v>3UNKNZMCRALCB</v>
          </cell>
          <cell r="H405" t="str">
            <v>U</v>
          </cell>
          <cell r="I405" t="str">
            <v>N</v>
          </cell>
          <cell r="J405" t="str">
            <v>KNZ</v>
          </cell>
          <cell r="K405" t="str">
            <v>MCRALCB</v>
          </cell>
          <cell r="L405" t="str">
            <v>メタルミーCRアルミ面コートB</v>
          </cell>
          <cell r="M405" t="str">
            <v>3UNKNZMCRALCB251110</v>
          </cell>
          <cell r="N405" t="str">
            <v>3UNKNZMCRALCB251050</v>
          </cell>
          <cell r="O405">
            <v>25</v>
          </cell>
          <cell r="P405">
            <v>3</v>
          </cell>
          <cell r="Q405" t="str">
            <v>S28M</v>
          </cell>
          <cell r="R405">
            <v>1110</v>
          </cell>
          <cell r="S405">
            <v>12100</v>
          </cell>
          <cell r="T405">
            <v>1050</v>
          </cell>
          <cell r="U405">
            <v>1050</v>
          </cell>
          <cell r="V405">
            <v>6000</v>
          </cell>
          <cell r="W405">
            <v>1</v>
          </cell>
          <cell r="X405" t="str">
            <v>CF4</v>
          </cell>
          <cell r="Y405" t="str">
            <v>S-5</v>
          </cell>
          <cell r="Z405">
            <v>6</v>
          </cell>
          <cell r="AA405" t="str">
            <v>6ｲﾝﾁFWP</v>
          </cell>
          <cell r="AB405">
            <v>1450</v>
          </cell>
          <cell r="AC405">
            <v>6</v>
          </cell>
          <cell r="AD405" t="str">
            <v>6ｲﾝﾁABS</v>
          </cell>
          <cell r="AE405">
            <v>1250</v>
          </cell>
          <cell r="AO405" t="str">
            <v>3UNKNZMCRALCB25</v>
          </cell>
        </row>
        <row r="406">
          <cell r="G406" t="str">
            <v>3UYKNZMCRALCB</v>
          </cell>
          <cell r="H406" t="str">
            <v>U</v>
          </cell>
          <cell r="I406" t="str">
            <v>Y</v>
          </cell>
          <cell r="J406" t="str">
            <v>KNZ</v>
          </cell>
          <cell r="K406" t="str">
            <v>MCRALCB</v>
          </cell>
          <cell r="L406" t="str">
            <v>Metalumy CR aluminum surface coat B</v>
          </cell>
          <cell r="M406" t="str">
            <v>3UYKNZMCRALCB251110</v>
          </cell>
          <cell r="N406" t="str">
            <v>3UYKNZMCRALCB251050</v>
          </cell>
          <cell r="O406">
            <v>25</v>
          </cell>
          <cell r="P406">
            <v>3</v>
          </cell>
          <cell r="Q406" t="str">
            <v>S28M</v>
          </cell>
          <cell r="R406">
            <v>1110</v>
          </cell>
          <cell r="S406">
            <v>12100</v>
          </cell>
          <cell r="T406">
            <v>1050</v>
          </cell>
          <cell r="U406">
            <v>1050</v>
          </cell>
          <cell r="V406">
            <v>6000</v>
          </cell>
          <cell r="W406">
            <v>1</v>
          </cell>
          <cell r="X406" t="str">
            <v>CF4</v>
          </cell>
          <cell r="Y406" t="str">
            <v>S-5</v>
          </cell>
          <cell r="Z406">
            <v>6</v>
          </cell>
          <cell r="AA406" t="str">
            <v>6ｲﾝﾁFWP</v>
          </cell>
          <cell r="AB406">
            <v>1450</v>
          </cell>
          <cell r="AC406">
            <v>6</v>
          </cell>
          <cell r="AD406" t="str">
            <v>6ｲﾝﾁABS</v>
          </cell>
          <cell r="AE406">
            <v>1250</v>
          </cell>
          <cell r="AO406" t="str">
            <v>3UYKNZMCRALCB25</v>
          </cell>
        </row>
        <row r="407">
          <cell r="G407" t="str">
            <v>3TNCLBPETV</v>
          </cell>
          <cell r="H407" t="str">
            <v>T</v>
          </cell>
          <cell r="I407" t="str">
            <v>N</v>
          </cell>
          <cell r="J407" t="str">
            <v>CLB</v>
          </cell>
          <cell r="K407" t="str">
            <v>PETV</v>
          </cell>
          <cell r="L407" t="str">
            <v>ＰＥＴ　Ｖ</v>
          </cell>
          <cell r="M407" t="str">
            <v>3TNCLBPETV161120</v>
          </cell>
          <cell r="N407" t="str">
            <v>3TNCLBPETV161000</v>
          </cell>
          <cell r="O407">
            <v>16</v>
          </cell>
          <cell r="P407">
            <v>3</v>
          </cell>
          <cell r="Q407" t="str">
            <v>T70A</v>
          </cell>
          <cell r="R407">
            <v>1120</v>
          </cell>
          <cell r="S407">
            <v>6000</v>
          </cell>
          <cell r="T407">
            <v>1120</v>
          </cell>
          <cell r="U407">
            <v>1000</v>
          </cell>
          <cell r="V407">
            <v>6000</v>
          </cell>
          <cell r="W407">
            <v>2</v>
          </cell>
          <cell r="X407" t="str">
            <v>CF4</v>
          </cell>
          <cell r="Y407" t="str">
            <v>直出し</v>
          </cell>
          <cell r="Z407">
            <v>6</v>
          </cell>
          <cell r="AA407" t="str">
            <v>6ｲﾝﾁMｺｱ</v>
          </cell>
          <cell r="AB407">
            <v>1140</v>
          </cell>
          <cell r="AC407">
            <v>6</v>
          </cell>
          <cell r="AD407" t="str">
            <v>6ｲﾝﾁMｺｱ</v>
          </cell>
          <cell r="AE407">
            <v>1140</v>
          </cell>
          <cell r="AO407" t="str">
            <v>3TNCLBPETV16</v>
          </cell>
        </row>
        <row r="408">
          <cell r="G408" t="str">
            <v>3UNMCLBHLGKJV</v>
          </cell>
          <cell r="H408" t="str">
            <v>U</v>
          </cell>
          <cell r="I408" t="str">
            <v>N</v>
          </cell>
          <cell r="J408" t="str">
            <v>MCLB</v>
          </cell>
          <cell r="K408" t="str">
            <v>HLGKJV</v>
          </cell>
          <cell r="L408" t="str">
            <v>メタルミー　ヘヤライン　銀消Ｖ</v>
          </cell>
          <cell r="M408" t="str">
            <v>3UNMCLBHLGKJV251005</v>
          </cell>
          <cell r="N408" t="str">
            <v>3UNMCLBHLGKJV251000</v>
          </cell>
          <cell r="O408">
            <v>25</v>
          </cell>
          <cell r="P408">
            <v>3</v>
          </cell>
          <cell r="Q408" t="str">
            <v>HL-MAT</v>
          </cell>
          <cell r="R408">
            <v>1005</v>
          </cell>
          <cell r="S408">
            <v>2000</v>
          </cell>
          <cell r="T408">
            <v>1005</v>
          </cell>
          <cell r="U408">
            <v>1000</v>
          </cell>
          <cell r="V408">
            <v>2000</v>
          </cell>
          <cell r="W408">
            <v>2</v>
          </cell>
          <cell r="X408" t="str">
            <v>CF4</v>
          </cell>
          <cell r="Y408" t="str">
            <v>S-4</v>
          </cell>
          <cell r="Z408">
            <v>6</v>
          </cell>
          <cell r="AA408" t="str">
            <v>6ｲﾝﾁFWP</v>
          </cell>
          <cell r="AB408">
            <v>1450</v>
          </cell>
          <cell r="AC408">
            <v>6</v>
          </cell>
          <cell r="AD408" t="str">
            <v>6ｲﾝﾁSｺｱ</v>
          </cell>
          <cell r="AE408">
            <v>1015</v>
          </cell>
          <cell r="AF408">
            <v>2</v>
          </cell>
          <cell r="AG408" t="str">
            <v>6ｲﾝﾁFWP</v>
          </cell>
          <cell r="AH408">
            <v>1450</v>
          </cell>
          <cell r="AI408">
            <v>3</v>
          </cell>
          <cell r="AJ408" t="str">
            <v>6ｲﾝﾁFWP</v>
          </cell>
          <cell r="AK408">
            <v>1450</v>
          </cell>
          <cell r="AO408" t="str">
            <v>3UNMCLBHLGKJV25</v>
          </cell>
        </row>
        <row r="409">
          <cell r="G409" t="str">
            <v>3UNMCLBHLGKJV</v>
          </cell>
          <cell r="H409" t="str">
            <v>U</v>
          </cell>
          <cell r="I409" t="str">
            <v>N</v>
          </cell>
          <cell r="J409" t="str">
            <v>MCLB</v>
          </cell>
          <cell r="K409" t="str">
            <v>HLGKJV</v>
          </cell>
          <cell r="L409" t="str">
            <v>メタルミー　ヘヤライン　銀消Ｖ</v>
          </cell>
          <cell r="M409" t="str">
            <v>3UNMCLBHLGKJV501005</v>
          </cell>
          <cell r="N409" t="str">
            <v>3UNMCLBHLGKJV501000</v>
          </cell>
          <cell r="O409">
            <v>50</v>
          </cell>
          <cell r="P409">
            <v>3</v>
          </cell>
          <cell r="Q409" t="str">
            <v>HL-MAT</v>
          </cell>
          <cell r="R409">
            <v>1005</v>
          </cell>
          <cell r="S409">
            <v>4000</v>
          </cell>
          <cell r="T409">
            <v>1005</v>
          </cell>
          <cell r="U409">
            <v>1000</v>
          </cell>
          <cell r="V409">
            <v>2000</v>
          </cell>
          <cell r="W409">
            <v>2</v>
          </cell>
          <cell r="X409" t="str">
            <v>CF4</v>
          </cell>
          <cell r="Y409" t="str">
            <v>S-4</v>
          </cell>
          <cell r="Z409">
            <v>6</v>
          </cell>
          <cell r="AA409" t="str">
            <v>6ｲﾝﾁFWP</v>
          </cell>
          <cell r="AB409">
            <v>1450</v>
          </cell>
          <cell r="AC409">
            <v>6</v>
          </cell>
          <cell r="AD409" t="str">
            <v>6ｲﾝﾁSｺｱ</v>
          </cell>
          <cell r="AE409">
            <v>1015</v>
          </cell>
          <cell r="AF409">
            <v>2</v>
          </cell>
          <cell r="AG409" t="str">
            <v>6ｲﾝﾁFWP</v>
          </cell>
          <cell r="AH409">
            <v>1450</v>
          </cell>
          <cell r="AI409">
            <v>3</v>
          </cell>
          <cell r="AJ409" t="str">
            <v>6ｲﾝﾁFWP</v>
          </cell>
          <cell r="AK409">
            <v>1450</v>
          </cell>
          <cell r="AO409" t="str">
            <v>3UNMCLBHLGKJV50</v>
          </cell>
        </row>
        <row r="410">
          <cell r="G410" t="str">
            <v>3TNMCLBHLGKJV</v>
          </cell>
          <cell r="H410" t="str">
            <v>T</v>
          </cell>
          <cell r="I410" t="str">
            <v>N</v>
          </cell>
          <cell r="J410" t="str">
            <v>MCLB</v>
          </cell>
          <cell r="K410" t="str">
            <v>HLGKJV</v>
          </cell>
          <cell r="L410" t="str">
            <v>メタルミー　ヘヤライン　銀消Ｖ</v>
          </cell>
          <cell r="M410" t="str">
            <v>3TNMCLBHLGKJV501005</v>
          </cell>
          <cell r="N410" t="str">
            <v>3TNMCLBHLGKJV501000</v>
          </cell>
          <cell r="O410">
            <v>50</v>
          </cell>
          <cell r="P410">
            <v>3</v>
          </cell>
          <cell r="Q410" t="str">
            <v>HL-MAT</v>
          </cell>
          <cell r="R410">
            <v>1005</v>
          </cell>
          <cell r="S410">
            <v>4000</v>
          </cell>
          <cell r="T410">
            <v>1005</v>
          </cell>
          <cell r="U410">
            <v>1000</v>
          </cell>
          <cell r="V410">
            <v>4000</v>
          </cell>
          <cell r="W410">
            <v>2</v>
          </cell>
          <cell r="X410" t="str">
            <v>CF4</v>
          </cell>
          <cell r="Y410" t="str">
            <v>S-4</v>
          </cell>
          <cell r="Z410">
            <v>6</v>
          </cell>
          <cell r="AA410" t="str">
            <v>6ｲﾝﾁFWP</v>
          </cell>
          <cell r="AB410">
            <v>1450</v>
          </cell>
          <cell r="AC410">
            <v>6</v>
          </cell>
          <cell r="AD410" t="str">
            <v>6ｲﾝﾁSｺｱ</v>
          </cell>
          <cell r="AE410">
            <v>1015</v>
          </cell>
          <cell r="AF410">
            <v>2</v>
          </cell>
          <cell r="AG410" t="str">
            <v>6ｲﾝﾁFWP</v>
          </cell>
          <cell r="AH410">
            <v>1450</v>
          </cell>
          <cell r="AI410">
            <v>3</v>
          </cell>
          <cell r="AJ410" t="str">
            <v>6ｲﾝﾁFWP</v>
          </cell>
          <cell r="AK410">
            <v>1450</v>
          </cell>
          <cell r="AO410" t="str">
            <v>3TNMCLBHLGKJV50</v>
          </cell>
        </row>
        <row r="411">
          <cell r="G411" t="str">
            <v>3UNMCLBHLGTV</v>
          </cell>
          <cell r="H411" t="str">
            <v>U</v>
          </cell>
          <cell r="I411" t="str">
            <v>N</v>
          </cell>
          <cell r="J411" t="str">
            <v>MCLB</v>
          </cell>
          <cell r="K411" t="str">
            <v>HLGTV</v>
          </cell>
          <cell r="L411" t="str">
            <v>メタルミー　ヘヤライン　銀艶Ｖ</v>
          </cell>
          <cell r="M411" t="str">
            <v>3UNMCLBHLGTV251005</v>
          </cell>
          <cell r="N411" t="str">
            <v>3UNMCLBHLGTV251000</v>
          </cell>
          <cell r="O411">
            <v>25</v>
          </cell>
          <cell r="P411">
            <v>3</v>
          </cell>
          <cell r="Q411" t="str">
            <v>BRIGHT</v>
          </cell>
          <cell r="R411">
            <v>1005</v>
          </cell>
          <cell r="S411">
            <v>8000</v>
          </cell>
          <cell r="T411">
            <v>1005</v>
          </cell>
          <cell r="U411">
            <v>1000</v>
          </cell>
          <cell r="V411">
            <v>2000</v>
          </cell>
          <cell r="W411">
            <v>2</v>
          </cell>
          <cell r="X411" t="str">
            <v>CF4</v>
          </cell>
          <cell r="Y411" t="str">
            <v>S-4</v>
          </cell>
          <cell r="Z411">
            <v>6</v>
          </cell>
          <cell r="AA411" t="str">
            <v>6ｲﾝﾁFWP</v>
          </cell>
          <cell r="AB411">
            <v>1450</v>
          </cell>
          <cell r="AC411">
            <v>6</v>
          </cell>
          <cell r="AD411" t="str">
            <v>6ｲﾝﾁSｺｱ</v>
          </cell>
          <cell r="AE411">
            <v>1015</v>
          </cell>
          <cell r="AF411">
            <v>2</v>
          </cell>
          <cell r="AG411" t="str">
            <v>6ｲﾝﾁFWP</v>
          </cell>
          <cell r="AH411">
            <v>1450</v>
          </cell>
          <cell r="AI411">
            <v>3</v>
          </cell>
          <cell r="AJ411" t="str">
            <v>6ｲﾝﾁFWP</v>
          </cell>
          <cell r="AK411">
            <v>1450</v>
          </cell>
          <cell r="AO411" t="str">
            <v>3UNMCLBHLGTV25</v>
          </cell>
        </row>
        <row r="412">
          <cell r="G412" t="str">
            <v>3UNMCLBHLGTV</v>
          </cell>
          <cell r="H412" t="str">
            <v>U</v>
          </cell>
          <cell r="I412" t="str">
            <v>N</v>
          </cell>
          <cell r="J412" t="str">
            <v>MCLB</v>
          </cell>
          <cell r="K412" t="str">
            <v>HLGTV</v>
          </cell>
          <cell r="L412" t="str">
            <v>メタルミー　ヘヤライン　銀艶Ｖ</v>
          </cell>
          <cell r="M412" t="str">
            <v>3UNMCLBHLGTV501005</v>
          </cell>
          <cell r="N412" t="str">
            <v>3UNMCLBHLGTV501000</v>
          </cell>
          <cell r="O412">
            <v>50</v>
          </cell>
          <cell r="P412">
            <v>3</v>
          </cell>
          <cell r="Q412" t="str">
            <v>BRIGHT</v>
          </cell>
          <cell r="R412">
            <v>1005</v>
          </cell>
          <cell r="S412">
            <v>4100</v>
          </cell>
          <cell r="T412">
            <v>1005</v>
          </cell>
          <cell r="U412">
            <v>1000</v>
          </cell>
          <cell r="V412">
            <v>4000</v>
          </cell>
          <cell r="W412">
            <v>2</v>
          </cell>
          <cell r="X412" t="str">
            <v>CF4</v>
          </cell>
          <cell r="Y412" t="str">
            <v>S-4</v>
          </cell>
          <cell r="Z412">
            <v>6</v>
          </cell>
          <cell r="AA412" t="str">
            <v>6ｲﾝﾁFWP</v>
          </cell>
          <cell r="AB412">
            <v>1450</v>
          </cell>
          <cell r="AC412">
            <v>6</v>
          </cell>
          <cell r="AD412" t="str">
            <v>6ｲﾝﾁSｺｱ</v>
          </cell>
          <cell r="AE412">
            <v>1015</v>
          </cell>
          <cell r="AF412">
            <v>2</v>
          </cell>
          <cell r="AG412" t="str">
            <v>6ｲﾝﾁFWP</v>
          </cell>
          <cell r="AH412">
            <v>1450</v>
          </cell>
          <cell r="AI412">
            <v>3</v>
          </cell>
          <cell r="AJ412" t="str">
            <v>6ｲﾝﾁFWP</v>
          </cell>
          <cell r="AK412">
            <v>1450</v>
          </cell>
          <cell r="AO412" t="str">
            <v>3UNMCLBHLGTV50</v>
          </cell>
        </row>
        <row r="413">
          <cell r="G413" t="str">
            <v>3TNMCLBHLGTV</v>
          </cell>
          <cell r="H413" t="str">
            <v>T</v>
          </cell>
          <cell r="I413" t="str">
            <v>N</v>
          </cell>
          <cell r="J413" t="str">
            <v>MCLB</v>
          </cell>
          <cell r="K413" t="str">
            <v>HLGTV</v>
          </cell>
          <cell r="L413" t="str">
            <v>メタルミー　ヘヤライン　銀艶Ｖ</v>
          </cell>
          <cell r="M413" t="str">
            <v>3TNMCLBHLGTV501005</v>
          </cell>
          <cell r="N413" t="str">
            <v>3TNMCLBHLGTV501000</v>
          </cell>
          <cell r="O413">
            <v>50</v>
          </cell>
          <cell r="P413">
            <v>3</v>
          </cell>
          <cell r="Q413" t="str">
            <v>BRIGHT</v>
          </cell>
          <cell r="R413">
            <v>1005</v>
          </cell>
          <cell r="S413">
            <v>4100</v>
          </cell>
          <cell r="T413">
            <v>1005</v>
          </cell>
          <cell r="U413">
            <v>1000</v>
          </cell>
          <cell r="V413">
            <v>4000</v>
          </cell>
          <cell r="W413">
            <v>2</v>
          </cell>
          <cell r="X413" t="str">
            <v>CF4</v>
          </cell>
          <cell r="Y413" t="str">
            <v>S-4</v>
          </cell>
          <cell r="Z413">
            <v>6</v>
          </cell>
          <cell r="AA413" t="str">
            <v>6ｲﾝﾁFWP</v>
          </cell>
          <cell r="AB413">
            <v>1450</v>
          </cell>
          <cell r="AC413">
            <v>6</v>
          </cell>
          <cell r="AD413" t="str">
            <v>6ｲﾝﾁSｺｱ</v>
          </cell>
          <cell r="AE413">
            <v>1015</v>
          </cell>
          <cell r="AF413">
            <v>2</v>
          </cell>
          <cell r="AG413" t="str">
            <v>6ｲﾝﾁFWP</v>
          </cell>
          <cell r="AH413">
            <v>1450</v>
          </cell>
          <cell r="AI413">
            <v>3</v>
          </cell>
          <cell r="AJ413" t="str">
            <v>6ｲﾝﾁFWP</v>
          </cell>
          <cell r="AK413">
            <v>1450</v>
          </cell>
          <cell r="AO413" t="str">
            <v>3TNMCLBHLGTV50</v>
          </cell>
        </row>
        <row r="414">
          <cell r="G414" t="str">
            <v>3TNMLBMTSF</v>
          </cell>
          <cell r="H414" t="str">
            <v>T</v>
          </cell>
          <cell r="I414" t="str">
            <v>N</v>
          </cell>
          <cell r="J414" t="str">
            <v>MLB</v>
          </cell>
          <cell r="K414" t="str">
            <v>MTSF</v>
          </cell>
          <cell r="L414" t="str">
            <v>メタルミー　ＴＳ</v>
          </cell>
          <cell r="M414" t="str">
            <v>3TNMLBMTSF501255</v>
          </cell>
          <cell r="N414" t="str">
            <v>3TNMLBMTSF501250</v>
          </cell>
          <cell r="O414">
            <v>50</v>
          </cell>
          <cell r="P414">
            <v>3</v>
          </cell>
          <cell r="Q414" t="str">
            <v>T62M</v>
          </cell>
          <cell r="R414">
            <v>1255</v>
          </cell>
          <cell r="S414">
            <v>6100</v>
          </cell>
          <cell r="T414">
            <v>1250</v>
          </cell>
          <cell r="U414">
            <v>1250</v>
          </cell>
          <cell r="V414">
            <v>3000</v>
          </cell>
          <cell r="W414">
            <v>2</v>
          </cell>
          <cell r="Y414" t="str">
            <v>S-5</v>
          </cell>
          <cell r="AC414">
            <v>3</v>
          </cell>
          <cell r="AD414" t="str">
            <v>3ｲﾝﾁSｺｱ</v>
          </cell>
          <cell r="AE414">
            <v>1260</v>
          </cell>
          <cell r="AF414">
            <v>2</v>
          </cell>
          <cell r="AG414" t="str">
            <v>原反コア</v>
          </cell>
          <cell r="AH414" t="str">
            <v>-</v>
          </cell>
          <cell r="AI414">
            <v>3</v>
          </cell>
          <cell r="AJ414" t="str">
            <v>6ｲﾝﾁFWP</v>
          </cell>
          <cell r="AK414">
            <v>1450</v>
          </cell>
          <cell r="AO414" t="str">
            <v>3TNMLBMTSF50</v>
          </cell>
        </row>
        <row r="415">
          <cell r="G415" t="str">
            <v>3TNMLBMBSF</v>
          </cell>
          <cell r="H415" t="str">
            <v>T</v>
          </cell>
          <cell r="I415" t="str">
            <v>N</v>
          </cell>
          <cell r="J415" t="str">
            <v>MLB</v>
          </cell>
          <cell r="K415" t="str">
            <v>MBSF</v>
          </cell>
          <cell r="L415" t="str">
            <v>メタルミー ＢＳ</v>
          </cell>
          <cell r="M415" t="str">
            <v>3TNMLBMBSF121350</v>
          </cell>
          <cell r="N415" t="str">
            <v>3TNMLBMBSF12600</v>
          </cell>
          <cell r="O415">
            <v>12</v>
          </cell>
          <cell r="P415">
            <v>3</v>
          </cell>
          <cell r="Q415" t="str">
            <v>F68</v>
          </cell>
          <cell r="R415">
            <v>1350</v>
          </cell>
          <cell r="S415">
            <v>12800</v>
          </cell>
          <cell r="T415">
            <v>600</v>
          </cell>
          <cell r="U415">
            <v>600</v>
          </cell>
          <cell r="V415">
            <v>3000</v>
          </cell>
          <cell r="W415">
            <v>1</v>
          </cell>
          <cell r="Y415" t="str">
            <v>S-5</v>
          </cell>
          <cell r="Z415">
            <v>6</v>
          </cell>
          <cell r="AA415" t="str">
            <v>6ｲﾝﾁMｺｱ</v>
          </cell>
          <cell r="AB415">
            <v>605</v>
          </cell>
          <cell r="AC415">
            <v>3</v>
          </cell>
          <cell r="AD415" t="str">
            <v>3ｲﾝﾁSｺｱ</v>
          </cell>
          <cell r="AE415">
            <v>605</v>
          </cell>
          <cell r="AO415" t="str">
            <v>3TNMLBMBSF12</v>
          </cell>
        </row>
        <row r="416">
          <cell r="G416" t="str">
            <v>3UNMCLBDMSEYK</v>
          </cell>
          <cell r="H416" t="str">
            <v>U</v>
          </cell>
          <cell r="I416" t="str">
            <v>N</v>
          </cell>
          <cell r="J416" t="str">
            <v>MCLB</v>
          </cell>
          <cell r="K416" t="str">
            <v>DMSEYK</v>
          </cell>
          <cell r="L416" t="str">
            <v>ＤＭＳ　ＥＹＫ</v>
          </cell>
          <cell r="M416" t="str">
            <v>3UNMCLBDMSEYK501300</v>
          </cell>
          <cell r="N416" t="str">
            <v>3UNMCLBDMSEYK501190</v>
          </cell>
          <cell r="O416">
            <v>50</v>
          </cell>
          <cell r="P416">
            <v>3</v>
          </cell>
          <cell r="Q416" t="str">
            <v>X44</v>
          </cell>
          <cell r="R416">
            <v>1300</v>
          </cell>
          <cell r="S416">
            <v>4000</v>
          </cell>
          <cell r="T416">
            <v>1190</v>
          </cell>
          <cell r="U416">
            <v>1190</v>
          </cell>
          <cell r="V416">
            <v>4000</v>
          </cell>
          <cell r="W416">
            <v>2</v>
          </cell>
          <cell r="X416" t="str">
            <v>CF4</v>
          </cell>
          <cell r="Y416" t="str">
            <v>S-4</v>
          </cell>
          <cell r="Z416">
            <v>6</v>
          </cell>
          <cell r="AA416" t="str">
            <v>6ｲﾝﾁFWP</v>
          </cell>
          <cell r="AB416">
            <v>1450</v>
          </cell>
          <cell r="AC416">
            <v>6</v>
          </cell>
          <cell r="AD416" t="str">
            <v>6ｲﾝﾁMｺｱ</v>
          </cell>
          <cell r="AE416">
            <v>1220</v>
          </cell>
          <cell r="AF416">
            <v>2</v>
          </cell>
          <cell r="AG416" t="str">
            <v>6ｲﾝﾁFWP</v>
          </cell>
          <cell r="AH416">
            <v>1450</v>
          </cell>
          <cell r="AI416">
            <v>3</v>
          </cell>
          <cell r="AJ416" t="str">
            <v>6ｲﾝﾁFWP</v>
          </cell>
          <cell r="AK416">
            <v>1450</v>
          </cell>
          <cell r="AO416" t="str">
            <v>3UNMCLBDMSEYK50</v>
          </cell>
        </row>
        <row r="417">
          <cell r="G417" t="str">
            <v>3TNDMSX42G</v>
          </cell>
          <cell r="H417" t="str">
            <v>T</v>
          </cell>
          <cell r="I417" t="str">
            <v>N</v>
          </cell>
          <cell r="J417" t="str">
            <v>DMS</v>
          </cell>
          <cell r="K417" t="str">
            <v>X42G</v>
          </cell>
          <cell r="L417" t="str">
            <v>ＤＭＳ蒸着（Ｘ－４２）</v>
          </cell>
          <cell r="M417" t="str">
            <v>3TNDMSX42G501360</v>
          </cell>
          <cell r="N417" t="str">
            <v>3TNDMSX42G50680</v>
          </cell>
          <cell r="O417">
            <v>50</v>
          </cell>
          <cell r="P417">
            <v>3</v>
          </cell>
          <cell r="Q417" t="str">
            <v>X42G</v>
          </cell>
          <cell r="R417">
            <v>1360</v>
          </cell>
          <cell r="S417">
            <v>4100</v>
          </cell>
          <cell r="T417">
            <v>680</v>
          </cell>
          <cell r="U417">
            <v>680</v>
          </cell>
          <cell r="V417">
            <v>2000</v>
          </cell>
          <cell r="W417">
            <v>2</v>
          </cell>
          <cell r="Y417" t="str">
            <v>S-5</v>
          </cell>
          <cell r="AC417">
            <v>6</v>
          </cell>
          <cell r="AD417" t="str">
            <v>6ｲﾝﾁFWP</v>
          </cell>
          <cell r="AE417">
            <v>1600</v>
          </cell>
          <cell r="AF417">
            <v>2</v>
          </cell>
          <cell r="AG417" t="str">
            <v>原反コア</v>
          </cell>
          <cell r="AH417" t="str">
            <v>-</v>
          </cell>
          <cell r="AI417">
            <v>3</v>
          </cell>
          <cell r="AJ417" t="str">
            <v>6ｲﾝﾁFWP</v>
          </cell>
          <cell r="AK417">
            <v>1450</v>
          </cell>
          <cell r="AO417" t="str">
            <v>3TNDMSX42G50</v>
          </cell>
        </row>
        <row r="418">
          <cell r="G418" t="str">
            <v>3TNDMSX42GPC</v>
          </cell>
          <cell r="H418" t="str">
            <v>T</v>
          </cell>
          <cell r="I418" t="str">
            <v>N</v>
          </cell>
          <cell r="J418" t="str">
            <v>DMS</v>
          </cell>
          <cell r="K418" t="str">
            <v>X42GPC</v>
          </cell>
          <cell r="L418" t="str">
            <v>ＤＭＳ（Ｘ４２Ｇ）ＰＣ</v>
          </cell>
          <cell r="M418" t="str">
            <v>3TNDMSX42GPC501360</v>
          </cell>
          <cell r="N418" t="str">
            <v>3TNDMSX42GPC50680</v>
          </cell>
          <cell r="O418">
            <v>50</v>
          </cell>
          <cell r="P418">
            <v>3</v>
          </cell>
          <cell r="Q418" t="str">
            <v>X42G</v>
          </cell>
          <cell r="R418">
            <v>1360</v>
          </cell>
          <cell r="S418">
            <v>4100</v>
          </cell>
          <cell r="T418">
            <v>680</v>
          </cell>
          <cell r="U418">
            <v>680</v>
          </cell>
          <cell r="V418">
            <v>2000</v>
          </cell>
          <cell r="W418">
            <v>2</v>
          </cell>
          <cell r="X418" t="str">
            <v>CF4</v>
          </cell>
          <cell r="Y418" t="str">
            <v>S-5</v>
          </cell>
          <cell r="Z418">
            <v>6</v>
          </cell>
          <cell r="AA418" t="str">
            <v>6ｲﾝﾁFWP</v>
          </cell>
          <cell r="AB418">
            <v>1450</v>
          </cell>
          <cell r="AC418">
            <v>3</v>
          </cell>
          <cell r="AD418" t="str">
            <v>3ｲﾝﾁMｺｱ</v>
          </cell>
          <cell r="AE418">
            <v>690</v>
          </cell>
          <cell r="AG418" t="str">
            <v>6ｲﾝﾁFWP</v>
          </cell>
          <cell r="AH418">
            <v>1450</v>
          </cell>
          <cell r="AO418" t="str">
            <v>3TNDMSX42GPC50</v>
          </cell>
        </row>
        <row r="419">
          <cell r="G419" t="str">
            <v>3TNMCLBTET1MV</v>
          </cell>
          <cell r="H419" t="str">
            <v>T</v>
          </cell>
          <cell r="I419" t="str">
            <v>N</v>
          </cell>
          <cell r="J419" t="str">
            <v>MCLB</v>
          </cell>
          <cell r="K419" t="str">
            <v>TET1MV</v>
          </cell>
          <cell r="L419" t="str">
            <v>メタルミー銀艶　市松柄Ｖ</v>
          </cell>
          <cell r="M419" t="str">
            <v>3TNMCLBTET1MV381005</v>
          </cell>
          <cell r="N419" t="str">
            <v>3TNMCLBTET1MV381000</v>
          </cell>
          <cell r="O419">
            <v>38</v>
          </cell>
          <cell r="P419">
            <v>3</v>
          </cell>
          <cell r="Q419" t="str">
            <v>S28離型ｲﾁﾏﾂ</v>
          </cell>
          <cell r="R419">
            <v>1005</v>
          </cell>
          <cell r="S419">
            <v>8000</v>
          </cell>
          <cell r="T419">
            <v>1005</v>
          </cell>
          <cell r="U419">
            <v>1000</v>
          </cell>
          <cell r="V419">
            <v>8000</v>
          </cell>
          <cell r="W419">
            <v>2</v>
          </cell>
          <cell r="X419" t="str">
            <v>CF4</v>
          </cell>
          <cell r="Y419" t="str">
            <v>S-4</v>
          </cell>
          <cell r="Z419">
            <v>6</v>
          </cell>
          <cell r="AA419" t="str">
            <v>6ｲﾝﾁFWP</v>
          </cell>
          <cell r="AB419">
            <v>1450</v>
          </cell>
          <cell r="AC419">
            <v>6</v>
          </cell>
          <cell r="AD419" t="str">
            <v>6ｲﾝﾁSｺｱ</v>
          </cell>
          <cell r="AE419">
            <v>1015</v>
          </cell>
          <cell r="AF419">
            <v>2</v>
          </cell>
          <cell r="AG419" t="str">
            <v>6ｲﾝﾁFWP</v>
          </cell>
          <cell r="AH419">
            <v>1450</v>
          </cell>
          <cell r="AI419">
            <v>3</v>
          </cell>
          <cell r="AJ419" t="str">
            <v>6ｲﾝﾁFWP</v>
          </cell>
          <cell r="AK419">
            <v>1450</v>
          </cell>
          <cell r="AO419" t="str">
            <v>3TNMCLBTET1MV38</v>
          </cell>
        </row>
        <row r="420">
          <cell r="G420" t="str">
            <v>3TNMCLBHLKTV</v>
          </cell>
          <cell r="H420" t="str">
            <v>T</v>
          </cell>
          <cell r="I420" t="str">
            <v>N</v>
          </cell>
          <cell r="J420" t="str">
            <v>MCLB</v>
          </cell>
          <cell r="K420" t="str">
            <v>HLKTV</v>
          </cell>
          <cell r="L420" t="str">
            <v>メタルミー　ヘヤライン金艶　Ｖ</v>
          </cell>
          <cell r="M420" t="str">
            <v>3TNMCLBHLKTV251030</v>
          </cell>
          <cell r="N420" t="str">
            <v>3TNMCLBHLKTV251000</v>
          </cell>
          <cell r="O420">
            <v>25</v>
          </cell>
          <cell r="P420">
            <v>3</v>
          </cell>
          <cell r="Q420" t="str">
            <v>HL50/EC</v>
          </cell>
          <cell r="R420">
            <v>1030</v>
          </cell>
          <cell r="S420">
            <v>4000</v>
          </cell>
          <cell r="T420">
            <v>1000</v>
          </cell>
          <cell r="U420">
            <v>1000</v>
          </cell>
          <cell r="V420">
            <v>2000</v>
          </cell>
          <cell r="W420">
            <v>2</v>
          </cell>
          <cell r="X420" t="str">
            <v>CF4</v>
          </cell>
          <cell r="Y420" t="str">
            <v>S-4</v>
          </cell>
          <cell r="Z420">
            <v>6</v>
          </cell>
          <cell r="AA420" t="str">
            <v>6ｲﾝﾁFWP</v>
          </cell>
          <cell r="AB420">
            <v>1450</v>
          </cell>
          <cell r="AC420">
            <v>6</v>
          </cell>
          <cell r="AD420" t="str">
            <v>6ｲﾝﾁSｺｱ</v>
          </cell>
          <cell r="AE420">
            <v>1015</v>
          </cell>
          <cell r="AG420" t="str">
            <v>6ｲﾝﾁFWP</v>
          </cell>
          <cell r="AH420">
            <v>1450</v>
          </cell>
          <cell r="AO420" t="str">
            <v>3TNMCLBHLKTV25</v>
          </cell>
        </row>
        <row r="421">
          <cell r="G421" t="str">
            <v>3TNMCLBHLKTV</v>
          </cell>
          <cell r="H421" t="str">
            <v>T</v>
          </cell>
          <cell r="I421" t="str">
            <v>N</v>
          </cell>
          <cell r="J421" t="str">
            <v>MCLB</v>
          </cell>
          <cell r="K421" t="str">
            <v>HLKTV</v>
          </cell>
          <cell r="L421" t="str">
            <v>メタルミー　ヘヤライン金艶　Ｖ</v>
          </cell>
          <cell r="M421" t="str">
            <v>3TNMCLBHLKTV501030</v>
          </cell>
          <cell r="N421" t="str">
            <v>3TNMCLBHLKTV501000</v>
          </cell>
          <cell r="O421">
            <v>50</v>
          </cell>
          <cell r="P421">
            <v>3</v>
          </cell>
          <cell r="Q421" t="str">
            <v>HL50/EC</v>
          </cell>
          <cell r="R421">
            <v>1030</v>
          </cell>
          <cell r="S421">
            <v>4100</v>
          </cell>
          <cell r="T421">
            <v>1000</v>
          </cell>
          <cell r="U421">
            <v>1000</v>
          </cell>
          <cell r="V421">
            <v>2000</v>
          </cell>
          <cell r="W421">
            <v>2</v>
          </cell>
          <cell r="X421" t="str">
            <v>CF4</v>
          </cell>
          <cell r="Y421" t="str">
            <v>S-4</v>
          </cell>
          <cell r="Z421">
            <v>6</v>
          </cell>
          <cell r="AA421" t="str">
            <v>6ｲﾝﾁFWP</v>
          </cell>
          <cell r="AB421">
            <v>1450</v>
          </cell>
          <cell r="AC421">
            <v>6</v>
          </cell>
          <cell r="AD421" t="str">
            <v>6ｲﾝﾁSｺｱ</v>
          </cell>
          <cell r="AE421">
            <v>1015</v>
          </cell>
          <cell r="AG421" t="str">
            <v>6ｲﾝﾁFWP</v>
          </cell>
          <cell r="AH421">
            <v>1450</v>
          </cell>
          <cell r="AO421" t="str">
            <v>3TNMCLBHLKTV50</v>
          </cell>
        </row>
        <row r="422">
          <cell r="G422" t="str">
            <v>3TNMCLBHLDTV</v>
          </cell>
          <cell r="H422" t="str">
            <v>T</v>
          </cell>
          <cell r="I422" t="str">
            <v>N</v>
          </cell>
          <cell r="J422" t="str">
            <v>MCLB</v>
          </cell>
          <cell r="K422" t="str">
            <v>HLDTV</v>
          </cell>
          <cell r="L422" t="str">
            <v>メタルミー　ＨＬ銅艶　Ｖ</v>
          </cell>
          <cell r="M422" t="str">
            <v>3TNMCLBHLDTV501030</v>
          </cell>
          <cell r="N422" t="str">
            <v>3TNMCLBHLDTV501000</v>
          </cell>
          <cell r="O422">
            <v>50</v>
          </cell>
          <cell r="P422">
            <v>3</v>
          </cell>
          <cell r="Q422" t="str">
            <v>HL25/EC</v>
          </cell>
          <cell r="R422">
            <v>1030</v>
          </cell>
          <cell r="S422">
            <v>4100</v>
          </cell>
          <cell r="T422">
            <v>1005</v>
          </cell>
          <cell r="U422">
            <v>1000</v>
          </cell>
          <cell r="V422">
            <v>2000</v>
          </cell>
          <cell r="W422">
            <v>2</v>
          </cell>
          <cell r="X422" t="str">
            <v>CF4</v>
          </cell>
          <cell r="Y422" t="str">
            <v>S-4</v>
          </cell>
          <cell r="Z422">
            <v>6</v>
          </cell>
          <cell r="AA422" t="str">
            <v>6ｲﾝﾁFWP</v>
          </cell>
          <cell r="AB422">
            <v>1450</v>
          </cell>
          <cell r="AC422">
            <v>6</v>
          </cell>
          <cell r="AD422" t="str">
            <v>6ｲﾝﾁSｺｱ</v>
          </cell>
          <cell r="AE422">
            <v>1015</v>
          </cell>
          <cell r="AG422" t="str">
            <v>6ｲﾝﾁFWP</v>
          </cell>
          <cell r="AH422">
            <v>1450</v>
          </cell>
          <cell r="AO422" t="str">
            <v>3TNMCLBHLDTV50</v>
          </cell>
        </row>
        <row r="423">
          <cell r="G423" t="str">
            <v>3TNMLBHLGTF</v>
          </cell>
          <cell r="H423" t="str">
            <v>T</v>
          </cell>
          <cell r="I423" t="str">
            <v>N</v>
          </cell>
          <cell r="J423" t="str">
            <v>MLB</v>
          </cell>
          <cell r="K423" t="str">
            <v>HLGTF</v>
          </cell>
          <cell r="L423" t="str">
            <v>メタルミーヘヤライン銀艶</v>
          </cell>
          <cell r="M423" t="str">
            <v>3TNMLBHLGTF501005</v>
          </cell>
          <cell r="N423" t="str">
            <v>3TNMLBHLGTF501000</v>
          </cell>
          <cell r="O423">
            <v>50</v>
          </cell>
          <cell r="P423">
            <v>3</v>
          </cell>
          <cell r="Q423" t="str">
            <v>BRIGHT</v>
          </cell>
          <cell r="R423">
            <v>1005</v>
          </cell>
          <cell r="S423">
            <v>4100</v>
          </cell>
          <cell r="T423">
            <v>1005</v>
          </cell>
          <cell r="U423">
            <v>1000</v>
          </cell>
          <cell r="V423">
            <v>4100</v>
          </cell>
          <cell r="W423">
            <v>2</v>
          </cell>
          <cell r="Y423" t="str">
            <v>S-5</v>
          </cell>
          <cell r="AC423">
            <v>6</v>
          </cell>
          <cell r="AO423" t="str">
            <v>3TNMLBHLGTF50</v>
          </cell>
        </row>
        <row r="424">
          <cell r="G424" t="str">
            <v>3UNMLBKF9BF</v>
          </cell>
          <cell r="H424" t="str">
            <v>U</v>
          </cell>
          <cell r="I424" t="str">
            <v>N</v>
          </cell>
          <cell r="J424" t="str">
            <v>MLB</v>
          </cell>
          <cell r="K424" t="str">
            <v>KF9BF</v>
          </cell>
          <cell r="L424" t="str">
            <v>ＫＦ－９Ｂ</v>
          </cell>
          <cell r="M424" t="str">
            <v>3UNMLBKF9BF91280</v>
          </cell>
          <cell r="N424" t="str">
            <v>3UNMLBKF9BF91200</v>
          </cell>
          <cell r="O424">
            <v>9</v>
          </cell>
          <cell r="P424">
            <v>3</v>
          </cell>
          <cell r="Q424" t="str">
            <v>F53</v>
          </cell>
          <cell r="R424">
            <v>1280</v>
          </cell>
          <cell r="S424">
            <v>12000</v>
          </cell>
          <cell r="T424">
            <v>1200</v>
          </cell>
          <cell r="U424">
            <v>1200</v>
          </cell>
          <cell r="V424">
            <v>2000</v>
          </cell>
          <cell r="W424">
            <v>2</v>
          </cell>
          <cell r="Y424" t="str">
            <v>S-5</v>
          </cell>
          <cell r="AC424">
            <v>3</v>
          </cell>
          <cell r="AD424" t="str">
            <v>3ｲﾝﾁMｺｱ</v>
          </cell>
          <cell r="AE424">
            <v>1220</v>
          </cell>
          <cell r="AO424" t="str">
            <v>3UNMLBKF9BF9</v>
          </cell>
        </row>
        <row r="425">
          <cell r="G425" t="str">
            <v>3UNMLBKF9BF</v>
          </cell>
          <cell r="H425" t="str">
            <v>U</v>
          </cell>
          <cell r="I425" t="str">
            <v>N</v>
          </cell>
          <cell r="J425" t="str">
            <v>MLB</v>
          </cell>
          <cell r="K425" t="str">
            <v>KF9BF</v>
          </cell>
          <cell r="L425" t="str">
            <v>ＫＦ－９Ｂ</v>
          </cell>
          <cell r="M425" t="str">
            <v>3UNMLBKF9BF91400</v>
          </cell>
          <cell r="N425" t="str">
            <v>3UNMLBKF9BF91200</v>
          </cell>
          <cell r="O425">
            <v>9</v>
          </cell>
          <cell r="P425">
            <v>3</v>
          </cell>
          <cell r="Q425" t="str">
            <v>F53</v>
          </cell>
          <cell r="R425">
            <v>1400</v>
          </cell>
          <cell r="S425">
            <v>12000</v>
          </cell>
          <cell r="T425">
            <v>1200</v>
          </cell>
          <cell r="U425">
            <v>1200</v>
          </cell>
          <cell r="V425">
            <v>2000</v>
          </cell>
          <cell r="W425">
            <v>2</v>
          </cell>
          <cell r="Y425" t="str">
            <v>S-5</v>
          </cell>
          <cell r="AC425">
            <v>3</v>
          </cell>
          <cell r="AD425" t="str">
            <v>3ｲﾝﾁMｺｱ</v>
          </cell>
          <cell r="AE425">
            <v>1220</v>
          </cell>
          <cell r="AO425" t="str">
            <v>3UNMLBKF9BF9</v>
          </cell>
        </row>
        <row r="426">
          <cell r="G426" t="str">
            <v>3UNMLBKF9BF</v>
          </cell>
          <cell r="H426" t="str">
            <v>U</v>
          </cell>
          <cell r="I426" t="str">
            <v>N</v>
          </cell>
          <cell r="J426" t="str">
            <v>MLB</v>
          </cell>
          <cell r="K426" t="str">
            <v>KF9BF</v>
          </cell>
          <cell r="L426" t="str">
            <v>ＫＦ－９Ｂ</v>
          </cell>
          <cell r="M426" t="str">
            <v>3UNMLBKF9BF91400</v>
          </cell>
          <cell r="N426" t="str">
            <v>3UNMLBKF9BF91000</v>
          </cell>
          <cell r="O426">
            <v>9</v>
          </cell>
          <cell r="P426">
            <v>3</v>
          </cell>
          <cell r="Q426" t="str">
            <v>F53</v>
          </cell>
          <cell r="R426">
            <v>1400</v>
          </cell>
          <cell r="S426">
            <v>12000</v>
          </cell>
          <cell r="T426">
            <v>1000</v>
          </cell>
          <cell r="U426">
            <v>1000</v>
          </cell>
          <cell r="V426">
            <v>500</v>
          </cell>
          <cell r="W426">
            <v>2</v>
          </cell>
          <cell r="Y426" t="str">
            <v>S-5</v>
          </cell>
          <cell r="AC426">
            <v>3</v>
          </cell>
          <cell r="AD426" t="str">
            <v>3ｲﾝﾁMｺｱ</v>
          </cell>
          <cell r="AE426">
            <v>1020</v>
          </cell>
          <cell r="AO426" t="str">
            <v>3UNMLBKF9BF9</v>
          </cell>
        </row>
        <row r="427">
          <cell r="G427" t="str">
            <v>3UNMLBKF9BF</v>
          </cell>
          <cell r="H427" t="str">
            <v>U</v>
          </cell>
          <cell r="I427" t="str">
            <v>N</v>
          </cell>
          <cell r="J427" t="str">
            <v>MLB</v>
          </cell>
          <cell r="K427" t="str">
            <v>KF9BF</v>
          </cell>
          <cell r="L427" t="str">
            <v>ＫＦ－９Ｂ</v>
          </cell>
          <cell r="M427" t="str">
            <v>3UNMLBKF9BF91400</v>
          </cell>
          <cell r="N427" t="str">
            <v>3UNMLBKF9BF91360</v>
          </cell>
          <cell r="O427">
            <v>9</v>
          </cell>
          <cell r="P427">
            <v>3</v>
          </cell>
          <cell r="Q427" t="str">
            <v>F53</v>
          </cell>
          <cell r="R427">
            <v>1400</v>
          </cell>
          <cell r="S427">
            <v>12000</v>
          </cell>
          <cell r="T427">
            <v>1360</v>
          </cell>
          <cell r="U427">
            <v>1360</v>
          </cell>
          <cell r="V427">
            <v>2100</v>
          </cell>
          <cell r="W427">
            <v>2</v>
          </cell>
          <cell r="Y427" t="str">
            <v>S-5</v>
          </cell>
          <cell r="AC427">
            <v>3</v>
          </cell>
          <cell r="AD427" t="str">
            <v>3ｲﾝﾁMｺｱ</v>
          </cell>
          <cell r="AE427">
            <v>1380</v>
          </cell>
          <cell r="AO427" t="str">
            <v>3UNMLBKF9BF9</v>
          </cell>
        </row>
        <row r="428">
          <cell r="G428" t="str">
            <v>3TNCERASY08</v>
          </cell>
          <cell r="H428" t="str">
            <v>T</v>
          </cell>
          <cell r="I428" t="str">
            <v>N</v>
          </cell>
          <cell r="J428" t="str">
            <v>CERA</v>
          </cell>
          <cell r="K428" t="str">
            <v>SY08</v>
          </cell>
          <cell r="L428" t="str">
            <v>セラピール　ＳＹ（０８）</v>
          </cell>
          <cell r="M428" t="str">
            <v>3TNCERASY08251045</v>
          </cell>
          <cell r="N428" t="str">
            <v>3TNCERASY0825500</v>
          </cell>
          <cell r="O428">
            <v>25</v>
          </cell>
          <cell r="P428">
            <v>3</v>
          </cell>
          <cell r="Q428" t="str">
            <v>S</v>
          </cell>
          <cell r="R428">
            <v>1045</v>
          </cell>
          <cell r="S428">
            <v>12400</v>
          </cell>
          <cell r="T428">
            <v>500</v>
          </cell>
          <cell r="U428">
            <v>500</v>
          </cell>
          <cell r="V428">
            <v>4000</v>
          </cell>
          <cell r="W428">
            <v>2</v>
          </cell>
          <cell r="X428" t="str">
            <v>CF2</v>
          </cell>
          <cell r="Y428" t="str">
            <v>SL-1</v>
          </cell>
          <cell r="Z428">
            <v>6</v>
          </cell>
          <cell r="AA428" t="str">
            <v>6ｲﾝﾁFWP</v>
          </cell>
          <cell r="AB428">
            <v>1450</v>
          </cell>
          <cell r="AC428">
            <v>3</v>
          </cell>
          <cell r="AD428" t="str">
            <v>3ｲﾝﾁABS</v>
          </cell>
          <cell r="AE428">
            <v>505</v>
          </cell>
          <cell r="AO428" t="str">
            <v>3TNCERASY0825</v>
          </cell>
        </row>
      </sheetData>
      <sheetData sheetId="1" refreshError="1">
        <row r="3">
          <cell r="A3">
            <v>3662798</v>
          </cell>
          <cell r="B3" t="str">
            <v>福島コーティング</v>
          </cell>
          <cell r="C3" t="str">
            <v>プロセス材１課</v>
          </cell>
          <cell r="D3" t="str">
            <v>ダミー担当者</v>
          </cell>
          <cell r="E3" t="str">
            <v>リンテック㈱</v>
          </cell>
          <cell r="F3">
            <v>3</v>
          </cell>
          <cell r="G3" t="str">
            <v>S</v>
          </cell>
          <cell r="H3" t="str">
            <v>N</v>
          </cell>
          <cell r="I3" t="str">
            <v>MLB</v>
          </cell>
          <cell r="K3" t="str">
            <v>MNGKKBF</v>
          </cell>
          <cell r="L3">
            <v>50</v>
          </cell>
          <cell r="M3" t="str">
            <v>メタルミー　ネーマー銀消改　Ｂ</v>
          </cell>
          <cell r="N3">
            <v>1120</v>
          </cell>
          <cell r="O3">
            <v>1120</v>
          </cell>
          <cell r="P3">
            <v>4000</v>
          </cell>
          <cell r="Q3">
            <v>2</v>
          </cell>
        </row>
        <row r="4">
          <cell r="A4">
            <v>3662809</v>
          </cell>
          <cell r="B4" t="str">
            <v>福島コーティング</v>
          </cell>
          <cell r="C4" t="str">
            <v>プロセス材１課</v>
          </cell>
          <cell r="D4" t="str">
            <v>ダミー担当者</v>
          </cell>
          <cell r="E4" t="str">
            <v>リンテック㈱</v>
          </cell>
          <cell r="F4">
            <v>3</v>
          </cell>
          <cell r="G4" t="str">
            <v>S</v>
          </cell>
          <cell r="H4" t="str">
            <v>N</v>
          </cell>
          <cell r="I4" t="str">
            <v>MLB</v>
          </cell>
          <cell r="K4" t="str">
            <v>MNGTBF</v>
          </cell>
          <cell r="L4">
            <v>50</v>
          </cell>
          <cell r="M4" t="str">
            <v>メタルミー　ネーマー　銀艶　Ｂ</v>
          </cell>
          <cell r="N4">
            <v>1120</v>
          </cell>
          <cell r="O4">
            <v>1120</v>
          </cell>
          <cell r="P4">
            <v>5000</v>
          </cell>
          <cell r="Q4">
            <v>2</v>
          </cell>
        </row>
        <row r="5">
          <cell r="A5">
            <v>3662810</v>
          </cell>
          <cell r="B5" t="str">
            <v>福島コーティング</v>
          </cell>
          <cell r="C5" t="str">
            <v>プロセス材１課</v>
          </cell>
          <cell r="D5" t="str">
            <v>ダミー担当者</v>
          </cell>
          <cell r="E5" t="str">
            <v>リンテック㈱</v>
          </cell>
          <cell r="F5">
            <v>3</v>
          </cell>
          <cell r="G5" t="str">
            <v>S</v>
          </cell>
          <cell r="H5" t="str">
            <v>N</v>
          </cell>
          <cell r="I5" t="str">
            <v>MLB</v>
          </cell>
          <cell r="K5" t="str">
            <v>MNGTBF</v>
          </cell>
          <cell r="L5">
            <v>50</v>
          </cell>
          <cell r="M5" t="str">
            <v>メタルミー　ネーマー　銀艶　Ｂ</v>
          </cell>
          <cell r="N5">
            <v>1120</v>
          </cell>
          <cell r="O5">
            <v>1120</v>
          </cell>
          <cell r="P5">
            <v>5000</v>
          </cell>
          <cell r="Q5">
            <v>2</v>
          </cell>
        </row>
        <row r="6">
          <cell r="A6">
            <v>3662811</v>
          </cell>
          <cell r="B6" t="str">
            <v>福島コーティング</v>
          </cell>
          <cell r="C6" t="str">
            <v>プロセス材１課</v>
          </cell>
          <cell r="D6" t="str">
            <v>ダミー担当者</v>
          </cell>
          <cell r="E6" t="str">
            <v>リンテック㈱</v>
          </cell>
          <cell r="F6">
            <v>3</v>
          </cell>
          <cell r="G6" t="str">
            <v>S</v>
          </cell>
          <cell r="H6" t="str">
            <v>N</v>
          </cell>
          <cell r="I6" t="str">
            <v>MLB</v>
          </cell>
          <cell r="K6" t="str">
            <v>MNGTBF</v>
          </cell>
          <cell r="L6">
            <v>50</v>
          </cell>
          <cell r="M6" t="str">
            <v>メタルミー　ネーマー　銀艶　Ｂ</v>
          </cell>
          <cell r="N6">
            <v>1120</v>
          </cell>
          <cell r="O6">
            <v>1120</v>
          </cell>
          <cell r="P6">
            <v>5000</v>
          </cell>
          <cell r="Q6">
            <v>2</v>
          </cell>
        </row>
        <row r="7">
          <cell r="A7">
            <v>3667093</v>
          </cell>
          <cell r="B7" t="str">
            <v>福島コーティング</v>
          </cell>
          <cell r="C7" t="str">
            <v>工材１部大阪電材課</v>
          </cell>
          <cell r="D7" t="str">
            <v>ダミー担当者</v>
          </cell>
          <cell r="E7" t="str">
            <v>日東電工㈱豊橋工場</v>
          </cell>
          <cell r="F7">
            <v>3</v>
          </cell>
          <cell r="G7" t="str">
            <v>S</v>
          </cell>
          <cell r="H7" t="str">
            <v>N</v>
          </cell>
          <cell r="I7" t="str">
            <v>MLB</v>
          </cell>
          <cell r="K7" t="str">
            <v>MTSF</v>
          </cell>
          <cell r="L7">
            <v>50</v>
          </cell>
          <cell r="M7" t="str">
            <v>メタルミー　ＴＳ</v>
          </cell>
          <cell r="N7">
            <v>1255</v>
          </cell>
          <cell r="O7">
            <v>1250</v>
          </cell>
          <cell r="P7">
            <v>2000</v>
          </cell>
          <cell r="Q7">
            <v>2</v>
          </cell>
        </row>
        <row r="8">
          <cell r="A8">
            <v>3667095</v>
          </cell>
          <cell r="B8" t="str">
            <v>福島コーティング</v>
          </cell>
          <cell r="C8" t="str">
            <v>プロセス材１課</v>
          </cell>
          <cell r="D8" t="str">
            <v>ダミー担当者</v>
          </cell>
          <cell r="E8" t="str">
            <v>日精㈱東京支店</v>
          </cell>
          <cell r="F8">
            <v>3</v>
          </cell>
          <cell r="G8" t="str">
            <v>S</v>
          </cell>
          <cell r="H8" t="str">
            <v>N</v>
          </cell>
          <cell r="I8" t="str">
            <v>MLB</v>
          </cell>
          <cell r="K8" t="str">
            <v>MSF</v>
          </cell>
          <cell r="L8">
            <v>25</v>
          </cell>
          <cell r="M8" t="str">
            <v>メタルミー　Ｓ</v>
          </cell>
          <cell r="N8">
            <v>1240</v>
          </cell>
          <cell r="O8">
            <v>1240</v>
          </cell>
          <cell r="P8">
            <v>2000</v>
          </cell>
          <cell r="Q8">
            <v>1</v>
          </cell>
        </row>
        <row r="9">
          <cell r="A9">
            <v>3667096</v>
          </cell>
          <cell r="B9" t="str">
            <v>福島コーティング</v>
          </cell>
          <cell r="C9" t="str">
            <v>プロセス材２課</v>
          </cell>
          <cell r="D9" t="str">
            <v>ダミー担当者</v>
          </cell>
          <cell r="E9" t="str">
            <v>大阪シーリング印刷㈱</v>
          </cell>
          <cell r="F9" t="str">
            <v>3H</v>
          </cell>
          <cell r="G9" t="str">
            <v>S</v>
          </cell>
          <cell r="H9" t="str">
            <v>N</v>
          </cell>
          <cell r="I9" t="str">
            <v>MCLB</v>
          </cell>
          <cell r="K9" t="str">
            <v>EYK</v>
          </cell>
          <cell r="L9">
            <v>50</v>
          </cell>
          <cell r="M9" t="str">
            <v>メタルミー　ＥＹＫ</v>
          </cell>
          <cell r="N9">
            <v>1190</v>
          </cell>
          <cell r="O9">
            <v>1190</v>
          </cell>
          <cell r="P9">
            <v>6000</v>
          </cell>
          <cell r="Q9">
            <v>2</v>
          </cell>
        </row>
        <row r="10">
          <cell r="A10">
            <v>3667098</v>
          </cell>
          <cell r="B10" t="str">
            <v>機能Ｆ　ラベル福島原</v>
          </cell>
          <cell r="C10" t="str">
            <v>プロセス材２課</v>
          </cell>
          <cell r="D10" t="str">
            <v>ダミー担当者</v>
          </cell>
          <cell r="E10" t="str">
            <v>㈱ポラテクノ</v>
          </cell>
          <cell r="F10">
            <v>3</v>
          </cell>
          <cell r="G10" t="str">
            <v>T</v>
          </cell>
          <cell r="H10" t="str">
            <v>N</v>
          </cell>
          <cell r="I10" t="str">
            <v>DMS</v>
          </cell>
          <cell r="K10" t="str">
            <v>X42GPC</v>
          </cell>
          <cell r="L10">
            <v>50</v>
          </cell>
          <cell r="M10" t="str">
            <v>ＤＭＳ（Ｘ４２Ｇ）ＰＣ</v>
          </cell>
          <cell r="N10">
            <v>680</v>
          </cell>
          <cell r="O10">
            <v>680</v>
          </cell>
          <cell r="P10">
            <v>2000</v>
          </cell>
          <cell r="Q10">
            <v>2</v>
          </cell>
        </row>
        <row r="11">
          <cell r="A11">
            <v>3667098</v>
          </cell>
          <cell r="B11" t="str">
            <v>機能Ｆ　ラベル福島原</v>
          </cell>
          <cell r="C11" t="str">
            <v>プロセス材２課</v>
          </cell>
          <cell r="D11" t="str">
            <v>ダミー担当者</v>
          </cell>
          <cell r="E11" t="str">
            <v>㈱ポラテクノ</v>
          </cell>
          <cell r="F11">
            <v>3</v>
          </cell>
          <cell r="G11" t="str">
            <v>T</v>
          </cell>
          <cell r="H11" t="str">
            <v>N</v>
          </cell>
          <cell r="I11" t="str">
            <v>DMS</v>
          </cell>
          <cell r="K11" t="str">
            <v>X42GPC</v>
          </cell>
          <cell r="L11">
            <v>50</v>
          </cell>
          <cell r="M11" t="str">
            <v>ＤＭＳ（Ｘ４２Ｇ）ＰＣ</v>
          </cell>
          <cell r="N11">
            <v>680</v>
          </cell>
          <cell r="O11">
            <v>680</v>
          </cell>
          <cell r="P11">
            <v>2000</v>
          </cell>
          <cell r="Q11">
            <v>2</v>
          </cell>
        </row>
        <row r="12">
          <cell r="A12">
            <v>3667099</v>
          </cell>
          <cell r="B12" t="str">
            <v>福島コーティング</v>
          </cell>
          <cell r="C12" t="str">
            <v>プロセス材２課</v>
          </cell>
          <cell r="D12" t="str">
            <v>ダミー担当者</v>
          </cell>
          <cell r="E12" t="str">
            <v>マルウ接着㈱</v>
          </cell>
          <cell r="F12">
            <v>3</v>
          </cell>
          <cell r="G12" t="str">
            <v>S</v>
          </cell>
          <cell r="H12" t="str">
            <v>N</v>
          </cell>
          <cell r="I12" t="str">
            <v>MCLB</v>
          </cell>
          <cell r="K12" t="str">
            <v>MSNEYK</v>
          </cell>
          <cell r="L12">
            <v>100</v>
          </cell>
          <cell r="M12" t="str">
            <v>ＭＳＮ　ＥＹＫ</v>
          </cell>
          <cell r="N12">
            <v>1205</v>
          </cell>
          <cell r="O12">
            <v>1205</v>
          </cell>
          <cell r="P12">
            <v>2500</v>
          </cell>
          <cell r="Q12">
            <v>2</v>
          </cell>
        </row>
        <row r="13">
          <cell r="A13">
            <v>3667100</v>
          </cell>
          <cell r="B13" t="str">
            <v>福島コーティング</v>
          </cell>
          <cell r="C13" t="str">
            <v>プロセス材２課</v>
          </cell>
          <cell r="D13" t="str">
            <v>ダミー担当者</v>
          </cell>
          <cell r="E13" t="str">
            <v>新タック化成㈱</v>
          </cell>
          <cell r="F13">
            <v>3</v>
          </cell>
          <cell r="G13" t="str">
            <v>S</v>
          </cell>
          <cell r="H13" t="str">
            <v>N</v>
          </cell>
          <cell r="I13" t="str">
            <v>CLB</v>
          </cell>
          <cell r="K13" t="str">
            <v>LEYK</v>
          </cell>
          <cell r="L13">
            <v>50</v>
          </cell>
          <cell r="M13" t="str">
            <v>ルミラー　ＥＹＫ</v>
          </cell>
          <cell r="N13">
            <v>1120</v>
          </cell>
          <cell r="O13">
            <v>1120</v>
          </cell>
          <cell r="P13">
            <v>6000</v>
          </cell>
          <cell r="Q13">
            <v>2</v>
          </cell>
        </row>
        <row r="14">
          <cell r="A14">
            <v>3667101</v>
          </cell>
          <cell r="B14" t="str">
            <v>福島コーティング</v>
          </cell>
          <cell r="C14" t="str">
            <v>プロセス材２課</v>
          </cell>
          <cell r="D14" t="str">
            <v>ダミー担当者</v>
          </cell>
          <cell r="E14" t="str">
            <v>新タック化成㈱</v>
          </cell>
          <cell r="F14">
            <v>3</v>
          </cell>
          <cell r="G14" t="str">
            <v>S</v>
          </cell>
          <cell r="H14" t="str">
            <v>N</v>
          </cell>
          <cell r="I14" t="str">
            <v>MCLB</v>
          </cell>
          <cell r="K14" t="str">
            <v>EYK</v>
          </cell>
          <cell r="L14">
            <v>50</v>
          </cell>
          <cell r="M14" t="str">
            <v>メタルミー　ＥＹＫ</v>
          </cell>
          <cell r="N14">
            <v>1120</v>
          </cell>
          <cell r="O14">
            <v>1120</v>
          </cell>
          <cell r="P14">
            <v>6000</v>
          </cell>
          <cell r="Q14">
            <v>2</v>
          </cell>
        </row>
        <row r="15">
          <cell r="A15">
            <v>3667102</v>
          </cell>
          <cell r="B15" t="str">
            <v>福島コーティング</v>
          </cell>
          <cell r="C15" t="str">
            <v>プロセス材２課</v>
          </cell>
          <cell r="D15" t="str">
            <v>ダミー担当者</v>
          </cell>
          <cell r="E15" t="str">
            <v>新タック化成㈱</v>
          </cell>
          <cell r="F15">
            <v>3</v>
          </cell>
          <cell r="G15" t="str">
            <v>S</v>
          </cell>
          <cell r="H15" t="str">
            <v>N</v>
          </cell>
          <cell r="I15" t="str">
            <v>MCLB</v>
          </cell>
          <cell r="K15" t="str">
            <v>MSNEYK</v>
          </cell>
          <cell r="L15">
            <v>25</v>
          </cell>
          <cell r="M15" t="str">
            <v>ＭＳＮ　ＥＹＫ</v>
          </cell>
          <cell r="N15">
            <v>1120</v>
          </cell>
          <cell r="O15">
            <v>1120</v>
          </cell>
          <cell r="P15">
            <v>4000</v>
          </cell>
          <cell r="Q15">
            <v>2</v>
          </cell>
        </row>
        <row r="16">
          <cell r="A16">
            <v>3667103</v>
          </cell>
          <cell r="B16" t="str">
            <v>福島コーティング</v>
          </cell>
          <cell r="C16" t="str">
            <v>プロセス材２課</v>
          </cell>
          <cell r="D16" t="str">
            <v>ダミー担当者</v>
          </cell>
          <cell r="E16" t="str">
            <v>新タック化成㈱</v>
          </cell>
          <cell r="F16">
            <v>3</v>
          </cell>
          <cell r="G16" t="str">
            <v>S</v>
          </cell>
          <cell r="H16" t="str">
            <v>N</v>
          </cell>
          <cell r="I16" t="str">
            <v>MCLB</v>
          </cell>
          <cell r="K16" t="str">
            <v>MSNEYK</v>
          </cell>
          <cell r="L16">
            <v>50</v>
          </cell>
          <cell r="M16" t="str">
            <v>ＭＳＮ　ＥＹＫ</v>
          </cell>
          <cell r="N16">
            <v>1120</v>
          </cell>
          <cell r="O16">
            <v>1120</v>
          </cell>
          <cell r="P16">
            <v>4000</v>
          </cell>
          <cell r="Q16">
            <v>2</v>
          </cell>
        </row>
        <row r="17">
          <cell r="A17">
            <v>3667104</v>
          </cell>
          <cell r="B17" t="str">
            <v>福島コーティング</v>
          </cell>
          <cell r="C17" t="str">
            <v>プロセス材１課</v>
          </cell>
          <cell r="D17" t="str">
            <v>ダミー担当者</v>
          </cell>
          <cell r="E17" t="str">
            <v>アジヤアルミ㈱</v>
          </cell>
          <cell r="F17">
            <v>3</v>
          </cell>
          <cell r="G17" t="str">
            <v>S</v>
          </cell>
          <cell r="H17" t="str">
            <v>N</v>
          </cell>
          <cell r="I17" t="str">
            <v>MLB</v>
          </cell>
          <cell r="K17" t="str">
            <v>MNSJF</v>
          </cell>
          <cell r="L17">
            <v>12</v>
          </cell>
          <cell r="M17" t="str">
            <v>ＮＳ蒸着</v>
          </cell>
          <cell r="N17">
            <v>1000</v>
          </cell>
          <cell r="O17">
            <v>1000</v>
          </cell>
          <cell r="P17">
            <v>6000</v>
          </cell>
          <cell r="Q17">
            <v>2</v>
          </cell>
        </row>
        <row r="18">
          <cell r="A18">
            <v>3667105</v>
          </cell>
          <cell r="B18" t="str">
            <v>福島コーティング</v>
          </cell>
          <cell r="C18" t="str">
            <v>プロセス材１課</v>
          </cell>
          <cell r="D18" t="str">
            <v>ダミー担当者</v>
          </cell>
          <cell r="E18" t="str">
            <v>アジヤアルミ㈱</v>
          </cell>
          <cell r="F18">
            <v>3</v>
          </cell>
          <cell r="G18" t="str">
            <v>S</v>
          </cell>
          <cell r="H18" t="str">
            <v>N</v>
          </cell>
          <cell r="I18" t="str">
            <v>CLB</v>
          </cell>
          <cell r="K18" t="str">
            <v>LEYK</v>
          </cell>
          <cell r="L18">
            <v>38</v>
          </cell>
          <cell r="M18" t="str">
            <v>ルミラー　ＥＹＫ</v>
          </cell>
          <cell r="N18">
            <v>1125</v>
          </cell>
          <cell r="O18">
            <v>1120</v>
          </cell>
          <cell r="P18">
            <v>4000</v>
          </cell>
          <cell r="Q18">
            <v>2</v>
          </cell>
        </row>
        <row r="19">
          <cell r="A19">
            <v>3667106</v>
          </cell>
          <cell r="B19" t="str">
            <v>福島コーティング</v>
          </cell>
          <cell r="C19" t="str">
            <v>プロセス材１課</v>
          </cell>
          <cell r="D19" t="str">
            <v>ダミー担当者</v>
          </cell>
          <cell r="E19" t="str">
            <v>リンテック㈱</v>
          </cell>
          <cell r="F19">
            <v>3</v>
          </cell>
          <cell r="G19" t="str">
            <v>S</v>
          </cell>
          <cell r="H19" t="str">
            <v>N</v>
          </cell>
          <cell r="I19" t="str">
            <v>MLB</v>
          </cell>
          <cell r="K19" t="str">
            <v>MNGKKBF</v>
          </cell>
          <cell r="L19">
            <v>25</v>
          </cell>
          <cell r="M19" t="str">
            <v>メタルミー　ネーマー銀消改　Ｂ</v>
          </cell>
          <cell r="N19">
            <v>1120</v>
          </cell>
          <cell r="O19">
            <v>1120</v>
          </cell>
          <cell r="P19">
            <v>4000</v>
          </cell>
          <cell r="Q19">
            <v>2</v>
          </cell>
        </row>
        <row r="20">
          <cell r="A20">
            <v>3667107</v>
          </cell>
          <cell r="B20" t="str">
            <v>福島コーティング</v>
          </cell>
          <cell r="C20" t="str">
            <v>プロセス材１課</v>
          </cell>
          <cell r="D20" t="str">
            <v>ダミー担当者</v>
          </cell>
          <cell r="E20" t="str">
            <v>リンテック㈱</v>
          </cell>
          <cell r="F20">
            <v>3</v>
          </cell>
          <cell r="G20" t="str">
            <v>S</v>
          </cell>
          <cell r="H20" t="str">
            <v>Y</v>
          </cell>
          <cell r="I20" t="str">
            <v>MLB</v>
          </cell>
          <cell r="K20" t="str">
            <v>MNGKKBF</v>
          </cell>
          <cell r="L20">
            <v>25</v>
          </cell>
          <cell r="M20" t="str">
            <v>メタルミー　ネーマー銀消改　Ｂ</v>
          </cell>
          <cell r="N20">
            <v>1120</v>
          </cell>
          <cell r="O20">
            <v>1120</v>
          </cell>
          <cell r="P20">
            <v>4000</v>
          </cell>
          <cell r="Q20">
            <v>2</v>
          </cell>
        </row>
        <row r="21">
          <cell r="A21">
            <v>3667108</v>
          </cell>
          <cell r="B21" t="str">
            <v>福島コーティング</v>
          </cell>
          <cell r="C21" t="str">
            <v>プロセス材１課</v>
          </cell>
          <cell r="D21" t="str">
            <v>ダミー担当者</v>
          </cell>
          <cell r="E21" t="str">
            <v>リンテック㈱</v>
          </cell>
          <cell r="F21">
            <v>3</v>
          </cell>
          <cell r="G21" t="str">
            <v>S</v>
          </cell>
          <cell r="H21" t="str">
            <v>N</v>
          </cell>
          <cell r="I21" t="str">
            <v>MLB</v>
          </cell>
          <cell r="K21" t="str">
            <v>MNGKKBF</v>
          </cell>
          <cell r="L21">
            <v>50</v>
          </cell>
          <cell r="M21" t="str">
            <v>メタルミー　ネーマー銀消改　Ｂ</v>
          </cell>
          <cell r="N21">
            <v>1000</v>
          </cell>
          <cell r="O21">
            <v>1000</v>
          </cell>
          <cell r="P21">
            <v>4000</v>
          </cell>
          <cell r="Q21">
            <v>2</v>
          </cell>
        </row>
        <row r="22">
          <cell r="A22">
            <v>3667109</v>
          </cell>
          <cell r="B22" t="str">
            <v>福島コーティング</v>
          </cell>
          <cell r="C22" t="str">
            <v>プロセス材１課</v>
          </cell>
          <cell r="D22" t="str">
            <v>ダミー担当者</v>
          </cell>
          <cell r="E22" t="str">
            <v>リンテック㈱</v>
          </cell>
          <cell r="F22">
            <v>3</v>
          </cell>
          <cell r="G22" t="str">
            <v>S</v>
          </cell>
          <cell r="H22" t="str">
            <v>N</v>
          </cell>
          <cell r="I22" t="str">
            <v>MLB</v>
          </cell>
          <cell r="K22" t="str">
            <v>MNGKKBF</v>
          </cell>
          <cell r="L22">
            <v>50</v>
          </cell>
          <cell r="M22" t="str">
            <v>メタルミー　ネーマー銀消改　Ｂ</v>
          </cell>
          <cell r="N22">
            <v>1120</v>
          </cell>
          <cell r="O22">
            <v>1120</v>
          </cell>
          <cell r="P22">
            <v>4000</v>
          </cell>
          <cell r="Q22">
            <v>2</v>
          </cell>
        </row>
        <row r="23">
          <cell r="A23">
            <v>3667110</v>
          </cell>
          <cell r="B23" t="str">
            <v>福島コーティング</v>
          </cell>
          <cell r="C23" t="str">
            <v>プロセス材１課</v>
          </cell>
          <cell r="D23" t="str">
            <v>ダミー担当者</v>
          </cell>
          <cell r="E23" t="str">
            <v>リンテック㈱</v>
          </cell>
          <cell r="F23">
            <v>3</v>
          </cell>
          <cell r="G23" t="str">
            <v>S</v>
          </cell>
          <cell r="H23" t="str">
            <v>N</v>
          </cell>
          <cell r="I23" t="str">
            <v>MLB</v>
          </cell>
          <cell r="K23" t="str">
            <v>MNGKKBF</v>
          </cell>
          <cell r="L23">
            <v>50</v>
          </cell>
          <cell r="M23" t="str">
            <v>メタルミー　ネーマー銀消改　Ｂ</v>
          </cell>
          <cell r="N23">
            <v>1120</v>
          </cell>
          <cell r="O23">
            <v>1120</v>
          </cell>
          <cell r="P23">
            <v>4000</v>
          </cell>
          <cell r="Q23">
            <v>2</v>
          </cell>
        </row>
        <row r="24">
          <cell r="A24">
            <v>3667111</v>
          </cell>
          <cell r="B24" t="str">
            <v>福島コーティング</v>
          </cell>
          <cell r="C24" t="str">
            <v>プロセス材１課</v>
          </cell>
          <cell r="D24" t="str">
            <v>ダミー担当者</v>
          </cell>
          <cell r="E24" t="str">
            <v>リンテック㈱</v>
          </cell>
          <cell r="F24">
            <v>3</v>
          </cell>
          <cell r="G24" t="str">
            <v>S</v>
          </cell>
          <cell r="H24" t="str">
            <v>N</v>
          </cell>
          <cell r="I24" t="str">
            <v>MLB</v>
          </cell>
          <cell r="K24" t="str">
            <v>MNGKKBF</v>
          </cell>
          <cell r="L24">
            <v>50</v>
          </cell>
          <cell r="M24" t="str">
            <v>メタルミー　ネーマー銀消改　Ｂ</v>
          </cell>
          <cell r="N24">
            <v>1120</v>
          </cell>
          <cell r="O24">
            <v>1120</v>
          </cell>
          <cell r="P24">
            <v>4000</v>
          </cell>
          <cell r="Q24">
            <v>2</v>
          </cell>
        </row>
        <row r="25">
          <cell r="A25">
            <v>3667112</v>
          </cell>
          <cell r="B25" t="str">
            <v>福島コーティング</v>
          </cell>
          <cell r="C25" t="str">
            <v>プロセス材１課</v>
          </cell>
          <cell r="D25" t="str">
            <v>ダミー担当者</v>
          </cell>
          <cell r="E25" t="str">
            <v>リンテック㈱</v>
          </cell>
          <cell r="F25">
            <v>3</v>
          </cell>
          <cell r="G25" t="str">
            <v>S</v>
          </cell>
          <cell r="H25" t="str">
            <v>N</v>
          </cell>
          <cell r="I25" t="str">
            <v>MLB</v>
          </cell>
          <cell r="K25" t="str">
            <v>MNGKKBF</v>
          </cell>
          <cell r="L25">
            <v>50</v>
          </cell>
          <cell r="M25" t="str">
            <v>メタルミー　ネーマー銀消改　Ｂ</v>
          </cell>
          <cell r="N25">
            <v>1120</v>
          </cell>
          <cell r="O25">
            <v>1120</v>
          </cell>
          <cell r="P25">
            <v>4000</v>
          </cell>
          <cell r="Q25">
            <v>2</v>
          </cell>
        </row>
        <row r="26">
          <cell r="A26">
            <v>3667113</v>
          </cell>
          <cell r="B26" t="str">
            <v>福島コーティング</v>
          </cell>
          <cell r="C26" t="str">
            <v>プロセス材１課</v>
          </cell>
          <cell r="D26" t="str">
            <v>ダミー担当者</v>
          </cell>
          <cell r="E26" t="str">
            <v>リンテック㈱</v>
          </cell>
          <cell r="F26">
            <v>3</v>
          </cell>
          <cell r="G26" t="str">
            <v>S</v>
          </cell>
          <cell r="H26" t="str">
            <v>N</v>
          </cell>
          <cell r="I26" t="str">
            <v>MLB</v>
          </cell>
          <cell r="K26" t="str">
            <v>MNGKKBF</v>
          </cell>
          <cell r="L26">
            <v>50</v>
          </cell>
          <cell r="M26" t="str">
            <v>メタルミー　ネーマー銀消改　Ｂ</v>
          </cell>
          <cell r="N26">
            <v>1120</v>
          </cell>
          <cell r="O26">
            <v>1120</v>
          </cell>
          <cell r="P26">
            <v>4000</v>
          </cell>
          <cell r="Q26">
            <v>2</v>
          </cell>
        </row>
        <row r="27">
          <cell r="A27">
            <v>3667114</v>
          </cell>
          <cell r="B27" t="str">
            <v>福島コーティング</v>
          </cell>
          <cell r="C27" t="str">
            <v>プロセス材１課</v>
          </cell>
          <cell r="D27" t="str">
            <v>ダミー担当者</v>
          </cell>
          <cell r="E27" t="str">
            <v>リンテック㈱</v>
          </cell>
          <cell r="F27">
            <v>3</v>
          </cell>
          <cell r="G27" t="str">
            <v>S</v>
          </cell>
          <cell r="H27" t="str">
            <v>N</v>
          </cell>
          <cell r="I27" t="str">
            <v>MLB</v>
          </cell>
          <cell r="K27" t="str">
            <v>MNGKBF</v>
          </cell>
          <cell r="L27">
            <v>25</v>
          </cell>
          <cell r="M27" t="str">
            <v>メタルミー　ネーマー銀消　Ｂ　Ｇコート用</v>
          </cell>
          <cell r="N27">
            <v>1050</v>
          </cell>
          <cell r="O27">
            <v>1050</v>
          </cell>
          <cell r="P27">
            <v>4000</v>
          </cell>
          <cell r="Q27">
            <v>2</v>
          </cell>
        </row>
        <row r="28">
          <cell r="A28">
            <v>3667115</v>
          </cell>
          <cell r="B28" t="str">
            <v>福島コーティング</v>
          </cell>
          <cell r="C28" t="str">
            <v>プロセス材１課</v>
          </cell>
          <cell r="D28" t="str">
            <v>ダミー担当者</v>
          </cell>
          <cell r="E28" t="str">
            <v>リンテック㈱</v>
          </cell>
          <cell r="F28">
            <v>3</v>
          </cell>
          <cell r="G28" t="str">
            <v>S</v>
          </cell>
          <cell r="H28" t="str">
            <v>N</v>
          </cell>
          <cell r="I28" t="str">
            <v>MLB</v>
          </cell>
          <cell r="K28" t="str">
            <v>MNGKBF</v>
          </cell>
          <cell r="L28">
            <v>50</v>
          </cell>
          <cell r="M28" t="str">
            <v>メタルミー　ネーマー銀消　Ｂ</v>
          </cell>
          <cell r="N28">
            <v>1050</v>
          </cell>
          <cell r="O28">
            <v>1050</v>
          </cell>
          <cell r="P28">
            <v>4100</v>
          </cell>
          <cell r="Q28">
            <v>2</v>
          </cell>
        </row>
        <row r="29">
          <cell r="A29">
            <v>3667116</v>
          </cell>
          <cell r="B29" t="str">
            <v>福島コーティング</v>
          </cell>
          <cell r="C29" t="str">
            <v>プロセス材１課</v>
          </cell>
          <cell r="D29" t="str">
            <v>ダミー担当者</v>
          </cell>
          <cell r="E29" t="str">
            <v>リンテック㈱</v>
          </cell>
          <cell r="F29">
            <v>3</v>
          </cell>
          <cell r="G29" t="str">
            <v>S</v>
          </cell>
          <cell r="H29" t="str">
            <v>N</v>
          </cell>
          <cell r="I29" t="str">
            <v>MLB</v>
          </cell>
          <cell r="K29" t="str">
            <v>MNGKBF</v>
          </cell>
          <cell r="L29">
            <v>75</v>
          </cell>
          <cell r="M29" t="str">
            <v>メタルミー　ネーマー銀消　Ｂ</v>
          </cell>
          <cell r="N29">
            <v>1050</v>
          </cell>
          <cell r="O29">
            <v>1050</v>
          </cell>
          <cell r="P29">
            <v>2000</v>
          </cell>
          <cell r="Q29">
            <v>2</v>
          </cell>
        </row>
        <row r="30">
          <cell r="A30">
            <v>3667117</v>
          </cell>
          <cell r="B30" t="str">
            <v>福島コーティング</v>
          </cell>
          <cell r="C30" t="str">
            <v>プロセス材１課</v>
          </cell>
          <cell r="D30" t="str">
            <v>ダミー担当者</v>
          </cell>
          <cell r="E30" t="str">
            <v>リンテック㈱</v>
          </cell>
          <cell r="F30">
            <v>3</v>
          </cell>
          <cell r="G30" t="str">
            <v>S</v>
          </cell>
          <cell r="H30" t="str">
            <v>N</v>
          </cell>
          <cell r="I30" t="str">
            <v>MCLB</v>
          </cell>
          <cell r="K30" t="str">
            <v>NGKVB</v>
          </cell>
          <cell r="L30">
            <v>50</v>
          </cell>
          <cell r="M30" t="str">
            <v>メタルミー　ネーマー銀消　ＶＢ</v>
          </cell>
          <cell r="N30">
            <v>1005</v>
          </cell>
          <cell r="O30">
            <v>1000</v>
          </cell>
          <cell r="P30">
            <v>4000</v>
          </cell>
          <cell r="Q30">
            <v>2</v>
          </cell>
        </row>
        <row r="31">
          <cell r="A31">
            <v>3667119</v>
          </cell>
          <cell r="B31" t="str">
            <v>福島コーティング</v>
          </cell>
          <cell r="C31" t="str">
            <v>プロセス材１課</v>
          </cell>
          <cell r="D31" t="str">
            <v>ダミー担当者</v>
          </cell>
          <cell r="E31" t="str">
            <v>リンテック㈱</v>
          </cell>
          <cell r="F31">
            <v>3</v>
          </cell>
          <cell r="G31" t="str">
            <v>S</v>
          </cell>
          <cell r="H31" t="str">
            <v>N</v>
          </cell>
          <cell r="I31" t="str">
            <v>MLB</v>
          </cell>
          <cell r="K31" t="str">
            <v>MNGTBF</v>
          </cell>
          <cell r="L31">
            <v>25</v>
          </cell>
          <cell r="M31" t="str">
            <v>メタルミー　ネーマー　銀艶　Ｂ</v>
          </cell>
          <cell r="N31">
            <v>1005</v>
          </cell>
          <cell r="O31">
            <v>1000</v>
          </cell>
          <cell r="P31">
            <v>4000</v>
          </cell>
          <cell r="Q31">
            <v>2</v>
          </cell>
        </row>
        <row r="32">
          <cell r="A32">
            <v>3667120</v>
          </cell>
          <cell r="B32" t="str">
            <v>福島コーティング</v>
          </cell>
          <cell r="C32" t="str">
            <v>プロセス材１課</v>
          </cell>
          <cell r="D32" t="str">
            <v>ダミー担当者</v>
          </cell>
          <cell r="E32" t="str">
            <v>リンテック㈱</v>
          </cell>
          <cell r="F32">
            <v>3</v>
          </cell>
          <cell r="G32" t="str">
            <v>S</v>
          </cell>
          <cell r="H32" t="str">
            <v>N</v>
          </cell>
          <cell r="I32" t="str">
            <v>MLB</v>
          </cell>
          <cell r="K32" t="str">
            <v>MNGTBF</v>
          </cell>
          <cell r="L32">
            <v>50</v>
          </cell>
          <cell r="M32" t="str">
            <v>メタルミー　ネーマー　銀艶　Ｂ</v>
          </cell>
          <cell r="N32">
            <v>1120</v>
          </cell>
          <cell r="O32">
            <v>1120</v>
          </cell>
          <cell r="P32">
            <v>5000</v>
          </cell>
          <cell r="Q32">
            <v>2</v>
          </cell>
        </row>
        <row r="33">
          <cell r="A33">
            <v>3667121</v>
          </cell>
          <cell r="B33" t="str">
            <v>福島コーティング</v>
          </cell>
          <cell r="C33" t="str">
            <v>プロセス材１課</v>
          </cell>
          <cell r="D33" t="str">
            <v>ダミー担当者</v>
          </cell>
          <cell r="E33" t="str">
            <v>リンテック㈱</v>
          </cell>
          <cell r="F33">
            <v>3</v>
          </cell>
          <cell r="G33" t="str">
            <v>S</v>
          </cell>
          <cell r="H33" t="str">
            <v>N</v>
          </cell>
          <cell r="I33" t="str">
            <v>MLB</v>
          </cell>
          <cell r="K33" t="str">
            <v>MNGTBF</v>
          </cell>
          <cell r="L33">
            <v>50</v>
          </cell>
          <cell r="M33" t="str">
            <v>メタルミー　ネーマー　銀艶　Ｂ</v>
          </cell>
          <cell r="N33">
            <v>1120</v>
          </cell>
          <cell r="O33">
            <v>1120</v>
          </cell>
          <cell r="P33">
            <v>5000</v>
          </cell>
          <cell r="Q33">
            <v>2</v>
          </cell>
        </row>
        <row r="34">
          <cell r="A34">
            <v>3667122</v>
          </cell>
          <cell r="B34" t="str">
            <v>福島コーティング</v>
          </cell>
          <cell r="C34" t="str">
            <v>プロセス材１課</v>
          </cell>
          <cell r="D34" t="str">
            <v>ダミー担当者</v>
          </cell>
          <cell r="E34" t="str">
            <v>リンテック㈱</v>
          </cell>
          <cell r="F34">
            <v>3</v>
          </cell>
          <cell r="G34" t="str">
            <v>S</v>
          </cell>
          <cell r="H34" t="str">
            <v>N</v>
          </cell>
          <cell r="I34" t="str">
            <v>MLB</v>
          </cell>
          <cell r="K34" t="str">
            <v>MNGTBF</v>
          </cell>
          <cell r="L34">
            <v>50</v>
          </cell>
          <cell r="M34" t="str">
            <v>メタルミー　ネーマー　銀艶　Ｂ</v>
          </cell>
          <cell r="N34">
            <v>1120</v>
          </cell>
          <cell r="O34">
            <v>1120</v>
          </cell>
          <cell r="P34">
            <v>5000</v>
          </cell>
          <cell r="Q34">
            <v>2</v>
          </cell>
        </row>
        <row r="35">
          <cell r="A35">
            <v>3667123</v>
          </cell>
          <cell r="B35" t="str">
            <v>福島コーティング</v>
          </cell>
          <cell r="C35" t="str">
            <v>プロセス材１課</v>
          </cell>
          <cell r="D35" t="str">
            <v>ダミー担当者</v>
          </cell>
          <cell r="E35" t="str">
            <v>リンテック㈱</v>
          </cell>
          <cell r="F35">
            <v>3</v>
          </cell>
          <cell r="G35" t="str">
            <v>S</v>
          </cell>
          <cell r="H35" t="str">
            <v>N</v>
          </cell>
          <cell r="I35" t="str">
            <v>MLB</v>
          </cell>
          <cell r="K35" t="str">
            <v>MNGTBF</v>
          </cell>
          <cell r="L35">
            <v>50</v>
          </cell>
          <cell r="M35" t="str">
            <v>メタルミー　ネーマー　銀艶　Ｂ</v>
          </cell>
          <cell r="N35">
            <v>1120</v>
          </cell>
          <cell r="O35">
            <v>1120</v>
          </cell>
          <cell r="P35">
            <v>5000</v>
          </cell>
          <cell r="Q35">
            <v>2</v>
          </cell>
        </row>
        <row r="36">
          <cell r="A36">
            <v>3667124</v>
          </cell>
          <cell r="B36" t="str">
            <v>福島コーティング</v>
          </cell>
          <cell r="C36" t="str">
            <v>プロセス材１課</v>
          </cell>
          <cell r="D36" t="str">
            <v>ダミー担当者</v>
          </cell>
          <cell r="E36" t="str">
            <v>リンテック㈱</v>
          </cell>
          <cell r="F36">
            <v>3</v>
          </cell>
          <cell r="G36" t="str">
            <v>S</v>
          </cell>
          <cell r="H36" t="str">
            <v>N</v>
          </cell>
          <cell r="I36" t="str">
            <v>MCLB</v>
          </cell>
          <cell r="K36" t="str">
            <v>NGTVB</v>
          </cell>
          <cell r="L36">
            <v>50</v>
          </cell>
          <cell r="M36" t="str">
            <v>メタルミー　ネーマー　銀艶ＶＢ</v>
          </cell>
          <cell r="N36">
            <v>1000</v>
          </cell>
          <cell r="O36">
            <v>1000</v>
          </cell>
          <cell r="P36">
            <v>3000</v>
          </cell>
          <cell r="Q36">
            <v>2</v>
          </cell>
        </row>
        <row r="37">
          <cell r="A37">
            <v>3667125</v>
          </cell>
          <cell r="B37" t="str">
            <v>福島コーティング</v>
          </cell>
          <cell r="C37" t="str">
            <v>プロセス材１課</v>
          </cell>
          <cell r="D37" t="str">
            <v>ダミー担当者</v>
          </cell>
          <cell r="E37" t="str">
            <v>リンテック㈱</v>
          </cell>
          <cell r="F37">
            <v>3</v>
          </cell>
          <cell r="G37" t="str">
            <v>S</v>
          </cell>
          <cell r="H37" t="str">
            <v>N</v>
          </cell>
          <cell r="I37" t="str">
            <v>MLB</v>
          </cell>
          <cell r="K37" t="str">
            <v>MNNGKBF</v>
          </cell>
          <cell r="L37">
            <v>25</v>
          </cell>
          <cell r="M37" t="str">
            <v>メタルミー　ニューネーマー銀消　Ｂ</v>
          </cell>
          <cell r="N37">
            <v>1005</v>
          </cell>
          <cell r="O37">
            <v>1000</v>
          </cell>
          <cell r="P37">
            <v>4000</v>
          </cell>
          <cell r="Q37">
            <v>2</v>
          </cell>
        </row>
        <row r="38">
          <cell r="A38">
            <v>3667126</v>
          </cell>
          <cell r="B38" t="str">
            <v>福島コーティング</v>
          </cell>
          <cell r="C38" t="str">
            <v>プロセス材１課</v>
          </cell>
          <cell r="D38" t="str">
            <v>ダミー担当者</v>
          </cell>
          <cell r="E38" t="str">
            <v>リンテック㈱</v>
          </cell>
          <cell r="F38">
            <v>3</v>
          </cell>
          <cell r="G38" t="str">
            <v>S</v>
          </cell>
          <cell r="H38" t="str">
            <v>N</v>
          </cell>
          <cell r="I38" t="str">
            <v>MLB</v>
          </cell>
          <cell r="K38" t="str">
            <v>MNNGKBF</v>
          </cell>
          <cell r="L38">
            <v>50</v>
          </cell>
          <cell r="M38" t="str">
            <v>メタルミー　ニューネーマー銀消　Ｂ</v>
          </cell>
          <cell r="N38">
            <v>1000</v>
          </cell>
          <cell r="O38">
            <v>1000</v>
          </cell>
          <cell r="P38">
            <v>4000</v>
          </cell>
          <cell r="Q38">
            <v>2</v>
          </cell>
        </row>
        <row r="39">
          <cell r="A39">
            <v>3667127</v>
          </cell>
          <cell r="B39" t="str">
            <v>福島コーティング</v>
          </cell>
          <cell r="C39" t="str">
            <v>プロセス材１課</v>
          </cell>
          <cell r="D39" t="str">
            <v>ダミー担当者</v>
          </cell>
          <cell r="E39" t="str">
            <v>リンテック㈱</v>
          </cell>
          <cell r="F39" t="str">
            <v>33S</v>
          </cell>
          <cell r="G39" t="str">
            <v>S</v>
          </cell>
          <cell r="H39" t="str">
            <v>N</v>
          </cell>
          <cell r="I39" t="str">
            <v>MCLB</v>
          </cell>
          <cell r="K39" t="str">
            <v>TEKKFV</v>
          </cell>
          <cell r="L39">
            <v>50</v>
          </cell>
          <cell r="M39" t="str">
            <v>メタルミー　ＴＥＳ消開封　Ｖ</v>
          </cell>
          <cell r="N39">
            <v>1005</v>
          </cell>
          <cell r="O39">
            <v>1000</v>
          </cell>
          <cell r="P39">
            <v>4000</v>
          </cell>
          <cell r="Q39">
            <v>2</v>
          </cell>
        </row>
        <row r="40">
          <cell r="A40">
            <v>3667128</v>
          </cell>
          <cell r="B40" t="str">
            <v>福島コーティング</v>
          </cell>
          <cell r="C40" t="str">
            <v>プロセス材１課</v>
          </cell>
          <cell r="D40" t="str">
            <v>ダミー担当者</v>
          </cell>
          <cell r="E40" t="str">
            <v>リンテック㈱</v>
          </cell>
          <cell r="F40" t="str">
            <v>33S</v>
          </cell>
          <cell r="G40" t="str">
            <v>S</v>
          </cell>
          <cell r="H40" t="str">
            <v>N</v>
          </cell>
          <cell r="I40" t="str">
            <v>MCLB</v>
          </cell>
          <cell r="K40" t="str">
            <v>TEKV0V</v>
          </cell>
          <cell r="L40">
            <v>50</v>
          </cell>
          <cell r="M40" t="str">
            <v>メタルミー　ＴＥ－Ｓ消　ＶＯＩＤ　Ｖ</v>
          </cell>
          <cell r="N40">
            <v>1005</v>
          </cell>
          <cell r="O40">
            <v>1000</v>
          </cell>
          <cell r="P40">
            <v>4000</v>
          </cell>
          <cell r="Q40">
            <v>2</v>
          </cell>
        </row>
        <row r="41">
          <cell r="A41">
            <v>3667129</v>
          </cell>
          <cell r="B41" t="str">
            <v>福島コーティング</v>
          </cell>
          <cell r="C41" t="str">
            <v>プロセス材１課</v>
          </cell>
          <cell r="D41" t="str">
            <v>ダミー担当者</v>
          </cell>
          <cell r="E41" t="str">
            <v>リンテック㈱</v>
          </cell>
          <cell r="F41" t="str">
            <v>33S</v>
          </cell>
          <cell r="G41" t="str">
            <v>S</v>
          </cell>
          <cell r="H41" t="str">
            <v>N</v>
          </cell>
          <cell r="I41" t="str">
            <v>MCLB</v>
          </cell>
          <cell r="K41" t="str">
            <v>TETKFV</v>
          </cell>
          <cell r="L41">
            <v>50</v>
          </cell>
          <cell r="M41" t="str">
            <v>メタルミー　ＴＥＳ艶開封　Ｖ</v>
          </cell>
          <cell r="N41">
            <v>1005</v>
          </cell>
          <cell r="O41">
            <v>1000</v>
          </cell>
          <cell r="P41">
            <v>4000</v>
          </cell>
          <cell r="Q41">
            <v>2</v>
          </cell>
        </row>
        <row r="42">
          <cell r="A42">
            <v>3667132</v>
          </cell>
          <cell r="B42" t="str">
            <v>福島コーティング</v>
          </cell>
          <cell r="C42" t="str">
            <v>プロセス材１課</v>
          </cell>
          <cell r="D42" t="str">
            <v>ダミー担当者</v>
          </cell>
          <cell r="E42" t="str">
            <v>リンテック㈱</v>
          </cell>
          <cell r="F42">
            <v>3</v>
          </cell>
          <cell r="G42" t="str">
            <v>S</v>
          </cell>
          <cell r="H42" t="str">
            <v>N</v>
          </cell>
          <cell r="I42" t="str">
            <v>MLB</v>
          </cell>
          <cell r="K42" t="str">
            <v>MNQR66F</v>
          </cell>
          <cell r="L42">
            <v>25</v>
          </cell>
          <cell r="M42" t="str">
            <v>ＱＲ６６蒸着品</v>
          </cell>
          <cell r="N42">
            <v>1000</v>
          </cell>
          <cell r="O42">
            <v>1000</v>
          </cell>
          <cell r="P42">
            <v>6000</v>
          </cell>
          <cell r="Q42">
            <v>2</v>
          </cell>
        </row>
        <row r="43">
          <cell r="A43">
            <v>3667133</v>
          </cell>
          <cell r="B43" t="str">
            <v>福島コーティング</v>
          </cell>
          <cell r="C43" t="str">
            <v>プロセス材１課</v>
          </cell>
          <cell r="D43" t="str">
            <v>ダミー担当者</v>
          </cell>
          <cell r="E43" t="str">
            <v>リンテック㈱</v>
          </cell>
          <cell r="F43">
            <v>3</v>
          </cell>
          <cell r="G43" t="str">
            <v>S</v>
          </cell>
          <cell r="H43" t="str">
            <v>N</v>
          </cell>
          <cell r="I43" t="str">
            <v>MLB</v>
          </cell>
          <cell r="K43" t="str">
            <v>MNQR66F</v>
          </cell>
          <cell r="L43">
            <v>25</v>
          </cell>
          <cell r="M43" t="str">
            <v>ＱＲ６６蒸着品</v>
          </cell>
          <cell r="N43">
            <v>1100</v>
          </cell>
          <cell r="O43">
            <v>1100</v>
          </cell>
          <cell r="P43">
            <v>6000</v>
          </cell>
          <cell r="Q43">
            <v>2</v>
          </cell>
        </row>
        <row r="44">
          <cell r="A44">
            <v>3667134</v>
          </cell>
          <cell r="B44" t="str">
            <v>福島コーティング</v>
          </cell>
          <cell r="C44" t="str">
            <v>プロセス材１課</v>
          </cell>
          <cell r="D44" t="str">
            <v>ダミー担当者</v>
          </cell>
          <cell r="E44" t="str">
            <v>リンテック㈱</v>
          </cell>
          <cell r="F44">
            <v>3</v>
          </cell>
          <cell r="G44" t="str">
            <v>S</v>
          </cell>
          <cell r="H44" t="str">
            <v>N</v>
          </cell>
          <cell r="I44" t="str">
            <v>MCLB</v>
          </cell>
          <cell r="K44" t="str">
            <v>HLGKJV</v>
          </cell>
          <cell r="L44">
            <v>50</v>
          </cell>
          <cell r="M44" t="str">
            <v>メタルミー　ヘヤライン　銀消Ｖ</v>
          </cell>
          <cell r="N44">
            <v>1005</v>
          </cell>
          <cell r="O44">
            <v>1000</v>
          </cell>
          <cell r="P44">
            <v>2000</v>
          </cell>
          <cell r="Q44">
            <v>2</v>
          </cell>
        </row>
        <row r="45">
          <cell r="A45">
            <v>3667135</v>
          </cell>
          <cell r="B45" t="str">
            <v>福島コーティング</v>
          </cell>
          <cell r="C45" t="str">
            <v>プロセス材１課</v>
          </cell>
          <cell r="D45" t="str">
            <v>ダミー担当者</v>
          </cell>
          <cell r="E45" t="str">
            <v>リンテック㈱</v>
          </cell>
          <cell r="F45">
            <v>3</v>
          </cell>
          <cell r="G45" t="str">
            <v>S</v>
          </cell>
          <cell r="H45" t="str">
            <v>N</v>
          </cell>
          <cell r="I45" t="str">
            <v>MCLB</v>
          </cell>
          <cell r="K45" t="str">
            <v>HLGTV</v>
          </cell>
          <cell r="L45">
            <v>25</v>
          </cell>
          <cell r="M45" t="str">
            <v>メタルミー　ヘヤライン　銀艶Ｖ</v>
          </cell>
          <cell r="N45">
            <v>1005</v>
          </cell>
          <cell r="O45">
            <v>1000</v>
          </cell>
          <cell r="P45">
            <v>2000</v>
          </cell>
          <cell r="Q45">
            <v>2</v>
          </cell>
        </row>
        <row r="46">
          <cell r="A46">
            <v>3667136</v>
          </cell>
          <cell r="B46" t="str">
            <v>福島コーティング</v>
          </cell>
          <cell r="C46" t="str">
            <v>プロセス材１課</v>
          </cell>
          <cell r="D46" t="str">
            <v>ダミー担当者</v>
          </cell>
          <cell r="E46" t="str">
            <v>リンテック㈱</v>
          </cell>
          <cell r="F46">
            <v>3</v>
          </cell>
          <cell r="G46" t="str">
            <v>S</v>
          </cell>
          <cell r="H46" t="str">
            <v>N</v>
          </cell>
          <cell r="I46" t="str">
            <v>MCLB</v>
          </cell>
          <cell r="K46" t="str">
            <v>HLGTV</v>
          </cell>
          <cell r="L46">
            <v>50</v>
          </cell>
          <cell r="M46" t="str">
            <v>メタルミー　ヘヤライン　銀艶Ｖ</v>
          </cell>
          <cell r="N46">
            <v>1005</v>
          </cell>
          <cell r="O46">
            <v>1000</v>
          </cell>
          <cell r="P46">
            <v>4000</v>
          </cell>
          <cell r="Q46">
            <v>2</v>
          </cell>
        </row>
        <row r="47">
          <cell r="A47">
            <v>3667137</v>
          </cell>
          <cell r="B47" t="str">
            <v>福島コーティング</v>
          </cell>
          <cell r="C47" t="str">
            <v>プロセス材１課</v>
          </cell>
          <cell r="D47" t="str">
            <v>ダミー担当者</v>
          </cell>
          <cell r="E47" t="str">
            <v>リンテック㈱</v>
          </cell>
          <cell r="F47">
            <v>3</v>
          </cell>
          <cell r="G47" t="str">
            <v>S</v>
          </cell>
          <cell r="H47" t="str">
            <v>N</v>
          </cell>
          <cell r="I47" t="str">
            <v>MCLB</v>
          </cell>
          <cell r="K47" t="str">
            <v>HLGTV</v>
          </cell>
          <cell r="L47">
            <v>50</v>
          </cell>
          <cell r="M47" t="str">
            <v>メタルミー　ヘヤライン　銀艶Ｖ</v>
          </cell>
          <cell r="N47">
            <v>1125</v>
          </cell>
          <cell r="O47">
            <v>1120</v>
          </cell>
          <cell r="P47">
            <v>4000</v>
          </cell>
          <cell r="Q47">
            <v>2</v>
          </cell>
        </row>
        <row r="48">
          <cell r="A48">
            <v>3667138</v>
          </cell>
          <cell r="B48" t="str">
            <v>福島コーティング</v>
          </cell>
          <cell r="C48" t="str">
            <v>プロセス材１課</v>
          </cell>
          <cell r="D48" t="str">
            <v>ダミー担当者</v>
          </cell>
          <cell r="E48" t="str">
            <v>リンテック㈱</v>
          </cell>
          <cell r="F48">
            <v>3</v>
          </cell>
          <cell r="G48" t="str">
            <v>S</v>
          </cell>
          <cell r="H48" t="str">
            <v>N</v>
          </cell>
          <cell r="I48" t="str">
            <v>CLB</v>
          </cell>
          <cell r="K48" t="str">
            <v>LMEYK</v>
          </cell>
          <cell r="L48">
            <v>38</v>
          </cell>
          <cell r="M48" t="str">
            <v>ルミマットＥＹＫ</v>
          </cell>
          <cell r="N48">
            <v>1005</v>
          </cell>
          <cell r="O48">
            <v>1000</v>
          </cell>
          <cell r="P48">
            <v>4000</v>
          </cell>
          <cell r="Q48">
            <v>2</v>
          </cell>
        </row>
        <row r="49">
          <cell r="A49">
            <v>3667139</v>
          </cell>
          <cell r="B49" t="str">
            <v>福島コーティング</v>
          </cell>
          <cell r="C49" t="str">
            <v>プロセス材１課</v>
          </cell>
          <cell r="D49" t="str">
            <v>ダミー担当者</v>
          </cell>
          <cell r="E49" t="str">
            <v>リンテック㈱</v>
          </cell>
          <cell r="F49">
            <v>3</v>
          </cell>
          <cell r="G49" t="str">
            <v>S</v>
          </cell>
          <cell r="H49" t="str">
            <v>Y</v>
          </cell>
          <cell r="I49" t="str">
            <v>MLB</v>
          </cell>
          <cell r="K49" t="str">
            <v>MSSMBF</v>
          </cell>
          <cell r="L49">
            <v>25</v>
          </cell>
          <cell r="M49" t="str">
            <v>ＭＥＴＡＬＵＭＹ　ＳＩＬＶＥＲ　Ｓ－ＭＡＴＴＥ　Ｓ２８ＭＭ　Ｂ</v>
          </cell>
          <cell r="N49">
            <v>1120</v>
          </cell>
          <cell r="O49">
            <v>1120</v>
          </cell>
          <cell r="P49">
            <v>8000</v>
          </cell>
          <cell r="Q49">
            <v>2</v>
          </cell>
        </row>
        <row r="50">
          <cell r="A50">
            <v>3667140</v>
          </cell>
          <cell r="B50" t="str">
            <v>福島コーティング</v>
          </cell>
          <cell r="C50" t="str">
            <v>プロセス材１課</v>
          </cell>
          <cell r="D50" t="str">
            <v>ダミー担当者</v>
          </cell>
          <cell r="E50" t="str">
            <v>リンテック㈱</v>
          </cell>
          <cell r="F50">
            <v>3</v>
          </cell>
          <cell r="G50" t="str">
            <v>S</v>
          </cell>
          <cell r="H50" t="str">
            <v>Y</v>
          </cell>
          <cell r="I50" t="str">
            <v>MLB</v>
          </cell>
          <cell r="K50" t="str">
            <v>MSNMBF</v>
          </cell>
          <cell r="L50">
            <v>50</v>
          </cell>
          <cell r="M50" t="str">
            <v>ＭＥＴＡＬＵＭＹ　ＳＩＬＶＥＲ　Ｎ－ＭＡＴＴＥ　Ｘ４４Ｍ　Ｂ</v>
          </cell>
          <cell r="N50">
            <v>1120</v>
          </cell>
          <cell r="O50">
            <v>1120</v>
          </cell>
          <cell r="P50">
            <v>4000</v>
          </cell>
          <cell r="Q50">
            <v>2</v>
          </cell>
        </row>
        <row r="51">
          <cell r="A51">
            <v>3667141</v>
          </cell>
          <cell r="B51" t="str">
            <v>福島コーティング</v>
          </cell>
          <cell r="C51" t="str">
            <v>プロセス材１課</v>
          </cell>
          <cell r="D51" t="str">
            <v>ダミー担当者</v>
          </cell>
          <cell r="E51" t="str">
            <v>リンテック㈱</v>
          </cell>
          <cell r="F51">
            <v>3</v>
          </cell>
          <cell r="G51" t="str">
            <v>S</v>
          </cell>
          <cell r="H51" t="str">
            <v>Y</v>
          </cell>
          <cell r="I51" t="str">
            <v>MLB</v>
          </cell>
          <cell r="K51" t="str">
            <v>MSBBF</v>
          </cell>
          <cell r="L51">
            <v>25</v>
          </cell>
          <cell r="M51" t="str">
            <v>ＭＥＴＡＬＵＭＹ　ＳＩＬＶＥＲ　ＢＲＩＧＨＴ　Ｔ６２Ｍ　Ｂ</v>
          </cell>
          <cell r="N51">
            <v>1120</v>
          </cell>
          <cell r="O51">
            <v>1120</v>
          </cell>
          <cell r="P51">
            <v>8000</v>
          </cell>
          <cell r="Q51">
            <v>2</v>
          </cell>
        </row>
        <row r="52">
          <cell r="A52">
            <v>3667142</v>
          </cell>
          <cell r="B52" t="str">
            <v>福島コーティング</v>
          </cell>
          <cell r="C52" t="str">
            <v>プロセス材１課</v>
          </cell>
          <cell r="D52" t="str">
            <v>ダミー担当者</v>
          </cell>
          <cell r="E52" t="str">
            <v>リンテック㈱</v>
          </cell>
          <cell r="F52">
            <v>3</v>
          </cell>
          <cell r="G52" t="str">
            <v>S</v>
          </cell>
          <cell r="H52" t="str">
            <v>Y</v>
          </cell>
          <cell r="I52" t="str">
            <v>MLB</v>
          </cell>
          <cell r="K52" t="str">
            <v>MSNMBF</v>
          </cell>
          <cell r="L52">
            <v>50</v>
          </cell>
          <cell r="M52" t="str">
            <v>ＭＥＴＡＬＵＭＹ　ＳＩＬＶＥＲ　Ｎ－ＭＡＴＴＥ　Ｘ４４Ｍ　Ｂ</v>
          </cell>
          <cell r="N52">
            <v>1120</v>
          </cell>
          <cell r="O52">
            <v>1120</v>
          </cell>
          <cell r="P52">
            <v>4000</v>
          </cell>
          <cell r="Q52">
            <v>2</v>
          </cell>
        </row>
        <row r="53">
          <cell r="A53">
            <v>3667714</v>
          </cell>
          <cell r="B53" t="str">
            <v>機能Ｆ　ラベル福島原</v>
          </cell>
          <cell r="C53" t="str">
            <v>プロセス材２課</v>
          </cell>
          <cell r="D53" t="str">
            <v>ダミー担当者</v>
          </cell>
          <cell r="E53" t="str">
            <v>㈱ポラテクノ</v>
          </cell>
          <cell r="F53">
            <v>3</v>
          </cell>
          <cell r="G53" t="str">
            <v>T</v>
          </cell>
          <cell r="H53" t="str">
            <v>N</v>
          </cell>
          <cell r="I53" t="str">
            <v>DMS</v>
          </cell>
          <cell r="K53" t="str">
            <v>X42GPC</v>
          </cell>
          <cell r="L53">
            <v>50</v>
          </cell>
          <cell r="M53" t="str">
            <v>ＤＭＳ（Ｘ４２Ｇ）ＰＣ</v>
          </cell>
          <cell r="N53">
            <v>680</v>
          </cell>
          <cell r="O53">
            <v>680</v>
          </cell>
          <cell r="P53">
            <v>2000</v>
          </cell>
          <cell r="Q53">
            <v>2</v>
          </cell>
        </row>
        <row r="54">
          <cell r="A54">
            <v>3667721</v>
          </cell>
          <cell r="B54" t="str">
            <v>機能Ｆ　ラベル福島開</v>
          </cell>
          <cell r="C54" t="str">
            <v>プロセス材２課</v>
          </cell>
          <cell r="D54" t="str">
            <v>ダミー担当者</v>
          </cell>
          <cell r="E54" t="str">
            <v>栃木カネカ㈱電材検査</v>
          </cell>
          <cell r="F54">
            <v>3</v>
          </cell>
          <cell r="G54" t="str">
            <v>U</v>
          </cell>
          <cell r="H54" t="str">
            <v>N</v>
          </cell>
          <cell r="I54" t="str">
            <v>MLB</v>
          </cell>
          <cell r="K54" t="str">
            <v>KF9BF</v>
          </cell>
          <cell r="L54">
            <v>9</v>
          </cell>
          <cell r="M54" t="str">
            <v>ＫＦ－９Ｂ</v>
          </cell>
          <cell r="N54">
            <v>1200</v>
          </cell>
          <cell r="O54">
            <v>1200</v>
          </cell>
          <cell r="P54">
            <v>2000</v>
          </cell>
          <cell r="Q54">
            <v>2</v>
          </cell>
        </row>
        <row r="55">
          <cell r="A55">
            <v>3669159</v>
          </cell>
          <cell r="B55" t="str">
            <v>機能Ｆ　ラベル福島原</v>
          </cell>
          <cell r="C55" t="str">
            <v>工材１部電材課</v>
          </cell>
          <cell r="D55" t="str">
            <v>ダミー担当者</v>
          </cell>
          <cell r="E55" t="str">
            <v>日東電工</v>
          </cell>
          <cell r="F55">
            <v>3</v>
          </cell>
          <cell r="G55" t="str">
            <v>T</v>
          </cell>
          <cell r="H55" t="str">
            <v>N</v>
          </cell>
          <cell r="I55" t="str">
            <v>MLB</v>
          </cell>
          <cell r="K55" t="str">
            <v>MBSF</v>
          </cell>
          <cell r="L55">
            <v>12</v>
          </cell>
          <cell r="M55" t="str">
            <v>メタルミー　ＢＳ</v>
          </cell>
          <cell r="N55">
            <v>600</v>
          </cell>
          <cell r="O55">
            <v>600</v>
          </cell>
          <cell r="P55">
            <v>3000</v>
          </cell>
          <cell r="Q55">
            <v>1</v>
          </cell>
        </row>
        <row r="56">
          <cell r="A56">
            <v>3671808</v>
          </cell>
          <cell r="B56" t="str">
            <v>福島コーティング</v>
          </cell>
          <cell r="C56" t="str">
            <v>工材１部大阪電材課</v>
          </cell>
          <cell r="D56" t="str">
            <v>ダミー担当者</v>
          </cell>
          <cell r="E56" t="str">
            <v>日東電工㈱豊橋工場</v>
          </cell>
          <cell r="F56">
            <v>3</v>
          </cell>
          <cell r="G56" t="str">
            <v>S</v>
          </cell>
          <cell r="H56" t="str">
            <v>N</v>
          </cell>
          <cell r="I56" t="str">
            <v>MLB</v>
          </cell>
          <cell r="K56" t="str">
            <v>MTSF</v>
          </cell>
          <cell r="L56">
            <v>50</v>
          </cell>
          <cell r="M56" t="str">
            <v>メタルミー　ＴＳ</v>
          </cell>
          <cell r="N56">
            <v>1255</v>
          </cell>
          <cell r="O56">
            <v>1250</v>
          </cell>
          <cell r="P56">
            <v>2000</v>
          </cell>
          <cell r="Q56">
            <v>2</v>
          </cell>
        </row>
        <row r="57">
          <cell r="A57">
            <v>3671810</v>
          </cell>
          <cell r="B57" t="str">
            <v>福島コーティング</v>
          </cell>
          <cell r="C57" t="str">
            <v>プロセス材２課</v>
          </cell>
          <cell r="D57" t="str">
            <v>ダミー担当者</v>
          </cell>
          <cell r="E57" t="str">
            <v>大阪シーリング印刷㈱</v>
          </cell>
          <cell r="F57" t="str">
            <v>3H</v>
          </cell>
          <cell r="G57" t="str">
            <v>S</v>
          </cell>
          <cell r="H57" t="str">
            <v>N</v>
          </cell>
          <cell r="I57" t="str">
            <v>MCLB</v>
          </cell>
          <cell r="K57" t="str">
            <v>EYK</v>
          </cell>
          <cell r="L57">
            <v>50</v>
          </cell>
          <cell r="M57" t="str">
            <v>メタルミー　ＥＹＫ</v>
          </cell>
          <cell r="N57">
            <v>1190</v>
          </cell>
          <cell r="O57">
            <v>1190</v>
          </cell>
          <cell r="P57">
            <v>6000</v>
          </cell>
          <cell r="Q57">
            <v>2</v>
          </cell>
        </row>
        <row r="58">
          <cell r="A58">
            <v>3671811</v>
          </cell>
          <cell r="B58" t="str">
            <v>福島コーティング</v>
          </cell>
          <cell r="C58" t="str">
            <v>プロセス材２課</v>
          </cell>
          <cell r="D58" t="str">
            <v>ダミー担当者</v>
          </cell>
          <cell r="E58" t="str">
            <v>大阪シーリング印刷㈱</v>
          </cell>
          <cell r="F58">
            <v>3</v>
          </cell>
          <cell r="G58" t="str">
            <v>S</v>
          </cell>
          <cell r="H58" t="str">
            <v>N</v>
          </cell>
          <cell r="I58" t="str">
            <v>MCLB</v>
          </cell>
          <cell r="K58" t="str">
            <v>MSNEYK</v>
          </cell>
          <cell r="L58">
            <v>50</v>
          </cell>
          <cell r="M58" t="str">
            <v>ＭＳＮ　ＥＹＫ</v>
          </cell>
          <cell r="N58">
            <v>1200</v>
          </cell>
          <cell r="O58">
            <v>1190</v>
          </cell>
          <cell r="P58">
            <v>6000</v>
          </cell>
          <cell r="Q58">
            <v>2</v>
          </cell>
        </row>
        <row r="59">
          <cell r="A59">
            <v>3671813</v>
          </cell>
          <cell r="B59" t="str">
            <v>福島コーティング</v>
          </cell>
          <cell r="C59" t="str">
            <v>プロセス材２課</v>
          </cell>
          <cell r="D59" t="str">
            <v>ダミー担当者</v>
          </cell>
          <cell r="E59" t="str">
            <v>マルウ接着㈱</v>
          </cell>
          <cell r="F59">
            <v>3</v>
          </cell>
          <cell r="G59" t="str">
            <v>S</v>
          </cell>
          <cell r="H59" t="str">
            <v>N</v>
          </cell>
          <cell r="I59" t="str">
            <v>MCLB</v>
          </cell>
          <cell r="K59" t="str">
            <v>MSNEYK</v>
          </cell>
          <cell r="L59">
            <v>100</v>
          </cell>
          <cell r="M59" t="str">
            <v>ＭＳＮ　ＥＹＫ</v>
          </cell>
          <cell r="N59">
            <v>1205</v>
          </cell>
          <cell r="O59">
            <v>1205</v>
          </cell>
          <cell r="P59">
            <v>2500</v>
          </cell>
          <cell r="Q59">
            <v>2</v>
          </cell>
        </row>
        <row r="60">
          <cell r="A60">
            <v>3671814</v>
          </cell>
          <cell r="B60" t="str">
            <v>福島コーティング</v>
          </cell>
          <cell r="C60" t="str">
            <v>プロセス材２課</v>
          </cell>
          <cell r="D60" t="str">
            <v>ダミー担当者</v>
          </cell>
          <cell r="E60" t="str">
            <v>新タック化成㈱</v>
          </cell>
          <cell r="F60">
            <v>3</v>
          </cell>
          <cell r="G60" t="str">
            <v>S</v>
          </cell>
          <cell r="H60" t="str">
            <v>N</v>
          </cell>
          <cell r="I60" t="str">
            <v>CLB</v>
          </cell>
          <cell r="K60" t="str">
            <v>LEYK</v>
          </cell>
          <cell r="L60">
            <v>50</v>
          </cell>
          <cell r="M60" t="str">
            <v>ルミラー　ＥＹＫ</v>
          </cell>
          <cell r="N60">
            <v>1120</v>
          </cell>
          <cell r="O60">
            <v>1120</v>
          </cell>
          <cell r="P60">
            <v>6000</v>
          </cell>
          <cell r="Q60">
            <v>2</v>
          </cell>
        </row>
        <row r="61">
          <cell r="A61">
            <v>3671815</v>
          </cell>
          <cell r="B61" t="str">
            <v>福島コーティング</v>
          </cell>
          <cell r="C61" t="str">
            <v>プロセス材２課</v>
          </cell>
          <cell r="D61" t="str">
            <v>ダミー担当者</v>
          </cell>
          <cell r="E61" t="str">
            <v>新タック化成㈱</v>
          </cell>
          <cell r="F61">
            <v>3</v>
          </cell>
          <cell r="G61" t="str">
            <v>S</v>
          </cell>
          <cell r="H61" t="str">
            <v>N</v>
          </cell>
          <cell r="I61" t="str">
            <v>MCLB</v>
          </cell>
          <cell r="K61" t="str">
            <v>EYK</v>
          </cell>
          <cell r="L61">
            <v>50</v>
          </cell>
          <cell r="M61" t="str">
            <v>メタルミー　ＥＹＫ</v>
          </cell>
          <cell r="N61">
            <v>1120</v>
          </cell>
          <cell r="O61">
            <v>1120</v>
          </cell>
          <cell r="P61">
            <v>6000</v>
          </cell>
          <cell r="Q61">
            <v>2</v>
          </cell>
        </row>
        <row r="62">
          <cell r="A62">
            <v>3671816</v>
          </cell>
          <cell r="B62" t="str">
            <v>福島コーティング</v>
          </cell>
          <cell r="C62" t="str">
            <v>プロセス材２課</v>
          </cell>
          <cell r="D62" t="str">
            <v>ダミー担当者</v>
          </cell>
          <cell r="E62" t="str">
            <v>新タック化成㈱</v>
          </cell>
          <cell r="F62">
            <v>3</v>
          </cell>
          <cell r="G62" t="str">
            <v>S</v>
          </cell>
          <cell r="H62" t="str">
            <v>N</v>
          </cell>
          <cell r="I62" t="str">
            <v>MCLB</v>
          </cell>
          <cell r="K62" t="str">
            <v>MSNEYK</v>
          </cell>
          <cell r="L62">
            <v>25</v>
          </cell>
          <cell r="M62" t="str">
            <v>ＭＳＮ　ＥＹＫ</v>
          </cell>
          <cell r="N62">
            <v>1120</v>
          </cell>
          <cell r="O62">
            <v>1120</v>
          </cell>
          <cell r="P62">
            <v>4000</v>
          </cell>
          <cell r="Q62">
            <v>2</v>
          </cell>
        </row>
        <row r="63">
          <cell r="A63">
            <v>3671817</v>
          </cell>
          <cell r="B63" t="str">
            <v>福島コーティング</v>
          </cell>
          <cell r="C63" t="str">
            <v>プロセス材２課</v>
          </cell>
          <cell r="D63" t="str">
            <v>ダミー担当者</v>
          </cell>
          <cell r="E63" t="str">
            <v>新タック化成㈱</v>
          </cell>
          <cell r="F63">
            <v>3</v>
          </cell>
          <cell r="G63" t="str">
            <v>S</v>
          </cell>
          <cell r="H63" t="str">
            <v>N</v>
          </cell>
          <cell r="I63" t="str">
            <v>MCLB</v>
          </cell>
          <cell r="K63" t="str">
            <v>MSNEYK</v>
          </cell>
          <cell r="L63">
            <v>50</v>
          </cell>
          <cell r="M63" t="str">
            <v>ＭＳＮ　ＥＹＫ</v>
          </cell>
          <cell r="N63">
            <v>1120</v>
          </cell>
          <cell r="O63">
            <v>1120</v>
          </cell>
          <cell r="P63">
            <v>4000</v>
          </cell>
          <cell r="Q63">
            <v>2</v>
          </cell>
        </row>
        <row r="64">
          <cell r="A64">
            <v>3671818</v>
          </cell>
          <cell r="B64" t="str">
            <v>福島コーティング</v>
          </cell>
          <cell r="C64" t="str">
            <v>プロセス材１課</v>
          </cell>
          <cell r="D64" t="str">
            <v>ダミー担当者</v>
          </cell>
          <cell r="E64" t="str">
            <v>リンテック㈱</v>
          </cell>
          <cell r="F64">
            <v>3</v>
          </cell>
          <cell r="G64" t="str">
            <v>S</v>
          </cell>
          <cell r="H64" t="str">
            <v>N</v>
          </cell>
          <cell r="I64" t="str">
            <v>MLB</v>
          </cell>
          <cell r="K64" t="str">
            <v>MNGKKBF</v>
          </cell>
          <cell r="L64">
            <v>25</v>
          </cell>
          <cell r="M64" t="str">
            <v>メタルミー　ネーマー銀消改　Ｂ</v>
          </cell>
          <cell r="N64">
            <v>1000</v>
          </cell>
          <cell r="O64">
            <v>1000</v>
          </cell>
          <cell r="P64">
            <v>4000</v>
          </cell>
          <cell r="Q64">
            <v>2</v>
          </cell>
        </row>
        <row r="65">
          <cell r="A65">
            <v>3671819</v>
          </cell>
          <cell r="B65" t="str">
            <v>福島コーティング</v>
          </cell>
          <cell r="C65" t="str">
            <v>プロセス材１課</v>
          </cell>
          <cell r="D65" t="str">
            <v>ダミー担当者</v>
          </cell>
          <cell r="E65" t="str">
            <v>リンテック㈱</v>
          </cell>
          <cell r="F65">
            <v>3</v>
          </cell>
          <cell r="G65" t="str">
            <v>S</v>
          </cell>
          <cell r="H65" t="str">
            <v>N</v>
          </cell>
          <cell r="I65" t="str">
            <v>MLB</v>
          </cell>
          <cell r="K65" t="str">
            <v>MNGKKBF</v>
          </cell>
          <cell r="L65">
            <v>25</v>
          </cell>
          <cell r="M65" t="str">
            <v>メタルミー　ネーマー銀消改　Ｂ</v>
          </cell>
          <cell r="N65">
            <v>1120</v>
          </cell>
          <cell r="O65">
            <v>1120</v>
          </cell>
          <cell r="P65">
            <v>4000</v>
          </cell>
          <cell r="Q65">
            <v>2</v>
          </cell>
        </row>
        <row r="66">
          <cell r="A66">
            <v>3671820</v>
          </cell>
          <cell r="B66" t="str">
            <v>福島コーティング</v>
          </cell>
          <cell r="C66" t="str">
            <v>プロセス材１課</v>
          </cell>
          <cell r="D66" t="str">
            <v>ダミー担当者</v>
          </cell>
          <cell r="E66" t="str">
            <v>リンテック㈱</v>
          </cell>
          <cell r="F66">
            <v>3</v>
          </cell>
          <cell r="G66" t="str">
            <v>S</v>
          </cell>
          <cell r="H66" t="str">
            <v>N</v>
          </cell>
          <cell r="I66" t="str">
            <v>MLB</v>
          </cell>
          <cell r="K66" t="str">
            <v>MNGKKBF</v>
          </cell>
          <cell r="L66">
            <v>50</v>
          </cell>
          <cell r="M66" t="str">
            <v>メタルミー　ネーマー銀消改　Ｂ</v>
          </cell>
          <cell r="N66">
            <v>1000</v>
          </cell>
          <cell r="O66">
            <v>1000</v>
          </cell>
          <cell r="P66">
            <v>4000</v>
          </cell>
          <cell r="Q66">
            <v>2</v>
          </cell>
        </row>
        <row r="67">
          <cell r="A67">
            <v>3671821</v>
          </cell>
          <cell r="B67" t="str">
            <v>福島コーティング</v>
          </cell>
          <cell r="C67" t="str">
            <v>プロセス材１課</v>
          </cell>
          <cell r="D67" t="str">
            <v>ダミー担当者</v>
          </cell>
          <cell r="E67" t="str">
            <v>リンテック㈱</v>
          </cell>
          <cell r="F67">
            <v>3</v>
          </cell>
          <cell r="G67" t="str">
            <v>S</v>
          </cell>
          <cell r="H67" t="str">
            <v>N</v>
          </cell>
          <cell r="I67" t="str">
            <v>MLB</v>
          </cell>
          <cell r="K67" t="str">
            <v>MNGKKBF</v>
          </cell>
          <cell r="L67">
            <v>50</v>
          </cell>
          <cell r="M67" t="str">
            <v>メタルミー　ネーマー銀消改　Ｂ</v>
          </cell>
          <cell r="N67">
            <v>1120</v>
          </cell>
          <cell r="O67">
            <v>1120</v>
          </cell>
          <cell r="P67">
            <v>4000</v>
          </cell>
          <cell r="Q67">
            <v>2</v>
          </cell>
        </row>
        <row r="68">
          <cell r="A68">
            <v>3671822</v>
          </cell>
          <cell r="B68" t="str">
            <v>福島コーティング</v>
          </cell>
          <cell r="C68" t="str">
            <v>プロセス材１課</v>
          </cell>
          <cell r="D68" t="str">
            <v>ダミー担当者</v>
          </cell>
          <cell r="E68" t="str">
            <v>リンテック㈱</v>
          </cell>
          <cell r="F68">
            <v>3</v>
          </cell>
          <cell r="G68" t="str">
            <v>S</v>
          </cell>
          <cell r="H68" t="str">
            <v>N</v>
          </cell>
          <cell r="I68" t="str">
            <v>MLB</v>
          </cell>
          <cell r="K68" t="str">
            <v>MNGKKBF</v>
          </cell>
          <cell r="L68">
            <v>50</v>
          </cell>
          <cell r="M68" t="str">
            <v>メタルミー　ネーマー銀消改　Ｂ</v>
          </cell>
          <cell r="N68">
            <v>1120</v>
          </cell>
          <cell r="O68">
            <v>1120</v>
          </cell>
          <cell r="P68">
            <v>4000</v>
          </cell>
          <cell r="Q68">
            <v>2</v>
          </cell>
        </row>
        <row r="69">
          <cell r="A69">
            <v>3671823</v>
          </cell>
          <cell r="B69" t="str">
            <v>福島コーティング</v>
          </cell>
          <cell r="C69" t="str">
            <v>プロセス材１課</v>
          </cell>
          <cell r="D69" t="str">
            <v>ダミー担当者</v>
          </cell>
          <cell r="E69" t="str">
            <v>リンテック㈱</v>
          </cell>
          <cell r="F69">
            <v>3</v>
          </cell>
          <cell r="G69" t="str">
            <v>S</v>
          </cell>
          <cell r="H69" t="str">
            <v>N</v>
          </cell>
          <cell r="I69" t="str">
            <v>MLB</v>
          </cell>
          <cell r="K69" t="str">
            <v>MNGKKBF</v>
          </cell>
          <cell r="L69">
            <v>50</v>
          </cell>
          <cell r="M69" t="str">
            <v>メタルミー　ネーマー銀消改　Ｂ</v>
          </cell>
          <cell r="N69">
            <v>1120</v>
          </cell>
          <cell r="O69">
            <v>1120</v>
          </cell>
          <cell r="P69">
            <v>4000</v>
          </cell>
          <cell r="Q69">
            <v>2</v>
          </cell>
        </row>
        <row r="70">
          <cell r="A70">
            <v>3671824</v>
          </cell>
          <cell r="B70" t="str">
            <v>福島コーティング</v>
          </cell>
          <cell r="C70" t="str">
            <v>プロセス材１課</v>
          </cell>
          <cell r="D70" t="str">
            <v>ダミー担当者</v>
          </cell>
          <cell r="E70" t="str">
            <v>リンテック㈱</v>
          </cell>
          <cell r="F70">
            <v>3</v>
          </cell>
          <cell r="G70" t="str">
            <v>S</v>
          </cell>
          <cell r="H70" t="str">
            <v>N</v>
          </cell>
          <cell r="I70" t="str">
            <v>MLB</v>
          </cell>
          <cell r="K70" t="str">
            <v>MNGKKBF</v>
          </cell>
          <cell r="L70">
            <v>50</v>
          </cell>
          <cell r="M70" t="str">
            <v>メタルミー　ネーマー銀消改　Ｂ</v>
          </cell>
          <cell r="N70">
            <v>1120</v>
          </cell>
          <cell r="O70">
            <v>1120</v>
          </cell>
          <cell r="P70">
            <v>4000</v>
          </cell>
          <cell r="Q70">
            <v>2</v>
          </cell>
        </row>
        <row r="71">
          <cell r="A71">
            <v>3671825</v>
          </cell>
          <cell r="B71" t="str">
            <v>福島コーティング</v>
          </cell>
          <cell r="C71" t="str">
            <v>プロセス材１課</v>
          </cell>
          <cell r="D71" t="str">
            <v>ダミー担当者</v>
          </cell>
          <cell r="E71" t="str">
            <v>リンテック㈱</v>
          </cell>
          <cell r="F71">
            <v>3</v>
          </cell>
          <cell r="G71" t="str">
            <v>S</v>
          </cell>
          <cell r="H71" t="str">
            <v>N</v>
          </cell>
          <cell r="I71" t="str">
            <v>MLB</v>
          </cell>
          <cell r="K71" t="str">
            <v>MNGKBF</v>
          </cell>
          <cell r="L71">
            <v>50</v>
          </cell>
          <cell r="M71" t="str">
            <v>メタルミー　ネーマー銀消　Ｂ</v>
          </cell>
          <cell r="N71">
            <v>1050</v>
          </cell>
          <cell r="O71">
            <v>1050</v>
          </cell>
          <cell r="P71">
            <v>4100</v>
          </cell>
          <cell r="Q71">
            <v>2</v>
          </cell>
        </row>
        <row r="72">
          <cell r="A72">
            <v>3671826</v>
          </cell>
          <cell r="B72" t="str">
            <v>福島コーティング</v>
          </cell>
          <cell r="C72" t="str">
            <v>プロセス材１課</v>
          </cell>
          <cell r="D72" t="str">
            <v>ダミー担当者</v>
          </cell>
          <cell r="E72" t="str">
            <v>リンテック㈱</v>
          </cell>
          <cell r="F72">
            <v>3</v>
          </cell>
          <cell r="G72" t="str">
            <v>S</v>
          </cell>
          <cell r="H72" t="str">
            <v>N</v>
          </cell>
          <cell r="I72" t="str">
            <v>MLB</v>
          </cell>
          <cell r="K72" t="str">
            <v>MNGKBF</v>
          </cell>
          <cell r="L72">
            <v>75</v>
          </cell>
          <cell r="M72" t="str">
            <v>メタルミー　ネーマー銀消　Ｂ</v>
          </cell>
          <cell r="N72">
            <v>1050</v>
          </cell>
          <cell r="O72">
            <v>1050</v>
          </cell>
          <cell r="P72">
            <v>2000</v>
          </cell>
          <cell r="Q72">
            <v>2</v>
          </cell>
        </row>
        <row r="73">
          <cell r="A73">
            <v>3671828</v>
          </cell>
          <cell r="B73" t="str">
            <v>福島コーティング</v>
          </cell>
          <cell r="C73" t="str">
            <v>プロセス材１課</v>
          </cell>
          <cell r="D73" t="str">
            <v>ダミー担当者</v>
          </cell>
          <cell r="E73" t="str">
            <v>リンテック㈱</v>
          </cell>
          <cell r="F73">
            <v>3</v>
          </cell>
          <cell r="G73" t="str">
            <v>S</v>
          </cell>
          <cell r="H73" t="str">
            <v>N</v>
          </cell>
          <cell r="I73" t="str">
            <v>MCLB</v>
          </cell>
          <cell r="K73" t="str">
            <v>NGKEYKB</v>
          </cell>
          <cell r="L73">
            <v>16</v>
          </cell>
          <cell r="M73" t="str">
            <v>メタルミー　ネーマー　ギンケシ　ＥＹＫＢ</v>
          </cell>
          <cell r="N73">
            <v>1005</v>
          </cell>
          <cell r="O73">
            <v>1005</v>
          </cell>
          <cell r="P73">
            <v>3000</v>
          </cell>
          <cell r="Q73">
            <v>2</v>
          </cell>
        </row>
        <row r="74">
          <cell r="A74">
            <v>3671829</v>
          </cell>
          <cell r="B74" t="str">
            <v>福島コーティング</v>
          </cell>
          <cell r="C74" t="str">
            <v>プロセス材１課</v>
          </cell>
          <cell r="D74" t="str">
            <v>ダミー担当者</v>
          </cell>
          <cell r="E74" t="str">
            <v>リンテック㈱</v>
          </cell>
          <cell r="F74">
            <v>3</v>
          </cell>
          <cell r="G74" t="str">
            <v>S</v>
          </cell>
          <cell r="H74" t="str">
            <v>N</v>
          </cell>
          <cell r="I74" t="str">
            <v>MLB</v>
          </cell>
          <cell r="K74" t="str">
            <v>MNGTBF</v>
          </cell>
          <cell r="L74">
            <v>25</v>
          </cell>
          <cell r="M74" t="str">
            <v>メタルミー　ネーマー　銀艶　Ｂ</v>
          </cell>
          <cell r="N74">
            <v>1005</v>
          </cell>
          <cell r="O74">
            <v>1000</v>
          </cell>
          <cell r="P74">
            <v>4000</v>
          </cell>
          <cell r="Q74">
            <v>2</v>
          </cell>
        </row>
        <row r="75">
          <cell r="A75">
            <v>3671830</v>
          </cell>
          <cell r="B75" t="str">
            <v>福島コーティング</v>
          </cell>
          <cell r="C75" t="str">
            <v>プロセス材１課</v>
          </cell>
          <cell r="D75" t="str">
            <v>ダミー担当者</v>
          </cell>
          <cell r="E75" t="str">
            <v>リンテック㈱</v>
          </cell>
          <cell r="F75">
            <v>3</v>
          </cell>
          <cell r="G75" t="str">
            <v>S</v>
          </cell>
          <cell r="H75" t="str">
            <v>N</v>
          </cell>
          <cell r="I75" t="str">
            <v>MLB</v>
          </cell>
          <cell r="K75" t="str">
            <v>MNGTBF</v>
          </cell>
          <cell r="L75">
            <v>50</v>
          </cell>
          <cell r="M75" t="str">
            <v>メタルミー　ネーマー　銀艶　Ｂ</v>
          </cell>
          <cell r="N75">
            <v>1120</v>
          </cell>
          <cell r="O75">
            <v>1120</v>
          </cell>
          <cell r="P75">
            <v>5000</v>
          </cell>
          <cell r="Q75">
            <v>2</v>
          </cell>
        </row>
        <row r="76">
          <cell r="A76">
            <v>3671831</v>
          </cell>
          <cell r="B76" t="str">
            <v>福島コーティング</v>
          </cell>
          <cell r="C76" t="str">
            <v>プロセス材１課</v>
          </cell>
          <cell r="D76" t="str">
            <v>ダミー担当者</v>
          </cell>
          <cell r="E76" t="str">
            <v>リンテック㈱</v>
          </cell>
          <cell r="F76">
            <v>3</v>
          </cell>
          <cell r="G76" t="str">
            <v>S</v>
          </cell>
          <cell r="H76" t="str">
            <v>N</v>
          </cell>
          <cell r="I76" t="str">
            <v>MLB</v>
          </cell>
          <cell r="K76" t="str">
            <v>MNGTBF</v>
          </cell>
          <cell r="L76">
            <v>50</v>
          </cell>
          <cell r="M76" t="str">
            <v>メタルミー　ネーマー　銀艶　Ｂ</v>
          </cell>
          <cell r="N76">
            <v>1120</v>
          </cell>
          <cell r="O76">
            <v>1120</v>
          </cell>
          <cell r="P76">
            <v>5000</v>
          </cell>
          <cell r="Q76">
            <v>2</v>
          </cell>
        </row>
        <row r="77">
          <cell r="A77">
            <v>3671832</v>
          </cell>
          <cell r="B77" t="str">
            <v>福島コーティング</v>
          </cell>
          <cell r="C77" t="str">
            <v>プロセス材１課</v>
          </cell>
          <cell r="D77" t="str">
            <v>ダミー担当者</v>
          </cell>
          <cell r="E77" t="str">
            <v>リンテック㈱</v>
          </cell>
          <cell r="F77">
            <v>3</v>
          </cell>
          <cell r="G77" t="str">
            <v>S</v>
          </cell>
          <cell r="H77" t="str">
            <v>N</v>
          </cell>
          <cell r="I77" t="str">
            <v>MLB</v>
          </cell>
          <cell r="K77" t="str">
            <v>MNGTBF</v>
          </cell>
          <cell r="L77">
            <v>50</v>
          </cell>
          <cell r="M77" t="str">
            <v>メタルミー　ネーマー　銀艶　Ｂ</v>
          </cell>
          <cell r="N77">
            <v>1120</v>
          </cell>
          <cell r="O77">
            <v>1120</v>
          </cell>
          <cell r="P77">
            <v>5000</v>
          </cell>
          <cell r="Q77">
            <v>2</v>
          </cell>
        </row>
        <row r="78">
          <cell r="A78">
            <v>3671833</v>
          </cell>
          <cell r="B78" t="str">
            <v>福島コーティング</v>
          </cell>
          <cell r="C78" t="str">
            <v>プロセス材１課</v>
          </cell>
          <cell r="D78" t="str">
            <v>ダミー担当者</v>
          </cell>
          <cell r="E78" t="str">
            <v>リンテック㈱</v>
          </cell>
          <cell r="F78">
            <v>3</v>
          </cell>
          <cell r="G78" t="str">
            <v>S</v>
          </cell>
          <cell r="H78" t="str">
            <v>N</v>
          </cell>
          <cell r="I78" t="str">
            <v>MLB</v>
          </cell>
          <cell r="K78" t="str">
            <v>MNGTBF</v>
          </cell>
          <cell r="L78">
            <v>50</v>
          </cell>
          <cell r="M78" t="str">
            <v>メタルミー　ネーマー　銀艶　Ｂ</v>
          </cell>
          <cell r="N78">
            <v>1120</v>
          </cell>
          <cell r="O78">
            <v>1120</v>
          </cell>
          <cell r="P78">
            <v>5000</v>
          </cell>
          <cell r="Q78">
            <v>2</v>
          </cell>
        </row>
        <row r="79">
          <cell r="A79">
            <v>3671834</v>
          </cell>
          <cell r="B79" t="str">
            <v>福島コーティング</v>
          </cell>
          <cell r="C79" t="str">
            <v>プロセス材１課</v>
          </cell>
          <cell r="D79" t="str">
            <v>ダミー担当者</v>
          </cell>
          <cell r="E79" t="str">
            <v>リンテック㈱</v>
          </cell>
          <cell r="F79">
            <v>3</v>
          </cell>
          <cell r="G79" t="str">
            <v>S</v>
          </cell>
          <cell r="H79" t="str">
            <v>N</v>
          </cell>
          <cell r="I79" t="str">
            <v>MLB</v>
          </cell>
          <cell r="K79" t="str">
            <v>MNNGKBF</v>
          </cell>
          <cell r="L79">
            <v>25</v>
          </cell>
          <cell r="M79" t="str">
            <v>メタルミー　ニューネーマー銀消　Ｂ</v>
          </cell>
          <cell r="N79">
            <v>1005</v>
          </cell>
          <cell r="O79">
            <v>1000</v>
          </cell>
          <cell r="P79">
            <v>4000</v>
          </cell>
          <cell r="Q79">
            <v>2</v>
          </cell>
        </row>
        <row r="80">
          <cell r="A80">
            <v>3671835</v>
          </cell>
          <cell r="B80" t="str">
            <v>福島コーティング</v>
          </cell>
          <cell r="C80" t="str">
            <v>プロセス材１課</v>
          </cell>
          <cell r="D80" t="str">
            <v>ダミー担当者</v>
          </cell>
          <cell r="E80" t="str">
            <v>リンテック㈱</v>
          </cell>
          <cell r="F80">
            <v>3</v>
          </cell>
          <cell r="G80" t="str">
            <v>S</v>
          </cell>
          <cell r="H80" t="str">
            <v>N</v>
          </cell>
          <cell r="I80" t="str">
            <v>MLB</v>
          </cell>
          <cell r="K80" t="str">
            <v>MNNGKBF</v>
          </cell>
          <cell r="L80">
            <v>50</v>
          </cell>
          <cell r="M80" t="str">
            <v>メタルミー　ニューネーマー銀消　Ｂ</v>
          </cell>
          <cell r="N80">
            <v>1000</v>
          </cell>
          <cell r="O80">
            <v>1000</v>
          </cell>
          <cell r="P80">
            <v>4000</v>
          </cell>
          <cell r="Q80">
            <v>2</v>
          </cell>
        </row>
        <row r="81">
          <cell r="A81">
            <v>3671836</v>
          </cell>
          <cell r="B81" t="str">
            <v>福島コーティング</v>
          </cell>
          <cell r="C81" t="str">
            <v>プロセス材１課</v>
          </cell>
          <cell r="D81" t="str">
            <v>ダミー担当者</v>
          </cell>
          <cell r="E81" t="str">
            <v>リンテック㈱</v>
          </cell>
          <cell r="F81" t="str">
            <v>33S</v>
          </cell>
          <cell r="G81" t="str">
            <v>S</v>
          </cell>
          <cell r="H81" t="str">
            <v>N</v>
          </cell>
          <cell r="I81" t="str">
            <v>MCLB</v>
          </cell>
          <cell r="K81" t="str">
            <v>TEKKFV</v>
          </cell>
          <cell r="L81">
            <v>50</v>
          </cell>
          <cell r="M81" t="str">
            <v>メタルミー　ＴＥＳ消開封　Ｖ</v>
          </cell>
          <cell r="N81">
            <v>1005</v>
          </cell>
          <cell r="O81">
            <v>1000</v>
          </cell>
          <cell r="P81">
            <v>4000</v>
          </cell>
          <cell r="Q81">
            <v>2</v>
          </cell>
        </row>
        <row r="82">
          <cell r="A82">
            <v>3671837</v>
          </cell>
          <cell r="B82" t="str">
            <v>福島コーティング</v>
          </cell>
          <cell r="C82" t="str">
            <v>プロセス材１課</v>
          </cell>
          <cell r="D82" t="str">
            <v>ダミー担当者</v>
          </cell>
          <cell r="E82" t="str">
            <v>リンテック㈱</v>
          </cell>
          <cell r="F82" t="str">
            <v>33S</v>
          </cell>
          <cell r="G82" t="str">
            <v>S</v>
          </cell>
          <cell r="H82" t="str">
            <v>N</v>
          </cell>
          <cell r="I82" t="str">
            <v>MCLB</v>
          </cell>
          <cell r="K82" t="str">
            <v>TETKFV</v>
          </cell>
          <cell r="L82">
            <v>50</v>
          </cell>
          <cell r="M82" t="str">
            <v>メタルミー　ＴＥＳ艶開封　Ｖ</v>
          </cell>
          <cell r="N82">
            <v>1005</v>
          </cell>
          <cell r="O82">
            <v>1000</v>
          </cell>
          <cell r="P82">
            <v>4000</v>
          </cell>
          <cell r="Q82">
            <v>2</v>
          </cell>
        </row>
        <row r="83">
          <cell r="A83">
            <v>3671838</v>
          </cell>
          <cell r="B83" t="str">
            <v>福島コーティング</v>
          </cell>
          <cell r="C83" t="str">
            <v>プロセス材１課</v>
          </cell>
          <cell r="D83" t="str">
            <v>ダミー担当者</v>
          </cell>
          <cell r="E83" t="str">
            <v>リンテック㈱</v>
          </cell>
          <cell r="F83">
            <v>3</v>
          </cell>
          <cell r="G83" t="str">
            <v>S</v>
          </cell>
          <cell r="H83" t="str">
            <v>N</v>
          </cell>
          <cell r="I83" t="str">
            <v>MCLB</v>
          </cell>
          <cell r="K83" t="str">
            <v>DMSV</v>
          </cell>
          <cell r="L83">
            <v>50</v>
          </cell>
          <cell r="M83" t="str">
            <v>ＤＭＳ　Ｖ</v>
          </cell>
          <cell r="N83">
            <v>1005</v>
          </cell>
          <cell r="O83">
            <v>1000</v>
          </cell>
          <cell r="P83">
            <v>2000</v>
          </cell>
          <cell r="Q83">
            <v>2</v>
          </cell>
        </row>
        <row r="84">
          <cell r="A84">
            <v>3671839</v>
          </cell>
          <cell r="B84" t="str">
            <v>福島コーティング</v>
          </cell>
          <cell r="C84" t="str">
            <v>プロセス材１課</v>
          </cell>
          <cell r="D84" t="str">
            <v>ダミー担当者</v>
          </cell>
          <cell r="E84" t="str">
            <v>リンテック㈱</v>
          </cell>
          <cell r="F84">
            <v>3</v>
          </cell>
          <cell r="G84" t="str">
            <v>S</v>
          </cell>
          <cell r="H84" t="str">
            <v>N</v>
          </cell>
          <cell r="I84" t="str">
            <v>MCLB</v>
          </cell>
          <cell r="K84" t="str">
            <v>HLGKJV</v>
          </cell>
          <cell r="L84">
            <v>50</v>
          </cell>
          <cell r="M84" t="str">
            <v>メタルミー　ヘヤライン　銀消Ｖ</v>
          </cell>
          <cell r="N84">
            <v>1005</v>
          </cell>
          <cell r="O84">
            <v>1000</v>
          </cell>
          <cell r="P84">
            <v>2000</v>
          </cell>
          <cell r="Q84">
            <v>2</v>
          </cell>
        </row>
        <row r="85">
          <cell r="A85">
            <v>3671840</v>
          </cell>
          <cell r="B85" t="str">
            <v>福島コーティング</v>
          </cell>
          <cell r="C85" t="str">
            <v>プロセス材１課</v>
          </cell>
          <cell r="D85" t="str">
            <v>ダミー担当者</v>
          </cell>
          <cell r="E85" t="str">
            <v>リンテック㈱</v>
          </cell>
          <cell r="F85">
            <v>3</v>
          </cell>
          <cell r="G85" t="str">
            <v>S</v>
          </cell>
          <cell r="H85" t="str">
            <v>N</v>
          </cell>
          <cell r="I85" t="str">
            <v>MCLB</v>
          </cell>
          <cell r="K85" t="str">
            <v>HLGTV</v>
          </cell>
          <cell r="L85">
            <v>50</v>
          </cell>
          <cell r="M85" t="str">
            <v>メタルミー　ヘヤライン　銀艶Ｖ</v>
          </cell>
          <cell r="N85">
            <v>1005</v>
          </cell>
          <cell r="O85">
            <v>1000</v>
          </cell>
          <cell r="P85">
            <v>4000</v>
          </cell>
          <cell r="Q85">
            <v>2</v>
          </cell>
        </row>
        <row r="86">
          <cell r="A86">
            <v>3671841</v>
          </cell>
          <cell r="B86" t="str">
            <v>福島コーティング</v>
          </cell>
          <cell r="C86" t="str">
            <v>プロセス材１課</v>
          </cell>
          <cell r="D86" t="str">
            <v>ダミー担当者</v>
          </cell>
          <cell r="E86" t="str">
            <v>リンテック㈱</v>
          </cell>
          <cell r="F86">
            <v>3</v>
          </cell>
          <cell r="G86" t="str">
            <v>S</v>
          </cell>
          <cell r="H86" t="str">
            <v>N</v>
          </cell>
          <cell r="I86" t="str">
            <v>CLB</v>
          </cell>
          <cell r="K86" t="str">
            <v>LMEYK</v>
          </cell>
          <cell r="L86">
            <v>38</v>
          </cell>
          <cell r="M86" t="str">
            <v>ルミマットＥＹＫ</v>
          </cell>
          <cell r="N86">
            <v>1005</v>
          </cell>
          <cell r="O86">
            <v>1000</v>
          </cell>
          <cell r="P86">
            <v>4000</v>
          </cell>
          <cell r="Q86">
            <v>2</v>
          </cell>
        </row>
        <row r="87">
          <cell r="A87">
            <v>3671842</v>
          </cell>
          <cell r="B87" t="str">
            <v>福島コーティング</v>
          </cell>
          <cell r="C87" t="str">
            <v>プロセス材１課</v>
          </cell>
          <cell r="D87" t="str">
            <v>ダミー担当者</v>
          </cell>
          <cell r="E87" t="str">
            <v>リンテック㈱</v>
          </cell>
          <cell r="F87">
            <v>3</v>
          </cell>
          <cell r="G87" t="str">
            <v>S</v>
          </cell>
          <cell r="H87" t="str">
            <v>Y</v>
          </cell>
          <cell r="I87" t="str">
            <v>MLB</v>
          </cell>
          <cell r="K87" t="str">
            <v>MSSMBF</v>
          </cell>
          <cell r="L87">
            <v>50</v>
          </cell>
          <cell r="M87" t="str">
            <v>ＭＥＴＡＬＵＭＹ　ＳＩＬＶＥＲ　Ｓ－ＭＡＴＴＥ　Ｓ２８ＭＭ　Ｂ</v>
          </cell>
          <cell r="N87">
            <v>1120</v>
          </cell>
          <cell r="O87">
            <v>1120</v>
          </cell>
          <cell r="P87">
            <v>4000</v>
          </cell>
          <cell r="Q87">
            <v>2</v>
          </cell>
        </row>
        <row r="88">
          <cell r="A88">
            <v>3671843</v>
          </cell>
          <cell r="B88" t="str">
            <v>福島コーティング</v>
          </cell>
          <cell r="C88" t="str">
            <v>プロセス材１課</v>
          </cell>
          <cell r="D88" t="str">
            <v>ダミー担当者</v>
          </cell>
          <cell r="E88" t="str">
            <v>リンテック㈱</v>
          </cell>
          <cell r="F88">
            <v>3</v>
          </cell>
          <cell r="G88" t="str">
            <v>S</v>
          </cell>
          <cell r="H88" t="str">
            <v>Y</v>
          </cell>
          <cell r="I88" t="str">
            <v>MLB</v>
          </cell>
          <cell r="K88" t="str">
            <v>MSSMBF</v>
          </cell>
          <cell r="L88">
            <v>25</v>
          </cell>
          <cell r="M88" t="str">
            <v>ＭＥＴＡＬＵＭＹ　ＳＩＬＶＥＲ　Ｓ－ＭＡＴＴＥ　Ｓ２８ＭＭ　Ｂ</v>
          </cell>
          <cell r="N88">
            <v>1120</v>
          </cell>
          <cell r="O88">
            <v>1120</v>
          </cell>
          <cell r="P88">
            <v>8000</v>
          </cell>
          <cell r="Q88">
            <v>2</v>
          </cell>
        </row>
        <row r="89">
          <cell r="A89">
            <v>3671844</v>
          </cell>
          <cell r="B89" t="str">
            <v>福島コーティング</v>
          </cell>
          <cell r="C89" t="str">
            <v>プロセス材１課</v>
          </cell>
          <cell r="D89" t="str">
            <v>ダミー担当者</v>
          </cell>
          <cell r="E89" t="str">
            <v>リンテック㈱</v>
          </cell>
          <cell r="F89">
            <v>3</v>
          </cell>
          <cell r="G89" t="str">
            <v>S</v>
          </cell>
          <cell r="H89" t="str">
            <v>Y</v>
          </cell>
          <cell r="I89" t="str">
            <v>MLB</v>
          </cell>
          <cell r="K89" t="str">
            <v>MSNMBZF</v>
          </cell>
          <cell r="L89">
            <v>50</v>
          </cell>
          <cell r="M89" t="str">
            <v>ＭＥＴＡＬＵＭＹ　ＳＩＬＶＥＲ　Ｎ－ＭＡＴＴＥ　Ｂ</v>
          </cell>
          <cell r="N89">
            <v>1120</v>
          </cell>
          <cell r="O89">
            <v>1120</v>
          </cell>
          <cell r="P89">
            <v>4000</v>
          </cell>
          <cell r="Q89">
            <v>2</v>
          </cell>
        </row>
        <row r="90">
          <cell r="A90">
            <v>3671845</v>
          </cell>
          <cell r="B90" t="str">
            <v>福島コーティング</v>
          </cell>
          <cell r="C90" t="str">
            <v>プロセス材１課</v>
          </cell>
          <cell r="D90" t="str">
            <v>ダミー担当者</v>
          </cell>
          <cell r="E90" t="str">
            <v>リンテック㈱</v>
          </cell>
          <cell r="F90">
            <v>3</v>
          </cell>
          <cell r="G90" t="str">
            <v>S</v>
          </cell>
          <cell r="H90" t="str">
            <v>Y</v>
          </cell>
          <cell r="I90" t="str">
            <v>MLB</v>
          </cell>
          <cell r="K90" t="str">
            <v>MSBBF</v>
          </cell>
          <cell r="L90">
            <v>25</v>
          </cell>
          <cell r="M90" t="str">
            <v>ＭＥＴＡＬＵＭＹ　ＳＩＬＶＥＲ　ＢＲＩＧＨＴ　Ｔ６２Ｍ　Ｂ</v>
          </cell>
          <cell r="N90">
            <v>1120</v>
          </cell>
          <cell r="O90">
            <v>1120</v>
          </cell>
          <cell r="P90">
            <v>8000</v>
          </cell>
          <cell r="Q90">
            <v>2</v>
          </cell>
        </row>
        <row r="91">
          <cell r="A91">
            <v>3671846</v>
          </cell>
          <cell r="B91" t="str">
            <v>福島コーティング</v>
          </cell>
          <cell r="C91" t="str">
            <v>プロセス材１課</v>
          </cell>
          <cell r="D91" t="str">
            <v>ダミー担当者</v>
          </cell>
          <cell r="E91" t="str">
            <v>リンテック㈱</v>
          </cell>
          <cell r="F91">
            <v>3</v>
          </cell>
          <cell r="G91" t="str">
            <v>S</v>
          </cell>
          <cell r="H91" t="str">
            <v>Y</v>
          </cell>
          <cell r="I91" t="str">
            <v>MLB</v>
          </cell>
          <cell r="K91" t="str">
            <v>MSBBF</v>
          </cell>
          <cell r="L91">
            <v>50</v>
          </cell>
          <cell r="M91" t="str">
            <v>ＭＥＴＡＬＵＭＹ　ＳＩＬＶＥＲ　ＢＲＩＧＨＴ　Ｔ６２Ｍ　Ｂ</v>
          </cell>
          <cell r="N91">
            <v>1120</v>
          </cell>
          <cell r="O91">
            <v>1120</v>
          </cell>
          <cell r="P91">
            <v>5000</v>
          </cell>
          <cell r="Q91">
            <v>2</v>
          </cell>
        </row>
        <row r="92">
          <cell r="A92">
            <v>3672286</v>
          </cell>
          <cell r="B92" t="str">
            <v>機能Ｆ　ラベル福島開</v>
          </cell>
          <cell r="C92" t="str">
            <v>プロセス材２課</v>
          </cell>
          <cell r="D92" t="str">
            <v>ダミー担当者</v>
          </cell>
          <cell r="E92" t="str">
            <v>栃木カネカ㈱電材検査</v>
          </cell>
          <cell r="F92">
            <v>3</v>
          </cell>
          <cell r="G92" t="str">
            <v>U</v>
          </cell>
          <cell r="H92" t="str">
            <v>N</v>
          </cell>
          <cell r="I92" t="str">
            <v>MLB</v>
          </cell>
          <cell r="K92" t="str">
            <v>KF9BF</v>
          </cell>
          <cell r="L92">
            <v>9</v>
          </cell>
          <cell r="M92" t="str">
            <v>ＫＦ－９Ｂ</v>
          </cell>
          <cell r="N92">
            <v>1360</v>
          </cell>
          <cell r="O92">
            <v>1360</v>
          </cell>
          <cell r="P92">
            <v>2100</v>
          </cell>
          <cell r="Q92">
            <v>2</v>
          </cell>
        </row>
        <row r="93">
          <cell r="A93">
            <v>3672431</v>
          </cell>
          <cell r="B93" t="str">
            <v>機能Ｆ　ラベル福島開</v>
          </cell>
          <cell r="C93" t="str">
            <v>プロセス材２課</v>
          </cell>
          <cell r="D93" t="str">
            <v>ダミー担当者</v>
          </cell>
          <cell r="E93" t="str">
            <v>栃木カネカ㈱電材検査</v>
          </cell>
          <cell r="F93">
            <v>3</v>
          </cell>
          <cell r="G93" t="str">
            <v>U</v>
          </cell>
          <cell r="H93" t="str">
            <v>N</v>
          </cell>
          <cell r="I93" t="str">
            <v>MLB</v>
          </cell>
          <cell r="K93" t="str">
            <v>KF9BF</v>
          </cell>
          <cell r="L93">
            <v>9</v>
          </cell>
          <cell r="M93" t="str">
            <v>ＫＦ－９Ｂ</v>
          </cell>
          <cell r="N93">
            <v>1200</v>
          </cell>
          <cell r="O93">
            <v>1200</v>
          </cell>
          <cell r="P93">
            <v>2000</v>
          </cell>
          <cell r="Q93">
            <v>2</v>
          </cell>
        </row>
        <row r="94">
          <cell r="A94">
            <v>3673085</v>
          </cell>
          <cell r="B94" t="str">
            <v>機能Ｆ　ラベル福島原</v>
          </cell>
          <cell r="C94" t="str">
            <v>プロセス材１課</v>
          </cell>
          <cell r="D94" t="str">
            <v>ダミー担当者</v>
          </cell>
          <cell r="E94" t="str">
            <v>リンテック㈱</v>
          </cell>
          <cell r="F94">
            <v>3</v>
          </cell>
          <cell r="G94" t="str">
            <v>T</v>
          </cell>
          <cell r="H94" t="str">
            <v>N</v>
          </cell>
          <cell r="I94" t="str">
            <v>MCLB</v>
          </cell>
          <cell r="K94" t="str">
            <v>HLKTV</v>
          </cell>
          <cell r="L94">
            <v>25</v>
          </cell>
          <cell r="M94" t="str">
            <v>メタルミー　ヘヤライン金艶　Ｖ</v>
          </cell>
          <cell r="N94">
            <v>1000</v>
          </cell>
          <cell r="O94">
            <v>1000</v>
          </cell>
          <cell r="P94">
            <v>2000</v>
          </cell>
          <cell r="Q94">
            <v>2</v>
          </cell>
        </row>
        <row r="95">
          <cell r="A95">
            <v>3673409</v>
          </cell>
          <cell r="B95" t="str">
            <v>福島コーティング</v>
          </cell>
          <cell r="C95" t="str">
            <v>プロセス材１課</v>
          </cell>
          <cell r="D95" t="str">
            <v>ダミー担当者</v>
          </cell>
          <cell r="E95" t="str">
            <v>リンテック㈱</v>
          </cell>
          <cell r="F95">
            <v>3</v>
          </cell>
          <cell r="G95" t="str">
            <v>S</v>
          </cell>
          <cell r="H95" t="str">
            <v>N</v>
          </cell>
          <cell r="I95" t="str">
            <v>MLB</v>
          </cell>
          <cell r="K95" t="str">
            <v>MNQR66F</v>
          </cell>
          <cell r="L95">
            <v>25</v>
          </cell>
          <cell r="M95" t="str">
            <v>ＱＲ６６蒸着品</v>
          </cell>
          <cell r="N95">
            <v>1100</v>
          </cell>
          <cell r="O95">
            <v>1100</v>
          </cell>
          <cell r="P95">
            <v>6000</v>
          </cell>
          <cell r="Q95">
            <v>2</v>
          </cell>
        </row>
        <row r="96">
          <cell r="A96">
            <v>3674223</v>
          </cell>
          <cell r="B96" t="str">
            <v>機能Ｆ　ラベル福島原</v>
          </cell>
          <cell r="C96" t="str">
            <v>プロセス材１課</v>
          </cell>
          <cell r="D96" t="str">
            <v>ダミー担当者</v>
          </cell>
          <cell r="E96" t="str">
            <v>リンテック㈱</v>
          </cell>
          <cell r="F96">
            <v>3</v>
          </cell>
          <cell r="G96" t="str">
            <v>T</v>
          </cell>
          <cell r="H96" t="str">
            <v>N</v>
          </cell>
          <cell r="I96" t="str">
            <v>MCLB</v>
          </cell>
          <cell r="K96" t="str">
            <v>HLKTV</v>
          </cell>
          <cell r="L96">
            <v>50</v>
          </cell>
          <cell r="M96" t="str">
            <v>メタルミー　ヘヤライン金艶Ｖ</v>
          </cell>
          <cell r="N96">
            <v>1000</v>
          </cell>
          <cell r="O96">
            <v>1000</v>
          </cell>
          <cell r="P96">
            <v>1700</v>
          </cell>
          <cell r="Q96">
            <v>2</v>
          </cell>
        </row>
        <row r="97">
          <cell r="A97">
            <v>3674224</v>
          </cell>
          <cell r="B97" t="str">
            <v>機能Ｆ　ラベル福島原</v>
          </cell>
          <cell r="C97" t="str">
            <v>プロセス材１課</v>
          </cell>
          <cell r="D97" t="str">
            <v>ダミー担当者</v>
          </cell>
          <cell r="E97" t="str">
            <v>リンテック㈱</v>
          </cell>
          <cell r="F97">
            <v>3</v>
          </cell>
          <cell r="G97" t="str">
            <v>T</v>
          </cell>
          <cell r="H97" t="str">
            <v>N</v>
          </cell>
          <cell r="I97" t="str">
            <v>MCLB</v>
          </cell>
          <cell r="K97" t="str">
            <v>HLKTV</v>
          </cell>
          <cell r="L97">
            <v>50</v>
          </cell>
          <cell r="M97" t="str">
            <v>メタルミー　ヘヤライン金艶Ｖ</v>
          </cell>
          <cell r="N97">
            <v>1000</v>
          </cell>
          <cell r="O97">
            <v>1000</v>
          </cell>
          <cell r="P97">
            <v>1800</v>
          </cell>
          <cell r="Q97">
            <v>2</v>
          </cell>
        </row>
        <row r="98">
          <cell r="A98">
            <v>3674225</v>
          </cell>
          <cell r="B98" t="str">
            <v>機能Ｆ　ラベル福島原</v>
          </cell>
          <cell r="C98" t="str">
            <v>プロセス材１課</v>
          </cell>
          <cell r="D98" t="str">
            <v>ダミー担当者</v>
          </cell>
          <cell r="E98" t="str">
            <v>リンテック㈱</v>
          </cell>
          <cell r="F98">
            <v>3</v>
          </cell>
          <cell r="G98" t="str">
            <v>T</v>
          </cell>
          <cell r="H98" t="str">
            <v>N</v>
          </cell>
          <cell r="I98" t="str">
            <v>MCLB</v>
          </cell>
          <cell r="K98" t="str">
            <v>HLDTV</v>
          </cell>
          <cell r="L98">
            <v>50</v>
          </cell>
          <cell r="M98" t="str">
            <v>メタルミー　ＨＬ銅艶　Ｖ</v>
          </cell>
          <cell r="N98">
            <v>1000</v>
          </cell>
          <cell r="O98">
            <v>1000</v>
          </cell>
          <cell r="P98">
            <v>1700</v>
          </cell>
          <cell r="Q98">
            <v>2</v>
          </cell>
        </row>
        <row r="99">
          <cell r="A99">
            <v>3674505</v>
          </cell>
          <cell r="B99" t="str">
            <v>福島コーティング</v>
          </cell>
          <cell r="C99" t="str">
            <v>プロセス材１課</v>
          </cell>
          <cell r="D99" t="str">
            <v>ダミー担当者</v>
          </cell>
          <cell r="E99" t="str">
            <v>リンテック㈱</v>
          </cell>
          <cell r="F99">
            <v>3</v>
          </cell>
          <cell r="G99" t="str">
            <v>S</v>
          </cell>
          <cell r="H99" t="str">
            <v>N</v>
          </cell>
          <cell r="I99" t="str">
            <v>MLB</v>
          </cell>
          <cell r="K99" t="str">
            <v>MNGTBF</v>
          </cell>
          <cell r="L99">
            <v>25</v>
          </cell>
          <cell r="M99" t="str">
            <v>メタルミー　ネーマー　銀艶　Ｂ</v>
          </cell>
          <cell r="N99">
            <v>1005</v>
          </cell>
          <cell r="O99">
            <v>1000</v>
          </cell>
          <cell r="P99">
            <v>4000</v>
          </cell>
          <cell r="Q99">
            <v>2</v>
          </cell>
        </row>
        <row r="100">
          <cell r="A100">
            <v>3674861</v>
          </cell>
          <cell r="B100" t="str">
            <v>福島コーティング</v>
          </cell>
          <cell r="C100" t="str">
            <v>プロセス材２課</v>
          </cell>
          <cell r="D100" t="str">
            <v>ダミー担当者</v>
          </cell>
          <cell r="E100" t="str">
            <v>大阪シーリング印刷㈱</v>
          </cell>
          <cell r="F100">
            <v>3</v>
          </cell>
          <cell r="G100" t="str">
            <v>S</v>
          </cell>
          <cell r="H100" t="str">
            <v>N</v>
          </cell>
          <cell r="I100" t="str">
            <v>MCLB</v>
          </cell>
          <cell r="K100" t="str">
            <v>MSNEYK</v>
          </cell>
          <cell r="L100">
            <v>50</v>
          </cell>
          <cell r="M100" t="str">
            <v>ＭＳＮ　ＥＹＫ</v>
          </cell>
          <cell r="N100">
            <v>1200</v>
          </cell>
          <cell r="O100">
            <v>1190</v>
          </cell>
          <cell r="P100">
            <v>6000</v>
          </cell>
          <cell r="Q100">
            <v>2</v>
          </cell>
        </row>
        <row r="101">
          <cell r="A101">
            <v>3674862</v>
          </cell>
          <cell r="B101" t="str">
            <v>福島コーティング</v>
          </cell>
          <cell r="C101" t="str">
            <v>プロセス材２課</v>
          </cell>
          <cell r="D101" t="str">
            <v>ダミー担当者</v>
          </cell>
          <cell r="E101" t="str">
            <v>新タック化成㈱</v>
          </cell>
          <cell r="F101">
            <v>3</v>
          </cell>
          <cell r="G101" t="str">
            <v>S</v>
          </cell>
          <cell r="H101" t="str">
            <v>N</v>
          </cell>
          <cell r="I101" t="str">
            <v>MCLB</v>
          </cell>
          <cell r="K101" t="str">
            <v>MSNEYK</v>
          </cell>
          <cell r="L101">
            <v>50</v>
          </cell>
          <cell r="M101" t="str">
            <v>ＭＳＮ　ＥＹＫ</v>
          </cell>
          <cell r="N101">
            <v>1120</v>
          </cell>
          <cell r="O101">
            <v>1120</v>
          </cell>
          <cell r="P101">
            <v>4000</v>
          </cell>
          <cell r="Q101">
            <v>2</v>
          </cell>
        </row>
        <row r="102">
          <cell r="A102">
            <v>3675619</v>
          </cell>
          <cell r="B102" t="str">
            <v>福島コーティング</v>
          </cell>
          <cell r="C102" t="str">
            <v>工材１部電材課</v>
          </cell>
          <cell r="D102" t="str">
            <v>ダミー担当者</v>
          </cell>
          <cell r="E102" t="str">
            <v>パナック㈱亀山工場</v>
          </cell>
          <cell r="F102">
            <v>3</v>
          </cell>
          <cell r="G102" t="str">
            <v>S</v>
          </cell>
          <cell r="H102" t="str">
            <v>N</v>
          </cell>
          <cell r="I102" t="str">
            <v>MLB</v>
          </cell>
          <cell r="K102" t="str">
            <v>MTSF</v>
          </cell>
          <cell r="L102">
            <v>50</v>
          </cell>
          <cell r="M102" t="str">
            <v>メタルミー　ＴＳ</v>
          </cell>
          <cell r="N102">
            <v>1000</v>
          </cell>
          <cell r="O102">
            <v>1000</v>
          </cell>
          <cell r="P102">
            <v>1000</v>
          </cell>
          <cell r="Q102">
            <v>2</v>
          </cell>
        </row>
        <row r="103">
          <cell r="A103">
            <v>3675620</v>
          </cell>
          <cell r="B103" t="str">
            <v>福島コーティング</v>
          </cell>
          <cell r="C103" t="str">
            <v>工材１部大阪電材課</v>
          </cell>
          <cell r="D103" t="str">
            <v>ダミー担当者</v>
          </cell>
          <cell r="E103" t="str">
            <v>日東電工㈱豊橋工場</v>
          </cell>
          <cell r="F103">
            <v>3</v>
          </cell>
          <cell r="G103" t="str">
            <v>S</v>
          </cell>
          <cell r="H103" t="str">
            <v>N</v>
          </cell>
          <cell r="I103" t="str">
            <v>MLB</v>
          </cell>
          <cell r="K103" t="str">
            <v>MTSF</v>
          </cell>
          <cell r="L103">
            <v>50</v>
          </cell>
          <cell r="M103" t="str">
            <v>メタルミー　ＴＳ</v>
          </cell>
          <cell r="N103">
            <v>1255</v>
          </cell>
          <cell r="O103">
            <v>1250</v>
          </cell>
          <cell r="P103">
            <v>2000</v>
          </cell>
          <cell r="Q103">
            <v>2</v>
          </cell>
        </row>
        <row r="104">
          <cell r="A104">
            <v>3675622</v>
          </cell>
          <cell r="B104" t="str">
            <v>福島コーティング</v>
          </cell>
          <cell r="C104" t="str">
            <v>プロセス材２課</v>
          </cell>
          <cell r="D104" t="str">
            <v>ダミー担当者</v>
          </cell>
          <cell r="E104" t="str">
            <v>大阪シーリング印刷㈱</v>
          </cell>
          <cell r="F104" t="str">
            <v>3H</v>
          </cell>
          <cell r="G104" t="str">
            <v>S</v>
          </cell>
          <cell r="H104" t="str">
            <v>N</v>
          </cell>
          <cell r="I104" t="str">
            <v>MCLB</v>
          </cell>
          <cell r="K104" t="str">
            <v>EYK</v>
          </cell>
          <cell r="L104">
            <v>50</v>
          </cell>
          <cell r="M104" t="str">
            <v>メタルミー　ＥＹＫ</v>
          </cell>
          <cell r="N104">
            <v>1190</v>
          </cell>
          <cell r="O104">
            <v>1190</v>
          </cell>
          <cell r="P104">
            <v>6000</v>
          </cell>
          <cell r="Q104">
            <v>2</v>
          </cell>
        </row>
        <row r="105">
          <cell r="A105">
            <v>3675623</v>
          </cell>
          <cell r="B105" t="str">
            <v>福島コーティング</v>
          </cell>
          <cell r="C105" t="str">
            <v>プロセス材２課</v>
          </cell>
          <cell r="D105" t="str">
            <v>ダミー担当者</v>
          </cell>
          <cell r="E105" t="str">
            <v>大阪シーリング印刷㈱</v>
          </cell>
          <cell r="F105">
            <v>3</v>
          </cell>
          <cell r="G105" t="str">
            <v>S</v>
          </cell>
          <cell r="H105" t="str">
            <v>N</v>
          </cell>
          <cell r="I105" t="str">
            <v>MCLB</v>
          </cell>
          <cell r="K105" t="str">
            <v>MSNEYK</v>
          </cell>
          <cell r="L105">
            <v>50</v>
          </cell>
          <cell r="M105" t="str">
            <v>ＭＳＮ　ＥＹＫ</v>
          </cell>
          <cell r="N105">
            <v>1200</v>
          </cell>
          <cell r="O105">
            <v>1190</v>
          </cell>
          <cell r="P105">
            <v>6000</v>
          </cell>
          <cell r="Q105">
            <v>2</v>
          </cell>
        </row>
        <row r="106">
          <cell r="A106">
            <v>3675625</v>
          </cell>
          <cell r="B106" t="str">
            <v>福島コーティング</v>
          </cell>
          <cell r="C106" t="str">
            <v>プロセス材２課</v>
          </cell>
          <cell r="D106" t="str">
            <v>ダミー担当者</v>
          </cell>
          <cell r="E106" t="str">
            <v>新タック化成㈱</v>
          </cell>
          <cell r="F106">
            <v>3</v>
          </cell>
          <cell r="G106" t="str">
            <v>S</v>
          </cell>
          <cell r="H106" t="str">
            <v>N</v>
          </cell>
          <cell r="I106" t="str">
            <v>CLB</v>
          </cell>
          <cell r="K106" t="str">
            <v>LEYK</v>
          </cell>
          <cell r="L106">
            <v>50</v>
          </cell>
          <cell r="M106" t="str">
            <v>ルミラー　ＥＹＫ</v>
          </cell>
          <cell r="N106">
            <v>1120</v>
          </cell>
          <cell r="O106">
            <v>1120</v>
          </cell>
          <cell r="P106">
            <v>6000</v>
          </cell>
          <cell r="Q106">
            <v>2</v>
          </cell>
        </row>
        <row r="107">
          <cell r="A107">
            <v>3675626</v>
          </cell>
          <cell r="B107" t="str">
            <v>福島コーティング</v>
          </cell>
          <cell r="C107" t="str">
            <v>プロセス材２課</v>
          </cell>
          <cell r="D107" t="str">
            <v>ダミー担当者</v>
          </cell>
          <cell r="E107" t="str">
            <v>新タック化成㈱</v>
          </cell>
          <cell r="F107">
            <v>3</v>
          </cell>
          <cell r="G107" t="str">
            <v>S</v>
          </cell>
          <cell r="H107" t="str">
            <v>N</v>
          </cell>
          <cell r="I107" t="str">
            <v>MCLB</v>
          </cell>
          <cell r="K107" t="str">
            <v>EYK</v>
          </cell>
          <cell r="L107">
            <v>50</v>
          </cell>
          <cell r="M107" t="str">
            <v>メタルミー　ＥＹＫ</v>
          </cell>
          <cell r="N107">
            <v>1120</v>
          </cell>
          <cell r="O107">
            <v>1120</v>
          </cell>
          <cell r="P107">
            <v>6000</v>
          </cell>
          <cell r="Q107">
            <v>2</v>
          </cell>
        </row>
        <row r="108">
          <cell r="A108">
            <v>3675627</v>
          </cell>
          <cell r="B108" t="str">
            <v>福島コーティング</v>
          </cell>
          <cell r="C108" t="str">
            <v>プロセス材２課</v>
          </cell>
          <cell r="D108" t="str">
            <v>ダミー担当者</v>
          </cell>
          <cell r="E108" t="str">
            <v>新タック化成㈱</v>
          </cell>
          <cell r="F108">
            <v>3</v>
          </cell>
          <cell r="G108" t="str">
            <v>S</v>
          </cell>
          <cell r="H108" t="str">
            <v>N</v>
          </cell>
          <cell r="I108" t="str">
            <v>MCLB</v>
          </cell>
          <cell r="K108" t="str">
            <v>MSNEYK</v>
          </cell>
          <cell r="L108">
            <v>25</v>
          </cell>
          <cell r="M108" t="str">
            <v>ＭＳＮ　ＥＹＫ</v>
          </cell>
          <cell r="N108">
            <v>1120</v>
          </cell>
          <cell r="O108">
            <v>1120</v>
          </cell>
          <cell r="P108">
            <v>4000</v>
          </cell>
          <cell r="Q108">
            <v>2</v>
          </cell>
        </row>
        <row r="109">
          <cell r="A109">
            <v>3675628</v>
          </cell>
          <cell r="B109" t="str">
            <v>福島コーティング</v>
          </cell>
          <cell r="C109" t="str">
            <v>プロセス材２課</v>
          </cell>
          <cell r="D109" t="str">
            <v>ダミー担当者</v>
          </cell>
          <cell r="E109" t="str">
            <v>新タック化成㈱</v>
          </cell>
          <cell r="F109">
            <v>3</v>
          </cell>
          <cell r="G109" t="str">
            <v>S</v>
          </cell>
          <cell r="H109" t="str">
            <v>N</v>
          </cell>
          <cell r="I109" t="str">
            <v>MCLB</v>
          </cell>
          <cell r="K109" t="str">
            <v>WCB</v>
          </cell>
          <cell r="L109">
            <v>50</v>
          </cell>
          <cell r="M109" t="str">
            <v>メタルミー　ホワイトコート　　　（Ｂ）</v>
          </cell>
          <cell r="N109">
            <v>1120</v>
          </cell>
          <cell r="O109">
            <v>1120</v>
          </cell>
          <cell r="P109">
            <v>5000</v>
          </cell>
          <cell r="Q109">
            <v>2</v>
          </cell>
        </row>
        <row r="110">
          <cell r="A110">
            <v>3675629</v>
          </cell>
          <cell r="B110" t="str">
            <v>福島コーティング</v>
          </cell>
          <cell r="C110" t="str">
            <v>プロセス材１課</v>
          </cell>
          <cell r="D110" t="str">
            <v>ダミー担当者</v>
          </cell>
          <cell r="E110" t="str">
            <v>リンテック㈱</v>
          </cell>
          <cell r="F110">
            <v>3</v>
          </cell>
          <cell r="G110" t="str">
            <v>S</v>
          </cell>
          <cell r="H110" t="str">
            <v>N</v>
          </cell>
          <cell r="I110" t="str">
            <v>MLB</v>
          </cell>
          <cell r="K110" t="str">
            <v>MNGKKBF</v>
          </cell>
          <cell r="L110">
            <v>25</v>
          </cell>
          <cell r="M110" t="str">
            <v>メタルミー　ネーマー銀消改　Ｂ</v>
          </cell>
          <cell r="N110">
            <v>1000</v>
          </cell>
          <cell r="O110">
            <v>1000</v>
          </cell>
          <cell r="P110">
            <v>4000</v>
          </cell>
          <cell r="Q110">
            <v>2</v>
          </cell>
        </row>
        <row r="111">
          <cell r="A111">
            <v>3675630</v>
          </cell>
          <cell r="B111" t="str">
            <v>福島コーティング</v>
          </cell>
          <cell r="C111" t="str">
            <v>プロセス材１課</v>
          </cell>
          <cell r="D111" t="str">
            <v>ダミー担当者</v>
          </cell>
          <cell r="E111" t="str">
            <v>リンテック㈱</v>
          </cell>
          <cell r="F111">
            <v>3</v>
          </cell>
          <cell r="G111" t="str">
            <v>S</v>
          </cell>
          <cell r="H111" t="str">
            <v>N</v>
          </cell>
          <cell r="I111" t="str">
            <v>MLB</v>
          </cell>
          <cell r="K111" t="str">
            <v>MNGKKBF</v>
          </cell>
          <cell r="L111">
            <v>25</v>
          </cell>
          <cell r="M111" t="str">
            <v>メタルミー　ネーマー銀消改　Ｂ</v>
          </cell>
          <cell r="N111">
            <v>1120</v>
          </cell>
          <cell r="O111">
            <v>1120</v>
          </cell>
          <cell r="P111">
            <v>4000</v>
          </cell>
          <cell r="Q111">
            <v>2</v>
          </cell>
        </row>
        <row r="112">
          <cell r="A112">
            <v>3675631</v>
          </cell>
          <cell r="B112" t="str">
            <v>福島コーティング</v>
          </cell>
          <cell r="C112" t="str">
            <v>プロセス材１課</v>
          </cell>
          <cell r="D112" t="str">
            <v>ダミー担当者</v>
          </cell>
          <cell r="E112" t="str">
            <v>リンテック㈱</v>
          </cell>
          <cell r="F112">
            <v>3</v>
          </cell>
          <cell r="G112" t="str">
            <v>S</v>
          </cell>
          <cell r="H112" t="str">
            <v>N</v>
          </cell>
          <cell r="I112" t="str">
            <v>MLB</v>
          </cell>
          <cell r="K112" t="str">
            <v>MNGKKBF</v>
          </cell>
          <cell r="L112">
            <v>50</v>
          </cell>
          <cell r="M112" t="str">
            <v>メタルミー　ネーマー銀消改　Ｂ</v>
          </cell>
          <cell r="N112">
            <v>1000</v>
          </cell>
          <cell r="O112">
            <v>1000</v>
          </cell>
          <cell r="P112">
            <v>4000</v>
          </cell>
          <cell r="Q112">
            <v>2</v>
          </cell>
        </row>
        <row r="113">
          <cell r="A113">
            <v>3675632</v>
          </cell>
          <cell r="B113" t="str">
            <v>福島コーティング</v>
          </cell>
          <cell r="C113" t="str">
            <v>プロセス材１課</v>
          </cell>
          <cell r="D113" t="str">
            <v>ダミー担当者</v>
          </cell>
          <cell r="E113" t="str">
            <v>リンテック㈱</v>
          </cell>
          <cell r="F113">
            <v>3</v>
          </cell>
          <cell r="G113" t="str">
            <v>S</v>
          </cell>
          <cell r="H113" t="str">
            <v>N</v>
          </cell>
          <cell r="I113" t="str">
            <v>MLB</v>
          </cell>
          <cell r="K113" t="str">
            <v>MNGKKBF</v>
          </cell>
          <cell r="L113">
            <v>50</v>
          </cell>
          <cell r="M113" t="str">
            <v>メタルミー　ネーマー銀消改　Ｂ</v>
          </cell>
          <cell r="N113">
            <v>1120</v>
          </cell>
          <cell r="O113">
            <v>1120</v>
          </cell>
          <cell r="P113">
            <v>4000</v>
          </cell>
          <cell r="Q113">
            <v>2</v>
          </cell>
        </row>
        <row r="114">
          <cell r="A114">
            <v>3675633</v>
          </cell>
          <cell r="B114" t="str">
            <v>福島コーティング</v>
          </cell>
          <cell r="C114" t="str">
            <v>プロセス材１課</v>
          </cell>
          <cell r="D114" t="str">
            <v>ダミー担当者</v>
          </cell>
          <cell r="E114" t="str">
            <v>リンテック㈱</v>
          </cell>
          <cell r="F114">
            <v>3</v>
          </cell>
          <cell r="G114" t="str">
            <v>S</v>
          </cell>
          <cell r="H114" t="str">
            <v>N</v>
          </cell>
          <cell r="I114" t="str">
            <v>MLB</v>
          </cell>
          <cell r="K114" t="str">
            <v>MNGKBF</v>
          </cell>
          <cell r="L114">
            <v>50</v>
          </cell>
          <cell r="M114" t="str">
            <v>メタルミー　ネーマー銀消　Ｂ</v>
          </cell>
          <cell r="N114">
            <v>1050</v>
          </cell>
          <cell r="O114">
            <v>1050</v>
          </cell>
          <cell r="P114">
            <v>4100</v>
          </cell>
          <cell r="Q114">
            <v>2</v>
          </cell>
        </row>
        <row r="115">
          <cell r="A115">
            <v>3675634</v>
          </cell>
          <cell r="B115" t="str">
            <v>福島コーティング</v>
          </cell>
          <cell r="C115" t="str">
            <v>プロセス材１課</v>
          </cell>
          <cell r="D115" t="str">
            <v>ダミー担当者</v>
          </cell>
          <cell r="E115" t="str">
            <v>リンテック㈱</v>
          </cell>
          <cell r="F115">
            <v>3</v>
          </cell>
          <cell r="G115" t="str">
            <v>S</v>
          </cell>
          <cell r="H115" t="str">
            <v>N</v>
          </cell>
          <cell r="I115" t="str">
            <v>MLB</v>
          </cell>
          <cell r="K115" t="str">
            <v>MNGKBF</v>
          </cell>
          <cell r="L115">
            <v>75</v>
          </cell>
          <cell r="M115" t="str">
            <v>メタルミー　ネーマー銀消　Ｂ</v>
          </cell>
          <cell r="N115">
            <v>1050</v>
          </cell>
          <cell r="O115">
            <v>1050</v>
          </cell>
          <cell r="P115">
            <v>2000</v>
          </cell>
          <cell r="Q115">
            <v>2</v>
          </cell>
        </row>
        <row r="116">
          <cell r="A116">
            <v>3675635</v>
          </cell>
          <cell r="B116" t="str">
            <v>福島コーティング</v>
          </cell>
          <cell r="C116" t="str">
            <v>プロセス材１課</v>
          </cell>
          <cell r="D116" t="str">
            <v>ダミー担当者</v>
          </cell>
          <cell r="E116" t="str">
            <v>リンテック㈱</v>
          </cell>
          <cell r="F116">
            <v>3</v>
          </cell>
          <cell r="G116" t="str">
            <v>S</v>
          </cell>
          <cell r="H116" t="str">
            <v>N</v>
          </cell>
          <cell r="I116" t="str">
            <v>MCLB</v>
          </cell>
          <cell r="K116" t="str">
            <v>NGKVB</v>
          </cell>
          <cell r="L116">
            <v>50</v>
          </cell>
          <cell r="M116" t="str">
            <v>メタルミー　ネーマー銀消　ＶＢ</v>
          </cell>
          <cell r="N116">
            <v>1005</v>
          </cell>
          <cell r="O116">
            <v>1000</v>
          </cell>
          <cell r="P116">
            <v>4000</v>
          </cell>
          <cell r="Q116">
            <v>2</v>
          </cell>
        </row>
        <row r="117">
          <cell r="A117">
            <v>3675636</v>
          </cell>
          <cell r="B117" t="str">
            <v>福島コーティング</v>
          </cell>
          <cell r="C117" t="str">
            <v>プロセス材１課</v>
          </cell>
          <cell r="D117" t="str">
            <v>ダミー担当者</v>
          </cell>
          <cell r="E117" t="str">
            <v>リンテック㈱</v>
          </cell>
          <cell r="F117">
            <v>3</v>
          </cell>
          <cell r="G117" t="str">
            <v>S</v>
          </cell>
          <cell r="H117" t="str">
            <v>N</v>
          </cell>
          <cell r="I117" t="str">
            <v>MLB</v>
          </cell>
          <cell r="K117" t="str">
            <v>MNGTBF</v>
          </cell>
          <cell r="L117">
            <v>25</v>
          </cell>
          <cell r="M117" t="str">
            <v>メタルミー　ネーマー　銀艶　Ｂ</v>
          </cell>
          <cell r="N117">
            <v>1005</v>
          </cell>
          <cell r="O117">
            <v>1000</v>
          </cell>
          <cell r="P117">
            <v>4000</v>
          </cell>
          <cell r="Q117">
            <v>2</v>
          </cell>
        </row>
        <row r="118">
          <cell r="A118">
            <v>3675637</v>
          </cell>
          <cell r="B118" t="str">
            <v>福島コーティング</v>
          </cell>
          <cell r="C118" t="str">
            <v>プロセス材１課</v>
          </cell>
          <cell r="D118" t="str">
            <v>ダミー担当者</v>
          </cell>
          <cell r="E118" t="str">
            <v>リンテック㈱</v>
          </cell>
          <cell r="F118">
            <v>3</v>
          </cell>
          <cell r="G118" t="str">
            <v>S</v>
          </cell>
          <cell r="H118" t="str">
            <v>N</v>
          </cell>
          <cell r="I118" t="str">
            <v>MLB</v>
          </cell>
          <cell r="K118" t="str">
            <v>MNGTBF</v>
          </cell>
          <cell r="L118">
            <v>50</v>
          </cell>
          <cell r="M118" t="str">
            <v>メタルミー　ネーマー　銀艶　Ｂ</v>
          </cell>
          <cell r="N118">
            <v>1120</v>
          </cell>
          <cell r="O118">
            <v>1120</v>
          </cell>
          <cell r="P118">
            <v>5000</v>
          </cell>
          <cell r="Q118">
            <v>2</v>
          </cell>
        </row>
        <row r="119">
          <cell r="A119">
            <v>3675638</v>
          </cell>
          <cell r="B119" t="str">
            <v>福島コーティング</v>
          </cell>
          <cell r="C119" t="str">
            <v>プロセス材１課</v>
          </cell>
          <cell r="D119" t="str">
            <v>ダミー担当者</v>
          </cell>
          <cell r="E119" t="str">
            <v>リンテック㈱</v>
          </cell>
          <cell r="F119">
            <v>3</v>
          </cell>
          <cell r="G119" t="str">
            <v>S</v>
          </cell>
          <cell r="H119" t="str">
            <v>N</v>
          </cell>
          <cell r="I119" t="str">
            <v>MLB</v>
          </cell>
          <cell r="K119" t="str">
            <v>MNGTBF</v>
          </cell>
          <cell r="L119">
            <v>50</v>
          </cell>
          <cell r="M119" t="str">
            <v>メタルミー　ネーマー　銀艶　Ｂ</v>
          </cell>
          <cell r="N119">
            <v>1120</v>
          </cell>
          <cell r="O119">
            <v>1120</v>
          </cell>
          <cell r="P119">
            <v>5000</v>
          </cell>
          <cell r="Q119">
            <v>2</v>
          </cell>
        </row>
        <row r="120">
          <cell r="A120">
            <v>3675639</v>
          </cell>
          <cell r="B120" t="str">
            <v>福島コーティング</v>
          </cell>
          <cell r="C120" t="str">
            <v>プロセス材１課</v>
          </cell>
          <cell r="D120" t="str">
            <v>ダミー担当者</v>
          </cell>
          <cell r="E120" t="str">
            <v>リンテック㈱</v>
          </cell>
          <cell r="F120">
            <v>3</v>
          </cell>
          <cell r="G120" t="str">
            <v>S</v>
          </cell>
          <cell r="H120" t="str">
            <v>N</v>
          </cell>
          <cell r="I120" t="str">
            <v>MLB</v>
          </cell>
          <cell r="K120" t="str">
            <v>MNGTBF</v>
          </cell>
          <cell r="L120">
            <v>50</v>
          </cell>
          <cell r="M120" t="str">
            <v>メタルミー　ネーマー　銀艶　Ｂ</v>
          </cell>
          <cell r="N120">
            <v>1120</v>
          </cell>
          <cell r="O120">
            <v>1120</v>
          </cell>
          <cell r="P120">
            <v>5000</v>
          </cell>
          <cell r="Q120">
            <v>2</v>
          </cell>
        </row>
        <row r="121">
          <cell r="A121">
            <v>3675640</v>
          </cell>
          <cell r="B121" t="str">
            <v>福島コーティング</v>
          </cell>
          <cell r="C121" t="str">
            <v>プロセス材１課</v>
          </cell>
          <cell r="D121" t="str">
            <v>ダミー担当者</v>
          </cell>
          <cell r="E121" t="str">
            <v>リンテック㈱</v>
          </cell>
          <cell r="F121">
            <v>3</v>
          </cell>
          <cell r="G121" t="str">
            <v>S</v>
          </cell>
          <cell r="H121" t="str">
            <v>N</v>
          </cell>
          <cell r="I121" t="str">
            <v>MLB</v>
          </cell>
          <cell r="K121" t="str">
            <v>MNNGKBF</v>
          </cell>
          <cell r="L121">
            <v>25</v>
          </cell>
          <cell r="M121" t="str">
            <v>メタルミー　ニューネーマー銀消　Ｂ</v>
          </cell>
          <cell r="N121">
            <v>1005</v>
          </cell>
          <cell r="O121">
            <v>1000</v>
          </cell>
          <cell r="P121">
            <v>4000</v>
          </cell>
          <cell r="Q121">
            <v>2</v>
          </cell>
        </row>
        <row r="122">
          <cell r="A122">
            <v>3675641</v>
          </cell>
          <cell r="B122" t="str">
            <v>福島コーティング</v>
          </cell>
          <cell r="C122" t="str">
            <v>プロセス材１課</v>
          </cell>
          <cell r="D122" t="str">
            <v>ダミー担当者</v>
          </cell>
          <cell r="E122" t="str">
            <v>リンテック㈱</v>
          </cell>
          <cell r="F122">
            <v>3</v>
          </cell>
          <cell r="G122" t="str">
            <v>S</v>
          </cell>
          <cell r="H122" t="str">
            <v>N</v>
          </cell>
          <cell r="I122" t="str">
            <v>MLB</v>
          </cell>
          <cell r="K122" t="str">
            <v>MNNGKBF</v>
          </cell>
          <cell r="L122">
            <v>50</v>
          </cell>
          <cell r="M122" t="str">
            <v>メタルミー　ニューネーマー銀消　Ｂ</v>
          </cell>
          <cell r="N122">
            <v>1000</v>
          </cell>
          <cell r="O122">
            <v>1000</v>
          </cell>
          <cell r="P122">
            <v>4000</v>
          </cell>
          <cell r="Q122">
            <v>2</v>
          </cell>
        </row>
        <row r="123">
          <cell r="A123">
            <v>3675642</v>
          </cell>
          <cell r="B123" t="str">
            <v>福島コーティング</v>
          </cell>
          <cell r="C123" t="str">
            <v>プロセス材１課</v>
          </cell>
          <cell r="D123" t="str">
            <v>ダミー担当者</v>
          </cell>
          <cell r="E123" t="str">
            <v>リンテック㈱</v>
          </cell>
          <cell r="F123" t="str">
            <v>33S</v>
          </cell>
          <cell r="G123" t="str">
            <v>S</v>
          </cell>
          <cell r="H123" t="str">
            <v>N</v>
          </cell>
          <cell r="I123" t="str">
            <v>MCLB</v>
          </cell>
          <cell r="K123" t="str">
            <v>TEKV0V</v>
          </cell>
          <cell r="L123">
            <v>50</v>
          </cell>
          <cell r="M123" t="str">
            <v>メタルミー　ＴＥ－Ｓ消　ＶＯＩＤ　Ｖ</v>
          </cell>
          <cell r="N123">
            <v>1005</v>
          </cell>
          <cell r="O123">
            <v>1000</v>
          </cell>
          <cell r="P123">
            <v>4000</v>
          </cell>
          <cell r="Q123">
            <v>2</v>
          </cell>
        </row>
        <row r="124">
          <cell r="A124">
            <v>3675643</v>
          </cell>
          <cell r="B124" t="str">
            <v>福島コーティング</v>
          </cell>
          <cell r="C124" t="str">
            <v>プロセス材１課</v>
          </cell>
          <cell r="D124" t="str">
            <v>ダミー担当者</v>
          </cell>
          <cell r="E124" t="str">
            <v>リンテック㈱</v>
          </cell>
          <cell r="F124" t="str">
            <v>33S</v>
          </cell>
          <cell r="G124" t="str">
            <v>S</v>
          </cell>
          <cell r="H124" t="str">
            <v>N</v>
          </cell>
          <cell r="I124" t="str">
            <v>MCLB</v>
          </cell>
          <cell r="K124" t="str">
            <v>TETKFV</v>
          </cell>
          <cell r="L124">
            <v>50</v>
          </cell>
          <cell r="M124" t="str">
            <v>メタルミー　ＴＥＳ艶開封　Ｖ</v>
          </cell>
          <cell r="N124">
            <v>1005</v>
          </cell>
          <cell r="O124">
            <v>1000</v>
          </cell>
          <cell r="P124">
            <v>4000</v>
          </cell>
          <cell r="Q124">
            <v>2</v>
          </cell>
        </row>
        <row r="125">
          <cell r="A125">
            <v>3675644</v>
          </cell>
          <cell r="B125" t="str">
            <v>福島コーティング</v>
          </cell>
          <cell r="C125" t="str">
            <v>プロセス材１課</v>
          </cell>
          <cell r="D125" t="str">
            <v>ダミー担当者</v>
          </cell>
          <cell r="E125" t="str">
            <v>リンテック㈱</v>
          </cell>
          <cell r="F125">
            <v>3</v>
          </cell>
          <cell r="G125" t="str">
            <v>S</v>
          </cell>
          <cell r="H125" t="str">
            <v>N</v>
          </cell>
          <cell r="I125" t="str">
            <v>MCLB</v>
          </cell>
          <cell r="K125" t="str">
            <v>HLGTV</v>
          </cell>
          <cell r="L125">
            <v>50</v>
          </cell>
          <cell r="M125" t="str">
            <v>メタルミー　ヘヤライン　銀艶Ｖ</v>
          </cell>
          <cell r="N125">
            <v>1005</v>
          </cell>
          <cell r="O125">
            <v>1000</v>
          </cell>
          <cell r="P125">
            <v>4000</v>
          </cell>
          <cell r="Q125">
            <v>2</v>
          </cell>
        </row>
        <row r="126">
          <cell r="A126">
            <v>3675645</v>
          </cell>
          <cell r="B126" t="str">
            <v>福島コーティング</v>
          </cell>
          <cell r="C126" t="str">
            <v>プロセス材１課</v>
          </cell>
          <cell r="D126" t="str">
            <v>ダミー担当者</v>
          </cell>
          <cell r="E126" t="str">
            <v>リンテック㈱</v>
          </cell>
          <cell r="F126">
            <v>3</v>
          </cell>
          <cell r="G126" t="str">
            <v>S</v>
          </cell>
          <cell r="H126" t="str">
            <v>Y</v>
          </cell>
          <cell r="I126" t="str">
            <v>MLB</v>
          </cell>
          <cell r="K126" t="str">
            <v>MSSMBF</v>
          </cell>
          <cell r="L126">
            <v>50</v>
          </cell>
          <cell r="M126" t="str">
            <v>ＭＥＴＡＬＵＭＹ　ＳＩＬＶＥＲ　Ｓ－ＭＡＴＴＥ　Ｓ２８ＭＭ　Ｂ</v>
          </cell>
          <cell r="N126">
            <v>1120</v>
          </cell>
          <cell r="O126">
            <v>1120</v>
          </cell>
          <cell r="P126">
            <v>4000</v>
          </cell>
          <cell r="Q126">
            <v>2</v>
          </cell>
        </row>
        <row r="127">
          <cell r="A127">
            <v>3675646</v>
          </cell>
          <cell r="B127" t="str">
            <v>福島コーティング</v>
          </cell>
          <cell r="C127" t="str">
            <v>プロセス材１課</v>
          </cell>
          <cell r="D127" t="str">
            <v>ダミー担当者</v>
          </cell>
          <cell r="E127" t="str">
            <v>リンテック㈱</v>
          </cell>
          <cell r="F127">
            <v>3</v>
          </cell>
          <cell r="G127" t="str">
            <v>S</v>
          </cell>
          <cell r="H127" t="str">
            <v>Y</v>
          </cell>
          <cell r="I127" t="str">
            <v>MLB</v>
          </cell>
          <cell r="K127" t="str">
            <v>MSNMBF</v>
          </cell>
          <cell r="L127">
            <v>50</v>
          </cell>
          <cell r="M127" t="str">
            <v>ＭＥＴＡＬＵＭＹ　ＳＩＬＶＥＲ　Ｎ－ＭＡＴＴＥ　Ｘ４４Ｍ　Ｂ</v>
          </cell>
          <cell r="N127">
            <v>1120</v>
          </cell>
          <cell r="O127">
            <v>1120</v>
          </cell>
          <cell r="P127">
            <v>4000</v>
          </cell>
          <cell r="Q127">
            <v>2</v>
          </cell>
        </row>
        <row r="128">
          <cell r="A128">
            <v>3676794</v>
          </cell>
          <cell r="B128" t="str">
            <v>福島コーティング</v>
          </cell>
          <cell r="C128" t="str">
            <v>プロセス材１課</v>
          </cell>
          <cell r="D128" t="str">
            <v>ダミー担当者</v>
          </cell>
          <cell r="E128" t="str">
            <v>リンテック㈱</v>
          </cell>
          <cell r="F128">
            <v>3</v>
          </cell>
          <cell r="G128" t="str">
            <v>S</v>
          </cell>
          <cell r="H128" t="str">
            <v>Y</v>
          </cell>
          <cell r="I128" t="str">
            <v>MLB</v>
          </cell>
          <cell r="K128" t="str">
            <v>MSBBF</v>
          </cell>
          <cell r="L128">
            <v>50</v>
          </cell>
          <cell r="M128" t="str">
            <v>ＭＥＴＡＬＵＭＹ　ＳＩＬＶＥＲ　ＢＲＩＧＨＴ　Ｔ６２Ｍ　Ｂ</v>
          </cell>
          <cell r="N128">
            <v>1120</v>
          </cell>
          <cell r="O128">
            <v>1120</v>
          </cell>
          <cell r="P128">
            <v>5000</v>
          </cell>
          <cell r="Q128">
            <v>2</v>
          </cell>
        </row>
        <row r="129">
          <cell r="A129">
            <v>3676795</v>
          </cell>
          <cell r="B129" t="str">
            <v>福島コーティング</v>
          </cell>
          <cell r="C129" t="str">
            <v>プロセス材１課</v>
          </cell>
          <cell r="D129" t="str">
            <v>ダミー担当者</v>
          </cell>
          <cell r="E129" t="str">
            <v>リンテック㈱</v>
          </cell>
          <cell r="F129">
            <v>3</v>
          </cell>
          <cell r="G129" t="str">
            <v>S</v>
          </cell>
          <cell r="H129" t="str">
            <v>Y</v>
          </cell>
          <cell r="I129" t="str">
            <v>MLB</v>
          </cell>
          <cell r="K129" t="str">
            <v>MSBBF</v>
          </cell>
          <cell r="L129">
            <v>50</v>
          </cell>
          <cell r="M129" t="str">
            <v>ＭＥＴＡＬＵＭＹ　ＳＩＬＶＥＲ　ＢＲＩＧＨＴ　Ｔ６２Ｍ　Ｂ</v>
          </cell>
          <cell r="N129">
            <v>1120</v>
          </cell>
          <cell r="O129">
            <v>1120</v>
          </cell>
          <cell r="P129">
            <v>5000</v>
          </cell>
          <cell r="Q129">
            <v>2</v>
          </cell>
        </row>
        <row r="130">
          <cell r="A130">
            <v>3676796</v>
          </cell>
          <cell r="B130" t="str">
            <v>福島コーティング</v>
          </cell>
          <cell r="C130" t="str">
            <v>プロセス材１課</v>
          </cell>
          <cell r="D130" t="str">
            <v>ダミー担当者</v>
          </cell>
          <cell r="E130" t="str">
            <v>リンテック㈱</v>
          </cell>
          <cell r="F130">
            <v>3</v>
          </cell>
          <cell r="G130" t="str">
            <v>S</v>
          </cell>
          <cell r="H130" t="str">
            <v>Y</v>
          </cell>
          <cell r="I130" t="str">
            <v>MLB</v>
          </cell>
          <cell r="K130" t="str">
            <v>MSBBF</v>
          </cell>
          <cell r="L130">
            <v>50</v>
          </cell>
          <cell r="M130" t="str">
            <v>ＭＥＴＡＬＵＭＹ　ＳＩＬＶＥＲ　ＢＲＩＧＨＴ　Ｔ６２Ｍ　Ｂ</v>
          </cell>
          <cell r="N130">
            <v>1120</v>
          </cell>
          <cell r="O130">
            <v>1120</v>
          </cell>
          <cell r="P130">
            <v>5000</v>
          </cell>
          <cell r="Q130">
            <v>2</v>
          </cell>
        </row>
        <row r="131">
          <cell r="A131">
            <v>3676797</v>
          </cell>
          <cell r="B131" t="str">
            <v>福島コーティング</v>
          </cell>
          <cell r="C131" t="str">
            <v>プロセス材１課</v>
          </cell>
          <cell r="D131" t="str">
            <v>ダミー担当者</v>
          </cell>
          <cell r="E131" t="str">
            <v>リンテック㈱</v>
          </cell>
          <cell r="F131">
            <v>3</v>
          </cell>
          <cell r="G131" t="str">
            <v>S</v>
          </cell>
          <cell r="H131" t="str">
            <v>Y</v>
          </cell>
          <cell r="I131" t="str">
            <v>MLB</v>
          </cell>
          <cell r="K131" t="str">
            <v>MSBBF</v>
          </cell>
          <cell r="L131">
            <v>25</v>
          </cell>
          <cell r="M131" t="str">
            <v>ＭＥＴＡＬＵＭＹ　ＳＩＬＶＥＲ　ＢＲＩＧＨＴ　Ｔ６２Ｍ　Ｂ</v>
          </cell>
          <cell r="N131">
            <v>1120</v>
          </cell>
          <cell r="O131">
            <v>1120</v>
          </cell>
          <cell r="P131">
            <v>8000</v>
          </cell>
          <cell r="Q131">
            <v>2</v>
          </cell>
        </row>
        <row r="132">
          <cell r="A132">
            <v>3676798</v>
          </cell>
          <cell r="B132" t="str">
            <v>福島コーティング</v>
          </cell>
          <cell r="C132" t="str">
            <v>プロセス材１課</v>
          </cell>
          <cell r="D132" t="str">
            <v>ダミー担当者</v>
          </cell>
          <cell r="E132" t="str">
            <v>リンテック㈱</v>
          </cell>
          <cell r="F132">
            <v>3</v>
          </cell>
          <cell r="G132" t="str">
            <v>S</v>
          </cell>
          <cell r="H132" t="str">
            <v>Y</v>
          </cell>
          <cell r="I132" t="str">
            <v>MLB</v>
          </cell>
          <cell r="K132" t="str">
            <v>MSBBF</v>
          </cell>
          <cell r="L132">
            <v>25</v>
          </cell>
          <cell r="M132" t="str">
            <v>ＭＥＴＡＬＵＭＹ　ＳＩＬＶＥＲ　ＢＲＩＧＨＴ　Ｔ６２Ｍ　Ｂ</v>
          </cell>
          <cell r="N132">
            <v>1120</v>
          </cell>
          <cell r="O132">
            <v>1120</v>
          </cell>
          <cell r="P132">
            <v>8000</v>
          </cell>
          <cell r="Q132">
            <v>2</v>
          </cell>
        </row>
        <row r="133">
          <cell r="A133">
            <v>3676799</v>
          </cell>
          <cell r="B133" t="str">
            <v>福島コーティング</v>
          </cell>
          <cell r="C133" t="str">
            <v>プロセス材１課</v>
          </cell>
          <cell r="D133" t="str">
            <v>ダミー担当者</v>
          </cell>
          <cell r="E133" t="str">
            <v>リンテック㈱</v>
          </cell>
          <cell r="F133">
            <v>3</v>
          </cell>
          <cell r="G133" t="str">
            <v>S</v>
          </cell>
          <cell r="H133" t="str">
            <v>Y</v>
          </cell>
          <cell r="I133" t="str">
            <v>MLB</v>
          </cell>
          <cell r="K133" t="str">
            <v>MSNMBF</v>
          </cell>
          <cell r="L133">
            <v>50</v>
          </cell>
          <cell r="M133" t="str">
            <v>ＭＥＴＡＬＵＭＹ　ＳＩＬＶＥＲ　Ｎ－ＭＡＴＴＥ　Ｘ４４Ｍ　Ｂ</v>
          </cell>
          <cell r="N133">
            <v>1120</v>
          </cell>
          <cell r="O133">
            <v>1120</v>
          </cell>
          <cell r="P133">
            <v>4000</v>
          </cell>
          <cell r="Q133">
            <v>2</v>
          </cell>
        </row>
        <row r="134">
          <cell r="A134">
            <v>3676800</v>
          </cell>
          <cell r="B134" t="str">
            <v>福島コーティング</v>
          </cell>
          <cell r="C134" t="str">
            <v>プロセス材１課</v>
          </cell>
          <cell r="D134" t="str">
            <v>ダミー担当者</v>
          </cell>
          <cell r="E134" t="str">
            <v>リンテック㈱</v>
          </cell>
          <cell r="F134">
            <v>3</v>
          </cell>
          <cell r="G134" t="str">
            <v>S</v>
          </cell>
          <cell r="H134" t="str">
            <v>Y</v>
          </cell>
          <cell r="I134" t="str">
            <v>MLB</v>
          </cell>
          <cell r="K134" t="str">
            <v>MSNMBF</v>
          </cell>
          <cell r="L134">
            <v>50</v>
          </cell>
          <cell r="M134" t="str">
            <v>ＭＥＴＡＬＵＭＹ　ＳＩＬＶＥＲ　Ｎ－ＭＡＴＴＥ　Ｘ４４Ｍ　Ｂ</v>
          </cell>
          <cell r="N134">
            <v>1120</v>
          </cell>
          <cell r="O134">
            <v>1120</v>
          </cell>
          <cell r="P134">
            <v>4000</v>
          </cell>
          <cell r="Q134">
            <v>2</v>
          </cell>
        </row>
        <row r="135">
          <cell r="A135">
            <v>3677676</v>
          </cell>
          <cell r="B135" t="str">
            <v>機能Ｆ　ラベル福島開</v>
          </cell>
          <cell r="C135" t="str">
            <v>プロセス材２課</v>
          </cell>
          <cell r="D135" t="str">
            <v>ダミー担当者</v>
          </cell>
          <cell r="E135" t="str">
            <v>リンテック㈱</v>
          </cell>
          <cell r="F135">
            <v>3</v>
          </cell>
          <cell r="G135" t="str">
            <v>U</v>
          </cell>
          <cell r="H135" t="str">
            <v>N</v>
          </cell>
          <cell r="I135" t="str">
            <v>MCLB</v>
          </cell>
          <cell r="K135" t="str">
            <v>HLGTV</v>
          </cell>
          <cell r="L135">
            <v>25</v>
          </cell>
          <cell r="M135" t="str">
            <v>メタルミー　ヘヤライン銀艶　Ｖ</v>
          </cell>
          <cell r="N135">
            <v>1000</v>
          </cell>
          <cell r="O135">
            <v>1000</v>
          </cell>
          <cell r="P135">
            <v>8000</v>
          </cell>
          <cell r="Q135">
            <v>2</v>
          </cell>
        </row>
        <row r="136">
          <cell r="A136">
            <v>3677677</v>
          </cell>
          <cell r="B136" t="str">
            <v>機能Ｆ　ラベル福島開</v>
          </cell>
          <cell r="C136" t="str">
            <v>プロセス材２課</v>
          </cell>
          <cell r="D136" t="str">
            <v>ダミー担当者</v>
          </cell>
          <cell r="E136" t="str">
            <v>リンテック㈱</v>
          </cell>
          <cell r="F136">
            <v>3</v>
          </cell>
          <cell r="G136" t="str">
            <v>U</v>
          </cell>
          <cell r="H136" t="str">
            <v>N</v>
          </cell>
          <cell r="I136" t="str">
            <v>MCLB</v>
          </cell>
          <cell r="K136" t="str">
            <v>HLGKJV</v>
          </cell>
          <cell r="L136">
            <v>25</v>
          </cell>
          <cell r="M136" t="str">
            <v>メタルミー　ヘヤライン銀消　Ｖ</v>
          </cell>
          <cell r="N136">
            <v>1000</v>
          </cell>
          <cell r="O136">
            <v>1000</v>
          </cell>
          <cell r="P136">
            <v>2000</v>
          </cell>
          <cell r="Q136">
            <v>2</v>
          </cell>
        </row>
        <row r="137">
          <cell r="A137">
            <v>3677678</v>
          </cell>
          <cell r="B137" t="str">
            <v>機能Ｆ　ラベル福島開</v>
          </cell>
          <cell r="C137" t="str">
            <v>プロセス材２課</v>
          </cell>
          <cell r="D137" t="str">
            <v>ダミー担当者</v>
          </cell>
          <cell r="E137" t="str">
            <v>リンテック㈱</v>
          </cell>
          <cell r="F137">
            <v>3</v>
          </cell>
          <cell r="G137" t="str">
            <v>U</v>
          </cell>
          <cell r="H137" t="str">
            <v>N</v>
          </cell>
          <cell r="I137" t="str">
            <v>MCLB</v>
          </cell>
          <cell r="K137" t="str">
            <v>HLGKJV</v>
          </cell>
          <cell r="L137">
            <v>50</v>
          </cell>
          <cell r="M137" t="str">
            <v>メタルミー　ヘヤライン銀消　Ｖ</v>
          </cell>
          <cell r="N137">
            <v>1000</v>
          </cell>
          <cell r="O137">
            <v>1000</v>
          </cell>
          <cell r="P137">
            <v>4000</v>
          </cell>
          <cell r="Q137">
            <v>2</v>
          </cell>
        </row>
        <row r="138">
          <cell r="A138">
            <v>3679211</v>
          </cell>
          <cell r="B138" t="str">
            <v>福島コーティング</v>
          </cell>
          <cell r="C138" t="str">
            <v>プロセス材１課</v>
          </cell>
          <cell r="D138" t="str">
            <v>ダミー担当者</v>
          </cell>
          <cell r="E138" t="str">
            <v>リンテック㈱</v>
          </cell>
          <cell r="F138">
            <v>3</v>
          </cell>
          <cell r="G138" t="str">
            <v>S</v>
          </cell>
          <cell r="H138" t="str">
            <v>N</v>
          </cell>
          <cell r="I138" t="str">
            <v>CLB</v>
          </cell>
          <cell r="K138" t="str">
            <v>LMEYK</v>
          </cell>
          <cell r="L138">
            <v>38</v>
          </cell>
          <cell r="M138" t="str">
            <v>ルミマットＥＹＫ</v>
          </cell>
          <cell r="N138">
            <v>1005</v>
          </cell>
          <cell r="O138">
            <v>1000</v>
          </cell>
          <cell r="P138">
            <v>4000</v>
          </cell>
          <cell r="Q138">
            <v>2</v>
          </cell>
        </row>
        <row r="139">
          <cell r="A139">
            <v>3680006</v>
          </cell>
          <cell r="B139" t="str">
            <v>福島コーティング</v>
          </cell>
          <cell r="C139" t="str">
            <v>工材１部大阪電材課</v>
          </cell>
          <cell r="D139" t="str">
            <v>ダミー担当者</v>
          </cell>
          <cell r="E139" t="str">
            <v>日東電工㈱豊橋工場</v>
          </cell>
          <cell r="F139">
            <v>3</v>
          </cell>
          <cell r="G139" t="str">
            <v>S</v>
          </cell>
          <cell r="H139" t="str">
            <v>N</v>
          </cell>
          <cell r="I139" t="str">
            <v>MLB</v>
          </cell>
          <cell r="K139" t="str">
            <v>MTSF</v>
          </cell>
          <cell r="L139">
            <v>50</v>
          </cell>
          <cell r="M139" t="str">
            <v>メタルミー　ＴＳ</v>
          </cell>
          <cell r="N139">
            <v>1255</v>
          </cell>
          <cell r="O139">
            <v>1250</v>
          </cell>
          <cell r="P139">
            <v>2000</v>
          </cell>
          <cell r="Q139">
            <v>2</v>
          </cell>
        </row>
        <row r="140">
          <cell r="A140">
            <v>3680008</v>
          </cell>
          <cell r="B140" t="str">
            <v>福島コーティング</v>
          </cell>
          <cell r="C140" t="str">
            <v>プロセス材２課</v>
          </cell>
          <cell r="D140" t="str">
            <v>ダミー担当者</v>
          </cell>
          <cell r="E140" t="str">
            <v>大阪シーリング印刷㈱</v>
          </cell>
          <cell r="F140" t="str">
            <v>3H</v>
          </cell>
          <cell r="G140" t="str">
            <v>S</v>
          </cell>
          <cell r="H140" t="str">
            <v>N</v>
          </cell>
          <cell r="I140" t="str">
            <v>MCLB</v>
          </cell>
          <cell r="K140" t="str">
            <v>EYK</v>
          </cell>
          <cell r="L140">
            <v>50</v>
          </cell>
          <cell r="M140" t="str">
            <v>メタルミー　ＥＹＫ</v>
          </cell>
          <cell r="N140">
            <v>1190</v>
          </cell>
          <cell r="O140">
            <v>1190</v>
          </cell>
          <cell r="P140">
            <v>6000</v>
          </cell>
          <cell r="Q140">
            <v>2</v>
          </cell>
        </row>
        <row r="141">
          <cell r="A141">
            <v>3680009</v>
          </cell>
          <cell r="B141" t="str">
            <v>福島コーティング</v>
          </cell>
          <cell r="C141" t="str">
            <v>プロセス材２課</v>
          </cell>
          <cell r="D141" t="str">
            <v>ダミー担当者</v>
          </cell>
          <cell r="E141" t="str">
            <v>大阪シーリング印刷㈱</v>
          </cell>
          <cell r="F141">
            <v>3</v>
          </cell>
          <cell r="G141" t="str">
            <v>S</v>
          </cell>
          <cell r="H141" t="str">
            <v>N</v>
          </cell>
          <cell r="I141" t="str">
            <v>MCLB</v>
          </cell>
          <cell r="K141" t="str">
            <v>MSNEYK</v>
          </cell>
          <cell r="L141">
            <v>50</v>
          </cell>
          <cell r="M141" t="str">
            <v>ＭＳＮ　ＥＹＫ</v>
          </cell>
          <cell r="N141">
            <v>1200</v>
          </cell>
          <cell r="O141">
            <v>1190</v>
          </cell>
          <cell r="P141">
            <v>6000</v>
          </cell>
          <cell r="Q141">
            <v>2</v>
          </cell>
        </row>
        <row r="142">
          <cell r="A142">
            <v>3680012</v>
          </cell>
          <cell r="B142" t="str">
            <v>福島コーティング</v>
          </cell>
          <cell r="C142" t="str">
            <v>プロセス材２課</v>
          </cell>
          <cell r="D142" t="str">
            <v>ダミー担当者</v>
          </cell>
          <cell r="E142" t="str">
            <v>新タック化成㈱</v>
          </cell>
          <cell r="F142">
            <v>3</v>
          </cell>
          <cell r="G142" t="str">
            <v>S</v>
          </cell>
          <cell r="H142" t="str">
            <v>N</v>
          </cell>
          <cell r="I142" t="str">
            <v>CLB</v>
          </cell>
          <cell r="K142" t="str">
            <v>LEYK</v>
          </cell>
          <cell r="L142">
            <v>25</v>
          </cell>
          <cell r="M142" t="str">
            <v>ルミラー　ＥＹＫ</v>
          </cell>
          <cell r="N142">
            <v>1120</v>
          </cell>
          <cell r="O142">
            <v>1120</v>
          </cell>
          <cell r="P142">
            <v>6000</v>
          </cell>
          <cell r="Q142">
            <v>2</v>
          </cell>
        </row>
        <row r="143">
          <cell r="A143">
            <v>3680013</v>
          </cell>
          <cell r="B143" t="str">
            <v>福島コーティング</v>
          </cell>
          <cell r="C143" t="str">
            <v>プロセス材２課</v>
          </cell>
          <cell r="D143" t="str">
            <v>ダミー担当者</v>
          </cell>
          <cell r="E143" t="str">
            <v>新タック化成㈱</v>
          </cell>
          <cell r="F143">
            <v>3</v>
          </cell>
          <cell r="G143" t="str">
            <v>S</v>
          </cell>
          <cell r="H143" t="str">
            <v>N</v>
          </cell>
          <cell r="I143" t="str">
            <v>CLB</v>
          </cell>
          <cell r="K143" t="str">
            <v>LEYK</v>
          </cell>
          <cell r="L143">
            <v>25</v>
          </cell>
          <cell r="M143" t="str">
            <v>ルミラー　ＥＹＫ</v>
          </cell>
          <cell r="N143">
            <v>1120</v>
          </cell>
          <cell r="O143">
            <v>1120</v>
          </cell>
          <cell r="P143">
            <v>6000</v>
          </cell>
          <cell r="Q143">
            <v>2</v>
          </cell>
        </row>
        <row r="144">
          <cell r="A144">
            <v>3680014</v>
          </cell>
          <cell r="B144" t="str">
            <v>福島コーティング</v>
          </cell>
          <cell r="C144" t="str">
            <v>プロセス材２課</v>
          </cell>
          <cell r="D144" t="str">
            <v>ダミー担当者</v>
          </cell>
          <cell r="E144" t="str">
            <v>新タック化成㈱</v>
          </cell>
          <cell r="F144">
            <v>3</v>
          </cell>
          <cell r="G144" t="str">
            <v>S</v>
          </cell>
          <cell r="H144" t="str">
            <v>N</v>
          </cell>
          <cell r="I144" t="str">
            <v>CLB</v>
          </cell>
          <cell r="K144" t="str">
            <v>LEYK</v>
          </cell>
          <cell r="L144">
            <v>50</v>
          </cell>
          <cell r="M144" t="str">
            <v>ルミラー　ＥＹＫ</v>
          </cell>
          <cell r="N144">
            <v>1120</v>
          </cell>
          <cell r="O144">
            <v>1120</v>
          </cell>
          <cell r="P144">
            <v>6000</v>
          </cell>
          <cell r="Q144">
            <v>2</v>
          </cell>
        </row>
        <row r="145">
          <cell r="A145">
            <v>3680015</v>
          </cell>
          <cell r="B145" t="str">
            <v>福島コーティング</v>
          </cell>
          <cell r="C145" t="str">
            <v>プロセス材２課</v>
          </cell>
          <cell r="D145" t="str">
            <v>ダミー担当者</v>
          </cell>
          <cell r="E145" t="str">
            <v>新タック化成㈱</v>
          </cell>
          <cell r="F145">
            <v>3</v>
          </cell>
          <cell r="G145" t="str">
            <v>S</v>
          </cell>
          <cell r="H145" t="str">
            <v>N</v>
          </cell>
          <cell r="I145" t="str">
            <v>MCLB</v>
          </cell>
          <cell r="K145" t="str">
            <v>MSNEYK</v>
          </cell>
          <cell r="L145">
            <v>50</v>
          </cell>
          <cell r="M145" t="str">
            <v>ＭＳＮ　ＥＹＫ</v>
          </cell>
          <cell r="N145">
            <v>1120</v>
          </cell>
          <cell r="O145">
            <v>1120</v>
          </cell>
          <cell r="P145">
            <v>4000</v>
          </cell>
          <cell r="Q145">
            <v>2</v>
          </cell>
        </row>
        <row r="146">
          <cell r="A146">
            <v>3680016</v>
          </cell>
          <cell r="B146" t="str">
            <v>福島コーティング</v>
          </cell>
          <cell r="C146" t="str">
            <v>プロセス材２課</v>
          </cell>
          <cell r="D146" t="str">
            <v>ダミー担当者</v>
          </cell>
          <cell r="E146" t="str">
            <v>新タック化成㈱</v>
          </cell>
          <cell r="F146">
            <v>3</v>
          </cell>
          <cell r="G146" t="str">
            <v>S</v>
          </cell>
          <cell r="H146" t="str">
            <v>N</v>
          </cell>
          <cell r="I146" t="str">
            <v>MCLB</v>
          </cell>
          <cell r="K146" t="str">
            <v>WCB</v>
          </cell>
          <cell r="L146">
            <v>50</v>
          </cell>
          <cell r="M146" t="str">
            <v>メタルミー　ホワイトコート　　　（Ｂ）</v>
          </cell>
          <cell r="N146">
            <v>1120</v>
          </cell>
          <cell r="O146">
            <v>1120</v>
          </cell>
          <cell r="P146">
            <v>5000</v>
          </cell>
          <cell r="Q146">
            <v>2</v>
          </cell>
        </row>
        <row r="147">
          <cell r="A147">
            <v>3680017</v>
          </cell>
          <cell r="B147" t="str">
            <v>福島コーティング</v>
          </cell>
          <cell r="C147" t="str">
            <v>プロセス材１課</v>
          </cell>
          <cell r="D147" t="str">
            <v>ダミー担当者</v>
          </cell>
          <cell r="E147" t="str">
            <v>アジヤアルミ㈱</v>
          </cell>
          <cell r="F147">
            <v>3</v>
          </cell>
          <cell r="G147" t="str">
            <v>S</v>
          </cell>
          <cell r="H147" t="str">
            <v>N</v>
          </cell>
          <cell r="I147" t="str">
            <v>MLB</v>
          </cell>
          <cell r="K147" t="str">
            <v>MNSJF</v>
          </cell>
          <cell r="L147">
            <v>12</v>
          </cell>
          <cell r="M147" t="str">
            <v>ＮＳ蒸着</v>
          </cell>
          <cell r="N147">
            <v>1000</v>
          </cell>
          <cell r="O147">
            <v>1000</v>
          </cell>
          <cell r="P147">
            <v>6000</v>
          </cell>
          <cell r="Q147">
            <v>2</v>
          </cell>
        </row>
        <row r="148">
          <cell r="A148">
            <v>3680018</v>
          </cell>
          <cell r="B148" t="str">
            <v>福島コーティング</v>
          </cell>
          <cell r="C148" t="str">
            <v>プロセス材１課</v>
          </cell>
          <cell r="D148" t="str">
            <v>ダミー担当者</v>
          </cell>
          <cell r="E148" t="str">
            <v>アジヤアルミ㈱</v>
          </cell>
          <cell r="F148">
            <v>3</v>
          </cell>
          <cell r="G148" t="str">
            <v>S</v>
          </cell>
          <cell r="H148" t="str">
            <v>N</v>
          </cell>
          <cell r="I148" t="str">
            <v>CLB</v>
          </cell>
          <cell r="K148" t="str">
            <v>LEYK</v>
          </cell>
          <cell r="L148">
            <v>38</v>
          </cell>
          <cell r="M148" t="str">
            <v>ルミラー　ＥＹＫ</v>
          </cell>
          <cell r="N148">
            <v>1125</v>
          </cell>
          <cell r="O148">
            <v>1120</v>
          </cell>
          <cell r="P148">
            <v>4000</v>
          </cell>
          <cell r="Q148">
            <v>2</v>
          </cell>
        </row>
        <row r="149">
          <cell r="A149">
            <v>3680019</v>
          </cell>
          <cell r="B149" t="str">
            <v>福島コーティング</v>
          </cell>
          <cell r="C149" t="str">
            <v>プロセス材１課</v>
          </cell>
          <cell r="D149" t="str">
            <v>ダミー担当者</v>
          </cell>
          <cell r="E149" t="str">
            <v>リンテック㈱</v>
          </cell>
          <cell r="F149">
            <v>3</v>
          </cell>
          <cell r="G149" t="str">
            <v>S</v>
          </cell>
          <cell r="H149" t="str">
            <v>N</v>
          </cell>
          <cell r="I149" t="str">
            <v>MLB</v>
          </cell>
          <cell r="K149" t="str">
            <v>MNGKKBF</v>
          </cell>
          <cell r="L149">
            <v>25</v>
          </cell>
          <cell r="M149" t="str">
            <v>メタルミー　ネーマー銀消改　Ｂ</v>
          </cell>
          <cell r="N149">
            <v>1120</v>
          </cell>
          <cell r="O149">
            <v>1120</v>
          </cell>
          <cell r="P149">
            <v>4000</v>
          </cell>
          <cell r="Q149">
            <v>2</v>
          </cell>
        </row>
        <row r="150">
          <cell r="A150">
            <v>3680020</v>
          </cell>
          <cell r="B150" t="str">
            <v>福島コーティング</v>
          </cell>
          <cell r="C150" t="str">
            <v>プロセス材１課</v>
          </cell>
          <cell r="D150" t="str">
            <v>ダミー担当者</v>
          </cell>
          <cell r="E150" t="str">
            <v>リンテック㈱</v>
          </cell>
          <cell r="F150">
            <v>3</v>
          </cell>
          <cell r="G150" t="str">
            <v>S</v>
          </cell>
          <cell r="H150" t="str">
            <v>N</v>
          </cell>
          <cell r="I150" t="str">
            <v>MLB</v>
          </cell>
          <cell r="K150" t="str">
            <v>MNGKKBF</v>
          </cell>
          <cell r="L150">
            <v>50</v>
          </cell>
          <cell r="M150" t="str">
            <v>メタルミー　ネーマー銀消改　Ｂ</v>
          </cell>
          <cell r="N150">
            <v>1120</v>
          </cell>
          <cell r="O150">
            <v>1120</v>
          </cell>
          <cell r="P150">
            <v>4000</v>
          </cell>
          <cell r="Q150">
            <v>2</v>
          </cell>
        </row>
        <row r="151">
          <cell r="A151">
            <v>3680021</v>
          </cell>
          <cell r="B151" t="str">
            <v>福島コーティング</v>
          </cell>
          <cell r="C151" t="str">
            <v>プロセス材１課</v>
          </cell>
          <cell r="D151" t="str">
            <v>ダミー担当者</v>
          </cell>
          <cell r="E151" t="str">
            <v>リンテック㈱</v>
          </cell>
          <cell r="F151">
            <v>3</v>
          </cell>
          <cell r="G151" t="str">
            <v>S</v>
          </cell>
          <cell r="H151" t="str">
            <v>N</v>
          </cell>
          <cell r="I151" t="str">
            <v>MLB</v>
          </cell>
          <cell r="K151" t="str">
            <v>MNGKKBF</v>
          </cell>
          <cell r="L151">
            <v>50</v>
          </cell>
          <cell r="M151" t="str">
            <v>メタルミー　ネーマー銀消改　Ｂ</v>
          </cell>
          <cell r="N151">
            <v>1120</v>
          </cell>
          <cell r="O151">
            <v>1120</v>
          </cell>
          <cell r="P151">
            <v>4000</v>
          </cell>
          <cell r="Q151">
            <v>2</v>
          </cell>
        </row>
        <row r="152">
          <cell r="A152">
            <v>3680022</v>
          </cell>
          <cell r="B152" t="str">
            <v>福島コーティング</v>
          </cell>
          <cell r="C152" t="str">
            <v>プロセス材１課</v>
          </cell>
          <cell r="D152" t="str">
            <v>ダミー担当者</v>
          </cell>
          <cell r="E152" t="str">
            <v>リンテック㈱</v>
          </cell>
          <cell r="F152">
            <v>3</v>
          </cell>
          <cell r="G152" t="str">
            <v>S</v>
          </cell>
          <cell r="H152" t="str">
            <v>N</v>
          </cell>
          <cell r="I152" t="str">
            <v>MLB</v>
          </cell>
          <cell r="K152" t="str">
            <v>MNGKKBF</v>
          </cell>
          <cell r="L152">
            <v>50</v>
          </cell>
          <cell r="M152" t="str">
            <v>メタルミー　ネーマー銀消改　Ｂ</v>
          </cell>
          <cell r="N152">
            <v>1120</v>
          </cell>
          <cell r="O152">
            <v>1120</v>
          </cell>
          <cell r="P152">
            <v>4000</v>
          </cell>
          <cell r="Q152">
            <v>2</v>
          </cell>
        </row>
        <row r="153">
          <cell r="A153">
            <v>3680023</v>
          </cell>
          <cell r="B153" t="str">
            <v>福島コーティング</v>
          </cell>
          <cell r="C153" t="str">
            <v>プロセス材１課</v>
          </cell>
          <cell r="D153" t="str">
            <v>ダミー担当者</v>
          </cell>
          <cell r="E153" t="str">
            <v>リンテック㈱</v>
          </cell>
          <cell r="F153">
            <v>3</v>
          </cell>
          <cell r="G153" t="str">
            <v>S</v>
          </cell>
          <cell r="H153" t="str">
            <v>N</v>
          </cell>
          <cell r="I153" t="str">
            <v>MLB</v>
          </cell>
          <cell r="K153" t="str">
            <v>MNGKBF</v>
          </cell>
          <cell r="L153">
            <v>38</v>
          </cell>
          <cell r="M153" t="str">
            <v>メタルミー　ネーマー銀消　Ｂ</v>
          </cell>
          <cell r="N153">
            <v>1005</v>
          </cell>
          <cell r="O153">
            <v>1000</v>
          </cell>
          <cell r="P153">
            <v>4000</v>
          </cell>
          <cell r="Q153">
            <v>2</v>
          </cell>
        </row>
        <row r="154">
          <cell r="A154">
            <v>3680024</v>
          </cell>
          <cell r="B154" t="str">
            <v>福島コーティング</v>
          </cell>
          <cell r="C154" t="str">
            <v>プロセス材１課</v>
          </cell>
          <cell r="D154" t="str">
            <v>ダミー担当者</v>
          </cell>
          <cell r="E154" t="str">
            <v>リンテック㈱</v>
          </cell>
          <cell r="F154">
            <v>3</v>
          </cell>
          <cell r="G154" t="str">
            <v>S</v>
          </cell>
          <cell r="H154" t="str">
            <v>N</v>
          </cell>
          <cell r="I154" t="str">
            <v>MLB</v>
          </cell>
          <cell r="K154" t="str">
            <v>MNGKBF</v>
          </cell>
          <cell r="L154">
            <v>50</v>
          </cell>
          <cell r="M154" t="str">
            <v>メタルミー　ネーマー銀消　Ｂ</v>
          </cell>
          <cell r="N154">
            <v>1050</v>
          </cell>
          <cell r="O154">
            <v>1050</v>
          </cell>
          <cell r="P154">
            <v>4100</v>
          </cell>
          <cell r="Q154">
            <v>2</v>
          </cell>
        </row>
        <row r="155">
          <cell r="A155">
            <v>3680025</v>
          </cell>
          <cell r="B155" t="str">
            <v>福島コーティング</v>
          </cell>
          <cell r="C155" t="str">
            <v>プロセス材１課</v>
          </cell>
          <cell r="D155" t="str">
            <v>ダミー担当者</v>
          </cell>
          <cell r="E155" t="str">
            <v>リンテック㈱</v>
          </cell>
          <cell r="F155">
            <v>3</v>
          </cell>
          <cell r="G155" t="str">
            <v>S</v>
          </cell>
          <cell r="H155" t="str">
            <v>N</v>
          </cell>
          <cell r="I155" t="str">
            <v>MLB</v>
          </cell>
          <cell r="K155" t="str">
            <v>MNGKBF</v>
          </cell>
          <cell r="L155">
            <v>50</v>
          </cell>
          <cell r="M155" t="str">
            <v>メタルミー　ネーマー銀消　Ｂ</v>
          </cell>
          <cell r="N155">
            <v>1170</v>
          </cell>
          <cell r="O155">
            <v>1170</v>
          </cell>
          <cell r="P155">
            <v>4000</v>
          </cell>
          <cell r="Q155">
            <v>2</v>
          </cell>
        </row>
        <row r="156">
          <cell r="A156">
            <v>3680027</v>
          </cell>
          <cell r="B156" t="str">
            <v>福島コーティング</v>
          </cell>
          <cell r="C156" t="str">
            <v>プロセス材１課</v>
          </cell>
          <cell r="D156" t="str">
            <v>ダミー担当者</v>
          </cell>
          <cell r="E156" t="str">
            <v>リンテック㈱</v>
          </cell>
          <cell r="F156">
            <v>3</v>
          </cell>
          <cell r="G156" t="str">
            <v>S</v>
          </cell>
          <cell r="H156" t="str">
            <v>N</v>
          </cell>
          <cell r="I156" t="str">
            <v>MLB</v>
          </cell>
          <cell r="K156" t="str">
            <v>MNGTBF</v>
          </cell>
          <cell r="L156">
            <v>25</v>
          </cell>
          <cell r="M156" t="str">
            <v>メタルミー　ネーマー　銀艶　Ｂ</v>
          </cell>
          <cell r="N156">
            <v>1005</v>
          </cell>
          <cell r="O156">
            <v>1000</v>
          </cell>
          <cell r="P156">
            <v>4000</v>
          </cell>
          <cell r="Q156">
            <v>2</v>
          </cell>
        </row>
        <row r="157">
          <cell r="A157">
            <v>3680028</v>
          </cell>
          <cell r="B157" t="str">
            <v>福島コーティング</v>
          </cell>
          <cell r="C157" t="str">
            <v>プロセス材１課</v>
          </cell>
          <cell r="D157" t="str">
            <v>ダミー担当者</v>
          </cell>
          <cell r="E157" t="str">
            <v>リンテック㈱</v>
          </cell>
          <cell r="F157">
            <v>3</v>
          </cell>
          <cell r="G157" t="str">
            <v>S</v>
          </cell>
          <cell r="H157" t="str">
            <v>N</v>
          </cell>
          <cell r="I157" t="str">
            <v>MLB</v>
          </cell>
          <cell r="K157" t="str">
            <v>MNGTBF</v>
          </cell>
          <cell r="L157">
            <v>50</v>
          </cell>
          <cell r="M157" t="str">
            <v>メタルミー　ネーマー　銀艶　Ｂ</v>
          </cell>
          <cell r="N157">
            <v>1120</v>
          </cell>
          <cell r="O157">
            <v>1120</v>
          </cell>
          <cell r="P157">
            <v>5000</v>
          </cell>
          <cell r="Q157">
            <v>2</v>
          </cell>
        </row>
        <row r="158">
          <cell r="A158">
            <v>3680029</v>
          </cell>
          <cell r="B158" t="str">
            <v>福島コーティング</v>
          </cell>
          <cell r="C158" t="str">
            <v>プロセス材１課</v>
          </cell>
          <cell r="D158" t="str">
            <v>ダミー担当者</v>
          </cell>
          <cell r="E158" t="str">
            <v>リンテック㈱</v>
          </cell>
          <cell r="F158">
            <v>3</v>
          </cell>
          <cell r="G158" t="str">
            <v>S</v>
          </cell>
          <cell r="H158" t="str">
            <v>N</v>
          </cell>
          <cell r="I158" t="str">
            <v>MLB</v>
          </cell>
          <cell r="K158" t="str">
            <v>MNGTBF</v>
          </cell>
          <cell r="L158">
            <v>50</v>
          </cell>
          <cell r="M158" t="str">
            <v>メタルミー　ネーマー　銀艶　Ｂ</v>
          </cell>
          <cell r="N158">
            <v>1120</v>
          </cell>
          <cell r="O158">
            <v>1120</v>
          </cell>
          <cell r="P158">
            <v>5000</v>
          </cell>
          <cell r="Q158">
            <v>2</v>
          </cell>
        </row>
        <row r="159">
          <cell r="A159">
            <v>3680030</v>
          </cell>
          <cell r="B159" t="str">
            <v>福島コーティング</v>
          </cell>
          <cell r="C159" t="str">
            <v>プロセス材１課</v>
          </cell>
          <cell r="D159" t="str">
            <v>ダミー担当者</v>
          </cell>
          <cell r="E159" t="str">
            <v>リンテック㈱</v>
          </cell>
          <cell r="F159">
            <v>3</v>
          </cell>
          <cell r="G159" t="str">
            <v>S</v>
          </cell>
          <cell r="H159" t="str">
            <v>N</v>
          </cell>
          <cell r="I159" t="str">
            <v>MLB</v>
          </cell>
          <cell r="K159" t="str">
            <v>MNGTBF</v>
          </cell>
          <cell r="L159">
            <v>50</v>
          </cell>
          <cell r="M159" t="str">
            <v>メタルミー　ネーマー　銀艶　Ｂ</v>
          </cell>
          <cell r="N159">
            <v>1120</v>
          </cell>
          <cell r="O159">
            <v>1120</v>
          </cell>
          <cell r="P159">
            <v>5000</v>
          </cell>
          <cell r="Q159">
            <v>2</v>
          </cell>
        </row>
        <row r="160">
          <cell r="A160">
            <v>3680031</v>
          </cell>
          <cell r="B160" t="str">
            <v>福島コーティング</v>
          </cell>
          <cell r="C160" t="str">
            <v>プロセス材１課</v>
          </cell>
          <cell r="D160" t="str">
            <v>ダミー担当者</v>
          </cell>
          <cell r="E160" t="str">
            <v>リンテック㈱</v>
          </cell>
          <cell r="F160">
            <v>3</v>
          </cell>
          <cell r="G160" t="str">
            <v>S</v>
          </cell>
          <cell r="H160" t="str">
            <v>N</v>
          </cell>
          <cell r="I160" t="str">
            <v>MLB</v>
          </cell>
          <cell r="K160" t="str">
            <v>MNGTBF</v>
          </cell>
          <cell r="L160">
            <v>50</v>
          </cell>
          <cell r="M160" t="str">
            <v>メタルミー　ネーマー　銀艶　Ｂ</v>
          </cell>
          <cell r="N160">
            <v>1120</v>
          </cell>
          <cell r="O160">
            <v>1120</v>
          </cell>
          <cell r="P160">
            <v>5000</v>
          </cell>
          <cell r="Q160">
            <v>2</v>
          </cell>
        </row>
        <row r="161">
          <cell r="A161">
            <v>3680032</v>
          </cell>
          <cell r="B161" t="str">
            <v>福島コーティング</v>
          </cell>
          <cell r="C161" t="str">
            <v>プロセス材１課</v>
          </cell>
          <cell r="D161" t="str">
            <v>ダミー担当者</v>
          </cell>
          <cell r="E161" t="str">
            <v>リンテック㈱</v>
          </cell>
          <cell r="F161">
            <v>3</v>
          </cell>
          <cell r="G161" t="str">
            <v>S</v>
          </cell>
          <cell r="H161" t="str">
            <v>N</v>
          </cell>
          <cell r="I161" t="str">
            <v>MLB</v>
          </cell>
          <cell r="K161" t="str">
            <v>MNNGKBF</v>
          </cell>
          <cell r="L161">
            <v>25</v>
          </cell>
          <cell r="M161" t="str">
            <v>メタルミー　ニューネーマー銀消　Ｂ</v>
          </cell>
          <cell r="N161">
            <v>1005</v>
          </cell>
          <cell r="O161">
            <v>1000</v>
          </cell>
          <cell r="P161">
            <v>4000</v>
          </cell>
          <cell r="Q161">
            <v>2</v>
          </cell>
        </row>
        <row r="162">
          <cell r="A162">
            <v>3680033</v>
          </cell>
          <cell r="B162" t="str">
            <v>福島コーティング</v>
          </cell>
          <cell r="C162" t="str">
            <v>プロセス材１課</v>
          </cell>
          <cell r="D162" t="str">
            <v>ダミー担当者</v>
          </cell>
          <cell r="E162" t="str">
            <v>リンテック㈱</v>
          </cell>
          <cell r="F162">
            <v>3</v>
          </cell>
          <cell r="G162" t="str">
            <v>S</v>
          </cell>
          <cell r="H162" t="str">
            <v>N</v>
          </cell>
          <cell r="I162" t="str">
            <v>MLB</v>
          </cell>
          <cell r="K162" t="str">
            <v>MNNGKBF</v>
          </cell>
          <cell r="L162">
            <v>50</v>
          </cell>
          <cell r="M162" t="str">
            <v>メタルミー　ニューネーマー銀消　Ｂ</v>
          </cell>
          <cell r="N162">
            <v>1000</v>
          </cell>
          <cell r="O162">
            <v>1000</v>
          </cell>
          <cell r="P162">
            <v>4000</v>
          </cell>
          <cell r="Q162">
            <v>2</v>
          </cell>
        </row>
        <row r="163">
          <cell r="A163">
            <v>3680034</v>
          </cell>
          <cell r="B163" t="str">
            <v>福島コーティング</v>
          </cell>
          <cell r="C163" t="str">
            <v>プロセス材１課</v>
          </cell>
          <cell r="D163" t="str">
            <v>ダミー担当者</v>
          </cell>
          <cell r="E163" t="str">
            <v>リンテック㈱</v>
          </cell>
          <cell r="F163" t="str">
            <v>33S</v>
          </cell>
          <cell r="G163" t="str">
            <v>S</v>
          </cell>
          <cell r="H163" t="str">
            <v>N</v>
          </cell>
          <cell r="I163" t="str">
            <v>MCLB</v>
          </cell>
          <cell r="K163" t="str">
            <v>TEKKFV</v>
          </cell>
          <cell r="L163">
            <v>38</v>
          </cell>
          <cell r="M163" t="str">
            <v>メタルミー　ＴＥＳ消開封　Ｖ</v>
          </cell>
          <cell r="N163">
            <v>1005</v>
          </cell>
          <cell r="O163">
            <v>1000</v>
          </cell>
          <cell r="P163">
            <v>2000</v>
          </cell>
          <cell r="Q163">
            <v>2</v>
          </cell>
        </row>
        <row r="164">
          <cell r="A164">
            <v>3680035</v>
          </cell>
          <cell r="B164" t="str">
            <v>福島コーティング</v>
          </cell>
          <cell r="C164" t="str">
            <v>プロセス材１課</v>
          </cell>
          <cell r="D164" t="str">
            <v>ダミー担当者</v>
          </cell>
          <cell r="E164" t="str">
            <v>リンテック㈱</v>
          </cell>
          <cell r="F164" t="str">
            <v>33S</v>
          </cell>
          <cell r="G164" t="str">
            <v>S</v>
          </cell>
          <cell r="H164" t="str">
            <v>N</v>
          </cell>
          <cell r="I164" t="str">
            <v>MCLB</v>
          </cell>
          <cell r="K164" t="str">
            <v>TEKKFV</v>
          </cell>
          <cell r="L164">
            <v>50</v>
          </cell>
          <cell r="M164" t="str">
            <v>メタルミー　ＴＥＳ消開封　Ｖ</v>
          </cell>
          <cell r="N164">
            <v>1005</v>
          </cell>
          <cell r="O164">
            <v>1000</v>
          </cell>
          <cell r="P164">
            <v>4000</v>
          </cell>
          <cell r="Q164">
            <v>2</v>
          </cell>
        </row>
        <row r="165">
          <cell r="A165">
            <v>3680036</v>
          </cell>
          <cell r="B165" t="str">
            <v>福島コーティング</v>
          </cell>
          <cell r="C165" t="str">
            <v>プロセス材１課</v>
          </cell>
          <cell r="D165" t="str">
            <v>ダミー担当者</v>
          </cell>
          <cell r="E165" t="str">
            <v>リンテック㈱</v>
          </cell>
          <cell r="F165" t="str">
            <v>33S</v>
          </cell>
          <cell r="G165" t="str">
            <v>S</v>
          </cell>
          <cell r="H165" t="str">
            <v>N</v>
          </cell>
          <cell r="I165" t="str">
            <v>MCLB</v>
          </cell>
          <cell r="K165" t="str">
            <v>TEKV0V</v>
          </cell>
          <cell r="L165">
            <v>50</v>
          </cell>
          <cell r="M165" t="str">
            <v>メタルミー　ＴＥ－Ｓ消　ＶＯＩＤ　Ｖ</v>
          </cell>
          <cell r="N165">
            <v>1005</v>
          </cell>
          <cell r="O165">
            <v>1000</v>
          </cell>
          <cell r="P165">
            <v>4000</v>
          </cell>
          <cell r="Q165">
            <v>2</v>
          </cell>
        </row>
        <row r="166">
          <cell r="A166">
            <v>3680037</v>
          </cell>
          <cell r="B166" t="str">
            <v>福島コーティング</v>
          </cell>
          <cell r="C166" t="str">
            <v>プロセス材１課</v>
          </cell>
          <cell r="D166" t="str">
            <v>ダミー担当者</v>
          </cell>
          <cell r="E166" t="str">
            <v>リンテック㈱</v>
          </cell>
          <cell r="F166">
            <v>3</v>
          </cell>
          <cell r="G166" t="str">
            <v>S</v>
          </cell>
          <cell r="H166" t="str">
            <v>N</v>
          </cell>
          <cell r="I166" t="str">
            <v>MCLB</v>
          </cell>
          <cell r="K166" t="str">
            <v>DMSV</v>
          </cell>
          <cell r="L166">
            <v>50</v>
          </cell>
          <cell r="M166" t="str">
            <v>ＤＭＳ　Ｖ</v>
          </cell>
          <cell r="N166">
            <v>1005</v>
          </cell>
          <cell r="O166">
            <v>1000</v>
          </cell>
          <cell r="P166">
            <v>2000</v>
          </cell>
          <cell r="Q166">
            <v>2</v>
          </cell>
        </row>
        <row r="167">
          <cell r="A167">
            <v>3680038</v>
          </cell>
          <cell r="B167" t="str">
            <v>福島コーティング</v>
          </cell>
          <cell r="C167" t="str">
            <v>プロセス材１課</v>
          </cell>
          <cell r="D167" t="str">
            <v>ダミー担当者</v>
          </cell>
          <cell r="E167" t="str">
            <v>リンテック㈱</v>
          </cell>
          <cell r="F167">
            <v>3</v>
          </cell>
          <cell r="G167" t="str">
            <v>S</v>
          </cell>
          <cell r="H167" t="str">
            <v>N</v>
          </cell>
          <cell r="I167" t="str">
            <v>MCLB</v>
          </cell>
          <cell r="K167" t="str">
            <v>DMSV</v>
          </cell>
          <cell r="L167">
            <v>50</v>
          </cell>
          <cell r="M167" t="str">
            <v>ＤＭＳ　Ｖ</v>
          </cell>
          <cell r="N167">
            <v>1005</v>
          </cell>
          <cell r="O167">
            <v>1000</v>
          </cell>
          <cell r="P167">
            <v>2000</v>
          </cell>
          <cell r="Q167">
            <v>2</v>
          </cell>
        </row>
        <row r="168">
          <cell r="A168">
            <v>3680041</v>
          </cell>
          <cell r="B168" t="str">
            <v>福島コーティング</v>
          </cell>
          <cell r="C168" t="str">
            <v>プロセス材１課</v>
          </cell>
          <cell r="D168" t="str">
            <v>ダミー担当者</v>
          </cell>
          <cell r="E168" t="str">
            <v>リンテック㈱</v>
          </cell>
          <cell r="F168">
            <v>3</v>
          </cell>
          <cell r="G168" t="str">
            <v>S</v>
          </cell>
          <cell r="H168" t="str">
            <v>N</v>
          </cell>
          <cell r="I168" t="str">
            <v>MLB</v>
          </cell>
          <cell r="K168" t="str">
            <v>MNQR66F</v>
          </cell>
          <cell r="L168">
            <v>25</v>
          </cell>
          <cell r="M168" t="str">
            <v>ＱＲ６６蒸着品</v>
          </cell>
          <cell r="N168">
            <v>1000</v>
          </cell>
          <cell r="O168">
            <v>1000</v>
          </cell>
          <cell r="P168">
            <v>6000</v>
          </cell>
          <cell r="Q168">
            <v>2</v>
          </cell>
        </row>
        <row r="169">
          <cell r="A169">
            <v>3680042</v>
          </cell>
          <cell r="B169" t="str">
            <v>福島コーティング</v>
          </cell>
          <cell r="C169" t="str">
            <v>プロセス材１課</v>
          </cell>
          <cell r="D169" t="str">
            <v>ダミー担当者</v>
          </cell>
          <cell r="E169" t="str">
            <v>リンテック㈱</v>
          </cell>
          <cell r="F169">
            <v>3</v>
          </cell>
          <cell r="G169" t="str">
            <v>S</v>
          </cell>
          <cell r="H169" t="str">
            <v>N</v>
          </cell>
          <cell r="I169" t="str">
            <v>MCLB</v>
          </cell>
          <cell r="K169" t="str">
            <v>HLGTV</v>
          </cell>
          <cell r="L169">
            <v>50</v>
          </cell>
          <cell r="M169" t="str">
            <v>メタルミー　ヘヤライン　銀艶Ｖ</v>
          </cell>
          <cell r="N169">
            <v>1005</v>
          </cell>
          <cell r="O169">
            <v>1000</v>
          </cell>
          <cell r="P169">
            <v>4000</v>
          </cell>
          <cell r="Q169">
            <v>2</v>
          </cell>
        </row>
        <row r="170">
          <cell r="A170">
            <v>3680043</v>
          </cell>
          <cell r="B170" t="str">
            <v>福島コーティング</v>
          </cell>
          <cell r="C170" t="str">
            <v>プロセス材１課</v>
          </cell>
          <cell r="D170" t="str">
            <v>ダミー担当者</v>
          </cell>
          <cell r="E170" t="str">
            <v>リンテック㈱</v>
          </cell>
          <cell r="F170">
            <v>3</v>
          </cell>
          <cell r="G170" t="str">
            <v>S</v>
          </cell>
          <cell r="H170" t="str">
            <v>Y</v>
          </cell>
          <cell r="I170" t="str">
            <v>MLB</v>
          </cell>
          <cell r="K170" t="str">
            <v>MSSMBF</v>
          </cell>
          <cell r="L170">
            <v>25</v>
          </cell>
          <cell r="M170" t="str">
            <v>ＭＥＴＡＬＵＭＹ　ＳＩＬＶＥＲ　Ｓ－ＭＡＴＴＥ　Ｓ２８ＭＭ　Ｂ</v>
          </cell>
          <cell r="N170">
            <v>1120</v>
          </cell>
          <cell r="O170">
            <v>1120</v>
          </cell>
          <cell r="P170">
            <v>8000</v>
          </cell>
          <cell r="Q170">
            <v>2</v>
          </cell>
        </row>
        <row r="171">
          <cell r="A171">
            <v>3680044</v>
          </cell>
          <cell r="B171" t="str">
            <v>福島コーティング</v>
          </cell>
          <cell r="C171" t="str">
            <v>プロセス材１課</v>
          </cell>
          <cell r="D171" t="str">
            <v>ダミー担当者</v>
          </cell>
          <cell r="E171" t="str">
            <v>リンテック㈱</v>
          </cell>
          <cell r="F171">
            <v>3</v>
          </cell>
          <cell r="G171" t="str">
            <v>S</v>
          </cell>
          <cell r="H171" t="str">
            <v>Y</v>
          </cell>
          <cell r="I171" t="str">
            <v>MLB</v>
          </cell>
          <cell r="K171" t="str">
            <v>MSBBZF</v>
          </cell>
          <cell r="L171">
            <v>50</v>
          </cell>
          <cell r="M171" t="str">
            <v>ＭＥＴＡＬＵＭＹ　ＳＩＬＶＥＲ　ＢＲＩＧＨＴ　Ｂ</v>
          </cell>
          <cell r="N171">
            <v>1120</v>
          </cell>
          <cell r="O171">
            <v>1120</v>
          </cell>
          <cell r="P171">
            <v>5000</v>
          </cell>
          <cell r="Q171">
            <v>2</v>
          </cell>
        </row>
        <row r="172">
          <cell r="A172">
            <v>3680045</v>
          </cell>
          <cell r="B172" t="str">
            <v>福島コーティング</v>
          </cell>
          <cell r="C172" t="str">
            <v>プロセス材１課</v>
          </cell>
          <cell r="D172" t="str">
            <v>ダミー担当者</v>
          </cell>
          <cell r="E172" t="str">
            <v>リンテック㈱</v>
          </cell>
          <cell r="F172">
            <v>3</v>
          </cell>
          <cell r="G172" t="str">
            <v>S</v>
          </cell>
          <cell r="H172" t="str">
            <v>Y</v>
          </cell>
          <cell r="I172" t="str">
            <v>MLB</v>
          </cell>
          <cell r="K172" t="str">
            <v>MSBBF</v>
          </cell>
          <cell r="L172">
            <v>25</v>
          </cell>
          <cell r="M172" t="str">
            <v>ＭＥＴＡＬＵＭＹ　ＳＩＬＶＥＲ　ＢＲＩＧＨＴ　Ｔ６２Ｍ　Ｂ</v>
          </cell>
          <cell r="N172">
            <v>1120</v>
          </cell>
          <cell r="O172">
            <v>1120</v>
          </cell>
          <cell r="P172">
            <v>8000</v>
          </cell>
          <cell r="Q172">
            <v>2</v>
          </cell>
        </row>
        <row r="173">
          <cell r="A173">
            <v>3680046</v>
          </cell>
          <cell r="B173" t="str">
            <v>福島コーティング</v>
          </cell>
          <cell r="C173" t="str">
            <v>プロセス材１課</v>
          </cell>
          <cell r="D173" t="str">
            <v>ダミー担当者</v>
          </cell>
          <cell r="E173" t="str">
            <v>リンテック㈱</v>
          </cell>
          <cell r="F173">
            <v>3</v>
          </cell>
          <cell r="G173" t="str">
            <v>S</v>
          </cell>
          <cell r="H173" t="str">
            <v>Y</v>
          </cell>
          <cell r="I173" t="str">
            <v>MLB</v>
          </cell>
          <cell r="K173" t="str">
            <v>MSBBF</v>
          </cell>
          <cell r="L173">
            <v>50</v>
          </cell>
          <cell r="M173" t="str">
            <v>ＭＥＴＡＬＵＭＹ　ＳＩＬＶＥＲ　ＢＲＩＧＨＴ　Ｔ６２Ｍ　Ｂ</v>
          </cell>
          <cell r="N173">
            <v>1120</v>
          </cell>
          <cell r="O173">
            <v>1120</v>
          </cell>
          <cell r="P173">
            <v>5000</v>
          </cell>
          <cell r="Q173">
            <v>2</v>
          </cell>
        </row>
        <row r="174">
          <cell r="A174">
            <v>3680047</v>
          </cell>
          <cell r="B174" t="str">
            <v>福島コーティング</v>
          </cell>
          <cell r="C174" t="str">
            <v>プロセス材１課</v>
          </cell>
          <cell r="D174" t="str">
            <v>ダミー担当者</v>
          </cell>
          <cell r="E174" t="str">
            <v>リンテック㈱</v>
          </cell>
          <cell r="F174">
            <v>3</v>
          </cell>
          <cell r="G174" t="str">
            <v>S</v>
          </cell>
          <cell r="H174" t="str">
            <v>Y</v>
          </cell>
          <cell r="I174" t="str">
            <v>MLB</v>
          </cell>
          <cell r="K174" t="str">
            <v>MSNMBF</v>
          </cell>
          <cell r="L174">
            <v>50</v>
          </cell>
          <cell r="M174" t="str">
            <v>ＭＥＴＡＬＵＭＹ　ＳＩＬＶＥＲ　Ｎ－ＭＡＴＴＥ　Ｘ４４Ｍ　Ｂ</v>
          </cell>
          <cell r="N174">
            <v>1120</v>
          </cell>
          <cell r="O174">
            <v>1120</v>
          </cell>
          <cell r="P174">
            <v>4000</v>
          </cell>
          <cell r="Q174">
            <v>2</v>
          </cell>
        </row>
        <row r="175">
          <cell r="A175">
            <v>3680048</v>
          </cell>
          <cell r="B175" t="str">
            <v>機能Ｆ　ラベル福島原</v>
          </cell>
          <cell r="C175" t="str">
            <v>プロセス材２課</v>
          </cell>
          <cell r="D175" t="str">
            <v>ダミー担当者</v>
          </cell>
          <cell r="E175" t="str">
            <v>㈱ポラテクノ</v>
          </cell>
          <cell r="F175">
            <v>3</v>
          </cell>
          <cell r="G175" t="str">
            <v>T</v>
          </cell>
          <cell r="H175" t="str">
            <v>N</v>
          </cell>
          <cell r="I175" t="str">
            <v>DMS</v>
          </cell>
          <cell r="K175" t="str">
            <v>X42GPC</v>
          </cell>
          <cell r="L175">
            <v>50</v>
          </cell>
          <cell r="M175" t="str">
            <v>ＤＭＳ（Ｘ４２Ｇ）ＰＣ</v>
          </cell>
          <cell r="N175">
            <v>680</v>
          </cell>
          <cell r="O175">
            <v>680</v>
          </cell>
          <cell r="P175">
            <v>2000</v>
          </cell>
          <cell r="Q175">
            <v>2</v>
          </cell>
        </row>
        <row r="176">
          <cell r="A176">
            <v>3683046</v>
          </cell>
          <cell r="B176" t="str">
            <v>福島コーティング</v>
          </cell>
          <cell r="C176" t="str">
            <v>プロセス材２課</v>
          </cell>
          <cell r="D176" t="str">
            <v>ダミー担当者</v>
          </cell>
          <cell r="E176" t="str">
            <v>新タック化成㈱</v>
          </cell>
          <cell r="F176">
            <v>3</v>
          </cell>
          <cell r="G176" t="str">
            <v>S</v>
          </cell>
          <cell r="H176" t="str">
            <v>N</v>
          </cell>
          <cell r="I176" t="str">
            <v>MCLB</v>
          </cell>
          <cell r="K176" t="str">
            <v>MSNEYK</v>
          </cell>
          <cell r="L176">
            <v>25</v>
          </cell>
          <cell r="M176" t="str">
            <v>ＭＳＮ　ＥＹＫ</v>
          </cell>
          <cell r="N176">
            <v>1120</v>
          </cell>
          <cell r="O176">
            <v>1120</v>
          </cell>
          <cell r="P176">
            <v>4000</v>
          </cell>
          <cell r="Q176">
            <v>2</v>
          </cell>
        </row>
        <row r="177">
          <cell r="A177">
            <v>3683662</v>
          </cell>
          <cell r="B177" t="str">
            <v>機能Ｆ　ラベル福島原</v>
          </cell>
          <cell r="C177" t="str">
            <v>プロセス材１課</v>
          </cell>
          <cell r="D177" t="str">
            <v>ダミー担当者</v>
          </cell>
          <cell r="E177" t="str">
            <v>リンテック㈱</v>
          </cell>
          <cell r="F177">
            <v>3</v>
          </cell>
          <cell r="G177" t="str">
            <v>T</v>
          </cell>
          <cell r="H177" t="str">
            <v>N</v>
          </cell>
          <cell r="I177" t="str">
            <v>MCLB</v>
          </cell>
          <cell r="K177" t="str">
            <v>HLKTV</v>
          </cell>
          <cell r="L177">
            <v>50</v>
          </cell>
          <cell r="M177" t="str">
            <v>メタルミー　ヘヤライン金艶Ｖ</v>
          </cell>
          <cell r="N177">
            <v>1000</v>
          </cell>
          <cell r="O177">
            <v>1000</v>
          </cell>
          <cell r="P177">
            <v>2000</v>
          </cell>
          <cell r="Q177">
            <v>2</v>
          </cell>
        </row>
        <row r="178">
          <cell r="A178">
            <v>3684757</v>
          </cell>
          <cell r="B178" t="str">
            <v>福島コーティング</v>
          </cell>
          <cell r="C178" t="str">
            <v>プロセス材１課</v>
          </cell>
          <cell r="D178" t="str">
            <v>ダミー担当者</v>
          </cell>
          <cell r="E178" t="str">
            <v>日精㈱東京支店</v>
          </cell>
          <cell r="F178">
            <v>3</v>
          </cell>
          <cell r="G178" t="str">
            <v>S</v>
          </cell>
          <cell r="H178" t="str">
            <v>N</v>
          </cell>
          <cell r="I178" t="str">
            <v>MLB</v>
          </cell>
          <cell r="K178" t="str">
            <v>MSF</v>
          </cell>
          <cell r="L178">
            <v>25</v>
          </cell>
          <cell r="M178" t="str">
            <v>メタルミー　Ｓ</v>
          </cell>
          <cell r="N178">
            <v>1240</v>
          </cell>
          <cell r="O178">
            <v>1240</v>
          </cell>
          <cell r="P178">
            <v>2000</v>
          </cell>
          <cell r="Q178">
            <v>1</v>
          </cell>
        </row>
        <row r="179">
          <cell r="A179">
            <v>3684758</v>
          </cell>
          <cell r="B179" t="str">
            <v>福島コーティング</v>
          </cell>
          <cell r="C179" t="str">
            <v>工材１部大阪電材課</v>
          </cell>
          <cell r="D179" t="str">
            <v>ダミー担当者</v>
          </cell>
          <cell r="E179" t="str">
            <v>日東電工㈱豊橋工場</v>
          </cell>
          <cell r="F179">
            <v>3</v>
          </cell>
          <cell r="G179" t="str">
            <v>S</v>
          </cell>
          <cell r="H179" t="str">
            <v>N</v>
          </cell>
          <cell r="I179" t="str">
            <v>MLB</v>
          </cell>
          <cell r="K179" t="str">
            <v>MTSF</v>
          </cell>
          <cell r="L179">
            <v>50</v>
          </cell>
          <cell r="M179" t="str">
            <v>メタルミー　ＴＳ</v>
          </cell>
          <cell r="N179">
            <v>1255</v>
          </cell>
          <cell r="O179">
            <v>1250</v>
          </cell>
          <cell r="P179">
            <v>2000</v>
          </cell>
          <cell r="Q179">
            <v>2</v>
          </cell>
        </row>
        <row r="180">
          <cell r="A180">
            <v>3684759</v>
          </cell>
          <cell r="B180" t="str">
            <v>福島コーティング</v>
          </cell>
          <cell r="C180" t="str">
            <v>プロセス材２課</v>
          </cell>
          <cell r="D180" t="str">
            <v>ダミー担当者</v>
          </cell>
          <cell r="E180" t="str">
            <v>大阪シーリング印刷㈱</v>
          </cell>
          <cell r="F180" t="str">
            <v>3H</v>
          </cell>
          <cell r="G180" t="str">
            <v>S</v>
          </cell>
          <cell r="H180" t="str">
            <v>N</v>
          </cell>
          <cell r="I180" t="str">
            <v>MCLB</v>
          </cell>
          <cell r="K180" t="str">
            <v>EYK</v>
          </cell>
          <cell r="L180">
            <v>50</v>
          </cell>
          <cell r="M180" t="str">
            <v>メタルミー　ＥＹＫ</v>
          </cell>
          <cell r="N180">
            <v>1190</v>
          </cell>
          <cell r="O180">
            <v>1190</v>
          </cell>
          <cell r="P180">
            <v>6000</v>
          </cell>
          <cell r="Q180">
            <v>2</v>
          </cell>
        </row>
        <row r="181">
          <cell r="A181">
            <v>3684760</v>
          </cell>
          <cell r="B181" t="str">
            <v>機能Ｆ　ラベル福島原</v>
          </cell>
          <cell r="C181" t="str">
            <v>プロセス材２課</v>
          </cell>
          <cell r="D181" t="str">
            <v>ダミー担当者</v>
          </cell>
          <cell r="E181" t="str">
            <v>㈱ポラテクノ</v>
          </cell>
          <cell r="F181">
            <v>3</v>
          </cell>
          <cell r="G181" t="str">
            <v>T</v>
          </cell>
          <cell r="H181" t="str">
            <v>N</v>
          </cell>
          <cell r="I181" t="str">
            <v>DMS</v>
          </cell>
          <cell r="K181" t="str">
            <v>X42GPC</v>
          </cell>
          <cell r="L181">
            <v>50</v>
          </cell>
          <cell r="M181" t="str">
            <v>ＤＭＳ（Ｘ４２Ｇ）ＰＣ</v>
          </cell>
          <cell r="N181">
            <v>680</v>
          </cell>
          <cell r="O181">
            <v>680</v>
          </cell>
          <cell r="P181">
            <v>2000</v>
          </cell>
          <cell r="Q181">
            <v>2</v>
          </cell>
        </row>
        <row r="182">
          <cell r="A182">
            <v>3684763</v>
          </cell>
          <cell r="B182" t="str">
            <v>福島コーティング</v>
          </cell>
          <cell r="C182" t="str">
            <v>プロセス材２課</v>
          </cell>
          <cell r="D182" t="str">
            <v>ダミー担当者</v>
          </cell>
          <cell r="E182" t="str">
            <v>新タック化成㈱</v>
          </cell>
          <cell r="F182">
            <v>3</v>
          </cell>
          <cell r="G182" t="str">
            <v>S</v>
          </cell>
          <cell r="H182" t="str">
            <v>N</v>
          </cell>
          <cell r="I182" t="str">
            <v>CLB</v>
          </cell>
          <cell r="K182" t="str">
            <v>LEYK</v>
          </cell>
          <cell r="L182">
            <v>25</v>
          </cell>
          <cell r="M182" t="str">
            <v>ルミラー　ＥＹＫ</v>
          </cell>
          <cell r="N182">
            <v>1120</v>
          </cell>
          <cell r="O182">
            <v>1120</v>
          </cell>
          <cell r="P182">
            <v>6000</v>
          </cell>
          <cell r="Q182">
            <v>2</v>
          </cell>
        </row>
        <row r="183">
          <cell r="A183">
            <v>3684764</v>
          </cell>
          <cell r="B183" t="str">
            <v>福島コーティング</v>
          </cell>
          <cell r="C183" t="str">
            <v>プロセス材２課</v>
          </cell>
          <cell r="D183" t="str">
            <v>ダミー担当者</v>
          </cell>
          <cell r="E183" t="str">
            <v>新タック化成㈱</v>
          </cell>
          <cell r="F183">
            <v>3</v>
          </cell>
          <cell r="G183" t="str">
            <v>S</v>
          </cell>
          <cell r="H183" t="str">
            <v>N</v>
          </cell>
          <cell r="I183" t="str">
            <v>CLB</v>
          </cell>
          <cell r="K183" t="str">
            <v>LEYK</v>
          </cell>
          <cell r="L183">
            <v>50</v>
          </cell>
          <cell r="M183" t="str">
            <v>ルミラー　ＥＹＫ</v>
          </cell>
          <cell r="N183">
            <v>1120</v>
          </cell>
          <cell r="O183">
            <v>1120</v>
          </cell>
          <cell r="P183">
            <v>6000</v>
          </cell>
          <cell r="Q183">
            <v>2</v>
          </cell>
        </row>
        <row r="184">
          <cell r="A184">
            <v>3684765</v>
          </cell>
          <cell r="B184" t="str">
            <v>福島コーティング</v>
          </cell>
          <cell r="C184" t="str">
            <v>プロセス材２課</v>
          </cell>
          <cell r="D184" t="str">
            <v>ダミー担当者</v>
          </cell>
          <cell r="E184" t="str">
            <v>新タック化成㈱</v>
          </cell>
          <cell r="F184">
            <v>3</v>
          </cell>
          <cell r="G184" t="str">
            <v>S</v>
          </cell>
          <cell r="H184" t="str">
            <v>N</v>
          </cell>
          <cell r="I184" t="str">
            <v>MCLB</v>
          </cell>
          <cell r="K184" t="str">
            <v>EYK</v>
          </cell>
          <cell r="L184">
            <v>50</v>
          </cell>
          <cell r="M184" t="str">
            <v>メタルミー　ＥＹＫ</v>
          </cell>
          <cell r="N184">
            <v>1120</v>
          </cell>
          <cell r="O184">
            <v>1120</v>
          </cell>
          <cell r="P184">
            <v>6000</v>
          </cell>
          <cell r="Q184">
            <v>2</v>
          </cell>
        </row>
        <row r="185">
          <cell r="A185">
            <v>3684766</v>
          </cell>
          <cell r="B185" t="str">
            <v>福島コーティング</v>
          </cell>
          <cell r="C185" t="str">
            <v>プロセス材１課</v>
          </cell>
          <cell r="D185" t="str">
            <v>ダミー担当者</v>
          </cell>
          <cell r="E185" t="str">
            <v>アジヤアルミ㈱</v>
          </cell>
          <cell r="F185">
            <v>3</v>
          </cell>
          <cell r="G185" t="str">
            <v>S</v>
          </cell>
          <cell r="H185" t="str">
            <v>N</v>
          </cell>
          <cell r="I185" t="str">
            <v>MLB</v>
          </cell>
          <cell r="K185" t="str">
            <v>MNSJF</v>
          </cell>
          <cell r="L185">
            <v>12</v>
          </cell>
          <cell r="M185" t="str">
            <v>ＮＳ蒸着</v>
          </cell>
          <cell r="N185">
            <v>1000</v>
          </cell>
          <cell r="O185">
            <v>1000</v>
          </cell>
          <cell r="P185">
            <v>6000</v>
          </cell>
          <cell r="Q185">
            <v>2</v>
          </cell>
        </row>
        <row r="186">
          <cell r="A186">
            <v>3684767</v>
          </cell>
          <cell r="B186" t="str">
            <v>福島コーティング</v>
          </cell>
          <cell r="C186" t="str">
            <v>プロセス材１課</v>
          </cell>
          <cell r="D186" t="str">
            <v>ダミー担当者</v>
          </cell>
          <cell r="E186" t="str">
            <v>リンテック㈱</v>
          </cell>
          <cell r="F186">
            <v>3</v>
          </cell>
          <cell r="G186" t="str">
            <v>S</v>
          </cell>
          <cell r="H186" t="str">
            <v>N</v>
          </cell>
          <cell r="I186" t="str">
            <v>MLB</v>
          </cell>
          <cell r="K186" t="str">
            <v>MNGKKBF</v>
          </cell>
          <cell r="L186">
            <v>25</v>
          </cell>
          <cell r="M186" t="str">
            <v>メタルミー　ネーマー銀消改　Ｂ</v>
          </cell>
          <cell r="N186">
            <v>1120</v>
          </cell>
          <cell r="O186">
            <v>1120</v>
          </cell>
          <cell r="P186">
            <v>4000</v>
          </cell>
          <cell r="Q186">
            <v>2</v>
          </cell>
        </row>
        <row r="187">
          <cell r="A187">
            <v>3684768</v>
          </cell>
          <cell r="B187" t="str">
            <v>福島コーティング</v>
          </cell>
          <cell r="C187" t="str">
            <v>プロセス材１課</v>
          </cell>
          <cell r="D187" t="str">
            <v>ダミー担当者</v>
          </cell>
          <cell r="E187" t="str">
            <v>リンテック㈱</v>
          </cell>
          <cell r="F187">
            <v>3</v>
          </cell>
          <cell r="G187" t="str">
            <v>S</v>
          </cell>
          <cell r="H187" t="str">
            <v>N</v>
          </cell>
          <cell r="I187" t="str">
            <v>MLB</v>
          </cell>
          <cell r="K187" t="str">
            <v>MNGKKBF</v>
          </cell>
          <cell r="L187">
            <v>50</v>
          </cell>
          <cell r="M187" t="str">
            <v>メタルミー　ネーマー銀消改　Ｂ</v>
          </cell>
          <cell r="N187">
            <v>1120</v>
          </cell>
          <cell r="O187">
            <v>1120</v>
          </cell>
          <cell r="P187">
            <v>4000</v>
          </cell>
          <cell r="Q187">
            <v>2</v>
          </cell>
        </row>
        <row r="188">
          <cell r="A188">
            <v>3684769</v>
          </cell>
          <cell r="B188" t="str">
            <v>福島コーティング</v>
          </cell>
          <cell r="C188" t="str">
            <v>プロセス材１課</v>
          </cell>
          <cell r="D188" t="str">
            <v>ダミー担当者</v>
          </cell>
          <cell r="E188" t="str">
            <v>リンテック㈱</v>
          </cell>
          <cell r="F188">
            <v>3</v>
          </cell>
          <cell r="G188" t="str">
            <v>S</v>
          </cell>
          <cell r="H188" t="str">
            <v>N</v>
          </cell>
          <cell r="I188" t="str">
            <v>MLB</v>
          </cell>
          <cell r="K188" t="str">
            <v>MNGKKBF</v>
          </cell>
          <cell r="L188">
            <v>50</v>
          </cell>
          <cell r="M188" t="str">
            <v>メタルミー　ネーマー銀消改　Ｂ</v>
          </cell>
          <cell r="N188">
            <v>1120</v>
          </cell>
          <cell r="O188">
            <v>1120</v>
          </cell>
          <cell r="P188">
            <v>4000</v>
          </cell>
          <cell r="Q188">
            <v>2</v>
          </cell>
        </row>
        <row r="189">
          <cell r="A189">
            <v>3684770</v>
          </cell>
          <cell r="B189" t="str">
            <v>福島コーティング</v>
          </cell>
          <cell r="C189" t="str">
            <v>プロセス材１課</v>
          </cell>
          <cell r="D189" t="str">
            <v>ダミー担当者</v>
          </cell>
          <cell r="E189" t="str">
            <v>リンテック㈱</v>
          </cell>
          <cell r="F189">
            <v>3</v>
          </cell>
          <cell r="G189" t="str">
            <v>S</v>
          </cell>
          <cell r="H189" t="str">
            <v>N</v>
          </cell>
          <cell r="I189" t="str">
            <v>MLB</v>
          </cell>
          <cell r="K189" t="str">
            <v>MNGKKBF</v>
          </cell>
          <cell r="L189">
            <v>50</v>
          </cell>
          <cell r="M189" t="str">
            <v>メタルミー　ネーマー銀消改　Ｂ</v>
          </cell>
          <cell r="N189">
            <v>1120</v>
          </cell>
          <cell r="O189">
            <v>1120</v>
          </cell>
          <cell r="P189">
            <v>4000</v>
          </cell>
          <cell r="Q189">
            <v>2</v>
          </cell>
        </row>
        <row r="190">
          <cell r="A190">
            <v>3684771</v>
          </cell>
          <cell r="B190" t="str">
            <v>福島コーティング</v>
          </cell>
          <cell r="C190" t="str">
            <v>プロセス材１課</v>
          </cell>
          <cell r="D190" t="str">
            <v>ダミー担当者</v>
          </cell>
          <cell r="E190" t="str">
            <v>リンテック㈱</v>
          </cell>
          <cell r="F190">
            <v>3</v>
          </cell>
          <cell r="G190" t="str">
            <v>S</v>
          </cell>
          <cell r="H190" t="str">
            <v>N</v>
          </cell>
          <cell r="I190" t="str">
            <v>MLB</v>
          </cell>
          <cell r="K190" t="str">
            <v>MNGKKBF</v>
          </cell>
          <cell r="L190">
            <v>50</v>
          </cell>
          <cell r="M190" t="str">
            <v>メタルミー　ネーマー銀消改　Ｂ</v>
          </cell>
          <cell r="N190">
            <v>1120</v>
          </cell>
          <cell r="O190">
            <v>1120</v>
          </cell>
          <cell r="P190">
            <v>4000</v>
          </cell>
          <cell r="Q190">
            <v>2</v>
          </cell>
        </row>
        <row r="191">
          <cell r="A191">
            <v>3684772</v>
          </cell>
          <cell r="B191" t="str">
            <v>福島コーティング</v>
          </cell>
          <cell r="C191" t="str">
            <v>プロセス材１課</v>
          </cell>
          <cell r="D191" t="str">
            <v>ダミー担当者</v>
          </cell>
          <cell r="E191" t="str">
            <v>リンテック㈱</v>
          </cell>
          <cell r="F191">
            <v>3</v>
          </cell>
          <cell r="G191" t="str">
            <v>S</v>
          </cell>
          <cell r="H191" t="str">
            <v>N</v>
          </cell>
          <cell r="I191" t="str">
            <v>MLB</v>
          </cell>
          <cell r="K191" t="str">
            <v>MNGKKBF</v>
          </cell>
          <cell r="L191">
            <v>50</v>
          </cell>
          <cell r="M191" t="str">
            <v>メタルミー　ネーマー銀消改　Ｂ</v>
          </cell>
          <cell r="N191">
            <v>1120</v>
          </cell>
          <cell r="O191">
            <v>1120</v>
          </cell>
          <cell r="P191">
            <v>4000</v>
          </cell>
          <cell r="Q191">
            <v>2</v>
          </cell>
        </row>
        <row r="192">
          <cell r="A192">
            <v>3684773</v>
          </cell>
          <cell r="B192" t="str">
            <v>福島コーティング</v>
          </cell>
          <cell r="C192" t="str">
            <v>プロセス材１課</v>
          </cell>
          <cell r="D192" t="str">
            <v>ダミー担当者</v>
          </cell>
          <cell r="E192" t="str">
            <v>リンテック㈱</v>
          </cell>
          <cell r="F192">
            <v>3</v>
          </cell>
          <cell r="G192" t="str">
            <v>S</v>
          </cell>
          <cell r="H192" t="str">
            <v>N</v>
          </cell>
          <cell r="I192" t="str">
            <v>MLB</v>
          </cell>
          <cell r="K192" t="str">
            <v>MNGKKBF</v>
          </cell>
          <cell r="L192">
            <v>50</v>
          </cell>
          <cell r="M192" t="str">
            <v>メタルミー　ネーマー銀消改　Ｂ</v>
          </cell>
          <cell r="N192">
            <v>1120</v>
          </cell>
          <cell r="O192">
            <v>1120</v>
          </cell>
          <cell r="P192">
            <v>4000</v>
          </cell>
          <cell r="Q192">
            <v>2</v>
          </cell>
        </row>
        <row r="193">
          <cell r="A193">
            <v>3684774</v>
          </cell>
          <cell r="B193" t="str">
            <v>福島コーティング</v>
          </cell>
          <cell r="C193" t="str">
            <v>プロセス材１課</v>
          </cell>
          <cell r="D193" t="str">
            <v>ダミー担当者</v>
          </cell>
          <cell r="E193" t="str">
            <v>リンテック㈱</v>
          </cell>
          <cell r="F193">
            <v>3</v>
          </cell>
          <cell r="G193" t="str">
            <v>S</v>
          </cell>
          <cell r="H193" t="str">
            <v>N</v>
          </cell>
          <cell r="I193" t="str">
            <v>MLB</v>
          </cell>
          <cell r="K193" t="str">
            <v>MNGKBF</v>
          </cell>
          <cell r="L193">
            <v>50</v>
          </cell>
          <cell r="M193" t="str">
            <v>メタルミー　ネーマー銀消　Ｂ</v>
          </cell>
          <cell r="N193">
            <v>1050</v>
          </cell>
          <cell r="O193">
            <v>1050</v>
          </cell>
          <cell r="P193">
            <v>4100</v>
          </cell>
          <cell r="Q193">
            <v>2</v>
          </cell>
        </row>
        <row r="194">
          <cell r="A194">
            <v>3684775</v>
          </cell>
          <cell r="B194" t="str">
            <v>福島コーティング</v>
          </cell>
          <cell r="C194" t="str">
            <v>プロセス材１課</v>
          </cell>
          <cell r="D194" t="str">
            <v>ダミー担当者</v>
          </cell>
          <cell r="E194" t="str">
            <v>リンテック㈱</v>
          </cell>
          <cell r="F194">
            <v>3</v>
          </cell>
          <cell r="G194" t="str">
            <v>S</v>
          </cell>
          <cell r="H194" t="str">
            <v>N</v>
          </cell>
          <cell r="I194" t="str">
            <v>MLB</v>
          </cell>
          <cell r="K194" t="str">
            <v>MNGKBF</v>
          </cell>
          <cell r="L194">
            <v>75</v>
          </cell>
          <cell r="M194" t="str">
            <v>メタルミー　ネーマー銀消　Ｂ</v>
          </cell>
          <cell r="N194">
            <v>1050</v>
          </cell>
          <cell r="O194">
            <v>1050</v>
          </cell>
          <cell r="P194">
            <v>2000</v>
          </cell>
          <cell r="Q194">
            <v>2</v>
          </cell>
        </row>
        <row r="195">
          <cell r="A195">
            <v>3684776</v>
          </cell>
          <cell r="B195" t="str">
            <v>福島コーティング</v>
          </cell>
          <cell r="C195" t="str">
            <v>プロセス材１課</v>
          </cell>
          <cell r="D195" t="str">
            <v>ダミー担当者</v>
          </cell>
          <cell r="E195" t="str">
            <v>リンテック㈱</v>
          </cell>
          <cell r="F195">
            <v>3</v>
          </cell>
          <cell r="G195" t="str">
            <v>S</v>
          </cell>
          <cell r="H195" t="str">
            <v>N</v>
          </cell>
          <cell r="I195" t="str">
            <v>MCLB</v>
          </cell>
          <cell r="K195" t="str">
            <v>NGKVB</v>
          </cell>
          <cell r="L195">
            <v>50</v>
          </cell>
          <cell r="M195" t="str">
            <v>メタルミー　ネーマー銀消　ＶＢ</v>
          </cell>
          <cell r="N195">
            <v>1005</v>
          </cell>
          <cell r="O195">
            <v>1000</v>
          </cell>
          <cell r="P195">
            <v>4000</v>
          </cell>
          <cell r="Q195">
            <v>2</v>
          </cell>
        </row>
        <row r="196">
          <cell r="A196">
            <v>3684778</v>
          </cell>
          <cell r="B196" t="str">
            <v>福島コーティング</v>
          </cell>
          <cell r="C196" t="str">
            <v>プロセス材１課</v>
          </cell>
          <cell r="D196" t="str">
            <v>ダミー担当者</v>
          </cell>
          <cell r="E196" t="str">
            <v>リンテック㈱</v>
          </cell>
          <cell r="F196">
            <v>3</v>
          </cell>
          <cell r="G196" t="str">
            <v>S</v>
          </cell>
          <cell r="H196" t="str">
            <v>N</v>
          </cell>
          <cell r="I196" t="str">
            <v>MLB</v>
          </cell>
          <cell r="K196" t="str">
            <v>MNGTBF</v>
          </cell>
          <cell r="L196">
            <v>25</v>
          </cell>
          <cell r="M196" t="str">
            <v>メタルミー　ネーマー　銀艶　Ｂ</v>
          </cell>
          <cell r="N196">
            <v>1005</v>
          </cell>
          <cell r="O196">
            <v>1000</v>
          </cell>
          <cell r="P196">
            <v>4000</v>
          </cell>
          <cell r="Q196">
            <v>2</v>
          </cell>
        </row>
        <row r="197">
          <cell r="A197">
            <v>3684779</v>
          </cell>
          <cell r="B197" t="str">
            <v>福島コーティング</v>
          </cell>
          <cell r="C197" t="str">
            <v>プロセス材１課</v>
          </cell>
          <cell r="D197" t="str">
            <v>ダミー担当者</v>
          </cell>
          <cell r="E197" t="str">
            <v>リンテック㈱</v>
          </cell>
          <cell r="F197">
            <v>3</v>
          </cell>
          <cell r="G197" t="str">
            <v>S</v>
          </cell>
          <cell r="H197" t="str">
            <v>N</v>
          </cell>
          <cell r="I197" t="str">
            <v>MLB</v>
          </cell>
          <cell r="K197" t="str">
            <v>MNGTBF</v>
          </cell>
          <cell r="L197">
            <v>50</v>
          </cell>
          <cell r="M197" t="str">
            <v>メタルミー　ネーマー　銀艶　Ｂ</v>
          </cell>
          <cell r="N197">
            <v>1120</v>
          </cell>
          <cell r="O197">
            <v>1120</v>
          </cell>
          <cell r="P197">
            <v>5000</v>
          </cell>
          <cell r="Q197">
            <v>2</v>
          </cell>
        </row>
        <row r="198">
          <cell r="A198">
            <v>3684780</v>
          </cell>
          <cell r="B198" t="str">
            <v>福島コーティング</v>
          </cell>
          <cell r="C198" t="str">
            <v>プロセス材１課</v>
          </cell>
          <cell r="D198" t="str">
            <v>ダミー担当者</v>
          </cell>
          <cell r="E198" t="str">
            <v>リンテック㈱</v>
          </cell>
          <cell r="F198">
            <v>3</v>
          </cell>
          <cell r="G198" t="str">
            <v>S</v>
          </cell>
          <cell r="H198" t="str">
            <v>N</v>
          </cell>
          <cell r="I198" t="str">
            <v>MLB</v>
          </cell>
          <cell r="K198" t="str">
            <v>MNGTBF</v>
          </cell>
          <cell r="L198">
            <v>50</v>
          </cell>
          <cell r="M198" t="str">
            <v>メタルミー　ネーマー　銀艶　Ｂ</v>
          </cell>
          <cell r="N198">
            <v>1120</v>
          </cell>
          <cell r="O198">
            <v>1120</v>
          </cell>
          <cell r="P198">
            <v>5000</v>
          </cell>
          <cell r="Q198">
            <v>2</v>
          </cell>
        </row>
        <row r="199">
          <cell r="A199">
            <v>3684781</v>
          </cell>
          <cell r="B199" t="str">
            <v>福島コーティング</v>
          </cell>
          <cell r="C199" t="str">
            <v>プロセス材１課</v>
          </cell>
          <cell r="D199" t="str">
            <v>ダミー担当者</v>
          </cell>
          <cell r="E199" t="str">
            <v>リンテック㈱</v>
          </cell>
          <cell r="F199">
            <v>3</v>
          </cell>
          <cell r="G199" t="str">
            <v>S</v>
          </cell>
          <cell r="H199" t="str">
            <v>N</v>
          </cell>
          <cell r="I199" t="str">
            <v>MLB</v>
          </cell>
          <cell r="K199" t="str">
            <v>MNGTBF</v>
          </cell>
          <cell r="L199">
            <v>50</v>
          </cell>
          <cell r="M199" t="str">
            <v>メタルミー　ネーマー　銀艶　Ｂ</v>
          </cell>
          <cell r="N199">
            <v>1120</v>
          </cell>
          <cell r="O199">
            <v>1120</v>
          </cell>
          <cell r="P199">
            <v>5000</v>
          </cell>
          <cell r="Q199">
            <v>2</v>
          </cell>
        </row>
        <row r="200">
          <cell r="A200">
            <v>3684782</v>
          </cell>
          <cell r="B200" t="str">
            <v>福島コーティング</v>
          </cell>
          <cell r="C200" t="str">
            <v>プロセス材１課</v>
          </cell>
          <cell r="D200" t="str">
            <v>ダミー担当者</v>
          </cell>
          <cell r="E200" t="str">
            <v>リンテック㈱</v>
          </cell>
          <cell r="F200">
            <v>3</v>
          </cell>
          <cell r="G200" t="str">
            <v>S</v>
          </cell>
          <cell r="H200" t="str">
            <v>N</v>
          </cell>
          <cell r="I200" t="str">
            <v>MCLB</v>
          </cell>
          <cell r="K200" t="str">
            <v>NGTVB</v>
          </cell>
          <cell r="L200">
            <v>50</v>
          </cell>
          <cell r="M200" t="str">
            <v>メタルミー　ネーマー　銀艶ＶＢ</v>
          </cell>
          <cell r="N200">
            <v>1195</v>
          </cell>
          <cell r="O200">
            <v>1190</v>
          </cell>
          <cell r="P200">
            <v>6000</v>
          </cell>
          <cell r="Q200">
            <v>2</v>
          </cell>
        </row>
        <row r="201">
          <cell r="A201">
            <v>3684783</v>
          </cell>
          <cell r="B201" t="str">
            <v>福島コーティング</v>
          </cell>
          <cell r="C201" t="str">
            <v>プロセス材１課</v>
          </cell>
          <cell r="D201" t="str">
            <v>ダミー担当者</v>
          </cell>
          <cell r="E201" t="str">
            <v>リンテック㈱</v>
          </cell>
          <cell r="F201">
            <v>3</v>
          </cell>
          <cell r="G201" t="str">
            <v>S</v>
          </cell>
          <cell r="H201" t="str">
            <v>N</v>
          </cell>
          <cell r="I201" t="str">
            <v>MLB</v>
          </cell>
          <cell r="K201" t="str">
            <v>MNNGKBF</v>
          </cell>
          <cell r="L201">
            <v>25</v>
          </cell>
          <cell r="M201" t="str">
            <v>メタルミー　ニューネーマー銀消　Ｂ</v>
          </cell>
          <cell r="N201">
            <v>1005</v>
          </cell>
          <cell r="O201">
            <v>1000</v>
          </cell>
          <cell r="P201">
            <v>4000</v>
          </cell>
          <cell r="Q201">
            <v>2</v>
          </cell>
        </row>
        <row r="202">
          <cell r="A202">
            <v>3684784</v>
          </cell>
          <cell r="B202" t="str">
            <v>福島コーティング</v>
          </cell>
          <cell r="C202" t="str">
            <v>プロセス材１課</v>
          </cell>
          <cell r="D202" t="str">
            <v>ダミー担当者</v>
          </cell>
          <cell r="E202" t="str">
            <v>リンテック㈱</v>
          </cell>
          <cell r="F202">
            <v>3</v>
          </cell>
          <cell r="G202" t="str">
            <v>S</v>
          </cell>
          <cell r="H202" t="str">
            <v>N</v>
          </cell>
          <cell r="I202" t="str">
            <v>MLB</v>
          </cell>
          <cell r="K202" t="str">
            <v>MNNGKBF</v>
          </cell>
          <cell r="L202">
            <v>50</v>
          </cell>
          <cell r="M202" t="str">
            <v>メタルミー　ニューネーマー銀消　Ｂ</v>
          </cell>
          <cell r="N202">
            <v>1000</v>
          </cell>
          <cell r="O202">
            <v>1000</v>
          </cell>
          <cell r="P202">
            <v>4000</v>
          </cell>
          <cell r="Q202">
            <v>2</v>
          </cell>
        </row>
        <row r="203">
          <cell r="A203">
            <v>3684785</v>
          </cell>
          <cell r="B203" t="str">
            <v>福島コーティング</v>
          </cell>
          <cell r="C203" t="str">
            <v>プロセス材１課</v>
          </cell>
          <cell r="D203" t="str">
            <v>ダミー担当者</v>
          </cell>
          <cell r="E203" t="str">
            <v>リンテック㈱</v>
          </cell>
          <cell r="F203" t="str">
            <v>33S</v>
          </cell>
          <cell r="G203" t="str">
            <v>S</v>
          </cell>
          <cell r="H203" t="str">
            <v>N</v>
          </cell>
          <cell r="I203" t="str">
            <v>MCLB</v>
          </cell>
          <cell r="K203" t="str">
            <v>TEKKFV</v>
          </cell>
          <cell r="L203">
            <v>50</v>
          </cell>
          <cell r="M203" t="str">
            <v>メタルミー　ＴＥＳ消開封　Ｖ</v>
          </cell>
          <cell r="N203">
            <v>1005</v>
          </cell>
          <cell r="O203">
            <v>1000</v>
          </cell>
          <cell r="P203">
            <v>4000</v>
          </cell>
          <cell r="Q203">
            <v>2</v>
          </cell>
        </row>
        <row r="204">
          <cell r="A204">
            <v>3684786</v>
          </cell>
          <cell r="B204" t="str">
            <v>福島コーティング</v>
          </cell>
          <cell r="C204" t="str">
            <v>プロセス材１課</v>
          </cell>
          <cell r="D204" t="str">
            <v>ダミー担当者</v>
          </cell>
          <cell r="E204" t="str">
            <v>リンテック㈱</v>
          </cell>
          <cell r="F204" t="str">
            <v>33S</v>
          </cell>
          <cell r="G204" t="str">
            <v>S</v>
          </cell>
          <cell r="H204" t="str">
            <v>N</v>
          </cell>
          <cell r="I204" t="str">
            <v>MCLB</v>
          </cell>
          <cell r="K204" t="str">
            <v>TEKV0V</v>
          </cell>
          <cell r="L204">
            <v>50</v>
          </cell>
          <cell r="M204" t="str">
            <v>メタルミー　ＴＥ－Ｓ消　ＶＯＩＤ　Ｖ</v>
          </cell>
          <cell r="N204">
            <v>1005</v>
          </cell>
          <cell r="O204">
            <v>1000</v>
          </cell>
          <cell r="P204">
            <v>4000</v>
          </cell>
          <cell r="Q204">
            <v>2</v>
          </cell>
        </row>
        <row r="205">
          <cell r="A205">
            <v>3684787</v>
          </cell>
          <cell r="B205" t="str">
            <v>福島コーティング</v>
          </cell>
          <cell r="C205" t="str">
            <v>プロセス材１課</v>
          </cell>
          <cell r="D205" t="str">
            <v>ダミー担当者</v>
          </cell>
          <cell r="E205" t="str">
            <v>リンテック㈱</v>
          </cell>
          <cell r="F205" t="str">
            <v>33S</v>
          </cell>
          <cell r="G205" t="str">
            <v>S</v>
          </cell>
          <cell r="H205" t="str">
            <v>N</v>
          </cell>
          <cell r="I205" t="str">
            <v>MCLB</v>
          </cell>
          <cell r="K205" t="str">
            <v>TETKFV</v>
          </cell>
          <cell r="L205">
            <v>50</v>
          </cell>
          <cell r="M205" t="str">
            <v>メタルミー　ＴＥＳ艶開封　Ｖ</v>
          </cell>
          <cell r="N205">
            <v>1005</v>
          </cell>
          <cell r="O205">
            <v>1000</v>
          </cell>
          <cell r="P205">
            <v>4000</v>
          </cell>
          <cell r="Q205">
            <v>2</v>
          </cell>
        </row>
        <row r="206">
          <cell r="A206">
            <v>3684788</v>
          </cell>
          <cell r="B206" t="str">
            <v>福島コーティング</v>
          </cell>
          <cell r="C206" t="str">
            <v>プロセス材１課</v>
          </cell>
          <cell r="D206" t="str">
            <v>ダミー担当者</v>
          </cell>
          <cell r="E206" t="str">
            <v>リンテック㈱</v>
          </cell>
          <cell r="F206">
            <v>3</v>
          </cell>
          <cell r="G206" t="str">
            <v>S</v>
          </cell>
          <cell r="H206" t="str">
            <v>N</v>
          </cell>
          <cell r="I206" t="str">
            <v>MCLB</v>
          </cell>
          <cell r="K206" t="str">
            <v>TETV0V</v>
          </cell>
          <cell r="L206">
            <v>50</v>
          </cell>
          <cell r="M206" t="str">
            <v>メタルミー　ＴＥＳ艶ＶＯＩＤＶ</v>
          </cell>
          <cell r="N206">
            <v>1005</v>
          </cell>
          <cell r="O206">
            <v>1000</v>
          </cell>
          <cell r="P206">
            <v>4000</v>
          </cell>
          <cell r="Q206">
            <v>2</v>
          </cell>
        </row>
        <row r="207">
          <cell r="A207">
            <v>3684790</v>
          </cell>
          <cell r="B207" t="str">
            <v>福島コーティング</v>
          </cell>
          <cell r="C207" t="str">
            <v>プロセス材１課</v>
          </cell>
          <cell r="D207" t="str">
            <v>ダミー担当者</v>
          </cell>
          <cell r="E207" t="str">
            <v>リンテック㈱</v>
          </cell>
          <cell r="F207">
            <v>3</v>
          </cell>
          <cell r="G207" t="str">
            <v>S</v>
          </cell>
          <cell r="H207" t="str">
            <v>N</v>
          </cell>
          <cell r="I207" t="str">
            <v>MCLB</v>
          </cell>
          <cell r="K207" t="str">
            <v>HLGKJV</v>
          </cell>
          <cell r="L207">
            <v>50</v>
          </cell>
          <cell r="M207" t="str">
            <v>メタルミー　ヘヤライン　銀消Ｖ</v>
          </cell>
          <cell r="N207">
            <v>1005</v>
          </cell>
          <cell r="O207">
            <v>1000</v>
          </cell>
          <cell r="P207">
            <v>2000</v>
          </cell>
          <cell r="Q207">
            <v>2</v>
          </cell>
        </row>
        <row r="208">
          <cell r="A208">
            <v>3684791</v>
          </cell>
          <cell r="B208" t="str">
            <v>福島コーティング</v>
          </cell>
          <cell r="C208" t="str">
            <v>プロセス材１課</v>
          </cell>
          <cell r="D208" t="str">
            <v>ダミー担当者</v>
          </cell>
          <cell r="E208" t="str">
            <v>リンテック㈱</v>
          </cell>
          <cell r="F208">
            <v>3</v>
          </cell>
          <cell r="G208" t="str">
            <v>S</v>
          </cell>
          <cell r="H208" t="str">
            <v>N</v>
          </cell>
          <cell r="I208" t="str">
            <v>MCLB</v>
          </cell>
          <cell r="K208" t="str">
            <v>HLGTV</v>
          </cell>
          <cell r="L208">
            <v>50</v>
          </cell>
          <cell r="M208" t="str">
            <v>メタルミー　ヘヤライン　銀艶Ｖ</v>
          </cell>
          <cell r="N208">
            <v>1005</v>
          </cell>
          <cell r="O208">
            <v>1000</v>
          </cell>
          <cell r="P208">
            <v>4000</v>
          </cell>
          <cell r="Q208">
            <v>2</v>
          </cell>
        </row>
        <row r="209">
          <cell r="A209">
            <v>3684792</v>
          </cell>
          <cell r="B209" t="str">
            <v>機能Ｆ　ラベル福島原</v>
          </cell>
          <cell r="C209" t="str">
            <v>プロセス材１課</v>
          </cell>
          <cell r="D209" t="str">
            <v>ダミー担当者</v>
          </cell>
          <cell r="E209" t="str">
            <v>リンテック㈱</v>
          </cell>
          <cell r="F209">
            <v>3</v>
          </cell>
          <cell r="G209" t="str">
            <v>T</v>
          </cell>
          <cell r="H209" t="str">
            <v>N</v>
          </cell>
          <cell r="I209" t="str">
            <v>MCLB</v>
          </cell>
          <cell r="K209" t="str">
            <v>HLKTV</v>
          </cell>
          <cell r="L209">
            <v>25</v>
          </cell>
          <cell r="M209" t="str">
            <v>メタルミー　ヘヤライン金艶　Ｖ</v>
          </cell>
          <cell r="N209">
            <v>1000</v>
          </cell>
          <cell r="O209">
            <v>1000</v>
          </cell>
          <cell r="P209">
            <v>2000</v>
          </cell>
          <cell r="Q209">
            <v>2</v>
          </cell>
        </row>
        <row r="210">
          <cell r="A210">
            <v>3684793</v>
          </cell>
          <cell r="B210" t="str">
            <v>機能Ｆ　ラベル福島原</v>
          </cell>
          <cell r="C210" t="str">
            <v>プロセス材１課</v>
          </cell>
          <cell r="D210" t="str">
            <v>ダミー担当者</v>
          </cell>
          <cell r="E210" t="str">
            <v>リンテック㈱</v>
          </cell>
          <cell r="F210">
            <v>3</v>
          </cell>
          <cell r="G210" t="str">
            <v>T</v>
          </cell>
          <cell r="H210" t="str">
            <v>N</v>
          </cell>
          <cell r="I210" t="str">
            <v>MCLB</v>
          </cell>
          <cell r="K210" t="str">
            <v>HLKTV</v>
          </cell>
          <cell r="L210">
            <v>50</v>
          </cell>
          <cell r="M210" t="str">
            <v>メタルミー　ヘヤライン金艶Ｖ</v>
          </cell>
          <cell r="N210">
            <v>1000</v>
          </cell>
          <cell r="O210">
            <v>1000</v>
          </cell>
          <cell r="P210">
            <v>2000</v>
          </cell>
          <cell r="Q210">
            <v>2</v>
          </cell>
        </row>
        <row r="211">
          <cell r="A211">
            <v>3684794</v>
          </cell>
          <cell r="B211" t="str">
            <v>福島コーティング</v>
          </cell>
          <cell r="C211" t="str">
            <v>プロセス材１課</v>
          </cell>
          <cell r="D211" t="str">
            <v>ダミー担当者</v>
          </cell>
          <cell r="E211" t="str">
            <v>リンテック㈱</v>
          </cell>
          <cell r="F211">
            <v>3</v>
          </cell>
          <cell r="G211" t="str">
            <v>S</v>
          </cell>
          <cell r="H211" t="str">
            <v>N</v>
          </cell>
          <cell r="I211" t="str">
            <v>CLB</v>
          </cell>
          <cell r="K211" t="str">
            <v>LMEYK</v>
          </cell>
          <cell r="L211">
            <v>38</v>
          </cell>
          <cell r="M211" t="str">
            <v>ルミマットＥＹＫ</v>
          </cell>
          <cell r="N211">
            <v>1005</v>
          </cell>
          <cell r="O211">
            <v>1000</v>
          </cell>
          <cell r="P211">
            <v>4000</v>
          </cell>
          <cell r="Q211">
            <v>2</v>
          </cell>
        </row>
        <row r="212">
          <cell r="A212">
            <v>3684795</v>
          </cell>
          <cell r="B212" t="str">
            <v>福島コーティング</v>
          </cell>
          <cell r="C212" t="str">
            <v>プロセス材１課</v>
          </cell>
          <cell r="D212" t="str">
            <v>ダミー担当者</v>
          </cell>
          <cell r="E212" t="str">
            <v>リンテック㈱</v>
          </cell>
          <cell r="F212">
            <v>3</v>
          </cell>
          <cell r="G212" t="str">
            <v>S</v>
          </cell>
          <cell r="H212" t="str">
            <v>Y</v>
          </cell>
          <cell r="I212" t="str">
            <v>MLB</v>
          </cell>
          <cell r="K212" t="str">
            <v>MSSMBF</v>
          </cell>
          <cell r="L212">
            <v>25</v>
          </cell>
          <cell r="M212" t="str">
            <v>ＭＥＴＡＬＵＭＹ　ＳＩＬＶＥＲ　Ｓ－ＭＡＴＴＥ　Ｓ２８ＭＭ　Ｂ</v>
          </cell>
          <cell r="N212">
            <v>1120</v>
          </cell>
          <cell r="O212">
            <v>1120</v>
          </cell>
          <cell r="P212">
            <v>8000</v>
          </cell>
          <cell r="Q212">
            <v>2</v>
          </cell>
        </row>
        <row r="213">
          <cell r="A213">
            <v>3684796</v>
          </cell>
          <cell r="B213" t="str">
            <v>福島コーティング</v>
          </cell>
          <cell r="C213" t="str">
            <v>プロセス材１課</v>
          </cell>
          <cell r="D213" t="str">
            <v>ダミー担当者</v>
          </cell>
          <cell r="E213" t="str">
            <v>リンテック㈱</v>
          </cell>
          <cell r="F213">
            <v>3</v>
          </cell>
          <cell r="G213" t="str">
            <v>S</v>
          </cell>
          <cell r="H213" t="str">
            <v>Y</v>
          </cell>
          <cell r="I213" t="str">
            <v>MLB</v>
          </cell>
          <cell r="K213" t="str">
            <v>MSSMBF</v>
          </cell>
          <cell r="L213">
            <v>50</v>
          </cell>
          <cell r="M213" t="str">
            <v>ＭＥＴＡＬＵＭＹ　ＳＩＬＶＥＲ　Ｓ－ＭＡＴＴＥ　Ｓ２８ＭＭ　Ｂ</v>
          </cell>
          <cell r="N213">
            <v>1120</v>
          </cell>
          <cell r="O213">
            <v>1120</v>
          </cell>
          <cell r="P213">
            <v>4000</v>
          </cell>
          <cell r="Q213">
            <v>2</v>
          </cell>
        </row>
        <row r="214">
          <cell r="A214">
            <v>3684797</v>
          </cell>
          <cell r="B214" t="str">
            <v>福島コーティング</v>
          </cell>
          <cell r="C214" t="str">
            <v>プロセス材１課</v>
          </cell>
          <cell r="D214" t="str">
            <v>ダミー担当者</v>
          </cell>
          <cell r="E214" t="str">
            <v>リンテック㈱</v>
          </cell>
          <cell r="F214">
            <v>3</v>
          </cell>
          <cell r="G214" t="str">
            <v>S</v>
          </cell>
          <cell r="H214" t="str">
            <v>Y</v>
          </cell>
          <cell r="I214" t="str">
            <v>MLB</v>
          </cell>
          <cell r="K214" t="str">
            <v>MSSMBF</v>
          </cell>
          <cell r="L214">
            <v>50</v>
          </cell>
          <cell r="M214" t="str">
            <v>ＭＥＴＡＬＵＭＹ　ＳＩＬＶＥＲ　Ｓ－ＭＡＴＴＥ　Ｓ２８ＭＭ　Ｂ</v>
          </cell>
          <cell r="N214">
            <v>1120</v>
          </cell>
          <cell r="O214">
            <v>1120</v>
          </cell>
          <cell r="P214">
            <v>4000</v>
          </cell>
          <cell r="Q214">
            <v>2</v>
          </cell>
        </row>
        <row r="215">
          <cell r="A215">
            <v>3684798</v>
          </cell>
          <cell r="B215" t="str">
            <v>福島コーティング</v>
          </cell>
          <cell r="C215" t="str">
            <v>プロセス材１課</v>
          </cell>
          <cell r="D215" t="str">
            <v>ダミー担当者</v>
          </cell>
          <cell r="E215" t="str">
            <v>リンテック㈱</v>
          </cell>
          <cell r="F215">
            <v>3</v>
          </cell>
          <cell r="G215" t="str">
            <v>S</v>
          </cell>
          <cell r="H215" t="str">
            <v>Y</v>
          </cell>
          <cell r="I215" t="str">
            <v>MLB</v>
          </cell>
          <cell r="K215" t="str">
            <v>MSBBF</v>
          </cell>
          <cell r="L215">
            <v>25</v>
          </cell>
          <cell r="M215" t="str">
            <v>ＭＥＴＡＬＵＭＹ　ＳＩＬＶＥＲ　ＢＲＩＧＨＴ　Ｔ６２Ｍ　Ｂ</v>
          </cell>
          <cell r="N215">
            <v>1120</v>
          </cell>
          <cell r="O215">
            <v>1120</v>
          </cell>
          <cell r="P215">
            <v>8000</v>
          </cell>
          <cell r="Q215">
            <v>2</v>
          </cell>
        </row>
        <row r="216">
          <cell r="A216">
            <v>3684799</v>
          </cell>
          <cell r="B216" t="str">
            <v>福島コーティング</v>
          </cell>
          <cell r="C216" t="str">
            <v>プロセス材１課</v>
          </cell>
          <cell r="D216" t="str">
            <v>ダミー担当者</v>
          </cell>
          <cell r="E216" t="str">
            <v>リンテック㈱</v>
          </cell>
          <cell r="F216">
            <v>3</v>
          </cell>
          <cell r="G216" t="str">
            <v>S</v>
          </cell>
          <cell r="H216" t="str">
            <v>Y</v>
          </cell>
          <cell r="I216" t="str">
            <v>MLB</v>
          </cell>
          <cell r="K216" t="str">
            <v>MSNMBF</v>
          </cell>
          <cell r="L216">
            <v>50</v>
          </cell>
          <cell r="M216" t="str">
            <v>ＭＥＴＡＬＵＭＹ　ＳＩＬＶＥＲ　Ｎ－ＭＡＴＴＥ　Ｘ４４Ｍ　Ｂ</v>
          </cell>
          <cell r="N216">
            <v>1120</v>
          </cell>
          <cell r="O216">
            <v>1120</v>
          </cell>
          <cell r="P216">
            <v>4000</v>
          </cell>
          <cell r="Q216">
            <v>2</v>
          </cell>
        </row>
        <row r="217">
          <cell r="A217">
            <v>3684800</v>
          </cell>
          <cell r="B217" t="str">
            <v>福島コーティング</v>
          </cell>
          <cell r="C217" t="str">
            <v>プロセス材１課</v>
          </cell>
          <cell r="D217" t="str">
            <v>ダミー担当者</v>
          </cell>
          <cell r="E217" t="str">
            <v>リンテック㈱</v>
          </cell>
          <cell r="F217">
            <v>3</v>
          </cell>
          <cell r="G217" t="str">
            <v>S</v>
          </cell>
          <cell r="H217" t="str">
            <v>Y</v>
          </cell>
          <cell r="I217" t="str">
            <v>MLB</v>
          </cell>
          <cell r="K217" t="str">
            <v>MSBBF</v>
          </cell>
          <cell r="L217">
            <v>50</v>
          </cell>
          <cell r="M217" t="str">
            <v>ＭＥＴＡＬＵＭＹ　ＳＩＬＶＥＲ　ＢＲＩＧＨＴ　Ｔ６２Ｍ　Ｂ</v>
          </cell>
          <cell r="N217">
            <v>1120</v>
          </cell>
          <cell r="O217">
            <v>1120</v>
          </cell>
          <cell r="P217">
            <v>5000</v>
          </cell>
          <cell r="Q217">
            <v>2</v>
          </cell>
        </row>
        <row r="218">
          <cell r="A218">
            <v>3684801</v>
          </cell>
          <cell r="B218" t="str">
            <v>福島コーティング</v>
          </cell>
          <cell r="C218" t="str">
            <v>プロセス材１課</v>
          </cell>
          <cell r="D218" t="str">
            <v>ダミー担当者</v>
          </cell>
          <cell r="E218" t="str">
            <v>リンテック㈱</v>
          </cell>
          <cell r="F218">
            <v>3</v>
          </cell>
          <cell r="G218" t="str">
            <v>S</v>
          </cell>
          <cell r="H218" t="str">
            <v>Y</v>
          </cell>
          <cell r="I218" t="str">
            <v>MLB</v>
          </cell>
          <cell r="K218" t="str">
            <v>MSNMBF</v>
          </cell>
          <cell r="L218">
            <v>50</v>
          </cell>
          <cell r="M218" t="str">
            <v>ＭＥＴＡＬＵＭＹ　ＳＩＬＶＥＲ　Ｎ－ＭＡＴＴＥ　Ｘ４４Ｍ　Ｂ</v>
          </cell>
          <cell r="N218">
            <v>1120</v>
          </cell>
          <cell r="O218">
            <v>1120</v>
          </cell>
          <cell r="P218">
            <v>4000</v>
          </cell>
          <cell r="Q218">
            <v>2</v>
          </cell>
        </row>
        <row r="219">
          <cell r="A219">
            <v>3686127</v>
          </cell>
          <cell r="B219" t="str">
            <v>福島コーティング</v>
          </cell>
          <cell r="C219" t="str">
            <v>プロセス材１課</v>
          </cell>
          <cell r="D219" t="str">
            <v>ダミー担当者</v>
          </cell>
          <cell r="E219" t="str">
            <v>リンテック㈱</v>
          </cell>
          <cell r="F219">
            <v>3</v>
          </cell>
          <cell r="G219" t="str">
            <v>S</v>
          </cell>
          <cell r="H219" t="str">
            <v>N</v>
          </cell>
          <cell r="I219" t="str">
            <v>MLB</v>
          </cell>
          <cell r="K219" t="str">
            <v>MNGTBF</v>
          </cell>
          <cell r="L219">
            <v>50</v>
          </cell>
          <cell r="M219" t="str">
            <v>メタルミー　ネーマー　銀艶　Ｂ</v>
          </cell>
          <cell r="N219">
            <v>1120</v>
          </cell>
          <cell r="O219">
            <v>1120</v>
          </cell>
          <cell r="P219">
            <v>5000</v>
          </cell>
          <cell r="Q219">
            <v>2</v>
          </cell>
        </row>
        <row r="220">
          <cell r="A220">
            <v>3686128</v>
          </cell>
          <cell r="B220" t="str">
            <v>機能Ｆ　ラベル福島原</v>
          </cell>
          <cell r="C220" t="str">
            <v>工材１部電材課</v>
          </cell>
          <cell r="D220" t="str">
            <v>ダミー担当者</v>
          </cell>
          <cell r="E220" t="str">
            <v>日東関東</v>
          </cell>
          <cell r="F220">
            <v>3</v>
          </cell>
          <cell r="G220" t="str">
            <v>T</v>
          </cell>
          <cell r="H220" t="str">
            <v>N</v>
          </cell>
          <cell r="I220" t="str">
            <v>MLB</v>
          </cell>
          <cell r="K220" t="str">
            <v>MBSF</v>
          </cell>
          <cell r="L220">
            <v>12</v>
          </cell>
          <cell r="M220" t="str">
            <v>メタルミー　ＢＳ</v>
          </cell>
          <cell r="N220">
            <v>600</v>
          </cell>
          <cell r="O220">
            <v>600</v>
          </cell>
          <cell r="P220">
            <v>3000</v>
          </cell>
          <cell r="Q220">
            <v>1</v>
          </cell>
        </row>
        <row r="221">
          <cell r="A221">
            <v>3686129</v>
          </cell>
          <cell r="B221" t="str">
            <v>福島コーティング</v>
          </cell>
          <cell r="C221" t="str">
            <v>工材１部電材課</v>
          </cell>
          <cell r="D221" t="str">
            <v>ダミー担当者</v>
          </cell>
          <cell r="E221" t="str">
            <v>寺岡製作所　大宮工場</v>
          </cell>
          <cell r="F221">
            <v>3</v>
          </cell>
          <cell r="G221" t="str">
            <v>S</v>
          </cell>
          <cell r="H221" t="str">
            <v>N</v>
          </cell>
          <cell r="I221" t="str">
            <v>MLB</v>
          </cell>
          <cell r="K221" t="str">
            <v>MSF</v>
          </cell>
          <cell r="L221">
            <v>25</v>
          </cell>
          <cell r="M221" t="str">
            <v>メタルミー　Ｓ</v>
          </cell>
          <cell r="N221">
            <v>1000</v>
          </cell>
          <cell r="O221">
            <v>1000</v>
          </cell>
          <cell r="P221">
            <v>2000</v>
          </cell>
          <cell r="Q221">
            <v>2</v>
          </cell>
        </row>
        <row r="222">
          <cell r="A222">
            <v>3686233</v>
          </cell>
          <cell r="B222" t="str">
            <v>福島コーティング</v>
          </cell>
          <cell r="C222" t="str">
            <v>プロセス材１課</v>
          </cell>
          <cell r="D222" t="str">
            <v>ダミー担当者</v>
          </cell>
          <cell r="E222" t="str">
            <v>リンテック㈱</v>
          </cell>
          <cell r="F222">
            <v>3</v>
          </cell>
          <cell r="G222" t="str">
            <v>S</v>
          </cell>
          <cell r="H222" t="str">
            <v>N</v>
          </cell>
          <cell r="I222" t="str">
            <v>MCLB</v>
          </cell>
          <cell r="K222" t="str">
            <v>HLGTV</v>
          </cell>
          <cell r="L222">
            <v>50</v>
          </cell>
          <cell r="M222" t="str">
            <v>メタルミー　ヘヤライン　銀艶Ｖ</v>
          </cell>
          <cell r="N222">
            <v>1005</v>
          </cell>
          <cell r="O222">
            <v>1000</v>
          </cell>
          <cell r="P222">
            <v>2000</v>
          </cell>
          <cell r="Q222">
            <v>2</v>
          </cell>
        </row>
        <row r="223">
          <cell r="A223">
            <v>3686428</v>
          </cell>
          <cell r="B223" t="str">
            <v>機能Ｆ　ラベル福島開</v>
          </cell>
          <cell r="C223" t="str">
            <v>プロセス材２課</v>
          </cell>
          <cell r="D223" t="str">
            <v>ダミー担当者</v>
          </cell>
          <cell r="E223" t="str">
            <v>大阪シーリング印刷㈱</v>
          </cell>
          <cell r="F223">
            <v>3</v>
          </cell>
          <cell r="G223" t="str">
            <v>U</v>
          </cell>
          <cell r="H223" t="str">
            <v>N</v>
          </cell>
          <cell r="I223" t="str">
            <v>MCLB</v>
          </cell>
          <cell r="K223" t="str">
            <v>DMSEYK</v>
          </cell>
          <cell r="L223">
            <v>50</v>
          </cell>
          <cell r="M223" t="str">
            <v>ＤＭＳ　ＥＹＫ</v>
          </cell>
          <cell r="N223">
            <v>1190</v>
          </cell>
          <cell r="O223">
            <v>1190</v>
          </cell>
          <cell r="P223">
            <v>4000</v>
          </cell>
          <cell r="Q223">
            <v>2</v>
          </cell>
        </row>
        <row r="224">
          <cell r="A224">
            <v>3689024</v>
          </cell>
          <cell r="B224" t="str">
            <v>福島コーティング</v>
          </cell>
          <cell r="C224" t="str">
            <v>プロセス材２課</v>
          </cell>
          <cell r="D224" t="str">
            <v>ダミー担当者</v>
          </cell>
          <cell r="E224" t="str">
            <v>大阪シーリング印刷㈱</v>
          </cell>
          <cell r="F224">
            <v>3</v>
          </cell>
          <cell r="G224" t="str">
            <v>S</v>
          </cell>
          <cell r="H224" t="str">
            <v>N</v>
          </cell>
          <cell r="I224" t="str">
            <v>MCLB</v>
          </cell>
          <cell r="K224" t="str">
            <v>MSNEYK</v>
          </cell>
          <cell r="L224">
            <v>50</v>
          </cell>
          <cell r="M224" t="str">
            <v>ＭＳＮ　ＥＹＫ</v>
          </cell>
          <cell r="N224">
            <v>1200</v>
          </cell>
          <cell r="O224">
            <v>1190</v>
          </cell>
          <cell r="P224">
            <v>6000</v>
          </cell>
          <cell r="Q224">
            <v>2</v>
          </cell>
        </row>
        <row r="225">
          <cell r="A225">
            <v>3689026</v>
          </cell>
          <cell r="B225" t="str">
            <v>福島コーティング</v>
          </cell>
          <cell r="C225" t="str">
            <v>プロセス材２課</v>
          </cell>
          <cell r="D225" t="str">
            <v>ダミー担当者</v>
          </cell>
          <cell r="E225" t="str">
            <v>新タック化成㈱</v>
          </cell>
          <cell r="F225">
            <v>3</v>
          </cell>
          <cell r="G225" t="str">
            <v>S</v>
          </cell>
          <cell r="H225" t="str">
            <v>N</v>
          </cell>
          <cell r="I225" t="str">
            <v>MCLB</v>
          </cell>
          <cell r="K225" t="str">
            <v>MSNEYK</v>
          </cell>
          <cell r="L225">
            <v>25</v>
          </cell>
          <cell r="M225" t="str">
            <v>ＭＳＮ　ＥＹＫ</v>
          </cell>
          <cell r="N225">
            <v>1120</v>
          </cell>
          <cell r="O225">
            <v>1120</v>
          </cell>
          <cell r="P225">
            <v>4000</v>
          </cell>
          <cell r="Q225">
            <v>2</v>
          </cell>
        </row>
        <row r="226">
          <cell r="A226">
            <v>3689028</v>
          </cell>
          <cell r="B226" t="str">
            <v>福島コーティング</v>
          </cell>
          <cell r="C226" t="str">
            <v>プロセス材２課</v>
          </cell>
          <cell r="D226" t="str">
            <v>ダミー担当者</v>
          </cell>
          <cell r="E226" t="str">
            <v>新タック化成㈱</v>
          </cell>
          <cell r="F226">
            <v>3</v>
          </cell>
          <cell r="G226" t="str">
            <v>S</v>
          </cell>
          <cell r="H226" t="str">
            <v>N</v>
          </cell>
          <cell r="I226" t="str">
            <v>MCLB</v>
          </cell>
          <cell r="K226" t="str">
            <v>MSNEYK</v>
          </cell>
          <cell r="L226">
            <v>50</v>
          </cell>
          <cell r="M226" t="str">
            <v>ＭＳＮ　ＥＹＫ</v>
          </cell>
          <cell r="N226">
            <v>1120</v>
          </cell>
          <cell r="O226">
            <v>1120</v>
          </cell>
          <cell r="P226">
            <v>4000</v>
          </cell>
          <cell r="Q226">
            <v>2</v>
          </cell>
        </row>
        <row r="227">
          <cell r="A227">
            <v>3689030</v>
          </cell>
          <cell r="B227" t="str">
            <v>福島コーティング</v>
          </cell>
          <cell r="C227" t="str">
            <v>プロセス材１課</v>
          </cell>
          <cell r="D227" t="str">
            <v>ダミー担当者</v>
          </cell>
          <cell r="E227" t="str">
            <v>リンテック㈱</v>
          </cell>
          <cell r="F227">
            <v>3</v>
          </cell>
          <cell r="G227" t="str">
            <v>S</v>
          </cell>
          <cell r="H227" t="str">
            <v>N</v>
          </cell>
          <cell r="I227" t="str">
            <v>MLB</v>
          </cell>
          <cell r="K227" t="str">
            <v>MNGKKBF</v>
          </cell>
          <cell r="L227">
            <v>25</v>
          </cell>
          <cell r="M227" t="str">
            <v>メタルミー　ネーマー銀消改　Ｂ</v>
          </cell>
          <cell r="N227">
            <v>1120</v>
          </cell>
          <cell r="O227">
            <v>1120</v>
          </cell>
          <cell r="P227">
            <v>4000</v>
          </cell>
          <cell r="Q227">
            <v>2</v>
          </cell>
        </row>
        <row r="228">
          <cell r="A228">
            <v>3689033</v>
          </cell>
          <cell r="B228" t="str">
            <v>福島コーティング</v>
          </cell>
          <cell r="C228" t="str">
            <v>プロセス材１課</v>
          </cell>
          <cell r="D228" t="str">
            <v>ダミー担当者</v>
          </cell>
          <cell r="E228" t="str">
            <v>リンテック㈱</v>
          </cell>
          <cell r="F228">
            <v>3</v>
          </cell>
          <cell r="G228" t="str">
            <v>S</v>
          </cell>
          <cell r="H228" t="str">
            <v>N</v>
          </cell>
          <cell r="I228" t="str">
            <v>MLB</v>
          </cell>
          <cell r="K228" t="str">
            <v>MNGKKBF</v>
          </cell>
          <cell r="L228">
            <v>50</v>
          </cell>
          <cell r="M228" t="str">
            <v>メタルミー　ネーマー銀消改　Ｂ</v>
          </cell>
          <cell r="N228">
            <v>1000</v>
          </cell>
          <cell r="O228">
            <v>1000</v>
          </cell>
          <cell r="P228">
            <v>4000</v>
          </cell>
          <cell r="Q228">
            <v>2</v>
          </cell>
        </row>
        <row r="229">
          <cell r="A229">
            <v>3689035</v>
          </cell>
          <cell r="B229" t="str">
            <v>福島コーティング</v>
          </cell>
          <cell r="C229" t="str">
            <v>プロセス材１課</v>
          </cell>
          <cell r="D229" t="str">
            <v>ダミー担当者</v>
          </cell>
          <cell r="E229" t="str">
            <v>リンテック㈱</v>
          </cell>
          <cell r="F229">
            <v>3</v>
          </cell>
          <cell r="G229" t="str">
            <v>S</v>
          </cell>
          <cell r="H229" t="str">
            <v>N</v>
          </cell>
          <cell r="I229" t="str">
            <v>MLB</v>
          </cell>
          <cell r="K229" t="str">
            <v>MNGKKBF</v>
          </cell>
          <cell r="L229">
            <v>50</v>
          </cell>
          <cell r="M229" t="str">
            <v>メタルミー　ネーマー銀消改　Ｂ</v>
          </cell>
          <cell r="N229">
            <v>1120</v>
          </cell>
          <cell r="O229">
            <v>1120</v>
          </cell>
          <cell r="P229">
            <v>4000</v>
          </cell>
          <cell r="Q229">
            <v>2</v>
          </cell>
        </row>
        <row r="230">
          <cell r="A230">
            <v>3689037</v>
          </cell>
          <cell r="B230" t="str">
            <v>福島コーティング</v>
          </cell>
          <cell r="C230" t="str">
            <v>プロセス材１課</v>
          </cell>
          <cell r="D230" t="str">
            <v>ダミー担当者</v>
          </cell>
          <cell r="E230" t="str">
            <v>リンテック㈱</v>
          </cell>
          <cell r="F230">
            <v>3</v>
          </cell>
          <cell r="G230" t="str">
            <v>S</v>
          </cell>
          <cell r="H230" t="str">
            <v>N</v>
          </cell>
          <cell r="I230" t="str">
            <v>MLB</v>
          </cell>
          <cell r="K230" t="str">
            <v>MNGKKBF</v>
          </cell>
          <cell r="L230">
            <v>50</v>
          </cell>
          <cell r="M230" t="str">
            <v>メタルミー　ネーマー銀消改　Ｂ</v>
          </cell>
          <cell r="N230">
            <v>1120</v>
          </cell>
          <cell r="O230">
            <v>1120</v>
          </cell>
          <cell r="P230">
            <v>4000</v>
          </cell>
          <cell r="Q230">
            <v>2</v>
          </cell>
        </row>
        <row r="231">
          <cell r="A231">
            <v>3689039</v>
          </cell>
          <cell r="B231" t="str">
            <v>福島コーティング</v>
          </cell>
          <cell r="C231" t="str">
            <v>プロセス材１課</v>
          </cell>
          <cell r="D231" t="str">
            <v>ダミー担当者</v>
          </cell>
          <cell r="E231" t="str">
            <v>リンテック㈱</v>
          </cell>
          <cell r="F231">
            <v>3</v>
          </cell>
          <cell r="G231" t="str">
            <v>S</v>
          </cell>
          <cell r="H231" t="str">
            <v>N</v>
          </cell>
          <cell r="I231" t="str">
            <v>MLB</v>
          </cell>
          <cell r="K231" t="str">
            <v>MNGKKBF</v>
          </cell>
          <cell r="L231">
            <v>50</v>
          </cell>
          <cell r="M231" t="str">
            <v>メタルミー　ネーマー銀消改　Ｂ</v>
          </cell>
          <cell r="N231">
            <v>1120</v>
          </cell>
          <cell r="O231">
            <v>1120</v>
          </cell>
          <cell r="P231">
            <v>4000</v>
          </cell>
          <cell r="Q231">
            <v>2</v>
          </cell>
        </row>
        <row r="232">
          <cell r="A232">
            <v>3689041</v>
          </cell>
          <cell r="B232" t="str">
            <v>福島コーティング</v>
          </cell>
          <cell r="C232" t="str">
            <v>プロセス材１課</v>
          </cell>
          <cell r="D232" t="str">
            <v>ダミー担当者</v>
          </cell>
          <cell r="E232" t="str">
            <v>リンテック㈱</v>
          </cell>
          <cell r="F232">
            <v>3</v>
          </cell>
          <cell r="G232" t="str">
            <v>S</v>
          </cell>
          <cell r="H232" t="str">
            <v>N</v>
          </cell>
          <cell r="I232" t="str">
            <v>MLB</v>
          </cell>
          <cell r="K232" t="str">
            <v>MNGKKBF</v>
          </cell>
          <cell r="L232">
            <v>50</v>
          </cell>
          <cell r="M232" t="str">
            <v>メタルミー　ネーマー銀消改　Ｂ</v>
          </cell>
          <cell r="N232">
            <v>1120</v>
          </cell>
          <cell r="O232">
            <v>1120</v>
          </cell>
          <cell r="P232">
            <v>4000</v>
          </cell>
          <cell r="Q232">
            <v>2</v>
          </cell>
        </row>
        <row r="233">
          <cell r="A233">
            <v>3689045</v>
          </cell>
          <cell r="B233" t="str">
            <v>福島コーティング</v>
          </cell>
          <cell r="C233" t="str">
            <v>プロセス材１課</v>
          </cell>
          <cell r="D233" t="str">
            <v>ダミー担当者</v>
          </cell>
          <cell r="E233" t="str">
            <v>リンテック㈱</v>
          </cell>
          <cell r="F233">
            <v>3</v>
          </cell>
          <cell r="G233" t="str">
            <v>S</v>
          </cell>
          <cell r="H233" t="str">
            <v>N</v>
          </cell>
          <cell r="I233" t="str">
            <v>MLB</v>
          </cell>
          <cell r="K233" t="str">
            <v>MNGTBF</v>
          </cell>
          <cell r="L233">
            <v>25</v>
          </cell>
          <cell r="M233" t="str">
            <v>メタルミー　ネーマー　銀艶　Ｂ</v>
          </cell>
          <cell r="N233">
            <v>1005</v>
          </cell>
          <cell r="O233">
            <v>1000</v>
          </cell>
          <cell r="P233">
            <v>4000</v>
          </cell>
          <cell r="Q233">
            <v>2</v>
          </cell>
        </row>
        <row r="234">
          <cell r="A234">
            <v>3689047</v>
          </cell>
          <cell r="B234" t="str">
            <v>福島コーティング</v>
          </cell>
          <cell r="C234" t="str">
            <v>プロセス材１課</v>
          </cell>
          <cell r="D234" t="str">
            <v>ダミー担当者</v>
          </cell>
          <cell r="E234" t="str">
            <v>リンテック㈱</v>
          </cell>
          <cell r="F234">
            <v>3</v>
          </cell>
          <cell r="G234" t="str">
            <v>S</v>
          </cell>
          <cell r="H234" t="str">
            <v>N</v>
          </cell>
          <cell r="I234" t="str">
            <v>MLB</v>
          </cell>
          <cell r="K234" t="str">
            <v>MNGTBF</v>
          </cell>
          <cell r="L234">
            <v>50</v>
          </cell>
          <cell r="M234" t="str">
            <v>メタルミー　ネーマー　銀艶　Ｂ</v>
          </cell>
          <cell r="N234">
            <v>1120</v>
          </cell>
          <cell r="O234">
            <v>1120</v>
          </cell>
          <cell r="P234">
            <v>5000</v>
          </cell>
          <cell r="Q234">
            <v>2</v>
          </cell>
        </row>
        <row r="235">
          <cell r="A235">
            <v>3689049</v>
          </cell>
          <cell r="B235" t="str">
            <v>福島コーティング</v>
          </cell>
          <cell r="C235" t="str">
            <v>プロセス材１課</v>
          </cell>
          <cell r="D235" t="str">
            <v>ダミー担当者</v>
          </cell>
          <cell r="E235" t="str">
            <v>リンテック㈱</v>
          </cell>
          <cell r="F235">
            <v>3</v>
          </cell>
          <cell r="G235" t="str">
            <v>S</v>
          </cell>
          <cell r="H235" t="str">
            <v>N</v>
          </cell>
          <cell r="I235" t="str">
            <v>MLB</v>
          </cell>
          <cell r="K235" t="str">
            <v>MNGTBF</v>
          </cell>
          <cell r="L235">
            <v>50</v>
          </cell>
          <cell r="M235" t="str">
            <v>メタルミー　ネーマー　銀艶　Ｂ</v>
          </cell>
          <cell r="N235">
            <v>1120</v>
          </cell>
          <cell r="O235">
            <v>1120</v>
          </cell>
          <cell r="P235">
            <v>5000</v>
          </cell>
          <cell r="Q235">
            <v>2</v>
          </cell>
        </row>
        <row r="236">
          <cell r="A236">
            <v>3689051</v>
          </cell>
          <cell r="B236" t="str">
            <v>福島コーティング</v>
          </cell>
          <cell r="C236" t="str">
            <v>プロセス材１課</v>
          </cell>
          <cell r="D236" t="str">
            <v>ダミー担当者</v>
          </cell>
          <cell r="E236" t="str">
            <v>リンテック㈱</v>
          </cell>
          <cell r="F236">
            <v>3</v>
          </cell>
          <cell r="G236" t="str">
            <v>S</v>
          </cell>
          <cell r="H236" t="str">
            <v>N</v>
          </cell>
          <cell r="I236" t="str">
            <v>MLB</v>
          </cell>
          <cell r="K236" t="str">
            <v>MNNGKBF</v>
          </cell>
          <cell r="L236">
            <v>50</v>
          </cell>
          <cell r="M236" t="str">
            <v>メタルミー　ニューネーマー銀消　Ｂ</v>
          </cell>
          <cell r="N236">
            <v>1000</v>
          </cell>
          <cell r="O236">
            <v>1000</v>
          </cell>
          <cell r="P236">
            <v>4000</v>
          </cell>
          <cell r="Q236">
            <v>2</v>
          </cell>
        </row>
        <row r="237">
          <cell r="A237">
            <v>3689053</v>
          </cell>
          <cell r="B237" t="str">
            <v>福島コーティング</v>
          </cell>
          <cell r="C237" t="str">
            <v>プロセス材１課</v>
          </cell>
          <cell r="D237" t="str">
            <v>ダミー担当者</v>
          </cell>
          <cell r="E237" t="str">
            <v>リンテック㈱</v>
          </cell>
          <cell r="F237" t="str">
            <v>33S</v>
          </cell>
          <cell r="G237" t="str">
            <v>S</v>
          </cell>
          <cell r="H237" t="str">
            <v>N</v>
          </cell>
          <cell r="I237" t="str">
            <v>MCLB</v>
          </cell>
          <cell r="K237" t="str">
            <v>TEKKFV</v>
          </cell>
          <cell r="L237">
            <v>50</v>
          </cell>
          <cell r="M237" t="str">
            <v>メタルミー　ＴＥＳ消開封　Ｖ</v>
          </cell>
          <cell r="N237">
            <v>1005</v>
          </cell>
          <cell r="O237">
            <v>1000</v>
          </cell>
          <cell r="P237">
            <v>4000</v>
          </cell>
          <cell r="Q237">
            <v>2</v>
          </cell>
        </row>
        <row r="238">
          <cell r="A238">
            <v>3689055</v>
          </cell>
          <cell r="B238" t="str">
            <v>福島コーティング</v>
          </cell>
          <cell r="C238" t="str">
            <v>プロセス材１課</v>
          </cell>
          <cell r="D238" t="str">
            <v>ダミー担当者</v>
          </cell>
          <cell r="E238" t="str">
            <v>リンテック㈱</v>
          </cell>
          <cell r="F238" t="str">
            <v>33S</v>
          </cell>
          <cell r="G238" t="str">
            <v>S</v>
          </cell>
          <cell r="H238" t="str">
            <v>N</v>
          </cell>
          <cell r="I238" t="str">
            <v>MCLB</v>
          </cell>
          <cell r="K238" t="str">
            <v>TETKFV</v>
          </cell>
          <cell r="L238">
            <v>50</v>
          </cell>
          <cell r="M238" t="str">
            <v>メタルミー　ＴＥＳ艶開封　Ｖ</v>
          </cell>
          <cell r="N238">
            <v>1005</v>
          </cell>
          <cell r="O238">
            <v>1000</v>
          </cell>
          <cell r="P238">
            <v>4000</v>
          </cell>
          <cell r="Q238">
            <v>2</v>
          </cell>
        </row>
        <row r="239">
          <cell r="A239">
            <v>3689059</v>
          </cell>
          <cell r="B239" t="str">
            <v>福島コーティング</v>
          </cell>
          <cell r="C239" t="str">
            <v>プロセス材１課</v>
          </cell>
          <cell r="D239" t="str">
            <v>ダミー担当者</v>
          </cell>
          <cell r="E239" t="str">
            <v>リンテック㈱</v>
          </cell>
          <cell r="F239">
            <v>3</v>
          </cell>
          <cell r="G239" t="str">
            <v>S</v>
          </cell>
          <cell r="H239" t="str">
            <v>N</v>
          </cell>
          <cell r="I239" t="str">
            <v>MLB</v>
          </cell>
          <cell r="K239" t="str">
            <v>MNQR66F</v>
          </cell>
          <cell r="L239">
            <v>25</v>
          </cell>
          <cell r="M239" t="str">
            <v>ＱＲ６６蒸着品</v>
          </cell>
          <cell r="N239">
            <v>1000</v>
          </cell>
          <cell r="O239">
            <v>1000</v>
          </cell>
          <cell r="P239">
            <v>6000</v>
          </cell>
          <cell r="Q239">
            <v>2</v>
          </cell>
        </row>
        <row r="240">
          <cell r="A240">
            <v>3689061</v>
          </cell>
          <cell r="B240" t="str">
            <v>福島コーティング</v>
          </cell>
          <cell r="C240" t="str">
            <v>プロセス材１課</v>
          </cell>
          <cell r="D240" t="str">
            <v>ダミー担当者</v>
          </cell>
          <cell r="E240" t="str">
            <v>リンテック㈱</v>
          </cell>
          <cell r="F240">
            <v>3</v>
          </cell>
          <cell r="G240" t="str">
            <v>S</v>
          </cell>
          <cell r="H240" t="str">
            <v>N</v>
          </cell>
          <cell r="I240" t="str">
            <v>MCLB</v>
          </cell>
          <cell r="K240" t="str">
            <v>HLGTV</v>
          </cell>
          <cell r="L240">
            <v>50</v>
          </cell>
          <cell r="M240" t="str">
            <v>メタルミー　ヘヤライン　銀艶Ｖ</v>
          </cell>
          <cell r="N240">
            <v>1005</v>
          </cell>
          <cell r="O240">
            <v>1000</v>
          </cell>
          <cell r="P240">
            <v>4000</v>
          </cell>
          <cell r="Q240">
            <v>2</v>
          </cell>
        </row>
        <row r="241">
          <cell r="A241">
            <v>3689063</v>
          </cell>
          <cell r="B241" t="str">
            <v>福島コーティング</v>
          </cell>
          <cell r="C241" t="str">
            <v>プロセス材１課</v>
          </cell>
          <cell r="D241" t="str">
            <v>ダミー担当者</v>
          </cell>
          <cell r="E241" t="str">
            <v>リンテック㈱</v>
          </cell>
          <cell r="F241">
            <v>3</v>
          </cell>
          <cell r="G241" t="str">
            <v>S</v>
          </cell>
          <cell r="H241" t="str">
            <v>N</v>
          </cell>
          <cell r="I241" t="str">
            <v>CLB</v>
          </cell>
          <cell r="K241" t="str">
            <v>LMEYK</v>
          </cell>
          <cell r="L241">
            <v>38</v>
          </cell>
          <cell r="M241" t="str">
            <v>ルミマットＥＹＫ</v>
          </cell>
          <cell r="N241">
            <v>1005</v>
          </cell>
          <cell r="O241">
            <v>1000</v>
          </cell>
          <cell r="P241">
            <v>4000</v>
          </cell>
          <cell r="Q241">
            <v>2</v>
          </cell>
        </row>
        <row r="242">
          <cell r="A242">
            <v>3689065</v>
          </cell>
          <cell r="B242" t="str">
            <v>福島コーティング</v>
          </cell>
          <cell r="C242" t="str">
            <v>プロセス材１課</v>
          </cell>
          <cell r="D242" t="str">
            <v>ダミー担当者</v>
          </cell>
          <cell r="E242" t="str">
            <v>リンテック㈱</v>
          </cell>
          <cell r="F242">
            <v>3</v>
          </cell>
          <cell r="G242" t="str">
            <v>S</v>
          </cell>
          <cell r="H242" t="str">
            <v>Y</v>
          </cell>
          <cell r="I242" t="str">
            <v>MLB</v>
          </cell>
          <cell r="K242" t="str">
            <v>MSSMBZF</v>
          </cell>
          <cell r="L242">
            <v>50</v>
          </cell>
          <cell r="M242" t="str">
            <v>ＭＥＴＡＬＵＭＹ　ＳＩＬＶＥＲ　Ｓ－ＭＡＴＴＥ　Ｂ</v>
          </cell>
          <cell r="N242">
            <v>1120</v>
          </cell>
          <cell r="O242">
            <v>1120</v>
          </cell>
          <cell r="P242">
            <v>4000</v>
          </cell>
          <cell r="Q242">
            <v>2</v>
          </cell>
        </row>
        <row r="243">
          <cell r="A243">
            <v>3689067</v>
          </cell>
          <cell r="B243" t="str">
            <v>福島コーティング</v>
          </cell>
          <cell r="C243" t="str">
            <v>プロセス材１課</v>
          </cell>
          <cell r="D243" t="str">
            <v>ダミー担当者</v>
          </cell>
          <cell r="E243" t="str">
            <v>リンテック㈱</v>
          </cell>
          <cell r="F243">
            <v>3</v>
          </cell>
          <cell r="G243" t="str">
            <v>S</v>
          </cell>
          <cell r="H243" t="str">
            <v>Y</v>
          </cell>
          <cell r="I243" t="str">
            <v>MLB</v>
          </cell>
          <cell r="K243" t="str">
            <v>MSBBZF</v>
          </cell>
          <cell r="L243">
            <v>50</v>
          </cell>
          <cell r="M243" t="str">
            <v>ＭＥＴＡＬＵＭＹ　ＳＩＬＶＥＲ　ＢＲＩＧＨＴ　Ｂ</v>
          </cell>
          <cell r="N243">
            <v>1120</v>
          </cell>
          <cell r="O243">
            <v>1120</v>
          </cell>
          <cell r="P243">
            <v>5000</v>
          </cell>
          <cell r="Q243">
            <v>2</v>
          </cell>
        </row>
        <row r="244">
          <cell r="A244">
            <v>3689069</v>
          </cell>
          <cell r="B244" t="str">
            <v>福島コーティング</v>
          </cell>
          <cell r="C244" t="str">
            <v>プロセス材１課</v>
          </cell>
          <cell r="D244" t="str">
            <v>ダミー担当者</v>
          </cell>
          <cell r="E244" t="str">
            <v>リンテック㈱</v>
          </cell>
          <cell r="F244">
            <v>3</v>
          </cell>
          <cell r="G244" t="str">
            <v>S</v>
          </cell>
          <cell r="H244" t="str">
            <v>Y</v>
          </cell>
          <cell r="I244" t="str">
            <v>MLB</v>
          </cell>
          <cell r="K244" t="str">
            <v>MSBBF</v>
          </cell>
          <cell r="L244">
            <v>50</v>
          </cell>
          <cell r="M244" t="str">
            <v>ＭＥＴＡＬＵＭＹ　ＳＩＬＶＥＲ　ＢＲＩＧＨＴ　Ｔ６２Ｍ　Ｂ</v>
          </cell>
          <cell r="N244">
            <v>1120</v>
          </cell>
          <cell r="O244">
            <v>1120</v>
          </cell>
          <cell r="P244">
            <v>5000</v>
          </cell>
          <cell r="Q244">
            <v>2</v>
          </cell>
        </row>
        <row r="245">
          <cell r="A245">
            <v>3689071</v>
          </cell>
          <cell r="B245" t="str">
            <v>福島コーティング</v>
          </cell>
          <cell r="C245" t="str">
            <v>プロセス材１課</v>
          </cell>
          <cell r="D245" t="str">
            <v>ダミー担当者</v>
          </cell>
          <cell r="E245" t="str">
            <v>リンテック㈱</v>
          </cell>
          <cell r="F245">
            <v>3</v>
          </cell>
          <cell r="G245" t="str">
            <v>S</v>
          </cell>
          <cell r="H245" t="str">
            <v>Y</v>
          </cell>
          <cell r="I245" t="str">
            <v>MLB</v>
          </cell>
          <cell r="K245" t="str">
            <v>MSNMBF</v>
          </cell>
          <cell r="L245">
            <v>50</v>
          </cell>
          <cell r="M245" t="str">
            <v>ＭＥＴＡＬＵＭＹ　ＳＩＬＶＥＲ　Ｎ－ＭＡＴＴＥ　Ｘ４４Ｍ　Ｂ</v>
          </cell>
          <cell r="N245">
            <v>1120</v>
          </cell>
          <cell r="O245">
            <v>1120</v>
          </cell>
          <cell r="P245">
            <v>4000</v>
          </cell>
          <cell r="Q245">
            <v>2</v>
          </cell>
        </row>
        <row r="246">
          <cell r="A246">
            <v>3689073</v>
          </cell>
          <cell r="B246" t="str">
            <v>福島コーティング</v>
          </cell>
          <cell r="C246" t="str">
            <v>プロセス材１課</v>
          </cell>
          <cell r="D246" t="str">
            <v>ダミー担当者</v>
          </cell>
          <cell r="E246" t="str">
            <v>リンテック㈱</v>
          </cell>
          <cell r="F246">
            <v>3</v>
          </cell>
          <cell r="G246" t="str">
            <v>S</v>
          </cell>
          <cell r="H246" t="str">
            <v>Y</v>
          </cell>
          <cell r="I246" t="str">
            <v>MLB</v>
          </cell>
          <cell r="K246" t="str">
            <v>MSBBF</v>
          </cell>
          <cell r="L246">
            <v>25</v>
          </cell>
          <cell r="M246" t="str">
            <v>ＭＥＴＡＬＵＭＹ　ＳＩＬＶＥＲ　ＢＲＩＧＨＴ　Ｔ６２Ｍ　Ｂ</v>
          </cell>
          <cell r="N246">
            <v>1120</v>
          </cell>
          <cell r="O246">
            <v>1120</v>
          </cell>
          <cell r="P246">
            <v>7600</v>
          </cell>
          <cell r="Q246">
            <v>2</v>
          </cell>
        </row>
        <row r="247">
          <cell r="A247">
            <v>3689075</v>
          </cell>
          <cell r="B247" t="str">
            <v>福島コーティング</v>
          </cell>
          <cell r="C247" t="str">
            <v>プロセス材１課</v>
          </cell>
          <cell r="D247" t="str">
            <v>ダミー担当者</v>
          </cell>
          <cell r="E247" t="str">
            <v>リンテック㈱</v>
          </cell>
          <cell r="F247">
            <v>3</v>
          </cell>
          <cell r="G247" t="str">
            <v>S</v>
          </cell>
          <cell r="H247" t="str">
            <v>Y</v>
          </cell>
          <cell r="I247" t="str">
            <v>MLB</v>
          </cell>
          <cell r="K247" t="str">
            <v>MSBBF</v>
          </cell>
          <cell r="L247">
            <v>50</v>
          </cell>
          <cell r="M247" t="str">
            <v>ＭＥＴＡＬＵＭＹ　ＳＩＬＶＥＲ　ＢＲＩＧＨＴ　Ｔ６２Ｍ　Ｂ</v>
          </cell>
          <cell r="N247">
            <v>1120</v>
          </cell>
          <cell r="O247">
            <v>1120</v>
          </cell>
          <cell r="P247">
            <v>5000</v>
          </cell>
          <cell r="Q247">
            <v>2</v>
          </cell>
        </row>
        <row r="248">
          <cell r="A248">
            <v>3689077</v>
          </cell>
          <cell r="B248" t="str">
            <v>福島コーティング</v>
          </cell>
          <cell r="C248" t="str">
            <v>プロセス材１課</v>
          </cell>
          <cell r="D248" t="str">
            <v>ダミー担当者</v>
          </cell>
          <cell r="E248" t="str">
            <v>リンテック㈱</v>
          </cell>
          <cell r="F248">
            <v>3</v>
          </cell>
          <cell r="G248" t="str">
            <v>S</v>
          </cell>
          <cell r="H248" t="str">
            <v>Y</v>
          </cell>
          <cell r="I248" t="str">
            <v>MLB</v>
          </cell>
          <cell r="K248" t="str">
            <v>MSNMBF</v>
          </cell>
          <cell r="L248">
            <v>50</v>
          </cell>
          <cell r="M248" t="str">
            <v>ＭＥＴＡＬＵＭＹ　ＳＩＬＶＥＲ　Ｎ－ＭＡＴＴＥ　Ｘ４４Ｍ　Ｂ</v>
          </cell>
          <cell r="N248">
            <v>1120</v>
          </cell>
          <cell r="O248">
            <v>1120</v>
          </cell>
          <cell r="P248">
            <v>4000</v>
          </cell>
          <cell r="Q248">
            <v>2</v>
          </cell>
        </row>
        <row r="249">
          <cell r="A249">
            <v>3691103</v>
          </cell>
          <cell r="B249" t="str">
            <v>福島コーティング</v>
          </cell>
          <cell r="C249" t="str">
            <v>プロセス材２課</v>
          </cell>
          <cell r="D249" t="str">
            <v>ダミー担当者</v>
          </cell>
          <cell r="E249" t="str">
            <v>新タック化成㈱</v>
          </cell>
          <cell r="F249">
            <v>3</v>
          </cell>
          <cell r="G249" t="str">
            <v>S</v>
          </cell>
          <cell r="H249" t="str">
            <v>N</v>
          </cell>
          <cell r="I249" t="str">
            <v>MCLB</v>
          </cell>
          <cell r="K249" t="str">
            <v>MSNEYK</v>
          </cell>
          <cell r="L249">
            <v>25</v>
          </cell>
          <cell r="M249" t="str">
            <v>ＭＳＮ　ＥＹＫ</v>
          </cell>
          <cell r="N249">
            <v>1120</v>
          </cell>
          <cell r="O249">
            <v>1120</v>
          </cell>
          <cell r="P249">
            <v>4000</v>
          </cell>
          <cell r="Q249">
            <v>2</v>
          </cell>
        </row>
        <row r="250">
          <cell r="A250">
            <v>3691104</v>
          </cell>
          <cell r="B250" t="str">
            <v>福島コーティング</v>
          </cell>
          <cell r="C250" t="str">
            <v>プロセス材２課</v>
          </cell>
          <cell r="D250" t="str">
            <v>ダミー担当者</v>
          </cell>
          <cell r="E250" t="str">
            <v>新タック化成㈱</v>
          </cell>
          <cell r="F250">
            <v>3</v>
          </cell>
          <cell r="G250" t="str">
            <v>S</v>
          </cell>
          <cell r="H250" t="str">
            <v>N</v>
          </cell>
          <cell r="I250" t="str">
            <v>MCLB</v>
          </cell>
          <cell r="K250" t="str">
            <v>MSNEYK</v>
          </cell>
          <cell r="L250">
            <v>50</v>
          </cell>
          <cell r="M250" t="str">
            <v>ＭＳＮ　ＥＹＫ</v>
          </cell>
          <cell r="N250">
            <v>1120</v>
          </cell>
          <cell r="O250">
            <v>1120</v>
          </cell>
          <cell r="P250">
            <v>4000</v>
          </cell>
          <cell r="Q250">
            <v>2</v>
          </cell>
        </row>
        <row r="251">
          <cell r="A251">
            <v>3691105</v>
          </cell>
          <cell r="B251" t="str">
            <v>福島コーティング</v>
          </cell>
          <cell r="C251" t="str">
            <v>プロセス材２課</v>
          </cell>
          <cell r="D251" t="str">
            <v>ダミー担当者</v>
          </cell>
          <cell r="E251" t="str">
            <v>新タック化成㈱</v>
          </cell>
          <cell r="F251">
            <v>3</v>
          </cell>
          <cell r="G251" t="str">
            <v>S</v>
          </cell>
          <cell r="H251" t="str">
            <v>N</v>
          </cell>
          <cell r="I251" t="str">
            <v>MCLB</v>
          </cell>
          <cell r="K251" t="str">
            <v>MSNEYK</v>
          </cell>
          <cell r="L251">
            <v>25</v>
          </cell>
          <cell r="M251" t="str">
            <v>ＭＳＮ　ＥＹＫ</v>
          </cell>
          <cell r="N251">
            <v>1120</v>
          </cell>
          <cell r="O251">
            <v>1120</v>
          </cell>
          <cell r="P251">
            <v>4000</v>
          </cell>
          <cell r="Q251">
            <v>2</v>
          </cell>
        </row>
        <row r="252">
          <cell r="A252">
            <v>3691106</v>
          </cell>
          <cell r="B252" t="str">
            <v>福島コーティング</v>
          </cell>
          <cell r="C252" t="str">
            <v>プロセス材２課</v>
          </cell>
          <cell r="D252" t="str">
            <v>ダミー担当者</v>
          </cell>
          <cell r="E252" t="str">
            <v>新タック化成㈱</v>
          </cell>
          <cell r="F252">
            <v>3</v>
          </cell>
          <cell r="G252" t="str">
            <v>S</v>
          </cell>
          <cell r="H252" t="str">
            <v>N</v>
          </cell>
          <cell r="I252" t="str">
            <v>MCLB</v>
          </cell>
          <cell r="K252" t="str">
            <v>MSNEYK</v>
          </cell>
          <cell r="L252">
            <v>50</v>
          </cell>
          <cell r="M252" t="str">
            <v>ＭＳＮ　ＥＹＫ</v>
          </cell>
          <cell r="N252">
            <v>1120</v>
          </cell>
          <cell r="O252">
            <v>1120</v>
          </cell>
          <cell r="P252">
            <v>4000</v>
          </cell>
          <cell r="Q252">
            <v>2</v>
          </cell>
        </row>
        <row r="253">
          <cell r="A253">
            <v>3691107</v>
          </cell>
          <cell r="B253" t="str">
            <v>福島コーティング</v>
          </cell>
          <cell r="C253" t="str">
            <v>プロセス材２課</v>
          </cell>
          <cell r="D253" t="str">
            <v>ダミー担当者</v>
          </cell>
          <cell r="E253" t="str">
            <v>大阪シーリング印刷㈱</v>
          </cell>
          <cell r="F253" t="str">
            <v>3H</v>
          </cell>
          <cell r="G253" t="str">
            <v>S</v>
          </cell>
          <cell r="H253" t="str">
            <v>N</v>
          </cell>
          <cell r="I253" t="str">
            <v>MCLB</v>
          </cell>
          <cell r="K253" t="str">
            <v>EYK</v>
          </cell>
          <cell r="L253">
            <v>50</v>
          </cell>
          <cell r="M253" t="str">
            <v>メタルミー　ＥＹＫ</v>
          </cell>
          <cell r="N253">
            <v>1190</v>
          </cell>
          <cell r="O253">
            <v>1190</v>
          </cell>
          <cell r="P253">
            <v>6000</v>
          </cell>
          <cell r="Q253">
            <v>2</v>
          </cell>
        </row>
        <row r="254">
          <cell r="A254">
            <v>3691437</v>
          </cell>
          <cell r="B254" t="str">
            <v>機能Ｆ　ラベル福島原</v>
          </cell>
          <cell r="C254" t="str">
            <v>工材１部電材課</v>
          </cell>
          <cell r="D254" t="str">
            <v>ダミー担当者</v>
          </cell>
          <cell r="E254" t="str">
            <v>日東電工㈱豊橋工場</v>
          </cell>
          <cell r="F254">
            <v>3</v>
          </cell>
          <cell r="G254" t="str">
            <v>T</v>
          </cell>
          <cell r="H254" t="str">
            <v>N</v>
          </cell>
          <cell r="I254" t="str">
            <v>MLB</v>
          </cell>
          <cell r="K254" t="str">
            <v>MBSF</v>
          </cell>
          <cell r="L254">
            <v>12</v>
          </cell>
          <cell r="M254" t="str">
            <v>メタルミー　ＢＳ</v>
          </cell>
          <cell r="N254">
            <v>600</v>
          </cell>
          <cell r="O254">
            <v>600</v>
          </cell>
          <cell r="P254">
            <v>3000</v>
          </cell>
          <cell r="Q254">
            <v>1</v>
          </cell>
        </row>
        <row r="255">
          <cell r="A255">
            <v>3692500</v>
          </cell>
          <cell r="B255" t="str">
            <v>機能Ｆ　ラベル福島原</v>
          </cell>
          <cell r="C255" t="str">
            <v>プロセス材１課</v>
          </cell>
          <cell r="D255" t="str">
            <v>ダミー担当者</v>
          </cell>
          <cell r="E255" t="str">
            <v>リンテック㈱</v>
          </cell>
          <cell r="F255">
            <v>3</v>
          </cell>
          <cell r="G255" t="str">
            <v>T</v>
          </cell>
          <cell r="H255" t="str">
            <v>N</v>
          </cell>
          <cell r="I255" t="str">
            <v>MCLB</v>
          </cell>
          <cell r="K255" t="str">
            <v>HLKTV</v>
          </cell>
          <cell r="L255">
            <v>25</v>
          </cell>
          <cell r="M255" t="str">
            <v>メタルミー　ヘヤライン金艶　Ｖ</v>
          </cell>
          <cell r="N255">
            <v>1000</v>
          </cell>
          <cell r="O255">
            <v>1000</v>
          </cell>
          <cell r="P255">
            <v>2000</v>
          </cell>
          <cell r="Q255">
            <v>2</v>
          </cell>
        </row>
        <row r="256">
          <cell r="A256">
            <v>3692501</v>
          </cell>
          <cell r="B256" t="str">
            <v>機能Ｆ　ラベル福島原</v>
          </cell>
          <cell r="C256" t="str">
            <v>プロセス材１課</v>
          </cell>
          <cell r="D256" t="str">
            <v>ダミー担当者</v>
          </cell>
          <cell r="E256" t="str">
            <v>リンテック㈱</v>
          </cell>
          <cell r="F256">
            <v>3</v>
          </cell>
          <cell r="G256" t="str">
            <v>T</v>
          </cell>
          <cell r="H256" t="str">
            <v>N</v>
          </cell>
          <cell r="I256" t="str">
            <v>MCLB</v>
          </cell>
          <cell r="K256" t="str">
            <v>HLKTV</v>
          </cell>
          <cell r="L256">
            <v>50</v>
          </cell>
          <cell r="M256" t="str">
            <v>メタルミー　ヘヤライン金艶Ｖ</v>
          </cell>
          <cell r="N256">
            <v>1000</v>
          </cell>
          <cell r="O256">
            <v>1000</v>
          </cell>
          <cell r="P256">
            <v>2000</v>
          </cell>
          <cell r="Q256">
            <v>2</v>
          </cell>
        </row>
        <row r="257">
          <cell r="A257">
            <v>3694097</v>
          </cell>
          <cell r="B257" t="str">
            <v>福島コーティング</v>
          </cell>
          <cell r="C257" t="str">
            <v>プロセス材１課</v>
          </cell>
          <cell r="D257" t="str">
            <v>ダミー担当者</v>
          </cell>
          <cell r="E257" t="str">
            <v>日精㈱東京支店</v>
          </cell>
          <cell r="F257">
            <v>3</v>
          </cell>
          <cell r="G257" t="str">
            <v>S</v>
          </cell>
          <cell r="H257" t="str">
            <v>N</v>
          </cell>
          <cell r="I257" t="str">
            <v>MLB</v>
          </cell>
          <cell r="K257" t="str">
            <v>MSF</v>
          </cell>
          <cell r="L257">
            <v>25</v>
          </cell>
          <cell r="M257" t="str">
            <v>メタルミー　Ｓ</v>
          </cell>
          <cell r="N257">
            <v>1240</v>
          </cell>
          <cell r="O257">
            <v>1240</v>
          </cell>
          <cell r="P257">
            <v>2000</v>
          </cell>
          <cell r="Q257">
            <v>1</v>
          </cell>
        </row>
        <row r="258">
          <cell r="A258">
            <v>3694098</v>
          </cell>
          <cell r="B258" t="str">
            <v>福島コーティング</v>
          </cell>
          <cell r="C258" t="str">
            <v>プロセス材２課</v>
          </cell>
          <cell r="D258" t="str">
            <v>ダミー担当者</v>
          </cell>
          <cell r="E258" t="str">
            <v>大阪シーリング印刷㈱</v>
          </cell>
          <cell r="F258" t="str">
            <v>3H</v>
          </cell>
          <cell r="G258" t="str">
            <v>S</v>
          </cell>
          <cell r="H258" t="str">
            <v>N</v>
          </cell>
          <cell r="I258" t="str">
            <v>MCLB</v>
          </cell>
          <cell r="K258" t="str">
            <v>EYK</v>
          </cell>
          <cell r="L258">
            <v>50</v>
          </cell>
          <cell r="M258" t="str">
            <v>メタルミー　ＥＹＫ</v>
          </cell>
          <cell r="N258">
            <v>1190</v>
          </cell>
          <cell r="O258">
            <v>1190</v>
          </cell>
          <cell r="P258">
            <v>6000</v>
          </cell>
          <cell r="Q258">
            <v>2</v>
          </cell>
        </row>
        <row r="259">
          <cell r="A259">
            <v>3694099</v>
          </cell>
          <cell r="B259" t="str">
            <v>福島コーティング</v>
          </cell>
          <cell r="C259" t="str">
            <v>プロセス材２課</v>
          </cell>
          <cell r="D259" t="str">
            <v>ダミー担当者</v>
          </cell>
          <cell r="E259" t="str">
            <v>新タック化成㈱</v>
          </cell>
          <cell r="F259">
            <v>3</v>
          </cell>
          <cell r="G259" t="str">
            <v>S</v>
          </cell>
          <cell r="H259" t="str">
            <v>N</v>
          </cell>
          <cell r="I259" t="str">
            <v>MCLB</v>
          </cell>
          <cell r="K259" t="str">
            <v>EYK</v>
          </cell>
          <cell r="L259">
            <v>50</v>
          </cell>
          <cell r="M259" t="str">
            <v>メタルミー　ＥＹＫ</v>
          </cell>
          <cell r="N259">
            <v>1120</v>
          </cell>
          <cell r="O259">
            <v>1120</v>
          </cell>
          <cell r="P259">
            <v>6000</v>
          </cell>
          <cell r="Q259">
            <v>2</v>
          </cell>
        </row>
        <row r="260">
          <cell r="A260">
            <v>3694100</v>
          </cell>
          <cell r="B260" t="str">
            <v>福島コーティング</v>
          </cell>
          <cell r="C260" t="str">
            <v>プロセス材２課</v>
          </cell>
          <cell r="D260" t="str">
            <v>ダミー担当者</v>
          </cell>
          <cell r="E260" t="str">
            <v>大阪シーリング印刷㈱</v>
          </cell>
          <cell r="F260">
            <v>3</v>
          </cell>
          <cell r="G260" t="str">
            <v>S</v>
          </cell>
          <cell r="H260" t="str">
            <v>N</v>
          </cell>
          <cell r="I260" t="str">
            <v>MCLB</v>
          </cell>
          <cell r="K260" t="str">
            <v>MSNEYK</v>
          </cell>
          <cell r="L260">
            <v>50</v>
          </cell>
          <cell r="M260" t="str">
            <v>ＭＳＮ　ＥＹＫ</v>
          </cell>
          <cell r="N260">
            <v>1200</v>
          </cell>
          <cell r="O260">
            <v>1190</v>
          </cell>
          <cell r="P260">
            <v>6000</v>
          </cell>
          <cell r="Q260">
            <v>2</v>
          </cell>
        </row>
        <row r="261">
          <cell r="A261">
            <v>3694102</v>
          </cell>
          <cell r="B261" t="str">
            <v>福島コーティング</v>
          </cell>
          <cell r="C261" t="str">
            <v>プロセス材１課</v>
          </cell>
          <cell r="D261" t="str">
            <v>ダミー担当者</v>
          </cell>
          <cell r="E261" t="str">
            <v>リンテック㈱</v>
          </cell>
          <cell r="F261">
            <v>3</v>
          </cell>
          <cell r="G261" t="str">
            <v>S</v>
          </cell>
          <cell r="H261" t="str">
            <v>N</v>
          </cell>
          <cell r="I261" t="str">
            <v>MLB</v>
          </cell>
          <cell r="K261" t="str">
            <v>MNGKKBF</v>
          </cell>
          <cell r="L261">
            <v>25</v>
          </cell>
          <cell r="M261" t="str">
            <v>メタルミー　ネーマー銀消改　Ｂ</v>
          </cell>
          <cell r="N261">
            <v>1000</v>
          </cell>
          <cell r="O261">
            <v>1000</v>
          </cell>
          <cell r="P261">
            <v>4000</v>
          </cell>
          <cell r="Q261">
            <v>2</v>
          </cell>
        </row>
        <row r="262">
          <cell r="A262">
            <v>3694103</v>
          </cell>
          <cell r="B262" t="str">
            <v>福島コーティング</v>
          </cell>
          <cell r="C262" t="str">
            <v>プロセス材１課</v>
          </cell>
          <cell r="D262" t="str">
            <v>ダミー担当者</v>
          </cell>
          <cell r="E262" t="str">
            <v>リンテック㈱</v>
          </cell>
          <cell r="F262">
            <v>3</v>
          </cell>
          <cell r="G262" t="str">
            <v>S</v>
          </cell>
          <cell r="H262" t="str">
            <v>N</v>
          </cell>
          <cell r="I262" t="str">
            <v>MLB</v>
          </cell>
          <cell r="K262" t="str">
            <v>MNGKKBF</v>
          </cell>
          <cell r="L262">
            <v>25</v>
          </cell>
          <cell r="M262" t="str">
            <v>メタルミー　ネーマー銀消改　Ｂ</v>
          </cell>
          <cell r="N262">
            <v>1120</v>
          </cell>
          <cell r="O262">
            <v>1120</v>
          </cell>
          <cell r="P262">
            <v>4000</v>
          </cell>
          <cell r="Q262">
            <v>2</v>
          </cell>
        </row>
        <row r="263">
          <cell r="A263">
            <v>3694104</v>
          </cell>
          <cell r="B263" t="str">
            <v>福島コーティング</v>
          </cell>
          <cell r="C263" t="str">
            <v>プロセス材１課</v>
          </cell>
          <cell r="D263" t="str">
            <v>ダミー担当者</v>
          </cell>
          <cell r="E263" t="str">
            <v>リンテック㈱</v>
          </cell>
          <cell r="F263">
            <v>3</v>
          </cell>
          <cell r="G263" t="str">
            <v>S</v>
          </cell>
          <cell r="H263" t="str">
            <v>N</v>
          </cell>
          <cell r="I263" t="str">
            <v>MLB</v>
          </cell>
          <cell r="K263" t="str">
            <v>MNGKKBF</v>
          </cell>
          <cell r="L263">
            <v>50</v>
          </cell>
          <cell r="M263" t="str">
            <v>メタルミー　ネーマー銀消改　Ｂ</v>
          </cell>
          <cell r="N263">
            <v>1120</v>
          </cell>
          <cell r="O263">
            <v>1120</v>
          </cell>
          <cell r="P263">
            <v>4000</v>
          </cell>
          <cell r="Q263">
            <v>2</v>
          </cell>
        </row>
        <row r="264">
          <cell r="A264">
            <v>3694105</v>
          </cell>
          <cell r="B264" t="str">
            <v>福島コーティング</v>
          </cell>
          <cell r="C264" t="str">
            <v>プロセス材１課</v>
          </cell>
          <cell r="D264" t="str">
            <v>ダミー担当者</v>
          </cell>
          <cell r="E264" t="str">
            <v>リンテック㈱</v>
          </cell>
          <cell r="F264">
            <v>3</v>
          </cell>
          <cell r="G264" t="str">
            <v>S</v>
          </cell>
          <cell r="H264" t="str">
            <v>N</v>
          </cell>
          <cell r="I264" t="str">
            <v>MLB</v>
          </cell>
          <cell r="K264" t="str">
            <v>MNGKBF</v>
          </cell>
          <cell r="L264">
            <v>38</v>
          </cell>
          <cell r="M264" t="str">
            <v>メタルミー　ネーマー銀消　Ｂ</v>
          </cell>
          <cell r="N264">
            <v>1005</v>
          </cell>
          <cell r="O264">
            <v>1000</v>
          </cell>
          <cell r="P264">
            <v>4000</v>
          </cell>
          <cell r="Q264">
            <v>2</v>
          </cell>
        </row>
        <row r="265">
          <cell r="A265">
            <v>3694106</v>
          </cell>
          <cell r="B265" t="str">
            <v>福島コーティング</v>
          </cell>
          <cell r="C265" t="str">
            <v>プロセス材１課</v>
          </cell>
          <cell r="D265" t="str">
            <v>ダミー担当者</v>
          </cell>
          <cell r="E265" t="str">
            <v>リンテック㈱</v>
          </cell>
          <cell r="F265">
            <v>3</v>
          </cell>
          <cell r="G265" t="str">
            <v>S</v>
          </cell>
          <cell r="H265" t="str">
            <v>N</v>
          </cell>
          <cell r="I265" t="str">
            <v>MLB</v>
          </cell>
          <cell r="K265" t="str">
            <v>MNGKBF</v>
          </cell>
          <cell r="L265">
            <v>50</v>
          </cell>
          <cell r="M265" t="str">
            <v>メタルミー　ネーマー銀消　Ｂ</v>
          </cell>
          <cell r="N265">
            <v>1050</v>
          </cell>
          <cell r="O265">
            <v>1050</v>
          </cell>
          <cell r="P265">
            <v>4100</v>
          </cell>
          <cell r="Q265">
            <v>2</v>
          </cell>
        </row>
        <row r="266">
          <cell r="A266">
            <v>3694107</v>
          </cell>
          <cell r="B266" t="str">
            <v>福島コーティング</v>
          </cell>
          <cell r="C266" t="str">
            <v>プロセス材１課</v>
          </cell>
          <cell r="D266" t="str">
            <v>ダミー担当者</v>
          </cell>
          <cell r="E266" t="str">
            <v>リンテック㈱</v>
          </cell>
          <cell r="F266">
            <v>3</v>
          </cell>
          <cell r="G266" t="str">
            <v>S</v>
          </cell>
          <cell r="H266" t="str">
            <v>N</v>
          </cell>
          <cell r="I266" t="str">
            <v>MCLB</v>
          </cell>
          <cell r="K266" t="str">
            <v>NGKVB</v>
          </cell>
          <cell r="L266">
            <v>50</v>
          </cell>
          <cell r="M266" t="str">
            <v>メタルミー　ネーマー銀消　ＶＢ</v>
          </cell>
          <cell r="N266">
            <v>1005</v>
          </cell>
          <cell r="O266">
            <v>1000</v>
          </cell>
          <cell r="P266">
            <v>4000</v>
          </cell>
          <cell r="Q266">
            <v>2</v>
          </cell>
        </row>
        <row r="267">
          <cell r="A267">
            <v>3694109</v>
          </cell>
          <cell r="B267" t="str">
            <v>福島コーティング</v>
          </cell>
          <cell r="C267" t="str">
            <v>プロセス材１課</v>
          </cell>
          <cell r="D267" t="str">
            <v>ダミー担当者</v>
          </cell>
          <cell r="E267" t="str">
            <v>リンテック㈱</v>
          </cell>
          <cell r="F267">
            <v>3</v>
          </cell>
          <cell r="G267" t="str">
            <v>S</v>
          </cell>
          <cell r="H267" t="str">
            <v>N</v>
          </cell>
          <cell r="I267" t="str">
            <v>MCLB</v>
          </cell>
          <cell r="K267" t="str">
            <v>NGKEYKB</v>
          </cell>
          <cell r="L267">
            <v>16</v>
          </cell>
          <cell r="M267" t="str">
            <v>メタルミー　ネーマー　ギンケシ　ＥＹＫＢ</v>
          </cell>
          <cell r="N267">
            <v>1005</v>
          </cell>
          <cell r="O267">
            <v>1000</v>
          </cell>
          <cell r="P267">
            <v>3200</v>
          </cell>
          <cell r="Q267">
            <v>2</v>
          </cell>
        </row>
        <row r="268">
          <cell r="A268">
            <v>3694110</v>
          </cell>
          <cell r="B268" t="str">
            <v>福島コーティング</v>
          </cell>
          <cell r="C268" t="str">
            <v>プロセス材１課</v>
          </cell>
          <cell r="D268" t="str">
            <v>ダミー担当者</v>
          </cell>
          <cell r="E268" t="str">
            <v>リンテック㈱</v>
          </cell>
          <cell r="F268">
            <v>3</v>
          </cell>
          <cell r="G268" t="str">
            <v>S</v>
          </cell>
          <cell r="H268" t="str">
            <v>N</v>
          </cell>
          <cell r="I268" t="str">
            <v>MLB</v>
          </cell>
          <cell r="K268" t="str">
            <v>MNGTBF</v>
          </cell>
          <cell r="L268">
            <v>25</v>
          </cell>
          <cell r="M268" t="str">
            <v>メタルミー　ネーマー　銀艶　Ｂ</v>
          </cell>
          <cell r="N268">
            <v>1005</v>
          </cell>
          <cell r="O268">
            <v>1000</v>
          </cell>
          <cell r="P268">
            <v>4000</v>
          </cell>
          <cell r="Q268">
            <v>2</v>
          </cell>
        </row>
        <row r="269">
          <cell r="A269">
            <v>3694111</v>
          </cell>
          <cell r="B269" t="str">
            <v>福島コーティング</v>
          </cell>
          <cell r="C269" t="str">
            <v>プロセス材１課</v>
          </cell>
          <cell r="D269" t="str">
            <v>ダミー担当者</v>
          </cell>
          <cell r="E269" t="str">
            <v>リンテック㈱</v>
          </cell>
          <cell r="F269">
            <v>3</v>
          </cell>
          <cell r="G269" t="str">
            <v>S</v>
          </cell>
          <cell r="H269" t="str">
            <v>N</v>
          </cell>
          <cell r="I269" t="str">
            <v>MLB</v>
          </cell>
          <cell r="K269" t="str">
            <v>MNGTBF</v>
          </cell>
          <cell r="L269">
            <v>50</v>
          </cell>
          <cell r="M269" t="str">
            <v>メタルミー　ネーマー　銀艶　Ｂ</v>
          </cell>
          <cell r="N269">
            <v>1120</v>
          </cell>
          <cell r="O269">
            <v>1120</v>
          </cell>
          <cell r="P269">
            <v>5000</v>
          </cell>
          <cell r="Q269">
            <v>2</v>
          </cell>
        </row>
        <row r="270">
          <cell r="A270">
            <v>3694112</v>
          </cell>
          <cell r="B270" t="str">
            <v>福島コーティング</v>
          </cell>
          <cell r="C270" t="str">
            <v>プロセス材１課</v>
          </cell>
          <cell r="D270" t="str">
            <v>ダミー担当者</v>
          </cell>
          <cell r="E270" t="str">
            <v>リンテック㈱</v>
          </cell>
          <cell r="F270">
            <v>3</v>
          </cell>
          <cell r="G270" t="str">
            <v>S</v>
          </cell>
          <cell r="H270" t="str">
            <v>N</v>
          </cell>
          <cell r="I270" t="str">
            <v>MCLB</v>
          </cell>
          <cell r="K270" t="str">
            <v>NGTVB</v>
          </cell>
          <cell r="L270">
            <v>50</v>
          </cell>
          <cell r="M270" t="str">
            <v>メタルミー　ネーマー　銀艶ＶＢ</v>
          </cell>
          <cell r="N270">
            <v>1000</v>
          </cell>
          <cell r="O270">
            <v>1000</v>
          </cell>
          <cell r="P270">
            <v>3000</v>
          </cell>
          <cell r="Q270">
            <v>2</v>
          </cell>
        </row>
        <row r="271">
          <cell r="A271">
            <v>3694113</v>
          </cell>
          <cell r="B271" t="str">
            <v>福島コーティング</v>
          </cell>
          <cell r="C271" t="str">
            <v>プロセス材１課</v>
          </cell>
          <cell r="D271" t="str">
            <v>ダミー担当者</v>
          </cell>
          <cell r="E271" t="str">
            <v>リンテック㈱</v>
          </cell>
          <cell r="F271">
            <v>3</v>
          </cell>
          <cell r="G271" t="str">
            <v>S</v>
          </cell>
          <cell r="H271" t="str">
            <v>N</v>
          </cell>
          <cell r="I271" t="str">
            <v>MCLB</v>
          </cell>
          <cell r="K271" t="str">
            <v>NGTVB</v>
          </cell>
          <cell r="L271">
            <v>50</v>
          </cell>
          <cell r="M271" t="str">
            <v>メタルミー　ネーマー　銀艶ＶＢ</v>
          </cell>
          <cell r="N271">
            <v>1160</v>
          </cell>
          <cell r="O271">
            <v>1160</v>
          </cell>
          <cell r="P271">
            <v>6000</v>
          </cell>
          <cell r="Q271">
            <v>2</v>
          </cell>
        </row>
        <row r="272">
          <cell r="A272">
            <v>3694114</v>
          </cell>
          <cell r="B272" t="str">
            <v>福島コーティング</v>
          </cell>
          <cell r="C272" t="str">
            <v>プロセス材１課</v>
          </cell>
          <cell r="D272" t="str">
            <v>ダミー担当者</v>
          </cell>
          <cell r="E272" t="str">
            <v>リンテック㈱</v>
          </cell>
          <cell r="F272">
            <v>3</v>
          </cell>
          <cell r="G272" t="str">
            <v>S</v>
          </cell>
          <cell r="H272" t="str">
            <v>N</v>
          </cell>
          <cell r="I272" t="str">
            <v>MLB</v>
          </cell>
          <cell r="K272" t="str">
            <v>MNNGKBF</v>
          </cell>
          <cell r="L272">
            <v>25</v>
          </cell>
          <cell r="M272" t="str">
            <v>メタルミー　ニューネーマー銀消　Ｂ</v>
          </cell>
          <cell r="N272">
            <v>1005</v>
          </cell>
          <cell r="O272">
            <v>1000</v>
          </cell>
          <cell r="P272">
            <v>4000</v>
          </cell>
          <cell r="Q272">
            <v>2</v>
          </cell>
        </row>
        <row r="273">
          <cell r="A273">
            <v>3694115</v>
          </cell>
          <cell r="B273" t="str">
            <v>福島コーティング</v>
          </cell>
          <cell r="C273" t="str">
            <v>プロセス材１課</v>
          </cell>
          <cell r="D273" t="str">
            <v>ダミー担当者</v>
          </cell>
          <cell r="E273" t="str">
            <v>リンテック㈱</v>
          </cell>
          <cell r="F273">
            <v>3</v>
          </cell>
          <cell r="G273" t="str">
            <v>S</v>
          </cell>
          <cell r="H273" t="str">
            <v>N</v>
          </cell>
          <cell r="I273" t="str">
            <v>MLB</v>
          </cell>
          <cell r="K273" t="str">
            <v>MNNGKBF</v>
          </cell>
          <cell r="L273">
            <v>50</v>
          </cell>
          <cell r="M273" t="str">
            <v>メタルミー　ニューネーマー銀消　Ｂ</v>
          </cell>
          <cell r="N273">
            <v>1000</v>
          </cell>
          <cell r="O273">
            <v>1000</v>
          </cell>
          <cell r="P273">
            <v>4000</v>
          </cell>
          <cell r="Q273">
            <v>2</v>
          </cell>
        </row>
        <row r="274">
          <cell r="A274">
            <v>3694116</v>
          </cell>
          <cell r="B274" t="str">
            <v>福島コーティング</v>
          </cell>
          <cell r="C274" t="str">
            <v>プロセス材１課</v>
          </cell>
          <cell r="D274" t="str">
            <v>ダミー担当者</v>
          </cell>
          <cell r="E274" t="str">
            <v>リンテック㈱</v>
          </cell>
          <cell r="F274" t="str">
            <v>33S</v>
          </cell>
          <cell r="G274" t="str">
            <v>S</v>
          </cell>
          <cell r="H274" t="str">
            <v>N</v>
          </cell>
          <cell r="I274" t="str">
            <v>MCLB</v>
          </cell>
          <cell r="K274" t="str">
            <v>TEKKFV</v>
          </cell>
          <cell r="L274">
            <v>50</v>
          </cell>
          <cell r="M274" t="str">
            <v>メタルミー　ＴＥＳ消開封　Ｖ</v>
          </cell>
          <cell r="N274">
            <v>1005</v>
          </cell>
          <cell r="O274">
            <v>1000</v>
          </cell>
          <cell r="P274">
            <v>4000</v>
          </cell>
          <cell r="Q274">
            <v>2</v>
          </cell>
        </row>
        <row r="275">
          <cell r="A275">
            <v>3694117</v>
          </cell>
          <cell r="B275" t="str">
            <v>福島コーティング</v>
          </cell>
          <cell r="C275" t="str">
            <v>プロセス材１課</v>
          </cell>
          <cell r="D275" t="str">
            <v>ダミー担当者</v>
          </cell>
          <cell r="E275" t="str">
            <v>リンテック㈱</v>
          </cell>
          <cell r="F275" t="str">
            <v>33S</v>
          </cell>
          <cell r="G275" t="str">
            <v>S</v>
          </cell>
          <cell r="H275" t="str">
            <v>N</v>
          </cell>
          <cell r="I275" t="str">
            <v>MCLB</v>
          </cell>
          <cell r="K275" t="str">
            <v>TEKV0V</v>
          </cell>
          <cell r="L275">
            <v>50</v>
          </cell>
          <cell r="M275" t="str">
            <v>メタルミー　ＴＥ－Ｓ消　ＶＯＩＤ　Ｖ</v>
          </cell>
          <cell r="N275">
            <v>1005</v>
          </cell>
          <cell r="O275">
            <v>1000</v>
          </cell>
          <cell r="P275">
            <v>4000</v>
          </cell>
          <cell r="Q275">
            <v>2</v>
          </cell>
        </row>
        <row r="276">
          <cell r="A276">
            <v>3694119</v>
          </cell>
          <cell r="B276" t="str">
            <v>福島コーティング</v>
          </cell>
          <cell r="C276" t="str">
            <v>プロセス材１課</v>
          </cell>
          <cell r="D276" t="str">
            <v>ダミー担当者</v>
          </cell>
          <cell r="E276" t="str">
            <v>リンテック㈱</v>
          </cell>
          <cell r="F276">
            <v>3</v>
          </cell>
          <cell r="G276" t="str">
            <v>S</v>
          </cell>
          <cell r="H276" t="str">
            <v>N</v>
          </cell>
          <cell r="I276" t="str">
            <v>MLB</v>
          </cell>
          <cell r="K276" t="str">
            <v>MNQR66F</v>
          </cell>
          <cell r="L276">
            <v>25</v>
          </cell>
          <cell r="M276" t="str">
            <v>ＱＲ６６蒸着品</v>
          </cell>
          <cell r="N276">
            <v>1000</v>
          </cell>
          <cell r="O276">
            <v>1000</v>
          </cell>
          <cell r="P276">
            <v>6000</v>
          </cell>
          <cell r="Q276">
            <v>2</v>
          </cell>
        </row>
        <row r="277">
          <cell r="A277">
            <v>3694120</v>
          </cell>
          <cell r="B277" t="str">
            <v>福島コーティング</v>
          </cell>
          <cell r="C277" t="str">
            <v>プロセス材１課</v>
          </cell>
          <cell r="D277" t="str">
            <v>ダミー担当者</v>
          </cell>
          <cell r="E277" t="str">
            <v>リンテック㈱</v>
          </cell>
          <cell r="F277">
            <v>3</v>
          </cell>
          <cell r="G277" t="str">
            <v>S</v>
          </cell>
          <cell r="H277" t="str">
            <v>N</v>
          </cell>
          <cell r="I277" t="str">
            <v>MLB</v>
          </cell>
          <cell r="K277" t="str">
            <v>MNQR66F</v>
          </cell>
          <cell r="L277">
            <v>25</v>
          </cell>
          <cell r="M277" t="str">
            <v>ＱＲ６６蒸着品</v>
          </cell>
          <cell r="N277">
            <v>1100</v>
          </cell>
          <cell r="O277">
            <v>1100</v>
          </cell>
          <cell r="P277">
            <v>6000</v>
          </cell>
          <cell r="Q277">
            <v>2</v>
          </cell>
        </row>
        <row r="278">
          <cell r="A278">
            <v>3694121</v>
          </cell>
          <cell r="B278" t="str">
            <v>福島コーティング</v>
          </cell>
          <cell r="C278" t="str">
            <v>プロセス材１課</v>
          </cell>
          <cell r="D278" t="str">
            <v>ダミー担当者</v>
          </cell>
          <cell r="E278" t="str">
            <v>リンテック㈱</v>
          </cell>
          <cell r="F278">
            <v>3</v>
          </cell>
          <cell r="G278" t="str">
            <v>S</v>
          </cell>
          <cell r="H278" t="str">
            <v>N</v>
          </cell>
          <cell r="I278" t="str">
            <v>MCLB</v>
          </cell>
          <cell r="K278" t="str">
            <v>HLGTV</v>
          </cell>
          <cell r="L278">
            <v>25</v>
          </cell>
          <cell r="M278" t="str">
            <v>メタルミー　ヘヤライン　銀艶Ｖ</v>
          </cell>
          <cell r="N278">
            <v>1005</v>
          </cell>
          <cell r="O278">
            <v>1000</v>
          </cell>
          <cell r="P278">
            <v>2000</v>
          </cell>
          <cell r="Q278">
            <v>2</v>
          </cell>
        </row>
        <row r="279">
          <cell r="A279">
            <v>3694121</v>
          </cell>
          <cell r="B279" t="str">
            <v>福島コーティング</v>
          </cell>
          <cell r="C279" t="str">
            <v>プロセス材１課</v>
          </cell>
          <cell r="D279" t="str">
            <v>ダミー担当者</v>
          </cell>
          <cell r="E279" t="str">
            <v>リンテック㈱</v>
          </cell>
          <cell r="F279">
            <v>3</v>
          </cell>
          <cell r="G279" t="str">
            <v>S</v>
          </cell>
          <cell r="H279" t="str">
            <v>N</v>
          </cell>
          <cell r="I279" t="str">
            <v>MCLB</v>
          </cell>
          <cell r="K279" t="str">
            <v>HLGTV</v>
          </cell>
          <cell r="L279">
            <v>25</v>
          </cell>
          <cell r="M279" t="str">
            <v>メタルミー　ヘヤライン　銀艶Ｖ</v>
          </cell>
          <cell r="N279">
            <v>1005</v>
          </cell>
          <cell r="O279">
            <v>1000</v>
          </cell>
          <cell r="P279">
            <v>6000</v>
          </cell>
          <cell r="Q279">
            <v>2</v>
          </cell>
        </row>
        <row r="280">
          <cell r="A280">
            <v>3694122</v>
          </cell>
          <cell r="B280" t="str">
            <v>福島コーティング</v>
          </cell>
          <cell r="C280" t="str">
            <v>プロセス材１課</v>
          </cell>
          <cell r="D280" t="str">
            <v>ダミー担当者</v>
          </cell>
          <cell r="E280" t="str">
            <v>リンテック㈱</v>
          </cell>
          <cell r="F280">
            <v>3</v>
          </cell>
          <cell r="G280" t="str">
            <v>S</v>
          </cell>
          <cell r="H280" t="str">
            <v>N</v>
          </cell>
          <cell r="I280" t="str">
            <v>MCLB</v>
          </cell>
          <cell r="K280" t="str">
            <v>HLGTV</v>
          </cell>
          <cell r="L280">
            <v>50</v>
          </cell>
          <cell r="M280" t="str">
            <v>メタルミー　ヘヤライン　銀艶Ｖ</v>
          </cell>
          <cell r="N280">
            <v>1005</v>
          </cell>
          <cell r="O280">
            <v>1000</v>
          </cell>
          <cell r="P280">
            <v>4000</v>
          </cell>
          <cell r="Q280">
            <v>2</v>
          </cell>
        </row>
        <row r="281">
          <cell r="A281">
            <v>3694123</v>
          </cell>
          <cell r="B281" t="str">
            <v>福島コーティング</v>
          </cell>
          <cell r="C281" t="str">
            <v>プロセス材１課</v>
          </cell>
          <cell r="D281" t="str">
            <v>ダミー担当者</v>
          </cell>
          <cell r="E281" t="str">
            <v>リンテック㈱</v>
          </cell>
          <cell r="F281">
            <v>3</v>
          </cell>
          <cell r="G281" t="str">
            <v>S</v>
          </cell>
          <cell r="H281" t="str">
            <v>N</v>
          </cell>
          <cell r="I281" t="str">
            <v>CLB</v>
          </cell>
          <cell r="K281" t="str">
            <v>LMEYK</v>
          </cell>
          <cell r="L281">
            <v>38</v>
          </cell>
          <cell r="M281" t="str">
            <v>ルミマットＥＹＫ</v>
          </cell>
          <cell r="N281">
            <v>1005</v>
          </cell>
          <cell r="O281">
            <v>1000</v>
          </cell>
          <cell r="P281">
            <v>4000</v>
          </cell>
          <cell r="Q281">
            <v>2</v>
          </cell>
        </row>
        <row r="282">
          <cell r="A282">
            <v>3694124</v>
          </cell>
          <cell r="B282" t="str">
            <v>福島コーティング</v>
          </cell>
          <cell r="C282" t="str">
            <v>プロセス材１課</v>
          </cell>
          <cell r="D282" t="str">
            <v>ダミー担当者</v>
          </cell>
          <cell r="E282" t="str">
            <v>リンテック㈱</v>
          </cell>
          <cell r="F282">
            <v>3</v>
          </cell>
          <cell r="G282" t="str">
            <v>S</v>
          </cell>
          <cell r="H282" t="str">
            <v>N</v>
          </cell>
          <cell r="I282" t="str">
            <v>CLB</v>
          </cell>
          <cell r="K282" t="str">
            <v>LMEYK</v>
          </cell>
          <cell r="L282">
            <v>38</v>
          </cell>
          <cell r="M282" t="str">
            <v>ルミマットＥＹＫ</v>
          </cell>
          <cell r="N282">
            <v>1005</v>
          </cell>
          <cell r="O282">
            <v>1000</v>
          </cell>
          <cell r="P282">
            <v>4000</v>
          </cell>
          <cell r="Q282">
            <v>2</v>
          </cell>
        </row>
        <row r="283">
          <cell r="A283">
            <v>3694125</v>
          </cell>
          <cell r="B283" t="str">
            <v>福島コーティング</v>
          </cell>
          <cell r="C283" t="str">
            <v>プロセス材１課</v>
          </cell>
          <cell r="D283" t="str">
            <v>ダミー担当者</v>
          </cell>
          <cell r="E283" t="str">
            <v>リンテック㈱</v>
          </cell>
          <cell r="F283">
            <v>3</v>
          </cell>
          <cell r="G283" t="str">
            <v>S</v>
          </cell>
          <cell r="H283" t="str">
            <v>Y</v>
          </cell>
          <cell r="I283" t="str">
            <v>MLB</v>
          </cell>
          <cell r="K283" t="str">
            <v>MSSMBZF</v>
          </cell>
          <cell r="L283">
            <v>50</v>
          </cell>
          <cell r="M283" t="str">
            <v>ＭＥＴＡＬＵＭＹ　ＳＩＬＶＥＲ　Ｓ－ＭＡＴＴＥ　Ｂ</v>
          </cell>
          <cell r="N283">
            <v>1120</v>
          </cell>
          <cell r="O283">
            <v>1120</v>
          </cell>
          <cell r="P283">
            <v>4000</v>
          </cell>
          <cell r="Q283">
            <v>2</v>
          </cell>
        </row>
        <row r="284">
          <cell r="A284">
            <v>3694126</v>
          </cell>
          <cell r="B284" t="str">
            <v>福島コーティング</v>
          </cell>
          <cell r="C284" t="str">
            <v>プロセス材１課</v>
          </cell>
          <cell r="D284" t="str">
            <v>ダミー担当者</v>
          </cell>
          <cell r="E284" t="str">
            <v>リンテック㈱</v>
          </cell>
          <cell r="F284">
            <v>3</v>
          </cell>
          <cell r="G284" t="str">
            <v>S</v>
          </cell>
          <cell r="H284" t="str">
            <v>Y</v>
          </cell>
          <cell r="I284" t="str">
            <v>MLB</v>
          </cell>
          <cell r="K284" t="str">
            <v>MSSMBF</v>
          </cell>
          <cell r="L284">
            <v>50</v>
          </cell>
          <cell r="M284" t="str">
            <v>ＭＥＴＡＬＵＭＹ　ＳＩＬＶＥＲ　Ｓ－ＭＡＴＴＥ　Ｓ２８ＭＭ　Ｂ</v>
          </cell>
          <cell r="N284">
            <v>1120</v>
          </cell>
          <cell r="O284">
            <v>1120</v>
          </cell>
          <cell r="P284">
            <v>4000</v>
          </cell>
          <cell r="Q284">
            <v>2</v>
          </cell>
        </row>
        <row r="285">
          <cell r="A285">
            <v>3694127</v>
          </cell>
          <cell r="B285" t="str">
            <v>福島コーティング</v>
          </cell>
          <cell r="C285" t="str">
            <v>プロセス材１課</v>
          </cell>
          <cell r="D285" t="str">
            <v>ダミー担当者</v>
          </cell>
          <cell r="E285" t="str">
            <v>リンテック㈱</v>
          </cell>
          <cell r="F285">
            <v>3</v>
          </cell>
          <cell r="G285" t="str">
            <v>S</v>
          </cell>
          <cell r="H285" t="str">
            <v>Y</v>
          </cell>
          <cell r="I285" t="str">
            <v>MLB</v>
          </cell>
          <cell r="K285" t="str">
            <v>MSNMBF</v>
          </cell>
          <cell r="L285">
            <v>50</v>
          </cell>
          <cell r="M285" t="str">
            <v>ＭＥＴＡＬＵＭＹ　ＳＩＬＶＥＲ　Ｎ－ＭＡＴＴＥ　Ｘ４４Ｍ　Ｂ</v>
          </cell>
          <cell r="N285">
            <v>1120</v>
          </cell>
          <cell r="O285">
            <v>1120</v>
          </cell>
          <cell r="P285">
            <v>4000</v>
          </cell>
          <cell r="Q285">
            <v>2</v>
          </cell>
        </row>
        <row r="286">
          <cell r="A286">
            <v>3694128</v>
          </cell>
          <cell r="B286" t="str">
            <v>福島コーティング</v>
          </cell>
          <cell r="C286" t="str">
            <v>工材１部大阪電材課</v>
          </cell>
          <cell r="D286" t="str">
            <v>ダミー担当者</v>
          </cell>
          <cell r="E286" t="str">
            <v>日東シンコー㈱</v>
          </cell>
          <cell r="F286">
            <v>3</v>
          </cell>
          <cell r="G286" t="str">
            <v>S</v>
          </cell>
          <cell r="H286" t="str">
            <v>N</v>
          </cell>
          <cell r="I286" t="str">
            <v>MLB</v>
          </cell>
          <cell r="K286" t="str">
            <v>MSF</v>
          </cell>
          <cell r="L286">
            <v>25</v>
          </cell>
          <cell r="M286" t="str">
            <v>メタルミー　Ｓ</v>
          </cell>
          <cell r="N286">
            <v>510</v>
          </cell>
          <cell r="O286">
            <v>510</v>
          </cell>
          <cell r="P286">
            <v>2000</v>
          </cell>
          <cell r="Q286">
            <v>1</v>
          </cell>
        </row>
        <row r="287">
          <cell r="A287">
            <v>3697647</v>
          </cell>
          <cell r="B287" t="str">
            <v>福島コーティング</v>
          </cell>
          <cell r="C287" t="str">
            <v>工材１部電材課</v>
          </cell>
          <cell r="D287" t="str">
            <v>ダミー担当者</v>
          </cell>
          <cell r="E287" t="str">
            <v>パナック㈱亀山工場</v>
          </cell>
          <cell r="F287">
            <v>3</v>
          </cell>
          <cell r="G287" t="str">
            <v>S</v>
          </cell>
          <cell r="H287" t="str">
            <v>N</v>
          </cell>
          <cell r="I287" t="str">
            <v>MLB</v>
          </cell>
          <cell r="K287" t="str">
            <v>MTSF</v>
          </cell>
          <cell r="L287">
            <v>75</v>
          </cell>
          <cell r="M287" t="str">
            <v>メタルミー　ＴＳ</v>
          </cell>
          <cell r="N287">
            <v>1000</v>
          </cell>
          <cell r="O287">
            <v>1000</v>
          </cell>
          <cell r="P287">
            <v>1000</v>
          </cell>
          <cell r="Q287">
            <v>2</v>
          </cell>
        </row>
        <row r="288">
          <cell r="A288">
            <v>3697651</v>
          </cell>
          <cell r="B288" t="str">
            <v>福島コーティング</v>
          </cell>
          <cell r="C288" t="str">
            <v>大阪光学機能材課</v>
          </cell>
          <cell r="D288" t="str">
            <v>ダミー担当者</v>
          </cell>
          <cell r="E288" t="str">
            <v>五洋紙工㈱</v>
          </cell>
          <cell r="F288">
            <v>3</v>
          </cell>
          <cell r="G288" t="str">
            <v>S</v>
          </cell>
          <cell r="H288" t="str">
            <v>N</v>
          </cell>
          <cell r="I288" t="str">
            <v>MLB</v>
          </cell>
          <cell r="K288" t="str">
            <v>MDMSJF</v>
          </cell>
          <cell r="L288">
            <v>50</v>
          </cell>
          <cell r="M288" t="str">
            <v>ＤＭＳ蒸着（Ｘ－４４）</v>
          </cell>
          <cell r="N288">
            <v>1020</v>
          </cell>
          <cell r="O288">
            <v>1000</v>
          </cell>
          <cell r="P288">
            <v>2000</v>
          </cell>
          <cell r="Q288">
            <v>2</v>
          </cell>
        </row>
        <row r="289">
          <cell r="A289">
            <v>3697653</v>
          </cell>
          <cell r="B289" t="str">
            <v>福島コーティング</v>
          </cell>
          <cell r="C289" t="str">
            <v>プロセス材２課</v>
          </cell>
          <cell r="D289" t="str">
            <v>ダミー担当者</v>
          </cell>
          <cell r="E289" t="str">
            <v>大阪シーリング印刷㈱</v>
          </cell>
          <cell r="F289" t="str">
            <v>3H</v>
          </cell>
          <cell r="G289" t="str">
            <v>S</v>
          </cell>
          <cell r="H289" t="str">
            <v>N</v>
          </cell>
          <cell r="I289" t="str">
            <v>MCLB</v>
          </cell>
          <cell r="K289" t="str">
            <v>EYK</v>
          </cell>
          <cell r="L289">
            <v>50</v>
          </cell>
          <cell r="M289" t="str">
            <v>メタルミー　ＥＹＫ</v>
          </cell>
          <cell r="N289">
            <v>1190</v>
          </cell>
          <cell r="O289">
            <v>1190</v>
          </cell>
          <cell r="P289">
            <v>6000</v>
          </cell>
          <cell r="Q289">
            <v>2</v>
          </cell>
        </row>
        <row r="290">
          <cell r="A290">
            <v>3697654</v>
          </cell>
          <cell r="B290" t="str">
            <v>機能Ｆ　ラベル福島原</v>
          </cell>
          <cell r="C290" t="str">
            <v>プロセス材２課</v>
          </cell>
          <cell r="D290" t="str">
            <v>ダミー担当者</v>
          </cell>
          <cell r="E290" t="str">
            <v>㈱ポラテクノ</v>
          </cell>
          <cell r="F290">
            <v>3</v>
          </cell>
          <cell r="G290" t="str">
            <v>T</v>
          </cell>
          <cell r="H290" t="str">
            <v>N</v>
          </cell>
          <cell r="I290" t="str">
            <v>DMS</v>
          </cell>
          <cell r="K290" t="str">
            <v>X42GPC</v>
          </cell>
          <cell r="L290">
            <v>50</v>
          </cell>
          <cell r="M290" t="str">
            <v>ＤＭＳ（Ｘ４２Ｇ）ＰＣ</v>
          </cell>
          <cell r="N290">
            <v>680</v>
          </cell>
          <cell r="O290">
            <v>680</v>
          </cell>
          <cell r="P290">
            <v>2000</v>
          </cell>
          <cell r="Q290">
            <v>2</v>
          </cell>
        </row>
        <row r="291">
          <cell r="A291">
            <v>3697655</v>
          </cell>
          <cell r="B291" t="str">
            <v>福島コーティング</v>
          </cell>
          <cell r="C291" t="str">
            <v>プロセス材２課</v>
          </cell>
          <cell r="D291" t="str">
            <v>ダミー担当者</v>
          </cell>
          <cell r="E291" t="str">
            <v>新タック化成㈱</v>
          </cell>
          <cell r="F291">
            <v>3</v>
          </cell>
          <cell r="G291" t="str">
            <v>S</v>
          </cell>
          <cell r="H291" t="str">
            <v>N</v>
          </cell>
          <cell r="I291" t="str">
            <v>CLB</v>
          </cell>
          <cell r="K291" t="str">
            <v>LEYK</v>
          </cell>
          <cell r="L291">
            <v>50</v>
          </cell>
          <cell r="M291" t="str">
            <v>ルミラー　ＥＹＫ</v>
          </cell>
          <cell r="N291">
            <v>1120</v>
          </cell>
          <cell r="O291">
            <v>1120</v>
          </cell>
          <cell r="P291">
            <v>6000</v>
          </cell>
          <cell r="Q291">
            <v>2</v>
          </cell>
        </row>
        <row r="292">
          <cell r="A292">
            <v>3697656</v>
          </cell>
          <cell r="B292" t="str">
            <v>福島コーティング</v>
          </cell>
          <cell r="C292" t="str">
            <v>プロセス材２課</v>
          </cell>
          <cell r="D292" t="str">
            <v>ダミー担当者</v>
          </cell>
          <cell r="E292" t="str">
            <v>新タック化成㈱</v>
          </cell>
          <cell r="F292">
            <v>3</v>
          </cell>
          <cell r="G292" t="str">
            <v>S</v>
          </cell>
          <cell r="H292" t="str">
            <v>N</v>
          </cell>
          <cell r="I292" t="str">
            <v>MCLB</v>
          </cell>
          <cell r="K292" t="str">
            <v>EYK</v>
          </cell>
          <cell r="L292">
            <v>50</v>
          </cell>
          <cell r="M292" t="str">
            <v>メタルミー　ＥＹＫ</v>
          </cell>
          <cell r="N292">
            <v>1120</v>
          </cell>
          <cell r="O292">
            <v>1120</v>
          </cell>
          <cell r="P292">
            <v>6000</v>
          </cell>
          <cell r="Q292">
            <v>2</v>
          </cell>
        </row>
        <row r="293">
          <cell r="A293">
            <v>3697657</v>
          </cell>
          <cell r="B293" t="str">
            <v>福島コーティング</v>
          </cell>
          <cell r="C293" t="str">
            <v>プロセス材１課</v>
          </cell>
          <cell r="D293" t="str">
            <v>ダミー担当者</v>
          </cell>
          <cell r="E293" t="str">
            <v>リンテック㈱</v>
          </cell>
          <cell r="F293">
            <v>3</v>
          </cell>
          <cell r="G293" t="str">
            <v>S</v>
          </cell>
          <cell r="H293" t="str">
            <v>Y</v>
          </cell>
          <cell r="I293" t="str">
            <v>MLB</v>
          </cell>
          <cell r="K293" t="str">
            <v>MNGKKBF</v>
          </cell>
          <cell r="L293">
            <v>25</v>
          </cell>
          <cell r="M293" t="str">
            <v>メタルミー　ネーマー銀消改　Ｂ</v>
          </cell>
          <cell r="N293">
            <v>1120</v>
          </cell>
          <cell r="O293">
            <v>1120</v>
          </cell>
          <cell r="P293">
            <v>4000</v>
          </cell>
          <cell r="Q293">
            <v>2</v>
          </cell>
        </row>
        <row r="294">
          <cell r="A294">
            <v>3697658</v>
          </cell>
          <cell r="B294" t="str">
            <v>福島コーティング</v>
          </cell>
          <cell r="C294" t="str">
            <v>プロセス材１課</v>
          </cell>
          <cell r="D294" t="str">
            <v>ダミー担当者</v>
          </cell>
          <cell r="E294" t="str">
            <v>リンテック㈱</v>
          </cell>
          <cell r="F294">
            <v>3</v>
          </cell>
          <cell r="G294" t="str">
            <v>S</v>
          </cell>
          <cell r="H294" t="str">
            <v>N</v>
          </cell>
          <cell r="I294" t="str">
            <v>MLB</v>
          </cell>
          <cell r="K294" t="str">
            <v>MNGKKBF</v>
          </cell>
          <cell r="L294">
            <v>50</v>
          </cell>
          <cell r="M294" t="str">
            <v>メタルミー　ネーマー銀消改　Ｂ</v>
          </cell>
          <cell r="N294">
            <v>1120</v>
          </cell>
          <cell r="O294">
            <v>1120</v>
          </cell>
          <cell r="P294">
            <v>4000</v>
          </cell>
          <cell r="Q294">
            <v>2</v>
          </cell>
        </row>
        <row r="295">
          <cell r="A295">
            <v>3697659</v>
          </cell>
          <cell r="B295" t="str">
            <v>福島コーティング</v>
          </cell>
          <cell r="C295" t="str">
            <v>プロセス材１課</v>
          </cell>
          <cell r="D295" t="str">
            <v>ダミー担当者</v>
          </cell>
          <cell r="E295" t="str">
            <v>リンテック㈱</v>
          </cell>
          <cell r="F295">
            <v>3</v>
          </cell>
          <cell r="G295" t="str">
            <v>S</v>
          </cell>
          <cell r="H295" t="str">
            <v>N</v>
          </cell>
          <cell r="I295" t="str">
            <v>MLB</v>
          </cell>
          <cell r="K295" t="str">
            <v>MNGKBF</v>
          </cell>
          <cell r="L295">
            <v>50</v>
          </cell>
          <cell r="M295" t="str">
            <v>メタルミー　ネーマー銀消　Ｂ</v>
          </cell>
          <cell r="N295">
            <v>1170</v>
          </cell>
          <cell r="O295">
            <v>1170</v>
          </cell>
          <cell r="P295">
            <v>4000</v>
          </cell>
          <cell r="Q295">
            <v>2</v>
          </cell>
        </row>
        <row r="296">
          <cell r="A296">
            <v>3697660</v>
          </cell>
          <cell r="B296" t="str">
            <v>福島コーティング</v>
          </cell>
          <cell r="C296" t="str">
            <v>プロセス材１課</v>
          </cell>
          <cell r="D296" t="str">
            <v>ダミー担当者</v>
          </cell>
          <cell r="E296" t="str">
            <v>リンテック㈱</v>
          </cell>
          <cell r="F296">
            <v>3</v>
          </cell>
          <cell r="G296" t="str">
            <v>S</v>
          </cell>
          <cell r="H296" t="str">
            <v>N</v>
          </cell>
          <cell r="I296" t="str">
            <v>MCLB</v>
          </cell>
          <cell r="K296" t="str">
            <v>NGKVB</v>
          </cell>
          <cell r="L296">
            <v>50</v>
          </cell>
          <cell r="M296" t="str">
            <v>メタルミー　ネーマー銀消　ＶＢ</v>
          </cell>
          <cell r="N296">
            <v>1005</v>
          </cell>
          <cell r="O296">
            <v>1000</v>
          </cell>
          <cell r="P296">
            <v>4000</v>
          </cell>
          <cell r="Q296">
            <v>2</v>
          </cell>
        </row>
        <row r="297">
          <cell r="A297">
            <v>3697662</v>
          </cell>
          <cell r="B297" t="str">
            <v>福島コーティング</v>
          </cell>
          <cell r="C297" t="str">
            <v>プロセス材１課</v>
          </cell>
          <cell r="D297" t="str">
            <v>ダミー担当者</v>
          </cell>
          <cell r="E297" t="str">
            <v>リンテック㈱</v>
          </cell>
          <cell r="F297">
            <v>3</v>
          </cell>
          <cell r="G297" t="str">
            <v>S</v>
          </cell>
          <cell r="H297" t="str">
            <v>N</v>
          </cell>
          <cell r="I297" t="str">
            <v>MLB</v>
          </cell>
          <cell r="K297" t="str">
            <v>MNGTBF</v>
          </cell>
          <cell r="L297">
            <v>25</v>
          </cell>
          <cell r="M297" t="str">
            <v>メタルミー　ネーマー　銀艶　Ｂ</v>
          </cell>
          <cell r="N297">
            <v>1005</v>
          </cell>
          <cell r="O297">
            <v>1000</v>
          </cell>
          <cell r="P297">
            <v>4000</v>
          </cell>
          <cell r="Q297">
            <v>2</v>
          </cell>
        </row>
        <row r="298">
          <cell r="A298">
            <v>3697663</v>
          </cell>
          <cell r="B298" t="str">
            <v>福島コーティング</v>
          </cell>
          <cell r="C298" t="str">
            <v>プロセス材１課</v>
          </cell>
          <cell r="D298" t="str">
            <v>ダミー担当者</v>
          </cell>
          <cell r="E298" t="str">
            <v>リンテック㈱</v>
          </cell>
          <cell r="F298">
            <v>3</v>
          </cell>
          <cell r="G298" t="str">
            <v>S</v>
          </cell>
          <cell r="H298" t="str">
            <v>N</v>
          </cell>
          <cell r="I298" t="str">
            <v>MLB</v>
          </cell>
          <cell r="K298" t="str">
            <v>MNGTBF</v>
          </cell>
          <cell r="L298">
            <v>25</v>
          </cell>
          <cell r="M298" t="str">
            <v>メタルミー　ネーマー　銀艶　Ｂ</v>
          </cell>
          <cell r="N298">
            <v>1125</v>
          </cell>
          <cell r="O298">
            <v>1120</v>
          </cell>
          <cell r="P298">
            <v>4000</v>
          </cell>
          <cell r="Q298">
            <v>2</v>
          </cell>
        </row>
        <row r="299">
          <cell r="A299">
            <v>3697664</v>
          </cell>
          <cell r="B299" t="str">
            <v>福島コーティング</v>
          </cell>
          <cell r="C299" t="str">
            <v>プロセス材１課</v>
          </cell>
          <cell r="D299" t="str">
            <v>ダミー担当者</v>
          </cell>
          <cell r="E299" t="str">
            <v>リンテック㈱</v>
          </cell>
          <cell r="F299">
            <v>3</v>
          </cell>
          <cell r="G299" t="str">
            <v>S</v>
          </cell>
          <cell r="H299" t="str">
            <v>N</v>
          </cell>
          <cell r="I299" t="str">
            <v>MLB</v>
          </cell>
          <cell r="K299" t="str">
            <v>MNGTBF</v>
          </cell>
          <cell r="L299">
            <v>50</v>
          </cell>
          <cell r="M299" t="str">
            <v>メタルミー　ネーマー　銀艶　Ｂ</v>
          </cell>
          <cell r="N299">
            <v>1120</v>
          </cell>
          <cell r="O299">
            <v>1120</v>
          </cell>
          <cell r="P299">
            <v>5000</v>
          </cell>
          <cell r="Q299">
            <v>2</v>
          </cell>
        </row>
        <row r="300">
          <cell r="A300">
            <v>3697665</v>
          </cell>
          <cell r="B300" t="str">
            <v>福島コーティング</v>
          </cell>
          <cell r="C300" t="str">
            <v>プロセス材１課</v>
          </cell>
          <cell r="D300" t="str">
            <v>ダミー担当者</v>
          </cell>
          <cell r="E300" t="str">
            <v>リンテック㈱</v>
          </cell>
          <cell r="F300">
            <v>3</v>
          </cell>
          <cell r="G300" t="str">
            <v>S</v>
          </cell>
          <cell r="H300" t="str">
            <v>N</v>
          </cell>
          <cell r="I300" t="str">
            <v>MLB</v>
          </cell>
          <cell r="K300" t="str">
            <v>MNGTBF</v>
          </cell>
          <cell r="L300">
            <v>50</v>
          </cell>
          <cell r="M300" t="str">
            <v>メタルミー　ネーマー　銀艶　Ｂ</v>
          </cell>
          <cell r="N300">
            <v>1120</v>
          </cell>
          <cell r="O300">
            <v>1120</v>
          </cell>
          <cell r="P300">
            <v>5000</v>
          </cell>
          <cell r="Q300">
            <v>2</v>
          </cell>
        </row>
        <row r="301">
          <cell r="A301">
            <v>3697666</v>
          </cell>
          <cell r="B301" t="str">
            <v>福島コーティング</v>
          </cell>
          <cell r="C301" t="str">
            <v>プロセス材１課</v>
          </cell>
          <cell r="D301" t="str">
            <v>ダミー担当者</v>
          </cell>
          <cell r="E301" t="str">
            <v>リンテック㈱</v>
          </cell>
          <cell r="F301">
            <v>3</v>
          </cell>
          <cell r="G301" t="str">
            <v>S</v>
          </cell>
          <cell r="H301" t="str">
            <v>N</v>
          </cell>
          <cell r="I301" t="str">
            <v>MLB</v>
          </cell>
          <cell r="K301" t="str">
            <v>MNGTBF</v>
          </cell>
          <cell r="L301">
            <v>50</v>
          </cell>
          <cell r="M301" t="str">
            <v>メタルミー　ネーマー　銀艶　Ｂ</v>
          </cell>
          <cell r="N301">
            <v>1120</v>
          </cell>
          <cell r="O301">
            <v>1120</v>
          </cell>
          <cell r="P301">
            <v>5000</v>
          </cell>
          <cell r="Q301">
            <v>2</v>
          </cell>
        </row>
        <row r="302">
          <cell r="A302">
            <v>3697667</v>
          </cell>
          <cell r="B302" t="str">
            <v>福島コーティング</v>
          </cell>
          <cell r="C302" t="str">
            <v>プロセス材１課</v>
          </cell>
          <cell r="D302" t="str">
            <v>ダミー担当者</v>
          </cell>
          <cell r="E302" t="str">
            <v>リンテック㈱</v>
          </cell>
          <cell r="F302">
            <v>3</v>
          </cell>
          <cell r="G302" t="str">
            <v>S</v>
          </cell>
          <cell r="H302" t="str">
            <v>N</v>
          </cell>
          <cell r="I302" t="str">
            <v>MLB</v>
          </cell>
          <cell r="K302" t="str">
            <v>MNGTBF</v>
          </cell>
          <cell r="L302">
            <v>50</v>
          </cell>
          <cell r="M302" t="str">
            <v>メタルミー　ネーマー　銀艶　Ｂ</v>
          </cell>
          <cell r="N302">
            <v>1120</v>
          </cell>
          <cell r="O302">
            <v>1120</v>
          </cell>
          <cell r="P302">
            <v>5000</v>
          </cell>
          <cell r="Q302">
            <v>2</v>
          </cell>
        </row>
        <row r="303">
          <cell r="A303">
            <v>3697668</v>
          </cell>
          <cell r="B303" t="str">
            <v>福島コーティング</v>
          </cell>
          <cell r="C303" t="str">
            <v>プロセス材１課</v>
          </cell>
          <cell r="D303" t="str">
            <v>ダミー担当者</v>
          </cell>
          <cell r="E303" t="str">
            <v>リンテック㈱</v>
          </cell>
          <cell r="F303">
            <v>3</v>
          </cell>
          <cell r="G303" t="str">
            <v>S</v>
          </cell>
          <cell r="H303" t="str">
            <v>N</v>
          </cell>
          <cell r="I303" t="str">
            <v>MLB</v>
          </cell>
          <cell r="K303" t="str">
            <v>MNGTBF</v>
          </cell>
          <cell r="L303">
            <v>50</v>
          </cell>
          <cell r="M303" t="str">
            <v>メタルミー　ネーマー　銀艶　Ｂ</v>
          </cell>
          <cell r="N303">
            <v>1120</v>
          </cell>
          <cell r="O303">
            <v>1120</v>
          </cell>
          <cell r="P303">
            <v>5000</v>
          </cell>
          <cell r="Q303">
            <v>2</v>
          </cell>
        </row>
        <row r="304">
          <cell r="A304">
            <v>3697669</v>
          </cell>
          <cell r="B304" t="str">
            <v>福島コーティング</v>
          </cell>
          <cell r="C304" t="str">
            <v>プロセス材１課</v>
          </cell>
          <cell r="D304" t="str">
            <v>ダミー担当者</v>
          </cell>
          <cell r="E304" t="str">
            <v>リンテック㈱</v>
          </cell>
          <cell r="F304">
            <v>3</v>
          </cell>
          <cell r="G304" t="str">
            <v>S</v>
          </cell>
          <cell r="H304" t="str">
            <v>N</v>
          </cell>
          <cell r="I304" t="str">
            <v>MLB</v>
          </cell>
          <cell r="K304" t="str">
            <v>MNNGKBF</v>
          </cell>
          <cell r="L304">
            <v>25</v>
          </cell>
          <cell r="M304" t="str">
            <v>メタルミー　ニューネーマー銀消　Ｂ</v>
          </cell>
          <cell r="N304">
            <v>1005</v>
          </cell>
          <cell r="O304">
            <v>1000</v>
          </cell>
          <cell r="P304">
            <v>4000</v>
          </cell>
          <cell r="Q304">
            <v>2</v>
          </cell>
        </row>
        <row r="305">
          <cell r="A305">
            <v>3697670</v>
          </cell>
          <cell r="B305" t="str">
            <v>福島コーティング</v>
          </cell>
          <cell r="C305" t="str">
            <v>プロセス材１課</v>
          </cell>
          <cell r="D305" t="str">
            <v>ダミー担当者</v>
          </cell>
          <cell r="E305" t="str">
            <v>リンテック㈱</v>
          </cell>
          <cell r="F305">
            <v>3</v>
          </cell>
          <cell r="G305" t="str">
            <v>S</v>
          </cell>
          <cell r="H305" t="str">
            <v>N</v>
          </cell>
          <cell r="I305" t="str">
            <v>MLB</v>
          </cell>
          <cell r="K305" t="str">
            <v>MNNGKBF</v>
          </cell>
          <cell r="L305">
            <v>50</v>
          </cell>
          <cell r="M305" t="str">
            <v>メタルミー　ニューネーマー銀消　Ｂ</v>
          </cell>
          <cell r="N305">
            <v>1000</v>
          </cell>
          <cell r="O305">
            <v>1000</v>
          </cell>
          <cell r="P305">
            <v>4000</v>
          </cell>
          <cell r="Q305">
            <v>2</v>
          </cell>
        </row>
        <row r="306">
          <cell r="A306">
            <v>3697671</v>
          </cell>
          <cell r="B306" t="str">
            <v>福島コーティング</v>
          </cell>
          <cell r="C306" t="str">
            <v>プロセス材１課</v>
          </cell>
          <cell r="D306" t="str">
            <v>ダミー担当者</v>
          </cell>
          <cell r="E306" t="str">
            <v>リンテック㈱</v>
          </cell>
          <cell r="F306" t="str">
            <v>33S</v>
          </cell>
          <cell r="G306" t="str">
            <v>S</v>
          </cell>
          <cell r="H306" t="str">
            <v>N</v>
          </cell>
          <cell r="I306" t="str">
            <v>MCLB</v>
          </cell>
          <cell r="K306" t="str">
            <v>TEKKFV</v>
          </cell>
          <cell r="L306">
            <v>50</v>
          </cell>
          <cell r="M306" t="str">
            <v>メタルミー　ＴＥＳ消開封　Ｖ</v>
          </cell>
          <cell r="N306">
            <v>1005</v>
          </cell>
          <cell r="O306">
            <v>1000</v>
          </cell>
          <cell r="P306">
            <v>4000</v>
          </cell>
          <cell r="Q306">
            <v>2</v>
          </cell>
        </row>
        <row r="307">
          <cell r="A307">
            <v>3697672</v>
          </cell>
          <cell r="B307" t="str">
            <v>福島コーティング</v>
          </cell>
          <cell r="C307" t="str">
            <v>プロセス材１課</v>
          </cell>
          <cell r="D307" t="str">
            <v>ダミー担当者</v>
          </cell>
          <cell r="E307" t="str">
            <v>リンテック㈱</v>
          </cell>
          <cell r="F307" t="str">
            <v>33S</v>
          </cell>
          <cell r="G307" t="str">
            <v>S</v>
          </cell>
          <cell r="H307" t="str">
            <v>N</v>
          </cell>
          <cell r="I307" t="str">
            <v>MCLB</v>
          </cell>
          <cell r="K307" t="str">
            <v>TEKV0V</v>
          </cell>
          <cell r="L307">
            <v>50</v>
          </cell>
          <cell r="M307" t="str">
            <v>メタルミー　ＴＥ－Ｓ消　ＶＯＩＤ　Ｖ</v>
          </cell>
          <cell r="N307">
            <v>1005</v>
          </cell>
          <cell r="O307">
            <v>1000</v>
          </cell>
          <cell r="P307">
            <v>4000</v>
          </cell>
          <cell r="Q307">
            <v>2</v>
          </cell>
        </row>
        <row r="308">
          <cell r="A308">
            <v>3697673</v>
          </cell>
          <cell r="B308" t="str">
            <v>福島コーティング</v>
          </cell>
          <cell r="C308" t="str">
            <v>プロセス材１課</v>
          </cell>
          <cell r="D308" t="str">
            <v>ダミー担当者</v>
          </cell>
          <cell r="E308" t="str">
            <v>リンテック㈱</v>
          </cell>
          <cell r="F308" t="str">
            <v>33S</v>
          </cell>
          <cell r="G308" t="str">
            <v>S</v>
          </cell>
          <cell r="H308" t="str">
            <v>N</v>
          </cell>
          <cell r="I308" t="str">
            <v>MCLB</v>
          </cell>
          <cell r="K308" t="str">
            <v>TETKFV</v>
          </cell>
          <cell r="L308">
            <v>50</v>
          </cell>
          <cell r="M308" t="str">
            <v>メタルミー　ＴＥＳ艶開封　Ｖ</v>
          </cell>
          <cell r="N308">
            <v>1005</v>
          </cell>
          <cell r="O308">
            <v>1000</v>
          </cell>
          <cell r="P308">
            <v>4000</v>
          </cell>
          <cell r="Q308">
            <v>2</v>
          </cell>
        </row>
        <row r="309">
          <cell r="A309">
            <v>3697674</v>
          </cell>
          <cell r="B309" t="str">
            <v>福島コーティング</v>
          </cell>
          <cell r="C309" t="str">
            <v>プロセス材１課</v>
          </cell>
          <cell r="D309" t="str">
            <v>ダミー担当者</v>
          </cell>
          <cell r="E309" t="str">
            <v>リンテック㈱</v>
          </cell>
          <cell r="F309">
            <v>3</v>
          </cell>
          <cell r="G309" t="str">
            <v>S</v>
          </cell>
          <cell r="H309" t="str">
            <v>N</v>
          </cell>
          <cell r="I309" t="str">
            <v>MCLB</v>
          </cell>
          <cell r="K309" t="str">
            <v>DMSV</v>
          </cell>
          <cell r="L309">
            <v>50</v>
          </cell>
          <cell r="M309" t="str">
            <v>ＤＭＳ　Ｖ</v>
          </cell>
          <cell r="N309">
            <v>1005</v>
          </cell>
          <cell r="O309">
            <v>1000</v>
          </cell>
          <cell r="P309">
            <v>2000</v>
          </cell>
          <cell r="Q309">
            <v>2</v>
          </cell>
        </row>
        <row r="310">
          <cell r="A310">
            <v>3697675</v>
          </cell>
          <cell r="B310" t="str">
            <v>福島コーティング</v>
          </cell>
          <cell r="C310" t="str">
            <v>プロセス材１課</v>
          </cell>
          <cell r="D310" t="str">
            <v>ダミー担当者</v>
          </cell>
          <cell r="E310" t="str">
            <v>リンテック㈱</v>
          </cell>
          <cell r="F310">
            <v>3</v>
          </cell>
          <cell r="G310" t="str">
            <v>S</v>
          </cell>
          <cell r="H310" t="str">
            <v>N</v>
          </cell>
          <cell r="I310" t="str">
            <v>MCLB</v>
          </cell>
          <cell r="K310" t="str">
            <v>DMSV</v>
          </cell>
          <cell r="L310">
            <v>50</v>
          </cell>
          <cell r="M310" t="str">
            <v>ＤＭＳ　Ｖ</v>
          </cell>
          <cell r="N310">
            <v>1005</v>
          </cell>
          <cell r="O310">
            <v>1000</v>
          </cell>
          <cell r="P310">
            <v>2000</v>
          </cell>
          <cell r="Q310">
            <v>2</v>
          </cell>
        </row>
        <row r="311">
          <cell r="A311">
            <v>3697676</v>
          </cell>
          <cell r="B311" t="str">
            <v>福島コーティング</v>
          </cell>
          <cell r="C311" t="str">
            <v>プロセス材１課</v>
          </cell>
          <cell r="D311" t="str">
            <v>ダミー担当者</v>
          </cell>
          <cell r="E311" t="str">
            <v>リンテック㈱</v>
          </cell>
          <cell r="F311">
            <v>3</v>
          </cell>
          <cell r="G311" t="str">
            <v>S</v>
          </cell>
          <cell r="H311" t="str">
            <v>N</v>
          </cell>
          <cell r="I311" t="str">
            <v>MLB</v>
          </cell>
          <cell r="K311" t="str">
            <v>MNQR66F</v>
          </cell>
          <cell r="L311">
            <v>25</v>
          </cell>
          <cell r="M311" t="str">
            <v>ＱＲ６６蒸着品</v>
          </cell>
          <cell r="N311">
            <v>1100</v>
          </cell>
          <cell r="O311">
            <v>1100</v>
          </cell>
          <cell r="P311">
            <v>6000</v>
          </cell>
          <cell r="Q311">
            <v>2</v>
          </cell>
        </row>
        <row r="312">
          <cell r="A312">
            <v>3697677</v>
          </cell>
          <cell r="B312" t="str">
            <v>福島コーティング</v>
          </cell>
          <cell r="C312" t="str">
            <v>プロセス材１課</v>
          </cell>
          <cell r="D312" t="str">
            <v>ダミー担当者</v>
          </cell>
          <cell r="E312" t="str">
            <v>リンテック㈱</v>
          </cell>
          <cell r="F312">
            <v>3</v>
          </cell>
          <cell r="G312" t="str">
            <v>S</v>
          </cell>
          <cell r="H312" t="str">
            <v>N</v>
          </cell>
          <cell r="I312" t="str">
            <v>MCLB</v>
          </cell>
          <cell r="K312" t="str">
            <v>HLGKJV</v>
          </cell>
          <cell r="L312">
            <v>50</v>
          </cell>
          <cell r="M312" t="str">
            <v>メタルミー　ヘヤライン　銀消Ｖ</v>
          </cell>
          <cell r="N312">
            <v>1005</v>
          </cell>
          <cell r="O312">
            <v>1000</v>
          </cell>
          <cell r="P312">
            <v>2000</v>
          </cell>
          <cell r="Q312">
            <v>2</v>
          </cell>
        </row>
        <row r="313">
          <cell r="A313">
            <v>3697678</v>
          </cell>
          <cell r="B313" t="str">
            <v>機能Ｆ　ラベル福島原</v>
          </cell>
          <cell r="C313" t="str">
            <v>プロセス材１課</v>
          </cell>
          <cell r="D313" t="str">
            <v>ダミー担当者</v>
          </cell>
          <cell r="E313" t="str">
            <v>リンテック㈱</v>
          </cell>
          <cell r="F313">
            <v>3</v>
          </cell>
          <cell r="G313" t="str">
            <v>T</v>
          </cell>
          <cell r="H313" t="str">
            <v>N</v>
          </cell>
          <cell r="I313" t="str">
            <v>MCLB</v>
          </cell>
          <cell r="K313" t="str">
            <v>HLGKJV</v>
          </cell>
          <cell r="L313">
            <v>50</v>
          </cell>
          <cell r="M313" t="str">
            <v>メタルミー　ヘヤライン　銀消Ｖ</v>
          </cell>
          <cell r="N313">
            <v>1005</v>
          </cell>
          <cell r="O313">
            <v>1000</v>
          </cell>
          <cell r="P313">
            <v>4000</v>
          </cell>
          <cell r="Q313">
            <v>2</v>
          </cell>
        </row>
        <row r="314">
          <cell r="A314">
            <v>3697679</v>
          </cell>
          <cell r="B314" t="str">
            <v>福島コーティング</v>
          </cell>
          <cell r="C314" t="str">
            <v>プロセス材１課</v>
          </cell>
          <cell r="D314" t="str">
            <v>ダミー担当者</v>
          </cell>
          <cell r="E314" t="str">
            <v>リンテック㈱</v>
          </cell>
          <cell r="F314">
            <v>3</v>
          </cell>
          <cell r="G314" t="str">
            <v>S</v>
          </cell>
          <cell r="H314" t="str">
            <v>N</v>
          </cell>
          <cell r="I314" t="str">
            <v>MCLB</v>
          </cell>
          <cell r="K314" t="str">
            <v>HLGTV</v>
          </cell>
          <cell r="L314">
            <v>50</v>
          </cell>
          <cell r="M314" t="str">
            <v>メタルミー　ヘヤライン　銀艶Ｖ</v>
          </cell>
          <cell r="N314">
            <v>1005</v>
          </cell>
          <cell r="O314">
            <v>1000</v>
          </cell>
          <cell r="P314">
            <v>4000</v>
          </cell>
          <cell r="Q314">
            <v>2</v>
          </cell>
        </row>
        <row r="315">
          <cell r="A315">
            <v>3697680</v>
          </cell>
          <cell r="B315" t="str">
            <v>福島コーティング</v>
          </cell>
          <cell r="C315" t="str">
            <v>プロセス材１課</v>
          </cell>
          <cell r="D315" t="str">
            <v>ダミー担当者</v>
          </cell>
          <cell r="E315" t="str">
            <v>リンテック㈱</v>
          </cell>
          <cell r="F315">
            <v>3</v>
          </cell>
          <cell r="G315" t="str">
            <v>S</v>
          </cell>
          <cell r="H315" t="str">
            <v>N</v>
          </cell>
          <cell r="I315" t="str">
            <v>MCLB</v>
          </cell>
          <cell r="K315" t="str">
            <v>HLGTV</v>
          </cell>
          <cell r="L315">
            <v>50</v>
          </cell>
          <cell r="M315" t="str">
            <v>メタルミー　ヘヤライン　銀艶Ｖ</v>
          </cell>
          <cell r="N315">
            <v>1125</v>
          </cell>
          <cell r="O315">
            <v>1120</v>
          </cell>
          <cell r="P315">
            <v>4000</v>
          </cell>
          <cell r="Q315">
            <v>2</v>
          </cell>
        </row>
        <row r="316">
          <cell r="A316">
            <v>3697681</v>
          </cell>
          <cell r="B316" t="str">
            <v>福島コーティング</v>
          </cell>
          <cell r="C316" t="str">
            <v>プロセス材１課</v>
          </cell>
          <cell r="D316" t="str">
            <v>ダミー担当者</v>
          </cell>
          <cell r="E316" t="str">
            <v>リンテック㈱</v>
          </cell>
          <cell r="F316">
            <v>3</v>
          </cell>
          <cell r="G316" t="str">
            <v>S</v>
          </cell>
          <cell r="H316" t="str">
            <v>N</v>
          </cell>
          <cell r="I316" t="str">
            <v>CLB</v>
          </cell>
          <cell r="K316" t="str">
            <v>LMEYK</v>
          </cell>
          <cell r="L316">
            <v>38</v>
          </cell>
          <cell r="M316" t="str">
            <v>ルミマットＥＹＫ</v>
          </cell>
          <cell r="N316">
            <v>1005</v>
          </cell>
          <cell r="O316">
            <v>1000</v>
          </cell>
          <cell r="P316">
            <v>4000</v>
          </cell>
          <cell r="Q316">
            <v>2</v>
          </cell>
        </row>
        <row r="317">
          <cell r="A317">
            <v>3697682</v>
          </cell>
          <cell r="B317" t="str">
            <v>福島コーティング</v>
          </cell>
          <cell r="C317" t="str">
            <v>プロセス材１課</v>
          </cell>
          <cell r="D317" t="str">
            <v>ダミー担当者</v>
          </cell>
          <cell r="E317" t="str">
            <v>リンテック㈱</v>
          </cell>
          <cell r="F317">
            <v>3</v>
          </cell>
          <cell r="G317" t="str">
            <v>S</v>
          </cell>
          <cell r="H317" t="str">
            <v>Y</v>
          </cell>
          <cell r="I317" t="str">
            <v>MLB</v>
          </cell>
          <cell r="K317" t="str">
            <v>MSSMBF</v>
          </cell>
          <cell r="L317">
            <v>50</v>
          </cell>
          <cell r="M317" t="str">
            <v>ＭＥＴＡＬＵＭＹ　ＳＩＬＶＥＲ　Ｓ－ＭＡＴＴＥ　Ｓ２８ＭＭ　Ｂ</v>
          </cell>
          <cell r="N317">
            <v>1120</v>
          </cell>
          <cell r="O317">
            <v>1120</v>
          </cell>
          <cell r="P317">
            <v>4000</v>
          </cell>
          <cell r="Q317">
            <v>2</v>
          </cell>
        </row>
        <row r="318">
          <cell r="A318">
            <v>3697683</v>
          </cell>
          <cell r="B318" t="str">
            <v>福島コーティング</v>
          </cell>
          <cell r="C318" t="str">
            <v>プロセス材１課</v>
          </cell>
          <cell r="D318" t="str">
            <v>ダミー担当者</v>
          </cell>
          <cell r="E318" t="str">
            <v>リンテック㈱</v>
          </cell>
          <cell r="F318">
            <v>3</v>
          </cell>
          <cell r="G318" t="str">
            <v>S</v>
          </cell>
          <cell r="H318" t="str">
            <v>Y</v>
          </cell>
          <cell r="I318" t="str">
            <v>MLB</v>
          </cell>
          <cell r="K318" t="str">
            <v>MSNMBF</v>
          </cell>
          <cell r="L318">
            <v>50</v>
          </cell>
          <cell r="M318" t="str">
            <v>ＭＥＴＡＬＵＭＹ　ＳＩＬＶＥＲ　Ｎ－ＭＡＴＴＥ　Ｘ４４Ｍ　Ｂ</v>
          </cell>
          <cell r="N318">
            <v>1120</v>
          </cell>
          <cell r="O318">
            <v>1120</v>
          </cell>
          <cell r="P318">
            <v>4000</v>
          </cell>
          <cell r="Q318">
            <v>2</v>
          </cell>
        </row>
        <row r="319">
          <cell r="A319">
            <v>3697684</v>
          </cell>
          <cell r="B319" t="str">
            <v>福島コーティング</v>
          </cell>
          <cell r="C319" t="str">
            <v>プロセス材１課</v>
          </cell>
          <cell r="D319" t="str">
            <v>ダミー担当者</v>
          </cell>
          <cell r="E319" t="str">
            <v>リンテック㈱</v>
          </cell>
          <cell r="F319">
            <v>3</v>
          </cell>
          <cell r="G319" t="str">
            <v>S</v>
          </cell>
          <cell r="H319" t="str">
            <v>Y</v>
          </cell>
          <cell r="I319" t="str">
            <v>MLB</v>
          </cell>
          <cell r="K319" t="str">
            <v>MSNMBF</v>
          </cell>
          <cell r="L319">
            <v>50</v>
          </cell>
          <cell r="M319" t="str">
            <v>ＭＥＴＡＬＵＭＹ　ＳＩＬＶＥＲ　Ｎ－ＭＡＴＴＥ　Ｘ４４Ｍ　Ｂ</v>
          </cell>
          <cell r="N319">
            <v>1120</v>
          </cell>
          <cell r="O319">
            <v>1120</v>
          </cell>
          <cell r="P319">
            <v>4000</v>
          </cell>
          <cell r="Q319">
            <v>2</v>
          </cell>
        </row>
        <row r="320">
          <cell r="A320">
            <v>3697857</v>
          </cell>
          <cell r="B320" t="str">
            <v>福島コーティング</v>
          </cell>
          <cell r="C320" t="str">
            <v>工材１部電材課</v>
          </cell>
          <cell r="D320" t="str">
            <v>ダミー担当者</v>
          </cell>
          <cell r="E320" t="str">
            <v>パナック㈱亀山工場</v>
          </cell>
          <cell r="F320">
            <v>3</v>
          </cell>
          <cell r="G320" t="str">
            <v>S</v>
          </cell>
          <cell r="H320" t="str">
            <v>N</v>
          </cell>
          <cell r="I320" t="str">
            <v>MLB</v>
          </cell>
          <cell r="K320" t="str">
            <v>MSF</v>
          </cell>
          <cell r="L320">
            <v>25</v>
          </cell>
          <cell r="M320" t="str">
            <v>メタルミー　Ｓ</v>
          </cell>
          <cell r="N320">
            <v>1020</v>
          </cell>
          <cell r="O320">
            <v>1020</v>
          </cell>
          <cell r="P320">
            <v>2000</v>
          </cell>
          <cell r="Q320">
            <v>2</v>
          </cell>
        </row>
        <row r="321">
          <cell r="A321">
            <v>3698026</v>
          </cell>
          <cell r="B321" t="str">
            <v>福島コーティング</v>
          </cell>
          <cell r="C321" t="str">
            <v>プロセス材１課</v>
          </cell>
          <cell r="D321" t="str">
            <v>ダミー担当者</v>
          </cell>
          <cell r="E321" t="str">
            <v>リンテック㈱</v>
          </cell>
          <cell r="F321">
            <v>3</v>
          </cell>
          <cell r="G321" t="str">
            <v>S</v>
          </cell>
          <cell r="H321" t="str">
            <v>N</v>
          </cell>
          <cell r="I321" t="str">
            <v>MLB</v>
          </cell>
          <cell r="K321" t="str">
            <v>MNQR66F</v>
          </cell>
          <cell r="L321">
            <v>25</v>
          </cell>
          <cell r="M321" t="str">
            <v>ＱＲ６６蒸着品</v>
          </cell>
          <cell r="N321">
            <v>1100</v>
          </cell>
          <cell r="O321">
            <v>1100</v>
          </cell>
          <cell r="P321">
            <v>6000</v>
          </cell>
          <cell r="Q321">
            <v>2</v>
          </cell>
        </row>
        <row r="322">
          <cell r="A322">
            <v>3698027</v>
          </cell>
          <cell r="B322" t="str">
            <v>福島コーティング</v>
          </cell>
          <cell r="C322" t="str">
            <v>大阪光学機能材課</v>
          </cell>
          <cell r="D322" t="str">
            <v>ダミー担当者</v>
          </cell>
          <cell r="E322" t="str">
            <v>五洋紙工㈱</v>
          </cell>
          <cell r="F322">
            <v>3</v>
          </cell>
          <cell r="G322" t="str">
            <v>S</v>
          </cell>
          <cell r="H322" t="str">
            <v>N</v>
          </cell>
          <cell r="I322" t="str">
            <v>MLB</v>
          </cell>
          <cell r="K322" t="str">
            <v>MDMSJF</v>
          </cell>
          <cell r="L322">
            <v>50</v>
          </cell>
          <cell r="M322" t="str">
            <v>ＤＭＳ蒸着（Ｘ－４４）</v>
          </cell>
          <cell r="N322">
            <v>1100</v>
          </cell>
          <cell r="O322">
            <v>1100</v>
          </cell>
          <cell r="P322">
            <v>8000</v>
          </cell>
          <cell r="Q322">
            <v>2</v>
          </cell>
        </row>
        <row r="323">
          <cell r="A323">
            <v>3698028</v>
          </cell>
          <cell r="B323" t="str">
            <v>福島コーティング</v>
          </cell>
          <cell r="C323" t="str">
            <v>プロセス材２課</v>
          </cell>
          <cell r="D323" t="str">
            <v>ダミー担当者</v>
          </cell>
          <cell r="E323" t="str">
            <v>新タック化成㈱</v>
          </cell>
          <cell r="F323">
            <v>3</v>
          </cell>
          <cell r="G323" t="str">
            <v>S</v>
          </cell>
          <cell r="H323" t="str">
            <v>N</v>
          </cell>
          <cell r="I323" t="str">
            <v>MCLB</v>
          </cell>
          <cell r="K323" t="str">
            <v>MSNEYK</v>
          </cell>
          <cell r="L323">
            <v>50</v>
          </cell>
          <cell r="M323" t="str">
            <v>ＭＳＮ　ＥＹＫ</v>
          </cell>
          <cell r="N323">
            <v>1120</v>
          </cell>
          <cell r="O323">
            <v>1120</v>
          </cell>
          <cell r="P323">
            <v>4000</v>
          </cell>
          <cell r="Q323">
            <v>2</v>
          </cell>
        </row>
        <row r="324">
          <cell r="A324">
            <v>3698435</v>
          </cell>
          <cell r="B324" t="str">
            <v>福島コーティング</v>
          </cell>
          <cell r="C324" t="str">
            <v>大阪光学機能材課</v>
          </cell>
          <cell r="D324" t="str">
            <v>ダミー担当者</v>
          </cell>
          <cell r="E324" t="str">
            <v>五洋紙工㈱</v>
          </cell>
          <cell r="F324">
            <v>3</v>
          </cell>
          <cell r="G324" t="str">
            <v>S</v>
          </cell>
          <cell r="H324" t="str">
            <v>N</v>
          </cell>
          <cell r="I324" t="str">
            <v>MLB</v>
          </cell>
          <cell r="K324" t="str">
            <v>MDMSJF</v>
          </cell>
          <cell r="L324">
            <v>50</v>
          </cell>
          <cell r="M324" t="str">
            <v>ＤＭＳ蒸着（Ｘ－４４）</v>
          </cell>
          <cell r="N324">
            <v>1100</v>
          </cell>
          <cell r="O324">
            <v>1100</v>
          </cell>
          <cell r="P324">
            <v>4000</v>
          </cell>
          <cell r="Q324">
            <v>2</v>
          </cell>
        </row>
        <row r="325">
          <cell r="A325">
            <v>3699460</v>
          </cell>
          <cell r="B325" t="str">
            <v>機能Ｆ　ラベル福島開</v>
          </cell>
          <cell r="C325" t="str">
            <v>プロセス材２課</v>
          </cell>
          <cell r="D325" t="str">
            <v>ダミー担当者</v>
          </cell>
          <cell r="E325" t="str">
            <v>栃木カネカ㈱電材検査</v>
          </cell>
          <cell r="F325">
            <v>3</v>
          </cell>
          <cell r="G325" t="str">
            <v>U</v>
          </cell>
          <cell r="H325" t="str">
            <v>N</v>
          </cell>
          <cell r="I325" t="str">
            <v>MLB</v>
          </cell>
          <cell r="K325" t="str">
            <v>KF9BF</v>
          </cell>
          <cell r="L325">
            <v>9</v>
          </cell>
          <cell r="M325" t="str">
            <v>ＫＦ－９Ｂ</v>
          </cell>
          <cell r="N325">
            <v>1200</v>
          </cell>
          <cell r="O325">
            <v>1200</v>
          </cell>
          <cell r="P325">
            <v>2100</v>
          </cell>
          <cell r="Q325">
            <v>2</v>
          </cell>
        </row>
        <row r="326">
          <cell r="A326">
            <v>3699538</v>
          </cell>
          <cell r="B326" t="str">
            <v>機能Ｆ　ラベル福島開</v>
          </cell>
          <cell r="C326" t="str">
            <v>プロセス材２課</v>
          </cell>
          <cell r="D326" t="str">
            <v>ダミー担当者</v>
          </cell>
          <cell r="E326" t="str">
            <v>栃木カネカ㈱電材検査</v>
          </cell>
          <cell r="F326">
            <v>3</v>
          </cell>
          <cell r="G326" t="str">
            <v>U</v>
          </cell>
          <cell r="H326" t="str">
            <v>N</v>
          </cell>
          <cell r="I326" t="str">
            <v>MLB</v>
          </cell>
          <cell r="K326" t="str">
            <v>KF9BF</v>
          </cell>
          <cell r="L326">
            <v>9</v>
          </cell>
          <cell r="M326" t="str">
            <v>ＫＦ－９Ｂ</v>
          </cell>
          <cell r="N326">
            <v>1200</v>
          </cell>
          <cell r="O326">
            <v>1200</v>
          </cell>
          <cell r="P326">
            <v>2000</v>
          </cell>
          <cell r="Q326">
            <v>2</v>
          </cell>
        </row>
        <row r="327">
          <cell r="A327">
            <v>3700944</v>
          </cell>
          <cell r="B327" t="str">
            <v>福島コーティング</v>
          </cell>
          <cell r="C327" t="str">
            <v>プロセス材２課</v>
          </cell>
          <cell r="D327" t="str">
            <v>ダミー担当者</v>
          </cell>
          <cell r="E327" t="str">
            <v>大阪シーリング印刷㈱</v>
          </cell>
          <cell r="F327" t="str">
            <v>3H</v>
          </cell>
          <cell r="G327" t="str">
            <v>S</v>
          </cell>
          <cell r="H327" t="str">
            <v>N</v>
          </cell>
          <cell r="I327" t="str">
            <v>MCLB</v>
          </cell>
          <cell r="K327" t="str">
            <v>EYK</v>
          </cell>
          <cell r="L327">
            <v>50</v>
          </cell>
          <cell r="M327" t="str">
            <v>メタルミー　ＥＹＫ</v>
          </cell>
          <cell r="N327">
            <v>1190</v>
          </cell>
          <cell r="O327">
            <v>1190</v>
          </cell>
          <cell r="P327">
            <v>6000</v>
          </cell>
          <cell r="Q327">
            <v>2</v>
          </cell>
        </row>
        <row r="328">
          <cell r="A328">
            <v>3700946</v>
          </cell>
          <cell r="B328" t="str">
            <v>福島コーティング</v>
          </cell>
          <cell r="C328" t="str">
            <v>プロセス材２課</v>
          </cell>
          <cell r="D328" t="str">
            <v>ダミー担当者</v>
          </cell>
          <cell r="E328" t="str">
            <v>マルウ接着㈱</v>
          </cell>
          <cell r="F328">
            <v>3</v>
          </cell>
          <cell r="G328" t="str">
            <v>S</v>
          </cell>
          <cell r="H328" t="str">
            <v>N</v>
          </cell>
          <cell r="I328" t="str">
            <v>MCLB</v>
          </cell>
          <cell r="K328" t="str">
            <v>MSNEYK</v>
          </cell>
          <cell r="L328">
            <v>100</v>
          </cell>
          <cell r="M328" t="str">
            <v>ＭＳＮ　ＥＹＫ</v>
          </cell>
          <cell r="N328">
            <v>1205</v>
          </cell>
          <cell r="O328">
            <v>1205</v>
          </cell>
          <cell r="P328">
            <v>2500</v>
          </cell>
          <cell r="Q328">
            <v>2</v>
          </cell>
        </row>
        <row r="329">
          <cell r="A329">
            <v>3700947</v>
          </cell>
          <cell r="B329" t="str">
            <v>福島コーティング</v>
          </cell>
          <cell r="C329" t="str">
            <v>プロセス材２課</v>
          </cell>
          <cell r="D329" t="str">
            <v>ダミー担当者</v>
          </cell>
          <cell r="E329" t="str">
            <v>新タック化成㈱</v>
          </cell>
          <cell r="F329">
            <v>3</v>
          </cell>
          <cell r="G329" t="str">
            <v>S</v>
          </cell>
          <cell r="H329" t="str">
            <v>N</v>
          </cell>
          <cell r="I329" t="str">
            <v>MCLB</v>
          </cell>
          <cell r="K329" t="str">
            <v>EYK</v>
          </cell>
          <cell r="L329">
            <v>50</v>
          </cell>
          <cell r="M329" t="str">
            <v>メタルミー　ＥＹＫ</v>
          </cell>
          <cell r="N329">
            <v>1120</v>
          </cell>
          <cell r="O329">
            <v>1120</v>
          </cell>
          <cell r="P329">
            <v>6000</v>
          </cell>
          <cell r="Q329">
            <v>2</v>
          </cell>
        </row>
        <row r="330">
          <cell r="A330">
            <v>3700948</v>
          </cell>
          <cell r="B330" t="str">
            <v>福島コーティング</v>
          </cell>
          <cell r="C330" t="str">
            <v>プロセス材２課</v>
          </cell>
          <cell r="D330" t="str">
            <v>ダミー担当者</v>
          </cell>
          <cell r="E330" t="str">
            <v>新タック化成㈱</v>
          </cell>
          <cell r="F330">
            <v>3</v>
          </cell>
          <cell r="G330" t="str">
            <v>S</v>
          </cell>
          <cell r="H330" t="str">
            <v>N</v>
          </cell>
          <cell r="I330" t="str">
            <v>MCLB</v>
          </cell>
          <cell r="K330" t="str">
            <v>MSNEYK</v>
          </cell>
          <cell r="L330">
            <v>50</v>
          </cell>
          <cell r="M330" t="str">
            <v>ＭＳＮ　ＥＹＫ</v>
          </cell>
          <cell r="N330">
            <v>1120</v>
          </cell>
          <cell r="O330">
            <v>1120</v>
          </cell>
          <cell r="P330">
            <v>4000</v>
          </cell>
          <cell r="Q330">
            <v>2</v>
          </cell>
        </row>
        <row r="331">
          <cell r="A331">
            <v>3700950</v>
          </cell>
          <cell r="B331" t="str">
            <v>福島コーティング</v>
          </cell>
          <cell r="C331" t="str">
            <v>プロセス材１課</v>
          </cell>
          <cell r="D331" t="str">
            <v>ダミー担当者</v>
          </cell>
          <cell r="E331" t="str">
            <v>リンテック㈱</v>
          </cell>
          <cell r="F331">
            <v>3</v>
          </cell>
          <cell r="G331" t="str">
            <v>S</v>
          </cell>
          <cell r="H331" t="str">
            <v>N</v>
          </cell>
          <cell r="I331" t="str">
            <v>MLB</v>
          </cell>
          <cell r="K331" t="str">
            <v>MNGKKBF</v>
          </cell>
          <cell r="L331">
            <v>25</v>
          </cell>
          <cell r="M331" t="str">
            <v>メタルミー　ネーマー銀消改　Ｂ</v>
          </cell>
          <cell r="N331">
            <v>1120</v>
          </cell>
          <cell r="O331">
            <v>1120</v>
          </cell>
          <cell r="P331">
            <v>4000</v>
          </cell>
          <cell r="Q331">
            <v>2</v>
          </cell>
        </row>
        <row r="332">
          <cell r="A332">
            <v>3700951</v>
          </cell>
          <cell r="B332" t="str">
            <v>福島コーティング</v>
          </cell>
          <cell r="C332" t="str">
            <v>プロセス材１課</v>
          </cell>
          <cell r="D332" t="str">
            <v>ダミー担当者</v>
          </cell>
          <cell r="E332" t="str">
            <v>リンテック㈱</v>
          </cell>
          <cell r="F332">
            <v>3</v>
          </cell>
          <cell r="G332" t="str">
            <v>S</v>
          </cell>
          <cell r="H332" t="str">
            <v>N</v>
          </cell>
          <cell r="I332" t="str">
            <v>MLB</v>
          </cell>
          <cell r="K332" t="str">
            <v>MNGKKBF</v>
          </cell>
          <cell r="L332">
            <v>50</v>
          </cell>
          <cell r="M332" t="str">
            <v>メタルミー　ネーマー銀消改　Ｂ</v>
          </cell>
          <cell r="N332">
            <v>1000</v>
          </cell>
          <cell r="O332">
            <v>1000</v>
          </cell>
          <cell r="P332">
            <v>4000</v>
          </cell>
          <cell r="Q332">
            <v>2</v>
          </cell>
        </row>
        <row r="333">
          <cell r="A333">
            <v>3700952</v>
          </cell>
          <cell r="B333" t="str">
            <v>福島コーティング</v>
          </cell>
          <cell r="C333" t="str">
            <v>プロセス材１課</v>
          </cell>
          <cell r="D333" t="str">
            <v>ダミー担当者</v>
          </cell>
          <cell r="E333" t="str">
            <v>リンテック㈱</v>
          </cell>
          <cell r="F333">
            <v>3</v>
          </cell>
          <cell r="G333" t="str">
            <v>S</v>
          </cell>
          <cell r="H333" t="str">
            <v>N</v>
          </cell>
          <cell r="I333" t="str">
            <v>MLB</v>
          </cell>
          <cell r="K333" t="str">
            <v>MNGKKBF</v>
          </cell>
          <cell r="L333">
            <v>50</v>
          </cell>
          <cell r="M333" t="str">
            <v>メタルミー　ネーマー銀消改　Ｂ</v>
          </cell>
          <cell r="N333">
            <v>1120</v>
          </cell>
          <cell r="O333">
            <v>1120</v>
          </cell>
          <cell r="P333">
            <v>4000</v>
          </cell>
          <cell r="Q333">
            <v>2</v>
          </cell>
        </row>
        <row r="334">
          <cell r="A334">
            <v>3700953</v>
          </cell>
          <cell r="B334" t="str">
            <v>福島コーティング</v>
          </cell>
          <cell r="C334" t="str">
            <v>プロセス材１課</v>
          </cell>
          <cell r="D334" t="str">
            <v>ダミー担当者</v>
          </cell>
          <cell r="E334" t="str">
            <v>リンテック㈱</v>
          </cell>
          <cell r="F334">
            <v>3</v>
          </cell>
          <cell r="G334" t="str">
            <v>S</v>
          </cell>
          <cell r="H334" t="str">
            <v>N</v>
          </cell>
          <cell r="I334" t="str">
            <v>MLB</v>
          </cell>
          <cell r="K334" t="str">
            <v>MNGKBF</v>
          </cell>
          <cell r="L334">
            <v>50</v>
          </cell>
          <cell r="M334" t="str">
            <v>メタルミー　ネーマー銀消　Ｂ</v>
          </cell>
          <cell r="N334">
            <v>1050</v>
          </cell>
          <cell r="O334">
            <v>1050</v>
          </cell>
          <cell r="P334">
            <v>4100</v>
          </cell>
          <cell r="Q334">
            <v>2</v>
          </cell>
        </row>
        <row r="335">
          <cell r="A335">
            <v>3700955</v>
          </cell>
          <cell r="B335" t="str">
            <v>福島コーティング</v>
          </cell>
          <cell r="C335" t="str">
            <v>プロセス材１課</v>
          </cell>
          <cell r="D335" t="str">
            <v>ダミー担当者</v>
          </cell>
          <cell r="E335" t="str">
            <v>リンテック㈱</v>
          </cell>
          <cell r="F335">
            <v>3</v>
          </cell>
          <cell r="G335" t="str">
            <v>S</v>
          </cell>
          <cell r="H335" t="str">
            <v>N</v>
          </cell>
          <cell r="I335" t="str">
            <v>MLB</v>
          </cell>
          <cell r="K335" t="str">
            <v>MNGTBF</v>
          </cell>
          <cell r="L335">
            <v>25</v>
          </cell>
          <cell r="M335" t="str">
            <v>メタルミー　ネーマー　銀艶　Ｂ</v>
          </cell>
          <cell r="N335">
            <v>1005</v>
          </cell>
          <cell r="O335">
            <v>1000</v>
          </cell>
          <cell r="P335">
            <v>4000</v>
          </cell>
          <cell r="Q335">
            <v>2</v>
          </cell>
        </row>
        <row r="336">
          <cell r="A336">
            <v>3700956</v>
          </cell>
          <cell r="B336" t="str">
            <v>福島コーティング</v>
          </cell>
          <cell r="C336" t="str">
            <v>プロセス材１課</v>
          </cell>
          <cell r="D336" t="str">
            <v>ダミー担当者</v>
          </cell>
          <cell r="E336" t="str">
            <v>リンテック㈱</v>
          </cell>
          <cell r="F336">
            <v>3</v>
          </cell>
          <cell r="G336" t="str">
            <v>S</v>
          </cell>
          <cell r="H336" t="str">
            <v>N</v>
          </cell>
          <cell r="I336" t="str">
            <v>MLB</v>
          </cell>
          <cell r="K336" t="str">
            <v>MNGTBF</v>
          </cell>
          <cell r="L336">
            <v>50</v>
          </cell>
          <cell r="M336" t="str">
            <v>メタルミー　ネーマー　銀艶　Ｂ</v>
          </cell>
          <cell r="N336">
            <v>1120</v>
          </cell>
          <cell r="O336">
            <v>1120</v>
          </cell>
          <cell r="P336">
            <v>5000</v>
          </cell>
          <cell r="Q336">
            <v>2</v>
          </cell>
        </row>
        <row r="337">
          <cell r="A337">
            <v>3700957</v>
          </cell>
          <cell r="B337" t="str">
            <v>福島コーティング</v>
          </cell>
          <cell r="C337" t="str">
            <v>プロセス材１課</v>
          </cell>
          <cell r="D337" t="str">
            <v>ダミー担当者</v>
          </cell>
          <cell r="E337" t="str">
            <v>リンテック㈱</v>
          </cell>
          <cell r="F337">
            <v>3</v>
          </cell>
          <cell r="G337" t="str">
            <v>S</v>
          </cell>
          <cell r="H337" t="str">
            <v>N</v>
          </cell>
          <cell r="I337" t="str">
            <v>MLB</v>
          </cell>
          <cell r="K337" t="str">
            <v>MNGTBF</v>
          </cell>
          <cell r="L337">
            <v>50</v>
          </cell>
          <cell r="M337" t="str">
            <v>メタルミー　ネーマー　銀艶　Ｂ</v>
          </cell>
          <cell r="N337">
            <v>1120</v>
          </cell>
          <cell r="O337">
            <v>1120</v>
          </cell>
          <cell r="P337">
            <v>5000</v>
          </cell>
          <cell r="Q337">
            <v>2</v>
          </cell>
        </row>
        <row r="338">
          <cell r="A338">
            <v>3700958</v>
          </cell>
          <cell r="B338" t="str">
            <v>福島コーティング</v>
          </cell>
          <cell r="C338" t="str">
            <v>プロセス材１課</v>
          </cell>
          <cell r="D338" t="str">
            <v>ダミー担当者</v>
          </cell>
          <cell r="E338" t="str">
            <v>リンテック㈱</v>
          </cell>
          <cell r="F338">
            <v>3</v>
          </cell>
          <cell r="G338" t="str">
            <v>S</v>
          </cell>
          <cell r="H338" t="str">
            <v>N</v>
          </cell>
          <cell r="I338" t="str">
            <v>MLB</v>
          </cell>
          <cell r="K338" t="str">
            <v>MNGTBF</v>
          </cell>
          <cell r="L338">
            <v>50</v>
          </cell>
          <cell r="M338" t="str">
            <v>メタルミー　ネーマー　銀艶　Ｂ</v>
          </cell>
          <cell r="N338">
            <v>1120</v>
          </cell>
          <cell r="O338">
            <v>1120</v>
          </cell>
          <cell r="P338">
            <v>5000</v>
          </cell>
          <cell r="Q338">
            <v>2</v>
          </cell>
        </row>
        <row r="339">
          <cell r="A339">
            <v>3700959</v>
          </cell>
          <cell r="B339" t="str">
            <v>福島コーティング</v>
          </cell>
          <cell r="C339" t="str">
            <v>プロセス材１課</v>
          </cell>
          <cell r="D339" t="str">
            <v>ダミー担当者</v>
          </cell>
          <cell r="E339" t="str">
            <v>リンテック㈱</v>
          </cell>
          <cell r="F339">
            <v>3</v>
          </cell>
          <cell r="G339" t="str">
            <v>S</v>
          </cell>
          <cell r="H339" t="str">
            <v>N</v>
          </cell>
          <cell r="I339" t="str">
            <v>MLB</v>
          </cell>
          <cell r="K339" t="str">
            <v>MNGTBF</v>
          </cell>
          <cell r="L339">
            <v>50</v>
          </cell>
          <cell r="M339" t="str">
            <v>メタルミー　ネーマー　銀艶　Ｂ</v>
          </cell>
          <cell r="N339">
            <v>1120</v>
          </cell>
          <cell r="O339">
            <v>1120</v>
          </cell>
          <cell r="P339">
            <v>5000</v>
          </cell>
          <cell r="Q339">
            <v>2</v>
          </cell>
        </row>
        <row r="340">
          <cell r="A340">
            <v>3700960</v>
          </cell>
          <cell r="B340" t="str">
            <v>福島コーティング</v>
          </cell>
          <cell r="C340" t="str">
            <v>プロセス材１課</v>
          </cell>
          <cell r="D340" t="str">
            <v>ダミー担当者</v>
          </cell>
          <cell r="E340" t="str">
            <v>リンテック㈱</v>
          </cell>
          <cell r="F340">
            <v>3</v>
          </cell>
          <cell r="G340" t="str">
            <v>S</v>
          </cell>
          <cell r="H340" t="str">
            <v>N</v>
          </cell>
          <cell r="I340" t="str">
            <v>MLB</v>
          </cell>
          <cell r="K340" t="str">
            <v>MNNGKBF</v>
          </cell>
          <cell r="L340">
            <v>50</v>
          </cell>
          <cell r="M340" t="str">
            <v>メタルミー　ニューネーマー銀消　Ｂ</v>
          </cell>
          <cell r="N340">
            <v>1000</v>
          </cell>
          <cell r="O340">
            <v>1000</v>
          </cell>
          <cell r="P340">
            <v>4000</v>
          </cell>
          <cell r="Q340">
            <v>2</v>
          </cell>
        </row>
        <row r="341">
          <cell r="A341">
            <v>3700961</v>
          </cell>
          <cell r="B341" t="str">
            <v>福島コーティング</v>
          </cell>
          <cell r="C341" t="str">
            <v>プロセス材１課</v>
          </cell>
          <cell r="D341" t="str">
            <v>ダミー担当者</v>
          </cell>
          <cell r="E341" t="str">
            <v>リンテック㈱</v>
          </cell>
          <cell r="F341" t="str">
            <v>33S</v>
          </cell>
          <cell r="G341" t="str">
            <v>S</v>
          </cell>
          <cell r="H341" t="str">
            <v>N</v>
          </cell>
          <cell r="I341" t="str">
            <v>MCLB</v>
          </cell>
          <cell r="K341" t="str">
            <v>TEKKFV</v>
          </cell>
          <cell r="L341">
            <v>50</v>
          </cell>
          <cell r="M341" t="str">
            <v>メタルミー　ＴＥＳ消開封　Ｖ</v>
          </cell>
          <cell r="N341">
            <v>1005</v>
          </cell>
          <cell r="O341">
            <v>1000</v>
          </cell>
          <cell r="P341">
            <v>4000</v>
          </cell>
          <cell r="Q341">
            <v>2</v>
          </cell>
        </row>
        <row r="342">
          <cell r="A342">
            <v>3700962</v>
          </cell>
          <cell r="B342" t="str">
            <v>福島コーティング</v>
          </cell>
          <cell r="C342" t="str">
            <v>プロセス材１課</v>
          </cell>
          <cell r="D342" t="str">
            <v>ダミー担当者</v>
          </cell>
          <cell r="E342" t="str">
            <v>リンテック㈱</v>
          </cell>
          <cell r="F342" t="str">
            <v>33S</v>
          </cell>
          <cell r="G342" t="str">
            <v>S</v>
          </cell>
          <cell r="H342" t="str">
            <v>N</v>
          </cell>
          <cell r="I342" t="str">
            <v>MCLB</v>
          </cell>
          <cell r="K342" t="str">
            <v>TEKV0V</v>
          </cell>
          <cell r="L342">
            <v>50</v>
          </cell>
          <cell r="M342" t="str">
            <v>メタルミー　ＴＥ－Ｓ消　ＶＯＩＤ　Ｖ</v>
          </cell>
          <cell r="N342">
            <v>1005</v>
          </cell>
          <cell r="O342">
            <v>1000</v>
          </cell>
          <cell r="P342">
            <v>4000</v>
          </cell>
          <cell r="Q342">
            <v>2</v>
          </cell>
        </row>
        <row r="343">
          <cell r="A343">
            <v>3700963</v>
          </cell>
          <cell r="B343" t="str">
            <v>福島コーティング</v>
          </cell>
          <cell r="C343" t="str">
            <v>プロセス材１課</v>
          </cell>
          <cell r="D343" t="str">
            <v>ダミー担当者</v>
          </cell>
          <cell r="E343" t="str">
            <v>リンテック㈱</v>
          </cell>
          <cell r="F343">
            <v>3</v>
          </cell>
          <cell r="G343" t="str">
            <v>S</v>
          </cell>
          <cell r="H343" t="str">
            <v>N</v>
          </cell>
          <cell r="I343" t="str">
            <v>MLB</v>
          </cell>
          <cell r="K343" t="str">
            <v>MNQR66F</v>
          </cell>
          <cell r="L343">
            <v>25</v>
          </cell>
          <cell r="M343" t="str">
            <v>ＱＲ６６蒸着品</v>
          </cell>
          <cell r="N343">
            <v>1100</v>
          </cell>
          <cell r="O343">
            <v>1100</v>
          </cell>
          <cell r="P343">
            <v>6000</v>
          </cell>
          <cell r="Q343">
            <v>2</v>
          </cell>
        </row>
        <row r="344">
          <cell r="A344">
            <v>3700964</v>
          </cell>
          <cell r="B344" t="str">
            <v>福島コーティング</v>
          </cell>
          <cell r="C344" t="str">
            <v>プロセス材１課</v>
          </cell>
          <cell r="D344" t="str">
            <v>ダミー担当者</v>
          </cell>
          <cell r="E344" t="str">
            <v>リンテック㈱</v>
          </cell>
          <cell r="F344">
            <v>3</v>
          </cell>
          <cell r="G344" t="str">
            <v>S</v>
          </cell>
          <cell r="H344" t="str">
            <v>N</v>
          </cell>
          <cell r="I344" t="str">
            <v>MCLB</v>
          </cell>
          <cell r="K344" t="str">
            <v>HLGTV</v>
          </cell>
          <cell r="L344">
            <v>25</v>
          </cell>
          <cell r="M344" t="str">
            <v>メタルミー　ヘヤライン　銀艶Ｖ</v>
          </cell>
          <cell r="N344">
            <v>1005</v>
          </cell>
          <cell r="O344">
            <v>1000</v>
          </cell>
          <cell r="P344">
            <v>2000</v>
          </cell>
          <cell r="Q344">
            <v>2</v>
          </cell>
        </row>
        <row r="345">
          <cell r="A345">
            <v>3700965</v>
          </cell>
          <cell r="B345" t="str">
            <v>福島コーティング</v>
          </cell>
          <cell r="C345" t="str">
            <v>プロセス材１課</v>
          </cell>
          <cell r="D345" t="str">
            <v>ダミー担当者</v>
          </cell>
          <cell r="E345" t="str">
            <v>リンテック㈱</v>
          </cell>
          <cell r="F345">
            <v>3</v>
          </cell>
          <cell r="G345" t="str">
            <v>S</v>
          </cell>
          <cell r="H345" t="str">
            <v>N</v>
          </cell>
          <cell r="I345" t="str">
            <v>MCLB</v>
          </cell>
          <cell r="K345" t="str">
            <v>HLGTV</v>
          </cell>
          <cell r="L345">
            <v>50</v>
          </cell>
          <cell r="M345" t="str">
            <v>メタルミー　ヘヤライン　銀艶Ｖ</v>
          </cell>
          <cell r="N345">
            <v>1005</v>
          </cell>
          <cell r="O345">
            <v>1000</v>
          </cell>
          <cell r="P345">
            <v>4000</v>
          </cell>
          <cell r="Q345">
            <v>2</v>
          </cell>
        </row>
        <row r="346">
          <cell r="A346">
            <v>3700966</v>
          </cell>
          <cell r="B346" t="str">
            <v>福島コーティング</v>
          </cell>
          <cell r="C346" t="str">
            <v>プロセス材１課</v>
          </cell>
          <cell r="D346" t="str">
            <v>ダミー担当者</v>
          </cell>
          <cell r="E346" t="str">
            <v>リンテック㈱</v>
          </cell>
          <cell r="F346">
            <v>3</v>
          </cell>
          <cell r="G346" t="str">
            <v>S</v>
          </cell>
          <cell r="H346" t="str">
            <v>N</v>
          </cell>
          <cell r="I346" t="str">
            <v>CLB</v>
          </cell>
          <cell r="K346" t="str">
            <v>LMEYK</v>
          </cell>
          <cell r="L346">
            <v>38</v>
          </cell>
          <cell r="M346" t="str">
            <v>ルミマットＥＹＫ</v>
          </cell>
          <cell r="N346">
            <v>1005</v>
          </cell>
          <cell r="O346">
            <v>1000</v>
          </cell>
          <cell r="P346">
            <v>4000</v>
          </cell>
          <cell r="Q346">
            <v>2</v>
          </cell>
        </row>
        <row r="347">
          <cell r="A347">
            <v>3700967</v>
          </cell>
          <cell r="B347" t="str">
            <v>福島コーティング</v>
          </cell>
          <cell r="C347" t="str">
            <v>プロセス材１課</v>
          </cell>
          <cell r="D347" t="str">
            <v>ダミー担当者</v>
          </cell>
          <cell r="E347" t="str">
            <v>リンテック㈱</v>
          </cell>
          <cell r="F347">
            <v>3</v>
          </cell>
          <cell r="G347" t="str">
            <v>S</v>
          </cell>
          <cell r="H347" t="str">
            <v>Y</v>
          </cell>
          <cell r="I347" t="str">
            <v>MLB</v>
          </cell>
          <cell r="K347" t="str">
            <v>MSNMBF</v>
          </cell>
          <cell r="L347">
            <v>50</v>
          </cell>
          <cell r="M347" t="str">
            <v>ＭＥＴＡＬＵＭＹ　ＳＩＬＶＥＲ　Ｎ－ＭＡＴＴＥ　Ｘ４４Ｍ　Ｂ</v>
          </cell>
          <cell r="N347">
            <v>1120</v>
          </cell>
          <cell r="O347">
            <v>1120</v>
          </cell>
          <cell r="P347">
            <v>4000</v>
          </cell>
          <cell r="Q347">
            <v>2</v>
          </cell>
        </row>
        <row r="348">
          <cell r="A348">
            <v>3700968</v>
          </cell>
          <cell r="B348" t="str">
            <v>福島コーティング</v>
          </cell>
          <cell r="C348" t="str">
            <v>プロセス材１課</v>
          </cell>
          <cell r="D348" t="str">
            <v>ダミー担当者</v>
          </cell>
          <cell r="E348" t="str">
            <v>リンテック㈱</v>
          </cell>
          <cell r="F348">
            <v>3</v>
          </cell>
          <cell r="G348" t="str">
            <v>S</v>
          </cell>
          <cell r="H348" t="str">
            <v>Y</v>
          </cell>
          <cell r="I348" t="str">
            <v>MLB</v>
          </cell>
          <cell r="K348" t="str">
            <v>MSSMBZF</v>
          </cell>
          <cell r="L348">
            <v>50</v>
          </cell>
          <cell r="M348" t="str">
            <v>ＭＥＴＡＬＵＭＹ　ＳＩＬＶＥＲ　Ｓ－ＭＡＴＴＥ　Ｂ</v>
          </cell>
          <cell r="N348">
            <v>1120</v>
          </cell>
          <cell r="O348">
            <v>1120</v>
          </cell>
          <cell r="P348">
            <v>4000</v>
          </cell>
          <cell r="Q348">
            <v>2</v>
          </cell>
        </row>
        <row r="349">
          <cell r="A349">
            <v>3700969</v>
          </cell>
          <cell r="B349" t="str">
            <v>福島コーティング</v>
          </cell>
          <cell r="C349" t="str">
            <v>プロセス材１課</v>
          </cell>
          <cell r="D349" t="str">
            <v>ダミー担当者</v>
          </cell>
          <cell r="E349" t="str">
            <v>リンテック㈱</v>
          </cell>
          <cell r="F349">
            <v>3</v>
          </cell>
          <cell r="G349" t="str">
            <v>S</v>
          </cell>
          <cell r="H349" t="str">
            <v>Y</v>
          </cell>
          <cell r="I349" t="str">
            <v>MLB</v>
          </cell>
          <cell r="K349" t="str">
            <v>MSNMBZF</v>
          </cell>
          <cell r="L349">
            <v>50</v>
          </cell>
          <cell r="M349" t="str">
            <v>ＭＥＴＡＬＵＭＹ　ＳＩＬＶＥＲ　Ｎ－ＭＡＴＴＥ　Ｂ</v>
          </cell>
          <cell r="N349">
            <v>1120</v>
          </cell>
          <cell r="O349">
            <v>1120</v>
          </cell>
          <cell r="P349">
            <v>4000</v>
          </cell>
          <cell r="Q349">
            <v>2</v>
          </cell>
        </row>
        <row r="350">
          <cell r="A350">
            <v>3700970</v>
          </cell>
          <cell r="B350" t="str">
            <v>福島コーティング</v>
          </cell>
          <cell r="C350" t="str">
            <v>プロセス材１課</v>
          </cell>
          <cell r="D350" t="str">
            <v>ダミー担当者</v>
          </cell>
          <cell r="E350" t="str">
            <v>リンテック㈱</v>
          </cell>
          <cell r="F350">
            <v>3</v>
          </cell>
          <cell r="G350" t="str">
            <v>S</v>
          </cell>
          <cell r="H350" t="str">
            <v>Y</v>
          </cell>
          <cell r="I350" t="str">
            <v>MLB</v>
          </cell>
          <cell r="K350" t="str">
            <v>MSBBZF</v>
          </cell>
          <cell r="L350">
            <v>50</v>
          </cell>
          <cell r="M350" t="str">
            <v>ＭＥＴＡＬＵＭＹ　ＳＩＬＶＥＲ　ＢＲＩＧＨＴ　Ｂ</v>
          </cell>
          <cell r="N350">
            <v>1120</v>
          </cell>
          <cell r="O350">
            <v>1120</v>
          </cell>
          <cell r="P350">
            <v>5000</v>
          </cell>
          <cell r="Q350">
            <v>2</v>
          </cell>
        </row>
        <row r="351">
          <cell r="A351">
            <v>3700971</v>
          </cell>
          <cell r="B351" t="str">
            <v>福島コーティング</v>
          </cell>
          <cell r="C351" t="str">
            <v>プロセス材１課</v>
          </cell>
          <cell r="D351" t="str">
            <v>ダミー担当者</v>
          </cell>
          <cell r="E351" t="str">
            <v>リンテック㈱</v>
          </cell>
          <cell r="F351">
            <v>3</v>
          </cell>
          <cell r="G351" t="str">
            <v>S</v>
          </cell>
          <cell r="H351" t="str">
            <v>Y</v>
          </cell>
          <cell r="I351" t="str">
            <v>MLB</v>
          </cell>
          <cell r="K351" t="str">
            <v>MSNMBZF</v>
          </cell>
          <cell r="L351">
            <v>25</v>
          </cell>
          <cell r="M351" t="str">
            <v>ＭＥＴＡＬＵＭＹ　ＳＩＬＶＥＲ　Ｎ－ＭＡＴＴＥ　Ｂ</v>
          </cell>
          <cell r="N351">
            <v>1120</v>
          </cell>
          <cell r="O351">
            <v>1120</v>
          </cell>
          <cell r="P351">
            <v>8000</v>
          </cell>
          <cell r="Q351">
            <v>2</v>
          </cell>
        </row>
        <row r="352">
          <cell r="A352">
            <v>3702341</v>
          </cell>
          <cell r="B352" t="str">
            <v>福島コーティング</v>
          </cell>
          <cell r="C352" t="str">
            <v>プロセス材２課</v>
          </cell>
          <cell r="D352" t="str">
            <v>ダミー担当者</v>
          </cell>
          <cell r="E352" t="str">
            <v>大阪シーリング印刷㈱</v>
          </cell>
          <cell r="F352">
            <v>3</v>
          </cell>
          <cell r="G352" t="str">
            <v>S</v>
          </cell>
          <cell r="H352" t="str">
            <v>N</v>
          </cell>
          <cell r="I352" t="str">
            <v>MCLB</v>
          </cell>
          <cell r="K352" t="str">
            <v>MSNEYK</v>
          </cell>
          <cell r="L352">
            <v>50</v>
          </cell>
          <cell r="M352" t="str">
            <v>ＭＳＮ　ＥＹＫ</v>
          </cell>
          <cell r="N352">
            <v>1200</v>
          </cell>
          <cell r="O352">
            <v>1190</v>
          </cell>
          <cell r="P352">
            <v>6000</v>
          </cell>
          <cell r="Q352">
            <v>2</v>
          </cell>
        </row>
        <row r="353">
          <cell r="A353">
            <v>3702343</v>
          </cell>
          <cell r="B353" t="str">
            <v>機能Ｆ　ラベル福島開</v>
          </cell>
          <cell r="C353" t="str">
            <v>プロセス材２課</v>
          </cell>
          <cell r="D353" t="str">
            <v>ダミー担当者</v>
          </cell>
          <cell r="E353" t="str">
            <v>栃木カネカ㈱電材検査</v>
          </cell>
          <cell r="F353">
            <v>3</v>
          </cell>
          <cell r="G353" t="str">
            <v>U</v>
          </cell>
          <cell r="H353" t="str">
            <v>N</v>
          </cell>
          <cell r="I353" t="str">
            <v>MLB</v>
          </cell>
          <cell r="K353" t="str">
            <v>KF9BF</v>
          </cell>
          <cell r="L353">
            <v>9</v>
          </cell>
          <cell r="M353" t="str">
            <v>ＫＦ－９Ｂ</v>
          </cell>
          <cell r="N353">
            <v>1200</v>
          </cell>
          <cell r="O353">
            <v>1200</v>
          </cell>
          <cell r="P353">
            <v>2000</v>
          </cell>
          <cell r="Q353">
            <v>2</v>
          </cell>
        </row>
        <row r="354">
          <cell r="A354">
            <v>3702649</v>
          </cell>
          <cell r="B354" t="str">
            <v>機能Ｆ　ラベル福島原</v>
          </cell>
          <cell r="C354" t="str">
            <v>プロセス材１課</v>
          </cell>
          <cell r="D354" t="str">
            <v>ダミー担当者</v>
          </cell>
          <cell r="E354" t="str">
            <v>アジヤアルミ㈱</v>
          </cell>
          <cell r="F354">
            <v>3</v>
          </cell>
          <cell r="G354" t="str">
            <v>T</v>
          </cell>
          <cell r="H354" t="str">
            <v>N</v>
          </cell>
          <cell r="I354" t="str">
            <v>MLB</v>
          </cell>
          <cell r="K354" t="str">
            <v>HLGTF</v>
          </cell>
          <cell r="L354">
            <v>50</v>
          </cell>
          <cell r="M354" t="str">
            <v>メタルミーヘヤライン銀艶</v>
          </cell>
          <cell r="N354">
            <v>1005</v>
          </cell>
          <cell r="O354">
            <v>1000</v>
          </cell>
          <cell r="P354">
            <v>4100</v>
          </cell>
          <cell r="Q354">
            <v>2</v>
          </cell>
        </row>
        <row r="355">
          <cell r="A355">
            <v>3703375</v>
          </cell>
          <cell r="B355" t="str">
            <v>福島コーティング</v>
          </cell>
          <cell r="C355" t="str">
            <v>プロセス材１課</v>
          </cell>
          <cell r="D355" t="str">
            <v>ダミー担当者</v>
          </cell>
          <cell r="E355" t="str">
            <v>リンテック㈱</v>
          </cell>
          <cell r="F355">
            <v>3</v>
          </cell>
          <cell r="G355" t="str">
            <v>S</v>
          </cell>
          <cell r="H355" t="str">
            <v>N</v>
          </cell>
          <cell r="I355" t="str">
            <v>CLB</v>
          </cell>
          <cell r="K355" t="str">
            <v>LMEYK</v>
          </cell>
          <cell r="L355">
            <v>38</v>
          </cell>
          <cell r="M355" t="str">
            <v>ルミマットＥＹＫ</v>
          </cell>
          <cell r="N355">
            <v>1005</v>
          </cell>
          <cell r="O355">
            <v>1000</v>
          </cell>
          <cell r="P355">
            <v>4000</v>
          </cell>
          <cell r="Q355">
            <v>2</v>
          </cell>
        </row>
        <row r="356">
          <cell r="A356">
            <v>3703648</v>
          </cell>
          <cell r="B356" t="str">
            <v>機能Ｆ　ラベル福島原</v>
          </cell>
          <cell r="C356" t="str">
            <v>プロセス材１課</v>
          </cell>
          <cell r="D356" t="str">
            <v>ダミー担当者</v>
          </cell>
          <cell r="E356" t="str">
            <v>リンテック㈱</v>
          </cell>
          <cell r="F356">
            <v>3</v>
          </cell>
          <cell r="G356" t="str">
            <v>T</v>
          </cell>
          <cell r="H356" t="str">
            <v>N</v>
          </cell>
          <cell r="I356" t="str">
            <v>MCLB</v>
          </cell>
          <cell r="K356" t="str">
            <v>HLKTV</v>
          </cell>
          <cell r="L356">
            <v>25</v>
          </cell>
          <cell r="M356" t="str">
            <v>メタルミー　ヘヤライン金艶　Ｖ</v>
          </cell>
          <cell r="N356">
            <v>1000</v>
          </cell>
          <cell r="O356">
            <v>1000</v>
          </cell>
          <cell r="P356">
            <v>2000</v>
          </cell>
          <cell r="Q356">
            <v>2</v>
          </cell>
        </row>
        <row r="357">
          <cell r="A357">
            <v>3703649</v>
          </cell>
          <cell r="B357" t="str">
            <v>機能Ｆ　ラベル福島原</v>
          </cell>
          <cell r="C357" t="str">
            <v>プロセス材１課</v>
          </cell>
          <cell r="D357" t="str">
            <v>ダミー担当者</v>
          </cell>
          <cell r="E357" t="str">
            <v>リンテック㈱</v>
          </cell>
          <cell r="F357">
            <v>3</v>
          </cell>
          <cell r="G357" t="str">
            <v>T</v>
          </cell>
          <cell r="H357" t="str">
            <v>N</v>
          </cell>
          <cell r="I357" t="str">
            <v>MCLB</v>
          </cell>
          <cell r="K357" t="str">
            <v>HLKTV</v>
          </cell>
          <cell r="L357">
            <v>50</v>
          </cell>
          <cell r="M357" t="str">
            <v>メタルミー　ヘヤライン金艶Ｖ</v>
          </cell>
          <cell r="N357">
            <v>1000</v>
          </cell>
          <cell r="O357">
            <v>1000</v>
          </cell>
          <cell r="P357">
            <v>2000</v>
          </cell>
          <cell r="Q357">
            <v>2</v>
          </cell>
        </row>
        <row r="358">
          <cell r="A358">
            <v>3703986</v>
          </cell>
          <cell r="B358" t="str">
            <v>福島コーティング</v>
          </cell>
          <cell r="C358" t="str">
            <v>プロセス材１課</v>
          </cell>
          <cell r="D358" t="str">
            <v>ダミー担当者</v>
          </cell>
          <cell r="E358" t="str">
            <v>リンテック㈱</v>
          </cell>
          <cell r="F358">
            <v>3</v>
          </cell>
          <cell r="G358" t="str">
            <v>S</v>
          </cell>
          <cell r="H358" t="str">
            <v>N</v>
          </cell>
          <cell r="I358" t="str">
            <v>CLB</v>
          </cell>
          <cell r="K358" t="str">
            <v>LMEYK</v>
          </cell>
          <cell r="L358">
            <v>38</v>
          </cell>
          <cell r="M358" t="str">
            <v>ルミマットＥＹＫ</v>
          </cell>
          <cell r="N358">
            <v>1005</v>
          </cell>
          <cell r="O358">
            <v>1000</v>
          </cell>
          <cell r="P358">
            <v>4000</v>
          </cell>
          <cell r="Q358">
            <v>2</v>
          </cell>
        </row>
        <row r="359">
          <cell r="A359">
            <v>3703987</v>
          </cell>
          <cell r="B359" t="str">
            <v>福島コーティング</v>
          </cell>
          <cell r="C359" t="str">
            <v>プロセス材１課</v>
          </cell>
          <cell r="D359" t="str">
            <v>ダミー担当者</v>
          </cell>
          <cell r="E359" t="str">
            <v>リンテック㈱</v>
          </cell>
          <cell r="F359">
            <v>3</v>
          </cell>
          <cell r="G359" t="str">
            <v>S</v>
          </cell>
          <cell r="H359" t="str">
            <v>N</v>
          </cell>
          <cell r="I359" t="str">
            <v>MCLB</v>
          </cell>
          <cell r="K359" t="str">
            <v>HLGTV</v>
          </cell>
          <cell r="L359">
            <v>50</v>
          </cell>
          <cell r="M359" t="str">
            <v>メタルミー　ヘヤライン　銀艶Ｖ</v>
          </cell>
          <cell r="N359">
            <v>1005</v>
          </cell>
          <cell r="O359">
            <v>1000</v>
          </cell>
          <cell r="P359">
            <v>4000</v>
          </cell>
          <cell r="Q359">
            <v>2</v>
          </cell>
        </row>
        <row r="360">
          <cell r="A360">
            <v>3703988</v>
          </cell>
          <cell r="B360" t="str">
            <v>福島コーティング</v>
          </cell>
          <cell r="C360" t="str">
            <v>プロセス材１課</v>
          </cell>
          <cell r="D360" t="str">
            <v>ダミー担当者</v>
          </cell>
          <cell r="E360" t="str">
            <v>リンテック㈱</v>
          </cell>
          <cell r="F360">
            <v>3</v>
          </cell>
          <cell r="G360" t="str">
            <v>S</v>
          </cell>
          <cell r="H360" t="str">
            <v>N</v>
          </cell>
          <cell r="I360" t="str">
            <v>MCLB</v>
          </cell>
          <cell r="K360" t="str">
            <v>NGKVB</v>
          </cell>
          <cell r="L360">
            <v>50</v>
          </cell>
          <cell r="M360" t="str">
            <v>メタルミー　ネーマー銀消　ＶＢ</v>
          </cell>
          <cell r="N360">
            <v>1005</v>
          </cell>
          <cell r="O360">
            <v>1000</v>
          </cell>
          <cell r="P360">
            <v>4000</v>
          </cell>
          <cell r="Q360">
            <v>2</v>
          </cell>
        </row>
        <row r="361">
          <cell r="A361">
            <v>3703989</v>
          </cell>
          <cell r="B361" t="str">
            <v>福島コーティング</v>
          </cell>
          <cell r="C361" t="str">
            <v>プロセス材１課</v>
          </cell>
          <cell r="D361" t="str">
            <v>ダミー担当者</v>
          </cell>
          <cell r="E361" t="str">
            <v>リンテック㈱</v>
          </cell>
          <cell r="F361" t="str">
            <v>33S</v>
          </cell>
          <cell r="G361" t="str">
            <v>S</v>
          </cell>
          <cell r="H361" t="str">
            <v>N</v>
          </cell>
          <cell r="I361" t="str">
            <v>MCLB</v>
          </cell>
          <cell r="K361" t="str">
            <v>TEKV0V</v>
          </cell>
          <cell r="L361">
            <v>50</v>
          </cell>
          <cell r="M361" t="str">
            <v>メタルミー　ＴＥ－Ｓ消　ＶＯＩＤ　Ｖ</v>
          </cell>
          <cell r="N361">
            <v>1005</v>
          </cell>
          <cell r="O361">
            <v>1000</v>
          </cell>
          <cell r="P361">
            <v>4000</v>
          </cell>
          <cell r="Q361">
            <v>2</v>
          </cell>
        </row>
        <row r="362">
          <cell r="A362">
            <v>3703990</v>
          </cell>
          <cell r="B362" t="str">
            <v>福島コーティング</v>
          </cell>
          <cell r="C362" t="str">
            <v>プロセス材１課</v>
          </cell>
          <cell r="D362" t="str">
            <v>ダミー担当者</v>
          </cell>
          <cell r="E362" t="str">
            <v>リンテック㈱</v>
          </cell>
          <cell r="F362" t="str">
            <v>33S</v>
          </cell>
          <cell r="G362" t="str">
            <v>S</v>
          </cell>
          <cell r="H362" t="str">
            <v>N</v>
          </cell>
          <cell r="I362" t="str">
            <v>MCLB</v>
          </cell>
          <cell r="K362" t="str">
            <v>TETKFV</v>
          </cell>
          <cell r="L362">
            <v>50</v>
          </cell>
          <cell r="M362" t="str">
            <v>メタルミー　ＴＥＳ艶開封　Ｖ</v>
          </cell>
          <cell r="N362">
            <v>1005</v>
          </cell>
          <cell r="O362">
            <v>1000</v>
          </cell>
          <cell r="P362">
            <v>4000</v>
          </cell>
          <cell r="Q362">
            <v>2</v>
          </cell>
        </row>
        <row r="363">
          <cell r="A363">
            <v>3703991</v>
          </cell>
          <cell r="B363" t="str">
            <v>福島コーティング</v>
          </cell>
          <cell r="C363" t="str">
            <v>プロセス材１課</v>
          </cell>
          <cell r="D363" t="str">
            <v>ダミー担当者</v>
          </cell>
          <cell r="E363" t="str">
            <v>リンテック㈱</v>
          </cell>
          <cell r="F363">
            <v>3</v>
          </cell>
          <cell r="G363" t="str">
            <v>S</v>
          </cell>
          <cell r="H363" t="str">
            <v>N</v>
          </cell>
          <cell r="I363" t="str">
            <v>MCLB</v>
          </cell>
          <cell r="K363" t="str">
            <v>TETV0V</v>
          </cell>
          <cell r="L363">
            <v>50</v>
          </cell>
          <cell r="M363" t="str">
            <v>メタルミー　ＴＥＳ艶ＶＯＩＤＶ</v>
          </cell>
          <cell r="N363">
            <v>1005</v>
          </cell>
          <cell r="O363">
            <v>1000</v>
          </cell>
          <cell r="P363">
            <v>4000</v>
          </cell>
          <cell r="Q363">
            <v>2</v>
          </cell>
        </row>
        <row r="364">
          <cell r="A364">
            <v>3703992</v>
          </cell>
          <cell r="B364" t="str">
            <v>福島コーティング</v>
          </cell>
          <cell r="C364" t="str">
            <v>プロセス材１課</v>
          </cell>
          <cell r="D364" t="str">
            <v>ダミー担当者</v>
          </cell>
          <cell r="E364" t="str">
            <v>リンテック㈱</v>
          </cell>
          <cell r="F364">
            <v>3</v>
          </cell>
          <cell r="G364" t="str">
            <v>S</v>
          </cell>
          <cell r="H364" t="str">
            <v>N</v>
          </cell>
          <cell r="I364" t="str">
            <v>MLB</v>
          </cell>
          <cell r="K364" t="str">
            <v>MNGKBF</v>
          </cell>
          <cell r="L364">
            <v>38</v>
          </cell>
          <cell r="M364" t="str">
            <v>メタルミー　ネーマー銀消　Ｂ</v>
          </cell>
          <cell r="N364">
            <v>1005</v>
          </cell>
          <cell r="O364">
            <v>1000</v>
          </cell>
          <cell r="P364">
            <v>4000</v>
          </cell>
          <cell r="Q364">
            <v>2</v>
          </cell>
        </row>
        <row r="365">
          <cell r="A365">
            <v>3703993</v>
          </cell>
          <cell r="B365" t="str">
            <v>福島コーティング</v>
          </cell>
          <cell r="C365" t="str">
            <v>プロセス材１課</v>
          </cell>
          <cell r="D365" t="str">
            <v>ダミー担当者</v>
          </cell>
          <cell r="E365" t="str">
            <v>リンテック㈱</v>
          </cell>
          <cell r="F365">
            <v>3</v>
          </cell>
          <cell r="G365" t="str">
            <v>S</v>
          </cell>
          <cell r="H365" t="str">
            <v>N</v>
          </cell>
          <cell r="I365" t="str">
            <v>MLB</v>
          </cell>
          <cell r="K365" t="str">
            <v>MNGKBF</v>
          </cell>
          <cell r="L365">
            <v>50</v>
          </cell>
          <cell r="M365" t="str">
            <v>メタルミー　ネーマー銀消　Ｂ</v>
          </cell>
          <cell r="N365">
            <v>1050</v>
          </cell>
          <cell r="O365">
            <v>1050</v>
          </cell>
          <cell r="P365">
            <v>4100</v>
          </cell>
          <cell r="Q365">
            <v>2</v>
          </cell>
        </row>
        <row r="366">
          <cell r="A366">
            <v>3703994</v>
          </cell>
          <cell r="B366" t="str">
            <v>福島コーティング</v>
          </cell>
          <cell r="C366" t="str">
            <v>プロセス材１課</v>
          </cell>
          <cell r="D366" t="str">
            <v>ダミー担当者</v>
          </cell>
          <cell r="E366" t="str">
            <v>リンテック㈱</v>
          </cell>
          <cell r="F366">
            <v>3</v>
          </cell>
          <cell r="G366" t="str">
            <v>S</v>
          </cell>
          <cell r="H366" t="str">
            <v>N</v>
          </cell>
          <cell r="I366" t="str">
            <v>MLB</v>
          </cell>
          <cell r="K366" t="str">
            <v>MNGKKBF</v>
          </cell>
          <cell r="L366">
            <v>25</v>
          </cell>
          <cell r="M366" t="str">
            <v>メタルミー　ネーマー銀消改　Ｂ</v>
          </cell>
          <cell r="N366">
            <v>1120</v>
          </cell>
          <cell r="O366">
            <v>1120</v>
          </cell>
          <cell r="P366">
            <v>4000</v>
          </cell>
          <cell r="Q366">
            <v>2</v>
          </cell>
        </row>
        <row r="367">
          <cell r="A367">
            <v>3703995</v>
          </cell>
          <cell r="B367" t="str">
            <v>福島コーティング</v>
          </cell>
          <cell r="C367" t="str">
            <v>プロセス材１課</v>
          </cell>
          <cell r="D367" t="str">
            <v>ダミー担当者</v>
          </cell>
          <cell r="E367" t="str">
            <v>リンテック㈱</v>
          </cell>
          <cell r="F367">
            <v>3</v>
          </cell>
          <cell r="G367" t="str">
            <v>S</v>
          </cell>
          <cell r="H367" t="str">
            <v>N</v>
          </cell>
          <cell r="I367" t="str">
            <v>MLB</v>
          </cell>
          <cell r="K367" t="str">
            <v>MNGTBF</v>
          </cell>
          <cell r="L367">
            <v>25</v>
          </cell>
          <cell r="M367" t="str">
            <v>メタルミー　ネーマー　銀艶　Ｂ</v>
          </cell>
          <cell r="N367">
            <v>1005</v>
          </cell>
          <cell r="O367">
            <v>1000</v>
          </cell>
          <cell r="P367">
            <v>4000</v>
          </cell>
          <cell r="Q367">
            <v>2</v>
          </cell>
        </row>
        <row r="368">
          <cell r="A368">
            <v>3703996</v>
          </cell>
          <cell r="B368" t="str">
            <v>福島コーティング</v>
          </cell>
          <cell r="C368" t="str">
            <v>プロセス材１課</v>
          </cell>
          <cell r="D368" t="str">
            <v>ダミー担当者</v>
          </cell>
          <cell r="E368" t="str">
            <v>リンテック㈱</v>
          </cell>
          <cell r="F368">
            <v>3</v>
          </cell>
          <cell r="G368" t="str">
            <v>S</v>
          </cell>
          <cell r="H368" t="str">
            <v>N</v>
          </cell>
          <cell r="I368" t="str">
            <v>MLB</v>
          </cell>
          <cell r="K368" t="str">
            <v>MNGTBF</v>
          </cell>
          <cell r="L368">
            <v>50</v>
          </cell>
          <cell r="M368" t="str">
            <v>メタルミー　ネーマー　銀艶　Ｂ</v>
          </cell>
          <cell r="N368">
            <v>1120</v>
          </cell>
          <cell r="O368">
            <v>1120</v>
          </cell>
          <cell r="P368">
            <v>5000</v>
          </cell>
          <cell r="Q368">
            <v>2</v>
          </cell>
        </row>
        <row r="369">
          <cell r="A369">
            <v>3703997</v>
          </cell>
          <cell r="B369" t="str">
            <v>福島コーティング</v>
          </cell>
          <cell r="C369" t="str">
            <v>プロセス材１課</v>
          </cell>
          <cell r="D369" t="str">
            <v>ダミー担当者</v>
          </cell>
          <cell r="E369" t="str">
            <v>リンテック㈱</v>
          </cell>
          <cell r="F369">
            <v>3</v>
          </cell>
          <cell r="G369" t="str">
            <v>S</v>
          </cell>
          <cell r="H369" t="str">
            <v>N</v>
          </cell>
          <cell r="I369" t="str">
            <v>MLB</v>
          </cell>
          <cell r="K369" t="str">
            <v>MNGTBF</v>
          </cell>
          <cell r="L369">
            <v>50</v>
          </cell>
          <cell r="M369" t="str">
            <v>メタルミー　ネーマー　銀艶　Ｂ</v>
          </cell>
          <cell r="N369">
            <v>1120</v>
          </cell>
          <cell r="O369">
            <v>1120</v>
          </cell>
          <cell r="P369">
            <v>5000</v>
          </cell>
          <cell r="Q369">
            <v>2</v>
          </cell>
        </row>
        <row r="370">
          <cell r="A370">
            <v>3703998</v>
          </cell>
          <cell r="B370" t="str">
            <v>福島コーティング</v>
          </cell>
          <cell r="C370" t="str">
            <v>プロセス材１課</v>
          </cell>
          <cell r="D370" t="str">
            <v>ダミー担当者</v>
          </cell>
          <cell r="E370" t="str">
            <v>リンテック㈱</v>
          </cell>
          <cell r="F370">
            <v>3</v>
          </cell>
          <cell r="G370" t="str">
            <v>S</v>
          </cell>
          <cell r="H370" t="str">
            <v>N</v>
          </cell>
          <cell r="I370" t="str">
            <v>MLB</v>
          </cell>
          <cell r="K370" t="str">
            <v>MNGTBF</v>
          </cell>
          <cell r="L370">
            <v>50</v>
          </cell>
          <cell r="M370" t="str">
            <v>メタルミー　ネーマー　銀艶　Ｂ</v>
          </cell>
          <cell r="N370">
            <v>1120</v>
          </cell>
          <cell r="O370">
            <v>1120</v>
          </cell>
          <cell r="P370">
            <v>5000</v>
          </cell>
          <cell r="Q370">
            <v>2</v>
          </cell>
        </row>
        <row r="371">
          <cell r="A371">
            <v>3703999</v>
          </cell>
          <cell r="B371" t="str">
            <v>福島コーティング</v>
          </cell>
          <cell r="C371" t="str">
            <v>プロセス材１課</v>
          </cell>
          <cell r="D371" t="str">
            <v>ダミー担当者</v>
          </cell>
          <cell r="E371" t="str">
            <v>リンテック㈱</v>
          </cell>
          <cell r="F371">
            <v>3</v>
          </cell>
          <cell r="G371" t="str">
            <v>S</v>
          </cell>
          <cell r="H371" t="str">
            <v>N</v>
          </cell>
          <cell r="I371" t="str">
            <v>MLB</v>
          </cell>
          <cell r="K371" t="str">
            <v>MNNGKBF</v>
          </cell>
          <cell r="L371">
            <v>25</v>
          </cell>
          <cell r="M371" t="str">
            <v>メタルミー　ニューネーマー銀消　Ｂ</v>
          </cell>
          <cell r="N371">
            <v>1005</v>
          </cell>
          <cell r="O371">
            <v>1000</v>
          </cell>
          <cell r="P371">
            <v>4000</v>
          </cell>
          <cell r="Q371">
            <v>2</v>
          </cell>
        </row>
        <row r="372">
          <cell r="A372">
            <v>3704000</v>
          </cell>
          <cell r="B372" t="str">
            <v>福島コーティング</v>
          </cell>
          <cell r="C372" t="str">
            <v>プロセス材１課</v>
          </cell>
          <cell r="D372" t="str">
            <v>ダミー担当者</v>
          </cell>
          <cell r="E372" t="str">
            <v>リンテック㈱</v>
          </cell>
          <cell r="F372">
            <v>3</v>
          </cell>
          <cell r="G372" t="str">
            <v>S</v>
          </cell>
          <cell r="H372" t="str">
            <v>N</v>
          </cell>
          <cell r="I372" t="str">
            <v>MLB</v>
          </cell>
          <cell r="K372" t="str">
            <v>MNNGKBF</v>
          </cell>
          <cell r="L372">
            <v>50</v>
          </cell>
          <cell r="M372" t="str">
            <v>メタルミー　ニューネーマー銀消　Ｂ</v>
          </cell>
          <cell r="N372">
            <v>1000</v>
          </cell>
          <cell r="O372">
            <v>1000</v>
          </cell>
          <cell r="P372">
            <v>4000</v>
          </cell>
          <cell r="Q372">
            <v>2</v>
          </cell>
        </row>
        <row r="373">
          <cell r="A373">
            <v>3704001</v>
          </cell>
          <cell r="B373" t="str">
            <v>福島コーティング</v>
          </cell>
          <cell r="C373" t="str">
            <v>プロセス材１課</v>
          </cell>
          <cell r="D373" t="str">
            <v>ダミー担当者</v>
          </cell>
          <cell r="E373" t="str">
            <v>リンテック㈱</v>
          </cell>
          <cell r="F373">
            <v>3</v>
          </cell>
          <cell r="G373" t="str">
            <v>S</v>
          </cell>
          <cell r="H373" t="str">
            <v>Y</v>
          </cell>
          <cell r="I373" t="str">
            <v>MLB</v>
          </cell>
          <cell r="K373" t="str">
            <v>MSBBF</v>
          </cell>
          <cell r="L373">
            <v>50</v>
          </cell>
          <cell r="M373" t="str">
            <v>ＭＥＴＡＬＵＭＹ　ＳＩＬＶＥＲ　ＢＲＩＧＨＴ　Ｔ６２Ｍ　Ｂ</v>
          </cell>
          <cell r="N373">
            <v>1120</v>
          </cell>
          <cell r="O373">
            <v>1120</v>
          </cell>
          <cell r="P373">
            <v>5000</v>
          </cell>
          <cell r="Q373">
            <v>2</v>
          </cell>
        </row>
        <row r="374">
          <cell r="A374">
            <v>3704002</v>
          </cell>
          <cell r="B374" t="str">
            <v>福島コーティング</v>
          </cell>
          <cell r="C374" t="str">
            <v>プロセス材２課</v>
          </cell>
          <cell r="D374" t="str">
            <v>ダミー担当者</v>
          </cell>
          <cell r="E374" t="str">
            <v>大阪シーリング印刷㈱</v>
          </cell>
          <cell r="F374" t="str">
            <v>3H</v>
          </cell>
          <cell r="G374" t="str">
            <v>S</v>
          </cell>
          <cell r="H374" t="str">
            <v>N</v>
          </cell>
          <cell r="I374" t="str">
            <v>MCLB</v>
          </cell>
          <cell r="K374" t="str">
            <v>EYK</v>
          </cell>
          <cell r="L374">
            <v>50</v>
          </cell>
          <cell r="M374" t="str">
            <v>メタルミー　ＥＹＫ</v>
          </cell>
          <cell r="N374">
            <v>1190</v>
          </cell>
          <cell r="O374">
            <v>1190</v>
          </cell>
          <cell r="P374">
            <v>6000</v>
          </cell>
          <cell r="Q374">
            <v>2</v>
          </cell>
        </row>
        <row r="375">
          <cell r="A375">
            <v>3704003</v>
          </cell>
          <cell r="B375" t="str">
            <v>福島コーティング</v>
          </cell>
          <cell r="C375" t="str">
            <v>プロセス材２課</v>
          </cell>
          <cell r="D375" t="str">
            <v>ダミー担当者</v>
          </cell>
          <cell r="E375" t="str">
            <v>大阪シーリング印刷㈱</v>
          </cell>
          <cell r="F375" t="str">
            <v>3H</v>
          </cell>
          <cell r="G375" t="str">
            <v>S</v>
          </cell>
          <cell r="H375" t="str">
            <v>N</v>
          </cell>
          <cell r="I375" t="str">
            <v>MCLB</v>
          </cell>
          <cell r="K375" t="str">
            <v>EYK</v>
          </cell>
          <cell r="L375">
            <v>50</v>
          </cell>
          <cell r="M375" t="str">
            <v>メタルミー　ＥＹＫ</v>
          </cell>
          <cell r="N375">
            <v>1190</v>
          </cell>
          <cell r="O375">
            <v>1190</v>
          </cell>
          <cell r="P375">
            <v>6000</v>
          </cell>
          <cell r="Q375">
            <v>2</v>
          </cell>
        </row>
        <row r="376">
          <cell r="A376">
            <v>3704004</v>
          </cell>
          <cell r="B376" t="str">
            <v>福島コーティング</v>
          </cell>
          <cell r="C376" t="str">
            <v>プロセス材２課</v>
          </cell>
          <cell r="D376" t="str">
            <v>ダミー担当者</v>
          </cell>
          <cell r="E376" t="str">
            <v>大阪シーリング印刷㈱</v>
          </cell>
          <cell r="F376">
            <v>3</v>
          </cell>
          <cell r="G376" t="str">
            <v>S</v>
          </cell>
          <cell r="H376" t="str">
            <v>N</v>
          </cell>
          <cell r="I376" t="str">
            <v>MCLB</v>
          </cell>
          <cell r="K376" t="str">
            <v>MSNEYK</v>
          </cell>
          <cell r="L376">
            <v>50</v>
          </cell>
          <cell r="M376" t="str">
            <v>ＭＳＮ　ＥＹＫ</v>
          </cell>
          <cell r="N376">
            <v>1200</v>
          </cell>
          <cell r="O376">
            <v>1190</v>
          </cell>
          <cell r="P376">
            <v>6000</v>
          </cell>
          <cell r="Q376">
            <v>2</v>
          </cell>
        </row>
        <row r="377">
          <cell r="A377">
            <v>3704005</v>
          </cell>
          <cell r="B377" t="str">
            <v>機能Ｆ　ラベル福島原</v>
          </cell>
          <cell r="C377" t="str">
            <v>プロセス材２課</v>
          </cell>
          <cell r="D377" t="str">
            <v>ダミー担当者</v>
          </cell>
          <cell r="E377" t="str">
            <v>㈱ポラテクノ</v>
          </cell>
          <cell r="F377">
            <v>3</v>
          </cell>
          <cell r="G377" t="str">
            <v>T</v>
          </cell>
          <cell r="H377" t="str">
            <v>N</v>
          </cell>
          <cell r="I377" t="str">
            <v>DMS</v>
          </cell>
          <cell r="K377" t="str">
            <v>X42GPC</v>
          </cell>
          <cell r="L377">
            <v>50</v>
          </cell>
          <cell r="M377" t="str">
            <v>ＤＭＳ（Ｘ４２Ｇ）ＰＣ</v>
          </cell>
          <cell r="N377">
            <v>680</v>
          </cell>
          <cell r="O377">
            <v>680</v>
          </cell>
          <cell r="P377">
            <v>2000</v>
          </cell>
          <cell r="Q377">
            <v>2</v>
          </cell>
        </row>
        <row r="378">
          <cell r="A378">
            <v>3704008</v>
          </cell>
          <cell r="B378" t="str">
            <v>福島コーティング</v>
          </cell>
          <cell r="C378" t="str">
            <v>プロセス材２課</v>
          </cell>
          <cell r="D378" t="str">
            <v>ダミー担当者</v>
          </cell>
          <cell r="E378" t="str">
            <v>新タック化成㈱</v>
          </cell>
          <cell r="F378">
            <v>3</v>
          </cell>
          <cell r="G378" t="str">
            <v>S</v>
          </cell>
          <cell r="H378" t="str">
            <v>N</v>
          </cell>
          <cell r="I378" t="str">
            <v>CLB</v>
          </cell>
          <cell r="K378" t="str">
            <v>LEYK</v>
          </cell>
          <cell r="L378">
            <v>50</v>
          </cell>
          <cell r="M378" t="str">
            <v>ルミラー　ＥＹＫ</v>
          </cell>
          <cell r="N378">
            <v>1120</v>
          </cell>
          <cell r="O378">
            <v>1120</v>
          </cell>
          <cell r="P378">
            <v>6000</v>
          </cell>
          <cell r="Q378">
            <v>2</v>
          </cell>
        </row>
        <row r="379">
          <cell r="A379">
            <v>3704463</v>
          </cell>
          <cell r="B379" t="str">
            <v>福島コーティング</v>
          </cell>
          <cell r="C379" t="str">
            <v>プロセス材２課</v>
          </cell>
          <cell r="D379" t="str">
            <v>ダミー担当者</v>
          </cell>
          <cell r="E379" t="str">
            <v>大阪シーリング印刷㈱</v>
          </cell>
          <cell r="F379">
            <v>3</v>
          </cell>
          <cell r="G379" t="str">
            <v>S</v>
          </cell>
          <cell r="H379" t="str">
            <v>N</v>
          </cell>
          <cell r="I379" t="str">
            <v>MCLB</v>
          </cell>
          <cell r="K379" t="str">
            <v>MSNEYK</v>
          </cell>
          <cell r="L379">
            <v>50</v>
          </cell>
          <cell r="M379" t="str">
            <v>ＭＳＮ　ＥＹＫ</v>
          </cell>
          <cell r="N379">
            <v>1200</v>
          </cell>
          <cell r="O379">
            <v>1190</v>
          </cell>
          <cell r="P379">
            <v>6000</v>
          </cell>
          <cell r="Q379">
            <v>2</v>
          </cell>
        </row>
        <row r="380">
          <cell r="A380">
            <v>3706174</v>
          </cell>
          <cell r="B380" t="str">
            <v>福島コーティング</v>
          </cell>
          <cell r="C380" t="str">
            <v>プロセス材１課</v>
          </cell>
          <cell r="D380" t="str">
            <v>ダミー担当者</v>
          </cell>
          <cell r="E380" t="str">
            <v>リンテック㈱</v>
          </cell>
          <cell r="F380">
            <v>3</v>
          </cell>
          <cell r="G380" t="str">
            <v>S</v>
          </cell>
          <cell r="H380" t="str">
            <v>N</v>
          </cell>
          <cell r="I380" t="str">
            <v>MLB</v>
          </cell>
          <cell r="K380" t="str">
            <v>MNGTBF</v>
          </cell>
          <cell r="L380">
            <v>50</v>
          </cell>
          <cell r="M380" t="str">
            <v>メタルミー　ネーマー　銀艶　Ｂ</v>
          </cell>
          <cell r="N380">
            <v>1120</v>
          </cell>
          <cell r="O380">
            <v>1120</v>
          </cell>
          <cell r="P380">
            <v>5000</v>
          </cell>
          <cell r="Q380">
            <v>2</v>
          </cell>
        </row>
        <row r="381">
          <cell r="A381">
            <v>3706175</v>
          </cell>
          <cell r="B381" t="str">
            <v>福島コーティング</v>
          </cell>
          <cell r="C381" t="str">
            <v>プロセス材１課</v>
          </cell>
          <cell r="D381" t="str">
            <v>ダミー担当者</v>
          </cell>
          <cell r="E381" t="str">
            <v>リンテック㈱</v>
          </cell>
          <cell r="F381">
            <v>3</v>
          </cell>
          <cell r="G381" t="str">
            <v>S</v>
          </cell>
          <cell r="H381" t="str">
            <v>N</v>
          </cell>
          <cell r="I381" t="str">
            <v>MLB</v>
          </cell>
          <cell r="K381" t="str">
            <v>MNNGKBF</v>
          </cell>
          <cell r="L381">
            <v>50</v>
          </cell>
          <cell r="M381" t="str">
            <v>メタルミー　ニューネーマー銀消　Ｂ</v>
          </cell>
          <cell r="N381">
            <v>1000</v>
          </cell>
          <cell r="O381">
            <v>1000</v>
          </cell>
          <cell r="P381">
            <v>4000</v>
          </cell>
          <cell r="Q381">
            <v>2</v>
          </cell>
        </row>
        <row r="382">
          <cell r="A382">
            <v>3706358</v>
          </cell>
          <cell r="B382" t="str">
            <v>福島コーティング</v>
          </cell>
          <cell r="C382" t="str">
            <v>プロセス材２課</v>
          </cell>
          <cell r="D382" t="str">
            <v>ダミー担当者</v>
          </cell>
          <cell r="E382" t="str">
            <v>新タック化成㈱</v>
          </cell>
          <cell r="F382">
            <v>3</v>
          </cell>
          <cell r="G382" t="str">
            <v>S</v>
          </cell>
          <cell r="H382" t="str">
            <v>N</v>
          </cell>
          <cell r="I382" t="str">
            <v>MCLB</v>
          </cell>
          <cell r="K382" t="str">
            <v>MSNEYK</v>
          </cell>
          <cell r="L382">
            <v>50</v>
          </cell>
          <cell r="M382" t="str">
            <v>ＭＳＮ　ＥＹＫ</v>
          </cell>
          <cell r="N382">
            <v>1120</v>
          </cell>
          <cell r="O382">
            <v>1120</v>
          </cell>
          <cell r="P382">
            <v>4000</v>
          </cell>
          <cell r="Q382">
            <v>2</v>
          </cell>
        </row>
        <row r="383">
          <cell r="A383">
            <v>3708694</v>
          </cell>
          <cell r="B383" t="str">
            <v>福島コーティング</v>
          </cell>
          <cell r="C383" t="str">
            <v>プロセス材１課</v>
          </cell>
          <cell r="D383" t="str">
            <v>ダミー担当者</v>
          </cell>
          <cell r="E383" t="str">
            <v>特種東海製紙㈱</v>
          </cell>
          <cell r="F383" t="str">
            <v>3H</v>
          </cell>
          <cell r="G383" t="str">
            <v>S</v>
          </cell>
          <cell r="H383" t="str">
            <v>N</v>
          </cell>
          <cell r="I383" t="str">
            <v>MLB</v>
          </cell>
          <cell r="K383" t="str">
            <v>MSF</v>
          </cell>
          <cell r="L383">
            <v>38</v>
          </cell>
          <cell r="M383" t="str">
            <v>メタルミー　Ｓ</v>
          </cell>
          <cell r="N383">
            <v>865</v>
          </cell>
          <cell r="O383">
            <v>865</v>
          </cell>
          <cell r="P383">
            <v>2800</v>
          </cell>
          <cell r="Q383">
            <v>2</v>
          </cell>
        </row>
        <row r="384">
          <cell r="A384">
            <v>3708695</v>
          </cell>
          <cell r="B384" t="str">
            <v>福島コーティング</v>
          </cell>
          <cell r="C384" t="str">
            <v>プロセス材２課</v>
          </cell>
          <cell r="D384" t="str">
            <v>ダミー担当者</v>
          </cell>
          <cell r="E384" t="str">
            <v>大阪シーリング印刷㈱</v>
          </cell>
          <cell r="F384" t="str">
            <v>3H</v>
          </cell>
          <cell r="G384" t="str">
            <v>S</v>
          </cell>
          <cell r="H384" t="str">
            <v>N</v>
          </cell>
          <cell r="I384" t="str">
            <v>MCLB</v>
          </cell>
          <cell r="K384" t="str">
            <v>EYK</v>
          </cell>
          <cell r="L384">
            <v>50</v>
          </cell>
          <cell r="M384" t="str">
            <v>メタルミー　ＥＹＫ</v>
          </cell>
          <cell r="N384">
            <v>1190</v>
          </cell>
          <cell r="O384">
            <v>1190</v>
          </cell>
          <cell r="P384">
            <v>6000</v>
          </cell>
          <cell r="Q384">
            <v>2</v>
          </cell>
        </row>
        <row r="385">
          <cell r="A385">
            <v>3708696</v>
          </cell>
          <cell r="B385" t="str">
            <v>福島コーティング</v>
          </cell>
          <cell r="C385" t="str">
            <v>工材１部電材課</v>
          </cell>
          <cell r="D385" t="str">
            <v>ダミー担当者</v>
          </cell>
          <cell r="E385" t="str">
            <v>寺岡製作所　大宮工場</v>
          </cell>
          <cell r="F385">
            <v>3</v>
          </cell>
          <cell r="G385" t="str">
            <v>S</v>
          </cell>
          <cell r="H385" t="str">
            <v>N</v>
          </cell>
          <cell r="I385" t="str">
            <v>MLB</v>
          </cell>
          <cell r="K385" t="str">
            <v>MSF</v>
          </cell>
          <cell r="L385">
            <v>25</v>
          </cell>
          <cell r="M385" t="str">
            <v>メタルミー　Ｓ</v>
          </cell>
          <cell r="N385">
            <v>1000</v>
          </cell>
          <cell r="O385">
            <v>1000</v>
          </cell>
          <cell r="P385">
            <v>2000</v>
          </cell>
          <cell r="Q385">
            <v>2</v>
          </cell>
        </row>
        <row r="386">
          <cell r="A386">
            <v>3708697</v>
          </cell>
          <cell r="B386" t="str">
            <v>福島コーティング</v>
          </cell>
          <cell r="C386" t="str">
            <v>工材１部電材課</v>
          </cell>
          <cell r="D386" t="str">
            <v>ダミー担当者</v>
          </cell>
          <cell r="E386" t="str">
            <v>パナック㈱亀山工場</v>
          </cell>
          <cell r="F386">
            <v>3</v>
          </cell>
          <cell r="G386" t="str">
            <v>S</v>
          </cell>
          <cell r="H386" t="str">
            <v>N</v>
          </cell>
          <cell r="I386" t="str">
            <v>MLB</v>
          </cell>
          <cell r="K386" t="str">
            <v>MTSF</v>
          </cell>
          <cell r="L386">
            <v>75</v>
          </cell>
          <cell r="M386" t="str">
            <v>メタルミー　ＴＳ</v>
          </cell>
          <cell r="N386">
            <v>1000</v>
          </cell>
          <cell r="O386">
            <v>1000</v>
          </cell>
          <cell r="P386">
            <v>1000</v>
          </cell>
          <cell r="Q386">
            <v>2</v>
          </cell>
        </row>
        <row r="387">
          <cell r="A387">
            <v>3708703</v>
          </cell>
          <cell r="B387" t="str">
            <v>福島コーティング</v>
          </cell>
          <cell r="C387" t="str">
            <v>プロセス材２課</v>
          </cell>
          <cell r="D387" t="str">
            <v>ダミー担当者</v>
          </cell>
          <cell r="E387" t="str">
            <v>新タック化成㈱</v>
          </cell>
          <cell r="F387">
            <v>3</v>
          </cell>
          <cell r="G387" t="str">
            <v>S</v>
          </cell>
          <cell r="H387" t="str">
            <v>N</v>
          </cell>
          <cell r="I387" t="str">
            <v>CLB</v>
          </cell>
          <cell r="K387" t="str">
            <v>LEYK</v>
          </cell>
          <cell r="L387">
            <v>25</v>
          </cell>
          <cell r="M387" t="str">
            <v>ルミラー　ＥＹＫ</v>
          </cell>
          <cell r="N387">
            <v>1120</v>
          </cell>
          <cell r="O387">
            <v>1120</v>
          </cell>
          <cell r="P387">
            <v>6000</v>
          </cell>
          <cell r="Q387">
            <v>2</v>
          </cell>
        </row>
        <row r="388">
          <cell r="A388">
            <v>3708704</v>
          </cell>
          <cell r="B388" t="str">
            <v>福島コーティング</v>
          </cell>
          <cell r="C388" t="str">
            <v>プロセス材２課</v>
          </cell>
          <cell r="D388" t="str">
            <v>ダミー担当者</v>
          </cell>
          <cell r="E388" t="str">
            <v>新タック化成㈱</v>
          </cell>
          <cell r="F388">
            <v>3</v>
          </cell>
          <cell r="G388" t="str">
            <v>S</v>
          </cell>
          <cell r="H388" t="str">
            <v>N</v>
          </cell>
          <cell r="I388" t="str">
            <v>CLB</v>
          </cell>
          <cell r="K388" t="str">
            <v>LEYK</v>
          </cell>
          <cell r="L388">
            <v>50</v>
          </cell>
          <cell r="M388" t="str">
            <v>ルミラー　ＥＹＫ</v>
          </cell>
          <cell r="N388">
            <v>1120</v>
          </cell>
          <cell r="O388">
            <v>1120</v>
          </cell>
          <cell r="P388">
            <v>6000</v>
          </cell>
          <cell r="Q388">
            <v>2</v>
          </cell>
        </row>
        <row r="389">
          <cell r="A389">
            <v>3708705</v>
          </cell>
          <cell r="B389" t="str">
            <v>福島コーティング</v>
          </cell>
          <cell r="C389" t="str">
            <v>プロセス材１課</v>
          </cell>
          <cell r="D389" t="str">
            <v>ダミー担当者</v>
          </cell>
          <cell r="E389" t="str">
            <v>リンテック㈱</v>
          </cell>
          <cell r="F389">
            <v>3</v>
          </cell>
          <cell r="G389" t="str">
            <v>S</v>
          </cell>
          <cell r="H389" t="str">
            <v>N</v>
          </cell>
          <cell r="I389" t="str">
            <v>MLB</v>
          </cell>
          <cell r="K389" t="str">
            <v>MNGKKBF</v>
          </cell>
          <cell r="L389">
            <v>25</v>
          </cell>
          <cell r="M389" t="str">
            <v>メタルミー　ネーマー銀消改　Ｂ</v>
          </cell>
          <cell r="N389">
            <v>1120</v>
          </cell>
          <cell r="O389">
            <v>1120</v>
          </cell>
          <cell r="P389">
            <v>4000</v>
          </cell>
          <cell r="Q389">
            <v>2</v>
          </cell>
        </row>
        <row r="390">
          <cell r="A390">
            <v>3708706</v>
          </cell>
          <cell r="B390" t="str">
            <v>福島コーティング</v>
          </cell>
          <cell r="C390" t="str">
            <v>プロセス材１課</v>
          </cell>
          <cell r="D390" t="str">
            <v>ダミー担当者</v>
          </cell>
          <cell r="E390" t="str">
            <v>リンテック㈱</v>
          </cell>
          <cell r="F390">
            <v>3</v>
          </cell>
          <cell r="G390" t="str">
            <v>S</v>
          </cell>
          <cell r="H390" t="str">
            <v>N</v>
          </cell>
          <cell r="I390" t="str">
            <v>MLB</v>
          </cell>
          <cell r="K390" t="str">
            <v>MNGKKBF</v>
          </cell>
          <cell r="L390">
            <v>50</v>
          </cell>
          <cell r="M390" t="str">
            <v>メタルミー　ネーマー銀消改　Ｂ</v>
          </cell>
          <cell r="N390">
            <v>1120</v>
          </cell>
          <cell r="O390">
            <v>1120</v>
          </cell>
          <cell r="P390">
            <v>4000</v>
          </cell>
          <cell r="Q390">
            <v>2</v>
          </cell>
        </row>
        <row r="391">
          <cell r="A391">
            <v>3708707</v>
          </cell>
          <cell r="B391" t="str">
            <v>福島コーティング</v>
          </cell>
          <cell r="C391" t="str">
            <v>プロセス材１課</v>
          </cell>
          <cell r="D391" t="str">
            <v>ダミー担当者</v>
          </cell>
          <cell r="E391" t="str">
            <v>リンテック㈱</v>
          </cell>
          <cell r="F391">
            <v>3</v>
          </cell>
          <cell r="G391" t="str">
            <v>S</v>
          </cell>
          <cell r="H391" t="str">
            <v>N</v>
          </cell>
          <cell r="I391" t="str">
            <v>MLB</v>
          </cell>
          <cell r="K391" t="str">
            <v>MNGKBF</v>
          </cell>
          <cell r="L391">
            <v>50</v>
          </cell>
          <cell r="M391" t="str">
            <v>メタルミー　ネーマー銀消　Ｂ</v>
          </cell>
          <cell r="N391">
            <v>1050</v>
          </cell>
          <cell r="O391">
            <v>1050</v>
          </cell>
          <cell r="P391">
            <v>4100</v>
          </cell>
          <cell r="Q391">
            <v>2</v>
          </cell>
        </row>
        <row r="392">
          <cell r="A392">
            <v>3708708</v>
          </cell>
          <cell r="B392" t="str">
            <v>福島コーティング</v>
          </cell>
          <cell r="C392" t="str">
            <v>プロセス材１課</v>
          </cell>
          <cell r="D392" t="str">
            <v>ダミー担当者</v>
          </cell>
          <cell r="E392" t="str">
            <v>リンテック㈱</v>
          </cell>
          <cell r="F392">
            <v>3</v>
          </cell>
          <cell r="G392" t="str">
            <v>S</v>
          </cell>
          <cell r="H392" t="str">
            <v>N</v>
          </cell>
          <cell r="I392" t="str">
            <v>MLB</v>
          </cell>
          <cell r="K392" t="str">
            <v>MNGKBF</v>
          </cell>
          <cell r="L392">
            <v>75</v>
          </cell>
          <cell r="M392" t="str">
            <v>メタルミー　ネーマー銀消　Ｂ</v>
          </cell>
          <cell r="N392">
            <v>1050</v>
          </cell>
          <cell r="O392">
            <v>1050</v>
          </cell>
          <cell r="P392">
            <v>2000</v>
          </cell>
          <cell r="Q392">
            <v>2</v>
          </cell>
        </row>
        <row r="393">
          <cell r="A393">
            <v>3708709</v>
          </cell>
          <cell r="B393" t="str">
            <v>福島コーティング</v>
          </cell>
          <cell r="C393" t="str">
            <v>プロセス材１課</v>
          </cell>
          <cell r="D393" t="str">
            <v>ダミー担当者</v>
          </cell>
          <cell r="E393" t="str">
            <v>リンテック㈱</v>
          </cell>
          <cell r="F393">
            <v>3</v>
          </cell>
          <cell r="G393" t="str">
            <v>S</v>
          </cell>
          <cell r="H393" t="str">
            <v>N</v>
          </cell>
          <cell r="I393" t="str">
            <v>MLB</v>
          </cell>
          <cell r="K393" t="str">
            <v>MNGTBF</v>
          </cell>
          <cell r="L393">
            <v>25</v>
          </cell>
          <cell r="M393" t="str">
            <v>メタルミー　ネーマー　銀艶　Ｂ</v>
          </cell>
          <cell r="N393">
            <v>1005</v>
          </cell>
          <cell r="O393">
            <v>1000</v>
          </cell>
          <cell r="P393">
            <v>4000</v>
          </cell>
          <cell r="Q393">
            <v>2</v>
          </cell>
        </row>
        <row r="394">
          <cell r="A394">
            <v>3708710</v>
          </cell>
          <cell r="B394" t="str">
            <v>福島コーティング</v>
          </cell>
          <cell r="C394" t="str">
            <v>プロセス材１課</v>
          </cell>
          <cell r="D394" t="str">
            <v>ダミー担当者</v>
          </cell>
          <cell r="E394" t="str">
            <v>リンテック㈱</v>
          </cell>
          <cell r="F394">
            <v>3</v>
          </cell>
          <cell r="G394" t="str">
            <v>S</v>
          </cell>
          <cell r="H394" t="str">
            <v>N</v>
          </cell>
          <cell r="I394" t="str">
            <v>MLB</v>
          </cell>
          <cell r="K394" t="str">
            <v>MNGTBF</v>
          </cell>
          <cell r="L394">
            <v>25</v>
          </cell>
          <cell r="M394" t="str">
            <v>メタルミー　ネーマー　銀艶　Ｂ</v>
          </cell>
          <cell r="N394">
            <v>1125</v>
          </cell>
          <cell r="O394">
            <v>1120</v>
          </cell>
          <cell r="P394">
            <v>4000</v>
          </cell>
          <cell r="Q394">
            <v>2</v>
          </cell>
        </row>
        <row r="395">
          <cell r="A395">
            <v>3708711</v>
          </cell>
          <cell r="B395" t="str">
            <v>福島コーティング</v>
          </cell>
          <cell r="C395" t="str">
            <v>プロセス材１課</v>
          </cell>
          <cell r="D395" t="str">
            <v>ダミー担当者</v>
          </cell>
          <cell r="E395" t="str">
            <v>リンテック㈱</v>
          </cell>
          <cell r="F395">
            <v>3</v>
          </cell>
          <cell r="G395" t="str">
            <v>S</v>
          </cell>
          <cell r="H395" t="str">
            <v>N</v>
          </cell>
          <cell r="I395" t="str">
            <v>MLB</v>
          </cell>
          <cell r="K395" t="str">
            <v>MNGTBF</v>
          </cell>
          <cell r="L395">
            <v>50</v>
          </cell>
          <cell r="M395" t="str">
            <v>メタルミー　ネーマー　銀艶　Ｂ</v>
          </cell>
          <cell r="N395">
            <v>1120</v>
          </cell>
          <cell r="O395">
            <v>1120</v>
          </cell>
          <cell r="P395">
            <v>5000</v>
          </cell>
          <cell r="Q395">
            <v>2</v>
          </cell>
        </row>
        <row r="396">
          <cell r="A396">
            <v>3708712</v>
          </cell>
          <cell r="B396" t="str">
            <v>福島コーティング</v>
          </cell>
          <cell r="C396" t="str">
            <v>プロセス材１課</v>
          </cell>
          <cell r="D396" t="str">
            <v>ダミー担当者</v>
          </cell>
          <cell r="E396" t="str">
            <v>リンテック㈱</v>
          </cell>
          <cell r="F396">
            <v>3</v>
          </cell>
          <cell r="G396" t="str">
            <v>S</v>
          </cell>
          <cell r="H396" t="str">
            <v>N</v>
          </cell>
          <cell r="I396" t="str">
            <v>MLB</v>
          </cell>
          <cell r="K396" t="str">
            <v>MNGTBF</v>
          </cell>
          <cell r="L396">
            <v>50</v>
          </cell>
          <cell r="M396" t="str">
            <v>メタルミー　ネーマー　銀艶　Ｂ</v>
          </cell>
          <cell r="N396">
            <v>1120</v>
          </cell>
          <cell r="O396">
            <v>1120</v>
          </cell>
          <cell r="P396">
            <v>5000</v>
          </cell>
          <cell r="Q396">
            <v>2</v>
          </cell>
        </row>
        <row r="397">
          <cell r="A397">
            <v>3708713</v>
          </cell>
          <cell r="B397" t="str">
            <v>福島コーティング</v>
          </cell>
          <cell r="C397" t="str">
            <v>プロセス材１課</v>
          </cell>
          <cell r="D397" t="str">
            <v>ダミー担当者</v>
          </cell>
          <cell r="E397" t="str">
            <v>リンテック㈱</v>
          </cell>
          <cell r="F397">
            <v>3</v>
          </cell>
          <cell r="G397" t="str">
            <v>S</v>
          </cell>
          <cell r="H397" t="str">
            <v>N</v>
          </cell>
          <cell r="I397" t="str">
            <v>MLB</v>
          </cell>
          <cell r="K397" t="str">
            <v>MNGTBF</v>
          </cell>
          <cell r="L397">
            <v>50</v>
          </cell>
          <cell r="M397" t="str">
            <v>メタルミー　ネーマー　銀艶　Ｂ</v>
          </cell>
          <cell r="N397">
            <v>1120</v>
          </cell>
          <cell r="O397">
            <v>1120</v>
          </cell>
          <cell r="P397">
            <v>5000</v>
          </cell>
          <cell r="Q397">
            <v>2</v>
          </cell>
        </row>
        <row r="398">
          <cell r="A398">
            <v>3708714</v>
          </cell>
          <cell r="B398" t="str">
            <v>福島コーティング</v>
          </cell>
          <cell r="C398" t="str">
            <v>プロセス材１課</v>
          </cell>
          <cell r="D398" t="str">
            <v>ダミー担当者</v>
          </cell>
          <cell r="E398" t="str">
            <v>リンテック㈱</v>
          </cell>
          <cell r="F398">
            <v>3</v>
          </cell>
          <cell r="G398" t="str">
            <v>S</v>
          </cell>
          <cell r="H398" t="str">
            <v>N</v>
          </cell>
          <cell r="I398" t="str">
            <v>MLB</v>
          </cell>
          <cell r="K398" t="str">
            <v>MNNGKBF</v>
          </cell>
          <cell r="L398">
            <v>25</v>
          </cell>
          <cell r="M398" t="str">
            <v>メタルミー　ニューネーマー銀消　Ｂ</v>
          </cell>
          <cell r="N398">
            <v>1005</v>
          </cell>
          <cell r="O398">
            <v>1000</v>
          </cell>
          <cell r="P398">
            <v>4000</v>
          </cell>
          <cell r="Q398">
            <v>2</v>
          </cell>
        </row>
        <row r="399">
          <cell r="A399">
            <v>3708715</v>
          </cell>
          <cell r="B399" t="str">
            <v>福島コーティング</v>
          </cell>
          <cell r="C399" t="str">
            <v>プロセス材１課</v>
          </cell>
          <cell r="D399" t="str">
            <v>ダミー担当者</v>
          </cell>
          <cell r="E399" t="str">
            <v>リンテック㈱</v>
          </cell>
          <cell r="F399">
            <v>3</v>
          </cell>
          <cell r="G399" t="str">
            <v>S</v>
          </cell>
          <cell r="H399" t="str">
            <v>N</v>
          </cell>
          <cell r="I399" t="str">
            <v>MLB</v>
          </cell>
          <cell r="K399" t="str">
            <v>MNNGKBF</v>
          </cell>
          <cell r="L399">
            <v>50</v>
          </cell>
          <cell r="M399" t="str">
            <v>メタルミー　ニューネーマー銀消　Ｂ</v>
          </cell>
          <cell r="N399">
            <v>1000</v>
          </cell>
          <cell r="O399">
            <v>1000</v>
          </cell>
          <cell r="P399">
            <v>4000</v>
          </cell>
          <cell r="Q399">
            <v>2</v>
          </cell>
        </row>
        <row r="400">
          <cell r="A400">
            <v>3708716</v>
          </cell>
          <cell r="B400" t="str">
            <v>福島コーティング</v>
          </cell>
          <cell r="C400" t="str">
            <v>プロセス材１課</v>
          </cell>
          <cell r="D400" t="str">
            <v>ダミー担当者</v>
          </cell>
          <cell r="E400" t="str">
            <v>リンテック㈱</v>
          </cell>
          <cell r="F400" t="str">
            <v>33S</v>
          </cell>
          <cell r="G400" t="str">
            <v>S</v>
          </cell>
          <cell r="H400" t="str">
            <v>N</v>
          </cell>
          <cell r="I400" t="str">
            <v>MCLB</v>
          </cell>
          <cell r="K400" t="str">
            <v>TEKKFV</v>
          </cell>
          <cell r="L400">
            <v>50</v>
          </cell>
          <cell r="M400" t="str">
            <v>メタルミー　ＴＥＳ消開封　Ｖ</v>
          </cell>
          <cell r="N400">
            <v>1005</v>
          </cell>
          <cell r="O400">
            <v>1000</v>
          </cell>
          <cell r="P400">
            <v>4000</v>
          </cell>
          <cell r="Q400">
            <v>2</v>
          </cell>
        </row>
        <row r="401">
          <cell r="A401">
            <v>3708717</v>
          </cell>
          <cell r="B401" t="str">
            <v>福島コーティング</v>
          </cell>
          <cell r="C401" t="str">
            <v>プロセス材１課</v>
          </cell>
          <cell r="D401" t="str">
            <v>ダミー担当者</v>
          </cell>
          <cell r="E401" t="str">
            <v>リンテック㈱</v>
          </cell>
          <cell r="F401" t="str">
            <v>33S</v>
          </cell>
          <cell r="G401" t="str">
            <v>S</v>
          </cell>
          <cell r="H401" t="str">
            <v>N</v>
          </cell>
          <cell r="I401" t="str">
            <v>MCLB</v>
          </cell>
          <cell r="K401" t="str">
            <v>TETKFV</v>
          </cell>
          <cell r="L401">
            <v>50</v>
          </cell>
          <cell r="M401" t="str">
            <v>メタルミー　ＴＥＳ艶開封　Ｖ</v>
          </cell>
          <cell r="N401">
            <v>1005</v>
          </cell>
          <cell r="O401">
            <v>1000</v>
          </cell>
          <cell r="P401">
            <v>4000</v>
          </cell>
          <cell r="Q401">
            <v>2</v>
          </cell>
        </row>
        <row r="402">
          <cell r="A402">
            <v>3708719</v>
          </cell>
          <cell r="B402" t="str">
            <v>福島コーティング</v>
          </cell>
          <cell r="C402" t="str">
            <v>プロセス材１課</v>
          </cell>
          <cell r="D402" t="str">
            <v>ダミー担当者</v>
          </cell>
          <cell r="E402" t="str">
            <v>リンテック㈱</v>
          </cell>
          <cell r="F402">
            <v>3</v>
          </cell>
          <cell r="G402" t="str">
            <v>S</v>
          </cell>
          <cell r="H402" t="str">
            <v>N</v>
          </cell>
          <cell r="I402" t="str">
            <v>MCLB</v>
          </cell>
          <cell r="K402" t="str">
            <v>HLGKJV</v>
          </cell>
          <cell r="L402">
            <v>50</v>
          </cell>
          <cell r="M402" t="str">
            <v>メタルミー　ヘヤライン　銀消Ｖ</v>
          </cell>
          <cell r="N402">
            <v>1005</v>
          </cell>
          <cell r="O402">
            <v>1000</v>
          </cell>
          <cell r="P402">
            <v>2000</v>
          </cell>
          <cell r="Q402">
            <v>2</v>
          </cell>
        </row>
        <row r="403">
          <cell r="A403">
            <v>3708720</v>
          </cell>
          <cell r="B403" t="str">
            <v>福島コーティング</v>
          </cell>
          <cell r="C403" t="str">
            <v>プロセス材１課</v>
          </cell>
          <cell r="D403" t="str">
            <v>ダミー担当者</v>
          </cell>
          <cell r="E403" t="str">
            <v>リンテック㈱</v>
          </cell>
          <cell r="F403">
            <v>3</v>
          </cell>
          <cell r="G403" t="str">
            <v>S</v>
          </cell>
          <cell r="H403" t="str">
            <v>N</v>
          </cell>
          <cell r="I403" t="str">
            <v>MCLB</v>
          </cell>
          <cell r="K403" t="str">
            <v>HLGTV</v>
          </cell>
          <cell r="L403">
            <v>25</v>
          </cell>
          <cell r="M403" t="str">
            <v>メタルミー　ヘヤライン　銀艶Ｖ</v>
          </cell>
          <cell r="N403">
            <v>1005</v>
          </cell>
          <cell r="O403">
            <v>1000</v>
          </cell>
          <cell r="P403">
            <v>2000</v>
          </cell>
          <cell r="Q403">
            <v>2</v>
          </cell>
        </row>
        <row r="404">
          <cell r="A404">
            <v>3708721</v>
          </cell>
          <cell r="B404" t="str">
            <v>福島コーティング</v>
          </cell>
          <cell r="C404" t="str">
            <v>プロセス材１課</v>
          </cell>
          <cell r="D404" t="str">
            <v>ダミー担当者</v>
          </cell>
          <cell r="E404" t="str">
            <v>リンテック㈱</v>
          </cell>
          <cell r="F404">
            <v>3</v>
          </cell>
          <cell r="G404" t="str">
            <v>S</v>
          </cell>
          <cell r="H404" t="str">
            <v>N</v>
          </cell>
          <cell r="I404" t="str">
            <v>MCLB</v>
          </cell>
          <cell r="K404" t="str">
            <v>HLGTV</v>
          </cell>
          <cell r="L404">
            <v>50</v>
          </cell>
          <cell r="M404" t="str">
            <v>メタルミー　ヘヤライン　銀艶Ｖ</v>
          </cell>
          <cell r="N404">
            <v>1005</v>
          </cell>
          <cell r="O404">
            <v>1000</v>
          </cell>
          <cell r="P404">
            <v>4000</v>
          </cell>
          <cell r="Q404">
            <v>2</v>
          </cell>
        </row>
        <row r="405">
          <cell r="A405">
            <v>3708722</v>
          </cell>
          <cell r="B405" t="str">
            <v>福島コーティング</v>
          </cell>
          <cell r="C405" t="str">
            <v>プロセス材１課</v>
          </cell>
          <cell r="D405" t="str">
            <v>ダミー担当者</v>
          </cell>
          <cell r="E405" t="str">
            <v>リンテック㈱</v>
          </cell>
          <cell r="F405">
            <v>3</v>
          </cell>
          <cell r="G405" t="str">
            <v>S</v>
          </cell>
          <cell r="H405" t="str">
            <v>N</v>
          </cell>
          <cell r="I405" t="str">
            <v>MCLB</v>
          </cell>
          <cell r="K405" t="str">
            <v>HLGTV</v>
          </cell>
          <cell r="L405">
            <v>50</v>
          </cell>
          <cell r="M405" t="str">
            <v>メタルミー　ヘヤライン　銀艶Ｖ</v>
          </cell>
          <cell r="N405">
            <v>1005</v>
          </cell>
          <cell r="O405">
            <v>1000</v>
          </cell>
          <cell r="P405">
            <v>2000</v>
          </cell>
          <cell r="Q405">
            <v>2</v>
          </cell>
        </row>
        <row r="406">
          <cell r="A406">
            <v>3708724</v>
          </cell>
          <cell r="B406" t="str">
            <v>福島コーティング</v>
          </cell>
          <cell r="C406" t="str">
            <v>プロセス材１課</v>
          </cell>
          <cell r="D406" t="str">
            <v>ダミー担当者</v>
          </cell>
          <cell r="E406" t="str">
            <v>リンテック㈱</v>
          </cell>
          <cell r="F406">
            <v>3</v>
          </cell>
          <cell r="G406" t="str">
            <v>S</v>
          </cell>
          <cell r="H406" t="str">
            <v>Y</v>
          </cell>
          <cell r="I406" t="str">
            <v>MLB</v>
          </cell>
          <cell r="K406" t="str">
            <v>MSNMBZF</v>
          </cell>
          <cell r="L406">
            <v>50</v>
          </cell>
          <cell r="M406" t="str">
            <v>ＭＥＴＡＬＵＭＹ　ＳＩＬＶＥＲ　Ｎ－ＭＡＴＴＥ　Ｂ</v>
          </cell>
          <cell r="N406">
            <v>1120</v>
          </cell>
          <cell r="O406">
            <v>1120</v>
          </cell>
          <cell r="P406">
            <v>4000</v>
          </cell>
          <cell r="Q406">
            <v>2</v>
          </cell>
        </row>
        <row r="407">
          <cell r="A407">
            <v>3708725</v>
          </cell>
          <cell r="B407" t="str">
            <v>福島コーティング</v>
          </cell>
          <cell r="C407" t="str">
            <v>プロセス材１課</v>
          </cell>
          <cell r="D407" t="str">
            <v>ダミー担当者</v>
          </cell>
          <cell r="E407" t="str">
            <v>リンテック㈱</v>
          </cell>
          <cell r="F407">
            <v>3</v>
          </cell>
          <cell r="G407" t="str">
            <v>S</v>
          </cell>
          <cell r="H407" t="str">
            <v>Y</v>
          </cell>
          <cell r="I407" t="str">
            <v>MLB</v>
          </cell>
          <cell r="K407" t="str">
            <v>MSBBZF</v>
          </cell>
          <cell r="L407">
            <v>50</v>
          </cell>
          <cell r="M407" t="str">
            <v>ＭＥＴＡＬＵＭＹ　ＳＩＬＶＥＲ　ＢＲＩＧＨＴ　Ｂ</v>
          </cell>
          <cell r="N407">
            <v>1120</v>
          </cell>
          <cell r="O407">
            <v>1120</v>
          </cell>
          <cell r="P407">
            <v>5000</v>
          </cell>
          <cell r="Q407">
            <v>2</v>
          </cell>
        </row>
        <row r="408">
          <cell r="A408">
            <v>3708726</v>
          </cell>
          <cell r="B408" t="str">
            <v>福島コーティング</v>
          </cell>
          <cell r="C408" t="str">
            <v>工材１部大阪電材課</v>
          </cell>
          <cell r="D408" t="str">
            <v>ダミー担当者</v>
          </cell>
          <cell r="E408" t="str">
            <v>日東電工㈱豊橋工場</v>
          </cell>
          <cell r="F408">
            <v>3</v>
          </cell>
          <cell r="G408" t="str">
            <v>S</v>
          </cell>
          <cell r="H408" t="str">
            <v>N</v>
          </cell>
          <cell r="I408" t="str">
            <v>MLB</v>
          </cell>
          <cell r="K408" t="str">
            <v>MTSF</v>
          </cell>
          <cell r="L408">
            <v>50</v>
          </cell>
          <cell r="M408" t="str">
            <v>メタルミー　ＴＳ</v>
          </cell>
          <cell r="N408">
            <v>1255</v>
          </cell>
          <cell r="O408">
            <v>1250</v>
          </cell>
          <cell r="P408">
            <v>2000</v>
          </cell>
          <cell r="Q408">
            <v>2</v>
          </cell>
        </row>
        <row r="409">
          <cell r="A409">
            <v>3709496</v>
          </cell>
          <cell r="B409" t="str">
            <v>機能Ｆ　ラベル福島原</v>
          </cell>
          <cell r="C409" t="str">
            <v>工材１部大阪電材課</v>
          </cell>
          <cell r="D409" t="str">
            <v>ダミー担当者</v>
          </cell>
          <cell r="E409" t="str">
            <v>日東電工㈱豊橋工場</v>
          </cell>
          <cell r="F409">
            <v>3</v>
          </cell>
          <cell r="G409" t="str">
            <v>T</v>
          </cell>
          <cell r="H409" t="str">
            <v>N</v>
          </cell>
          <cell r="I409" t="str">
            <v>MLB</v>
          </cell>
          <cell r="K409" t="str">
            <v>MTSF</v>
          </cell>
          <cell r="L409">
            <v>50</v>
          </cell>
          <cell r="M409" t="str">
            <v>メタルミー　ＴＳ</v>
          </cell>
          <cell r="N409">
            <v>1255</v>
          </cell>
          <cell r="O409">
            <v>1250</v>
          </cell>
          <cell r="P409">
            <v>3000</v>
          </cell>
          <cell r="Q409">
            <v>2</v>
          </cell>
        </row>
        <row r="410">
          <cell r="A410">
            <v>3711137</v>
          </cell>
          <cell r="B410" t="str">
            <v>福島コーティング</v>
          </cell>
          <cell r="C410" t="str">
            <v>工材１部電材課</v>
          </cell>
          <cell r="D410" t="str">
            <v>ダミー担当者</v>
          </cell>
          <cell r="E410" t="str">
            <v>パナック㈱亀山工場</v>
          </cell>
          <cell r="F410">
            <v>3</v>
          </cell>
          <cell r="G410" t="str">
            <v>S</v>
          </cell>
          <cell r="H410" t="str">
            <v>N</v>
          </cell>
          <cell r="I410" t="str">
            <v>MLB</v>
          </cell>
          <cell r="K410" t="str">
            <v>MTSF</v>
          </cell>
          <cell r="L410">
            <v>75</v>
          </cell>
          <cell r="M410" t="str">
            <v>メタルミー　ＴＳ</v>
          </cell>
          <cell r="N410">
            <v>1000</v>
          </cell>
          <cell r="O410">
            <v>1000</v>
          </cell>
          <cell r="P410">
            <v>1000</v>
          </cell>
          <cell r="Q410">
            <v>2</v>
          </cell>
        </row>
        <row r="411">
          <cell r="A411">
            <v>3711151</v>
          </cell>
          <cell r="B411" t="str">
            <v>機能Ｆ　ラベル福島開</v>
          </cell>
          <cell r="C411" t="str">
            <v>プロセス材１課</v>
          </cell>
          <cell r="D411" t="str">
            <v>ダミー担当者</v>
          </cell>
          <cell r="E411" t="str">
            <v>リンテック㈱</v>
          </cell>
          <cell r="F411">
            <v>3</v>
          </cell>
          <cell r="G411" t="str">
            <v>U</v>
          </cell>
          <cell r="H411" t="str">
            <v>N</v>
          </cell>
          <cell r="I411" t="str">
            <v>MCLB</v>
          </cell>
          <cell r="K411" t="str">
            <v>HLGKJV</v>
          </cell>
          <cell r="L411">
            <v>50</v>
          </cell>
          <cell r="M411" t="str">
            <v>メタルミー　ヘヤライン銀消　Ｖ</v>
          </cell>
          <cell r="N411">
            <v>1005</v>
          </cell>
          <cell r="O411">
            <v>1000</v>
          </cell>
          <cell r="P411">
            <v>2000</v>
          </cell>
          <cell r="Q411">
            <v>2</v>
          </cell>
        </row>
        <row r="412">
          <cell r="A412">
            <v>3711152</v>
          </cell>
          <cell r="B412" t="str">
            <v>機能Ｆ　ラベル福島開</v>
          </cell>
          <cell r="C412" t="str">
            <v>プロセス材１課</v>
          </cell>
          <cell r="D412" t="str">
            <v>ダミー担当者</v>
          </cell>
          <cell r="E412" t="str">
            <v>リンテック㈱</v>
          </cell>
          <cell r="F412">
            <v>3</v>
          </cell>
          <cell r="G412" t="str">
            <v>U</v>
          </cell>
          <cell r="H412" t="str">
            <v>N</v>
          </cell>
          <cell r="I412" t="str">
            <v>MCLB</v>
          </cell>
          <cell r="K412" t="str">
            <v>HLGTV</v>
          </cell>
          <cell r="L412">
            <v>50</v>
          </cell>
          <cell r="M412" t="str">
            <v>メタルミー　ヘヤライン　銀艶Ｖ</v>
          </cell>
          <cell r="N412">
            <v>1005</v>
          </cell>
          <cell r="O412">
            <v>1000</v>
          </cell>
          <cell r="P412">
            <v>4000</v>
          </cell>
          <cell r="Q412">
            <v>2</v>
          </cell>
        </row>
        <row r="413">
          <cell r="A413">
            <v>3711153</v>
          </cell>
          <cell r="B413" t="str">
            <v>機能Ｆ　ラベル福島開</v>
          </cell>
          <cell r="C413" t="str">
            <v>プロセス材１課</v>
          </cell>
          <cell r="D413" t="str">
            <v>ダミー担当者</v>
          </cell>
          <cell r="E413" t="str">
            <v>リンテック㈱</v>
          </cell>
          <cell r="F413">
            <v>3</v>
          </cell>
          <cell r="G413" t="str">
            <v>U</v>
          </cell>
          <cell r="H413" t="str">
            <v>N</v>
          </cell>
          <cell r="I413" t="str">
            <v>MCLB</v>
          </cell>
          <cell r="K413" t="str">
            <v>HLGTV</v>
          </cell>
          <cell r="L413">
            <v>25</v>
          </cell>
          <cell r="M413" t="str">
            <v>メタルミー　ヘヤライン銀艶　Ｖ</v>
          </cell>
          <cell r="N413">
            <v>1005</v>
          </cell>
          <cell r="O413">
            <v>1000</v>
          </cell>
          <cell r="P413">
            <v>2000</v>
          </cell>
          <cell r="Q413">
            <v>2</v>
          </cell>
        </row>
        <row r="414">
          <cell r="A414">
            <v>3712089</v>
          </cell>
          <cell r="B414" t="str">
            <v>福島コーティング</v>
          </cell>
          <cell r="C414" t="str">
            <v>プロセス材１課</v>
          </cell>
          <cell r="D414" t="str">
            <v>ダミー担当者</v>
          </cell>
          <cell r="E414" t="str">
            <v>日精㈱東京支店</v>
          </cell>
          <cell r="F414">
            <v>3</v>
          </cell>
          <cell r="G414" t="str">
            <v>S</v>
          </cell>
          <cell r="H414" t="str">
            <v>N</v>
          </cell>
          <cell r="I414" t="str">
            <v>MLB</v>
          </cell>
          <cell r="K414" t="str">
            <v>MSF</v>
          </cell>
          <cell r="L414">
            <v>25</v>
          </cell>
          <cell r="M414" t="str">
            <v>メタルミー　Ｓ</v>
          </cell>
          <cell r="N414">
            <v>1020</v>
          </cell>
          <cell r="O414">
            <v>1020</v>
          </cell>
          <cell r="P414">
            <v>2000</v>
          </cell>
          <cell r="Q414">
            <v>1</v>
          </cell>
        </row>
        <row r="415">
          <cell r="A415">
            <v>3712090</v>
          </cell>
          <cell r="B415" t="str">
            <v>福島コーティング</v>
          </cell>
          <cell r="C415" t="str">
            <v>プロセス材２課</v>
          </cell>
          <cell r="D415" t="str">
            <v>ダミー担当者</v>
          </cell>
          <cell r="E415" t="str">
            <v>大阪シーリング印刷㈱</v>
          </cell>
          <cell r="F415">
            <v>3</v>
          </cell>
          <cell r="G415" t="str">
            <v>S</v>
          </cell>
          <cell r="H415" t="str">
            <v>N</v>
          </cell>
          <cell r="I415" t="str">
            <v>MCLB</v>
          </cell>
          <cell r="K415" t="str">
            <v>MSNEYK</v>
          </cell>
          <cell r="L415">
            <v>50</v>
          </cell>
          <cell r="M415" t="str">
            <v>ＭＳＮ　ＥＹＫ</v>
          </cell>
          <cell r="N415">
            <v>1200</v>
          </cell>
          <cell r="O415">
            <v>1190</v>
          </cell>
          <cell r="P415">
            <v>6000</v>
          </cell>
          <cell r="Q415">
            <v>2</v>
          </cell>
        </row>
        <row r="416">
          <cell r="A416">
            <v>3712093</v>
          </cell>
          <cell r="B416" t="str">
            <v>福島コーティング</v>
          </cell>
          <cell r="C416" t="str">
            <v>プロセス材２課</v>
          </cell>
          <cell r="D416" t="str">
            <v>ダミー担当者</v>
          </cell>
          <cell r="E416" t="str">
            <v>新タック化成㈱</v>
          </cell>
          <cell r="F416">
            <v>3</v>
          </cell>
          <cell r="G416" t="str">
            <v>S</v>
          </cell>
          <cell r="H416" t="str">
            <v>N</v>
          </cell>
          <cell r="I416" t="str">
            <v>CLB</v>
          </cell>
          <cell r="K416" t="str">
            <v>LEYK</v>
          </cell>
          <cell r="L416">
            <v>25</v>
          </cell>
          <cell r="M416" t="str">
            <v>ルミラー　ＥＹＫ</v>
          </cell>
          <cell r="N416">
            <v>1120</v>
          </cell>
          <cell r="O416">
            <v>1120</v>
          </cell>
          <cell r="P416">
            <v>6000</v>
          </cell>
          <cell r="Q416">
            <v>2</v>
          </cell>
        </row>
        <row r="417">
          <cell r="A417">
            <v>3712094</v>
          </cell>
          <cell r="B417" t="str">
            <v>福島コーティング</v>
          </cell>
          <cell r="C417" t="str">
            <v>プロセス材２課</v>
          </cell>
          <cell r="D417" t="str">
            <v>ダミー担当者</v>
          </cell>
          <cell r="E417" t="str">
            <v>新タック化成㈱</v>
          </cell>
          <cell r="F417">
            <v>3</v>
          </cell>
          <cell r="G417" t="str">
            <v>S</v>
          </cell>
          <cell r="H417" t="str">
            <v>N</v>
          </cell>
          <cell r="I417" t="str">
            <v>CLB</v>
          </cell>
          <cell r="K417" t="str">
            <v>LEYK</v>
          </cell>
          <cell r="L417">
            <v>50</v>
          </cell>
          <cell r="M417" t="str">
            <v>ルミラー　ＥＹＫ</v>
          </cell>
          <cell r="N417">
            <v>1120</v>
          </cell>
          <cell r="O417">
            <v>1120</v>
          </cell>
          <cell r="P417">
            <v>6000</v>
          </cell>
          <cell r="Q417">
            <v>2</v>
          </cell>
        </row>
        <row r="418">
          <cell r="A418">
            <v>3712095</v>
          </cell>
          <cell r="B418" t="str">
            <v>福島コーティング</v>
          </cell>
          <cell r="C418" t="str">
            <v>プロセス材２課</v>
          </cell>
          <cell r="D418" t="str">
            <v>ダミー担当者</v>
          </cell>
          <cell r="E418" t="str">
            <v>新タック化成㈱</v>
          </cell>
          <cell r="F418">
            <v>3</v>
          </cell>
          <cell r="G418" t="str">
            <v>S</v>
          </cell>
          <cell r="H418" t="str">
            <v>N</v>
          </cell>
          <cell r="I418" t="str">
            <v>MCLB</v>
          </cell>
          <cell r="K418" t="str">
            <v>EYK</v>
          </cell>
          <cell r="L418">
            <v>50</v>
          </cell>
          <cell r="M418" t="str">
            <v>メタルミー　ＥＹＫ</v>
          </cell>
          <cell r="N418">
            <v>1120</v>
          </cell>
          <cell r="O418">
            <v>1120</v>
          </cell>
          <cell r="P418">
            <v>6000</v>
          </cell>
          <cell r="Q418">
            <v>2</v>
          </cell>
        </row>
        <row r="419">
          <cell r="A419">
            <v>3712096</v>
          </cell>
          <cell r="B419" t="str">
            <v>福島コーティング</v>
          </cell>
          <cell r="C419" t="str">
            <v>プロセス材２課</v>
          </cell>
          <cell r="D419" t="str">
            <v>ダミー担当者</v>
          </cell>
          <cell r="E419" t="str">
            <v>新タック化成㈱</v>
          </cell>
          <cell r="F419">
            <v>3</v>
          </cell>
          <cell r="G419" t="str">
            <v>S</v>
          </cell>
          <cell r="H419" t="str">
            <v>N</v>
          </cell>
          <cell r="I419" t="str">
            <v>MCLB</v>
          </cell>
          <cell r="K419" t="str">
            <v>SCB</v>
          </cell>
          <cell r="L419">
            <v>25</v>
          </cell>
          <cell r="M419" t="str">
            <v>メタルミー　シロコート（Ｂ）</v>
          </cell>
          <cell r="N419">
            <v>1020</v>
          </cell>
          <cell r="O419">
            <v>1020</v>
          </cell>
          <cell r="P419">
            <v>6000</v>
          </cell>
          <cell r="Q419">
            <v>2</v>
          </cell>
        </row>
        <row r="420">
          <cell r="A420">
            <v>3712097</v>
          </cell>
          <cell r="B420" t="str">
            <v>福島コーティング</v>
          </cell>
          <cell r="C420" t="str">
            <v>プロセス材２課</v>
          </cell>
          <cell r="D420" t="str">
            <v>ダミー担当者</v>
          </cell>
          <cell r="E420" t="str">
            <v>新タック化成㈱</v>
          </cell>
          <cell r="F420">
            <v>3</v>
          </cell>
          <cell r="G420" t="str">
            <v>S</v>
          </cell>
          <cell r="H420" t="str">
            <v>N</v>
          </cell>
          <cell r="I420" t="str">
            <v>MCLB</v>
          </cell>
          <cell r="K420" t="str">
            <v>WCB</v>
          </cell>
          <cell r="L420">
            <v>50</v>
          </cell>
          <cell r="M420" t="str">
            <v>メタルミー　ホワイトコート　　　（Ｂ）</v>
          </cell>
          <cell r="N420">
            <v>1120</v>
          </cell>
          <cell r="O420">
            <v>1120</v>
          </cell>
          <cell r="P420">
            <v>5000</v>
          </cell>
          <cell r="Q420">
            <v>2</v>
          </cell>
        </row>
        <row r="421">
          <cell r="A421">
            <v>3712099</v>
          </cell>
          <cell r="B421" t="str">
            <v>福島コーティング</v>
          </cell>
          <cell r="C421" t="str">
            <v>プロセス材１課</v>
          </cell>
          <cell r="D421" t="str">
            <v>ダミー担当者</v>
          </cell>
          <cell r="E421" t="str">
            <v>リンテック㈱</v>
          </cell>
          <cell r="F421">
            <v>3</v>
          </cell>
          <cell r="G421" t="str">
            <v>S</v>
          </cell>
          <cell r="H421" t="str">
            <v>N</v>
          </cell>
          <cell r="I421" t="str">
            <v>MLB</v>
          </cell>
          <cell r="K421" t="str">
            <v>MNGKKBF</v>
          </cell>
          <cell r="L421">
            <v>25</v>
          </cell>
          <cell r="M421" t="str">
            <v>メタルミー　ネーマー銀消改　Ｂ</v>
          </cell>
          <cell r="N421">
            <v>1000</v>
          </cell>
          <cell r="O421">
            <v>1000</v>
          </cell>
          <cell r="P421">
            <v>4000</v>
          </cell>
          <cell r="Q421">
            <v>2</v>
          </cell>
        </row>
        <row r="422">
          <cell r="A422">
            <v>3712100</v>
          </cell>
          <cell r="B422" t="str">
            <v>福島コーティング</v>
          </cell>
          <cell r="C422" t="str">
            <v>プロセス材１課</v>
          </cell>
          <cell r="D422" t="str">
            <v>ダミー担当者</v>
          </cell>
          <cell r="E422" t="str">
            <v>リンテック㈱</v>
          </cell>
          <cell r="F422">
            <v>3</v>
          </cell>
          <cell r="G422" t="str">
            <v>S</v>
          </cell>
          <cell r="H422" t="str">
            <v>N</v>
          </cell>
          <cell r="I422" t="str">
            <v>MLB</v>
          </cell>
          <cell r="K422" t="str">
            <v>MNGKKBF</v>
          </cell>
          <cell r="L422">
            <v>25</v>
          </cell>
          <cell r="M422" t="str">
            <v>メタルミー　ネーマー銀消改　Ｂ</v>
          </cell>
          <cell r="N422">
            <v>1120</v>
          </cell>
          <cell r="O422">
            <v>1120</v>
          </cell>
          <cell r="P422">
            <v>4000</v>
          </cell>
          <cell r="Q422">
            <v>2</v>
          </cell>
        </row>
        <row r="423">
          <cell r="A423">
            <v>3712101</v>
          </cell>
          <cell r="B423" t="str">
            <v>福島コーティング</v>
          </cell>
          <cell r="C423" t="str">
            <v>プロセス材１課</v>
          </cell>
          <cell r="D423" t="str">
            <v>ダミー担当者</v>
          </cell>
          <cell r="E423" t="str">
            <v>リンテック㈱</v>
          </cell>
          <cell r="F423">
            <v>3</v>
          </cell>
          <cell r="G423" t="str">
            <v>S</v>
          </cell>
          <cell r="H423" t="str">
            <v>N</v>
          </cell>
          <cell r="I423" t="str">
            <v>MLB</v>
          </cell>
          <cell r="K423" t="str">
            <v>MNGKKBF</v>
          </cell>
          <cell r="L423">
            <v>50</v>
          </cell>
          <cell r="M423" t="str">
            <v>メタルミー　ネーマー銀消改　Ｂ</v>
          </cell>
          <cell r="N423">
            <v>1120</v>
          </cell>
          <cell r="O423">
            <v>1120</v>
          </cell>
          <cell r="P423">
            <v>4000</v>
          </cell>
          <cell r="Q423">
            <v>2</v>
          </cell>
        </row>
        <row r="424">
          <cell r="A424">
            <v>3712102</v>
          </cell>
          <cell r="B424" t="str">
            <v>福島コーティング</v>
          </cell>
          <cell r="C424" t="str">
            <v>プロセス材１課</v>
          </cell>
          <cell r="D424" t="str">
            <v>ダミー担当者</v>
          </cell>
          <cell r="E424" t="str">
            <v>リンテック㈱</v>
          </cell>
          <cell r="F424">
            <v>3</v>
          </cell>
          <cell r="G424" t="str">
            <v>S</v>
          </cell>
          <cell r="H424" t="str">
            <v>N</v>
          </cell>
          <cell r="I424" t="str">
            <v>MLB</v>
          </cell>
          <cell r="K424" t="str">
            <v>MNGKKBF</v>
          </cell>
          <cell r="L424">
            <v>50</v>
          </cell>
          <cell r="M424" t="str">
            <v>メタルミー　ネーマー銀消改　Ｂ</v>
          </cell>
          <cell r="N424">
            <v>1120</v>
          </cell>
          <cell r="O424">
            <v>1120</v>
          </cell>
          <cell r="P424">
            <v>4000</v>
          </cell>
          <cell r="Q424">
            <v>2</v>
          </cell>
        </row>
        <row r="425">
          <cell r="A425">
            <v>3712103</v>
          </cell>
          <cell r="B425" t="str">
            <v>福島コーティング</v>
          </cell>
          <cell r="C425" t="str">
            <v>プロセス材１課</v>
          </cell>
          <cell r="D425" t="str">
            <v>ダミー担当者</v>
          </cell>
          <cell r="E425" t="str">
            <v>リンテック㈱</v>
          </cell>
          <cell r="F425">
            <v>3</v>
          </cell>
          <cell r="G425" t="str">
            <v>S</v>
          </cell>
          <cell r="H425" t="str">
            <v>N</v>
          </cell>
          <cell r="I425" t="str">
            <v>MLB</v>
          </cell>
          <cell r="K425" t="str">
            <v>MNGKBF</v>
          </cell>
          <cell r="L425">
            <v>50</v>
          </cell>
          <cell r="M425" t="str">
            <v>メタルミー　ネーマー銀消　Ｂ</v>
          </cell>
          <cell r="N425">
            <v>1050</v>
          </cell>
          <cell r="O425">
            <v>1050</v>
          </cell>
          <cell r="P425">
            <v>4100</v>
          </cell>
          <cell r="Q425">
            <v>2</v>
          </cell>
        </row>
        <row r="426">
          <cell r="A426">
            <v>3712104</v>
          </cell>
          <cell r="B426" t="str">
            <v>福島コーティング</v>
          </cell>
          <cell r="C426" t="str">
            <v>プロセス材１課</v>
          </cell>
          <cell r="D426" t="str">
            <v>ダミー担当者</v>
          </cell>
          <cell r="E426" t="str">
            <v>リンテック㈱</v>
          </cell>
          <cell r="F426">
            <v>3</v>
          </cell>
          <cell r="G426" t="str">
            <v>S</v>
          </cell>
          <cell r="H426" t="str">
            <v>N</v>
          </cell>
          <cell r="I426" t="str">
            <v>MLB</v>
          </cell>
          <cell r="K426" t="str">
            <v>MNGKBF</v>
          </cell>
          <cell r="L426">
            <v>75</v>
          </cell>
          <cell r="M426" t="str">
            <v>メタルミー　ネーマー銀消　Ｂ</v>
          </cell>
          <cell r="N426">
            <v>1050</v>
          </cell>
          <cell r="O426">
            <v>1050</v>
          </cell>
          <cell r="P426">
            <v>2000</v>
          </cell>
          <cell r="Q426">
            <v>2</v>
          </cell>
        </row>
        <row r="427">
          <cell r="A427">
            <v>3712105</v>
          </cell>
          <cell r="B427" t="str">
            <v>福島コーティング</v>
          </cell>
          <cell r="C427" t="str">
            <v>プロセス材１課</v>
          </cell>
          <cell r="D427" t="str">
            <v>ダミー担当者</v>
          </cell>
          <cell r="E427" t="str">
            <v>リンテック㈱</v>
          </cell>
          <cell r="F427">
            <v>3</v>
          </cell>
          <cell r="G427" t="str">
            <v>S</v>
          </cell>
          <cell r="H427" t="str">
            <v>N</v>
          </cell>
          <cell r="I427" t="str">
            <v>MLB</v>
          </cell>
          <cell r="K427" t="str">
            <v>MNGTBF</v>
          </cell>
          <cell r="L427">
            <v>50</v>
          </cell>
          <cell r="M427" t="str">
            <v>メタルミー　ネーマー　銀艶　Ｂ</v>
          </cell>
          <cell r="N427">
            <v>1120</v>
          </cell>
          <cell r="O427">
            <v>1120</v>
          </cell>
          <cell r="P427">
            <v>5000</v>
          </cell>
          <cell r="Q427">
            <v>2</v>
          </cell>
        </row>
        <row r="428">
          <cell r="A428">
            <v>3712106</v>
          </cell>
          <cell r="B428" t="str">
            <v>福島コーティング</v>
          </cell>
          <cell r="C428" t="str">
            <v>プロセス材１課</v>
          </cell>
          <cell r="D428" t="str">
            <v>ダミー担当者</v>
          </cell>
          <cell r="E428" t="str">
            <v>リンテック㈱</v>
          </cell>
          <cell r="F428">
            <v>3</v>
          </cell>
          <cell r="G428" t="str">
            <v>S</v>
          </cell>
          <cell r="H428" t="str">
            <v>N</v>
          </cell>
          <cell r="I428" t="str">
            <v>MLB</v>
          </cell>
          <cell r="K428" t="str">
            <v>MNGTBF</v>
          </cell>
          <cell r="L428">
            <v>50</v>
          </cell>
          <cell r="M428" t="str">
            <v>メタルミー　ネーマー　銀艶　Ｂ</v>
          </cell>
          <cell r="N428">
            <v>1120</v>
          </cell>
          <cell r="O428">
            <v>1120</v>
          </cell>
          <cell r="P428">
            <v>5000</v>
          </cell>
          <cell r="Q428">
            <v>2</v>
          </cell>
        </row>
        <row r="429">
          <cell r="A429">
            <v>3712107</v>
          </cell>
          <cell r="B429" t="str">
            <v>福島コーティング</v>
          </cell>
          <cell r="C429" t="str">
            <v>プロセス材１課</v>
          </cell>
          <cell r="D429" t="str">
            <v>ダミー担当者</v>
          </cell>
          <cell r="E429" t="str">
            <v>リンテック㈱</v>
          </cell>
          <cell r="F429">
            <v>3</v>
          </cell>
          <cell r="G429" t="str">
            <v>S</v>
          </cell>
          <cell r="H429" t="str">
            <v>N</v>
          </cell>
          <cell r="I429" t="str">
            <v>MLB</v>
          </cell>
          <cell r="K429" t="str">
            <v>MNNGKBF</v>
          </cell>
          <cell r="L429">
            <v>25</v>
          </cell>
          <cell r="M429" t="str">
            <v>メタルミー　ニューネーマー銀消　Ｂ</v>
          </cell>
          <cell r="N429">
            <v>1005</v>
          </cell>
          <cell r="O429">
            <v>1000</v>
          </cell>
          <cell r="P429">
            <v>4000</v>
          </cell>
          <cell r="Q429">
            <v>2</v>
          </cell>
        </row>
        <row r="430">
          <cell r="A430">
            <v>3712108</v>
          </cell>
          <cell r="B430" t="str">
            <v>福島コーティング</v>
          </cell>
          <cell r="C430" t="str">
            <v>プロセス材１課</v>
          </cell>
          <cell r="D430" t="str">
            <v>ダミー担当者</v>
          </cell>
          <cell r="E430" t="str">
            <v>リンテック㈱</v>
          </cell>
          <cell r="F430">
            <v>3</v>
          </cell>
          <cell r="G430" t="str">
            <v>S</v>
          </cell>
          <cell r="H430" t="str">
            <v>N</v>
          </cell>
          <cell r="I430" t="str">
            <v>MLB</v>
          </cell>
          <cell r="K430" t="str">
            <v>MNNGKBF</v>
          </cell>
          <cell r="L430">
            <v>50</v>
          </cell>
          <cell r="M430" t="str">
            <v>メタルミー　ニューネーマー銀消　Ｂ</v>
          </cell>
          <cell r="N430">
            <v>1000</v>
          </cell>
          <cell r="O430">
            <v>1000</v>
          </cell>
          <cell r="P430">
            <v>4000</v>
          </cell>
          <cell r="Q430">
            <v>2</v>
          </cell>
        </row>
        <row r="431">
          <cell r="A431">
            <v>3712109</v>
          </cell>
          <cell r="B431" t="str">
            <v>福島コーティング</v>
          </cell>
          <cell r="C431" t="str">
            <v>プロセス材１課</v>
          </cell>
          <cell r="D431" t="str">
            <v>ダミー担当者</v>
          </cell>
          <cell r="E431" t="str">
            <v>リンテック㈱</v>
          </cell>
          <cell r="F431" t="str">
            <v>33S</v>
          </cell>
          <cell r="G431" t="str">
            <v>S</v>
          </cell>
          <cell r="H431" t="str">
            <v>N</v>
          </cell>
          <cell r="I431" t="str">
            <v>MCLB</v>
          </cell>
          <cell r="K431" t="str">
            <v>TEKKFV</v>
          </cell>
          <cell r="L431">
            <v>50</v>
          </cell>
          <cell r="M431" t="str">
            <v>メタルミー　ＴＥＳ消開封　Ｖ</v>
          </cell>
          <cell r="N431">
            <v>1005</v>
          </cell>
          <cell r="O431">
            <v>1000</v>
          </cell>
          <cell r="P431">
            <v>4000</v>
          </cell>
          <cell r="Q431">
            <v>2</v>
          </cell>
        </row>
        <row r="432">
          <cell r="A432">
            <v>3712110</v>
          </cell>
          <cell r="B432" t="str">
            <v>福島コーティング</v>
          </cell>
          <cell r="C432" t="str">
            <v>プロセス材１課</v>
          </cell>
          <cell r="D432" t="str">
            <v>ダミー担当者</v>
          </cell>
          <cell r="E432" t="str">
            <v>リンテック㈱</v>
          </cell>
          <cell r="F432" t="str">
            <v>33S</v>
          </cell>
          <cell r="G432" t="str">
            <v>S</v>
          </cell>
          <cell r="H432" t="str">
            <v>N</v>
          </cell>
          <cell r="I432" t="str">
            <v>MCLB</v>
          </cell>
          <cell r="K432" t="str">
            <v>TEKV0V</v>
          </cell>
          <cell r="L432">
            <v>50</v>
          </cell>
          <cell r="M432" t="str">
            <v>メタルミー　ＴＥ－Ｓ消　ＶＯＩＤ　Ｖ</v>
          </cell>
          <cell r="N432">
            <v>1005</v>
          </cell>
          <cell r="O432">
            <v>1000</v>
          </cell>
          <cell r="P432">
            <v>4000</v>
          </cell>
          <cell r="Q432">
            <v>2</v>
          </cell>
        </row>
        <row r="433">
          <cell r="A433">
            <v>3712111</v>
          </cell>
          <cell r="B433" t="str">
            <v>福島コーティング</v>
          </cell>
          <cell r="C433" t="str">
            <v>プロセス材１課</v>
          </cell>
          <cell r="D433" t="str">
            <v>ダミー担当者</v>
          </cell>
          <cell r="E433" t="str">
            <v>リンテック㈱</v>
          </cell>
          <cell r="F433" t="str">
            <v>33S</v>
          </cell>
          <cell r="G433" t="str">
            <v>S</v>
          </cell>
          <cell r="H433" t="str">
            <v>N</v>
          </cell>
          <cell r="I433" t="str">
            <v>MCLB</v>
          </cell>
          <cell r="K433" t="str">
            <v>TETKFV</v>
          </cell>
          <cell r="L433">
            <v>50</v>
          </cell>
          <cell r="M433" t="str">
            <v>メタルミー　ＴＥＳ艶開封　Ｖ</v>
          </cell>
          <cell r="N433">
            <v>1005</v>
          </cell>
          <cell r="O433">
            <v>1000</v>
          </cell>
          <cell r="P433">
            <v>4000</v>
          </cell>
          <cell r="Q433">
            <v>2</v>
          </cell>
        </row>
        <row r="434">
          <cell r="A434">
            <v>3712113</v>
          </cell>
          <cell r="B434" t="str">
            <v>福島コーティング</v>
          </cell>
          <cell r="C434" t="str">
            <v>プロセス材１課</v>
          </cell>
          <cell r="D434" t="str">
            <v>ダミー担当者</v>
          </cell>
          <cell r="E434" t="str">
            <v>リンテック㈱</v>
          </cell>
          <cell r="F434">
            <v>3</v>
          </cell>
          <cell r="G434" t="str">
            <v>S</v>
          </cell>
          <cell r="H434" t="str">
            <v>N</v>
          </cell>
          <cell r="I434" t="str">
            <v>MCLB</v>
          </cell>
          <cell r="K434" t="str">
            <v>HLGTV</v>
          </cell>
          <cell r="L434">
            <v>50</v>
          </cell>
          <cell r="M434" t="str">
            <v>メタルミー　ヘヤライン　銀艶Ｖ</v>
          </cell>
          <cell r="N434">
            <v>1005</v>
          </cell>
          <cell r="O434">
            <v>1000</v>
          </cell>
          <cell r="P434">
            <v>4000</v>
          </cell>
          <cell r="Q434">
            <v>2</v>
          </cell>
        </row>
        <row r="435">
          <cell r="A435">
            <v>3712114</v>
          </cell>
          <cell r="B435" t="str">
            <v>福島コーティング</v>
          </cell>
          <cell r="C435" t="str">
            <v>プロセス材１課</v>
          </cell>
          <cell r="D435" t="str">
            <v>ダミー担当者</v>
          </cell>
          <cell r="E435" t="str">
            <v>リンテック㈱</v>
          </cell>
          <cell r="F435">
            <v>3</v>
          </cell>
          <cell r="G435" t="str">
            <v>S</v>
          </cell>
          <cell r="H435" t="str">
            <v>N</v>
          </cell>
          <cell r="I435" t="str">
            <v>CLB</v>
          </cell>
          <cell r="K435" t="str">
            <v>LMEYK</v>
          </cell>
          <cell r="L435">
            <v>38</v>
          </cell>
          <cell r="M435" t="str">
            <v>ルミマットＥＹＫ</v>
          </cell>
          <cell r="N435">
            <v>1005</v>
          </cell>
          <cell r="O435">
            <v>1000</v>
          </cell>
          <cell r="P435">
            <v>4000</v>
          </cell>
          <cell r="Q435">
            <v>2</v>
          </cell>
        </row>
        <row r="436">
          <cell r="A436">
            <v>3712115</v>
          </cell>
          <cell r="B436" t="str">
            <v>福島コーティング</v>
          </cell>
          <cell r="C436" t="str">
            <v>プロセス材１課</v>
          </cell>
          <cell r="D436" t="str">
            <v>ダミー担当者</v>
          </cell>
          <cell r="E436" t="str">
            <v>リンテック㈱</v>
          </cell>
          <cell r="F436">
            <v>3</v>
          </cell>
          <cell r="G436" t="str">
            <v>S</v>
          </cell>
          <cell r="H436" t="str">
            <v>N</v>
          </cell>
          <cell r="I436" t="str">
            <v>CLB</v>
          </cell>
          <cell r="K436" t="str">
            <v>LMEYK</v>
          </cell>
          <cell r="L436">
            <v>38</v>
          </cell>
          <cell r="M436" t="str">
            <v>ルミマットＥＹＫ</v>
          </cell>
          <cell r="N436">
            <v>1005</v>
          </cell>
          <cell r="O436">
            <v>1000</v>
          </cell>
          <cell r="P436">
            <v>4000</v>
          </cell>
          <cell r="Q436">
            <v>2</v>
          </cell>
        </row>
        <row r="437">
          <cell r="A437">
            <v>3714660</v>
          </cell>
          <cell r="B437" t="str">
            <v>機能Ｆ　ラベル福島開</v>
          </cell>
          <cell r="C437" t="str">
            <v>プロセス材１課</v>
          </cell>
          <cell r="D437" t="str">
            <v>ダミー担当者</v>
          </cell>
          <cell r="E437" t="str">
            <v>リンテック㈱</v>
          </cell>
          <cell r="F437">
            <v>3</v>
          </cell>
          <cell r="G437" t="str">
            <v>U</v>
          </cell>
          <cell r="H437" t="str">
            <v>N</v>
          </cell>
          <cell r="I437" t="str">
            <v>MCLB</v>
          </cell>
          <cell r="K437" t="str">
            <v>HLGTV</v>
          </cell>
          <cell r="L437">
            <v>25</v>
          </cell>
          <cell r="M437" t="str">
            <v>メタルミー　ヘヤライン銀艶　Ｖ</v>
          </cell>
          <cell r="N437">
            <v>1005</v>
          </cell>
          <cell r="O437">
            <v>1000</v>
          </cell>
          <cell r="P437">
            <v>2000</v>
          </cell>
          <cell r="Q437">
            <v>2</v>
          </cell>
        </row>
        <row r="438">
          <cell r="A438">
            <v>3714660</v>
          </cell>
          <cell r="B438" t="str">
            <v>機能Ｆ　ラベル福島開</v>
          </cell>
          <cell r="C438" t="str">
            <v>プロセス材１課</v>
          </cell>
          <cell r="D438" t="str">
            <v>ダミー担当者</v>
          </cell>
          <cell r="E438" t="str">
            <v>リンテック㈱</v>
          </cell>
          <cell r="F438">
            <v>3</v>
          </cell>
          <cell r="G438" t="str">
            <v>U</v>
          </cell>
          <cell r="H438" t="str">
            <v>N</v>
          </cell>
          <cell r="I438" t="str">
            <v>MCLB</v>
          </cell>
          <cell r="K438" t="str">
            <v>HLGTV</v>
          </cell>
          <cell r="L438">
            <v>25</v>
          </cell>
          <cell r="M438" t="str">
            <v>メタルミー　ヘヤライン銀艶　Ｖ</v>
          </cell>
          <cell r="N438">
            <v>1005</v>
          </cell>
          <cell r="O438">
            <v>1000</v>
          </cell>
          <cell r="P438">
            <v>6000</v>
          </cell>
          <cell r="Q438">
            <v>2</v>
          </cell>
        </row>
        <row r="439">
          <cell r="A439">
            <v>3715368</v>
          </cell>
          <cell r="B439" t="str">
            <v>機能Ｆ　ラベル福島原</v>
          </cell>
          <cell r="C439" t="str">
            <v>プロセス材１課</v>
          </cell>
          <cell r="D439" t="str">
            <v>ダミー担当者</v>
          </cell>
          <cell r="E439" t="str">
            <v>リンテック㈱</v>
          </cell>
          <cell r="F439">
            <v>3</v>
          </cell>
          <cell r="G439" t="str">
            <v>T</v>
          </cell>
          <cell r="H439" t="str">
            <v>N</v>
          </cell>
          <cell r="I439" t="str">
            <v>MCLB</v>
          </cell>
          <cell r="K439" t="str">
            <v>HLKTV</v>
          </cell>
          <cell r="L439">
            <v>50</v>
          </cell>
          <cell r="M439" t="str">
            <v>メタルミー　ヘヤライン金艶Ｖ</v>
          </cell>
          <cell r="N439">
            <v>1000</v>
          </cell>
          <cell r="O439">
            <v>1000</v>
          </cell>
          <cell r="P439">
            <v>2000</v>
          </cell>
          <cell r="Q439">
            <v>2</v>
          </cell>
        </row>
        <row r="440">
          <cell r="A440">
            <v>3716240</v>
          </cell>
          <cell r="B440" t="str">
            <v>福島コーティング</v>
          </cell>
          <cell r="C440" t="str">
            <v>大阪光学機能材課</v>
          </cell>
          <cell r="D440" t="str">
            <v>ダミー担当者</v>
          </cell>
          <cell r="E440" t="str">
            <v>五洋紙工㈱</v>
          </cell>
          <cell r="F440">
            <v>3</v>
          </cell>
          <cell r="G440" t="str">
            <v>S</v>
          </cell>
          <cell r="H440" t="str">
            <v>N</v>
          </cell>
          <cell r="I440" t="str">
            <v>MLB</v>
          </cell>
          <cell r="K440" t="str">
            <v>MDMSJF</v>
          </cell>
          <cell r="L440">
            <v>50</v>
          </cell>
          <cell r="M440" t="str">
            <v>ＤＭＳ蒸着（Ｘ－４４）</v>
          </cell>
          <cell r="N440">
            <v>1020</v>
          </cell>
          <cell r="O440">
            <v>1000</v>
          </cell>
          <cell r="P440">
            <v>2000</v>
          </cell>
          <cell r="Q440">
            <v>2</v>
          </cell>
        </row>
        <row r="441">
          <cell r="A441">
            <v>3716243</v>
          </cell>
          <cell r="B441" t="str">
            <v>福島コーティング</v>
          </cell>
          <cell r="C441" t="str">
            <v>プロセス材２課</v>
          </cell>
          <cell r="D441" t="str">
            <v>ダミー担当者</v>
          </cell>
          <cell r="E441" t="str">
            <v>新タック化成㈱</v>
          </cell>
          <cell r="F441">
            <v>3</v>
          </cell>
          <cell r="G441" t="str">
            <v>S</v>
          </cell>
          <cell r="H441" t="str">
            <v>N</v>
          </cell>
          <cell r="I441" t="str">
            <v>CLB</v>
          </cell>
          <cell r="K441" t="str">
            <v>LEYK</v>
          </cell>
          <cell r="L441">
            <v>25</v>
          </cell>
          <cell r="M441" t="str">
            <v>ルミラー　ＥＹＫ</v>
          </cell>
          <cell r="N441">
            <v>1120</v>
          </cell>
          <cell r="O441">
            <v>1120</v>
          </cell>
          <cell r="P441">
            <v>6000</v>
          </cell>
          <cell r="Q441">
            <v>2</v>
          </cell>
        </row>
        <row r="442">
          <cell r="A442">
            <v>3716244</v>
          </cell>
          <cell r="B442" t="str">
            <v>福島コーティング</v>
          </cell>
          <cell r="C442" t="str">
            <v>プロセス材２課</v>
          </cell>
          <cell r="D442" t="str">
            <v>ダミー担当者</v>
          </cell>
          <cell r="E442" t="str">
            <v>新タック化成㈱</v>
          </cell>
          <cell r="F442">
            <v>3</v>
          </cell>
          <cell r="G442" t="str">
            <v>S</v>
          </cell>
          <cell r="H442" t="str">
            <v>N</v>
          </cell>
          <cell r="I442" t="str">
            <v>CLB</v>
          </cell>
          <cell r="K442" t="str">
            <v>LEYK</v>
          </cell>
          <cell r="L442">
            <v>50</v>
          </cell>
          <cell r="M442" t="str">
            <v>ルミラー　ＥＹＫ</v>
          </cell>
          <cell r="N442">
            <v>1120</v>
          </cell>
          <cell r="O442">
            <v>1120</v>
          </cell>
          <cell r="P442">
            <v>6000</v>
          </cell>
          <cell r="Q442">
            <v>2</v>
          </cell>
        </row>
        <row r="443">
          <cell r="A443">
            <v>3716245</v>
          </cell>
          <cell r="B443" t="str">
            <v>福島コーティング</v>
          </cell>
          <cell r="C443" t="str">
            <v>プロセス材１課</v>
          </cell>
          <cell r="D443" t="str">
            <v>ダミー担当者</v>
          </cell>
          <cell r="E443" t="str">
            <v>リンテック㈱</v>
          </cell>
          <cell r="F443">
            <v>3</v>
          </cell>
          <cell r="G443" t="str">
            <v>S</v>
          </cell>
          <cell r="H443" t="str">
            <v>N</v>
          </cell>
          <cell r="I443" t="str">
            <v>MLB</v>
          </cell>
          <cell r="K443" t="str">
            <v>MNGKKBF</v>
          </cell>
          <cell r="L443">
            <v>25</v>
          </cell>
          <cell r="M443" t="str">
            <v>メタルミー　ネーマー銀消改　Ｂ</v>
          </cell>
          <cell r="N443">
            <v>1120</v>
          </cell>
          <cell r="O443">
            <v>1120</v>
          </cell>
          <cell r="P443">
            <v>4000</v>
          </cell>
          <cell r="Q443">
            <v>2</v>
          </cell>
        </row>
        <row r="444">
          <cell r="A444">
            <v>3716246</v>
          </cell>
          <cell r="B444" t="str">
            <v>福島コーティング</v>
          </cell>
          <cell r="C444" t="str">
            <v>プロセス材１課</v>
          </cell>
          <cell r="D444" t="str">
            <v>ダミー担当者</v>
          </cell>
          <cell r="E444" t="str">
            <v>リンテック㈱</v>
          </cell>
          <cell r="F444">
            <v>3</v>
          </cell>
          <cell r="G444" t="str">
            <v>S</v>
          </cell>
          <cell r="H444" t="str">
            <v>N</v>
          </cell>
          <cell r="I444" t="str">
            <v>MLB</v>
          </cell>
          <cell r="K444" t="str">
            <v>MNGKKBF</v>
          </cell>
          <cell r="L444">
            <v>50</v>
          </cell>
          <cell r="M444" t="str">
            <v>メタルミー　ネーマー銀消改　Ｂ</v>
          </cell>
          <cell r="N444">
            <v>1000</v>
          </cell>
          <cell r="O444">
            <v>1000</v>
          </cell>
          <cell r="P444">
            <v>4000</v>
          </cell>
          <cell r="Q444">
            <v>2</v>
          </cell>
        </row>
        <row r="445">
          <cell r="A445">
            <v>3716247</v>
          </cell>
          <cell r="B445" t="str">
            <v>福島コーティング</v>
          </cell>
          <cell r="C445" t="str">
            <v>プロセス材１課</v>
          </cell>
          <cell r="D445" t="str">
            <v>ダミー担当者</v>
          </cell>
          <cell r="E445" t="str">
            <v>リンテック㈱</v>
          </cell>
          <cell r="F445">
            <v>3</v>
          </cell>
          <cell r="G445" t="str">
            <v>S</v>
          </cell>
          <cell r="H445" t="str">
            <v>N</v>
          </cell>
          <cell r="I445" t="str">
            <v>MLB</v>
          </cell>
          <cell r="K445" t="str">
            <v>MNGKKBF</v>
          </cell>
          <cell r="L445">
            <v>50</v>
          </cell>
          <cell r="M445" t="str">
            <v>メタルミー　ネーマー銀消改　Ｂ</v>
          </cell>
          <cell r="N445">
            <v>1120</v>
          </cell>
          <cell r="O445">
            <v>1120</v>
          </cell>
          <cell r="P445">
            <v>4000</v>
          </cell>
          <cell r="Q445">
            <v>2</v>
          </cell>
        </row>
        <row r="446">
          <cell r="A446">
            <v>3716248</v>
          </cell>
          <cell r="B446" t="str">
            <v>福島コーティング</v>
          </cell>
          <cell r="C446" t="str">
            <v>プロセス材１課</v>
          </cell>
          <cell r="D446" t="str">
            <v>ダミー担当者</v>
          </cell>
          <cell r="E446" t="str">
            <v>リンテック㈱</v>
          </cell>
          <cell r="F446">
            <v>3</v>
          </cell>
          <cell r="G446" t="str">
            <v>S</v>
          </cell>
          <cell r="H446" t="str">
            <v>N</v>
          </cell>
          <cell r="I446" t="str">
            <v>MLB</v>
          </cell>
          <cell r="K446" t="str">
            <v>MNGKKBF</v>
          </cell>
          <cell r="L446">
            <v>50</v>
          </cell>
          <cell r="M446" t="str">
            <v>メタルミー　ネーマー銀消改　Ｂ</v>
          </cell>
          <cell r="N446">
            <v>1120</v>
          </cell>
          <cell r="O446">
            <v>1120</v>
          </cell>
          <cell r="P446">
            <v>4000</v>
          </cell>
          <cell r="Q446">
            <v>2</v>
          </cell>
        </row>
        <row r="447">
          <cell r="A447">
            <v>3716249</v>
          </cell>
          <cell r="B447" t="str">
            <v>福島コーティング</v>
          </cell>
          <cell r="C447" t="str">
            <v>プロセス材１課</v>
          </cell>
          <cell r="D447" t="str">
            <v>ダミー担当者</v>
          </cell>
          <cell r="E447" t="str">
            <v>リンテック㈱</v>
          </cell>
          <cell r="F447">
            <v>3</v>
          </cell>
          <cell r="G447" t="str">
            <v>S</v>
          </cell>
          <cell r="H447" t="str">
            <v>N</v>
          </cell>
          <cell r="I447" t="str">
            <v>MLB</v>
          </cell>
          <cell r="K447" t="str">
            <v>MNGKBF</v>
          </cell>
          <cell r="L447">
            <v>38</v>
          </cell>
          <cell r="M447" t="str">
            <v>メタルミー　ネーマー銀消　Ｂ</v>
          </cell>
          <cell r="N447">
            <v>1005</v>
          </cell>
          <cell r="O447">
            <v>1000</v>
          </cell>
          <cell r="P447">
            <v>4000</v>
          </cell>
          <cell r="Q447">
            <v>2</v>
          </cell>
        </row>
        <row r="448">
          <cell r="A448">
            <v>3716250</v>
          </cell>
          <cell r="B448" t="str">
            <v>福島コーティング</v>
          </cell>
          <cell r="C448" t="str">
            <v>プロセス材１課</v>
          </cell>
          <cell r="D448" t="str">
            <v>ダミー担当者</v>
          </cell>
          <cell r="E448" t="str">
            <v>リンテック㈱</v>
          </cell>
          <cell r="F448">
            <v>3</v>
          </cell>
          <cell r="G448" t="str">
            <v>S</v>
          </cell>
          <cell r="H448" t="str">
            <v>N</v>
          </cell>
          <cell r="I448" t="str">
            <v>MLB</v>
          </cell>
          <cell r="K448" t="str">
            <v>MNGKBF</v>
          </cell>
          <cell r="L448">
            <v>25</v>
          </cell>
          <cell r="M448" t="str">
            <v>メタルミー　ネーマー銀消　Ｂ　Ｇコート用</v>
          </cell>
          <cell r="N448">
            <v>1050</v>
          </cell>
          <cell r="O448">
            <v>1050</v>
          </cell>
          <cell r="P448">
            <v>4000</v>
          </cell>
          <cell r="Q448">
            <v>2</v>
          </cell>
        </row>
        <row r="449">
          <cell r="A449">
            <v>3716251</v>
          </cell>
          <cell r="B449" t="str">
            <v>福島コーティング</v>
          </cell>
          <cell r="C449" t="str">
            <v>プロセス材１課</v>
          </cell>
          <cell r="D449" t="str">
            <v>ダミー担当者</v>
          </cell>
          <cell r="E449" t="str">
            <v>リンテック㈱</v>
          </cell>
          <cell r="F449">
            <v>3</v>
          </cell>
          <cell r="G449" t="str">
            <v>S</v>
          </cell>
          <cell r="H449" t="str">
            <v>N</v>
          </cell>
          <cell r="I449" t="str">
            <v>MLB</v>
          </cell>
          <cell r="K449" t="str">
            <v>MNGKBF</v>
          </cell>
          <cell r="L449">
            <v>50</v>
          </cell>
          <cell r="M449" t="str">
            <v>メタルミー　ネーマー銀消　Ｂ</v>
          </cell>
          <cell r="N449">
            <v>1050</v>
          </cell>
          <cell r="O449">
            <v>1050</v>
          </cell>
          <cell r="P449">
            <v>4100</v>
          </cell>
          <cell r="Q449">
            <v>2</v>
          </cell>
        </row>
        <row r="450">
          <cell r="A450">
            <v>3716252</v>
          </cell>
          <cell r="B450" t="str">
            <v>福島コーティング</v>
          </cell>
          <cell r="C450" t="str">
            <v>プロセス材１課</v>
          </cell>
          <cell r="D450" t="str">
            <v>ダミー担当者</v>
          </cell>
          <cell r="E450" t="str">
            <v>リンテック㈱</v>
          </cell>
          <cell r="F450">
            <v>3</v>
          </cell>
          <cell r="G450" t="str">
            <v>S</v>
          </cell>
          <cell r="H450" t="str">
            <v>N</v>
          </cell>
          <cell r="I450" t="str">
            <v>MLB</v>
          </cell>
          <cell r="K450" t="str">
            <v>MNGKBF</v>
          </cell>
          <cell r="L450">
            <v>50</v>
          </cell>
          <cell r="M450" t="str">
            <v>メタルミー　ネーマー銀消　Ｂ</v>
          </cell>
          <cell r="N450">
            <v>1170</v>
          </cell>
          <cell r="O450">
            <v>1170</v>
          </cell>
          <cell r="P450">
            <v>4000</v>
          </cell>
          <cell r="Q450">
            <v>2</v>
          </cell>
        </row>
        <row r="451">
          <cell r="A451">
            <v>3716253</v>
          </cell>
          <cell r="B451" t="str">
            <v>福島コーティング</v>
          </cell>
          <cell r="C451" t="str">
            <v>プロセス材１課</v>
          </cell>
          <cell r="D451" t="str">
            <v>ダミー担当者</v>
          </cell>
          <cell r="E451" t="str">
            <v>リンテック㈱</v>
          </cell>
          <cell r="F451">
            <v>3</v>
          </cell>
          <cell r="G451" t="str">
            <v>S</v>
          </cell>
          <cell r="H451" t="str">
            <v>N</v>
          </cell>
          <cell r="I451" t="str">
            <v>MLB</v>
          </cell>
          <cell r="K451" t="str">
            <v>MNGKBF</v>
          </cell>
          <cell r="L451">
            <v>75</v>
          </cell>
          <cell r="M451" t="str">
            <v>メタルミー　ネーマー銀消　Ｂ</v>
          </cell>
          <cell r="N451">
            <v>1050</v>
          </cell>
          <cell r="O451">
            <v>1050</v>
          </cell>
          <cell r="P451">
            <v>2000</v>
          </cell>
          <cell r="Q451">
            <v>2</v>
          </cell>
        </row>
        <row r="452">
          <cell r="A452">
            <v>3716254</v>
          </cell>
          <cell r="B452" t="str">
            <v>福島コーティング</v>
          </cell>
          <cell r="C452" t="str">
            <v>プロセス材１課</v>
          </cell>
          <cell r="D452" t="str">
            <v>ダミー担当者</v>
          </cell>
          <cell r="E452" t="str">
            <v>リンテック㈱</v>
          </cell>
          <cell r="F452">
            <v>3</v>
          </cell>
          <cell r="G452" t="str">
            <v>S</v>
          </cell>
          <cell r="H452" t="str">
            <v>N</v>
          </cell>
          <cell r="I452" t="str">
            <v>MCLB</v>
          </cell>
          <cell r="K452" t="str">
            <v>NGKVB</v>
          </cell>
          <cell r="L452">
            <v>50</v>
          </cell>
          <cell r="M452" t="str">
            <v>メタルミー　ネーマー銀消　ＶＢ</v>
          </cell>
          <cell r="N452">
            <v>1005</v>
          </cell>
          <cell r="O452">
            <v>1000</v>
          </cell>
          <cell r="P452">
            <v>4000</v>
          </cell>
          <cell r="Q452">
            <v>2</v>
          </cell>
        </row>
        <row r="453">
          <cell r="A453">
            <v>3716255</v>
          </cell>
          <cell r="B453" t="str">
            <v>福島コーティング</v>
          </cell>
          <cell r="C453" t="str">
            <v>プロセス材１課</v>
          </cell>
          <cell r="D453" t="str">
            <v>ダミー担当者</v>
          </cell>
          <cell r="E453" t="str">
            <v>リンテック㈱</v>
          </cell>
          <cell r="F453">
            <v>3</v>
          </cell>
          <cell r="G453" t="str">
            <v>S</v>
          </cell>
          <cell r="H453" t="str">
            <v>N</v>
          </cell>
          <cell r="I453" t="str">
            <v>MLB</v>
          </cell>
          <cell r="K453" t="str">
            <v>MNGTBF</v>
          </cell>
          <cell r="L453">
            <v>25</v>
          </cell>
          <cell r="M453" t="str">
            <v>メタルミー　ネーマー　銀艶　Ｂ</v>
          </cell>
          <cell r="N453">
            <v>1005</v>
          </cell>
          <cell r="O453">
            <v>1000</v>
          </cell>
          <cell r="P453">
            <v>4000</v>
          </cell>
          <cell r="Q453">
            <v>2</v>
          </cell>
        </row>
        <row r="454">
          <cell r="A454">
            <v>3716256</v>
          </cell>
          <cell r="B454" t="str">
            <v>福島コーティング</v>
          </cell>
          <cell r="C454" t="str">
            <v>プロセス材１課</v>
          </cell>
          <cell r="D454" t="str">
            <v>ダミー担当者</v>
          </cell>
          <cell r="E454" t="str">
            <v>リンテック㈱</v>
          </cell>
          <cell r="F454">
            <v>3</v>
          </cell>
          <cell r="G454" t="str">
            <v>S</v>
          </cell>
          <cell r="H454" t="str">
            <v>N</v>
          </cell>
          <cell r="I454" t="str">
            <v>MLB</v>
          </cell>
          <cell r="K454" t="str">
            <v>MNGTBF</v>
          </cell>
          <cell r="L454">
            <v>25</v>
          </cell>
          <cell r="M454" t="str">
            <v>メタルミー　ネーマー　銀艶　Ｂ</v>
          </cell>
          <cell r="N454">
            <v>1125</v>
          </cell>
          <cell r="O454">
            <v>1120</v>
          </cell>
          <cell r="P454">
            <v>4000</v>
          </cell>
          <cell r="Q454">
            <v>2</v>
          </cell>
        </row>
        <row r="455">
          <cell r="A455">
            <v>3716257</v>
          </cell>
          <cell r="B455" t="str">
            <v>福島コーティング</v>
          </cell>
          <cell r="C455" t="str">
            <v>プロセス材１課</v>
          </cell>
          <cell r="D455" t="str">
            <v>ダミー担当者</v>
          </cell>
          <cell r="E455" t="str">
            <v>リンテック㈱</v>
          </cell>
          <cell r="F455">
            <v>3</v>
          </cell>
          <cell r="G455" t="str">
            <v>S</v>
          </cell>
          <cell r="H455" t="str">
            <v>N</v>
          </cell>
          <cell r="I455" t="str">
            <v>MLB</v>
          </cell>
          <cell r="K455" t="str">
            <v>MNGTBF</v>
          </cell>
          <cell r="L455">
            <v>50</v>
          </cell>
          <cell r="M455" t="str">
            <v>メタルミー　ネーマー　銀艶　Ｂ</v>
          </cell>
          <cell r="N455">
            <v>1120</v>
          </cell>
          <cell r="O455">
            <v>1120</v>
          </cell>
          <cell r="P455">
            <v>5000</v>
          </cell>
          <cell r="Q455">
            <v>2</v>
          </cell>
        </row>
        <row r="456">
          <cell r="A456">
            <v>3716258</v>
          </cell>
          <cell r="B456" t="str">
            <v>福島コーティング</v>
          </cell>
          <cell r="C456" t="str">
            <v>プロセス材１課</v>
          </cell>
          <cell r="D456" t="str">
            <v>ダミー担当者</v>
          </cell>
          <cell r="E456" t="str">
            <v>リンテック㈱</v>
          </cell>
          <cell r="F456">
            <v>3</v>
          </cell>
          <cell r="G456" t="str">
            <v>S</v>
          </cell>
          <cell r="H456" t="str">
            <v>N</v>
          </cell>
          <cell r="I456" t="str">
            <v>MLB</v>
          </cell>
          <cell r="K456" t="str">
            <v>MNGTBF</v>
          </cell>
          <cell r="L456">
            <v>50</v>
          </cell>
          <cell r="M456" t="str">
            <v>メタルミー　ネーマー　銀艶　Ｂ</v>
          </cell>
          <cell r="N456">
            <v>1120</v>
          </cell>
          <cell r="O456">
            <v>1120</v>
          </cell>
          <cell r="P456">
            <v>5000</v>
          </cell>
          <cell r="Q456">
            <v>2</v>
          </cell>
        </row>
        <row r="457">
          <cell r="A457">
            <v>3716259</v>
          </cell>
          <cell r="B457" t="str">
            <v>福島コーティング</v>
          </cell>
          <cell r="C457" t="str">
            <v>プロセス材１課</v>
          </cell>
          <cell r="D457" t="str">
            <v>ダミー担当者</v>
          </cell>
          <cell r="E457" t="str">
            <v>リンテック㈱</v>
          </cell>
          <cell r="F457">
            <v>3</v>
          </cell>
          <cell r="G457" t="str">
            <v>S</v>
          </cell>
          <cell r="H457" t="str">
            <v>N</v>
          </cell>
          <cell r="I457" t="str">
            <v>MLB</v>
          </cell>
          <cell r="K457" t="str">
            <v>MNGTBF</v>
          </cell>
          <cell r="L457">
            <v>50</v>
          </cell>
          <cell r="M457" t="str">
            <v>メタルミー　ネーマー　銀艶　Ｂ</v>
          </cell>
          <cell r="N457">
            <v>1120</v>
          </cell>
          <cell r="O457">
            <v>1120</v>
          </cell>
          <cell r="P457">
            <v>5000</v>
          </cell>
          <cell r="Q457">
            <v>2</v>
          </cell>
        </row>
        <row r="458">
          <cell r="A458">
            <v>3716260</v>
          </cell>
          <cell r="B458" t="str">
            <v>福島コーティング</v>
          </cell>
          <cell r="C458" t="str">
            <v>プロセス材１課</v>
          </cell>
          <cell r="D458" t="str">
            <v>ダミー担当者</v>
          </cell>
          <cell r="E458" t="str">
            <v>リンテック㈱</v>
          </cell>
          <cell r="F458">
            <v>3</v>
          </cell>
          <cell r="G458" t="str">
            <v>S</v>
          </cell>
          <cell r="H458" t="str">
            <v>N</v>
          </cell>
          <cell r="I458" t="str">
            <v>MLB</v>
          </cell>
          <cell r="K458" t="str">
            <v>MNGTBF</v>
          </cell>
          <cell r="L458">
            <v>50</v>
          </cell>
          <cell r="M458" t="str">
            <v>メタルミー　ネーマー　銀艶　Ｂ</v>
          </cell>
          <cell r="N458">
            <v>1120</v>
          </cell>
          <cell r="O458">
            <v>1120</v>
          </cell>
          <cell r="P458">
            <v>5000</v>
          </cell>
          <cell r="Q458">
            <v>2</v>
          </cell>
        </row>
        <row r="459">
          <cell r="A459">
            <v>3716262</v>
          </cell>
          <cell r="B459" t="str">
            <v>福島コーティング</v>
          </cell>
          <cell r="C459" t="str">
            <v>プロセス材１課</v>
          </cell>
          <cell r="D459" t="str">
            <v>ダミー担当者</v>
          </cell>
          <cell r="E459" t="str">
            <v>リンテック㈱</v>
          </cell>
          <cell r="F459">
            <v>3</v>
          </cell>
          <cell r="G459" t="str">
            <v>S</v>
          </cell>
          <cell r="H459" t="str">
            <v>N</v>
          </cell>
          <cell r="I459" t="str">
            <v>MLB</v>
          </cell>
          <cell r="K459" t="str">
            <v>MNNGKBF</v>
          </cell>
          <cell r="L459">
            <v>25</v>
          </cell>
          <cell r="M459" t="str">
            <v>メタルミー　ニューネーマー銀消　Ｂ</v>
          </cell>
          <cell r="N459">
            <v>1005</v>
          </cell>
          <cell r="O459">
            <v>1000</v>
          </cell>
          <cell r="P459">
            <v>4000</v>
          </cell>
          <cell r="Q459">
            <v>2</v>
          </cell>
        </row>
        <row r="460">
          <cell r="A460">
            <v>3716263</v>
          </cell>
          <cell r="B460" t="str">
            <v>福島コーティング</v>
          </cell>
          <cell r="C460" t="str">
            <v>プロセス材１課</v>
          </cell>
          <cell r="D460" t="str">
            <v>ダミー担当者</v>
          </cell>
          <cell r="E460" t="str">
            <v>リンテック㈱</v>
          </cell>
          <cell r="F460">
            <v>3</v>
          </cell>
          <cell r="G460" t="str">
            <v>S</v>
          </cell>
          <cell r="H460" t="str">
            <v>N</v>
          </cell>
          <cell r="I460" t="str">
            <v>MLB</v>
          </cell>
          <cell r="K460" t="str">
            <v>MNNGKBF</v>
          </cell>
          <cell r="L460">
            <v>50</v>
          </cell>
          <cell r="M460" t="str">
            <v>メタルミー　ニューネーマー銀消　Ｂ</v>
          </cell>
          <cell r="N460">
            <v>1000</v>
          </cell>
          <cell r="O460">
            <v>1000</v>
          </cell>
          <cell r="P460">
            <v>4000</v>
          </cell>
          <cell r="Q460">
            <v>2</v>
          </cell>
        </row>
        <row r="461">
          <cell r="A461">
            <v>3716264</v>
          </cell>
          <cell r="B461" t="str">
            <v>福島コーティング</v>
          </cell>
          <cell r="C461" t="str">
            <v>プロセス材１課</v>
          </cell>
          <cell r="D461" t="str">
            <v>ダミー担当者</v>
          </cell>
          <cell r="E461" t="str">
            <v>リンテック㈱</v>
          </cell>
          <cell r="F461">
            <v>3</v>
          </cell>
          <cell r="G461" t="str">
            <v>S</v>
          </cell>
          <cell r="H461" t="str">
            <v>N</v>
          </cell>
          <cell r="I461" t="str">
            <v>MLB</v>
          </cell>
          <cell r="K461" t="str">
            <v>MNNGKBF</v>
          </cell>
          <cell r="L461">
            <v>50</v>
          </cell>
          <cell r="M461" t="str">
            <v>メタルミー　ニューネーマー銀消　Ｂ</v>
          </cell>
          <cell r="N461">
            <v>1000</v>
          </cell>
          <cell r="O461">
            <v>1000</v>
          </cell>
          <cell r="P461">
            <v>4000</v>
          </cell>
          <cell r="Q461">
            <v>2</v>
          </cell>
        </row>
        <row r="462">
          <cell r="A462">
            <v>3716265</v>
          </cell>
          <cell r="B462" t="str">
            <v>福島コーティング</v>
          </cell>
          <cell r="C462" t="str">
            <v>プロセス材１課</v>
          </cell>
          <cell r="D462" t="str">
            <v>ダミー担当者</v>
          </cell>
          <cell r="E462" t="str">
            <v>リンテック㈱</v>
          </cell>
          <cell r="F462" t="str">
            <v>33S</v>
          </cell>
          <cell r="G462" t="str">
            <v>S</v>
          </cell>
          <cell r="H462" t="str">
            <v>N</v>
          </cell>
          <cell r="I462" t="str">
            <v>MCLB</v>
          </cell>
          <cell r="K462" t="str">
            <v>TEKKFV</v>
          </cell>
          <cell r="L462">
            <v>50</v>
          </cell>
          <cell r="M462" t="str">
            <v>メタルミー　ＴＥＳ消開封　Ｖ</v>
          </cell>
          <cell r="N462">
            <v>1005</v>
          </cell>
          <cell r="O462">
            <v>1000</v>
          </cell>
          <cell r="P462">
            <v>4000</v>
          </cell>
          <cell r="Q462">
            <v>2</v>
          </cell>
        </row>
        <row r="463">
          <cell r="A463">
            <v>3716267</v>
          </cell>
          <cell r="B463" t="str">
            <v>福島コーティング</v>
          </cell>
          <cell r="C463" t="str">
            <v>プロセス材１課</v>
          </cell>
          <cell r="D463" t="str">
            <v>ダミー担当者</v>
          </cell>
          <cell r="E463" t="str">
            <v>リンテック㈱</v>
          </cell>
          <cell r="F463">
            <v>3</v>
          </cell>
          <cell r="G463" t="str">
            <v>S</v>
          </cell>
          <cell r="H463" t="str">
            <v>N</v>
          </cell>
          <cell r="I463" t="str">
            <v>MLB</v>
          </cell>
          <cell r="K463" t="str">
            <v>MNQR66F</v>
          </cell>
          <cell r="L463">
            <v>25</v>
          </cell>
          <cell r="M463" t="str">
            <v>ＱＲ６６蒸着品</v>
          </cell>
          <cell r="N463">
            <v>1000</v>
          </cell>
          <cell r="O463">
            <v>1000</v>
          </cell>
          <cell r="P463">
            <v>6000</v>
          </cell>
          <cell r="Q463">
            <v>2</v>
          </cell>
        </row>
        <row r="464">
          <cell r="A464">
            <v>3716268</v>
          </cell>
          <cell r="B464" t="str">
            <v>福島コーティング</v>
          </cell>
          <cell r="C464" t="str">
            <v>プロセス材１課</v>
          </cell>
          <cell r="D464" t="str">
            <v>ダミー担当者</v>
          </cell>
          <cell r="E464" t="str">
            <v>リンテック㈱</v>
          </cell>
          <cell r="F464">
            <v>3</v>
          </cell>
          <cell r="G464" t="str">
            <v>S</v>
          </cell>
          <cell r="H464" t="str">
            <v>N</v>
          </cell>
          <cell r="I464" t="str">
            <v>MLB</v>
          </cell>
          <cell r="K464" t="str">
            <v>MNQR66F</v>
          </cell>
          <cell r="L464">
            <v>25</v>
          </cell>
          <cell r="M464" t="str">
            <v>ＱＲ６６蒸着品</v>
          </cell>
          <cell r="N464">
            <v>1100</v>
          </cell>
          <cell r="O464">
            <v>1100</v>
          </cell>
          <cell r="P464">
            <v>6000</v>
          </cell>
          <cell r="Q464">
            <v>2</v>
          </cell>
        </row>
        <row r="465">
          <cell r="A465">
            <v>3716269</v>
          </cell>
          <cell r="B465" t="str">
            <v>福島コーティング</v>
          </cell>
          <cell r="C465" t="str">
            <v>プロセス材１課</v>
          </cell>
          <cell r="D465" t="str">
            <v>ダミー担当者</v>
          </cell>
          <cell r="E465" t="str">
            <v>リンテック㈱</v>
          </cell>
          <cell r="F465">
            <v>3</v>
          </cell>
          <cell r="G465" t="str">
            <v>S</v>
          </cell>
          <cell r="H465" t="str">
            <v>N</v>
          </cell>
          <cell r="I465" t="str">
            <v>CLB</v>
          </cell>
          <cell r="K465" t="str">
            <v>LMEYK</v>
          </cell>
          <cell r="L465">
            <v>38</v>
          </cell>
          <cell r="M465" t="str">
            <v>ルミマットＥＹＫ</v>
          </cell>
          <cell r="N465">
            <v>1005</v>
          </cell>
          <cell r="O465">
            <v>1000</v>
          </cell>
          <cell r="P465">
            <v>4000</v>
          </cell>
          <cell r="Q465">
            <v>2</v>
          </cell>
        </row>
        <row r="466">
          <cell r="A466">
            <v>3716270</v>
          </cell>
          <cell r="B466" t="str">
            <v>福島コーティング</v>
          </cell>
          <cell r="C466" t="str">
            <v>プロセス材１課</v>
          </cell>
          <cell r="D466" t="str">
            <v>ダミー担当者</v>
          </cell>
          <cell r="E466" t="str">
            <v>リンテック㈱</v>
          </cell>
          <cell r="F466">
            <v>3</v>
          </cell>
          <cell r="G466" t="str">
            <v>S</v>
          </cell>
          <cell r="H466" t="str">
            <v>Y</v>
          </cell>
          <cell r="I466" t="str">
            <v>MLB</v>
          </cell>
          <cell r="K466" t="str">
            <v>MSSMBF</v>
          </cell>
          <cell r="L466">
            <v>25</v>
          </cell>
          <cell r="M466" t="str">
            <v>ＭＥＴＡＬＵＭＹ　ＳＩＬＶＥＲ　Ｓ－ＭＡＴＴＥ　Ｓ２８ＭＭ　Ｂ</v>
          </cell>
          <cell r="N466">
            <v>1120</v>
          </cell>
          <cell r="O466">
            <v>1120</v>
          </cell>
          <cell r="P466">
            <v>8000</v>
          </cell>
          <cell r="Q466">
            <v>2</v>
          </cell>
        </row>
        <row r="467">
          <cell r="A467">
            <v>3716271</v>
          </cell>
          <cell r="B467" t="str">
            <v>福島コーティング</v>
          </cell>
          <cell r="C467" t="str">
            <v>プロセス材１課</v>
          </cell>
          <cell r="D467" t="str">
            <v>ダミー担当者</v>
          </cell>
          <cell r="E467" t="str">
            <v>リンテック㈱</v>
          </cell>
          <cell r="F467">
            <v>3</v>
          </cell>
          <cell r="G467" t="str">
            <v>S</v>
          </cell>
          <cell r="H467" t="str">
            <v>Y</v>
          </cell>
          <cell r="I467" t="str">
            <v>MLB</v>
          </cell>
          <cell r="K467" t="str">
            <v>MSSMBF</v>
          </cell>
          <cell r="L467">
            <v>50</v>
          </cell>
          <cell r="M467" t="str">
            <v>ＭＥＴＡＬＵＭＹ　ＳＩＬＶＥＲ　Ｓ－ＭＡＴＴＥ　Ｓ２８ＭＭ　Ｂ</v>
          </cell>
          <cell r="N467">
            <v>1120</v>
          </cell>
          <cell r="O467">
            <v>1120</v>
          </cell>
          <cell r="P467">
            <v>4000</v>
          </cell>
          <cell r="Q467">
            <v>2</v>
          </cell>
        </row>
        <row r="468">
          <cell r="A468">
            <v>3716272</v>
          </cell>
          <cell r="B468" t="str">
            <v>福島コーティング</v>
          </cell>
          <cell r="C468" t="str">
            <v>プロセス材１課</v>
          </cell>
          <cell r="D468" t="str">
            <v>ダミー担当者</v>
          </cell>
          <cell r="E468" t="str">
            <v>リンテック㈱</v>
          </cell>
          <cell r="F468">
            <v>3</v>
          </cell>
          <cell r="G468" t="str">
            <v>S</v>
          </cell>
          <cell r="H468" t="str">
            <v>Y</v>
          </cell>
          <cell r="I468" t="str">
            <v>MLB</v>
          </cell>
          <cell r="K468" t="str">
            <v>MSNMBF</v>
          </cell>
          <cell r="L468">
            <v>50</v>
          </cell>
          <cell r="M468" t="str">
            <v>ＭＥＴＡＬＵＭＹ　ＳＩＬＶＥＲ　Ｎ－ＭＡＴＴＥ　Ｘ４４Ｍ　Ｂ</v>
          </cell>
          <cell r="N468">
            <v>1120</v>
          </cell>
          <cell r="O468">
            <v>1120</v>
          </cell>
          <cell r="P468">
            <v>4000</v>
          </cell>
          <cell r="Q468">
            <v>2</v>
          </cell>
        </row>
        <row r="469">
          <cell r="A469">
            <v>3716273</v>
          </cell>
          <cell r="B469" t="str">
            <v>福島コーティング</v>
          </cell>
          <cell r="C469" t="str">
            <v>プロセス材１課</v>
          </cell>
          <cell r="D469" t="str">
            <v>ダミー担当者</v>
          </cell>
          <cell r="E469" t="str">
            <v>リンテック㈱</v>
          </cell>
          <cell r="F469">
            <v>3</v>
          </cell>
          <cell r="G469" t="str">
            <v>S</v>
          </cell>
          <cell r="H469" t="str">
            <v>Y</v>
          </cell>
          <cell r="I469" t="str">
            <v>MLB</v>
          </cell>
          <cell r="K469" t="str">
            <v>MSNMBF</v>
          </cell>
          <cell r="L469">
            <v>50</v>
          </cell>
          <cell r="M469" t="str">
            <v>ＭＥＴＡＬＵＭＹ　ＳＩＬＶＥＲ　Ｎ－ＭＡＴＴＥ　Ｘ４４Ｍ　Ｂ</v>
          </cell>
          <cell r="N469">
            <v>1120</v>
          </cell>
          <cell r="O469">
            <v>1120</v>
          </cell>
          <cell r="P469">
            <v>4000</v>
          </cell>
          <cell r="Q469">
            <v>2</v>
          </cell>
        </row>
        <row r="470">
          <cell r="A470">
            <v>3717577</v>
          </cell>
          <cell r="B470" t="str">
            <v>福島コーティング</v>
          </cell>
          <cell r="C470" t="str">
            <v>プロセス材２課</v>
          </cell>
          <cell r="D470" t="str">
            <v>ダミー担当者</v>
          </cell>
          <cell r="E470" t="str">
            <v>新タック化成㈱</v>
          </cell>
          <cell r="F470">
            <v>3</v>
          </cell>
          <cell r="G470" t="str">
            <v>S</v>
          </cell>
          <cell r="H470" t="str">
            <v>N</v>
          </cell>
          <cell r="I470" t="str">
            <v>MCLB</v>
          </cell>
          <cell r="K470" t="str">
            <v>MSNEYK</v>
          </cell>
          <cell r="L470">
            <v>50</v>
          </cell>
          <cell r="M470" t="str">
            <v>ＭＳＮ　ＥＹＫ</v>
          </cell>
          <cell r="N470">
            <v>1120</v>
          </cell>
          <cell r="O470">
            <v>1120</v>
          </cell>
          <cell r="P470">
            <v>4000</v>
          </cell>
          <cell r="Q470">
            <v>2</v>
          </cell>
        </row>
        <row r="471">
          <cell r="A471">
            <v>3717593</v>
          </cell>
          <cell r="B471" t="str">
            <v>福島コーティング</v>
          </cell>
          <cell r="C471" t="str">
            <v>プロセス材１課</v>
          </cell>
          <cell r="D471" t="str">
            <v>ダミー担当者</v>
          </cell>
          <cell r="E471" t="str">
            <v>リンテック㈱</v>
          </cell>
          <cell r="F471">
            <v>3</v>
          </cell>
          <cell r="G471" t="str">
            <v>S</v>
          </cell>
          <cell r="H471" t="str">
            <v>N</v>
          </cell>
          <cell r="I471" t="str">
            <v>MCLB</v>
          </cell>
          <cell r="K471" t="str">
            <v>NGKVB</v>
          </cell>
          <cell r="L471">
            <v>50</v>
          </cell>
          <cell r="M471" t="str">
            <v>メタルミー　ネーマー銀消　ＶＢ</v>
          </cell>
          <cell r="N471">
            <v>1005</v>
          </cell>
          <cell r="O471">
            <v>1000</v>
          </cell>
          <cell r="P471">
            <v>4100</v>
          </cell>
          <cell r="Q471">
            <v>2</v>
          </cell>
        </row>
        <row r="472">
          <cell r="A472">
            <v>3717594</v>
          </cell>
          <cell r="B472" t="str">
            <v>福島コーティング</v>
          </cell>
          <cell r="C472" t="str">
            <v>プロセス材１課</v>
          </cell>
          <cell r="D472" t="str">
            <v>ダミー担当者</v>
          </cell>
          <cell r="E472" t="str">
            <v>リンテック㈱</v>
          </cell>
          <cell r="F472">
            <v>3</v>
          </cell>
          <cell r="G472" t="str">
            <v>S</v>
          </cell>
          <cell r="H472" t="str">
            <v>N</v>
          </cell>
          <cell r="I472" t="str">
            <v>MLB</v>
          </cell>
          <cell r="K472" t="str">
            <v>MNGKBF</v>
          </cell>
          <cell r="L472">
            <v>38</v>
          </cell>
          <cell r="M472" t="str">
            <v>メタルミー　ネーマー銀消　Ｂ</v>
          </cell>
          <cell r="N472">
            <v>1005</v>
          </cell>
          <cell r="O472">
            <v>1000</v>
          </cell>
          <cell r="P472">
            <v>4100</v>
          </cell>
          <cell r="Q472">
            <v>2</v>
          </cell>
        </row>
        <row r="473">
          <cell r="A473">
            <v>3717595</v>
          </cell>
          <cell r="B473" t="str">
            <v>機能Ｆ　ラベル福島開</v>
          </cell>
          <cell r="C473" t="str">
            <v>プロセス材１課</v>
          </cell>
          <cell r="D473" t="str">
            <v>ダミー担当者</v>
          </cell>
          <cell r="E473" t="str">
            <v>リンテック㈱</v>
          </cell>
          <cell r="F473">
            <v>3</v>
          </cell>
          <cell r="G473" t="str">
            <v>U</v>
          </cell>
          <cell r="H473" t="str">
            <v>N</v>
          </cell>
          <cell r="I473" t="str">
            <v>MCLB</v>
          </cell>
          <cell r="K473" t="str">
            <v>HLGKJV</v>
          </cell>
          <cell r="L473">
            <v>50</v>
          </cell>
          <cell r="M473" t="str">
            <v>メタルミー　ヘヤライン銀消　Ｖ</v>
          </cell>
          <cell r="N473">
            <v>1005</v>
          </cell>
          <cell r="O473">
            <v>1000</v>
          </cell>
          <cell r="P473">
            <v>2000</v>
          </cell>
          <cell r="Q473">
            <v>2</v>
          </cell>
        </row>
        <row r="474">
          <cell r="A474">
            <v>3717596</v>
          </cell>
          <cell r="B474" t="str">
            <v>機能Ｆ　ラベル福島開</v>
          </cell>
          <cell r="C474" t="str">
            <v>プロセス材１課</v>
          </cell>
          <cell r="D474" t="str">
            <v>ダミー担当者</v>
          </cell>
          <cell r="E474" t="str">
            <v>リンテック㈱</v>
          </cell>
          <cell r="F474">
            <v>3</v>
          </cell>
          <cell r="G474" t="str">
            <v>U</v>
          </cell>
          <cell r="H474" t="str">
            <v>N</v>
          </cell>
          <cell r="I474" t="str">
            <v>MCLB</v>
          </cell>
          <cell r="K474" t="str">
            <v>HLGKJV</v>
          </cell>
          <cell r="L474">
            <v>50</v>
          </cell>
          <cell r="M474" t="str">
            <v>メタルミー　ヘヤライン銀消　Ｖ</v>
          </cell>
          <cell r="N474">
            <v>1005</v>
          </cell>
          <cell r="O474">
            <v>1000</v>
          </cell>
          <cell r="P474">
            <v>2000</v>
          </cell>
          <cell r="Q474">
            <v>2</v>
          </cell>
        </row>
        <row r="475">
          <cell r="A475">
            <v>3717597</v>
          </cell>
          <cell r="B475" t="str">
            <v>機能Ｆ　ラベル福島開</v>
          </cell>
          <cell r="C475" t="str">
            <v>プロセス材１課</v>
          </cell>
          <cell r="D475" t="str">
            <v>ダミー担当者</v>
          </cell>
          <cell r="E475" t="str">
            <v>リンテック㈱</v>
          </cell>
          <cell r="F475">
            <v>3</v>
          </cell>
          <cell r="G475" t="str">
            <v>U</v>
          </cell>
          <cell r="H475" t="str">
            <v>N</v>
          </cell>
          <cell r="I475" t="str">
            <v>MCLB</v>
          </cell>
          <cell r="K475" t="str">
            <v>HLGTV</v>
          </cell>
          <cell r="L475">
            <v>25</v>
          </cell>
          <cell r="M475" t="str">
            <v>メタルミー　ヘヤライン銀艶　Ｖ</v>
          </cell>
          <cell r="N475">
            <v>1005</v>
          </cell>
          <cell r="O475">
            <v>1000</v>
          </cell>
          <cell r="P475">
            <v>2000</v>
          </cell>
          <cell r="Q475">
            <v>2</v>
          </cell>
        </row>
        <row r="476">
          <cell r="A476">
            <v>3717598</v>
          </cell>
          <cell r="B476" t="str">
            <v>機能Ｆ　ラベル福島開</v>
          </cell>
          <cell r="C476" t="str">
            <v>プロセス材１課</v>
          </cell>
          <cell r="D476" t="str">
            <v>ダミー担当者</v>
          </cell>
          <cell r="E476" t="str">
            <v>リンテック㈱</v>
          </cell>
          <cell r="F476">
            <v>3</v>
          </cell>
          <cell r="G476" t="str">
            <v>U</v>
          </cell>
          <cell r="H476" t="str">
            <v>N</v>
          </cell>
          <cell r="I476" t="str">
            <v>MCLB</v>
          </cell>
          <cell r="K476" t="str">
            <v>HLGTV</v>
          </cell>
          <cell r="L476">
            <v>25</v>
          </cell>
          <cell r="M476" t="str">
            <v>メタルミー　ヘヤライン銀艶　Ｖ</v>
          </cell>
          <cell r="N476">
            <v>1005</v>
          </cell>
          <cell r="O476">
            <v>1000</v>
          </cell>
          <cell r="P476">
            <v>6000</v>
          </cell>
          <cell r="Q476">
            <v>2</v>
          </cell>
        </row>
        <row r="477">
          <cell r="A477">
            <v>3717599</v>
          </cell>
          <cell r="B477" t="str">
            <v>機能Ｆ　ラベル福島開</v>
          </cell>
          <cell r="C477" t="str">
            <v>プロセス材１課</v>
          </cell>
          <cell r="D477" t="str">
            <v>ダミー担当者</v>
          </cell>
          <cell r="E477" t="str">
            <v>リンテック㈱</v>
          </cell>
          <cell r="F477">
            <v>3</v>
          </cell>
          <cell r="G477" t="str">
            <v>U</v>
          </cell>
          <cell r="H477" t="str">
            <v>N</v>
          </cell>
          <cell r="I477" t="str">
            <v>MCLB</v>
          </cell>
          <cell r="K477" t="str">
            <v>HLGTV</v>
          </cell>
          <cell r="L477">
            <v>50</v>
          </cell>
          <cell r="M477" t="str">
            <v>メタルミー　ヘヤライン　銀艶Ｖ</v>
          </cell>
          <cell r="N477">
            <v>1005</v>
          </cell>
          <cell r="O477">
            <v>1000</v>
          </cell>
          <cell r="P477">
            <v>4100</v>
          </cell>
          <cell r="Q477">
            <v>2</v>
          </cell>
        </row>
        <row r="478">
          <cell r="A478">
            <v>3717604</v>
          </cell>
          <cell r="B478" t="str">
            <v>機能Ｆ　ラベル福島開</v>
          </cell>
          <cell r="C478" t="str">
            <v>プロセス材１課</v>
          </cell>
          <cell r="D478" t="str">
            <v>ダミー担当者</v>
          </cell>
          <cell r="E478" t="str">
            <v>リンテック㈱</v>
          </cell>
          <cell r="F478">
            <v>3</v>
          </cell>
          <cell r="G478" t="str">
            <v>U</v>
          </cell>
          <cell r="H478" t="str">
            <v>N</v>
          </cell>
          <cell r="I478" t="str">
            <v>MCLB</v>
          </cell>
          <cell r="K478" t="str">
            <v>HLGTV</v>
          </cell>
          <cell r="L478">
            <v>25</v>
          </cell>
          <cell r="M478" t="str">
            <v>メタルミー　ヘヤライン銀艶　Ｖ</v>
          </cell>
          <cell r="N478">
            <v>1005</v>
          </cell>
          <cell r="O478">
            <v>1000</v>
          </cell>
          <cell r="P478">
            <v>2000</v>
          </cell>
          <cell r="Q478">
            <v>2</v>
          </cell>
        </row>
        <row r="479">
          <cell r="A479">
            <v>3717604</v>
          </cell>
          <cell r="B479" t="str">
            <v>機能Ｆ　ラベル福島開</v>
          </cell>
          <cell r="C479" t="str">
            <v>プロセス材１課</v>
          </cell>
          <cell r="D479" t="str">
            <v>ダミー担当者</v>
          </cell>
          <cell r="E479" t="str">
            <v>リンテック㈱</v>
          </cell>
          <cell r="F479">
            <v>3</v>
          </cell>
          <cell r="G479" t="str">
            <v>U</v>
          </cell>
          <cell r="H479" t="str">
            <v>N</v>
          </cell>
          <cell r="I479" t="str">
            <v>MCLB</v>
          </cell>
          <cell r="K479" t="str">
            <v>HLGTV</v>
          </cell>
          <cell r="L479">
            <v>25</v>
          </cell>
          <cell r="M479" t="str">
            <v>メタルミー　ヘヤライン銀艶　Ｖ</v>
          </cell>
          <cell r="N479">
            <v>1005</v>
          </cell>
          <cell r="O479">
            <v>1005</v>
          </cell>
          <cell r="P479">
            <v>6000</v>
          </cell>
          <cell r="Q479">
            <v>2</v>
          </cell>
        </row>
        <row r="480">
          <cell r="A480">
            <v>3721199</v>
          </cell>
          <cell r="B480" t="str">
            <v>福島コーティング</v>
          </cell>
          <cell r="C480" t="str">
            <v>工材１部大阪電材課</v>
          </cell>
          <cell r="D480" t="str">
            <v>ダミー担当者</v>
          </cell>
          <cell r="E480" t="str">
            <v>日東シンコー㈱</v>
          </cell>
          <cell r="F480">
            <v>3</v>
          </cell>
          <cell r="G480" t="str">
            <v>S</v>
          </cell>
          <cell r="H480" t="str">
            <v>N</v>
          </cell>
          <cell r="I480" t="str">
            <v>MLB</v>
          </cell>
          <cell r="K480" t="str">
            <v>MSF</v>
          </cell>
          <cell r="L480">
            <v>25</v>
          </cell>
          <cell r="M480" t="str">
            <v>メタルミー　Ｓ</v>
          </cell>
          <cell r="N480">
            <v>510</v>
          </cell>
          <cell r="O480">
            <v>510</v>
          </cell>
          <cell r="P480">
            <v>2000</v>
          </cell>
          <cell r="Q480">
            <v>1</v>
          </cell>
        </row>
        <row r="481">
          <cell r="A481">
            <v>3721200</v>
          </cell>
          <cell r="B481" t="str">
            <v>福島コーティング</v>
          </cell>
          <cell r="C481" t="str">
            <v>プロセス材２課</v>
          </cell>
          <cell r="D481" t="str">
            <v>ダミー担当者</v>
          </cell>
          <cell r="E481" t="str">
            <v>大阪シーリング印刷㈱</v>
          </cell>
          <cell r="F481" t="str">
            <v>3H</v>
          </cell>
          <cell r="G481" t="str">
            <v>S</v>
          </cell>
          <cell r="H481" t="str">
            <v>N</v>
          </cell>
          <cell r="I481" t="str">
            <v>MCLB</v>
          </cell>
          <cell r="K481" t="str">
            <v>EYK</v>
          </cell>
          <cell r="L481">
            <v>50</v>
          </cell>
          <cell r="M481" t="str">
            <v>メタルミー　ＥＹＫ</v>
          </cell>
          <cell r="N481">
            <v>1190</v>
          </cell>
          <cell r="O481">
            <v>1190</v>
          </cell>
          <cell r="P481">
            <v>6000</v>
          </cell>
          <cell r="Q481">
            <v>2</v>
          </cell>
        </row>
        <row r="482">
          <cell r="A482">
            <v>3721201</v>
          </cell>
          <cell r="B482" t="str">
            <v>福島コーティング</v>
          </cell>
          <cell r="C482" t="str">
            <v>プロセス材２課</v>
          </cell>
          <cell r="D482" t="str">
            <v>ダミー担当者</v>
          </cell>
          <cell r="E482" t="str">
            <v>大阪シーリング印刷㈱</v>
          </cell>
          <cell r="F482">
            <v>3</v>
          </cell>
          <cell r="G482" t="str">
            <v>S</v>
          </cell>
          <cell r="H482" t="str">
            <v>N</v>
          </cell>
          <cell r="I482" t="str">
            <v>MCLB</v>
          </cell>
          <cell r="K482" t="str">
            <v>MSNEYK</v>
          </cell>
          <cell r="L482">
            <v>50</v>
          </cell>
          <cell r="M482" t="str">
            <v>ＭＳＮ　ＥＹＫ</v>
          </cell>
          <cell r="N482">
            <v>1200</v>
          </cell>
          <cell r="O482">
            <v>1190</v>
          </cell>
          <cell r="P482">
            <v>6000</v>
          </cell>
          <cell r="Q482">
            <v>2</v>
          </cell>
        </row>
        <row r="483">
          <cell r="A483">
            <v>3721203</v>
          </cell>
          <cell r="B483" t="str">
            <v>福島コーティング</v>
          </cell>
          <cell r="C483" t="str">
            <v>プロセス材２課</v>
          </cell>
          <cell r="D483" t="str">
            <v>ダミー担当者</v>
          </cell>
          <cell r="E483" t="str">
            <v>新タック化成㈱</v>
          </cell>
          <cell r="F483">
            <v>3</v>
          </cell>
          <cell r="G483" t="str">
            <v>S</v>
          </cell>
          <cell r="H483" t="str">
            <v>N</v>
          </cell>
          <cell r="I483" t="str">
            <v>CLB</v>
          </cell>
          <cell r="K483" t="str">
            <v>LEYK</v>
          </cell>
          <cell r="L483">
            <v>25</v>
          </cell>
          <cell r="M483" t="str">
            <v>ルミラー　ＥＹＫ</v>
          </cell>
          <cell r="N483">
            <v>1120</v>
          </cell>
          <cell r="O483">
            <v>1120</v>
          </cell>
          <cell r="P483">
            <v>6000</v>
          </cell>
          <cell r="Q483">
            <v>2</v>
          </cell>
        </row>
        <row r="484">
          <cell r="A484">
            <v>3721204</v>
          </cell>
          <cell r="B484" t="str">
            <v>福島コーティング</v>
          </cell>
          <cell r="C484" t="str">
            <v>プロセス材２課</v>
          </cell>
          <cell r="D484" t="str">
            <v>ダミー担当者</v>
          </cell>
          <cell r="E484" t="str">
            <v>新タック化成㈱</v>
          </cell>
          <cell r="F484">
            <v>3</v>
          </cell>
          <cell r="G484" t="str">
            <v>S</v>
          </cell>
          <cell r="H484" t="str">
            <v>N</v>
          </cell>
          <cell r="I484" t="str">
            <v>CLB</v>
          </cell>
          <cell r="K484" t="str">
            <v>LEYK</v>
          </cell>
          <cell r="L484">
            <v>50</v>
          </cell>
          <cell r="M484" t="str">
            <v>ルミラー　ＥＹＫ</v>
          </cell>
          <cell r="N484">
            <v>1120</v>
          </cell>
          <cell r="O484">
            <v>1120</v>
          </cell>
          <cell r="P484">
            <v>6000</v>
          </cell>
          <cell r="Q484">
            <v>2</v>
          </cell>
        </row>
        <row r="485">
          <cell r="A485">
            <v>3721205</v>
          </cell>
          <cell r="B485" t="str">
            <v>福島コーティング</v>
          </cell>
          <cell r="C485" t="str">
            <v>プロセス材１課</v>
          </cell>
          <cell r="D485" t="str">
            <v>ダミー担当者</v>
          </cell>
          <cell r="E485" t="str">
            <v>リンテック㈱</v>
          </cell>
          <cell r="F485">
            <v>3</v>
          </cell>
          <cell r="G485" t="str">
            <v>S</v>
          </cell>
          <cell r="H485" t="str">
            <v>N</v>
          </cell>
          <cell r="I485" t="str">
            <v>MLB</v>
          </cell>
          <cell r="K485" t="str">
            <v>MNGKKBF</v>
          </cell>
          <cell r="L485">
            <v>25</v>
          </cell>
          <cell r="M485" t="str">
            <v>メタルミー　ネーマー銀消改　Ｂ</v>
          </cell>
          <cell r="N485">
            <v>1000</v>
          </cell>
          <cell r="O485">
            <v>1000</v>
          </cell>
          <cell r="P485">
            <v>4000</v>
          </cell>
          <cell r="Q485">
            <v>2</v>
          </cell>
        </row>
        <row r="486">
          <cell r="A486">
            <v>3721206</v>
          </cell>
          <cell r="B486" t="str">
            <v>福島コーティング</v>
          </cell>
          <cell r="C486" t="str">
            <v>プロセス材１課</v>
          </cell>
          <cell r="D486" t="str">
            <v>ダミー担当者</v>
          </cell>
          <cell r="E486" t="str">
            <v>リンテック㈱</v>
          </cell>
          <cell r="F486">
            <v>3</v>
          </cell>
          <cell r="G486" t="str">
            <v>S</v>
          </cell>
          <cell r="H486" t="str">
            <v>N</v>
          </cell>
          <cell r="I486" t="str">
            <v>MLB</v>
          </cell>
          <cell r="K486" t="str">
            <v>MNGKKBF</v>
          </cell>
          <cell r="L486">
            <v>25</v>
          </cell>
          <cell r="M486" t="str">
            <v>メタルミー　ネーマー銀消改　Ｂ</v>
          </cell>
          <cell r="N486">
            <v>1120</v>
          </cell>
          <cell r="O486">
            <v>1120</v>
          </cell>
          <cell r="P486">
            <v>4000</v>
          </cell>
          <cell r="Q486">
            <v>2</v>
          </cell>
        </row>
        <row r="487">
          <cell r="A487">
            <v>3721207</v>
          </cell>
          <cell r="B487" t="str">
            <v>福島コーティング</v>
          </cell>
          <cell r="C487" t="str">
            <v>プロセス材１課</v>
          </cell>
          <cell r="D487" t="str">
            <v>ダミー担当者</v>
          </cell>
          <cell r="E487" t="str">
            <v>リンテック㈱</v>
          </cell>
          <cell r="F487">
            <v>3</v>
          </cell>
          <cell r="G487" t="str">
            <v>S</v>
          </cell>
          <cell r="H487" t="str">
            <v>N</v>
          </cell>
          <cell r="I487" t="str">
            <v>MLB</v>
          </cell>
          <cell r="K487" t="str">
            <v>MNGKKBF</v>
          </cell>
          <cell r="L487">
            <v>50</v>
          </cell>
          <cell r="M487" t="str">
            <v>メタルミー　ネーマー銀消改　Ｂ</v>
          </cell>
          <cell r="N487">
            <v>1120</v>
          </cell>
          <cell r="O487">
            <v>1120</v>
          </cell>
          <cell r="P487">
            <v>4000</v>
          </cell>
          <cell r="Q487">
            <v>2</v>
          </cell>
        </row>
        <row r="488">
          <cell r="A488">
            <v>3721208</v>
          </cell>
          <cell r="B488" t="str">
            <v>福島コーティング</v>
          </cell>
          <cell r="C488" t="str">
            <v>プロセス材１課</v>
          </cell>
          <cell r="D488" t="str">
            <v>ダミー担当者</v>
          </cell>
          <cell r="E488" t="str">
            <v>リンテック㈱</v>
          </cell>
          <cell r="F488">
            <v>3</v>
          </cell>
          <cell r="G488" t="str">
            <v>S</v>
          </cell>
          <cell r="H488" t="str">
            <v>N</v>
          </cell>
          <cell r="I488" t="str">
            <v>MLB</v>
          </cell>
          <cell r="K488" t="str">
            <v>MNGKKBF</v>
          </cell>
          <cell r="L488">
            <v>50</v>
          </cell>
          <cell r="M488" t="str">
            <v>メタルミー　ネーマー銀消改　Ｂ</v>
          </cell>
          <cell r="N488">
            <v>1120</v>
          </cell>
          <cell r="O488">
            <v>1120</v>
          </cell>
          <cell r="P488">
            <v>4000</v>
          </cell>
          <cell r="Q488">
            <v>2</v>
          </cell>
        </row>
        <row r="489">
          <cell r="A489">
            <v>3721209</v>
          </cell>
          <cell r="B489" t="str">
            <v>福島コーティング</v>
          </cell>
          <cell r="C489" t="str">
            <v>プロセス材１課</v>
          </cell>
          <cell r="D489" t="str">
            <v>ダミー担当者</v>
          </cell>
          <cell r="E489" t="str">
            <v>リンテック㈱</v>
          </cell>
          <cell r="F489">
            <v>3</v>
          </cell>
          <cell r="G489" t="str">
            <v>S</v>
          </cell>
          <cell r="H489" t="str">
            <v>N</v>
          </cell>
          <cell r="I489" t="str">
            <v>MLB</v>
          </cell>
          <cell r="K489" t="str">
            <v>MNGKBF</v>
          </cell>
          <cell r="L489">
            <v>50</v>
          </cell>
          <cell r="M489" t="str">
            <v>メタルミー　ネーマー銀消　Ｂ</v>
          </cell>
          <cell r="N489">
            <v>1050</v>
          </cell>
          <cell r="O489">
            <v>1050</v>
          </cell>
          <cell r="P489">
            <v>4100</v>
          </cell>
          <cell r="Q489">
            <v>2</v>
          </cell>
        </row>
        <row r="490">
          <cell r="A490">
            <v>3721210</v>
          </cell>
          <cell r="B490" t="str">
            <v>福島コーティング</v>
          </cell>
          <cell r="C490" t="str">
            <v>プロセス材１課</v>
          </cell>
          <cell r="D490" t="str">
            <v>ダミー担当者</v>
          </cell>
          <cell r="E490" t="str">
            <v>リンテック㈱</v>
          </cell>
          <cell r="F490">
            <v>3</v>
          </cell>
          <cell r="G490" t="str">
            <v>S</v>
          </cell>
          <cell r="H490" t="str">
            <v>N</v>
          </cell>
          <cell r="I490" t="str">
            <v>MLB</v>
          </cell>
          <cell r="K490" t="str">
            <v>MNGKBF</v>
          </cell>
          <cell r="L490">
            <v>75</v>
          </cell>
          <cell r="M490" t="str">
            <v>メタルミー　ネーマー銀消　Ｂ</v>
          </cell>
          <cell r="N490">
            <v>1050</v>
          </cell>
          <cell r="O490">
            <v>1050</v>
          </cell>
          <cell r="P490">
            <v>2000</v>
          </cell>
          <cell r="Q490">
            <v>2</v>
          </cell>
        </row>
        <row r="491">
          <cell r="A491">
            <v>3721211</v>
          </cell>
          <cell r="B491" t="str">
            <v>福島コーティング</v>
          </cell>
          <cell r="C491" t="str">
            <v>プロセス材１課</v>
          </cell>
          <cell r="D491" t="str">
            <v>ダミー担当者</v>
          </cell>
          <cell r="E491" t="str">
            <v>リンテック㈱</v>
          </cell>
          <cell r="F491">
            <v>3</v>
          </cell>
          <cell r="G491" t="str">
            <v>S</v>
          </cell>
          <cell r="H491" t="str">
            <v>N</v>
          </cell>
          <cell r="I491" t="str">
            <v>MCLB</v>
          </cell>
          <cell r="K491" t="str">
            <v>NGKVB</v>
          </cell>
          <cell r="L491">
            <v>50</v>
          </cell>
          <cell r="M491" t="str">
            <v>メタルミー　ネーマー銀消　ＶＢ</v>
          </cell>
          <cell r="N491">
            <v>1005</v>
          </cell>
          <cell r="O491">
            <v>1000</v>
          </cell>
          <cell r="P491">
            <v>4100</v>
          </cell>
          <cell r="Q491">
            <v>2</v>
          </cell>
        </row>
        <row r="492">
          <cell r="A492">
            <v>3721213</v>
          </cell>
          <cell r="B492" t="str">
            <v>福島コーティング</v>
          </cell>
          <cell r="C492" t="str">
            <v>プロセス材１課</v>
          </cell>
          <cell r="D492" t="str">
            <v>ダミー担当者</v>
          </cell>
          <cell r="E492" t="str">
            <v>リンテック㈱</v>
          </cell>
          <cell r="F492">
            <v>3</v>
          </cell>
          <cell r="G492" t="str">
            <v>S</v>
          </cell>
          <cell r="H492" t="str">
            <v>N</v>
          </cell>
          <cell r="I492" t="str">
            <v>MLB</v>
          </cell>
          <cell r="K492" t="str">
            <v>MNGTBF</v>
          </cell>
          <cell r="L492">
            <v>25</v>
          </cell>
          <cell r="M492" t="str">
            <v>メタルミー　ネーマー　銀艶　Ｂ</v>
          </cell>
          <cell r="N492">
            <v>1005</v>
          </cell>
          <cell r="O492">
            <v>1000</v>
          </cell>
          <cell r="P492">
            <v>4000</v>
          </cell>
          <cell r="Q492">
            <v>2</v>
          </cell>
        </row>
        <row r="493">
          <cell r="A493">
            <v>3721214</v>
          </cell>
          <cell r="B493" t="str">
            <v>福島コーティング</v>
          </cell>
          <cell r="C493" t="str">
            <v>プロセス材１課</v>
          </cell>
          <cell r="D493" t="str">
            <v>ダミー担当者</v>
          </cell>
          <cell r="E493" t="str">
            <v>リンテック㈱</v>
          </cell>
          <cell r="F493">
            <v>3</v>
          </cell>
          <cell r="G493" t="str">
            <v>S</v>
          </cell>
          <cell r="H493" t="str">
            <v>N</v>
          </cell>
          <cell r="I493" t="str">
            <v>MLB</v>
          </cell>
          <cell r="K493" t="str">
            <v>MNGTBF</v>
          </cell>
          <cell r="L493">
            <v>50</v>
          </cell>
          <cell r="M493" t="str">
            <v>メタルミー　ネーマー　銀艶　Ｂ</v>
          </cell>
          <cell r="N493">
            <v>1120</v>
          </cell>
          <cell r="O493">
            <v>1120</v>
          </cell>
          <cell r="P493">
            <v>5000</v>
          </cell>
          <cell r="Q493">
            <v>2</v>
          </cell>
        </row>
        <row r="494">
          <cell r="A494">
            <v>3721215</v>
          </cell>
          <cell r="B494" t="str">
            <v>福島コーティング</v>
          </cell>
          <cell r="C494" t="str">
            <v>プロセス材１課</v>
          </cell>
          <cell r="D494" t="str">
            <v>ダミー担当者</v>
          </cell>
          <cell r="E494" t="str">
            <v>リンテック㈱</v>
          </cell>
          <cell r="F494">
            <v>3</v>
          </cell>
          <cell r="G494" t="str">
            <v>S</v>
          </cell>
          <cell r="H494" t="str">
            <v>N</v>
          </cell>
          <cell r="I494" t="str">
            <v>MLB</v>
          </cell>
          <cell r="K494" t="str">
            <v>MNGTBF</v>
          </cell>
          <cell r="L494">
            <v>50</v>
          </cell>
          <cell r="M494" t="str">
            <v>メタルミー　ネーマー　銀艶　Ｂ</v>
          </cell>
          <cell r="N494">
            <v>1120</v>
          </cell>
          <cell r="O494">
            <v>1120</v>
          </cell>
          <cell r="P494">
            <v>5000</v>
          </cell>
          <cell r="Q494">
            <v>2</v>
          </cell>
        </row>
        <row r="495">
          <cell r="A495">
            <v>3721216</v>
          </cell>
          <cell r="B495" t="str">
            <v>福島コーティング</v>
          </cell>
          <cell r="C495" t="str">
            <v>プロセス材１課</v>
          </cell>
          <cell r="D495" t="str">
            <v>ダミー担当者</v>
          </cell>
          <cell r="E495" t="str">
            <v>リンテック㈱</v>
          </cell>
          <cell r="F495">
            <v>3</v>
          </cell>
          <cell r="G495" t="str">
            <v>S</v>
          </cell>
          <cell r="H495" t="str">
            <v>N</v>
          </cell>
          <cell r="I495" t="str">
            <v>MLB</v>
          </cell>
          <cell r="K495" t="str">
            <v>MNGTBF</v>
          </cell>
          <cell r="L495">
            <v>50</v>
          </cell>
          <cell r="M495" t="str">
            <v>メタルミー　ネーマー　銀艶　Ｂ</v>
          </cell>
          <cell r="N495">
            <v>1120</v>
          </cell>
          <cell r="O495">
            <v>1120</v>
          </cell>
          <cell r="P495">
            <v>5000</v>
          </cell>
          <cell r="Q495">
            <v>2</v>
          </cell>
        </row>
        <row r="496">
          <cell r="A496">
            <v>3721217</v>
          </cell>
          <cell r="B496" t="str">
            <v>福島コーティング</v>
          </cell>
          <cell r="C496" t="str">
            <v>プロセス材１課</v>
          </cell>
          <cell r="D496" t="str">
            <v>ダミー担当者</v>
          </cell>
          <cell r="E496" t="str">
            <v>リンテック㈱</v>
          </cell>
          <cell r="F496">
            <v>3</v>
          </cell>
          <cell r="G496" t="str">
            <v>S</v>
          </cell>
          <cell r="H496" t="str">
            <v>N</v>
          </cell>
          <cell r="I496" t="str">
            <v>MLB</v>
          </cell>
          <cell r="K496" t="str">
            <v>MNGTBF</v>
          </cell>
          <cell r="L496">
            <v>50</v>
          </cell>
          <cell r="M496" t="str">
            <v>メタルミー　ネーマー　銀艶　Ｂ</v>
          </cell>
          <cell r="N496">
            <v>1120</v>
          </cell>
          <cell r="O496">
            <v>1120</v>
          </cell>
          <cell r="P496">
            <v>5000</v>
          </cell>
          <cell r="Q496">
            <v>2</v>
          </cell>
        </row>
        <row r="497">
          <cell r="A497">
            <v>3721218</v>
          </cell>
          <cell r="B497" t="str">
            <v>福島コーティング</v>
          </cell>
          <cell r="C497" t="str">
            <v>プロセス材１課</v>
          </cell>
          <cell r="D497" t="str">
            <v>ダミー担当者</v>
          </cell>
          <cell r="E497" t="str">
            <v>リンテック㈱</v>
          </cell>
          <cell r="F497">
            <v>3</v>
          </cell>
          <cell r="G497" t="str">
            <v>S</v>
          </cell>
          <cell r="H497" t="str">
            <v>N</v>
          </cell>
          <cell r="I497" t="str">
            <v>MCLB</v>
          </cell>
          <cell r="K497" t="str">
            <v>NGTVB</v>
          </cell>
          <cell r="L497">
            <v>50</v>
          </cell>
          <cell r="M497" t="str">
            <v>メタルミー　ネーマー　銀艶ＶＢ</v>
          </cell>
          <cell r="N497">
            <v>1000</v>
          </cell>
          <cell r="O497">
            <v>1000</v>
          </cell>
          <cell r="P497">
            <v>3000</v>
          </cell>
          <cell r="Q497">
            <v>2</v>
          </cell>
        </row>
        <row r="498">
          <cell r="A498">
            <v>3721219</v>
          </cell>
          <cell r="B498" t="str">
            <v>福島コーティング</v>
          </cell>
          <cell r="C498" t="str">
            <v>プロセス材１課</v>
          </cell>
          <cell r="D498" t="str">
            <v>ダミー担当者</v>
          </cell>
          <cell r="E498" t="str">
            <v>リンテック㈱</v>
          </cell>
          <cell r="F498">
            <v>3</v>
          </cell>
          <cell r="G498" t="str">
            <v>S</v>
          </cell>
          <cell r="H498" t="str">
            <v>N</v>
          </cell>
          <cell r="I498" t="str">
            <v>MLB</v>
          </cell>
          <cell r="K498" t="str">
            <v>MNNGKBF</v>
          </cell>
          <cell r="L498">
            <v>50</v>
          </cell>
          <cell r="M498" t="str">
            <v>メタルミー　ニューネーマー銀消　Ｂ</v>
          </cell>
          <cell r="N498">
            <v>1000</v>
          </cell>
          <cell r="O498">
            <v>1000</v>
          </cell>
          <cell r="P498">
            <v>4000</v>
          </cell>
          <cell r="Q498">
            <v>2</v>
          </cell>
        </row>
        <row r="499">
          <cell r="A499">
            <v>3721220</v>
          </cell>
          <cell r="B499" t="str">
            <v>福島コーティング</v>
          </cell>
          <cell r="C499" t="str">
            <v>プロセス材１課</v>
          </cell>
          <cell r="D499" t="str">
            <v>ダミー担当者</v>
          </cell>
          <cell r="E499" t="str">
            <v>リンテック㈱</v>
          </cell>
          <cell r="F499" t="str">
            <v>33S</v>
          </cell>
          <cell r="G499" t="str">
            <v>S</v>
          </cell>
          <cell r="H499" t="str">
            <v>N</v>
          </cell>
          <cell r="I499" t="str">
            <v>MCLB</v>
          </cell>
          <cell r="K499" t="str">
            <v>TEKKFV</v>
          </cell>
          <cell r="L499">
            <v>50</v>
          </cell>
          <cell r="M499" t="str">
            <v>メタルミー　ＴＥＳ消開封　Ｖ</v>
          </cell>
          <cell r="N499">
            <v>1005</v>
          </cell>
          <cell r="O499">
            <v>1000</v>
          </cell>
          <cell r="P499">
            <v>4000</v>
          </cell>
          <cell r="Q499">
            <v>2</v>
          </cell>
        </row>
        <row r="500">
          <cell r="A500">
            <v>3721221</v>
          </cell>
          <cell r="B500" t="str">
            <v>福島コーティング</v>
          </cell>
          <cell r="C500" t="str">
            <v>プロセス材１課</v>
          </cell>
          <cell r="D500" t="str">
            <v>ダミー担当者</v>
          </cell>
          <cell r="E500" t="str">
            <v>リンテック㈱</v>
          </cell>
          <cell r="F500" t="str">
            <v>33S</v>
          </cell>
          <cell r="G500" t="str">
            <v>S</v>
          </cell>
          <cell r="H500" t="str">
            <v>N</v>
          </cell>
          <cell r="I500" t="str">
            <v>MCLB</v>
          </cell>
          <cell r="K500" t="str">
            <v>TEKV0V</v>
          </cell>
          <cell r="L500">
            <v>50</v>
          </cell>
          <cell r="M500" t="str">
            <v>メタルミー　ＴＥ－Ｓ消　ＶＯＩＤ　Ｖ</v>
          </cell>
          <cell r="N500">
            <v>1005</v>
          </cell>
          <cell r="O500">
            <v>1000</v>
          </cell>
          <cell r="P500">
            <v>4000</v>
          </cell>
          <cell r="Q500">
            <v>2</v>
          </cell>
        </row>
        <row r="501">
          <cell r="A501">
            <v>3721222</v>
          </cell>
          <cell r="B501" t="str">
            <v>福島コーティング</v>
          </cell>
          <cell r="C501" t="str">
            <v>プロセス材１課</v>
          </cell>
          <cell r="D501" t="str">
            <v>ダミー担当者</v>
          </cell>
          <cell r="E501" t="str">
            <v>リンテック㈱</v>
          </cell>
          <cell r="F501" t="str">
            <v>33S</v>
          </cell>
          <cell r="G501" t="str">
            <v>S</v>
          </cell>
          <cell r="H501" t="str">
            <v>N</v>
          </cell>
          <cell r="I501" t="str">
            <v>MCLB</v>
          </cell>
          <cell r="K501" t="str">
            <v>TETKFV</v>
          </cell>
          <cell r="L501">
            <v>50</v>
          </cell>
          <cell r="M501" t="str">
            <v>メタルミー　ＴＥＳ艶開封　Ｖ</v>
          </cell>
          <cell r="N501">
            <v>1005</v>
          </cell>
          <cell r="O501">
            <v>1000</v>
          </cell>
          <cell r="P501">
            <v>4100</v>
          </cell>
          <cell r="Q501">
            <v>2</v>
          </cell>
        </row>
        <row r="502">
          <cell r="A502">
            <v>3721224</v>
          </cell>
          <cell r="B502" t="str">
            <v>福島コーティング</v>
          </cell>
          <cell r="C502" t="str">
            <v>プロセス材１課</v>
          </cell>
          <cell r="D502" t="str">
            <v>ダミー担当者</v>
          </cell>
          <cell r="E502" t="str">
            <v>リンテック㈱</v>
          </cell>
          <cell r="F502">
            <v>3</v>
          </cell>
          <cell r="G502" t="str">
            <v>S</v>
          </cell>
          <cell r="H502" t="str">
            <v>N</v>
          </cell>
          <cell r="I502" t="str">
            <v>MLB</v>
          </cell>
          <cell r="K502" t="str">
            <v>MNQR66F</v>
          </cell>
          <cell r="L502">
            <v>25</v>
          </cell>
          <cell r="M502" t="str">
            <v>ＱＲ６６蒸着品</v>
          </cell>
          <cell r="N502">
            <v>1000</v>
          </cell>
          <cell r="O502">
            <v>1000</v>
          </cell>
          <cell r="P502">
            <v>6000</v>
          </cell>
          <cell r="Q502">
            <v>2</v>
          </cell>
        </row>
        <row r="503">
          <cell r="A503">
            <v>3721225</v>
          </cell>
          <cell r="B503" t="str">
            <v>福島コーティング</v>
          </cell>
          <cell r="C503" t="str">
            <v>プロセス材１課</v>
          </cell>
          <cell r="D503" t="str">
            <v>ダミー担当者</v>
          </cell>
          <cell r="E503" t="str">
            <v>リンテック㈱</v>
          </cell>
          <cell r="F503">
            <v>3</v>
          </cell>
          <cell r="G503" t="str">
            <v>S</v>
          </cell>
          <cell r="H503" t="str">
            <v>N</v>
          </cell>
          <cell r="I503" t="str">
            <v>MLB</v>
          </cell>
          <cell r="K503" t="str">
            <v>MNQR66F</v>
          </cell>
          <cell r="L503">
            <v>25</v>
          </cell>
          <cell r="M503" t="str">
            <v>ＱＲ６６蒸着品</v>
          </cell>
          <cell r="N503">
            <v>1100</v>
          </cell>
          <cell r="O503">
            <v>1100</v>
          </cell>
          <cell r="P503">
            <v>6000</v>
          </cell>
          <cell r="Q503">
            <v>2</v>
          </cell>
        </row>
        <row r="504">
          <cell r="A504">
            <v>3721226</v>
          </cell>
          <cell r="B504" t="str">
            <v>福島コーティング</v>
          </cell>
          <cell r="C504" t="str">
            <v>プロセス材１課</v>
          </cell>
          <cell r="D504" t="str">
            <v>ダミー担当者</v>
          </cell>
          <cell r="E504" t="str">
            <v>リンテック㈱</v>
          </cell>
          <cell r="F504">
            <v>3</v>
          </cell>
          <cell r="G504" t="str">
            <v>S</v>
          </cell>
          <cell r="H504" t="str">
            <v>Y</v>
          </cell>
          <cell r="I504" t="str">
            <v>MLB</v>
          </cell>
          <cell r="K504" t="str">
            <v>MSNMBF</v>
          </cell>
          <cell r="L504">
            <v>50</v>
          </cell>
          <cell r="M504" t="str">
            <v>ＭＥＴＡＬＵＭＹ　ＳＩＬＶＥＲ　Ｎ－ＭＡＴＴＥ　Ｘ４４Ｍ　Ｂ</v>
          </cell>
          <cell r="N504">
            <v>1120</v>
          </cell>
          <cell r="O504">
            <v>1120</v>
          </cell>
          <cell r="P504">
            <v>4000</v>
          </cell>
          <cell r="Q504">
            <v>2</v>
          </cell>
        </row>
        <row r="505">
          <cell r="A505">
            <v>3721227</v>
          </cell>
          <cell r="B505" t="str">
            <v>福島コーティング</v>
          </cell>
          <cell r="C505" t="str">
            <v>プロセス材１課</v>
          </cell>
          <cell r="D505" t="str">
            <v>ダミー担当者</v>
          </cell>
          <cell r="E505" t="str">
            <v>リンテック㈱</v>
          </cell>
          <cell r="F505">
            <v>3</v>
          </cell>
          <cell r="G505" t="str">
            <v>S</v>
          </cell>
          <cell r="H505" t="str">
            <v>Y</v>
          </cell>
          <cell r="I505" t="str">
            <v>MLB</v>
          </cell>
          <cell r="K505" t="str">
            <v>MSNMBF</v>
          </cell>
          <cell r="L505">
            <v>50</v>
          </cell>
          <cell r="M505" t="str">
            <v>ＭＥＴＡＬＵＭＹ　ＳＩＬＶＥＲ　Ｎ－ＭＡＴＴＥ　Ｘ４４Ｍ　Ｂ</v>
          </cell>
          <cell r="N505">
            <v>1120</v>
          </cell>
          <cell r="O505">
            <v>1120</v>
          </cell>
          <cell r="P505">
            <v>4000</v>
          </cell>
          <cell r="Q505">
            <v>2</v>
          </cell>
        </row>
        <row r="506">
          <cell r="A506">
            <v>3722522</v>
          </cell>
          <cell r="B506" t="str">
            <v>機能材料ＫＮＺ福開発</v>
          </cell>
          <cell r="C506" t="str">
            <v>工材１部大阪電材課</v>
          </cell>
          <cell r="D506" t="str">
            <v>ダミー担当者</v>
          </cell>
          <cell r="E506" t="str">
            <v>日東電工有限公司</v>
          </cell>
          <cell r="F506">
            <v>3</v>
          </cell>
          <cell r="G506" t="str">
            <v>U</v>
          </cell>
          <cell r="H506" t="str">
            <v>Y</v>
          </cell>
          <cell r="I506" t="str">
            <v>KNZ</v>
          </cell>
          <cell r="K506" t="str">
            <v>MCRALCB</v>
          </cell>
          <cell r="L506">
            <v>25</v>
          </cell>
          <cell r="M506" t="str">
            <v>Ｍｅｔａｌｕｍｙ　ＣＲ　ａｌｕｍｉｎｕｍ　ｓｕｒｆａｃｅ　ｃｏａｔ　Ｂ</v>
          </cell>
          <cell r="N506">
            <v>1050</v>
          </cell>
          <cell r="O506">
            <v>1050</v>
          </cell>
          <cell r="P506">
            <v>4000</v>
          </cell>
          <cell r="Q506">
            <v>1</v>
          </cell>
        </row>
        <row r="507">
          <cell r="A507">
            <v>3723621</v>
          </cell>
          <cell r="B507" t="str">
            <v>福島コーティング</v>
          </cell>
          <cell r="C507" t="str">
            <v>プロセス材２課</v>
          </cell>
          <cell r="D507" t="str">
            <v>ダミー担当者</v>
          </cell>
          <cell r="E507" t="str">
            <v>大阪シーリング印刷㈱</v>
          </cell>
          <cell r="F507">
            <v>3</v>
          </cell>
          <cell r="G507" t="str">
            <v>S</v>
          </cell>
          <cell r="H507" t="str">
            <v>N</v>
          </cell>
          <cell r="I507" t="str">
            <v>MCLB</v>
          </cell>
          <cell r="K507" t="str">
            <v>MSNEYK</v>
          </cell>
          <cell r="L507">
            <v>50</v>
          </cell>
          <cell r="M507" t="str">
            <v>ＭＳＮ　ＥＹＫ</v>
          </cell>
          <cell r="N507">
            <v>1200</v>
          </cell>
          <cell r="O507">
            <v>1190</v>
          </cell>
          <cell r="P507">
            <v>6000</v>
          </cell>
          <cell r="Q507">
            <v>2</v>
          </cell>
        </row>
        <row r="508">
          <cell r="A508">
            <v>3723623</v>
          </cell>
          <cell r="B508" t="str">
            <v>福島コーティング</v>
          </cell>
          <cell r="C508" t="str">
            <v>プロセス材２課</v>
          </cell>
          <cell r="D508" t="str">
            <v>ダミー担当者</v>
          </cell>
          <cell r="E508" t="str">
            <v>新タック化成㈱</v>
          </cell>
          <cell r="F508">
            <v>3</v>
          </cell>
          <cell r="G508" t="str">
            <v>S</v>
          </cell>
          <cell r="H508" t="str">
            <v>N</v>
          </cell>
          <cell r="I508" t="str">
            <v>CLB</v>
          </cell>
          <cell r="K508" t="str">
            <v>LEYK</v>
          </cell>
          <cell r="L508">
            <v>50</v>
          </cell>
          <cell r="M508" t="str">
            <v>ルミラー　ＥＹＫ</v>
          </cell>
          <cell r="N508">
            <v>1120</v>
          </cell>
          <cell r="O508">
            <v>1120</v>
          </cell>
          <cell r="P508">
            <v>6000</v>
          </cell>
          <cell r="Q508">
            <v>2</v>
          </cell>
        </row>
        <row r="509">
          <cell r="A509">
            <v>3723624</v>
          </cell>
          <cell r="B509" t="str">
            <v>福島コーティング</v>
          </cell>
          <cell r="C509" t="str">
            <v>プロセス材２課</v>
          </cell>
          <cell r="D509" t="str">
            <v>ダミー担当者</v>
          </cell>
          <cell r="E509" t="str">
            <v>新タック化成㈱</v>
          </cell>
          <cell r="F509">
            <v>3</v>
          </cell>
          <cell r="G509" t="str">
            <v>S</v>
          </cell>
          <cell r="H509" t="str">
            <v>N</v>
          </cell>
          <cell r="I509" t="str">
            <v>MCLB</v>
          </cell>
          <cell r="K509" t="str">
            <v>EYK</v>
          </cell>
          <cell r="L509">
            <v>50</v>
          </cell>
          <cell r="M509" t="str">
            <v>メタルミー　ＥＹＫ</v>
          </cell>
          <cell r="N509">
            <v>1120</v>
          </cell>
          <cell r="O509">
            <v>1120</v>
          </cell>
          <cell r="P509">
            <v>6000</v>
          </cell>
          <cell r="Q509">
            <v>2</v>
          </cell>
        </row>
        <row r="510">
          <cell r="A510">
            <v>3723625</v>
          </cell>
          <cell r="B510" t="str">
            <v>福島コーティング</v>
          </cell>
          <cell r="C510" t="str">
            <v>プロセス材２課</v>
          </cell>
          <cell r="D510" t="str">
            <v>ダミー担当者</v>
          </cell>
          <cell r="E510" t="str">
            <v>新タック化成㈱</v>
          </cell>
          <cell r="F510">
            <v>3</v>
          </cell>
          <cell r="G510" t="str">
            <v>S</v>
          </cell>
          <cell r="H510" t="str">
            <v>N</v>
          </cell>
          <cell r="I510" t="str">
            <v>MCLB</v>
          </cell>
          <cell r="K510" t="str">
            <v>MSNEYK</v>
          </cell>
          <cell r="L510">
            <v>50</v>
          </cell>
          <cell r="M510" t="str">
            <v>ＭＳＮ　ＥＹＫ</v>
          </cell>
          <cell r="N510">
            <v>1120</v>
          </cell>
          <cell r="O510">
            <v>1120</v>
          </cell>
          <cell r="P510">
            <v>4000</v>
          </cell>
          <cell r="Q510">
            <v>2</v>
          </cell>
        </row>
        <row r="511">
          <cell r="A511">
            <v>3723627</v>
          </cell>
          <cell r="B511" t="str">
            <v>福島コーティング</v>
          </cell>
          <cell r="C511" t="str">
            <v>プロセス材１課</v>
          </cell>
          <cell r="D511" t="str">
            <v>ダミー担当者</v>
          </cell>
          <cell r="E511" t="str">
            <v>リンテック㈱</v>
          </cell>
          <cell r="F511">
            <v>3</v>
          </cell>
          <cell r="G511" t="str">
            <v>S</v>
          </cell>
          <cell r="H511" t="str">
            <v>N</v>
          </cell>
          <cell r="I511" t="str">
            <v>MLB</v>
          </cell>
          <cell r="K511" t="str">
            <v>MNGKKBF</v>
          </cell>
          <cell r="L511">
            <v>25</v>
          </cell>
          <cell r="M511" t="str">
            <v>メタルミー　ネーマー銀消改　Ｂ</v>
          </cell>
          <cell r="N511">
            <v>1120</v>
          </cell>
          <cell r="O511">
            <v>1120</v>
          </cell>
          <cell r="P511">
            <v>4000</v>
          </cell>
          <cell r="Q511">
            <v>2</v>
          </cell>
        </row>
        <row r="512">
          <cell r="A512">
            <v>3723628</v>
          </cell>
          <cell r="B512" t="str">
            <v>福島コーティング</v>
          </cell>
          <cell r="C512" t="str">
            <v>プロセス材１課</v>
          </cell>
          <cell r="D512" t="str">
            <v>ダミー担当者</v>
          </cell>
          <cell r="E512" t="str">
            <v>リンテック㈱</v>
          </cell>
          <cell r="F512">
            <v>3</v>
          </cell>
          <cell r="G512" t="str">
            <v>S</v>
          </cell>
          <cell r="H512" t="str">
            <v>N</v>
          </cell>
          <cell r="I512" t="str">
            <v>MLB</v>
          </cell>
          <cell r="K512" t="str">
            <v>MNGKKBF</v>
          </cell>
          <cell r="L512">
            <v>50</v>
          </cell>
          <cell r="M512" t="str">
            <v>メタルミー　ネーマー銀消改　Ｂ</v>
          </cell>
          <cell r="N512">
            <v>1000</v>
          </cell>
          <cell r="O512">
            <v>1000</v>
          </cell>
          <cell r="P512">
            <v>4000</v>
          </cell>
          <cell r="Q512">
            <v>2</v>
          </cell>
        </row>
        <row r="513">
          <cell r="A513">
            <v>3723629</v>
          </cell>
          <cell r="B513" t="str">
            <v>福島コーティング</v>
          </cell>
          <cell r="C513" t="str">
            <v>プロセス材１課</v>
          </cell>
          <cell r="D513" t="str">
            <v>ダミー担当者</v>
          </cell>
          <cell r="E513" t="str">
            <v>リンテック㈱</v>
          </cell>
          <cell r="F513">
            <v>3</v>
          </cell>
          <cell r="G513" t="str">
            <v>S</v>
          </cell>
          <cell r="H513" t="str">
            <v>N</v>
          </cell>
          <cell r="I513" t="str">
            <v>MLB</v>
          </cell>
          <cell r="K513" t="str">
            <v>MNGKKBF</v>
          </cell>
          <cell r="L513">
            <v>50</v>
          </cell>
          <cell r="M513" t="str">
            <v>メタルミー　ネーマー銀消改　Ｂ</v>
          </cell>
          <cell r="N513">
            <v>1120</v>
          </cell>
          <cell r="O513">
            <v>1120</v>
          </cell>
          <cell r="P513">
            <v>4000</v>
          </cell>
          <cell r="Q513">
            <v>2</v>
          </cell>
        </row>
        <row r="514">
          <cell r="A514">
            <v>3723630</v>
          </cell>
          <cell r="B514" t="str">
            <v>福島コーティング</v>
          </cell>
          <cell r="C514" t="str">
            <v>プロセス材１課</v>
          </cell>
          <cell r="D514" t="str">
            <v>ダミー担当者</v>
          </cell>
          <cell r="E514" t="str">
            <v>リンテック㈱</v>
          </cell>
          <cell r="F514">
            <v>3</v>
          </cell>
          <cell r="G514" t="str">
            <v>S</v>
          </cell>
          <cell r="H514" t="str">
            <v>N</v>
          </cell>
          <cell r="I514" t="str">
            <v>MLB</v>
          </cell>
          <cell r="K514" t="str">
            <v>MNGKKBF</v>
          </cell>
          <cell r="L514">
            <v>50</v>
          </cell>
          <cell r="M514" t="str">
            <v>メタルミー　ネーマー銀消改　Ｂ</v>
          </cell>
          <cell r="N514">
            <v>1120</v>
          </cell>
          <cell r="O514">
            <v>1120</v>
          </cell>
          <cell r="P514">
            <v>4000</v>
          </cell>
          <cell r="Q514">
            <v>2</v>
          </cell>
        </row>
        <row r="515">
          <cell r="A515">
            <v>3723631</v>
          </cell>
          <cell r="B515" t="str">
            <v>福島コーティング</v>
          </cell>
          <cell r="C515" t="str">
            <v>プロセス材１課</v>
          </cell>
          <cell r="D515" t="str">
            <v>ダミー担当者</v>
          </cell>
          <cell r="E515" t="str">
            <v>リンテック㈱</v>
          </cell>
          <cell r="F515">
            <v>3</v>
          </cell>
          <cell r="G515" t="str">
            <v>S</v>
          </cell>
          <cell r="H515" t="str">
            <v>N</v>
          </cell>
          <cell r="I515" t="str">
            <v>MLB</v>
          </cell>
          <cell r="K515" t="str">
            <v>MNGKBF</v>
          </cell>
          <cell r="L515">
            <v>38</v>
          </cell>
          <cell r="M515" t="str">
            <v>メタルミー　ネーマー銀消　Ｂ</v>
          </cell>
          <cell r="N515">
            <v>1005</v>
          </cell>
          <cell r="O515">
            <v>1000</v>
          </cell>
          <cell r="P515">
            <v>4100</v>
          </cell>
          <cell r="Q515">
            <v>2</v>
          </cell>
        </row>
        <row r="516">
          <cell r="A516">
            <v>3723632</v>
          </cell>
          <cell r="B516" t="str">
            <v>福島コーティング</v>
          </cell>
          <cell r="C516" t="str">
            <v>プロセス材１課</v>
          </cell>
          <cell r="D516" t="str">
            <v>ダミー担当者</v>
          </cell>
          <cell r="E516" t="str">
            <v>リンテック㈱</v>
          </cell>
          <cell r="F516">
            <v>3</v>
          </cell>
          <cell r="G516" t="str">
            <v>S</v>
          </cell>
          <cell r="H516" t="str">
            <v>N</v>
          </cell>
          <cell r="I516" t="str">
            <v>MLB</v>
          </cell>
          <cell r="K516" t="str">
            <v>MNGKBF</v>
          </cell>
          <cell r="L516">
            <v>50</v>
          </cell>
          <cell r="M516" t="str">
            <v>メタルミー　ネーマー銀消　Ｂ</v>
          </cell>
          <cell r="N516">
            <v>1050</v>
          </cell>
          <cell r="O516">
            <v>1050</v>
          </cell>
          <cell r="P516">
            <v>4100</v>
          </cell>
          <cell r="Q516">
            <v>2</v>
          </cell>
        </row>
        <row r="517">
          <cell r="A517">
            <v>3723633</v>
          </cell>
          <cell r="B517" t="str">
            <v>福島コーティング</v>
          </cell>
          <cell r="C517" t="str">
            <v>プロセス材１課</v>
          </cell>
          <cell r="D517" t="str">
            <v>ダミー担当者</v>
          </cell>
          <cell r="E517" t="str">
            <v>リンテック㈱</v>
          </cell>
          <cell r="F517">
            <v>3</v>
          </cell>
          <cell r="G517" t="str">
            <v>S</v>
          </cell>
          <cell r="H517" t="str">
            <v>N</v>
          </cell>
          <cell r="I517" t="str">
            <v>MCLB</v>
          </cell>
          <cell r="K517" t="str">
            <v>NGKEYKB</v>
          </cell>
          <cell r="L517">
            <v>16</v>
          </cell>
          <cell r="M517" t="str">
            <v>メタルミー　ネーマー　ギンケシ　ＥＹＫＢ</v>
          </cell>
          <cell r="N517">
            <v>1000</v>
          </cell>
          <cell r="O517">
            <v>1000</v>
          </cell>
          <cell r="P517">
            <v>3200</v>
          </cell>
          <cell r="Q517">
            <v>2</v>
          </cell>
        </row>
        <row r="518">
          <cell r="A518">
            <v>3723634</v>
          </cell>
          <cell r="B518" t="str">
            <v>福島コーティング</v>
          </cell>
          <cell r="C518" t="str">
            <v>プロセス材１課</v>
          </cell>
          <cell r="D518" t="str">
            <v>ダミー担当者</v>
          </cell>
          <cell r="E518" t="str">
            <v>リンテック㈱</v>
          </cell>
          <cell r="F518">
            <v>3</v>
          </cell>
          <cell r="G518" t="str">
            <v>S</v>
          </cell>
          <cell r="H518" t="str">
            <v>N</v>
          </cell>
          <cell r="I518" t="str">
            <v>MCLB</v>
          </cell>
          <cell r="K518" t="str">
            <v>NGKVB</v>
          </cell>
          <cell r="L518">
            <v>50</v>
          </cell>
          <cell r="M518" t="str">
            <v>メタルミー　ネーマー銀消　ＶＢ</v>
          </cell>
          <cell r="N518">
            <v>1005</v>
          </cell>
          <cell r="O518">
            <v>1000</v>
          </cell>
          <cell r="P518">
            <v>4100</v>
          </cell>
          <cell r="Q518">
            <v>2</v>
          </cell>
        </row>
        <row r="519">
          <cell r="A519">
            <v>3723635</v>
          </cell>
          <cell r="B519" t="str">
            <v>福島コーティング</v>
          </cell>
          <cell r="C519" t="str">
            <v>プロセス材１課</v>
          </cell>
          <cell r="D519" t="str">
            <v>ダミー担当者</v>
          </cell>
          <cell r="E519" t="str">
            <v>リンテック㈱</v>
          </cell>
          <cell r="F519">
            <v>3</v>
          </cell>
          <cell r="G519" t="str">
            <v>S</v>
          </cell>
          <cell r="H519" t="str">
            <v>N</v>
          </cell>
          <cell r="I519" t="str">
            <v>MLB</v>
          </cell>
          <cell r="K519" t="str">
            <v>MNGTBF</v>
          </cell>
          <cell r="L519">
            <v>25</v>
          </cell>
          <cell r="M519" t="str">
            <v>メタルミー　ネーマー　銀艶　Ｂ</v>
          </cell>
          <cell r="N519">
            <v>1005</v>
          </cell>
          <cell r="O519">
            <v>1000</v>
          </cell>
          <cell r="P519">
            <v>4000</v>
          </cell>
          <cell r="Q519">
            <v>2</v>
          </cell>
        </row>
        <row r="520">
          <cell r="A520">
            <v>3723636</v>
          </cell>
          <cell r="B520" t="str">
            <v>福島コーティング</v>
          </cell>
          <cell r="C520" t="str">
            <v>プロセス材１課</v>
          </cell>
          <cell r="D520" t="str">
            <v>ダミー担当者</v>
          </cell>
          <cell r="E520" t="str">
            <v>リンテック㈱</v>
          </cell>
          <cell r="F520">
            <v>3</v>
          </cell>
          <cell r="G520" t="str">
            <v>S</v>
          </cell>
          <cell r="H520" t="str">
            <v>N</v>
          </cell>
          <cell r="I520" t="str">
            <v>MLB</v>
          </cell>
          <cell r="K520" t="str">
            <v>MNGTBF</v>
          </cell>
          <cell r="L520">
            <v>25</v>
          </cell>
          <cell r="M520" t="str">
            <v>メタルミー　ネーマー　銀艶　Ｂ</v>
          </cell>
          <cell r="N520">
            <v>1125</v>
          </cell>
          <cell r="O520">
            <v>1120</v>
          </cell>
          <cell r="P520">
            <v>4000</v>
          </cell>
          <cell r="Q520">
            <v>2</v>
          </cell>
        </row>
        <row r="521">
          <cell r="A521">
            <v>3723637</v>
          </cell>
          <cell r="B521" t="str">
            <v>福島コーティング</v>
          </cell>
          <cell r="C521" t="str">
            <v>プロセス材１課</v>
          </cell>
          <cell r="D521" t="str">
            <v>ダミー担当者</v>
          </cell>
          <cell r="E521" t="str">
            <v>リンテック㈱</v>
          </cell>
          <cell r="F521">
            <v>3</v>
          </cell>
          <cell r="G521" t="str">
            <v>S</v>
          </cell>
          <cell r="H521" t="str">
            <v>N</v>
          </cell>
          <cell r="I521" t="str">
            <v>MLB</v>
          </cell>
          <cell r="K521" t="str">
            <v>MNGTBF</v>
          </cell>
          <cell r="L521">
            <v>50</v>
          </cell>
          <cell r="M521" t="str">
            <v>メタルミー　ネーマー　銀艶　Ｂ</v>
          </cell>
          <cell r="N521">
            <v>1120</v>
          </cell>
          <cell r="O521">
            <v>1120</v>
          </cell>
          <cell r="P521">
            <v>5000</v>
          </cell>
          <cell r="Q521">
            <v>2</v>
          </cell>
        </row>
        <row r="522">
          <cell r="A522">
            <v>3723638</v>
          </cell>
          <cell r="B522" t="str">
            <v>福島コーティング</v>
          </cell>
          <cell r="C522" t="str">
            <v>プロセス材１課</v>
          </cell>
          <cell r="D522" t="str">
            <v>ダミー担当者</v>
          </cell>
          <cell r="E522" t="str">
            <v>リンテック㈱</v>
          </cell>
          <cell r="F522">
            <v>3</v>
          </cell>
          <cell r="G522" t="str">
            <v>S</v>
          </cell>
          <cell r="H522" t="str">
            <v>N</v>
          </cell>
          <cell r="I522" t="str">
            <v>MLB</v>
          </cell>
          <cell r="K522" t="str">
            <v>MNNGKBF</v>
          </cell>
          <cell r="L522">
            <v>25</v>
          </cell>
          <cell r="M522" t="str">
            <v>メタルミー　ニューネーマー銀消　Ｂ</v>
          </cell>
          <cell r="N522">
            <v>1005</v>
          </cell>
          <cell r="O522">
            <v>1000</v>
          </cell>
          <cell r="P522">
            <v>4000</v>
          </cell>
          <cell r="Q522">
            <v>2</v>
          </cell>
        </row>
        <row r="523">
          <cell r="A523">
            <v>3723639</v>
          </cell>
          <cell r="B523" t="str">
            <v>福島コーティング</v>
          </cell>
          <cell r="C523" t="str">
            <v>プロセス材１課</v>
          </cell>
          <cell r="D523" t="str">
            <v>ダミー担当者</v>
          </cell>
          <cell r="E523" t="str">
            <v>リンテック㈱</v>
          </cell>
          <cell r="F523">
            <v>3</v>
          </cell>
          <cell r="G523" t="str">
            <v>S</v>
          </cell>
          <cell r="H523" t="str">
            <v>N</v>
          </cell>
          <cell r="I523" t="str">
            <v>MLB</v>
          </cell>
          <cell r="K523" t="str">
            <v>MNNGKBF</v>
          </cell>
          <cell r="L523">
            <v>50</v>
          </cell>
          <cell r="M523" t="str">
            <v>メタルミー　ニューネーマー銀消　Ｂ</v>
          </cell>
          <cell r="N523">
            <v>1000</v>
          </cell>
          <cell r="O523">
            <v>1000</v>
          </cell>
          <cell r="P523">
            <v>4000</v>
          </cell>
          <cell r="Q523">
            <v>2</v>
          </cell>
        </row>
        <row r="524">
          <cell r="A524">
            <v>3723640</v>
          </cell>
          <cell r="B524" t="str">
            <v>福島コーティング</v>
          </cell>
          <cell r="C524" t="str">
            <v>プロセス材１課</v>
          </cell>
          <cell r="D524" t="str">
            <v>ダミー担当者</v>
          </cell>
          <cell r="E524" t="str">
            <v>リンテック㈱</v>
          </cell>
          <cell r="F524" t="str">
            <v>33S</v>
          </cell>
          <cell r="G524" t="str">
            <v>S</v>
          </cell>
          <cell r="H524" t="str">
            <v>N</v>
          </cell>
          <cell r="I524" t="str">
            <v>MCLB</v>
          </cell>
          <cell r="K524" t="str">
            <v>TEKKFV</v>
          </cell>
          <cell r="L524">
            <v>50</v>
          </cell>
          <cell r="M524" t="str">
            <v>メタルミー　ＴＥＳ消開封　Ｖ</v>
          </cell>
          <cell r="N524">
            <v>1005</v>
          </cell>
          <cell r="O524">
            <v>1000</v>
          </cell>
          <cell r="P524">
            <v>4000</v>
          </cell>
          <cell r="Q524">
            <v>2</v>
          </cell>
        </row>
        <row r="525">
          <cell r="A525">
            <v>3723641</v>
          </cell>
          <cell r="B525" t="str">
            <v>福島コーティング</v>
          </cell>
          <cell r="C525" t="str">
            <v>プロセス材１課</v>
          </cell>
          <cell r="D525" t="str">
            <v>ダミー担当者</v>
          </cell>
          <cell r="E525" t="str">
            <v>リンテック㈱</v>
          </cell>
          <cell r="F525" t="str">
            <v>33S</v>
          </cell>
          <cell r="G525" t="str">
            <v>S</v>
          </cell>
          <cell r="H525" t="str">
            <v>N</v>
          </cell>
          <cell r="I525" t="str">
            <v>MCLB</v>
          </cell>
          <cell r="K525" t="str">
            <v>TEKV0V</v>
          </cell>
          <cell r="L525">
            <v>50</v>
          </cell>
          <cell r="M525" t="str">
            <v>メタルミー　ＴＥ－Ｓ消　ＶＯＩＤ　Ｖ</v>
          </cell>
          <cell r="N525">
            <v>1005</v>
          </cell>
          <cell r="O525">
            <v>1000</v>
          </cell>
          <cell r="P525">
            <v>4000</v>
          </cell>
          <cell r="Q525">
            <v>2</v>
          </cell>
        </row>
        <row r="526">
          <cell r="A526">
            <v>3723642</v>
          </cell>
          <cell r="B526" t="str">
            <v>福島コーティング</v>
          </cell>
          <cell r="C526" t="str">
            <v>プロセス材１課</v>
          </cell>
          <cell r="D526" t="str">
            <v>ダミー担当者</v>
          </cell>
          <cell r="E526" t="str">
            <v>リンテック㈱</v>
          </cell>
          <cell r="F526" t="str">
            <v>33S</v>
          </cell>
          <cell r="G526" t="str">
            <v>S</v>
          </cell>
          <cell r="H526" t="str">
            <v>N</v>
          </cell>
          <cell r="I526" t="str">
            <v>MCLB</v>
          </cell>
          <cell r="K526" t="str">
            <v>TEKV0V</v>
          </cell>
          <cell r="L526">
            <v>50</v>
          </cell>
          <cell r="M526" t="str">
            <v>メタルミー　ＴＥ－Ｓ消　ＶＯＩＤ　Ｖ</v>
          </cell>
          <cell r="N526">
            <v>1005</v>
          </cell>
          <cell r="O526">
            <v>1000</v>
          </cell>
          <cell r="P526">
            <v>4100</v>
          </cell>
          <cell r="Q526">
            <v>2</v>
          </cell>
        </row>
        <row r="527">
          <cell r="A527">
            <v>3723643</v>
          </cell>
          <cell r="B527" t="str">
            <v>福島コーティング</v>
          </cell>
          <cell r="C527" t="str">
            <v>プロセス材１課</v>
          </cell>
          <cell r="D527" t="str">
            <v>ダミー担当者</v>
          </cell>
          <cell r="E527" t="str">
            <v>リンテック㈱</v>
          </cell>
          <cell r="F527">
            <v>3</v>
          </cell>
          <cell r="G527" t="str">
            <v>S</v>
          </cell>
          <cell r="H527" t="str">
            <v>N</v>
          </cell>
          <cell r="I527" t="str">
            <v>MLB</v>
          </cell>
          <cell r="K527" t="str">
            <v>MNQR66F</v>
          </cell>
          <cell r="L527">
            <v>25</v>
          </cell>
          <cell r="M527" t="str">
            <v>ＱＲ６６蒸着品</v>
          </cell>
          <cell r="N527">
            <v>1000</v>
          </cell>
          <cell r="O527">
            <v>1000</v>
          </cell>
          <cell r="P527">
            <v>6000</v>
          </cell>
          <cell r="Q527">
            <v>2</v>
          </cell>
        </row>
        <row r="528">
          <cell r="A528">
            <v>3723644</v>
          </cell>
          <cell r="B528" t="str">
            <v>福島コーティング</v>
          </cell>
          <cell r="C528" t="str">
            <v>プロセス材１課</v>
          </cell>
          <cell r="D528" t="str">
            <v>ダミー担当者</v>
          </cell>
          <cell r="E528" t="str">
            <v>リンテック㈱</v>
          </cell>
          <cell r="F528">
            <v>3</v>
          </cell>
          <cell r="G528" t="str">
            <v>S</v>
          </cell>
          <cell r="H528" t="str">
            <v>N</v>
          </cell>
          <cell r="I528" t="str">
            <v>MLB</v>
          </cell>
          <cell r="K528" t="str">
            <v>MNQR66F</v>
          </cell>
          <cell r="L528">
            <v>25</v>
          </cell>
          <cell r="M528" t="str">
            <v>ＱＲ６６蒸着品</v>
          </cell>
          <cell r="N528">
            <v>1100</v>
          </cell>
          <cell r="O528">
            <v>1100</v>
          </cell>
          <cell r="P528">
            <v>6000</v>
          </cell>
          <cell r="Q528">
            <v>2</v>
          </cell>
        </row>
        <row r="529">
          <cell r="A529">
            <v>3723645</v>
          </cell>
          <cell r="B529" t="str">
            <v>福島コーティング</v>
          </cell>
          <cell r="C529" t="str">
            <v>プロセス材１課</v>
          </cell>
          <cell r="D529" t="str">
            <v>ダミー担当者</v>
          </cell>
          <cell r="E529" t="str">
            <v>リンテック㈱</v>
          </cell>
          <cell r="F529">
            <v>3</v>
          </cell>
          <cell r="G529" t="str">
            <v>S</v>
          </cell>
          <cell r="H529" t="str">
            <v>N</v>
          </cell>
          <cell r="I529" t="str">
            <v>MCLB</v>
          </cell>
          <cell r="K529" t="str">
            <v>HLGTV</v>
          </cell>
          <cell r="L529">
            <v>50</v>
          </cell>
          <cell r="M529" t="str">
            <v>メタルミー　ヘヤライン　銀艶Ｖ</v>
          </cell>
          <cell r="N529">
            <v>1005</v>
          </cell>
          <cell r="O529">
            <v>1000</v>
          </cell>
          <cell r="P529">
            <v>4100</v>
          </cell>
          <cell r="Q529">
            <v>2</v>
          </cell>
        </row>
        <row r="530">
          <cell r="A530">
            <v>3723646</v>
          </cell>
          <cell r="B530" t="str">
            <v>福島コーティング</v>
          </cell>
          <cell r="C530" t="str">
            <v>プロセス材１課</v>
          </cell>
          <cell r="D530" t="str">
            <v>ダミー担当者</v>
          </cell>
          <cell r="E530" t="str">
            <v>リンテック㈱</v>
          </cell>
          <cell r="F530">
            <v>3</v>
          </cell>
          <cell r="G530" t="str">
            <v>S</v>
          </cell>
          <cell r="H530" t="str">
            <v>Y</v>
          </cell>
          <cell r="I530" t="str">
            <v>MLB</v>
          </cell>
          <cell r="K530" t="str">
            <v>MSNMBZF</v>
          </cell>
          <cell r="L530">
            <v>25</v>
          </cell>
          <cell r="M530" t="str">
            <v>ＭＥＴＡＬＵＭＹ　ＳＩＬＶＥＲ　Ｎ－ＭＡＴＴＥ　Ｂ</v>
          </cell>
          <cell r="N530">
            <v>1120</v>
          </cell>
          <cell r="O530">
            <v>1120</v>
          </cell>
          <cell r="P530">
            <v>8000</v>
          </cell>
          <cell r="Q530">
            <v>2</v>
          </cell>
        </row>
        <row r="531">
          <cell r="A531">
            <v>3723647</v>
          </cell>
          <cell r="B531" t="str">
            <v>福島コーティング</v>
          </cell>
          <cell r="C531" t="str">
            <v>プロセス材１課</v>
          </cell>
          <cell r="D531" t="str">
            <v>ダミー担当者</v>
          </cell>
          <cell r="E531" t="str">
            <v>リンテック㈱</v>
          </cell>
          <cell r="F531">
            <v>3</v>
          </cell>
          <cell r="G531" t="str">
            <v>S</v>
          </cell>
          <cell r="H531" t="str">
            <v>Y</v>
          </cell>
          <cell r="I531" t="str">
            <v>MLB</v>
          </cell>
          <cell r="K531" t="str">
            <v>MSBBF</v>
          </cell>
          <cell r="L531">
            <v>50</v>
          </cell>
          <cell r="M531" t="str">
            <v>ＭＥＴＡＬＵＭＹ　ＳＩＬＶＥＲ　ＢＲＩＧＨＴ　Ｔ６２Ｍ　Ｂ</v>
          </cell>
          <cell r="N531">
            <v>1120</v>
          </cell>
          <cell r="O531">
            <v>1120</v>
          </cell>
          <cell r="P531">
            <v>5000</v>
          </cell>
          <cell r="Q531">
            <v>2</v>
          </cell>
        </row>
        <row r="532">
          <cell r="A532">
            <v>3723648</v>
          </cell>
          <cell r="B532" t="str">
            <v>福島コーティング</v>
          </cell>
          <cell r="C532" t="str">
            <v>プロセス材１課</v>
          </cell>
          <cell r="D532" t="str">
            <v>ダミー担当者</v>
          </cell>
          <cell r="E532" t="str">
            <v>リンテック㈱</v>
          </cell>
          <cell r="F532">
            <v>3</v>
          </cell>
          <cell r="G532" t="str">
            <v>S</v>
          </cell>
          <cell r="H532" t="str">
            <v>Y</v>
          </cell>
          <cell r="I532" t="str">
            <v>MLB</v>
          </cell>
          <cell r="K532" t="str">
            <v>MSNMBF</v>
          </cell>
          <cell r="L532">
            <v>50</v>
          </cell>
          <cell r="M532" t="str">
            <v>ＭＥＴＡＬＵＭＹ　ＳＩＬＶＥＲ　Ｎ－ＭＡＴＴＥ　Ｘ４４Ｍ　Ｂ</v>
          </cell>
          <cell r="N532">
            <v>1120</v>
          </cell>
          <cell r="O532">
            <v>1120</v>
          </cell>
          <cell r="P532">
            <v>4000</v>
          </cell>
          <cell r="Q532">
            <v>2</v>
          </cell>
        </row>
        <row r="533">
          <cell r="A533">
            <v>3723649</v>
          </cell>
          <cell r="B533" t="str">
            <v>福島コーティング</v>
          </cell>
          <cell r="C533" t="str">
            <v>プロセス材１課</v>
          </cell>
          <cell r="D533" t="str">
            <v>ダミー担当者</v>
          </cell>
          <cell r="E533" t="str">
            <v>リンテック㈱</v>
          </cell>
          <cell r="F533">
            <v>3</v>
          </cell>
          <cell r="G533" t="str">
            <v>S</v>
          </cell>
          <cell r="H533" t="str">
            <v>Y</v>
          </cell>
          <cell r="I533" t="str">
            <v>MLB</v>
          </cell>
          <cell r="K533" t="str">
            <v>MSNMBF</v>
          </cell>
          <cell r="L533">
            <v>50</v>
          </cell>
          <cell r="M533" t="str">
            <v>ＭＥＴＡＬＵＭＹ　ＳＩＬＶＥＲ　Ｎ－ＭＡＴＴＥ　Ｘ４４Ｍ　Ｂ</v>
          </cell>
          <cell r="N533">
            <v>1120</v>
          </cell>
          <cell r="O533">
            <v>1120</v>
          </cell>
          <cell r="P533">
            <v>4000</v>
          </cell>
          <cell r="Q533">
            <v>2</v>
          </cell>
        </row>
        <row r="534">
          <cell r="A534">
            <v>3723650</v>
          </cell>
          <cell r="B534" t="str">
            <v>福島コーティング</v>
          </cell>
          <cell r="C534" t="str">
            <v>プロセス材１課</v>
          </cell>
          <cell r="D534" t="str">
            <v>ダミー担当者</v>
          </cell>
          <cell r="E534" t="str">
            <v>リンテック㈱</v>
          </cell>
          <cell r="F534">
            <v>3</v>
          </cell>
          <cell r="G534" t="str">
            <v>S</v>
          </cell>
          <cell r="H534" t="str">
            <v>Y</v>
          </cell>
          <cell r="I534" t="str">
            <v>MLB</v>
          </cell>
          <cell r="K534" t="str">
            <v>MSBBF</v>
          </cell>
          <cell r="L534">
            <v>50</v>
          </cell>
          <cell r="M534" t="str">
            <v>ＭＥＴＡＬＵＭＹ　ＳＩＬＶＥＲ　ＢＲＩＧＨＴ　Ｔ６２Ｍ　Ｂ</v>
          </cell>
          <cell r="N534">
            <v>1120</v>
          </cell>
          <cell r="O534">
            <v>1120</v>
          </cell>
          <cell r="P534">
            <v>5000</v>
          </cell>
          <cell r="Q534">
            <v>2</v>
          </cell>
        </row>
        <row r="535">
          <cell r="A535">
            <v>3724503</v>
          </cell>
          <cell r="B535" t="str">
            <v>福島コーティング</v>
          </cell>
          <cell r="C535" t="str">
            <v>プロセス材１課</v>
          </cell>
          <cell r="D535" t="str">
            <v>ダミー担当者</v>
          </cell>
          <cell r="E535" t="str">
            <v>リンテック㈱</v>
          </cell>
          <cell r="F535">
            <v>3</v>
          </cell>
          <cell r="G535" t="str">
            <v>S</v>
          </cell>
          <cell r="H535" t="str">
            <v>N</v>
          </cell>
          <cell r="I535" t="str">
            <v>MCLB</v>
          </cell>
          <cell r="K535" t="str">
            <v>NGKEYKB</v>
          </cell>
          <cell r="L535">
            <v>16</v>
          </cell>
          <cell r="M535" t="str">
            <v>メタルミー　ネーマー　ギンケシ　ＥＹＫＢ</v>
          </cell>
          <cell r="N535">
            <v>1000</v>
          </cell>
          <cell r="O535">
            <v>1000</v>
          </cell>
          <cell r="P535">
            <v>3200</v>
          </cell>
          <cell r="Q535">
            <v>2</v>
          </cell>
        </row>
        <row r="536">
          <cell r="A536">
            <v>3724504</v>
          </cell>
          <cell r="B536" t="str">
            <v>機能Ｆ　ラベル福島原</v>
          </cell>
          <cell r="C536" t="str">
            <v>プロセス材１課</v>
          </cell>
          <cell r="D536" t="str">
            <v>ダミー担当者</v>
          </cell>
          <cell r="E536" t="str">
            <v>リンテック㈱</v>
          </cell>
          <cell r="F536">
            <v>3</v>
          </cell>
          <cell r="G536" t="str">
            <v>T</v>
          </cell>
          <cell r="H536" t="str">
            <v>N</v>
          </cell>
          <cell r="I536" t="str">
            <v>MCLB</v>
          </cell>
          <cell r="K536" t="str">
            <v>HLGKJV</v>
          </cell>
          <cell r="L536">
            <v>50</v>
          </cell>
          <cell r="M536" t="str">
            <v>メタルミー　ヘヤライン　銀消Ｖ</v>
          </cell>
          <cell r="N536">
            <v>1005</v>
          </cell>
          <cell r="O536">
            <v>1000</v>
          </cell>
          <cell r="P536">
            <v>2000</v>
          </cell>
          <cell r="Q536">
            <v>2</v>
          </cell>
        </row>
        <row r="537">
          <cell r="A537">
            <v>3724505</v>
          </cell>
          <cell r="B537" t="str">
            <v>機能Ｆ　ラベル福島原</v>
          </cell>
          <cell r="C537" t="str">
            <v>プロセス材１課</v>
          </cell>
          <cell r="D537" t="str">
            <v>ダミー担当者</v>
          </cell>
          <cell r="E537" t="str">
            <v>リンテック㈱</v>
          </cell>
          <cell r="F537">
            <v>3</v>
          </cell>
          <cell r="G537" t="str">
            <v>T</v>
          </cell>
          <cell r="H537" t="str">
            <v>N</v>
          </cell>
          <cell r="I537" t="str">
            <v>MCLB</v>
          </cell>
          <cell r="K537" t="str">
            <v>HLGTV</v>
          </cell>
          <cell r="L537">
            <v>50</v>
          </cell>
          <cell r="M537" t="str">
            <v>メタルミー　ヘヤライン　銀艶Ｖ</v>
          </cell>
          <cell r="N537">
            <v>1005</v>
          </cell>
          <cell r="O537">
            <v>1000</v>
          </cell>
          <cell r="P537">
            <v>4000</v>
          </cell>
          <cell r="Q537">
            <v>2</v>
          </cell>
        </row>
        <row r="538">
          <cell r="A538">
            <v>3725012</v>
          </cell>
          <cell r="B538" t="str">
            <v>福島コーティング</v>
          </cell>
          <cell r="C538" t="str">
            <v>プロセス材１課</v>
          </cell>
          <cell r="D538" t="str">
            <v>ダミー担当者</v>
          </cell>
          <cell r="E538" t="str">
            <v>リンテック㈱</v>
          </cell>
          <cell r="F538">
            <v>3</v>
          </cell>
          <cell r="G538" t="str">
            <v>S</v>
          </cell>
          <cell r="H538" t="str">
            <v>N</v>
          </cell>
          <cell r="I538" t="str">
            <v>MLB</v>
          </cell>
          <cell r="K538" t="str">
            <v>MNGKKBF</v>
          </cell>
          <cell r="L538">
            <v>25</v>
          </cell>
          <cell r="M538" t="str">
            <v>メタルミー　ネーマー銀消改　Ｂ</v>
          </cell>
          <cell r="N538">
            <v>1120</v>
          </cell>
          <cell r="O538">
            <v>1120</v>
          </cell>
          <cell r="P538">
            <v>4000</v>
          </cell>
          <cell r="Q538">
            <v>2</v>
          </cell>
        </row>
        <row r="539">
          <cell r="A539">
            <v>3725013</v>
          </cell>
          <cell r="B539" t="str">
            <v>福島コーティング</v>
          </cell>
          <cell r="C539" t="str">
            <v>プロセス材１課</v>
          </cell>
          <cell r="D539" t="str">
            <v>ダミー担当者</v>
          </cell>
          <cell r="E539" t="str">
            <v>リンテック㈱</v>
          </cell>
          <cell r="F539">
            <v>3</v>
          </cell>
          <cell r="G539" t="str">
            <v>S</v>
          </cell>
          <cell r="H539" t="str">
            <v>N</v>
          </cell>
          <cell r="I539" t="str">
            <v>MLB</v>
          </cell>
          <cell r="K539" t="str">
            <v>MNGTBF</v>
          </cell>
          <cell r="L539">
            <v>50</v>
          </cell>
          <cell r="M539" t="str">
            <v>メタルミー　ネーマー　銀艶　Ｂ</v>
          </cell>
          <cell r="N539">
            <v>1120</v>
          </cell>
          <cell r="O539">
            <v>1120</v>
          </cell>
          <cell r="P539">
            <v>5000</v>
          </cell>
          <cell r="Q539">
            <v>2</v>
          </cell>
        </row>
        <row r="540">
          <cell r="A540">
            <v>3725014</v>
          </cell>
          <cell r="B540" t="str">
            <v>福島コーティング</v>
          </cell>
          <cell r="C540" t="str">
            <v>プロセス材１課</v>
          </cell>
          <cell r="D540" t="str">
            <v>ダミー担当者</v>
          </cell>
          <cell r="E540" t="str">
            <v>リンテック㈱</v>
          </cell>
          <cell r="F540">
            <v>3</v>
          </cell>
          <cell r="G540" t="str">
            <v>S</v>
          </cell>
          <cell r="H540" t="str">
            <v>N</v>
          </cell>
          <cell r="I540" t="str">
            <v>MLB</v>
          </cell>
          <cell r="K540" t="str">
            <v>MNNGKBF</v>
          </cell>
          <cell r="L540">
            <v>50</v>
          </cell>
          <cell r="M540" t="str">
            <v>メタルミー　ニューネーマー銀消　Ｂ</v>
          </cell>
          <cell r="N540">
            <v>1000</v>
          </cell>
          <cell r="O540">
            <v>1000</v>
          </cell>
          <cell r="P540">
            <v>4000</v>
          </cell>
          <cell r="Q540">
            <v>2</v>
          </cell>
        </row>
        <row r="541">
          <cell r="A541">
            <v>3725626</v>
          </cell>
          <cell r="B541" t="str">
            <v>機能Ｆ　ラベル福島開</v>
          </cell>
          <cell r="C541" t="str">
            <v>プロセス材２課</v>
          </cell>
          <cell r="D541" t="str">
            <v>ダミー担当者</v>
          </cell>
          <cell r="E541" t="str">
            <v>栃木カネカ㈱電材検査</v>
          </cell>
          <cell r="F541">
            <v>3</v>
          </cell>
          <cell r="G541" t="str">
            <v>U</v>
          </cell>
          <cell r="H541" t="str">
            <v>N</v>
          </cell>
          <cell r="I541" t="str">
            <v>MLB</v>
          </cell>
          <cell r="K541" t="str">
            <v>KF9BF</v>
          </cell>
          <cell r="L541">
            <v>9</v>
          </cell>
          <cell r="M541" t="str">
            <v>ＫＦ－９Ｂ</v>
          </cell>
          <cell r="N541">
            <v>1000</v>
          </cell>
          <cell r="O541">
            <v>1000</v>
          </cell>
          <cell r="P541">
            <v>500</v>
          </cell>
          <cell r="Q541">
            <v>2</v>
          </cell>
        </row>
        <row r="542">
          <cell r="A542">
            <v>3725627</v>
          </cell>
          <cell r="B542" t="str">
            <v>機能Ｆ　ラベル福島開</v>
          </cell>
          <cell r="C542" t="str">
            <v>プロセス材２課</v>
          </cell>
          <cell r="D542" t="str">
            <v>ダミー担当者</v>
          </cell>
          <cell r="E542" t="str">
            <v>栃木カネカ㈱電材検査</v>
          </cell>
          <cell r="F542">
            <v>3</v>
          </cell>
          <cell r="G542" t="str">
            <v>U</v>
          </cell>
          <cell r="H542" t="str">
            <v>N</v>
          </cell>
          <cell r="I542" t="str">
            <v>MLB</v>
          </cell>
          <cell r="K542" t="str">
            <v>KF9BF</v>
          </cell>
          <cell r="L542">
            <v>9</v>
          </cell>
          <cell r="M542" t="str">
            <v>ＫＦ－９Ｂ</v>
          </cell>
          <cell r="N542">
            <v>1200</v>
          </cell>
          <cell r="O542">
            <v>1200</v>
          </cell>
          <cell r="P542">
            <v>2000</v>
          </cell>
          <cell r="Q542">
            <v>2</v>
          </cell>
        </row>
        <row r="543">
          <cell r="A543">
            <v>3725628</v>
          </cell>
          <cell r="B543" t="str">
            <v>機能材料ＫＮＺ福開発</v>
          </cell>
          <cell r="C543" t="str">
            <v>工材１部大阪電材課</v>
          </cell>
          <cell r="D543" t="str">
            <v>ダミー担当者</v>
          </cell>
          <cell r="E543" t="str">
            <v>日東電工有限公司</v>
          </cell>
          <cell r="F543">
            <v>3</v>
          </cell>
          <cell r="G543" t="str">
            <v>U</v>
          </cell>
          <cell r="H543" t="str">
            <v>Y</v>
          </cell>
          <cell r="I543" t="str">
            <v>KNZ</v>
          </cell>
          <cell r="K543" t="str">
            <v>MCRALCB</v>
          </cell>
          <cell r="L543">
            <v>25</v>
          </cell>
          <cell r="M543" t="str">
            <v>Ｍｅｔａｌｕｍｙ　ＣＲ　ａｌｕｍｉｎｕｍ　ｓｕｒｆａｃｅ　ｃｏａｔ　Ｂ</v>
          </cell>
          <cell r="N543">
            <v>1050</v>
          </cell>
          <cell r="O543">
            <v>1050</v>
          </cell>
          <cell r="P543">
            <v>6000</v>
          </cell>
          <cell r="Q543">
            <v>1</v>
          </cell>
        </row>
        <row r="544">
          <cell r="A544">
            <v>3725778</v>
          </cell>
          <cell r="B544" t="str">
            <v>機能Ｆ　ラベル福島原</v>
          </cell>
          <cell r="C544" t="str">
            <v>プロセス材１課</v>
          </cell>
          <cell r="D544" t="str">
            <v>ダミー担当者</v>
          </cell>
          <cell r="E544" t="str">
            <v>リンテック㈱</v>
          </cell>
          <cell r="F544">
            <v>3</v>
          </cell>
          <cell r="G544" t="str">
            <v>T</v>
          </cell>
          <cell r="H544" t="str">
            <v>N</v>
          </cell>
          <cell r="I544" t="str">
            <v>MCLB</v>
          </cell>
          <cell r="K544" t="str">
            <v>HLGTV</v>
          </cell>
          <cell r="L544">
            <v>50</v>
          </cell>
          <cell r="M544" t="str">
            <v>メタルミー　ヘヤライン　銀艶Ｖ</v>
          </cell>
          <cell r="N544">
            <v>1005</v>
          </cell>
          <cell r="O544">
            <v>1000</v>
          </cell>
          <cell r="P544">
            <v>4100</v>
          </cell>
          <cell r="Q544">
            <v>2</v>
          </cell>
        </row>
        <row r="545">
          <cell r="A545">
            <v>3686426</v>
          </cell>
          <cell r="B545" t="str">
            <v>機能Ｆ　ラベル福島開</v>
          </cell>
          <cell r="C545" t="str">
            <v>工材１部大阪電材課</v>
          </cell>
          <cell r="D545" t="str">
            <v>ダミー担当者</v>
          </cell>
          <cell r="E545" t="str">
            <v>日東電工㈱豊橋工場</v>
          </cell>
          <cell r="F545">
            <v>3</v>
          </cell>
          <cell r="G545" t="str">
            <v>U</v>
          </cell>
          <cell r="H545" t="str">
            <v>N</v>
          </cell>
          <cell r="I545" t="str">
            <v>MLB</v>
          </cell>
          <cell r="K545" t="str">
            <v>MTSF</v>
          </cell>
          <cell r="L545">
            <v>50</v>
          </cell>
          <cell r="M545" t="str">
            <v>メタルミー　ＴＳ</v>
          </cell>
          <cell r="N545">
            <v>1250</v>
          </cell>
          <cell r="O545">
            <v>1250</v>
          </cell>
          <cell r="P545">
            <v>3000</v>
          </cell>
          <cell r="Q545">
            <v>2</v>
          </cell>
        </row>
        <row r="546">
          <cell r="A546">
            <v>3691086</v>
          </cell>
          <cell r="B546" t="str">
            <v>福島コーティング</v>
          </cell>
          <cell r="C546" t="str">
            <v>工材１部電材課</v>
          </cell>
          <cell r="D546" t="str">
            <v>ダミー担当者</v>
          </cell>
          <cell r="E546" t="str">
            <v>栗村化学</v>
          </cell>
          <cell r="F546">
            <v>331</v>
          </cell>
          <cell r="G546" t="str">
            <v>S</v>
          </cell>
          <cell r="H546" t="str">
            <v>Y</v>
          </cell>
          <cell r="I546" t="str">
            <v>CERA</v>
          </cell>
          <cell r="K546" t="str">
            <v>SY09</v>
          </cell>
          <cell r="L546">
            <v>50</v>
          </cell>
          <cell r="M546" t="str">
            <v>セラピール　ＳＹ（０９）</v>
          </cell>
          <cell r="N546">
            <v>1050</v>
          </cell>
          <cell r="O546">
            <v>1040</v>
          </cell>
          <cell r="P546">
            <v>4000</v>
          </cell>
          <cell r="Q546">
            <v>2</v>
          </cell>
        </row>
        <row r="547">
          <cell r="A547">
            <v>3700913</v>
          </cell>
          <cell r="B547" t="str">
            <v>福島コーティング</v>
          </cell>
          <cell r="C547" t="str">
            <v>工材１部大阪電材課</v>
          </cell>
          <cell r="D547" t="str">
            <v>ダミー担当者</v>
          </cell>
          <cell r="E547" t="str">
            <v>日東電工㈱豊橋工場</v>
          </cell>
          <cell r="F547">
            <v>3</v>
          </cell>
          <cell r="G547" t="str">
            <v>S</v>
          </cell>
          <cell r="H547" t="str">
            <v>N</v>
          </cell>
          <cell r="I547" t="str">
            <v>CERA</v>
          </cell>
          <cell r="K547" t="str">
            <v>MD(A)R</v>
          </cell>
          <cell r="L547">
            <v>38</v>
          </cell>
          <cell r="M547" t="str">
            <v>セラピール　ＭＤ（Ａ）（Ｒ）</v>
          </cell>
          <cell r="N547">
            <v>1585</v>
          </cell>
          <cell r="O547">
            <v>1580</v>
          </cell>
          <cell r="P547">
            <v>4000</v>
          </cell>
          <cell r="Q547">
            <v>2</v>
          </cell>
        </row>
        <row r="548">
          <cell r="A548">
            <v>3700915</v>
          </cell>
          <cell r="B548" t="str">
            <v>福島コーティング</v>
          </cell>
          <cell r="C548" t="str">
            <v>工材１部大阪電材課</v>
          </cell>
          <cell r="D548" t="str">
            <v>ダミー担当者</v>
          </cell>
          <cell r="E548" t="str">
            <v>日東電工㈱豊橋工場</v>
          </cell>
          <cell r="F548">
            <v>3</v>
          </cell>
          <cell r="G548" t="str">
            <v>S</v>
          </cell>
          <cell r="H548" t="str">
            <v>N</v>
          </cell>
          <cell r="I548" t="str">
            <v>CERA</v>
          </cell>
          <cell r="K548" t="str">
            <v>MD(A)R</v>
          </cell>
          <cell r="L548">
            <v>38</v>
          </cell>
          <cell r="M548" t="str">
            <v>セラピール　ＭＤ（Ａ）（Ｒ）</v>
          </cell>
          <cell r="N548">
            <v>1255</v>
          </cell>
          <cell r="O548">
            <v>1250</v>
          </cell>
          <cell r="P548">
            <v>6000</v>
          </cell>
          <cell r="Q548">
            <v>2</v>
          </cell>
        </row>
        <row r="549">
          <cell r="A549">
            <v>3700938</v>
          </cell>
          <cell r="B549" t="str">
            <v>情材福島原価</v>
          </cell>
          <cell r="C549" t="str">
            <v>工材３部工材１課</v>
          </cell>
          <cell r="D549" t="str">
            <v>ダミー担当者</v>
          </cell>
          <cell r="E549" t="str">
            <v>フジコピアン　岡山</v>
          </cell>
          <cell r="F549">
            <v>3</v>
          </cell>
          <cell r="G549" t="str">
            <v>T</v>
          </cell>
          <cell r="H549" t="str">
            <v>N</v>
          </cell>
          <cell r="I549" t="str">
            <v>CERA</v>
          </cell>
          <cell r="K549" t="str">
            <v>WZU</v>
          </cell>
          <cell r="L549">
            <v>25</v>
          </cell>
          <cell r="M549" t="str">
            <v>セラピール　　　　　　　　　　　ＷＺ（Ｕ）</v>
          </cell>
          <cell r="N549">
            <v>1155</v>
          </cell>
          <cell r="O549">
            <v>1150</v>
          </cell>
          <cell r="P549">
            <v>12400</v>
          </cell>
          <cell r="Q549">
            <v>2</v>
          </cell>
        </row>
        <row r="550">
          <cell r="A550">
            <v>3700942</v>
          </cell>
          <cell r="B550" t="str">
            <v>福島コーティング</v>
          </cell>
          <cell r="C550" t="str">
            <v>工材１部電材課</v>
          </cell>
          <cell r="D550" t="str">
            <v>ダミー担当者</v>
          </cell>
          <cell r="E550" t="str">
            <v>栗村化学</v>
          </cell>
          <cell r="F550">
            <v>331</v>
          </cell>
          <cell r="G550" t="str">
            <v>S</v>
          </cell>
          <cell r="H550" t="str">
            <v>Y</v>
          </cell>
          <cell r="I550" t="str">
            <v>CERA</v>
          </cell>
          <cell r="K550" t="str">
            <v>SY09</v>
          </cell>
          <cell r="L550">
            <v>50</v>
          </cell>
          <cell r="M550" t="str">
            <v>セラピール　ＳＹ（０９）</v>
          </cell>
          <cell r="N550">
            <v>1050</v>
          </cell>
          <cell r="O550">
            <v>1040</v>
          </cell>
          <cell r="P550">
            <v>4000</v>
          </cell>
          <cell r="Q550">
            <v>2</v>
          </cell>
        </row>
        <row r="551">
          <cell r="A551">
            <v>3716211</v>
          </cell>
          <cell r="B551" t="str">
            <v>福島コーティング</v>
          </cell>
          <cell r="C551" t="str">
            <v>工材１部大阪電材課</v>
          </cell>
          <cell r="D551" t="str">
            <v>ダミー担当者</v>
          </cell>
          <cell r="E551" t="str">
            <v>日東電工㈱豊橋工場</v>
          </cell>
          <cell r="F551">
            <v>3</v>
          </cell>
          <cell r="G551" t="str">
            <v>S</v>
          </cell>
          <cell r="H551" t="str">
            <v>N</v>
          </cell>
          <cell r="I551" t="str">
            <v>CERA</v>
          </cell>
          <cell r="K551" t="str">
            <v>MD(A)R</v>
          </cell>
          <cell r="L551">
            <v>38</v>
          </cell>
          <cell r="M551" t="str">
            <v>セラピール　ＭＤ（Ａ）（Ｒ）</v>
          </cell>
          <cell r="N551">
            <v>1255</v>
          </cell>
          <cell r="O551">
            <v>1250</v>
          </cell>
          <cell r="P551">
            <v>6000</v>
          </cell>
          <cell r="Q551">
            <v>2</v>
          </cell>
        </row>
        <row r="552">
          <cell r="A552">
            <v>3667055</v>
          </cell>
          <cell r="B552" t="str">
            <v>福島コーティング</v>
          </cell>
          <cell r="C552" t="str">
            <v>工材１部電材課</v>
          </cell>
          <cell r="D552" t="str">
            <v>ダミー担当者</v>
          </cell>
          <cell r="E552" t="str">
            <v>古河電気工業㈱</v>
          </cell>
          <cell r="F552">
            <v>3</v>
          </cell>
          <cell r="G552" t="str">
            <v>S</v>
          </cell>
          <cell r="H552" t="str">
            <v>N</v>
          </cell>
          <cell r="I552" t="str">
            <v>CERA</v>
          </cell>
          <cell r="K552" t="str">
            <v>WZE</v>
          </cell>
          <cell r="L552">
            <v>38</v>
          </cell>
          <cell r="M552" t="str">
            <v>セラピール　　　　　　　　　　　ＷＺ（Ｅ）</v>
          </cell>
          <cell r="N552">
            <v>1240</v>
          </cell>
          <cell r="O552">
            <v>1240</v>
          </cell>
          <cell r="P552">
            <v>6000</v>
          </cell>
          <cell r="Q552">
            <v>2</v>
          </cell>
        </row>
        <row r="553">
          <cell r="A553">
            <v>3667056</v>
          </cell>
          <cell r="B553" t="str">
            <v>福島コーティング</v>
          </cell>
          <cell r="C553" t="str">
            <v>工材１部電材課</v>
          </cell>
          <cell r="D553" t="str">
            <v>ダミー担当者</v>
          </cell>
          <cell r="E553" t="str">
            <v>東洋包材㈱</v>
          </cell>
          <cell r="F553">
            <v>3</v>
          </cell>
          <cell r="G553" t="str">
            <v>S</v>
          </cell>
          <cell r="H553" t="str">
            <v>N</v>
          </cell>
          <cell r="I553" t="str">
            <v>CERA</v>
          </cell>
          <cell r="K553" t="str">
            <v>WZRX</v>
          </cell>
          <cell r="L553">
            <v>38</v>
          </cell>
          <cell r="M553" t="str">
            <v>セラピール　ＷＺ（ＲＸ）　　　　　　</v>
          </cell>
          <cell r="N553">
            <v>1135</v>
          </cell>
          <cell r="O553">
            <v>1130</v>
          </cell>
          <cell r="P553">
            <v>6000</v>
          </cell>
          <cell r="Q553">
            <v>2</v>
          </cell>
        </row>
        <row r="554">
          <cell r="A554">
            <v>3667057</v>
          </cell>
          <cell r="B554" t="str">
            <v>福島コーティング</v>
          </cell>
          <cell r="C554" t="str">
            <v>工材１部大阪電材課</v>
          </cell>
          <cell r="D554" t="str">
            <v>ダミー担当者</v>
          </cell>
          <cell r="E554" t="str">
            <v>東洋機材</v>
          </cell>
          <cell r="F554">
            <v>3</v>
          </cell>
          <cell r="G554" t="str">
            <v>S</v>
          </cell>
          <cell r="H554" t="str">
            <v>N</v>
          </cell>
          <cell r="I554" t="str">
            <v>CERA</v>
          </cell>
          <cell r="K554" t="str">
            <v>WZS</v>
          </cell>
          <cell r="L554">
            <v>125</v>
          </cell>
          <cell r="M554" t="str">
            <v>セラピール　ＷＺ（Ｓ）</v>
          </cell>
          <cell r="N554">
            <v>1230</v>
          </cell>
          <cell r="O554">
            <v>1225</v>
          </cell>
          <cell r="P554">
            <v>1800</v>
          </cell>
          <cell r="Q554">
            <v>2</v>
          </cell>
        </row>
        <row r="555">
          <cell r="A555">
            <v>3667058</v>
          </cell>
          <cell r="B555" t="str">
            <v>福島コーティング</v>
          </cell>
          <cell r="C555" t="str">
            <v>工材１部電材課</v>
          </cell>
          <cell r="D555" t="str">
            <v>ダミー担当者</v>
          </cell>
          <cell r="E555" t="str">
            <v>パナック㈱亀山工場</v>
          </cell>
          <cell r="F555">
            <v>3</v>
          </cell>
          <cell r="G555" t="str">
            <v>S</v>
          </cell>
          <cell r="H555" t="str">
            <v>N</v>
          </cell>
          <cell r="I555" t="str">
            <v>CERA</v>
          </cell>
          <cell r="K555" t="str">
            <v>WZ</v>
          </cell>
          <cell r="L555">
            <v>25</v>
          </cell>
          <cell r="M555" t="str">
            <v>セラピール　　　　　　　　　　　ＷＺ</v>
          </cell>
          <cell r="N555">
            <v>1145</v>
          </cell>
          <cell r="O555">
            <v>1145</v>
          </cell>
          <cell r="P555">
            <v>16300</v>
          </cell>
          <cell r="Q555">
            <v>2</v>
          </cell>
        </row>
        <row r="556">
          <cell r="A556">
            <v>3667059</v>
          </cell>
          <cell r="B556" t="str">
            <v>福島コーティング</v>
          </cell>
          <cell r="C556" t="str">
            <v>工材１部電材課</v>
          </cell>
          <cell r="D556" t="str">
            <v>ダミー担当者</v>
          </cell>
          <cell r="E556" t="str">
            <v>パナック㈱亀山工場</v>
          </cell>
          <cell r="F556">
            <v>3</v>
          </cell>
          <cell r="G556" t="str">
            <v>S</v>
          </cell>
          <cell r="H556" t="str">
            <v>N</v>
          </cell>
          <cell r="I556" t="str">
            <v>CERA</v>
          </cell>
          <cell r="K556" t="str">
            <v>WZ</v>
          </cell>
          <cell r="L556">
            <v>25</v>
          </cell>
          <cell r="M556" t="str">
            <v>セラピール　　　　　　　　　　　ＷＺ</v>
          </cell>
          <cell r="N556">
            <v>1325</v>
          </cell>
          <cell r="O556">
            <v>1320</v>
          </cell>
          <cell r="P556">
            <v>6000</v>
          </cell>
          <cell r="Q556">
            <v>2</v>
          </cell>
        </row>
        <row r="557">
          <cell r="A557">
            <v>3667060</v>
          </cell>
          <cell r="B557" t="str">
            <v>情材福島原価</v>
          </cell>
          <cell r="C557" t="str">
            <v>プロセス材２課</v>
          </cell>
          <cell r="D557" t="str">
            <v>ダミー担当者</v>
          </cell>
          <cell r="E557" t="str">
            <v>日榮新化㈱</v>
          </cell>
          <cell r="F557">
            <v>3</v>
          </cell>
          <cell r="G557" t="str">
            <v>T</v>
          </cell>
          <cell r="H557" t="str">
            <v>N</v>
          </cell>
          <cell r="I557" t="str">
            <v>CERA</v>
          </cell>
          <cell r="K557" t="str">
            <v>WZS</v>
          </cell>
          <cell r="L557">
            <v>25</v>
          </cell>
          <cell r="M557" t="str">
            <v>セラピールＷＺ（Ｓ）</v>
          </cell>
          <cell r="N557">
            <v>1425</v>
          </cell>
          <cell r="O557">
            <v>1420</v>
          </cell>
          <cell r="P557">
            <v>12400</v>
          </cell>
          <cell r="Q557">
            <v>2</v>
          </cell>
        </row>
        <row r="558">
          <cell r="A558">
            <v>3667060</v>
          </cell>
          <cell r="B558" t="str">
            <v>情材福島原価</v>
          </cell>
          <cell r="C558" t="str">
            <v>プロセス材２課</v>
          </cell>
          <cell r="D558" t="str">
            <v>ダミー担当者</v>
          </cell>
          <cell r="E558" t="str">
            <v>日榮新化㈱</v>
          </cell>
          <cell r="F558">
            <v>3</v>
          </cell>
          <cell r="G558" t="str">
            <v>T</v>
          </cell>
          <cell r="H558" t="str">
            <v>N</v>
          </cell>
          <cell r="I558" t="str">
            <v>CERA</v>
          </cell>
          <cell r="K558" t="str">
            <v>WZS</v>
          </cell>
          <cell r="L558">
            <v>25</v>
          </cell>
          <cell r="M558" t="str">
            <v>セラピールＷＺ（Ｓ）</v>
          </cell>
          <cell r="N558">
            <v>1425</v>
          </cell>
          <cell r="O558">
            <v>1420</v>
          </cell>
          <cell r="P558">
            <v>12400</v>
          </cell>
          <cell r="Q558">
            <v>2</v>
          </cell>
        </row>
        <row r="559">
          <cell r="A559">
            <v>3667061</v>
          </cell>
          <cell r="B559" t="str">
            <v>福島コーティング</v>
          </cell>
          <cell r="C559" t="str">
            <v>工材１部電材課</v>
          </cell>
          <cell r="D559" t="str">
            <v>ダミー担当者</v>
          </cell>
          <cell r="E559" t="str">
            <v>古河電気工業㈱</v>
          </cell>
          <cell r="F559">
            <v>3</v>
          </cell>
          <cell r="G559" t="str">
            <v>S</v>
          </cell>
          <cell r="H559" t="str">
            <v>N</v>
          </cell>
          <cell r="I559" t="str">
            <v>CERA</v>
          </cell>
          <cell r="K559" t="str">
            <v>WZE</v>
          </cell>
          <cell r="L559">
            <v>25</v>
          </cell>
          <cell r="M559" t="str">
            <v>セラピール　　　　　　　　　　　ＷＺ（Ｅ）</v>
          </cell>
          <cell r="N559">
            <v>1040</v>
          </cell>
          <cell r="O559">
            <v>1040</v>
          </cell>
          <cell r="P559">
            <v>6000</v>
          </cell>
          <cell r="Q559">
            <v>2</v>
          </cell>
        </row>
        <row r="560">
          <cell r="A560">
            <v>3667062</v>
          </cell>
          <cell r="B560" t="str">
            <v>情材福島原価</v>
          </cell>
          <cell r="C560" t="str">
            <v>工材１部電材課</v>
          </cell>
          <cell r="D560" t="str">
            <v>ダミー担当者</v>
          </cell>
          <cell r="E560" t="str">
            <v>藤産業㈱</v>
          </cell>
          <cell r="F560">
            <v>3</v>
          </cell>
          <cell r="G560" t="str">
            <v>T</v>
          </cell>
          <cell r="H560" t="str">
            <v>N</v>
          </cell>
          <cell r="I560" t="str">
            <v>CERA</v>
          </cell>
          <cell r="K560" t="str">
            <v>WZ34</v>
          </cell>
          <cell r="L560">
            <v>25</v>
          </cell>
          <cell r="M560" t="str">
            <v>セラピール　ＷＺ（３４）</v>
          </cell>
          <cell r="N560">
            <v>1410</v>
          </cell>
          <cell r="O560">
            <v>1410</v>
          </cell>
          <cell r="P560">
            <v>6000</v>
          </cell>
          <cell r="Q560">
            <v>2</v>
          </cell>
        </row>
        <row r="561">
          <cell r="A561">
            <v>3667062</v>
          </cell>
          <cell r="B561" t="str">
            <v>情材福島原価</v>
          </cell>
          <cell r="C561" t="str">
            <v>工材１部電材課</v>
          </cell>
          <cell r="D561" t="str">
            <v>ダミー担当者</v>
          </cell>
          <cell r="E561" t="str">
            <v>藤産業㈱</v>
          </cell>
          <cell r="F561">
            <v>3</v>
          </cell>
          <cell r="G561" t="str">
            <v>T</v>
          </cell>
          <cell r="H561" t="str">
            <v>N</v>
          </cell>
          <cell r="I561" t="str">
            <v>CERA</v>
          </cell>
          <cell r="K561" t="str">
            <v>WZ34</v>
          </cell>
          <cell r="L561">
            <v>25</v>
          </cell>
          <cell r="M561" t="str">
            <v>セラピール　ＷＺ（３４）</v>
          </cell>
          <cell r="N561">
            <v>1410</v>
          </cell>
          <cell r="O561">
            <v>1410</v>
          </cell>
          <cell r="P561">
            <v>6000</v>
          </cell>
          <cell r="Q561">
            <v>2</v>
          </cell>
        </row>
        <row r="562">
          <cell r="A562">
            <v>3667063</v>
          </cell>
          <cell r="B562" t="str">
            <v>福島コーティング</v>
          </cell>
          <cell r="C562" t="str">
            <v>プロセス材１課</v>
          </cell>
          <cell r="D562" t="str">
            <v>ダミー担当者</v>
          </cell>
          <cell r="E562" t="str">
            <v>リンテック㈱</v>
          </cell>
          <cell r="F562">
            <v>3</v>
          </cell>
          <cell r="G562" t="str">
            <v>S</v>
          </cell>
          <cell r="H562" t="str">
            <v>N</v>
          </cell>
          <cell r="I562" t="str">
            <v>CERA</v>
          </cell>
          <cell r="K562" t="str">
            <v>WZS</v>
          </cell>
          <cell r="L562">
            <v>38</v>
          </cell>
          <cell r="M562" t="str">
            <v>セラピール　　　　　　　　　　　ＷＺ（Ｓ）</v>
          </cell>
          <cell r="N562">
            <v>1005</v>
          </cell>
          <cell r="O562">
            <v>1000</v>
          </cell>
          <cell r="P562">
            <v>8000</v>
          </cell>
          <cell r="Q562">
            <v>2</v>
          </cell>
        </row>
        <row r="563">
          <cell r="A563">
            <v>3667064</v>
          </cell>
          <cell r="B563" t="str">
            <v>福島コーティング</v>
          </cell>
          <cell r="C563" t="str">
            <v>プロセス材１課</v>
          </cell>
          <cell r="D563" t="str">
            <v>ダミー担当者</v>
          </cell>
          <cell r="E563" t="str">
            <v>リンテック㈱</v>
          </cell>
          <cell r="F563">
            <v>3</v>
          </cell>
          <cell r="G563" t="str">
            <v>S</v>
          </cell>
          <cell r="H563" t="str">
            <v>N</v>
          </cell>
          <cell r="I563" t="str">
            <v>CERA</v>
          </cell>
          <cell r="K563" t="str">
            <v>WZS</v>
          </cell>
          <cell r="L563">
            <v>38</v>
          </cell>
          <cell r="M563" t="str">
            <v>セラピール　　　　　　　　　　　ＷＺ（Ｓ）</v>
          </cell>
          <cell r="N563">
            <v>1005</v>
          </cell>
          <cell r="O563">
            <v>1000</v>
          </cell>
          <cell r="P563">
            <v>8000</v>
          </cell>
          <cell r="Q563">
            <v>2</v>
          </cell>
        </row>
        <row r="564">
          <cell r="A564">
            <v>3667065</v>
          </cell>
          <cell r="B564" t="str">
            <v>福島コーティング</v>
          </cell>
          <cell r="C564" t="str">
            <v>プロセス材１課</v>
          </cell>
          <cell r="D564" t="str">
            <v>ダミー担当者</v>
          </cell>
          <cell r="E564" t="str">
            <v>リンテック㈱</v>
          </cell>
          <cell r="F564">
            <v>3</v>
          </cell>
          <cell r="G564" t="str">
            <v>S</v>
          </cell>
          <cell r="H564" t="str">
            <v>N</v>
          </cell>
          <cell r="I564" t="str">
            <v>CERA</v>
          </cell>
          <cell r="K564" t="str">
            <v>WZS</v>
          </cell>
          <cell r="L564">
            <v>38</v>
          </cell>
          <cell r="M564" t="str">
            <v>セラピール　　　　　　　　　　　ＷＺ（Ｓ）</v>
          </cell>
          <cell r="N564">
            <v>1415</v>
          </cell>
          <cell r="O564">
            <v>1410</v>
          </cell>
          <cell r="P564">
            <v>8000</v>
          </cell>
          <cell r="Q564">
            <v>2</v>
          </cell>
        </row>
        <row r="565">
          <cell r="A565">
            <v>3667066</v>
          </cell>
          <cell r="B565" t="str">
            <v>福島コーティング</v>
          </cell>
          <cell r="C565" t="str">
            <v>工材１部電材課</v>
          </cell>
          <cell r="D565" t="str">
            <v>ダミー担当者</v>
          </cell>
          <cell r="E565" t="str">
            <v>㈱巴川製紙所</v>
          </cell>
          <cell r="F565">
            <v>331</v>
          </cell>
          <cell r="G565" t="str">
            <v>S</v>
          </cell>
          <cell r="H565" t="str">
            <v>N</v>
          </cell>
          <cell r="I565" t="str">
            <v>CERA</v>
          </cell>
          <cell r="K565" t="str">
            <v>BKERXT</v>
          </cell>
          <cell r="L565">
            <v>38</v>
          </cell>
          <cell r="M565" t="str">
            <v>セラピール　ＢＫＥ（ＲＸ）</v>
          </cell>
          <cell r="N565">
            <v>1330</v>
          </cell>
          <cell r="O565">
            <v>1330</v>
          </cell>
          <cell r="P565">
            <v>6000</v>
          </cell>
          <cell r="Q565">
            <v>2</v>
          </cell>
        </row>
        <row r="566">
          <cell r="A566">
            <v>3667067</v>
          </cell>
          <cell r="B566" t="str">
            <v>福島コーティング</v>
          </cell>
          <cell r="C566" t="str">
            <v>工材１部電材課</v>
          </cell>
          <cell r="D566" t="str">
            <v>ダミー担当者</v>
          </cell>
          <cell r="E566" t="str">
            <v>パナック㈱亀山工場</v>
          </cell>
          <cell r="F566">
            <v>331</v>
          </cell>
          <cell r="G566" t="str">
            <v>S</v>
          </cell>
          <cell r="H566" t="str">
            <v>N</v>
          </cell>
          <cell r="I566" t="str">
            <v>CERA</v>
          </cell>
          <cell r="K566" t="str">
            <v>BKE09</v>
          </cell>
          <cell r="L566">
            <v>38</v>
          </cell>
          <cell r="M566" t="str">
            <v>セラピール　ＢＫＥ（０９）</v>
          </cell>
          <cell r="N566">
            <v>1367</v>
          </cell>
          <cell r="O566">
            <v>1360</v>
          </cell>
          <cell r="P566">
            <v>6000</v>
          </cell>
          <cell r="Q566">
            <v>2</v>
          </cell>
        </row>
        <row r="567">
          <cell r="A567">
            <v>3667068</v>
          </cell>
          <cell r="B567" t="str">
            <v>福島コーティング</v>
          </cell>
          <cell r="C567" t="str">
            <v>工材１部電材課</v>
          </cell>
          <cell r="D567" t="str">
            <v>ダミー担当者</v>
          </cell>
          <cell r="E567" t="str">
            <v>パナック㈱亀山工場</v>
          </cell>
          <cell r="F567">
            <v>331</v>
          </cell>
          <cell r="G567" t="str">
            <v>S</v>
          </cell>
          <cell r="H567" t="str">
            <v>N</v>
          </cell>
          <cell r="I567" t="str">
            <v>CERA</v>
          </cell>
          <cell r="K567" t="str">
            <v>BKE09</v>
          </cell>
          <cell r="L567">
            <v>38</v>
          </cell>
          <cell r="M567" t="str">
            <v>セラピール　ＢＫＥ（０９）</v>
          </cell>
          <cell r="N567">
            <v>1337</v>
          </cell>
          <cell r="O567">
            <v>1330</v>
          </cell>
          <cell r="P567">
            <v>6000</v>
          </cell>
          <cell r="Q567">
            <v>2</v>
          </cell>
        </row>
        <row r="568">
          <cell r="A568">
            <v>3667069</v>
          </cell>
          <cell r="B568" t="str">
            <v>福島コーティング</v>
          </cell>
          <cell r="C568" t="str">
            <v>工材１部電材課</v>
          </cell>
          <cell r="D568" t="str">
            <v>ダミー担当者</v>
          </cell>
          <cell r="E568" t="str">
            <v>積水化学武蔵工場</v>
          </cell>
          <cell r="F568">
            <v>3</v>
          </cell>
          <cell r="G568" t="str">
            <v>S</v>
          </cell>
          <cell r="H568" t="str">
            <v>N</v>
          </cell>
          <cell r="I568" t="str">
            <v>CERA</v>
          </cell>
          <cell r="K568" t="str">
            <v>BKU</v>
          </cell>
          <cell r="L568">
            <v>25</v>
          </cell>
          <cell r="M568" t="str">
            <v>セラピ－ル　ＢＫ（Ｕ）</v>
          </cell>
          <cell r="N568">
            <v>890</v>
          </cell>
          <cell r="O568">
            <v>890</v>
          </cell>
          <cell r="P568">
            <v>3800</v>
          </cell>
          <cell r="Q568">
            <v>2</v>
          </cell>
        </row>
        <row r="569">
          <cell r="A569">
            <v>3667070</v>
          </cell>
          <cell r="B569" t="str">
            <v>福島コーティング</v>
          </cell>
          <cell r="C569" t="str">
            <v>工材１部電材課</v>
          </cell>
          <cell r="D569" t="str">
            <v>ダミー担当者</v>
          </cell>
          <cell r="E569" t="str">
            <v>パナック㈱亀山工場</v>
          </cell>
          <cell r="F569">
            <v>331</v>
          </cell>
          <cell r="G569" t="str">
            <v>S</v>
          </cell>
          <cell r="H569" t="str">
            <v>N</v>
          </cell>
          <cell r="I569" t="str">
            <v>CERA</v>
          </cell>
          <cell r="K569" t="str">
            <v>BKE09</v>
          </cell>
          <cell r="L569">
            <v>38</v>
          </cell>
          <cell r="M569" t="str">
            <v>セラピール　ＢＫＥ（０９）</v>
          </cell>
          <cell r="N569">
            <v>1335</v>
          </cell>
          <cell r="O569">
            <v>1330</v>
          </cell>
          <cell r="P569">
            <v>6000</v>
          </cell>
          <cell r="Q569">
            <v>2</v>
          </cell>
        </row>
        <row r="570">
          <cell r="A570">
            <v>3667071</v>
          </cell>
          <cell r="B570" t="str">
            <v>福島コーティング</v>
          </cell>
          <cell r="C570" t="str">
            <v>工材１部電材課</v>
          </cell>
          <cell r="D570" t="str">
            <v>ダミー担当者</v>
          </cell>
          <cell r="E570" t="str">
            <v>パナック㈱亀山工場</v>
          </cell>
          <cell r="F570">
            <v>3</v>
          </cell>
          <cell r="G570" t="str">
            <v>S</v>
          </cell>
          <cell r="H570" t="str">
            <v>N</v>
          </cell>
          <cell r="I570" t="str">
            <v>CERA</v>
          </cell>
          <cell r="K570" t="str">
            <v>BKE09</v>
          </cell>
          <cell r="L570">
            <v>38</v>
          </cell>
          <cell r="M570" t="str">
            <v>セラピール　ＢＫＥ（０９）</v>
          </cell>
          <cell r="N570">
            <v>1037</v>
          </cell>
          <cell r="O570">
            <v>1030</v>
          </cell>
          <cell r="P570">
            <v>8400</v>
          </cell>
          <cell r="Q570">
            <v>2</v>
          </cell>
        </row>
        <row r="571">
          <cell r="A571">
            <v>3667072</v>
          </cell>
          <cell r="B571" t="str">
            <v>福島コーティング</v>
          </cell>
          <cell r="C571" t="str">
            <v>工材１部電材課</v>
          </cell>
          <cell r="D571" t="str">
            <v>ダミー担当者</v>
          </cell>
          <cell r="E571" t="str">
            <v>㈱巴川製紙所</v>
          </cell>
          <cell r="F571">
            <v>331</v>
          </cell>
          <cell r="G571" t="str">
            <v>S</v>
          </cell>
          <cell r="H571" t="str">
            <v>N</v>
          </cell>
          <cell r="I571" t="str">
            <v>CERA</v>
          </cell>
          <cell r="K571" t="str">
            <v>BKERXT</v>
          </cell>
          <cell r="L571">
            <v>38</v>
          </cell>
          <cell r="M571" t="str">
            <v>セラピール　ＢＫＥ（ＲＸ）</v>
          </cell>
          <cell r="N571">
            <v>1580</v>
          </cell>
          <cell r="O571">
            <v>1580</v>
          </cell>
          <cell r="P571">
            <v>6000</v>
          </cell>
          <cell r="Q571">
            <v>2</v>
          </cell>
        </row>
        <row r="572">
          <cell r="A572">
            <v>3667073</v>
          </cell>
          <cell r="B572" t="str">
            <v>福島コーティング</v>
          </cell>
          <cell r="C572" t="str">
            <v>大阪光学機能材課</v>
          </cell>
          <cell r="D572" t="str">
            <v>ダミー担当者</v>
          </cell>
          <cell r="E572" t="str">
            <v>日東電工㈱尾道事業所</v>
          </cell>
          <cell r="F572">
            <v>3321</v>
          </cell>
          <cell r="G572" t="str">
            <v>S</v>
          </cell>
          <cell r="H572" t="str">
            <v>N</v>
          </cell>
          <cell r="I572" t="str">
            <v>CERA</v>
          </cell>
          <cell r="K572" t="str">
            <v>MDACPFL</v>
          </cell>
          <cell r="L572">
            <v>38</v>
          </cell>
          <cell r="M572" t="str">
            <v>Ｋ　セラピールＭＤＡ（ＣＰＲＦ）Ｌ</v>
          </cell>
          <cell r="N572">
            <v>1336</v>
          </cell>
          <cell r="O572">
            <v>1325</v>
          </cell>
          <cell r="P572">
            <v>12000</v>
          </cell>
          <cell r="Q572">
            <v>2</v>
          </cell>
        </row>
        <row r="573">
          <cell r="A573">
            <v>3667074</v>
          </cell>
          <cell r="B573" t="str">
            <v>福島コーティング</v>
          </cell>
          <cell r="C573" t="str">
            <v>大阪光学機能材課</v>
          </cell>
          <cell r="D573" t="str">
            <v>ダミー担当者</v>
          </cell>
          <cell r="E573" t="str">
            <v>日東電工㈱尾道事業所</v>
          </cell>
          <cell r="F573">
            <v>3321</v>
          </cell>
          <cell r="G573" t="str">
            <v>S</v>
          </cell>
          <cell r="H573" t="str">
            <v>N</v>
          </cell>
          <cell r="I573" t="str">
            <v>CERA</v>
          </cell>
          <cell r="K573" t="str">
            <v>MDAPFL</v>
          </cell>
          <cell r="L573">
            <v>38</v>
          </cell>
          <cell r="M573" t="str">
            <v>Ｋ　セラピールＭＤＡ（ＰＲＦ）Ｌ</v>
          </cell>
          <cell r="N573">
            <v>1336</v>
          </cell>
          <cell r="O573">
            <v>1325</v>
          </cell>
          <cell r="P573">
            <v>12000</v>
          </cell>
          <cell r="Q573">
            <v>2</v>
          </cell>
        </row>
        <row r="574">
          <cell r="A574">
            <v>3667075</v>
          </cell>
          <cell r="B574" t="str">
            <v>福島コーティング</v>
          </cell>
          <cell r="C574" t="str">
            <v>工材１部電材課</v>
          </cell>
          <cell r="D574" t="str">
            <v>ダミー担当者</v>
          </cell>
          <cell r="E574" t="str">
            <v>パナック㈱亀山工場</v>
          </cell>
          <cell r="F574">
            <v>331</v>
          </cell>
          <cell r="G574" t="str">
            <v>S</v>
          </cell>
          <cell r="H574" t="str">
            <v>N</v>
          </cell>
          <cell r="I574" t="str">
            <v>CERA</v>
          </cell>
          <cell r="K574" t="str">
            <v>BX8ARXA</v>
          </cell>
          <cell r="L574">
            <v>38</v>
          </cell>
          <cell r="M574" t="str">
            <v>セラピール　ＢＸ８ＡＲＸ</v>
          </cell>
          <cell r="N574">
            <v>1330</v>
          </cell>
          <cell r="O574">
            <v>1330</v>
          </cell>
          <cell r="P574">
            <v>6000</v>
          </cell>
          <cell r="Q574">
            <v>2</v>
          </cell>
        </row>
        <row r="575">
          <cell r="A575">
            <v>3667076</v>
          </cell>
          <cell r="B575" t="str">
            <v>福島コーティング</v>
          </cell>
          <cell r="C575" t="str">
            <v>工材１部電材課</v>
          </cell>
          <cell r="D575" t="str">
            <v>ダミー担当者</v>
          </cell>
          <cell r="E575" t="str">
            <v>㈱巴川製紙所</v>
          </cell>
          <cell r="F575">
            <v>3</v>
          </cell>
          <cell r="G575" t="str">
            <v>S</v>
          </cell>
          <cell r="H575" t="str">
            <v>N</v>
          </cell>
          <cell r="I575" t="str">
            <v>CERA</v>
          </cell>
          <cell r="K575" t="str">
            <v>BX8AX</v>
          </cell>
          <cell r="L575">
            <v>75</v>
          </cell>
          <cell r="M575" t="str">
            <v>セラピール　　　　　　　　　　　ＢＸ８Ａ（Ｘ）</v>
          </cell>
          <cell r="N575">
            <v>1330</v>
          </cell>
          <cell r="O575">
            <v>1330</v>
          </cell>
          <cell r="P575">
            <v>4100</v>
          </cell>
          <cell r="Q575">
            <v>2</v>
          </cell>
        </row>
        <row r="576">
          <cell r="A576">
            <v>3667077</v>
          </cell>
          <cell r="B576" t="str">
            <v>福島コーティング</v>
          </cell>
          <cell r="C576" t="str">
            <v>工材１部電材課</v>
          </cell>
          <cell r="D576" t="str">
            <v>ダミー担当者</v>
          </cell>
          <cell r="E576" t="str">
            <v>㈱巴川製紙所</v>
          </cell>
          <cell r="F576">
            <v>331</v>
          </cell>
          <cell r="G576" t="str">
            <v>S</v>
          </cell>
          <cell r="H576" t="str">
            <v>N</v>
          </cell>
          <cell r="I576" t="str">
            <v>CERA</v>
          </cell>
          <cell r="K576" t="str">
            <v>BX8ARXT</v>
          </cell>
          <cell r="L576">
            <v>38</v>
          </cell>
          <cell r="M576" t="str">
            <v>セラピール　ＢＸ８ＡＲＸ</v>
          </cell>
          <cell r="N576">
            <v>1580</v>
          </cell>
          <cell r="O576">
            <v>1580</v>
          </cell>
          <cell r="P576">
            <v>6000</v>
          </cell>
          <cell r="Q576">
            <v>2</v>
          </cell>
        </row>
        <row r="577">
          <cell r="A577">
            <v>3667078</v>
          </cell>
          <cell r="B577" t="str">
            <v>情材福島原価</v>
          </cell>
          <cell r="C577" t="str">
            <v>工材１部大阪電材課</v>
          </cell>
          <cell r="D577" t="str">
            <v>ダミー担当者</v>
          </cell>
          <cell r="E577" t="str">
            <v>日東電工㈱豊橋工場</v>
          </cell>
          <cell r="F577">
            <v>3</v>
          </cell>
          <cell r="G577" t="str">
            <v>T</v>
          </cell>
          <cell r="H577" t="str">
            <v>N</v>
          </cell>
          <cell r="I577" t="str">
            <v>CERA</v>
          </cell>
          <cell r="K577" t="str">
            <v>BX8A37</v>
          </cell>
          <cell r="L577">
            <v>75</v>
          </cell>
          <cell r="M577" t="str">
            <v>セラピール　ＢＸ８Ａ（３７）</v>
          </cell>
          <cell r="N577">
            <v>1050</v>
          </cell>
          <cell r="O577">
            <v>1050</v>
          </cell>
          <cell r="P577">
            <v>5800</v>
          </cell>
          <cell r="Q577">
            <v>2</v>
          </cell>
        </row>
        <row r="578">
          <cell r="A578">
            <v>3667078</v>
          </cell>
          <cell r="B578" t="str">
            <v>情材福島原価</v>
          </cell>
          <cell r="C578" t="str">
            <v>工材１部大阪電材課</v>
          </cell>
          <cell r="D578" t="str">
            <v>ダミー担当者</v>
          </cell>
          <cell r="E578" t="str">
            <v>日東電工㈱豊橋工場</v>
          </cell>
          <cell r="F578">
            <v>3</v>
          </cell>
          <cell r="G578" t="str">
            <v>T</v>
          </cell>
          <cell r="H578" t="str">
            <v>N</v>
          </cell>
          <cell r="I578" t="str">
            <v>CERA</v>
          </cell>
          <cell r="K578" t="str">
            <v>BX8A37</v>
          </cell>
          <cell r="L578">
            <v>75</v>
          </cell>
          <cell r="M578" t="str">
            <v>セラピール　ＢＸ８Ａ（３７）</v>
          </cell>
          <cell r="N578">
            <v>1050</v>
          </cell>
          <cell r="O578">
            <v>1050</v>
          </cell>
          <cell r="P578">
            <v>5800</v>
          </cell>
          <cell r="Q578">
            <v>2</v>
          </cell>
        </row>
        <row r="579">
          <cell r="A579">
            <v>3667079</v>
          </cell>
          <cell r="B579" t="str">
            <v>福島コーティング</v>
          </cell>
          <cell r="C579" t="str">
            <v>プロセス材２課</v>
          </cell>
          <cell r="D579" t="str">
            <v>ダミー担当者</v>
          </cell>
          <cell r="E579" t="str">
            <v>日榮新化㈱</v>
          </cell>
          <cell r="F579">
            <v>3</v>
          </cell>
          <cell r="G579" t="str">
            <v>S</v>
          </cell>
          <cell r="H579" t="str">
            <v>Y</v>
          </cell>
          <cell r="I579" t="str">
            <v>CERA</v>
          </cell>
          <cell r="K579" t="str">
            <v>BX8AS</v>
          </cell>
          <cell r="L579">
            <v>75</v>
          </cell>
          <cell r="M579" t="str">
            <v>セラピール　ＢＸ８Ａ（Ｓ）</v>
          </cell>
          <cell r="N579">
            <v>1040</v>
          </cell>
          <cell r="O579">
            <v>1040</v>
          </cell>
          <cell r="P579">
            <v>4000</v>
          </cell>
          <cell r="Q579">
            <v>1</v>
          </cell>
        </row>
        <row r="580">
          <cell r="A580">
            <v>3667080</v>
          </cell>
          <cell r="B580" t="str">
            <v>福島コーティング</v>
          </cell>
          <cell r="C580" t="str">
            <v>プロセス材２課</v>
          </cell>
          <cell r="D580" t="str">
            <v>ダミー担当者</v>
          </cell>
          <cell r="E580" t="str">
            <v>日榮新化㈱</v>
          </cell>
          <cell r="F580">
            <v>3</v>
          </cell>
          <cell r="G580" t="str">
            <v>S</v>
          </cell>
          <cell r="H580" t="str">
            <v>Y</v>
          </cell>
          <cell r="I580" t="str">
            <v>CERA</v>
          </cell>
          <cell r="K580" t="str">
            <v>BX9AS</v>
          </cell>
          <cell r="L580">
            <v>75</v>
          </cell>
          <cell r="M580" t="str">
            <v>セラピール　　　　　　　　　　　ＢＸ９Ａ（Ｓ）</v>
          </cell>
          <cell r="N580">
            <v>1040</v>
          </cell>
          <cell r="O580">
            <v>1040</v>
          </cell>
          <cell r="P580">
            <v>4000</v>
          </cell>
          <cell r="Q580">
            <v>1</v>
          </cell>
        </row>
        <row r="581">
          <cell r="A581">
            <v>3667081</v>
          </cell>
          <cell r="B581" t="str">
            <v>福島コーティング</v>
          </cell>
          <cell r="C581" t="str">
            <v>工材１部電材課</v>
          </cell>
          <cell r="D581" t="str">
            <v>ダミー担当者</v>
          </cell>
          <cell r="E581" t="str">
            <v>パナック㈱亀山工場</v>
          </cell>
          <cell r="F581">
            <v>3</v>
          </cell>
          <cell r="G581" t="str">
            <v>S</v>
          </cell>
          <cell r="H581" t="str">
            <v>N</v>
          </cell>
          <cell r="I581" t="str">
            <v>CERA</v>
          </cell>
          <cell r="K581" t="str">
            <v>BKE09</v>
          </cell>
          <cell r="L581">
            <v>38</v>
          </cell>
          <cell r="M581" t="str">
            <v>セラピール　ＢＫＥ（０９）</v>
          </cell>
          <cell r="N581">
            <v>1057</v>
          </cell>
          <cell r="O581">
            <v>1050</v>
          </cell>
          <cell r="P581">
            <v>8400</v>
          </cell>
          <cell r="Q581">
            <v>2</v>
          </cell>
        </row>
        <row r="582">
          <cell r="A582">
            <v>3667082</v>
          </cell>
          <cell r="B582" t="str">
            <v>福島コーティング</v>
          </cell>
          <cell r="C582" t="str">
            <v>工材１部電材課</v>
          </cell>
          <cell r="D582" t="str">
            <v>ダミー担当者</v>
          </cell>
          <cell r="E582" t="str">
            <v>㈱巴川製紙所</v>
          </cell>
          <cell r="F582">
            <v>331</v>
          </cell>
          <cell r="G582" t="str">
            <v>S</v>
          </cell>
          <cell r="H582" t="str">
            <v>N</v>
          </cell>
          <cell r="I582" t="str">
            <v>CERA</v>
          </cell>
          <cell r="K582" t="str">
            <v>BKERXT</v>
          </cell>
          <cell r="L582">
            <v>38</v>
          </cell>
          <cell r="M582" t="str">
            <v>セラピール　ＢＫＥ（ＲＸ）</v>
          </cell>
          <cell r="N582">
            <v>1330</v>
          </cell>
          <cell r="O582">
            <v>1330</v>
          </cell>
          <cell r="P582">
            <v>6000</v>
          </cell>
          <cell r="Q582">
            <v>2</v>
          </cell>
        </row>
        <row r="583">
          <cell r="A583">
            <v>3667083</v>
          </cell>
          <cell r="B583" t="str">
            <v>福島コーティング</v>
          </cell>
          <cell r="C583" t="str">
            <v>光学機能材１課</v>
          </cell>
          <cell r="D583" t="str">
            <v>ダミー担当者</v>
          </cell>
          <cell r="E583" t="str">
            <v>㈱きもと　三重工場</v>
          </cell>
          <cell r="F583">
            <v>3</v>
          </cell>
          <cell r="G583" t="str">
            <v>S</v>
          </cell>
          <cell r="H583" t="str">
            <v>N</v>
          </cell>
          <cell r="I583" t="str">
            <v>CERA</v>
          </cell>
          <cell r="K583" t="str">
            <v>BKUK</v>
          </cell>
          <cell r="L583">
            <v>25</v>
          </cell>
          <cell r="M583" t="str">
            <v>セラピール　ＢＫ（Ｕ）Ｋ</v>
          </cell>
          <cell r="N583">
            <v>1045</v>
          </cell>
          <cell r="O583">
            <v>1040</v>
          </cell>
          <cell r="P583">
            <v>6000</v>
          </cell>
          <cell r="Q583">
            <v>2</v>
          </cell>
        </row>
        <row r="584">
          <cell r="A584">
            <v>3667084</v>
          </cell>
          <cell r="B584" t="str">
            <v>福島コーティング</v>
          </cell>
          <cell r="C584" t="str">
            <v>光学機能材１課</v>
          </cell>
          <cell r="D584" t="str">
            <v>ダミー担当者</v>
          </cell>
          <cell r="E584" t="str">
            <v>㈱きもと　三重工場</v>
          </cell>
          <cell r="F584">
            <v>3</v>
          </cell>
          <cell r="G584" t="str">
            <v>S</v>
          </cell>
          <cell r="H584" t="str">
            <v>N</v>
          </cell>
          <cell r="I584" t="str">
            <v>CERA</v>
          </cell>
          <cell r="K584" t="str">
            <v>BKUK</v>
          </cell>
          <cell r="L584">
            <v>25</v>
          </cell>
          <cell r="M584" t="str">
            <v>セラピール　ＢＫ（Ｕ）Ｋ</v>
          </cell>
          <cell r="N584">
            <v>1085</v>
          </cell>
          <cell r="O584">
            <v>1080</v>
          </cell>
          <cell r="P584">
            <v>6000</v>
          </cell>
          <cell r="Q584">
            <v>2</v>
          </cell>
        </row>
        <row r="585">
          <cell r="A585">
            <v>3667085</v>
          </cell>
          <cell r="B585" t="str">
            <v>福島コーティング</v>
          </cell>
          <cell r="C585" t="str">
            <v>工材１部大阪電材課</v>
          </cell>
          <cell r="D585" t="str">
            <v>ダミー担当者</v>
          </cell>
          <cell r="E585" t="str">
            <v>住友べークライト尼崎</v>
          </cell>
          <cell r="F585">
            <v>331</v>
          </cell>
          <cell r="G585" t="str">
            <v>S</v>
          </cell>
          <cell r="H585" t="str">
            <v>N</v>
          </cell>
          <cell r="I585" t="str">
            <v>CERA</v>
          </cell>
          <cell r="K585" t="str">
            <v>MDARX</v>
          </cell>
          <cell r="L585">
            <v>38</v>
          </cell>
          <cell r="M585" t="str">
            <v>セラピール　　　　　　　　　　　ＭＤＡ（ＲＸ）</v>
          </cell>
          <cell r="N585">
            <v>415</v>
          </cell>
          <cell r="O585">
            <v>415</v>
          </cell>
          <cell r="P585">
            <v>1950</v>
          </cell>
          <cell r="Q585">
            <v>2</v>
          </cell>
        </row>
        <row r="586">
          <cell r="A586">
            <v>3667086</v>
          </cell>
          <cell r="B586" t="str">
            <v>福島コーティング</v>
          </cell>
          <cell r="C586" t="str">
            <v>工材１部大阪電材課</v>
          </cell>
          <cell r="D586" t="str">
            <v>ダミー担当者</v>
          </cell>
          <cell r="E586" t="str">
            <v>日東電工㈱豊橋工場</v>
          </cell>
          <cell r="F586">
            <v>3313</v>
          </cell>
          <cell r="G586" t="str">
            <v>S</v>
          </cell>
          <cell r="H586" t="str">
            <v>N</v>
          </cell>
          <cell r="I586" t="str">
            <v>CERA</v>
          </cell>
          <cell r="K586" t="str">
            <v>MD(A)R</v>
          </cell>
          <cell r="L586">
            <v>38</v>
          </cell>
          <cell r="M586" t="str">
            <v>セラピール　ＭＤ（Ａ）（Ｒ）</v>
          </cell>
          <cell r="N586">
            <v>750</v>
          </cell>
          <cell r="O586">
            <v>750</v>
          </cell>
          <cell r="P586">
            <v>6000</v>
          </cell>
          <cell r="Q586">
            <v>2</v>
          </cell>
        </row>
        <row r="587">
          <cell r="A587">
            <v>3667087</v>
          </cell>
          <cell r="B587" t="str">
            <v>福島コーティング</v>
          </cell>
          <cell r="C587" t="str">
            <v>工材１部大阪電材課</v>
          </cell>
          <cell r="D587" t="str">
            <v>ダミー担当者</v>
          </cell>
          <cell r="E587" t="str">
            <v>日東電工㈱豊橋工場</v>
          </cell>
          <cell r="F587">
            <v>331</v>
          </cell>
          <cell r="G587" t="str">
            <v>S</v>
          </cell>
          <cell r="H587" t="str">
            <v>N</v>
          </cell>
          <cell r="I587" t="str">
            <v>CERA</v>
          </cell>
          <cell r="K587" t="str">
            <v>MD(A)R</v>
          </cell>
          <cell r="L587">
            <v>38</v>
          </cell>
          <cell r="M587" t="str">
            <v>セラピール　ＭＤ（Ａ）（Ｒ）</v>
          </cell>
          <cell r="N587">
            <v>1255</v>
          </cell>
          <cell r="O587">
            <v>1250</v>
          </cell>
          <cell r="P587">
            <v>6000</v>
          </cell>
          <cell r="Q587">
            <v>2</v>
          </cell>
        </row>
        <row r="588">
          <cell r="A588">
            <v>3667088</v>
          </cell>
          <cell r="B588" t="str">
            <v>福島コーティング</v>
          </cell>
          <cell r="C588" t="str">
            <v>工材１部大阪電材課</v>
          </cell>
          <cell r="D588" t="str">
            <v>ダミー担当者</v>
          </cell>
          <cell r="E588" t="str">
            <v>日東電工㈱豊橋工場</v>
          </cell>
          <cell r="F588">
            <v>331</v>
          </cell>
          <cell r="G588" t="str">
            <v>S</v>
          </cell>
          <cell r="H588" t="str">
            <v>N</v>
          </cell>
          <cell r="I588" t="str">
            <v>CERA</v>
          </cell>
          <cell r="K588" t="str">
            <v>MD(A)R</v>
          </cell>
          <cell r="L588">
            <v>38</v>
          </cell>
          <cell r="M588" t="str">
            <v>セラピール　ＭＤ（Ａ）（Ｒ）</v>
          </cell>
          <cell r="N588">
            <v>1585</v>
          </cell>
          <cell r="O588">
            <v>1580</v>
          </cell>
          <cell r="P588">
            <v>4000</v>
          </cell>
          <cell r="Q588">
            <v>2</v>
          </cell>
        </row>
        <row r="589">
          <cell r="A589">
            <v>3667089</v>
          </cell>
          <cell r="B589" t="str">
            <v>福島コーティング</v>
          </cell>
          <cell r="C589" t="str">
            <v>大阪光学機能材課</v>
          </cell>
          <cell r="D589" t="str">
            <v>ダミー担当者</v>
          </cell>
          <cell r="E589" t="str">
            <v>日東電工㈱尾道事業所</v>
          </cell>
          <cell r="F589">
            <v>3321</v>
          </cell>
          <cell r="G589" t="str">
            <v>S</v>
          </cell>
          <cell r="H589" t="str">
            <v>N</v>
          </cell>
          <cell r="I589" t="str">
            <v>CERA</v>
          </cell>
          <cell r="K589" t="str">
            <v>MDACPFL</v>
          </cell>
          <cell r="L589">
            <v>38</v>
          </cell>
          <cell r="M589" t="str">
            <v>Ｋ　セラピールＭＤＡ（ＣＰＲＦ）Ｌ</v>
          </cell>
          <cell r="N589">
            <v>1336</v>
          </cell>
          <cell r="O589">
            <v>1325</v>
          </cell>
          <cell r="P589">
            <v>12000</v>
          </cell>
          <cell r="Q589">
            <v>2</v>
          </cell>
        </row>
        <row r="590">
          <cell r="A590">
            <v>3667090</v>
          </cell>
          <cell r="B590" t="str">
            <v>福島コーティング</v>
          </cell>
          <cell r="C590" t="str">
            <v>大阪光学機能材課</v>
          </cell>
          <cell r="D590" t="str">
            <v>ダミー担当者</v>
          </cell>
          <cell r="E590" t="str">
            <v>日東電工㈱尾道事業所</v>
          </cell>
          <cell r="F590">
            <v>3321</v>
          </cell>
          <cell r="G590" t="str">
            <v>S</v>
          </cell>
          <cell r="H590" t="str">
            <v>N</v>
          </cell>
          <cell r="I590" t="str">
            <v>CERA</v>
          </cell>
          <cell r="K590" t="str">
            <v>MDAPFL</v>
          </cell>
          <cell r="L590">
            <v>38</v>
          </cell>
          <cell r="M590" t="str">
            <v>Ｋ　セラピールＭＤＡ（ＰＲＦ）Ｌ</v>
          </cell>
          <cell r="N590">
            <v>1336</v>
          </cell>
          <cell r="O590">
            <v>1325</v>
          </cell>
          <cell r="P590">
            <v>12000</v>
          </cell>
          <cell r="Q590">
            <v>2</v>
          </cell>
        </row>
        <row r="591">
          <cell r="A591">
            <v>3667091</v>
          </cell>
          <cell r="B591" t="str">
            <v>機能材料ＴＴＰ福原価</v>
          </cell>
          <cell r="C591" t="str">
            <v>工材１部大阪電材課</v>
          </cell>
          <cell r="D591" t="str">
            <v>ダミー担当者</v>
          </cell>
          <cell r="E591" t="str">
            <v>ニトムズ　松山事業所</v>
          </cell>
          <cell r="F591">
            <v>3301</v>
          </cell>
          <cell r="G591" t="str">
            <v>T</v>
          </cell>
          <cell r="H591" t="str">
            <v>N</v>
          </cell>
          <cell r="I591" t="str">
            <v>TTP</v>
          </cell>
          <cell r="K591" t="str">
            <v>TNJ-AS</v>
          </cell>
          <cell r="L591">
            <v>100</v>
          </cell>
          <cell r="M591" t="str">
            <v>タフトップ　ＴＮＪ－ＡＳ</v>
          </cell>
          <cell r="N591">
            <v>1050</v>
          </cell>
          <cell r="O591">
            <v>1050</v>
          </cell>
          <cell r="P591">
            <v>2000</v>
          </cell>
          <cell r="Q591">
            <v>2</v>
          </cell>
        </row>
        <row r="592">
          <cell r="A592">
            <v>3667091</v>
          </cell>
          <cell r="B592" t="str">
            <v>機能材料ＴＴＰ福原価</v>
          </cell>
          <cell r="C592" t="str">
            <v>工材１部大阪電材課</v>
          </cell>
          <cell r="D592" t="str">
            <v>ダミー担当者</v>
          </cell>
          <cell r="E592" t="str">
            <v>ニトムズ　松山事業所</v>
          </cell>
          <cell r="F592">
            <v>3301</v>
          </cell>
          <cell r="G592" t="str">
            <v>T</v>
          </cell>
          <cell r="H592" t="str">
            <v>N</v>
          </cell>
          <cell r="I592" t="str">
            <v>TTP</v>
          </cell>
          <cell r="K592" t="str">
            <v>TNJ-AS</v>
          </cell>
          <cell r="L592">
            <v>100</v>
          </cell>
          <cell r="M592" t="str">
            <v>タフトップ　ＴＮＪ－ＡＳ</v>
          </cell>
          <cell r="N592">
            <v>1050</v>
          </cell>
          <cell r="O592">
            <v>1050</v>
          </cell>
          <cell r="P592">
            <v>2000</v>
          </cell>
          <cell r="Q592">
            <v>2</v>
          </cell>
        </row>
        <row r="593">
          <cell r="A593">
            <v>3667091</v>
          </cell>
          <cell r="B593" t="str">
            <v>機能材料ＴＴＰ福原価</v>
          </cell>
          <cell r="C593" t="str">
            <v>工材１部大阪電材課</v>
          </cell>
          <cell r="D593" t="str">
            <v>ダミー担当者</v>
          </cell>
          <cell r="E593" t="str">
            <v>ニトムズ　松山事業所</v>
          </cell>
          <cell r="F593">
            <v>3301</v>
          </cell>
          <cell r="G593" t="str">
            <v>T</v>
          </cell>
          <cell r="H593" t="str">
            <v>N</v>
          </cell>
          <cell r="I593" t="str">
            <v>TTP</v>
          </cell>
          <cell r="K593" t="str">
            <v>TNJ-AS</v>
          </cell>
          <cell r="L593">
            <v>100</v>
          </cell>
          <cell r="M593" t="str">
            <v>タフトップ　ＴＮＪ－ＡＳ</v>
          </cell>
          <cell r="N593">
            <v>1050</v>
          </cell>
          <cell r="O593">
            <v>1050</v>
          </cell>
          <cell r="P593">
            <v>2000</v>
          </cell>
          <cell r="Q593">
            <v>2</v>
          </cell>
        </row>
        <row r="594">
          <cell r="A594">
            <v>3667092</v>
          </cell>
          <cell r="B594" t="str">
            <v>機能材料ＴＴＰ福原価</v>
          </cell>
          <cell r="C594" t="str">
            <v>工材１部大阪電材課</v>
          </cell>
          <cell r="D594" t="str">
            <v>ダミー担当者</v>
          </cell>
          <cell r="E594" t="str">
            <v>ニトムズ　松山事業所</v>
          </cell>
          <cell r="F594">
            <v>3301</v>
          </cell>
          <cell r="G594" t="str">
            <v>T</v>
          </cell>
          <cell r="H594" t="str">
            <v>N</v>
          </cell>
          <cell r="I594" t="str">
            <v>TTP</v>
          </cell>
          <cell r="K594" t="str">
            <v>TNJ-AS</v>
          </cell>
          <cell r="L594">
            <v>100</v>
          </cell>
          <cell r="M594" t="str">
            <v>タフトップ　ＴＮＪ－ＡＳ</v>
          </cell>
          <cell r="N594">
            <v>1050</v>
          </cell>
          <cell r="O594">
            <v>1050</v>
          </cell>
          <cell r="P594">
            <v>2000</v>
          </cell>
          <cell r="Q594">
            <v>2</v>
          </cell>
        </row>
        <row r="595">
          <cell r="A595">
            <v>3667092</v>
          </cell>
          <cell r="B595" t="str">
            <v>機能材料ＴＴＰ福原価</v>
          </cell>
          <cell r="C595" t="str">
            <v>工材１部大阪電材課</v>
          </cell>
          <cell r="D595" t="str">
            <v>ダミー担当者</v>
          </cell>
          <cell r="E595" t="str">
            <v>ニトムズ　松山事業所</v>
          </cell>
          <cell r="F595">
            <v>3301</v>
          </cell>
          <cell r="G595" t="str">
            <v>T</v>
          </cell>
          <cell r="H595" t="str">
            <v>N</v>
          </cell>
          <cell r="I595" t="str">
            <v>TTP</v>
          </cell>
          <cell r="K595" t="str">
            <v>TNJ-AS</v>
          </cell>
          <cell r="L595">
            <v>100</v>
          </cell>
          <cell r="M595" t="str">
            <v>タフトップ　ＴＮＪ－ＡＳ</v>
          </cell>
          <cell r="N595">
            <v>1050</v>
          </cell>
          <cell r="O595">
            <v>1050</v>
          </cell>
          <cell r="P595">
            <v>2000</v>
          </cell>
          <cell r="Q595">
            <v>2</v>
          </cell>
        </row>
        <row r="596">
          <cell r="A596">
            <v>3667092</v>
          </cell>
          <cell r="B596" t="str">
            <v>機能材料ＴＴＰ福原価</v>
          </cell>
          <cell r="C596" t="str">
            <v>工材１部大阪電材課</v>
          </cell>
          <cell r="D596" t="str">
            <v>ダミー担当者</v>
          </cell>
          <cell r="E596" t="str">
            <v>ニトムズ　松山事業所</v>
          </cell>
          <cell r="F596">
            <v>3301</v>
          </cell>
          <cell r="G596" t="str">
            <v>T</v>
          </cell>
          <cell r="H596" t="str">
            <v>N</v>
          </cell>
          <cell r="I596" t="str">
            <v>TTP</v>
          </cell>
          <cell r="K596" t="str">
            <v>TNJ-AS</v>
          </cell>
          <cell r="L596">
            <v>100</v>
          </cell>
          <cell r="M596" t="str">
            <v>タフトップ　ＴＮＪ－ＡＳ</v>
          </cell>
          <cell r="N596">
            <v>1050</v>
          </cell>
          <cell r="O596">
            <v>1050</v>
          </cell>
          <cell r="P596">
            <v>2000</v>
          </cell>
          <cell r="Q596">
            <v>2</v>
          </cell>
        </row>
        <row r="597">
          <cell r="A597">
            <v>3667094</v>
          </cell>
          <cell r="B597" t="str">
            <v>福島コーティング</v>
          </cell>
          <cell r="C597" t="str">
            <v>大阪光学機能材課</v>
          </cell>
          <cell r="D597" t="str">
            <v>ダミー担当者</v>
          </cell>
          <cell r="E597" t="str">
            <v>日東電工㈱尾道事業所</v>
          </cell>
          <cell r="F597" t="str">
            <v>3H</v>
          </cell>
          <cell r="G597" t="str">
            <v>S</v>
          </cell>
          <cell r="H597" t="str">
            <v>N</v>
          </cell>
          <cell r="I597" t="str">
            <v>TPIC</v>
          </cell>
          <cell r="K597" t="str">
            <v>TT405B</v>
          </cell>
          <cell r="L597">
            <v>50</v>
          </cell>
          <cell r="M597" t="str">
            <v>５０ＴＴ４０５Ｂ</v>
          </cell>
          <cell r="N597">
            <v>1094</v>
          </cell>
          <cell r="O597">
            <v>1094</v>
          </cell>
          <cell r="P597">
            <v>5000</v>
          </cell>
          <cell r="Q597">
            <v>2</v>
          </cell>
        </row>
        <row r="598">
          <cell r="A598">
            <v>3667097</v>
          </cell>
          <cell r="B598" t="str">
            <v>機能Ｆ　受託福島原価</v>
          </cell>
          <cell r="C598" t="str">
            <v>プロセス材２課</v>
          </cell>
          <cell r="D598" t="str">
            <v>ダミー担当者</v>
          </cell>
          <cell r="F598" t="str">
            <v>33S</v>
          </cell>
          <cell r="G598" t="str">
            <v>T</v>
          </cell>
          <cell r="H598" t="str">
            <v>Y</v>
          </cell>
          <cell r="I598" t="str">
            <v>JTC</v>
          </cell>
          <cell r="K598" t="str">
            <v>STHCE</v>
          </cell>
          <cell r="L598">
            <v>38</v>
          </cell>
          <cell r="M598" t="str">
            <v>ＴＲ－ＰＲＨＣ＝ＨＣＰＥＴ－ＴＡ２０－Ｅ</v>
          </cell>
          <cell r="N598">
            <v>715</v>
          </cell>
          <cell r="O598">
            <v>715</v>
          </cell>
          <cell r="P598">
            <v>3920</v>
          </cell>
          <cell r="Q598">
            <v>2</v>
          </cell>
        </row>
        <row r="599">
          <cell r="A599">
            <v>3667097</v>
          </cell>
          <cell r="B599" t="str">
            <v>機能Ｆ　受託福島原価</v>
          </cell>
          <cell r="C599" t="str">
            <v>プロセス材２課</v>
          </cell>
          <cell r="D599" t="str">
            <v>ダミー担当者</v>
          </cell>
          <cell r="F599" t="str">
            <v>33S</v>
          </cell>
          <cell r="G599" t="str">
            <v>T</v>
          </cell>
          <cell r="H599" t="str">
            <v>Y</v>
          </cell>
          <cell r="I599" t="str">
            <v>JTC</v>
          </cell>
          <cell r="K599" t="str">
            <v>STHCE</v>
          </cell>
          <cell r="L599">
            <v>38</v>
          </cell>
          <cell r="M599" t="str">
            <v>ＴＲ－ＰＲＨＣ＝ＨＣＰＥＴ－ＴＡ２０－Ｅ</v>
          </cell>
          <cell r="N599">
            <v>715</v>
          </cell>
          <cell r="O599">
            <v>715</v>
          </cell>
          <cell r="P599">
            <v>3920</v>
          </cell>
          <cell r="Q599">
            <v>2</v>
          </cell>
        </row>
        <row r="600">
          <cell r="A600">
            <v>3667118</v>
          </cell>
          <cell r="B600" t="str">
            <v>福島コーティング</v>
          </cell>
          <cell r="C600" t="str">
            <v>プロセス材１課</v>
          </cell>
          <cell r="D600" t="str">
            <v>ダミー担当者</v>
          </cell>
          <cell r="E600" t="str">
            <v>リンテック㈱</v>
          </cell>
          <cell r="F600">
            <v>3</v>
          </cell>
          <cell r="G600" t="str">
            <v>S</v>
          </cell>
          <cell r="H600" t="str">
            <v>N</v>
          </cell>
          <cell r="I600" t="str">
            <v>CLB</v>
          </cell>
          <cell r="K600" t="str">
            <v>PETMV</v>
          </cell>
          <cell r="L600">
            <v>25</v>
          </cell>
          <cell r="M600" t="str">
            <v>ＰＥＴ　マットＶ</v>
          </cell>
          <cell r="N600">
            <v>1005</v>
          </cell>
          <cell r="O600">
            <v>1000</v>
          </cell>
          <cell r="P600">
            <v>4000</v>
          </cell>
          <cell r="Q600">
            <v>2</v>
          </cell>
        </row>
        <row r="601">
          <cell r="A601">
            <v>3667130</v>
          </cell>
          <cell r="B601" t="str">
            <v>福島コーティング</v>
          </cell>
          <cell r="C601" t="str">
            <v>プロセス材１課</v>
          </cell>
          <cell r="D601" t="str">
            <v>ダミー担当者</v>
          </cell>
          <cell r="E601" t="str">
            <v>リンテック㈱</v>
          </cell>
          <cell r="F601">
            <v>3</v>
          </cell>
          <cell r="G601" t="str">
            <v>S</v>
          </cell>
          <cell r="H601" t="str">
            <v>N</v>
          </cell>
          <cell r="I601" t="str">
            <v>CLB</v>
          </cell>
          <cell r="K601" t="str">
            <v>E20V</v>
          </cell>
          <cell r="L601">
            <v>50</v>
          </cell>
          <cell r="M601" t="str">
            <v>ルミラー　Ｅ－２０　Ｖ</v>
          </cell>
          <cell r="N601">
            <v>1002</v>
          </cell>
          <cell r="O601">
            <v>1000</v>
          </cell>
          <cell r="P601">
            <v>4000</v>
          </cell>
          <cell r="Q601">
            <v>2</v>
          </cell>
        </row>
        <row r="602">
          <cell r="A602">
            <v>3667131</v>
          </cell>
          <cell r="B602" t="str">
            <v>福島コーティング</v>
          </cell>
          <cell r="C602" t="str">
            <v>プロセス材１課</v>
          </cell>
          <cell r="D602" t="str">
            <v>ダミー担当者</v>
          </cell>
          <cell r="E602" t="str">
            <v>リンテック㈱</v>
          </cell>
          <cell r="F602">
            <v>3</v>
          </cell>
          <cell r="G602" t="str">
            <v>S</v>
          </cell>
          <cell r="H602" t="str">
            <v>N</v>
          </cell>
          <cell r="I602" t="str">
            <v>CLB</v>
          </cell>
          <cell r="K602" t="str">
            <v>E20V</v>
          </cell>
          <cell r="L602">
            <v>75</v>
          </cell>
          <cell r="M602" t="str">
            <v>ルミラー　Ｅ－２０　Ｖ</v>
          </cell>
          <cell r="N602">
            <v>1002</v>
          </cell>
          <cell r="O602">
            <v>1000</v>
          </cell>
          <cell r="P602">
            <v>3000</v>
          </cell>
          <cell r="Q602">
            <v>2</v>
          </cell>
        </row>
        <row r="603">
          <cell r="A603">
            <v>3667835</v>
          </cell>
          <cell r="B603" t="str">
            <v>情材福島開発</v>
          </cell>
          <cell r="C603" t="str">
            <v>工材１部電材課</v>
          </cell>
          <cell r="D603" t="str">
            <v>ダミー担当者</v>
          </cell>
          <cell r="F603">
            <v>3</v>
          </cell>
          <cell r="G603" t="str">
            <v>U</v>
          </cell>
          <cell r="H603" t="str">
            <v>N</v>
          </cell>
          <cell r="I603" t="str">
            <v>CERA</v>
          </cell>
          <cell r="K603" t="str">
            <v>WZ26</v>
          </cell>
          <cell r="L603">
            <v>25</v>
          </cell>
          <cell r="M603" t="str">
            <v>セラピール　ＷＺ（２６）</v>
          </cell>
          <cell r="N603">
            <v>1100</v>
          </cell>
          <cell r="O603">
            <v>1100</v>
          </cell>
          <cell r="P603">
            <v>12000</v>
          </cell>
          <cell r="Q603">
            <v>2</v>
          </cell>
        </row>
        <row r="604">
          <cell r="A604">
            <v>3667836</v>
          </cell>
          <cell r="B604" t="str">
            <v>情材福島開発</v>
          </cell>
          <cell r="C604" t="str">
            <v>プロセス材１課</v>
          </cell>
          <cell r="D604" t="str">
            <v>ダミー担当者</v>
          </cell>
          <cell r="F604">
            <v>3</v>
          </cell>
          <cell r="G604" t="str">
            <v>U</v>
          </cell>
          <cell r="H604" t="str">
            <v>N</v>
          </cell>
          <cell r="I604" t="str">
            <v>CERA</v>
          </cell>
          <cell r="K604" t="str">
            <v>WZS</v>
          </cell>
          <cell r="L604">
            <v>25</v>
          </cell>
          <cell r="M604" t="str">
            <v>セラピール　ＷＺ（Ｓ）</v>
          </cell>
          <cell r="N604">
            <v>1000</v>
          </cell>
          <cell r="O604">
            <v>1000</v>
          </cell>
          <cell r="P604">
            <v>8000</v>
          </cell>
          <cell r="Q604">
            <v>2</v>
          </cell>
        </row>
        <row r="605">
          <cell r="A605">
            <v>3667837</v>
          </cell>
          <cell r="B605" t="str">
            <v>情材福島開発</v>
          </cell>
          <cell r="C605" t="str">
            <v>工材１部電材課</v>
          </cell>
          <cell r="D605" t="str">
            <v>ダミー担当者</v>
          </cell>
          <cell r="F605">
            <v>3</v>
          </cell>
          <cell r="G605" t="str">
            <v>U</v>
          </cell>
          <cell r="H605" t="str">
            <v>N</v>
          </cell>
          <cell r="I605" t="str">
            <v>CERA</v>
          </cell>
          <cell r="K605" t="str">
            <v>WZ26</v>
          </cell>
          <cell r="L605">
            <v>38</v>
          </cell>
          <cell r="M605" t="str">
            <v>セラピール　ＷＺ（２６）</v>
          </cell>
          <cell r="N605">
            <v>1000</v>
          </cell>
          <cell r="O605">
            <v>1000</v>
          </cell>
          <cell r="P605">
            <v>6000</v>
          </cell>
          <cell r="Q605">
            <v>2</v>
          </cell>
        </row>
        <row r="606">
          <cell r="A606">
            <v>3667838</v>
          </cell>
          <cell r="B606" t="str">
            <v>情材福島開発</v>
          </cell>
          <cell r="C606" t="str">
            <v>工材１部電材課</v>
          </cell>
          <cell r="D606" t="str">
            <v>ダミー担当者</v>
          </cell>
          <cell r="F606">
            <v>3</v>
          </cell>
          <cell r="G606" t="str">
            <v>U</v>
          </cell>
          <cell r="H606" t="str">
            <v>N</v>
          </cell>
          <cell r="I606" t="str">
            <v>CERA</v>
          </cell>
          <cell r="K606" t="str">
            <v>WZ26</v>
          </cell>
          <cell r="L606">
            <v>38</v>
          </cell>
          <cell r="M606" t="str">
            <v>セラピール　ＷＺ（２６）</v>
          </cell>
          <cell r="N606">
            <v>1000</v>
          </cell>
          <cell r="O606">
            <v>1000</v>
          </cell>
          <cell r="P606">
            <v>6000</v>
          </cell>
          <cell r="Q606">
            <v>2</v>
          </cell>
        </row>
        <row r="607">
          <cell r="A607">
            <v>3668867</v>
          </cell>
          <cell r="B607" t="str">
            <v>福島コーティング</v>
          </cell>
          <cell r="C607" t="str">
            <v>工材１部大阪電材課</v>
          </cell>
          <cell r="D607" t="str">
            <v>ダミー担当者</v>
          </cell>
          <cell r="E607" t="str">
            <v>双信電機㈱</v>
          </cell>
          <cell r="F607">
            <v>3</v>
          </cell>
          <cell r="G607" t="str">
            <v>S</v>
          </cell>
          <cell r="H607" t="str">
            <v>N</v>
          </cell>
          <cell r="I607" t="str">
            <v>CERANS</v>
          </cell>
          <cell r="K607" t="str">
            <v>HP2UDF</v>
          </cell>
          <cell r="L607">
            <v>75</v>
          </cell>
          <cell r="M607" t="str">
            <v>セラピール　ＨＰ２（Ｕ）Ｄ</v>
          </cell>
          <cell r="N607">
            <v>600</v>
          </cell>
          <cell r="O607">
            <v>600</v>
          </cell>
          <cell r="P607">
            <v>600</v>
          </cell>
          <cell r="Q607">
            <v>2</v>
          </cell>
        </row>
        <row r="608">
          <cell r="A608">
            <v>3668915</v>
          </cell>
          <cell r="B608" t="str">
            <v>福島コーティング</v>
          </cell>
          <cell r="C608" t="str">
            <v>工材３部工材２課</v>
          </cell>
          <cell r="D608" t="str">
            <v>ダミー担当者</v>
          </cell>
          <cell r="E608" t="str">
            <v>昭和電工マテリアルズ</v>
          </cell>
          <cell r="F608">
            <v>3</v>
          </cell>
          <cell r="G608" t="str">
            <v>S</v>
          </cell>
          <cell r="H608" t="str">
            <v>N</v>
          </cell>
          <cell r="I608" t="str">
            <v>CERANS</v>
          </cell>
          <cell r="K608" t="str">
            <v>PJ27103</v>
          </cell>
          <cell r="L608">
            <v>25</v>
          </cell>
          <cell r="M608" t="str">
            <v>セラピール　ＰＪ２７１（０３）</v>
          </cell>
          <cell r="N608">
            <v>1575</v>
          </cell>
          <cell r="O608">
            <v>1575</v>
          </cell>
          <cell r="P608">
            <v>12000</v>
          </cell>
          <cell r="Q608">
            <v>2</v>
          </cell>
        </row>
        <row r="609">
          <cell r="A609">
            <v>3671779</v>
          </cell>
          <cell r="B609" t="str">
            <v>福島コーティング</v>
          </cell>
          <cell r="C609" t="str">
            <v>工材１部電材課</v>
          </cell>
          <cell r="D609" t="str">
            <v>ダミー担当者</v>
          </cell>
          <cell r="E609" t="str">
            <v>パナック㈱亀山工場</v>
          </cell>
          <cell r="F609">
            <v>331</v>
          </cell>
          <cell r="G609" t="str">
            <v>S</v>
          </cell>
          <cell r="H609" t="str">
            <v>N</v>
          </cell>
          <cell r="I609" t="str">
            <v>CERA</v>
          </cell>
          <cell r="K609" t="str">
            <v>BX8ARXA</v>
          </cell>
          <cell r="L609">
            <v>38</v>
          </cell>
          <cell r="M609" t="str">
            <v>セラピール　ＢＸ８ＡＲＸ</v>
          </cell>
          <cell r="N609">
            <v>1330</v>
          </cell>
          <cell r="O609">
            <v>1330</v>
          </cell>
          <cell r="P609">
            <v>6000</v>
          </cell>
          <cell r="Q609">
            <v>2</v>
          </cell>
        </row>
        <row r="610">
          <cell r="A610">
            <v>3671780</v>
          </cell>
          <cell r="B610" t="str">
            <v>福島コーティング</v>
          </cell>
          <cell r="C610" t="str">
            <v>工材１部大阪電材課</v>
          </cell>
          <cell r="D610" t="str">
            <v>ダミー担当者</v>
          </cell>
          <cell r="E610" t="str">
            <v>住友べークライト尼崎</v>
          </cell>
          <cell r="F610">
            <v>331</v>
          </cell>
          <cell r="G610" t="str">
            <v>S</v>
          </cell>
          <cell r="H610" t="str">
            <v>N</v>
          </cell>
          <cell r="I610" t="str">
            <v>CERA</v>
          </cell>
          <cell r="K610" t="str">
            <v>MDARX</v>
          </cell>
          <cell r="L610">
            <v>38</v>
          </cell>
          <cell r="M610" t="str">
            <v>セラピール　　　　　　　　　　　ＭＤＡ（ＲＸ）</v>
          </cell>
          <cell r="N610">
            <v>415</v>
          </cell>
          <cell r="O610">
            <v>415</v>
          </cell>
          <cell r="P610">
            <v>1950</v>
          </cell>
          <cell r="Q610">
            <v>2</v>
          </cell>
        </row>
        <row r="611">
          <cell r="A611">
            <v>3671781</v>
          </cell>
          <cell r="B611" t="str">
            <v>福島コーティング</v>
          </cell>
          <cell r="C611" t="str">
            <v>工材１部大阪電材課</v>
          </cell>
          <cell r="D611" t="str">
            <v>ダミー担当者</v>
          </cell>
          <cell r="E611" t="str">
            <v>日東電工㈱豊橋工場</v>
          </cell>
          <cell r="F611">
            <v>331</v>
          </cell>
          <cell r="G611" t="str">
            <v>S</v>
          </cell>
          <cell r="H611" t="str">
            <v>N</v>
          </cell>
          <cell r="I611" t="str">
            <v>CERA</v>
          </cell>
          <cell r="K611" t="str">
            <v>MD(A)R</v>
          </cell>
          <cell r="L611">
            <v>38</v>
          </cell>
          <cell r="M611" t="str">
            <v>セラピール　ＭＤ（Ａ）（Ｒ）</v>
          </cell>
          <cell r="N611">
            <v>1255</v>
          </cell>
          <cell r="O611">
            <v>1250</v>
          </cell>
          <cell r="P611">
            <v>6000</v>
          </cell>
          <cell r="Q611">
            <v>2</v>
          </cell>
        </row>
        <row r="612">
          <cell r="A612">
            <v>3671782</v>
          </cell>
          <cell r="B612" t="str">
            <v>福島コーティング</v>
          </cell>
          <cell r="C612" t="str">
            <v>工材１部電材課</v>
          </cell>
          <cell r="D612" t="str">
            <v>ダミー担当者</v>
          </cell>
          <cell r="E612" t="str">
            <v>パナック㈱亀山工場</v>
          </cell>
          <cell r="F612">
            <v>331</v>
          </cell>
          <cell r="G612" t="str">
            <v>S</v>
          </cell>
          <cell r="H612" t="str">
            <v>N</v>
          </cell>
          <cell r="I612" t="str">
            <v>CERA</v>
          </cell>
          <cell r="K612" t="str">
            <v>BKE09</v>
          </cell>
          <cell r="L612">
            <v>38</v>
          </cell>
          <cell r="M612" t="str">
            <v>セラピール　ＢＫＥ（０９）</v>
          </cell>
          <cell r="N612">
            <v>1367</v>
          </cell>
          <cell r="O612">
            <v>1360</v>
          </cell>
          <cell r="P612">
            <v>6000</v>
          </cell>
          <cell r="Q612">
            <v>2</v>
          </cell>
        </row>
        <row r="613">
          <cell r="A613">
            <v>3671783</v>
          </cell>
          <cell r="B613" t="str">
            <v>福島コーティング</v>
          </cell>
          <cell r="C613" t="str">
            <v>工材１部電材課</v>
          </cell>
          <cell r="D613" t="str">
            <v>ダミー担当者</v>
          </cell>
          <cell r="E613" t="str">
            <v>パナック㈱亀山工場</v>
          </cell>
          <cell r="F613">
            <v>3</v>
          </cell>
          <cell r="G613" t="str">
            <v>S</v>
          </cell>
          <cell r="H613" t="str">
            <v>N</v>
          </cell>
          <cell r="I613" t="str">
            <v>CERA</v>
          </cell>
          <cell r="K613" t="str">
            <v>BKE09</v>
          </cell>
          <cell r="L613">
            <v>38</v>
          </cell>
          <cell r="M613" t="str">
            <v>セラピール　ＢＫＥ（０９）</v>
          </cell>
          <cell r="N613">
            <v>1037</v>
          </cell>
          <cell r="O613">
            <v>1030</v>
          </cell>
          <cell r="P613">
            <v>8400</v>
          </cell>
          <cell r="Q613">
            <v>2</v>
          </cell>
        </row>
        <row r="614">
          <cell r="A614">
            <v>3671784</v>
          </cell>
          <cell r="B614" t="str">
            <v>福島コーティング</v>
          </cell>
          <cell r="C614" t="str">
            <v>工材１部電材課</v>
          </cell>
          <cell r="D614" t="str">
            <v>ダミー担当者</v>
          </cell>
          <cell r="E614" t="str">
            <v>パナック㈱亀山工場</v>
          </cell>
          <cell r="F614">
            <v>331</v>
          </cell>
          <cell r="G614" t="str">
            <v>S</v>
          </cell>
          <cell r="H614" t="str">
            <v>N</v>
          </cell>
          <cell r="I614" t="str">
            <v>CERA</v>
          </cell>
          <cell r="K614" t="str">
            <v>BKERXPT</v>
          </cell>
          <cell r="L614">
            <v>38</v>
          </cell>
          <cell r="M614" t="str">
            <v>セラピール　ＢＫＥ（ＲＸ）</v>
          </cell>
          <cell r="N614">
            <v>1330</v>
          </cell>
          <cell r="O614">
            <v>1330</v>
          </cell>
          <cell r="P614">
            <v>6000</v>
          </cell>
          <cell r="Q614">
            <v>2</v>
          </cell>
        </row>
        <row r="615">
          <cell r="A615">
            <v>3671785</v>
          </cell>
          <cell r="B615" t="str">
            <v>福島コーティング</v>
          </cell>
          <cell r="C615" t="str">
            <v>工材１部電材課</v>
          </cell>
          <cell r="D615" t="str">
            <v>ダミー担当者</v>
          </cell>
          <cell r="E615" t="str">
            <v>㈱巴川製紙所</v>
          </cell>
          <cell r="F615">
            <v>331</v>
          </cell>
          <cell r="G615" t="str">
            <v>S</v>
          </cell>
          <cell r="H615" t="str">
            <v>N</v>
          </cell>
          <cell r="I615" t="str">
            <v>CERA</v>
          </cell>
          <cell r="K615" t="str">
            <v>BKERXT</v>
          </cell>
          <cell r="L615">
            <v>38</v>
          </cell>
          <cell r="M615" t="str">
            <v>セラピール　ＢＫＥ（ＲＸ）</v>
          </cell>
          <cell r="N615">
            <v>1580</v>
          </cell>
          <cell r="O615">
            <v>1580</v>
          </cell>
          <cell r="P615">
            <v>6000</v>
          </cell>
          <cell r="Q615">
            <v>2</v>
          </cell>
        </row>
        <row r="616">
          <cell r="A616">
            <v>3671786</v>
          </cell>
          <cell r="B616" t="str">
            <v>福島コーティング</v>
          </cell>
          <cell r="C616" t="str">
            <v>工材１部電材課</v>
          </cell>
          <cell r="D616" t="str">
            <v>ダミー担当者</v>
          </cell>
          <cell r="E616" t="str">
            <v>古河電気工業㈱</v>
          </cell>
          <cell r="F616">
            <v>3</v>
          </cell>
          <cell r="G616" t="str">
            <v>S</v>
          </cell>
          <cell r="H616" t="str">
            <v>N</v>
          </cell>
          <cell r="I616" t="str">
            <v>CERA</v>
          </cell>
          <cell r="K616" t="str">
            <v>WZE</v>
          </cell>
          <cell r="L616">
            <v>25</v>
          </cell>
          <cell r="M616" t="str">
            <v>セラピール　　　　　　　　　　　ＷＺ（Ｅ）</v>
          </cell>
          <cell r="N616">
            <v>1040</v>
          </cell>
          <cell r="O616">
            <v>1040</v>
          </cell>
          <cell r="P616">
            <v>6000</v>
          </cell>
          <cell r="Q616">
            <v>2</v>
          </cell>
        </row>
        <row r="617">
          <cell r="A617">
            <v>3671787</v>
          </cell>
          <cell r="B617" t="str">
            <v>福島コーティング</v>
          </cell>
          <cell r="C617" t="str">
            <v>工材１部電材課</v>
          </cell>
          <cell r="D617" t="str">
            <v>ダミー担当者</v>
          </cell>
          <cell r="E617" t="str">
            <v>古河電気工業㈱</v>
          </cell>
          <cell r="F617">
            <v>3</v>
          </cell>
          <cell r="G617" t="str">
            <v>S</v>
          </cell>
          <cell r="H617" t="str">
            <v>N</v>
          </cell>
          <cell r="I617" t="str">
            <v>CERA</v>
          </cell>
          <cell r="K617" t="str">
            <v>WZE</v>
          </cell>
          <cell r="L617">
            <v>38</v>
          </cell>
          <cell r="M617" t="str">
            <v>セラピール　　　　　　　　　　　ＷＺ（Ｅ）</v>
          </cell>
          <cell r="N617">
            <v>1240</v>
          </cell>
          <cell r="O617">
            <v>1240</v>
          </cell>
          <cell r="P617">
            <v>6000</v>
          </cell>
          <cell r="Q617">
            <v>2</v>
          </cell>
        </row>
        <row r="618">
          <cell r="A618">
            <v>3671788</v>
          </cell>
          <cell r="B618" t="str">
            <v>福島コーティング</v>
          </cell>
          <cell r="C618" t="str">
            <v>工材１部電材課</v>
          </cell>
          <cell r="D618" t="str">
            <v>ダミー担当者</v>
          </cell>
          <cell r="E618" t="str">
            <v>東洋包材㈱</v>
          </cell>
          <cell r="F618">
            <v>3</v>
          </cell>
          <cell r="G618" t="str">
            <v>S</v>
          </cell>
          <cell r="H618" t="str">
            <v>N</v>
          </cell>
          <cell r="I618" t="str">
            <v>CERA</v>
          </cell>
          <cell r="K618" t="str">
            <v>WZRX</v>
          </cell>
          <cell r="L618">
            <v>38</v>
          </cell>
          <cell r="M618" t="str">
            <v>セラピール　ＷＺ（ＲＸ）　　　　　　</v>
          </cell>
          <cell r="N618">
            <v>1135</v>
          </cell>
          <cell r="O618">
            <v>1130</v>
          </cell>
          <cell r="P618">
            <v>6000</v>
          </cell>
          <cell r="Q618">
            <v>2</v>
          </cell>
        </row>
        <row r="619">
          <cell r="A619">
            <v>3671789</v>
          </cell>
          <cell r="B619" t="str">
            <v>情材福島原価</v>
          </cell>
          <cell r="C619" t="str">
            <v>工材１部電材課</v>
          </cell>
          <cell r="D619" t="str">
            <v>ダミー担当者</v>
          </cell>
          <cell r="E619" t="str">
            <v>藤産業㈱</v>
          </cell>
          <cell r="F619">
            <v>3</v>
          </cell>
          <cell r="G619" t="str">
            <v>T</v>
          </cell>
          <cell r="H619" t="str">
            <v>N</v>
          </cell>
          <cell r="I619" t="str">
            <v>CERA</v>
          </cell>
          <cell r="K619" t="str">
            <v>WZ34</v>
          </cell>
          <cell r="L619">
            <v>25</v>
          </cell>
          <cell r="M619" t="str">
            <v>セラピール　ＷＺ（３４）</v>
          </cell>
          <cell r="N619">
            <v>1410</v>
          </cell>
          <cell r="O619">
            <v>1410</v>
          </cell>
          <cell r="P619">
            <v>6000</v>
          </cell>
          <cell r="Q619">
            <v>2</v>
          </cell>
        </row>
        <row r="620">
          <cell r="A620">
            <v>3671790</v>
          </cell>
          <cell r="B620" t="str">
            <v>福島コーティング</v>
          </cell>
          <cell r="C620" t="str">
            <v>工材１部電材課</v>
          </cell>
          <cell r="D620" t="str">
            <v>ダミー担当者</v>
          </cell>
          <cell r="E620" t="str">
            <v>三栄産業㈱尾久工場</v>
          </cell>
          <cell r="F620">
            <v>3</v>
          </cell>
          <cell r="G620" t="str">
            <v>S</v>
          </cell>
          <cell r="H620" t="str">
            <v>N</v>
          </cell>
          <cell r="I620" t="str">
            <v>CERA</v>
          </cell>
          <cell r="K620" t="str">
            <v>WZRX</v>
          </cell>
          <cell r="L620">
            <v>25</v>
          </cell>
          <cell r="M620" t="str">
            <v>セラピール　ＷＺ（ＲＸ）　　　　　　</v>
          </cell>
          <cell r="N620">
            <v>640</v>
          </cell>
          <cell r="O620">
            <v>640</v>
          </cell>
          <cell r="P620">
            <v>2000</v>
          </cell>
          <cell r="Q620">
            <v>2</v>
          </cell>
        </row>
        <row r="621">
          <cell r="A621">
            <v>3671791</v>
          </cell>
          <cell r="B621" t="str">
            <v>福島コーティング</v>
          </cell>
          <cell r="C621" t="str">
            <v>工材１部大阪電材課</v>
          </cell>
          <cell r="D621" t="str">
            <v>ダミー担当者</v>
          </cell>
          <cell r="E621" t="str">
            <v>東洋機材</v>
          </cell>
          <cell r="F621">
            <v>3</v>
          </cell>
          <cell r="G621" t="str">
            <v>S</v>
          </cell>
          <cell r="H621" t="str">
            <v>N</v>
          </cell>
          <cell r="I621" t="str">
            <v>CERA</v>
          </cell>
          <cell r="K621" t="str">
            <v>WZS</v>
          </cell>
          <cell r="L621">
            <v>125</v>
          </cell>
          <cell r="M621" t="str">
            <v>セラピール　ＷＺ（Ｓ）</v>
          </cell>
          <cell r="N621">
            <v>1230</v>
          </cell>
          <cell r="O621">
            <v>1225</v>
          </cell>
          <cell r="P621">
            <v>1800</v>
          </cell>
          <cell r="Q621">
            <v>2</v>
          </cell>
        </row>
        <row r="622">
          <cell r="A622">
            <v>3671792</v>
          </cell>
          <cell r="B622" t="str">
            <v>福島コーティング</v>
          </cell>
          <cell r="C622" t="str">
            <v>工材１部電材課</v>
          </cell>
          <cell r="D622" t="str">
            <v>ダミー担当者</v>
          </cell>
          <cell r="E622" t="str">
            <v>㈱巴川製紙所</v>
          </cell>
          <cell r="F622">
            <v>3</v>
          </cell>
          <cell r="G622" t="str">
            <v>S</v>
          </cell>
          <cell r="H622" t="str">
            <v>N</v>
          </cell>
          <cell r="I622" t="str">
            <v>CERA</v>
          </cell>
          <cell r="K622" t="str">
            <v>BX8AX</v>
          </cell>
          <cell r="L622">
            <v>75</v>
          </cell>
          <cell r="M622" t="str">
            <v>セラピール　　　　　　　　　　　ＢＸ８Ａ（Ｘ）</v>
          </cell>
          <cell r="N622">
            <v>1330</v>
          </cell>
          <cell r="O622">
            <v>1330</v>
          </cell>
          <cell r="P622">
            <v>4100</v>
          </cell>
          <cell r="Q622">
            <v>2</v>
          </cell>
        </row>
        <row r="623">
          <cell r="A623">
            <v>3671793</v>
          </cell>
          <cell r="B623" t="str">
            <v>情材福島原価</v>
          </cell>
          <cell r="C623" t="str">
            <v>工材１部大阪電材課</v>
          </cell>
          <cell r="D623" t="str">
            <v>ダミー担当者</v>
          </cell>
          <cell r="E623" t="str">
            <v>日東電工㈱豊橋工場</v>
          </cell>
          <cell r="F623">
            <v>3</v>
          </cell>
          <cell r="G623" t="str">
            <v>T</v>
          </cell>
          <cell r="H623" t="str">
            <v>N</v>
          </cell>
          <cell r="I623" t="str">
            <v>CERA</v>
          </cell>
          <cell r="K623" t="str">
            <v>BX8A37</v>
          </cell>
          <cell r="L623">
            <v>75</v>
          </cell>
          <cell r="M623" t="str">
            <v>セラピール　ＢＸ８Ａ（３７）</v>
          </cell>
          <cell r="N623">
            <v>1050</v>
          </cell>
          <cell r="O623">
            <v>1050</v>
          </cell>
          <cell r="P623">
            <v>5800</v>
          </cell>
          <cell r="Q623">
            <v>2</v>
          </cell>
        </row>
        <row r="624">
          <cell r="A624">
            <v>3671794</v>
          </cell>
          <cell r="B624" t="str">
            <v>福島コーティング</v>
          </cell>
          <cell r="C624" t="str">
            <v>工材１部電材課</v>
          </cell>
          <cell r="D624" t="str">
            <v>ダミー担当者</v>
          </cell>
          <cell r="E624" t="str">
            <v>古河電気工業㈱</v>
          </cell>
          <cell r="F624">
            <v>3</v>
          </cell>
          <cell r="G624" t="str">
            <v>S</v>
          </cell>
          <cell r="H624" t="str">
            <v>N</v>
          </cell>
          <cell r="I624" t="str">
            <v>CERA</v>
          </cell>
          <cell r="K624" t="str">
            <v>WZE</v>
          </cell>
          <cell r="L624">
            <v>25</v>
          </cell>
          <cell r="M624" t="str">
            <v>セラピール　　　　　　　　　　　ＷＺ（Ｅ）</v>
          </cell>
          <cell r="N624">
            <v>1240</v>
          </cell>
          <cell r="O624">
            <v>1240</v>
          </cell>
          <cell r="P624">
            <v>6000</v>
          </cell>
          <cell r="Q624">
            <v>2</v>
          </cell>
        </row>
        <row r="625">
          <cell r="A625">
            <v>3671795</v>
          </cell>
          <cell r="B625" t="str">
            <v>福島コーティング</v>
          </cell>
          <cell r="C625" t="str">
            <v>プロセス材１課</v>
          </cell>
          <cell r="D625" t="str">
            <v>ダミー担当者</v>
          </cell>
          <cell r="E625" t="str">
            <v>リンテック㈱</v>
          </cell>
          <cell r="F625">
            <v>3</v>
          </cell>
          <cell r="G625" t="str">
            <v>S</v>
          </cell>
          <cell r="H625" t="str">
            <v>N</v>
          </cell>
          <cell r="I625" t="str">
            <v>CERA</v>
          </cell>
          <cell r="K625" t="str">
            <v>WZS</v>
          </cell>
          <cell r="L625">
            <v>38</v>
          </cell>
          <cell r="M625" t="str">
            <v>セラピール　　　　　　　　　　　ＷＺ（Ｓ）</v>
          </cell>
          <cell r="N625">
            <v>1415</v>
          </cell>
          <cell r="O625">
            <v>1410</v>
          </cell>
          <cell r="P625">
            <v>8000</v>
          </cell>
          <cell r="Q625">
            <v>2</v>
          </cell>
        </row>
        <row r="626">
          <cell r="A626">
            <v>3671796</v>
          </cell>
          <cell r="B626" t="str">
            <v>福島コーティング</v>
          </cell>
          <cell r="C626" t="str">
            <v>工材１部大阪電材課</v>
          </cell>
          <cell r="D626" t="str">
            <v>ダミー担当者</v>
          </cell>
          <cell r="E626" t="str">
            <v>日東電工㈱豊橋工場</v>
          </cell>
          <cell r="F626">
            <v>3313</v>
          </cell>
          <cell r="G626" t="str">
            <v>S</v>
          </cell>
          <cell r="H626" t="str">
            <v>N</v>
          </cell>
          <cell r="I626" t="str">
            <v>CERA</v>
          </cell>
          <cell r="K626" t="str">
            <v>MD(A)R</v>
          </cell>
          <cell r="L626">
            <v>38</v>
          </cell>
          <cell r="M626" t="str">
            <v>セラピール　ＭＤ（Ａ）（Ｒ）</v>
          </cell>
          <cell r="N626">
            <v>750</v>
          </cell>
          <cell r="O626">
            <v>750</v>
          </cell>
          <cell r="P626">
            <v>6000</v>
          </cell>
          <cell r="Q626">
            <v>2</v>
          </cell>
        </row>
        <row r="627">
          <cell r="A627">
            <v>3671797</v>
          </cell>
          <cell r="B627" t="str">
            <v>福島コーティング</v>
          </cell>
          <cell r="C627" t="str">
            <v>工材１部大阪電材課</v>
          </cell>
          <cell r="D627" t="str">
            <v>ダミー担当者</v>
          </cell>
          <cell r="E627" t="str">
            <v>日東電工㈱豊橋工場</v>
          </cell>
          <cell r="F627">
            <v>331</v>
          </cell>
          <cell r="G627" t="str">
            <v>S</v>
          </cell>
          <cell r="H627" t="str">
            <v>N</v>
          </cell>
          <cell r="I627" t="str">
            <v>CERA</v>
          </cell>
          <cell r="K627" t="str">
            <v>MD(A)R</v>
          </cell>
          <cell r="L627">
            <v>38</v>
          </cell>
          <cell r="M627" t="str">
            <v>セラピール　ＭＤ（Ａ）（Ｒ）</v>
          </cell>
          <cell r="N627">
            <v>1255</v>
          </cell>
          <cell r="O627">
            <v>1250</v>
          </cell>
          <cell r="P627">
            <v>6000</v>
          </cell>
          <cell r="Q627">
            <v>2</v>
          </cell>
        </row>
        <row r="628">
          <cell r="A628">
            <v>3671798</v>
          </cell>
          <cell r="B628" t="str">
            <v>福島コーティング</v>
          </cell>
          <cell r="C628" t="str">
            <v>工材１部大阪電材課</v>
          </cell>
          <cell r="D628" t="str">
            <v>ダミー担当者</v>
          </cell>
          <cell r="E628" t="str">
            <v>日東電工㈱豊橋工場</v>
          </cell>
          <cell r="F628">
            <v>331</v>
          </cell>
          <cell r="G628" t="str">
            <v>S</v>
          </cell>
          <cell r="H628" t="str">
            <v>N</v>
          </cell>
          <cell r="I628" t="str">
            <v>CERA</v>
          </cell>
          <cell r="K628" t="str">
            <v>MD(A)R</v>
          </cell>
          <cell r="L628">
            <v>38</v>
          </cell>
          <cell r="M628" t="str">
            <v>セラピール　ＭＤ（Ａ）（Ｒ）</v>
          </cell>
          <cell r="N628">
            <v>1585</v>
          </cell>
          <cell r="O628">
            <v>1580</v>
          </cell>
          <cell r="P628">
            <v>4000</v>
          </cell>
          <cell r="Q628">
            <v>2</v>
          </cell>
        </row>
        <row r="629">
          <cell r="A629">
            <v>3671799</v>
          </cell>
          <cell r="B629" t="str">
            <v>福島コーティング</v>
          </cell>
          <cell r="C629" t="str">
            <v>大阪光学機能材課</v>
          </cell>
          <cell r="D629" t="str">
            <v>ダミー担当者</v>
          </cell>
          <cell r="E629" t="str">
            <v>日東電工㈱尾道事業所</v>
          </cell>
          <cell r="F629">
            <v>3321</v>
          </cell>
          <cell r="G629" t="str">
            <v>S</v>
          </cell>
          <cell r="H629" t="str">
            <v>N</v>
          </cell>
          <cell r="I629" t="str">
            <v>CERA</v>
          </cell>
          <cell r="K629" t="str">
            <v>MDACPFL</v>
          </cell>
          <cell r="L629">
            <v>38</v>
          </cell>
          <cell r="M629" t="str">
            <v>Ｋ　セラピールＭＤＡ（ＣＰＲＦ）Ｌ</v>
          </cell>
          <cell r="N629">
            <v>1336</v>
          </cell>
          <cell r="O629">
            <v>1325</v>
          </cell>
          <cell r="P629">
            <v>12000</v>
          </cell>
          <cell r="Q629">
            <v>2</v>
          </cell>
        </row>
        <row r="630">
          <cell r="A630">
            <v>3671800</v>
          </cell>
          <cell r="B630" t="str">
            <v>福島コーティング</v>
          </cell>
          <cell r="C630" t="str">
            <v>大阪光学機能材課</v>
          </cell>
          <cell r="D630" t="str">
            <v>ダミー担当者</v>
          </cell>
          <cell r="E630" t="str">
            <v>日東電工㈱尾道事業所</v>
          </cell>
          <cell r="F630">
            <v>3321</v>
          </cell>
          <cell r="G630" t="str">
            <v>S</v>
          </cell>
          <cell r="H630" t="str">
            <v>N</v>
          </cell>
          <cell r="I630" t="str">
            <v>CERA</v>
          </cell>
          <cell r="K630" t="str">
            <v>MDAPFL</v>
          </cell>
          <cell r="L630">
            <v>38</v>
          </cell>
          <cell r="M630" t="str">
            <v>Ｋ　セラピールＭＤＡ（ＰＲＦ）Ｌ</v>
          </cell>
          <cell r="N630">
            <v>1336</v>
          </cell>
          <cell r="O630">
            <v>1325</v>
          </cell>
          <cell r="P630">
            <v>12000</v>
          </cell>
          <cell r="Q630">
            <v>2</v>
          </cell>
        </row>
        <row r="631">
          <cell r="A631">
            <v>3671801</v>
          </cell>
          <cell r="B631" t="str">
            <v>福島コーティング</v>
          </cell>
          <cell r="C631" t="str">
            <v>工材１部電材課</v>
          </cell>
          <cell r="D631" t="str">
            <v>ダミー担当者</v>
          </cell>
          <cell r="E631" t="str">
            <v>㈱巴川製紙所</v>
          </cell>
          <cell r="F631">
            <v>331</v>
          </cell>
          <cell r="G631" t="str">
            <v>S</v>
          </cell>
          <cell r="H631" t="str">
            <v>N</v>
          </cell>
          <cell r="I631" t="str">
            <v>CERA</v>
          </cell>
          <cell r="K631" t="str">
            <v>BKERXT</v>
          </cell>
          <cell r="L631">
            <v>38</v>
          </cell>
          <cell r="M631" t="str">
            <v>セラピール　ＢＫＥ（ＲＸ）</v>
          </cell>
          <cell r="N631">
            <v>1330</v>
          </cell>
          <cell r="O631">
            <v>1330</v>
          </cell>
          <cell r="P631">
            <v>6000</v>
          </cell>
          <cell r="Q631">
            <v>2</v>
          </cell>
        </row>
        <row r="632">
          <cell r="A632">
            <v>3671802</v>
          </cell>
          <cell r="B632" t="str">
            <v>福島コーティング</v>
          </cell>
          <cell r="C632" t="str">
            <v>工材１部電材課</v>
          </cell>
          <cell r="D632" t="str">
            <v>ダミー担当者</v>
          </cell>
          <cell r="E632" t="str">
            <v>積水化学武蔵工場</v>
          </cell>
          <cell r="F632">
            <v>3</v>
          </cell>
          <cell r="G632" t="str">
            <v>S</v>
          </cell>
          <cell r="H632" t="str">
            <v>N</v>
          </cell>
          <cell r="I632" t="str">
            <v>CERA</v>
          </cell>
          <cell r="K632" t="str">
            <v>BKU</v>
          </cell>
          <cell r="L632">
            <v>25</v>
          </cell>
          <cell r="M632" t="str">
            <v>セラピ－ル　ＢＫ（Ｕ）</v>
          </cell>
          <cell r="N632">
            <v>890</v>
          </cell>
          <cell r="O632">
            <v>890</v>
          </cell>
          <cell r="P632">
            <v>3800</v>
          </cell>
          <cell r="Q632">
            <v>2</v>
          </cell>
        </row>
        <row r="633">
          <cell r="A633">
            <v>3671803</v>
          </cell>
          <cell r="B633" t="str">
            <v>福島コーティング</v>
          </cell>
          <cell r="C633" t="str">
            <v>光学機能材１課</v>
          </cell>
          <cell r="D633" t="str">
            <v>ダミー担当者</v>
          </cell>
          <cell r="E633" t="str">
            <v>㈱きもと　三重工場</v>
          </cell>
          <cell r="F633">
            <v>3</v>
          </cell>
          <cell r="G633" t="str">
            <v>S</v>
          </cell>
          <cell r="H633" t="str">
            <v>N</v>
          </cell>
          <cell r="I633" t="str">
            <v>CERA</v>
          </cell>
          <cell r="K633" t="str">
            <v>BKUK</v>
          </cell>
          <cell r="L633">
            <v>25</v>
          </cell>
          <cell r="M633" t="str">
            <v>セラピール　ＢＫ（Ｕ）Ｋ</v>
          </cell>
          <cell r="N633">
            <v>1045</v>
          </cell>
          <cell r="O633">
            <v>1040</v>
          </cell>
          <cell r="P633">
            <v>6000</v>
          </cell>
          <cell r="Q633">
            <v>2</v>
          </cell>
        </row>
        <row r="634">
          <cell r="A634">
            <v>3671804</v>
          </cell>
          <cell r="B634" t="str">
            <v>福島コーティング</v>
          </cell>
          <cell r="C634" t="str">
            <v>工材１部大阪電材課</v>
          </cell>
          <cell r="D634" t="str">
            <v>ダミー担当者</v>
          </cell>
          <cell r="E634" t="str">
            <v>ナガセケム　播磨</v>
          </cell>
          <cell r="F634">
            <v>3</v>
          </cell>
          <cell r="G634" t="str">
            <v>S</v>
          </cell>
          <cell r="H634" t="str">
            <v>N</v>
          </cell>
          <cell r="I634" t="str">
            <v>CERA</v>
          </cell>
          <cell r="K634" t="str">
            <v>SY08</v>
          </cell>
          <cell r="L634">
            <v>25</v>
          </cell>
          <cell r="M634" t="str">
            <v>セラピール　ＳＹ（０８）</v>
          </cell>
          <cell r="N634">
            <v>500</v>
          </cell>
          <cell r="O634">
            <v>500</v>
          </cell>
          <cell r="P634">
            <v>4000</v>
          </cell>
          <cell r="Q634">
            <v>2</v>
          </cell>
        </row>
        <row r="635">
          <cell r="A635">
            <v>3671805</v>
          </cell>
          <cell r="B635" t="str">
            <v>福島コーティング</v>
          </cell>
          <cell r="C635" t="str">
            <v>工材１部電材課</v>
          </cell>
          <cell r="D635" t="str">
            <v>ダミー担当者</v>
          </cell>
          <cell r="E635" t="str">
            <v>㈱三共プラス</v>
          </cell>
          <cell r="F635">
            <v>3</v>
          </cell>
          <cell r="G635" t="str">
            <v>S</v>
          </cell>
          <cell r="H635" t="str">
            <v>N</v>
          </cell>
          <cell r="I635" t="str">
            <v>TTP</v>
          </cell>
          <cell r="K635" t="str">
            <v>B2T0</v>
          </cell>
          <cell r="L635">
            <v>100</v>
          </cell>
          <cell r="M635" t="str">
            <v>タフトップ　Ｂ２Ｔ０</v>
          </cell>
          <cell r="N635">
            <v>1000</v>
          </cell>
          <cell r="O635">
            <v>1000</v>
          </cell>
          <cell r="P635">
            <v>1000</v>
          </cell>
          <cell r="Q635">
            <v>2</v>
          </cell>
        </row>
        <row r="636">
          <cell r="A636">
            <v>3671806</v>
          </cell>
          <cell r="B636" t="str">
            <v>福島コーティング</v>
          </cell>
          <cell r="C636" t="str">
            <v>工材１部電材課</v>
          </cell>
          <cell r="D636" t="str">
            <v>ダミー担当者</v>
          </cell>
          <cell r="E636" t="str">
            <v>㈱三共プラス</v>
          </cell>
          <cell r="F636">
            <v>3</v>
          </cell>
          <cell r="G636" t="str">
            <v>S</v>
          </cell>
          <cell r="H636" t="str">
            <v>N</v>
          </cell>
          <cell r="I636" t="str">
            <v>TTP</v>
          </cell>
          <cell r="K636" t="str">
            <v>B2T0</v>
          </cell>
          <cell r="L636">
            <v>125</v>
          </cell>
          <cell r="M636" t="str">
            <v>タフトップ　Ｂ２Ｔ０</v>
          </cell>
          <cell r="N636">
            <v>1000</v>
          </cell>
          <cell r="O636">
            <v>1000</v>
          </cell>
          <cell r="P636">
            <v>1000</v>
          </cell>
          <cell r="Q636">
            <v>2</v>
          </cell>
        </row>
        <row r="637">
          <cell r="A637">
            <v>3671807</v>
          </cell>
          <cell r="B637" t="str">
            <v>福島コーティング</v>
          </cell>
          <cell r="C637" t="str">
            <v>工材１部電材課</v>
          </cell>
          <cell r="D637" t="str">
            <v>ダミー担当者</v>
          </cell>
          <cell r="E637" t="str">
            <v>㈱三共プラス</v>
          </cell>
          <cell r="F637">
            <v>3</v>
          </cell>
          <cell r="G637" t="str">
            <v>S</v>
          </cell>
          <cell r="H637" t="str">
            <v>N</v>
          </cell>
          <cell r="I637" t="str">
            <v>TTP</v>
          </cell>
          <cell r="K637" t="str">
            <v>B2T0</v>
          </cell>
          <cell r="L637">
            <v>188</v>
          </cell>
          <cell r="M637" t="str">
            <v>タフトップ　Ｂ２Ｔ０</v>
          </cell>
          <cell r="N637">
            <v>1000</v>
          </cell>
          <cell r="O637">
            <v>1000</v>
          </cell>
          <cell r="P637">
            <v>1000</v>
          </cell>
          <cell r="Q637">
            <v>2</v>
          </cell>
        </row>
        <row r="638">
          <cell r="A638">
            <v>3671809</v>
          </cell>
          <cell r="B638" t="str">
            <v>福島コーティング</v>
          </cell>
          <cell r="C638" t="str">
            <v>工材１部大阪電材課</v>
          </cell>
          <cell r="D638" t="str">
            <v>ダミー担当者</v>
          </cell>
          <cell r="E638" t="str">
            <v>双信電機㈱</v>
          </cell>
          <cell r="F638">
            <v>3</v>
          </cell>
          <cell r="G638" t="str">
            <v>S</v>
          </cell>
          <cell r="H638" t="str">
            <v>N</v>
          </cell>
          <cell r="I638" t="str">
            <v>CERANS</v>
          </cell>
          <cell r="K638" t="str">
            <v>HP2UDF</v>
          </cell>
          <cell r="L638">
            <v>75</v>
          </cell>
          <cell r="M638" t="str">
            <v>セラピール　ＨＰ２（Ｕ）Ｄ</v>
          </cell>
          <cell r="N638">
            <v>600</v>
          </cell>
          <cell r="O638">
            <v>600</v>
          </cell>
          <cell r="P638">
            <v>600</v>
          </cell>
          <cell r="Q638">
            <v>2</v>
          </cell>
        </row>
        <row r="639">
          <cell r="A639">
            <v>3671812</v>
          </cell>
          <cell r="B639" t="str">
            <v>福島コーティング</v>
          </cell>
          <cell r="C639" t="str">
            <v>プロセス材２課</v>
          </cell>
          <cell r="D639" t="str">
            <v>ダミー担当者</v>
          </cell>
          <cell r="E639" t="str">
            <v>藤森工業㈱掛川事業所</v>
          </cell>
          <cell r="F639">
            <v>3</v>
          </cell>
          <cell r="G639" t="str">
            <v>S</v>
          </cell>
          <cell r="H639" t="str">
            <v>N</v>
          </cell>
          <cell r="I639" t="str">
            <v>CLB</v>
          </cell>
          <cell r="K639" t="str">
            <v>PETTL</v>
          </cell>
          <cell r="L639">
            <v>38</v>
          </cell>
          <cell r="M639" t="str">
            <v>ＰＥＴ　ＴＬ</v>
          </cell>
          <cell r="N639">
            <v>1320</v>
          </cell>
          <cell r="O639">
            <v>1320</v>
          </cell>
          <cell r="P639">
            <v>4200</v>
          </cell>
          <cell r="Q639">
            <v>2</v>
          </cell>
        </row>
        <row r="640">
          <cell r="A640">
            <v>3671827</v>
          </cell>
          <cell r="B640" t="str">
            <v>福島コーティング</v>
          </cell>
          <cell r="C640" t="str">
            <v>プロセス材１課</v>
          </cell>
          <cell r="D640" t="str">
            <v>ダミー担当者</v>
          </cell>
          <cell r="E640" t="str">
            <v>リンテック㈱</v>
          </cell>
          <cell r="F640">
            <v>3</v>
          </cell>
          <cell r="G640" t="str">
            <v>S</v>
          </cell>
          <cell r="H640" t="str">
            <v>N</v>
          </cell>
          <cell r="I640" t="str">
            <v>CLB</v>
          </cell>
          <cell r="K640" t="str">
            <v>PETMV</v>
          </cell>
          <cell r="L640">
            <v>25</v>
          </cell>
          <cell r="M640" t="str">
            <v>ＰＥＴ　マットＶ</v>
          </cell>
          <cell r="N640">
            <v>1005</v>
          </cell>
          <cell r="O640">
            <v>1000</v>
          </cell>
          <cell r="P640">
            <v>4000</v>
          </cell>
          <cell r="Q640">
            <v>2</v>
          </cell>
        </row>
        <row r="641">
          <cell r="A641">
            <v>3674220</v>
          </cell>
          <cell r="B641" t="str">
            <v>福島コーティング</v>
          </cell>
          <cell r="C641" t="str">
            <v>プロセス材１課</v>
          </cell>
          <cell r="D641" t="str">
            <v>ダミー担当者</v>
          </cell>
          <cell r="E641" t="str">
            <v>リンテック㈱</v>
          </cell>
          <cell r="F641">
            <v>3</v>
          </cell>
          <cell r="G641" t="str">
            <v>S</v>
          </cell>
          <cell r="H641" t="str">
            <v>N</v>
          </cell>
          <cell r="I641" t="str">
            <v>CLB</v>
          </cell>
          <cell r="K641" t="str">
            <v>E20V</v>
          </cell>
          <cell r="L641">
            <v>50</v>
          </cell>
          <cell r="M641" t="str">
            <v>ルミラー　Ｅ－２０　Ｖ</v>
          </cell>
          <cell r="N641">
            <v>1002</v>
          </cell>
          <cell r="O641">
            <v>1000</v>
          </cell>
          <cell r="P641">
            <v>4000</v>
          </cell>
          <cell r="Q641">
            <v>2</v>
          </cell>
        </row>
        <row r="642">
          <cell r="A642">
            <v>3675580</v>
          </cell>
          <cell r="B642" t="str">
            <v>福島コーティング</v>
          </cell>
          <cell r="C642" t="str">
            <v>工材１部大阪電材課</v>
          </cell>
          <cell r="D642" t="str">
            <v>ダミー担当者</v>
          </cell>
          <cell r="E642" t="str">
            <v>パナソニック　ＩＳ社</v>
          </cell>
          <cell r="F642">
            <v>3</v>
          </cell>
          <cell r="G642" t="str">
            <v>S</v>
          </cell>
          <cell r="H642" t="str">
            <v>N</v>
          </cell>
          <cell r="I642" t="str">
            <v>CERA</v>
          </cell>
          <cell r="K642" t="str">
            <v>MFACR</v>
          </cell>
          <cell r="L642">
            <v>31</v>
          </cell>
          <cell r="M642" t="str">
            <v>セラピ－ル　ＭＦＡ（ＣＲ）</v>
          </cell>
          <cell r="N642">
            <v>440</v>
          </cell>
          <cell r="O642">
            <v>440</v>
          </cell>
          <cell r="P642">
            <v>6500</v>
          </cell>
          <cell r="Q642">
            <v>1</v>
          </cell>
        </row>
        <row r="643">
          <cell r="A643">
            <v>3675581</v>
          </cell>
          <cell r="B643" t="str">
            <v>福島コーティング</v>
          </cell>
          <cell r="C643" t="str">
            <v>工材１部大阪電材課</v>
          </cell>
          <cell r="D643" t="str">
            <v>ダミー担当者</v>
          </cell>
          <cell r="E643" t="str">
            <v>下田工業㈱</v>
          </cell>
          <cell r="F643">
            <v>3</v>
          </cell>
          <cell r="G643" t="str">
            <v>S</v>
          </cell>
          <cell r="H643" t="str">
            <v>N</v>
          </cell>
          <cell r="I643" t="str">
            <v>CERA</v>
          </cell>
          <cell r="K643" t="str">
            <v>MFAS</v>
          </cell>
          <cell r="L643">
            <v>188</v>
          </cell>
          <cell r="M643" t="str">
            <v>セラピール　　　　　　　　　　　ＭＦＡ（Ｓ）</v>
          </cell>
          <cell r="N643">
            <v>1130</v>
          </cell>
          <cell r="O643">
            <v>1130</v>
          </cell>
          <cell r="P643">
            <v>1620</v>
          </cell>
          <cell r="Q643">
            <v>2</v>
          </cell>
        </row>
        <row r="644">
          <cell r="A644">
            <v>3675582</v>
          </cell>
          <cell r="B644" t="str">
            <v>福島コーティング</v>
          </cell>
          <cell r="C644" t="str">
            <v>工材１部電材課</v>
          </cell>
          <cell r="D644" t="str">
            <v>ダミー担当者</v>
          </cell>
          <cell r="E644" t="str">
            <v>３Ｍジャパン</v>
          </cell>
          <cell r="F644" t="str">
            <v>3R</v>
          </cell>
          <cell r="G644" t="str">
            <v>S</v>
          </cell>
          <cell r="H644" t="str">
            <v>N</v>
          </cell>
          <cell r="I644" t="str">
            <v>CERA</v>
          </cell>
          <cell r="K644" t="str">
            <v>MFARX</v>
          </cell>
          <cell r="L644">
            <v>38</v>
          </cell>
          <cell r="M644" t="str">
            <v>セラピール　ＭＦＡ（ＲＸ）</v>
          </cell>
          <cell r="N644">
            <v>1265</v>
          </cell>
          <cell r="O644">
            <v>1265</v>
          </cell>
          <cell r="P644">
            <v>4000</v>
          </cell>
          <cell r="Q644">
            <v>2</v>
          </cell>
        </row>
        <row r="645">
          <cell r="A645">
            <v>3675583</v>
          </cell>
          <cell r="B645" t="str">
            <v>福島コーティング</v>
          </cell>
          <cell r="C645" t="str">
            <v>工材１部電材課</v>
          </cell>
          <cell r="D645" t="str">
            <v>ダミー担当者</v>
          </cell>
          <cell r="F645">
            <v>3</v>
          </cell>
          <cell r="G645" t="str">
            <v>S</v>
          </cell>
          <cell r="H645" t="str">
            <v>N</v>
          </cell>
          <cell r="I645" t="str">
            <v>CERA</v>
          </cell>
          <cell r="K645" t="str">
            <v>MFAS</v>
          </cell>
          <cell r="L645">
            <v>125</v>
          </cell>
          <cell r="M645" t="str">
            <v>セラピール　　　　　　　　　　　ＭＦＡ（Ｓ）</v>
          </cell>
          <cell r="N645">
            <v>200</v>
          </cell>
          <cell r="O645">
            <v>200</v>
          </cell>
          <cell r="P645">
            <v>400</v>
          </cell>
          <cell r="Q645">
            <v>1</v>
          </cell>
        </row>
        <row r="646">
          <cell r="A646">
            <v>3675584</v>
          </cell>
          <cell r="B646" t="str">
            <v>福島コーティング</v>
          </cell>
          <cell r="C646" t="str">
            <v>工材１部大阪電材課</v>
          </cell>
          <cell r="D646" t="str">
            <v>ダミー担当者</v>
          </cell>
          <cell r="E646" t="str">
            <v>ＭＡＲＵＷＡ</v>
          </cell>
          <cell r="F646">
            <v>3</v>
          </cell>
          <cell r="G646" t="str">
            <v>S</v>
          </cell>
          <cell r="H646" t="str">
            <v>N</v>
          </cell>
          <cell r="I646" t="str">
            <v>CERA</v>
          </cell>
          <cell r="K646" t="str">
            <v>MFAS</v>
          </cell>
          <cell r="L646">
            <v>75</v>
          </cell>
          <cell r="M646" t="str">
            <v>セラピール　　　　　　　　　　　ＭＦＡ（Ｓ）</v>
          </cell>
          <cell r="N646">
            <v>620</v>
          </cell>
          <cell r="O646">
            <v>620</v>
          </cell>
          <cell r="P646">
            <v>400</v>
          </cell>
          <cell r="Q646">
            <v>2</v>
          </cell>
        </row>
        <row r="647">
          <cell r="A647">
            <v>3675585</v>
          </cell>
          <cell r="B647" t="str">
            <v>福島コーティング</v>
          </cell>
          <cell r="C647" t="str">
            <v>工材１部大阪電材課</v>
          </cell>
          <cell r="D647" t="str">
            <v>ダミー担当者</v>
          </cell>
          <cell r="E647" t="str">
            <v>ＮＧＫセラミック</v>
          </cell>
          <cell r="F647" t="str">
            <v>3H</v>
          </cell>
          <cell r="G647" t="str">
            <v>S</v>
          </cell>
          <cell r="H647" t="str">
            <v>N</v>
          </cell>
          <cell r="I647" t="str">
            <v>CERA</v>
          </cell>
          <cell r="K647" t="str">
            <v>MFAS</v>
          </cell>
          <cell r="L647">
            <v>188</v>
          </cell>
          <cell r="M647" t="str">
            <v>セラピール　　　　　　　　　　　ＭＦＡ（Ｓ）</v>
          </cell>
          <cell r="N647">
            <v>360</v>
          </cell>
          <cell r="O647">
            <v>360</v>
          </cell>
          <cell r="P647">
            <v>250</v>
          </cell>
          <cell r="Q647">
            <v>2</v>
          </cell>
        </row>
        <row r="648">
          <cell r="A648">
            <v>3675586</v>
          </cell>
          <cell r="B648" t="str">
            <v>福島コーティング</v>
          </cell>
          <cell r="C648" t="str">
            <v>工材１部大阪電材課</v>
          </cell>
          <cell r="D648" t="str">
            <v>ダミー担当者</v>
          </cell>
          <cell r="E648" t="str">
            <v>下田工業㈱</v>
          </cell>
          <cell r="F648">
            <v>3</v>
          </cell>
          <cell r="G648" t="str">
            <v>S</v>
          </cell>
          <cell r="H648" t="str">
            <v>N</v>
          </cell>
          <cell r="I648" t="str">
            <v>CERA</v>
          </cell>
          <cell r="K648" t="str">
            <v>MFAS</v>
          </cell>
          <cell r="L648">
            <v>100</v>
          </cell>
          <cell r="M648" t="str">
            <v>セラピール　　　　　　　　　　　ＭＦＡ（Ｓ）</v>
          </cell>
          <cell r="N648">
            <v>330</v>
          </cell>
          <cell r="O648">
            <v>330</v>
          </cell>
          <cell r="P648">
            <v>550</v>
          </cell>
          <cell r="Q648">
            <v>1</v>
          </cell>
        </row>
        <row r="649">
          <cell r="A649">
            <v>3675587</v>
          </cell>
          <cell r="B649" t="str">
            <v>福島コーティング</v>
          </cell>
          <cell r="C649" t="str">
            <v>工材１部大阪電材課</v>
          </cell>
          <cell r="D649" t="str">
            <v>ダミー担当者</v>
          </cell>
          <cell r="E649" t="str">
            <v>下田工業㈱</v>
          </cell>
          <cell r="F649">
            <v>3</v>
          </cell>
          <cell r="G649" t="str">
            <v>S</v>
          </cell>
          <cell r="H649" t="str">
            <v>N</v>
          </cell>
          <cell r="I649" t="str">
            <v>CERA</v>
          </cell>
          <cell r="K649" t="str">
            <v>MFAS</v>
          </cell>
          <cell r="L649">
            <v>125</v>
          </cell>
          <cell r="M649" t="str">
            <v>セラピール　　　　　　　　　　　ＭＦＡ（Ｓ）</v>
          </cell>
          <cell r="N649">
            <v>150</v>
          </cell>
          <cell r="O649">
            <v>150</v>
          </cell>
          <cell r="P649">
            <v>200</v>
          </cell>
          <cell r="Q649">
            <v>1</v>
          </cell>
        </row>
        <row r="650">
          <cell r="A650">
            <v>3675588</v>
          </cell>
          <cell r="B650" t="str">
            <v>福島コーティング</v>
          </cell>
          <cell r="C650" t="str">
            <v>プロセス材２課</v>
          </cell>
          <cell r="D650" t="str">
            <v>ダミー担当者</v>
          </cell>
          <cell r="E650" t="str">
            <v>京セラ鹿児島川内工場</v>
          </cell>
          <cell r="F650">
            <v>331</v>
          </cell>
          <cell r="G650" t="str">
            <v>S</v>
          </cell>
          <cell r="H650" t="str">
            <v>N</v>
          </cell>
          <cell r="I650" t="str">
            <v>CERA</v>
          </cell>
          <cell r="K650" t="str">
            <v>MFAS</v>
          </cell>
          <cell r="L650">
            <v>100</v>
          </cell>
          <cell r="M650" t="str">
            <v>セラピール　　　　　　　　　　　ＭＦＡ（Ｓ）</v>
          </cell>
          <cell r="N650">
            <v>450</v>
          </cell>
          <cell r="O650">
            <v>450</v>
          </cell>
          <cell r="P650">
            <v>800</v>
          </cell>
          <cell r="Q650">
            <v>2</v>
          </cell>
        </row>
        <row r="651">
          <cell r="A651">
            <v>3675589</v>
          </cell>
          <cell r="B651" t="str">
            <v>福島コーティング</v>
          </cell>
          <cell r="C651" t="str">
            <v>プロセス材２課</v>
          </cell>
          <cell r="D651" t="str">
            <v>ダミー担当者</v>
          </cell>
          <cell r="E651" t="str">
            <v>京セラ鹿児島川内工場</v>
          </cell>
          <cell r="F651">
            <v>331</v>
          </cell>
          <cell r="G651" t="str">
            <v>S</v>
          </cell>
          <cell r="H651" t="str">
            <v>N</v>
          </cell>
          <cell r="I651" t="str">
            <v>CERA</v>
          </cell>
          <cell r="K651" t="str">
            <v>MFAS</v>
          </cell>
          <cell r="L651">
            <v>100</v>
          </cell>
          <cell r="M651" t="str">
            <v>セラピール　　　　　　　　　　　ＭＦＡ（Ｓ）</v>
          </cell>
          <cell r="N651">
            <v>450</v>
          </cell>
          <cell r="O651">
            <v>450</v>
          </cell>
          <cell r="P651">
            <v>800</v>
          </cell>
          <cell r="Q651">
            <v>2</v>
          </cell>
        </row>
        <row r="652">
          <cell r="A652">
            <v>3675590</v>
          </cell>
          <cell r="B652" t="str">
            <v>福島コーティング</v>
          </cell>
          <cell r="C652" t="str">
            <v>工材１部電材課</v>
          </cell>
          <cell r="D652" t="str">
            <v>ダミー担当者</v>
          </cell>
          <cell r="E652" t="str">
            <v>㈱巴川製紙所</v>
          </cell>
          <cell r="F652">
            <v>331</v>
          </cell>
          <cell r="G652" t="str">
            <v>S</v>
          </cell>
          <cell r="H652" t="str">
            <v>N</v>
          </cell>
          <cell r="I652" t="str">
            <v>CERA</v>
          </cell>
          <cell r="K652" t="str">
            <v>BKERXT</v>
          </cell>
          <cell r="L652">
            <v>38</v>
          </cell>
          <cell r="M652" t="str">
            <v>セラピール　ＢＫＥ（ＲＸ）</v>
          </cell>
          <cell r="N652">
            <v>1580</v>
          </cell>
          <cell r="O652">
            <v>1580</v>
          </cell>
          <cell r="P652">
            <v>6000</v>
          </cell>
          <cell r="Q652">
            <v>2</v>
          </cell>
        </row>
        <row r="653">
          <cell r="A653">
            <v>3675591</v>
          </cell>
          <cell r="B653" t="str">
            <v>福島コーティング</v>
          </cell>
          <cell r="C653" t="str">
            <v>工材１部電材課</v>
          </cell>
          <cell r="D653" t="str">
            <v>ダミー担当者</v>
          </cell>
          <cell r="E653" t="str">
            <v>㈱巴川製紙所</v>
          </cell>
          <cell r="F653">
            <v>331</v>
          </cell>
          <cell r="G653" t="str">
            <v>S</v>
          </cell>
          <cell r="H653" t="str">
            <v>N</v>
          </cell>
          <cell r="I653" t="str">
            <v>CERA</v>
          </cell>
          <cell r="K653" t="str">
            <v>BKERXT</v>
          </cell>
          <cell r="L653">
            <v>25</v>
          </cell>
          <cell r="M653" t="str">
            <v>セラピール　ＢＫＥ（ＲＸ）</v>
          </cell>
          <cell r="N653">
            <v>1330</v>
          </cell>
          <cell r="O653">
            <v>1330</v>
          </cell>
          <cell r="P653">
            <v>6000</v>
          </cell>
          <cell r="Q653">
            <v>2</v>
          </cell>
        </row>
        <row r="654">
          <cell r="A654">
            <v>3675592</v>
          </cell>
          <cell r="B654" t="str">
            <v>福島コーティング</v>
          </cell>
          <cell r="C654" t="str">
            <v>工材１部電材課</v>
          </cell>
          <cell r="D654" t="str">
            <v>ダミー担当者</v>
          </cell>
          <cell r="E654" t="str">
            <v>㈱巴川製紙所</v>
          </cell>
          <cell r="F654">
            <v>331</v>
          </cell>
          <cell r="G654" t="str">
            <v>S</v>
          </cell>
          <cell r="H654" t="str">
            <v>N</v>
          </cell>
          <cell r="I654" t="str">
            <v>CERA</v>
          </cell>
          <cell r="K654" t="str">
            <v>BKERXT</v>
          </cell>
          <cell r="L654">
            <v>38</v>
          </cell>
          <cell r="M654" t="str">
            <v>セラピール　ＢＫＥ（ＲＸ）</v>
          </cell>
          <cell r="N654">
            <v>1330</v>
          </cell>
          <cell r="O654">
            <v>1330</v>
          </cell>
          <cell r="P654">
            <v>6000</v>
          </cell>
          <cell r="Q654">
            <v>2</v>
          </cell>
        </row>
        <row r="655">
          <cell r="A655">
            <v>3675593</v>
          </cell>
          <cell r="B655" t="str">
            <v>福島コーティング</v>
          </cell>
          <cell r="C655" t="str">
            <v>工材１部電材課</v>
          </cell>
          <cell r="D655" t="str">
            <v>ダミー担当者</v>
          </cell>
          <cell r="E655" t="str">
            <v>パナック㈱亀山工場</v>
          </cell>
          <cell r="F655">
            <v>3</v>
          </cell>
          <cell r="G655" t="str">
            <v>S</v>
          </cell>
          <cell r="H655" t="str">
            <v>N</v>
          </cell>
          <cell r="I655" t="str">
            <v>CERA</v>
          </cell>
          <cell r="K655" t="str">
            <v>BKE09</v>
          </cell>
          <cell r="L655">
            <v>38</v>
          </cell>
          <cell r="M655" t="str">
            <v>セラピール　ＢＫＥ（０９）</v>
          </cell>
          <cell r="N655">
            <v>1057</v>
          </cell>
          <cell r="O655">
            <v>1050</v>
          </cell>
          <cell r="P655">
            <v>8400</v>
          </cell>
          <cell r="Q655">
            <v>2</v>
          </cell>
        </row>
        <row r="656">
          <cell r="A656">
            <v>3675594</v>
          </cell>
          <cell r="B656" t="str">
            <v>福島コーティング</v>
          </cell>
          <cell r="C656" t="str">
            <v>工材１部電材課</v>
          </cell>
          <cell r="D656" t="str">
            <v>ダミー担当者</v>
          </cell>
          <cell r="E656" t="str">
            <v>パナック㈱亀山工場</v>
          </cell>
          <cell r="F656">
            <v>3</v>
          </cell>
          <cell r="G656" t="str">
            <v>S</v>
          </cell>
          <cell r="H656" t="str">
            <v>N</v>
          </cell>
          <cell r="I656" t="str">
            <v>CERA</v>
          </cell>
          <cell r="K656" t="str">
            <v>BKE09</v>
          </cell>
          <cell r="L656">
            <v>38</v>
          </cell>
          <cell r="M656" t="str">
            <v>セラピール　ＢＫＥ（０９）</v>
          </cell>
          <cell r="N656">
            <v>1037</v>
          </cell>
          <cell r="O656">
            <v>1030</v>
          </cell>
          <cell r="P656">
            <v>8400</v>
          </cell>
          <cell r="Q656">
            <v>2</v>
          </cell>
        </row>
        <row r="657">
          <cell r="A657">
            <v>3675595</v>
          </cell>
          <cell r="B657" t="str">
            <v>福島コーティング</v>
          </cell>
          <cell r="C657" t="str">
            <v>工材１部電材課</v>
          </cell>
          <cell r="D657" t="str">
            <v>ダミー担当者</v>
          </cell>
          <cell r="E657" t="str">
            <v>積水化学武蔵工場</v>
          </cell>
          <cell r="F657">
            <v>3</v>
          </cell>
          <cell r="G657" t="str">
            <v>S</v>
          </cell>
          <cell r="H657" t="str">
            <v>N</v>
          </cell>
          <cell r="I657" t="str">
            <v>CERA</v>
          </cell>
          <cell r="K657" t="str">
            <v>BKU</v>
          </cell>
          <cell r="L657">
            <v>25</v>
          </cell>
          <cell r="M657" t="str">
            <v>セラピ－ル　ＢＫ（Ｕ）</v>
          </cell>
          <cell r="N657">
            <v>890</v>
          </cell>
          <cell r="O657">
            <v>890</v>
          </cell>
          <cell r="P657">
            <v>3800</v>
          </cell>
          <cell r="Q657">
            <v>2</v>
          </cell>
        </row>
        <row r="658">
          <cell r="A658">
            <v>3675596</v>
          </cell>
          <cell r="B658" t="str">
            <v>福島コーティング</v>
          </cell>
          <cell r="C658" t="str">
            <v>プロセス材２課</v>
          </cell>
          <cell r="D658" t="str">
            <v>ダミー担当者</v>
          </cell>
          <cell r="E658" t="str">
            <v>日榮新化㈱</v>
          </cell>
          <cell r="F658">
            <v>3</v>
          </cell>
          <cell r="G658" t="str">
            <v>S</v>
          </cell>
          <cell r="H658" t="str">
            <v>N</v>
          </cell>
          <cell r="I658" t="str">
            <v>CERA</v>
          </cell>
          <cell r="K658" t="str">
            <v>WZS</v>
          </cell>
          <cell r="L658">
            <v>25</v>
          </cell>
          <cell r="M658" t="str">
            <v>セラピールＷＺ（Ｓ）</v>
          </cell>
          <cell r="N658">
            <v>1425</v>
          </cell>
          <cell r="O658">
            <v>1420</v>
          </cell>
          <cell r="P658">
            <v>12400</v>
          </cell>
          <cell r="Q658">
            <v>2</v>
          </cell>
        </row>
        <row r="659">
          <cell r="A659">
            <v>3675598</v>
          </cell>
          <cell r="B659" t="str">
            <v>福島コーティング</v>
          </cell>
          <cell r="C659" t="str">
            <v>工材１部電材課</v>
          </cell>
          <cell r="D659" t="str">
            <v>ダミー担当者</v>
          </cell>
          <cell r="E659" t="str">
            <v>古河電気工業㈱</v>
          </cell>
          <cell r="F659">
            <v>3</v>
          </cell>
          <cell r="G659" t="str">
            <v>S</v>
          </cell>
          <cell r="H659" t="str">
            <v>N</v>
          </cell>
          <cell r="I659" t="str">
            <v>CERA</v>
          </cell>
          <cell r="K659" t="str">
            <v>WZE</v>
          </cell>
          <cell r="L659">
            <v>25</v>
          </cell>
          <cell r="M659" t="str">
            <v>セラピール　　　　　　　　　　　ＷＺ（Ｅ）</v>
          </cell>
          <cell r="N659">
            <v>1240</v>
          </cell>
          <cell r="O659">
            <v>1240</v>
          </cell>
          <cell r="P659">
            <v>6000</v>
          </cell>
          <cell r="Q659">
            <v>2</v>
          </cell>
        </row>
        <row r="660">
          <cell r="A660">
            <v>3675599</v>
          </cell>
          <cell r="B660" t="str">
            <v>福島コーティング</v>
          </cell>
          <cell r="C660" t="str">
            <v>工材１部電材課</v>
          </cell>
          <cell r="D660" t="str">
            <v>ダミー担当者</v>
          </cell>
          <cell r="E660" t="str">
            <v>東洋包材㈱</v>
          </cell>
          <cell r="F660">
            <v>3</v>
          </cell>
          <cell r="G660" t="str">
            <v>S</v>
          </cell>
          <cell r="H660" t="str">
            <v>N</v>
          </cell>
          <cell r="I660" t="str">
            <v>CERA</v>
          </cell>
          <cell r="K660" t="str">
            <v>WZRX</v>
          </cell>
          <cell r="L660">
            <v>38</v>
          </cell>
          <cell r="M660" t="str">
            <v>セラピール　ＷＺ（ＲＸ）　　　　　　</v>
          </cell>
          <cell r="N660">
            <v>1135</v>
          </cell>
          <cell r="O660">
            <v>1130</v>
          </cell>
          <cell r="P660">
            <v>6000</v>
          </cell>
          <cell r="Q660">
            <v>2</v>
          </cell>
        </row>
        <row r="661">
          <cell r="A661">
            <v>3675600</v>
          </cell>
          <cell r="B661" t="str">
            <v>福島コーティング</v>
          </cell>
          <cell r="C661" t="str">
            <v>プロセス材１課</v>
          </cell>
          <cell r="D661" t="str">
            <v>ダミー担当者</v>
          </cell>
          <cell r="E661" t="str">
            <v>リンテック㈱</v>
          </cell>
          <cell r="F661">
            <v>3</v>
          </cell>
          <cell r="G661" t="str">
            <v>S</v>
          </cell>
          <cell r="H661" t="str">
            <v>N</v>
          </cell>
          <cell r="I661" t="str">
            <v>CERA</v>
          </cell>
          <cell r="K661" t="str">
            <v>WZS</v>
          </cell>
          <cell r="L661">
            <v>38</v>
          </cell>
          <cell r="M661" t="str">
            <v>セラピール　　　　　　　　　　　ＷＺ（Ｓ）</v>
          </cell>
          <cell r="N661">
            <v>1415</v>
          </cell>
          <cell r="O661">
            <v>1410</v>
          </cell>
          <cell r="P661">
            <v>8000</v>
          </cell>
          <cell r="Q661">
            <v>2</v>
          </cell>
        </row>
        <row r="662">
          <cell r="A662">
            <v>3675601</v>
          </cell>
          <cell r="B662" t="str">
            <v>福島コーティング</v>
          </cell>
          <cell r="C662" t="str">
            <v>工材１部電材課</v>
          </cell>
          <cell r="D662" t="str">
            <v>ダミー担当者</v>
          </cell>
          <cell r="E662" t="str">
            <v>㈱巴川製紙所</v>
          </cell>
          <cell r="F662">
            <v>331</v>
          </cell>
          <cell r="G662" t="str">
            <v>S</v>
          </cell>
          <cell r="H662" t="str">
            <v>N</v>
          </cell>
          <cell r="I662" t="str">
            <v>CERA</v>
          </cell>
          <cell r="K662" t="str">
            <v>BX8ARXT</v>
          </cell>
          <cell r="L662">
            <v>38</v>
          </cell>
          <cell r="M662" t="str">
            <v>セラピール　ＢＸ８ＡＲＸ</v>
          </cell>
          <cell r="N662">
            <v>1580</v>
          </cell>
          <cell r="O662">
            <v>1580</v>
          </cell>
          <cell r="P662">
            <v>6000</v>
          </cell>
          <cell r="Q662">
            <v>2</v>
          </cell>
        </row>
        <row r="663">
          <cell r="A663">
            <v>3675602</v>
          </cell>
          <cell r="B663" t="str">
            <v>福島コーティング</v>
          </cell>
          <cell r="C663" t="str">
            <v>工材１部電材課</v>
          </cell>
          <cell r="D663" t="str">
            <v>ダミー担当者</v>
          </cell>
          <cell r="E663" t="str">
            <v>㈱巴川製紙所</v>
          </cell>
          <cell r="F663">
            <v>331</v>
          </cell>
          <cell r="G663" t="str">
            <v>S</v>
          </cell>
          <cell r="H663" t="str">
            <v>N</v>
          </cell>
          <cell r="I663" t="str">
            <v>CERA</v>
          </cell>
          <cell r="K663" t="str">
            <v>BX8ARXT</v>
          </cell>
          <cell r="L663">
            <v>38</v>
          </cell>
          <cell r="M663" t="str">
            <v>セラピール　ＢＸ８ＡＲＸ</v>
          </cell>
          <cell r="N663">
            <v>1330</v>
          </cell>
          <cell r="O663">
            <v>1330</v>
          </cell>
          <cell r="P663">
            <v>6000</v>
          </cell>
          <cell r="Q663">
            <v>2</v>
          </cell>
        </row>
        <row r="664">
          <cell r="A664">
            <v>3675603</v>
          </cell>
          <cell r="B664" t="str">
            <v>福島コーティング</v>
          </cell>
          <cell r="C664" t="str">
            <v>工材１部電材課</v>
          </cell>
          <cell r="D664" t="str">
            <v>ダミー担当者</v>
          </cell>
          <cell r="E664" t="str">
            <v>パナック㈱亀山工場</v>
          </cell>
          <cell r="F664">
            <v>331</v>
          </cell>
          <cell r="G664" t="str">
            <v>S</v>
          </cell>
          <cell r="H664" t="str">
            <v>N</v>
          </cell>
          <cell r="I664" t="str">
            <v>CERA</v>
          </cell>
          <cell r="K664" t="str">
            <v>BX8ARXA</v>
          </cell>
          <cell r="L664">
            <v>38</v>
          </cell>
          <cell r="M664" t="str">
            <v>セラピール　ＢＸ８ＡＲＸ</v>
          </cell>
          <cell r="N664">
            <v>1330</v>
          </cell>
          <cell r="O664">
            <v>1330</v>
          </cell>
          <cell r="P664">
            <v>6000</v>
          </cell>
          <cell r="Q664">
            <v>2</v>
          </cell>
        </row>
        <row r="665">
          <cell r="A665">
            <v>3675604</v>
          </cell>
          <cell r="B665" t="str">
            <v>福島コーティング</v>
          </cell>
          <cell r="C665" t="str">
            <v>工材１部大阪電材課</v>
          </cell>
          <cell r="D665" t="str">
            <v>ダミー担当者</v>
          </cell>
          <cell r="E665" t="str">
            <v>住友電工プリント</v>
          </cell>
          <cell r="F665">
            <v>3</v>
          </cell>
          <cell r="G665" t="str">
            <v>S</v>
          </cell>
          <cell r="H665" t="str">
            <v>N</v>
          </cell>
          <cell r="I665" t="str">
            <v>CERA</v>
          </cell>
          <cell r="K665" t="str">
            <v>BX8ARX</v>
          </cell>
          <cell r="L665">
            <v>38</v>
          </cell>
          <cell r="M665" t="str">
            <v>セラピール　ＢＸ８ＡＲＸ</v>
          </cell>
          <cell r="N665">
            <v>535</v>
          </cell>
          <cell r="O665">
            <v>535</v>
          </cell>
          <cell r="P665">
            <v>6000</v>
          </cell>
          <cell r="Q665">
            <v>2</v>
          </cell>
        </row>
        <row r="666">
          <cell r="A666">
            <v>3675606</v>
          </cell>
          <cell r="B666" t="str">
            <v>福島コーティング</v>
          </cell>
          <cell r="C666" t="str">
            <v>プロセス材２課</v>
          </cell>
          <cell r="D666" t="str">
            <v>ダミー担当者</v>
          </cell>
          <cell r="E666" t="str">
            <v>日榮新化㈱</v>
          </cell>
          <cell r="F666">
            <v>3</v>
          </cell>
          <cell r="G666" t="str">
            <v>S</v>
          </cell>
          <cell r="H666" t="str">
            <v>Y</v>
          </cell>
          <cell r="I666" t="str">
            <v>CERA</v>
          </cell>
          <cell r="K666" t="str">
            <v>BX8AS</v>
          </cell>
          <cell r="L666">
            <v>75</v>
          </cell>
          <cell r="M666" t="str">
            <v>セラピール　ＢＸ８Ａ（Ｓ）</v>
          </cell>
          <cell r="N666">
            <v>1040</v>
          </cell>
          <cell r="O666">
            <v>1040</v>
          </cell>
          <cell r="P666">
            <v>4000</v>
          </cell>
          <cell r="Q666">
            <v>1</v>
          </cell>
        </row>
        <row r="667">
          <cell r="A667">
            <v>3675607</v>
          </cell>
          <cell r="B667" t="str">
            <v>福島コーティング</v>
          </cell>
          <cell r="C667" t="str">
            <v>大阪光学機能材課</v>
          </cell>
          <cell r="D667" t="str">
            <v>ダミー担当者</v>
          </cell>
          <cell r="E667" t="str">
            <v>日東電工㈱尾道事業所</v>
          </cell>
          <cell r="F667">
            <v>3321</v>
          </cell>
          <cell r="G667" t="str">
            <v>S</v>
          </cell>
          <cell r="H667" t="str">
            <v>N</v>
          </cell>
          <cell r="I667" t="str">
            <v>CERA</v>
          </cell>
          <cell r="K667" t="str">
            <v>MDACPFL</v>
          </cell>
          <cell r="L667">
            <v>38</v>
          </cell>
          <cell r="M667" t="str">
            <v>Ｋ　セラピールＭＤＡ（ＣＰＲＦ）Ｌ</v>
          </cell>
          <cell r="N667">
            <v>1336</v>
          </cell>
          <cell r="O667">
            <v>1325</v>
          </cell>
          <cell r="P667">
            <v>12000</v>
          </cell>
          <cell r="Q667">
            <v>2</v>
          </cell>
        </row>
        <row r="668">
          <cell r="A668">
            <v>3675608</v>
          </cell>
          <cell r="B668" t="str">
            <v>福島コーティング</v>
          </cell>
          <cell r="C668" t="str">
            <v>大阪光学機能材課</v>
          </cell>
          <cell r="D668" t="str">
            <v>ダミー担当者</v>
          </cell>
          <cell r="E668" t="str">
            <v>日東電工㈱尾道事業所</v>
          </cell>
          <cell r="F668">
            <v>3321</v>
          </cell>
          <cell r="G668" t="str">
            <v>S</v>
          </cell>
          <cell r="H668" t="str">
            <v>N</v>
          </cell>
          <cell r="I668" t="str">
            <v>CERA</v>
          </cell>
          <cell r="K668" t="str">
            <v>MDAPFL</v>
          </cell>
          <cell r="L668">
            <v>38</v>
          </cell>
          <cell r="M668" t="str">
            <v>Ｋ　セラピールＭＤＡ（ＰＲＦ）Ｌ</v>
          </cell>
          <cell r="N668">
            <v>1336</v>
          </cell>
          <cell r="O668">
            <v>1325</v>
          </cell>
          <cell r="P668">
            <v>12000</v>
          </cell>
          <cell r="Q668">
            <v>2</v>
          </cell>
        </row>
        <row r="669">
          <cell r="A669">
            <v>3675611</v>
          </cell>
          <cell r="B669" t="str">
            <v>福島コーティング</v>
          </cell>
          <cell r="C669" t="str">
            <v>大阪光学機能材課</v>
          </cell>
          <cell r="D669" t="str">
            <v>ダミー担当者</v>
          </cell>
          <cell r="E669" t="str">
            <v>日東電工㈱尾道事業所</v>
          </cell>
          <cell r="F669">
            <v>3321</v>
          </cell>
          <cell r="G669" t="str">
            <v>S</v>
          </cell>
          <cell r="H669" t="str">
            <v>N</v>
          </cell>
          <cell r="I669" t="str">
            <v>CERA</v>
          </cell>
          <cell r="K669" t="str">
            <v>MDACPFL</v>
          </cell>
          <cell r="L669">
            <v>38</v>
          </cell>
          <cell r="M669" t="str">
            <v>Ｋ　セラピールＭＤＡ（ＣＰＲＦ）Ｌ</v>
          </cell>
          <cell r="N669">
            <v>1336</v>
          </cell>
          <cell r="O669">
            <v>1325</v>
          </cell>
          <cell r="P669">
            <v>12000</v>
          </cell>
          <cell r="Q669">
            <v>2</v>
          </cell>
        </row>
        <row r="670">
          <cell r="A670">
            <v>3675612</v>
          </cell>
          <cell r="B670" t="str">
            <v>福島コーティング</v>
          </cell>
          <cell r="C670" t="str">
            <v>大阪光学機能材課</v>
          </cell>
          <cell r="D670" t="str">
            <v>ダミー担当者</v>
          </cell>
          <cell r="E670" t="str">
            <v>日東電工㈱尾道事業所</v>
          </cell>
          <cell r="F670">
            <v>3321</v>
          </cell>
          <cell r="G670" t="str">
            <v>S</v>
          </cell>
          <cell r="H670" t="str">
            <v>N</v>
          </cell>
          <cell r="I670" t="str">
            <v>CERA</v>
          </cell>
          <cell r="K670" t="str">
            <v>MDAPFL</v>
          </cell>
          <cell r="L670">
            <v>38</v>
          </cell>
          <cell r="M670" t="str">
            <v>Ｋ　セラピールＭＤＡ（ＰＲＦ）Ｌ</v>
          </cell>
          <cell r="N670">
            <v>1336</v>
          </cell>
          <cell r="O670">
            <v>1325</v>
          </cell>
          <cell r="P670">
            <v>12000</v>
          </cell>
          <cell r="Q670">
            <v>2</v>
          </cell>
        </row>
        <row r="671">
          <cell r="A671">
            <v>3675613</v>
          </cell>
          <cell r="B671" t="str">
            <v>福島コーティング</v>
          </cell>
          <cell r="C671" t="str">
            <v>工材１部大阪電材課</v>
          </cell>
          <cell r="D671" t="str">
            <v>ダミー担当者</v>
          </cell>
          <cell r="E671" t="str">
            <v>日東電工㈱豊橋工場</v>
          </cell>
          <cell r="F671">
            <v>3313</v>
          </cell>
          <cell r="G671" t="str">
            <v>S</v>
          </cell>
          <cell r="H671" t="str">
            <v>N</v>
          </cell>
          <cell r="I671" t="str">
            <v>CERA</v>
          </cell>
          <cell r="K671" t="str">
            <v>MD(A)R</v>
          </cell>
          <cell r="L671">
            <v>38</v>
          </cell>
          <cell r="M671" t="str">
            <v>セラピール　ＭＤ（Ａ）（Ｒ）</v>
          </cell>
          <cell r="N671">
            <v>750</v>
          </cell>
          <cell r="O671">
            <v>750</v>
          </cell>
          <cell r="P671">
            <v>6000</v>
          </cell>
          <cell r="Q671">
            <v>2</v>
          </cell>
        </row>
        <row r="672">
          <cell r="A672">
            <v>3675614</v>
          </cell>
          <cell r="B672" t="str">
            <v>福島コーティング</v>
          </cell>
          <cell r="C672" t="str">
            <v>工材１部大阪電材課</v>
          </cell>
          <cell r="D672" t="str">
            <v>ダミー担当者</v>
          </cell>
          <cell r="E672" t="str">
            <v>日東電工㈱豊橋工場</v>
          </cell>
          <cell r="F672">
            <v>331</v>
          </cell>
          <cell r="G672" t="str">
            <v>S</v>
          </cell>
          <cell r="H672" t="str">
            <v>N</v>
          </cell>
          <cell r="I672" t="str">
            <v>CERA</v>
          </cell>
          <cell r="K672" t="str">
            <v>MD(A)R</v>
          </cell>
          <cell r="L672">
            <v>38</v>
          </cell>
          <cell r="M672" t="str">
            <v>セラピール　ＭＤ（Ａ）（Ｒ）</v>
          </cell>
          <cell r="N672">
            <v>1255</v>
          </cell>
          <cell r="O672">
            <v>1250</v>
          </cell>
          <cell r="P672">
            <v>6000</v>
          </cell>
          <cell r="Q672">
            <v>2</v>
          </cell>
        </row>
        <row r="673">
          <cell r="A673">
            <v>3675615</v>
          </cell>
          <cell r="B673" t="str">
            <v>福島コーティング</v>
          </cell>
          <cell r="C673" t="str">
            <v>工材１部電材課</v>
          </cell>
          <cell r="D673" t="str">
            <v>ダミー担当者</v>
          </cell>
          <cell r="E673" t="str">
            <v>パナック㈱亀山工場</v>
          </cell>
          <cell r="F673">
            <v>331</v>
          </cell>
          <cell r="G673" t="str">
            <v>S</v>
          </cell>
          <cell r="H673" t="str">
            <v>N</v>
          </cell>
          <cell r="I673" t="str">
            <v>CERA</v>
          </cell>
          <cell r="K673" t="str">
            <v>BKERXPT</v>
          </cell>
          <cell r="L673">
            <v>38</v>
          </cell>
          <cell r="M673" t="str">
            <v>セラピール　ＢＫＥ（ＲＸ）</v>
          </cell>
          <cell r="N673">
            <v>1330</v>
          </cell>
          <cell r="O673">
            <v>1330</v>
          </cell>
          <cell r="P673">
            <v>6000</v>
          </cell>
          <cell r="Q673">
            <v>2</v>
          </cell>
        </row>
        <row r="674">
          <cell r="A674">
            <v>3675616</v>
          </cell>
          <cell r="B674" t="str">
            <v>福島コーティング</v>
          </cell>
          <cell r="C674" t="str">
            <v>光学機能材１課</v>
          </cell>
          <cell r="D674" t="str">
            <v>ダミー担当者</v>
          </cell>
          <cell r="E674" t="str">
            <v>㈱きもと　三重工場</v>
          </cell>
          <cell r="F674">
            <v>3</v>
          </cell>
          <cell r="G674" t="str">
            <v>S</v>
          </cell>
          <cell r="H674" t="str">
            <v>N</v>
          </cell>
          <cell r="I674" t="str">
            <v>CERA</v>
          </cell>
          <cell r="K674" t="str">
            <v>BKUK</v>
          </cell>
          <cell r="L674">
            <v>25</v>
          </cell>
          <cell r="M674" t="str">
            <v>セラピール　ＢＫ（Ｕ）Ｋ</v>
          </cell>
          <cell r="N674">
            <v>1045</v>
          </cell>
          <cell r="O674">
            <v>1040</v>
          </cell>
          <cell r="P674">
            <v>6000</v>
          </cell>
          <cell r="Q674">
            <v>2</v>
          </cell>
        </row>
        <row r="675">
          <cell r="A675">
            <v>3675617</v>
          </cell>
          <cell r="B675" t="str">
            <v>福島コーティング</v>
          </cell>
          <cell r="C675" t="str">
            <v>工材１部電材課</v>
          </cell>
          <cell r="D675" t="str">
            <v>ダミー担当者</v>
          </cell>
          <cell r="E675" t="str">
            <v>パナック㈱亀山工場</v>
          </cell>
          <cell r="F675">
            <v>3</v>
          </cell>
          <cell r="G675" t="str">
            <v>S</v>
          </cell>
          <cell r="H675" t="str">
            <v>N</v>
          </cell>
          <cell r="I675" t="str">
            <v>CERA</v>
          </cell>
          <cell r="K675" t="str">
            <v>WZ</v>
          </cell>
          <cell r="L675">
            <v>25</v>
          </cell>
          <cell r="M675" t="str">
            <v>セラピール　　　　　　　　　　　ＷＺ</v>
          </cell>
          <cell r="N675">
            <v>1050</v>
          </cell>
          <cell r="O675">
            <v>1050</v>
          </cell>
          <cell r="P675">
            <v>12000</v>
          </cell>
          <cell r="Q675">
            <v>2</v>
          </cell>
        </row>
        <row r="676">
          <cell r="A676">
            <v>3675618</v>
          </cell>
          <cell r="B676" t="str">
            <v>福島コーティング</v>
          </cell>
          <cell r="C676" t="str">
            <v>工材１部電材課</v>
          </cell>
          <cell r="D676" t="str">
            <v>ダミー担当者</v>
          </cell>
          <cell r="E676" t="str">
            <v>古河電気工業㈱</v>
          </cell>
          <cell r="F676">
            <v>3</v>
          </cell>
          <cell r="G676" t="str">
            <v>S</v>
          </cell>
          <cell r="H676" t="str">
            <v>N</v>
          </cell>
          <cell r="I676" t="str">
            <v>CERA</v>
          </cell>
          <cell r="K676" t="str">
            <v>WZE</v>
          </cell>
          <cell r="L676">
            <v>25</v>
          </cell>
          <cell r="M676" t="str">
            <v>セラピール　　　　　　　　　　　ＷＺ（Ｅ）</v>
          </cell>
          <cell r="N676">
            <v>1040</v>
          </cell>
          <cell r="O676">
            <v>1040</v>
          </cell>
          <cell r="P676">
            <v>6000</v>
          </cell>
          <cell r="Q676">
            <v>2</v>
          </cell>
        </row>
        <row r="677">
          <cell r="A677">
            <v>3675621</v>
          </cell>
          <cell r="B677" t="str">
            <v>福島コーティング</v>
          </cell>
          <cell r="C677" t="str">
            <v>工材１部大阪電材課</v>
          </cell>
          <cell r="D677" t="str">
            <v>ダミー担当者</v>
          </cell>
          <cell r="E677" t="str">
            <v>双信電機㈱</v>
          </cell>
          <cell r="F677">
            <v>3</v>
          </cell>
          <cell r="G677" t="str">
            <v>S</v>
          </cell>
          <cell r="H677" t="str">
            <v>N</v>
          </cell>
          <cell r="I677" t="str">
            <v>CERANS</v>
          </cell>
          <cell r="K677" t="str">
            <v>HP2UDF</v>
          </cell>
          <cell r="L677">
            <v>75</v>
          </cell>
          <cell r="M677" t="str">
            <v>セラピール　ＨＰ２（Ｕ）Ｄ</v>
          </cell>
          <cell r="N677">
            <v>600</v>
          </cell>
          <cell r="O677">
            <v>600</v>
          </cell>
          <cell r="P677">
            <v>600</v>
          </cell>
          <cell r="Q677">
            <v>2</v>
          </cell>
        </row>
        <row r="678">
          <cell r="A678">
            <v>3675624</v>
          </cell>
          <cell r="B678" t="str">
            <v>福島コーティング</v>
          </cell>
          <cell r="C678" t="str">
            <v>プロセス材２課</v>
          </cell>
          <cell r="D678" t="str">
            <v>ダミー担当者</v>
          </cell>
          <cell r="E678" t="str">
            <v>藤森工業㈱掛川事業所</v>
          </cell>
          <cell r="F678">
            <v>3</v>
          </cell>
          <cell r="G678" t="str">
            <v>S</v>
          </cell>
          <cell r="H678" t="str">
            <v>N</v>
          </cell>
          <cell r="I678" t="str">
            <v>CLB</v>
          </cell>
          <cell r="K678" t="str">
            <v>PETTL</v>
          </cell>
          <cell r="L678">
            <v>38</v>
          </cell>
          <cell r="M678" t="str">
            <v>ＰＥＴ　ＴＬ</v>
          </cell>
          <cell r="N678">
            <v>1320</v>
          </cell>
          <cell r="O678">
            <v>1320</v>
          </cell>
          <cell r="P678">
            <v>4200</v>
          </cell>
          <cell r="Q678">
            <v>2</v>
          </cell>
        </row>
        <row r="679">
          <cell r="A679">
            <v>3675647</v>
          </cell>
          <cell r="B679" t="str">
            <v>福島コーティング</v>
          </cell>
          <cell r="C679" t="str">
            <v>工材１部電材課</v>
          </cell>
          <cell r="D679" t="str">
            <v>ダミー担当者</v>
          </cell>
          <cell r="E679" t="str">
            <v>㈱巴川製紙所</v>
          </cell>
          <cell r="F679">
            <v>3</v>
          </cell>
          <cell r="G679" t="str">
            <v>S</v>
          </cell>
          <cell r="H679" t="str">
            <v>N</v>
          </cell>
          <cell r="I679" t="str">
            <v>CERA</v>
          </cell>
          <cell r="K679" t="str">
            <v>BX8AX</v>
          </cell>
          <cell r="L679">
            <v>75</v>
          </cell>
          <cell r="M679" t="str">
            <v>セラピール　　　　　　　　　　　ＢＸ８Ａ（Ｘ）</v>
          </cell>
          <cell r="N679">
            <v>1330</v>
          </cell>
          <cell r="O679">
            <v>1330</v>
          </cell>
          <cell r="P679">
            <v>4100</v>
          </cell>
          <cell r="Q679">
            <v>2</v>
          </cell>
        </row>
        <row r="680">
          <cell r="A680">
            <v>3679979</v>
          </cell>
          <cell r="B680" t="str">
            <v>福島コーティング</v>
          </cell>
          <cell r="C680" t="str">
            <v>工材１部電材課</v>
          </cell>
          <cell r="D680" t="str">
            <v>ダミー担当者</v>
          </cell>
          <cell r="E680" t="str">
            <v>㈱巴川製紙所</v>
          </cell>
          <cell r="F680">
            <v>331</v>
          </cell>
          <cell r="G680" t="str">
            <v>S</v>
          </cell>
          <cell r="H680" t="str">
            <v>N</v>
          </cell>
          <cell r="I680" t="str">
            <v>CERA</v>
          </cell>
          <cell r="K680" t="str">
            <v>BKERXT</v>
          </cell>
          <cell r="L680">
            <v>38</v>
          </cell>
          <cell r="M680" t="str">
            <v>セラピール　ＢＫＥ（ＲＸ）</v>
          </cell>
          <cell r="N680">
            <v>1580</v>
          </cell>
          <cell r="O680">
            <v>1580</v>
          </cell>
          <cell r="P680">
            <v>6000</v>
          </cell>
          <cell r="Q680">
            <v>2</v>
          </cell>
        </row>
        <row r="681">
          <cell r="A681">
            <v>3679980</v>
          </cell>
          <cell r="B681" t="str">
            <v>福島コーティング</v>
          </cell>
          <cell r="C681" t="str">
            <v>工材１部電材課</v>
          </cell>
          <cell r="D681" t="str">
            <v>ダミー担当者</v>
          </cell>
          <cell r="E681" t="str">
            <v>パナック㈱亀山工場</v>
          </cell>
          <cell r="F681">
            <v>331</v>
          </cell>
          <cell r="G681" t="str">
            <v>S</v>
          </cell>
          <cell r="H681" t="str">
            <v>N</v>
          </cell>
          <cell r="I681" t="str">
            <v>CERA</v>
          </cell>
          <cell r="K681" t="str">
            <v>BKERXPT</v>
          </cell>
          <cell r="L681">
            <v>38</v>
          </cell>
          <cell r="M681" t="str">
            <v>セラピール　ＢＫＥ（ＲＸ）</v>
          </cell>
          <cell r="N681">
            <v>1330</v>
          </cell>
          <cell r="O681">
            <v>1330</v>
          </cell>
          <cell r="P681">
            <v>6000</v>
          </cell>
          <cell r="Q681">
            <v>2</v>
          </cell>
        </row>
        <row r="682">
          <cell r="A682">
            <v>3679981</v>
          </cell>
          <cell r="B682" t="str">
            <v>福島コーティング</v>
          </cell>
          <cell r="C682" t="str">
            <v>工材１部電材課</v>
          </cell>
          <cell r="D682" t="str">
            <v>ダミー担当者</v>
          </cell>
          <cell r="E682" t="str">
            <v>㈱巴川製紙所</v>
          </cell>
          <cell r="F682">
            <v>331</v>
          </cell>
          <cell r="G682" t="str">
            <v>S</v>
          </cell>
          <cell r="H682" t="str">
            <v>N</v>
          </cell>
          <cell r="I682" t="str">
            <v>CERA</v>
          </cell>
          <cell r="K682" t="str">
            <v>BKERXT</v>
          </cell>
          <cell r="L682">
            <v>38</v>
          </cell>
          <cell r="M682" t="str">
            <v>セラピール　ＢＫＥ（ＲＸ）</v>
          </cell>
          <cell r="N682">
            <v>1330</v>
          </cell>
          <cell r="O682">
            <v>1330</v>
          </cell>
          <cell r="P682">
            <v>6000</v>
          </cell>
          <cell r="Q682">
            <v>2</v>
          </cell>
        </row>
        <row r="683">
          <cell r="A683">
            <v>3679982</v>
          </cell>
          <cell r="B683" t="str">
            <v>福島コーティング</v>
          </cell>
          <cell r="C683" t="str">
            <v>工材１部電材課</v>
          </cell>
          <cell r="D683" t="str">
            <v>ダミー担当者</v>
          </cell>
          <cell r="E683" t="str">
            <v>パナック㈱亀山工場</v>
          </cell>
          <cell r="F683">
            <v>3</v>
          </cell>
          <cell r="G683" t="str">
            <v>S</v>
          </cell>
          <cell r="H683" t="str">
            <v>N</v>
          </cell>
          <cell r="I683" t="str">
            <v>CERA</v>
          </cell>
          <cell r="K683" t="str">
            <v>BKE09</v>
          </cell>
          <cell r="L683">
            <v>38</v>
          </cell>
          <cell r="M683" t="str">
            <v>セラピール　ＢＫＥ（０９）</v>
          </cell>
          <cell r="N683">
            <v>1057</v>
          </cell>
          <cell r="O683">
            <v>1050</v>
          </cell>
          <cell r="P683">
            <v>8400</v>
          </cell>
          <cell r="Q683">
            <v>2</v>
          </cell>
        </row>
        <row r="684">
          <cell r="A684">
            <v>3679983</v>
          </cell>
          <cell r="B684" t="str">
            <v>福島コーティング</v>
          </cell>
          <cell r="C684" t="str">
            <v>光学機能材１課</v>
          </cell>
          <cell r="D684" t="str">
            <v>ダミー担当者</v>
          </cell>
          <cell r="E684" t="str">
            <v>㈱きもと　三重工場</v>
          </cell>
          <cell r="F684">
            <v>3</v>
          </cell>
          <cell r="G684" t="str">
            <v>S</v>
          </cell>
          <cell r="H684" t="str">
            <v>N</v>
          </cell>
          <cell r="I684" t="str">
            <v>CERA</v>
          </cell>
          <cell r="K684" t="str">
            <v>BKUK</v>
          </cell>
          <cell r="L684">
            <v>25</v>
          </cell>
          <cell r="M684" t="str">
            <v>セラピール　ＢＫ（Ｕ）Ｋ</v>
          </cell>
          <cell r="N684">
            <v>1045</v>
          </cell>
          <cell r="O684">
            <v>1040</v>
          </cell>
          <cell r="P684">
            <v>6000</v>
          </cell>
          <cell r="Q684">
            <v>2</v>
          </cell>
        </row>
        <row r="685">
          <cell r="A685">
            <v>3679984</v>
          </cell>
          <cell r="B685" t="str">
            <v>福島コーティング</v>
          </cell>
          <cell r="C685" t="str">
            <v>工材１部電材課</v>
          </cell>
          <cell r="D685" t="str">
            <v>ダミー担当者</v>
          </cell>
          <cell r="E685" t="str">
            <v>パナック㈱亀山工場</v>
          </cell>
          <cell r="F685">
            <v>3</v>
          </cell>
          <cell r="G685" t="str">
            <v>S</v>
          </cell>
          <cell r="H685" t="str">
            <v>N</v>
          </cell>
          <cell r="I685" t="str">
            <v>CERA</v>
          </cell>
          <cell r="K685" t="str">
            <v>BKE09</v>
          </cell>
          <cell r="L685">
            <v>38</v>
          </cell>
          <cell r="M685" t="str">
            <v>セラピール　ＢＫＥ（０９）</v>
          </cell>
          <cell r="N685">
            <v>1037</v>
          </cell>
          <cell r="O685">
            <v>1030</v>
          </cell>
          <cell r="P685">
            <v>8400</v>
          </cell>
          <cell r="Q685">
            <v>2</v>
          </cell>
        </row>
        <row r="686">
          <cell r="A686">
            <v>3679985</v>
          </cell>
          <cell r="B686" t="str">
            <v>福島コーティング</v>
          </cell>
          <cell r="C686" t="str">
            <v>工材１部電材課</v>
          </cell>
          <cell r="D686" t="str">
            <v>ダミー担当者</v>
          </cell>
          <cell r="E686" t="str">
            <v>パナック㈱亀山工場</v>
          </cell>
          <cell r="F686">
            <v>331</v>
          </cell>
          <cell r="G686" t="str">
            <v>S</v>
          </cell>
          <cell r="H686" t="str">
            <v>N</v>
          </cell>
          <cell r="I686" t="str">
            <v>CERA</v>
          </cell>
          <cell r="K686" t="str">
            <v>BKERXPT</v>
          </cell>
          <cell r="L686">
            <v>38</v>
          </cell>
          <cell r="M686" t="str">
            <v>セラピール　ＢＫＥ（ＲＸ）</v>
          </cell>
          <cell r="N686">
            <v>1030</v>
          </cell>
          <cell r="O686">
            <v>1030</v>
          </cell>
          <cell r="P686">
            <v>8400</v>
          </cell>
          <cell r="Q686">
            <v>2</v>
          </cell>
        </row>
        <row r="687">
          <cell r="A687">
            <v>3679986</v>
          </cell>
          <cell r="B687" t="str">
            <v>福島コーティング</v>
          </cell>
          <cell r="C687" t="str">
            <v>工材１部電材課</v>
          </cell>
          <cell r="D687" t="str">
            <v>ダミー担当者</v>
          </cell>
          <cell r="E687" t="str">
            <v>積水化学武蔵工場</v>
          </cell>
          <cell r="F687">
            <v>3</v>
          </cell>
          <cell r="G687" t="str">
            <v>S</v>
          </cell>
          <cell r="H687" t="str">
            <v>N</v>
          </cell>
          <cell r="I687" t="str">
            <v>CERA</v>
          </cell>
          <cell r="K687" t="str">
            <v>BKU</v>
          </cell>
          <cell r="L687">
            <v>25</v>
          </cell>
          <cell r="M687" t="str">
            <v>セラピ－ル　ＢＫ（Ｕ）</v>
          </cell>
          <cell r="N687">
            <v>890</v>
          </cell>
          <cell r="O687">
            <v>890</v>
          </cell>
          <cell r="P687">
            <v>3800</v>
          </cell>
          <cell r="Q687">
            <v>2</v>
          </cell>
        </row>
        <row r="688">
          <cell r="A688">
            <v>3679987</v>
          </cell>
          <cell r="B688" t="str">
            <v>情材福島原価</v>
          </cell>
          <cell r="C688" t="str">
            <v>プロセス材２課</v>
          </cell>
          <cell r="D688" t="str">
            <v>ダミー担当者</v>
          </cell>
          <cell r="E688" t="str">
            <v>日榮新化㈱</v>
          </cell>
          <cell r="F688">
            <v>3</v>
          </cell>
          <cell r="G688" t="str">
            <v>T</v>
          </cell>
          <cell r="H688" t="str">
            <v>N</v>
          </cell>
          <cell r="I688" t="str">
            <v>CERA</v>
          </cell>
          <cell r="K688" t="str">
            <v>WZS</v>
          </cell>
          <cell r="L688">
            <v>25</v>
          </cell>
          <cell r="M688" t="str">
            <v>セラピールＷＺ（Ｓ）</v>
          </cell>
          <cell r="N688">
            <v>1425</v>
          </cell>
          <cell r="O688">
            <v>1420</v>
          </cell>
          <cell r="P688">
            <v>12400</v>
          </cell>
          <cell r="Q688">
            <v>2</v>
          </cell>
        </row>
        <row r="689">
          <cell r="A689">
            <v>3679988</v>
          </cell>
          <cell r="B689" t="str">
            <v>情材福島原価</v>
          </cell>
          <cell r="C689" t="str">
            <v>プロセス材２課</v>
          </cell>
          <cell r="D689" t="str">
            <v>ダミー担当者</v>
          </cell>
          <cell r="E689" t="str">
            <v>日榮新化㈱</v>
          </cell>
          <cell r="F689">
            <v>3</v>
          </cell>
          <cell r="G689" t="str">
            <v>T</v>
          </cell>
          <cell r="H689" t="str">
            <v>N</v>
          </cell>
          <cell r="I689" t="str">
            <v>CERA</v>
          </cell>
          <cell r="K689" t="str">
            <v>WZS</v>
          </cell>
          <cell r="L689">
            <v>25</v>
          </cell>
          <cell r="M689" t="str">
            <v>セラピールＷＺ（Ｓ）</v>
          </cell>
          <cell r="N689">
            <v>1425</v>
          </cell>
          <cell r="O689">
            <v>1420</v>
          </cell>
          <cell r="P689">
            <v>12400</v>
          </cell>
          <cell r="Q689">
            <v>2</v>
          </cell>
        </row>
        <row r="690">
          <cell r="A690">
            <v>3679989</v>
          </cell>
          <cell r="B690" t="str">
            <v>情材福島原価</v>
          </cell>
          <cell r="C690" t="str">
            <v>工材１部電材課</v>
          </cell>
          <cell r="D690" t="str">
            <v>ダミー担当者</v>
          </cell>
          <cell r="E690" t="str">
            <v>藤産業㈱</v>
          </cell>
          <cell r="F690">
            <v>3</v>
          </cell>
          <cell r="G690" t="str">
            <v>T</v>
          </cell>
          <cell r="H690" t="str">
            <v>N</v>
          </cell>
          <cell r="I690" t="str">
            <v>CERA</v>
          </cell>
          <cell r="K690" t="str">
            <v>WZ34</v>
          </cell>
          <cell r="L690">
            <v>25</v>
          </cell>
          <cell r="M690" t="str">
            <v>セラピール　ＷＺ（３４）</v>
          </cell>
          <cell r="N690">
            <v>1410</v>
          </cell>
          <cell r="O690">
            <v>1410</v>
          </cell>
          <cell r="P690">
            <v>6000</v>
          </cell>
          <cell r="Q690">
            <v>2</v>
          </cell>
        </row>
        <row r="691">
          <cell r="A691">
            <v>3679990</v>
          </cell>
          <cell r="B691" t="str">
            <v>福島コーティング</v>
          </cell>
          <cell r="C691" t="str">
            <v>プロセス材１課</v>
          </cell>
          <cell r="D691" t="str">
            <v>ダミー担当者</v>
          </cell>
          <cell r="E691" t="str">
            <v>リンテック㈱</v>
          </cell>
          <cell r="F691">
            <v>3</v>
          </cell>
          <cell r="G691" t="str">
            <v>S</v>
          </cell>
          <cell r="H691" t="str">
            <v>N</v>
          </cell>
          <cell r="I691" t="str">
            <v>CERA</v>
          </cell>
          <cell r="K691" t="str">
            <v>WZS</v>
          </cell>
          <cell r="L691">
            <v>38</v>
          </cell>
          <cell r="M691" t="str">
            <v>セラピール　　　　　　　　　　　ＷＺ（Ｓ）</v>
          </cell>
          <cell r="N691">
            <v>1415</v>
          </cell>
          <cell r="O691">
            <v>1410</v>
          </cell>
          <cell r="P691">
            <v>8000</v>
          </cell>
          <cell r="Q691">
            <v>2</v>
          </cell>
        </row>
        <row r="692">
          <cell r="A692">
            <v>3679991</v>
          </cell>
          <cell r="B692" t="str">
            <v>福島コーティング</v>
          </cell>
          <cell r="C692" t="str">
            <v>工材１部電材課</v>
          </cell>
          <cell r="D692" t="str">
            <v>ダミー担当者</v>
          </cell>
          <cell r="E692" t="str">
            <v>古河電気工業㈱</v>
          </cell>
          <cell r="F692">
            <v>3</v>
          </cell>
          <cell r="G692" t="str">
            <v>S</v>
          </cell>
          <cell r="H692" t="str">
            <v>N</v>
          </cell>
          <cell r="I692" t="str">
            <v>CERA</v>
          </cell>
          <cell r="K692" t="str">
            <v>WZE</v>
          </cell>
          <cell r="L692">
            <v>25</v>
          </cell>
          <cell r="M692" t="str">
            <v>セラピール　　　　　　　　　　　ＷＺ（Ｅ）</v>
          </cell>
          <cell r="N692">
            <v>1240</v>
          </cell>
          <cell r="O692">
            <v>1240</v>
          </cell>
          <cell r="P692">
            <v>6000</v>
          </cell>
          <cell r="Q692">
            <v>2</v>
          </cell>
        </row>
        <row r="693">
          <cell r="A693">
            <v>3679992</v>
          </cell>
          <cell r="B693" t="str">
            <v>福島コーティング</v>
          </cell>
          <cell r="C693" t="str">
            <v>工材１部電材課</v>
          </cell>
          <cell r="D693" t="str">
            <v>ダミー担当者</v>
          </cell>
          <cell r="E693" t="str">
            <v>古河電気工業㈱</v>
          </cell>
          <cell r="F693">
            <v>3</v>
          </cell>
          <cell r="G693" t="str">
            <v>S</v>
          </cell>
          <cell r="H693" t="str">
            <v>N</v>
          </cell>
          <cell r="I693" t="str">
            <v>CERA</v>
          </cell>
          <cell r="K693" t="str">
            <v>WZE</v>
          </cell>
          <cell r="L693">
            <v>38</v>
          </cell>
          <cell r="M693" t="str">
            <v>セラピール　　　　　　　　　　　ＷＺ（Ｅ）</v>
          </cell>
          <cell r="N693">
            <v>1240</v>
          </cell>
          <cell r="O693">
            <v>1240</v>
          </cell>
          <cell r="P693">
            <v>6000</v>
          </cell>
          <cell r="Q693">
            <v>2</v>
          </cell>
        </row>
        <row r="694">
          <cell r="A694">
            <v>3679993</v>
          </cell>
          <cell r="B694" t="str">
            <v>福島コーティング</v>
          </cell>
          <cell r="C694" t="str">
            <v>工材１部電材課</v>
          </cell>
          <cell r="D694" t="str">
            <v>ダミー担当者</v>
          </cell>
          <cell r="E694" t="str">
            <v>東洋包材㈱</v>
          </cell>
          <cell r="F694">
            <v>3</v>
          </cell>
          <cell r="G694" t="str">
            <v>S</v>
          </cell>
          <cell r="H694" t="str">
            <v>N</v>
          </cell>
          <cell r="I694" t="str">
            <v>CERA</v>
          </cell>
          <cell r="K694" t="str">
            <v>WZRX</v>
          </cell>
          <cell r="L694">
            <v>38</v>
          </cell>
          <cell r="M694" t="str">
            <v>セラピール　ＷＺ（ＲＸ）　　　　　　</v>
          </cell>
          <cell r="N694">
            <v>1135</v>
          </cell>
          <cell r="O694">
            <v>1130</v>
          </cell>
          <cell r="P694">
            <v>6000</v>
          </cell>
          <cell r="Q694">
            <v>2</v>
          </cell>
        </row>
        <row r="695">
          <cell r="A695">
            <v>3679994</v>
          </cell>
          <cell r="B695" t="str">
            <v>福島コーティング</v>
          </cell>
          <cell r="C695" t="str">
            <v>工材１部電材課</v>
          </cell>
          <cell r="D695" t="str">
            <v>ダミー担当者</v>
          </cell>
          <cell r="E695" t="str">
            <v>古河電気工業㈱</v>
          </cell>
          <cell r="F695">
            <v>3</v>
          </cell>
          <cell r="G695" t="str">
            <v>S</v>
          </cell>
          <cell r="H695" t="str">
            <v>N</v>
          </cell>
          <cell r="I695" t="str">
            <v>CERA</v>
          </cell>
          <cell r="K695" t="str">
            <v>WZE</v>
          </cell>
          <cell r="L695">
            <v>25</v>
          </cell>
          <cell r="M695" t="str">
            <v>セラピール　　　　　　　　　　　ＷＺ（Ｅ）</v>
          </cell>
          <cell r="N695">
            <v>1040</v>
          </cell>
          <cell r="O695">
            <v>1040</v>
          </cell>
          <cell r="P695">
            <v>6000</v>
          </cell>
          <cell r="Q695">
            <v>2</v>
          </cell>
        </row>
        <row r="696">
          <cell r="A696">
            <v>3679995</v>
          </cell>
          <cell r="B696" t="str">
            <v>福島コーティング</v>
          </cell>
          <cell r="C696" t="str">
            <v>プロセス材１課</v>
          </cell>
          <cell r="D696" t="str">
            <v>ダミー担当者</v>
          </cell>
          <cell r="E696" t="str">
            <v>リンテック㈱</v>
          </cell>
          <cell r="F696">
            <v>3</v>
          </cell>
          <cell r="G696" t="str">
            <v>S</v>
          </cell>
          <cell r="H696" t="str">
            <v>N</v>
          </cell>
          <cell r="I696" t="str">
            <v>CERA</v>
          </cell>
          <cell r="K696" t="str">
            <v>WZS</v>
          </cell>
          <cell r="L696">
            <v>38</v>
          </cell>
          <cell r="M696" t="str">
            <v>セラピール　　　　　　　　　　　ＷＺ（Ｓ）</v>
          </cell>
          <cell r="N696">
            <v>1005</v>
          </cell>
          <cell r="O696">
            <v>1000</v>
          </cell>
          <cell r="P696">
            <v>8000</v>
          </cell>
          <cell r="Q696">
            <v>2</v>
          </cell>
        </row>
        <row r="697">
          <cell r="A697">
            <v>3679996</v>
          </cell>
          <cell r="B697" t="str">
            <v>福島コーティング</v>
          </cell>
          <cell r="C697" t="str">
            <v>工材１部電材課</v>
          </cell>
          <cell r="D697" t="str">
            <v>ダミー担当者</v>
          </cell>
          <cell r="E697" t="str">
            <v>㈱巴川製紙所</v>
          </cell>
          <cell r="F697">
            <v>331</v>
          </cell>
          <cell r="G697" t="str">
            <v>S</v>
          </cell>
          <cell r="H697" t="str">
            <v>N</v>
          </cell>
          <cell r="I697" t="str">
            <v>CERA</v>
          </cell>
          <cell r="K697" t="str">
            <v>BX8ARXT</v>
          </cell>
          <cell r="L697">
            <v>38</v>
          </cell>
          <cell r="M697" t="str">
            <v>セラピール　ＢＸ８ＡＲＸ</v>
          </cell>
          <cell r="N697">
            <v>1580</v>
          </cell>
          <cell r="O697">
            <v>1580</v>
          </cell>
          <cell r="P697">
            <v>6000</v>
          </cell>
          <cell r="Q697">
            <v>2</v>
          </cell>
        </row>
        <row r="698">
          <cell r="A698">
            <v>3679997</v>
          </cell>
          <cell r="B698" t="str">
            <v>福島コーティング</v>
          </cell>
          <cell r="C698" t="str">
            <v>工材１部電材課</v>
          </cell>
          <cell r="D698" t="str">
            <v>ダミー担当者</v>
          </cell>
          <cell r="E698" t="str">
            <v>パナック㈱亀山工場</v>
          </cell>
          <cell r="F698">
            <v>3</v>
          </cell>
          <cell r="G698" t="str">
            <v>S</v>
          </cell>
          <cell r="H698" t="str">
            <v>N</v>
          </cell>
          <cell r="I698" t="str">
            <v>CERA</v>
          </cell>
          <cell r="K698" t="str">
            <v>BX8AD</v>
          </cell>
          <cell r="L698">
            <v>75</v>
          </cell>
          <cell r="M698" t="str">
            <v>セラピール　　　　　　　　　　　ＢＸ８ＡＤ</v>
          </cell>
          <cell r="N698">
            <v>1330</v>
          </cell>
          <cell r="O698">
            <v>1330</v>
          </cell>
          <cell r="P698">
            <v>5000</v>
          </cell>
          <cell r="Q698">
            <v>2</v>
          </cell>
        </row>
        <row r="699">
          <cell r="A699">
            <v>3679998</v>
          </cell>
          <cell r="B699" t="str">
            <v>福島コーティング</v>
          </cell>
          <cell r="C699" t="str">
            <v>工材１部電材課</v>
          </cell>
          <cell r="D699" t="str">
            <v>ダミー担当者</v>
          </cell>
          <cell r="E699" t="str">
            <v>㈱巴川製紙所</v>
          </cell>
          <cell r="F699">
            <v>3</v>
          </cell>
          <cell r="G699" t="str">
            <v>S</v>
          </cell>
          <cell r="H699" t="str">
            <v>N</v>
          </cell>
          <cell r="I699" t="str">
            <v>CERA</v>
          </cell>
          <cell r="K699" t="str">
            <v>BX8AX</v>
          </cell>
          <cell r="L699">
            <v>75</v>
          </cell>
          <cell r="M699" t="str">
            <v>セラピール　　　　　　　　　　　ＢＸ８Ａ（Ｘ）</v>
          </cell>
          <cell r="N699">
            <v>1330</v>
          </cell>
          <cell r="O699">
            <v>1330</v>
          </cell>
          <cell r="P699">
            <v>4100</v>
          </cell>
          <cell r="Q699">
            <v>2</v>
          </cell>
        </row>
        <row r="700">
          <cell r="A700">
            <v>3679999</v>
          </cell>
          <cell r="B700" t="str">
            <v>福島コーティング</v>
          </cell>
          <cell r="C700" t="str">
            <v>工材１部大阪電材課</v>
          </cell>
          <cell r="D700" t="str">
            <v>ダミー担当者</v>
          </cell>
          <cell r="E700" t="str">
            <v>住友電工プリント</v>
          </cell>
          <cell r="F700">
            <v>3</v>
          </cell>
          <cell r="G700" t="str">
            <v>S</v>
          </cell>
          <cell r="H700" t="str">
            <v>N</v>
          </cell>
          <cell r="I700" t="str">
            <v>CERA</v>
          </cell>
          <cell r="K700" t="str">
            <v>BX8ARX</v>
          </cell>
          <cell r="L700">
            <v>38</v>
          </cell>
          <cell r="M700" t="str">
            <v>セラピール　ＢＸ８ＡＲＸ</v>
          </cell>
          <cell r="N700">
            <v>535</v>
          </cell>
          <cell r="O700">
            <v>535</v>
          </cell>
          <cell r="P700">
            <v>6000</v>
          </cell>
          <cell r="Q700">
            <v>2</v>
          </cell>
        </row>
        <row r="701">
          <cell r="A701">
            <v>3680000</v>
          </cell>
          <cell r="B701" t="str">
            <v>情材福島原価</v>
          </cell>
          <cell r="C701" t="str">
            <v>工材１部大阪電材課</v>
          </cell>
          <cell r="D701" t="str">
            <v>ダミー担当者</v>
          </cell>
          <cell r="E701" t="str">
            <v>日東電工㈱豊橋工場</v>
          </cell>
          <cell r="F701">
            <v>3</v>
          </cell>
          <cell r="G701" t="str">
            <v>T</v>
          </cell>
          <cell r="H701" t="str">
            <v>N</v>
          </cell>
          <cell r="I701" t="str">
            <v>CERA</v>
          </cell>
          <cell r="K701" t="str">
            <v>BX8A37</v>
          </cell>
          <cell r="L701">
            <v>75</v>
          </cell>
          <cell r="M701" t="str">
            <v>セラピール　ＢＸ８Ａ（３７）</v>
          </cell>
          <cell r="N701">
            <v>1050</v>
          </cell>
          <cell r="O701">
            <v>1050</v>
          </cell>
          <cell r="P701">
            <v>5800</v>
          </cell>
          <cell r="Q701">
            <v>2</v>
          </cell>
        </row>
        <row r="702">
          <cell r="A702">
            <v>3680001</v>
          </cell>
          <cell r="B702" t="str">
            <v>福島コーティング</v>
          </cell>
          <cell r="C702" t="str">
            <v>プロセス材２課</v>
          </cell>
          <cell r="D702" t="str">
            <v>ダミー担当者</v>
          </cell>
          <cell r="E702" t="str">
            <v>日榮新化㈱</v>
          </cell>
          <cell r="F702">
            <v>3</v>
          </cell>
          <cell r="G702" t="str">
            <v>S</v>
          </cell>
          <cell r="H702" t="str">
            <v>Y</v>
          </cell>
          <cell r="I702" t="str">
            <v>CERA</v>
          </cell>
          <cell r="K702" t="str">
            <v>BX9AS</v>
          </cell>
          <cell r="L702">
            <v>75</v>
          </cell>
          <cell r="M702" t="str">
            <v>セラピール　　　　　　　　　　　ＢＸ９Ａ（Ｓ）</v>
          </cell>
          <cell r="N702">
            <v>1040</v>
          </cell>
          <cell r="O702">
            <v>1040</v>
          </cell>
          <cell r="P702">
            <v>4000</v>
          </cell>
          <cell r="Q702">
            <v>1</v>
          </cell>
        </row>
        <row r="703">
          <cell r="A703">
            <v>3680002</v>
          </cell>
          <cell r="B703" t="str">
            <v>福島コーティング</v>
          </cell>
          <cell r="C703" t="str">
            <v>大阪光学機能材課</v>
          </cell>
          <cell r="D703" t="str">
            <v>ダミー担当者</v>
          </cell>
          <cell r="E703" t="str">
            <v>日東電工㈱尾道事業所</v>
          </cell>
          <cell r="F703">
            <v>3321</v>
          </cell>
          <cell r="G703" t="str">
            <v>S</v>
          </cell>
          <cell r="H703" t="str">
            <v>N</v>
          </cell>
          <cell r="I703" t="str">
            <v>CERA</v>
          </cell>
          <cell r="K703" t="str">
            <v>MDACPFL</v>
          </cell>
          <cell r="L703">
            <v>38</v>
          </cell>
          <cell r="M703" t="str">
            <v>Ｋ　セラピールＭＤＡ（ＣＰＲＦ）Ｌ</v>
          </cell>
          <cell r="N703">
            <v>1336</v>
          </cell>
          <cell r="O703">
            <v>1325</v>
          </cell>
          <cell r="P703">
            <v>12000</v>
          </cell>
          <cell r="Q703">
            <v>2</v>
          </cell>
        </row>
        <row r="704">
          <cell r="A704">
            <v>3680003</v>
          </cell>
          <cell r="B704" t="str">
            <v>福島コーティング</v>
          </cell>
          <cell r="C704" t="str">
            <v>大阪光学機能材課</v>
          </cell>
          <cell r="D704" t="str">
            <v>ダミー担当者</v>
          </cell>
          <cell r="E704" t="str">
            <v>日東電工㈱尾道事業所</v>
          </cell>
          <cell r="F704">
            <v>3321</v>
          </cell>
          <cell r="G704" t="str">
            <v>S</v>
          </cell>
          <cell r="H704" t="str">
            <v>N</v>
          </cell>
          <cell r="I704" t="str">
            <v>CERA</v>
          </cell>
          <cell r="K704" t="str">
            <v>MDAPFL</v>
          </cell>
          <cell r="L704">
            <v>38</v>
          </cell>
          <cell r="M704" t="str">
            <v>Ｋ　セラピールＭＤＡ（ＰＲＦ）Ｌ</v>
          </cell>
          <cell r="N704">
            <v>1336</v>
          </cell>
          <cell r="O704">
            <v>1325</v>
          </cell>
          <cell r="P704">
            <v>12000</v>
          </cell>
          <cell r="Q704">
            <v>2</v>
          </cell>
        </row>
        <row r="705">
          <cell r="A705">
            <v>3680004</v>
          </cell>
          <cell r="B705" t="str">
            <v>福島コーティング</v>
          </cell>
          <cell r="C705" t="str">
            <v>大阪光学機能材課</v>
          </cell>
          <cell r="D705" t="str">
            <v>ダミー担当者</v>
          </cell>
          <cell r="E705" t="str">
            <v>日東電工㈱尾道事業所</v>
          </cell>
          <cell r="F705">
            <v>3321</v>
          </cell>
          <cell r="G705" t="str">
            <v>S</v>
          </cell>
          <cell r="H705" t="str">
            <v>N</v>
          </cell>
          <cell r="I705" t="str">
            <v>CERA</v>
          </cell>
          <cell r="K705" t="str">
            <v>MDAPFL</v>
          </cell>
          <cell r="L705">
            <v>38</v>
          </cell>
          <cell r="M705" t="str">
            <v>Ｋ　セラピールＭＤＡ（ＰＲＦ）Ｌ</v>
          </cell>
          <cell r="N705">
            <v>1336</v>
          </cell>
          <cell r="O705">
            <v>1325</v>
          </cell>
          <cell r="P705">
            <v>12000</v>
          </cell>
          <cell r="Q705">
            <v>2</v>
          </cell>
        </row>
        <row r="706">
          <cell r="A706">
            <v>3680005</v>
          </cell>
          <cell r="B706" t="str">
            <v>福島コーティング</v>
          </cell>
          <cell r="C706" t="str">
            <v>工材１部大阪電材課</v>
          </cell>
          <cell r="D706" t="str">
            <v>ダミー担当者</v>
          </cell>
          <cell r="E706" t="str">
            <v>日東電工㈱豊橋工場</v>
          </cell>
          <cell r="F706">
            <v>331</v>
          </cell>
          <cell r="G706" t="str">
            <v>S</v>
          </cell>
          <cell r="H706" t="str">
            <v>N</v>
          </cell>
          <cell r="I706" t="str">
            <v>CERA</v>
          </cell>
          <cell r="K706" t="str">
            <v>MD(A)R</v>
          </cell>
          <cell r="L706">
            <v>38</v>
          </cell>
          <cell r="M706" t="str">
            <v>セラピール　ＭＤ（Ａ）（Ｒ）</v>
          </cell>
          <cell r="N706">
            <v>1025</v>
          </cell>
          <cell r="O706">
            <v>1020</v>
          </cell>
          <cell r="P706">
            <v>6000</v>
          </cell>
          <cell r="Q706">
            <v>2</v>
          </cell>
        </row>
        <row r="707">
          <cell r="A707">
            <v>3680007</v>
          </cell>
          <cell r="B707" t="str">
            <v>福島コーティング</v>
          </cell>
          <cell r="C707" t="str">
            <v>プロセス材１課</v>
          </cell>
          <cell r="D707" t="str">
            <v>ダミー担当者</v>
          </cell>
          <cell r="E707" t="str">
            <v>王子タック㈱本社</v>
          </cell>
          <cell r="F707" t="str">
            <v>33S</v>
          </cell>
          <cell r="G707" t="str">
            <v>S</v>
          </cell>
          <cell r="H707" t="str">
            <v>N</v>
          </cell>
          <cell r="I707" t="str">
            <v>CLB</v>
          </cell>
          <cell r="K707" t="str">
            <v>LTL</v>
          </cell>
          <cell r="L707">
            <v>25</v>
          </cell>
          <cell r="M707" t="str">
            <v>ルミラー　ＴＬ</v>
          </cell>
          <cell r="N707">
            <v>1120</v>
          </cell>
          <cell r="O707">
            <v>1120</v>
          </cell>
          <cell r="P707">
            <v>12000</v>
          </cell>
          <cell r="Q707">
            <v>2</v>
          </cell>
        </row>
        <row r="708">
          <cell r="A708">
            <v>3680011</v>
          </cell>
          <cell r="B708" t="str">
            <v>福島コーティング</v>
          </cell>
          <cell r="C708" t="str">
            <v>プロセス材２課</v>
          </cell>
          <cell r="D708" t="str">
            <v>ダミー担当者</v>
          </cell>
          <cell r="E708" t="str">
            <v>藤森工業㈱掛川事業所</v>
          </cell>
          <cell r="F708">
            <v>3</v>
          </cell>
          <cell r="G708" t="str">
            <v>S</v>
          </cell>
          <cell r="H708" t="str">
            <v>N</v>
          </cell>
          <cell r="I708" t="str">
            <v>CLB</v>
          </cell>
          <cell r="K708" t="str">
            <v>PETTL</v>
          </cell>
          <cell r="L708">
            <v>50</v>
          </cell>
          <cell r="M708" t="str">
            <v>ＰＥＴ　ＴＬ</v>
          </cell>
          <cell r="N708">
            <v>1320</v>
          </cell>
          <cell r="O708">
            <v>1320</v>
          </cell>
          <cell r="P708">
            <v>4200</v>
          </cell>
          <cell r="Q708">
            <v>2</v>
          </cell>
        </row>
        <row r="709">
          <cell r="A709">
            <v>3680026</v>
          </cell>
          <cell r="B709" t="str">
            <v>福島コーティング</v>
          </cell>
          <cell r="C709" t="str">
            <v>プロセス材１課</v>
          </cell>
          <cell r="D709" t="str">
            <v>ダミー担当者</v>
          </cell>
          <cell r="E709" t="str">
            <v>リンテック㈱</v>
          </cell>
          <cell r="F709">
            <v>3</v>
          </cell>
          <cell r="G709" t="str">
            <v>S</v>
          </cell>
          <cell r="H709" t="str">
            <v>N</v>
          </cell>
          <cell r="I709" t="str">
            <v>CLB</v>
          </cell>
          <cell r="K709" t="str">
            <v>PETMV</v>
          </cell>
          <cell r="L709">
            <v>25</v>
          </cell>
          <cell r="M709" t="str">
            <v>ＰＥＴ　マットＶ</v>
          </cell>
          <cell r="N709">
            <v>1005</v>
          </cell>
          <cell r="O709">
            <v>1000</v>
          </cell>
          <cell r="P709">
            <v>4000</v>
          </cell>
          <cell r="Q709">
            <v>2</v>
          </cell>
        </row>
        <row r="710">
          <cell r="A710">
            <v>3680039</v>
          </cell>
          <cell r="B710" t="str">
            <v>福島コーティング</v>
          </cell>
          <cell r="C710" t="str">
            <v>プロセス材１課</v>
          </cell>
          <cell r="D710" t="str">
            <v>ダミー担当者</v>
          </cell>
          <cell r="E710" t="str">
            <v>リンテック㈱</v>
          </cell>
          <cell r="F710">
            <v>3</v>
          </cell>
          <cell r="G710" t="str">
            <v>S</v>
          </cell>
          <cell r="H710" t="str">
            <v>N</v>
          </cell>
          <cell r="I710" t="str">
            <v>CLB</v>
          </cell>
          <cell r="K710" t="str">
            <v>E20V</v>
          </cell>
          <cell r="L710">
            <v>75</v>
          </cell>
          <cell r="M710" t="str">
            <v>ルミラー　Ｅ－２０　Ｖ</v>
          </cell>
          <cell r="N710">
            <v>1002</v>
          </cell>
          <cell r="O710">
            <v>1000</v>
          </cell>
          <cell r="P710">
            <v>3000</v>
          </cell>
          <cell r="Q710">
            <v>2</v>
          </cell>
        </row>
        <row r="711">
          <cell r="A711">
            <v>3680040</v>
          </cell>
          <cell r="B711" t="str">
            <v>福島コーティング</v>
          </cell>
          <cell r="C711" t="str">
            <v>プロセス材１課</v>
          </cell>
          <cell r="D711" t="str">
            <v>ダミー担当者</v>
          </cell>
          <cell r="E711" t="str">
            <v>リンテック㈱</v>
          </cell>
          <cell r="F711">
            <v>3</v>
          </cell>
          <cell r="G711" t="str">
            <v>S</v>
          </cell>
          <cell r="H711" t="str">
            <v>N</v>
          </cell>
          <cell r="I711" t="str">
            <v>CLB</v>
          </cell>
          <cell r="K711" t="str">
            <v>E20V</v>
          </cell>
          <cell r="L711">
            <v>100</v>
          </cell>
          <cell r="M711" t="str">
            <v>ルミラー　Ｅ－２０　Ｖ</v>
          </cell>
          <cell r="N711">
            <v>1005</v>
          </cell>
          <cell r="O711">
            <v>1000</v>
          </cell>
          <cell r="P711">
            <v>2000</v>
          </cell>
          <cell r="Q711">
            <v>2</v>
          </cell>
        </row>
        <row r="712">
          <cell r="A712">
            <v>3684726</v>
          </cell>
          <cell r="B712" t="str">
            <v>福島コーティング</v>
          </cell>
          <cell r="C712" t="str">
            <v>工材１部電材課</v>
          </cell>
          <cell r="D712" t="str">
            <v>ダミー担当者</v>
          </cell>
          <cell r="E712" t="str">
            <v>㈱巴川製紙所</v>
          </cell>
          <cell r="F712">
            <v>331</v>
          </cell>
          <cell r="G712" t="str">
            <v>S</v>
          </cell>
          <cell r="H712" t="str">
            <v>N</v>
          </cell>
          <cell r="I712" t="str">
            <v>CERA</v>
          </cell>
          <cell r="K712" t="str">
            <v>BX8ARXT</v>
          </cell>
          <cell r="L712">
            <v>38</v>
          </cell>
          <cell r="M712" t="str">
            <v>セラピール　ＢＸ８ＡＲＸ</v>
          </cell>
          <cell r="N712">
            <v>1330</v>
          </cell>
          <cell r="O712">
            <v>1330</v>
          </cell>
          <cell r="P712">
            <v>6000</v>
          </cell>
          <cell r="Q712">
            <v>2</v>
          </cell>
        </row>
        <row r="713">
          <cell r="A713">
            <v>3684727</v>
          </cell>
          <cell r="B713" t="str">
            <v>福島コーティング</v>
          </cell>
          <cell r="C713" t="str">
            <v>工材１部電材課</v>
          </cell>
          <cell r="D713" t="str">
            <v>ダミー担当者</v>
          </cell>
          <cell r="E713" t="str">
            <v>㈱巴川製紙所</v>
          </cell>
          <cell r="F713">
            <v>331</v>
          </cell>
          <cell r="G713" t="str">
            <v>S</v>
          </cell>
          <cell r="H713" t="str">
            <v>N</v>
          </cell>
          <cell r="I713" t="str">
            <v>CERA</v>
          </cell>
          <cell r="K713" t="str">
            <v>BX8ARXT</v>
          </cell>
          <cell r="L713">
            <v>38</v>
          </cell>
          <cell r="M713" t="str">
            <v>セラピール　ＢＸ８ＡＲＸ</v>
          </cell>
          <cell r="N713">
            <v>1580</v>
          </cell>
          <cell r="O713">
            <v>1580</v>
          </cell>
          <cell r="P713">
            <v>6000</v>
          </cell>
          <cell r="Q713">
            <v>2</v>
          </cell>
        </row>
        <row r="714">
          <cell r="A714">
            <v>3684728</v>
          </cell>
          <cell r="B714" t="str">
            <v>福島コーティング</v>
          </cell>
          <cell r="C714" t="str">
            <v>工材１部電材課</v>
          </cell>
          <cell r="D714" t="str">
            <v>ダミー担当者</v>
          </cell>
          <cell r="F714">
            <v>3</v>
          </cell>
          <cell r="G714" t="str">
            <v>S</v>
          </cell>
          <cell r="H714" t="str">
            <v>N</v>
          </cell>
          <cell r="I714" t="str">
            <v>CERA</v>
          </cell>
          <cell r="K714" t="str">
            <v>BX8A14</v>
          </cell>
          <cell r="L714">
            <v>75</v>
          </cell>
          <cell r="M714" t="str">
            <v>セラピール　ＢＸ８Ａ（１４）</v>
          </cell>
          <cell r="N714">
            <v>1300</v>
          </cell>
          <cell r="O714">
            <v>1300</v>
          </cell>
          <cell r="P714">
            <v>4300</v>
          </cell>
          <cell r="Q714">
            <v>2</v>
          </cell>
        </row>
        <row r="715">
          <cell r="A715">
            <v>3684729</v>
          </cell>
          <cell r="B715" t="str">
            <v>福島コーティング</v>
          </cell>
          <cell r="C715" t="str">
            <v>工材１部大阪電材課</v>
          </cell>
          <cell r="D715" t="str">
            <v>ダミー担当者</v>
          </cell>
          <cell r="E715" t="str">
            <v>住友電工プリント</v>
          </cell>
          <cell r="F715">
            <v>331</v>
          </cell>
          <cell r="G715" t="str">
            <v>S</v>
          </cell>
          <cell r="H715" t="str">
            <v>N</v>
          </cell>
          <cell r="I715" t="str">
            <v>CERA</v>
          </cell>
          <cell r="K715" t="str">
            <v>BX8ARX</v>
          </cell>
          <cell r="L715">
            <v>38</v>
          </cell>
          <cell r="M715" t="str">
            <v>セラピール　ＢＸ８ＡＲＸ</v>
          </cell>
          <cell r="N715">
            <v>535</v>
          </cell>
          <cell r="O715">
            <v>535</v>
          </cell>
          <cell r="P715">
            <v>6000</v>
          </cell>
          <cell r="Q715">
            <v>2</v>
          </cell>
        </row>
        <row r="716">
          <cell r="A716">
            <v>3684730</v>
          </cell>
          <cell r="B716" t="str">
            <v>福島コーティング</v>
          </cell>
          <cell r="C716" t="str">
            <v>プロセス材２課</v>
          </cell>
          <cell r="D716" t="str">
            <v>ダミー担当者</v>
          </cell>
          <cell r="E716" t="str">
            <v>日榮新化㈱</v>
          </cell>
          <cell r="F716">
            <v>3</v>
          </cell>
          <cell r="G716" t="str">
            <v>S</v>
          </cell>
          <cell r="H716" t="str">
            <v>Y</v>
          </cell>
          <cell r="I716" t="str">
            <v>CERA</v>
          </cell>
          <cell r="K716" t="str">
            <v>BX8AS</v>
          </cell>
          <cell r="L716">
            <v>75</v>
          </cell>
          <cell r="M716" t="str">
            <v>セラピール　ＢＸ８Ａ（Ｓ）</v>
          </cell>
          <cell r="N716">
            <v>1040</v>
          </cell>
          <cell r="O716">
            <v>1040</v>
          </cell>
          <cell r="P716">
            <v>4000</v>
          </cell>
          <cell r="Q716">
            <v>1</v>
          </cell>
        </row>
        <row r="717">
          <cell r="A717">
            <v>3684731</v>
          </cell>
          <cell r="B717" t="str">
            <v>福島コーティング</v>
          </cell>
          <cell r="C717" t="str">
            <v>プロセス材２課</v>
          </cell>
          <cell r="D717" t="str">
            <v>ダミー担当者</v>
          </cell>
          <cell r="E717" t="str">
            <v>日榮新化㈱</v>
          </cell>
          <cell r="F717">
            <v>3</v>
          </cell>
          <cell r="G717" t="str">
            <v>S</v>
          </cell>
          <cell r="H717" t="str">
            <v>N</v>
          </cell>
          <cell r="I717" t="str">
            <v>CERA</v>
          </cell>
          <cell r="K717" t="str">
            <v>BX8AX</v>
          </cell>
          <cell r="L717">
            <v>75</v>
          </cell>
          <cell r="M717" t="str">
            <v>セラピール　　　　　　　　　　　ＢＸ８Ａ（Ｘ）</v>
          </cell>
          <cell r="N717">
            <v>1110</v>
          </cell>
          <cell r="O717">
            <v>1100</v>
          </cell>
          <cell r="P717">
            <v>4000</v>
          </cell>
          <cell r="Q717">
            <v>2</v>
          </cell>
        </row>
        <row r="718">
          <cell r="A718">
            <v>3684732</v>
          </cell>
          <cell r="B718" t="str">
            <v>福島コーティング</v>
          </cell>
          <cell r="C718" t="str">
            <v>プロセス材２課</v>
          </cell>
          <cell r="D718" t="str">
            <v>ダミー担当者</v>
          </cell>
          <cell r="E718" t="str">
            <v>日榮新化㈱</v>
          </cell>
          <cell r="F718">
            <v>3</v>
          </cell>
          <cell r="G718" t="str">
            <v>S</v>
          </cell>
          <cell r="H718" t="str">
            <v>Y</v>
          </cell>
          <cell r="I718" t="str">
            <v>CERA</v>
          </cell>
          <cell r="K718" t="str">
            <v>BX9AS</v>
          </cell>
          <cell r="L718">
            <v>75</v>
          </cell>
          <cell r="M718" t="str">
            <v>セラピール　　　　　　　　　　　ＢＸ９Ａ（Ｓ）</v>
          </cell>
          <cell r="N718">
            <v>1040</v>
          </cell>
          <cell r="O718">
            <v>1040</v>
          </cell>
          <cell r="P718">
            <v>4000</v>
          </cell>
          <cell r="Q718">
            <v>1</v>
          </cell>
        </row>
        <row r="719">
          <cell r="A719">
            <v>3684733</v>
          </cell>
          <cell r="B719" t="str">
            <v>福島コーティング</v>
          </cell>
          <cell r="C719" t="str">
            <v>工材１部電材課</v>
          </cell>
          <cell r="D719" t="str">
            <v>ダミー担当者</v>
          </cell>
          <cell r="E719" t="str">
            <v>積水化学武蔵工場</v>
          </cell>
          <cell r="F719">
            <v>3</v>
          </cell>
          <cell r="G719" t="str">
            <v>S</v>
          </cell>
          <cell r="H719" t="str">
            <v>N</v>
          </cell>
          <cell r="I719" t="str">
            <v>CERA</v>
          </cell>
          <cell r="K719" t="str">
            <v>BKU</v>
          </cell>
          <cell r="L719">
            <v>25</v>
          </cell>
          <cell r="M719" t="str">
            <v>セラピ－ル　ＢＫ（Ｕ）</v>
          </cell>
          <cell r="N719">
            <v>890</v>
          </cell>
          <cell r="O719">
            <v>890</v>
          </cell>
          <cell r="P719">
            <v>3800</v>
          </cell>
          <cell r="Q719">
            <v>2</v>
          </cell>
        </row>
        <row r="720">
          <cell r="A720">
            <v>3684734</v>
          </cell>
          <cell r="B720" t="str">
            <v>福島コーティング</v>
          </cell>
          <cell r="C720" t="str">
            <v>工材１部電材課</v>
          </cell>
          <cell r="D720" t="str">
            <v>ダミー担当者</v>
          </cell>
          <cell r="E720" t="str">
            <v>パナック㈱亀山工場</v>
          </cell>
          <cell r="F720">
            <v>3</v>
          </cell>
          <cell r="G720" t="str">
            <v>S</v>
          </cell>
          <cell r="H720" t="str">
            <v>N</v>
          </cell>
          <cell r="I720" t="str">
            <v>CERA</v>
          </cell>
          <cell r="K720" t="str">
            <v>BKE09</v>
          </cell>
          <cell r="L720">
            <v>38</v>
          </cell>
          <cell r="M720" t="str">
            <v>セラピール　ＢＫＥ（０９）</v>
          </cell>
          <cell r="N720">
            <v>1037</v>
          </cell>
          <cell r="O720">
            <v>1030</v>
          </cell>
          <cell r="P720">
            <v>8400</v>
          </cell>
          <cell r="Q720">
            <v>2</v>
          </cell>
        </row>
        <row r="721">
          <cell r="A721">
            <v>3684735</v>
          </cell>
          <cell r="B721" t="str">
            <v>福島コーティング</v>
          </cell>
          <cell r="C721" t="str">
            <v>工材１部電材課</v>
          </cell>
          <cell r="D721" t="str">
            <v>ダミー担当者</v>
          </cell>
          <cell r="E721" t="str">
            <v>パナック㈱亀山工場</v>
          </cell>
          <cell r="F721">
            <v>3</v>
          </cell>
          <cell r="G721" t="str">
            <v>S</v>
          </cell>
          <cell r="H721" t="str">
            <v>N</v>
          </cell>
          <cell r="I721" t="str">
            <v>CERA</v>
          </cell>
          <cell r="K721" t="str">
            <v>BKE09</v>
          </cell>
          <cell r="L721">
            <v>38</v>
          </cell>
          <cell r="M721" t="str">
            <v>セラピール　ＢＫＥ（０９）</v>
          </cell>
          <cell r="N721">
            <v>1037</v>
          </cell>
          <cell r="O721">
            <v>1030</v>
          </cell>
          <cell r="P721">
            <v>8500</v>
          </cell>
          <cell r="Q721">
            <v>2</v>
          </cell>
        </row>
        <row r="722">
          <cell r="A722">
            <v>3684736</v>
          </cell>
          <cell r="B722" t="str">
            <v>福島コーティング</v>
          </cell>
          <cell r="C722" t="str">
            <v>工材１部電材課</v>
          </cell>
          <cell r="D722" t="str">
            <v>ダミー担当者</v>
          </cell>
          <cell r="E722" t="str">
            <v>パナック㈱亀山工場</v>
          </cell>
          <cell r="F722">
            <v>3</v>
          </cell>
          <cell r="G722" t="str">
            <v>S</v>
          </cell>
          <cell r="H722" t="str">
            <v>N</v>
          </cell>
          <cell r="I722" t="str">
            <v>CERA</v>
          </cell>
          <cell r="K722" t="str">
            <v>BKE09</v>
          </cell>
          <cell r="L722">
            <v>38</v>
          </cell>
          <cell r="M722" t="str">
            <v>セラピール　ＢＫＥ（０９）</v>
          </cell>
          <cell r="N722">
            <v>1057</v>
          </cell>
          <cell r="O722">
            <v>1050</v>
          </cell>
          <cell r="P722">
            <v>8400</v>
          </cell>
          <cell r="Q722">
            <v>2</v>
          </cell>
        </row>
        <row r="723">
          <cell r="A723">
            <v>3684737</v>
          </cell>
          <cell r="B723" t="str">
            <v>福島コーティング</v>
          </cell>
          <cell r="C723" t="str">
            <v>工材１部電材課</v>
          </cell>
          <cell r="D723" t="str">
            <v>ダミー担当者</v>
          </cell>
          <cell r="E723" t="str">
            <v>パナック㈱亀山工場</v>
          </cell>
          <cell r="F723">
            <v>331</v>
          </cell>
          <cell r="G723" t="str">
            <v>S</v>
          </cell>
          <cell r="H723" t="str">
            <v>N</v>
          </cell>
          <cell r="I723" t="str">
            <v>CERA</v>
          </cell>
          <cell r="K723" t="str">
            <v>BKERXPT</v>
          </cell>
          <cell r="L723">
            <v>38</v>
          </cell>
          <cell r="M723" t="str">
            <v>セラピール　ＢＫＥ（ＲＸ）</v>
          </cell>
          <cell r="N723">
            <v>1330</v>
          </cell>
          <cell r="O723">
            <v>1330</v>
          </cell>
          <cell r="P723">
            <v>6000</v>
          </cell>
          <cell r="Q723">
            <v>2</v>
          </cell>
        </row>
        <row r="724">
          <cell r="A724">
            <v>3684738</v>
          </cell>
          <cell r="B724" t="str">
            <v>福島コーティング</v>
          </cell>
          <cell r="C724" t="str">
            <v>工材１部電材課</v>
          </cell>
          <cell r="D724" t="str">
            <v>ダミー担当者</v>
          </cell>
          <cell r="E724" t="str">
            <v>㈱巴川製紙所</v>
          </cell>
          <cell r="F724">
            <v>331</v>
          </cell>
          <cell r="G724" t="str">
            <v>S</v>
          </cell>
          <cell r="H724" t="str">
            <v>N</v>
          </cell>
          <cell r="I724" t="str">
            <v>CERA</v>
          </cell>
          <cell r="K724" t="str">
            <v>BKERXT</v>
          </cell>
          <cell r="L724">
            <v>25</v>
          </cell>
          <cell r="M724" t="str">
            <v>セラピール　ＢＫＥ（ＲＸ）</v>
          </cell>
          <cell r="N724">
            <v>1330</v>
          </cell>
          <cell r="O724">
            <v>1330</v>
          </cell>
          <cell r="P724">
            <v>6000</v>
          </cell>
          <cell r="Q724">
            <v>2</v>
          </cell>
        </row>
        <row r="725">
          <cell r="A725">
            <v>3684739</v>
          </cell>
          <cell r="B725" t="str">
            <v>情材福島原価</v>
          </cell>
          <cell r="C725" t="str">
            <v>プロセス材２課</v>
          </cell>
          <cell r="D725" t="str">
            <v>ダミー担当者</v>
          </cell>
          <cell r="E725" t="str">
            <v>日榮新化㈱</v>
          </cell>
          <cell r="F725">
            <v>331</v>
          </cell>
          <cell r="G725" t="str">
            <v>T</v>
          </cell>
          <cell r="H725" t="str">
            <v>N</v>
          </cell>
          <cell r="I725" t="str">
            <v>CERA</v>
          </cell>
          <cell r="K725" t="str">
            <v>WZS</v>
          </cell>
          <cell r="L725">
            <v>25</v>
          </cell>
          <cell r="M725" t="str">
            <v>セラピールＷＺ（Ｓ）</v>
          </cell>
          <cell r="N725">
            <v>1425</v>
          </cell>
          <cell r="O725">
            <v>1420</v>
          </cell>
          <cell r="P725">
            <v>12400</v>
          </cell>
          <cell r="Q725">
            <v>2</v>
          </cell>
        </row>
        <row r="726">
          <cell r="A726">
            <v>3684740</v>
          </cell>
          <cell r="B726" t="str">
            <v>福島コーティング</v>
          </cell>
          <cell r="C726" t="str">
            <v>プロセス材１課</v>
          </cell>
          <cell r="D726" t="str">
            <v>ダミー担当者</v>
          </cell>
          <cell r="E726" t="str">
            <v>リンテック㈱</v>
          </cell>
          <cell r="F726">
            <v>3</v>
          </cell>
          <cell r="G726" t="str">
            <v>S</v>
          </cell>
          <cell r="H726" t="str">
            <v>N</v>
          </cell>
          <cell r="I726" t="str">
            <v>CERA</v>
          </cell>
          <cell r="K726" t="str">
            <v>WZS</v>
          </cell>
          <cell r="L726">
            <v>38</v>
          </cell>
          <cell r="M726" t="str">
            <v>セラピール　　　　　　　　　　　ＷＺ（Ｓ）</v>
          </cell>
          <cell r="N726">
            <v>1415</v>
          </cell>
          <cell r="O726">
            <v>1410</v>
          </cell>
          <cell r="P726">
            <v>8000</v>
          </cell>
          <cell r="Q726">
            <v>2</v>
          </cell>
        </row>
        <row r="727">
          <cell r="A727">
            <v>3684741</v>
          </cell>
          <cell r="B727" t="str">
            <v>福島コーティング</v>
          </cell>
          <cell r="C727" t="str">
            <v>工材１部電材課</v>
          </cell>
          <cell r="D727" t="str">
            <v>ダミー担当者</v>
          </cell>
          <cell r="E727" t="str">
            <v>三栄産業㈱尾久工場</v>
          </cell>
          <cell r="F727">
            <v>3</v>
          </cell>
          <cell r="G727" t="str">
            <v>S</v>
          </cell>
          <cell r="H727" t="str">
            <v>N</v>
          </cell>
          <cell r="I727" t="str">
            <v>CERA</v>
          </cell>
          <cell r="K727" t="str">
            <v>WZRX</v>
          </cell>
          <cell r="L727">
            <v>25</v>
          </cell>
          <cell r="M727" t="str">
            <v>セラピール　ＷＺ（ＲＸ）　　　　　　</v>
          </cell>
          <cell r="N727">
            <v>540</v>
          </cell>
          <cell r="O727">
            <v>540</v>
          </cell>
          <cell r="P727">
            <v>2000</v>
          </cell>
          <cell r="Q727">
            <v>2</v>
          </cell>
        </row>
        <row r="728">
          <cell r="A728">
            <v>3684741</v>
          </cell>
          <cell r="B728" t="str">
            <v>福島コーティング</v>
          </cell>
          <cell r="C728" t="str">
            <v>工材１部電材課</v>
          </cell>
          <cell r="D728" t="str">
            <v>ダミー担当者</v>
          </cell>
          <cell r="E728" t="str">
            <v>三栄産業㈱尾久工場</v>
          </cell>
          <cell r="F728">
            <v>3</v>
          </cell>
          <cell r="G728" t="str">
            <v>S</v>
          </cell>
          <cell r="H728" t="str">
            <v>N</v>
          </cell>
          <cell r="I728" t="str">
            <v>CERA</v>
          </cell>
          <cell r="K728" t="str">
            <v>WZRX</v>
          </cell>
          <cell r="L728">
            <v>25</v>
          </cell>
          <cell r="M728" t="str">
            <v>セラピール　ＷＺ（ＲＸ）　　　　　　</v>
          </cell>
          <cell r="N728">
            <v>640</v>
          </cell>
          <cell r="O728">
            <v>640</v>
          </cell>
          <cell r="P728">
            <v>2000</v>
          </cell>
          <cell r="Q728">
            <v>2</v>
          </cell>
        </row>
        <row r="729">
          <cell r="A729">
            <v>3684742</v>
          </cell>
          <cell r="B729" t="str">
            <v>福島コーティング</v>
          </cell>
          <cell r="C729" t="str">
            <v>工材１部電材課</v>
          </cell>
          <cell r="D729" t="str">
            <v>ダミー担当者</v>
          </cell>
          <cell r="E729" t="str">
            <v>三栄産業㈱尾久工場</v>
          </cell>
          <cell r="F729">
            <v>3</v>
          </cell>
          <cell r="G729" t="str">
            <v>S</v>
          </cell>
          <cell r="H729" t="str">
            <v>N</v>
          </cell>
          <cell r="I729" t="str">
            <v>CERA</v>
          </cell>
          <cell r="K729" t="str">
            <v>WZRX</v>
          </cell>
          <cell r="L729">
            <v>25</v>
          </cell>
          <cell r="M729" t="str">
            <v>セラピール　ＷＺ（ＲＸ）　　　　　　</v>
          </cell>
          <cell r="N729">
            <v>640</v>
          </cell>
          <cell r="O729">
            <v>640</v>
          </cell>
          <cell r="P729">
            <v>2000</v>
          </cell>
          <cell r="Q729">
            <v>2</v>
          </cell>
        </row>
        <row r="730">
          <cell r="A730">
            <v>3684743</v>
          </cell>
          <cell r="B730" t="str">
            <v>福島コーティング</v>
          </cell>
          <cell r="C730" t="str">
            <v>工材１部電材課</v>
          </cell>
          <cell r="D730" t="str">
            <v>ダミー担当者</v>
          </cell>
          <cell r="E730" t="str">
            <v>古河電気工業㈱</v>
          </cell>
          <cell r="F730">
            <v>3</v>
          </cell>
          <cell r="G730" t="str">
            <v>S</v>
          </cell>
          <cell r="H730" t="str">
            <v>N</v>
          </cell>
          <cell r="I730" t="str">
            <v>CERA</v>
          </cell>
          <cell r="K730" t="str">
            <v>WZE</v>
          </cell>
          <cell r="L730">
            <v>38</v>
          </cell>
          <cell r="M730" t="str">
            <v>セラピール　　　　　　　　　　　ＷＺ（Ｅ）</v>
          </cell>
          <cell r="N730">
            <v>1240</v>
          </cell>
          <cell r="O730">
            <v>1240</v>
          </cell>
          <cell r="P730">
            <v>6000</v>
          </cell>
          <cell r="Q730">
            <v>2</v>
          </cell>
        </row>
        <row r="731">
          <cell r="A731">
            <v>3684744</v>
          </cell>
          <cell r="B731" t="str">
            <v>福島コーティング</v>
          </cell>
          <cell r="C731" t="str">
            <v>プロセス材１課</v>
          </cell>
          <cell r="D731" t="str">
            <v>ダミー担当者</v>
          </cell>
          <cell r="E731" t="str">
            <v>リンテック㈱</v>
          </cell>
          <cell r="F731">
            <v>3</v>
          </cell>
          <cell r="G731" t="str">
            <v>S</v>
          </cell>
          <cell r="H731" t="str">
            <v>N</v>
          </cell>
          <cell r="I731" t="str">
            <v>CERA</v>
          </cell>
          <cell r="K731" t="str">
            <v>WZS</v>
          </cell>
          <cell r="L731">
            <v>38</v>
          </cell>
          <cell r="M731" t="str">
            <v>セラピール　　　　　　　　　　　ＷＺ（Ｓ）</v>
          </cell>
          <cell r="N731">
            <v>1005</v>
          </cell>
          <cell r="O731">
            <v>1000</v>
          </cell>
          <cell r="P731">
            <v>8000</v>
          </cell>
          <cell r="Q731">
            <v>2</v>
          </cell>
        </row>
        <row r="732">
          <cell r="A732">
            <v>3684745</v>
          </cell>
          <cell r="B732" t="str">
            <v>福島コーティング</v>
          </cell>
          <cell r="C732" t="str">
            <v>工材１部電材課</v>
          </cell>
          <cell r="D732" t="str">
            <v>ダミー担当者</v>
          </cell>
          <cell r="E732" t="str">
            <v>東洋包材㈱</v>
          </cell>
          <cell r="F732">
            <v>3</v>
          </cell>
          <cell r="G732" t="str">
            <v>S</v>
          </cell>
          <cell r="H732" t="str">
            <v>N</v>
          </cell>
          <cell r="I732" t="str">
            <v>CERA</v>
          </cell>
          <cell r="K732" t="str">
            <v>WZRX</v>
          </cell>
          <cell r="L732">
            <v>38</v>
          </cell>
          <cell r="M732" t="str">
            <v>セラピール　ＷＺ（ＲＸ）　　　　　　</v>
          </cell>
          <cell r="N732">
            <v>1135</v>
          </cell>
          <cell r="O732">
            <v>1130</v>
          </cell>
          <cell r="P732">
            <v>6000</v>
          </cell>
          <cell r="Q732">
            <v>2</v>
          </cell>
        </row>
        <row r="733">
          <cell r="A733">
            <v>3684746</v>
          </cell>
          <cell r="B733" t="str">
            <v>福島コーティング</v>
          </cell>
          <cell r="C733" t="str">
            <v>工材１部電材課</v>
          </cell>
          <cell r="D733" t="str">
            <v>ダミー担当者</v>
          </cell>
          <cell r="E733" t="str">
            <v>パナック㈱亀山工場</v>
          </cell>
          <cell r="F733">
            <v>331</v>
          </cell>
          <cell r="G733" t="str">
            <v>S</v>
          </cell>
          <cell r="H733" t="str">
            <v>N</v>
          </cell>
          <cell r="I733" t="str">
            <v>CERA</v>
          </cell>
          <cell r="K733" t="str">
            <v>BX8ARXA</v>
          </cell>
          <cell r="L733">
            <v>38</v>
          </cell>
          <cell r="M733" t="str">
            <v>セラピール　ＢＸ８ＡＲＸ</v>
          </cell>
          <cell r="N733">
            <v>1330</v>
          </cell>
          <cell r="O733">
            <v>1330</v>
          </cell>
          <cell r="P733">
            <v>6000</v>
          </cell>
          <cell r="Q733">
            <v>2</v>
          </cell>
        </row>
        <row r="734">
          <cell r="A734">
            <v>3684747</v>
          </cell>
          <cell r="B734" t="str">
            <v>福島コーティング</v>
          </cell>
          <cell r="C734" t="str">
            <v>工材１部電材課</v>
          </cell>
          <cell r="D734" t="str">
            <v>ダミー担当者</v>
          </cell>
          <cell r="E734" t="str">
            <v>㈱巴川製紙所</v>
          </cell>
          <cell r="F734">
            <v>3</v>
          </cell>
          <cell r="G734" t="str">
            <v>S</v>
          </cell>
          <cell r="H734" t="str">
            <v>N</v>
          </cell>
          <cell r="I734" t="str">
            <v>CERA</v>
          </cell>
          <cell r="K734" t="str">
            <v>BX8AX</v>
          </cell>
          <cell r="L734">
            <v>75</v>
          </cell>
          <cell r="M734" t="str">
            <v>セラピール　　　　　　　　　　　ＢＸ８Ａ（Ｘ）</v>
          </cell>
          <cell r="N734">
            <v>1330</v>
          </cell>
          <cell r="O734">
            <v>1330</v>
          </cell>
          <cell r="P734">
            <v>4100</v>
          </cell>
          <cell r="Q734">
            <v>2</v>
          </cell>
        </row>
        <row r="735">
          <cell r="A735">
            <v>3684748</v>
          </cell>
          <cell r="B735" t="str">
            <v>情材福島原価</v>
          </cell>
          <cell r="C735" t="str">
            <v>工材１部電材課</v>
          </cell>
          <cell r="D735" t="str">
            <v>ダミー担当者</v>
          </cell>
          <cell r="E735" t="str">
            <v>藤産業㈱</v>
          </cell>
          <cell r="F735">
            <v>3</v>
          </cell>
          <cell r="G735" t="str">
            <v>T</v>
          </cell>
          <cell r="H735" t="str">
            <v>N</v>
          </cell>
          <cell r="I735" t="str">
            <v>CERA</v>
          </cell>
          <cell r="K735" t="str">
            <v>WZ34</v>
          </cell>
          <cell r="L735">
            <v>25</v>
          </cell>
          <cell r="M735" t="str">
            <v>セラピール　ＷＺ（３４）</v>
          </cell>
          <cell r="N735">
            <v>1410</v>
          </cell>
          <cell r="O735">
            <v>1410</v>
          </cell>
          <cell r="P735">
            <v>6000</v>
          </cell>
          <cell r="Q735">
            <v>2</v>
          </cell>
        </row>
        <row r="736">
          <cell r="A736">
            <v>3684749</v>
          </cell>
          <cell r="B736" t="str">
            <v>福島コーティング</v>
          </cell>
          <cell r="C736" t="str">
            <v>工材１部大阪電材課</v>
          </cell>
          <cell r="D736" t="str">
            <v>ダミー担当者</v>
          </cell>
          <cell r="E736" t="str">
            <v>日東電工㈱豊橋工場</v>
          </cell>
          <cell r="F736">
            <v>3313</v>
          </cell>
          <cell r="G736" t="str">
            <v>S</v>
          </cell>
          <cell r="H736" t="str">
            <v>N</v>
          </cell>
          <cell r="I736" t="str">
            <v>CERA</v>
          </cell>
          <cell r="K736" t="str">
            <v>MD(A)R</v>
          </cell>
          <cell r="L736">
            <v>38</v>
          </cell>
          <cell r="M736" t="str">
            <v>セラピール　ＭＤ（Ａ）（Ｒ）</v>
          </cell>
          <cell r="N736">
            <v>750</v>
          </cell>
          <cell r="O736">
            <v>750</v>
          </cell>
          <cell r="P736">
            <v>6000</v>
          </cell>
          <cell r="Q736">
            <v>2</v>
          </cell>
        </row>
        <row r="737">
          <cell r="A737">
            <v>3684750</v>
          </cell>
          <cell r="B737" t="str">
            <v>福島コーティング</v>
          </cell>
          <cell r="C737" t="str">
            <v>工材１部大阪電材課</v>
          </cell>
          <cell r="D737" t="str">
            <v>ダミー担当者</v>
          </cell>
          <cell r="E737" t="str">
            <v>日東電工㈱豊橋工場</v>
          </cell>
          <cell r="F737">
            <v>331</v>
          </cell>
          <cell r="G737" t="str">
            <v>S</v>
          </cell>
          <cell r="H737" t="str">
            <v>N</v>
          </cell>
          <cell r="I737" t="str">
            <v>CERA</v>
          </cell>
          <cell r="K737" t="str">
            <v>MD(A)R</v>
          </cell>
          <cell r="L737">
            <v>38</v>
          </cell>
          <cell r="M737" t="str">
            <v>セラピール　ＭＤ（Ａ）（Ｒ）</v>
          </cell>
          <cell r="N737">
            <v>1025</v>
          </cell>
          <cell r="O737">
            <v>1020</v>
          </cell>
          <cell r="P737">
            <v>6000</v>
          </cell>
          <cell r="Q737">
            <v>2</v>
          </cell>
        </row>
        <row r="738">
          <cell r="A738">
            <v>3684751</v>
          </cell>
          <cell r="B738" t="str">
            <v>福島コーティング</v>
          </cell>
          <cell r="C738" t="str">
            <v>大阪光学機能材課</v>
          </cell>
          <cell r="D738" t="str">
            <v>ダミー担当者</v>
          </cell>
          <cell r="E738" t="str">
            <v>日東電工㈱尾道事業所</v>
          </cell>
          <cell r="F738">
            <v>3321</v>
          </cell>
          <cell r="G738" t="str">
            <v>S</v>
          </cell>
          <cell r="H738" t="str">
            <v>N</v>
          </cell>
          <cell r="I738" t="str">
            <v>CERA</v>
          </cell>
          <cell r="K738" t="str">
            <v>MDACPFL</v>
          </cell>
          <cell r="L738">
            <v>38</v>
          </cell>
          <cell r="M738" t="str">
            <v>Ｋ　セラピールＭＤＡ（ＣＰＲＦ）Ｌ</v>
          </cell>
          <cell r="N738">
            <v>1336</v>
          </cell>
          <cell r="O738">
            <v>1325</v>
          </cell>
          <cell r="P738">
            <v>12000</v>
          </cell>
          <cell r="Q738">
            <v>2</v>
          </cell>
        </row>
        <row r="739">
          <cell r="A739">
            <v>3684752</v>
          </cell>
          <cell r="B739" t="str">
            <v>福島コーティング</v>
          </cell>
          <cell r="C739" t="str">
            <v>大阪光学機能材課</v>
          </cell>
          <cell r="D739" t="str">
            <v>ダミー担当者</v>
          </cell>
          <cell r="E739" t="str">
            <v>日東電工㈱尾道事業所</v>
          </cell>
          <cell r="F739">
            <v>3321</v>
          </cell>
          <cell r="G739" t="str">
            <v>S</v>
          </cell>
          <cell r="H739" t="str">
            <v>N</v>
          </cell>
          <cell r="I739" t="str">
            <v>CERA</v>
          </cell>
          <cell r="K739" t="str">
            <v>MDAPFL</v>
          </cell>
          <cell r="L739">
            <v>38</v>
          </cell>
          <cell r="M739" t="str">
            <v>Ｋ　セラピールＭＤＡ（ＰＲＦ）Ｌ</v>
          </cell>
          <cell r="N739">
            <v>1336</v>
          </cell>
          <cell r="O739">
            <v>1325</v>
          </cell>
          <cell r="P739">
            <v>12000</v>
          </cell>
          <cell r="Q739">
            <v>2</v>
          </cell>
        </row>
        <row r="740">
          <cell r="A740">
            <v>3684753</v>
          </cell>
          <cell r="B740" t="str">
            <v>福島コーティング</v>
          </cell>
          <cell r="C740" t="str">
            <v>工材１部電材課</v>
          </cell>
          <cell r="D740" t="str">
            <v>ダミー担当者</v>
          </cell>
          <cell r="E740" t="str">
            <v>㈱三共プラス</v>
          </cell>
          <cell r="F740">
            <v>3</v>
          </cell>
          <cell r="G740" t="str">
            <v>S</v>
          </cell>
          <cell r="H740" t="str">
            <v>N</v>
          </cell>
          <cell r="I740" t="str">
            <v>TTP</v>
          </cell>
          <cell r="K740" t="str">
            <v>B2T0</v>
          </cell>
          <cell r="L740">
            <v>100</v>
          </cell>
          <cell r="M740" t="str">
            <v>タフトップ　Ｂ２Ｔ０</v>
          </cell>
          <cell r="N740">
            <v>1000</v>
          </cell>
          <cell r="O740">
            <v>1000</v>
          </cell>
          <cell r="P740">
            <v>1000</v>
          </cell>
          <cell r="Q740">
            <v>2</v>
          </cell>
        </row>
        <row r="741">
          <cell r="A741">
            <v>3684754</v>
          </cell>
          <cell r="B741" t="str">
            <v>福島コーティング</v>
          </cell>
          <cell r="C741" t="str">
            <v>工材１部電材課</v>
          </cell>
          <cell r="D741" t="str">
            <v>ダミー担当者</v>
          </cell>
          <cell r="E741" t="str">
            <v>㈱三共プラス</v>
          </cell>
          <cell r="F741">
            <v>3</v>
          </cell>
          <cell r="G741" t="str">
            <v>S</v>
          </cell>
          <cell r="H741" t="str">
            <v>N</v>
          </cell>
          <cell r="I741" t="str">
            <v>TTP</v>
          </cell>
          <cell r="K741" t="str">
            <v>B2T0</v>
          </cell>
          <cell r="L741">
            <v>125</v>
          </cell>
          <cell r="M741" t="str">
            <v>タフトップ　Ｂ２Ｔ０</v>
          </cell>
          <cell r="N741">
            <v>1000</v>
          </cell>
          <cell r="O741">
            <v>1000</v>
          </cell>
          <cell r="P741">
            <v>1000</v>
          </cell>
          <cell r="Q741">
            <v>2</v>
          </cell>
        </row>
        <row r="742">
          <cell r="A742">
            <v>3684755</v>
          </cell>
          <cell r="B742" t="str">
            <v>福島コーティング</v>
          </cell>
          <cell r="C742" t="str">
            <v>工材１部電材課</v>
          </cell>
          <cell r="D742" t="str">
            <v>ダミー担当者</v>
          </cell>
          <cell r="E742" t="str">
            <v>㈱三共プラス</v>
          </cell>
          <cell r="F742">
            <v>3</v>
          </cell>
          <cell r="G742" t="str">
            <v>S</v>
          </cell>
          <cell r="H742" t="str">
            <v>N</v>
          </cell>
          <cell r="I742" t="str">
            <v>TTP</v>
          </cell>
          <cell r="K742" t="str">
            <v>B2T0</v>
          </cell>
          <cell r="L742">
            <v>188</v>
          </cell>
          <cell r="M742" t="str">
            <v>タフトップ　Ｂ２Ｔ０</v>
          </cell>
          <cell r="N742">
            <v>1000</v>
          </cell>
          <cell r="O742">
            <v>1000</v>
          </cell>
          <cell r="P742">
            <v>1000</v>
          </cell>
          <cell r="Q742">
            <v>2</v>
          </cell>
        </row>
        <row r="743">
          <cell r="A743">
            <v>3684756</v>
          </cell>
          <cell r="B743" t="str">
            <v>福島コーティング</v>
          </cell>
          <cell r="C743" t="str">
            <v>工材１部大阪電材課</v>
          </cell>
          <cell r="D743" t="str">
            <v>ダミー担当者</v>
          </cell>
          <cell r="E743" t="str">
            <v>双信電機㈱</v>
          </cell>
          <cell r="F743">
            <v>3</v>
          </cell>
          <cell r="G743" t="str">
            <v>S</v>
          </cell>
          <cell r="H743" t="str">
            <v>N</v>
          </cell>
          <cell r="I743" t="str">
            <v>CERANS</v>
          </cell>
          <cell r="K743" t="str">
            <v>HP2UDF</v>
          </cell>
          <cell r="L743">
            <v>75</v>
          </cell>
          <cell r="M743" t="str">
            <v>セラピール　ＨＰ２（Ｕ）Ｄ</v>
          </cell>
          <cell r="N743">
            <v>600</v>
          </cell>
          <cell r="O743">
            <v>600</v>
          </cell>
          <cell r="P743">
            <v>600</v>
          </cell>
          <cell r="Q743">
            <v>2</v>
          </cell>
        </row>
        <row r="744">
          <cell r="A744">
            <v>3684761</v>
          </cell>
          <cell r="B744" t="str">
            <v>福島コーティング</v>
          </cell>
          <cell r="C744" t="str">
            <v>プロセス材２課</v>
          </cell>
          <cell r="D744" t="str">
            <v>ダミー担当者</v>
          </cell>
          <cell r="E744" t="str">
            <v>藤森工業㈱掛川事業所</v>
          </cell>
          <cell r="F744">
            <v>3</v>
          </cell>
          <cell r="G744" t="str">
            <v>S</v>
          </cell>
          <cell r="H744" t="str">
            <v>N</v>
          </cell>
          <cell r="I744" t="str">
            <v>CLB</v>
          </cell>
          <cell r="K744" t="str">
            <v>PETTL</v>
          </cell>
          <cell r="L744">
            <v>38</v>
          </cell>
          <cell r="M744" t="str">
            <v>ＰＥＴ　ＴＬ</v>
          </cell>
          <cell r="N744">
            <v>1320</v>
          </cell>
          <cell r="O744">
            <v>1320</v>
          </cell>
          <cell r="P744">
            <v>4200</v>
          </cell>
          <cell r="Q744">
            <v>2</v>
          </cell>
        </row>
        <row r="745">
          <cell r="A745">
            <v>3684762</v>
          </cell>
          <cell r="B745" t="str">
            <v>福島コーティング</v>
          </cell>
          <cell r="C745" t="str">
            <v>プロセス材２課</v>
          </cell>
          <cell r="D745" t="str">
            <v>ダミー担当者</v>
          </cell>
          <cell r="E745" t="str">
            <v>藤森工業㈱掛川事業所</v>
          </cell>
          <cell r="F745">
            <v>3</v>
          </cell>
          <cell r="G745" t="str">
            <v>S</v>
          </cell>
          <cell r="H745" t="str">
            <v>N</v>
          </cell>
          <cell r="I745" t="str">
            <v>CLB</v>
          </cell>
          <cell r="K745" t="str">
            <v>PETTL</v>
          </cell>
          <cell r="L745">
            <v>50</v>
          </cell>
          <cell r="M745" t="str">
            <v>ＰＥＴ　ＴＬ</v>
          </cell>
          <cell r="N745">
            <v>1320</v>
          </cell>
          <cell r="O745">
            <v>1320</v>
          </cell>
          <cell r="P745">
            <v>4200</v>
          </cell>
          <cell r="Q745">
            <v>2</v>
          </cell>
        </row>
        <row r="746">
          <cell r="A746">
            <v>3684777</v>
          </cell>
          <cell r="B746" t="str">
            <v>福島コーティング</v>
          </cell>
          <cell r="C746" t="str">
            <v>プロセス材１課</v>
          </cell>
          <cell r="D746" t="str">
            <v>ダミー担当者</v>
          </cell>
          <cell r="E746" t="str">
            <v>リンテック㈱</v>
          </cell>
          <cell r="F746">
            <v>3</v>
          </cell>
          <cell r="G746" t="str">
            <v>S</v>
          </cell>
          <cell r="H746" t="str">
            <v>N</v>
          </cell>
          <cell r="I746" t="str">
            <v>CLB</v>
          </cell>
          <cell r="K746" t="str">
            <v>PETMV</v>
          </cell>
          <cell r="L746">
            <v>25</v>
          </cell>
          <cell r="M746" t="str">
            <v>ＰＥＴ　マットＶ</v>
          </cell>
          <cell r="N746">
            <v>1005</v>
          </cell>
          <cell r="O746">
            <v>1000</v>
          </cell>
          <cell r="P746">
            <v>4000</v>
          </cell>
          <cell r="Q746">
            <v>2</v>
          </cell>
        </row>
        <row r="747">
          <cell r="A747">
            <v>3684789</v>
          </cell>
          <cell r="B747" t="str">
            <v>福島コーティング</v>
          </cell>
          <cell r="C747" t="str">
            <v>プロセス材１課</v>
          </cell>
          <cell r="D747" t="str">
            <v>ダミー担当者</v>
          </cell>
          <cell r="E747" t="str">
            <v>リンテック㈱</v>
          </cell>
          <cell r="F747">
            <v>3</v>
          </cell>
          <cell r="G747" t="str">
            <v>S</v>
          </cell>
          <cell r="H747" t="str">
            <v>N</v>
          </cell>
          <cell r="I747" t="str">
            <v>CLB</v>
          </cell>
          <cell r="K747" t="str">
            <v>E20V</v>
          </cell>
          <cell r="L747">
            <v>50</v>
          </cell>
          <cell r="M747" t="str">
            <v>ルミラー　Ｅ－２０　Ｖ</v>
          </cell>
          <cell r="N747">
            <v>1002</v>
          </cell>
          <cell r="O747">
            <v>1000</v>
          </cell>
          <cell r="P747">
            <v>4000</v>
          </cell>
          <cell r="Q747">
            <v>2</v>
          </cell>
        </row>
        <row r="748">
          <cell r="A748">
            <v>3688943</v>
          </cell>
          <cell r="B748" t="str">
            <v>福島コーティング</v>
          </cell>
          <cell r="C748" t="str">
            <v>工材１部大阪電材課</v>
          </cell>
          <cell r="D748" t="str">
            <v>ダミー担当者</v>
          </cell>
          <cell r="E748" t="str">
            <v>ＭＡＲＵＷＡ</v>
          </cell>
          <cell r="F748">
            <v>3</v>
          </cell>
          <cell r="G748" t="str">
            <v>S</v>
          </cell>
          <cell r="H748" t="str">
            <v>N</v>
          </cell>
          <cell r="I748" t="str">
            <v>CERA</v>
          </cell>
          <cell r="K748" t="str">
            <v>MFAS</v>
          </cell>
          <cell r="L748">
            <v>75</v>
          </cell>
          <cell r="M748" t="str">
            <v>セラピール　　　　　　　　　　　ＭＦＡ（Ｓ）</v>
          </cell>
          <cell r="N748">
            <v>620</v>
          </cell>
          <cell r="O748">
            <v>620</v>
          </cell>
          <cell r="P748">
            <v>400</v>
          </cell>
          <cell r="Q748">
            <v>2</v>
          </cell>
        </row>
        <row r="749">
          <cell r="A749">
            <v>3688944</v>
          </cell>
          <cell r="B749" t="str">
            <v>福島コーティング</v>
          </cell>
          <cell r="C749" t="str">
            <v>工材１部電材課</v>
          </cell>
          <cell r="D749" t="str">
            <v>ダミー担当者</v>
          </cell>
          <cell r="E749" t="str">
            <v>真田ＫＯＡ㈱</v>
          </cell>
          <cell r="F749">
            <v>3</v>
          </cell>
          <cell r="G749" t="str">
            <v>S</v>
          </cell>
          <cell r="H749" t="str">
            <v>N</v>
          </cell>
          <cell r="I749" t="str">
            <v>CERA</v>
          </cell>
          <cell r="K749" t="str">
            <v>MFAS</v>
          </cell>
          <cell r="L749">
            <v>75</v>
          </cell>
          <cell r="M749" t="str">
            <v>セラピール　　　　　　　　　　　ＭＦＡ（Ｓ）</v>
          </cell>
          <cell r="N749">
            <v>220</v>
          </cell>
          <cell r="O749">
            <v>220</v>
          </cell>
          <cell r="P749">
            <v>1200</v>
          </cell>
          <cell r="Q749">
            <v>1</v>
          </cell>
        </row>
        <row r="750">
          <cell r="A750">
            <v>3688946</v>
          </cell>
          <cell r="B750" t="str">
            <v>福島コーティング</v>
          </cell>
          <cell r="C750" t="str">
            <v>工材１部電材課</v>
          </cell>
          <cell r="D750" t="str">
            <v>ダミー担当者</v>
          </cell>
          <cell r="F750">
            <v>3</v>
          </cell>
          <cell r="G750" t="str">
            <v>S</v>
          </cell>
          <cell r="H750" t="str">
            <v>N</v>
          </cell>
          <cell r="I750" t="str">
            <v>CERA</v>
          </cell>
          <cell r="K750" t="str">
            <v>MFAS</v>
          </cell>
          <cell r="L750">
            <v>125</v>
          </cell>
          <cell r="M750" t="str">
            <v>セラピール　　　　　　　　　　　ＭＦＡ（Ｓ）</v>
          </cell>
          <cell r="N750">
            <v>200</v>
          </cell>
          <cell r="O750">
            <v>200</v>
          </cell>
          <cell r="P750">
            <v>400</v>
          </cell>
          <cell r="Q750">
            <v>1</v>
          </cell>
        </row>
        <row r="751">
          <cell r="A751">
            <v>3688949</v>
          </cell>
          <cell r="B751" t="str">
            <v>福島コーティング</v>
          </cell>
          <cell r="C751" t="str">
            <v>工材１部大阪電材課</v>
          </cell>
          <cell r="D751" t="str">
            <v>ダミー担当者</v>
          </cell>
          <cell r="E751" t="str">
            <v>ＮＧＫセラミック</v>
          </cell>
          <cell r="F751" t="str">
            <v>3H</v>
          </cell>
          <cell r="G751" t="str">
            <v>S</v>
          </cell>
          <cell r="H751" t="str">
            <v>N</v>
          </cell>
          <cell r="I751" t="str">
            <v>CERA</v>
          </cell>
          <cell r="K751" t="str">
            <v>MFAS</v>
          </cell>
          <cell r="L751">
            <v>188</v>
          </cell>
          <cell r="M751" t="str">
            <v>セラピール　　　　　　　　　　　ＭＦＡ（Ｓ）</v>
          </cell>
          <cell r="N751">
            <v>360</v>
          </cell>
          <cell r="O751">
            <v>360</v>
          </cell>
          <cell r="P751">
            <v>250</v>
          </cell>
          <cell r="Q751">
            <v>2</v>
          </cell>
        </row>
        <row r="752">
          <cell r="A752">
            <v>3688951</v>
          </cell>
          <cell r="B752" t="str">
            <v>福島コーティング</v>
          </cell>
          <cell r="C752" t="str">
            <v>工材１部大阪電材課</v>
          </cell>
          <cell r="D752" t="str">
            <v>ダミー担当者</v>
          </cell>
          <cell r="E752" t="str">
            <v>下田工業㈱</v>
          </cell>
          <cell r="F752">
            <v>3</v>
          </cell>
          <cell r="G752" t="str">
            <v>S</v>
          </cell>
          <cell r="H752" t="str">
            <v>N</v>
          </cell>
          <cell r="I752" t="str">
            <v>CERA</v>
          </cell>
          <cell r="K752" t="str">
            <v>MFAS</v>
          </cell>
          <cell r="L752">
            <v>188</v>
          </cell>
          <cell r="M752" t="str">
            <v>セラピール　　　　　　　　　　　ＭＦＡ（Ｓ）</v>
          </cell>
          <cell r="N752">
            <v>1130</v>
          </cell>
          <cell r="O752">
            <v>1130</v>
          </cell>
          <cell r="P752">
            <v>1620</v>
          </cell>
          <cell r="Q752">
            <v>2</v>
          </cell>
        </row>
        <row r="753">
          <cell r="A753">
            <v>3688953</v>
          </cell>
          <cell r="B753" t="str">
            <v>福島コーティング</v>
          </cell>
          <cell r="C753" t="str">
            <v>工材１部大阪電材課</v>
          </cell>
          <cell r="D753" t="str">
            <v>ダミー担当者</v>
          </cell>
          <cell r="E753" t="str">
            <v>下田工業㈱</v>
          </cell>
          <cell r="F753">
            <v>3</v>
          </cell>
          <cell r="G753" t="str">
            <v>S</v>
          </cell>
          <cell r="H753" t="str">
            <v>N</v>
          </cell>
          <cell r="I753" t="str">
            <v>CERA</v>
          </cell>
          <cell r="K753" t="str">
            <v>MFAS</v>
          </cell>
          <cell r="L753">
            <v>100</v>
          </cell>
          <cell r="M753" t="str">
            <v>セラピール　　　　　　　　　　　ＭＦＡ（Ｓ）</v>
          </cell>
          <cell r="N753">
            <v>330</v>
          </cell>
          <cell r="O753">
            <v>330</v>
          </cell>
          <cell r="P753">
            <v>550</v>
          </cell>
          <cell r="Q753">
            <v>1</v>
          </cell>
        </row>
        <row r="754">
          <cell r="A754">
            <v>3688954</v>
          </cell>
          <cell r="B754" t="str">
            <v>福島コーティング</v>
          </cell>
          <cell r="C754" t="str">
            <v>プロセス材２課</v>
          </cell>
          <cell r="D754" t="str">
            <v>ダミー担当者</v>
          </cell>
          <cell r="E754" t="str">
            <v>京セラ鹿児島川内工場</v>
          </cell>
          <cell r="F754">
            <v>331</v>
          </cell>
          <cell r="G754" t="str">
            <v>S</v>
          </cell>
          <cell r="H754" t="str">
            <v>N</v>
          </cell>
          <cell r="I754" t="str">
            <v>CERA</v>
          </cell>
          <cell r="K754" t="str">
            <v>MFAS</v>
          </cell>
          <cell r="L754">
            <v>100</v>
          </cell>
          <cell r="M754" t="str">
            <v>セラピール　　　　　　　　　　　ＭＦＡ（Ｓ）</v>
          </cell>
          <cell r="N754">
            <v>450</v>
          </cell>
          <cell r="O754">
            <v>450</v>
          </cell>
          <cell r="P754">
            <v>800</v>
          </cell>
          <cell r="Q754">
            <v>2</v>
          </cell>
        </row>
        <row r="755">
          <cell r="A755">
            <v>3688957</v>
          </cell>
          <cell r="B755" t="str">
            <v>福島コーティング</v>
          </cell>
          <cell r="C755" t="str">
            <v>工材１部電材課</v>
          </cell>
          <cell r="D755" t="str">
            <v>ダミー担当者</v>
          </cell>
          <cell r="E755" t="str">
            <v>栗村化学</v>
          </cell>
          <cell r="F755">
            <v>3</v>
          </cell>
          <cell r="G755" t="str">
            <v>S</v>
          </cell>
          <cell r="H755" t="str">
            <v>Y</v>
          </cell>
          <cell r="I755" t="str">
            <v>CERA</v>
          </cell>
          <cell r="K755" t="str">
            <v>SY09</v>
          </cell>
          <cell r="L755">
            <v>50</v>
          </cell>
          <cell r="M755" t="str">
            <v>セラピール　ＳＹ（０９）</v>
          </cell>
          <cell r="N755">
            <v>1050</v>
          </cell>
          <cell r="O755">
            <v>1040</v>
          </cell>
          <cell r="P755">
            <v>4000</v>
          </cell>
          <cell r="Q755">
            <v>2</v>
          </cell>
        </row>
        <row r="756">
          <cell r="A756">
            <v>3688959</v>
          </cell>
          <cell r="B756" t="str">
            <v>情材福島原価</v>
          </cell>
          <cell r="C756" t="str">
            <v>プロセス材２課</v>
          </cell>
          <cell r="D756" t="str">
            <v>ダミー担当者</v>
          </cell>
          <cell r="E756" t="str">
            <v>日榮新化㈱</v>
          </cell>
          <cell r="F756">
            <v>331</v>
          </cell>
          <cell r="G756" t="str">
            <v>T</v>
          </cell>
          <cell r="H756" t="str">
            <v>N</v>
          </cell>
          <cell r="I756" t="str">
            <v>CERA</v>
          </cell>
          <cell r="K756" t="str">
            <v>WZS</v>
          </cell>
          <cell r="L756">
            <v>25</v>
          </cell>
          <cell r="M756" t="str">
            <v>セラピールＷＺ（Ｓ）</v>
          </cell>
          <cell r="N756">
            <v>1425</v>
          </cell>
          <cell r="O756">
            <v>1420</v>
          </cell>
          <cell r="P756">
            <v>12400</v>
          </cell>
          <cell r="Q756">
            <v>2</v>
          </cell>
        </row>
        <row r="757">
          <cell r="A757">
            <v>3688961</v>
          </cell>
          <cell r="B757" t="str">
            <v>情材福島原価</v>
          </cell>
          <cell r="C757" t="str">
            <v>工材１部電材課</v>
          </cell>
          <cell r="D757" t="str">
            <v>ダミー担当者</v>
          </cell>
          <cell r="E757" t="str">
            <v>藤産業㈱</v>
          </cell>
          <cell r="F757">
            <v>3</v>
          </cell>
          <cell r="G757" t="str">
            <v>T</v>
          </cell>
          <cell r="H757" t="str">
            <v>N</v>
          </cell>
          <cell r="I757" t="str">
            <v>CERA</v>
          </cell>
          <cell r="K757" t="str">
            <v>WZ34</v>
          </cell>
          <cell r="L757">
            <v>25</v>
          </cell>
          <cell r="M757" t="str">
            <v>セラピール　ＷＺ（３４）</v>
          </cell>
          <cell r="N757">
            <v>1410</v>
          </cell>
          <cell r="O757">
            <v>1410</v>
          </cell>
          <cell r="P757">
            <v>6000</v>
          </cell>
          <cell r="Q757">
            <v>2</v>
          </cell>
        </row>
        <row r="758">
          <cell r="A758">
            <v>3688963</v>
          </cell>
          <cell r="B758" t="str">
            <v>福島コーティング</v>
          </cell>
          <cell r="C758" t="str">
            <v>プロセス材１課</v>
          </cell>
          <cell r="D758" t="str">
            <v>ダミー担当者</v>
          </cell>
          <cell r="E758" t="str">
            <v>リンテック㈱</v>
          </cell>
          <cell r="F758">
            <v>3</v>
          </cell>
          <cell r="G758" t="str">
            <v>S</v>
          </cell>
          <cell r="H758" t="str">
            <v>N</v>
          </cell>
          <cell r="I758" t="str">
            <v>CERA</v>
          </cell>
          <cell r="K758" t="str">
            <v>WZS</v>
          </cell>
          <cell r="L758">
            <v>38</v>
          </cell>
          <cell r="M758" t="str">
            <v>セラピール　　　　　　　　　　　ＷＺ（Ｓ）</v>
          </cell>
          <cell r="N758">
            <v>1415</v>
          </cell>
          <cell r="O758">
            <v>1410</v>
          </cell>
          <cell r="P758">
            <v>8000</v>
          </cell>
          <cell r="Q758">
            <v>2</v>
          </cell>
        </row>
        <row r="759">
          <cell r="A759">
            <v>3688965</v>
          </cell>
          <cell r="B759" t="str">
            <v>福島コーティング</v>
          </cell>
          <cell r="C759" t="str">
            <v>工材１部電材課</v>
          </cell>
          <cell r="D759" t="str">
            <v>ダミー担当者</v>
          </cell>
          <cell r="E759" t="str">
            <v>古河電気工業㈱</v>
          </cell>
          <cell r="F759">
            <v>3</v>
          </cell>
          <cell r="G759" t="str">
            <v>S</v>
          </cell>
          <cell r="H759" t="str">
            <v>N</v>
          </cell>
          <cell r="I759" t="str">
            <v>CERA</v>
          </cell>
          <cell r="K759" t="str">
            <v>WZE</v>
          </cell>
          <cell r="L759">
            <v>25</v>
          </cell>
          <cell r="M759" t="str">
            <v>セラピール　　　　　　　　　　　ＷＺ（Ｅ）</v>
          </cell>
          <cell r="N759">
            <v>1240</v>
          </cell>
          <cell r="O759">
            <v>1240</v>
          </cell>
          <cell r="P759">
            <v>6000</v>
          </cell>
          <cell r="Q759">
            <v>2</v>
          </cell>
        </row>
        <row r="760">
          <cell r="A760">
            <v>3688967</v>
          </cell>
          <cell r="B760" t="str">
            <v>情材福島原価</v>
          </cell>
          <cell r="C760" t="str">
            <v>プロセス材２課</v>
          </cell>
          <cell r="D760" t="str">
            <v>ダミー担当者</v>
          </cell>
          <cell r="E760" t="str">
            <v>日榮新化㈱</v>
          </cell>
          <cell r="F760">
            <v>3</v>
          </cell>
          <cell r="G760" t="str">
            <v>T</v>
          </cell>
          <cell r="H760" t="str">
            <v>N</v>
          </cell>
          <cell r="I760" t="str">
            <v>CERA</v>
          </cell>
          <cell r="K760" t="str">
            <v>WZS</v>
          </cell>
          <cell r="L760">
            <v>25</v>
          </cell>
          <cell r="M760" t="str">
            <v>セラピールＷＺ（Ｓ）</v>
          </cell>
          <cell r="N760">
            <v>1155</v>
          </cell>
          <cell r="O760">
            <v>1150</v>
          </cell>
          <cell r="P760">
            <v>4200</v>
          </cell>
          <cell r="Q760">
            <v>2</v>
          </cell>
        </row>
        <row r="761">
          <cell r="A761">
            <v>3688969</v>
          </cell>
          <cell r="B761" t="str">
            <v>福島コーティング</v>
          </cell>
          <cell r="C761" t="str">
            <v>工材１部電材課</v>
          </cell>
          <cell r="D761" t="str">
            <v>ダミー担当者</v>
          </cell>
          <cell r="E761" t="str">
            <v>東洋包材㈱</v>
          </cell>
          <cell r="F761">
            <v>3</v>
          </cell>
          <cell r="G761" t="str">
            <v>S</v>
          </cell>
          <cell r="H761" t="str">
            <v>N</v>
          </cell>
          <cell r="I761" t="str">
            <v>CERA</v>
          </cell>
          <cell r="K761" t="str">
            <v>WZRX</v>
          </cell>
          <cell r="L761">
            <v>38</v>
          </cell>
          <cell r="M761" t="str">
            <v>セラピール　ＷＺ（ＲＸ）　　　　　　</v>
          </cell>
          <cell r="N761">
            <v>1135</v>
          </cell>
          <cell r="O761">
            <v>1130</v>
          </cell>
          <cell r="P761">
            <v>6000</v>
          </cell>
          <cell r="Q761">
            <v>2</v>
          </cell>
        </row>
        <row r="762">
          <cell r="A762">
            <v>3688971</v>
          </cell>
          <cell r="B762" t="str">
            <v>福島コーティング</v>
          </cell>
          <cell r="C762" t="str">
            <v>工材１部電材課</v>
          </cell>
          <cell r="D762" t="str">
            <v>ダミー担当者</v>
          </cell>
          <cell r="E762" t="str">
            <v>パナック㈱亀山工場</v>
          </cell>
          <cell r="F762">
            <v>3</v>
          </cell>
          <cell r="G762" t="str">
            <v>S</v>
          </cell>
          <cell r="H762" t="str">
            <v>N</v>
          </cell>
          <cell r="I762" t="str">
            <v>CERA</v>
          </cell>
          <cell r="K762" t="str">
            <v>WZ</v>
          </cell>
          <cell r="L762">
            <v>25</v>
          </cell>
          <cell r="M762" t="str">
            <v>セラピール　　　　　　　　　　　ＷＺ</v>
          </cell>
          <cell r="N762">
            <v>1100</v>
          </cell>
          <cell r="O762">
            <v>1100</v>
          </cell>
          <cell r="P762">
            <v>12000</v>
          </cell>
          <cell r="Q762">
            <v>2</v>
          </cell>
        </row>
        <row r="763">
          <cell r="A763">
            <v>3688973</v>
          </cell>
          <cell r="B763" t="str">
            <v>福島コーティング</v>
          </cell>
          <cell r="C763" t="str">
            <v>工材１部大阪電材課</v>
          </cell>
          <cell r="D763" t="str">
            <v>ダミー担当者</v>
          </cell>
          <cell r="E763" t="str">
            <v>日東電工㈱亀山購買課</v>
          </cell>
          <cell r="F763">
            <v>3</v>
          </cell>
          <cell r="G763" t="str">
            <v>S</v>
          </cell>
          <cell r="H763" t="str">
            <v>N</v>
          </cell>
          <cell r="I763" t="str">
            <v>CERA</v>
          </cell>
          <cell r="K763" t="str">
            <v>WZRX</v>
          </cell>
          <cell r="L763">
            <v>25</v>
          </cell>
          <cell r="M763" t="str">
            <v>セラピール　ＷＺ（ＲＸ）　　　　　　</v>
          </cell>
          <cell r="N763">
            <v>450</v>
          </cell>
          <cell r="O763">
            <v>450</v>
          </cell>
          <cell r="P763">
            <v>4000</v>
          </cell>
          <cell r="Q763">
            <v>2</v>
          </cell>
        </row>
        <row r="764">
          <cell r="A764">
            <v>3688975</v>
          </cell>
          <cell r="B764" t="str">
            <v>福島コーティング</v>
          </cell>
          <cell r="C764" t="str">
            <v>工材１部電材課</v>
          </cell>
          <cell r="D764" t="str">
            <v>ダミー担当者</v>
          </cell>
          <cell r="E764" t="str">
            <v>古河電気工業㈱</v>
          </cell>
          <cell r="F764">
            <v>3</v>
          </cell>
          <cell r="G764" t="str">
            <v>S</v>
          </cell>
          <cell r="H764" t="str">
            <v>N</v>
          </cell>
          <cell r="I764" t="str">
            <v>CERA</v>
          </cell>
          <cell r="K764" t="str">
            <v>WZE</v>
          </cell>
          <cell r="L764">
            <v>38</v>
          </cell>
          <cell r="M764" t="str">
            <v>セラピール　　　　　　　　　　　ＷＺ（Ｅ）</v>
          </cell>
          <cell r="N764">
            <v>1040</v>
          </cell>
          <cell r="O764">
            <v>1040</v>
          </cell>
          <cell r="P764">
            <v>6000</v>
          </cell>
          <cell r="Q764">
            <v>2</v>
          </cell>
        </row>
        <row r="765">
          <cell r="A765">
            <v>3688977</v>
          </cell>
          <cell r="B765" t="str">
            <v>福島コーティング</v>
          </cell>
          <cell r="C765" t="str">
            <v>プロセス材１課</v>
          </cell>
          <cell r="D765" t="str">
            <v>ダミー担当者</v>
          </cell>
          <cell r="E765" t="str">
            <v>リンテック㈱</v>
          </cell>
          <cell r="F765">
            <v>3</v>
          </cell>
          <cell r="G765" t="str">
            <v>S</v>
          </cell>
          <cell r="H765" t="str">
            <v>N</v>
          </cell>
          <cell r="I765" t="str">
            <v>CERA</v>
          </cell>
          <cell r="K765" t="str">
            <v>WZS</v>
          </cell>
          <cell r="L765">
            <v>38</v>
          </cell>
          <cell r="M765" t="str">
            <v>セラピール　　　　　　　　　　　ＷＺ（Ｓ）</v>
          </cell>
          <cell r="N765">
            <v>1005</v>
          </cell>
          <cell r="O765">
            <v>1000</v>
          </cell>
          <cell r="P765">
            <v>8000</v>
          </cell>
          <cell r="Q765">
            <v>2</v>
          </cell>
        </row>
        <row r="766">
          <cell r="A766">
            <v>3688979</v>
          </cell>
          <cell r="B766" t="str">
            <v>福島コーティング</v>
          </cell>
          <cell r="C766" t="str">
            <v>工材１部電材課</v>
          </cell>
          <cell r="D766" t="str">
            <v>ダミー担当者</v>
          </cell>
          <cell r="E766" t="str">
            <v>パナック㈱亀山工場</v>
          </cell>
          <cell r="F766">
            <v>3</v>
          </cell>
          <cell r="G766" t="str">
            <v>S</v>
          </cell>
          <cell r="H766" t="str">
            <v>N</v>
          </cell>
          <cell r="I766" t="str">
            <v>CERA</v>
          </cell>
          <cell r="K766" t="str">
            <v>BKE09</v>
          </cell>
          <cell r="L766">
            <v>38</v>
          </cell>
          <cell r="M766" t="str">
            <v>セラピール　ＢＫＥ（０９）</v>
          </cell>
          <cell r="N766">
            <v>1037</v>
          </cell>
          <cell r="O766">
            <v>1030</v>
          </cell>
          <cell r="P766">
            <v>8500</v>
          </cell>
          <cell r="Q766">
            <v>2</v>
          </cell>
        </row>
        <row r="767">
          <cell r="A767">
            <v>3688981</v>
          </cell>
          <cell r="B767" t="str">
            <v>福島コーティング</v>
          </cell>
          <cell r="C767" t="str">
            <v>工材１部電材課</v>
          </cell>
          <cell r="D767" t="str">
            <v>ダミー担当者</v>
          </cell>
          <cell r="E767" t="str">
            <v>パナック㈱亀山工場</v>
          </cell>
          <cell r="F767">
            <v>3</v>
          </cell>
          <cell r="G767" t="str">
            <v>S</v>
          </cell>
          <cell r="H767" t="str">
            <v>N</v>
          </cell>
          <cell r="I767" t="str">
            <v>CERA</v>
          </cell>
          <cell r="K767" t="str">
            <v>BKE09</v>
          </cell>
          <cell r="L767">
            <v>38</v>
          </cell>
          <cell r="M767" t="str">
            <v>セラピール　ＢＫＥ（０９）</v>
          </cell>
          <cell r="N767">
            <v>1057</v>
          </cell>
          <cell r="O767">
            <v>1050</v>
          </cell>
          <cell r="P767">
            <v>8400</v>
          </cell>
          <cell r="Q767">
            <v>2</v>
          </cell>
        </row>
        <row r="768">
          <cell r="A768">
            <v>3688983</v>
          </cell>
          <cell r="B768" t="str">
            <v>福島コーティング</v>
          </cell>
          <cell r="C768" t="str">
            <v>工材１部電材課</v>
          </cell>
          <cell r="D768" t="str">
            <v>ダミー担当者</v>
          </cell>
          <cell r="E768" t="str">
            <v>パナック㈱亀山工場</v>
          </cell>
          <cell r="F768">
            <v>331</v>
          </cell>
          <cell r="G768" t="str">
            <v>S</v>
          </cell>
          <cell r="H768" t="str">
            <v>N</v>
          </cell>
          <cell r="I768" t="str">
            <v>CERA</v>
          </cell>
          <cell r="K768" t="str">
            <v>BKERXPT</v>
          </cell>
          <cell r="L768">
            <v>38</v>
          </cell>
          <cell r="M768" t="str">
            <v>セラピール　ＢＫＥ（ＲＸ）</v>
          </cell>
          <cell r="N768">
            <v>1330</v>
          </cell>
          <cell r="O768">
            <v>1330</v>
          </cell>
          <cell r="P768">
            <v>6000</v>
          </cell>
          <cell r="Q768">
            <v>2</v>
          </cell>
        </row>
        <row r="769">
          <cell r="A769">
            <v>3688986</v>
          </cell>
          <cell r="B769" t="str">
            <v>福島コーティング</v>
          </cell>
          <cell r="C769" t="str">
            <v>工材１部電材課</v>
          </cell>
          <cell r="D769" t="str">
            <v>ダミー担当者</v>
          </cell>
          <cell r="E769" t="str">
            <v>㈱巴川製紙所</v>
          </cell>
          <cell r="F769">
            <v>331</v>
          </cell>
          <cell r="G769" t="str">
            <v>S</v>
          </cell>
          <cell r="H769" t="str">
            <v>N</v>
          </cell>
          <cell r="I769" t="str">
            <v>CERA</v>
          </cell>
          <cell r="K769" t="str">
            <v>BKERXT</v>
          </cell>
          <cell r="L769">
            <v>25</v>
          </cell>
          <cell r="M769" t="str">
            <v>セラピール　ＢＫＥ（ＲＸ）</v>
          </cell>
          <cell r="N769">
            <v>1330</v>
          </cell>
          <cell r="O769">
            <v>1330</v>
          </cell>
          <cell r="P769">
            <v>6000</v>
          </cell>
          <cell r="Q769">
            <v>2</v>
          </cell>
        </row>
        <row r="770">
          <cell r="A770">
            <v>3688988</v>
          </cell>
          <cell r="B770" t="str">
            <v>福島コーティング</v>
          </cell>
          <cell r="C770" t="str">
            <v>工材１部電材課</v>
          </cell>
          <cell r="D770" t="str">
            <v>ダミー担当者</v>
          </cell>
          <cell r="E770" t="str">
            <v>㈱巴川製紙所</v>
          </cell>
          <cell r="F770">
            <v>331</v>
          </cell>
          <cell r="G770" t="str">
            <v>S</v>
          </cell>
          <cell r="H770" t="str">
            <v>N</v>
          </cell>
          <cell r="I770" t="str">
            <v>CERA</v>
          </cell>
          <cell r="K770" t="str">
            <v>BKERXT</v>
          </cell>
          <cell r="L770">
            <v>38</v>
          </cell>
          <cell r="M770" t="str">
            <v>セラピール　ＢＫＥ（ＲＸ）</v>
          </cell>
          <cell r="N770">
            <v>1330</v>
          </cell>
          <cell r="O770">
            <v>1330</v>
          </cell>
          <cell r="P770">
            <v>6000</v>
          </cell>
          <cell r="Q770">
            <v>2</v>
          </cell>
        </row>
        <row r="771">
          <cell r="A771">
            <v>3688989</v>
          </cell>
          <cell r="B771" t="str">
            <v>福島コーティング</v>
          </cell>
          <cell r="C771" t="str">
            <v>工材１部電材課</v>
          </cell>
          <cell r="D771" t="str">
            <v>ダミー担当者</v>
          </cell>
          <cell r="E771" t="str">
            <v>㈱巴川製紙所</v>
          </cell>
          <cell r="F771">
            <v>331</v>
          </cell>
          <cell r="G771" t="str">
            <v>S</v>
          </cell>
          <cell r="H771" t="str">
            <v>N</v>
          </cell>
          <cell r="I771" t="str">
            <v>CERA</v>
          </cell>
          <cell r="K771" t="str">
            <v>BKERXT</v>
          </cell>
          <cell r="L771">
            <v>38</v>
          </cell>
          <cell r="M771" t="str">
            <v>セラピール　ＢＫＥ（ＲＸ）</v>
          </cell>
          <cell r="N771">
            <v>1580</v>
          </cell>
          <cell r="O771">
            <v>1580</v>
          </cell>
          <cell r="P771">
            <v>6000</v>
          </cell>
          <cell r="Q771">
            <v>2</v>
          </cell>
        </row>
        <row r="772">
          <cell r="A772">
            <v>3688991</v>
          </cell>
          <cell r="B772" t="str">
            <v>福島コーティング</v>
          </cell>
          <cell r="C772" t="str">
            <v>工材１部大阪電材課</v>
          </cell>
          <cell r="D772" t="str">
            <v>ダミー担当者</v>
          </cell>
          <cell r="E772" t="str">
            <v>日東電工㈱豊橋工場</v>
          </cell>
          <cell r="F772">
            <v>3313</v>
          </cell>
          <cell r="G772" t="str">
            <v>S</v>
          </cell>
          <cell r="H772" t="str">
            <v>N</v>
          </cell>
          <cell r="I772" t="str">
            <v>CERA</v>
          </cell>
          <cell r="K772" t="str">
            <v>MD(A)R</v>
          </cell>
          <cell r="L772">
            <v>38</v>
          </cell>
          <cell r="M772" t="str">
            <v>セラピール　ＭＤ（Ａ）（Ｒ）</v>
          </cell>
          <cell r="N772">
            <v>750</v>
          </cell>
          <cell r="O772">
            <v>750</v>
          </cell>
          <cell r="P772">
            <v>6000</v>
          </cell>
          <cell r="Q772">
            <v>2</v>
          </cell>
        </row>
        <row r="773">
          <cell r="A773">
            <v>3688994</v>
          </cell>
          <cell r="B773" t="str">
            <v>福島コーティング</v>
          </cell>
          <cell r="C773" t="str">
            <v>大阪光学機能材課</v>
          </cell>
          <cell r="D773" t="str">
            <v>ダミー担当者</v>
          </cell>
          <cell r="E773" t="str">
            <v>日東電工㈱尾道事業所</v>
          </cell>
          <cell r="F773">
            <v>3321</v>
          </cell>
          <cell r="G773" t="str">
            <v>S</v>
          </cell>
          <cell r="H773" t="str">
            <v>N</v>
          </cell>
          <cell r="I773" t="str">
            <v>CERA</v>
          </cell>
          <cell r="K773" t="str">
            <v>MDACPFL</v>
          </cell>
          <cell r="L773">
            <v>38</v>
          </cell>
          <cell r="M773" t="str">
            <v>Ｋ　セラピールＭＤＡ（ＣＰＲＦ）Ｌ</v>
          </cell>
          <cell r="N773">
            <v>1336</v>
          </cell>
          <cell r="O773">
            <v>1325</v>
          </cell>
          <cell r="P773">
            <v>12000</v>
          </cell>
          <cell r="Q773">
            <v>2</v>
          </cell>
        </row>
        <row r="774">
          <cell r="A774">
            <v>3688996</v>
          </cell>
          <cell r="B774" t="str">
            <v>福島コーティング</v>
          </cell>
          <cell r="C774" t="str">
            <v>大阪光学機能材課</v>
          </cell>
          <cell r="D774" t="str">
            <v>ダミー担当者</v>
          </cell>
          <cell r="E774" t="str">
            <v>日東電工㈱尾道事業所</v>
          </cell>
          <cell r="F774">
            <v>3321</v>
          </cell>
          <cell r="G774" t="str">
            <v>S</v>
          </cell>
          <cell r="H774" t="str">
            <v>N</v>
          </cell>
          <cell r="I774" t="str">
            <v>CERA</v>
          </cell>
          <cell r="K774" t="str">
            <v>MDAPFL</v>
          </cell>
          <cell r="L774">
            <v>38</v>
          </cell>
          <cell r="M774" t="str">
            <v>Ｋ　セラピールＭＤＡ（ＰＲＦ）Ｌ</v>
          </cell>
          <cell r="N774">
            <v>1336</v>
          </cell>
          <cell r="O774">
            <v>1325</v>
          </cell>
          <cell r="P774">
            <v>12000</v>
          </cell>
          <cell r="Q774">
            <v>2</v>
          </cell>
        </row>
        <row r="775">
          <cell r="A775">
            <v>3688998</v>
          </cell>
          <cell r="B775" t="str">
            <v>福島コーティング</v>
          </cell>
          <cell r="C775" t="str">
            <v>大阪光学機能材課</v>
          </cell>
          <cell r="D775" t="str">
            <v>ダミー担当者</v>
          </cell>
          <cell r="E775" t="str">
            <v>日東電工㈱尾道事業所</v>
          </cell>
          <cell r="F775">
            <v>3321</v>
          </cell>
          <cell r="G775" t="str">
            <v>S</v>
          </cell>
          <cell r="H775" t="str">
            <v>N</v>
          </cell>
          <cell r="I775" t="str">
            <v>CERA</v>
          </cell>
          <cell r="K775" t="str">
            <v>MDACPFL</v>
          </cell>
          <cell r="L775">
            <v>38</v>
          </cell>
          <cell r="M775" t="str">
            <v>Ｋ　セラピールＭＤＡ（ＣＰＲＦ）Ｌ</v>
          </cell>
          <cell r="N775">
            <v>1336</v>
          </cell>
          <cell r="O775">
            <v>1325</v>
          </cell>
          <cell r="P775">
            <v>12000</v>
          </cell>
          <cell r="Q775">
            <v>2</v>
          </cell>
        </row>
        <row r="776">
          <cell r="A776">
            <v>3688999</v>
          </cell>
          <cell r="B776" t="str">
            <v>福島コーティング</v>
          </cell>
          <cell r="C776" t="str">
            <v>大阪光学機能材課</v>
          </cell>
          <cell r="D776" t="str">
            <v>ダミー担当者</v>
          </cell>
          <cell r="E776" t="str">
            <v>日東電工㈱尾道事業所</v>
          </cell>
          <cell r="F776">
            <v>3321</v>
          </cell>
          <cell r="G776" t="str">
            <v>S</v>
          </cell>
          <cell r="H776" t="str">
            <v>N</v>
          </cell>
          <cell r="I776" t="str">
            <v>CERA</v>
          </cell>
          <cell r="K776" t="str">
            <v>MDAPFL</v>
          </cell>
          <cell r="L776">
            <v>38</v>
          </cell>
          <cell r="M776" t="str">
            <v>Ｋ　セラピールＭＤＡ（ＰＲＦ）Ｌ</v>
          </cell>
          <cell r="N776">
            <v>1336</v>
          </cell>
          <cell r="O776">
            <v>1325</v>
          </cell>
          <cell r="P776">
            <v>12000</v>
          </cell>
          <cell r="Q776">
            <v>2</v>
          </cell>
        </row>
        <row r="777">
          <cell r="A777">
            <v>3689001</v>
          </cell>
          <cell r="B777" t="str">
            <v>福島コーティング</v>
          </cell>
          <cell r="C777" t="str">
            <v>工材１部電材課</v>
          </cell>
          <cell r="D777" t="str">
            <v>ダミー担当者</v>
          </cell>
          <cell r="E777" t="str">
            <v>パナック㈱亀山工場</v>
          </cell>
          <cell r="F777">
            <v>3</v>
          </cell>
          <cell r="G777" t="str">
            <v>S</v>
          </cell>
          <cell r="H777" t="str">
            <v>N</v>
          </cell>
          <cell r="I777" t="str">
            <v>CERA</v>
          </cell>
          <cell r="K777" t="str">
            <v>BX8AD</v>
          </cell>
          <cell r="L777">
            <v>75</v>
          </cell>
          <cell r="M777" t="str">
            <v>セラピール　　　　　　　　　　　ＢＸ８ＡＤ</v>
          </cell>
          <cell r="N777">
            <v>1330</v>
          </cell>
          <cell r="O777">
            <v>1330</v>
          </cell>
          <cell r="P777">
            <v>5000</v>
          </cell>
          <cell r="Q777">
            <v>2</v>
          </cell>
        </row>
        <row r="778">
          <cell r="A778">
            <v>3689004</v>
          </cell>
          <cell r="B778" t="str">
            <v>福島コーティング</v>
          </cell>
          <cell r="C778" t="str">
            <v>工材１部電材課</v>
          </cell>
          <cell r="D778" t="str">
            <v>ダミー担当者</v>
          </cell>
          <cell r="E778" t="str">
            <v>パナック㈱亀山工場</v>
          </cell>
          <cell r="F778">
            <v>331</v>
          </cell>
          <cell r="G778" t="str">
            <v>S</v>
          </cell>
          <cell r="H778" t="str">
            <v>N</v>
          </cell>
          <cell r="I778" t="str">
            <v>CERA</v>
          </cell>
          <cell r="K778" t="str">
            <v>BX8ARXA</v>
          </cell>
          <cell r="L778">
            <v>38</v>
          </cell>
          <cell r="M778" t="str">
            <v>セラピール　ＢＸ８ＡＲＸ</v>
          </cell>
          <cell r="N778">
            <v>1330</v>
          </cell>
          <cell r="O778">
            <v>1330</v>
          </cell>
          <cell r="P778">
            <v>6000</v>
          </cell>
          <cell r="Q778">
            <v>2</v>
          </cell>
        </row>
        <row r="779">
          <cell r="A779">
            <v>3689005</v>
          </cell>
          <cell r="B779" t="str">
            <v>福島コーティング</v>
          </cell>
          <cell r="C779" t="str">
            <v>工材１部電材課</v>
          </cell>
          <cell r="D779" t="str">
            <v>ダミー担当者</v>
          </cell>
          <cell r="E779" t="str">
            <v>㈱巴川製紙所</v>
          </cell>
          <cell r="F779">
            <v>331</v>
          </cell>
          <cell r="G779" t="str">
            <v>S</v>
          </cell>
          <cell r="H779" t="str">
            <v>N</v>
          </cell>
          <cell r="I779" t="str">
            <v>CERA</v>
          </cell>
          <cell r="K779" t="str">
            <v>BX8ARXT</v>
          </cell>
          <cell r="L779">
            <v>38</v>
          </cell>
          <cell r="M779" t="str">
            <v>セラピール　ＢＸ８ＡＲＸ</v>
          </cell>
          <cell r="N779">
            <v>1580</v>
          </cell>
          <cell r="O779">
            <v>1580</v>
          </cell>
          <cell r="P779">
            <v>6000</v>
          </cell>
          <cell r="Q779">
            <v>2</v>
          </cell>
        </row>
        <row r="780">
          <cell r="A780">
            <v>3689007</v>
          </cell>
          <cell r="B780" t="str">
            <v>福島コーティング</v>
          </cell>
          <cell r="C780" t="str">
            <v>工材１部電材課</v>
          </cell>
          <cell r="D780" t="str">
            <v>ダミー担当者</v>
          </cell>
          <cell r="E780" t="str">
            <v>㈱巴川製紙所</v>
          </cell>
          <cell r="F780">
            <v>3</v>
          </cell>
          <cell r="G780" t="str">
            <v>S</v>
          </cell>
          <cell r="H780" t="str">
            <v>N</v>
          </cell>
          <cell r="I780" t="str">
            <v>CERA</v>
          </cell>
          <cell r="K780" t="str">
            <v>BX8AX</v>
          </cell>
          <cell r="L780">
            <v>75</v>
          </cell>
          <cell r="M780" t="str">
            <v>セラピール　　　　　　　　　　　ＢＸ８Ａ（Ｘ）</v>
          </cell>
          <cell r="N780">
            <v>1330</v>
          </cell>
          <cell r="O780">
            <v>1330</v>
          </cell>
          <cell r="P780">
            <v>4100</v>
          </cell>
          <cell r="Q780">
            <v>2</v>
          </cell>
        </row>
        <row r="781">
          <cell r="A781">
            <v>3689009</v>
          </cell>
          <cell r="B781" t="str">
            <v>福島コーティング</v>
          </cell>
          <cell r="C781" t="str">
            <v>大阪光学機能材課</v>
          </cell>
          <cell r="D781" t="str">
            <v>ダミー担当者</v>
          </cell>
          <cell r="E781" t="str">
            <v>日東電工㈱尾道事業所</v>
          </cell>
          <cell r="F781">
            <v>3321</v>
          </cell>
          <cell r="G781" t="str">
            <v>S</v>
          </cell>
          <cell r="H781" t="str">
            <v>N</v>
          </cell>
          <cell r="I781" t="str">
            <v>CERA</v>
          </cell>
          <cell r="K781" t="str">
            <v>MDACPFL</v>
          </cell>
          <cell r="L781">
            <v>38</v>
          </cell>
          <cell r="M781" t="str">
            <v>Ｋ　セラピールＭＤＡ（ＣＰＲＦ）Ｌ</v>
          </cell>
          <cell r="N781">
            <v>1336</v>
          </cell>
          <cell r="O781">
            <v>1325</v>
          </cell>
          <cell r="P781">
            <v>12000</v>
          </cell>
          <cell r="Q781">
            <v>2</v>
          </cell>
        </row>
        <row r="782">
          <cell r="A782">
            <v>3689012</v>
          </cell>
          <cell r="B782" t="str">
            <v>福島コーティング</v>
          </cell>
          <cell r="C782" t="str">
            <v>大阪光学機能材課</v>
          </cell>
          <cell r="D782" t="str">
            <v>ダミー担当者</v>
          </cell>
          <cell r="E782" t="str">
            <v>日東電工㈱尾道事業所</v>
          </cell>
          <cell r="F782">
            <v>3321</v>
          </cell>
          <cell r="G782" t="str">
            <v>S</v>
          </cell>
          <cell r="H782" t="str">
            <v>N</v>
          </cell>
          <cell r="I782" t="str">
            <v>CERA</v>
          </cell>
          <cell r="K782" t="str">
            <v>MDAPFL</v>
          </cell>
          <cell r="L782">
            <v>38</v>
          </cell>
          <cell r="M782" t="str">
            <v>Ｋ　セラピールＭＤＡ（ＰＲＦ）Ｌ</v>
          </cell>
          <cell r="N782">
            <v>1336</v>
          </cell>
          <cell r="O782">
            <v>1325</v>
          </cell>
          <cell r="P782">
            <v>12000</v>
          </cell>
          <cell r="Q782">
            <v>2</v>
          </cell>
        </row>
        <row r="783">
          <cell r="A783">
            <v>3689013</v>
          </cell>
          <cell r="B783" t="str">
            <v>福島コーティング</v>
          </cell>
          <cell r="C783" t="str">
            <v>工材１部大阪電材課</v>
          </cell>
          <cell r="D783" t="str">
            <v>ダミー担当者</v>
          </cell>
          <cell r="E783" t="str">
            <v>パナソニック　ＩＳ社</v>
          </cell>
          <cell r="F783">
            <v>3</v>
          </cell>
          <cell r="G783" t="str">
            <v>S</v>
          </cell>
          <cell r="H783" t="str">
            <v>N</v>
          </cell>
          <cell r="I783" t="str">
            <v>CERA</v>
          </cell>
          <cell r="K783" t="str">
            <v>MFACR</v>
          </cell>
          <cell r="L783">
            <v>31</v>
          </cell>
          <cell r="M783" t="str">
            <v>セラピ－ル　ＭＦＡ（ＣＲ）</v>
          </cell>
          <cell r="N783">
            <v>440</v>
          </cell>
          <cell r="O783">
            <v>440</v>
          </cell>
          <cell r="P783">
            <v>6500</v>
          </cell>
          <cell r="Q783">
            <v>1</v>
          </cell>
        </row>
        <row r="784">
          <cell r="A784">
            <v>3689015</v>
          </cell>
          <cell r="B784" t="str">
            <v>福島コーティング</v>
          </cell>
          <cell r="C784" t="str">
            <v>工材１部大阪電材課</v>
          </cell>
          <cell r="D784" t="str">
            <v>ダミー担当者</v>
          </cell>
          <cell r="E784" t="str">
            <v>双信電機㈱</v>
          </cell>
          <cell r="F784">
            <v>3</v>
          </cell>
          <cell r="G784" t="str">
            <v>S</v>
          </cell>
          <cell r="H784" t="str">
            <v>N</v>
          </cell>
          <cell r="I784" t="str">
            <v>CERANS</v>
          </cell>
          <cell r="K784" t="str">
            <v>HP2UDF</v>
          </cell>
          <cell r="L784">
            <v>75</v>
          </cell>
          <cell r="M784" t="str">
            <v>セラピール　ＨＰ２（Ｕ）Ｄ</v>
          </cell>
          <cell r="N784">
            <v>600</v>
          </cell>
          <cell r="O784">
            <v>600</v>
          </cell>
          <cell r="P784">
            <v>600</v>
          </cell>
          <cell r="Q784">
            <v>2</v>
          </cell>
        </row>
        <row r="785">
          <cell r="A785">
            <v>3689018</v>
          </cell>
          <cell r="B785" t="str">
            <v>福島コーティング</v>
          </cell>
          <cell r="C785" t="str">
            <v>プロセス材１課</v>
          </cell>
          <cell r="D785" t="str">
            <v>ダミー担当者</v>
          </cell>
          <cell r="E785" t="str">
            <v>王子タック㈱本社</v>
          </cell>
          <cell r="F785" t="str">
            <v>33S</v>
          </cell>
          <cell r="G785" t="str">
            <v>S</v>
          </cell>
          <cell r="H785" t="str">
            <v>N</v>
          </cell>
          <cell r="I785" t="str">
            <v>CLB</v>
          </cell>
          <cell r="K785" t="str">
            <v>LTL</v>
          </cell>
          <cell r="L785">
            <v>25</v>
          </cell>
          <cell r="M785" t="str">
            <v>ルミラー　ＴＬ</v>
          </cell>
          <cell r="N785">
            <v>1120</v>
          </cell>
          <cell r="O785">
            <v>1120</v>
          </cell>
          <cell r="P785">
            <v>12000</v>
          </cell>
          <cell r="Q785">
            <v>2</v>
          </cell>
        </row>
        <row r="786">
          <cell r="A786">
            <v>3689020</v>
          </cell>
          <cell r="B786" t="str">
            <v>福島コーティング</v>
          </cell>
          <cell r="C786" t="str">
            <v>プロセス材２課</v>
          </cell>
          <cell r="D786" t="str">
            <v>ダミー担当者</v>
          </cell>
          <cell r="E786" t="str">
            <v>藤森工業㈱掛川事業所</v>
          </cell>
          <cell r="F786">
            <v>3</v>
          </cell>
          <cell r="G786" t="str">
            <v>S</v>
          </cell>
          <cell r="H786" t="str">
            <v>N</v>
          </cell>
          <cell r="I786" t="str">
            <v>CLB</v>
          </cell>
          <cell r="K786" t="str">
            <v>PETTL</v>
          </cell>
          <cell r="L786">
            <v>38</v>
          </cell>
          <cell r="M786" t="str">
            <v>ＰＥＴ　ＴＬ</v>
          </cell>
          <cell r="N786">
            <v>1320</v>
          </cell>
          <cell r="O786">
            <v>1320</v>
          </cell>
          <cell r="P786">
            <v>4200</v>
          </cell>
          <cell r="Q786">
            <v>2</v>
          </cell>
        </row>
        <row r="787">
          <cell r="A787">
            <v>3689021</v>
          </cell>
          <cell r="B787" t="str">
            <v>福島コーティング</v>
          </cell>
          <cell r="C787" t="str">
            <v>プロセス材２課</v>
          </cell>
          <cell r="D787" t="str">
            <v>ダミー担当者</v>
          </cell>
          <cell r="E787" t="str">
            <v>藤森工業㈱掛川事業所</v>
          </cell>
          <cell r="F787">
            <v>3</v>
          </cell>
          <cell r="G787" t="str">
            <v>S</v>
          </cell>
          <cell r="H787" t="str">
            <v>N</v>
          </cell>
          <cell r="I787" t="str">
            <v>CLB</v>
          </cell>
          <cell r="K787" t="str">
            <v>PETTL</v>
          </cell>
          <cell r="L787">
            <v>50</v>
          </cell>
          <cell r="M787" t="str">
            <v>ＰＥＴ　ＴＬ</v>
          </cell>
          <cell r="N787">
            <v>1320</v>
          </cell>
          <cell r="O787">
            <v>1320</v>
          </cell>
          <cell r="P787">
            <v>4200</v>
          </cell>
          <cell r="Q787">
            <v>2</v>
          </cell>
        </row>
        <row r="788">
          <cell r="A788">
            <v>3689043</v>
          </cell>
          <cell r="B788" t="str">
            <v>福島コーティング</v>
          </cell>
          <cell r="C788" t="str">
            <v>プロセス材１課</v>
          </cell>
          <cell r="D788" t="str">
            <v>ダミー担当者</v>
          </cell>
          <cell r="E788" t="str">
            <v>リンテック㈱</v>
          </cell>
          <cell r="F788">
            <v>3</v>
          </cell>
          <cell r="G788" t="str">
            <v>S</v>
          </cell>
          <cell r="H788" t="str">
            <v>N</v>
          </cell>
          <cell r="I788" t="str">
            <v>CLB</v>
          </cell>
          <cell r="K788" t="str">
            <v>PETMV</v>
          </cell>
          <cell r="L788">
            <v>25</v>
          </cell>
          <cell r="M788" t="str">
            <v>ＰＥＴ　マットＶ</v>
          </cell>
          <cell r="N788">
            <v>1005</v>
          </cell>
          <cell r="O788">
            <v>1000</v>
          </cell>
          <cell r="P788">
            <v>4000</v>
          </cell>
          <cell r="Q788">
            <v>2</v>
          </cell>
        </row>
        <row r="789">
          <cell r="A789">
            <v>3689057</v>
          </cell>
          <cell r="B789" t="str">
            <v>機能Ｆ　ラベル福島原</v>
          </cell>
          <cell r="C789" t="str">
            <v>プロセス材１課</v>
          </cell>
          <cell r="D789" t="str">
            <v>ダミー担当者</v>
          </cell>
          <cell r="E789" t="str">
            <v>リンテック㈱</v>
          </cell>
          <cell r="F789">
            <v>3</v>
          </cell>
          <cell r="G789" t="str">
            <v>T</v>
          </cell>
          <cell r="H789" t="str">
            <v>N</v>
          </cell>
          <cell r="I789" t="str">
            <v>CLB</v>
          </cell>
          <cell r="K789" t="str">
            <v>PETV</v>
          </cell>
          <cell r="L789">
            <v>16</v>
          </cell>
          <cell r="M789" t="str">
            <v>ＰＥＴ　Ｖ</v>
          </cell>
          <cell r="N789">
            <v>1120</v>
          </cell>
          <cell r="O789">
            <v>1000</v>
          </cell>
          <cell r="P789">
            <v>6000</v>
          </cell>
          <cell r="Q789">
            <v>2</v>
          </cell>
        </row>
        <row r="790">
          <cell r="A790">
            <v>3694076</v>
          </cell>
          <cell r="B790" t="str">
            <v>福島コーティング</v>
          </cell>
          <cell r="C790" t="str">
            <v>工材１部電材課</v>
          </cell>
          <cell r="D790" t="str">
            <v>ダミー担当者</v>
          </cell>
          <cell r="E790" t="str">
            <v>㈱巴川製紙所</v>
          </cell>
          <cell r="F790">
            <v>331</v>
          </cell>
          <cell r="G790" t="str">
            <v>S</v>
          </cell>
          <cell r="H790" t="str">
            <v>N</v>
          </cell>
          <cell r="I790" t="str">
            <v>CERA</v>
          </cell>
          <cell r="K790" t="str">
            <v>BX8ARXT</v>
          </cell>
          <cell r="L790">
            <v>38</v>
          </cell>
          <cell r="M790" t="str">
            <v>セラピール　ＢＸ８ＡＲＸ</v>
          </cell>
          <cell r="N790">
            <v>1580</v>
          </cell>
          <cell r="O790">
            <v>1580</v>
          </cell>
          <cell r="P790">
            <v>6000</v>
          </cell>
          <cell r="Q790">
            <v>2</v>
          </cell>
        </row>
        <row r="791">
          <cell r="A791">
            <v>3694077</v>
          </cell>
          <cell r="B791" t="str">
            <v>福島コーティング</v>
          </cell>
          <cell r="C791" t="str">
            <v>工材１部電材課</v>
          </cell>
          <cell r="D791" t="str">
            <v>ダミー担当者</v>
          </cell>
          <cell r="E791" t="str">
            <v>パナック㈱亀山工場</v>
          </cell>
          <cell r="F791">
            <v>3</v>
          </cell>
          <cell r="G791" t="str">
            <v>S</v>
          </cell>
          <cell r="H791" t="str">
            <v>N</v>
          </cell>
          <cell r="I791" t="str">
            <v>CERA</v>
          </cell>
          <cell r="K791" t="str">
            <v>BX8AD</v>
          </cell>
          <cell r="L791">
            <v>75</v>
          </cell>
          <cell r="M791" t="str">
            <v>セラピール　　　　　　　　　　　ＢＸ８ＡＤ</v>
          </cell>
          <cell r="N791">
            <v>1330</v>
          </cell>
          <cell r="O791">
            <v>1330</v>
          </cell>
          <cell r="P791">
            <v>5000</v>
          </cell>
          <cell r="Q791">
            <v>2</v>
          </cell>
        </row>
        <row r="792">
          <cell r="A792">
            <v>3694078</v>
          </cell>
          <cell r="B792" t="str">
            <v>福島コーティング</v>
          </cell>
          <cell r="C792" t="str">
            <v>工材１部電材課</v>
          </cell>
          <cell r="D792" t="str">
            <v>ダミー担当者</v>
          </cell>
          <cell r="E792" t="str">
            <v>㈱巴川製紙所</v>
          </cell>
          <cell r="F792">
            <v>331</v>
          </cell>
          <cell r="G792" t="str">
            <v>S</v>
          </cell>
          <cell r="H792" t="str">
            <v>N</v>
          </cell>
          <cell r="I792" t="str">
            <v>CERA</v>
          </cell>
          <cell r="K792" t="str">
            <v>BX8ARXT</v>
          </cell>
          <cell r="L792">
            <v>38</v>
          </cell>
          <cell r="M792" t="str">
            <v>セラピール　ＢＸ８ＡＲＸ</v>
          </cell>
          <cell r="N792">
            <v>1330</v>
          </cell>
          <cell r="O792">
            <v>1330</v>
          </cell>
          <cell r="P792">
            <v>6000</v>
          </cell>
          <cell r="Q792">
            <v>2</v>
          </cell>
        </row>
        <row r="793">
          <cell r="A793">
            <v>3694079</v>
          </cell>
          <cell r="B793" t="str">
            <v>福島コーティング</v>
          </cell>
          <cell r="C793" t="str">
            <v>工材１部電材課</v>
          </cell>
          <cell r="D793" t="str">
            <v>ダミー担当者</v>
          </cell>
          <cell r="E793" t="str">
            <v>パナック㈱亀山工場</v>
          </cell>
          <cell r="F793">
            <v>331</v>
          </cell>
          <cell r="G793" t="str">
            <v>S</v>
          </cell>
          <cell r="H793" t="str">
            <v>N</v>
          </cell>
          <cell r="I793" t="str">
            <v>CERA</v>
          </cell>
          <cell r="K793" t="str">
            <v>BX8ARXA</v>
          </cell>
          <cell r="L793">
            <v>38</v>
          </cell>
          <cell r="M793" t="str">
            <v>セラピール　ＢＸ８ＡＲＸ</v>
          </cell>
          <cell r="N793">
            <v>1330</v>
          </cell>
          <cell r="O793">
            <v>1330</v>
          </cell>
          <cell r="P793">
            <v>6000</v>
          </cell>
          <cell r="Q793">
            <v>2</v>
          </cell>
        </row>
        <row r="794">
          <cell r="A794">
            <v>3694080</v>
          </cell>
          <cell r="B794" t="str">
            <v>情材福島原価</v>
          </cell>
          <cell r="C794" t="str">
            <v>プロセス材２課</v>
          </cell>
          <cell r="D794" t="str">
            <v>ダミー担当者</v>
          </cell>
          <cell r="E794" t="str">
            <v>日榮新化㈱</v>
          </cell>
          <cell r="F794">
            <v>331</v>
          </cell>
          <cell r="G794" t="str">
            <v>T</v>
          </cell>
          <cell r="H794" t="str">
            <v>N</v>
          </cell>
          <cell r="I794" t="str">
            <v>CERA</v>
          </cell>
          <cell r="K794" t="str">
            <v>WZS</v>
          </cell>
          <cell r="L794">
            <v>25</v>
          </cell>
          <cell r="M794" t="str">
            <v>セラピールＷＺ（Ｓ）</v>
          </cell>
          <cell r="N794">
            <v>1425</v>
          </cell>
          <cell r="O794">
            <v>1420</v>
          </cell>
          <cell r="P794">
            <v>12400</v>
          </cell>
          <cell r="Q794">
            <v>2</v>
          </cell>
        </row>
        <row r="795">
          <cell r="A795">
            <v>3694081</v>
          </cell>
          <cell r="B795" t="str">
            <v>情材福島原価</v>
          </cell>
          <cell r="C795" t="str">
            <v>工材１部電材課</v>
          </cell>
          <cell r="D795" t="str">
            <v>ダミー担当者</v>
          </cell>
          <cell r="E795" t="str">
            <v>藤産業㈱</v>
          </cell>
          <cell r="F795">
            <v>3</v>
          </cell>
          <cell r="G795" t="str">
            <v>T</v>
          </cell>
          <cell r="H795" t="str">
            <v>N</v>
          </cell>
          <cell r="I795" t="str">
            <v>CERA</v>
          </cell>
          <cell r="K795" t="str">
            <v>WZ34</v>
          </cell>
          <cell r="L795">
            <v>25</v>
          </cell>
          <cell r="M795" t="str">
            <v>セラピール　ＷＺ（３４）</v>
          </cell>
          <cell r="N795">
            <v>1410</v>
          </cell>
          <cell r="O795">
            <v>1410</v>
          </cell>
          <cell r="P795">
            <v>6000</v>
          </cell>
          <cell r="Q795">
            <v>2</v>
          </cell>
        </row>
        <row r="796">
          <cell r="A796">
            <v>3694082</v>
          </cell>
          <cell r="B796" t="str">
            <v>福島コーティング</v>
          </cell>
          <cell r="C796" t="str">
            <v>プロセス材１課</v>
          </cell>
          <cell r="D796" t="str">
            <v>ダミー担当者</v>
          </cell>
          <cell r="E796" t="str">
            <v>リンテック㈱</v>
          </cell>
          <cell r="F796">
            <v>3</v>
          </cell>
          <cell r="G796" t="str">
            <v>S</v>
          </cell>
          <cell r="H796" t="str">
            <v>N</v>
          </cell>
          <cell r="I796" t="str">
            <v>CERA</v>
          </cell>
          <cell r="K796" t="str">
            <v>WZS</v>
          </cell>
          <cell r="L796">
            <v>38</v>
          </cell>
          <cell r="M796" t="str">
            <v>セラピール　　　　　　　　　　　ＷＺ（Ｓ）</v>
          </cell>
          <cell r="N796">
            <v>1415</v>
          </cell>
          <cell r="O796">
            <v>1410</v>
          </cell>
          <cell r="P796">
            <v>8000</v>
          </cell>
          <cell r="Q796">
            <v>2</v>
          </cell>
        </row>
        <row r="797">
          <cell r="A797">
            <v>3694083</v>
          </cell>
          <cell r="B797" t="str">
            <v>福島コーティング</v>
          </cell>
          <cell r="C797" t="str">
            <v>工材１部電材課</v>
          </cell>
          <cell r="D797" t="str">
            <v>ダミー担当者</v>
          </cell>
          <cell r="E797" t="str">
            <v>パナック㈱亀山工場</v>
          </cell>
          <cell r="F797">
            <v>3</v>
          </cell>
          <cell r="G797" t="str">
            <v>S</v>
          </cell>
          <cell r="H797" t="str">
            <v>N</v>
          </cell>
          <cell r="I797" t="str">
            <v>CERA</v>
          </cell>
          <cell r="K797" t="str">
            <v>WZ</v>
          </cell>
          <cell r="L797">
            <v>25</v>
          </cell>
          <cell r="M797" t="str">
            <v>セラピール　　　　　　　　　　　ＷＺ</v>
          </cell>
          <cell r="N797">
            <v>1325</v>
          </cell>
          <cell r="O797">
            <v>1320</v>
          </cell>
          <cell r="P797">
            <v>6000</v>
          </cell>
          <cell r="Q797">
            <v>2</v>
          </cell>
        </row>
        <row r="798">
          <cell r="A798">
            <v>3694084</v>
          </cell>
          <cell r="B798" t="str">
            <v>福島コーティング</v>
          </cell>
          <cell r="C798" t="str">
            <v>工材１部大阪電材課</v>
          </cell>
          <cell r="D798" t="str">
            <v>ダミー担当者</v>
          </cell>
          <cell r="E798" t="str">
            <v>東洋機材</v>
          </cell>
          <cell r="F798">
            <v>3</v>
          </cell>
          <cell r="G798" t="str">
            <v>S</v>
          </cell>
          <cell r="H798" t="str">
            <v>N</v>
          </cell>
          <cell r="I798" t="str">
            <v>CERA</v>
          </cell>
          <cell r="K798" t="str">
            <v>WZS</v>
          </cell>
          <cell r="L798">
            <v>125</v>
          </cell>
          <cell r="M798" t="str">
            <v>セラピール　ＷＺ（Ｓ）</v>
          </cell>
          <cell r="N798">
            <v>1230</v>
          </cell>
          <cell r="O798">
            <v>1225</v>
          </cell>
          <cell r="P798">
            <v>1800</v>
          </cell>
          <cell r="Q798">
            <v>2</v>
          </cell>
        </row>
        <row r="799">
          <cell r="A799">
            <v>3694085</v>
          </cell>
          <cell r="B799" t="str">
            <v>情材福島原価</v>
          </cell>
          <cell r="C799" t="str">
            <v>プロセス材２課</v>
          </cell>
          <cell r="D799" t="str">
            <v>ダミー担当者</v>
          </cell>
          <cell r="E799" t="str">
            <v>日榮新化㈱</v>
          </cell>
          <cell r="F799">
            <v>3</v>
          </cell>
          <cell r="G799" t="str">
            <v>T</v>
          </cell>
          <cell r="H799" t="str">
            <v>N</v>
          </cell>
          <cell r="I799" t="str">
            <v>CERA</v>
          </cell>
          <cell r="K799" t="str">
            <v>WZS</v>
          </cell>
          <cell r="L799">
            <v>25</v>
          </cell>
          <cell r="M799" t="str">
            <v>セラピールＷＺ（Ｓ）</v>
          </cell>
          <cell r="N799">
            <v>1155</v>
          </cell>
          <cell r="O799">
            <v>1150</v>
          </cell>
          <cell r="P799">
            <v>4200</v>
          </cell>
          <cell r="Q799">
            <v>2</v>
          </cell>
        </row>
        <row r="800">
          <cell r="A800">
            <v>3694086</v>
          </cell>
          <cell r="B800" t="str">
            <v>福島コーティング</v>
          </cell>
          <cell r="C800" t="str">
            <v>工材３部工材１課</v>
          </cell>
          <cell r="D800" t="str">
            <v>ダミー担当者</v>
          </cell>
          <cell r="E800" t="str">
            <v>フジコピアン　岡山</v>
          </cell>
          <cell r="F800">
            <v>3</v>
          </cell>
          <cell r="G800" t="str">
            <v>S</v>
          </cell>
          <cell r="H800" t="str">
            <v>N</v>
          </cell>
          <cell r="I800" t="str">
            <v>CERA</v>
          </cell>
          <cell r="K800" t="str">
            <v>WZU</v>
          </cell>
          <cell r="L800">
            <v>25</v>
          </cell>
          <cell r="M800" t="str">
            <v>セラピール　　　　　　　　　　　ＷＺ（Ｕ）</v>
          </cell>
          <cell r="N800">
            <v>1155</v>
          </cell>
          <cell r="O800">
            <v>1150</v>
          </cell>
          <cell r="P800">
            <v>12400</v>
          </cell>
          <cell r="Q800">
            <v>2</v>
          </cell>
        </row>
        <row r="801">
          <cell r="A801">
            <v>3694087</v>
          </cell>
          <cell r="B801" t="str">
            <v>福島コーティング</v>
          </cell>
          <cell r="C801" t="str">
            <v>工材１部大阪電材課</v>
          </cell>
          <cell r="D801" t="str">
            <v>ダミー担当者</v>
          </cell>
          <cell r="E801" t="str">
            <v>日東電工㈱豊橋工場</v>
          </cell>
          <cell r="F801">
            <v>3313</v>
          </cell>
          <cell r="G801" t="str">
            <v>S</v>
          </cell>
          <cell r="H801" t="str">
            <v>N</v>
          </cell>
          <cell r="I801" t="str">
            <v>CERA</v>
          </cell>
          <cell r="K801" t="str">
            <v>MD(A)R</v>
          </cell>
          <cell r="L801">
            <v>38</v>
          </cell>
          <cell r="M801" t="str">
            <v>セラピール　ＭＤ（Ａ）（Ｒ）</v>
          </cell>
          <cell r="N801">
            <v>750</v>
          </cell>
          <cell r="O801">
            <v>750</v>
          </cell>
          <cell r="P801">
            <v>6000</v>
          </cell>
          <cell r="Q801">
            <v>2</v>
          </cell>
        </row>
        <row r="802">
          <cell r="A802">
            <v>3694088</v>
          </cell>
          <cell r="B802" t="str">
            <v>福島コーティング</v>
          </cell>
          <cell r="C802" t="str">
            <v>大阪光学機能材課</v>
          </cell>
          <cell r="D802" t="str">
            <v>ダミー担当者</v>
          </cell>
          <cell r="E802" t="str">
            <v>日東電工㈱尾道事業所</v>
          </cell>
          <cell r="F802">
            <v>3321</v>
          </cell>
          <cell r="G802" t="str">
            <v>S</v>
          </cell>
          <cell r="H802" t="str">
            <v>N</v>
          </cell>
          <cell r="I802" t="str">
            <v>CERA</v>
          </cell>
          <cell r="K802" t="str">
            <v>MDAPFL</v>
          </cell>
          <cell r="L802">
            <v>38</v>
          </cell>
          <cell r="M802" t="str">
            <v>Ｋ　セラピールＭＤＡ（ＰＲＦ）Ｌ</v>
          </cell>
          <cell r="N802">
            <v>1336</v>
          </cell>
          <cell r="O802">
            <v>1325</v>
          </cell>
          <cell r="P802">
            <v>12000</v>
          </cell>
          <cell r="Q802">
            <v>2</v>
          </cell>
        </row>
        <row r="803">
          <cell r="A803">
            <v>3694089</v>
          </cell>
          <cell r="B803" t="str">
            <v>福島コーティング</v>
          </cell>
          <cell r="C803" t="str">
            <v>大阪光学機能材課</v>
          </cell>
          <cell r="D803" t="str">
            <v>ダミー担当者</v>
          </cell>
          <cell r="E803" t="str">
            <v>日東電工㈱尾道事業所</v>
          </cell>
          <cell r="F803">
            <v>3321</v>
          </cell>
          <cell r="G803" t="str">
            <v>S</v>
          </cell>
          <cell r="H803" t="str">
            <v>N</v>
          </cell>
          <cell r="I803" t="str">
            <v>CERA</v>
          </cell>
          <cell r="K803" t="str">
            <v>MDAPFL</v>
          </cell>
          <cell r="L803">
            <v>38</v>
          </cell>
          <cell r="M803" t="str">
            <v>Ｋ　セラピールＭＤＡ（ＰＲＦ）Ｌ</v>
          </cell>
          <cell r="N803">
            <v>1336</v>
          </cell>
          <cell r="O803">
            <v>1325</v>
          </cell>
          <cell r="P803">
            <v>12000</v>
          </cell>
          <cell r="Q803">
            <v>2</v>
          </cell>
        </row>
        <row r="804">
          <cell r="A804">
            <v>3694090</v>
          </cell>
          <cell r="B804" t="str">
            <v>福島コーティング</v>
          </cell>
          <cell r="C804" t="str">
            <v>大阪光学機能材課</v>
          </cell>
          <cell r="D804" t="str">
            <v>ダミー担当者</v>
          </cell>
          <cell r="E804" t="str">
            <v>日東電工㈱尾道事業所</v>
          </cell>
          <cell r="F804">
            <v>3321</v>
          </cell>
          <cell r="G804" t="str">
            <v>S</v>
          </cell>
          <cell r="H804" t="str">
            <v>N</v>
          </cell>
          <cell r="I804" t="str">
            <v>CERA</v>
          </cell>
          <cell r="K804" t="str">
            <v>MDACPFL</v>
          </cell>
          <cell r="L804">
            <v>38</v>
          </cell>
          <cell r="M804" t="str">
            <v>Ｋ　セラピールＭＤＡ（ＣＰＲＦ）Ｌ</v>
          </cell>
          <cell r="N804">
            <v>1336</v>
          </cell>
          <cell r="O804">
            <v>1325</v>
          </cell>
          <cell r="P804">
            <v>12000</v>
          </cell>
          <cell r="Q804">
            <v>2</v>
          </cell>
        </row>
        <row r="805">
          <cell r="A805">
            <v>3694091</v>
          </cell>
          <cell r="B805" t="str">
            <v>福島コーティング</v>
          </cell>
          <cell r="C805" t="str">
            <v>工材１部大阪電材課</v>
          </cell>
          <cell r="D805" t="str">
            <v>ダミー担当者</v>
          </cell>
          <cell r="E805" t="str">
            <v>日東電工㈱豊橋工場</v>
          </cell>
          <cell r="F805">
            <v>331</v>
          </cell>
          <cell r="G805" t="str">
            <v>S</v>
          </cell>
          <cell r="H805" t="str">
            <v>N</v>
          </cell>
          <cell r="I805" t="str">
            <v>CERA</v>
          </cell>
          <cell r="K805" t="str">
            <v>MD(A)R</v>
          </cell>
          <cell r="L805">
            <v>38</v>
          </cell>
          <cell r="M805" t="str">
            <v>セラピール　ＭＤ（Ａ）（Ｒ）</v>
          </cell>
          <cell r="N805">
            <v>1255</v>
          </cell>
          <cell r="O805">
            <v>1250</v>
          </cell>
          <cell r="P805">
            <v>6000</v>
          </cell>
          <cell r="Q805">
            <v>2</v>
          </cell>
        </row>
        <row r="806">
          <cell r="A806">
            <v>3694092</v>
          </cell>
          <cell r="B806" t="str">
            <v>福島コーティング</v>
          </cell>
          <cell r="C806" t="str">
            <v>工材１部電材課</v>
          </cell>
          <cell r="D806" t="str">
            <v>ダミー担当者</v>
          </cell>
          <cell r="E806" t="str">
            <v>パナック㈱亀山工場</v>
          </cell>
          <cell r="F806">
            <v>331</v>
          </cell>
          <cell r="G806" t="str">
            <v>S</v>
          </cell>
          <cell r="H806" t="str">
            <v>N</v>
          </cell>
          <cell r="I806" t="str">
            <v>CERA</v>
          </cell>
          <cell r="K806" t="str">
            <v>BKE09</v>
          </cell>
          <cell r="L806">
            <v>38</v>
          </cell>
          <cell r="M806" t="str">
            <v>セラピール　ＢＫＥ（０９）</v>
          </cell>
          <cell r="N806">
            <v>1337</v>
          </cell>
          <cell r="O806">
            <v>1330</v>
          </cell>
          <cell r="P806">
            <v>6000</v>
          </cell>
          <cell r="Q806">
            <v>2</v>
          </cell>
        </row>
        <row r="807">
          <cell r="A807">
            <v>3694093</v>
          </cell>
          <cell r="B807" t="str">
            <v>福島コーティング</v>
          </cell>
          <cell r="C807" t="str">
            <v>工材１部電材課</v>
          </cell>
          <cell r="D807" t="str">
            <v>ダミー担当者</v>
          </cell>
          <cell r="E807" t="str">
            <v>㈱巴川製紙所</v>
          </cell>
          <cell r="F807">
            <v>331</v>
          </cell>
          <cell r="G807" t="str">
            <v>S</v>
          </cell>
          <cell r="H807" t="str">
            <v>N</v>
          </cell>
          <cell r="I807" t="str">
            <v>CERA</v>
          </cell>
          <cell r="K807" t="str">
            <v>BKERXT</v>
          </cell>
          <cell r="L807">
            <v>25</v>
          </cell>
          <cell r="M807" t="str">
            <v>セラピール　ＢＫＥ（ＲＸ）</v>
          </cell>
          <cell r="N807">
            <v>1330</v>
          </cell>
          <cell r="O807">
            <v>1330</v>
          </cell>
          <cell r="P807">
            <v>6000</v>
          </cell>
          <cell r="Q807">
            <v>2</v>
          </cell>
        </row>
        <row r="808">
          <cell r="A808">
            <v>3694094</v>
          </cell>
          <cell r="B808" t="str">
            <v>福島コーティング</v>
          </cell>
          <cell r="C808" t="str">
            <v>工材１部電材課</v>
          </cell>
          <cell r="D808" t="str">
            <v>ダミー担当者</v>
          </cell>
          <cell r="E808" t="str">
            <v>㈱巴川製紙所</v>
          </cell>
          <cell r="F808">
            <v>331</v>
          </cell>
          <cell r="G808" t="str">
            <v>S</v>
          </cell>
          <cell r="H808" t="str">
            <v>N</v>
          </cell>
          <cell r="I808" t="str">
            <v>CERA</v>
          </cell>
          <cell r="K808" t="str">
            <v>BKERXT</v>
          </cell>
          <cell r="L808">
            <v>38</v>
          </cell>
          <cell r="M808" t="str">
            <v>セラピール　ＢＫＥ（ＲＸ）</v>
          </cell>
          <cell r="N808">
            <v>1330</v>
          </cell>
          <cell r="O808">
            <v>1330</v>
          </cell>
          <cell r="P808">
            <v>6000</v>
          </cell>
          <cell r="Q808">
            <v>2</v>
          </cell>
        </row>
        <row r="809">
          <cell r="A809">
            <v>3694095</v>
          </cell>
          <cell r="B809" t="str">
            <v>福島コーティング</v>
          </cell>
          <cell r="C809" t="str">
            <v>工材１部電材課</v>
          </cell>
          <cell r="D809" t="str">
            <v>ダミー担当者</v>
          </cell>
          <cell r="E809" t="str">
            <v>積水化学武蔵工場</v>
          </cell>
          <cell r="F809">
            <v>3</v>
          </cell>
          <cell r="G809" t="str">
            <v>S</v>
          </cell>
          <cell r="H809" t="str">
            <v>N</v>
          </cell>
          <cell r="I809" t="str">
            <v>CERA</v>
          </cell>
          <cell r="K809" t="str">
            <v>BKU</v>
          </cell>
          <cell r="L809">
            <v>25</v>
          </cell>
          <cell r="M809" t="str">
            <v>セラピ－ル　ＢＫ（Ｕ）</v>
          </cell>
          <cell r="N809">
            <v>890</v>
          </cell>
          <cell r="O809">
            <v>890</v>
          </cell>
          <cell r="P809">
            <v>3800</v>
          </cell>
          <cell r="Q809">
            <v>2</v>
          </cell>
        </row>
        <row r="810">
          <cell r="A810">
            <v>3694101</v>
          </cell>
          <cell r="B810" t="str">
            <v>福島コーティング</v>
          </cell>
          <cell r="C810" t="str">
            <v>工材３部工材２課</v>
          </cell>
          <cell r="D810" t="str">
            <v>ダミー担当者</v>
          </cell>
          <cell r="E810" t="str">
            <v>昭和電工マテリアルズ</v>
          </cell>
          <cell r="F810">
            <v>3</v>
          </cell>
          <cell r="G810" t="str">
            <v>S</v>
          </cell>
          <cell r="H810" t="str">
            <v>N</v>
          </cell>
          <cell r="I810" t="str">
            <v>CERANS</v>
          </cell>
          <cell r="K810" t="str">
            <v>PJ27103</v>
          </cell>
          <cell r="L810">
            <v>25</v>
          </cell>
          <cell r="M810" t="str">
            <v>セラピール　ＰＪ２７１（０３）</v>
          </cell>
          <cell r="N810">
            <v>1575</v>
          </cell>
          <cell r="O810">
            <v>1575</v>
          </cell>
          <cell r="P810">
            <v>12000</v>
          </cell>
          <cell r="Q810">
            <v>2</v>
          </cell>
        </row>
        <row r="811">
          <cell r="A811">
            <v>3694108</v>
          </cell>
          <cell r="B811" t="str">
            <v>福島コーティング</v>
          </cell>
          <cell r="C811" t="str">
            <v>プロセス材１課</v>
          </cell>
          <cell r="D811" t="str">
            <v>ダミー担当者</v>
          </cell>
          <cell r="E811" t="str">
            <v>リンテック㈱</v>
          </cell>
          <cell r="F811">
            <v>3</v>
          </cell>
          <cell r="G811" t="str">
            <v>S</v>
          </cell>
          <cell r="H811" t="str">
            <v>N</v>
          </cell>
          <cell r="I811" t="str">
            <v>CLB</v>
          </cell>
          <cell r="K811" t="str">
            <v>PETMV</v>
          </cell>
          <cell r="L811">
            <v>25</v>
          </cell>
          <cell r="M811" t="str">
            <v>ＰＥＴ　マットＶ</v>
          </cell>
          <cell r="N811">
            <v>1005</v>
          </cell>
          <cell r="O811">
            <v>1000</v>
          </cell>
          <cell r="P811">
            <v>4000</v>
          </cell>
          <cell r="Q811">
            <v>2</v>
          </cell>
        </row>
        <row r="812">
          <cell r="A812">
            <v>3694118</v>
          </cell>
          <cell r="B812" t="str">
            <v>福島コーティング</v>
          </cell>
          <cell r="C812" t="str">
            <v>プロセス材１課</v>
          </cell>
          <cell r="D812" t="str">
            <v>ダミー担当者</v>
          </cell>
          <cell r="E812" t="str">
            <v>リンテック㈱</v>
          </cell>
          <cell r="F812">
            <v>3</v>
          </cell>
          <cell r="G812" t="str">
            <v>S</v>
          </cell>
          <cell r="H812" t="str">
            <v>N</v>
          </cell>
          <cell r="I812" t="str">
            <v>CLB</v>
          </cell>
          <cell r="K812" t="str">
            <v>E20V</v>
          </cell>
          <cell r="L812">
            <v>75</v>
          </cell>
          <cell r="M812" t="str">
            <v>ルミラー　Ｅ－２０　Ｖ</v>
          </cell>
          <cell r="N812">
            <v>1002</v>
          </cell>
          <cell r="O812">
            <v>1000</v>
          </cell>
          <cell r="P812">
            <v>3000</v>
          </cell>
          <cell r="Q812">
            <v>2</v>
          </cell>
        </row>
        <row r="813">
          <cell r="A813">
            <v>3697622</v>
          </cell>
          <cell r="B813" t="str">
            <v>福島コーティング</v>
          </cell>
          <cell r="C813" t="str">
            <v>工材１部電材課</v>
          </cell>
          <cell r="D813" t="str">
            <v>ダミー担当者</v>
          </cell>
          <cell r="E813" t="str">
            <v>積水化学武蔵工場</v>
          </cell>
          <cell r="F813">
            <v>3</v>
          </cell>
          <cell r="G813" t="str">
            <v>S</v>
          </cell>
          <cell r="H813" t="str">
            <v>N</v>
          </cell>
          <cell r="I813" t="str">
            <v>CERA</v>
          </cell>
          <cell r="K813" t="str">
            <v>BKU</v>
          </cell>
          <cell r="L813">
            <v>25</v>
          </cell>
          <cell r="M813" t="str">
            <v>セラピ－ル　ＢＫ（Ｕ）</v>
          </cell>
          <cell r="N813">
            <v>890</v>
          </cell>
          <cell r="O813">
            <v>890</v>
          </cell>
          <cell r="P813">
            <v>3800</v>
          </cell>
          <cell r="Q813">
            <v>2</v>
          </cell>
        </row>
        <row r="814">
          <cell r="A814">
            <v>3697623</v>
          </cell>
          <cell r="B814" t="str">
            <v>福島コーティング</v>
          </cell>
          <cell r="C814" t="str">
            <v>工材１部電材課</v>
          </cell>
          <cell r="D814" t="str">
            <v>ダミー担当者</v>
          </cell>
          <cell r="E814" t="str">
            <v>パナック㈱亀山工場</v>
          </cell>
          <cell r="F814">
            <v>3</v>
          </cell>
          <cell r="G814" t="str">
            <v>S</v>
          </cell>
          <cell r="H814" t="str">
            <v>N</v>
          </cell>
          <cell r="I814" t="str">
            <v>CERA</v>
          </cell>
          <cell r="K814" t="str">
            <v>BKE09</v>
          </cell>
          <cell r="L814">
            <v>38</v>
          </cell>
          <cell r="M814" t="str">
            <v>セラピール　ＢＫＥ（０９）</v>
          </cell>
          <cell r="N814">
            <v>1037</v>
          </cell>
          <cell r="O814">
            <v>1030</v>
          </cell>
          <cell r="P814">
            <v>8500</v>
          </cell>
          <cell r="Q814">
            <v>2</v>
          </cell>
        </row>
        <row r="815">
          <cell r="A815">
            <v>3697624</v>
          </cell>
          <cell r="B815" t="str">
            <v>福島コーティング</v>
          </cell>
          <cell r="C815" t="str">
            <v>工材１部電材課</v>
          </cell>
          <cell r="D815" t="str">
            <v>ダミー担当者</v>
          </cell>
          <cell r="E815" t="str">
            <v>パナック㈱亀山工場</v>
          </cell>
          <cell r="F815">
            <v>3</v>
          </cell>
          <cell r="G815" t="str">
            <v>S</v>
          </cell>
          <cell r="H815" t="str">
            <v>N</v>
          </cell>
          <cell r="I815" t="str">
            <v>CERA</v>
          </cell>
          <cell r="K815" t="str">
            <v>BKE09</v>
          </cell>
          <cell r="L815">
            <v>38</v>
          </cell>
          <cell r="M815" t="str">
            <v>セラピール　ＢＫＥ（０９）</v>
          </cell>
          <cell r="N815">
            <v>1057</v>
          </cell>
          <cell r="O815">
            <v>1050</v>
          </cell>
          <cell r="P815">
            <v>8400</v>
          </cell>
          <cell r="Q815">
            <v>2</v>
          </cell>
        </row>
        <row r="816">
          <cell r="A816">
            <v>3697625</v>
          </cell>
          <cell r="B816" t="str">
            <v>福島コーティング</v>
          </cell>
          <cell r="C816" t="str">
            <v>工材１部電材課</v>
          </cell>
          <cell r="D816" t="str">
            <v>ダミー担当者</v>
          </cell>
          <cell r="E816" t="str">
            <v>パナック㈱亀山工場</v>
          </cell>
          <cell r="F816">
            <v>331</v>
          </cell>
          <cell r="G816" t="str">
            <v>S</v>
          </cell>
          <cell r="H816" t="str">
            <v>N</v>
          </cell>
          <cell r="I816" t="str">
            <v>CERA</v>
          </cell>
          <cell r="K816" t="str">
            <v>BKERXPT</v>
          </cell>
          <cell r="L816">
            <v>38</v>
          </cell>
          <cell r="M816" t="str">
            <v>セラピール　ＢＫＥ（ＲＸ）</v>
          </cell>
          <cell r="N816">
            <v>1330</v>
          </cell>
          <cell r="O816">
            <v>1330</v>
          </cell>
          <cell r="P816">
            <v>6000</v>
          </cell>
          <cell r="Q816">
            <v>2</v>
          </cell>
        </row>
        <row r="817">
          <cell r="A817">
            <v>3697626</v>
          </cell>
          <cell r="B817" t="str">
            <v>福島コーティング</v>
          </cell>
          <cell r="C817" t="str">
            <v>工材１部電材課</v>
          </cell>
          <cell r="D817" t="str">
            <v>ダミー担当者</v>
          </cell>
          <cell r="E817" t="str">
            <v>㈱巴川製紙所</v>
          </cell>
          <cell r="F817">
            <v>331</v>
          </cell>
          <cell r="G817" t="str">
            <v>S</v>
          </cell>
          <cell r="H817" t="str">
            <v>N</v>
          </cell>
          <cell r="I817" t="str">
            <v>CERA</v>
          </cell>
          <cell r="K817" t="str">
            <v>BKERXT</v>
          </cell>
          <cell r="L817">
            <v>25</v>
          </cell>
          <cell r="M817" t="str">
            <v>セラピール　ＢＫＥ（ＲＸ）</v>
          </cell>
          <cell r="N817">
            <v>1330</v>
          </cell>
          <cell r="O817">
            <v>1330</v>
          </cell>
          <cell r="P817">
            <v>6000</v>
          </cell>
          <cell r="Q817">
            <v>2</v>
          </cell>
        </row>
        <row r="818">
          <cell r="A818">
            <v>3697627</v>
          </cell>
          <cell r="B818" t="str">
            <v>福島コーティング</v>
          </cell>
          <cell r="C818" t="str">
            <v>工材１部電材課</v>
          </cell>
          <cell r="D818" t="str">
            <v>ダミー担当者</v>
          </cell>
          <cell r="E818" t="str">
            <v>㈱巴川製紙所</v>
          </cell>
          <cell r="F818">
            <v>331</v>
          </cell>
          <cell r="G818" t="str">
            <v>S</v>
          </cell>
          <cell r="H818" t="str">
            <v>N</v>
          </cell>
          <cell r="I818" t="str">
            <v>CERA</v>
          </cell>
          <cell r="K818" t="str">
            <v>BKERXT</v>
          </cell>
          <cell r="L818">
            <v>38</v>
          </cell>
          <cell r="M818" t="str">
            <v>セラピール　ＢＫＥ（ＲＸ）</v>
          </cell>
          <cell r="N818">
            <v>1330</v>
          </cell>
          <cell r="O818">
            <v>1330</v>
          </cell>
          <cell r="P818">
            <v>6000</v>
          </cell>
          <cell r="Q818">
            <v>2</v>
          </cell>
        </row>
        <row r="819">
          <cell r="A819">
            <v>3697628</v>
          </cell>
          <cell r="B819" t="str">
            <v>福島コーティング</v>
          </cell>
          <cell r="C819" t="str">
            <v>工材１部大阪電材課</v>
          </cell>
          <cell r="D819" t="str">
            <v>ダミー担当者</v>
          </cell>
          <cell r="E819" t="str">
            <v>利昌工業　尼崎工場</v>
          </cell>
          <cell r="F819">
            <v>3</v>
          </cell>
          <cell r="G819" t="str">
            <v>S</v>
          </cell>
          <cell r="H819" t="str">
            <v>N</v>
          </cell>
          <cell r="I819" t="str">
            <v>CERA</v>
          </cell>
          <cell r="K819" t="str">
            <v>BX8ARX</v>
          </cell>
          <cell r="L819">
            <v>25</v>
          </cell>
          <cell r="M819" t="str">
            <v>セラピール　ＢＸ８Ａ（ＲＸ）</v>
          </cell>
          <cell r="N819">
            <v>740</v>
          </cell>
          <cell r="O819">
            <v>740</v>
          </cell>
          <cell r="P819">
            <v>2100</v>
          </cell>
          <cell r="Q819">
            <v>1</v>
          </cell>
        </row>
        <row r="820">
          <cell r="A820">
            <v>3697629</v>
          </cell>
          <cell r="B820" t="str">
            <v>福島コーティング</v>
          </cell>
          <cell r="C820" t="str">
            <v>工材１部電材課</v>
          </cell>
          <cell r="D820" t="str">
            <v>ダミー担当者</v>
          </cell>
          <cell r="E820" t="str">
            <v>㈱巴川製紙所</v>
          </cell>
          <cell r="F820">
            <v>331</v>
          </cell>
          <cell r="G820" t="str">
            <v>S</v>
          </cell>
          <cell r="H820" t="str">
            <v>N</v>
          </cell>
          <cell r="I820" t="str">
            <v>CERA</v>
          </cell>
          <cell r="K820" t="str">
            <v>BX8ARXT</v>
          </cell>
          <cell r="L820">
            <v>38</v>
          </cell>
          <cell r="M820" t="str">
            <v>セラピール　ＢＸ８ＡＲＸ</v>
          </cell>
          <cell r="N820">
            <v>1330</v>
          </cell>
          <cell r="O820">
            <v>1330</v>
          </cell>
          <cell r="P820">
            <v>6000</v>
          </cell>
          <cell r="Q820">
            <v>2</v>
          </cell>
        </row>
        <row r="821">
          <cell r="A821">
            <v>3697630</v>
          </cell>
          <cell r="B821" t="str">
            <v>福島コーティング</v>
          </cell>
          <cell r="C821" t="str">
            <v>工材１部電材課</v>
          </cell>
          <cell r="D821" t="str">
            <v>ダミー担当者</v>
          </cell>
          <cell r="E821" t="str">
            <v>㈱巴川製紙所</v>
          </cell>
          <cell r="F821">
            <v>3</v>
          </cell>
          <cell r="G821" t="str">
            <v>S</v>
          </cell>
          <cell r="H821" t="str">
            <v>N</v>
          </cell>
          <cell r="I821" t="str">
            <v>CERA</v>
          </cell>
          <cell r="K821" t="str">
            <v>BX8AX</v>
          </cell>
          <cell r="L821">
            <v>75</v>
          </cell>
          <cell r="M821" t="str">
            <v>セラピール　　　　　　　　　　　ＢＸ８Ａ（Ｘ）</v>
          </cell>
          <cell r="N821">
            <v>1330</v>
          </cell>
          <cell r="O821">
            <v>1330</v>
          </cell>
          <cell r="P821">
            <v>4100</v>
          </cell>
          <cell r="Q821">
            <v>2</v>
          </cell>
        </row>
        <row r="822">
          <cell r="A822">
            <v>3697631</v>
          </cell>
          <cell r="B822" t="str">
            <v>福島コーティング</v>
          </cell>
          <cell r="C822" t="str">
            <v>工材１部電材課</v>
          </cell>
          <cell r="D822" t="str">
            <v>ダミー担当者</v>
          </cell>
          <cell r="E822" t="str">
            <v>パナック㈱亀山工場</v>
          </cell>
          <cell r="F822">
            <v>331</v>
          </cell>
          <cell r="G822" t="str">
            <v>S</v>
          </cell>
          <cell r="H822" t="str">
            <v>N</v>
          </cell>
          <cell r="I822" t="str">
            <v>CERA</v>
          </cell>
          <cell r="K822" t="str">
            <v>BX8ARXA</v>
          </cell>
          <cell r="L822">
            <v>38</v>
          </cell>
          <cell r="M822" t="str">
            <v>セラピール　ＢＸ８ＡＲＸ</v>
          </cell>
          <cell r="N822">
            <v>1330</v>
          </cell>
          <cell r="O822">
            <v>1330</v>
          </cell>
          <cell r="P822">
            <v>6000</v>
          </cell>
          <cell r="Q822">
            <v>2</v>
          </cell>
        </row>
        <row r="823">
          <cell r="A823">
            <v>3697632</v>
          </cell>
          <cell r="B823" t="str">
            <v>福島コーティング</v>
          </cell>
          <cell r="C823" t="str">
            <v>工材１部電材課</v>
          </cell>
          <cell r="D823" t="str">
            <v>ダミー担当者</v>
          </cell>
          <cell r="E823" t="str">
            <v>パナック㈱亀山工場</v>
          </cell>
          <cell r="F823">
            <v>331</v>
          </cell>
          <cell r="G823" t="str">
            <v>S</v>
          </cell>
          <cell r="H823" t="str">
            <v>N</v>
          </cell>
          <cell r="I823" t="str">
            <v>CERA</v>
          </cell>
          <cell r="K823" t="str">
            <v>BX8ARXA</v>
          </cell>
          <cell r="L823">
            <v>38</v>
          </cell>
          <cell r="M823" t="str">
            <v>セラピール　ＢＸ８ＡＲＸ</v>
          </cell>
          <cell r="N823">
            <v>1330</v>
          </cell>
          <cell r="O823">
            <v>1330</v>
          </cell>
          <cell r="P823">
            <v>6000</v>
          </cell>
          <cell r="Q823">
            <v>2</v>
          </cell>
        </row>
        <row r="824">
          <cell r="A824">
            <v>3697633</v>
          </cell>
          <cell r="B824" t="str">
            <v>情材福島原価</v>
          </cell>
          <cell r="C824" t="str">
            <v>プロセス材２課</v>
          </cell>
          <cell r="D824" t="str">
            <v>ダミー担当者</v>
          </cell>
          <cell r="E824" t="str">
            <v>日榮新化㈱</v>
          </cell>
          <cell r="F824">
            <v>331</v>
          </cell>
          <cell r="G824" t="str">
            <v>T</v>
          </cell>
          <cell r="H824" t="str">
            <v>N</v>
          </cell>
          <cell r="I824" t="str">
            <v>CERA</v>
          </cell>
          <cell r="K824" t="str">
            <v>WZS</v>
          </cell>
          <cell r="L824">
            <v>25</v>
          </cell>
          <cell r="M824" t="str">
            <v>セラピールＷＺ（Ｓ）</v>
          </cell>
          <cell r="N824">
            <v>1425</v>
          </cell>
          <cell r="O824">
            <v>1420</v>
          </cell>
          <cell r="P824">
            <v>12400</v>
          </cell>
          <cell r="Q824">
            <v>2</v>
          </cell>
        </row>
        <row r="825">
          <cell r="A825">
            <v>3697634</v>
          </cell>
          <cell r="B825" t="str">
            <v>情材福島原価</v>
          </cell>
          <cell r="C825" t="str">
            <v>工材１部電材課</v>
          </cell>
          <cell r="D825" t="str">
            <v>ダミー担当者</v>
          </cell>
          <cell r="E825" t="str">
            <v>藤産業㈱</v>
          </cell>
          <cell r="F825">
            <v>3</v>
          </cell>
          <cell r="G825" t="str">
            <v>T</v>
          </cell>
          <cell r="H825" t="str">
            <v>N</v>
          </cell>
          <cell r="I825" t="str">
            <v>CERA</v>
          </cell>
          <cell r="K825" t="str">
            <v>WZ34</v>
          </cell>
          <cell r="L825">
            <v>25</v>
          </cell>
          <cell r="M825" t="str">
            <v>セラピール　ＷＺ（３４）</v>
          </cell>
          <cell r="N825">
            <v>1410</v>
          </cell>
          <cell r="O825">
            <v>1410</v>
          </cell>
          <cell r="P825">
            <v>6000</v>
          </cell>
          <cell r="Q825">
            <v>2</v>
          </cell>
        </row>
        <row r="826">
          <cell r="A826">
            <v>3697635</v>
          </cell>
          <cell r="B826" t="str">
            <v>福島コーティング</v>
          </cell>
          <cell r="C826" t="str">
            <v>プロセス材１課</v>
          </cell>
          <cell r="D826" t="str">
            <v>ダミー担当者</v>
          </cell>
          <cell r="E826" t="str">
            <v>リンテック㈱</v>
          </cell>
          <cell r="F826">
            <v>3</v>
          </cell>
          <cell r="G826" t="str">
            <v>S</v>
          </cell>
          <cell r="H826" t="str">
            <v>N</v>
          </cell>
          <cell r="I826" t="str">
            <v>CERA</v>
          </cell>
          <cell r="K826" t="str">
            <v>WZS</v>
          </cell>
          <cell r="L826">
            <v>38</v>
          </cell>
          <cell r="M826" t="str">
            <v>セラピール　　　　　　　　　　　ＷＺ（Ｓ）</v>
          </cell>
          <cell r="N826">
            <v>1415</v>
          </cell>
          <cell r="O826">
            <v>1410</v>
          </cell>
          <cell r="P826">
            <v>8000</v>
          </cell>
          <cell r="Q826">
            <v>2</v>
          </cell>
        </row>
        <row r="827">
          <cell r="A827">
            <v>3697636</v>
          </cell>
          <cell r="B827" t="str">
            <v>福島コーティング</v>
          </cell>
          <cell r="C827" t="str">
            <v>工材１部電材課</v>
          </cell>
          <cell r="D827" t="str">
            <v>ダミー担当者</v>
          </cell>
          <cell r="E827" t="str">
            <v>古河電気工業㈱</v>
          </cell>
          <cell r="F827">
            <v>3</v>
          </cell>
          <cell r="G827" t="str">
            <v>S</v>
          </cell>
          <cell r="H827" t="str">
            <v>N</v>
          </cell>
          <cell r="I827" t="str">
            <v>CERA</v>
          </cell>
          <cell r="K827" t="str">
            <v>WZE</v>
          </cell>
          <cell r="L827">
            <v>38</v>
          </cell>
          <cell r="M827" t="str">
            <v>セラピール　　　　　　　　　　　ＷＺ（Ｅ）</v>
          </cell>
          <cell r="N827">
            <v>1240</v>
          </cell>
          <cell r="O827">
            <v>1240</v>
          </cell>
          <cell r="P827">
            <v>6000</v>
          </cell>
          <cell r="Q827">
            <v>2</v>
          </cell>
        </row>
        <row r="828">
          <cell r="A828">
            <v>3697637</v>
          </cell>
          <cell r="B828" t="str">
            <v>情材福島原価</v>
          </cell>
          <cell r="C828" t="str">
            <v>プロセス材２課</v>
          </cell>
          <cell r="D828" t="str">
            <v>ダミー担当者</v>
          </cell>
          <cell r="E828" t="str">
            <v>日榮新化㈱</v>
          </cell>
          <cell r="F828">
            <v>3</v>
          </cell>
          <cell r="G828" t="str">
            <v>T</v>
          </cell>
          <cell r="H828" t="str">
            <v>N</v>
          </cell>
          <cell r="I828" t="str">
            <v>CERA</v>
          </cell>
          <cell r="K828" t="str">
            <v>WZS</v>
          </cell>
          <cell r="L828">
            <v>25</v>
          </cell>
          <cell r="M828" t="str">
            <v>セラピールＷＺ（Ｓ）</v>
          </cell>
          <cell r="N828">
            <v>1155</v>
          </cell>
          <cell r="O828">
            <v>1150</v>
          </cell>
          <cell r="P828">
            <v>4200</v>
          </cell>
          <cell r="Q828">
            <v>2</v>
          </cell>
        </row>
        <row r="829">
          <cell r="A829">
            <v>3697638</v>
          </cell>
          <cell r="B829" t="str">
            <v>福島コーティング</v>
          </cell>
          <cell r="C829" t="str">
            <v>工材１部電材課</v>
          </cell>
          <cell r="D829" t="str">
            <v>ダミー担当者</v>
          </cell>
          <cell r="E829" t="str">
            <v>東洋包材㈱</v>
          </cell>
          <cell r="F829">
            <v>3</v>
          </cell>
          <cell r="G829" t="str">
            <v>S</v>
          </cell>
          <cell r="H829" t="str">
            <v>N</v>
          </cell>
          <cell r="I829" t="str">
            <v>CERA</v>
          </cell>
          <cell r="K829" t="str">
            <v>WZRX</v>
          </cell>
          <cell r="L829">
            <v>38</v>
          </cell>
          <cell r="M829" t="str">
            <v>セラピール　ＷＺ（ＲＸ）　　　　　　</v>
          </cell>
          <cell r="N829">
            <v>1135</v>
          </cell>
          <cell r="O829">
            <v>1130</v>
          </cell>
          <cell r="P829">
            <v>6000</v>
          </cell>
          <cell r="Q829">
            <v>2</v>
          </cell>
        </row>
        <row r="830">
          <cell r="A830">
            <v>3697639</v>
          </cell>
          <cell r="B830" t="str">
            <v>福島コーティング</v>
          </cell>
          <cell r="C830" t="str">
            <v>工材１部電材課</v>
          </cell>
          <cell r="D830" t="str">
            <v>ダミー担当者</v>
          </cell>
          <cell r="E830" t="str">
            <v>パナック㈱亀山工場</v>
          </cell>
          <cell r="F830">
            <v>3</v>
          </cell>
          <cell r="G830" t="str">
            <v>S</v>
          </cell>
          <cell r="H830" t="str">
            <v>N</v>
          </cell>
          <cell r="I830" t="str">
            <v>CERA</v>
          </cell>
          <cell r="K830" t="str">
            <v>WZ</v>
          </cell>
          <cell r="L830">
            <v>25</v>
          </cell>
          <cell r="M830" t="str">
            <v>セラピール　　　　　　　　　　　ＷＺ</v>
          </cell>
          <cell r="N830">
            <v>1100</v>
          </cell>
          <cell r="O830">
            <v>1100</v>
          </cell>
          <cell r="P830">
            <v>12000</v>
          </cell>
          <cell r="Q830">
            <v>2</v>
          </cell>
        </row>
        <row r="831">
          <cell r="A831">
            <v>3697640</v>
          </cell>
          <cell r="B831" t="str">
            <v>福島コーティング</v>
          </cell>
          <cell r="C831" t="str">
            <v>工材１部電材課</v>
          </cell>
          <cell r="D831" t="str">
            <v>ダミー担当者</v>
          </cell>
          <cell r="E831" t="str">
            <v>古河電気工業㈱</v>
          </cell>
          <cell r="F831">
            <v>3</v>
          </cell>
          <cell r="G831" t="str">
            <v>S</v>
          </cell>
          <cell r="H831" t="str">
            <v>N</v>
          </cell>
          <cell r="I831" t="str">
            <v>CERA</v>
          </cell>
          <cell r="K831" t="str">
            <v>WZE</v>
          </cell>
          <cell r="L831">
            <v>25</v>
          </cell>
          <cell r="M831" t="str">
            <v>セラピール　　　　　　　　　　　ＷＺ（Ｅ）</v>
          </cell>
          <cell r="N831">
            <v>1040</v>
          </cell>
          <cell r="O831">
            <v>1040</v>
          </cell>
          <cell r="P831">
            <v>6000</v>
          </cell>
          <cell r="Q831">
            <v>2</v>
          </cell>
        </row>
        <row r="832">
          <cell r="A832">
            <v>3697641</v>
          </cell>
          <cell r="B832" t="str">
            <v>福島コーティング</v>
          </cell>
          <cell r="C832" t="str">
            <v>工材１部大阪電材課</v>
          </cell>
          <cell r="D832" t="str">
            <v>ダミー担当者</v>
          </cell>
          <cell r="E832" t="str">
            <v>日東電工㈱豊橋工場</v>
          </cell>
          <cell r="F832">
            <v>3313</v>
          </cell>
          <cell r="G832" t="str">
            <v>S</v>
          </cell>
          <cell r="H832" t="str">
            <v>N</v>
          </cell>
          <cell r="I832" t="str">
            <v>CERA</v>
          </cell>
          <cell r="K832" t="str">
            <v>MD(A)R</v>
          </cell>
          <cell r="L832">
            <v>38</v>
          </cell>
          <cell r="M832" t="str">
            <v>セラピール　ＭＤ（Ａ）（Ｒ）</v>
          </cell>
          <cell r="N832">
            <v>750</v>
          </cell>
          <cell r="O832">
            <v>750</v>
          </cell>
          <cell r="P832">
            <v>6000</v>
          </cell>
          <cell r="Q832">
            <v>2</v>
          </cell>
        </row>
        <row r="833">
          <cell r="A833">
            <v>3697642</v>
          </cell>
          <cell r="B833" t="str">
            <v>福島コーティング</v>
          </cell>
          <cell r="C833" t="str">
            <v>大阪光学機能材課</v>
          </cell>
          <cell r="D833" t="str">
            <v>ダミー担当者</v>
          </cell>
          <cell r="E833" t="str">
            <v>日東電工㈱尾道事業所</v>
          </cell>
          <cell r="F833">
            <v>3321</v>
          </cell>
          <cell r="G833" t="str">
            <v>S</v>
          </cell>
          <cell r="H833" t="str">
            <v>N</v>
          </cell>
          <cell r="I833" t="str">
            <v>CERA</v>
          </cell>
          <cell r="K833" t="str">
            <v>MDAPFL</v>
          </cell>
          <cell r="L833">
            <v>38</v>
          </cell>
          <cell r="M833" t="str">
            <v>Ｋ　セラピールＭＤＡ（ＰＲＦ）Ｌ</v>
          </cell>
          <cell r="N833">
            <v>1336</v>
          </cell>
          <cell r="O833">
            <v>1325</v>
          </cell>
          <cell r="P833">
            <v>12000</v>
          </cell>
          <cell r="Q833">
            <v>2</v>
          </cell>
        </row>
        <row r="834">
          <cell r="A834">
            <v>3697643</v>
          </cell>
          <cell r="B834" t="str">
            <v>福島コーティング</v>
          </cell>
          <cell r="C834" t="str">
            <v>大阪光学機能材課</v>
          </cell>
          <cell r="D834" t="str">
            <v>ダミー担当者</v>
          </cell>
          <cell r="E834" t="str">
            <v>日東電工㈱尾道事業所</v>
          </cell>
          <cell r="F834">
            <v>3321</v>
          </cell>
          <cell r="G834" t="str">
            <v>S</v>
          </cell>
          <cell r="H834" t="str">
            <v>N</v>
          </cell>
          <cell r="I834" t="str">
            <v>CERA</v>
          </cell>
          <cell r="K834" t="str">
            <v>MDACPFL</v>
          </cell>
          <cell r="L834">
            <v>38</v>
          </cell>
          <cell r="M834" t="str">
            <v>Ｋ　セラピールＭＤＡ（ＣＰＲＦ）Ｌ</v>
          </cell>
          <cell r="N834">
            <v>1336</v>
          </cell>
          <cell r="O834">
            <v>1325</v>
          </cell>
          <cell r="P834">
            <v>12000</v>
          </cell>
          <cell r="Q834">
            <v>2</v>
          </cell>
        </row>
        <row r="835">
          <cell r="A835">
            <v>3697644</v>
          </cell>
          <cell r="B835" t="str">
            <v>福島コーティング</v>
          </cell>
          <cell r="C835" t="str">
            <v>大阪光学機能材課</v>
          </cell>
          <cell r="D835" t="str">
            <v>ダミー担当者</v>
          </cell>
          <cell r="E835" t="str">
            <v>日東電工㈱尾道事業所</v>
          </cell>
          <cell r="F835">
            <v>3321</v>
          </cell>
          <cell r="G835" t="str">
            <v>S</v>
          </cell>
          <cell r="H835" t="str">
            <v>N</v>
          </cell>
          <cell r="I835" t="str">
            <v>CERA</v>
          </cell>
          <cell r="K835" t="str">
            <v>MDACPFL</v>
          </cell>
          <cell r="L835">
            <v>38</v>
          </cell>
          <cell r="M835" t="str">
            <v>Ｋ　セラピールＭＤＡ（ＣＰＲＦ）Ｌ</v>
          </cell>
          <cell r="N835">
            <v>1336</v>
          </cell>
          <cell r="O835">
            <v>1325</v>
          </cell>
          <cell r="P835">
            <v>12000</v>
          </cell>
          <cell r="Q835">
            <v>2</v>
          </cell>
        </row>
        <row r="836">
          <cell r="A836">
            <v>3697645</v>
          </cell>
          <cell r="B836" t="str">
            <v>福島コーティング</v>
          </cell>
          <cell r="C836" t="str">
            <v>大阪光学機能材課</v>
          </cell>
          <cell r="D836" t="str">
            <v>ダミー担当者</v>
          </cell>
          <cell r="E836" t="str">
            <v>日東電工㈱尾道事業所</v>
          </cell>
          <cell r="F836">
            <v>3321</v>
          </cell>
          <cell r="G836" t="str">
            <v>S</v>
          </cell>
          <cell r="H836" t="str">
            <v>N</v>
          </cell>
          <cell r="I836" t="str">
            <v>CERA</v>
          </cell>
          <cell r="K836" t="str">
            <v>MDAPFL</v>
          </cell>
          <cell r="L836">
            <v>38</v>
          </cell>
          <cell r="M836" t="str">
            <v>Ｋ　セラピールＭＤＡ（ＰＲＦ）Ｌ</v>
          </cell>
          <cell r="N836">
            <v>1336</v>
          </cell>
          <cell r="O836">
            <v>1325</v>
          </cell>
          <cell r="P836">
            <v>12000</v>
          </cell>
          <cell r="Q836">
            <v>2</v>
          </cell>
        </row>
        <row r="837">
          <cell r="A837">
            <v>3697646</v>
          </cell>
          <cell r="B837" t="str">
            <v>福島コーティング</v>
          </cell>
          <cell r="C837" t="str">
            <v>工材１部大阪電材課</v>
          </cell>
          <cell r="D837" t="str">
            <v>ダミー担当者</v>
          </cell>
          <cell r="E837" t="str">
            <v>日東電工㈱豊橋工場</v>
          </cell>
          <cell r="F837">
            <v>331</v>
          </cell>
          <cell r="G837" t="str">
            <v>S</v>
          </cell>
          <cell r="H837" t="str">
            <v>N</v>
          </cell>
          <cell r="I837" t="str">
            <v>CERA</v>
          </cell>
          <cell r="K837" t="str">
            <v>MD(A)R</v>
          </cell>
          <cell r="L837">
            <v>38</v>
          </cell>
          <cell r="M837" t="str">
            <v>セラピール　ＭＤ（Ａ）（Ｒ）</v>
          </cell>
          <cell r="N837">
            <v>1255</v>
          </cell>
          <cell r="O837">
            <v>1250</v>
          </cell>
          <cell r="P837">
            <v>6000</v>
          </cell>
          <cell r="Q837">
            <v>2</v>
          </cell>
        </row>
        <row r="838">
          <cell r="A838">
            <v>3697648</v>
          </cell>
          <cell r="B838" t="str">
            <v>福島コーティング</v>
          </cell>
          <cell r="C838" t="str">
            <v>工材１部電材課</v>
          </cell>
          <cell r="D838" t="str">
            <v>ダミー担当者</v>
          </cell>
          <cell r="E838" t="str">
            <v>㈱三共プラス</v>
          </cell>
          <cell r="F838">
            <v>3</v>
          </cell>
          <cell r="G838" t="str">
            <v>S</v>
          </cell>
          <cell r="H838" t="str">
            <v>N</v>
          </cell>
          <cell r="I838" t="str">
            <v>TTP</v>
          </cell>
          <cell r="K838" t="str">
            <v>B2T0</v>
          </cell>
          <cell r="L838">
            <v>100</v>
          </cell>
          <cell r="M838" t="str">
            <v>タフトップ　Ｂ２Ｔ０</v>
          </cell>
          <cell r="N838">
            <v>1000</v>
          </cell>
          <cell r="O838">
            <v>1000</v>
          </cell>
          <cell r="P838">
            <v>1000</v>
          </cell>
          <cell r="Q838">
            <v>2</v>
          </cell>
        </row>
        <row r="839">
          <cell r="A839">
            <v>3697649</v>
          </cell>
          <cell r="B839" t="str">
            <v>福島コーティング</v>
          </cell>
          <cell r="C839" t="str">
            <v>工材１部電材課</v>
          </cell>
          <cell r="D839" t="str">
            <v>ダミー担当者</v>
          </cell>
          <cell r="E839" t="str">
            <v>㈱三共プラス</v>
          </cell>
          <cell r="F839">
            <v>3</v>
          </cell>
          <cell r="G839" t="str">
            <v>S</v>
          </cell>
          <cell r="H839" t="str">
            <v>N</v>
          </cell>
          <cell r="I839" t="str">
            <v>TTP</v>
          </cell>
          <cell r="K839" t="str">
            <v>B2T0</v>
          </cell>
          <cell r="L839">
            <v>125</v>
          </cell>
          <cell r="M839" t="str">
            <v>タフトップ　Ｂ２Ｔ０</v>
          </cell>
          <cell r="N839">
            <v>1000</v>
          </cell>
          <cell r="O839">
            <v>1000</v>
          </cell>
          <cell r="P839">
            <v>1000</v>
          </cell>
          <cell r="Q839">
            <v>2</v>
          </cell>
        </row>
        <row r="840">
          <cell r="A840">
            <v>3697650</v>
          </cell>
          <cell r="B840" t="str">
            <v>福島コーティング</v>
          </cell>
          <cell r="C840" t="str">
            <v>工材１部電材課</v>
          </cell>
          <cell r="D840" t="str">
            <v>ダミー担当者</v>
          </cell>
          <cell r="E840" t="str">
            <v>㈱三共プラス</v>
          </cell>
          <cell r="F840">
            <v>3</v>
          </cell>
          <cell r="G840" t="str">
            <v>S</v>
          </cell>
          <cell r="H840" t="str">
            <v>N</v>
          </cell>
          <cell r="I840" t="str">
            <v>TTP</v>
          </cell>
          <cell r="K840" t="str">
            <v>B2T0</v>
          </cell>
          <cell r="L840">
            <v>188</v>
          </cell>
          <cell r="M840" t="str">
            <v>タフトップ　Ｂ２Ｔ０</v>
          </cell>
          <cell r="N840">
            <v>1000</v>
          </cell>
          <cell r="O840">
            <v>1000</v>
          </cell>
          <cell r="P840">
            <v>1000</v>
          </cell>
          <cell r="Q840">
            <v>2</v>
          </cell>
        </row>
        <row r="841">
          <cell r="A841">
            <v>3697652</v>
          </cell>
          <cell r="B841" t="str">
            <v>福島コーティング</v>
          </cell>
          <cell r="C841" t="str">
            <v>プロセス材１課</v>
          </cell>
          <cell r="D841" t="str">
            <v>ダミー担当者</v>
          </cell>
          <cell r="E841" t="str">
            <v>王子タック㈱本社</v>
          </cell>
          <cell r="F841" t="str">
            <v>33S</v>
          </cell>
          <cell r="G841" t="str">
            <v>S</v>
          </cell>
          <cell r="H841" t="str">
            <v>N</v>
          </cell>
          <cell r="I841" t="str">
            <v>CLB</v>
          </cell>
          <cell r="K841" t="str">
            <v>LTL</v>
          </cell>
          <cell r="L841">
            <v>25</v>
          </cell>
          <cell r="M841" t="str">
            <v>ルミラー　ＴＬ</v>
          </cell>
          <cell r="N841">
            <v>1120</v>
          </cell>
          <cell r="O841">
            <v>1120</v>
          </cell>
          <cell r="P841">
            <v>12000</v>
          </cell>
          <cell r="Q841">
            <v>2</v>
          </cell>
        </row>
        <row r="842">
          <cell r="A842">
            <v>3697661</v>
          </cell>
          <cell r="B842" t="str">
            <v>福島コーティング</v>
          </cell>
          <cell r="C842" t="str">
            <v>プロセス材１課</v>
          </cell>
          <cell r="D842" t="str">
            <v>ダミー担当者</v>
          </cell>
          <cell r="E842" t="str">
            <v>リンテック㈱</v>
          </cell>
          <cell r="F842">
            <v>3</v>
          </cell>
          <cell r="G842" t="str">
            <v>S</v>
          </cell>
          <cell r="H842" t="str">
            <v>N</v>
          </cell>
          <cell r="I842" t="str">
            <v>CLB</v>
          </cell>
          <cell r="K842" t="str">
            <v>PETMV</v>
          </cell>
          <cell r="L842">
            <v>25</v>
          </cell>
          <cell r="M842" t="str">
            <v>ＰＥＴ　マットＶ</v>
          </cell>
          <cell r="N842">
            <v>1005</v>
          </cell>
          <cell r="O842">
            <v>1000</v>
          </cell>
          <cell r="P842">
            <v>4000</v>
          </cell>
          <cell r="Q842">
            <v>2</v>
          </cell>
        </row>
        <row r="843">
          <cell r="A843">
            <v>3700898</v>
          </cell>
          <cell r="B843" t="str">
            <v>福島コーティング</v>
          </cell>
          <cell r="C843" t="str">
            <v>工材１部電材課</v>
          </cell>
          <cell r="D843" t="str">
            <v>ダミー担当者</v>
          </cell>
          <cell r="E843" t="str">
            <v>パナック㈱亀山工場</v>
          </cell>
          <cell r="F843">
            <v>3303</v>
          </cell>
          <cell r="G843" t="str">
            <v>S</v>
          </cell>
          <cell r="H843" t="str">
            <v>N</v>
          </cell>
          <cell r="I843" t="str">
            <v>CERA</v>
          </cell>
          <cell r="K843" t="str">
            <v>BX8ARXA</v>
          </cell>
          <cell r="L843">
            <v>38</v>
          </cell>
          <cell r="M843" t="str">
            <v>セラピール　ＢＸ８ＡＲＸ</v>
          </cell>
          <cell r="N843">
            <v>1330</v>
          </cell>
          <cell r="O843">
            <v>1330</v>
          </cell>
          <cell r="P843">
            <v>6000</v>
          </cell>
          <cell r="Q843">
            <v>2</v>
          </cell>
        </row>
        <row r="844">
          <cell r="A844">
            <v>3700904</v>
          </cell>
          <cell r="B844" t="str">
            <v>福島コーティング</v>
          </cell>
          <cell r="C844" t="str">
            <v>工材１部電材課</v>
          </cell>
          <cell r="D844" t="str">
            <v>ダミー担当者</v>
          </cell>
          <cell r="E844" t="str">
            <v>㈱巴川製紙所</v>
          </cell>
          <cell r="F844">
            <v>331</v>
          </cell>
          <cell r="G844" t="str">
            <v>S</v>
          </cell>
          <cell r="H844" t="str">
            <v>N</v>
          </cell>
          <cell r="I844" t="str">
            <v>CERA</v>
          </cell>
          <cell r="K844" t="str">
            <v>BKERXT</v>
          </cell>
          <cell r="L844">
            <v>38</v>
          </cell>
          <cell r="M844" t="str">
            <v>セラピール　ＢＫＥ（ＲＸ）</v>
          </cell>
          <cell r="N844">
            <v>1580</v>
          </cell>
          <cell r="O844">
            <v>1580</v>
          </cell>
          <cell r="P844">
            <v>6000</v>
          </cell>
          <cell r="Q844">
            <v>2</v>
          </cell>
        </row>
        <row r="845">
          <cell r="A845">
            <v>3700905</v>
          </cell>
          <cell r="B845" t="str">
            <v>福島コーティング</v>
          </cell>
          <cell r="C845" t="str">
            <v>工材１部電材課</v>
          </cell>
          <cell r="D845" t="str">
            <v>ダミー担当者</v>
          </cell>
          <cell r="E845" t="str">
            <v>パナック㈱亀山工場</v>
          </cell>
          <cell r="F845">
            <v>3</v>
          </cell>
          <cell r="G845" t="str">
            <v>S</v>
          </cell>
          <cell r="H845" t="str">
            <v>N</v>
          </cell>
          <cell r="I845" t="str">
            <v>CERA</v>
          </cell>
          <cell r="K845" t="str">
            <v>BKE09</v>
          </cell>
          <cell r="L845">
            <v>38</v>
          </cell>
          <cell r="M845" t="str">
            <v>セラピール　ＢＫＥ（０９）</v>
          </cell>
          <cell r="N845">
            <v>1367</v>
          </cell>
          <cell r="O845">
            <v>1360</v>
          </cell>
          <cell r="P845">
            <v>6000</v>
          </cell>
          <cell r="Q845">
            <v>2</v>
          </cell>
        </row>
        <row r="846">
          <cell r="A846">
            <v>3700906</v>
          </cell>
          <cell r="B846" t="str">
            <v>福島コーティング</v>
          </cell>
          <cell r="C846" t="str">
            <v>工材１部電材課</v>
          </cell>
          <cell r="D846" t="str">
            <v>ダミー担当者</v>
          </cell>
          <cell r="E846" t="str">
            <v>㈱巴川製紙所</v>
          </cell>
          <cell r="F846">
            <v>331</v>
          </cell>
          <cell r="G846" t="str">
            <v>S</v>
          </cell>
          <cell r="H846" t="str">
            <v>N</v>
          </cell>
          <cell r="I846" t="str">
            <v>CERA</v>
          </cell>
          <cell r="K846" t="str">
            <v>BKERXT</v>
          </cell>
          <cell r="L846">
            <v>25</v>
          </cell>
          <cell r="M846" t="str">
            <v>セラピール　ＢＫＥ（ＲＸ）</v>
          </cell>
          <cell r="N846">
            <v>1330</v>
          </cell>
          <cell r="O846">
            <v>1330</v>
          </cell>
          <cell r="P846">
            <v>6000</v>
          </cell>
          <cell r="Q846">
            <v>2</v>
          </cell>
        </row>
        <row r="847">
          <cell r="A847">
            <v>3700907</v>
          </cell>
          <cell r="B847" t="str">
            <v>福島コーティング</v>
          </cell>
          <cell r="C847" t="str">
            <v>工材１部電材課</v>
          </cell>
          <cell r="D847" t="str">
            <v>ダミー担当者</v>
          </cell>
          <cell r="E847" t="str">
            <v>パナック㈱亀山工場</v>
          </cell>
          <cell r="F847">
            <v>331</v>
          </cell>
          <cell r="G847" t="str">
            <v>S</v>
          </cell>
          <cell r="H847" t="str">
            <v>N</v>
          </cell>
          <cell r="I847" t="str">
            <v>CERA</v>
          </cell>
          <cell r="K847" t="str">
            <v>BKERXPT</v>
          </cell>
          <cell r="L847">
            <v>38</v>
          </cell>
          <cell r="M847" t="str">
            <v>セラピール　ＢＫＥ（ＲＸ）</v>
          </cell>
          <cell r="N847">
            <v>1330</v>
          </cell>
          <cell r="O847">
            <v>1330</v>
          </cell>
          <cell r="P847">
            <v>6000</v>
          </cell>
          <cell r="Q847">
            <v>2</v>
          </cell>
        </row>
        <row r="848">
          <cell r="A848">
            <v>3700908</v>
          </cell>
          <cell r="B848" t="str">
            <v>福島コーティング</v>
          </cell>
          <cell r="C848" t="str">
            <v>工材１部電材課</v>
          </cell>
          <cell r="D848" t="str">
            <v>ダミー担当者</v>
          </cell>
          <cell r="E848" t="str">
            <v>㈱巴川製紙所</v>
          </cell>
          <cell r="F848">
            <v>331</v>
          </cell>
          <cell r="G848" t="str">
            <v>S</v>
          </cell>
          <cell r="H848" t="str">
            <v>N</v>
          </cell>
          <cell r="I848" t="str">
            <v>CERA</v>
          </cell>
          <cell r="K848" t="str">
            <v>BKERXT</v>
          </cell>
          <cell r="L848">
            <v>38</v>
          </cell>
          <cell r="M848" t="str">
            <v>セラピール　ＢＫＥ（ＲＸ）</v>
          </cell>
          <cell r="N848">
            <v>1330</v>
          </cell>
          <cell r="O848">
            <v>1330</v>
          </cell>
          <cell r="P848">
            <v>6000</v>
          </cell>
          <cell r="Q848">
            <v>2</v>
          </cell>
        </row>
        <row r="849">
          <cell r="A849">
            <v>3700909</v>
          </cell>
          <cell r="B849" t="str">
            <v>福島コーティング</v>
          </cell>
          <cell r="C849" t="str">
            <v>工材１部電材課</v>
          </cell>
          <cell r="D849" t="str">
            <v>ダミー担当者</v>
          </cell>
          <cell r="E849" t="str">
            <v>パナック㈱亀山工場</v>
          </cell>
          <cell r="F849">
            <v>331</v>
          </cell>
          <cell r="G849" t="str">
            <v>S</v>
          </cell>
          <cell r="H849" t="str">
            <v>N</v>
          </cell>
          <cell r="I849" t="str">
            <v>CERA</v>
          </cell>
          <cell r="K849" t="str">
            <v>BKERXPT</v>
          </cell>
          <cell r="L849">
            <v>38</v>
          </cell>
          <cell r="M849" t="str">
            <v>セラピール　ＢＫＥ（ＲＸ）</v>
          </cell>
          <cell r="N849">
            <v>1330</v>
          </cell>
          <cell r="O849">
            <v>1330</v>
          </cell>
          <cell r="P849">
            <v>6000</v>
          </cell>
          <cell r="Q849">
            <v>2</v>
          </cell>
        </row>
        <row r="850">
          <cell r="A850">
            <v>3700910</v>
          </cell>
          <cell r="B850" t="str">
            <v>福島コーティング</v>
          </cell>
          <cell r="C850" t="str">
            <v>工材１部電材課</v>
          </cell>
          <cell r="D850" t="str">
            <v>ダミー担当者</v>
          </cell>
          <cell r="E850" t="str">
            <v>パナック㈱亀山工場</v>
          </cell>
          <cell r="F850">
            <v>3</v>
          </cell>
          <cell r="G850" t="str">
            <v>S</v>
          </cell>
          <cell r="H850" t="str">
            <v>N</v>
          </cell>
          <cell r="I850" t="str">
            <v>CERA</v>
          </cell>
          <cell r="K850" t="str">
            <v>BKE09</v>
          </cell>
          <cell r="L850">
            <v>38</v>
          </cell>
          <cell r="M850" t="str">
            <v>セラピール　ＢＫＥ（０９）</v>
          </cell>
          <cell r="N850">
            <v>1057</v>
          </cell>
          <cell r="O850">
            <v>1050</v>
          </cell>
          <cell r="P850">
            <v>8400</v>
          </cell>
          <cell r="Q850">
            <v>2</v>
          </cell>
        </row>
        <row r="851">
          <cell r="A851">
            <v>3700911</v>
          </cell>
          <cell r="B851" t="str">
            <v>福島コーティング</v>
          </cell>
          <cell r="C851" t="str">
            <v>工材１部電材課</v>
          </cell>
          <cell r="D851" t="str">
            <v>ダミー担当者</v>
          </cell>
          <cell r="E851" t="str">
            <v>パナック㈱亀山工場</v>
          </cell>
          <cell r="F851">
            <v>3</v>
          </cell>
          <cell r="G851" t="str">
            <v>S</v>
          </cell>
          <cell r="H851" t="str">
            <v>N</v>
          </cell>
          <cell r="I851" t="str">
            <v>CERA</v>
          </cell>
          <cell r="K851" t="str">
            <v>BKE09</v>
          </cell>
          <cell r="L851">
            <v>38</v>
          </cell>
          <cell r="M851" t="str">
            <v>セラピール　ＢＫＥ（０９）</v>
          </cell>
          <cell r="N851">
            <v>1037</v>
          </cell>
          <cell r="O851">
            <v>1030</v>
          </cell>
          <cell r="P851">
            <v>8500</v>
          </cell>
          <cell r="Q851">
            <v>2</v>
          </cell>
        </row>
        <row r="852">
          <cell r="A852">
            <v>3700912</v>
          </cell>
          <cell r="B852" t="str">
            <v>福島コーティング</v>
          </cell>
          <cell r="C852" t="str">
            <v>工材１部電材課</v>
          </cell>
          <cell r="D852" t="str">
            <v>ダミー担当者</v>
          </cell>
          <cell r="E852" t="str">
            <v>積水化学武蔵工場</v>
          </cell>
          <cell r="F852">
            <v>3</v>
          </cell>
          <cell r="G852" t="str">
            <v>S</v>
          </cell>
          <cell r="H852" t="str">
            <v>N</v>
          </cell>
          <cell r="I852" t="str">
            <v>CERA</v>
          </cell>
          <cell r="K852" t="str">
            <v>BKU</v>
          </cell>
          <cell r="L852">
            <v>25</v>
          </cell>
          <cell r="M852" t="str">
            <v>セラピ－ル　ＢＫ（Ｕ）</v>
          </cell>
          <cell r="N852">
            <v>890</v>
          </cell>
          <cell r="O852">
            <v>890</v>
          </cell>
          <cell r="P852">
            <v>3800</v>
          </cell>
          <cell r="Q852">
            <v>2</v>
          </cell>
        </row>
        <row r="853">
          <cell r="A853">
            <v>3700914</v>
          </cell>
          <cell r="B853" t="str">
            <v>福島コーティング</v>
          </cell>
          <cell r="C853" t="str">
            <v>工材１部大阪電材課</v>
          </cell>
          <cell r="D853" t="str">
            <v>ダミー担当者</v>
          </cell>
          <cell r="E853" t="str">
            <v>日東電工㈱豊橋工場</v>
          </cell>
          <cell r="F853">
            <v>3313</v>
          </cell>
          <cell r="G853" t="str">
            <v>S</v>
          </cell>
          <cell r="H853" t="str">
            <v>N</v>
          </cell>
          <cell r="I853" t="str">
            <v>CERA</v>
          </cell>
          <cell r="K853" t="str">
            <v>MD(A)R</v>
          </cell>
          <cell r="L853">
            <v>38</v>
          </cell>
          <cell r="M853" t="str">
            <v>セラピール　ＭＤ（Ａ）（Ｒ）</v>
          </cell>
          <cell r="N853">
            <v>750</v>
          </cell>
          <cell r="O853">
            <v>750</v>
          </cell>
          <cell r="P853">
            <v>6000</v>
          </cell>
          <cell r="Q853">
            <v>2</v>
          </cell>
        </row>
        <row r="854">
          <cell r="A854">
            <v>3700916</v>
          </cell>
          <cell r="B854" t="str">
            <v>福島コーティング</v>
          </cell>
          <cell r="C854" t="str">
            <v>大阪光学機能材課</v>
          </cell>
          <cell r="D854" t="str">
            <v>ダミー担当者</v>
          </cell>
          <cell r="E854" t="str">
            <v>日東電工㈱尾道事業所</v>
          </cell>
          <cell r="F854">
            <v>3321</v>
          </cell>
          <cell r="G854" t="str">
            <v>S</v>
          </cell>
          <cell r="H854" t="str">
            <v>N</v>
          </cell>
          <cell r="I854" t="str">
            <v>CERA</v>
          </cell>
          <cell r="K854" t="str">
            <v>MDAPFL</v>
          </cell>
          <cell r="L854">
            <v>38</v>
          </cell>
          <cell r="M854" t="str">
            <v>Ｋ　セラピールＭＤＡ（ＰＲＦ）Ｌ</v>
          </cell>
          <cell r="N854">
            <v>1336</v>
          </cell>
          <cell r="O854">
            <v>1325</v>
          </cell>
          <cell r="P854">
            <v>12000</v>
          </cell>
          <cell r="Q854">
            <v>2</v>
          </cell>
        </row>
        <row r="855">
          <cell r="A855">
            <v>3700917</v>
          </cell>
          <cell r="B855" t="str">
            <v>情材福島原価</v>
          </cell>
          <cell r="C855" t="str">
            <v>工材１部大阪電材課</v>
          </cell>
          <cell r="D855" t="str">
            <v>ダミー担当者</v>
          </cell>
          <cell r="E855" t="str">
            <v>日東電工㈱豊橋工場</v>
          </cell>
          <cell r="F855">
            <v>3</v>
          </cell>
          <cell r="G855" t="str">
            <v>T</v>
          </cell>
          <cell r="H855" t="str">
            <v>N</v>
          </cell>
          <cell r="I855" t="str">
            <v>CERA</v>
          </cell>
          <cell r="K855" t="str">
            <v>BX8A37</v>
          </cell>
          <cell r="L855">
            <v>75</v>
          </cell>
          <cell r="M855" t="str">
            <v>セラピール　ＢＸ８Ａ（３７）</v>
          </cell>
          <cell r="N855">
            <v>1050</v>
          </cell>
          <cell r="O855">
            <v>1050</v>
          </cell>
          <cell r="P855">
            <v>5800</v>
          </cell>
          <cell r="Q855">
            <v>2</v>
          </cell>
        </row>
        <row r="856">
          <cell r="A856">
            <v>3700918</v>
          </cell>
          <cell r="B856" t="str">
            <v>福島コーティング</v>
          </cell>
          <cell r="C856" t="str">
            <v>工材１部電材課</v>
          </cell>
          <cell r="D856" t="str">
            <v>ダミー担当者</v>
          </cell>
          <cell r="E856" t="str">
            <v>㈱巴川製紙所</v>
          </cell>
          <cell r="F856">
            <v>331</v>
          </cell>
          <cell r="G856" t="str">
            <v>S</v>
          </cell>
          <cell r="H856" t="str">
            <v>N</v>
          </cell>
          <cell r="I856" t="str">
            <v>CERA</v>
          </cell>
          <cell r="K856" t="str">
            <v>BX8ARXT</v>
          </cell>
          <cell r="L856">
            <v>38</v>
          </cell>
          <cell r="M856" t="str">
            <v>セラピール　ＢＸ８ＡＲＸ</v>
          </cell>
          <cell r="N856">
            <v>1580</v>
          </cell>
          <cell r="O856">
            <v>1580</v>
          </cell>
          <cell r="P856">
            <v>6000</v>
          </cell>
          <cell r="Q856">
            <v>2</v>
          </cell>
        </row>
        <row r="857">
          <cell r="A857">
            <v>3700919</v>
          </cell>
          <cell r="B857" t="str">
            <v>福島コーティング</v>
          </cell>
          <cell r="C857" t="str">
            <v>工材１部大阪電材課</v>
          </cell>
          <cell r="D857" t="str">
            <v>ダミー担当者</v>
          </cell>
          <cell r="E857" t="str">
            <v>利昌工業　尼崎工場</v>
          </cell>
          <cell r="F857">
            <v>3</v>
          </cell>
          <cell r="G857" t="str">
            <v>S</v>
          </cell>
          <cell r="H857" t="str">
            <v>N</v>
          </cell>
          <cell r="I857" t="str">
            <v>CERA</v>
          </cell>
          <cell r="K857" t="str">
            <v>BX8ARX</v>
          </cell>
          <cell r="L857">
            <v>25</v>
          </cell>
          <cell r="M857" t="str">
            <v>セラピール　ＢＸ８Ａ（ＲＸ）</v>
          </cell>
          <cell r="N857">
            <v>740</v>
          </cell>
          <cell r="O857">
            <v>740</v>
          </cell>
          <cell r="P857">
            <v>2100</v>
          </cell>
          <cell r="Q857">
            <v>1</v>
          </cell>
        </row>
        <row r="858">
          <cell r="A858">
            <v>3700920</v>
          </cell>
          <cell r="B858" t="str">
            <v>福島コーティング</v>
          </cell>
          <cell r="C858" t="str">
            <v>工材１部電材課</v>
          </cell>
          <cell r="D858" t="str">
            <v>ダミー担当者</v>
          </cell>
          <cell r="E858" t="str">
            <v>パナック㈱亀山工場</v>
          </cell>
          <cell r="F858">
            <v>331</v>
          </cell>
          <cell r="G858" t="str">
            <v>S</v>
          </cell>
          <cell r="H858" t="str">
            <v>N</v>
          </cell>
          <cell r="I858" t="str">
            <v>CERA</v>
          </cell>
          <cell r="K858" t="str">
            <v>BX8ARXA</v>
          </cell>
          <cell r="L858">
            <v>38</v>
          </cell>
          <cell r="M858" t="str">
            <v>セラピール　ＢＸ８ＡＲＸ</v>
          </cell>
          <cell r="N858">
            <v>1330</v>
          </cell>
          <cell r="O858">
            <v>1330</v>
          </cell>
          <cell r="P858">
            <v>6000</v>
          </cell>
          <cell r="Q858">
            <v>2</v>
          </cell>
        </row>
        <row r="859">
          <cell r="A859">
            <v>3700921</v>
          </cell>
          <cell r="B859" t="str">
            <v>福島コーティング</v>
          </cell>
          <cell r="C859" t="str">
            <v>工材１部電材課</v>
          </cell>
          <cell r="D859" t="str">
            <v>ダミー担当者</v>
          </cell>
          <cell r="E859" t="str">
            <v>パナック㈱亀山工場</v>
          </cell>
          <cell r="F859">
            <v>331</v>
          </cell>
          <cell r="G859" t="str">
            <v>S</v>
          </cell>
          <cell r="H859" t="str">
            <v>N</v>
          </cell>
          <cell r="I859" t="str">
            <v>CERA</v>
          </cell>
          <cell r="K859" t="str">
            <v>BX8ARXA</v>
          </cell>
          <cell r="L859">
            <v>38</v>
          </cell>
          <cell r="M859" t="str">
            <v>セラピール　ＢＸ８ＡＲＸ</v>
          </cell>
          <cell r="N859">
            <v>1330</v>
          </cell>
          <cell r="O859">
            <v>1330</v>
          </cell>
          <cell r="P859">
            <v>6000</v>
          </cell>
          <cell r="Q859">
            <v>2</v>
          </cell>
        </row>
        <row r="860">
          <cell r="A860">
            <v>3700922</v>
          </cell>
          <cell r="B860" t="str">
            <v>福島コーティング</v>
          </cell>
          <cell r="C860" t="str">
            <v>工材１部電材課</v>
          </cell>
          <cell r="D860" t="str">
            <v>ダミー担当者</v>
          </cell>
          <cell r="E860" t="str">
            <v>㈱巴川製紙所</v>
          </cell>
          <cell r="F860">
            <v>331</v>
          </cell>
          <cell r="G860" t="str">
            <v>S</v>
          </cell>
          <cell r="H860" t="str">
            <v>N</v>
          </cell>
          <cell r="I860" t="str">
            <v>CERA</v>
          </cell>
          <cell r="K860" t="str">
            <v>BX8ARXT</v>
          </cell>
          <cell r="L860">
            <v>38</v>
          </cell>
          <cell r="M860" t="str">
            <v>セラピール　ＢＸ８ＡＲＸ</v>
          </cell>
          <cell r="N860">
            <v>1330</v>
          </cell>
          <cell r="O860">
            <v>1330</v>
          </cell>
          <cell r="P860">
            <v>6000</v>
          </cell>
          <cell r="Q860">
            <v>2</v>
          </cell>
        </row>
        <row r="861">
          <cell r="A861">
            <v>3700923</v>
          </cell>
          <cell r="B861" t="str">
            <v>福島コーティング</v>
          </cell>
          <cell r="C861" t="str">
            <v>工材１部電材課</v>
          </cell>
          <cell r="D861" t="str">
            <v>ダミー担当者</v>
          </cell>
          <cell r="E861" t="str">
            <v>㈱巴川製紙所</v>
          </cell>
          <cell r="F861">
            <v>3</v>
          </cell>
          <cell r="G861" t="str">
            <v>S</v>
          </cell>
          <cell r="H861" t="str">
            <v>N</v>
          </cell>
          <cell r="I861" t="str">
            <v>CERA</v>
          </cell>
          <cell r="K861" t="str">
            <v>BX8AX</v>
          </cell>
          <cell r="L861">
            <v>75</v>
          </cell>
          <cell r="M861" t="str">
            <v>セラピール　　　　　　　　　　　ＢＸ８Ａ（Ｘ）</v>
          </cell>
          <cell r="N861">
            <v>1330</v>
          </cell>
          <cell r="O861">
            <v>1330</v>
          </cell>
          <cell r="P861">
            <v>4100</v>
          </cell>
          <cell r="Q861">
            <v>2</v>
          </cell>
        </row>
        <row r="862">
          <cell r="A862">
            <v>3700924</v>
          </cell>
          <cell r="B862" t="str">
            <v>福島コーティング</v>
          </cell>
          <cell r="C862" t="str">
            <v>工材１部電材課</v>
          </cell>
          <cell r="D862" t="str">
            <v>ダミー担当者</v>
          </cell>
          <cell r="E862" t="str">
            <v>真田ＫＯＡ㈱</v>
          </cell>
          <cell r="F862">
            <v>3</v>
          </cell>
          <cell r="G862" t="str">
            <v>S</v>
          </cell>
          <cell r="H862" t="str">
            <v>N</v>
          </cell>
          <cell r="I862" t="str">
            <v>CERA</v>
          </cell>
          <cell r="K862" t="str">
            <v>MFAS</v>
          </cell>
          <cell r="L862">
            <v>75</v>
          </cell>
          <cell r="M862" t="str">
            <v>セラピール　　　　　　　　　　　ＭＦＡ（Ｓ）</v>
          </cell>
          <cell r="N862">
            <v>220</v>
          </cell>
          <cell r="O862">
            <v>220</v>
          </cell>
          <cell r="P862">
            <v>1200</v>
          </cell>
          <cell r="Q862">
            <v>1</v>
          </cell>
        </row>
        <row r="863">
          <cell r="A863">
            <v>3700925</v>
          </cell>
          <cell r="B863" t="str">
            <v>福島コーティング</v>
          </cell>
          <cell r="C863" t="str">
            <v>工材１部大阪電材課</v>
          </cell>
          <cell r="D863" t="str">
            <v>ダミー担当者</v>
          </cell>
          <cell r="E863" t="str">
            <v>ＭＡＲＵＷＡ</v>
          </cell>
          <cell r="F863">
            <v>3</v>
          </cell>
          <cell r="G863" t="str">
            <v>S</v>
          </cell>
          <cell r="H863" t="str">
            <v>N</v>
          </cell>
          <cell r="I863" t="str">
            <v>CERA</v>
          </cell>
          <cell r="K863" t="str">
            <v>MFAS</v>
          </cell>
          <cell r="L863">
            <v>75</v>
          </cell>
          <cell r="M863" t="str">
            <v>セラピール　　　　　　　　　　　ＭＦＡ（Ｓ）</v>
          </cell>
          <cell r="N863">
            <v>620</v>
          </cell>
          <cell r="O863">
            <v>620</v>
          </cell>
          <cell r="P863">
            <v>400</v>
          </cell>
          <cell r="Q863">
            <v>2</v>
          </cell>
        </row>
        <row r="864">
          <cell r="A864">
            <v>3700926</v>
          </cell>
          <cell r="B864" t="str">
            <v>福島コーティング</v>
          </cell>
          <cell r="C864" t="str">
            <v>工材１部大阪電材課</v>
          </cell>
          <cell r="D864" t="str">
            <v>ダミー担当者</v>
          </cell>
          <cell r="E864" t="str">
            <v>ＭＡＲＵＷＡ</v>
          </cell>
          <cell r="F864">
            <v>3</v>
          </cell>
          <cell r="G864" t="str">
            <v>S</v>
          </cell>
          <cell r="H864" t="str">
            <v>N</v>
          </cell>
          <cell r="I864" t="str">
            <v>CERA</v>
          </cell>
          <cell r="K864" t="str">
            <v>MFAS</v>
          </cell>
          <cell r="L864">
            <v>75</v>
          </cell>
          <cell r="M864" t="str">
            <v>セラピール　　　　　　　　　　　ＭＦＡ（Ｓ）</v>
          </cell>
          <cell r="N864">
            <v>1130</v>
          </cell>
          <cell r="O864">
            <v>1130</v>
          </cell>
          <cell r="P864">
            <v>1000</v>
          </cell>
          <cell r="Q864">
            <v>2</v>
          </cell>
        </row>
        <row r="865">
          <cell r="A865">
            <v>3700927</v>
          </cell>
          <cell r="B865" t="str">
            <v>福島コーティング</v>
          </cell>
          <cell r="C865" t="str">
            <v>工材１部大阪電材課</v>
          </cell>
          <cell r="D865" t="str">
            <v>ダミー担当者</v>
          </cell>
          <cell r="E865" t="str">
            <v>下田工業㈱</v>
          </cell>
          <cell r="F865">
            <v>3</v>
          </cell>
          <cell r="G865" t="str">
            <v>S</v>
          </cell>
          <cell r="H865" t="str">
            <v>N</v>
          </cell>
          <cell r="I865" t="str">
            <v>CERA</v>
          </cell>
          <cell r="K865" t="str">
            <v>MFAS</v>
          </cell>
          <cell r="L865">
            <v>188</v>
          </cell>
          <cell r="M865" t="str">
            <v>セラピール　　　　　　　　　　　ＭＦＡ（Ｓ）</v>
          </cell>
          <cell r="N865">
            <v>1130</v>
          </cell>
          <cell r="O865">
            <v>1130</v>
          </cell>
          <cell r="P865">
            <v>1620</v>
          </cell>
          <cell r="Q865">
            <v>2</v>
          </cell>
        </row>
        <row r="866">
          <cell r="A866">
            <v>3700928</v>
          </cell>
          <cell r="B866" t="str">
            <v>福島コーティング</v>
          </cell>
          <cell r="C866" t="str">
            <v>工材１部大阪電材課</v>
          </cell>
          <cell r="D866" t="str">
            <v>ダミー担当者</v>
          </cell>
          <cell r="E866" t="str">
            <v>下田工業㈱</v>
          </cell>
          <cell r="F866">
            <v>3</v>
          </cell>
          <cell r="G866" t="str">
            <v>S</v>
          </cell>
          <cell r="H866" t="str">
            <v>N</v>
          </cell>
          <cell r="I866" t="str">
            <v>CERA</v>
          </cell>
          <cell r="K866" t="str">
            <v>MFAS</v>
          </cell>
          <cell r="L866">
            <v>100</v>
          </cell>
          <cell r="M866" t="str">
            <v>セラピール　　　　　　　　　　　ＭＦＡ（Ｓ）</v>
          </cell>
          <cell r="N866">
            <v>330</v>
          </cell>
          <cell r="O866">
            <v>330</v>
          </cell>
          <cell r="P866">
            <v>550</v>
          </cell>
          <cell r="Q866">
            <v>1</v>
          </cell>
        </row>
        <row r="867">
          <cell r="A867">
            <v>3700929</v>
          </cell>
          <cell r="B867" t="str">
            <v>福島コーティング</v>
          </cell>
          <cell r="C867" t="str">
            <v>工材１部大阪電材課</v>
          </cell>
          <cell r="D867" t="str">
            <v>ダミー担当者</v>
          </cell>
          <cell r="E867" t="str">
            <v>下田工業㈱</v>
          </cell>
          <cell r="F867">
            <v>3</v>
          </cell>
          <cell r="G867" t="str">
            <v>S</v>
          </cell>
          <cell r="H867" t="str">
            <v>N</v>
          </cell>
          <cell r="I867" t="str">
            <v>CERA</v>
          </cell>
          <cell r="K867" t="str">
            <v>MFAS</v>
          </cell>
          <cell r="L867">
            <v>100</v>
          </cell>
          <cell r="M867" t="str">
            <v>セラピール　　　　　　　　　　　ＭＦＡ（Ｓ）</v>
          </cell>
          <cell r="N867">
            <v>330</v>
          </cell>
          <cell r="O867">
            <v>330</v>
          </cell>
          <cell r="P867">
            <v>550</v>
          </cell>
          <cell r="Q867">
            <v>1</v>
          </cell>
        </row>
        <row r="868">
          <cell r="A868">
            <v>3700930</v>
          </cell>
          <cell r="B868" t="str">
            <v>福島コーティング</v>
          </cell>
          <cell r="C868" t="str">
            <v>プロセス材２課</v>
          </cell>
          <cell r="D868" t="str">
            <v>ダミー担当者</v>
          </cell>
          <cell r="E868" t="str">
            <v>京セラ鹿児島川内工場</v>
          </cell>
          <cell r="F868">
            <v>331</v>
          </cell>
          <cell r="G868" t="str">
            <v>S</v>
          </cell>
          <cell r="H868" t="str">
            <v>N</v>
          </cell>
          <cell r="I868" t="str">
            <v>CERA</v>
          </cell>
          <cell r="K868" t="str">
            <v>MFAS</v>
          </cell>
          <cell r="L868">
            <v>100</v>
          </cell>
          <cell r="M868" t="str">
            <v>セラピール　　　　　　　　　　　ＭＦＡ（Ｓ）</v>
          </cell>
          <cell r="N868">
            <v>450</v>
          </cell>
          <cell r="O868">
            <v>450</v>
          </cell>
          <cell r="P868">
            <v>800</v>
          </cell>
          <cell r="Q868">
            <v>2</v>
          </cell>
        </row>
        <row r="869">
          <cell r="A869">
            <v>3700931</v>
          </cell>
          <cell r="B869" t="str">
            <v>福島コーティング</v>
          </cell>
          <cell r="C869" t="str">
            <v>工材１部電材課</v>
          </cell>
          <cell r="D869" t="str">
            <v>ダミー担当者</v>
          </cell>
          <cell r="E869" t="str">
            <v>三栄産業㈱尾久工場</v>
          </cell>
          <cell r="F869">
            <v>3</v>
          </cell>
          <cell r="G869" t="str">
            <v>S</v>
          </cell>
          <cell r="H869" t="str">
            <v>N</v>
          </cell>
          <cell r="I869" t="str">
            <v>CERA</v>
          </cell>
          <cell r="K869" t="str">
            <v>WZRX</v>
          </cell>
          <cell r="L869">
            <v>25</v>
          </cell>
          <cell r="M869" t="str">
            <v>セラピール　ＷＺ（ＲＸ）　　　　　　</v>
          </cell>
          <cell r="N869">
            <v>640</v>
          </cell>
          <cell r="O869">
            <v>640</v>
          </cell>
          <cell r="P869">
            <v>2000</v>
          </cell>
          <cell r="Q869">
            <v>2</v>
          </cell>
        </row>
        <row r="870">
          <cell r="A870">
            <v>3700932</v>
          </cell>
          <cell r="B870" t="str">
            <v>情材福島原価</v>
          </cell>
          <cell r="C870" t="str">
            <v>プロセス材２課</v>
          </cell>
          <cell r="D870" t="str">
            <v>ダミー担当者</v>
          </cell>
          <cell r="E870" t="str">
            <v>日榮新化㈱</v>
          </cell>
          <cell r="F870">
            <v>331</v>
          </cell>
          <cell r="G870" t="str">
            <v>T</v>
          </cell>
          <cell r="H870" t="str">
            <v>N</v>
          </cell>
          <cell r="I870" t="str">
            <v>CERA</v>
          </cell>
          <cell r="K870" t="str">
            <v>WZS</v>
          </cell>
          <cell r="L870">
            <v>25</v>
          </cell>
          <cell r="M870" t="str">
            <v>セラピールＷＺ（Ｓ）</v>
          </cell>
          <cell r="N870">
            <v>1425</v>
          </cell>
          <cell r="O870">
            <v>1420</v>
          </cell>
          <cell r="P870">
            <v>12400</v>
          </cell>
          <cell r="Q870">
            <v>2</v>
          </cell>
        </row>
        <row r="871">
          <cell r="A871">
            <v>3700933</v>
          </cell>
          <cell r="B871" t="str">
            <v>情材福島原価</v>
          </cell>
          <cell r="C871" t="str">
            <v>工材１部電材課</v>
          </cell>
          <cell r="D871" t="str">
            <v>ダミー担当者</v>
          </cell>
          <cell r="E871" t="str">
            <v>藤産業㈱</v>
          </cell>
          <cell r="F871">
            <v>3</v>
          </cell>
          <cell r="G871" t="str">
            <v>T</v>
          </cell>
          <cell r="H871" t="str">
            <v>N</v>
          </cell>
          <cell r="I871" t="str">
            <v>CERA</v>
          </cell>
          <cell r="K871" t="str">
            <v>WZ34</v>
          </cell>
          <cell r="L871">
            <v>25</v>
          </cell>
          <cell r="M871" t="str">
            <v>セラピール　ＷＺ（３４）</v>
          </cell>
          <cell r="N871">
            <v>1410</v>
          </cell>
          <cell r="O871">
            <v>1410</v>
          </cell>
          <cell r="P871">
            <v>6000</v>
          </cell>
          <cell r="Q871">
            <v>2</v>
          </cell>
        </row>
        <row r="872">
          <cell r="A872">
            <v>3700934</v>
          </cell>
          <cell r="B872" t="str">
            <v>福島コーティング</v>
          </cell>
          <cell r="C872" t="str">
            <v>プロセス材１課</v>
          </cell>
          <cell r="D872" t="str">
            <v>ダミー担当者</v>
          </cell>
          <cell r="E872" t="str">
            <v>リンテック㈱</v>
          </cell>
          <cell r="F872">
            <v>3</v>
          </cell>
          <cell r="G872" t="str">
            <v>S</v>
          </cell>
          <cell r="H872" t="str">
            <v>N</v>
          </cell>
          <cell r="I872" t="str">
            <v>CERA</v>
          </cell>
          <cell r="K872" t="str">
            <v>WZS</v>
          </cell>
          <cell r="L872">
            <v>38</v>
          </cell>
          <cell r="M872" t="str">
            <v>セラピール　　　　　　　　　　　ＷＺ（Ｓ）</v>
          </cell>
          <cell r="N872">
            <v>1415</v>
          </cell>
          <cell r="O872">
            <v>1410</v>
          </cell>
          <cell r="P872">
            <v>8000</v>
          </cell>
          <cell r="Q872">
            <v>2</v>
          </cell>
        </row>
        <row r="873">
          <cell r="A873">
            <v>3700935</v>
          </cell>
          <cell r="B873" t="str">
            <v>福島コーティング</v>
          </cell>
          <cell r="C873" t="str">
            <v>工材１部電材課</v>
          </cell>
          <cell r="D873" t="str">
            <v>ダミー担当者</v>
          </cell>
          <cell r="E873" t="str">
            <v>古河電気工業㈱</v>
          </cell>
          <cell r="F873">
            <v>3</v>
          </cell>
          <cell r="G873" t="str">
            <v>S</v>
          </cell>
          <cell r="H873" t="str">
            <v>N</v>
          </cell>
          <cell r="I873" t="str">
            <v>CERA</v>
          </cell>
          <cell r="K873" t="str">
            <v>WZE</v>
          </cell>
          <cell r="L873">
            <v>25</v>
          </cell>
          <cell r="M873" t="str">
            <v>セラピール　　　　　　　　　　　ＷＺ（Ｅ）</v>
          </cell>
          <cell r="N873">
            <v>1240</v>
          </cell>
          <cell r="O873">
            <v>1240</v>
          </cell>
          <cell r="P873">
            <v>6000</v>
          </cell>
          <cell r="Q873">
            <v>2</v>
          </cell>
        </row>
        <row r="874">
          <cell r="A874">
            <v>3700936</v>
          </cell>
          <cell r="B874" t="str">
            <v>福島コーティング</v>
          </cell>
          <cell r="C874" t="str">
            <v>工材１部大阪電材課</v>
          </cell>
          <cell r="D874" t="str">
            <v>ダミー担当者</v>
          </cell>
          <cell r="E874" t="str">
            <v>東洋機材</v>
          </cell>
          <cell r="F874">
            <v>3</v>
          </cell>
          <cell r="G874" t="str">
            <v>S</v>
          </cell>
          <cell r="H874" t="str">
            <v>N</v>
          </cell>
          <cell r="I874" t="str">
            <v>CERA</v>
          </cell>
          <cell r="K874" t="str">
            <v>WZS</v>
          </cell>
          <cell r="L874">
            <v>125</v>
          </cell>
          <cell r="M874" t="str">
            <v>セラピール　ＷＺ（Ｓ）</v>
          </cell>
          <cell r="N874">
            <v>1230</v>
          </cell>
          <cell r="O874">
            <v>1225</v>
          </cell>
          <cell r="P874">
            <v>1800</v>
          </cell>
          <cell r="Q874">
            <v>2</v>
          </cell>
        </row>
        <row r="875">
          <cell r="A875">
            <v>3700937</v>
          </cell>
          <cell r="B875" t="str">
            <v>情材福島原価</v>
          </cell>
          <cell r="C875" t="str">
            <v>プロセス材２課</v>
          </cell>
          <cell r="D875" t="str">
            <v>ダミー担当者</v>
          </cell>
          <cell r="E875" t="str">
            <v>日榮新化㈱</v>
          </cell>
          <cell r="F875">
            <v>3</v>
          </cell>
          <cell r="G875" t="str">
            <v>T</v>
          </cell>
          <cell r="H875" t="str">
            <v>N</v>
          </cell>
          <cell r="I875" t="str">
            <v>CERA</v>
          </cell>
          <cell r="K875" t="str">
            <v>WZS</v>
          </cell>
          <cell r="L875">
            <v>25</v>
          </cell>
          <cell r="M875" t="str">
            <v>セラピールＷＺ（Ｓ）</v>
          </cell>
          <cell r="N875">
            <v>1155</v>
          </cell>
          <cell r="O875">
            <v>1150</v>
          </cell>
          <cell r="P875">
            <v>4200</v>
          </cell>
          <cell r="Q875">
            <v>2</v>
          </cell>
        </row>
        <row r="876">
          <cell r="A876">
            <v>3700939</v>
          </cell>
          <cell r="B876" t="str">
            <v>福島コーティング</v>
          </cell>
          <cell r="C876" t="str">
            <v>工材１部電材課</v>
          </cell>
          <cell r="D876" t="str">
            <v>ダミー担当者</v>
          </cell>
          <cell r="E876" t="str">
            <v>パナック㈱亀山工場</v>
          </cell>
          <cell r="F876">
            <v>3</v>
          </cell>
          <cell r="G876" t="str">
            <v>S</v>
          </cell>
          <cell r="H876" t="str">
            <v>N</v>
          </cell>
          <cell r="I876" t="str">
            <v>CERA</v>
          </cell>
          <cell r="K876" t="str">
            <v>WZ</v>
          </cell>
          <cell r="L876">
            <v>25</v>
          </cell>
          <cell r="M876" t="str">
            <v>セラピール　　　　　　　　　　　ＷＺ</v>
          </cell>
          <cell r="N876">
            <v>1100</v>
          </cell>
          <cell r="O876">
            <v>1100</v>
          </cell>
          <cell r="P876">
            <v>12000</v>
          </cell>
          <cell r="Q876">
            <v>2</v>
          </cell>
        </row>
        <row r="877">
          <cell r="A877">
            <v>3700940</v>
          </cell>
          <cell r="B877" t="str">
            <v>福島コーティング</v>
          </cell>
          <cell r="C877" t="str">
            <v>工材１部電材課</v>
          </cell>
          <cell r="D877" t="str">
            <v>ダミー担当者</v>
          </cell>
          <cell r="E877" t="str">
            <v>古河電気工業㈱</v>
          </cell>
          <cell r="F877">
            <v>3</v>
          </cell>
          <cell r="G877" t="str">
            <v>S</v>
          </cell>
          <cell r="H877" t="str">
            <v>N</v>
          </cell>
          <cell r="I877" t="str">
            <v>CERA</v>
          </cell>
          <cell r="K877" t="str">
            <v>WZE</v>
          </cell>
          <cell r="L877">
            <v>25</v>
          </cell>
          <cell r="M877" t="str">
            <v>セラピール　　　　　　　　　　　ＷＺ（Ｅ）</v>
          </cell>
          <cell r="N877">
            <v>1040</v>
          </cell>
          <cell r="O877">
            <v>1040</v>
          </cell>
          <cell r="P877">
            <v>6000</v>
          </cell>
          <cell r="Q877">
            <v>2</v>
          </cell>
        </row>
        <row r="878">
          <cell r="A878">
            <v>3700941</v>
          </cell>
          <cell r="B878" t="str">
            <v>福島コーティング</v>
          </cell>
          <cell r="C878" t="str">
            <v>プロセス材１課</v>
          </cell>
          <cell r="D878" t="str">
            <v>ダミー担当者</v>
          </cell>
          <cell r="E878" t="str">
            <v>リンテック㈱</v>
          </cell>
          <cell r="F878">
            <v>3</v>
          </cell>
          <cell r="G878" t="str">
            <v>S</v>
          </cell>
          <cell r="H878" t="str">
            <v>N</v>
          </cell>
          <cell r="I878" t="str">
            <v>CERA</v>
          </cell>
          <cell r="K878" t="str">
            <v>WZS</v>
          </cell>
          <cell r="L878">
            <v>38</v>
          </cell>
          <cell r="M878" t="str">
            <v>セラピール　　　　　　　　　　　ＷＺ（Ｓ）</v>
          </cell>
          <cell r="N878">
            <v>1005</v>
          </cell>
          <cell r="O878">
            <v>1000</v>
          </cell>
          <cell r="P878">
            <v>8000</v>
          </cell>
          <cell r="Q878">
            <v>2</v>
          </cell>
        </row>
        <row r="879">
          <cell r="A879">
            <v>3700943</v>
          </cell>
          <cell r="B879" t="str">
            <v>福島コーティング</v>
          </cell>
          <cell r="C879" t="str">
            <v>プロセス材１課</v>
          </cell>
          <cell r="D879" t="str">
            <v>ダミー担当者</v>
          </cell>
          <cell r="E879" t="str">
            <v>王子タック㈱本社</v>
          </cell>
          <cell r="F879" t="str">
            <v>33S</v>
          </cell>
          <cell r="G879" t="str">
            <v>S</v>
          </cell>
          <cell r="H879" t="str">
            <v>N</v>
          </cell>
          <cell r="I879" t="str">
            <v>CLB</v>
          </cell>
          <cell r="K879" t="str">
            <v>LTL</v>
          </cell>
          <cell r="L879">
            <v>25</v>
          </cell>
          <cell r="M879" t="str">
            <v>ルミラー　ＴＬ</v>
          </cell>
          <cell r="N879">
            <v>1120</v>
          </cell>
          <cell r="O879">
            <v>1120</v>
          </cell>
          <cell r="P879">
            <v>12000</v>
          </cell>
          <cell r="Q879">
            <v>2</v>
          </cell>
        </row>
        <row r="880">
          <cell r="A880">
            <v>3700945</v>
          </cell>
          <cell r="B880" t="str">
            <v>福島コーティング</v>
          </cell>
          <cell r="C880" t="str">
            <v>プロセス材２課</v>
          </cell>
          <cell r="D880" t="str">
            <v>ダミー担当者</v>
          </cell>
          <cell r="E880" t="str">
            <v>藤森工業㈱掛川事業所</v>
          </cell>
          <cell r="F880">
            <v>3</v>
          </cell>
          <cell r="G880" t="str">
            <v>S</v>
          </cell>
          <cell r="H880" t="str">
            <v>N</v>
          </cell>
          <cell r="I880" t="str">
            <v>CLB</v>
          </cell>
          <cell r="K880" t="str">
            <v>PETTL</v>
          </cell>
          <cell r="L880">
            <v>50</v>
          </cell>
          <cell r="M880" t="str">
            <v>ＰＥＴ　ＴＬ</v>
          </cell>
          <cell r="N880">
            <v>1320</v>
          </cell>
          <cell r="O880">
            <v>1320</v>
          </cell>
          <cell r="P880">
            <v>4200</v>
          </cell>
          <cell r="Q880">
            <v>2</v>
          </cell>
        </row>
        <row r="881">
          <cell r="A881">
            <v>3700949</v>
          </cell>
          <cell r="B881" t="str">
            <v>福島コーティング</v>
          </cell>
          <cell r="C881" t="str">
            <v>工材３部工材２課</v>
          </cell>
          <cell r="D881" t="str">
            <v>ダミー担当者</v>
          </cell>
          <cell r="E881" t="str">
            <v>昭和電工マテリアルズ</v>
          </cell>
          <cell r="F881">
            <v>3</v>
          </cell>
          <cell r="G881" t="str">
            <v>S</v>
          </cell>
          <cell r="H881" t="str">
            <v>N</v>
          </cell>
          <cell r="I881" t="str">
            <v>CERANS</v>
          </cell>
          <cell r="K881" t="str">
            <v>PJ27103</v>
          </cell>
          <cell r="L881">
            <v>25</v>
          </cell>
          <cell r="M881" t="str">
            <v>セラピール　ＰＪ２７１（０３）</v>
          </cell>
          <cell r="N881">
            <v>1575</v>
          </cell>
          <cell r="O881">
            <v>1575</v>
          </cell>
          <cell r="P881">
            <v>12000</v>
          </cell>
          <cell r="Q881">
            <v>2</v>
          </cell>
        </row>
        <row r="882">
          <cell r="A882">
            <v>3700954</v>
          </cell>
          <cell r="B882" t="str">
            <v>福島コーティング</v>
          </cell>
          <cell r="C882" t="str">
            <v>プロセス材１課</v>
          </cell>
          <cell r="D882" t="str">
            <v>ダミー担当者</v>
          </cell>
          <cell r="E882" t="str">
            <v>リンテック㈱</v>
          </cell>
          <cell r="F882">
            <v>3</v>
          </cell>
          <cell r="G882" t="str">
            <v>S</v>
          </cell>
          <cell r="H882" t="str">
            <v>N</v>
          </cell>
          <cell r="I882" t="str">
            <v>CLB</v>
          </cell>
          <cell r="K882" t="str">
            <v>PETMV</v>
          </cell>
          <cell r="L882">
            <v>25</v>
          </cell>
          <cell r="M882" t="str">
            <v>ＰＥＴ　マットＶ</v>
          </cell>
          <cell r="N882">
            <v>1005</v>
          </cell>
          <cell r="O882">
            <v>1000</v>
          </cell>
          <cell r="P882">
            <v>4000</v>
          </cell>
          <cell r="Q882">
            <v>2</v>
          </cell>
        </row>
        <row r="883">
          <cell r="A883">
            <v>3703956</v>
          </cell>
          <cell r="B883" t="str">
            <v>福島コーティング</v>
          </cell>
          <cell r="C883" t="str">
            <v>工材１部電材課</v>
          </cell>
          <cell r="D883" t="str">
            <v>ダミー担当者</v>
          </cell>
          <cell r="E883" t="str">
            <v>㈱巴川製紙所</v>
          </cell>
          <cell r="F883">
            <v>331</v>
          </cell>
          <cell r="G883" t="str">
            <v>S</v>
          </cell>
          <cell r="H883" t="str">
            <v>N</v>
          </cell>
          <cell r="I883" t="str">
            <v>CERA</v>
          </cell>
          <cell r="K883" t="str">
            <v>BX8ARXT</v>
          </cell>
          <cell r="L883">
            <v>38</v>
          </cell>
          <cell r="M883" t="str">
            <v>セラピール　ＢＸ８ＡＲＸ</v>
          </cell>
          <cell r="N883">
            <v>1580</v>
          </cell>
          <cell r="O883">
            <v>1580</v>
          </cell>
          <cell r="P883">
            <v>6000</v>
          </cell>
          <cell r="Q883">
            <v>2</v>
          </cell>
        </row>
        <row r="884">
          <cell r="A884">
            <v>3703957</v>
          </cell>
          <cell r="B884" t="str">
            <v>福島コーティング</v>
          </cell>
          <cell r="C884" t="str">
            <v>工材１部電材課</v>
          </cell>
          <cell r="D884" t="str">
            <v>ダミー担当者</v>
          </cell>
          <cell r="E884" t="str">
            <v>㈱巴川製紙所</v>
          </cell>
          <cell r="F884">
            <v>3</v>
          </cell>
          <cell r="G884" t="str">
            <v>S</v>
          </cell>
          <cell r="H884" t="str">
            <v>N</v>
          </cell>
          <cell r="I884" t="str">
            <v>CERA</v>
          </cell>
          <cell r="K884" t="str">
            <v>BX8AX</v>
          </cell>
          <cell r="L884">
            <v>75</v>
          </cell>
          <cell r="M884" t="str">
            <v>セラピール　　　　　　　　　　　ＢＸ８Ａ（Ｘ）</v>
          </cell>
          <cell r="N884">
            <v>1330</v>
          </cell>
          <cell r="O884">
            <v>1330</v>
          </cell>
          <cell r="P884">
            <v>4100</v>
          </cell>
          <cell r="Q884">
            <v>2</v>
          </cell>
        </row>
        <row r="885">
          <cell r="A885">
            <v>3703958</v>
          </cell>
          <cell r="B885" t="str">
            <v>福島コーティング</v>
          </cell>
          <cell r="C885" t="str">
            <v>工材１部電材課</v>
          </cell>
          <cell r="D885" t="str">
            <v>ダミー担当者</v>
          </cell>
          <cell r="E885" t="str">
            <v>パナック㈱亀山工場</v>
          </cell>
          <cell r="F885">
            <v>331</v>
          </cell>
          <cell r="G885" t="str">
            <v>S</v>
          </cell>
          <cell r="H885" t="str">
            <v>N</v>
          </cell>
          <cell r="I885" t="str">
            <v>CERA</v>
          </cell>
          <cell r="K885" t="str">
            <v>BX8ARXA</v>
          </cell>
          <cell r="L885">
            <v>38</v>
          </cell>
          <cell r="M885" t="str">
            <v>セラピール　ＢＸ８ＡＲＸ</v>
          </cell>
          <cell r="N885">
            <v>1330</v>
          </cell>
          <cell r="O885">
            <v>1330</v>
          </cell>
          <cell r="P885">
            <v>6000</v>
          </cell>
          <cell r="Q885">
            <v>2</v>
          </cell>
        </row>
        <row r="886">
          <cell r="A886">
            <v>3703959</v>
          </cell>
          <cell r="B886" t="str">
            <v>福島コーティング</v>
          </cell>
          <cell r="C886" t="str">
            <v>工材１部電材課</v>
          </cell>
          <cell r="D886" t="str">
            <v>ダミー担当者</v>
          </cell>
          <cell r="E886" t="str">
            <v>㈱巴川製紙所</v>
          </cell>
          <cell r="F886">
            <v>331</v>
          </cell>
          <cell r="G886" t="str">
            <v>S</v>
          </cell>
          <cell r="H886" t="str">
            <v>N</v>
          </cell>
          <cell r="I886" t="str">
            <v>CERA</v>
          </cell>
          <cell r="K886" t="str">
            <v>BX8ARXT</v>
          </cell>
          <cell r="L886">
            <v>38</v>
          </cell>
          <cell r="M886" t="str">
            <v>セラピール　ＢＸ８ＡＲＸ</v>
          </cell>
          <cell r="N886">
            <v>1330</v>
          </cell>
          <cell r="O886">
            <v>1330</v>
          </cell>
          <cell r="P886">
            <v>6000</v>
          </cell>
          <cell r="Q886">
            <v>2</v>
          </cell>
        </row>
        <row r="887">
          <cell r="A887">
            <v>3703960</v>
          </cell>
          <cell r="B887" t="str">
            <v>福島コーティング</v>
          </cell>
          <cell r="C887" t="str">
            <v>プロセス材２課</v>
          </cell>
          <cell r="D887" t="str">
            <v>ダミー担当者</v>
          </cell>
          <cell r="E887" t="str">
            <v>日榮新化㈱</v>
          </cell>
          <cell r="F887">
            <v>3</v>
          </cell>
          <cell r="G887" t="str">
            <v>S</v>
          </cell>
          <cell r="H887" t="str">
            <v>N</v>
          </cell>
          <cell r="I887" t="str">
            <v>CERA</v>
          </cell>
          <cell r="K887" t="str">
            <v>BX8AX</v>
          </cell>
          <cell r="L887">
            <v>75</v>
          </cell>
          <cell r="M887" t="str">
            <v>セラピール　　　　　　　　　　　ＢＸ８Ａ（Ｘ）</v>
          </cell>
          <cell r="N887">
            <v>1110</v>
          </cell>
          <cell r="O887">
            <v>1100</v>
          </cell>
          <cell r="P887">
            <v>4000</v>
          </cell>
          <cell r="Q887">
            <v>2</v>
          </cell>
        </row>
        <row r="888">
          <cell r="A888">
            <v>3703961</v>
          </cell>
          <cell r="B888" t="str">
            <v>情材福島原価</v>
          </cell>
          <cell r="C888" t="str">
            <v>工材１部大阪電材課</v>
          </cell>
          <cell r="D888" t="str">
            <v>ダミー担当者</v>
          </cell>
          <cell r="E888" t="str">
            <v>日東電工㈱豊橋工場</v>
          </cell>
          <cell r="F888">
            <v>3</v>
          </cell>
          <cell r="G888" t="str">
            <v>T</v>
          </cell>
          <cell r="H888" t="str">
            <v>N</v>
          </cell>
          <cell r="I888" t="str">
            <v>CERA</v>
          </cell>
          <cell r="K888" t="str">
            <v>BX8A37</v>
          </cell>
          <cell r="L888">
            <v>75</v>
          </cell>
          <cell r="M888" t="str">
            <v>セラピール　ＢＸ８Ａ（３７）</v>
          </cell>
          <cell r="N888">
            <v>1050</v>
          </cell>
          <cell r="O888">
            <v>1050</v>
          </cell>
          <cell r="P888">
            <v>5800</v>
          </cell>
          <cell r="Q888">
            <v>2</v>
          </cell>
        </row>
        <row r="889">
          <cell r="A889">
            <v>3703962</v>
          </cell>
          <cell r="B889" t="str">
            <v>福島コーティング</v>
          </cell>
          <cell r="C889" t="str">
            <v>プロセス材２課</v>
          </cell>
          <cell r="D889" t="str">
            <v>ダミー担当者</v>
          </cell>
          <cell r="E889" t="str">
            <v>日榮新化㈱</v>
          </cell>
          <cell r="F889">
            <v>3</v>
          </cell>
          <cell r="G889" t="str">
            <v>S</v>
          </cell>
          <cell r="H889" t="str">
            <v>Y</v>
          </cell>
          <cell r="I889" t="str">
            <v>CERA</v>
          </cell>
          <cell r="K889" t="str">
            <v>BX8AS</v>
          </cell>
          <cell r="L889">
            <v>75</v>
          </cell>
          <cell r="M889" t="str">
            <v>セラピール　ＢＸ８Ａ（Ｓ）</v>
          </cell>
          <cell r="N889">
            <v>1040</v>
          </cell>
          <cell r="O889">
            <v>1040</v>
          </cell>
          <cell r="P889">
            <v>4000</v>
          </cell>
          <cell r="Q889">
            <v>1</v>
          </cell>
        </row>
        <row r="890">
          <cell r="A890">
            <v>3703963</v>
          </cell>
          <cell r="B890" t="str">
            <v>福島コーティング</v>
          </cell>
          <cell r="C890" t="str">
            <v>プロセス材２課</v>
          </cell>
          <cell r="D890" t="str">
            <v>ダミー担当者</v>
          </cell>
          <cell r="E890" t="str">
            <v>日榮新化㈱</v>
          </cell>
          <cell r="F890">
            <v>3</v>
          </cell>
          <cell r="G890" t="str">
            <v>S</v>
          </cell>
          <cell r="H890" t="str">
            <v>Y</v>
          </cell>
          <cell r="I890" t="str">
            <v>CERA</v>
          </cell>
          <cell r="K890" t="str">
            <v>BX9AS</v>
          </cell>
          <cell r="L890">
            <v>75</v>
          </cell>
          <cell r="M890" t="str">
            <v>セラピール　　　　　　　　　　　ＢＸ９Ａ（Ｓ）</v>
          </cell>
          <cell r="N890">
            <v>1040</v>
          </cell>
          <cell r="O890">
            <v>1040</v>
          </cell>
          <cell r="P890">
            <v>4000</v>
          </cell>
          <cell r="Q890">
            <v>1</v>
          </cell>
        </row>
        <row r="891">
          <cell r="A891">
            <v>3703964</v>
          </cell>
          <cell r="B891" t="str">
            <v>情材福島原価</v>
          </cell>
          <cell r="C891" t="str">
            <v>工材１部電材課</v>
          </cell>
          <cell r="D891" t="str">
            <v>ダミー担当者</v>
          </cell>
          <cell r="E891" t="str">
            <v>藤産業㈱</v>
          </cell>
          <cell r="F891">
            <v>3</v>
          </cell>
          <cell r="G891" t="str">
            <v>T</v>
          </cell>
          <cell r="H891" t="str">
            <v>N</v>
          </cell>
          <cell r="I891" t="str">
            <v>CERA</v>
          </cell>
          <cell r="K891" t="str">
            <v>WZ34</v>
          </cell>
          <cell r="L891">
            <v>25</v>
          </cell>
          <cell r="M891" t="str">
            <v>セラピール　ＷＺ（３４）</v>
          </cell>
          <cell r="N891">
            <v>1410</v>
          </cell>
          <cell r="O891">
            <v>1410</v>
          </cell>
          <cell r="P891">
            <v>6000</v>
          </cell>
          <cell r="Q891">
            <v>2</v>
          </cell>
        </row>
        <row r="892">
          <cell r="A892">
            <v>3703965</v>
          </cell>
          <cell r="B892" t="str">
            <v>情材福島原価</v>
          </cell>
          <cell r="C892" t="str">
            <v>工材１部電材課</v>
          </cell>
          <cell r="D892" t="str">
            <v>ダミー担当者</v>
          </cell>
          <cell r="E892" t="str">
            <v>藤産業㈱</v>
          </cell>
          <cell r="F892">
            <v>3</v>
          </cell>
          <cell r="G892" t="str">
            <v>T</v>
          </cell>
          <cell r="H892" t="str">
            <v>N</v>
          </cell>
          <cell r="I892" t="str">
            <v>CERA</v>
          </cell>
          <cell r="K892" t="str">
            <v>WZ34</v>
          </cell>
          <cell r="L892">
            <v>25</v>
          </cell>
          <cell r="M892" t="str">
            <v>セラピール　ＷＺ（３４）</v>
          </cell>
          <cell r="N892">
            <v>1410</v>
          </cell>
          <cell r="O892">
            <v>1410</v>
          </cell>
          <cell r="P892">
            <v>6000</v>
          </cell>
          <cell r="Q892">
            <v>2</v>
          </cell>
        </row>
        <row r="893">
          <cell r="A893">
            <v>3703966</v>
          </cell>
          <cell r="B893" t="str">
            <v>福島コーティング</v>
          </cell>
          <cell r="C893" t="str">
            <v>プロセス材１課</v>
          </cell>
          <cell r="D893" t="str">
            <v>ダミー担当者</v>
          </cell>
          <cell r="E893" t="str">
            <v>リンテック㈱</v>
          </cell>
          <cell r="F893">
            <v>3</v>
          </cell>
          <cell r="G893" t="str">
            <v>S</v>
          </cell>
          <cell r="H893" t="str">
            <v>N</v>
          </cell>
          <cell r="I893" t="str">
            <v>CERA</v>
          </cell>
          <cell r="K893" t="str">
            <v>WZS</v>
          </cell>
          <cell r="L893">
            <v>38</v>
          </cell>
          <cell r="M893" t="str">
            <v>セラピール　　　　　　　　　　　ＷＺ（Ｓ）</v>
          </cell>
          <cell r="N893">
            <v>1415</v>
          </cell>
          <cell r="O893">
            <v>1410</v>
          </cell>
          <cell r="P893">
            <v>8000</v>
          </cell>
          <cell r="Q893">
            <v>2</v>
          </cell>
        </row>
        <row r="894">
          <cell r="A894">
            <v>3703967</v>
          </cell>
          <cell r="B894" t="str">
            <v>福島コーティング</v>
          </cell>
          <cell r="C894" t="str">
            <v>工材１部電材課</v>
          </cell>
          <cell r="D894" t="str">
            <v>ダミー担当者</v>
          </cell>
          <cell r="E894" t="str">
            <v>古河電気工業㈱</v>
          </cell>
          <cell r="F894">
            <v>3</v>
          </cell>
          <cell r="G894" t="str">
            <v>S</v>
          </cell>
          <cell r="H894" t="str">
            <v>N</v>
          </cell>
          <cell r="I894" t="str">
            <v>CERA</v>
          </cell>
          <cell r="K894" t="str">
            <v>WZE</v>
          </cell>
          <cell r="L894">
            <v>25</v>
          </cell>
          <cell r="M894" t="str">
            <v>セラピール　　　　　　　　　　　ＷＺ（Ｅ）</v>
          </cell>
          <cell r="N894">
            <v>1240</v>
          </cell>
          <cell r="O894">
            <v>1240</v>
          </cell>
          <cell r="P894">
            <v>6000</v>
          </cell>
          <cell r="Q894">
            <v>2</v>
          </cell>
        </row>
        <row r="895">
          <cell r="A895">
            <v>3703968</v>
          </cell>
          <cell r="B895" t="str">
            <v>福島コーティング</v>
          </cell>
          <cell r="C895" t="str">
            <v>工材１部電材課</v>
          </cell>
          <cell r="D895" t="str">
            <v>ダミー担当者</v>
          </cell>
          <cell r="E895" t="str">
            <v>古河電気工業㈱</v>
          </cell>
          <cell r="F895">
            <v>3</v>
          </cell>
          <cell r="G895" t="str">
            <v>S</v>
          </cell>
          <cell r="H895" t="str">
            <v>N</v>
          </cell>
          <cell r="I895" t="str">
            <v>CERA</v>
          </cell>
          <cell r="K895" t="str">
            <v>WZE</v>
          </cell>
          <cell r="L895">
            <v>38</v>
          </cell>
          <cell r="M895" t="str">
            <v>セラピール　　　　　　　　　　　ＷＺ（Ｅ）</v>
          </cell>
          <cell r="N895">
            <v>1240</v>
          </cell>
          <cell r="O895">
            <v>1240</v>
          </cell>
          <cell r="P895">
            <v>6000</v>
          </cell>
          <cell r="Q895">
            <v>2</v>
          </cell>
        </row>
        <row r="896">
          <cell r="A896">
            <v>3703969</v>
          </cell>
          <cell r="B896" t="str">
            <v>福島コーティング</v>
          </cell>
          <cell r="C896" t="str">
            <v>工材１部電材課</v>
          </cell>
          <cell r="D896" t="str">
            <v>ダミー担当者</v>
          </cell>
          <cell r="E896" t="str">
            <v>東洋包材㈱</v>
          </cell>
          <cell r="F896">
            <v>3</v>
          </cell>
          <cell r="G896" t="str">
            <v>S</v>
          </cell>
          <cell r="H896" t="str">
            <v>N</v>
          </cell>
          <cell r="I896" t="str">
            <v>CERA</v>
          </cell>
          <cell r="K896" t="str">
            <v>WZRX</v>
          </cell>
          <cell r="L896">
            <v>38</v>
          </cell>
          <cell r="M896" t="str">
            <v>セラピール　ＷＺ（ＲＸ）　　　　　　</v>
          </cell>
          <cell r="N896">
            <v>1135</v>
          </cell>
          <cell r="O896">
            <v>1130</v>
          </cell>
          <cell r="P896">
            <v>6000</v>
          </cell>
          <cell r="Q896">
            <v>2</v>
          </cell>
        </row>
        <row r="897">
          <cell r="A897">
            <v>3703970</v>
          </cell>
          <cell r="B897" t="str">
            <v>福島コーティング</v>
          </cell>
          <cell r="C897" t="str">
            <v>工材１部電材課</v>
          </cell>
          <cell r="D897" t="str">
            <v>ダミー担当者</v>
          </cell>
          <cell r="E897" t="str">
            <v>パナック㈱亀山工場</v>
          </cell>
          <cell r="F897">
            <v>3</v>
          </cell>
          <cell r="G897" t="str">
            <v>S</v>
          </cell>
          <cell r="H897" t="str">
            <v>N</v>
          </cell>
          <cell r="I897" t="str">
            <v>CERA</v>
          </cell>
          <cell r="K897" t="str">
            <v>WZ</v>
          </cell>
          <cell r="L897">
            <v>25</v>
          </cell>
          <cell r="M897" t="str">
            <v>セラピール　　　　　　　　　　　ＷＺ</v>
          </cell>
          <cell r="N897">
            <v>1100</v>
          </cell>
          <cell r="O897">
            <v>1100</v>
          </cell>
          <cell r="P897">
            <v>12000</v>
          </cell>
          <cell r="Q897">
            <v>2</v>
          </cell>
        </row>
        <row r="898">
          <cell r="A898">
            <v>3703971</v>
          </cell>
          <cell r="B898" t="str">
            <v>福島コーティング</v>
          </cell>
          <cell r="C898" t="str">
            <v>工材１部電材課</v>
          </cell>
          <cell r="D898" t="str">
            <v>ダミー担当者</v>
          </cell>
          <cell r="E898" t="str">
            <v>古河電気工業㈱</v>
          </cell>
          <cell r="F898">
            <v>3</v>
          </cell>
          <cell r="G898" t="str">
            <v>S</v>
          </cell>
          <cell r="H898" t="str">
            <v>N</v>
          </cell>
          <cell r="I898" t="str">
            <v>CERA</v>
          </cell>
          <cell r="K898" t="str">
            <v>WZE</v>
          </cell>
          <cell r="L898">
            <v>25</v>
          </cell>
          <cell r="M898" t="str">
            <v>セラピール　　　　　　　　　　　ＷＺ（Ｅ）</v>
          </cell>
          <cell r="N898">
            <v>1040</v>
          </cell>
          <cell r="O898">
            <v>1040</v>
          </cell>
          <cell r="P898">
            <v>6000</v>
          </cell>
          <cell r="Q898">
            <v>2</v>
          </cell>
        </row>
        <row r="899">
          <cell r="A899">
            <v>3703972</v>
          </cell>
          <cell r="B899" t="str">
            <v>福島コーティング</v>
          </cell>
          <cell r="C899" t="str">
            <v>工材１部電材課</v>
          </cell>
          <cell r="D899" t="str">
            <v>ダミー担当者</v>
          </cell>
          <cell r="E899" t="str">
            <v>㈱巴川製紙所</v>
          </cell>
          <cell r="F899">
            <v>331</v>
          </cell>
          <cell r="G899" t="str">
            <v>S</v>
          </cell>
          <cell r="H899" t="str">
            <v>N</v>
          </cell>
          <cell r="I899" t="str">
            <v>CERA</v>
          </cell>
          <cell r="K899" t="str">
            <v>BKERXT</v>
          </cell>
          <cell r="L899">
            <v>38</v>
          </cell>
          <cell r="M899" t="str">
            <v>セラピール　ＢＫＥ（ＲＸ）</v>
          </cell>
          <cell r="N899">
            <v>1580</v>
          </cell>
          <cell r="O899">
            <v>1580</v>
          </cell>
          <cell r="P899">
            <v>6000</v>
          </cell>
          <cell r="Q899">
            <v>2</v>
          </cell>
        </row>
        <row r="900">
          <cell r="A900">
            <v>3703973</v>
          </cell>
          <cell r="B900" t="str">
            <v>福島コーティング</v>
          </cell>
          <cell r="C900" t="str">
            <v>工材１部電材課</v>
          </cell>
          <cell r="D900" t="str">
            <v>ダミー担当者</v>
          </cell>
          <cell r="E900" t="str">
            <v>㈱巴川製紙所</v>
          </cell>
          <cell r="F900">
            <v>331</v>
          </cell>
          <cell r="G900" t="str">
            <v>S</v>
          </cell>
          <cell r="H900" t="str">
            <v>N</v>
          </cell>
          <cell r="I900" t="str">
            <v>CERA</v>
          </cell>
          <cell r="K900" t="str">
            <v>BKERXT</v>
          </cell>
          <cell r="L900">
            <v>25</v>
          </cell>
          <cell r="M900" t="str">
            <v>セラピール　ＢＫＥ（ＲＸ）</v>
          </cell>
          <cell r="N900">
            <v>1330</v>
          </cell>
          <cell r="O900">
            <v>1330</v>
          </cell>
          <cell r="P900">
            <v>6000</v>
          </cell>
          <cell r="Q900">
            <v>2</v>
          </cell>
        </row>
        <row r="901">
          <cell r="A901">
            <v>3703974</v>
          </cell>
          <cell r="B901" t="str">
            <v>福島コーティング</v>
          </cell>
          <cell r="C901" t="str">
            <v>工材１部電材課</v>
          </cell>
          <cell r="D901" t="str">
            <v>ダミー担当者</v>
          </cell>
          <cell r="E901" t="str">
            <v>パナック㈱亀山工場</v>
          </cell>
          <cell r="F901">
            <v>331</v>
          </cell>
          <cell r="G901" t="str">
            <v>S</v>
          </cell>
          <cell r="H901" t="str">
            <v>N</v>
          </cell>
          <cell r="I901" t="str">
            <v>CERA</v>
          </cell>
          <cell r="K901" t="str">
            <v>BKERXPT</v>
          </cell>
          <cell r="L901">
            <v>38</v>
          </cell>
          <cell r="M901" t="str">
            <v>セラピール　ＢＫＥ（ＲＸ）</v>
          </cell>
          <cell r="N901">
            <v>1330</v>
          </cell>
          <cell r="O901">
            <v>1330</v>
          </cell>
          <cell r="P901">
            <v>6000</v>
          </cell>
          <cell r="Q901">
            <v>2</v>
          </cell>
        </row>
        <row r="902">
          <cell r="A902">
            <v>3703975</v>
          </cell>
          <cell r="B902" t="str">
            <v>福島コーティング</v>
          </cell>
          <cell r="C902" t="str">
            <v>工材１部電材課</v>
          </cell>
          <cell r="D902" t="str">
            <v>ダミー担当者</v>
          </cell>
          <cell r="E902" t="str">
            <v>㈱巴川製紙所</v>
          </cell>
          <cell r="F902">
            <v>331</v>
          </cell>
          <cell r="G902" t="str">
            <v>S</v>
          </cell>
          <cell r="H902" t="str">
            <v>N</v>
          </cell>
          <cell r="I902" t="str">
            <v>CERA</v>
          </cell>
          <cell r="K902" t="str">
            <v>BKERXT</v>
          </cell>
          <cell r="L902">
            <v>38</v>
          </cell>
          <cell r="M902" t="str">
            <v>セラピール　ＢＫＥ（ＲＸ）</v>
          </cell>
          <cell r="N902">
            <v>1330</v>
          </cell>
          <cell r="O902">
            <v>1330</v>
          </cell>
          <cell r="P902">
            <v>6000</v>
          </cell>
          <cell r="Q902">
            <v>2</v>
          </cell>
        </row>
        <row r="903">
          <cell r="A903">
            <v>3703976</v>
          </cell>
          <cell r="B903" t="str">
            <v>福島コーティング</v>
          </cell>
          <cell r="C903" t="str">
            <v>工材１部電材課</v>
          </cell>
          <cell r="D903" t="str">
            <v>ダミー担当者</v>
          </cell>
          <cell r="E903" t="str">
            <v>パナック㈱亀山工場</v>
          </cell>
          <cell r="F903">
            <v>3</v>
          </cell>
          <cell r="G903" t="str">
            <v>S</v>
          </cell>
          <cell r="H903" t="str">
            <v>N</v>
          </cell>
          <cell r="I903" t="str">
            <v>CERA</v>
          </cell>
          <cell r="K903" t="str">
            <v>BKE09</v>
          </cell>
          <cell r="L903">
            <v>38</v>
          </cell>
          <cell r="M903" t="str">
            <v>セラピール　ＢＫＥ（０９）</v>
          </cell>
          <cell r="N903">
            <v>1057</v>
          </cell>
          <cell r="O903">
            <v>1050</v>
          </cell>
          <cell r="P903">
            <v>8400</v>
          </cell>
          <cell r="Q903">
            <v>2</v>
          </cell>
        </row>
        <row r="904">
          <cell r="A904">
            <v>3703977</v>
          </cell>
          <cell r="B904" t="str">
            <v>福島コーティング</v>
          </cell>
          <cell r="C904" t="str">
            <v>工材１部電材課</v>
          </cell>
          <cell r="D904" t="str">
            <v>ダミー担当者</v>
          </cell>
          <cell r="E904" t="str">
            <v>パナック㈱亀山工場</v>
          </cell>
          <cell r="F904">
            <v>3</v>
          </cell>
          <cell r="G904" t="str">
            <v>S</v>
          </cell>
          <cell r="H904" t="str">
            <v>N</v>
          </cell>
          <cell r="I904" t="str">
            <v>CERA</v>
          </cell>
          <cell r="K904" t="str">
            <v>BKE09</v>
          </cell>
          <cell r="L904">
            <v>38</v>
          </cell>
          <cell r="M904" t="str">
            <v>セラピール　ＢＫＥ（０９）</v>
          </cell>
          <cell r="N904">
            <v>1037</v>
          </cell>
          <cell r="O904">
            <v>1030</v>
          </cell>
          <cell r="P904">
            <v>8500</v>
          </cell>
          <cell r="Q904">
            <v>2</v>
          </cell>
        </row>
        <row r="905">
          <cell r="A905">
            <v>3703978</v>
          </cell>
          <cell r="B905" t="str">
            <v>福島コーティング</v>
          </cell>
          <cell r="C905" t="str">
            <v>工材１部電材課</v>
          </cell>
          <cell r="D905" t="str">
            <v>ダミー担当者</v>
          </cell>
          <cell r="E905" t="str">
            <v>積水化学武蔵工場</v>
          </cell>
          <cell r="F905">
            <v>3</v>
          </cell>
          <cell r="G905" t="str">
            <v>S</v>
          </cell>
          <cell r="H905" t="str">
            <v>N</v>
          </cell>
          <cell r="I905" t="str">
            <v>CERA</v>
          </cell>
          <cell r="K905" t="str">
            <v>BKU</v>
          </cell>
          <cell r="L905">
            <v>25</v>
          </cell>
          <cell r="M905" t="str">
            <v>セラピ－ル　ＢＫ（Ｕ）</v>
          </cell>
          <cell r="N905">
            <v>890</v>
          </cell>
          <cell r="O905">
            <v>890</v>
          </cell>
          <cell r="P905">
            <v>3800</v>
          </cell>
          <cell r="Q905">
            <v>2</v>
          </cell>
        </row>
        <row r="906">
          <cell r="A906">
            <v>3703979</v>
          </cell>
          <cell r="B906" t="str">
            <v>福島コーティング</v>
          </cell>
          <cell r="C906" t="str">
            <v>大阪光学機能材課</v>
          </cell>
          <cell r="D906" t="str">
            <v>ダミー担当者</v>
          </cell>
          <cell r="E906" t="str">
            <v>日東電工㈱尾道事業所</v>
          </cell>
          <cell r="F906">
            <v>3321</v>
          </cell>
          <cell r="G906" t="str">
            <v>S</v>
          </cell>
          <cell r="H906" t="str">
            <v>N</v>
          </cell>
          <cell r="I906" t="str">
            <v>CERA</v>
          </cell>
          <cell r="K906" t="str">
            <v>MDACPFL</v>
          </cell>
          <cell r="L906">
            <v>38</v>
          </cell>
          <cell r="M906" t="str">
            <v>Ｋ　セラピールＭＤＡ（ＣＰＲＦ）Ｌ</v>
          </cell>
          <cell r="N906">
            <v>1336</v>
          </cell>
          <cell r="O906">
            <v>1325</v>
          </cell>
          <cell r="P906">
            <v>12000</v>
          </cell>
          <cell r="Q906">
            <v>2</v>
          </cell>
        </row>
        <row r="907">
          <cell r="A907">
            <v>3703980</v>
          </cell>
          <cell r="B907" t="str">
            <v>福島コーティング</v>
          </cell>
          <cell r="C907" t="str">
            <v>大阪光学機能材課</v>
          </cell>
          <cell r="D907" t="str">
            <v>ダミー担当者</v>
          </cell>
          <cell r="E907" t="str">
            <v>日東電工㈱尾道事業所</v>
          </cell>
          <cell r="F907">
            <v>3321</v>
          </cell>
          <cell r="G907" t="str">
            <v>S</v>
          </cell>
          <cell r="H907" t="str">
            <v>N</v>
          </cell>
          <cell r="I907" t="str">
            <v>CERA</v>
          </cell>
          <cell r="K907" t="str">
            <v>MDAPFL</v>
          </cell>
          <cell r="L907">
            <v>38</v>
          </cell>
          <cell r="M907" t="str">
            <v>Ｋ　セラピールＭＤＡ（ＰＲＦ）Ｌ</v>
          </cell>
          <cell r="N907">
            <v>1336</v>
          </cell>
          <cell r="O907">
            <v>1325</v>
          </cell>
          <cell r="P907">
            <v>12000</v>
          </cell>
          <cell r="Q907">
            <v>2</v>
          </cell>
        </row>
        <row r="908">
          <cell r="A908">
            <v>3703981</v>
          </cell>
          <cell r="B908" t="str">
            <v>福島コーティング</v>
          </cell>
          <cell r="C908" t="str">
            <v>工材１部大阪電材課</v>
          </cell>
          <cell r="D908" t="str">
            <v>ダミー担当者</v>
          </cell>
          <cell r="E908" t="str">
            <v>日東電工㈱豊橋工場</v>
          </cell>
          <cell r="F908">
            <v>331</v>
          </cell>
          <cell r="G908" t="str">
            <v>S</v>
          </cell>
          <cell r="H908" t="str">
            <v>N</v>
          </cell>
          <cell r="I908" t="str">
            <v>CERA</v>
          </cell>
          <cell r="K908" t="str">
            <v>MD(A)R</v>
          </cell>
          <cell r="L908">
            <v>38</v>
          </cell>
          <cell r="M908" t="str">
            <v>セラピール　ＭＤ（Ａ）（Ｒ）</v>
          </cell>
          <cell r="N908">
            <v>1255</v>
          </cell>
          <cell r="O908">
            <v>1250</v>
          </cell>
          <cell r="P908">
            <v>6000</v>
          </cell>
          <cell r="Q908">
            <v>2</v>
          </cell>
        </row>
        <row r="909">
          <cell r="A909">
            <v>3703982</v>
          </cell>
          <cell r="B909" t="str">
            <v>福島コーティング</v>
          </cell>
          <cell r="C909" t="str">
            <v>工材１部電材課</v>
          </cell>
          <cell r="D909" t="str">
            <v>ダミー担当者</v>
          </cell>
          <cell r="E909" t="str">
            <v>パナック㈱亀山工場</v>
          </cell>
          <cell r="F909">
            <v>331</v>
          </cell>
          <cell r="G909" t="str">
            <v>S</v>
          </cell>
          <cell r="H909" t="str">
            <v>N</v>
          </cell>
          <cell r="I909" t="str">
            <v>CERA</v>
          </cell>
          <cell r="K909" t="str">
            <v>BX8ARXA</v>
          </cell>
          <cell r="L909">
            <v>38</v>
          </cell>
          <cell r="M909" t="str">
            <v>セラピール　ＢＸ８ＡＲＸ</v>
          </cell>
          <cell r="N909">
            <v>1330</v>
          </cell>
          <cell r="O909">
            <v>1330</v>
          </cell>
          <cell r="P909">
            <v>6000</v>
          </cell>
          <cell r="Q909">
            <v>2</v>
          </cell>
        </row>
        <row r="910">
          <cell r="A910">
            <v>3703983</v>
          </cell>
          <cell r="B910" t="str">
            <v>福島コーティング</v>
          </cell>
          <cell r="C910" t="str">
            <v>工材１部電材課</v>
          </cell>
          <cell r="D910" t="str">
            <v>ダミー担当者</v>
          </cell>
          <cell r="E910" t="str">
            <v>㈱巴川製紙所</v>
          </cell>
          <cell r="F910">
            <v>331</v>
          </cell>
          <cell r="G910" t="str">
            <v>S</v>
          </cell>
          <cell r="H910" t="str">
            <v>N</v>
          </cell>
          <cell r="I910" t="str">
            <v>CERA</v>
          </cell>
          <cell r="K910" t="str">
            <v>BX8ARXT</v>
          </cell>
          <cell r="L910">
            <v>38</v>
          </cell>
          <cell r="M910" t="str">
            <v>セラピール　ＢＸ８ＡＲＸ</v>
          </cell>
          <cell r="N910">
            <v>1330</v>
          </cell>
          <cell r="O910">
            <v>1330</v>
          </cell>
          <cell r="P910">
            <v>6000</v>
          </cell>
          <cell r="Q910">
            <v>2</v>
          </cell>
        </row>
        <row r="911">
          <cell r="A911">
            <v>3703984</v>
          </cell>
          <cell r="B911" t="str">
            <v>福島コーティング</v>
          </cell>
          <cell r="C911" t="str">
            <v>工材１部電材課</v>
          </cell>
          <cell r="D911" t="str">
            <v>ダミー担当者</v>
          </cell>
          <cell r="E911" t="str">
            <v>㈱巴川製紙所</v>
          </cell>
          <cell r="F911">
            <v>3</v>
          </cell>
          <cell r="G911" t="str">
            <v>S</v>
          </cell>
          <cell r="H911" t="str">
            <v>N</v>
          </cell>
          <cell r="I911" t="str">
            <v>CERA</v>
          </cell>
          <cell r="K911" t="str">
            <v>BX8AX</v>
          </cell>
          <cell r="L911">
            <v>75</v>
          </cell>
          <cell r="M911" t="str">
            <v>セラピール　　　　　　　　　　　ＢＸ８Ａ（Ｘ）</v>
          </cell>
          <cell r="N911">
            <v>1330</v>
          </cell>
          <cell r="O911">
            <v>1330</v>
          </cell>
          <cell r="P911">
            <v>4100</v>
          </cell>
          <cell r="Q911">
            <v>2</v>
          </cell>
        </row>
        <row r="912">
          <cell r="A912">
            <v>3703985</v>
          </cell>
          <cell r="B912" t="str">
            <v>福島コーティング</v>
          </cell>
          <cell r="C912" t="str">
            <v>プロセス材１課</v>
          </cell>
          <cell r="D912" t="str">
            <v>ダミー担当者</v>
          </cell>
          <cell r="E912" t="str">
            <v>リンテック㈱</v>
          </cell>
          <cell r="F912">
            <v>3</v>
          </cell>
          <cell r="G912" t="str">
            <v>S</v>
          </cell>
          <cell r="H912" t="str">
            <v>N</v>
          </cell>
          <cell r="I912" t="str">
            <v>CLB</v>
          </cell>
          <cell r="K912" t="str">
            <v>E20V</v>
          </cell>
          <cell r="L912">
            <v>75</v>
          </cell>
          <cell r="M912" t="str">
            <v>ルミラー　Ｅ－２０　Ｖ</v>
          </cell>
          <cell r="N912">
            <v>1002</v>
          </cell>
          <cell r="O912">
            <v>1000</v>
          </cell>
          <cell r="P912">
            <v>3000</v>
          </cell>
          <cell r="Q912">
            <v>2</v>
          </cell>
        </row>
        <row r="913">
          <cell r="A913">
            <v>3704006</v>
          </cell>
          <cell r="B913" t="str">
            <v>福島コーティング</v>
          </cell>
          <cell r="C913" t="str">
            <v>プロセス材２課</v>
          </cell>
          <cell r="D913" t="str">
            <v>ダミー担当者</v>
          </cell>
          <cell r="E913" t="str">
            <v>藤森工業㈱掛川事業所</v>
          </cell>
          <cell r="F913">
            <v>3</v>
          </cell>
          <cell r="G913" t="str">
            <v>S</v>
          </cell>
          <cell r="H913" t="str">
            <v>N</v>
          </cell>
          <cell r="I913" t="str">
            <v>CLB</v>
          </cell>
          <cell r="K913" t="str">
            <v>PETTL</v>
          </cell>
          <cell r="L913">
            <v>38</v>
          </cell>
          <cell r="M913" t="str">
            <v>ＰＥＴ　ＴＬ</v>
          </cell>
          <cell r="N913">
            <v>1320</v>
          </cell>
          <cell r="O913">
            <v>1320</v>
          </cell>
          <cell r="P913">
            <v>4200</v>
          </cell>
          <cell r="Q913">
            <v>2</v>
          </cell>
        </row>
        <row r="914">
          <cell r="A914">
            <v>3704007</v>
          </cell>
          <cell r="B914" t="str">
            <v>福島コーティング</v>
          </cell>
          <cell r="C914" t="str">
            <v>プロセス材２課</v>
          </cell>
          <cell r="D914" t="str">
            <v>ダミー担当者</v>
          </cell>
          <cell r="E914" t="str">
            <v>藤森工業㈱掛川事業所</v>
          </cell>
          <cell r="F914">
            <v>3</v>
          </cell>
          <cell r="G914" t="str">
            <v>S</v>
          </cell>
          <cell r="H914" t="str">
            <v>N</v>
          </cell>
          <cell r="I914" t="str">
            <v>CLB</v>
          </cell>
          <cell r="K914" t="str">
            <v>PETTL</v>
          </cell>
          <cell r="L914">
            <v>50</v>
          </cell>
          <cell r="M914" t="str">
            <v>ＰＥＴ　ＴＬ</v>
          </cell>
          <cell r="N914">
            <v>1320</v>
          </cell>
          <cell r="O914">
            <v>1320</v>
          </cell>
          <cell r="P914">
            <v>4200</v>
          </cell>
          <cell r="Q914">
            <v>2</v>
          </cell>
        </row>
        <row r="915">
          <cell r="A915">
            <v>3708649</v>
          </cell>
          <cell r="B915" t="str">
            <v>福島コーティング</v>
          </cell>
          <cell r="C915" t="str">
            <v>工材１部電材課</v>
          </cell>
          <cell r="D915" t="str">
            <v>ダミー担当者</v>
          </cell>
          <cell r="E915" t="str">
            <v>古河電気工業㈱</v>
          </cell>
          <cell r="F915">
            <v>3303</v>
          </cell>
          <cell r="G915" t="str">
            <v>S</v>
          </cell>
          <cell r="H915" t="str">
            <v>N</v>
          </cell>
          <cell r="I915" t="str">
            <v>CERA</v>
          </cell>
          <cell r="K915" t="str">
            <v>WZE</v>
          </cell>
          <cell r="L915">
            <v>25</v>
          </cell>
          <cell r="M915" t="str">
            <v>セラピール　　　　　　　　　　　ＷＺ（Ｅ）</v>
          </cell>
          <cell r="N915">
            <v>1240</v>
          </cell>
          <cell r="O915">
            <v>1240</v>
          </cell>
          <cell r="P915">
            <v>6000</v>
          </cell>
          <cell r="Q915">
            <v>2</v>
          </cell>
        </row>
        <row r="916">
          <cell r="A916">
            <v>3708657</v>
          </cell>
          <cell r="B916" t="str">
            <v>福島コーティング</v>
          </cell>
          <cell r="C916" t="str">
            <v>工材１部大阪電材課</v>
          </cell>
          <cell r="D916" t="str">
            <v>ダミー担当者</v>
          </cell>
          <cell r="E916" t="str">
            <v>日東電工㈱豊橋工場</v>
          </cell>
          <cell r="F916">
            <v>3313</v>
          </cell>
          <cell r="G916" t="str">
            <v>S</v>
          </cell>
          <cell r="H916" t="str">
            <v>N</v>
          </cell>
          <cell r="I916" t="str">
            <v>CERA</v>
          </cell>
          <cell r="K916" t="str">
            <v>MD(A)R</v>
          </cell>
          <cell r="L916">
            <v>38</v>
          </cell>
          <cell r="M916" t="str">
            <v>セラピール　ＭＤ（Ａ）（Ｒ）</v>
          </cell>
          <cell r="N916">
            <v>750</v>
          </cell>
          <cell r="O916">
            <v>750</v>
          </cell>
          <cell r="P916">
            <v>6000</v>
          </cell>
          <cell r="Q916">
            <v>2</v>
          </cell>
        </row>
        <row r="917">
          <cell r="A917">
            <v>3708658</v>
          </cell>
          <cell r="B917" t="str">
            <v>福島コーティング</v>
          </cell>
          <cell r="C917" t="str">
            <v>工材１部大阪電材課</v>
          </cell>
          <cell r="D917" t="str">
            <v>ダミー担当者</v>
          </cell>
          <cell r="E917" t="str">
            <v>日東電工㈱豊橋工場</v>
          </cell>
          <cell r="F917">
            <v>331</v>
          </cell>
          <cell r="G917" t="str">
            <v>S</v>
          </cell>
          <cell r="H917" t="str">
            <v>N</v>
          </cell>
          <cell r="I917" t="str">
            <v>CERA</v>
          </cell>
          <cell r="K917" t="str">
            <v>MD(A)R</v>
          </cell>
          <cell r="L917">
            <v>38</v>
          </cell>
          <cell r="M917" t="str">
            <v>セラピール　ＭＤ（Ａ）（Ｒ）</v>
          </cell>
          <cell r="N917">
            <v>1255</v>
          </cell>
          <cell r="O917">
            <v>1250</v>
          </cell>
          <cell r="P917">
            <v>6000</v>
          </cell>
          <cell r="Q917">
            <v>2</v>
          </cell>
        </row>
        <row r="918">
          <cell r="A918">
            <v>3708659</v>
          </cell>
          <cell r="B918" t="str">
            <v>福島コーティング</v>
          </cell>
          <cell r="C918" t="str">
            <v>大阪光学機能材課</v>
          </cell>
          <cell r="D918" t="str">
            <v>ダミー担当者</v>
          </cell>
          <cell r="E918" t="str">
            <v>日東電工㈱尾道事業所</v>
          </cell>
          <cell r="F918">
            <v>3321</v>
          </cell>
          <cell r="G918" t="str">
            <v>S</v>
          </cell>
          <cell r="H918" t="str">
            <v>N</v>
          </cell>
          <cell r="I918" t="str">
            <v>CERA</v>
          </cell>
          <cell r="K918" t="str">
            <v>MDACPFL</v>
          </cell>
          <cell r="L918">
            <v>38</v>
          </cell>
          <cell r="M918" t="str">
            <v>Ｋ　セラピールＭＤＡ（ＣＰＲＦ）Ｌ</v>
          </cell>
          <cell r="N918">
            <v>1336</v>
          </cell>
          <cell r="O918">
            <v>1325</v>
          </cell>
          <cell r="P918">
            <v>12000</v>
          </cell>
          <cell r="Q918">
            <v>2</v>
          </cell>
        </row>
        <row r="919">
          <cell r="A919">
            <v>3708660</v>
          </cell>
          <cell r="B919" t="str">
            <v>福島コーティング</v>
          </cell>
          <cell r="C919" t="str">
            <v>大阪光学機能材課</v>
          </cell>
          <cell r="D919" t="str">
            <v>ダミー担当者</v>
          </cell>
          <cell r="E919" t="str">
            <v>日東電工㈱尾道事業所</v>
          </cell>
          <cell r="F919">
            <v>3321</v>
          </cell>
          <cell r="G919" t="str">
            <v>S</v>
          </cell>
          <cell r="H919" t="str">
            <v>N</v>
          </cell>
          <cell r="I919" t="str">
            <v>CERA</v>
          </cell>
          <cell r="K919" t="str">
            <v>MDAPFL</v>
          </cell>
          <cell r="L919">
            <v>38</v>
          </cell>
          <cell r="M919" t="str">
            <v>Ｋ　セラピールＭＤＡ（ＰＲＦ）Ｌ</v>
          </cell>
          <cell r="N919">
            <v>1336</v>
          </cell>
          <cell r="O919">
            <v>1325</v>
          </cell>
          <cell r="P919">
            <v>12000</v>
          </cell>
          <cell r="Q919">
            <v>2</v>
          </cell>
        </row>
        <row r="920">
          <cell r="A920">
            <v>3708661</v>
          </cell>
          <cell r="B920" t="str">
            <v>福島コーティング</v>
          </cell>
          <cell r="C920" t="str">
            <v>工材１部電材課</v>
          </cell>
          <cell r="D920" t="str">
            <v>ダミー担当者</v>
          </cell>
          <cell r="E920" t="str">
            <v>㈱巴川製紙所</v>
          </cell>
          <cell r="F920">
            <v>331</v>
          </cell>
          <cell r="G920" t="str">
            <v>S</v>
          </cell>
          <cell r="H920" t="str">
            <v>N</v>
          </cell>
          <cell r="I920" t="str">
            <v>CERA</v>
          </cell>
          <cell r="K920" t="str">
            <v>BKERXT</v>
          </cell>
          <cell r="L920">
            <v>38</v>
          </cell>
          <cell r="M920" t="str">
            <v>セラピール　ＢＫＥ（ＲＸ）</v>
          </cell>
          <cell r="N920">
            <v>1580</v>
          </cell>
          <cell r="O920">
            <v>1580</v>
          </cell>
          <cell r="P920">
            <v>6000</v>
          </cell>
          <cell r="Q920">
            <v>2</v>
          </cell>
        </row>
        <row r="921">
          <cell r="A921">
            <v>3708662</v>
          </cell>
          <cell r="B921" t="str">
            <v>福島コーティング</v>
          </cell>
          <cell r="C921" t="str">
            <v>工材１部電材課</v>
          </cell>
          <cell r="D921" t="str">
            <v>ダミー担当者</v>
          </cell>
          <cell r="E921" t="str">
            <v>パナック㈱亀山工場</v>
          </cell>
          <cell r="F921">
            <v>331</v>
          </cell>
          <cell r="G921" t="str">
            <v>S</v>
          </cell>
          <cell r="H921" t="str">
            <v>N</v>
          </cell>
          <cell r="I921" t="str">
            <v>CERA</v>
          </cell>
          <cell r="K921" t="str">
            <v>BKE09</v>
          </cell>
          <cell r="L921">
            <v>38</v>
          </cell>
          <cell r="M921" t="str">
            <v>セラピール　ＢＫＥ（０９）</v>
          </cell>
          <cell r="N921">
            <v>1367</v>
          </cell>
          <cell r="O921">
            <v>1360</v>
          </cell>
          <cell r="P921">
            <v>6000</v>
          </cell>
          <cell r="Q921">
            <v>2</v>
          </cell>
        </row>
        <row r="922">
          <cell r="A922">
            <v>3708663</v>
          </cell>
          <cell r="B922" t="str">
            <v>福島コーティング</v>
          </cell>
          <cell r="C922" t="str">
            <v>工材１部電材課</v>
          </cell>
          <cell r="D922" t="str">
            <v>ダミー担当者</v>
          </cell>
          <cell r="E922" t="str">
            <v>パナック㈱亀山工場</v>
          </cell>
          <cell r="F922">
            <v>331</v>
          </cell>
          <cell r="G922" t="str">
            <v>S</v>
          </cell>
          <cell r="H922" t="str">
            <v>N</v>
          </cell>
          <cell r="I922" t="str">
            <v>CERA</v>
          </cell>
          <cell r="K922" t="str">
            <v>BKERXPT</v>
          </cell>
          <cell r="L922">
            <v>38</v>
          </cell>
          <cell r="M922" t="str">
            <v>セラピール　ＢＫＥ（ＲＸ）</v>
          </cell>
          <cell r="N922">
            <v>1330</v>
          </cell>
          <cell r="O922">
            <v>1330</v>
          </cell>
          <cell r="P922">
            <v>6000</v>
          </cell>
          <cell r="Q922">
            <v>2</v>
          </cell>
        </row>
        <row r="923">
          <cell r="A923">
            <v>3708664</v>
          </cell>
          <cell r="B923" t="str">
            <v>福島コーティング</v>
          </cell>
          <cell r="C923" t="str">
            <v>光学機能材１課</v>
          </cell>
          <cell r="D923" t="str">
            <v>ダミー担当者</v>
          </cell>
          <cell r="E923" t="str">
            <v>㈱きもと　三重工場</v>
          </cell>
          <cell r="F923">
            <v>3</v>
          </cell>
          <cell r="G923" t="str">
            <v>S</v>
          </cell>
          <cell r="H923" t="str">
            <v>N</v>
          </cell>
          <cell r="I923" t="str">
            <v>CERA</v>
          </cell>
          <cell r="K923" t="str">
            <v>BKUK</v>
          </cell>
          <cell r="L923">
            <v>25</v>
          </cell>
          <cell r="M923" t="str">
            <v>セラピール　ＢＫ（Ｕ）Ｋ</v>
          </cell>
          <cell r="N923">
            <v>1085</v>
          </cell>
          <cell r="O923">
            <v>1080</v>
          </cell>
          <cell r="P923">
            <v>6000</v>
          </cell>
          <cell r="Q923">
            <v>2</v>
          </cell>
        </row>
        <row r="924">
          <cell r="A924">
            <v>3708665</v>
          </cell>
          <cell r="B924" t="str">
            <v>福島コーティング</v>
          </cell>
          <cell r="C924" t="str">
            <v>工材１部電材課</v>
          </cell>
          <cell r="D924" t="str">
            <v>ダミー担当者</v>
          </cell>
          <cell r="E924" t="str">
            <v>パナック㈱亀山工場</v>
          </cell>
          <cell r="F924">
            <v>3</v>
          </cell>
          <cell r="G924" t="str">
            <v>S</v>
          </cell>
          <cell r="H924" t="str">
            <v>N</v>
          </cell>
          <cell r="I924" t="str">
            <v>CERA</v>
          </cell>
          <cell r="K924" t="str">
            <v>BKE09</v>
          </cell>
          <cell r="L924">
            <v>38</v>
          </cell>
          <cell r="M924" t="str">
            <v>セラピール　ＢＫＥ（０９）</v>
          </cell>
          <cell r="N924">
            <v>1057</v>
          </cell>
          <cell r="O924">
            <v>1050</v>
          </cell>
          <cell r="P924">
            <v>8400</v>
          </cell>
          <cell r="Q924">
            <v>2</v>
          </cell>
        </row>
        <row r="925">
          <cell r="A925">
            <v>3708666</v>
          </cell>
          <cell r="B925" t="str">
            <v>福島コーティング</v>
          </cell>
          <cell r="C925" t="str">
            <v>工材１部電材課</v>
          </cell>
          <cell r="D925" t="str">
            <v>ダミー担当者</v>
          </cell>
          <cell r="E925" t="str">
            <v>パナック㈱亀山工場</v>
          </cell>
          <cell r="F925">
            <v>3</v>
          </cell>
          <cell r="G925" t="str">
            <v>S</v>
          </cell>
          <cell r="H925" t="str">
            <v>N</v>
          </cell>
          <cell r="I925" t="str">
            <v>CERA</v>
          </cell>
          <cell r="K925" t="str">
            <v>BKE09</v>
          </cell>
          <cell r="L925">
            <v>38</v>
          </cell>
          <cell r="M925" t="str">
            <v>セラピール　ＢＫＥ（０９）</v>
          </cell>
          <cell r="N925">
            <v>1037</v>
          </cell>
          <cell r="O925">
            <v>1030</v>
          </cell>
          <cell r="P925">
            <v>8500</v>
          </cell>
          <cell r="Q925">
            <v>2</v>
          </cell>
        </row>
        <row r="926">
          <cell r="A926">
            <v>3708667</v>
          </cell>
          <cell r="B926" t="str">
            <v>情材福島原価</v>
          </cell>
          <cell r="C926" t="str">
            <v>工材１部大阪電材課</v>
          </cell>
          <cell r="D926" t="str">
            <v>ダミー担当者</v>
          </cell>
          <cell r="F926">
            <v>3</v>
          </cell>
          <cell r="G926" t="str">
            <v>T</v>
          </cell>
          <cell r="H926" t="str">
            <v>N</v>
          </cell>
          <cell r="I926" t="str">
            <v>CERA</v>
          </cell>
          <cell r="K926" t="str">
            <v>WZS</v>
          </cell>
          <cell r="L926">
            <v>25</v>
          </cell>
          <cell r="M926" t="str">
            <v>セラピールＷＺ（Ｓ）</v>
          </cell>
          <cell r="N926">
            <v>1100</v>
          </cell>
          <cell r="O926">
            <v>1100</v>
          </cell>
          <cell r="P926">
            <v>12000</v>
          </cell>
          <cell r="Q926">
            <v>2</v>
          </cell>
        </row>
        <row r="927">
          <cell r="A927">
            <v>3708668</v>
          </cell>
          <cell r="B927" t="str">
            <v>情材福島原価</v>
          </cell>
          <cell r="C927" t="str">
            <v>プロセス材２課</v>
          </cell>
          <cell r="D927" t="str">
            <v>ダミー担当者</v>
          </cell>
          <cell r="E927" t="str">
            <v>日榮新化㈱</v>
          </cell>
          <cell r="F927">
            <v>3</v>
          </cell>
          <cell r="G927" t="str">
            <v>T</v>
          </cell>
          <cell r="H927" t="str">
            <v>N</v>
          </cell>
          <cell r="I927" t="str">
            <v>CERA</v>
          </cell>
          <cell r="K927" t="str">
            <v>WZS</v>
          </cell>
          <cell r="L927">
            <v>25</v>
          </cell>
          <cell r="M927" t="str">
            <v>セラピールＷＺ（Ｓ）</v>
          </cell>
          <cell r="N927">
            <v>1425</v>
          </cell>
          <cell r="O927">
            <v>1420</v>
          </cell>
          <cell r="P927">
            <v>12400</v>
          </cell>
          <cell r="Q927">
            <v>2</v>
          </cell>
        </row>
        <row r="928">
          <cell r="A928">
            <v>3708669</v>
          </cell>
          <cell r="B928" t="str">
            <v>情材福島原価</v>
          </cell>
          <cell r="C928" t="str">
            <v>工材１部電材課</v>
          </cell>
          <cell r="D928" t="str">
            <v>ダミー担当者</v>
          </cell>
          <cell r="E928" t="str">
            <v>藤産業㈱</v>
          </cell>
          <cell r="F928">
            <v>3</v>
          </cell>
          <cell r="G928" t="str">
            <v>T</v>
          </cell>
          <cell r="H928" t="str">
            <v>N</v>
          </cell>
          <cell r="I928" t="str">
            <v>CERA</v>
          </cell>
          <cell r="K928" t="str">
            <v>WZ34</v>
          </cell>
          <cell r="L928">
            <v>25</v>
          </cell>
          <cell r="M928" t="str">
            <v>セラピール　ＷＺ（３４）</v>
          </cell>
          <cell r="N928">
            <v>1410</v>
          </cell>
          <cell r="O928">
            <v>1410</v>
          </cell>
          <cell r="P928">
            <v>6000</v>
          </cell>
          <cell r="Q928">
            <v>2</v>
          </cell>
        </row>
        <row r="929">
          <cell r="A929">
            <v>3708670</v>
          </cell>
          <cell r="B929" t="str">
            <v>情材福島原価</v>
          </cell>
          <cell r="C929" t="str">
            <v>工材１部電材課</v>
          </cell>
          <cell r="D929" t="str">
            <v>ダミー担当者</v>
          </cell>
          <cell r="E929" t="str">
            <v>藤産業㈱</v>
          </cell>
          <cell r="F929">
            <v>3</v>
          </cell>
          <cell r="G929" t="str">
            <v>T</v>
          </cell>
          <cell r="H929" t="str">
            <v>N</v>
          </cell>
          <cell r="I929" t="str">
            <v>CERA</v>
          </cell>
          <cell r="K929" t="str">
            <v>WZ34</v>
          </cell>
          <cell r="L929">
            <v>25</v>
          </cell>
          <cell r="M929" t="str">
            <v>セラピール　ＷＺ（３４）</v>
          </cell>
          <cell r="N929">
            <v>1410</v>
          </cell>
          <cell r="O929">
            <v>1410</v>
          </cell>
          <cell r="P929">
            <v>6000</v>
          </cell>
          <cell r="Q929">
            <v>2</v>
          </cell>
        </row>
        <row r="930">
          <cell r="A930">
            <v>3708671</v>
          </cell>
          <cell r="B930" t="str">
            <v>福島コーティング</v>
          </cell>
          <cell r="C930" t="str">
            <v>プロセス材１課</v>
          </cell>
          <cell r="D930" t="str">
            <v>ダミー担当者</v>
          </cell>
          <cell r="E930" t="str">
            <v>リンテック㈱</v>
          </cell>
          <cell r="F930">
            <v>3</v>
          </cell>
          <cell r="G930" t="str">
            <v>S</v>
          </cell>
          <cell r="H930" t="str">
            <v>N</v>
          </cell>
          <cell r="I930" t="str">
            <v>CERA</v>
          </cell>
          <cell r="K930" t="str">
            <v>WZS</v>
          </cell>
          <cell r="L930">
            <v>38</v>
          </cell>
          <cell r="M930" t="str">
            <v>セラピール　　　　　　　　　　　ＷＺ（Ｓ）</v>
          </cell>
          <cell r="N930">
            <v>1415</v>
          </cell>
          <cell r="O930">
            <v>1410</v>
          </cell>
          <cell r="P930">
            <v>8000</v>
          </cell>
          <cell r="Q930">
            <v>2</v>
          </cell>
        </row>
        <row r="931">
          <cell r="A931">
            <v>3708672</v>
          </cell>
          <cell r="B931" t="str">
            <v>福島コーティング</v>
          </cell>
          <cell r="C931" t="str">
            <v>工材１部電材課</v>
          </cell>
          <cell r="D931" t="str">
            <v>ダミー担当者</v>
          </cell>
          <cell r="E931" t="str">
            <v>古河電気工業㈱</v>
          </cell>
          <cell r="F931">
            <v>3</v>
          </cell>
          <cell r="G931" t="str">
            <v>S</v>
          </cell>
          <cell r="H931" t="str">
            <v>N</v>
          </cell>
          <cell r="I931" t="str">
            <v>CERA</v>
          </cell>
          <cell r="K931" t="str">
            <v>WZE</v>
          </cell>
          <cell r="L931">
            <v>25</v>
          </cell>
          <cell r="M931" t="str">
            <v>セラピール　　　　　　　　　　　ＷＺ（Ｅ）</v>
          </cell>
          <cell r="N931">
            <v>1240</v>
          </cell>
          <cell r="O931">
            <v>1240</v>
          </cell>
          <cell r="P931">
            <v>6000</v>
          </cell>
          <cell r="Q931">
            <v>2</v>
          </cell>
        </row>
        <row r="932">
          <cell r="A932">
            <v>3708673</v>
          </cell>
          <cell r="B932" t="str">
            <v>情材福島原価</v>
          </cell>
          <cell r="C932" t="str">
            <v>プロセス材２課</v>
          </cell>
          <cell r="D932" t="str">
            <v>ダミー担当者</v>
          </cell>
          <cell r="E932" t="str">
            <v>日榮新化㈱</v>
          </cell>
          <cell r="F932">
            <v>3</v>
          </cell>
          <cell r="G932" t="str">
            <v>T</v>
          </cell>
          <cell r="H932" t="str">
            <v>N</v>
          </cell>
          <cell r="I932" t="str">
            <v>CERA</v>
          </cell>
          <cell r="K932" t="str">
            <v>WZS</v>
          </cell>
          <cell r="L932">
            <v>25</v>
          </cell>
          <cell r="M932" t="str">
            <v>セラピールＷＺ（Ｓ）</v>
          </cell>
          <cell r="N932">
            <v>1155</v>
          </cell>
          <cell r="O932">
            <v>1150</v>
          </cell>
          <cell r="P932">
            <v>4200</v>
          </cell>
          <cell r="Q932">
            <v>2</v>
          </cell>
        </row>
        <row r="933">
          <cell r="A933">
            <v>3708674</v>
          </cell>
          <cell r="B933" t="str">
            <v>福島コーティング</v>
          </cell>
          <cell r="C933" t="str">
            <v>工材１部電材課</v>
          </cell>
          <cell r="D933" t="str">
            <v>ダミー担当者</v>
          </cell>
          <cell r="E933" t="str">
            <v>東洋包材㈱</v>
          </cell>
          <cell r="F933">
            <v>3</v>
          </cell>
          <cell r="G933" t="str">
            <v>S</v>
          </cell>
          <cell r="H933" t="str">
            <v>N</v>
          </cell>
          <cell r="I933" t="str">
            <v>CERA</v>
          </cell>
          <cell r="K933" t="str">
            <v>WZRX</v>
          </cell>
          <cell r="L933">
            <v>38</v>
          </cell>
          <cell r="M933" t="str">
            <v>セラピール　ＷＺ（ＲＸ）　　　　　　</v>
          </cell>
          <cell r="N933">
            <v>1135</v>
          </cell>
          <cell r="O933">
            <v>1130</v>
          </cell>
          <cell r="P933">
            <v>6000</v>
          </cell>
          <cell r="Q933">
            <v>2</v>
          </cell>
        </row>
        <row r="934">
          <cell r="A934">
            <v>3708675</v>
          </cell>
          <cell r="B934" t="str">
            <v>福島コーティング</v>
          </cell>
          <cell r="C934" t="str">
            <v>工材１部電材課</v>
          </cell>
          <cell r="D934" t="str">
            <v>ダミー担当者</v>
          </cell>
          <cell r="E934" t="str">
            <v>パナック㈱亀山工場</v>
          </cell>
          <cell r="F934">
            <v>3</v>
          </cell>
          <cell r="G934" t="str">
            <v>S</v>
          </cell>
          <cell r="H934" t="str">
            <v>N</v>
          </cell>
          <cell r="I934" t="str">
            <v>CERA</v>
          </cell>
          <cell r="K934" t="str">
            <v>WZ</v>
          </cell>
          <cell r="L934">
            <v>25</v>
          </cell>
          <cell r="M934" t="str">
            <v>セラピール　　　　　　　　　　　ＷＺ</v>
          </cell>
          <cell r="N934">
            <v>1100</v>
          </cell>
          <cell r="O934">
            <v>1100</v>
          </cell>
          <cell r="P934">
            <v>12000</v>
          </cell>
          <cell r="Q934">
            <v>2</v>
          </cell>
        </row>
        <row r="935">
          <cell r="A935">
            <v>3708676</v>
          </cell>
          <cell r="B935" t="str">
            <v>福島コーティング</v>
          </cell>
          <cell r="C935" t="str">
            <v>工材１部電材課</v>
          </cell>
          <cell r="D935" t="str">
            <v>ダミー担当者</v>
          </cell>
          <cell r="E935" t="str">
            <v>古河電気工業㈱</v>
          </cell>
          <cell r="F935">
            <v>3</v>
          </cell>
          <cell r="G935" t="str">
            <v>S</v>
          </cell>
          <cell r="H935" t="str">
            <v>N</v>
          </cell>
          <cell r="I935" t="str">
            <v>CERA</v>
          </cell>
          <cell r="K935" t="str">
            <v>WZE</v>
          </cell>
          <cell r="L935">
            <v>25</v>
          </cell>
          <cell r="M935" t="str">
            <v>セラピール　　　　　　　　　　　ＷＺ（Ｅ）</v>
          </cell>
          <cell r="N935">
            <v>1040</v>
          </cell>
          <cell r="O935">
            <v>1040</v>
          </cell>
          <cell r="P935">
            <v>6000</v>
          </cell>
          <cell r="Q935">
            <v>2</v>
          </cell>
        </row>
        <row r="936">
          <cell r="A936">
            <v>3708677</v>
          </cell>
          <cell r="B936" t="str">
            <v>福島コーティング</v>
          </cell>
          <cell r="C936" t="str">
            <v>プロセス材１課</v>
          </cell>
          <cell r="D936" t="str">
            <v>ダミー担当者</v>
          </cell>
          <cell r="E936" t="str">
            <v>リンテック㈱</v>
          </cell>
          <cell r="F936">
            <v>3</v>
          </cell>
          <cell r="G936" t="str">
            <v>S</v>
          </cell>
          <cell r="H936" t="str">
            <v>N</v>
          </cell>
          <cell r="I936" t="str">
            <v>CERA</v>
          </cell>
          <cell r="K936" t="str">
            <v>WZS</v>
          </cell>
          <cell r="L936">
            <v>38</v>
          </cell>
          <cell r="M936" t="str">
            <v>セラピール　　　　　　　　　　　ＷＺ（Ｓ）</v>
          </cell>
          <cell r="N936">
            <v>1005</v>
          </cell>
          <cell r="O936">
            <v>1000</v>
          </cell>
          <cell r="P936">
            <v>8000</v>
          </cell>
          <cell r="Q936">
            <v>2</v>
          </cell>
        </row>
        <row r="937">
          <cell r="A937">
            <v>3708678</v>
          </cell>
          <cell r="B937" t="str">
            <v>福島コーティング</v>
          </cell>
          <cell r="C937" t="str">
            <v>工材１部電材課</v>
          </cell>
          <cell r="D937" t="str">
            <v>ダミー担当者</v>
          </cell>
          <cell r="E937" t="str">
            <v>㈱巴川製紙所</v>
          </cell>
          <cell r="F937">
            <v>331</v>
          </cell>
          <cell r="G937" t="str">
            <v>S</v>
          </cell>
          <cell r="H937" t="str">
            <v>N</v>
          </cell>
          <cell r="I937" t="str">
            <v>CERA</v>
          </cell>
          <cell r="K937" t="str">
            <v>BX8ARXT</v>
          </cell>
          <cell r="L937">
            <v>38</v>
          </cell>
          <cell r="M937" t="str">
            <v>セラピール　ＢＸ８ＡＲＸ</v>
          </cell>
          <cell r="N937">
            <v>1580</v>
          </cell>
          <cell r="O937">
            <v>1580</v>
          </cell>
          <cell r="P937">
            <v>6000</v>
          </cell>
          <cell r="Q937">
            <v>2</v>
          </cell>
        </row>
        <row r="938">
          <cell r="A938">
            <v>3708679</v>
          </cell>
          <cell r="B938" t="str">
            <v>福島コーティング</v>
          </cell>
          <cell r="C938" t="str">
            <v>工材１部大阪電材課</v>
          </cell>
          <cell r="D938" t="str">
            <v>ダミー担当者</v>
          </cell>
          <cell r="E938" t="str">
            <v>利昌工業　尼崎工場</v>
          </cell>
          <cell r="F938">
            <v>3</v>
          </cell>
          <cell r="G938" t="str">
            <v>S</v>
          </cell>
          <cell r="H938" t="str">
            <v>N</v>
          </cell>
          <cell r="I938" t="str">
            <v>CERA</v>
          </cell>
          <cell r="K938" t="str">
            <v>BX8ARX</v>
          </cell>
          <cell r="L938">
            <v>25</v>
          </cell>
          <cell r="M938" t="str">
            <v>セラピール　ＢＸ８Ａ（ＲＸ）</v>
          </cell>
          <cell r="N938">
            <v>740</v>
          </cell>
          <cell r="O938">
            <v>740</v>
          </cell>
          <cell r="P938">
            <v>2100</v>
          </cell>
          <cell r="Q938">
            <v>1</v>
          </cell>
        </row>
        <row r="939">
          <cell r="A939">
            <v>3708680</v>
          </cell>
          <cell r="B939" t="str">
            <v>福島コーティング</v>
          </cell>
          <cell r="C939" t="str">
            <v>工材１部電材課</v>
          </cell>
          <cell r="D939" t="str">
            <v>ダミー担当者</v>
          </cell>
          <cell r="E939" t="str">
            <v>㈱巴川製紙所</v>
          </cell>
          <cell r="F939">
            <v>331</v>
          </cell>
          <cell r="G939" t="str">
            <v>S</v>
          </cell>
          <cell r="H939" t="str">
            <v>N</v>
          </cell>
          <cell r="I939" t="str">
            <v>CERA</v>
          </cell>
          <cell r="K939" t="str">
            <v>BX8ARXT</v>
          </cell>
          <cell r="L939">
            <v>38</v>
          </cell>
          <cell r="M939" t="str">
            <v>セラピール　ＢＸ８ＡＲＸ</v>
          </cell>
          <cell r="N939">
            <v>1330</v>
          </cell>
          <cell r="O939">
            <v>1330</v>
          </cell>
          <cell r="P939">
            <v>6000</v>
          </cell>
          <cell r="Q939">
            <v>2</v>
          </cell>
        </row>
        <row r="940">
          <cell r="A940">
            <v>3708681</v>
          </cell>
          <cell r="B940" t="str">
            <v>福島コーティング</v>
          </cell>
          <cell r="C940" t="str">
            <v>工材１部電材課</v>
          </cell>
          <cell r="D940" t="str">
            <v>ダミー担当者</v>
          </cell>
          <cell r="E940" t="str">
            <v>㈱巴川製紙所</v>
          </cell>
          <cell r="F940">
            <v>3</v>
          </cell>
          <cell r="G940" t="str">
            <v>S</v>
          </cell>
          <cell r="H940" t="str">
            <v>N</v>
          </cell>
          <cell r="I940" t="str">
            <v>CERA</v>
          </cell>
          <cell r="K940" t="str">
            <v>BX8AX</v>
          </cell>
          <cell r="L940">
            <v>75</v>
          </cell>
          <cell r="M940" t="str">
            <v>セラピール　　　　　　　　　　　ＢＸ８Ａ（Ｘ）</v>
          </cell>
          <cell r="N940">
            <v>1330</v>
          </cell>
          <cell r="O940">
            <v>1330</v>
          </cell>
          <cell r="P940">
            <v>4100</v>
          </cell>
          <cell r="Q940">
            <v>2</v>
          </cell>
        </row>
        <row r="941">
          <cell r="A941">
            <v>3708682</v>
          </cell>
          <cell r="B941" t="str">
            <v>福島コーティング</v>
          </cell>
          <cell r="C941" t="str">
            <v>工材１部電材課</v>
          </cell>
          <cell r="D941" t="str">
            <v>ダミー担当者</v>
          </cell>
          <cell r="E941" t="str">
            <v>㈱巴川製紙所</v>
          </cell>
          <cell r="F941">
            <v>3</v>
          </cell>
          <cell r="G941" t="str">
            <v>S</v>
          </cell>
          <cell r="H941" t="str">
            <v>N</v>
          </cell>
          <cell r="I941" t="str">
            <v>CERA</v>
          </cell>
          <cell r="K941" t="str">
            <v>BX8AX</v>
          </cell>
          <cell r="L941">
            <v>75</v>
          </cell>
          <cell r="M941" t="str">
            <v>セラピール　　　　　　　　　　　ＢＸ８Ａ（Ｘ）</v>
          </cell>
          <cell r="N941">
            <v>1330</v>
          </cell>
          <cell r="O941">
            <v>1330</v>
          </cell>
          <cell r="P941">
            <v>4100</v>
          </cell>
          <cell r="Q941">
            <v>2</v>
          </cell>
        </row>
        <row r="942">
          <cell r="A942">
            <v>3708683</v>
          </cell>
          <cell r="B942" t="str">
            <v>福島コーティング</v>
          </cell>
          <cell r="C942" t="str">
            <v>プロセス材２課</v>
          </cell>
          <cell r="D942" t="str">
            <v>ダミー担当者</v>
          </cell>
          <cell r="E942" t="str">
            <v>日榮新化㈱</v>
          </cell>
          <cell r="F942">
            <v>3</v>
          </cell>
          <cell r="G942" t="str">
            <v>S</v>
          </cell>
          <cell r="H942" t="str">
            <v>N</v>
          </cell>
          <cell r="I942" t="str">
            <v>CERA</v>
          </cell>
          <cell r="K942" t="str">
            <v>BX8AX</v>
          </cell>
          <cell r="L942">
            <v>75</v>
          </cell>
          <cell r="M942" t="str">
            <v>セラピール　　　　　　　　　　　ＢＸ８Ａ（Ｘ）</v>
          </cell>
          <cell r="N942">
            <v>1110</v>
          </cell>
          <cell r="O942">
            <v>1100</v>
          </cell>
          <cell r="P942">
            <v>4000</v>
          </cell>
          <cell r="Q942">
            <v>2</v>
          </cell>
        </row>
        <row r="943">
          <cell r="A943">
            <v>3708684</v>
          </cell>
          <cell r="B943" t="str">
            <v>福島コーティング</v>
          </cell>
          <cell r="C943" t="str">
            <v>プロセス材２課</v>
          </cell>
          <cell r="D943" t="str">
            <v>ダミー担当者</v>
          </cell>
          <cell r="E943" t="str">
            <v>日榮新化㈱</v>
          </cell>
          <cell r="F943">
            <v>3</v>
          </cell>
          <cell r="G943" t="str">
            <v>S</v>
          </cell>
          <cell r="H943" t="str">
            <v>Y</v>
          </cell>
          <cell r="I943" t="str">
            <v>CERA</v>
          </cell>
          <cell r="K943" t="str">
            <v>BX9AS</v>
          </cell>
          <cell r="L943">
            <v>75</v>
          </cell>
          <cell r="M943" t="str">
            <v>セラピール　　　　　　　　　　　ＢＸ９Ａ（Ｓ）</v>
          </cell>
          <cell r="N943">
            <v>1040</v>
          </cell>
          <cell r="O943">
            <v>1040</v>
          </cell>
          <cell r="P943">
            <v>4000</v>
          </cell>
          <cell r="Q943">
            <v>1</v>
          </cell>
        </row>
        <row r="944">
          <cell r="A944">
            <v>3708685</v>
          </cell>
          <cell r="B944" t="str">
            <v>福島コーティング</v>
          </cell>
          <cell r="C944" t="str">
            <v>工材１部電材課</v>
          </cell>
          <cell r="D944" t="str">
            <v>ダミー担当者</v>
          </cell>
          <cell r="E944" t="str">
            <v>㈱巴川製紙所</v>
          </cell>
          <cell r="F944">
            <v>331</v>
          </cell>
          <cell r="G944" t="str">
            <v>S</v>
          </cell>
          <cell r="H944" t="str">
            <v>N</v>
          </cell>
          <cell r="I944" t="str">
            <v>CERA</v>
          </cell>
          <cell r="K944" t="str">
            <v>BKERXT</v>
          </cell>
          <cell r="L944">
            <v>25</v>
          </cell>
          <cell r="M944" t="str">
            <v>セラピール　ＢＫＥ（ＲＸ）</v>
          </cell>
          <cell r="N944">
            <v>1330</v>
          </cell>
          <cell r="O944">
            <v>1330</v>
          </cell>
          <cell r="P944">
            <v>6000</v>
          </cell>
          <cell r="Q944">
            <v>2</v>
          </cell>
        </row>
        <row r="945">
          <cell r="A945">
            <v>3708686</v>
          </cell>
          <cell r="B945" t="str">
            <v>福島コーティング</v>
          </cell>
          <cell r="C945" t="str">
            <v>工材１部電材課</v>
          </cell>
          <cell r="D945" t="str">
            <v>ダミー担当者</v>
          </cell>
          <cell r="E945" t="str">
            <v>㈱巴川製紙所</v>
          </cell>
          <cell r="F945">
            <v>331</v>
          </cell>
          <cell r="G945" t="str">
            <v>S</v>
          </cell>
          <cell r="H945" t="str">
            <v>N</v>
          </cell>
          <cell r="I945" t="str">
            <v>CERA</v>
          </cell>
          <cell r="K945" t="str">
            <v>BKERXT</v>
          </cell>
          <cell r="L945">
            <v>38</v>
          </cell>
          <cell r="M945" t="str">
            <v>セラピール　ＢＫＥ（ＲＸ）</v>
          </cell>
          <cell r="N945">
            <v>1330</v>
          </cell>
          <cell r="O945">
            <v>1330</v>
          </cell>
          <cell r="P945">
            <v>6000</v>
          </cell>
          <cell r="Q945">
            <v>2</v>
          </cell>
        </row>
        <row r="946">
          <cell r="A946">
            <v>3708687</v>
          </cell>
          <cell r="B946" t="str">
            <v>福島コーティング</v>
          </cell>
          <cell r="C946" t="str">
            <v>工材１部電材課</v>
          </cell>
          <cell r="D946" t="str">
            <v>ダミー担当者</v>
          </cell>
          <cell r="E946" t="str">
            <v>パナック㈱亀山工場</v>
          </cell>
          <cell r="F946">
            <v>3</v>
          </cell>
          <cell r="G946" t="str">
            <v>S</v>
          </cell>
          <cell r="H946" t="str">
            <v>N</v>
          </cell>
          <cell r="I946" t="str">
            <v>CERA</v>
          </cell>
          <cell r="K946" t="str">
            <v>BKE09</v>
          </cell>
          <cell r="L946">
            <v>38</v>
          </cell>
          <cell r="M946" t="str">
            <v>セラピール　ＢＫＥ（０９）</v>
          </cell>
          <cell r="N946">
            <v>1037</v>
          </cell>
          <cell r="O946">
            <v>1030</v>
          </cell>
          <cell r="P946">
            <v>8500</v>
          </cell>
          <cell r="Q946">
            <v>2</v>
          </cell>
        </row>
        <row r="947">
          <cell r="A947">
            <v>3708688</v>
          </cell>
          <cell r="B947" t="str">
            <v>福島コーティング</v>
          </cell>
          <cell r="C947" t="str">
            <v>光学機能材１課</v>
          </cell>
          <cell r="D947" t="str">
            <v>ダミー担当者</v>
          </cell>
          <cell r="E947" t="str">
            <v>㈱きもと　三重工場</v>
          </cell>
          <cell r="F947">
            <v>3</v>
          </cell>
          <cell r="G947" t="str">
            <v>S</v>
          </cell>
          <cell r="H947" t="str">
            <v>N</v>
          </cell>
          <cell r="I947" t="str">
            <v>CERA</v>
          </cell>
          <cell r="K947" t="str">
            <v>BKUK</v>
          </cell>
          <cell r="L947">
            <v>25</v>
          </cell>
          <cell r="M947" t="str">
            <v>セラピール　ＢＫ（Ｕ）Ｋ</v>
          </cell>
          <cell r="N947">
            <v>1045</v>
          </cell>
          <cell r="O947">
            <v>1040</v>
          </cell>
          <cell r="P947">
            <v>6000</v>
          </cell>
          <cell r="Q947">
            <v>2</v>
          </cell>
        </row>
        <row r="948">
          <cell r="A948">
            <v>3708689</v>
          </cell>
          <cell r="B948" t="str">
            <v>福島コーティング</v>
          </cell>
          <cell r="C948" t="str">
            <v>工材１部電材課</v>
          </cell>
          <cell r="D948" t="str">
            <v>ダミー担当者</v>
          </cell>
          <cell r="E948" t="str">
            <v>積水化学武蔵工場</v>
          </cell>
          <cell r="F948">
            <v>3</v>
          </cell>
          <cell r="G948" t="str">
            <v>S</v>
          </cell>
          <cell r="H948" t="str">
            <v>N</v>
          </cell>
          <cell r="I948" t="str">
            <v>CERA</v>
          </cell>
          <cell r="K948" t="str">
            <v>BKU</v>
          </cell>
          <cell r="L948">
            <v>25</v>
          </cell>
          <cell r="M948" t="str">
            <v>セラピ－ル　ＢＫ（Ｕ）</v>
          </cell>
          <cell r="N948">
            <v>890</v>
          </cell>
          <cell r="O948">
            <v>890</v>
          </cell>
          <cell r="P948">
            <v>3800</v>
          </cell>
          <cell r="Q948">
            <v>2</v>
          </cell>
        </row>
        <row r="949">
          <cell r="A949">
            <v>3708690</v>
          </cell>
          <cell r="B949" t="str">
            <v>福島コーティング</v>
          </cell>
          <cell r="C949" t="str">
            <v>工材１部大阪電材課</v>
          </cell>
          <cell r="D949" t="str">
            <v>ダミー担当者</v>
          </cell>
          <cell r="E949" t="str">
            <v>日東電工㈱豊橋工場</v>
          </cell>
          <cell r="F949">
            <v>3313</v>
          </cell>
          <cell r="G949" t="str">
            <v>S</v>
          </cell>
          <cell r="H949" t="str">
            <v>N</v>
          </cell>
          <cell r="I949" t="str">
            <v>CERA</v>
          </cell>
          <cell r="K949" t="str">
            <v>MD(A)R</v>
          </cell>
          <cell r="L949">
            <v>38</v>
          </cell>
          <cell r="M949" t="str">
            <v>セラピール　ＭＤ（Ａ）（Ｒ）</v>
          </cell>
          <cell r="N949">
            <v>750</v>
          </cell>
          <cell r="O949">
            <v>750</v>
          </cell>
          <cell r="P949">
            <v>6000</v>
          </cell>
          <cell r="Q949">
            <v>2</v>
          </cell>
        </row>
        <row r="950">
          <cell r="A950">
            <v>3708691</v>
          </cell>
          <cell r="B950" t="str">
            <v>福島コーティング</v>
          </cell>
          <cell r="C950" t="str">
            <v>大阪光学機能材課</v>
          </cell>
          <cell r="D950" t="str">
            <v>ダミー担当者</v>
          </cell>
          <cell r="E950" t="str">
            <v>日東電工㈱尾道事業所</v>
          </cell>
          <cell r="F950">
            <v>3321</v>
          </cell>
          <cell r="G950" t="str">
            <v>S</v>
          </cell>
          <cell r="H950" t="str">
            <v>N</v>
          </cell>
          <cell r="I950" t="str">
            <v>CERA</v>
          </cell>
          <cell r="K950" t="str">
            <v>MDACPFL</v>
          </cell>
          <cell r="L950">
            <v>38</v>
          </cell>
          <cell r="M950" t="str">
            <v>Ｋ　セラピールＭＤＡ（ＣＰＲＦ）Ｌ</v>
          </cell>
          <cell r="N950">
            <v>1336</v>
          </cell>
          <cell r="O950">
            <v>1325</v>
          </cell>
          <cell r="P950">
            <v>12000</v>
          </cell>
          <cell r="Q950">
            <v>2</v>
          </cell>
        </row>
        <row r="951">
          <cell r="A951">
            <v>3708692</v>
          </cell>
          <cell r="B951" t="str">
            <v>福島コーティング</v>
          </cell>
          <cell r="C951" t="str">
            <v>大阪光学機能材課</v>
          </cell>
          <cell r="D951" t="str">
            <v>ダミー担当者</v>
          </cell>
          <cell r="E951" t="str">
            <v>日東電工㈱尾道事業所</v>
          </cell>
          <cell r="F951">
            <v>3321</v>
          </cell>
          <cell r="G951" t="str">
            <v>S</v>
          </cell>
          <cell r="H951" t="str">
            <v>N</v>
          </cell>
          <cell r="I951" t="str">
            <v>CERA</v>
          </cell>
          <cell r="K951" t="str">
            <v>MDAPFL</v>
          </cell>
          <cell r="L951">
            <v>38</v>
          </cell>
          <cell r="M951" t="str">
            <v>Ｋ　セラピールＭＤＡ（ＰＲＦ）Ｌ</v>
          </cell>
          <cell r="N951">
            <v>1336</v>
          </cell>
          <cell r="O951">
            <v>1325</v>
          </cell>
          <cell r="P951">
            <v>12000</v>
          </cell>
          <cell r="Q951">
            <v>2</v>
          </cell>
        </row>
        <row r="952">
          <cell r="A952">
            <v>3708693</v>
          </cell>
          <cell r="B952" t="str">
            <v>福島コーティング</v>
          </cell>
          <cell r="C952" t="str">
            <v>プロセス材１課</v>
          </cell>
          <cell r="D952" t="str">
            <v>ダミー担当者</v>
          </cell>
          <cell r="E952" t="str">
            <v>王子タック㈱本社</v>
          </cell>
          <cell r="F952" t="str">
            <v>33S</v>
          </cell>
          <cell r="G952" t="str">
            <v>S</v>
          </cell>
          <cell r="H952" t="str">
            <v>N</v>
          </cell>
          <cell r="I952" t="str">
            <v>CLB</v>
          </cell>
          <cell r="K952" t="str">
            <v>LTL</v>
          </cell>
          <cell r="L952">
            <v>25</v>
          </cell>
          <cell r="M952" t="str">
            <v>ルミラー　ＴＬ</v>
          </cell>
          <cell r="N952">
            <v>1120</v>
          </cell>
          <cell r="O952">
            <v>1120</v>
          </cell>
          <cell r="P952">
            <v>12000</v>
          </cell>
          <cell r="Q952">
            <v>2</v>
          </cell>
        </row>
        <row r="953">
          <cell r="A953">
            <v>3708698</v>
          </cell>
          <cell r="B953" t="str">
            <v>福島コーティング</v>
          </cell>
          <cell r="C953" t="str">
            <v>工材１部電材課</v>
          </cell>
          <cell r="D953" t="str">
            <v>ダミー担当者</v>
          </cell>
          <cell r="E953" t="str">
            <v>㈱三共プラス</v>
          </cell>
          <cell r="F953">
            <v>3</v>
          </cell>
          <cell r="G953" t="str">
            <v>S</v>
          </cell>
          <cell r="H953" t="str">
            <v>N</v>
          </cell>
          <cell r="I953" t="str">
            <v>TTP</v>
          </cell>
          <cell r="K953" t="str">
            <v>B2T0</v>
          </cell>
          <cell r="L953">
            <v>100</v>
          </cell>
          <cell r="M953" t="str">
            <v>タフトップ　Ｂ２Ｔ０</v>
          </cell>
          <cell r="N953">
            <v>1000</v>
          </cell>
          <cell r="O953">
            <v>1000</v>
          </cell>
          <cell r="P953">
            <v>1000</v>
          </cell>
          <cell r="Q953">
            <v>2</v>
          </cell>
        </row>
        <row r="954">
          <cell r="A954">
            <v>3708699</v>
          </cell>
          <cell r="B954" t="str">
            <v>福島コーティング</v>
          </cell>
          <cell r="C954" t="str">
            <v>工材１部電材課</v>
          </cell>
          <cell r="D954" t="str">
            <v>ダミー担当者</v>
          </cell>
          <cell r="E954" t="str">
            <v>㈱三共プラス</v>
          </cell>
          <cell r="F954">
            <v>3</v>
          </cell>
          <cell r="G954" t="str">
            <v>S</v>
          </cell>
          <cell r="H954" t="str">
            <v>N</v>
          </cell>
          <cell r="I954" t="str">
            <v>TTP</v>
          </cell>
          <cell r="K954" t="str">
            <v>B2T0</v>
          </cell>
          <cell r="L954">
            <v>125</v>
          </cell>
          <cell r="M954" t="str">
            <v>タフトップ　Ｂ２Ｔ０</v>
          </cell>
          <cell r="N954">
            <v>1000</v>
          </cell>
          <cell r="O954">
            <v>1000</v>
          </cell>
          <cell r="P954">
            <v>1000</v>
          </cell>
          <cell r="Q954">
            <v>2</v>
          </cell>
        </row>
        <row r="955">
          <cell r="A955">
            <v>3708700</v>
          </cell>
          <cell r="B955" t="str">
            <v>福島コーティング</v>
          </cell>
          <cell r="C955" t="str">
            <v>工材１部電材課</v>
          </cell>
          <cell r="D955" t="str">
            <v>ダミー担当者</v>
          </cell>
          <cell r="E955" t="str">
            <v>㈱三共プラス</v>
          </cell>
          <cell r="F955">
            <v>3</v>
          </cell>
          <cell r="G955" t="str">
            <v>S</v>
          </cell>
          <cell r="H955" t="str">
            <v>N</v>
          </cell>
          <cell r="I955" t="str">
            <v>TTP</v>
          </cell>
          <cell r="K955" t="str">
            <v>B2T0</v>
          </cell>
          <cell r="L955">
            <v>188</v>
          </cell>
          <cell r="M955" t="str">
            <v>タフトップ　Ｂ２Ｔ０</v>
          </cell>
          <cell r="N955">
            <v>1000</v>
          </cell>
          <cell r="O955">
            <v>1000</v>
          </cell>
          <cell r="P955">
            <v>1000</v>
          </cell>
          <cell r="Q955">
            <v>2</v>
          </cell>
        </row>
        <row r="956">
          <cell r="A956">
            <v>3708701</v>
          </cell>
          <cell r="B956" t="str">
            <v>福島コーティング</v>
          </cell>
          <cell r="C956" t="str">
            <v>プロセス材２課</v>
          </cell>
          <cell r="D956" t="str">
            <v>ダミー担当者</v>
          </cell>
          <cell r="E956" t="str">
            <v>藤森工業㈱掛川事業所</v>
          </cell>
          <cell r="F956">
            <v>3</v>
          </cell>
          <cell r="G956" t="str">
            <v>S</v>
          </cell>
          <cell r="H956" t="str">
            <v>N</v>
          </cell>
          <cell r="I956" t="str">
            <v>CLB</v>
          </cell>
          <cell r="K956" t="str">
            <v>PETTL</v>
          </cell>
          <cell r="L956">
            <v>38</v>
          </cell>
          <cell r="M956" t="str">
            <v>ＰＥＴ　ＴＬ</v>
          </cell>
          <cell r="N956">
            <v>1320</v>
          </cell>
          <cell r="O956">
            <v>1320</v>
          </cell>
          <cell r="P956">
            <v>4200</v>
          </cell>
          <cell r="Q956">
            <v>2</v>
          </cell>
        </row>
        <row r="957">
          <cell r="A957">
            <v>3708702</v>
          </cell>
          <cell r="B957" t="str">
            <v>福島コーティング</v>
          </cell>
          <cell r="C957" t="str">
            <v>プロセス材２課</v>
          </cell>
          <cell r="D957" t="str">
            <v>ダミー担当者</v>
          </cell>
          <cell r="E957" t="str">
            <v>藤森工業㈱掛川事業所</v>
          </cell>
          <cell r="F957">
            <v>3</v>
          </cell>
          <cell r="G957" t="str">
            <v>S</v>
          </cell>
          <cell r="H957" t="str">
            <v>N</v>
          </cell>
          <cell r="I957" t="str">
            <v>CLB</v>
          </cell>
          <cell r="K957" t="str">
            <v>PETTL</v>
          </cell>
          <cell r="L957">
            <v>50</v>
          </cell>
          <cell r="M957" t="str">
            <v>ＰＥＴ　ＴＬ</v>
          </cell>
          <cell r="N957">
            <v>1320</v>
          </cell>
          <cell r="O957">
            <v>1320</v>
          </cell>
          <cell r="P957">
            <v>4200</v>
          </cell>
          <cell r="Q957">
            <v>2</v>
          </cell>
        </row>
        <row r="958">
          <cell r="A958">
            <v>3708718</v>
          </cell>
          <cell r="B958" t="str">
            <v>福島コーティング</v>
          </cell>
          <cell r="C958" t="str">
            <v>プロセス材１課</v>
          </cell>
          <cell r="D958" t="str">
            <v>ダミー担当者</v>
          </cell>
          <cell r="E958" t="str">
            <v>リンテック㈱</v>
          </cell>
          <cell r="F958">
            <v>3</v>
          </cell>
          <cell r="G958" t="str">
            <v>S</v>
          </cell>
          <cell r="H958" t="str">
            <v>N</v>
          </cell>
          <cell r="I958" t="str">
            <v>CLB</v>
          </cell>
          <cell r="K958" t="str">
            <v>E20V</v>
          </cell>
          <cell r="L958">
            <v>75</v>
          </cell>
          <cell r="M958" t="str">
            <v>ルミラー　Ｅ－２０　Ｖ</v>
          </cell>
          <cell r="N958">
            <v>1002</v>
          </cell>
          <cell r="O958">
            <v>1000</v>
          </cell>
          <cell r="P958">
            <v>3000</v>
          </cell>
          <cell r="Q958">
            <v>2</v>
          </cell>
        </row>
        <row r="959">
          <cell r="A959">
            <v>3708723</v>
          </cell>
          <cell r="B959" t="str">
            <v>福島コーティング</v>
          </cell>
          <cell r="C959" t="str">
            <v>プロセス材１課</v>
          </cell>
          <cell r="D959" t="str">
            <v>ダミー担当者</v>
          </cell>
          <cell r="E959" t="str">
            <v>リンテック㈱</v>
          </cell>
          <cell r="F959">
            <v>3</v>
          </cell>
          <cell r="G959" t="str">
            <v>S</v>
          </cell>
          <cell r="H959" t="str">
            <v>N</v>
          </cell>
          <cell r="I959" t="str">
            <v>CLB</v>
          </cell>
          <cell r="K959" t="str">
            <v>PETV44</v>
          </cell>
          <cell r="L959">
            <v>50</v>
          </cell>
          <cell r="M959" t="str">
            <v>ＰＥＴ　Ｖ（Ｘ－４４）</v>
          </cell>
          <cell r="N959">
            <v>1005</v>
          </cell>
          <cell r="O959">
            <v>1000</v>
          </cell>
          <cell r="P959">
            <v>4000</v>
          </cell>
          <cell r="Q959">
            <v>2</v>
          </cell>
        </row>
        <row r="960">
          <cell r="A960">
            <v>3712044</v>
          </cell>
          <cell r="B960" t="str">
            <v>福島コーティング</v>
          </cell>
          <cell r="C960" t="str">
            <v>プロセス材１課</v>
          </cell>
          <cell r="D960" t="str">
            <v>ダミー担当者</v>
          </cell>
          <cell r="E960" t="str">
            <v>リンテック㈱</v>
          </cell>
          <cell r="F960">
            <v>3</v>
          </cell>
          <cell r="G960" t="str">
            <v>S</v>
          </cell>
          <cell r="H960" t="str">
            <v>N</v>
          </cell>
          <cell r="I960" t="str">
            <v>CERA</v>
          </cell>
          <cell r="K960" t="str">
            <v>WZS</v>
          </cell>
          <cell r="L960">
            <v>38</v>
          </cell>
          <cell r="M960" t="str">
            <v>セラピール　　　　　　　　　　　ＷＺ（Ｓ）</v>
          </cell>
          <cell r="N960">
            <v>1415</v>
          </cell>
          <cell r="O960">
            <v>1410</v>
          </cell>
          <cell r="P960">
            <v>8000</v>
          </cell>
          <cell r="Q960">
            <v>2</v>
          </cell>
        </row>
        <row r="961">
          <cell r="A961">
            <v>3712045</v>
          </cell>
          <cell r="B961" t="str">
            <v>福島コーティング</v>
          </cell>
          <cell r="C961" t="str">
            <v>工材１部電材課</v>
          </cell>
          <cell r="D961" t="str">
            <v>ダミー担当者</v>
          </cell>
          <cell r="E961" t="str">
            <v>古河電気工業㈱</v>
          </cell>
          <cell r="F961">
            <v>3</v>
          </cell>
          <cell r="G961" t="str">
            <v>S</v>
          </cell>
          <cell r="H961" t="str">
            <v>N</v>
          </cell>
          <cell r="I961" t="str">
            <v>CERA</v>
          </cell>
          <cell r="K961" t="str">
            <v>WZE</v>
          </cell>
          <cell r="L961">
            <v>25</v>
          </cell>
          <cell r="M961" t="str">
            <v>セラピール　　　　　　　　　　　ＷＺ（Ｅ）</v>
          </cell>
          <cell r="N961">
            <v>1240</v>
          </cell>
          <cell r="O961">
            <v>1240</v>
          </cell>
          <cell r="P961">
            <v>6000</v>
          </cell>
          <cell r="Q961">
            <v>2</v>
          </cell>
        </row>
        <row r="962">
          <cell r="A962">
            <v>3712046</v>
          </cell>
          <cell r="B962" t="str">
            <v>福島コーティング</v>
          </cell>
          <cell r="C962" t="str">
            <v>工材１部電材課</v>
          </cell>
          <cell r="D962" t="str">
            <v>ダミー担当者</v>
          </cell>
          <cell r="E962" t="str">
            <v>古河電気工業㈱</v>
          </cell>
          <cell r="F962">
            <v>3</v>
          </cell>
          <cell r="G962" t="str">
            <v>S</v>
          </cell>
          <cell r="H962" t="str">
            <v>N</v>
          </cell>
          <cell r="I962" t="str">
            <v>CERA</v>
          </cell>
          <cell r="K962" t="str">
            <v>WZE</v>
          </cell>
          <cell r="L962">
            <v>38</v>
          </cell>
          <cell r="M962" t="str">
            <v>セラピール　　　　　　　　　　　ＷＺ（Ｅ）</v>
          </cell>
          <cell r="N962">
            <v>1240</v>
          </cell>
          <cell r="O962">
            <v>1240</v>
          </cell>
          <cell r="P962">
            <v>6000</v>
          </cell>
          <cell r="Q962">
            <v>2</v>
          </cell>
        </row>
        <row r="963">
          <cell r="A963">
            <v>3712047</v>
          </cell>
          <cell r="B963" t="str">
            <v>福島コーティング</v>
          </cell>
          <cell r="C963" t="str">
            <v>工材１部電材課</v>
          </cell>
          <cell r="D963" t="str">
            <v>ダミー担当者</v>
          </cell>
          <cell r="E963" t="str">
            <v>パナック㈱亀山工場</v>
          </cell>
          <cell r="F963">
            <v>3</v>
          </cell>
          <cell r="G963" t="str">
            <v>S</v>
          </cell>
          <cell r="H963" t="str">
            <v>N</v>
          </cell>
          <cell r="I963" t="str">
            <v>CERA</v>
          </cell>
          <cell r="K963" t="str">
            <v>WZ</v>
          </cell>
          <cell r="L963">
            <v>25</v>
          </cell>
          <cell r="M963" t="str">
            <v>セラピール　　　　　　　　　　　ＷＺ</v>
          </cell>
          <cell r="N963">
            <v>1050</v>
          </cell>
          <cell r="O963">
            <v>1050</v>
          </cell>
          <cell r="P963">
            <v>12000</v>
          </cell>
          <cell r="Q963">
            <v>2</v>
          </cell>
        </row>
        <row r="964">
          <cell r="A964">
            <v>3712048</v>
          </cell>
          <cell r="B964" t="str">
            <v>福島コーティング</v>
          </cell>
          <cell r="C964" t="str">
            <v>工材１部電材課</v>
          </cell>
          <cell r="D964" t="str">
            <v>ダミー担当者</v>
          </cell>
          <cell r="E964" t="str">
            <v>古河電気工業㈱</v>
          </cell>
          <cell r="F964">
            <v>3</v>
          </cell>
          <cell r="G964" t="str">
            <v>S</v>
          </cell>
          <cell r="H964" t="str">
            <v>N</v>
          </cell>
          <cell r="I964" t="str">
            <v>CERA</v>
          </cell>
          <cell r="K964" t="str">
            <v>WZE</v>
          </cell>
          <cell r="L964">
            <v>25</v>
          </cell>
          <cell r="M964" t="str">
            <v>セラピール　　　　　　　　　　　ＷＺ（Ｅ）</v>
          </cell>
          <cell r="N964">
            <v>1040</v>
          </cell>
          <cell r="O964">
            <v>1040</v>
          </cell>
          <cell r="P964">
            <v>6000</v>
          </cell>
          <cell r="Q964">
            <v>2</v>
          </cell>
        </row>
        <row r="965">
          <cell r="A965">
            <v>3712049</v>
          </cell>
          <cell r="B965" t="str">
            <v>福島コーティング</v>
          </cell>
          <cell r="C965" t="str">
            <v>工材１部電材課</v>
          </cell>
          <cell r="D965" t="str">
            <v>ダミー担当者</v>
          </cell>
          <cell r="E965" t="str">
            <v>古河電気工業㈱</v>
          </cell>
          <cell r="F965">
            <v>3</v>
          </cell>
          <cell r="G965" t="str">
            <v>S</v>
          </cell>
          <cell r="H965" t="str">
            <v>N</v>
          </cell>
          <cell r="I965" t="str">
            <v>CERA</v>
          </cell>
          <cell r="K965" t="str">
            <v>WZE</v>
          </cell>
          <cell r="L965">
            <v>38</v>
          </cell>
          <cell r="M965" t="str">
            <v>セラピール　　　　　　　　　　　ＷＺ（Ｅ）</v>
          </cell>
          <cell r="N965">
            <v>1040</v>
          </cell>
          <cell r="O965">
            <v>1040</v>
          </cell>
          <cell r="P965">
            <v>6000</v>
          </cell>
          <cell r="Q965">
            <v>2</v>
          </cell>
        </row>
        <row r="966">
          <cell r="A966">
            <v>3712050</v>
          </cell>
          <cell r="B966" t="str">
            <v>情材福島原価</v>
          </cell>
          <cell r="C966" t="str">
            <v>工材１部電材課</v>
          </cell>
          <cell r="D966" t="str">
            <v>ダミー担当者</v>
          </cell>
          <cell r="E966" t="str">
            <v>藤産業㈱</v>
          </cell>
          <cell r="F966">
            <v>3</v>
          </cell>
          <cell r="G966" t="str">
            <v>T</v>
          </cell>
          <cell r="H966" t="str">
            <v>N</v>
          </cell>
          <cell r="I966" t="str">
            <v>CERA</v>
          </cell>
          <cell r="K966" t="str">
            <v>WZ34</v>
          </cell>
          <cell r="L966">
            <v>25</v>
          </cell>
          <cell r="M966" t="str">
            <v>セラピール　ＷＺ（３４）</v>
          </cell>
          <cell r="N966">
            <v>1410</v>
          </cell>
          <cell r="O966">
            <v>1410</v>
          </cell>
          <cell r="P966">
            <v>6000</v>
          </cell>
          <cell r="Q966">
            <v>2</v>
          </cell>
        </row>
        <row r="967">
          <cell r="A967">
            <v>3712051</v>
          </cell>
          <cell r="B967" t="str">
            <v>情材福島原価</v>
          </cell>
          <cell r="C967" t="str">
            <v>工材１部電材課</v>
          </cell>
          <cell r="D967" t="str">
            <v>ダミー担当者</v>
          </cell>
          <cell r="E967" t="str">
            <v>藤産業㈱</v>
          </cell>
          <cell r="F967">
            <v>3</v>
          </cell>
          <cell r="G967" t="str">
            <v>T</v>
          </cell>
          <cell r="H967" t="str">
            <v>N</v>
          </cell>
          <cell r="I967" t="str">
            <v>CERA</v>
          </cell>
          <cell r="K967" t="str">
            <v>WZ34</v>
          </cell>
          <cell r="L967">
            <v>25</v>
          </cell>
          <cell r="M967" t="str">
            <v>セラピール　ＷＺ（３４）</v>
          </cell>
          <cell r="N967">
            <v>1410</v>
          </cell>
          <cell r="O967">
            <v>1410</v>
          </cell>
          <cell r="P967">
            <v>6000</v>
          </cell>
          <cell r="Q967">
            <v>2</v>
          </cell>
        </row>
        <row r="968">
          <cell r="A968">
            <v>3712052</v>
          </cell>
          <cell r="B968" t="str">
            <v>福島コーティング</v>
          </cell>
          <cell r="C968" t="str">
            <v>工材１部大阪電材課</v>
          </cell>
          <cell r="D968" t="str">
            <v>ダミー担当者</v>
          </cell>
          <cell r="E968" t="str">
            <v>東洋機材</v>
          </cell>
          <cell r="F968">
            <v>3</v>
          </cell>
          <cell r="G968" t="str">
            <v>S</v>
          </cell>
          <cell r="H968" t="str">
            <v>N</v>
          </cell>
          <cell r="I968" t="str">
            <v>CERA</v>
          </cell>
          <cell r="K968" t="str">
            <v>WZS</v>
          </cell>
          <cell r="L968">
            <v>125</v>
          </cell>
          <cell r="M968" t="str">
            <v>セラピール　ＷＺ（Ｓ）</v>
          </cell>
          <cell r="N968">
            <v>1230</v>
          </cell>
          <cell r="O968">
            <v>1225</v>
          </cell>
          <cell r="P968">
            <v>1800</v>
          </cell>
          <cell r="Q968">
            <v>2</v>
          </cell>
        </row>
        <row r="969">
          <cell r="A969">
            <v>3712053</v>
          </cell>
          <cell r="B969" t="str">
            <v>福島コーティング</v>
          </cell>
          <cell r="C969" t="str">
            <v>工材３部工材１課</v>
          </cell>
          <cell r="D969" t="str">
            <v>ダミー担当者</v>
          </cell>
          <cell r="E969" t="str">
            <v>フジコピアン　岡山</v>
          </cell>
          <cell r="F969">
            <v>3</v>
          </cell>
          <cell r="G969" t="str">
            <v>S</v>
          </cell>
          <cell r="H969" t="str">
            <v>N</v>
          </cell>
          <cell r="I969" t="str">
            <v>CERA</v>
          </cell>
          <cell r="K969" t="str">
            <v>WZU</v>
          </cell>
          <cell r="L969">
            <v>25</v>
          </cell>
          <cell r="M969" t="str">
            <v>セラピール　　　　　　　　　　　ＷＺ（Ｕ）</v>
          </cell>
          <cell r="N969">
            <v>1155</v>
          </cell>
          <cell r="O969">
            <v>1150</v>
          </cell>
          <cell r="P969">
            <v>12400</v>
          </cell>
          <cell r="Q969">
            <v>2</v>
          </cell>
        </row>
        <row r="970">
          <cell r="A970">
            <v>3712054</v>
          </cell>
          <cell r="B970" t="str">
            <v>福島コーティング</v>
          </cell>
          <cell r="C970" t="str">
            <v>工材１部電材課</v>
          </cell>
          <cell r="D970" t="str">
            <v>ダミー担当者</v>
          </cell>
          <cell r="E970" t="str">
            <v>東洋包材㈱</v>
          </cell>
          <cell r="F970">
            <v>3</v>
          </cell>
          <cell r="G970" t="str">
            <v>S</v>
          </cell>
          <cell r="H970" t="str">
            <v>N</v>
          </cell>
          <cell r="I970" t="str">
            <v>CERA</v>
          </cell>
          <cell r="K970" t="str">
            <v>WZRX</v>
          </cell>
          <cell r="L970">
            <v>38</v>
          </cell>
          <cell r="M970" t="str">
            <v>セラピール　ＷＺ（ＲＸ）　　　　　　</v>
          </cell>
          <cell r="N970">
            <v>1135</v>
          </cell>
          <cell r="O970">
            <v>1130</v>
          </cell>
          <cell r="P970">
            <v>6000</v>
          </cell>
          <cell r="Q970">
            <v>2</v>
          </cell>
        </row>
        <row r="971">
          <cell r="A971">
            <v>3712055</v>
          </cell>
          <cell r="B971" t="str">
            <v>情材福島原価</v>
          </cell>
          <cell r="C971" t="str">
            <v>工材１部大阪電材課</v>
          </cell>
          <cell r="D971" t="str">
            <v>ダミー担当者</v>
          </cell>
          <cell r="F971">
            <v>3</v>
          </cell>
          <cell r="G971" t="str">
            <v>T</v>
          </cell>
          <cell r="H971" t="str">
            <v>N</v>
          </cell>
          <cell r="I971" t="str">
            <v>CERA</v>
          </cell>
          <cell r="K971" t="str">
            <v>WZS</v>
          </cell>
          <cell r="L971">
            <v>25</v>
          </cell>
          <cell r="M971" t="str">
            <v>セラピールＷＺ（Ｓ）</v>
          </cell>
          <cell r="N971">
            <v>1100</v>
          </cell>
          <cell r="O971">
            <v>1100</v>
          </cell>
          <cell r="P971">
            <v>12000</v>
          </cell>
          <cell r="Q971">
            <v>2</v>
          </cell>
        </row>
        <row r="972">
          <cell r="A972">
            <v>3712056</v>
          </cell>
          <cell r="B972" t="str">
            <v>福島コーティング</v>
          </cell>
          <cell r="C972" t="str">
            <v>プロセス材１課</v>
          </cell>
          <cell r="D972" t="str">
            <v>ダミー担当者</v>
          </cell>
          <cell r="E972" t="str">
            <v>リンテック㈱</v>
          </cell>
          <cell r="F972">
            <v>3</v>
          </cell>
          <cell r="G972" t="str">
            <v>S</v>
          </cell>
          <cell r="H972" t="str">
            <v>N</v>
          </cell>
          <cell r="I972" t="str">
            <v>CERA</v>
          </cell>
          <cell r="K972" t="str">
            <v>WZS</v>
          </cell>
          <cell r="L972">
            <v>38</v>
          </cell>
          <cell r="M972" t="str">
            <v>セラピール　　　　　　　　　　　ＷＺ（Ｓ）</v>
          </cell>
          <cell r="N972">
            <v>1005</v>
          </cell>
          <cell r="O972">
            <v>1000</v>
          </cell>
          <cell r="P972">
            <v>8000</v>
          </cell>
          <cell r="Q972">
            <v>2</v>
          </cell>
        </row>
        <row r="973">
          <cell r="A973">
            <v>3712057</v>
          </cell>
          <cell r="B973" t="str">
            <v>福島コーティング</v>
          </cell>
          <cell r="C973" t="str">
            <v>工材１部電材課</v>
          </cell>
          <cell r="D973" t="str">
            <v>ダミー担当者</v>
          </cell>
          <cell r="E973" t="str">
            <v>三栄産業㈱尾久工場</v>
          </cell>
          <cell r="F973">
            <v>3</v>
          </cell>
          <cell r="G973" t="str">
            <v>S</v>
          </cell>
          <cell r="H973" t="str">
            <v>N</v>
          </cell>
          <cell r="I973" t="str">
            <v>CERA</v>
          </cell>
          <cell r="K973" t="str">
            <v>WZRX</v>
          </cell>
          <cell r="L973">
            <v>25</v>
          </cell>
          <cell r="M973" t="str">
            <v>セラピール　ＷＺ（ＲＸ）　　　　　　</v>
          </cell>
          <cell r="N973">
            <v>640</v>
          </cell>
          <cell r="O973">
            <v>640</v>
          </cell>
          <cell r="P973">
            <v>2000</v>
          </cell>
          <cell r="Q973">
            <v>2</v>
          </cell>
        </row>
        <row r="974">
          <cell r="A974">
            <v>3712059</v>
          </cell>
          <cell r="B974" t="str">
            <v>福島コーティング</v>
          </cell>
          <cell r="C974" t="str">
            <v>工材１部大阪電材課</v>
          </cell>
          <cell r="D974" t="str">
            <v>ダミー担当者</v>
          </cell>
          <cell r="E974" t="str">
            <v>ＭＡＲＵＷＡ</v>
          </cell>
          <cell r="F974">
            <v>3</v>
          </cell>
          <cell r="G974" t="str">
            <v>S</v>
          </cell>
          <cell r="H974" t="str">
            <v>N</v>
          </cell>
          <cell r="I974" t="str">
            <v>CERA</v>
          </cell>
          <cell r="K974" t="str">
            <v>MFAS</v>
          </cell>
          <cell r="L974">
            <v>75</v>
          </cell>
          <cell r="M974" t="str">
            <v>セラピール　　　　　　　　　　　ＭＦＡ（Ｓ）</v>
          </cell>
          <cell r="N974">
            <v>620</v>
          </cell>
          <cell r="O974">
            <v>620</v>
          </cell>
          <cell r="P974">
            <v>400</v>
          </cell>
          <cell r="Q974">
            <v>2</v>
          </cell>
        </row>
        <row r="975">
          <cell r="A975">
            <v>3712060</v>
          </cell>
          <cell r="B975" t="str">
            <v>福島コーティング</v>
          </cell>
          <cell r="C975" t="str">
            <v>工材１部電材課</v>
          </cell>
          <cell r="D975" t="str">
            <v>ダミー担当者</v>
          </cell>
          <cell r="E975" t="str">
            <v>３Ｍジャパン</v>
          </cell>
          <cell r="F975" t="str">
            <v>3R</v>
          </cell>
          <cell r="G975" t="str">
            <v>S</v>
          </cell>
          <cell r="H975" t="str">
            <v>N</v>
          </cell>
          <cell r="I975" t="str">
            <v>CERA</v>
          </cell>
          <cell r="K975" t="str">
            <v>MFARX</v>
          </cell>
          <cell r="L975">
            <v>38</v>
          </cell>
          <cell r="M975" t="str">
            <v>セラピール　ＭＦＡ（ＲＸ）</v>
          </cell>
          <cell r="N975">
            <v>1265</v>
          </cell>
          <cell r="O975">
            <v>1265</v>
          </cell>
          <cell r="P975">
            <v>4000</v>
          </cell>
          <cell r="Q975">
            <v>2</v>
          </cell>
        </row>
        <row r="976">
          <cell r="A976">
            <v>3712061</v>
          </cell>
          <cell r="B976" t="str">
            <v>福島コーティング</v>
          </cell>
          <cell r="C976" t="str">
            <v>工材１部電材課</v>
          </cell>
          <cell r="D976" t="str">
            <v>ダミー担当者</v>
          </cell>
          <cell r="E976" t="str">
            <v>真田ＫＯＡ㈱</v>
          </cell>
          <cell r="F976">
            <v>3</v>
          </cell>
          <cell r="G976" t="str">
            <v>S</v>
          </cell>
          <cell r="H976" t="str">
            <v>N</v>
          </cell>
          <cell r="I976" t="str">
            <v>CERA</v>
          </cell>
          <cell r="K976" t="str">
            <v>MFAS</v>
          </cell>
          <cell r="L976">
            <v>75</v>
          </cell>
          <cell r="M976" t="str">
            <v>セラピール　　　　　　　　　　　ＭＦＡ（Ｓ）</v>
          </cell>
          <cell r="N976">
            <v>220</v>
          </cell>
          <cell r="O976">
            <v>220</v>
          </cell>
          <cell r="P976">
            <v>1200</v>
          </cell>
          <cell r="Q976">
            <v>1</v>
          </cell>
        </row>
        <row r="977">
          <cell r="A977">
            <v>3712062</v>
          </cell>
          <cell r="B977" t="str">
            <v>福島コーティング</v>
          </cell>
          <cell r="C977" t="str">
            <v>工材１部大阪電材課</v>
          </cell>
          <cell r="D977" t="str">
            <v>ダミー担当者</v>
          </cell>
          <cell r="E977" t="str">
            <v>下田工業㈱</v>
          </cell>
          <cell r="F977">
            <v>3</v>
          </cell>
          <cell r="G977" t="str">
            <v>S</v>
          </cell>
          <cell r="H977" t="str">
            <v>N</v>
          </cell>
          <cell r="I977" t="str">
            <v>CERA</v>
          </cell>
          <cell r="K977" t="str">
            <v>MFAS</v>
          </cell>
          <cell r="L977">
            <v>125</v>
          </cell>
          <cell r="M977" t="str">
            <v>セラピール　　　　　　　　　　　ＭＦＡ（Ｓ）</v>
          </cell>
          <cell r="N977">
            <v>150</v>
          </cell>
          <cell r="O977">
            <v>150</v>
          </cell>
          <cell r="P977">
            <v>200</v>
          </cell>
          <cell r="Q977">
            <v>1</v>
          </cell>
        </row>
        <row r="978">
          <cell r="A978">
            <v>3712063</v>
          </cell>
          <cell r="B978" t="str">
            <v>福島コーティング</v>
          </cell>
          <cell r="C978" t="str">
            <v>工材１部大阪電材課</v>
          </cell>
          <cell r="D978" t="str">
            <v>ダミー担当者</v>
          </cell>
          <cell r="E978" t="str">
            <v>下田工業㈱</v>
          </cell>
          <cell r="F978">
            <v>3</v>
          </cell>
          <cell r="G978" t="str">
            <v>S</v>
          </cell>
          <cell r="H978" t="str">
            <v>N</v>
          </cell>
          <cell r="I978" t="str">
            <v>CERA</v>
          </cell>
          <cell r="K978" t="str">
            <v>MFAS</v>
          </cell>
          <cell r="L978">
            <v>188</v>
          </cell>
          <cell r="M978" t="str">
            <v>セラピール　　　　　　　　　　　ＭＦＡ（Ｓ）</v>
          </cell>
          <cell r="N978">
            <v>1130</v>
          </cell>
          <cell r="O978">
            <v>1130</v>
          </cell>
          <cell r="P978">
            <v>1620</v>
          </cell>
          <cell r="Q978">
            <v>2</v>
          </cell>
        </row>
        <row r="979">
          <cell r="A979">
            <v>3712064</v>
          </cell>
          <cell r="B979" t="str">
            <v>福島コーティング</v>
          </cell>
          <cell r="C979" t="str">
            <v>工材１部大阪電材課</v>
          </cell>
          <cell r="D979" t="str">
            <v>ダミー担当者</v>
          </cell>
          <cell r="E979" t="str">
            <v>下田工業㈱</v>
          </cell>
          <cell r="F979">
            <v>3</v>
          </cell>
          <cell r="G979" t="str">
            <v>S</v>
          </cell>
          <cell r="H979" t="str">
            <v>N</v>
          </cell>
          <cell r="I979" t="str">
            <v>CERA</v>
          </cell>
          <cell r="K979" t="str">
            <v>MFAS</v>
          </cell>
          <cell r="L979">
            <v>100</v>
          </cell>
          <cell r="M979" t="str">
            <v>セラピール　　　　　　　　　　　ＭＦＡ（Ｓ）</v>
          </cell>
          <cell r="N979">
            <v>330</v>
          </cell>
          <cell r="O979">
            <v>330</v>
          </cell>
          <cell r="P979">
            <v>550</v>
          </cell>
          <cell r="Q979">
            <v>1</v>
          </cell>
        </row>
        <row r="980">
          <cell r="A980">
            <v>3712065</v>
          </cell>
          <cell r="B980" t="str">
            <v>福島コーティング</v>
          </cell>
          <cell r="C980" t="str">
            <v>プロセス材２課</v>
          </cell>
          <cell r="D980" t="str">
            <v>ダミー担当者</v>
          </cell>
          <cell r="E980" t="str">
            <v>京セラ鹿児島川内工場</v>
          </cell>
          <cell r="F980">
            <v>331</v>
          </cell>
          <cell r="G980" t="str">
            <v>S</v>
          </cell>
          <cell r="H980" t="str">
            <v>N</v>
          </cell>
          <cell r="I980" t="str">
            <v>CERA</v>
          </cell>
          <cell r="K980" t="str">
            <v>MFAS</v>
          </cell>
          <cell r="L980">
            <v>100</v>
          </cell>
          <cell r="M980" t="str">
            <v>セラピール　　　　　　　　　　　ＭＦＡ（Ｓ）</v>
          </cell>
          <cell r="N980">
            <v>450</v>
          </cell>
          <cell r="O980">
            <v>450</v>
          </cell>
          <cell r="P980">
            <v>800</v>
          </cell>
          <cell r="Q980">
            <v>2</v>
          </cell>
        </row>
        <row r="981">
          <cell r="A981">
            <v>3712066</v>
          </cell>
          <cell r="B981" t="str">
            <v>福島コーティング</v>
          </cell>
          <cell r="C981" t="str">
            <v>プロセス材２課</v>
          </cell>
          <cell r="D981" t="str">
            <v>ダミー担当者</v>
          </cell>
          <cell r="E981" t="str">
            <v>京セラ鹿児島川内工場</v>
          </cell>
          <cell r="F981">
            <v>331</v>
          </cell>
          <cell r="G981" t="str">
            <v>S</v>
          </cell>
          <cell r="H981" t="str">
            <v>N</v>
          </cell>
          <cell r="I981" t="str">
            <v>CERA</v>
          </cell>
          <cell r="K981" t="str">
            <v>MFAS</v>
          </cell>
          <cell r="L981">
            <v>100</v>
          </cell>
          <cell r="M981" t="str">
            <v>セラピール　　　　　　　　　　　ＭＦＡ（Ｓ）</v>
          </cell>
          <cell r="N981">
            <v>450</v>
          </cell>
          <cell r="O981">
            <v>450</v>
          </cell>
          <cell r="P981">
            <v>800</v>
          </cell>
          <cell r="Q981">
            <v>2</v>
          </cell>
        </row>
        <row r="982">
          <cell r="A982">
            <v>3712067</v>
          </cell>
          <cell r="B982" t="str">
            <v>福島コーティング</v>
          </cell>
          <cell r="C982" t="str">
            <v>工材１部電材課</v>
          </cell>
          <cell r="D982" t="str">
            <v>ダミー担当者</v>
          </cell>
          <cell r="E982" t="str">
            <v>㈱巴川製紙所</v>
          </cell>
          <cell r="F982">
            <v>331</v>
          </cell>
          <cell r="G982" t="str">
            <v>S</v>
          </cell>
          <cell r="H982" t="str">
            <v>N</v>
          </cell>
          <cell r="I982" t="str">
            <v>CERA</v>
          </cell>
          <cell r="K982" t="str">
            <v>BX8ARXT</v>
          </cell>
          <cell r="L982">
            <v>38</v>
          </cell>
          <cell r="M982" t="str">
            <v>セラピール　ＢＸ８ＡＲＸ</v>
          </cell>
          <cell r="N982">
            <v>1580</v>
          </cell>
          <cell r="O982">
            <v>1580</v>
          </cell>
          <cell r="P982">
            <v>6000</v>
          </cell>
          <cell r="Q982">
            <v>2</v>
          </cell>
        </row>
        <row r="983">
          <cell r="A983">
            <v>3712068</v>
          </cell>
          <cell r="B983" t="str">
            <v>福島コーティング</v>
          </cell>
          <cell r="C983" t="str">
            <v>工材１部大阪電材課</v>
          </cell>
          <cell r="D983" t="str">
            <v>ダミー担当者</v>
          </cell>
          <cell r="E983" t="str">
            <v>利昌工業　尼崎工場</v>
          </cell>
          <cell r="F983">
            <v>3</v>
          </cell>
          <cell r="G983" t="str">
            <v>S</v>
          </cell>
          <cell r="H983" t="str">
            <v>N</v>
          </cell>
          <cell r="I983" t="str">
            <v>CERA</v>
          </cell>
          <cell r="K983" t="str">
            <v>BX8ARX</v>
          </cell>
          <cell r="L983">
            <v>25</v>
          </cell>
          <cell r="M983" t="str">
            <v>セラピール　ＢＸ８Ａ（ＲＸ）</v>
          </cell>
          <cell r="N983">
            <v>740</v>
          </cell>
          <cell r="O983">
            <v>740</v>
          </cell>
          <cell r="P983">
            <v>2100</v>
          </cell>
          <cell r="Q983">
            <v>1</v>
          </cell>
        </row>
        <row r="984">
          <cell r="A984">
            <v>3712069</v>
          </cell>
          <cell r="B984" t="str">
            <v>福島コーティング</v>
          </cell>
          <cell r="C984" t="str">
            <v>工材１部電材課</v>
          </cell>
          <cell r="D984" t="str">
            <v>ダミー担当者</v>
          </cell>
          <cell r="E984" t="str">
            <v>㈱巴川製紙所</v>
          </cell>
          <cell r="F984">
            <v>331</v>
          </cell>
          <cell r="G984" t="str">
            <v>S</v>
          </cell>
          <cell r="H984" t="str">
            <v>N</v>
          </cell>
          <cell r="I984" t="str">
            <v>CERA</v>
          </cell>
          <cell r="K984" t="str">
            <v>BX8ARXT</v>
          </cell>
          <cell r="L984">
            <v>38</v>
          </cell>
          <cell r="M984" t="str">
            <v>セラピール　ＢＸ８ＡＲＸ</v>
          </cell>
          <cell r="N984">
            <v>1330</v>
          </cell>
          <cell r="O984">
            <v>1330</v>
          </cell>
          <cell r="P984">
            <v>6000</v>
          </cell>
          <cell r="Q984">
            <v>2</v>
          </cell>
        </row>
        <row r="985">
          <cell r="A985">
            <v>3712070</v>
          </cell>
          <cell r="B985" t="str">
            <v>福島コーティング</v>
          </cell>
          <cell r="C985" t="str">
            <v>工材１部電材課</v>
          </cell>
          <cell r="D985" t="str">
            <v>ダミー担当者</v>
          </cell>
          <cell r="E985" t="str">
            <v>㈱巴川製紙所</v>
          </cell>
          <cell r="F985">
            <v>3</v>
          </cell>
          <cell r="G985" t="str">
            <v>S</v>
          </cell>
          <cell r="H985" t="str">
            <v>N</v>
          </cell>
          <cell r="I985" t="str">
            <v>CERA</v>
          </cell>
          <cell r="K985" t="str">
            <v>BX8AX</v>
          </cell>
          <cell r="L985">
            <v>75</v>
          </cell>
          <cell r="M985" t="str">
            <v>セラピール　　　　　　　　　　　ＢＸ８Ａ（Ｘ）</v>
          </cell>
          <cell r="N985">
            <v>1330</v>
          </cell>
          <cell r="O985">
            <v>1330</v>
          </cell>
          <cell r="P985">
            <v>4100</v>
          </cell>
          <cell r="Q985">
            <v>2</v>
          </cell>
        </row>
        <row r="986">
          <cell r="A986">
            <v>3712071</v>
          </cell>
          <cell r="B986" t="str">
            <v>情材福島原価</v>
          </cell>
          <cell r="C986" t="str">
            <v>工材１部大阪電材課</v>
          </cell>
          <cell r="D986" t="str">
            <v>ダミー担当者</v>
          </cell>
          <cell r="E986" t="str">
            <v>ニッコー㈱</v>
          </cell>
          <cell r="F986">
            <v>3</v>
          </cell>
          <cell r="G986" t="str">
            <v>T</v>
          </cell>
          <cell r="H986" t="str">
            <v>N</v>
          </cell>
          <cell r="I986" t="str">
            <v>CERA</v>
          </cell>
          <cell r="K986" t="str">
            <v>BX8A14</v>
          </cell>
          <cell r="L986">
            <v>25</v>
          </cell>
          <cell r="M986" t="str">
            <v>セラピール　ＢＸ８Ａ（１４）</v>
          </cell>
          <cell r="N986">
            <v>1100</v>
          </cell>
          <cell r="O986">
            <v>1100</v>
          </cell>
          <cell r="P986">
            <v>4000</v>
          </cell>
          <cell r="Q986">
            <v>2</v>
          </cell>
        </row>
        <row r="987">
          <cell r="A987">
            <v>3712072</v>
          </cell>
          <cell r="B987" t="str">
            <v>福島コーティング</v>
          </cell>
          <cell r="C987" t="str">
            <v>工材１部電材課</v>
          </cell>
          <cell r="D987" t="str">
            <v>ダミー担当者</v>
          </cell>
          <cell r="E987" t="str">
            <v>㈱巴川製紙所</v>
          </cell>
          <cell r="F987">
            <v>331</v>
          </cell>
          <cell r="G987" t="str">
            <v>S</v>
          </cell>
          <cell r="H987" t="str">
            <v>N</v>
          </cell>
          <cell r="I987" t="str">
            <v>CERA</v>
          </cell>
          <cell r="K987" t="str">
            <v>BKERXT</v>
          </cell>
          <cell r="L987">
            <v>38</v>
          </cell>
          <cell r="M987" t="str">
            <v>セラピール　ＢＫＥ（ＲＸ）</v>
          </cell>
          <cell r="N987">
            <v>1580</v>
          </cell>
          <cell r="O987">
            <v>1580</v>
          </cell>
          <cell r="P987">
            <v>6000</v>
          </cell>
          <cell r="Q987">
            <v>2</v>
          </cell>
        </row>
        <row r="988">
          <cell r="A988">
            <v>3712073</v>
          </cell>
          <cell r="B988" t="str">
            <v>福島コーティング</v>
          </cell>
          <cell r="C988" t="str">
            <v>工材１部電材課</v>
          </cell>
          <cell r="D988" t="str">
            <v>ダミー担当者</v>
          </cell>
          <cell r="E988" t="str">
            <v>㈱巴川製紙所</v>
          </cell>
          <cell r="F988">
            <v>331</v>
          </cell>
          <cell r="G988" t="str">
            <v>S</v>
          </cell>
          <cell r="H988" t="str">
            <v>N</v>
          </cell>
          <cell r="I988" t="str">
            <v>CERA</v>
          </cell>
          <cell r="K988" t="str">
            <v>BKERXT</v>
          </cell>
          <cell r="L988">
            <v>25</v>
          </cell>
          <cell r="M988" t="str">
            <v>セラピール　ＢＫＥ（ＲＸ）</v>
          </cell>
          <cell r="N988">
            <v>1330</v>
          </cell>
          <cell r="O988">
            <v>1330</v>
          </cell>
          <cell r="P988">
            <v>6000</v>
          </cell>
          <cell r="Q988">
            <v>2</v>
          </cell>
        </row>
        <row r="989">
          <cell r="A989">
            <v>3712074</v>
          </cell>
          <cell r="B989" t="str">
            <v>福島コーティング</v>
          </cell>
          <cell r="C989" t="str">
            <v>工材１部電材課</v>
          </cell>
          <cell r="D989" t="str">
            <v>ダミー担当者</v>
          </cell>
          <cell r="E989" t="str">
            <v>パナック㈱亀山工場</v>
          </cell>
          <cell r="F989">
            <v>331</v>
          </cell>
          <cell r="G989" t="str">
            <v>S</v>
          </cell>
          <cell r="H989" t="str">
            <v>N</v>
          </cell>
          <cell r="I989" t="str">
            <v>CERA</v>
          </cell>
          <cell r="K989" t="str">
            <v>BKERXPT</v>
          </cell>
          <cell r="L989">
            <v>38</v>
          </cell>
          <cell r="M989" t="str">
            <v>セラピール　ＢＫＥ（ＲＸ）</v>
          </cell>
          <cell r="N989">
            <v>1330</v>
          </cell>
          <cell r="O989">
            <v>1330</v>
          </cell>
          <cell r="P989">
            <v>6000</v>
          </cell>
          <cell r="Q989">
            <v>2</v>
          </cell>
        </row>
        <row r="990">
          <cell r="A990">
            <v>3712075</v>
          </cell>
          <cell r="B990" t="str">
            <v>福島コーティング</v>
          </cell>
          <cell r="C990" t="str">
            <v>工材１部電材課</v>
          </cell>
          <cell r="D990" t="str">
            <v>ダミー担当者</v>
          </cell>
          <cell r="E990" t="str">
            <v>㈱巴川製紙所</v>
          </cell>
          <cell r="F990">
            <v>331</v>
          </cell>
          <cell r="G990" t="str">
            <v>S</v>
          </cell>
          <cell r="H990" t="str">
            <v>N</v>
          </cell>
          <cell r="I990" t="str">
            <v>CERA</v>
          </cell>
          <cell r="K990" t="str">
            <v>BKERXT</v>
          </cell>
          <cell r="L990">
            <v>38</v>
          </cell>
          <cell r="M990" t="str">
            <v>セラピール　ＢＫＥ（ＲＸ）</v>
          </cell>
          <cell r="N990">
            <v>1330</v>
          </cell>
          <cell r="O990">
            <v>1330</v>
          </cell>
          <cell r="P990">
            <v>6000</v>
          </cell>
          <cell r="Q990">
            <v>2</v>
          </cell>
        </row>
        <row r="991">
          <cell r="A991">
            <v>3712076</v>
          </cell>
          <cell r="B991" t="str">
            <v>福島コーティング</v>
          </cell>
          <cell r="C991" t="str">
            <v>光学機能材１課</v>
          </cell>
          <cell r="D991" t="str">
            <v>ダミー担当者</v>
          </cell>
          <cell r="E991" t="str">
            <v>㈱きもと　三重工場</v>
          </cell>
          <cell r="F991">
            <v>3</v>
          </cell>
          <cell r="G991" t="str">
            <v>S</v>
          </cell>
          <cell r="H991" t="str">
            <v>N</v>
          </cell>
          <cell r="I991" t="str">
            <v>CERA</v>
          </cell>
          <cell r="K991" t="str">
            <v>BKUK</v>
          </cell>
          <cell r="L991">
            <v>25</v>
          </cell>
          <cell r="M991" t="str">
            <v>セラピール　ＢＫ（Ｕ）Ｋ</v>
          </cell>
          <cell r="N991">
            <v>1085</v>
          </cell>
          <cell r="O991">
            <v>1080</v>
          </cell>
          <cell r="P991">
            <v>6000</v>
          </cell>
          <cell r="Q991">
            <v>2</v>
          </cell>
        </row>
        <row r="992">
          <cell r="A992">
            <v>3712077</v>
          </cell>
          <cell r="B992" t="str">
            <v>福島コーティング</v>
          </cell>
          <cell r="C992" t="str">
            <v>工材１部電材課</v>
          </cell>
          <cell r="D992" t="str">
            <v>ダミー担当者</v>
          </cell>
          <cell r="E992" t="str">
            <v>パナック㈱亀山工場</v>
          </cell>
          <cell r="F992">
            <v>3</v>
          </cell>
          <cell r="G992" t="str">
            <v>S</v>
          </cell>
          <cell r="H992" t="str">
            <v>N</v>
          </cell>
          <cell r="I992" t="str">
            <v>CERA</v>
          </cell>
          <cell r="K992" t="str">
            <v>BKE09</v>
          </cell>
          <cell r="L992">
            <v>38</v>
          </cell>
          <cell r="M992" t="str">
            <v>セラピール　ＢＫＥ（０９）</v>
          </cell>
          <cell r="N992">
            <v>1057</v>
          </cell>
          <cell r="O992">
            <v>1050</v>
          </cell>
          <cell r="P992">
            <v>8400</v>
          </cell>
          <cell r="Q992">
            <v>2</v>
          </cell>
        </row>
        <row r="993">
          <cell r="A993">
            <v>3712078</v>
          </cell>
          <cell r="B993" t="str">
            <v>福島コーティング</v>
          </cell>
          <cell r="C993" t="str">
            <v>光学機能材１課</v>
          </cell>
          <cell r="D993" t="str">
            <v>ダミー担当者</v>
          </cell>
          <cell r="E993" t="str">
            <v>㈱きもと　三重工場</v>
          </cell>
          <cell r="F993">
            <v>3</v>
          </cell>
          <cell r="G993" t="str">
            <v>S</v>
          </cell>
          <cell r="H993" t="str">
            <v>N</v>
          </cell>
          <cell r="I993" t="str">
            <v>CERA</v>
          </cell>
          <cell r="K993" t="str">
            <v>BKUK</v>
          </cell>
          <cell r="L993">
            <v>25</v>
          </cell>
          <cell r="M993" t="str">
            <v>セラピール　ＢＫ（Ｕ）Ｋ</v>
          </cell>
          <cell r="N993">
            <v>1045</v>
          </cell>
          <cell r="O993">
            <v>1040</v>
          </cell>
          <cell r="P993">
            <v>6000</v>
          </cell>
          <cell r="Q993">
            <v>2</v>
          </cell>
        </row>
        <row r="994">
          <cell r="A994">
            <v>3712079</v>
          </cell>
          <cell r="B994" t="str">
            <v>福島コーティング</v>
          </cell>
          <cell r="C994" t="str">
            <v>工材１部電材課</v>
          </cell>
          <cell r="D994" t="str">
            <v>ダミー担当者</v>
          </cell>
          <cell r="E994" t="str">
            <v>パナック㈱亀山工場</v>
          </cell>
          <cell r="F994">
            <v>3</v>
          </cell>
          <cell r="G994" t="str">
            <v>S</v>
          </cell>
          <cell r="H994" t="str">
            <v>N</v>
          </cell>
          <cell r="I994" t="str">
            <v>CERA</v>
          </cell>
          <cell r="K994" t="str">
            <v>BKE09</v>
          </cell>
          <cell r="L994">
            <v>38</v>
          </cell>
          <cell r="M994" t="str">
            <v>セラピール　ＢＫＥ（０９）</v>
          </cell>
          <cell r="N994">
            <v>1037</v>
          </cell>
          <cell r="O994">
            <v>1030</v>
          </cell>
          <cell r="P994">
            <v>8500</v>
          </cell>
          <cell r="Q994">
            <v>2</v>
          </cell>
        </row>
        <row r="995">
          <cell r="A995">
            <v>3712080</v>
          </cell>
          <cell r="B995" t="str">
            <v>福島コーティング</v>
          </cell>
          <cell r="C995" t="str">
            <v>工材１部電材課</v>
          </cell>
          <cell r="D995" t="str">
            <v>ダミー担当者</v>
          </cell>
          <cell r="E995" t="str">
            <v>パナック㈱亀山工場</v>
          </cell>
          <cell r="F995">
            <v>3</v>
          </cell>
          <cell r="G995" t="str">
            <v>S</v>
          </cell>
          <cell r="H995" t="str">
            <v>N</v>
          </cell>
          <cell r="I995" t="str">
            <v>CERA</v>
          </cell>
          <cell r="K995" t="str">
            <v>BKE09</v>
          </cell>
          <cell r="L995">
            <v>38</v>
          </cell>
          <cell r="M995" t="str">
            <v>セラピール　ＢＫＥ（０９）</v>
          </cell>
          <cell r="N995">
            <v>1037</v>
          </cell>
          <cell r="O995">
            <v>1030</v>
          </cell>
          <cell r="P995">
            <v>8500</v>
          </cell>
          <cell r="Q995">
            <v>2</v>
          </cell>
        </row>
        <row r="996">
          <cell r="A996">
            <v>3712081</v>
          </cell>
          <cell r="B996" t="str">
            <v>福島コーティング</v>
          </cell>
          <cell r="C996" t="str">
            <v>工材１部電材課</v>
          </cell>
          <cell r="D996" t="str">
            <v>ダミー担当者</v>
          </cell>
          <cell r="E996" t="str">
            <v>積水化学武蔵工場</v>
          </cell>
          <cell r="F996">
            <v>3</v>
          </cell>
          <cell r="G996" t="str">
            <v>S</v>
          </cell>
          <cell r="H996" t="str">
            <v>N</v>
          </cell>
          <cell r="I996" t="str">
            <v>CERA</v>
          </cell>
          <cell r="K996" t="str">
            <v>BKU</v>
          </cell>
          <cell r="L996">
            <v>25</v>
          </cell>
          <cell r="M996" t="str">
            <v>セラピ－ル　ＢＫ（Ｕ）</v>
          </cell>
          <cell r="N996">
            <v>890</v>
          </cell>
          <cell r="O996">
            <v>890</v>
          </cell>
          <cell r="P996">
            <v>3800</v>
          </cell>
          <cell r="Q996">
            <v>2</v>
          </cell>
        </row>
        <row r="997">
          <cell r="A997">
            <v>3712082</v>
          </cell>
          <cell r="B997" t="str">
            <v>福島コーティング</v>
          </cell>
          <cell r="C997" t="str">
            <v>工材１部大阪電材課</v>
          </cell>
          <cell r="D997" t="str">
            <v>ダミー担当者</v>
          </cell>
          <cell r="E997" t="str">
            <v>日東電工㈱豊橋工場</v>
          </cell>
          <cell r="F997">
            <v>3313</v>
          </cell>
          <cell r="G997" t="str">
            <v>S</v>
          </cell>
          <cell r="H997" t="str">
            <v>N</v>
          </cell>
          <cell r="I997" t="str">
            <v>CERA</v>
          </cell>
          <cell r="K997" t="str">
            <v>MD(A)R</v>
          </cell>
          <cell r="L997">
            <v>38</v>
          </cell>
          <cell r="M997" t="str">
            <v>セラピール　ＭＤ（Ａ）（Ｒ）</v>
          </cell>
          <cell r="N997">
            <v>750</v>
          </cell>
          <cell r="O997">
            <v>750</v>
          </cell>
          <cell r="P997">
            <v>6000</v>
          </cell>
          <cell r="Q997">
            <v>2</v>
          </cell>
        </row>
        <row r="998">
          <cell r="A998">
            <v>3712083</v>
          </cell>
          <cell r="B998" t="str">
            <v>福島コーティング</v>
          </cell>
          <cell r="C998" t="str">
            <v>工材１部大阪電材課</v>
          </cell>
          <cell r="D998" t="str">
            <v>ダミー担当者</v>
          </cell>
          <cell r="E998" t="str">
            <v>日東電工㈱豊橋工場</v>
          </cell>
          <cell r="F998">
            <v>331</v>
          </cell>
          <cell r="G998" t="str">
            <v>S</v>
          </cell>
          <cell r="H998" t="str">
            <v>N</v>
          </cell>
          <cell r="I998" t="str">
            <v>CERA</v>
          </cell>
          <cell r="K998" t="str">
            <v>MD(A)R</v>
          </cell>
          <cell r="L998">
            <v>38</v>
          </cell>
          <cell r="M998" t="str">
            <v>セラピール　ＭＤ（Ａ）（Ｒ）</v>
          </cell>
          <cell r="N998">
            <v>1025</v>
          </cell>
          <cell r="O998">
            <v>1020</v>
          </cell>
          <cell r="P998">
            <v>6000</v>
          </cell>
          <cell r="Q998">
            <v>2</v>
          </cell>
        </row>
        <row r="999">
          <cell r="A999">
            <v>3712084</v>
          </cell>
          <cell r="B999" t="str">
            <v>福島コーティング</v>
          </cell>
          <cell r="C999" t="str">
            <v>大阪光学機能材課</v>
          </cell>
          <cell r="D999" t="str">
            <v>ダミー担当者</v>
          </cell>
          <cell r="E999" t="str">
            <v>日東電工㈱尾道事業所</v>
          </cell>
          <cell r="F999">
            <v>3321</v>
          </cell>
          <cell r="G999" t="str">
            <v>S</v>
          </cell>
          <cell r="H999" t="str">
            <v>N</v>
          </cell>
          <cell r="I999" t="str">
            <v>CERA</v>
          </cell>
          <cell r="K999" t="str">
            <v>MDACPFL</v>
          </cell>
          <cell r="L999">
            <v>38</v>
          </cell>
          <cell r="M999" t="str">
            <v>Ｋ　セラピールＭＤＡ（ＣＰＲＦ）Ｌ</v>
          </cell>
          <cell r="N999">
            <v>1336</v>
          </cell>
          <cell r="O999">
            <v>1325</v>
          </cell>
          <cell r="P999">
            <v>12000</v>
          </cell>
          <cell r="Q999">
            <v>2</v>
          </cell>
        </row>
        <row r="1000">
          <cell r="A1000">
            <v>3712085</v>
          </cell>
          <cell r="B1000" t="str">
            <v>福島コーティング</v>
          </cell>
          <cell r="C1000" t="str">
            <v>大阪光学機能材課</v>
          </cell>
          <cell r="D1000" t="str">
            <v>ダミー担当者</v>
          </cell>
          <cell r="E1000" t="str">
            <v>日東電工㈱尾道事業所</v>
          </cell>
          <cell r="F1000">
            <v>3321</v>
          </cell>
          <cell r="G1000" t="str">
            <v>S</v>
          </cell>
          <cell r="H1000" t="str">
            <v>N</v>
          </cell>
          <cell r="I1000" t="str">
            <v>CERA</v>
          </cell>
          <cell r="K1000" t="str">
            <v>MDAPFL</v>
          </cell>
          <cell r="L1000">
            <v>38</v>
          </cell>
          <cell r="M1000" t="str">
            <v>Ｋ　セラピールＭＤＡ（ＰＲＦ）Ｌ</v>
          </cell>
          <cell r="N1000">
            <v>1336</v>
          </cell>
          <cell r="O1000">
            <v>1325</v>
          </cell>
          <cell r="P1000">
            <v>12000</v>
          </cell>
          <cell r="Q1000">
            <v>2</v>
          </cell>
        </row>
        <row r="1001">
          <cell r="A1001">
            <v>3712086</v>
          </cell>
          <cell r="B1001" t="str">
            <v>福島コーティング</v>
          </cell>
          <cell r="C1001" t="str">
            <v>工材１部電材課</v>
          </cell>
          <cell r="D1001" t="str">
            <v>ダミー担当者</v>
          </cell>
          <cell r="E1001" t="str">
            <v>栗村化学</v>
          </cell>
          <cell r="F1001">
            <v>3</v>
          </cell>
          <cell r="G1001" t="str">
            <v>S</v>
          </cell>
          <cell r="H1001" t="str">
            <v>Y</v>
          </cell>
          <cell r="I1001" t="str">
            <v>CERA</v>
          </cell>
          <cell r="K1001" t="str">
            <v>SY09</v>
          </cell>
          <cell r="L1001">
            <v>50</v>
          </cell>
          <cell r="M1001" t="str">
            <v>セラピール　ＳＹ（０９）</v>
          </cell>
          <cell r="N1001">
            <v>1050</v>
          </cell>
          <cell r="O1001">
            <v>1040</v>
          </cell>
          <cell r="P1001">
            <v>4000</v>
          </cell>
          <cell r="Q1001">
            <v>2</v>
          </cell>
        </row>
        <row r="1002">
          <cell r="A1002">
            <v>3712087</v>
          </cell>
          <cell r="B1002" t="str">
            <v>福島コーティング</v>
          </cell>
          <cell r="C1002" t="str">
            <v>工材１部電材課</v>
          </cell>
          <cell r="D1002" t="str">
            <v>ダミー担当者</v>
          </cell>
          <cell r="E1002" t="str">
            <v>古河電気工業㈱</v>
          </cell>
          <cell r="F1002">
            <v>3</v>
          </cell>
          <cell r="G1002" t="str">
            <v>S</v>
          </cell>
          <cell r="H1002" t="str">
            <v>N</v>
          </cell>
          <cell r="I1002" t="str">
            <v>CERA</v>
          </cell>
          <cell r="K1002" t="str">
            <v>WZE</v>
          </cell>
          <cell r="L1002">
            <v>25</v>
          </cell>
          <cell r="M1002" t="str">
            <v>セラピール　　　　　　　　　　　ＷＺ（Ｅ）</v>
          </cell>
          <cell r="N1002">
            <v>1240</v>
          </cell>
          <cell r="O1002">
            <v>1240</v>
          </cell>
          <cell r="P1002">
            <v>6000</v>
          </cell>
          <cell r="Q1002">
            <v>2</v>
          </cell>
        </row>
        <row r="1003">
          <cell r="A1003">
            <v>3712088</v>
          </cell>
          <cell r="B1003" t="str">
            <v>福島コーティング</v>
          </cell>
          <cell r="C1003" t="str">
            <v>工材１部電材課</v>
          </cell>
          <cell r="D1003" t="str">
            <v>ダミー担当者</v>
          </cell>
          <cell r="E1003" t="str">
            <v>古河電気工業㈱</v>
          </cell>
          <cell r="F1003">
            <v>3</v>
          </cell>
          <cell r="G1003" t="str">
            <v>S</v>
          </cell>
          <cell r="H1003" t="str">
            <v>N</v>
          </cell>
          <cell r="I1003" t="str">
            <v>CERA</v>
          </cell>
          <cell r="K1003" t="str">
            <v>WZE</v>
          </cell>
          <cell r="L1003">
            <v>25</v>
          </cell>
          <cell r="M1003" t="str">
            <v>セラピール　　　　　　　　　　　ＷＺ（Ｅ）</v>
          </cell>
          <cell r="N1003">
            <v>1040</v>
          </cell>
          <cell r="O1003">
            <v>1040</v>
          </cell>
          <cell r="P1003">
            <v>6000</v>
          </cell>
          <cell r="Q1003">
            <v>2</v>
          </cell>
        </row>
        <row r="1004">
          <cell r="A1004">
            <v>3712091</v>
          </cell>
          <cell r="B1004" t="str">
            <v>福島コーティング</v>
          </cell>
          <cell r="C1004" t="str">
            <v>プロセス材２課</v>
          </cell>
          <cell r="D1004" t="str">
            <v>ダミー担当者</v>
          </cell>
          <cell r="E1004" t="str">
            <v>藤森工業㈱掛川事業所</v>
          </cell>
          <cell r="F1004">
            <v>3</v>
          </cell>
          <cell r="G1004" t="str">
            <v>S</v>
          </cell>
          <cell r="H1004" t="str">
            <v>N</v>
          </cell>
          <cell r="I1004" t="str">
            <v>CLB</v>
          </cell>
          <cell r="K1004" t="str">
            <v>PETTL</v>
          </cell>
          <cell r="L1004">
            <v>38</v>
          </cell>
          <cell r="M1004" t="str">
            <v>ＰＥＴ　ＴＬ</v>
          </cell>
          <cell r="N1004">
            <v>1320</v>
          </cell>
          <cell r="O1004">
            <v>1320</v>
          </cell>
          <cell r="P1004">
            <v>4200</v>
          </cell>
          <cell r="Q1004">
            <v>2</v>
          </cell>
        </row>
        <row r="1005">
          <cell r="A1005">
            <v>3712092</v>
          </cell>
          <cell r="B1005" t="str">
            <v>福島コーティング</v>
          </cell>
          <cell r="C1005" t="str">
            <v>プロセス材２課</v>
          </cell>
          <cell r="D1005" t="str">
            <v>ダミー担当者</v>
          </cell>
          <cell r="E1005" t="str">
            <v>藤森工業㈱掛川事業所</v>
          </cell>
          <cell r="F1005">
            <v>3</v>
          </cell>
          <cell r="G1005" t="str">
            <v>S</v>
          </cell>
          <cell r="H1005" t="str">
            <v>N</v>
          </cell>
          <cell r="I1005" t="str">
            <v>CLB</v>
          </cell>
          <cell r="K1005" t="str">
            <v>PETTL</v>
          </cell>
          <cell r="L1005">
            <v>50</v>
          </cell>
          <cell r="M1005" t="str">
            <v>ＰＥＴ　ＴＬ</v>
          </cell>
          <cell r="N1005">
            <v>1320</v>
          </cell>
          <cell r="O1005">
            <v>1320</v>
          </cell>
          <cell r="P1005">
            <v>4200</v>
          </cell>
          <cell r="Q1005">
            <v>2</v>
          </cell>
        </row>
        <row r="1006">
          <cell r="A1006">
            <v>3712098</v>
          </cell>
          <cell r="B1006" t="str">
            <v>福島コーティング</v>
          </cell>
          <cell r="C1006" t="str">
            <v>工材３部工材２課</v>
          </cell>
          <cell r="D1006" t="str">
            <v>ダミー担当者</v>
          </cell>
          <cell r="E1006" t="str">
            <v>㈱レゾナック</v>
          </cell>
          <cell r="F1006">
            <v>3</v>
          </cell>
          <cell r="G1006" t="str">
            <v>S</v>
          </cell>
          <cell r="H1006" t="str">
            <v>N</v>
          </cell>
          <cell r="I1006" t="str">
            <v>CERANS</v>
          </cell>
          <cell r="K1006" t="str">
            <v>PJ27103</v>
          </cell>
          <cell r="L1006">
            <v>25</v>
          </cell>
          <cell r="M1006" t="str">
            <v>セラピール　ＰＪ２７１（０３）</v>
          </cell>
          <cell r="N1006">
            <v>1575</v>
          </cell>
          <cell r="O1006">
            <v>1575</v>
          </cell>
          <cell r="P1006">
            <v>12000</v>
          </cell>
          <cell r="Q1006">
            <v>2</v>
          </cell>
        </row>
        <row r="1007">
          <cell r="A1007">
            <v>3712112</v>
          </cell>
          <cell r="B1007" t="str">
            <v>福島コーティング</v>
          </cell>
          <cell r="C1007" t="str">
            <v>プロセス材１課</v>
          </cell>
          <cell r="D1007" t="str">
            <v>ダミー担当者</v>
          </cell>
          <cell r="E1007" t="str">
            <v>リンテック㈱</v>
          </cell>
          <cell r="F1007">
            <v>3</v>
          </cell>
          <cell r="G1007" t="str">
            <v>S</v>
          </cell>
          <cell r="H1007" t="str">
            <v>N</v>
          </cell>
          <cell r="I1007" t="str">
            <v>CLB</v>
          </cell>
          <cell r="K1007" t="str">
            <v>E20V</v>
          </cell>
          <cell r="L1007">
            <v>75</v>
          </cell>
          <cell r="M1007" t="str">
            <v>ルミラー　Ｅ－２０　Ｖ</v>
          </cell>
          <cell r="N1007">
            <v>1005</v>
          </cell>
          <cell r="O1007">
            <v>1000</v>
          </cell>
          <cell r="P1007">
            <v>3000</v>
          </cell>
          <cell r="Q1007">
            <v>2</v>
          </cell>
        </row>
        <row r="1008">
          <cell r="A1008">
            <v>3712116</v>
          </cell>
          <cell r="B1008" t="str">
            <v>福島コーティング</v>
          </cell>
          <cell r="C1008" t="str">
            <v>プロセス材１課</v>
          </cell>
          <cell r="D1008" t="str">
            <v>ダミー担当者</v>
          </cell>
          <cell r="E1008" t="str">
            <v>リンテック㈱</v>
          </cell>
          <cell r="F1008">
            <v>3</v>
          </cell>
          <cell r="G1008" t="str">
            <v>S</v>
          </cell>
          <cell r="H1008" t="str">
            <v>N</v>
          </cell>
          <cell r="I1008" t="str">
            <v>CLB</v>
          </cell>
          <cell r="K1008" t="str">
            <v>E20V</v>
          </cell>
          <cell r="L1008">
            <v>50</v>
          </cell>
          <cell r="M1008" t="str">
            <v>ルミラー　Ｅ－２０　Ｖ</v>
          </cell>
          <cell r="N1008">
            <v>1005</v>
          </cell>
          <cell r="O1008">
            <v>1000</v>
          </cell>
          <cell r="P1008">
            <v>4000</v>
          </cell>
          <cell r="Q1008">
            <v>2</v>
          </cell>
        </row>
        <row r="1009">
          <cell r="A1009">
            <v>3712127</v>
          </cell>
          <cell r="B1009" t="str">
            <v>福島コーティング</v>
          </cell>
          <cell r="C1009" t="str">
            <v>工材１部電材課</v>
          </cell>
          <cell r="D1009" t="str">
            <v>ダミー担当者</v>
          </cell>
          <cell r="E1009" t="str">
            <v>三栄産業㈱尾久工場</v>
          </cell>
          <cell r="F1009">
            <v>3</v>
          </cell>
          <cell r="G1009" t="str">
            <v>S</v>
          </cell>
          <cell r="H1009" t="str">
            <v>N</v>
          </cell>
          <cell r="I1009" t="str">
            <v>CERA</v>
          </cell>
          <cell r="K1009" t="str">
            <v>WZRX</v>
          </cell>
          <cell r="L1009">
            <v>25</v>
          </cell>
          <cell r="M1009" t="str">
            <v>セラピール　ＷＺ（ＲＸ）　　　　　　</v>
          </cell>
          <cell r="N1009">
            <v>640</v>
          </cell>
          <cell r="O1009">
            <v>640</v>
          </cell>
          <cell r="P1009">
            <v>2000</v>
          </cell>
          <cell r="Q1009">
            <v>2</v>
          </cell>
        </row>
        <row r="1010">
          <cell r="A1010">
            <v>3712127</v>
          </cell>
          <cell r="B1010" t="str">
            <v>福島コーティング</v>
          </cell>
          <cell r="C1010" t="str">
            <v>工材１部電材課</v>
          </cell>
          <cell r="D1010" t="str">
            <v>ダミー担当者</v>
          </cell>
          <cell r="E1010" t="str">
            <v>三栄産業㈱尾久工場</v>
          </cell>
          <cell r="F1010">
            <v>3</v>
          </cell>
          <cell r="G1010" t="str">
            <v>S</v>
          </cell>
          <cell r="H1010" t="str">
            <v>N</v>
          </cell>
          <cell r="I1010" t="str">
            <v>CERA</v>
          </cell>
          <cell r="K1010" t="str">
            <v>WZRX</v>
          </cell>
          <cell r="L1010">
            <v>25</v>
          </cell>
          <cell r="M1010" t="str">
            <v>セラピール　ＷＺ（ＲＸ）　　　　　　</v>
          </cell>
          <cell r="N1010">
            <v>540</v>
          </cell>
          <cell r="O1010">
            <v>540</v>
          </cell>
          <cell r="P1010">
            <v>2000</v>
          </cell>
          <cell r="Q1010">
            <v>2</v>
          </cell>
        </row>
        <row r="1011">
          <cell r="A1011">
            <v>3716206</v>
          </cell>
          <cell r="B1011" t="str">
            <v>福島コーティング</v>
          </cell>
          <cell r="C1011" t="str">
            <v>工材１部大阪電材課</v>
          </cell>
          <cell r="D1011" t="str">
            <v>ダミー担当者</v>
          </cell>
          <cell r="E1011" t="str">
            <v>日東電工㈱亀山購買課</v>
          </cell>
          <cell r="F1011">
            <v>331</v>
          </cell>
          <cell r="G1011" t="str">
            <v>S</v>
          </cell>
          <cell r="H1011" t="str">
            <v>N</v>
          </cell>
          <cell r="I1011" t="str">
            <v>CERA</v>
          </cell>
          <cell r="K1011" t="str">
            <v>WZRX</v>
          </cell>
          <cell r="L1011">
            <v>25</v>
          </cell>
          <cell r="M1011" t="str">
            <v>セラピール　ＷＺ（ＲＸ）　　　　　　</v>
          </cell>
          <cell r="N1011">
            <v>450</v>
          </cell>
          <cell r="O1011">
            <v>450</v>
          </cell>
          <cell r="P1011">
            <v>4000</v>
          </cell>
          <cell r="Q1011">
            <v>2</v>
          </cell>
        </row>
        <row r="1012">
          <cell r="A1012">
            <v>3716207</v>
          </cell>
          <cell r="B1012" t="str">
            <v>福島コーティング</v>
          </cell>
          <cell r="C1012" t="str">
            <v>工材１部電材課</v>
          </cell>
          <cell r="D1012" t="str">
            <v>ダミー担当者</v>
          </cell>
          <cell r="E1012" t="str">
            <v>㈱巴川製紙所</v>
          </cell>
          <cell r="F1012">
            <v>331</v>
          </cell>
          <cell r="G1012" t="str">
            <v>S</v>
          </cell>
          <cell r="H1012" t="str">
            <v>N</v>
          </cell>
          <cell r="I1012" t="str">
            <v>CERA</v>
          </cell>
          <cell r="K1012" t="str">
            <v>BX8ARXT</v>
          </cell>
          <cell r="L1012">
            <v>38</v>
          </cell>
          <cell r="M1012" t="str">
            <v>セラピール　ＢＸ８ＡＲＸ</v>
          </cell>
          <cell r="N1012">
            <v>1580</v>
          </cell>
          <cell r="O1012">
            <v>1580</v>
          </cell>
          <cell r="P1012">
            <v>6000</v>
          </cell>
          <cell r="Q1012">
            <v>2</v>
          </cell>
        </row>
        <row r="1013">
          <cell r="A1013">
            <v>3716208</v>
          </cell>
          <cell r="B1013" t="str">
            <v>福島コーティング</v>
          </cell>
          <cell r="C1013" t="str">
            <v>工材１部電材課</v>
          </cell>
          <cell r="D1013" t="str">
            <v>ダミー担当者</v>
          </cell>
          <cell r="E1013" t="str">
            <v>㈱巴川製紙所</v>
          </cell>
          <cell r="F1013">
            <v>331</v>
          </cell>
          <cell r="G1013" t="str">
            <v>S</v>
          </cell>
          <cell r="H1013" t="str">
            <v>N</v>
          </cell>
          <cell r="I1013" t="str">
            <v>CERA</v>
          </cell>
          <cell r="K1013" t="str">
            <v>BX8ARXT</v>
          </cell>
          <cell r="L1013">
            <v>38</v>
          </cell>
          <cell r="M1013" t="str">
            <v>セラピール　ＢＸ８ＡＲＸ</v>
          </cell>
          <cell r="N1013">
            <v>1330</v>
          </cell>
          <cell r="O1013">
            <v>1330</v>
          </cell>
          <cell r="P1013">
            <v>6000</v>
          </cell>
          <cell r="Q1013">
            <v>2</v>
          </cell>
        </row>
        <row r="1014">
          <cell r="A1014">
            <v>3716209</v>
          </cell>
          <cell r="B1014" t="str">
            <v>福島コーティング</v>
          </cell>
          <cell r="C1014" t="str">
            <v>工材１部電材課</v>
          </cell>
          <cell r="D1014" t="str">
            <v>ダミー担当者</v>
          </cell>
          <cell r="E1014" t="str">
            <v>栗村化学</v>
          </cell>
          <cell r="F1014">
            <v>3</v>
          </cell>
          <cell r="G1014" t="str">
            <v>S</v>
          </cell>
          <cell r="H1014" t="str">
            <v>Y</v>
          </cell>
          <cell r="I1014" t="str">
            <v>CERA</v>
          </cell>
          <cell r="K1014" t="str">
            <v>SY09</v>
          </cell>
          <cell r="L1014">
            <v>50</v>
          </cell>
          <cell r="M1014" t="str">
            <v>セラピール　ＳＹ（０９）</v>
          </cell>
          <cell r="N1014">
            <v>1050</v>
          </cell>
          <cell r="O1014">
            <v>1040</v>
          </cell>
          <cell r="P1014">
            <v>4000</v>
          </cell>
          <cell r="Q1014">
            <v>2</v>
          </cell>
        </row>
        <row r="1015">
          <cell r="A1015">
            <v>3716210</v>
          </cell>
          <cell r="B1015" t="str">
            <v>福島コーティング</v>
          </cell>
          <cell r="C1015" t="str">
            <v>工材１部大阪電材課</v>
          </cell>
          <cell r="D1015" t="str">
            <v>ダミー担当者</v>
          </cell>
          <cell r="E1015" t="str">
            <v>日東電工㈱豊橋工場</v>
          </cell>
          <cell r="F1015">
            <v>3313</v>
          </cell>
          <cell r="G1015" t="str">
            <v>S</v>
          </cell>
          <cell r="H1015" t="str">
            <v>N</v>
          </cell>
          <cell r="I1015" t="str">
            <v>CERA</v>
          </cell>
          <cell r="K1015" t="str">
            <v>MD(A)R</v>
          </cell>
          <cell r="L1015">
            <v>38</v>
          </cell>
          <cell r="M1015" t="str">
            <v>セラピール　ＭＤ（Ａ）（Ｒ）</v>
          </cell>
          <cell r="N1015">
            <v>750</v>
          </cell>
          <cell r="O1015">
            <v>750</v>
          </cell>
          <cell r="P1015">
            <v>6000</v>
          </cell>
          <cell r="Q1015">
            <v>2</v>
          </cell>
        </row>
        <row r="1016">
          <cell r="A1016">
            <v>3716212</v>
          </cell>
          <cell r="B1016" t="str">
            <v>福島コーティング</v>
          </cell>
          <cell r="C1016" t="str">
            <v>大阪光学機能材課</v>
          </cell>
          <cell r="D1016" t="str">
            <v>ダミー担当者</v>
          </cell>
          <cell r="E1016" t="str">
            <v>日東電工㈱尾道事業所</v>
          </cell>
          <cell r="F1016">
            <v>3321</v>
          </cell>
          <cell r="G1016" t="str">
            <v>S</v>
          </cell>
          <cell r="H1016" t="str">
            <v>N</v>
          </cell>
          <cell r="I1016" t="str">
            <v>CERA</v>
          </cell>
          <cell r="K1016" t="str">
            <v>MDACPFL</v>
          </cell>
          <cell r="L1016">
            <v>38</v>
          </cell>
          <cell r="M1016" t="str">
            <v>Ｋ　セラピールＭＤＡ（ＣＰＲＦ）Ｌ</v>
          </cell>
          <cell r="N1016">
            <v>1336</v>
          </cell>
          <cell r="O1016">
            <v>1325</v>
          </cell>
          <cell r="P1016">
            <v>12000</v>
          </cell>
          <cell r="Q1016">
            <v>2</v>
          </cell>
        </row>
        <row r="1017">
          <cell r="A1017">
            <v>3716213</v>
          </cell>
          <cell r="B1017" t="str">
            <v>福島コーティング</v>
          </cell>
          <cell r="C1017" t="str">
            <v>大阪光学機能材課</v>
          </cell>
          <cell r="D1017" t="str">
            <v>ダミー担当者</v>
          </cell>
          <cell r="E1017" t="str">
            <v>日東電工㈱尾道事業所</v>
          </cell>
          <cell r="F1017">
            <v>3321</v>
          </cell>
          <cell r="G1017" t="str">
            <v>S</v>
          </cell>
          <cell r="H1017" t="str">
            <v>N</v>
          </cell>
          <cell r="I1017" t="str">
            <v>CERA</v>
          </cell>
          <cell r="K1017" t="str">
            <v>MDAPFL</v>
          </cell>
          <cell r="L1017">
            <v>38</v>
          </cell>
          <cell r="M1017" t="str">
            <v>Ｋ　セラピールＭＤＡ（ＰＲＦ）Ｌ</v>
          </cell>
          <cell r="N1017">
            <v>1336</v>
          </cell>
          <cell r="O1017">
            <v>1325</v>
          </cell>
          <cell r="P1017">
            <v>12000</v>
          </cell>
          <cell r="Q1017">
            <v>2</v>
          </cell>
        </row>
        <row r="1018">
          <cell r="A1018">
            <v>3716214</v>
          </cell>
          <cell r="B1018" t="str">
            <v>福島コーティング</v>
          </cell>
          <cell r="C1018" t="str">
            <v>大阪光学機能材課</v>
          </cell>
          <cell r="D1018" t="str">
            <v>ダミー担当者</v>
          </cell>
          <cell r="E1018" t="str">
            <v>日東電工㈱尾道事業所</v>
          </cell>
          <cell r="F1018">
            <v>3321</v>
          </cell>
          <cell r="G1018" t="str">
            <v>S</v>
          </cell>
          <cell r="H1018" t="str">
            <v>N</v>
          </cell>
          <cell r="I1018" t="str">
            <v>CERA</v>
          </cell>
          <cell r="K1018" t="str">
            <v>MDAPFL</v>
          </cell>
          <cell r="L1018">
            <v>38</v>
          </cell>
          <cell r="M1018" t="str">
            <v>Ｋ　セラピールＭＤＡ（ＰＲＦ）Ｌ</v>
          </cell>
          <cell r="N1018">
            <v>1336</v>
          </cell>
          <cell r="O1018">
            <v>1325</v>
          </cell>
          <cell r="P1018">
            <v>12000</v>
          </cell>
          <cell r="Q1018">
            <v>2</v>
          </cell>
        </row>
        <row r="1019">
          <cell r="A1019">
            <v>3716215</v>
          </cell>
          <cell r="B1019" t="str">
            <v>福島コーティング</v>
          </cell>
          <cell r="C1019" t="str">
            <v>工材１部電材課</v>
          </cell>
          <cell r="D1019" t="str">
            <v>ダミー担当者</v>
          </cell>
          <cell r="E1019" t="str">
            <v>㈱巴川製紙所</v>
          </cell>
          <cell r="F1019">
            <v>331</v>
          </cell>
          <cell r="G1019" t="str">
            <v>S</v>
          </cell>
          <cell r="H1019" t="str">
            <v>N</v>
          </cell>
          <cell r="I1019" t="str">
            <v>CERA</v>
          </cell>
          <cell r="K1019" t="str">
            <v>BX8ARXT</v>
          </cell>
          <cell r="L1019">
            <v>38</v>
          </cell>
          <cell r="M1019" t="str">
            <v>セラピール　ＢＸ８ＡＲＸ</v>
          </cell>
          <cell r="N1019">
            <v>1580</v>
          </cell>
          <cell r="O1019">
            <v>1580</v>
          </cell>
          <cell r="P1019">
            <v>6000</v>
          </cell>
          <cell r="Q1019">
            <v>2</v>
          </cell>
        </row>
        <row r="1020">
          <cell r="A1020">
            <v>3716216</v>
          </cell>
          <cell r="B1020" t="str">
            <v>福島コーティング</v>
          </cell>
          <cell r="C1020" t="str">
            <v>工材１部大阪電材課</v>
          </cell>
          <cell r="D1020" t="str">
            <v>ダミー担当者</v>
          </cell>
          <cell r="E1020" t="str">
            <v>利昌工業　尼崎工場</v>
          </cell>
          <cell r="F1020">
            <v>3</v>
          </cell>
          <cell r="G1020" t="str">
            <v>S</v>
          </cell>
          <cell r="H1020" t="str">
            <v>N</v>
          </cell>
          <cell r="I1020" t="str">
            <v>CERA</v>
          </cell>
          <cell r="K1020" t="str">
            <v>BX8ARX</v>
          </cell>
          <cell r="L1020">
            <v>25</v>
          </cell>
          <cell r="M1020" t="str">
            <v>セラピール　ＢＸ８Ａ（ＲＸ）</v>
          </cell>
          <cell r="N1020">
            <v>740</v>
          </cell>
          <cell r="O1020">
            <v>740</v>
          </cell>
          <cell r="P1020">
            <v>2100</v>
          </cell>
          <cell r="Q1020">
            <v>1</v>
          </cell>
        </row>
        <row r="1021">
          <cell r="A1021">
            <v>3716217</v>
          </cell>
          <cell r="B1021" t="str">
            <v>福島コーティング</v>
          </cell>
          <cell r="C1021" t="str">
            <v>工材１部電材課</v>
          </cell>
          <cell r="D1021" t="str">
            <v>ダミー担当者</v>
          </cell>
          <cell r="E1021" t="str">
            <v>パナック㈱亀山工場</v>
          </cell>
          <cell r="F1021">
            <v>331</v>
          </cell>
          <cell r="G1021" t="str">
            <v>S</v>
          </cell>
          <cell r="H1021" t="str">
            <v>N</v>
          </cell>
          <cell r="I1021" t="str">
            <v>CERA</v>
          </cell>
          <cell r="K1021" t="str">
            <v>BX8ARXA</v>
          </cell>
          <cell r="L1021">
            <v>38</v>
          </cell>
          <cell r="M1021" t="str">
            <v>セラピール　ＢＸ８ＡＲＸ</v>
          </cell>
          <cell r="N1021">
            <v>1330</v>
          </cell>
          <cell r="O1021">
            <v>1330</v>
          </cell>
          <cell r="P1021">
            <v>6000</v>
          </cell>
          <cell r="Q1021">
            <v>2</v>
          </cell>
        </row>
        <row r="1022">
          <cell r="A1022">
            <v>3716218</v>
          </cell>
          <cell r="B1022" t="str">
            <v>福島コーティング</v>
          </cell>
          <cell r="C1022" t="str">
            <v>工材１部電材課</v>
          </cell>
          <cell r="D1022" t="str">
            <v>ダミー担当者</v>
          </cell>
          <cell r="E1022" t="str">
            <v>パナック㈱亀山工場</v>
          </cell>
          <cell r="F1022">
            <v>331</v>
          </cell>
          <cell r="G1022" t="str">
            <v>S</v>
          </cell>
          <cell r="H1022" t="str">
            <v>N</v>
          </cell>
          <cell r="I1022" t="str">
            <v>CERA</v>
          </cell>
          <cell r="K1022" t="str">
            <v>BX8ARXA</v>
          </cell>
          <cell r="L1022">
            <v>38</v>
          </cell>
          <cell r="M1022" t="str">
            <v>セラピール　ＢＸ８ＡＲＸ</v>
          </cell>
          <cell r="N1022">
            <v>1330</v>
          </cell>
          <cell r="O1022">
            <v>1330</v>
          </cell>
          <cell r="P1022">
            <v>6000</v>
          </cell>
          <cell r="Q1022">
            <v>2</v>
          </cell>
        </row>
        <row r="1023">
          <cell r="A1023">
            <v>3716219</v>
          </cell>
          <cell r="B1023" t="str">
            <v>福島コーティング</v>
          </cell>
          <cell r="C1023" t="str">
            <v>工材１部電材課</v>
          </cell>
          <cell r="D1023" t="str">
            <v>ダミー担当者</v>
          </cell>
          <cell r="E1023" t="str">
            <v>㈱巴川製紙所</v>
          </cell>
          <cell r="F1023">
            <v>331</v>
          </cell>
          <cell r="G1023" t="str">
            <v>S</v>
          </cell>
          <cell r="H1023" t="str">
            <v>N</v>
          </cell>
          <cell r="I1023" t="str">
            <v>CERA</v>
          </cell>
          <cell r="K1023" t="str">
            <v>BX8ARXT</v>
          </cell>
          <cell r="L1023">
            <v>38</v>
          </cell>
          <cell r="M1023" t="str">
            <v>セラピール　ＢＸ８ＡＲＸ</v>
          </cell>
          <cell r="N1023">
            <v>1330</v>
          </cell>
          <cell r="O1023">
            <v>1330</v>
          </cell>
          <cell r="P1023">
            <v>6000</v>
          </cell>
          <cell r="Q1023">
            <v>2</v>
          </cell>
        </row>
        <row r="1024">
          <cell r="A1024">
            <v>3716220</v>
          </cell>
          <cell r="B1024" t="str">
            <v>福島コーティング</v>
          </cell>
          <cell r="C1024" t="str">
            <v>工材１部電材課</v>
          </cell>
          <cell r="D1024" t="str">
            <v>ダミー担当者</v>
          </cell>
          <cell r="E1024" t="str">
            <v>㈱巴川製紙所</v>
          </cell>
          <cell r="F1024">
            <v>3</v>
          </cell>
          <cell r="G1024" t="str">
            <v>S</v>
          </cell>
          <cell r="H1024" t="str">
            <v>N</v>
          </cell>
          <cell r="I1024" t="str">
            <v>CERA</v>
          </cell>
          <cell r="K1024" t="str">
            <v>BX8AX</v>
          </cell>
          <cell r="L1024">
            <v>75</v>
          </cell>
          <cell r="M1024" t="str">
            <v>セラピール　　　　　　　　　　　ＢＸ８Ａ（Ｘ）</v>
          </cell>
          <cell r="N1024">
            <v>1330</v>
          </cell>
          <cell r="O1024">
            <v>1330</v>
          </cell>
          <cell r="P1024">
            <v>4100</v>
          </cell>
          <cell r="Q1024">
            <v>2</v>
          </cell>
        </row>
        <row r="1025">
          <cell r="A1025">
            <v>3716221</v>
          </cell>
          <cell r="B1025" t="str">
            <v>情材福島原価</v>
          </cell>
          <cell r="C1025" t="str">
            <v>工材１部大阪電材課</v>
          </cell>
          <cell r="D1025" t="str">
            <v>ダミー担当者</v>
          </cell>
          <cell r="E1025" t="str">
            <v>ニッコー㈱</v>
          </cell>
          <cell r="F1025">
            <v>3</v>
          </cell>
          <cell r="G1025" t="str">
            <v>T</v>
          </cell>
          <cell r="H1025" t="str">
            <v>N</v>
          </cell>
          <cell r="I1025" t="str">
            <v>CERA</v>
          </cell>
          <cell r="K1025" t="str">
            <v>BX8A14</v>
          </cell>
          <cell r="L1025">
            <v>25</v>
          </cell>
          <cell r="M1025" t="str">
            <v>セラピール　ＢＸ８Ａ（１４）</v>
          </cell>
          <cell r="N1025">
            <v>1100</v>
          </cell>
          <cell r="O1025">
            <v>1100</v>
          </cell>
          <cell r="P1025">
            <v>4000</v>
          </cell>
          <cell r="Q1025">
            <v>2</v>
          </cell>
        </row>
        <row r="1026">
          <cell r="A1026">
            <v>3716222</v>
          </cell>
          <cell r="B1026" t="str">
            <v>福島コーティング</v>
          </cell>
          <cell r="C1026" t="str">
            <v>プロセス材２課</v>
          </cell>
          <cell r="D1026" t="str">
            <v>ダミー担当者</v>
          </cell>
          <cell r="E1026" t="str">
            <v>日榮新化㈱</v>
          </cell>
          <cell r="F1026">
            <v>3</v>
          </cell>
          <cell r="G1026" t="str">
            <v>S</v>
          </cell>
          <cell r="H1026" t="str">
            <v>Y</v>
          </cell>
          <cell r="I1026" t="str">
            <v>CERA</v>
          </cell>
          <cell r="K1026" t="str">
            <v>BX9AS</v>
          </cell>
          <cell r="L1026">
            <v>75</v>
          </cell>
          <cell r="M1026" t="str">
            <v>セラピール　　　　　　　　　　　ＢＸ９Ａ（Ｓ）</v>
          </cell>
          <cell r="N1026">
            <v>1040</v>
          </cell>
          <cell r="O1026">
            <v>1040</v>
          </cell>
          <cell r="P1026">
            <v>4000</v>
          </cell>
          <cell r="Q1026">
            <v>1</v>
          </cell>
        </row>
        <row r="1027">
          <cell r="A1027">
            <v>3716223</v>
          </cell>
          <cell r="B1027" t="str">
            <v>福島コーティング</v>
          </cell>
          <cell r="C1027" t="str">
            <v>工材１部電材課</v>
          </cell>
          <cell r="D1027" t="str">
            <v>ダミー担当者</v>
          </cell>
          <cell r="E1027" t="str">
            <v>藤産業㈱</v>
          </cell>
          <cell r="F1027">
            <v>331</v>
          </cell>
          <cell r="G1027" t="str">
            <v>S</v>
          </cell>
          <cell r="H1027" t="str">
            <v>N</v>
          </cell>
          <cell r="I1027" t="str">
            <v>CERA</v>
          </cell>
          <cell r="K1027" t="str">
            <v>WZ34</v>
          </cell>
          <cell r="L1027">
            <v>25</v>
          </cell>
          <cell r="M1027" t="str">
            <v>セラピール　ＷＺ（３４）</v>
          </cell>
          <cell r="N1027">
            <v>1410</v>
          </cell>
          <cell r="O1027">
            <v>1410</v>
          </cell>
          <cell r="P1027">
            <v>6000</v>
          </cell>
          <cell r="Q1027">
            <v>2</v>
          </cell>
        </row>
        <row r="1028">
          <cell r="A1028">
            <v>3716224</v>
          </cell>
          <cell r="B1028" t="str">
            <v>福島コーティング</v>
          </cell>
          <cell r="C1028" t="str">
            <v>工材１部電材課</v>
          </cell>
          <cell r="D1028" t="str">
            <v>ダミー担当者</v>
          </cell>
          <cell r="E1028" t="str">
            <v>藤産業㈱</v>
          </cell>
          <cell r="F1028">
            <v>331</v>
          </cell>
          <cell r="G1028" t="str">
            <v>S</v>
          </cell>
          <cell r="H1028" t="str">
            <v>N</v>
          </cell>
          <cell r="I1028" t="str">
            <v>CERA</v>
          </cell>
          <cell r="K1028" t="str">
            <v>WZ34</v>
          </cell>
          <cell r="L1028">
            <v>25</v>
          </cell>
          <cell r="M1028" t="str">
            <v>セラピール　ＷＺ（３４）</v>
          </cell>
          <cell r="N1028">
            <v>1410</v>
          </cell>
          <cell r="O1028">
            <v>1410</v>
          </cell>
          <cell r="P1028">
            <v>6000</v>
          </cell>
          <cell r="Q1028">
            <v>2</v>
          </cell>
        </row>
        <row r="1029">
          <cell r="A1029">
            <v>3716225</v>
          </cell>
          <cell r="B1029" t="str">
            <v>福島コーティング</v>
          </cell>
          <cell r="C1029" t="str">
            <v>プロセス材１課</v>
          </cell>
          <cell r="D1029" t="str">
            <v>ダミー担当者</v>
          </cell>
          <cell r="E1029" t="str">
            <v>リンテック㈱</v>
          </cell>
          <cell r="F1029">
            <v>3</v>
          </cell>
          <cell r="G1029" t="str">
            <v>S</v>
          </cell>
          <cell r="H1029" t="str">
            <v>N</v>
          </cell>
          <cell r="I1029" t="str">
            <v>CERA</v>
          </cell>
          <cell r="K1029" t="str">
            <v>WZS</v>
          </cell>
          <cell r="L1029">
            <v>38</v>
          </cell>
          <cell r="M1029" t="str">
            <v>セラピール　　　　　　　　　　　ＷＺ（Ｓ）</v>
          </cell>
          <cell r="N1029">
            <v>1415</v>
          </cell>
          <cell r="O1029">
            <v>1410</v>
          </cell>
          <cell r="P1029">
            <v>8000</v>
          </cell>
          <cell r="Q1029">
            <v>2</v>
          </cell>
        </row>
        <row r="1030">
          <cell r="A1030">
            <v>3716226</v>
          </cell>
          <cell r="B1030" t="str">
            <v>福島コーティング</v>
          </cell>
          <cell r="C1030" t="str">
            <v>工材１部電材課</v>
          </cell>
          <cell r="D1030" t="str">
            <v>ダミー担当者</v>
          </cell>
          <cell r="E1030" t="str">
            <v>パナック㈱亀山工場</v>
          </cell>
          <cell r="F1030">
            <v>3</v>
          </cell>
          <cell r="G1030" t="str">
            <v>S</v>
          </cell>
          <cell r="H1030" t="str">
            <v>N</v>
          </cell>
          <cell r="I1030" t="str">
            <v>CERA</v>
          </cell>
          <cell r="K1030" t="str">
            <v>WZ</v>
          </cell>
          <cell r="L1030">
            <v>25</v>
          </cell>
          <cell r="M1030" t="str">
            <v>セラピール　　　　　　　　　　　ＷＺ</v>
          </cell>
          <cell r="N1030">
            <v>1325</v>
          </cell>
          <cell r="O1030">
            <v>1320</v>
          </cell>
          <cell r="P1030">
            <v>6000</v>
          </cell>
          <cell r="Q1030">
            <v>2</v>
          </cell>
        </row>
        <row r="1031">
          <cell r="A1031">
            <v>3716227</v>
          </cell>
          <cell r="B1031" t="str">
            <v>福島コーティング</v>
          </cell>
          <cell r="C1031" t="str">
            <v>工材１部電材課</v>
          </cell>
          <cell r="D1031" t="str">
            <v>ダミー担当者</v>
          </cell>
          <cell r="E1031" t="str">
            <v>古河電気工業㈱</v>
          </cell>
          <cell r="F1031">
            <v>3</v>
          </cell>
          <cell r="G1031" t="str">
            <v>S</v>
          </cell>
          <cell r="H1031" t="str">
            <v>N</v>
          </cell>
          <cell r="I1031" t="str">
            <v>CERA</v>
          </cell>
          <cell r="K1031" t="str">
            <v>WZE</v>
          </cell>
          <cell r="L1031">
            <v>25</v>
          </cell>
          <cell r="M1031" t="str">
            <v>セラピール　　　　　　　　　　　ＷＺ（Ｅ）</v>
          </cell>
          <cell r="N1031">
            <v>1240</v>
          </cell>
          <cell r="O1031">
            <v>1240</v>
          </cell>
          <cell r="P1031">
            <v>6000</v>
          </cell>
          <cell r="Q1031">
            <v>2</v>
          </cell>
        </row>
        <row r="1032">
          <cell r="A1032">
            <v>3716228</v>
          </cell>
          <cell r="B1032" t="str">
            <v>福島コーティング</v>
          </cell>
          <cell r="C1032" t="str">
            <v>工材１部電材課</v>
          </cell>
          <cell r="D1032" t="str">
            <v>ダミー担当者</v>
          </cell>
          <cell r="E1032" t="str">
            <v>古河電気工業㈱</v>
          </cell>
          <cell r="F1032">
            <v>3</v>
          </cell>
          <cell r="G1032" t="str">
            <v>S</v>
          </cell>
          <cell r="H1032" t="str">
            <v>N</v>
          </cell>
          <cell r="I1032" t="str">
            <v>CERA</v>
          </cell>
          <cell r="K1032" t="str">
            <v>WZE</v>
          </cell>
          <cell r="L1032">
            <v>38</v>
          </cell>
          <cell r="M1032" t="str">
            <v>セラピール　　　　　　　　　　　ＷＺ（Ｅ）</v>
          </cell>
          <cell r="N1032">
            <v>1240</v>
          </cell>
          <cell r="O1032">
            <v>1240</v>
          </cell>
          <cell r="P1032">
            <v>6000</v>
          </cell>
          <cell r="Q1032">
            <v>2</v>
          </cell>
        </row>
        <row r="1033">
          <cell r="A1033">
            <v>3716229</v>
          </cell>
          <cell r="B1033" t="str">
            <v>情材福島原価</v>
          </cell>
          <cell r="C1033" t="str">
            <v>工材１部大阪電材課</v>
          </cell>
          <cell r="D1033" t="str">
            <v>ダミー担当者</v>
          </cell>
          <cell r="F1033">
            <v>3</v>
          </cell>
          <cell r="G1033" t="str">
            <v>T</v>
          </cell>
          <cell r="H1033" t="str">
            <v>N</v>
          </cell>
          <cell r="I1033" t="str">
            <v>CERA</v>
          </cell>
          <cell r="K1033" t="str">
            <v>WZS</v>
          </cell>
          <cell r="L1033">
            <v>25</v>
          </cell>
          <cell r="M1033" t="str">
            <v>セラピールＷＺ（Ｓ）</v>
          </cell>
          <cell r="N1033">
            <v>1100</v>
          </cell>
          <cell r="O1033">
            <v>1100</v>
          </cell>
          <cell r="P1033">
            <v>12000</v>
          </cell>
          <cell r="Q1033">
            <v>2</v>
          </cell>
        </row>
        <row r="1034">
          <cell r="A1034">
            <v>3716230</v>
          </cell>
          <cell r="B1034" t="str">
            <v>福島コーティング</v>
          </cell>
          <cell r="C1034" t="str">
            <v>工材１部電材課</v>
          </cell>
          <cell r="D1034" t="str">
            <v>ダミー担当者</v>
          </cell>
          <cell r="E1034" t="str">
            <v>パナック㈱亀山工場</v>
          </cell>
          <cell r="F1034">
            <v>3</v>
          </cell>
          <cell r="G1034" t="str">
            <v>S</v>
          </cell>
          <cell r="H1034" t="str">
            <v>N</v>
          </cell>
          <cell r="I1034" t="str">
            <v>CERA</v>
          </cell>
          <cell r="K1034" t="str">
            <v>WZ</v>
          </cell>
          <cell r="L1034">
            <v>25</v>
          </cell>
          <cell r="M1034" t="str">
            <v>セラピール　　　　　　　　　　　ＷＺ</v>
          </cell>
          <cell r="N1034">
            <v>1100</v>
          </cell>
          <cell r="O1034">
            <v>1100</v>
          </cell>
          <cell r="P1034">
            <v>12000</v>
          </cell>
          <cell r="Q1034">
            <v>2</v>
          </cell>
        </row>
        <row r="1035">
          <cell r="A1035">
            <v>3716231</v>
          </cell>
          <cell r="B1035" t="str">
            <v>福島コーティング</v>
          </cell>
          <cell r="C1035" t="str">
            <v>工材１部電材課</v>
          </cell>
          <cell r="D1035" t="str">
            <v>ダミー担当者</v>
          </cell>
          <cell r="E1035" t="str">
            <v>パナック㈱亀山工場</v>
          </cell>
          <cell r="F1035">
            <v>3</v>
          </cell>
          <cell r="G1035" t="str">
            <v>S</v>
          </cell>
          <cell r="H1035" t="str">
            <v>N</v>
          </cell>
          <cell r="I1035" t="str">
            <v>CERA</v>
          </cell>
          <cell r="K1035" t="str">
            <v>WZ</v>
          </cell>
          <cell r="L1035">
            <v>25</v>
          </cell>
          <cell r="M1035" t="str">
            <v>セラピール　　　　　　　　　　　ＷＺ</v>
          </cell>
          <cell r="N1035">
            <v>1050</v>
          </cell>
          <cell r="O1035">
            <v>1050</v>
          </cell>
          <cell r="P1035">
            <v>12000</v>
          </cell>
          <cell r="Q1035">
            <v>2</v>
          </cell>
        </row>
        <row r="1036">
          <cell r="A1036">
            <v>3716232</v>
          </cell>
          <cell r="B1036" t="str">
            <v>福島コーティング</v>
          </cell>
          <cell r="C1036" t="str">
            <v>工材１部電材課</v>
          </cell>
          <cell r="D1036" t="str">
            <v>ダミー担当者</v>
          </cell>
          <cell r="E1036" t="str">
            <v>古河電気工業㈱</v>
          </cell>
          <cell r="F1036">
            <v>3</v>
          </cell>
          <cell r="G1036" t="str">
            <v>S</v>
          </cell>
          <cell r="H1036" t="str">
            <v>N</v>
          </cell>
          <cell r="I1036" t="str">
            <v>CERA</v>
          </cell>
          <cell r="K1036" t="str">
            <v>WZE</v>
          </cell>
          <cell r="L1036">
            <v>25</v>
          </cell>
          <cell r="M1036" t="str">
            <v>セラピール　　　　　　　　　　　ＷＺ（Ｅ）</v>
          </cell>
          <cell r="N1036">
            <v>1040</v>
          </cell>
          <cell r="O1036">
            <v>1040</v>
          </cell>
          <cell r="P1036">
            <v>6000</v>
          </cell>
          <cell r="Q1036">
            <v>2</v>
          </cell>
        </row>
        <row r="1037">
          <cell r="A1037">
            <v>3716233</v>
          </cell>
          <cell r="B1037" t="str">
            <v>福島コーティング</v>
          </cell>
          <cell r="C1037" t="str">
            <v>工材１部電材課</v>
          </cell>
          <cell r="D1037" t="str">
            <v>ダミー担当者</v>
          </cell>
          <cell r="E1037" t="str">
            <v>古河電気工業㈱</v>
          </cell>
          <cell r="F1037">
            <v>3</v>
          </cell>
          <cell r="G1037" t="str">
            <v>S</v>
          </cell>
          <cell r="H1037" t="str">
            <v>N</v>
          </cell>
          <cell r="I1037" t="str">
            <v>CERA</v>
          </cell>
          <cell r="K1037" t="str">
            <v>WZE</v>
          </cell>
          <cell r="L1037">
            <v>38</v>
          </cell>
          <cell r="M1037" t="str">
            <v>セラピール　　　　　　　　　　　ＷＺ（Ｅ）</v>
          </cell>
          <cell r="N1037">
            <v>1040</v>
          </cell>
          <cell r="O1037">
            <v>1040</v>
          </cell>
          <cell r="P1037">
            <v>6000</v>
          </cell>
          <cell r="Q1037">
            <v>2</v>
          </cell>
        </row>
        <row r="1038">
          <cell r="A1038">
            <v>3716234</v>
          </cell>
          <cell r="B1038" t="str">
            <v>福島コーティング</v>
          </cell>
          <cell r="C1038" t="str">
            <v>プロセス材１課</v>
          </cell>
          <cell r="D1038" t="str">
            <v>ダミー担当者</v>
          </cell>
          <cell r="E1038" t="str">
            <v>リンテック㈱</v>
          </cell>
          <cell r="F1038">
            <v>3</v>
          </cell>
          <cell r="G1038" t="str">
            <v>S</v>
          </cell>
          <cell r="H1038" t="str">
            <v>N</v>
          </cell>
          <cell r="I1038" t="str">
            <v>CERA</v>
          </cell>
          <cell r="K1038" t="str">
            <v>WZS</v>
          </cell>
          <cell r="L1038">
            <v>38</v>
          </cell>
          <cell r="M1038" t="str">
            <v>セラピール　　　　　　　　　　　ＷＺ（Ｓ）</v>
          </cell>
          <cell r="N1038">
            <v>1005</v>
          </cell>
          <cell r="O1038">
            <v>1000</v>
          </cell>
          <cell r="P1038">
            <v>8000</v>
          </cell>
          <cell r="Q1038">
            <v>2</v>
          </cell>
        </row>
        <row r="1039">
          <cell r="A1039">
            <v>3716235</v>
          </cell>
          <cell r="B1039" t="str">
            <v>福島コーティング</v>
          </cell>
          <cell r="C1039" t="str">
            <v>工材１部電材課</v>
          </cell>
          <cell r="D1039" t="str">
            <v>ダミー担当者</v>
          </cell>
          <cell r="E1039" t="str">
            <v>㈱巴川製紙所</v>
          </cell>
          <cell r="F1039">
            <v>331</v>
          </cell>
          <cell r="G1039" t="str">
            <v>S</v>
          </cell>
          <cell r="H1039" t="str">
            <v>N</v>
          </cell>
          <cell r="I1039" t="str">
            <v>CERA</v>
          </cell>
          <cell r="K1039" t="str">
            <v>BKERXT</v>
          </cell>
          <cell r="L1039">
            <v>38</v>
          </cell>
          <cell r="M1039" t="str">
            <v>セラピール　ＢＫＥ（ＲＸ）</v>
          </cell>
          <cell r="N1039">
            <v>1580</v>
          </cell>
          <cell r="O1039">
            <v>1580</v>
          </cell>
          <cell r="P1039">
            <v>6000</v>
          </cell>
          <cell r="Q1039">
            <v>2</v>
          </cell>
        </row>
        <row r="1040">
          <cell r="A1040">
            <v>3716236</v>
          </cell>
          <cell r="B1040" t="str">
            <v>福島コーティング</v>
          </cell>
          <cell r="C1040" t="str">
            <v>工材１部電材課</v>
          </cell>
          <cell r="D1040" t="str">
            <v>ダミー担当者</v>
          </cell>
          <cell r="E1040" t="str">
            <v>パナック㈱亀山工場</v>
          </cell>
          <cell r="F1040">
            <v>3</v>
          </cell>
          <cell r="G1040" t="str">
            <v>S</v>
          </cell>
          <cell r="H1040" t="str">
            <v>N</v>
          </cell>
          <cell r="I1040" t="str">
            <v>CERA</v>
          </cell>
          <cell r="K1040" t="str">
            <v>BKE09</v>
          </cell>
          <cell r="L1040">
            <v>38</v>
          </cell>
          <cell r="M1040" t="str">
            <v>セラピール　ＢＫＥ（０９）</v>
          </cell>
          <cell r="N1040">
            <v>1057</v>
          </cell>
          <cell r="O1040">
            <v>1050</v>
          </cell>
          <cell r="P1040">
            <v>8400</v>
          </cell>
          <cell r="Q1040">
            <v>2</v>
          </cell>
        </row>
        <row r="1041">
          <cell r="A1041">
            <v>3716237</v>
          </cell>
          <cell r="B1041" t="str">
            <v>福島コーティング</v>
          </cell>
          <cell r="C1041" t="str">
            <v>光学機能材１課</v>
          </cell>
          <cell r="D1041" t="str">
            <v>ダミー担当者</v>
          </cell>
          <cell r="E1041" t="str">
            <v>㈱きもと　三重工場</v>
          </cell>
          <cell r="F1041">
            <v>3</v>
          </cell>
          <cell r="G1041" t="str">
            <v>S</v>
          </cell>
          <cell r="H1041" t="str">
            <v>N</v>
          </cell>
          <cell r="I1041" t="str">
            <v>CERA</v>
          </cell>
          <cell r="K1041" t="str">
            <v>BKUK</v>
          </cell>
          <cell r="L1041">
            <v>25</v>
          </cell>
          <cell r="M1041" t="str">
            <v>セラピール　ＢＫ（Ｕ）Ｋ</v>
          </cell>
          <cell r="N1041">
            <v>1045</v>
          </cell>
          <cell r="O1041">
            <v>1040</v>
          </cell>
          <cell r="P1041">
            <v>6000</v>
          </cell>
          <cell r="Q1041">
            <v>2</v>
          </cell>
        </row>
        <row r="1042">
          <cell r="A1042">
            <v>3716238</v>
          </cell>
          <cell r="B1042" t="str">
            <v>福島コーティング</v>
          </cell>
          <cell r="C1042" t="str">
            <v>工材１部電材課</v>
          </cell>
          <cell r="D1042" t="str">
            <v>ダミー担当者</v>
          </cell>
          <cell r="E1042" t="str">
            <v>パナック㈱亀山工場</v>
          </cell>
          <cell r="F1042">
            <v>3</v>
          </cell>
          <cell r="G1042" t="str">
            <v>S</v>
          </cell>
          <cell r="H1042" t="str">
            <v>N</v>
          </cell>
          <cell r="I1042" t="str">
            <v>CERA</v>
          </cell>
          <cell r="K1042" t="str">
            <v>BKE09</v>
          </cell>
          <cell r="L1042">
            <v>38</v>
          </cell>
          <cell r="M1042" t="str">
            <v>セラピール　ＢＫＥ（０９）</v>
          </cell>
          <cell r="N1042">
            <v>1037</v>
          </cell>
          <cell r="O1042">
            <v>1030</v>
          </cell>
          <cell r="P1042">
            <v>8500</v>
          </cell>
          <cell r="Q1042">
            <v>2</v>
          </cell>
        </row>
        <row r="1043">
          <cell r="A1043">
            <v>3716239</v>
          </cell>
          <cell r="B1043" t="str">
            <v>福島コーティング</v>
          </cell>
          <cell r="C1043" t="str">
            <v>工材１部電材課</v>
          </cell>
          <cell r="D1043" t="str">
            <v>ダミー担当者</v>
          </cell>
          <cell r="E1043" t="str">
            <v>積水化学武蔵工場</v>
          </cell>
          <cell r="F1043">
            <v>3</v>
          </cell>
          <cell r="G1043" t="str">
            <v>S</v>
          </cell>
          <cell r="H1043" t="str">
            <v>N</v>
          </cell>
          <cell r="I1043" t="str">
            <v>CERA</v>
          </cell>
          <cell r="K1043" t="str">
            <v>BKU</v>
          </cell>
          <cell r="L1043">
            <v>25</v>
          </cell>
          <cell r="M1043" t="str">
            <v>セラピ－ル　ＢＫ（Ｕ）</v>
          </cell>
          <cell r="N1043">
            <v>890</v>
          </cell>
          <cell r="O1043">
            <v>890</v>
          </cell>
          <cell r="P1043">
            <v>3800</v>
          </cell>
          <cell r="Q1043">
            <v>2</v>
          </cell>
        </row>
        <row r="1044">
          <cell r="A1044">
            <v>3716241</v>
          </cell>
          <cell r="B1044" t="str">
            <v>福島コーティング</v>
          </cell>
          <cell r="C1044" t="str">
            <v>プロセス材１課</v>
          </cell>
          <cell r="D1044" t="str">
            <v>ダミー担当者</v>
          </cell>
          <cell r="E1044" t="str">
            <v>王子タック㈱本社</v>
          </cell>
          <cell r="F1044" t="str">
            <v>33S</v>
          </cell>
          <cell r="G1044" t="str">
            <v>S</v>
          </cell>
          <cell r="H1044" t="str">
            <v>N</v>
          </cell>
          <cell r="I1044" t="str">
            <v>CLB</v>
          </cell>
          <cell r="K1044" t="str">
            <v>LTL</v>
          </cell>
          <cell r="L1044">
            <v>25</v>
          </cell>
          <cell r="M1044" t="str">
            <v>ルミラー　ＴＬ</v>
          </cell>
          <cell r="N1044">
            <v>1120</v>
          </cell>
          <cell r="O1044">
            <v>1120</v>
          </cell>
          <cell r="P1044">
            <v>12000</v>
          </cell>
          <cell r="Q1044">
            <v>2</v>
          </cell>
        </row>
        <row r="1045">
          <cell r="A1045">
            <v>3716242</v>
          </cell>
          <cell r="B1045" t="str">
            <v>福島コーティング</v>
          </cell>
          <cell r="C1045" t="str">
            <v>プロセス材２課</v>
          </cell>
          <cell r="D1045" t="str">
            <v>ダミー担当者</v>
          </cell>
          <cell r="E1045" t="str">
            <v>藤森工業㈱掛川事業所</v>
          </cell>
          <cell r="F1045">
            <v>3</v>
          </cell>
          <cell r="G1045" t="str">
            <v>S</v>
          </cell>
          <cell r="H1045" t="str">
            <v>N</v>
          </cell>
          <cell r="I1045" t="str">
            <v>CLB</v>
          </cell>
          <cell r="K1045" t="str">
            <v>PETTL</v>
          </cell>
          <cell r="L1045">
            <v>38</v>
          </cell>
          <cell r="M1045" t="str">
            <v>ＰＥＴ　ＴＬ</v>
          </cell>
          <cell r="N1045">
            <v>1320</v>
          </cell>
          <cell r="O1045">
            <v>1320</v>
          </cell>
          <cell r="P1045">
            <v>4200</v>
          </cell>
          <cell r="Q1045">
            <v>2</v>
          </cell>
        </row>
        <row r="1046">
          <cell r="A1046">
            <v>3716266</v>
          </cell>
          <cell r="B1046" t="str">
            <v>福島コーティング</v>
          </cell>
          <cell r="C1046" t="str">
            <v>プロセス材１課</v>
          </cell>
          <cell r="D1046" t="str">
            <v>ダミー担当者</v>
          </cell>
          <cell r="E1046" t="str">
            <v>リンテック㈱</v>
          </cell>
          <cell r="F1046">
            <v>3</v>
          </cell>
          <cell r="G1046" t="str">
            <v>S</v>
          </cell>
          <cell r="H1046" t="str">
            <v>N</v>
          </cell>
          <cell r="I1046" t="str">
            <v>CLB</v>
          </cell>
          <cell r="K1046" t="str">
            <v>E20V</v>
          </cell>
          <cell r="L1046">
            <v>75</v>
          </cell>
          <cell r="M1046" t="str">
            <v>ルミラー　Ｅ－２０　Ｖ</v>
          </cell>
          <cell r="N1046">
            <v>1005</v>
          </cell>
          <cell r="O1046">
            <v>1000</v>
          </cell>
          <cell r="P1046">
            <v>3000</v>
          </cell>
          <cell r="Q1046">
            <v>2</v>
          </cell>
        </row>
        <row r="1047">
          <cell r="A1047">
            <v>3721156</v>
          </cell>
          <cell r="B1047" t="str">
            <v>福島コーティング</v>
          </cell>
          <cell r="C1047" t="str">
            <v>工材１部電材課</v>
          </cell>
          <cell r="D1047" t="str">
            <v>ダミー担当者</v>
          </cell>
          <cell r="E1047" t="str">
            <v>三栄産業㈱尾久工場</v>
          </cell>
          <cell r="F1047">
            <v>331</v>
          </cell>
          <cell r="G1047" t="str">
            <v>S</v>
          </cell>
          <cell r="H1047" t="str">
            <v>N</v>
          </cell>
          <cell r="I1047" t="str">
            <v>CERA</v>
          </cell>
          <cell r="K1047" t="str">
            <v>WZRX</v>
          </cell>
          <cell r="L1047">
            <v>25</v>
          </cell>
          <cell r="M1047" t="str">
            <v>セラピール　ＷＺ（ＲＸ）　　　　　　</v>
          </cell>
          <cell r="N1047">
            <v>640</v>
          </cell>
          <cell r="O1047">
            <v>640</v>
          </cell>
          <cell r="P1047">
            <v>2000</v>
          </cell>
          <cell r="Q1047">
            <v>2</v>
          </cell>
        </row>
        <row r="1048">
          <cell r="A1048">
            <v>3721157</v>
          </cell>
          <cell r="B1048" t="str">
            <v>福島コーティング</v>
          </cell>
          <cell r="C1048" t="str">
            <v>プロセス材２課</v>
          </cell>
          <cell r="D1048" t="str">
            <v>ダミー担当者</v>
          </cell>
          <cell r="E1048" t="str">
            <v>日榮新化㈱</v>
          </cell>
          <cell r="F1048">
            <v>331</v>
          </cell>
          <cell r="G1048" t="str">
            <v>S</v>
          </cell>
          <cell r="H1048" t="str">
            <v>N</v>
          </cell>
          <cell r="I1048" t="str">
            <v>CERA</v>
          </cell>
          <cell r="K1048" t="str">
            <v>WZS</v>
          </cell>
          <cell r="L1048">
            <v>25</v>
          </cell>
          <cell r="M1048" t="str">
            <v>セラピールＷＺ（Ｓ）</v>
          </cell>
          <cell r="N1048">
            <v>1425</v>
          </cell>
          <cell r="O1048">
            <v>1420</v>
          </cell>
          <cell r="P1048">
            <v>12400</v>
          </cell>
          <cell r="Q1048">
            <v>2</v>
          </cell>
        </row>
        <row r="1049">
          <cell r="A1049">
            <v>3721158</v>
          </cell>
          <cell r="B1049" t="str">
            <v>福島コーティング</v>
          </cell>
          <cell r="C1049" t="str">
            <v>プロセス材１課</v>
          </cell>
          <cell r="D1049" t="str">
            <v>ダミー担当者</v>
          </cell>
          <cell r="E1049" t="str">
            <v>リンテック㈱</v>
          </cell>
          <cell r="F1049">
            <v>3</v>
          </cell>
          <cell r="G1049" t="str">
            <v>S</v>
          </cell>
          <cell r="H1049" t="str">
            <v>N</v>
          </cell>
          <cell r="I1049" t="str">
            <v>CERA</v>
          </cell>
          <cell r="K1049" t="str">
            <v>WZS</v>
          </cell>
          <cell r="L1049">
            <v>38</v>
          </cell>
          <cell r="M1049" t="str">
            <v>セラピール　　　　　　　　　　　ＷＺ（Ｓ）</v>
          </cell>
          <cell r="N1049">
            <v>1415</v>
          </cell>
          <cell r="O1049">
            <v>1410</v>
          </cell>
          <cell r="P1049">
            <v>8000</v>
          </cell>
          <cell r="Q1049">
            <v>2</v>
          </cell>
        </row>
        <row r="1050">
          <cell r="A1050">
            <v>3721159</v>
          </cell>
          <cell r="B1050" t="str">
            <v>福島コーティング</v>
          </cell>
          <cell r="C1050" t="str">
            <v>工材１部電材課</v>
          </cell>
          <cell r="D1050" t="str">
            <v>ダミー担当者</v>
          </cell>
          <cell r="E1050" t="str">
            <v>東洋包材㈱</v>
          </cell>
          <cell r="F1050">
            <v>3</v>
          </cell>
          <cell r="G1050" t="str">
            <v>S</v>
          </cell>
          <cell r="H1050" t="str">
            <v>N</v>
          </cell>
          <cell r="I1050" t="str">
            <v>CERA</v>
          </cell>
          <cell r="K1050" t="str">
            <v>WZT</v>
          </cell>
          <cell r="L1050">
            <v>25</v>
          </cell>
          <cell r="M1050" t="str">
            <v>セラピール　ＷＺ（Ｔ）</v>
          </cell>
          <cell r="N1050">
            <v>1325</v>
          </cell>
          <cell r="O1050">
            <v>1320</v>
          </cell>
          <cell r="P1050">
            <v>8000</v>
          </cell>
          <cell r="Q1050">
            <v>2</v>
          </cell>
        </row>
        <row r="1051">
          <cell r="A1051">
            <v>3721160</v>
          </cell>
          <cell r="B1051" t="str">
            <v>福島コーティング</v>
          </cell>
          <cell r="C1051" t="str">
            <v>工材１部大阪電材課</v>
          </cell>
          <cell r="D1051" t="str">
            <v>ダミー担当者</v>
          </cell>
          <cell r="E1051" t="str">
            <v>東洋機材</v>
          </cell>
          <cell r="F1051">
            <v>3</v>
          </cell>
          <cell r="G1051" t="str">
            <v>S</v>
          </cell>
          <cell r="H1051" t="str">
            <v>N</v>
          </cell>
          <cell r="I1051" t="str">
            <v>CERA</v>
          </cell>
          <cell r="K1051" t="str">
            <v>WZS</v>
          </cell>
          <cell r="L1051">
            <v>125</v>
          </cell>
          <cell r="M1051" t="str">
            <v>セラピール　ＷＺ（Ｓ）</v>
          </cell>
          <cell r="N1051">
            <v>1230</v>
          </cell>
          <cell r="O1051">
            <v>1225</v>
          </cell>
          <cell r="P1051">
            <v>1800</v>
          </cell>
          <cell r="Q1051">
            <v>2</v>
          </cell>
        </row>
        <row r="1052">
          <cell r="A1052">
            <v>3721161</v>
          </cell>
          <cell r="B1052" t="str">
            <v>福島コーティング</v>
          </cell>
          <cell r="C1052" t="str">
            <v>工材１部電材課</v>
          </cell>
          <cell r="D1052" t="str">
            <v>ダミー担当者</v>
          </cell>
          <cell r="E1052" t="str">
            <v>古河電気工業㈱</v>
          </cell>
          <cell r="F1052">
            <v>3</v>
          </cell>
          <cell r="G1052" t="str">
            <v>S</v>
          </cell>
          <cell r="H1052" t="str">
            <v>N</v>
          </cell>
          <cell r="I1052" t="str">
            <v>CERA</v>
          </cell>
          <cell r="K1052" t="str">
            <v>WZE</v>
          </cell>
          <cell r="L1052">
            <v>25</v>
          </cell>
          <cell r="M1052" t="str">
            <v>セラピール　　　　　　　　　　　ＷＺ（Ｅ）</v>
          </cell>
          <cell r="N1052">
            <v>1240</v>
          </cell>
          <cell r="O1052">
            <v>1240</v>
          </cell>
          <cell r="P1052">
            <v>6000</v>
          </cell>
          <cell r="Q1052">
            <v>2</v>
          </cell>
        </row>
        <row r="1053">
          <cell r="A1053">
            <v>3721162</v>
          </cell>
          <cell r="B1053" t="str">
            <v>福島コーティング</v>
          </cell>
          <cell r="C1053" t="str">
            <v>工材１部電材課</v>
          </cell>
          <cell r="D1053" t="str">
            <v>ダミー担当者</v>
          </cell>
          <cell r="E1053" t="str">
            <v>古河電気工業㈱</v>
          </cell>
          <cell r="F1053">
            <v>3</v>
          </cell>
          <cell r="G1053" t="str">
            <v>S</v>
          </cell>
          <cell r="H1053" t="str">
            <v>N</v>
          </cell>
          <cell r="I1053" t="str">
            <v>CERA</v>
          </cell>
          <cell r="K1053" t="str">
            <v>WZE</v>
          </cell>
          <cell r="L1053">
            <v>38</v>
          </cell>
          <cell r="M1053" t="str">
            <v>セラピール　　　　　　　　　　　ＷＺ（Ｅ）</v>
          </cell>
          <cell r="N1053">
            <v>1240</v>
          </cell>
          <cell r="O1053">
            <v>1240</v>
          </cell>
          <cell r="P1053">
            <v>6000</v>
          </cell>
          <cell r="Q1053">
            <v>2</v>
          </cell>
        </row>
        <row r="1054">
          <cell r="A1054">
            <v>3721163</v>
          </cell>
          <cell r="B1054" t="str">
            <v>福島コーティング</v>
          </cell>
          <cell r="C1054" t="str">
            <v>プロセス材２課</v>
          </cell>
          <cell r="D1054" t="str">
            <v>ダミー担当者</v>
          </cell>
          <cell r="E1054" t="str">
            <v>日榮新化㈱</v>
          </cell>
          <cell r="F1054">
            <v>330</v>
          </cell>
          <cell r="G1054" t="str">
            <v>S</v>
          </cell>
          <cell r="H1054" t="str">
            <v>N</v>
          </cell>
          <cell r="I1054" t="str">
            <v>CERA</v>
          </cell>
          <cell r="K1054" t="str">
            <v>WZS</v>
          </cell>
          <cell r="L1054">
            <v>25</v>
          </cell>
          <cell r="M1054" t="str">
            <v>セラピールＷＺ（Ｓ）</v>
          </cell>
          <cell r="N1054">
            <v>1155</v>
          </cell>
          <cell r="O1054">
            <v>1150</v>
          </cell>
          <cell r="P1054">
            <v>4200</v>
          </cell>
          <cell r="Q1054">
            <v>2</v>
          </cell>
        </row>
        <row r="1055">
          <cell r="A1055">
            <v>3721164</v>
          </cell>
          <cell r="B1055" t="str">
            <v>福島コーティング</v>
          </cell>
          <cell r="C1055" t="str">
            <v>工材１部電材課</v>
          </cell>
          <cell r="D1055" t="str">
            <v>ダミー担当者</v>
          </cell>
          <cell r="E1055" t="str">
            <v>東洋包材㈱</v>
          </cell>
          <cell r="F1055">
            <v>3</v>
          </cell>
          <cell r="G1055" t="str">
            <v>S</v>
          </cell>
          <cell r="H1055" t="str">
            <v>N</v>
          </cell>
          <cell r="I1055" t="str">
            <v>CERA</v>
          </cell>
          <cell r="K1055" t="str">
            <v>WZRX</v>
          </cell>
          <cell r="L1055">
            <v>38</v>
          </cell>
          <cell r="M1055" t="str">
            <v>セラピール　ＷＺ（ＲＸ）　　　　　　</v>
          </cell>
          <cell r="N1055">
            <v>1135</v>
          </cell>
          <cell r="O1055">
            <v>1130</v>
          </cell>
          <cell r="P1055">
            <v>6000</v>
          </cell>
          <cell r="Q1055">
            <v>2</v>
          </cell>
        </row>
        <row r="1056">
          <cell r="A1056">
            <v>3721165</v>
          </cell>
          <cell r="B1056" t="str">
            <v>情材福島原価</v>
          </cell>
          <cell r="C1056" t="str">
            <v>工材１部大阪電材課</v>
          </cell>
          <cell r="D1056" t="str">
            <v>ダミー担当者</v>
          </cell>
          <cell r="F1056">
            <v>3</v>
          </cell>
          <cell r="G1056" t="str">
            <v>T</v>
          </cell>
          <cell r="H1056" t="str">
            <v>N</v>
          </cell>
          <cell r="I1056" t="str">
            <v>CERA</v>
          </cell>
          <cell r="K1056" t="str">
            <v>WZS</v>
          </cell>
          <cell r="L1056">
            <v>25</v>
          </cell>
          <cell r="M1056" t="str">
            <v>セラピールＷＺ（Ｓ）</v>
          </cell>
          <cell r="N1056">
            <v>1100</v>
          </cell>
          <cell r="O1056">
            <v>1100</v>
          </cell>
          <cell r="P1056">
            <v>12000</v>
          </cell>
          <cell r="Q1056">
            <v>2</v>
          </cell>
        </row>
        <row r="1057">
          <cell r="A1057">
            <v>3721166</v>
          </cell>
          <cell r="B1057" t="str">
            <v>福島コーティング</v>
          </cell>
          <cell r="C1057" t="str">
            <v>工材１部大阪電材課</v>
          </cell>
          <cell r="D1057" t="str">
            <v>ダミー担当者</v>
          </cell>
          <cell r="E1057" t="str">
            <v>日東電工㈱亀山購買課</v>
          </cell>
          <cell r="F1057">
            <v>331</v>
          </cell>
          <cell r="G1057" t="str">
            <v>S</v>
          </cell>
          <cell r="H1057" t="str">
            <v>N</v>
          </cell>
          <cell r="I1057" t="str">
            <v>CERA</v>
          </cell>
          <cell r="K1057" t="str">
            <v>WZRX</v>
          </cell>
          <cell r="L1057">
            <v>25</v>
          </cell>
          <cell r="M1057" t="str">
            <v>セラピール　ＷＺ（ＲＸ）　　　　　　</v>
          </cell>
          <cell r="N1057">
            <v>450</v>
          </cell>
          <cell r="O1057">
            <v>450</v>
          </cell>
          <cell r="P1057">
            <v>4000</v>
          </cell>
          <cell r="Q1057">
            <v>2</v>
          </cell>
        </row>
        <row r="1058">
          <cell r="A1058">
            <v>3721167</v>
          </cell>
          <cell r="B1058" t="str">
            <v>福島コーティング</v>
          </cell>
          <cell r="C1058" t="str">
            <v>大阪光学機能材課</v>
          </cell>
          <cell r="D1058" t="str">
            <v>ダミー担当者</v>
          </cell>
          <cell r="E1058" t="str">
            <v>日東電工㈱尾道事業所</v>
          </cell>
          <cell r="F1058">
            <v>3321</v>
          </cell>
          <cell r="G1058" t="str">
            <v>S</v>
          </cell>
          <cell r="H1058" t="str">
            <v>N</v>
          </cell>
          <cell r="I1058" t="str">
            <v>CERA</v>
          </cell>
          <cell r="K1058" t="str">
            <v>MDACPFL</v>
          </cell>
          <cell r="L1058">
            <v>38</v>
          </cell>
          <cell r="M1058" t="str">
            <v>Ｋ　セラピールＭＤＡ（ＣＰＲＦ）Ｌ</v>
          </cell>
          <cell r="N1058">
            <v>1336</v>
          </cell>
          <cell r="O1058">
            <v>1325</v>
          </cell>
          <cell r="P1058">
            <v>12000</v>
          </cell>
          <cell r="Q1058">
            <v>2</v>
          </cell>
        </row>
        <row r="1059">
          <cell r="A1059">
            <v>3721168</v>
          </cell>
          <cell r="B1059" t="str">
            <v>福島コーティング</v>
          </cell>
          <cell r="C1059" t="str">
            <v>大阪光学機能材課</v>
          </cell>
          <cell r="D1059" t="str">
            <v>ダミー担当者</v>
          </cell>
          <cell r="E1059" t="str">
            <v>日東電工㈱尾道事業所</v>
          </cell>
          <cell r="F1059">
            <v>3321</v>
          </cell>
          <cell r="G1059" t="str">
            <v>S</v>
          </cell>
          <cell r="H1059" t="str">
            <v>N</v>
          </cell>
          <cell r="I1059" t="str">
            <v>CERA</v>
          </cell>
          <cell r="K1059" t="str">
            <v>MDAPFL</v>
          </cell>
          <cell r="L1059">
            <v>38</v>
          </cell>
          <cell r="M1059" t="str">
            <v>Ｋ　セラピールＭＤＡ（ＰＲＦ）Ｌ</v>
          </cell>
          <cell r="N1059">
            <v>1336</v>
          </cell>
          <cell r="O1059">
            <v>1325</v>
          </cell>
          <cell r="P1059">
            <v>12000</v>
          </cell>
          <cell r="Q1059">
            <v>2</v>
          </cell>
        </row>
        <row r="1060">
          <cell r="A1060">
            <v>3721169</v>
          </cell>
          <cell r="B1060" t="str">
            <v>福島コーティング</v>
          </cell>
          <cell r="C1060" t="str">
            <v>工材１部大阪電材課</v>
          </cell>
          <cell r="D1060" t="str">
            <v>ダミー担当者</v>
          </cell>
          <cell r="E1060" t="str">
            <v>利昌工業　尼崎工場</v>
          </cell>
          <cell r="F1060">
            <v>3</v>
          </cell>
          <cell r="G1060" t="str">
            <v>S</v>
          </cell>
          <cell r="H1060" t="str">
            <v>N</v>
          </cell>
          <cell r="I1060" t="str">
            <v>CERA</v>
          </cell>
          <cell r="K1060" t="str">
            <v>BX8ARX</v>
          </cell>
          <cell r="L1060">
            <v>25</v>
          </cell>
          <cell r="M1060" t="str">
            <v>セラピール　ＢＸ８Ａ（ＲＸ）</v>
          </cell>
          <cell r="N1060">
            <v>740</v>
          </cell>
          <cell r="O1060">
            <v>740</v>
          </cell>
          <cell r="P1060">
            <v>2100</v>
          </cell>
          <cell r="Q1060">
            <v>1</v>
          </cell>
        </row>
        <row r="1061">
          <cell r="A1061">
            <v>3721170</v>
          </cell>
          <cell r="B1061" t="str">
            <v>福島コーティング</v>
          </cell>
          <cell r="C1061" t="str">
            <v>工材１部電材課</v>
          </cell>
          <cell r="D1061" t="str">
            <v>ダミー担当者</v>
          </cell>
          <cell r="E1061" t="str">
            <v>パナック㈱亀山工場</v>
          </cell>
          <cell r="F1061">
            <v>331</v>
          </cell>
          <cell r="G1061" t="str">
            <v>S</v>
          </cell>
          <cell r="H1061" t="str">
            <v>N</v>
          </cell>
          <cell r="I1061" t="str">
            <v>CERA</v>
          </cell>
          <cell r="K1061" t="str">
            <v>BX8ARXA</v>
          </cell>
          <cell r="L1061">
            <v>38</v>
          </cell>
          <cell r="M1061" t="str">
            <v>セラピール　ＢＸ８ＡＲＸ</v>
          </cell>
          <cell r="N1061">
            <v>1330</v>
          </cell>
          <cell r="O1061">
            <v>1330</v>
          </cell>
          <cell r="P1061">
            <v>6000</v>
          </cell>
          <cell r="Q1061">
            <v>2</v>
          </cell>
        </row>
        <row r="1062">
          <cell r="A1062">
            <v>3721171</v>
          </cell>
          <cell r="B1062" t="str">
            <v>福島コーティング</v>
          </cell>
          <cell r="C1062" t="str">
            <v>工材１部電材課</v>
          </cell>
          <cell r="D1062" t="str">
            <v>ダミー担当者</v>
          </cell>
          <cell r="E1062" t="str">
            <v>㈱巴川製紙所</v>
          </cell>
          <cell r="F1062">
            <v>331</v>
          </cell>
          <cell r="G1062" t="str">
            <v>S</v>
          </cell>
          <cell r="H1062" t="str">
            <v>N</v>
          </cell>
          <cell r="I1062" t="str">
            <v>CERA</v>
          </cell>
          <cell r="K1062" t="str">
            <v>BX8ARXT</v>
          </cell>
          <cell r="L1062">
            <v>38</v>
          </cell>
          <cell r="M1062" t="str">
            <v>セラピール　ＢＸ８ＡＲＸ</v>
          </cell>
          <cell r="N1062">
            <v>1330</v>
          </cell>
          <cell r="O1062">
            <v>1330</v>
          </cell>
          <cell r="P1062">
            <v>6000</v>
          </cell>
          <cell r="Q1062">
            <v>2</v>
          </cell>
        </row>
        <row r="1063">
          <cell r="A1063">
            <v>3721172</v>
          </cell>
          <cell r="B1063" t="str">
            <v>福島コーティング</v>
          </cell>
          <cell r="C1063" t="str">
            <v>工材１部電材課</v>
          </cell>
          <cell r="D1063" t="str">
            <v>ダミー担当者</v>
          </cell>
          <cell r="E1063" t="str">
            <v>㈱巴川製紙所</v>
          </cell>
          <cell r="F1063">
            <v>331</v>
          </cell>
          <cell r="G1063" t="str">
            <v>S</v>
          </cell>
          <cell r="H1063" t="str">
            <v>N</v>
          </cell>
          <cell r="I1063" t="str">
            <v>CERA</v>
          </cell>
          <cell r="K1063" t="str">
            <v>BX8ARXT</v>
          </cell>
          <cell r="L1063">
            <v>38</v>
          </cell>
          <cell r="M1063" t="str">
            <v>セラピール　ＢＸ８ＡＲＸ</v>
          </cell>
          <cell r="N1063">
            <v>1330</v>
          </cell>
          <cell r="O1063">
            <v>1330</v>
          </cell>
          <cell r="P1063">
            <v>6000</v>
          </cell>
          <cell r="Q1063">
            <v>2</v>
          </cell>
        </row>
        <row r="1064">
          <cell r="A1064">
            <v>3721174</v>
          </cell>
          <cell r="B1064" t="str">
            <v>福島コーティング</v>
          </cell>
          <cell r="C1064" t="str">
            <v>工材１部電材課</v>
          </cell>
          <cell r="D1064" t="str">
            <v>ダミー担当者</v>
          </cell>
          <cell r="E1064" t="str">
            <v>㈱巴川製紙所</v>
          </cell>
          <cell r="F1064">
            <v>3</v>
          </cell>
          <cell r="G1064" t="str">
            <v>S</v>
          </cell>
          <cell r="H1064" t="str">
            <v>N</v>
          </cell>
          <cell r="I1064" t="str">
            <v>CERA</v>
          </cell>
          <cell r="K1064" t="str">
            <v>BX8AX</v>
          </cell>
          <cell r="L1064">
            <v>75</v>
          </cell>
          <cell r="M1064" t="str">
            <v>セラピール　　　　　　　　　　　ＢＸ８Ａ（Ｘ）</v>
          </cell>
          <cell r="N1064">
            <v>1330</v>
          </cell>
          <cell r="O1064">
            <v>1330</v>
          </cell>
          <cell r="P1064">
            <v>4100</v>
          </cell>
          <cell r="Q1064">
            <v>2</v>
          </cell>
        </row>
        <row r="1065">
          <cell r="A1065">
            <v>3721175</v>
          </cell>
          <cell r="B1065" t="str">
            <v>福島コーティング</v>
          </cell>
          <cell r="C1065" t="str">
            <v>工材１部大阪電材課</v>
          </cell>
          <cell r="D1065" t="str">
            <v>ダミー担当者</v>
          </cell>
          <cell r="E1065" t="str">
            <v>住友電工プリント</v>
          </cell>
          <cell r="F1065">
            <v>3</v>
          </cell>
          <cell r="G1065" t="str">
            <v>S</v>
          </cell>
          <cell r="H1065" t="str">
            <v>N</v>
          </cell>
          <cell r="I1065" t="str">
            <v>CERA</v>
          </cell>
          <cell r="K1065" t="str">
            <v>BX8ARX</v>
          </cell>
          <cell r="L1065">
            <v>38</v>
          </cell>
          <cell r="M1065" t="str">
            <v>セラピール　ＢＸ８ＡＲＸ</v>
          </cell>
          <cell r="N1065">
            <v>535</v>
          </cell>
          <cell r="O1065">
            <v>535</v>
          </cell>
          <cell r="P1065">
            <v>6000</v>
          </cell>
          <cell r="Q1065">
            <v>2</v>
          </cell>
        </row>
        <row r="1066">
          <cell r="A1066">
            <v>3721176</v>
          </cell>
          <cell r="B1066" t="str">
            <v>福島コーティング</v>
          </cell>
          <cell r="C1066" t="str">
            <v>プロセス材２課</v>
          </cell>
          <cell r="D1066" t="str">
            <v>ダミー担当者</v>
          </cell>
          <cell r="E1066" t="str">
            <v>日榮新化㈱</v>
          </cell>
          <cell r="F1066">
            <v>3</v>
          </cell>
          <cell r="G1066" t="str">
            <v>S</v>
          </cell>
          <cell r="H1066" t="str">
            <v>Y</v>
          </cell>
          <cell r="I1066" t="str">
            <v>CERA</v>
          </cell>
          <cell r="K1066" t="str">
            <v>BX8AS</v>
          </cell>
          <cell r="L1066">
            <v>75</v>
          </cell>
          <cell r="M1066" t="str">
            <v>セラピール　ＢＸ８Ａ（Ｓ）</v>
          </cell>
          <cell r="N1066">
            <v>1040</v>
          </cell>
          <cell r="O1066">
            <v>1040</v>
          </cell>
          <cell r="P1066">
            <v>4000</v>
          </cell>
          <cell r="Q1066">
            <v>1</v>
          </cell>
        </row>
        <row r="1067">
          <cell r="A1067">
            <v>3721177</v>
          </cell>
          <cell r="B1067" t="str">
            <v>福島コーティング</v>
          </cell>
          <cell r="C1067" t="str">
            <v>プロセス材２課</v>
          </cell>
          <cell r="D1067" t="str">
            <v>ダミー担当者</v>
          </cell>
          <cell r="E1067" t="str">
            <v>日榮新化㈱</v>
          </cell>
          <cell r="F1067">
            <v>3</v>
          </cell>
          <cell r="G1067" t="str">
            <v>S</v>
          </cell>
          <cell r="H1067" t="str">
            <v>Y</v>
          </cell>
          <cell r="I1067" t="str">
            <v>CERA</v>
          </cell>
          <cell r="K1067" t="str">
            <v>BX9AS</v>
          </cell>
          <cell r="L1067">
            <v>75</v>
          </cell>
          <cell r="M1067" t="str">
            <v>セラピール　　　　　　　　　　　ＢＸ９Ａ（Ｓ）</v>
          </cell>
          <cell r="N1067">
            <v>1040</v>
          </cell>
          <cell r="O1067">
            <v>1040</v>
          </cell>
          <cell r="P1067">
            <v>4000</v>
          </cell>
          <cell r="Q1067">
            <v>1</v>
          </cell>
        </row>
        <row r="1068">
          <cell r="A1068">
            <v>3721178</v>
          </cell>
          <cell r="B1068" t="str">
            <v>福島コーティング</v>
          </cell>
          <cell r="C1068" t="str">
            <v>プロセス材１課</v>
          </cell>
          <cell r="D1068" t="str">
            <v>ダミー担当者</v>
          </cell>
          <cell r="E1068" t="str">
            <v>リンテック㈱</v>
          </cell>
          <cell r="F1068">
            <v>3</v>
          </cell>
          <cell r="G1068" t="str">
            <v>S</v>
          </cell>
          <cell r="H1068" t="str">
            <v>N</v>
          </cell>
          <cell r="I1068" t="str">
            <v>CERA</v>
          </cell>
          <cell r="K1068" t="str">
            <v>WZS</v>
          </cell>
          <cell r="L1068">
            <v>38</v>
          </cell>
          <cell r="M1068" t="str">
            <v>セラピール　　　　　　　　　　　ＷＺ（Ｓ）</v>
          </cell>
          <cell r="N1068">
            <v>1005</v>
          </cell>
          <cell r="O1068">
            <v>1000</v>
          </cell>
          <cell r="P1068">
            <v>8000</v>
          </cell>
          <cell r="Q1068">
            <v>2</v>
          </cell>
        </row>
        <row r="1069">
          <cell r="A1069">
            <v>3721179</v>
          </cell>
          <cell r="B1069" t="str">
            <v>福島コーティング</v>
          </cell>
          <cell r="C1069" t="str">
            <v>工材１部電材課</v>
          </cell>
          <cell r="D1069" t="str">
            <v>ダミー担当者</v>
          </cell>
          <cell r="E1069" t="str">
            <v>古河電気工業㈱</v>
          </cell>
          <cell r="F1069">
            <v>3</v>
          </cell>
          <cell r="G1069" t="str">
            <v>S</v>
          </cell>
          <cell r="H1069" t="str">
            <v>N</v>
          </cell>
          <cell r="I1069" t="str">
            <v>CERA</v>
          </cell>
          <cell r="K1069" t="str">
            <v>WZE</v>
          </cell>
          <cell r="L1069">
            <v>25</v>
          </cell>
          <cell r="M1069" t="str">
            <v>セラピール　　　　　　　　　　　ＷＺ（Ｅ）</v>
          </cell>
          <cell r="N1069">
            <v>1040</v>
          </cell>
          <cell r="O1069">
            <v>1040</v>
          </cell>
          <cell r="P1069">
            <v>6000</v>
          </cell>
          <cell r="Q1069">
            <v>2</v>
          </cell>
        </row>
        <row r="1070">
          <cell r="A1070">
            <v>3721180</v>
          </cell>
          <cell r="B1070" t="str">
            <v>福島コーティング</v>
          </cell>
          <cell r="C1070" t="str">
            <v>工材１部電材課</v>
          </cell>
          <cell r="D1070" t="str">
            <v>ダミー担当者</v>
          </cell>
          <cell r="E1070" t="str">
            <v>藤産業㈱</v>
          </cell>
          <cell r="F1070">
            <v>331</v>
          </cell>
          <cell r="G1070" t="str">
            <v>S</v>
          </cell>
          <cell r="H1070" t="str">
            <v>N</v>
          </cell>
          <cell r="I1070" t="str">
            <v>CERA</v>
          </cell>
          <cell r="K1070" t="str">
            <v>WZ34</v>
          </cell>
          <cell r="L1070">
            <v>25</v>
          </cell>
          <cell r="M1070" t="str">
            <v>セラピール　ＷＺ（３４）</v>
          </cell>
          <cell r="N1070">
            <v>1410</v>
          </cell>
          <cell r="O1070">
            <v>1410</v>
          </cell>
          <cell r="P1070">
            <v>6000</v>
          </cell>
          <cell r="Q1070">
            <v>2</v>
          </cell>
        </row>
        <row r="1071">
          <cell r="A1071">
            <v>3721181</v>
          </cell>
          <cell r="B1071" t="str">
            <v>福島コーティング</v>
          </cell>
          <cell r="C1071" t="str">
            <v>工材１部電材課</v>
          </cell>
          <cell r="D1071" t="str">
            <v>ダミー担当者</v>
          </cell>
          <cell r="E1071" t="str">
            <v>藤産業㈱</v>
          </cell>
          <cell r="F1071">
            <v>331</v>
          </cell>
          <cell r="G1071" t="str">
            <v>S</v>
          </cell>
          <cell r="H1071" t="str">
            <v>N</v>
          </cell>
          <cell r="I1071" t="str">
            <v>CERA</v>
          </cell>
          <cell r="K1071" t="str">
            <v>WZ34</v>
          </cell>
          <cell r="L1071">
            <v>25</v>
          </cell>
          <cell r="M1071" t="str">
            <v>セラピール　ＷＺ（３４）</v>
          </cell>
          <cell r="N1071">
            <v>1410</v>
          </cell>
          <cell r="O1071">
            <v>1410</v>
          </cell>
          <cell r="P1071">
            <v>6000</v>
          </cell>
          <cell r="Q1071">
            <v>2</v>
          </cell>
        </row>
        <row r="1072">
          <cell r="A1072">
            <v>3721182</v>
          </cell>
          <cell r="B1072" t="str">
            <v>福島コーティング</v>
          </cell>
          <cell r="C1072" t="str">
            <v>工材１部大阪電材課</v>
          </cell>
          <cell r="D1072" t="str">
            <v>ダミー担当者</v>
          </cell>
          <cell r="E1072" t="str">
            <v>日東電工㈱豊橋工場</v>
          </cell>
          <cell r="F1072">
            <v>3313</v>
          </cell>
          <cell r="G1072" t="str">
            <v>S</v>
          </cell>
          <cell r="H1072" t="str">
            <v>N</v>
          </cell>
          <cell r="I1072" t="str">
            <v>CERA</v>
          </cell>
          <cell r="K1072" t="str">
            <v>MD(A)R</v>
          </cell>
          <cell r="L1072">
            <v>38</v>
          </cell>
          <cell r="M1072" t="str">
            <v>セラピール　ＭＤ（Ａ）（Ｒ）</v>
          </cell>
          <cell r="N1072">
            <v>750</v>
          </cell>
          <cell r="O1072">
            <v>750</v>
          </cell>
          <cell r="P1072">
            <v>6000</v>
          </cell>
          <cell r="Q1072">
            <v>2</v>
          </cell>
        </row>
        <row r="1073">
          <cell r="A1073">
            <v>3721185</v>
          </cell>
          <cell r="B1073" t="str">
            <v>福島コーティング</v>
          </cell>
          <cell r="C1073" t="str">
            <v>大阪光学機能材課</v>
          </cell>
          <cell r="D1073" t="str">
            <v>ダミー担当者</v>
          </cell>
          <cell r="E1073" t="str">
            <v>日東電工㈱尾道事業所</v>
          </cell>
          <cell r="F1073">
            <v>3321</v>
          </cell>
          <cell r="G1073" t="str">
            <v>S</v>
          </cell>
          <cell r="H1073" t="str">
            <v>N</v>
          </cell>
          <cell r="I1073" t="str">
            <v>CERA</v>
          </cell>
          <cell r="K1073" t="str">
            <v>MDACPFL</v>
          </cell>
          <cell r="L1073">
            <v>38</v>
          </cell>
          <cell r="M1073" t="str">
            <v>Ｋ　セラピールＭＤＡ（ＣＰＲＦ）Ｌ</v>
          </cell>
          <cell r="N1073">
            <v>1336</v>
          </cell>
          <cell r="O1073">
            <v>1325</v>
          </cell>
          <cell r="P1073">
            <v>12000</v>
          </cell>
          <cell r="Q1073">
            <v>2</v>
          </cell>
        </row>
        <row r="1074">
          <cell r="A1074">
            <v>3721186</v>
          </cell>
          <cell r="B1074" t="str">
            <v>福島コーティング</v>
          </cell>
          <cell r="C1074" t="str">
            <v>大阪光学機能材課</v>
          </cell>
          <cell r="D1074" t="str">
            <v>ダミー担当者</v>
          </cell>
          <cell r="E1074" t="str">
            <v>日東電工㈱尾道事業所</v>
          </cell>
          <cell r="F1074">
            <v>3321</v>
          </cell>
          <cell r="G1074" t="str">
            <v>S</v>
          </cell>
          <cell r="H1074" t="str">
            <v>N</v>
          </cell>
          <cell r="I1074" t="str">
            <v>CERA</v>
          </cell>
          <cell r="K1074" t="str">
            <v>MDAPFL</v>
          </cell>
          <cell r="L1074">
            <v>38</v>
          </cell>
          <cell r="M1074" t="str">
            <v>Ｋ　セラピールＭＤＡ（ＰＲＦ）Ｌ</v>
          </cell>
          <cell r="N1074">
            <v>1336</v>
          </cell>
          <cell r="O1074">
            <v>1325</v>
          </cell>
          <cell r="P1074">
            <v>12000</v>
          </cell>
          <cell r="Q1074">
            <v>2</v>
          </cell>
        </row>
        <row r="1075">
          <cell r="A1075">
            <v>3721187</v>
          </cell>
          <cell r="B1075" t="str">
            <v>福島コーティング</v>
          </cell>
          <cell r="C1075" t="str">
            <v>工材１部電材課</v>
          </cell>
          <cell r="D1075" t="str">
            <v>ダミー担当者</v>
          </cell>
          <cell r="E1075" t="str">
            <v>㈱巴川製紙所</v>
          </cell>
          <cell r="F1075">
            <v>331</v>
          </cell>
          <cell r="G1075" t="str">
            <v>S</v>
          </cell>
          <cell r="H1075" t="str">
            <v>N</v>
          </cell>
          <cell r="I1075" t="str">
            <v>CERA</v>
          </cell>
          <cell r="K1075" t="str">
            <v>BKERXT</v>
          </cell>
          <cell r="L1075">
            <v>38</v>
          </cell>
          <cell r="M1075" t="str">
            <v>セラピール　ＢＫＥ（ＲＸ）</v>
          </cell>
          <cell r="N1075">
            <v>1580</v>
          </cell>
          <cell r="O1075">
            <v>1580</v>
          </cell>
          <cell r="P1075">
            <v>6000</v>
          </cell>
          <cell r="Q1075">
            <v>2</v>
          </cell>
        </row>
        <row r="1076">
          <cell r="A1076">
            <v>3721188</v>
          </cell>
          <cell r="B1076" t="str">
            <v>福島コーティング</v>
          </cell>
          <cell r="C1076" t="str">
            <v>工材１部電材課</v>
          </cell>
          <cell r="D1076" t="str">
            <v>ダミー担当者</v>
          </cell>
          <cell r="E1076" t="str">
            <v>パナック㈱亀山工場</v>
          </cell>
          <cell r="F1076">
            <v>331</v>
          </cell>
          <cell r="G1076" t="str">
            <v>S</v>
          </cell>
          <cell r="H1076" t="str">
            <v>N</v>
          </cell>
          <cell r="I1076" t="str">
            <v>CERA</v>
          </cell>
          <cell r="K1076" t="str">
            <v>BKE09</v>
          </cell>
          <cell r="L1076">
            <v>38</v>
          </cell>
          <cell r="M1076" t="str">
            <v>セラピール　ＢＫＥ（０９）</v>
          </cell>
          <cell r="N1076">
            <v>1367</v>
          </cell>
          <cell r="O1076">
            <v>1360</v>
          </cell>
          <cell r="P1076">
            <v>6000</v>
          </cell>
          <cell r="Q1076">
            <v>2</v>
          </cell>
        </row>
        <row r="1077">
          <cell r="A1077">
            <v>3721189</v>
          </cell>
          <cell r="B1077" t="str">
            <v>福島コーティング</v>
          </cell>
          <cell r="C1077" t="str">
            <v>工材１部電材課</v>
          </cell>
          <cell r="D1077" t="str">
            <v>ダミー担当者</v>
          </cell>
          <cell r="E1077" t="str">
            <v>㈱巴川製紙所</v>
          </cell>
          <cell r="F1077">
            <v>331</v>
          </cell>
          <cell r="G1077" t="str">
            <v>S</v>
          </cell>
          <cell r="H1077" t="str">
            <v>N</v>
          </cell>
          <cell r="I1077" t="str">
            <v>CERA</v>
          </cell>
          <cell r="K1077" t="str">
            <v>BKERXT</v>
          </cell>
          <cell r="L1077">
            <v>25</v>
          </cell>
          <cell r="M1077" t="str">
            <v>セラピール　ＢＫＥ（ＲＸ）</v>
          </cell>
          <cell r="N1077">
            <v>1330</v>
          </cell>
          <cell r="O1077">
            <v>1330</v>
          </cell>
          <cell r="P1077">
            <v>6000</v>
          </cell>
          <cell r="Q1077">
            <v>2</v>
          </cell>
        </row>
        <row r="1078">
          <cell r="A1078">
            <v>3721190</v>
          </cell>
          <cell r="B1078" t="str">
            <v>福島コーティング</v>
          </cell>
          <cell r="C1078" t="str">
            <v>工材１部電材課</v>
          </cell>
          <cell r="D1078" t="str">
            <v>ダミー担当者</v>
          </cell>
          <cell r="E1078" t="str">
            <v>㈱巴川製紙所</v>
          </cell>
          <cell r="F1078">
            <v>331</v>
          </cell>
          <cell r="G1078" t="str">
            <v>S</v>
          </cell>
          <cell r="H1078" t="str">
            <v>N</v>
          </cell>
          <cell r="I1078" t="str">
            <v>CERA</v>
          </cell>
          <cell r="K1078" t="str">
            <v>BKERXT</v>
          </cell>
          <cell r="L1078">
            <v>38</v>
          </cell>
          <cell r="M1078" t="str">
            <v>セラピール　ＢＫＥ（ＲＸ）</v>
          </cell>
          <cell r="N1078">
            <v>1330</v>
          </cell>
          <cell r="O1078">
            <v>1330</v>
          </cell>
          <cell r="P1078">
            <v>6000</v>
          </cell>
          <cell r="Q1078">
            <v>2</v>
          </cell>
        </row>
        <row r="1079">
          <cell r="A1079">
            <v>3721191</v>
          </cell>
          <cell r="B1079" t="str">
            <v>福島コーティング</v>
          </cell>
          <cell r="C1079" t="str">
            <v>光学機能材１課</v>
          </cell>
          <cell r="D1079" t="str">
            <v>ダミー担当者</v>
          </cell>
          <cell r="E1079" t="str">
            <v>㈱きもと　三重工場</v>
          </cell>
          <cell r="F1079">
            <v>3</v>
          </cell>
          <cell r="G1079" t="str">
            <v>S</v>
          </cell>
          <cell r="H1079" t="str">
            <v>N</v>
          </cell>
          <cell r="I1079" t="str">
            <v>CERA</v>
          </cell>
          <cell r="K1079" t="str">
            <v>BKUK</v>
          </cell>
          <cell r="L1079">
            <v>25</v>
          </cell>
          <cell r="M1079" t="str">
            <v>セラピール　ＢＫ（Ｕ）Ｋ</v>
          </cell>
          <cell r="N1079">
            <v>1085</v>
          </cell>
          <cell r="O1079">
            <v>1080</v>
          </cell>
          <cell r="P1079">
            <v>6000</v>
          </cell>
          <cell r="Q1079">
            <v>2</v>
          </cell>
        </row>
        <row r="1080">
          <cell r="A1080">
            <v>3721192</v>
          </cell>
          <cell r="B1080" t="str">
            <v>福島コーティング</v>
          </cell>
          <cell r="C1080" t="str">
            <v>工材１部電材課</v>
          </cell>
          <cell r="D1080" t="str">
            <v>ダミー担当者</v>
          </cell>
          <cell r="E1080" t="str">
            <v>パナック㈱亀山工場</v>
          </cell>
          <cell r="F1080">
            <v>3</v>
          </cell>
          <cell r="G1080" t="str">
            <v>S</v>
          </cell>
          <cell r="H1080" t="str">
            <v>N</v>
          </cell>
          <cell r="I1080" t="str">
            <v>CERA</v>
          </cell>
          <cell r="K1080" t="str">
            <v>BKE09</v>
          </cell>
          <cell r="L1080">
            <v>38</v>
          </cell>
          <cell r="M1080" t="str">
            <v>セラピール　ＢＫＥ（０９）</v>
          </cell>
          <cell r="N1080">
            <v>1057</v>
          </cell>
          <cell r="O1080">
            <v>1050</v>
          </cell>
          <cell r="P1080">
            <v>8400</v>
          </cell>
          <cell r="Q1080">
            <v>2</v>
          </cell>
        </row>
        <row r="1081">
          <cell r="A1081">
            <v>3721193</v>
          </cell>
          <cell r="B1081" t="str">
            <v>福島コーティング</v>
          </cell>
          <cell r="C1081" t="str">
            <v>光学機能材１課</v>
          </cell>
          <cell r="D1081" t="str">
            <v>ダミー担当者</v>
          </cell>
          <cell r="E1081" t="str">
            <v>㈱きもと　三重工場</v>
          </cell>
          <cell r="F1081">
            <v>3</v>
          </cell>
          <cell r="G1081" t="str">
            <v>S</v>
          </cell>
          <cell r="H1081" t="str">
            <v>N</v>
          </cell>
          <cell r="I1081" t="str">
            <v>CERA</v>
          </cell>
          <cell r="K1081" t="str">
            <v>BKUK</v>
          </cell>
          <cell r="L1081">
            <v>25</v>
          </cell>
          <cell r="M1081" t="str">
            <v>セラピール　ＢＫ（Ｕ）Ｋ</v>
          </cell>
          <cell r="N1081">
            <v>1045</v>
          </cell>
          <cell r="O1081">
            <v>1040</v>
          </cell>
          <cell r="P1081">
            <v>6000</v>
          </cell>
          <cell r="Q1081">
            <v>2</v>
          </cell>
        </row>
        <row r="1082">
          <cell r="A1082">
            <v>3721194</v>
          </cell>
          <cell r="B1082" t="str">
            <v>福島コーティング</v>
          </cell>
          <cell r="C1082" t="str">
            <v>工材１部電材課</v>
          </cell>
          <cell r="D1082" t="str">
            <v>ダミー担当者</v>
          </cell>
          <cell r="E1082" t="str">
            <v>パナック㈱亀山工場</v>
          </cell>
          <cell r="F1082">
            <v>3</v>
          </cell>
          <cell r="G1082" t="str">
            <v>S</v>
          </cell>
          <cell r="H1082" t="str">
            <v>N</v>
          </cell>
          <cell r="I1082" t="str">
            <v>CERA</v>
          </cell>
          <cell r="K1082" t="str">
            <v>BKE09</v>
          </cell>
          <cell r="L1082">
            <v>38</v>
          </cell>
          <cell r="M1082" t="str">
            <v>セラピール　ＢＫＥ（０９）</v>
          </cell>
          <cell r="N1082">
            <v>1037</v>
          </cell>
          <cell r="O1082">
            <v>1030</v>
          </cell>
          <cell r="P1082">
            <v>8500</v>
          </cell>
          <cell r="Q1082">
            <v>2</v>
          </cell>
        </row>
        <row r="1083">
          <cell r="A1083">
            <v>3721195</v>
          </cell>
          <cell r="B1083" t="str">
            <v>福島コーティング</v>
          </cell>
          <cell r="C1083" t="str">
            <v>工材１部電材課</v>
          </cell>
          <cell r="D1083" t="str">
            <v>ダミー担当者</v>
          </cell>
          <cell r="E1083" t="str">
            <v>積水化学武蔵工場</v>
          </cell>
          <cell r="F1083">
            <v>3</v>
          </cell>
          <cell r="G1083" t="str">
            <v>S</v>
          </cell>
          <cell r="H1083" t="str">
            <v>N</v>
          </cell>
          <cell r="I1083" t="str">
            <v>CERA</v>
          </cell>
          <cell r="K1083" t="str">
            <v>BKU</v>
          </cell>
          <cell r="L1083">
            <v>25</v>
          </cell>
          <cell r="M1083" t="str">
            <v>セラピ－ル　ＢＫ（Ｕ）</v>
          </cell>
          <cell r="N1083">
            <v>890</v>
          </cell>
          <cell r="O1083">
            <v>890</v>
          </cell>
          <cell r="P1083">
            <v>3800</v>
          </cell>
          <cell r="Q1083">
            <v>2</v>
          </cell>
        </row>
        <row r="1084">
          <cell r="A1084">
            <v>3721196</v>
          </cell>
          <cell r="B1084" t="str">
            <v>福島コーティング</v>
          </cell>
          <cell r="C1084" t="str">
            <v>工材１部電材課</v>
          </cell>
          <cell r="D1084" t="str">
            <v>ダミー担当者</v>
          </cell>
          <cell r="E1084" t="str">
            <v>㈱三共プラス</v>
          </cell>
          <cell r="F1084">
            <v>3</v>
          </cell>
          <cell r="G1084" t="str">
            <v>S</v>
          </cell>
          <cell r="H1084" t="str">
            <v>N</v>
          </cell>
          <cell r="I1084" t="str">
            <v>TTP</v>
          </cell>
          <cell r="K1084" t="str">
            <v>B2T0</v>
          </cell>
          <cell r="L1084">
            <v>100</v>
          </cell>
          <cell r="M1084" t="str">
            <v>タフトップ　Ｂ２Ｔ０</v>
          </cell>
          <cell r="N1084">
            <v>1000</v>
          </cell>
          <cell r="O1084">
            <v>1000</v>
          </cell>
          <cell r="P1084">
            <v>1000</v>
          </cell>
          <cell r="Q1084">
            <v>2</v>
          </cell>
        </row>
        <row r="1085">
          <cell r="A1085">
            <v>3721197</v>
          </cell>
          <cell r="B1085" t="str">
            <v>福島コーティング</v>
          </cell>
          <cell r="C1085" t="str">
            <v>工材１部電材課</v>
          </cell>
          <cell r="D1085" t="str">
            <v>ダミー担当者</v>
          </cell>
          <cell r="E1085" t="str">
            <v>㈱三共プラス</v>
          </cell>
          <cell r="F1085">
            <v>3</v>
          </cell>
          <cell r="G1085" t="str">
            <v>S</v>
          </cell>
          <cell r="H1085" t="str">
            <v>N</v>
          </cell>
          <cell r="I1085" t="str">
            <v>TTP</v>
          </cell>
          <cell r="K1085" t="str">
            <v>B2T0</v>
          </cell>
          <cell r="L1085">
            <v>125</v>
          </cell>
          <cell r="M1085" t="str">
            <v>タフトップ　Ｂ２Ｔ０</v>
          </cell>
          <cell r="N1085">
            <v>1000</v>
          </cell>
          <cell r="O1085">
            <v>1000</v>
          </cell>
          <cell r="P1085">
            <v>1000</v>
          </cell>
          <cell r="Q1085">
            <v>2</v>
          </cell>
        </row>
        <row r="1086">
          <cell r="A1086">
            <v>3721198</v>
          </cell>
          <cell r="B1086" t="str">
            <v>福島コーティング</v>
          </cell>
          <cell r="C1086" t="str">
            <v>工材１部電材課</v>
          </cell>
          <cell r="D1086" t="str">
            <v>ダミー担当者</v>
          </cell>
          <cell r="E1086" t="str">
            <v>㈱三共プラス</v>
          </cell>
          <cell r="F1086">
            <v>3</v>
          </cell>
          <cell r="G1086" t="str">
            <v>S</v>
          </cell>
          <cell r="H1086" t="str">
            <v>N</v>
          </cell>
          <cell r="I1086" t="str">
            <v>TTP</v>
          </cell>
          <cell r="K1086" t="str">
            <v>B2T0</v>
          </cell>
          <cell r="L1086">
            <v>188</v>
          </cell>
          <cell r="M1086" t="str">
            <v>タフトップ　Ｂ２Ｔ０</v>
          </cell>
          <cell r="N1086">
            <v>1000</v>
          </cell>
          <cell r="O1086">
            <v>1000</v>
          </cell>
          <cell r="P1086">
            <v>1000</v>
          </cell>
          <cell r="Q1086">
            <v>2</v>
          </cell>
        </row>
        <row r="1087">
          <cell r="A1087">
            <v>3721202</v>
          </cell>
          <cell r="B1087" t="str">
            <v>福島コーティング</v>
          </cell>
          <cell r="C1087" t="str">
            <v>プロセス材２課</v>
          </cell>
          <cell r="D1087" t="str">
            <v>ダミー担当者</v>
          </cell>
          <cell r="E1087" t="str">
            <v>藤森工業㈱掛川事業所</v>
          </cell>
          <cell r="F1087">
            <v>3</v>
          </cell>
          <cell r="G1087" t="str">
            <v>S</v>
          </cell>
          <cell r="H1087" t="str">
            <v>N</v>
          </cell>
          <cell r="I1087" t="str">
            <v>CLB</v>
          </cell>
          <cell r="K1087" t="str">
            <v>PETTL</v>
          </cell>
          <cell r="L1087">
            <v>38</v>
          </cell>
          <cell r="M1087" t="str">
            <v>ＰＥＴ　ＴＬ</v>
          </cell>
          <cell r="N1087">
            <v>1320</v>
          </cell>
          <cell r="O1087">
            <v>1320</v>
          </cell>
          <cell r="P1087">
            <v>4200</v>
          </cell>
          <cell r="Q1087">
            <v>2</v>
          </cell>
        </row>
        <row r="1088">
          <cell r="A1088">
            <v>3721212</v>
          </cell>
          <cell r="B1088" t="str">
            <v>福島コーティング</v>
          </cell>
          <cell r="C1088" t="str">
            <v>プロセス材１課</v>
          </cell>
          <cell r="D1088" t="str">
            <v>ダミー担当者</v>
          </cell>
          <cell r="E1088" t="str">
            <v>リンテック㈱</v>
          </cell>
          <cell r="F1088">
            <v>3</v>
          </cell>
          <cell r="G1088" t="str">
            <v>S</v>
          </cell>
          <cell r="H1088" t="str">
            <v>N</v>
          </cell>
          <cell r="I1088" t="str">
            <v>CLB</v>
          </cell>
          <cell r="K1088" t="str">
            <v>PETMV</v>
          </cell>
          <cell r="L1088">
            <v>25</v>
          </cell>
          <cell r="M1088" t="str">
            <v>ＰＥＴ　マットＶ</v>
          </cell>
          <cell r="N1088">
            <v>1005</v>
          </cell>
          <cell r="O1088">
            <v>1000</v>
          </cell>
          <cell r="P1088">
            <v>4000</v>
          </cell>
          <cell r="Q1088">
            <v>2</v>
          </cell>
        </row>
        <row r="1089">
          <cell r="A1089">
            <v>3721223</v>
          </cell>
          <cell r="B1089" t="str">
            <v>福島コーティング</v>
          </cell>
          <cell r="C1089" t="str">
            <v>プロセス材１課</v>
          </cell>
          <cell r="D1089" t="str">
            <v>ダミー担当者</v>
          </cell>
          <cell r="E1089" t="str">
            <v>リンテック㈱</v>
          </cell>
          <cell r="F1089">
            <v>3</v>
          </cell>
          <cell r="G1089" t="str">
            <v>S</v>
          </cell>
          <cell r="H1089" t="str">
            <v>N</v>
          </cell>
          <cell r="I1089" t="str">
            <v>CLB</v>
          </cell>
          <cell r="K1089" t="str">
            <v>E20V</v>
          </cell>
          <cell r="L1089">
            <v>75</v>
          </cell>
          <cell r="M1089" t="str">
            <v>ルミラー　Ｅ－２０　Ｖ</v>
          </cell>
          <cell r="N1089">
            <v>1005</v>
          </cell>
          <cell r="O1089">
            <v>1000</v>
          </cell>
          <cell r="P1089">
            <v>3000</v>
          </cell>
          <cell r="Q1089">
            <v>2</v>
          </cell>
        </row>
        <row r="1090">
          <cell r="A1090">
            <v>3723585</v>
          </cell>
          <cell r="B1090" t="str">
            <v>福島コーティング</v>
          </cell>
          <cell r="C1090" t="str">
            <v>工材１部大阪電材課</v>
          </cell>
          <cell r="D1090" t="str">
            <v>ダミー担当者</v>
          </cell>
          <cell r="E1090" t="str">
            <v>日東電工㈱豊橋工場</v>
          </cell>
          <cell r="F1090">
            <v>331</v>
          </cell>
          <cell r="G1090" t="str">
            <v>S</v>
          </cell>
          <cell r="H1090" t="str">
            <v>N</v>
          </cell>
          <cell r="I1090" t="str">
            <v>CERA</v>
          </cell>
          <cell r="K1090" t="str">
            <v>MD(A)R</v>
          </cell>
          <cell r="L1090">
            <v>38</v>
          </cell>
          <cell r="M1090" t="str">
            <v>セラピール　ＭＤ（Ａ）（Ｒ）</v>
          </cell>
          <cell r="N1090">
            <v>1585</v>
          </cell>
          <cell r="O1090">
            <v>1580</v>
          </cell>
          <cell r="P1090">
            <v>4000</v>
          </cell>
          <cell r="Q1090">
            <v>2</v>
          </cell>
        </row>
        <row r="1091">
          <cell r="A1091">
            <v>3723586</v>
          </cell>
          <cell r="B1091" t="str">
            <v>福島コーティング</v>
          </cell>
          <cell r="C1091" t="str">
            <v>工材１部大阪電材課</v>
          </cell>
          <cell r="D1091" t="str">
            <v>ダミー担当者</v>
          </cell>
          <cell r="E1091" t="str">
            <v>日東電工㈱豊橋工場</v>
          </cell>
          <cell r="F1091">
            <v>3313</v>
          </cell>
          <cell r="G1091" t="str">
            <v>S</v>
          </cell>
          <cell r="H1091" t="str">
            <v>N</v>
          </cell>
          <cell r="I1091" t="str">
            <v>CERA</v>
          </cell>
          <cell r="K1091" t="str">
            <v>MD(A)R</v>
          </cell>
          <cell r="L1091">
            <v>38</v>
          </cell>
          <cell r="M1091" t="str">
            <v>セラピール　ＭＤ（Ａ）（Ｒ）</v>
          </cell>
          <cell r="N1091">
            <v>750</v>
          </cell>
          <cell r="O1091">
            <v>750</v>
          </cell>
          <cell r="P1091">
            <v>6000</v>
          </cell>
          <cell r="Q1091">
            <v>2</v>
          </cell>
        </row>
        <row r="1092">
          <cell r="A1092">
            <v>3723587</v>
          </cell>
          <cell r="B1092" t="str">
            <v>福島コーティング</v>
          </cell>
          <cell r="C1092" t="str">
            <v>工材１部大阪電材課</v>
          </cell>
          <cell r="D1092" t="str">
            <v>ダミー担当者</v>
          </cell>
          <cell r="E1092" t="str">
            <v>住友べークライト尼崎</v>
          </cell>
          <cell r="F1092">
            <v>331</v>
          </cell>
          <cell r="G1092" t="str">
            <v>S</v>
          </cell>
          <cell r="H1092" t="str">
            <v>N</v>
          </cell>
          <cell r="I1092" t="str">
            <v>CERA</v>
          </cell>
          <cell r="K1092" t="str">
            <v>MDARX</v>
          </cell>
          <cell r="L1092">
            <v>38</v>
          </cell>
          <cell r="M1092" t="str">
            <v>セラピール　　　　　　　　　　　ＭＤＡ（ＲＸ）</v>
          </cell>
          <cell r="N1092">
            <v>315</v>
          </cell>
          <cell r="O1092">
            <v>315</v>
          </cell>
          <cell r="P1092">
            <v>1950</v>
          </cell>
          <cell r="Q1092">
            <v>2</v>
          </cell>
        </row>
        <row r="1093">
          <cell r="A1093">
            <v>3723587</v>
          </cell>
          <cell r="B1093" t="str">
            <v>福島コーティング</v>
          </cell>
          <cell r="C1093" t="str">
            <v>工材１部大阪電材課</v>
          </cell>
          <cell r="D1093" t="str">
            <v>ダミー担当者</v>
          </cell>
          <cell r="E1093" t="str">
            <v>住友べークライト尼崎</v>
          </cell>
          <cell r="F1093">
            <v>331</v>
          </cell>
          <cell r="G1093" t="str">
            <v>S</v>
          </cell>
          <cell r="H1093" t="str">
            <v>N</v>
          </cell>
          <cell r="I1093" t="str">
            <v>CERA</v>
          </cell>
          <cell r="K1093" t="str">
            <v>MDARX</v>
          </cell>
          <cell r="L1093">
            <v>38</v>
          </cell>
          <cell r="M1093" t="str">
            <v>セラピール　　　　　　　　　　　ＭＤＡ（ＲＸ）</v>
          </cell>
          <cell r="N1093">
            <v>415</v>
          </cell>
          <cell r="O1093">
            <v>415</v>
          </cell>
          <cell r="P1093">
            <v>1950</v>
          </cell>
          <cell r="Q1093">
            <v>2</v>
          </cell>
        </row>
        <row r="1094">
          <cell r="A1094">
            <v>3723588</v>
          </cell>
          <cell r="B1094" t="str">
            <v>福島コーティング</v>
          </cell>
          <cell r="C1094" t="str">
            <v>工材１部大阪電材課</v>
          </cell>
          <cell r="D1094" t="str">
            <v>ダミー担当者</v>
          </cell>
          <cell r="E1094" t="str">
            <v>住友べークライト尼崎</v>
          </cell>
          <cell r="F1094">
            <v>331</v>
          </cell>
          <cell r="G1094" t="str">
            <v>S</v>
          </cell>
          <cell r="H1094" t="str">
            <v>N</v>
          </cell>
          <cell r="I1094" t="str">
            <v>CERA</v>
          </cell>
          <cell r="K1094" t="str">
            <v>MDARX</v>
          </cell>
          <cell r="L1094">
            <v>38</v>
          </cell>
          <cell r="M1094" t="str">
            <v>セラピール　　　　　　　　　　　ＭＤＡ（ＲＸ）</v>
          </cell>
          <cell r="N1094">
            <v>415</v>
          </cell>
          <cell r="O1094">
            <v>415</v>
          </cell>
          <cell r="P1094">
            <v>1950</v>
          </cell>
          <cell r="Q1094">
            <v>2</v>
          </cell>
        </row>
        <row r="1095">
          <cell r="A1095">
            <v>3723589</v>
          </cell>
          <cell r="B1095" t="str">
            <v>福島コーティング</v>
          </cell>
          <cell r="C1095" t="str">
            <v>工材１部大阪電材課</v>
          </cell>
          <cell r="D1095" t="str">
            <v>ダミー担当者</v>
          </cell>
          <cell r="E1095" t="str">
            <v>日東電工㈱豊橋工場</v>
          </cell>
          <cell r="F1095">
            <v>331</v>
          </cell>
          <cell r="G1095" t="str">
            <v>S</v>
          </cell>
          <cell r="H1095" t="str">
            <v>N</v>
          </cell>
          <cell r="I1095" t="str">
            <v>CERA</v>
          </cell>
          <cell r="K1095" t="str">
            <v>MD(A)R</v>
          </cell>
          <cell r="L1095">
            <v>38</v>
          </cell>
          <cell r="M1095" t="str">
            <v>セラピール　ＭＤ（Ａ）（Ｒ）</v>
          </cell>
          <cell r="N1095">
            <v>1255</v>
          </cell>
          <cell r="O1095">
            <v>1250</v>
          </cell>
          <cell r="P1095">
            <v>6000</v>
          </cell>
          <cell r="Q1095">
            <v>2</v>
          </cell>
        </row>
        <row r="1096">
          <cell r="A1096">
            <v>3723590</v>
          </cell>
          <cell r="B1096" t="str">
            <v>福島コーティング</v>
          </cell>
          <cell r="C1096" t="str">
            <v>大阪光学機能材課</v>
          </cell>
          <cell r="D1096" t="str">
            <v>ダミー担当者</v>
          </cell>
          <cell r="E1096" t="str">
            <v>日東電工㈱尾道事業所</v>
          </cell>
          <cell r="F1096">
            <v>3321</v>
          </cell>
          <cell r="G1096" t="str">
            <v>S</v>
          </cell>
          <cell r="H1096" t="str">
            <v>N</v>
          </cell>
          <cell r="I1096" t="str">
            <v>CERA</v>
          </cell>
          <cell r="K1096" t="str">
            <v>MDACPFL</v>
          </cell>
          <cell r="L1096">
            <v>38</v>
          </cell>
          <cell r="M1096" t="str">
            <v>Ｋ　セラピールＭＤＡ（ＣＰＲＦ）Ｌ</v>
          </cell>
          <cell r="N1096">
            <v>1336</v>
          </cell>
          <cell r="O1096">
            <v>1325</v>
          </cell>
          <cell r="P1096">
            <v>12000</v>
          </cell>
          <cell r="Q1096">
            <v>2</v>
          </cell>
        </row>
        <row r="1097">
          <cell r="A1097">
            <v>3723591</v>
          </cell>
          <cell r="B1097" t="str">
            <v>福島コーティング</v>
          </cell>
          <cell r="C1097" t="str">
            <v>大阪光学機能材課</v>
          </cell>
          <cell r="D1097" t="str">
            <v>ダミー担当者</v>
          </cell>
          <cell r="E1097" t="str">
            <v>日東電工㈱尾道事業所</v>
          </cell>
          <cell r="F1097">
            <v>3321</v>
          </cell>
          <cell r="G1097" t="str">
            <v>S</v>
          </cell>
          <cell r="H1097" t="str">
            <v>N</v>
          </cell>
          <cell r="I1097" t="str">
            <v>CERA</v>
          </cell>
          <cell r="K1097" t="str">
            <v>MDAPFL</v>
          </cell>
          <cell r="L1097">
            <v>38</v>
          </cell>
          <cell r="M1097" t="str">
            <v>Ｋ　セラピールＭＤＡ（ＰＲＦ）Ｌ</v>
          </cell>
          <cell r="N1097">
            <v>1336</v>
          </cell>
          <cell r="O1097">
            <v>1325</v>
          </cell>
          <cell r="P1097">
            <v>12000</v>
          </cell>
          <cell r="Q1097">
            <v>2</v>
          </cell>
        </row>
        <row r="1098">
          <cell r="A1098">
            <v>3723592</v>
          </cell>
          <cell r="B1098" t="str">
            <v>福島コーティング</v>
          </cell>
          <cell r="C1098" t="str">
            <v>大阪光学機能材課</v>
          </cell>
          <cell r="D1098" t="str">
            <v>ダミー担当者</v>
          </cell>
          <cell r="E1098" t="str">
            <v>日東電工㈱尾道事業所</v>
          </cell>
          <cell r="F1098">
            <v>3321</v>
          </cell>
          <cell r="G1098" t="str">
            <v>S</v>
          </cell>
          <cell r="H1098" t="str">
            <v>N</v>
          </cell>
          <cell r="I1098" t="str">
            <v>CERA</v>
          </cell>
          <cell r="K1098" t="str">
            <v>MDAPFL</v>
          </cell>
          <cell r="L1098">
            <v>38</v>
          </cell>
          <cell r="M1098" t="str">
            <v>Ｋ　セラピールＭＤＡ（ＰＲＦ）Ｌ</v>
          </cell>
          <cell r="N1098">
            <v>1336</v>
          </cell>
          <cell r="O1098">
            <v>1325</v>
          </cell>
          <cell r="P1098">
            <v>12000</v>
          </cell>
          <cell r="Q1098">
            <v>2</v>
          </cell>
        </row>
        <row r="1099">
          <cell r="A1099">
            <v>3723593</v>
          </cell>
          <cell r="B1099" t="str">
            <v>福島コーティング</v>
          </cell>
          <cell r="C1099" t="str">
            <v>工材１部大阪電材課</v>
          </cell>
          <cell r="D1099" t="str">
            <v>ダミー担当者</v>
          </cell>
          <cell r="E1099" t="str">
            <v>パナソニック　ＩＳ社</v>
          </cell>
          <cell r="F1099">
            <v>3</v>
          </cell>
          <cell r="G1099" t="str">
            <v>S</v>
          </cell>
          <cell r="H1099" t="str">
            <v>N</v>
          </cell>
          <cell r="I1099" t="str">
            <v>CERA</v>
          </cell>
          <cell r="K1099" t="str">
            <v>MFACR</v>
          </cell>
          <cell r="L1099">
            <v>31</v>
          </cell>
          <cell r="M1099" t="str">
            <v>セラピ－ル　ＭＦＡ（ＣＲ）</v>
          </cell>
          <cell r="N1099">
            <v>440</v>
          </cell>
          <cell r="O1099">
            <v>440</v>
          </cell>
          <cell r="P1099">
            <v>6500</v>
          </cell>
          <cell r="Q1099">
            <v>1</v>
          </cell>
        </row>
        <row r="1100">
          <cell r="A1100">
            <v>3723594</v>
          </cell>
          <cell r="B1100" t="str">
            <v>福島コーティング</v>
          </cell>
          <cell r="C1100" t="str">
            <v>工材１部大阪電材課</v>
          </cell>
          <cell r="D1100" t="str">
            <v>ダミー担当者</v>
          </cell>
          <cell r="E1100" t="str">
            <v>下田工業㈱</v>
          </cell>
          <cell r="F1100">
            <v>3</v>
          </cell>
          <cell r="G1100" t="str">
            <v>S</v>
          </cell>
          <cell r="H1100" t="str">
            <v>N</v>
          </cell>
          <cell r="I1100" t="str">
            <v>CERA</v>
          </cell>
          <cell r="K1100" t="str">
            <v>MFAS</v>
          </cell>
          <cell r="L1100">
            <v>125</v>
          </cell>
          <cell r="M1100" t="str">
            <v>セラピール　　　　　　　　　　　ＭＦＡ（Ｓ）</v>
          </cell>
          <cell r="N1100">
            <v>150</v>
          </cell>
          <cell r="O1100">
            <v>150</v>
          </cell>
          <cell r="P1100">
            <v>200</v>
          </cell>
          <cell r="Q1100">
            <v>1</v>
          </cell>
        </row>
        <row r="1101">
          <cell r="A1101">
            <v>3723595</v>
          </cell>
          <cell r="B1101" t="str">
            <v>福島コーティング</v>
          </cell>
          <cell r="C1101" t="str">
            <v>工材１部大阪電材課</v>
          </cell>
          <cell r="D1101" t="str">
            <v>ダミー担当者</v>
          </cell>
          <cell r="E1101" t="str">
            <v>下田工業㈱</v>
          </cell>
          <cell r="F1101">
            <v>3</v>
          </cell>
          <cell r="G1101" t="str">
            <v>S</v>
          </cell>
          <cell r="H1101" t="str">
            <v>N</v>
          </cell>
          <cell r="I1101" t="str">
            <v>CERA</v>
          </cell>
          <cell r="K1101" t="str">
            <v>MFAS</v>
          </cell>
          <cell r="L1101">
            <v>188</v>
          </cell>
          <cell r="M1101" t="str">
            <v>セラピール　　　　　　　　　　　ＭＦＡ（Ｓ）</v>
          </cell>
          <cell r="N1101">
            <v>1130</v>
          </cell>
          <cell r="O1101">
            <v>1130</v>
          </cell>
          <cell r="P1101">
            <v>1620</v>
          </cell>
          <cell r="Q1101">
            <v>2</v>
          </cell>
        </row>
        <row r="1102">
          <cell r="A1102">
            <v>3723596</v>
          </cell>
          <cell r="B1102" t="str">
            <v>福島コーティング</v>
          </cell>
          <cell r="C1102" t="str">
            <v>工材１部大阪電材課</v>
          </cell>
          <cell r="D1102" t="str">
            <v>ダミー担当者</v>
          </cell>
          <cell r="E1102" t="str">
            <v>下田工業㈱</v>
          </cell>
          <cell r="F1102">
            <v>3</v>
          </cell>
          <cell r="G1102" t="str">
            <v>S</v>
          </cell>
          <cell r="H1102" t="str">
            <v>N</v>
          </cell>
          <cell r="I1102" t="str">
            <v>CERA</v>
          </cell>
          <cell r="K1102" t="str">
            <v>MFAS</v>
          </cell>
          <cell r="L1102">
            <v>188</v>
          </cell>
          <cell r="M1102" t="str">
            <v>セラピール　　　　　　　　　　　ＭＦＡ（Ｓ）</v>
          </cell>
          <cell r="N1102">
            <v>1130</v>
          </cell>
          <cell r="O1102">
            <v>1130</v>
          </cell>
          <cell r="P1102">
            <v>1620</v>
          </cell>
          <cell r="Q1102">
            <v>2</v>
          </cell>
        </row>
        <row r="1103">
          <cell r="A1103">
            <v>3723597</v>
          </cell>
          <cell r="B1103" t="str">
            <v>福島コーティング</v>
          </cell>
          <cell r="C1103" t="str">
            <v>工材１部大阪電材課</v>
          </cell>
          <cell r="D1103" t="str">
            <v>ダミー担当者</v>
          </cell>
          <cell r="E1103" t="str">
            <v>下田工業㈱</v>
          </cell>
          <cell r="F1103">
            <v>3</v>
          </cell>
          <cell r="G1103" t="str">
            <v>S</v>
          </cell>
          <cell r="H1103" t="str">
            <v>N</v>
          </cell>
          <cell r="I1103" t="str">
            <v>CERA</v>
          </cell>
          <cell r="K1103" t="str">
            <v>MFAS</v>
          </cell>
          <cell r="L1103">
            <v>100</v>
          </cell>
          <cell r="M1103" t="str">
            <v>セラピール　　　　　　　　　　　ＭＦＡ（Ｓ）</v>
          </cell>
          <cell r="N1103">
            <v>330</v>
          </cell>
          <cell r="O1103">
            <v>330</v>
          </cell>
          <cell r="P1103">
            <v>550</v>
          </cell>
          <cell r="Q1103">
            <v>1</v>
          </cell>
        </row>
        <row r="1104">
          <cell r="A1104">
            <v>3723598</v>
          </cell>
          <cell r="B1104" t="str">
            <v>福島コーティング</v>
          </cell>
          <cell r="C1104" t="str">
            <v>プロセス材２課</v>
          </cell>
          <cell r="D1104" t="str">
            <v>ダミー担当者</v>
          </cell>
          <cell r="E1104" t="str">
            <v>京セラ鹿児島川内工場</v>
          </cell>
          <cell r="F1104">
            <v>331</v>
          </cell>
          <cell r="G1104" t="str">
            <v>S</v>
          </cell>
          <cell r="H1104" t="str">
            <v>N</v>
          </cell>
          <cell r="I1104" t="str">
            <v>CERA</v>
          </cell>
          <cell r="K1104" t="str">
            <v>MFAS</v>
          </cell>
          <cell r="L1104">
            <v>100</v>
          </cell>
          <cell r="M1104" t="str">
            <v>セラピール　　　　　　　　　　　ＭＦＡ（Ｓ）</v>
          </cell>
          <cell r="N1104">
            <v>450</v>
          </cell>
          <cell r="O1104">
            <v>450</v>
          </cell>
          <cell r="P1104">
            <v>800</v>
          </cell>
          <cell r="Q1104">
            <v>2</v>
          </cell>
        </row>
        <row r="1105">
          <cell r="A1105">
            <v>3723599</v>
          </cell>
          <cell r="B1105" t="str">
            <v>福島コーティング</v>
          </cell>
          <cell r="C1105" t="str">
            <v>工材１部電材課</v>
          </cell>
          <cell r="D1105" t="str">
            <v>ダミー担当者</v>
          </cell>
          <cell r="E1105" t="str">
            <v>㈱巴川製紙所</v>
          </cell>
          <cell r="F1105">
            <v>331</v>
          </cell>
          <cell r="G1105" t="str">
            <v>S</v>
          </cell>
          <cell r="H1105" t="str">
            <v>N</v>
          </cell>
          <cell r="I1105" t="str">
            <v>CERA</v>
          </cell>
          <cell r="K1105" t="str">
            <v>BX8ARXT</v>
          </cell>
          <cell r="L1105">
            <v>38</v>
          </cell>
          <cell r="M1105" t="str">
            <v>セラピール　ＢＸ８ＡＲＸ</v>
          </cell>
          <cell r="N1105">
            <v>1330</v>
          </cell>
          <cell r="O1105">
            <v>1330</v>
          </cell>
          <cell r="P1105">
            <v>6000</v>
          </cell>
          <cell r="Q1105">
            <v>2</v>
          </cell>
        </row>
        <row r="1106">
          <cell r="A1106">
            <v>3723600</v>
          </cell>
          <cell r="B1106" t="str">
            <v>福島コーティング</v>
          </cell>
          <cell r="C1106" t="str">
            <v>工材１部電材課</v>
          </cell>
          <cell r="D1106" t="str">
            <v>ダミー担当者</v>
          </cell>
          <cell r="E1106" t="str">
            <v>㈱巴川製紙所</v>
          </cell>
          <cell r="F1106">
            <v>3</v>
          </cell>
          <cell r="G1106" t="str">
            <v>S</v>
          </cell>
          <cell r="H1106" t="str">
            <v>N</v>
          </cell>
          <cell r="I1106" t="str">
            <v>CERA</v>
          </cell>
          <cell r="K1106" t="str">
            <v>BX8AX</v>
          </cell>
          <cell r="L1106">
            <v>75</v>
          </cell>
          <cell r="M1106" t="str">
            <v>セラピール　　　　　　　　　　　ＢＸ８Ａ（Ｘ）</v>
          </cell>
          <cell r="N1106">
            <v>1330</v>
          </cell>
          <cell r="O1106">
            <v>1330</v>
          </cell>
          <cell r="P1106">
            <v>4100</v>
          </cell>
          <cell r="Q1106">
            <v>2</v>
          </cell>
        </row>
        <row r="1107">
          <cell r="A1107">
            <v>3723601</v>
          </cell>
          <cell r="B1107" t="str">
            <v>福島コーティング</v>
          </cell>
          <cell r="C1107" t="str">
            <v>工材１部電材課</v>
          </cell>
          <cell r="D1107" t="str">
            <v>ダミー担当者</v>
          </cell>
          <cell r="F1107">
            <v>3</v>
          </cell>
          <cell r="G1107" t="str">
            <v>S</v>
          </cell>
          <cell r="H1107" t="str">
            <v>N</v>
          </cell>
          <cell r="I1107" t="str">
            <v>CERA</v>
          </cell>
          <cell r="K1107" t="str">
            <v>BX8A14</v>
          </cell>
          <cell r="L1107">
            <v>75</v>
          </cell>
          <cell r="M1107" t="str">
            <v>セラピール　ＢＸ８Ａ（１４）</v>
          </cell>
          <cell r="N1107">
            <v>1300</v>
          </cell>
          <cell r="O1107">
            <v>1300</v>
          </cell>
          <cell r="P1107">
            <v>4300</v>
          </cell>
          <cell r="Q1107">
            <v>2</v>
          </cell>
        </row>
        <row r="1108">
          <cell r="A1108">
            <v>3723602</v>
          </cell>
          <cell r="B1108" t="str">
            <v>福島コーティング</v>
          </cell>
          <cell r="C1108" t="str">
            <v>プロセス材２課</v>
          </cell>
          <cell r="D1108" t="str">
            <v>ダミー担当者</v>
          </cell>
          <cell r="E1108" t="str">
            <v>日榮新化㈱</v>
          </cell>
          <cell r="F1108">
            <v>3</v>
          </cell>
          <cell r="G1108" t="str">
            <v>S</v>
          </cell>
          <cell r="H1108" t="str">
            <v>Y</v>
          </cell>
          <cell r="I1108" t="str">
            <v>CERA</v>
          </cell>
          <cell r="K1108" t="str">
            <v>BX8AS</v>
          </cell>
          <cell r="L1108">
            <v>75</v>
          </cell>
          <cell r="M1108" t="str">
            <v>セラピール　ＢＸ８Ａ（Ｓ）</v>
          </cell>
          <cell r="N1108">
            <v>1040</v>
          </cell>
          <cell r="O1108">
            <v>1040</v>
          </cell>
          <cell r="P1108">
            <v>4000</v>
          </cell>
          <cell r="Q1108">
            <v>1</v>
          </cell>
        </row>
        <row r="1109">
          <cell r="A1109">
            <v>3723603</v>
          </cell>
          <cell r="B1109" t="str">
            <v>福島コーティング</v>
          </cell>
          <cell r="C1109" t="str">
            <v>プロセス材２課</v>
          </cell>
          <cell r="D1109" t="str">
            <v>ダミー担当者</v>
          </cell>
          <cell r="E1109" t="str">
            <v>日榮新化㈱</v>
          </cell>
          <cell r="F1109">
            <v>3</v>
          </cell>
          <cell r="G1109" t="str">
            <v>S</v>
          </cell>
          <cell r="H1109" t="str">
            <v>Y</v>
          </cell>
          <cell r="I1109" t="str">
            <v>CERA</v>
          </cell>
          <cell r="K1109" t="str">
            <v>BX9AS</v>
          </cell>
          <cell r="L1109">
            <v>75</v>
          </cell>
          <cell r="M1109" t="str">
            <v>セラピール　　　　　　　　　　　ＢＸ９Ａ（Ｓ）</v>
          </cell>
          <cell r="N1109">
            <v>1040</v>
          </cell>
          <cell r="O1109">
            <v>1040</v>
          </cell>
          <cell r="P1109">
            <v>4000</v>
          </cell>
          <cell r="Q1109">
            <v>1</v>
          </cell>
        </row>
        <row r="1110">
          <cell r="A1110">
            <v>3723604</v>
          </cell>
          <cell r="B1110" t="str">
            <v>福島コーティング</v>
          </cell>
          <cell r="C1110" t="str">
            <v>プロセス材２課</v>
          </cell>
          <cell r="D1110" t="str">
            <v>ダミー担当者</v>
          </cell>
          <cell r="E1110" t="str">
            <v>日榮新化㈱</v>
          </cell>
          <cell r="F1110">
            <v>331</v>
          </cell>
          <cell r="G1110" t="str">
            <v>S</v>
          </cell>
          <cell r="H1110" t="str">
            <v>N</v>
          </cell>
          <cell r="I1110" t="str">
            <v>CERA</v>
          </cell>
          <cell r="K1110" t="str">
            <v>WZS</v>
          </cell>
          <cell r="L1110">
            <v>25</v>
          </cell>
          <cell r="M1110" t="str">
            <v>セラピールＷＺ（Ｓ）</v>
          </cell>
          <cell r="N1110">
            <v>1425</v>
          </cell>
          <cell r="O1110">
            <v>1420</v>
          </cell>
          <cell r="P1110">
            <v>12400</v>
          </cell>
          <cell r="Q1110">
            <v>2</v>
          </cell>
        </row>
        <row r="1111">
          <cell r="A1111">
            <v>3723605</v>
          </cell>
          <cell r="B1111" t="str">
            <v>福島コーティング</v>
          </cell>
          <cell r="C1111" t="str">
            <v>工材１部電材課</v>
          </cell>
          <cell r="D1111" t="str">
            <v>ダミー担当者</v>
          </cell>
          <cell r="E1111" t="str">
            <v>藤産業㈱</v>
          </cell>
          <cell r="F1111">
            <v>331</v>
          </cell>
          <cell r="G1111" t="str">
            <v>S</v>
          </cell>
          <cell r="H1111" t="str">
            <v>N</v>
          </cell>
          <cell r="I1111" t="str">
            <v>CERA</v>
          </cell>
          <cell r="K1111" t="str">
            <v>WZ34</v>
          </cell>
          <cell r="L1111">
            <v>25</v>
          </cell>
          <cell r="M1111" t="str">
            <v>セラピール　ＷＺ（３４）</v>
          </cell>
          <cell r="N1111">
            <v>1410</v>
          </cell>
          <cell r="O1111">
            <v>1410</v>
          </cell>
          <cell r="P1111">
            <v>6000</v>
          </cell>
          <cell r="Q1111">
            <v>2</v>
          </cell>
        </row>
        <row r="1112">
          <cell r="A1112">
            <v>3723606</v>
          </cell>
          <cell r="B1112" t="str">
            <v>福島コーティング</v>
          </cell>
          <cell r="C1112" t="str">
            <v>工材１部電材課</v>
          </cell>
          <cell r="D1112" t="str">
            <v>ダミー担当者</v>
          </cell>
          <cell r="E1112" t="str">
            <v>藤産業㈱</v>
          </cell>
          <cell r="F1112">
            <v>331</v>
          </cell>
          <cell r="G1112" t="str">
            <v>S</v>
          </cell>
          <cell r="H1112" t="str">
            <v>N</v>
          </cell>
          <cell r="I1112" t="str">
            <v>CERA</v>
          </cell>
          <cell r="K1112" t="str">
            <v>WZ34</v>
          </cell>
          <cell r="L1112">
            <v>25</v>
          </cell>
          <cell r="M1112" t="str">
            <v>セラピール　ＷＺ（３４）</v>
          </cell>
          <cell r="N1112">
            <v>1410</v>
          </cell>
          <cell r="O1112">
            <v>1410</v>
          </cell>
          <cell r="P1112">
            <v>6000</v>
          </cell>
          <cell r="Q1112">
            <v>2</v>
          </cell>
        </row>
        <row r="1113">
          <cell r="A1113">
            <v>3723607</v>
          </cell>
          <cell r="B1113" t="str">
            <v>福島コーティング</v>
          </cell>
          <cell r="C1113" t="str">
            <v>プロセス材１課</v>
          </cell>
          <cell r="D1113" t="str">
            <v>ダミー担当者</v>
          </cell>
          <cell r="E1113" t="str">
            <v>リンテック㈱</v>
          </cell>
          <cell r="F1113">
            <v>3</v>
          </cell>
          <cell r="G1113" t="str">
            <v>S</v>
          </cell>
          <cell r="H1113" t="str">
            <v>N</v>
          </cell>
          <cell r="I1113" t="str">
            <v>CERA</v>
          </cell>
          <cell r="K1113" t="str">
            <v>WZS</v>
          </cell>
          <cell r="L1113">
            <v>38</v>
          </cell>
          <cell r="M1113" t="str">
            <v>セラピール　　　　　　　　　　　ＷＺ（Ｓ）</v>
          </cell>
          <cell r="N1113">
            <v>1415</v>
          </cell>
          <cell r="O1113">
            <v>1410</v>
          </cell>
          <cell r="P1113">
            <v>8000</v>
          </cell>
          <cell r="Q1113">
            <v>2</v>
          </cell>
        </row>
        <row r="1114">
          <cell r="A1114">
            <v>3723608</v>
          </cell>
          <cell r="B1114" t="str">
            <v>福島コーティング</v>
          </cell>
          <cell r="C1114" t="str">
            <v>工材１部電材課</v>
          </cell>
          <cell r="D1114" t="str">
            <v>ダミー担当者</v>
          </cell>
          <cell r="E1114" t="str">
            <v>古河電気工業㈱</v>
          </cell>
          <cell r="F1114">
            <v>3</v>
          </cell>
          <cell r="G1114" t="str">
            <v>S</v>
          </cell>
          <cell r="H1114" t="str">
            <v>N</v>
          </cell>
          <cell r="I1114" t="str">
            <v>CERA</v>
          </cell>
          <cell r="K1114" t="str">
            <v>WZE</v>
          </cell>
          <cell r="L1114">
            <v>25</v>
          </cell>
          <cell r="M1114" t="str">
            <v>セラピール　　　　　　　　　　　ＷＺ（Ｅ）</v>
          </cell>
          <cell r="N1114">
            <v>1240</v>
          </cell>
          <cell r="O1114">
            <v>1240</v>
          </cell>
          <cell r="P1114">
            <v>6000</v>
          </cell>
          <cell r="Q1114">
            <v>2</v>
          </cell>
        </row>
        <row r="1115">
          <cell r="A1115">
            <v>3723609</v>
          </cell>
          <cell r="B1115" t="str">
            <v>福島コーティング</v>
          </cell>
          <cell r="C1115" t="str">
            <v>工材１部電材課</v>
          </cell>
          <cell r="D1115" t="str">
            <v>ダミー担当者</v>
          </cell>
          <cell r="E1115" t="str">
            <v>古河電気工業㈱</v>
          </cell>
          <cell r="F1115">
            <v>3</v>
          </cell>
          <cell r="G1115" t="str">
            <v>S</v>
          </cell>
          <cell r="H1115" t="str">
            <v>N</v>
          </cell>
          <cell r="I1115" t="str">
            <v>CERA</v>
          </cell>
          <cell r="K1115" t="str">
            <v>WZE</v>
          </cell>
          <cell r="L1115">
            <v>38</v>
          </cell>
          <cell r="M1115" t="str">
            <v>セラピール　　　　　　　　　　　ＷＺ（Ｅ）</v>
          </cell>
          <cell r="N1115">
            <v>1240</v>
          </cell>
          <cell r="O1115">
            <v>1240</v>
          </cell>
          <cell r="P1115">
            <v>6000</v>
          </cell>
          <cell r="Q1115">
            <v>2</v>
          </cell>
        </row>
        <row r="1116">
          <cell r="A1116">
            <v>3723610</v>
          </cell>
          <cell r="B1116" t="str">
            <v>福島コーティング</v>
          </cell>
          <cell r="C1116" t="str">
            <v>プロセス材２課</v>
          </cell>
          <cell r="D1116" t="str">
            <v>ダミー担当者</v>
          </cell>
          <cell r="E1116" t="str">
            <v>日榮新化㈱</v>
          </cell>
          <cell r="F1116">
            <v>330</v>
          </cell>
          <cell r="G1116" t="str">
            <v>S</v>
          </cell>
          <cell r="H1116" t="str">
            <v>N</v>
          </cell>
          <cell r="I1116" t="str">
            <v>CERA</v>
          </cell>
          <cell r="K1116" t="str">
            <v>WZS</v>
          </cell>
          <cell r="L1116">
            <v>25</v>
          </cell>
          <cell r="M1116" t="str">
            <v>セラピールＷＺ（Ｓ）</v>
          </cell>
          <cell r="N1116">
            <v>1155</v>
          </cell>
          <cell r="O1116">
            <v>1150</v>
          </cell>
          <cell r="P1116">
            <v>4200</v>
          </cell>
          <cell r="Q1116">
            <v>2</v>
          </cell>
        </row>
        <row r="1117">
          <cell r="A1117">
            <v>3723611</v>
          </cell>
          <cell r="B1117" t="str">
            <v>福島コーティング</v>
          </cell>
          <cell r="C1117" t="str">
            <v>工材３部工材１課</v>
          </cell>
          <cell r="D1117" t="str">
            <v>ダミー担当者</v>
          </cell>
          <cell r="E1117" t="str">
            <v>フジコピアン　岡山</v>
          </cell>
          <cell r="F1117">
            <v>3</v>
          </cell>
          <cell r="G1117" t="str">
            <v>S</v>
          </cell>
          <cell r="H1117" t="str">
            <v>N</v>
          </cell>
          <cell r="I1117" t="str">
            <v>CERA</v>
          </cell>
          <cell r="K1117" t="str">
            <v>WZU</v>
          </cell>
          <cell r="L1117">
            <v>25</v>
          </cell>
          <cell r="M1117" t="str">
            <v>セラピール　　　　　　　　　　　ＷＺ（Ｕ）</v>
          </cell>
          <cell r="N1117">
            <v>1155</v>
          </cell>
          <cell r="O1117">
            <v>1150</v>
          </cell>
          <cell r="P1117">
            <v>12400</v>
          </cell>
          <cell r="Q1117">
            <v>2</v>
          </cell>
        </row>
        <row r="1118">
          <cell r="A1118">
            <v>3723612</v>
          </cell>
          <cell r="B1118" t="str">
            <v>福島コーティング</v>
          </cell>
          <cell r="C1118" t="str">
            <v>工材１部電材課</v>
          </cell>
          <cell r="D1118" t="str">
            <v>ダミー担当者</v>
          </cell>
          <cell r="E1118" t="str">
            <v>東洋包材㈱</v>
          </cell>
          <cell r="F1118">
            <v>3</v>
          </cell>
          <cell r="G1118" t="str">
            <v>S</v>
          </cell>
          <cell r="H1118" t="str">
            <v>N</v>
          </cell>
          <cell r="I1118" t="str">
            <v>CERA</v>
          </cell>
          <cell r="K1118" t="str">
            <v>WZRX</v>
          </cell>
          <cell r="L1118">
            <v>38</v>
          </cell>
          <cell r="M1118" t="str">
            <v>セラピール　ＷＺ（ＲＸ）　　　　　　</v>
          </cell>
          <cell r="N1118">
            <v>1135</v>
          </cell>
          <cell r="O1118">
            <v>1130</v>
          </cell>
          <cell r="P1118">
            <v>6000</v>
          </cell>
          <cell r="Q1118">
            <v>2</v>
          </cell>
        </row>
        <row r="1119">
          <cell r="A1119">
            <v>3723613</v>
          </cell>
          <cell r="B1119" t="str">
            <v>福島コーティング</v>
          </cell>
          <cell r="C1119" t="str">
            <v>工材１部電材課</v>
          </cell>
          <cell r="D1119" t="str">
            <v>ダミー担当者</v>
          </cell>
          <cell r="E1119" t="str">
            <v>古河電気工業㈱</v>
          </cell>
          <cell r="F1119">
            <v>3</v>
          </cell>
          <cell r="G1119" t="str">
            <v>S</v>
          </cell>
          <cell r="H1119" t="str">
            <v>N</v>
          </cell>
          <cell r="I1119" t="str">
            <v>CERA</v>
          </cell>
          <cell r="K1119" t="str">
            <v>WZE</v>
          </cell>
          <cell r="L1119">
            <v>25</v>
          </cell>
          <cell r="M1119" t="str">
            <v>セラピール　　　　　　　　　　　ＷＺ（Ｅ）</v>
          </cell>
          <cell r="N1119">
            <v>1040</v>
          </cell>
          <cell r="O1119">
            <v>1040</v>
          </cell>
          <cell r="P1119">
            <v>6000</v>
          </cell>
          <cell r="Q1119">
            <v>2</v>
          </cell>
        </row>
        <row r="1120">
          <cell r="A1120">
            <v>3723614</v>
          </cell>
          <cell r="B1120" t="str">
            <v>福島コーティング</v>
          </cell>
          <cell r="C1120" t="str">
            <v>工材１部電材課</v>
          </cell>
          <cell r="D1120" t="str">
            <v>ダミー担当者</v>
          </cell>
          <cell r="E1120" t="str">
            <v>㈱巴川製紙所</v>
          </cell>
          <cell r="F1120">
            <v>331</v>
          </cell>
          <cell r="G1120" t="str">
            <v>S</v>
          </cell>
          <cell r="H1120" t="str">
            <v>N</v>
          </cell>
          <cell r="I1120" t="str">
            <v>CERA</v>
          </cell>
          <cell r="K1120" t="str">
            <v>BKERXT</v>
          </cell>
          <cell r="L1120">
            <v>38</v>
          </cell>
          <cell r="M1120" t="str">
            <v>セラピール　ＢＫＥ（ＲＸ）</v>
          </cell>
          <cell r="N1120">
            <v>1580</v>
          </cell>
          <cell r="O1120">
            <v>1580</v>
          </cell>
          <cell r="P1120">
            <v>6000</v>
          </cell>
          <cell r="Q1120">
            <v>2</v>
          </cell>
        </row>
        <row r="1121">
          <cell r="A1121">
            <v>3723615</v>
          </cell>
          <cell r="B1121" t="str">
            <v>福島コーティング</v>
          </cell>
          <cell r="C1121" t="str">
            <v>工材１部電材課</v>
          </cell>
          <cell r="D1121" t="str">
            <v>ダミー担当者</v>
          </cell>
          <cell r="E1121" t="str">
            <v>パナック㈱亀山工場</v>
          </cell>
          <cell r="F1121">
            <v>331</v>
          </cell>
          <cell r="G1121" t="str">
            <v>S</v>
          </cell>
          <cell r="H1121" t="str">
            <v>N</v>
          </cell>
          <cell r="I1121" t="str">
            <v>CERA</v>
          </cell>
          <cell r="K1121" t="str">
            <v>BKE09</v>
          </cell>
          <cell r="L1121">
            <v>38</v>
          </cell>
          <cell r="M1121" t="str">
            <v>セラピール　ＢＫＥ（０９）</v>
          </cell>
          <cell r="N1121">
            <v>1367</v>
          </cell>
          <cell r="O1121">
            <v>1360</v>
          </cell>
          <cell r="P1121">
            <v>6000</v>
          </cell>
          <cell r="Q1121">
            <v>2</v>
          </cell>
        </row>
        <row r="1122">
          <cell r="A1122">
            <v>3723616</v>
          </cell>
          <cell r="B1122" t="str">
            <v>福島コーティング</v>
          </cell>
          <cell r="C1122" t="str">
            <v>工材１部電材課</v>
          </cell>
          <cell r="D1122" t="str">
            <v>ダミー担当者</v>
          </cell>
          <cell r="E1122" t="str">
            <v>㈱巴川製紙所</v>
          </cell>
          <cell r="F1122">
            <v>331</v>
          </cell>
          <cell r="G1122" t="str">
            <v>S</v>
          </cell>
          <cell r="H1122" t="str">
            <v>N</v>
          </cell>
          <cell r="I1122" t="str">
            <v>CERA</v>
          </cell>
          <cell r="K1122" t="str">
            <v>BKERXT</v>
          </cell>
          <cell r="L1122">
            <v>25</v>
          </cell>
          <cell r="M1122" t="str">
            <v>セラピール　ＢＫＥ（ＲＸ）</v>
          </cell>
          <cell r="N1122">
            <v>1330</v>
          </cell>
          <cell r="O1122">
            <v>1330</v>
          </cell>
          <cell r="P1122">
            <v>6000</v>
          </cell>
          <cell r="Q1122">
            <v>2</v>
          </cell>
        </row>
        <row r="1123">
          <cell r="A1123">
            <v>3723617</v>
          </cell>
          <cell r="B1123" t="str">
            <v>福島コーティング</v>
          </cell>
          <cell r="C1123" t="str">
            <v>工材１部電材課</v>
          </cell>
          <cell r="D1123" t="str">
            <v>ダミー担当者</v>
          </cell>
          <cell r="E1123" t="str">
            <v>パナック㈱亀山工場</v>
          </cell>
          <cell r="F1123">
            <v>331</v>
          </cell>
          <cell r="G1123" t="str">
            <v>S</v>
          </cell>
          <cell r="H1123" t="str">
            <v>N</v>
          </cell>
          <cell r="I1123" t="str">
            <v>CERA</v>
          </cell>
          <cell r="K1123" t="str">
            <v>BKERXPT</v>
          </cell>
          <cell r="L1123">
            <v>38</v>
          </cell>
          <cell r="M1123" t="str">
            <v>セラピール　ＢＫＥ（ＲＸ）</v>
          </cell>
          <cell r="N1123">
            <v>1330</v>
          </cell>
          <cell r="O1123">
            <v>1330</v>
          </cell>
          <cell r="P1123">
            <v>6000</v>
          </cell>
          <cell r="Q1123">
            <v>2</v>
          </cell>
        </row>
        <row r="1124">
          <cell r="A1124">
            <v>3723618</v>
          </cell>
          <cell r="B1124" t="str">
            <v>福島コーティング</v>
          </cell>
          <cell r="C1124" t="str">
            <v>工材１部電材課</v>
          </cell>
          <cell r="D1124" t="str">
            <v>ダミー担当者</v>
          </cell>
          <cell r="E1124" t="str">
            <v>パナック㈱亀山工場</v>
          </cell>
          <cell r="F1124">
            <v>3</v>
          </cell>
          <cell r="G1124" t="str">
            <v>S</v>
          </cell>
          <cell r="H1124" t="str">
            <v>N</v>
          </cell>
          <cell r="I1124" t="str">
            <v>CERA</v>
          </cell>
          <cell r="K1124" t="str">
            <v>BKE09</v>
          </cell>
          <cell r="L1124">
            <v>38</v>
          </cell>
          <cell r="M1124" t="str">
            <v>セラピール　ＢＫＥ（０９）</v>
          </cell>
          <cell r="N1124">
            <v>1057</v>
          </cell>
          <cell r="O1124">
            <v>1050</v>
          </cell>
          <cell r="P1124">
            <v>8400</v>
          </cell>
          <cell r="Q1124">
            <v>2</v>
          </cell>
        </row>
        <row r="1125">
          <cell r="A1125">
            <v>3723619</v>
          </cell>
          <cell r="B1125" t="str">
            <v>福島コーティング</v>
          </cell>
          <cell r="C1125" t="str">
            <v>工材１部電材課</v>
          </cell>
          <cell r="D1125" t="str">
            <v>ダミー担当者</v>
          </cell>
          <cell r="E1125" t="str">
            <v>パナック㈱亀山工場</v>
          </cell>
          <cell r="F1125">
            <v>3</v>
          </cell>
          <cell r="G1125" t="str">
            <v>S</v>
          </cell>
          <cell r="H1125" t="str">
            <v>N</v>
          </cell>
          <cell r="I1125" t="str">
            <v>CERA</v>
          </cell>
          <cell r="K1125" t="str">
            <v>BKE09</v>
          </cell>
          <cell r="L1125">
            <v>38</v>
          </cell>
          <cell r="M1125" t="str">
            <v>セラピール　ＢＫＥ（０９）</v>
          </cell>
          <cell r="N1125">
            <v>1037</v>
          </cell>
          <cell r="O1125">
            <v>1030</v>
          </cell>
          <cell r="P1125">
            <v>8500</v>
          </cell>
          <cell r="Q1125">
            <v>2</v>
          </cell>
        </row>
        <row r="1126">
          <cell r="A1126">
            <v>3723620</v>
          </cell>
          <cell r="B1126" t="str">
            <v>情材福島原価</v>
          </cell>
          <cell r="C1126" t="str">
            <v>工材１部電材課</v>
          </cell>
          <cell r="D1126" t="str">
            <v>ダミー担当者</v>
          </cell>
          <cell r="E1126" t="str">
            <v>スリーエム輸出</v>
          </cell>
          <cell r="F1126">
            <v>3</v>
          </cell>
          <cell r="G1126" t="str">
            <v>T</v>
          </cell>
          <cell r="H1126" t="str">
            <v>Y</v>
          </cell>
          <cell r="I1126" t="str">
            <v>CERANS</v>
          </cell>
          <cell r="K1126" t="str">
            <v>27114MA</v>
          </cell>
          <cell r="L1126">
            <v>75</v>
          </cell>
          <cell r="M1126" t="str">
            <v>ＣＥＲＡＰＥＥＬ　ＰＪ２７１（１４）</v>
          </cell>
          <cell r="N1126">
            <v>685</v>
          </cell>
          <cell r="O1126">
            <v>685</v>
          </cell>
          <cell r="P1126">
            <v>2000</v>
          </cell>
          <cell r="Q1126">
            <v>2</v>
          </cell>
        </row>
        <row r="1127">
          <cell r="A1127">
            <v>3723622</v>
          </cell>
          <cell r="B1127" t="str">
            <v>福島コーティング</v>
          </cell>
          <cell r="C1127" t="str">
            <v>プロセス材２課</v>
          </cell>
          <cell r="D1127" t="str">
            <v>ダミー担当者</v>
          </cell>
          <cell r="E1127" t="str">
            <v>藤森工業㈱掛川事業所</v>
          </cell>
          <cell r="F1127">
            <v>3</v>
          </cell>
          <cell r="G1127" t="str">
            <v>S</v>
          </cell>
          <cell r="H1127" t="str">
            <v>N</v>
          </cell>
          <cell r="I1127" t="str">
            <v>CLB</v>
          </cell>
          <cell r="K1127" t="str">
            <v>PETTL</v>
          </cell>
          <cell r="L1127">
            <v>38</v>
          </cell>
          <cell r="M1127" t="str">
            <v>ＰＥＴ　ＴＬ</v>
          </cell>
          <cell r="N1127">
            <v>1320</v>
          </cell>
          <cell r="O1127">
            <v>1320</v>
          </cell>
          <cell r="P1127">
            <v>4200</v>
          </cell>
          <cell r="Q1127">
            <v>2</v>
          </cell>
        </row>
        <row r="1128">
          <cell r="A1128">
            <v>3723626</v>
          </cell>
          <cell r="B1128" t="str">
            <v>福島コーティング</v>
          </cell>
          <cell r="C1128" t="str">
            <v>工材３部工材２課</v>
          </cell>
          <cell r="D1128" t="str">
            <v>ダミー担当者</v>
          </cell>
          <cell r="E1128" t="str">
            <v>㈱レゾナック</v>
          </cell>
          <cell r="F1128">
            <v>3</v>
          </cell>
          <cell r="G1128" t="str">
            <v>S</v>
          </cell>
          <cell r="H1128" t="str">
            <v>N</v>
          </cell>
          <cell r="I1128" t="str">
            <v>CERANS</v>
          </cell>
          <cell r="K1128" t="str">
            <v>PJ27103</v>
          </cell>
          <cell r="L1128">
            <v>25</v>
          </cell>
          <cell r="M1128" t="str">
            <v>セラピール　ＰＪ２７１（０３）</v>
          </cell>
          <cell r="N1128">
            <v>1575</v>
          </cell>
          <cell r="O1128">
            <v>1575</v>
          </cell>
          <cell r="P1128">
            <v>12000</v>
          </cell>
          <cell r="Q1128">
            <v>2</v>
          </cell>
        </row>
        <row r="1129">
          <cell r="A1129">
            <v>3725629</v>
          </cell>
          <cell r="B1129" t="str">
            <v>機能材料ＫＮＺ福開発</v>
          </cell>
          <cell r="C1129" t="str">
            <v>工材１部大阪電材課</v>
          </cell>
          <cell r="D1129" t="str">
            <v>ダミー担当者</v>
          </cell>
          <cell r="E1129" t="str">
            <v>日東電工㈱豊橋工場</v>
          </cell>
          <cell r="F1129">
            <v>3</v>
          </cell>
          <cell r="G1129" t="str">
            <v>U</v>
          </cell>
          <cell r="H1129" t="str">
            <v>N</v>
          </cell>
          <cell r="I1129" t="str">
            <v>KNZ</v>
          </cell>
          <cell r="K1129" t="str">
            <v>MCRALCB</v>
          </cell>
          <cell r="L1129">
            <v>25</v>
          </cell>
          <cell r="M1129" t="str">
            <v>メタルミーＣＲアルミ面コートＢ</v>
          </cell>
          <cell r="N1129">
            <v>1050</v>
          </cell>
          <cell r="O1129">
            <v>1050</v>
          </cell>
          <cell r="P1129">
            <v>6000</v>
          </cell>
          <cell r="Q1129">
            <v>1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472"/>
  <sheetViews>
    <sheetView workbookViewId="0">
      <pane xSplit="15" ySplit="4" topLeftCell="P191" activePane="bottomRight" state="frozen"/>
      <selection pane="topRight" activeCell="P1" sqref="P1"/>
      <selection pane="bottomLeft" activeCell="A5" sqref="A5"/>
      <selection pane="bottomRight" activeCell="L147" sqref="L147"/>
    </sheetView>
  </sheetViews>
  <sheetFormatPr defaultColWidth="9" defaultRowHeight="12" x14ac:dyDescent="0.15"/>
  <cols>
    <col min="1" max="1" width="8" style="60" bestFit="1" customWidth="1"/>
    <col min="2" max="2" width="5.375" style="60" bestFit="1" customWidth="1"/>
    <col min="3" max="3" width="6.75" style="60" bestFit="1" customWidth="1"/>
    <col min="4" max="4" width="21" style="60" bestFit="1" customWidth="1"/>
    <col min="5" max="5" width="5.5" style="60" bestFit="1" customWidth="1"/>
    <col min="6" max="6" width="8.125" style="60" bestFit="1" customWidth="1"/>
    <col min="7" max="7" width="19" style="60" bestFit="1" customWidth="1"/>
    <col min="8" max="8" width="4.75" style="60" customWidth="1"/>
    <col min="9" max="9" width="4.75" style="60" bestFit="1" customWidth="1"/>
    <col min="10" max="10" width="7.5" style="60" bestFit="1" customWidth="1"/>
    <col min="11" max="11" width="8.75" style="60" bestFit="1" customWidth="1"/>
    <col min="12" max="12" width="41.25" style="60" bestFit="1" customWidth="1"/>
    <col min="13" max="14" width="41.25" style="60" hidden="1" customWidth="1"/>
    <col min="15" max="15" width="4.875" style="60" bestFit="1" customWidth="1"/>
    <col min="16" max="16" width="5" style="60" customWidth="1"/>
    <col min="17" max="17" width="8.375" style="60" bestFit="1" customWidth="1"/>
    <col min="18" max="18" width="5.875" style="60" bestFit="1" customWidth="1"/>
    <col min="19" max="19" width="7.5" style="60" bestFit="1" customWidth="1"/>
    <col min="20" max="20" width="6.375" style="60" bestFit="1" customWidth="1"/>
    <col min="21" max="21" width="6.5" style="60" bestFit="1" customWidth="1"/>
    <col min="22" max="22" width="6.75" style="60" bestFit="1" customWidth="1"/>
    <col min="23" max="23" width="4.75" style="60" bestFit="1" customWidth="1"/>
    <col min="24" max="24" width="4.75" style="60" customWidth="1"/>
    <col min="25" max="25" width="6.375" style="61" bestFit="1" customWidth="1"/>
    <col min="26" max="26" width="5.875" style="61" bestFit="1" customWidth="1"/>
    <col min="27" max="27" width="8.125" style="61" bestFit="1" customWidth="1"/>
    <col min="28" max="28" width="10" style="61" bestFit="1" customWidth="1"/>
    <col min="29" max="29" width="6.5" style="61" bestFit="1" customWidth="1"/>
    <col min="30" max="30" width="9" style="61"/>
    <col min="31" max="31" width="6.5" style="61" bestFit="1" customWidth="1"/>
    <col min="32" max="32" width="6.5" style="61" customWidth="1"/>
    <col min="33" max="33" width="8" style="61" customWidth="1"/>
    <col min="34" max="37" width="7.625" style="61" customWidth="1"/>
    <col min="38" max="38" width="9" style="61"/>
    <col min="39" max="39" width="27.5" style="60" bestFit="1" customWidth="1"/>
    <col min="40" max="40" width="29.75" style="60" bestFit="1" customWidth="1"/>
    <col min="41" max="41" width="21" style="60" customWidth="1"/>
    <col min="42" max="16384" width="9" style="60"/>
  </cols>
  <sheetData>
    <row r="1" spans="1:41" ht="15" customHeight="1" x14ac:dyDescent="0.15"/>
    <row r="2" spans="1:41" ht="28.5" x14ac:dyDescent="0.1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</row>
    <row r="3" spans="1:41" ht="15" customHeight="1" thickBot="1" x14ac:dyDescent="0.2">
      <c r="M3" s="60">
        <v>1</v>
      </c>
      <c r="N3" s="60">
        <v>2</v>
      </c>
      <c r="O3" s="60">
        <v>3</v>
      </c>
      <c r="P3" s="60">
        <v>4</v>
      </c>
      <c r="Q3" s="60">
        <v>5</v>
      </c>
      <c r="R3" s="60">
        <v>6</v>
      </c>
      <c r="S3" s="60">
        <v>7</v>
      </c>
      <c r="T3" s="60">
        <v>8</v>
      </c>
      <c r="U3" s="60">
        <v>9</v>
      </c>
      <c r="V3" s="60">
        <v>10</v>
      </c>
      <c r="W3" s="60">
        <v>11</v>
      </c>
      <c r="X3" s="60">
        <v>12</v>
      </c>
      <c r="Y3" s="60">
        <v>13</v>
      </c>
      <c r="Z3" s="60">
        <v>14</v>
      </c>
      <c r="AA3" s="60">
        <v>15</v>
      </c>
      <c r="AB3" s="60">
        <v>16</v>
      </c>
      <c r="AC3" s="60">
        <v>17</v>
      </c>
      <c r="AD3" s="60">
        <v>18</v>
      </c>
      <c r="AE3" s="60">
        <v>19</v>
      </c>
      <c r="AF3" s="60">
        <v>20</v>
      </c>
      <c r="AG3" s="60">
        <v>21</v>
      </c>
      <c r="AH3" s="60">
        <v>22</v>
      </c>
      <c r="AI3" s="60">
        <v>23</v>
      </c>
      <c r="AJ3" s="60">
        <v>24</v>
      </c>
      <c r="AK3" s="60">
        <v>25</v>
      </c>
    </row>
    <row r="4" spans="1:41" s="71" customFormat="1" ht="33.75" customHeight="1" thickBot="1" x14ac:dyDescent="0.2">
      <c r="A4" s="63" t="s">
        <v>0</v>
      </c>
      <c r="B4" s="64" t="s">
        <v>1</v>
      </c>
      <c r="C4" s="64" t="s">
        <v>2</v>
      </c>
      <c r="D4" s="64" t="s">
        <v>625</v>
      </c>
      <c r="E4" s="64" t="s">
        <v>626</v>
      </c>
      <c r="F4" s="64" t="s">
        <v>3</v>
      </c>
      <c r="G4" s="65" t="s">
        <v>627</v>
      </c>
      <c r="H4" s="64" t="s">
        <v>4</v>
      </c>
      <c r="I4" s="64" t="s">
        <v>5</v>
      </c>
      <c r="J4" s="64" t="s">
        <v>628</v>
      </c>
      <c r="K4" s="64" t="s">
        <v>6</v>
      </c>
      <c r="L4" s="64" t="s">
        <v>629</v>
      </c>
      <c r="M4" s="66" t="s">
        <v>630</v>
      </c>
      <c r="N4" s="66" t="s">
        <v>602</v>
      </c>
      <c r="O4" s="64" t="s">
        <v>7</v>
      </c>
      <c r="P4" s="64" t="s">
        <v>603</v>
      </c>
      <c r="Q4" s="64" t="s">
        <v>604</v>
      </c>
      <c r="R4" s="64" t="s">
        <v>605</v>
      </c>
      <c r="S4" s="64" t="s">
        <v>606</v>
      </c>
      <c r="T4" s="64" t="s">
        <v>607</v>
      </c>
      <c r="U4" s="64" t="s">
        <v>608</v>
      </c>
      <c r="V4" s="64" t="s">
        <v>609</v>
      </c>
      <c r="W4" s="67" t="s">
        <v>610</v>
      </c>
      <c r="X4" s="68" t="s">
        <v>3165</v>
      </c>
      <c r="Y4" s="63" t="s">
        <v>611</v>
      </c>
      <c r="Z4" s="69" t="s">
        <v>612</v>
      </c>
      <c r="AA4" s="64" t="s">
        <v>8</v>
      </c>
      <c r="AB4" s="67" t="s">
        <v>9</v>
      </c>
      <c r="AC4" s="63" t="s">
        <v>613</v>
      </c>
      <c r="AD4" s="64" t="s">
        <v>614</v>
      </c>
      <c r="AE4" s="67" t="s">
        <v>615</v>
      </c>
      <c r="AF4" s="63" t="s">
        <v>616</v>
      </c>
      <c r="AG4" s="64" t="s">
        <v>617</v>
      </c>
      <c r="AH4" s="235" t="s">
        <v>617</v>
      </c>
      <c r="AI4" s="63" t="s">
        <v>616</v>
      </c>
      <c r="AJ4" s="236" t="s">
        <v>617</v>
      </c>
      <c r="AK4" s="235" t="s">
        <v>617</v>
      </c>
      <c r="AL4" s="70" t="s">
        <v>618</v>
      </c>
      <c r="AM4" s="67" t="s">
        <v>619</v>
      </c>
      <c r="AN4" s="67" t="s">
        <v>620</v>
      </c>
      <c r="AO4" s="71" t="s">
        <v>621</v>
      </c>
    </row>
    <row r="5" spans="1:41" ht="15" customHeight="1" x14ac:dyDescent="0.15">
      <c r="A5" s="319">
        <v>333</v>
      </c>
      <c r="B5" s="308">
        <v>271</v>
      </c>
      <c r="C5" s="308">
        <v>380604</v>
      </c>
      <c r="D5" s="308" t="s">
        <v>10</v>
      </c>
      <c r="E5" s="308" t="s">
        <v>11</v>
      </c>
      <c r="F5" s="308" t="s">
        <v>12</v>
      </c>
      <c r="G5" s="308" t="str">
        <f>CONCATENATE(P5,H5,I5,J5,K5)</f>
        <v>3SNCERABKE09</v>
      </c>
      <c r="H5" s="308" t="s">
        <v>1549</v>
      </c>
      <c r="I5" s="308" t="s">
        <v>1550</v>
      </c>
      <c r="J5" s="308" t="s">
        <v>1552</v>
      </c>
      <c r="K5" s="308" t="s">
        <v>1566</v>
      </c>
      <c r="L5" s="308" t="s">
        <v>2030</v>
      </c>
      <c r="M5" s="308" t="str">
        <f>G5&amp;O5&amp;R5</f>
        <v>3SNCERABKE09381037</v>
      </c>
      <c r="N5" s="308" t="str">
        <f>G5&amp;O5&amp;U5</f>
        <v>3SNCERABKE09381030</v>
      </c>
      <c r="O5" s="309">
        <v>38</v>
      </c>
      <c r="P5" s="308">
        <v>3</v>
      </c>
      <c r="Q5" s="308" t="s">
        <v>13</v>
      </c>
      <c r="R5" s="309">
        <v>1037</v>
      </c>
      <c r="S5" s="309">
        <v>8450</v>
      </c>
      <c r="T5" s="309">
        <v>1037</v>
      </c>
      <c r="U5" s="309">
        <v>1030</v>
      </c>
      <c r="V5" s="309">
        <v>8400</v>
      </c>
      <c r="W5" s="310">
        <v>2</v>
      </c>
      <c r="X5" s="311" t="s">
        <v>14</v>
      </c>
      <c r="Y5" s="312" t="s">
        <v>15</v>
      </c>
      <c r="Z5" s="313">
        <v>6</v>
      </c>
      <c r="AA5" s="138" t="s">
        <v>266</v>
      </c>
      <c r="AB5" s="314">
        <v>1450</v>
      </c>
      <c r="AC5" s="312"/>
      <c r="AD5" s="315"/>
      <c r="AE5" s="314"/>
      <c r="AF5" s="312"/>
      <c r="AG5" s="315"/>
      <c r="AH5" s="314"/>
      <c r="AI5" s="312"/>
      <c r="AJ5" s="315"/>
      <c r="AK5" s="314"/>
      <c r="AL5" s="316"/>
      <c r="AM5" s="317"/>
      <c r="AN5" s="317" t="s">
        <v>471</v>
      </c>
      <c r="AO5" s="318" t="str">
        <f>G5&amp;O5</f>
        <v>3SNCERABKE0938</v>
      </c>
    </row>
    <row r="6" spans="1:41" ht="15" customHeight="1" x14ac:dyDescent="0.15">
      <c r="A6" s="83">
        <v>333</v>
      </c>
      <c r="B6" s="92">
        <v>271</v>
      </c>
      <c r="C6" s="92">
        <v>380604</v>
      </c>
      <c r="D6" s="92" t="s">
        <v>10</v>
      </c>
      <c r="E6" s="92" t="s">
        <v>11</v>
      </c>
      <c r="F6" s="92" t="s">
        <v>12</v>
      </c>
      <c r="G6" s="92" t="str">
        <f>CONCATENATE(P6,H6,I6,J6,K6)</f>
        <v>3SYCERABKE09</v>
      </c>
      <c r="H6" s="92" t="s">
        <v>1549</v>
      </c>
      <c r="I6" s="92" t="s">
        <v>2031</v>
      </c>
      <c r="J6" s="92" t="s">
        <v>1552</v>
      </c>
      <c r="K6" s="92" t="s">
        <v>1566</v>
      </c>
      <c r="L6" s="92" t="s">
        <v>2030</v>
      </c>
      <c r="M6" s="92" t="str">
        <f>G6&amp;O6&amp;R6</f>
        <v>3SYCERABKE09381037</v>
      </c>
      <c r="N6" s="92" t="str">
        <f>G6&amp;O6&amp;U6</f>
        <v>3SYCERABKE09381030</v>
      </c>
      <c r="O6" s="93">
        <v>38</v>
      </c>
      <c r="P6" s="92">
        <v>3</v>
      </c>
      <c r="Q6" s="92" t="s">
        <v>13</v>
      </c>
      <c r="R6" s="93">
        <v>1037</v>
      </c>
      <c r="S6" s="93">
        <v>8550</v>
      </c>
      <c r="T6" s="93">
        <v>1037</v>
      </c>
      <c r="U6" s="93">
        <v>1030</v>
      </c>
      <c r="V6" s="93">
        <v>8500</v>
      </c>
      <c r="W6" s="84">
        <v>2</v>
      </c>
      <c r="X6" s="85" t="s">
        <v>14</v>
      </c>
      <c r="Y6" s="86" t="s">
        <v>15</v>
      </c>
      <c r="Z6" s="87">
        <v>6</v>
      </c>
      <c r="AA6" s="88" t="s">
        <v>16</v>
      </c>
      <c r="AB6" s="89">
        <v>1170</v>
      </c>
      <c r="AC6" s="86"/>
      <c r="AD6" s="88"/>
      <c r="AE6" s="89"/>
      <c r="AF6" s="86"/>
      <c r="AG6" s="88"/>
      <c r="AH6" s="89"/>
      <c r="AI6" s="86"/>
      <c r="AJ6" s="88"/>
      <c r="AK6" s="89"/>
      <c r="AL6" s="90"/>
      <c r="AM6" s="91"/>
      <c r="AN6" s="91" t="s">
        <v>471</v>
      </c>
      <c r="AO6" s="243" t="str">
        <f>G6&amp;O6</f>
        <v>3SYCERABKE0938</v>
      </c>
    </row>
    <row r="7" spans="1:41" ht="15" customHeight="1" x14ac:dyDescent="0.15">
      <c r="A7" s="83">
        <v>333</v>
      </c>
      <c r="B7" s="92">
        <v>271</v>
      </c>
      <c r="C7" s="92">
        <v>380604</v>
      </c>
      <c r="D7" s="92" t="s">
        <v>17</v>
      </c>
      <c r="E7" s="92" t="s">
        <v>18</v>
      </c>
      <c r="F7" s="92" t="s">
        <v>12</v>
      </c>
      <c r="G7" s="92" t="str">
        <f t="shared" ref="G7:G104" si="0">CONCATENATE(P7,H7,I7,J7,K7)</f>
        <v>3SNCERABKE09</v>
      </c>
      <c r="H7" s="92" t="s">
        <v>19</v>
      </c>
      <c r="I7" s="92" t="s">
        <v>20</v>
      </c>
      <c r="J7" s="92" t="s">
        <v>21</v>
      </c>
      <c r="K7" s="92" t="s">
        <v>22</v>
      </c>
      <c r="L7" s="92" t="s">
        <v>23</v>
      </c>
      <c r="M7" s="92" t="str">
        <f t="shared" ref="M7:M104" si="1">G7&amp;O7&amp;R7</f>
        <v>3SNCERABKE09381057</v>
      </c>
      <c r="N7" s="92" t="str">
        <f t="shared" ref="N7:N104" si="2">G7&amp;O7&amp;U7</f>
        <v>3SNCERABKE09381050</v>
      </c>
      <c r="O7" s="93">
        <v>38</v>
      </c>
      <c r="P7" s="92">
        <v>3</v>
      </c>
      <c r="Q7" s="92" t="s">
        <v>13</v>
      </c>
      <c r="R7" s="93">
        <v>1057</v>
      </c>
      <c r="S7" s="93">
        <v>8450</v>
      </c>
      <c r="T7" s="93">
        <v>1057</v>
      </c>
      <c r="U7" s="93">
        <v>1050</v>
      </c>
      <c r="V7" s="93">
        <v>8400</v>
      </c>
      <c r="W7" s="84">
        <v>2</v>
      </c>
      <c r="X7" s="85" t="s">
        <v>14</v>
      </c>
      <c r="Y7" s="86" t="s">
        <v>15</v>
      </c>
      <c r="Z7" s="87">
        <v>6</v>
      </c>
      <c r="AA7" s="88" t="s">
        <v>24</v>
      </c>
      <c r="AB7" s="89">
        <v>1450</v>
      </c>
      <c r="AC7" s="86"/>
      <c r="AD7" s="88"/>
      <c r="AE7" s="89"/>
      <c r="AF7" s="86"/>
      <c r="AG7" s="88"/>
      <c r="AH7" s="89"/>
      <c r="AI7" s="86"/>
      <c r="AJ7" s="88"/>
      <c r="AK7" s="89"/>
      <c r="AL7" s="90"/>
      <c r="AM7" s="91"/>
      <c r="AN7" s="91" t="s">
        <v>471</v>
      </c>
      <c r="AO7" s="243" t="str">
        <f t="shared" ref="AO7:AO92" si="3">G7&amp;O7</f>
        <v>3SNCERABKE0938</v>
      </c>
    </row>
    <row r="8" spans="1:41" ht="15" customHeight="1" x14ac:dyDescent="0.15">
      <c r="A8" s="83">
        <v>333</v>
      </c>
      <c r="B8" s="92">
        <v>271</v>
      </c>
      <c r="C8" s="92">
        <v>380604</v>
      </c>
      <c r="D8" s="92" t="s">
        <v>17</v>
      </c>
      <c r="E8" s="92" t="s">
        <v>18</v>
      </c>
      <c r="F8" s="92" t="s">
        <v>12</v>
      </c>
      <c r="G8" s="92" t="str">
        <f t="shared" si="0"/>
        <v>330SYCERABKE09</v>
      </c>
      <c r="H8" s="92" t="s">
        <v>19</v>
      </c>
      <c r="I8" s="92" t="s">
        <v>2031</v>
      </c>
      <c r="J8" s="92" t="s">
        <v>21</v>
      </c>
      <c r="K8" s="92" t="s">
        <v>22</v>
      </c>
      <c r="L8" s="92" t="s">
        <v>23</v>
      </c>
      <c r="M8" s="92" t="str">
        <f t="shared" si="1"/>
        <v>330SYCERABKE09381037</v>
      </c>
      <c r="N8" s="92" t="str">
        <f>G8&amp;O8&amp;U8</f>
        <v>330SYCERABKE09381030</v>
      </c>
      <c r="O8" s="93">
        <v>38</v>
      </c>
      <c r="P8" s="94">
        <v>330</v>
      </c>
      <c r="Q8" s="92" t="s">
        <v>13</v>
      </c>
      <c r="R8" s="93">
        <v>1037</v>
      </c>
      <c r="S8" s="93">
        <v>12800</v>
      </c>
      <c r="T8" s="93">
        <v>1037</v>
      </c>
      <c r="U8" s="93">
        <v>1030</v>
      </c>
      <c r="V8" s="93">
        <v>8400</v>
      </c>
      <c r="W8" s="84">
        <v>2</v>
      </c>
      <c r="X8" s="85" t="s">
        <v>14</v>
      </c>
      <c r="Y8" s="86" t="s">
        <v>25</v>
      </c>
      <c r="Z8" s="87">
        <v>6</v>
      </c>
      <c r="AA8" s="88" t="s">
        <v>16</v>
      </c>
      <c r="AB8" s="89">
        <v>1170</v>
      </c>
      <c r="AC8" s="86">
        <v>6</v>
      </c>
      <c r="AD8" s="88" t="s">
        <v>16</v>
      </c>
      <c r="AE8" s="89">
        <v>1170</v>
      </c>
      <c r="AF8" s="86"/>
      <c r="AG8" s="88"/>
      <c r="AH8" s="89"/>
      <c r="AI8" s="86"/>
      <c r="AJ8" s="88"/>
      <c r="AK8" s="89"/>
      <c r="AL8" s="90"/>
      <c r="AM8" s="91"/>
      <c r="AN8" s="91" t="s">
        <v>471</v>
      </c>
      <c r="AO8" s="243" t="str">
        <f t="shared" si="3"/>
        <v>330SYCERABKE0938</v>
      </c>
    </row>
    <row r="9" spans="1:41" ht="15" customHeight="1" x14ac:dyDescent="0.15">
      <c r="A9" s="83">
        <v>333</v>
      </c>
      <c r="B9" s="92">
        <v>271</v>
      </c>
      <c r="C9" s="92">
        <v>380604</v>
      </c>
      <c r="D9" s="92" t="s">
        <v>17</v>
      </c>
      <c r="E9" s="92" t="s">
        <v>18</v>
      </c>
      <c r="F9" s="92" t="s">
        <v>12</v>
      </c>
      <c r="G9" s="92" t="str">
        <f t="shared" si="0"/>
        <v>330SYCERABKE09</v>
      </c>
      <c r="H9" s="92" t="s">
        <v>19</v>
      </c>
      <c r="I9" s="92" t="s">
        <v>2031</v>
      </c>
      <c r="J9" s="92" t="s">
        <v>21</v>
      </c>
      <c r="K9" s="92" t="s">
        <v>22</v>
      </c>
      <c r="L9" s="92" t="s">
        <v>23</v>
      </c>
      <c r="M9" s="92" t="str">
        <f t="shared" si="1"/>
        <v>330SYCERABKE09381037</v>
      </c>
      <c r="N9" s="92" t="str">
        <f t="shared" si="2"/>
        <v>330SYCERABKE09381030</v>
      </c>
      <c r="O9" s="93">
        <v>38</v>
      </c>
      <c r="P9" s="92">
        <v>330</v>
      </c>
      <c r="Q9" s="92" t="s">
        <v>13</v>
      </c>
      <c r="R9" s="93">
        <v>1037</v>
      </c>
      <c r="S9" s="93">
        <v>12800</v>
      </c>
      <c r="T9" s="93">
        <v>1037</v>
      </c>
      <c r="U9" s="93">
        <v>1030</v>
      </c>
      <c r="V9" s="93">
        <v>4200</v>
      </c>
      <c r="W9" s="84">
        <v>2</v>
      </c>
      <c r="X9" s="85" t="s">
        <v>14</v>
      </c>
      <c r="Y9" s="86" t="s">
        <v>25</v>
      </c>
      <c r="Z9" s="87">
        <v>6</v>
      </c>
      <c r="AA9" s="88" t="s">
        <v>16</v>
      </c>
      <c r="AB9" s="89">
        <v>1170</v>
      </c>
      <c r="AC9" s="86">
        <v>6</v>
      </c>
      <c r="AD9" s="88" t="s">
        <v>16</v>
      </c>
      <c r="AE9" s="89">
        <v>1170</v>
      </c>
      <c r="AF9" s="86"/>
      <c r="AG9" s="88"/>
      <c r="AH9" s="89"/>
      <c r="AI9" s="86"/>
      <c r="AJ9" s="88"/>
      <c r="AK9" s="89"/>
      <c r="AL9" s="90"/>
      <c r="AM9" s="91"/>
      <c r="AN9" s="91" t="s">
        <v>471</v>
      </c>
      <c r="AO9" s="243" t="str">
        <f t="shared" si="3"/>
        <v>330SYCERABKE0938</v>
      </c>
    </row>
    <row r="10" spans="1:41" ht="15" customHeight="1" x14ac:dyDescent="0.15">
      <c r="A10" s="83">
        <v>333</v>
      </c>
      <c r="B10" s="92">
        <v>271</v>
      </c>
      <c r="C10" s="92">
        <v>380604</v>
      </c>
      <c r="D10" s="92" t="s">
        <v>17</v>
      </c>
      <c r="E10" s="92" t="s">
        <v>18</v>
      </c>
      <c r="F10" s="92" t="s">
        <v>26</v>
      </c>
      <c r="G10" s="92" t="str">
        <f t="shared" si="0"/>
        <v>331SNCERABKE09</v>
      </c>
      <c r="H10" s="92" t="s">
        <v>19</v>
      </c>
      <c r="I10" s="92" t="s">
        <v>20</v>
      </c>
      <c r="J10" s="92" t="s">
        <v>21</v>
      </c>
      <c r="K10" s="92" t="s">
        <v>22</v>
      </c>
      <c r="L10" s="92" t="s">
        <v>23</v>
      </c>
      <c r="M10" s="92" t="str">
        <f t="shared" si="1"/>
        <v>331SNCERABKE09381337</v>
      </c>
      <c r="N10" s="92" t="str">
        <f t="shared" si="2"/>
        <v>331SNCERABKE09381330</v>
      </c>
      <c r="O10" s="93">
        <v>38</v>
      </c>
      <c r="P10" s="92">
        <v>331</v>
      </c>
      <c r="Q10" s="92" t="s">
        <v>13</v>
      </c>
      <c r="R10" s="93">
        <v>1337</v>
      </c>
      <c r="S10" s="93">
        <v>12800</v>
      </c>
      <c r="T10" s="93">
        <v>1337</v>
      </c>
      <c r="U10" s="93">
        <v>1330</v>
      </c>
      <c r="V10" s="93">
        <v>6000</v>
      </c>
      <c r="W10" s="84">
        <v>2</v>
      </c>
      <c r="X10" s="85" t="s">
        <v>14</v>
      </c>
      <c r="Y10" s="86" t="s">
        <v>27</v>
      </c>
      <c r="Z10" s="87">
        <v>6</v>
      </c>
      <c r="AA10" s="88" t="s">
        <v>24</v>
      </c>
      <c r="AB10" s="89">
        <v>1450</v>
      </c>
      <c r="AC10" s="86"/>
      <c r="AD10" s="88"/>
      <c r="AE10" s="89"/>
      <c r="AF10" s="86"/>
      <c r="AG10" s="88"/>
      <c r="AH10" s="89"/>
      <c r="AI10" s="86"/>
      <c r="AJ10" s="88"/>
      <c r="AK10" s="89"/>
      <c r="AL10" s="90"/>
      <c r="AM10" s="91"/>
      <c r="AN10" s="91" t="s">
        <v>471</v>
      </c>
      <c r="AO10" s="243" t="str">
        <f t="shared" si="3"/>
        <v>331SNCERABKE0938</v>
      </c>
    </row>
    <row r="11" spans="1:41" ht="15" customHeight="1" x14ac:dyDescent="0.15">
      <c r="A11" s="83">
        <v>333</v>
      </c>
      <c r="B11" s="92">
        <v>271</v>
      </c>
      <c r="C11" s="92">
        <v>380604</v>
      </c>
      <c r="D11" s="92" t="s">
        <v>17</v>
      </c>
      <c r="E11" s="92" t="s">
        <v>18</v>
      </c>
      <c r="F11" s="92" t="s">
        <v>26</v>
      </c>
      <c r="G11" s="92" t="str">
        <f t="shared" si="0"/>
        <v>331SNCERABKE09</v>
      </c>
      <c r="H11" s="92" t="s">
        <v>19</v>
      </c>
      <c r="I11" s="92" t="s">
        <v>20</v>
      </c>
      <c r="J11" s="92" t="s">
        <v>21</v>
      </c>
      <c r="K11" s="92" t="s">
        <v>22</v>
      </c>
      <c r="L11" s="92" t="s">
        <v>23</v>
      </c>
      <c r="M11" s="92" t="str">
        <f t="shared" si="1"/>
        <v>331SNCERABKE09381335</v>
      </c>
      <c r="N11" s="92" t="str">
        <f t="shared" si="2"/>
        <v>331SNCERABKE09381330</v>
      </c>
      <c r="O11" s="93">
        <v>38</v>
      </c>
      <c r="P11" s="92">
        <v>331</v>
      </c>
      <c r="Q11" s="92" t="s">
        <v>13</v>
      </c>
      <c r="R11" s="93">
        <v>1335</v>
      </c>
      <c r="S11" s="93">
        <v>12200</v>
      </c>
      <c r="T11" s="93">
        <v>1335</v>
      </c>
      <c r="U11" s="93">
        <v>1330</v>
      </c>
      <c r="V11" s="93">
        <v>6000</v>
      </c>
      <c r="W11" s="84">
        <v>2</v>
      </c>
      <c r="X11" s="85" t="s">
        <v>14</v>
      </c>
      <c r="Y11" s="86" t="s">
        <v>27</v>
      </c>
      <c r="Z11" s="87">
        <v>6</v>
      </c>
      <c r="AA11" s="88" t="s">
        <v>24</v>
      </c>
      <c r="AB11" s="89">
        <v>1450</v>
      </c>
      <c r="AC11" s="86"/>
      <c r="AD11" s="88"/>
      <c r="AE11" s="89"/>
      <c r="AF11" s="86"/>
      <c r="AG11" s="88"/>
      <c r="AH11" s="89"/>
      <c r="AI11" s="86"/>
      <c r="AJ11" s="88"/>
      <c r="AK11" s="89"/>
      <c r="AL11" s="90"/>
      <c r="AM11" s="91"/>
      <c r="AN11" s="91" t="s">
        <v>471</v>
      </c>
      <c r="AO11" s="243" t="str">
        <f t="shared" si="3"/>
        <v>331SNCERABKE0938</v>
      </c>
    </row>
    <row r="12" spans="1:41" ht="15" customHeight="1" x14ac:dyDescent="0.15">
      <c r="A12" s="83">
        <v>333</v>
      </c>
      <c r="B12" s="92">
        <v>271</v>
      </c>
      <c r="C12" s="92">
        <v>380604</v>
      </c>
      <c r="D12" s="92" t="s">
        <v>17</v>
      </c>
      <c r="E12" s="92" t="s">
        <v>18</v>
      </c>
      <c r="F12" s="92" t="s">
        <v>12</v>
      </c>
      <c r="G12" s="92" t="str">
        <f t="shared" si="0"/>
        <v>331SNCERABKE09</v>
      </c>
      <c r="H12" s="92" t="s">
        <v>19</v>
      </c>
      <c r="I12" s="92" t="s">
        <v>20</v>
      </c>
      <c r="J12" s="92" t="s">
        <v>21</v>
      </c>
      <c r="K12" s="92" t="s">
        <v>22</v>
      </c>
      <c r="L12" s="92" t="s">
        <v>23</v>
      </c>
      <c r="M12" s="92" t="str">
        <f t="shared" si="1"/>
        <v>331SNCERABKE09381367</v>
      </c>
      <c r="N12" s="92" t="str">
        <f t="shared" si="2"/>
        <v>331SNCERABKE09381360</v>
      </c>
      <c r="O12" s="93">
        <v>38</v>
      </c>
      <c r="P12" s="92">
        <v>331</v>
      </c>
      <c r="Q12" s="92" t="s">
        <v>13</v>
      </c>
      <c r="R12" s="93">
        <v>1367</v>
      </c>
      <c r="S12" s="93">
        <v>12800</v>
      </c>
      <c r="T12" s="93">
        <v>1367</v>
      </c>
      <c r="U12" s="93">
        <v>1360</v>
      </c>
      <c r="V12" s="93">
        <v>6000</v>
      </c>
      <c r="W12" s="84">
        <v>2</v>
      </c>
      <c r="X12" s="85" t="s">
        <v>14</v>
      </c>
      <c r="Y12" s="86" t="s">
        <v>27</v>
      </c>
      <c r="Z12" s="87">
        <v>6</v>
      </c>
      <c r="AA12" s="88" t="s">
        <v>24</v>
      </c>
      <c r="AB12" s="89">
        <v>1600</v>
      </c>
      <c r="AC12" s="86"/>
      <c r="AD12" s="88"/>
      <c r="AE12" s="89"/>
      <c r="AF12" s="86"/>
      <c r="AG12" s="88"/>
      <c r="AH12" s="89"/>
      <c r="AI12" s="86"/>
      <c r="AJ12" s="88"/>
      <c r="AK12" s="89"/>
      <c r="AL12" s="90"/>
      <c r="AM12" s="91"/>
      <c r="AN12" s="91" t="s">
        <v>471</v>
      </c>
      <c r="AO12" s="243" t="str">
        <f t="shared" si="3"/>
        <v>331SNCERABKE0938</v>
      </c>
    </row>
    <row r="13" spans="1:41" ht="15" customHeight="1" x14ac:dyDescent="0.15">
      <c r="A13" s="83">
        <v>333</v>
      </c>
      <c r="B13" s="92">
        <v>271</v>
      </c>
      <c r="C13" s="92">
        <v>380604</v>
      </c>
      <c r="D13" s="92" t="s">
        <v>17</v>
      </c>
      <c r="E13" s="92" t="s">
        <v>18</v>
      </c>
      <c r="F13" s="92" t="s">
        <v>12</v>
      </c>
      <c r="G13" s="92" t="str">
        <f t="shared" si="0"/>
        <v>331SNCERABKE09</v>
      </c>
      <c r="H13" s="92" t="s">
        <v>19</v>
      </c>
      <c r="I13" s="92" t="s">
        <v>20</v>
      </c>
      <c r="J13" s="92" t="s">
        <v>21</v>
      </c>
      <c r="K13" s="92" t="s">
        <v>22</v>
      </c>
      <c r="L13" s="92" t="s">
        <v>23</v>
      </c>
      <c r="M13" s="92" t="str">
        <f t="shared" si="1"/>
        <v>331SNCERABKE09381367</v>
      </c>
      <c r="N13" s="92" t="str">
        <f t="shared" si="2"/>
        <v>331SNCERABKE09381360</v>
      </c>
      <c r="O13" s="93">
        <v>38</v>
      </c>
      <c r="P13" s="92">
        <v>331</v>
      </c>
      <c r="Q13" s="92" t="s">
        <v>13</v>
      </c>
      <c r="R13" s="93">
        <v>1367</v>
      </c>
      <c r="S13" s="93">
        <v>12200</v>
      </c>
      <c r="T13" s="93">
        <v>1367</v>
      </c>
      <c r="U13" s="93">
        <v>1360</v>
      </c>
      <c r="V13" s="93">
        <v>6000</v>
      </c>
      <c r="W13" s="84">
        <v>2</v>
      </c>
      <c r="X13" s="85" t="s">
        <v>14</v>
      </c>
      <c r="Y13" s="86" t="s">
        <v>27</v>
      </c>
      <c r="Z13" s="87">
        <v>6</v>
      </c>
      <c r="AA13" s="88" t="s">
        <v>24</v>
      </c>
      <c r="AB13" s="89">
        <v>1600</v>
      </c>
      <c r="AC13" s="86"/>
      <c r="AD13" s="88"/>
      <c r="AE13" s="89"/>
      <c r="AF13" s="86"/>
      <c r="AG13" s="88"/>
      <c r="AH13" s="89"/>
      <c r="AI13" s="86"/>
      <c r="AJ13" s="88"/>
      <c r="AK13" s="89"/>
      <c r="AL13" s="90"/>
      <c r="AM13" s="91"/>
      <c r="AN13" s="91" t="s">
        <v>471</v>
      </c>
      <c r="AO13" s="243" t="str">
        <f t="shared" si="3"/>
        <v>331SNCERABKE0938</v>
      </c>
    </row>
    <row r="14" spans="1:41" ht="15" customHeight="1" x14ac:dyDescent="0.15">
      <c r="A14" s="83">
        <v>333</v>
      </c>
      <c r="B14" s="92">
        <v>271</v>
      </c>
      <c r="C14" s="92">
        <v>380604</v>
      </c>
      <c r="D14" s="92" t="s">
        <v>17</v>
      </c>
      <c r="E14" s="92" t="s">
        <v>18</v>
      </c>
      <c r="F14" s="92" t="s">
        <v>12</v>
      </c>
      <c r="G14" s="92" t="str">
        <f t="shared" si="0"/>
        <v>331SYCERABKERXPT</v>
      </c>
      <c r="H14" s="92" t="s">
        <v>19</v>
      </c>
      <c r="I14" s="92" t="s">
        <v>28</v>
      </c>
      <c r="J14" s="92" t="s">
        <v>21</v>
      </c>
      <c r="K14" s="92" t="s">
        <v>29</v>
      </c>
      <c r="L14" s="92" t="s">
        <v>30</v>
      </c>
      <c r="M14" s="92" t="str">
        <f t="shared" si="1"/>
        <v>331SYCERABKERXPT381035</v>
      </c>
      <c r="N14" s="92" t="str">
        <f t="shared" si="2"/>
        <v>331SYCERABKERXPT381030</v>
      </c>
      <c r="O14" s="93">
        <v>38</v>
      </c>
      <c r="P14" s="92">
        <v>331</v>
      </c>
      <c r="Q14" s="92" t="s">
        <v>31</v>
      </c>
      <c r="R14" s="93">
        <v>1035</v>
      </c>
      <c r="S14" s="93">
        <v>8500</v>
      </c>
      <c r="T14" s="93">
        <v>1030</v>
      </c>
      <c r="U14" s="93">
        <v>1030</v>
      </c>
      <c r="V14" s="93">
        <v>8400</v>
      </c>
      <c r="W14" s="84">
        <v>2</v>
      </c>
      <c r="X14" s="85" t="s">
        <v>14</v>
      </c>
      <c r="Y14" s="86" t="s">
        <v>15</v>
      </c>
      <c r="Z14" s="87">
        <v>6</v>
      </c>
      <c r="AA14" s="88" t="s">
        <v>16</v>
      </c>
      <c r="AB14" s="89">
        <v>1170</v>
      </c>
      <c r="AC14" s="86">
        <v>6</v>
      </c>
      <c r="AD14" s="88" t="s">
        <v>16</v>
      </c>
      <c r="AE14" s="89">
        <v>1170</v>
      </c>
      <c r="AF14" s="86"/>
      <c r="AG14" s="88"/>
      <c r="AH14" s="89"/>
      <c r="AI14" s="86"/>
      <c r="AJ14" s="88"/>
      <c r="AK14" s="89"/>
      <c r="AL14" s="90"/>
      <c r="AM14" s="91"/>
      <c r="AN14" s="91" t="s">
        <v>471</v>
      </c>
      <c r="AO14" s="243" t="str">
        <f t="shared" si="3"/>
        <v>331SYCERABKERXPT38</v>
      </c>
    </row>
    <row r="15" spans="1:41" ht="15" customHeight="1" x14ac:dyDescent="0.15">
      <c r="A15" s="83">
        <v>333</v>
      </c>
      <c r="B15" s="92">
        <v>271</v>
      </c>
      <c r="C15" s="92">
        <v>380604</v>
      </c>
      <c r="D15" s="92" t="s">
        <v>17</v>
      </c>
      <c r="E15" s="92" t="s">
        <v>18</v>
      </c>
      <c r="F15" s="92" t="s">
        <v>12</v>
      </c>
      <c r="G15" s="92" t="str">
        <f t="shared" si="0"/>
        <v>331SNCERABKERXPT</v>
      </c>
      <c r="H15" s="92" t="s">
        <v>19</v>
      </c>
      <c r="I15" s="92" t="s">
        <v>1550</v>
      </c>
      <c r="J15" s="92" t="s">
        <v>21</v>
      </c>
      <c r="K15" s="92" t="s">
        <v>29</v>
      </c>
      <c r="L15" s="92" t="s">
        <v>30</v>
      </c>
      <c r="M15" s="92" t="str">
        <f t="shared" si="1"/>
        <v>331SNCERABKERXPT381035</v>
      </c>
      <c r="N15" s="92" t="str">
        <f t="shared" si="2"/>
        <v>331SNCERABKERXPT381030</v>
      </c>
      <c r="O15" s="93">
        <v>38</v>
      </c>
      <c r="P15" s="92">
        <v>331</v>
      </c>
      <c r="Q15" s="92" t="s">
        <v>31</v>
      </c>
      <c r="R15" s="93">
        <v>1035</v>
      </c>
      <c r="S15" s="93">
        <v>8500</v>
      </c>
      <c r="T15" s="93">
        <v>1030</v>
      </c>
      <c r="U15" s="93">
        <v>1030</v>
      </c>
      <c r="V15" s="93">
        <v>8400</v>
      </c>
      <c r="W15" s="84">
        <v>2</v>
      </c>
      <c r="X15" s="85" t="s">
        <v>14</v>
      </c>
      <c r="Y15" s="86" t="s">
        <v>15</v>
      </c>
      <c r="Z15" s="86">
        <v>6</v>
      </c>
      <c r="AA15" s="88" t="s">
        <v>24</v>
      </c>
      <c r="AB15" s="89">
        <v>1450</v>
      </c>
      <c r="AC15" s="86">
        <v>6</v>
      </c>
      <c r="AD15" s="88" t="s">
        <v>24</v>
      </c>
      <c r="AE15" s="89">
        <v>1450</v>
      </c>
      <c r="AF15" s="86"/>
      <c r="AG15" s="88"/>
      <c r="AH15" s="89"/>
      <c r="AI15" s="86"/>
      <c r="AJ15" s="88"/>
      <c r="AK15" s="89"/>
      <c r="AL15" s="90"/>
      <c r="AM15" s="91"/>
      <c r="AN15" s="91" t="s">
        <v>471</v>
      </c>
      <c r="AO15" s="243" t="str">
        <f t="shared" si="3"/>
        <v>331SNCERABKERXPT38</v>
      </c>
    </row>
    <row r="16" spans="1:41" ht="15" customHeight="1" x14ac:dyDescent="0.15">
      <c r="A16" s="83">
        <v>333</v>
      </c>
      <c r="B16" s="92">
        <v>271</v>
      </c>
      <c r="C16" s="92">
        <v>380604</v>
      </c>
      <c r="D16" s="92" t="s">
        <v>17</v>
      </c>
      <c r="E16" s="92" t="s">
        <v>18</v>
      </c>
      <c r="F16" s="92" t="s">
        <v>12</v>
      </c>
      <c r="G16" s="92" t="str">
        <f t="shared" si="0"/>
        <v>331SNCERABKERXPT</v>
      </c>
      <c r="H16" s="92" t="s">
        <v>19</v>
      </c>
      <c r="I16" s="92" t="s">
        <v>20</v>
      </c>
      <c r="J16" s="92" t="s">
        <v>21</v>
      </c>
      <c r="K16" s="92" t="s">
        <v>29</v>
      </c>
      <c r="L16" s="92" t="s">
        <v>30</v>
      </c>
      <c r="M16" s="92" t="str">
        <f t="shared" si="1"/>
        <v>331SNCERABKERXPT381335</v>
      </c>
      <c r="N16" s="92" t="str">
        <f t="shared" si="2"/>
        <v>331SNCERABKERXPT381330</v>
      </c>
      <c r="O16" s="93">
        <v>38</v>
      </c>
      <c r="P16" s="92">
        <v>331</v>
      </c>
      <c r="Q16" s="92" t="s">
        <v>31</v>
      </c>
      <c r="R16" s="93">
        <v>1335</v>
      </c>
      <c r="S16" s="93">
        <v>12200</v>
      </c>
      <c r="T16" s="93">
        <v>1330</v>
      </c>
      <c r="U16" s="93">
        <v>1330</v>
      </c>
      <c r="V16" s="93">
        <v>6000</v>
      </c>
      <c r="W16" s="84">
        <v>2</v>
      </c>
      <c r="X16" s="85" t="s">
        <v>14</v>
      </c>
      <c r="Y16" s="86" t="s">
        <v>27</v>
      </c>
      <c r="Z16" s="87">
        <v>6</v>
      </c>
      <c r="AA16" s="88" t="s">
        <v>24</v>
      </c>
      <c r="AB16" s="89">
        <v>1450</v>
      </c>
      <c r="AC16" s="86">
        <v>6</v>
      </c>
      <c r="AD16" s="88" t="s">
        <v>24</v>
      </c>
      <c r="AE16" s="89">
        <v>1450</v>
      </c>
      <c r="AF16" s="86"/>
      <c r="AG16" s="88"/>
      <c r="AH16" s="89"/>
      <c r="AI16" s="86"/>
      <c r="AJ16" s="88"/>
      <c r="AK16" s="89"/>
      <c r="AL16" s="90"/>
      <c r="AM16" s="91"/>
      <c r="AN16" s="91" t="s">
        <v>471</v>
      </c>
      <c r="AO16" s="243" t="str">
        <f t="shared" si="3"/>
        <v>331SNCERABKERXPT38</v>
      </c>
    </row>
    <row r="17" spans="1:41" ht="15" customHeight="1" x14ac:dyDescent="0.15">
      <c r="A17" s="83">
        <v>333</v>
      </c>
      <c r="B17" s="92">
        <v>271</v>
      </c>
      <c r="C17" s="92">
        <v>380604</v>
      </c>
      <c r="D17" s="92" t="s">
        <v>17</v>
      </c>
      <c r="E17" s="92" t="s">
        <v>18</v>
      </c>
      <c r="F17" s="92" t="s">
        <v>12</v>
      </c>
      <c r="G17" s="92" t="str">
        <f t="shared" si="0"/>
        <v>331SNCERABKERXPT</v>
      </c>
      <c r="H17" s="92" t="s">
        <v>19</v>
      </c>
      <c r="I17" s="92" t="s">
        <v>20</v>
      </c>
      <c r="J17" s="92" t="s">
        <v>21</v>
      </c>
      <c r="K17" s="92" t="s">
        <v>29</v>
      </c>
      <c r="L17" s="92" t="s">
        <v>30</v>
      </c>
      <c r="M17" s="92" t="str">
        <f t="shared" si="1"/>
        <v>331SNCERABKERXPT381333</v>
      </c>
      <c r="N17" s="92" t="str">
        <f t="shared" si="2"/>
        <v>331SNCERABKERXPT381330</v>
      </c>
      <c r="O17" s="93">
        <v>38</v>
      </c>
      <c r="P17" s="92">
        <v>331</v>
      </c>
      <c r="Q17" s="92" t="s">
        <v>31</v>
      </c>
      <c r="R17" s="93">
        <v>1333</v>
      </c>
      <c r="S17" s="93">
        <v>12200</v>
      </c>
      <c r="T17" s="93">
        <v>1330</v>
      </c>
      <c r="U17" s="93">
        <v>1330</v>
      </c>
      <c r="V17" s="93">
        <v>6000</v>
      </c>
      <c r="W17" s="84">
        <v>2</v>
      </c>
      <c r="X17" s="85" t="s">
        <v>14</v>
      </c>
      <c r="Y17" s="86" t="s">
        <v>27</v>
      </c>
      <c r="Z17" s="87">
        <v>6</v>
      </c>
      <c r="AA17" s="88" t="s">
        <v>24</v>
      </c>
      <c r="AB17" s="89">
        <v>1450</v>
      </c>
      <c r="AC17" s="86">
        <v>6</v>
      </c>
      <c r="AD17" s="88" t="s">
        <v>24</v>
      </c>
      <c r="AE17" s="89">
        <v>1450</v>
      </c>
      <c r="AF17" s="86"/>
      <c r="AG17" s="88"/>
      <c r="AH17" s="89"/>
      <c r="AI17" s="86"/>
      <c r="AJ17" s="88"/>
      <c r="AK17" s="89"/>
      <c r="AL17" s="90"/>
      <c r="AM17" s="91"/>
      <c r="AN17" s="91" t="s">
        <v>471</v>
      </c>
      <c r="AO17" s="243" t="str">
        <f t="shared" si="3"/>
        <v>331SNCERABKERXPT38</v>
      </c>
    </row>
    <row r="18" spans="1:41" ht="15" customHeight="1" x14ac:dyDescent="0.15">
      <c r="A18" s="83">
        <v>333</v>
      </c>
      <c r="B18" s="92">
        <v>271</v>
      </c>
      <c r="C18" s="92">
        <v>380604</v>
      </c>
      <c r="D18" s="92" t="s">
        <v>17</v>
      </c>
      <c r="E18" s="92" t="s">
        <v>18</v>
      </c>
      <c r="F18" s="92" t="s">
        <v>26</v>
      </c>
      <c r="G18" s="92" t="str">
        <f t="shared" si="0"/>
        <v>3SNCERABKERXPT</v>
      </c>
      <c r="H18" s="92" t="s">
        <v>19</v>
      </c>
      <c r="I18" s="92" t="s">
        <v>20</v>
      </c>
      <c r="J18" s="92" t="s">
        <v>21</v>
      </c>
      <c r="K18" s="92" t="s">
        <v>29</v>
      </c>
      <c r="L18" s="92" t="s">
        <v>30</v>
      </c>
      <c r="M18" s="92" t="str">
        <f t="shared" si="1"/>
        <v>3SNCERABKERXPT381335</v>
      </c>
      <c r="N18" s="92" t="str">
        <f t="shared" si="2"/>
        <v>3SNCERABKERXPT381330</v>
      </c>
      <c r="O18" s="93">
        <v>38</v>
      </c>
      <c r="P18" s="92">
        <v>3</v>
      </c>
      <c r="Q18" s="92" t="s">
        <v>31</v>
      </c>
      <c r="R18" s="93">
        <v>1335</v>
      </c>
      <c r="S18" s="93">
        <v>12200</v>
      </c>
      <c r="T18" s="93">
        <v>1330</v>
      </c>
      <c r="U18" s="93">
        <v>1330</v>
      </c>
      <c r="V18" s="93">
        <v>6000</v>
      </c>
      <c r="W18" s="84">
        <v>2</v>
      </c>
      <c r="X18" s="85" t="s">
        <v>14</v>
      </c>
      <c r="Y18" s="86" t="s">
        <v>27</v>
      </c>
      <c r="Z18" s="87">
        <v>6</v>
      </c>
      <c r="AA18" s="88" t="s">
        <v>24</v>
      </c>
      <c r="AB18" s="89">
        <v>1450</v>
      </c>
      <c r="AC18" s="86">
        <v>6</v>
      </c>
      <c r="AD18" s="88" t="s">
        <v>24</v>
      </c>
      <c r="AE18" s="89">
        <v>1450</v>
      </c>
      <c r="AF18" s="86"/>
      <c r="AG18" s="88"/>
      <c r="AH18" s="89"/>
      <c r="AI18" s="86"/>
      <c r="AJ18" s="88"/>
      <c r="AK18" s="89"/>
      <c r="AL18" s="90"/>
      <c r="AM18" s="91"/>
      <c r="AN18" s="91" t="s">
        <v>471</v>
      </c>
      <c r="AO18" s="243" t="str">
        <f t="shared" si="3"/>
        <v>3SNCERABKERXPT38</v>
      </c>
    </row>
    <row r="19" spans="1:41" ht="15" customHeight="1" x14ac:dyDescent="0.15">
      <c r="A19" s="83">
        <v>333</v>
      </c>
      <c r="B19" s="92">
        <v>271</v>
      </c>
      <c r="C19" s="92">
        <v>35541</v>
      </c>
      <c r="D19" s="92" t="s">
        <v>32</v>
      </c>
      <c r="E19" s="92" t="s">
        <v>18</v>
      </c>
      <c r="F19" s="92" t="s">
        <v>12</v>
      </c>
      <c r="G19" s="92" t="str">
        <f t="shared" si="0"/>
        <v>331SNCERABKERXT</v>
      </c>
      <c r="H19" s="92" t="s">
        <v>19</v>
      </c>
      <c r="I19" s="92" t="s">
        <v>20</v>
      </c>
      <c r="J19" s="92" t="s">
        <v>21</v>
      </c>
      <c r="K19" s="92" t="s">
        <v>33</v>
      </c>
      <c r="L19" s="92" t="s">
        <v>30</v>
      </c>
      <c r="M19" s="92" t="str">
        <f t="shared" si="1"/>
        <v>331SNCERABKERXT251337</v>
      </c>
      <c r="N19" s="92" t="str">
        <f t="shared" si="2"/>
        <v>331SNCERABKERXT251330</v>
      </c>
      <c r="O19" s="93">
        <v>25</v>
      </c>
      <c r="P19" s="92">
        <v>331</v>
      </c>
      <c r="Q19" s="92" t="s">
        <v>34</v>
      </c>
      <c r="R19" s="93">
        <v>1337</v>
      </c>
      <c r="S19" s="93">
        <v>12300</v>
      </c>
      <c r="T19" s="93">
        <v>1330</v>
      </c>
      <c r="U19" s="93">
        <v>1330</v>
      </c>
      <c r="V19" s="93">
        <v>6000</v>
      </c>
      <c r="W19" s="84">
        <v>2</v>
      </c>
      <c r="X19" s="85" t="s">
        <v>14</v>
      </c>
      <c r="Y19" s="86" t="s">
        <v>295</v>
      </c>
      <c r="Z19" s="87">
        <v>6</v>
      </c>
      <c r="AA19" s="88" t="s">
        <v>24</v>
      </c>
      <c r="AB19" s="89">
        <v>1450</v>
      </c>
      <c r="AC19" s="86">
        <v>6</v>
      </c>
      <c r="AD19" s="88" t="s">
        <v>24</v>
      </c>
      <c r="AE19" s="89">
        <v>1450</v>
      </c>
      <c r="AF19" s="86"/>
      <c r="AG19" s="88"/>
      <c r="AH19" s="89"/>
      <c r="AI19" s="86"/>
      <c r="AJ19" s="88"/>
      <c r="AK19" s="89"/>
      <c r="AL19" s="90"/>
      <c r="AM19" s="91"/>
      <c r="AN19" s="91" t="s">
        <v>471</v>
      </c>
      <c r="AO19" s="243" t="str">
        <f t="shared" si="3"/>
        <v>331SNCERABKERXT25</v>
      </c>
    </row>
    <row r="20" spans="1:41" ht="15" customHeight="1" x14ac:dyDescent="0.15">
      <c r="A20" s="83">
        <v>333</v>
      </c>
      <c r="B20" s="92">
        <v>271</v>
      </c>
      <c r="C20" s="92">
        <v>35541</v>
      </c>
      <c r="D20" s="92" t="s">
        <v>32</v>
      </c>
      <c r="E20" s="92" t="s">
        <v>18</v>
      </c>
      <c r="F20" s="92" t="s">
        <v>12</v>
      </c>
      <c r="G20" s="92" t="str">
        <f t="shared" si="0"/>
        <v>331SNCERABKERXT</v>
      </c>
      <c r="H20" s="92" t="s">
        <v>19</v>
      </c>
      <c r="I20" s="92" t="s">
        <v>20</v>
      </c>
      <c r="J20" s="92" t="s">
        <v>21</v>
      </c>
      <c r="K20" s="92" t="s">
        <v>33</v>
      </c>
      <c r="L20" s="92" t="s">
        <v>30</v>
      </c>
      <c r="M20" s="92" t="str">
        <f t="shared" si="1"/>
        <v>331SNCERABKERXT381335</v>
      </c>
      <c r="N20" s="92" t="str">
        <f t="shared" si="2"/>
        <v>331SNCERABKERXT381330</v>
      </c>
      <c r="O20" s="93">
        <v>38</v>
      </c>
      <c r="P20" s="92">
        <v>331</v>
      </c>
      <c r="Q20" s="92" t="s">
        <v>34</v>
      </c>
      <c r="R20" s="93">
        <v>1335</v>
      </c>
      <c r="S20" s="93">
        <v>12200</v>
      </c>
      <c r="T20" s="93">
        <v>1330</v>
      </c>
      <c r="U20" s="93">
        <v>1330</v>
      </c>
      <c r="V20" s="93">
        <v>6000</v>
      </c>
      <c r="W20" s="84">
        <v>2</v>
      </c>
      <c r="X20" s="85" t="s">
        <v>14</v>
      </c>
      <c r="Y20" s="86" t="s">
        <v>295</v>
      </c>
      <c r="Z20" s="87">
        <v>6</v>
      </c>
      <c r="AA20" s="88" t="s">
        <v>24</v>
      </c>
      <c r="AB20" s="89">
        <v>1450</v>
      </c>
      <c r="AC20" s="86">
        <v>6</v>
      </c>
      <c r="AD20" s="88" t="s">
        <v>24</v>
      </c>
      <c r="AE20" s="89">
        <v>1450</v>
      </c>
      <c r="AF20" s="86"/>
      <c r="AG20" s="88"/>
      <c r="AH20" s="89"/>
      <c r="AI20" s="86"/>
      <c r="AJ20" s="88"/>
      <c r="AK20" s="89"/>
      <c r="AL20" s="90"/>
      <c r="AM20" s="91"/>
      <c r="AN20" s="91" t="s">
        <v>471</v>
      </c>
      <c r="AO20" s="243" t="str">
        <f t="shared" si="3"/>
        <v>331SNCERABKERXT38</v>
      </c>
    </row>
    <row r="21" spans="1:41" ht="15" customHeight="1" x14ac:dyDescent="0.15">
      <c r="A21" s="83">
        <v>333</v>
      </c>
      <c r="B21" s="92">
        <v>271</v>
      </c>
      <c r="C21" s="92">
        <v>35541</v>
      </c>
      <c r="D21" s="92" t="s">
        <v>32</v>
      </c>
      <c r="E21" s="92" t="s">
        <v>18</v>
      </c>
      <c r="F21" s="92" t="s">
        <v>12</v>
      </c>
      <c r="G21" s="92" t="str">
        <f t="shared" si="0"/>
        <v>330SNCERABKERXT</v>
      </c>
      <c r="H21" s="92" t="s">
        <v>19</v>
      </c>
      <c r="I21" s="92" t="s">
        <v>20</v>
      </c>
      <c r="J21" s="92" t="s">
        <v>21</v>
      </c>
      <c r="K21" s="92" t="s">
        <v>33</v>
      </c>
      <c r="L21" s="92" t="s">
        <v>30</v>
      </c>
      <c r="M21" s="92" t="str">
        <f t="shared" si="1"/>
        <v>330SNCERABKERXT381335</v>
      </c>
      <c r="N21" s="92" t="str">
        <f t="shared" si="2"/>
        <v>330SNCERABKERXT381330</v>
      </c>
      <c r="O21" s="93">
        <v>38</v>
      </c>
      <c r="P21" s="92">
        <v>330</v>
      </c>
      <c r="Q21" s="92" t="s">
        <v>34</v>
      </c>
      <c r="R21" s="93">
        <v>1335</v>
      </c>
      <c r="S21" s="93">
        <v>12200</v>
      </c>
      <c r="T21" s="93">
        <v>1330</v>
      </c>
      <c r="U21" s="93">
        <v>1330</v>
      </c>
      <c r="V21" s="93">
        <v>3900</v>
      </c>
      <c r="W21" s="84">
        <v>2</v>
      </c>
      <c r="X21" s="85" t="s">
        <v>14</v>
      </c>
      <c r="Y21" s="86" t="s">
        <v>295</v>
      </c>
      <c r="Z21" s="87">
        <v>6</v>
      </c>
      <c r="AA21" s="88" t="s">
        <v>24</v>
      </c>
      <c r="AB21" s="89">
        <v>1450</v>
      </c>
      <c r="AC21" s="86">
        <v>6</v>
      </c>
      <c r="AD21" s="88" t="s">
        <v>24</v>
      </c>
      <c r="AE21" s="89">
        <v>1450</v>
      </c>
      <c r="AF21" s="86"/>
      <c r="AG21" s="88"/>
      <c r="AH21" s="89"/>
      <c r="AI21" s="86"/>
      <c r="AJ21" s="88"/>
      <c r="AK21" s="89"/>
      <c r="AL21" s="90"/>
      <c r="AM21" s="91"/>
      <c r="AN21" s="91" t="s">
        <v>471</v>
      </c>
      <c r="AO21" s="243" t="str">
        <f t="shared" si="3"/>
        <v>330SNCERABKERXT38</v>
      </c>
    </row>
    <row r="22" spans="1:41" ht="15" customHeight="1" x14ac:dyDescent="0.15">
      <c r="A22" s="83">
        <v>333</v>
      </c>
      <c r="B22" s="92">
        <v>271</v>
      </c>
      <c r="C22" s="92">
        <v>35541</v>
      </c>
      <c r="D22" s="92" t="s">
        <v>32</v>
      </c>
      <c r="E22" s="92" t="s">
        <v>18</v>
      </c>
      <c r="F22" s="92" t="s">
        <v>12</v>
      </c>
      <c r="G22" s="92" t="str">
        <f t="shared" si="0"/>
        <v>331SNCERABKERXT</v>
      </c>
      <c r="H22" s="92" t="s">
        <v>19</v>
      </c>
      <c r="I22" s="92" t="s">
        <v>20</v>
      </c>
      <c r="J22" s="92" t="s">
        <v>21</v>
      </c>
      <c r="K22" s="92" t="s">
        <v>33</v>
      </c>
      <c r="L22" s="92" t="s">
        <v>2032</v>
      </c>
      <c r="M22" s="92" t="str">
        <f t="shared" si="1"/>
        <v>331SNCERABKERXT381585</v>
      </c>
      <c r="N22" s="92" t="str">
        <f t="shared" si="2"/>
        <v>331SNCERABKERXT381580</v>
      </c>
      <c r="O22" s="93">
        <v>38</v>
      </c>
      <c r="P22" s="92">
        <v>331</v>
      </c>
      <c r="Q22" s="92" t="s">
        <v>34</v>
      </c>
      <c r="R22" s="93">
        <v>1585</v>
      </c>
      <c r="S22" s="93">
        <v>12200</v>
      </c>
      <c r="T22" s="93">
        <v>1580</v>
      </c>
      <c r="U22" s="93">
        <v>1580</v>
      </c>
      <c r="V22" s="93">
        <v>6000</v>
      </c>
      <c r="W22" s="84">
        <v>2</v>
      </c>
      <c r="X22" s="85" t="s">
        <v>14</v>
      </c>
      <c r="Y22" s="86" t="s">
        <v>295</v>
      </c>
      <c r="Z22" s="87">
        <v>6</v>
      </c>
      <c r="AA22" s="88" t="s">
        <v>24</v>
      </c>
      <c r="AB22" s="89">
        <v>1700</v>
      </c>
      <c r="AC22" s="86">
        <v>6</v>
      </c>
      <c r="AD22" s="88" t="s">
        <v>24</v>
      </c>
      <c r="AE22" s="89">
        <v>1700</v>
      </c>
      <c r="AF22" s="86"/>
      <c r="AG22" s="88"/>
      <c r="AH22" s="89"/>
      <c r="AI22" s="86"/>
      <c r="AJ22" s="88"/>
      <c r="AK22" s="89"/>
      <c r="AL22" s="90"/>
      <c r="AM22" s="91"/>
      <c r="AN22" s="91" t="s">
        <v>471</v>
      </c>
      <c r="AO22" s="243" t="str">
        <f t="shared" si="3"/>
        <v>331SNCERABKERXT38</v>
      </c>
    </row>
    <row r="23" spans="1:41" ht="15" customHeight="1" x14ac:dyDescent="0.15">
      <c r="A23" s="83">
        <v>333</v>
      </c>
      <c r="B23" s="92">
        <v>271</v>
      </c>
      <c r="C23" s="92">
        <v>30961</v>
      </c>
      <c r="D23" s="92" t="s">
        <v>35</v>
      </c>
      <c r="E23" s="92" t="s">
        <v>18</v>
      </c>
      <c r="F23" s="92" t="s">
        <v>12</v>
      </c>
      <c r="G23" s="92" t="str">
        <f t="shared" si="0"/>
        <v>3SNCERABKU</v>
      </c>
      <c r="H23" s="92" t="s">
        <v>19</v>
      </c>
      <c r="I23" s="92" t="s">
        <v>20</v>
      </c>
      <c r="J23" s="92" t="s">
        <v>21</v>
      </c>
      <c r="K23" s="92" t="s">
        <v>36</v>
      </c>
      <c r="L23" s="92" t="s">
        <v>2033</v>
      </c>
      <c r="M23" s="92" t="str">
        <f t="shared" si="1"/>
        <v>3SNCERABKU25895</v>
      </c>
      <c r="N23" s="92" t="str">
        <f t="shared" si="2"/>
        <v>3SNCERABKU25890</v>
      </c>
      <c r="O23" s="93">
        <v>25</v>
      </c>
      <c r="P23" s="92">
        <v>3</v>
      </c>
      <c r="Q23" s="92" t="s">
        <v>19</v>
      </c>
      <c r="R23" s="93">
        <v>895</v>
      </c>
      <c r="S23" s="93">
        <v>12400</v>
      </c>
      <c r="T23" s="93">
        <v>890</v>
      </c>
      <c r="U23" s="93">
        <v>890</v>
      </c>
      <c r="V23" s="93">
        <v>3800</v>
      </c>
      <c r="W23" s="84">
        <v>2</v>
      </c>
      <c r="X23" s="85" t="s">
        <v>14</v>
      </c>
      <c r="Y23" s="86" t="s">
        <v>295</v>
      </c>
      <c r="Z23" s="87">
        <v>6</v>
      </c>
      <c r="AA23" s="88" t="s">
        <v>24</v>
      </c>
      <c r="AB23" s="89" t="s">
        <v>38</v>
      </c>
      <c r="AC23" s="86">
        <v>3</v>
      </c>
      <c r="AD23" s="88" t="s">
        <v>39</v>
      </c>
      <c r="AE23" s="89">
        <v>898</v>
      </c>
      <c r="AF23" s="86"/>
      <c r="AG23" s="88"/>
      <c r="AH23" s="89"/>
      <c r="AI23" s="86"/>
      <c r="AJ23" s="88"/>
      <c r="AK23" s="89"/>
      <c r="AL23" s="90"/>
      <c r="AM23" s="91"/>
      <c r="AN23" s="91" t="s">
        <v>471</v>
      </c>
      <c r="AO23" s="243" t="str">
        <f t="shared" si="3"/>
        <v>3SNCERABKU25</v>
      </c>
    </row>
    <row r="24" spans="1:41" ht="15" customHeight="1" x14ac:dyDescent="0.15">
      <c r="A24" s="83">
        <v>333</v>
      </c>
      <c r="B24" s="92">
        <v>273</v>
      </c>
      <c r="C24" s="92">
        <v>23652</v>
      </c>
      <c r="D24" s="92" t="s">
        <v>40</v>
      </c>
      <c r="E24" s="92" t="s">
        <v>41</v>
      </c>
      <c r="F24" s="92" t="s">
        <v>12</v>
      </c>
      <c r="G24" s="92" t="str">
        <f t="shared" si="0"/>
        <v>3SNCERABKUK</v>
      </c>
      <c r="H24" s="92" t="s">
        <v>19</v>
      </c>
      <c r="I24" s="92" t="s">
        <v>20</v>
      </c>
      <c r="J24" s="92" t="s">
        <v>21</v>
      </c>
      <c r="K24" s="92" t="s">
        <v>42</v>
      </c>
      <c r="L24" s="92" t="s">
        <v>43</v>
      </c>
      <c r="M24" s="92" t="str">
        <f t="shared" si="1"/>
        <v>3SNCERABKUK251045</v>
      </c>
      <c r="N24" s="92" t="str">
        <f t="shared" si="2"/>
        <v>3SNCERABKUK251040</v>
      </c>
      <c r="O24" s="93">
        <v>25</v>
      </c>
      <c r="P24" s="92">
        <v>3</v>
      </c>
      <c r="Q24" s="92" t="s">
        <v>19</v>
      </c>
      <c r="R24" s="93">
        <v>1045</v>
      </c>
      <c r="S24" s="93">
        <v>12400</v>
      </c>
      <c r="T24" s="93">
        <v>1045</v>
      </c>
      <c r="U24" s="93">
        <v>1040</v>
      </c>
      <c r="V24" s="93">
        <v>6000</v>
      </c>
      <c r="W24" s="84">
        <v>2</v>
      </c>
      <c r="X24" s="85" t="s">
        <v>14</v>
      </c>
      <c r="Y24" s="86" t="s">
        <v>27</v>
      </c>
      <c r="Z24" s="87">
        <v>6</v>
      </c>
      <c r="AA24" s="88" t="s">
        <v>24</v>
      </c>
      <c r="AB24" s="89">
        <v>1170</v>
      </c>
      <c r="AC24" s="86"/>
      <c r="AD24" s="88"/>
      <c r="AE24" s="89"/>
      <c r="AF24" s="86"/>
      <c r="AG24" s="88"/>
      <c r="AH24" s="89"/>
      <c r="AI24" s="86"/>
      <c r="AJ24" s="88"/>
      <c r="AK24" s="89"/>
      <c r="AL24" s="90"/>
      <c r="AM24" s="91"/>
      <c r="AN24" s="91" t="s">
        <v>471</v>
      </c>
      <c r="AO24" s="243" t="str">
        <f t="shared" si="3"/>
        <v>3SNCERABKUK25</v>
      </c>
    </row>
    <row r="25" spans="1:41" ht="15" customHeight="1" x14ac:dyDescent="0.15">
      <c r="A25" s="83">
        <v>333</v>
      </c>
      <c r="B25" s="92">
        <v>273</v>
      </c>
      <c r="C25" s="92">
        <v>23652</v>
      </c>
      <c r="D25" s="92" t="s">
        <v>40</v>
      </c>
      <c r="E25" s="92" t="s">
        <v>41</v>
      </c>
      <c r="F25" s="92" t="s">
        <v>12</v>
      </c>
      <c r="G25" s="92" t="str">
        <f t="shared" si="0"/>
        <v>3SNCERABKUK</v>
      </c>
      <c r="H25" s="92" t="s">
        <v>19</v>
      </c>
      <c r="I25" s="92" t="s">
        <v>20</v>
      </c>
      <c r="J25" s="92" t="s">
        <v>21</v>
      </c>
      <c r="K25" s="92" t="s">
        <v>42</v>
      </c>
      <c r="L25" s="92" t="s">
        <v>43</v>
      </c>
      <c r="M25" s="92" t="str">
        <f t="shared" si="1"/>
        <v>3SNCERABKUK251085</v>
      </c>
      <c r="N25" s="92" t="str">
        <f t="shared" si="2"/>
        <v>3SNCERABKUK251080</v>
      </c>
      <c r="O25" s="93">
        <v>25</v>
      </c>
      <c r="P25" s="92">
        <v>3</v>
      </c>
      <c r="Q25" s="92" t="s">
        <v>19</v>
      </c>
      <c r="R25" s="93">
        <v>1085</v>
      </c>
      <c r="S25" s="93">
        <v>12400</v>
      </c>
      <c r="T25" s="93">
        <v>1085</v>
      </c>
      <c r="U25" s="93">
        <v>1080</v>
      </c>
      <c r="V25" s="93">
        <v>6000</v>
      </c>
      <c r="W25" s="84">
        <v>2</v>
      </c>
      <c r="X25" s="85" t="s">
        <v>14</v>
      </c>
      <c r="Y25" s="86" t="s">
        <v>27</v>
      </c>
      <c r="Z25" s="87">
        <v>6</v>
      </c>
      <c r="AA25" s="88" t="s">
        <v>24</v>
      </c>
      <c r="AB25" s="89">
        <v>1170</v>
      </c>
      <c r="AC25" s="86"/>
      <c r="AD25" s="88"/>
      <c r="AE25" s="89"/>
      <c r="AF25" s="86"/>
      <c r="AG25" s="88"/>
      <c r="AH25" s="89"/>
      <c r="AI25" s="86"/>
      <c r="AJ25" s="88"/>
      <c r="AK25" s="89"/>
      <c r="AL25" s="90"/>
      <c r="AM25" s="91"/>
      <c r="AN25" s="91" t="s">
        <v>471</v>
      </c>
      <c r="AO25" s="243" t="str">
        <f t="shared" si="3"/>
        <v>3SNCERABKUK25</v>
      </c>
    </row>
    <row r="26" spans="1:41" ht="15" customHeight="1" x14ac:dyDescent="0.15">
      <c r="A26" s="83">
        <v>333</v>
      </c>
      <c r="B26" s="92">
        <v>273</v>
      </c>
      <c r="C26" s="92">
        <v>23652</v>
      </c>
      <c r="D26" s="92" t="s">
        <v>40</v>
      </c>
      <c r="E26" s="92" t="s">
        <v>41</v>
      </c>
      <c r="F26" s="92" t="s">
        <v>12</v>
      </c>
      <c r="G26" s="92" t="str">
        <f t="shared" si="0"/>
        <v>3SNCERABKRUK</v>
      </c>
      <c r="H26" s="92" t="s">
        <v>19</v>
      </c>
      <c r="I26" s="92" t="s">
        <v>20</v>
      </c>
      <c r="J26" s="92" t="s">
        <v>21</v>
      </c>
      <c r="K26" s="92" t="s">
        <v>3167</v>
      </c>
      <c r="L26" s="92" t="s">
        <v>3168</v>
      </c>
      <c r="M26" s="92" t="str">
        <f t="shared" si="1"/>
        <v>3SNCERABKRUK751110</v>
      </c>
      <c r="N26" s="92" t="str">
        <f t="shared" si="2"/>
        <v>3SNCERABKRUK751105</v>
      </c>
      <c r="O26" s="93">
        <v>75</v>
      </c>
      <c r="P26" s="92">
        <v>3</v>
      </c>
      <c r="Q26" s="92" t="s">
        <v>3166</v>
      </c>
      <c r="R26" s="93">
        <v>1110</v>
      </c>
      <c r="S26" s="93">
        <v>2200</v>
      </c>
      <c r="T26" s="93">
        <v>1105</v>
      </c>
      <c r="U26" s="93">
        <v>1105</v>
      </c>
      <c r="V26" s="93">
        <v>2000</v>
      </c>
      <c r="W26" s="84">
        <v>2</v>
      </c>
      <c r="X26" s="85" t="s">
        <v>14</v>
      </c>
      <c r="Y26" s="86" t="s">
        <v>25</v>
      </c>
      <c r="Z26" s="87">
        <v>6</v>
      </c>
      <c r="AA26" s="88" t="s">
        <v>24</v>
      </c>
      <c r="AB26" s="89">
        <v>1450</v>
      </c>
      <c r="AC26" s="87">
        <v>6</v>
      </c>
      <c r="AD26" s="88" t="s">
        <v>24</v>
      </c>
      <c r="AE26" s="89">
        <v>1170</v>
      </c>
      <c r="AF26" s="86"/>
      <c r="AG26" s="88"/>
      <c r="AH26" s="89"/>
      <c r="AI26" s="86"/>
      <c r="AJ26" s="88"/>
      <c r="AK26" s="89"/>
      <c r="AL26" s="90"/>
      <c r="AM26" s="91"/>
      <c r="AN26" s="91" t="s">
        <v>471</v>
      </c>
      <c r="AO26" s="243" t="str">
        <f t="shared" si="3"/>
        <v>3SNCERABKRUK75</v>
      </c>
    </row>
    <row r="27" spans="1:41" ht="15" customHeight="1" x14ac:dyDescent="0.15">
      <c r="A27" s="83">
        <v>333</v>
      </c>
      <c r="B27" s="92">
        <v>272</v>
      </c>
      <c r="C27" s="92">
        <v>89711</v>
      </c>
      <c r="D27" s="92" t="s">
        <v>44</v>
      </c>
      <c r="E27" s="92" t="s">
        <v>45</v>
      </c>
      <c r="F27" s="92" t="s">
        <v>46</v>
      </c>
      <c r="G27" s="92" t="str">
        <f t="shared" si="0"/>
        <v>3SNCERABX8ARX</v>
      </c>
      <c r="H27" s="92" t="s">
        <v>19</v>
      </c>
      <c r="I27" s="92" t="s">
        <v>20</v>
      </c>
      <c r="J27" s="92" t="s">
        <v>21</v>
      </c>
      <c r="K27" s="92" t="s">
        <v>47</v>
      </c>
      <c r="L27" s="92" t="s">
        <v>48</v>
      </c>
      <c r="M27" s="92" t="str">
        <f t="shared" si="1"/>
        <v>3SNCERABX8ARX251520</v>
      </c>
      <c r="N27" s="92" t="str">
        <f t="shared" si="2"/>
        <v>3SNCERABX8ARX25740</v>
      </c>
      <c r="O27" s="93">
        <v>25</v>
      </c>
      <c r="P27" s="92">
        <v>3</v>
      </c>
      <c r="Q27" s="92" t="s">
        <v>31</v>
      </c>
      <c r="R27" s="93">
        <v>1520</v>
      </c>
      <c r="S27" s="93">
        <v>13000</v>
      </c>
      <c r="T27" s="93">
        <v>740</v>
      </c>
      <c r="U27" s="93">
        <v>740</v>
      </c>
      <c r="V27" s="93">
        <v>2100</v>
      </c>
      <c r="W27" s="84">
        <v>1</v>
      </c>
      <c r="X27" s="85" t="s">
        <v>14</v>
      </c>
      <c r="Y27" s="86" t="s">
        <v>295</v>
      </c>
      <c r="Z27" s="87">
        <v>6</v>
      </c>
      <c r="AA27" s="88" t="s">
        <v>24</v>
      </c>
      <c r="AB27" s="89">
        <v>1700</v>
      </c>
      <c r="AC27" s="86">
        <v>3</v>
      </c>
      <c r="AD27" s="88" t="s">
        <v>39</v>
      </c>
      <c r="AE27" s="89">
        <v>750</v>
      </c>
      <c r="AF27" s="86"/>
      <c r="AG27" s="88"/>
      <c r="AH27" s="89"/>
      <c r="AI27" s="86"/>
      <c r="AJ27" s="88"/>
      <c r="AK27" s="89"/>
      <c r="AL27" s="90">
        <v>14</v>
      </c>
      <c r="AM27" s="91" t="s">
        <v>49</v>
      </c>
      <c r="AN27" s="91" t="s">
        <v>472</v>
      </c>
      <c r="AO27" s="243" t="str">
        <f t="shared" si="3"/>
        <v>3SNCERABX8ARX25</v>
      </c>
    </row>
    <row r="28" spans="1:41" ht="15" customHeight="1" x14ac:dyDescent="0.15">
      <c r="A28" s="83">
        <v>333</v>
      </c>
      <c r="B28" s="92">
        <v>272</v>
      </c>
      <c r="C28" s="92">
        <v>7485</v>
      </c>
      <c r="D28" s="92" t="s">
        <v>50</v>
      </c>
      <c r="E28" s="92" t="s">
        <v>45</v>
      </c>
      <c r="F28" s="92"/>
      <c r="G28" s="92" t="str">
        <f t="shared" si="0"/>
        <v>3SNCERABX8ARX</v>
      </c>
      <c r="H28" s="92" t="s">
        <v>19</v>
      </c>
      <c r="I28" s="92" t="s">
        <v>20</v>
      </c>
      <c r="J28" s="92" t="s">
        <v>21</v>
      </c>
      <c r="K28" s="92" t="s">
        <v>47</v>
      </c>
      <c r="L28" s="92" t="s">
        <v>48</v>
      </c>
      <c r="M28" s="92" t="str">
        <f t="shared" si="1"/>
        <v>3SNCERABX8ARX381135</v>
      </c>
      <c r="N28" s="92" t="str">
        <f t="shared" si="2"/>
        <v>3SNCERABX8ARX38535</v>
      </c>
      <c r="O28" s="93">
        <v>38</v>
      </c>
      <c r="P28" s="92">
        <v>3</v>
      </c>
      <c r="Q28" s="92" t="s">
        <v>31</v>
      </c>
      <c r="R28" s="93">
        <v>1135</v>
      </c>
      <c r="S28" s="93">
        <v>12200</v>
      </c>
      <c r="T28" s="93">
        <v>535</v>
      </c>
      <c r="U28" s="93">
        <v>535</v>
      </c>
      <c r="V28" s="93">
        <v>2000</v>
      </c>
      <c r="W28" s="84">
        <v>2</v>
      </c>
      <c r="X28" s="85" t="s">
        <v>14</v>
      </c>
      <c r="Y28" s="86" t="s">
        <v>295</v>
      </c>
      <c r="Z28" s="87">
        <v>6</v>
      </c>
      <c r="AA28" s="88" t="s">
        <v>24</v>
      </c>
      <c r="AB28" s="89">
        <v>1450</v>
      </c>
      <c r="AC28" s="86">
        <v>3</v>
      </c>
      <c r="AD28" s="88" t="s">
        <v>51</v>
      </c>
      <c r="AE28" s="89">
        <v>570</v>
      </c>
      <c r="AF28" s="86"/>
      <c r="AG28" s="88"/>
      <c r="AH28" s="89"/>
      <c r="AI28" s="86"/>
      <c r="AJ28" s="88"/>
      <c r="AK28" s="89"/>
      <c r="AL28" s="90">
        <v>6</v>
      </c>
      <c r="AM28" s="91" t="s">
        <v>49</v>
      </c>
      <c r="AN28" s="91" t="s">
        <v>472</v>
      </c>
      <c r="AO28" s="243" t="str">
        <f t="shared" si="3"/>
        <v>3SNCERABX8ARX38</v>
      </c>
    </row>
    <row r="29" spans="1:41" ht="15" customHeight="1" x14ac:dyDescent="0.15">
      <c r="A29" s="83">
        <v>333</v>
      </c>
      <c r="B29" s="92">
        <v>272</v>
      </c>
      <c r="C29" s="92">
        <v>7485</v>
      </c>
      <c r="D29" s="92" t="s">
        <v>50</v>
      </c>
      <c r="E29" s="92" t="s">
        <v>45</v>
      </c>
      <c r="F29" s="92"/>
      <c r="G29" s="92" t="str">
        <f t="shared" si="0"/>
        <v>331SNCERABX8ARX</v>
      </c>
      <c r="H29" s="92" t="s">
        <v>19</v>
      </c>
      <c r="I29" s="92" t="s">
        <v>20</v>
      </c>
      <c r="J29" s="92" t="s">
        <v>21</v>
      </c>
      <c r="K29" s="92" t="s">
        <v>47</v>
      </c>
      <c r="L29" s="92" t="s">
        <v>48</v>
      </c>
      <c r="M29" s="92" t="str">
        <f t="shared" si="1"/>
        <v>331SNCERABX8ARX381135</v>
      </c>
      <c r="N29" s="92" t="str">
        <f t="shared" si="2"/>
        <v>331SNCERABX8ARX38535</v>
      </c>
      <c r="O29" s="93">
        <v>38</v>
      </c>
      <c r="P29" s="92">
        <v>331</v>
      </c>
      <c r="Q29" s="92" t="s">
        <v>31</v>
      </c>
      <c r="R29" s="93">
        <v>1135</v>
      </c>
      <c r="S29" s="93">
        <v>12200</v>
      </c>
      <c r="T29" s="93">
        <v>535</v>
      </c>
      <c r="U29" s="93">
        <v>535</v>
      </c>
      <c r="V29" s="93">
        <v>2000</v>
      </c>
      <c r="W29" s="84">
        <v>2</v>
      </c>
      <c r="X29" s="85" t="s">
        <v>14</v>
      </c>
      <c r="Y29" s="86" t="s">
        <v>295</v>
      </c>
      <c r="Z29" s="87">
        <v>6</v>
      </c>
      <c r="AA29" s="88" t="s">
        <v>24</v>
      </c>
      <c r="AB29" s="89">
        <v>1450</v>
      </c>
      <c r="AC29" s="86">
        <v>3</v>
      </c>
      <c r="AD29" s="88" t="s">
        <v>51</v>
      </c>
      <c r="AE29" s="89">
        <v>570</v>
      </c>
      <c r="AF29" s="86"/>
      <c r="AG29" s="88"/>
      <c r="AH29" s="89"/>
      <c r="AI29" s="86"/>
      <c r="AJ29" s="88"/>
      <c r="AK29" s="89"/>
      <c r="AL29" s="90">
        <v>6</v>
      </c>
      <c r="AM29" s="91" t="s">
        <v>49</v>
      </c>
      <c r="AN29" s="91" t="s">
        <v>472</v>
      </c>
      <c r="AO29" s="243" t="str">
        <f t="shared" si="3"/>
        <v>331SNCERABX8ARX38</v>
      </c>
    </row>
    <row r="30" spans="1:41" ht="15" customHeight="1" x14ac:dyDescent="0.15">
      <c r="A30" s="83">
        <v>333</v>
      </c>
      <c r="B30" s="92">
        <v>271</v>
      </c>
      <c r="C30" s="92">
        <v>380604</v>
      </c>
      <c r="D30" s="92" t="s">
        <v>17</v>
      </c>
      <c r="E30" s="92" t="s">
        <v>18</v>
      </c>
      <c r="F30" s="92" t="s">
        <v>12</v>
      </c>
      <c r="G30" s="92" t="str">
        <f t="shared" si="0"/>
        <v>331SNCERABX8ARXA</v>
      </c>
      <c r="H30" s="92" t="s">
        <v>19</v>
      </c>
      <c r="I30" s="92" t="s">
        <v>20</v>
      </c>
      <c r="J30" s="92" t="s">
        <v>21</v>
      </c>
      <c r="K30" s="92" t="s">
        <v>52</v>
      </c>
      <c r="L30" s="92" t="s">
        <v>48</v>
      </c>
      <c r="M30" s="92" t="str">
        <f t="shared" si="1"/>
        <v>331SNCERABX8ARXA381335</v>
      </c>
      <c r="N30" s="92" t="str">
        <f t="shared" si="2"/>
        <v>331SNCERABX8ARXA381330</v>
      </c>
      <c r="O30" s="93">
        <v>38</v>
      </c>
      <c r="P30" s="92">
        <v>331</v>
      </c>
      <c r="Q30" s="92" t="s">
        <v>31</v>
      </c>
      <c r="R30" s="93">
        <v>1335</v>
      </c>
      <c r="S30" s="93">
        <v>12200</v>
      </c>
      <c r="T30" s="93">
        <v>1330</v>
      </c>
      <c r="U30" s="93">
        <v>1330</v>
      </c>
      <c r="V30" s="93">
        <v>6000</v>
      </c>
      <c r="W30" s="84">
        <v>2</v>
      </c>
      <c r="X30" s="85" t="s">
        <v>14</v>
      </c>
      <c r="Y30" s="86" t="s">
        <v>27</v>
      </c>
      <c r="Z30" s="87">
        <v>6</v>
      </c>
      <c r="AA30" s="88" t="s">
        <v>24</v>
      </c>
      <c r="AB30" s="89">
        <v>1450</v>
      </c>
      <c r="AC30" s="86">
        <v>6</v>
      </c>
      <c r="AD30" s="88" t="s">
        <v>24</v>
      </c>
      <c r="AE30" s="89">
        <v>1450</v>
      </c>
      <c r="AF30" s="86"/>
      <c r="AG30" s="88"/>
      <c r="AH30" s="89"/>
      <c r="AI30" s="86"/>
      <c r="AJ30" s="88"/>
      <c r="AK30" s="89"/>
      <c r="AL30" s="90">
        <v>6</v>
      </c>
      <c r="AM30" s="91"/>
      <c r="AN30" s="91" t="s">
        <v>472</v>
      </c>
      <c r="AO30" s="243" t="str">
        <f t="shared" si="3"/>
        <v>331SNCERABX8ARXA38</v>
      </c>
    </row>
    <row r="31" spans="1:41" ht="15" customHeight="1" x14ac:dyDescent="0.15">
      <c r="A31" s="83">
        <v>333</v>
      </c>
      <c r="B31" s="92">
        <v>271</v>
      </c>
      <c r="C31" s="92">
        <v>380604</v>
      </c>
      <c r="D31" s="92" t="s">
        <v>17</v>
      </c>
      <c r="E31" s="92" t="s">
        <v>18</v>
      </c>
      <c r="F31" s="92" t="s">
        <v>12</v>
      </c>
      <c r="G31" s="92" t="str">
        <f t="shared" si="0"/>
        <v>331SNCERABX8ARXA</v>
      </c>
      <c r="H31" s="92" t="s">
        <v>19</v>
      </c>
      <c r="I31" s="92" t="s">
        <v>20</v>
      </c>
      <c r="J31" s="92" t="s">
        <v>21</v>
      </c>
      <c r="K31" s="92" t="s">
        <v>52</v>
      </c>
      <c r="L31" s="92" t="s">
        <v>48</v>
      </c>
      <c r="M31" s="92" t="str">
        <f t="shared" si="1"/>
        <v>331SNCERABX8ARXA381333</v>
      </c>
      <c r="N31" s="92" t="str">
        <f t="shared" si="2"/>
        <v>331SNCERABX8ARXA381330</v>
      </c>
      <c r="O31" s="93">
        <v>38</v>
      </c>
      <c r="P31" s="92">
        <v>331</v>
      </c>
      <c r="Q31" s="92" t="s">
        <v>31</v>
      </c>
      <c r="R31" s="93">
        <v>1333</v>
      </c>
      <c r="S31" s="93">
        <v>12200</v>
      </c>
      <c r="T31" s="93">
        <v>1330</v>
      </c>
      <c r="U31" s="93">
        <v>1330</v>
      </c>
      <c r="V31" s="93">
        <v>6000</v>
      </c>
      <c r="W31" s="84">
        <v>2</v>
      </c>
      <c r="X31" s="85" t="s">
        <v>14</v>
      </c>
      <c r="Y31" s="86" t="s">
        <v>27</v>
      </c>
      <c r="Z31" s="87">
        <v>6</v>
      </c>
      <c r="AA31" s="88" t="s">
        <v>24</v>
      </c>
      <c r="AB31" s="89">
        <v>1450</v>
      </c>
      <c r="AC31" s="86">
        <v>6</v>
      </c>
      <c r="AD31" s="88" t="s">
        <v>24</v>
      </c>
      <c r="AE31" s="89">
        <v>1450</v>
      </c>
      <c r="AF31" s="86"/>
      <c r="AG31" s="88"/>
      <c r="AH31" s="89"/>
      <c r="AI31" s="86"/>
      <c r="AJ31" s="88"/>
      <c r="AK31" s="89"/>
      <c r="AL31" s="90">
        <v>6</v>
      </c>
      <c r="AM31" s="91"/>
      <c r="AN31" s="91" t="s">
        <v>472</v>
      </c>
      <c r="AO31" s="243" t="str">
        <f t="shared" si="3"/>
        <v>331SNCERABX8ARXA38</v>
      </c>
    </row>
    <row r="32" spans="1:41" ht="15" customHeight="1" x14ac:dyDescent="0.15">
      <c r="A32" s="83">
        <v>333</v>
      </c>
      <c r="B32" s="92">
        <v>271</v>
      </c>
      <c r="C32" s="92">
        <v>380604</v>
      </c>
      <c r="D32" s="92" t="s">
        <v>17</v>
      </c>
      <c r="E32" s="92" t="s">
        <v>18</v>
      </c>
      <c r="F32" s="92" t="s">
        <v>12</v>
      </c>
      <c r="G32" s="92" t="str">
        <f t="shared" si="0"/>
        <v>3303SNCERABX8ARXA</v>
      </c>
      <c r="H32" s="92" t="s">
        <v>19</v>
      </c>
      <c r="I32" s="92" t="s">
        <v>20</v>
      </c>
      <c r="J32" s="92" t="s">
        <v>21</v>
      </c>
      <c r="K32" s="92" t="s">
        <v>52</v>
      </c>
      <c r="L32" s="92" t="s">
        <v>48</v>
      </c>
      <c r="M32" s="92" t="str">
        <f t="shared" si="1"/>
        <v>3303SNCERABX8ARXA381335</v>
      </c>
      <c r="N32" s="92" t="str">
        <f t="shared" si="2"/>
        <v>3303SNCERABX8ARXA381330</v>
      </c>
      <c r="O32" s="93">
        <v>38</v>
      </c>
      <c r="P32" s="92">
        <v>3303</v>
      </c>
      <c r="Q32" s="92" t="s">
        <v>31</v>
      </c>
      <c r="R32" s="93">
        <v>1335</v>
      </c>
      <c r="S32" s="93">
        <v>12200</v>
      </c>
      <c r="T32" s="93">
        <v>1330</v>
      </c>
      <c r="U32" s="93">
        <v>1330</v>
      </c>
      <c r="V32" s="93">
        <v>6000</v>
      </c>
      <c r="W32" s="84">
        <v>2</v>
      </c>
      <c r="X32" s="85" t="s">
        <v>14</v>
      </c>
      <c r="Y32" s="86" t="s">
        <v>27</v>
      </c>
      <c r="Z32" s="87">
        <v>6</v>
      </c>
      <c r="AA32" s="88" t="s">
        <v>24</v>
      </c>
      <c r="AB32" s="89">
        <v>1450</v>
      </c>
      <c r="AC32" s="86">
        <v>6</v>
      </c>
      <c r="AD32" s="88" t="s">
        <v>24</v>
      </c>
      <c r="AE32" s="89">
        <v>1450</v>
      </c>
      <c r="AF32" s="86"/>
      <c r="AG32" s="88"/>
      <c r="AH32" s="89"/>
      <c r="AI32" s="86"/>
      <c r="AJ32" s="88"/>
      <c r="AK32" s="89"/>
      <c r="AL32" s="90">
        <v>6</v>
      </c>
      <c r="AM32" s="91"/>
      <c r="AN32" s="91" t="s">
        <v>472</v>
      </c>
      <c r="AO32" s="243" t="str">
        <f t="shared" si="3"/>
        <v>3303SNCERABX8ARXA38</v>
      </c>
    </row>
    <row r="33" spans="1:41" ht="15" customHeight="1" x14ac:dyDescent="0.15">
      <c r="A33" s="83">
        <v>333</v>
      </c>
      <c r="B33" s="92">
        <v>271</v>
      </c>
      <c r="C33" s="92">
        <v>35541</v>
      </c>
      <c r="D33" s="92" t="s">
        <v>32</v>
      </c>
      <c r="E33" s="92" t="s">
        <v>18</v>
      </c>
      <c r="F33" s="92" t="s">
        <v>12</v>
      </c>
      <c r="G33" s="92" t="str">
        <f t="shared" si="0"/>
        <v>331SNCERABX8ARXT</v>
      </c>
      <c r="H33" s="92" t="s">
        <v>19</v>
      </c>
      <c r="I33" s="92" t="s">
        <v>20</v>
      </c>
      <c r="J33" s="92" t="s">
        <v>21</v>
      </c>
      <c r="K33" s="92" t="s">
        <v>54</v>
      </c>
      <c r="L33" s="92" t="s">
        <v>48</v>
      </c>
      <c r="M33" s="92" t="str">
        <f t="shared" si="1"/>
        <v>331SNCERABX8ARXT381335</v>
      </c>
      <c r="N33" s="92" t="str">
        <f t="shared" si="2"/>
        <v>331SNCERABX8ARXT381330</v>
      </c>
      <c r="O33" s="93">
        <v>38</v>
      </c>
      <c r="P33" s="92">
        <v>331</v>
      </c>
      <c r="Q33" s="92" t="s">
        <v>34</v>
      </c>
      <c r="R33" s="93">
        <v>1335</v>
      </c>
      <c r="S33" s="93">
        <v>12200</v>
      </c>
      <c r="T33" s="93">
        <v>1330</v>
      </c>
      <c r="U33" s="93">
        <v>1330</v>
      </c>
      <c r="V33" s="93">
        <v>6000</v>
      </c>
      <c r="W33" s="84">
        <v>2</v>
      </c>
      <c r="X33" s="85" t="s">
        <v>14</v>
      </c>
      <c r="Y33" s="86" t="s">
        <v>295</v>
      </c>
      <c r="Z33" s="87">
        <v>6</v>
      </c>
      <c r="AA33" s="88" t="s">
        <v>24</v>
      </c>
      <c r="AB33" s="89">
        <v>1450</v>
      </c>
      <c r="AC33" s="86">
        <v>6</v>
      </c>
      <c r="AD33" s="88" t="s">
        <v>24</v>
      </c>
      <c r="AE33" s="89">
        <v>1450</v>
      </c>
      <c r="AF33" s="86"/>
      <c r="AG33" s="88"/>
      <c r="AH33" s="89"/>
      <c r="AI33" s="86"/>
      <c r="AJ33" s="88"/>
      <c r="AK33" s="89"/>
      <c r="AL33" s="90">
        <v>6</v>
      </c>
      <c r="AM33" s="91" t="s">
        <v>49</v>
      </c>
      <c r="AN33" s="91" t="s">
        <v>472</v>
      </c>
      <c r="AO33" s="243" t="str">
        <f t="shared" si="3"/>
        <v>331SNCERABX8ARXT38</v>
      </c>
    </row>
    <row r="34" spans="1:41" ht="15" customHeight="1" x14ac:dyDescent="0.15">
      <c r="A34" s="83">
        <v>333</v>
      </c>
      <c r="B34" s="92">
        <v>271</v>
      </c>
      <c r="C34" s="92">
        <v>35541</v>
      </c>
      <c r="D34" s="92" t="s">
        <v>32</v>
      </c>
      <c r="E34" s="92" t="s">
        <v>18</v>
      </c>
      <c r="F34" s="92" t="s">
        <v>12</v>
      </c>
      <c r="G34" s="92" t="str">
        <f t="shared" si="0"/>
        <v>3303SNCERABX8ARXT</v>
      </c>
      <c r="H34" s="92" t="s">
        <v>19</v>
      </c>
      <c r="I34" s="92" t="s">
        <v>20</v>
      </c>
      <c r="J34" s="92" t="s">
        <v>21</v>
      </c>
      <c r="K34" s="92" t="s">
        <v>54</v>
      </c>
      <c r="L34" s="92" t="s">
        <v>48</v>
      </c>
      <c r="M34" s="92" t="str">
        <f t="shared" si="1"/>
        <v>3303SNCERABX8ARXT381335</v>
      </c>
      <c r="N34" s="92" t="str">
        <f t="shared" si="2"/>
        <v>3303SNCERABX8ARXT381330</v>
      </c>
      <c r="O34" s="93">
        <v>38</v>
      </c>
      <c r="P34" s="92">
        <v>3303</v>
      </c>
      <c r="Q34" s="92" t="s">
        <v>34</v>
      </c>
      <c r="R34" s="93">
        <v>1335</v>
      </c>
      <c r="S34" s="93">
        <v>12200</v>
      </c>
      <c r="T34" s="93">
        <v>1330</v>
      </c>
      <c r="U34" s="93">
        <v>1330</v>
      </c>
      <c r="V34" s="93">
        <v>6000</v>
      </c>
      <c r="W34" s="84">
        <v>2</v>
      </c>
      <c r="X34" s="85" t="s">
        <v>14</v>
      </c>
      <c r="Y34" s="86" t="s">
        <v>295</v>
      </c>
      <c r="Z34" s="87">
        <v>6</v>
      </c>
      <c r="AA34" s="88" t="s">
        <v>24</v>
      </c>
      <c r="AB34" s="89">
        <v>1450</v>
      </c>
      <c r="AC34" s="86">
        <v>6</v>
      </c>
      <c r="AD34" s="88" t="s">
        <v>24</v>
      </c>
      <c r="AE34" s="89">
        <v>1450</v>
      </c>
      <c r="AF34" s="86"/>
      <c r="AG34" s="88"/>
      <c r="AH34" s="89"/>
      <c r="AI34" s="86"/>
      <c r="AJ34" s="88"/>
      <c r="AK34" s="89"/>
      <c r="AL34" s="90">
        <v>6</v>
      </c>
      <c r="AM34" s="91" t="s">
        <v>449</v>
      </c>
      <c r="AN34" s="91" t="s">
        <v>472</v>
      </c>
      <c r="AO34" s="243" t="str">
        <f t="shared" si="3"/>
        <v>3303SNCERABX8ARXT38</v>
      </c>
    </row>
    <row r="35" spans="1:41" ht="15" customHeight="1" x14ac:dyDescent="0.15">
      <c r="A35" s="83">
        <v>333</v>
      </c>
      <c r="B35" s="92">
        <v>271</v>
      </c>
      <c r="C35" s="92">
        <v>35541</v>
      </c>
      <c r="D35" s="92" t="s">
        <v>32</v>
      </c>
      <c r="E35" s="92" t="s">
        <v>18</v>
      </c>
      <c r="F35" s="92" t="s">
        <v>12</v>
      </c>
      <c r="G35" s="92" t="str">
        <f t="shared" si="0"/>
        <v>331SNCERABX8ARXT</v>
      </c>
      <c r="H35" s="92" t="s">
        <v>19</v>
      </c>
      <c r="I35" s="92" t="s">
        <v>20</v>
      </c>
      <c r="J35" s="92" t="s">
        <v>21</v>
      </c>
      <c r="K35" s="92" t="s">
        <v>54</v>
      </c>
      <c r="L35" s="92" t="s">
        <v>48</v>
      </c>
      <c r="M35" s="92" t="str">
        <f t="shared" si="1"/>
        <v>331SNCERABX8ARXT381585</v>
      </c>
      <c r="N35" s="92" t="str">
        <f t="shared" si="2"/>
        <v>331SNCERABX8ARXT381580</v>
      </c>
      <c r="O35" s="93">
        <v>38</v>
      </c>
      <c r="P35" s="92">
        <v>331</v>
      </c>
      <c r="Q35" s="92" t="s">
        <v>34</v>
      </c>
      <c r="R35" s="93">
        <v>1585</v>
      </c>
      <c r="S35" s="93">
        <v>12200</v>
      </c>
      <c r="T35" s="93">
        <v>1580</v>
      </c>
      <c r="U35" s="93">
        <v>1580</v>
      </c>
      <c r="V35" s="93">
        <v>6000</v>
      </c>
      <c r="W35" s="84">
        <v>2</v>
      </c>
      <c r="X35" s="85" t="s">
        <v>14</v>
      </c>
      <c r="Y35" s="86" t="s">
        <v>295</v>
      </c>
      <c r="Z35" s="87">
        <v>6</v>
      </c>
      <c r="AA35" s="88" t="s">
        <v>24</v>
      </c>
      <c r="AB35" s="89">
        <v>1700</v>
      </c>
      <c r="AC35" s="86">
        <v>6</v>
      </c>
      <c r="AD35" s="88" t="s">
        <v>24</v>
      </c>
      <c r="AE35" s="89">
        <v>1700</v>
      </c>
      <c r="AF35" s="86"/>
      <c r="AG35" s="88"/>
      <c r="AH35" s="89"/>
      <c r="AI35" s="86"/>
      <c r="AJ35" s="88"/>
      <c r="AK35" s="89"/>
      <c r="AL35" s="90">
        <v>6</v>
      </c>
      <c r="AM35" s="91" t="s">
        <v>49</v>
      </c>
      <c r="AN35" s="91" t="s">
        <v>472</v>
      </c>
      <c r="AO35" s="243" t="str">
        <f t="shared" si="3"/>
        <v>331SNCERABX8ARXT38</v>
      </c>
    </row>
    <row r="36" spans="1:41" ht="15" customHeight="1" x14ac:dyDescent="0.15">
      <c r="A36" s="83">
        <v>333</v>
      </c>
      <c r="B36" s="92">
        <v>271</v>
      </c>
      <c r="C36" s="92">
        <v>380604</v>
      </c>
      <c r="D36" s="92" t="s">
        <v>17</v>
      </c>
      <c r="E36" s="92" t="s">
        <v>18</v>
      </c>
      <c r="F36" s="92" t="s">
        <v>26</v>
      </c>
      <c r="G36" s="92" t="str">
        <f t="shared" si="0"/>
        <v>3SNCERABX8AD</v>
      </c>
      <c r="H36" s="92" t="s">
        <v>19</v>
      </c>
      <c r="I36" s="92" t="s">
        <v>20</v>
      </c>
      <c r="J36" s="92" t="s">
        <v>21</v>
      </c>
      <c r="K36" s="92" t="s">
        <v>2034</v>
      </c>
      <c r="L36" s="92" t="s">
        <v>2035</v>
      </c>
      <c r="M36" s="92" t="str">
        <f t="shared" si="1"/>
        <v>3SNCERABX8AD751337</v>
      </c>
      <c r="N36" s="92" t="str">
        <f t="shared" si="2"/>
        <v>3SNCERABX8AD751330</v>
      </c>
      <c r="O36" s="93">
        <v>75</v>
      </c>
      <c r="P36" s="92">
        <v>3</v>
      </c>
      <c r="Q36" s="92" t="s">
        <v>55</v>
      </c>
      <c r="R36" s="93">
        <v>1337</v>
      </c>
      <c r="S36" s="93">
        <v>5200</v>
      </c>
      <c r="T36" s="93">
        <v>1337</v>
      </c>
      <c r="U36" s="93">
        <v>1330</v>
      </c>
      <c r="V36" s="93">
        <v>5000</v>
      </c>
      <c r="W36" s="84">
        <v>2</v>
      </c>
      <c r="X36" s="85" t="s">
        <v>14</v>
      </c>
      <c r="Y36" s="86" t="s">
        <v>15</v>
      </c>
      <c r="Z36" s="87">
        <v>6</v>
      </c>
      <c r="AA36" s="88" t="s">
        <v>24</v>
      </c>
      <c r="AB36" s="89">
        <v>1450</v>
      </c>
      <c r="AC36" s="86">
        <v>6</v>
      </c>
      <c r="AD36" s="88" t="s">
        <v>24</v>
      </c>
      <c r="AE36" s="89">
        <v>1450</v>
      </c>
      <c r="AF36" s="86"/>
      <c r="AG36" s="88"/>
      <c r="AH36" s="89"/>
      <c r="AI36" s="86"/>
      <c r="AJ36" s="88"/>
      <c r="AK36" s="89"/>
      <c r="AL36" s="90">
        <v>6</v>
      </c>
      <c r="AM36" s="91"/>
      <c r="AN36" s="91" t="s">
        <v>472</v>
      </c>
      <c r="AO36" s="243" t="str">
        <f t="shared" si="3"/>
        <v>3SNCERABX8AD75</v>
      </c>
    </row>
    <row r="37" spans="1:41" ht="15" customHeight="1" x14ac:dyDescent="0.15">
      <c r="A37" s="83">
        <v>333</v>
      </c>
      <c r="B37" s="92">
        <v>271</v>
      </c>
      <c r="C37" s="92">
        <v>380604</v>
      </c>
      <c r="D37" s="92" t="s">
        <v>17</v>
      </c>
      <c r="E37" s="92" t="s">
        <v>18</v>
      </c>
      <c r="F37" s="92" t="s">
        <v>26</v>
      </c>
      <c r="G37" s="92" t="str">
        <f t="shared" si="0"/>
        <v>3SNCERABX8AD</v>
      </c>
      <c r="H37" s="92" t="s">
        <v>19</v>
      </c>
      <c r="I37" s="92" t="s">
        <v>20</v>
      </c>
      <c r="J37" s="92" t="s">
        <v>21</v>
      </c>
      <c r="K37" s="92" t="s">
        <v>2034</v>
      </c>
      <c r="L37" s="92" t="s">
        <v>2035</v>
      </c>
      <c r="M37" s="92" t="str">
        <f t="shared" si="1"/>
        <v>3SNCERABX8AD751335</v>
      </c>
      <c r="N37" s="92" t="str">
        <f t="shared" si="2"/>
        <v>3SNCERABX8AD751330</v>
      </c>
      <c r="O37" s="93">
        <v>75</v>
      </c>
      <c r="P37" s="92">
        <v>3</v>
      </c>
      <c r="Q37" s="92" t="s">
        <v>55</v>
      </c>
      <c r="R37" s="93">
        <v>1335</v>
      </c>
      <c r="S37" s="93">
        <v>5200</v>
      </c>
      <c r="T37" s="93">
        <v>1335</v>
      </c>
      <c r="U37" s="93">
        <v>1330</v>
      </c>
      <c r="V37" s="93">
        <v>5000</v>
      </c>
      <c r="W37" s="84">
        <v>2</v>
      </c>
      <c r="X37" s="85" t="s">
        <v>14</v>
      </c>
      <c r="Y37" s="86" t="s">
        <v>15</v>
      </c>
      <c r="Z37" s="87">
        <v>6</v>
      </c>
      <c r="AA37" s="88" t="s">
        <v>24</v>
      </c>
      <c r="AB37" s="89">
        <v>1450</v>
      </c>
      <c r="AC37" s="86">
        <v>6</v>
      </c>
      <c r="AD37" s="88" t="s">
        <v>24</v>
      </c>
      <c r="AE37" s="89">
        <v>1450</v>
      </c>
      <c r="AF37" s="86"/>
      <c r="AG37" s="88"/>
      <c r="AH37" s="89"/>
      <c r="AI37" s="86"/>
      <c r="AJ37" s="88"/>
      <c r="AK37" s="89"/>
      <c r="AL37" s="90">
        <v>6</v>
      </c>
      <c r="AM37" s="91"/>
      <c r="AN37" s="91" t="s">
        <v>472</v>
      </c>
      <c r="AO37" s="243" t="str">
        <f t="shared" si="3"/>
        <v>3SNCERABX8AD75</v>
      </c>
    </row>
    <row r="38" spans="1:41" ht="15" customHeight="1" x14ac:dyDescent="0.15">
      <c r="A38" s="83">
        <v>333</v>
      </c>
      <c r="B38" s="92">
        <v>271</v>
      </c>
      <c r="C38" s="92">
        <v>35541</v>
      </c>
      <c r="D38" s="92" t="s">
        <v>32</v>
      </c>
      <c r="E38" s="92" t="s">
        <v>18</v>
      </c>
      <c r="F38" s="92" t="s">
        <v>12</v>
      </c>
      <c r="G38" s="92" t="str">
        <f t="shared" si="0"/>
        <v>3SNCERABX8AX</v>
      </c>
      <c r="H38" s="92" t="s">
        <v>19</v>
      </c>
      <c r="I38" s="92" t="s">
        <v>20</v>
      </c>
      <c r="J38" s="92" t="s">
        <v>21</v>
      </c>
      <c r="K38" s="92" t="s">
        <v>56</v>
      </c>
      <c r="L38" s="92" t="s">
        <v>2036</v>
      </c>
      <c r="M38" s="92" t="str">
        <f t="shared" si="1"/>
        <v>3SNCERABX8AX751335</v>
      </c>
      <c r="N38" s="92" t="str">
        <f t="shared" si="2"/>
        <v>3SNCERABX8AX751330</v>
      </c>
      <c r="O38" s="93">
        <v>75</v>
      </c>
      <c r="P38" s="92">
        <v>3</v>
      </c>
      <c r="Q38" s="92" t="s">
        <v>13</v>
      </c>
      <c r="R38" s="93">
        <v>1335</v>
      </c>
      <c r="S38" s="93">
        <v>4300</v>
      </c>
      <c r="T38" s="93">
        <v>1330</v>
      </c>
      <c r="U38" s="93">
        <v>1330</v>
      </c>
      <c r="V38" s="93">
        <v>4100</v>
      </c>
      <c r="W38" s="84">
        <v>2</v>
      </c>
      <c r="X38" s="85" t="s">
        <v>14</v>
      </c>
      <c r="Y38" s="86" t="s">
        <v>15</v>
      </c>
      <c r="Z38" s="87">
        <v>6</v>
      </c>
      <c r="AA38" s="88" t="s">
        <v>24</v>
      </c>
      <c r="AB38" s="89">
        <v>1450</v>
      </c>
      <c r="AC38" s="86">
        <v>6</v>
      </c>
      <c r="AD38" s="88" t="s">
        <v>24</v>
      </c>
      <c r="AE38" s="89">
        <v>1450</v>
      </c>
      <c r="AF38" s="86"/>
      <c r="AG38" s="88"/>
      <c r="AH38" s="89"/>
      <c r="AI38" s="86"/>
      <c r="AJ38" s="88"/>
      <c r="AK38" s="89"/>
      <c r="AL38" s="90">
        <v>6</v>
      </c>
      <c r="AM38" s="91"/>
      <c r="AN38" s="91" t="s">
        <v>472</v>
      </c>
      <c r="AO38" s="243" t="str">
        <f t="shared" si="3"/>
        <v>3SNCERABX8AX75</v>
      </c>
    </row>
    <row r="39" spans="1:41" ht="15" customHeight="1" x14ac:dyDescent="0.15">
      <c r="A39" s="83">
        <v>333</v>
      </c>
      <c r="B39" s="92">
        <v>276</v>
      </c>
      <c r="C39" s="92">
        <v>3621</v>
      </c>
      <c r="D39" s="92" t="s">
        <v>57</v>
      </c>
      <c r="E39" s="92" t="s">
        <v>58</v>
      </c>
      <c r="F39" s="92" t="s">
        <v>12</v>
      </c>
      <c r="G39" s="92" t="str">
        <f t="shared" si="0"/>
        <v>3SNCERABX8AX</v>
      </c>
      <c r="H39" s="92" t="s">
        <v>19</v>
      </c>
      <c r="I39" s="92" t="s">
        <v>20</v>
      </c>
      <c r="J39" s="92" t="s">
        <v>21</v>
      </c>
      <c r="K39" s="92" t="s">
        <v>56</v>
      </c>
      <c r="L39" s="92" t="s">
        <v>2036</v>
      </c>
      <c r="M39" s="92" t="str">
        <f t="shared" si="1"/>
        <v>3SNCERABX8AX751110</v>
      </c>
      <c r="N39" s="92" t="str">
        <f t="shared" si="2"/>
        <v>3SNCERABX8AX751100</v>
      </c>
      <c r="O39" s="93">
        <v>75</v>
      </c>
      <c r="P39" s="92">
        <v>3</v>
      </c>
      <c r="Q39" s="92" t="s">
        <v>13</v>
      </c>
      <c r="R39" s="93">
        <v>1110</v>
      </c>
      <c r="S39" s="93">
        <v>4200</v>
      </c>
      <c r="T39" s="93">
        <v>1110</v>
      </c>
      <c r="U39" s="93">
        <v>1100</v>
      </c>
      <c r="V39" s="93">
        <v>4000</v>
      </c>
      <c r="W39" s="84">
        <v>2</v>
      </c>
      <c r="X39" s="85" t="s">
        <v>14</v>
      </c>
      <c r="Y39" s="86" t="s">
        <v>15</v>
      </c>
      <c r="Z39" s="87">
        <v>6</v>
      </c>
      <c r="AA39" s="88" t="s">
        <v>24</v>
      </c>
      <c r="AB39" s="89">
        <v>1450</v>
      </c>
      <c r="AC39" s="86"/>
      <c r="AD39" s="88"/>
      <c r="AE39" s="89"/>
      <c r="AF39" s="86"/>
      <c r="AG39" s="88"/>
      <c r="AH39" s="89"/>
      <c r="AI39" s="86"/>
      <c r="AJ39" s="88"/>
      <c r="AK39" s="89"/>
      <c r="AL39" s="90">
        <v>6</v>
      </c>
      <c r="AM39" s="91"/>
      <c r="AN39" s="91" t="s">
        <v>472</v>
      </c>
      <c r="AO39" s="243" t="str">
        <f t="shared" si="3"/>
        <v>3SNCERABX8AX75</v>
      </c>
    </row>
    <row r="40" spans="1:41" ht="15" customHeight="1" x14ac:dyDescent="0.15">
      <c r="A40" s="83">
        <v>333</v>
      </c>
      <c r="B40" s="92">
        <v>276</v>
      </c>
      <c r="C40" s="92">
        <v>3621</v>
      </c>
      <c r="D40" s="92" t="s">
        <v>57</v>
      </c>
      <c r="E40" s="92" t="s">
        <v>58</v>
      </c>
      <c r="F40" s="92" t="s">
        <v>46</v>
      </c>
      <c r="G40" s="92" t="str">
        <f t="shared" si="0"/>
        <v>3SYCERABX8AS</v>
      </c>
      <c r="H40" s="92" t="s">
        <v>19</v>
      </c>
      <c r="I40" s="92" t="s">
        <v>28</v>
      </c>
      <c r="J40" s="92" t="s">
        <v>21</v>
      </c>
      <c r="K40" s="92" t="s">
        <v>1562</v>
      </c>
      <c r="L40" s="92" t="s">
        <v>2037</v>
      </c>
      <c r="M40" s="92" t="str">
        <f t="shared" si="1"/>
        <v>3SYCERABX8AS751045</v>
      </c>
      <c r="N40" s="92" t="str">
        <f t="shared" si="2"/>
        <v>3SYCERABX8AS751040</v>
      </c>
      <c r="O40" s="93">
        <v>75</v>
      </c>
      <c r="P40" s="92">
        <v>3</v>
      </c>
      <c r="Q40" s="92" t="s">
        <v>59</v>
      </c>
      <c r="R40" s="93">
        <v>1045</v>
      </c>
      <c r="S40" s="93">
        <v>4200</v>
      </c>
      <c r="T40" s="93">
        <v>1040</v>
      </c>
      <c r="U40" s="93">
        <v>1040</v>
      </c>
      <c r="V40" s="93">
        <v>4000</v>
      </c>
      <c r="W40" s="84">
        <v>1</v>
      </c>
      <c r="X40" s="85" t="s">
        <v>14</v>
      </c>
      <c r="Y40" s="86" t="s">
        <v>15</v>
      </c>
      <c r="Z40" s="87">
        <v>6</v>
      </c>
      <c r="AA40" s="88" t="s">
        <v>16</v>
      </c>
      <c r="AB40" s="89">
        <v>1060</v>
      </c>
      <c r="AC40" s="86">
        <v>6</v>
      </c>
      <c r="AD40" s="88" t="s">
        <v>16</v>
      </c>
      <c r="AE40" s="89">
        <v>1060</v>
      </c>
      <c r="AF40" s="86"/>
      <c r="AG40" s="88"/>
      <c r="AH40" s="89"/>
      <c r="AI40" s="86"/>
      <c r="AJ40" s="88"/>
      <c r="AK40" s="89"/>
      <c r="AL40" s="90">
        <v>6</v>
      </c>
      <c r="AM40" s="91"/>
      <c r="AN40" s="91" t="s">
        <v>472</v>
      </c>
      <c r="AO40" s="243" t="str">
        <f t="shared" si="3"/>
        <v>3SYCERABX8AS75</v>
      </c>
    </row>
    <row r="41" spans="1:41" ht="15" customHeight="1" x14ac:dyDescent="0.15">
      <c r="A41" s="83">
        <v>333</v>
      </c>
      <c r="B41" s="92">
        <v>271</v>
      </c>
      <c r="C41" s="92">
        <v>347301</v>
      </c>
      <c r="D41" s="92" t="s">
        <v>2038</v>
      </c>
      <c r="E41" s="92" t="s">
        <v>11</v>
      </c>
      <c r="F41" s="92" t="s">
        <v>210</v>
      </c>
      <c r="G41" s="92" t="str">
        <f t="shared" si="0"/>
        <v>3SNCERABX8A14</v>
      </c>
      <c r="H41" s="92" t="s">
        <v>1549</v>
      </c>
      <c r="I41" s="92" t="s">
        <v>1550</v>
      </c>
      <c r="J41" s="92" t="s">
        <v>21</v>
      </c>
      <c r="K41" s="92" t="s">
        <v>1561</v>
      </c>
      <c r="L41" s="92" t="s">
        <v>2039</v>
      </c>
      <c r="M41" s="92" t="str">
        <f t="shared" si="1"/>
        <v>3SNCERABX8A14751310</v>
      </c>
      <c r="N41" s="92" t="str">
        <f t="shared" si="2"/>
        <v>3SNCERABX8A14751300</v>
      </c>
      <c r="O41" s="93">
        <v>75</v>
      </c>
      <c r="P41" s="92">
        <v>3</v>
      </c>
      <c r="Q41" s="92" t="s">
        <v>1991</v>
      </c>
      <c r="R41" s="93">
        <v>1310</v>
      </c>
      <c r="S41" s="93">
        <v>4500</v>
      </c>
      <c r="T41" s="93">
        <v>1300</v>
      </c>
      <c r="U41" s="93">
        <v>1300</v>
      </c>
      <c r="V41" s="93">
        <v>4300</v>
      </c>
      <c r="W41" s="84">
        <v>2</v>
      </c>
      <c r="X41" s="85" t="s">
        <v>14</v>
      </c>
      <c r="Y41" s="86" t="s">
        <v>15</v>
      </c>
      <c r="Z41" s="87">
        <v>6</v>
      </c>
      <c r="AA41" s="88" t="s">
        <v>24</v>
      </c>
      <c r="AB41" s="89">
        <v>1320</v>
      </c>
      <c r="AC41" s="86"/>
      <c r="AD41" s="88"/>
      <c r="AE41" s="89"/>
      <c r="AF41" s="86"/>
      <c r="AG41" s="88"/>
      <c r="AH41" s="89"/>
      <c r="AI41" s="86"/>
      <c r="AJ41" s="88"/>
      <c r="AK41" s="89"/>
      <c r="AL41" s="90">
        <v>6</v>
      </c>
      <c r="AM41" s="91"/>
      <c r="AN41" s="91" t="s">
        <v>472</v>
      </c>
      <c r="AO41" s="243" t="str">
        <f t="shared" si="3"/>
        <v>3SNCERABX8A1475</v>
      </c>
    </row>
    <row r="42" spans="1:41" ht="15" customHeight="1" x14ac:dyDescent="0.15">
      <c r="A42" s="83">
        <v>333</v>
      </c>
      <c r="B42" s="92">
        <v>276</v>
      </c>
      <c r="C42" s="92">
        <v>3621</v>
      </c>
      <c r="D42" s="92" t="s">
        <v>57</v>
      </c>
      <c r="E42" s="92" t="s">
        <v>58</v>
      </c>
      <c r="F42" s="92" t="s">
        <v>46</v>
      </c>
      <c r="G42" s="92" t="str">
        <f t="shared" si="0"/>
        <v>3SYCERABX9AS</v>
      </c>
      <c r="H42" s="92" t="s">
        <v>19</v>
      </c>
      <c r="I42" s="92" t="s">
        <v>28</v>
      </c>
      <c r="J42" s="92" t="s">
        <v>21</v>
      </c>
      <c r="K42" s="92" t="s">
        <v>60</v>
      </c>
      <c r="L42" s="92" t="s">
        <v>2040</v>
      </c>
      <c r="M42" s="92" t="str">
        <f t="shared" si="1"/>
        <v>3SYCERABX9AS751045</v>
      </c>
      <c r="N42" s="92" t="str">
        <f t="shared" si="2"/>
        <v>3SYCERABX9AS751040</v>
      </c>
      <c r="O42" s="93">
        <v>75</v>
      </c>
      <c r="P42" s="92">
        <v>3</v>
      </c>
      <c r="Q42" s="92" t="s">
        <v>59</v>
      </c>
      <c r="R42" s="93">
        <v>1045</v>
      </c>
      <c r="S42" s="93">
        <v>4200</v>
      </c>
      <c r="T42" s="93">
        <v>1040</v>
      </c>
      <c r="U42" s="93">
        <v>1040</v>
      </c>
      <c r="V42" s="93">
        <v>4000</v>
      </c>
      <c r="W42" s="84">
        <v>1</v>
      </c>
      <c r="X42" s="85" t="s">
        <v>14</v>
      </c>
      <c r="Y42" s="86" t="s">
        <v>15</v>
      </c>
      <c r="Z42" s="87">
        <v>6</v>
      </c>
      <c r="AA42" s="88" t="s">
        <v>16</v>
      </c>
      <c r="AB42" s="89">
        <v>1060</v>
      </c>
      <c r="AC42" s="86">
        <v>6</v>
      </c>
      <c r="AD42" s="88" t="s">
        <v>16</v>
      </c>
      <c r="AE42" s="89">
        <v>1060</v>
      </c>
      <c r="AF42" s="86"/>
      <c r="AG42" s="88"/>
      <c r="AH42" s="89"/>
      <c r="AI42" s="86"/>
      <c r="AJ42" s="88"/>
      <c r="AK42" s="89"/>
      <c r="AL42" s="90">
        <v>6</v>
      </c>
      <c r="AM42" s="91"/>
      <c r="AN42" s="91" t="s">
        <v>472</v>
      </c>
      <c r="AO42" s="243" t="str">
        <f t="shared" si="3"/>
        <v>3SYCERABX9AS75</v>
      </c>
    </row>
    <row r="43" spans="1:41" ht="15" customHeight="1" x14ac:dyDescent="0.15">
      <c r="A43" s="83">
        <v>333</v>
      </c>
      <c r="B43" s="92">
        <v>272</v>
      </c>
      <c r="C43" s="92">
        <v>36882</v>
      </c>
      <c r="D43" s="92" t="s">
        <v>61</v>
      </c>
      <c r="E43" s="92" t="s">
        <v>45</v>
      </c>
      <c r="F43" s="92" t="s">
        <v>12</v>
      </c>
      <c r="G43" s="92" t="str">
        <f t="shared" si="0"/>
        <v>3313SNCERAMD(A)R</v>
      </c>
      <c r="H43" s="92" t="s">
        <v>19</v>
      </c>
      <c r="I43" s="92" t="s">
        <v>20</v>
      </c>
      <c r="J43" s="92" t="s">
        <v>21</v>
      </c>
      <c r="K43" s="92" t="s">
        <v>62</v>
      </c>
      <c r="L43" s="92" t="s">
        <v>63</v>
      </c>
      <c r="M43" s="92" t="str">
        <f t="shared" si="1"/>
        <v>3313SNCERAMD(A)R381550</v>
      </c>
      <c r="N43" s="92" t="str">
        <f t="shared" si="2"/>
        <v>3313SNCERAMD(A)R38750</v>
      </c>
      <c r="O43" s="93">
        <v>38</v>
      </c>
      <c r="P43" s="92">
        <v>3313</v>
      </c>
      <c r="Q43" s="92" t="s">
        <v>31</v>
      </c>
      <c r="R43" s="93">
        <v>1550</v>
      </c>
      <c r="S43" s="93">
        <v>12200</v>
      </c>
      <c r="T43" s="93">
        <v>750</v>
      </c>
      <c r="U43" s="93">
        <v>750</v>
      </c>
      <c r="V43" s="93">
        <v>6000</v>
      </c>
      <c r="W43" s="84">
        <v>2</v>
      </c>
      <c r="X43" s="85" t="s">
        <v>14</v>
      </c>
      <c r="Y43" s="86" t="s">
        <v>295</v>
      </c>
      <c r="Z43" s="87">
        <v>6</v>
      </c>
      <c r="AA43" s="88" t="s">
        <v>24</v>
      </c>
      <c r="AB43" s="89">
        <v>1700</v>
      </c>
      <c r="AC43" s="86">
        <v>6</v>
      </c>
      <c r="AD43" s="88" t="s">
        <v>24</v>
      </c>
      <c r="AE43" s="89">
        <v>930</v>
      </c>
      <c r="AF43" s="86"/>
      <c r="AG43" s="88"/>
      <c r="AH43" s="89"/>
      <c r="AI43" s="86"/>
      <c r="AJ43" s="88"/>
      <c r="AK43" s="89"/>
      <c r="AL43" s="90"/>
      <c r="AM43" s="91"/>
      <c r="AN43" s="91" t="s">
        <v>473</v>
      </c>
      <c r="AO43" s="243" t="str">
        <f t="shared" si="3"/>
        <v>3313SNCERAMD(A)R38</v>
      </c>
    </row>
    <row r="44" spans="1:41" ht="15" customHeight="1" x14ac:dyDescent="0.15">
      <c r="A44" s="83">
        <v>333</v>
      </c>
      <c r="B44" s="92">
        <v>272</v>
      </c>
      <c r="C44" s="92">
        <v>36882</v>
      </c>
      <c r="D44" s="92" t="s">
        <v>61</v>
      </c>
      <c r="E44" s="92" t="s">
        <v>45</v>
      </c>
      <c r="F44" s="92" t="s">
        <v>12</v>
      </c>
      <c r="G44" s="92" t="str">
        <f t="shared" si="0"/>
        <v>3313SNCERAMD(A)R</v>
      </c>
      <c r="H44" s="92" t="s">
        <v>19</v>
      </c>
      <c r="I44" s="92" t="s">
        <v>20</v>
      </c>
      <c r="J44" s="92" t="s">
        <v>21</v>
      </c>
      <c r="K44" s="92" t="s">
        <v>62</v>
      </c>
      <c r="L44" s="92" t="s">
        <v>63</v>
      </c>
      <c r="M44" s="92" t="str">
        <f t="shared" si="1"/>
        <v>3313SNCERAMD(A)R381025</v>
      </c>
      <c r="N44" s="92" t="str">
        <f t="shared" si="2"/>
        <v>3313SNCERAMD(A)R38750</v>
      </c>
      <c r="O44" s="93">
        <v>38</v>
      </c>
      <c r="P44" s="92">
        <v>3313</v>
      </c>
      <c r="Q44" s="92" t="s">
        <v>31</v>
      </c>
      <c r="R44" s="93">
        <v>1025</v>
      </c>
      <c r="S44" s="93">
        <v>12200</v>
      </c>
      <c r="T44" s="93">
        <v>750</v>
      </c>
      <c r="U44" s="93">
        <v>750</v>
      </c>
      <c r="V44" s="93">
        <v>6000</v>
      </c>
      <c r="W44" s="84">
        <v>2</v>
      </c>
      <c r="X44" s="85" t="s">
        <v>14</v>
      </c>
      <c r="Y44" s="86" t="s">
        <v>295</v>
      </c>
      <c r="Z44" s="87">
        <v>6</v>
      </c>
      <c r="AA44" s="88" t="s">
        <v>24</v>
      </c>
      <c r="AB44" s="89">
        <v>1450</v>
      </c>
      <c r="AC44" s="86">
        <v>6</v>
      </c>
      <c r="AD44" s="88" t="s">
        <v>24</v>
      </c>
      <c r="AE44" s="89">
        <v>930</v>
      </c>
      <c r="AF44" s="86"/>
      <c r="AG44" s="88"/>
      <c r="AH44" s="89"/>
      <c r="AI44" s="86"/>
      <c r="AJ44" s="88"/>
      <c r="AK44" s="89"/>
      <c r="AL44" s="90"/>
      <c r="AM44" s="91"/>
      <c r="AN44" s="91" t="s">
        <v>473</v>
      </c>
      <c r="AO44" s="243" t="str">
        <f t="shared" si="3"/>
        <v>3313SNCERAMD(A)R38</v>
      </c>
    </row>
    <row r="45" spans="1:41" ht="15" customHeight="1" x14ac:dyDescent="0.15">
      <c r="A45" s="83">
        <v>333</v>
      </c>
      <c r="B45" s="92">
        <v>272</v>
      </c>
      <c r="C45" s="92">
        <v>36882</v>
      </c>
      <c r="D45" s="92" t="s">
        <v>61</v>
      </c>
      <c r="E45" s="92" t="s">
        <v>45</v>
      </c>
      <c r="F45" s="92" t="s">
        <v>12</v>
      </c>
      <c r="G45" s="92" t="str">
        <f t="shared" si="0"/>
        <v>331SNCERAMD(A)R</v>
      </c>
      <c r="H45" s="92" t="s">
        <v>19</v>
      </c>
      <c r="I45" s="92" t="s">
        <v>20</v>
      </c>
      <c r="J45" s="92" t="s">
        <v>21</v>
      </c>
      <c r="K45" s="92" t="s">
        <v>62</v>
      </c>
      <c r="L45" s="92" t="s">
        <v>63</v>
      </c>
      <c r="M45" s="92" t="str">
        <f t="shared" si="1"/>
        <v>331SNCERAMD(A)R381025</v>
      </c>
      <c r="N45" s="92" t="str">
        <f t="shared" si="2"/>
        <v>331SNCERAMD(A)R381020</v>
      </c>
      <c r="O45" s="93">
        <v>38</v>
      </c>
      <c r="P45" s="92">
        <v>331</v>
      </c>
      <c r="Q45" s="92" t="s">
        <v>31</v>
      </c>
      <c r="R45" s="93">
        <v>1025</v>
      </c>
      <c r="S45" s="93">
        <v>12200</v>
      </c>
      <c r="T45" s="93">
        <v>1025</v>
      </c>
      <c r="U45" s="93">
        <v>1020</v>
      </c>
      <c r="V45" s="93">
        <v>6000</v>
      </c>
      <c r="W45" s="84">
        <v>2</v>
      </c>
      <c r="X45" s="85" t="s">
        <v>14</v>
      </c>
      <c r="Y45" s="86" t="s">
        <v>27</v>
      </c>
      <c r="Z45" s="87">
        <v>6</v>
      </c>
      <c r="AA45" s="88" t="s">
        <v>24</v>
      </c>
      <c r="AB45" s="89">
        <v>1040</v>
      </c>
      <c r="AC45" s="86">
        <v>6</v>
      </c>
      <c r="AD45" s="88" t="s">
        <v>24</v>
      </c>
      <c r="AE45" s="89">
        <v>1040</v>
      </c>
      <c r="AF45" s="86"/>
      <c r="AG45" s="88"/>
      <c r="AH45" s="89"/>
      <c r="AI45" s="86"/>
      <c r="AJ45" s="88"/>
      <c r="AK45" s="89"/>
      <c r="AL45" s="90"/>
      <c r="AM45" s="91"/>
      <c r="AN45" s="91" t="s">
        <v>473</v>
      </c>
      <c r="AO45" s="243" t="str">
        <f t="shared" si="3"/>
        <v>331SNCERAMD(A)R38</v>
      </c>
    </row>
    <row r="46" spans="1:41" ht="15" customHeight="1" x14ac:dyDescent="0.15">
      <c r="A46" s="83">
        <v>333</v>
      </c>
      <c r="B46" s="92">
        <v>272</v>
      </c>
      <c r="C46" s="92">
        <v>36882</v>
      </c>
      <c r="D46" s="92" t="s">
        <v>61</v>
      </c>
      <c r="E46" s="92" t="s">
        <v>45</v>
      </c>
      <c r="F46" s="92" t="s">
        <v>12</v>
      </c>
      <c r="G46" s="92" t="str">
        <f t="shared" si="0"/>
        <v>331SNCERAMD(A)R</v>
      </c>
      <c r="H46" s="92" t="s">
        <v>19</v>
      </c>
      <c r="I46" s="92" t="s">
        <v>20</v>
      </c>
      <c r="J46" s="92" t="s">
        <v>21</v>
      </c>
      <c r="K46" s="92" t="s">
        <v>62</v>
      </c>
      <c r="L46" s="92" t="s">
        <v>63</v>
      </c>
      <c r="M46" s="92" t="str">
        <f t="shared" si="1"/>
        <v>331SNCERAMD(A)R381255</v>
      </c>
      <c r="N46" s="92" t="str">
        <f t="shared" si="2"/>
        <v>331SNCERAMD(A)R381250</v>
      </c>
      <c r="O46" s="93">
        <v>38</v>
      </c>
      <c r="P46" s="92">
        <v>331</v>
      </c>
      <c r="Q46" s="92" t="s">
        <v>31</v>
      </c>
      <c r="R46" s="93">
        <v>1255</v>
      </c>
      <c r="S46" s="93">
        <v>12200</v>
      </c>
      <c r="T46" s="93">
        <v>1255</v>
      </c>
      <c r="U46" s="93">
        <v>1250</v>
      </c>
      <c r="V46" s="93">
        <v>6000</v>
      </c>
      <c r="W46" s="84">
        <v>2</v>
      </c>
      <c r="X46" s="85" t="s">
        <v>14</v>
      </c>
      <c r="Y46" s="86" t="s">
        <v>27</v>
      </c>
      <c r="Z46" s="87">
        <v>6</v>
      </c>
      <c r="AA46" s="88" t="s">
        <v>24</v>
      </c>
      <c r="AB46" s="89">
        <v>1270</v>
      </c>
      <c r="AC46" s="86">
        <v>6</v>
      </c>
      <c r="AD46" s="88" t="s">
        <v>24</v>
      </c>
      <c r="AE46" s="89">
        <v>1270</v>
      </c>
      <c r="AF46" s="86"/>
      <c r="AG46" s="88"/>
      <c r="AH46" s="89"/>
      <c r="AI46" s="86"/>
      <c r="AJ46" s="88"/>
      <c r="AK46" s="89"/>
      <c r="AL46" s="90"/>
      <c r="AM46" s="91"/>
      <c r="AN46" s="91" t="s">
        <v>473</v>
      </c>
      <c r="AO46" s="243" t="str">
        <f t="shared" si="3"/>
        <v>331SNCERAMD(A)R38</v>
      </c>
    </row>
    <row r="47" spans="1:41" ht="15" customHeight="1" x14ac:dyDescent="0.15">
      <c r="A47" s="83">
        <v>333</v>
      </c>
      <c r="B47" s="92">
        <v>272</v>
      </c>
      <c r="C47" s="92">
        <v>36882</v>
      </c>
      <c r="D47" s="92" t="s">
        <v>61</v>
      </c>
      <c r="E47" s="92" t="s">
        <v>45</v>
      </c>
      <c r="F47" s="92" t="s">
        <v>26</v>
      </c>
      <c r="G47" s="92" t="str">
        <f t="shared" si="0"/>
        <v>331SNCERAMD(A)R</v>
      </c>
      <c r="H47" s="92" t="s">
        <v>19</v>
      </c>
      <c r="I47" s="92" t="s">
        <v>20</v>
      </c>
      <c r="J47" s="92" t="s">
        <v>21</v>
      </c>
      <c r="K47" s="92" t="s">
        <v>62</v>
      </c>
      <c r="L47" s="92" t="s">
        <v>63</v>
      </c>
      <c r="M47" s="92" t="str">
        <f t="shared" si="1"/>
        <v>331SNCERAMD(A)R381585</v>
      </c>
      <c r="N47" s="92" t="str">
        <f t="shared" si="2"/>
        <v>331SNCERAMD(A)R381580</v>
      </c>
      <c r="O47" s="93">
        <v>38</v>
      </c>
      <c r="P47" s="92">
        <v>331</v>
      </c>
      <c r="Q47" s="92" t="s">
        <v>31</v>
      </c>
      <c r="R47" s="93">
        <v>1585</v>
      </c>
      <c r="S47" s="93">
        <v>12200</v>
      </c>
      <c r="T47" s="93">
        <v>1585</v>
      </c>
      <c r="U47" s="93">
        <v>1580</v>
      </c>
      <c r="V47" s="93">
        <v>4000</v>
      </c>
      <c r="W47" s="84">
        <v>2</v>
      </c>
      <c r="X47" s="85" t="s">
        <v>14</v>
      </c>
      <c r="Y47" s="86" t="s">
        <v>64</v>
      </c>
      <c r="Z47" s="87">
        <v>6</v>
      </c>
      <c r="AA47" s="88" t="s">
        <v>24</v>
      </c>
      <c r="AB47" s="89">
        <v>1700</v>
      </c>
      <c r="AC47" s="86">
        <v>6</v>
      </c>
      <c r="AD47" s="88" t="s">
        <v>24</v>
      </c>
      <c r="AE47" s="89">
        <v>1700</v>
      </c>
      <c r="AF47" s="86"/>
      <c r="AG47" s="88"/>
      <c r="AH47" s="89"/>
      <c r="AI47" s="86"/>
      <c r="AJ47" s="88"/>
      <c r="AK47" s="89"/>
      <c r="AL47" s="90"/>
      <c r="AM47" s="91"/>
      <c r="AN47" s="91" t="s">
        <v>473</v>
      </c>
      <c r="AO47" s="243" t="str">
        <f t="shared" si="3"/>
        <v>331SNCERAMD(A)R38</v>
      </c>
    </row>
    <row r="48" spans="1:41" ht="15" customHeight="1" x14ac:dyDescent="0.15">
      <c r="A48" s="83">
        <v>333</v>
      </c>
      <c r="B48" s="92">
        <v>274</v>
      </c>
      <c r="C48" s="92">
        <v>36888</v>
      </c>
      <c r="D48" s="92" t="s">
        <v>65</v>
      </c>
      <c r="E48" s="92" t="s">
        <v>66</v>
      </c>
      <c r="F48" s="92" t="s">
        <v>12</v>
      </c>
      <c r="G48" s="92" t="str">
        <f t="shared" si="0"/>
        <v>3321SNCERAMDACPFL</v>
      </c>
      <c r="H48" s="92" t="s">
        <v>19</v>
      </c>
      <c r="I48" s="92" t="s">
        <v>20</v>
      </c>
      <c r="J48" s="92" t="s">
        <v>21</v>
      </c>
      <c r="K48" s="92" t="s">
        <v>67</v>
      </c>
      <c r="L48" s="92" t="s">
        <v>68</v>
      </c>
      <c r="M48" s="92" t="str">
        <f t="shared" si="1"/>
        <v>3321SNCERAMDACPFL381336</v>
      </c>
      <c r="N48" s="92" t="str">
        <f t="shared" si="2"/>
        <v>3321SNCERAMDACPFL381325</v>
      </c>
      <c r="O48" s="93">
        <v>38</v>
      </c>
      <c r="P48" s="92">
        <v>3321</v>
      </c>
      <c r="Q48" s="92" t="s">
        <v>69</v>
      </c>
      <c r="R48" s="93">
        <v>1336</v>
      </c>
      <c r="S48" s="93">
        <v>12050</v>
      </c>
      <c r="T48" s="93">
        <v>1336</v>
      </c>
      <c r="U48" s="93">
        <v>1325</v>
      </c>
      <c r="V48" s="93">
        <v>12000</v>
      </c>
      <c r="W48" s="84">
        <v>2</v>
      </c>
      <c r="X48" s="85" t="s">
        <v>14</v>
      </c>
      <c r="Y48" s="86" t="s">
        <v>15</v>
      </c>
      <c r="Z48" s="87">
        <v>6</v>
      </c>
      <c r="AA48" s="88" t="s">
        <v>24</v>
      </c>
      <c r="AB48" s="89">
        <v>1450</v>
      </c>
      <c r="AC48" s="86"/>
      <c r="AD48" s="88"/>
      <c r="AE48" s="89"/>
      <c r="AF48" s="86"/>
      <c r="AG48" s="88"/>
      <c r="AH48" s="89"/>
      <c r="AI48" s="86"/>
      <c r="AJ48" s="88"/>
      <c r="AK48" s="89"/>
      <c r="AL48" s="90"/>
      <c r="AM48" s="91"/>
      <c r="AN48" s="91" t="s">
        <v>473</v>
      </c>
      <c r="AO48" s="243" t="str">
        <f t="shared" si="3"/>
        <v>3321SNCERAMDACPFL38</v>
      </c>
    </row>
    <row r="49" spans="1:41" ht="15" customHeight="1" x14ac:dyDescent="0.15">
      <c r="A49" s="83">
        <v>333</v>
      </c>
      <c r="B49" s="92">
        <v>274</v>
      </c>
      <c r="C49" s="92">
        <v>36888</v>
      </c>
      <c r="D49" s="92" t="s">
        <v>65</v>
      </c>
      <c r="E49" s="92" t="s">
        <v>66</v>
      </c>
      <c r="F49" s="92" t="s">
        <v>12</v>
      </c>
      <c r="G49" s="92" t="str">
        <f t="shared" si="0"/>
        <v>3321SNCERAMDAPFL</v>
      </c>
      <c r="H49" s="92" t="s">
        <v>19</v>
      </c>
      <c r="I49" s="92" t="s">
        <v>20</v>
      </c>
      <c r="J49" s="92" t="s">
        <v>21</v>
      </c>
      <c r="K49" s="92" t="s">
        <v>70</v>
      </c>
      <c r="L49" s="92" t="s">
        <v>71</v>
      </c>
      <c r="M49" s="92" t="str">
        <f t="shared" si="1"/>
        <v>3321SNCERAMDAPFL381336</v>
      </c>
      <c r="N49" s="92" t="str">
        <f t="shared" si="2"/>
        <v>3321SNCERAMDAPFL381325</v>
      </c>
      <c r="O49" s="93">
        <v>38</v>
      </c>
      <c r="P49" s="92">
        <v>3321</v>
      </c>
      <c r="Q49" s="92" t="s">
        <v>69</v>
      </c>
      <c r="R49" s="93">
        <v>1336</v>
      </c>
      <c r="S49" s="93">
        <v>12050</v>
      </c>
      <c r="T49" s="93">
        <v>1336</v>
      </c>
      <c r="U49" s="93">
        <v>1325</v>
      </c>
      <c r="V49" s="93">
        <v>12000</v>
      </c>
      <c r="W49" s="84">
        <v>2</v>
      </c>
      <c r="X49" s="85" t="s">
        <v>14</v>
      </c>
      <c r="Y49" s="86" t="s">
        <v>15</v>
      </c>
      <c r="Z49" s="87">
        <v>6</v>
      </c>
      <c r="AA49" s="88" t="s">
        <v>24</v>
      </c>
      <c r="AB49" s="89">
        <v>1450</v>
      </c>
      <c r="AC49" s="86"/>
      <c r="AD49" s="88"/>
      <c r="AE49" s="89"/>
      <c r="AF49" s="86"/>
      <c r="AG49" s="88"/>
      <c r="AH49" s="89"/>
      <c r="AI49" s="86"/>
      <c r="AJ49" s="88"/>
      <c r="AK49" s="89"/>
      <c r="AL49" s="90"/>
      <c r="AM49" s="91"/>
      <c r="AN49" s="91" t="s">
        <v>473</v>
      </c>
      <c r="AO49" s="243" t="str">
        <f t="shared" si="3"/>
        <v>3321SNCERAMDAPFL38</v>
      </c>
    </row>
    <row r="50" spans="1:41" ht="15" customHeight="1" x14ac:dyDescent="0.15">
      <c r="A50" s="83">
        <v>333</v>
      </c>
      <c r="B50" s="92">
        <v>274</v>
      </c>
      <c r="C50" s="92">
        <v>36888</v>
      </c>
      <c r="D50" s="92" t="s">
        <v>65</v>
      </c>
      <c r="E50" s="92" t="s">
        <v>66</v>
      </c>
      <c r="F50" s="92" t="s">
        <v>12</v>
      </c>
      <c r="G50" s="92" t="str">
        <f t="shared" si="0"/>
        <v>3321SNCERAMDACPFL</v>
      </c>
      <c r="H50" s="92" t="s">
        <v>19</v>
      </c>
      <c r="I50" s="92" t="s">
        <v>20</v>
      </c>
      <c r="J50" s="92" t="s">
        <v>21</v>
      </c>
      <c r="K50" s="92" t="s">
        <v>67</v>
      </c>
      <c r="L50" s="92" t="s">
        <v>68</v>
      </c>
      <c r="M50" s="92" t="str">
        <f t="shared" si="1"/>
        <v>3321SNCERAMDACPFL381336</v>
      </c>
      <c r="N50" s="92" t="str">
        <f t="shared" si="2"/>
        <v>3321SNCERAMDACPFL381325</v>
      </c>
      <c r="O50" s="93">
        <v>38</v>
      </c>
      <c r="P50" s="92">
        <v>3321</v>
      </c>
      <c r="Q50" s="92" t="s">
        <v>504</v>
      </c>
      <c r="R50" s="93">
        <v>1336</v>
      </c>
      <c r="S50" s="93">
        <v>12050</v>
      </c>
      <c r="T50" s="93">
        <v>1336</v>
      </c>
      <c r="U50" s="93">
        <v>1325</v>
      </c>
      <c r="V50" s="93">
        <v>12000</v>
      </c>
      <c r="W50" s="84">
        <v>2</v>
      </c>
      <c r="X50" s="85" t="s">
        <v>14</v>
      </c>
      <c r="Y50" s="86" t="s">
        <v>15</v>
      </c>
      <c r="Z50" s="87">
        <v>6</v>
      </c>
      <c r="AA50" s="88" t="s">
        <v>24</v>
      </c>
      <c r="AB50" s="89">
        <v>1450</v>
      </c>
      <c r="AC50" s="86"/>
      <c r="AD50" s="88"/>
      <c r="AE50" s="89"/>
      <c r="AF50" s="86"/>
      <c r="AG50" s="88"/>
      <c r="AH50" s="89"/>
      <c r="AI50" s="86"/>
      <c r="AJ50" s="88"/>
      <c r="AK50" s="89"/>
      <c r="AL50" s="90"/>
      <c r="AM50" s="91"/>
      <c r="AN50" s="91" t="s">
        <v>473</v>
      </c>
      <c r="AO50" s="243" t="str">
        <f t="shared" si="3"/>
        <v>3321SNCERAMDACPFL38</v>
      </c>
    </row>
    <row r="51" spans="1:41" ht="15" customHeight="1" x14ac:dyDescent="0.15">
      <c r="A51" s="83">
        <v>333</v>
      </c>
      <c r="B51" s="92">
        <v>274</v>
      </c>
      <c r="C51" s="92">
        <v>36888</v>
      </c>
      <c r="D51" s="92" t="s">
        <v>65</v>
      </c>
      <c r="E51" s="92" t="s">
        <v>66</v>
      </c>
      <c r="F51" s="92" t="s">
        <v>12</v>
      </c>
      <c r="G51" s="92" t="str">
        <f t="shared" si="0"/>
        <v>3321SNCERAMDAPFL</v>
      </c>
      <c r="H51" s="92" t="s">
        <v>19</v>
      </c>
      <c r="I51" s="92" t="s">
        <v>20</v>
      </c>
      <c r="J51" s="92" t="s">
        <v>21</v>
      </c>
      <c r="K51" s="92" t="s">
        <v>70</v>
      </c>
      <c r="L51" s="92" t="s">
        <v>71</v>
      </c>
      <c r="M51" s="92" t="str">
        <f t="shared" si="1"/>
        <v>3321SNCERAMDAPFL381336</v>
      </c>
      <c r="N51" s="92" t="str">
        <f t="shared" si="2"/>
        <v>3321SNCERAMDAPFL381325</v>
      </c>
      <c r="O51" s="93">
        <v>38</v>
      </c>
      <c r="P51" s="92">
        <v>3321</v>
      </c>
      <c r="Q51" s="92" t="s">
        <v>504</v>
      </c>
      <c r="R51" s="93">
        <v>1336</v>
      </c>
      <c r="S51" s="93">
        <v>12050</v>
      </c>
      <c r="T51" s="93">
        <v>1336</v>
      </c>
      <c r="U51" s="93">
        <v>1325</v>
      </c>
      <c r="V51" s="93">
        <v>12000</v>
      </c>
      <c r="W51" s="84">
        <v>2</v>
      </c>
      <c r="X51" s="85" t="s">
        <v>14</v>
      </c>
      <c r="Y51" s="86" t="s">
        <v>15</v>
      </c>
      <c r="Z51" s="87">
        <v>6</v>
      </c>
      <c r="AA51" s="88" t="s">
        <v>24</v>
      </c>
      <c r="AB51" s="89">
        <v>1450</v>
      </c>
      <c r="AC51" s="86"/>
      <c r="AD51" s="88"/>
      <c r="AE51" s="89"/>
      <c r="AF51" s="86"/>
      <c r="AG51" s="88"/>
      <c r="AH51" s="89"/>
      <c r="AI51" s="86"/>
      <c r="AJ51" s="88"/>
      <c r="AK51" s="89"/>
      <c r="AL51" s="90"/>
      <c r="AM51" s="91"/>
      <c r="AN51" s="91" t="s">
        <v>473</v>
      </c>
      <c r="AO51" s="243" t="str">
        <f t="shared" si="3"/>
        <v>3321SNCERAMDAPFL38</v>
      </c>
    </row>
    <row r="52" spans="1:41" ht="15" customHeight="1" x14ac:dyDescent="0.15">
      <c r="A52" s="83">
        <v>333</v>
      </c>
      <c r="B52" s="92">
        <v>274</v>
      </c>
      <c r="C52" s="92">
        <v>36888</v>
      </c>
      <c r="D52" s="92" t="s">
        <v>65</v>
      </c>
      <c r="E52" s="92" t="s">
        <v>66</v>
      </c>
      <c r="F52" s="92" t="s">
        <v>12</v>
      </c>
      <c r="G52" s="92" t="str">
        <f t="shared" si="0"/>
        <v>330SNCERAMDAR</v>
      </c>
      <c r="H52" s="92" t="s">
        <v>1549</v>
      </c>
      <c r="I52" s="92" t="s">
        <v>1550</v>
      </c>
      <c r="J52" s="92" t="s">
        <v>1552</v>
      </c>
      <c r="K52" s="92" t="s">
        <v>2041</v>
      </c>
      <c r="L52" s="92" t="s">
        <v>2042</v>
      </c>
      <c r="M52" s="92" t="str">
        <f t="shared" si="1"/>
        <v>330SNCERAMDAR1251105</v>
      </c>
      <c r="N52" s="92" t="str">
        <f t="shared" si="2"/>
        <v>330SNCERAMDAR1251100</v>
      </c>
      <c r="O52" s="93">
        <v>125</v>
      </c>
      <c r="P52" s="92">
        <v>330</v>
      </c>
      <c r="Q52" s="92" t="s">
        <v>72</v>
      </c>
      <c r="R52" s="93">
        <v>1105</v>
      </c>
      <c r="S52" s="93">
        <v>3450</v>
      </c>
      <c r="T52" s="93">
        <v>1105</v>
      </c>
      <c r="U52" s="93">
        <v>1100</v>
      </c>
      <c r="V52" s="93">
        <v>3400</v>
      </c>
      <c r="W52" s="84">
        <v>2</v>
      </c>
      <c r="X52" s="85" t="s">
        <v>14</v>
      </c>
      <c r="Y52" s="86" t="s">
        <v>15</v>
      </c>
      <c r="Z52" s="87">
        <v>6</v>
      </c>
      <c r="AA52" s="88" t="s">
        <v>24</v>
      </c>
      <c r="AB52" s="89">
        <v>1450</v>
      </c>
      <c r="AC52" s="86"/>
      <c r="AD52" s="88"/>
      <c r="AE52" s="89"/>
      <c r="AF52" s="86"/>
      <c r="AG52" s="88"/>
      <c r="AH52" s="89"/>
      <c r="AI52" s="86"/>
      <c r="AJ52" s="88"/>
      <c r="AK52" s="89"/>
      <c r="AL52" s="90"/>
      <c r="AM52" s="91"/>
      <c r="AN52" s="91" t="s">
        <v>473</v>
      </c>
      <c r="AO52" s="243" t="str">
        <f t="shared" si="3"/>
        <v>330SNCERAMDAR125</v>
      </c>
    </row>
    <row r="53" spans="1:41" ht="15" customHeight="1" x14ac:dyDescent="0.15">
      <c r="A53" s="83">
        <v>333</v>
      </c>
      <c r="B53" s="92">
        <v>272</v>
      </c>
      <c r="C53" s="92">
        <v>30671</v>
      </c>
      <c r="D53" s="92" t="s">
        <v>73</v>
      </c>
      <c r="E53" s="92" t="s">
        <v>45</v>
      </c>
      <c r="F53" s="92" t="s">
        <v>26</v>
      </c>
      <c r="G53" s="92" t="str">
        <f t="shared" si="0"/>
        <v>331SNCERAMDARX</v>
      </c>
      <c r="H53" s="92" t="s">
        <v>19</v>
      </c>
      <c r="I53" s="92" t="s">
        <v>20</v>
      </c>
      <c r="J53" s="92" t="s">
        <v>21</v>
      </c>
      <c r="K53" s="92" t="s">
        <v>74</v>
      </c>
      <c r="L53" s="92" t="s">
        <v>75</v>
      </c>
      <c r="M53" s="92" t="str">
        <f t="shared" si="1"/>
        <v>331SNCERAMDARX381305</v>
      </c>
      <c r="N53" s="92" t="str">
        <f t="shared" si="2"/>
        <v>331SNCERAMDARX38315</v>
      </c>
      <c r="O53" s="93">
        <v>38</v>
      </c>
      <c r="P53" s="92">
        <v>331</v>
      </c>
      <c r="Q53" s="92" t="s">
        <v>31</v>
      </c>
      <c r="R53" s="93">
        <v>1305</v>
      </c>
      <c r="S53" s="93">
        <v>12200</v>
      </c>
      <c r="T53" s="93">
        <v>315</v>
      </c>
      <c r="U53" s="93">
        <v>315</v>
      </c>
      <c r="V53" s="93">
        <v>1950</v>
      </c>
      <c r="W53" s="84">
        <v>2</v>
      </c>
      <c r="X53" s="85" t="s">
        <v>14</v>
      </c>
      <c r="Y53" s="86" t="s">
        <v>295</v>
      </c>
      <c r="Z53" s="87">
        <v>6</v>
      </c>
      <c r="AA53" s="88" t="s">
        <v>24</v>
      </c>
      <c r="AB53" s="89">
        <v>1450</v>
      </c>
      <c r="AC53" s="86">
        <v>3</v>
      </c>
      <c r="AD53" s="88" t="s">
        <v>39</v>
      </c>
      <c r="AE53" s="89">
        <v>322</v>
      </c>
      <c r="AF53" s="86"/>
      <c r="AG53" s="88"/>
      <c r="AH53" s="89"/>
      <c r="AI53" s="86"/>
      <c r="AJ53" s="88"/>
      <c r="AK53" s="89"/>
      <c r="AL53" s="90"/>
      <c r="AM53" s="91"/>
      <c r="AN53" s="91" t="s">
        <v>471</v>
      </c>
      <c r="AO53" s="243" t="str">
        <f t="shared" si="3"/>
        <v>331SNCERAMDARX38</v>
      </c>
    </row>
    <row r="54" spans="1:41" ht="15" customHeight="1" x14ac:dyDescent="0.15">
      <c r="A54" s="83">
        <v>333</v>
      </c>
      <c r="B54" s="92">
        <v>272</v>
      </c>
      <c r="C54" s="92">
        <v>30671</v>
      </c>
      <c r="D54" s="92" t="s">
        <v>73</v>
      </c>
      <c r="E54" s="92" t="s">
        <v>45</v>
      </c>
      <c r="F54" s="92" t="s">
        <v>12</v>
      </c>
      <c r="G54" s="92" t="str">
        <f t="shared" si="0"/>
        <v>331SNCERAMDARX</v>
      </c>
      <c r="H54" s="92" t="s">
        <v>19</v>
      </c>
      <c r="I54" s="92" t="s">
        <v>20</v>
      </c>
      <c r="J54" s="92" t="s">
        <v>21</v>
      </c>
      <c r="K54" s="92" t="s">
        <v>74</v>
      </c>
      <c r="L54" s="92" t="s">
        <v>75</v>
      </c>
      <c r="M54" s="92" t="str">
        <f t="shared" si="1"/>
        <v>331SNCERAMDARX381305</v>
      </c>
      <c r="N54" s="92" t="str">
        <f t="shared" si="2"/>
        <v>331SNCERAMDARX38415</v>
      </c>
      <c r="O54" s="93">
        <v>38</v>
      </c>
      <c r="P54" s="92">
        <v>331</v>
      </c>
      <c r="Q54" s="92" t="s">
        <v>31</v>
      </c>
      <c r="R54" s="93">
        <v>1305</v>
      </c>
      <c r="S54" s="93">
        <v>12200</v>
      </c>
      <c r="T54" s="93">
        <v>415</v>
      </c>
      <c r="U54" s="93">
        <v>415</v>
      </c>
      <c r="V54" s="93">
        <v>1950</v>
      </c>
      <c r="W54" s="84">
        <v>2</v>
      </c>
      <c r="X54" s="85" t="s">
        <v>14</v>
      </c>
      <c r="Y54" s="86" t="s">
        <v>295</v>
      </c>
      <c r="Z54" s="87">
        <v>6</v>
      </c>
      <c r="AA54" s="88" t="s">
        <v>24</v>
      </c>
      <c r="AB54" s="89">
        <v>1450</v>
      </c>
      <c r="AC54" s="86">
        <v>3</v>
      </c>
      <c r="AD54" s="88" t="s">
        <v>39</v>
      </c>
      <c r="AE54" s="89">
        <v>422</v>
      </c>
      <c r="AF54" s="86"/>
      <c r="AG54" s="88"/>
      <c r="AH54" s="89"/>
      <c r="AI54" s="86"/>
      <c r="AJ54" s="88"/>
      <c r="AK54" s="89"/>
      <c r="AL54" s="90"/>
      <c r="AM54" s="91"/>
      <c r="AN54" s="91" t="s">
        <v>471</v>
      </c>
      <c r="AO54" s="243" t="str">
        <f t="shared" si="3"/>
        <v>331SNCERAMDARX38</v>
      </c>
    </row>
    <row r="55" spans="1:41" ht="15" customHeight="1" x14ac:dyDescent="0.15">
      <c r="A55" s="83">
        <v>333</v>
      </c>
      <c r="B55" s="92">
        <v>272</v>
      </c>
      <c r="C55" s="92">
        <v>36882</v>
      </c>
      <c r="D55" s="92" t="s">
        <v>61</v>
      </c>
      <c r="E55" s="92" t="s">
        <v>45</v>
      </c>
      <c r="F55" s="92" t="s">
        <v>26</v>
      </c>
      <c r="G55" s="92" t="str">
        <f t="shared" si="0"/>
        <v>3SNCERAMDAS</v>
      </c>
      <c r="H55" s="92" t="s">
        <v>19</v>
      </c>
      <c r="I55" s="92" t="s">
        <v>20</v>
      </c>
      <c r="J55" s="92" t="s">
        <v>21</v>
      </c>
      <c r="K55" s="92" t="s">
        <v>76</v>
      </c>
      <c r="L55" s="92" t="s">
        <v>77</v>
      </c>
      <c r="M55" s="92" t="str">
        <f t="shared" si="1"/>
        <v>3SNCERAMDAS501310</v>
      </c>
      <c r="N55" s="92" t="str">
        <f t="shared" si="2"/>
        <v>3SNCERAMDAS501300</v>
      </c>
      <c r="O55" s="93">
        <v>50</v>
      </c>
      <c r="P55" s="92">
        <v>3</v>
      </c>
      <c r="Q55" s="92" t="s">
        <v>78</v>
      </c>
      <c r="R55" s="93">
        <v>1310</v>
      </c>
      <c r="S55" s="93">
        <v>6400</v>
      </c>
      <c r="T55" s="93">
        <v>1310</v>
      </c>
      <c r="U55" s="93">
        <v>1300</v>
      </c>
      <c r="V55" s="93">
        <v>6200</v>
      </c>
      <c r="W55" s="84">
        <v>2</v>
      </c>
      <c r="X55" s="85" t="s">
        <v>14</v>
      </c>
      <c r="Y55" s="86" t="s">
        <v>15</v>
      </c>
      <c r="Z55" s="87">
        <v>6</v>
      </c>
      <c r="AA55" s="88" t="s">
        <v>24</v>
      </c>
      <c r="AB55" s="89">
        <v>1320</v>
      </c>
      <c r="AC55" s="86"/>
      <c r="AD55" s="88"/>
      <c r="AE55" s="89"/>
      <c r="AF55" s="86"/>
      <c r="AG55" s="88"/>
      <c r="AH55" s="89"/>
      <c r="AI55" s="86"/>
      <c r="AJ55" s="88"/>
      <c r="AK55" s="89"/>
      <c r="AL55" s="90"/>
      <c r="AM55" s="91"/>
      <c r="AN55" s="91" t="s">
        <v>471</v>
      </c>
      <c r="AO55" s="243" t="str">
        <f t="shared" si="3"/>
        <v>3SNCERAMDAS50</v>
      </c>
    </row>
    <row r="56" spans="1:41" ht="15" customHeight="1" x14ac:dyDescent="0.15">
      <c r="A56" s="83">
        <v>333</v>
      </c>
      <c r="B56" s="92">
        <v>272</v>
      </c>
      <c r="C56" s="92">
        <v>3804</v>
      </c>
      <c r="D56" s="92" t="s">
        <v>79</v>
      </c>
      <c r="E56" s="92" t="s">
        <v>45</v>
      </c>
      <c r="F56" s="92" t="s">
        <v>12</v>
      </c>
      <c r="G56" s="92" t="str">
        <f t="shared" si="0"/>
        <v>3SNCERAMFACR</v>
      </c>
      <c r="H56" s="92" t="s">
        <v>19</v>
      </c>
      <c r="I56" s="92" t="s">
        <v>20</v>
      </c>
      <c r="J56" s="92" t="s">
        <v>21</v>
      </c>
      <c r="K56" s="92" t="s">
        <v>80</v>
      </c>
      <c r="L56" s="92" t="s">
        <v>81</v>
      </c>
      <c r="M56" s="92" t="str">
        <f t="shared" si="1"/>
        <v>3SNCERAMFACR311370</v>
      </c>
      <c r="N56" s="92" t="str">
        <f t="shared" si="2"/>
        <v>3SNCERAMFACR31440</v>
      </c>
      <c r="O56" s="93">
        <v>31</v>
      </c>
      <c r="P56" s="92">
        <v>3</v>
      </c>
      <c r="Q56" s="92" t="s">
        <v>82</v>
      </c>
      <c r="R56" s="93">
        <v>1370</v>
      </c>
      <c r="S56" s="93">
        <v>13450</v>
      </c>
      <c r="T56" s="93">
        <v>440</v>
      </c>
      <c r="U56" s="93">
        <v>440</v>
      </c>
      <c r="V56" s="93">
        <v>6500</v>
      </c>
      <c r="W56" s="84">
        <v>1</v>
      </c>
      <c r="X56" s="85" t="s">
        <v>14</v>
      </c>
      <c r="Y56" s="86" t="s">
        <v>295</v>
      </c>
      <c r="Z56" s="87">
        <v>6</v>
      </c>
      <c r="AA56" s="88" t="s">
        <v>24</v>
      </c>
      <c r="AB56" s="89">
        <v>1450</v>
      </c>
      <c r="AC56" s="86">
        <v>3</v>
      </c>
      <c r="AD56" s="88" t="s">
        <v>51</v>
      </c>
      <c r="AE56" s="89">
        <v>595</v>
      </c>
      <c r="AF56" s="86"/>
      <c r="AG56" s="88"/>
      <c r="AH56" s="89"/>
      <c r="AI56" s="86"/>
      <c r="AJ56" s="88"/>
      <c r="AK56" s="89"/>
      <c r="AL56" s="90"/>
      <c r="AM56" s="91"/>
      <c r="AN56" s="91" t="s">
        <v>471</v>
      </c>
      <c r="AO56" s="243" t="str">
        <f t="shared" si="3"/>
        <v>3SNCERAMFACR31</v>
      </c>
    </row>
    <row r="57" spans="1:41" ht="15" customHeight="1" x14ac:dyDescent="0.15">
      <c r="A57" s="83">
        <v>333</v>
      </c>
      <c r="B57" s="92">
        <v>271</v>
      </c>
      <c r="C57" s="92">
        <v>50713</v>
      </c>
      <c r="D57" s="92" t="s">
        <v>83</v>
      </c>
      <c r="E57" s="92" t="s">
        <v>18</v>
      </c>
      <c r="F57" s="92"/>
      <c r="G57" s="92" t="str">
        <f t="shared" si="0"/>
        <v>3RSNCERAMFARX</v>
      </c>
      <c r="H57" s="92" t="s">
        <v>19</v>
      </c>
      <c r="I57" s="92" t="s">
        <v>20</v>
      </c>
      <c r="J57" s="92" t="s">
        <v>21</v>
      </c>
      <c r="K57" s="92" t="s">
        <v>84</v>
      </c>
      <c r="L57" s="92" t="s">
        <v>85</v>
      </c>
      <c r="M57" s="92" t="str">
        <f t="shared" si="1"/>
        <v>3RSNCERAMFARX381270</v>
      </c>
      <c r="N57" s="92" t="str">
        <f t="shared" si="2"/>
        <v>3RSNCERAMFARX381265</v>
      </c>
      <c r="O57" s="93">
        <v>38</v>
      </c>
      <c r="P57" s="92" t="s">
        <v>86</v>
      </c>
      <c r="Q57" s="92" t="s">
        <v>31</v>
      </c>
      <c r="R57" s="93">
        <v>1270</v>
      </c>
      <c r="S57" s="93">
        <v>12200</v>
      </c>
      <c r="T57" s="93">
        <v>1265</v>
      </c>
      <c r="U57" s="93">
        <v>1265</v>
      </c>
      <c r="V57" s="93">
        <v>4000</v>
      </c>
      <c r="W57" s="84">
        <v>2</v>
      </c>
      <c r="X57" s="85" t="s">
        <v>14</v>
      </c>
      <c r="Y57" s="86" t="s">
        <v>295</v>
      </c>
      <c r="Z57" s="87">
        <v>6</v>
      </c>
      <c r="AA57" s="88" t="s">
        <v>24</v>
      </c>
      <c r="AB57" s="89">
        <v>1450</v>
      </c>
      <c r="AC57" s="86">
        <v>6</v>
      </c>
      <c r="AD57" s="88" t="s">
        <v>24</v>
      </c>
      <c r="AE57" s="89">
        <v>1300</v>
      </c>
      <c r="AF57" s="86"/>
      <c r="AG57" s="88"/>
      <c r="AH57" s="89"/>
      <c r="AI57" s="86"/>
      <c r="AJ57" s="88"/>
      <c r="AK57" s="89"/>
      <c r="AL57" s="90"/>
      <c r="AM57" s="91"/>
      <c r="AN57" s="91" t="s">
        <v>471</v>
      </c>
      <c r="AO57" s="243" t="str">
        <f t="shared" si="3"/>
        <v>3RSNCERAMFARX38</v>
      </c>
    </row>
    <row r="58" spans="1:41" ht="15" customHeight="1" x14ac:dyDescent="0.15">
      <c r="A58" s="83">
        <v>333</v>
      </c>
      <c r="B58" s="92">
        <v>271</v>
      </c>
      <c r="C58" s="92">
        <v>3312</v>
      </c>
      <c r="D58" s="92" t="s">
        <v>87</v>
      </c>
      <c r="E58" s="92" t="s">
        <v>18</v>
      </c>
      <c r="F58" s="92" t="s">
        <v>12</v>
      </c>
      <c r="G58" s="92" t="str">
        <f t="shared" si="0"/>
        <v>3SNCERAMFAS</v>
      </c>
      <c r="H58" s="92" t="s">
        <v>19</v>
      </c>
      <c r="I58" s="92" t="s">
        <v>20</v>
      </c>
      <c r="J58" s="92" t="s">
        <v>21</v>
      </c>
      <c r="K58" s="92" t="s">
        <v>88</v>
      </c>
      <c r="L58" s="92" t="s">
        <v>89</v>
      </c>
      <c r="M58" s="92" t="str">
        <f t="shared" si="1"/>
        <v>3SNCERAMFAS751120</v>
      </c>
      <c r="N58" s="92" t="str">
        <f t="shared" si="2"/>
        <v>3SNCERAMFAS75220</v>
      </c>
      <c r="O58" s="93">
        <v>75</v>
      </c>
      <c r="P58" s="92">
        <v>3</v>
      </c>
      <c r="Q58" s="92" t="s">
        <v>59</v>
      </c>
      <c r="R58" s="93">
        <v>1120</v>
      </c>
      <c r="S58" s="93">
        <v>4000</v>
      </c>
      <c r="T58" s="93">
        <v>220</v>
      </c>
      <c r="U58" s="93">
        <v>220</v>
      </c>
      <c r="V58" s="93">
        <v>1200</v>
      </c>
      <c r="W58" s="84">
        <v>1</v>
      </c>
      <c r="X58" s="85" t="s">
        <v>14</v>
      </c>
      <c r="Y58" s="86" t="s">
        <v>295</v>
      </c>
      <c r="Z58" s="87">
        <v>6</v>
      </c>
      <c r="AA58" s="88" t="s">
        <v>24</v>
      </c>
      <c r="AB58" s="89">
        <v>1450</v>
      </c>
      <c r="AC58" s="86">
        <v>3</v>
      </c>
      <c r="AD58" s="88" t="s">
        <v>39</v>
      </c>
      <c r="AE58" s="89">
        <v>224</v>
      </c>
      <c r="AF58" s="86"/>
      <c r="AG58" s="88"/>
      <c r="AH58" s="89"/>
      <c r="AI58" s="86"/>
      <c r="AJ58" s="88"/>
      <c r="AK58" s="89"/>
      <c r="AL58" s="90"/>
      <c r="AM58" s="91"/>
      <c r="AN58" s="91" t="s">
        <v>471</v>
      </c>
      <c r="AO58" s="243" t="str">
        <f t="shared" si="3"/>
        <v>3SNCERAMFAS75</v>
      </c>
    </row>
    <row r="59" spans="1:41" ht="15" customHeight="1" x14ac:dyDescent="0.15">
      <c r="A59" s="83">
        <v>333</v>
      </c>
      <c r="B59" s="92">
        <v>272</v>
      </c>
      <c r="C59" s="92">
        <v>4138</v>
      </c>
      <c r="D59" s="92" t="s">
        <v>90</v>
      </c>
      <c r="E59" s="92" t="s">
        <v>45</v>
      </c>
      <c r="F59" s="92"/>
      <c r="G59" s="92" t="str">
        <f t="shared" si="0"/>
        <v>3SNCERAMFAS</v>
      </c>
      <c r="H59" s="92" t="s">
        <v>19</v>
      </c>
      <c r="I59" s="92" t="s">
        <v>20</v>
      </c>
      <c r="J59" s="92" t="s">
        <v>21</v>
      </c>
      <c r="K59" s="92" t="s">
        <v>88</v>
      </c>
      <c r="L59" s="92" t="s">
        <v>89</v>
      </c>
      <c r="M59" s="92" t="str">
        <f t="shared" si="1"/>
        <v>3SNCERAMFAS751310</v>
      </c>
      <c r="N59" s="92" t="str">
        <f t="shared" si="2"/>
        <v>3SNCERAMFAS75620</v>
      </c>
      <c r="O59" s="93">
        <v>75</v>
      </c>
      <c r="P59" s="92">
        <v>3</v>
      </c>
      <c r="Q59" s="92" t="s">
        <v>59</v>
      </c>
      <c r="R59" s="93">
        <v>1310</v>
      </c>
      <c r="S59" s="93">
        <v>4000</v>
      </c>
      <c r="T59" s="93">
        <v>620</v>
      </c>
      <c r="U59" s="93">
        <v>620</v>
      </c>
      <c r="V59" s="93">
        <v>400</v>
      </c>
      <c r="W59" s="84">
        <v>2</v>
      </c>
      <c r="X59" s="85" t="s">
        <v>14</v>
      </c>
      <c r="Y59" s="86" t="s">
        <v>295</v>
      </c>
      <c r="Z59" s="87">
        <v>6</v>
      </c>
      <c r="AA59" s="88" t="s">
        <v>24</v>
      </c>
      <c r="AB59" s="89">
        <v>1450</v>
      </c>
      <c r="AC59" s="86">
        <v>3</v>
      </c>
      <c r="AD59" s="88" t="s">
        <v>39</v>
      </c>
      <c r="AE59" s="89">
        <v>625</v>
      </c>
      <c r="AF59" s="86"/>
      <c r="AG59" s="88"/>
      <c r="AH59" s="89"/>
      <c r="AI59" s="86"/>
      <c r="AJ59" s="88"/>
      <c r="AK59" s="89"/>
      <c r="AL59" s="90"/>
      <c r="AM59" s="91"/>
      <c r="AN59" s="91" t="s">
        <v>471</v>
      </c>
      <c r="AO59" s="243" t="str">
        <f t="shared" si="3"/>
        <v>3SNCERAMFAS75</v>
      </c>
    </row>
    <row r="60" spans="1:41" ht="15" customHeight="1" x14ac:dyDescent="0.15">
      <c r="A60" s="83">
        <v>333</v>
      </c>
      <c r="B60" s="92">
        <v>272</v>
      </c>
      <c r="C60" s="92">
        <v>4138</v>
      </c>
      <c r="D60" s="92" t="s">
        <v>90</v>
      </c>
      <c r="E60" s="92" t="s">
        <v>45</v>
      </c>
      <c r="F60" s="92"/>
      <c r="G60" s="92" t="str">
        <f t="shared" si="0"/>
        <v>3SNCERAMFAS</v>
      </c>
      <c r="H60" s="92" t="s">
        <v>19</v>
      </c>
      <c r="I60" s="92" t="s">
        <v>20</v>
      </c>
      <c r="J60" s="92" t="s">
        <v>21</v>
      </c>
      <c r="K60" s="92" t="s">
        <v>88</v>
      </c>
      <c r="L60" s="92" t="s">
        <v>89</v>
      </c>
      <c r="M60" s="92" t="str">
        <f t="shared" si="1"/>
        <v>3SNCERAMFAS751350</v>
      </c>
      <c r="N60" s="92" t="str">
        <f t="shared" si="2"/>
        <v>3SNCERAMFAS75620</v>
      </c>
      <c r="O60" s="93">
        <v>75</v>
      </c>
      <c r="P60" s="92">
        <v>3</v>
      </c>
      <c r="Q60" s="92" t="s">
        <v>59</v>
      </c>
      <c r="R60" s="93">
        <v>1350</v>
      </c>
      <c r="S60" s="93">
        <v>4100</v>
      </c>
      <c r="T60" s="93">
        <v>620</v>
      </c>
      <c r="U60" s="93">
        <v>620</v>
      </c>
      <c r="V60" s="93">
        <v>400</v>
      </c>
      <c r="W60" s="84">
        <v>2</v>
      </c>
      <c r="X60" s="85" t="s">
        <v>14</v>
      </c>
      <c r="Y60" s="86" t="s">
        <v>295</v>
      </c>
      <c r="Z60" s="87">
        <v>6</v>
      </c>
      <c r="AA60" s="88" t="s">
        <v>24</v>
      </c>
      <c r="AB60" s="89">
        <v>1450</v>
      </c>
      <c r="AC60" s="86">
        <v>3</v>
      </c>
      <c r="AD60" s="88" t="s">
        <v>39</v>
      </c>
      <c r="AE60" s="89">
        <v>625</v>
      </c>
      <c r="AF60" s="86"/>
      <c r="AG60" s="88"/>
      <c r="AH60" s="89"/>
      <c r="AI60" s="86"/>
      <c r="AJ60" s="88"/>
      <c r="AK60" s="89"/>
      <c r="AL60" s="90"/>
      <c r="AM60" s="91"/>
      <c r="AN60" s="91" t="s">
        <v>471</v>
      </c>
      <c r="AO60" s="243" t="str">
        <f t="shared" si="3"/>
        <v>3SNCERAMFAS75</v>
      </c>
    </row>
    <row r="61" spans="1:41" ht="15" customHeight="1" x14ac:dyDescent="0.15">
      <c r="A61" s="83">
        <v>333</v>
      </c>
      <c r="B61" s="92">
        <v>276</v>
      </c>
      <c r="C61" s="92">
        <v>3621</v>
      </c>
      <c r="D61" s="92" t="s">
        <v>57</v>
      </c>
      <c r="E61" s="92" t="s">
        <v>2043</v>
      </c>
      <c r="F61" s="92" t="s">
        <v>12</v>
      </c>
      <c r="G61" s="92" t="str">
        <f t="shared" si="0"/>
        <v>3SNCERAMFAS</v>
      </c>
      <c r="H61" s="92" t="s">
        <v>19</v>
      </c>
      <c r="I61" s="92" t="s">
        <v>20</v>
      </c>
      <c r="J61" s="92" t="s">
        <v>21</v>
      </c>
      <c r="K61" s="92" t="s">
        <v>88</v>
      </c>
      <c r="L61" s="92" t="s">
        <v>89</v>
      </c>
      <c r="M61" s="92" t="str">
        <f t="shared" si="1"/>
        <v>3SNCERAMFAS751045</v>
      </c>
      <c r="N61" s="92" t="str">
        <f t="shared" si="2"/>
        <v>3SNCERAMFAS751040</v>
      </c>
      <c r="O61" s="93">
        <v>75</v>
      </c>
      <c r="P61" s="92">
        <v>3</v>
      </c>
      <c r="Q61" s="92" t="s">
        <v>59</v>
      </c>
      <c r="R61" s="93">
        <v>1045</v>
      </c>
      <c r="S61" s="93">
        <v>4200</v>
      </c>
      <c r="T61" s="93">
        <v>1045</v>
      </c>
      <c r="U61" s="93">
        <v>1040</v>
      </c>
      <c r="V61" s="93">
        <v>4000</v>
      </c>
      <c r="W61" s="84">
        <v>2</v>
      </c>
      <c r="X61" s="85" t="s">
        <v>14</v>
      </c>
      <c r="Y61" s="86" t="s">
        <v>487</v>
      </c>
      <c r="Z61" s="87">
        <v>6</v>
      </c>
      <c r="AA61" s="88" t="s">
        <v>24</v>
      </c>
      <c r="AB61" s="89">
        <v>1450</v>
      </c>
      <c r="AC61" s="86"/>
      <c r="AD61" s="88"/>
      <c r="AE61" s="89"/>
      <c r="AF61" s="86"/>
      <c r="AG61" s="88"/>
      <c r="AH61" s="89"/>
      <c r="AI61" s="86"/>
      <c r="AJ61" s="88"/>
      <c r="AK61" s="89"/>
      <c r="AL61" s="90"/>
      <c r="AM61" s="91"/>
      <c r="AN61" s="91" t="s">
        <v>471</v>
      </c>
      <c r="AO61" s="243" t="str">
        <f t="shared" si="3"/>
        <v>3SNCERAMFAS75</v>
      </c>
    </row>
    <row r="62" spans="1:41" ht="15" customHeight="1" x14ac:dyDescent="0.15">
      <c r="A62" s="83">
        <v>333</v>
      </c>
      <c r="B62" s="92">
        <v>272</v>
      </c>
      <c r="C62" s="92">
        <v>3426</v>
      </c>
      <c r="D62" s="92" t="s">
        <v>91</v>
      </c>
      <c r="E62" s="92" t="s">
        <v>45</v>
      </c>
      <c r="F62" s="92" t="s">
        <v>12</v>
      </c>
      <c r="G62" s="92" t="str">
        <f t="shared" si="0"/>
        <v>3SNCERAMFAS</v>
      </c>
      <c r="H62" s="92" t="s">
        <v>19</v>
      </c>
      <c r="I62" s="92" t="s">
        <v>20</v>
      </c>
      <c r="J62" s="92" t="s">
        <v>21</v>
      </c>
      <c r="K62" s="92" t="s">
        <v>88</v>
      </c>
      <c r="L62" s="92" t="s">
        <v>89</v>
      </c>
      <c r="M62" s="92" t="str">
        <f t="shared" si="1"/>
        <v>3SNCERAMFAS1001020</v>
      </c>
      <c r="N62" s="92" t="str">
        <f t="shared" si="2"/>
        <v>3SNCERAMFAS100330</v>
      </c>
      <c r="O62" s="93">
        <v>100</v>
      </c>
      <c r="P62" s="92">
        <v>3</v>
      </c>
      <c r="Q62" s="92" t="s">
        <v>59</v>
      </c>
      <c r="R62" s="93">
        <v>1020</v>
      </c>
      <c r="S62" s="93">
        <v>2400</v>
      </c>
      <c r="T62" s="93">
        <v>330</v>
      </c>
      <c r="U62" s="93">
        <v>330</v>
      </c>
      <c r="V62" s="93">
        <v>550</v>
      </c>
      <c r="W62" s="84">
        <v>1</v>
      </c>
      <c r="X62" s="85" t="s">
        <v>14</v>
      </c>
      <c r="Y62" s="86" t="s">
        <v>295</v>
      </c>
      <c r="Z62" s="87">
        <v>6</v>
      </c>
      <c r="AA62" s="88" t="s">
        <v>24</v>
      </c>
      <c r="AB62" s="89" t="s">
        <v>92</v>
      </c>
      <c r="AC62" s="86">
        <v>3</v>
      </c>
      <c r="AD62" s="88" t="s">
        <v>39</v>
      </c>
      <c r="AE62" s="89">
        <v>333</v>
      </c>
      <c r="AF62" s="86"/>
      <c r="AG62" s="88"/>
      <c r="AH62" s="89"/>
      <c r="AI62" s="86"/>
      <c r="AJ62" s="88"/>
      <c r="AK62" s="89"/>
      <c r="AL62" s="90"/>
      <c r="AM62" s="91"/>
      <c r="AN62" s="91" t="s">
        <v>471</v>
      </c>
      <c r="AO62" s="243" t="str">
        <f t="shared" si="3"/>
        <v>3SNCERAMFAS100</v>
      </c>
    </row>
    <row r="63" spans="1:41" ht="15" customHeight="1" x14ac:dyDescent="0.15">
      <c r="A63" s="83">
        <v>333</v>
      </c>
      <c r="B63" s="92">
        <v>276</v>
      </c>
      <c r="C63" s="92">
        <v>2380</v>
      </c>
      <c r="D63" s="92" t="s">
        <v>93</v>
      </c>
      <c r="E63" s="92" t="s">
        <v>58</v>
      </c>
      <c r="F63" s="92" t="s">
        <v>12</v>
      </c>
      <c r="G63" s="92" t="str">
        <f t="shared" si="0"/>
        <v>331SNCERAMFAS</v>
      </c>
      <c r="H63" s="92" t="s">
        <v>19</v>
      </c>
      <c r="I63" s="92" t="s">
        <v>20</v>
      </c>
      <c r="J63" s="92" t="s">
        <v>21</v>
      </c>
      <c r="K63" s="92" t="s">
        <v>88</v>
      </c>
      <c r="L63" s="92" t="s">
        <v>89</v>
      </c>
      <c r="M63" s="92" t="str">
        <f t="shared" si="1"/>
        <v>331SNCERAMFAS1001040</v>
      </c>
      <c r="N63" s="92" t="str">
        <f t="shared" si="2"/>
        <v>331SNCERAMFAS100450</v>
      </c>
      <c r="O63" s="93">
        <v>100</v>
      </c>
      <c r="P63" s="92">
        <v>331</v>
      </c>
      <c r="Q63" s="92" t="s">
        <v>59</v>
      </c>
      <c r="R63" s="93">
        <v>1040</v>
      </c>
      <c r="S63" s="93">
        <v>2100</v>
      </c>
      <c r="T63" s="93">
        <v>450</v>
      </c>
      <c r="U63" s="93">
        <v>450</v>
      </c>
      <c r="V63" s="93">
        <v>800</v>
      </c>
      <c r="W63" s="84">
        <v>2</v>
      </c>
      <c r="X63" s="85" t="s">
        <v>14</v>
      </c>
      <c r="Y63" s="86" t="s">
        <v>295</v>
      </c>
      <c r="Z63" s="87">
        <v>6</v>
      </c>
      <c r="AA63" s="88" t="s">
        <v>24</v>
      </c>
      <c r="AB63" s="89">
        <v>1450</v>
      </c>
      <c r="AC63" s="86">
        <v>3</v>
      </c>
      <c r="AD63" s="88" t="s">
        <v>39</v>
      </c>
      <c r="AE63" s="89">
        <v>455</v>
      </c>
      <c r="AF63" s="86"/>
      <c r="AG63" s="88"/>
      <c r="AH63" s="89"/>
      <c r="AI63" s="86"/>
      <c r="AJ63" s="88"/>
      <c r="AK63" s="89"/>
      <c r="AL63" s="90"/>
      <c r="AM63" s="91"/>
      <c r="AN63" s="91" t="s">
        <v>471</v>
      </c>
      <c r="AO63" s="243" t="str">
        <f t="shared" si="3"/>
        <v>331SNCERAMFAS100</v>
      </c>
    </row>
    <row r="64" spans="1:41" ht="15" customHeight="1" x14ac:dyDescent="0.15">
      <c r="A64" s="83">
        <v>333</v>
      </c>
      <c r="B64" s="92">
        <v>276</v>
      </c>
      <c r="C64" s="92">
        <v>2380</v>
      </c>
      <c r="D64" s="92" t="s">
        <v>93</v>
      </c>
      <c r="E64" s="92" t="s">
        <v>58</v>
      </c>
      <c r="F64" s="92" t="s">
        <v>12</v>
      </c>
      <c r="G64" s="92" t="str">
        <f t="shared" si="0"/>
        <v>331SNCERAMFAS</v>
      </c>
      <c r="H64" s="92" t="s">
        <v>19</v>
      </c>
      <c r="I64" s="92" t="s">
        <v>20</v>
      </c>
      <c r="J64" s="92" t="s">
        <v>21</v>
      </c>
      <c r="K64" s="92" t="s">
        <v>88</v>
      </c>
      <c r="L64" s="92" t="s">
        <v>89</v>
      </c>
      <c r="M64" s="92" t="str">
        <f t="shared" si="1"/>
        <v>331SNCERAMFAS1001020</v>
      </c>
      <c r="N64" s="92" t="str">
        <f t="shared" si="2"/>
        <v>331SNCERAMFAS100450</v>
      </c>
      <c r="O64" s="93">
        <v>100</v>
      </c>
      <c r="P64" s="92">
        <v>331</v>
      </c>
      <c r="Q64" s="92" t="s">
        <v>59</v>
      </c>
      <c r="R64" s="93">
        <v>1020</v>
      </c>
      <c r="S64" s="93">
        <v>2400</v>
      </c>
      <c r="T64" s="93">
        <v>450</v>
      </c>
      <c r="U64" s="93">
        <v>450</v>
      </c>
      <c r="V64" s="93">
        <v>800</v>
      </c>
      <c r="W64" s="84">
        <v>2</v>
      </c>
      <c r="X64" s="85" t="s">
        <v>14</v>
      </c>
      <c r="Y64" s="86" t="s">
        <v>295</v>
      </c>
      <c r="Z64" s="87">
        <v>6</v>
      </c>
      <c r="AA64" s="88" t="s">
        <v>24</v>
      </c>
      <c r="AB64" s="89">
        <v>1450</v>
      </c>
      <c r="AC64" s="86">
        <v>3</v>
      </c>
      <c r="AD64" s="88" t="s">
        <v>39</v>
      </c>
      <c r="AE64" s="89">
        <v>455</v>
      </c>
      <c r="AF64" s="86"/>
      <c r="AG64" s="88"/>
      <c r="AH64" s="89"/>
      <c r="AI64" s="86"/>
      <c r="AJ64" s="88"/>
      <c r="AK64" s="89"/>
      <c r="AL64" s="90"/>
      <c r="AM64" s="91"/>
      <c r="AN64" s="91" t="s">
        <v>471</v>
      </c>
      <c r="AO64" s="243" t="str">
        <f t="shared" si="3"/>
        <v>331SNCERAMFAS100</v>
      </c>
    </row>
    <row r="65" spans="1:41" ht="15" customHeight="1" x14ac:dyDescent="0.15">
      <c r="A65" s="83">
        <v>333</v>
      </c>
      <c r="B65" s="92">
        <v>272</v>
      </c>
      <c r="C65" s="92">
        <v>3426</v>
      </c>
      <c r="D65" s="92" t="s">
        <v>91</v>
      </c>
      <c r="E65" s="92" t="s">
        <v>45</v>
      </c>
      <c r="F65" s="92" t="s">
        <v>12</v>
      </c>
      <c r="G65" s="92" t="str">
        <f t="shared" si="0"/>
        <v>3SNCERAMFAS</v>
      </c>
      <c r="H65" s="92" t="s">
        <v>19</v>
      </c>
      <c r="I65" s="92" t="s">
        <v>20</v>
      </c>
      <c r="J65" s="92" t="s">
        <v>21</v>
      </c>
      <c r="K65" s="92" t="s">
        <v>88</v>
      </c>
      <c r="L65" s="92" t="s">
        <v>89</v>
      </c>
      <c r="M65" s="92" t="str">
        <f t="shared" si="1"/>
        <v>3SNCERAMFAS1251250</v>
      </c>
      <c r="N65" s="92" t="str">
        <f t="shared" si="2"/>
        <v>3SNCERAMFAS125150</v>
      </c>
      <c r="O65" s="93">
        <v>125</v>
      </c>
      <c r="P65" s="92">
        <v>3</v>
      </c>
      <c r="Q65" s="92" t="s">
        <v>59</v>
      </c>
      <c r="R65" s="93">
        <v>1250</v>
      </c>
      <c r="S65" s="93">
        <v>2000</v>
      </c>
      <c r="T65" s="93">
        <v>150</v>
      </c>
      <c r="U65" s="93">
        <v>150</v>
      </c>
      <c r="V65" s="93">
        <v>200</v>
      </c>
      <c r="W65" s="84">
        <v>1</v>
      </c>
      <c r="X65" s="85" t="s">
        <v>14</v>
      </c>
      <c r="Y65" s="86" t="s">
        <v>295</v>
      </c>
      <c r="Z65" s="87">
        <v>6</v>
      </c>
      <c r="AA65" s="88" t="s">
        <v>24</v>
      </c>
      <c r="AB65" s="89">
        <v>1450</v>
      </c>
      <c r="AC65" s="86">
        <v>3</v>
      </c>
      <c r="AD65" s="88" t="s">
        <v>39</v>
      </c>
      <c r="AE65" s="89">
        <v>151</v>
      </c>
      <c r="AF65" s="86"/>
      <c r="AG65" s="88"/>
      <c r="AH65" s="89"/>
      <c r="AI65" s="86"/>
      <c r="AJ65" s="88"/>
      <c r="AK65" s="89"/>
      <c r="AL65" s="90"/>
      <c r="AM65" s="91"/>
      <c r="AN65" s="91" t="s">
        <v>471</v>
      </c>
      <c r="AO65" s="243" t="str">
        <f t="shared" si="3"/>
        <v>3SNCERAMFAS125</v>
      </c>
    </row>
    <row r="66" spans="1:41" ht="15" customHeight="1" x14ac:dyDescent="0.15">
      <c r="A66" s="83">
        <v>333</v>
      </c>
      <c r="B66" s="92">
        <v>271</v>
      </c>
      <c r="C66" s="92">
        <v>41605</v>
      </c>
      <c r="D66" s="92" t="s">
        <v>94</v>
      </c>
      <c r="E66" s="92" t="s">
        <v>18</v>
      </c>
      <c r="F66" s="92" t="s">
        <v>26</v>
      </c>
      <c r="G66" s="92" t="str">
        <f t="shared" si="0"/>
        <v>3SNCERAMFAS</v>
      </c>
      <c r="H66" s="92" t="s">
        <v>19</v>
      </c>
      <c r="I66" s="92" t="s">
        <v>20</v>
      </c>
      <c r="J66" s="92" t="s">
        <v>21</v>
      </c>
      <c r="K66" s="92" t="s">
        <v>88</v>
      </c>
      <c r="L66" s="92" t="s">
        <v>89</v>
      </c>
      <c r="M66" s="92" t="str">
        <f t="shared" si="1"/>
        <v>3SNCERAMFAS1251250</v>
      </c>
      <c r="N66" s="92" t="str">
        <f t="shared" si="2"/>
        <v>3SNCERAMFAS125200</v>
      </c>
      <c r="O66" s="93">
        <v>125</v>
      </c>
      <c r="P66" s="92">
        <v>3</v>
      </c>
      <c r="Q66" s="92" t="s">
        <v>59</v>
      </c>
      <c r="R66" s="93">
        <v>1250</v>
      </c>
      <c r="S66" s="93">
        <v>2000</v>
      </c>
      <c r="T66" s="93">
        <v>200</v>
      </c>
      <c r="U66" s="93">
        <v>200</v>
      </c>
      <c r="V66" s="93">
        <v>400</v>
      </c>
      <c r="W66" s="84">
        <v>1</v>
      </c>
      <c r="X66" s="85" t="s">
        <v>14</v>
      </c>
      <c r="Y66" s="86" t="s">
        <v>295</v>
      </c>
      <c r="Z66" s="87">
        <v>6</v>
      </c>
      <c r="AA66" s="88" t="s">
        <v>24</v>
      </c>
      <c r="AB66" s="89">
        <v>1450</v>
      </c>
      <c r="AC66" s="86">
        <v>3</v>
      </c>
      <c r="AD66" s="88" t="s">
        <v>39</v>
      </c>
      <c r="AE66" s="89">
        <v>210</v>
      </c>
      <c r="AF66" s="86"/>
      <c r="AG66" s="88"/>
      <c r="AH66" s="89"/>
      <c r="AI66" s="86"/>
      <c r="AJ66" s="88"/>
      <c r="AK66" s="89"/>
      <c r="AL66" s="90"/>
      <c r="AM66" s="91"/>
      <c r="AN66" s="91" t="s">
        <v>471</v>
      </c>
      <c r="AO66" s="243" t="str">
        <f t="shared" si="3"/>
        <v>3SNCERAMFAS125</v>
      </c>
    </row>
    <row r="67" spans="1:41" ht="15" customHeight="1" x14ac:dyDescent="0.15">
      <c r="A67" s="83">
        <v>333</v>
      </c>
      <c r="B67" s="92">
        <v>272</v>
      </c>
      <c r="C67" s="92">
        <v>2153</v>
      </c>
      <c r="D67" s="92" t="s">
        <v>95</v>
      </c>
      <c r="E67" s="92" t="s">
        <v>45</v>
      </c>
      <c r="F67" s="92" t="s">
        <v>46</v>
      </c>
      <c r="G67" s="92" t="str">
        <f t="shared" si="0"/>
        <v>3HSNCERAMFAS</v>
      </c>
      <c r="H67" s="92" t="s">
        <v>19</v>
      </c>
      <c r="I67" s="92" t="s">
        <v>20</v>
      </c>
      <c r="J67" s="92" t="s">
        <v>21</v>
      </c>
      <c r="K67" s="92" t="s">
        <v>88</v>
      </c>
      <c r="L67" s="92" t="s">
        <v>89</v>
      </c>
      <c r="M67" s="92" t="str">
        <f t="shared" si="1"/>
        <v>3HSNCERAMFAS1881230</v>
      </c>
      <c r="N67" s="92" t="str">
        <f t="shared" si="2"/>
        <v>3HSNCERAMFAS188270</v>
      </c>
      <c r="O67" s="93">
        <v>188</v>
      </c>
      <c r="P67" s="92" t="s">
        <v>96</v>
      </c>
      <c r="Q67" s="92" t="s">
        <v>78</v>
      </c>
      <c r="R67" s="93">
        <v>1230</v>
      </c>
      <c r="S67" s="93">
        <v>1800</v>
      </c>
      <c r="T67" s="93">
        <v>270</v>
      </c>
      <c r="U67" s="93">
        <v>270</v>
      </c>
      <c r="V67" s="93">
        <v>250</v>
      </c>
      <c r="W67" s="84">
        <v>2</v>
      </c>
      <c r="X67" s="85" t="s">
        <v>14</v>
      </c>
      <c r="Y67" s="86" t="s">
        <v>295</v>
      </c>
      <c r="Z67" s="87">
        <v>6</v>
      </c>
      <c r="AA67" s="88" t="s">
        <v>24</v>
      </c>
      <c r="AB67" s="89">
        <v>1450</v>
      </c>
      <c r="AC67" s="86">
        <v>3</v>
      </c>
      <c r="AD67" s="88" t="s">
        <v>39</v>
      </c>
      <c r="AE67" s="89">
        <v>400</v>
      </c>
      <c r="AF67" s="86"/>
      <c r="AG67" s="88"/>
      <c r="AH67" s="89"/>
      <c r="AI67" s="86"/>
      <c r="AJ67" s="88"/>
      <c r="AK67" s="89"/>
      <c r="AL67" s="90"/>
      <c r="AM67" s="91"/>
      <c r="AN67" s="91" t="s">
        <v>471</v>
      </c>
      <c r="AO67" s="243" t="str">
        <f t="shared" si="3"/>
        <v>3HSNCERAMFAS188</v>
      </c>
    </row>
    <row r="68" spans="1:41" ht="15" customHeight="1" x14ac:dyDescent="0.15">
      <c r="A68" s="83">
        <v>333</v>
      </c>
      <c r="B68" s="92">
        <v>272</v>
      </c>
      <c r="C68" s="92">
        <v>2153</v>
      </c>
      <c r="D68" s="92" t="s">
        <v>95</v>
      </c>
      <c r="E68" s="92" t="s">
        <v>45</v>
      </c>
      <c r="F68" s="92" t="s">
        <v>46</v>
      </c>
      <c r="G68" s="92" t="str">
        <f t="shared" si="0"/>
        <v>3HSNCERAMFAS</v>
      </c>
      <c r="H68" s="92" t="s">
        <v>19</v>
      </c>
      <c r="I68" s="92" t="s">
        <v>20</v>
      </c>
      <c r="J68" s="92" t="s">
        <v>21</v>
      </c>
      <c r="K68" s="92" t="s">
        <v>88</v>
      </c>
      <c r="L68" s="92" t="s">
        <v>89</v>
      </c>
      <c r="M68" s="92" t="str">
        <f t="shared" si="1"/>
        <v>3HSNCERAMFAS1881230</v>
      </c>
      <c r="N68" s="92" t="str">
        <f t="shared" si="2"/>
        <v>3HSNCERAMFAS188360</v>
      </c>
      <c r="O68" s="93">
        <v>188</v>
      </c>
      <c r="P68" s="92" t="s">
        <v>96</v>
      </c>
      <c r="Q68" s="92" t="s">
        <v>78</v>
      </c>
      <c r="R68" s="93">
        <v>1230</v>
      </c>
      <c r="S68" s="93">
        <v>1800</v>
      </c>
      <c r="T68" s="93">
        <v>360</v>
      </c>
      <c r="U68" s="93">
        <v>360</v>
      </c>
      <c r="V68" s="93">
        <v>250</v>
      </c>
      <c r="W68" s="84">
        <v>2</v>
      </c>
      <c r="X68" s="85" t="s">
        <v>14</v>
      </c>
      <c r="Y68" s="86" t="s">
        <v>295</v>
      </c>
      <c r="Z68" s="87">
        <v>6</v>
      </c>
      <c r="AA68" s="88" t="s">
        <v>24</v>
      </c>
      <c r="AB68" s="89">
        <v>1450</v>
      </c>
      <c r="AC68" s="86">
        <v>3</v>
      </c>
      <c r="AD68" s="88" t="s">
        <v>39</v>
      </c>
      <c r="AE68" s="89">
        <v>400</v>
      </c>
      <c r="AF68" s="86"/>
      <c r="AG68" s="88"/>
      <c r="AH68" s="89"/>
      <c r="AI68" s="86"/>
      <c r="AJ68" s="88"/>
      <c r="AK68" s="89"/>
      <c r="AL68" s="90"/>
      <c r="AM68" s="91"/>
      <c r="AN68" s="91" t="s">
        <v>471</v>
      </c>
      <c r="AO68" s="243" t="str">
        <f t="shared" si="3"/>
        <v>3HSNCERAMFAS188</v>
      </c>
    </row>
    <row r="69" spans="1:41" ht="15" customHeight="1" x14ac:dyDescent="0.15">
      <c r="A69" s="83">
        <v>333</v>
      </c>
      <c r="B69" s="92">
        <v>271</v>
      </c>
      <c r="C69" s="92">
        <v>6092</v>
      </c>
      <c r="D69" s="92" t="s">
        <v>97</v>
      </c>
      <c r="E69" s="92" t="s">
        <v>18</v>
      </c>
      <c r="F69" s="92" t="s">
        <v>12</v>
      </c>
      <c r="G69" s="92" t="str">
        <f t="shared" si="0"/>
        <v>331SYCERAMFAS</v>
      </c>
      <c r="H69" s="92" t="s">
        <v>19</v>
      </c>
      <c r="I69" s="92" t="s">
        <v>28</v>
      </c>
      <c r="J69" s="92" t="s">
        <v>21</v>
      </c>
      <c r="K69" s="92" t="s">
        <v>88</v>
      </c>
      <c r="L69" s="92" t="s">
        <v>89</v>
      </c>
      <c r="M69" s="92" t="str">
        <f t="shared" si="1"/>
        <v>331SYCERAMFAS1881040</v>
      </c>
      <c r="N69" s="92" t="str">
        <f t="shared" si="2"/>
        <v>331SYCERAMFAS188500</v>
      </c>
      <c r="O69" s="93">
        <v>188</v>
      </c>
      <c r="P69" s="92">
        <v>331</v>
      </c>
      <c r="Q69" s="92" t="s">
        <v>78</v>
      </c>
      <c r="R69" s="93">
        <v>1040</v>
      </c>
      <c r="S69" s="93">
        <v>1800</v>
      </c>
      <c r="T69" s="93">
        <v>500</v>
      </c>
      <c r="U69" s="93">
        <v>500</v>
      </c>
      <c r="V69" s="93">
        <v>200</v>
      </c>
      <c r="W69" s="84">
        <v>1</v>
      </c>
      <c r="X69" s="85" t="s">
        <v>14</v>
      </c>
      <c r="Y69" s="86" t="s">
        <v>295</v>
      </c>
      <c r="Z69" s="87">
        <v>6</v>
      </c>
      <c r="AA69" s="88" t="s">
        <v>24</v>
      </c>
      <c r="AB69" s="89">
        <v>1450</v>
      </c>
      <c r="AC69" s="86">
        <v>6</v>
      </c>
      <c r="AD69" s="88" t="s">
        <v>16</v>
      </c>
      <c r="AE69" s="89">
        <v>505</v>
      </c>
      <c r="AF69" s="86"/>
      <c r="AG69" s="88"/>
      <c r="AH69" s="89"/>
      <c r="AI69" s="86"/>
      <c r="AJ69" s="88"/>
      <c r="AK69" s="89"/>
      <c r="AL69" s="90"/>
      <c r="AM69" s="91"/>
      <c r="AN69" s="91" t="s">
        <v>471</v>
      </c>
      <c r="AO69" s="243" t="str">
        <f t="shared" si="3"/>
        <v>331SYCERAMFAS188</v>
      </c>
    </row>
    <row r="70" spans="1:41" ht="15" customHeight="1" x14ac:dyDescent="0.15">
      <c r="A70" s="83">
        <v>333</v>
      </c>
      <c r="B70" s="92">
        <v>272</v>
      </c>
      <c r="C70" s="92">
        <v>3426</v>
      </c>
      <c r="D70" s="92" t="s">
        <v>91</v>
      </c>
      <c r="E70" s="92" t="s">
        <v>45</v>
      </c>
      <c r="F70" s="92" t="s">
        <v>12</v>
      </c>
      <c r="G70" s="92" t="str">
        <f t="shared" si="0"/>
        <v>3SNCERAMFAS</v>
      </c>
      <c r="H70" s="92" t="s">
        <v>19</v>
      </c>
      <c r="I70" s="92" t="s">
        <v>20</v>
      </c>
      <c r="J70" s="92" t="s">
        <v>21</v>
      </c>
      <c r="K70" s="92" t="s">
        <v>88</v>
      </c>
      <c r="L70" s="92" t="s">
        <v>89</v>
      </c>
      <c r="M70" s="92" t="str">
        <f t="shared" si="1"/>
        <v>3SNCERAMFAS1881134</v>
      </c>
      <c r="N70" s="92" t="str">
        <f t="shared" si="2"/>
        <v>3SNCERAMFAS1881130</v>
      </c>
      <c r="O70" s="93">
        <v>188</v>
      </c>
      <c r="P70" s="92">
        <v>3</v>
      </c>
      <c r="Q70" s="92" t="s">
        <v>78</v>
      </c>
      <c r="R70" s="93">
        <v>1134</v>
      </c>
      <c r="S70" s="93">
        <v>1800</v>
      </c>
      <c r="T70" s="93">
        <v>1130</v>
      </c>
      <c r="U70" s="93">
        <v>1130</v>
      </c>
      <c r="V70" s="93">
        <v>1620</v>
      </c>
      <c r="W70" s="84">
        <v>2</v>
      </c>
      <c r="X70" s="85" t="s">
        <v>14</v>
      </c>
      <c r="Y70" s="86" t="s">
        <v>15</v>
      </c>
      <c r="Z70" s="87">
        <v>6</v>
      </c>
      <c r="AA70" s="88" t="s">
        <v>24</v>
      </c>
      <c r="AB70" s="89">
        <v>1170</v>
      </c>
      <c r="AC70" s="86"/>
      <c r="AD70" s="88"/>
      <c r="AE70" s="89"/>
      <c r="AF70" s="86"/>
      <c r="AG70" s="88"/>
      <c r="AH70" s="89"/>
      <c r="AI70" s="86"/>
      <c r="AJ70" s="88"/>
      <c r="AK70" s="89"/>
      <c r="AL70" s="90"/>
      <c r="AM70" s="91"/>
      <c r="AN70" s="91" t="s">
        <v>471</v>
      </c>
      <c r="AO70" s="243" t="str">
        <f t="shared" si="3"/>
        <v>3SNCERAMFAS188</v>
      </c>
    </row>
    <row r="71" spans="1:41" ht="15" customHeight="1" x14ac:dyDescent="0.15">
      <c r="A71" s="83">
        <v>333</v>
      </c>
      <c r="B71" s="92">
        <v>272</v>
      </c>
      <c r="C71" s="92">
        <v>2153</v>
      </c>
      <c r="D71" s="92" t="s">
        <v>95</v>
      </c>
      <c r="E71" s="92" t="s">
        <v>45</v>
      </c>
      <c r="F71" s="92" t="s">
        <v>46</v>
      </c>
      <c r="G71" s="92" t="str">
        <f t="shared" si="0"/>
        <v>3SNCERAMFAS</v>
      </c>
      <c r="H71" s="92" t="s">
        <v>19</v>
      </c>
      <c r="I71" s="92" t="s">
        <v>20</v>
      </c>
      <c r="J71" s="92" t="s">
        <v>21</v>
      </c>
      <c r="K71" s="92" t="s">
        <v>88</v>
      </c>
      <c r="L71" s="92" t="s">
        <v>89</v>
      </c>
      <c r="M71" s="92" t="str">
        <f t="shared" si="1"/>
        <v>3SNCERAMFAS1881230</v>
      </c>
      <c r="N71" s="92" t="str">
        <f t="shared" si="2"/>
        <v>3SNCERAMFAS1881220</v>
      </c>
      <c r="O71" s="93">
        <v>188</v>
      </c>
      <c r="P71" s="92">
        <v>3</v>
      </c>
      <c r="Q71" s="92" t="s">
        <v>78</v>
      </c>
      <c r="R71" s="93">
        <v>1230</v>
      </c>
      <c r="S71" s="93">
        <v>1800</v>
      </c>
      <c r="T71" s="93">
        <v>1230</v>
      </c>
      <c r="U71" s="93">
        <v>1220</v>
      </c>
      <c r="V71" s="93">
        <v>800</v>
      </c>
      <c r="W71" s="84">
        <v>2</v>
      </c>
      <c r="X71" s="85" t="s">
        <v>14</v>
      </c>
      <c r="Y71" s="86" t="s">
        <v>295</v>
      </c>
      <c r="Z71" s="87">
        <v>6</v>
      </c>
      <c r="AA71" s="88" t="s">
        <v>24</v>
      </c>
      <c r="AB71" s="89">
        <v>1450</v>
      </c>
      <c r="AC71" s="86">
        <v>6</v>
      </c>
      <c r="AD71" s="88" t="s">
        <v>16</v>
      </c>
      <c r="AE71" s="89">
        <v>1235</v>
      </c>
      <c r="AF71" s="86"/>
      <c r="AG71" s="88"/>
      <c r="AH71" s="89"/>
      <c r="AI71" s="86"/>
      <c r="AJ71" s="88"/>
      <c r="AK71" s="89"/>
      <c r="AL71" s="90"/>
      <c r="AM71" s="91"/>
      <c r="AN71" s="91" t="s">
        <v>471</v>
      </c>
      <c r="AO71" s="243" t="str">
        <f t="shared" si="3"/>
        <v>3SNCERAMFAS188</v>
      </c>
    </row>
    <row r="72" spans="1:41" ht="15" customHeight="1" x14ac:dyDescent="0.15">
      <c r="A72" s="83">
        <v>333</v>
      </c>
      <c r="B72" s="92">
        <v>272</v>
      </c>
      <c r="C72" s="92">
        <v>4641</v>
      </c>
      <c r="D72" s="92" t="s">
        <v>98</v>
      </c>
      <c r="E72" s="92" t="s">
        <v>45</v>
      </c>
      <c r="F72" s="92" t="s">
        <v>46</v>
      </c>
      <c r="G72" s="92" t="str">
        <f t="shared" si="0"/>
        <v>3SNCERASY08</v>
      </c>
      <c r="H72" s="92" t="s">
        <v>19</v>
      </c>
      <c r="I72" s="92" t="s">
        <v>20</v>
      </c>
      <c r="J72" s="92" t="s">
        <v>21</v>
      </c>
      <c r="K72" s="92" t="s">
        <v>99</v>
      </c>
      <c r="L72" s="92" t="s">
        <v>100</v>
      </c>
      <c r="M72" s="92" t="str">
        <f t="shared" si="1"/>
        <v>3SNCERASY08251045</v>
      </c>
      <c r="N72" s="92" t="str">
        <f t="shared" si="2"/>
        <v>3SNCERASY0825500</v>
      </c>
      <c r="O72" s="93">
        <v>25</v>
      </c>
      <c r="P72" s="92">
        <v>3</v>
      </c>
      <c r="Q72" s="92" t="s">
        <v>19</v>
      </c>
      <c r="R72" s="93">
        <v>1045</v>
      </c>
      <c r="S72" s="93">
        <v>12400</v>
      </c>
      <c r="T72" s="93">
        <v>500</v>
      </c>
      <c r="U72" s="93">
        <v>500</v>
      </c>
      <c r="V72" s="93">
        <v>4000</v>
      </c>
      <c r="W72" s="84">
        <v>2</v>
      </c>
      <c r="X72" s="85" t="s">
        <v>14</v>
      </c>
      <c r="Y72" s="86" t="s">
        <v>295</v>
      </c>
      <c r="Z72" s="87">
        <v>6</v>
      </c>
      <c r="AA72" s="88" t="s">
        <v>24</v>
      </c>
      <c r="AB72" s="89">
        <v>1450</v>
      </c>
      <c r="AC72" s="86">
        <v>3</v>
      </c>
      <c r="AD72" s="88" t="s">
        <v>39</v>
      </c>
      <c r="AE72" s="89">
        <v>505</v>
      </c>
      <c r="AF72" s="86"/>
      <c r="AG72" s="88"/>
      <c r="AH72" s="89"/>
      <c r="AI72" s="86"/>
      <c r="AJ72" s="88"/>
      <c r="AK72" s="89"/>
      <c r="AL72" s="90"/>
      <c r="AM72" s="91"/>
      <c r="AN72" s="91" t="s">
        <v>471</v>
      </c>
      <c r="AO72" s="243" t="str">
        <f t="shared" si="3"/>
        <v>3SNCERASY0825</v>
      </c>
    </row>
    <row r="73" spans="1:41" ht="15" customHeight="1" x14ac:dyDescent="0.15">
      <c r="A73" s="83">
        <v>333</v>
      </c>
      <c r="B73" s="92">
        <v>271</v>
      </c>
      <c r="C73" s="92">
        <v>2425</v>
      </c>
      <c r="D73" s="92" t="s">
        <v>101</v>
      </c>
      <c r="E73" s="92" t="s">
        <v>18</v>
      </c>
      <c r="F73" s="92" t="s">
        <v>12</v>
      </c>
      <c r="G73" s="92" t="str">
        <f t="shared" si="0"/>
        <v>3SYCERASY09</v>
      </c>
      <c r="H73" s="92" t="s">
        <v>19</v>
      </c>
      <c r="I73" s="92" t="s">
        <v>28</v>
      </c>
      <c r="J73" s="92" t="s">
        <v>21</v>
      </c>
      <c r="K73" s="92" t="s">
        <v>102</v>
      </c>
      <c r="L73" s="92" t="s">
        <v>103</v>
      </c>
      <c r="M73" s="92" t="str">
        <f t="shared" si="1"/>
        <v>3SYCERASY09501050</v>
      </c>
      <c r="N73" s="92" t="str">
        <f t="shared" si="2"/>
        <v>3SYCERASY09501040</v>
      </c>
      <c r="O73" s="93">
        <v>50</v>
      </c>
      <c r="P73" s="92">
        <v>3</v>
      </c>
      <c r="Q73" s="92" t="s">
        <v>13</v>
      </c>
      <c r="R73" s="93">
        <v>1050</v>
      </c>
      <c r="S73" s="93">
        <v>4200</v>
      </c>
      <c r="T73" s="93">
        <v>1050</v>
      </c>
      <c r="U73" s="93">
        <v>1040</v>
      </c>
      <c r="V73" s="93">
        <v>4000</v>
      </c>
      <c r="W73" s="84">
        <v>2</v>
      </c>
      <c r="X73" s="85" t="s">
        <v>14</v>
      </c>
      <c r="Y73" s="86" t="s">
        <v>15</v>
      </c>
      <c r="Z73" s="87">
        <v>6</v>
      </c>
      <c r="AA73" s="88" t="s">
        <v>16</v>
      </c>
      <c r="AB73" s="89">
        <v>1100</v>
      </c>
      <c r="AC73" s="86"/>
      <c r="AD73" s="88"/>
      <c r="AE73" s="89"/>
      <c r="AF73" s="86"/>
      <c r="AG73" s="88"/>
      <c r="AH73" s="89"/>
      <c r="AI73" s="86"/>
      <c r="AJ73" s="88"/>
      <c r="AK73" s="89"/>
      <c r="AL73" s="90"/>
      <c r="AM73" s="91"/>
      <c r="AN73" s="91" t="s">
        <v>471</v>
      </c>
      <c r="AO73" s="243" t="str">
        <f t="shared" si="3"/>
        <v>3SYCERASY0950</v>
      </c>
    </row>
    <row r="74" spans="1:41" ht="15" customHeight="1" x14ac:dyDescent="0.15">
      <c r="A74" s="83">
        <v>333</v>
      </c>
      <c r="B74" s="92">
        <v>271</v>
      </c>
      <c r="C74" s="92">
        <v>380604</v>
      </c>
      <c r="D74" s="92" t="s">
        <v>17</v>
      </c>
      <c r="E74" s="92" t="s">
        <v>18</v>
      </c>
      <c r="F74" s="92" t="s">
        <v>12</v>
      </c>
      <c r="G74" s="92" t="str">
        <f t="shared" si="0"/>
        <v>3SNCERAWZ</v>
      </c>
      <c r="H74" s="92" t="s">
        <v>19</v>
      </c>
      <c r="I74" s="92" t="s">
        <v>20</v>
      </c>
      <c r="J74" s="92" t="s">
        <v>21</v>
      </c>
      <c r="K74" s="92" t="s">
        <v>104</v>
      </c>
      <c r="L74" s="92" t="s">
        <v>105</v>
      </c>
      <c r="M74" s="92" t="str">
        <f t="shared" si="1"/>
        <v>3SNCERAWZ251040</v>
      </c>
      <c r="N74" s="92" t="str">
        <f t="shared" si="2"/>
        <v>3SNCERAWZ251030</v>
      </c>
      <c r="O74" s="93">
        <v>25</v>
      </c>
      <c r="P74" s="92">
        <v>3</v>
      </c>
      <c r="Q74" s="92" t="s">
        <v>31</v>
      </c>
      <c r="R74" s="93">
        <v>1040</v>
      </c>
      <c r="S74" s="93">
        <v>12300</v>
      </c>
      <c r="T74" s="93">
        <v>1040</v>
      </c>
      <c r="U74" s="93">
        <v>1030</v>
      </c>
      <c r="V74" s="93">
        <v>12000</v>
      </c>
      <c r="W74" s="84">
        <v>2</v>
      </c>
      <c r="X74" s="85" t="s">
        <v>14</v>
      </c>
      <c r="Y74" s="86" t="s">
        <v>15</v>
      </c>
      <c r="Z74" s="87">
        <v>6</v>
      </c>
      <c r="AA74" s="88" t="s">
        <v>24</v>
      </c>
      <c r="AB74" s="89">
        <v>1450</v>
      </c>
      <c r="AC74" s="86"/>
      <c r="AD74" s="88"/>
      <c r="AE74" s="89"/>
      <c r="AF74" s="86"/>
      <c r="AG74" s="88"/>
      <c r="AH74" s="89"/>
      <c r="AI74" s="86"/>
      <c r="AJ74" s="88"/>
      <c r="AK74" s="89"/>
      <c r="AL74" s="90"/>
      <c r="AM74" s="91"/>
      <c r="AN74" s="91" t="s">
        <v>474</v>
      </c>
      <c r="AO74" s="243" t="str">
        <f t="shared" si="3"/>
        <v>3SNCERAWZ25</v>
      </c>
    </row>
    <row r="75" spans="1:41" ht="15" customHeight="1" x14ac:dyDescent="0.15">
      <c r="A75" s="83">
        <v>333</v>
      </c>
      <c r="B75" s="92">
        <v>271</v>
      </c>
      <c r="C75" s="92">
        <v>380604</v>
      </c>
      <c r="D75" s="92" t="s">
        <v>17</v>
      </c>
      <c r="E75" s="92" t="s">
        <v>18</v>
      </c>
      <c r="F75" s="92" t="s">
        <v>12</v>
      </c>
      <c r="G75" s="92" t="str">
        <f t="shared" si="0"/>
        <v>3SNCERAWZ</v>
      </c>
      <c r="H75" s="92" t="s">
        <v>19</v>
      </c>
      <c r="I75" s="92" t="s">
        <v>20</v>
      </c>
      <c r="J75" s="92" t="s">
        <v>21</v>
      </c>
      <c r="K75" s="92" t="s">
        <v>104</v>
      </c>
      <c r="L75" s="92" t="s">
        <v>105</v>
      </c>
      <c r="M75" s="92" t="str">
        <f t="shared" si="1"/>
        <v>3SNCERAWZ251150</v>
      </c>
      <c r="N75" s="92" t="str">
        <f t="shared" si="2"/>
        <v>3SNCERAWZ251145</v>
      </c>
      <c r="O75" s="93">
        <v>25</v>
      </c>
      <c r="P75" s="92">
        <v>3</v>
      </c>
      <c r="Q75" s="92" t="s">
        <v>31</v>
      </c>
      <c r="R75" s="93">
        <v>1150</v>
      </c>
      <c r="S75" s="93">
        <v>16600</v>
      </c>
      <c r="T75" s="93">
        <v>1150</v>
      </c>
      <c r="U75" s="93">
        <v>1145</v>
      </c>
      <c r="V75" s="93">
        <v>16300</v>
      </c>
      <c r="W75" s="84">
        <v>2</v>
      </c>
      <c r="X75" s="85" t="s">
        <v>14</v>
      </c>
      <c r="Y75" s="86" t="s">
        <v>15</v>
      </c>
      <c r="Z75" s="87">
        <v>6</v>
      </c>
      <c r="AA75" s="88" t="s">
        <v>24</v>
      </c>
      <c r="AB75" s="89">
        <v>1450</v>
      </c>
      <c r="AC75" s="86"/>
      <c r="AD75" s="88"/>
      <c r="AE75" s="89"/>
      <c r="AF75" s="86"/>
      <c r="AG75" s="88"/>
      <c r="AH75" s="89"/>
      <c r="AI75" s="86"/>
      <c r="AJ75" s="88"/>
      <c r="AK75" s="89"/>
      <c r="AL75" s="90"/>
      <c r="AM75" s="91"/>
      <c r="AN75" s="91" t="s">
        <v>474</v>
      </c>
      <c r="AO75" s="243" t="str">
        <f t="shared" si="3"/>
        <v>3SNCERAWZ25</v>
      </c>
    </row>
    <row r="76" spans="1:41" ht="15" customHeight="1" x14ac:dyDescent="0.15">
      <c r="A76" s="83">
        <v>333</v>
      </c>
      <c r="B76" s="92">
        <v>271</v>
      </c>
      <c r="C76" s="92">
        <v>380604</v>
      </c>
      <c r="D76" s="92" t="s">
        <v>17</v>
      </c>
      <c r="E76" s="92" t="s">
        <v>18</v>
      </c>
      <c r="F76" s="92" t="s">
        <v>12</v>
      </c>
      <c r="G76" s="92" t="str">
        <f t="shared" si="0"/>
        <v>3SNCERAWZ</v>
      </c>
      <c r="H76" s="92" t="s">
        <v>19</v>
      </c>
      <c r="I76" s="92" t="s">
        <v>20</v>
      </c>
      <c r="J76" s="92" t="s">
        <v>21</v>
      </c>
      <c r="K76" s="92" t="s">
        <v>104</v>
      </c>
      <c r="L76" s="92" t="s">
        <v>105</v>
      </c>
      <c r="M76" s="92" t="str">
        <f t="shared" si="1"/>
        <v>3SNCERAWZ251325</v>
      </c>
      <c r="N76" s="92" t="str">
        <f t="shared" si="2"/>
        <v>3SNCERAWZ251320</v>
      </c>
      <c r="O76" s="93">
        <v>25</v>
      </c>
      <c r="P76" s="92">
        <v>3</v>
      </c>
      <c r="Q76" s="92" t="s">
        <v>31</v>
      </c>
      <c r="R76" s="93">
        <v>1325</v>
      </c>
      <c r="S76" s="93">
        <v>12300</v>
      </c>
      <c r="T76" s="93">
        <v>1325</v>
      </c>
      <c r="U76" s="93">
        <v>1320</v>
      </c>
      <c r="V76" s="93">
        <v>6000</v>
      </c>
      <c r="W76" s="84">
        <v>2</v>
      </c>
      <c r="X76" s="85" t="s">
        <v>14</v>
      </c>
      <c r="Y76" s="86" t="s">
        <v>27</v>
      </c>
      <c r="Z76" s="87">
        <v>6</v>
      </c>
      <c r="AA76" s="88" t="s">
        <v>24</v>
      </c>
      <c r="AB76" s="89">
        <v>1450</v>
      </c>
      <c r="AC76" s="86"/>
      <c r="AD76" s="88"/>
      <c r="AE76" s="89"/>
      <c r="AF76" s="86"/>
      <c r="AG76" s="88"/>
      <c r="AH76" s="89"/>
      <c r="AI76" s="86"/>
      <c r="AJ76" s="88"/>
      <c r="AK76" s="89"/>
      <c r="AL76" s="90"/>
      <c r="AM76" s="91"/>
      <c r="AN76" s="91" t="s">
        <v>474</v>
      </c>
      <c r="AO76" s="243" t="str">
        <f t="shared" si="3"/>
        <v>3SNCERAWZ25</v>
      </c>
    </row>
    <row r="77" spans="1:41" ht="15" customHeight="1" x14ac:dyDescent="0.15">
      <c r="A77" s="83">
        <v>333</v>
      </c>
      <c r="B77" s="92">
        <v>271</v>
      </c>
      <c r="C77" s="92">
        <v>380604</v>
      </c>
      <c r="D77" s="92" t="s">
        <v>17</v>
      </c>
      <c r="E77" s="92" t="s">
        <v>18</v>
      </c>
      <c r="F77" s="92" t="s">
        <v>12</v>
      </c>
      <c r="G77" s="92" t="str">
        <f t="shared" si="0"/>
        <v>3SNCERAWZ</v>
      </c>
      <c r="H77" s="92" t="s">
        <v>19</v>
      </c>
      <c r="I77" s="92" t="s">
        <v>20</v>
      </c>
      <c r="J77" s="92" t="s">
        <v>21</v>
      </c>
      <c r="K77" s="92" t="s">
        <v>104</v>
      </c>
      <c r="L77" s="92" t="s">
        <v>105</v>
      </c>
      <c r="M77" s="92" t="str">
        <f t="shared" si="1"/>
        <v>3SNCERAWZ251105</v>
      </c>
      <c r="N77" s="92" t="str">
        <f t="shared" si="2"/>
        <v>3SNCERAWZ251100</v>
      </c>
      <c r="O77" s="93">
        <v>25</v>
      </c>
      <c r="P77" s="92">
        <v>3</v>
      </c>
      <c r="Q77" s="92" t="s">
        <v>31</v>
      </c>
      <c r="R77" s="93">
        <v>1105</v>
      </c>
      <c r="S77" s="93">
        <v>12300</v>
      </c>
      <c r="T77" s="93">
        <v>1100</v>
      </c>
      <c r="U77" s="93">
        <v>1100</v>
      </c>
      <c r="V77" s="93">
        <v>12000</v>
      </c>
      <c r="W77" s="84">
        <v>2</v>
      </c>
      <c r="X77" s="85" t="s">
        <v>14</v>
      </c>
      <c r="Y77" s="86" t="s">
        <v>15</v>
      </c>
      <c r="Z77" s="87">
        <v>6</v>
      </c>
      <c r="AA77" s="88" t="s">
        <v>24</v>
      </c>
      <c r="AB77" s="89">
        <v>1450</v>
      </c>
      <c r="AC77" s="86"/>
      <c r="AD77" s="88"/>
      <c r="AE77" s="89"/>
      <c r="AF77" s="86"/>
      <c r="AG77" s="88"/>
      <c r="AH77" s="89"/>
      <c r="AI77" s="86"/>
      <c r="AJ77" s="88"/>
      <c r="AK77" s="89"/>
      <c r="AL77" s="90"/>
      <c r="AM77" s="91"/>
      <c r="AN77" s="91" t="s">
        <v>474</v>
      </c>
      <c r="AO77" s="243" t="str">
        <f t="shared" si="3"/>
        <v>3SNCERAWZ25</v>
      </c>
    </row>
    <row r="78" spans="1:41" ht="15" customHeight="1" x14ac:dyDescent="0.15">
      <c r="A78" s="83">
        <v>333</v>
      </c>
      <c r="B78" s="92">
        <v>271</v>
      </c>
      <c r="C78" s="92">
        <v>380604</v>
      </c>
      <c r="D78" s="92" t="s">
        <v>17</v>
      </c>
      <c r="E78" s="92" t="s">
        <v>18</v>
      </c>
      <c r="F78" s="92" t="s">
        <v>12</v>
      </c>
      <c r="G78" s="92" t="str">
        <f t="shared" si="0"/>
        <v>3SNCERAWZ</v>
      </c>
      <c r="H78" s="92" t="s">
        <v>19</v>
      </c>
      <c r="I78" s="92" t="s">
        <v>20</v>
      </c>
      <c r="J78" s="92" t="s">
        <v>21</v>
      </c>
      <c r="K78" s="92" t="s">
        <v>104</v>
      </c>
      <c r="L78" s="92" t="s">
        <v>105</v>
      </c>
      <c r="M78" s="92" t="str">
        <f t="shared" si="1"/>
        <v>3SNCERAWZ251060</v>
      </c>
      <c r="N78" s="92" t="str">
        <f t="shared" si="2"/>
        <v>3SNCERAWZ251050</v>
      </c>
      <c r="O78" s="93">
        <v>25</v>
      </c>
      <c r="P78" s="92">
        <v>3</v>
      </c>
      <c r="Q78" s="92" t="s">
        <v>31</v>
      </c>
      <c r="R78" s="93">
        <v>1060</v>
      </c>
      <c r="S78" s="93">
        <v>12300</v>
      </c>
      <c r="T78" s="93">
        <v>1050</v>
      </c>
      <c r="U78" s="93">
        <v>1050</v>
      </c>
      <c r="V78" s="93">
        <v>12000</v>
      </c>
      <c r="W78" s="84">
        <v>2</v>
      </c>
      <c r="X78" s="85" t="s">
        <v>14</v>
      </c>
      <c r="Y78" s="86" t="s">
        <v>15</v>
      </c>
      <c r="Z78" s="87">
        <v>6</v>
      </c>
      <c r="AA78" s="88" t="s">
        <v>24</v>
      </c>
      <c r="AB78" s="89">
        <v>1450</v>
      </c>
      <c r="AC78" s="86"/>
      <c r="AD78" s="88"/>
      <c r="AE78" s="89"/>
      <c r="AF78" s="86"/>
      <c r="AG78" s="88"/>
      <c r="AH78" s="89"/>
      <c r="AI78" s="86"/>
      <c r="AJ78" s="88"/>
      <c r="AK78" s="89"/>
      <c r="AL78" s="90"/>
      <c r="AM78" s="91"/>
      <c r="AN78" s="91" t="s">
        <v>474</v>
      </c>
      <c r="AO78" s="243" t="str">
        <f t="shared" si="3"/>
        <v>3SNCERAWZ25</v>
      </c>
    </row>
    <row r="79" spans="1:41" ht="15" customHeight="1" x14ac:dyDescent="0.15">
      <c r="A79" s="83">
        <v>333</v>
      </c>
      <c r="B79" s="92">
        <v>271</v>
      </c>
      <c r="C79" s="92">
        <v>2721</v>
      </c>
      <c r="D79" s="92" t="s">
        <v>106</v>
      </c>
      <c r="E79" s="92" t="s">
        <v>18</v>
      </c>
      <c r="F79" s="92" t="s">
        <v>12</v>
      </c>
      <c r="G79" s="92" t="str">
        <f t="shared" si="0"/>
        <v>3SNCERAWZE</v>
      </c>
      <c r="H79" s="92" t="s">
        <v>19</v>
      </c>
      <c r="I79" s="92" t="s">
        <v>20</v>
      </c>
      <c r="J79" s="92" t="s">
        <v>21</v>
      </c>
      <c r="K79" s="92" t="s">
        <v>107</v>
      </c>
      <c r="L79" s="92" t="s">
        <v>108</v>
      </c>
      <c r="M79" s="92" t="str">
        <f t="shared" si="1"/>
        <v>3SNCERAWZE251045</v>
      </c>
      <c r="N79" s="92" t="str">
        <f t="shared" si="2"/>
        <v>3SNCERAWZE251040</v>
      </c>
      <c r="O79" s="93">
        <v>25</v>
      </c>
      <c r="P79" s="92">
        <v>3</v>
      </c>
      <c r="Q79" s="92" t="s">
        <v>109</v>
      </c>
      <c r="R79" s="93">
        <v>1045</v>
      </c>
      <c r="S79" s="93">
        <v>12300</v>
      </c>
      <c r="T79" s="93">
        <v>1040</v>
      </c>
      <c r="U79" s="93">
        <v>1040</v>
      </c>
      <c r="V79" s="93">
        <v>6000</v>
      </c>
      <c r="W79" s="84">
        <v>2</v>
      </c>
      <c r="X79" s="85" t="s">
        <v>14</v>
      </c>
      <c r="Y79" s="86" t="s">
        <v>27</v>
      </c>
      <c r="Z79" s="87">
        <v>6</v>
      </c>
      <c r="AA79" s="88" t="s">
        <v>24</v>
      </c>
      <c r="AB79" s="89">
        <v>1500</v>
      </c>
      <c r="AC79" s="86">
        <v>6</v>
      </c>
      <c r="AD79" s="88" t="s">
        <v>24</v>
      </c>
      <c r="AE79" s="89">
        <v>1500</v>
      </c>
      <c r="AF79" s="86"/>
      <c r="AG79" s="88"/>
      <c r="AH79" s="89"/>
      <c r="AI79" s="86"/>
      <c r="AJ79" s="88"/>
      <c r="AK79" s="89"/>
      <c r="AL79" s="90"/>
      <c r="AM79" s="91"/>
      <c r="AN79" s="91" t="s">
        <v>474</v>
      </c>
      <c r="AO79" s="243" t="str">
        <f t="shared" si="3"/>
        <v>3SNCERAWZE25</v>
      </c>
    </row>
    <row r="80" spans="1:41" ht="15" customHeight="1" x14ac:dyDescent="0.15">
      <c r="A80" s="83">
        <v>333</v>
      </c>
      <c r="B80" s="92">
        <v>271</v>
      </c>
      <c r="C80" s="92">
        <v>2721</v>
      </c>
      <c r="D80" s="92" t="s">
        <v>106</v>
      </c>
      <c r="E80" s="92" t="s">
        <v>18</v>
      </c>
      <c r="F80" s="92" t="s">
        <v>12</v>
      </c>
      <c r="G80" s="92" t="str">
        <f t="shared" si="0"/>
        <v>3SNCERAWZE</v>
      </c>
      <c r="H80" s="92" t="s">
        <v>19</v>
      </c>
      <c r="I80" s="92" t="s">
        <v>20</v>
      </c>
      <c r="J80" s="92" t="s">
        <v>21</v>
      </c>
      <c r="K80" s="92" t="s">
        <v>107</v>
      </c>
      <c r="L80" s="92" t="s">
        <v>108</v>
      </c>
      <c r="M80" s="92" t="str">
        <f t="shared" si="1"/>
        <v>3SNCERAWZE381045</v>
      </c>
      <c r="N80" s="92" t="str">
        <f t="shared" si="2"/>
        <v>3SNCERAWZE381040</v>
      </c>
      <c r="O80" s="93">
        <v>38</v>
      </c>
      <c r="P80" s="92">
        <v>3</v>
      </c>
      <c r="Q80" s="92" t="s">
        <v>109</v>
      </c>
      <c r="R80" s="93">
        <v>1045</v>
      </c>
      <c r="S80" s="93">
        <v>6200</v>
      </c>
      <c r="T80" s="93">
        <v>1040</v>
      </c>
      <c r="U80" s="93">
        <v>1040</v>
      </c>
      <c r="V80" s="93">
        <v>6000</v>
      </c>
      <c r="W80" s="84">
        <v>2</v>
      </c>
      <c r="X80" s="85" t="s">
        <v>14</v>
      </c>
      <c r="Y80" s="86" t="s">
        <v>15</v>
      </c>
      <c r="Z80" s="87">
        <v>6</v>
      </c>
      <c r="AA80" s="88" t="s">
        <v>24</v>
      </c>
      <c r="AB80" s="89">
        <v>1500</v>
      </c>
      <c r="AC80" s="86"/>
      <c r="AD80" s="88"/>
      <c r="AE80" s="89"/>
      <c r="AF80" s="86"/>
      <c r="AG80" s="88"/>
      <c r="AH80" s="89"/>
      <c r="AI80" s="86"/>
      <c r="AJ80" s="88"/>
      <c r="AK80" s="89"/>
      <c r="AL80" s="90"/>
      <c r="AM80" s="91"/>
      <c r="AN80" s="91" t="s">
        <v>474</v>
      </c>
      <c r="AO80" s="243" t="str">
        <f t="shared" si="3"/>
        <v>3SNCERAWZE38</v>
      </c>
    </row>
    <row r="81" spans="1:41" ht="15" customHeight="1" x14ac:dyDescent="0.15">
      <c r="A81" s="83">
        <v>333</v>
      </c>
      <c r="B81" s="92">
        <v>271</v>
      </c>
      <c r="C81" s="92">
        <v>2721</v>
      </c>
      <c r="D81" s="92" t="s">
        <v>106</v>
      </c>
      <c r="E81" s="92" t="s">
        <v>18</v>
      </c>
      <c r="F81" s="92" t="s">
        <v>12</v>
      </c>
      <c r="G81" s="92" t="str">
        <f t="shared" si="0"/>
        <v>3303SNCERAWZE</v>
      </c>
      <c r="H81" s="92" t="s">
        <v>19</v>
      </c>
      <c r="I81" s="92" t="s">
        <v>20</v>
      </c>
      <c r="J81" s="92" t="s">
        <v>21</v>
      </c>
      <c r="K81" s="92" t="s">
        <v>107</v>
      </c>
      <c r="L81" s="92" t="s">
        <v>108</v>
      </c>
      <c r="M81" s="92" t="str">
        <f t="shared" si="1"/>
        <v>3303SNCERAWZE251045</v>
      </c>
      <c r="N81" s="92" t="str">
        <f t="shared" si="2"/>
        <v>3303SNCERAWZE251040</v>
      </c>
      <c r="O81" s="93">
        <v>25</v>
      </c>
      <c r="P81" s="92">
        <v>3303</v>
      </c>
      <c r="Q81" s="92" t="s">
        <v>109</v>
      </c>
      <c r="R81" s="93">
        <v>1045</v>
      </c>
      <c r="S81" s="93">
        <v>12300</v>
      </c>
      <c r="T81" s="93">
        <v>1040</v>
      </c>
      <c r="U81" s="93">
        <v>1040</v>
      </c>
      <c r="V81" s="93">
        <v>6000</v>
      </c>
      <c r="W81" s="84">
        <v>2</v>
      </c>
      <c r="X81" s="85" t="s">
        <v>14</v>
      </c>
      <c r="Y81" s="86" t="s">
        <v>27</v>
      </c>
      <c r="Z81" s="87">
        <v>6</v>
      </c>
      <c r="AA81" s="88" t="s">
        <v>24</v>
      </c>
      <c r="AB81" s="89">
        <v>1500</v>
      </c>
      <c r="AC81" s="86">
        <v>6</v>
      </c>
      <c r="AD81" s="88" t="s">
        <v>24</v>
      </c>
      <c r="AE81" s="89">
        <v>1500</v>
      </c>
      <c r="AF81" s="86"/>
      <c r="AG81" s="88"/>
      <c r="AH81" s="89"/>
      <c r="AI81" s="86"/>
      <c r="AJ81" s="88"/>
      <c r="AK81" s="89"/>
      <c r="AL81" s="90"/>
      <c r="AM81" s="91"/>
      <c r="AN81" s="91" t="s">
        <v>474</v>
      </c>
      <c r="AO81" s="243" t="str">
        <f t="shared" si="3"/>
        <v>3303SNCERAWZE25</v>
      </c>
    </row>
    <row r="82" spans="1:41" ht="15" customHeight="1" x14ac:dyDescent="0.15">
      <c r="A82" s="83">
        <v>333</v>
      </c>
      <c r="B82" s="92">
        <v>271</v>
      </c>
      <c r="C82" s="92">
        <v>2721</v>
      </c>
      <c r="D82" s="92" t="s">
        <v>106</v>
      </c>
      <c r="E82" s="92" t="s">
        <v>18</v>
      </c>
      <c r="F82" s="92" t="s">
        <v>12</v>
      </c>
      <c r="G82" s="92" t="str">
        <f t="shared" si="0"/>
        <v>3SNCERAWZE</v>
      </c>
      <c r="H82" s="92" t="s">
        <v>19</v>
      </c>
      <c r="I82" s="92" t="s">
        <v>20</v>
      </c>
      <c r="J82" s="92" t="s">
        <v>21</v>
      </c>
      <c r="K82" s="92" t="s">
        <v>107</v>
      </c>
      <c r="L82" s="92" t="s">
        <v>108</v>
      </c>
      <c r="M82" s="92" t="str">
        <f t="shared" si="1"/>
        <v>3SNCERAWZE251245</v>
      </c>
      <c r="N82" s="92" t="str">
        <f t="shared" si="2"/>
        <v>3SNCERAWZE251240</v>
      </c>
      <c r="O82" s="93">
        <v>25</v>
      </c>
      <c r="P82" s="92">
        <v>3</v>
      </c>
      <c r="Q82" s="92" t="s">
        <v>109</v>
      </c>
      <c r="R82" s="93">
        <v>1245</v>
      </c>
      <c r="S82" s="93">
        <v>12300</v>
      </c>
      <c r="T82" s="93">
        <v>1240</v>
      </c>
      <c r="U82" s="93">
        <v>1240</v>
      </c>
      <c r="V82" s="93">
        <v>6000</v>
      </c>
      <c r="W82" s="84">
        <v>2</v>
      </c>
      <c r="X82" s="85" t="s">
        <v>14</v>
      </c>
      <c r="Y82" s="86" t="s">
        <v>27</v>
      </c>
      <c r="Z82" s="87">
        <v>6</v>
      </c>
      <c r="AA82" s="88" t="s">
        <v>24</v>
      </c>
      <c r="AB82" s="89">
        <v>1500</v>
      </c>
      <c r="AC82" s="86">
        <v>6</v>
      </c>
      <c r="AD82" s="88" t="s">
        <v>24</v>
      </c>
      <c r="AE82" s="89">
        <v>1500</v>
      </c>
      <c r="AF82" s="86"/>
      <c r="AG82" s="88"/>
      <c r="AH82" s="89"/>
      <c r="AI82" s="86"/>
      <c r="AJ82" s="88"/>
      <c r="AK82" s="89"/>
      <c r="AL82" s="90"/>
      <c r="AM82" s="91"/>
      <c r="AN82" s="91" t="s">
        <v>474</v>
      </c>
      <c r="AO82" s="243" t="str">
        <f t="shared" si="3"/>
        <v>3SNCERAWZE25</v>
      </c>
    </row>
    <row r="83" spans="1:41" ht="15" customHeight="1" x14ac:dyDescent="0.15">
      <c r="A83" s="83">
        <v>333</v>
      </c>
      <c r="B83" s="92">
        <v>271</v>
      </c>
      <c r="C83" s="92">
        <v>2721</v>
      </c>
      <c r="D83" s="92" t="s">
        <v>106</v>
      </c>
      <c r="E83" s="92" t="s">
        <v>18</v>
      </c>
      <c r="F83" s="92" t="s">
        <v>12</v>
      </c>
      <c r="G83" s="92" t="str">
        <f t="shared" si="0"/>
        <v>3SNCERAWZE</v>
      </c>
      <c r="H83" s="92" t="s">
        <v>19</v>
      </c>
      <c r="I83" s="92" t="s">
        <v>20</v>
      </c>
      <c r="J83" s="92" t="s">
        <v>21</v>
      </c>
      <c r="K83" s="92" t="s">
        <v>107</v>
      </c>
      <c r="L83" s="92" t="s">
        <v>108</v>
      </c>
      <c r="M83" s="92" t="str">
        <f t="shared" si="1"/>
        <v>3SNCERAWZE381245</v>
      </c>
      <c r="N83" s="92" t="str">
        <f t="shared" si="2"/>
        <v>3SNCERAWZE381040</v>
      </c>
      <c r="O83" s="93">
        <v>38</v>
      </c>
      <c r="P83" s="92">
        <v>3</v>
      </c>
      <c r="Q83" s="92" t="s">
        <v>109</v>
      </c>
      <c r="R83" s="93">
        <v>1245</v>
      </c>
      <c r="S83" s="93">
        <v>6200</v>
      </c>
      <c r="T83" s="93">
        <v>1040</v>
      </c>
      <c r="U83" s="93">
        <v>1040</v>
      </c>
      <c r="V83" s="93">
        <v>6000</v>
      </c>
      <c r="W83" s="84">
        <v>2</v>
      </c>
      <c r="X83" s="85" t="s">
        <v>14</v>
      </c>
      <c r="Y83" s="86" t="s">
        <v>15</v>
      </c>
      <c r="Z83" s="87">
        <v>6</v>
      </c>
      <c r="AA83" s="88" t="s">
        <v>24</v>
      </c>
      <c r="AB83" s="89">
        <v>1500</v>
      </c>
      <c r="AC83" s="86">
        <v>6</v>
      </c>
      <c r="AD83" s="88" t="s">
        <v>24</v>
      </c>
      <c r="AE83" s="89">
        <v>1500</v>
      </c>
      <c r="AF83" s="86"/>
      <c r="AG83" s="88"/>
      <c r="AH83" s="89"/>
      <c r="AI83" s="86"/>
      <c r="AJ83" s="88"/>
      <c r="AK83" s="89"/>
      <c r="AL83" s="90"/>
      <c r="AM83" s="91"/>
      <c r="AN83" s="91" t="s">
        <v>474</v>
      </c>
      <c r="AO83" s="243" t="str">
        <f t="shared" si="3"/>
        <v>3SNCERAWZE38</v>
      </c>
    </row>
    <row r="84" spans="1:41" ht="15" customHeight="1" x14ac:dyDescent="0.15">
      <c r="A84" s="83">
        <v>333</v>
      </c>
      <c r="B84" s="92">
        <v>271</v>
      </c>
      <c r="C84" s="92">
        <v>2721</v>
      </c>
      <c r="D84" s="92" t="s">
        <v>106</v>
      </c>
      <c r="E84" s="92" t="s">
        <v>18</v>
      </c>
      <c r="F84" s="92" t="s">
        <v>12</v>
      </c>
      <c r="G84" s="92" t="str">
        <f t="shared" si="0"/>
        <v>3SNCERAWZE</v>
      </c>
      <c r="H84" s="92" t="s">
        <v>19</v>
      </c>
      <c r="I84" s="92" t="s">
        <v>20</v>
      </c>
      <c r="J84" s="92" t="s">
        <v>21</v>
      </c>
      <c r="K84" s="92" t="s">
        <v>107</v>
      </c>
      <c r="L84" s="92" t="s">
        <v>108</v>
      </c>
      <c r="M84" s="92" t="str">
        <f t="shared" si="1"/>
        <v>3SNCERAWZE381245</v>
      </c>
      <c r="N84" s="92" t="str">
        <f t="shared" si="2"/>
        <v>3SNCERAWZE381240</v>
      </c>
      <c r="O84" s="93">
        <v>38</v>
      </c>
      <c r="P84" s="92">
        <v>3</v>
      </c>
      <c r="Q84" s="92" t="s">
        <v>109</v>
      </c>
      <c r="R84" s="93">
        <v>1245</v>
      </c>
      <c r="S84" s="93">
        <v>6200</v>
      </c>
      <c r="T84" s="93">
        <v>1240</v>
      </c>
      <c r="U84" s="93">
        <v>1240</v>
      </c>
      <c r="V84" s="93">
        <v>6000</v>
      </c>
      <c r="W84" s="84">
        <v>2</v>
      </c>
      <c r="X84" s="85" t="s">
        <v>14</v>
      </c>
      <c r="Y84" s="86" t="s">
        <v>15</v>
      </c>
      <c r="Z84" s="87">
        <v>6</v>
      </c>
      <c r="AA84" s="88" t="s">
        <v>24</v>
      </c>
      <c r="AB84" s="89">
        <v>1500</v>
      </c>
      <c r="AC84" s="86">
        <v>6</v>
      </c>
      <c r="AD84" s="88" t="s">
        <v>24</v>
      </c>
      <c r="AE84" s="89">
        <v>1500</v>
      </c>
      <c r="AF84" s="86"/>
      <c r="AG84" s="88"/>
      <c r="AH84" s="89"/>
      <c r="AI84" s="86"/>
      <c r="AJ84" s="88"/>
      <c r="AK84" s="89"/>
      <c r="AL84" s="90"/>
      <c r="AM84" s="91"/>
      <c r="AN84" s="91" t="s">
        <v>474</v>
      </c>
      <c r="AO84" s="243" t="str">
        <f t="shared" si="3"/>
        <v>3SNCERAWZE38</v>
      </c>
    </row>
    <row r="85" spans="1:41" ht="15" customHeight="1" x14ac:dyDescent="0.15">
      <c r="A85" s="83">
        <v>333</v>
      </c>
      <c r="B85" s="92">
        <v>271</v>
      </c>
      <c r="C85" s="92">
        <v>2721</v>
      </c>
      <c r="D85" s="92" t="s">
        <v>106</v>
      </c>
      <c r="E85" s="92" t="s">
        <v>18</v>
      </c>
      <c r="F85" s="92" t="s">
        <v>12</v>
      </c>
      <c r="G85" s="92" t="str">
        <f t="shared" si="0"/>
        <v>330SNCERAWZE</v>
      </c>
      <c r="H85" s="92" t="s">
        <v>19</v>
      </c>
      <c r="I85" s="92" t="s">
        <v>20</v>
      </c>
      <c r="J85" s="92" t="s">
        <v>21</v>
      </c>
      <c r="K85" s="92" t="s">
        <v>107</v>
      </c>
      <c r="L85" s="92" t="s">
        <v>108</v>
      </c>
      <c r="M85" s="92" t="str">
        <f t="shared" si="1"/>
        <v>330SNCERAWZE381350</v>
      </c>
      <c r="N85" s="92" t="str">
        <f t="shared" si="2"/>
        <v>330SNCERAWZE381345</v>
      </c>
      <c r="O85" s="93">
        <v>38</v>
      </c>
      <c r="P85" s="92">
        <v>330</v>
      </c>
      <c r="Q85" s="92" t="s">
        <v>109</v>
      </c>
      <c r="R85" s="93">
        <v>1350</v>
      </c>
      <c r="S85" s="93">
        <v>3800</v>
      </c>
      <c r="T85" s="93">
        <v>1345</v>
      </c>
      <c r="U85" s="93">
        <v>1345</v>
      </c>
      <c r="V85" s="93">
        <v>3600</v>
      </c>
      <c r="W85" s="84">
        <v>2</v>
      </c>
      <c r="X85" s="85" t="s">
        <v>14</v>
      </c>
      <c r="Y85" s="86" t="s">
        <v>15</v>
      </c>
      <c r="Z85" s="87">
        <v>6</v>
      </c>
      <c r="AA85" s="88" t="s">
        <v>24</v>
      </c>
      <c r="AB85" s="89">
        <v>1450</v>
      </c>
      <c r="AC85" s="86">
        <v>6</v>
      </c>
      <c r="AD85" s="88" t="s">
        <v>24</v>
      </c>
      <c r="AE85" s="89">
        <v>1450</v>
      </c>
      <c r="AF85" s="86"/>
      <c r="AG85" s="88"/>
      <c r="AH85" s="89"/>
      <c r="AI85" s="86"/>
      <c r="AJ85" s="88"/>
      <c r="AK85" s="89"/>
      <c r="AL85" s="90"/>
      <c r="AM85" s="91"/>
      <c r="AN85" s="91" t="s">
        <v>474</v>
      </c>
      <c r="AO85" s="243" t="str">
        <f t="shared" si="3"/>
        <v>330SNCERAWZE38</v>
      </c>
    </row>
    <row r="86" spans="1:41" ht="15" customHeight="1" x14ac:dyDescent="0.15">
      <c r="A86" s="83">
        <v>333</v>
      </c>
      <c r="B86" s="92">
        <v>272</v>
      </c>
      <c r="C86" s="92">
        <v>36884</v>
      </c>
      <c r="D86" s="92" t="s">
        <v>110</v>
      </c>
      <c r="E86" s="92" t="s">
        <v>45</v>
      </c>
      <c r="F86" s="92" t="s">
        <v>111</v>
      </c>
      <c r="G86" s="92" t="str">
        <f t="shared" si="0"/>
        <v>3SNCERAWZRX</v>
      </c>
      <c r="H86" s="92" t="s">
        <v>19</v>
      </c>
      <c r="I86" s="92" t="s">
        <v>20</v>
      </c>
      <c r="J86" s="92" t="s">
        <v>21</v>
      </c>
      <c r="K86" s="92" t="s">
        <v>112</v>
      </c>
      <c r="L86" s="92" t="s">
        <v>113</v>
      </c>
      <c r="M86" s="92" t="str">
        <f t="shared" si="1"/>
        <v>3SNCERAWZRX251040</v>
      </c>
      <c r="N86" s="92" t="str">
        <f t="shared" si="2"/>
        <v>3SNCERAWZRX25450</v>
      </c>
      <c r="O86" s="93">
        <v>25</v>
      </c>
      <c r="P86" s="92">
        <v>3</v>
      </c>
      <c r="Q86" s="92" t="s">
        <v>31</v>
      </c>
      <c r="R86" s="93">
        <v>1040</v>
      </c>
      <c r="S86" s="93">
        <v>12300</v>
      </c>
      <c r="T86" s="93">
        <v>450</v>
      </c>
      <c r="U86" s="93">
        <v>450</v>
      </c>
      <c r="V86" s="93">
        <v>4000</v>
      </c>
      <c r="W86" s="84">
        <v>2</v>
      </c>
      <c r="X86" s="85" t="s">
        <v>14</v>
      </c>
      <c r="Y86" s="86" t="s">
        <v>295</v>
      </c>
      <c r="Z86" s="87">
        <v>6</v>
      </c>
      <c r="AA86" s="88" t="s">
        <v>24</v>
      </c>
      <c r="AB86" s="89">
        <v>1450</v>
      </c>
      <c r="AC86" s="86">
        <v>6</v>
      </c>
      <c r="AD86" s="88" t="s">
        <v>24</v>
      </c>
      <c r="AE86" s="89">
        <v>460</v>
      </c>
      <c r="AF86" s="86"/>
      <c r="AG86" s="88"/>
      <c r="AH86" s="89"/>
      <c r="AI86" s="86"/>
      <c r="AJ86" s="88"/>
      <c r="AK86" s="89"/>
      <c r="AL86" s="90"/>
      <c r="AM86" s="91"/>
      <c r="AN86" s="91" t="s">
        <v>474</v>
      </c>
      <c r="AO86" s="243" t="str">
        <f t="shared" si="3"/>
        <v>3SNCERAWZRX25</v>
      </c>
    </row>
    <row r="87" spans="1:41" ht="15" customHeight="1" x14ac:dyDescent="0.15">
      <c r="A87" s="83">
        <v>333</v>
      </c>
      <c r="B87" s="92">
        <v>272</v>
      </c>
      <c r="C87" s="92">
        <v>36884</v>
      </c>
      <c r="D87" s="92" t="s">
        <v>110</v>
      </c>
      <c r="E87" s="92" t="s">
        <v>45</v>
      </c>
      <c r="F87" s="92" t="s">
        <v>111</v>
      </c>
      <c r="G87" s="92" t="str">
        <f t="shared" si="0"/>
        <v>3SNCERAWZRX</v>
      </c>
      <c r="H87" s="92" t="s">
        <v>19</v>
      </c>
      <c r="I87" s="92" t="s">
        <v>20</v>
      </c>
      <c r="J87" s="92" t="s">
        <v>21</v>
      </c>
      <c r="K87" s="92" t="s">
        <v>112</v>
      </c>
      <c r="L87" s="92" t="s">
        <v>113</v>
      </c>
      <c r="M87" s="92" t="str">
        <f t="shared" si="1"/>
        <v>3SNCERAWZRX251060</v>
      </c>
      <c r="N87" s="92" t="str">
        <f t="shared" si="2"/>
        <v>3SNCERAWZRX25450</v>
      </c>
      <c r="O87" s="93">
        <v>25</v>
      </c>
      <c r="P87" s="92">
        <v>3</v>
      </c>
      <c r="Q87" s="92" t="s">
        <v>31</v>
      </c>
      <c r="R87" s="93">
        <v>1060</v>
      </c>
      <c r="S87" s="93">
        <v>12300</v>
      </c>
      <c r="T87" s="93">
        <v>450</v>
      </c>
      <c r="U87" s="93">
        <v>450</v>
      </c>
      <c r="V87" s="93">
        <v>4000</v>
      </c>
      <c r="W87" s="84">
        <v>2</v>
      </c>
      <c r="X87" s="85" t="s">
        <v>14</v>
      </c>
      <c r="Y87" s="86" t="s">
        <v>295</v>
      </c>
      <c r="Z87" s="87">
        <v>6</v>
      </c>
      <c r="AA87" s="88" t="s">
        <v>24</v>
      </c>
      <c r="AB87" s="89">
        <v>1450</v>
      </c>
      <c r="AC87" s="86">
        <v>6</v>
      </c>
      <c r="AD87" s="88" t="s">
        <v>24</v>
      </c>
      <c r="AE87" s="89">
        <v>460</v>
      </c>
      <c r="AF87" s="86"/>
      <c r="AG87" s="88"/>
      <c r="AH87" s="89"/>
      <c r="AI87" s="86"/>
      <c r="AJ87" s="88"/>
      <c r="AK87" s="89"/>
      <c r="AL87" s="90"/>
      <c r="AM87" s="91"/>
      <c r="AN87" s="91" t="s">
        <v>474</v>
      </c>
      <c r="AO87" s="243" t="str">
        <f t="shared" si="3"/>
        <v>3SNCERAWZRX25</v>
      </c>
    </row>
    <row r="88" spans="1:41" ht="15" customHeight="1" x14ac:dyDescent="0.15">
      <c r="A88" s="83">
        <v>333</v>
      </c>
      <c r="B88" s="92">
        <v>272</v>
      </c>
      <c r="C88" s="92">
        <v>36884</v>
      </c>
      <c r="D88" s="92" t="s">
        <v>110</v>
      </c>
      <c r="E88" s="92" t="s">
        <v>45</v>
      </c>
      <c r="F88" s="92" t="s">
        <v>111</v>
      </c>
      <c r="G88" s="92" t="str">
        <f t="shared" si="0"/>
        <v>331SNCERAWZRX</v>
      </c>
      <c r="H88" s="92" t="s">
        <v>19</v>
      </c>
      <c r="I88" s="92" t="s">
        <v>20</v>
      </c>
      <c r="J88" s="92" t="s">
        <v>21</v>
      </c>
      <c r="K88" s="92" t="s">
        <v>112</v>
      </c>
      <c r="L88" s="92" t="s">
        <v>113</v>
      </c>
      <c r="M88" s="92" t="str">
        <f t="shared" si="1"/>
        <v>331SNCERAWZRX251060</v>
      </c>
      <c r="N88" s="92" t="str">
        <f t="shared" si="2"/>
        <v>331SNCERAWZRX25450</v>
      </c>
      <c r="O88" s="93">
        <v>25</v>
      </c>
      <c r="P88" s="92">
        <v>331</v>
      </c>
      <c r="Q88" s="92" t="s">
        <v>31</v>
      </c>
      <c r="R88" s="93">
        <v>1060</v>
      </c>
      <c r="S88" s="93">
        <v>12300</v>
      </c>
      <c r="T88" s="93">
        <v>450</v>
      </c>
      <c r="U88" s="93">
        <v>450</v>
      </c>
      <c r="V88" s="93">
        <v>4000</v>
      </c>
      <c r="W88" s="84">
        <v>2</v>
      </c>
      <c r="X88" s="85" t="s">
        <v>14</v>
      </c>
      <c r="Y88" s="86" t="s">
        <v>295</v>
      </c>
      <c r="Z88" s="87">
        <v>6</v>
      </c>
      <c r="AA88" s="88" t="s">
        <v>24</v>
      </c>
      <c r="AB88" s="89">
        <v>1450</v>
      </c>
      <c r="AC88" s="86">
        <v>6</v>
      </c>
      <c r="AD88" s="88" t="s">
        <v>24</v>
      </c>
      <c r="AE88" s="89">
        <v>460</v>
      </c>
      <c r="AF88" s="86"/>
      <c r="AG88" s="88"/>
      <c r="AH88" s="89"/>
      <c r="AI88" s="86"/>
      <c r="AJ88" s="88"/>
      <c r="AK88" s="89"/>
      <c r="AL88" s="90"/>
      <c r="AM88" s="91"/>
      <c r="AN88" s="91" t="s">
        <v>474</v>
      </c>
      <c r="AO88" s="243" t="str">
        <f t="shared" si="3"/>
        <v>331SNCERAWZRX25</v>
      </c>
    </row>
    <row r="89" spans="1:41" ht="15" customHeight="1" x14ac:dyDescent="0.15">
      <c r="A89" s="83">
        <v>333</v>
      </c>
      <c r="B89" s="92">
        <v>272</v>
      </c>
      <c r="C89" s="92">
        <v>36884</v>
      </c>
      <c r="D89" s="92" t="s">
        <v>110</v>
      </c>
      <c r="E89" s="92" t="s">
        <v>45</v>
      </c>
      <c r="F89" s="92" t="s">
        <v>111</v>
      </c>
      <c r="G89" s="92" t="str">
        <f t="shared" si="0"/>
        <v>331SNCERAWZRX</v>
      </c>
      <c r="H89" s="92" t="s">
        <v>19</v>
      </c>
      <c r="I89" s="92" t="s">
        <v>20</v>
      </c>
      <c r="J89" s="92" t="s">
        <v>21</v>
      </c>
      <c r="K89" s="92" t="s">
        <v>112</v>
      </c>
      <c r="L89" s="92" t="s">
        <v>113</v>
      </c>
      <c r="M89" s="92" t="str">
        <f t="shared" si="1"/>
        <v>331SNCERAWZRX251105</v>
      </c>
      <c r="N89" s="92" t="str">
        <f t="shared" si="2"/>
        <v>331SNCERAWZRX25450</v>
      </c>
      <c r="O89" s="93">
        <v>25</v>
      </c>
      <c r="P89" s="92">
        <v>331</v>
      </c>
      <c r="Q89" s="92" t="s">
        <v>31</v>
      </c>
      <c r="R89" s="93">
        <v>1105</v>
      </c>
      <c r="S89" s="93">
        <v>12300</v>
      </c>
      <c r="T89" s="93">
        <v>450</v>
      </c>
      <c r="U89" s="93">
        <v>450</v>
      </c>
      <c r="V89" s="93">
        <v>4000</v>
      </c>
      <c r="W89" s="84">
        <v>2</v>
      </c>
      <c r="X89" s="85" t="s">
        <v>14</v>
      </c>
      <c r="Y89" s="86" t="s">
        <v>295</v>
      </c>
      <c r="Z89" s="87">
        <v>6</v>
      </c>
      <c r="AA89" s="88" t="s">
        <v>24</v>
      </c>
      <c r="AB89" s="89">
        <v>1450</v>
      </c>
      <c r="AC89" s="86">
        <v>6</v>
      </c>
      <c r="AD89" s="88" t="s">
        <v>24</v>
      </c>
      <c r="AE89" s="89">
        <v>460</v>
      </c>
      <c r="AF89" s="86"/>
      <c r="AG89" s="88"/>
      <c r="AH89" s="89"/>
      <c r="AI89" s="86"/>
      <c r="AJ89" s="88"/>
      <c r="AK89" s="89"/>
      <c r="AL89" s="90"/>
      <c r="AM89" s="91"/>
      <c r="AN89" s="91" t="s">
        <v>474</v>
      </c>
      <c r="AO89" s="243" t="str">
        <f t="shared" si="3"/>
        <v>331SNCERAWZRX25</v>
      </c>
    </row>
    <row r="90" spans="1:41" ht="15" customHeight="1" x14ac:dyDescent="0.15">
      <c r="A90" s="83">
        <v>333</v>
      </c>
      <c r="B90" s="92">
        <v>271</v>
      </c>
      <c r="C90" s="92">
        <v>2553</v>
      </c>
      <c r="D90" s="92" t="s">
        <v>114</v>
      </c>
      <c r="E90" s="92" t="s">
        <v>18</v>
      </c>
      <c r="F90" s="92" t="s">
        <v>26</v>
      </c>
      <c r="G90" s="92" t="str">
        <f t="shared" si="0"/>
        <v>3SNCERAWZRX</v>
      </c>
      <c r="H90" s="92" t="s">
        <v>19</v>
      </c>
      <c r="I90" s="92" t="s">
        <v>20</v>
      </c>
      <c r="J90" s="92" t="s">
        <v>21</v>
      </c>
      <c r="K90" s="92" t="s">
        <v>112</v>
      </c>
      <c r="L90" s="92" t="s">
        <v>113</v>
      </c>
      <c r="M90" s="92" t="str">
        <f t="shared" si="1"/>
        <v>3SNCERAWZRX251325</v>
      </c>
      <c r="N90" s="92" t="str">
        <f t="shared" si="2"/>
        <v>3SNCERAWZRX25640</v>
      </c>
      <c r="O90" s="93">
        <v>25</v>
      </c>
      <c r="P90" s="92">
        <v>3</v>
      </c>
      <c r="Q90" s="92" t="s">
        <v>1992</v>
      </c>
      <c r="R90" s="93">
        <v>1325</v>
      </c>
      <c r="S90" s="93">
        <v>12300</v>
      </c>
      <c r="T90" s="93">
        <v>640</v>
      </c>
      <c r="U90" s="93">
        <v>640</v>
      </c>
      <c r="V90" s="93">
        <v>2000</v>
      </c>
      <c r="W90" s="84">
        <v>2</v>
      </c>
      <c r="X90" s="85" t="s">
        <v>14</v>
      </c>
      <c r="Y90" s="86" t="s">
        <v>295</v>
      </c>
      <c r="Z90" s="87">
        <v>6</v>
      </c>
      <c r="AA90" s="88" t="s">
        <v>24</v>
      </c>
      <c r="AB90" s="89">
        <v>1450</v>
      </c>
      <c r="AC90" s="86">
        <v>3</v>
      </c>
      <c r="AD90" s="88" t="s">
        <v>39</v>
      </c>
      <c r="AE90" s="89">
        <v>645</v>
      </c>
      <c r="AF90" s="86"/>
      <c r="AG90" s="88"/>
      <c r="AH90" s="89"/>
      <c r="AI90" s="86"/>
      <c r="AJ90" s="88"/>
      <c r="AK90" s="89"/>
      <c r="AL90" s="90"/>
      <c r="AM90" s="91"/>
      <c r="AN90" s="91" t="s">
        <v>474</v>
      </c>
      <c r="AO90" s="243" t="str">
        <f t="shared" si="3"/>
        <v>3SNCERAWZRX25</v>
      </c>
    </row>
    <row r="91" spans="1:41" ht="15" customHeight="1" x14ac:dyDescent="0.15">
      <c r="A91" s="83">
        <v>333</v>
      </c>
      <c r="B91" s="92">
        <v>271</v>
      </c>
      <c r="C91" s="92">
        <v>2553</v>
      </c>
      <c r="D91" s="92" t="s">
        <v>114</v>
      </c>
      <c r="E91" s="92" t="s">
        <v>18</v>
      </c>
      <c r="F91" s="92" t="s">
        <v>26</v>
      </c>
      <c r="G91" s="92" t="str">
        <f t="shared" si="0"/>
        <v>3SNCERAWZRX</v>
      </c>
      <c r="H91" s="92" t="s">
        <v>19</v>
      </c>
      <c r="I91" s="92" t="s">
        <v>20</v>
      </c>
      <c r="J91" s="92" t="s">
        <v>21</v>
      </c>
      <c r="K91" s="92" t="s">
        <v>112</v>
      </c>
      <c r="L91" s="92" t="s">
        <v>113</v>
      </c>
      <c r="M91" s="92" t="str">
        <f t="shared" si="1"/>
        <v>3SNCERAWZRX251337</v>
      </c>
      <c r="N91" s="92" t="str">
        <f t="shared" si="2"/>
        <v>3SNCERAWZRX25640</v>
      </c>
      <c r="O91" s="93">
        <v>25</v>
      </c>
      <c r="P91" s="92">
        <v>3</v>
      </c>
      <c r="Q91" s="92" t="s">
        <v>1993</v>
      </c>
      <c r="R91" s="93">
        <v>1337</v>
      </c>
      <c r="S91" s="93">
        <v>12300</v>
      </c>
      <c r="T91" s="93">
        <v>640</v>
      </c>
      <c r="U91" s="93">
        <v>640</v>
      </c>
      <c r="V91" s="93">
        <v>2000</v>
      </c>
      <c r="W91" s="84">
        <v>2</v>
      </c>
      <c r="X91" s="85" t="s">
        <v>14</v>
      </c>
      <c r="Y91" s="86" t="s">
        <v>295</v>
      </c>
      <c r="Z91" s="87">
        <v>6</v>
      </c>
      <c r="AA91" s="88" t="s">
        <v>24</v>
      </c>
      <c r="AB91" s="89">
        <v>1450</v>
      </c>
      <c r="AC91" s="86">
        <v>3</v>
      </c>
      <c r="AD91" s="88" t="s">
        <v>39</v>
      </c>
      <c r="AE91" s="89">
        <v>645</v>
      </c>
      <c r="AF91" s="86"/>
      <c r="AG91" s="88"/>
      <c r="AH91" s="89"/>
      <c r="AI91" s="86"/>
      <c r="AJ91" s="88"/>
      <c r="AK91" s="89"/>
      <c r="AL91" s="90"/>
      <c r="AM91" s="91"/>
      <c r="AN91" s="91" t="s">
        <v>474</v>
      </c>
      <c r="AO91" s="243" t="str">
        <f t="shared" si="3"/>
        <v>3SNCERAWZRX25</v>
      </c>
    </row>
    <row r="92" spans="1:41" ht="15" customHeight="1" x14ac:dyDescent="0.15">
      <c r="A92" s="83">
        <v>333</v>
      </c>
      <c r="B92" s="92">
        <v>271</v>
      </c>
      <c r="C92" s="92">
        <v>2553</v>
      </c>
      <c r="D92" s="92" t="s">
        <v>114</v>
      </c>
      <c r="E92" s="92" t="s">
        <v>18</v>
      </c>
      <c r="F92" s="92" t="s">
        <v>26</v>
      </c>
      <c r="G92" s="92" t="str">
        <f t="shared" si="0"/>
        <v>3SNCERAWZRX</v>
      </c>
      <c r="H92" s="92" t="s">
        <v>19</v>
      </c>
      <c r="I92" s="92" t="s">
        <v>20</v>
      </c>
      <c r="J92" s="92" t="s">
        <v>21</v>
      </c>
      <c r="K92" s="92" t="s">
        <v>112</v>
      </c>
      <c r="L92" s="92" t="s">
        <v>113</v>
      </c>
      <c r="M92" s="92" t="str">
        <f t="shared" si="1"/>
        <v>3SNCERAWZRX251337</v>
      </c>
      <c r="N92" s="92" t="str">
        <f t="shared" si="2"/>
        <v>3SNCERAWZRX25540</v>
      </c>
      <c r="O92" s="93">
        <v>25</v>
      </c>
      <c r="P92" s="92">
        <v>3</v>
      </c>
      <c r="Q92" s="92" t="s">
        <v>34</v>
      </c>
      <c r="R92" s="93">
        <v>1337</v>
      </c>
      <c r="S92" s="93">
        <v>12300</v>
      </c>
      <c r="T92" s="93">
        <v>540</v>
      </c>
      <c r="U92" s="93">
        <v>540</v>
      </c>
      <c r="V92" s="93">
        <v>2000</v>
      </c>
      <c r="W92" s="84">
        <v>2</v>
      </c>
      <c r="X92" s="85" t="s">
        <v>14</v>
      </c>
      <c r="Y92" s="86" t="s">
        <v>295</v>
      </c>
      <c r="Z92" s="87">
        <v>6</v>
      </c>
      <c r="AA92" s="88" t="s">
        <v>24</v>
      </c>
      <c r="AB92" s="89">
        <v>1450</v>
      </c>
      <c r="AC92" s="86">
        <v>3</v>
      </c>
      <c r="AD92" s="88" t="s">
        <v>39</v>
      </c>
      <c r="AE92" s="89">
        <v>545</v>
      </c>
      <c r="AF92" s="86"/>
      <c r="AG92" s="88"/>
      <c r="AH92" s="89"/>
      <c r="AI92" s="86"/>
      <c r="AJ92" s="88"/>
      <c r="AK92" s="89"/>
      <c r="AL92" s="90"/>
      <c r="AM92" s="91"/>
      <c r="AN92" s="91" t="s">
        <v>474</v>
      </c>
      <c r="AO92" s="243" t="str">
        <f t="shared" si="3"/>
        <v>3SNCERAWZRX25</v>
      </c>
    </row>
    <row r="93" spans="1:41" ht="15" customHeight="1" x14ac:dyDescent="0.15">
      <c r="A93" s="83">
        <v>333</v>
      </c>
      <c r="B93" s="92">
        <v>271</v>
      </c>
      <c r="C93" s="92">
        <v>2553</v>
      </c>
      <c r="D93" s="92" t="s">
        <v>114</v>
      </c>
      <c r="E93" s="92" t="s">
        <v>18</v>
      </c>
      <c r="F93" s="92" t="s">
        <v>26</v>
      </c>
      <c r="G93" s="92" t="str">
        <f t="shared" si="0"/>
        <v>331SNCERAWZRX</v>
      </c>
      <c r="H93" s="92" t="s">
        <v>19</v>
      </c>
      <c r="I93" s="92" t="s">
        <v>20</v>
      </c>
      <c r="J93" s="92" t="s">
        <v>21</v>
      </c>
      <c r="K93" s="92" t="s">
        <v>112</v>
      </c>
      <c r="L93" s="92" t="s">
        <v>113</v>
      </c>
      <c r="M93" s="92" t="str">
        <f t="shared" si="1"/>
        <v>331SNCERAWZRX251520</v>
      </c>
      <c r="N93" s="92" t="str">
        <f t="shared" si="2"/>
        <v>331SNCERAWZRX25640</v>
      </c>
      <c r="O93" s="93">
        <v>25</v>
      </c>
      <c r="P93" s="92">
        <v>331</v>
      </c>
      <c r="Q93" s="92" t="s">
        <v>1992</v>
      </c>
      <c r="R93" s="93">
        <v>1520</v>
      </c>
      <c r="S93" s="93">
        <v>13000</v>
      </c>
      <c r="T93" s="93">
        <v>640</v>
      </c>
      <c r="U93" s="93">
        <v>640</v>
      </c>
      <c r="V93" s="93">
        <v>2000</v>
      </c>
      <c r="W93" s="84">
        <v>2</v>
      </c>
      <c r="X93" s="85" t="s">
        <v>14</v>
      </c>
      <c r="Y93" s="86" t="s">
        <v>295</v>
      </c>
      <c r="Z93" s="87">
        <v>6</v>
      </c>
      <c r="AA93" s="88" t="s">
        <v>24</v>
      </c>
      <c r="AB93" s="89">
        <v>1600</v>
      </c>
      <c r="AC93" s="86">
        <v>3</v>
      </c>
      <c r="AD93" s="88" t="s">
        <v>39</v>
      </c>
      <c r="AE93" s="89">
        <v>645</v>
      </c>
      <c r="AF93" s="86"/>
      <c r="AG93" s="88"/>
      <c r="AH93" s="89"/>
      <c r="AI93" s="86"/>
      <c r="AJ93" s="88"/>
      <c r="AK93" s="89"/>
      <c r="AL93" s="90"/>
      <c r="AM93" s="91"/>
      <c r="AN93" s="91" t="s">
        <v>474</v>
      </c>
      <c r="AO93" s="243" t="str">
        <f t="shared" ref="AO93:AO176" si="4">G93&amp;O93</f>
        <v>331SNCERAWZRX25</v>
      </c>
    </row>
    <row r="94" spans="1:41" ht="15" customHeight="1" x14ac:dyDescent="0.15">
      <c r="A94" s="83">
        <v>333</v>
      </c>
      <c r="B94" s="92">
        <v>271</v>
      </c>
      <c r="C94" s="92">
        <v>2553</v>
      </c>
      <c r="D94" s="92" t="s">
        <v>114</v>
      </c>
      <c r="E94" s="92" t="s">
        <v>18</v>
      </c>
      <c r="F94" s="92" t="s">
        <v>26</v>
      </c>
      <c r="G94" s="92" t="str">
        <f t="shared" si="0"/>
        <v>331SNCERAWZRX</v>
      </c>
      <c r="H94" s="92" t="s">
        <v>19</v>
      </c>
      <c r="I94" s="92" t="s">
        <v>20</v>
      </c>
      <c r="J94" s="92" t="s">
        <v>21</v>
      </c>
      <c r="K94" s="92" t="s">
        <v>112</v>
      </c>
      <c r="L94" s="92" t="s">
        <v>113</v>
      </c>
      <c r="M94" s="92" t="str">
        <f t="shared" si="1"/>
        <v>331SNCERAWZRX251570</v>
      </c>
      <c r="N94" s="92" t="str">
        <f t="shared" si="2"/>
        <v>331SNCERAWZRX25640</v>
      </c>
      <c r="O94" s="93">
        <v>25</v>
      </c>
      <c r="P94" s="92">
        <v>331</v>
      </c>
      <c r="Q94" s="92" t="s">
        <v>1992</v>
      </c>
      <c r="R94" s="93">
        <v>1570</v>
      </c>
      <c r="S94" s="93">
        <v>16600</v>
      </c>
      <c r="T94" s="93">
        <v>640</v>
      </c>
      <c r="U94" s="93">
        <v>640</v>
      </c>
      <c r="V94" s="93">
        <v>2000</v>
      </c>
      <c r="W94" s="84">
        <v>2</v>
      </c>
      <c r="X94" s="85" t="s">
        <v>14</v>
      </c>
      <c r="Y94" s="86" t="s">
        <v>295</v>
      </c>
      <c r="Z94" s="87">
        <v>6</v>
      </c>
      <c r="AA94" s="88" t="s">
        <v>24</v>
      </c>
      <c r="AB94" s="89">
        <v>1600</v>
      </c>
      <c r="AC94" s="86">
        <v>3</v>
      </c>
      <c r="AD94" s="88" t="s">
        <v>39</v>
      </c>
      <c r="AE94" s="89">
        <v>645</v>
      </c>
      <c r="AF94" s="86"/>
      <c r="AG94" s="88"/>
      <c r="AH94" s="89"/>
      <c r="AI94" s="86"/>
      <c r="AJ94" s="88"/>
      <c r="AK94" s="89"/>
      <c r="AL94" s="90"/>
      <c r="AM94" s="91"/>
      <c r="AN94" s="91" t="s">
        <v>474</v>
      </c>
      <c r="AO94" s="243" t="str">
        <f t="shared" si="4"/>
        <v>331SNCERAWZRX25</v>
      </c>
    </row>
    <row r="95" spans="1:41" ht="15" customHeight="1" x14ac:dyDescent="0.15">
      <c r="A95" s="83">
        <v>333</v>
      </c>
      <c r="B95" s="92">
        <v>271</v>
      </c>
      <c r="C95" s="92">
        <v>2553</v>
      </c>
      <c r="D95" s="92" t="s">
        <v>114</v>
      </c>
      <c r="E95" s="92" t="s">
        <v>18</v>
      </c>
      <c r="F95" s="92" t="s">
        <v>26</v>
      </c>
      <c r="G95" s="92" t="str">
        <f t="shared" si="0"/>
        <v>331SNCERAWZRX</v>
      </c>
      <c r="H95" s="92" t="s">
        <v>19</v>
      </c>
      <c r="I95" s="92" t="s">
        <v>20</v>
      </c>
      <c r="J95" s="92" t="s">
        <v>21</v>
      </c>
      <c r="K95" s="92" t="s">
        <v>112</v>
      </c>
      <c r="L95" s="92" t="s">
        <v>113</v>
      </c>
      <c r="M95" s="92" t="str">
        <f t="shared" si="1"/>
        <v>331SNCERAWZRX251570</v>
      </c>
      <c r="N95" s="92" t="str">
        <f t="shared" si="2"/>
        <v>331SNCERAWZRX25540</v>
      </c>
      <c r="O95" s="93">
        <v>25</v>
      </c>
      <c r="P95" s="92">
        <v>331</v>
      </c>
      <c r="Q95" s="92" t="s">
        <v>1992</v>
      </c>
      <c r="R95" s="93">
        <v>1570</v>
      </c>
      <c r="S95" s="93">
        <v>16600</v>
      </c>
      <c r="T95" s="93">
        <v>540</v>
      </c>
      <c r="U95" s="93">
        <v>540</v>
      </c>
      <c r="V95" s="93">
        <v>2000</v>
      </c>
      <c r="W95" s="84">
        <v>2</v>
      </c>
      <c r="X95" s="85" t="s">
        <v>14</v>
      </c>
      <c r="Y95" s="86" t="s">
        <v>295</v>
      </c>
      <c r="Z95" s="87">
        <v>6</v>
      </c>
      <c r="AA95" s="88" t="s">
        <v>24</v>
      </c>
      <c r="AB95" s="89">
        <v>1600</v>
      </c>
      <c r="AC95" s="86">
        <v>3</v>
      </c>
      <c r="AD95" s="88" t="s">
        <v>39</v>
      </c>
      <c r="AE95" s="89">
        <v>545</v>
      </c>
      <c r="AF95" s="86"/>
      <c r="AG95" s="88"/>
      <c r="AH95" s="89"/>
      <c r="AI95" s="86"/>
      <c r="AJ95" s="88"/>
      <c r="AK95" s="89"/>
      <c r="AL95" s="90"/>
      <c r="AM95" s="91"/>
      <c r="AN95" s="91" t="s">
        <v>474</v>
      </c>
      <c r="AO95" s="243" t="str">
        <f t="shared" si="4"/>
        <v>331SNCERAWZRX25</v>
      </c>
    </row>
    <row r="96" spans="1:41" ht="15" customHeight="1" x14ac:dyDescent="0.15">
      <c r="A96" s="83">
        <v>333</v>
      </c>
      <c r="B96" s="92">
        <v>271</v>
      </c>
      <c r="C96" s="92">
        <v>2553</v>
      </c>
      <c r="D96" s="92" t="s">
        <v>114</v>
      </c>
      <c r="E96" s="92" t="s">
        <v>18</v>
      </c>
      <c r="F96" s="92" t="s">
        <v>26</v>
      </c>
      <c r="G96" s="92" t="str">
        <f t="shared" si="0"/>
        <v>331SNCERAWZRX</v>
      </c>
      <c r="H96" s="92" t="s">
        <v>19</v>
      </c>
      <c r="I96" s="92" t="s">
        <v>20</v>
      </c>
      <c r="J96" s="92" t="s">
        <v>21</v>
      </c>
      <c r="K96" s="92" t="s">
        <v>112</v>
      </c>
      <c r="L96" s="92" t="s">
        <v>113</v>
      </c>
      <c r="M96" s="92" t="str">
        <f t="shared" si="1"/>
        <v>331SNCERAWZRX251570</v>
      </c>
      <c r="N96" s="92" t="str">
        <f t="shared" si="2"/>
        <v>331SNCERAWZRX25780</v>
      </c>
      <c r="O96" s="93">
        <v>25</v>
      </c>
      <c r="P96" s="92">
        <v>331</v>
      </c>
      <c r="Q96" s="92" t="s">
        <v>1992</v>
      </c>
      <c r="R96" s="93">
        <v>1570</v>
      </c>
      <c r="S96" s="93">
        <v>16600</v>
      </c>
      <c r="T96" s="93">
        <v>780</v>
      </c>
      <c r="U96" s="93">
        <v>780</v>
      </c>
      <c r="V96" s="93">
        <v>2000</v>
      </c>
      <c r="W96" s="84">
        <v>2</v>
      </c>
      <c r="X96" s="85" t="s">
        <v>14</v>
      </c>
      <c r="Y96" s="86" t="s">
        <v>295</v>
      </c>
      <c r="Z96" s="87">
        <v>6</v>
      </c>
      <c r="AA96" s="88" t="s">
        <v>24</v>
      </c>
      <c r="AB96" s="89">
        <v>1600</v>
      </c>
      <c r="AC96" s="86">
        <v>3</v>
      </c>
      <c r="AD96" s="88" t="s">
        <v>39</v>
      </c>
      <c r="AE96" s="89">
        <v>785</v>
      </c>
      <c r="AF96" s="86"/>
      <c r="AG96" s="88"/>
      <c r="AH96" s="89"/>
      <c r="AI96" s="86"/>
      <c r="AJ96" s="88"/>
      <c r="AK96" s="89"/>
      <c r="AL96" s="90"/>
      <c r="AM96" s="91"/>
      <c r="AN96" s="91" t="s">
        <v>474</v>
      </c>
      <c r="AO96" s="243" t="str">
        <f t="shared" si="4"/>
        <v>331SNCERAWZRX25</v>
      </c>
    </row>
    <row r="97" spans="1:41" ht="15" customHeight="1" x14ac:dyDescent="0.15">
      <c r="A97" s="83">
        <v>333</v>
      </c>
      <c r="B97" s="92">
        <v>271</v>
      </c>
      <c r="C97" s="92">
        <v>2553</v>
      </c>
      <c r="D97" s="92" t="s">
        <v>114</v>
      </c>
      <c r="E97" s="92" t="s">
        <v>18</v>
      </c>
      <c r="F97" s="92" t="s">
        <v>26</v>
      </c>
      <c r="G97" s="92" t="str">
        <f t="shared" si="0"/>
        <v>331SNCERAWZRX</v>
      </c>
      <c r="H97" s="92" t="s">
        <v>19</v>
      </c>
      <c r="I97" s="92" t="s">
        <v>20</v>
      </c>
      <c r="J97" s="92" t="s">
        <v>21</v>
      </c>
      <c r="K97" s="92" t="s">
        <v>112</v>
      </c>
      <c r="L97" s="92" t="s">
        <v>113</v>
      </c>
      <c r="M97" s="92" t="str">
        <f t="shared" si="1"/>
        <v>331SNCERAWZRX251337</v>
      </c>
      <c r="N97" s="92" t="str">
        <f t="shared" si="2"/>
        <v>331SNCERAWZRX25640</v>
      </c>
      <c r="O97" s="93">
        <v>25</v>
      </c>
      <c r="P97" s="92">
        <v>331</v>
      </c>
      <c r="Q97" s="92" t="s">
        <v>1159</v>
      </c>
      <c r="R97" s="93">
        <v>1337</v>
      </c>
      <c r="S97" s="93">
        <v>12300</v>
      </c>
      <c r="T97" s="93">
        <v>640</v>
      </c>
      <c r="U97" s="93">
        <v>640</v>
      </c>
      <c r="V97" s="93">
        <v>2000</v>
      </c>
      <c r="W97" s="84">
        <v>2</v>
      </c>
      <c r="X97" s="85" t="s">
        <v>14</v>
      </c>
      <c r="Y97" s="86" t="s">
        <v>295</v>
      </c>
      <c r="Z97" s="87">
        <v>6</v>
      </c>
      <c r="AA97" s="88" t="s">
        <v>24</v>
      </c>
      <c r="AB97" s="89">
        <v>1600</v>
      </c>
      <c r="AC97" s="86">
        <v>3</v>
      </c>
      <c r="AD97" s="88" t="s">
        <v>39</v>
      </c>
      <c r="AE97" s="89">
        <v>645</v>
      </c>
      <c r="AF97" s="86"/>
      <c r="AG97" s="88"/>
      <c r="AH97" s="89"/>
      <c r="AI97" s="86"/>
      <c r="AJ97" s="88"/>
      <c r="AK97" s="89"/>
      <c r="AL97" s="90"/>
      <c r="AM97" s="91"/>
      <c r="AN97" s="91" t="s">
        <v>474</v>
      </c>
      <c r="AO97" s="243" t="str">
        <f t="shared" si="4"/>
        <v>331SNCERAWZRX25</v>
      </c>
    </row>
    <row r="98" spans="1:41" ht="15" customHeight="1" x14ac:dyDescent="0.15">
      <c r="A98" s="83">
        <v>333</v>
      </c>
      <c r="B98" s="92">
        <v>271</v>
      </c>
      <c r="C98" s="92">
        <v>2553</v>
      </c>
      <c r="D98" s="92" t="s">
        <v>114</v>
      </c>
      <c r="E98" s="92" t="s">
        <v>18</v>
      </c>
      <c r="F98" s="92" t="s">
        <v>26</v>
      </c>
      <c r="G98" s="92" t="str">
        <f t="shared" si="0"/>
        <v>3SNCERAWZRX</v>
      </c>
      <c r="H98" s="92" t="s">
        <v>19</v>
      </c>
      <c r="I98" s="92" t="s">
        <v>20</v>
      </c>
      <c r="J98" s="92" t="s">
        <v>21</v>
      </c>
      <c r="K98" s="92" t="s">
        <v>112</v>
      </c>
      <c r="L98" s="92" t="s">
        <v>113</v>
      </c>
      <c r="M98" s="92" t="str">
        <f t="shared" si="1"/>
        <v>3SNCERAWZRX251520</v>
      </c>
      <c r="N98" s="92" t="str">
        <f t="shared" si="2"/>
        <v>3SNCERAWZRX25540</v>
      </c>
      <c r="O98" s="93">
        <v>25</v>
      </c>
      <c r="P98" s="92">
        <v>3</v>
      </c>
      <c r="Q98" s="92" t="s">
        <v>1992</v>
      </c>
      <c r="R98" s="93">
        <v>1520</v>
      </c>
      <c r="S98" s="93">
        <v>13000</v>
      </c>
      <c r="T98" s="93">
        <v>540</v>
      </c>
      <c r="U98" s="93">
        <v>540</v>
      </c>
      <c r="V98" s="93">
        <v>2000</v>
      </c>
      <c r="W98" s="84">
        <v>2</v>
      </c>
      <c r="X98" s="85" t="s">
        <v>14</v>
      </c>
      <c r="Y98" s="86" t="s">
        <v>295</v>
      </c>
      <c r="Z98" s="87">
        <v>6</v>
      </c>
      <c r="AA98" s="88" t="s">
        <v>24</v>
      </c>
      <c r="AB98" s="89">
        <v>1600</v>
      </c>
      <c r="AC98" s="86">
        <v>3</v>
      </c>
      <c r="AD98" s="88" t="s">
        <v>39</v>
      </c>
      <c r="AE98" s="89">
        <v>545</v>
      </c>
      <c r="AF98" s="86"/>
      <c r="AG98" s="88"/>
      <c r="AH98" s="89"/>
      <c r="AI98" s="86"/>
      <c r="AJ98" s="88"/>
      <c r="AK98" s="89"/>
      <c r="AL98" s="90"/>
      <c r="AM98" s="91"/>
      <c r="AN98" s="91" t="s">
        <v>474</v>
      </c>
      <c r="AO98" s="243" t="str">
        <f t="shared" si="4"/>
        <v>3SNCERAWZRX25</v>
      </c>
    </row>
    <row r="99" spans="1:41" ht="15" customHeight="1" x14ac:dyDescent="0.15">
      <c r="A99" s="83">
        <v>333</v>
      </c>
      <c r="B99" s="92">
        <v>271</v>
      </c>
      <c r="C99" s="92">
        <v>2553</v>
      </c>
      <c r="D99" s="92" t="s">
        <v>114</v>
      </c>
      <c r="E99" s="92" t="s">
        <v>18</v>
      </c>
      <c r="F99" s="92" t="s">
        <v>26</v>
      </c>
      <c r="G99" s="92" t="str">
        <f t="shared" si="0"/>
        <v>331SNCERAWZRX</v>
      </c>
      <c r="H99" s="92" t="s">
        <v>19</v>
      </c>
      <c r="I99" s="92" t="s">
        <v>20</v>
      </c>
      <c r="J99" s="92" t="s">
        <v>21</v>
      </c>
      <c r="K99" s="92" t="s">
        <v>112</v>
      </c>
      <c r="L99" s="92" t="s">
        <v>113</v>
      </c>
      <c r="M99" s="92" t="str">
        <f t="shared" si="1"/>
        <v>331SNCERAWZRX251325</v>
      </c>
      <c r="N99" s="92" t="str">
        <f t="shared" si="2"/>
        <v>331SNCERAWZRX25640</v>
      </c>
      <c r="O99" s="93">
        <v>25</v>
      </c>
      <c r="P99" s="92">
        <v>331</v>
      </c>
      <c r="Q99" s="92" t="s">
        <v>1159</v>
      </c>
      <c r="R99" s="93">
        <v>1325</v>
      </c>
      <c r="S99" s="93">
        <v>12300</v>
      </c>
      <c r="T99" s="93">
        <v>640</v>
      </c>
      <c r="U99" s="93">
        <v>640</v>
      </c>
      <c r="V99" s="93">
        <v>2000</v>
      </c>
      <c r="W99" s="84">
        <v>2</v>
      </c>
      <c r="X99" s="85" t="s">
        <v>14</v>
      </c>
      <c r="Y99" s="86" t="s">
        <v>295</v>
      </c>
      <c r="Z99" s="87">
        <v>6</v>
      </c>
      <c r="AA99" s="88" t="s">
        <v>24</v>
      </c>
      <c r="AB99" s="89">
        <v>1450</v>
      </c>
      <c r="AC99" s="86">
        <v>3</v>
      </c>
      <c r="AD99" s="88" t="s">
        <v>39</v>
      </c>
      <c r="AE99" s="89">
        <v>645</v>
      </c>
      <c r="AF99" s="86"/>
      <c r="AG99" s="88"/>
      <c r="AH99" s="89"/>
      <c r="AI99" s="86"/>
      <c r="AJ99" s="88"/>
      <c r="AK99" s="89"/>
      <c r="AL99" s="90"/>
      <c r="AM99" s="91"/>
      <c r="AN99" s="91" t="s">
        <v>474</v>
      </c>
      <c r="AO99" s="243" t="str">
        <f t="shared" si="4"/>
        <v>331SNCERAWZRX25</v>
      </c>
    </row>
    <row r="100" spans="1:41" ht="15" customHeight="1" x14ac:dyDescent="0.15">
      <c r="A100" s="83">
        <v>333</v>
      </c>
      <c r="B100" s="92">
        <v>271</v>
      </c>
      <c r="C100" s="92">
        <v>3512</v>
      </c>
      <c r="D100" s="92" t="s">
        <v>115</v>
      </c>
      <c r="E100" s="92" t="s">
        <v>18</v>
      </c>
      <c r="F100" s="92" t="s">
        <v>111</v>
      </c>
      <c r="G100" s="92" t="str">
        <f t="shared" si="0"/>
        <v>3SNCERAWZRX</v>
      </c>
      <c r="H100" s="92" t="s">
        <v>19</v>
      </c>
      <c r="I100" s="92" t="s">
        <v>20</v>
      </c>
      <c r="J100" s="92" t="s">
        <v>21</v>
      </c>
      <c r="K100" s="92" t="s">
        <v>112</v>
      </c>
      <c r="L100" s="92" t="s">
        <v>113</v>
      </c>
      <c r="M100" s="92" t="str">
        <f t="shared" si="1"/>
        <v>3SNCERAWZRX381135</v>
      </c>
      <c r="N100" s="92" t="str">
        <f t="shared" si="2"/>
        <v>3SNCERAWZRX381130</v>
      </c>
      <c r="O100" s="93">
        <v>38</v>
      </c>
      <c r="P100" s="92">
        <v>3</v>
      </c>
      <c r="Q100" s="92" t="s">
        <v>31</v>
      </c>
      <c r="R100" s="93">
        <v>1135</v>
      </c>
      <c r="S100" s="93">
        <v>12200</v>
      </c>
      <c r="T100" s="93">
        <v>1135</v>
      </c>
      <c r="U100" s="93">
        <v>1130</v>
      </c>
      <c r="V100" s="93">
        <v>6000</v>
      </c>
      <c r="W100" s="84">
        <v>2</v>
      </c>
      <c r="X100" s="85" t="s">
        <v>14</v>
      </c>
      <c r="Y100" s="86" t="s">
        <v>27</v>
      </c>
      <c r="Z100" s="87">
        <v>6</v>
      </c>
      <c r="AA100" s="88" t="s">
        <v>24</v>
      </c>
      <c r="AB100" s="89">
        <v>1450</v>
      </c>
      <c r="AC100" s="86">
        <v>6</v>
      </c>
      <c r="AD100" s="88" t="s">
        <v>24</v>
      </c>
      <c r="AE100" s="89">
        <v>1450</v>
      </c>
      <c r="AF100" s="86"/>
      <c r="AG100" s="88"/>
      <c r="AH100" s="89"/>
      <c r="AI100" s="86"/>
      <c r="AJ100" s="88"/>
      <c r="AK100" s="89"/>
      <c r="AL100" s="90"/>
      <c r="AM100" s="91"/>
      <c r="AN100" s="91" t="s">
        <v>475</v>
      </c>
      <c r="AO100" s="243" t="str">
        <f t="shared" si="4"/>
        <v>3SNCERAWZRX38</v>
      </c>
    </row>
    <row r="101" spans="1:41" ht="15" customHeight="1" x14ac:dyDescent="0.15">
      <c r="A101" s="83">
        <v>333</v>
      </c>
      <c r="B101" s="92">
        <v>275</v>
      </c>
      <c r="C101" s="92">
        <v>5174</v>
      </c>
      <c r="D101" s="92" t="s">
        <v>116</v>
      </c>
      <c r="E101" s="92" t="s">
        <v>117</v>
      </c>
      <c r="F101" s="92"/>
      <c r="G101" s="92" t="str">
        <f t="shared" si="0"/>
        <v>3SNCERAWZS</v>
      </c>
      <c r="H101" s="92" t="s">
        <v>19</v>
      </c>
      <c r="I101" s="92" t="s">
        <v>20</v>
      </c>
      <c r="J101" s="92" t="s">
        <v>21</v>
      </c>
      <c r="K101" s="92" t="s">
        <v>118</v>
      </c>
      <c r="L101" s="92" t="s">
        <v>2044</v>
      </c>
      <c r="M101" s="92" t="str">
        <f t="shared" si="1"/>
        <v>3SNCERAWZS381005</v>
      </c>
      <c r="N101" s="92" t="str">
        <f t="shared" si="2"/>
        <v>3SNCERAWZS381000</v>
      </c>
      <c r="O101" s="93">
        <v>38</v>
      </c>
      <c r="P101" s="92">
        <v>3</v>
      </c>
      <c r="Q101" s="92" t="s">
        <v>59</v>
      </c>
      <c r="R101" s="93">
        <v>1005</v>
      </c>
      <c r="S101" s="93">
        <v>8000</v>
      </c>
      <c r="T101" s="93">
        <v>1005</v>
      </c>
      <c r="U101" s="93">
        <v>1000</v>
      </c>
      <c r="V101" s="93">
        <v>8000</v>
      </c>
      <c r="W101" s="84">
        <v>2</v>
      </c>
      <c r="X101" s="85" t="s">
        <v>14</v>
      </c>
      <c r="Y101" s="86" t="s">
        <v>15</v>
      </c>
      <c r="Z101" s="87">
        <v>6</v>
      </c>
      <c r="AA101" s="88" t="s">
        <v>24</v>
      </c>
      <c r="AB101" s="89">
        <v>1170</v>
      </c>
      <c r="AC101" s="86">
        <v>6</v>
      </c>
      <c r="AD101" s="88" t="s">
        <v>24</v>
      </c>
      <c r="AE101" s="89">
        <v>1170</v>
      </c>
      <c r="AF101" s="86"/>
      <c r="AG101" s="88"/>
      <c r="AH101" s="89"/>
      <c r="AI101" s="86"/>
      <c r="AJ101" s="88"/>
      <c r="AK101" s="89"/>
      <c r="AL101" s="90"/>
      <c r="AM101" s="91"/>
      <c r="AN101" s="91" t="s">
        <v>475</v>
      </c>
      <c r="AO101" s="243" t="str">
        <f t="shared" si="4"/>
        <v>3SNCERAWZS38</v>
      </c>
    </row>
    <row r="102" spans="1:41" ht="15" customHeight="1" x14ac:dyDescent="0.15">
      <c r="A102" s="83">
        <v>333</v>
      </c>
      <c r="B102" s="92">
        <v>275</v>
      </c>
      <c r="C102" s="92">
        <v>5174</v>
      </c>
      <c r="D102" s="92" t="s">
        <v>116</v>
      </c>
      <c r="E102" s="92" t="s">
        <v>117</v>
      </c>
      <c r="F102" s="92"/>
      <c r="G102" s="92" t="str">
        <f t="shared" si="0"/>
        <v>3SNCERAWZS</v>
      </c>
      <c r="H102" s="92" t="s">
        <v>19</v>
      </c>
      <c r="I102" s="92" t="s">
        <v>20</v>
      </c>
      <c r="J102" s="92" t="s">
        <v>21</v>
      </c>
      <c r="K102" s="92" t="s">
        <v>118</v>
      </c>
      <c r="L102" s="92" t="s">
        <v>2044</v>
      </c>
      <c r="M102" s="92" t="str">
        <f t="shared" si="1"/>
        <v>3SNCERAWZS381125</v>
      </c>
      <c r="N102" s="92" t="str">
        <f t="shared" si="2"/>
        <v>3SNCERAWZS381120</v>
      </c>
      <c r="O102" s="93">
        <v>38</v>
      </c>
      <c r="P102" s="92">
        <v>3</v>
      </c>
      <c r="Q102" s="92" t="s">
        <v>59</v>
      </c>
      <c r="R102" s="93">
        <v>1125</v>
      </c>
      <c r="S102" s="93">
        <v>6000</v>
      </c>
      <c r="T102" s="93">
        <v>1125</v>
      </c>
      <c r="U102" s="93">
        <v>1120</v>
      </c>
      <c r="V102" s="93">
        <v>6000</v>
      </c>
      <c r="W102" s="84">
        <v>2</v>
      </c>
      <c r="X102" s="85" t="s">
        <v>14</v>
      </c>
      <c r="Y102" s="86" t="s">
        <v>15</v>
      </c>
      <c r="Z102" s="87">
        <v>6</v>
      </c>
      <c r="AA102" s="88" t="s">
        <v>24</v>
      </c>
      <c r="AB102" s="89">
        <v>1170</v>
      </c>
      <c r="AC102" s="86"/>
      <c r="AD102" s="88"/>
      <c r="AE102" s="89"/>
      <c r="AF102" s="86"/>
      <c r="AG102" s="88"/>
      <c r="AH102" s="89"/>
      <c r="AI102" s="86"/>
      <c r="AJ102" s="88"/>
      <c r="AK102" s="89"/>
      <c r="AL102" s="90"/>
      <c r="AM102" s="91"/>
      <c r="AN102" s="91" t="s">
        <v>475</v>
      </c>
      <c r="AO102" s="243" t="str">
        <f t="shared" si="4"/>
        <v>3SNCERAWZS38</v>
      </c>
    </row>
    <row r="103" spans="1:41" ht="15" customHeight="1" x14ac:dyDescent="0.15">
      <c r="A103" s="83">
        <v>333</v>
      </c>
      <c r="B103" s="92">
        <v>275</v>
      </c>
      <c r="C103" s="92">
        <v>5174</v>
      </c>
      <c r="D103" s="92" t="s">
        <v>116</v>
      </c>
      <c r="E103" s="92" t="s">
        <v>117</v>
      </c>
      <c r="F103" s="92"/>
      <c r="G103" s="92" t="str">
        <f t="shared" si="0"/>
        <v>3SNCERAWZS</v>
      </c>
      <c r="H103" s="92" t="s">
        <v>19</v>
      </c>
      <c r="I103" s="92" t="s">
        <v>20</v>
      </c>
      <c r="J103" s="92" t="s">
        <v>21</v>
      </c>
      <c r="K103" s="92" t="s">
        <v>118</v>
      </c>
      <c r="L103" s="92" t="s">
        <v>2044</v>
      </c>
      <c r="M103" s="92" t="str">
        <f t="shared" si="1"/>
        <v>3SNCERAWZS381415</v>
      </c>
      <c r="N103" s="92" t="str">
        <f t="shared" si="2"/>
        <v>3SNCERAWZS381410</v>
      </c>
      <c r="O103" s="93">
        <v>38</v>
      </c>
      <c r="P103" s="92">
        <v>3</v>
      </c>
      <c r="Q103" s="92" t="s">
        <v>59</v>
      </c>
      <c r="R103" s="93">
        <v>1415</v>
      </c>
      <c r="S103" s="93">
        <v>8000</v>
      </c>
      <c r="T103" s="93">
        <v>1415</v>
      </c>
      <c r="U103" s="93">
        <v>1410</v>
      </c>
      <c r="V103" s="93">
        <v>8000</v>
      </c>
      <c r="W103" s="84">
        <v>2</v>
      </c>
      <c r="X103" s="85" t="s">
        <v>14</v>
      </c>
      <c r="Y103" s="86" t="s">
        <v>15</v>
      </c>
      <c r="Z103" s="87">
        <v>6</v>
      </c>
      <c r="AA103" s="88" t="s">
        <v>24</v>
      </c>
      <c r="AB103" s="89">
        <v>1450</v>
      </c>
      <c r="AC103" s="86"/>
      <c r="AD103" s="88"/>
      <c r="AE103" s="89"/>
      <c r="AF103" s="86"/>
      <c r="AG103" s="88"/>
      <c r="AH103" s="89"/>
      <c r="AI103" s="86"/>
      <c r="AJ103" s="88"/>
      <c r="AK103" s="89"/>
      <c r="AL103" s="90"/>
      <c r="AM103" s="91"/>
      <c r="AN103" s="91" t="s">
        <v>475</v>
      </c>
      <c r="AO103" s="243" t="str">
        <f t="shared" si="4"/>
        <v>3SNCERAWZS38</v>
      </c>
    </row>
    <row r="104" spans="1:41" ht="15" customHeight="1" x14ac:dyDescent="0.15">
      <c r="A104" s="83">
        <v>333</v>
      </c>
      <c r="B104" s="92">
        <v>272</v>
      </c>
      <c r="C104" s="92">
        <v>3864</v>
      </c>
      <c r="D104" s="92" t="s">
        <v>120</v>
      </c>
      <c r="E104" s="92" t="s">
        <v>45</v>
      </c>
      <c r="F104" s="92" t="s">
        <v>111</v>
      </c>
      <c r="G104" s="92" t="str">
        <f t="shared" si="0"/>
        <v>3SNCERAWZS</v>
      </c>
      <c r="H104" s="92" t="s">
        <v>19</v>
      </c>
      <c r="I104" s="92" t="s">
        <v>20</v>
      </c>
      <c r="J104" s="92" t="s">
        <v>21</v>
      </c>
      <c r="K104" s="92" t="s">
        <v>118</v>
      </c>
      <c r="L104" s="92" t="s">
        <v>121</v>
      </c>
      <c r="M104" s="92" t="str">
        <f t="shared" si="1"/>
        <v>3SNCERAWZS1251230</v>
      </c>
      <c r="N104" s="92" t="str">
        <f t="shared" si="2"/>
        <v>3SNCERAWZS1251225</v>
      </c>
      <c r="O104" s="93">
        <v>125</v>
      </c>
      <c r="P104" s="92">
        <v>3</v>
      </c>
      <c r="Q104" s="92" t="s">
        <v>59</v>
      </c>
      <c r="R104" s="93">
        <v>1230</v>
      </c>
      <c r="S104" s="93">
        <v>2000</v>
      </c>
      <c r="T104" s="93">
        <v>1230</v>
      </c>
      <c r="U104" s="93">
        <v>1225</v>
      </c>
      <c r="V104" s="93">
        <v>1800</v>
      </c>
      <c r="W104" s="84">
        <v>2</v>
      </c>
      <c r="X104" s="85" t="s">
        <v>14</v>
      </c>
      <c r="Y104" s="86" t="s">
        <v>15</v>
      </c>
      <c r="Z104" s="87">
        <v>6</v>
      </c>
      <c r="AA104" s="88" t="s">
        <v>24</v>
      </c>
      <c r="AB104" s="89">
        <v>1450</v>
      </c>
      <c r="AC104" s="86"/>
      <c r="AD104" s="88"/>
      <c r="AE104" s="89"/>
      <c r="AF104" s="86"/>
      <c r="AG104" s="88"/>
      <c r="AH104" s="89"/>
      <c r="AI104" s="86"/>
      <c r="AJ104" s="88"/>
      <c r="AK104" s="89"/>
      <c r="AL104" s="90"/>
      <c r="AM104" s="91"/>
      <c r="AN104" s="91" t="s">
        <v>474</v>
      </c>
      <c r="AO104" s="243" t="str">
        <f t="shared" si="4"/>
        <v>3SNCERAWZS125</v>
      </c>
    </row>
    <row r="105" spans="1:41" ht="15" customHeight="1" x14ac:dyDescent="0.15">
      <c r="A105" s="83">
        <v>333</v>
      </c>
      <c r="B105" s="92">
        <v>272</v>
      </c>
      <c r="C105" s="92">
        <v>3864</v>
      </c>
      <c r="D105" s="92" t="s">
        <v>120</v>
      </c>
      <c r="E105" s="92" t="s">
        <v>45</v>
      </c>
      <c r="F105" s="92" t="s">
        <v>111</v>
      </c>
      <c r="G105" s="92" t="str">
        <f t="shared" ref="G105:G168" si="5">CONCATENATE(P105,H105,I105,J105,K105)</f>
        <v>3SNCERAWZS</v>
      </c>
      <c r="H105" s="92" t="s">
        <v>19</v>
      </c>
      <c r="I105" s="92" t="s">
        <v>20</v>
      </c>
      <c r="J105" s="92" t="s">
        <v>21</v>
      </c>
      <c r="K105" s="92" t="s">
        <v>118</v>
      </c>
      <c r="L105" s="92" t="s">
        <v>121</v>
      </c>
      <c r="M105" s="92" t="str">
        <f t="shared" ref="M105:M168" si="6">G105&amp;O105&amp;R105</f>
        <v>3SNCERAWZS1251250</v>
      </c>
      <c r="N105" s="92" t="str">
        <f t="shared" ref="N105:N168" si="7">G105&amp;O105&amp;U105</f>
        <v>3SNCERAWZS1251225</v>
      </c>
      <c r="O105" s="93">
        <v>125</v>
      </c>
      <c r="P105" s="92">
        <v>3</v>
      </c>
      <c r="Q105" s="92" t="s">
        <v>59</v>
      </c>
      <c r="R105" s="93">
        <v>1250</v>
      </c>
      <c r="S105" s="93">
        <v>2000</v>
      </c>
      <c r="T105" s="93">
        <v>1230</v>
      </c>
      <c r="U105" s="93">
        <v>1225</v>
      </c>
      <c r="V105" s="93">
        <v>1800</v>
      </c>
      <c r="W105" s="84">
        <v>2</v>
      </c>
      <c r="X105" s="85" t="s">
        <v>14</v>
      </c>
      <c r="Y105" s="86" t="s">
        <v>295</v>
      </c>
      <c r="Z105" s="87">
        <v>6</v>
      </c>
      <c r="AA105" s="88" t="s">
        <v>24</v>
      </c>
      <c r="AB105" s="89">
        <v>1450</v>
      </c>
      <c r="AC105" s="86">
        <v>6</v>
      </c>
      <c r="AD105" s="88" t="s">
        <v>24</v>
      </c>
      <c r="AE105" s="89">
        <v>1450</v>
      </c>
      <c r="AF105" s="86"/>
      <c r="AG105" s="88"/>
      <c r="AH105" s="89"/>
      <c r="AI105" s="86"/>
      <c r="AJ105" s="88"/>
      <c r="AK105" s="89"/>
      <c r="AL105" s="90"/>
      <c r="AM105" s="91"/>
      <c r="AN105" s="91" t="s">
        <v>474</v>
      </c>
      <c r="AO105" s="243" t="str">
        <f t="shared" si="4"/>
        <v>3SNCERAWZS125</v>
      </c>
    </row>
    <row r="106" spans="1:41" ht="15" customHeight="1" x14ac:dyDescent="0.15">
      <c r="A106" s="83">
        <v>333</v>
      </c>
      <c r="B106" s="92">
        <v>271</v>
      </c>
      <c r="C106" s="92">
        <v>3512</v>
      </c>
      <c r="D106" s="92" t="s">
        <v>115</v>
      </c>
      <c r="E106" s="92" t="s">
        <v>18</v>
      </c>
      <c r="F106" s="92" t="s">
        <v>111</v>
      </c>
      <c r="G106" s="92" t="str">
        <f t="shared" si="5"/>
        <v>3SNCERAWZT</v>
      </c>
      <c r="H106" s="92" t="s">
        <v>19</v>
      </c>
      <c r="I106" s="92" t="s">
        <v>20</v>
      </c>
      <c r="J106" s="92" t="s">
        <v>21</v>
      </c>
      <c r="K106" s="92" t="s">
        <v>122</v>
      </c>
      <c r="L106" s="92" t="s">
        <v>123</v>
      </c>
      <c r="M106" s="92" t="str">
        <f t="shared" si="6"/>
        <v>3SNCERAWZT251325</v>
      </c>
      <c r="N106" s="92" t="str">
        <f t="shared" si="7"/>
        <v>3SNCERAWZT251320</v>
      </c>
      <c r="O106" s="93">
        <v>25</v>
      </c>
      <c r="P106" s="92">
        <v>3</v>
      </c>
      <c r="Q106" s="92" t="s">
        <v>124</v>
      </c>
      <c r="R106" s="93">
        <v>1325</v>
      </c>
      <c r="S106" s="93">
        <v>8200</v>
      </c>
      <c r="T106" s="93">
        <v>1325</v>
      </c>
      <c r="U106" s="93">
        <v>1320</v>
      </c>
      <c r="V106" s="93">
        <v>8000</v>
      </c>
      <c r="W106" s="84">
        <v>2</v>
      </c>
      <c r="X106" s="85" t="s">
        <v>14</v>
      </c>
      <c r="Y106" s="86" t="s">
        <v>15</v>
      </c>
      <c r="Z106" s="87">
        <v>6</v>
      </c>
      <c r="AA106" s="88" t="s">
        <v>24</v>
      </c>
      <c r="AB106" s="89">
        <v>1450</v>
      </c>
      <c r="AC106" s="86"/>
      <c r="AD106" s="88"/>
      <c r="AE106" s="89"/>
      <c r="AF106" s="86"/>
      <c r="AG106" s="88"/>
      <c r="AH106" s="89"/>
      <c r="AI106" s="86"/>
      <c r="AJ106" s="88"/>
      <c r="AK106" s="89"/>
      <c r="AL106" s="90"/>
      <c r="AM106" s="91"/>
      <c r="AN106" s="91" t="s">
        <v>475</v>
      </c>
      <c r="AO106" s="243" t="str">
        <f t="shared" si="4"/>
        <v>3SNCERAWZT25</v>
      </c>
    </row>
    <row r="107" spans="1:41" ht="15" customHeight="1" x14ac:dyDescent="0.15">
      <c r="A107" s="83">
        <v>333</v>
      </c>
      <c r="B107" s="92">
        <v>275</v>
      </c>
      <c r="C107" s="92">
        <v>5174</v>
      </c>
      <c r="D107" s="92" t="s">
        <v>116</v>
      </c>
      <c r="E107" s="92" t="s">
        <v>117</v>
      </c>
      <c r="F107" s="92"/>
      <c r="G107" s="92" t="str">
        <f t="shared" si="5"/>
        <v>3SNCERAWZT</v>
      </c>
      <c r="H107" s="92" t="s">
        <v>1549</v>
      </c>
      <c r="I107" s="92" t="s">
        <v>1550</v>
      </c>
      <c r="J107" s="92" t="s">
        <v>1552</v>
      </c>
      <c r="K107" s="92" t="s">
        <v>1570</v>
      </c>
      <c r="L107" s="92" t="s">
        <v>123</v>
      </c>
      <c r="M107" s="92" t="str">
        <f t="shared" si="6"/>
        <v>3SNCERAWZT381005</v>
      </c>
      <c r="N107" s="92" t="str">
        <f t="shared" si="7"/>
        <v>3SNCERAWZT381000</v>
      </c>
      <c r="O107" s="93">
        <v>38</v>
      </c>
      <c r="P107" s="92">
        <v>3</v>
      </c>
      <c r="Q107" s="92" t="s">
        <v>125</v>
      </c>
      <c r="R107" s="93">
        <v>1005</v>
      </c>
      <c r="S107" s="93">
        <v>6000</v>
      </c>
      <c r="T107" s="93">
        <v>1000</v>
      </c>
      <c r="U107" s="93">
        <v>1000</v>
      </c>
      <c r="V107" s="93">
        <v>6000</v>
      </c>
      <c r="W107" s="84">
        <v>2</v>
      </c>
      <c r="X107" s="85" t="s">
        <v>14</v>
      </c>
      <c r="Y107" s="86" t="s">
        <v>15</v>
      </c>
      <c r="Z107" s="87">
        <v>6</v>
      </c>
      <c r="AA107" s="88" t="s">
        <v>24</v>
      </c>
      <c r="AB107" s="89"/>
      <c r="AC107" s="86"/>
      <c r="AD107" s="88"/>
      <c r="AE107" s="89"/>
      <c r="AF107" s="86"/>
      <c r="AG107" s="88"/>
      <c r="AH107" s="89"/>
      <c r="AI107" s="86"/>
      <c r="AJ107" s="88"/>
      <c r="AK107" s="89"/>
      <c r="AL107" s="90"/>
      <c r="AM107" s="91"/>
      <c r="AN107" s="91" t="s">
        <v>474</v>
      </c>
      <c r="AO107" s="243" t="str">
        <f t="shared" si="4"/>
        <v>3SNCERAWZT38</v>
      </c>
    </row>
    <row r="108" spans="1:41" ht="15" customHeight="1" x14ac:dyDescent="0.15">
      <c r="A108" s="83">
        <v>333</v>
      </c>
      <c r="B108" s="92">
        <v>279</v>
      </c>
      <c r="C108" s="92">
        <v>26911</v>
      </c>
      <c r="D108" s="92" t="s">
        <v>126</v>
      </c>
      <c r="E108" s="92" t="s">
        <v>127</v>
      </c>
      <c r="F108" s="92" t="s">
        <v>12</v>
      </c>
      <c r="G108" s="92" t="str">
        <f t="shared" si="5"/>
        <v>3SNCERAWZU</v>
      </c>
      <c r="H108" s="92" t="s">
        <v>19</v>
      </c>
      <c r="I108" s="92" t="s">
        <v>20</v>
      </c>
      <c r="J108" s="92" t="s">
        <v>21</v>
      </c>
      <c r="K108" s="92" t="s">
        <v>128</v>
      </c>
      <c r="L108" s="92" t="s">
        <v>129</v>
      </c>
      <c r="M108" s="92" t="str">
        <f t="shared" si="6"/>
        <v>3SNCERAWZU251155</v>
      </c>
      <c r="N108" s="92" t="str">
        <f t="shared" si="7"/>
        <v>3SNCERAWZU251150</v>
      </c>
      <c r="O108" s="93">
        <v>25</v>
      </c>
      <c r="P108" s="92">
        <v>3</v>
      </c>
      <c r="Q108" s="92" t="s">
        <v>19</v>
      </c>
      <c r="R108" s="93">
        <v>1155</v>
      </c>
      <c r="S108" s="93">
        <v>12600</v>
      </c>
      <c r="T108" s="93">
        <v>1155</v>
      </c>
      <c r="U108" s="93">
        <v>1150</v>
      </c>
      <c r="V108" s="93">
        <v>12400</v>
      </c>
      <c r="W108" s="84">
        <v>2</v>
      </c>
      <c r="X108" s="85" t="s">
        <v>14</v>
      </c>
      <c r="Y108" s="86" t="s">
        <v>15</v>
      </c>
      <c r="Z108" s="87">
        <v>6</v>
      </c>
      <c r="AA108" s="88" t="s">
        <v>24</v>
      </c>
      <c r="AB108" s="89">
        <v>1270</v>
      </c>
      <c r="AC108" s="86"/>
      <c r="AD108" s="88"/>
      <c r="AE108" s="89"/>
      <c r="AF108" s="86"/>
      <c r="AG108" s="88"/>
      <c r="AH108" s="89"/>
      <c r="AI108" s="86"/>
      <c r="AJ108" s="88"/>
      <c r="AK108" s="89"/>
      <c r="AL108" s="90"/>
      <c r="AM108" s="91"/>
      <c r="AN108" s="91" t="s">
        <v>474</v>
      </c>
      <c r="AO108" s="243" t="str">
        <f t="shared" si="4"/>
        <v>3SNCERAWZU25</v>
      </c>
    </row>
    <row r="109" spans="1:41" ht="15" customHeight="1" x14ac:dyDescent="0.15">
      <c r="A109" s="83">
        <v>333</v>
      </c>
      <c r="B109" s="92">
        <v>271</v>
      </c>
      <c r="C109" s="92">
        <v>3918</v>
      </c>
      <c r="D109" s="92" t="s">
        <v>130</v>
      </c>
      <c r="E109" s="92" t="s">
        <v>18</v>
      </c>
      <c r="F109" s="92" t="s">
        <v>26</v>
      </c>
      <c r="G109" s="92" t="str">
        <f t="shared" si="5"/>
        <v>3SNCERAWZU</v>
      </c>
      <c r="H109" s="92" t="s">
        <v>19</v>
      </c>
      <c r="I109" s="92" t="s">
        <v>20</v>
      </c>
      <c r="J109" s="92" t="s">
        <v>21</v>
      </c>
      <c r="K109" s="92" t="s">
        <v>128</v>
      </c>
      <c r="L109" s="92" t="s">
        <v>129</v>
      </c>
      <c r="M109" s="92" t="str">
        <f t="shared" si="6"/>
        <v>3SNCERAWZU251415</v>
      </c>
      <c r="N109" s="92" t="str">
        <f t="shared" si="7"/>
        <v>3SNCERAWZU251410</v>
      </c>
      <c r="O109" s="93">
        <v>25</v>
      </c>
      <c r="P109" s="92">
        <v>3</v>
      </c>
      <c r="Q109" s="92" t="s">
        <v>19</v>
      </c>
      <c r="R109" s="93">
        <v>1415</v>
      </c>
      <c r="S109" s="93">
        <v>12300</v>
      </c>
      <c r="T109" s="93">
        <v>1410</v>
      </c>
      <c r="U109" s="93">
        <v>1410</v>
      </c>
      <c r="V109" s="93">
        <v>6000</v>
      </c>
      <c r="W109" s="84">
        <v>2</v>
      </c>
      <c r="X109" s="85" t="s">
        <v>14</v>
      </c>
      <c r="Y109" s="86" t="s">
        <v>27</v>
      </c>
      <c r="Z109" s="87">
        <v>6</v>
      </c>
      <c r="AA109" s="88" t="s">
        <v>24</v>
      </c>
      <c r="AB109" s="89">
        <v>1600</v>
      </c>
      <c r="AC109" s="86">
        <v>6</v>
      </c>
      <c r="AD109" s="88" t="s">
        <v>24</v>
      </c>
      <c r="AE109" s="89">
        <v>1600</v>
      </c>
      <c r="AF109" s="86"/>
      <c r="AG109" s="88"/>
      <c r="AH109" s="89"/>
      <c r="AI109" s="86"/>
      <c r="AJ109" s="88"/>
      <c r="AK109" s="89"/>
      <c r="AL109" s="90"/>
      <c r="AM109" s="91"/>
      <c r="AN109" s="91" t="s">
        <v>474</v>
      </c>
      <c r="AO109" s="203" t="str">
        <f t="shared" si="4"/>
        <v>3SNCERAWZU25</v>
      </c>
    </row>
    <row r="110" spans="1:41" ht="15" customHeight="1" x14ac:dyDescent="0.15">
      <c r="A110" s="119">
        <v>333</v>
      </c>
      <c r="B110" s="94">
        <v>276</v>
      </c>
      <c r="C110" s="94">
        <v>3621</v>
      </c>
      <c r="D110" s="94" t="s">
        <v>57</v>
      </c>
      <c r="E110" s="94" t="s">
        <v>58</v>
      </c>
      <c r="F110" s="94" t="s">
        <v>12</v>
      </c>
      <c r="G110" s="94" t="str">
        <f t="shared" si="5"/>
        <v>3SNCERAWZU</v>
      </c>
      <c r="H110" s="94" t="s">
        <v>19</v>
      </c>
      <c r="I110" s="94" t="s">
        <v>20</v>
      </c>
      <c r="J110" s="94" t="s">
        <v>21</v>
      </c>
      <c r="K110" s="94" t="s">
        <v>128</v>
      </c>
      <c r="L110" s="94" t="s">
        <v>129</v>
      </c>
      <c r="M110" s="94" t="str">
        <f t="shared" si="6"/>
        <v>3SNCERAWZU251425</v>
      </c>
      <c r="N110" s="94" t="str">
        <f t="shared" si="7"/>
        <v>3SNCERAWZU251420</v>
      </c>
      <c r="O110" s="120">
        <v>25</v>
      </c>
      <c r="P110" s="94">
        <v>3</v>
      </c>
      <c r="Q110" s="94" t="s">
        <v>19</v>
      </c>
      <c r="R110" s="120">
        <v>1425</v>
      </c>
      <c r="S110" s="120">
        <v>12600</v>
      </c>
      <c r="T110" s="120">
        <v>1425</v>
      </c>
      <c r="U110" s="120">
        <v>1420</v>
      </c>
      <c r="V110" s="120">
        <v>12400</v>
      </c>
      <c r="W110" s="121">
        <v>2</v>
      </c>
      <c r="X110" s="122" t="s">
        <v>14</v>
      </c>
      <c r="Y110" s="123" t="s">
        <v>1994</v>
      </c>
      <c r="Z110" s="124">
        <v>6</v>
      </c>
      <c r="AA110" s="125" t="s">
        <v>24</v>
      </c>
      <c r="AB110" s="126">
        <v>1500</v>
      </c>
      <c r="AC110" s="123">
        <v>6</v>
      </c>
      <c r="AD110" s="125" t="s">
        <v>24</v>
      </c>
      <c r="AE110" s="126">
        <v>1500</v>
      </c>
      <c r="AF110" s="123"/>
      <c r="AG110" s="125"/>
      <c r="AH110" s="126"/>
      <c r="AI110" s="123"/>
      <c r="AJ110" s="125"/>
      <c r="AK110" s="126"/>
      <c r="AL110" s="127"/>
      <c r="AM110" s="128"/>
      <c r="AN110" s="128" t="s">
        <v>474</v>
      </c>
      <c r="AO110" s="203" t="str">
        <f t="shared" si="4"/>
        <v>3SNCERAWZU25</v>
      </c>
    </row>
    <row r="111" spans="1:41" ht="15" customHeight="1" x14ac:dyDescent="0.15">
      <c r="A111" s="119">
        <v>333</v>
      </c>
      <c r="B111" s="94">
        <v>271</v>
      </c>
      <c r="C111" s="94">
        <v>3918</v>
      </c>
      <c r="D111" s="94" t="s">
        <v>2045</v>
      </c>
      <c r="E111" s="94" t="s">
        <v>11</v>
      </c>
      <c r="F111" s="94" t="s">
        <v>184</v>
      </c>
      <c r="G111" s="94" t="str">
        <f t="shared" si="5"/>
        <v>331SNCERAWZ34</v>
      </c>
      <c r="H111" s="94" t="s">
        <v>450</v>
      </c>
      <c r="I111" s="94" t="s">
        <v>1550</v>
      </c>
      <c r="J111" s="94" t="s">
        <v>21</v>
      </c>
      <c r="K111" s="94" t="s">
        <v>1569</v>
      </c>
      <c r="L111" s="94" t="s">
        <v>2046</v>
      </c>
      <c r="M111" s="94" t="str">
        <f t="shared" si="6"/>
        <v>331SNCERAWZ3425E1420</v>
      </c>
      <c r="N111" s="94" t="str">
        <f t="shared" si="7"/>
        <v>331SNCERAWZ3425E1410</v>
      </c>
      <c r="O111" s="120" t="s">
        <v>1995</v>
      </c>
      <c r="P111" s="94">
        <v>331</v>
      </c>
      <c r="Q111" s="94" t="s">
        <v>1996</v>
      </c>
      <c r="R111" s="120">
        <v>1420</v>
      </c>
      <c r="S111" s="120">
        <v>12700</v>
      </c>
      <c r="T111" s="120">
        <v>1410</v>
      </c>
      <c r="U111" s="120">
        <v>1410</v>
      </c>
      <c r="V111" s="120">
        <v>6000</v>
      </c>
      <c r="W111" s="121">
        <v>1</v>
      </c>
      <c r="X111" s="122" t="s">
        <v>14</v>
      </c>
      <c r="Y111" s="123" t="s">
        <v>27</v>
      </c>
      <c r="Z111" s="124">
        <v>6</v>
      </c>
      <c r="AA111" s="125" t="s">
        <v>24</v>
      </c>
      <c r="AB111" s="126">
        <v>1600</v>
      </c>
      <c r="AC111" s="123"/>
      <c r="AD111" s="125"/>
      <c r="AE111" s="126"/>
      <c r="AF111" s="123"/>
      <c r="AG111" s="125"/>
      <c r="AH111" s="126"/>
      <c r="AI111" s="123"/>
      <c r="AJ111" s="125"/>
      <c r="AK111" s="126"/>
      <c r="AL111" s="127"/>
      <c r="AM111" s="128"/>
      <c r="AN111" s="128" t="s">
        <v>474</v>
      </c>
      <c r="AO111" s="203" t="str">
        <f t="shared" si="4"/>
        <v>331SNCERAWZ3425E</v>
      </c>
    </row>
    <row r="112" spans="1:41" ht="15" customHeight="1" x14ac:dyDescent="0.15">
      <c r="A112" s="83">
        <v>333</v>
      </c>
      <c r="B112" s="92">
        <v>276</v>
      </c>
      <c r="C112" s="92">
        <v>3621</v>
      </c>
      <c r="D112" s="92" t="s">
        <v>57</v>
      </c>
      <c r="E112" s="92" t="s">
        <v>2043</v>
      </c>
      <c r="F112" s="92" t="s">
        <v>210</v>
      </c>
      <c r="G112" s="92" t="str">
        <f t="shared" si="5"/>
        <v>330SNCERAWZS</v>
      </c>
      <c r="H112" s="92" t="s">
        <v>1549</v>
      </c>
      <c r="I112" s="92" t="s">
        <v>1550</v>
      </c>
      <c r="J112" s="92" t="s">
        <v>21</v>
      </c>
      <c r="K112" s="92" t="s">
        <v>1568</v>
      </c>
      <c r="L112" s="92" t="s">
        <v>121</v>
      </c>
      <c r="M112" s="92" t="str">
        <f t="shared" si="6"/>
        <v>330SNCERAWZS251158</v>
      </c>
      <c r="N112" s="92" t="str">
        <f t="shared" si="7"/>
        <v>330SNCERAWZS251150</v>
      </c>
      <c r="O112" s="93">
        <v>25</v>
      </c>
      <c r="P112" s="92">
        <v>330</v>
      </c>
      <c r="Q112" s="92" t="s">
        <v>78</v>
      </c>
      <c r="R112" s="93">
        <v>1158</v>
      </c>
      <c r="S112" s="93">
        <v>12500</v>
      </c>
      <c r="T112" s="93">
        <v>1155</v>
      </c>
      <c r="U112" s="93">
        <v>1150</v>
      </c>
      <c r="V112" s="93">
        <v>4200</v>
      </c>
      <c r="W112" s="84">
        <v>2</v>
      </c>
      <c r="X112" s="85" t="s">
        <v>14</v>
      </c>
      <c r="Y112" s="86" t="s">
        <v>25</v>
      </c>
      <c r="Z112" s="87">
        <v>6</v>
      </c>
      <c r="AA112" s="88" t="s">
        <v>24</v>
      </c>
      <c r="AB112" s="89">
        <v>1170</v>
      </c>
      <c r="AC112" s="86">
        <v>6</v>
      </c>
      <c r="AD112" s="88" t="s">
        <v>266</v>
      </c>
      <c r="AE112" s="89">
        <v>1170</v>
      </c>
      <c r="AF112" s="86"/>
      <c r="AG112" s="88"/>
      <c r="AH112" s="89"/>
      <c r="AI112" s="86"/>
      <c r="AJ112" s="88"/>
      <c r="AK112" s="89"/>
      <c r="AL112" s="90"/>
      <c r="AM112" s="91"/>
      <c r="AN112" s="91" t="s">
        <v>474</v>
      </c>
      <c r="AO112" s="243" t="str">
        <f t="shared" si="4"/>
        <v>330SNCERAWZS25</v>
      </c>
    </row>
    <row r="113" spans="1:41" ht="15" customHeight="1" thickBot="1" x14ac:dyDescent="0.2">
      <c r="A113" s="97">
        <v>333</v>
      </c>
      <c r="B113" s="98">
        <v>276</v>
      </c>
      <c r="C113" s="98">
        <v>3621</v>
      </c>
      <c r="D113" s="98" t="s">
        <v>57</v>
      </c>
      <c r="E113" s="98" t="s">
        <v>2043</v>
      </c>
      <c r="F113" s="98" t="s">
        <v>210</v>
      </c>
      <c r="G113" s="98" t="str">
        <f t="shared" si="5"/>
        <v>331SNCERAWZS</v>
      </c>
      <c r="H113" s="98" t="s">
        <v>1549</v>
      </c>
      <c r="I113" s="98" t="s">
        <v>1550</v>
      </c>
      <c r="J113" s="98" t="s">
        <v>21</v>
      </c>
      <c r="K113" s="98" t="s">
        <v>1568</v>
      </c>
      <c r="L113" s="98" t="s">
        <v>121</v>
      </c>
      <c r="M113" s="98" t="str">
        <f t="shared" si="6"/>
        <v>331SNCERAWZS251428</v>
      </c>
      <c r="N113" s="98" t="str">
        <f t="shared" si="7"/>
        <v>331SNCERAWZS251420</v>
      </c>
      <c r="O113" s="99">
        <v>25</v>
      </c>
      <c r="P113" s="98">
        <v>331</v>
      </c>
      <c r="Q113" s="98" t="s">
        <v>78</v>
      </c>
      <c r="R113" s="99">
        <v>1428</v>
      </c>
      <c r="S113" s="99">
        <v>12500</v>
      </c>
      <c r="T113" s="99">
        <v>1425</v>
      </c>
      <c r="U113" s="99">
        <v>1420</v>
      </c>
      <c r="V113" s="99">
        <v>12400</v>
      </c>
      <c r="W113" s="100">
        <v>2</v>
      </c>
      <c r="X113" s="101" t="s">
        <v>14</v>
      </c>
      <c r="Y113" s="102" t="s">
        <v>25</v>
      </c>
      <c r="Z113" s="103">
        <v>6</v>
      </c>
      <c r="AA113" s="104" t="s">
        <v>24</v>
      </c>
      <c r="AB113" s="105">
        <v>1500</v>
      </c>
      <c r="AC113" s="102">
        <v>6</v>
      </c>
      <c r="AD113" s="104" t="s">
        <v>266</v>
      </c>
      <c r="AE113" s="105">
        <v>1500</v>
      </c>
      <c r="AF113" s="102"/>
      <c r="AG113" s="104"/>
      <c r="AH113" s="105"/>
      <c r="AI113" s="102"/>
      <c r="AJ113" s="104"/>
      <c r="AK113" s="105"/>
      <c r="AL113" s="106"/>
      <c r="AM113" s="107"/>
      <c r="AN113" s="107" t="s">
        <v>474</v>
      </c>
      <c r="AO113" s="244" t="str">
        <f t="shared" si="4"/>
        <v>331SNCERAWZS25</v>
      </c>
    </row>
    <row r="114" spans="1:41" ht="15" customHeight="1" x14ac:dyDescent="0.15">
      <c r="A114" s="108">
        <v>333</v>
      </c>
      <c r="B114" s="109">
        <v>272</v>
      </c>
      <c r="C114" s="109">
        <v>3122</v>
      </c>
      <c r="D114" s="109" t="s">
        <v>131</v>
      </c>
      <c r="E114" s="109" t="s">
        <v>45</v>
      </c>
      <c r="F114" s="109" t="s">
        <v>46</v>
      </c>
      <c r="G114" s="109" t="str">
        <f t="shared" si="5"/>
        <v>3SNCERANSHP2UDF</v>
      </c>
      <c r="H114" s="109" t="s">
        <v>19</v>
      </c>
      <c r="I114" s="109" t="s">
        <v>20</v>
      </c>
      <c r="J114" s="109" t="s">
        <v>132</v>
      </c>
      <c r="K114" s="109" t="s">
        <v>133</v>
      </c>
      <c r="L114" s="109" t="s">
        <v>134</v>
      </c>
      <c r="M114" s="109" t="str">
        <f t="shared" si="6"/>
        <v>3SNCERANSHP2UDF751230</v>
      </c>
      <c r="N114" s="109" t="str">
        <f t="shared" si="7"/>
        <v>3SNCERANSHP2UDF75600</v>
      </c>
      <c r="O114" s="110">
        <v>75</v>
      </c>
      <c r="P114" s="109">
        <v>3</v>
      </c>
      <c r="Q114" s="109" t="s">
        <v>135</v>
      </c>
      <c r="R114" s="110">
        <v>1230</v>
      </c>
      <c r="S114" s="110">
        <v>2100</v>
      </c>
      <c r="T114" s="110">
        <v>600</v>
      </c>
      <c r="U114" s="110">
        <v>600</v>
      </c>
      <c r="V114" s="110">
        <v>600</v>
      </c>
      <c r="W114" s="111">
        <v>2</v>
      </c>
      <c r="X114" s="112" t="s">
        <v>136</v>
      </c>
      <c r="Y114" s="113" t="s">
        <v>295</v>
      </c>
      <c r="Z114" s="114">
        <v>6</v>
      </c>
      <c r="AA114" s="115" t="s">
        <v>24</v>
      </c>
      <c r="AB114" s="116">
        <v>1450</v>
      </c>
      <c r="AC114" s="113">
        <v>3</v>
      </c>
      <c r="AD114" s="115" t="s">
        <v>39</v>
      </c>
      <c r="AE114" s="116">
        <v>605</v>
      </c>
      <c r="AF114" s="113"/>
      <c r="AG114" s="115"/>
      <c r="AH114" s="116"/>
      <c r="AI114" s="113"/>
      <c r="AJ114" s="115"/>
      <c r="AK114" s="116"/>
      <c r="AL114" s="117"/>
      <c r="AM114" s="118"/>
      <c r="AN114" s="118" t="s">
        <v>471</v>
      </c>
      <c r="AO114" s="307" t="str">
        <f t="shared" si="4"/>
        <v>3SNCERANSHP2UDF75</v>
      </c>
    </row>
    <row r="115" spans="1:41" ht="15" customHeight="1" thickBot="1" x14ac:dyDescent="0.2">
      <c r="A115" s="119">
        <v>333</v>
      </c>
      <c r="B115" s="94">
        <v>277</v>
      </c>
      <c r="C115" s="94">
        <v>38474</v>
      </c>
      <c r="D115" s="94" t="s">
        <v>137</v>
      </c>
      <c r="E115" s="94" t="s">
        <v>138</v>
      </c>
      <c r="F115" s="94" t="s">
        <v>12</v>
      </c>
      <c r="G115" s="94" t="str">
        <f t="shared" si="5"/>
        <v>3SNCERANSPJ27103</v>
      </c>
      <c r="H115" s="94" t="s">
        <v>19</v>
      </c>
      <c r="I115" s="94" t="s">
        <v>20</v>
      </c>
      <c r="J115" s="94" t="s">
        <v>132</v>
      </c>
      <c r="K115" s="94" t="s">
        <v>139</v>
      </c>
      <c r="L115" s="94" t="s">
        <v>140</v>
      </c>
      <c r="M115" s="94" t="str">
        <f t="shared" si="6"/>
        <v>3SNCERANSPJ27103251580</v>
      </c>
      <c r="N115" s="94" t="str">
        <f t="shared" si="7"/>
        <v>3SNCERANSPJ27103251575</v>
      </c>
      <c r="O115" s="120">
        <v>25</v>
      </c>
      <c r="P115" s="94">
        <v>3</v>
      </c>
      <c r="Q115" s="94" t="s">
        <v>141</v>
      </c>
      <c r="R115" s="120">
        <v>1580</v>
      </c>
      <c r="S115" s="120">
        <v>12300</v>
      </c>
      <c r="T115" s="120">
        <v>1575</v>
      </c>
      <c r="U115" s="120">
        <v>1575</v>
      </c>
      <c r="V115" s="120">
        <v>12000</v>
      </c>
      <c r="W115" s="121">
        <v>2</v>
      </c>
      <c r="X115" s="122" t="s">
        <v>142</v>
      </c>
      <c r="Y115" s="123" t="s">
        <v>15</v>
      </c>
      <c r="Z115" s="124">
        <v>6</v>
      </c>
      <c r="AA115" s="125" t="s">
        <v>24</v>
      </c>
      <c r="AB115" s="126">
        <v>1640</v>
      </c>
      <c r="AC115" s="123"/>
      <c r="AD115" s="125"/>
      <c r="AE115" s="126"/>
      <c r="AF115" s="123"/>
      <c r="AG115" s="125"/>
      <c r="AH115" s="126"/>
      <c r="AI115" s="123"/>
      <c r="AJ115" s="125"/>
      <c r="AK115" s="126"/>
      <c r="AL115" s="127"/>
      <c r="AM115" s="128"/>
      <c r="AN115" s="128" t="s">
        <v>471</v>
      </c>
      <c r="AO115" s="244" t="str">
        <f t="shared" si="4"/>
        <v>3SNCERANSPJ2710325</v>
      </c>
    </row>
    <row r="116" spans="1:41" ht="15" customHeight="1" x14ac:dyDescent="0.15">
      <c r="A116" s="72">
        <v>333</v>
      </c>
      <c r="B116" s="73">
        <v>275</v>
      </c>
      <c r="C116" s="73">
        <v>5174</v>
      </c>
      <c r="D116" s="73" t="s">
        <v>116</v>
      </c>
      <c r="E116" s="73" t="s">
        <v>117</v>
      </c>
      <c r="F116" s="73" t="s">
        <v>2047</v>
      </c>
      <c r="G116" s="73" t="str">
        <f t="shared" si="5"/>
        <v>3SNCLBE20V</v>
      </c>
      <c r="H116" s="73" t="s">
        <v>19</v>
      </c>
      <c r="I116" s="73" t="s">
        <v>20</v>
      </c>
      <c r="J116" s="73" t="s">
        <v>143</v>
      </c>
      <c r="K116" s="73" t="s">
        <v>144</v>
      </c>
      <c r="L116" s="73" t="s">
        <v>145</v>
      </c>
      <c r="M116" s="73" t="str">
        <f t="shared" si="6"/>
        <v>3SNCLBE20V381005</v>
      </c>
      <c r="N116" s="73" t="str">
        <f t="shared" si="7"/>
        <v>3SNCLBE20V381000</v>
      </c>
      <c r="O116" s="74">
        <v>38</v>
      </c>
      <c r="P116" s="73">
        <v>3</v>
      </c>
      <c r="Q116" s="73" t="s">
        <v>146</v>
      </c>
      <c r="R116" s="74">
        <v>1005</v>
      </c>
      <c r="S116" s="74">
        <v>4000</v>
      </c>
      <c r="T116" s="74">
        <v>1005</v>
      </c>
      <c r="U116" s="74">
        <v>1000</v>
      </c>
      <c r="V116" s="74">
        <v>4000</v>
      </c>
      <c r="W116" s="75">
        <v>2</v>
      </c>
      <c r="X116" s="76" t="s">
        <v>136</v>
      </c>
      <c r="Y116" s="77" t="s">
        <v>15</v>
      </c>
      <c r="Z116" s="78">
        <v>6</v>
      </c>
      <c r="AA116" s="79" t="s">
        <v>147</v>
      </c>
      <c r="AB116" s="80">
        <v>1015</v>
      </c>
      <c r="AC116" s="77"/>
      <c r="AD116" s="79"/>
      <c r="AE116" s="80"/>
      <c r="AF116" s="77"/>
      <c r="AG116" s="79"/>
      <c r="AH116" s="80"/>
      <c r="AI116" s="77"/>
      <c r="AJ116" s="79"/>
      <c r="AK116" s="80"/>
      <c r="AL116" s="81"/>
      <c r="AM116" s="82" t="s">
        <v>501</v>
      </c>
      <c r="AN116" s="201" t="s">
        <v>471</v>
      </c>
      <c r="AO116" s="245" t="str">
        <f t="shared" si="4"/>
        <v>3SNCLBE20V38</v>
      </c>
    </row>
    <row r="117" spans="1:41" ht="15" customHeight="1" x14ac:dyDescent="0.15">
      <c r="A117" s="83">
        <v>333</v>
      </c>
      <c r="B117" s="92">
        <v>275</v>
      </c>
      <c r="C117" s="92">
        <v>5174</v>
      </c>
      <c r="D117" s="92" t="s">
        <v>116</v>
      </c>
      <c r="E117" s="92" t="s">
        <v>117</v>
      </c>
      <c r="F117" s="92" t="s">
        <v>2047</v>
      </c>
      <c r="G117" s="92" t="str">
        <f t="shared" si="5"/>
        <v>3SNCLBE20V</v>
      </c>
      <c r="H117" s="92" t="s">
        <v>19</v>
      </c>
      <c r="I117" s="92" t="s">
        <v>20</v>
      </c>
      <c r="J117" s="92" t="s">
        <v>143</v>
      </c>
      <c r="K117" s="92" t="s">
        <v>144</v>
      </c>
      <c r="L117" s="92" t="s">
        <v>145</v>
      </c>
      <c r="M117" s="92" t="str">
        <f t="shared" si="6"/>
        <v>3SNCLBE20V501002</v>
      </c>
      <c r="N117" s="92" t="str">
        <f t="shared" si="7"/>
        <v>3SNCLBE20V501000</v>
      </c>
      <c r="O117" s="93">
        <v>50</v>
      </c>
      <c r="P117" s="92">
        <v>3</v>
      </c>
      <c r="Q117" s="92" t="s">
        <v>146</v>
      </c>
      <c r="R117" s="93">
        <v>1002</v>
      </c>
      <c r="S117" s="93">
        <v>4000</v>
      </c>
      <c r="T117" s="93">
        <v>1002</v>
      </c>
      <c r="U117" s="93">
        <v>1000</v>
      </c>
      <c r="V117" s="93">
        <v>4000</v>
      </c>
      <c r="W117" s="84">
        <v>2</v>
      </c>
      <c r="X117" s="85" t="s">
        <v>136</v>
      </c>
      <c r="Y117" s="86" t="s">
        <v>15</v>
      </c>
      <c r="Z117" s="87">
        <v>6</v>
      </c>
      <c r="AA117" s="88" t="s">
        <v>147</v>
      </c>
      <c r="AB117" s="89">
        <v>1015</v>
      </c>
      <c r="AC117" s="86"/>
      <c r="AD117" s="88"/>
      <c r="AE117" s="89"/>
      <c r="AF117" s="86"/>
      <c r="AG117" s="88"/>
      <c r="AH117" s="89"/>
      <c r="AI117" s="86"/>
      <c r="AJ117" s="88"/>
      <c r="AK117" s="89"/>
      <c r="AL117" s="90"/>
      <c r="AM117" s="91" t="s">
        <v>501</v>
      </c>
      <c r="AN117" s="91" t="s">
        <v>471</v>
      </c>
      <c r="AO117" s="243" t="str">
        <f t="shared" si="4"/>
        <v>3SNCLBE20V50</v>
      </c>
    </row>
    <row r="118" spans="1:41" ht="15" customHeight="1" x14ac:dyDescent="0.15">
      <c r="A118" s="83">
        <v>333</v>
      </c>
      <c r="B118" s="92">
        <v>275</v>
      </c>
      <c r="C118" s="92">
        <v>5174</v>
      </c>
      <c r="D118" s="92" t="s">
        <v>116</v>
      </c>
      <c r="E118" s="92" t="s">
        <v>117</v>
      </c>
      <c r="F118" s="92" t="s">
        <v>2047</v>
      </c>
      <c r="G118" s="92" t="str">
        <f t="shared" si="5"/>
        <v>3SNCLBE20V</v>
      </c>
      <c r="H118" s="92" t="s">
        <v>19</v>
      </c>
      <c r="I118" s="92" t="s">
        <v>20</v>
      </c>
      <c r="J118" s="92" t="s">
        <v>143</v>
      </c>
      <c r="K118" s="92" t="s">
        <v>144</v>
      </c>
      <c r="L118" s="92" t="s">
        <v>145</v>
      </c>
      <c r="M118" s="92" t="str">
        <f t="shared" si="6"/>
        <v>3SNCLBE20V501002</v>
      </c>
      <c r="N118" s="92" t="str">
        <f t="shared" si="7"/>
        <v>3SNCLBE20V501000</v>
      </c>
      <c r="O118" s="93">
        <v>50</v>
      </c>
      <c r="P118" s="92">
        <v>3</v>
      </c>
      <c r="Q118" s="92" t="s">
        <v>146</v>
      </c>
      <c r="R118" s="93">
        <v>1002</v>
      </c>
      <c r="S118" s="93">
        <v>4000</v>
      </c>
      <c r="T118" s="93">
        <v>1005</v>
      </c>
      <c r="U118" s="93">
        <v>1000</v>
      </c>
      <c r="V118" s="93">
        <v>4000</v>
      </c>
      <c r="W118" s="84">
        <v>2</v>
      </c>
      <c r="X118" s="85" t="s">
        <v>136</v>
      </c>
      <c r="Y118" s="86" t="s">
        <v>15</v>
      </c>
      <c r="Z118" s="87">
        <v>6</v>
      </c>
      <c r="AA118" s="88" t="s">
        <v>147</v>
      </c>
      <c r="AB118" s="89">
        <v>1015</v>
      </c>
      <c r="AC118" s="86"/>
      <c r="AD118" s="88"/>
      <c r="AE118" s="89"/>
      <c r="AF118" s="86"/>
      <c r="AG118" s="88"/>
      <c r="AH118" s="89"/>
      <c r="AI118" s="86"/>
      <c r="AJ118" s="88"/>
      <c r="AK118" s="89"/>
      <c r="AL118" s="90"/>
      <c r="AM118" s="91" t="s">
        <v>501</v>
      </c>
      <c r="AN118" s="91" t="s">
        <v>471</v>
      </c>
      <c r="AO118" s="243" t="str">
        <f t="shared" si="4"/>
        <v>3SNCLBE20V50</v>
      </c>
    </row>
    <row r="119" spans="1:41" ht="15" customHeight="1" x14ac:dyDescent="0.15">
      <c r="A119" s="83">
        <v>333</v>
      </c>
      <c r="B119" s="92">
        <v>275</v>
      </c>
      <c r="C119" s="92">
        <v>5174</v>
      </c>
      <c r="D119" s="92" t="s">
        <v>116</v>
      </c>
      <c r="E119" s="92" t="s">
        <v>117</v>
      </c>
      <c r="F119" s="92" t="s">
        <v>2047</v>
      </c>
      <c r="G119" s="92" t="str">
        <f t="shared" si="5"/>
        <v>3SNCLBE20V</v>
      </c>
      <c r="H119" s="92" t="s">
        <v>19</v>
      </c>
      <c r="I119" s="92" t="s">
        <v>20</v>
      </c>
      <c r="J119" s="92" t="s">
        <v>143</v>
      </c>
      <c r="K119" s="92" t="s">
        <v>144</v>
      </c>
      <c r="L119" s="92" t="s">
        <v>145</v>
      </c>
      <c r="M119" s="92" t="str">
        <f t="shared" si="6"/>
        <v>3SNCLBE20V751002</v>
      </c>
      <c r="N119" s="92" t="str">
        <f t="shared" si="7"/>
        <v>3SNCLBE20V751000</v>
      </c>
      <c r="O119" s="93">
        <v>75</v>
      </c>
      <c r="P119" s="92">
        <v>3</v>
      </c>
      <c r="Q119" s="92" t="s">
        <v>146</v>
      </c>
      <c r="R119" s="93">
        <v>1002</v>
      </c>
      <c r="S119" s="93">
        <v>3000</v>
      </c>
      <c r="T119" s="93">
        <v>1002</v>
      </c>
      <c r="U119" s="93">
        <v>1000</v>
      </c>
      <c r="V119" s="93">
        <v>3000</v>
      </c>
      <c r="W119" s="84">
        <v>2</v>
      </c>
      <c r="X119" s="85" t="s">
        <v>136</v>
      </c>
      <c r="Y119" s="86" t="s">
        <v>15</v>
      </c>
      <c r="Z119" s="87">
        <v>6</v>
      </c>
      <c r="AA119" s="88" t="s">
        <v>147</v>
      </c>
      <c r="AB119" s="89">
        <v>1015</v>
      </c>
      <c r="AC119" s="86"/>
      <c r="AD119" s="88"/>
      <c r="AE119" s="89"/>
      <c r="AF119" s="86"/>
      <c r="AG119" s="88"/>
      <c r="AH119" s="89"/>
      <c r="AI119" s="86"/>
      <c r="AJ119" s="88"/>
      <c r="AK119" s="89"/>
      <c r="AL119" s="90"/>
      <c r="AM119" s="91" t="s">
        <v>501</v>
      </c>
      <c r="AN119" s="91" t="s">
        <v>471</v>
      </c>
      <c r="AO119" s="243" t="str">
        <f t="shared" si="4"/>
        <v>3SNCLBE20V75</v>
      </c>
    </row>
    <row r="120" spans="1:41" ht="15" customHeight="1" x14ac:dyDescent="0.15">
      <c r="A120" s="83">
        <v>333</v>
      </c>
      <c r="B120" s="92">
        <v>275</v>
      </c>
      <c r="C120" s="92">
        <v>5174</v>
      </c>
      <c r="D120" s="92" t="s">
        <v>116</v>
      </c>
      <c r="E120" s="92" t="s">
        <v>117</v>
      </c>
      <c r="F120" s="92" t="s">
        <v>2047</v>
      </c>
      <c r="G120" s="92" t="str">
        <f t="shared" si="5"/>
        <v>3SNCLBE20V</v>
      </c>
      <c r="H120" s="92" t="s">
        <v>19</v>
      </c>
      <c r="I120" s="92" t="s">
        <v>20</v>
      </c>
      <c r="J120" s="92" t="s">
        <v>143</v>
      </c>
      <c r="K120" s="92" t="s">
        <v>144</v>
      </c>
      <c r="L120" s="92" t="s">
        <v>145</v>
      </c>
      <c r="M120" s="92" t="str">
        <f t="shared" si="6"/>
        <v>3SNCLBE20V751002</v>
      </c>
      <c r="N120" s="92" t="str">
        <f t="shared" si="7"/>
        <v>3SNCLBE20V751000</v>
      </c>
      <c r="O120" s="93">
        <v>75</v>
      </c>
      <c r="P120" s="92">
        <v>3</v>
      </c>
      <c r="Q120" s="92" t="s">
        <v>146</v>
      </c>
      <c r="R120" s="93">
        <v>1002</v>
      </c>
      <c r="S120" s="93">
        <v>3000</v>
      </c>
      <c r="T120" s="93">
        <v>1005</v>
      </c>
      <c r="U120" s="93">
        <v>1000</v>
      </c>
      <c r="V120" s="93">
        <v>3000</v>
      </c>
      <c r="W120" s="84">
        <v>2</v>
      </c>
      <c r="X120" s="85" t="s">
        <v>136</v>
      </c>
      <c r="Y120" s="86" t="s">
        <v>15</v>
      </c>
      <c r="Z120" s="87">
        <v>6</v>
      </c>
      <c r="AA120" s="88" t="s">
        <v>147</v>
      </c>
      <c r="AB120" s="89">
        <v>1015</v>
      </c>
      <c r="AC120" s="86"/>
      <c r="AD120" s="88"/>
      <c r="AE120" s="89"/>
      <c r="AF120" s="86"/>
      <c r="AG120" s="88"/>
      <c r="AH120" s="89"/>
      <c r="AI120" s="86"/>
      <c r="AJ120" s="88"/>
      <c r="AK120" s="89"/>
      <c r="AL120" s="90"/>
      <c r="AM120" s="91" t="s">
        <v>501</v>
      </c>
      <c r="AN120" s="91" t="s">
        <v>471</v>
      </c>
      <c r="AO120" s="243" t="str">
        <f t="shared" si="4"/>
        <v>3SNCLBE20V75</v>
      </c>
    </row>
    <row r="121" spans="1:41" ht="15" customHeight="1" x14ac:dyDescent="0.15">
      <c r="A121" s="83">
        <v>333</v>
      </c>
      <c r="B121" s="92">
        <v>275</v>
      </c>
      <c r="C121" s="92">
        <v>5174</v>
      </c>
      <c r="D121" s="92" t="s">
        <v>116</v>
      </c>
      <c r="E121" s="92" t="s">
        <v>117</v>
      </c>
      <c r="F121" s="92" t="s">
        <v>2047</v>
      </c>
      <c r="G121" s="92" t="str">
        <f t="shared" si="5"/>
        <v>3SNCLBE20V</v>
      </c>
      <c r="H121" s="92" t="s">
        <v>19</v>
      </c>
      <c r="I121" s="92" t="s">
        <v>20</v>
      </c>
      <c r="J121" s="92" t="s">
        <v>143</v>
      </c>
      <c r="K121" s="92" t="s">
        <v>144</v>
      </c>
      <c r="L121" s="92" t="s">
        <v>145</v>
      </c>
      <c r="M121" s="92" t="str">
        <f t="shared" si="6"/>
        <v>3SNCLBE20V1001005</v>
      </c>
      <c r="N121" s="92" t="str">
        <f t="shared" si="7"/>
        <v>3SNCLBE20V1001000</v>
      </c>
      <c r="O121" s="93">
        <v>100</v>
      </c>
      <c r="P121" s="92">
        <v>3</v>
      </c>
      <c r="Q121" s="92" t="s">
        <v>146</v>
      </c>
      <c r="R121" s="93">
        <v>1005</v>
      </c>
      <c r="S121" s="93">
        <v>2000</v>
      </c>
      <c r="T121" s="93">
        <v>1005</v>
      </c>
      <c r="U121" s="93">
        <v>1000</v>
      </c>
      <c r="V121" s="93">
        <v>2000</v>
      </c>
      <c r="W121" s="84">
        <v>2</v>
      </c>
      <c r="X121" s="85" t="s">
        <v>136</v>
      </c>
      <c r="Y121" s="86" t="s">
        <v>15</v>
      </c>
      <c r="Z121" s="87">
        <v>6</v>
      </c>
      <c r="AA121" s="88" t="s">
        <v>147</v>
      </c>
      <c r="AB121" s="89">
        <v>1015</v>
      </c>
      <c r="AC121" s="86"/>
      <c r="AD121" s="88"/>
      <c r="AE121" s="89"/>
      <c r="AF121" s="86"/>
      <c r="AG121" s="88"/>
      <c r="AH121" s="89"/>
      <c r="AI121" s="86"/>
      <c r="AJ121" s="88"/>
      <c r="AK121" s="89"/>
      <c r="AL121" s="90"/>
      <c r="AM121" s="91" t="s">
        <v>501</v>
      </c>
      <c r="AN121" s="91" t="s">
        <v>471</v>
      </c>
      <c r="AO121" s="243" t="str">
        <f t="shared" si="4"/>
        <v>3SNCLBE20V100</v>
      </c>
    </row>
    <row r="122" spans="1:41" ht="15" customHeight="1" x14ac:dyDescent="0.15">
      <c r="A122" s="83">
        <v>333</v>
      </c>
      <c r="B122" s="92">
        <v>276</v>
      </c>
      <c r="C122" s="92">
        <v>33042</v>
      </c>
      <c r="D122" s="92" t="s">
        <v>148</v>
      </c>
      <c r="E122" s="92" t="s">
        <v>58</v>
      </c>
      <c r="F122" s="92" t="s">
        <v>46</v>
      </c>
      <c r="G122" s="92" t="str">
        <f t="shared" si="5"/>
        <v>3SNCLBLEYK</v>
      </c>
      <c r="H122" s="92" t="s">
        <v>19</v>
      </c>
      <c r="I122" s="92" t="s">
        <v>20</v>
      </c>
      <c r="J122" s="92" t="s">
        <v>143</v>
      </c>
      <c r="K122" s="92" t="s">
        <v>149</v>
      </c>
      <c r="L122" s="92" t="s">
        <v>150</v>
      </c>
      <c r="M122" s="92" t="str">
        <f t="shared" si="6"/>
        <v>3SNCLBLEYK251120</v>
      </c>
      <c r="N122" s="92" t="str">
        <f t="shared" si="7"/>
        <v>3SNCLBLEYK251120</v>
      </c>
      <c r="O122" s="93">
        <v>25</v>
      </c>
      <c r="P122" s="92">
        <v>3</v>
      </c>
      <c r="Q122" s="92" t="s">
        <v>151</v>
      </c>
      <c r="R122" s="93">
        <v>1120</v>
      </c>
      <c r="S122" s="93">
        <v>12100</v>
      </c>
      <c r="T122" s="93">
        <v>1120</v>
      </c>
      <c r="U122" s="93">
        <v>1120</v>
      </c>
      <c r="V122" s="93">
        <v>6000</v>
      </c>
      <c r="W122" s="84">
        <v>2</v>
      </c>
      <c r="X122" s="85" t="s">
        <v>136</v>
      </c>
      <c r="Y122" s="86" t="s">
        <v>1997</v>
      </c>
      <c r="Z122" s="87">
        <v>6</v>
      </c>
      <c r="AA122" s="88" t="s">
        <v>24</v>
      </c>
      <c r="AB122" s="89">
        <v>1450</v>
      </c>
      <c r="AC122" s="86">
        <v>6</v>
      </c>
      <c r="AD122" s="88" t="s">
        <v>147</v>
      </c>
      <c r="AE122" s="89">
        <v>1140</v>
      </c>
      <c r="AF122" s="86"/>
      <c r="AG122" s="88"/>
      <c r="AH122" s="89"/>
      <c r="AI122" s="86"/>
      <c r="AJ122" s="88"/>
      <c r="AK122" s="89"/>
      <c r="AL122" s="90"/>
      <c r="AM122" s="91"/>
      <c r="AN122" s="91" t="s">
        <v>476</v>
      </c>
      <c r="AO122" s="243" t="str">
        <f t="shared" si="4"/>
        <v>3SNCLBLEYK25</v>
      </c>
    </row>
    <row r="123" spans="1:41" ht="15" customHeight="1" x14ac:dyDescent="0.15">
      <c r="A123" s="83">
        <v>333</v>
      </c>
      <c r="B123" s="92">
        <v>276</v>
      </c>
      <c r="C123" s="92">
        <v>33042</v>
      </c>
      <c r="D123" s="92" t="s">
        <v>148</v>
      </c>
      <c r="E123" s="92" t="s">
        <v>58</v>
      </c>
      <c r="F123" s="92" t="s">
        <v>46</v>
      </c>
      <c r="G123" s="92" t="str">
        <f t="shared" si="5"/>
        <v>3SNCLBLEYK</v>
      </c>
      <c r="H123" s="92" t="s">
        <v>19</v>
      </c>
      <c r="I123" s="92" t="s">
        <v>20</v>
      </c>
      <c r="J123" s="92" t="s">
        <v>143</v>
      </c>
      <c r="K123" s="92" t="s">
        <v>149</v>
      </c>
      <c r="L123" s="92" t="s">
        <v>150</v>
      </c>
      <c r="M123" s="92" t="str">
        <f t="shared" si="6"/>
        <v>3SNCLBLEYK251125</v>
      </c>
      <c r="N123" s="92" t="str">
        <f t="shared" si="7"/>
        <v>3SNCLBLEYK251120</v>
      </c>
      <c r="O123" s="93">
        <v>25</v>
      </c>
      <c r="P123" s="92">
        <v>3</v>
      </c>
      <c r="Q123" s="92" t="s">
        <v>151</v>
      </c>
      <c r="R123" s="93">
        <v>1125</v>
      </c>
      <c r="S123" s="93">
        <v>12100</v>
      </c>
      <c r="T123" s="93">
        <v>1120</v>
      </c>
      <c r="U123" s="93">
        <v>1120</v>
      </c>
      <c r="V123" s="93">
        <v>6000</v>
      </c>
      <c r="W123" s="84">
        <v>2</v>
      </c>
      <c r="X123" s="85" t="s">
        <v>136</v>
      </c>
      <c r="Y123" s="86" t="s">
        <v>1997</v>
      </c>
      <c r="Z123" s="87">
        <v>6</v>
      </c>
      <c r="AA123" s="88" t="s">
        <v>24</v>
      </c>
      <c r="AB123" s="89">
        <v>1450</v>
      </c>
      <c r="AC123" s="86">
        <v>6</v>
      </c>
      <c r="AD123" s="88" t="s">
        <v>147</v>
      </c>
      <c r="AE123" s="89">
        <v>1140</v>
      </c>
      <c r="AF123" s="86"/>
      <c r="AG123" s="88"/>
      <c r="AH123" s="89"/>
      <c r="AI123" s="86"/>
      <c r="AJ123" s="88"/>
      <c r="AK123" s="89"/>
      <c r="AL123" s="90"/>
      <c r="AM123" s="91"/>
      <c r="AN123" s="91" t="s">
        <v>476</v>
      </c>
      <c r="AO123" s="243" t="str">
        <f t="shared" si="4"/>
        <v>3SNCLBLEYK25</v>
      </c>
    </row>
    <row r="124" spans="1:41" ht="15" customHeight="1" x14ac:dyDescent="0.15">
      <c r="A124" s="83">
        <v>333</v>
      </c>
      <c r="B124" s="92">
        <v>276</v>
      </c>
      <c r="C124" s="92">
        <v>33042</v>
      </c>
      <c r="D124" s="92" t="s">
        <v>148</v>
      </c>
      <c r="E124" s="92" t="s">
        <v>58</v>
      </c>
      <c r="F124" s="92" t="s">
        <v>46</v>
      </c>
      <c r="G124" s="92" t="str">
        <f t="shared" si="5"/>
        <v>3XSNCLBLEYK</v>
      </c>
      <c r="H124" s="92" t="s">
        <v>19</v>
      </c>
      <c r="I124" s="92" t="s">
        <v>20</v>
      </c>
      <c r="J124" s="92" t="s">
        <v>143</v>
      </c>
      <c r="K124" s="92" t="s">
        <v>149</v>
      </c>
      <c r="L124" s="92" t="s">
        <v>150</v>
      </c>
      <c r="M124" s="92" t="str">
        <f t="shared" si="6"/>
        <v>3XSNCLBLEYK251240</v>
      </c>
      <c r="N124" s="92" t="str">
        <f t="shared" si="7"/>
        <v>3XSNCLBLEYK251120</v>
      </c>
      <c r="O124" s="93">
        <v>25</v>
      </c>
      <c r="P124" s="92" t="s">
        <v>1825</v>
      </c>
      <c r="Q124" s="92" t="s">
        <v>151</v>
      </c>
      <c r="R124" s="93">
        <v>1240</v>
      </c>
      <c r="S124" s="93">
        <v>12200</v>
      </c>
      <c r="T124" s="93">
        <v>1120</v>
      </c>
      <c r="U124" s="93">
        <v>1120</v>
      </c>
      <c r="V124" s="93">
        <v>6000</v>
      </c>
      <c r="W124" s="84">
        <v>2</v>
      </c>
      <c r="X124" s="85" t="s">
        <v>136</v>
      </c>
      <c r="Y124" s="86" t="s">
        <v>1997</v>
      </c>
      <c r="Z124" s="87">
        <v>6</v>
      </c>
      <c r="AA124" s="88" t="s">
        <v>24</v>
      </c>
      <c r="AB124" s="89">
        <v>1450</v>
      </c>
      <c r="AC124" s="86">
        <v>6</v>
      </c>
      <c r="AD124" s="88" t="s">
        <v>147</v>
      </c>
      <c r="AE124" s="89">
        <v>1140</v>
      </c>
      <c r="AF124" s="86"/>
      <c r="AG124" s="88"/>
      <c r="AH124" s="89"/>
      <c r="AI124" s="86"/>
      <c r="AJ124" s="88"/>
      <c r="AK124" s="89"/>
      <c r="AL124" s="90"/>
      <c r="AM124" s="91"/>
      <c r="AN124" s="91" t="s">
        <v>476</v>
      </c>
      <c r="AO124" s="243" t="str">
        <f t="shared" si="4"/>
        <v>3XSNCLBLEYK25</v>
      </c>
    </row>
    <row r="125" spans="1:41" ht="15" customHeight="1" x14ac:dyDescent="0.15">
      <c r="A125" s="83">
        <v>333</v>
      </c>
      <c r="B125" s="92">
        <v>275</v>
      </c>
      <c r="C125" s="92">
        <v>2042</v>
      </c>
      <c r="D125" s="92" t="s">
        <v>500</v>
      </c>
      <c r="E125" s="92" t="s">
        <v>2048</v>
      </c>
      <c r="F125" s="92" t="s">
        <v>46</v>
      </c>
      <c r="G125" s="92" t="str">
        <f t="shared" si="5"/>
        <v>3SNCLBLEYK</v>
      </c>
      <c r="H125" s="92" t="s">
        <v>19</v>
      </c>
      <c r="I125" s="92" t="s">
        <v>20</v>
      </c>
      <c r="J125" s="92" t="s">
        <v>143</v>
      </c>
      <c r="K125" s="92" t="s">
        <v>149</v>
      </c>
      <c r="L125" s="92" t="s">
        <v>150</v>
      </c>
      <c r="M125" s="92" t="str">
        <f t="shared" si="6"/>
        <v>3SNCLBLEYK381125</v>
      </c>
      <c r="N125" s="92" t="str">
        <f t="shared" si="7"/>
        <v>3SNCLBLEYK381120</v>
      </c>
      <c r="O125" s="93">
        <v>38</v>
      </c>
      <c r="P125" s="92">
        <v>3</v>
      </c>
      <c r="Q125" s="92" t="s">
        <v>125</v>
      </c>
      <c r="R125" s="93">
        <v>1125</v>
      </c>
      <c r="S125" s="93">
        <v>4000</v>
      </c>
      <c r="T125" s="93">
        <v>1125</v>
      </c>
      <c r="U125" s="93">
        <v>1120</v>
      </c>
      <c r="V125" s="93">
        <v>4000</v>
      </c>
      <c r="W125" s="84">
        <v>2</v>
      </c>
      <c r="X125" s="85" t="s">
        <v>136</v>
      </c>
      <c r="Y125" s="86" t="s">
        <v>1997</v>
      </c>
      <c r="Z125" s="87">
        <v>6</v>
      </c>
      <c r="AA125" s="88" t="s">
        <v>24</v>
      </c>
      <c r="AB125" s="89">
        <v>1450</v>
      </c>
      <c r="AC125" s="86">
        <v>6</v>
      </c>
      <c r="AD125" s="88" t="s">
        <v>147</v>
      </c>
      <c r="AE125" s="89">
        <v>1140</v>
      </c>
      <c r="AF125" s="86"/>
      <c r="AG125" s="88"/>
      <c r="AH125" s="89"/>
      <c r="AI125" s="86"/>
      <c r="AJ125" s="88"/>
      <c r="AK125" s="89"/>
      <c r="AL125" s="90"/>
      <c r="AM125" s="91"/>
      <c r="AN125" s="91" t="s">
        <v>476</v>
      </c>
      <c r="AO125" s="243" t="str">
        <f t="shared" si="4"/>
        <v>3SNCLBLEYK38</v>
      </c>
    </row>
    <row r="126" spans="1:41" ht="15" customHeight="1" x14ac:dyDescent="0.15">
      <c r="A126" s="83">
        <v>333</v>
      </c>
      <c r="B126" s="92">
        <v>276</v>
      </c>
      <c r="C126" s="92">
        <v>33042</v>
      </c>
      <c r="D126" s="92" t="s">
        <v>148</v>
      </c>
      <c r="E126" s="92" t="s">
        <v>58</v>
      </c>
      <c r="F126" s="92" t="s">
        <v>46</v>
      </c>
      <c r="G126" s="92" t="str">
        <f t="shared" si="5"/>
        <v>3SNCLBLEYK</v>
      </c>
      <c r="H126" s="92" t="s">
        <v>19</v>
      </c>
      <c r="I126" s="92" t="s">
        <v>20</v>
      </c>
      <c r="J126" s="92" t="s">
        <v>143</v>
      </c>
      <c r="K126" s="92" t="s">
        <v>149</v>
      </c>
      <c r="L126" s="92" t="s">
        <v>150</v>
      </c>
      <c r="M126" s="92" t="str">
        <f t="shared" si="6"/>
        <v>3SNCLBLEYK501125</v>
      </c>
      <c r="N126" s="92" t="str">
        <f t="shared" si="7"/>
        <v>3SNCLBLEYK501120</v>
      </c>
      <c r="O126" s="93">
        <v>50</v>
      </c>
      <c r="P126" s="92">
        <v>3</v>
      </c>
      <c r="Q126" s="92" t="s">
        <v>151</v>
      </c>
      <c r="R126" s="93">
        <v>1125</v>
      </c>
      <c r="S126" s="93">
        <v>6200</v>
      </c>
      <c r="T126" s="93">
        <v>1120</v>
      </c>
      <c r="U126" s="93">
        <v>1120</v>
      </c>
      <c r="V126" s="93">
        <v>6000</v>
      </c>
      <c r="W126" s="84">
        <v>2</v>
      </c>
      <c r="X126" s="85" t="s">
        <v>136</v>
      </c>
      <c r="Y126" s="86" t="s">
        <v>1997</v>
      </c>
      <c r="Z126" s="87">
        <v>6</v>
      </c>
      <c r="AA126" s="88" t="s">
        <v>24</v>
      </c>
      <c r="AB126" s="89">
        <v>1450</v>
      </c>
      <c r="AC126" s="86">
        <v>6</v>
      </c>
      <c r="AD126" s="88" t="s">
        <v>147</v>
      </c>
      <c r="AE126" s="89">
        <v>1140</v>
      </c>
      <c r="AF126" s="86"/>
      <c r="AG126" s="88"/>
      <c r="AH126" s="89"/>
      <c r="AI126" s="86"/>
      <c r="AJ126" s="88"/>
      <c r="AK126" s="89"/>
      <c r="AL126" s="90"/>
      <c r="AM126" s="91" t="s">
        <v>501</v>
      </c>
      <c r="AN126" s="91" t="s">
        <v>476</v>
      </c>
      <c r="AO126" s="243" t="str">
        <f t="shared" si="4"/>
        <v>3SNCLBLEYK50</v>
      </c>
    </row>
    <row r="127" spans="1:41" ht="15" customHeight="1" x14ac:dyDescent="0.15">
      <c r="A127" s="83">
        <v>333</v>
      </c>
      <c r="B127" s="92">
        <v>275</v>
      </c>
      <c r="C127" s="92">
        <v>5174</v>
      </c>
      <c r="D127" s="92" t="s">
        <v>116</v>
      </c>
      <c r="E127" s="92" t="s">
        <v>117</v>
      </c>
      <c r="F127" s="92" t="s">
        <v>2047</v>
      </c>
      <c r="G127" s="92" t="str">
        <f t="shared" si="5"/>
        <v>3SNCLBLMEYK</v>
      </c>
      <c r="H127" s="92" t="s">
        <v>19</v>
      </c>
      <c r="I127" s="92" t="s">
        <v>20</v>
      </c>
      <c r="J127" s="92" t="s">
        <v>143</v>
      </c>
      <c r="K127" s="92" t="s">
        <v>152</v>
      </c>
      <c r="L127" s="92" t="s">
        <v>153</v>
      </c>
      <c r="M127" s="92" t="str">
        <f t="shared" si="6"/>
        <v>3SNCLBLMEYK381005</v>
      </c>
      <c r="N127" s="92" t="str">
        <f t="shared" si="7"/>
        <v>3SNCLBLMEYK381000</v>
      </c>
      <c r="O127" s="93">
        <v>38</v>
      </c>
      <c r="P127" s="92">
        <v>3</v>
      </c>
      <c r="Q127" s="92" t="s">
        <v>154</v>
      </c>
      <c r="R127" s="93">
        <v>1005</v>
      </c>
      <c r="S127" s="93">
        <v>8000</v>
      </c>
      <c r="T127" s="93">
        <v>1005</v>
      </c>
      <c r="U127" s="93">
        <v>1000</v>
      </c>
      <c r="V127" s="93">
        <v>4000</v>
      </c>
      <c r="W127" s="84">
        <v>2</v>
      </c>
      <c r="X127" s="85" t="s">
        <v>136</v>
      </c>
      <c r="Y127" s="86" t="s">
        <v>1997</v>
      </c>
      <c r="Z127" s="87">
        <v>6</v>
      </c>
      <c r="AA127" s="88" t="s">
        <v>24</v>
      </c>
      <c r="AB127" s="89">
        <v>1450</v>
      </c>
      <c r="AC127" s="86">
        <v>3</v>
      </c>
      <c r="AD127" s="88" t="s">
        <v>1998</v>
      </c>
      <c r="AE127" s="89">
        <v>1015</v>
      </c>
      <c r="AF127" s="86"/>
      <c r="AG127" s="88"/>
      <c r="AH127" s="89"/>
      <c r="AI127" s="86"/>
      <c r="AJ127" s="88"/>
      <c r="AK127" s="89"/>
      <c r="AL127" s="90"/>
      <c r="AM127" s="91"/>
      <c r="AN127" s="91" t="s">
        <v>476</v>
      </c>
      <c r="AO127" s="243" t="str">
        <f t="shared" si="4"/>
        <v>3SNCLBLMEYK38</v>
      </c>
    </row>
    <row r="128" spans="1:41" ht="15" customHeight="1" x14ac:dyDescent="0.15">
      <c r="A128" s="83">
        <v>333</v>
      </c>
      <c r="B128" s="92">
        <v>275</v>
      </c>
      <c r="C128" s="92">
        <v>2201</v>
      </c>
      <c r="D128" s="92" t="s">
        <v>155</v>
      </c>
      <c r="E128" s="92" t="s">
        <v>117</v>
      </c>
      <c r="F128" s="92" t="s">
        <v>111</v>
      </c>
      <c r="G128" s="92" t="str">
        <f t="shared" si="5"/>
        <v>33SSNCLBLTL</v>
      </c>
      <c r="H128" s="92" t="s">
        <v>19</v>
      </c>
      <c r="I128" s="92" t="s">
        <v>20</v>
      </c>
      <c r="J128" s="92" t="s">
        <v>143</v>
      </c>
      <c r="K128" s="92" t="s">
        <v>156</v>
      </c>
      <c r="L128" s="92" t="s">
        <v>157</v>
      </c>
      <c r="M128" s="92" t="str">
        <f t="shared" si="6"/>
        <v>33SSNCLBLTL251125</v>
      </c>
      <c r="N128" s="92" t="str">
        <f t="shared" si="7"/>
        <v>33SSNCLBLTL251120</v>
      </c>
      <c r="O128" s="93">
        <v>25</v>
      </c>
      <c r="P128" s="92" t="s">
        <v>158</v>
      </c>
      <c r="Q128" s="92" t="s">
        <v>151</v>
      </c>
      <c r="R128" s="93">
        <v>1125</v>
      </c>
      <c r="S128" s="93">
        <v>12100</v>
      </c>
      <c r="T128" s="93">
        <v>1120</v>
      </c>
      <c r="U128" s="93">
        <v>1120</v>
      </c>
      <c r="V128" s="93">
        <v>12000</v>
      </c>
      <c r="W128" s="84">
        <v>2</v>
      </c>
      <c r="X128" s="85" t="s">
        <v>136</v>
      </c>
      <c r="Y128" s="86" t="s">
        <v>15</v>
      </c>
      <c r="Z128" s="87">
        <v>6</v>
      </c>
      <c r="AA128" s="88" t="s">
        <v>147</v>
      </c>
      <c r="AB128" s="89">
        <v>1140</v>
      </c>
      <c r="AC128" s="86"/>
      <c r="AD128" s="88"/>
      <c r="AE128" s="89"/>
      <c r="AF128" s="86"/>
      <c r="AG128" s="88"/>
      <c r="AH128" s="89"/>
      <c r="AI128" s="86"/>
      <c r="AJ128" s="88"/>
      <c r="AK128" s="89"/>
      <c r="AL128" s="90"/>
      <c r="AM128" s="91"/>
      <c r="AN128" s="91" t="s">
        <v>471</v>
      </c>
      <c r="AO128" s="243" t="str">
        <f t="shared" si="4"/>
        <v>33SSNCLBLTL25</v>
      </c>
    </row>
    <row r="129" spans="1:41" ht="15" customHeight="1" x14ac:dyDescent="0.15">
      <c r="A129" s="83">
        <v>333</v>
      </c>
      <c r="B129" s="92">
        <v>275</v>
      </c>
      <c r="C129" s="92">
        <v>5174</v>
      </c>
      <c r="D129" s="92" t="s">
        <v>116</v>
      </c>
      <c r="E129" s="92" t="s">
        <v>117</v>
      </c>
      <c r="F129" s="92" t="s">
        <v>2047</v>
      </c>
      <c r="G129" s="92" t="str">
        <f t="shared" si="5"/>
        <v>3SNCLBPETMV</v>
      </c>
      <c r="H129" s="92" t="s">
        <v>19</v>
      </c>
      <c r="I129" s="92" t="s">
        <v>20</v>
      </c>
      <c r="J129" s="92" t="s">
        <v>143</v>
      </c>
      <c r="K129" s="92" t="s">
        <v>159</v>
      </c>
      <c r="L129" s="92" t="s">
        <v>160</v>
      </c>
      <c r="M129" s="92" t="str">
        <f t="shared" si="6"/>
        <v>3SNCLBPETMV251005</v>
      </c>
      <c r="N129" s="92" t="str">
        <f t="shared" si="7"/>
        <v>3SNCLBPETMV251000</v>
      </c>
      <c r="O129" s="93">
        <v>25</v>
      </c>
      <c r="P129" s="92">
        <v>3</v>
      </c>
      <c r="Q129" s="92" t="s">
        <v>154</v>
      </c>
      <c r="R129" s="93">
        <v>1005</v>
      </c>
      <c r="S129" s="93">
        <v>4000</v>
      </c>
      <c r="T129" s="93">
        <v>1005</v>
      </c>
      <c r="U129" s="93">
        <v>1000</v>
      </c>
      <c r="V129" s="93">
        <v>4000</v>
      </c>
      <c r="W129" s="84">
        <v>2</v>
      </c>
      <c r="X129" s="85" t="s">
        <v>136</v>
      </c>
      <c r="Y129" s="86" t="s">
        <v>15</v>
      </c>
      <c r="Z129" s="87">
        <v>6</v>
      </c>
      <c r="AA129" s="88" t="s">
        <v>147</v>
      </c>
      <c r="AB129" s="89">
        <v>1015</v>
      </c>
      <c r="AC129" s="86"/>
      <c r="AD129" s="88"/>
      <c r="AE129" s="89"/>
      <c r="AF129" s="86"/>
      <c r="AG129" s="88"/>
      <c r="AH129" s="89"/>
      <c r="AI129" s="86"/>
      <c r="AJ129" s="88"/>
      <c r="AK129" s="89"/>
      <c r="AL129" s="90"/>
      <c r="AM129" s="91"/>
      <c r="AN129" s="91" t="s">
        <v>471</v>
      </c>
      <c r="AO129" s="243" t="str">
        <f t="shared" si="4"/>
        <v>3SNCLBPETMV25</v>
      </c>
    </row>
    <row r="130" spans="1:41" ht="15" customHeight="1" x14ac:dyDescent="0.15">
      <c r="A130" s="83">
        <v>333</v>
      </c>
      <c r="B130" s="92">
        <v>275</v>
      </c>
      <c r="C130" s="92">
        <v>5174</v>
      </c>
      <c r="D130" s="92" t="s">
        <v>116</v>
      </c>
      <c r="E130" s="92" t="s">
        <v>117</v>
      </c>
      <c r="F130" s="92" t="s">
        <v>2047</v>
      </c>
      <c r="G130" s="92" t="str">
        <f t="shared" si="5"/>
        <v>3HSNCLBPETMV</v>
      </c>
      <c r="H130" s="92" t="s">
        <v>19</v>
      </c>
      <c r="I130" s="92" t="s">
        <v>20</v>
      </c>
      <c r="J130" s="92" t="s">
        <v>143</v>
      </c>
      <c r="K130" s="92" t="s">
        <v>159</v>
      </c>
      <c r="L130" s="92" t="s">
        <v>160</v>
      </c>
      <c r="M130" s="92" t="str">
        <f t="shared" si="6"/>
        <v>3HSNCLBPETMV251005</v>
      </c>
      <c r="N130" s="92" t="str">
        <f t="shared" si="7"/>
        <v>3HSNCLBPETMV251000</v>
      </c>
      <c r="O130" s="93">
        <v>25</v>
      </c>
      <c r="P130" s="92" t="s">
        <v>468</v>
      </c>
      <c r="Q130" s="92" t="s">
        <v>154</v>
      </c>
      <c r="R130" s="93">
        <v>1005</v>
      </c>
      <c r="S130" s="93">
        <v>4000</v>
      </c>
      <c r="T130" s="93">
        <v>1005</v>
      </c>
      <c r="U130" s="93">
        <v>1000</v>
      </c>
      <c r="V130" s="93">
        <v>4000</v>
      </c>
      <c r="W130" s="84">
        <v>2</v>
      </c>
      <c r="X130" s="85" t="s">
        <v>136</v>
      </c>
      <c r="Y130" s="86" t="s">
        <v>15</v>
      </c>
      <c r="Z130" s="87">
        <v>6</v>
      </c>
      <c r="AA130" s="88" t="s">
        <v>147</v>
      </c>
      <c r="AB130" s="89">
        <v>1015</v>
      </c>
      <c r="AC130" s="86"/>
      <c r="AD130" s="88"/>
      <c r="AE130" s="89"/>
      <c r="AF130" s="86"/>
      <c r="AG130" s="88"/>
      <c r="AH130" s="89"/>
      <c r="AI130" s="86"/>
      <c r="AJ130" s="88"/>
      <c r="AK130" s="89"/>
      <c r="AL130" s="90"/>
      <c r="AM130" s="91"/>
      <c r="AN130" s="91" t="s">
        <v>471</v>
      </c>
      <c r="AO130" s="243" t="str">
        <f t="shared" si="4"/>
        <v>3HSNCLBPETMV25</v>
      </c>
    </row>
    <row r="131" spans="1:41" ht="15" customHeight="1" x14ac:dyDescent="0.15">
      <c r="A131" s="83">
        <v>333</v>
      </c>
      <c r="B131" s="92">
        <v>275</v>
      </c>
      <c r="C131" s="92">
        <v>5174</v>
      </c>
      <c r="D131" s="92" t="s">
        <v>116</v>
      </c>
      <c r="E131" s="92" t="s">
        <v>117</v>
      </c>
      <c r="F131" s="92" t="s">
        <v>2047</v>
      </c>
      <c r="G131" s="92" t="str">
        <f t="shared" si="5"/>
        <v>3SYCLBPETMV</v>
      </c>
      <c r="H131" s="92" t="s">
        <v>19</v>
      </c>
      <c r="I131" s="92" t="s">
        <v>28</v>
      </c>
      <c r="J131" s="92" t="s">
        <v>143</v>
      </c>
      <c r="K131" s="92" t="s">
        <v>159</v>
      </c>
      <c r="L131" s="92" t="s">
        <v>160</v>
      </c>
      <c r="M131" s="92" t="str">
        <f t="shared" si="6"/>
        <v>3SYCLBPETMV501005</v>
      </c>
      <c r="N131" s="92" t="str">
        <f t="shared" si="7"/>
        <v>3SYCLBPETMV501000</v>
      </c>
      <c r="O131" s="93">
        <v>50</v>
      </c>
      <c r="P131" s="92">
        <v>3</v>
      </c>
      <c r="Q131" s="92" t="s">
        <v>161</v>
      </c>
      <c r="R131" s="93">
        <v>1005</v>
      </c>
      <c r="S131" s="93">
        <v>4100</v>
      </c>
      <c r="T131" s="93">
        <v>1005</v>
      </c>
      <c r="U131" s="93">
        <v>1000</v>
      </c>
      <c r="V131" s="93">
        <v>4000</v>
      </c>
      <c r="W131" s="84">
        <v>2</v>
      </c>
      <c r="X131" s="85" t="s">
        <v>136</v>
      </c>
      <c r="Y131" s="86" t="s">
        <v>15</v>
      </c>
      <c r="Z131" s="87">
        <v>6</v>
      </c>
      <c r="AA131" s="88" t="s">
        <v>147</v>
      </c>
      <c r="AB131" s="89">
        <v>1015</v>
      </c>
      <c r="AC131" s="86"/>
      <c r="AD131" s="88"/>
      <c r="AE131" s="89"/>
      <c r="AF131" s="86"/>
      <c r="AG131" s="88"/>
      <c r="AH131" s="89"/>
      <c r="AI131" s="86"/>
      <c r="AJ131" s="88"/>
      <c r="AK131" s="89"/>
      <c r="AL131" s="90"/>
      <c r="AM131" s="91"/>
      <c r="AN131" s="91" t="s">
        <v>471</v>
      </c>
      <c r="AO131" s="243" t="str">
        <f t="shared" si="4"/>
        <v>3SYCLBPETMV50</v>
      </c>
    </row>
    <row r="132" spans="1:41" ht="15" customHeight="1" x14ac:dyDescent="0.15">
      <c r="A132" s="83">
        <v>333</v>
      </c>
      <c r="B132" s="92">
        <v>275</v>
      </c>
      <c r="C132" s="92">
        <v>39526</v>
      </c>
      <c r="D132" s="92" t="s">
        <v>162</v>
      </c>
      <c r="E132" s="92" t="s">
        <v>58</v>
      </c>
      <c r="F132" s="92" t="s">
        <v>46</v>
      </c>
      <c r="G132" s="92" t="str">
        <f t="shared" si="5"/>
        <v>3SNCLBPETTL</v>
      </c>
      <c r="H132" s="92" t="s">
        <v>19</v>
      </c>
      <c r="I132" s="92" t="s">
        <v>20</v>
      </c>
      <c r="J132" s="92" t="s">
        <v>143</v>
      </c>
      <c r="K132" s="92" t="s">
        <v>163</v>
      </c>
      <c r="L132" s="92" t="s">
        <v>164</v>
      </c>
      <c r="M132" s="92" t="str">
        <f t="shared" si="6"/>
        <v>3SNCLBPETTL381350</v>
      </c>
      <c r="N132" s="92" t="str">
        <f t="shared" si="7"/>
        <v>3SNCLBPETTL381320</v>
      </c>
      <c r="O132" s="93">
        <v>38</v>
      </c>
      <c r="P132" s="92">
        <v>3</v>
      </c>
      <c r="Q132" s="92" t="s">
        <v>109</v>
      </c>
      <c r="R132" s="93">
        <v>1350</v>
      </c>
      <c r="S132" s="93">
        <v>4400</v>
      </c>
      <c r="T132" s="93">
        <v>1320</v>
      </c>
      <c r="U132" s="93">
        <v>1320</v>
      </c>
      <c r="V132" s="93">
        <v>4200</v>
      </c>
      <c r="W132" s="84">
        <v>2</v>
      </c>
      <c r="X132" s="85" t="s">
        <v>136</v>
      </c>
      <c r="Y132" s="86" t="s">
        <v>295</v>
      </c>
      <c r="Z132" s="87">
        <v>6</v>
      </c>
      <c r="AA132" s="88" t="s">
        <v>24</v>
      </c>
      <c r="AB132" s="89">
        <v>1450</v>
      </c>
      <c r="AC132" s="86">
        <v>6</v>
      </c>
      <c r="AD132" s="88" t="s">
        <v>266</v>
      </c>
      <c r="AE132" s="89">
        <v>1450</v>
      </c>
      <c r="AF132" s="86"/>
      <c r="AG132" s="88"/>
      <c r="AH132" s="89"/>
      <c r="AI132" s="86"/>
      <c r="AJ132" s="88"/>
      <c r="AK132" s="89"/>
      <c r="AL132" s="90"/>
      <c r="AM132" s="91"/>
      <c r="AN132" s="91" t="s">
        <v>476</v>
      </c>
      <c r="AO132" s="203" t="str">
        <f t="shared" si="4"/>
        <v>3SNCLBPETTL38</v>
      </c>
    </row>
    <row r="133" spans="1:41" ht="15" customHeight="1" x14ac:dyDescent="0.15">
      <c r="A133" s="119">
        <v>333</v>
      </c>
      <c r="B133" s="94">
        <v>275</v>
      </c>
      <c r="C133" s="94">
        <v>39526</v>
      </c>
      <c r="D133" s="94" t="s">
        <v>162</v>
      </c>
      <c r="E133" s="94" t="s">
        <v>58</v>
      </c>
      <c r="F133" s="94" t="s">
        <v>46</v>
      </c>
      <c r="G133" s="94" t="str">
        <f t="shared" si="5"/>
        <v>3SNCLBPETTL</v>
      </c>
      <c r="H133" s="94" t="s">
        <v>19</v>
      </c>
      <c r="I133" s="94" t="s">
        <v>20</v>
      </c>
      <c r="J133" s="94" t="s">
        <v>143</v>
      </c>
      <c r="K133" s="94" t="s">
        <v>163</v>
      </c>
      <c r="L133" s="94" t="s">
        <v>164</v>
      </c>
      <c r="M133" s="94" t="str">
        <f t="shared" si="6"/>
        <v>3SNCLBPETTL501350</v>
      </c>
      <c r="N133" s="94" t="str">
        <f t="shared" si="7"/>
        <v>3SNCLBPETTL501320</v>
      </c>
      <c r="O133" s="120">
        <v>50</v>
      </c>
      <c r="P133" s="94">
        <v>3</v>
      </c>
      <c r="Q133" s="94" t="s">
        <v>109</v>
      </c>
      <c r="R133" s="120">
        <v>1350</v>
      </c>
      <c r="S133" s="120">
        <v>4400</v>
      </c>
      <c r="T133" s="120">
        <v>1320</v>
      </c>
      <c r="U133" s="120">
        <v>1320</v>
      </c>
      <c r="V133" s="120">
        <v>4200</v>
      </c>
      <c r="W133" s="121">
        <v>2</v>
      </c>
      <c r="X133" s="122" t="s">
        <v>136</v>
      </c>
      <c r="Y133" s="123" t="s">
        <v>295</v>
      </c>
      <c r="Z133" s="124">
        <v>6</v>
      </c>
      <c r="AA133" s="125" t="s">
        <v>24</v>
      </c>
      <c r="AB133" s="126">
        <v>1450</v>
      </c>
      <c r="AC133" s="123">
        <v>6</v>
      </c>
      <c r="AD133" s="125" t="s">
        <v>266</v>
      </c>
      <c r="AE133" s="126">
        <v>1450</v>
      </c>
      <c r="AF133" s="123"/>
      <c r="AG133" s="125"/>
      <c r="AH133" s="126"/>
      <c r="AI133" s="123"/>
      <c r="AJ133" s="125"/>
      <c r="AK133" s="126"/>
      <c r="AL133" s="127"/>
      <c r="AM133" s="128"/>
      <c r="AN133" s="128" t="s">
        <v>476</v>
      </c>
      <c r="AO133" s="203" t="str">
        <f t="shared" si="4"/>
        <v>3SNCLBPETTL50</v>
      </c>
    </row>
    <row r="134" spans="1:41" ht="15" customHeight="1" thickBot="1" x14ac:dyDescent="0.2">
      <c r="A134" s="97">
        <v>333</v>
      </c>
      <c r="B134" s="98">
        <v>275</v>
      </c>
      <c r="C134" s="98">
        <v>5174</v>
      </c>
      <c r="D134" s="98" t="s">
        <v>2049</v>
      </c>
      <c r="E134" s="98" t="s">
        <v>2048</v>
      </c>
      <c r="F134" s="98" t="s">
        <v>2047</v>
      </c>
      <c r="G134" s="98" t="str">
        <f t="shared" si="5"/>
        <v>3SNCLBPETV44</v>
      </c>
      <c r="H134" s="98" t="s">
        <v>19</v>
      </c>
      <c r="I134" s="98" t="s">
        <v>20</v>
      </c>
      <c r="J134" s="98" t="s">
        <v>143</v>
      </c>
      <c r="K134" s="98" t="s">
        <v>2050</v>
      </c>
      <c r="L134" s="98" t="s">
        <v>2051</v>
      </c>
      <c r="M134" s="98" t="str">
        <f t="shared" si="6"/>
        <v>3SNCLBPETV44501005</v>
      </c>
      <c r="N134" s="98" t="str">
        <f t="shared" si="7"/>
        <v>3SNCLBPETV44501000</v>
      </c>
      <c r="O134" s="99">
        <v>50</v>
      </c>
      <c r="P134" s="98">
        <v>3</v>
      </c>
      <c r="Q134" s="98" t="s">
        <v>1999</v>
      </c>
      <c r="R134" s="99">
        <v>1005</v>
      </c>
      <c r="S134" s="99">
        <v>4100</v>
      </c>
      <c r="T134" s="99">
        <v>1005</v>
      </c>
      <c r="U134" s="99">
        <v>1000</v>
      </c>
      <c r="V134" s="99">
        <v>4000</v>
      </c>
      <c r="W134" s="100">
        <v>2</v>
      </c>
      <c r="X134" s="101" t="s">
        <v>136</v>
      </c>
      <c r="Y134" s="102" t="s">
        <v>15</v>
      </c>
      <c r="Z134" s="103">
        <v>6</v>
      </c>
      <c r="AA134" s="104" t="s">
        <v>175</v>
      </c>
      <c r="AB134" s="105">
        <v>1015</v>
      </c>
      <c r="AC134" s="102"/>
      <c r="AD134" s="104"/>
      <c r="AE134" s="105"/>
      <c r="AF134" s="102"/>
      <c r="AG134" s="104"/>
      <c r="AH134" s="105"/>
      <c r="AI134" s="102"/>
      <c r="AJ134" s="104"/>
      <c r="AK134" s="105"/>
      <c r="AL134" s="106"/>
      <c r="AM134" s="107"/>
      <c r="AN134" s="107" t="s">
        <v>476</v>
      </c>
      <c r="AO134" s="244" t="str">
        <f t="shared" si="4"/>
        <v>3SNCLBPETV4450</v>
      </c>
    </row>
    <row r="135" spans="1:41" ht="15" customHeight="1" x14ac:dyDescent="0.15">
      <c r="A135" s="72">
        <v>333</v>
      </c>
      <c r="B135" s="73">
        <v>275</v>
      </c>
      <c r="C135" s="73">
        <v>5174</v>
      </c>
      <c r="D135" s="73" t="s">
        <v>116</v>
      </c>
      <c r="E135" s="73" t="s">
        <v>117</v>
      </c>
      <c r="F135" s="73" t="s">
        <v>2047</v>
      </c>
      <c r="G135" s="73" t="str">
        <f t="shared" si="5"/>
        <v>3SNMCLBDMSV</v>
      </c>
      <c r="H135" s="73" t="s">
        <v>19</v>
      </c>
      <c r="I135" s="73" t="s">
        <v>20</v>
      </c>
      <c r="J135" s="73" t="s">
        <v>165</v>
      </c>
      <c r="K135" s="73" t="s">
        <v>166</v>
      </c>
      <c r="L135" s="73" t="s">
        <v>167</v>
      </c>
      <c r="M135" s="73" t="str">
        <f t="shared" si="6"/>
        <v>3SNMCLBDMSV501005</v>
      </c>
      <c r="N135" s="73" t="str">
        <f t="shared" si="7"/>
        <v>3SNMCLBDMSV501000</v>
      </c>
      <c r="O135" s="74">
        <v>50</v>
      </c>
      <c r="P135" s="73">
        <v>3</v>
      </c>
      <c r="Q135" s="73" t="s">
        <v>168</v>
      </c>
      <c r="R135" s="74">
        <v>1005</v>
      </c>
      <c r="S135" s="74">
        <v>4000</v>
      </c>
      <c r="T135" s="74">
        <v>1005</v>
      </c>
      <c r="U135" s="74">
        <v>1000</v>
      </c>
      <c r="V135" s="74">
        <v>2000</v>
      </c>
      <c r="W135" s="75">
        <v>2</v>
      </c>
      <c r="X135" s="112" t="s">
        <v>136</v>
      </c>
      <c r="Y135" s="113" t="s">
        <v>1997</v>
      </c>
      <c r="Z135" s="114">
        <v>6</v>
      </c>
      <c r="AA135" s="115" t="s">
        <v>24</v>
      </c>
      <c r="AB135" s="116">
        <v>1450</v>
      </c>
      <c r="AC135" s="113">
        <v>6</v>
      </c>
      <c r="AD135" s="115" t="s">
        <v>147</v>
      </c>
      <c r="AE135" s="116">
        <v>1020</v>
      </c>
      <c r="AF135" s="113">
        <v>2</v>
      </c>
      <c r="AG135" s="115" t="s">
        <v>24</v>
      </c>
      <c r="AH135" s="116">
        <v>1450</v>
      </c>
      <c r="AI135" s="113">
        <v>3</v>
      </c>
      <c r="AJ135" s="115" t="s">
        <v>24</v>
      </c>
      <c r="AK135" s="116">
        <v>1450</v>
      </c>
      <c r="AL135" s="117"/>
      <c r="AM135" s="118"/>
      <c r="AN135" s="118" t="s">
        <v>476</v>
      </c>
      <c r="AO135" s="245" t="str">
        <f t="shared" si="4"/>
        <v>3SNMCLBDMSV50</v>
      </c>
    </row>
    <row r="136" spans="1:41" ht="15" customHeight="1" x14ac:dyDescent="0.15">
      <c r="A136" s="83">
        <v>333</v>
      </c>
      <c r="B136" s="92">
        <v>275</v>
      </c>
      <c r="C136" s="92">
        <v>33042</v>
      </c>
      <c r="D136" s="92" t="s">
        <v>148</v>
      </c>
      <c r="E136" s="92" t="s">
        <v>58</v>
      </c>
      <c r="F136" s="92" t="s">
        <v>46</v>
      </c>
      <c r="G136" s="92" t="str">
        <f t="shared" si="5"/>
        <v>3SNMCLBEYK</v>
      </c>
      <c r="H136" s="92" t="s">
        <v>19</v>
      </c>
      <c r="I136" s="92" t="s">
        <v>20</v>
      </c>
      <c r="J136" s="92" t="s">
        <v>165</v>
      </c>
      <c r="K136" s="92" t="s">
        <v>169</v>
      </c>
      <c r="L136" s="92" t="s">
        <v>170</v>
      </c>
      <c r="M136" s="92" t="str">
        <f t="shared" si="6"/>
        <v>3SNMCLBEYK501125</v>
      </c>
      <c r="N136" s="92" t="str">
        <f t="shared" si="7"/>
        <v>3SNMCLBEYK501120</v>
      </c>
      <c r="O136" s="93">
        <v>50</v>
      </c>
      <c r="P136" s="92">
        <v>3</v>
      </c>
      <c r="Q136" s="92" t="s">
        <v>151</v>
      </c>
      <c r="R136" s="93">
        <v>1125</v>
      </c>
      <c r="S136" s="93">
        <v>6100</v>
      </c>
      <c r="T136" s="93">
        <v>1120</v>
      </c>
      <c r="U136" s="93">
        <v>1120</v>
      </c>
      <c r="V136" s="93">
        <v>6000</v>
      </c>
      <c r="W136" s="84">
        <v>2</v>
      </c>
      <c r="X136" s="85" t="s">
        <v>136</v>
      </c>
      <c r="Y136" s="86" t="s">
        <v>1997</v>
      </c>
      <c r="Z136" s="87">
        <v>6</v>
      </c>
      <c r="AA136" s="88" t="s">
        <v>24</v>
      </c>
      <c r="AB136" s="89">
        <v>1450</v>
      </c>
      <c r="AC136" s="86">
        <v>6</v>
      </c>
      <c r="AD136" s="88" t="s">
        <v>147</v>
      </c>
      <c r="AE136" s="89">
        <v>1140</v>
      </c>
      <c r="AF136" s="113">
        <v>2</v>
      </c>
      <c r="AG136" s="88" t="s">
        <v>24</v>
      </c>
      <c r="AH136" s="89">
        <v>1450</v>
      </c>
      <c r="AI136" s="113">
        <v>3</v>
      </c>
      <c r="AJ136" s="88" t="s">
        <v>24</v>
      </c>
      <c r="AK136" s="89">
        <v>1450</v>
      </c>
      <c r="AL136" s="90"/>
      <c r="AM136" s="91" t="s">
        <v>501</v>
      </c>
      <c r="AN136" s="91" t="s">
        <v>476</v>
      </c>
      <c r="AO136" s="243" t="str">
        <f t="shared" si="4"/>
        <v>3SNMCLBEYK50</v>
      </c>
    </row>
    <row r="137" spans="1:41" ht="15" customHeight="1" x14ac:dyDescent="0.15">
      <c r="A137" s="83">
        <v>333</v>
      </c>
      <c r="B137" s="92">
        <v>275</v>
      </c>
      <c r="C137" s="92">
        <v>33042</v>
      </c>
      <c r="D137" s="92" t="s">
        <v>148</v>
      </c>
      <c r="E137" s="92" t="s">
        <v>58</v>
      </c>
      <c r="F137" s="92" t="s">
        <v>46</v>
      </c>
      <c r="G137" s="92" t="str">
        <f t="shared" si="5"/>
        <v>3SNMCLBEYK</v>
      </c>
      <c r="H137" s="92" t="s">
        <v>19</v>
      </c>
      <c r="I137" s="92" t="s">
        <v>20</v>
      </c>
      <c r="J137" s="92" t="s">
        <v>165</v>
      </c>
      <c r="K137" s="92" t="s">
        <v>169</v>
      </c>
      <c r="L137" s="92" t="s">
        <v>170</v>
      </c>
      <c r="M137" s="92" t="str">
        <f t="shared" si="6"/>
        <v>3SNMCLBEYK251125</v>
      </c>
      <c r="N137" s="92" t="str">
        <f t="shared" si="7"/>
        <v>3SNMCLBEYK251120</v>
      </c>
      <c r="O137" s="93">
        <v>25</v>
      </c>
      <c r="P137" s="92">
        <v>3</v>
      </c>
      <c r="Q137" s="92" t="s">
        <v>151</v>
      </c>
      <c r="R137" s="93">
        <v>1125</v>
      </c>
      <c r="S137" s="93">
        <v>12100</v>
      </c>
      <c r="T137" s="93">
        <v>1120</v>
      </c>
      <c r="U137" s="93">
        <v>1120</v>
      </c>
      <c r="V137" s="93">
        <v>6000</v>
      </c>
      <c r="W137" s="84">
        <v>2</v>
      </c>
      <c r="X137" s="85" t="s">
        <v>136</v>
      </c>
      <c r="Y137" s="86" t="s">
        <v>1997</v>
      </c>
      <c r="Z137" s="87">
        <v>6</v>
      </c>
      <c r="AA137" s="88" t="s">
        <v>24</v>
      </c>
      <c r="AB137" s="89">
        <v>1450</v>
      </c>
      <c r="AC137" s="86">
        <v>6</v>
      </c>
      <c r="AD137" s="88" t="s">
        <v>147</v>
      </c>
      <c r="AE137" s="89">
        <v>1140</v>
      </c>
      <c r="AF137" s="113">
        <v>2</v>
      </c>
      <c r="AG137" s="88" t="s">
        <v>24</v>
      </c>
      <c r="AH137" s="89">
        <v>1450</v>
      </c>
      <c r="AI137" s="113">
        <v>3</v>
      </c>
      <c r="AJ137" s="88" t="s">
        <v>24</v>
      </c>
      <c r="AK137" s="89">
        <v>1450</v>
      </c>
      <c r="AL137" s="90"/>
      <c r="AM137" s="91"/>
      <c r="AN137" s="91" t="s">
        <v>476</v>
      </c>
      <c r="AO137" s="243" t="str">
        <f t="shared" si="4"/>
        <v>3SNMCLBEYK25</v>
      </c>
    </row>
    <row r="138" spans="1:41" ht="15" customHeight="1" x14ac:dyDescent="0.15">
      <c r="A138" s="83">
        <v>333</v>
      </c>
      <c r="B138" s="92">
        <v>275</v>
      </c>
      <c r="C138" s="92">
        <v>33042</v>
      </c>
      <c r="D138" s="92" t="s">
        <v>148</v>
      </c>
      <c r="E138" s="92" t="s">
        <v>58</v>
      </c>
      <c r="F138" s="92" t="s">
        <v>46</v>
      </c>
      <c r="G138" s="92" t="str">
        <f t="shared" si="5"/>
        <v>3XSNMCLBEYK</v>
      </c>
      <c r="H138" s="92" t="s">
        <v>19</v>
      </c>
      <c r="I138" s="92" t="s">
        <v>20</v>
      </c>
      <c r="J138" s="92" t="s">
        <v>165</v>
      </c>
      <c r="K138" s="92" t="s">
        <v>169</v>
      </c>
      <c r="L138" s="92" t="s">
        <v>170</v>
      </c>
      <c r="M138" s="92" t="str">
        <f t="shared" si="6"/>
        <v>3XSNMCLBEYK501195</v>
      </c>
      <c r="N138" s="92" t="str">
        <f t="shared" si="7"/>
        <v>3XSNMCLBEYK501120</v>
      </c>
      <c r="O138" s="93">
        <v>50</v>
      </c>
      <c r="P138" s="92" t="s">
        <v>1825</v>
      </c>
      <c r="Q138" s="92" t="s">
        <v>151</v>
      </c>
      <c r="R138" s="93">
        <v>1195</v>
      </c>
      <c r="S138" s="93">
        <v>6100</v>
      </c>
      <c r="T138" s="93">
        <v>1120</v>
      </c>
      <c r="U138" s="93">
        <v>1120</v>
      </c>
      <c r="V138" s="93">
        <v>6000</v>
      </c>
      <c r="W138" s="84">
        <v>2</v>
      </c>
      <c r="X138" s="85" t="s">
        <v>136</v>
      </c>
      <c r="Y138" s="86" t="s">
        <v>1997</v>
      </c>
      <c r="Z138" s="87">
        <v>6</v>
      </c>
      <c r="AA138" s="88" t="s">
        <v>24</v>
      </c>
      <c r="AB138" s="89">
        <v>1450</v>
      </c>
      <c r="AC138" s="86">
        <v>6</v>
      </c>
      <c r="AD138" s="88" t="s">
        <v>147</v>
      </c>
      <c r="AE138" s="89">
        <v>1140</v>
      </c>
      <c r="AF138" s="113">
        <v>2</v>
      </c>
      <c r="AG138" s="88" t="s">
        <v>24</v>
      </c>
      <c r="AH138" s="89">
        <v>1450</v>
      </c>
      <c r="AI138" s="113">
        <v>3</v>
      </c>
      <c r="AJ138" s="88" t="s">
        <v>24</v>
      </c>
      <c r="AK138" s="89">
        <v>1450</v>
      </c>
      <c r="AL138" s="90"/>
      <c r="AM138" s="91" t="s">
        <v>501</v>
      </c>
      <c r="AN138" s="91" t="s">
        <v>476</v>
      </c>
      <c r="AO138" s="243" t="str">
        <f t="shared" si="4"/>
        <v>3XSNMCLBEYK50</v>
      </c>
    </row>
    <row r="139" spans="1:41" ht="15" customHeight="1" x14ac:dyDescent="0.15">
      <c r="A139" s="83">
        <v>333</v>
      </c>
      <c r="B139" s="92">
        <v>276</v>
      </c>
      <c r="C139" s="92">
        <v>2220</v>
      </c>
      <c r="D139" s="92" t="s">
        <v>171</v>
      </c>
      <c r="E139" s="92" t="s">
        <v>58</v>
      </c>
      <c r="F139" s="92" t="s">
        <v>46</v>
      </c>
      <c r="G139" s="92" t="str">
        <f t="shared" si="5"/>
        <v>3HSNMCLBEYK</v>
      </c>
      <c r="H139" s="92" t="s">
        <v>19</v>
      </c>
      <c r="I139" s="92" t="s">
        <v>20</v>
      </c>
      <c r="J139" s="92" t="s">
        <v>165</v>
      </c>
      <c r="K139" s="92" t="s">
        <v>169</v>
      </c>
      <c r="L139" s="92" t="s">
        <v>170</v>
      </c>
      <c r="M139" s="92" t="str">
        <f t="shared" si="6"/>
        <v>3HSNMCLBEYK501195</v>
      </c>
      <c r="N139" s="92" t="str">
        <f t="shared" si="7"/>
        <v>3HSNMCLBEYK501190</v>
      </c>
      <c r="O139" s="93">
        <v>50</v>
      </c>
      <c r="P139" s="92" t="s">
        <v>96</v>
      </c>
      <c r="Q139" s="92" t="s">
        <v>151</v>
      </c>
      <c r="R139" s="93">
        <v>1195</v>
      </c>
      <c r="S139" s="93">
        <v>6100</v>
      </c>
      <c r="T139" s="93">
        <v>1190</v>
      </c>
      <c r="U139" s="93">
        <v>1190</v>
      </c>
      <c r="V139" s="93">
        <v>6000</v>
      </c>
      <c r="W139" s="84">
        <v>2</v>
      </c>
      <c r="X139" s="85" t="s">
        <v>136</v>
      </c>
      <c r="Y139" s="86" t="s">
        <v>1997</v>
      </c>
      <c r="Z139" s="87">
        <v>6</v>
      </c>
      <c r="AA139" s="88" t="s">
        <v>24</v>
      </c>
      <c r="AB139" s="89">
        <v>1450</v>
      </c>
      <c r="AC139" s="86">
        <v>6</v>
      </c>
      <c r="AD139" s="88" t="s">
        <v>147</v>
      </c>
      <c r="AE139" s="89">
        <v>1220</v>
      </c>
      <c r="AF139" s="113">
        <v>2</v>
      </c>
      <c r="AG139" s="88" t="s">
        <v>24</v>
      </c>
      <c r="AH139" s="89">
        <v>1450</v>
      </c>
      <c r="AI139" s="113">
        <v>3</v>
      </c>
      <c r="AJ139" s="88" t="s">
        <v>24</v>
      </c>
      <c r="AK139" s="89">
        <v>1450</v>
      </c>
      <c r="AL139" s="90"/>
      <c r="AM139" s="91" t="s">
        <v>501</v>
      </c>
      <c r="AN139" s="91" t="s">
        <v>476</v>
      </c>
      <c r="AO139" s="243" t="str">
        <f t="shared" si="4"/>
        <v>3HSNMCLBEYK50</v>
      </c>
    </row>
    <row r="140" spans="1:41" ht="15" customHeight="1" x14ac:dyDescent="0.15">
      <c r="A140" s="83">
        <v>333</v>
      </c>
      <c r="B140" s="92">
        <v>275</v>
      </c>
      <c r="C140" s="92">
        <v>5174</v>
      </c>
      <c r="D140" s="92" t="s">
        <v>116</v>
      </c>
      <c r="E140" s="92" t="s">
        <v>117</v>
      </c>
      <c r="F140" s="92" t="s">
        <v>2047</v>
      </c>
      <c r="G140" s="92" t="str">
        <f t="shared" si="5"/>
        <v>3SNMCLBHLGKJV</v>
      </c>
      <c r="H140" s="92" t="s">
        <v>19</v>
      </c>
      <c r="I140" s="92" t="s">
        <v>20</v>
      </c>
      <c r="J140" s="92" t="s">
        <v>165</v>
      </c>
      <c r="K140" s="92" t="s">
        <v>172</v>
      </c>
      <c r="L140" s="92" t="s">
        <v>173</v>
      </c>
      <c r="M140" s="92" t="str">
        <f t="shared" si="6"/>
        <v>3SNMCLBHLGKJV251005</v>
      </c>
      <c r="N140" s="92" t="str">
        <f t="shared" si="7"/>
        <v>3SNMCLBHLGKJV251000</v>
      </c>
      <c r="O140" s="93">
        <v>25</v>
      </c>
      <c r="P140" s="92">
        <v>3</v>
      </c>
      <c r="Q140" s="92" t="s">
        <v>174</v>
      </c>
      <c r="R140" s="93">
        <v>1005</v>
      </c>
      <c r="S140" s="93">
        <v>2000</v>
      </c>
      <c r="T140" s="93">
        <v>1005</v>
      </c>
      <c r="U140" s="93">
        <v>1000</v>
      </c>
      <c r="V140" s="93">
        <v>2000</v>
      </c>
      <c r="W140" s="84">
        <v>2</v>
      </c>
      <c r="X140" s="85" t="s">
        <v>136</v>
      </c>
      <c r="Y140" s="86" t="s">
        <v>1997</v>
      </c>
      <c r="Z140" s="87">
        <v>6</v>
      </c>
      <c r="AA140" s="88" t="s">
        <v>24</v>
      </c>
      <c r="AB140" s="89">
        <v>1450</v>
      </c>
      <c r="AC140" s="86">
        <v>6</v>
      </c>
      <c r="AD140" s="88" t="s">
        <v>175</v>
      </c>
      <c r="AE140" s="89">
        <v>1015</v>
      </c>
      <c r="AF140" s="113">
        <v>2</v>
      </c>
      <c r="AG140" s="88" t="s">
        <v>24</v>
      </c>
      <c r="AH140" s="89">
        <v>1450</v>
      </c>
      <c r="AI140" s="113">
        <v>3</v>
      </c>
      <c r="AJ140" s="88" t="s">
        <v>24</v>
      </c>
      <c r="AK140" s="89">
        <v>1450</v>
      </c>
      <c r="AL140" s="90"/>
      <c r="AM140" s="91"/>
      <c r="AN140" s="91" t="s">
        <v>476</v>
      </c>
      <c r="AO140" s="243" t="str">
        <f t="shared" si="4"/>
        <v>3SNMCLBHLGKJV25</v>
      </c>
    </row>
    <row r="141" spans="1:41" ht="15" customHeight="1" x14ac:dyDescent="0.15">
      <c r="A141" s="83">
        <v>333</v>
      </c>
      <c r="B141" s="92">
        <v>275</v>
      </c>
      <c r="C141" s="92">
        <v>5174</v>
      </c>
      <c r="D141" s="92" t="s">
        <v>116</v>
      </c>
      <c r="E141" s="92" t="s">
        <v>117</v>
      </c>
      <c r="F141" s="92" t="s">
        <v>2047</v>
      </c>
      <c r="G141" s="92" t="str">
        <f t="shared" si="5"/>
        <v>3SNMCLBHLGKJV</v>
      </c>
      <c r="H141" s="92" t="s">
        <v>19</v>
      </c>
      <c r="I141" s="92" t="s">
        <v>20</v>
      </c>
      <c r="J141" s="92" t="s">
        <v>165</v>
      </c>
      <c r="K141" s="92" t="s">
        <v>172</v>
      </c>
      <c r="L141" s="92" t="s">
        <v>173</v>
      </c>
      <c r="M141" s="92" t="str">
        <f t="shared" si="6"/>
        <v>3SNMCLBHLGKJV501005</v>
      </c>
      <c r="N141" s="92" t="str">
        <f t="shared" si="7"/>
        <v>3SNMCLBHLGKJV501000</v>
      </c>
      <c r="O141" s="93">
        <v>50</v>
      </c>
      <c r="P141" s="92">
        <v>3</v>
      </c>
      <c r="Q141" s="92" t="s">
        <v>174</v>
      </c>
      <c r="R141" s="93">
        <v>1005</v>
      </c>
      <c r="S141" s="93">
        <v>4000</v>
      </c>
      <c r="T141" s="93">
        <v>1005</v>
      </c>
      <c r="U141" s="93">
        <v>1000</v>
      </c>
      <c r="V141" s="93">
        <v>2000</v>
      </c>
      <c r="W141" s="84">
        <v>2</v>
      </c>
      <c r="X141" s="85" t="s">
        <v>136</v>
      </c>
      <c r="Y141" s="86" t="s">
        <v>1997</v>
      </c>
      <c r="Z141" s="87">
        <v>6</v>
      </c>
      <c r="AA141" s="88" t="s">
        <v>24</v>
      </c>
      <c r="AB141" s="89">
        <v>1450</v>
      </c>
      <c r="AC141" s="86">
        <v>6</v>
      </c>
      <c r="AD141" s="88" t="s">
        <v>175</v>
      </c>
      <c r="AE141" s="89">
        <v>1015</v>
      </c>
      <c r="AF141" s="113">
        <v>2</v>
      </c>
      <c r="AG141" s="88" t="s">
        <v>24</v>
      </c>
      <c r="AH141" s="89">
        <v>1450</v>
      </c>
      <c r="AI141" s="113">
        <v>3</v>
      </c>
      <c r="AJ141" s="88" t="s">
        <v>24</v>
      </c>
      <c r="AK141" s="89">
        <v>1450</v>
      </c>
      <c r="AL141" s="90"/>
      <c r="AM141" s="91"/>
      <c r="AN141" s="91" t="s">
        <v>476</v>
      </c>
      <c r="AO141" s="243" t="str">
        <f t="shared" si="4"/>
        <v>3SNMCLBHLGKJV50</v>
      </c>
    </row>
    <row r="142" spans="1:41" ht="15" customHeight="1" x14ac:dyDescent="0.15">
      <c r="A142" s="83">
        <v>333</v>
      </c>
      <c r="B142" s="92">
        <v>275</v>
      </c>
      <c r="C142" s="92">
        <v>5174</v>
      </c>
      <c r="D142" s="92" t="s">
        <v>116</v>
      </c>
      <c r="E142" s="92" t="s">
        <v>117</v>
      </c>
      <c r="F142" s="92" t="s">
        <v>2052</v>
      </c>
      <c r="G142" s="92" t="str">
        <f t="shared" si="5"/>
        <v>3SNMCLBHLGTV</v>
      </c>
      <c r="H142" s="92" t="s">
        <v>19</v>
      </c>
      <c r="I142" s="92" t="s">
        <v>20</v>
      </c>
      <c r="J142" s="92" t="s">
        <v>165</v>
      </c>
      <c r="K142" s="92" t="s">
        <v>176</v>
      </c>
      <c r="L142" s="92" t="s">
        <v>177</v>
      </c>
      <c r="M142" s="92" t="str">
        <f t="shared" si="6"/>
        <v>3SNMCLBHLGTV251005</v>
      </c>
      <c r="N142" s="92" t="str">
        <f t="shared" si="7"/>
        <v>3SNMCLBHLGTV251000</v>
      </c>
      <c r="O142" s="93">
        <v>25</v>
      </c>
      <c r="P142" s="92">
        <v>3</v>
      </c>
      <c r="Q142" s="92" t="s">
        <v>178</v>
      </c>
      <c r="R142" s="93">
        <v>1005</v>
      </c>
      <c r="S142" s="93">
        <v>8000</v>
      </c>
      <c r="T142" s="93">
        <v>1005</v>
      </c>
      <c r="U142" s="93">
        <v>1000</v>
      </c>
      <c r="V142" s="93">
        <v>2000</v>
      </c>
      <c r="W142" s="84">
        <v>2</v>
      </c>
      <c r="X142" s="85" t="s">
        <v>136</v>
      </c>
      <c r="Y142" s="86" t="s">
        <v>1997</v>
      </c>
      <c r="Z142" s="87">
        <v>6</v>
      </c>
      <c r="AA142" s="88" t="s">
        <v>24</v>
      </c>
      <c r="AB142" s="89">
        <v>1450</v>
      </c>
      <c r="AC142" s="86">
        <v>6</v>
      </c>
      <c r="AD142" s="88" t="s">
        <v>175</v>
      </c>
      <c r="AE142" s="89">
        <v>1015</v>
      </c>
      <c r="AF142" s="113">
        <v>2</v>
      </c>
      <c r="AG142" s="88" t="s">
        <v>24</v>
      </c>
      <c r="AH142" s="89">
        <v>1450</v>
      </c>
      <c r="AI142" s="113">
        <v>3</v>
      </c>
      <c r="AJ142" s="88" t="s">
        <v>24</v>
      </c>
      <c r="AK142" s="89">
        <v>1450</v>
      </c>
      <c r="AL142" s="90"/>
      <c r="AM142" s="91"/>
      <c r="AN142" s="91" t="s">
        <v>476</v>
      </c>
      <c r="AO142" s="243" t="str">
        <f t="shared" si="4"/>
        <v>3SNMCLBHLGTV25</v>
      </c>
    </row>
    <row r="143" spans="1:41" ht="15" customHeight="1" x14ac:dyDescent="0.15">
      <c r="A143" s="83">
        <v>333</v>
      </c>
      <c r="B143" s="92">
        <v>275</v>
      </c>
      <c r="C143" s="92">
        <v>5174</v>
      </c>
      <c r="D143" s="92" t="s">
        <v>116</v>
      </c>
      <c r="E143" s="92" t="s">
        <v>117</v>
      </c>
      <c r="F143" s="92" t="s">
        <v>2052</v>
      </c>
      <c r="G143" s="92" t="str">
        <f t="shared" si="5"/>
        <v>3SNMCLBHLGTV</v>
      </c>
      <c r="H143" s="92" t="s">
        <v>19</v>
      </c>
      <c r="I143" s="92" t="s">
        <v>20</v>
      </c>
      <c r="J143" s="92" t="s">
        <v>165</v>
      </c>
      <c r="K143" s="92" t="s">
        <v>176</v>
      </c>
      <c r="L143" s="92" t="s">
        <v>177</v>
      </c>
      <c r="M143" s="92" t="str">
        <f t="shared" si="6"/>
        <v>3SNMCLBHLGTV501005</v>
      </c>
      <c r="N143" s="92" t="str">
        <f t="shared" si="7"/>
        <v>3SNMCLBHLGTV501000</v>
      </c>
      <c r="O143" s="93">
        <v>50</v>
      </c>
      <c r="P143" s="92">
        <v>3</v>
      </c>
      <c r="Q143" s="92" t="s">
        <v>178</v>
      </c>
      <c r="R143" s="93">
        <v>1005</v>
      </c>
      <c r="S143" s="93">
        <v>4100</v>
      </c>
      <c r="T143" s="93">
        <v>1005</v>
      </c>
      <c r="U143" s="93">
        <v>1000</v>
      </c>
      <c r="V143" s="93">
        <v>2000</v>
      </c>
      <c r="W143" s="84">
        <v>2</v>
      </c>
      <c r="X143" s="85" t="s">
        <v>136</v>
      </c>
      <c r="Y143" s="86" t="s">
        <v>1997</v>
      </c>
      <c r="Z143" s="87">
        <v>6</v>
      </c>
      <c r="AA143" s="88" t="s">
        <v>24</v>
      </c>
      <c r="AB143" s="89">
        <v>1450</v>
      </c>
      <c r="AC143" s="86">
        <v>6</v>
      </c>
      <c r="AD143" s="88" t="s">
        <v>175</v>
      </c>
      <c r="AE143" s="89">
        <v>1015</v>
      </c>
      <c r="AF143" s="113">
        <v>2</v>
      </c>
      <c r="AG143" s="88" t="s">
        <v>24</v>
      </c>
      <c r="AH143" s="89">
        <v>1450</v>
      </c>
      <c r="AI143" s="113">
        <v>3</v>
      </c>
      <c r="AJ143" s="88" t="s">
        <v>24</v>
      </c>
      <c r="AK143" s="89">
        <v>1450</v>
      </c>
      <c r="AL143" s="90"/>
      <c r="AM143" s="91"/>
      <c r="AN143" s="91" t="s">
        <v>476</v>
      </c>
      <c r="AO143" s="243" t="str">
        <f t="shared" si="4"/>
        <v>3SNMCLBHLGTV50</v>
      </c>
    </row>
    <row r="144" spans="1:41" ht="15" customHeight="1" x14ac:dyDescent="0.15">
      <c r="A144" s="83">
        <v>333</v>
      </c>
      <c r="B144" s="92">
        <v>275</v>
      </c>
      <c r="C144" s="92">
        <v>5174</v>
      </c>
      <c r="D144" s="92" t="s">
        <v>116</v>
      </c>
      <c r="E144" s="92" t="s">
        <v>117</v>
      </c>
      <c r="F144" s="92" t="s">
        <v>2052</v>
      </c>
      <c r="G144" s="92" t="str">
        <f t="shared" si="5"/>
        <v>3SNMCLBHLGTV</v>
      </c>
      <c r="H144" s="92" t="s">
        <v>19</v>
      </c>
      <c r="I144" s="92" t="s">
        <v>20</v>
      </c>
      <c r="J144" s="92" t="s">
        <v>165</v>
      </c>
      <c r="K144" s="92" t="s">
        <v>176</v>
      </c>
      <c r="L144" s="92" t="s">
        <v>177</v>
      </c>
      <c r="M144" s="92" t="str">
        <f t="shared" si="6"/>
        <v>3SNMCLBHLGTV501125</v>
      </c>
      <c r="N144" s="92" t="str">
        <f t="shared" si="7"/>
        <v>3SNMCLBHLGTV501120</v>
      </c>
      <c r="O144" s="93">
        <v>50</v>
      </c>
      <c r="P144" s="92">
        <v>3</v>
      </c>
      <c r="Q144" s="92" t="s">
        <v>178</v>
      </c>
      <c r="R144" s="93">
        <v>1125</v>
      </c>
      <c r="S144" s="93">
        <v>4100</v>
      </c>
      <c r="T144" s="93">
        <v>1125</v>
      </c>
      <c r="U144" s="93">
        <v>1120</v>
      </c>
      <c r="V144" s="93">
        <v>2000</v>
      </c>
      <c r="W144" s="84">
        <v>2</v>
      </c>
      <c r="X144" s="85" t="s">
        <v>136</v>
      </c>
      <c r="Y144" s="86" t="s">
        <v>1997</v>
      </c>
      <c r="Z144" s="87">
        <v>6</v>
      </c>
      <c r="AA144" s="88" t="s">
        <v>24</v>
      </c>
      <c r="AB144" s="89">
        <v>1450</v>
      </c>
      <c r="AC144" s="86">
        <v>6</v>
      </c>
      <c r="AD144" s="88" t="s">
        <v>175</v>
      </c>
      <c r="AE144" s="89">
        <v>1140</v>
      </c>
      <c r="AF144" s="113">
        <v>2</v>
      </c>
      <c r="AG144" s="88" t="s">
        <v>24</v>
      </c>
      <c r="AH144" s="89">
        <v>1450</v>
      </c>
      <c r="AI144" s="113">
        <v>3</v>
      </c>
      <c r="AJ144" s="88" t="s">
        <v>24</v>
      </c>
      <c r="AK144" s="89">
        <v>1450</v>
      </c>
      <c r="AL144" s="90"/>
      <c r="AM144" s="91"/>
      <c r="AN144" s="91" t="s">
        <v>476</v>
      </c>
      <c r="AO144" s="243" t="str">
        <f t="shared" si="4"/>
        <v>3SNMCLBHLGTV50</v>
      </c>
    </row>
    <row r="145" spans="1:41" ht="15" customHeight="1" x14ac:dyDescent="0.15">
      <c r="A145" s="83">
        <v>333</v>
      </c>
      <c r="B145" s="92">
        <v>275</v>
      </c>
      <c r="C145" s="92">
        <v>5174</v>
      </c>
      <c r="D145" s="92" t="s">
        <v>116</v>
      </c>
      <c r="E145" s="92" t="s">
        <v>117</v>
      </c>
      <c r="F145" s="92" t="s">
        <v>2052</v>
      </c>
      <c r="G145" s="92" t="str">
        <f t="shared" si="5"/>
        <v>3SYMCLBHLGTV</v>
      </c>
      <c r="H145" s="92" t="s">
        <v>19</v>
      </c>
      <c r="I145" s="92" t="s">
        <v>2031</v>
      </c>
      <c r="J145" s="92" t="s">
        <v>165</v>
      </c>
      <c r="K145" s="92" t="s">
        <v>176</v>
      </c>
      <c r="L145" s="92" t="s">
        <v>177</v>
      </c>
      <c r="M145" s="92" t="str">
        <f t="shared" si="6"/>
        <v>3SYMCLBHLGTV501005</v>
      </c>
      <c r="N145" s="92" t="str">
        <f t="shared" si="7"/>
        <v>3SYMCLBHLGTV501000</v>
      </c>
      <c r="O145" s="93">
        <v>50</v>
      </c>
      <c r="P145" s="92">
        <v>3</v>
      </c>
      <c r="Q145" s="92" t="s">
        <v>178</v>
      </c>
      <c r="R145" s="93">
        <v>1005</v>
      </c>
      <c r="S145" s="93">
        <v>4100</v>
      </c>
      <c r="T145" s="93">
        <v>1005</v>
      </c>
      <c r="U145" s="93">
        <v>1000</v>
      </c>
      <c r="V145" s="93">
        <v>4000</v>
      </c>
      <c r="W145" s="84">
        <v>2</v>
      </c>
      <c r="X145" s="85" t="s">
        <v>136</v>
      </c>
      <c r="Y145" s="86" t="s">
        <v>1997</v>
      </c>
      <c r="Z145" s="87">
        <v>6</v>
      </c>
      <c r="AA145" s="88" t="s">
        <v>24</v>
      </c>
      <c r="AB145" s="89">
        <v>1450</v>
      </c>
      <c r="AC145" s="86">
        <v>6</v>
      </c>
      <c r="AD145" s="88" t="s">
        <v>175</v>
      </c>
      <c r="AE145" s="89">
        <v>1015</v>
      </c>
      <c r="AF145" s="113">
        <v>2</v>
      </c>
      <c r="AG145" s="88" t="s">
        <v>24</v>
      </c>
      <c r="AH145" s="89">
        <v>1450</v>
      </c>
      <c r="AI145" s="113">
        <v>3</v>
      </c>
      <c r="AJ145" s="88" t="s">
        <v>24</v>
      </c>
      <c r="AK145" s="89">
        <v>1450</v>
      </c>
      <c r="AL145" s="90"/>
      <c r="AM145" s="91"/>
      <c r="AN145" s="91" t="s">
        <v>476</v>
      </c>
      <c r="AO145" s="243" t="str">
        <f t="shared" si="4"/>
        <v>3SYMCLBHLGTV50</v>
      </c>
    </row>
    <row r="146" spans="1:41" ht="15" customHeight="1" x14ac:dyDescent="0.15">
      <c r="A146" s="83">
        <v>333</v>
      </c>
      <c r="B146" s="92">
        <v>276</v>
      </c>
      <c r="C146" s="92">
        <v>3621</v>
      </c>
      <c r="D146" s="92" t="s">
        <v>57</v>
      </c>
      <c r="E146" s="92" t="s">
        <v>58</v>
      </c>
      <c r="F146" s="92" t="s">
        <v>2047</v>
      </c>
      <c r="G146" s="92" t="str">
        <f t="shared" si="5"/>
        <v>3SNMCLBMSKTLHG</v>
      </c>
      <c r="H146" s="92" t="s">
        <v>1549</v>
      </c>
      <c r="I146" s="92" t="s">
        <v>1550</v>
      </c>
      <c r="J146" s="92" t="s">
        <v>1555</v>
      </c>
      <c r="K146" s="92" t="s">
        <v>2053</v>
      </c>
      <c r="L146" s="92" t="s">
        <v>2054</v>
      </c>
      <c r="M146" s="92" t="str">
        <f t="shared" si="6"/>
        <v>3SNMCLBMSKTLHG1001020</v>
      </c>
      <c r="N146" s="92" t="str">
        <f t="shared" si="7"/>
        <v>3SNMCLBMSKTLHG1001020</v>
      </c>
      <c r="O146" s="93">
        <v>100</v>
      </c>
      <c r="P146" s="92">
        <v>3</v>
      </c>
      <c r="Q146" s="92" t="s">
        <v>179</v>
      </c>
      <c r="R146" s="93">
        <v>1020</v>
      </c>
      <c r="S146" s="93">
        <v>2400</v>
      </c>
      <c r="T146" s="93">
        <v>1020</v>
      </c>
      <c r="U146" s="93">
        <v>1020</v>
      </c>
      <c r="V146" s="93">
        <v>2400</v>
      </c>
      <c r="W146" s="84">
        <v>2</v>
      </c>
      <c r="X146" s="85" t="s">
        <v>136</v>
      </c>
      <c r="Y146" s="86" t="s">
        <v>15</v>
      </c>
      <c r="Z146" s="87">
        <v>6</v>
      </c>
      <c r="AA146" s="88" t="s">
        <v>24</v>
      </c>
      <c r="AB146" s="89">
        <v>1450</v>
      </c>
      <c r="AC146" s="86"/>
      <c r="AD146" s="88"/>
      <c r="AE146" s="89"/>
      <c r="AF146" s="113">
        <v>2</v>
      </c>
      <c r="AG146" s="88" t="s">
        <v>24</v>
      </c>
      <c r="AH146" s="89">
        <v>1450</v>
      </c>
      <c r="AI146" s="113">
        <v>3</v>
      </c>
      <c r="AJ146" s="88" t="s">
        <v>24</v>
      </c>
      <c r="AK146" s="89">
        <v>1450</v>
      </c>
      <c r="AL146" s="90"/>
      <c r="AM146" s="91"/>
      <c r="AN146" s="91" t="s">
        <v>476</v>
      </c>
      <c r="AO146" s="243" t="str">
        <f t="shared" si="4"/>
        <v>3SNMCLBMSKTLHG100</v>
      </c>
    </row>
    <row r="147" spans="1:41" ht="15" customHeight="1" x14ac:dyDescent="0.15">
      <c r="A147" s="83">
        <v>333</v>
      </c>
      <c r="B147" s="92">
        <v>276</v>
      </c>
      <c r="C147" s="92">
        <v>33042</v>
      </c>
      <c r="D147" s="92" t="s">
        <v>148</v>
      </c>
      <c r="E147" s="92" t="s">
        <v>58</v>
      </c>
      <c r="F147" s="92" t="s">
        <v>46</v>
      </c>
      <c r="G147" s="92" t="str">
        <f t="shared" si="5"/>
        <v>3SNMCLBMSNEYK</v>
      </c>
      <c r="H147" s="92" t="s">
        <v>19</v>
      </c>
      <c r="I147" s="92" t="s">
        <v>20</v>
      </c>
      <c r="J147" s="92" t="s">
        <v>165</v>
      </c>
      <c r="K147" s="92" t="s">
        <v>180</v>
      </c>
      <c r="L147" s="92" t="s">
        <v>181</v>
      </c>
      <c r="M147" s="92" t="str">
        <f t="shared" si="6"/>
        <v>3SNMCLBMSNEYK251120</v>
      </c>
      <c r="N147" s="92" t="str">
        <f t="shared" si="7"/>
        <v>3SNMCLBMSNEYK251120</v>
      </c>
      <c r="O147" s="93">
        <v>25</v>
      </c>
      <c r="P147" s="92">
        <v>3</v>
      </c>
      <c r="Q147" s="92" t="s">
        <v>182</v>
      </c>
      <c r="R147" s="93">
        <v>1120</v>
      </c>
      <c r="S147" s="93">
        <v>4000</v>
      </c>
      <c r="T147" s="93">
        <v>1120</v>
      </c>
      <c r="U147" s="93">
        <v>1120</v>
      </c>
      <c r="V147" s="93">
        <v>4000</v>
      </c>
      <c r="W147" s="84">
        <v>2</v>
      </c>
      <c r="X147" s="85" t="s">
        <v>136</v>
      </c>
      <c r="Y147" s="86" t="s">
        <v>1997</v>
      </c>
      <c r="Z147" s="87">
        <v>6</v>
      </c>
      <c r="AA147" s="88" t="s">
        <v>24</v>
      </c>
      <c r="AB147" s="89">
        <v>1450</v>
      </c>
      <c r="AC147" s="86">
        <v>6</v>
      </c>
      <c r="AD147" s="88" t="s">
        <v>147</v>
      </c>
      <c r="AE147" s="89">
        <v>1140</v>
      </c>
      <c r="AF147" s="113">
        <v>2</v>
      </c>
      <c r="AG147" s="88" t="s">
        <v>24</v>
      </c>
      <c r="AH147" s="89">
        <v>1450</v>
      </c>
      <c r="AI147" s="113">
        <v>3</v>
      </c>
      <c r="AJ147" s="88" t="s">
        <v>24</v>
      </c>
      <c r="AK147" s="89">
        <v>1450</v>
      </c>
      <c r="AL147" s="90"/>
      <c r="AM147" s="91"/>
      <c r="AN147" s="91" t="s">
        <v>476</v>
      </c>
      <c r="AO147" s="243" t="str">
        <f t="shared" si="4"/>
        <v>3SNMCLBMSNEYK25</v>
      </c>
    </row>
    <row r="148" spans="1:41" ht="15" customHeight="1" x14ac:dyDescent="0.15">
      <c r="A148" s="83">
        <v>333</v>
      </c>
      <c r="B148" s="92">
        <v>276</v>
      </c>
      <c r="C148" s="92">
        <v>33042</v>
      </c>
      <c r="D148" s="92" t="s">
        <v>148</v>
      </c>
      <c r="E148" s="92" t="s">
        <v>58</v>
      </c>
      <c r="F148" s="92" t="s">
        <v>46</v>
      </c>
      <c r="G148" s="92" t="str">
        <f t="shared" si="5"/>
        <v>3SNMCLBMSNEYK</v>
      </c>
      <c r="H148" s="92" t="s">
        <v>19</v>
      </c>
      <c r="I148" s="92" t="s">
        <v>20</v>
      </c>
      <c r="J148" s="92" t="s">
        <v>165</v>
      </c>
      <c r="K148" s="92" t="s">
        <v>180</v>
      </c>
      <c r="L148" s="92" t="s">
        <v>181</v>
      </c>
      <c r="M148" s="92" t="str">
        <f t="shared" si="6"/>
        <v>3SNMCLBMSNEYK501120</v>
      </c>
      <c r="N148" s="92" t="str">
        <f t="shared" si="7"/>
        <v>3SNMCLBMSNEYK501120</v>
      </c>
      <c r="O148" s="93">
        <v>50</v>
      </c>
      <c r="P148" s="92">
        <v>3</v>
      </c>
      <c r="Q148" s="92" t="s">
        <v>182</v>
      </c>
      <c r="R148" s="93">
        <v>1120</v>
      </c>
      <c r="S148" s="93">
        <v>4000</v>
      </c>
      <c r="T148" s="93">
        <v>1120</v>
      </c>
      <c r="U148" s="93">
        <v>1120</v>
      </c>
      <c r="V148" s="93">
        <v>4000</v>
      </c>
      <c r="W148" s="84">
        <v>2</v>
      </c>
      <c r="X148" s="85" t="s">
        <v>136</v>
      </c>
      <c r="Y148" s="86" t="s">
        <v>1997</v>
      </c>
      <c r="Z148" s="87">
        <v>6</v>
      </c>
      <c r="AA148" s="88" t="s">
        <v>24</v>
      </c>
      <c r="AB148" s="89">
        <v>1450</v>
      </c>
      <c r="AC148" s="86">
        <v>6</v>
      </c>
      <c r="AD148" s="88" t="s">
        <v>147</v>
      </c>
      <c r="AE148" s="89">
        <v>1140</v>
      </c>
      <c r="AF148" s="113">
        <v>2</v>
      </c>
      <c r="AG148" s="88" t="s">
        <v>24</v>
      </c>
      <c r="AH148" s="89">
        <v>1450</v>
      </c>
      <c r="AI148" s="113">
        <v>3</v>
      </c>
      <c r="AJ148" s="88" t="s">
        <v>24</v>
      </c>
      <c r="AK148" s="89">
        <v>1450</v>
      </c>
      <c r="AL148" s="90"/>
      <c r="AM148" s="91" t="s">
        <v>501</v>
      </c>
      <c r="AN148" s="91" t="s">
        <v>476</v>
      </c>
      <c r="AO148" s="243" t="str">
        <f t="shared" si="4"/>
        <v>3SNMCLBMSNEYK50</v>
      </c>
    </row>
    <row r="149" spans="1:41" ht="15" customHeight="1" x14ac:dyDescent="0.15">
      <c r="A149" s="83">
        <v>333</v>
      </c>
      <c r="B149" s="92">
        <v>276</v>
      </c>
      <c r="C149" s="92">
        <v>2220</v>
      </c>
      <c r="D149" s="92" t="s">
        <v>171</v>
      </c>
      <c r="E149" s="92" t="s">
        <v>58</v>
      </c>
      <c r="F149" s="92" t="s">
        <v>46</v>
      </c>
      <c r="G149" s="92" t="str">
        <f t="shared" si="5"/>
        <v>3SNMCLBMSNEYK</v>
      </c>
      <c r="H149" s="92" t="s">
        <v>19</v>
      </c>
      <c r="I149" s="92" t="s">
        <v>20</v>
      </c>
      <c r="J149" s="92" t="s">
        <v>165</v>
      </c>
      <c r="K149" s="92" t="s">
        <v>180</v>
      </c>
      <c r="L149" s="92" t="s">
        <v>181</v>
      </c>
      <c r="M149" s="92" t="str">
        <f t="shared" si="6"/>
        <v>3SNMCLBMSNEYK501200</v>
      </c>
      <c r="N149" s="92" t="str">
        <f t="shared" si="7"/>
        <v>3SNMCLBMSNEYK501190</v>
      </c>
      <c r="O149" s="93">
        <v>50</v>
      </c>
      <c r="P149" s="92">
        <v>3</v>
      </c>
      <c r="Q149" s="92" t="s">
        <v>182</v>
      </c>
      <c r="R149" s="93">
        <v>1200</v>
      </c>
      <c r="S149" s="93">
        <v>6000</v>
      </c>
      <c r="T149" s="93">
        <v>1200</v>
      </c>
      <c r="U149" s="93">
        <v>1190</v>
      </c>
      <c r="V149" s="93">
        <v>6000</v>
      </c>
      <c r="W149" s="84">
        <v>2</v>
      </c>
      <c r="X149" s="85" t="s">
        <v>136</v>
      </c>
      <c r="Y149" s="86" t="s">
        <v>1997</v>
      </c>
      <c r="Z149" s="87">
        <v>6</v>
      </c>
      <c r="AA149" s="88" t="s">
        <v>24</v>
      </c>
      <c r="AB149" s="89">
        <v>1450</v>
      </c>
      <c r="AC149" s="86">
        <v>6</v>
      </c>
      <c r="AD149" s="88" t="s">
        <v>147</v>
      </c>
      <c r="AE149" s="89">
        <v>1220</v>
      </c>
      <c r="AF149" s="113">
        <v>2</v>
      </c>
      <c r="AG149" s="88" t="s">
        <v>24</v>
      </c>
      <c r="AH149" s="89">
        <v>1450</v>
      </c>
      <c r="AI149" s="113">
        <v>3</v>
      </c>
      <c r="AJ149" s="88" t="s">
        <v>24</v>
      </c>
      <c r="AK149" s="89">
        <v>1450</v>
      </c>
      <c r="AL149" s="90"/>
      <c r="AM149" s="91" t="s">
        <v>501</v>
      </c>
      <c r="AN149" s="91" t="s">
        <v>476</v>
      </c>
      <c r="AO149" s="243" t="str">
        <f t="shared" si="4"/>
        <v>3SNMCLBMSNEYK50</v>
      </c>
    </row>
    <row r="150" spans="1:41" ht="15" customHeight="1" x14ac:dyDescent="0.15">
      <c r="A150" s="83">
        <v>333</v>
      </c>
      <c r="B150" s="92">
        <v>276</v>
      </c>
      <c r="C150" s="92">
        <v>4089</v>
      </c>
      <c r="D150" s="92" t="s">
        <v>183</v>
      </c>
      <c r="E150" s="92" t="s">
        <v>58</v>
      </c>
      <c r="F150" s="92" t="s">
        <v>184</v>
      </c>
      <c r="G150" s="92" t="str">
        <f t="shared" si="5"/>
        <v>3SNMCLBMSNEYK</v>
      </c>
      <c r="H150" s="92" t="s">
        <v>19</v>
      </c>
      <c r="I150" s="92" t="s">
        <v>20</v>
      </c>
      <c r="J150" s="92" t="s">
        <v>165</v>
      </c>
      <c r="K150" s="92" t="s">
        <v>180</v>
      </c>
      <c r="L150" s="92" t="s">
        <v>181</v>
      </c>
      <c r="M150" s="92" t="str">
        <f t="shared" si="6"/>
        <v>3SNMCLBMSNEYK1001205</v>
      </c>
      <c r="N150" s="92" t="str">
        <f t="shared" si="7"/>
        <v>3SNMCLBMSNEYK1001205</v>
      </c>
      <c r="O150" s="93">
        <v>100</v>
      </c>
      <c r="P150" s="92">
        <v>3</v>
      </c>
      <c r="Q150" s="92" t="s">
        <v>182</v>
      </c>
      <c r="R150" s="93">
        <v>1205</v>
      </c>
      <c r="S150" s="93">
        <v>2500</v>
      </c>
      <c r="T150" s="93">
        <v>1205</v>
      </c>
      <c r="U150" s="93">
        <v>1205</v>
      </c>
      <c r="V150" s="93">
        <v>2500</v>
      </c>
      <c r="W150" s="84">
        <v>2</v>
      </c>
      <c r="X150" s="85" t="s">
        <v>136</v>
      </c>
      <c r="Y150" s="86" t="s">
        <v>1997</v>
      </c>
      <c r="Z150" s="87">
        <v>6</v>
      </c>
      <c r="AA150" s="88" t="s">
        <v>24</v>
      </c>
      <c r="AB150" s="89">
        <v>1450</v>
      </c>
      <c r="AC150" s="86">
        <v>6</v>
      </c>
      <c r="AD150" s="88" t="s">
        <v>147</v>
      </c>
      <c r="AE150" s="89">
        <v>1220</v>
      </c>
      <c r="AF150" s="113">
        <v>2</v>
      </c>
      <c r="AG150" s="88" t="s">
        <v>24</v>
      </c>
      <c r="AH150" s="89">
        <v>1450</v>
      </c>
      <c r="AI150" s="113">
        <v>3</v>
      </c>
      <c r="AJ150" s="88" t="s">
        <v>24</v>
      </c>
      <c r="AK150" s="89">
        <v>1450</v>
      </c>
      <c r="AL150" s="90"/>
      <c r="AM150" s="91" t="s">
        <v>501</v>
      </c>
      <c r="AN150" s="91" t="s">
        <v>476</v>
      </c>
      <c r="AO150" s="243" t="str">
        <f t="shared" si="4"/>
        <v>3SNMCLBMSNEYK100</v>
      </c>
    </row>
    <row r="151" spans="1:41" ht="15" customHeight="1" x14ac:dyDescent="0.15">
      <c r="A151" s="83">
        <v>333</v>
      </c>
      <c r="B151" s="92">
        <v>275</v>
      </c>
      <c r="C151" s="92">
        <v>5174</v>
      </c>
      <c r="D151" s="92" t="s">
        <v>116</v>
      </c>
      <c r="E151" s="92" t="s">
        <v>117</v>
      </c>
      <c r="F151" s="92" t="s">
        <v>2047</v>
      </c>
      <c r="G151" s="92" t="str">
        <f>CONCATENATE(P151,H151,I151,J151,K151)</f>
        <v>3SNMCLBNGKEYKB</v>
      </c>
      <c r="H151" s="92" t="s">
        <v>19</v>
      </c>
      <c r="I151" s="92" t="s">
        <v>20</v>
      </c>
      <c r="J151" s="92" t="s">
        <v>1555</v>
      </c>
      <c r="K151" s="92" t="s">
        <v>245</v>
      </c>
      <c r="L151" s="92" t="s">
        <v>246</v>
      </c>
      <c r="M151" s="92" t="str">
        <f>G151&amp;O151&amp;R151</f>
        <v>3SNMCLBNGKEYKB161005</v>
      </c>
      <c r="N151" s="92" t="str">
        <f>G151&amp;O151&amp;U151</f>
        <v>3SNMCLBNGKEYKB161000</v>
      </c>
      <c r="O151" s="93">
        <v>16</v>
      </c>
      <c r="P151" s="92">
        <v>3</v>
      </c>
      <c r="Q151" s="92" t="s">
        <v>154</v>
      </c>
      <c r="R151" s="93">
        <v>1005</v>
      </c>
      <c r="S151" s="93">
        <v>3000</v>
      </c>
      <c r="T151" s="93">
        <v>1005</v>
      </c>
      <c r="U151" s="93">
        <v>1000</v>
      </c>
      <c r="V151" s="93">
        <v>3000</v>
      </c>
      <c r="W151" s="84">
        <v>2</v>
      </c>
      <c r="X151" s="85" t="s">
        <v>136</v>
      </c>
      <c r="Y151" s="86" t="s">
        <v>1997</v>
      </c>
      <c r="Z151" s="87">
        <v>6</v>
      </c>
      <c r="AA151" s="88" t="s">
        <v>24</v>
      </c>
      <c r="AB151" s="89">
        <v>1450</v>
      </c>
      <c r="AC151" s="87">
        <v>6</v>
      </c>
      <c r="AD151" s="88" t="s">
        <v>147</v>
      </c>
      <c r="AE151" s="89">
        <v>1015</v>
      </c>
      <c r="AF151" s="86">
        <v>2</v>
      </c>
      <c r="AG151" s="88" t="s">
        <v>209</v>
      </c>
      <c r="AH151" s="89" t="s">
        <v>2000</v>
      </c>
      <c r="AI151" s="86">
        <v>3</v>
      </c>
      <c r="AJ151" s="88" t="s">
        <v>24</v>
      </c>
      <c r="AK151" s="89">
        <v>1450</v>
      </c>
      <c r="AL151" s="90"/>
      <c r="AM151" s="91"/>
      <c r="AN151" s="91" t="s">
        <v>476</v>
      </c>
      <c r="AO151" s="203" t="str">
        <f>G151&amp;O151</f>
        <v>3SNMCLBNGKEYKB16</v>
      </c>
    </row>
    <row r="152" spans="1:41" ht="15" customHeight="1" x14ac:dyDescent="0.15">
      <c r="A152" s="83">
        <v>333</v>
      </c>
      <c r="B152" s="92">
        <v>275</v>
      </c>
      <c r="C152" s="92">
        <v>5174</v>
      </c>
      <c r="D152" s="92" t="s">
        <v>116</v>
      </c>
      <c r="E152" s="92" t="s">
        <v>117</v>
      </c>
      <c r="F152" s="92" t="s">
        <v>2047</v>
      </c>
      <c r="G152" s="92" t="str">
        <f t="shared" si="5"/>
        <v>3SNMCLBNGKVB</v>
      </c>
      <c r="H152" s="92" t="s">
        <v>19</v>
      </c>
      <c r="I152" s="92" t="s">
        <v>20</v>
      </c>
      <c r="J152" s="92" t="s">
        <v>165</v>
      </c>
      <c r="K152" s="92" t="s">
        <v>185</v>
      </c>
      <c r="L152" s="92" t="s">
        <v>186</v>
      </c>
      <c r="M152" s="92" t="str">
        <f t="shared" si="6"/>
        <v>3SNMCLBNGKVB501005</v>
      </c>
      <c r="N152" s="92" t="str">
        <f t="shared" si="7"/>
        <v>3SNMCLBNGKVB501000</v>
      </c>
      <c r="O152" s="93">
        <v>50</v>
      </c>
      <c r="P152" s="92">
        <v>3</v>
      </c>
      <c r="Q152" s="92" t="s">
        <v>161</v>
      </c>
      <c r="R152" s="93">
        <v>1005</v>
      </c>
      <c r="S152" s="93">
        <v>4100</v>
      </c>
      <c r="T152" s="93">
        <v>1005</v>
      </c>
      <c r="U152" s="93">
        <v>1000</v>
      </c>
      <c r="V152" s="93">
        <v>4000</v>
      </c>
      <c r="W152" s="84">
        <v>2</v>
      </c>
      <c r="X152" s="85" t="s">
        <v>136</v>
      </c>
      <c r="Y152" s="86" t="s">
        <v>1997</v>
      </c>
      <c r="Z152" s="87">
        <v>6</v>
      </c>
      <c r="AA152" s="88" t="s">
        <v>24</v>
      </c>
      <c r="AB152" s="89">
        <v>1450</v>
      </c>
      <c r="AC152" s="86">
        <v>6</v>
      </c>
      <c r="AD152" s="88" t="s">
        <v>147</v>
      </c>
      <c r="AE152" s="89">
        <v>1015</v>
      </c>
      <c r="AF152" s="113">
        <v>2</v>
      </c>
      <c r="AG152" s="88" t="s">
        <v>24</v>
      </c>
      <c r="AH152" s="89">
        <v>1450</v>
      </c>
      <c r="AI152" s="113">
        <v>3</v>
      </c>
      <c r="AJ152" s="88" t="s">
        <v>24</v>
      </c>
      <c r="AK152" s="89">
        <v>1450</v>
      </c>
      <c r="AL152" s="90"/>
      <c r="AM152" s="91"/>
      <c r="AN152" s="91" t="s">
        <v>476</v>
      </c>
      <c r="AO152" s="243" t="str">
        <f t="shared" si="4"/>
        <v>3SNMCLBNGKVB50</v>
      </c>
    </row>
    <row r="153" spans="1:41" ht="15" customHeight="1" x14ac:dyDescent="0.15">
      <c r="A153" s="83">
        <v>333</v>
      </c>
      <c r="B153" s="92">
        <v>275</v>
      </c>
      <c r="C153" s="92">
        <v>5174</v>
      </c>
      <c r="D153" s="92" t="s">
        <v>116</v>
      </c>
      <c r="E153" s="92" t="s">
        <v>117</v>
      </c>
      <c r="F153" s="92" t="s">
        <v>2047</v>
      </c>
      <c r="G153" s="92" t="str">
        <f t="shared" si="5"/>
        <v>3SNMCLBNGTVB</v>
      </c>
      <c r="H153" s="92" t="s">
        <v>19</v>
      </c>
      <c r="I153" s="92" t="s">
        <v>20</v>
      </c>
      <c r="J153" s="92" t="s">
        <v>165</v>
      </c>
      <c r="K153" s="92" t="s">
        <v>187</v>
      </c>
      <c r="L153" s="92" t="s">
        <v>188</v>
      </c>
      <c r="M153" s="92" t="str">
        <f t="shared" si="6"/>
        <v>3SNMCLBNGTVB501150</v>
      </c>
      <c r="N153" s="92" t="str">
        <f t="shared" si="7"/>
        <v>3SNMCLBNGTVB501120</v>
      </c>
      <c r="O153" s="93">
        <v>50</v>
      </c>
      <c r="P153" s="92">
        <v>3</v>
      </c>
      <c r="Q153" s="92" t="s">
        <v>1798</v>
      </c>
      <c r="R153" s="93">
        <v>1150</v>
      </c>
      <c r="S153" s="93">
        <v>5000</v>
      </c>
      <c r="T153" s="93">
        <v>1120</v>
      </c>
      <c r="U153" s="93">
        <v>1120</v>
      </c>
      <c r="V153" s="93">
        <v>2500</v>
      </c>
      <c r="W153" s="84">
        <v>2</v>
      </c>
      <c r="X153" s="85" t="s">
        <v>136</v>
      </c>
      <c r="Y153" s="86" t="s">
        <v>1997</v>
      </c>
      <c r="Z153" s="87">
        <v>6</v>
      </c>
      <c r="AA153" s="88" t="s">
        <v>24</v>
      </c>
      <c r="AB153" s="89">
        <v>1450</v>
      </c>
      <c r="AC153" s="86">
        <v>6</v>
      </c>
      <c r="AD153" s="88" t="s">
        <v>147</v>
      </c>
      <c r="AE153" s="89">
        <v>1125</v>
      </c>
      <c r="AF153" s="113">
        <v>2</v>
      </c>
      <c r="AG153" s="88" t="s">
        <v>24</v>
      </c>
      <c r="AH153" s="89">
        <v>1450</v>
      </c>
      <c r="AI153" s="113">
        <v>3</v>
      </c>
      <c r="AJ153" s="88" t="s">
        <v>24</v>
      </c>
      <c r="AK153" s="89">
        <v>1450</v>
      </c>
      <c r="AL153" s="90"/>
      <c r="AM153" s="91"/>
      <c r="AN153" s="91" t="s">
        <v>476</v>
      </c>
      <c r="AO153" s="243" t="str">
        <f t="shared" si="4"/>
        <v>3SNMCLBNGTVB50</v>
      </c>
    </row>
    <row r="154" spans="1:41" ht="15" customHeight="1" x14ac:dyDescent="0.15">
      <c r="A154" s="83">
        <v>333</v>
      </c>
      <c r="B154" s="92">
        <v>275</v>
      </c>
      <c r="C154" s="92">
        <v>5174</v>
      </c>
      <c r="D154" s="92" t="s">
        <v>116</v>
      </c>
      <c r="E154" s="92" t="s">
        <v>117</v>
      </c>
      <c r="F154" s="92" t="s">
        <v>2047</v>
      </c>
      <c r="G154" s="92" t="str">
        <f t="shared" si="5"/>
        <v>3SNMCLBNGTVB</v>
      </c>
      <c r="H154" s="92" t="s">
        <v>19</v>
      </c>
      <c r="I154" s="92" t="s">
        <v>20</v>
      </c>
      <c r="J154" s="92" t="s">
        <v>165</v>
      </c>
      <c r="K154" s="92" t="s">
        <v>187</v>
      </c>
      <c r="L154" s="92" t="s">
        <v>2934</v>
      </c>
      <c r="M154" s="92" t="str">
        <f t="shared" si="6"/>
        <v>3SNMCLBNGTVB501040</v>
      </c>
      <c r="N154" s="92" t="str">
        <f t="shared" si="7"/>
        <v>3SNMCLBNGTVB501000</v>
      </c>
      <c r="O154" s="93">
        <v>50</v>
      </c>
      <c r="P154" s="92">
        <v>3</v>
      </c>
      <c r="Q154" s="92" t="s">
        <v>189</v>
      </c>
      <c r="R154" s="93">
        <v>1040</v>
      </c>
      <c r="S154" s="93">
        <v>5000</v>
      </c>
      <c r="T154" s="93">
        <v>1000</v>
      </c>
      <c r="U154" s="93">
        <v>1000</v>
      </c>
      <c r="V154" s="93">
        <v>2500</v>
      </c>
      <c r="W154" s="84">
        <v>2</v>
      </c>
      <c r="X154" s="85" t="s">
        <v>136</v>
      </c>
      <c r="Y154" s="86" t="s">
        <v>1997</v>
      </c>
      <c r="Z154" s="87">
        <v>6</v>
      </c>
      <c r="AA154" s="88" t="s">
        <v>24</v>
      </c>
      <c r="AB154" s="89">
        <v>1450</v>
      </c>
      <c r="AC154" s="86">
        <v>6</v>
      </c>
      <c r="AD154" s="88" t="s">
        <v>147</v>
      </c>
      <c r="AE154" s="89">
        <v>1015</v>
      </c>
      <c r="AF154" s="113">
        <v>2</v>
      </c>
      <c r="AG154" s="88" t="s">
        <v>24</v>
      </c>
      <c r="AH154" s="89">
        <v>1450</v>
      </c>
      <c r="AI154" s="113">
        <v>3</v>
      </c>
      <c r="AJ154" s="88" t="s">
        <v>24</v>
      </c>
      <c r="AK154" s="89">
        <v>1450</v>
      </c>
      <c r="AL154" s="90"/>
      <c r="AM154" s="91"/>
      <c r="AN154" s="91" t="s">
        <v>476</v>
      </c>
      <c r="AO154" s="243" t="str">
        <f t="shared" si="4"/>
        <v>3SNMCLBNGTVB50</v>
      </c>
    </row>
    <row r="155" spans="1:41" ht="15" customHeight="1" x14ac:dyDescent="0.15">
      <c r="A155" s="83">
        <v>333</v>
      </c>
      <c r="B155" s="92">
        <v>275</v>
      </c>
      <c r="C155" s="92">
        <v>5174</v>
      </c>
      <c r="D155" s="92" t="s">
        <v>116</v>
      </c>
      <c r="E155" s="92" t="s">
        <v>117</v>
      </c>
      <c r="F155" s="92" t="s">
        <v>2047</v>
      </c>
      <c r="G155" s="92" t="str">
        <f t="shared" si="5"/>
        <v>3SNMCLBNGTVB</v>
      </c>
      <c r="H155" s="92" t="s">
        <v>19</v>
      </c>
      <c r="I155" s="92" t="s">
        <v>20</v>
      </c>
      <c r="J155" s="92" t="s">
        <v>165</v>
      </c>
      <c r="K155" s="92" t="s">
        <v>187</v>
      </c>
      <c r="L155" s="92" t="s">
        <v>188</v>
      </c>
      <c r="M155" s="92" t="str">
        <f t="shared" si="6"/>
        <v>3SNMCLBNGTVB501195</v>
      </c>
      <c r="N155" s="92" t="str">
        <f t="shared" si="7"/>
        <v>3SNMCLBNGTVB501190</v>
      </c>
      <c r="O155" s="93">
        <v>50</v>
      </c>
      <c r="P155" s="92">
        <v>3</v>
      </c>
      <c r="Q155" s="92" t="s">
        <v>189</v>
      </c>
      <c r="R155" s="93">
        <v>1195</v>
      </c>
      <c r="S155" s="93">
        <v>6100</v>
      </c>
      <c r="T155" s="93">
        <v>1195</v>
      </c>
      <c r="U155" s="93">
        <v>1190</v>
      </c>
      <c r="V155" s="93">
        <v>6000</v>
      </c>
      <c r="W155" s="84">
        <v>2</v>
      </c>
      <c r="X155" s="85" t="s">
        <v>136</v>
      </c>
      <c r="Y155" s="86" t="s">
        <v>1997</v>
      </c>
      <c r="Z155" s="87">
        <v>6</v>
      </c>
      <c r="AA155" s="88" t="s">
        <v>24</v>
      </c>
      <c r="AB155" s="89">
        <v>1450</v>
      </c>
      <c r="AC155" s="86">
        <v>6</v>
      </c>
      <c r="AD155" s="88" t="s">
        <v>147</v>
      </c>
      <c r="AE155" s="89">
        <v>1220</v>
      </c>
      <c r="AF155" s="113">
        <v>2</v>
      </c>
      <c r="AG155" s="88" t="s">
        <v>24</v>
      </c>
      <c r="AH155" s="89">
        <v>1450</v>
      </c>
      <c r="AI155" s="113">
        <v>3</v>
      </c>
      <c r="AJ155" s="88" t="s">
        <v>24</v>
      </c>
      <c r="AK155" s="89">
        <v>1450</v>
      </c>
      <c r="AL155" s="90"/>
      <c r="AM155" s="91"/>
      <c r="AN155" s="91" t="s">
        <v>476</v>
      </c>
      <c r="AO155" s="243" t="str">
        <f t="shared" si="4"/>
        <v>3SNMCLBNGTVB50</v>
      </c>
    </row>
    <row r="156" spans="1:41" ht="15" customHeight="1" x14ac:dyDescent="0.15">
      <c r="A156" s="83">
        <v>333</v>
      </c>
      <c r="B156" s="92">
        <v>275</v>
      </c>
      <c r="C156" s="92">
        <v>5174</v>
      </c>
      <c r="D156" s="92" t="s">
        <v>116</v>
      </c>
      <c r="E156" s="92" t="s">
        <v>117</v>
      </c>
      <c r="F156" s="92" t="s">
        <v>2047</v>
      </c>
      <c r="G156" s="92" t="str">
        <f t="shared" si="5"/>
        <v>3SNMCLBNGTVB</v>
      </c>
      <c r="H156" s="92" t="s">
        <v>19</v>
      </c>
      <c r="I156" s="92" t="s">
        <v>20</v>
      </c>
      <c r="J156" s="92" t="s">
        <v>165</v>
      </c>
      <c r="K156" s="92" t="s">
        <v>187</v>
      </c>
      <c r="L156" s="92" t="s">
        <v>188</v>
      </c>
      <c r="M156" s="92" t="str">
        <f t="shared" si="6"/>
        <v>3SNMCLBNGTVB501235</v>
      </c>
      <c r="N156" s="92" t="str">
        <f t="shared" si="7"/>
        <v>3SNMCLBNGTVB501195</v>
      </c>
      <c r="O156" s="93">
        <v>50</v>
      </c>
      <c r="P156" s="92">
        <v>3</v>
      </c>
      <c r="Q156" s="92" t="s">
        <v>151</v>
      </c>
      <c r="R156" s="93">
        <v>1235</v>
      </c>
      <c r="S156" s="93">
        <v>6200</v>
      </c>
      <c r="T156" s="93">
        <v>1195</v>
      </c>
      <c r="U156" s="93">
        <v>1195</v>
      </c>
      <c r="V156" s="93">
        <v>6200</v>
      </c>
      <c r="W156" s="84">
        <v>2</v>
      </c>
      <c r="X156" s="85" t="s">
        <v>136</v>
      </c>
      <c r="Y156" s="86" t="s">
        <v>1997</v>
      </c>
      <c r="Z156" s="87">
        <v>6</v>
      </c>
      <c r="AA156" s="88" t="s">
        <v>24</v>
      </c>
      <c r="AB156" s="89">
        <v>1450</v>
      </c>
      <c r="AC156" s="86">
        <v>6</v>
      </c>
      <c r="AD156" s="88" t="s">
        <v>147</v>
      </c>
      <c r="AE156" s="89">
        <v>1220</v>
      </c>
      <c r="AF156" s="113">
        <v>2</v>
      </c>
      <c r="AG156" s="88" t="s">
        <v>24</v>
      </c>
      <c r="AH156" s="89">
        <v>1450</v>
      </c>
      <c r="AI156" s="113">
        <v>3</v>
      </c>
      <c r="AJ156" s="88" t="s">
        <v>24</v>
      </c>
      <c r="AK156" s="89">
        <v>1450</v>
      </c>
      <c r="AL156" s="90"/>
      <c r="AM156" s="91"/>
      <c r="AN156" s="91" t="s">
        <v>476</v>
      </c>
      <c r="AO156" s="243" t="str">
        <f t="shared" si="4"/>
        <v>3SNMCLBNGTVB50</v>
      </c>
    </row>
    <row r="157" spans="1:41" ht="15" customHeight="1" x14ac:dyDescent="0.15">
      <c r="A157" s="83">
        <v>333</v>
      </c>
      <c r="B157" s="92">
        <v>276</v>
      </c>
      <c r="C157" s="92">
        <v>33042</v>
      </c>
      <c r="D157" s="92" t="s">
        <v>148</v>
      </c>
      <c r="E157" s="92" t="s">
        <v>58</v>
      </c>
      <c r="F157" s="92" t="s">
        <v>46</v>
      </c>
      <c r="G157" s="92" t="str">
        <f t="shared" si="5"/>
        <v>3SNMCLBSCB</v>
      </c>
      <c r="H157" s="92" t="s">
        <v>19</v>
      </c>
      <c r="I157" s="92" t="s">
        <v>20</v>
      </c>
      <c r="J157" s="92" t="s">
        <v>165</v>
      </c>
      <c r="K157" s="92" t="s">
        <v>190</v>
      </c>
      <c r="L157" s="92" t="s">
        <v>191</v>
      </c>
      <c r="M157" s="92" t="str">
        <f t="shared" si="6"/>
        <v>3SNMCLBSCB251060</v>
      </c>
      <c r="N157" s="92" t="str">
        <f t="shared" si="7"/>
        <v>3SNMCLBSCB251020</v>
      </c>
      <c r="O157" s="93">
        <v>25</v>
      </c>
      <c r="P157" s="92">
        <v>3</v>
      </c>
      <c r="Q157" s="92" t="s">
        <v>124</v>
      </c>
      <c r="R157" s="93">
        <v>1060</v>
      </c>
      <c r="S157" s="93">
        <v>12200</v>
      </c>
      <c r="T157" s="93">
        <v>1020</v>
      </c>
      <c r="U157" s="93">
        <v>1020</v>
      </c>
      <c r="V157" s="93">
        <v>6000</v>
      </c>
      <c r="W157" s="84">
        <v>2</v>
      </c>
      <c r="X157" s="85" t="s">
        <v>136</v>
      </c>
      <c r="Y157" s="86" t="s">
        <v>1997</v>
      </c>
      <c r="Z157" s="87">
        <v>6</v>
      </c>
      <c r="AA157" s="88" t="s">
        <v>24</v>
      </c>
      <c r="AB157" s="89">
        <v>1450</v>
      </c>
      <c r="AC157" s="86">
        <v>6</v>
      </c>
      <c r="AD157" s="88" t="s">
        <v>175</v>
      </c>
      <c r="AE157" s="89">
        <v>1035</v>
      </c>
      <c r="AF157" s="113">
        <v>2</v>
      </c>
      <c r="AG157" s="88" t="s">
        <v>24</v>
      </c>
      <c r="AH157" s="89">
        <v>1450</v>
      </c>
      <c r="AI157" s="113">
        <v>3</v>
      </c>
      <c r="AJ157" s="88" t="s">
        <v>24</v>
      </c>
      <c r="AK157" s="89">
        <v>1450</v>
      </c>
      <c r="AL157" s="90">
        <v>2</v>
      </c>
      <c r="AM157" s="91" t="s">
        <v>49</v>
      </c>
      <c r="AN157" s="91" t="s">
        <v>476</v>
      </c>
      <c r="AO157" s="243" t="str">
        <f t="shared" si="4"/>
        <v>3SNMCLBSCB25</v>
      </c>
    </row>
    <row r="158" spans="1:41" ht="15" customHeight="1" x14ac:dyDescent="0.15">
      <c r="A158" s="83">
        <v>333</v>
      </c>
      <c r="B158" s="92">
        <v>275</v>
      </c>
      <c r="C158" s="92">
        <v>5174</v>
      </c>
      <c r="D158" s="92" t="s">
        <v>116</v>
      </c>
      <c r="E158" s="92" t="s">
        <v>117</v>
      </c>
      <c r="F158" s="92" t="s">
        <v>2047</v>
      </c>
      <c r="G158" s="92" t="str">
        <f t="shared" si="5"/>
        <v>33SSNMCLBTEKKFV</v>
      </c>
      <c r="H158" s="92" t="s">
        <v>19</v>
      </c>
      <c r="I158" s="92" t="s">
        <v>20</v>
      </c>
      <c r="J158" s="92" t="s">
        <v>165</v>
      </c>
      <c r="K158" s="92" t="s">
        <v>192</v>
      </c>
      <c r="L158" s="92" t="s">
        <v>193</v>
      </c>
      <c r="M158" s="92" t="str">
        <f t="shared" si="6"/>
        <v>33SSNMCLBTEKKFV381005</v>
      </c>
      <c r="N158" s="92" t="str">
        <f t="shared" si="7"/>
        <v>33SSNMCLBTEKKFV381000</v>
      </c>
      <c r="O158" s="93">
        <v>38</v>
      </c>
      <c r="P158" s="92" t="s">
        <v>158</v>
      </c>
      <c r="Q158" s="92" t="s">
        <v>194</v>
      </c>
      <c r="R158" s="93">
        <v>1005</v>
      </c>
      <c r="S158" s="93">
        <v>2000</v>
      </c>
      <c r="T158" s="93">
        <v>1005</v>
      </c>
      <c r="U158" s="93">
        <v>1000</v>
      </c>
      <c r="V158" s="93">
        <v>2000</v>
      </c>
      <c r="W158" s="84">
        <v>2</v>
      </c>
      <c r="X158" s="85" t="s">
        <v>136</v>
      </c>
      <c r="Y158" s="86" t="s">
        <v>1997</v>
      </c>
      <c r="Z158" s="87">
        <v>6</v>
      </c>
      <c r="AA158" s="88" t="s">
        <v>24</v>
      </c>
      <c r="AB158" s="89">
        <v>1450</v>
      </c>
      <c r="AC158" s="86">
        <v>6</v>
      </c>
      <c r="AD158" s="88" t="s">
        <v>175</v>
      </c>
      <c r="AE158" s="89">
        <v>1015</v>
      </c>
      <c r="AF158" s="113">
        <v>2</v>
      </c>
      <c r="AG158" s="88" t="s">
        <v>24</v>
      </c>
      <c r="AH158" s="89">
        <v>1450</v>
      </c>
      <c r="AI158" s="113">
        <v>3</v>
      </c>
      <c r="AJ158" s="88" t="s">
        <v>24</v>
      </c>
      <c r="AK158" s="89">
        <v>1450</v>
      </c>
      <c r="AL158" s="90"/>
      <c r="AM158" s="91"/>
      <c r="AN158" s="91" t="s">
        <v>476</v>
      </c>
      <c r="AO158" s="243" t="str">
        <f t="shared" si="4"/>
        <v>33SSNMCLBTEKKFV38</v>
      </c>
    </row>
    <row r="159" spans="1:41" ht="15" customHeight="1" x14ac:dyDescent="0.15">
      <c r="A159" s="83">
        <v>333</v>
      </c>
      <c r="B159" s="92">
        <v>275</v>
      </c>
      <c r="C159" s="92">
        <v>5174</v>
      </c>
      <c r="D159" s="92" t="s">
        <v>116</v>
      </c>
      <c r="E159" s="92" t="s">
        <v>117</v>
      </c>
      <c r="F159" s="92" t="s">
        <v>2047</v>
      </c>
      <c r="G159" s="92" t="str">
        <f t="shared" si="5"/>
        <v>33SSNMCLBTEKKFV</v>
      </c>
      <c r="H159" s="92" t="s">
        <v>19</v>
      </c>
      <c r="I159" s="92" t="s">
        <v>20</v>
      </c>
      <c r="J159" s="92" t="s">
        <v>165</v>
      </c>
      <c r="K159" s="92" t="s">
        <v>192</v>
      </c>
      <c r="L159" s="92" t="s">
        <v>193</v>
      </c>
      <c r="M159" s="92" t="str">
        <f t="shared" si="6"/>
        <v>33SSNMCLBTEKKFV501005</v>
      </c>
      <c r="N159" s="92" t="str">
        <f t="shared" si="7"/>
        <v>33SSNMCLBTEKKFV501000</v>
      </c>
      <c r="O159" s="93">
        <v>50</v>
      </c>
      <c r="P159" s="92" t="s">
        <v>158</v>
      </c>
      <c r="Q159" s="92" t="s">
        <v>194</v>
      </c>
      <c r="R159" s="93">
        <v>1005</v>
      </c>
      <c r="S159" s="93">
        <v>4000</v>
      </c>
      <c r="T159" s="93">
        <v>1005</v>
      </c>
      <c r="U159" s="93">
        <v>1000</v>
      </c>
      <c r="V159" s="93">
        <v>4000</v>
      </c>
      <c r="W159" s="84">
        <v>2</v>
      </c>
      <c r="X159" s="85" t="s">
        <v>136</v>
      </c>
      <c r="Y159" s="86" t="s">
        <v>1997</v>
      </c>
      <c r="Z159" s="87">
        <v>6</v>
      </c>
      <c r="AA159" s="88" t="s">
        <v>24</v>
      </c>
      <c r="AB159" s="89">
        <v>1450</v>
      </c>
      <c r="AC159" s="86">
        <v>6</v>
      </c>
      <c r="AD159" s="88" t="s">
        <v>175</v>
      </c>
      <c r="AE159" s="89">
        <v>1015</v>
      </c>
      <c r="AF159" s="113">
        <v>2</v>
      </c>
      <c r="AG159" s="88" t="s">
        <v>24</v>
      </c>
      <c r="AH159" s="89">
        <v>1450</v>
      </c>
      <c r="AI159" s="113">
        <v>3</v>
      </c>
      <c r="AJ159" s="88" t="s">
        <v>24</v>
      </c>
      <c r="AK159" s="89">
        <v>1450</v>
      </c>
      <c r="AL159" s="90"/>
      <c r="AM159" s="91"/>
      <c r="AN159" s="91" t="s">
        <v>476</v>
      </c>
      <c r="AO159" s="243" t="str">
        <f t="shared" si="4"/>
        <v>33SSNMCLBTEKKFV50</v>
      </c>
    </row>
    <row r="160" spans="1:41" ht="15" customHeight="1" x14ac:dyDescent="0.15">
      <c r="A160" s="83">
        <v>333</v>
      </c>
      <c r="B160" s="92">
        <v>275</v>
      </c>
      <c r="C160" s="92">
        <v>5174</v>
      </c>
      <c r="D160" s="92" t="s">
        <v>116</v>
      </c>
      <c r="E160" s="92" t="s">
        <v>117</v>
      </c>
      <c r="F160" s="92" t="s">
        <v>2047</v>
      </c>
      <c r="G160" s="92" t="str">
        <f t="shared" si="5"/>
        <v>33SSNMCLBTEKV0V</v>
      </c>
      <c r="H160" s="92" t="s">
        <v>450</v>
      </c>
      <c r="I160" s="92" t="s">
        <v>1550</v>
      </c>
      <c r="J160" s="92" t="s">
        <v>451</v>
      </c>
      <c r="K160" s="92" t="s">
        <v>2055</v>
      </c>
      <c r="L160" s="92" t="s">
        <v>196</v>
      </c>
      <c r="M160" s="92" t="str">
        <f t="shared" si="6"/>
        <v>33SSNMCLBTEKV0V501005</v>
      </c>
      <c r="N160" s="92" t="str">
        <f t="shared" si="7"/>
        <v>33SSNMCLBTEKV0V501000</v>
      </c>
      <c r="O160" s="93">
        <v>50</v>
      </c>
      <c r="P160" s="92" t="s">
        <v>2001</v>
      </c>
      <c r="Q160" s="92" t="s">
        <v>194</v>
      </c>
      <c r="R160" s="93">
        <v>1005</v>
      </c>
      <c r="S160" s="93">
        <v>4000</v>
      </c>
      <c r="T160" s="93">
        <v>1005</v>
      </c>
      <c r="U160" s="93">
        <v>1000</v>
      </c>
      <c r="V160" s="93">
        <v>4000</v>
      </c>
      <c r="W160" s="84">
        <v>2</v>
      </c>
      <c r="X160" s="85" t="s">
        <v>136</v>
      </c>
      <c r="Y160" s="86" t="s">
        <v>1997</v>
      </c>
      <c r="Z160" s="87">
        <v>6</v>
      </c>
      <c r="AA160" s="88" t="s">
        <v>24</v>
      </c>
      <c r="AB160" s="89">
        <v>1450</v>
      </c>
      <c r="AC160" s="86">
        <v>6</v>
      </c>
      <c r="AD160" s="88" t="s">
        <v>175</v>
      </c>
      <c r="AE160" s="89">
        <v>1015</v>
      </c>
      <c r="AF160" s="113">
        <v>2</v>
      </c>
      <c r="AG160" s="88" t="s">
        <v>24</v>
      </c>
      <c r="AH160" s="89">
        <v>1450</v>
      </c>
      <c r="AI160" s="113">
        <v>3</v>
      </c>
      <c r="AJ160" s="88" t="s">
        <v>24</v>
      </c>
      <c r="AK160" s="89">
        <v>1450</v>
      </c>
      <c r="AL160" s="90"/>
      <c r="AM160" s="91"/>
      <c r="AN160" s="91" t="s">
        <v>476</v>
      </c>
      <c r="AO160" s="243" t="str">
        <f t="shared" si="4"/>
        <v>33SSNMCLBTEKV0V50</v>
      </c>
    </row>
    <row r="161" spans="1:41" ht="15" customHeight="1" x14ac:dyDescent="0.15">
      <c r="A161" s="83">
        <v>333</v>
      </c>
      <c r="B161" s="92">
        <v>275</v>
      </c>
      <c r="C161" s="92">
        <v>5174</v>
      </c>
      <c r="D161" s="92" t="s">
        <v>116</v>
      </c>
      <c r="E161" s="92" t="s">
        <v>117</v>
      </c>
      <c r="F161" s="92" t="s">
        <v>2047</v>
      </c>
      <c r="G161" s="92" t="str">
        <f t="shared" si="5"/>
        <v>33SSYMCLBTEKV0V</v>
      </c>
      <c r="H161" s="92" t="s">
        <v>19</v>
      </c>
      <c r="I161" s="92" t="s">
        <v>28</v>
      </c>
      <c r="J161" s="92" t="s">
        <v>165</v>
      </c>
      <c r="K161" s="92" t="s">
        <v>195</v>
      </c>
      <c r="L161" s="92" t="s">
        <v>196</v>
      </c>
      <c r="M161" s="92" t="str">
        <f t="shared" si="6"/>
        <v>33SSYMCLBTEKV0V501005</v>
      </c>
      <c r="N161" s="92" t="str">
        <f t="shared" si="7"/>
        <v>33SSYMCLBTEKV0V501000</v>
      </c>
      <c r="O161" s="93">
        <v>50</v>
      </c>
      <c r="P161" s="92" t="s">
        <v>158</v>
      </c>
      <c r="Q161" s="92" t="s">
        <v>194</v>
      </c>
      <c r="R161" s="93">
        <v>1005</v>
      </c>
      <c r="S161" s="93">
        <v>4000</v>
      </c>
      <c r="T161" s="93">
        <v>1005</v>
      </c>
      <c r="U161" s="93">
        <v>1000</v>
      </c>
      <c r="V161" s="93">
        <v>4000</v>
      </c>
      <c r="W161" s="84">
        <v>2</v>
      </c>
      <c r="X161" s="85" t="s">
        <v>136</v>
      </c>
      <c r="Y161" s="86" t="s">
        <v>1997</v>
      </c>
      <c r="Z161" s="87">
        <v>6</v>
      </c>
      <c r="AA161" s="88" t="s">
        <v>24</v>
      </c>
      <c r="AB161" s="89">
        <v>1450</v>
      </c>
      <c r="AC161" s="86">
        <v>6</v>
      </c>
      <c r="AD161" s="88" t="s">
        <v>175</v>
      </c>
      <c r="AE161" s="89">
        <v>1015</v>
      </c>
      <c r="AF161" s="113">
        <v>2</v>
      </c>
      <c r="AG161" s="88" t="s">
        <v>24</v>
      </c>
      <c r="AH161" s="89">
        <v>1450</v>
      </c>
      <c r="AI161" s="113">
        <v>3</v>
      </c>
      <c r="AJ161" s="88" t="s">
        <v>24</v>
      </c>
      <c r="AK161" s="89">
        <v>1450</v>
      </c>
      <c r="AL161" s="90"/>
      <c r="AM161" s="91"/>
      <c r="AN161" s="91" t="s">
        <v>476</v>
      </c>
      <c r="AO161" s="243" t="str">
        <f t="shared" si="4"/>
        <v>33SSYMCLBTEKV0V50</v>
      </c>
    </row>
    <row r="162" spans="1:41" ht="15" customHeight="1" x14ac:dyDescent="0.15">
      <c r="A162" s="83">
        <v>333</v>
      </c>
      <c r="B162" s="92">
        <v>275</v>
      </c>
      <c r="C162" s="92">
        <v>5174</v>
      </c>
      <c r="D162" s="92" t="s">
        <v>116</v>
      </c>
      <c r="E162" s="92" t="s">
        <v>117</v>
      </c>
      <c r="F162" s="92" t="s">
        <v>2047</v>
      </c>
      <c r="G162" s="92" t="str">
        <f t="shared" si="5"/>
        <v>33SSNMCLBTETKFV</v>
      </c>
      <c r="H162" s="92" t="s">
        <v>19</v>
      </c>
      <c r="I162" s="92" t="s">
        <v>20</v>
      </c>
      <c r="J162" s="92" t="s">
        <v>165</v>
      </c>
      <c r="K162" s="92" t="s">
        <v>197</v>
      </c>
      <c r="L162" s="92" t="s">
        <v>198</v>
      </c>
      <c r="M162" s="92" t="str">
        <f t="shared" si="6"/>
        <v>33SSNMCLBTETKFV501005</v>
      </c>
      <c r="N162" s="92" t="str">
        <f t="shared" si="7"/>
        <v>33SSNMCLBTETKFV501000</v>
      </c>
      <c r="O162" s="93">
        <v>50</v>
      </c>
      <c r="P162" s="92" t="s">
        <v>158</v>
      </c>
      <c r="Q162" s="92" t="s">
        <v>199</v>
      </c>
      <c r="R162" s="93">
        <v>1005</v>
      </c>
      <c r="S162" s="93">
        <v>4100</v>
      </c>
      <c r="T162" s="93">
        <v>1005</v>
      </c>
      <c r="U162" s="93">
        <v>1000</v>
      </c>
      <c r="V162" s="93">
        <v>4000</v>
      </c>
      <c r="W162" s="84">
        <v>2</v>
      </c>
      <c r="X162" s="85" t="s">
        <v>136</v>
      </c>
      <c r="Y162" s="86" t="s">
        <v>1997</v>
      </c>
      <c r="Z162" s="87">
        <v>6</v>
      </c>
      <c r="AA162" s="88" t="s">
        <v>24</v>
      </c>
      <c r="AB162" s="89">
        <v>1450</v>
      </c>
      <c r="AC162" s="86">
        <v>6</v>
      </c>
      <c r="AD162" s="88" t="s">
        <v>175</v>
      </c>
      <c r="AE162" s="89">
        <v>1015</v>
      </c>
      <c r="AF162" s="113">
        <v>2</v>
      </c>
      <c r="AG162" s="88" t="s">
        <v>24</v>
      </c>
      <c r="AH162" s="89">
        <v>1450</v>
      </c>
      <c r="AI162" s="113">
        <v>3</v>
      </c>
      <c r="AJ162" s="88" t="s">
        <v>24</v>
      </c>
      <c r="AK162" s="89">
        <v>1450</v>
      </c>
      <c r="AL162" s="90"/>
      <c r="AM162" s="91"/>
      <c r="AN162" s="91" t="s">
        <v>476</v>
      </c>
      <c r="AO162" s="243" t="str">
        <f t="shared" si="4"/>
        <v>33SSNMCLBTETKFV50</v>
      </c>
    </row>
    <row r="163" spans="1:41" ht="15" customHeight="1" x14ac:dyDescent="0.15">
      <c r="A163" s="83">
        <v>333</v>
      </c>
      <c r="B163" s="92">
        <v>275</v>
      </c>
      <c r="C163" s="92">
        <v>5174</v>
      </c>
      <c r="D163" s="92" t="s">
        <v>116</v>
      </c>
      <c r="E163" s="92" t="s">
        <v>117</v>
      </c>
      <c r="F163" s="92" t="s">
        <v>2047</v>
      </c>
      <c r="G163" s="92" t="str">
        <f t="shared" si="5"/>
        <v>3SNMCLBTETV0V</v>
      </c>
      <c r="H163" s="92" t="s">
        <v>19</v>
      </c>
      <c r="I163" s="92" t="s">
        <v>20</v>
      </c>
      <c r="J163" s="92" t="s">
        <v>165</v>
      </c>
      <c r="K163" s="92" t="s">
        <v>200</v>
      </c>
      <c r="L163" s="92" t="s">
        <v>201</v>
      </c>
      <c r="M163" s="92" t="str">
        <f t="shared" si="6"/>
        <v>3SNMCLBTETV0V501005</v>
      </c>
      <c r="N163" s="92" t="str">
        <f t="shared" si="7"/>
        <v>3SNMCLBTETV0V501000</v>
      </c>
      <c r="O163" s="93">
        <v>50</v>
      </c>
      <c r="P163" s="92">
        <v>3</v>
      </c>
      <c r="Q163" s="92" t="s">
        <v>199</v>
      </c>
      <c r="R163" s="93">
        <v>1005</v>
      </c>
      <c r="S163" s="93">
        <v>4100</v>
      </c>
      <c r="T163" s="93">
        <v>1005</v>
      </c>
      <c r="U163" s="93">
        <v>1000</v>
      </c>
      <c r="V163" s="93">
        <v>4000</v>
      </c>
      <c r="W163" s="84">
        <v>2</v>
      </c>
      <c r="X163" s="85" t="s">
        <v>136</v>
      </c>
      <c r="Y163" s="86" t="s">
        <v>1997</v>
      </c>
      <c r="Z163" s="87">
        <v>6</v>
      </c>
      <c r="AA163" s="88" t="s">
        <v>24</v>
      </c>
      <c r="AB163" s="89">
        <v>1450</v>
      </c>
      <c r="AC163" s="86">
        <v>6</v>
      </c>
      <c r="AD163" s="88" t="s">
        <v>175</v>
      </c>
      <c r="AE163" s="89">
        <v>1015</v>
      </c>
      <c r="AF163" s="113">
        <v>2</v>
      </c>
      <c r="AG163" s="88" t="s">
        <v>24</v>
      </c>
      <c r="AH163" s="89">
        <v>1450</v>
      </c>
      <c r="AI163" s="113">
        <v>3</v>
      </c>
      <c r="AJ163" s="88" t="s">
        <v>24</v>
      </c>
      <c r="AK163" s="89">
        <v>1450</v>
      </c>
      <c r="AL163" s="90"/>
      <c r="AM163" s="91"/>
      <c r="AN163" s="91" t="s">
        <v>476</v>
      </c>
      <c r="AO163" s="203" t="str">
        <f t="shared" si="4"/>
        <v>3SNMCLBTETV0V50</v>
      </c>
    </row>
    <row r="164" spans="1:41" ht="15" customHeight="1" x14ac:dyDescent="0.15">
      <c r="A164" s="119">
        <v>333</v>
      </c>
      <c r="B164" s="94">
        <v>275</v>
      </c>
      <c r="C164" s="94">
        <v>33042</v>
      </c>
      <c r="D164" s="94" t="s">
        <v>148</v>
      </c>
      <c r="E164" s="94" t="s">
        <v>58</v>
      </c>
      <c r="F164" s="94" t="s">
        <v>46</v>
      </c>
      <c r="G164" s="92" t="str">
        <f t="shared" si="5"/>
        <v>3HSNMCLBWCB</v>
      </c>
      <c r="H164" s="94" t="s">
        <v>19</v>
      </c>
      <c r="I164" s="94" t="s">
        <v>20</v>
      </c>
      <c r="J164" s="94" t="s">
        <v>165</v>
      </c>
      <c r="K164" s="94" t="s">
        <v>202</v>
      </c>
      <c r="L164" s="94" t="s">
        <v>203</v>
      </c>
      <c r="M164" s="94" t="s">
        <v>1613</v>
      </c>
      <c r="N164" s="94" t="s">
        <v>1614</v>
      </c>
      <c r="O164" s="120">
        <v>50</v>
      </c>
      <c r="P164" s="94" t="s">
        <v>468</v>
      </c>
      <c r="Q164" s="94" t="s">
        <v>1798</v>
      </c>
      <c r="R164" s="120">
        <v>1195</v>
      </c>
      <c r="S164" s="120">
        <v>6100</v>
      </c>
      <c r="T164" s="120">
        <v>1120</v>
      </c>
      <c r="U164" s="120">
        <v>1120</v>
      </c>
      <c r="V164" s="120">
        <v>5000</v>
      </c>
      <c r="W164" s="121">
        <v>2</v>
      </c>
      <c r="X164" s="122" t="s">
        <v>136</v>
      </c>
      <c r="Y164" s="123" t="s">
        <v>1615</v>
      </c>
      <c r="Z164" s="124">
        <v>6</v>
      </c>
      <c r="AA164" s="125" t="s">
        <v>266</v>
      </c>
      <c r="AB164" s="126">
        <v>1450</v>
      </c>
      <c r="AC164" s="123">
        <v>6</v>
      </c>
      <c r="AD164" s="125" t="s">
        <v>806</v>
      </c>
      <c r="AE164" s="126">
        <v>1140</v>
      </c>
      <c r="AF164" s="113">
        <v>2</v>
      </c>
      <c r="AG164" s="125" t="s">
        <v>266</v>
      </c>
      <c r="AH164" s="126">
        <v>1450</v>
      </c>
      <c r="AI164" s="113">
        <v>3</v>
      </c>
      <c r="AJ164" s="125" t="s">
        <v>266</v>
      </c>
      <c r="AK164" s="126">
        <v>1450</v>
      </c>
      <c r="AL164" s="127">
        <v>2</v>
      </c>
      <c r="AM164" s="128" t="s">
        <v>49</v>
      </c>
      <c r="AN164" s="128" t="s">
        <v>476</v>
      </c>
      <c r="AO164" s="203" t="s">
        <v>1616</v>
      </c>
    </row>
    <row r="165" spans="1:41" ht="15" customHeight="1" thickBot="1" x14ac:dyDescent="0.2">
      <c r="A165" s="97">
        <v>333</v>
      </c>
      <c r="B165" s="98">
        <v>275</v>
      </c>
      <c r="C165" s="98">
        <v>33042</v>
      </c>
      <c r="D165" s="98" t="s">
        <v>148</v>
      </c>
      <c r="E165" s="98" t="s">
        <v>58</v>
      </c>
      <c r="F165" s="98" t="s">
        <v>46</v>
      </c>
      <c r="G165" s="98" t="str">
        <f t="shared" si="5"/>
        <v>3SNMCLBWCB</v>
      </c>
      <c r="H165" s="98" t="s">
        <v>19</v>
      </c>
      <c r="I165" s="98" t="s">
        <v>20</v>
      </c>
      <c r="J165" s="98" t="s">
        <v>165</v>
      </c>
      <c r="K165" s="98" t="s">
        <v>202</v>
      </c>
      <c r="L165" s="98" t="s">
        <v>203</v>
      </c>
      <c r="M165" s="98" t="str">
        <f t="shared" si="6"/>
        <v>3SNMCLBWCB501150</v>
      </c>
      <c r="N165" s="98" t="str">
        <f t="shared" si="7"/>
        <v>3SNMCLBWCB501120</v>
      </c>
      <c r="O165" s="99">
        <v>50</v>
      </c>
      <c r="P165" s="98">
        <v>3</v>
      </c>
      <c r="Q165" s="98" t="s">
        <v>151</v>
      </c>
      <c r="R165" s="99">
        <v>1150</v>
      </c>
      <c r="S165" s="99">
        <v>5000</v>
      </c>
      <c r="T165" s="99">
        <v>1120</v>
      </c>
      <c r="U165" s="99">
        <v>1120</v>
      </c>
      <c r="V165" s="99">
        <v>5000</v>
      </c>
      <c r="W165" s="100">
        <v>2</v>
      </c>
      <c r="X165" s="122" t="s">
        <v>136</v>
      </c>
      <c r="Y165" s="123" t="s">
        <v>1997</v>
      </c>
      <c r="Z165" s="124">
        <v>6</v>
      </c>
      <c r="AA165" s="125" t="s">
        <v>24</v>
      </c>
      <c r="AB165" s="126">
        <v>1450</v>
      </c>
      <c r="AC165" s="123">
        <v>6</v>
      </c>
      <c r="AD165" s="125" t="s">
        <v>175</v>
      </c>
      <c r="AE165" s="126">
        <v>1140</v>
      </c>
      <c r="AF165" s="113">
        <v>2</v>
      </c>
      <c r="AG165" s="125" t="s">
        <v>24</v>
      </c>
      <c r="AH165" s="126">
        <v>1450</v>
      </c>
      <c r="AI165" s="113">
        <v>3</v>
      </c>
      <c r="AJ165" s="125" t="s">
        <v>24</v>
      </c>
      <c r="AK165" s="126">
        <v>1450</v>
      </c>
      <c r="AL165" s="127">
        <v>2</v>
      </c>
      <c r="AM165" s="128" t="s">
        <v>49</v>
      </c>
      <c r="AN165" s="128" t="s">
        <v>476</v>
      </c>
      <c r="AO165" s="244" t="str">
        <f t="shared" si="4"/>
        <v>3SNMCLBWCB50</v>
      </c>
    </row>
    <row r="166" spans="1:41" ht="15" customHeight="1" x14ac:dyDescent="0.15">
      <c r="A166" s="108">
        <v>333</v>
      </c>
      <c r="B166" s="109">
        <v>274</v>
      </c>
      <c r="C166" s="109">
        <v>2517</v>
      </c>
      <c r="D166" s="109" t="s">
        <v>204</v>
      </c>
      <c r="E166" s="109" t="s">
        <v>66</v>
      </c>
      <c r="F166" s="109" t="s">
        <v>2056</v>
      </c>
      <c r="G166" s="109" t="str">
        <f t="shared" si="5"/>
        <v>3SNMLBMDMSJF</v>
      </c>
      <c r="H166" s="109" t="s">
        <v>19</v>
      </c>
      <c r="I166" s="109" t="s">
        <v>20</v>
      </c>
      <c r="J166" s="109" t="s">
        <v>205</v>
      </c>
      <c r="K166" s="109" t="s">
        <v>206</v>
      </c>
      <c r="L166" s="109" t="s">
        <v>207</v>
      </c>
      <c r="M166" s="109" t="str">
        <f t="shared" si="6"/>
        <v>3SNMLBMDMSJF501020</v>
      </c>
      <c r="N166" s="109" t="str">
        <f t="shared" si="7"/>
        <v>3SNMLBMDMSJF501000</v>
      </c>
      <c r="O166" s="110">
        <v>50</v>
      </c>
      <c r="P166" s="109">
        <v>3</v>
      </c>
      <c r="Q166" s="109" t="s">
        <v>168</v>
      </c>
      <c r="R166" s="110">
        <v>1020</v>
      </c>
      <c r="S166" s="110">
        <v>4000</v>
      </c>
      <c r="T166" s="110">
        <v>1020</v>
      </c>
      <c r="U166" s="110">
        <v>1000</v>
      </c>
      <c r="V166" s="110">
        <v>2000</v>
      </c>
      <c r="W166" s="111">
        <v>2</v>
      </c>
      <c r="X166" s="130"/>
      <c r="Y166" s="77" t="s">
        <v>208</v>
      </c>
      <c r="Z166" s="78"/>
      <c r="AA166" s="79"/>
      <c r="AB166" s="80"/>
      <c r="AC166" s="78">
        <v>3</v>
      </c>
      <c r="AD166" s="79" t="s">
        <v>1998</v>
      </c>
      <c r="AE166" s="80">
        <v>1005</v>
      </c>
      <c r="AF166" s="77">
        <v>2</v>
      </c>
      <c r="AG166" s="79" t="s">
        <v>209</v>
      </c>
      <c r="AH166" s="80" t="s">
        <v>2000</v>
      </c>
      <c r="AI166" s="77">
        <v>3</v>
      </c>
      <c r="AJ166" s="79" t="s">
        <v>24</v>
      </c>
      <c r="AK166" s="80">
        <v>1450</v>
      </c>
      <c r="AL166" s="81"/>
      <c r="AM166" s="82"/>
      <c r="AN166" s="82" t="s">
        <v>476</v>
      </c>
      <c r="AO166" s="245" t="str">
        <f t="shared" si="4"/>
        <v>3SNMLBMDMSJF50</v>
      </c>
    </row>
    <row r="167" spans="1:41" ht="15" customHeight="1" x14ac:dyDescent="0.15">
      <c r="A167" s="83">
        <v>333</v>
      </c>
      <c r="B167" s="92">
        <v>275</v>
      </c>
      <c r="C167" s="92">
        <v>5174</v>
      </c>
      <c r="D167" s="92" t="s">
        <v>116</v>
      </c>
      <c r="E167" s="92" t="s">
        <v>117</v>
      </c>
      <c r="F167" s="92" t="s">
        <v>210</v>
      </c>
      <c r="G167" s="92" t="str">
        <f t="shared" si="5"/>
        <v>3SNMLBMNGKBF</v>
      </c>
      <c r="H167" s="92" t="s">
        <v>19</v>
      </c>
      <c r="I167" s="92" t="s">
        <v>20</v>
      </c>
      <c r="J167" s="92" t="s">
        <v>205</v>
      </c>
      <c r="K167" s="92" t="s">
        <v>211</v>
      </c>
      <c r="L167" s="92" t="s">
        <v>2057</v>
      </c>
      <c r="M167" s="92" t="str">
        <f t="shared" si="6"/>
        <v>3SNMLBMNGKBF251005</v>
      </c>
      <c r="N167" s="92" t="str">
        <f t="shared" si="7"/>
        <v>3SNMLBMNGKBF251000</v>
      </c>
      <c r="O167" s="93">
        <v>25</v>
      </c>
      <c r="P167" s="92">
        <v>3</v>
      </c>
      <c r="Q167" s="92" t="s">
        <v>154</v>
      </c>
      <c r="R167" s="93">
        <v>1005</v>
      </c>
      <c r="S167" s="93">
        <v>8000</v>
      </c>
      <c r="T167" s="93">
        <v>1005</v>
      </c>
      <c r="U167" s="93">
        <v>1000</v>
      </c>
      <c r="V167" s="93">
        <v>4000</v>
      </c>
      <c r="W167" s="84">
        <v>2</v>
      </c>
      <c r="X167" s="85"/>
      <c r="Y167" s="86" t="s">
        <v>208</v>
      </c>
      <c r="Z167" s="87"/>
      <c r="AA167" s="88"/>
      <c r="AB167" s="89"/>
      <c r="AC167" s="87">
        <v>6</v>
      </c>
      <c r="AD167" s="88" t="s">
        <v>175</v>
      </c>
      <c r="AE167" s="89">
        <v>1015</v>
      </c>
      <c r="AF167" s="86">
        <v>2</v>
      </c>
      <c r="AG167" s="88" t="s">
        <v>209</v>
      </c>
      <c r="AH167" s="89" t="s">
        <v>2000</v>
      </c>
      <c r="AI167" s="86">
        <v>3</v>
      </c>
      <c r="AJ167" s="88" t="s">
        <v>24</v>
      </c>
      <c r="AK167" s="89">
        <v>1450</v>
      </c>
      <c r="AL167" s="90"/>
      <c r="AM167" s="91"/>
      <c r="AN167" s="91" t="s">
        <v>476</v>
      </c>
      <c r="AO167" s="243" t="str">
        <f t="shared" si="4"/>
        <v>3SNMLBMNGKBF25</v>
      </c>
    </row>
    <row r="168" spans="1:41" ht="15" customHeight="1" x14ac:dyDescent="0.15">
      <c r="A168" s="83">
        <v>333</v>
      </c>
      <c r="B168" s="92">
        <v>275</v>
      </c>
      <c r="C168" s="92">
        <v>5174</v>
      </c>
      <c r="D168" s="92" t="s">
        <v>116</v>
      </c>
      <c r="E168" s="92" t="s">
        <v>117</v>
      </c>
      <c r="F168" s="92" t="s">
        <v>210</v>
      </c>
      <c r="G168" s="92" t="str">
        <f t="shared" si="5"/>
        <v>3SNMLBMNGKBF</v>
      </c>
      <c r="H168" s="92" t="s">
        <v>19</v>
      </c>
      <c r="I168" s="92" t="s">
        <v>20</v>
      </c>
      <c r="J168" s="92" t="s">
        <v>205</v>
      </c>
      <c r="K168" s="92" t="s">
        <v>211</v>
      </c>
      <c r="L168" s="92" t="s">
        <v>2057</v>
      </c>
      <c r="M168" s="92" t="str">
        <f t="shared" si="6"/>
        <v>3SNMLBMNGKBF251050</v>
      </c>
      <c r="N168" s="92" t="str">
        <f t="shared" si="7"/>
        <v>3SNMLBMNGKBF251050</v>
      </c>
      <c r="O168" s="93">
        <v>25</v>
      </c>
      <c r="P168" s="92">
        <v>3</v>
      </c>
      <c r="Q168" s="92" t="s">
        <v>154</v>
      </c>
      <c r="R168" s="93">
        <v>1050</v>
      </c>
      <c r="S168" s="93">
        <v>8000</v>
      </c>
      <c r="T168" s="93">
        <v>1050</v>
      </c>
      <c r="U168" s="93">
        <v>1050</v>
      </c>
      <c r="V168" s="93">
        <v>4000</v>
      </c>
      <c r="W168" s="84">
        <v>2</v>
      </c>
      <c r="X168" s="85"/>
      <c r="Y168" s="86" t="s">
        <v>208</v>
      </c>
      <c r="Z168" s="87"/>
      <c r="AA168" s="88"/>
      <c r="AB168" s="89"/>
      <c r="AC168" s="87">
        <v>6</v>
      </c>
      <c r="AD168" s="88" t="s">
        <v>175</v>
      </c>
      <c r="AE168" s="89">
        <v>1055</v>
      </c>
      <c r="AF168" s="86">
        <v>2</v>
      </c>
      <c r="AG168" s="88" t="s">
        <v>209</v>
      </c>
      <c r="AH168" s="89" t="s">
        <v>2000</v>
      </c>
      <c r="AI168" s="86">
        <v>3</v>
      </c>
      <c r="AJ168" s="88" t="s">
        <v>24</v>
      </c>
      <c r="AK168" s="89">
        <v>1450</v>
      </c>
      <c r="AL168" s="90"/>
      <c r="AM168" s="91"/>
      <c r="AN168" s="91" t="s">
        <v>476</v>
      </c>
      <c r="AO168" s="243" t="str">
        <f t="shared" si="4"/>
        <v>3SNMLBMNGKBF25</v>
      </c>
    </row>
    <row r="169" spans="1:41" ht="15" customHeight="1" x14ac:dyDescent="0.15">
      <c r="A169" s="83">
        <v>333</v>
      </c>
      <c r="B169" s="92">
        <v>275</v>
      </c>
      <c r="C169" s="92">
        <v>5174</v>
      </c>
      <c r="D169" s="92" t="s">
        <v>116</v>
      </c>
      <c r="E169" s="92" t="s">
        <v>117</v>
      </c>
      <c r="F169" s="92" t="s">
        <v>210</v>
      </c>
      <c r="G169" s="92" t="str">
        <f t="shared" ref="G169:G252" si="8">CONCATENATE(P169,H169,I169,J169,K169)</f>
        <v>3SNMLBMNGKBF</v>
      </c>
      <c r="H169" s="92" t="s">
        <v>19</v>
      </c>
      <c r="I169" s="92" t="s">
        <v>20</v>
      </c>
      <c r="J169" s="92" t="s">
        <v>205</v>
      </c>
      <c r="K169" s="92" t="s">
        <v>211</v>
      </c>
      <c r="L169" s="92" t="s">
        <v>2057</v>
      </c>
      <c r="M169" s="92" t="str">
        <f t="shared" ref="M169:M252" si="9">G169&amp;O169&amp;R169</f>
        <v>3SNMLBMNGKBF381005</v>
      </c>
      <c r="N169" s="92" t="str">
        <f t="shared" ref="N169:N252" si="10">G169&amp;O169&amp;U169</f>
        <v>3SNMLBMNGKBF381000</v>
      </c>
      <c r="O169" s="93">
        <v>38</v>
      </c>
      <c r="P169" s="92">
        <v>3</v>
      </c>
      <c r="Q169" s="92" t="s">
        <v>154</v>
      </c>
      <c r="R169" s="93">
        <v>1005</v>
      </c>
      <c r="S169" s="93">
        <v>4100</v>
      </c>
      <c r="T169" s="93">
        <v>1005</v>
      </c>
      <c r="U169" s="93">
        <v>1000</v>
      </c>
      <c r="V169" s="93">
        <v>4000</v>
      </c>
      <c r="W169" s="84">
        <v>2</v>
      </c>
      <c r="X169" s="85"/>
      <c r="Y169" s="86" t="s">
        <v>208</v>
      </c>
      <c r="Z169" s="87"/>
      <c r="AA169" s="88"/>
      <c r="AB169" s="89"/>
      <c r="AC169" s="87">
        <v>6</v>
      </c>
      <c r="AD169" s="88" t="s">
        <v>175</v>
      </c>
      <c r="AE169" s="89">
        <v>1015</v>
      </c>
      <c r="AF169" s="86">
        <v>2</v>
      </c>
      <c r="AG169" s="88" t="s">
        <v>209</v>
      </c>
      <c r="AH169" s="89" t="s">
        <v>2000</v>
      </c>
      <c r="AI169" s="86">
        <v>3</v>
      </c>
      <c r="AJ169" s="88" t="s">
        <v>24</v>
      </c>
      <c r="AK169" s="89">
        <v>1450</v>
      </c>
      <c r="AL169" s="90"/>
      <c r="AM169" s="91"/>
      <c r="AN169" s="91" t="s">
        <v>476</v>
      </c>
      <c r="AO169" s="243" t="str">
        <f t="shared" si="4"/>
        <v>3SNMLBMNGKBF38</v>
      </c>
    </row>
    <row r="170" spans="1:41" ht="15" customHeight="1" x14ac:dyDescent="0.15">
      <c r="A170" s="83">
        <v>333</v>
      </c>
      <c r="B170" s="92">
        <v>275</v>
      </c>
      <c r="C170" s="92">
        <v>5174</v>
      </c>
      <c r="D170" s="92" t="s">
        <v>116</v>
      </c>
      <c r="E170" s="92" t="s">
        <v>117</v>
      </c>
      <c r="F170" s="92" t="s">
        <v>210</v>
      </c>
      <c r="G170" s="92" t="str">
        <f t="shared" si="8"/>
        <v>3SNMLBMNGKBF</v>
      </c>
      <c r="H170" s="92" t="s">
        <v>19</v>
      </c>
      <c r="I170" s="92" t="s">
        <v>20</v>
      </c>
      <c r="J170" s="92" t="s">
        <v>205</v>
      </c>
      <c r="K170" s="92" t="s">
        <v>211</v>
      </c>
      <c r="L170" s="92" t="s">
        <v>2057</v>
      </c>
      <c r="M170" s="92" t="str">
        <f t="shared" si="9"/>
        <v>3SNMLBMNGKBF501050</v>
      </c>
      <c r="N170" s="92" t="str">
        <f t="shared" si="10"/>
        <v>3SNMLBMNGKBF501050</v>
      </c>
      <c r="O170" s="93">
        <v>50</v>
      </c>
      <c r="P170" s="92">
        <v>3</v>
      </c>
      <c r="Q170" s="92" t="s">
        <v>161</v>
      </c>
      <c r="R170" s="93">
        <v>1050</v>
      </c>
      <c r="S170" s="93">
        <v>4100</v>
      </c>
      <c r="T170" s="93">
        <v>1050</v>
      </c>
      <c r="U170" s="93">
        <v>1050</v>
      </c>
      <c r="V170" s="93">
        <v>4100</v>
      </c>
      <c r="W170" s="84">
        <v>2</v>
      </c>
      <c r="X170" s="85"/>
      <c r="Y170" s="86" t="s">
        <v>208</v>
      </c>
      <c r="Z170" s="87"/>
      <c r="AA170" s="88"/>
      <c r="AB170" s="89"/>
      <c r="AC170" s="87">
        <v>6</v>
      </c>
      <c r="AD170" s="88" t="s">
        <v>175</v>
      </c>
      <c r="AE170" s="89">
        <v>1055</v>
      </c>
      <c r="AF170" s="86">
        <v>2</v>
      </c>
      <c r="AG170" s="88" t="s">
        <v>209</v>
      </c>
      <c r="AH170" s="89" t="s">
        <v>2000</v>
      </c>
      <c r="AI170" s="86">
        <v>3</v>
      </c>
      <c r="AJ170" s="88" t="s">
        <v>24</v>
      </c>
      <c r="AK170" s="89">
        <v>1450</v>
      </c>
      <c r="AL170" s="90"/>
      <c r="AM170" s="91"/>
      <c r="AN170" s="91" t="s">
        <v>476</v>
      </c>
      <c r="AO170" s="243" t="str">
        <f t="shared" si="4"/>
        <v>3SNMLBMNGKBF50</v>
      </c>
    </row>
    <row r="171" spans="1:41" ht="15" customHeight="1" x14ac:dyDescent="0.15">
      <c r="A171" s="83">
        <v>333</v>
      </c>
      <c r="B171" s="92">
        <v>275</v>
      </c>
      <c r="C171" s="92">
        <v>5174</v>
      </c>
      <c r="D171" s="92" t="s">
        <v>116</v>
      </c>
      <c r="E171" s="92" t="s">
        <v>117</v>
      </c>
      <c r="F171" s="92" t="s">
        <v>210</v>
      </c>
      <c r="G171" s="92" t="str">
        <f t="shared" si="8"/>
        <v>3SNMLBMNGKBF</v>
      </c>
      <c r="H171" s="92" t="s">
        <v>19</v>
      </c>
      <c r="I171" s="92" t="s">
        <v>20</v>
      </c>
      <c r="J171" s="92" t="s">
        <v>205</v>
      </c>
      <c r="K171" s="92" t="s">
        <v>211</v>
      </c>
      <c r="L171" s="92" t="s">
        <v>2057</v>
      </c>
      <c r="M171" s="92" t="str">
        <f t="shared" si="9"/>
        <v>3SNMLBMNGKBF501170</v>
      </c>
      <c r="N171" s="92" t="str">
        <f t="shared" si="10"/>
        <v>3SNMLBMNGKBF501170</v>
      </c>
      <c r="O171" s="93">
        <v>50</v>
      </c>
      <c r="P171" s="92">
        <v>3</v>
      </c>
      <c r="Q171" s="92" t="s">
        <v>161</v>
      </c>
      <c r="R171" s="93">
        <v>1170</v>
      </c>
      <c r="S171" s="93">
        <v>4000</v>
      </c>
      <c r="T171" s="93">
        <v>1170</v>
      </c>
      <c r="U171" s="93">
        <v>1170</v>
      </c>
      <c r="V171" s="93">
        <v>4000</v>
      </c>
      <c r="W171" s="84">
        <v>2</v>
      </c>
      <c r="X171" s="85"/>
      <c r="Y171" s="86" t="s">
        <v>208</v>
      </c>
      <c r="Z171" s="87"/>
      <c r="AA171" s="88"/>
      <c r="AB171" s="89"/>
      <c r="AC171" s="87">
        <v>6</v>
      </c>
      <c r="AD171" s="88" t="s">
        <v>175</v>
      </c>
      <c r="AE171" s="89">
        <v>1175</v>
      </c>
      <c r="AF171" s="86">
        <v>2</v>
      </c>
      <c r="AG171" s="88" t="s">
        <v>209</v>
      </c>
      <c r="AH171" s="89" t="s">
        <v>2000</v>
      </c>
      <c r="AI171" s="86">
        <v>3</v>
      </c>
      <c r="AJ171" s="88" t="s">
        <v>24</v>
      </c>
      <c r="AK171" s="89">
        <v>1450</v>
      </c>
      <c r="AL171" s="90"/>
      <c r="AM171" s="91"/>
      <c r="AN171" s="91" t="s">
        <v>476</v>
      </c>
      <c r="AO171" s="243" t="str">
        <f t="shared" si="4"/>
        <v>3SNMLBMNGKBF50</v>
      </c>
    </row>
    <row r="172" spans="1:41" ht="15" customHeight="1" x14ac:dyDescent="0.15">
      <c r="A172" s="83">
        <v>333</v>
      </c>
      <c r="B172" s="92">
        <v>275</v>
      </c>
      <c r="C172" s="92">
        <v>5174</v>
      </c>
      <c r="D172" s="92" t="s">
        <v>116</v>
      </c>
      <c r="E172" s="92" t="s">
        <v>117</v>
      </c>
      <c r="F172" s="92" t="s">
        <v>210</v>
      </c>
      <c r="G172" s="92" t="str">
        <f t="shared" si="8"/>
        <v>3SNMLBMNGKBF</v>
      </c>
      <c r="H172" s="92" t="s">
        <v>19</v>
      </c>
      <c r="I172" s="92" t="s">
        <v>20</v>
      </c>
      <c r="J172" s="92" t="s">
        <v>205</v>
      </c>
      <c r="K172" s="92" t="s">
        <v>211</v>
      </c>
      <c r="L172" s="92" t="s">
        <v>2057</v>
      </c>
      <c r="M172" s="92" t="str">
        <f t="shared" si="9"/>
        <v>3SNMLBMNGKBF751050</v>
      </c>
      <c r="N172" s="92" t="str">
        <f t="shared" si="10"/>
        <v>3SNMLBMNGKBF751050</v>
      </c>
      <c r="O172" s="93">
        <v>75</v>
      </c>
      <c r="P172" s="92">
        <v>3</v>
      </c>
      <c r="Q172" s="92" t="s">
        <v>161</v>
      </c>
      <c r="R172" s="93">
        <v>1050</v>
      </c>
      <c r="S172" s="93">
        <v>2000</v>
      </c>
      <c r="T172" s="93">
        <v>1050</v>
      </c>
      <c r="U172" s="93">
        <v>1050</v>
      </c>
      <c r="V172" s="93">
        <v>2000</v>
      </c>
      <c r="W172" s="84">
        <v>2</v>
      </c>
      <c r="X172" s="85"/>
      <c r="Y172" s="86" t="s">
        <v>208</v>
      </c>
      <c r="Z172" s="87"/>
      <c r="AA172" s="88"/>
      <c r="AB172" s="89"/>
      <c r="AC172" s="87">
        <v>6</v>
      </c>
      <c r="AD172" s="88" t="s">
        <v>175</v>
      </c>
      <c r="AE172" s="89">
        <v>1055</v>
      </c>
      <c r="AF172" s="86">
        <v>2</v>
      </c>
      <c r="AG172" s="88" t="s">
        <v>209</v>
      </c>
      <c r="AH172" s="89" t="s">
        <v>2000</v>
      </c>
      <c r="AI172" s="86">
        <v>3</v>
      </c>
      <c r="AJ172" s="88" t="s">
        <v>24</v>
      </c>
      <c r="AK172" s="89">
        <v>1450</v>
      </c>
      <c r="AL172" s="90"/>
      <c r="AM172" s="91"/>
      <c r="AN172" s="91" t="s">
        <v>476</v>
      </c>
      <c r="AO172" s="243" t="str">
        <f t="shared" si="4"/>
        <v>3SNMLBMNGKBF75</v>
      </c>
    </row>
    <row r="173" spans="1:41" ht="15" customHeight="1" x14ac:dyDescent="0.15">
      <c r="A173" s="83">
        <v>333</v>
      </c>
      <c r="B173" s="92">
        <v>275</v>
      </c>
      <c r="C173" s="92">
        <v>5174</v>
      </c>
      <c r="D173" s="92" t="s">
        <v>116</v>
      </c>
      <c r="E173" s="92" t="s">
        <v>117</v>
      </c>
      <c r="F173" s="92" t="s">
        <v>210</v>
      </c>
      <c r="G173" s="92" t="str">
        <f t="shared" si="8"/>
        <v>3SNMLBMNGKKBF</v>
      </c>
      <c r="H173" s="92" t="s">
        <v>19</v>
      </c>
      <c r="I173" s="92" t="s">
        <v>20</v>
      </c>
      <c r="J173" s="92" t="s">
        <v>205</v>
      </c>
      <c r="K173" s="92" t="s">
        <v>212</v>
      </c>
      <c r="L173" s="92" t="s">
        <v>213</v>
      </c>
      <c r="M173" s="92" t="str">
        <f t="shared" si="9"/>
        <v>3SNMLBMNGKKBF251000</v>
      </c>
      <c r="N173" s="92" t="str">
        <f t="shared" si="10"/>
        <v>3SNMLBMNGKKBF251000</v>
      </c>
      <c r="O173" s="93">
        <v>25</v>
      </c>
      <c r="P173" s="92">
        <v>3</v>
      </c>
      <c r="Q173" s="92" t="s">
        <v>214</v>
      </c>
      <c r="R173" s="93">
        <v>1000</v>
      </c>
      <c r="S173" s="93">
        <v>4000</v>
      </c>
      <c r="T173" s="93">
        <v>1000</v>
      </c>
      <c r="U173" s="93">
        <v>1000</v>
      </c>
      <c r="V173" s="93">
        <v>4000</v>
      </c>
      <c r="W173" s="84">
        <v>2</v>
      </c>
      <c r="X173" s="85"/>
      <c r="Y173" s="86" t="s">
        <v>208</v>
      </c>
      <c r="Z173" s="87"/>
      <c r="AA173" s="88"/>
      <c r="AB173" s="89"/>
      <c r="AC173" s="87">
        <v>6</v>
      </c>
      <c r="AD173" s="88" t="s">
        <v>175</v>
      </c>
      <c r="AE173" s="89">
        <v>1005</v>
      </c>
      <c r="AF173" s="86">
        <v>2</v>
      </c>
      <c r="AG173" s="88" t="s">
        <v>209</v>
      </c>
      <c r="AH173" s="89" t="s">
        <v>2000</v>
      </c>
      <c r="AI173" s="86">
        <v>3</v>
      </c>
      <c r="AJ173" s="88" t="s">
        <v>24</v>
      </c>
      <c r="AK173" s="89">
        <v>1450</v>
      </c>
      <c r="AL173" s="90"/>
      <c r="AM173" s="91"/>
      <c r="AN173" s="91" t="s">
        <v>476</v>
      </c>
      <c r="AO173" s="243" t="str">
        <f t="shared" si="4"/>
        <v>3SNMLBMNGKKBF25</v>
      </c>
    </row>
    <row r="174" spans="1:41" ht="15" customHeight="1" x14ac:dyDescent="0.15">
      <c r="A174" s="83">
        <v>333</v>
      </c>
      <c r="B174" s="92">
        <v>275</v>
      </c>
      <c r="C174" s="92">
        <v>5174</v>
      </c>
      <c r="D174" s="92" t="s">
        <v>116</v>
      </c>
      <c r="E174" s="92" t="s">
        <v>117</v>
      </c>
      <c r="F174" s="92" t="s">
        <v>210</v>
      </c>
      <c r="G174" s="92" t="str">
        <f t="shared" si="8"/>
        <v>3SNMLBMNGKKBF</v>
      </c>
      <c r="H174" s="92" t="s">
        <v>19</v>
      </c>
      <c r="I174" s="92" t="s">
        <v>470</v>
      </c>
      <c r="J174" s="92" t="s">
        <v>205</v>
      </c>
      <c r="K174" s="92" t="s">
        <v>212</v>
      </c>
      <c r="L174" s="92" t="s">
        <v>213</v>
      </c>
      <c r="M174" s="92" t="str">
        <f t="shared" si="9"/>
        <v>3SNMLBMNGKKBF251120</v>
      </c>
      <c r="N174" s="92" t="str">
        <f t="shared" si="10"/>
        <v>3SNMLBMNGKKBF251120</v>
      </c>
      <c r="O174" s="93">
        <v>25</v>
      </c>
      <c r="P174" s="92">
        <v>3</v>
      </c>
      <c r="Q174" s="92" t="s">
        <v>214</v>
      </c>
      <c r="R174" s="93">
        <v>1120</v>
      </c>
      <c r="S174" s="93">
        <v>4000</v>
      </c>
      <c r="T174" s="93">
        <v>1120</v>
      </c>
      <c r="U174" s="93">
        <v>1120</v>
      </c>
      <c r="V174" s="93">
        <v>4000</v>
      </c>
      <c r="W174" s="84">
        <v>2</v>
      </c>
      <c r="X174" s="85"/>
      <c r="Y174" s="86" t="s">
        <v>208</v>
      </c>
      <c r="Z174" s="87"/>
      <c r="AA174" s="88"/>
      <c r="AB174" s="89"/>
      <c r="AC174" s="87">
        <v>6</v>
      </c>
      <c r="AD174" s="88" t="s">
        <v>175</v>
      </c>
      <c r="AE174" s="89">
        <v>1125</v>
      </c>
      <c r="AF174" s="86">
        <v>2</v>
      </c>
      <c r="AG174" s="88" t="s">
        <v>209</v>
      </c>
      <c r="AH174" s="89" t="s">
        <v>2000</v>
      </c>
      <c r="AI174" s="86">
        <v>3</v>
      </c>
      <c r="AJ174" s="88" t="s">
        <v>24</v>
      </c>
      <c r="AK174" s="89">
        <v>1450</v>
      </c>
      <c r="AL174" s="90"/>
      <c r="AM174" s="91"/>
      <c r="AN174" s="91" t="s">
        <v>476</v>
      </c>
      <c r="AO174" s="243" t="str">
        <f t="shared" si="4"/>
        <v>3SNMLBMNGKKBF25</v>
      </c>
    </row>
    <row r="175" spans="1:41" ht="15" customHeight="1" x14ac:dyDescent="0.15">
      <c r="A175" s="83">
        <v>333</v>
      </c>
      <c r="B175" s="92">
        <v>275</v>
      </c>
      <c r="C175" s="92">
        <v>5174</v>
      </c>
      <c r="D175" s="92" t="s">
        <v>116</v>
      </c>
      <c r="E175" s="92" t="s">
        <v>117</v>
      </c>
      <c r="F175" s="92" t="s">
        <v>210</v>
      </c>
      <c r="G175" s="92" t="str">
        <f t="shared" si="8"/>
        <v>3SYMLBMNGKKBF</v>
      </c>
      <c r="H175" s="92" t="s">
        <v>19</v>
      </c>
      <c r="I175" s="92" t="s">
        <v>28</v>
      </c>
      <c r="J175" s="92" t="s">
        <v>205</v>
      </c>
      <c r="K175" s="92" t="s">
        <v>212</v>
      </c>
      <c r="L175" s="92" t="s">
        <v>213</v>
      </c>
      <c r="M175" s="92" t="str">
        <f t="shared" si="9"/>
        <v>3SYMLBMNGKKBF251120</v>
      </c>
      <c r="N175" s="92" t="str">
        <f t="shared" si="10"/>
        <v>3SYMLBMNGKKBF251120</v>
      </c>
      <c r="O175" s="93">
        <v>25</v>
      </c>
      <c r="P175" s="92">
        <v>3</v>
      </c>
      <c r="Q175" s="92" t="s">
        <v>214</v>
      </c>
      <c r="R175" s="93">
        <v>1120</v>
      </c>
      <c r="S175" s="93">
        <v>4000</v>
      </c>
      <c r="T175" s="93">
        <v>1120</v>
      </c>
      <c r="U175" s="93">
        <v>1120</v>
      </c>
      <c r="V175" s="93">
        <v>4000</v>
      </c>
      <c r="W175" s="84">
        <v>2</v>
      </c>
      <c r="X175" s="85"/>
      <c r="Y175" s="86" t="s">
        <v>208</v>
      </c>
      <c r="Z175" s="87"/>
      <c r="AA175" s="88"/>
      <c r="AB175" s="89"/>
      <c r="AC175" s="87">
        <v>6</v>
      </c>
      <c r="AD175" s="88" t="s">
        <v>175</v>
      </c>
      <c r="AE175" s="89">
        <v>1125</v>
      </c>
      <c r="AF175" s="86">
        <v>2</v>
      </c>
      <c r="AG175" s="88" t="s">
        <v>209</v>
      </c>
      <c r="AH175" s="89" t="s">
        <v>2000</v>
      </c>
      <c r="AI175" s="86">
        <v>3</v>
      </c>
      <c r="AJ175" s="88" t="s">
        <v>24</v>
      </c>
      <c r="AK175" s="89">
        <v>1450</v>
      </c>
      <c r="AL175" s="90"/>
      <c r="AM175" s="91"/>
      <c r="AN175" s="91" t="s">
        <v>476</v>
      </c>
      <c r="AO175" s="243" t="str">
        <f t="shared" si="4"/>
        <v>3SYMLBMNGKKBF25</v>
      </c>
    </row>
    <row r="176" spans="1:41" ht="15" customHeight="1" x14ac:dyDescent="0.15">
      <c r="A176" s="83">
        <v>333</v>
      </c>
      <c r="B176" s="92">
        <v>275</v>
      </c>
      <c r="C176" s="92">
        <v>5174</v>
      </c>
      <c r="D176" s="92" t="s">
        <v>116</v>
      </c>
      <c r="E176" s="92" t="s">
        <v>117</v>
      </c>
      <c r="F176" s="92" t="s">
        <v>210</v>
      </c>
      <c r="G176" s="92" t="str">
        <f t="shared" si="8"/>
        <v>3SNMLBMNGKKBF</v>
      </c>
      <c r="H176" s="92" t="s">
        <v>19</v>
      </c>
      <c r="I176" s="92" t="s">
        <v>20</v>
      </c>
      <c r="J176" s="92" t="s">
        <v>205</v>
      </c>
      <c r="K176" s="92" t="s">
        <v>212</v>
      </c>
      <c r="L176" s="92" t="s">
        <v>213</v>
      </c>
      <c r="M176" s="92" t="str">
        <f t="shared" si="9"/>
        <v>3SNMLBMNGKKBF501000</v>
      </c>
      <c r="N176" s="92" t="str">
        <f t="shared" si="10"/>
        <v>3SNMLBMNGKKBF501000</v>
      </c>
      <c r="O176" s="93">
        <v>50</v>
      </c>
      <c r="P176" s="92">
        <v>3</v>
      </c>
      <c r="Q176" s="92" t="s">
        <v>215</v>
      </c>
      <c r="R176" s="93">
        <v>1000</v>
      </c>
      <c r="S176" s="93">
        <v>4000</v>
      </c>
      <c r="T176" s="93">
        <v>1000</v>
      </c>
      <c r="U176" s="93">
        <v>1000</v>
      </c>
      <c r="V176" s="93">
        <v>4000</v>
      </c>
      <c r="W176" s="84">
        <v>2</v>
      </c>
      <c r="X176" s="85"/>
      <c r="Y176" s="86" t="s">
        <v>208</v>
      </c>
      <c r="Z176" s="87"/>
      <c r="AA176" s="88"/>
      <c r="AB176" s="89"/>
      <c r="AC176" s="87">
        <v>6</v>
      </c>
      <c r="AD176" s="88" t="s">
        <v>175</v>
      </c>
      <c r="AE176" s="89">
        <v>1005</v>
      </c>
      <c r="AF176" s="86">
        <v>2</v>
      </c>
      <c r="AG176" s="88" t="s">
        <v>209</v>
      </c>
      <c r="AH176" s="89" t="s">
        <v>2000</v>
      </c>
      <c r="AI176" s="86">
        <v>3</v>
      </c>
      <c r="AJ176" s="88" t="s">
        <v>24</v>
      </c>
      <c r="AK176" s="89">
        <v>1450</v>
      </c>
      <c r="AL176" s="90"/>
      <c r="AM176" s="91"/>
      <c r="AN176" s="91" t="s">
        <v>476</v>
      </c>
      <c r="AO176" s="243" t="str">
        <f t="shared" si="4"/>
        <v>3SNMLBMNGKKBF50</v>
      </c>
    </row>
    <row r="177" spans="1:41" ht="15" customHeight="1" x14ac:dyDescent="0.15">
      <c r="A177" s="83">
        <v>333</v>
      </c>
      <c r="B177" s="92">
        <v>275</v>
      </c>
      <c r="C177" s="92">
        <v>5174</v>
      </c>
      <c r="D177" s="92" t="s">
        <v>116</v>
      </c>
      <c r="E177" s="92" t="s">
        <v>117</v>
      </c>
      <c r="F177" s="92" t="s">
        <v>210</v>
      </c>
      <c r="G177" s="92" t="str">
        <f t="shared" si="8"/>
        <v>3SNMLBMNGKKBF</v>
      </c>
      <c r="H177" s="92" t="s">
        <v>19</v>
      </c>
      <c r="I177" s="92" t="s">
        <v>20</v>
      </c>
      <c r="J177" s="92" t="s">
        <v>205</v>
      </c>
      <c r="K177" s="92" t="s">
        <v>212</v>
      </c>
      <c r="L177" s="92" t="s">
        <v>213</v>
      </c>
      <c r="M177" s="92" t="str">
        <f t="shared" si="9"/>
        <v>3SNMLBMNGKKBF501120</v>
      </c>
      <c r="N177" s="92" t="str">
        <f t="shared" si="10"/>
        <v>3SNMLBMNGKKBF501120</v>
      </c>
      <c r="O177" s="93">
        <v>50</v>
      </c>
      <c r="P177" s="92">
        <v>3</v>
      </c>
      <c r="Q177" s="92" t="s">
        <v>215</v>
      </c>
      <c r="R177" s="93">
        <v>1120</v>
      </c>
      <c r="S177" s="93">
        <v>4000</v>
      </c>
      <c r="T177" s="93">
        <v>1120</v>
      </c>
      <c r="U177" s="93">
        <v>1120</v>
      </c>
      <c r="V177" s="93">
        <v>4000</v>
      </c>
      <c r="W177" s="84">
        <v>2</v>
      </c>
      <c r="X177" s="85"/>
      <c r="Y177" s="86" t="s">
        <v>208</v>
      </c>
      <c r="Z177" s="87"/>
      <c r="AA177" s="88"/>
      <c r="AB177" s="89"/>
      <c r="AC177" s="87">
        <v>6</v>
      </c>
      <c r="AD177" s="88" t="s">
        <v>175</v>
      </c>
      <c r="AE177" s="89">
        <v>1125</v>
      </c>
      <c r="AF177" s="86">
        <v>2</v>
      </c>
      <c r="AG177" s="88" t="s">
        <v>209</v>
      </c>
      <c r="AH177" s="89" t="s">
        <v>2000</v>
      </c>
      <c r="AI177" s="86">
        <v>3</v>
      </c>
      <c r="AJ177" s="88" t="s">
        <v>24</v>
      </c>
      <c r="AK177" s="89">
        <v>1450</v>
      </c>
      <c r="AL177" s="90"/>
      <c r="AM177" s="91"/>
      <c r="AN177" s="91" t="s">
        <v>476</v>
      </c>
      <c r="AO177" s="243" t="str">
        <f t="shared" ref="AO177:AO295" si="11">G177&amp;O177</f>
        <v>3SNMLBMNGKKBF50</v>
      </c>
    </row>
    <row r="178" spans="1:41" ht="15" customHeight="1" x14ac:dyDescent="0.15">
      <c r="A178" s="83">
        <v>333</v>
      </c>
      <c r="B178" s="92">
        <v>275</v>
      </c>
      <c r="C178" s="92">
        <v>5174</v>
      </c>
      <c r="D178" s="92" t="s">
        <v>116</v>
      </c>
      <c r="E178" s="92" t="s">
        <v>117</v>
      </c>
      <c r="F178" s="92" t="s">
        <v>210</v>
      </c>
      <c r="G178" s="92" t="str">
        <f t="shared" si="8"/>
        <v>3SNMLBMNGKKBF</v>
      </c>
      <c r="H178" s="92" t="s">
        <v>19</v>
      </c>
      <c r="I178" s="92" t="s">
        <v>20</v>
      </c>
      <c r="J178" s="92" t="s">
        <v>205</v>
      </c>
      <c r="K178" s="92" t="s">
        <v>212</v>
      </c>
      <c r="L178" s="92" t="s">
        <v>213</v>
      </c>
      <c r="M178" s="92" t="str">
        <f t="shared" si="9"/>
        <v>3SNMLBMNGKKBF751000</v>
      </c>
      <c r="N178" s="92" t="str">
        <f t="shared" si="10"/>
        <v>3SNMLBMNGKKBF751000</v>
      </c>
      <c r="O178" s="93">
        <v>75</v>
      </c>
      <c r="P178" s="92">
        <v>3</v>
      </c>
      <c r="Q178" s="92" t="s">
        <v>215</v>
      </c>
      <c r="R178" s="93">
        <v>1000</v>
      </c>
      <c r="S178" s="93">
        <v>2000</v>
      </c>
      <c r="T178" s="93">
        <v>1000</v>
      </c>
      <c r="U178" s="93">
        <v>1000</v>
      </c>
      <c r="V178" s="93">
        <v>2000</v>
      </c>
      <c r="W178" s="84">
        <v>2</v>
      </c>
      <c r="X178" s="85"/>
      <c r="Y178" s="86" t="s">
        <v>208</v>
      </c>
      <c r="Z178" s="87"/>
      <c r="AA178" s="88"/>
      <c r="AB178" s="89"/>
      <c r="AC178" s="87">
        <v>6</v>
      </c>
      <c r="AD178" s="88" t="s">
        <v>175</v>
      </c>
      <c r="AE178" s="89">
        <v>1005</v>
      </c>
      <c r="AF178" s="86">
        <v>2</v>
      </c>
      <c r="AG178" s="88" t="s">
        <v>209</v>
      </c>
      <c r="AH178" s="89" t="s">
        <v>2000</v>
      </c>
      <c r="AI178" s="86">
        <v>3</v>
      </c>
      <c r="AJ178" s="88" t="s">
        <v>24</v>
      </c>
      <c r="AK178" s="89">
        <v>1450</v>
      </c>
      <c r="AL178" s="90"/>
      <c r="AM178" s="91"/>
      <c r="AN178" s="91" t="s">
        <v>476</v>
      </c>
      <c r="AO178" s="243" t="str">
        <f t="shared" si="11"/>
        <v>3SNMLBMNGKKBF75</v>
      </c>
    </row>
    <row r="179" spans="1:41" ht="15" customHeight="1" x14ac:dyDescent="0.15">
      <c r="A179" s="83">
        <v>333</v>
      </c>
      <c r="B179" s="92">
        <v>275</v>
      </c>
      <c r="C179" s="92">
        <v>5174</v>
      </c>
      <c r="D179" s="92" t="s">
        <v>116</v>
      </c>
      <c r="E179" s="92" t="s">
        <v>117</v>
      </c>
      <c r="F179" s="92" t="s">
        <v>210</v>
      </c>
      <c r="G179" s="92" t="str">
        <f t="shared" si="8"/>
        <v>3SNMLBMNGTBF</v>
      </c>
      <c r="H179" s="92" t="s">
        <v>19</v>
      </c>
      <c r="I179" s="92" t="s">
        <v>20</v>
      </c>
      <c r="J179" s="92" t="s">
        <v>205</v>
      </c>
      <c r="K179" s="92" t="s">
        <v>216</v>
      </c>
      <c r="L179" s="92" t="s">
        <v>217</v>
      </c>
      <c r="M179" s="92" t="str">
        <f t="shared" si="9"/>
        <v>3SNMLBMNGTBF251005</v>
      </c>
      <c r="N179" s="92" t="str">
        <f t="shared" si="10"/>
        <v>3SNMLBMNGTBF251000</v>
      </c>
      <c r="O179" s="93">
        <v>25</v>
      </c>
      <c r="P179" s="92">
        <v>3</v>
      </c>
      <c r="Q179" s="92" t="s">
        <v>151</v>
      </c>
      <c r="R179" s="93">
        <v>1005</v>
      </c>
      <c r="S179" s="93">
        <v>12100</v>
      </c>
      <c r="T179" s="93">
        <v>1005</v>
      </c>
      <c r="U179" s="93">
        <v>1000</v>
      </c>
      <c r="V179" s="93">
        <v>4000</v>
      </c>
      <c r="W179" s="84">
        <v>2</v>
      </c>
      <c r="X179" s="85"/>
      <c r="Y179" s="86" t="s">
        <v>208</v>
      </c>
      <c r="Z179" s="87"/>
      <c r="AA179" s="88"/>
      <c r="AB179" s="89"/>
      <c r="AC179" s="87">
        <v>6</v>
      </c>
      <c r="AD179" s="88" t="s">
        <v>175</v>
      </c>
      <c r="AE179" s="89">
        <v>1015</v>
      </c>
      <c r="AF179" s="86">
        <v>2</v>
      </c>
      <c r="AG179" s="88" t="s">
        <v>209</v>
      </c>
      <c r="AH179" s="89" t="s">
        <v>2000</v>
      </c>
      <c r="AI179" s="86"/>
      <c r="AJ179" s="88"/>
      <c r="AK179" s="89"/>
      <c r="AL179" s="90"/>
      <c r="AM179" s="91"/>
      <c r="AN179" s="91" t="s">
        <v>476</v>
      </c>
      <c r="AO179" s="243" t="str">
        <f t="shared" si="11"/>
        <v>3SNMLBMNGTBF25</v>
      </c>
    </row>
    <row r="180" spans="1:41" ht="15" customHeight="1" x14ac:dyDescent="0.15">
      <c r="A180" s="83">
        <v>333</v>
      </c>
      <c r="B180" s="92">
        <v>275</v>
      </c>
      <c r="C180" s="92">
        <v>5174</v>
      </c>
      <c r="D180" s="92" t="s">
        <v>116</v>
      </c>
      <c r="E180" s="92" t="s">
        <v>117</v>
      </c>
      <c r="F180" s="92" t="s">
        <v>210</v>
      </c>
      <c r="G180" s="92" t="str">
        <f t="shared" si="8"/>
        <v>3SNMLBMNGTBF</v>
      </c>
      <c r="H180" s="92" t="s">
        <v>19</v>
      </c>
      <c r="I180" s="92" t="s">
        <v>20</v>
      </c>
      <c r="J180" s="92" t="s">
        <v>205</v>
      </c>
      <c r="K180" s="92" t="s">
        <v>216</v>
      </c>
      <c r="L180" s="92" t="s">
        <v>217</v>
      </c>
      <c r="M180" s="92" t="str">
        <f t="shared" si="9"/>
        <v>3SNMLBMNGTBF251125</v>
      </c>
      <c r="N180" s="92" t="str">
        <f t="shared" si="10"/>
        <v>3SNMLBMNGTBF251120</v>
      </c>
      <c r="O180" s="93">
        <v>25</v>
      </c>
      <c r="P180" s="92">
        <v>3</v>
      </c>
      <c r="Q180" s="92" t="s">
        <v>151</v>
      </c>
      <c r="R180" s="93">
        <v>1125</v>
      </c>
      <c r="S180" s="93">
        <v>12100</v>
      </c>
      <c r="T180" s="93">
        <v>1125</v>
      </c>
      <c r="U180" s="93">
        <v>1120</v>
      </c>
      <c r="V180" s="93">
        <v>4000</v>
      </c>
      <c r="W180" s="84">
        <v>2</v>
      </c>
      <c r="X180" s="85"/>
      <c r="Y180" s="86" t="s">
        <v>208</v>
      </c>
      <c r="Z180" s="87"/>
      <c r="AA180" s="88"/>
      <c r="AB180" s="89"/>
      <c r="AC180" s="87">
        <v>6</v>
      </c>
      <c r="AD180" s="88" t="s">
        <v>175</v>
      </c>
      <c r="AE180" s="89">
        <v>1130</v>
      </c>
      <c r="AF180" s="86">
        <v>2</v>
      </c>
      <c r="AG180" s="88" t="s">
        <v>209</v>
      </c>
      <c r="AH180" s="89" t="s">
        <v>2000</v>
      </c>
      <c r="AI180" s="86"/>
      <c r="AJ180" s="88"/>
      <c r="AK180" s="89"/>
      <c r="AL180" s="90"/>
      <c r="AM180" s="91"/>
      <c r="AN180" s="91" t="s">
        <v>476</v>
      </c>
      <c r="AO180" s="243" t="str">
        <f t="shared" si="11"/>
        <v>3SNMLBMNGTBF25</v>
      </c>
    </row>
    <row r="181" spans="1:41" ht="15" customHeight="1" x14ac:dyDescent="0.15">
      <c r="A181" s="83">
        <v>333</v>
      </c>
      <c r="B181" s="92">
        <v>275</v>
      </c>
      <c r="C181" s="92">
        <v>5174</v>
      </c>
      <c r="D181" s="92" t="s">
        <v>116</v>
      </c>
      <c r="E181" s="92" t="s">
        <v>117</v>
      </c>
      <c r="F181" s="92" t="s">
        <v>210</v>
      </c>
      <c r="G181" s="92" t="str">
        <f t="shared" si="8"/>
        <v>3SNMLBMNGTBF</v>
      </c>
      <c r="H181" s="92" t="s">
        <v>19</v>
      </c>
      <c r="I181" s="92" t="s">
        <v>20</v>
      </c>
      <c r="J181" s="92" t="s">
        <v>205</v>
      </c>
      <c r="K181" s="92" t="s">
        <v>216</v>
      </c>
      <c r="L181" s="92" t="s">
        <v>217</v>
      </c>
      <c r="M181" s="92" t="str">
        <f t="shared" si="9"/>
        <v>3SNMLBMNGTBF501120</v>
      </c>
      <c r="N181" s="92" t="str">
        <f t="shared" si="10"/>
        <v>3SNMLBMNGTBF501120</v>
      </c>
      <c r="O181" s="93">
        <v>50</v>
      </c>
      <c r="P181" s="92">
        <v>3</v>
      </c>
      <c r="Q181" s="92" t="s">
        <v>189</v>
      </c>
      <c r="R181" s="93">
        <v>1120</v>
      </c>
      <c r="S181" s="93">
        <v>5000</v>
      </c>
      <c r="T181" s="93">
        <v>1120</v>
      </c>
      <c r="U181" s="93">
        <v>1120</v>
      </c>
      <c r="V181" s="93">
        <v>5000</v>
      </c>
      <c r="W181" s="84">
        <v>2</v>
      </c>
      <c r="X181" s="85"/>
      <c r="Y181" s="86" t="s">
        <v>208</v>
      </c>
      <c r="Z181" s="87"/>
      <c r="AA181" s="88"/>
      <c r="AB181" s="89"/>
      <c r="AC181" s="87">
        <v>6</v>
      </c>
      <c r="AD181" s="88" t="s">
        <v>175</v>
      </c>
      <c r="AE181" s="89">
        <v>1125</v>
      </c>
      <c r="AF181" s="86">
        <v>2</v>
      </c>
      <c r="AG181" s="88" t="s">
        <v>24</v>
      </c>
      <c r="AH181" s="89">
        <v>1450</v>
      </c>
      <c r="AI181" s="86"/>
      <c r="AJ181" s="88"/>
      <c r="AK181" s="89"/>
      <c r="AL181" s="90"/>
      <c r="AM181" s="91" t="s">
        <v>501</v>
      </c>
      <c r="AN181" s="91" t="s">
        <v>476</v>
      </c>
      <c r="AO181" s="243" t="str">
        <f t="shared" si="11"/>
        <v>3SNMLBMNGTBF50</v>
      </c>
    </row>
    <row r="182" spans="1:41" ht="15" customHeight="1" x14ac:dyDescent="0.15">
      <c r="A182" s="83">
        <v>333</v>
      </c>
      <c r="B182" s="92">
        <v>275</v>
      </c>
      <c r="C182" s="92">
        <v>5174</v>
      </c>
      <c r="D182" s="92" t="s">
        <v>116</v>
      </c>
      <c r="E182" s="92" t="s">
        <v>117</v>
      </c>
      <c r="F182" s="92" t="s">
        <v>210</v>
      </c>
      <c r="G182" s="92" t="str">
        <f t="shared" si="8"/>
        <v>3XSNMLBMNGTBF</v>
      </c>
      <c r="H182" s="92" t="s">
        <v>19</v>
      </c>
      <c r="I182" s="92" t="s">
        <v>20</v>
      </c>
      <c r="J182" s="92" t="s">
        <v>205</v>
      </c>
      <c r="K182" s="92" t="s">
        <v>216</v>
      </c>
      <c r="L182" s="92" t="s">
        <v>217</v>
      </c>
      <c r="M182" s="92" t="str">
        <f t="shared" si="9"/>
        <v>3XSNMLBMNGTBF501120</v>
      </c>
      <c r="N182" s="92" t="str">
        <f t="shared" si="10"/>
        <v>3XSNMLBMNGTBF501120</v>
      </c>
      <c r="O182" s="93">
        <v>50</v>
      </c>
      <c r="P182" s="92" t="s">
        <v>1825</v>
      </c>
      <c r="Q182" s="92" t="s">
        <v>189</v>
      </c>
      <c r="R182" s="93">
        <v>1120</v>
      </c>
      <c r="S182" s="93">
        <v>5000</v>
      </c>
      <c r="T182" s="93">
        <v>1120</v>
      </c>
      <c r="U182" s="93">
        <v>1120</v>
      </c>
      <c r="V182" s="93">
        <v>5000</v>
      </c>
      <c r="W182" s="84">
        <v>2</v>
      </c>
      <c r="X182" s="85"/>
      <c r="Y182" s="86" t="s">
        <v>208</v>
      </c>
      <c r="Z182" s="87"/>
      <c r="AA182" s="88"/>
      <c r="AB182" s="89"/>
      <c r="AC182" s="87">
        <v>6</v>
      </c>
      <c r="AD182" s="88" t="s">
        <v>175</v>
      </c>
      <c r="AE182" s="89">
        <v>1125</v>
      </c>
      <c r="AF182" s="86">
        <v>2</v>
      </c>
      <c r="AG182" s="88" t="s">
        <v>24</v>
      </c>
      <c r="AH182" s="89">
        <v>1450</v>
      </c>
      <c r="AI182" s="86"/>
      <c r="AJ182" s="88"/>
      <c r="AK182" s="89"/>
      <c r="AL182" s="90"/>
      <c r="AM182" s="91" t="s">
        <v>501</v>
      </c>
      <c r="AN182" s="91" t="s">
        <v>476</v>
      </c>
      <c r="AO182" s="243" t="str">
        <f t="shared" si="11"/>
        <v>3XSNMLBMNGTBF50</v>
      </c>
    </row>
    <row r="183" spans="1:41" ht="15" customHeight="1" x14ac:dyDescent="0.15">
      <c r="A183" s="83">
        <v>333</v>
      </c>
      <c r="B183" s="92">
        <v>275</v>
      </c>
      <c r="C183" s="92">
        <v>5174</v>
      </c>
      <c r="D183" s="92" t="s">
        <v>116</v>
      </c>
      <c r="E183" s="92" t="s">
        <v>117</v>
      </c>
      <c r="F183" s="92" t="s">
        <v>210</v>
      </c>
      <c r="G183" s="92" t="str">
        <f t="shared" si="8"/>
        <v>3HSNMLBMNGTBF</v>
      </c>
      <c r="H183" s="92" t="s">
        <v>19</v>
      </c>
      <c r="I183" s="92" t="s">
        <v>20</v>
      </c>
      <c r="J183" s="92" t="s">
        <v>205</v>
      </c>
      <c r="K183" s="92" t="s">
        <v>216</v>
      </c>
      <c r="L183" s="92" t="s">
        <v>217</v>
      </c>
      <c r="M183" s="92" t="str">
        <f t="shared" si="9"/>
        <v>3HSNMLBMNGTBF501195</v>
      </c>
      <c r="N183" s="92" t="str">
        <f t="shared" si="10"/>
        <v>3HSNMLBMNGTBF501120</v>
      </c>
      <c r="O183" s="93">
        <v>50</v>
      </c>
      <c r="P183" s="92" t="s">
        <v>468</v>
      </c>
      <c r="Q183" s="92" t="s">
        <v>1798</v>
      </c>
      <c r="R183" s="93">
        <v>1195</v>
      </c>
      <c r="S183" s="93">
        <v>6100</v>
      </c>
      <c r="T183" s="93">
        <v>1120</v>
      </c>
      <c r="U183" s="93">
        <v>1120</v>
      </c>
      <c r="V183" s="93">
        <v>5000</v>
      </c>
      <c r="W183" s="84">
        <v>2</v>
      </c>
      <c r="X183" s="85"/>
      <c r="Y183" s="86" t="s">
        <v>208</v>
      </c>
      <c r="Z183" s="87"/>
      <c r="AA183" s="88"/>
      <c r="AB183" s="89"/>
      <c r="AC183" s="87">
        <v>6</v>
      </c>
      <c r="AD183" s="88" t="s">
        <v>175</v>
      </c>
      <c r="AE183" s="89">
        <v>1125</v>
      </c>
      <c r="AF183" s="86">
        <v>2</v>
      </c>
      <c r="AG183" s="88" t="s">
        <v>24</v>
      </c>
      <c r="AH183" s="89">
        <v>1450</v>
      </c>
      <c r="AI183" s="86"/>
      <c r="AJ183" s="88"/>
      <c r="AK183" s="89"/>
      <c r="AL183" s="90"/>
      <c r="AM183" s="91" t="s">
        <v>501</v>
      </c>
      <c r="AN183" s="91" t="s">
        <v>476</v>
      </c>
      <c r="AO183" s="243" t="str">
        <f t="shared" si="11"/>
        <v>3HSNMLBMNGTBF50</v>
      </c>
    </row>
    <row r="184" spans="1:41" ht="15" customHeight="1" x14ac:dyDescent="0.15">
      <c r="A184" s="83">
        <v>333</v>
      </c>
      <c r="B184" s="92">
        <v>275</v>
      </c>
      <c r="C184" s="92">
        <v>5174</v>
      </c>
      <c r="D184" s="92" t="s">
        <v>116</v>
      </c>
      <c r="E184" s="92" t="s">
        <v>117</v>
      </c>
      <c r="F184" s="92" t="s">
        <v>210</v>
      </c>
      <c r="G184" s="92" t="str">
        <f t="shared" si="8"/>
        <v>3SNMLBMNNGKBF</v>
      </c>
      <c r="H184" s="92" t="s">
        <v>19</v>
      </c>
      <c r="I184" s="92" t="s">
        <v>20</v>
      </c>
      <c r="J184" s="92" t="s">
        <v>205</v>
      </c>
      <c r="K184" s="92" t="s">
        <v>218</v>
      </c>
      <c r="L184" s="92" t="s">
        <v>219</v>
      </c>
      <c r="M184" s="92" t="str">
        <f t="shared" si="9"/>
        <v>3SNMLBMNNGKBF251005</v>
      </c>
      <c r="N184" s="92" t="str">
        <f t="shared" si="10"/>
        <v>3SNMLBMNNGKBF251000</v>
      </c>
      <c r="O184" s="93">
        <v>25</v>
      </c>
      <c r="P184" s="92">
        <v>3</v>
      </c>
      <c r="Q184" s="92" t="s">
        <v>220</v>
      </c>
      <c r="R184" s="93">
        <v>1005</v>
      </c>
      <c r="S184" s="93">
        <v>8000</v>
      </c>
      <c r="T184" s="93">
        <v>1005</v>
      </c>
      <c r="U184" s="93">
        <v>1000</v>
      </c>
      <c r="V184" s="93">
        <v>4000</v>
      </c>
      <c r="W184" s="84">
        <v>2</v>
      </c>
      <c r="X184" s="85"/>
      <c r="Y184" s="86" t="s">
        <v>208</v>
      </c>
      <c r="Z184" s="87"/>
      <c r="AA184" s="88"/>
      <c r="AB184" s="89"/>
      <c r="AC184" s="87">
        <v>6</v>
      </c>
      <c r="AD184" s="88" t="s">
        <v>175</v>
      </c>
      <c r="AE184" s="89">
        <v>1015</v>
      </c>
      <c r="AF184" s="86">
        <v>2</v>
      </c>
      <c r="AG184" s="88" t="s">
        <v>209</v>
      </c>
      <c r="AH184" s="89" t="s">
        <v>2000</v>
      </c>
      <c r="AI184" s="86">
        <v>3</v>
      </c>
      <c r="AJ184" s="88" t="s">
        <v>24</v>
      </c>
      <c r="AK184" s="89">
        <v>1450</v>
      </c>
      <c r="AL184" s="90"/>
      <c r="AM184" s="91"/>
      <c r="AN184" s="91" t="s">
        <v>476</v>
      </c>
      <c r="AO184" s="243" t="str">
        <f t="shared" si="11"/>
        <v>3SNMLBMNNGKBF25</v>
      </c>
    </row>
    <row r="185" spans="1:41" ht="15" customHeight="1" x14ac:dyDescent="0.15">
      <c r="A185" s="83">
        <v>333</v>
      </c>
      <c r="B185" s="92">
        <v>275</v>
      </c>
      <c r="C185" s="92">
        <v>5174</v>
      </c>
      <c r="D185" s="92" t="s">
        <v>116</v>
      </c>
      <c r="E185" s="92" t="s">
        <v>117</v>
      </c>
      <c r="F185" s="92" t="s">
        <v>210</v>
      </c>
      <c r="G185" s="92" t="str">
        <f t="shared" si="8"/>
        <v>3SNMLBMNNGKBF</v>
      </c>
      <c r="H185" s="92" t="s">
        <v>19</v>
      </c>
      <c r="I185" s="92" t="s">
        <v>20</v>
      </c>
      <c r="J185" s="92" t="s">
        <v>205</v>
      </c>
      <c r="K185" s="92" t="s">
        <v>218</v>
      </c>
      <c r="L185" s="92" t="s">
        <v>219</v>
      </c>
      <c r="M185" s="92" t="str">
        <f t="shared" si="9"/>
        <v>3SNMLBMNNGKBF501000</v>
      </c>
      <c r="N185" s="92" t="str">
        <f t="shared" si="10"/>
        <v>3SNMLBMNNGKBF501000</v>
      </c>
      <c r="O185" s="93">
        <v>50</v>
      </c>
      <c r="P185" s="92">
        <v>3</v>
      </c>
      <c r="Q185" s="92" t="s">
        <v>168</v>
      </c>
      <c r="R185" s="93">
        <v>1000</v>
      </c>
      <c r="S185" s="93">
        <v>4000</v>
      </c>
      <c r="T185" s="93">
        <v>1000</v>
      </c>
      <c r="U185" s="93">
        <v>1000</v>
      </c>
      <c r="V185" s="93">
        <v>4000</v>
      </c>
      <c r="W185" s="84">
        <v>2</v>
      </c>
      <c r="X185" s="85"/>
      <c r="Y185" s="86" t="s">
        <v>208</v>
      </c>
      <c r="Z185" s="87"/>
      <c r="AA185" s="88"/>
      <c r="AB185" s="89"/>
      <c r="AC185" s="87">
        <v>6</v>
      </c>
      <c r="AD185" s="88" t="s">
        <v>175</v>
      </c>
      <c r="AE185" s="89">
        <v>1005</v>
      </c>
      <c r="AF185" s="86">
        <v>2</v>
      </c>
      <c r="AG185" s="88" t="s">
        <v>209</v>
      </c>
      <c r="AH185" s="89" t="s">
        <v>2000</v>
      </c>
      <c r="AI185" s="86">
        <v>3</v>
      </c>
      <c r="AJ185" s="88" t="s">
        <v>24</v>
      </c>
      <c r="AK185" s="89">
        <v>1450</v>
      </c>
      <c r="AL185" s="90"/>
      <c r="AM185" s="91" t="s">
        <v>501</v>
      </c>
      <c r="AN185" s="91" t="s">
        <v>476</v>
      </c>
      <c r="AO185" s="243" t="str">
        <f t="shared" si="11"/>
        <v>3SNMLBMNNGKBF50</v>
      </c>
    </row>
    <row r="186" spans="1:41" ht="15" customHeight="1" x14ac:dyDescent="0.15">
      <c r="A186" s="83">
        <v>333</v>
      </c>
      <c r="B186" s="92">
        <v>275</v>
      </c>
      <c r="C186" s="92">
        <v>5174</v>
      </c>
      <c r="D186" s="92" t="s">
        <v>116</v>
      </c>
      <c r="E186" s="92" t="s">
        <v>117</v>
      </c>
      <c r="F186" s="92" t="s">
        <v>210</v>
      </c>
      <c r="G186" s="92" t="str">
        <f t="shared" si="8"/>
        <v>3SNMLBMNQR66F</v>
      </c>
      <c r="H186" s="92" t="s">
        <v>19</v>
      </c>
      <c r="I186" s="92" t="s">
        <v>20</v>
      </c>
      <c r="J186" s="92" t="s">
        <v>205</v>
      </c>
      <c r="K186" s="92" t="s">
        <v>221</v>
      </c>
      <c r="L186" s="92" t="s">
        <v>222</v>
      </c>
      <c r="M186" s="92" t="str">
        <f t="shared" si="9"/>
        <v>3SNMLBMNQR66F251000</v>
      </c>
      <c r="N186" s="92" t="str">
        <f t="shared" si="10"/>
        <v>3SNMLBMNQR66F251000</v>
      </c>
      <c r="O186" s="93">
        <v>25</v>
      </c>
      <c r="P186" s="92">
        <v>3</v>
      </c>
      <c r="Q186" s="92" t="s">
        <v>223</v>
      </c>
      <c r="R186" s="93">
        <v>1000</v>
      </c>
      <c r="S186" s="93">
        <v>6000</v>
      </c>
      <c r="T186" s="93">
        <v>1000</v>
      </c>
      <c r="U186" s="93">
        <v>1000</v>
      </c>
      <c r="V186" s="93">
        <v>6000</v>
      </c>
      <c r="W186" s="84">
        <v>2</v>
      </c>
      <c r="X186" s="85"/>
      <c r="Y186" s="86" t="s">
        <v>208</v>
      </c>
      <c r="Z186" s="87"/>
      <c r="AA186" s="88"/>
      <c r="AB186" s="89"/>
      <c r="AC186" s="87">
        <v>6</v>
      </c>
      <c r="AD186" s="88" t="s">
        <v>147</v>
      </c>
      <c r="AE186" s="89">
        <v>1010</v>
      </c>
      <c r="AF186" s="86">
        <v>2</v>
      </c>
      <c r="AG186" s="88" t="s">
        <v>24</v>
      </c>
      <c r="AH186" s="89">
        <v>1450</v>
      </c>
      <c r="AI186" s="86">
        <v>3</v>
      </c>
      <c r="AJ186" s="88" t="s">
        <v>24</v>
      </c>
      <c r="AK186" s="89">
        <v>1450</v>
      </c>
      <c r="AL186" s="90"/>
      <c r="AM186" s="91" t="s">
        <v>501</v>
      </c>
      <c r="AN186" s="91" t="s">
        <v>476</v>
      </c>
      <c r="AO186" s="243" t="str">
        <f t="shared" si="11"/>
        <v>3SNMLBMNQR66F25</v>
      </c>
    </row>
    <row r="187" spans="1:41" ht="15" customHeight="1" x14ac:dyDescent="0.15">
      <c r="A187" s="83">
        <v>333</v>
      </c>
      <c r="B187" s="92">
        <v>275</v>
      </c>
      <c r="C187" s="92">
        <v>5174</v>
      </c>
      <c r="D187" s="92" t="s">
        <v>116</v>
      </c>
      <c r="E187" s="92" t="s">
        <v>117</v>
      </c>
      <c r="F187" s="92" t="s">
        <v>210</v>
      </c>
      <c r="G187" s="92" t="str">
        <f t="shared" si="8"/>
        <v>3SNMLBMNQR66F</v>
      </c>
      <c r="H187" s="92" t="s">
        <v>19</v>
      </c>
      <c r="I187" s="92" t="s">
        <v>20</v>
      </c>
      <c r="J187" s="92" t="s">
        <v>205</v>
      </c>
      <c r="K187" s="92" t="s">
        <v>221</v>
      </c>
      <c r="L187" s="92" t="s">
        <v>222</v>
      </c>
      <c r="M187" s="92" t="str">
        <f t="shared" si="9"/>
        <v>3SNMLBMNQR66F251100</v>
      </c>
      <c r="N187" s="92" t="str">
        <f t="shared" si="10"/>
        <v>3SNMLBMNQR66F251100</v>
      </c>
      <c r="O187" s="93">
        <v>25</v>
      </c>
      <c r="P187" s="92">
        <v>3</v>
      </c>
      <c r="Q187" s="92" t="s">
        <v>223</v>
      </c>
      <c r="R187" s="93">
        <v>1100</v>
      </c>
      <c r="S187" s="93">
        <v>6000</v>
      </c>
      <c r="T187" s="93">
        <v>1100</v>
      </c>
      <c r="U187" s="93">
        <v>1100</v>
      </c>
      <c r="V187" s="93">
        <v>6000</v>
      </c>
      <c r="W187" s="84">
        <v>2</v>
      </c>
      <c r="X187" s="85"/>
      <c r="Y187" s="86" t="s">
        <v>208</v>
      </c>
      <c r="Z187" s="87"/>
      <c r="AA187" s="88"/>
      <c r="AB187" s="89"/>
      <c r="AC187" s="87">
        <v>6</v>
      </c>
      <c r="AD187" s="88" t="s">
        <v>147</v>
      </c>
      <c r="AE187" s="89">
        <v>1110</v>
      </c>
      <c r="AF187" s="86">
        <v>2</v>
      </c>
      <c r="AG187" s="88" t="s">
        <v>24</v>
      </c>
      <c r="AH187" s="89">
        <v>1450</v>
      </c>
      <c r="AI187" s="86">
        <v>3</v>
      </c>
      <c r="AJ187" s="88" t="s">
        <v>24</v>
      </c>
      <c r="AK187" s="89">
        <v>1450</v>
      </c>
      <c r="AL187" s="90"/>
      <c r="AM187" s="91" t="s">
        <v>501</v>
      </c>
      <c r="AN187" s="91" t="s">
        <v>476</v>
      </c>
      <c r="AO187" s="243" t="str">
        <f t="shared" si="11"/>
        <v>3SNMLBMNQR66F25</v>
      </c>
    </row>
    <row r="188" spans="1:41" ht="15" customHeight="1" x14ac:dyDescent="0.15">
      <c r="A188" s="83">
        <v>333</v>
      </c>
      <c r="B188" s="92">
        <v>275</v>
      </c>
      <c r="C188" s="92">
        <v>5174</v>
      </c>
      <c r="D188" s="92" t="s">
        <v>116</v>
      </c>
      <c r="E188" s="92" t="s">
        <v>117</v>
      </c>
      <c r="F188" s="92" t="s">
        <v>210</v>
      </c>
      <c r="G188" s="92" t="str">
        <f t="shared" si="8"/>
        <v>3SYMLBMSBBF</v>
      </c>
      <c r="H188" s="92" t="s">
        <v>19</v>
      </c>
      <c r="I188" s="92" t="s">
        <v>28</v>
      </c>
      <c r="J188" s="92" t="s">
        <v>205</v>
      </c>
      <c r="K188" s="92" t="s">
        <v>224</v>
      </c>
      <c r="L188" s="92" t="s">
        <v>225</v>
      </c>
      <c r="M188" s="92" t="str">
        <f t="shared" si="9"/>
        <v>3SYMLBMSBBF251120</v>
      </c>
      <c r="N188" s="92" t="str">
        <f t="shared" si="10"/>
        <v>3SYMLBMSBBF251120</v>
      </c>
      <c r="O188" s="93">
        <v>25</v>
      </c>
      <c r="P188" s="92">
        <v>3</v>
      </c>
      <c r="Q188" s="92" t="s">
        <v>189</v>
      </c>
      <c r="R188" s="93">
        <v>1120</v>
      </c>
      <c r="S188" s="93">
        <v>8000</v>
      </c>
      <c r="T188" s="93">
        <v>1120</v>
      </c>
      <c r="U188" s="93">
        <v>1120</v>
      </c>
      <c r="V188" s="93">
        <v>8000</v>
      </c>
      <c r="W188" s="84">
        <v>2</v>
      </c>
      <c r="X188" s="85"/>
      <c r="Y188" s="86" t="s">
        <v>208</v>
      </c>
      <c r="Z188" s="87"/>
      <c r="AA188" s="88"/>
      <c r="AB188" s="89"/>
      <c r="AC188" s="87">
        <v>6</v>
      </c>
      <c r="AD188" s="88" t="s">
        <v>175</v>
      </c>
      <c r="AE188" s="89">
        <v>1125</v>
      </c>
      <c r="AF188" s="86">
        <v>2</v>
      </c>
      <c r="AG188" s="88" t="s">
        <v>209</v>
      </c>
      <c r="AH188" s="89" t="s">
        <v>2000</v>
      </c>
      <c r="AI188" s="86">
        <v>3</v>
      </c>
      <c r="AJ188" s="88" t="s">
        <v>24</v>
      </c>
      <c r="AK188" s="89">
        <v>1450</v>
      </c>
      <c r="AL188" s="90"/>
      <c r="AM188" s="91"/>
      <c r="AN188" s="91" t="s">
        <v>476</v>
      </c>
      <c r="AO188" s="243" t="str">
        <f t="shared" si="11"/>
        <v>3SYMLBMSBBF25</v>
      </c>
    </row>
    <row r="189" spans="1:41" ht="15" customHeight="1" x14ac:dyDescent="0.15">
      <c r="A189" s="83">
        <v>333</v>
      </c>
      <c r="B189" s="92">
        <v>275</v>
      </c>
      <c r="C189" s="92">
        <v>5174</v>
      </c>
      <c r="D189" s="92" t="s">
        <v>116</v>
      </c>
      <c r="E189" s="92" t="s">
        <v>117</v>
      </c>
      <c r="F189" s="92" t="s">
        <v>210</v>
      </c>
      <c r="G189" s="92" t="str">
        <f t="shared" si="8"/>
        <v>3SYMLBMSBBF</v>
      </c>
      <c r="H189" s="92" t="s">
        <v>19</v>
      </c>
      <c r="I189" s="92" t="s">
        <v>28</v>
      </c>
      <c r="J189" s="92" t="s">
        <v>205</v>
      </c>
      <c r="K189" s="92" t="s">
        <v>224</v>
      </c>
      <c r="L189" s="92" t="s">
        <v>225</v>
      </c>
      <c r="M189" s="92" t="str">
        <f t="shared" si="9"/>
        <v>3SYMLBMSBBF501120</v>
      </c>
      <c r="N189" s="92" t="str">
        <f t="shared" si="10"/>
        <v>3SYMLBMSBBF501120</v>
      </c>
      <c r="O189" s="93">
        <v>50</v>
      </c>
      <c r="P189" s="92">
        <v>3</v>
      </c>
      <c r="Q189" s="92" t="s">
        <v>189</v>
      </c>
      <c r="R189" s="93">
        <v>1120</v>
      </c>
      <c r="S189" s="93">
        <v>5000</v>
      </c>
      <c r="T189" s="93">
        <v>1120</v>
      </c>
      <c r="U189" s="93">
        <v>1120</v>
      </c>
      <c r="V189" s="93">
        <v>5000</v>
      </c>
      <c r="W189" s="84">
        <v>2</v>
      </c>
      <c r="X189" s="85"/>
      <c r="Y189" s="86" t="s">
        <v>208</v>
      </c>
      <c r="Z189" s="87"/>
      <c r="AA189" s="88"/>
      <c r="AB189" s="89"/>
      <c r="AC189" s="87">
        <v>6</v>
      </c>
      <c r="AD189" s="88" t="s">
        <v>175</v>
      </c>
      <c r="AE189" s="89">
        <v>1125</v>
      </c>
      <c r="AF189" s="86">
        <v>2</v>
      </c>
      <c r="AG189" s="88" t="s">
        <v>209</v>
      </c>
      <c r="AH189" s="89" t="s">
        <v>2000</v>
      </c>
      <c r="AI189" s="86">
        <v>3</v>
      </c>
      <c r="AJ189" s="88" t="s">
        <v>24</v>
      </c>
      <c r="AK189" s="89">
        <v>1450</v>
      </c>
      <c r="AL189" s="90"/>
      <c r="AM189" s="91" t="s">
        <v>501</v>
      </c>
      <c r="AN189" s="91" t="s">
        <v>476</v>
      </c>
      <c r="AO189" s="243" t="str">
        <f t="shared" si="11"/>
        <v>3SYMLBMSBBF50</v>
      </c>
    </row>
    <row r="190" spans="1:41" ht="15" customHeight="1" x14ac:dyDescent="0.15">
      <c r="A190" s="83">
        <v>333</v>
      </c>
      <c r="B190" s="92">
        <v>275</v>
      </c>
      <c r="C190" s="92">
        <v>5174</v>
      </c>
      <c r="D190" s="92" t="s">
        <v>116</v>
      </c>
      <c r="E190" s="92" t="s">
        <v>117</v>
      </c>
      <c r="F190" s="92" t="s">
        <v>111</v>
      </c>
      <c r="G190" s="92" t="str">
        <f t="shared" si="8"/>
        <v>3SYMLBMSBBF</v>
      </c>
      <c r="H190" s="92" t="s">
        <v>19</v>
      </c>
      <c r="I190" s="92" t="s">
        <v>28</v>
      </c>
      <c r="J190" s="92" t="s">
        <v>205</v>
      </c>
      <c r="K190" s="92" t="s">
        <v>224</v>
      </c>
      <c r="L190" s="92" t="s">
        <v>225</v>
      </c>
      <c r="M190" s="92" t="str">
        <f t="shared" si="9"/>
        <v>3SYMLBMSBBF501120</v>
      </c>
      <c r="N190" s="92" t="str">
        <f t="shared" si="10"/>
        <v>3SYMLBMSBBF501120</v>
      </c>
      <c r="O190" s="93">
        <v>50</v>
      </c>
      <c r="P190" s="92">
        <v>3</v>
      </c>
      <c r="Q190" s="92" t="s">
        <v>189</v>
      </c>
      <c r="R190" s="93">
        <v>1120</v>
      </c>
      <c r="S190" s="93">
        <v>5000</v>
      </c>
      <c r="T190" s="93">
        <v>1120</v>
      </c>
      <c r="U190" s="93">
        <v>1120</v>
      </c>
      <c r="V190" s="93">
        <v>5000</v>
      </c>
      <c r="W190" s="84">
        <v>2</v>
      </c>
      <c r="X190" s="85"/>
      <c r="Y190" s="86" t="s">
        <v>208</v>
      </c>
      <c r="Z190" s="87"/>
      <c r="AA190" s="88"/>
      <c r="AB190" s="89"/>
      <c r="AC190" s="87">
        <v>6</v>
      </c>
      <c r="AD190" s="88" t="s">
        <v>175</v>
      </c>
      <c r="AE190" s="89">
        <v>1125</v>
      </c>
      <c r="AF190" s="86">
        <v>2</v>
      </c>
      <c r="AG190" s="88" t="s">
        <v>209</v>
      </c>
      <c r="AH190" s="89" t="s">
        <v>2000</v>
      </c>
      <c r="AI190" s="86">
        <v>3</v>
      </c>
      <c r="AJ190" s="88" t="s">
        <v>24</v>
      </c>
      <c r="AK190" s="89">
        <v>1450</v>
      </c>
      <c r="AL190" s="90"/>
      <c r="AM190" s="91" t="s">
        <v>501</v>
      </c>
      <c r="AN190" s="91" t="s">
        <v>476</v>
      </c>
      <c r="AO190" s="243" t="str">
        <f t="shared" si="11"/>
        <v>3SYMLBMSBBF50</v>
      </c>
    </row>
    <row r="191" spans="1:41" ht="15" customHeight="1" x14ac:dyDescent="0.15">
      <c r="A191" s="83">
        <v>333</v>
      </c>
      <c r="B191" s="92">
        <v>275</v>
      </c>
      <c r="C191" s="92">
        <v>5174</v>
      </c>
      <c r="D191" s="92" t="s">
        <v>116</v>
      </c>
      <c r="E191" s="92" t="s">
        <v>117</v>
      </c>
      <c r="F191" s="92" t="s">
        <v>210</v>
      </c>
      <c r="G191" s="92" t="str">
        <f t="shared" si="8"/>
        <v>3SYMLBMSBBZF</v>
      </c>
      <c r="H191" s="92" t="s">
        <v>19</v>
      </c>
      <c r="I191" s="92" t="s">
        <v>28</v>
      </c>
      <c r="J191" s="92" t="s">
        <v>205</v>
      </c>
      <c r="K191" s="92" t="s">
        <v>226</v>
      </c>
      <c r="L191" s="92" t="s">
        <v>227</v>
      </c>
      <c r="M191" s="92" t="str">
        <f t="shared" si="9"/>
        <v>3SYMLBMSBBZF251120</v>
      </c>
      <c r="N191" s="92" t="str">
        <f t="shared" si="10"/>
        <v>3SYMLBMSBBZF251120</v>
      </c>
      <c r="O191" s="93">
        <v>25</v>
      </c>
      <c r="P191" s="92">
        <v>3</v>
      </c>
      <c r="Q191" s="92" t="s">
        <v>189</v>
      </c>
      <c r="R191" s="93">
        <v>1120</v>
      </c>
      <c r="S191" s="93">
        <v>8000</v>
      </c>
      <c r="T191" s="93">
        <v>1120</v>
      </c>
      <c r="U191" s="93">
        <v>1120</v>
      </c>
      <c r="V191" s="93">
        <v>8000</v>
      </c>
      <c r="W191" s="84">
        <v>2</v>
      </c>
      <c r="X191" s="85"/>
      <c r="Y191" s="86" t="s">
        <v>208</v>
      </c>
      <c r="Z191" s="87"/>
      <c r="AA191" s="88"/>
      <c r="AB191" s="89"/>
      <c r="AC191" s="87">
        <v>6</v>
      </c>
      <c r="AD191" s="88" t="s">
        <v>175</v>
      </c>
      <c r="AE191" s="89">
        <v>1125</v>
      </c>
      <c r="AF191" s="86">
        <v>2</v>
      </c>
      <c r="AG191" s="88" t="s">
        <v>209</v>
      </c>
      <c r="AH191" s="89" t="s">
        <v>2000</v>
      </c>
      <c r="AI191" s="86">
        <v>3</v>
      </c>
      <c r="AJ191" s="88" t="s">
        <v>24</v>
      </c>
      <c r="AK191" s="89">
        <v>1450</v>
      </c>
      <c r="AL191" s="90"/>
      <c r="AM191" s="91"/>
      <c r="AN191" s="91" t="s">
        <v>476</v>
      </c>
      <c r="AO191" s="243" t="str">
        <f t="shared" si="11"/>
        <v>3SYMLBMSBBZF25</v>
      </c>
    </row>
    <row r="192" spans="1:41" ht="15" customHeight="1" x14ac:dyDescent="0.15">
      <c r="A192" s="83">
        <v>333</v>
      </c>
      <c r="B192" s="92">
        <v>275</v>
      </c>
      <c r="C192" s="92">
        <v>5174</v>
      </c>
      <c r="D192" s="92" t="s">
        <v>116</v>
      </c>
      <c r="E192" s="92" t="s">
        <v>117</v>
      </c>
      <c r="F192" s="92" t="s">
        <v>210</v>
      </c>
      <c r="G192" s="92" t="str">
        <f t="shared" si="8"/>
        <v>3SYMLBMSBBZF</v>
      </c>
      <c r="H192" s="92" t="s">
        <v>19</v>
      </c>
      <c r="I192" s="92" t="s">
        <v>28</v>
      </c>
      <c r="J192" s="92" t="s">
        <v>205</v>
      </c>
      <c r="K192" s="92" t="s">
        <v>226</v>
      </c>
      <c r="L192" s="92" t="s">
        <v>227</v>
      </c>
      <c r="M192" s="92" t="str">
        <f t="shared" si="9"/>
        <v>3SYMLBMSBBZF501120</v>
      </c>
      <c r="N192" s="92" t="str">
        <f t="shared" si="10"/>
        <v>3SYMLBMSBBZF501120</v>
      </c>
      <c r="O192" s="93">
        <v>50</v>
      </c>
      <c r="P192" s="92">
        <v>3</v>
      </c>
      <c r="Q192" s="92" t="s">
        <v>228</v>
      </c>
      <c r="R192" s="93">
        <v>1120</v>
      </c>
      <c r="S192" s="93">
        <v>5000</v>
      </c>
      <c r="T192" s="93">
        <v>1120</v>
      </c>
      <c r="U192" s="93">
        <v>1120</v>
      </c>
      <c r="V192" s="93">
        <v>5000</v>
      </c>
      <c r="W192" s="84">
        <v>2</v>
      </c>
      <c r="X192" s="85"/>
      <c r="Y192" s="86" t="s">
        <v>208</v>
      </c>
      <c r="Z192" s="87"/>
      <c r="AA192" s="88"/>
      <c r="AB192" s="89"/>
      <c r="AC192" s="87">
        <v>6</v>
      </c>
      <c r="AD192" s="88" t="s">
        <v>175</v>
      </c>
      <c r="AE192" s="89">
        <v>1125</v>
      </c>
      <c r="AF192" s="86">
        <v>2</v>
      </c>
      <c r="AG192" s="88" t="s">
        <v>209</v>
      </c>
      <c r="AH192" s="89" t="s">
        <v>2000</v>
      </c>
      <c r="AI192" s="86">
        <v>3</v>
      </c>
      <c r="AJ192" s="88" t="s">
        <v>24</v>
      </c>
      <c r="AK192" s="89">
        <v>1450</v>
      </c>
      <c r="AL192" s="90"/>
      <c r="AM192" s="91" t="s">
        <v>501</v>
      </c>
      <c r="AN192" s="91" t="s">
        <v>476</v>
      </c>
      <c r="AO192" s="243" t="str">
        <f t="shared" si="11"/>
        <v>3SYMLBMSBBZF50</v>
      </c>
    </row>
    <row r="193" spans="1:41" ht="15" customHeight="1" x14ac:dyDescent="0.15">
      <c r="A193" s="83">
        <v>333</v>
      </c>
      <c r="B193" s="92">
        <v>271</v>
      </c>
      <c r="C193" s="92">
        <v>34101</v>
      </c>
      <c r="D193" s="92" t="s">
        <v>229</v>
      </c>
      <c r="E193" s="92" t="s">
        <v>18</v>
      </c>
      <c r="F193" s="92" t="s">
        <v>26</v>
      </c>
      <c r="G193" s="92" t="str">
        <f t="shared" si="8"/>
        <v>3SNMLBMSF</v>
      </c>
      <c r="H193" s="92" t="s">
        <v>19</v>
      </c>
      <c r="I193" s="92" t="s">
        <v>20</v>
      </c>
      <c r="J193" s="92" t="s">
        <v>205</v>
      </c>
      <c r="K193" s="92" t="s">
        <v>230</v>
      </c>
      <c r="L193" s="92" t="s">
        <v>231</v>
      </c>
      <c r="M193" s="92" t="str">
        <f t="shared" si="9"/>
        <v>3SNMLBMSF251020</v>
      </c>
      <c r="N193" s="92" t="str">
        <f t="shared" si="10"/>
        <v>3SNMLBMSF251000</v>
      </c>
      <c r="O193" s="93">
        <v>25</v>
      </c>
      <c r="P193" s="92">
        <v>3</v>
      </c>
      <c r="Q193" s="92" t="s">
        <v>151</v>
      </c>
      <c r="R193" s="93">
        <v>1020</v>
      </c>
      <c r="S193" s="93">
        <v>12100</v>
      </c>
      <c r="T193" s="93">
        <v>1000</v>
      </c>
      <c r="U193" s="93">
        <v>1000</v>
      </c>
      <c r="V193" s="93">
        <v>2000</v>
      </c>
      <c r="W193" s="84">
        <v>2</v>
      </c>
      <c r="X193" s="85"/>
      <c r="Y193" s="86" t="s">
        <v>208</v>
      </c>
      <c r="Z193" s="87"/>
      <c r="AA193" s="88"/>
      <c r="AB193" s="89"/>
      <c r="AC193" s="87">
        <v>3</v>
      </c>
      <c r="AD193" s="88" t="s">
        <v>1998</v>
      </c>
      <c r="AE193" s="89">
        <v>1005</v>
      </c>
      <c r="AF193" s="86">
        <v>2</v>
      </c>
      <c r="AG193" s="88" t="s">
        <v>209</v>
      </c>
      <c r="AH193" s="89" t="s">
        <v>2000</v>
      </c>
      <c r="AI193" s="86">
        <v>3</v>
      </c>
      <c r="AJ193" s="88" t="s">
        <v>24</v>
      </c>
      <c r="AK193" s="89">
        <v>1450</v>
      </c>
      <c r="AL193" s="90"/>
      <c r="AM193" s="91"/>
      <c r="AN193" s="91" t="s">
        <v>476</v>
      </c>
      <c r="AO193" s="243" t="str">
        <f t="shared" si="11"/>
        <v>3SNMLBMSF25</v>
      </c>
    </row>
    <row r="194" spans="1:41" ht="15" customHeight="1" x14ac:dyDescent="0.15">
      <c r="A194" s="83">
        <v>333</v>
      </c>
      <c r="B194" s="92">
        <v>275</v>
      </c>
      <c r="C194" s="92">
        <v>3671</v>
      </c>
      <c r="D194" s="92" t="s">
        <v>232</v>
      </c>
      <c r="E194" s="92" t="s">
        <v>117</v>
      </c>
      <c r="F194" s="92" t="s">
        <v>46</v>
      </c>
      <c r="G194" s="92" t="str">
        <f t="shared" si="8"/>
        <v>3SNMLBMSF</v>
      </c>
      <c r="H194" s="92" t="s">
        <v>19</v>
      </c>
      <c r="I194" s="92" t="s">
        <v>20</v>
      </c>
      <c r="J194" s="92" t="s">
        <v>205</v>
      </c>
      <c r="K194" s="92" t="s">
        <v>230</v>
      </c>
      <c r="L194" s="92" t="s">
        <v>231</v>
      </c>
      <c r="M194" s="92" t="str">
        <f t="shared" si="9"/>
        <v>3SNMLBMSF251020</v>
      </c>
      <c r="N194" s="92" t="str">
        <f t="shared" si="10"/>
        <v>3SNMLBMSF251020</v>
      </c>
      <c r="O194" s="93">
        <v>25</v>
      </c>
      <c r="P194" s="92">
        <v>3</v>
      </c>
      <c r="Q194" s="92" t="s">
        <v>151</v>
      </c>
      <c r="R194" s="93">
        <v>1020</v>
      </c>
      <c r="S194" s="93">
        <v>12100</v>
      </c>
      <c r="T194" s="93">
        <v>1020</v>
      </c>
      <c r="U194" s="93">
        <v>1020</v>
      </c>
      <c r="V194" s="93">
        <v>2000</v>
      </c>
      <c r="W194" s="84">
        <v>1</v>
      </c>
      <c r="X194" s="85"/>
      <c r="Y194" s="86" t="s">
        <v>208</v>
      </c>
      <c r="Z194" s="87"/>
      <c r="AA194" s="88"/>
      <c r="AB194" s="89"/>
      <c r="AC194" s="87">
        <v>3</v>
      </c>
      <c r="AD194" s="88" t="s">
        <v>1998</v>
      </c>
      <c r="AE194" s="89">
        <v>1025</v>
      </c>
      <c r="AF194" s="86">
        <v>2</v>
      </c>
      <c r="AG194" s="88" t="s">
        <v>209</v>
      </c>
      <c r="AH194" s="89" t="s">
        <v>2000</v>
      </c>
      <c r="AI194" s="86">
        <v>3</v>
      </c>
      <c r="AJ194" s="88" t="s">
        <v>24</v>
      </c>
      <c r="AK194" s="89">
        <v>1450</v>
      </c>
      <c r="AL194" s="90"/>
      <c r="AM194" s="91"/>
      <c r="AN194" s="91" t="s">
        <v>476</v>
      </c>
      <c r="AO194" s="243" t="str">
        <f t="shared" si="11"/>
        <v>3SNMLBMSF25</v>
      </c>
    </row>
    <row r="195" spans="1:41" ht="15" customHeight="1" x14ac:dyDescent="0.15">
      <c r="A195" s="83">
        <v>333</v>
      </c>
      <c r="B195" s="92">
        <v>275</v>
      </c>
      <c r="C195" s="92">
        <v>3671</v>
      </c>
      <c r="D195" s="92" t="s">
        <v>232</v>
      </c>
      <c r="E195" s="92" t="s">
        <v>117</v>
      </c>
      <c r="F195" s="92" t="s">
        <v>46</v>
      </c>
      <c r="G195" s="92" t="str">
        <f t="shared" si="8"/>
        <v>3SNMLBMSF</v>
      </c>
      <c r="H195" s="92" t="s">
        <v>19</v>
      </c>
      <c r="I195" s="92" t="s">
        <v>20</v>
      </c>
      <c r="J195" s="92" t="s">
        <v>205</v>
      </c>
      <c r="K195" s="92" t="s">
        <v>230</v>
      </c>
      <c r="L195" s="92" t="s">
        <v>231</v>
      </c>
      <c r="M195" s="92" t="str">
        <f t="shared" si="9"/>
        <v>3SNMLBMSF251240</v>
      </c>
      <c r="N195" s="92" t="str">
        <f t="shared" si="10"/>
        <v>3SNMLBMSF251240</v>
      </c>
      <c r="O195" s="93">
        <v>25</v>
      </c>
      <c r="P195" s="92">
        <v>3</v>
      </c>
      <c r="Q195" s="92" t="s">
        <v>151</v>
      </c>
      <c r="R195" s="93">
        <v>1240</v>
      </c>
      <c r="S195" s="93">
        <v>12100</v>
      </c>
      <c r="T195" s="93">
        <v>1240</v>
      </c>
      <c r="U195" s="93">
        <v>1240</v>
      </c>
      <c r="V195" s="93">
        <v>2000</v>
      </c>
      <c r="W195" s="84">
        <v>1</v>
      </c>
      <c r="X195" s="85"/>
      <c r="Y195" s="86" t="s">
        <v>208</v>
      </c>
      <c r="Z195" s="87"/>
      <c r="AA195" s="88"/>
      <c r="AB195" s="89"/>
      <c r="AC195" s="87">
        <v>3</v>
      </c>
      <c r="AD195" s="88" t="s">
        <v>1998</v>
      </c>
      <c r="AE195" s="89">
        <v>1245</v>
      </c>
      <c r="AF195" s="86">
        <v>2</v>
      </c>
      <c r="AG195" s="88" t="s">
        <v>209</v>
      </c>
      <c r="AH195" s="89" t="s">
        <v>2000</v>
      </c>
      <c r="AI195" s="86">
        <v>3</v>
      </c>
      <c r="AJ195" s="88" t="s">
        <v>24</v>
      </c>
      <c r="AK195" s="89">
        <v>1450</v>
      </c>
      <c r="AL195" s="90"/>
      <c r="AM195" s="91"/>
      <c r="AN195" s="91" t="s">
        <v>476</v>
      </c>
      <c r="AO195" s="243" t="str">
        <f t="shared" si="11"/>
        <v>3SNMLBMSF25</v>
      </c>
    </row>
    <row r="196" spans="1:41" ht="15" customHeight="1" x14ac:dyDescent="0.15">
      <c r="A196" s="83">
        <v>333</v>
      </c>
      <c r="B196" s="92">
        <v>272</v>
      </c>
      <c r="C196" s="92">
        <v>3687</v>
      </c>
      <c r="D196" s="92" t="s">
        <v>769</v>
      </c>
      <c r="E196" s="92" t="s">
        <v>45</v>
      </c>
      <c r="F196" s="92" t="s">
        <v>46</v>
      </c>
      <c r="G196" s="92" t="str">
        <f t="shared" si="8"/>
        <v>3SNMLBMSF</v>
      </c>
      <c r="H196" s="92" t="s">
        <v>19</v>
      </c>
      <c r="I196" s="92" t="s">
        <v>20</v>
      </c>
      <c r="J196" s="92" t="s">
        <v>205</v>
      </c>
      <c r="K196" s="92" t="s">
        <v>230</v>
      </c>
      <c r="L196" s="92" t="s">
        <v>231</v>
      </c>
      <c r="M196" s="92" t="str">
        <f t="shared" si="9"/>
        <v>3SNMLBMSF251020</v>
      </c>
      <c r="N196" s="92" t="str">
        <f t="shared" si="10"/>
        <v>3SNMLBMSF25510</v>
      </c>
      <c r="O196" s="93">
        <v>25</v>
      </c>
      <c r="P196" s="92">
        <v>3</v>
      </c>
      <c r="Q196" s="92" t="s">
        <v>151</v>
      </c>
      <c r="R196" s="93">
        <v>1020</v>
      </c>
      <c r="S196" s="93">
        <v>12100</v>
      </c>
      <c r="T196" s="93">
        <v>510</v>
      </c>
      <c r="U196" s="93">
        <v>510</v>
      </c>
      <c r="V196" s="93">
        <v>2000</v>
      </c>
      <c r="W196" s="84">
        <v>1</v>
      </c>
      <c r="X196" s="85"/>
      <c r="Y196" s="86" t="s">
        <v>208</v>
      </c>
      <c r="Z196" s="87"/>
      <c r="AA196" s="88"/>
      <c r="AB196" s="89"/>
      <c r="AC196" s="87">
        <v>3</v>
      </c>
      <c r="AD196" s="88" t="s">
        <v>1998</v>
      </c>
      <c r="AE196" s="89">
        <v>515</v>
      </c>
      <c r="AF196" s="86">
        <v>2</v>
      </c>
      <c r="AG196" s="88" t="s">
        <v>209</v>
      </c>
      <c r="AH196" s="89" t="s">
        <v>2000</v>
      </c>
      <c r="AI196" s="86">
        <v>3</v>
      </c>
      <c r="AJ196" s="88" t="s">
        <v>24</v>
      </c>
      <c r="AK196" s="89">
        <v>1450</v>
      </c>
      <c r="AL196" s="90"/>
      <c r="AM196" s="91"/>
      <c r="AN196" s="91" t="s">
        <v>476</v>
      </c>
      <c r="AO196" s="243" t="str">
        <f t="shared" si="11"/>
        <v>3SNMLBMSF25</v>
      </c>
    </row>
    <row r="197" spans="1:41" ht="15" customHeight="1" x14ac:dyDescent="0.15">
      <c r="A197" s="83">
        <v>333</v>
      </c>
      <c r="B197" s="92">
        <v>275</v>
      </c>
      <c r="C197" s="92">
        <v>3537</v>
      </c>
      <c r="D197" s="92" t="s">
        <v>467</v>
      </c>
      <c r="E197" s="92" t="s">
        <v>117</v>
      </c>
      <c r="F197" s="92" t="s">
        <v>46</v>
      </c>
      <c r="G197" s="92" t="str">
        <f t="shared" si="8"/>
        <v>3HSNMLBMSF</v>
      </c>
      <c r="H197" s="92" t="s">
        <v>19</v>
      </c>
      <c r="I197" s="92" t="s">
        <v>20</v>
      </c>
      <c r="J197" s="92" t="s">
        <v>205</v>
      </c>
      <c r="K197" s="92" t="s">
        <v>230</v>
      </c>
      <c r="L197" s="92" t="s">
        <v>231</v>
      </c>
      <c r="M197" s="92" t="str">
        <f t="shared" si="9"/>
        <v>3HSNMLBMSF381000</v>
      </c>
      <c r="N197" s="92" t="str">
        <f t="shared" si="10"/>
        <v>3HSNMLBMSF38865</v>
      </c>
      <c r="O197" s="93">
        <v>38</v>
      </c>
      <c r="P197" s="92" t="s">
        <v>468</v>
      </c>
      <c r="Q197" s="92" t="s">
        <v>2002</v>
      </c>
      <c r="R197" s="93">
        <v>1000</v>
      </c>
      <c r="S197" s="93">
        <v>6000</v>
      </c>
      <c r="T197" s="93">
        <v>865</v>
      </c>
      <c r="U197" s="93">
        <v>865</v>
      </c>
      <c r="V197" s="93">
        <v>2800</v>
      </c>
      <c r="W197" s="84">
        <v>2</v>
      </c>
      <c r="X197" s="85"/>
      <c r="Y197" s="86" t="s">
        <v>208</v>
      </c>
      <c r="Z197" s="87"/>
      <c r="AA197" s="88"/>
      <c r="AB197" s="89"/>
      <c r="AC197" s="87">
        <v>3</v>
      </c>
      <c r="AD197" s="88" t="s">
        <v>1998</v>
      </c>
      <c r="AE197" s="89">
        <v>870</v>
      </c>
      <c r="AF197" s="86">
        <v>2</v>
      </c>
      <c r="AG197" s="88" t="s">
        <v>209</v>
      </c>
      <c r="AH197" s="89" t="s">
        <v>2000</v>
      </c>
      <c r="AI197" s="86">
        <v>3</v>
      </c>
      <c r="AJ197" s="88" t="s">
        <v>24</v>
      </c>
      <c r="AK197" s="89">
        <v>1450</v>
      </c>
      <c r="AL197" s="90"/>
      <c r="AM197" s="91"/>
      <c r="AN197" s="91" t="s">
        <v>476</v>
      </c>
      <c r="AO197" s="243" t="str">
        <f t="shared" si="11"/>
        <v>3HSNMLBMSF38</v>
      </c>
    </row>
    <row r="198" spans="1:41" ht="15" customHeight="1" x14ac:dyDescent="0.15">
      <c r="A198" s="83">
        <v>333</v>
      </c>
      <c r="B198" s="92">
        <v>275</v>
      </c>
      <c r="C198" s="92">
        <v>3537</v>
      </c>
      <c r="D198" s="92" t="s">
        <v>467</v>
      </c>
      <c r="E198" s="92" t="s">
        <v>117</v>
      </c>
      <c r="F198" s="92" t="s">
        <v>46</v>
      </c>
      <c r="G198" s="92" t="str">
        <f t="shared" si="8"/>
        <v>3HSNMLBMSF</v>
      </c>
      <c r="H198" s="92" t="s">
        <v>19</v>
      </c>
      <c r="I198" s="92" t="s">
        <v>20</v>
      </c>
      <c r="J198" s="92" t="s">
        <v>205</v>
      </c>
      <c r="K198" s="92" t="s">
        <v>230</v>
      </c>
      <c r="L198" s="92" t="s">
        <v>231</v>
      </c>
      <c r="M198" s="92" t="str">
        <f t="shared" si="9"/>
        <v>3HSNMLBMSF381100</v>
      </c>
      <c r="N198" s="92" t="str">
        <f t="shared" si="10"/>
        <v>3HSNMLBMSF381075</v>
      </c>
      <c r="O198" s="93">
        <v>38</v>
      </c>
      <c r="P198" s="92" t="s">
        <v>468</v>
      </c>
      <c r="Q198" s="92" t="s">
        <v>2002</v>
      </c>
      <c r="R198" s="93">
        <v>1100</v>
      </c>
      <c r="S198" s="93">
        <v>6000</v>
      </c>
      <c r="T198" s="93">
        <v>1075</v>
      </c>
      <c r="U198" s="93">
        <v>1075</v>
      </c>
      <c r="V198" s="93">
        <v>2800</v>
      </c>
      <c r="W198" s="84">
        <v>2</v>
      </c>
      <c r="X198" s="85"/>
      <c r="Y198" s="86" t="s">
        <v>208</v>
      </c>
      <c r="Z198" s="87"/>
      <c r="AA198" s="88"/>
      <c r="AB198" s="89"/>
      <c r="AC198" s="87">
        <v>3</v>
      </c>
      <c r="AD198" s="88" t="s">
        <v>1998</v>
      </c>
      <c r="AE198" s="89">
        <v>1080</v>
      </c>
      <c r="AF198" s="86">
        <v>2</v>
      </c>
      <c r="AG198" s="88" t="s">
        <v>209</v>
      </c>
      <c r="AH198" s="89" t="s">
        <v>2000</v>
      </c>
      <c r="AI198" s="86">
        <v>3</v>
      </c>
      <c r="AJ198" s="88" t="s">
        <v>24</v>
      </c>
      <c r="AK198" s="89">
        <v>1450</v>
      </c>
      <c r="AL198" s="90"/>
      <c r="AM198" s="91"/>
      <c r="AN198" s="91" t="s">
        <v>476</v>
      </c>
      <c r="AO198" s="243" t="str">
        <f t="shared" si="11"/>
        <v>3HSNMLBMSF38</v>
      </c>
    </row>
    <row r="199" spans="1:41" ht="15" customHeight="1" x14ac:dyDescent="0.15">
      <c r="A199" s="83">
        <v>333</v>
      </c>
      <c r="B199" s="92">
        <v>275</v>
      </c>
      <c r="C199" s="92">
        <v>3537</v>
      </c>
      <c r="D199" s="92" t="s">
        <v>467</v>
      </c>
      <c r="E199" s="92" t="s">
        <v>117</v>
      </c>
      <c r="F199" s="92" t="s">
        <v>46</v>
      </c>
      <c r="G199" s="92" t="str">
        <f t="shared" si="8"/>
        <v>3HSNMLBMSF</v>
      </c>
      <c r="H199" s="92" t="s">
        <v>19</v>
      </c>
      <c r="I199" s="92" t="s">
        <v>20</v>
      </c>
      <c r="J199" s="92" t="s">
        <v>205</v>
      </c>
      <c r="K199" s="92" t="s">
        <v>230</v>
      </c>
      <c r="L199" s="92" t="s">
        <v>231</v>
      </c>
      <c r="M199" s="92" t="str">
        <f t="shared" si="9"/>
        <v>3HSNMLBMSF381165</v>
      </c>
      <c r="N199" s="92" t="str">
        <f t="shared" si="10"/>
        <v>3HSNMLBMSF381165</v>
      </c>
      <c r="O199" s="93">
        <v>38</v>
      </c>
      <c r="P199" s="92" t="s">
        <v>468</v>
      </c>
      <c r="Q199" s="92" t="s">
        <v>2002</v>
      </c>
      <c r="R199" s="93">
        <v>1165</v>
      </c>
      <c r="S199" s="93">
        <v>6000</v>
      </c>
      <c r="T199" s="93">
        <v>1165</v>
      </c>
      <c r="U199" s="93">
        <v>1165</v>
      </c>
      <c r="V199" s="93">
        <v>2800</v>
      </c>
      <c r="W199" s="84">
        <v>2</v>
      </c>
      <c r="X199" s="85"/>
      <c r="Y199" s="86" t="s">
        <v>208</v>
      </c>
      <c r="Z199" s="87"/>
      <c r="AA199" s="88"/>
      <c r="AB199" s="89"/>
      <c r="AC199" s="87">
        <v>3</v>
      </c>
      <c r="AD199" s="88" t="s">
        <v>1998</v>
      </c>
      <c r="AE199" s="89">
        <v>1170</v>
      </c>
      <c r="AF199" s="86">
        <v>2</v>
      </c>
      <c r="AG199" s="88" t="s">
        <v>209</v>
      </c>
      <c r="AH199" s="89" t="s">
        <v>2000</v>
      </c>
      <c r="AI199" s="86">
        <v>3</v>
      </c>
      <c r="AJ199" s="88" t="s">
        <v>24</v>
      </c>
      <c r="AK199" s="89">
        <v>1450</v>
      </c>
      <c r="AL199" s="90"/>
      <c r="AM199" s="91"/>
      <c r="AN199" s="91" t="s">
        <v>476</v>
      </c>
      <c r="AO199" s="243" t="str">
        <f t="shared" si="11"/>
        <v>3HSNMLBMSF38</v>
      </c>
    </row>
    <row r="200" spans="1:41" ht="15" customHeight="1" x14ac:dyDescent="0.15">
      <c r="A200" s="83">
        <v>333</v>
      </c>
      <c r="B200" s="92">
        <v>275</v>
      </c>
      <c r="C200" s="92">
        <v>5174</v>
      </c>
      <c r="D200" s="92" t="s">
        <v>116</v>
      </c>
      <c r="E200" s="92" t="s">
        <v>117</v>
      </c>
      <c r="F200" s="92" t="s">
        <v>111</v>
      </c>
      <c r="G200" s="92" t="str">
        <f t="shared" si="8"/>
        <v>3SYMLBMSNMBF</v>
      </c>
      <c r="H200" s="92" t="s">
        <v>19</v>
      </c>
      <c r="I200" s="92" t="s">
        <v>28</v>
      </c>
      <c r="J200" s="92" t="s">
        <v>205</v>
      </c>
      <c r="K200" s="92" t="s">
        <v>233</v>
      </c>
      <c r="L200" s="92" t="s">
        <v>2058</v>
      </c>
      <c r="M200" s="92" t="str">
        <f t="shared" si="9"/>
        <v>3SYMLBMSNMBF501120</v>
      </c>
      <c r="N200" s="92" t="str">
        <f t="shared" si="10"/>
        <v>3SYMLBMSNMBF501120</v>
      </c>
      <c r="O200" s="93">
        <v>50</v>
      </c>
      <c r="P200" s="92">
        <v>3</v>
      </c>
      <c r="Q200" s="92" t="s">
        <v>168</v>
      </c>
      <c r="R200" s="93">
        <v>1120</v>
      </c>
      <c r="S200" s="93">
        <v>4000</v>
      </c>
      <c r="T200" s="93">
        <v>1120</v>
      </c>
      <c r="U200" s="93">
        <v>1120</v>
      </c>
      <c r="V200" s="93">
        <v>4000</v>
      </c>
      <c r="W200" s="84">
        <v>2</v>
      </c>
      <c r="X200" s="85"/>
      <c r="Y200" s="86" t="s">
        <v>208</v>
      </c>
      <c r="Z200" s="87"/>
      <c r="AA200" s="88"/>
      <c r="AB200" s="89"/>
      <c r="AC200" s="87">
        <v>6</v>
      </c>
      <c r="AD200" s="88" t="s">
        <v>147</v>
      </c>
      <c r="AE200" s="89">
        <v>1125</v>
      </c>
      <c r="AF200" s="86">
        <v>2</v>
      </c>
      <c r="AG200" s="88" t="s">
        <v>209</v>
      </c>
      <c r="AH200" s="89" t="s">
        <v>2000</v>
      </c>
      <c r="AI200" s="86">
        <v>3</v>
      </c>
      <c r="AJ200" s="88" t="s">
        <v>24</v>
      </c>
      <c r="AK200" s="89">
        <v>1450</v>
      </c>
      <c r="AL200" s="90"/>
      <c r="AM200" s="91"/>
      <c r="AN200" s="91" t="s">
        <v>476</v>
      </c>
      <c r="AO200" s="243" t="str">
        <f t="shared" si="11"/>
        <v>3SYMLBMSNMBF50</v>
      </c>
    </row>
    <row r="201" spans="1:41" ht="15" customHeight="1" x14ac:dyDescent="0.15">
      <c r="A201" s="83">
        <v>333</v>
      </c>
      <c r="B201" s="92">
        <v>275</v>
      </c>
      <c r="C201" s="92">
        <v>5174</v>
      </c>
      <c r="D201" s="92" t="s">
        <v>116</v>
      </c>
      <c r="E201" s="92" t="s">
        <v>117</v>
      </c>
      <c r="F201" s="92" t="s">
        <v>210</v>
      </c>
      <c r="G201" s="92" t="str">
        <f t="shared" si="8"/>
        <v>3SYMLBMSNMBF</v>
      </c>
      <c r="H201" s="92" t="s">
        <v>19</v>
      </c>
      <c r="I201" s="92" t="s">
        <v>28</v>
      </c>
      <c r="J201" s="92" t="s">
        <v>205</v>
      </c>
      <c r="K201" s="92" t="s">
        <v>233</v>
      </c>
      <c r="L201" s="92" t="s">
        <v>234</v>
      </c>
      <c r="M201" s="92" t="str">
        <f t="shared" si="9"/>
        <v>3SYMLBMSNMBF501120</v>
      </c>
      <c r="N201" s="92" t="str">
        <f t="shared" si="10"/>
        <v>3SYMLBMSNMBF501120</v>
      </c>
      <c r="O201" s="93">
        <v>50</v>
      </c>
      <c r="P201" s="92">
        <v>3</v>
      </c>
      <c r="Q201" s="92" t="s">
        <v>168</v>
      </c>
      <c r="R201" s="93">
        <v>1120</v>
      </c>
      <c r="S201" s="93">
        <v>4000</v>
      </c>
      <c r="T201" s="93">
        <v>1120</v>
      </c>
      <c r="U201" s="93">
        <v>1120</v>
      </c>
      <c r="V201" s="93">
        <v>4000</v>
      </c>
      <c r="W201" s="84">
        <v>2</v>
      </c>
      <c r="X201" s="85"/>
      <c r="Y201" s="86" t="s">
        <v>208</v>
      </c>
      <c r="Z201" s="87"/>
      <c r="AA201" s="88"/>
      <c r="AB201" s="89"/>
      <c r="AC201" s="87">
        <v>6</v>
      </c>
      <c r="AD201" s="88" t="s">
        <v>147</v>
      </c>
      <c r="AE201" s="89">
        <v>1125</v>
      </c>
      <c r="AF201" s="86">
        <v>2</v>
      </c>
      <c r="AG201" s="88" t="s">
        <v>209</v>
      </c>
      <c r="AH201" s="89" t="s">
        <v>2000</v>
      </c>
      <c r="AI201" s="86">
        <v>3</v>
      </c>
      <c r="AJ201" s="88" t="s">
        <v>24</v>
      </c>
      <c r="AK201" s="89">
        <v>1450</v>
      </c>
      <c r="AL201" s="90"/>
      <c r="AM201" s="91"/>
      <c r="AN201" s="91" t="s">
        <v>476</v>
      </c>
      <c r="AO201" s="243" t="str">
        <f t="shared" si="11"/>
        <v>3SYMLBMSNMBF50</v>
      </c>
    </row>
    <row r="202" spans="1:41" ht="15" customHeight="1" x14ac:dyDescent="0.15">
      <c r="A202" s="83">
        <v>333</v>
      </c>
      <c r="B202" s="92">
        <v>275</v>
      </c>
      <c r="C202" s="92">
        <v>5174</v>
      </c>
      <c r="D202" s="92" t="s">
        <v>116</v>
      </c>
      <c r="E202" s="92" t="s">
        <v>117</v>
      </c>
      <c r="F202" s="92" t="s">
        <v>210</v>
      </c>
      <c r="G202" s="92" t="str">
        <f t="shared" si="8"/>
        <v>3SYMLBMSNMBZF</v>
      </c>
      <c r="H202" s="92" t="s">
        <v>19</v>
      </c>
      <c r="I202" s="92" t="s">
        <v>28</v>
      </c>
      <c r="J202" s="92" t="s">
        <v>205</v>
      </c>
      <c r="K202" s="92" t="s">
        <v>235</v>
      </c>
      <c r="L202" s="92" t="s">
        <v>236</v>
      </c>
      <c r="M202" s="92" t="str">
        <f t="shared" si="9"/>
        <v>3SYMLBMSNMBZF251120</v>
      </c>
      <c r="N202" s="92" t="str">
        <f t="shared" si="10"/>
        <v>3SYMLBMSNMBZF251120</v>
      </c>
      <c r="O202" s="93">
        <v>25</v>
      </c>
      <c r="P202" s="92">
        <v>3</v>
      </c>
      <c r="Q202" s="92" t="s">
        <v>168</v>
      </c>
      <c r="R202" s="93">
        <v>1120</v>
      </c>
      <c r="S202" s="93">
        <v>8000</v>
      </c>
      <c r="T202" s="93">
        <v>1120</v>
      </c>
      <c r="U202" s="93">
        <v>1120</v>
      </c>
      <c r="V202" s="93">
        <v>8000</v>
      </c>
      <c r="W202" s="84">
        <v>2</v>
      </c>
      <c r="X202" s="85"/>
      <c r="Y202" s="86" t="s">
        <v>208</v>
      </c>
      <c r="Z202" s="87"/>
      <c r="AA202" s="88"/>
      <c r="AB202" s="89"/>
      <c r="AC202" s="87">
        <v>6</v>
      </c>
      <c r="AD202" s="88" t="s">
        <v>147</v>
      </c>
      <c r="AE202" s="89">
        <v>1125</v>
      </c>
      <c r="AF202" s="86">
        <v>2</v>
      </c>
      <c r="AG202" s="88" t="s">
        <v>209</v>
      </c>
      <c r="AH202" s="89" t="s">
        <v>2000</v>
      </c>
      <c r="AI202" s="86">
        <v>3</v>
      </c>
      <c r="AJ202" s="88" t="s">
        <v>24</v>
      </c>
      <c r="AK202" s="89">
        <v>1450</v>
      </c>
      <c r="AL202" s="90"/>
      <c r="AM202" s="91"/>
      <c r="AN202" s="91" t="s">
        <v>476</v>
      </c>
      <c r="AO202" s="243" t="str">
        <f t="shared" si="11"/>
        <v>3SYMLBMSNMBZF25</v>
      </c>
    </row>
    <row r="203" spans="1:41" ht="15" customHeight="1" x14ac:dyDescent="0.15">
      <c r="A203" s="83">
        <v>333</v>
      </c>
      <c r="B203" s="92">
        <v>275</v>
      </c>
      <c r="C203" s="92">
        <v>5174</v>
      </c>
      <c r="D203" s="92" t="s">
        <v>116</v>
      </c>
      <c r="E203" s="92" t="s">
        <v>117</v>
      </c>
      <c r="F203" s="92" t="s">
        <v>210</v>
      </c>
      <c r="G203" s="92" t="str">
        <f t="shared" si="8"/>
        <v>3SYMLBMSNMBZF</v>
      </c>
      <c r="H203" s="92" t="s">
        <v>19</v>
      </c>
      <c r="I203" s="92" t="s">
        <v>28</v>
      </c>
      <c r="J203" s="92" t="s">
        <v>205</v>
      </c>
      <c r="K203" s="92" t="s">
        <v>235</v>
      </c>
      <c r="L203" s="92" t="s">
        <v>236</v>
      </c>
      <c r="M203" s="92" t="str">
        <f t="shared" si="9"/>
        <v>3SYMLBMSNMBZF501120</v>
      </c>
      <c r="N203" s="92" t="str">
        <f t="shared" si="10"/>
        <v>3SYMLBMSNMBZF501120</v>
      </c>
      <c r="O203" s="93">
        <v>50</v>
      </c>
      <c r="P203" s="92">
        <v>3</v>
      </c>
      <c r="Q203" s="92" t="s">
        <v>168</v>
      </c>
      <c r="R203" s="93">
        <v>1120</v>
      </c>
      <c r="S203" s="93">
        <v>4000</v>
      </c>
      <c r="T203" s="93">
        <v>1120</v>
      </c>
      <c r="U203" s="93">
        <v>1120</v>
      </c>
      <c r="V203" s="93">
        <v>4000</v>
      </c>
      <c r="W203" s="84">
        <v>2</v>
      </c>
      <c r="X203" s="85"/>
      <c r="Y203" s="86" t="s">
        <v>208</v>
      </c>
      <c r="Z203" s="87"/>
      <c r="AA203" s="88"/>
      <c r="AB203" s="89"/>
      <c r="AC203" s="87">
        <v>6</v>
      </c>
      <c r="AD203" s="88" t="s">
        <v>147</v>
      </c>
      <c r="AE203" s="89">
        <v>1125</v>
      </c>
      <c r="AF203" s="86">
        <v>2</v>
      </c>
      <c r="AG203" s="88" t="s">
        <v>209</v>
      </c>
      <c r="AH203" s="89" t="s">
        <v>2000</v>
      </c>
      <c r="AI203" s="86">
        <v>3</v>
      </c>
      <c r="AJ203" s="88" t="s">
        <v>24</v>
      </c>
      <c r="AK203" s="89">
        <v>1450</v>
      </c>
      <c r="AL203" s="90"/>
      <c r="AM203" s="91"/>
      <c r="AN203" s="91" t="s">
        <v>476</v>
      </c>
      <c r="AO203" s="243" t="str">
        <f t="shared" si="11"/>
        <v>3SYMLBMSNMBZF50</v>
      </c>
    </row>
    <row r="204" spans="1:41" ht="15" customHeight="1" x14ac:dyDescent="0.15">
      <c r="A204" s="83">
        <v>333</v>
      </c>
      <c r="B204" s="92">
        <v>275</v>
      </c>
      <c r="C204" s="92">
        <v>5174</v>
      </c>
      <c r="D204" s="92" t="s">
        <v>116</v>
      </c>
      <c r="E204" s="92" t="s">
        <v>117</v>
      </c>
      <c r="F204" s="92" t="s">
        <v>111</v>
      </c>
      <c r="G204" s="92" t="str">
        <f t="shared" si="8"/>
        <v>3SYMLBMSSMBF</v>
      </c>
      <c r="H204" s="92" t="s">
        <v>19</v>
      </c>
      <c r="I204" s="92" t="s">
        <v>28</v>
      </c>
      <c r="J204" s="92" t="s">
        <v>205</v>
      </c>
      <c r="K204" s="92" t="s">
        <v>237</v>
      </c>
      <c r="L204" s="92" t="s">
        <v>238</v>
      </c>
      <c r="M204" s="92" t="str">
        <f t="shared" si="9"/>
        <v>3SYMLBMSSMBF251120</v>
      </c>
      <c r="N204" s="92" t="str">
        <f t="shared" si="10"/>
        <v>3SYMLBMSSMBF251120</v>
      </c>
      <c r="O204" s="93">
        <v>25</v>
      </c>
      <c r="P204" s="92">
        <v>3</v>
      </c>
      <c r="Q204" s="92" t="s">
        <v>239</v>
      </c>
      <c r="R204" s="93">
        <v>1120</v>
      </c>
      <c r="S204" s="93">
        <v>8000</v>
      </c>
      <c r="T204" s="93">
        <v>1120</v>
      </c>
      <c r="U204" s="93">
        <v>1120</v>
      </c>
      <c r="V204" s="93">
        <v>8000</v>
      </c>
      <c r="W204" s="84">
        <v>2</v>
      </c>
      <c r="X204" s="85"/>
      <c r="Y204" s="86" t="s">
        <v>208</v>
      </c>
      <c r="Z204" s="87"/>
      <c r="AA204" s="88"/>
      <c r="AB204" s="89"/>
      <c r="AC204" s="87">
        <v>6</v>
      </c>
      <c r="AD204" s="88" t="s">
        <v>175</v>
      </c>
      <c r="AE204" s="89">
        <v>1125</v>
      </c>
      <c r="AF204" s="86">
        <v>2</v>
      </c>
      <c r="AG204" s="88" t="s">
        <v>209</v>
      </c>
      <c r="AH204" s="89" t="s">
        <v>2000</v>
      </c>
      <c r="AI204" s="86">
        <v>3</v>
      </c>
      <c r="AJ204" s="88" t="s">
        <v>24</v>
      </c>
      <c r="AK204" s="89">
        <v>1450</v>
      </c>
      <c r="AL204" s="90"/>
      <c r="AM204" s="91"/>
      <c r="AN204" s="91" t="s">
        <v>476</v>
      </c>
      <c r="AO204" s="243" t="str">
        <f t="shared" si="11"/>
        <v>3SYMLBMSSMBF25</v>
      </c>
    </row>
    <row r="205" spans="1:41" ht="15" customHeight="1" x14ac:dyDescent="0.15">
      <c r="A205" s="83">
        <v>333</v>
      </c>
      <c r="B205" s="92">
        <v>275</v>
      </c>
      <c r="C205" s="92">
        <v>5174</v>
      </c>
      <c r="D205" s="92" t="s">
        <v>116</v>
      </c>
      <c r="E205" s="92" t="s">
        <v>117</v>
      </c>
      <c r="F205" s="92" t="s">
        <v>111</v>
      </c>
      <c r="G205" s="92" t="str">
        <f t="shared" si="8"/>
        <v>3HSYMLBMSSMBF</v>
      </c>
      <c r="H205" s="92" t="s">
        <v>19</v>
      </c>
      <c r="I205" s="92" t="s">
        <v>28</v>
      </c>
      <c r="J205" s="92" t="s">
        <v>205</v>
      </c>
      <c r="K205" s="92" t="s">
        <v>237</v>
      </c>
      <c r="L205" s="92" t="s">
        <v>238</v>
      </c>
      <c r="M205" s="92" t="str">
        <f t="shared" si="9"/>
        <v>3HSYMLBMSSMBF501120</v>
      </c>
      <c r="N205" s="92" t="str">
        <f t="shared" si="10"/>
        <v>3HSYMLBMSSMBF501120</v>
      </c>
      <c r="O205" s="93">
        <v>50</v>
      </c>
      <c r="P205" s="92" t="s">
        <v>468</v>
      </c>
      <c r="Q205" s="92" t="s">
        <v>239</v>
      </c>
      <c r="R205" s="93">
        <v>1120</v>
      </c>
      <c r="S205" s="93">
        <v>4000</v>
      </c>
      <c r="T205" s="93">
        <v>1120</v>
      </c>
      <c r="U205" s="93">
        <v>1120</v>
      </c>
      <c r="V205" s="93">
        <v>4000</v>
      </c>
      <c r="W205" s="84">
        <v>2</v>
      </c>
      <c r="X205" s="85"/>
      <c r="Y205" s="86" t="s">
        <v>208</v>
      </c>
      <c r="Z205" s="87"/>
      <c r="AA205" s="88"/>
      <c r="AB205" s="89"/>
      <c r="AC205" s="87">
        <v>6</v>
      </c>
      <c r="AD205" s="88" t="s">
        <v>175</v>
      </c>
      <c r="AE205" s="89">
        <v>1125</v>
      </c>
      <c r="AF205" s="86">
        <v>2</v>
      </c>
      <c r="AG205" s="88" t="s">
        <v>209</v>
      </c>
      <c r="AH205" s="89" t="s">
        <v>2000</v>
      </c>
      <c r="AI205" s="86">
        <v>3</v>
      </c>
      <c r="AJ205" s="88" t="s">
        <v>24</v>
      </c>
      <c r="AK205" s="89">
        <v>1450</v>
      </c>
      <c r="AL205" s="90"/>
      <c r="AM205" s="91"/>
      <c r="AN205" s="91" t="s">
        <v>476</v>
      </c>
      <c r="AO205" s="243" t="str">
        <f t="shared" si="11"/>
        <v>3HSYMLBMSSMBF50</v>
      </c>
    </row>
    <row r="206" spans="1:41" ht="15" customHeight="1" x14ac:dyDescent="0.15">
      <c r="A206" s="83">
        <v>333</v>
      </c>
      <c r="B206" s="92">
        <v>275</v>
      </c>
      <c r="C206" s="92">
        <v>5174</v>
      </c>
      <c r="D206" s="92" t="s">
        <v>116</v>
      </c>
      <c r="E206" s="92" t="s">
        <v>117</v>
      </c>
      <c r="F206" s="92" t="s">
        <v>210</v>
      </c>
      <c r="G206" s="92" t="str">
        <f t="shared" si="8"/>
        <v>3SYMLBMSSMBZF</v>
      </c>
      <c r="H206" s="92" t="s">
        <v>19</v>
      </c>
      <c r="I206" s="92" t="s">
        <v>28</v>
      </c>
      <c r="J206" s="92" t="s">
        <v>205</v>
      </c>
      <c r="K206" s="92" t="s">
        <v>240</v>
      </c>
      <c r="L206" s="92" t="s">
        <v>241</v>
      </c>
      <c r="M206" s="92" t="str">
        <f t="shared" si="9"/>
        <v>3SYMLBMSSMBZF501120</v>
      </c>
      <c r="N206" s="92" t="str">
        <f t="shared" si="10"/>
        <v>3SYMLBMSSMBZF501120</v>
      </c>
      <c r="O206" s="93">
        <v>50</v>
      </c>
      <c r="P206" s="92">
        <v>3</v>
      </c>
      <c r="Q206" s="92" t="s">
        <v>239</v>
      </c>
      <c r="R206" s="93">
        <v>1120</v>
      </c>
      <c r="S206" s="93">
        <v>4000</v>
      </c>
      <c r="T206" s="93">
        <v>1120</v>
      </c>
      <c r="U206" s="93">
        <v>1120</v>
      </c>
      <c r="V206" s="93">
        <v>4000</v>
      </c>
      <c r="W206" s="84">
        <v>2</v>
      </c>
      <c r="X206" s="85"/>
      <c r="Y206" s="86" t="s">
        <v>208</v>
      </c>
      <c r="Z206" s="87"/>
      <c r="AA206" s="88"/>
      <c r="AB206" s="89"/>
      <c r="AC206" s="87">
        <v>6</v>
      </c>
      <c r="AD206" s="88" t="s">
        <v>175</v>
      </c>
      <c r="AE206" s="89">
        <v>1125</v>
      </c>
      <c r="AF206" s="86">
        <v>2</v>
      </c>
      <c r="AG206" s="88" t="s">
        <v>209</v>
      </c>
      <c r="AH206" s="89" t="s">
        <v>2000</v>
      </c>
      <c r="AI206" s="86">
        <v>3</v>
      </c>
      <c r="AJ206" s="88" t="s">
        <v>24</v>
      </c>
      <c r="AK206" s="89">
        <v>1450</v>
      </c>
      <c r="AL206" s="90"/>
      <c r="AM206" s="91"/>
      <c r="AN206" s="91" t="s">
        <v>476</v>
      </c>
      <c r="AO206" s="243" t="str">
        <f t="shared" si="11"/>
        <v>3SYMLBMSSMBZF50</v>
      </c>
    </row>
    <row r="207" spans="1:41" ht="15" customHeight="1" x14ac:dyDescent="0.15">
      <c r="A207" s="83">
        <v>333</v>
      </c>
      <c r="B207" s="92">
        <v>271</v>
      </c>
      <c r="C207" s="92">
        <v>380604</v>
      </c>
      <c r="D207" s="92" t="s">
        <v>17</v>
      </c>
      <c r="E207" s="92" t="s">
        <v>18</v>
      </c>
      <c r="F207" s="92" t="s">
        <v>26</v>
      </c>
      <c r="G207" s="92" t="str">
        <f t="shared" si="8"/>
        <v>3SNMLBMTSF</v>
      </c>
      <c r="H207" s="92" t="s">
        <v>19</v>
      </c>
      <c r="I207" s="92" t="s">
        <v>20</v>
      </c>
      <c r="J207" s="92" t="s">
        <v>205</v>
      </c>
      <c r="K207" s="92" t="s">
        <v>242</v>
      </c>
      <c r="L207" s="92" t="s">
        <v>243</v>
      </c>
      <c r="M207" s="92" t="str">
        <f t="shared" si="9"/>
        <v>3SNMLBMTSF501060</v>
      </c>
      <c r="N207" s="92" t="str">
        <f t="shared" si="10"/>
        <v>3SNMLBMTSF501000</v>
      </c>
      <c r="O207" s="93">
        <v>50</v>
      </c>
      <c r="P207" s="92">
        <v>3</v>
      </c>
      <c r="Q207" s="92" t="s">
        <v>151</v>
      </c>
      <c r="R207" s="93">
        <v>1060</v>
      </c>
      <c r="S207" s="93">
        <v>6100</v>
      </c>
      <c r="T207" s="93">
        <v>1000</v>
      </c>
      <c r="U207" s="93">
        <v>1000</v>
      </c>
      <c r="V207" s="93">
        <v>1000</v>
      </c>
      <c r="W207" s="84">
        <v>2</v>
      </c>
      <c r="X207" s="85"/>
      <c r="Y207" s="86" t="s">
        <v>208</v>
      </c>
      <c r="Z207" s="87"/>
      <c r="AA207" s="88"/>
      <c r="AB207" s="89"/>
      <c r="AC207" s="87">
        <v>3</v>
      </c>
      <c r="AD207" s="88" t="s">
        <v>1998</v>
      </c>
      <c r="AE207" s="89">
        <v>1005</v>
      </c>
      <c r="AF207" s="86">
        <v>2</v>
      </c>
      <c r="AG207" s="88" t="s">
        <v>209</v>
      </c>
      <c r="AH207" s="89" t="s">
        <v>2000</v>
      </c>
      <c r="AI207" s="86">
        <v>3</v>
      </c>
      <c r="AJ207" s="88" t="s">
        <v>24</v>
      </c>
      <c r="AK207" s="89">
        <v>1450</v>
      </c>
      <c r="AL207" s="90"/>
      <c r="AM207" s="91"/>
      <c r="AN207" s="91" t="s">
        <v>476</v>
      </c>
      <c r="AO207" s="243" t="str">
        <f t="shared" si="11"/>
        <v>3SNMLBMTSF50</v>
      </c>
    </row>
    <row r="208" spans="1:41" ht="15" customHeight="1" x14ac:dyDescent="0.15">
      <c r="A208" s="83">
        <v>333</v>
      </c>
      <c r="B208" s="92">
        <v>271</v>
      </c>
      <c r="C208" s="92">
        <v>380604</v>
      </c>
      <c r="D208" s="92" t="s">
        <v>17</v>
      </c>
      <c r="E208" s="92" t="s">
        <v>18</v>
      </c>
      <c r="F208" s="92" t="s">
        <v>26</v>
      </c>
      <c r="G208" s="92" t="str">
        <f t="shared" si="8"/>
        <v>3HSNMLBMTSF</v>
      </c>
      <c r="H208" s="92" t="s">
        <v>19</v>
      </c>
      <c r="I208" s="92" t="s">
        <v>20</v>
      </c>
      <c r="J208" s="92" t="s">
        <v>205</v>
      </c>
      <c r="K208" s="92" t="s">
        <v>242</v>
      </c>
      <c r="L208" s="92" t="s">
        <v>243</v>
      </c>
      <c r="M208" s="92" t="str">
        <f t="shared" si="9"/>
        <v>3HSNMLBMTSF501195</v>
      </c>
      <c r="N208" s="92" t="str">
        <f t="shared" si="10"/>
        <v>3HSNMLBMTSF501000</v>
      </c>
      <c r="O208" s="93">
        <v>50</v>
      </c>
      <c r="P208" s="92" t="s">
        <v>468</v>
      </c>
      <c r="Q208" s="92" t="s">
        <v>151</v>
      </c>
      <c r="R208" s="93">
        <v>1195</v>
      </c>
      <c r="S208" s="93">
        <v>6100</v>
      </c>
      <c r="T208" s="93">
        <v>1000</v>
      </c>
      <c r="U208" s="93">
        <v>1000</v>
      </c>
      <c r="V208" s="93">
        <v>1000</v>
      </c>
      <c r="W208" s="84">
        <v>2</v>
      </c>
      <c r="X208" s="85"/>
      <c r="Y208" s="86" t="s">
        <v>208</v>
      </c>
      <c r="Z208" s="87"/>
      <c r="AA208" s="88"/>
      <c r="AB208" s="89"/>
      <c r="AC208" s="87">
        <v>3</v>
      </c>
      <c r="AD208" s="88" t="s">
        <v>1998</v>
      </c>
      <c r="AE208" s="89">
        <v>1005</v>
      </c>
      <c r="AF208" s="86">
        <v>2</v>
      </c>
      <c r="AG208" s="88" t="s">
        <v>209</v>
      </c>
      <c r="AH208" s="89" t="s">
        <v>2000</v>
      </c>
      <c r="AI208" s="86">
        <v>3</v>
      </c>
      <c r="AJ208" s="88" t="s">
        <v>24</v>
      </c>
      <c r="AK208" s="89">
        <v>1450</v>
      </c>
      <c r="AL208" s="90"/>
      <c r="AM208" s="91"/>
      <c r="AN208" s="91" t="s">
        <v>476</v>
      </c>
      <c r="AO208" s="243" t="str">
        <f t="shared" si="11"/>
        <v>3HSNMLBMTSF50</v>
      </c>
    </row>
    <row r="209" spans="1:41" ht="15" customHeight="1" x14ac:dyDescent="0.15">
      <c r="A209" s="83">
        <v>333</v>
      </c>
      <c r="B209" s="92">
        <v>272</v>
      </c>
      <c r="C209" s="92">
        <v>36882</v>
      </c>
      <c r="D209" s="92" t="s">
        <v>61</v>
      </c>
      <c r="E209" s="92" t="s">
        <v>45</v>
      </c>
      <c r="F209" s="92" t="s">
        <v>46</v>
      </c>
      <c r="G209" s="92" t="str">
        <f t="shared" si="8"/>
        <v>3SNMLBMTSF</v>
      </c>
      <c r="H209" s="92" t="s">
        <v>19</v>
      </c>
      <c r="I209" s="92" t="s">
        <v>20</v>
      </c>
      <c r="J209" s="92" t="s">
        <v>205</v>
      </c>
      <c r="K209" s="92" t="s">
        <v>242</v>
      </c>
      <c r="L209" s="92" t="s">
        <v>243</v>
      </c>
      <c r="M209" s="92" t="str">
        <f t="shared" si="9"/>
        <v>3SNMLBMTSF501060</v>
      </c>
      <c r="N209" s="92" t="str">
        <f t="shared" si="10"/>
        <v>3SNMLBMTSF501000</v>
      </c>
      <c r="O209" s="93">
        <v>50</v>
      </c>
      <c r="P209" s="92">
        <v>3</v>
      </c>
      <c r="Q209" s="92" t="s">
        <v>151</v>
      </c>
      <c r="R209" s="93">
        <v>1060</v>
      </c>
      <c r="S209" s="93">
        <v>6100</v>
      </c>
      <c r="T209" s="93">
        <v>1000</v>
      </c>
      <c r="U209" s="93">
        <v>1000</v>
      </c>
      <c r="V209" s="93">
        <v>3000</v>
      </c>
      <c r="W209" s="84">
        <v>2</v>
      </c>
      <c r="X209" s="85"/>
      <c r="Y209" s="86" t="s">
        <v>208</v>
      </c>
      <c r="Z209" s="87"/>
      <c r="AA209" s="88"/>
      <c r="AB209" s="89"/>
      <c r="AC209" s="87">
        <v>3</v>
      </c>
      <c r="AD209" s="88" t="s">
        <v>1998</v>
      </c>
      <c r="AE209" s="89">
        <v>1005</v>
      </c>
      <c r="AF209" s="86">
        <v>2</v>
      </c>
      <c r="AG209" s="88" t="s">
        <v>209</v>
      </c>
      <c r="AH209" s="89" t="s">
        <v>2000</v>
      </c>
      <c r="AI209" s="86">
        <v>3</v>
      </c>
      <c r="AJ209" s="88" t="s">
        <v>24</v>
      </c>
      <c r="AK209" s="89">
        <v>1450</v>
      </c>
      <c r="AL209" s="90"/>
      <c r="AM209" s="91"/>
      <c r="AN209" s="91" t="s">
        <v>476</v>
      </c>
      <c r="AO209" s="243" t="str">
        <f t="shared" si="11"/>
        <v>3SNMLBMTSF50</v>
      </c>
    </row>
    <row r="210" spans="1:41" ht="15" customHeight="1" x14ac:dyDescent="0.15">
      <c r="A210" s="83">
        <v>333</v>
      </c>
      <c r="B210" s="92">
        <v>272</v>
      </c>
      <c r="C210" s="92">
        <v>36882</v>
      </c>
      <c r="D210" s="92" t="s">
        <v>61</v>
      </c>
      <c r="E210" s="92" t="s">
        <v>45</v>
      </c>
      <c r="F210" s="92" t="s">
        <v>46</v>
      </c>
      <c r="G210" s="92" t="str">
        <f t="shared" si="8"/>
        <v>3SNMLBMTSF</v>
      </c>
      <c r="H210" s="92" t="s">
        <v>19</v>
      </c>
      <c r="I210" s="92" t="s">
        <v>20</v>
      </c>
      <c r="J210" s="92" t="s">
        <v>205</v>
      </c>
      <c r="K210" s="92" t="s">
        <v>242</v>
      </c>
      <c r="L210" s="92" t="s">
        <v>243</v>
      </c>
      <c r="M210" s="92" t="str">
        <f t="shared" si="9"/>
        <v>3SNMLBMTSF501255</v>
      </c>
      <c r="N210" s="92" t="str">
        <f t="shared" si="10"/>
        <v>3SNMLBMTSF501250</v>
      </c>
      <c r="O210" s="93">
        <v>50</v>
      </c>
      <c r="P210" s="92">
        <v>3</v>
      </c>
      <c r="Q210" s="92" t="s">
        <v>151</v>
      </c>
      <c r="R210" s="93">
        <v>1255</v>
      </c>
      <c r="S210" s="93">
        <v>6100</v>
      </c>
      <c r="T210" s="93">
        <v>1255</v>
      </c>
      <c r="U210" s="93">
        <v>1250</v>
      </c>
      <c r="V210" s="93">
        <v>2000</v>
      </c>
      <c r="W210" s="84">
        <v>2</v>
      </c>
      <c r="X210" s="85"/>
      <c r="Y210" s="86" t="s">
        <v>208</v>
      </c>
      <c r="Z210" s="87"/>
      <c r="AA210" s="88"/>
      <c r="AB210" s="89"/>
      <c r="AC210" s="87">
        <v>3</v>
      </c>
      <c r="AD210" s="88" t="s">
        <v>1998</v>
      </c>
      <c r="AE210" s="89">
        <v>1260</v>
      </c>
      <c r="AF210" s="86">
        <v>2</v>
      </c>
      <c r="AG210" s="88" t="s">
        <v>209</v>
      </c>
      <c r="AH210" s="89" t="s">
        <v>2000</v>
      </c>
      <c r="AI210" s="86">
        <v>3</v>
      </c>
      <c r="AJ210" s="88" t="s">
        <v>24</v>
      </c>
      <c r="AK210" s="89">
        <v>1450</v>
      </c>
      <c r="AL210" s="90"/>
      <c r="AM210" s="91"/>
      <c r="AN210" s="91" t="s">
        <v>476</v>
      </c>
      <c r="AO210" s="243" t="str">
        <f t="shared" si="11"/>
        <v>3SNMLBMTSF50</v>
      </c>
    </row>
    <row r="211" spans="1:41" ht="15" customHeight="1" x14ac:dyDescent="0.15">
      <c r="A211" s="83">
        <v>333</v>
      </c>
      <c r="B211" s="92">
        <v>271</v>
      </c>
      <c r="C211" s="92">
        <v>380604</v>
      </c>
      <c r="D211" s="92" t="s">
        <v>17</v>
      </c>
      <c r="E211" s="92" t="s">
        <v>18</v>
      </c>
      <c r="F211" s="92" t="s">
        <v>12</v>
      </c>
      <c r="G211" s="92" t="str">
        <f t="shared" si="8"/>
        <v>3SNMLBMTSF</v>
      </c>
      <c r="H211" s="92" t="s">
        <v>19</v>
      </c>
      <c r="I211" s="92" t="s">
        <v>20</v>
      </c>
      <c r="J211" s="92" t="s">
        <v>205</v>
      </c>
      <c r="K211" s="92" t="s">
        <v>242</v>
      </c>
      <c r="L211" s="92" t="s">
        <v>243</v>
      </c>
      <c r="M211" s="92" t="str">
        <f t="shared" si="9"/>
        <v>3SNMLBMTSF751100</v>
      </c>
      <c r="N211" s="92" t="str">
        <f t="shared" si="10"/>
        <v>3SNMLBMTSF751000</v>
      </c>
      <c r="O211" s="93">
        <v>75</v>
      </c>
      <c r="P211" s="92">
        <v>3</v>
      </c>
      <c r="Q211" s="92" t="s">
        <v>244</v>
      </c>
      <c r="R211" s="93">
        <v>1100</v>
      </c>
      <c r="S211" s="93">
        <v>2000</v>
      </c>
      <c r="T211" s="93">
        <v>1000</v>
      </c>
      <c r="U211" s="93">
        <v>1000</v>
      </c>
      <c r="V211" s="93">
        <v>1000</v>
      </c>
      <c r="W211" s="84">
        <v>2</v>
      </c>
      <c r="X211" s="85"/>
      <c r="Y211" s="86" t="s">
        <v>208</v>
      </c>
      <c r="Z211" s="87"/>
      <c r="AA211" s="88"/>
      <c r="AB211" s="89"/>
      <c r="AC211" s="87">
        <v>3</v>
      </c>
      <c r="AD211" s="88" t="s">
        <v>1998</v>
      </c>
      <c r="AE211" s="89">
        <v>1005</v>
      </c>
      <c r="AF211" s="86">
        <v>2</v>
      </c>
      <c r="AG211" s="88" t="s">
        <v>209</v>
      </c>
      <c r="AH211" s="89" t="s">
        <v>2000</v>
      </c>
      <c r="AI211" s="86">
        <v>3</v>
      </c>
      <c r="AJ211" s="88" t="s">
        <v>24</v>
      </c>
      <c r="AK211" s="89">
        <v>1450</v>
      </c>
      <c r="AL211" s="90"/>
      <c r="AM211" s="91"/>
      <c r="AN211" s="91" t="s">
        <v>476</v>
      </c>
      <c r="AO211" s="203" t="str">
        <f t="shared" si="11"/>
        <v>3SNMLBMTSF75</v>
      </c>
    </row>
    <row r="212" spans="1:41" ht="15" customHeight="1" x14ac:dyDescent="0.15">
      <c r="A212" s="83">
        <v>333</v>
      </c>
      <c r="B212" s="92">
        <v>275</v>
      </c>
      <c r="C212" s="92">
        <v>2042</v>
      </c>
      <c r="D212" s="92" t="s">
        <v>247</v>
      </c>
      <c r="E212" s="92" t="s">
        <v>117</v>
      </c>
      <c r="F212" s="92" t="s">
        <v>2047</v>
      </c>
      <c r="G212" s="92" t="str">
        <f t="shared" si="8"/>
        <v>3SNMLBMNSJF</v>
      </c>
      <c r="H212" s="92" t="s">
        <v>19</v>
      </c>
      <c r="I212" s="92" t="s">
        <v>20</v>
      </c>
      <c r="J212" s="92" t="s">
        <v>422</v>
      </c>
      <c r="K212" s="92" t="s">
        <v>248</v>
      </c>
      <c r="L212" s="92" t="s">
        <v>249</v>
      </c>
      <c r="M212" s="92" t="str">
        <f t="shared" si="9"/>
        <v>3SNMLBMNSJF121120</v>
      </c>
      <c r="N212" s="92" t="str">
        <f t="shared" si="10"/>
        <v>3SNMLBMNSJF121000</v>
      </c>
      <c r="O212" s="93">
        <v>12</v>
      </c>
      <c r="P212" s="92">
        <v>3</v>
      </c>
      <c r="Q212" s="92" t="s">
        <v>250</v>
      </c>
      <c r="R212" s="93">
        <v>1120</v>
      </c>
      <c r="S212" s="93">
        <v>24230</v>
      </c>
      <c r="T212" s="93">
        <v>1000</v>
      </c>
      <c r="U212" s="93">
        <v>1000</v>
      </c>
      <c r="V212" s="93">
        <v>6000</v>
      </c>
      <c r="W212" s="84">
        <v>2</v>
      </c>
      <c r="X212" s="85"/>
      <c r="Y212" s="86" t="s">
        <v>208</v>
      </c>
      <c r="Z212" s="87"/>
      <c r="AA212" s="88"/>
      <c r="AB212" s="89"/>
      <c r="AC212" s="87">
        <v>6</v>
      </c>
      <c r="AD212" s="88" t="s">
        <v>147</v>
      </c>
      <c r="AE212" s="89">
        <v>1005</v>
      </c>
      <c r="AF212" s="86"/>
      <c r="AG212" s="88"/>
      <c r="AH212" s="89"/>
      <c r="AI212" s="86"/>
      <c r="AJ212" s="88"/>
      <c r="AK212" s="89"/>
      <c r="AL212" s="90"/>
      <c r="AM212" s="91"/>
      <c r="AN212" s="91" t="s">
        <v>476</v>
      </c>
      <c r="AO212" s="243" t="str">
        <f t="shared" si="11"/>
        <v>3SNMLBMNSJF12</v>
      </c>
    </row>
    <row r="213" spans="1:41" ht="15" customHeight="1" thickBot="1" x14ac:dyDescent="0.2">
      <c r="A213" s="119">
        <v>333</v>
      </c>
      <c r="B213" s="94">
        <v>275</v>
      </c>
      <c r="C213" s="94">
        <v>2042</v>
      </c>
      <c r="D213" s="94" t="s">
        <v>247</v>
      </c>
      <c r="E213" s="94" t="s">
        <v>117</v>
      </c>
      <c r="F213" s="94" t="s">
        <v>2047</v>
      </c>
      <c r="G213" s="94" t="str">
        <f t="shared" si="8"/>
        <v>3SNMLBMNSJF</v>
      </c>
      <c r="H213" s="94" t="s">
        <v>19</v>
      </c>
      <c r="I213" s="94" t="s">
        <v>20</v>
      </c>
      <c r="J213" s="94" t="s">
        <v>422</v>
      </c>
      <c r="K213" s="94" t="s">
        <v>248</v>
      </c>
      <c r="L213" s="94" t="s">
        <v>249</v>
      </c>
      <c r="M213" s="94" t="str">
        <f t="shared" si="9"/>
        <v>3SNMLBMNSJF121120</v>
      </c>
      <c r="N213" s="94" t="str">
        <f t="shared" si="10"/>
        <v>3SNMLBMNSJF121120</v>
      </c>
      <c r="O213" s="120">
        <v>12</v>
      </c>
      <c r="P213" s="94">
        <v>3</v>
      </c>
      <c r="Q213" s="94" t="s">
        <v>250</v>
      </c>
      <c r="R213" s="120">
        <v>1120</v>
      </c>
      <c r="S213" s="120">
        <v>24230</v>
      </c>
      <c r="T213" s="120">
        <v>1120</v>
      </c>
      <c r="U213" s="120">
        <v>1120</v>
      </c>
      <c r="V213" s="120">
        <v>6000</v>
      </c>
      <c r="W213" s="121">
        <v>2</v>
      </c>
      <c r="X213" s="122"/>
      <c r="Y213" s="102" t="s">
        <v>208</v>
      </c>
      <c r="Z213" s="103"/>
      <c r="AA213" s="104"/>
      <c r="AB213" s="105"/>
      <c r="AC213" s="103">
        <v>6</v>
      </c>
      <c r="AD213" s="104" t="s">
        <v>147</v>
      </c>
      <c r="AE213" s="105">
        <v>1125</v>
      </c>
      <c r="AF213" s="102"/>
      <c r="AG213" s="104"/>
      <c r="AH213" s="105"/>
      <c r="AI213" s="102"/>
      <c r="AJ213" s="104"/>
      <c r="AK213" s="105"/>
      <c r="AL213" s="106"/>
      <c r="AM213" s="107"/>
      <c r="AN213" s="107" t="s">
        <v>476</v>
      </c>
      <c r="AO213" s="307" t="str">
        <f t="shared" si="11"/>
        <v>3SNMLBMNSJF12</v>
      </c>
    </row>
    <row r="214" spans="1:41" ht="15" customHeight="1" thickBot="1" x14ac:dyDescent="0.2">
      <c r="A214" s="131">
        <v>333</v>
      </c>
      <c r="B214" s="132">
        <v>274</v>
      </c>
      <c r="C214" s="132">
        <v>36888</v>
      </c>
      <c r="D214" s="132" t="s">
        <v>65</v>
      </c>
      <c r="E214" s="132" t="s">
        <v>66</v>
      </c>
      <c r="F214" s="132" t="s">
        <v>111</v>
      </c>
      <c r="G214" s="132" t="str">
        <f t="shared" si="8"/>
        <v>3HSNTPICTT405B</v>
      </c>
      <c r="H214" s="132" t="s">
        <v>19</v>
      </c>
      <c r="I214" s="132" t="s">
        <v>20</v>
      </c>
      <c r="J214" s="132" t="s">
        <v>251</v>
      </c>
      <c r="K214" s="132" t="s">
        <v>252</v>
      </c>
      <c r="L214" s="132" t="s">
        <v>253</v>
      </c>
      <c r="M214" s="132" t="str">
        <f t="shared" si="9"/>
        <v>3HSNTPICTT405B501094</v>
      </c>
      <c r="N214" s="132" t="str">
        <f t="shared" si="10"/>
        <v>3HSNTPICTT405B501094</v>
      </c>
      <c r="O214" s="133">
        <v>50</v>
      </c>
      <c r="P214" s="132" t="s">
        <v>96</v>
      </c>
      <c r="Q214" s="132" t="s">
        <v>254</v>
      </c>
      <c r="R214" s="133">
        <v>1094</v>
      </c>
      <c r="S214" s="133">
        <v>6000</v>
      </c>
      <c r="T214" s="133">
        <v>1094</v>
      </c>
      <c r="U214" s="133">
        <v>1094</v>
      </c>
      <c r="V214" s="133">
        <v>5000</v>
      </c>
      <c r="W214" s="134">
        <v>2</v>
      </c>
      <c r="X214" s="135" t="s">
        <v>142</v>
      </c>
      <c r="Y214" s="155" t="s">
        <v>15</v>
      </c>
      <c r="Z214" s="137">
        <v>6</v>
      </c>
      <c r="AA214" s="138" t="s">
        <v>24</v>
      </c>
      <c r="AB214" s="139">
        <v>1700</v>
      </c>
      <c r="AC214" s="136"/>
      <c r="AD214" s="138"/>
      <c r="AE214" s="139"/>
      <c r="AF214" s="136"/>
      <c r="AG214" s="138"/>
      <c r="AH214" s="139"/>
      <c r="AI214" s="136"/>
      <c r="AJ214" s="138"/>
      <c r="AK214" s="139"/>
      <c r="AL214" s="140"/>
      <c r="AM214" s="141"/>
      <c r="AN214" s="202" t="s">
        <v>477</v>
      </c>
      <c r="AO214" s="204" t="str">
        <f t="shared" si="11"/>
        <v>3HSNTPICTT405B50</v>
      </c>
    </row>
    <row r="215" spans="1:41" ht="15" customHeight="1" x14ac:dyDescent="0.15">
      <c r="A215" s="108">
        <v>333</v>
      </c>
      <c r="B215" s="109">
        <v>271</v>
      </c>
      <c r="C215" s="109">
        <v>2586</v>
      </c>
      <c r="D215" s="109" t="s">
        <v>255</v>
      </c>
      <c r="E215" s="109" t="s">
        <v>18</v>
      </c>
      <c r="F215" s="109" t="s">
        <v>12</v>
      </c>
      <c r="G215" s="109" t="str">
        <f t="shared" si="8"/>
        <v>3SNTTPB2T0</v>
      </c>
      <c r="H215" s="109" t="s">
        <v>19</v>
      </c>
      <c r="I215" s="109" t="s">
        <v>20</v>
      </c>
      <c r="J215" s="109" t="s">
        <v>256</v>
      </c>
      <c r="K215" s="109" t="s">
        <v>257</v>
      </c>
      <c r="L215" s="109" t="s">
        <v>258</v>
      </c>
      <c r="M215" s="109" t="str">
        <f t="shared" si="9"/>
        <v>3SNTTPB2T01001020</v>
      </c>
      <c r="N215" s="109" t="str">
        <f t="shared" si="10"/>
        <v>3SNTTPB2T01001000</v>
      </c>
      <c r="O215" s="110">
        <v>100</v>
      </c>
      <c r="P215" s="109">
        <v>3</v>
      </c>
      <c r="Q215" s="109" t="s">
        <v>259</v>
      </c>
      <c r="R215" s="110">
        <v>1020</v>
      </c>
      <c r="S215" s="110">
        <v>2000</v>
      </c>
      <c r="T215" s="110">
        <v>1000</v>
      </c>
      <c r="U215" s="110">
        <v>1000</v>
      </c>
      <c r="V215" s="110">
        <v>1000</v>
      </c>
      <c r="W215" s="111">
        <v>2</v>
      </c>
      <c r="X215" s="112" t="s">
        <v>136</v>
      </c>
      <c r="Y215" s="113" t="s">
        <v>2003</v>
      </c>
      <c r="Z215" s="78">
        <v>6</v>
      </c>
      <c r="AA215" s="79" t="s">
        <v>16</v>
      </c>
      <c r="AB215" s="80">
        <v>1020</v>
      </c>
      <c r="AC215" s="77">
        <v>6</v>
      </c>
      <c r="AD215" s="79" t="s">
        <v>16</v>
      </c>
      <c r="AE215" s="80">
        <v>1020</v>
      </c>
      <c r="AF215" s="77"/>
      <c r="AG215" s="79"/>
      <c r="AH215" s="80"/>
      <c r="AI215" s="77"/>
      <c r="AJ215" s="79"/>
      <c r="AK215" s="80"/>
      <c r="AL215" s="81"/>
      <c r="AM215" s="82"/>
      <c r="AN215" s="82" t="s">
        <v>471</v>
      </c>
      <c r="AO215" s="245" t="str">
        <f t="shared" si="11"/>
        <v>3SNTTPB2T0100</v>
      </c>
    </row>
    <row r="216" spans="1:41" ht="15" customHeight="1" x14ac:dyDescent="0.15">
      <c r="A216" s="83">
        <v>333</v>
      </c>
      <c r="B216" s="92">
        <v>271</v>
      </c>
      <c r="C216" s="92">
        <v>2586</v>
      </c>
      <c r="D216" s="92" t="s">
        <v>255</v>
      </c>
      <c r="E216" s="92" t="s">
        <v>18</v>
      </c>
      <c r="F216" s="92" t="s">
        <v>12</v>
      </c>
      <c r="G216" s="92" t="str">
        <f t="shared" si="8"/>
        <v>3SNTTPB2T0</v>
      </c>
      <c r="H216" s="92" t="s">
        <v>19</v>
      </c>
      <c r="I216" s="92" t="s">
        <v>20</v>
      </c>
      <c r="J216" s="92" t="s">
        <v>256</v>
      </c>
      <c r="K216" s="92" t="s">
        <v>257</v>
      </c>
      <c r="L216" s="92" t="s">
        <v>258</v>
      </c>
      <c r="M216" s="92" t="str">
        <f t="shared" si="9"/>
        <v>3SNTTPB2T01251020</v>
      </c>
      <c r="N216" s="92" t="str">
        <f t="shared" si="10"/>
        <v>3SNTTPB2T01251000</v>
      </c>
      <c r="O216" s="93">
        <v>125</v>
      </c>
      <c r="P216" s="92">
        <v>3</v>
      </c>
      <c r="Q216" s="92" t="s">
        <v>259</v>
      </c>
      <c r="R216" s="93">
        <v>1020</v>
      </c>
      <c r="S216" s="93">
        <v>2000</v>
      </c>
      <c r="T216" s="93">
        <v>1000</v>
      </c>
      <c r="U216" s="93">
        <v>1000</v>
      </c>
      <c r="V216" s="93">
        <v>1000</v>
      </c>
      <c r="W216" s="84">
        <v>2</v>
      </c>
      <c r="X216" s="85" t="s">
        <v>136</v>
      </c>
      <c r="Y216" s="113" t="s">
        <v>2003</v>
      </c>
      <c r="Z216" s="87">
        <v>6</v>
      </c>
      <c r="AA216" s="88" t="s">
        <v>16</v>
      </c>
      <c r="AB216" s="89">
        <v>1020</v>
      </c>
      <c r="AC216" s="86">
        <v>6</v>
      </c>
      <c r="AD216" s="88" t="s">
        <v>16</v>
      </c>
      <c r="AE216" s="89">
        <v>1020</v>
      </c>
      <c r="AF216" s="86"/>
      <c r="AG216" s="88"/>
      <c r="AH216" s="89"/>
      <c r="AI216" s="86"/>
      <c r="AJ216" s="88"/>
      <c r="AK216" s="89"/>
      <c r="AL216" s="90"/>
      <c r="AM216" s="91"/>
      <c r="AN216" s="91" t="s">
        <v>471</v>
      </c>
      <c r="AO216" s="243" t="str">
        <f t="shared" si="11"/>
        <v>3SNTTPB2T0125</v>
      </c>
    </row>
    <row r="217" spans="1:41" ht="15" customHeight="1" x14ac:dyDescent="0.15">
      <c r="A217" s="83">
        <v>333</v>
      </c>
      <c r="B217" s="92">
        <v>271</v>
      </c>
      <c r="C217" s="92">
        <v>2586</v>
      </c>
      <c r="D217" s="92" t="s">
        <v>255</v>
      </c>
      <c r="E217" s="92" t="s">
        <v>18</v>
      </c>
      <c r="F217" s="92" t="s">
        <v>12</v>
      </c>
      <c r="G217" s="92" t="str">
        <f t="shared" si="8"/>
        <v>3SNTTPB2T0</v>
      </c>
      <c r="H217" s="92" t="s">
        <v>19</v>
      </c>
      <c r="I217" s="92" t="s">
        <v>20</v>
      </c>
      <c r="J217" s="92" t="s">
        <v>256</v>
      </c>
      <c r="K217" s="92" t="s">
        <v>257</v>
      </c>
      <c r="L217" s="92" t="s">
        <v>258</v>
      </c>
      <c r="M217" s="92" t="str">
        <f t="shared" si="9"/>
        <v>3SNTTPB2T01881020</v>
      </c>
      <c r="N217" s="92" t="str">
        <f t="shared" si="10"/>
        <v>3SNTTPB2T01881000</v>
      </c>
      <c r="O217" s="93">
        <v>188</v>
      </c>
      <c r="P217" s="92">
        <v>3</v>
      </c>
      <c r="Q217" s="92" t="s">
        <v>259</v>
      </c>
      <c r="R217" s="93">
        <v>1020</v>
      </c>
      <c r="S217" s="93">
        <v>1200</v>
      </c>
      <c r="T217" s="93">
        <v>1000</v>
      </c>
      <c r="U217" s="93">
        <v>1000</v>
      </c>
      <c r="V217" s="93">
        <v>1000</v>
      </c>
      <c r="W217" s="84">
        <v>2</v>
      </c>
      <c r="X217" s="85" t="s">
        <v>136</v>
      </c>
      <c r="Y217" s="113" t="s">
        <v>2003</v>
      </c>
      <c r="Z217" s="87">
        <v>6</v>
      </c>
      <c r="AA217" s="88" t="s">
        <v>16</v>
      </c>
      <c r="AB217" s="89">
        <v>1020</v>
      </c>
      <c r="AC217" s="86">
        <v>6</v>
      </c>
      <c r="AD217" s="88" t="s">
        <v>16</v>
      </c>
      <c r="AE217" s="89">
        <v>1020</v>
      </c>
      <c r="AF217" s="86"/>
      <c r="AG217" s="88"/>
      <c r="AH217" s="89"/>
      <c r="AI217" s="86"/>
      <c r="AJ217" s="88"/>
      <c r="AK217" s="89"/>
      <c r="AL217" s="90"/>
      <c r="AM217" s="91"/>
      <c r="AN217" s="91" t="s">
        <v>471</v>
      </c>
      <c r="AO217" s="243" t="str">
        <f t="shared" si="11"/>
        <v>3SNTTPB2T0188</v>
      </c>
    </row>
    <row r="218" spans="1:41" ht="15" customHeight="1" x14ac:dyDescent="0.15">
      <c r="A218" s="83">
        <v>333</v>
      </c>
      <c r="B218" s="92">
        <v>271</v>
      </c>
      <c r="C218" s="92"/>
      <c r="D218" s="92" t="s">
        <v>2059</v>
      </c>
      <c r="E218" s="92"/>
      <c r="F218" s="92" t="s">
        <v>12</v>
      </c>
      <c r="G218" s="92" t="str">
        <f t="shared" si="8"/>
        <v>3SYTTPTHS</v>
      </c>
      <c r="H218" s="92" t="s">
        <v>19</v>
      </c>
      <c r="I218" s="92" t="s">
        <v>2031</v>
      </c>
      <c r="J218" s="92" t="s">
        <v>256</v>
      </c>
      <c r="K218" s="92" t="s">
        <v>2060</v>
      </c>
      <c r="L218" s="92" t="s">
        <v>2061</v>
      </c>
      <c r="M218" s="92" t="str">
        <f t="shared" si="9"/>
        <v>3SYTTPTHS1251300</v>
      </c>
      <c r="N218" s="92" t="str">
        <f t="shared" si="10"/>
        <v>3SYTTPTHS1251300</v>
      </c>
      <c r="O218" s="93">
        <v>125</v>
      </c>
      <c r="P218" s="92">
        <v>3</v>
      </c>
      <c r="Q218" s="92" t="s">
        <v>2004</v>
      </c>
      <c r="R218" s="93">
        <v>1300</v>
      </c>
      <c r="S218" s="93">
        <v>1600</v>
      </c>
      <c r="T218" s="93">
        <v>1300</v>
      </c>
      <c r="U218" s="93">
        <v>1300</v>
      </c>
      <c r="V218" s="93">
        <v>1600</v>
      </c>
      <c r="W218" s="84">
        <v>2</v>
      </c>
      <c r="X218" s="85" t="s">
        <v>142</v>
      </c>
      <c r="Y218" s="113" t="s">
        <v>2003</v>
      </c>
      <c r="Z218" s="87">
        <v>6</v>
      </c>
      <c r="AA218" s="88" t="s">
        <v>16</v>
      </c>
      <c r="AB218" s="89">
        <v>1450</v>
      </c>
      <c r="AC218" s="86">
        <v>6</v>
      </c>
      <c r="AD218" s="88" t="s">
        <v>16</v>
      </c>
      <c r="AE218" s="89">
        <v>1270</v>
      </c>
      <c r="AF218" s="86"/>
      <c r="AG218" s="88"/>
      <c r="AH218" s="89"/>
      <c r="AI218" s="86"/>
      <c r="AJ218" s="88"/>
      <c r="AK218" s="89"/>
      <c r="AL218" s="90"/>
      <c r="AM218" s="91"/>
      <c r="AN218" s="91" t="s">
        <v>471</v>
      </c>
      <c r="AO218" s="203" t="str">
        <f t="shared" si="11"/>
        <v>3SYTTPTHS125</v>
      </c>
    </row>
    <row r="219" spans="1:41" ht="15" customHeight="1" x14ac:dyDescent="0.15">
      <c r="A219" s="83">
        <v>333</v>
      </c>
      <c r="B219" s="92">
        <v>273</v>
      </c>
      <c r="C219" s="92">
        <v>380604</v>
      </c>
      <c r="D219" s="92" t="s">
        <v>17</v>
      </c>
      <c r="E219" s="92" t="s">
        <v>41</v>
      </c>
      <c r="F219" s="92" t="s">
        <v>12</v>
      </c>
      <c r="G219" s="92" t="str">
        <f t="shared" si="8"/>
        <v>3SYTTPLC1000</v>
      </c>
      <c r="H219" s="92" t="s">
        <v>19</v>
      </c>
      <c r="I219" s="92" t="s">
        <v>28</v>
      </c>
      <c r="J219" s="92" t="s">
        <v>256</v>
      </c>
      <c r="K219" s="92" t="s">
        <v>260</v>
      </c>
      <c r="L219" s="92" t="s">
        <v>261</v>
      </c>
      <c r="M219" s="92" t="str">
        <f t="shared" si="9"/>
        <v>3SYTTPLC10001251330</v>
      </c>
      <c r="N219" s="92" t="str">
        <f t="shared" si="10"/>
        <v>3SYTTPLC10001251320</v>
      </c>
      <c r="O219" s="93">
        <v>125</v>
      </c>
      <c r="P219" s="92">
        <v>3</v>
      </c>
      <c r="Q219" s="92" t="s">
        <v>262</v>
      </c>
      <c r="R219" s="93">
        <v>1330</v>
      </c>
      <c r="S219" s="93">
        <v>800</v>
      </c>
      <c r="T219" s="93">
        <v>1320</v>
      </c>
      <c r="U219" s="93">
        <v>1320</v>
      </c>
      <c r="V219" s="93">
        <v>800</v>
      </c>
      <c r="W219" s="84">
        <v>2</v>
      </c>
      <c r="X219" s="85" t="s">
        <v>142</v>
      </c>
      <c r="Y219" s="86" t="s">
        <v>15</v>
      </c>
      <c r="Z219" s="87">
        <v>6</v>
      </c>
      <c r="AA219" s="88" t="s">
        <v>16</v>
      </c>
      <c r="AB219" s="89">
        <v>1500</v>
      </c>
      <c r="AC219" s="86"/>
      <c r="AD219" s="88"/>
      <c r="AE219" s="89"/>
      <c r="AF219" s="86"/>
      <c r="AG219" s="88"/>
      <c r="AH219" s="89"/>
      <c r="AI219" s="86"/>
      <c r="AJ219" s="88"/>
      <c r="AK219" s="89"/>
      <c r="AL219" s="90"/>
      <c r="AM219" s="91"/>
      <c r="AN219" s="91" t="s">
        <v>471</v>
      </c>
      <c r="AO219" s="243" t="str">
        <f t="shared" si="11"/>
        <v>3SYTTPLC1000125</v>
      </c>
    </row>
    <row r="220" spans="1:41" ht="15" customHeight="1" thickBot="1" x14ac:dyDescent="0.2">
      <c r="A220" s="119">
        <v>333</v>
      </c>
      <c r="B220" s="94">
        <v>273</v>
      </c>
      <c r="C220" s="94">
        <v>380604</v>
      </c>
      <c r="D220" s="94" t="s">
        <v>17</v>
      </c>
      <c r="E220" s="94" t="s">
        <v>41</v>
      </c>
      <c r="F220" s="94" t="s">
        <v>12</v>
      </c>
      <c r="G220" s="94" t="str">
        <f t="shared" si="8"/>
        <v>3SYTTPLC1000</v>
      </c>
      <c r="H220" s="94" t="s">
        <v>19</v>
      </c>
      <c r="I220" s="94" t="s">
        <v>28</v>
      </c>
      <c r="J220" s="94" t="s">
        <v>256</v>
      </c>
      <c r="K220" s="94" t="s">
        <v>260</v>
      </c>
      <c r="L220" s="94" t="s">
        <v>261</v>
      </c>
      <c r="M220" s="94" t="str">
        <f t="shared" si="9"/>
        <v>3SYTTPLC10001251360</v>
      </c>
      <c r="N220" s="94" t="str">
        <f t="shared" si="10"/>
        <v>3SYTTPLC10001251320</v>
      </c>
      <c r="O220" s="120">
        <v>125</v>
      </c>
      <c r="P220" s="94">
        <v>3</v>
      </c>
      <c r="Q220" s="94" t="s">
        <v>262</v>
      </c>
      <c r="R220" s="120">
        <v>1360</v>
      </c>
      <c r="S220" s="120">
        <v>1600</v>
      </c>
      <c r="T220" s="120">
        <v>1320</v>
      </c>
      <c r="U220" s="120">
        <v>1320</v>
      </c>
      <c r="V220" s="120">
        <v>1500</v>
      </c>
      <c r="W220" s="121">
        <v>2</v>
      </c>
      <c r="X220" s="122" t="s">
        <v>142</v>
      </c>
      <c r="Y220" s="102" t="s">
        <v>15</v>
      </c>
      <c r="Z220" s="103">
        <v>6</v>
      </c>
      <c r="AA220" s="104" t="s">
        <v>16</v>
      </c>
      <c r="AB220" s="105">
        <v>1500</v>
      </c>
      <c r="AC220" s="102"/>
      <c r="AD220" s="104"/>
      <c r="AE220" s="105"/>
      <c r="AF220" s="102"/>
      <c r="AG220" s="104"/>
      <c r="AH220" s="105"/>
      <c r="AI220" s="102"/>
      <c r="AJ220" s="104"/>
      <c r="AK220" s="105"/>
      <c r="AL220" s="106"/>
      <c r="AM220" s="107"/>
      <c r="AN220" s="203" t="s">
        <v>471</v>
      </c>
      <c r="AO220" s="307" t="str">
        <f t="shared" si="11"/>
        <v>3SYTTPLC1000125</v>
      </c>
    </row>
    <row r="221" spans="1:41" ht="15" customHeight="1" thickBot="1" x14ac:dyDescent="0.2">
      <c r="A221" s="131">
        <v>333</v>
      </c>
      <c r="B221" s="132">
        <v>274</v>
      </c>
      <c r="C221" s="132">
        <v>36888</v>
      </c>
      <c r="D221" s="132" t="s">
        <v>65</v>
      </c>
      <c r="E221" s="132" t="s">
        <v>66</v>
      </c>
      <c r="F221" s="132"/>
      <c r="G221" s="132" t="str">
        <f t="shared" si="8"/>
        <v>3SNJ-ETCADX44</v>
      </c>
      <c r="H221" s="132" t="s">
        <v>1549</v>
      </c>
      <c r="I221" s="132" t="s">
        <v>1550</v>
      </c>
      <c r="J221" s="132" t="s">
        <v>2062</v>
      </c>
      <c r="K221" s="132" t="s">
        <v>2063</v>
      </c>
      <c r="L221" s="132" t="s">
        <v>2063</v>
      </c>
      <c r="M221" s="132" t="str">
        <f t="shared" si="9"/>
        <v>3SNJ-ETCADX44501110</v>
      </c>
      <c r="N221" s="132" t="str">
        <f t="shared" si="10"/>
        <v>3SNJ-ETCADX44501100</v>
      </c>
      <c r="O221" s="133">
        <v>50</v>
      </c>
      <c r="P221" s="132">
        <v>3</v>
      </c>
      <c r="Q221" s="132" t="s">
        <v>1999</v>
      </c>
      <c r="R221" s="133">
        <v>1110</v>
      </c>
      <c r="S221" s="133">
        <v>4000</v>
      </c>
      <c r="T221" s="133">
        <v>1100</v>
      </c>
      <c r="U221" s="133">
        <v>1100</v>
      </c>
      <c r="V221" s="133">
        <v>4000</v>
      </c>
      <c r="W221" s="134">
        <v>2</v>
      </c>
      <c r="X221" s="135" t="s">
        <v>136</v>
      </c>
      <c r="Y221" s="136"/>
      <c r="Z221" s="137">
        <v>6</v>
      </c>
      <c r="AA221" s="138" t="s">
        <v>24</v>
      </c>
      <c r="AB221" s="139">
        <v>1450</v>
      </c>
      <c r="AC221" s="136"/>
      <c r="AD221" s="138"/>
      <c r="AE221" s="139"/>
      <c r="AF221" s="136"/>
      <c r="AG221" s="138"/>
      <c r="AH221" s="139"/>
      <c r="AI221" s="136"/>
      <c r="AJ221" s="138"/>
      <c r="AK221" s="139"/>
      <c r="AL221" s="140"/>
      <c r="AM221" s="141"/>
      <c r="AN221" s="204" t="s">
        <v>478</v>
      </c>
      <c r="AO221" s="204" t="str">
        <f t="shared" si="11"/>
        <v>3SNJ-ETCADX4450</v>
      </c>
    </row>
    <row r="222" spans="1:41" ht="15" customHeight="1" x14ac:dyDescent="0.15">
      <c r="A222" s="72">
        <v>4113</v>
      </c>
      <c r="B222" s="73">
        <v>272</v>
      </c>
      <c r="C222" s="73">
        <v>36882</v>
      </c>
      <c r="D222" s="73" t="s">
        <v>61</v>
      </c>
      <c r="E222" s="73" t="s">
        <v>45</v>
      </c>
      <c r="F222" s="73" t="s">
        <v>26</v>
      </c>
      <c r="G222" s="73" t="str">
        <f t="shared" si="8"/>
        <v>3TNCERABX8A37</v>
      </c>
      <c r="H222" s="73" t="s">
        <v>1648</v>
      </c>
      <c r="I222" s="73" t="s">
        <v>20</v>
      </c>
      <c r="J222" s="73" t="s">
        <v>21</v>
      </c>
      <c r="K222" s="73" t="s">
        <v>263</v>
      </c>
      <c r="L222" s="73" t="s">
        <v>264</v>
      </c>
      <c r="M222" s="73" t="str">
        <f t="shared" si="9"/>
        <v>3TNCERABX8A37751060</v>
      </c>
      <c r="N222" s="73" t="str">
        <f t="shared" si="10"/>
        <v>3TNCERABX8A37751050</v>
      </c>
      <c r="O222" s="74">
        <v>75</v>
      </c>
      <c r="P222" s="73">
        <v>3</v>
      </c>
      <c r="Q222" s="73" t="s">
        <v>2005</v>
      </c>
      <c r="R222" s="74">
        <v>1060</v>
      </c>
      <c r="S222" s="74">
        <v>6000</v>
      </c>
      <c r="T222" s="74">
        <v>1050</v>
      </c>
      <c r="U222" s="74">
        <v>1050</v>
      </c>
      <c r="V222" s="74">
        <v>5800</v>
      </c>
      <c r="W222" s="75">
        <v>2</v>
      </c>
      <c r="X222" s="76" t="s">
        <v>14</v>
      </c>
      <c r="Y222" s="77" t="s">
        <v>15</v>
      </c>
      <c r="Z222" s="78">
        <v>6</v>
      </c>
      <c r="AA222" s="79" t="s">
        <v>24</v>
      </c>
      <c r="AB222" s="80">
        <v>1250</v>
      </c>
      <c r="AC222" s="77"/>
      <c r="AD222" s="79"/>
      <c r="AE222" s="80"/>
      <c r="AF222" s="77"/>
      <c r="AG222" s="79"/>
      <c r="AH222" s="80"/>
      <c r="AI222" s="77"/>
      <c r="AJ222" s="79"/>
      <c r="AK222" s="80"/>
      <c r="AL222" s="81"/>
      <c r="AM222" s="82"/>
      <c r="AN222" s="82" t="s">
        <v>472</v>
      </c>
      <c r="AO222" s="245" t="str">
        <f t="shared" si="11"/>
        <v>3TNCERABX8A3775</v>
      </c>
    </row>
    <row r="223" spans="1:41" ht="15" customHeight="1" x14ac:dyDescent="0.15">
      <c r="A223" s="108">
        <v>4113</v>
      </c>
      <c r="B223" s="109">
        <v>272</v>
      </c>
      <c r="C223" s="109">
        <v>36882</v>
      </c>
      <c r="D223" s="109" t="s">
        <v>61</v>
      </c>
      <c r="E223" s="109" t="s">
        <v>45</v>
      </c>
      <c r="F223" s="109" t="s">
        <v>26</v>
      </c>
      <c r="G223" s="109" t="str">
        <f t="shared" si="8"/>
        <v>330TNCERABX8A37</v>
      </c>
      <c r="H223" s="109" t="s">
        <v>265</v>
      </c>
      <c r="I223" s="109" t="s">
        <v>20</v>
      </c>
      <c r="J223" s="109" t="s">
        <v>21</v>
      </c>
      <c r="K223" s="109" t="s">
        <v>263</v>
      </c>
      <c r="L223" s="109" t="s">
        <v>264</v>
      </c>
      <c r="M223" s="109" t="str">
        <f t="shared" si="9"/>
        <v>330TNCERABX8A37751060</v>
      </c>
      <c r="N223" s="109" t="str">
        <f t="shared" si="10"/>
        <v>330TNCERABX8A37751050</v>
      </c>
      <c r="O223" s="110">
        <v>75</v>
      </c>
      <c r="P223" s="109">
        <v>330</v>
      </c>
      <c r="Q223" s="109" t="s">
        <v>2005</v>
      </c>
      <c r="R223" s="110">
        <v>1060</v>
      </c>
      <c r="S223" s="110">
        <v>6000</v>
      </c>
      <c r="T223" s="110">
        <v>1050</v>
      </c>
      <c r="U223" s="110">
        <v>1050</v>
      </c>
      <c r="V223" s="110">
        <v>5800</v>
      </c>
      <c r="W223" s="111">
        <v>2</v>
      </c>
      <c r="X223" s="112" t="s">
        <v>14</v>
      </c>
      <c r="Y223" s="113" t="s">
        <v>15</v>
      </c>
      <c r="Z223" s="114">
        <v>6</v>
      </c>
      <c r="AA223" s="115" t="s">
        <v>266</v>
      </c>
      <c r="AB223" s="116">
        <v>1250</v>
      </c>
      <c r="AC223" s="113"/>
      <c r="AD223" s="115"/>
      <c r="AE223" s="116"/>
      <c r="AF223" s="113"/>
      <c r="AG223" s="115"/>
      <c r="AH223" s="116"/>
      <c r="AI223" s="113"/>
      <c r="AJ223" s="115"/>
      <c r="AK223" s="116"/>
      <c r="AL223" s="117"/>
      <c r="AM223" s="118"/>
      <c r="AN223" s="118" t="s">
        <v>472</v>
      </c>
      <c r="AO223" s="243" t="str">
        <f t="shared" si="11"/>
        <v>330TNCERABX8A3775</v>
      </c>
    </row>
    <row r="224" spans="1:41" ht="15" customHeight="1" x14ac:dyDescent="0.15">
      <c r="A224" s="83">
        <v>4113</v>
      </c>
      <c r="B224" s="92">
        <v>272</v>
      </c>
      <c r="C224" s="92">
        <v>7485</v>
      </c>
      <c r="D224" s="92" t="s">
        <v>50</v>
      </c>
      <c r="E224" s="92" t="s">
        <v>45</v>
      </c>
      <c r="F224" s="92"/>
      <c r="G224" s="92" t="str">
        <f t="shared" si="8"/>
        <v>331TNCERABX8ARX</v>
      </c>
      <c r="H224" s="92" t="s">
        <v>1648</v>
      </c>
      <c r="I224" s="92" t="s">
        <v>20</v>
      </c>
      <c r="J224" s="92" t="s">
        <v>21</v>
      </c>
      <c r="K224" s="92" t="s">
        <v>47</v>
      </c>
      <c r="L224" s="92" t="s">
        <v>48</v>
      </c>
      <c r="M224" s="92" t="str">
        <f t="shared" si="9"/>
        <v>331TNCERABX8ARX381135</v>
      </c>
      <c r="N224" s="92" t="str">
        <f t="shared" si="10"/>
        <v>331TNCERABX8ARX38535</v>
      </c>
      <c r="O224" s="93">
        <v>38</v>
      </c>
      <c r="P224" s="92">
        <v>331</v>
      </c>
      <c r="Q224" s="92" t="s">
        <v>31</v>
      </c>
      <c r="R224" s="93">
        <v>1135</v>
      </c>
      <c r="S224" s="93">
        <v>12200</v>
      </c>
      <c r="T224" s="93">
        <v>535</v>
      </c>
      <c r="U224" s="93">
        <v>535</v>
      </c>
      <c r="V224" s="93">
        <v>6000</v>
      </c>
      <c r="W224" s="84">
        <v>2</v>
      </c>
      <c r="X224" s="85" t="s">
        <v>14</v>
      </c>
      <c r="Y224" s="86" t="s">
        <v>295</v>
      </c>
      <c r="Z224" s="87">
        <v>6</v>
      </c>
      <c r="AA224" s="88" t="s">
        <v>24</v>
      </c>
      <c r="AB224" s="89">
        <v>1450</v>
      </c>
      <c r="AC224" s="86">
        <v>3</v>
      </c>
      <c r="AD224" s="88" t="s">
        <v>51</v>
      </c>
      <c r="AE224" s="89">
        <v>570</v>
      </c>
      <c r="AF224" s="86"/>
      <c r="AG224" s="88"/>
      <c r="AH224" s="89"/>
      <c r="AI224" s="86"/>
      <c r="AJ224" s="88"/>
      <c r="AK224" s="89"/>
      <c r="AL224" s="90">
        <v>6</v>
      </c>
      <c r="AM224" s="91" t="s">
        <v>49</v>
      </c>
      <c r="AN224" s="91" t="s">
        <v>472</v>
      </c>
      <c r="AO224" s="243" t="str">
        <f t="shared" si="11"/>
        <v>331TNCERABX8ARX38</v>
      </c>
    </row>
    <row r="225" spans="1:41" ht="15" customHeight="1" x14ac:dyDescent="0.15">
      <c r="A225" s="83">
        <v>4113</v>
      </c>
      <c r="B225" s="92">
        <v>279</v>
      </c>
      <c r="C225" s="92">
        <v>26911</v>
      </c>
      <c r="D225" s="92" t="s">
        <v>126</v>
      </c>
      <c r="E225" s="92" t="s">
        <v>127</v>
      </c>
      <c r="F225" s="92" t="s">
        <v>26</v>
      </c>
      <c r="G225" s="92" t="str">
        <f t="shared" si="8"/>
        <v>3TNCERAWZRX</v>
      </c>
      <c r="H225" s="92" t="s">
        <v>265</v>
      </c>
      <c r="I225" s="92" t="s">
        <v>20</v>
      </c>
      <c r="J225" s="92" t="s">
        <v>21</v>
      </c>
      <c r="K225" s="92" t="s">
        <v>112</v>
      </c>
      <c r="L225" s="92" t="s">
        <v>113</v>
      </c>
      <c r="M225" s="92" t="str">
        <f t="shared" si="9"/>
        <v>3TNCERAWZRX381335</v>
      </c>
      <c r="N225" s="92" t="str">
        <f t="shared" si="10"/>
        <v>3TNCERAWZRX381220</v>
      </c>
      <c r="O225" s="93">
        <v>38</v>
      </c>
      <c r="P225" s="92">
        <v>3</v>
      </c>
      <c r="Q225" s="92" t="s">
        <v>31</v>
      </c>
      <c r="R225" s="93">
        <v>1335</v>
      </c>
      <c r="S225" s="93">
        <v>12200</v>
      </c>
      <c r="T225" s="93">
        <v>1220</v>
      </c>
      <c r="U225" s="93">
        <v>1220</v>
      </c>
      <c r="V225" s="93">
        <v>6000</v>
      </c>
      <c r="W225" s="84">
        <v>2</v>
      </c>
      <c r="X225" s="85" t="s">
        <v>14</v>
      </c>
      <c r="Y225" s="86" t="s">
        <v>295</v>
      </c>
      <c r="Z225" s="87">
        <v>6</v>
      </c>
      <c r="AA225" s="88" t="s">
        <v>24</v>
      </c>
      <c r="AB225" s="89">
        <v>1450</v>
      </c>
      <c r="AC225" s="86">
        <v>6</v>
      </c>
      <c r="AD225" s="88" t="s">
        <v>24</v>
      </c>
      <c r="AE225" s="89">
        <v>1270</v>
      </c>
      <c r="AF225" s="86"/>
      <c r="AG225" s="88"/>
      <c r="AH225" s="89"/>
      <c r="AI225" s="86"/>
      <c r="AJ225" s="88"/>
      <c r="AK225" s="89"/>
      <c r="AL225" s="90"/>
      <c r="AM225" s="91"/>
      <c r="AN225" s="91" t="s">
        <v>474</v>
      </c>
      <c r="AO225" s="243" t="str">
        <f t="shared" si="11"/>
        <v>3TNCERAWZRX38</v>
      </c>
    </row>
    <row r="226" spans="1:41" ht="15" customHeight="1" x14ac:dyDescent="0.15">
      <c r="A226" s="83">
        <v>4114</v>
      </c>
      <c r="B226" s="92">
        <v>279</v>
      </c>
      <c r="C226" s="92">
        <v>26912</v>
      </c>
      <c r="D226" s="92" t="s">
        <v>126</v>
      </c>
      <c r="E226" s="92" t="s">
        <v>127</v>
      </c>
      <c r="F226" s="92" t="s">
        <v>26</v>
      </c>
      <c r="G226" s="92" t="str">
        <f t="shared" si="8"/>
        <v>3UNCERAWZRX</v>
      </c>
      <c r="H226" s="92" t="s">
        <v>1657</v>
      </c>
      <c r="I226" s="92" t="s">
        <v>20</v>
      </c>
      <c r="J226" s="92" t="s">
        <v>21</v>
      </c>
      <c r="K226" s="92" t="s">
        <v>112</v>
      </c>
      <c r="L226" s="92" t="s">
        <v>113</v>
      </c>
      <c r="M226" s="92" t="str">
        <f t="shared" si="9"/>
        <v>3UNCERAWZRX381255</v>
      </c>
      <c r="N226" s="92" t="str">
        <f t="shared" si="10"/>
        <v>3UNCERAWZRX381245</v>
      </c>
      <c r="O226" s="93">
        <v>38</v>
      </c>
      <c r="P226" s="92">
        <v>3</v>
      </c>
      <c r="Q226" s="92" t="s">
        <v>31</v>
      </c>
      <c r="R226" s="93">
        <v>1255</v>
      </c>
      <c r="S226" s="93">
        <v>12200</v>
      </c>
      <c r="T226" s="93">
        <v>1245</v>
      </c>
      <c r="U226" s="93">
        <v>1245</v>
      </c>
      <c r="V226" s="93">
        <v>6000</v>
      </c>
      <c r="W226" s="84">
        <v>2</v>
      </c>
      <c r="X226" s="85" t="s">
        <v>14</v>
      </c>
      <c r="Y226" s="86" t="s">
        <v>27</v>
      </c>
      <c r="Z226" s="87">
        <v>6</v>
      </c>
      <c r="AA226" s="88" t="s">
        <v>24</v>
      </c>
      <c r="AB226" s="89">
        <v>1450</v>
      </c>
      <c r="AC226" s="86"/>
      <c r="AD226" s="88"/>
      <c r="AE226" s="89"/>
      <c r="AF226" s="86"/>
      <c r="AG226" s="88"/>
      <c r="AH226" s="89"/>
      <c r="AI226" s="86"/>
      <c r="AJ226" s="88"/>
      <c r="AK226" s="89"/>
      <c r="AL226" s="90"/>
      <c r="AM226" s="91"/>
      <c r="AN226" s="91" t="s">
        <v>474</v>
      </c>
      <c r="AO226" s="243" t="str">
        <f t="shared" si="11"/>
        <v>3UNCERAWZRX38</v>
      </c>
    </row>
    <row r="227" spans="1:41" ht="15" customHeight="1" x14ac:dyDescent="0.15">
      <c r="A227" s="83">
        <v>333</v>
      </c>
      <c r="B227" s="92">
        <v>272</v>
      </c>
      <c r="C227" s="92">
        <v>30967</v>
      </c>
      <c r="D227" s="92" t="s">
        <v>267</v>
      </c>
      <c r="E227" s="92" t="s">
        <v>45</v>
      </c>
      <c r="F227" s="92" t="s">
        <v>26</v>
      </c>
      <c r="G227" s="92" t="str">
        <f t="shared" si="8"/>
        <v>3SNCERAWZS</v>
      </c>
      <c r="H227" s="92" t="s">
        <v>1549</v>
      </c>
      <c r="I227" s="92" t="s">
        <v>20</v>
      </c>
      <c r="J227" s="92" t="s">
        <v>21</v>
      </c>
      <c r="K227" s="92" t="s">
        <v>118</v>
      </c>
      <c r="L227" s="92" t="s">
        <v>121</v>
      </c>
      <c r="M227" s="92" t="str">
        <f t="shared" si="9"/>
        <v>3SNCERAWZS251110</v>
      </c>
      <c r="N227" s="92" t="str">
        <f t="shared" si="10"/>
        <v>3SNCERAWZS251100</v>
      </c>
      <c r="O227" s="93">
        <v>25</v>
      </c>
      <c r="P227" s="92">
        <v>3</v>
      </c>
      <c r="Q227" s="92" t="s">
        <v>78</v>
      </c>
      <c r="R227" s="93">
        <v>1110</v>
      </c>
      <c r="S227" s="93">
        <v>12100</v>
      </c>
      <c r="T227" s="93">
        <v>1100</v>
      </c>
      <c r="U227" s="93">
        <v>1100</v>
      </c>
      <c r="V227" s="93">
        <v>12000</v>
      </c>
      <c r="W227" s="84">
        <v>2</v>
      </c>
      <c r="X227" s="85" t="s">
        <v>14</v>
      </c>
      <c r="Y227" s="86" t="s">
        <v>15</v>
      </c>
      <c r="Z227" s="87">
        <v>6</v>
      </c>
      <c r="AA227" s="88" t="s">
        <v>2006</v>
      </c>
      <c r="AB227" s="89">
        <v>1450</v>
      </c>
      <c r="AC227" s="86"/>
      <c r="AD227" s="88"/>
      <c r="AE227" s="89"/>
      <c r="AF227" s="86"/>
      <c r="AG227" s="88"/>
      <c r="AH227" s="89"/>
      <c r="AI227" s="86"/>
      <c r="AJ227" s="88"/>
      <c r="AK227" s="89"/>
      <c r="AL227" s="90"/>
      <c r="AM227" s="91"/>
      <c r="AN227" s="91" t="s">
        <v>474</v>
      </c>
      <c r="AO227" s="243" t="str">
        <f t="shared" si="11"/>
        <v>3SNCERAWZS25</v>
      </c>
    </row>
    <row r="228" spans="1:41" ht="15" customHeight="1" x14ac:dyDescent="0.15">
      <c r="A228" s="83">
        <v>4113</v>
      </c>
      <c r="B228" s="92">
        <v>272</v>
      </c>
      <c r="C228" s="92">
        <v>30967</v>
      </c>
      <c r="D228" s="92" t="s">
        <v>267</v>
      </c>
      <c r="E228" s="92" t="s">
        <v>45</v>
      </c>
      <c r="F228" s="92" t="s">
        <v>26</v>
      </c>
      <c r="G228" s="92" t="str">
        <f t="shared" si="8"/>
        <v>3TNCERAWZS</v>
      </c>
      <c r="H228" s="92" t="s">
        <v>265</v>
      </c>
      <c r="I228" s="92" t="s">
        <v>20</v>
      </c>
      <c r="J228" s="92" t="s">
        <v>21</v>
      </c>
      <c r="K228" s="92" t="s">
        <v>118</v>
      </c>
      <c r="L228" s="92" t="s">
        <v>121</v>
      </c>
      <c r="M228" s="92" t="str">
        <f t="shared" si="9"/>
        <v>3TNCERAWZS251110</v>
      </c>
      <c r="N228" s="92" t="str">
        <f t="shared" si="10"/>
        <v>3TNCERAWZS251100</v>
      </c>
      <c r="O228" s="93">
        <v>25</v>
      </c>
      <c r="P228" s="92">
        <v>3</v>
      </c>
      <c r="Q228" s="92" t="s">
        <v>78</v>
      </c>
      <c r="R228" s="93">
        <v>1110</v>
      </c>
      <c r="S228" s="93">
        <v>12100</v>
      </c>
      <c r="T228" s="93">
        <v>1100</v>
      </c>
      <c r="U228" s="93">
        <v>1100</v>
      </c>
      <c r="V228" s="93">
        <v>12000</v>
      </c>
      <c r="W228" s="84">
        <v>2</v>
      </c>
      <c r="X228" s="85" t="s">
        <v>14</v>
      </c>
      <c r="Y228" s="86" t="s">
        <v>15</v>
      </c>
      <c r="Z228" s="87">
        <v>6</v>
      </c>
      <c r="AA228" s="88" t="s">
        <v>2006</v>
      </c>
      <c r="AB228" s="89">
        <v>1450</v>
      </c>
      <c r="AC228" s="86"/>
      <c r="AD228" s="88"/>
      <c r="AE228" s="89"/>
      <c r="AF228" s="86"/>
      <c r="AG228" s="88"/>
      <c r="AH228" s="89"/>
      <c r="AI228" s="86"/>
      <c r="AJ228" s="88"/>
      <c r="AK228" s="89"/>
      <c r="AL228" s="90"/>
      <c r="AM228" s="91"/>
      <c r="AN228" s="91" t="s">
        <v>474</v>
      </c>
      <c r="AO228" s="243" t="str">
        <f t="shared" si="11"/>
        <v>3TNCERAWZS25</v>
      </c>
    </row>
    <row r="229" spans="1:41" ht="15" customHeight="1" x14ac:dyDescent="0.15">
      <c r="A229" s="83">
        <v>4114</v>
      </c>
      <c r="B229" s="92">
        <v>272</v>
      </c>
      <c r="C229" s="92">
        <v>30967</v>
      </c>
      <c r="D229" s="92" t="s">
        <v>267</v>
      </c>
      <c r="E229" s="92" t="s">
        <v>45</v>
      </c>
      <c r="F229" s="92" t="s">
        <v>26</v>
      </c>
      <c r="G229" s="92" t="str">
        <f t="shared" si="8"/>
        <v>3UNCERAWZS</v>
      </c>
      <c r="H229" s="92" t="s">
        <v>1657</v>
      </c>
      <c r="I229" s="92" t="s">
        <v>20</v>
      </c>
      <c r="J229" s="92" t="s">
        <v>21</v>
      </c>
      <c r="K229" s="92" t="s">
        <v>118</v>
      </c>
      <c r="L229" s="92" t="s">
        <v>121</v>
      </c>
      <c r="M229" s="92" t="str">
        <f t="shared" si="9"/>
        <v>3UNCERAWZS251110</v>
      </c>
      <c r="N229" s="92" t="str">
        <f t="shared" si="10"/>
        <v>3UNCERAWZS251100</v>
      </c>
      <c r="O229" s="93">
        <v>25</v>
      </c>
      <c r="P229" s="92">
        <v>3</v>
      </c>
      <c r="Q229" s="92" t="s">
        <v>78</v>
      </c>
      <c r="R229" s="93">
        <v>1110</v>
      </c>
      <c r="S229" s="93">
        <v>12100</v>
      </c>
      <c r="T229" s="93">
        <v>1100</v>
      </c>
      <c r="U229" s="93">
        <v>1100</v>
      </c>
      <c r="V229" s="93">
        <v>12000</v>
      </c>
      <c r="W229" s="84">
        <v>2</v>
      </c>
      <c r="X229" s="85" t="s">
        <v>14</v>
      </c>
      <c r="Y229" s="86" t="s">
        <v>15</v>
      </c>
      <c r="Z229" s="87">
        <v>6</v>
      </c>
      <c r="AA229" s="88" t="s">
        <v>2006</v>
      </c>
      <c r="AB229" s="89">
        <v>1450</v>
      </c>
      <c r="AC229" s="86"/>
      <c r="AD229" s="88"/>
      <c r="AE229" s="89"/>
      <c r="AF229" s="86"/>
      <c r="AG229" s="88"/>
      <c r="AH229" s="89"/>
      <c r="AI229" s="86"/>
      <c r="AJ229" s="88"/>
      <c r="AK229" s="89"/>
      <c r="AL229" s="90"/>
      <c r="AM229" s="91"/>
      <c r="AN229" s="91" t="s">
        <v>474</v>
      </c>
      <c r="AO229" s="243" t="str">
        <f t="shared" si="11"/>
        <v>3UNCERAWZS25</v>
      </c>
    </row>
    <row r="230" spans="1:41" ht="15" customHeight="1" x14ac:dyDescent="0.15">
      <c r="A230" s="83">
        <v>4113</v>
      </c>
      <c r="B230" s="92">
        <v>272</v>
      </c>
      <c r="C230" s="92">
        <v>30967</v>
      </c>
      <c r="D230" s="92" t="s">
        <v>267</v>
      </c>
      <c r="E230" s="92" t="s">
        <v>45</v>
      </c>
      <c r="F230" s="92" t="s">
        <v>26</v>
      </c>
      <c r="G230" s="92" t="str">
        <f t="shared" si="8"/>
        <v>3KSTNCERAWZS</v>
      </c>
      <c r="H230" s="92" t="s">
        <v>265</v>
      </c>
      <c r="I230" s="92" t="s">
        <v>20</v>
      </c>
      <c r="J230" s="92" t="s">
        <v>21</v>
      </c>
      <c r="K230" s="92" t="s">
        <v>118</v>
      </c>
      <c r="L230" s="92" t="s">
        <v>121</v>
      </c>
      <c r="M230" s="92" t="str">
        <f t="shared" si="9"/>
        <v>3KSTNCERAWZS251100</v>
      </c>
      <c r="N230" s="92" t="str">
        <f t="shared" si="10"/>
        <v>3KSTNCERAWZS251100</v>
      </c>
      <c r="O230" s="93">
        <v>25</v>
      </c>
      <c r="P230" s="92" t="s">
        <v>2007</v>
      </c>
      <c r="Q230" s="92" t="s">
        <v>78</v>
      </c>
      <c r="R230" s="93">
        <v>1100</v>
      </c>
      <c r="S230" s="93">
        <v>12000</v>
      </c>
      <c r="T230" s="93">
        <v>1100</v>
      </c>
      <c r="U230" s="93">
        <v>1100</v>
      </c>
      <c r="V230" s="93">
        <v>12000</v>
      </c>
      <c r="W230" s="84">
        <v>2</v>
      </c>
      <c r="X230" s="85" t="s">
        <v>2008</v>
      </c>
      <c r="Y230" s="86" t="s">
        <v>25</v>
      </c>
      <c r="Z230" s="87">
        <v>6</v>
      </c>
      <c r="AA230" s="88" t="s">
        <v>24</v>
      </c>
      <c r="AB230" s="89">
        <v>1450</v>
      </c>
      <c r="AC230" s="86">
        <v>6</v>
      </c>
      <c r="AD230" s="88" t="s">
        <v>266</v>
      </c>
      <c r="AE230" s="89">
        <v>1450</v>
      </c>
      <c r="AF230" s="86"/>
      <c r="AG230" s="88"/>
      <c r="AH230" s="89"/>
      <c r="AI230" s="86"/>
      <c r="AJ230" s="88"/>
      <c r="AK230" s="89"/>
      <c r="AL230" s="90"/>
      <c r="AM230" s="91"/>
      <c r="AN230" s="91" t="s">
        <v>474</v>
      </c>
      <c r="AO230" s="243" t="str">
        <f t="shared" si="11"/>
        <v>3KSTNCERAWZS25</v>
      </c>
    </row>
    <row r="231" spans="1:41" ht="15" customHeight="1" x14ac:dyDescent="0.15">
      <c r="A231" s="83">
        <v>4114</v>
      </c>
      <c r="B231" s="92">
        <v>272</v>
      </c>
      <c r="C231" s="92">
        <v>30967</v>
      </c>
      <c r="D231" s="92" t="s">
        <v>267</v>
      </c>
      <c r="E231" s="92" t="s">
        <v>45</v>
      </c>
      <c r="F231" s="92" t="s">
        <v>26</v>
      </c>
      <c r="G231" s="92" t="str">
        <f t="shared" si="8"/>
        <v>3UNCERAWZS</v>
      </c>
      <c r="H231" s="92" t="s">
        <v>1657</v>
      </c>
      <c r="I231" s="92" t="s">
        <v>20</v>
      </c>
      <c r="J231" s="92" t="s">
        <v>21</v>
      </c>
      <c r="K231" s="92" t="s">
        <v>118</v>
      </c>
      <c r="L231" s="92" t="s">
        <v>121</v>
      </c>
      <c r="M231" s="92" t="str">
        <f t="shared" si="9"/>
        <v>3UNCERAWZS751060</v>
      </c>
      <c r="N231" s="92" t="str">
        <f t="shared" si="10"/>
        <v>3UNCERAWZS751050</v>
      </c>
      <c r="O231" s="93">
        <v>75</v>
      </c>
      <c r="P231" s="92">
        <v>3</v>
      </c>
      <c r="Q231" s="92" t="s">
        <v>78</v>
      </c>
      <c r="R231" s="93">
        <v>1060</v>
      </c>
      <c r="S231" s="93">
        <v>4300</v>
      </c>
      <c r="T231" s="93">
        <v>1050</v>
      </c>
      <c r="U231" s="93">
        <v>1050</v>
      </c>
      <c r="V231" s="93">
        <v>4300</v>
      </c>
      <c r="W231" s="84">
        <v>2</v>
      </c>
      <c r="X231" s="85" t="s">
        <v>14</v>
      </c>
      <c r="Y231" s="86" t="s">
        <v>15</v>
      </c>
      <c r="Z231" s="87">
        <v>6</v>
      </c>
      <c r="AA231" s="88" t="s">
        <v>24</v>
      </c>
      <c r="AB231" s="89">
        <v>1450</v>
      </c>
      <c r="AC231" s="86"/>
      <c r="AD231" s="88"/>
      <c r="AE231" s="89"/>
      <c r="AF231" s="86"/>
      <c r="AG231" s="88"/>
      <c r="AH231" s="89"/>
      <c r="AI231" s="86"/>
      <c r="AJ231" s="88"/>
      <c r="AK231" s="89"/>
      <c r="AL231" s="90"/>
      <c r="AM231" s="91"/>
      <c r="AN231" s="91" t="s">
        <v>474</v>
      </c>
      <c r="AO231" s="243" t="str">
        <f t="shared" si="11"/>
        <v>3UNCERAWZS75</v>
      </c>
    </row>
    <row r="232" spans="1:41" ht="15" customHeight="1" x14ac:dyDescent="0.15">
      <c r="A232" s="83">
        <v>4113</v>
      </c>
      <c r="B232" s="92">
        <v>275</v>
      </c>
      <c r="C232" s="92">
        <v>5174</v>
      </c>
      <c r="D232" s="92" t="s">
        <v>116</v>
      </c>
      <c r="E232" s="92" t="s">
        <v>117</v>
      </c>
      <c r="F232" s="92" t="s">
        <v>26</v>
      </c>
      <c r="G232" s="92" t="str">
        <f t="shared" si="8"/>
        <v>3TNCERAWZT</v>
      </c>
      <c r="H232" s="92" t="s">
        <v>1648</v>
      </c>
      <c r="I232" s="92" t="s">
        <v>20</v>
      </c>
      <c r="J232" s="92" t="s">
        <v>21</v>
      </c>
      <c r="K232" s="92" t="s">
        <v>122</v>
      </c>
      <c r="L232" s="92" t="s">
        <v>123</v>
      </c>
      <c r="M232" s="92" t="str">
        <f t="shared" si="9"/>
        <v>3TNCERAWZT381005</v>
      </c>
      <c r="N232" s="92" t="str">
        <f t="shared" si="10"/>
        <v>3TNCERAWZT381000</v>
      </c>
      <c r="O232" s="93">
        <v>38</v>
      </c>
      <c r="P232" s="92">
        <v>3</v>
      </c>
      <c r="Q232" s="92" t="s">
        <v>268</v>
      </c>
      <c r="R232" s="93">
        <v>1005</v>
      </c>
      <c r="S232" s="93">
        <v>6000</v>
      </c>
      <c r="T232" s="93">
        <v>1005</v>
      </c>
      <c r="U232" s="93">
        <v>1000</v>
      </c>
      <c r="V232" s="93">
        <v>6000</v>
      </c>
      <c r="W232" s="84">
        <v>2</v>
      </c>
      <c r="X232" s="85" t="s">
        <v>14</v>
      </c>
      <c r="Y232" s="86" t="s">
        <v>15</v>
      </c>
      <c r="Z232" s="87">
        <v>6</v>
      </c>
      <c r="AA232" s="88" t="s">
        <v>24</v>
      </c>
      <c r="AB232" s="89"/>
      <c r="AC232" s="86"/>
      <c r="AD232" s="88"/>
      <c r="AE232" s="89"/>
      <c r="AF232" s="86"/>
      <c r="AG232" s="88"/>
      <c r="AH232" s="89"/>
      <c r="AI232" s="86"/>
      <c r="AJ232" s="88"/>
      <c r="AK232" s="89"/>
      <c r="AL232" s="90"/>
      <c r="AM232" s="91"/>
      <c r="AN232" s="91" t="s">
        <v>474</v>
      </c>
      <c r="AO232" s="243" t="str">
        <f t="shared" si="11"/>
        <v>3TNCERAWZT38</v>
      </c>
    </row>
    <row r="233" spans="1:41" ht="15" customHeight="1" x14ac:dyDescent="0.15">
      <c r="A233" s="83">
        <v>4114</v>
      </c>
      <c r="B233" s="92">
        <v>272</v>
      </c>
      <c r="C233" s="92">
        <v>3804</v>
      </c>
      <c r="D233" s="92" t="s">
        <v>982</v>
      </c>
      <c r="E233" s="92" t="s">
        <v>45</v>
      </c>
      <c r="F233" s="92" t="s">
        <v>12</v>
      </c>
      <c r="G233" s="92" t="str">
        <f t="shared" si="8"/>
        <v>3UNCERAMFACR</v>
      </c>
      <c r="H233" s="92" t="s">
        <v>1657</v>
      </c>
      <c r="I233" s="92" t="s">
        <v>20</v>
      </c>
      <c r="J233" s="92" t="s">
        <v>21</v>
      </c>
      <c r="K233" s="92" t="s">
        <v>80</v>
      </c>
      <c r="L233" s="92" t="s">
        <v>81</v>
      </c>
      <c r="M233" s="92" t="str">
        <f t="shared" si="9"/>
        <v>3UNCERAMFACR311370</v>
      </c>
      <c r="N233" s="92" t="str">
        <f t="shared" si="10"/>
        <v>3UNCERAMFACR31440</v>
      </c>
      <c r="O233" s="93">
        <v>31</v>
      </c>
      <c r="P233" s="92">
        <v>3</v>
      </c>
      <c r="Q233" s="92" t="s">
        <v>82</v>
      </c>
      <c r="R233" s="93">
        <v>1370</v>
      </c>
      <c r="S233" s="93">
        <v>13450</v>
      </c>
      <c r="T233" s="93">
        <v>440</v>
      </c>
      <c r="U233" s="93">
        <v>440</v>
      </c>
      <c r="V233" s="93">
        <v>6500</v>
      </c>
      <c r="W233" s="84">
        <v>1</v>
      </c>
      <c r="X233" s="85" t="s">
        <v>14</v>
      </c>
      <c r="Y233" s="86" t="s">
        <v>295</v>
      </c>
      <c r="Z233" s="87">
        <v>6</v>
      </c>
      <c r="AA233" s="88" t="s">
        <v>24</v>
      </c>
      <c r="AB233" s="89">
        <v>1450</v>
      </c>
      <c r="AC233" s="86">
        <v>3</v>
      </c>
      <c r="AD233" s="88" t="s">
        <v>51</v>
      </c>
      <c r="AE233" s="89">
        <v>595</v>
      </c>
      <c r="AF233" s="86"/>
      <c r="AG233" s="88"/>
      <c r="AH233" s="89"/>
      <c r="AI233" s="86"/>
      <c r="AJ233" s="88"/>
      <c r="AK233" s="89"/>
      <c r="AL233" s="90"/>
      <c r="AM233" s="91"/>
      <c r="AN233" s="91" t="s">
        <v>471</v>
      </c>
      <c r="AO233" s="243" t="str">
        <f t="shared" si="11"/>
        <v>3UNCERAMFACR31</v>
      </c>
    </row>
    <row r="234" spans="1:41" ht="15" customHeight="1" x14ac:dyDescent="0.15">
      <c r="A234" s="83">
        <v>4114</v>
      </c>
      <c r="B234" s="92">
        <v>276</v>
      </c>
      <c r="C234" s="92">
        <v>2153</v>
      </c>
      <c r="D234" s="92" t="s">
        <v>93</v>
      </c>
      <c r="E234" s="92" t="s">
        <v>58</v>
      </c>
      <c r="F234" s="92" t="s">
        <v>12</v>
      </c>
      <c r="G234" s="92" t="str">
        <f t="shared" si="8"/>
        <v>3UNCERAMFAS</v>
      </c>
      <c r="H234" s="92" t="s">
        <v>1657</v>
      </c>
      <c r="I234" s="92" t="s">
        <v>1550</v>
      </c>
      <c r="J234" s="92" t="s">
        <v>21</v>
      </c>
      <c r="K234" s="92" t="s">
        <v>2064</v>
      </c>
      <c r="L234" s="92" t="s">
        <v>2065</v>
      </c>
      <c r="M234" s="92" t="str">
        <f t="shared" si="9"/>
        <v>3UNCERAMFAS1001090</v>
      </c>
      <c r="N234" s="92" t="str">
        <f t="shared" si="10"/>
        <v>3UNCERAMFAS100520</v>
      </c>
      <c r="O234" s="93">
        <v>100</v>
      </c>
      <c r="P234" s="92">
        <v>3</v>
      </c>
      <c r="Q234" s="92" t="s">
        <v>1991</v>
      </c>
      <c r="R234" s="93">
        <v>1090</v>
      </c>
      <c r="S234" s="93">
        <v>2400</v>
      </c>
      <c r="T234" s="93">
        <v>520</v>
      </c>
      <c r="U234" s="93">
        <v>520</v>
      </c>
      <c r="V234" s="93">
        <v>800</v>
      </c>
      <c r="W234" s="84">
        <v>1</v>
      </c>
      <c r="X234" s="85" t="s">
        <v>14</v>
      </c>
      <c r="Y234" s="86" t="s">
        <v>295</v>
      </c>
      <c r="Z234" s="87">
        <v>6</v>
      </c>
      <c r="AA234" s="88" t="s">
        <v>24</v>
      </c>
      <c r="AB234" s="89">
        <v>1450</v>
      </c>
      <c r="AC234" s="86">
        <v>3</v>
      </c>
      <c r="AD234" s="88" t="s">
        <v>39</v>
      </c>
      <c r="AE234" s="89">
        <v>525</v>
      </c>
      <c r="AF234" s="86"/>
      <c r="AG234" s="88"/>
      <c r="AH234" s="89"/>
      <c r="AI234" s="86"/>
      <c r="AJ234" s="88"/>
      <c r="AK234" s="89"/>
      <c r="AL234" s="90"/>
      <c r="AM234" s="91"/>
      <c r="AN234" s="91" t="s">
        <v>471</v>
      </c>
      <c r="AO234" s="243" t="str">
        <f t="shared" si="11"/>
        <v>3UNCERAMFAS100</v>
      </c>
    </row>
    <row r="235" spans="1:41" ht="15" customHeight="1" x14ac:dyDescent="0.15">
      <c r="A235" s="83">
        <v>4113</v>
      </c>
      <c r="B235" s="92">
        <v>272</v>
      </c>
      <c r="C235" s="92">
        <v>2153</v>
      </c>
      <c r="D235" s="92" t="s">
        <v>95</v>
      </c>
      <c r="E235" s="92" t="s">
        <v>45</v>
      </c>
      <c r="F235" s="92" t="s">
        <v>26</v>
      </c>
      <c r="G235" s="92" t="str">
        <f t="shared" si="8"/>
        <v>3TNCERAMFAS</v>
      </c>
      <c r="H235" s="92" t="s">
        <v>265</v>
      </c>
      <c r="I235" s="92" t="s">
        <v>1550</v>
      </c>
      <c r="J235" s="92" t="s">
        <v>21</v>
      </c>
      <c r="K235" s="92" t="s">
        <v>2064</v>
      </c>
      <c r="L235" s="92" t="s">
        <v>2065</v>
      </c>
      <c r="M235" s="92" t="str">
        <f t="shared" si="9"/>
        <v>3TNCERAMFAS1881230</v>
      </c>
      <c r="N235" s="92" t="str">
        <f t="shared" si="10"/>
        <v>3TNCERAMFAS188360</v>
      </c>
      <c r="O235" s="93">
        <v>188</v>
      </c>
      <c r="P235" s="92">
        <v>3</v>
      </c>
      <c r="Q235" s="92" t="s">
        <v>78</v>
      </c>
      <c r="R235" s="93">
        <v>1230</v>
      </c>
      <c r="S235" s="93">
        <v>1800</v>
      </c>
      <c r="T235" s="93">
        <v>360</v>
      </c>
      <c r="U235" s="93">
        <v>360</v>
      </c>
      <c r="V235" s="93">
        <v>250</v>
      </c>
      <c r="W235" s="84">
        <v>2</v>
      </c>
      <c r="X235" s="85" t="s">
        <v>14</v>
      </c>
      <c r="Y235" s="86" t="s">
        <v>295</v>
      </c>
      <c r="Z235" s="87">
        <v>6</v>
      </c>
      <c r="AA235" s="88" t="s">
        <v>24</v>
      </c>
      <c r="AB235" s="89">
        <v>1450</v>
      </c>
      <c r="AC235" s="86">
        <v>3</v>
      </c>
      <c r="AD235" s="88" t="s">
        <v>39</v>
      </c>
      <c r="AE235" s="89">
        <v>400</v>
      </c>
      <c r="AF235" s="86"/>
      <c r="AG235" s="88"/>
      <c r="AH235" s="89"/>
      <c r="AI235" s="86"/>
      <c r="AJ235" s="88"/>
      <c r="AK235" s="89"/>
      <c r="AL235" s="90"/>
      <c r="AM235" s="91"/>
      <c r="AN235" s="91" t="s">
        <v>471</v>
      </c>
      <c r="AO235" s="243" t="str">
        <f t="shared" si="11"/>
        <v>3TNCERAMFAS188</v>
      </c>
    </row>
    <row r="236" spans="1:41" ht="15" customHeight="1" x14ac:dyDescent="0.15">
      <c r="A236" s="83">
        <v>4113</v>
      </c>
      <c r="B236" s="92">
        <v>272</v>
      </c>
      <c r="C236" s="92">
        <v>2153</v>
      </c>
      <c r="D236" s="92" t="s">
        <v>95</v>
      </c>
      <c r="E236" s="92" t="s">
        <v>45</v>
      </c>
      <c r="F236" s="92" t="s">
        <v>26</v>
      </c>
      <c r="G236" s="92" t="str">
        <f t="shared" si="8"/>
        <v>3TNCERAMFAS</v>
      </c>
      <c r="H236" s="92" t="s">
        <v>265</v>
      </c>
      <c r="I236" s="92" t="s">
        <v>1550</v>
      </c>
      <c r="J236" s="92" t="s">
        <v>21</v>
      </c>
      <c r="K236" s="92" t="s">
        <v>2064</v>
      </c>
      <c r="L236" s="92" t="s">
        <v>2065</v>
      </c>
      <c r="M236" s="92" t="str">
        <f t="shared" si="9"/>
        <v>3TNCERAMFAS1881230</v>
      </c>
      <c r="N236" s="92" t="str">
        <f t="shared" si="10"/>
        <v>3TNCERAMFAS188290</v>
      </c>
      <c r="O236" s="93">
        <v>188</v>
      </c>
      <c r="P236" s="92">
        <v>3</v>
      </c>
      <c r="Q236" s="92" t="s">
        <v>78</v>
      </c>
      <c r="R236" s="93">
        <v>1230</v>
      </c>
      <c r="S236" s="93">
        <v>1800</v>
      </c>
      <c r="T236" s="93">
        <v>290</v>
      </c>
      <c r="U236" s="93">
        <v>290</v>
      </c>
      <c r="V236" s="93">
        <v>250</v>
      </c>
      <c r="W236" s="84">
        <v>2</v>
      </c>
      <c r="X236" s="85" t="s">
        <v>14</v>
      </c>
      <c r="Y236" s="86" t="s">
        <v>295</v>
      </c>
      <c r="Z236" s="87">
        <v>6</v>
      </c>
      <c r="AA236" s="88" t="s">
        <v>24</v>
      </c>
      <c r="AB236" s="89">
        <v>1450</v>
      </c>
      <c r="AC236" s="86">
        <v>3</v>
      </c>
      <c r="AD236" s="88" t="s">
        <v>39</v>
      </c>
      <c r="AE236" s="89">
        <v>400</v>
      </c>
      <c r="AF236" s="86"/>
      <c r="AG236" s="88"/>
      <c r="AH236" s="89"/>
      <c r="AI236" s="86"/>
      <c r="AJ236" s="88"/>
      <c r="AK236" s="89"/>
      <c r="AL236" s="90"/>
      <c r="AM236" s="91"/>
      <c r="AN236" s="91" t="s">
        <v>471</v>
      </c>
      <c r="AO236" s="243" t="str">
        <f t="shared" si="11"/>
        <v>3TNCERAMFAS188</v>
      </c>
    </row>
    <row r="237" spans="1:41" ht="15" customHeight="1" x14ac:dyDescent="0.15">
      <c r="A237" s="83">
        <v>4114</v>
      </c>
      <c r="B237" s="92">
        <v>271</v>
      </c>
      <c r="C237" s="96"/>
      <c r="D237" s="96"/>
      <c r="E237" s="96" t="s">
        <v>11</v>
      </c>
      <c r="F237" s="96"/>
      <c r="G237" s="92" t="str">
        <f t="shared" si="8"/>
        <v>3UNCERAMFAS</v>
      </c>
      <c r="H237" s="92" t="s">
        <v>1657</v>
      </c>
      <c r="I237" s="92" t="s">
        <v>1550</v>
      </c>
      <c r="J237" s="92" t="s">
        <v>21</v>
      </c>
      <c r="K237" s="92" t="s">
        <v>2064</v>
      </c>
      <c r="L237" s="92" t="s">
        <v>2065</v>
      </c>
      <c r="M237" s="92" t="str">
        <f t="shared" si="9"/>
        <v>3UNCERAMFAS1881134</v>
      </c>
      <c r="N237" s="92" t="str">
        <f t="shared" si="10"/>
        <v>3UNCERAMFAS188500</v>
      </c>
      <c r="O237" s="93">
        <v>188</v>
      </c>
      <c r="P237" s="92">
        <v>3</v>
      </c>
      <c r="Q237" s="92" t="s">
        <v>78</v>
      </c>
      <c r="R237" s="93">
        <v>1134</v>
      </c>
      <c r="S237" s="93">
        <v>1800</v>
      </c>
      <c r="T237" s="93">
        <v>500</v>
      </c>
      <c r="U237" s="93">
        <v>500</v>
      </c>
      <c r="V237" s="93">
        <v>400</v>
      </c>
      <c r="W237" s="84">
        <v>2</v>
      </c>
      <c r="X237" s="85" t="s">
        <v>14</v>
      </c>
      <c r="Y237" s="86" t="s">
        <v>295</v>
      </c>
      <c r="Z237" s="87">
        <v>6</v>
      </c>
      <c r="AA237" s="88" t="s">
        <v>24</v>
      </c>
      <c r="AB237" s="89">
        <v>1450</v>
      </c>
      <c r="AC237" s="142"/>
      <c r="AD237" s="129"/>
      <c r="AE237" s="95"/>
      <c r="AF237" s="86"/>
      <c r="AG237" s="88"/>
      <c r="AH237" s="89"/>
      <c r="AI237" s="86"/>
      <c r="AJ237" s="88"/>
      <c r="AK237" s="89"/>
      <c r="AL237" s="90"/>
      <c r="AM237" s="91"/>
      <c r="AN237" s="91" t="s">
        <v>471</v>
      </c>
      <c r="AO237" s="243" t="str">
        <f t="shared" si="11"/>
        <v>3UNCERAMFAS188</v>
      </c>
    </row>
    <row r="238" spans="1:41" ht="15" customHeight="1" x14ac:dyDescent="0.15">
      <c r="A238" s="83">
        <v>4114</v>
      </c>
      <c r="B238" s="92">
        <v>271</v>
      </c>
      <c r="C238" s="96"/>
      <c r="D238" s="96"/>
      <c r="E238" s="96" t="s">
        <v>11</v>
      </c>
      <c r="F238" s="96"/>
      <c r="G238" s="92" t="str">
        <f t="shared" si="8"/>
        <v>3UNCERAMFAS</v>
      </c>
      <c r="H238" s="92" t="s">
        <v>1657</v>
      </c>
      <c r="I238" s="92" t="s">
        <v>1550</v>
      </c>
      <c r="J238" s="92" t="s">
        <v>21</v>
      </c>
      <c r="K238" s="92" t="s">
        <v>2064</v>
      </c>
      <c r="L238" s="92" t="s">
        <v>2065</v>
      </c>
      <c r="M238" s="92" t="str">
        <f t="shared" si="9"/>
        <v>3UNCERAMFAS1881134</v>
      </c>
      <c r="N238" s="92" t="str">
        <f t="shared" si="10"/>
        <v>3UNCERAMFAS188500</v>
      </c>
      <c r="O238" s="93">
        <v>188</v>
      </c>
      <c r="P238" s="92">
        <v>3</v>
      </c>
      <c r="Q238" s="92" t="s">
        <v>78</v>
      </c>
      <c r="R238" s="93">
        <v>1134</v>
      </c>
      <c r="S238" s="93">
        <v>1800</v>
      </c>
      <c r="T238" s="93">
        <v>500</v>
      </c>
      <c r="U238" s="93">
        <v>500</v>
      </c>
      <c r="V238" s="93">
        <v>300</v>
      </c>
      <c r="W238" s="84">
        <v>2</v>
      </c>
      <c r="X238" s="85" t="s">
        <v>14</v>
      </c>
      <c r="Y238" s="86" t="s">
        <v>295</v>
      </c>
      <c r="Z238" s="87">
        <v>6</v>
      </c>
      <c r="AA238" s="88" t="s">
        <v>24</v>
      </c>
      <c r="AB238" s="89">
        <v>1450</v>
      </c>
      <c r="AC238" s="142"/>
      <c r="AD238" s="129"/>
      <c r="AE238" s="95"/>
      <c r="AF238" s="86"/>
      <c r="AG238" s="88"/>
      <c r="AH238" s="89"/>
      <c r="AI238" s="86"/>
      <c r="AJ238" s="88"/>
      <c r="AK238" s="89"/>
      <c r="AL238" s="90"/>
      <c r="AM238" s="91"/>
      <c r="AN238" s="91" t="s">
        <v>471</v>
      </c>
      <c r="AO238" s="243" t="str">
        <f t="shared" si="11"/>
        <v>3UNCERAMFAS188</v>
      </c>
    </row>
    <row r="239" spans="1:41" ht="15" customHeight="1" x14ac:dyDescent="0.15">
      <c r="A239" s="83">
        <v>4114</v>
      </c>
      <c r="B239" s="92">
        <v>271</v>
      </c>
      <c r="C239" s="96"/>
      <c r="D239" s="96"/>
      <c r="E239" s="96" t="s">
        <v>11</v>
      </c>
      <c r="F239" s="96"/>
      <c r="G239" s="92" t="str">
        <f t="shared" si="8"/>
        <v>3UNCERAMFAS</v>
      </c>
      <c r="H239" s="92" t="s">
        <v>1657</v>
      </c>
      <c r="I239" s="92" t="s">
        <v>1550</v>
      </c>
      <c r="J239" s="92" t="s">
        <v>21</v>
      </c>
      <c r="K239" s="92" t="s">
        <v>2064</v>
      </c>
      <c r="L239" s="92" t="s">
        <v>2065</v>
      </c>
      <c r="M239" s="92" t="str">
        <f t="shared" si="9"/>
        <v>3UNCERAMFAS1881134</v>
      </c>
      <c r="N239" s="92" t="str">
        <f t="shared" si="10"/>
        <v>3UNCERAMFAS188500</v>
      </c>
      <c r="O239" s="93">
        <v>188</v>
      </c>
      <c r="P239" s="92">
        <v>3</v>
      </c>
      <c r="Q239" s="92" t="s">
        <v>78</v>
      </c>
      <c r="R239" s="93">
        <v>1134</v>
      </c>
      <c r="S239" s="93">
        <v>1800</v>
      </c>
      <c r="T239" s="93">
        <v>500</v>
      </c>
      <c r="U239" s="93">
        <v>500</v>
      </c>
      <c r="V239" s="93">
        <v>200</v>
      </c>
      <c r="W239" s="84">
        <v>2</v>
      </c>
      <c r="X239" s="85" t="s">
        <v>14</v>
      </c>
      <c r="Y239" s="86" t="s">
        <v>295</v>
      </c>
      <c r="Z239" s="87">
        <v>6</v>
      </c>
      <c r="AA239" s="88" t="s">
        <v>24</v>
      </c>
      <c r="AB239" s="89">
        <v>1450</v>
      </c>
      <c r="AC239" s="142"/>
      <c r="AD239" s="129"/>
      <c r="AE239" s="95"/>
      <c r="AF239" s="86"/>
      <c r="AG239" s="88"/>
      <c r="AH239" s="89"/>
      <c r="AI239" s="86"/>
      <c r="AJ239" s="88"/>
      <c r="AK239" s="89"/>
      <c r="AL239" s="90"/>
      <c r="AM239" s="91"/>
      <c r="AN239" s="91" t="s">
        <v>471</v>
      </c>
      <c r="AO239" s="243" t="str">
        <f t="shared" si="11"/>
        <v>3UNCERAMFAS188</v>
      </c>
    </row>
    <row r="240" spans="1:41" ht="15" customHeight="1" x14ac:dyDescent="0.15">
      <c r="A240" s="83">
        <v>4114</v>
      </c>
      <c r="B240" s="92">
        <v>271</v>
      </c>
      <c r="C240" s="92">
        <v>3932</v>
      </c>
      <c r="D240" s="92" t="s">
        <v>681</v>
      </c>
      <c r="E240" s="92"/>
      <c r="F240" s="92"/>
      <c r="G240" s="92" t="str">
        <f t="shared" si="8"/>
        <v>3UNCERAMFAX</v>
      </c>
      <c r="H240" s="92" t="s">
        <v>1657</v>
      </c>
      <c r="I240" s="92" t="s">
        <v>1550</v>
      </c>
      <c r="J240" s="92" t="s">
        <v>1552</v>
      </c>
      <c r="K240" s="92" t="s">
        <v>2066</v>
      </c>
      <c r="L240" s="92" t="s">
        <v>2067</v>
      </c>
      <c r="M240" s="92" t="str">
        <f t="shared" si="9"/>
        <v>3UNCERAMFAX501110</v>
      </c>
      <c r="N240" s="92" t="str">
        <f t="shared" si="10"/>
        <v>3UNCERAMFAX501100</v>
      </c>
      <c r="O240" s="93">
        <v>50</v>
      </c>
      <c r="P240" s="92">
        <v>3</v>
      </c>
      <c r="Q240" s="92" t="s">
        <v>486</v>
      </c>
      <c r="R240" s="93">
        <v>1110</v>
      </c>
      <c r="S240" s="93">
        <v>2200</v>
      </c>
      <c r="T240" s="93">
        <v>1100</v>
      </c>
      <c r="U240" s="93">
        <v>1100</v>
      </c>
      <c r="V240" s="93">
        <v>1200</v>
      </c>
      <c r="W240" s="84">
        <v>2</v>
      </c>
      <c r="X240" s="85" t="s">
        <v>2009</v>
      </c>
      <c r="Y240" s="86" t="s">
        <v>15</v>
      </c>
      <c r="Z240" s="87">
        <v>6</v>
      </c>
      <c r="AA240" s="88" t="s">
        <v>16</v>
      </c>
      <c r="AB240" s="89">
        <v>1170</v>
      </c>
      <c r="AC240" s="86"/>
      <c r="AD240" s="88"/>
      <c r="AE240" s="89"/>
      <c r="AF240" s="86"/>
      <c r="AG240" s="88"/>
      <c r="AH240" s="89"/>
      <c r="AI240" s="86"/>
      <c r="AJ240" s="88"/>
      <c r="AK240" s="89"/>
      <c r="AL240" s="90"/>
      <c r="AM240" s="91"/>
      <c r="AN240" s="206"/>
      <c r="AO240" s="243" t="str">
        <f t="shared" si="11"/>
        <v>3UNCERAMFAX50</v>
      </c>
    </row>
    <row r="241" spans="1:41" ht="15" customHeight="1" x14ac:dyDescent="0.15">
      <c r="A241" s="83">
        <v>4114</v>
      </c>
      <c r="B241" s="92">
        <v>276</v>
      </c>
      <c r="C241" s="92"/>
      <c r="D241" s="92"/>
      <c r="E241" s="92"/>
      <c r="F241" s="92"/>
      <c r="G241" s="92" t="str">
        <f t="shared" si="8"/>
        <v>3UNCERAMFA01</v>
      </c>
      <c r="H241" s="92" t="s">
        <v>1657</v>
      </c>
      <c r="I241" s="92" t="s">
        <v>1550</v>
      </c>
      <c r="J241" s="92" t="s">
        <v>1552</v>
      </c>
      <c r="K241" s="92" t="s">
        <v>2068</v>
      </c>
      <c r="L241" s="92" t="s">
        <v>2069</v>
      </c>
      <c r="M241" s="92" t="str">
        <f t="shared" si="9"/>
        <v>3UNCERAMFA01381110</v>
      </c>
      <c r="N241" s="92" t="str">
        <f t="shared" si="10"/>
        <v>3UNCERAMFA0138305</v>
      </c>
      <c r="O241" s="93">
        <v>38</v>
      </c>
      <c r="P241" s="92">
        <v>3</v>
      </c>
      <c r="Q241" s="92" t="s">
        <v>680</v>
      </c>
      <c r="R241" s="93">
        <v>1110</v>
      </c>
      <c r="S241" s="93">
        <v>4500</v>
      </c>
      <c r="T241" s="93">
        <v>305</v>
      </c>
      <c r="U241" s="93">
        <v>305</v>
      </c>
      <c r="V241" s="93">
        <v>300</v>
      </c>
      <c r="W241" s="84">
        <v>2</v>
      </c>
      <c r="X241" s="85" t="s">
        <v>2009</v>
      </c>
      <c r="Y241" s="86" t="s">
        <v>295</v>
      </c>
      <c r="Z241" s="87">
        <v>6</v>
      </c>
      <c r="AA241" s="88" t="s">
        <v>24</v>
      </c>
      <c r="AB241" s="89">
        <v>1450</v>
      </c>
      <c r="AC241" s="86">
        <v>3</v>
      </c>
      <c r="AD241" s="88" t="s">
        <v>39</v>
      </c>
      <c r="AE241" s="89">
        <v>315</v>
      </c>
      <c r="AF241" s="86"/>
      <c r="AG241" s="88"/>
      <c r="AH241" s="89"/>
      <c r="AI241" s="86"/>
      <c r="AJ241" s="88"/>
      <c r="AK241" s="89"/>
      <c r="AL241" s="90"/>
      <c r="AM241" s="91"/>
      <c r="AN241" s="206"/>
      <c r="AO241" s="243" t="str">
        <f t="shared" si="11"/>
        <v>3UNCERAMFA0138</v>
      </c>
    </row>
    <row r="242" spans="1:41" ht="15" customHeight="1" x14ac:dyDescent="0.15">
      <c r="A242" s="83">
        <v>4114</v>
      </c>
      <c r="B242" s="92">
        <v>276</v>
      </c>
      <c r="C242" s="92"/>
      <c r="D242" s="92" t="s">
        <v>2070</v>
      </c>
      <c r="E242" s="92" t="s">
        <v>58</v>
      </c>
      <c r="F242" s="92" t="s">
        <v>210</v>
      </c>
      <c r="G242" s="92" t="str">
        <f t="shared" si="8"/>
        <v>3UYCERAMFA01</v>
      </c>
      <c r="H242" s="92" t="s">
        <v>1657</v>
      </c>
      <c r="I242" s="92" t="s">
        <v>2031</v>
      </c>
      <c r="J242" s="92" t="s">
        <v>1552</v>
      </c>
      <c r="K242" s="92" t="s">
        <v>2068</v>
      </c>
      <c r="L242" s="92" t="s">
        <v>2069</v>
      </c>
      <c r="M242" s="92" t="str">
        <f t="shared" si="9"/>
        <v>3UYCERAMFA01381100</v>
      </c>
      <c r="N242" s="92" t="str">
        <f t="shared" si="10"/>
        <v>3UYCERAMFA0138115</v>
      </c>
      <c r="O242" s="93">
        <v>38</v>
      </c>
      <c r="P242" s="92">
        <v>3</v>
      </c>
      <c r="Q242" s="92" t="s">
        <v>1004</v>
      </c>
      <c r="R242" s="93">
        <v>1100</v>
      </c>
      <c r="S242" s="93">
        <v>7650</v>
      </c>
      <c r="T242" s="93">
        <v>115</v>
      </c>
      <c r="U242" s="93">
        <v>115</v>
      </c>
      <c r="V242" s="93">
        <v>300</v>
      </c>
      <c r="W242" s="84">
        <v>1</v>
      </c>
      <c r="X242" s="85" t="s">
        <v>2009</v>
      </c>
      <c r="Y242" s="86" t="s">
        <v>295</v>
      </c>
      <c r="Z242" s="87">
        <v>6</v>
      </c>
      <c r="AA242" s="88" t="s">
        <v>24</v>
      </c>
      <c r="AB242" s="89">
        <v>1450</v>
      </c>
      <c r="AC242" s="86">
        <v>3</v>
      </c>
      <c r="AD242" s="88" t="s">
        <v>39</v>
      </c>
      <c r="AE242" s="89">
        <v>125</v>
      </c>
      <c r="AF242" s="86"/>
      <c r="AG242" s="88"/>
      <c r="AH242" s="89"/>
      <c r="AI242" s="86"/>
      <c r="AJ242" s="88"/>
      <c r="AK242" s="89"/>
      <c r="AL242" s="90"/>
      <c r="AM242" s="91"/>
      <c r="AN242" s="206"/>
      <c r="AO242" s="243" t="str">
        <f t="shared" si="11"/>
        <v>3UYCERAMFA0138</v>
      </c>
    </row>
    <row r="243" spans="1:41" ht="15" customHeight="1" x14ac:dyDescent="0.15">
      <c r="A243" s="83">
        <v>4114</v>
      </c>
      <c r="B243" s="92">
        <v>276</v>
      </c>
      <c r="C243" s="92"/>
      <c r="D243" s="92" t="s">
        <v>2071</v>
      </c>
      <c r="E243" s="92" t="s">
        <v>58</v>
      </c>
      <c r="F243" s="92" t="s">
        <v>210</v>
      </c>
      <c r="G243" s="92" t="str">
        <f t="shared" si="8"/>
        <v>3UYCERAMFA01</v>
      </c>
      <c r="H243" s="92" t="s">
        <v>1657</v>
      </c>
      <c r="I243" s="92" t="s">
        <v>2031</v>
      </c>
      <c r="J243" s="92" t="s">
        <v>1552</v>
      </c>
      <c r="K243" s="92" t="s">
        <v>2068</v>
      </c>
      <c r="L243" s="92" t="s">
        <v>2069</v>
      </c>
      <c r="M243" s="92" t="str">
        <f t="shared" si="9"/>
        <v>3UYCERAMFA01381100</v>
      </c>
      <c r="N243" s="92" t="str">
        <f t="shared" si="10"/>
        <v>3UYCERAMFA0138220</v>
      </c>
      <c r="O243" s="93">
        <v>38</v>
      </c>
      <c r="P243" s="92">
        <v>3</v>
      </c>
      <c r="Q243" s="92" t="s">
        <v>1004</v>
      </c>
      <c r="R243" s="93">
        <v>1100</v>
      </c>
      <c r="S243" s="93">
        <v>7650</v>
      </c>
      <c r="T243" s="93">
        <v>220</v>
      </c>
      <c r="U243" s="93">
        <v>220</v>
      </c>
      <c r="V243" s="93">
        <v>300</v>
      </c>
      <c r="W243" s="84">
        <v>1</v>
      </c>
      <c r="X243" s="85" t="s">
        <v>2009</v>
      </c>
      <c r="Y243" s="86" t="s">
        <v>295</v>
      </c>
      <c r="Z243" s="87">
        <v>6</v>
      </c>
      <c r="AA243" s="88" t="s">
        <v>24</v>
      </c>
      <c r="AB243" s="89">
        <v>1450</v>
      </c>
      <c r="AC243" s="86">
        <v>3</v>
      </c>
      <c r="AD243" s="88" t="s">
        <v>39</v>
      </c>
      <c r="AE243" s="89">
        <v>224</v>
      </c>
      <c r="AF243" s="86"/>
      <c r="AG243" s="88"/>
      <c r="AH243" s="89"/>
      <c r="AI243" s="86"/>
      <c r="AJ243" s="88"/>
      <c r="AK243" s="89"/>
      <c r="AL243" s="90"/>
      <c r="AM243" s="91"/>
      <c r="AN243" s="206"/>
      <c r="AO243" s="243" t="str">
        <f t="shared" si="11"/>
        <v>3UYCERAMFA0138</v>
      </c>
    </row>
    <row r="244" spans="1:41" ht="15" customHeight="1" x14ac:dyDescent="0.15">
      <c r="A244" s="83">
        <v>4114</v>
      </c>
      <c r="B244" s="92">
        <v>276</v>
      </c>
      <c r="C244" s="96"/>
      <c r="D244" s="92"/>
      <c r="E244" s="92" t="s">
        <v>58</v>
      </c>
      <c r="F244" s="92"/>
      <c r="G244" s="92" t="str">
        <f t="shared" si="8"/>
        <v>3UNCERAMFA45</v>
      </c>
      <c r="H244" s="92" t="s">
        <v>1657</v>
      </c>
      <c r="I244" s="92" t="s">
        <v>1550</v>
      </c>
      <c r="J244" s="92" t="s">
        <v>1552</v>
      </c>
      <c r="K244" s="92" t="s">
        <v>2072</v>
      </c>
      <c r="L244" s="92" t="s">
        <v>2073</v>
      </c>
      <c r="M244" s="92" t="str">
        <f t="shared" si="9"/>
        <v>3UNCERAMFA45501640</v>
      </c>
      <c r="N244" s="92" t="str">
        <f t="shared" si="10"/>
        <v>3UNCERAMFA4550250</v>
      </c>
      <c r="O244" s="93">
        <v>50</v>
      </c>
      <c r="P244" s="92">
        <v>3</v>
      </c>
      <c r="Q244" s="92" t="s">
        <v>484</v>
      </c>
      <c r="R244" s="93">
        <v>1640</v>
      </c>
      <c r="S244" s="93">
        <v>2200</v>
      </c>
      <c r="T244" s="93">
        <v>250</v>
      </c>
      <c r="U244" s="93">
        <v>250</v>
      </c>
      <c r="V244" s="93">
        <v>1000</v>
      </c>
      <c r="W244" s="84">
        <v>2</v>
      </c>
      <c r="X244" s="85" t="s">
        <v>2009</v>
      </c>
      <c r="Y244" s="86" t="s">
        <v>2010</v>
      </c>
      <c r="Z244" s="87">
        <v>6</v>
      </c>
      <c r="AA244" s="88" t="s">
        <v>24</v>
      </c>
      <c r="AB244" s="95">
        <v>1700</v>
      </c>
      <c r="AC244" s="142"/>
      <c r="AD244" s="129"/>
      <c r="AE244" s="95"/>
      <c r="AF244" s="86"/>
      <c r="AG244" s="88"/>
      <c r="AH244" s="89"/>
      <c r="AI244" s="86"/>
      <c r="AJ244" s="88"/>
      <c r="AK244" s="89"/>
      <c r="AL244" s="90"/>
      <c r="AM244" s="91"/>
      <c r="AN244" s="206"/>
      <c r="AO244" s="243" t="str">
        <f t="shared" si="11"/>
        <v>3UNCERAMFA4550</v>
      </c>
    </row>
    <row r="245" spans="1:41" ht="15" customHeight="1" x14ac:dyDescent="0.15">
      <c r="A245" s="83">
        <v>4114</v>
      </c>
      <c r="B245" s="92">
        <v>276</v>
      </c>
      <c r="C245" s="96"/>
      <c r="D245" s="92" t="s">
        <v>2070</v>
      </c>
      <c r="E245" s="92" t="s">
        <v>58</v>
      </c>
      <c r="F245" s="92" t="s">
        <v>210</v>
      </c>
      <c r="G245" s="92" t="str">
        <f t="shared" si="8"/>
        <v>3UYCERAMFA45</v>
      </c>
      <c r="H245" s="92" t="s">
        <v>1657</v>
      </c>
      <c r="I245" s="92" t="s">
        <v>2031</v>
      </c>
      <c r="J245" s="92" t="s">
        <v>1552</v>
      </c>
      <c r="K245" s="92" t="s">
        <v>2072</v>
      </c>
      <c r="L245" s="92" t="s">
        <v>2073</v>
      </c>
      <c r="M245" s="92" t="str">
        <f t="shared" si="9"/>
        <v>3UYCERAMFA45501640</v>
      </c>
      <c r="N245" s="92" t="str">
        <f t="shared" si="10"/>
        <v>3UYCERAMFA4550115</v>
      </c>
      <c r="O245" s="93">
        <v>50</v>
      </c>
      <c r="P245" s="92">
        <v>3</v>
      </c>
      <c r="Q245" s="92" t="s">
        <v>484</v>
      </c>
      <c r="R245" s="93">
        <v>1640</v>
      </c>
      <c r="S245" s="93">
        <v>2200</v>
      </c>
      <c r="T245" s="93">
        <v>115</v>
      </c>
      <c r="U245" s="93">
        <v>115</v>
      </c>
      <c r="V245" s="93">
        <v>300</v>
      </c>
      <c r="W245" s="84">
        <v>1</v>
      </c>
      <c r="X245" s="85" t="s">
        <v>2009</v>
      </c>
      <c r="Y245" s="86" t="s">
        <v>2010</v>
      </c>
      <c r="Z245" s="87">
        <v>6</v>
      </c>
      <c r="AA245" s="88" t="s">
        <v>24</v>
      </c>
      <c r="AB245" s="89">
        <v>1700</v>
      </c>
      <c r="AC245" s="86">
        <v>3</v>
      </c>
      <c r="AD245" s="88" t="s">
        <v>459</v>
      </c>
      <c r="AE245" s="89">
        <v>125</v>
      </c>
      <c r="AF245" s="86"/>
      <c r="AG245" s="88"/>
      <c r="AH245" s="89"/>
      <c r="AI245" s="86"/>
      <c r="AJ245" s="88"/>
      <c r="AK245" s="89"/>
      <c r="AL245" s="90"/>
      <c r="AM245" s="91"/>
      <c r="AN245" s="206"/>
      <c r="AO245" s="243" t="str">
        <f t="shared" si="11"/>
        <v>3UYCERAMFA4550</v>
      </c>
    </row>
    <row r="246" spans="1:41" ht="15" customHeight="1" x14ac:dyDescent="0.15">
      <c r="A246" s="83">
        <v>4114</v>
      </c>
      <c r="B246" s="92">
        <v>276</v>
      </c>
      <c r="C246" s="92">
        <v>2380</v>
      </c>
      <c r="D246" s="92" t="s">
        <v>93</v>
      </c>
      <c r="E246" s="92" t="s">
        <v>58</v>
      </c>
      <c r="F246" s="92" t="s">
        <v>12</v>
      </c>
      <c r="G246" s="92" t="str">
        <f t="shared" si="8"/>
        <v>3UNCERAMFA46</v>
      </c>
      <c r="H246" s="92" t="s">
        <v>1657</v>
      </c>
      <c r="I246" s="92" t="s">
        <v>1550</v>
      </c>
      <c r="J246" s="92" t="s">
        <v>1552</v>
      </c>
      <c r="K246" s="92" t="s">
        <v>2074</v>
      </c>
      <c r="L246" s="92" t="s">
        <v>2075</v>
      </c>
      <c r="M246" s="92" t="str">
        <f t="shared" si="9"/>
        <v>3UNCERAMFA46501450</v>
      </c>
      <c r="N246" s="92" t="str">
        <f t="shared" si="10"/>
        <v>3UNCERAMFA4650490</v>
      </c>
      <c r="O246" s="93">
        <v>50</v>
      </c>
      <c r="P246" s="92">
        <v>3</v>
      </c>
      <c r="Q246" s="92" t="s">
        <v>558</v>
      </c>
      <c r="R246" s="93">
        <v>1450</v>
      </c>
      <c r="S246" s="93">
        <v>5000</v>
      </c>
      <c r="T246" s="93">
        <v>490</v>
      </c>
      <c r="U246" s="93">
        <v>490</v>
      </c>
      <c r="V246" s="93">
        <v>1000</v>
      </c>
      <c r="W246" s="84">
        <v>2</v>
      </c>
      <c r="X246" s="85" t="s">
        <v>2009</v>
      </c>
      <c r="Y246" s="86" t="s">
        <v>2010</v>
      </c>
      <c r="Z246" s="87">
        <v>6</v>
      </c>
      <c r="AA246" s="88"/>
      <c r="AB246" s="95"/>
      <c r="AC246" s="142"/>
      <c r="AD246" s="129"/>
      <c r="AE246" s="95"/>
      <c r="AF246" s="86"/>
      <c r="AG246" s="88"/>
      <c r="AH246" s="89"/>
      <c r="AI246" s="86"/>
      <c r="AJ246" s="88"/>
      <c r="AK246" s="89"/>
      <c r="AL246" s="90"/>
      <c r="AM246" s="91"/>
      <c r="AN246" s="206"/>
      <c r="AO246" s="243" t="str">
        <f t="shared" si="11"/>
        <v>3UNCERAMFA4650</v>
      </c>
    </row>
    <row r="247" spans="1:41" ht="15" customHeight="1" x14ac:dyDescent="0.15">
      <c r="A247" s="83">
        <v>4114</v>
      </c>
      <c r="B247" s="92">
        <v>272</v>
      </c>
      <c r="C247" s="109">
        <v>36882</v>
      </c>
      <c r="D247" s="109" t="s">
        <v>61</v>
      </c>
      <c r="E247" s="109" t="s">
        <v>45</v>
      </c>
      <c r="F247" s="109" t="s">
        <v>26</v>
      </c>
      <c r="G247" s="92" t="str">
        <f t="shared" si="8"/>
        <v>3UNCERAMFA09</v>
      </c>
      <c r="H247" s="92" t="s">
        <v>1657</v>
      </c>
      <c r="I247" s="92" t="s">
        <v>1550</v>
      </c>
      <c r="J247" s="92" t="s">
        <v>1552</v>
      </c>
      <c r="K247" s="92" t="s">
        <v>2076</v>
      </c>
      <c r="L247" s="92" t="s">
        <v>2077</v>
      </c>
      <c r="M247" s="92" t="str">
        <f t="shared" si="9"/>
        <v>3UNCERAMFA09751200</v>
      </c>
      <c r="N247" s="92" t="str">
        <f t="shared" si="10"/>
        <v>3UNCERAMFA09751190</v>
      </c>
      <c r="O247" s="93">
        <v>75</v>
      </c>
      <c r="P247" s="92">
        <v>3</v>
      </c>
      <c r="Q247" s="92" t="s">
        <v>486</v>
      </c>
      <c r="R247" s="93">
        <v>1200</v>
      </c>
      <c r="S247" s="93">
        <v>4500</v>
      </c>
      <c r="T247" s="93">
        <v>1190</v>
      </c>
      <c r="U247" s="93">
        <v>1190</v>
      </c>
      <c r="V247" s="93">
        <v>4000</v>
      </c>
      <c r="W247" s="84">
        <v>2</v>
      </c>
      <c r="X247" s="85" t="s">
        <v>2009</v>
      </c>
      <c r="Y247" s="86" t="s">
        <v>487</v>
      </c>
      <c r="Z247" s="87">
        <v>6</v>
      </c>
      <c r="AA247" s="88" t="s">
        <v>24</v>
      </c>
      <c r="AB247" s="95"/>
      <c r="AC247" s="142"/>
      <c r="AD247" s="129"/>
      <c r="AE247" s="95"/>
      <c r="AF247" s="86"/>
      <c r="AG247" s="88"/>
      <c r="AH247" s="89"/>
      <c r="AI247" s="86"/>
      <c r="AJ247" s="88"/>
      <c r="AK247" s="89"/>
      <c r="AL247" s="90"/>
      <c r="AM247" s="91"/>
      <c r="AN247" s="206"/>
      <c r="AO247" s="243" t="str">
        <f t="shared" si="11"/>
        <v>3UNCERAMFA0975</v>
      </c>
    </row>
    <row r="248" spans="1:41" ht="15" customHeight="1" x14ac:dyDescent="0.15">
      <c r="A248" s="83">
        <v>4114</v>
      </c>
      <c r="B248" s="92">
        <v>272</v>
      </c>
      <c r="C248" s="109">
        <v>3055</v>
      </c>
      <c r="D248" s="109" t="s">
        <v>2078</v>
      </c>
      <c r="E248" s="109" t="s">
        <v>45</v>
      </c>
      <c r="F248" s="109" t="s">
        <v>26</v>
      </c>
      <c r="G248" s="92" t="str">
        <f t="shared" si="8"/>
        <v>3UNCERAMFA14</v>
      </c>
      <c r="H248" s="92" t="s">
        <v>1657</v>
      </c>
      <c r="I248" s="92" t="s">
        <v>1550</v>
      </c>
      <c r="J248" s="92" t="s">
        <v>1552</v>
      </c>
      <c r="K248" s="92" t="s">
        <v>2079</v>
      </c>
      <c r="L248" s="92" t="s">
        <v>2080</v>
      </c>
      <c r="M248" s="92" t="str">
        <f t="shared" si="9"/>
        <v>3UNCERAMFA14381415</v>
      </c>
      <c r="N248" s="92" t="str">
        <f t="shared" si="10"/>
        <v>3UNCERAMFA14381020</v>
      </c>
      <c r="O248" s="93">
        <v>38</v>
      </c>
      <c r="P248" s="92">
        <v>3</v>
      </c>
      <c r="Q248" s="92" t="s">
        <v>1991</v>
      </c>
      <c r="R248" s="93">
        <v>1415</v>
      </c>
      <c r="S248" s="93">
        <v>8000</v>
      </c>
      <c r="T248" s="93">
        <v>1020</v>
      </c>
      <c r="U248" s="93">
        <v>1020</v>
      </c>
      <c r="V248" s="93">
        <v>4100</v>
      </c>
      <c r="W248" s="84">
        <v>2</v>
      </c>
      <c r="X248" s="85" t="s">
        <v>2009</v>
      </c>
      <c r="Y248" s="86" t="s">
        <v>295</v>
      </c>
      <c r="Z248" s="87">
        <v>6</v>
      </c>
      <c r="AA248" s="88" t="s">
        <v>24</v>
      </c>
      <c r="AB248" s="89">
        <v>1450</v>
      </c>
      <c r="AC248" s="86">
        <v>6</v>
      </c>
      <c r="AD248" s="88" t="s">
        <v>266</v>
      </c>
      <c r="AE248" s="89">
        <v>1100</v>
      </c>
      <c r="AF248" s="86"/>
      <c r="AG248" s="88"/>
      <c r="AH248" s="89"/>
      <c r="AI248" s="86"/>
      <c r="AJ248" s="88"/>
      <c r="AK248" s="89"/>
      <c r="AL248" s="90"/>
      <c r="AM248" s="91"/>
      <c r="AN248" s="206"/>
      <c r="AO248" s="243" t="str">
        <f t="shared" si="11"/>
        <v>3UNCERAMFA1438</v>
      </c>
    </row>
    <row r="249" spans="1:41" ht="15" customHeight="1" x14ac:dyDescent="0.15">
      <c r="A249" s="83">
        <v>4114</v>
      </c>
      <c r="B249" s="92">
        <v>272</v>
      </c>
      <c r="C249" s="109">
        <v>3055</v>
      </c>
      <c r="D249" s="109" t="s">
        <v>2081</v>
      </c>
      <c r="E249" s="109" t="s">
        <v>45</v>
      </c>
      <c r="F249" s="109" t="s">
        <v>26</v>
      </c>
      <c r="G249" s="92" t="str">
        <f t="shared" si="8"/>
        <v>3UNCERAMFA14</v>
      </c>
      <c r="H249" s="92" t="s">
        <v>1657</v>
      </c>
      <c r="I249" s="92" t="s">
        <v>1550</v>
      </c>
      <c r="J249" s="92" t="s">
        <v>1552</v>
      </c>
      <c r="K249" s="92" t="s">
        <v>2079</v>
      </c>
      <c r="L249" s="92" t="s">
        <v>2080</v>
      </c>
      <c r="M249" s="92" t="str">
        <f t="shared" si="9"/>
        <v>3UNCERAMFA14751310</v>
      </c>
      <c r="N249" s="92" t="str">
        <f t="shared" si="10"/>
        <v>3UNCERAMFA14751130</v>
      </c>
      <c r="O249" s="93">
        <v>75</v>
      </c>
      <c r="P249" s="92">
        <v>3</v>
      </c>
      <c r="Q249" s="92" t="s">
        <v>1991</v>
      </c>
      <c r="R249" s="93">
        <v>1310</v>
      </c>
      <c r="S249" s="93">
        <v>4500</v>
      </c>
      <c r="T249" s="93">
        <v>1130</v>
      </c>
      <c r="U249" s="93">
        <v>1130</v>
      </c>
      <c r="V249" s="93">
        <v>4300</v>
      </c>
      <c r="W249" s="84">
        <v>2</v>
      </c>
      <c r="X249" s="85" t="s">
        <v>2009</v>
      </c>
      <c r="Y249" s="86" t="s">
        <v>295</v>
      </c>
      <c r="Z249" s="87">
        <v>6</v>
      </c>
      <c r="AA249" s="88" t="s">
        <v>24</v>
      </c>
      <c r="AB249" s="89">
        <v>1450</v>
      </c>
      <c r="AC249" s="86">
        <v>6</v>
      </c>
      <c r="AD249" s="88" t="s">
        <v>16</v>
      </c>
      <c r="AE249" s="89">
        <v>1350</v>
      </c>
      <c r="AF249" s="86"/>
      <c r="AG249" s="88"/>
      <c r="AH249" s="89"/>
      <c r="AI249" s="86"/>
      <c r="AJ249" s="88"/>
      <c r="AK249" s="89"/>
      <c r="AL249" s="90"/>
      <c r="AM249" s="91"/>
      <c r="AN249" s="206"/>
      <c r="AO249" s="243" t="str">
        <f t="shared" si="11"/>
        <v>3UNCERAMFA1475</v>
      </c>
    </row>
    <row r="250" spans="1:41" ht="15" customHeight="1" x14ac:dyDescent="0.15">
      <c r="A250" s="83">
        <v>4114</v>
      </c>
      <c r="B250" s="92">
        <v>274</v>
      </c>
      <c r="C250" s="109">
        <v>36888</v>
      </c>
      <c r="D250" s="109" t="s">
        <v>560</v>
      </c>
      <c r="E250" s="109" t="s">
        <v>66</v>
      </c>
      <c r="F250" s="109"/>
      <c r="G250" s="92" t="str">
        <f t="shared" si="8"/>
        <v>3UNCERAJMFAJ</v>
      </c>
      <c r="H250" s="92" t="s">
        <v>1657</v>
      </c>
      <c r="I250" s="92" t="s">
        <v>1550</v>
      </c>
      <c r="J250" s="92" t="s">
        <v>1552</v>
      </c>
      <c r="K250" s="92" t="s">
        <v>2082</v>
      </c>
      <c r="L250" s="92" t="s">
        <v>2083</v>
      </c>
      <c r="M250" s="92" t="str">
        <f t="shared" si="9"/>
        <v>3UNCERAJMFAJ381340</v>
      </c>
      <c r="N250" s="92" t="str">
        <f t="shared" si="10"/>
        <v>3UNCERAJMFAJ38400</v>
      </c>
      <c r="O250" s="93">
        <v>38</v>
      </c>
      <c r="P250" s="92">
        <v>3</v>
      </c>
      <c r="Q250" s="92" t="s">
        <v>559</v>
      </c>
      <c r="R250" s="93">
        <v>1340</v>
      </c>
      <c r="S250" s="93">
        <v>3900</v>
      </c>
      <c r="T250" s="93">
        <v>400</v>
      </c>
      <c r="U250" s="93">
        <v>400</v>
      </c>
      <c r="V250" s="93">
        <v>500</v>
      </c>
      <c r="W250" s="84">
        <v>2</v>
      </c>
      <c r="X250" s="85" t="s">
        <v>2009</v>
      </c>
      <c r="Y250" s="86" t="s">
        <v>295</v>
      </c>
      <c r="Z250" s="87">
        <v>6</v>
      </c>
      <c r="AA250" s="88" t="s">
        <v>24</v>
      </c>
      <c r="AB250" s="89">
        <v>1450</v>
      </c>
      <c r="AC250" s="86">
        <v>3</v>
      </c>
      <c r="AD250" s="88" t="s">
        <v>39</v>
      </c>
      <c r="AE250" s="89">
        <v>500</v>
      </c>
      <c r="AF250" s="86"/>
      <c r="AG250" s="88"/>
      <c r="AH250" s="89"/>
      <c r="AI250" s="86"/>
      <c r="AJ250" s="88"/>
      <c r="AK250" s="89"/>
      <c r="AL250" s="90"/>
      <c r="AM250" s="91"/>
      <c r="AN250" s="206"/>
      <c r="AO250" s="243" t="str">
        <f t="shared" si="11"/>
        <v>3UNCERAJMFAJ38</v>
      </c>
    </row>
    <row r="251" spans="1:41" ht="15" customHeight="1" x14ac:dyDescent="0.15">
      <c r="A251" s="83">
        <v>4114</v>
      </c>
      <c r="B251" s="92">
        <v>274</v>
      </c>
      <c r="C251" s="109">
        <v>36888</v>
      </c>
      <c r="D251" s="109" t="s">
        <v>560</v>
      </c>
      <c r="E251" s="109" t="s">
        <v>66</v>
      </c>
      <c r="F251" s="109" t="s">
        <v>210</v>
      </c>
      <c r="G251" s="92" t="str">
        <f t="shared" si="8"/>
        <v>3UNCERAJMFAJ</v>
      </c>
      <c r="H251" s="92" t="s">
        <v>1657</v>
      </c>
      <c r="I251" s="92" t="s">
        <v>1550</v>
      </c>
      <c r="J251" s="92" t="s">
        <v>1552</v>
      </c>
      <c r="K251" s="92" t="s">
        <v>2082</v>
      </c>
      <c r="L251" s="92" t="s">
        <v>2083</v>
      </c>
      <c r="M251" s="92" t="str">
        <f t="shared" si="9"/>
        <v>3UNCERAJMFAJ381340</v>
      </c>
      <c r="N251" s="92" t="str">
        <f t="shared" si="10"/>
        <v>3UNCERAJMFAJ38400</v>
      </c>
      <c r="O251" s="93">
        <v>38</v>
      </c>
      <c r="P251" s="92">
        <v>3</v>
      </c>
      <c r="Q251" s="92" t="s">
        <v>559</v>
      </c>
      <c r="R251" s="93">
        <v>1340</v>
      </c>
      <c r="S251" s="93">
        <v>12100</v>
      </c>
      <c r="T251" s="93">
        <v>400</v>
      </c>
      <c r="U251" s="93">
        <v>400</v>
      </c>
      <c r="V251" s="93">
        <v>500</v>
      </c>
      <c r="W251" s="84">
        <v>1</v>
      </c>
      <c r="X251" s="85" t="s">
        <v>2009</v>
      </c>
      <c r="Y251" s="86" t="s">
        <v>295</v>
      </c>
      <c r="Z251" s="87">
        <v>6</v>
      </c>
      <c r="AA251" s="88" t="s">
        <v>24</v>
      </c>
      <c r="AB251" s="89">
        <v>1450</v>
      </c>
      <c r="AC251" s="86">
        <v>3</v>
      </c>
      <c r="AD251" s="88" t="s">
        <v>39</v>
      </c>
      <c r="AE251" s="89">
        <v>450</v>
      </c>
      <c r="AF251" s="86"/>
      <c r="AG251" s="88"/>
      <c r="AH251" s="89"/>
      <c r="AI251" s="86"/>
      <c r="AJ251" s="88"/>
      <c r="AK251" s="89"/>
      <c r="AL251" s="90"/>
      <c r="AM251" s="91"/>
      <c r="AN251" s="206"/>
      <c r="AO251" s="243" t="str">
        <f t="shared" si="11"/>
        <v>3UNCERAJMFAJ38</v>
      </c>
    </row>
    <row r="252" spans="1:41" ht="15" customHeight="1" x14ac:dyDescent="0.15">
      <c r="A252" s="83">
        <v>4114</v>
      </c>
      <c r="B252" s="92">
        <v>274</v>
      </c>
      <c r="C252" s="109">
        <v>36888</v>
      </c>
      <c r="D252" s="109" t="s">
        <v>560</v>
      </c>
      <c r="E252" s="109" t="s">
        <v>66</v>
      </c>
      <c r="F252" s="109"/>
      <c r="G252" s="92" t="str">
        <f t="shared" si="8"/>
        <v>3UNCERAJTKA07J</v>
      </c>
      <c r="H252" s="92" t="s">
        <v>1657</v>
      </c>
      <c r="I252" s="92" t="s">
        <v>1550</v>
      </c>
      <c r="J252" s="92" t="s">
        <v>1552</v>
      </c>
      <c r="K252" s="92" t="s">
        <v>2084</v>
      </c>
      <c r="L252" s="92" t="s">
        <v>2085</v>
      </c>
      <c r="M252" s="92" t="str">
        <f t="shared" si="9"/>
        <v>3UNCERAJTKA07J381340</v>
      </c>
      <c r="N252" s="92" t="str">
        <f t="shared" si="10"/>
        <v>3UNCERAJTKA07J38400</v>
      </c>
      <c r="O252" s="93">
        <v>38</v>
      </c>
      <c r="P252" s="92">
        <v>3</v>
      </c>
      <c r="Q252" s="92" t="s">
        <v>559</v>
      </c>
      <c r="R252" s="93">
        <v>1340</v>
      </c>
      <c r="S252" s="93">
        <v>3900</v>
      </c>
      <c r="T252" s="93">
        <v>400</v>
      </c>
      <c r="U252" s="93">
        <v>400</v>
      </c>
      <c r="V252" s="93">
        <v>500</v>
      </c>
      <c r="W252" s="84">
        <v>2</v>
      </c>
      <c r="X252" s="85" t="s">
        <v>2009</v>
      </c>
      <c r="Y252" s="86" t="s">
        <v>295</v>
      </c>
      <c r="Z252" s="87">
        <v>6</v>
      </c>
      <c r="AA252" s="88" t="s">
        <v>24</v>
      </c>
      <c r="AB252" s="89">
        <v>1450</v>
      </c>
      <c r="AC252" s="86">
        <v>3</v>
      </c>
      <c r="AD252" s="88" t="s">
        <v>39</v>
      </c>
      <c r="AE252" s="89">
        <v>500</v>
      </c>
      <c r="AF252" s="86"/>
      <c r="AG252" s="88"/>
      <c r="AH252" s="89"/>
      <c r="AI252" s="86"/>
      <c r="AJ252" s="88"/>
      <c r="AK252" s="89"/>
      <c r="AL252" s="90"/>
      <c r="AM252" s="91"/>
      <c r="AN252" s="206"/>
      <c r="AO252" s="243" t="str">
        <f t="shared" si="11"/>
        <v>3UNCERAJTKA07J38</v>
      </c>
    </row>
    <row r="253" spans="1:41" ht="15" customHeight="1" x14ac:dyDescent="0.15">
      <c r="A253" s="83">
        <v>4114</v>
      </c>
      <c r="B253" s="92">
        <v>274</v>
      </c>
      <c r="C253" s="109">
        <v>36888</v>
      </c>
      <c r="D253" s="109" t="s">
        <v>560</v>
      </c>
      <c r="E253" s="109" t="s">
        <v>66</v>
      </c>
      <c r="F253" s="109"/>
      <c r="G253" s="92" t="str">
        <f t="shared" ref="G253:G316" si="12">CONCATENATE(P253,H253,I253,J253,K253)</f>
        <v>3UNCERAJTKA07H</v>
      </c>
      <c r="H253" s="92" t="s">
        <v>1657</v>
      </c>
      <c r="I253" s="92" t="s">
        <v>1550</v>
      </c>
      <c r="J253" s="92" t="s">
        <v>1552</v>
      </c>
      <c r="K253" s="92" t="s">
        <v>2086</v>
      </c>
      <c r="L253" s="92" t="s">
        <v>2087</v>
      </c>
      <c r="M253" s="92" t="str">
        <f t="shared" ref="M253:M316" si="13">G253&amp;O253&amp;R253</f>
        <v>3UNCERAJTKA07H381326</v>
      </c>
      <c r="N253" s="92" t="str">
        <f t="shared" ref="N253:N316" si="14">G253&amp;O253&amp;U253</f>
        <v>3UNCERAJTKA07H38400</v>
      </c>
      <c r="O253" s="93">
        <v>38</v>
      </c>
      <c r="P253" s="92">
        <v>3</v>
      </c>
      <c r="Q253" s="92" t="s">
        <v>1188</v>
      </c>
      <c r="R253" s="93">
        <v>1326</v>
      </c>
      <c r="S253" s="93">
        <v>12200</v>
      </c>
      <c r="T253" s="93">
        <v>400</v>
      </c>
      <c r="U253" s="93">
        <v>400</v>
      </c>
      <c r="V253" s="93">
        <v>500</v>
      </c>
      <c r="W253" s="84">
        <v>2</v>
      </c>
      <c r="X253" s="85" t="s">
        <v>2009</v>
      </c>
      <c r="Y253" s="86" t="s">
        <v>295</v>
      </c>
      <c r="Z253" s="87">
        <v>6</v>
      </c>
      <c r="AA253" s="88" t="s">
        <v>24</v>
      </c>
      <c r="AB253" s="89">
        <v>1450</v>
      </c>
      <c r="AC253" s="86">
        <v>3</v>
      </c>
      <c r="AD253" s="88" t="s">
        <v>39</v>
      </c>
      <c r="AE253" s="89">
        <v>450</v>
      </c>
      <c r="AF253" s="86"/>
      <c r="AG253" s="88"/>
      <c r="AH253" s="89"/>
      <c r="AI253" s="86"/>
      <c r="AJ253" s="88"/>
      <c r="AK253" s="89"/>
      <c r="AL253" s="90"/>
      <c r="AM253" s="91"/>
      <c r="AN253" s="206"/>
      <c r="AO253" s="243" t="str">
        <f t="shared" si="11"/>
        <v>3UNCERAJTKA07H38</v>
      </c>
    </row>
    <row r="254" spans="1:41" ht="15" customHeight="1" x14ac:dyDescent="0.15">
      <c r="A254" s="83">
        <v>4114</v>
      </c>
      <c r="B254" s="92">
        <v>271</v>
      </c>
      <c r="C254" s="92">
        <v>3918</v>
      </c>
      <c r="D254" s="92" t="s">
        <v>2045</v>
      </c>
      <c r="E254" s="92" t="s">
        <v>11</v>
      </c>
      <c r="F254" s="92" t="s">
        <v>184</v>
      </c>
      <c r="G254" s="92" t="str">
        <f t="shared" si="12"/>
        <v>3UNCERAWZ34</v>
      </c>
      <c r="H254" s="92" t="s">
        <v>269</v>
      </c>
      <c r="I254" s="92" t="s">
        <v>1550</v>
      </c>
      <c r="J254" s="92" t="s">
        <v>21</v>
      </c>
      <c r="K254" s="92" t="s">
        <v>1569</v>
      </c>
      <c r="L254" s="92" t="s">
        <v>2046</v>
      </c>
      <c r="M254" s="92" t="str">
        <f t="shared" si="13"/>
        <v>3UNCERAWZ3425E1420</v>
      </c>
      <c r="N254" s="92" t="str">
        <f t="shared" si="14"/>
        <v>3UNCERAWZ3425E1410</v>
      </c>
      <c r="O254" s="93" t="s">
        <v>1995</v>
      </c>
      <c r="P254" s="92">
        <v>3</v>
      </c>
      <c r="Q254" s="92" t="s">
        <v>1996</v>
      </c>
      <c r="R254" s="93">
        <v>1420</v>
      </c>
      <c r="S254" s="93">
        <v>12700</v>
      </c>
      <c r="T254" s="93">
        <v>1410</v>
      </c>
      <c r="U254" s="93">
        <v>1410</v>
      </c>
      <c r="V254" s="93">
        <v>6000</v>
      </c>
      <c r="W254" s="84">
        <v>1</v>
      </c>
      <c r="X254" s="85" t="s">
        <v>14</v>
      </c>
      <c r="Y254" s="86" t="s">
        <v>27</v>
      </c>
      <c r="Z254" s="87">
        <v>6</v>
      </c>
      <c r="AA254" s="88" t="s">
        <v>24</v>
      </c>
      <c r="AB254" s="89">
        <v>1600</v>
      </c>
      <c r="AC254" s="86"/>
      <c r="AD254" s="88"/>
      <c r="AE254" s="89"/>
      <c r="AF254" s="86"/>
      <c r="AG254" s="88"/>
      <c r="AH254" s="89"/>
      <c r="AI254" s="86"/>
      <c r="AJ254" s="88"/>
      <c r="AK254" s="89"/>
      <c r="AL254" s="90"/>
      <c r="AM254" s="91"/>
      <c r="AN254" s="91" t="s">
        <v>474</v>
      </c>
      <c r="AO254" s="243" t="str">
        <f t="shared" si="11"/>
        <v>3UNCERAWZ3425E</v>
      </c>
    </row>
    <row r="255" spans="1:41" ht="15" customHeight="1" x14ac:dyDescent="0.15">
      <c r="A255" s="83">
        <v>4113</v>
      </c>
      <c r="B255" s="92">
        <v>271</v>
      </c>
      <c r="C255" s="92">
        <v>3918</v>
      </c>
      <c r="D255" s="92" t="s">
        <v>2045</v>
      </c>
      <c r="E255" s="92" t="s">
        <v>11</v>
      </c>
      <c r="F255" s="92" t="s">
        <v>184</v>
      </c>
      <c r="G255" s="92" t="str">
        <f t="shared" si="12"/>
        <v>3TNCERAWZ34</v>
      </c>
      <c r="H255" s="92" t="s">
        <v>771</v>
      </c>
      <c r="I255" s="92" t="s">
        <v>1550</v>
      </c>
      <c r="J255" s="92" t="s">
        <v>21</v>
      </c>
      <c r="K255" s="92" t="s">
        <v>1569</v>
      </c>
      <c r="L255" s="92" t="s">
        <v>2046</v>
      </c>
      <c r="M255" s="92" t="str">
        <f t="shared" si="13"/>
        <v>3TNCERAWZ3425E1420</v>
      </c>
      <c r="N255" s="92" t="str">
        <f t="shared" si="14"/>
        <v>3TNCERAWZ3425E1410</v>
      </c>
      <c r="O255" s="93" t="s">
        <v>1995</v>
      </c>
      <c r="P255" s="92">
        <v>3</v>
      </c>
      <c r="Q255" s="92" t="s">
        <v>1996</v>
      </c>
      <c r="R255" s="93">
        <v>1420</v>
      </c>
      <c r="S255" s="93">
        <v>12700</v>
      </c>
      <c r="T255" s="93">
        <v>1410</v>
      </c>
      <c r="U255" s="93">
        <v>1410</v>
      </c>
      <c r="V255" s="93">
        <v>6000</v>
      </c>
      <c r="W255" s="84">
        <v>1</v>
      </c>
      <c r="X255" s="85" t="s">
        <v>14</v>
      </c>
      <c r="Y255" s="86" t="s">
        <v>27</v>
      </c>
      <c r="Z255" s="87">
        <v>6</v>
      </c>
      <c r="AA255" s="88" t="s">
        <v>24</v>
      </c>
      <c r="AB255" s="89">
        <v>1600</v>
      </c>
      <c r="AC255" s="86"/>
      <c r="AD255" s="88"/>
      <c r="AE255" s="89"/>
      <c r="AF255" s="86"/>
      <c r="AG255" s="88"/>
      <c r="AH255" s="89"/>
      <c r="AI255" s="86"/>
      <c r="AJ255" s="88"/>
      <c r="AK255" s="89"/>
      <c r="AL255" s="90"/>
      <c r="AM255" s="91"/>
      <c r="AN255" s="91" t="s">
        <v>474</v>
      </c>
      <c r="AO255" s="243" t="str">
        <f t="shared" si="11"/>
        <v>3TNCERAWZ3425E</v>
      </c>
    </row>
    <row r="256" spans="1:41" ht="15" customHeight="1" x14ac:dyDescent="0.15">
      <c r="A256" s="83">
        <v>4114</v>
      </c>
      <c r="B256" s="92">
        <v>271</v>
      </c>
      <c r="C256" s="92">
        <v>3918</v>
      </c>
      <c r="D256" s="92" t="s">
        <v>2045</v>
      </c>
      <c r="E256" s="92"/>
      <c r="F256" s="109" t="s">
        <v>210</v>
      </c>
      <c r="G256" s="92" t="str">
        <f t="shared" si="12"/>
        <v>3UNCERAWZ14</v>
      </c>
      <c r="H256" s="92" t="s">
        <v>269</v>
      </c>
      <c r="I256" s="92" t="s">
        <v>1550</v>
      </c>
      <c r="J256" s="92" t="s">
        <v>21</v>
      </c>
      <c r="K256" s="92" t="s">
        <v>2337</v>
      </c>
      <c r="L256" s="92" t="s">
        <v>2338</v>
      </c>
      <c r="M256" s="92"/>
      <c r="N256" s="92"/>
      <c r="O256" s="93">
        <v>25</v>
      </c>
      <c r="P256" s="92">
        <v>3</v>
      </c>
      <c r="Q256" s="92" t="s">
        <v>503</v>
      </c>
      <c r="R256" s="93">
        <v>1428</v>
      </c>
      <c r="S256" s="93">
        <v>12500</v>
      </c>
      <c r="T256" s="93">
        <v>1420</v>
      </c>
      <c r="U256" s="93">
        <v>1420</v>
      </c>
      <c r="V256" s="93">
        <v>12400</v>
      </c>
      <c r="W256" s="84">
        <v>2</v>
      </c>
      <c r="X256" s="85" t="s">
        <v>14</v>
      </c>
      <c r="Y256" s="86" t="s">
        <v>27</v>
      </c>
      <c r="Z256" s="87">
        <v>6</v>
      </c>
      <c r="AA256" s="88" t="s">
        <v>24</v>
      </c>
      <c r="AB256" s="89">
        <v>1600</v>
      </c>
      <c r="AC256" s="86"/>
      <c r="AD256" s="88"/>
      <c r="AE256" s="89"/>
      <c r="AF256" s="86"/>
      <c r="AG256" s="88"/>
      <c r="AH256" s="89"/>
      <c r="AI256" s="86"/>
      <c r="AJ256" s="88"/>
      <c r="AK256" s="89"/>
      <c r="AL256" s="90"/>
      <c r="AM256" s="91"/>
      <c r="AN256" s="91" t="s">
        <v>474</v>
      </c>
      <c r="AO256" s="243" t="str">
        <f t="shared" si="11"/>
        <v>3UNCERAWZ1425</v>
      </c>
    </row>
    <row r="257" spans="1:41" x14ac:dyDescent="0.15">
      <c r="A257" s="83">
        <v>333</v>
      </c>
      <c r="B257" s="92">
        <v>271</v>
      </c>
      <c r="C257" s="92">
        <v>3918</v>
      </c>
      <c r="D257" s="92" t="s">
        <v>2045</v>
      </c>
      <c r="E257" s="92" t="s">
        <v>11</v>
      </c>
      <c r="F257" s="109" t="s">
        <v>210</v>
      </c>
      <c r="G257" s="92" t="str">
        <f t="shared" si="12"/>
        <v>330SNCERAWZ14</v>
      </c>
      <c r="H257" s="92" t="s">
        <v>1549</v>
      </c>
      <c r="I257" s="92" t="s">
        <v>1550</v>
      </c>
      <c r="J257" s="92" t="s">
        <v>21</v>
      </c>
      <c r="K257" s="92" t="s">
        <v>2337</v>
      </c>
      <c r="L257" s="92" t="s">
        <v>2338</v>
      </c>
      <c r="M257" s="92"/>
      <c r="N257" s="92"/>
      <c r="O257" s="93">
        <v>25</v>
      </c>
      <c r="P257" s="92">
        <v>330</v>
      </c>
      <c r="Q257" s="92" t="s">
        <v>503</v>
      </c>
      <c r="R257" s="93">
        <v>1428</v>
      </c>
      <c r="S257" s="93">
        <v>12500</v>
      </c>
      <c r="T257" s="93">
        <v>1420</v>
      </c>
      <c r="U257" s="93">
        <v>1420</v>
      </c>
      <c r="V257" s="93">
        <v>12400</v>
      </c>
      <c r="W257" s="84">
        <v>2</v>
      </c>
      <c r="X257" s="85" t="s">
        <v>14</v>
      </c>
      <c r="Y257" s="86" t="s">
        <v>487</v>
      </c>
      <c r="Z257" s="87">
        <v>6</v>
      </c>
      <c r="AA257" s="88" t="s">
        <v>24</v>
      </c>
      <c r="AB257" s="89">
        <v>1600</v>
      </c>
      <c r="AC257" s="86"/>
      <c r="AD257" s="88"/>
      <c r="AE257" s="89"/>
      <c r="AF257" s="86"/>
      <c r="AG257" s="88"/>
      <c r="AH257" s="89"/>
      <c r="AI257" s="86"/>
      <c r="AJ257" s="88"/>
      <c r="AK257" s="89"/>
      <c r="AL257" s="90"/>
      <c r="AM257" s="91"/>
      <c r="AN257" s="91" t="s">
        <v>474</v>
      </c>
      <c r="AO257" s="243" t="str">
        <f t="shared" si="11"/>
        <v>330SNCERAWZ1425</v>
      </c>
    </row>
    <row r="258" spans="1:41" x14ac:dyDescent="0.15">
      <c r="A258" s="83">
        <v>4114</v>
      </c>
      <c r="B258" s="92">
        <v>271</v>
      </c>
      <c r="C258" s="92"/>
      <c r="D258" s="92" t="s">
        <v>2088</v>
      </c>
      <c r="E258" s="92" t="s">
        <v>11</v>
      </c>
      <c r="F258" s="92" t="s">
        <v>184</v>
      </c>
      <c r="G258" s="92" t="str">
        <f t="shared" si="12"/>
        <v>3UNCERAWZ26</v>
      </c>
      <c r="H258" s="92" t="s">
        <v>269</v>
      </c>
      <c r="I258" s="92" t="s">
        <v>1550</v>
      </c>
      <c r="J258" s="92" t="s">
        <v>21</v>
      </c>
      <c r="K258" s="92" t="s">
        <v>2089</v>
      </c>
      <c r="L258" s="92" t="s">
        <v>2090</v>
      </c>
      <c r="M258" s="92" t="str">
        <f t="shared" si="13"/>
        <v>3UNCERAWZ26381010</v>
      </c>
      <c r="N258" s="92" t="str">
        <f t="shared" si="14"/>
        <v>3UNCERAWZ26381000</v>
      </c>
      <c r="O258" s="93">
        <v>38</v>
      </c>
      <c r="P258" s="92">
        <v>3</v>
      </c>
      <c r="Q258" s="92" t="s">
        <v>2011</v>
      </c>
      <c r="R258" s="93">
        <v>1010</v>
      </c>
      <c r="S258" s="93">
        <v>6200</v>
      </c>
      <c r="T258" s="93">
        <v>1000</v>
      </c>
      <c r="U258" s="93">
        <v>1000</v>
      </c>
      <c r="V258" s="93">
        <v>6000</v>
      </c>
      <c r="W258" s="84">
        <v>1</v>
      </c>
      <c r="X258" s="85" t="s">
        <v>14</v>
      </c>
      <c r="Y258" s="86" t="s">
        <v>27</v>
      </c>
      <c r="Z258" s="87">
        <v>6</v>
      </c>
      <c r="AA258" s="88" t="s">
        <v>266</v>
      </c>
      <c r="AB258" s="89">
        <v>1100</v>
      </c>
      <c r="AC258" s="86"/>
      <c r="AD258" s="88"/>
      <c r="AE258" s="89"/>
      <c r="AF258" s="86"/>
      <c r="AG258" s="88"/>
      <c r="AH258" s="89"/>
      <c r="AI258" s="86"/>
      <c r="AJ258" s="88"/>
      <c r="AK258" s="89"/>
      <c r="AL258" s="90"/>
      <c r="AM258" s="91"/>
      <c r="AN258" s="91" t="s">
        <v>474</v>
      </c>
      <c r="AO258" s="243" t="str">
        <f t="shared" si="11"/>
        <v>3UNCERAWZ2638</v>
      </c>
    </row>
    <row r="259" spans="1:41" x14ac:dyDescent="0.15">
      <c r="A259" s="83">
        <v>4114</v>
      </c>
      <c r="B259" s="92">
        <v>271</v>
      </c>
      <c r="C259" s="92"/>
      <c r="D259" s="92" t="s">
        <v>2088</v>
      </c>
      <c r="E259" s="92" t="s">
        <v>11</v>
      </c>
      <c r="F259" s="92" t="s">
        <v>184</v>
      </c>
      <c r="G259" s="92" t="str">
        <f t="shared" si="12"/>
        <v>3UNCERAWZ26</v>
      </c>
      <c r="H259" s="92" t="s">
        <v>269</v>
      </c>
      <c r="I259" s="92" t="s">
        <v>1550</v>
      </c>
      <c r="J259" s="92" t="s">
        <v>21</v>
      </c>
      <c r="K259" s="92" t="s">
        <v>2089</v>
      </c>
      <c r="L259" s="92" t="s">
        <v>2090</v>
      </c>
      <c r="M259" s="92" t="str">
        <f t="shared" si="13"/>
        <v>3UNCERAWZ26381010</v>
      </c>
      <c r="N259" s="92" t="str">
        <f t="shared" si="14"/>
        <v>3UNCERAWZ26381000</v>
      </c>
      <c r="O259" s="93">
        <v>38</v>
      </c>
      <c r="P259" s="92">
        <v>3</v>
      </c>
      <c r="Q259" s="92" t="s">
        <v>2011</v>
      </c>
      <c r="R259" s="93">
        <v>1010</v>
      </c>
      <c r="S259" s="93">
        <v>12200</v>
      </c>
      <c r="T259" s="93">
        <v>1000</v>
      </c>
      <c r="U259" s="93">
        <v>1000</v>
      </c>
      <c r="V259" s="93">
        <v>6000</v>
      </c>
      <c r="W259" s="84">
        <v>1</v>
      </c>
      <c r="X259" s="85" t="s">
        <v>14</v>
      </c>
      <c r="Y259" s="86" t="s">
        <v>15</v>
      </c>
      <c r="Z259" s="87">
        <v>6</v>
      </c>
      <c r="AA259" s="88" t="s">
        <v>266</v>
      </c>
      <c r="AB259" s="89">
        <v>1100</v>
      </c>
      <c r="AC259" s="86"/>
      <c r="AD259" s="88"/>
      <c r="AE259" s="89"/>
      <c r="AF259" s="86"/>
      <c r="AG259" s="88"/>
      <c r="AH259" s="89"/>
      <c r="AI259" s="86"/>
      <c r="AJ259" s="88"/>
      <c r="AK259" s="89"/>
      <c r="AL259" s="90"/>
      <c r="AM259" s="91"/>
      <c r="AN259" s="91" t="s">
        <v>474</v>
      </c>
      <c r="AO259" s="243" t="str">
        <f t="shared" si="11"/>
        <v>3UNCERAWZ2638</v>
      </c>
    </row>
    <row r="260" spans="1:41" x14ac:dyDescent="0.15">
      <c r="A260" s="83">
        <v>4114</v>
      </c>
      <c r="B260" s="92">
        <v>271</v>
      </c>
      <c r="C260" s="92"/>
      <c r="D260" s="92" t="s">
        <v>2088</v>
      </c>
      <c r="E260" s="92" t="s">
        <v>11</v>
      </c>
      <c r="F260" s="92" t="s">
        <v>46</v>
      </c>
      <c r="G260" s="92" t="str">
        <f t="shared" si="12"/>
        <v>3UNCERAWZ26</v>
      </c>
      <c r="H260" s="92" t="s">
        <v>269</v>
      </c>
      <c r="I260" s="92" t="s">
        <v>1550</v>
      </c>
      <c r="J260" s="92" t="s">
        <v>21</v>
      </c>
      <c r="K260" s="92" t="s">
        <v>2089</v>
      </c>
      <c r="L260" s="92" t="s">
        <v>2090</v>
      </c>
      <c r="M260" s="92" t="str">
        <f t="shared" si="13"/>
        <v>3UNCERAWZ2638965</v>
      </c>
      <c r="N260" s="92" t="str">
        <f t="shared" si="14"/>
        <v>3UNCERAWZ2638960</v>
      </c>
      <c r="O260" s="93">
        <v>38</v>
      </c>
      <c r="P260" s="92">
        <v>3</v>
      </c>
      <c r="Q260" s="92" t="s">
        <v>2011</v>
      </c>
      <c r="R260" s="93">
        <v>965</v>
      </c>
      <c r="S260" s="93">
        <v>12200</v>
      </c>
      <c r="T260" s="93">
        <v>960</v>
      </c>
      <c r="U260" s="93">
        <v>960</v>
      </c>
      <c r="V260" s="93">
        <v>6000</v>
      </c>
      <c r="W260" s="84">
        <v>2</v>
      </c>
      <c r="X260" s="85" t="s">
        <v>14</v>
      </c>
      <c r="Y260" s="86" t="s">
        <v>27</v>
      </c>
      <c r="Z260" s="87">
        <v>6</v>
      </c>
      <c r="AA260" s="88" t="s">
        <v>266</v>
      </c>
      <c r="AB260" s="89">
        <v>1040</v>
      </c>
      <c r="AC260" s="86"/>
      <c r="AD260" s="88"/>
      <c r="AE260" s="89"/>
      <c r="AF260" s="86"/>
      <c r="AG260" s="88"/>
      <c r="AH260" s="89"/>
      <c r="AI260" s="86"/>
      <c r="AJ260" s="88"/>
      <c r="AK260" s="89"/>
      <c r="AL260" s="90"/>
      <c r="AM260" s="91"/>
      <c r="AN260" s="91"/>
      <c r="AO260" s="243" t="str">
        <f t="shared" si="11"/>
        <v>3UNCERAWZ2638</v>
      </c>
    </row>
    <row r="261" spans="1:41" x14ac:dyDescent="0.15">
      <c r="A261" s="83">
        <v>4114</v>
      </c>
      <c r="B261" s="92">
        <v>271</v>
      </c>
      <c r="C261" s="92"/>
      <c r="D261" s="92" t="s">
        <v>2091</v>
      </c>
      <c r="E261" s="92" t="s">
        <v>11</v>
      </c>
      <c r="F261" s="92" t="s">
        <v>184</v>
      </c>
      <c r="G261" s="92" t="str">
        <f t="shared" si="12"/>
        <v>3UNCERAWZ26</v>
      </c>
      <c r="H261" s="92" t="s">
        <v>269</v>
      </c>
      <c r="I261" s="92" t="s">
        <v>1550</v>
      </c>
      <c r="J261" s="92" t="s">
        <v>21</v>
      </c>
      <c r="K261" s="92" t="s">
        <v>2089</v>
      </c>
      <c r="L261" s="92" t="s">
        <v>2090</v>
      </c>
      <c r="M261" s="92" t="str">
        <f t="shared" si="13"/>
        <v>3UNCERAWZ26251105</v>
      </c>
      <c r="N261" s="92" t="str">
        <f t="shared" si="14"/>
        <v>3UNCERAWZ26251100</v>
      </c>
      <c r="O261" s="93">
        <v>25</v>
      </c>
      <c r="P261" s="92">
        <v>3</v>
      </c>
      <c r="Q261" s="92" t="s">
        <v>2011</v>
      </c>
      <c r="R261" s="93">
        <v>1105</v>
      </c>
      <c r="S261" s="93">
        <v>12300</v>
      </c>
      <c r="T261" s="93">
        <v>1100</v>
      </c>
      <c r="U261" s="93">
        <v>1100</v>
      </c>
      <c r="V261" s="93">
        <v>12000</v>
      </c>
      <c r="W261" s="84">
        <v>1</v>
      </c>
      <c r="X261" s="85" t="s">
        <v>14</v>
      </c>
      <c r="Y261" s="86" t="s">
        <v>15</v>
      </c>
      <c r="Z261" s="87">
        <v>6</v>
      </c>
      <c r="AA261" s="88" t="s">
        <v>266</v>
      </c>
      <c r="AB261" s="89"/>
      <c r="AC261" s="86"/>
      <c r="AD261" s="88"/>
      <c r="AE261" s="89"/>
      <c r="AF261" s="86"/>
      <c r="AG261" s="88"/>
      <c r="AH261" s="89"/>
      <c r="AI261" s="86"/>
      <c r="AJ261" s="88"/>
      <c r="AK261" s="89"/>
      <c r="AL261" s="90"/>
      <c r="AM261" s="91"/>
      <c r="AN261" s="91" t="s">
        <v>474</v>
      </c>
      <c r="AO261" s="243" t="str">
        <f t="shared" si="11"/>
        <v>3UNCERAWZ2625</v>
      </c>
    </row>
    <row r="262" spans="1:41" x14ac:dyDescent="0.15">
      <c r="A262" s="83">
        <v>4114</v>
      </c>
      <c r="B262" s="92">
        <v>271</v>
      </c>
      <c r="C262" s="92"/>
      <c r="D262" s="92" t="s">
        <v>2092</v>
      </c>
      <c r="E262" s="92" t="s">
        <v>11</v>
      </c>
      <c r="F262" s="92" t="s">
        <v>184</v>
      </c>
      <c r="G262" s="92" t="str">
        <f t="shared" si="12"/>
        <v>3UNCERAWZ26</v>
      </c>
      <c r="H262" s="92" t="s">
        <v>269</v>
      </c>
      <c r="I262" s="92" t="s">
        <v>1550</v>
      </c>
      <c r="J262" s="92" t="s">
        <v>21</v>
      </c>
      <c r="K262" s="92" t="s">
        <v>2089</v>
      </c>
      <c r="L262" s="92" t="s">
        <v>2090</v>
      </c>
      <c r="M262" s="92" t="str">
        <f t="shared" si="13"/>
        <v>3UNCERAWZ26251250</v>
      </c>
      <c r="N262" s="92" t="str">
        <f t="shared" si="14"/>
        <v>3UNCERAWZ26251240</v>
      </c>
      <c r="O262" s="93">
        <v>25</v>
      </c>
      <c r="P262" s="92">
        <v>3</v>
      </c>
      <c r="Q262" s="92" t="s">
        <v>2011</v>
      </c>
      <c r="R262" s="93">
        <v>1250</v>
      </c>
      <c r="S262" s="93">
        <v>3300</v>
      </c>
      <c r="T262" s="93">
        <v>1240</v>
      </c>
      <c r="U262" s="93">
        <v>1240</v>
      </c>
      <c r="V262" s="93">
        <v>3000</v>
      </c>
      <c r="W262" s="84">
        <v>1</v>
      </c>
      <c r="X262" s="85" t="s">
        <v>14</v>
      </c>
      <c r="Y262" s="86" t="s">
        <v>15</v>
      </c>
      <c r="Z262" s="87">
        <v>6</v>
      </c>
      <c r="AA262" s="88" t="s">
        <v>266</v>
      </c>
      <c r="AB262" s="89">
        <v>1500</v>
      </c>
      <c r="AC262" s="86"/>
      <c r="AD262" s="88"/>
      <c r="AE262" s="89"/>
      <c r="AF262" s="86"/>
      <c r="AG262" s="88"/>
      <c r="AH262" s="89"/>
      <c r="AI262" s="86"/>
      <c r="AJ262" s="88"/>
      <c r="AK262" s="89"/>
      <c r="AL262" s="90"/>
      <c r="AM262" s="91"/>
      <c r="AN262" s="91" t="s">
        <v>474</v>
      </c>
      <c r="AO262" s="243" t="str">
        <f t="shared" si="11"/>
        <v>3UNCERAWZ2625</v>
      </c>
    </row>
    <row r="263" spans="1:41" x14ac:dyDescent="0.15">
      <c r="A263" s="83">
        <v>4114</v>
      </c>
      <c r="B263" s="92">
        <v>271</v>
      </c>
      <c r="C263" s="92"/>
      <c r="D263" s="92" t="s">
        <v>2092</v>
      </c>
      <c r="E263" s="92" t="s">
        <v>11</v>
      </c>
      <c r="F263" s="92" t="s">
        <v>184</v>
      </c>
      <c r="G263" s="92" t="str">
        <f t="shared" si="12"/>
        <v>3UNCERAWZ26</v>
      </c>
      <c r="H263" s="92" t="s">
        <v>269</v>
      </c>
      <c r="I263" s="92" t="s">
        <v>1550</v>
      </c>
      <c r="J263" s="92" t="s">
        <v>21</v>
      </c>
      <c r="K263" s="92" t="s">
        <v>2089</v>
      </c>
      <c r="L263" s="92" t="s">
        <v>2090</v>
      </c>
      <c r="M263" s="92" t="str">
        <f t="shared" si="13"/>
        <v>3UNCERAWZ26251245</v>
      </c>
      <c r="N263" s="92" t="str">
        <f t="shared" si="14"/>
        <v>3UNCERAWZ26251240</v>
      </c>
      <c r="O263" s="93">
        <v>25</v>
      </c>
      <c r="P263" s="92">
        <v>3</v>
      </c>
      <c r="Q263" s="92" t="s">
        <v>2011</v>
      </c>
      <c r="R263" s="93">
        <v>1245</v>
      </c>
      <c r="S263" s="93">
        <v>3000</v>
      </c>
      <c r="T263" s="93">
        <v>1240</v>
      </c>
      <c r="U263" s="93">
        <v>1240</v>
      </c>
      <c r="V263" s="93">
        <v>3000</v>
      </c>
      <c r="W263" s="84">
        <v>1</v>
      </c>
      <c r="X263" s="85" t="s">
        <v>14</v>
      </c>
      <c r="Y263" s="86" t="s">
        <v>15</v>
      </c>
      <c r="Z263" s="87">
        <v>6</v>
      </c>
      <c r="AA263" s="88" t="s">
        <v>266</v>
      </c>
      <c r="AB263" s="89">
        <v>1500</v>
      </c>
      <c r="AC263" s="86"/>
      <c r="AD263" s="88"/>
      <c r="AE263" s="89"/>
      <c r="AF263" s="86"/>
      <c r="AG263" s="88"/>
      <c r="AH263" s="89"/>
      <c r="AI263" s="86"/>
      <c r="AJ263" s="88"/>
      <c r="AK263" s="89"/>
      <c r="AL263" s="90"/>
      <c r="AM263" s="91"/>
      <c r="AN263" s="91" t="s">
        <v>474</v>
      </c>
      <c r="AO263" s="243" t="str">
        <f t="shared" si="11"/>
        <v>3UNCERAWZ2625</v>
      </c>
    </row>
    <row r="264" spans="1:41" x14ac:dyDescent="0.15">
      <c r="A264" s="83">
        <v>4114</v>
      </c>
      <c r="B264" s="92">
        <v>271</v>
      </c>
      <c r="C264" s="92"/>
      <c r="D264" s="92" t="s">
        <v>2092</v>
      </c>
      <c r="E264" s="92" t="s">
        <v>11</v>
      </c>
      <c r="F264" s="92" t="s">
        <v>184</v>
      </c>
      <c r="G264" s="92" t="str">
        <f t="shared" si="12"/>
        <v>3UNCERAWZ26</v>
      </c>
      <c r="H264" s="92" t="s">
        <v>269</v>
      </c>
      <c r="I264" s="92" t="s">
        <v>1550</v>
      </c>
      <c r="J264" s="92" t="s">
        <v>21</v>
      </c>
      <c r="K264" s="92" t="s">
        <v>2089</v>
      </c>
      <c r="L264" s="92" t="s">
        <v>2090</v>
      </c>
      <c r="M264" s="92" t="str">
        <f t="shared" si="13"/>
        <v>3UNCERAWZ26381250</v>
      </c>
      <c r="N264" s="92" t="str">
        <f t="shared" si="14"/>
        <v>3UNCERAWZ26381240</v>
      </c>
      <c r="O264" s="93">
        <v>38</v>
      </c>
      <c r="P264" s="92">
        <v>3</v>
      </c>
      <c r="Q264" s="92" t="s">
        <v>2011</v>
      </c>
      <c r="R264" s="93">
        <v>1250</v>
      </c>
      <c r="S264" s="93">
        <v>1300</v>
      </c>
      <c r="T264" s="93">
        <v>1240</v>
      </c>
      <c r="U264" s="93">
        <v>1240</v>
      </c>
      <c r="V264" s="93">
        <v>3000</v>
      </c>
      <c r="W264" s="84">
        <v>1</v>
      </c>
      <c r="X264" s="85" t="s">
        <v>14</v>
      </c>
      <c r="Y264" s="86" t="s">
        <v>15</v>
      </c>
      <c r="Z264" s="87">
        <v>6</v>
      </c>
      <c r="AA264" s="88" t="s">
        <v>266</v>
      </c>
      <c r="AB264" s="89">
        <v>1500</v>
      </c>
      <c r="AC264" s="86"/>
      <c r="AD264" s="88"/>
      <c r="AE264" s="89"/>
      <c r="AF264" s="86"/>
      <c r="AG264" s="88"/>
      <c r="AH264" s="89"/>
      <c r="AI264" s="86"/>
      <c r="AJ264" s="88"/>
      <c r="AK264" s="89"/>
      <c r="AL264" s="90"/>
      <c r="AM264" s="91"/>
      <c r="AN264" s="91" t="s">
        <v>474</v>
      </c>
      <c r="AO264" s="243" t="str">
        <f t="shared" si="11"/>
        <v>3UNCERAWZ2638</v>
      </c>
    </row>
    <row r="265" spans="1:41" x14ac:dyDescent="0.15">
      <c r="A265" s="83">
        <v>4114</v>
      </c>
      <c r="B265" s="92">
        <v>271</v>
      </c>
      <c r="C265" s="92"/>
      <c r="D265" s="92" t="s">
        <v>2092</v>
      </c>
      <c r="E265" s="92" t="s">
        <v>11</v>
      </c>
      <c r="F265" s="92" t="s">
        <v>184</v>
      </c>
      <c r="G265" s="92" t="str">
        <f t="shared" si="12"/>
        <v>3UNCERAWZ26</v>
      </c>
      <c r="H265" s="92" t="s">
        <v>269</v>
      </c>
      <c r="I265" s="92" t="s">
        <v>1550</v>
      </c>
      <c r="J265" s="92" t="s">
        <v>21</v>
      </c>
      <c r="K265" s="92" t="s">
        <v>2089</v>
      </c>
      <c r="L265" s="92" t="s">
        <v>2090</v>
      </c>
      <c r="M265" s="92" t="str">
        <f t="shared" si="13"/>
        <v>3UNCERAWZ26251050</v>
      </c>
      <c r="N265" s="92" t="str">
        <f t="shared" si="14"/>
        <v>3UNCERAWZ26251040</v>
      </c>
      <c r="O265" s="93">
        <v>25</v>
      </c>
      <c r="P265" s="92">
        <v>3</v>
      </c>
      <c r="Q265" s="92" t="s">
        <v>2011</v>
      </c>
      <c r="R265" s="93">
        <v>1050</v>
      </c>
      <c r="S265" s="93">
        <v>1300</v>
      </c>
      <c r="T265" s="93">
        <v>1040</v>
      </c>
      <c r="U265" s="93">
        <v>1040</v>
      </c>
      <c r="V265" s="93">
        <v>1000</v>
      </c>
      <c r="W265" s="84">
        <v>1</v>
      </c>
      <c r="X265" s="85" t="s">
        <v>14</v>
      </c>
      <c r="Y265" s="86" t="s">
        <v>15</v>
      </c>
      <c r="Z265" s="87">
        <v>6</v>
      </c>
      <c r="AA265" s="88" t="s">
        <v>266</v>
      </c>
      <c r="AB265" s="89">
        <v>1500</v>
      </c>
      <c r="AC265" s="86"/>
      <c r="AD265" s="88"/>
      <c r="AE265" s="89"/>
      <c r="AF265" s="86"/>
      <c r="AG265" s="88"/>
      <c r="AH265" s="89"/>
      <c r="AI265" s="86"/>
      <c r="AJ265" s="88"/>
      <c r="AK265" s="89"/>
      <c r="AL265" s="90"/>
      <c r="AM265" s="91"/>
      <c r="AN265" s="91" t="s">
        <v>474</v>
      </c>
      <c r="AO265" s="243" t="str">
        <f t="shared" si="11"/>
        <v>3UNCERAWZ2625</v>
      </c>
    </row>
    <row r="266" spans="1:41" x14ac:dyDescent="0.15">
      <c r="A266" s="83">
        <v>4114</v>
      </c>
      <c r="B266" s="92">
        <v>271</v>
      </c>
      <c r="C266" s="92"/>
      <c r="D266" s="92" t="s">
        <v>2092</v>
      </c>
      <c r="E266" s="92" t="s">
        <v>11</v>
      </c>
      <c r="F266" s="92" t="s">
        <v>184</v>
      </c>
      <c r="G266" s="92" t="str">
        <f t="shared" si="12"/>
        <v>3UNCERAWZ48</v>
      </c>
      <c r="H266" s="92" t="s">
        <v>269</v>
      </c>
      <c r="I266" s="92" t="s">
        <v>1550</v>
      </c>
      <c r="J266" s="92" t="s">
        <v>21</v>
      </c>
      <c r="K266" s="92" t="s">
        <v>2093</v>
      </c>
      <c r="L266" s="92" t="s">
        <v>2094</v>
      </c>
      <c r="M266" s="92" t="str">
        <f t="shared" si="13"/>
        <v>3UNCERAWZ48501000</v>
      </c>
      <c r="N266" s="92" t="str">
        <f t="shared" si="14"/>
        <v>3UNCERAWZ48501000</v>
      </c>
      <c r="O266" s="93">
        <v>50</v>
      </c>
      <c r="P266" s="92">
        <v>3</v>
      </c>
      <c r="Q266" s="92" t="s">
        <v>2012</v>
      </c>
      <c r="R266" s="93">
        <v>1000</v>
      </c>
      <c r="S266" s="93">
        <v>500</v>
      </c>
      <c r="T266" s="93">
        <v>1000</v>
      </c>
      <c r="U266" s="93">
        <v>1000</v>
      </c>
      <c r="V266" s="93">
        <v>100</v>
      </c>
      <c r="W266" s="84">
        <v>1</v>
      </c>
      <c r="X266" s="85" t="s">
        <v>14</v>
      </c>
      <c r="Y266" s="86" t="s">
        <v>15</v>
      </c>
      <c r="Z266" s="87">
        <v>6</v>
      </c>
      <c r="AA266" s="88" t="s">
        <v>266</v>
      </c>
      <c r="AB266" s="89">
        <v>1500</v>
      </c>
      <c r="AC266" s="86"/>
      <c r="AD266" s="88"/>
      <c r="AE266" s="89"/>
      <c r="AF266" s="86"/>
      <c r="AG266" s="88"/>
      <c r="AH266" s="89"/>
      <c r="AI266" s="86"/>
      <c r="AJ266" s="88"/>
      <c r="AK266" s="89"/>
      <c r="AL266" s="90"/>
      <c r="AM266" s="91"/>
      <c r="AN266" s="91" t="s">
        <v>474</v>
      </c>
      <c r="AO266" s="243" t="str">
        <f t="shared" si="11"/>
        <v>3UNCERAWZ4850</v>
      </c>
    </row>
    <row r="267" spans="1:41" x14ac:dyDescent="0.15">
      <c r="A267" s="83">
        <v>4114</v>
      </c>
      <c r="B267" s="92">
        <v>272</v>
      </c>
      <c r="C267" s="92">
        <v>4641</v>
      </c>
      <c r="D267" s="92" t="s">
        <v>98</v>
      </c>
      <c r="E267" s="92" t="s">
        <v>45</v>
      </c>
      <c r="F267" s="92" t="s">
        <v>46</v>
      </c>
      <c r="G267" s="92" t="str">
        <f t="shared" si="12"/>
        <v>3UNCERASY08</v>
      </c>
      <c r="H267" s="92" t="s">
        <v>1657</v>
      </c>
      <c r="I267" s="92" t="s">
        <v>20</v>
      </c>
      <c r="J267" s="92" t="s">
        <v>21</v>
      </c>
      <c r="K267" s="92" t="s">
        <v>99</v>
      </c>
      <c r="L267" s="92" t="s">
        <v>100</v>
      </c>
      <c r="M267" s="92" t="str">
        <f t="shared" si="13"/>
        <v>3UNCERASY08251045</v>
      </c>
      <c r="N267" s="92" t="str">
        <f t="shared" si="14"/>
        <v>3UNCERASY0825500</v>
      </c>
      <c r="O267" s="93">
        <v>25</v>
      </c>
      <c r="P267" s="92">
        <v>3</v>
      </c>
      <c r="Q267" s="92" t="s">
        <v>19</v>
      </c>
      <c r="R267" s="93">
        <v>1045</v>
      </c>
      <c r="S267" s="93">
        <v>12400</v>
      </c>
      <c r="T267" s="93">
        <v>500</v>
      </c>
      <c r="U267" s="93">
        <v>500</v>
      </c>
      <c r="V267" s="93">
        <v>4000</v>
      </c>
      <c r="W267" s="84">
        <v>2</v>
      </c>
      <c r="X267" s="85" t="s">
        <v>14</v>
      </c>
      <c r="Y267" s="86" t="s">
        <v>295</v>
      </c>
      <c r="Z267" s="87">
        <v>6</v>
      </c>
      <c r="AA267" s="88" t="s">
        <v>24</v>
      </c>
      <c r="AB267" s="89">
        <v>1450</v>
      </c>
      <c r="AC267" s="86">
        <v>3</v>
      </c>
      <c r="AD267" s="88" t="s">
        <v>266</v>
      </c>
      <c r="AE267" s="89">
        <v>505</v>
      </c>
      <c r="AF267" s="86"/>
      <c r="AG267" s="88"/>
      <c r="AH267" s="89"/>
      <c r="AI267" s="86"/>
      <c r="AJ267" s="88"/>
      <c r="AK267" s="89"/>
      <c r="AL267" s="90"/>
      <c r="AM267" s="91"/>
      <c r="AN267" s="91" t="s">
        <v>471</v>
      </c>
      <c r="AO267" s="243" t="str">
        <f t="shared" si="11"/>
        <v>3UNCERASY0825</v>
      </c>
    </row>
    <row r="268" spans="1:41" x14ac:dyDescent="0.15">
      <c r="A268" s="83">
        <v>4114</v>
      </c>
      <c r="B268" s="92">
        <v>272</v>
      </c>
      <c r="C268" s="92">
        <v>4641</v>
      </c>
      <c r="D268" s="92" t="s">
        <v>98</v>
      </c>
      <c r="E268" s="92" t="s">
        <v>45</v>
      </c>
      <c r="F268" s="92" t="s">
        <v>46</v>
      </c>
      <c r="G268" s="92" t="str">
        <f t="shared" si="12"/>
        <v>3UNCERASY14</v>
      </c>
      <c r="H268" s="92" t="s">
        <v>1657</v>
      </c>
      <c r="I268" s="92" t="s">
        <v>20</v>
      </c>
      <c r="J268" s="92" t="s">
        <v>21</v>
      </c>
      <c r="K268" s="92" t="s">
        <v>2095</v>
      </c>
      <c r="L268" s="92" t="s">
        <v>2096</v>
      </c>
      <c r="M268" s="92" t="str">
        <f t="shared" si="13"/>
        <v>3UNCERASY14501240</v>
      </c>
      <c r="N268" s="92" t="str">
        <f t="shared" si="14"/>
        <v>3UNCERASY1450500</v>
      </c>
      <c r="O268" s="93">
        <v>50</v>
      </c>
      <c r="P268" s="92">
        <v>3</v>
      </c>
      <c r="Q268" s="92" t="s">
        <v>503</v>
      </c>
      <c r="R268" s="93">
        <v>1240</v>
      </c>
      <c r="S268" s="93">
        <v>4200</v>
      </c>
      <c r="T268" s="93">
        <v>500</v>
      </c>
      <c r="U268" s="93">
        <v>500</v>
      </c>
      <c r="V268" s="93">
        <v>100</v>
      </c>
      <c r="W268" s="84">
        <v>2</v>
      </c>
      <c r="X268" s="85" t="s">
        <v>14</v>
      </c>
      <c r="Y268" s="86" t="s">
        <v>295</v>
      </c>
      <c r="Z268" s="87">
        <v>6</v>
      </c>
      <c r="AA268" s="88" t="s">
        <v>24</v>
      </c>
      <c r="AB268" s="89">
        <v>1450</v>
      </c>
      <c r="AC268" s="86">
        <v>3</v>
      </c>
      <c r="AD268" s="88" t="s">
        <v>39</v>
      </c>
      <c r="AE268" s="89">
        <v>505</v>
      </c>
      <c r="AF268" s="86"/>
      <c r="AG268" s="88"/>
      <c r="AH268" s="89"/>
      <c r="AI268" s="86"/>
      <c r="AJ268" s="88"/>
      <c r="AK268" s="89"/>
      <c r="AL268" s="90"/>
      <c r="AM268" s="91"/>
      <c r="AN268" s="91" t="s">
        <v>471</v>
      </c>
      <c r="AO268" s="243" t="str">
        <f t="shared" si="11"/>
        <v>3UNCERASY1450</v>
      </c>
    </row>
    <row r="269" spans="1:41" x14ac:dyDescent="0.15">
      <c r="A269" s="83">
        <v>4114</v>
      </c>
      <c r="B269" s="92">
        <v>271</v>
      </c>
      <c r="C269" s="92">
        <v>2425</v>
      </c>
      <c r="D269" s="92" t="s">
        <v>101</v>
      </c>
      <c r="E269" s="92"/>
      <c r="F269" s="92" t="s">
        <v>2047</v>
      </c>
      <c r="G269" s="92" t="str">
        <f t="shared" si="12"/>
        <v>3UYCERASY18</v>
      </c>
      <c r="H269" s="92" t="s">
        <v>1657</v>
      </c>
      <c r="I269" s="92" t="s">
        <v>2031</v>
      </c>
      <c r="J269" s="92" t="s">
        <v>21</v>
      </c>
      <c r="K269" s="92" t="s">
        <v>2097</v>
      </c>
      <c r="L269" s="92" t="s">
        <v>2098</v>
      </c>
      <c r="M269" s="92" t="str">
        <f t="shared" si="13"/>
        <v>3UYCERASY18501050</v>
      </c>
      <c r="N269" s="92" t="str">
        <f t="shared" si="14"/>
        <v>3UYCERASY18501040</v>
      </c>
      <c r="O269" s="93">
        <v>50</v>
      </c>
      <c r="P269" s="92">
        <v>3</v>
      </c>
      <c r="Q269" s="92" t="s">
        <v>2013</v>
      </c>
      <c r="R269" s="93">
        <v>1050</v>
      </c>
      <c r="S269" s="93">
        <v>4000</v>
      </c>
      <c r="T269" s="93">
        <v>1040</v>
      </c>
      <c r="U269" s="93">
        <v>1040</v>
      </c>
      <c r="V269" s="93">
        <v>3800</v>
      </c>
      <c r="W269" s="84">
        <v>2</v>
      </c>
      <c r="X269" s="85" t="s">
        <v>14</v>
      </c>
      <c r="Y269" s="86" t="s">
        <v>15</v>
      </c>
      <c r="Z269" s="87">
        <v>6</v>
      </c>
      <c r="AA269" s="88" t="s">
        <v>16</v>
      </c>
      <c r="AB269" s="89">
        <v>1100</v>
      </c>
      <c r="AC269" s="86"/>
      <c r="AD269" s="88"/>
      <c r="AE269" s="89"/>
      <c r="AF269" s="86"/>
      <c r="AG269" s="88"/>
      <c r="AH269" s="89"/>
      <c r="AI269" s="86"/>
      <c r="AJ269" s="88"/>
      <c r="AK269" s="89"/>
      <c r="AL269" s="90"/>
      <c r="AM269" s="91"/>
      <c r="AN269" s="91" t="s">
        <v>471</v>
      </c>
      <c r="AO269" s="243" t="str">
        <f t="shared" si="11"/>
        <v>3UYCERASY1850</v>
      </c>
    </row>
    <row r="270" spans="1:41" x14ac:dyDescent="0.15">
      <c r="A270" s="83">
        <v>4114</v>
      </c>
      <c r="B270" s="92">
        <v>278</v>
      </c>
      <c r="C270" s="92"/>
      <c r="D270" s="92" t="s">
        <v>2099</v>
      </c>
      <c r="E270" s="92"/>
      <c r="F270" s="92" t="s">
        <v>184</v>
      </c>
      <c r="G270" s="92" t="str">
        <f t="shared" si="12"/>
        <v>3UYCERANS27121BM</v>
      </c>
      <c r="H270" s="92" t="s">
        <v>269</v>
      </c>
      <c r="I270" s="92" t="s">
        <v>2031</v>
      </c>
      <c r="J270" s="92" t="s">
        <v>132</v>
      </c>
      <c r="K270" s="92" t="s">
        <v>2100</v>
      </c>
      <c r="L270" s="92" t="s">
        <v>2101</v>
      </c>
      <c r="M270" s="92" t="str">
        <f t="shared" si="13"/>
        <v>3UYCERANS27121BM351265</v>
      </c>
      <c r="N270" s="92" t="str">
        <f t="shared" si="14"/>
        <v>3UYCERANS27121BM35395</v>
      </c>
      <c r="O270" s="93">
        <v>35</v>
      </c>
      <c r="P270" s="92">
        <v>3</v>
      </c>
      <c r="Q270" s="92" t="s">
        <v>2014</v>
      </c>
      <c r="R270" s="93">
        <v>1265</v>
      </c>
      <c r="S270" s="93">
        <v>3460</v>
      </c>
      <c r="T270" s="93">
        <v>395</v>
      </c>
      <c r="U270" s="93">
        <v>395</v>
      </c>
      <c r="V270" s="93">
        <v>260</v>
      </c>
      <c r="W270" s="84">
        <v>2</v>
      </c>
      <c r="X270" s="85" t="s">
        <v>142</v>
      </c>
      <c r="Y270" s="86" t="s">
        <v>2010</v>
      </c>
      <c r="Z270" s="87">
        <v>6</v>
      </c>
      <c r="AA270" s="88" t="s">
        <v>266</v>
      </c>
      <c r="AB270" s="89">
        <v>1450</v>
      </c>
      <c r="AC270" s="86">
        <v>3</v>
      </c>
      <c r="AD270" s="88" t="s">
        <v>459</v>
      </c>
      <c r="AE270" s="89">
        <v>395</v>
      </c>
      <c r="AF270" s="86"/>
      <c r="AG270" s="88"/>
      <c r="AH270" s="89"/>
      <c r="AI270" s="86"/>
      <c r="AJ270" s="88"/>
      <c r="AK270" s="89"/>
      <c r="AL270" s="90"/>
      <c r="AM270" s="91"/>
      <c r="AN270" s="91" t="s">
        <v>471</v>
      </c>
      <c r="AO270" s="243" t="str">
        <f t="shared" si="11"/>
        <v>3UYCERANS27121BM35</v>
      </c>
    </row>
    <row r="271" spans="1:41" x14ac:dyDescent="0.15">
      <c r="A271" s="83">
        <v>4114</v>
      </c>
      <c r="B271" s="92">
        <v>278</v>
      </c>
      <c r="C271" s="92"/>
      <c r="D271" s="92" t="s">
        <v>2099</v>
      </c>
      <c r="E271" s="92"/>
      <c r="F271" s="92" t="s">
        <v>184</v>
      </c>
      <c r="G271" s="92" t="str">
        <f t="shared" si="12"/>
        <v>3UYCERANS27121BM</v>
      </c>
      <c r="H271" s="92" t="s">
        <v>269</v>
      </c>
      <c r="I271" s="92" t="s">
        <v>2031</v>
      </c>
      <c r="J271" s="92" t="s">
        <v>132</v>
      </c>
      <c r="K271" s="92" t="s">
        <v>2100</v>
      </c>
      <c r="L271" s="92" t="s">
        <v>2101</v>
      </c>
      <c r="M271" s="92" t="str">
        <f t="shared" si="13"/>
        <v>3UYCERANS27121BM351240</v>
      </c>
      <c r="N271" s="92" t="str">
        <f t="shared" si="14"/>
        <v>3UYCERANS27121BM35395</v>
      </c>
      <c r="O271" s="93">
        <v>35</v>
      </c>
      <c r="P271" s="92">
        <v>3</v>
      </c>
      <c r="Q271" s="92" t="s">
        <v>2014</v>
      </c>
      <c r="R271" s="93">
        <v>1240</v>
      </c>
      <c r="S271" s="93">
        <v>1060</v>
      </c>
      <c r="T271" s="93">
        <v>395</v>
      </c>
      <c r="U271" s="93">
        <v>395</v>
      </c>
      <c r="V271" s="93">
        <v>260</v>
      </c>
      <c r="W271" s="84">
        <v>2</v>
      </c>
      <c r="X271" s="85" t="s">
        <v>142</v>
      </c>
      <c r="Y271" s="86" t="s">
        <v>2010</v>
      </c>
      <c r="Z271" s="87">
        <v>6</v>
      </c>
      <c r="AA271" s="88" t="s">
        <v>266</v>
      </c>
      <c r="AB271" s="89">
        <v>1450</v>
      </c>
      <c r="AC271" s="86">
        <v>3</v>
      </c>
      <c r="AD271" s="88" t="s">
        <v>459</v>
      </c>
      <c r="AE271" s="89">
        <v>395</v>
      </c>
      <c r="AF271" s="86"/>
      <c r="AG271" s="88"/>
      <c r="AH271" s="89"/>
      <c r="AI271" s="86"/>
      <c r="AJ271" s="88"/>
      <c r="AK271" s="89"/>
      <c r="AL271" s="90"/>
      <c r="AM271" s="91"/>
      <c r="AN271" s="91" t="s">
        <v>471</v>
      </c>
      <c r="AO271" s="243" t="str">
        <f t="shared" si="11"/>
        <v>3UYCERANS27121BM35</v>
      </c>
    </row>
    <row r="272" spans="1:41" x14ac:dyDescent="0.15">
      <c r="A272" s="83">
        <v>4114</v>
      </c>
      <c r="B272" s="92">
        <v>278</v>
      </c>
      <c r="C272" s="92"/>
      <c r="D272" s="92" t="s">
        <v>2099</v>
      </c>
      <c r="E272" s="92"/>
      <c r="F272" s="92" t="s">
        <v>184</v>
      </c>
      <c r="G272" s="92" t="str">
        <f t="shared" si="12"/>
        <v>3UYCERANS27121BM</v>
      </c>
      <c r="H272" s="92" t="s">
        <v>269</v>
      </c>
      <c r="I272" s="92" t="s">
        <v>2031</v>
      </c>
      <c r="J272" s="92" t="s">
        <v>132</v>
      </c>
      <c r="K272" s="92" t="s">
        <v>2100</v>
      </c>
      <c r="L272" s="92" t="s">
        <v>2101</v>
      </c>
      <c r="M272" s="92" t="str">
        <f t="shared" si="13"/>
        <v>3UYCERANS27121BM301265</v>
      </c>
      <c r="N272" s="92" t="str">
        <f t="shared" si="14"/>
        <v>3UYCERANS27121BM30394</v>
      </c>
      <c r="O272" s="93">
        <v>30</v>
      </c>
      <c r="P272" s="92">
        <v>3</v>
      </c>
      <c r="Q272" s="92" t="s">
        <v>2014</v>
      </c>
      <c r="R272" s="93">
        <v>1265</v>
      </c>
      <c r="S272" s="93">
        <v>1000</v>
      </c>
      <c r="T272" s="93">
        <v>394</v>
      </c>
      <c r="U272" s="93">
        <v>394</v>
      </c>
      <c r="V272" s="93">
        <v>260</v>
      </c>
      <c r="W272" s="84">
        <v>2</v>
      </c>
      <c r="X272" s="85" t="s">
        <v>142</v>
      </c>
      <c r="Y272" s="86" t="s">
        <v>2010</v>
      </c>
      <c r="Z272" s="87">
        <v>6</v>
      </c>
      <c r="AA272" s="88" t="s">
        <v>266</v>
      </c>
      <c r="AB272" s="89">
        <v>1450</v>
      </c>
      <c r="AC272" s="86">
        <v>3</v>
      </c>
      <c r="AD272" s="88" t="s">
        <v>459</v>
      </c>
      <c r="AE272" s="89">
        <v>395</v>
      </c>
      <c r="AF272" s="86"/>
      <c r="AG272" s="88"/>
      <c r="AH272" s="89"/>
      <c r="AI272" s="86"/>
      <c r="AJ272" s="88"/>
      <c r="AK272" s="89"/>
      <c r="AL272" s="90"/>
      <c r="AM272" s="91"/>
      <c r="AN272" s="91" t="s">
        <v>471</v>
      </c>
      <c r="AO272" s="243" t="str">
        <f t="shared" si="11"/>
        <v>3UYCERANS27121BM30</v>
      </c>
    </row>
    <row r="273" spans="1:41" x14ac:dyDescent="0.15">
      <c r="A273" s="83">
        <v>4114</v>
      </c>
      <c r="B273" s="92">
        <v>273</v>
      </c>
      <c r="C273" s="92"/>
      <c r="D273" s="92" t="s">
        <v>2102</v>
      </c>
      <c r="E273" s="92" t="s">
        <v>2103</v>
      </c>
      <c r="F273" s="92" t="s">
        <v>184</v>
      </c>
      <c r="G273" s="92" t="str">
        <f t="shared" si="12"/>
        <v>3UNCERANS10106</v>
      </c>
      <c r="H273" s="92" t="s">
        <v>269</v>
      </c>
      <c r="I273" s="92" t="s">
        <v>1550</v>
      </c>
      <c r="J273" s="92" t="s">
        <v>132</v>
      </c>
      <c r="K273" s="92">
        <v>10106</v>
      </c>
      <c r="L273" s="92" t="s">
        <v>2104</v>
      </c>
      <c r="M273" s="92" t="str">
        <f t="shared" si="13"/>
        <v>3UNCERANS101061881320</v>
      </c>
      <c r="N273" s="92" t="str">
        <f t="shared" si="14"/>
        <v>3UNCERANS101061881310</v>
      </c>
      <c r="O273" s="93">
        <v>188</v>
      </c>
      <c r="P273" s="92">
        <v>3</v>
      </c>
      <c r="Q273" s="92" t="s">
        <v>2015</v>
      </c>
      <c r="R273" s="93">
        <v>1320</v>
      </c>
      <c r="S273" s="93">
        <v>1200</v>
      </c>
      <c r="T273" s="93">
        <v>1310</v>
      </c>
      <c r="U273" s="93">
        <v>1310</v>
      </c>
      <c r="V273" s="93">
        <v>1000</v>
      </c>
      <c r="W273" s="84">
        <v>2</v>
      </c>
      <c r="X273" s="85" t="s">
        <v>142</v>
      </c>
      <c r="Y273" s="86" t="s">
        <v>15</v>
      </c>
      <c r="Z273" s="87">
        <v>6</v>
      </c>
      <c r="AA273" s="88" t="s">
        <v>16</v>
      </c>
      <c r="AB273" s="89">
        <v>1400</v>
      </c>
      <c r="AC273" s="142"/>
      <c r="AD273" s="129"/>
      <c r="AE273" s="95"/>
      <c r="AF273" s="86"/>
      <c r="AG273" s="88"/>
      <c r="AH273" s="89"/>
      <c r="AI273" s="86"/>
      <c r="AJ273" s="88"/>
      <c r="AK273" s="89"/>
      <c r="AL273" s="90"/>
      <c r="AM273" s="91"/>
      <c r="AN273" s="91" t="s">
        <v>471</v>
      </c>
      <c r="AO273" s="243" t="str">
        <f t="shared" si="11"/>
        <v>3UNCERANS10106188</v>
      </c>
    </row>
    <row r="274" spans="1:41" x14ac:dyDescent="0.15">
      <c r="A274" s="83">
        <v>4114</v>
      </c>
      <c r="B274" s="92">
        <v>271</v>
      </c>
      <c r="C274" s="92"/>
      <c r="D274" s="92" t="s">
        <v>2105</v>
      </c>
      <c r="E274" s="92" t="s">
        <v>11</v>
      </c>
      <c r="F274" s="92" t="s">
        <v>184</v>
      </c>
      <c r="G274" s="92" t="str">
        <f t="shared" si="12"/>
        <v>3UNCERANS27118</v>
      </c>
      <c r="H274" s="92" t="s">
        <v>269</v>
      </c>
      <c r="I274" s="92" t="s">
        <v>1550</v>
      </c>
      <c r="J274" s="92" t="s">
        <v>132</v>
      </c>
      <c r="K274" s="92">
        <v>27118</v>
      </c>
      <c r="L274" s="92" t="s">
        <v>2106</v>
      </c>
      <c r="M274" s="92" t="str">
        <f t="shared" si="13"/>
        <v>3UNCERANS27118381100</v>
      </c>
      <c r="N274" s="92" t="str">
        <f t="shared" si="14"/>
        <v>3UNCERANS27118381090</v>
      </c>
      <c r="O274" s="93">
        <v>38</v>
      </c>
      <c r="P274" s="92">
        <v>3</v>
      </c>
      <c r="Q274" s="92" t="s">
        <v>2013</v>
      </c>
      <c r="R274" s="93">
        <v>1100</v>
      </c>
      <c r="S274" s="93">
        <v>4000</v>
      </c>
      <c r="T274" s="93">
        <v>1090</v>
      </c>
      <c r="U274" s="93">
        <v>1090</v>
      </c>
      <c r="V274" s="93">
        <v>3800</v>
      </c>
      <c r="W274" s="84">
        <v>2</v>
      </c>
      <c r="X274" s="85" t="s">
        <v>142</v>
      </c>
      <c r="Y274" s="86" t="s">
        <v>15</v>
      </c>
      <c r="Z274" s="87">
        <v>6</v>
      </c>
      <c r="AA274" s="88" t="s">
        <v>16</v>
      </c>
      <c r="AB274" s="89">
        <v>1170</v>
      </c>
      <c r="AC274" s="142"/>
      <c r="AD274" s="129"/>
      <c r="AE274" s="95"/>
      <c r="AF274" s="86"/>
      <c r="AG274" s="88"/>
      <c r="AH274" s="89"/>
      <c r="AI274" s="86"/>
      <c r="AJ274" s="88"/>
      <c r="AK274" s="89"/>
      <c r="AL274" s="90"/>
      <c r="AM274" s="91"/>
      <c r="AN274" s="91" t="s">
        <v>471</v>
      </c>
      <c r="AO274" s="243" t="str">
        <f t="shared" si="11"/>
        <v>3UNCERANS2711838</v>
      </c>
    </row>
    <row r="275" spans="1:41" x14ac:dyDescent="0.15">
      <c r="A275" s="83">
        <v>4114</v>
      </c>
      <c r="B275" s="92">
        <v>271</v>
      </c>
      <c r="C275" s="92"/>
      <c r="D275" s="92" t="s">
        <v>2107</v>
      </c>
      <c r="E275" s="92" t="s">
        <v>11</v>
      </c>
      <c r="F275" s="92" t="s">
        <v>184</v>
      </c>
      <c r="G275" s="92" t="str">
        <f t="shared" si="12"/>
        <v>3UYCERANS27118</v>
      </c>
      <c r="H275" s="92" t="s">
        <v>269</v>
      </c>
      <c r="I275" s="92" t="s">
        <v>2031</v>
      </c>
      <c r="J275" s="92" t="s">
        <v>132</v>
      </c>
      <c r="K275" s="92">
        <v>27118</v>
      </c>
      <c r="L275" s="92" t="s">
        <v>2106</v>
      </c>
      <c r="M275" s="92" t="str">
        <f t="shared" si="13"/>
        <v>3UYCERANS27118751160</v>
      </c>
      <c r="N275" s="92" t="str">
        <f t="shared" si="14"/>
        <v>3UYCERANS27118751160</v>
      </c>
      <c r="O275" s="93">
        <v>75</v>
      </c>
      <c r="P275" s="92">
        <v>3</v>
      </c>
      <c r="Q275" s="92" t="s">
        <v>2013</v>
      </c>
      <c r="R275" s="93">
        <v>1160</v>
      </c>
      <c r="S275" s="93">
        <v>2000</v>
      </c>
      <c r="T275" s="93">
        <v>1160</v>
      </c>
      <c r="U275" s="93">
        <v>1160</v>
      </c>
      <c r="V275" s="93">
        <v>2000</v>
      </c>
      <c r="W275" s="84">
        <v>2</v>
      </c>
      <c r="X275" s="85" t="s">
        <v>142</v>
      </c>
      <c r="Y275" s="86" t="s">
        <v>295</v>
      </c>
      <c r="Z275" s="87">
        <v>6</v>
      </c>
      <c r="AA275" s="88" t="s">
        <v>266</v>
      </c>
      <c r="AB275" s="89">
        <v>1450</v>
      </c>
      <c r="AC275" s="142"/>
      <c r="AD275" s="129"/>
      <c r="AE275" s="95"/>
      <c r="AF275" s="86"/>
      <c r="AG275" s="88"/>
      <c r="AH275" s="89"/>
      <c r="AI275" s="86"/>
      <c r="AJ275" s="88"/>
      <c r="AK275" s="89"/>
      <c r="AL275" s="90"/>
      <c r="AM275" s="91"/>
      <c r="AN275" s="91" t="s">
        <v>471</v>
      </c>
      <c r="AO275" s="243" t="str">
        <f t="shared" si="11"/>
        <v>3UYCERANS2711875</v>
      </c>
    </row>
    <row r="276" spans="1:41" x14ac:dyDescent="0.15">
      <c r="A276" s="83">
        <v>4114</v>
      </c>
      <c r="B276" s="92">
        <v>271</v>
      </c>
      <c r="C276" s="92"/>
      <c r="D276" s="92" t="s">
        <v>2107</v>
      </c>
      <c r="E276" s="92" t="s">
        <v>11</v>
      </c>
      <c r="F276" s="92" t="s">
        <v>184</v>
      </c>
      <c r="G276" s="92" t="str">
        <f t="shared" si="12"/>
        <v>3UNCERANS27118</v>
      </c>
      <c r="H276" s="92" t="s">
        <v>269</v>
      </c>
      <c r="I276" s="92" t="s">
        <v>1550</v>
      </c>
      <c r="J276" s="92" t="s">
        <v>132</v>
      </c>
      <c r="K276" s="92">
        <v>27118</v>
      </c>
      <c r="L276" s="92" t="s">
        <v>2106</v>
      </c>
      <c r="M276" s="92" t="str">
        <f t="shared" si="13"/>
        <v>3UNCERANS27118751160</v>
      </c>
      <c r="N276" s="92" t="str">
        <f t="shared" si="14"/>
        <v>3UNCERANS27118751160</v>
      </c>
      <c r="O276" s="93">
        <v>75</v>
      </c>
      <c r="P276" s="92">
        <v>3</v>
      </c>
      <c r="Q276" s="92" t="s">
        <v>2013</v>
      </c>
      <c r="R276" s="93">
        <v>1160</v>
      </c>
      <c r="S276" s="93">
        <v>2000</v>
      </c>
      <c r="T276" s="93">
        <v>1160</v>
      </c>
      <c r="U276" s="93">
        <v>1160</v>
      </c>
      <c r="V276" s="93">
        <v>2000</v>
      </c>
      <c r="W276" s="84">
        <v>2</v>
      </c>
      <c r="X276" s="85" t="s">
        <v>142</v>
      </c>
      <c r="Y276" s="86" t="s">
        <v>295</v>
      </c>
      <c r="Z276" s="87">
        <v>6</v>
      </c>
      <c r="AA276" s="88" t="s">
        <v>266</v>
      </c>
      <c r="AB276" s="89">
        <v>1450</v>
      </c>
      <c r="AC276" s="142"/>
      <c r="AD276" s="129"/>
      <c r="AE276" s="95"/>
      <c r="AF276" s="86"/>
      <c r="AG276" s="88"/>
      <c r="AH276" s="89"/>
      <c r="AI276" s="86"/>
      <c r="AJ276" s="88"/>
      <c r="AK276" s="89"/>
      <c r="AL276" s="90"/>
      <c r="AM276" s="91"/>
      <c r="AN276" s="91" t="s">
        <v>471</v>
      </c>
      <c r="AO276" s="243" t="str">
        <f t="shared" si="11"/>
        <v>3UNCERANS2711875</v>
      </c>
    </row>
    <row r="277" spans="1:41" x14ac:dyDescent="0.15">
      <c r="A277" s="83">
        <v>4114</v>
      </c>
      <c r="B277" s="92">
        <v>271</v>
      </c>
      <c r="C277" s="92"/>
      <c r="D277" s="92" t="s">
        <v>2107</v>
      </c>
      <c r="E277" s="92" t="s">
        <v>11</v>
      </c>
      <c r="F277" s="92" t="s">
        <v>184</v>
      </c>
      <c r="G277" s="92" t="str">
        <f t="shared" si="12"/>
        <v>3UYCERANS27118</v>
      </c>
      <c r="H277" s="92" t="s">
        <v>269</v>
      </c>
      <c r="I277" s="92" t="s">
        <v>2031</v>
      </c>
      <c r="J277" s="92" t="s">
        <v>132</v>
      </c>
      <c r="K277" s="92">
        <v>27118</v>
      </c>
      <c r="L277" s="92" t="s">
        <v>2106</v>
      </c>
      <c r="M277" s="92" t="str">
        <f t="shared" si="13"/>
        <v>3UYCERANS27118751496</v>
      </c>
      <c r="N277" s="92" t="str">
        <f t="shared" si="14"/>
        <v>3UYCERANS27118751486</v>
      </c>
      <c r="O277" s="93">
        <v>75</v>
      </c>
      <c r="P277" s="92">
        <v>3</v>
      </c>
      <c r="Q277" s="92" t="s">
        <v>2013</v>
      </c>
      <c r="R277" s="93">
        <v>1496</v>
      </c>
      <c r="S277" s="93">
        <v>3000</v>
      </c>
      <c r="T277" s="93">
        <v>1486</v>
      </c>
      <c r="U277" s="93">
        <v>1486</v>
      </c>
      <c r="V277" s="93">
        <v>2900</v>
      </c>
      <c r="W277" s="84">
        <v>2</v>
      </c>
      <c r="X277" s="85" t="s">
        <v>142</v>
      </c>
      <c r="Y277" s="86" t="s">
        <v>15</v>
      </c>
      <c r="Z277" s="87">
        <v>6</v>
      </c>
      <c r="AA277" s="88" t="s">
        <v>16</v>
      </c>
      <c r="AB277" s="89">
        <v>1640</v>
      </c>
      <c r="AC277" s="142"/>
      <c r="AD277" s="129"/>
      <c r="AE277" s="95"/>
      <c r="AF277" s="86"/>
      <c r="AG277" s="88"/>
      <c r="AH277" s="89"/>
      <c r="AI277" s="86"/>
      <c r="AJ277" s="88"/>
      <c r="AK277" s="89"/>
      <c r="AL277" s="90"/>
      <c r="AM277" s="91"/>
      <c r="AN277" s="91" t="s">
        <v>471</v>
      </c>
      <c r="AO277" s="243" t="str">
        <f t="shared" si="11"/>
        <v>3UYCERANS2711875</v>
      </c>
    </row>
    <row r="278" spans="1:41" x14ac:dyDescent="0.15">
      <c r="A278" s="83">
        <v>4114</v>
      </c>
      <c r="B278" s="92">
        <v>271</v>
      </c>
      <c r="C278" s="92"/>
      <c r="D278" s="92" t="s">
        <v>2107</v>
      </c>
      <c r="E278" s="92" t="s">
        <v>11</v>
      </c>
      <c r="F278" s="92" t="s">
        <v>184</v>
      </c>
      <c r="G278" s="92" t="str">
        <f t="shared" si="12"/>
        <v>3UYCERANS27118MC</v>
      </c>
      <c r="H278" s="92" t="s">
        <v>269</v>
      </c>
      <c r="I278" s="92" t="s">
        <v>2031</v>
      </c>
      <c r="J278" s="92" t="s">
        <v>132</v>
      </c>
      <c r="K278" s="92" t="s">
        <v>2339</v>
      </c>
      <c r="L278" s="92" t="s">
        <v>2106</v>
      </c>
      <c r="M278" s="92" t="str">
        <f t="shared" si="13"/>
        <v>3UYCERANS27118MC751496</v>
      </c>
      <c r="N278" s="92" t="str">
        <f t="shared" si="14"/>
        <v>3UYCERANS27118MC751486</v>
      </c>
      <c r="O278" s="93">
        <v>75</v>
      </c>
      <c r="P278" s="92">
        <v>3</v>
      </c>
      <c r="Q278" s="92" t="s">
        <v>2013</v>
      </c>
      <c r="R278" s="93">
        <v>1496</v>
      </c>
      <c r="S278" s="93">
        <v>3000</v>
      </c>
      <c r="T278" s="93">
        <v>1486</v>
      </c>
      <c r="U278" s="93">
        <v>1486</v>
      </c>
      <c r="V278" s="93">
        <v>2900</v>
      </c>
      <c r="W278" s="84">
        <v>2</v>
      </c>
      <c r="X278" s="85" t="s">
        <v>142</v>
      </c>
      <c r="Y278" s="86" t="s">
        <v>15</v>
      </c>
      <c r="Z278" s="87">
        <v>6</v>
      </c>
      <c r="AA278" s="88" t="s">
        <v>16</v>
      </c>
      <c r="AB278" s="89">
        <v>1640</v>
      </c>
      <c r="AC278" s="142"/>
      <c r="AD278" s="129"/>
      <c r="AE278" s="95"/>
      <c r="AF278" s="86"/>
      <c r="AG278" s="88"/>
      <c r="AH278" s="89"/>
      <c r="AI278" s="86"/>
      <c r="AJ278" s="88"/>
      <c r="AK278" s="89"/>
      <c r="AL278" s="90"/>
      <c r="AM278" s="91"/>
      <c r="AN278" s="91" t="s">
        <v>471</v>
      </c>
      <c r="AO278" s="243" t="str">
        <f t="shared" si="11"/>
        <v>3UYCERANS27118MC75</v>
      </c>
    </row>
    <row r="279" spans="1:41" x14ac:dyDescent="0.15">
      <c r="A279" s="83">
        <v>4114</v>
      </c>
      <c r="B279" s="92">
        <v>271</v>
      </c>
      <c r="C279" s="92"/>
      <c r="D279" s="92" t="s">
        <v>2108</v>
      </c>
      <c r="E279" s="92" t="s">
        <v>11</v>
      </c>
      <c r="F279" s="92" t="s">
        <v>184</v>
      </c>
      <c r="G279" s="92" t="str">
        <f t="shared" si="12"/>
        <v>3UYCERANS27114</v>
      </c>
      <c r="H279" s="92" t="s">
        <v>269</v>
      </c>
      <c r="I279" s="92" t="s">
        <v>2031</v>
      </c>
      <c r="J279" s="92" t="s">
        <v>132</v>
      </c>
      <c r="K279" s="92">
        <v>27114</v>
      </c>
      <c r="L279" s="92" t="s">
        <v>2109</v>
      </c>
      <c r="M279" s="92" t="str">
        <f t="shared" si="13"/>
        <v>3UYCERANS27114501310</v>
      </c>
      <c r="N279" s="92" t="str">
        <f t="shared" si="14"/>
        <v>3UYCERANS27114501300</v>
      </c>
      <c r="O279" s="93">
        <v>50</v>
      </c>
      <c r="P279" s="92">
        <v>3</v>
      </c>
      <c r="Q279" s="92" t="s">
        <v>503</v>
      </c>
      <c r="R279" s="93">
        <v>1310</v>
      </c>
      <c r="S279" s="93">
        <v>6400</v>
      </c>
      <c r="T279" s="93">
        <v>1300</v>
      </c>
      <c r="U279" s="93">
        <v>1300</v>
      </c>
      <c r="V279" s="93">
        <v>6200</v>
      </c>
      <c r="W279" s="84">
        <v>2</v>
      </c>
      <c r="X279" s="85" t="s">
        <v>142</v>
      </c>
      <c r="Y279" s="86" t="s">
        <v>15</v>
      </c>
      <c r="Z279" s="87">
        <v>6</v>
      </c>
      <c r="AA279" s="88" t="s">
        <v>16</v>
      </c>
      <c r="AB279" s="89">
        <v>1400</v>
      </c>
      <c r="AC279" s="142"/>
      <c r="AD279" s="129"/>
      <c r="AE279" s="95"/>
      <c r="AF279" s="86"/>
      <c r="AG279" s="88"/>
      <c r="AH279" s="89"/>
      <c r="AI279" s="86"/>
      <c r="AJ279" s="88"/>
      <c r="AK279" s="89"/>
      <c r="AL279" s="90"/>
      <c r="AM279" s="91"/>
      <c r="AN279" s="91" t="s">
        <v>471</v>
      </c>
      <c r="AO279" s="243" t="str">
        <f t="shared" si="11"/>
        <v>3UYCERANS2711450</v>
      </c>
    </row>
    <row r="280" spans="1:41" x14ac:dyDescent="0.15">
      <c r="A280" s="83">
        <v>4114</v>
      </c>
      <c r="B280" s="92">
        <v>271</v>
      </c>
      <c r="C280" s="92"/>
      <c r="D280" s="92" t="s">
        <v>2107</v>
      </c>
      <c r="E280" s="92" t="s">
        <v>11</v>
      </c>
      <c r="F280" s="92" t="s">
        <v>184</v>
      </c>
      <c r="G280" s="92" t="str">
        <f t="shared" si="12"/>
        <v>3UYCERANS27114</v>
      </c>
      <c r="H280" s="92" t="s">
        <v>269</v>
      </c>
      <c r="I280" s="92" t="s">
        <v>2031</v>
      </c>
      <c r="J280" s="92" t="s">
        <v>132</v>
      </c>
      <c r="K280" s="92">
        <v>27114</v>
      </c>
      <c r="L280" s="92" t="s">
        <v>2109</v>
      </c>
      <c r="M280" s="92" t="str">
        <f t="shared" si="13"/>
        <v>3UYCERANS27114751410</v>
      </c>
      <c r="N280" s="92" t="str">
        <f t="shared" si="14"/>
        <v>3UYCERANS27114751400</v>
      </c>
      <c r="O280" s="93">
        <v>75</v>
      </c>
      <c r="P280" s="92">
        <v>3</v>
      </c>
      <c r="Q280" s="92" t="s">
        <v>2002</v>
      </c>
      <c r="R280" s="93">
        <v>1410</v>
      </c>
      <c r="S280" s="93">
        <v>4100</v>
      </c>
      <c r="T280" s="93">
        <v>1400</v>
      </c>
      <c r="U280" s="93">
        <v>1400</v>
      </c>
      <c r="V280" s="93">
        <v>4000</v>
      </c>
      <c r="W280" s="84">
        <v>2</v>
      </c>
      <c r="X280" s="85" t="s">
        <v>142</v>
      </c>
      <c r="Y280" s="86" t="s">
        <v>15</v>
      </c>
      <c r="Z280" s="87">
        <v>6</v>
      </c>
      <c r="AA280" s="88" t="s">
        <v>266</v>
      </c>
      <c r="AB280" s="89">
        <v>1450</v>
      </c>
      <c r="AC280" s="142"/>
      <c r="AD280" s="129"/>
      <c r="AE280" s="95"/>
      <c r="AF280" s="86"/>
      <c r="AG280" s="88"/>
      <c r="AH280" s="89"/>
      <c r="AI280" s="86"/>
      <c r="AJ280" s="88"/>
      <c r="AK280" s="89"/>
      <c r="AL280" s="90"/>
      <c r="AM280" s="91"/>
      <c r="AN280" s="91" t="s">
        <v>471</v>
      </c>
      <c r="AO280" s="243" t="str">
        <f t="shared" si="11"/>
        <v>3UYCERANS2711475</v>
      </c>
    </row>
    <row r="281" spans="1:41" x14ac:dyDescent="0.15">
      <c r="A281" s="83">
        <v>4114</v>
      </c>
      <c r="B281" s="92">
        <v>271</v>
      </c>
      <c r="C281" s="92"/>
      <c r="D281" s="92" t="s">
        <v>2107</v>
      </c>
      <c r="E281" s="92" t="s">
        <v>11</v>
      </c>
      <c r="F281" s="92" t="s">
        <v>184</v>
      </c>
      <c r="G281" s="92" t="str">
        <f t="shared" si="12"/>
        <v>3UYCERANS27114MA</v>
      </c>
      <c r="H281" s="92" t="s">
        <v>269</v>
      </c>
      <c r="I281" s="92" t="s">
        <v>2031</v>
      </c>
      <c r="J281" s="92" t="s">
        <v>132</v>
      </c>
      <c r="K281" s="92" t="s">
        <v>2110</v>
      </c>
      <c r="L281" s="92" t="s">
        <v>2109</v>
      </c>
      <c r="M281" s="92" t="str">
        <f t="shared" si="13"/>
        <v>3UYCERANS27114MA751410</v>
      </c>
      <c r="N281" s="92" t="str">
        <f t="shared" si="14"/>
        <v>3UYCERANS27114MA75685</v>
      </c>
      <c r="O281" s="93">
        <v>75</v>
      </c>
      <c r="P281" s="92">
        <v>3</v>
      </c>
      <c r="Q281" s="92" t="s">
        <v>2002</v>
      </c>
      <c r="R281" s="93">
        <v>1410</v>
      </c>
      <c r="S281" s="93">
        <v>4100</v>
      </c>
      <c r="T281" s="93">
        <v>685</v>
      </c>
      <c r="U281" s="93">
        <v>685</v>
      </c>
      <c r="V281" s="93">
        <v>2000</v>
      </c>
      <c r="W281" s="84">
        <v>2</v>
      </c>
      <c r="X281" s="85" t="s">
        <v>142</v>
      </c>
      <c r="Y281" s="86" t="s">
        <v>295</v>
      </c>
      <c r="Z281" s="87">
        <v>6</v>
      </c>
      <c r="AA281" s="88" t="s">
        <v>266</v>
      </c>
      <c r="AB281" s="89">
        <v>1450</v>
      </c>
      <c r="AC281" s="86">
        <v>3</v>
      </c>
      <c r="AD281" s="88" t="s">
        <v>459</v>
      </c>
      <c r="AE281" s="89">
        <v>700</v>
      </c>
      <c r="AF281" s="86"/>
      <c r="AG281" s="88"/>
      <c r="AH281" s="89"/>
      <c r="AI281" s="86"/>
      <c r="AJ281" s="88"/>
      <c r="AK281" s="89"/>
      <c r="AL281" s="90"/>
      <c r="AM281" s="91"/>
      <c r="AN281" s="91" t="s">
        <v>471</v>
      </c>
      <c r="AO281" s="243" t="str">
        <f t="shared" si="11"/>
        <v>3UYCERANS27114MA75</v>
      </c>
    </row>
    <row r="282" spans="1:41" x14ac:dyDescent="0.15">
      <c r="A282" s="83">
        <v>4113</v>
      </c>
      <c r="B282" s="92">
        <v>271</v>
      </c>
      <c r="C282" s="92"/>
      <c r="D282" s="92" t="s">
        <v>2107</v>
      </c>
      <c r="E282" s="92" t="s">
        <v>11</v>
      </c>
      <c r="F282" s="92" t="s">
        <v>184</v>
      </c>
      <c r="G282" s="92" t="str">
        <f t="shared" si="12"/>
        <v>3TYCERANS27114MA</v>
      </c>
      <c r="H282" s="92" t="s">
        <v>1648</v>
      </c>
      <c r="I282" s="92" t="s">
        <v>2031</v>
      </c>
      <c r="J282" s="92" t="s">
        <v>132</v>
      </c>
      <c r="K282" s="92" t="s">
        <v>2110</v>
      </c>
      <c r="L282" s="92" t="s">
        <v>2109</v>
      </c>
      <c r="M282" s="92" t="str">
        <f t="shared" si="13"/>
        <v>3TYCERANS27114MA751410</v>
      </c>
      <c r="N282" s="92" t="str">
        <f t="shared" si="14"/>
        <v>3TYCERANS27114MA75685</v>
      </c>
      <c r="O282" s="93">
        <v>75</v>
      </c>
      <c r="P282" s="92">
        <v>3</v>
      </c>
      <c r="Q282" s="92" t="s">
        <v>1991</v>
      </c>
      <c r="R282" s="93">
        <v>1410</v>
      </c>
      <c r="S282" s="93">
        <v>4100</v>
      </c>
      <c r="T282" s="93">
        <v>685</v>
      </c>
      <c r="U282" s="93">
        <v>685</v>
      </c>
      <c r="V282" s="93">
        <v>2000</v>
      </c>
      <c r="W282" s="84">
        <v>2</v>
      </c>
      <c r="X282" s="85" t="s">
        <v>142</v>
      </c>
      <c r="Y282" s="86" t="s">
        <v>295</v>
      </c>
      <c r="Z282" s="87">
        <v>6</v>
      </c>
      <c r="AA282" s="88" t="s">
        <v>266</v>
      </c>
      <c r="AB282" s="89">
        <v>1450</v>
      </c>
      <c r="AC282" s="86">
        <v>3</v>
      </c>
      <c r="AD282" s="88" t="s">
        <v>459</v>
      </c>
      <c r="AE282" s="89">
        <v>700</v>
      </c>
      <c r="AF282" s="86"/>
      <c r="AG282" s="88"/>
      <c r="AH282" s="89"/>
      <c r="AI282" s="86"/>
      <c r="AJ282" s="88"/>
      <c r="AK282" s="89"/>
      <c r="AL282" s="90"/>
      <c r="AM282" s="91"/>
      <c r="AN282" s="91" t="s">
        <v>471</v>
      </c>
      <c r="AO282" s="243" t="str">
        <f t="shared" si="11"/>
        <v>3TYCERANS27114MA75</v>
      </c>
    </row>
    <row r="283" spans="1:41" x14ac:dyDescent="0.15">
      <c r="A283" s="83">
        <v>4113</v>
      </c>
      <c r="B283" s="92">
        <v>271</v>
      </c>
      <c r="C283" s="92"/>
      <c r="D283" s="92" t="s">
        <v>2107</v>
      </c>
      <c r="E283" s="92" t="s">
        <v>11</v>
      </c>
      <c r="F283" s="92" t="s">
        <v>184</v>
      </c>
      <c r="G283" s="92" t="str">
        <f t="shared" si="12"/>
        <v>3TYCERANS27114MB</v>
      </c>
      <c r="H283" s="92" t="s">
        <v>1648</v>
      </c>
      <c r="I283" s="92" t="s">
        <v>2031</v>
      </c>
      <c r="J283" s="92" t="s">
        <v>132</v>
      </c>
      <c r="K283" s="92" t="s">
        <v>2111</v>
      </c>
      <c r="L283" s="92" t="s">
        <v>2109</v>
      </c>
      <c r="M283" s="92" t="str">
        <f t="shared" si="13"/>
        <v>3TYCERANS27114MB751410</v>
      </c>
      <c r="N283" s="92" t="str">
        <f t="shared" si="14"/>
        <v>3TYCERANS27114MB751400</v>
      </c>
      <c r="O283" s="93">
        <v>75</v>
      </c>
      <c r="P283" s="92">
        <v>3</v>
      </c>
      <c r="Q283" s="92" t="s">
        <v>1991</v>
      </c>
      <c r="R283" s="93">
        <v>1410</v>
      </c>
      <c r="S283" s="93">
        <v>4300</v>
      </c>
      <c r="T283" s="93">
        <v>1400</v>
      </c>
      <c r="U283" s="93">
        <v>1400</v>
      </c>
      <c r="V283" s="93">
        <v>4100</v>
      </c>
      <c r="W283" s="84">
        <v>2</v>
      </c>
      <c r="X283" s="85" t="s">
        <v>142</v>
      </c>
      <c r="Y283" s="86" t="s">
        <v>487</v>
      </c>
      <c r="Z283" s="87">
        <v>6</v>
      </c>
      <c r="AA283" s="88" t="s">
        <v>16</v>
      </c>
      <c r="AB283" s="89">
        <v>1500</v>
      </c>
      <c r="AC283" s="86"/>
      <c r="AD283" s="88"/>
      <c r="AE283" s="89"/>
      <c r="AF283" s="86"/>
      <c r="AG283" s="88"/>
      <c r="AH283" s="89"/>
      <c r="AI283" s="86"/>
      <c r="AJ283" s="88"/>
      <c r="AK283" s="89"/>
      <c r="AL283" s="90"/>
      <c r="AM283" s="91"/>
      <c r="AN283" s="91" t="s">
        <v>471</v>
      </c>
      <c r="AO283" s="243" t="str">
        <f t="shared" si="11"/>
        <v>3TYCERANS27114MB75</v>
      </c>
    </row>
    <row r="284" spans="1:41" x14ac:dyDescent="0.15">
      <c r="A284" s="83">
        <v>4113</v>
      </c>
      <c r="B284" s="92">
        <v>271</v>
      </c>
      <c r="C284" s="92"/>
      <c r="D284" s="92" t="s">
        <v>2107</v>
      </c>
      <c r="E284" s="92" t="s">
        <v>11</v>
      </c>
      <c r="F284" s="92" t="s">
        <v>184</v>
      </c>
      <c r="G284" s="92" t="str">
        <f t="shared" si="12"/>
        <v>3TYCERANS27114HA</v>
      </c>
      <c r="H284" s="92" t="s">
        <v>1648</v>
      </c>
      <c r="I284" s="92" t="s">
        <v>2031</v>
      </c>
      <c r="J284" s="92" t="s">
        <v>132</v>
      </c>
      <c r="K284" s="92" t="s">
        <v>2914</v>
      </c>
      <c r="L284" s="92" t="s">
        <v>2109</v>
      </c>
      <c r="M284" s="92" t="str">
        <f t="shared" si="13"/>
        <v>3TYCERANS27114HA501485</v>
      </c>
      <c r="N284" s="92" t="str">
        <f t="shared" si="14"/>
        <v>3TYCERANS27114HA501475</v>
      </c>
      <c r="O284" s="93">
        <v>50</v>
      </c>
      <c r="P284" s="92">
        <v>3</v>
      </c>
      <c r="Q284" s="92" t="s">
        <v>1991</v>
      </c>
      <c r="R284" s="93">
        <v>1485</v>
      </c>
      <c r="S284" s="93">
        <v>4200</v>
      </c>
      <c r="T284" s="93">
        <v>1475</v>
      </c>
      <c r="U284" s="93">
        <v>1475</v>
      </c>
      <c r="V284" s="93">
        <v>4000</v>
      </c>
      <c r="W284" s="84">
        <v>2</v>
      </c>
      <c r="X284" s="85" t="s">
        <v>142</v>
      </c>
      <c r="Y284" s="86" t="s">
        <v>487</v>
      </c>
      <c r="Z284" s="87">
        <v>6</v>
      </c>
      <c r="AA284" s="88" t="s">
        <v>16</v>
      </c>
      <c r="AB284" s="89">
        <v>1640</v>
      </c>
      <c r="AC284" s="86"/>
      <c r="AD284" s="88"/>
      <c r="AE284" s="89"/>
      <c r="AF284" s="86"/>
      <c r="AG284" s="88"/>
      <c r="AH284" s="89"/>
      <c r="AI284" s="86"/>
      <c r="AJ284" s="88"/>
      <c r="AK284" s="89"/>
      <c r="AL284" s="90"/>
      <c r="AM284" s="91"/>
      <c r="AN284" s="91" t="s">
        <v>471</v>
      </c>
      <c r="AO284" s="243" t="str">
        <f t="shared" si="11"/>
        <v>3TYCERANS27114HA50</v>
      </c>
    </row>
    <row r="285" spans="1:41" x14ac:dyDescent="0.15">
      <c r="A285" s="83">
        <v>4113</v>
      </c>
      <c r="B285" s="92">
        <v>271</v>
      </c>
      <c r="C285" s="92"/>
      <c r="D285" s="92" t="s">
        <v>2107</v>
      </c>
      <c r="E285" s="92" t="s">
        <v>11</v>
      </c>
      <c r="F285" s="92" t="s">
        <v>184</v>
      </c>
      <c r="G285" s="92" t="str">
        <f t="shared" si="12"/>
        <v>3TYCERANS27114HB</v>
      </c>
      <c r="H285" s="92" t="s">
        <v>1648</v>
      </c>
      <c r="I285" s="92" t="s">
        <v>2031</v>
      </c>
      <c r="J285" s="92" t="s">
        <v>132</v>
      </c>
      <c r="K285" s="92" t="s">
        <v>2915</v>
      </c>
      <c r="L285" s="92" t="s">
        <v>2109</v>
      </c>
      <c r="M285" s="92" t="str">
        <f t="shared" si="13"/>
        <v>3TYCERANS27114HB501310</v>
      </c>
      <c r="N285" s="92" t="str">
        <f t="shared" si="14"/>
        <v>3TYCERANS27114HB501300</v>
      </c>
      <c r="O285" s="93">
        <v>50</v>
      </c>
      <c r="P285" s="92">
        <v>3</v>
      </c>
      <c r="Q285" s="92" t="s">
        <v>1991</v>
      </c>
      <c r="R285" s="93">
        <v>1310</v>
      </c>
      <c r="S285" s="93">
        <v>4100</v>
      </c>
      <c r="T285" s="93">
        <v>1300</v>
      </c>
      <c r="U285" s="93">
        <v>1300</v>
      </c>
      <c r="V285" s="93">
        <v>4000</v>
      </c>
      <c r="W285" s="84">
        <v>2</v>
      </c>
      <c r="X285" s="85" t="s">
        <v>142</v>
      </c>
      <c r="Y285" s="86" t="s">
        <v>487</v>
      </c>
      <c r="Z285" s="87">
        <v>6</v>
      </c>
      <c r="AA285" s="88" t="s">
        <v>16</v>
      </c>
      <c r="AB285" s="89">
        <v>1500</v>
      </c>
      <c r="AC285" s="86"/>
      <c r="AD285" s="88"/>
      <c r="AE285" s="89"/>
      <c r="AF285" s="86"/>
      <c r="AG285" s="88"/>
      <c r="AH285" s="89"/>
      <c r="AI285" s="86"/>
      <c r="AJ285" s="88"/>
      <c r="AK285" s="89"/>
      <c r="AL285" s="90"/>
      <c r="AM285" s="91"/>
      <c r="AN285" s="91" t="s">
        <v>471</v>
      </c>
      <c r="AO285" s="243" t="str">
        <f t="shared" si="11"/>
        <v>3TYCERANS27114HB50</v>
      </c>
    </row>
    <row r="286" spans="1:41" x14ac:dyDescent="0.15">
      <c r="A286" s="83">
        <v>4113</v>
      </c>
      <c r="B286" s="92">
        <v>271</v>
      </c>
      <c r="C286" s="92"/>
      <c r="D286" s="92" t="s">
        <v>2107</v>
      </c>
      <c r="E286" s="92" t="s">
        <v>11</v>
      </c>
      <c r="F286" s="92" t="s">
        <v>184</v>
      </c>
      <c r="G286" s="92" t="str">
        <f t="shared" si="12"/>
        <v>3TYCERANS27114DB</v>
      </c>
      <c r="H286" s="92" t="s">
        <v>1648</v>
      </c>
      <c r="I286" s="92" t="s">
        <v>2031</v>
      </c>
      <c r="J286" s="92" t="s">
        <v>132</v>
      </c>
      <c r="K286" s="92" t="s">
        <v>2916</v>
      </c>
      <c r="L286" s="92" t="s">
        <v>2109</v>
      </c>
      <c r="M286" s="92" t="str">
        <f t="shared" si="13"/>
        <v>3TYCERANS27114DB751310</v>
      </c>
      <c r="N286" s="92" t="str">
        <f t="shared" si="14"/>
        <v>3TYCERANS27114DB751300</v>
      </c>
      <c r="O286" s="93">
        <v>75</v>
      </c>
      <c r="P286" s="92">
        <v>3</v>
      </c>
      <c r="Q286" s="92" t="s">
        <v>1991</v>
      </c>
      <c r="R286" s="93">
        <v>1310</v>
      </c>
      <c r="S286" s="93">
        <v>4500</v>
      </c>
      <c r="T286" s="93">
        <v>1300</v>
      </c>
      <c r="U286" s="93">
        <v>1300</v>
      </c>
      <c r="V286" s="93">
        <v>4400</v>
      </c>
      <c r="W286" s="84">
        <v>2</v>
      </c>
      <c r="X286" s="85" t="s">
        <v>142</v>
      </c>
      <c r="Y286" s="86" t="s">
        <v>487</v>
      </c>
      <c r="Z286" s="87">
        <v>6</v>
      </c>
      <c r="AA286" s="88" t="s">
        <v>16</v>
      </c>
      <c r="AB286" s="89">
        <v>1500</v>
      </c>
      <c r="AC286" s="86"/>
      <c r="AD286" s="88"/>
      <c r="AE286" s="89"/>
      <c r="AF286" s="86"/>
      <c r="AG286" s="88"/>
      <c r="AH286" s="89"/>
      <c r="AI286" s="86"/>
      <c r="AJ286" s="88"/>
      <c r="AK286" s="89"/>
      <c r="AL286" s="90"/>
      <c r="AM286" s="91"/>
      <c r="AN286" s="91" t="s">
        <v>471</v>
      </c>
      <c r="AO286" s="243" t="str">
        <f t="shared" si="11"/>
        <v>3TYCERANS27114DB75</v>
      </c>
    </row>
    <row r="287" spans="1:41" x14ac:dyDescent="0.15">
      <c r="A287" s="83">
        <v>4113</v>
      </c>
      <c r="B287" s="92">
        <v>271</v>
      </c>
      <c r="C287" s="92"/>
      <c r="D287" s="92" t="s">
        <v>2107</v>
      </c>
      <c r="E287" s="92" t="s">
        <v>11</v>
      </c>
      <c r="F287" s="92" t="s">
        <v>184</v>
      </c>
      <c r="G287" s="92" t="str">
        <f t="shared" si="12"/>
        <v>3TYCERANS27114</v>
      </c>
      <c r="H287" s="92" t="s">
        <v>1648</v>
      </c>
      <c r="I287" s="92" t="s">
        <v>2031</v>
      </c>
      <c r="J287" s="92" t="s">
        <v>132</v>
      </c>
      <c r="K287" s="92">
        <v>27114</v>
      </c>
      <c r="L287" s="92" t="s">
        <v>2109</v>
      </c>
      <c r="M287" s="92" t="str">
        <f t="shared" si="13"/>
        <v>3TYCERANS27114501310</v>
      </c>
      <c r="N287" s="92" t="str">
        <f t="shared" si="14"/>
        <v>3TYCERANS27114501300</v>
      </c>
      <c r="O287" s="93">
        <v>50</v>
      </c>
      <c r="P287" s="92">
        <v>3</v>
      </c>
      <c r="Q287" s="92" t="s">
        <v>1991</v>
      </c>
      <c r="R287" s="93">
        <v>1310</v>
      </c>
      <c r="S287" s="93">
        <v>4100</v>
      </c>
      <c r="T287" s="93">
        <v>1300</v>
      </c>
      <c r="U287" s="93">
        <v>1300</v>
      </c>
      <c r="V287" s="93">
        <v>4000</v>
      </c>
      <c r="W287" s="84">
        <v>2</v>
      </c>
      <c r="X287" s="85" t="s">
        <v>142</v>
      </c>
      <c r="Y287" s="86" t="s">
        <v>487</v>
      </c>
      <c r="Z287" s="87">
        <v>6</v>
      </c>
      <c r="AA287" s="88" t="s">
        <v>16</v>
      </c>
      <c r="AB287" s="89">
        <v>1400</v>
      </c>
      <c r="AC287" s="86"/>
      <c r="AD287" s="88"/>
      <c r="AE287" s="89"/>
      <c r="AF287" s="86"/>
      <c r="AG287" s="88"/>
      <c r="AH287" s="89"/>
      <c r="AI287" s="86"/>
      <c r="AJ287" s="88"/>
      <c r="AK287" s="89"/>
      <c r="AL287" s="90"/>
      <c r="AM287" s="91"/>
      <c r="AN287" s="91" t="s">
        <v>471</v>
      </c>
      <c r="AO287" s="243" t="str">
        <f t="shared" si="11"/>
        <v>3TYCERANS2711450</v>
      </c>
    </row>
    <row r="288" spans="1:41" x14ac:dyDescent="0.15">
      <c r="A288" s="83">
        <v>333</v>
      </c>
      <c r="B288" s="92">
        <v>271</v>
      </c>
      <c r="C288" s="92"/>
      <c r="D288" s="92" t="s">
        <v>2107</v>
      </c>
      <c r="E288" s="92" t="s">
        <v>11</v>
      </c>
      <c r="F288" s="92" t="s">
        <v>184</v>
      </c>
      <c r="G288" s="92" t="str">
        <f t="shared" si="12"/>
        <v>3SYCERANS27114MB</v>
      </c>
      <c r="H288" s="92" t="s">
        <v>1549</v>
      </c>
      <c r="I288" s="92" t="s">
        <v>2031</v>
      </c>
      <c r="J288" s="92" t="s">
        <v>132</v>
      </c>
      <c r="K288" s="92" t="s">
        <v>2111</v>
      </c>
      <c r="L288" s="92" t="s">
        <v>2109</v>
      </c>
      <c r="M288" s="92" t="str">
        <f t="shared" si="13"/>
        <v>3SYCERANS27114MB751410</v>
      </c>
      <c r="N288" s="92" t="str">
        <f t="shared" si="14"/>
        <v>3SYCERANS27114MB751400</v>
      </c>
      <c r="O288" s="93">
        <v>75</v>
      </c>
      <c r="P288" s="92">
        <v>3</v>
      </c>
      <c r="Q288" s="92" t="s">
        <v>1991</v>
      </c>
      <c r="R288" s="93">
        <v>1410</v>
      </c>
      <c r="S288" s="93">
        <v>4300</v>
      </c>
      <c r="T288" s="93">
        <v>1400</v>
      </c>
      <c r="U288" s="93">
        <v>1400</v>
      </c>
      <c r="V288" s="93">
        <v>4100</v>
      </c>
      <c r="W288" s="84">
        <v>2</v>
      </c>
      <c r="X288" s="85" t="s">
        <v>142</v>
      </c>
      <c r="Y288" s="86" t="s">
        <v>487</v>
      </c>
      <c r="Z288" s="87">
        <v>6</v>
      </c>
      <c r="AA288" s="88" t="s">
        <v>16</v>
      </c>
      <c r="AB288" s="89">
        <v>1500</v>
      </c>
      <c r="AC288" s="86"/>
      <c r="AD288" s="88"/>
      <c r="AE288" s="89"/>
      <c r="AF288" s="86"/>
      <c r="AG288" s="88"/>
      <c r="AH288" s="89"/>
      <c r="AI288" s="86"/>
      <c r="AJ288" s="88"/>
      <c r="AK288" s="89"/>
      <c r="AL288" s="90"/>
      <c r="AM288" s="91"/>
      <c r="AN288" s="91" t="s">
        <v>471</v>
      </c>
      <c r="AO288" s="243" t="str">
        <f t="shared" si="11"/>
        <v>3SYCERANS27114MB75</v>
      </c>
    </row>
    <row r="289" spans="1:41" x14ac:dyDescent="0.15">
      <c r="A289" s="83">
        <v>4114</v>
      </c>
      <c r="B289" s="92">
        <v>271</v>
      </c>
      <c r="C289" s="92"/>
      <c r="D289" s="92" t="s">
        <v>2107</v>
      </c>
      <c r="E289" s="92" t="s">
        <v>11</v>
      </c>
      <c r="F289" s="92" t="s">
        <v>184</v>
      </c>
      <c r="G289" s="92" t="str">
        <f t="shared" si="12"/>
        <v>3UYCERANS27114</v>
      </c>
      <c r="H289" s="92" t="s">
        <v>269</v>
      </c>
      <c r="I289" s="92" t="s">
        <v>2031</v>
      </c>
      <c r="J289" s="92" t="s">
        <v>132</v>
      </c>
      <c r="K289" s="92">
        <v>27114</v>
      </c>
      <c r="L289" s="92" t="s">
        <v>2109</v>
      </c>
      <c r="M289" s="92" t="str">
        <f t="shared" si="13"/>
        <v>3UYCERANS27114501310</v>
      </c>
      <c r="N289" s="92" t="str">
        <f t="shared" si="14"/>
        <v>3UYCERANS27114501300</v>
      </c>
      <c r="O289" s="93">
        <v>50</v>
      </c>
      <c r="P289" s="92">
        <v>3</v>
      </c>
      <c r="Q289" s="92" t="s">
        <v>503</v>
      </c>
      <c r="R289" s="93">
        <v>1310</v>
      </c>
      <c r="S289" s="93">
        <v>6400</v>
      </c>
      <c r="T289" s="93">
        <v>1300</v>
      </c>
      <c r="U289" s="93">
        <v>1300</v>
      </c>
      <c r="V289" s="93">
        <v>1000</v>
      </c>
      <c r="W289" s="84">
        <v>2</v>
      </c>
      <c r="X289" s="85" t="s">
        <v>142</v>
      </c>
      <c r="Y289" s="86" t="s">
        <v>15</v>
      </c>
      <c r="Z289" s="87">
        <v>6</v>
      </c>
      <c r="AA289" s="88" t="s">
        <v>266</v>
      </c>
      <c r="AB289" s="89">
        <v>1450</v>
      </c>
      <c r="AC289" s="142"/>
      <c r="AD289" s="129"/>
      <c r="AE289" s="95"/>
      <c r="AF289" s="86"/>
      <c r="AG289" s="88"/>
      <c r="AH289" s="89"/>
      <c r="AI289" s="86"/>
      <c r="AJ289" s="88"/>
      <c r="AK289" s="89"/>
      <c r="AL289" s="90"/>
      <c r="AM289" s="91"/>
      <c r="AN289" s="91" t="s">
        <v>471</v>
      </c>
      <c r="AO289" s="243" t="str">
        <f t="shared" si="11"/>
        <v>3UYCERANS2711450</v>
      </c>
    </row>
    <row r="290" spans="1:41" x14ac:dyDescent="0.15">
      <c r="A290" s="83">
        <v>4114</v>
      </c>
      <c r="B290" s="92">
        <v>271</v>
      </c>
      <c r="C290" s="92"/>
      <c r="D290" s="92" t="s">
        <v>2107</v>
      </c>
      <c r="E290" s="92" t="s">
        <v>11</v>
      </c>
      <c r="F290" s="92" t="s">
        <v>184</v>
      </c>
      <c r="G290" s="92" t="str">
        <f t="shared" si="12"/>
        <v>3UYCERANS27114</v>
      </c>
      <c r="H290" s="92" t="s">
        <v>269</v>
      </c>
      <c r="I290" s="92" t="s">
        <v>2031</v>
      </c>
      <c r="J290" s="92" t="s">
        <v>132</v>
      </c>
      <c r="K290" s="92">
        <v>27114</v>
      </c>
      <c r="L290" s="92" t="s">
        <v>2109</v>
      </c>
      <c r="M290" s="92" t="str">
        <f t="shared" si="13"/>
        <v>3UYCERANS27114501310</v>
      </c>
      <c r="N290" s="92" t="str">
        <f t="shared" si="14"/>
        <v>3UYCERANS27114501300</v>
      </c>
      <c r="O290" s="93">
        <v>50</v>
      </c>
      <c r="P290" s="92">
        <v>3</v>
      </c>
      <c r="Q290" s="92" t="s">
        <v>503</v>
      </c>
      <c r="R290" s="93">
        <v>1310</v>
      </c>
      <c r="S290" s="93">
        <v>6400</v>
      </c>
      <c r="T290" s="93">
        <v>1300</v>
      </c>
      <c r="U290" s="93">
        <v>1300</v>
      </c>
      <c r="V290" s="93">
        <v>5200</v>
      </c>
      <c r="W290" s="84">
        <v>2</v>
      </c>
      <c r="X290" s="85" t="s">
        <v>142</v>
      </c>
      <c r="Y290" s="86" t="s">
        <v>15</v>
      </c>
      <c r="Z290" s="87">
        <v>6</v>
      </c>
      <c r="AA290" s="88" t="s">
        <v>266</v>
      </c>
      <c r="AB290" s="89">
        <v>1450</v>
      </c>
      <c r="AC290" s="142"/>
      <c r="AD290" s="129"/>
      <c r="AE290" s="95"/>
      <c r="AF290" s="86"/>
      <c r="AG290" s="88"/>
      <c r="AH290" s="89"/>
      <c r="AI290" s="86"/>
      <c r="AJ290" s="88"/>
      <c r="AK290" s="89"/>
      <c r="AL290" s="90"/>
      <c r="AM290" s="91"/>
      <c r="AN290" s="91" t="s">
        <v>471</v>
      </c>
      <c r="AO290" s="243" t="str">
        <f t="shared" si="11"/>
        <v>3UYCERANS2711450</v>
      </c>
    </row>
    <row r="291" spans="1:41" x14ac:dyDescent="0.15">
      <c r="A291" s="83">
        <v>4114</v>
      </c>
      <c r="B291" s="92">
        <v>271</v>
      </c>
      <c r="C291" s="92"/>
      <c r="D291" s="92" t="s">
        <v>2107</v>
      </c>
      <c r="E291" s="92" t="s">
        <v>11</v>
      </c>
      <c r="F291" s="92" t="s">
        <v>184</v>
      </c>
      <c r="G291" s="92" t="str">
        <f t="shared" si="12"/>
        <v>3UNCERANS27114</v>
      </c>
      <c r="H291" s="92" t="s">
        <v>269</v>
      </c>
      <c r="I291" s="92" t="s">
        <v>1550</v>
      </c>
      <c r="J291" s="92" t="s">
        <v>132</v>
      </c>
      <c r="K291" s="92">
        <v>27114</v>
      </c>
      <c r="L291" s="92" t="s">
        <v>2109</v>
      </c>
      <c r="M291" s="92" t="str">
        <f t="shared" si="13"/>
        <v>3UNCERANS27114501310</v>
      </c>
      <c r="N291" s="92" t="str">
        <f t="shared" si="14"/>
        <v>3UNCERANS2711450300</v>
      </c>
      <c r="O291" s="93">
        <v>50</v>
      </c>
      <c r="P291" s="92">
        <v>3</v>
      </c>
      <c r="Q291" s="92" t="s">
        <v>503</v>
      </c>
      <c r="R291" s="93">
        <v>1310</v>
      </c>
      <c r="S291" s="93">
        <v>6400</v>
      </c>
      <c r="T291" s="93">
        <v>300</v>
      </c>
      <c r="U291" s="93">
        <v>300</v>
      </c>
      <c r="V291" s="93">
        <v>150</v>
      </c>
      <c r="W291" s="84">
        <v>2</v>
      </c>
      <c r="X291" s="85" t="s">
        <v>142</v>
      </c>
      <c r="Y291" s="86" t="s">
        <v>295</v>
      </c>
      <c r="Z291" s="87">
        <v>6</v>
      </c>
      <c r="AA291" s="88" t="s">
        <v>266</v>
      </c>
      <c r="AB291" s="89">
        <v>1450</v>
      </c>
      <c r="AC291" s="86">
        <v>3</v>
      </c>
      <c r="AD291" s="88" t="s">
        <v>459</v>
      </c>
      <c r="AE291" s="89">
        <v>322</v>
      </c>
      <c r="AF291" s="86"/>
      <c r="AG291" s="88"/>
      <c r="AH291" s="89"/>
      <c r="AI291" s="86"/>
      <c r="AJ291" s="88"/>
      <c r="AK291" s="89"/>
      <c r="AL291" s="90"/>
      <c r="AM291" s="91"/>
      <c r="AN291" s="91" t="s">
        <v>471</v>
      </c>
      <c r="AO291" s="243" t="str">
        <f t="shared" si="11"/>
        <v>3UNCERANS2711450</v>
      </c>
    </row>
    <row r="292" spans="1:41" x14ac:dyDescent="0.15">
      <c r="A292" s="83">
        <v>4114</v>
      </c>
      <c r="B292" s="92">
        <v>271</v>
      </c>
      <c r="C292" s="92"/>
      <c r="D292" s="92" t="s">
        <v>2107</v>
      </c>
      <c r="E292" s="92" t="s">
        <v>11</v>
      </c>
      <c r="F292" s="92" t="s">
        <v>184</v>
      </c>
      <c r="G292" s="92" t="str">
        <f t="shared" si="12"/>
        <v>3UNCERANS27114</v>
      </c>
      <c r="H292" s="92" t="s">
        <v>269</v>
      </c>
      <c r="I292" s="92" t="s">
        <v>1550</v>
      </c>
      <c r="J292" s="92" t="s">
        <v>132</v>
      </c>
      <c r="K292" s="92">
        <v>27114</v>
      </c>
      <c r="L292" s="92" t="s">
        <v>2109</v>
      </c>
      <c r="M292" s="92" t="str">
        <f t="shared" si="13"/>
        <v>3UNCERANS27114501310</v>
      </c>
      <c r="N292" s="92" t="str">
        <f t="shared" si="14"/>
        <v>3UNCERANS2711450650</v>
      </c>
      <c r="O292" s="93">
        <v>50</v>
      </c>
      <c r="P292" s="92">
        <v>3</v>
      </c>
      <c r="Q292" s="92" t="s">
        <v>503</v>
      </c>
      <c r="R292" s="93">
        <v>1310</v>
      </c>
      <c r="S292" s="93">
        <v>6400</v>
      </c>
      <c r="T292" s="93">
        <v>650</v>
      </c>
      <c r="U292" s="93">
        <v>650</v>
      </c>
      <c r="V292" s="93">
        <v>150</v>
      </c>
      <c r="W292" s="84">
        <v>2</v>
      </c>
      <c r="X292" s="85" t="s">
        <v>142</v>
      </c>
      <c r="Y292" s="86" t="s">
        <v>295</v>
      </c>
      <c r="Z292" s="87">
        <v>6</v>
      </c>
      <c r="AA292" s="88" t="s">
        <v>266</v>
      </c>
      <c r="AB292" s="89">
        <v>1450</v>
      </c>
      <c r="AC292" s="86">
        <v>3</v>
      </c>
      <c r="AD292" s="88" t="s">
        <v>459</v>
      </c>
      <c r="AE292" s="89">
        <v>700</v>
      </c>
      <c r="AF292" s="86"/>
      <c r="AG292" s="88"/>
      <c r="AH292" s="89"/>
      <c r="AI292" s="86"/>
      <c r="AJ292" s="88"/>
      <c r="AK292" s="89"/>
      <c r="AL292" s="90"/>
      <c r="AM292" s="91"/>
      <c r="AN292" s="91" t="s">
        <v>471</v>
      </c>
      <c r="AO292" s="243" t="str">
        <f t="shared" si="11"/>
        <v>3UNCERANS2711450</v>
      </c>
    </row>
    <row r="293" spans="1:41" x14ac:dyDescent="0.15">
      <c r="A293" s="83">
        <v>4114</v>
      </c>
      <c r="B293" s="92">
        <v>271</v>
      </c>
      <c r="C293" s="92"/>
      <c r="D293" s="92" t="s">
        <v>2107</v>
      </c>
      <c r="E293" s="92" t="s">
        <v>11</v>
      </c>
      <c r="F293" s="92" t="s">
        <v>184</v>
      </c>
      <c r="G293" s="92" t="str">
        <f t="shared" si="12"/>
        <v>3UYCERANS27114</v>
      </c>
      <c r="H293" s="92" t="s">
        <v>269</v>
      </c>
      <c r="I293" s="92" t="s">
        <v>2031</v>
      </c>
      <c r="J293" s="92" t="s">
        <v>132</v>
      </c>
      <c r="K293" s="92">
        <v>27114</v>
      </c>
      <c r="L293" s="92" t="s">
        <v>2109</v>
      </c>
      <c r="M293" s="92" t="str">
        <f t="shared" si="13"/>
        <v>3UYCERANS27114751310</v>
      </c>
      <c r="N293" s="92" t="str">
        <f t="shared" si="14"/>
        <v>3UYCERANS2711475180</v>
      </c>
      <c r="O293" s="93">
        <v>75</v>
      </c>
      <c r="P293" s="92">
        <v>3</v>
      </c>
      <c r="Q293" s="92" t="s">
        <v>1991</v>
      </c>
      <c r="R293" s="93">
        <v>1310</v>
      </c>
      <c r="S293" s="93">
        <v>4500</v>
      </c>
      <c r="T293" s="93">
        <v>180</v>
      </c>
      <c r="U293" s="93">
        <v>180</v>
      </c>
      <c r="V293" s="93">
        <v>2000</v>
      </c>
      <c r="W293" s="84">
        <v>2</v>
      </c>
      <c r="X293" s="85" t="s">
        <v>142</v>
      </c>
      <c r="Y293" s="86" t="s">
        <v>295</v>
      </c>
      <c r="Z293" s="87">
        <v>6</v>
      </c>
      <c r="AA293" s="88" t="s">
        <v>266</v>
      </c>
      <c r="AB293" s="89">
        <v>1450</v>
      </c>
      <c r="AC293" s="142"/>
      <c r="AD293" s="129"/>
      <c r="AE293" s="95">
        <v>180</v>
      </c>
      <c r="AF293" s="86"/>
      <c r="AG293" s="88"/>
      <c r="AH293" s="89"/>
      <c r="AI293" s="86"/>
      <c r="AJ293" s="88"/>
      <c r="AK293" s="89"/>
      <c r="AL293" s="90"/>
      <c r="AM293" s="91" t="s">
        <v>270</v>
      </c>
      <c r="AN293" s="91" t="s">
        <v>471</v>
      </c>
      <c r="AO293" s="243" t="str">
        <f t="shared" si="11"/>
        <v>3UYCERANS2711475</v>
      </c>
    </row>
    <row r="294" spans="1:41" x14ac:dyDescent="0.15">
      <c r="A294" s="83">
        <v>4114</v>
      </c>
      <c r="B294" s="92">
        <v>271</v>
      </c>
      <c r="C294" s="92"/>
      <c r="D294" s="92" t="s">
        <v>2107</v>
      </c>
      <c r="E294" s="92" t="s">
        <v>11</v>
      </c>
      <c r="F294" s="92" t="s">
        <v>184</v>
      </c>
      <c r="G294" s="92" t="str">
        <f t="shared" si="12"/>
        <v>3UYCERANS27114</v>
      </c>
      <c r="H294" s="92" t="s">
        <v>269</v>
      </c>
      <c r="I294" s="92" t="s">
        <v>2031</v>
      </c>
      <c r="J294" s="92" t="s">
        <v>132</v>
      </c>
      <c r="K294" s="92">
        <v>27114</v>
      </c>
      <c r="L294" s="92" t="s">
        <v>2109</v>
      </c>
      <c r="M294" s="92" t="str">
        <f t="shared" si="13"/>
        <v>3UYCERANS27114751310</v>
      </c>
      <c r="N294" s="92" t="str">
        <f t="shared" si="14"/>
        <v>3UYCERANS2711475240</v>
      </c>
      <c r="O294" s="93">
        <v>75</v>
      </c>
      <c r="P294" s="92">
        <v>3</v>
      </c>
      <c r="Q294" s="92" t="s">
        <v>1991</v>
      </c>
      <c r="R294" s="93">
        <v>1310</v>
      </c>
      <c r="S294" s="93">
        <v>4500</v>
      </c>
      <c r="T294" s="93">
        <v>240</v>
      </c>
      <c r="U294" s="93">
        <v>240</v>
      </c>
      <c r="V294" s="93">
        <v>2000</v>
      </c>
      <c r="W294" s="84">
        <v>2</v>
      </c>
      <c r="X294" s="85" t="s">
        <v>142</v>
      </c>
      <c r="Y294" s="86" t="s">
        <v>295</v>
      </c>
      <c r="Z294" s="87">
        <v>6</v>
      </c>
      <c r="AA294" s="88" t="s">
        <v>266</v>
      </c>
      <c r="AB294" s="89">
        <v>1450</v>
      </c>
      <c r="AC294" s="142"/>
      <c r="AD294" s="129"/>
      <c r="AE294" s="95">
        <v>240</v>
      </c>
      <c r="AF294" s="86"/>
      <c r="AG294" s="88"/>
      <c r="AH294" s="89"/>
      <c r="AI294" s="86"/>
      <c r="AJ294" s="88"/>
      <c r="AK294" s="89"/>
      <c r="AL294" s="90"/>
      <c r="AM294" s="91" t="s">
        <v>270</v>
      </c>
      <c r="AN294" s="91" t="s">
        <v>471</v>
      </c>
      <c r="AO294" s="243" t="str">
        <f t="shared" si="11"/>
        <v>3UYCERANS2711475</v>
      </c>
    </row>
    <row r="295" spans="1:41" x14ac:dyDescent="0.15">
      <c r="A295" s="83">
        <v>4114</v>
      </c>
      <c r="B295" s="92">
        <v>271</v>
      </c>
      <c r="C295" s="92"/>
      <c r="D295" s="92" t="s">
        <v>2107</v>
      </c>
      <c r="E295" s="92" t="s">
        <v>11</v>
      </c>
      <c r="F295" s="92" t="s">
        <v>184</v>
      </c>
      <c r="G295" s="92" t="str">
        <f t="shared" si="12"/>
        <v>3UYCERANS27114</v>
      </c>
      <c r="H295" s="92" t="s">
        <v>269</v>
      </c>
      <c r="I295" s="92" t="s">
        <v>2031</v>
      </c>
      <c r="J295" s="92" t="s">
        <v>132</v>
      </c>
      <c r="K295" s="92">
        <v>27114</v>
      </c>
      <c r="L295" s="92" t="s">
        <v>2109</v>
      </c>
      <c r="M295" s="92" t="str">
        <f t="shared" si="13"/>
        <v>3UYCERANS27114751310</v>
      </c>
      <c r="N295" s="92" t="str">
        <f t="shared" si="14"/>
        <v>3UYCERANS2711475280</v>
      </c>
      <c r="O295" s="93">
        <v>75</v>
      </c>
      <c r="P295" s="92">
        <v>3</v>
      </c>
      <c r="Q295" s="92" t="s">
        <v>1991</v>
      </c>
      <c r="R295" s="93">
        <v>1310</v>
      </c>
      <c r="S295" s="93">
        <v>4500</v>
      </c>
      <c r="T295" s="93">
        <v>280</v>
      </c>
      <c r="U295" s="93">
        <v>280</v>
      </c>
      <c r="V295" s="93">
        <v>2000</v>
      </c>
      <c r="W295" s="84">
        <v>2</v>
      </c>
      <c r="X295" s="85" t="s">
        <v>142</v>
      </c>
      <c r="Y295" s="86" t="s">
        <v>295</v>
      </c>
      <c r="Z295" s="87">
        <v>6</v>
      </c>
      <c r="AA295" s="88" t="s">
        <v>266</v>
      </c>
      <c r="AB295" s="89">
        <v>1450</v>
      </c>
      <c r="AC295" s="142"/>
      <c r="AD295" s="129"/>
      <c r="AE295" s="95">
        <v>280</v>
      </c>
      <c r="AF295" s="86"/>
      <c r="AG295" s="88"/>
      <c r="AH295" s="89"/>
      <c r="AI295" s="86"/>
      <c r="AJ295" s="88"/>
      <c r="AK295" s="89"/>
      <c r="AL295" s="90"/>
      <c r="AM295" s="91" t="s">
        <v>271</v>
      </c>
      <c r="AN295" s="91" t="s">
        <v>471</v>
      </c>
      <c r="AO295" s="243" t="str">
        <f t="shared" si="11"/>
        <v>3UYCERANS2711475</v>
      </c>
    </row>
    <row r="296" spans="1:41" x14ac:dyDescent="0.15">
      <c r="A296" s="83">
        <v>4114</v>
      </c>
      <c r="B296" s="92">
        <v>271</v>
      </c>
      <c r="C296" s="92"/>
      <c r="D296" s="92" t="s">
        <v>2107</v>
      </c>
      <c r="E296" s="92" t="s">
        <v>11</v>
      </c>
      <c r="F296" s="92" t="s">
        <v>184</v>
      </c>
      <c r="G296" s="92" t="str">
        <f t="shared" si="12"/>
        <v>3UYCERANS27114</v>
      </c>
      <c r="H296" s="92" t="s">
        <v>269</v>
      </c>
      <c r="I296" s="92" t="s">
        <v>2031</v>
      </c>
      <c r="J296" s="92" t="s">
        <v>132</v>
      </c>
      <c r="K296" s="92">
        <v>27114</v>
      </c>
      <c r="L296" s="92" t="s">
        <v>2109</v>
      </c>
      <c r="M296" s="92" t="str">
        <f t="shared" si="13"/>
        <v>3UYCERANS27114751310</v>
      </c>
      <c r="N296" s="92" t="str">
        <f t="shared" si="14"/>
        <v>3UYCERANS2711475305</v>
      </c>
      <c r="O296" s="93">
        <v>75</v>
      </c>
      <c r="P296" s="92">
        <v>3</v>
      </c>
      <c r="Q296" s="92" t="s">
        <v>1991</v>
      </c>
      <c r="R296" s="93">
        <v>1310</v>
      </c>
      <c r="S296" s="93">
        <v>4500</v>
      </c>
      <c r="T296" s="93">
        <v>305</v>
      </c>
      <c r="U296" s="93">
        <v>305</v>
      </c>
      <c r="V296" s="93">
        <v>2000</v>
      </c>
      <c r="W296" s="84">
        <v>2</v>
      </c>
      <c r="X296" s="85" t="s">
        <v>142</v>
      </c>
      <c r="Y296" s="86" t="s">
        <v>295</v>
      </c>
      <c r="Z296" s="87">
        <v>6</v>
      </c>
      <c r="AA296" s="88" t="s">
        <v>266</v>
      </c>
      <c r="AB296" s="89">
        <v>1450</v>
      </c>
      <c r="AC296" s="142"/>
      <c r="AD296" s="129"/>
      <c r="AE296" s="95">
        <v>305</v>
      </c>
      <c r="AF296" s="86"/>
      <c r="AG296" s="88"/>
      <c r="AH296" s="89"/>
      <c r="AI296" s="86"/>
      <c r="AJ296" s="88"/>
      <c r="AK296" s="89"/>
      <c r="AL296" s="90"/>
      <c r="AM296" s="91" t="s">
        <v>271</v>
      </c>
      <c r="AN296" s="91" t="s">
        <v>471</v>
      </c>
      <c r="AO296" s="243" t="str">
        <f t="shared" ref="AO296:AO462" si="15">G296&amp;O296</f>
        <v>3UYCERANS2711475</v>
      </c>
    </row>
    <row r="297" spans="1:41" x14ac:dyDescent="0.15">
      <c r="A297" s="83">
        <v>4114</v>
      </c>
      <c r="B297" s="92">
        <v>271</v>
      </c>
      <c r="C297" s="92"/>
      <c r="D297" s="92" t="s">
        <v>524</v>
      </c>
      <c r="E297" s="92" t="s">
        <v>11</v>
      </c>
      <c r="F297" s="92" t="s">
        <v>184</v>
      </c>
      <c r="G297" s="92" t="str">
        <f t="shared" si="12"/>
        <v>3UNCERANS27214</v>
      </c>
      <c r="H297" s="92" t="s">
        <v>269</v>
      </c>
      <c r="I297" s="92" t="s">
        <v>1550</v>
      </c>
      <c r="J297" s="92" t="s">
        <v>132</v>
      </c>
      <c r="K297" s="92">
        <v>27214</v>
      </c>
      <c r="L297" s="92" t="s">
        <v>2112</v>
      </c>
      <c r="M297" s="92" t="str">
        <f t="shared" si="13"/>
        <v>3UNCERANS27214751120</v>
      </c>
      <c r="N297" s="92" t="str">
        <f t="shared" si="14"/>
        <v>3UNCERANS2721475350</v>
      </c>
      <c r="O297" s="93">
        <v>75</v>
      </c>
      <c r="P297" s="92">
        <v>3</v>
      </c>
      <c r="Q297" s="92" t="s">
        <v>1991</v>
      </c>
      <c r="R297" s="93">
        <v>1120</v>
      </c>
      <c r="S297" s="93">
        <v>3000</v>
      </c>
      <c r="T297" s="93">
        <v>350</v>
      </c>
      <c r="U297" s="93">
        <v>350</v>
      </c>
      <c r="V297" s="93">
        <v>500</v>
      </c>
      <c r="W297" s="84">
        <v>2</v>
      </c>
      <c r="X297" s="85" t="s">
        <v>142</v>
      </c>
      <c r="Y297" s="86" t="s">
        <v>295</v>
      </c>
      <c r="Z297" s="87">
        <v>6</v>
      </c>
      <c r="AA297" s="88" t="s">
        <v>266</v>
      </c>
      <c r="AB297" s="89">
        <v>1450</v>
      </c>
      <c r="AC297" s="86">
        <v>3</v>
      </c>
      <c r="AD297" s="88" t="s">
        <v>459</v>
      </c>
      <c r="AE297" s="89">
        <v>404</v>
      </c>
      <c r="AF297" s="86"/>
      <c r="AG297" s="88"/>
      <c r="AH297" s="89"/>
      <c r="AI297" s="86"/>
      <c r="AJ297" s="88"/>
      <c r="AK297" s="89"/>
      <c r="AL297" s="90"/>
      <c r="AM297" s="91" t="s">
        <v>271</v>
      </c>
      <c r="AN297" s="91" t="s">
        <v>471</v>
      </c>
      <c r="AO297" s="243" t="str">
        <f t="shared" si="15"/>
        <v>3UNCERANS2721475</v>
      </c>
    </row>
    <row r="298" spans="1:41" x14ac:dyDescent="0.15">
      <c r="A298" s="83">
        <v>4114</v>
      </c>
      <c r="B298" s="92">
        <v>271</v>
      </c>
      <c r="C298" s="92"/>
      <c r="D298" s="92" t="s">
        <v>2113</v>
      </c>
      <c r="E298" s="92" t="s">
        <v>11</v>
      </c>
      <c r="F298" s="92" t="s">
        <v>184</v>
      </c>
      <c r="G298" s="92" t="str">
        <f t="shared" si="12"/>
        <v>3UYCERANS27114</v>
      </c>
      <c r="H298" s="92" t="s">
        <v>269</v>
      </c>
      <c r="I298" s="92" t="s">
        <v>2031</v>
      </c>
      <c r="J298" s="92" t="s">
        <v>132</v>
      </c>
      <c r="K298" s="92">
        <v>27114</v>
      </c>
      <c r="L298" s="92" t="s">
        <v>2109</v>
      </c>
      <c r="M298" s="92" t="str">
        <f t="shared" si="13"/>
        <v>3UYCERANS27114751310</v>
      </c>
      <c r="N298" s="92" t="str">
        <f t="shared" si="14"/>
        <v>3UYCERANS27114751300</v>
      </c>
      <c r="O298" s="93">
        <v>75</v>
      </c>
      <c r="P298" s="92">
        <v>3</v>
      </c>
      <c r="Q298" s="92" t="s">
        <v>1991</v>
      </c>
      <c r="R298" s="93">
        <v>1310</v>
      </c>
      <c r="S298" s="93">
        <v>4500</v>
      </c>
      <c r="T298" s="93">
        <v>1300</v>
      </c>
      <c r="U298" s="93">
        <v>1300</v>
      </c>
      <c r="V298" s="93">
        <v>4500</v>
      </c>
      <c r="W298" s="84">
        <v>2</v>
      </c>
      <c r="X298" s="85" t="s">
        <v>142</v>
      </c>
      <c r="Y298" s="86" t="s">
        <v>15</v>
      </c>
      <c r="Z298" s="87">
        <v>6</v>
      </c>
      <c r="AA298" s="88" t="s">
        <v>266</v>
      </c>
      <c r="AB298" s="89">
        <v>1450</v>
      </c>
      <c r="AC298" s="86"/>
      <c r="AD298" s="88"/>
      <c r="AE298" s="89"/>
      <c r="AF298" s="86"/>
      <c r="AG298" s="88"/>
      <c r="AH298" s="89"/>
      <c r="AI298" s="86"/>
      <c r="AJ298" s="88"/>
      <c r="AK298" s="89"/>
      <c r="AL298" s="90"/>
      <c r="AM298" s="91"/>
      <c r="AN298" s="91" t="s">
        <v>471</v>
      </c>
      <c r="AO298" s="243" t="str">
        <f t="shared" si="15"/>
        <v>3UYCERANS2711475</v>
      </c>
    </row>
    <row r="299" spans="1:41" x14ac:dyDescent="0.15">
      <c r="A299" s="83">
        <v>4114</v>
      </c>
      <c r="B299" s="92">
        <v>271</v>
      </c>
      <c r="C299" s="92"/>
      <c r="D299" s="92" t="s">
        <v>2113</v>
      </c>
      <c r="E299" s="92" t="s">
        <v>11</v>
      </c>
      <c r="F299" s="92" t="s">
        <v>184</v>
      </c>
      <c r="G299" s="92" t="str">
        <f t="shared" si="12"/>
        <v>3UYCERANS27114</v>
      </c>
      <c r="H299" s="92" t="s">
        <v>269</v>
      </c>
      <c r="I299" s="92" t="s">
        <v>2031</v>
      </c>
      <c r="J299" s="92" t="s">
        <v>132</v>
      </c>
      <c r="K299" s="92">
        <v>27114</v>
      </c>
      <c r="L299" s="92" t="s">
        <v>2109</v>
      </c>
      <c r="M299" s="92" t="str">
        <f t="shared" si="13"/>
        <v>3UYCERANS27114751310</v>
      </c>
      <c r="N299" s="92" t="str">
        <f t="shared" si="14"/>
        <v>3UYCERANS27114751300</v>
      </c>
      <c r="O299" s="93">
        <v>75</v>
      </c>
      <c r="P299" s="92">
        <v>3</v>
      </c>
      <c r="Q299" s="92" t="s">
        <v>1991</v>
      </c>
      <c r="R299" s="93">
        <v>1310</v>
      </c>
      <c r="S299" s="93">
        <v>4500</v>
      </c>
      <c r="T299" s="93">
        <v>1300</v>
      </c>
      <c r="U299" s="93">
        <v>1300</v>
      </c>
      <c r="V299" s="93">
        <v>2000</v>
      </c>
      <c r="W299" s="84">
        <v>2</v>
      </c>
      <c r="X299" s="85" t="s">
        <v>142</v>
      </c>
      <c r="Y299" s="86" t="s">
        <v>15</v>
      </c>
      <c r="Z299" s="87">
        <v>6</v>
      </c>
      <c r="AA299" s="88" t="s">
        <v>266</v>
      </c>
      <c r="AB299" s="89">
        <v>1450</v>
      </c>
      <c r="AC299" s="86"/>
      <c r="AD299" s="88"/>
      <c r="AE299" s="89"/>
      <c r="AF299" s="86"/>
      <c r="AG299" s="88"/>
      <c r="AH299" s="89"/>
      <c r="AI299" s="86"/>
      <c r="AJ299" s="88"/>
      <c r="AK299" s="89"/>
      <c r="AL299" s="90"/>
      <c r="AM299" s="91"/>
      <c r="AN299" s="91" t="s">
        <v>471</v>
      </c>
      <c r="AO299" s="243" t="str">
        <f t="shared" si="15"/>
        <v>3UYCERANS2711475</v>
      </c>
    </row>
    <row r="300" spans="1:41" x14ac:dyDescent="0.15">
      <c r="A300" s="83">
        <v>4114</v>
      </c>
      <c r="B300" s="92">
        <v>272</v>
      </c>
      <c r="C300" s="92">
        <v>2676</v>
      </c>
      <c r="D300" s="92" t="s">
        <v>2114</v>
      </c>
      <c r="E300" s="92" t="s">
        <v>2115</v>
      </c>
      <c r="F300" s="92"/>
      <c r="G300" s="92" t="str">
        <f t="shared" si="12"/>
        <v>3UNCERANS27114</v>
      </c>
      <c r="H300" s="92" t="s">
        <v>269</v>
      </c>
      <c r="I300" s="92" t="s">
        <v>1550</v>
      </c>
      <c r="J300" s="92" t="s">
        <v>132</v>
      </c>
      <c r="K300" s="92">
        <v>27114</v>
      </c>
      <c r="L300" s="92" t="s">
        <v>2109</v>
      </c>
      <c r="M300" s="92" t="str">
        <f t="shared" si="13"/>
        <v>3UNCERANS271141881134</v>
      </c>
      <c r="N300" s="92" t="str">
        <f t="shared" si="14"/>
        <v>3UNCERANS27114188180</v>
      </c>
      <c r="O300" s="93">
        <v>188</v>
      </c>
      <c r="P300" s="92">
        <v>3</v>
      </c>
      <c r="Q300" s="92" t="s">
        <v>503</v>
      </c>
      <c r="R300" s="93">
        <v>1134</v>
      </c>
      <c r="S300" s="93">
        <v>1800</v>
      </c>
      <c r="T300" s="93">
        <v>180</v>
      </c>
      <c r="U300" s="93">
        <v>180</v>
      </c>
      <c r="V300" s="93">
        <v>100</v>
      </c>
      <c r="W300" s="84">
        <v>2</v>
      </c>
      <c r="X300" s="85" t="s">
        <v>142</v>
      </c>
      <c r="Y300" s="86" t="s">
        <v>295</v>
      </c>
      <c r="Z300" s="87">
        <v>6</v>
      </c>
      <c r="AA300" s="88" t="s">
        <v>266</v>
      </c>
      <c r="AB300" s="89">
        <v>1450</v>
      </c>
      <c r="AC300" s="86">
        <v>3</v>
      </c>
      <c r="AD300" s="88" t="s">
        <v>459</v>
      </c>
      <c r="AE300" s="89">
        <v>200</v>
      </c>
      <c r="AF300" s="86"/>
      <c r="AG300" s="88"/>
      <c r="AH300" s="89"/>
      <c r="AI300" s="86"/>
      <c r="AJ300" s="88"/>
      <c r="AK300" s="89"/>
      <c r="AL300" s="90"/>
      <c r="AM300" s="91"/>
      <c r="AN300" s="91" t="s">
        <v>471</v>
      </c>
      <c r="AO300" s="243" t="str">
        <f t="shared" si="15"/>
        <v>3UNCERANS27114188</v>
      </c>
    </row>
    <row r="301" spans="1:41" x14ac:dyDescent="0.15">
      <c r="A301" s="83">
        <v>4114</v>
      </c>
      <c r="B301" s="92">
        <v>272</v>
      </c>
      <c r="C301" s="92">
        <v>36882</v>
      </c>
      <c r="D301" s="92" t="s">
        <v>830</v>
      </c>
      <c r="E301" s="92" t="s">
        <v>2115</v>
      </c>
      <c r="F301" s="92"/>
      <c r="G301" s="92" t="str">
        <f t="shared" si="12"/>
        <v>3UNCERANS27114</v>
      </c>
      <c r="H301" s="92" t="s">
        <v>269</v>
      </c>
      <c r="I301" s="92" t="s">
        <v>1550</v>
      </c>
      <c r="J301" s="92" t="s">
        <v>132</v>
      </c>
      <c r="K301" s="92">
        <v>27114</v>
      </c>
      <c r="L301" s="92" t="s">
        <v>2109</v>
      </c>
      <c r="M301" s="92" t="str">
        <f t="shared" si="13"/>
        <v>3UNCERANS27114381050</v>
      </c>
      <c r="N301" s="92" t="str">
        <f t="shared" si="14"/>
        <v>3UNCERANS2711438750</v>
      </c>
      <c r="O301" s="93">
        <v>38</v>
      </c>
      <c r="P301" s="92">
        <v>3</v>
      </c>
      <c r="Q301" s="92" t="s">
        <v>526</v>
      </c>
      <c r="R301" s="93">
        <v>1050</v>
      </c>
      <c r="S301" s="93">
        <v>8000</v>
      </c>
      <c r="T301" s="93">
        <v>750</v>
      </c>
      <c r="U301" s="93">
        <v>750</v>
      </c>
      <c r="V301" s="93">
        <v>5800</v>
      </c>
      <c r="W301" s="84">
        <v>2</v>
      </c>
      <c r="X301" s="85" t="s">
        <v>142</v>
      </c>
      <c r="Y301" s="86" t="s">
        <v>295</v>
      </c>
      <c r="Z301" s="87">
        <v>6</v>
      </c>
      <c r="AA301" s="88" t="s">
        <v>266</v>
      </c>
      <c r="AB301" s="89">
        <v>1450</v>
      </c>
      <c r="AC301" s="86">
        <v>6</v>
      </c>
      <c r="AD301" s="88" t="s">
        <v>266</v>
      </c>
      <c r="AE301" s="89">
        <v>930</v>
      </c>
      <c r="AF301" s="86"/>
      <c r="AG301" s="88"/>
      <c r="AH301" s="89"/>
      <c r="AI301" s="86"/>
      <c r="AJ301" s="88"/>
      <c r="AK301" s="89"/>
      <c r="AL301" s="90"/>
      <c r="AM301" s="91"/>
      <c r="AN301" s="91" t="s">
        <v>471</v>
      </c>
      <c r="AO301" s="243" t="str">
        <f t="shared" si="15"/>
        <v>3UNCERANS2711438</v>
      </c>
    </row>
    <row r="302" spans="1:41" x14ac:dyDescent="0.15">
      <c r="A302" s="83">
        <v>4114</v>
      </c>
      <c r="B302" s="92">
        <v>272</v>
      </c>
      <c r="C302" s="92">
        <v>36882</v>
      </c>
      <c r="D302" s="92" t="s">
        <v>830</v>
      </c>
      <c r="E302" s="92" t="s">
        <v>2115</v>
      </c>
      <c r="F302" s="92"/>
      <c r="G302" s="92" t="str">
        <f t="shared" si="12"/>
        <v>3UNCERANSPJ3114</v>
      </c>
      <c r="H302" s="92" t="s">
        <v>269</v>
      </c>
      <c r="I302" s="92" t="s">
        <v>1550</v>
      </c>
      <c r="J302" s="92" t="s">
        <v>132</v>
      </c>
      <c r="K302" s="92" t="s">
        <v>2116</v>
      </c>
      <c r="L302" s="92" t="s">
        <v>2117</v>
      </c>
      <c r="M302" s="92" t="str">
        <f t="shared" si="13"/>
        <v>3UNCERANSPJ3114501310</v>
      </c>
      <c r="N302" s="92" t="str">
        <f t="shared" si="14"/>
        <v>3UNCERANSPJ311450300</v>
      </c>
      <c r="O302" s="93">
        <v>50</v>
      </c>
      <c r="P302" s="92">
        <v>3</v>
      </c>
      <c r="Q302" s="92" t="s">
        <v>503</v>
      </c>
      <c r="R302" s="93">
        <v>1310</v>
      </c>
      <c r="S302" s="93">
        <v>6400</v>
      </c>
      <c r="T302" s="93">
        <v>300</v>
      </c>
      <c r="U302" s="93">
        <v>300</v>
      </c>
      <c r="V302" s="93">
        <v>200</v>
      </c>
      <c r="W302" s="84">
        <v>2</v>
      </c>
      <c r="X302" s="85" t="s">
        <v>142</v>
      </c>
      <c r="Y302" s="86" t="s">
        <v>295</v>
      </c>
      <c r="Z302" s="87">
        <v>6</v>
      </c>
      <c r="AA302" s="88" t="s">
        <v>266</v>
      </c>
      <c r="AB302" s="89">
        <v>1450</v>
      </c>
      <c r="AC302" s="86">
        <v>3</v>
      </c>
      <c r="AD302" s="88" t="s">
        <v>459</v>
      </c>
      <c r="AE302" s="89">
        <v>322</v>
      </c>
      <c r="AF302" s="86"/>
      <c r="AG302" s="88"/>
      <c r="AH302" s="89"/>
      <c r="AI302" s="86"/>
      <c r="AJ302" s="88"/>
      <c r="AK302" s="89"/>
      <c r="AL302" s="90"/>
      <c r="AM302" s="91"/>
      <c r="AN302" s="91" t="s">
        <v>471</v>
      </c>
      <c r="AO302" s="243" t="str">
        <f t="shared" si="15"/>
        <v>3UNCERANSPJ311450</v>
      </c>
    </row>
    <row r="303" spans="1:41" x14ac:dyDescent="0.15">
      <c r="A303" s="83">
        <v>4114</v>
      </c>
      <c r="B303" s="92">
        <v>271</v>
      </c>
      <c r="C303" s="92"/>
      <c r="D303" s="92"/>
      <c r="E303" s="92" t="s">
        <v>2115</v>
      </c>
      <c r="F303" s="92"/>
      <c r="G303" s="92" t="str">
        <f t="shared" si="12"/>
        <v>3UNCERANSPJ3114</v>
      </c>
      <c r="H303" s="92" t="s">
        <v>269</v>
      </c>
      <c r="I303" s="92" t="s">
        <v>1550</v>
      </c>
      <c r="J303" s="92" t="s">
        <v>132</v>
      </c>
      <c r="K303" s="92" t="s">
        <v>2116</v>
      </c>
      <c r="L303" s="92" t="s">
        <v>2117</v>
      </c>
      <c r="M303" s="92" t="str">
        <f t="shared" si="13"/>
        <v>3UNCERANSPJ3114751060</v>
      </c>
      <c r="N303" s="92" t="str">
        <f t="shared" si="14"/>
        <v>3UNCERANSPJ3114751050</v>
      </c>
      <c r="O303" s="93">
        <v>75</v>
      </c>
      <c r="P303" s="92">
        <v>3</v>
      </c>
      <c r="Q303" s="92" t="s">
        <v>503</v>
      </c>
      <c r="R303" s="93">
        <v>1060</v>
      </c>
      <c r="S303" s="93">
        <v>4300</v>
      </c>
      <c r="T303" s="93">
        <v>1050</v>
      </c>
      <c r="U303" s="93">
        <v>1050</v>
      </c>
      <c r="V303" s="93">
        <v>4100</v>
      </c>
      <c r="W303" s="84">
        <v>2</v>
      </c>
      <c r="X303" s="85" t="s">
        <v>142</v>
      </c>
      <c r="Y303" s="86" t="s">
        <v>487</v>
      </c>
      <c r="Z303" s="87">
        <v>6</v>
      </c>
      <c r="AA303" s="88" t="s">
        <v>266</v>
      </c>
      <c r="AB303" s="89">
        <v>1450</v>
      </c>
      <c r="AC303" s="86"/>
      <c r="AD303" s="88"/>
      <c r="AE303" s="89"/>
      <c r="AF303" s="86"/>
      <c r="AG303" s="88"/>
      <c r="AH303" s="89"/>
      <c r="AI303" s="86"/>
      <c r="AJ303" s="88"/>
      <c r="AK303" s="89"/>
      <c r="AL303" s="90"/>
      <c r="AM303" s="91"/>
      <c r="AN303" s="91" t="s">
        <v>471</v>
      </c>
      <c r="AO303" s="243" t="str">
        <f t="shared" si="15"/>
        <v>3UNCERANSPJ311475</v>
      </c>
    </row>
    <row r="304" spans="1:41" x14ac:dyDescent="0.15">
      <c r="A304" s="83">
        <v>4114</v>
      </c>
      <c r="B304" s="92">
        <v>271</v>
      </c>
      <c r="C304" s="92"/>
      <c r="D304" s="92" t="s">
        <v>2113</v>
      </c>
      <c r="E304" s="92" t="s">
        <v>11</v>
      </c>
      <c r="F304" s="92" t="s">
        <v>184</v>
      </c>
      <c r="G304" s="92" t="str">
        <f t="shared" si="12"/>
        <v>3UYCERANSG14</v>
      </c>
      <c r="H304" s="92" t="s">
        <v>269</v>
      </c>
      <c r="I304" s="92" t="s">
        <v>2031</v>
      </c>
      <c r="J304" s="92" t="s">
        <v>132</v>
      </c>
      <c r="K304" s="92" t="s">
        <v>2118</v>
      </c>
      <c r="L304" s="92" t="s">
        <v>2119</v>
      </c>
      <c r="M304" s="92" t="str">
        <f t="shared" si="13"/>
        <v>3UYCERANSG14751310</v>
      </c>
      <c r="N304" s="92" t="str">
        <f t="shared" si="14"/>
        <v>3UYCERANSG14751310</v>
      </c>
      <c r="O304" s="93">
        <v>75</v>
      </c>
      <c r="P304" s="92">
        <v>3</v>
      </c>
      <c r="Q304" s="92" t="s">
        <v>1991</v>
      </c>
      <c r="R304" s="93">
        <v>1310</v>
      </c>
      <c r="S304" s="93">
        <v>4500</v>
      </c>
      <c r="T304" s="93">
        <v>1300</v>
      </c>
      <c r="U304" s="93">
        <v>1310</v>
      </c>
      <c r="V304" s="93">
        <v>3300</v>
      </c>
      <c r="W304" s="84">
        <v>2</v>
      </c>
      <c r="X304" s="85" t="s">
        <v>142</v>
      </c>
      <c r="Y304" s="86" t="s">
        <v>15</v>
      </c>
      <c r="Z304" s="87">
        <v>6</v>
      </c>
      <c r="AA304" s="88" t="s">
        <v>266</v>
      </c>
      <c r="AB304" s="89">
        <v>1450</v>
      </c>
      <c r="AC304" s="86"/>
      <c r="AD304" s="88"/>
      <c r="AE304" s="89"/>
      <c r="AF304" s="86"/>
      <c r="AG304" s="88"/>
      <c r="AH304" s="89"/>
      <c r="AI304" s="86"/>
      <c r="AJ304" s="88"/>
      <c r="AK304" s="89"/>
      <c r="AL304" s="90"/>
      <c r="AM304" s="91"/>
      <c r="AN304" s="91" t="s">
        <v>471</v>
      </c>
      <c r="AO304" s="243" t="str">
        <f t="shared" si="15"/>
        <v>3UYCERANSG1475</v>
      </c>
    </row>
    <row r="305" spans="1:41" x14ac:dyDescent="0.15">
      <c r="A305" s="83">
        <v>4114</v>
      </c>
      <c r="B305" s="92">
        <v>271</v>
      </c>
      <c r="C305" s="92"/>
      <c r="D305" s="92" t="s">
        <v>2113</v>
      </c>
      <c r="E305" s="92" t="s">
        <v>11</v>
      </c>
      <c r="F305" s="92" t="s">
        <v>184</v>
      </c>
      <c r="G305" s="92" t="str">
        <f t="shared" si="12"/>
        <v>3UYCERANS271G14</v>
      </c>
      <c r="H305" s="92" t="s">
        <v>269</v>
      </c>
      <c r="I305" s="92" t="s">
        <v>2031</v>
      </c>
      <c r="J305" s="92" t="s">
        <v>132</v>
      </c>
      <c r="K305" s="92" t="s">
        <v>2120</v>
      </c>
      <c r="L305" s="92" t="s">
        <v>2121</v>
      </c>
      <c r="M305" s="92" t="str">
        <f t="shared" si="13"/>
        <v>3UYCERANS271G14751310</v>
      </c>
      <c r="N305" s="92" t="str">
        <f t="shared" si="14"/>
        <v>3UYCERANS271G1475205</v>
      </c>
      <c r="O305" s="93">
        <v>75</v>
      </c>
      <c r="P305" s="92">
        <v>3</v>
      </c>
      <c r="Q305" s="92" t="s">
        <v>1991</v>
      </c>
      <c r="R305" s="93">
        <v>1310</v>
      </c>
      <c r="S305" s="93">
        <v>4500</v>
      </c>
      <c r="T305" s="93">
        <v>205</v>
      </c>
      <c r="U305" s="93">
        <v>205</v>
      </c>
      <c r="V305" s="93">
        <v>300</v>
      </c>
      <c r="W305" s="84">
        <v>2</v>
      </c>
      <c r="X305" s="85" t="s">
        <v>142</v>
      </c>
      <c r="Y305" s="86" t="s">
        <v>295</v>
      </c>
      <c r="Z305" s="87">
        <v>6</v>
      </c>
      <c r="AA305" s="88" t="s">
        <v>266</v>
      </c>
      <c r="AB305" s="89">
        <v>1450</v>
      </c>
      <c r="AC305" s="86">
        <v>3</v>
      </c>
      <c r="AD305" s="88" t="s">
        <v>459</v>
      </c>
      <c r="AE305" s="89">
        <v>220</v>
      </c>
      <c r="AF305" s="86"/>
      <c r="AG305" s="88"/>
      <c r="AH305" s="89"/>
      <c r="AI305" s="86"/>
      <c r="AJ305" s="88"/>
      <c r="AK305" s="89"/>
      <c r="AL305" s="90"/>
      <c r="AM305" s="91"/>
      <c r="AN305" s="91" t="s">
        <v>471</v>
      </c>
      <c r="AO305" s="243" t="str">
        <f t="shared" si="15"/>
        <v>3UYCERANS271G1475</v>
      </c>
    </row>
    <row r="306" spans="1:41" x14ac:dyDescent="0.15">
      <c r="A306" s="83">
        <v>4114</v>
      </c>
      <c r="B306" s="92">
        <v>271</v>
      </c>
      <c r="C306" s="92"/>
      <c r="D306" s="92" t="s">
        <v>2113</v>
      </c>
      <c r="E306" s="92" t="s">
        <v>11</v>
      </c>
      <c r="F306" s="92" t="s">
        <v>184</v>
      </c>
      <c r="G306" s="92" t="str">
        <f t="shared" si="12"/>
        <v>3UYCERANS271/G14</v>
      </c>
      <c r="H306" s="92" t="s">
        <v>269</v>
      </c>
      <c r="I306" s="92" t="s">
        <v>2031</v>
      </c>
      <c r="J306" s="92" t="s">
        <v>132</v>
      </c>
      <c r="K306" s="92" t="s">
        <v>2122</v>
      </c>
      <c r="L306" s="92" t="s">
        <v>2123</v>
      </c>
      <c r="M306" s="92" t="str">
        <f t="shared" si="13"/>
        <v>3UYCERANS271/G14751310</v>
      </c>
      <c r="N306" s="92" t="str">
        <f t="shared" si="14"/>
        <v>3UYCERANS271/G1475205</v>
      </c>
      <c r="O306" s="93">
        <v>75</v>
      </c>
      <c r="P306" s="92">
        <v>3</v>
      </c>
      <c r="Q306" s="92" t="s">
        <v>1991</v>
      </c>
      <c r="R306" s="93">
        <v>1310</v>
      </c>
      <c r="S306" s="93">
        <v>4500</v>
      </c>
      <c r="T306" s="93">
        <v>205</v>
      </c>
      <c r="U306" s="93">
        <v>205</v>
      </c>
      <c r="V306" s="93">
        <v>300</v>
      </c>
      <c r="W306" s="84">
        <v>2</v>
      </c>
      <c r="X306" s="85" t="s">
        <v>142</v>
      </c>
      <c r="Y306" s="86" t="s">
        <v>295</v>
      </c>
      <c r="Z306" s="87">
        <v>6</v>
      </c>
      <c r="AA306" s="88" t="s">
        <v>266</v>
      </c>
      <c r="AB306" s="89">
        <v>1450</v>
      </c>
      <c r="AC306" s="86">
        <v>3</v>
      </c>
      <c r="AD306" s="88" t="s">
        <v>459</v>
      </c>
      <c r="AE306" s="89">
        <v>220</v>
      </c>
      <c r="AF306" s="86"/>
      <c r="AG306" s="88"/>
      <c r="AH306" s="89"/>
      <c r="AI306" s="86"/>
      <c r="AJ306" s="88"/>
      <c r="AK306" s="89"/>
      <c r="AL306" s="90"/>
      <c r="AM306" s="91"/>
      <c r="AN306" s="91" t="s">
        <v>471</v>
      </c>
      <c r="AO306" s="243" t="str">
        <f t="shared" si="15"/>
        <v>3UYCERANS271/G1475</v>
      </c>
    </row>
    <row r="307" spans="1:41" x14ac:dyDescent="0.15">
      <c r="A307" s="83">
        <v>4114</v>
      </c>
      <c r="B307" s="92">
        <v>271</v>
      </c>
      <c r="C307" s="92"/>
      <c r="D307" s="92" t="s">
        <v>2113</v>
      </c>
      <c r="E307" s="92" t="s">
        <v>11</v>
      </c>
      <c r="F307" s="92" t="s">
        <v>184</v>
      </c>
      <c r="G307" s="92" t="str">
        <f t="shared" si="12"/>
        <v>3UYCERANS27140</v>
      </c>
      <c r="H307" s="92" t="s">
        <v>269</v>
      </c>
      <c r="I307" s="92" t="s">
        <v>2031</v>
      </c>
      <c r="J307" s="92" t="s">
        <v>132</v>
      </c>
      <c r="K307" s="92">
        <v>27140</v>
      </c>
      <c r="L307" s="92" t="s">
        <v>2124</v>
      </c>
      <c r="M307" s="92" t="str">
        <f t="shared" si="13"/>
        <v>3UYCERANS27140751080</v>
      </c>
      <c r="N307" s="92" t="str">
        <f t="shared" si="14"/>
        <v>3UYCERANS2714075205</v>
      </c>
      <c r="O307" s="93">
        <v>75</v>
      </c>
      <c r="P307" s="92">
        <v>3</v>
      </c>
      <c r="Q307" s="92" t="s">
        <v>2016</v>
      </c>
      <c r="R307" s="93">
        <v>1080</v>
      </c>
      <c r="S307" s="93">
        <v>600</v>
      </c>
      <c r="T307" s="93">
        <v>205</v>
      </c>
      <c r="U307" s="93">
        <v>205</v>
      </c>
      <c r="V307" s="93">
        <v>300</v>
      </c>
      <c r="W307" s="84">
        <v>2</v>
      </c>
      <c r="X307" s="85" t="s">
        <v>142</v>
      </c>
      <c r="Y307" s="86" t="s">
        <v>295</v>
      </c>
      <c r="Z307" s="87">
        <v>6</v>
      </c>
      <c r="AA307" s="88" t="s">
        <v>266</v>
      </c>
      <c r="AB307" s="89">
        <v>1450</v>
      </c>
      <c r="AC307" s="86">
        <v>3</v>
      </c>
      <c r="AD307" s="88" t="s">
        <v>459</v>
      </c>
      <c r="AE307" s="89">
        <v>220</v>
      </c>
      <c r="AF307" s="86"/>
      <c r="AG307" s="88"/>
      <c r="AH307" s="89"/>
      <c r="AI307" s="86"/>
      <c r="AJ307" s="88"/>
      <c r="AK307" s="89"/>
      <c r="AL307" s="90"/>
      <c r="AM307" s="91"/>
      <c r="AN307" s="91" t="s">
        <v>471</v>
      </c>
      <c r="AO307" s="243" t="str">
        <f t="shared" si="15"/>
        <v>3UYCERANS2714075</v>
      </c>
    </row>
    <row r="308" spans="1:41" x14ac:dyDescent="0.15">
      <c r="A308" s="83">
        <v>4114</v>
      </c>
      <c r="B308" s="92">
        <v>271</v>
      </c>
      <c r="C308" s="92"/>
      <c r="D308" s="92" t="s">
        <v>2107</v>
      </c>
      <c r="E308" s="92" t="s">
        <v>11</v>
      </c>
      <c r="F308" s="92" t="s">
        <v>184</v>
      </c>
      <c r="G308" s="92" t="str">
        <f t="shared" si="12"/>
        <v>3KSUYCERANS27114</v>
      </c>
      <c r="H308" s="92" t="s">
        <v>269</v>
      </c>
      <c r="I308" s="92" t="s">
        <v>2031</v>
      </c>
      <c r="J308" s="92" t="s">
        <v>132</v>
      </c>
      <c r="K308" s="92">
        <v>27114</v>
      </c>
      <c r="L308" s="92" t="s">
        <v>2109</v>
      </c>
      <c r="M308" s="92" t="str">
        <f t="shared" si="13"/>
        <v>3KSUYCERANS27114751300</v>
      </c>
      <c r="N308" s="92" t="str">
        <f t="shared" si="14"/>
        <v>3KSUYCERANS2711475180</v>
      </c>
      <c r="O308" s="93">
        <v>75</v>
      </c>
      <c r="P308" s="92" t="s">
        <v>2007</v>
      </c>
      <c r="Q308" s="92" t="s">
        <v>1991</v>
      </c>
      <c r="R308" s="93">
        <v>1300</v>
      </c>
      <c r="S308" s="93">
        <v>4300</v>
      </c>
      <c r="T308" s="93">
        <v>180</v>
      </c>
      <c r="U308" s="93">
        <v>180</v>
      </c>
      <c r="V308" s="93">
        <v>2000</v>
      </c>
      <c r="W308" s="84">
        <v>2</v>
      </c>
      <c r="X308" s="85" t="s">
        <v>142</v>
      </c>
      <c r="Y308" s="86" t="s">
        <v>295</v>
      </c>
      <c r="Z308" s="87">
        <v>6</v>
      </c>
      <c r="AA308" s="88" t="s">
        <v>266</v>
      </c>
      <c r="AB308" s="89">
        <v>1450</v>
      </c>
      <c r="AC308" s="86">
        <v>3</v>
      </c>
      <c r="AD308" s="88" t="s">
        <v>459</v>
      </c>
      <c r="AE308" s="89">
        <v>180</v>
      </c>
      <c r="AF308" s="86"/>
      <c r="AG308" s="88"/>
      <c r="AH308" s="89"/>
      <c r="AI308" s="86"/>
      <c r="AJ308" s="88"/>
      <c r="AK308" s="89"/>
      <c r="AL308" s="90"/>
      <c r="AM308" s="91" t="s">
        <v>270</v>
      </c>
      <c r="AN308" s="91" t="s">
        <v>471</v>
      </c>
      <c r="AO308" s="243" t="str">
        <f t="shared" si="15"/>
        <v>3KSUYCERANS2711475</v>
      </c>
    </row>
    <row r="309" spans="1:41" x14ac:dyDescent="0.15">
      <c r="A309" s="83">
        <v>4114</v>
      </c>
      <c r="B309" s="92">
        <v>271</v>
      </c>
      <c r="C309" s="92"/>
      <c r="D309" s="92" t="s">
        <v>2107</v>
      </c>
      <c r="E309" s="92" t="s">
        <v>11</v>
      </c>
      <c r="F309" s="92" t="s">
        <v>184</v>
      </c>
      <c r="G309" s="92" t="str">
        <f t="shared" si="12"/>
        <v>3KSUYCERANS27114</v>
      </c>
      <c r="H309" s="92" t="s">
        <v>269</v>
      </c>
      <c r="I309" s="92" t="s">
        <v>2031</v>
      </c>
      <c r="J309" s="92" t="s">
        <v>132</v>
      </c>
      <c r="K309" s="92">
        <v>27114</v>
      </c>
      <c r="L309" s="92" t="s">
        <v>2109</v>
      </c>
      <c r="M309" s="92" t="str">
        <f t="shared" si="13"/>
        <v>3KSUYCERANS27114751300</v>
      </c>
      <c r="N309" s="92" t="str">
        <f t="shared" si="14"/>
        <v>3KSUYCERANS2711475240</v>
      </c>
      <c r="O309" s="93">
        <v>75</v>
      </c>
      <c r="P309" s="92" t="s">
        <v>2007</v>
      </c>
      <c r="Q309" s="92" t="s">
        <v>1991</v>
      </c>
      <c r="R309" s="93">
        <v>1300</v>
      </c>
      <c r="S309" s="93">
        <v>4300</v>
      </c>
      <c r="T309" s="93">
        <v>240</v>
      </c>
      <c r="U309" s="93">
        <v>240</v>
      </c>
      <c r="V309" s="93">
        <v>2000</v>
      </c>
      <c r="W309" s="84">
        <v>2</v>
      </c>
      <c r="X309" s="85" t="s">
        <v>142</v>
      </c>
      <c r="Y309" s="86" t="s">
        <v>295</v>
      </c>
      <c r="Z309" s="87">
        <v>6</v>
      </c>
      <c r="AA309" s="88" t="s">
        <v>266</v>
      </c>
      <c r="AB309" s="89">
        <v>1450</v>
      </c>
      <c r="AC309" s="86">
        <v>3</v>
      </c>
      <c r="AD309" s="88" t="s">
        <v>459</v>
      </c>
      <c r="AE309" s="89">
        <v>240</v>
      </c>
      <c r="AF309" s="86"/>
      <c r="AG309" s="88"/>
      <c r="AH309" s="89"/>
      <c r="AI309" s="86"/>
      <c r="AJ309" s="88"/>
      <c r="AK309" s="89"/>
      <c r="AL309" s="90"/>
      <c r="AM309" s="91" t="s">
        <v>270</v>
      </c>
      <c r="AN309" s="91" t="s">
        <v>471</v>
      </c>
      <c r="AO309" s="243" t="str">
        <f t="shared" si="15"/>
        <v>3KSUYCERANS2711475</v>
      </c>
    </row>
    <row r="310" spans="1:41" x14ac:dyDescent="0.15">
      <c r="A310" s="83">
        <v>4114</v>
      </c>
      <c r="B310" s="92">
        <v>271</v>
      </c>
      <c r="C310" s="92"/>
      <c r="D310" s="92" t="s">
        <v>2107</v>
      </c>
      <c r="E310" s="92" t="s">
        <v>11</v>
      </c>
      <c r="F310" s="92" t="s">
        <v>184</v>
      </c>
      <c r="G310" s="92" t="str">
        <f t="shared" si="12"/>
        <v>3KSUYCERANS27114</v>
      </c>
      <c r="H310" s="92" t="s">
        <v>269</v>
      </c>
      <c r="I310" s="92" t="s">
        <v>2031</v>
      </c>
      <c r="J310" s="92" t="s">
        <v>132</v>
      </c>
      <c r="K310" s="92">
        <v>27114</v>
      </c>
      <c r="L310" s="92" t="s">
        <v>2109</v>
      </c>
      <c r="M310" s="92" t="str">
        <f t="shared" si="13"/>
        <v>3KSUYCERANS27114751300</v>
      </c>
      <c r="N310" s="92" t="str">
        <f t="shared" si="14"/>
        <v>3KSUYCERANS2711475280</v>
      </c>
      <c r="O310" s="93">
        <v>75</v>
      </c>
      <c r="P310" s="92" t="s">
        <v>2007</v>
      </c>
      <c r="Q310" s="92" t="s">
        <v>1991</v>
      </c>
      <c r="R310" s="93">
        <v>1300</v>
      </c>
      <c r="S310" s="93">
        <v>4300</v>
      </c>
      <c r="T310" s="93">
        <v>280</v>
      </c>
      <c r="U310" s="93">
        <v>280</v>
      </c>
      <c r="V310" s="93">
        <v>2000</v>
      </c>
      <c r="W310" s="84">
        <v>2</v>
      </c>
      <c r="X310" s="85" t="s">
        <v>142</v>
      </c>
      <c r="Y310" s="86" t="s">
        <v>295</v>
      </c>
      <c r="Z310" s="87">
        <v>6</v>
      </c>
      <c r="AA310" s="88" t="s">
        <v>266</v>
      </c>
      <c r="AB310" s="89">
        <v>1450</v>
      </c>
      <c r="AC310" s="86">
        <v>3</v>
      </c>
      <c r="AD310" s="88" t="s">
        <v>459</v>
      </c>
      <c r="AE310" s="89">
        <v>280</v>
      </c>
      <c r="AF310" s="86"/>
      <c r="AG310" s="88"/>
      <c r="AH310" s="89"/>
      <c r="AI310" s="86"/>
      <c r="AJ310" s="88"/>
      <c r="AK310" s="89"/>
      <c r="AL310" s="90"/>
      <c r="AM310" s="91" t="s">
        <v>271</v>
      </c>
      <c r="AN310" s="91" t="s">
        <v>471</v>
      </c>
      <c r="AO310" s="243" t="str">
        <f t="shared" si="15"/>
        <v>3KSUYCERANS2711475</v>
      </c>
    </row>
    <row r="311" spans="1:41" x14ac:dyDescent="0.15">
      <c r="A311" s="83">
        <v>4114</v>
      </c>
      <c r="B311" s="92">
        <v>271</v>
      </c>
      <c r="C311" s="92"/>
      <c r="D311" s="92" t="s">
        <v>2107</v>
      </c>
      <c r="E311" s="92" t="s">
        <v>11</v>
      </c>
      <c r="F311" s="92" t="s">
        <v>184</v>
      </c>
      <c r="G311" s="92" t="str">
        <f t="shared" si="12"/>
        <v>3KSUYCERANS27114</v>
      </c>
      <c r="H311" s="92" t="s">
        <v>269</v>
      </c>
      <c r="I311" s="92" t="s">
        <v>2031</v>
      </c>
      <c r="J311" s="92" t="s">
        <v>132</v>
      </c>
      <c r="K311" s="92">
        <v>27114</v>
      </c>
      <c r="L311" s="92" t="s">
        <v>2109</v>
      </c>
      <c r="M311" s="92" t="str">
        <f t="shared" si="13"/>
        <v>3KSUYCERANS27114751300</v>
      </c>
      <c r="N311" s="92" t="str">
        <f t="shared" si="14"/>
        <v>3KSUYCERANS2711475685</v>
      </c>
      <c r="O311" s="93">
        <v>75</v>
      </c>
      <c r="P311" s="92" t="s">
        <v>2007</v>
      </c>
      <c r="Q311" s="92" t="s">
        <v>1991</v>
      </c>
      <c r="R311" s="93">
        <v>1300</v>
      </c>
      <c r="S311" s="93">
        <v>4300</v>
      </c>
      <c r="T311" s="93">
        <v>685</v>
      </c>
      <c r="U311" s="93">
        <v>685</v>
      </c>
      <c r="V311" s="93">
        <v>2000</v>
      </c>
      <c r="W311" s="84">
        <v>2</v>
      </c>
      <c r="X311" s="85" t="s">
        <v>142</v>
      </c>
      <c r="Y311" s="86" t="s">
        <v>295</v>
      </c>
      <c r="Z311" s="87">
        <v>6</v>
      </c>
      <c r="AA311" s="88" t="s">
        <v>266</v>
      </c>
      <c r="AB311" s="89">
        <v>1450</v>
      </c>
      <c r="AC311" s="86">
        <v>3</v>
      </c>
      <c r="AD311" s="88" t="s">
        <v>459</v>
      </c>
      <c r="AE311" s="89">
        <v>700</v>
      </c>
      <c r="AF311" s="86"/>
      <c r="AG311" s="88"/>
      <c r="AH311" s="89"/>
      <c r="AI311" s="86"/>
      <c r="AJ311" s="88"/>
      <c r="AK311" s="89"/>
      <c r="AL311" s="90"/>
      <c r="AM311" s="91" t="s">
        <v>271</v>
      </c>
      <c r="AN311" s="91" t="s">
        <v>471</v>
      </c>
      <c r="AO311" s="243" t="str">
        <f t="shared" si="15"/>
        <v>3KSUYCERANS2711475</v>
      </c>
    </row>
    <row r="312" spans="1:41" x14ac:dyDescent="0.15">
      <c r="A312" s="83">
        <v>4114</v>
      </c>
      <c r="B312" s="92">
        <v>271</v>
      </c>
      <c r="C312" s="92"/>
      <c r="D312" s="92" t="s">
        <v>2107</v>
      </c>
      <c r="E312" s="92" t="s">
        <v>11</v>
      </c>
      <c r="F312" s="92" t="s">
        <v>184</v>
      </c>
      <c r="G312" s="92" t="str">
        <f t="shared" si="12"/>
        <v>3KSUYCERANS27114</v>
      </c>
      <c r="H312" s="92" t="s">
        <v>269</v>
      </c>
      <c r="I312" s="92" t="s">
        <v>2031</v>
      </c>
      <c r="J312" s="92" t="s">
        <v>132</v>
      </c>
      <c r="K312" s="92">
        <v>27114</v>
      </c>
      <c r="L312" s="92" t="s">
        <v>2109</v>
      </c>
      <c r="M312" s="92" t="str">
        <f t="shared" si="13"/>
        <v>3KSUYCERANS27114751300</v>
      </c>
      <c r="N312" s="92" t="str">
        <f t="shared" si="14"/>
        <v>3KSUYCERANS2711475590</v>
      </c>
      <c r="O312" s="93">
        <v>75</v>
      </c>
      <c r="P312" s="92" t="s">
        <v>2007</v>
      </c>
      <c r="Q312" s="92" t="s">
        <v>1991</v>
      </c>
      <c r="R312" s="93">
        <v>1300</v>
      </c>
      <c r="S312" s="93">
        <v>4300</v>
      </c>
      <c r="T312" s="93">
        <v>590</v>
      </c>
      <c r="U312" s="93">
        <v>590</v>
      </c>
      <c r="V312" s="93">
        <v>2000</v>
      </c>
      <c r="W312" s="84">
        <v>2</v>
      </c>
      <c r="X312" s="85" t="s">
        <v>142</v>
      </c>
      <c r="Y312" s="86" t="s">
        <v>295</v>
      </c>
      <c r="Z312" s="87">
        <v>6</v>
      </c>
      <c r="AA312" s="88" t="s">
        <v>266</v>
      </c>
      <c r="AB312" s="89">
        <v>1450</v>
      </c>
      <c r="AC312" s="86">
        <v>3</v>
      </c>
      <c r="AD312" s="88" t="s">
        <v>459</v>
      </c>
      <c r="AE312" s="89">
        <v>305</v>
      </c>
      <c r="AF312" s="86"/>
      <c r="AG312" s="88"/>
      <c r="AH312" s="89"/>
      <c r="AI312" s="86"/>
      <c r="AJ312" s="88"/>
      <c r="AK312" s="89"/>
      <c r="AL312" s="90"/>
      <c r="AM312" s="91" t="s">
        <v>271</v>
      </c>
      <c r="AN312" s="91" t="s">
        <v>471</v>
      </c>
      <c r="AO312" s="243" t="str">
        <f t="shared" si="15"/>
        <v>3KSUYCERANS2711475</v>
      </c>
    </row>
    <row r="313" spans="1:41" x14ac:dyDescent="0.15">
      <c r="A313" s="83">
        <v>4114</v>
      </c>
      <c r="B313" s="92">
        <v>271</v>
      </c>
      <c r="C313" s="92"/>
      <c r="D313" s="92" t="s">
        <v>2107</v>
      </c>
      <c r="E313" s="92" t="s">
        <v>11</v>
      </c>
      <c r="F313" s="92" t="s">
        <v>184</v>
      </c>
      <c r="G313" s="92" t="str">
        <f t="shared" si="12"/>
        <v>3UNCERANS27114</v>
      </c>
      <c r="H313" s="92" t="s">
        <v>269</v>
      </c>
      <c r="I313" s="92" t="s">
        <v>1550</v>
      </c>
      <c r="J313" s="92" t="s">
        <v>132</v>
      </c>
      <c r="K313" s="92">
        <v>27114</v>
      </c>
      <c r="L313" s="92" t="s">
        <v>2109</v>
      </c>
      <c r="M313" s="92" t="str">
        <f t="shared" si="13"/>
        <v>3UNCERANS27114751310</v>
      </c>
      <c r="N313" s="92" t="str">
        <f t="shared" si="14"/>
        <v>3UNCERANS2711475180</v>
      </c>
      <c r="O313" s="93">
        <v>75</v>
      </c>
      <c r="P313" s="92">
        <v>3</v>
      </c>
      <c r="Q313" s="92" t="s">
        <v>1991</v>
      </c>
      <c r="R313" s="93">
        <v>1310</v>
      </c>
      <c r="S313" s="93">
        <v>4500</v>
      </c>
      <c r="T313" s="93">
        <v>180</v>
      </c>
      <c r="U313" s="93">
        <v>180</v>
      </c>
      <c r="V313" s="93">
        <v>2000</v>
      </c>
      <c r="W313" s="84">
        <v>2</v>
      </c>
      <c r="X313" s="85" t="s">
        <v>142</v>
      </c>
      <c r="Y313" s="86" t="s">
        <v>295</v>
      </c>
      <c r="Z313" s="87">
        <v>6</v>
      </c>
      <c r="AA313" s="88" t="s">
        <v>266</v>
      </c>
      <c r="AB313" s="89">
        <v>1450</v>
      </c>
      <c r="AC313" s="142"/>
      <c r="AD313" s="129"/>
      <c r="AE313" s="95">
        <v>180</v>
      </c>
      <c r="AF313" s="86"/>
      <c r="AG313" s="88"/>
      <c r="AH313" s="89"/>
      <c r="AI313" s="86"/>
      <c r="AJ313" s="88"/>
      <c r="AK313" s="89"/>
      <c r="AL313" s="90"/>
      <c r="AM313" s="91" t="s">
        <v>270</v>
      </c>
      <c r="AN313" s="91" t="s">
        <v>471</v>
      </c>
      <c r="AO313" s="243" t="str">
        <f t="shared" si="15"/>
        <v>3UNCERANS2711475</v>
      </c>
    </row>
    <row r="314" spans="1:41" x14ac:dyDescent="0.15">
      <c r="A314" s="83">
        <v>4114</v>
      </c>
      <c r="B314" s="92">
        <v>271</v>
      </c>
      <c r="C314" s="92"/>
      <c r="D314" s="92" t="s">
        <v>2107</v>
      </c>
      <c r="E314" s="92" t="s">
        <v>11</v>
      </c>
      <c r="F314" s="92" t="s">
        <v>184</v>
      </c>
      <c r="G314" s="92" t="str">
        <f t="shared" si="12"/>
        <v>3UNCERANS27114</v>
      </c>
      <c r="H314" s="92" t="s">
        <v>269</v>
      </c>
      <c r="I314" s="92" t="s">
        <v>1550</v>
      </c>
      <c r="J314" s="92" t="s">
        <v>132</v>
      </c>
      <c r="K314" s="92">
        <v>27114</v>
      </c>
      <c r="L314" s="92" t="s">
        <v>2109</v>
      </c>
      <c r="M314" s="92" t="str">
        <f t="shared" si="13"/>
        <v>3UNCERANS27114751310</v>
      </c>
      <c r="N314" s="92" t="str">
        <f t="shared" si="14"/>
        <v>3UNCERANS2711475240</v>
      </c>
      <c r="O314" s="93">
        <v>75</v>
      </c>
      <c r="P314" s="92">
        <v>3</v>
      </c>
      <c r="Q314" s="92" t="s">
        <v>1991</v>
      </c>
      <c r="R314" s="93">
        <v>1310</v>
      </c>
      <c r="S314" s="93">
        <v>4500</v>
      </c>
      <c r="T314" s="93">
        <v>240</v>
      </c>
      <c r="U314" s="93">
        <v>240</v>
      </c>
      <c r="V314" s="93">
        <v>2000</v>
      </c>
      <c r="W314" s="84">
        <v>2</v>
      </c>
      <c r="X314" s="85" t="s">
        <v>142</v>
      </c>
      <c r="Y314" s="86" t="s">
        <v>295</v>
      </c>
      <c r="Z314" s="87">
        <v>6</v>
      </c>
      <c r="AA314" s="88" t="s">
        <v>266</v>
      </c>
      <c r="AB314" s="89">
        <v>1450</v>
      </c>
      <c r="AC314" s="142"/>
      <c r="AD314" s="129"/>
      <c r="AE314" s="95">
        <v>240</v>
      </c>
      <c r="AF314" s="86"/>
      <c r="AG314" s="88"/>
      <c r="AH314" s="89"/>
      <c r="AI314" s="86"/>
      <c r="AJ314" s="88"/>
      <c r="AK314" s="89"/>
      <c r="AL314" s="90"/>
      <c r="AM314" s="91" t="s">
        <v>270</v>
      </c>
      <c r="AN314" s="91" t="s">
        <v>471</v>
      </c>
      <c r="AO314" s="243" t="str">
        <f t="shared" si="15"/>
        <v>3UNCERANS2711475</v>
      </c>
    </row>
    <row r="315" spans="1:41" x14ac:dyDescent="0.15">
      <c r="A315" s="83">
        <v>4114</v>
      </c>
      <c r="B315" s="92">
        <v>271</v>
      </c>
      <c r="C315" s="92"/>
      <c r="D315" s="92" t="s">
        <v>2107</v>
      </c>
      <c r="E315" s="92" t="s">
        <v>11</v>
      </c>
      <c r="F315" s="92" t="s">
        <v>184</v>
      </c>
      <c r="G315" s="92" t="str">
        <f t="shared" si="12"/>
        <v>3UNCERANS27114</v>
      </c>
      <c r="H315" s="92" t="s">
        <v>269</v>
      </c>
      <c r="I315" s="92" t="s">
        <v>1550</v>
      </c>
      <c r="J315" s="92" t="s">
        <v>132</v>
      </c>
      <c r="K315" s="92">
        <v>27114</v>
      </c>
      <c r="L315" s="92" t="s">
        <v>2109</v>
      </c>
      <c r="M315" s="92" t="str">
        <f t="shared" si="13"/>
        <v>3UNCERANS27114751310</v>
      </c>
      <c r="N315" s="92" t="str">
        <f t="shared" si="14"/>
        <v>3UNCERANS2711475280</v>
      </c>
      <c r="O315" s="93">
        <v>75</v>
      </c>
      <c r="P315" s="92">
        <v>3</v>
      </c>
      <c r="Q315" s="92" t="s">
        <v>1991</v>
      </c>
      <c r="R315" s="93">
        <v>1310</v>
      </c>
      <c r="S315" s="93">
        <v>4500</v>
      </c>
      <c r="T315" s="93">
        <v>280</v>
      </c>
      <c r="U315" s="93">
        <v>280</v>
      </c>
      <c r="V315" s="93">
        <v>2000</v>
      </c>
      <c r="W315" s="84">
        <v>2</v>
      </c>
      <c r="X315" s="85" t="s">
        <v>142</v>
      </c>
      <c r="Y315" s="86" t="s">
        <v>295</v>
      </c>
      <c r="Z315" s="87">
        <v>6</v>
      </c>
      <c r="AA315" s="88" t="s">
        <v>266</v>
      </c>
      <c r="AB315" s="89">
        <v>1450</v>
      </c>
      <c r="AC315" s="142"/>
      <c r="AD315" s="129"/>
      <c r="AE315" s="95">
        <v>280</v>
      </c>
      <c r="AF315" s="86"/>
      <c r="AG315" s="88"/>
      <c r="AH315" s="89"/>
      <c r="AI315" s="86"/>
      <c r="AJ315" s="88"/>
      <c r="AK315" s="89"/>
      <c r="AL315" s="90"/>
      <c r="AM315" s="91" t="s">
        <v>271</v>
      </c>
      <c r="AN315" s="91" t="s">
        <v>471</v>
      </c>
      <c r="AO315" s="243" t="str">
        <f t="shared" si="15"/>
        <v>3UNCERANS2711475</v>
      </c>
    </row>
    <row r="316" spans="1:41" x14ac:dyDescent="0.15">
      <c r="A316" s="83">
        <v>4114</v>
      </c>
      <c r="B316" s="92">
        <v>271</v>
      </c>
      <c r="C316" s="92"/>
      <c r="D316" s="92" t="s">
        <v>2107</v>
      </c>
      <c r="E316" s="92" t="s">
        <v>11</v>
      </c>
      <c r="F316" s="92" t="s">
        <v>184</v>
      </c>
      <c r="G316" s="92" t="str">
        <f t="shared" si="12"/>
        <v>3UNCERANS27114</v>
      </c>
      <c r="H316" s="92" t="s">
        <v>269</v>
      </c>
      <c r="I316" s="92" t="s">
        <v>1550</v>
      </c>
      <c r="J316" s="92" t="s">
        <v>132</v>
      </c>
      <c r="K316" s="92">
        <v>27114</v>
      </c>
      <c r="L316" s="92" t="s">
        <v>2109</v>
      </c>
      <c r="M316" s="92" t="str">
        <f t="shared" si="13"/>
        <v>3UNCERANS27114751310</v>
      </c>
      <c r="N316" s="92" t="str">
        <f t="shared" si="14"/>
        <v>3UNCERANS2711475305</v>
      </c>
      <c r="O316" s="93">
        <v>75</v>
      </c>
      <c r="P316" s="92">
        <v>3</v>
      </c>
      <c r="Q316" s="92" t="s">
        <v>1991</v>
      </c>
      <c r="R316" s="93">
        <v>1310</v>
      </c>
      <c r="S316" s="93">
        <v>4500</v>
      </c>
      <c r="T316" s="93">
        <v>305</v>
      </c>
      <c r="U316" s="93">
        <v>305</v>
      </c>
      <c r="V316" s="93">
        <v>2000</v>
      </c>
      <c r="W316" s="84">
        <v>2</v>
      </c>
      <c r="X316" s="85" t="s">
        <v>142</v>
      </c>
      <c r="Y316" s="86" t="s">
        <v>295</v>
      </c>
      <c r="Z316" s="87">
        <v>6</v>
      </c>
      <c r="AA316" s="88" t="s">
        <v>266</v>
      </c>
      <c r="AB316" s="89">
        <v>1450</v>
      </c>
      <c r="AC316" s="142"/>
      <c r="AD316" s="129"/>
      <c r="AE316" s="95">
        <v>305</v>
      </c>
      <c r="AF316" s="86"/>
      <c r="AG316" s="88"/>
      <c r="AH316" s="89"/>
      <c r="AI316" s="86"/>
      <c r="AJ316" s="88"/>
      <c r="AK316" s="89"/>
      <c r="AL316" s="90"/>
      <c r="AM316" s="91" t="s">
        <v>271</v>
      </c>
      <c r="AN316" s="91" t="s">
        <v>471</v>
      </c>
      <c r="AO316" s="243" t="str">
        <f t="shared" si="15"/>
        <v>3UNCERANS2711475</v>
      </c>
    </row>
    <row r="317" spans="1:41" x14ac:dyDescent="0.15">
      <c r="A317" s="83">
        <v>4114</v>
      </c>
      <c r="B317" s="92">
        <v>271</v>
      </c>
      <c r="C317" s="92"/>
      <c r="D317" s="92" t="s">
        <v>2107</v>
      </c>
      <c r="E317" s="92" t="s">
        <v>11</v>
      </c>
      <c r="F317" s="92" t="s">
        <v>184</v>
      </c>
      <c r="G317" s="92" t="str">
        <f t="shared" ref="G317:G472" si="16">CONCATENATE(P317,H317,I317,J317,K317)</f>
        <v>3UNCERANS27114</v>
      </c>
      <c r="H317" s="92" t="s">
        <v>269</v>
      </c>
      <c r="I317" s="92" t="s">
        <v>1550</v>
      </c>
      <c r="J317" s="92" t="s">
        <v>132</v>
      </c>
      <c r="K317" s="92">
        <v>27114</v>
      </c>
      <c r="L317" s="92" t="s">
        <v>2109</v>
      </c>
      <c r="M317" s="92" t="str">
        <f t="shared" ref="M317:M472" si="17">G317&amp;O317&amp;R317</f>
        <v>3UNCERANS27114751310</v>
      </c>
      <c r="N317" s="92" t="str">
        <f t="shared" ref="N317:N472" si="18">G317&amp;O317&amp;U317</f>
        <v>3UNCERANS27114751300</v>
      </c>
      <c r="O317" s="93">
        <v>75</v>
      </c>
      <c r="P317" s="92">
        <v>3</v>
      </c>
      <c r="Q317" s="92" t="s">
        <v>1991</v>
      </c>
      <c r="R317" s="93">
        <v>1310</v>
      </c>
      <c r="S317" s="93">
        <v>4500</v>
      </c>
      <c r="T317" s="93">
        <v>1300</v>
      </c>
      <c r="U317" s="93">
        <v>1300</v>
      </c>
      <c r="V317" s="93">
        <v>2000</v>
      </c>
      <c r="W317" s="84">
        <v>2</v>
      </c>
      <c r="X317" s="85" t="s">
        <v>142</v>
      </c>
      <c r="Y317" s="86" t="s">
        <v>15</v>
      </c>
      <c r="Z317" s="87">
        <v>6</v>
      </c>
      <c r="AA317" s="88" t="s">
        <v>266</v>
      </c>
      <c r="AB317" s="89">
        <v>1450</v>
      </c>
      <c r="AC317" s="86"/>
      <c r="AD317" s="88"/>
      <c r="AE317" s="89"/>
      <c r="AF317" s="86"/>
      <c r="AG317" s="88"/>
      <c r="AH317" s="89"/>
      <c r="AI317" s="86"/>
      <c r="AJ317" s="88"/>
      <c r="AK317" s="89"/>
      <c r="AL317" s="90"/>
      <c r="AM317" s="91"/>
      <c r="AN317" s="91" t="s">
        <v>471</v>
      </c>
      <c r="AO317" s="243" t="str">
        <f t="shared" si="15"/>
        <v>3UNCERANS2711475</v>
      </c>
    </row>
    <row r="318" spans="1:41" x14ac:dyDescent="0.15">
      <c r="A318" s="83">
        <v>4114</v>
      </c>
      <c r="B318" s="92">
        <v>271</v>
      </c>
      <c r="C318" s="92"/>
      <c r="D318" s="92" t="s">
        <v>2107</v>
      </c>
      <c r="E318" s="92" t="s">
        <v>11</v>
      </c>
      <c r="F318" s="92" t="s">
        <v>184</v>
      </c>
      <c r="G318" s="92" t="str">
        <f t="shared" si="16"/>
        <v>3UYCERANS27114T1</v>
      </c>
      <c r="H318" s="92" t="s">
        <v>269</v>
      </c>
      <c r="I318" s="92" t="s">
        <v>2031</v>
      </c>
      <c r="J318" s="92" t="s">
        <v>132</v>
      </c>
      <c r="K318" s="92" t="s">
        <v>2125</v>
      </c>
      <c r="L318" s="92" t="s">
        <v>2126</v>
      </c>
      <c r="M318" s="92" t="str">
        <f t="shared" si="17"/>
        <v>3UYCERANS27114T1501310</v>
      </c>
      <c r="N318" s="92" t="str">
        <f t="shared" si="18"/>
        <v>3UYCERANS27114T1501300</v>
      </c>
      <c r="O318" s="93">
        <v>50</v>
      </c>
      <c r="P318" s="92">
        <v>3</v>
      </c>
      <c r="Q318" s="92" t="s">
        <v>503</v>
      </c>
      <c r="R318" s="93">
        <v>1310</v>
      </c>
      <c r="S318" s="93">
        <v>6400</v>
      </c>
      <c r="T318" s="93">
        <v>1300</v>
      </c>
      <c r="U318" s="93">
        <v>1300</v>
      </c>
      <c r="V318" s="93">
        <v>2200</v>
      </c>
      <c r="W318" s="84">
        <v>2</v>
      </c>
      <c r="X318" s="85" t="s">
        <v>142</v>
      </c>
      <c r="Y318" s="86" t="s">
        <v>15</v>
      </c>
      <c r="Z318" s="87">
        <v>6</v>
      </c>
      <c r="AA318" s="88" t="s">
        <v>16</v>
      </c>
      <c r="AB318" s="89">
        <v>1400</v>
      </c>
      <c r="AC318" s="86"/>
      <c r="AD318" s="88"/>
      <c r="AE318" s="89"/>
      <c r="AF318" s="86"/>
      <c r="AG318" s="88"/>
      <c r="AH318" s="89"/>
      <c r="AI318" s="86"/>
      <c r="AJ318" s="88"/>
      <c r="AK318" s="89"/>
      <c r="AL318" s="90"/>
      <c r="AM318" s="91"/>
      <c r="AN318" s="91" t="s">
        <v>471</v>
      </c>
      <c r="AO318" s="243" t="str">
        <f t="shared" si="15"/>
        <v>3UYCERANS27114T150</v>
      </c>
    </row>
    <row r="319" spans="1:41" x14ac:dyDescent="0.15">
      <c r="A319" s="83">
        <v>4114</v>
      </c>
      <c r="B319" s="92">
        <v>272</v>
      </c>
      <c r="C319" s="92">
        <v>36882</v>
      </c>
      <c r="D319" s="92" t="s">
        <v>525</v>
      </c>
      <c r="E319" s="92" t="s">
        <v>2115</v>
      </c>
      <c r="F319" s="92" t="s">
        <v>184</v>
      </c>
      <c r="G319" s="92" t="str">
        <f t="shared" si="16"/>
        <v>3UNCERANS27114</v>
      </c>
      <c r="H319" s="92" t="s">
        <v>269</v>
      </c>
      <c r="I319" s="92" t="s">
        <v>1550</v>
      </c>
      <c r="J319" s="92" t="s">
        <v>132</v>
      </c>
      <c r="K319" s="92">
        <v>27114</v>
      </c>
      <c r="L319" s="92" t="s">
        <v>2109</v>
      </c>
      <c r="M319" s="92" t="str">
        <f t="shared" si="17"/>
        <v>3UNCERANS27114381120</v>
      </c>
      <c r="N319" s="92" t="str">
        <f t="shared" si="18"/>
        <v>3UNCERANS2711438750</v>
      </c>
      <c r="O319" s="93">
        <v>38</v>
      </c>
      <c r="P319" s="92">
        <v>3</v>
      </c>
      <c r="Q319" s="92" t="s">
        <v>1991</v>
      </c>
      <c r="R319" s="93">
        <v>1120</v>
      </c>
      <c r="S319" s="93">
        <v>3000</v>
      </c>
      <c r="T319" s="93">
        <v>750</v>
      </c>
      <c r="U319" s="93">
        <v>750</v>
      </c>
      <c r="V319" s="93">
        <v>2800</v>
      </c>
      <c r="W319" s="84">
        <v>2</v>
      </c>
      <c r="X319" s="85" t="s">
        <v>142</v>
      </c>
      <c r="Y319" s="86" t="s">
        <v>295</v>
      </c>
      <c r="Z319" s="87">
        <v>6</v>
      </c>
      <c r="AA319" s="88" t="s">
        <v>266</v>
      </c>
      <c r="AB319" s="89">
        <v>1450</v>
      </c>
      <c r="AC319" s="86">
        <v>6</v>
      </c>
      <c r="AD319" s="88" t="s">
        <v>266</v>
      </c>
      <c r="AE319" s="89">
        <v>930</v>
      </c>
      <c r="AF319" s="86"/>
      <c r="AG319" s="88"/>
      <c r="AH319" s="89"/>
      <c r="AI319" s="86"/>
      <c r="AJ319" s="88"/>
      <c r="AK319" s="89"/>
      <c r="AL319" s="90"/>
      <c r="AM319" s="91"/>
      <c r="AN319" s="91" t="s">
        <v>471</v>
      </c>
      <c r="AO319" s="243" t="str">
        <f t="shared" si="15"/>
        <v>3UNCERANS2711438</v>
      </c>
    </row>
    <row r="320" spans="1:41" x14ac:dyDescent="0.15">
      <c r="A320" s="83">
        <v>4114</v>
      </c>
      <c r="B320" s="92">
        <v>272</v>
      </c>
      <c r="C320" s="92">
        <v>36882</v>
      </c>
      <c r="D320" s="92" t="s">
        <v>525</v>
      </c>
      <c r="E320" s="92" t="s">
        <v>2115</v>
      </c>
      <c r="F320" s="92" t="s">
        <v>184</v>
      </c>
      <c r="G320" s="92" t="str">
        <f t="shared" si="16"/>
        <v>3UNCERANS27114</v>
      </c>
      <c r="H320" s="92" t="s">
        <v>269</v>
      </c>
      <c r="I320" s="92" t="s">
        <v>1550</v>
      </c>
      <c r="J320" s="92" t="s">
        <v>132</v>
      </c>
      <c r="K320" s="92">
        <v>27114</v>
      </c>
      <c r="L320" s="92" t="s">
        <v>2109</v>
      </c>
      <c r="M320" s="92" t="str">
        <f t="shared" si="17"/>
        <v>3UNCERANS27114381120</v>
      </c>
      <c r="N320" s="92" t="str">
        <f t="shared" si="18"/>
        <v>3UNCERANS2711438750</v>
      </c>
      <c r="O320" s="93">
        <v>38</v>
      </c>
      <c r="P320" s="92">
        <v>3</v>
      </c>
      <c r="Q320" s="92" t="s">
        <v>526</v>
      </c>
      <c r="R320" s="93">
        <v>1120</v>
      </c>
      <c r="S320" s="93">
        <v>3000</v>
      </c>
      <c r="T320" s="93">
        <v>750</v>
      </c>
      <c r="U320" s="93">
        <v>750</v>
      </c>
      <c r="V320" s="93">
        <v>2800</v>
      </c>
      <c r="W320" s="84">
        <v>2</v>
      </c>
      <c r="X320" s="85" t="s">
        <v>142</v>
      </c>
      <c r="Y320" s="86" t="s">
        <v>295</v>
      </c>
      <c r="Z320" s="87">
        <v>6</v>
      </c>
      <c r="AA320" s="88" t="s">
        <v>266</v>
      </c>
      <c r="AB320" s="89">
        <v>1450</v>
      </c>
      <c r="AC320" s="86">
        <v>6</v>
      </c>
      <c r="AD320" s="88" t="s">
        <v>266</v>
      </c>
      <c r="AE320" s="89">
        <v>930</v>
      </c>
      <c r="AF320" s="86"/>
      <c r="AG320" s="88"/>
      <c r="AH320" s="89"/>
      <c r="AI320" s="86"/>
      <c r="AJ320" s="88"/>
      <c r="AK320" s="89"/>
      <c r="AL320" s="90"/>
      <c r="AM320" s="91"/>
      <c r="AN320" s="91" t="s">
        <v>471</v>
      </c>
      <c r="AO320" s="243" t="str">
        <f t="shared" si="15"/>
        <v>3UNCERANS2711438</v>
      </c>
    </row>
    <row r="321" spans="1:41" x14ac:dyDescent="0.15">
      <c r="A321" s="83">
        <v>4114</v>
      </c>
      <c r="B321" s="92">
        <v>272</v>
      </c>
      <c r="C321" s="92">
        <v>36882</v>
      </c>
      <c r="D321" s="92" t="s">
        <v>525</v>
      </c>
      <c r="E321" s="92" t="s">
        <v>2115</v>
      </c>
      <c r="F321" s="92" t="s">
        <v>184</v>
      </c>
      <c r="G321" s="92" t="str">
        <f t="shared" si="16"/>
        <v>3UNCERANS27114</v>
      </c>
      <c r="H321" s="92" t="s">
        <v>269</v>
      </c>
      <c r="I321" s="92" t="s">
        <v>1550</v>
      </c>
      <c r="J321" s="92" t="s">
        <v>132</v>
      </c>
      <c r="K321" s="92">
        <v>27114</v>
      </c>
      <c r="L321" s="92" t="s">
        <v>2109</v>
      </c>
      <c r="M321" s="92" t="str">
        <f t="shared" si="17"/>
        <v>3UNCERANS27114381050</v>
      </c>
      <c r="N321" s="92" t="str">
        <f t="shared" si="18"/>
        <v>3UNCERANS2711438750</v>
      </c>
      <c r="O321" s="93">
        <v>38</v>
      </c>
      <c r="P321" s="92">
        <v>3</v>
      </c>
      <c r="Q321" s="92" t="s">
        <v>526</v>
      </c>
      <c r="R321" s="93">
        <v>1050</v>
      </c>
      <c r="S321" s="93">
        <v>6100</v>
      </c>
      <c r="T321" s="93">
        <v>750</v>
      </c>
      <c r="U321" s="93">
        <v>750</v>
      </c>
      <c r="V321" s="93">
        <v>5800</v>
      </c>
      <c r="W321" s="84">
        <v>2</v>
      </c>
      <c r="X321" s="85" t="s">
        <v>142</v>
      </c>
      <c r="Y321" s="86" t="s">
        <v>295</v>
      </c>
      <c r="Z321" s="87">
        <v>6</v>
      </c>
      <c r="AA321" s="88" t="s">
        <v>266</v>
      </c>
      <c r="AB321" s="89">
        <v>1450</v>
      </c>
      <c r="AC321" s="86">
        <v>6</v>
      </c>
      <c r="AD321" s="88" t="s">
        <v>266</v>
      </c>
      <c r="AE321" s="89">
        <v>930</v>
      </c>
      <c r="AF321" s="86"/>
      <c r="AG321" s="88"/>
      <c r="AH321" s="89"/>
      <c r="AI321" s="86"/>
      <c r="AJ321" s="88"/>
      <c r="AK321" s="89"/>
      <c r="AL321" s="90"/>
      <c r="AM321" s="91"/>
      <c r="AN321" s="91" t="s">
        <v>471</v>
      </c>
      <c r="AO321" s="243" t="str">
        <f t="shared" si="15"/>
        <v>3UNCERANS2711438</v>
      </c>
    </row>
    <row r="322" spans="1:41" x14ac:dyDescent="0.15">
      <c r="A322" s="83">
        <v>4114</v>
      </c>
      <c r="B322" s="92">
        <v>279</v>
      </c>
      <c r="C322" s="92"/>
      <c r="D322" s="92" t="s">
        <v>2127</v>
      </c>
      <c r="E322" s="92" t="s">
        <v>127</v>
      </c>
      <c r="F322" s="92" t="s">
        <v>184</v>
      </c>
      <c r="G322" s="92" t="str">
        <f t="shared" si="16"/>
        <v>3UNCERANS27114</v>
      </c>
      <c r="H322" s="92" t="s">
        <v>269</v>
      </c>
      <c r="I322" s="92" t="s">
        <v>1550</v>
      </c>
      <c r="J322" s="92" t="s">
        <v>132</v>
      </c>
      <c r="K322" s="92">
        <v>27114</v>
      </c>
      <c r="L322" s="92" t="s">
        <v>2109</v>
      </c>
      <c r="M322" s="92" t="str">
        <f t="shared" si="17"/>
        <v>3UNCERANS27114501340</v>
      </c>
      <c r="N322" s="92" t="str">
        <f t="shared" si="18"/>
        <v>3UNCERANS27114501050</v>
      </c>
      <c r="O322" s="93">
        <v>50</v>
      </c>
      <c r="P322" s="92">
        <v>3</v>
      </c>
      <c r="Q322" s="92" t="s">
        <v>1991</v>
      </c>
      <c r="R322" s="93">
        <v>1340</v>
      </c>
      <c r="S322" s="93">
        <v>4200</v>
      </c>
      <c r="T322" s="93">
        <v>1050</v>
      </c>
      <c r="U322" s="93">
        <v>1050</v>
      </c>
      <c r="V322" s="93">
        <v>3900</v>
      </c>
      <c r="W322" s="84">
        <v>2</v>
      </c>
      <c r="X322" s="85" t="s">
        <v>142</v>
      </c>
      <c r="Y322" s="86" t="s">
        <v>295</v>
      </c>
      <c r="Z322" s="87">
        <v>6</v>
      </c>
      <c r="AA322" s="88" t="s">
        <v>266</v>
      </c>
      <c r="AB322" s="89">
        <v>1450</v>
      </c>
      <c r="AC322" s="86">
        <v>6</v>
      </c>
      <c r="AD322" s="88" t="s">
        <v>16</v>
      </c>
      <c r="AE322" s="89">
        <v>1100</v>
      </c>
      <c r="AF322" s="86"/>
      <c r="AG322" s="88"/>
      <c r="AH322" s="89"/>
      <c r="AI322" s="86"/>
      <c r="AJ322" s="88"/>
      <c r="AK322" s="89"/>
      <c r="AL322" s="90"/>
      <c r="AM322" s="91"/>
      <c r="AN322" s="91" t="s">
        <v>471</v>
      </c>
      <c r="AO322" s="243" t="str">
        <f t="shared" si="15"/>
        <v>3UNCERANS2711450</v>
      </c>
    </row>
    <row r="323" spans="1:41" x14ac:dyDescent="0.15">
      <c r="A323" s="83">
        <v>4114</v>
      </c>
      <c r="B323" s="92">
        <v>277</v>
      </c>
      <c r="C323" s="92"/>
      <c r="D323" s="92" t="s">
        <v>527</v>
      </c>
      <c r="E323" s="92" t="s">
        <v>2128</v>
      </c>
      <c r="F323" s="92" t="s">
        <v>184</v>
      </c>
      <c r="G323" s="92" t="str">
        <f t="shared" si="16"/>
        <v>3UNCERANS27116</v>
      </c>
      <c r="H323" s="92" t="s">
        <v>269</v>
      </c>
      <c r="I323" s="92" t="s">
        <v>1550</v>
      </c>
      <c r="J323" s="92" t="s">
        <v>132</v>
      </c>
      <c r="K323" s="92">
        <v>27116</v>
      </c>
      <c r="L323" s="92" t="s">
        <v>2129</v>
      </c>
      <c r="M323" s="92" t="str">
        <f t="shared" si="17"/>
        <v>3UNCERANS2711638930</v>
      </c>
      <c r="N323" s="92" t="str">
        <f t="shared" si="18"/>
        <v>3UNCERANS2711638230</v>
      </c>
      <c r="O323" s="93">
        <v>38</v>
      </c>
      <c r="P323" s="92">
        <v>3</v>
      </c>
      <c r="Q323" s="92" t="s">
        <v>2017</v>
      </c>
      <c r="R323" s="93">
        <v>930</v>
      </c>
      <c r="S323" s="93">
        <v>6225</v>
      </c>
      <c r="T323" s="93">
        <v>230</v>
      </c>
      <c r="U323" s="93">
        <v>230</v>
      </c>
      <c r="V323" s="93">
        <v>1000</v>
      </c>
      <c r="W323" s="84">
        <v>2</v>
      </c>
      <c r="X323" s="85" t="s">
        <v>142</v>
      </c>
      <c r="Y323" s="86" t="s">
        <v>295</v>
      </c>
      <c r="Z323" s="87">
        <v>6</v>
      </c>
      <c r="AA323" s="88" t="s">
        <v>266</v>
      </c>
      <c r="AB323" s="89">
        <v>1450</v>
      </c>
      <c r="AC323" s="86">
        <v>3</v>
      </c>
      <c r="AD323" s="88" t="s">
        <v>459</v>
      </c>
      <c r="AE323" s="89">
        <v>242</v>
      </c>
      <c r="AF323" s="86"/>
      <c r="AG323" s="88"/>
      <c r="AH323" s="89"/>
      <c r="AI323" s="86"/>
      <c r="AJ323" s="88"/>
      <c r="AK323" s="89"/>
      <c r="AL323" s="90"/>
      <c r="AM323" s="91"/>
      <c r="AN323" s="91" t="s">
        <v>471</v>
      </c>
      <c r="AO323" s="243" t="str">
        <f t="shared" si="15"/>
        <v>3UNCERANS2711638</v>
      </c>
    </row>
    <row r="324" spans="1:41" x14ac:dyDescent="0.15">
      <c r="A324" s="83">
        <v>4114</v>
      </c>
      <c r="B324" s="92">
        <v>277</v>
      </c>
      <c r="C324" s="92"/>
      <c r="D324" s="92" t="s">
        <v>527</v>
      </c>
      <c r="E324" s="92" t="s">
        <v>2128</v>
      </c>
      <c r="F324" s="92" t="s">
        <v>184</v>
      </c>
      <c r="G324" s="92" t="str">
        <f t="shared" si="16"/>
        <v>3UNCERANS27116</v>
      </c>
      <c r="H324" s="92" t="s">
        <v>269</v>
      </c>
      <c r="I324" s="92" t="s">
        <v>1550</v>
      </c>
      <c r="J324" s="92" t="s">
        <v>132</v>
      </c>
      <c r="K324" s="92">
        <v>27116</v>
      </c>
      <c r="L324" s="92" t="s">
        <v>2129</v>
      </c>
      <c r="M324" s="92" t="str">
        <f t="shared" si="17"/>
        <v>3UNCERANS2711638930</v>
      </c>
      <c r="N324" s="92" t="str">
        <f t="shared" si="18"/>
        <v>3UNCERANS2711638210</v>
      </c>
      <c r="O324" s="93">
        <v>38</v>
      </c>
      <c r="P324" s="92">
        <v>3</v>
      </c>
      <c r="Q324" s="92" t="s">
        <v>2017</v>
      </c>
      <c r="R324" s="93">
        <v>930</v>
      </c>
      <c r="S324" s="93">
        <v>6225</v>
      </c>
      <c r="T324" s="93">
        <v>210</v>
      </c>
      <c r="U324" s="93">
        <v>210</v>
      </c>
      <c r="V324" s="93">
        <v>1000</v>
      </c>
      <c r="W324" s="84">
        <v>2</v>
      </c>
      <c r="X324" s="85" t="s">
        <v>142</v>
      </c>
      <c r="Y324" s="86" t="s">
        <v>295</v>
      </c>
      <c r="Z324" s="87">
        <v>6</v>
      </c>
      <c r="AA324" s="88" t="s">
        <v>266</v>
      </c>
      <c r="AB324" s="89">
        <v>1450</v>
      </c>
      <c r="AC324" s="86">
        <v>3</v>
      </c>
      <c r="AD324" s="88" t="s">
        <v>459</v>
      </c>
      <c r="AE324" s="89">
        <v>242</v>
      </c>
      <c r="AF324" s="86"/>
      <c r="AG324" s="88"/>
      <c r="AH324" s="89"/>
      <c r="AI324" s="86"/>
      <c r="AJ324" s="88"/>
      <c r="AK324" s="89"/>
      <c r="AL324" s="90"/>
      <c r="AM324" s="91"/>
      <c r="AN324" s="91" t="s">
        <v>471</v>
      </c>
      <c r="AO324" s="243" t="str">
        <f t="shared" si="15"/>
        <v>3UNCERANS2711638</v>
      </c>
    </row>
    <row r="325" spans="1:41" x14ac:dyDescent="0.15">
      <c r="A325" s="83">
        <v>4114</v>
      </c>
      <c r="B325" s="92">
        <v>277</v>
      </c>
      <c r="C325" s="92"/>
      <c r="D325" s="92" t="s">
        <v>527</v>
      </c>
      <c r="E325" s="92" t="s">
        <v>2128</v>
      </c>
      <c r="F325" s="92" t="s">
        <v>184</v>
      </c>
      <c r="G325" s="92" t="str">
        <f t="shared" si="16"/>
        <v>3UNCERANS11116</v>
      </c>
      <c r="H325" s="92" t="s">
        <v>269</v>
      </c>
      <c r="I325" s="92" t="s">
        <v>1550</v>
      </c>
      <c r="J325" s="92" t="s">
        <v>132</v>
      </c>
      <c r="K325" s="92">
        <v>11116</v>
      </c>
      <c r="L325" s="92" t="s">
        <v>2130</v>
      </c>
      <c r="M325" s="92" t="str">
        <f t="shared" si="17"/>
        <v>3UNCERANS1111638930</v>
      </c>
      <c r="N325" s="92" t="str">
        <f t="shared" si="18"/>
        <v>3UNCERANS1111638230</v>
      </c>
      <c r="O325" s="93">
        <v>38</v>
      </c>
      <c r="P325" s="92">
        <v>3</v>
      </c>
      <c r="Q325" s="92" t="s">
        <v>2017</v>
      </c>
      <c r="R325" s="93">
        <v>930</v>
      </c>
      <c r="S325" s="93">
        <v>6225</v>
      </c>
      <c r="T325" s="93">
        <v>230</v>
      </c>
      <c r="U325" s="93">
        <v>230</v>
      </c>
      <c r="V325" s="93">
        <v>1000</v>
      </c>
      <c r="W325" s="84">
        <v>2</v>
      </c>
      <c r="X325" s="85" t="s">
        <v>142</v>
      </c>
      <c r="Y325" s="86" t="s">
        <v>295</v>
      </c>
      <c r="Z325" s="87">
        <v>6</v>
      </c>
      <c r="AA325" s="88" t="s">
        <v>266</v>
      </c>
      <c r="AB325" s="89">
        <v>1450</v>
      </c>
      <c r="AC325" s="86">
        <v>3</v>
      </c>
      <c r="AD325" s="88" t="s">
        <v>459</v>
      </c>
      <c r="AE325" s="89">
        <v>242</v>
      </c>
      <c r="AF325" s="86"/>
      <c r="AG325" s="88"/>
      <c r="AH325" s="89"/>
      <c r="AI325" s="86"/>
      <c r="AJ325" s="88"/>
      <c r="AK325" s="89"/>
      <c r="AL325" s="90"/>
      <c r="AM325" s="91"/>
      <c r="AN325" s="91" t="s">
        <v>471</v>
      </c>
      <c r="AO325" s="243" t="str">
        <f t="shared" si="15"/>
        <v>3UNCERANS1111638</v>
      </c>
    </row>
    <row r="326" spans="1:41" x14ac:dyDescent="0.15">
      <c r="A326" s="83">
        <v>4114</v>
      </c>
      <c r="B326" s="92">
        <v>277</v>
      </c>
      <c r="C326" s="92"/>
      <c r="D326" s="92" t="s">
        <v>527</v>
      </c>
      <c r="E326" s="92" t="s">
        <v>2128</v>
      </c>
      <c r="F326" s="92" t="s">
        <v>184</v>
      </c>
      <c r="G326" s="92" t="str">
        <f t="shared" si="16"/>
        <v>3UNCERANS11116</v>
      </c>
      <c r="H326" s="92" t="s">
        <v>269</v>
      </c>
      <c r="I326" s="92" t="s">
        <v>1550</v>
      </c>
      <c r="J326" s="92" t="s">
        <v>132</v>
      </c>
      <c r="K326" s="92">
        <v>11116</v>
      </c>
      <c r="L326" s="92" t="s">
        <v>2130</v>
      </c>
      <c r="M326" s="92" t="str">
        <f t="shared" si="17"/>
        <v>3UNCERANS1111638930</v>
      </c>
      <c r="N326" s="92" t="str">
        <f t="shared" si="18"/>
        <v>3UNCERANS1111638210</v>
      </c>
      <c r="O326" s="93">
        <v>38</v>
      </c>
      <c r="P326" s="92">
        <v>3</v>
      </c>
      <c r="Q326" s="92" t="s">
        <v>2017</v>
      </c>
      <c r="R326" s="93">
        <v>930</v>
      </c>
      <c r="S326" s="93">
        <v>6225</v>
      </c>
      <c r="T326" s="93">
        <v>210</v>
      </c>
      <c r="U326" s="93">
        <v>210</v>
      </c>
      <c r="V326" s="93">
        <v>1000</v>
      </c>
      <c r="W326" s="84">
        <v>2</v>
      </c>
      <c r="X326" s="85" t="s">
        <v>142</v>
      </c>
      <c r="Y326" s="86" t="s">
        <v>295</v>
      </c>
      <c r="Z326" s="87">
        <v>6</v>
      </c>
      <c r="AA326" s="88" t="s">
        <v>266</v>
      </c>
      <c r="AB326" s="89">
        <v>1450</v>
      </c>
      <c r="AC326" s="86">
        <v>3</v>
      </c>
      <c r="AD326" s="88" t="s">
        <v>459</v>
      </c>
      <c r="AE326" s="89">
        <v>242</v>
      </c>
      <c r="AF326" s="86"/>
      <c r="AG326" s="88"/>
      <c r="AH326" s="89"/>
      <c r="AI326" s="86"/>
      <c r="AJ326" s="88"/>
      <c r="AK326" s="89"/>
      <c r="AL326" s="90"/>
      <c r="AM326" s="91"/>
      <c r="AN326" s="91" t="s">
        <v>471</v>
      </c>
      <c r="AO326" s="243" t="str">
        <f t="shared" si="15"/>
        <v>3UNCERANS1111638</v>
      </c>
    </row>
    <row r="327" spans="1:41" x14ac:dyDescent="0.15">
      <c r="A327" s="83">
        <v>4114</v>
      </c>
      <c r="B327" s="92">
        <v>277</v>
      </c>
      <c r="C327" s="92"/>
      <c r="D327" s="92" t="s">
        <v>527</v>
      </c>
      <c r="E327" s="92" t="s">
        <v>2128</v>
      </c>
      <c r="F327" s="92" t="s">
        <v>184</v>
      </c>
      <c r="G327" s="92" t="str">
        <f t="shared" si="16"/>
        <v>3UNCERANS27136</v>
      </c>
      <c r="H327" s="92" t="s">
        <v>269</v>
      </c>
      <c r="I327" s="92" t="s">
        <v>1550</v>
      </c>
      <c r="J327" s="92" t="s">
        <v>132</v>
      </c>
      <c r="K327" s="92">
        <v>27136</v>
      </c>
      <c r="L327" s="92" t="s">
        <v>2131</v>
      </c>
      <c r="M327" s="92" t="str">
        <f t="shared" si="17"/>
        <v>3UNCERANS27136251116</v>
      </c>
      <c r="N327" s="92" t="str">
        <f t="shared" si="18"/>
        <v>3UNCERANS2713625230</v>
      </c>
      <c r="O327" s="93">
        <v>25</v>
      </c>
      <c r="P327" s="92">
        <v>3</v>
      </c>
      <c r="Q327" s="92" t="s">
        <v>528</v>
      </c>
      <c r="R327" s="93">
        <v>1116</v>
      </c>
      <c r="S327" s="93">
        <v>8500</v>
      </c>
      <c r="T327" s="93">
        <v>230</v>
      </c>
      <c r="U327" s="93">
        <v>230</v>
      </c>
      <c r="V327" s="93">
        <v>1000</v>
      </c>
      <c r="W327" s="84">
        <v>2</v>
      </c>
      <c r="X327" s="85" t="s">
        <v>142</v>
      </c>
      <c r="Y327" s="86" t="s">
        <v>295</v>
      </c>
      <c r="Z327" s="87">
        <v>6</v>
      </c>
      <c r="AA327" s="88" t="s">
        <v>266</v>
      </c>
      <c r="AB327" s="89">
        <v>1450</v>
      </c>
      <c r="AC327" s="86">
        <v>3</v>
      </c>
      <c r="AD327" s="88" t="s">
        <v>459</v>
      </c>
      <c r="AE327" s="89">
        <v>242</v>
      </c>
      <c r="AF327" s="86"/>
      <c r="AG327" s="88"/>
      <c r="AH327" s="89"/>
      <c r="AI327" s="86"/>
      <c r="AJ327" s="88"/>
      <c r="AK327" s="89"/>
      <c r="AL327" s="90"/>
      <c r="AM327" s="91"/>
      <c r="AN327" s="91" t="s">
        <v>471</v>
      </c>
      <c r="AO327" s="243" t="str">
        <f t="shared" si="15"/>
        <v>3UNCERANS2713625</v>
      </c>
    </row>
    <row r="328" spans="1:41" ht="15" customHeight="1" x14ac:dyDescent="0.15">
      <c r="A328" s="83">
        <v>4114</v>
      </c>
      <c r="B328" s="92">
        <v>277</v>
      </c>
      <c r="C328" s="92"/>
      <c r="D328" s="92" t="s">
        <v>527</v>
      </c>
      <c r="E328" s="92" t="s">
        <v>2128</v>
      </c>
      <c r="F328" s="92" t="s">
        <v>184</v>
      </c>
      <c r="G328" s="92" t="str">
        <f t="shared" si="16"/>
        <v>3UNCERANS27136</v>
      </c>
      <c r="H328" s="92" t="s">
        <v>269</v>
      </c>
      <c r="I328" s="92" t="s">
        <v>1550</v>
      </c>
      <c r="J328" s="92" t="s">
        <v>132</v>
      </c>
      <c r="K328" s="92">
        <v>27136</v>
      </c>
      <c r="L328" s="92" t="s">
        <v>2131</v>
      </c>
      <c r="M328" s="92" t="str">
        <f t="shared" si="17"/>
        <v>3UNCERANS27136251116</v>
      </c>
      <c r="N328" s="92" t="str">
        <f t="shared" si="18"/>
        <v>3UNCERANS2713625860</v>
      </c>
      <c r="O328" s="93">
        <v>25</v>
      </c>
      <c r="P328" s="92">
        <v>3</v>
      </c>
      <c r="Q328" s="92" t="s">
        <v>528</v>
      </c>
      <c r="R328" s="93">
        <v>1116</v>
      </c>
      <c r="S328" s="93">
        <v>8500</v>
      </c>
      <c r="T328" s="93">
        <v>860</v>
      </c>
      <c r="U328" s="93">
        <v>860</v>
      </c>
      <c r="V328" s="93">
        <v>1000</v>
      </c>
      <c r="W328" s="84">
        <v>2</v>
      </c>
      <c r="X328" s="85" t="s">
        <v>142</v>
      </c>
      <c r="Y328" s="86" t="s">
        <v>295</v>
      </c>
      <c r="Z328" s="87">
        <v>6</v>
      </c>
      <c r="AA328" s="88" t="s">
        <v>266</v>
      </c>
      <c r="AB328" s="89">
        <v>1450</v>
      </c>
      <c r="AC328" s="86">
        <v>3</v>
      </c>
      <c r="AD328" s="88" t="s">
        <v>459</v>
      </c>
      <c r="AE328" s="89">
        <v>898</v>
      </c>
      <c r="AF328" s="86"/>
      <c r="AG328" s="88"/>
      <c r="AH328" s="89"/>
      <c r="AI328" s="86"/>
      <c r="AJ328" s="88"/>
      <c r="AK328" s="89"/>
      <c r="AL328" s="90"/>
      <c r="AM328" s="91"/>
      <c r="AN328" s="91" t="s">
        <v>471</v>
      </c>
      <c r="AO328" s="243" t="str">
        <f t="shared" si="15"/>
        <v>3UNCERANS2713625</v>
      </c>
    </row>
    <row r="329" spans="1:41" x14ac:dyDescent="0.15">
      <c r="A329" s="83">
        <v>4114</v>
      </c>
      <c r="B329" s="92">
        <v>277</v>
      </c>
      <c r="C329" s="92"/>
      <c r="D329" s="92" t="s">
        <v>527</v>
      </c>
      <c r="E329" s="92" t="s">
        <v>2128</v>
      </c>
      <c r="F329" s="92" t="s">
        <v>184</v>
      </c>
      <c r="G329" s="92" t="str">
        <f t="shared" si="16"/>
        <v>3UNCERANSHP316</v>
      </c>
      <c r="H329" s="92" t="s">
        <v>269</v>
      </c>
      <c r="I329" s="92" t="s">
        <v>1550</v>
      </c>
      <c r="J329" s="92" t="s">
        <v>132</v>
      </c>
      <c r="K329" s="92" t="s">
        <v>2132</v>
      </c>
      <c r="L329" s="92" t="s">
        <v>2133</v>
      </c>
      <c r="M329" s="92" t="str">
        <f t="shared" si="17"/>
        <v>3UNCERANSHP31638930</v>
      </c>
      <c r="N329" s="92" t="str">
        <f t="shared" si="18"/>
        <v>3UNCERANSHP31638230</v>
      </c>
      <c r="O329" s="93">
        <v>38</v>
      </c>
      <c r="P329" s="92">
        <v>3</v>
      </c>
      <c r="Q329" s="92" t="s">
        <v>2017</v>
      </c>
      <c r="R329" s="93">
        <v>930</v>
      </c>
      <c r="S329" s="93">
        <v>6225</v>
      </c>
      <c r="T329" s="93">
        <v>230</v>
      </c>
      <c r="U329" s="93">
        <v>230</v>
      </c>
      <c r="V329" s="93">
        <v>1000</v>
      </c>
      <c r="W329" s="84">
        <v>2</v>
      </c>
      <c r="X329" s="85" t="s">
        <v>142</v>
      </c>
      <c r="Y329" s="86" t="s">
        <v>295</v>
      </c>
      <c r="Z329" s="87">
        <v>6</v>
      </c>
      <c r="AA329" s="88" t="s">
        <v>266</v>
      </c>
      <c r="AB329" s="89">
        <v>1450</v>
      </c>
      <c r="AC329" s="86">
        <v>3</v>
      </c>
      <c r="AD329" s="88" t="s">
        <v>459</v>
      </c>
      <c r="AE329" s="89">
        <v>242</v>
      </c>
      <c r="AF329" s="86"/>
      <c r="AG329" s="88"/>
      <c r="AH329" s="89"/>
      <c r="AI329" s="86"/>
      <c r="AJ329" s="88"/>
      <c r="AK329" s="89"/>
      <c r="AL329" s="90"/>
      <c r="AM329" s="91"/>
      <c r="AN329" s="91" t="s">
        <v>471</v>
      </c>
      <c r="AO329" s="243" t="str">
        <f t="shared" si="15"/>
        <v>3UNCERANSHP31638</v>
      </c>
    </row>
    <row r="330" spans="1:41" x14ac:dyDescent="0.15">
      <c r="A330" s="83">
        <v>4114</v>
      </c>
      <c r="B330" s="92">
        <v>277</v>
      </c>
      <c r="C330" s="92"/>
      <c r="D330" s="92" t="s">
        <v>527</v>
      </c>
      <c r="E330" s="92" t="s">
        <v>2128</v>
      </c>
      <c r="F330" s="92" t="s">
        <v>184</v>
      </c>
      <c r="G330" s="92" t="str">
        <f t="shared" si="16"/>
        <v>3UNCERANSHP316</v>
      </c>
      <c r="H330" s="92" t="s">
        <v>269</v>
      </c>
      <c r="I330" s="92" t="s">
        <v>1550</v>
      </c>
      <c r="J330" s="92" t="s">
        <v>132</v>
      </c>
      <c r="K330" s="92" t="s">
        <v>2132</v>
      </c>
      <c r="L330" s="92" t="s">
        <v>2133</v>
      </c>
      <c r="M330" s="92" t="str">
        <f t="shared" si="17"/>
        <v>3UNCERANSHP31638930</v>
      </c>
      <c r="N330" s="92" t="str">
        <f t="shared" si="18"/>
        <v>3UNCERANSHP31638210</v>
      </c>
      <c r="O330" s="93">
        <v>38</v>
      </c>
      <c r="P330" s="92">
        <v>3</v>
      </c>
      <c r="Q330" s="92" t="s">
        <v>2017</v>
      </c>
      <c r="R330" s="93">
        <v>930</v>
      </c>
      <c r="S330" s="93">
        <v>6225</v>
      </c>
      <c r="T330" s="93">
        <v>210</v>
      </c>
      <c r="U330" s="93">
        <v>210</v>
      </c>
      <c r="V330" s="93">
        <v>1000</v>
      </c>
      <c r="W330" s="84">
        <v>2</v>
      </c>
      <c r="X330" s="85" t="s">
        <v>142</v>
      </c>
      <c r="Y330" s="86" t="s">
        <v>295</v>
      </c>
      <c r="Z330" s="87">
        <v>6</v>
      </c>
      <c r="AA330" s="88" t="s">
        <v>266</v>
      </c>
      <c r="AB330" s="89">
        <v>1450</v>
      </c>
      <c r="AC330" s="86">
        <v>3</v>
      </c>
      <c r="AD330" s="88" t="s">
        <v>459</v>
      </c>
      <c r="AE330" s="89">
        <v>242</v>
      </c>
      <c r="AF330" s="86"/>
      <c r="AG330" s="88"/>
      <c r="AH330" s="89"/>
      <c r="AI330" s="86"/>
      <c r="AJ330" s="88"/>
      <c r="AK330" s="89"/>
      <c r="AL330" s="90"/>
      <c r="AM330" s="91"/>
      <c r="AN330" s="91" t="s">
        <v>471</v>
      </c>
      <c r="AO330" s="243" t="str">
        <f t="shared" si="15"/>
        <v>3UNCERANSHP31638</v>
      </c>
    </row>
    <row r="331" spans="1:41" x14ac:dyDescent="0.15">
      <c r="A331" s="108">
        <v>4114</v>
      </c>
      <c r="B331" s="109">
        <v>272</v>
      </c>
      <c r="C331" s="109">
        <v>3122</v>
      </c>
      <c r="D331" s="109" t="s">
        <v>131</v>
      </c>
      <c r="E331" s="109" t="s">
        <v>45</v>
      </c>
      <c r="F331" s="109" t="s">
        <v>46</v>
      </c>
      <c r="G331" s="109" t="str">
        <f t="shared" si="16"/>
        <v>3UNCERANSHP2UDF</v>
      </c>
      <c r="H331" s="109" t="s">
        <v>1657</v>
      </c>
      <c r="I331" s="109" t="s">
        <v>20</v>
      </c>
      <c r="J331" s="109" t="s">
        <v>132</v>
      </c>
      <c r="K331" s="109" t="s">
        <v>133</v>
      </c>
      <c r="L331" s="109" t="s">
        <v>134</v>
      </c>
      <c r="M331" s="109" t="str">
        <f t="shared" si="17"/>
        <v>3UNCERANSHP2UDF751230</v>
      </c>
      <c r="N331" s="109" t="str">
        <f t="shared" si="18"/>
        <v>3UNCERANSHP2UDF75600</v>
      </c>
      <c r="O331" s="110">
        <v>75</v>
      </c>
      <c r="P331" s="109">
        <v>3</v>
      </c>
      <c r="Q331" s="109" t="s">
        <v>135</v>
      </c>
      <c r="R331" s="110">
        <v>1230</v>
      </c>
      <c r="S331" s="110">
        <v>2100</v>
      </c>
      <c r="T331" s="110">
        <v>600</v>
      </c>
      <c r="U331" s="110">
        <v>600</v>
      </c>
      <c r="V331" s="110">
        <v>750</v>
      </c>
      <c r="W331" s="111">
        <v>2</v>
      </c>
      <c r="X331" s="112" t="s">
        <v>136</v>
      </c>
      <c r="Y331" s="86" t="s">
        <v>295</v>
      </c>
      <c r="Z331" s="114">
        <v>6</v>
      </c>
      <c r="AA331" s="115" t="s">
        <v>24</v>
      </c>
      <c r="AB331" s="116">
        <v>1450</v>
      </c>
      <c r="AC331" s="113">
        <v>3</v>
      </c>
      <c r="AD331" s="115" t="s">
        <v>39</v>
      </c>
      <c r="AE331" s="116">
        <v>605</v>
      </c>
      <c r="AF331" s="113"/>
      <c r="AG331" s="115"/>
      <c r="AH331" s="116"/>
      <c r="AI331" s="113"/>
      <c r="AJ331" s="115"/>
      <c r="AK331" s="116"/>
      <c r="AL331" s="117"/>
      <c r="AM331" s="118"/>
      <c r="AN331" s="118" t="s">
        <v>471</v>
      </c>
      <c r="AO331" s="203" t="str">
        <f t="shared" si="15"/>
        <v>3UNCERANSHP2UDF75</v>
      </c>
    </row>
    <row r="332" spans="1:41" x14ac:dyDescent="0.15">
      <c r="A332" s="108">
        <v>4114</v>
      </c>
      <c r="B332" s="109">
        <v>272</v>
      </c>
      <c r="C332" s="109">
        <v>3122</v>
      </c>
      <c r="D332" s="109" t="s">
        <v>131</v>
      </c>
      <c r="E332" s="109" t="s">
        <v>45</v>
      </c>
      <c r="F332" s="109" t="s">
        <v>46</v>
      </c>
      <c r="G332" s="109" t="str">
        <f t="shared" si="16"/>
        <v>3UNCERANSHP2SDF</v>
      </c>
      <c r="H332" s="109" t="s">
        <v>1657</v>
      </c>
      <c r="I332" s="109" t="s">
        <v>20</v>
      </c>
      <c r="J332" s="109" t="s">
        <v>132</v>
      </c>
      <c r="K332" s="109" t="s">
        <v>2134</v>
      </c>
      <c r="L332" s="109" t="s">
        <v>2135</v>
      </c>
      <c r="M332" s="109" t="str">
        <f t="shared" si="17"/>
        <v>3UNCERANSHP2SDF751350</v>
      </c>
      <c r="N332" s="109" t="str">
        <f t="shared" si="18"/>
        <v>3UNCERANSHP2SDF75600</v>
      </c>
      <c r="O332" s="110">
        <v>75</v>
      </c>
      <c r="P332" s="109">
        <v>3</v>
      </c>
      <c r="Q332" s="109" t="s">
        <v>1991</v>
      </c>
      <c r="R332" s="110">
        <v>1350</v>
      </c>
      <c r="S332" s="110">
        <v>4100</v>
      </c>
      <c r="T332" s="110">
        <v>600</v>
      </c>
      <c r="U332" s="110">
        <v>600</v>
      </c>
      <c r="V332" s="110">
        <v>750</v>
      </c>
      <c r="W332" s="111">
        <v>2</v>
      </c>
      <c r="X332" s="112" t="s">
        <v>136</v>
      </c>
      <c r="Y332" s="86" t="s">
        <v>295</v>
      </c>
      <c r="Z332" s="114">
        <v>6</v>
      </c>
      <c r="AA332" s="115" t="s">
        <v>24</v>
      </c>
      <c r="AB332" s="116">
        <v>1450</v>
      </c>
      <c r="AC332" s="113">
        <v>3</v>
      </c>
      <c r="AD332" s="115" t="s">
        <v>39</v>
      </c>
      <c r="AE332" s="116">
        <v>605</v>
      </c>
      <c r="AF332" s="113"/>
      <c r="AG332" s="115"/>
      <c r="AH332" s="116"/>
      <c r="AI332" s="113"/>
      <c r="AJ332" s="115"/>
      <c r="AK332" s="116"/>
      <c r="AL332" s="117"/>
      <c r="AM332" s="118"/>
      <c r="AN332" s="118" t="s">
        <v>471</v>
      </c>
      <c r="AO332" s="203" t="str">
        <f t="shared" si="15"/>
        <v>3UNCERANSHP2SDF75</v>
      </c>
    </row>
    <row r="333" spans="1:41" ht="15" customHeight="1" x14ac:dyDescent="0.15">
      <c r="A333" s="108">
        <v>4114</v>
      </c>
      <c r="B333" s="109">
        <v>272</v>
      </c>
      <c r="C333" s="109">
        <v>3122</v>
      </c>
      <c r="D333" s="109" t="s">
        <v>131</v>
      </c>
      <c r="E333" s="109" t="s">
        <v>45</v>
      </c>
      <c r="F333" s="109" t="s">
        <v>46</v>
      </c>
      <c r="G333" s="109" t="str">
        <f t="shared" si="16"/>
        <v>3UNCERANSHP2SDF</v>
      </c>
      <c r="H333" s="109" t="s">
        <v>1657</v>
      </c>
      <c r="I333" s="109" t="s">
        <v>20</v>
      </c>
      <c r="J333" s="109" t="s">
        <v>132</v>
      </c>
      <c r="K333" s="109" t="s">
        <v>2134</v>
      </c>
      <c r="L333" s="109" t="s">
        <v>2135</v>
      </c>
      <c r="M333" s="109" t="str">
        <f t="shared" si="17"/>
        <v>3UNCERANSHP2SDF751150</v>
      </c>
      <c r="N333" s="109" t="str">
        <f t="shared" si="18"/>
        <v>3UNCERANSHP2SDF75600</v>
      </c>
      <c r="O333" s="110">
        <v>75</v>
      </c>
      <c r="P333" s="109">
        <v>3</v>
      </c>
      <c r="Q333" s="109" t="s">
        <v>1991</v>
      </c>
      <c r="R333" s="110">
        <v>1150</v>
      </c>
      <c r="S333" s="110">
        <v>3800</v>
      </c>
      <c r="T333" s="110">
        <v>600</v>
      </c>
      <c r="U333" s="110">
        <v>600</v>
      </c>
      <c r="V333" s="110">
        <v>750</v>
      </c>
      <c r="W333" s="111">
        <v>2</v>
      </c>
      <c r="X333" s="112" t="s">
        <v>136</v>
      </c>
      <c r="Y333" s="86" t="s">
        <v>295</v>
      </c>
      <c r="Z333" s="114">
        <v>6</v>
      </c>
      <c r="AA333" s="115" t="s">
        <v>24</v>
      </c>
      <c r="AB333" s="116">
        <v>1450</v>
      </c>
      <c r="AC333" s="113">
        <v>3</v>
      </c>
      <c r="AD333" s="115" t="s">
        <v>39</v>
      </c>
      <c r="AE333" s="116">
        <v>605</v>
      </c>
      <c r="AF333" s="113"/>
      <c r="AG333" s="115"/>
      <c r="AH333" s="116"/>
      <c r="AI333" s="113"/>
      <c r="AJ333" s="115"/>
      <c r="AK333" s="116"/>
      <c r="AL333" s="117"/>
      <c r="AM333" s="118"/>
      <c r="AN333" s="118" t="s">
        <v>471</v>
      </c>
      <c r="AO333" s="203" t="str">
        <f t="shared" si="15"/>
        <v>3UNCERANSHP2SDF75</v>
      </c>
    </row>
    <row r="334" spans="1:41" x14ac:dyDescent="0.15">
      <c r="A334" s="108">
        <v>4114</v>
      </c>
      <c r="B334" s="109">
        <v>272</v>
      </c>
      <c r="C334" s="109">
        <v>3122</v>
      </c>
      <c r="D334" s="109" t="s">
        <v>131</v>
      </c>
      <c r="E334" s="109" t="s">
        <v>45</v>
      </c>
      <c r="F334" s="109" t="s">
        <v>46</v>
      </c>
      <c r="G334" s="109" t="str">
        <f t="shared" si="16"/>
        <v>3UNCERANSHP2SDF</v>
      </c>
      <c r="H334" s="109" t="s">
        <v>1657</v>
      </c>
      <c r="I334" s="109" t="s">
        <v>20</v>
      </c>
      <c r="J334" s="109" t="s">
        <v>132</v>
      </c>
      <c r="K334" s="109" t="s">
        <v>2134</v>
      </c>
      <c r="L334" s="109" t="s">
        <v>2135</v>
      </c>
      <c r="M334" s="109" t="str">
        <f t="shared" si="17"/>
        <v>3UNCERANSHP2SDF751120</v>
      </c>
      <c r="N334" s="109" t="str">
        <f t="shared" si="18"/>
        <v>3UNCERANSHP2SDF75600</v>
      </c>
      <c r="O334" s="110">
        <v>75</v>
      </c>
      <c r="P334" s="109">
        <v>3</v>
      </c>
      <c r="Q334" s="109" t="s">
        <v>1991</v>
      </c>
      <c r="R334" s="110">
        <v>1120</v>
      </c>
      <c r="S334" s="110">
        <v>4000</v>
      </c>
      <c r="T334" s="110">
        <v>600</v>
      </c>
      <c r="U334" s="110">
        <v>600</v>
      </c>
      <c r="V334" s="110">
        <v>750</v>
      </c>
      <c r="W334" s="111">
        <v>2</v>
      </c>
      <c r="X334" s="112" t="s">
        <v>136</v>
      </c>
      <c r="Y334" s="86" t="s">
        <v>295</v>
      </c>
      <c r="Z334" s="114">
        <v>6</v>
      </c>
      <c r="AA334" s="115" t="s">
        <v>24</v>
      </c>
      <c r="AB334" s="116">
        <v>1450</v>
      </c>
      <c r="AC334" s="113">
        <v>3</v>
      </c>
      <c r="AD334" s="115" t="s">
        <v>39</v>
      </c>
      <c r="AE334" s="116">
        <v>605</v>
      </c>
      <c r="AF334" s="113"/>
      <c r="AG334" s="115"/>
      <c r="AH334" s="116"/>
      <c r="AI334" s="113"/>
      <c r="AJ334" s="115"/>
      <c r="AK334" s="116"/>
      <c r="AL334" s="117"/>
      <c r="AM334" s="118"/>
      <c r="AN334" s="118" t="s">
        <v>471</v>
      </c>
      <c r="AO334" s="203" t="str">
        <f t="shared" si="15"/>
        <v>3UNCERANSHP2SDF75</v>
      </c>
    </row>
    <row r="335" spans="1:41" ht="15" customHeight="1" x14ac:dyDescent="0.15">
      <c r="A335" s="108">
        <v>4114</v>
      </c>
      <c r="B335" s="109">
        <v>272</v>
      </c>
      <c r="C335" s="109">
        <v>3122</v>
      </c>
      <c r="D335" s="109" t="s">
        <v>131</v>
      </c>
      <c r="E335" s="109" t="s">
        <v>45</v>
      </c>
      <c r="F335" s="109" t="s">
        <v>46</v>
      </c>
      <c r="G335" s="109" t="str">
        <f t="shared" si="16"/>
        <v>3UNCERANSHP2SDF</v>
      </c>
      <c r="H335" s="109" t="s">
        <v>1657</v>
      </c>
      <c r="I335" s="109" t="s">
        <v>20</v>
      </c>
      <c r="J335" s="109" t="s">
        <v>132</v>
      </c>
      <c r="K335" s="109" t="s">
        <v>2134</v>
      </c>
      <c r="L335" s="109" t="s">
        <v>2135</v>
      </c>
      <c r="M335" s="109" t="str">
        <f t="shared" si="17"/>
        <v>3UNCERANSHP2SDF751120</v>
      </c>
      <c r="N335" s="109" t="str">
        <f t="shared" si="18"/>
        <v>3UNCERANSHP2SDF75360</v>
      </c>
      <c r="O335" s="110">
        <v>75</v>
      </c>
      <c r="P335" s="109">
        <v>3</v>
      </c>
      <c r="Q335" s="109" t="s">
        <v>1991</v>
      </c>
      <c r="R335" s="110">
        <v>1120</v>
      </c>
      <c r="S335" s="110">
        <v>4000</v>
      </c>
      <c r="T335" s="110">
        <v>360</v>
      </c>
      <c r="U335" s="110">
        <v>360</v>
      </c>
      <c r="V335" s="110">
        <v>900</v>
      </c>
      <c r="W335" s="111">
        <v>2</v>
      </c>
      <c r="X335" s="112" t="s">
        <v>136</v>
      </c>
      <c r="Y335" s="86" t="s">
        <v>295</v>
      </c>
      <c r="Z335" s="114">
        <v>6</v>
      </c>
      <c r="AA335" s="115" t="s">
        <v>24</v>
      </c>
      <c r="AB335" s="116">
        <v>1450</v>
      </c>
      <c r="AC335" s="113">
        <v>3</v>
      </c>
      <c r="AD335" s="115" t="s">
        <v>39</v>
      </c>
      <c r="AE335" s="116"/>
      <c r="AF335" s="113"/>
      <c r="AG335" s="115"/>
      <c r="AH335" s="116"/>
      <c r="AI335" s="113"/>
      <c r="AJ335" s="115"/>
      <c r="AK335" s="116"/>
      <c r="AL335" s="117"/>
      <c r="AM335" s="118"/>
      <c r="AN335" s="118" t="s">
        <v>471</v>
      </c>
      <c r="AO335" s="203" t="str">
        <f t="shared" si="15"/>
        <v>3UNCERANSHP2SDF75</v>
      </c>
    </row>
    <row r="336" spans="1:41" x14ac:dyDescent="0.15">
      <c r="A336" s="108">
        <v>4114</v>
      </c>
      <c r="B336" s="109">
        <v>272</v>
      </c>
      <c r="C336" s="109">
        <v>3122</v>
      </c>
      <c r="D336" s="109" t="s">
        <v>1148</v>
      </c>
      <c r="E336" s="109" t="s">
        <v>45</v>
      </c>
      <c r="F336" s="109" t="s">
        <v>46</v>
      </c>
      <c r="G336" s="109" t="str">
        <f t="shared" si="16"/>
        <v>3UNCERANSHP216</v>
      </c>
      <c r="H336" s="109" t="s">
        <v>1657</v>
      </c>
      <c r="I336" s="109" t="s">
        <v>20</v>
      </c>
      <c r="J336" s="109" t="s">
        <v>132</v>
      </c>
      <c r="K336" s="109" t="s">
        <v>2136</v>
      </c>
      <c r="L336" s="109" t="s">
        <v>2137</v>
      </c>
      <c r="M336" s="109" t="str">
        <f t="shared" si="17"/>
        <v>3UNCERANSHP2162501050</v>
      </c>
      <c r="N336" s="109" t="str">
        <f t="shared" si="18"/>
        <v>3UNCERANSHP216250720</v>
      </c>
      <c r="O336" s="110">
        <v>250</v>
      </c>
      <c r="P336" s="109">
        <v>3</v>
      </c>
      <c r="Q336" s="109" t="s">
        <v>1147</v>
      </c>
      <c r="R336" s="110">
        <v>1050</v>
      </c>
      <c r="S336" s="110">
        <v>6000</v>
      </c>
      <c r="T336" s="110">
        <v>720</v>
      </c>
      <c r="U336" s="110">
        <v>720</v>
      </c>
      <c r="V336" s="110">
        <v>800</v>
      </c>
      <c r="W336" s="111">
        <v>2</v>
      </c>
      <c r="X336" s="112" t="s">
        <v>136</v>
      </c>
      <c r="Y336" s="86" t="s">
        <v>1151</v>
      </c>
      <c r="Z336" s="114">
        <v>6</v>
      </c>
      <c r="AA336" s="115" t="s">
        <v>24</v>
      </c>
      <c r="AB336" s="116">
        <v>1450</v>
      </c>
      <c r="AC336" s="113">
        <v>3</v>
      </c>
      <c r="AD336" s="115" t="s">
        <v>39</v>
      </c>
      <c r="AE336" s="116"/>
      <c r="AF336" s="113"/>
      <c r="AG336" s="115"/>
      <c r="AH336" s="116"/>
      <c r="AI336" s="113"/>
      <c r="AJ336" s="115"/>
      <c r="AK336" s="116"/>
      <c r="AL336" s="117"/>
      <c r="AM336" s="118"/>
      <c r="AN336" s="118" t="s">
        <v>471</v>
      </c>
      <c r="AO336" s="203" t="str">
        <f t="shared" si="15"/>
        <v>3UNCERANSHP216250</v>
      </c>
    </row>
    <row r="337" spans="1:41" x14ac:dyDescent="0.15">
      <c r="A337" s="83">
        <v>4114</v>
      </c>
      <c r="B337" s="92">
        <v>272</v>
      </c>
      <c r="C337" s="92"/>
      <c r="D337" s="92" t="s">
        <v>2138</v>
      </c>
      <c r="E337" s="92" t="s">
        <v>2115</v>
      </c>
      <c r="F337" s="92" t="s">
        <v>184</v>
      </c>
      <c r="G337" s="92" t="str">
        <f t="shared" si="16"/>
        <v>3UNCERA</v>
      </c>
      <c r="H337" s="92" t="s">
        <v>269</v>
      </c>
      <c r="I337" s="92" t="s">
        <v>1550</v>
      </c>
      <c r="J337" s="92" t="s">
        <v>21</v>
      </c>
      <c r="K337" s="92"/>
      <c r="L337" s="92" t="s">
        <v>2139</v>
      </c>
      <c r="M337" s="92" t="str">
        <f t="shared" si="17"/>
        <v>3UNCERA251045</v>
      </c>
      <c r="N337" s="92" t="str">
        <f t="shared" si="18"/>
        <v>3UNCERA251005</v>
      </c>
      <c r="O337" s="93">
        <v>25</v>
      </c>
      <c r="P337" s="92">
        <v>3</v>
      </c>
      <c r="Q337" s="92" t="s">
        <v>78</v>
      </c>
      <c r="R337" s="93">
        <v>1045</v>
      </c>
      <c r="S337" s="93">
        <v>12500</v>
      </c>
      <c r="T337" s="93">
        <v>1005</v>
      </c>
      <c r="U337" s="93">
        <v>1005</v>
      </c>
      <c r="V337" s="93">
        <v>6000</v>
      </c>
      <c r="W337" s="84">
        <v>1</v>
      </c>
      <c r="X337" s="85" t="s">
        <v>14</v>
      </c>
      <c r="Y337" s="86" t="s">
        <v>25</v>
      </c>
      <c r="Z337" s="87">
        <v>6</v>
      </c>
      <c r="AA337" s="88" t="s">
        <v>266</v>
      </c>
      <c r="AB337" s="89">
        <v>1450</v>
      </c>
      <c r="AC337" s="86">
        <v>6</v>
      </c>
      <c r="AD337" s="88" t="s">
        <v>272</v>
      </c>
      <c r="AE337" s="89">
        <v>1153</v>
      </c>
      <c r="AF337" s="86"/>
      <c r="AG337" s="88"/>
      <c r="AH337" s="89"/>
      <c r="AI337" s="86"/>
      <c r="AJ337" s="88"/>
      <c r="AK337" s="89"/>
      <c r="AL337" s="90"/>
      <c r="AM337" s="91"/>
      <c r="AN337" s="91" t="s">
        <v>471</v>
      </c>
      <c r="AO337" s="243" t="str">
        <f t="shared" si="15"/>
        <v>3UNCERA25</v>
      </c>
    </row>
    <row r="338" spans="1:41" x14ac:dyDescent="0.15">
      <c r="A338" s="83">
        <v>4114</v>
      </c>
      <c r="B338" s="92">
        <v>272</v>
      </c>
      <c r="C338" s="92"/>
      <c r="D338" s="92" t="s">
        <v>2138</v>
      </c>
      <c r="E338" s="92" t="s">
        <v>2115</v>
      </c>
      <c r="F338" s="92" t="s">
        <v>184</v>
      </c>
      <c r="G338" s="92" t="str">
        <f t="shared" si="16"/>
        <v>3UNCERA</v>
      </c>
      <c r="H338" s="92" t="s">
        <v>269</v>
      </c>
      <c r="I338" s="92" t="s">
        <v>1550</v>
      </c>
      <c r="J338" s="92" t="s">
        <v>21</v>
      </c>
      <c r="K338" s="92"/>
      <c r="L338" s="92" t="s">
        <v>2140</v>
      </c>
      <c r="M338" s="92" t="str">
        <f t="shared" si="17"/>
        <v>3UNCERA251045</v>
      </c>
      <c r="N338" s="92" t="str">
        <f t="shared" si="18"/>
        <v>3UNCERA251005</v>
      </c>
      <c r="O338" s="93">
        <v>25</v>
      </c>
      <c r="P338" s="92">
        <v>3</v>
      </c>
      <c r="Q338" s="92" t="s">
        <v>78</v>
      </c>
      <c r="R338" s="93">
        <v>1045</v>
      </c>
      <c r="S338" s="93">
        <v>12500</v>
      </c>
      <c r="T338" s="93">
        <v>1005</v>
      </c>
      <c r="U338" s="93">
        <v>1005</v>
      </c>
      <c r="V338" s="93">
        <v>6000</v>
      </c>
      <c r="W338" s="84">
        <v>1</v>
      </c>
      <c r="X338" s="85" t="s">
        <v>14</v>
      </c>
      <c r="Y338" s="86" t="s">
        <v>25</v>
      </c>
      <c r="Z338" s="87">
        <v>6</v>
      </c>
      <c r="AA338" s="88" t="s">
        <v>266</v>
      </c>
      <c r="AB338" s="89">
        <v>1450</v>
      </c>
      <c r="AC338" s="86">
        <v>6</v>
      </c>
      <c r="AD338" s="88" t="s">
        <v>272</v>
      </c>
      <c r="AE338" s="89">
        <v>1153</v>
      </c>
      <c r="AF338" s="86"/>
      <c r="AG338" s="88"/>
      <c r="AH338" s="89"/>
      <c r="AI338" s="86"/>
      <c r="AJ338" s="88"/>
      <c r="AK338" s="89"/>
      <c r="AL338" s="90"/>
      <c r="AM338" s="91"/>
      <c r="AN338" s="91" t="s">
        <v>471</v>
      </c>
      <c r="AO338" s="243" t="str">
        <f t="shared" si="15"/>
        <v>3UNCERA25</v>
      </c>
    </row>
    <row r="339" spans="1:41" x14ac:dyDescent="0.15">
      <c r="A339" s="83">
        <v>4114</v>
      </c>
      <c r="B339" s="92">
        <v>274</v>
      </c>
      <c r="C339" s="92">
        <v>36888</v>
      </c>
      <c r="D339" s="92" t="s">
        <v>65</v>
      </c>
      <c r="E339" s="92" t="s">
        <v>66</v>
      </c>
      <c r="F339" s="92" t="s">
        <v>12</v>
      </c>
      <c r="G339" s="92" t="str">
        <f t="shared" si="16"/>
        <v>3UNCERAMDAR</v>
      </c>
      <c r="H339" s="92" t="s">
        <v>1657</v>
      </c>
      <c r="I339" s="92" t="s">
        <v>1550</v>
      </c>
      <c r="J339" s="92" t="s">
        <v>1552</v>
      </c>
      <c r="K339" s="92" t="s">
        <v>2041</v>
      </c>
      <c r="L339" s="92" t="s">
        <v>2042</v>
      </c>
      <c r="M339" s="92" t="str">
        <f t="shared" si="17"/>
        <v>3UNCERAMDAR1251105</v>
      </c>
      <c r="N339" s="92" t="str">
        <f t="shared" si="18"/>
        <v>3UNCERAMDAR1251100</v>
      </c>
      <c r="O339" s="93">
        <v>125</v>
      </c>
      <c r="P339" s="92">
        <v>3</v>
      </c>
      <c r="Q339" s="92" t="s">
        <v>72</v>
      </c>
      <c r="R339" s="93">
        <v>1105</v>
      </c>
      <c r="S339" s="93">
        <v>3450</v>
      </c>
      <c r="T339" s="93">
        <v>1105</v>
      </c>
      <c r="U339" s="93">
        <v>1100</v>
      </c>
      <c r="V339" s="93">
        <v>3400</v>
      </c>
      <c r="W339" s="84">
        <v>2</v>
      </c>
      <c r="X339" s="85" t="s">
        <v>14</v>
      </c>
      <c r="Y339" s="86" t="s">
        <v>15</v>
      </c>
      <c r="Z339" s="87">
        <v>6</v>
      </c>
      <c r="AA339" s="88" t="s">
        <v>24</v>
      </c>
      <c r="AB339" s="89">
        <v>1450</v>
      </c>
      <c r="AC339" s="86"/>
      <c r="AD339" s="88"/>
      <c r="AE339" s="89"/>
      <c r="AF339" s="86"/>
      <c r="AG339" s="88"/>
      <c r="AH339" s="89"/>
      <c r="AI339" s="86"/>
      <c r="AJ339" s="88"/>
      <c r="AK339" s="89"/>
      <c r="AL339" s="90"/>
      <c r="AM339" s="91"/>
      <c r="AN339" s="91" t="s">
        <v>473</v>
      </c>
      <c r="AO339" s="243" t="str">
        <f t="shared" si="15"/>
        <v>3UNCERAMDAR125</v>
      </c>
    </row>
    <row r="340" spans="1:41" x14ac:dyDescent="0.15">
      <c r="A340" s="83">
        <v>4114</v>
      </c>
      <c r="B340" s="92">
        <v>274</v>
      </c>
      <c r="C340" s="92">
        <v>36888</v>
      </c>
      <c r="D340" s="109" t="s">
        <v>2141</v>
      </c>
      <c r="E340" s="92" t="s">
        <v>2142</v>
      </c>
      <c r="F340" s="92" t="s">
        <v>184</v>
      </c>
      <c r="G340" s="92" t="str">
        <f t="shared" si="16"/>
        <v>3UNCERAMDA01</v>
      </c>
      <c r="H340" s="92" t="s">
        <v>269</v>
      </c>
      <c r="I340" s="92" t="s">
        <v>1550</v>
      </c>
      <c r="J340" s="92" t="s">
        <v>21</v>
      </c>
      <c r="K340" s="92" t="s">
        <v>2143</v>
      </c>
      <c r="L340" s="92" t="s">
        <v>2144</v>
      </c>
      <c r="M340" s="92" t="str">
        <f t="shared" si="17"/>
        <v>3UNCERAMDA01381560</v>
      </c>
      <c r="N340" s="92" t="str">
        <f t="shared" si="18"/>
        <v>3UNCERAMDA01381560</v>
      </c>
      <c r="O340" s="93">
        <v>38</v>
      </c>
      <c r="P340" s="92">
        <v>3</v>
      </c>
      <c r="Q340" s="92" t="s">
        <v>2018</v>
      </c>
      <c r="R340" s="93">
        <v>1560</v>
      </c>
      <c r="S340" s="93">
        <v>7700</v>
      </c>
      <c r="T340" s="93">
        <v>1560</v>
      </c>
      <c r="U340" s="93">
        <v>1560</v>
      </c>
      <c r="V340" s="93">
        <v>3500</v>
      </c>
      <c r="W340" s="84">
        <v>2</v>
      </c>
      <c r="X340" s="85" t="s">
        <v>14</v>
      </c>
      <c r="Y340" s="86" t="s">
        <v>27</v>
      </c>
      <c r="Z340" s="87">
        <v>6</v>
      </c>
      <c r="AA340" s="88" t="s">
        <v>24</v>
      </c>
      <c r="AB340" s="89">
        <v>1700</v>
      </c>
      <c r="AC340" s="86"/>
      <c r="AD340" s="88"/>
      <c r="AE340" s="89"/>
      <c r="AF340" s="86"/>
      <c r="AG340" s="88"/>
      <c r="AH340" s="89"/>
      <c r="AI340" s="86"/>
      <c r="AJ340" s="88"/>
      <c r="AK340" s="89"/>
      <c r="AL340" s="90"/>
      <c r="AM340" s="91"/>
      <c r="AN340" s="91" t="s">
        <v>471</v>
      </c>
      <c r="AO340" s="243" t="str">
        <f t="shared" si="15"/>
        <v>3UNCERAMDA0138</v>
      </c>
    </row>
    <row r="341" spans="1:41" x14ac:dyDescent="0.15">
      <c r="A341" s="83">
        <v>4114</v>
      </c>
      <c r="B341" s="92">
        <v>274</v>
      </c>
      <c r="C341" s="92">
        <v>36888</v>
      </c>
      <c r="D341" s="109" t="s">
        <v>2141</v>
      </c>
      <c r="E341" s="92" t="s">
        <v>2142</v>
      </c>
      <c r="F341" s="92" t="s">
        <v>184</v>
      </c>
      <c r="G341" s="92" t="str">
        <f t="shared" si="16"/>
        <v>3UNCERAMDA01</v>
      </c>
      <c r="H341" s="92" t="s">
        <v>269</v>
      </c>
      <c r="I341" s="92" t="s">
        <v>1550</v>
      </c>
      <c r="J341" s="92" t="s">
        <v>21</v>
      </c>
      <c r="K341" s="92" t="s">
        <v>2143</v>
      </c>
      <c r="L341" s="92" t="s">
        <v>2144</v>
      </c>
      <c r="M341" s="92" t="str">
        <f t="shared" si="17"/>
        <v>3UNCERAMDA01381320</v>
      </c>
      <c r="N341" s="92" t="str">
        <f t="shared" si="18"/>
        <v>3UNCERAMDA01381320</v>
      </c>
      <c r="O341" s="93">
        <v>38</v>
      </c>
      <c r="P341" s="92">
        <v>3</v>
      </c>
      <c r="Q341" s="92" t="s">
        <v>2018</v>
      </c>
      <c r="R341" s="93">
        <v>1320</v>
      </c>
      <c r="S341" s="93">
        <v>7700</v>
      </c>
      <c r="T341" s="93">
        <v>1320</v>
      </c>
      <c r="U341" s="93">
        <v>1320</v>
      </c>
      <c r="V341" s="93">
        <v>7500</v>
      </c>
      <c r="W341" s="84">
        <v>2</v>
      </c>
      <c r="X341" s="85" t="s">
        <v>14</v>
      </c>
      <c r="Y341" s="86" t="s">
        <v>15</v>
      </c>
      <c r="Z341" s="87">
        <v>6</v>
      </c>
      <c r="AA341" s="88" t="s">
        <v>24</v>
      </c>
      <c r="AB341" s="89">
        <v>1450</v>
      </c>
      <c r="AC341" s="86"/>
      <c r="AD341" s="88"/>
      <c r="AE341" s="89"/>
      <c r="AF341" s="86"/>
      <c r="AG341" s="88"/>
      <c r="AH341" s="89"/>
      <c r="AI341" s="86"/>
      <c r="AJ341" s="88"/>
      <c r="AK341" s="89"/>
      <c r="AL341" s="90"/>
      <c r="AM341" s="91"/>
      <c r="AN341" s="91" t="s">
        <v>471</v>
      </c>
      <c r="AO341" s="243" t="str">
        <f t="shared" si="15"/>
        <v>3UNCERAMDA0138</v>
      </c>
    </row>
    <row r="342" spans="1:41" x14ac:dyDescent="0.15">
      <c r="A342" s="83">
        <v>4114</v>
      </c>
      <c r="B342" s="92">
        <v>274</v>
      </c>
      <c r="C342" s="92">
        <v>36888</v>
      </c>
      <c r="D342" s="92" t="s">
        <v>65</v>
      </c>
      <c r="E342" s="92" t="s">
        <v>66</v>
      </c>
      <c r="F342" s="92" t="s">
        <v>12</v>
      </c>
      <c r="G342" s="92" t="str">
        <f t="shared" si="16"/>
        <v>3UNCERAMDAPFL</v>
      </c>
      <c r="H342" s="92" t="s">
        <v>1657</v>
      </c>
      <c r="I342" s="92" t="s">
        <v>20</v>
      </c>
      <c r="J342" s="92" t="s">
        <v>21</v>
      </c>
      <c r="K342" s="92" t="s">
        <v>70</v>
      </c>
      <c r="L342" s="92" t="s">
        <v>71</v>
      </c>
      <c r="M342" s="92" t="str">
        <f t="shared" si="17"/>
        <v>3UNCERAMDAPFL381336</v>
      </c>
      <c r="N342" s="92" t="str">
        <f t="shared" si="18"/>
        <v>3UNCERAMDAPFL381325</v>
      </c>
      <c r="O342" s="93">
        <v>38</v>
      </c>
      <c r="P342" s="92">
        <v>3</v>
      </c>
      <c r="Q342" s="92" t="s">
        <v>504</v>
      </c>
      <c r="R342" s="93">
        <v>1336</v>
      </c>
      <c r="S342" s="93">
        <v>12050</v>
      </c>
      <c r="T342" s="93">
        <v>1336</v>
      </c>
      <c r="U342" s="93">
        <v>1325</v>
      </c>
      <c r="V342" s="93">
        <v>12000</v>
      </c>
      <c r="W342" s="84">
        <v>2</v>
      </c>
      <c r="X342" s="85" t="s">
        <v>14</v>
      </c>
      <c r="Y342" s="86" t="s">
        <v>15</v>
      </c>
      <c r="Z342" s="87">
        <v>6</v>
      </c>
      <c r="AA342" s="88" t="s">
        <v>24</v>
      </c>
      <c r="AB342" s="89">
        <v>1450</v>
      </c>
      <c r="AC342" s="86"/>
      <c r="AD342" s="88"/>
      <c r="AE342" s="89"/>
      <c r="AF342" s="86"/>
      <c r="AG342" s="88"/>
      <c r="AH342" s="89"/>
      <c r="AI342" s="86"/>
      <c r="AJ342" s="88"/>
      <c r="AK342" s="89"/>
      <c r="AL342" s="90"/>
      <c r="AM342" s="91"/>
      <c r="AN342" s="91" t="s">
        <v>473</v>
      </c>
      <c r="AO342" s="243" t="str">
        <f t="shared" si="15"/>
        <v>3UNCERAMDAPFL38</v>
      </c>
    </row>
    <row r="343" spans="1:41" x14ac:dyDescent="0.15">
      <c r="A343" s="83">
        <v>4113</v>
      </c>
      <c r="B343" s="92">
        <v>272</v>
      </c>
      <c r="C343" s="92">
        <v>36888</v>
      </c>
      <c r="D343" s="92" t="s">
        <v>65</v>
      </c>
      <c r="E343" s="92" t="s">
        <v>66</v>
      </c>
      <c r="F343" s="92" t="s">
        <v>12</v>
      </c>
      <c r="G343" s="92" t="str">
        <f t="shared" si="16"/>
        <v>3TNCERAMDACPFL</v>
      </c>
      <c r="H343" s="92" t="s">
        <v>1648</v>
      </c>
      <c r="I343" s="92" t="s">
        <v>20</v>
      </c>
      <c r="J343" s="92" t="s">
        <v>21</v>
      </c>
      <c r="K343" s="92" t="s">
        <v>67</v>
      </c>
      <c r="L343" s="92" t="s">
        <v>68</v>
      </c>
      <c r="M343" s="92" t="str">
        <f t="shared" si="17"/>
        <v>3TNCERAMDACPFL381346</v>
      </c>
      <c r="N343" s="92" t="str">
        <f t="shared" si="18"/>
        <v>3TNCERAMDACPFL381335</v>
      </c>
      <c r="O343" s="93">
        <v>38</v>
      </c>
      <c r="P343" s="92">
        <v>3</v>
      </c>
      <c r="Q343" s="92" t="s">
        <v>69</v>
      </c>
      <c r="R343" s="93">
        <v>1346</v>
      </c>
      <c r="S343" s="93">
        <v>12050</v>
      </c>
      <c r="T343" s="93">
        <v>1346</v>
      </c>
      <c r="U343" s="93">
        <v>1335</v>
      </c>
      <c r="V343" s="93">
        <v>12000</v>
      </c>
      <c r="W343" s="84">
        <v>2</v>
      </c>
      <c r="X343" s="85" t="s">
        <v>14</v>
      </c>
      <c r="Y343" s="86" t="s">
        <v>15</v>
      </c>
      <c r="Z343" s="87">
        <v>6</v>
      </c>
      <c r="AA343" s="88" t="s">
        <v>24</v>
      </c>
      <c r="AB343" s="89">
        <v>1450</v>
      </c>
      <c r="AC343" s="86"/>
      <c r="AD343" s="88"/>
      <c r="AE343" s="89"/>
      <c r="AF343" s="86"/>
      <c r="AG343" s="88"/>
      <c r="AH343" s="89"/>
      <c r="AI343" s="86"/>
      <c r="AJ343" s="88"/>
      <c r="AK343" s="89"/>
      <c r="AL343" s="90"/>
      <c r="AM343" s="91"/>
      <c r="AN343" s="91" t="s">
        <v>473</v>
      </c>
      <c r="AO343" s="243" t="str">
        <f t="shared" si="15"/>
        <v>3TNCERAMDACPFL38</v>
      </c>
    </row>
    <row r="344" spans="1:41" x14ac:dyDescent="0.15">
      <c r="A344" s="83">
        <v>4113</v>
      </c>
      <c r="B344" s="92">
        <v>272</v>
      </c>
      <c r="C344" s="92">
        <v>36888</v>
      </c>
      <c r="D344" s="92" t="s">
        <v>65</v>
      </c>
      <c r="E344" s="92" t="s">
        <v>66</v>
      </c>
      <c r="F344" s="92" t="s">
        <v>12</v>
      </c>
      <c r="G344" s="92" t="str">
        <f t="shared" si="16"/>
        <v>3TNCERAMDAPFL</v>
      </c>
      <c r="H344" s="92" t="s">
        <v>1648</v>
      </c>
      <c r="I344" s="92" t="s">
        <v>20</v>
      </c>
      <c r="J344" s="92" t="s">
        <v>21</v>
      </c>
      <c r="K344" s="92" t="s">
        <v>70</v>
      </c>
      <c r="L344" s="92" t="s">
        <v>71</v>
      </c>
      <c r="M344" s="92" t="str">
        <f t="shared" si="17"/>
        <v>3TNCERAMDAPFL381346</v>
      </c>
      <c r="N344" s="92" t="str">
        <f t="shared" si="18"/>
        <v>3TNCERAMDAPFL381335</v>
      </c>
      <c r="O344" s="93">
        <v>38</v>
      </c>
      <c r="P344" s="92">
        <v>3</v>
      </c>
      <c r="Q344" s="92" t="s">
        <v>69</v>
      </c>
      <c r="R344" s="93">
        <v>1346</v>
      </c>
      <c r="S344" s="93">
        <v>12050</v>
      </c>
      <c r="T344" s="93">
        <v>1346</v>
      </c>
      <c r="U344" s="93">
        <v>1335</v>
      </c>
      <c r="V344" s="93">
        <v>12000</v>
      </c>
      <c r="W344" s="84">
        <v>2</v>
      </c>
      <c r="X344" s="85" t="s">
        <v>14</v>
      </c>
      <c r="Y344" s="86" t="s">
        <v>15</v>
      </c>
      <c r="Z344" s="87">
        <v>6</v>
      </c>
      <c r="AA344" s="88" t="s">
        <v>24</v>
      </c>
      <c r="AB344" s="89">
        <v>1450</v>
      </c>
      <c r="AC344" s="86"/>
      <c r="AD344" s="88"/>
      <c r="AE344" s="89"/>
      <c r="AF344" s="86"/>
      <c r="AG344" s="88"/>
      <c r="AH344" s="89"/>
      <c r="AI344" s="86"/>
      <c r="AJ344" s="88"/>
      <c r="AK344" s="89"/>
      <c r="AL344" s="90"/>
      <c r="AM344" s="91"/>
      <c r="AN344" s="91" t="s">
        <v>473</v>
      </c>
      <c r="AO344" s="243" t="str">
        <f t="shared" si="15"/>
        <v>3TNCERAMDAPFL38</v>
      </c>
    </row>
    <row r="345" spans="1:41" x14ac:dyDescent="0.15">
      <c r="A345" s="83"/>
      <c r="B345" s="92">
        <v>274</v>
      </c>
      <c r="C345" s="92"/>
      <c r="D345" s="109" t="s">
        <v>2141</v>
      </c>
      <c r="E345" s="92" t="s">
        <v>2142</v>
      </c>
      <c r="F345" s="92"/>
      <c r="G345" s="92" t="str">
        <f t="shared" si="16"/>
        <v>N</v>
      </c>
      <c r="H345" s="92"/>
      <c r="I345" s="92" t="s">
        <v>1550</v>
      </c>
      <c r="J345" s="92"/>
      <c r="K345" s="92"/>
      <c r="L345" s="92" t="s">
        <v>2145</v>
      </c>
      <c r="M345" s="92" t="str">
        <f t="shared" si="17"/>
        <v>N381560</v>
      </c>
      <c r="N345" s="92" t="str">
        <f t="shared" si="18"/>
        <v>N381560</v>
      </c>
      <c r="O345" s="93">
        <v>38</v>
      </c>
      <c r="P345" s="92"/>
      <c r="Q345" s="92" t="s">
        <v>2018</v>
      </c>
      <c r="R345" s="93">
        <v>1560</v>
      </c>
      <c r="S345" s="93">
        <v>7700</v>
      </c>
      <c r="T345" s="93">
        <v>1560</v>
      </c>
      <c r="U345" s="93">
        <v>1560</v>
      </c>
      <c r="V345" s="93">
        <v>1000</v>
      </c>
      <c r="W345" s="84">
        <v>2</v>
      </c>
      <c r="X345" s="85"/>
      <c r="Y345" s="86" t="s">
        <v>15</v>
      </c>
      <c r="Z345" s="87">
        <v>6</v>
      </c>
      <c r="AA345" s="88" t="s">
        <v>24</v>
      </c>
      <c r="AB345" s="89">
        <v>1700</v>
      </c>
      <c r="AC345" s="86"/>
      <c r="AD345" s="88"/>
      <c r="AE345" s="89"/>
      <c r="AF345" s="86"/>
      <c r="AG345" s="88"/>
      <c r="AH345" s="89"/>
      <c r="AI345" s="86"/>
      <c r="AJ345" s="88"/>
      <c r="AK345" s="89"/>
      <c r="AL345" s="90"/>
      <c r="AM345" s="91"/>
      <c r="AN345" s="91"/>
      <c r="AO345" s="243" t="str">
        <f t="shared" si="15"/>
        <v>N38</v>
      </c>
    </row>
    <row r="346" spans="1:41" x14ac:dyDescent="0.15">
      <c r="A346" s="83">
        <v>4114</v>
      </c>
      <c r="B346" s="92">
        <v>277</v>
      </c>
      <c r="C346" s="92"/>
      <c r="D346" s="92" t="s">
        <v>273</v>
      </c>
      <c r="E346" s="92" t="s">
        <v>2128</v>
      </c>
      <c r="F346" s="92" t="s">
        <v>184</v>
      </c>
      <c r="G346" s="92" t="str">
        <f t="shared" si="16"/>
        <v>3UNCERANS27103</v>
      </c>
      <c r="H346" s="92" t="s">
        <v>269</v>
      </c>
      <c r="I346" s="92" t="s">
        <v>1550</v>
      </c>
      <c r="J346" s="92" t="s">
        <v>132</v>
      </c>
      <c r="K346" s="92">
        <v>27103</v>
      </c>
      <c r="L346" s="92" t="s">
        <v>140</v>
      </c>
      <c r="M346" s="92" t="str">
        <f t="shared" si="17"/>
        <v>3UNCERANS27103251520</v>
      </c>
      <c r="N346" s="92" t="str">
        <f t="shared" si="18"/>
        <v>3UNCERANS27103251100</v>
      </c>
      <c r="O346" s="93">
        <v>25</v>
      </c>
      <c r="P346" s="92">
        <v>3</v>
      </c>
      <c r="Q346" s="92" t="s">
        <v>1992</v>
      </c>
      <c r="R346" s="93">
        <v>1520</v>
      </c>
      <c r="S346" s="93">
        <v>10900</v>
      </c>
      <c r="T346" s="93">
        <v>1100</v>
      </c>
      <c r="U346" s="93">
        <v>1100</v>
      </c>
      <c r="V346" s="93">
        <v>4000</v>
      </c>
      <c r="W346" s="84">
        <v>2</v>
      </c>
      <c r="X346" s="85" t="s">
        <v>142</v>
      </c>
      <c r="Y346" s="86" t="s">
        <v>295</v>
      </c>
      <c r="Z346" s="87">
        <v>6</v>
      </c>
      <c r="AA346" s="88" t="s">
        <v>24</v>
      </c>
      <c r="AB346" s="89">
        <v>1700</v>
      </c>
      <c r="AC346" s="86">
        <v>6</v>
      </c>
      <c r="AD346" s="88" t="s">
        <v>272</v>
      </c>
      <c r="AE346" s="89">
        <v>1250</v>
      </c>
      <c r="AF346" s="86"/>
      <c r="AG346" s="88"/>
      <c r="AH346" s="89"/>
      <c r="AI346" s="86"/>
      <c r="AJ346" s="88"/>
      <c r="AK346" s="89"/>
      <c r="AL346" s="90"/>
      <c r="AM346" s="91"/>
      <c r="AN346" s="91" t="s">
        <v>471</v>
      </c>
      <c r="AO346" s="243" t="str">
        <f t="shared" si="15"/>
        <v>3UNCERANS2710325</v>
      </c>
    </row>
    <row r="347" spans="1:41" x14ac:dyDescent="0.15">
      <c r="A347" s="83">
        <v>4114</v>
      </c>
      <c r="B347" s="92">
        <v>277</v>
      </c>
      <c r="C347" s="92"/>
      <c r="D347" s="92" t="s">
        <v>273</v>
      </c>
      <c r="E347" s="92" t="s">
        <v>2128</v>
      </c>
      <c r="F347" s="92" t="s">
        <v>184</v>
      </c>
      <c r="G347" s="92" t="str">
        <f t="shared" si="16"/>
        <v>3UNCERANS27103</v>
      </c>
      <c r="H347" s="92" t="s">
        <v>269</v>
      </c>
      <c r="I347" s="92" t="s">
        <v>1550</v>
      </c>
      <c r="J347" s="92" t="s">
        <v>132</v>
      </c>
      <c r="K347" s="92">
        <v>27103</v>
      </c>
      <c r="L347" s="92" t="s">
        <v>140</v>
      </c>
      <c r="M347" s="92" t="str">
        <f t="shared" si="17"/>
        <v>3UNCERANS27103251520</v>
      </c>
      <c r="N347" s="92" t="str">
        <f t="shared" si="18"/>
        <v>3UNCERANS27103251100</v>
      </c>
      <c r="O347" s="93">
        <v>25</v>
      </c>
      <c r="P347" s="92">
        <v>3</v>
      </c>
      <c r="Q347" s="92" t="s">
        <v>1992</v>
      </c>
      <c r="R347" s="93">
        <v>1520</v>
      </c>
      <c r="S347" s="93">
        <v>10900</v>
      </c>
      <c r="T347" s="93">
        <v>1100</v>
      </c>
      <c r="U347" s="93">
        <v>1100</v>
      </c>
      <c r="V347" s="93">
        <v>6000</v>
      </c>
      <c r="W347" s="84">
        <v>2</v>
      </c>
      <c r="X347" s="85" t="s">
        <v>142</v>
      </c>
      <c r="Y347" s="86" t="s">
        <v>295</v>
      </c>
      <c r="Z347" s="87">
        <v>6</v>
      </c>
      <c r="AA347" s="88" t="s">
        <v>24</v>
      </c>
      <c r="AB347" s="89">
        <v>1700</v>
      </c>
      <c r="AC347" s="86">
        <v>6</v>
      </c>
      <c r="AD347" s="88" t="s">
        <v>272</v>
      </c>
      <c r="AE347" s="89">
        <v>1250</v>
      </c>
      <c r="AF347" s="86"/>
      <c r="AG347" s="88"/>
      <c r="AH347" s="89"/>
      <c r="AI347" s="86"/>
      <c r="AJ347" s="88"/>
      <c r="AK347" s="89"/>
      <c r="AL347" s="90"/>
      <c r="AM347" s="91"/>
      <c r="AN347" s="91" t="s">
        <v>471</v>
      </c>
      <c r="AO347" s="243" t="str">
        <f t="shared" si="15"/>
        <v>3UNCERANS2710325</v>
      </c>
    </row>
    <row r="348" spans="1:41" x14ac:dyDescent="0.15">
      <c r="A348" s="83">
        <v>4114</v>
      </c>
      <c r="B348" s="92">
        <v>278</v>
      </c>
      <c r="C348" s="92"/>
      <c r="D348" s="92" t="s">
        <v>2146</v>
      </c>
      <c r="E348" s="92" t="s">
        <v>2147</v>
      </c>
      <c r="F348" s="92" t="s">
        <v>210</v>
      </c>
      <c r="G348" s="92" t="str">
        <f t="shared" si="16"/>
        <v>3UYCERANS27111</v>
      </c>
      <c r="H348" s="92" t="s">
        <v>269</v>
      </c>
      <c r="I348" s="92" t="s">
        <v>2031</v>
      </c>
      <c r="J348" s="92" t="s">
        <v>132</v>
      </c>
      <c r="K348" s="92">
        <v>27111</v>
      </c>
      <c r="L348" s="92" t="s">
        <v>2148</v>
      </c>
      <c r="M348" s="92" t="str">
        <f t="shared" si="17"/>
        <v>3UYCERANS27111501345</v>
      </c>
      <c r="N348" s="92" t="str">
        <f t="shared" si="18"/>
        <v>3UYCERANS2711150375</v>
      </c>
      <c r="O348" s="93">
        <v>50</v>
      </c>
      <c r="P348" s="92">
        <v>3</v>
      </c>
      <c r="Q348" s="92" t="s">
        <v>2019</v>
      </c>
      <c r="R348" s="93">
        <v>1345</v>
      </c>
      <c r="S348" s="93">
        <v>6800</v>
      </c>
      <c r="T348" s="93">
        <v>375</v>
      </c>
      <c r="U348" s="93">
        <v>375</v>
      </c>
      <c r="V348" s="93">
        <v>260</v>
      </c>
      <c r="W348" s="84">
        <v>2</v>
      </c>
      <c r="X348" s="85" t="s">
        <v>142</v>
      </c>
      <c r="Y348" s="86" t="s">
        <v>295</v>
      </c>
      <c r="Z348" s="87">
        <v>6</v>
      </c>
      <c r="AA348" s="88" t="s">
        <v>266</v>
      </c>
      <c r="AB348" s="89">
        <v>1700</v>
      </c>
      <c r="AC348" s="86">
        <v>3</v>
      </c>
      <c r="AD348" s="88" t="s">
        <v>39</v>
      </c>
      <c r="AE348" s="89">
        <v>395</v>
      </c>
      <c r="AF348" s="86"/>
      <c r="AG348" s="88"/>
      <c r="AH348" s="89"/>
      <c r="AI348" s="86"/>
      <c r="AJ348" s="88"/>
      <c r="AK348" s="89"/>
      <c r="AL348" s="90"/>
      <c r="AM348" s="91"/>
      <c r="AN348" s="91" t="s">
        <v>471</v>
      </c>
      <c r="AO348" s="243" t="str">
        <f t="shared" si="15"/>
        <v>3UYCERANS2711150</v>
      </c>
    </row>
    <row r="349" spans="1:41" x14ac:dyDescent="0.15">
      <c r="A349" s="83">
        <v>4114</v>
      </c>
      <c r="B349" s="92">
        <v>271</v>
      </c>
      <c r="C349" s="92">
        <v>7361</v>
      </c>
      <c r="D349" s="92" t="s">
        <v>2038</v>
      </c>
      <c r="E349" s="92"/>
      <c r="F349" s="92"/>
      <c r="G349" s="92" t="str">
        <f t="shared" si="16"/>
        <v>3UNCERANSJ22B</v>
      </c>
      <c r="H349" s="92" t="s">
        <v>269</v>
      </c>
      <c r="I349" s="92" t="s">
        <v>1550</v>
      </c>
      <c r="J349" s="92" t="s">
        <v>132</v>
      </c>
      <c r="K349" s="92" t="s">
        <v>2149</v>
      </c>
      <c r="L349" s="92" t="s">
        <v>2150</v>
      </c>
      <c r="M349" s="92" t="str">
        <f t="shared" si="17"/>
        <v>3UNCERANSJ22B501595</v>
      </c>
      <c r="N349" s="92" t="str">
        <f t="shared" si="18"/>
        <v>3UNCERANSJ22B50300</v>
      </c>
      <c r="O349" s="93">
        <v>50</v>
      </c>
      <c r="P349" s="92">
        <v>3</v>
      </c>
      <c r="Q349" s="92" t="s">
        <v>275</v>
      </c>
      <c r="R349" s="93">
        <v>1595</v>
      </c>
      <c r="S349" s="93">
        <v>6200</v>
      </c>
      <c r="T349" s="93">
        <v>300</v>
      </c>
      <c r="U349" s="93">
        <v>300</v>
      </c>
      <c r="V349" s="93">
        <v>300</v>
      </c>
      <c r="W349" s="84">
        <v>2</v>
      </c>
      <c r="X349" s="85" t="s">
        <v>142</v>
      </c>
      <c r="Y349" s="86" t="s">
        <v>295</v>
      </c>
      <c r="Z349" s="87">
        <v>6</v>
      </c>
      <c r="AA349" s="88" t="s">
        <v>266</v>
      </c>
      <c r="AB349" s="89">
        <v>1700</v>
      </c>
      <c r="AC349" s="86">
        <v>3</v>
      </c>
      <c r="AD349" s="88"/>
      <c r="AE349" s="89"/>
      <c r="AF349" s="86"/>
      <c r="AG349" s="88"/>
      <c r="AH349" s="89"/>
      <c r="AI349" s="86"/>
      <c r="AJ349" s="88"/>
      <c r="AK349" s="89"/>
      <c r="AL349" s="90"/>
      <c r="AM349" s="91"/>
      <c r="AN349" s="91" t="s">
        <v>471</v>
      </c>
      <c r="AO349" s="243" t="str">
        <f t="shared" si="15"/>
        <v>3UNCERANSJ22B50</v>
      </c>
    </row>
    <row r="350" spans="1:41" x14ac:dyDescent="0.15">
      <c r="A350" s="83">
        <v>4114</v>
      </c>
      <c r="B350" s="92">
        <v>271</v>
      </c>
      <c r="C350" s="92">
        <v>7361</v>
      </c>
      <c r="D350" s="92" t="s">
        <v>2038</v>
      </c>
      <c r="E350" s="92"/>
      <c r="F350" s="92"/>
      <c r="G350" s="92" t="str">
        <f t="shared" si="16"/>
        <v>3UNCERANSJPJ113B</v>
      </c>
      <c r="H350" s="92" t="s">
        <v>269</v>
      </c>
      <c r="I350" s="92" t="s">
        <v>1550</v>
      </c>
      <c r="J350" s="92" t="s">
        <v>132</v>
      </c>
      <c r="K350" s="92" t="s">
        <v>2151</v>
      </c>
      <c r="L350" s="92" t="s">
        <v>2152</v>
      </c>
      <c r="M350" s="92" t="str">
        <f t="shared" si="17"/>
        <v>3UNCERANSJPJ113B501595</v>
      </c>
      <c r="N350" s="92" t="str">
        <f t="shared" si="18"/>
        <v>3UNCERANSJPJ113B501300</v>
      </c>
      <c r="O350" s="93">
        <v>50</v>
      </c>
      <c r="P350" s="92">
        <v>3</v>
      </c>
      <c r="Q350" s="92" t="s">
        <v>275</v>
      </c>
      <c r="R350" s="93">
        <v>1595</v>
      </c>
      <c r="S350" s="93">
        <v>6200</v>
      </c>
      <c r="T350" s="93">
        <v>1300</v>
      </c>
      <c r="U350" s="93">
        <v>1300</v>
      </c>
      <c r="V350" s="93">
        <v>1000</v>
      </c>
      <c r="W350" s="84">
        <v>2</v>
      </c>
      <c r="X350" s="85" t="s">
        <v>142</v>
      </c>
      <c r="Y350" s="86" t="s">
        <v>295</v>
      </c>
      <c r="Z350" s="87">
        <v>6</v>
      </c>
      <c r="AA350" s="88" t="s">
        <v>266</v>
      </c>
      <c r="AB350" s="89">
        <v>1700</v>
      </c>
      <c r="AC350" s="86">
        <v>6</v>
      </c>
      <c r="AD350" s="88" t="s">
        <v>272</v>
      </c>
      <c r="AE350" s="89">
        <v>1350</v>
      </c>
      <c r="AF350" s="86"/>
      <c r="AG350" s="88"/>
      <c r="AH350" s="89"/>
      <c r="AI350" s="86"/>
      <c r="AJ350" s="88"/>
      <c r="AK350" s="89"/>
      <c r="AL350" s="90"/>
      <c r="AM350" s="91"/>
      <c r="AN350" s="91" t="s">
        <v>471</v>
      </c>
      <c r="AO350" s="243" t="str">
        <f t="shared" si="15"/>
        <v>3UNCERANSJPJ113B50</v>
      </c>
    </row>
    <row r="351" spans="1:41" x14ac:dyDescent="0.15">
      <c r="A351" s="83">
        <v>4114</v>
      </c>
      <c r="B351" s="92">
        <v>271</v>
      </c>
      <c r="C351" s="92">
        <v>7361</v>
      </c>
      <c r="D351" s="92" t="s">
        <v>2038</v>
      </c>
      <c r="E351" s="92"/>
      <c r="F351" s="92"/>
      <c r="G351" s="92" t="str">
        <f t="shared" si="16"/>
        <v>3UNCERANSJPJ113B</v>
      </c>
      <c r="H351" s="92" t="s">
        <v>269</v>
      </c>
      <c r="I351" s="92" t="s">
        <v>1550</v>
      </c>
      <c r="J351" s="92" t="s">
        <v>132</v>
      </c>
      <c r="K351" s="92" t="s">
        <v>2151</v>
      </c>
      <c r="L351" s="92" t="s">
        <v>2152</v>
      </c>
      <c r="M351" s="92" t="str">
        <f t="shared" si="17"/>
        <v>3UNCERANSJPJ113B501595</v>
      </c>
      <c r="N351" s="92" t="str">
        <f t="shared" si="18"/>
        <v>3UNCERANSJPJ113B501300</v>
      </c>
      <c r="O351" s="93">
        <v>50</v>
      </c>
      <c r="P351" s="92">
        <v>3</v>
      </c>
      <c r="Q351" s="92" t="s">
        <v>275</v>
      </c>
      <c r="R351" s="93">
        <v>1595</v>
      </c>
      <c r="S351" s="93">
        <v>6200</v>
      </c>
      <c r="T351" s="93">
        <v>1300</v>
      </c>
      <c r="U351" s="93">
        <v>1300</v>
      </c>
      <c r="V351" s="93">
        <v>1000</v>
      </c>
      <c r="W351" s="84">
        <v>2</v>
      </c>
      <c r="X351" s="85" t="s">
        <v>142</v>
      </c>
      <c r="Y351" s="86" t="s">
        <v>295</v>
      </c>
      <c r="Z351" s="87">
        <v>6</v>
      </c>
      <c r="AA351" s="88" t="s">
        <v>266</v>
      </c>
      <c r="AB351" s="89">
        <v>1700</v>
      </c>
      <c r="AC351" s="86">
        <v>3</v>
      </c>
      <c r="AD351" s="88" t="s">
        <v>39</v>
      </c>
      <c r="AE351" s="89">
        <v>315</v>
      </c>
      <c r="AF351" s="86"/>
      <c r="AG351" s="88"/>
      <c r="AH351" s="89"/>
      <c r="AI351" s="86"/>
      <c r="AJ351" s="88"/>
      <c r="AK351" s="89"/>
      <c r="AL351" s="90"/>
      <c r="AM351" s="91"/>
      <c r="AN351" s="91" t="s">
        <v>471</v>
      </c>
      <c r="AO351" s="243" t="str">
        <f t="shared" si="15"/>
        <v>3UNCERANSJPJ113B50</v>
      </c>
    </row>
    <row r="352" spans="1:41" x14ac:dyDescent="0.15">
      <c r="A352" s="83">
        <v>4114</v>
      </c>
      <c r="B352" s="92">
        <v>271</v>
      </c>
      <c r="C352" s="92"/>
      <c r="D352" s="92" t="s">
        <v>2113</v>
      </c>
      <c r="E352" s="92"/>
      <c r="F352" s="92" t="s">
        <v>210</v>
      </c>
      <c r="G352" s="92" t="str">
        <f t="shared" si="16"/>
        <v>3UYCERANSPSPB18</v>
      </c>
      <c r="H352" s="92" t="s">
        <v>269</v>
      </c>
      <c r="I352" s="92" t="s">
        <v>2031</v>
      </c>
      <c r="J352" s="92" t="s">
        <v>132</v>
      </c>
      <c r="K352" s="92" t="s">
        <v>2340</v>
      </c>
      <c r="L352" s="92" t="s">
        <v>2341</v>
      </c>
      <c r="M352" s="92" t="str">
        <f t="shared" si="17"/>
        <v>3UYCERANSPSPB18501310</v>
      </c>
      <c r="N352" s="92" t="str">
        <f t="shared" si="18"/>
        <v>3UYCERANSPSPB18501290</v>
      </c>
      <c r="O352" s="93">
        <v>50</v>
      </c>
      <c r="P352" s="92">
        <v>3</v>
      </c>
      <c r="Q352" s="92" t="s">
        <v>2333</v>
      </c>
      <c r="R352" s="93">
        <v>1310</v>
      </c>
      <c r="S352" s="93">
        <v>4300</v>
      </c>
      <c r="T352" s="93">
        <v>1290</v>
      </c>
      <c r="U352" s="93">
        <v>1290</v>
      </c>
      <c r="V352" s="93">
        <v>4000</v>
      </c>
      <c r="W352" s="84">
        <v>2</v>
      </c>
      <c r="X352" s="85" t="s">
        <v>136</v>
      </c>
      <c r="Y352" s="86" t="s">
        <v>15</v>
      </c>
      <c r="Z352" s="87"/>
      <c r="AA352" s="88" t="s">
        <v>16</v>
      </c>
      <c r="AB352" s="89">
        <v>1500</v>
      </c>
      <c r="AC352" s="86"/>
      <c r="AD352" s="88"/>
      <c r="AE352" s="89"/>
      <c r="AF352" s="86"/>
      <c r="AG352" s="88"/>
      <c r="AH352" s="89"/>
      <c r="AI352" s="86"/>
      <c r="AJ352" s="88"/>
      <c r="AK352" s="89"/>
      <c r="AL352" s="90"/>
      <c r="AM352" s="91"/>
      <c r="AN352" s="91"/>
      <c r="AO352" s="243" t="str">
        <f t="shared" si="15"/>
        <v>3UYCERANSPSPB1850</v>
      </c>
    </row>
    <row r="353" spans="1:41" x14ac:dyDescent="0.15">
      <c r="A353" s="83">
        <v>4114</v>
      </c>
      <c r="B353" s="92">
        <v>275</v>
      </c>
      <c r="C353" s="92">
        <v>5174</v>
      </c>
      <c r="D353" s="92" t="s">
        <v>2049</v>
      </c>
      <c r="E353" s="92"/>
      <c r="F353" s="92" t="s">
        <v>210</v>
      </c>
      <c r="G353" s="92" t="str">
        <f t="shared" si="16"/>
        <v>3UNCERAWZS</v>
      </c>
      <c r="H353" s="92" t="s">
        <v>269</v>
      </c>
      <c r="I353" s="92" t="s">
        <v>1550</v>
      </c>
      <c r="J353" s="92" t="s">
        <v>21</v>
      </c>
      <c r="K353" s="92" t="s">
        <v>1568</v>
      </c>
      <c r="L353" s="92" t="s">
        <v>121</v>
      </c>
      <c r="M353" s="92" t="str">
        <f t="shared" si="17"/>
        <v>3UNCERAWZS251030</v>
      </c>
      <c r="N353" s="92" t="str">
        <f t="shared" si="18"/>
        <v>3UNCERAWZS251000</v>
      </c>
      <c r="O353" s="93">
        <v>25</v>
      </c>
      <c r="P353" s="92">
        <v>3</v>
      </c>
      <c r="Q353" s="92" t="s">
        <v>78</v>
      </c>
      <c r="R353" s="93">
        <v>1030</v>
      </c>
      <c r="S353" s="93">
        <v>8000</v>
      </c>
      <c r="T353" s="93">
        <v>1000</v>
      </c>
      <c r="U353" s="93">
        <v>1000</v>
      </c>
      <c r="V353" s="93">
        <v>8000</v>
      </c>
      <c r="W353" s="84">
        <v>2</v>
      </c>
      <c r="X353" s="85" t="s">
        <v>14</v>
      </c>
      <c r="Y353" s="86" t="s">
        <v>2010</v>
      </c>
      <c r="Z353" s="87">
        <v>6</v>
      </c>
      <c r="AA353" s="88" t="s">
        <v>24</v>
      </c>
      <c r="AB353" s="89">
        <v>1450</v>
      </c>
      <c r="AC353" s="86">
        <v>6</v>
      </c>
      <c r="AD353" s="88" t="s">
        <v>266</v>
      </c>
      <c r="AE353" s="89">
        <v>1020</v>
      </c>
      <c r="AF353" s="86"/>
      <c r="AG353" s="88"/>
      <c r="AH353" s="89"/>
      <c r="AI353" s="86"/>
      <c r="AJ353" s="88"/>
      <c r="AK353" s="89"/>
      <c r="AL353" s="90"/>
      <c r="AM353" s="91"/>
      <c r="AN353" s="91" t="s">
        <v>474</v>
      </c>
      <c r="AO353" s="243" t="str">
        <f t="shared" si="15"/>
        <v>3UNCERAWZS25</v>
      </c>
    </row>
    <row r="354" spans="1:41" x14ac:dyDescent="0.15">
      <c r="A354" s="83">
        <v>4114</v>
      </c>
      <c r="B354" s="92">
        <v>276</v>
      </c>
      <c r="C354" s="92">
        <v>3621</v>
      </c>
      <c r="D354" s="92" t="s">
        <v>57</v>
      </c>
      <c r="E354" s="92" t="s">
        <v>2043</v>
      </c>
      <c r="F354" s="92" t="s">
        <v>210</v>
      </c>
      <c r="G354" s="92" t="str">
        <f t="shared" si="16"/>
        <v>331UNCERAWZS</v>
      </c>
      <c r="H354" s="92" t="s">
        <v>269</v>
      </c>
      <c r="I354" s="92" t="s">
        <v>1550</v>
      </c>
      <c r="J354" s="92" t="s">
        <v>21</v>
      </c>
      <c r="K354" s="92" t="s">
        <v>1568</v>
      </c>
      <c r="L354" s="92" t="s">
        <v>121</v>
      </c>
      <c r="M354" s="92" t="str">
        <f t="shared" si="17"/>
        <v>331UNCERAWZS251430</v>
      </c>
      <c r="N354" s="92" t="str">
        <f t="shared" si="18"/>
        <v>331UNCERAWZS251420</v>
      </c>
      <c r="O354" s="93">
        <v>25</v>
      </c>
      <c r="P354" s="92">
        <v>331</v>
      </c>
      <c r="Q354" s="92" t="s">
        <v>78</v>
      </c>
      <c r="R354" s="93">
        <v>1430</v>
      </c>
      <c r="S354" s="93">
        <v>12500</v>
      </c>
      <c r="T354" s="93">
        <v>1420</v>
      </c>
      <c r="U354" s="93">
        <v>1420</v>
      </c>
      <c r="V354" s="93">
        <v>12400</v>
      </c>
      <c r="W354" s="84">
        <v>2</v>
      </c>
      <c r="X354" s="85" t="s">
        <v>14</v>
      </c>
      <c r="Y354" s="86" t="s">
        <v>25</v>
      </c>
      <c r="Z354" s="87">
        <v>6</v>
      </c>
      <c r="AA354" s="88" t="s">
        <v>24</v>
      </c>
      <c r="AB354" s="89">
        <v>1500</v>
      </c>
      <c r="AC354" s="86">
        <v>6</v>
      </c>
      <c r="AD354" s="88" t="s">
        <v>266</v>
      </c>
      <c r="AE354" s="89">
        <v>1500</v>
      </c>
      <c r="AF354" s="86"/>
      <c r="AG354" s="88"/>
      <c r="AH354" s="89"/>
      <c r="AI354" s="86"/>
      <c r="AJ354" s="88"/>
      <c r="AK354" s="89"/>
      <c r="AL354" s="90"/>
      <c r="AM354" s="91"/>
      <c r="AN354" s="91" t="s">
        <v>474</v>
      </c>
      <c r="AO354" s="243" t="str">
        <f t="shared" si="15"/>
        <v>331UNCERAWZS25</v>
      </c>
    </row>
    <row r="355" spans="1:41" x14ac:dyDescent="0.15">
      <c r="A355" s="83">
        <v>4113</v>
      </c>
      <c r="B355" s="92">
        <v>276</v>
      </c>
      <c r="C355" s="92">
        <v>3621</v>
      </c>
      <c r="D355" s="92" t="s">
        <v>57</v>
      </c>
      <c r="E355" s="92" t="s">
        <v>2043</v>
      </c>
      <c r="F355" s="92" t="s">
        <v>210</v>
      </c>
      <c r="G355" s="92" t="str">
        <f t="shared" si="16"/>
        <v>331TNCERAWZS</v>
      </c>
      <c r="H355" s="92" t="s">
        <v>1648</v>
      </c>
      <c r="I355" s="92" t="s">
        <v>1550</v>
      </c>
      <c r="J355" s="92" t="s">
        <v>21</v>
      </c>
      <c r="K355" s="92" t="s">
        <v>1568</v>
      </c>
      <c r="L355" s="92" t="s">
        <v>121</v>
      </c>
      <c r="M355" s="92" t="str">
        <f t="shared" si="17"/>
        <v>331TNCERAWZS251430</v>
      </c>
      <c r="N355" s="92" t="str">
        <f t="shared" si="18"/>
        <v>331TNCERAWZS251420</v>
      </c>
      <c r="O355" s="93">
        <v>25</v>
      </c>
      <c r="P355" s="92">
        <v>331</v>
      </c>
      <c r="Q355" s="92" t="s">
        <v>78</v>
      </c>
      <c r="R355" s="93">
        <v>1430</v>
      </c>
      <c r="S355" s="93">
        <v>12500</v>
      </c>
      <c r="T355" s="93">
        <v>1425</v>
      </c>
      <c r="U355" s="93">
        <v>1420</v>
      </c>
      <c r="V355" s="93">
        <v>12400</v>
      </c>
      <c r="W355" s="84">
        <v>2</v>
      </c>
      <c r="X355" s="85" t="s">
        <v>14</v>
      </c>
      <c r="Y355" s="86" t="s">
        <v>25</v>
      </c>
      <c r="Z355" s="87">
        <v>6</v>
      </c>
      <c r="AA355" s="88" t="s">
        <v>24</v>
      </c>
      <c r="AB355" s="89">
        <v>1500</v>
      </c>
      <c r="AC355" s="86">
        <v>6</v>
      </c>
      <c r="AD355" s="88" t="s">
        <v>266</v>
      </c>
      <c r="AE355" s="89">
        <v>1500</v>
      </c>
      <c r="AF355" s="86"/>
      <c r="AG355" s="88"/>
      <c r="AH355" s="89"/>
      <c r="AI355" s="86"/>
      <c r="AJ355" s="88"/>
      <c r="AK355" s="89"/>
      <c r="AL355" s="90"/>
      <c r="AM355" s="91"/>
      <c r="AN355" s="91" t="s">
        <v>474</v>
      </c>
      <c r="AO355" s="243" t="str">
        <f t="shared" si="15"/>
        <v>331TNCERAWZS25</v>
      </c>
    </row>
    <row r="356" spans="1:41" x14ac:dyDescent="0.15">
      <c r="A356" s="83">
        <v>4113</v>
      </c>
      <c r="B356" s="92">
        <v>276</v>
      </c>
      <c r="C356" s="92">
        <v>3621</v>
      </c>
      <c r="D356" s="92" t="s">
        <v>57</v>
      </c>
      <c r="E356" s="92" t="s">
        <v>2043</v>
      </c>
      <c r="F356" s="92" t="s">
        <v>210</v>
      </c>
      <c r="G356" s="92" t="str">
        <f t="shared" si="16"/>
        <v>331TNCERAWZS</v>
      </c>
      <c r="H356" s="92" t="s">
        <v>1648</v>
      </c>
      <c r="I356" s="92" t="s">
        <v>1550</v>
      </c>
      <c r="J356" s="92" t="s">
        <v>21</v>
      </c>
      <c r="K356" s="92" t="s">
        <v>1568</v>
      </c>
      <c r="L356" s="92" t="s">
        <v>121</v>
      </c>
      <c r="M356" s="92" t="str">
        <f t="shared" si="17"/>
        <v>331TNCERAWZS251428</v>
      </c>
      <c r="N356" s="92" t="str">
        <f t="shared" si="18"/>
        <v>331TNCERAWZS251420</v>
      </c>
      <c r="O356" s="93">
        <v>25</v>
      </c>
      <c r="P356" s="92">
        <v>331</v>
      </c>
      <c r="Q356" s="92" t="s">
        <v>78</v>
      </c>
      <c r="R356" s="93">
        <v>1428</v>
      </c>
      <c r="S356" s="93">
        <v>12500</v>
      </c>
      <c r="T356" s="93">
        <v>1425</v>
      </c>
      <c r="U356" s="93">
        <v>1420</v>
      </c>
      <c r="V356" s="93">
        <v>12400</v>
      </c>
      <c r="W356" s="84">
        <v>2</v>
      </c>
      <c r="X356" s="85" t="s">
        <v>14</v>
      </c>
      <c r="Y356" s="86" t="s">
        <v>25</v>
      </c>
      <c r="Z356" s="87">
        <v>6</v>
      </c>
      <c r="AA356" s="88" t="s">
        <v>24</v>
      </c>
      <c r="AB356" s="89">
        <v>1500</v>
      </c>
      <c r="AC356" s="86">
        <v>6</v>
      </c>
      <c r="AD356" s="88" t="s">
        <v>266</v>
      </c>
      <c r="AE356" s="89">
        <v>1500</v>
      </c>
      <c r="AF356" s="86"/>
      <c r="AG356" s="88"/>
      <c r="AH356" s="89"/>
      <c r="AI356" s="86"/>
      <c r="AJ356" s="88"/>
      <c r="AK356" s="89"/>
      <c r="AL356" s="90"/>
      <c r="AM356" s="91"/>
      <c r="AN356" s="91" t="s">
        <v>474</v>
      </c>
      <c r="AO356" s="243" t="str">
        <f t="shared" si="15"/>
        <v>331TNCERAWZS25</v>
      </c>
    </row>
    <row r="357" spans="1:41" x14ac:dyDescent="0.15">
      <c r="A357" s="83">
        <v>4114</v>
      </c>
      <c r="B357" s="92">
        <v>276</v>
      </c>
      <c r="C357" s="92">
        <v>3621</v>
      </c>
      <c r="D357" s="92" t="s">
        <v>57</v>
      </c>
      <c r="E357" s="92" t="s">
        <v>2043</v>
      </c>
      <c r="F357" s="92" t="s">
        <v>210</v>
      </c>
      <c r="G357" s="92" t="str">
        <f t="shared" si="16"/>
        <v>3UNCERAWZS</v>
      </c>
      <c r="H357" s="92" t="s">
        <v>269</v>
      </c>
      <c r="I357" s="92" t="s">
        <v>1550</v>
      </c>
      <c r="J357" s="92" t="s">
        <v>21</v>
      </c>
      <c r="K357" s="92" t="s">
        <v>1568</v>
      </c>
      <c r="L357" s="92" t="s">
        <v>121</v>
      </c>
      <c r="M357" s="92" t="str">
        <f t="shared" si="17"/>
        <v>3UNCERAWZS251160</v>
      </c>
      <c r="N357" s="92" t="str">
        <f t="shared" si="18"/>
        <v>3UNCERAWZS251150</v>
      </c>
      <c r="O357" s="93">
        <v>25</v>
      </c>
      <c r="P357" s="92">
        <v>3</v>
      </c>
      <c r="Q357" s="92" t="s">
        <v>78</v>
      </c>
      <c r="R357" s="93">
        <v>1160</v>
      </c>
      <c r="S357" s="93">
        <v>12500</v>
      </c>
      <c r="T357" s="93">
        <v>1150</v>
      </c>
      <c r="U357" s="93">
        <v>1150</v>
      </c>
      <c r="V357" s="93">
        <v>12400</v>
      </c>
      <c r="W357" s="84">
        <v>2</v>
      </c>
      <c r="X357" s="85" t="s">
        <v>14</v>
      </c>
      <c r="Y357" s="86" t="s">
        <v>25</v>
      </c>
      <c r="Z357" s="87">
        <v>6</v>
      </c>
      <c r="AA357" s="88" t="s">
        <v>24</v>
      </c>
      <c r="AB357" s="89">
        <v>1170</v>
      </c>
      <c r="AC357" s="86">
        <v>6</v>
      </c>
      <c r="AD357" s="88" t="s">
        <v>266</v>
      </c>
      <c r="AE357" s="89">
        <v>1170</v>
      </c>
      <c r="AF357" s="86"/>
      <c r="AG357" s="88"/>
      <c r="AH357" s="89"/>
      <c r="AI357" s="86"/>
      <c r="AJ357" s="88"/>
      <c r="AK357" s="89"/>
      <c r="AL357" s="90"/>
      <c r="AM357" s="91"/>
      <c r="AN357" s="91" t="s">
        <v>474</v>
      </c>
      <c r="AO357" s="243" t="str">
        <f t="shared" si="15"/>
        <v>3UNCERAWZS25</v>
      </c>
    </row>
    <row r="358" spans="1:41" x14ac:dyDescent="0.15">
      <c r="A358" s="83">
        <v>4113</v>
      </c>
      <c r="B358" s="92">
        <v>276</v>
      </c>
      <c r="C358" s="92">
        <v>3621</v>
      </c>
      <c r="D358" s="92" t="s">
        <v>57</v>
      </c>
      <c r="E358" s="92" t="s">
        <v>2043</v>
      </c>
      <c r="F358" s="92" t="s">
        <v>210</v>
      </c>
      <c r="G358" s="92" t="str">
        <f t="shared" si="16"/>
        <v>3TNCERAWZS</v>
      </c>
      <c r="H358" s="92" t="s">
        <v>1648</v>
      </c>
      <c r="I358" s="92" t="s">
        <v>1550</v>
      </c>
      <c r="J358" s="92" t="s">
        <v>21</v>
      </c>
      <c r="K358" s="92" t="s">
        <v>1568</v>
      </c>
      <c r="L358" s="92" t="s">
        <v>121</v>
      </c>
      <c r="M358" s="92" t="str">
        <f t="shared" si="17"/>
        <v>3TNCERAWZS251158</v>
      </c>
      <c r="N358" s="92" t="str">
        <f t="shared" si="18"/>
        <v>3TNCERAWZS251150</v>
      </c>
      <c r="O358" s="93">
        <v>25</v>
      </c>
      <c r="P358" s="92">
        <v>3</v>
      </c>
      <c r="Q358" s="92" t="s">
        <v>78</v>
      </c>
      <c r="R358" s="93">
        <v>1158</v>
      </c>
      <c r="S358" s="93">
        <v>12500</v>
      </c>
      <c r="T358" s="93">
        <v>1155</v>
      </c>
      <c r="U358" s="93">
        <v>1150</v>
      </c>
      <c r="V358" s="93">
        <v>4200</v>
      </c>
      <c r="W358" s="84">
        <v>2</v>
      </c>
      <c r="X358" s="85" t="s">
        <v>14</v>
      </c>
      <c r="Y358" s="86" t="s">
        <v>25</v>
      </c>
      <c r="Z358" s="87">
        <v>6</v>
      </c>
      <c r="AA358" s="88" t="s">
        <v>24</v>
      </c>
      <c r="AB358" s="89">
        <v>1170</v>
      </c>
      <c r="AC358" s="86">
        <v>6</v>
      </c>
      <c r="AD358" s="88" t="s">
        <v>266</v>
      </c>
      <c r="AE358" s="89">
        <v>1170</v>
      </c>
      <c r="AF358" s="86"/>
      <c r="AG358" s="88"/>
      <c r="AH358" s="89"/>
      <c r="AI358" s="86"/>
      <c r="AJ358" s="88"/>
      <c r="AK358" s="89"/>
      <c r="AL358" s="90"/>
      <c r="AM358" s="91"/>
      <c r="AN358" s="91" t="s">
        <v>474</v>
      </c>
      <c r="AO358" s="243" t="str">
        <f t="shared" si="15"/>
        <v>3TNCERAWZS25</v>
      </c>
    </row>
    <row r="359" spans="1:41" x14ac:dyDescent="0.15">
      <c r="A359" s="83">
        <v>4114</v>
      </c>
      <c r="B359" s="92">
        <v>281</v>
      </c>
      <c r="C359" s="92"/>
      <c r="D359" s="92" t="s">
        <v>1149</v>
      </c>
      <c r="E359" s="92"/>
      <c r="F359" s="92"/>
      <c r="G359" s="92" t="str">
        <f t="shared" si="16"/>
        <v>3UNCERAWZCR</v>
      </c>
      <c r="H359" s="92" t="s">
        <v>1657</v>
      </c>
      <c r="I359" s="92" t="s">
        <v>1550</v>
      </c>
      <c r="J359" s="92" t="s">
        <v>21</v>
      </c>
      <c r="K359" s="92" t="s">
        <v>2153</v>
      </c>
      <c r="L359" s="92" t="s">
        <v>2154</v>
      </c>
      <c r="M359" s="92" t="str">
        <f t="shared" si="17"/>
        <v>3UNCERAWZCR311370</v>
      </c>
      <c r="N359" s="92" t="str">
        <f t="shared" si="18"/>
        <v>3UNCERAWZCR311360</v>
      </c>
      <c r="O359" s="93">
        <v>31</v>
      </c>
      <c r="P359" s="92">
        <v>3</v>
      </c>
      <c r="Q359" s="92" t="s">
        <v>2020</v>
      </c>
      <c r="R359" s="93">
        <v>1370</v>
      </c>
      <c r="S359" s="93">
        <v>13450</v>
      </c>
      <c r="T359" s="93">
        <v>1360</v>
      </c>
      <c r="U359" s="93">
        <v>1360</v>
      </c>
      <c r="V359" s="93">
        <v>13250</v>
      </c>
      <c r="W359" s="84">
        <v>2</v>
      </c>
      <c r="X359" s="85" t="s">
        <v>14</v>
      </c>
      <c r="Y359" s="86" t="s">
        <v>15</v>
      </c>
      <c r="Z359" s="87">
        <v>6</v>
      </c>
      <c r="AA359" s="88" t="s">
        <v>24</v>
      </c>
      <c r="AB359" s="89">
        <v>1450</v>
      </c>
      <c r="AC359" s="86"/>
      <c r="AD359" s="88"/>
      <c r="AE359" s="89"/>
      <c r="AF359" s="86"/>
      <c r="AG359" s="88"/>
      <c r="AH359" s="89"/>
      <c r="AI359" s="86"/>
      <c r="AJ359" s="88"/>
      <c r="AK359" s="89"/>
      <c r="AL359" s="90"/>
      <c r="AM359" s="91"/>
      <c r="AN359" s="91" t="s">
        <v>474</v>
      </c>
      <c r="AO359" s="243" t="str">
        <f t="shared" si="15"/>
        <v>3UNCERAWZCR31</v>
      </c>
    </row>
    <row r="360" spans="1:41" x14ac:dyDescent="0.15">
      <c r="A360" s="83">
        <v>4114</v>
      </c>
      <c r="B360" s="92">
        <v>281</v>
      </c>
      <c r="C360" s="92"/>
      <c r="D360" s="92" t="s">
        <v>1149</v>
      </c>
      <c r="E360" s="92"/>
      <c r="F360" s="92"/>
      <c r="G360" s="92" t="str">
        <f t="shared" si="16"/>
        <v>3UNCERAWZCR</v>
      </c>
      <c r="H360" s="92" t="s">
        <v>1657</v>
      </c>
      <c r="I360" s="92" t="s">
        <v>1550</v>
      </c>
      <c r="J360" s="92" t="s">
        <v>21</v>
      </c>
      <c r="K360" s="92" t="s">
        <v>2153</v>
      </c>
      <c r="L360" s="92" t="s">
        <v>2154</v>
      </c>
      <c r="M360" s="92" t="str">
        <f t="shared" si="17"/>
        <v>3UNCERAWZCR251370</v>
      </c>
      <c r="N360" s="92" t="str">
        <f t="shared" si="18"/>
        <v>3UNCERAWZCR251360</v>
      </c>
      <c r="O360" s="93">
        <v>25</v>
      </c>
      <c r="P360" s="92">
        <v>3</v>
      </c>
      <c r="Q360" s="92" t="s">
        <v>2020</v>
      </c>
      <c r="R360" s="93">
        <v>1370</v>
      </c>
      <c r="S360" s="93">
        <v>15300</v>
      </c>
      <c r="T360" s="93">
        <v>1360</v>
      </c>
      <c r="U360" s="93">
        <v>1360</v>
      </c>
      <c r="V360" s="93">
        <v>15100</v>
      </c>
      <c r="W360" s="84">
        <v>2</v>
      </c>
      <c r="X360" s="85" t="s">
        <v>14</v>
      </c>
      <c r="Y360" s="86" t="s">
        <v>15</v>
      </c>
      <c r="Z360" s="87">
        <v>6</v>
      </c>
      <c r="AA360" s="88" t="s">
        <v>24</v>
      </c>
      <c r="AB360" s="89">
        <v>1450</v>
      </c>
      <c r="AC360" s="86"/>
      <c r="AD360" s="88"/>
      <c r="AE360" s="89"/>
      <c r="AF360" s="86"/>
      <c r="AG360" s="88"/>
      <c r="AH360" s="89"/>
      <c r="AI360" s="86"/>
      <c r="AJ360" s="88"/>
      <c r="AK360" s="89"/>
      <c r="AL360" s="90"/>
      <c r="AM360" s="91"/>
      <c r="AN360" s="91" t="s">
        <v>474</v>
      </c>
      <c r="AO360" s="243" t="str">
        <f t="shared" si="15"/>
        <v>3UNCERAWZCR25</v>
      </c>
    </row>
    <row r="361" spans="1:41" x14ac:dyDescent="0.15">
      <c r="A361" s="83">
        <v>4114</v>
      </c>
      <c r="B361" s="92">
        <v>271</v>
      </c>
      <c r="C361" s="92">
        <v>7361</v>
      </c>
      <c r="D361" s="92" t="s">
        <v>2038</v>
      </c>
      <c r="E361" s="92" t="s">
        <v>11</v>
      </c>
      <c r="F361" s="92" t="s">
        <v>210</v>
      </c>
      <c r="G361" s="92" t="str">
        <f t="shared" si="16"/>
        <v>3UNCERABX8A14</v>
      </c>
      <c r="H361" s="92" t="s">
        <v>269</v>
      </c>
      <c r="I361" s="92" t="s">
        <v>1550</v>
      </c>
      <c r="J361" s="92" t="s">
        <v>21</v>
      </c>
      <c r="K361" s="92" t="s">
        <v>1561</v>
      </c>
      <c r="L361" s="92" t="s">
        <v>2039</v>
      </c>
      <c r="M361" s="92" t="str">
        <f t="shared" si="17"/>
        <v>3UNCERABX8A14751310</v>
      </c>
      <c r="N361" s="92" t="str">
        <f t="shared" si="18"/>
        <v>3UNCERABX8A14751300</v>
      </c>
      <c r="O361" s="93">
        <v>75</v>
      </c>
      <c r="P361" s="92">
        <v>3</v>
      </c>
      <c r="Q361" s="92" t="s">
        <v>1991</v>
      </c>
      <c r="R361" s="93">
        <v>1310</v>
      </c>
      <c r="S361" s="93">
        <v>4500</v>
      </c>
      <c r="T361" s="93">
        <v>1300</v>
      </c>
      <c r="U361" s="93">
        <v>1300</v>
      </c>
      <c r="V361" s="93">
        <v>4300</v>
      </c>
      <c r="W361" s="84">
        <v>2</v>
      </c>
      <c r="X361" s="85" t="s">
        <v>14</v>
      </c>
      <c r="Y361" s="86" t="s">
        <v>15</v>
      </c>
      <c r="Z361" s="87">
        <v>6</v>
      </c>
      <c r="AA361" s="88" t="s">
        <v>24</v>
      </c>
      <c r="AB361" s="89">
        <v>1320</v>
      </c>
      <c r="AC361" s="86"/>
      <c r="AD361" s="88"/>
      <c r="AE361" s="89"/>
      <c r="AF361" s="86"/>
      <c r="AG361" s="88"/>
      <c r="AH361" s="89"/>
      <c r="AI361" s="86"/>
      <c r="AJ361" s="88"/>
      <c r="AK361" s="89"/>
      <c r="AL361" s="90">
        <v>6</v>
      </c>
      <c r="AM361" s="91"/>
      <c r="AN361" s="91" t="s">
        <v>472</v>
      </c>
      <c r="AO361" s="243" t="str">
        <f t="shared" si="15"/>
        <v>3UNCERABX8A1475</v>
      </c>
    </row>
    <row r="362" spans="1:41" x14ac:dyDescent="0.15">
      <c r="A362" s="83">
        <v>4114</v>
      </c>
      <c r="B362" s="92">
        <v>272</v>
      </c>
      <c r="C362" s="92"/>
      <c r="D362" s="92" t="s">
        <v>502</v>
      </c>
      <c r="E362" s="92" t="s">
        <v>45</v>
      </c>
      <c r="F362" s="92"/>
      <c r="G362" s="92" t="str">
        <f t="shared" si="16"/>
        <v>3UNCERABX8A14</v>
      </c>
      <c r="H362" s="92" t="s">
        <v>269</v>
      </c>
      <c r="I362" s="92" t="s">
        <v>1550</v>
      </c>
      <c r="J362" s="92" t="s">
        <v>21</v>
      </c>
      <c r="K362" s="92" t="s">
        <v>1561</v>
      </c>
      <c r="L362" s="92" t="s">
        <v>2039</v>
      </c>
      <c r="M362" s="92" t="str">
        <f t="shared" si="17"/>
        <v>3UNCERABX8A14501240</v>
      </c>
      <c r="N362" s="92" t="str">
        <f t="shared" si="18"/>
        <v>3UNCERABX8A1450600</v>
      </c>
      <c r="O362" s="93">
        <v>50</v>
      </c>
      <c r="P362" s="92">
        <v>3</v>
      </c>
      <c r="Q362" s="92" t="s">
        <v>503</v>
      </c>
      <c r="R362" s="93">
        <v>1240</v>
      </c>
      <c r="S362" s="93">
        <v>4200</v>
      </c>
      <c r="T362" s="93">
        <v>600</v>
      </c>
      <c r="U362" s="93">
        <v>600</v>
      </c>
      <c r="V362" s="93">
        <v>2000</v>
      </c>
      <c r="W362" s="84">
        <v>2</v>
      </c>
      <c r="X362" s="85" t="s">
        <v>14</v>
      </c>
      <c r="Y362" s="86" t="s">
        <v>295</v>
      </c>
      <c r="Z362" s="87">
        <v>6</v>
      </c>
      <c r="AA362" s="88" t="s">
        <v>24</v>
      </c>
      <c r="AB362" s="89"/>
      <c r="AC362" s="86"/>
      <c r="AD362" s="88"/>
      <c r="AE362" s="89"/>
      <c r="AF362" s="86"/>
      <c r="AG362" s="88"/>
      <c r="AH362" s="89"/>
      <c r="AI362" s="86"/>
      <c r="AJ362" s="88"/>
      <c r="AK362" s="89"/>
      <c r="AL362" s="90">
        <v>6</v>
      </c>
      <c r="AM362" s="91"/>
      <c r="AN362" s="91" t="s">
        <v>472</v>
      </c>
      <c r="AO362" s="243" t="str">
        <f t="shared" si="15"/>
        <v>3UNCERABX8A1450</v>
      </c>
    </row>
    <row r="363" spans="1:41" x14ac:dyDescent="0.15">
      <c r="A363" s="83">
        <v>4114</v>
      </c>
      <c r="B363" s="92">
        <v>272</v>
      </c>
      <c r="C363" s="92"/>
      <c r="D363" s="92" t="s">
        <v>2155</v>
      </c>
      <c r="E363" s="92" t="s">
        <v>45</v>
      </c>
      <c r="F363" s="92"/>
      <c r="G363" s="92" t="str">
        <f t="shared" si="16"/>
        <v>3UNCERABX8A14</v>
      </c>
      <c r="H363" s="92" t="s">
        <v>269</v>
      </c>
      <c r="I363" s="92" t="s">
        <v>1550</v>
      </c>
      <c r="J363" s="92" t="s">
        <v>21</v>
      </c>
      <c r="K363" s="92" t="s">
        <v>1561</v>
      </c>
      <c r="L363" s="92" t="s">
        <v>2039</v>
      </c>
      <c r="M363" s="92" t="str">
        <f t="shared" si="17"/>
        <v>3UNCERABX8A14381430</v>
      </c>
      <c r="N363" s="92" t="str">
        <f t="shared" si="18"/>
        <v>3UNCERABX8A14381420</v>
      </c>
      <c r="O363" s="93">
        <v>38</v>
      </c>
      <c r="P363" s="92">
        <v>3</v>
      </c>
      <c r="Q363" s="92" t="s">
        <v>2002</v>
      </c>
      <c r="R363" s="93">
        <v>1430</v>
      </c>
      <c r="S363" s="93">
        <v>6000</v>
      </c>
      <c r="T363" s="93">
        <v>1420</v>
      </c>
      <c r="U363" s="93">
        <v>1420</v>
      </c>
      <c r="V363" s="93">
        <v>6000</v>
      </c>
      <c r="W363" s="84">
        <v>2</v>
      </c>
      <c r="X363" s="85" t="s">
        <v>14</v>
      </c>
      <c r="Y363" s="86" t="s">
        <v>487</v>
      </c>
      <c r="Z363" s="87">
        <v>6</v>
      </c>
      <c r="AA363" s="88" t="s">
        <v>24</v>
      </c>
      <c r="AB363" s="89">
        <v>1600</v>
      </c>
      <c r="AC363" s="86"/>
      <c r="AD363" s="88"/>
      <c r="AE363" s="89"/>
      <c r="AF363" s="86"/>
      <c r="AG363" s="88"/>
      <c r="AH363" s="89"/>
      <c r="AI363" s="86"/>
      <c r="AJ363" s="88"/>
      <c r="AK363" s="89"/>
      <c r="AL363" s="90">
        <v>6</v>
      </c>
      <c r="AM363" s="91"/>
      <c r="AN363" s="91" t="s">
        <v>472</v>
      </c>
      <c r="AO363" s="243" t="str">
        <f t="shared" si="15"/>
        <v>3UNCERABX8A1438</v>
      </c>
    </row>
    <row r="364" spans="1:41" x14ac:dyDescent="0.15">
      <c r="A364" s="83">
        <v>4114</v>
      </c>
      <c r="B364" s="92">
        <v>272</v>
      </c>
      <c r="C364" s="92"/>
      <c r="D364" s="92" t="s">
        <v>869</v>
      </c>
      <c r="E364" s="92" t="s">
        <v>45</v>
      </c>
      <c r="F364" s="92"/>
      <c r="G364" s="92" t="str">
        <f t="shared" si="16"/>
        <v>3UNCERABX8A14</v>
      </c>
      <c r="H364" s="92" t="s">
        <v>269</v>
      </c>
      <c r="I364" s="92" t="s">
        <v>1550</v>
      </c>
      <c r="J364" s="92" t="s">
        <v>21</v>
      </c>
      <c r="K364" s="92" t="s">
        <v>1561</v>
      </c>
      <c r="L364" s="92" t="s">
        <v>2039</v>
      </c>
      <c r="M364" s="92" t="str">
        <f t="shared" si="17"/>
        <v>3UNCERABX8A14251110</v>
      </c>
      <c r="N364" s="92" t="str">
        <f t="shared" si="18"/>
        <v>3UNCERABX8A14251100</v>
      </c>
      <c r="O364" s="93">
        <v>25</v>
      </c>
      <c r="P364" s="92">
        <v>3</v>
      </c>
      <c r="Q364" s="92" t="s">
        <v>503</v>
      </c>
      <c r="R364" s="93">
        <v>1110</v>
      </c>
      <c r="S364" s="93">
        <v>12100</v>
      </c>
      <c r="T364" s="93">
        <v>1100</v>
      </c>
      <c r="U364" s="93">
        <v>1100</v>
      </c>
      <c r="V364" s="93">
        <v>4000</v>
      </c>
      <c r="W364" s="84">
        <v>2</v>
      </c>
      <c r="X364" s="85" t="s">
        <v>14</v>
      </c>
      <c r="Y364" s="86" t="s">
        <v>25</v>
      </c>
      <c r="Z364" s="87">
        <v>6</v>
      </c>
      <c r="AA364" s="88" t="s">
        <v>24</v>
      </c>
      <c r="AB364" s="89">
        <v>1450</v>
      </c>
      <c r="AC364" s="86">
        <v>6</v>
      </c>
      <c r="AD364" s="88" t="s">
        <v>266</v>
      </c>
      <c r="AE364" s="89">
        <v>1170</v>
      </c>
      <c r="AF364" s="86"/>
      <c r="AG364" s="88"/>
      <c r="AH364" s="89"/>
      <c r="AI364" s="86"/>
      <c r="AJ364" s="88"/>
      <c r="AK364" s="89"/>
      <c r="AL364" s="90">
        <v>6</v>
      </c>
      <c r="AM364" s="91"/>
      <c r="AN364" s="91" t="s">
        <v>472</v>
      </c>
      <c r="AO364" s="243" t="str">
        <f t="shared" si="15"/>
        <v>3UNCERABX8A1425</v>
      </c>
    </row>
    <row r="365" spans="1:41" x14ac:dyDescent="0.15">
      <c r="A365" s="83">
        <v>4113</v>
      </c>
      <c r="B365" s="92">
        <v>272</v>
      </c>
      <c r="C365" s="92"/>
      <c r="D365" s="92" t="s">
        <v>869</v>
      </c>
      <c r="E365" s="92" t="s">
        <v>45</v>
      </c>
      <c r="F365" s="92"/>
      <c r="G365" s="92" t="str">
        <f t="shared" si="16"/>
        <v>3TNCERABX8A14</v>
      </c>
      <c r="H365" s="92" t="s">
        <v>1648</v>
      </c>
      <c r="I365" s="92" t="s">
        <v>1550</v>
      </c>
      <c r="J365" s="92" t="s">
        <v>21</v>
      </c>
      <c r="K365" s="92" t="s">
        <v>1561</v>
      </c>
      <c r="L365" s="92" t="s">
        <v>2039</v>
      </c>
      <c r="M365" s="92" t="str">
        <f t="shared" si="17"/>
        <v>3TNCERABX8A14251110</v>
      </c>
      <c r="N365" s="92" t="str">
        <f t="shared" si="18"/>
        <v>3TNCERABX8A14251100</v>
      </c>
      <c r="O365" s="93">
        <v>25</v>
      </c>
      <c r="P365" s="92">
        <v>3</v>
      </c>
      <c r="Q365" s="92" t="s">
        <v>503</v>
      </c>
      <c r="R365" s="93">
        <v>1110</v>
      </c>
      <c r="S365" s="93">
        <v>12500</v>
      </c>
      <c r="T365" s="93">
        <v>1100</v>
      </c>
      <c r="U365" s="93">
        <v>1100</v>
      </c>
      <c r="V365" s="93">
        <v>4000</v>
      </c>
      <c r="W365" s="84">
        <v>2</v>
      </c>
      <c r="X365" s="85" t="s">
        <v>14</v>
      </c>
      <c r="Y365" s="86" t="s">
        <v>25</v>
      </c>
      <c r="Z365" s="87">
        <v>6</v>
      </c>
      <c r="AA365" s="88" t="s">
        <v>24</v>
      </c>
      <c r="AB365" s="89">
        <v>1450</v>
      </c>
      <c r="AC365" s="86">
        <v>6</v>
      </c>
      <c r="AD365" s="88" t="s">
        <v>266</v>
      </c>
      <c r="AE365" s="89">
        <v>1170</v>
      </c>
      <c r="AF365" s="86"/>
      <c r="AG365" s="88"/>
      <c r="AH365" s="89"/>
      <c r="AI365" s="86"/>
      <c r="AJ365" s="88"/>
      <c r="AK365" s="89"/>
      <c r="AL365" s="90">
        <v>6</v>
      </c>
      <c r="AM365" s="91"/>
      <c r="AN365" s="91" t="s">
        <v>472</v>
      </c>
      <c r="AO365" s="243" t="str">
        <f t="shared" si="15"/>
        <v>3TNCERABX8A1425</v>
      </c>
    </row>
    <row r="366" spans="1:41" x14ac:dyDescent="0.15">
      <c r="A366" s="83">
        <v>4114</v>
      </c>
      <c r="B366" s="92">
        <v>272</v>
      </c>
      <c r="C366" s="92"/>
      <c r="D366" s="92" t="s">
        <v>869</v>
      </c>
      <c r="E366" s="92" t="s">
        <v>45</v>
      </c>
      <c r="F366" s="92"/>
      <c r="G366" s="92" t="str">
        <f t="shared" si="16"/>
        <v>3UNCERABX8A14</v>
      </c>
      <c r="H366" s="92" t="s">
        <v>269</v>
      </c>
      <c r="I366" s="92" t="s">
        <v>1550</v>
      </c>
      <c r="J366" s="92" t="s">
        <v>21</v>
      </c>
      <c r="K366" s="92" t="s">
        <v>1561</v>
      </c>
      <c r="L366" s="92" t="s">
        <v>2039</v>
      </c>
      <c r="M366" s="92" t="str">
        <f t="shared" si="17"/>
        <v>3UNCERABX8A14251120</v>
      </c>
      <c r="N366" s="92" t="str">
        <f t="shared" si="18"/>
        <v>3UNCERABX8A14251100</v>
      </c>
      <c r="O366" s="93">
        <v>25</v>
      </c>
      <c r="P366" s="92">
        <v>3</v>
      </c>
      <c r="Q366" s="92" t="s">
        <v>503</v>
      </c>
      <c r="R366" s="93">
        <v>1120</v>
      </c>
      <c r="S366" s="93">
        <v>12500</v>
      </c>
      <c r="T366" s="93">
        <v>1100</v>
      </c>
      <c r="U366" s="93">
        <v>1100</v>
      </c>
      <c r="V366" s="93">
        <v>4000</v>
      </c>
      <c r="W366" s="84">
        <v>2</v>
      </c>
      <c r="X366" s="85" t="s">
        <v>14</v>
      </c>
      <c r="Y366" s="86" t="s">
        <v>25</v>
      </c>
      <c r="Z366" s="87">
        <v>6</v>
      </c>
      <c r="AA366" s="88" t="s">
        <v>24</v>
      </c>
      <c r="AB366" s="89">
        <v>1450</v>
      </c>
      <c r="AC366" s="86">
        <v>6</v>
      </c>
      <c r="AD366" s="88" t="s">
        <v>266</v>
      </c>
      <c r="AE366" s="89">
        <v>1170</v>
      </c>
      <c r="AF366" s="86"/>
      <c r="AG366" s="88"/>
      <c r="AH366" s="89"/>
      <c r="AI366" s="86"/>
      <c r="AJ366" s="88"/>
      <c r="AK366" s="89"/>
      <c r="AL366" s="90">
        <v>6</v>
      </c>
      <c r="AM366" s="91"/>
      <c r="AN366" s="91" t="s">
        <v>472</v>
      </c>
      <c r="AO366" s="243" t="str">
        <f t="shared" si="15"/>
        <v>3UNCERABX8A1425</v>
      </c>
    </row>
    <row r="367" spans="1:41" x14ac:dyDescent="0.15">
      <c r="A367" s="83">
        <v>4114</v>
      </c>
      <c r="B367" s="92">
        <v>272</v>
      </c>
      <c r="C367" s="92"/>
      <c r="D367" s="92" t="s">
        <v>274</v>
      </c>
      <c r="E367" s="92" t="s">
        <v>2115</v>
      </c>
      <c r="F367" s="92" t="s">
        <v>184</v>
      </c>
      <c r="G367" s="92" t="str">
        <f t="shared" si="16"/>
        <v>3UNCERAJWZ(B)</v>
      </c>
      <c r="H367" s="92" t="s">
        <v>269</v>
      </c>
      <c r="I367" s="92" t="s">
        <v>1550</v>
      </c>
      <c r="J367" s="92" t="s">
        <v>21</v>
      </c>
      <c r="K367" s="92" t="s">
        <v>2156</v>
      </c>
      <c r="L367" s="92" t="s">
        <v>2157</v>
      </c>
      <c r="M367" s="92" t="str">
        <f t="shared" si="17"/>
        <v>3UNCERAJWZ(B)251270</v>
      </c>
      <c r="N367" s="92" t="str">
        <f t="shared" si="18"/>
        <v>3UNCERAJWZ(B)251120</v>
      </c>
      <c r="O367" s="93">
        <v>25</v>
      </c>
      <c r="P367" s="92">
        <v>3</v>
      </c>
      <c r="Q367" s="92" t="s">
        <v>275</v>
      </c>
      <c r="R367" s="93">
        <v>1270</v>
      </c>
      <c r="S367" s="93">
        <v>6000</v>
      </c>
      <c r="T367" s="93">
        <v>1120</v>
      </c>
      <c r="U367" s="93">
        <v>1120</v>
      </c>
      <c r="V367" s="93">
        <v>2000</v>
      </c>
      <c r="W367" s="84">
        <v>2</v>
      </c>
      <c r="X367" s="85" t="s">
        <v>14</v>
      </c>
      <c r="Y367" s="86" t="s">
        <v>295</v>
      </c>
      <c r="Z367" s="87">
        <v>6</v>
      </c>
      <c r="AA367" s="88" t="s">
        <v>266</v>
      </c>
      <c r="AB367" s="89">
        <v>1450</v>
      </c>
      <c r="AC367" s="86">
        <v>6</v>
      </c>
      <c r="AD367" s="88" t="s">
        <v>266</v>
      </c>
      <c r="AE367" s="89">
        <v>1170</v>
      </c>
      <c r="AF367" s="86"/>
      <c r="AG367" s="88"/>
      <c r="AH367" s="89"/>
      <c r="AI367" s="86"/>
      <c r="AJ367" s="88"/>
      <c r="AK367" s="89"/>
      <c r="AL367" s="90"/>
      <c r="AM367" s="91"/>
      <c r="AN367" s="91" t="s">
        <v>474</v>
      </c>
      <c r="AO367" s="243" t="str">
        <f t="shared" si="15"/>
        <v>3UNCERAJWZ(B)25</v>
      </c>
    </row>
    <row r="368" spans="1:41" x14ac:dyDescent="0.15">
      <c r="A368" s="83">
        <v>4114</v>
      </c>
      <c r="B368" s="92">
        <v>271</v>
      </c>
      <c r="C368" s="92">
        <v>2721</v>
      </c>
      <c r="D368" s="92" t="s">
        <v>106</v>
      </c>
      <c r="E368" s="92" t="s">
        <v>18</v>
      </c>
      <c r="F368" s="92" t="s">
        <v>12</v>
      </c>
      <c r="G368" s="92" t="str">
        <f t="shared" si="16"/>
        <v>3UNCERAJWZ(B)</v>
      </c>
      <c r="H368" s="92" t="s">
        <v>269</v>
      </c>
      <c r="I368" s="92" t="s">
        <v>1550</v>
      </c>
      <c r="J368" s="92" t="s">
        <v>21</v>
      </c>
      <c r="K368" s="92" t="s">
        <v>2156</v>
      </c>
      <c r="L368" s="92" t="s">
        <v>2157</v>
      </c>
      <c r="M368" s="92" t="str">
        <f t="shared" si="17"/>
        <v>3UNCERAJWZ(B)381060</v>
      </c>
      <c r="N368" s="92" t="str">
        <f t="shared" si="18"/>
        <v>3UNCERAJWZ(B)381040</v>
      </c>
      <c r="O368" s="93">
        <v>38</v>
      </c>
      <c r="P368" s="92">
        <v>3</v>
      </c>
      <c r="Q368" s="92" t="s">
        <v>275</v>
      </c>
      <c r="R368" s="93">
        <v>1060</v>
      </c>
      <c r="S368" s="93">
        <v>3000</v>
      </c>
      <c r="T368" s="93">
        <v>1040</v>
      </c>
      <c r="U368" s="93">
        <v>1040</v>
      </c>
      <c r="V368" s="93">
        <v>2800</v>
      </c>
      <c r="W368" s="84">
        <v>2</v>
      </c>
      <c r="X368" s="85" t="s">
        <v>14</v>
      </c>
      <c r="Y368" s="86" t="s">
        <v>487</v>
      </c>
      <c r="Z368" s="87">
        <v>6</v>
      </c>
      <c r="AA368" s="88" t="s">
        <v>24</v>
      </c>
      <c r="AB368" s="89">
        <v>1500</v>
      </c>
      <c r="AC368" s="86"/>
      <c r="AD368" s="88"/>
      <c r="AE368" s="89"/>
      <c r="AF368" s="86"/>
      <c r="AG368" s="88"/>
      <c r="AH368" s="89"/>
      <c r="AI368" s="86"/>
      <c r="AJ368" s="88"/>
      <c r="AK368" s="89"/>
      <c r="AL368" s="90"/>
      <c r="AM368" s="91"/>
      <c r="AN368" s="91" t="s">
        <v>474</v>
      </c>
      <c r="AO368" s="243" t="str">
        <f t="shared" si="15"/>
        <v>3UNCERAJWZ(B)38</v>
      </c>
    </row>
    <row r="369" spans="1:41" x14ac:dyDescent="0.15">
      <c r="A369" s="83">
        <v>4114</v>
      </c>
      <c r="B369" s="92">
        <v>271</v>
      </c>
      <c r="C369" s="92">
        <v>2721</v>
      </c>
      <c r="D369" s="92" t="s">
        <v>106</v>
      </c>
      <c r="E369" s="92" t="s">
        <v>18</v>
      </c>
      <c r="F369" s="92" t="s">
        <v>12</v>
      </c>
      <c r="G369" s="92" t="str">
        <f t="shared" si="16"/>
        <v>3UNCERAJWZ(B)</v>
      </c>
      <c r="H369" s="92" t="s">
        <v>269</v>
      </c>
      <c r="I369" s="92" t="s">
        <v>1550</v>
      </c>
      <c r="J369" s="92" t="s">
        <v>21</v>
      </c>
      <c r="K369" s="92" t="s">
        <v>2156</v>
      </c>
      <c r="L369" s="92" t="s">
        <v>2157</v>
      </c>
      <c r="M369" s="92" t="str">
        <f t="shared" si="17"/>
        <v>3UNCERAJWZ(B)251060</v>
      </c>
      <c r="N369" s="92" t="str">
        <f t="shared" si="18"/>
        <v>3UNCERAJWZ(B)251040</v>
      </c>
      <c r="O369" s="93">
        <v>25</v>
      </c>
      <c r="P369" s="92">
        <v>3</v>
      </c>
      <c r="Q369" s="92" t="s">
        <v>275</v>
      </c>
      <c r="R369" s="93">
        <v>1060</v>
      </c>
      <c r="S369" s="93">
        <v>1200</v>
      </c>
      <c r="T369" s="93">
        <v>1040</v>
      </c>
      <c r="U369" s="93">
        <v>1040</v>
      </c>
      <c r="V369" s="93">
        <v>1000</v>
      </c>
      <c r="W369" s="84">
        <v>2</v>
      </c>
      <c r="X369" s="85" t="s">
        <v>14</v>
      </c>
      <c r="Y369" s="86" t="s">
        <v>487</v>
      </c>
      <c r="Z369" s="87">
        <v>6</v>
      </c>
      <c r="AA369" s="88" t="s">
        <v>24</v>
      </c>
      <c r="AB369" s="89">
        <v>1500</v>
      </c>
      <c r="AC369" s="86"/>
      <c r="AD369" s="88"/>
      <c r="AE369" s="89"/>
      <c r="AF369" s="86"/>
      <c r="AG369" s="88"/>
      <c r="AH369" s="89"/>
      <c r="AI369" s="86"/>
      <c r="AJ369" s="88"/>
      <c r="AK369" s="89"/>
      <c r="AL369" s="90"/>
      <c r="AM369" s="91"/>
      <c r="AN369" s="91" t="s">
        <v>474</v>
      </c>
      <c r="AO369" s="243" t="str">
        <f t="shared" si="15"/>
        <v>3UNCERAJWZ(B)25</v>
      </c>
    </row>
    <row r="370" spans="1:41" x14ac:dyDescent="0.15">
      <c r="A370" s="83">
        <v>4114</v>
      </c>
      <c r="B370" s="92">
        <v>276</v>
      </c>
      <c r="C370" s="92">
        <v>4268</v>
      </c>
      <c r="D370" s="92" t="s">
        <v>601</v>
      </c>
      <c r="E370" s="92" t="s">
        <v>2043</v>
      </c>
      <c r="F370" s="92"/>
      <c r="G370" s="92" t="str">
        <f t="shared" si="16"/>
        <v>3UNCERAJWZK</v>
      </c>
      <c r="H370" s="92" t="s">
        <v>269</v>
      </c>
      <c r="I370" s="92" t="s">
        <v>1550</v>
      </c>
      <c r="J370" s="92" t="s">
        <v>21</v>
      </c>
      <c r="K370" s="92" t="s">
        <v>2158</v>
      </c>
      <c r="L370" s="92" t="s">
        <v>2159</v>
      </c>
      <c r="M370" s="92" t="str">
        <f t="shared" si="17"/>
        <v>3UNCERAJWZK311070</v>
      </c>
      <c r="N370" s="92" t="str">
        <f t="shared" si="18"/>
        <v>3UNCERAJWZK31450</v>
      </c>
      <c r="O370" s="93">
        <v>31</v>
      </c>
      <c r="P370" s="92">
        <v>3</v>
      </c>
      <c r="Q370" s="92" t="s">
        <v>2021</v>
      </c>
      <c r="R370" s="93">
        <v>1070</v>
      </c>
      <c r="S370" s="93">
        <v>3000</v>
      </c>
      <c r="T370" s="93">
        <v>450</v>
      </c>
      <c r="U370" s="93">
        <v>450</v>
      </c>
      <c r="V370" s="93">
        <v>3000</v>
      </c>
      <c r="W370" s="84">
        <v>2</v>
      </c>
      <c r="X370" s="85" t="s">
        <v>14</v>
      </c>
      <c r="Y370" s="86" t="s">
        <v>295</v>
      </c>
      <c r="Z370" s="87">
        <v>6</v>
      </c>
      <c r="AA370" s="88" t="s">
        <v>266</v>
      </c>
      <c r="AB370" s="89">
        <v>1450</v>
      </c>
      <c r="AC370" s="86">
        <v>3</v>
      </c>
      <c r="AD370" s="88" t="s">
        <v>459</v>
      </c>
      <c r="AE370" s="89">
        <v>505</v>
      </c>
      <c r="AF370" s="86"/>
      <c r="AG370" s="88"/>
      <c r="AH370" s="89"/>
      <c r="AI370" s="86"/>
      <c r="AJ370" s="88"/>
      <c r="AK370" s="89"/>
      <c r="AL370" s="90"/>
      <c r="AM370" s="91"/>
      <c r="AN370" s="91" t="s">
        <v>474</v>
      </c>
      <c r="AO370" s="243" t="str">
        <f t="shared" si="15"/>
        <v>3UNCERAJWZK31</v>
      </c>
    </row>
    <row r="371" spans="1:41" x14ac:dyDescent="0.15">
      <c r="A371" s="83">
        <v>4114</v>
      </c>
      <c r="B371" s="92">
        <v>272</v>
      </c>
      <c r="C371" s="92">
        <v>30967</v>
      </c>
      <c r="D371" s="92" t="s">
        <v>682</v>
      </c>
      <c r="E371" s="92"/>
      <c r="F371" s="92"/>
      <c r="G371" s="92" t="str">
        <f t="shared" si="16"/>
        <v>3UNCERAJTK14B</v>
      </c>
      <c r="H371" s="92" t="s">
        <v>269</v>
      </c>
      <c r="I371" s="92" t="s">
        <v>1550</v>
      </c>
      <c r="J371" s="92" t="s">
        <v>21</v>
      </c>
      <c r="K371" s="92" t="s">
        <v>2160</v>
      </c>
      <c r="L371" s="92" t="s">
        <v>2161</v>
      </c>
      <c r="M371" s="92" t="str">
        <f t="shared" si="17"/>
        <v>3UNCERAJTK14B251110</v>
      </c>
      <c r="N371" s="92" t="str">
        <f t="shared" si="18"/>
        <v>3UNCERAJTK14B251100</v>
      </c>
      <c r="O371" s="93">
        <v>25</v>
      </c>
      <c r="P371" s="92">
        <v>3</v>
      </c>
      <c r="Q371" s="92" t="s">
        <v>275</v>
      </c>
      <c r="R371" s="93">
        <v>1110</v>
      </c>
      <c r="S371" s="93">
        <v>5300</v>
      </c>
      <c r="T371" s="93">
        <v>1100</v>
      </c>
      <c r="U371" s="93">
        <v>1100</v>
      </c>
      <c r="V371" s="93">
        <v>2500</v>
      </c>
      <c r="W371" s="84">
        <v>2</v>
      </c>
      <c r="X371" s="85" t="s">
        <v>14</v>
      </c>
      <c r="Y371" s="86" t="s">
        <v>15</v>
      </c>
      <c r="Z371" s="87">
        <v>6</v>
      </c>
      <c r="AA371" s="88" t="s">
        <v>266</v>
      </c>
      <c r="AB371" s="89">
        <v>1450</v>
      </c>
      <c r="AC371" s="86"/>
      <c r="AD371" s="88"/>
      <c r="AE371" s="89"/>
      <c r="AF371" s="86"/>
      <c r="AG371" s="88"/>
      <c r="AH371" s="89"/>
      <c r="AI371" s="86"/>
      <c r="AJ371" s="88"/>
      <c r="AK371" s="89"/>
      <c r="AL371" s="90"/>
      <c r="AM371" s="91"/>
      <c r="AN371" s="91" t="s">
        <v>474</v>
      </c>
      <c r="AO371" s="243" t="str">
        <f t="shared" si="15"/>
        <v>3UNCERAJTK14B25</v>
      </c>
    </row>
    <row r="372" spans="1:41" x14ac:dyDescent="0.15">
      <c r="A372" s="83">
        <v>4114</v>
      </c>
      <c r="B372" s="92">
        <v>272</v>
      </c>
      <c r="C372" s="92">
        <v>30967</v>
      </c>
      <c r="D372" s="92" t="s">
        <v>682</v>
      </c>
      <c r="E372" s="92"/>
      <c r="F372" s="92"/>
      <c r="G372" s="92" t="str">
        <f t="shared" si="16"/>
        <v>3UNCERAJTKE14B</v>
      </c>
      <c r="H372" s="92" t="s">
        <v>269</v>
      </c>
      <c r="I372" s="92" t="s">
        <v>1550</v>
      </c>
      <c r="J372" s="92" t="s">
        <v>21</v>
      </c>
      <c r="K372" s="92" t="s">
        <v>2162</v>
      </c>
      <c r="L372" s="92" t="s">
        <v>2163</v>
      </c>
      <c r="M372" s="92" t="str">
        <f t="shared" si="17"/>
        <v>3UNCERAJTKE14B251110</v>
      </c>
      <c r="N372" s="92" t="str">
        <f t="shared" si="18"/>
        <v>3UNCERAJTKE14B251100</v>
      </c>
      <c r="O372" s="93">
        <v>25</v>
      </c>
      <c r="P372" s="92">
        <v>3</v>
      </c>
      <c r="Q372" s="92" t="s">
        <v>275</v>
      </c>
      <c r="R372" s="93">
        <v>1110</v>
      </c>
      <c r="S372" s="93">
        <v>5300</v>
      </c>
      <c r="T372" s="93">
        <v>1100</v>
      </c>
      <c r="U372" s="93">
        <v>1100</v>
      </c>
      <c r="V372" s="93">
        <v>2500</v>
      </c>
      <c r="W372" s="84">
        <v>2</v>
      </c>
      <c r="X372" s="85" t="s">
        <v>14</v>
      </c>
      <c r="Y372" s="86" t="s">
        <v>25</v>
      </c>
      <c r="Z372" s="87">
        <v>6</v>
      </c>
      <c r="AA372" s="88" t="s">
        <v>266</v>
      </c>
      <c r="AB372" s="89">
        <v>1450</v>
      </c>
      <c r="AC372" s="86">
        <v>6</v>
      </c>
      <c r="AD372" s="88" t="s">
        <v>266</v>
      </c>
      <c r="AE372" s="89">
        <v>1450</v>
      </c>
      <c r="AF372" s="86"/>
      <c r="AG372" s="88"/>
      <c r="AH372" s="89"/>
      <c r="AI372" s="86"/>
      <c r="AJ372" s="88"/>
      <c r="AK372" s="89"/>
      <c r="AL372" s="90"/>
      <c r="AM372" s="91"/>
      <c r="AN372" s="91" t="s">
        <v>474</v>
      </c>
      <c r="AO372" s="243" t="str">
        <f t="shared" si="15"/>
        <v>3UNCERAJTKE14B25</v>
      </c>
    </row>
    <row r="373" spans="1:41" x14ac:dyDescent="0.15">
      <c r="A373" s="83">
        <v>4114</v>
      </c>
      <c r="B373" s="92">
        <v>272</v>
      </c>
      <c r="C373" s="92">
        <v>36882</v>
      </c>
      <c r="D373" s="92" t="s">
        <v>61</v>
      </c>
      <c r="E373" s="92"/>
      <c r="F373" s="92"/>
      <c r="G373" s="92" t="str">
        <f t="shared" si="16"/>
        <v>3UNCERAJTKA16B</v>
      </c>
      <c r="H373" s="92" t="s">
        <v>269</v>
      </c>
      <c r="I373" s="92" t="s">
        <v>1550</v>
      </c>
      <c r="J373" s="92" t="s">
        <v>21</v>
      </c>
      <c r="K373" s="92" t="s">
        <v>2164</v>
      </c>
      <c r="L373" s="92" t="s">
        <v>2165</v>
      </c>
      <c r="M373" s="92" t="str">
        <f t="shared" si="17"/>
        <v>3UNCERAJTKA16B381060</v>
      </c>
      <c r="N373" s="92" t="str">
        <f t="shared" si="18"/>
        <v>3UNCERAJTKA16B381050</v>
      </c>
      <c r="O373" s="93">
        <v>38</v>
      </c>
      <c r="P373" s="92">
        <v>3</v>
      </c>
      <c r="Q373" s="92" t="s">
        <v>275</v>
      </c>
      <c r="R373" s="93">
        <v>1060</v>
      </c>
      <c r="S373" s="93">
        <v>6000</v>
      </c>
      <c r="T373" s="93">
        <v>1050</v>
      </c>
      <c r="U373" s="93">
        <v>1050</v>
      </c>
      <c r="V373" s="93">
        <v>1800</v>
      </c>
      <c r="W373" s="84">
        <v>2</v>
      </c>
      <c r="X373" s="85" t="s">
        <v>14</v>
      </c>
      <c r="Y373" s="86" t="s">
        <v>295</v>
      </c>
      <c r="Z373" s="87">
        <v>6</v>
      </c>
      <c r="AA373" s="88" t="s">
        <v>266</v>
      </c>
      <c r="AB373" s="89">
        <v>1450</v>
      </c>
      <c r="AC373" s="86">
        <v>6</v>
      </c>
      <c r="AD373" s="88" t="s">
        <v>266</v>
      </c>
      <c r="AE373" s="89">
        <v>1450</v>
      </c>
      <c r="AF373" s="86"/>
      <c r="AG373" s="88"/>
      <c r="AH373" s="89"/>
      <c r="AI373" s="86"/>
      <c r="AJ373" s="88"/>
      <c r="AK373" s="89"/>
      <c r="AL373" s="90"/>
      <c r="AM373" s="91"/>
      <c r="AN373" s="91" t="s">
        <v>474</v>
      </c>
      <c r="AO373" s="243" t="str">
        <f t="shared" si="15"/>
        <v>3UNCERAJTKA16B38</v>
      </c>
    </row>
    <row r="374" spans="1:41" x14ac:dyDescent="0.15">
      <c r="A374" s="83">
        <v>4114</v>
      </c>
      <c r="B374" s="92">
        <v>272</v>
      </c>
      <c r="C374" s="92">
        <v>36882</v>
      </c>
      <c r="D374" s="92" t="s">
        <v>61</v>
      </c>
      <c r="E374" s="92"/>
      <c r="F374" s="92"/>
      <c r="G374" s="92" t="str">
        <f t="shared" si="16"/>
        <v>3UNCERAJTKG16B</v>
      </c>
      <c r="H374" s="92" t="s">
        <v>269</v>
      </c>
      <c r="I374" s="92" t="s">
        <v>1550</v>
      </c>
      <c r="J374" s="92" t="s">
        <v>21</v>
      </c>
      <c r="K374" s="92" t="s">
        <v>2166</v>
      </c>
      <c r="L374" s="92" t="s">
        <v>2167</v>
      </c>
      <c r="M374" s="92" t="str">
        <f t="shared" si="17"/>
        <v>3UNCERAJTKG16B381050</v>
      </c>
      <c r="N374" s="92" t="str">
        <f t="shared" si="18"/>
        <v>3UNCERAJTKG16B38400</v>
      </c>
      <c r="O374" s="93">
        <v>38</v>
      </c>
      <c r="P374" s="92">
        <v>3</v>
      </c>
      <c r="Q374" s="92" t="s">
        <v>275</v>
      </c>
      <c r="R374" s="93">
        <v>1050</v>
      </c>
      <c r="S374" s="93">
        <v>6000</v>
      </c>
      <c r="T374" s="93">
        <v>400</v>
      </c>
      <c r="U374" s="93">
        <v>400</v>
      </c>
      <c r="V374" s="93">
        <v>200</v>
      </c>
      <c r="W374" s="84">
        <v>2</v>
      </c>
      <c r="X374" s="85" t="s">
        <v>14</v>
      </c>
      <c r="Y374" s="86" t="s">
        <v>295</v>
      </c>
      <c r="Z374" s="87">
        <v>6</v>
      </c>
      <c r="AA374" s="88" t="s">
        <v>266</v>
      </c>
      <c r="AB374" s="89">
        <v>1450</v>
      </c>
      <c r="AC374" s="86">
        <v>3</v>
      </c>
      <c r="AD374" s="88" t="s">
        <v>459</v>
      </c>
      <c r="AE374" s="89">
        <v>450</v>
      </c>
      <c r="AF374" s="86"/>
      <c r="AG374" s="88"/>
      <c r="AH374" s="89"/>
      <c r="AI374" s="86"/>
      <c r="AJ374" s="88"/>
      <c r="AK374" s="89"/>
      <c r="AL374" s="90"/>
      <c r="AM374" s="91"/>
      <c r="AN374" s="91" t="s">
        <v>474</v>
      </c>
      <c r="AO374" s="243" t="str">
        <f t="shared" si="15"/>
        <v>3UNCERAJTKG16B38</v>
      </c>
    </row>
    <row r="375" spans="1:41" x14ac:dyDescent="0.15">
      <c r="A375" s="83">
        <v>4114</v>
      </c>
      <c r="B375" s="92">
        <v>272</v>
      </c>
      <c r="C375" s="92">
        <v>36882</v>
      </c>
      <c r="D375" s="92" t="s">
        <v>61</v>
      </c>
      <c r="E375" s="92"/>
      <c r="F375" s="92"/>
      <c r="G375" s="92" t="str">
        <f t="shared" si="16"/>
        <v>3UNCERAJTKG16B</v>
      </c>
      <c r="H375" s="92" t="s">
        <v>269</v>
      </c>
      <c r="I375" s="92" t="s">
        <v>1550</v>
      </c>
      <c r="J375" s="92" t="s">
        <v>21</v>
      </c>
      <c r="K375" s="92" t="s">
        <v>2166</v>
      </c>
      <c r="L375" s="92" t="s">
        <v>2167</v>
      </c>
      <c r="M375" s="92" t="str">
        <f t="shared" si="17"/>
        <v>3UNCERAJTKG16B381050</v>
      </c>
      <c r="N375" s="92" t="str">
        <f t="shared" si="18"/>
        <v>3UNCERAJTKG16B38300</v>
      </c>
      <c r="O375" s="93">
        <v>38</v>
      </c>
      <c r="P375" s="92">
        <v>3</v>
      </c>
      <c r="Q375" s="92" t="s">
        <v>275</v>
      </c>
      <c r="R375" s="93">
        <v>1050</v>
      </c>
      <c r="S375" s="93">
        <v>6000</v>
      </c>
      <c r="T375" s="93">
        <v>300</v>
      </c>
      <c r="U375" s="93">
        <v>300</v>
      </c>
      <c r="V375" s="93">
        <v>200</v>
      </c>
      <c r="W375" s="84">
        <v>2</v>
      </c>
      <c r="X375" s="85" t="s">
        <v>14</v>
      </c>
      <c r="Y375" s="86" t="s">
        <v>295</v>
      </c>
      <c r="Z375" s="87">
        <v>6</v>
      </c>
      <c r="AA375" s="88" t="s">
        <v>266</v>
      </c>
      <c r="AB375" s="89">
        <v>1450</v>
      </c>
      <c r="AC375" s="86">
        <v>3</v>
      </c>
      <c r="AD375" s="88" t="s">
        <v>459</v>
      </c>
      <c r="AE375" s="89">
        <v>322</v>
      </c>
      <c r="AF375" s="86"/>
      <c r="AG375" s="88"/>
      <c r="AH375" s="89"/>
      <c r="AI375" s="86"/>
      <c r="AJ375" s="88"/>
      <c r="AK375" s="89"/>
      <c r="AL375" s="90"/>
      <c r="AM375" s="91"/>
      <c r="AN375" s="91" t="s">
        <v>474</v>
      </c>
      <c r="AO375" s="243" t="str">
        <f t="shared" si="15"/>
        <v>3UNCERAJTKG16B38</v>
      </c>
    </row>
    <row r="376" spans="1:41" x14ac:dyDescent="0.15">
      <c r="A376" s="83">
        <v>4114</v>
      </c>
      <c r="B376" s="92">
        <v>271</v>
      </c>
      <c r="C376" s="92">
        <v>3621</v>
      </c>
      <c r="D376" s="92" t="s">
        <v>276</v>
      </c>
      <c r="E376" s="92" t="s">
        <v>18</v>
      </c>
      <c r="F376" s="92" t="s">
        <v>184</v>
      </c>
      <c r="G376" s="92" t="str">
        <f t="shared" si="16"/>
        <v>3UNCERABKE24</v>
      </c>
      <c r="H376" s="92" t="s">
        <v>269</v>
      </c>
      <c r="I376" s="92" t="s">
        <v>20</v>
      </c>
      <c r="J376" s="92" t="s">
        <v>21</v>
      </c>
      <c r="K376" s="92" t="s">
        <v>277</v>
      </c>
      <c r="L376" s="92" t="s">
        <v>278</v>
      </c>
      <c r="M376" s="92" t="str">
        <f t="shared" si="17"/>
        <v>3UNCERABKE24381335</v>
      </c>
      <c r="N376" s="92" t="str">
        <f t="shared" si="18"/>
        <v>3UNCERABKE24381330</v>
      </c>
      <c r="O376" s="93">
        <v>38</v>
      </c>
      <c r="P376" s="92">
        <v>3</v>
      </c>
      <c r="Q376" s="92" t="s">
        <v>279</v>
      </c>
      <c r="R376" s="93">
        <v>1335</v>
      </c>
      <c r="S376" s="93">
        <v>6100</v>
      </c>
      <c r="T376" s="93">
        <v>1330</v>
      </c>
      <c r="U376" s="93">
        <v>1330</v>
      </c>
      <c r="V376" s="93">
        <v>6000</v>
      </c>
      <c r="W376" s="84">
        <v>2</v>
      </c>
      <c r="X376" s="85" t="s">
        <v>14</v>
      </c>
      <c r="Y376" s="86" t="s">
        <v>15</v>
      </c>
      <c r="Z376" s="87">
        <v>6</v>
      </c>
      <c r="AA376" s="88" t="s">
        <v>266</v>
      </c>
      <c r="AB376" s="89">
        <v>1450</v>
      </c>
      <c r="AC376" s="86"/>
      <c r="AD376" s="88"/>
      <c r="AE376" s="89"/>
      <c r="AF376" s="86"/>
      <c r="AG376" s="88"/>
      <c r="AH376" s="89"/>
      <c r="AI376" s="86"/>
      <c r="AJ376" s="88"/>
      <c r="AK376" s="89"/>
      <c r="AL376" s="90"/>
      <c r="AM376" s="91"/>
      <c r="AN376" s="91" t="s">
        <v>472</v>
      </c>
      <c r="AO376" s="243" t="str">
        <f t="shared" si="15"/>
        <v>3UNCERABKE2438</v>
      </c>
    </row>
    <row r="377" spans="1:41" x14ac:dyDescent="0.15">
      <c r="A377" s="83">
        <v>4114</v>
      </c>
      <c r="B377" s="92">
        <v>271</v>
      </c>
      <c r="C377" s="92"/>
      <c r="D377" s="92" t="s">
        <v>280</v>
      </c>
      <c r="E377" s="92" t="s">
        <v>18</v>
      </c>
      <c r="F377" s="92" t="s">
        <v>184</v>
      </c>
      <c r="G377" s="92" t="str">
        <f t="shared" si="16"/>
        <v>3UNCERABX8A40</v>
      </c>
      <c r="H377" s="92" t="s">
        <v>269</v>
      </c>
      <c r="I377" s="92" t="s">
        <v>20</v>
      </c>
      <c r="J377" s="92" t="s">
        <v>21</v>
      </c>
      <c r="K377" s="92" t="s">
        <v>281</v>
      </c>
      <c r="L377" s="92" t="s">
        <v>282</v>
      </c>
      <c r="M377" s="92" t="str">
        <f t="shared" si="17"/>
        <v>3UNCERABX8A40751100</v>
      </c>
      <c r="N377" s="92" t="str">
        <f t="shared" si="18"/>
        <v>3UNCERABX8A40751090</v>
      </c>
      <c r="O377" s="93">
        <v>75</v>
      </c>
      <c r="P377" s="92">
        <v>3</v>
      </c>
      <c r="Q377" s="92" t="s">
        <v>283</v>
      </c>
      <c r="R377" s="93">
        <v>1100</v>
      </c>
      <c r="S377" s="93">
        <v>4200</v>
      </c>
      <c r="T377" s="93">
        <v>1090</v>
      </c>
      <c r="U377" s="93">
        <v>1090</v>
      </c>
      <c r="V377" s="93">
        <v>4000</v>
      </c>
      <c r="W377" s="84">
        <v>2</v>
      </c>
      <c r="X377" s="85" t="s">
        <v>14</v>
      </c>
      <c r="Y377" s="86" t="s">
        <v>15</v>
      </c>
      <c r="Z377" s="87">
        <v>6</v>
      </c>
      <c r="AA377" s="88" t="s">
        <v>266</v>
      </c>
      <c r="AB377" s="89">
        <v>1170</v>
      </c>
      <c r="AC377" s="86"/>
      <c r="AD377" s="88"/>
      <c r="AE377" s="89"/>
      <c r="AF377" s="86"/>
      <c r="AG377" s="88"/>
      <c r="AH377" s="89"/>
      <c r="AI377" s="86"/>
      <c r="AJ377" s="88"/>
      <c r="AK377" s="89"/>
      <c r="AL377" s="90">
        <v>6</v>
      </c>
      <c r="AM377" s="91"/>
      <c r="AN377" s="91" t="s">
        <v>472</v>
      </c>
      <c r="AO377" s="243" t="str">
        <f t="shared" si="15"/>
        <v>3UNCERABX8A4075</v>
      </c>
    </row>
    <row r="378" spans="1:41" x14ac:dyDescent="0.15">
      <c r="A378" s="83">
        <v>4114</v>
      </c>
      <c r="B378" s="92">
        <v>271</v>
      </c>
      <c r="C378" s="92">
        <v>3621</v>
      </c>
      <c r="D378" s="92" t="s">
        <v>276</v>
      </c>
      <c r="E378" s="92" t="s">
        <v>18</v>
      </c>
      <c r="F378" s="92" t="s">
        <v>184</v>
      </c>
      <c r="G378" s="92" t="str">
        <f t="shared" si="16"/>
        <v>3UNCERABX8A33</v>
      </c>
      <c r="H378" s="92" t="s">
        <v>269</v>
      </c>
      <c r="I378" s="92" t="s">
        <v>20</v>
      </c>
      <c r="J378" s="92" t="s">
        <v>21</v>
      </c>
      <c r="K378" s="92" t="s">
        <v>2168</v>
      </c>
      <c r="L378" s="92" t="s">
        <v>284</v>
      </c>
      <c r="M378" s="92" t="str">
        <f t="shared" si="17"/>
        <v>3UNCERABX8A33751245</v>
      </c>
      <c r="N378" s="92" t="str">
        <f t="shared" si="18"/>
        <v>3UNCERABX8A33751240</v>
      </c>
      <c r="O378" s="93">
        <v>75</v>
      </c>
      <c r="P378" s="92">
        <v>3</v>
      </c>
      <c r="Q378" s="92" t="s">
        <v>285</v>
      </c>
      <c r="R378" s="93">
        <v>1245</v>
      </c>
      <c r="S378" s="93">
        <v>4200</v>
      </c>
      <c r="T378" s="93">
        <v>1240</v>
      </c>
      <c r="U378" s="93">
        <v>1240</v>
      </c>
      <c r="V378" s="93">
        <v>2000</v>
      </c>
      <c r="W378" s="84">
        <v>2</v>
      </c>
      <c r="X378" s="85" t="s">
        <v>14</v>
      </c>
      <c r="Y378" s="86" t="s">
        <v>15</v>
      </c>
      <c r="Z378" s="87">
        <v>6</v>
      </c>
      <c r="AA378" s="88" t="s">
        <v>266</v>
      </c>
      <c r="AB378" s="89">
        <v>1450</v>
      </c>
      <c r="AC378" s="86"/>
      <c r="AD378" s="88"/>
      <c r="AE378" s="89"/>
      <c r="AF378" s="86"/>
      <c r="AG378" s="88"/>
      <c r="AH378" s="89"/>
      <c r="AI378" s="86"/>
      <c r="AJ378" s="88"/>
      <c r="AK378" s="89"/>
      <c r="AL378" s="90">
        <v>6</v>
      </c>
      <c r="AM378" s="91"/>
      <c r="AN378" s="91" t="s">
        <v>472</v>
      </c>
      <c r="AO378" s="243" t="str">
        <f t="shared" si="15"/>
        <v>3UNCERABX8A3375</v>
      </c>
    </row>
    <row r="379" spans="1:41" x14ac:dyDescent="0.15">
      <c r="A379" s="83">
        <v>4114</v>
      </c>
      <c r="B379" s="92">
        <v>271</v>
      </c>
      <c r="C379" s="92">
        <v>3621</v>
      </c>
      <c r="D379" s="92" t="s">
        <v>276</v>
      </c>
      <c r="E379" s="92" t="s">
        <v>18</v>
      </c>
      <c r="F379" s="92" t="s">
        <v>184</v>
      </c>
      <c r="G379" s="92" t="str">
        <f t="shared" si="16"/>
        <v>3UNCERABX8A33</v>
      </c>
      <c r="H379" s="92" t="s">
        <v>269</v>
      </c>
      <c r="I379" s="92" t="s">
        <v>20</v>
      </c>
      <c r="J379" s="92" t="s">
        <v>21</v>
      </c>
      <c r="K379" s="92" t="s">
        <v>2168</v>
      </c>
      <c r="L379" s="92" t="s">
        <v>284</v>
      </c>
      <c r="M379" s="92" t="str">
        <f t="shared" si="17"/>
        <v>3UNCERABX8A33751340</v>
      </c>
      <c r="N379" s="92" t="str">
        <f t="shared" si="18"/>
        <v>3UNCERABX8A33751330</v>
      </c>
      <c r="O379" s="93">
        <v>75</v>
      </c>
      <c r="P379" s="92">
        <v>3</v>
      </c>
      <c r="Q379" s="92" t="s">
        <v>285</v>
      </c>
      <c r="R379" s="93">
        <v>1340</v>
      </c>
      <c r="S379" s="93">
        <v>4200</v>
      </c>
      <c r="T379" s="93">
        <v>1330</v>
      </c>
      <c r="U379" s="93">
        <v>1330</v>
      </c>
      <c r="V379" s="93">
        <v>2000</v>
      </c>
      <c r="W379" s="84">
        <v>2</v>
      </c>
      <c r="X379" s="85" t="s">
        <v>14</v>
      </c>
      <c r="Y379" s="86" t="s">
        <v>15</v>
      </c>
      <c r="Z379" s="87">
        <v>6</v>
      </c>
      <c r="AA379" s="88" t="s">
        <v>266</v>
      </c>
      <c r="AB379" s="89">
        <v>1450</v>
      </c>
      <c r="AC379" s="86"/>
      <c r="AD379" s="88"/>
      <c r="AE379" s="89"/>
      <c r="AF379" s="86"/>
      <c r="AG379" s="88"/>
      <c r="AH379" s="89"/>
      <c r="AI379" s="86"/>
      <c r="AJ379" s="88"/>
      <c r="AK379" s="89"/>
      <c r="AL379" s="90">
        <v>6</v>
      </c>
      <c r="AM379" s="91"/>
      <c r="AN379" s="91" t="s">
        <v>472</v>
      </c>
      <c r="AO379" s="243" t="str">
        <f t="shared" si="15"/>
        <v>3UNCERABX8A3375</v>
      </c>
    </row>
    <row r="380" spans="1:41" x14ac:dyDescent="0.15">
      <c r="A380" s="83">
        <v>4114</v>
      </c>
      <c r="B380" s="92">
        <v>271</v>
      </c>
      <c r="C380" s="92">
        <v>3621</v>
      </c>
      <c r="D380" s="92" t="s">
        <v>276</v>
      </c>
      <c r="E380" s="92" t="s">
        <v>18</v>
      </c>
      <c r="F380" s="92" t="s">
        <v>184</v>
      </c>
      <c r="G380" s="92" t="str">
        <f t="shared" si="16"/>
        <v>3UNCERABX8A26</v>
      </c>
      <c r="H380" s="92" t="s">
        <v>269</v>
      </c>
      <c r="I380" s="92" t="s">
        <v>20</v>
      </c>
      <c r="J380" s="92" t="s">
        <v>21</v>
      </c>
      <c r="K380" s="92" t="s">
        <v>2169</v>
      </c>
      <c r="L380" s="92" t="s">
        <v>2170</v>
      </c>
      <c r="M380" s="92" t="str">
        <f t="shared" si="17"/>
        <v>3UNCERABX8A26381260</v>
      </c>
      <c r="N380" s="92" t="str">
        <f t="shared" si="18"/>
        <v>3UNCERABX8A26381250</v>
      </c>
      <c r="O380" s="93">
        <v>38</v>
      </c>
      <c r="P380" s="92">
        <v>3</v>
      </c>
      <c r="Q380" s="92" t="s">
        <v>2011</v>
      </c>
      <c r="R380" s="93">
        <v>1260</v>
      </c>
      <c r="S380" s="93">
        <v>12200</v>
      </c>
      <c r="T380" s="93">
        <v>1250</v>
      </c>
      <c r="U380" s="93">
        <v>1250</v>
      </c>
      <c r="V380" s="93">
        <v>7000</v>
      </c>
      <c r="W380" s="84">
        <v>2</v>
      </c>
      <c r="X380" s="85" t="s">
        <v>14</v>
      </c>
      <c r="Y380" s="86" t="s">
        <v>15</v>
      </c>
      <c r="Z380" s="87">
        <v>6</v>
      </c>
      <c r="AA380" s="88" t="s">
        <v>266</v>
      </c>
      <c r="AB380" s="89">
        <v>1450</v>
      </c>
      <c r="AC380" s="86"/>
      <c r="AD380" s="88"/>
      <c r="AE380" s="89"/>
      <c r="AF380" s="86"/>
      <c r="AG380" s="88"/>
      <c r="AH380" s="89"/>
      <c r="AI380" s="86"/>
      <c r="AJ380" s="88"/>
      <c r="AK380" s="89"/>
      <c r="AL380" s="90">
        <v>6</v>
      </c>
      <c r="AM380" s="91"/>
      <c r="AN380" s="91" t="s">
        <v>472</v>
      </c>
      <c r="AO380" s="243" t="str">
        <f t="shared" si="15"/>
        <v>3UNCERABX8A2638</v>
      </c>
    </row>
    <row r="381" spans="1:41" x14ac:dyDescent="0.15">
      <c r="A381" s="83">
        <v>4114</v>
      </c>
      <c r="B381" s="92">
        <v>271</v>
      </c>
      <c r="C381" s="92">
        <v>380604</v>
      </c>
      <c r="D381" s="92" t="s">
        <v>17</v>
      </c>
      <c r="E381" s="92" t="s">
        <v>18</v>
      </c>
      <c r="F381" s="92" t="s">
        <v>26</v>
      </c>
      <c r="G381" s="92" t="str">
        <f t="shared" si="16"/>
        <v>3UNCERABX8AD</v>
      </c>
      <c r="H381" s="92" t="s">
        <v>1657</v>
      </c>
      <c r="I381" s="92" t="s">
        <v>20</v>
      </c>
      <c r="J381" s="92" t="s">
        <v>21</v>
      </c>
      <c r="K381" s="92" t="s">
        <v>2034</v>
      </c>
      <c r="L381" s="92" t="s">
        <v>2035</v>
      </c>
      <c r="M381" s="92" t="str">
        <f t="shared" si="17"/>
        <v>3UNCERABX8AD751335</v>
      </c>
      <c r="N381" s="92" t="str">
        <f t="shared" si="18"/>
        <v>3UNCERABX8AD751330</v>
      </c>
      <c r="O381" s="93">
        <v>75</v>
      </c>
      <c r="P381" s="92">
        <v>3</v>
      </c>
      <c r="Q381" s="92" t="s">
        <v>55</v>
      </c>
      <c r="R381" s="93">
        <v>1335</v>
      </c>
      <c r="S381" s="93">
        <v>5200</v>
      </c>
      <c r="T381" s="93">
        <v>1335</v>
      </c>
      <c r="U381" s="93">
        <v>1330</v>
      </c>
      <c r="V381" s="93">
        <v>5000</v>
      </c>
      <c r="W381" s="84">
        <v>2</v>
      </c>
      <c r="X381" s="85" t="s">
        <v>14</v>
      </c>
      <c r="Y381" s="86" t="s">
        <v>15</v>
      </c>
      <c r="Z381" s="87">
        <v>6</v>
      </c>
      <c r="AA381" s="88" t="s">
        <v>24</v>
      </c>
      <c r="AB381" s="89">
        <v>1450</v>
      </c>
      <c r="AC381" s="86">
        <v>6</v>
      </c>
      <c r="AD381" s="88" t="s">
        <v>24</v>
      </c>
      <c r="AE381" s="89">
        <v>1450</v>
      </c>
      <c r="AF381" s="86"/>
      <c r="AG381" s="88"/>
      <c r="AH381" s="89"/>
      <c r="AI381" s="86"/>
      <c r="AJ381" s="88"/>
      <c r="AK381" s="89"/>
      <c r="AL381" s="90">
        <v>6</v>
      </c>
      <c r="AM381" s="91"/>
      <c r="AN381" s="91" t="s">
        <v>472</v>
      </c>
      <c r="AO381" s="243" t="str">
        <f t="shared" si="15"/>
        <v>3UNCERABX8AD75</v>
      </c>
    </row>
    <row r="382" spans="1:41" x14ac:dyDescent="0.15">
      <c r="A382" s="83">
        <v>4113</v>
      </c>
      <c r="B382" s="92">
        <v>272</v>
      </c>
      <c r="C382" s="92">
        <v>36882</v>
      </c>
      <c r="D382" s="92" t="s">
        <v>61</v>
      </c>
      <c r="E382" s="92" t="s">
        <v>45</v>
      </c>
      <c r="F382" s="92" t="s">
        <v>26</v>
      </c>
      <c r="G382" s="92" t="str">
        <f t="shared" si="16"/>
        <v>3UNCERABX8A07</v>
      </c>
      <c r="H382" s="92" t="s">
        <v>269</v>
      </c>
      <c r="I382" s="92" t="s">
        <v>20</v>
      </c>
      <c r="J382" s="92" t="s">
        <v>21</v>
      </c>
      <c r="K382" s="92" t="s">
        <v>286</v>
      </c>
      <c r="L382" s="92" t="s">
        <v>287</v>
      </c>
      <c r="M382" s="92" t="str">
        <f t="shared" si="17"/>
        <v>3UNCERABX8A07751100</v>
      </c>
      <c r="N382" s="92" t="str">
        <f t="shared" si="18"/>
        <v>3UNCERABX8A07751090</v>
      </c>
      <c r="O382" s="93">
        <v>75</v>
      </c>
      <c r="P382" s="92">
        <v>3</v>
      </c>
      <c r="Q382" s="92" t="s">
        <v>288</v>
      </c>
      <c r="R382" s="93">
        <v>1100</v>
      </c>
      <c r="S382" s="93">
        <v>4400</v>
      </c>
      <c r="T382" s="93">
        <v>1090</v>
      </c>
      <c r="U382" s="93">
        <v>1090</v>
      </c>
      <c r="V382" s="93">
        <v>2000</v>
      </c>
      <c r="W382" s="84">
        <v>2</v>
      </c>
      <c r="X382" s="85" t="s">
        <v>14</v>
      </c>
      <c r="Y382" s="86" t="s">
        <v>15</v>
      </c>
      <c r="Z382" s="87">
        <v>6</v>
      </c>
      <c r="AA382" s="88" t="s">
        <v>266</v>
      </c>
      <c r="AB382" s="89">
        <v>1450</v>
      </c>
      <c r="AC382" s="86"/>
      <c r="AD382" s="88"/>
      <c r="AE382" s="89"/>
      <c r="AF382" s="86"/>
      <c r="AG382" s="88"/>
      <c r="AH382" s="89"/>
      <c r="AI382" s="86"/>
      <c r="AJ382" s="88"/>
      <c r="AK382" s="89"/>
      <c r="AL382" s="90">
        <v>6</v>
      </c>
      <c r="AM382" s="91"/>
      <c r="AN382" s="91" t="s">
        <v>472</v>
      </c>
      <c r="AO382" s="243" t="str">
        <f t="shared" si="15"/>
        <v>3UNCERABX8A0775</v>
      </c>
    </row>
    <row r="383" spans="1:41" x14ac:dyDescent="0.15">
      <c r="A383" s="83">
        <v>4114</v>
      </c>
      <c r="B383" s="92">
        <v>277</v>
      </c>
      <c r="C383" s="92"/>
      <c r="D383" s="92" t="s">
        <v>870</v>
      </c>
      <c r="E383" s="92"/>
      <c r="F383" s="92"/>
      <c r="G383" s="92" t="str">
        <f t="shared" si="16"/>
        <v>3UNCERABX8A01</v>
      </c>
      <c r="H383" s="92" t="s">
        <v>269</v>
      </c>
      <c r="I383" s="92" t="s">
        <v>20</v>
      </c>
      <c r="J383" s="92" t="s">
        <v>21</v>
      </c>
      <c r="K383" s="92" t="s">
        <v>2171</v>
      </c>
      <c r="L383" s="92" t="s">
        <v>2172</v>
      </c>
      <c r="M383" s="92" t="str">
        <f t="shared" si="17"/>
        <v>3UNCERABX8A01381100</v>
      </c>
      <c r="N383" s="92" t="str">
        <f t="shared" si="18"/>
        <v>3UNCERABX8A0138400</v>
      </c>
      <c r="O383" s="93">
        <v>38</v>
      </c>
      <c r="P383" s="92">
        <v>3</v>
      </c>
      <c r="Q383" s="92" t="s">
        <v>680</v>
      </c>
      <c r="R383" s="93">
        <v>1100</v>
      </c>
      <c r="S383" s="93">
        <v>3650</v>
      </c>
      <c r="T383" s="93">
        <v>400</v>
      </c>
      <c r="U383" s="93">
        <v>400</v>
      </c>
      <c r="V383" s="93">
        <v>1000</v>
      </c>
      <c r="W383" s="84">
        <v>2</v>
      </c>
      <c r="X383" s="85" t="s">
        <v>14</v>
      </c>
      <c r="Y383" s="86" t="s">
        <v>295</v>
      </c>
      <c r="Z383" s="87">
        <v>6</v>
      </c>
      <c r="AA383" s="88" t="s">
        <v>266</v>
      </c>
      <c r="AB383" s="89">
        <v>1450</v>
      </c>
      <c r="AC383" s="86">
        <v>3</v>
      </c>
      <c r="AD383" s="88" t="s">
        <v>459</v>
      </c>
      <c r="AE383" s="89">
        <v>422</v>
      </c>
      <c r="AF383" s="86"/>
      <c r="AG383" s="88"/>
      <c r="AH383" s="89"/>
      <c r="AI383" s="86"/>
      <c r="AJ383" s="88"/>
      <c r="AK383" s="89"/>
      <c r="AL383" s="90">
        <v>6</v>
      </c>
      <c r="AM383" s="91"/>
      <c r="AN383" s="91" t="s">
        <v>472</v>
      </c>
      <c r="AO383" s="243" t="str">
        <f t="shared" si="15"/>
        <v>3UNCERABX8A0138</v>
      </c>
    </row>
    <row r="384" spans="1:41" x14ac:dyDescent="0.15">
      <c r="A384" s="83">
        <v>4114</v>
      </c>
      <c r="B384" s="92">
        <v>277</v>
      </c>
      <c r="C384" s="92"/>
      <c r="D384" s="92" t="s">
        <v>575</v>
      </c>
      <c r="E384" s="92"/>
      <c r="F384" s="92"/>
      <c r="G384" s="92" t="str">
        <f t="shared" si="16"/>
        <v>3UYCERABX9A09</v>
      </c>
      <c r="H384" s="92" t="s">
        <v>269</v>
      </c>
      <c r="I384" s="92" t="s">
        <v>2031</v>
      </c>
      <c r="J384" s="92" t="s">
        <v>21</v>
      </c>
      <c r="K384" s="92" t="s">
        <v>2173</v>
      </c>
      <c r="L384" s="92" t="s">
        <v>2174</v>
      </c>
      <c r="M384" s="92" t="str">
        <f t="shared" si="17"/>
        <v>3UYCERABX9A09501110</v>
      </c>
      <c r="N384" s="92" t="str">
        <f t="shared" si="18"/>
        <v>3UYCERABX9A0950500</v>
      </c>
      <c r="O384" s="93">
        <v>50</v>
      </c>
      <c r="P384" s="92">
        <v>3</v>
      </c>
      <c r="Q384" s="92" t="s">
        <v>486</v>
      </c>
      <c r="R384" s="93">
        <v>1110</v>
      </c>
      <c r="S384" s="93">
        <v>4200</v>
      </c>
      <c r="T384" s="93">
        <v>500</v>
      </c>
      <c r="U384" s="93">
        <v>500</v>
      </c>
      <c r="V384" s="93">
        <v>1000</v>
      </c>
      <c r="W384" s="84">
        <v>2</v>
      </c>
      <c r="X384" s="85" t="s">
        <v>14</v>
      </c>
      <c r="Y384" s="86" t="s">
        <v>295</v>
      </c>
      <c r="Z384" s="87">
        <v>6</v>
      </c>
      <c r="AA384" s="88" t="s">
        <v>266</v>
      </c>
      <c r="AB384" s="89">
        <v>1450</v>
      </c>
      <c r="AC384" s="86">
        <v>3</v>
      </c>
      <c r="AD384" s="88" t="s">
        <v>459</v>
      </c>
      <c r="AE384" s="89">
        <v>505</v>
      </c>
      <c r="AF384" s="86"/>
      <c r="AG384" s="88"/>
      <c r="AH384" s="89"/>
      <c r="AI384" s="86"/>
      <c r="AJ384" s="88"/>
      <c r="AK384" s="89"/>
      <c r="AL384" s="90">
        <v>6</v>
      </c>
      <c r="AM384" s="91"/>
      <c r="AN384" s="91" t="s">
        <v>472</v>
      </c>
      <c r="AO384" s="243" t="str">
        <f t="shared" si="15"/>
        <v>3UYCERABX9A0950</v>
      </c>
    </row>
    <row r="385" spans="1:41" x14ac:dyDescent="0.15">
      <c r="A385" s="83">
        <v>4114</v>
      </c>
      <c r="B385" s="92">
        <v>277</v>
      </c>
      <c r="C385" s="92"/>
      <c r="D385" s="92" t="s">
        <v>575</v>
      </c>
      <c r="E385" s="92"/>
      <c r="F385" s="92"/>
      <c r="G385" s="92" t="str">
        <f t="shared" si="16"/>
        <v>3UYCERABX9A09</v>
      </c>
      <c r="H385" s="92" t="s">
        <v>269</v>
      </c>
      <c r="I385" s="92" t="s">
        <v>2031</v>
      </c>
      <c r="J385" s="92" t="s">
        <v>21</v>
      </c>
      <c r="K385" s="92" t="s">
        <v>2173</v>
      </c>
      <c r="L385" s="92" t="s">
        <v>2174</v>
      </c>
      <c r="M385" s="92" t="str">
        <f t="shared" si="17"/>
        <v>3UYCERABX9A09501110</v>
      </c>
      <c r="N385" s="92" t="str">
        <f t="shared" si="18"/>
        <v>3UYCERABX9A0950500</v>
      </c>
      <c r="O385" s="93">
        <v>50</v>
      </c>
      <c r="P385" s="92">
        <v>3</v>
      </c>
      <c r="Q385" s="92" t="s">
        <v>486</v>
      </c>
      <c r="R385" s="93">
        <v>1110</v>
      </c>
      <c r="S385" s="93">
        <v>4200</v>
      </c>
      <c r="T385" s="93">
        <v>500</v>
      </c>
      <c r="U385" s="93">
        <v>500</v>
      </c>
      <c r="V385" s="93">
        <v>500</v>
      </c>
      <c r="W385" s="84">
        <v>2</v>
      </c>
      <c r="X385" s="85" t="s">
        <v>14</v>
      </c>
      <c r="Y385" s="86" t="s">
        <v>295</v>
      </c>
      <c r="Z385" s="87">
        <v>6</v>
      </c>
      <c r="AA385" s="88" t="s">
        <v>266</v>
      </c>
      <c r="AB385" s="89">
        <v>1450</v>
      </c>
      <c r="AC385" s="86">
        <v>3</v>
      </c>
      <c r="AD385" s="88" t="s">
        <v>459</v>
      </c>
      <c r="AE385" s="89">
        <v>505</v>
      </c>
      <c r="AF385" s="86"/>
      <c r="AG385" s="88"/>
      <c r="AH385" s="89"/>
      <c r="AI385" s="86"/>
      <c r="AJ385" s="88"/>
      <c r="AK385" s="89"/>
      <c r="AL385" s="90">
        <v>6</v>
      </c>
      <c r="AM385" s="91"/>
      <c r="AN385" s="91" t="s">
        <v>472</v>
      </c>
      <c r="AO385" s="243" t="str">
        <f t="shared" si="15"/>
        <v>3UYCERABX9A0950</v>
      </c>
    </row>
    <row r="386" spans="1:41" x14ac:dyDescent="0.15">
      <c r="A386" s="83">
        <v>4114</v>
      </c>
      <c r="B386" s="92">
        <v>277</v>
      </c>
      <c r="C386" s="92"/>
      <c r="D386" s="92" t="s">
        <v>575</v>
      </c>
      <c r="E386" s="92"/>
      <c r="F386" s="92"/>
      <c r="G386" s="92" t="str">
        <f t="shared" si="16"/>
        <v>3UYCERABX9A09</v>
      </c>
      <c r="H386" s="92" t="s">
        <v>269</v>
      </c>
      <c r="I386" s="92" t="s">
        <v>2031</v>
      </c>
      <c r="J386" s="92" t="s">
        <v>21</v>
      </c>
      <c r="K386" s="92" t="s">
        <v>2173</v>
      </c>
      <c r="L386" s="92" t="s">
        <v>2174</v>
      </c>
      <c r="M386" s="92" t="str">
        <f t="shared" si="17"/>
        <v>3UYCERABX9A09501050</v>
      </c>
      <c r="N386" s="92" t="str">
        <f t="shared" si="18"/>
        <v>3UYCERABX9A09501000</v>
      </c>
      <c r="O386" s="93">
        <v>50</v>
      </c>
      <c r="P386" s="92">
        <v>3</v>
      </c>
      <c r="Q386" s="92" t="s">
        <v>486</v>
      </c>
      <c r="R386" s="93">
        <v>1050</v>
      </c>
      <c r="S386" s="93">
        <v>4200</v>
      </c>
      <c r="T386" s="93">
        <v>1000</v>
      </c>
      <c r="U386" s="93">
        <v>1000</v>
      </c>
      <c r="V386" s="93">
        <v>1000</v>
      </c>
      <c r="W386" s="84">
        <v>2</v>
      </c>
      <c r="X386" s="85" t="s">
        <v>14</v>
      </c>
      <c r="Y386" s="86" t="s">
        <v>295</v>
      </c>
      <c r="Z386" s="87">
        <v>6</v>
      </c>
      <c r="AA386" s="88" t="s">
        <v>266</v>
      </c>
      <c r="AB386" s="89">
        <v>1450</v>
      </c>
      <c r="AC386" s="86">
        <v>6</v>
      </c>
      <c r="AD386" s="88" t="s">
        <v>16</v>
      </c>
      <c r="AE386" s="89">
        <v>1060</v>
      </c>
      <c r="AF386" s="86"/>
      <c r="AG386" s="88"/>
      <c r="AH386" s="89"/>
      <c r="AI386" s="86"/>
      <c r="AJ386" s="88"/>
      <c r="AK386" s="89"/>
      <c r="AL386" s="90">
        <v>6</v>
      </c>
      <c r="AM386" s="91"/>
      <c r="AN386" s="91" t="s">
        <v>472</v>
      </c>
      <c r="AO386" s="243" t="str">
        <f t="shared" si="15"/>
        <v>3UYCERABX9A0950</v>
      </c>
    </row>
    <row r="387" spans="1:41" x14ac:dyDescent="0.15">
      <c r="A387" s="83">
        <v>4114</v>
      </c>
      <c r="B387" s="92">
        <v>271</v>
      </c>
      <c r="C387" s="92">
        <v>7361</v>
      </c>
      <c r="D387" s="92" t="s">
        <v>2038</v>
      </c>
      <c r="E387" s="92" t="s">
        <v>18</v>
      </c>
      <c r="F387" s="92" t="s">
        <v>12</v>
      </c>
      <c r="G387" s="92" t="str">
        <f t="shared" si="16"/>
        <v>3UNCERABX9A09</v>
      </c>
      <c r="H387" s="92" t="s">
        <v>269</v>
      </c>
      <c r="I387" s="92" t="s">
        <v>1550</v>
      </c>
      <c r="J387" s="92" t="s">
        <v>21</v>
      </c>
      <c r="K387" s="92" t="s">
        <v>2173</v>
      </c>
      <c r="L387" s="92" t="s">
        <v>2174</v>
      </c>
      <c r="M387" s="92" t="str">
        <f t="shared" si="17"/>
        <v>3UNCERABX9A09501050</v>
      </c>
      <c r="N387" s="92" t="str">
        <f t="shared" si="18"/>
        <v>3UNCERABX9A09501040</v>
      </c>
      <c r="O387" s="93">
        <v>50</v>
      </c>
      <c r="P387" s="92">
        <v>3</v>
      </c>
      <c r="Q387" s="92" t="s">
        <v>486</v>
      </c>
      <c r="R387" s="93">
        <v>1050</v>
      </c>
      <c r="S387" s="93">
        <v>4200</v>
      </c>
      <c r="T387" s="93">
        <v>1040</v>
      </c>
      <c r="U387" s="93">
        <v>1040</v>
      </c>
      <c r="V387" s="93">
        <v>1000</v>
      </c>
      <c r="W387" s="84">
        <v>2</v>
      </c>
      <c r="X387" s="85" t="s">
        <v>14</v>
      </c>
      <c r="Y387" s="86" t="s">
        <v>487</v>
      </c>
      <c r="Z387" s="87">
        <v>6</v>
      </c>
      <c r="AA387" s="88" t="s">
        <v>266</v>
      </c>
      <c r="AB387" s="89">
        <v>1170</v>
      </c>
      <c r="AC387" s="86"/>
      <c r="AD387" s="88"/>
      <c r="AE387" s="89"/>
      <c r="AF387" s="86"/>
      <c r="AG387" s="88"/>
      <c r="AH387" s="89"/>
      <c r="AI387" s="86"/>
      <c r="AJ387" s="88"/>
      <c r="AK387" s="89"/>
      <c r="AL387" s="90">
        <v>6</v>
      </c>
      <c r="AM387" s="91"/>
      <c r="AN387" s="91" t="s">
        <v>472</v>
      </c>
      <c r="AO387" s="243" t="str">
        <f t="shared" si="15"/>
        <v>3UNCERABX9A0950</v>
      </c>
    </row>
    <row r="388" spans="1:41" x14ac:dyDescent="0.15">
      <c r="A388" s="83">
        <v>4114</v>
      </c>
      <c r="B388" s="92">
        <v>271</v>
      </c>
      <c r="C388" s="92">
        <v>7361</v>
      </c>
      <c r="D388" s="92" t="s">
        <v>2038</v>
      </c>
      <c r="E388" s="92" t="s">
        <v>18</v>
      </c>
      <c r="F388" s="92" t="s">
        <v>12</v>
      </c>
      <c r="G388" s="92" t="str">
        <f t="shared" si="16"/>
        <v>3UNCERABX9A09</v>
      </c>
      <c r="H388" s="92" t="s">
        <v>269</v>
      </c>
      <c r="I388" s="92" t="s">
        <v>1550</v>
      </c>
      <c r="J388" s="92" t="s">
        <v>21</v>
      </c>
      <c r="K388" s="92" t="s">
        <v>2173</v>
      </c>
      <c r="L388" s="92" t="s">
        <v>2174</v>
      </c>
      <c r="M388" s="92" t="str">
        <f t="shared" si="17"/>
        <v>3UNCERABX9A09501280</v>
      </c>
      <c r="N388" s="92" t="str">
        <f t="shared" si="18"/>
        <v>3UNCERABX9A09501270</v>
      </c>
      <c r="O388" s="93">
        <v>50</v>
      </c>
      <c r="P388" s="92">
        <v>3</v>
      </c>
      <c r="Q388" s="92" t="s">
        <v>486</v>
      </c>
      <c r="R388" s="93">
        <v>1280</v>
      </c>
      <c r="S388" s="93">
        <v>6500</v>
      </c>
      <c r="T388" s="93">
        <v>1270</v>
      </c>
      <c r="U388" s="93">
        <v>1270</v>
      </c>
      <c r="V388" s="93">
        <v>4000</v>
      </c>
      <c r="W388" s="84">
        <v>2</v>
      </c>
      <c r="X388" s="85" t="s">
        <v>14</v>
      </c>
      <c r="Y388" s="86" t="s">
        <v>487</v>
      </c>
      <c r="Z388" s="87">
        <v>6</v>
      </c>
      <c r="AA388" s="88" t="s">
        <v>266</v>
      </c>
      <c r="AB388" s="89">
        <v>1320</v>
      </c>
      <c r="AC388" s="86"/>
      <c r="AD388" s="88"/>
      <c r="AE388" s="89"/>
      <c r="AF388" s="86"/>
      <c r="AG388" s="88"/>
      <c r="AH388" s="89"/>
      <c r="AI388" s="86"/>
      <c r="AJ388" s="88"/>
      <c r="AK388" s="89"/>
      <c r="AL388" s="90">
        <v>6</v>
      </c>
      <c r="AM388" s="91"/>
      <c r="AN388" s="91" t="s">
        <v>472</v>
      </c>
      <c r="AO388" s="243" t="str">
        <f t="shared" si="15"/>
        <v>3UNCERABX9A0950</v>
      </c>
    </row>
    <row r="389" spans="1:41" x14ac:dyDescent="0.15">
      <c r="A389" s="83">
        <v>4113</v>
      </c>
      <c r="B389" s="92">
        <v>272</v>
      </c>
      <c r="C389" s="92">
        <v>36882</v>
      </c>
      <c r="D389" s="92" t="s">
        <v>61</v>
      </c>
      <c r="E389" s="92" t="s">
        <v>45</v>
      </c>
      <c r="F389" s="92" t="s">
        <v>26</v>
      </c>
      <c r="G389" s="92" t="str">
        <f t="shared" si="16"/>
        <v>3UNCERATKA0707</v>
      </c>
      <c r="H389" s="92" t="s">
        <v>269</v>
      </c>
      <c r="I389" s="92" t="s">
        <v>20</v>
      </c>
      <c r="J389" s="92" t="s">
        <v>21</v>
      </c>
      <c r="K389" s="92" t="s">
        <v>289</v>
      </c>
      <c r="L389" s="92" t="s">
        <v>290</v>
      </c>
      <c r="M389" s="92" t="str">
        <f t="shared" si="17"/>
        <v>3UNCERATKA0707751100</v>
      </c>
      <c r="N389" s="92" t="str">
        <f t="shared" si="18"/>
        <v>3UNCERATKA0707751090</v>
      </c>
      <c r="O389" s="93">
        <v>75</v>
      </c>
      <c r="P389" s="92">
        <v>3</v>
      </c>
      <c r="Q389" s="92" t="s">
        <v>288</v>
      </c>
      <c r="R389" s="93">
        <v>1100</v>
      </c>
      <c r="S389" s="93">
        <v>4400</v>
      </c>
      <c r="T389" s="93">
        <v>1090</v>
      </c>
      <c r="U389" s="93">
        <v>1090</v>
      </c>
      <c r="V389" s="93">
        <v>2000</v>
      </c>
      <c r="W389" s="84">
        <v>2</v>
      </c>
      <c r="X389" s="85" t="s">
        <v>14</v>
      </c>
      <c r="Y389" s="86" t="s">
        <v>15</v>
      </c>
      <c r="Z389" s="87">
        <v>6</v>
      </c>
      <c r="AA389" s="88" t="s">
        <v>266</v>
      </c>
      <c r="AB389" s="89">
        <v>1450</v>
      </c>
      <c r="AC389" s="86"/>
      <c r="AD389" s="88"/>
      <c r="AE389" s="89"/>
      <c r="AF389" s="86"/>
      <c r="AG389" s="88"/>
      <c r="AH389" s="89"/>
      <c r="AI389" s="86"/>
      <c r="AJ389" s="88"/>
      <c r="AK389" s="89"/>
      <c r="AL389" s="90"/>
      <c r="AM389" s="91"/>
      <c r="AN389" s="91" t="s">
        <v>471</v>
      </c>
      <c r="AO389" s="243" t="str">
        <f t="shared" si="15"/>
        <v>3UNCERATKA070775</v>
      </c>
    </row>
    <row r="390" spans="1:41" x14ac:dyDescent="0.15">
      <c r="A390" s="83">
        <v>4114</v>
      </c>
      <c r="B390" s="92">
        <v>272</v>
      </c>
      <c r="C390" s="92">
        <v>36882</v>
      </c>
      <c r="D390" s="92" t="s">
        <v>61</v>
      </c>
      <c r="E390" s="92" t="s">
        <v>45</v>
      </c>
      <c r="F390" s="92" t="s">
        <v>26</v>
      </c>
      <c r="G390" s="92" t="str">
        <f t="shared" si="16"/>
        <v>3UNCERATKA1214</v>
      </c>
      <c r="H390" s="92" t="s">
        <v>269</v>
      </c>
      <c r="I390" s="92" t="s">
        <v>20</v>
      </c>
      <c r="J390" s="92" t="s">
        <v>21</v>
      </c>
      <c r="K390" s="92" t="s">
        <v>2175</v>
      </c>
      <c r="L390" s="92" t="s">
        <v>2176</v>
      </c>
      <c r="M390" s="92" t="str">
        <f t="shared" si="17"/>
        <v>3UNCERATKA1214381300</v>
      </c>
      <c r="N390" s="92" t="str">
        <f t="shared" si="18"/>
        <v>3UNCERATKA1214381050</v>
      </c>
      <c r="O390" s="93">
        <v>38</v>
      </c>
      <c r="P390" s="92">
        <v>3</v>
      </c>
      <c r="Q390" s="92" t="s">
        <v>526</v>
      </c>
      <c r="R390" s="93">
        <v>1300</v>
      </c>
      <c r="S390" s="93">
        <v>6000</v>
      </c>
      <c r="T390" s="93">
        <v>1050</v>
      </c>
      <c r="U390" s="93">
        <v>1050</v>
      </c>
      <c r="V390" s="93">
        <v>5500</v>
      </c>
      <c r="W390" s="84">
        <v>2</v>
      </c>
      <c r="X390" s="85" t="s">
        <v>14</v>
      </c>
      <c r="Y390" s="86" t="s">
        <v>295</v>
      </c>
      <c r="Z390" s="87">
        <v>6</v>
      </c>
      <c r="AA390" s="88" t="s">
        <v>266</v>
      </c>
      <c r="AB390" s="89">
        <v>1450</v>
      </c>
      <c r="AC390" s="86">
        <v>6</v>
      </c>
      <c r="AD390" s="88" t="s">
        <v>266</v>
      </c>
      <c r="AE390" s="89">
        <v>1250</v>
      </c>
      <c r="AF390" s="86"/>
      <c r="AG390" s="88"/>
      <c r="AH390" s="89"/>
      <c r="AI390" s="86"/>
      <c r="AJ390" s="88"/>
      <c r="AK390" s="89"/>
      <c r="AL390" s="90"/>
      <c r="AM390" s="91"/>
      <c r="AN390" s="91" t="s">
        <v>471</v>
      </c>
      <c r="AO390" s="243" t="str">
        <f t="shared" si="15"/>
        <v>3UNCERATKA121438</v>
      </c>
    </row>
    <row r="391" spans="1:41" x14ac:dyDescent="0.15">
      <c r="A391" s="83">
        <v>4114</v>
      </c>
      <c r="B391" s="92">
        <v>272</v>
      </c>
      <c r="C391" s="92">
        <v>36882</v>
      </c>
      <c r="D391" s="92" t="s">
        <v>61</v>
      </c>
      <c r="E391" s="92" t="s">
        <v>45</v>
      </c>
      <c r="F391" s="92" t="s">
        <v>26</v>
      </c>
      <c r="G391" s="92" t="str">
        <f t="shared" si="16"/>
        <v>3UNCERATKA1214</v>
      </c>
      <c r="H391" s="92" t="s">
        <v>269</v>
      </c>
      <c r="I391" s="92" t="s">
        <v>20</v>
      </c>
      <c r="J391" s="92" t="s">
        <v>21</v>
      </c>
      <c r="K391" s="92" t="s">
        <v>2175</v>
      </c>
      <c r="L391" s="92" t="s">
        <v>2176</v>
      </c>
      <c r="M391" s="92" t="str">
        <f t="shared" si="17"/>
        <v>3UNCERATKA1214381300</v>
      </c>
      <c r="N391" s="92" t="str">
        <f t="shared" si="18"/>
        <v>3UNCERATKA121438300</v>
      </c>
      <c r="O391" s="93">
        <v>38</v>
      </c>
      <c r="P391" s="92">
        <v>3</v>
      </c>
      <c r="Q391" s="92" t="s">
        <v>526</v>
      </c>
      <c r="R391" s="93">
        <v>1300</v>
      </c>
      <c r="S391" s="93">
        <v>6000</v>
      </c>
      <c r="T391" s="93">
        <v>300</v>
      </c>
      <c r="U391" s="93">
        <v>300</v>
      </c>
      <c r="V391" s="93">
        <v>200</v>
      </c>
      <c r="W391" s="84">
        <v>2</v>
      </c>
      <c r="X391" s="85" t="s">
        <v>14</v>
      </c>
      <c r="Y391" s="86" t="s">
        <v>295</v>
      </c>
      <c r="Z391" s="87">
        <v>6</v>
      </c>
      <c r="AA391" s="88" t="s">
        <v>266</v>
      </c>
      <c r="AB391" s="89">
        <v>1450</v>
      </c>
      <c r="AC391" s="86">
        <v>3</v>
      </c>
      <c r="AD391" s="88" t="s">
        <v>459</v>
      </c>
      <c r="AE391" s="89">
        <v>300</v>
      </c>
      <c r="AF391" s="86"/>
      <c r="AG391" s="88"/>
      <c r="AH391" s="89"/>
      <c r="AI391" s="86"/>
      <c r="AJ391" s="88"/>
      <c r="AK391" s="89"/>
      <c r="AL391" s="90"/>
      <c r="AM391" s="91"/>
      <c r="AN391" s="91" t="s">
        <v>471</v>
      </c>
      <c r="AO391" s="243" t="str">
        <f t="shared" si="15"/>
        <v>3UNCERATKA121438</v>
      </c>
    </row>
    <row r="392" spans="1:41" x14ac:dyDescent="0.15">
      <c r="A392" s="83">
        <v>4114</v>
      </c>
      <c r="B392" s="92">
        <v>274</v>
      </c>
      <c r="C392" s="92">
        <v>36888</v>
      </c>
      <c r="D392" s="92" t="s">
        <v>291</v>
      </c>
      <c r="E392" s="92" t="s">
        <v>66</v>
      </c>
      <c r="F392" s="92" t="s">
        <v>26</v>
      </c>
      <c r="G392" s="92" t="str">
        <f t="shared" si="16"/>
        <v>3UNCERAJMDAB</v>
      </c>
      <c r="H392" s="92" t="s">
        <v>269</v>
      </c>
      <c r="I392" s="92" t="s">
        <v>20</v>
      </c>
      <c r="J392" s="92" t="s">
        <v>21</v>
      </c>
      <c r="K392" s="92" t="s">
        <v>292</v>
      </c>
      <c r="L392" s="92" t="s">
        <v>293</v>
      </c>
      <c r="M392" s="92" t="str">
        <f t="shared" si="17"/>
        <v>3UNCERAJMDAB381550</v>
      </c>
      <c r="N392" s="92" t="str">
        <f t="shared" si="18"/>
        <v>3UNCERAJMDAB38750</v>
      </c>
      <c r="O392" s="93">
        <v>38</v>
      </c>
      <c r="P392" s="92">
        <v>3</v>
      </c>
      <c r="Q392" s="92" t="s">
        <v>294</v>
      </c>
      <c r="R392" s="93">
        <v>1550</v>
      </c>
      <c r="S392" s="93">
        <v>12200</v>
      </c>
      <c r="T392" s="93">
        <v>750</v>
      </c>
      <c r="U392" s="93">
        <v>750</v>
      </c>
      <c r="V392" s="93">
        <v>6000</v>
      </c>
      <c r="W392" s="84">
        <v>2</v>
      </c>
      <c r="X392" s="85" t="s">
        <v>14</v>
      </c>
      <c r="Y392" s="86" t="s">
        <v>295</v>
      </c>
      <c r="Z392" s="87">
        <v>6</v>
      </c>
      <c r="AA392" s="88" t="s">
        <v>266</v>
      </c>
      <c r="AB392" s="89">
        <v>1700</v>
      </c>
      <c r="AC392" s="86">
        <v>6</v>
      </c>
      <c r="AD392" s="88" t="s">
        <v>266</v>
      </c>
      <c r="AE392" s="89">
        <v>930</v>
      </c>
      <c r="AF392" s="86"/>
      <c r="AG392" s="88"/>
      <c r="AH392" s="89"/>
      <c r="AI392" s="86"/>
      <c r="AJ392" s="88"/>
      <c r="AK392" s="89"/>
      <c r="AL392" s="90"/>
      <c r="AM392" s="91"/>
      <c r="AN392" s="91" t="s">
        <v>471</v>
      </c>
      <c r="AO392" s="243" t="str">
        <f t="shared" si="15"/>
        <v>3UNCERAJMDAB38</v>
      </c>
    </row>
    <row r="393" spans="1:41" x14ac:dyDescent="0.15">
      <c r="A393" s="83">
        <v>4114</v>
      </c>
      <c r="B393" s="92">
        <v>271</v>
      </c>
      <c r="C393" s="92">
        <v>50713</v>
      </c>
      <c r="D393" s="92" t="s">
        <v>83</v>
      </c>
      <c r="E393" s="92" t="s">
        <v>18</v>
      </c>
      <c r="F393" s="92" t="s">
        <v>184</v>
      </c>
      <c r="G393" s="92" t="str">
        <f t="shared" si="16"/>
        <v>3UNCERAJWZB</v>
      </c>
      <c r="H393" s="92" t="s">
        <v>269</v>
      </c>
      <c r="I393" s="92" t="s">
        <v>20</v>
      </c>
      <c r="J393" s="92" t="s">
        <v>21</v>
      </c>
      <c r="K393" s="92" t="s">
        <v>296</v>
      </c>
      <c r="L393" s="92" t="s">
        <v>297</v>
      </c>
      <c r="M393" s="92" t="str">
        <f t="shared" si="17"/>
        <v>3UNCERAJWZB381590</v>
      </c>
      <c r="N393" s="92" t="str">
        <f t="shared" si="18"/>
        <v>3UNCERAJWZB381585</v>
      </c>
      <c r="O393" s="93">
        <v>38</v>
      </c>
      <c r="P393" s="92">
        <v>3</v>
      </c>
      <c r="Q393" s="92" t="s">
        <v>294</v>
      </c>
      <c r="R393" s="93">
        <v>1590</v>
      </c>
      <c r="S393" s="93">
        <v>6200</v>
      </c>
      <c r="T393" s="93">
        <v>1585</v>
      </c>
      <c r="U393" s="93">
        <v>1585</v>
      </c>
      <c r="V393" s="93">
        <v>6000</v>
      </c>
      <c r="W393" s="84">
        <v>2</v>
      </c>
      <c r="X393" s="85" t="s">
        <v>14</v>
      </c>
      <c r="Y393" s="86" t="s">
        <v>15</v>
      </c>
      <c r="Z393" s="87">
        <v>6</v>
      </c>
      <c r="AA393" s="88" t="s">
        <v>266</v>
      </c>
      <c r="AB393" s="89">
        <v>1700</v>
      </c>
      <c r="AC393" s="86"/>
      <c r="AD393" s="88"/>
      <c r="AE393" s="89"/>
      <c r="AF393" s="86"/>
      <c r="AG393" s="88"/>
      <c r="AH393" s="89"/>
      <c r="AI393" s="86"/>
      <c r="AJ393" s="88"/>
      <c r="AK393" s="89"/>
      <c r="AL393" s="90"/>
      <c r="AM393" s="91"/>
      <c r="AN393" s="91" t="s">
        <v>474</v>
      </c>
      <c r="AO393" s="243" t="str">
        <f t="shared" si="15"/>
        <v>3UNCERAJWZB38</v>
      </c>
    </row>
    <row r="394" spans="1:41" x14ac:dyDescent="0.15">
      <c r="A394" s="83">
        <v>4114</v>
      </c>
      <c r="B394" s="92">
        <v>271</v>
      </c>
      <c r="C394" s="92">
        <v>50713</v>
      </c>
      <c r="D394" s="92" t="s">
        <v>83</v>
      </c>
      <c r="E394" s="92" t="s">
        <v>18</v>
      </c>
      <c r="F394" s="92" t="s">
        <v>184</v>
      </c>
      <c r="G394" s="92" t="str">
        <f t="shared" si="16"/>
        <v>3UNCERAJWZB</v>
      </c>
      <c r="H394" s="92" t="s">
        <v>269</v>
      </c>
      <c r="I394" s="92" t="s">
        <v>20</v>
      </c>
      <c r="J394" s="92" t="s">
        <v>21</v>
      </c>
      <c r="K394" s="92" t="s">
        <v>296</v>
      </c>
      <c r="L394" s="92" t="s">
        <v>297</v>
      </c>
      <c r="M394" s="92" t="str">
        <f t="shared" si="17"/>
        <v>3UNCERAJWZB381595</v>
      </c>
      <c r="N394" s="92" t="str">
        <f t="shared" si="18"/>
        <v>3UNCERAJWZB381585</v>
      </c>
      <c r="O394" s="93">
        <v>38</v>
      </c>
      <c r="P394" s="92">
        <v>3</v>
      </c>
      <c r="Q394" s="92" t="s">
        <v>294</v>
      </c>
      <c r="R394" s="93">
        <v>1595</v>
      </c>
      <c r="S394" s="93">
        <v>6200</v>
      </c>
      <c r="T394" s="93">
        <v>1585</v>
      </c>
      <c r="U394" s="93">
        <v>1585</v>
      </c>
      <c r="V394" s="93">
        <v>6000</v>
      </c>
      <c r="W394" s="84">
        <v>2</v>
      </c>
      <c r="X394" s="85" t="s">
        <v>14</v>
      </c>
      <c r="Y394" s="86" t="s">
        <v>15</v>
      </c>
      <c r="Z394" s="87">
        <v>6</v>
      </c>
      <c r="AA394" s="88" t="s">
        <v>266</v>
      </c>
      <c r="AB394" s="89">
        <v>1700</v>
      </c>
      <c r="AC394" s="86"/>
      <c r="AD394" s="88"/>
      <c r="AE394" s="89"/>
      <c r="AF394" s="86"/>
      <c r="AG394" s="88"/>
      <c r="AH394" s="89"/>
      <c r="AI394" s="86"/>
      <c r="AJ394" s="88"/>
      <c r="AK394" s="89"/>
      <c r="AL394" s="90"/>
      <c r="AM394" s="91"/>
      <c r="AN394" s="91" t="s">
        <v>474</v>
      </c>
      <c r="AO394" s="243" t="str">
        <f t="shared" si="15"/>
        <v>3UNCERAJWZB38</v>
      </c>
    </row>
    <row r="395" spans="1:41" x14ac:dyDescent="0.15">
      <c r="A395" s="83">
        <v>4114</v>
      </c>
      <c r="B395" s="92">
        <v>271</v>
      </c>
      <c r="C395" s="92">
        <v>50713</v>
      </c>
      <c r="D395" s="92" t="s">
        <v>83</v>
      </c>
      <c r="E395" s="92" t="s">
        <v>18</v>
      </c>
      <c r="F395" s="92" t="s">
        <v>184</v>
      </c>
      <c r="G395" s="92" t="str">
        <f t="shared" si="16"/>
        <v>3UNCERAJWZB</v>
      </c>
      <c r="H395" s="92" t="s">
        <v>269</v>
      </c>
      <c r="I395" s="92" t="s">
        <v>20</v>
      </c>
      <c r="J395" s="92" t="s">
        <v>21</v>
      </c>
      <c r="K395" s="92" t="s">
        <v>296</v>
      </c>
      <c r="L395" s="92" t="s">
        <v>297</v>
      </c>
      <c r="M395" s="92" t="str">
        <f t="shared" si="17"/>
        <v>3UNCERAJWZB501595</v>
      </c>
      <c r="N395" s="92" t="str">
        <f t="shared" si="18"/>
        <v>3UNCERAJWZB501585</v>
      </c>
      <c r="O395" s="93">
        <v>50</v>
      </c>
      <c r="P395" s="92">
        <v>3</v>
      </c>
      <c r="Q395" s="92" t="s">
        <v>294</v>
      </c>
      <c r="R395" s="93">
        <v>1595</v>
      </c>
      <c r="S395" s="93">
        <v>6000</v>
      </c>
      <c r="T395" s="93">
        <v>1585</v>
      </c>
      <c r="U395" s="93">
        <v>1585</v>
      </c>
      <c r="V395" s="93">
        <v>5800</v>
      </c>
      <c r="W395" s="84">
        <v>2</v>
      </c>
      <c r="X395" s="85" t="s">
        <v>14</v>
      </c>
      <c r="Y395" s="86" t="s">
        <v>15</v>
      </c>
      <c r="Z395" s="87">
        <v>6</v>
      </c>
      <c r="AA395" s="88" t="s">
        <v>266</v>
      </c>
      <c r="AB395" s="89">
        <v>1700</v>
      </c>
      <c r="AC395" s="86"/>
      <c r="AD395" s="88"/>
      <c r="AE395" s="89"/>
      <c r="AF395" s="86"/>
      <c r="AG395" s="88"/>
      <c r="AH395" s="89"/>
      <c r="AI395" s="86"/>
      <c r="AJ395" s="88"/>
      <c r="AK395" s="89"/>
      <c r="AL395" s="90"/>
      <c r="AM395" s="91"/>
      <c r="AN395" s="91" t="s">
        <v>474</v>
      </c>
      <c r="AO395" s="243" t="str">
        <f t="shared" si="15"/>
        <v>3UNCERAJWZB50</v>
      </c>
    </row>
    <row r="396" spans="1:41" x14ac:dyDescent="0.15">
      <c r="A396" s="83">
        <v>4114</v>
      </c>
      <c r="B396" s="92">
        <v>271</v>
      </c>
      <c r="C396" s="92">
        <v>5163</v>
      </c>
      <c r="D396" s="92" t="s">
        <v>2177</v>
      </c>
      <c r="E396" s="92" t="s">
        <v>18</v>
      </c>
      <c r="F396" s="92" t="s">
        <v>184</v>
      </c>
      <c r="G396" s="92" t="str">
        <f t="shared" si="16"/>
        <v>3UNCERAJWZB</v>
      </c>
      <c r="H396" s="92" t="s">
        <v>269</v>
      </c>
      <c r="I396" s="92" t="s">
        <v>20</v>
      </c>
      <c r="J396" s="92" t="s">
        <v>21</v>
      </c>
      <c r="K396" s="92" t="s">
        <v>296</v>
      </c>
      <c r="L396" s="92" t="s">
        <v>297</v>
      </c>
      <c r="M396" s="92" t="str">
        <f t="shared" si="17"/>
        <v>3UNCERAJWZB251610</v>
      </c>
      <c r="N396" s="92" t="str">
        <f t="shared" si="18"/>
        <v>3UNCERAJWZB251600</v>
      </c>
      <c r="O396" s="93">
        <v>25</v>
      </c>
      <c r="P396" s="92">
        <v>3</v>
      </c>
      <c r="Q396" s="92" t="s">
        <v>294</v>
      </c>
      <c r="R396" s="93">
        <v>1610</v>
      </c>
      <c r="S396" s="93">
        <v>12300</v>
      </c>
      <c r="T396" s="93">
        <v>1600</v>
      </c>
      <c r="U396" s="93">
        <v>1600</v>
      </c>
      <c r="V396" s="93">
        <v>4000</v>
      </c>
      <c r="W396" s="84">
        <v>2</v>
      </c>
      <c r="X396" s="85" t="s">
        <v>14</v>
      </c>
      <c r="Y396" s="86" t="s">
        <v>15</v>
      </c>
      <c r="Z396" s="87">
        <v>6</v>
      </c>
      <c r="AA396" s="88" t="s">
        <v>266</v>
      </c>
      <c r="AB396" s="89">
        <v>1700</v>
      </c>
      <c r="AC396" s="86"/>
      <c r="AD396" s="88"/>
      <c r="AE396" s="89"/>
      <c r="AF396" s="86"/>
      <c r="AG396" s="88"/>
      <c r="AH396" s="89"/>
      <c r="AI396" s="86"/>
      <c r="AJ396" s="88"/>
      <c r="AK396" s="89"/>
      <c r="AL396" s="90"/>
      <c r="AM396" s="91"/>
      <c r="AN396" s="91" t="s">
        <v>474</v>
      </c>
      <c r="AO396" s="243" t="str">
        <f t="shared" si="15"/>
        <v>3UNCERAJWZB25</v>
      </c>
    </row>
    <row r="397" spans="1:41" x14ac:dyDescent="0.15">
      <c r="A397" s="83">
        <v>4114</v>
      </c>
      <c r="B397" s="92">
        <v>272</v>
      </c>
      <c r="C397" s="92">
        <v>36882</v>
      </c>
      <c r="D397" s="92" t="s">
        <v>61</v>
      </c>
      <c r="E397" s="92" t="s">
        <v>45</v>
      </c>
      <c r="F397" s="92" t="s">
        <v>26</v>
      </c>
      <c r="G397" s="92" t="str">
        <f t="shared" si="16"/>
        <v>3UNCERAMDB8K14</v>
      </c>
      <c r="H397" s="92" t="s">
        <v>269</v>
      </c>
      <c r="I397" s="92" t="s">
        <v>20</v>
      </c>
      <c r="J397" s="92" t="s">
        <v>21</v>
      </c>
      <c r="K397" s="92" t="s">
        <v>298</v>
      </c>
      <c r="L397" s="92" t="s">
        <v>299</v>
      </c>
      <c r="M397" s="92" t="str">
        <f t="shared" si="17"/>
        <v>3UNCERAMDB8K14751060</v>
      </c>
      <c r="N397" s="92" t="str">
        <f t="shared" si="18"/>
        <v>3UNCERAMDB8K14751050</v>
      </c>
      <c r="O397" s="93">
        <v>75</v>
      </c>
      <c r="P397" s="92">
        <v>3</v>
      </c>
      <c r="Q397" s="92" t="s">
        <v>59</v>
      </c>
      <c r="R397" s="93">
        <v>1060</v>
      </c>
      <c r="S397" s="93">
        <v>4300</v>
      </c>
      <c r="T397" s="93">
        <v>1050</v>
      </c>
      <c r="U397" s="93">
        <v>1050</v>
      </c>
      <c r="V397" s="93">
        <v>4000</v>
      </c>
      <c r="W397" s="84">
        <v>2</v>
      </c>
      <c r="X397" s="85" t="s">
        <v>14</v>
      </c>
      <c r="Y397" s="86" t="s">
        <v>300</v>
      </c>
      <c r="Z397" s="87">
        <v>6</v>
      </c>
      <c r="AA397" s="88" t="s">
        <v>266</v>
      </c>
      <c r="AB397" s="89">
        <v>1450</v>
      </c>
      <c r="AC397" s="86">
        <v>6</v>
      </c>
      <c r="AD397" s="88" t="s">
        <v>266</v>
      </c>
      <c r="AE397" s="89">
        <v>1250</v>
      </c>
      <c r="AF397" s="86"/>
      <c r="AG397" s="88"/>
      <c r="AH397" s="89"/>
      <c r="AI397" s="86"/>
      <c r="AJ397" s="88"/>
      <c r="AK397" s="89"/>
      <c r="AL397" s="90">
        <v>6</v>
      </c>
      <c r="AM397" s="91" t="s">
        <v>301</v>
      </c>
      <c r="AN397" s="91" t="s">
        <v>473</v>
      </c>
      <c r="AO397" s="243" t="str">
        <f t="shared" si="15"/>
        <v>3UNCERAMDB8K1475</v>
      </c>
    </row>
    <row r="398" spans="1:41" x14ac:dyDescent="0.15">
      <c r="A398" s="83">
        <v>4114</v>
      </c>
      <c r="B398" s="92">
        <v>272</v>
      </c>
      <c r="C398" s="92">
        <v>36882</v>
      </c>
      <c r="D398" s="92" t="s">
        <v>61</v>
      </c>
      <c r="E398" s="92" t="s">
        <v>45</v>
      </c>
      <c r="F398" s="92" t="s">
        <v>26</v>
      </c>
      <c r="G398" s="92" t="str">
        <f t="shared" si="16"/>
        <v>3UNCERAJMDB8KB</v>
      </c>
      <c r="H398" s="92" t="s">
        <v>269</v>
      </c>
      <c r="I398" s="92" t="s">
        <v>20</v>
      </c>
      <c r="J398" s="92" t="s">
        <v>21</v>
      </c>
      <c r="K398" s="92" t="s">
        <v>302</v>
      </c>
      <c r="L398" s="92" t="s">
        <v>303</v>
      </c>
      <c r="M398" s="92" t="str">
        <f t="shared" si="17"/>
        <v>3UNCERAJMDB8KB751060</v>
      </c>
      <c r="N398" s="92" t="str">
        <f t="shared" si="18"/>
        <v>3UNCERAJMDB8KB751050</v>
      </c>
      <c r="O398" s="93">
        <v>75</v>
      </c>
      <c r="P398" s="92">
        <v>3</v>
      </c>
      <c r="Q398" s="92" t="s">
        <v>294</v>
      </c>
      <c r="R398" s="93">
        <v>1060</v>
      </c>
      <c r="S398" s="93">
        <v>4300</v>
      </c>
      <c r="T398" s="93">
        <v>1050</v>
      </c>
      <c r="U398" s="93">
        <v>1050</v>
      </c>
      <c r="V398" s="93">
        <v>4000</v>
      </c>
      <c r="W398" s="84">
        <v>2</v>
      </c>
      <c r="X398" s="85" t="s">
        <v>14</v>
      </c>
      <c r="Y398" s="86" t="s">
        <v>300</v>
      </c>
      <c r="Z398" s="87">
        <v>6</v>
      </c>
      <c r="AA398" s="88" t="s">
        <v>266</v>
      </c>
      <c r="AB398" s="89">
        <v>1450</v>
      </c>
      <c r="AC398" s="86">
        <v>6</v>
      </c>
      <c r="AD398" s="88" t="s">
        <v>266</v>
      </c>
      <c r="AE398" s="89">
        <v>1250</v>
      </c>
      <c r="AF398" s="86"/>
      <c r="AG398" s="88"/>
      <c r="AH398" s="89"/>
      <c r="AI398" s="86"/>
      <c r="AJ398" s="88"/>
      <c r="AK398" s="89"/>
      <c r="AL398" s="90">
        <v>6</v>
      </c>
      <c r="AM398" s="91" t="s">
        <v>301</v>
      </c>
      <c r="AN398" s="91" t="s">
        <v>473</v>
      </c>
      <c r="AO398" s="243" t="str">
        <f t="shared" si="15"/>
        <v>3UNCERAJMDB8KB75</v>
      </c>
    </row>
    <row r="399" spans="1:41" x14ac:dyDescent="0.15">
      <c r="A399" s="83">
        <v>4114</v>
      </c>
      <c r="B399" s="92">
        <v>272</v>
      </c>
      <c r="C399" s="92">
        <v>36882</v>
      </c>
      <c r="D399" s="92" t="s">
        <v>61</v>
      </c>
      <c r="E399" s="92" t="s">
        <v>45</v>
      </c>
      <c r="F399" s="92" t="s">
        <v>26</v>
      </c>
      <c r="G399" s="92" t="str">
        <f t="shared" si="16"/>
        <v>3UNCERAJMDAB</v>
      </c>
      <c r="H399" s="92" t="s">
        <v>269</v>
      </c>
      <c r="I399" s="92" t="s">
        <v>20</v>
      </c>
      <c r="J399" s="92" t="s">
        <v>21</v>
      </c>
      <c r="K399" s="92" t="s">
        <v>2178</v>
      </c>
      <c r="L399" s="92" t="s">
        <v>2179</v>
      </c>
      <c r="M399" s="92" t="str">
        <f t="shared" si="17"/>
        <v>3UNCERAJMDAB381270</v>
      </c>
      <c r="N399" s="92" t="str">
        <f t="shared" si="18"/>
        <v>3UNCERAJMDAB381250</v>
      </c>
      <c r="O399" s="93">
        <v>38</v>
      </c>
      <c r="P399" s="92">
        <v>3</v>
      </c>
      <c r="Q399" s="92" t="s">
        <v>294</v>
      </c>
      <c r="R399" s="93">
        <v>1270</v>
      </c>
      <c r="S399" s="93">
        <v>6000</v>
      </c>
      <c r="T399" s="93">
        <v>1250</v>
      </c>
      <c r="U399" s="93">
        <v>1250</v>
      </c>
      <c r="V399" s="93">
        <v>5800</v>
      </c>
      <c r="W399" s="84">
        <v>2</v>
      </c>
      <c r="X399" s="85" t="s">
        <v>14</v>
      </c>
      <c r="Y399" s="86" t="s">
        <v>487</v>
      </c>
      <c r="Z399" s="87">
        <v>6</v>
      </c>
      <c r="AA399" s="88" t="s">
        <v>266</v>
      </c>
      <c r="AB399" s="89">
        <v>1450</v>
      </c>
      <c r="AC399" s="86"/>
      <c r="AD399" s="88"/>
      <c r="AE399" s="89"/>
      <c r="AF399" s="86"/>
      <c r="AG399" s="88"/>
      <c r="AH399" s="89"/>
      <c r="AI399" s="86"/>
      <c r="AJ399" s="88"/>
      <c r="AK399" s="89"/>
      <c r="AL399" s="90">
        <v>6</v>
      </c>
      <c r="AM399" s="91" t="s">
        <v>301</v>
      </c>
      <c r="AN399" s="91" t="s">
        <v>473</v>
      </c>
      <c r="AO399" s="243" t="str">
        <f t="shared" si="15"/>
        <v>3UNCERAJMDAB38</v>
      </c>
    </row>
    <row r="400" spans="1:41" x14ac:dyDescent="0.15">
      <c r="A400" s="83">
        <v>4114</v>
      </c>
      <c r="B400" s="92">
        <v>272</v>
      </c>
      <c r="C400" s="92">
        <v>36882</v>
      </c>
      <c r="D400" s="92" t="s">
        <v>61</v>
      </c>
      <c r="E400" s="92" t="s">
        <v>45</v>
      </c>
      <c r="F400" s="92" t="s">
        <v>26</v>
      </c>
      <c r="G400" s="92" t="str">
        <f t="shared" si="16"/>
        <v>3UNCERAJMDAB</v>
      </c>
      <c r="H400" s="92" t="s">
        <v>269</v>
      </c>
      <c r="I400" s="92" t="s">
        <v>20</v>
      </c>
      <c r="J400" s="92" t="s">
        <v>21</v>
      </c>
      <c r="K400" s="92" t="s">
        <v>2178</v>
      </c>
      <c r="L400" s="92" t="s">
        <v>2179</v>
      </c>
      <c r="M400" s="92" t="str">
        <f t="shared" si="17"/>
        <v>3UNCERAJMDAB381060</v>
      </c>
      <c r="N400" s="92" t="str">
        <f t="shared" si="18"/>
        <v>3UNCERAJMDAB38750</v>
      </c>
      <c r="O400" s="93">
        <v>38</v>
      </c>
      <c r="P400" s="92">
        <v>3</v>
      </c>
      <c r="Q400" s="92" t="s">
        <v>294</v>
      </c>
      <c r="R400" s="93">
        <v>1060</v>
      </c>
      <c r="S400" s="93">
        <v>6000</v>
      </c>
      <c r="T400" s="93">
        <v>750</v>
      </c>
      <c r="U400" s="93">
        <v>750</v>
      </c>
      <c r="V400" s="93">
        <v>5800</v>
      </c>
      <c r="W400" s="84">
        <v>2</v>
      </c>
      <c r="X400" s="85" t="s">
        <v>14</v>
      </c>
      <c r="Y400" s="86" t="s">
        <v>295</v>
      </c>
      <c r="Z400" s="87">
        <v>6</v>
      </c>
      <c r="AA400" s="88" t="s">
        <v>266</v>
      </c>
      <c r="AB400" s="89">
        <v>1450</v>
      </c>
      <c r="AC400" s="86">
        <v>6</v>
      </c>
      <c r="AD400" s="88" t="s">
        <v>266</v>
      </c>
      <c r="AE400" s="89">
        <v>930</v>
      </c>
      <c r="AF400" s="86"/>
      <c r="AG400" s="88"/>
      <c r="AH400" s="89"/>
      <c r="AI400" s="86"/>
      <c r="AJ400" s="88"/>
      <c r="AK400" s="89"/>
      <c r="AL400" s="90">
        <v>6</v>
      </c>
      <c r="AM400" s="91" t="s">
        <v>301</v>
      </c>
      <c r="AN400" s="91" t="s">
        <v>473</v>
      </c>
      <c r="AO400" s="243" t="str">
        <f t="shared" si="15"/>
        <v>3UNCERAJMDAB38</v>
      </c>
    </row>
    <row r="401" spans="1:41" x14ac:dyDescent="0.15">
      <c r="A401" s="83">
        <v>4114</v>
      </c>
      <c r="B401" s="92">
        <v>272</v>
      </c>
      <c r="C401" s="92">
        <v>36882</v>
      </c>
      <c r="D401" s="92" t="s">
        <v>61</v>
      </c>
      <c r="E401" s="92" t="s">
        <v>45</v>
      </c>
      <c r="F401" s="92" t="s">
        <v>26</v>
      </c>
      <c r="G401" s="92" t="str">
        <f t="shared" si="16"/>
        <v>3UNCERAJMDGB</v>
      </c>
      <c r="H401" s="92" t="s">
        <v>269</v>
      </c>
      <c r="I401" s="92" t="s">
        <v>20</v>
      </c>
      <c r="J401" s="92" t="s">
        <v>21</v>
      </c>
      <c r="K401" s="92" t="s">
        <v>2180</v>
      </c>
      <c r="L401" s="92" t="s">
        <v>2181</v>
      </c>
      <c r="M401" s="92" t="str">
        <f t="shared" si="17"/>
        <v>3UNCERAJMDGB381060</v>
      </c>
      <c r="N401" s="92" t="str">
        <f t="shared" si="18"/>
        <v>3UNCERAJMDGB38750</v>
      </c>
      <c r="O401" s="93">
        <v>38</v>
      </c>
      <c r="P401" s="92">
        <v>3</v>
      </c>
      <c r="Q401" s="92" t="s">
        <v>294</v>
      </c>
      <c r="R401" s="93">
        <v>1060</v>
      </c>
      <c r="S401" s="93">
        <v>6000</v>
      </c>
      <c r="T401" s="93">
        <v>750</v>
      </c>
      <c r="U401" s="93">
        <v>750</v>
      </c>
      <c r="V401" s="93">
        <v>2000</v>
      </c>
      <c r="W401" s="84">
        <v>2</v>
      </c>
      <c r="X401" s="85" t="s">
        <v>14</v>
      </c>
      <c r="Y401" s="86" t="s">
        <v>295</v>
      </c>
      <c r="Z401" s="87">
        <v>6</v>
      </c>
      <c r="AA401" s="88" t="s">
        <v>266</v>
      </c>
      <c r="AB401" s="89">
        <v>1450</v>
      </c>
      <c r="AC401" s="86">
        <v>6</v>
      </c>
      <c r="AD401" s="88" t="s">
        <v>266</v>
      </c>
      <c r="AE401" s="89">
        <v>930</v>
      </c>
      <c r="AF401" s="86"/>
      <c r="AG401" s="88"/>
      <c r="AH401" s="89"/>
      <c r="AI401" s="86"/>
      <c r="AJ401" s="88"/>
      <c r="AK401" s="89"/>
      <c r="AL401" s="90">
        <v>6</v>
      </c>
      <c r="AM401" s="91" t="s">
        <v>301</v>
      </c>
      <c r="AN401" s="91" t="s">
        <v>473</v>
      </c>
      <c r="AO401" s="243" t="str">
        <f t="shared" si="15"/>
        <v>3UNCERAJMDGB38</v>
      </c>
    </row>
    <row r="402" spans="1:41" x14ac:dyDescent="0.15">
      <c r="A402" s="83">
        <v>4114</v>
      </c>
      <c r="B402" s="92">
        <v>272</v>
      </c>
      <c r="C402" s="92">
        <v>36882</v>
      </c>
      <c r="D402" s="92" t="s">
        <v>61</v>
      </c>
      <c r="E402" s="92" t="s">
        <v>45</v>
      </c>
      <c r="F402" s="92" t="s">
        <v>26</v>
      </c>
      <c r="G402" s="92" t="str">
        <f t="shared" si="16"/>
        <v>3UNCERAJMDEB</v>
      </c>
      <c r="H402" s="92" t="s">
        <v>269</v>
      </c>
      <c r="I402" s="92" t="s">
        <v>20</v>
      </c>
      <c r="J402" s="92" t="s">
        <v>21</v>
      </c>
      <c r="K402" s="92" t="s">
        <v>2182</v>
      </c>
      <c r="L402" s="92" t="s">
        <v>2183</v>
      </c>
      <c r="M402" s="92" t="str">
        <f t="shared" si="17"/>
        <v>3UNCERAJMDEB381060</v>
      </c>
      <c r="N402" s="92" t="str">
        <f t="shared" si="18"/>
        <v>3UNCERAJMDEB38750</v>
      </c>
      <c r="O402" s="93">
        <v>38</v>
      </c>
      <c r="P402" s="92">
        <v>3</v>
      </c>
      <c r="Q402" s="92" t="s">
        <v>294</v>
      </c>
      <c r="R402" s="93">
        <v>1060</v>
      </c>
      <c r="S402" s="93">
        <v>6000</v>
      </c>
      <c r="T402" s="93">
        <v>750</v>
      </c>
      <c r="U402" s="93">
        <v>750</v>
      </c>
      <c r="V402" s="93">
        <v>2000</v>
      </c>
      <c r="W402" s="84">
        <v>2</v>
      </c>
      <c r="X402" s="85" t="s">
        <v>14</v>
      </c>
      <c r="Y402" s="86" t="s">
        <v>295</v>
      </c>
      <c r="Z402" s="87">
        <v>6</v>
      </c>
      <c r="AA402" s="88" t="s">
        <v>266</v>
      </c>
      <c r="AB402" s="89">
        <v>1450</v>
      </c>
      <c r="AC402" s="86">
        <v>6</v>
      </c>
      <c r="AD402" s="88" t="s">
        <v>266</v>
      </c>
      <c r="AE402" s="89">
        <v>930</v>
      </c>
      <c r="AF402" s="86"/>
      <c r="AG402" s="88"/>
      <c r="AH402" s="89"/>
      <c r="AI402" s="86"/>
      <c r="AJ402" s="88"/>
      <c r="AK402" s="89"/>
      <c r="AL402" s="90">
        <v>6</v>
      </c>
      <c r="AM402" s="91" t="s">
        <v>301</v>
      </c>
      <c r="AN402" s="91" t="s">
        <v>473</v>
      </c>
      <c r="AO402" s="243" t="str">
        <f t="shared" si="15"/>
        <v>3UNCERAJMDEB38</v>
      </c>
    </row>
    <row r="403" spans="1:41" x14ac:dyDescent="0.15">
      <c r="A403" s="83">
        <v>4114</v>
      </c>
      <c r="B403" s="92">
        <v>272</v>
      </c>
      <c r="C403" s="92">
        <v>36882</v>
      </c>
      <c r="D403" s="92" t="s">
        <v>61</v>
      </c>
      <c r="E403" s="92" t="s">
        <v>45</v>
      </c>
      <c r="F403" s="92" t="s">
        <v>26</v>
      </c>
      <c r="G403" s="92" t="str">
        <f t="shared" si="16"/>
        <v>3UNCERAJMDAB</v>
      </c>
      <c r="H403" s="92" t="s">
        <v>269</v>
      </c>
      <c r="I403" s="92" t="s">
        <v>20</v>
      </c>
      <c r="J403" s="92" t="s">
        <v>21</v>
      </c>
      <c r="K403" s="92" t="s">
        <v>2178</v>
      </c>
      <c r="L403" s="92" t="s">
        <v>293</v>
      </c>
      <c r="M403" s="92"/>
      <c r="N403" s="92"/>
      <c r="O403" s="93">
        <v>38</v>
      </c>
      <c r="P403" s="92">
        <v>3</v>
      </c>
      <c r="Q403" s="92" t="s">
        <v>2334</v>
      </c>
      <c r="R403" s="93">
        <v>1260</v>
      </c>
      <c r="S403" s="93">
        <v>6200</v>
      </c>
      <c r="T403" s="93">
        <v>1250</v>
      </c>
      <c r="U403" s="93">
        <v>1250</v>
      </c>
      <c r="V403" s="93">
        <v>6000</v>
      </c>
      <c r="W403" s="84">
        <v>1</v>
      </c>
      <c r="X403" s="85" t="s">
        <v>14</v>
      </c>
      <c r="Y403" s="86" t="s">
        <v>487</v>
      </c>
      <c r="Z403" s="87">
        <v>6</v>
      </c>
      <c r="AA403" s="88" t="s">
        <v>266</v>
      </c>
      <c r="AB403" s="89">
        <v>1270</v>
      </c>
      <c r="AC403" s="86"/>
      <c r="AD403" s="88"/>
      <c r="AE403" s="89"/>
      <c r="AF403" s="86"/>
      <c r="AG403" s="88"/>
      <c r="AH403" s="89"/>
      <c r="AI403" s="86"/>
      <c r="AJ403" s="88"/>
      <c r="AK403" s="89"/>
      <c r="AL403" s="90"/>
      <c r="AM403" s="91"/>
      <c r="AN403" s="91"/>
      <c r="AO403" s="243" t="str">
        <f t="shared" si="15"/>
        <v>3UNCERAJMDAB38</v>
      </c>
    </row>
    <row r="404" spans="1:41" x14ac:dyDescent="0.15">
      <c r="A404" s="83">
        <v>4113</v>
      </c>
      <c r="B404" s="92">
        <v>272</v>
      </c>
      <c r="C404" s="92">
        <v>36882</v>
      </c>
      <c r="D404" s="92" t="s">
        <v>61</v>
      </c>
      <c r="E404" s="92" t="s">
        <v>45</v>
      </c>
      <c r="F404" s="92" t="s">
        <v>26</v>
      </c>
      <c r="G404" s="92" t="str">
        <f t="shared" si="16"/>
        <v>3TNCERAJMDAB</v>
      </c>
      <c r="H404" s="92" t="s">
        <v>1648</v>
      </c>
      <c r="I404" s="92" t="s">
        <v>20</v>
      </c>
      <c r="J404" s="92" t="s">
        <v>21</v>
      </c>
      <c r="K404" s="92" t="s">
        <v>2178</v>
      </c>
      <c r="L404" s="92" t="s">
        <v>293</v>
      </c>
      <c r="M404" s="92"/>
      <c r="N404" s="92"/>
      <c r="O404" s="93">
        <v>38</v>
      </c>
      <c r="P404" s="92">
        <v>3</v>
      </c>
      <c r="Q404" s="92" t="s">
        <v>2334</v>
      </c>
      <c r="R404" s="93">
        <v>1260</v>
      </c>
      <c r="S404" s="93">
        <v>6200</v>
      </c>
      <c r="T404" s="93">
        <v>1250</v>
      </c>
      <c r="U404" s="93">
        <v>1250</v>
      </c>
      <c r="V404" s="93">
        <v>6000</v>
      </c>
      <c r="W404" s="84">
        <v>1</v>
      </c>
      <c r="X404" s="85" t="s">
        <v>14</v>
      </c>
      <c r="Y404" s="86" t="s">
        <v>487</v>
      </c>
      <c r="Z404" s="87">
        <v>6</v>
      </c>
      <c r="AA404" s="88" t="s">
        <v>266</v>
      </c>
      <c r="AB404" s="89">
        <v>1270</v>
      </c>
      <c r="AC404" s="86"/>
      <c r="AD404" s="88"/>
      <c r="AE404" s="89"/>
      <c r="AF404" s="86"/>
      <c r="AG404" s="88"/>
      <c r="AH404" s="89"/>
      <c r="AI404" s="86"/>
      <c r="AJ404" s="88"/>
      <c r="AK404" s="89"/>
      <c r="AL404" s="90"/>
      <c r="AM404" s="91"/>
      <c r="AN404" s="91"/>
      <c r="AO404" s="243" t="str">
        <f t="shared" si="15"/>
        <v>3TNCERAJMDAB38</v>
      </c>
    </row>
    <row r="405" spans="1:41" x14ac:dyDescent="0.15">
      <c r="A405" s="83">
        <v>4113</v>
      </c>
      <c r="B405" s="92">
        <v>272</v>
      </c>
      <c r="C405" s="92">
        <v>36882</v>
      </c>
      <c r="D405" s="92" t="s">
        <v>61</v>
      </c>
      <c r="E405" s="92" t="s">
        <v>45</v>
      </c>
      <c r="F405" s="92" t="s">
        <v>26</v>
      </c>
      <c r="G405" s="92" t="str">
        <f t="shared" si="16"/>
        <v>3TNCERAJMDAB</v>
      </c>
      <c r="H405" s="92" t="s">
        <v>1648</v>
      </c>
      <c r="I405" s="92" t="s">
        <v>20</v>
      </c>
      <c r="J405" s="92" t="s">
        <v>21</v>
      </c>
      <c r="K405" s="92" t="s">
        <v>2178</v>
      </c>
      <c r="L405" s="92" t="s">
        <v>293</v>
      </c>
      <c r="M405" s="92"/>
      <c r="N405" s="92"/>
      <c r="O405" s="93">
        <v>38</v>
      </c>
      <c r="P405" s="92">
        <v>3</v>
      </c>
      <c r="Q405" s="92" t="s">
        <v>2334</v>
      </c>
      <c r="R405" s="93">
        <v>1590</v>
      </c>
      <c r="S405" s="93">
        <v>6200</v>
      </c>
      <c r="T405" s="93">
        <v>750</v>
      </c>
      <c r="U405" s="93">
        <v>750</v>
      </c>
      <c r="V405" s="93">
        <v>6000</v>
      </c>
      <c r="W405" s="84">
        <v>1</v>
      </c>
      <c r="X405" s="85" t="s">
        <v>14</v>
      </c>
      <c r="Y405" s="86" t="s">
        <v>295</v>
      </c>
      <c r="Z405" s="87">
        <v>6</v>
      </c>
      <c r="AA405" s="88" t="s">
        <v>266</v>
      </c>
      <c r="AB405" s="89">
        <v>1700</v>
      </c>
      <c r="AC405" s="86">
        <v>6</v>
      </c>
      <c r="AD405" s="88" t="s">
        <v>266</v>
      </c>
      <c r="AE405" s="89">
        <v>930</v>
      </c>
      <c r="AF405" s="86"/>
      <c r="AG405" s="88"/>
      <c r="AH405" s="89"/>
      <c r="AI405" s="86"/>
      <c r="AJ405" s="88"/>
      <c r="AK405" s="89"/>
      <c r="AL405" s="90"/>
      <c r="AM405" s="91"/>
      <c r="AN405" s="91"/>
      <c r="AO405" s="243" t="str">
        <f t="shared" si="15"/>
        <v>3TNCERAJMDAB38</v>
      </c>
    </row>
    <row r="406" spans="1:41" x14ac:dyDescent="0.15">
      <c r="A406" s="83">
        <v>4114</v>
      </c>
      <c r="B406" s="92">
        <v>272</v>
      </c>
      <c r="C406" s="92">
        <v>36882</v>
      </c>
      <c r="D406" s="92" t="s">
        <v>61</v>
      </c>
      <c r="E406" s="92" t="s">
        <v>45</v>
      </c>
      <c r="F406" s="92" t="s">
        <v>26</v>
      </c>
      <c r="G406" s="92" t="str">
        <f t="shared" si="16"/>
        <v>3UNCERAMD(A)R</v>
      </c>
      <c r="H406" s="92" t="s">
        <v>269</v>
      </c>
      <c r="I406" s="92" t="s">
        <v>20</v>
      </c>
      <c r="J406" s="92" t="s">
        <v>21</v>
      </c>
      <c r="K406" s="92" t="s">
        <v>1556</v>
      </c>
      <c r="L406" s="92" t="s">
        <v>2184</v>
      </c>
      <c r="M406" s="92" t="str">
        <f t="shared" ref="M406" si="19">G406&amp;O406&amp;R406</f>
        <v>3UNCERAMD(A)R381255</v>
      </c>
      <c r="N406" s="92" t="str">
        <f t="shared" ref="N406" si="20">G406&amp;O406&amp;U406</f>
        <v>3UNCERAMD(A)R38750</v>
      </c>
      <c r="O406" s="93">
        <v>38</v>
      </c>
      <c r="P406" s="92">
        <v>3</v>
      </c>
      <c r="Q406" s="92" t="s">
        <v>1992</v>
      </c>
      <c r="R406" s="93">
        <v>1255</v>
      </c>
      <c r="S406" s="93">
        <v>12200</v>
      </c>
      <c r="T406" s="93">
        <v>750</v>
      </c>
      <c r="U406" s="93">
        <v>750</v>
      </c>
      <c r="V406" s="93">
        <v>6000</v>
      </c>
      <c r="W406" s="84">
        <v>2</v>
      </c>
      <c r="X406" s="85" t="s">
        <v>14</v>
      </c>
      <c r="Y406" s="86" t="s">
        <v>295</v>
      </c>
      <c r="Z406" s="87">
        <v>6</v>
      </c>
      <c r="AA406" s="88" t="s">
        <v>266</v>
      </c>
      <c r="AB406" s="89">
        <v>1450</v>
      </c>
      <c r="AC406" s="86">
        <v>6</v>
      </c>
      <c r="AD406" s="88" t="s">
        <v>266</v>
      </c>
      <c r="AE406" s="89">
        <v>930</v>
      </c>
      <c r="AF406" s="86"/>
      <c r="AG406" s="88"/>
      <c r="AH406" s="89"/>
      <c r="AI406" s="86"/>
      <c r="AJ406" s="88"/>
      <c r="AK406" s="89"/>
      <c r="AL406" s="90">
        <v>6</v>
      </c>
      <c r="AM406" s="91" t="s">
        <v>301</v>
      </c>
      <c r="AN406" s="91" t="s">
        <v>473</v>
      </c>
      <c r="AO406" s="243" t="str">
        <f t="shared" si="15"/>
        <v>3UNCERAMD(A)R38</v>
      </c>
    </row>
    <row r="407" spans="1:41" x14ac:dyDescent="0.15">
      <c r="A407" s="83">
        <v>4114</v>
      </c>
      <c r="B407" s="92">
        <v>272</v>
      </c>
      <c r="C407" s="92">
        <v>36882</v>
      </c>
      <c r="D407" s="92" t="s">
        <v>61</v>
      </c>
      <c r="E407" s="92" t="s">
        <v>45</v>
      </c>
      <c r="F407" s="92" t="s">
        <v>26</v>
      </c>
      <c r="G407" s="92" t="str">
        <f t="shared" si="16"/>
        <v>3UNCERATKA0709</v>
      </c>
      <c r="H407" s="92" t="s">
        <v>1657</v>
      </c>
      <c r="I407" s="92" t="s">
        <v>1550</v>
      </c>
      <c r="J407" s="92" t="s">
        <v>1552</v>
      </c>
      <c r="K407" s="92" t="s">
        <v>2185</v>
      </c>
      <c r="L407" s="92" t="s">
        <v>2186</v>
      </c>
      <c r="M407" s="92" t="str">
        <f t="shared" si="17"/>
        <v>3UNCERATKA0709751200</v>
      </c>
      <c r="N407" s="92" t="str">
        <f t="shared" si="18"/>
        <v>3UNCERATKA0709751190</v>
      </c>
      <c r="O407" s="93">
        <v>75</v>
      </c>
      <c r="P407" s="92">
        <v>3</v>
      </c>
      <c r="Q407" s="92" t="s">
        <v>486</v>
      </c>
      <c r="R407" s="93">
        <v>1200</v>
      </c>
      <c r="S407" s="93">
        <v>4500</v>
      </c>
      <c r="T407" s="93">
        <v>1190</v>
      </c>
      <c r="U407" s="93">
        <v>1190</v>
      </c>
      <c r="V407" s="93">
        <v>4000</v>
      </c>
      <c r="W407" s="84">
        <v>2</v>
      </c>
      <c r="X407" s="85" t="s">
        <v>2009</v>
      </c>
      <c r="Y407" s="86" t="s">
        <v>487</v>
      </c>
      <c r="Z407" s="87">
        <v>6</v>
      </c>
      <c r="AA407" s="88" t="s">
        <v>266</v>
      </c>
      <c r="AB407" s="89">
        <v>1250</v>
      </c>
      <c r="AC407" s="86"/>
      <c r="AD407" s="88"/>
      <c r="AE407" s="89"/>
      <c r="AF407" s="86"/>
      <c r="AG407" s="88"/>
      <c r="AH407" s="89"/>
      <c r="AI407" s="86"/>
      <c r="AJ407" s="88"/>
      <c r="AK407" s="89"/>
      <c r="AL407" s="90"/>
      <c r="AM407" s="91"/>
      <c r="AN407" s="91"/>
      <c r="AO407" s="243" t="str">
        <f t="shared" si="15"/>
        <v>3UNCERATKA070975</v>
      </c>
    </row>
    <row r="408" spans="1:41" x14ac:dyDescent="0.15">
      <c r="A408" s="83">
        <v>4114</v>
      </c>
      <c r="B408" s="92">
        <v>274</v>
      </c>
      <c r="C408" s="92">
        <v>36888</v>
      </c>
      <c r="D408" s="92" t="s">
        <v>560</v>
      </c>
      <c r="E408" s="92"/>
      <c r="F408" s="92"/>
      <c r="G408" s="92" t="str">
        <f t="shared" si="16"/>
        <v>3UYCERATKA1440</v>
      </c>
      <c r="H408" s="92" t="s">
        <v>1657</v>
      </c>
      <c r="I408" s="92" t="s">
        <v>2031</v>
      </c>
      <c r="J408" s="92" t="s">
        <v>1552</v>
      </c>
      <c r="K408" s="92" t="s">
        <v>2187</v>
      </c>
      <c r="L408" s="92" t="s">
        <v>2188</v>
      </c>
      <c r="M408" s="92" t="str">
        <f t="shared" si="17"/>
        <v>3UYCERATKA1440501100</v>
      </c>
      <c r="N408" s="92" t="str">
        <f t="shared" si="18"/>
        <v>3UYCERATKA1440501000</v>
      </c>
      <c r="O408" s="93">
        <v>50</v>
      </c>
      <c r="P408" s="92">
        <v>3</v>
      </c>
      <c r="Q408" s="92" t="s">
        <v>2016</v>
      </c>
      <c r="R408" s="93">
        <v>1100</v>
      </c>
      <c r="S408" s="93">
        <v>4200</v>
      </c>
      <c r="T408" s="93">
        <v>1000</v>
      </c>
      <c r="U408" s="93">
        <v>1000</v>
      </c>
      <c r="V408" s="93">
        <v>500</v>
      </c>
      <c r="W408" s="84">
        <v>2</v>
      </c>
      <c r="X408" s="85" t="s">
        <v>2009</v>
      </c>
      <c r="Y408" s="86" t="s">
        <v>2010</v>
      </c>
      <c r="Z408" s="87">
        <v>6</v>
      </c>
      <c r="AA408" s="88" t="s">
        <v>266</v>
      </c>
      <c r="AB408" s="89">
        <v>1450</v>
      </c>
      <c r="AC408" s="86">
        <v>6</v>
      </c>
      <c r="AD408" s="88" t="s">
        <v>16</v>
      </c>
      <c r="AE408" s="89">
        <v>1450</v>
      </c>
      <c r="AF408" s="86"/>
      <c r="AG408" s="88"/>
      <c r="AH408" s="89"/>
      <c r="AI408" s="86"/>
      <c r="AJ408" s="88"/>
      <c r="AK408" s="89"/>
      <c r="AL408" s="90"/>
      <c r="AM408" s="91"/>
      <c r="AN408" s="91"/>
      <c r="AO408" s="243" t="str">
        <f t="shared" si="15"/>
        <v>3UYCERATKA144050</v>
      </c>
    </row>
    <row r="409" spans="1:41" x14ac:dyDescent="0.15">
      <c r="A409" s="83">
        <v>4114</v>
      </c>
      <c r="B409" s="92">
        <v>274</v>
      </c>
      <c r="C409" s="92">
        <v>36888</v>
      </c>
      <c r="D409" s="92" t="s">
        <v>560</v>
      </c>
      <c r="E409" s="92"/>
      <c r="F409" s="92"/>
      <c r="G409" s="92" t="str">
        <f t="shared" si="16"/>
        <v>3UYCERATKA1540</v>
      </c>
      <c r="H409" s="92" t="s">
        <v>1657</v>
      </c>
      <c r="I409" s="92" t="s">
        <v>2031</v>
      </c>
      <c r="J409" s="92" t="s">
        <v>1552</v>
      </c>
      <c r="K409" s="92" t="s">
        <v>2189</v>
      </c>
      <c r="L409" s="92" t="s">
        <v>2190</v>
      </c>
      <c r="M409" s="92" t="str">
        <f t="shared" si="17"/>
        <v>3UYCERATKA1540501080</v>
      </c>
      <c r="N409" s="92" t="str">
        <f t="shared" si="18"/>
        <v>3UYCERATKA1540501000</v>
      </c>
      <c r="O409" s="93">
        <v>50</v>
      </c>
      <c r="P409" s="92">
        <v>3</v>
      </c>
      <c r="Q409" s="92" t="s">
        <v>2016</v>
      </c>
      <c r="R409" s="93">
        <v>1080</v>
      </c>
      <c r="S409" s="93">
        <v>6500</v>
      </c>
      <c r="T409" s="93">
        <v>1000</v>
      </c>
      <c r="U409" s="93">
        <v>1000</v>
      </c>
      <c r="V409" s="93">
        <v>500</v>
      </c>
      <c r="W409" s="84">
        <v>2</v>
      </c>
      <c r="X409" s="85" t="s">
        <v>2009</v>
      </c>
      <c r="Y409" s="86" t="s">
        <v>2010</v>
      </c>
      <c r="Z409" s="87">
        <v>6</v>
      </c>
      <c r="AA409" s="88" t="s">
        <v>266</v>
      </c>
      <c r="AB409" s="89">
        <v>1450</v>
      </c>
      <c r="AC409" s="86">
        <v>6</v>
      </c>
      <c r="AD409" s="88" t="s">
        <v>16</v>
      </c>
      <c r="AE409" s="89">
        <v>1450</v>
      </c>
      <c r="AF409" s="86"/>
      <c r="AG409" s="88"/>
      <c r="AH409" s="89"/>
      <c r="AI409" s="86"/>
      <c r="AJ409" s="88"/>
      <c r="AK409" s="89"/>
      <c r="AL409" s="90"/>
      <c r="AM409" s="91"/>
      <c r="AN409" s="91"/>
      <c r="AO409" s="243" t="str">
        <f t="shared" si="15"/>
        <v>3UYCERATKA154050</v>
      </c>
    </row>
    <row r="410" spans="1:41" x14ac:dyDescent="0.15">
      <c r="A410" s="83">
        <v>4114</v>
      </c>
      <c r="B410" s="92">
        <v>274</v>
      </c>
      <c r="C410" s="92">
        <v>36888</v>
      </c>
      <c r="D410" s="92" t="s">
        <v>560</v>
      </c>
      <c r="E410" s="92"/>
      <c r="F410" s="92"/>
      <c r="G410" s="92" t="str">
        <f t="shared" si="16"/>
        <v>3UNCERATKA1540</v>
      </c>
      <c r="H410" s="92" t="s">
        <v>1657</v>
      </c>
      <c r="I410" s="92" t="s">
        <v>1550</v>
      </c>
      <c r="J410" s="92" t="s">
        <v>1552</v>
      </c>
      <c r="K410" s="92" t="s">
        <v>2189</v>
      </c>
      <c r="L410" s="92" t="s">
        <v>2190</v>
      </c>
      <c r="M410" s="92" t="str">
        <f t="shared" si="17"/>
        <v>3UNCERATKA1540501080</v>
      </c>
      <c r="N410" s="92" t="str">
        <f t="shared" si="18"/>
        <v>3UNCERATKA1540501070</v>
      </c>
      <c r="O410" s="93">
        <v>50</v>
      </c>
      <c r="P410" s="92">
        <v>3</v>
      </c>
      <c r="Q410" s="92" t="s">
        <v>2016</v>
      </c>
      <c r="R410" s="93">
        <v>1080</v>
      </c>
      <c r="S410" s="93">
        <v>6500</v>
      </c>
      <c r="T410" s="93">
        <v>1070</v>
      </c>
      <c r="U410" s="93">
        <v>1070</v>
      </c>
      <c r="V410" s="93">
        <v>5000</v>
      </c>
      <c r="W410" s="84">
        <v>2</v>
      </c>
      <c r="X410" s="85" t="s">
        <v>2009</v>
      </c>
      <c r="Y410" s="86" t="s">
        <v>487</v>
      </c>
      <c r="Z410" s="87">
        <v>6</v>
      </c>
      <c r="AA410" s="88" t="s">
        <v>266</v>
      </c>
      <c r="AB410" s="89">
        <v>1450</v>
      </c>
      <c r="AC410" s="86"/>
      <c r="AD410" s="88"/>
      <c r="AE410" s="89"/>
      <c r="AF410" s="86"/>
      <c r="AG410" s="88"/>
      <c r="AH410" s="89"/>
      <c r="AI410" s="86"/>
      <c r="AJ410" s="88"/>
      <c r="AK410" s="89"/>
      <c r="AL410" s="90"/>
      <c r="AM410" s="91"/>
      <c r="AN410" s="91"/>
      <c r="AO410" s="243" t="str">
        <f t="shared" si="15"/>
        <v>3UNCERATKA154050</v>
      </c>
    </row>
    <row r="411" spans="1:41" x14ac:dyDescent="0.15">
      <c r="A411" s="83">
        <v>4114</v>
      </c>
      <c r="B411" s="92">
        <v>273</v>
      </c>
      <c r="C411" s="92">
        <v>36882</v>
      </c>
      <c r="D411" s="92" t="s">
        <v>544</v>
      </c>
      <c r="E411" s="92" t="s">
        <v>41</v>
      </c>
      <c r="F411" s="92"/>
      <c r="G411" s="92" t="str">
        <f t="shared" si="16"/>
        <v>3UNCERATKA0909</v>
      </c>
      <c r="H411" s="92" t="s">
        <v>1657</v>
      </c>
      <c r="I411" s="92" t="s">
        <v>1550</v>
      </c>
      <c r="J411" s="92" t="s">
        <v>1552</v>
      </c>
      <c r="K411" s="92" t="s">
        <v>2191</v>
      </c>
      <c r="L411" s="92" t="s">
        <v>2192</v>
      </c>
      <c r="M411" s="92" t="str">
        <f t="shared" si="17"/>
        <v>3UNCERATKA0909751360</v>
      </c>
      <c r="N411" s="92" t="str">
        <f t="shared" si="18"/>
        <v>3UNCERATKA0909751350</v>
      </c>
      <c r="O411" s="93">
        <v>75</v>
      </c>
      <c r="P411" s="92">
        <v>3</v>
      </c>
      <c r="Q411" s="92" t="s">
        <v>486</v>
      </c>
      <c r="R411" s="93">
        <v>1360</v>
      </c>
      <c r="S411" s="93">
        <v>4500</v>
      </c>
      <c r="T411" s="93">
        <v>1350</v>
      </c>
      <c r="U411" s="93">
        <v>1350</v>
      </c>
      <c r="V411" s="93">
        <v>3000</v>
      </c>
      <c r="W411" s="84">
        <v>1</v>
      </c>
      <c r="X411" s="85" t="s">
        <v>2009</v>
      </c>
      <c r="Y411" s="86" t="s">
        <v>27</v>
      </c>
      <c r="Z411" s="87">
        <v>6</v>
      </c>
      <c r="AA411" s="88" t="s">
        <v>266</v>
      </c>
      <c r="AB411" s="89"/>
      <c r="AC411" s="86"/>
      <c r="AD411" s="88"/>
      <c r="AE411" s="89"/>
      <c r="AF411" s="86"/>
      <c r="AG411" s="88"/>
      <c r="AH411" s="89"/>
      <c r="AI411" s="86"/>
      <c r="AJ411" s="88"/>
      <c r="AK411" s="89"/>
      <c r="AL411" s="90"/>
      <c r="AM411" s="91"/>
      <c r="AN411" s="91"/>
      <c r="AO411" s="243" t="str">
        <f t="shared" si="15"/>
        <v>3UNCERATKA090975</v>
      </c>
    </row>
    <row r="412" spans="1:41" x14ac:dyDescent="0.15">
      <c r="A412" s="83">
        <v>4114</v>
      </c>
      <c r="B412" s="92">
        <v>273</v>
      </c>
      <c r="C412" s="92">
        <v>36882</v>
      </c>
      <c r="D412" s="92" t="s">
        <v>545</v>
      </c>
      <c r="E412" s="92" t="s">
        <v>41</v>
      </c>
      <c r="F412" s="92"/>
      <c r="G412" s="92" t="str">
        <f t="shared" si="16"/>
        <v>3UNCERATKA0909</v>
      </c>
      <c r="H412" s="92" t="s">
        <v>1657</v>
      </c>
      <c r="I412" s="92" t="s">
        <v>1550</v>
      </c>
      <c r="J412" s="92" t="s">
        <v>1552</v>
      </c>
      <c r="K412" s="92" t="s">
        <v>2191</v>
      </c>
      <c r="L412" s="92" t="s">
        <v>2192</v>
      </c>
      <c r="M412" s="92" t="str">
        <f t="shared" si="17"/>
        <v>3UNCERATKA0909751360</v>
      </c>
      <c r="N412" s="92" t="str">
        <f t="shared" si="18"/>
        <v>3UNCERATKA0909751350</v>
      </c>
      <c r="O412" s="93">
        <v>75</v>
      </c>
      <c r="P412" s="92">
        <v>3</v>
      </c>
      <c r="Q412" s="92" t="s">
        <v>486</v>
      </c>
      <c r="R412" s="93">
        <v>1360</v>
      </c>
      <c r="S412" s="93">
        <v>4500</v>
      </c>
      <c r="T412" s="93">
        <v>1350</v>
      </c>
      <c r="U412" s="93">
        <v>1350</v>
      </c>
      <c r="V412" s="93">
        <v>1300</v>
      </c>
      <c r="W412" s="84">
        <v>2</v>
      </c>
      <c r="X412" s="85" t="s">
        <v>2009</v>
      </c>
      <c r="Y412" s="86" t="s">
        <v>27</v>
      </c>
      <c r="Z412" s="87">
        <v>6</v>
      </c>
      <c r="AA412" s="88" t="s">
        <v>266</v>
      </c>
      <c r="AB412" s="89"/>
      <c r="AC412" s="86"/>
      <c r="AD412" s="88"/>
      <c r="AE412" s="89"/>
      <c r="AF412" s="86"/>
      <c r="AG412" s="88"/>
      <c r="AH412" s="89"/>
      <c r="AI412" s="86"/>
      <c r="AJ412" s="88"/>
      <c r="AK412" s="89"/>
      <c r="AL412" s="90"/>
      <c r="AM412" s="91"/>
      <c r="AN412" s="91"/>
      <c r="AO412" s="243" t="str">
        <f t="shared" si="15"/>
        <v>3UNCERATKA090975</v>
      </c>
    </row>
    <row r="413" spans="1:41" x14ac:dyDescent="0.15">
      <c r="A413" s="83">
        <v>4114</v>
      </c>
      <c r="B413" s="92">
        <v>271</v>
      </c>
      <c r="C413" s="92">
        <v>35541</v>
      </c>
      <c r="D413" s="92" t="s">
        <v>32</v>
      </c>
      <c r="E413" s="92" t="s">
        <v>18</v>
      </c>
      <c r="F413" s="92" t="s">
        <v>12</v>
      </c>
      <c r="G413" s="92" t="str">
        <f t="shared" si="16"/>
        <v>3UNCERATKA07RX</v>
      </c>
      <c r="H413" s="92" t="s">
        <v>1657</v>
      </c>
      <c r="I413" s="92" t="s">
        <v>1550</v>
      </c>
      <c r="J413" s="92" t="s">
        <v>1552</v>
      </c>
      <c r="K413" s="92" t="s">
        <v>2342</v>
      </c>
      <c r="L413" s="92" t="s">
        <v>2343</v>
      </c>
      <c r="M413" s="92" t="str">
        <f t="shared" si="17"/>
        <v>3UNCERATKA07RX381335</v>
      </c>
      <c r="N413" s="92" t="str">
        <f t="shared" si="18"/>
        <v>3UNCERATKA07RX381330</v>
      </c>
      <c r="O413" s="93">
        <v>38</v>
      </c>
      <c r="P413" s="92">
        <v>3</v>
      </c>
      <c r="Q413" s="92" t="s">
        <v>1993</v>
      </c>
      <c r="R413" s="93">
        <v>1335</v>
      </c>
      <c r="S413" s="93">
        <v>12200</v>
      </c>
      <c r="T413" s="93">
        <v>1330</v>
      </c>
      <c r="U413" s="93">
        <v>1330</v>
      </c>
      <c r="V413" s="93">
        <v>6000</v>
      </c>
      <c r="W413" s="84">
        <v>2</v>
      </c>
      <c r="X413" s="85" t="s">
        <v>2009</v>
      </c>
      <c r="Y413" s="86" t="s">
        <v>487</v>
      </c>
      <c r="Z413" s="87">
        <v>6</v>
      </c>
      <c r="AA413" s="88" t="s">
        <v>266</v>
      </c>
      <c r="AB413" s="89">
        <v>1450</v>
      </c>
      <c r="AC413" s="86"/>
      <c r="AD413" s="88"/>
      <c r="AE413" s="89"/>
      <c r="AF413" s="86"/>
      <c r="AG413" s="88"/>
      <c r="AH413" s="89"/>
      <c r="AI413" s="86"/>
      <c r="AJ413" s="88"/>
      <c r="AK413" s="89"/>
      <c r="AL413" s="90"/>
      <c r="AM413" s="91"/>
      <c r="AN413" s="91"/>
      <c r="AO413" s="243" t="str">
        <f t="shared" si="15"/>
        <v>3UNCERATKA07RX38</v>
      </c>
    </row>
    <row r="414" spans="1:41" x14ac:dyDescent="0.15">
      <c r="A414" s="83">
        <v>4114</v>
      </c>
      <c r="B414" s="92">
        <v>271</v>
      </c>
      <c r="C414" s="92">
        <v>35541</v>
      </c>
      <c r="D414" s="92" t="s">
        <v>32</v>
      </c>
      <c r="E414" s="92" t="s">
        <v>18</v>
      </c>
      <c r="F414" s="92" t="s">
        <v>12</v>
      </c>
      <c r="G414" s="92" t="str">
        <f t="shared" si="16"/>
        <v>3UNCERATKA09RX</v>
      </c>
      <c r="H414" s="92" t="s">
        <v>1657</v>
      </c>
      <c r="I414" s="92" t="s">
        <v>1550</v>
      </c>
      <c r="J414" s="92" t="s">
        <v>1552</v>
      </c>
      <c r="K414" s="92" t="s">
        <v>2193</v>
      </c>
      <c r="L414" s="92" t="s">
        <v>2194</v>
      </c>
      <c r="M414" s="92" t="str">
        <f t="shared" si="17"/>
        <v>3UNCERATKA09RX381335</v>
      </c>
      <c r="N414" s="92" t="str">
        <f t="shared" si="18"/>
        <v>3UNCERATKA09RX381330</v>
      </c>
      <c r="O414" s="93">
        <v>38</v>
      </c>
      <c r="P414" s="92">
        <v>3</v>
      </c>
      <c r="Q414" s="92" t="s">
        <v>1993</v>
      </c>
      <c r="R414" s="93">
        <v>1335</v>
      </c>
      <c r="S414" s="93">
        <v>12200</v>
      </c>
      <c r="T414" s="93">
        <v>1330</v>
      </c>
      <c r="U414" s="93">
        <v>1330</v>
      </c>
      <c r="V414" s="93">
        <v>6000</v>
      </c>
      <c r="W414" s="84">
        <v>2</v>
      </c>
      <c r="X414" s="85" t="s">
        <v>2009</v>
      </c>
      <c r="Y414" s="86" t="s">
        <v>487</v>
      </c>
      <c r="Z414" s="87">
        <v>6</v>
      </c>
      <c r="AA414" s="88" t="s">
        <v>266</v>
      </c>
      <c r="AB414" s="89">
        <v>1450</v>
      </c>
      <c r="AC414" s="86"/>
      <c r="AD414" s="88"/>
      <c r="AE414" s="89"/>
      <c r="AF414" s="86"/>
      <c r="AG414" s="88"/>
      <c r="AH414" s="89"/>
      <c r="AI414" s="86"/>
      <c r="AJ414" s="88"/>
      <c r="AK414" s="89"/>
      <c r="AL414" s="90"/>
      <c r="AM414" s="91"/>
      <c r="AN414" s="91"/>
      <c r="AO414" s="243" t="str">
        <f t="shared" si="15"/>
        <v>3UNCERATKA09RX38</v>
      </c>
    </row>
    <row r="415" spans="1:41" x14ac:dyDescent="0.15">
      <c r="A415" s="83">
        <v>4114</v>
      </c>
      <c r="B415" s="92">
        <v>271</v>
      </c>
      <c r="C415" s="92">
        <v>35541</v>
      </c>
      <c r="D415" s="92" t="s">
        <v>32</v>
      </c>
      <c r="E415" s="92" t="s">
        <v>18</v>
      </c>
      <c r="F415" s="92" t="s">
        <v>12</v>
      </c>
      <c r="G415" s="92" t="str">
        <f t="shared" si="16"/>
        <v>3UNCERATKA07X</v>
      </c>
      <c r="H415" s="92" t="s">
        <v>1657</v>
      </c>
      <c r="I415" s="92" t="s">
        <v>1550</v>
      </c>
      <c r="J415" s="92" t="s">
        <v>1552</v>
      </c>
      <c r="K415" s="92" t="s">
        <v>2195</v>
      </c>
      <c r="L415" s="92" t="s">
        <v>2196</v>
      </c>
      <c r="M415" s="92" t="str">
        <f t="shared" si="17"/>
        <v>3UNCERATKA07X751335</v>
      </c>
      <c r="N415" s="92" t="str">
        <f t="shared" si="18"/>
        <v>3UNCERATKA07X751330</v>
      </c>
      <c r="O415" s="93">
        <v>75</v>
      </c>
      <c r="P415" s="92">
        <v>3</v>
      </c>
      <c r="Q415" s="92" t="s">
        <v>486</v>
      </c>
      <c r="R415" s="93">
        <v>1335</v>
      </c>
      <c r="S415" s="93">
        <v>4200</v>
      </c>
      <c r="T415" s="93">
        <v>1330</v>
      </c>
      <c r="U415" s="93">
        <v>1330</v>
      </c>
      <c r="V415" s="93">
        <v>4100</v>
      </c>
      <c r="W415" s="84">
        <v>2</v>
      </c>
      <c r="X415" s="85" t="s">
        <v>2009</v>
      </c>
      <c r="Y415" s="86" t="s">
        <v>487</v>
      </c>
      <c r="Z415" s="87">
        <v>6</v>
      </c>
      <c r="AA415" s="88" t="s">
        <v>266</v>
      </c>
      <c r="AB415" s="89">
        <v>1450</v>
      </c>
      <c r="AC415" s="86"/>
      <c r="AD415" s="88"/>
      <c r="AE415" s="89"/>
      <c r="AF415" s="86"/>
      <c r="AG415" s="88"/>
      <c r="AH415" s="89"/>
      <c r="AI415" s="86"/>
      <c r="AJ415" s="88"/>
      <c r="AK415" s="89"/>
      <c r="AL415" s="90"/>
      <c r="AM415" s="91"/>
      <c r="AN415" s="91"/>
      <c r="AO415" s="243" t="str">
        <f t="shared" si="15"/>
        <v>3UNCERATKA07X75</v>
      </c>
    </row>
    <row r="416" spans="1:41" x14ac:dyDescent="0.15">
      <c r="A416" s="83">
        <v>4114</v>
      </c>
      <c r="B416" s="92">
        <v>271</v>
      </c>
      <c r="C416" s="92">
        <v>7361</v>
      </c>
      <c r="D416" s="92" t="s">
        <v>280</v>
      </c>
      <c r="E416" s="92" t="s">
        <v>18</v>
      </c>
      <c r="F416" s="92" t="s">
        <v>184</v>
      </c>
      <c r="G416" s="92" t="str">
        <f t="shared" si="16"/>
        <v>3UNCERATKA07X</v>
      </c>
      <c r="H416" s="92" t="s">
        <v>1657</v>
      </c>
      <c r="I416" s="92" t="s">
        <v>1550</v>
      </c>
      <c r="J416" s="92" t="s">
        <v>1552</v>
      </c>
      <c r="K416" s="92" t="s">
        <v>2195</v>
      </c>
      <c r="L416" s="92" t="s">
        <v>2197</v>
      </c>
      <c r="M416" s="92" t="str">
        <f t="shared" si="17"/>
        <v>3UNCERATKA07X501110</v>
      </c>
      <c r="N416" s="92" t="str">
        <f t="shared" si="18"/>
        <v>3UNCERATKA07X501100</v>
      </c>
      <c r="O416" s="93">
        <v>50</v>
      </c>
      <c r="P416" s="92">
        <v>3</v>
      </c>
      <c r="Q416" s="92" t="s">
        <v>486</v>
      </c>
      <c r="R416" s="93">
        <v>1110</v>
      </c>
      <c r="S416" s="93">
        <v>4200</v>
      </c>
      <c r="T416" s="93">
        <v>1100</v>
      </c>
      <c r="U416" s="93">
        <v>1100</v>
      </c>
      <c r="V416" s="93">
        <v>4000</v>
      </c>
      <c r="W416" s="84">
        <v>2</v>
      </c>
      <c r="X416" s="85" t="s">
        <v>2009</v>
      </c>
      <c r="Y416" s="86" t="s">
        <v>487</v>
      </c>
      <c r="Z416" s="87">
        <v>6</v>
      </c>
      <c r="AA416" s="88" t="s">
        <v>266</v>
      </c>
      <c r="AB416" s="89">
        <v>1170</v>
      </c>
      <c r="AC416" s="86"/>
      <c r="AD416" s="88"/>
      <c r="AE416" s="89"/>
      <c r="AF416" s="86"/>
      <c r="AG416" s="88"/>
      <c r="AH416" s="89"/>
      <c r="AI416" s="86"/>
      <c r="AJ416" s="88"/>
      <c r="AK416" s="89"/>
      <c r="AL416" s="90"/>
      <c r="AM416" s="91"/>
      <c r="AN416" s="91"/>
      <c r="AO416" s="243" t="str">
        <f t="shared" si="15"/>
        <v>3UNCERATKA07X50</v>
      </c>
    </row>
    <row r="417" spans="1:41" x14ac:dyDescent="0.15">
      <c r="A417" s="83">
        <v>4114</v>
      </c>
      <c r="B417" s="92">
        <v>271</v>
      </c>
      <c r="C417" s="92">
        <v>7361</v>
      </c>
      <c r="D417" s="92" t="s">
        <v>280</v>
      </c>
      <c r="E417" s="92" t="s">
        <v>18</v>
      </c>
      <c r="F417" s="92" t="s">
        <v>184</v>
      </c>
      <c r="G417" s="92" t="str">
        <f t="shared" si="16"/>
        <v>330UNCERABX8AX</v>
      </c>
      <c r="H417" s="92" t="s">
        <v>1657</v>
      </c>
      <c r="I417" s="92" t="s">
        <v>1550</v>
      </c>
      <c r="J417" s="92" t="s">
        <v>1552</v>
      </c>
      <c r="K417" s="92" t="s">
        <v>2198</v>
      </c>
      <c r="L417" s="92" t="s">
        <v>2199</v>
      </c>
      <c r="M417" s="92" t="str">
        <f t="shared" si="17"/>
        <v>330UNCERABX8AX751110</v>
      </c>
      <c r="N417" s="92" t="str">
        <f t="shared" si="18"/>
        <v>330UNCERABX8AX751100</v>
      </c>
      <c r="O417" s="93">
        <v>75</v>
      </c>
      <c r="P417" s="92">
        <v>330</v>
      </c>
      <c r="Q417" s="92" t="s">
        <v>486</v>
      </c>
      <c r="R417" s="93">
        <v>1110</v>
      </c>
      <c r="S417" s="93">
        <v>4200</v>
      </c>
      <c r="T417" s="93">
        <v>1100</v>
      </c>
      <c r="U417" s="93">
        <v>1100</v>
      </c>
      <c r="V417" s="93">
        <v>4000</v>
      </c>
      <c r="W417" s="84">
        <v>2</v>
      </c>
      <c r="X417" s="85" t="s">
        <v>2009</v>
      </c>
      <c r="Y417" s="86" t="s">
        <v>487</v>
      </c>
      <c r="Z417" s="87">
        <v>6</v>
      </c>
      <c r="AA417" s="88" t="s">
        <v>266</v>
      </c>
      <c r="AB417" s="89">
        <v>1170</v>
      </c>
      <c r="AC417" s="86"/>
      <c r="AD417" s="88"/>
      <c r="AE417" s="89"/>
      <c r="AF417" s="86"/>
      <c r="AG417" s="88"/>
      <c r="AH417" s="89"/>
      <c r="AI417" s="86"/>
      <c r="AJ417" s="88"/>
      <c r="AK417" s="89"/>
      <c r="AL417" s="90"/>
      <c r="AM417" s="91"/>
      <c r="AN417" s="91"/>
      <c r="AO417" s="243" t="str">
        <f t="shared" si="15"/>
        <v>330UNCERABX8AX75</v>
      </c>
    </row>
    <row r="418" spans="1:41" x14ac:dyDescent="0.15">
      <c r="A418" s="83">
        <v>4114</v>
      </c>
      <c r="B418" s="92">
        <v>272</v>
      </c>
      <c r="C418" s="92">
        <v>36882</v>
      </c>
      <c r="D418" s="92" t="s">
        <v>61</v>
      </c>
      <c r="E418" s="92" t="s">
        <v>45</v>
      </c>
      <c r="F418" s="92" t="s">
        <v>26</v>
      </c>
      <c r="G418" s="92" t="str">
        <f t="shared" si="16"/>
        <v>3UNCERABX8A37</v>
      </c>
      <c r="H418" s="92" t="s">
        <v>1657</v>
      </c>
      <c r="I418" s="92" t="s">
        <v>1550</v>
      </c>
      <c r="J418" s="92" t="s">
        <v>1552</v>
      </c>
      <c r="K418" s="92" t="s">
        <v>2200</v>
      </c>
      <c r="L418" s="92" t="s">
        <v>2201</v>
      </c>
      <c r="M418" s="92" t="str">
        <f t="shared" si="17"/>
        <v>3UNCERABX8A37751060</v>
      </c>
      <c r="N418" s="92" t="str">
        <f t="shared" si="18"/>
        <v>3UNCERABX8A37751050</v>
      </c>
      <c r="O418" s="93">
        <v>75</v>
      </c>
      <c r="P418" s="92">
        <v>3</v>
      </c>
      <c r="Q418" s="92" t="s">
        <v>2005</v>
      </c>
      <c r="R418" s="93">
        <v>1060</v>
      </c>
      <c r="S418" s="93">
        <v>6200</v>
      </c>
      <c r="T418" s="93">
        <v>1050</v>
      </c>
      <c r="U418" s="93">
        <v>1050</v>
      </c>
      <c r="V418" s="93">
        <v>6000</v>
      </c>
      <c r="W418" s="84">
        <v>2</v>
      </c>
      <c r="X418" s="85" t="s">
        <v>2009</v>
      </c>
      <c r="Y418" s="86" t="s">
        <v>487</v>
      </c>
      <c r="Z418" s="87">
        <v>6</v>
      </c>
      <c r="AA418" s="88" t="s">
        <v>266</v>
      </c>
      <c r="AB418" s="89">
        <v>1250</v>
      </c>
      <c r="AC418" s="86"/>
      <c r="AD418" s="88"/>
      <c r="AE418" s="89"/>
      <c r="AF418" s="86"/>
      <c r="AG418" s="88"/>
      <c r="AH418" s="89"/>
      <c r="AI418" s="86"/>
      <c r="AJ418" s="88"/>
      <c r="AK418" s="89"/>
      <c r="AL418" s="90"/>
      <c r="AM418" s="91"/>
      <c r="AN418" s="91"/>
      <c r="AO418" s="243" t="str">
        <f t="shared" si="15"/>
        <v>3UNCERABX8A3775</v>
      </c>
    </row>
    <row r="419" spans="1:41" x14ac:dyDescent="0.15">
      <c r="A419" s="83">
        <v>4114</v>
      </c>
      <c r="B419" s="92">
        <v>272</v>
      </c>
      <c r="C419" s="92">
        <v>36882</v>
      </c>
      <c r="D419" s="92" t="s">
        <v>61</v>
      </c>
      <c r="E419" s="92" t="s">
        <v>45</v>
      </c>
      <c r="F419" s="92" t="s">
        <v>26</v>
      </c>
      <c r="G419" s="92" t="str">
        <f t="shared" si="16"/>
        <v>3UNCERAJBX8AB</v>
      </c>
      <c r="H419" s="92" t="s">
        <v>1657</v>
      </c>
      <c r="I419" s="92" t="s">
        <v>1550</v>
      </c>
      <c r="J419" s="92" t="s">
        <v>1552</v>
      </c>
      <c r="K419" s="92" t="s">
        <v>2202</v>
      </c>
      <c r="L419" s="92" t="s">
        <v>2203</v>
      </c>
      <c r="M419" s="92" t="str">
        <f t="shared" si="17"/>
        <v>3UNCERAJBX8AB751060</v>
      </c>
      <c r="N419" s="92" t="str">
        <f t="shared" si="18"/>
        <v>3UNCERAJBX8AB751050</v>
      </c>
      <c r="O419" s="93">
        <v>75</v>
      </c>
      <c r="P419" s="92">
        <v>3</v>
      </c>
      <c r="Q419" s="92" t="s">
        <v>275</v>
      </c>
      <c r="R419" s="93">
        <v>1060</v>
      </c>
      <c r="S419" s="93">
        <v>6000</v>
      </c>
      <c r="T419" s="93">
        <v>1050</v>
      </c>
      <c r="U419" s="93">
        <v>1050</v>
      </c>
      <c r="V419" s="93">
        <v>5800</v>
      </c>
      <c r="W419" s="84">
        <v>2</v>
      </c>
      <c r="X419" s="85" t="s">
        <v>2009</v>
      </c>
      <c r="Y419" s="86" t="s">
        <v>487</v>
      </c>
      <c r="Z419" s="87">
        <v>6</v>
      </c>
      <c r="AA419" s="88" t="s">
        <v>266</v>
      </c>
      <c r="AB419" s="89">
        <v>1250</v>
      </c>
      <c r="AC419" s="86"/>
      <c r="AD419" s="88"/>
      <c r="AE419" s="89"/>
      <c r="AF419" s="86"/>
      <c r="AG419" s="88"/>
      <c r="AH419" s="89"/>
      <c r="AI419" s="86"/>
      <c r="AJ419" s="88"/>
      <c r="AK419" s="89"/>
      <c r="AL419" s="90"/>
      <c r="AM419" s="91"/>
      <c r="AN419" s="91"/>
      <c r="AO419" s="243" t="str">
        <f t="shared" si="15"/>
        <v>3UNCERAJBX8AB75</v>
      </c>
    </row>
    <row r="420" spans="1:41" x14ac:dyDescent="0.15">
      <c r="A420" s="83">
        <v>4114</v>
      </c>
      <c r="B420" s="92">
        <v>277</v>
      </c>
      <c r="C420" s="92"/>
      <c r="D420" s="92" t="s">
        <v>575</v>
      </c>
      <c r="E420" s="92" t="s">
        <v>2128</v>
      </c>
      <c r="F420" s="92"/>
      <c r="G420" s="92" t="str">
        <f t="shared" si="16"/>
        <v>3UYCERAJBX9AB</v>
      </c>
      <c r="H420" s="92" t="s">
        <v>1657</v>
      </c>
      <c r="I420" s="92" t="s">
        <v>2031</v>
      </c>
      <c r="J420" s="92" t="s">
        <v>1552</v>
      </c>
      <c r="K420" s="92" t="s">
        <v>2204</v>
      </c>
      <c r="L420" s="92" t="s">
        <v>2205</v>
      </c>
      <c r="M420" s="92" t="str">
        <f t="shared" si="17"/>
        <v>3UYCERAJBX9AB501595</v>
      </c>
      <c r="N420" s="92" t="str">
        <f t="shared" si="18"/>
        <v>3UYCERAJBX9AB50600</v>
      </c>
      <c r="O420" s="93">
        <v>50</v>
      </c>
      <c r="P420" s="92">
        <v>3</v>
      </c>
      <c r="Q420" s="92" t="s">
        <v>275</v>
      </c>
      <c r="R420" s="93">
        <v>1595</v>
      </c>
      <c r="S420" s="93">
        <v>6200</v>
      </c>
      <c r="T420" s="93">
        <v>600</v>
      </c>
      <c r="U420" s="93">
        <v>600</v>
      </c>
      <c r="V420" s="93">
        <v>1000</v>
      </c>
      <c r="W420" s="84">
        <v>2</v>
      </c>
      <c r="X420" s="85" t="s">
        <v>2009</v>
      </c>
      <c r="Y420" s="86" t="s">
        <v>2010</v>
      </c>
      <c r="Z420" s="87">
        <v>6</v>
      </c>
      <c r="AA420" s="88" t="s">
        <v>266</v>
      </c>
      <c r="AB420" s="89">
        <v>1700</v>
      </c>
      <c r="AC420" s="86"/>
      <c r="AD420" s="88"/>
      <c r="AE420" s="89"/>
      <c r="AF420" s="86"/>
      <c r="AG420" s="88"/>
      <c r="AH420" s="89"/>
      <c r="AI420" s="86"/>
      <c r="AJ420" s="88"/>
      <c r="AK420" s="89"/>
      <c r="AL420" s="90"/>
      <c r="AM420" s="91"/>
      <c r="AN420" s="91"/>
      <c r="AO420" s="243" t="str">
        <f t="shared" si="15"/>
        <v>3UYCERAJBX9AB50</v>
      </c>
    </row>
    <row r="421" spans="1:41" x14ac:dyDescent="0.15">
      <c r="A421" s="83">
        <v>4114</v>
      </c>
      <c r="B421" s="92">
        <v>271</v>
      </c>
      <c r="C421" s="92">
        <v>35541</v>
      </c>
      <c r="D421" s="92" t="s">
        <v>32</v>
      </c>
      <c r="E421" s="92" t="s">
        <v>18</v>
      </c>
      <c r="F421" s="92" t="s">
        <v>12</v>
      </c>
      <c r="G421" s="92" t="str">
        <f t="shared" si="16"/>
        <v>3UNCERABX8E26</v>
      </c>
      <c r="H421" s="92" t="s">
        <v>1657</v>
      </c>
      <c r="I421" s="92" t="s">
        <v>1550</v>
      </c>
      <c r="J421" s="92" t="s">
        <v>1552</v>
      </c>
      <c r="K421" s="92" t="s">
        <v>2206</v>
      </c>
      <c r="L421" s="92" t="s">
        <v>2207</v>
      </c>
      <c r="M421" s="92" t="str">
        <f t="shared" si="17"/>
        <v>3UNCERABX8E26381340</v>
      </c>
      <c r="N421" s="92" t="str">
        <f t="shared" si="18"/>
        <v>3UNCERABX8E26381330</v>
      </c>
      <c r="O421" s="93">
        <v>38</v>
      </c>
      <c r="P421" s="92">
        <v>3</v>
      </c>
      <c r="Q421" s="92" t="s">
        <v>2011</v>
      </c>
      <c r="R421" s="93">
        <v>1340</v>
      </c>
      <c r="S421" s="93">
        <v>12200</v>
      </c>
      <c r="T421" s="93">
        <v>1330</v>
      </c>
      <c r="U421" s="93">
        <v>1330</v>
      </c>
      <c r="V421" s="93">
        <v>6000</v>
      </c>
      <c r="W421" s="84">
        <v>2</v>
      </c>
      <c r="X421" s="85" t="s">
        <v>2009</v>
      </c>
      <c r="Y421" s="86" t="s">
        <v>487</v>
      </c>
      <c r="Z421" s="87">
        <v>6</v>
      </c>
      <c r="AA421" s="88" t="s">
        <v>266</v>
      </c>
      <c r="AB421" s="89"/>
      <c r="AC421" s="86"/>
      <c r="AD421" s="88"/>
      <c r="AE421" s="89"/>
      <c r="AF421" s="86"/>
      <c r="AG421" s="88"/>
      <c r="AH421" s="89"/>
      <c r="AI421" s="86"/>
      <c r="AJ421" s="88"/>
      <c r="AK421" s="89"/>
      <c r="AL421" s="90"/>
      <c r="AM421" s="91"/>
      <c r="AN421" s="91"/>
      <c r="AO421" s="243" t="str">
        <f t="shared" si="15"/>
        <v>3UNCERABX8E2638</v>
      </c>
    </row>
    <row r="422" spans="1:41" x14ac:dyDescent="0.15">
      <c r="A422" s="83">
        <v>4114</v>
      </c>
      <c r="B422" s="92">
        <v>271</v>
      </c>
      <c r="C422" s="92">
        <v>50713</v>
      </c>
      <c r="D422" s="92" t="s">
        <v>83</v>
      </c>
      <c r="E422" s="92" t="s">
        <v>18</v>
      </c>
      <c r="F422" s="92" t="s">
        <v>12</v>
      </c>
      <c r="G422" s="92" t="str">
        <f t="shared" si="16"/>
        <v>3UNCERABKE26</v>
      </c>
      <c r="H422" s="92" t="s">
        <v>1657</v>
      </c>
      <c r="I422" s="92" t="s">
        <v>1550</v>
      </c>
      <c r="J422" s="92" t="s">
        <v>1552</v>
      </c>
      <c r="K422" s="92" t="s">
        <v>2208</v>
      </c>
      <c r="L422" s="92" t="s">
        <v>2209</v>
      </c>
      <c r="M422" s="92" t="str">
        <f t="shared" si="17"/>
        <v>3UNCERABKE26251330</v>
      </c>
      <c r="N422" s="92" t="str">
        <f t="shared" si="18"/>
        <v>3UNCERABKE2625650</v>
      </c>
      <c r="O422" s="93">
        <v>25</v>
      </c>
      <c r="P422" s="92">
        <v>3</v>
      </c>
      <c r="Q422" s="92" t="s">
        <v>2011</v>
      </c>
      <c r="R422" s="93">
        <v>1330</v>
      </c>
      <c r="S422" s="93">
        <v>6000</v>
      </c>
      <c r="T422" s="93">
        <v>650</v>
      </c>
      <c r="U422" s="93">
        <v>650</v>
      </c>
      <c r="V422" s="93">
        <v>1000</v>
      </c>
      <c r="W422" s="84">
        <v>2</v>
      </c>
      <c r="X422" s="85" t="s">
        <v>2009</v>
      </c>
      <c r="Y422" s="86" t="s">
        <v>295</v>
      </c>
      <c r="Z422" s="87">
        <v>6</v>
      </c>
      <c r="AA422" s="88" t="s">
        <v>266</v>
      </c>
      <c r="AB422" s="89">
        <v>1450</v>
      </c>
      <c r="AC422" s="87">
        <v>3</v>
      </c>
      <c r="AD422" s="88" t="s">
        <v>39</v>
      </c>
      <c r="AE422" s="89" t="s">
        <v>2022</v>
      </c>
      <c r="AF422" s="86"/>
      <c r="AG422" s="88"/>
      <c r="AH422" s="89"/>
      <c r="AI422" s="86"/>
      <c r="AJ422" s="88"/>
      <c r="AK422" s="89"/>
      <c r="AL422" s="90"/>
      <c r="AM422" s="91"/>
      <c r="AN422" s="91"/>
      <c r="AO422" s="243" t="str">
        <f t="shared" si="15"/>
        <v>3UNCERABKE2625</v>
      </c>
    </row>
    <row r="423" spans="1:41" x14ac:dyDescent="0.15">
      <c r="A423" s="83">
        <v>4114</v>
      </c>
      <c r="B423" s="92">
        <v>271</v>
      </c>
      <c r="C423" s="92">
        <v>35541</v>
      </c>
      <c r="D423" s="92" t="s">
        <v>32</v>
      </c>
      <c r="E423" s="92" t="s">
        <v>18</v>
      </c>
      <c r="F423" s="92" t="s">
        <v>12</v>
      </c>
      <c r="G423" s="92" t="str">
        <f t="shared" si="16"/>
        <v>3UNCERABKE26</v>
      </c>
      <c r="H423" s="92" t="s">
        <v>1657</v>
      </c>
      <c r="I423" s="92" t="s">
        <v>1550</v>
      </c>
      <c r="J423" s="92" t="s">
        <v>1552</v>
      </c>
      <c r="K423" s="92" t="s">
        <v>2208</v>
      </c>
      <c r="L423" s="92" t="s">
        <v>2209</v>
      </c>
      <c r="M423" s="92" t="str">
        <f t="shared" si="17"/>
        <v>3UNCERABKE26251340</v>
      </c>
      <c r="N423" s="92" t="str">
        <f t="shared" si="18"/>
        <v>3UNCERABKE26251330</v>
      </c>
      <c r="O423" s="93">
        <v>25</v>
      </c>
      <c r="P423" s="92">
        <v>3</v>
      </c>
      <c r="Q423" s="92" t="s">
        <v>2011</v>
      </c>
      <c r="R423" s="93">
        <v>1340</v>
      </c>
      <c r="S423" s="93">
        <v>12300</v>
      </c>
      <c r="T423" s="93">
        <v>1330</v>
      </c>
      <c r="U423" s="93">
        <v>1330</v>
      </c>
      <c r="V423" s="93">
        <v>6000</v>
      </c>
      <c r="W423" s="84">
        <v>2</v>
      </c>
      <c r="X423" s="85" t="s">
        <v>2009</v>
      </c>
      <c r="Y423" s="86" t="s">
        <v>487</v>
      </c>
      <c r="Z423" s="87">
        <v>6</v>
      </c>
      <c r="AA423" s="88" t="s">
        <v>266</v>
      </c>
      <c r="AB423" s="89"/>
      <c r="AC423" s="86"/>
      <c r="AD423" s="88"/>
      <c r="AE423" s="89"/>
      <c r="AF423" s="86"/>
      <c r="AG423" s="88"/>
      <c r="AH423" s="89"/>
      <c r="AI423" s="86"/>
      <c r="AJ423" s="88"/>
      <c r="AK423" s="89"/>
      <c r="AL423" s="90"/>
      <c r="AM423" s="91"/>
      <c r="AN423" s="91"/>
      <c r="AO423" s="243" t="str">
        <f t="shared" si="15"/>
        <v>3UNCERABKE2625</v>
      </c>
    </row>
    <row r="424" spans="1:41" x14ac:dyDescent="0.15">
      <c r="A424" s="83">
        <v>4114</v>
      </c>
      <c r="B424" s="92">
        <v>274</v>
      </c>
      <c r="C424" s="92">
        <v>36888</v>
      </c>
      <c r="D424" s="92" t="s">
        <v>65</v>
      </c>
      <c r="E424" s="92" t="s">
        <v>66</v>
      </c>
      <c r="F424" s="92"/>
      <c r="G424" s="92" t="str">
        <f t="shared" si="16"/>
        <v>3UNCERABX8APF</v>
      </c>
      <c r="H424" s="92" t="s">
        <v>452</v>
      </c>
      <c r="I424" s="92" t="s">
        <v>470</v>
      </c>
      <c r="J424" s="92" t="s">
        <v>1617</v>
      </c>
      <c r="K424" s="92" t="s">
        <v>2210</v>
      </c>
      <c r="L424" s="92" t="s">
        <v>2211</v>
      </c>
      <c r="M424" s="92" t="str">
        <f t="shared" si="17"/>
        <v>3UNCERABX8APF501330</v>
      </c>
      <c r="N424" s="92" t="str">
        <f t="shared" si="18"/>
        <v>3UNCERABX8APF501310</v>
      </c>
      <c r="O424" s="93">
        <v>50</v>
      </c>
      <c r="P424" s="92">
        <v>3</v>
      </c>
      <c r="Q424" s="92" t="s">
        <v>504</v>
      </c>
      <c r="R424" s="93">
        <v>1330</v>
      </c>
      <c r="S424" s="93">
        <v>6251</v>
      </c>
      <c r="T424" s="93">
        <v>1310</v>
      </c>
      <c r="U424" s="93">
        <v>1310</v>
      </c>
      <c r="V424" s="93">
        <v>5800</v>
      </c>
      <c r="W424" s="84">
        <v>2</v>
      </c>
      <c r="X424" s="85" t="s">
        <v>505</v>
      </c>
      <c r="Y424" s="86" t="s">
        <v>506</v>
      </c>
      <c r="Z424" s="87">
        <v>6</v>
      </c>
      <c r="AA424" s="88" t="s">
        <v>266</v>
      </c>
      <c r="AB424" s="89"/>
      <c r="AC424" s="86"/>
      <c r="AD424" s="88"/>
      <c r="AE424" s="89"/>
      <c r="AF424" s="86"/>
      <c r="AG424" s="88"/>
      <c r="AH424" s="89"/>
      <c r="AI424" s="86"/>
      <c r="AJ424" s="88"/>
      <c r="AK424" s="89"/>
      <c r="AL424" s="90"/>
      <c r="AM424" s="91"/>
      <c r="AN424" s="91"/>
      <c r="AO424" s="243" t="str">
        <f t="shared" si="15"/>
        <v>3UNCERABX8APF50</v>
      </c>
    </row>
    <row r="425" spans="1:41" x14ac:dyDescent="0.15">
      <c r="A425" s="83">
        <v>4114</v>
      </c>
      <c r="B425" s="92">
        <v>271</v>
      </c>
      <c r="C425" s="92">
        <v>35541</v>
      </c>
      <c r="D425" s="92" t="s">
        <v>32</v>
      </c>
      <c r="E425" s="92" t="s">
        <v>18</v>
      </c>
      <c r="F425" s="92" t="s">
        <v>12</v>
      </c>
      <c r="G425" s="92" t="str">
        <f t="shared" si="16"/>
        <v>3UNCERABX8AX</v>
      </c>
      <c r="H425" s="92" t="s">
        <v>452</v>
      </c>
      <c r="I425" s="92" t="s">
        <v>470</v>
      </c>
      <c r="J425" s="92" t="s">
        <v>1617</v>
      </c>
      <c r="K425" s="92" t="s">
        <v>2212</v>
      </c>
      <c r="L425" s="92" t="s">
        <v>2213</v>
      </c>
      <c r="M425" s="92" t="str">
        <f t="shared" si="17"/>
        <v>3UNCERABX8AX751490</v>
      </c>
      <c r="N425" s="92" t="str">
        <f t="shared" si="18"/>
        <v>3UNCERABX8AX751485</v>
      </c>
      <c r="O425" s="93">
        <v>75</v>
      </c>
      <c r="P425" s="92">
        <v>3</v>
      </c>
      <c r="Q425" s="92" t="s">
        <v>2023</v>
      </c>
      <c r="R425" s="93">
        <v>1490</v>
      </c>
      <c r="S425" s="93">
        <v>6000</v>
      </c>
      <c r="T425" s="93">
        <v>1485</v>
      </c>
      <c r="U425" s="93">
        <v>1485</v>
      </c>
      <c r="V425" s="93">
        <v>5800</v>
      </c>
      <c r="W425" s="84">
        <v>2</v>
      </c>
      <c r="X425" s="85" t="s">
        <v>505</v>
      </c>
      <c r="Y425" s="86" t="s">
        <v>506</v>
      </c>
      <c r="Z425" s="87">
        <v>6</v>
      </c>
      <c r="AA425" s="88" t="s">
        <v>266</v>
      </c>
      <c r="AB425" s="89">
        <v>1600</v>
      </c>
      <c r="AC425" s="86"/>
      <c r="AD425" s="88"/>
      <c r="AE425" s="89"/>
      <c r="AF425" s="86"/>
      <c r="AG425" s="88"/>
      <c r="AH425" s="89"/>
      <c r="AI425" s="86"/>
      <c r="AJ425" s="88"/>
      <c r="AK425" s="89"/>
      <c r="AL425" s="90"/>
      <c r="AM425" s="91"/>
      <c r="AN425" s="91"/>
      <c r="AO425" s="243" t="str">
        <f t="shared" si="15"/>
        <v>3UNCERABX8AX75</v>
      </c>
    </row>
    <row r="426" spans="1:41" x14ac:dyDescent="0.15">
      <c r="A426" s="83">
        <v>4114</v>
      </c>
      <c r="B426" s="92">
        <v>272</v>
      </c>
      <c r="C426" s="92">
        <v>36882</v>
      </c>
      <c r="D426" s="92" t="s">
        <v>61</v>
      </c>
      <c r="E426" s="92" t="s">
        <v>45</v>
      </c>
      <c r="F426" s="92" t="s">
        <v>26</v>
      </c>
      <c r="G426" s="92" t="str">
        <f t="shared" si="16"/>
        <v>3UNCERABX8G07</v>
      </c>
      <c r="H426" s="92" t="s">
        <v>1657</v>
      </c>
      <c r="I426" s="92" t="s">
        <v>1550</v>
      </c>
      <c r="J426" s="92" t="s">
        <v>1552</v>
      </c>
      <c r="K426" s="92" t="s">
        <v>2214</v>
      </c>
      <c r="L426" s="92" t="s">
        <v>2215</v>
      </c>
      <c r="M426" s="92" t="str">
        <f t="shared" si="17"/>
        <v>3UNCERABX8G07751100</v>
      </c>
      <c r="N426" s="92" t="str">
        <f t="shared" si="18"/>
        <v>3UNCERABX8G07751090</v>
      </c>
      <c r="O426" s="93">
        <v>75</v>
      </c>
      <c r="P426" s="92">
        <v>3</v>
      </c>
      <c r="Q426" s="92" t="s">
        <v>578</v>
      </c>
      <c r="R426" s="93">
        <v>1100</v>
      </c>
      <c r="S426" s="93">
        <v>4400</v>
      </c>
      <c r="T426" s="93">
        <v>1090</v>
      </c>
      <c r="U426" s="93">
        <v>1090</v>
      </c>
      <c r="V426" s="93">
        <v>1000</v>
      </c>
      <c r="W426" s="84">
        <v>2</v>
      </c>
      <c r="X426" s="85" t="s">
        <v>2009</v>
      </c>
      <c r="Y426" s="86" t="s">
        <v>487</v>
      </c>
      <c r="Z426" s="87">
        <v>6</v>
      </c>
      <c r="AA426" s="88" t="s">
        <v>266</v>
      </c>
      <c r="AB426" s="89">
        <v>1450</v>
      </c>
      <c r="AC426" s="86"/>
      <c r="AD426" s="88"/>
      <c r="AE426" s="89"/>
      <c r="AF426" s="86"/>
      <c r="AG426" s="88"/>
      <c r="AH426" s="89"/>
      <c r="AI426" s="86"/>
      <c r="AJ426" s="88"/>
      <c r="AK426" s="89"/>
      <c r="AL426" s="90"/>
      <c r="AM426" s="91"/>
      <c r="AN426" s="91"/>
      <c r="AO426" s="243" t="str">
        <f t="shared" si="15"/>
        <v>3UNCERABX8G0775</v>
      </c>
    </row>
    <row r="427" spans="1:41" x14ac:dyDescent="0.15">
      <c r="A427" s="83">
        <v>4114</v>
      </c>
      <c r="B427" s="92">
        <v>272</v>
      </c>
      <c r="C427" s="92">
        <v>36882</v>
      </c>
      <c r="D427" s="92" t="s">
        <v>61</v>
      </c>
      <c r="E427" s="92" t="s">
        <v>45</v>
      </c>
      <c r="F427" s="92" t="s">
        <v>26</v>
      </c>
      <c r="G427" s="92" t="str">
        <f t="shared" si="16"/>
        <v>3UNCERATKG0707</v>
      </c>
      <c r="H427" s="92" t="s">
        <v>1657</v>
      </c>
      <c r="I427" s="92" t="s">
        <v>1550</v>
      </c>
      <c r="J427" s="92" t="s">
        <v>1552</v>
      </c>
      <c r="K427" s="92" t="s">
        <v>2216</v>
      </c>
      <c r="L427" s="92" t="s">
        <v>2217</v>
      </c>
      <c r="M427" s="92" t="str">
        <f t="shared" si="17"/>
        <v>3UNCERATKG0707751100</v>
      </c>
      <c r="N427" s="92" t="str">
        <f t="shared" si="18"/>
        <v>3UNCERATKG0707751090</v>
      </c>
      <c r="O427" s="93">
        <v>75</v>
      </c>
      <c r="P427" s="92">
        <v>3</v>
      </c>
      <c r="Q427" s="92" t="s">
        <v>578</v>
      </c>
      <c r="R427" s="93">
        <v>1100</v>
      </c>
      <c r="S427" s="93">
        <v>4400</v>
      </c>
      <c r="T427" s="93">
        <v>1090</v>
      </c>
      <c r="U427" s="93">
        <v>1090</v>
      </c>
      <c r="V427" s="93">
        <v>1000</v>
      </c>
      <c r="W427" s="84">
        <v>2</v>
      </c>
      <c r="X427" s="85" t="s">
        <v>2009</v>
      </c>
      <c r="Y427" s="86" t="s">
        <v>487</v>
      </c>
      <c r="Z427" s="87">
        <v>6</v>
      </c>
      <c r="AA427" s="88" t="s">
        <v>266</v>
      </c>
      <c r="AB427" s="89">
        <v>1450</v>
      </c>
      <c r="AC427" s="86"/>
      <c r="AD427" s="88"/>
      <c r="AE427" s="89"/>
      <c r="AF427" s="86"/>
      <c r="AG427" s="88"/>
      <c r="AH427" s="89"/>
      <c r="AI427" s="86"/>
      <c r="AJ427" s="88"/>
      <c r="AK427" s="89"/>
      <c r="AL427" s="90"/>
      <c r="AM427" s="91"/>
      <c r="AN427" s="91"/>
      <c r="AO427" s="243" t="str">
        <f t="shared" si="15"/>
        <v>3UNCERATKG070775</v>
      </c>
    </row>
    <row r="428" spans="1:41" x14ac:dyDescent="0.15">
      <c r="A428" s="83">
        <v>4114</v>
      </c>
      <c r="B428" s="92">
        <v>274</v>
      </c>
      <c r="C428" s="92">
        <v>36888</v>
      </c>
      <c r="D428" s="92" t="s">
        <v>65</v>
      </c>
      <c r="E428" s="92"/>
      <c r="F428" s="92" t="s">
        <v>26</v>
      </c>
      <c r="G428" s="92"/>
      <c r="H428" s="92" t="s">
        <v>1657</v>
      </c>
      <c r="I428" s="92" t="s">
        <v>1550</v>
      </c>
      <c r="J428" s="92" t="s">
        <v>1617</v>
      </c>
      <c r="K428" s="92" t="s">
        <v>2344</v>
      </c>
      <c r="L428" s="92" t="s">
        <v>2345</v>
      </c>
      <c r="M428" s="92"/>
      <c r="N428" s="92"/>
      <c r="O428" s="93">
        <v>50</v>
      </c>
      <c r="P428" s="92">
        <v>3</v>
      </c>
      <c r="Q428" s="92" t="s">
        <v>504</v>
      </c>
      <c r="R428" s="93">
        <v>1500</v>
      </c>
      <c r="S428" s="93">
        <v>9100</v>
      </c>
      <c r="T428" s="93">
        <v>1490</v>
      </c>
      <c r="U428" s="93">
        <v>1490</v>
      </c>
      <c r="V428" s="93">
        <v>9000</v>
      </c>
      <c r="W428" s="84">
        <v>2</v>
      </c>
      <c r="X428" s="85" t="s">
        <v>2009</v>
      </c>
      <c r="Y428" s="86" t="s">
        <v>487</v>
      </c>
      <c r="Z428" s="87">
        <v>6</v>
      </c>
      <c r="AA428" s="88" t="s">
        <v>266</v>
      </c>
      <c r="AB428" s="89">
        <v>1600</v>
      </c>
      <c r="AC428" s="86"/>
      <c r="AD428" s="88"/>
      <c r="AE428" s="89"/>
      <c r="AF428" s="86"/>
      <c r="AG428" s="88"/>
      <c r="AH428" s="89"/>
      <c r="AI428" s="86"/>
      <c r="AJ428" s="88"/>
      <c r="AK428" s="89"/>
      <c r="AL428" s="90"/>
      <c r="AM428" s="91"/>
      <c r="AN428" s="91"/>
      <c r="AO428" s="243"/>
    </row>
    <row r="429" spans="1:41" x14ac:dyDescent="0.15">
      <c r="A429" s="83">
        <v>4114</v>
      </c>
      <c r="B429" s="92">
        <v>274</v>
      </c>
      <c r="C429" s="92">
        <v>36888</v>
      </c>
      <c r="D429" s="92" t="s">
        <v>65</v>
      </c>
      <c r="E429" s="92" t="s">
        <v>66</v>
      </c>
      <c r="F429" s="92"/>
      <c r="G429" s="92" t="str">
        <f t="shared" si="16"/>
        <v>3UNCERATKA12PF</v>
      </c>
      <c r="H429" s="92" t="s">
        <v>452</v>
      </c>
      <c r="I429" s="92" t="s">
        <v>470</v>
      </c>
      <c r="J429" s="92" t="s">
        <v>1617</v>
      </c>
      <c r="K429" s="92" t="s">
        <v>2218</v>
      </c>
      <c r="L429" s="92" t="s">
        <v>2219</v>
      </c>
      <c r="M429" s="92" t="str">
        <f t="shared" si="17"/>
        <v>3UNCERATKA12PF501494</v>
      </c>
      <c r="N429" s="92" t="str">
        <f t="shared" si="18"/>
        <v>3UNCERATKA12PF501480</v>
      </c>
      <c r="O429" s="93">
        <v>50</v>
      </c>
      <c r="P429" s="92">
        <v>3</v>
      </c>
      <c r="Q429" s="92" t="s">
        <v>504</v>
      </c>
      <c r="R429" s="93">
        <v>1494</v>
      </c>
      <c r="S429" s="93">
        <v>6250</v>
      </c>
      <c r="T429" s="93">
        <v>1480</v>
      </c>
      <c r="U429" s="93">
        <v>1480</v>
      </c>
      <c r="V429" s="93">
        <v>6000</v>
      </c>
      <c r="W429" s="84">
        <v>2</v>
      </c>
      <c r="X429" s="85" t="s">
        <v>505</v>
      </c>
      <c r="Y429" s="86" t="s">
        <v>506</v>
      </c>
      <c r="Z429" s="87">
        <v>6</v>
      </c>
      <c r="AA429" s="88" t="s">
        <v>266</v>
      </c>
      <c r="AB429" s="89"/>
      <c r="AC429" s="86"/>
      <c r="AD429" s="88"/>
      <c r="AE429" s="89"/>
      <c r="AF429" s="86"/>
      <c r="AG429" s="88"/>
      <c r="AH429" s="89"/>
      <c r="AI429" s="86"/>
      <c r="AJ429" s="88"/>
      <c r="AK429" s="89"/>
      <c r="AL429" s="90"/>
      <c r="AM429" s="91"/>
      <c r="AN429" s="91"/>
      <c r="AO429" s="243" t="str">
        <f t="shared" si="15"/>
        <v>3UNCERATKA12PF50</v>
      </c>
    </row>
    <row r="430" spans="1:41" x14ac:dyDescent="0.15">
      <c r="A430" s="83">
        <v>4114</v>
      </c>
      <c r="B430" s="92">
        <v>274</v>
      </c>
      <c r="C430" s="92">
        <v>36888</v>
      </c>
      <c r="D430" s="92" t="s">
        <v>65</v>
      </c>
      <c r="E430" s="92" t="s">
        <v>66</v>
      </c>
      <c r="F430" s="92"/>
      <c r="G430" s="92" t="str">
        <f t="shared" si="16"/>
        <v>3UNCERATKA12PF</v>
      </c>
      <c r="H430" s="92" t="s">
        <v>452</v>
      </c>
      <c r="I430" s="92" t="s">
        <v>470</v>
      </c>
      <c r="J430" s="92" t="s">
        <v>1617</v>
      </c>
      <c r="K430" s="92" t="s">
        <v>2218</v>
      </c>
      <c r="L430" s="92" t="s">
        <v>2219</v>
      </c>
      <c r="M430" s="92" t="str">
        <f t="shared" si="17"/>
        <v>3UNCERATKA12PF501330</v>
      </c>
      <c r="N430" s="92" t="str">
        <f t="shared" si="18"/>
        <v>3UNCERATKA12PF50400</v>
      </c>
      <c r="O430" s="93">
        <v>50</v>
      </c>
      <c r="P430" s="92">
        <v>3</v>
      </c>
      <c r="Q430" s="92" t="s">
        <v>504</v>
      </c>
      <c r="R430" s="93">
        <v>1330</v>
      </c>
      <c r="S430" s="93">
        <v>6251</v>
      </c>
      <c r="T430" s="93">
        <v>400</v>
      </c>
      <c r="U430" s="93">
        <v>400</v>
      </c>
      <c r="V430" s="93">
        <v>200</v>
      </c>
      <c r="W430" s="84">
        <v>2</v>
      </c>
      <c r="X430" s="85" t="s">
        <v>505</v>
      </c>
      <c r="Y430" s="86" t="s">
        <v>295</v>
      </c>
      <c r="Z430" s="87">
        <v>6</v>
      </c>
      <c r="AA430" s="88" t="s">
        <v>266</v>
      </c>
      <c r="AB430" s="89">
        <v>1450</v>
      </c>
      <c r="AC430" s="86">
        <v>3</v>
      </c>
      <c r="AD430" s="88" t="s">
        <v>39</v>
      </c>
      <c r="AE430" s="89">
        <v>450</v>
      </c>
      <c r="AF430" s="86"/>
      <c r="AG430" s="88"/>
      <c r="AH430" s="89"/>
      <c r="AI430" s="86"/>
      <c r="AJ430" s="88"/>
      <c r="AK430" s="89"/>
      <c r="AL430" s="90"/>
      <c r="AM430" s="91"/>
      <c r="AN430" s="91"/>
      <c r="AO430" s="243" t="str">
        <f t="shared" si="15"/>
        <v>3UNCERATKA12PF50</v>
      </c>
    </row>
    <row r="431" spans="1:41" x14ac:dyDescent="0.15">
      <c r="A431" s="83">
        <v>4114</v>
      </c>
      <c r="B431" s="92">
        <v>274</v>
      </c>
      <c r="C431" s="92">
        <v>36888</v>
      </c>
      <c r="D431" s="92" t="s">
        <v>65</v>
      </c>
      <c r="E431" s="92" t="s">
        <v>66</v>
      </c>
      <c r="F431" s="92"/>
      <c r="G431" s="92" t="str">
        <f t="shared" si="16"/>
        <v>3UNCERATKA13PF</v>
      </c>
      <c r="H431" s="92" t="s">
        <v>452</v>
      </c>
      <c r="I431" s="92" t="s">
        <v>470</v>
      </c>
      <c r="J431" s="92" t="s">
        <v>1617</v>
      </c>
      <c r="K431" s="92" t="s">
        <v>2220</v>
      </c>
      <c r="L431" s="92" t="s">
        <v>2221</v>
      </c>
      <c r="M431" s="92" t="str">
        <f t="shared" si="17"/>
        <v>3UNCERATKA13PF501330</v>
      </c>
      <c r="N431" s="92" t="str">
        <f t="shared" si="18"/>
        <v>3UNCERATKA13PF50400</v>
      </c>
      <c r="O431" s="93">
        <v>50</v>
      </c>
      <c r="P431" s="92">
        <v>3</v>
      </c>
      <c r="Q431" s="92" t="s">
        <v>504</v>
      </c>
      <c r="R431" s="93">
        <v>1330</v>
      </c>
      <c r="S431" s="93">
        <v>6251</v>
      </c>
      <c r="T431" s="93">
        <v>400</v>
      </c>
      <c r="U431" s="93">
        <v>400</v>
      </c>
      <c r="V431" s="93">
        <v>200</v>
      </c>
      <c r="W431" s="84">
        <v>2</v>
      </c>
      <c r="X431" s="85" t="s">
        <v>505</v>
      </c>
      <c r="Y431" s="86" t="s">
        <v>295</v>
      </c>
      <c r="Z431" s="87">
        <v>6</v>
      </c>
      <c r="AA431" s="88" t="s">
        <v>266</v>
      </c>
      <c r="AB431" s="89">
        <v>1450</v>
      </c>
      <c r="AC431" s="86">
        <v>3</v>
      </c>
      <c r="AD431" s="88" t="s">
        <v>39</v>
      </c>
      <c r="AE431" s="89">
        <v>450</v>
      </c>
      <c r="AF431" s="86"/>
      <c r="AG431" s="88"/>
      <c r="AH431" s="89"/>
      <c r="AI431" s="86"/>
      <c r="AJ431" s="88"/>
      <c r="AK431" s="89"/>
      <c r="AL431" s="90"/>
      <c r="AM431" s="91"/>
      <c r="AN431" s="91"/>
      <c r="AO431" s="243" t="str">
        <f t="shared" si="15"/>
        <v>3UNCERATKA13PF50</v>
      </c>
    </row>
    <row r="432" spans="1:41" x14ac:dyDescent="0.15">
      <c r="A432" s="83">
        <v>4114</v>
      </c>
      <c r="B432" s="92">
        <v>274</v>
      </c>
      <c r="C432" s="92">
        <v>36888</v>
      </c>
      <c r="D432" s="92" t="s">
        <v>65</v>
      </c>
      <c r="E432" s="92" t="s">
        <v>66</v>
      </c>
      <c r="F432" s="92"/>
      <c r="G432" s="92" t="str">
        <f t="shared" si="16"/>
        <v>3UNCERATKA15PF</v>
      </c>
      <c r="H432" s="92" t="s">
        <v>452</v>
      </c>
      <c r="I432" s="92" t="s">
        <v>470</v>
      </c>
      <c r="J432" s="92" t="s">
        <v>1617</v>
      </c>
      <c r="K432" s="92" t="s">
        <v>2222</v>
      </c>
      <c r="L432" s="92" t="s">
        <v>2223</v>
      </c>
      <c r="M432" s="92" t="str">
        <f t="shared" si="17"/>
        <v>3UNCERATKA15PF501330</v>
      </c>
      <c r="N432" s="92" t="str">
        <f t="shared" si="18"/>
        <v>3UNCERATKA15PF50400</v>
      </c>
      <c r="O432" s="93">
        <v>50</v>
      </c>
      <c r="P432" s="92">
        <v>3</v>
      </c>
      <c r="Q432" s="92" t="s">
        <v>504</v>
      </c>
      <c r="R432" s="93">
        <v>1330</v>
      </c>
      <c r="S432" s="93">
        <v>6251</v>
      </c>
      <c r="T432" s="93">
        <v>400</v>
      </c>
      <c r="U432" s="93">
        <v>400</v>
      </c>
      <c r="V432" s="93">
        <v>200</v>
      </c>
      <c r="W432" s="84">
        <v>2</v>
      </c>
      <c r="X432" s="85" t="s">
        <v>505</v>
      </c>
      <c r="Y432" s="86" t="s">
        <v>295</v>
      </c>
      <c r="Z432" s="87">
        <v>6</v>
      </c>
      <c r="AA432" s="88" t="s">
        <v>266</v>
      </c>
      <c r="AB432" s="89">
        <v>1450</v>
      </c>
      <c r="AC432" s="86">
        <v>3</v>
      </c>
      <c r="AD432" s="88" t="s">
        <v>39</v>
      </c>
      <c r="AE432" s="89">
        <v>450</v>
      </c>
      <c r="AF432" s="86"/>
      <c r="AG432" s="88"/>
      <c r="AH432" s="89"/>
      <c r="AI432" s="86"/>
      <c r="AJ432" s="88"/>
      <c r="AK432" s="89"/>
      <c r="AL432" s="90"/>
      <c r="AM432" s="91"/>
      <c r="AN432" s="91"/>
      <c r="AO432" s="243" t="str">
        <f t="shared" si="15"/>
        <v>3UNCERATKA15PF50</v>
      </c>
    </row>
    <row r="433" spans="1:41" ht="24" x14ac:dyDescent="0.15">
      <c r="A433" s="83">
        <v>4551</v>
      </c>
      <c r="B433" s="92">
        <v>274</v>
      </c>
      <c r="C433" s="92">
        <v>36888</v>
      </c>
      <c r="D433" s="92" t="s">
        <v>65</v>
      </c>
      <c r="E433" s="92" t="s">
        <v>66</v>
      </c>
      <c r="F433" s="92" t="s">
        <v>111</v>
      </c>
      <c r="G433" s="92" t="str">
        <f t="shared" si="16"/>
        <v>3UNTPICTT405D</v>
      </c>
      <c r="H433" s="92" t="s">
        <v>452</v>
      </c>
      <c r="I433" s="92" t="s">
        <v>20</v>
      </c>
      <c r="J433" s="92" t="s">
        <v>251</v>
      </c>
      <c r="K433" s="92" t="s">
        <v>2224</v>
      </c>
      <c r="L433" s="92" t="s">
        <v>2225</v>
      </c>
      <c r="M433" s="92" t="str">
        <f t="shared" si="17"/>
        <v>3UNTPICTT405D501094</v>
      </c>
      <c r="N433" s="92" t="str">
        <f t="shared" si="18"/>
        <v>3UNTPICTT405D501094</v>
      </c>
      <c r="O433" s="93">
        <v>50</v>
      </c>
      <c r="P433" s="92">
        <v>3</v>
      </c>
      <c r="Q433" s="92" t="s">
        <v>254</v>
      </c>
      <c r="R433" s="93">
        <v>1094</v>
      </c>
      <c r="S433" s="93">
        <v>6000</v>
      </c>
      <c r="T433" s="93">
        <v>1094</v>
      </c>
      <c r="U433" s="93">
        <v>1094</v>
      </c>
      <c r="V433" s="93">
        <v>5000</v>
      </c>
      <c r="W433" s="84">
        <v>2</v>
      </c>
      <c r="X433" s="85" t="s">
        <v>142</v>
      </c>
      <c r="Y433" s="86" t="s">
        <v>15</v>
      </c>
      <c r="Z433" s="87">
        <v>6</v>
      </c>
      <c r="AA433" s="88" t="s">
        <v>24</v>
      </c>
      <c r="AB433" s="89">
        <v>1700</v>
      </c>
      <c r="AC433" s="86"/>
      <c r="AD433" s="88"/>
      <c r="AE433" s="89"/>
      <c r="AF433" s="86"/>
      <c r="AG433" s="88"/>
      <c r="AH433" s="89"/>
      <c r="AI433" s="86"/>
      <c r="AJ433" s="88"/>
      <c r="AK433" s="89"/>
      <c r="AL433" s="90"/>
      <c r="AM433" s="91"/>
      <c r="AN433" s="205" t="s">
        <v>477</v>
      </c>
      <c r="AO433" s="243" t="str">
        <f t="shared" si="15"/>
        <v>3UNTPICTT405D50</v>
      </c>
    </row>
    <row r="434" spans="1:41" ht="24" x14ac:dyDescent="0.15">
      <c r="A434" s="83">
        <v>4551</v>
      </c>
      <c r="B434" s="92">
        <v>272</v>
      </c>
      <c r="C434" s="92">
        <v>36888</v>
      </c>
      <c r="D434" s="92" t="s">
        <v>65</v>
      </c>
      <c r="E434" s="92" t="s">
        <v>66</v>
      </c>
      <c r="F434" s="92" t="s">
        <v>111</v>
      </c>
      <c r="G434" s="92" t="str">
        <f t="shared" si="16"/>
        <v>3UNTPICTT405B</v>
      </c>
      <c r="H434" s="92" t="s">
        <v>452</v>
      </c>
      <c r="I434" s="92" t="s">
        <v>20</v>
      </c>
      <c r="J434" s="92" t="s">
        <v>251</v>
      </c>
      <c r="K434" s="92" t="s">
        <v>2226</v>
      </c>
      <c r="L434" s="92" t="s">
        <v>2227</v>
      </c>
      <c r="M434" s="92" t="str">
        <f t="shared" si="17"/>
        <v>3UNTPICTT405B501094</v>
      </c>
      <c r="N434" s="92" t="str">
        <f t="shared" si="18"/>
        <v>3UNTPICTT405B501094</v>
      </c>
      <c r="O434" s="93">
        <v>50</v>
      </c>
      <c r="P434" s="92">
        <v>3</v>
      </c>
      <c r="Q434" s="92" t="s">
        <v>254</v>
      </c>
      <c r="R434" s="93">
        <v>1094</v>
      </c>
      <c r="S434" s="93">
        <v>6000</v>
      </c>
      <c r="T434" s="93">
        <v>1094</v>
      </c>
      <c r="U434" s="93">
        <v>1094</v>
      </c>
      <c r="V434" s="93">
        <v>6000</v>
      </c>
      <c r="W434" s="84">
        <v>2</v>
      </c>
      <c r="X434" s="85" t="s">
        <v>142</v>
      </c>
      <c r="Y434" s="86" t="s">
        <v>15</v>
      </c>
      <c r="Z434" s="87">
        <v>6</v>
      </c>
      <c r="AA434" s="88" t="s">
        <v>24</v>
      </c>
      <c r="AB434" s="89">
        <v>1700</v>
      </c>
      <c r="AC434" s="86"/>
      <c r="AD434" s="88"/>
      <c r="AE434" s="89"/>
      <c r="AF434" s="86"/>
      <c r="AG434" s="88"/>
      <c r="AH434" s="89"/>
      <c r="AI434" s="86"/>
      <c r="AJ434" s="88"/>
      <c r="AK434" s="89"/>
      <c r="AL434" s="90"/>
      <c r="AM434" s="91"/>
      <c r="AN434" s="205" t="s">
        <v>477</v>
      </c>
      <c r="AO434" s="243" t="str">
        <f t="shared" si="15"/>
        <v>3UNTPICTT405B50</v>
      </c>
    </row>
    <row r="435" spans="1:41" x14ac:dyDescent="0.15">
      <c r="A435" s="83"/>
      <c r="B435" s="92"/>
      <c r="C435" s="92"/>
      <c r="D435" s="92" t="s">
        <v>460</v>
      </c>
      <c r="E435" s="92"/>
      <c r="F435" s="92"/>
      <c r="G435" s="92" t="str">
        <f t="shared" si="16"/>
        <v>3UNCERAMDA14</v>
      </c>
      <c r="H435" s="92" t="s">
        <v>269</v>
      </c>
      <c r="I435" s="92" t="s">
        <v>20</v>
      </c>
      <c r="J435" s="92" t="s">
        <v>21</v>
      </c>
      <c r="K435" s="92" t="s">
        <v>457</v>
      </c>
      <c r="L435" s="92" t="s">
        <v>458</v>
      </c>
      <c r="M435" s="92" t="str">
        <f t="shared" si="17"/>
        <v>3UNCERAMDA14501100</v>
      </c>
      <c r="N435" s="92" t="str">
        <f t="shared" si="18"/>
        <v>3UNCERAMDA14501090</v>
      </c>
      <c r="O435" s="93">
        <v>50</v>
      </c>
      <c r="P435" s="92">
        <v>3</v>
      </c>
      <c r="Q435" s="92" t="s">
        <v>2002</v>
      </c>
      <c r="R435" s="93">
        <v>1100</v>
      </c>
      <c r="S435" s="93">
        <v>4000</v>
      </c>
      <c r="T435" s="93">
        <v>1090</v>
      </c>
      <c r="U435" s="93">
        <v>1090</v>
      </c>
      <c r="V435" s="93">
        <v>1000</v>
      </c>
      <c r="W435" s="84">
        <v>1</v>
      </c>
      <c r="X435" s="85" t="s">
        <v>14</v>
      </c>
      <c r="Y435" s="86" t="s">
        <v>295</v>
      </c>
      <c r="Z435" s="87">
        <v>6</v>
      </c>
      <c r="AA435" s="88" t="s">
        <v>266</v>
      </c>
      <c r="AB435" s="89">
        <v>1450</v>
      </c>
      <c r="AC435" s="142"/>
      <c r="AD435" s="129"/>
      <c r="AE435" s="95"/>
      <c r="AF435" s="86"/>
      <c r="AG435" s="88"/>
      <c r="AH435" s="89"/>
      <c r="AI435" s="86"/>
      <c r="AJ435" s="88"/>
      <c r="AK435" s="89"/>
      <c r="AL435" s="90"/>
      <c r="AM435" s="91"/>
      <c r="AN435" s="91" t="s">
        <v>471</v>
      </c>
      <c r="AO435" s="243" t="str">
        <f t="shared" si="15"/>
        <v>3UNCERAMDA1450</v>
      </c>
    </row>
    <row r="436" spans="1:41" x14ac:dyDescent="0.15">
      <c r="A436" s="83"/>
      <c r="B436" s="92"/>
      <c r="C436" s="92"/>
      <c r="D436" s="92" t="s">
        <v>461</v>
      </c>
      <c r="E436" s="92"/>
      <c r="F436" s="92"/>
      <c r="G436" s="92" t="str">
        <f t="shared" si="16"/>
        <v>3UNCERAMDA14</v>
      </c>
      <c r="H436" s="92" t="s">
        <v>269</v>
      </c>
      <c r="I436" s="92" t="s">
        <v>20</v>
      </c>
      <c r="J436" s="92" t="s">
        <v>21</v>
      </c>
      <c r="K436" s="92" t="s">
        <v>457</v>
      </c>
      <c r="L436" s="92" t="s">
        <v>458</v>
      </c>
      <c r="M436" s="92" t="str">
        <f t="shared" si="17"/>
        <v>3UNCERAMDA14501100</v>
      </c>
      <c r="N436" s="92" t="str">
        <f t="shared" si="18"/>
        <v>3UNCERAMDA14501090</v>
      </c>
      <c r="O436" s="93">
        <v>50</v>
      </c>
      <c r="P436" s="92">
        <v>3</v>
      </c>
      <c r="Q436" s="92" t="s">
        <v>2024</v>
      </c>
      <c r="R436" s="93">
        <v>1100</v>
      </c>
      <c r="S436" s="93">
        <v>4000</v>
      </c>
      <c r="T436" s="93">
        <v>1090</v>
      </c>
      <c r="U436" s="93">
        <v>1090</v>
      </c>
      <c r="V436" s="93">
        <v>2800</v>
      </c>
      <c r="W436" s="84">
        <v>2</v>
      </c>
      <c r="X436" s="85" t="s">
        <v>14</v>
      </c>
      <c r="Y436" s="86" t="s">
        <v>295</v>
      </c>
      <c r="Z436" s="87">
        <v>6</v>
      </c>
      <c r="AA436" s="88" t="s">
        <v>266</v>
      </c>
      <c r="AB436" s="89">
        <v>1450</v>
      </c>
      <c r="AC436" s="142"/>
      <c r="AD436" s="129"/>
      <c r="AE436" s="95"/>
      <c r="AF436" s="86"/>
      <c r="AG436" s="88"/>
      <c r="AH436" s="89"/>
      <c r="AI436" s="86"/>
      <c r="AJ436" s="88"/>
      <c r="AK436" s="89"/>
      <c r="AL436" s="90"/>
      <c r="AM436" s="91"/>
      <c r="AN436" s="91" t="s">
        <v>471</v>
      </c>
      <c r="AO436" s="243" t="str">
        <f t="shared" si="15"/>
        <v>3UNCERAMDA1450</v>
      </c>
    </row>
    <row r="437" spans="1:41" x14ac:dyDescent="0.15">
      <c r="A437" s="83">
        <v>4114</v>
      </c>
      <c r="B437" s="92">
        <v>272</v>
      </c>
      <c r="C437" s="92"/>
      <c r="D437" s="92" t="s">
        <v>2155</v>
      </c>
      <c r="E437" s="92" t="s">
        <v>2115</v>
      </c>
      <c r="F437" s="92"/>
      <c r="G437" s="92" t="str">
        <f t="shared" si="16"/>
        <v>3UNCERAMDA14</v>
      </c>
      <c r="H437" s="92" t="s">
        <v>269</v>
      </c>
      <c r="I437" s="92" t="s">
        <v>20</v>
      </c>
      <c r="J437" s="92" t="s">
        <v>21</v>
      </c>
      <c r="K437" s="92" t="s">
        <v>457</v>
      </c>
      <c r="L437" s="92" t="s">
        <v>458</v>
      </c>
      <c r="M437" s="92" t="str">
        <f t="shared" si="17"/>
        <v>3UNCERAMDA141001310</v>
      </c>
      <c r="N437" s="92" t="str">
        <f t="shared" si="18"/>
        <v>3UNCERAMDA141001300</v>
      </c>
      <c r="O437" s="93">
        <v>100</v>
      </c>
      <c r="P437" s="92">
        <v>3</v>
      </c>
      <c r="Q437" s="92" t="s">
        <v>831</v>
      </c>
      <c r="R437" s="93">
        <v>1310</v>
      </c>
      <c r="S437" s="93">
        <v>2400</v>
      </c>
      <c r="T437" s="93">
        <v>1300</v>
      </c>
      <c r="U437" s="93">
        <v>1300</v>
      </c>
      <c r="V437" s="93">
        <v>2100</v>
      </c>
      <c r="W437" s="84">
        <v>2</v>
      </c>
      <c r="X437" s="85" t="s">
        <v>14</v>
      </c>
      <c r="Y437" s="86" t="s">
        <v>487</v>
      </c>
      <c r="Z437" s="87">
        <v>6</v>
      </c>
      <c r="AA437" s="88" t="s">
        <v>266</v>
      </c>
      <c r="AB437" s="89">
        <v>1450</v>
      </c>
      <c r="AC437" s="86"/>
      <c r="AD437" s="88"/>
      <c r="AE437" s="89"/>
      <c r="AF437" s="86"/>
      <c r="AG437" s="88"/>
      <c r="AH437" s="89"/>
      <c r="AI437" s="86"/>
      <c r="AJ437" s="88"/>
      <c r="AK437" s="89"/>
      <c r="AL437" s="90"/>
      <c r="AM437" s="91"/>
      <c r="AN437" s="91" t="s">
        <v>471</v>
      </c>
      <c r="AO437" s="243" t="str">
        <f t="shared" si="15"/>
        <v>3UNCERAMDA14100</v>
      </c>
    </row>
    <row r="438" spans="1:41" x14ac:dyDescent="0.15">
      <c r="A438" s="83">
        <v>4551</v>
      </c>
      <c r="B438" s="92">
        <v>272</v>
      </c>
      <c r="C438" s="92">
        <v>4985</v>
      </c>
      <c r="D438" s="92" t="s">
        <v>304</v>
      </c>
      <c r="E438" s="92" t="s">
        <v>45</v>
      </c>
      <c r="F438" s="92" t="s">
        <v>210</v>
      </c>
      <c r="G438" s="92" t="str">
        <f t="shared" si="16"/>
        <v>3301TNTTPTNJ-AS</v>
      </c>
      <c r="H438" s="92" t="s">
        <v>265</v>
      </c>
      <c r="I438" s="92" t="s">
        <v>20</v>
      </c>
      <c r="J438" s="92" t="s">
        <v>2228</v>
      </c>
      <c r="K438" s="92" t="s">
        <v>453</v>
      </c>
      <c r="L438" s="92" t="s">
        <v>305</v>
      </c>
      <c r="M438" s="92" t="str">
        <f t="shared" si="17"/>
        <v>3301TNTTPTNJ-AS1001150</v>
      </c>
      <c r="N438" s="92" t="str">
        <f t="shared" si="18"/>
        <v>3301TNTTPTNJ-AS1001050</v>
      </c>
      <c r="O438" s="93">
        <v>100</v>
      </c>
      <c r="P438" s="92">
        <v>3301</v>
      </c>
      <c r="Q438" s="92" t="s">
        <v>262</v>
      </c>
      <c r="R438" s="93">
        <v>1150</v>
      </c>
      <c r="S438" s="93">
        <v>2000</v>
      </c>
      <c r="T438" s="93">
        <v>1050</v>
      </c>
      <c r="U438" s="93">
        <v>1050</v>
      </c>
      <c r="V438" s="93">
        <v>2000</v>
      </c>
      <c r="W438" s="84">
        <v>2</v>
      </c>
      <c r="X438" s="85" t="s">
        <v>529</v>
      </c>
      <c r="Y438" s="86" t="s">
        <v>295</v>
      </c>
      <c r="Z438" s="87">
        <v>6</v>
      </c>
      <c r="AA438" s="88" t="s">
        <v>266</v>
      </c>
      <c r="AB438" s="89">
        <v>1450</v>
      </c>
      <c r="AC438" s="86">
        <v>6</v>
      </c>
      <c r="AD438" s="88" t="s">
        <v>272</v>
      </c>
      <c r="AE438" s="89">
        <v>1270</v>
      </c>
      <c r="AF438" s="86"/>
      <c r="AG438" s="88"/>
      <c r="AH438" s="89"/>
      <c r="AI438" s="86"/>
      <c r="AJ438" s="88"/>
      <c r="AK438" s="89"/>
      <c r="AL438" s="90"/>
      <c r="AM438" s="91"/>
      <c r="AN438" s="91" t="s">
        <v>479</v>
      </c>
      <c r="AO438" s="243" t="str">
        <f t="shared" si="15"/>
        <v>3301TNTTPTNJ-AS100</v>
      </c>
    </row>
    <row r="439" spans="1:41" x14ac:dyDescent="0.15">
      <c r="A439" s="83">
        <v>4551</v>
      </c>
      <c r="B439" s="92">
        <v>272</v>
      </c>
      <c r="C439" s="92">
        <v>4985</v>
      </c>
      <c r="D439" s="92" t="s">
        <v>304</v>
      </c>
      <c r="E439" s="92" t="s">
        <v>45</v>
      </c>
      <c r="F439" s="92" t="s">
        <v>210</v>
      </c>
      <c r="G439" s="92" t="str">
        <f t="shared" si="16"/>
        <v>3301TNTTPTNJ-AS</v>
      </c>
      <c r="H439" s="92" t="s">
        <v>265</v>
      </c>
      <c r="I439" s="92" t="s">
        <v>20</v>
      </c>
      <c r="J439" s="92" t="s">
        <v>2228</v>
      </c>
      <c r="K439" s="92" t="s">
        <v>453</v>
      </c>
      <c r="L439" s="92" t="s">
        <v>305</v>
      </c>
      <c r="M439" s="92" t="str">
        <f t="shared" si="17"/>
        <v>3301TNTTPTNJ-AS1001280</v>
      </c>
      <c r="N439" s="92" t="str">
        <f t="shared" si="18"/>
        <v>3301TNTTPTNJ-AS1001050</v>
      </c>
      <c r="O439" s="93">
        <v>100</v>
      </c>
      <c r="P439" s="92">
        <v>3301</v>
      </c>
      <c r="Q439" s="92" t="s">
        <v>262</v>
      </c>
      <c r="R439" s="93">
        <v>1280</v>
      </c>
      <c r="S439" s="93">
        <v>2000</v>
      </c>
      <c r="T439" s="93">
        <v>1150</v>
      </c>
      <c r="U439" s="93">
        <v>1050</v>
      </c>
      <c r="V439" s="93">
        <v>2000</v>
      </c>
      <c r="W439" s="84">
        <v>2</v>
      </c>
      <c r="X439" s="85" t="s">
        <v>529</v>
      </c>
      <c r="Y439" s="86" t="s">
        <v>295</v>
      </c>
      <c r="Z439" s="87">
        <v>6</v>
      </c>
      <c r="AA439" s="88" t="s">
        <v>16</v>
      </c>
      <c r="AB439" s="89">
        <v>1450</v>
      </c>
      <c r="AC439" s="86">
        <v>6</v>
      </c>
      <c r="AD439" s="88" t="s">
        <v>272</v>
      </c>
      <c r="AE439" s="89">
        <v>1270</v>
      </c>
      <c r="AF439" s="86"/>
      <c r="AG439" s="88"/>
      <c r="AH439" s="89"/>
      <c r="AI439" s="86"/>
      <c r="AJ439" s="88"/>
      <c r="AK439" s="89"/>
      <c r="AL439" s="90"/>
      <c r="AM439" s="91"/>
      <c r="AN439" s="91" t="s">
        <v>479</v>
      </c>
      <c r="AO439" s="243" t="str">
        <f t="shared" si="15"/>
        <v>3301TNTTPTNJ-AS100</v>
      </c>
    </row>
    <row r="440" spans="1:41" x14ac:dyDescent="0.15">
      <c r="A440" s="83">
        <v>4551</v>
      </c>
      <c r="B440" s="92">
        <v>272</v>
      </c>
      <c r="C440" s="92">
        <v>4985</v>
      </c>
      <c r="D440" s="92" t="s">
        <v>304</v>
      </c>
      <c r="E440" s="92" t="s">
        <v>45</v>
      </c>
      <c r="F440" s="92" t="s">
        <v>210</v>
      </c>
      <c r="G440" s="92" t="str">
        <f t="shared" si="16"/>
        <v>3301TNTTPTNJ-AS</v>
      </c>
      <c r="H440" s="92" t="s">
        <v>265</v>
      </c>
      <c r="I440" s="92" t="s">
        <v>20</v>
      </c>
      <c r="J440" s="92" t="s">
        <v>2228</v>
      </c>
      <c r="K440" s="92" t="s">
        <v>453</v>
      </c>
      <c r="L440" s="92" t="s">
        <v>305</v>
      </c>
      <c r="M440" s="92" t="str">
        <f t="shared" si="17"/>
        <v>3301TNTTPTNJ-AS1001200</v>
      </c>
      <c r="N440" s="92" t="str">
        <f t="shared" si="18"/>
        <v>3301TNTTPTNJ-AS1001050</v>
      </c>
      <c r="O440" s="93">
        <v>100</v>
      </c>
      <c r="P440" s="92">
        <v>3301</v>
      </c>
      <c r="Q440" s="92" t="s">
        <v>262</v>
      </c>
      <c r="R440" s="93">
        <v>1200</v>
      </c>
      <c r="S440" s="93">
        <v>2000</v>
      </c>
      <c r="T440" s="93">
        <v>1150</v>
      </c>
      <c r="U440" s="93">
        <v>1050</v>
      </c>
      <c r="V440" s="93">
        <v>2000</v>
      </c>
      <c r="W440" s="84">
        <v>2</v>
      </c>
      <c r="X440" s="85" t="s">
        <v>529</v>
      </c>
      <c r="Y440" s="86" t="s">
        <v>295</v>
      </c>
      <c r="Z440" s="87">
        <v>6</v>
      </c>
      <c r="AA440" s="88" t="s">
        <v>16</v>
      </c>
      <c r="AB440" s="89">
        <v>1270</v>
      </c>
      <c r="AC440" s="86">
        <v>6</v>
      </c>
      <c r="AD440" s="88" t="s">
        <v>272</v>
      </c>
      <c r="AE440" s="89">
        <v>1270</v>
      </c>
      <c r="AF440" s="86"/>
      <c r="AG440" s="88"/>
      <c r="AH440" s="89"/>
      <c r="AI440" s="86"/>
      <c r="AJ440" s="88"/>
      <c r="AK440" s="89"/>
      <c r="AL440" s="90"/>
      <c r="AM440" s="91"/>
      <c r="AN440" s="91" t="s">
        <v>479</v>
      </c>
      <c r="AO440" s="243" t="str">
        <f t="shared" si="15"/>
        <v>3301TNTTPTNJ-AS100</v>
      </c>
    </row>
    <row r="441" spans="1:41" ht="24" x14ac:dyDescent="0.15">
      <c r="A441" s="83">
        <v>4551</v>
      </c>
      <c r="B441" s="92"/>
      <c r="C441" s="92"/>
      <c r="D441" s="92" t="s">
        <v>306</v>
      </c>
      <c r="E441" s="92"/>
      <c r="F441" s="92" t="s">
        <v>210</v>
      </c>
      <c r="G441" s="92" t="str">
        <f t="shared" si="16"/>
        <v>UYJTCSTHCE</v>
      </c>
      <c r="H441" s="92" t="s">
        <v>269</v>
      </c>
      <c r="I441" s="92" t="s">
        <v>28</v>
      </c>
      <c r="J441" s="92" t="s">
        <v>307</v>
      </c>
      <c r="K441" s="92" t="s">
        <v>308</v>
      </c>
      <c r="L441" s="92" t="s">
        <v>309</v>
      </c>
      <c r="M441" s="92" t="str">
        <f t="shared" si="17"/>
        <v>UYJTCSTHCE381336</v>
      </c>
      <c r="N441" s="92" t="str">
        <f t="shared" si="18"/>
        <v>UYJTCSTHCE38715</v>
      </c>
      <c r="O441" s="93">
        <v>38</v>
      </c>
      <c r="P441" s="92"/>
      <c r="Q441" s="92" t="s">
        <v>69</v>
      </c>
      <c r="R441" s="93">
        <v>1336</v>
      </c>
      <c r="S441" s="93">
        <v>12050</v>
      </c>
      <c r="T441" s="93">
        <v>715</v>
      </c>
      <c r="U441" s="93">
        <v>715</v>
      </c>
      <c r="V441" s="93">
        <v>3920</v>
      </c>
      <c r="W441" s="84">
        <v>2</v>
      </c>
      <c r="X441" s="85" t="s">
        <v>2009</v>
      </c>
      <c r="Y441" s="86" t="s">
        <v>2025</v>
      </c>
      <c r="Z441" s="87">
        <v>6</v>
      </c>
      <c r="AA441" s="88" t="s">
        <v>24</v>
      </c>
      <c r="AB441" s="89">
        <v>1600</v>
      </c>
      <c r="AC441" s="86">
        <v>6</v>
      </c>
      <c r="AD441" s="88" t="s">
        <v>272</v>
      </c>
      <c r="AE441" s="89">
        <v>1500</v>
      </c>
      <c r="AF441" s="86"/>
      <c r="AG441" s="88"/>
      <c r="AH441" s="89"/>
      <c r="AI441" s="86"/>
      <c r="AJ441" s="88"/>
      <c r="AK441" s="89"/>
      <c r="AL441" s="90">
        <v>7</v>
      </c>
      <c r="AM441" s="91" t="s">
        <v>310</v>
      </c>
      <c r="AN441" s="205" t="s">
        <v>480</v>
      </c>
      <c r="AO441" s="243" t="str">
        <f t="shared" si="15"/>
        <v>UYJTCSTHCE38</v>
      </c>
    </row>
    <row r="442" spans="1:41" ht="24" x14ac:dyDescent="0.15">
      <c r="A442" s="83">
        <v>4558</v>
      </c>
      <c r="B442" s="92">
        <v>276</v>
      </c>
      <c r="C442" s="92"/>
      <c r="D442" s="92" t="s">
        <v>306</v>
      </c>
      <c r="E442" s="92" t="s">
        <v>2229</v>
      </c>
      <c r="F442" s="92" t="s">
        <v>210</v>
      </c>
      <c r="G442" s="92" t="str">
        <f t="shared" si="16"/>
        <v>3TYJTCSTHCE</v>
      </c>
      <c r="H442" s="92" t="s">
        <v>771</v>
      </c>
      <c r="I442" s="92" t="s">
        <v>28</v>
      </c>
      <c r="J442" s="92" t="s">
        <v>307</v>
      </c>
      <c r="K442" s="92" t="s">
        <v>308</v>
      </c>
      <c r="L442" s="92" t="s">
        <v>309</v>
      </c>
      <c r="M442" s="92" t="str">
        <f t="shared" si="17"/>
        <v>3TYJTCSTHCE381336</v>
      </c>
      <c r="N442" s="92" t="str">
        <f t="shared" si="18"/>
        <v>3TYJTCSTHCE38715</v>
      </c>
      <c r="O442" s="93">
        <v>38</v>
      </c>
      <c r="P442" s="92">
        <v>3</v>
      </c>
      <c r="Q442" s="92" t="s">
        <v>69</v>
      </c>
      <c r="R442" s="93">
        <v>1336</v>
      </c>
      <c r="S442" s="93">
        <v>12050</v>
      </c>
      <c r="T442" s="93">
        <v>715</v>
      </c>
      <c r="U442" s="93">
        <v>715</v>
      </c>
      <c r="V442" s="93">
        <v>3920</v>
      </c>
      <c r="W442" s="84">
        <v>2</v>
      </c>
      <c r="X442" s="85" t="s">
        <v>2009</v>
      </c>
      <c r="Y442" s="86" t="s">
        <v>2025</v>
      </c>
      <c r="Z442" s="87">
        <v>6</v>
      </c>
      <c r="AA442" s="88" t="s">
        <v>24</v>
      </c>
      <c r="AB442" s="89">
        <v>1600</v>
      </c>
      <c r="AC442" s="86">
        <v>6</v>
      </c>
      <c r="AD442" s="88" t="s">
        <v>272</v>
      </c>
      <c r="AE442" s="89">
        <v>1500</v>
      </c>
      <c r="AF442" s="86"/>
      <c r="AG442" s="88"/>
      <c r="AH442" s="89"/>
      <c r="AI442" s="86"/>
      <c r="AJ442" s="88"/>
      <c r="AK442" s="89"/>
      <c r="AL442" s="90">
        <v>7</v>
      </c>
      <c r="AM442" s="91" t="s">
        <v>310</v>
      </c>
      <c r="AN442" s="205" t="s">
        <v>480</v>
      </c>
      <c r="AO442" s="243" t="str">
        <f t="shared" si="15"/>
        <v>3TYJTCSTHCE38</v>
      </c>
    </row>
    <row r="443" spans="1:41" ht="24" x14ac:dyDescent="0.15">
      <c r="A443" s="83">
        <v>4558</v>
      </c>
      <c r="B443" s="92">
        <v>276</v>
      </c>
      <c r="C443" s="92"/>
      <c r="D443" s="92" t="s">
        <v>306</v>
      </c>
      <c r="E443" s="92" t="s">
        <v>2229</v>
      </c>
      <c r="F443" s="92" t="s">
        <v>210</v>
      </c>
      <c r="G443" s="92" t="str">
        <f t="shared" si="16"/>
        <v>33STYJTCSTHCE</v>
      </c>
      <c r="H443" s="92" t="s">
        <v>771</v>
      </c>
      <c r="I443" s="92" t="s">
        <v>28</v>
      </c>
      <c r="J443" s="92" t="s">
        <v>307</v>
      </c>
      <c r="K443" s="92" t="s">
        <v>308</v>
      </c>
      <c r="L443" s="92" t="s">
        <v>309</v>
      </c>
      <c r="M443" s="92" t="str">
        <f t="shared" si="17"/>
        <v>33STYJTCSTHCE381336</v>
      </c>
      <c r="N443" s="92" t="str">
        <f t="shared" si="18"/>
        <v>33STYJTCSTHCE38715</v>
      </c>
      <c r="O443" s="93">
        <v>38</v>
      </c>
      <c r="P443" s="92" t="s">
        <v>1602</v>
      </c>
      <c r="Q443" s="92" t="s">
        <v>69</v>
      </c>
      <c r="R443" s="93">
        <v>1336</v>
      </c>
      <c r="S443" s="93">
        <v>12050</v>
      </c>
      <c r="T443" s="93">
        <v>715</v>
      </c>
      <c r="U443" s="93">
        <v>715</v>
      </c>
      <c r="V443" s="93">
        <v>3920</v>
      </c>
      <c r="W443" s="84">
        <v>2</v>
      </c>
      <c r="X443" s="85" t="s">
        <v>2009</v>
      </c>
      <c r="Y443" s="86" t="s">
        <v>2025</v>
      </c>
      <c r="Z443" s="87">
        <v>6</v>
      </c>
      <c r="AA443" s="88" t="s">
        <v>24</v>
      </c>
      <c r="AB443" s="89">
        <v>1600</v>
      </c>
      <c r="AC443" s="86">
        <v>6</v>
      </c>
      <c r="AD443" s="88" t="s">
        <v>272</v>
      </c>
      <c r="AE443" s="89">
        <v>1500</v>
      </c>
      <c r="AF443" s="86"/>
      <c r="AG443" s="88"/>
      <c r="AH443" s="89"/>
      <c r="AI443" s="86"/>
      <c r="AJ443" s="88"/>
      <c r="AK443" s="89"/>
      <c r="AL443" s="90">
        <v>7</v>
      </c>
      <c r="AM443" s="91" t="s">
        <v>310</v>
      </c>
      <c r="AN443" s="205" t="s">
        <v>480</v>
      </c>
      <c r="AO443" s="243" t="str">
        <f t="shared" si="15"/>
        <v>33STYJTCSTHCE38</v>
      </c>
    </row>
    <row r="444" spans="1:41" ht="24" x14ac:dyDescent="0.15">
      <c r="A444" s="83">
        <v>4561</v>
      </c>
      <c r="B444" s="92">
        <v>272</v>
      </c>
      <c r="C444" s="92">
        <v>36882</v>
      </c>
      <c r="D444" s="92" t="s">
        <v>61</v>
      </c>
      <c r="E444" s="92" t="s">
        <v>45</v>
      </c>
      <c r="F444" s="92"/>
      <c r="G444" s="92" t="str">
        <f t="shared" si="16"/>
        <v>3UNKNZMCRALCB</v>
      </c>
      <c r="H444" s="92" t="s">
        <v>452</v>
      </c>
      <c r="I444" s="92" t="s">
        <v>1550</v>
      </c>
      <c r="J444" s="92" t="s">
        <v>2230</v>
      </c>
      <c r="K444" s="92" t="s">
        <v>2231</v>
      </c>
      <c r="L444" s="92" t="s">
        <v>1150</v>
      </c>
      <c r="M444" s="92" t="str">
        <f t="shared" si="17"/>
        <v>3UNKNZMCRALCB251590</v>
      </c>
      <c r="N444" s="92" t="str">
        <f t="shared" si="18"/>
        <v>3UNKNZMCRALCB251540</v>
      </c>
      <c r="O444" s="93">
        <v>25</v>
      </c>
      <c r="P444" s="92">
        <v>3</v>
      </c>
      <c r="Q444" s="92" t="s">
        <v>503</v>
      </c>
      <c r="R444" s="93">
        <v>1590</v>
      </c>
      <c r="S444" s="93">
        <v>12500</v>
      </c>
      <c r="T444" s="93">
        <v>1590</v>
      </c>
      <c r="U444" s="93">
        <v>1540</v>
      </c>
      <c r="V444" s="93">
        <v>12000</v>
      </c>
      <c r="W444" s="84">
        <v>2</v>
      </c>
      <c r="X444" s="85" t="s">
        <v>529</v>
      </c>
      <c r="Y444" s="86" t="s">
        <v>487</v>
      </c>
      <c r="Z444" s="87">
        <v>6</v>
      </c>
      <c r="AA444" s="88" t="s">
        <v>24</v>
      </c>
      <c r="AB444" s="89">
        <v>1700</v>
      </c>
      <c r="AC444" s="86"/>
      <c r="AD444" s="88"/>
      <c r="AE444" s="89"/>
      <c r="AF444" s="86"/>
      <c r="AG444" s="88"/>
      <c r="AH444" s="89"/>
      <c r="AI444" s="86"/>
      <c r="AJ444" s="88"/>
      <c r="AK444" s="89"/>
      <c r="AL444" s="90"/>
      <c r="AM444" s="91"/>
      <c r="AN444" s="205" t="s">
        <v>480</v>
      </c>
      <c r="AO444" s="243" t="str">
        <f t="shared" si="15"/>
        <v>3UNKNZMCRALCB25</v>
      </c>
    </row>
    <row r="445" spans="1:41" ht="24" x14ac:dyDescent="0.15">
      <c r="A445" s="83">
        <v>4561</v>
      </c>
      <c r="B445" s="92">
        <v>272</v>
      </c>
      <c r="C445" s="92">
        <v>36882</v>
      </c>
      <c r="D445" s="92" t="s">
        <v>61</v>
      </c>
      <c r="E445" s="92" t="s">
        <v>45</v>
      </c>
      <c r="F445" s="92"/>
      <c r="G445" s="92" t="str">
        <f t="shared" si="16"/>
        <v>3UNKNZMCRALCB</v>
      </c>
      <c r="H445" s="92" t="s">
        <v>452</v>
      </c>
      <c r="I445" s="92" t="s">
        <v>1550</v>
      </c>
      <c r="J445" s="92" t="s">
        <v>2230</v>
      </c>
      <c r="K445" s="92" t="s">
        <v>2231</v>
      </c>
      <c r="L445" s="92" t="s">
        <v>1150</v>
      </c>
      <c r="M445" s="92" t="str">
        <f t="shared" si="17"/>
        <v>3UNKNZMCRALCB251110</v>
      </c>
      <c r="N445" s="92" t="str">
        <f t="shared" si="18"/>
        <v>3UNKNZMCRALCB251050</v>
      </c>
      <c r="O445" s="93">
        <v>25</v>
      </c>
      <c r="P445" s="92">
        <v>3</v>
      </c>
      <c r="Q445" s="92" t="s">
        <v>503</v>
      </c>
      <c r="R445" s="93">
        <v>1110</v>
      </c>
      <c r="S445" s="93">
        <v>12100</v>
      </c>
      <c r="T445" s="93">
        <v>1050</v>
      </c>
      <c r="U445" s="93">
        <v>1050</v>
      </c>
      <c r="V445" s="93">
        <v>6000</v>
      </c>
      <c r="W445" s="84">
        <v>1</v>
      </c>
      <c r="X445" s="85" t="s">
        <v>529</v>
      </c>
      <c r="Y445" s="86" t="s">
        <v>208</v>
      </c>
      <c r="Z445" s="87">
        <v>6</v>
      </c>
      <c r="AA445" s="88" t="s">
        <v>24</v>
      </c>
      <c r="AB445" s="89">
        <v>1450</v>
      </c>
      <c r="AC445" s="86">
        <v>6</v>
      </c>
      <c r="AD445" s="88" t="s">
        <v>272</v>
      </c>
      <c r="AE445" s="89">
        <v>1250</v>
      </c>
      <c r="AF445" s="86"/>
      <c r="AG445" s="88"/>
      <c r="AH445" s="89"/>
      <c r="AI445" s="86"/>
      <c r="AJ445" s="88"/>
      <c r="AK445" s="89"/>
      <c r="AL445" s="90"/>
      <c r="AM445" s="91"/>
      <c r="AN445" s="205" t="s">
        <v>480</v>
      </c>
      <c r="AO445" s="243" t="str">
        <f t="shared" si="15"/>
        <v>3UNKNZMCRALCB25</v>
      </c>
    </row>
    <row r="446" spans="1:41" ht="24" x14ac:dyDescent="0.15">
      <c r="A446" s="83">
        <v>4561</v>
      </c>
      <c r="B446" s="92">
        <v>272</v>
      </c>
      <c r="C446" s="92">
        <v>3689</v>
      </c>
      <c r="D446" s="92" t="s">
        <v>1367</v>
      </c>
      <c r="E446" s="92" t="s">
        <v>45</v>
      </c>
      <c r="F446" s="92"/>
      <c r="G446" s="92" t="str">
        <f t="shared" si="16"/>
        <v>3UYKNZMCRALCB</v>
      </c>
      <c r="H446" s="92" t="s">
        <v>452</v>
      </c>
      <c r="I446" s="92" t="s">
        <v>2031</v>
      </c>
      <c r="J446" s="92" t="s">
        <v>2230</v>
      </c>
      <c r="K446" s="92" t="s">
        <v>2231</v>
      </c>
      <c r="L446" s="92" t="s">
        <v>2232</v>
      </c>
      <c r="M446" s="92" t="str">
        <f t="shared" si="17"/>
        <v>3UYKNZMCRALCB251110</v>
      </c>
      <c r="N446" s="92" t="str">
        <f t="shared" si="18"/>
        <v>3UYKNZMCRALCB251050</v>
      </c>
      <c r="O446" s="93">
        <v>25</v>
      </c>
      <c r="P446" s="92">
        <v>3</v>
      </c>
      <c r="Q446" s="92" t="s">
        <v>503</v>
      </c>
      <c r="R446" s="93">
        <v>1110</v>
      </c>
      <c r="S446" s="93">
        <v>12100</v>
      </c>
      <c r="T446" s="93">
        <v>1050</v>
      </c>
      <c r="U446" s="93">
        <v>1050</v>
      </c>
      <c r="V446" s="93">
        <v>6000</v>
      </c>
      <c r="W446" s="84">
        <v>1</v>
      </c>
      <c r="X446" s="85" t="s">
        <v>529</v>
      </c>
      <c r="Y446" s="86" t="s">
        <v>208</v>
      </c>
      <c r="Z446" s="87">
        <v>6</v>
      </c>
      <c r="AA446" s="88" t="s">
        <v>24</v>
      </c>
      <c r="AB446" s="89">
        <v>1450</v>
      </c>
      <c r="AC446" s="86">
        <v>6</v>
      </c>
      <c r="AD446" s="88" t="s">
        <v>272</v>
      </c>
      <c r="AE446" s="89">
        <v>1250</v>
      </c>
      <c r="AF446" s="86"/>
      <c r="AG446" s="88"/>
      <c r="AH446" s="89"/>
      <c r="AI446" s="86"/>
      <c r="AJ446" s="88"/>
      <c r="AK446" s="89"/>
      <c r="AL446" s="90"/>
      <c r="AM446" s="91"/>
      <c r="AN446" s="205" t="s">
        <v>480</v>
      </c>
      <c r="AO446" s="243" t="str">
        <f t="shared" si="15"/>
        <v>3UYKNZMCRALCB25</v>
      </c>
    </row>
    <row r="447" spans="1:41" ht="24" x14ac:dyDescent="0.15">
      <c r="A447" s="83">
        <v>4560</v>
      </c>
      <c r="B447" s="92">
        <v>272</v>
      </c>
      <c r="C447" s="92">
        <v>3689</v>
      </c>
      <c r="D447" s="92" t="s">
        <v>1367</v>
      </c>
      <c r="E447" s="92" t="s">
        <v>45</v>
      </c>
      <c r="F447" s="92"/>
      <c r="G447" s="92" t="str">
        <f t="shared" si="16"/>
        <v>3TYKNZMCR</v>
      </c>
      <c r="H447" s="92" t="s">
        <v>771</v>
      </c>
      <c r="I447" s="92" t="s">
        <v>2031</v>
      </c>
      <c r="J447" s="92" t="s">
        <v>2230</v>
      </c>
      <c r="K447" s="92" t="s">
        <v>2836</v>
      </c>
      <c r="L447" s="92" t="s">
        <v>2835</v>
      </c>
      <c r="M447" s="92" t="str">
        <f t="shared" si="17"/>
        <v>3TYKNZMCR251110</v>
      </c>
      <c r="N447" s="92" t="str">
        <f t="shared" si="18"/>
        <v>3TYKNZMCR251050</v>
      </c>
      <c r="O447" s="93">
        <v>25</v>
      </c>
      <c r="P447" s="92">
        <v>3</v>
      </c>
      <c r="Q447" s="92" t="s">
        <v>503</v>
      </c>
      <c r="R447" s="93">
        <v>1110</v>
      </c>
      <c r="S447" s="93">
        <v>12100</v>
      </c>
      <c r="T447" s="93">
        <v>1050</v>
      </c>
      <c r="U447" s="93">
        <v>1050</v>
      </c>
      <c r="V447" s="93">
        <v>6000</v>
      </c>
      <c r="W447" s="84">
        <v>1</v>
      </c>
      <c r="X447" s="85" t="s">
        <v>529</v>
      </c>
      <c r="Y447" s="86" t="s">
        <v>208</v>
      </c>
      <c r="Z447" s="87">
        <v>6</v>
      </c>
      <c r="AA447" s="88" t="s">
        <v>24</v>
      </c>
      <c r="AB447" s="89">
        <v>1450</v>
      </c>
      <c r="AC447" s="86">
        <v>6</v>
      </c>
      <c r="AD447" s="88" t="s">
        <v>272</v>
      </c>
      <c r="AE447" s="89">
        <v>1250</v>
      </c>
      <c r="AF447" s="86"/>
      <c r="AG447" s="88"/>
      <c r="AH447" s="89"/>
      <c r="AI447" s="86"/>
      <c r="AJ447" s="88"/>
      <c r="AK447" s="89"/>
      <c r="AL447" s="90"/>
      <c r="AM447" s="91"/>
      <c r="AN447" s="205" t="s">
        <v>480</v>
      </c>
      <c r="AO447" s="243" t="str">
        <f t="shared" si="15"/>
        <v>3TYKNZMCR25</v>
      </c>
    </row>
    <row r="448" spans="1:41" x14ac:dyDescent="0.15">
      <c r="A448" s="83">
        <v>4556</v>
      </c>
      <c r="B448" s="92">
        <v>275</v>
      </c>
      <c r="C448" s="92">
        <v>5174</v>
      </c>
      <c r="D448" s="92" t="s">
        <v>116</v>
      </c>
      <c r="E448" s="92" t="s">
        <v>117</v>
      </c>
      <c r="F448" s="92" t="s">
        <v>2047</v>
      </c>
      <c r="G448" s="92" t="str">
        <f t="shared" si="16"/>
        <v>3TNCLBPETV</v>
      </c>
      <c r="H448" s="92" t="s">
        <v>1648</v>
      </c>
      <c r="I448" s="92" t="s">
        <v>20</v>
      </c>
      <c r="J448" s="92" t="s">
        <v>143</v>
      </c>
      <c r="K448" s="92" t="s">
        <v>2233</v>
      </c>
      <c r="L448" s="92" t="s">
        <v>2234</v>
      </c>
      <c r="M448" s="92" t="str">
        <f t="shared" si="17"/>
        <v>3TNCLBPETV161120</v>
      </c>
      <c r="N448" s="92" t="str">
        <f t="shared" si="18"/>
        <v>3TNCLBPETV161000</v>
      </c>
      <c r="O448" s="93">
        <v>16</v>
      </c>
      <c r="P448" s="92">
        <v>3</v>
      </c>
      <c r="Q448" s="92" t="s">
        <v>2026</v>
      </c>
      <c r="R448" s="93">
        <v>1120</v>
      </c>
      <c r="S448" s="93">
        <v>6000</v>
      </c>
      <c r="T448" s="93">
        <v>1120</v>
      </c>
      <c r="U448" s="93">
        <v>1000</v>
      </c>
      <c r="V448" s="93">
        <v>6000</v>
      </c>
      <c r="W448" s="84">
        <v>2</v>
      </c>
      <c r="X448" s="85" t="s">
        <v>136</v>
      </c>
      <c r="Y448" s="86" t="s">
        <v>15</v>
      </c>
      <c r="Z448" s="87">
        <v>6</v>
      </c>
      <c r="AA448" s="88" t="s">
        <v>147</v>
      </c>
      <c r="AB448" s="89">
        <v>1140</v>
      </c>
      <c r="AC448" s="86">
        <v>6</v>
      </c>
      <c r="AD448" s="88" t="s">
        <v>147</v>
      </c>
      <c r="AE448" s="89">
        <v>1140</v>
      </c>
      <c r="AF448" s="86"/>
      <c r="AG448" s="88"/>
      <c r="AH448" s="89"/>
      <c r="AI448" s="86"/>
      <c r="AJ448" s="88"/>
      <c r="AK448" s="89"/>
      <c r="AL448" s="90"/>
      <c r="AM448" s="91"/>
      <c r="AN448" s="246" t="s">
        <v>476</v>
      </c>
      <c r="AO448" s="243" t="str">
        <f t="shared" si="15"/>
        <v>3TNCLBPETV16</v>
      </c>
    </row>
    <row r="449" spans="1:41" x14ac:dyDescent="0.15">
      <c r="A449" s="83">
        <v>4557</v>
      </c>
      <c r="B449" s="92">
        <v>276</v>
      </c>
      <c r="C449" s="92">
        <v>5174</v>
      </c>
      <c r="D449" s="92" t="s">
        <v>116</v>
      </c>
      <c r="E449" s="92" t="s">
        <v>58</v>
      </c>
      <c r="F449" s="92" t="s">
        <v>2047</v>
      </c>
      <c r="G449" s="92" t="str">
        <f t="shared" si="16"/>
        <v>3UNMCLBHLGKJV</v>
      </c>
      <c r="H449" s="92" t="s">
        <v>1657</v>
      </c>
      <c r="I449" s="92" t="s">
        <v>20</v>
      </c>
      <c r="J449" s="92" t="s">
        <v>165</v>
      </c>
      <c r="K449" s="92" t="s">
        <v>172</v>
      </c>
      <c r="L449" s="92" t="s">
        <v>173</v>
      </c>
      <c r="M449" s="92" t="str">
        <f t="shared" si="17"/>
        <v>3UNMCLBHLGKJV251005</v>
      </c>
      <c r="N449" s="92" t="str">
        <f t="shared" si="18"/>
        <v>3UNMCLBHLGKJV251000</v>
      </c>
      <c r="O449" s="93">
        <v>25</v>
      </c>
      <c r="P449" s="92">
        <v>3</v>
      </c>
      <c r="Q449" s="92" t="s">
        <v>174</v>
      </c>
      <c r="R449" s="93">
        <v>1005</v>
      </c>
      <c r="S449" s="93">
        <v>2000</v>
      </c>
      <c r="T449" s="93">
        <v>1005</v>
      </c>
      <c r="U449" s="93">
        <v>1000</v>
      </c>
      <c r="V449" s="93">
        <v>2000</v>
      </c>
      <c r="W449" s="84">
        <v>2</v>
      </c>
      <c r="X449" s="85" t="s">
        <v>136</v>
      </c>
      <c r="Y449" s="86" t="s">
        <v>1997</v>
      </c>
      <c r="Z449" s="87">
        <v>6</v>
      </c>
      <c r="AA449" s="88" t="s">
        <v>24</v>
      </c>
      <c r="AB449" s="89">
        <v>1450</v>
      </c>
      <c r="AC449" s="86">
        <v>6</v>
      </c>
      <c r="AD449" s="88" t="s">
        <v>175</v>
      </c>
      <c r="AE449" s="89">
        <v>1015</v>
      </c>
      <c r="AF449" s="113">
        <v>2</v>
      </c>
      <c r="AG449" s="88" t="s">
        <v>24</v>
      </c>
      <c r="AH449" s="89">
        <v>1450</v>
      </c>
      <c r="AI449" s="113">
        <v>3</v>
      </c>
      <c r="AJ449" s="88" t="s">
        <v>24</v>
      </c>
      <c r="AK449" s="89">
        <v>1450</v>
      </c>
      <c r="AL449" s="90"/>
      <c r="AM449" s="91"/>
      <c r="AN449" s="246" t="s">
        <v>476</v>
      </c>
      <c r="AO449" s="243" t="str">
        <f t="shared" si="15"/>
        <v>3UNMCLBHLGKJV25</v>
      </c>
    </row>
    <row r="450" spans="1:41" x14ac:dyDescent="0.15">
      <c r="A450" s="83">
        <v>4557</v>
      </c>
      <c r="B450" s="92">
        <v>276</v>
      </c>
      <c r="C450" s="92">
        <v>5174</v>
      </c>
      <c r="D450" s="92" t="s">
        <v>116</v>
      </c>
      <c r="E450" s="92" t="s">
        <v>58</v>
      </c>
      <c r="F450" s="92" t="s">
        <v>2047</v>
      </c>
      <c r="G450" s="92" t="str">
        <f t="shared" si="16"/>
        <v>3UNMCLBHLGKJV</v>
      </c>
      <c r="H450" s="92" t="s">
        <v>1657</v>
      </c>
      <c r="I450" s="92" t="s">
        <v>20</v>
      </c>
      <c r="J450" s="92" t="s">
        <v>165</v>
      </c>
      <c r="K450" s="92" t="s">
        <v>172</v>
      </c>
      <c r="L450" s="92" t="s">
        <v>173</v>
      </c>
      <c r="M450" s="92" t="str">
        <f t="shared" si="17"/>
        <v>3UNMCLBHLGKJV501005</v>
      </c>
      <c r="N450" s="92" t="str">
        <f t="shared" si="18"/>
        <v>3UNMCLBHLGKJV501000</v>
      </c>
      <c r="O450" s="93">
        <v>50</v>
      </c>
      <c r="P450" s="92">
        <v>3</v>
      </c>
      <c r="Q450" s="92" t="s">
        <v>174</v>
      </c>
      <c r="R450" s="93">
        <v>1005</v>
      </c>
      <c r="S450" s="93">
        <v>4000</v>
      </c>
      <c r="T450" s="93">
        <v>1005</v>
      </c>
      <c r="U450" s="93">
        <v>1000</v>
      </c>
      <c r="V450" s="93">
        <v>2000</v>
      </c>
      <c r="W450" s="84">
        <v>2</v>
      </c>
      <c r="X450" s="85" t="s">
        <v>136</v>
      </c>
      <c r="Y450" s="86" t="s">
        <v>1997</v>
      </c>
      <c r="Z450" s="87">
        <v>6</v>
      </c>
      <c r="AA450" s="88" t="s">
        <v>24</v>
      </c>
      <c r="AB450" s="89">
        <v>1450</v>
      </c>
      <c r="AC450" s="86">
        <v>6</v>
      </c>
      <c r="AD450" s="88" t="s">
        <v>175</v>
      </c>
      <c r="AE450" s="89">
        <v>1015</v>
      </c>
      <c r="AF450" s="113">
        <v>2</v>
      </c>
      <c r="AG450" s="88" t="s">
        <v>24</v>
      </c>
      <c r="AH450" s="89">
        <v>1450</v>
      </c>
      <c r="AI450" s="113">
        <v>3</v>
      </c>
      <c r="AJ450" s="88" t="s">
        <v>24</v>
      </c>
      <c r="AK450" s="89">
        <v>1450</v>
      </c>
      <c r="AL450" s="90"/>
      <c r="AM450" s="91"/>
      <c r="AN450" s="246" t="s">
        <v>476</v>
      </c>
      <c r="AO450" s="243" t="str">
        <f t="shared" si="15"/>
        <v>3UNMCLBHLGKJV50</v>
      </c>
    </row>
    <row r="451" spans="1:41" x14ac:dyDescent="0.15">
      <c r="A451" s="83">
        <v>4556</v>
      </c>
      <c r="B451" s="92">
        <v>276</v>
      </c>
      <c r="C451" s="92">
        <v>5174</v>
      </c>
      <c r="D451" s="92" t="s">
        <v>116</v>
      </c>
      <c r="E451" s="92" t="s">
        <v>58</v>
      </c>
      <c r="F451" s="92" t="s">
        <v>2047</v>
      </c>
      <c r="G451" s="92" t="str">
        <f t="shared" si="16"/>
        <v>3TNMCLBHLGKJV</v>
      </c>
      <c r="H451" s="92" t="s">
        <v>1648</v>
      </c>
      <c r="I451" s="92" t="s">
        <v>20</v>
      </c>
      <c r="J451" s="92" t="s">
        <v>165</v>
      </c>
      <c r="K451" s="92" t="s">
        <v>172</v>
      </c>
      <c r="L451" s="92" t="s">
        <v>173</v>
      </c>
      <c r="M451" s="92" t="str">
        <f t="shared" si="17"/>
        <v>3TNMCLBHLGKJV501005</v>
      </c>
      <c r="N451" s="92" t="str">
        <f t="shared" si="18"/>
        <v>3TNMCLBHLGKJV501000</v>
      </c>
      <c r="O451" s="93">
        <v>50</v>
      </c>
      <c r="P451" s="92">
        <v>3</v>
      </c>
      <c r="Q451" s="92" t="s">
        <v>174</v>
      </c>
      <c r="R451" s="93">
        <v>1005</v>
      </c>
      <c r="S451" s="93">
        <v>4000</v>
      </c>
      <c r="T451" s="93">
        <v>1005</v>
      </c>
      <c r="U451" s="93">
        <v>1000</v>
      </c>
      <c r="V451" s="93">
        <v>4000</v>
      </c>
      <c r="W451" s="84">
        <v>2</v>
      </c>
      <c r="X451" s="85" t="s">
        <v>136</v>
      </c>
      <c r="Y451" s="86" t="s">
        <v>1997</v>
      </c>
      <c r="Z451" s="87">
        <v>6</v>
      </c>
      <c r="AA451" s="88" t="s">
        <v>24</v>
      </c>
      <c r="AB451" s="89">
        <v>1450</v>
      </c>
      <c r="AC451" s="86">
        <v>6</v>
      </c>
      <c r="AD451" s="88" t="s">
        <v>175</v>
      </c>
      <c r="AE451" s="89">
        <v>1015</v>
      </c>
      <c r="AF451" s="113">
        <v>2</v>
      </c>
      <c r="AG451" s="88" t="s">
        <v>24</v>
      </c>
      <c r="AH451" s="89">
        <v>1450</v>
      </c>
      <c r="AI451" s="113">
        <v>3</v>
      </c>
      <c r="AJ451" s="88" t="s">
        <v>24</v>
      </c>
      <c r="AK451" s="89">
        <v>1450</v>
      </c>
      <c r="AL451" s="90"/>
      <c r="AM451" s="91"/>
      <c r="AN451" s="246" t="s">
        <v>476</v>
      </c>
      <c r="AO451" s="243" t="str">
        <f t="shared" si="15"/>
        <v>3TNMCLBHLGKJV50</v>
      </c>
    </row>
    <row r="452" spans="1:41" x14ac:dyDescent="0.15">
      <c r="A452" s="83">
        <v>4557</v>
      </c>
      <c r="B452" s="92">
        <v>276</v>
      </c>
      <c r="C452" s="92">
        <v>5174</v>
      </c>
      <c r="D452" s="92" t="s">
        <v>116</v>
      </c>
      <c r="E452" s="92" t="s">
        <v>58</v>
      </c>
      <c r="F452" s="92" t="s">
        <v>2052</v>
      </c>
      <c r="G452" s="92" t="str">
        <f t="shared" si="16"/>
        <v>3UNMCLBHLGTV</v>
      </c>
      <c r="H452" s="92" t="s">
        <v>1657</v>
      </c>
      <c r="I452" s="92" t="s">
        <v>20</v>
      </c>
      <c r="J452" s="92" t="s">
        <v>165</v>
      </c>
      <c r="K452" s="92" t="s">
        <v>176</v>
      </c>
      <c r="L452" s="92" t="s">
        <v>177</v>
      </c>
      <c r="M452" s="92" t="str">
        <f t="shared" si="17"/>
        <v>3UNMCLBHLGTV251005</v>
      </c>
      <c r="N452" s="92" t="str">
        <f t="shared" si="18"/>
        <v>3UNMCLBHLGTV251000</v>
      </c>
      <c r="O452" s="93">
        <v>25</v>
      </c>
      <c r="P452" s="92">
        <v>3</v>
      </c>
      <c r="Q452" s="92" t="s">
        <v>178</v>
      </c>
      <c r="R452" s="93">
        <v>1005</v>
      </c>
      <c r="S452" s="93">
        <v>8000</v>
      </c>
      <c r="T452" s="93">
        <v>1005</v>
      </c>
      <c r="U452" s="93">
        <v>1000</v>
      </c>
      <c r="V452" s="93">
        <v>2000</v>
      </c>
      <c r="W452" s="84">
        <v>2</v>
      </c>
      <c r="X452" s="85" t="s">
        <v>136</v>
      </c>
      <c r="Y452" s="86" t="s">
        <v>1997</v>
      </c>
      <c r="Z452" s="87">
        <v>6</v>
      </c>
      <c r="AA452" s="88" t="s">
        <v>24</v>
      </c>
      <c r="AB452" s="89">
        <v>1450</v>
      </c>
      <c r="AC452" s="86">
        <v>6</v>
      </c>
      <c r="AD452" s="88" t="s">
        <v>175</v>
      </c>
      <c r="AE452" s="89">
        <v>1015</v>
      </c>
      <c r="AF452" s="113">
        <v>2</v>
      </c>
      <c r="AG452" s="88" t="s">
        <v>24</v>
      </c>
      <c r="AH452" s="89">
        <v>1450</v>
      </c>
      <c r="AI452" s="113">
        <v>3</v>
      </c>
      <c r="AJ452" s="88" t="s">
        <v>24</v>
      </c>
      <c r="AK452" s="89">
        <v>1450</v>
      </c>
      <c r="AL452" s="90"/>
      <c r="AM452" s="91"/>
      <c r="AN452" s="246" t="s">
        <v>476</v>
      </c>
      <c r="AO452" s="243" t="str">
        <f t="shared" si="15"/>
        <v>3UNMCLBHLGTV25</v>
      </c>
    </row>
    <row r="453" spans="1:41" x14ac:dyDescent="0.15">
      <c r="A453" s="83">
        <v>4557</v>
      </c>
      <c r="B453" s="92">
        <v>276</v>
      </c>
      <c r="C453" s="92">
        <v>5174</v>
      </c>
      <c r="D453" s="92" t="s">
        <v>116</v>
      </c>
      <c r="E453" s="92" t="s">
        <v>58</v>
      </c>
      <c r="F453" s="92" t="s">
        <v>2052</v>
      </c>
      <c r="G453" s="92" t="str">
        <f t="shared" si="16"/>
        <v>3UNMCLBHLGTV</v>
      </c>
      <c r="H453" s="92" t="s">
        <v>1657</v>
      </c>
      <c r="I453" s="92" t="s">
        <v>20</v>
      </c>
      <c r="J453" s="92" t="s">
        <v>165</v>
      </c>
      <c r="K453" s="92" t="s">
        <v>176</v>
      </c>
      <c r="L453" s="92" t="s">
        <v>177</v>
      </c>
      <c r="M453" s="92" t="str">
        <f t="shared" si="17"/>
        <v>3UNMCLBHLGTV501005</v>
      </c>
      <c r="N453" s="92" t="str">
        <f t="shared" si="18"/>
        <v>3UNMCLBHLGTV501000</v>
      </c>
      <c r="O453" s="93">
        <v>50</v>
      </c>
      <c r="P453" s="92">
        <v>3</v>
      </c>
      <c r="Q453" s="92" t="s">
        <v>178</v>
      </c>
      <c r="R453" s="93">
        <v>1005</v>
      </c>
      <c r="S453" s="93">
        <v>4100</v>
      </c>
      <c r="T453" s="93">
        <v>1005</v>
      </c>
      <c r="U453" s="93">
        <v>1000</v>
      </c>
      <c r="V453" s="93">
        <v>4000</v>
      </c>
      <c r="W453" s="84">
        <v>2</v>
      </c>
      <c r="X453" s="85" t="s">
        <v>136</v>
      </c>
      <c r="Y453" s="86" t="s">
        <v>1997</v>
      </c>
      <c r="Z453" s="87">
        <v>6</v>
      </c>
      <c r="AA453" s="88" t="s">
        <v>24</v>
      </c>
      <c r="AB453" s="89">
        <v>1450</v>
      </c>
      <c r="AC453" s="86">
        <v>6</v>
      </c>
      <c r="AD453" s="88" t="s">
        <v>175</v>
      </c>
      <c r="AE453" s="89">
        <v>1015</v>
      </c>
      <c r="AF453" s="113">
        <v>2</v>
      </c>
      <c r="AG453" s="88" t="s">
        <v>24</v>
      </c>
      <c r="AH453" s="89">
        <v>1450</v>
      </c>
      <c r="AI453" s="113">
        <v>3</v>
      </c>
      <c r="AJ453" s="88" t="s">
        <v>24</v>
      </c>
      <c r="AK453" s="89">
        <v>1450</v>
      </c>
      <c r="AL453" s="90"/>
      <c r="AM453" s="91"/>
      <c r="AN453" s="246" t="s">
        <v>476</v>
      </c>
      <c r="AO453" s="243" t="str">
        <f t="shared" si="15"/>
        <v>3UNMCLBHLGTV50</v>
      </c>
    </row>
    <row r="454" spans="1:41" x14ac:dyDescent="0.15">
      <c r="A454" s="83">
        <v>4556</v>
      </c>
      <c r="B454" s="92">
        <v>276</v>
      </c>
      <c r="C454" s="92">
        <v>5174</v>
      </c>
      <c r="D454" s="92" t="s">
        <v>116</v>
      </c>
      <c r="E454" s="92" t="s">
        <v>58</v>
      </c>
      <c r="F454" s="92" t="s">
        <v>2052</v>
      </c>
      <c r="G454" s="92" t="str">
        <f t="shared" si="16"/>
        <v>3TNMCLBHLGTV</v>
      </c>
      <c r="H454" s="92" t="s">
        <v>1648</v>
      </c>
      <c r="I454" s="92" t="s">
        <v>20</v>
      </c>
      <c r="J454" s="92" t="s">
        <v>165</v>
      </c>
      <c r="K454" s="92" t="s">
        <v>176</v>
      </c>
      <c r="L454" s="92" t="s">
        <v>177</v>
      </c>
      <c r="M454" s="92" t="str">
        <f t="shared" si="17"/>
        <v>3TNMCLBHLGTV501005</v>
      </c>
      <c r="N454" s="92" t="str">
        <f t="shared" si="18"/>
        <v>3TNMCLBHLGTV501000</v>
      </c>
      <c r="O454" s="93">
        <v>50</v>
      </c>
      <c r="P454" s="92">
        <v>3</v>
      </c>
      <c r="Q454" s="92" t="s">
        <v>178</v>
      </c>
      <c r="R454" s="93">
        <v>1005</v>
      </c>
      <c r="S454" s="93">
        <v>4100</v>
      </c>
      <c r="T454" s="93">
        <v>1005</v>
      </c>
      <c r="U454" s="93">
        <v>1000</v>
      </c>
      <c r="V454" s="93">
        <v>4000</v>
      </c>
      <c r="W454" s="84">
        <v>2</v>
      </c>
      <c r="X454" s="85" t="s">
        <v>136</v>
      </c>
      <c r="Y454" s="86" t="s">
        <v>1997</v>
      </c>
      <c r="Z454" s="87">
        <v>6</v>
      </c>
      <c r="AA454" s="88" t="s">
        <v>24</v>
      </c>
      <c r="AB454" s="89">
        <v>1450</v>
      </c>
      <c r="AC454" s="86">
        <v>6</v>
      </c>
      <c r="AD454" s="88" t="s">
        <v>175</v>
      </c>
      <c r="AE454" s="89">
        <v>1015</v>
      </c>
      <c r="AF454" s="113">
        <v>2</v>
      </c>
      <c r="AG454" s="88" t="s">
        <v>24</v>
      </c>
      <c r="AH454" s="89">
        <v>1450</v>
      </c>
      <c r="AI454" s="113">
        <v>3</v>
      </c>
      <c r="AJ454" s="88" t="s">
        <v>24</v>
      </c>
      <c r="AK454" s="89">
        <v>1450</v>
      </c>
      <c r="AL454" s="90"/>
      <c r="AM454" s="91"/>
      <c r="AN454" s="246" t="s">
        <v>476</v>
      </c>
      <c r="AO454" s="243" t="str">
        <f t="shared" si="15"/>
        <v>3TNMCLBHLGTV50</v>
      </c>
    </row>
    <row r="455" spans="1:41" x14ac:dyDescent="0.15">
      <c r="A455" s="83">
        <v>4556</v>
      </c>
      <c r="B455" s="92">
        <v>276</v>
      </c>
      <c r="C455" s="92">
        <v>5174</v>
      </c>
      <c r="D455" s="92" t="s">
        <v>116</v>
      </c>
      <c r="E455" s="92" t="s">
        <v>58</v>
      </c>
      <c r="F455" s="92" t="s">
        <v>2052</v>
      </c>
      <c r="G455" s="92" t="str">
        <f t="shared" si="16"/>
        <v>3TNMCLBHLGTV</v>
      </c>
      <c r="H455" s="92" t="s">
        <v>1648</v>
      </c>
      <c r="I455" s="92" t="s">
        <v>20</v>
      </c>
      <c r="J455" s="92" t="s">
        <v>165</v>
      </c>
      <c r="K455" s="92" t="s">
        <v>176</v>
      </c>
      <c r="L455" s="92" t="s">
        <v>177</v>
      </c>
      <c r="M455" s="92" t="str">
        <f t="shared" si="17"/>
        <v>3TNMCLBHLGTV251005</v>
      </c>
      <c r="N455" s="92" t="str">
        <f t="shared" si="18"/>
        <v>3TNMCLBHLGTV251000</v>
      </c>
      <c r="O455" s="93">
        <v>25</v>
      </c>
      <c r="P455" s="92">
        <v>3</v>
      </c>
      <c r="Q455" s="92" t="s">
        <v>178</v>
      </c>
      <c r="R455" s="93">
        <v>1005</v>
      </c>
      <c r="S455" s="93">
        <v>8000</v>
      </c>
      <c r="T455" s="93">
        <v>1005</v>
      </c>
      <c r="U455" s="93">
        <v>1000</v>
      </c>
      <c r="V455" s="93">
        <v>4000</v>
      </c>
      <c r="W455" s="84">
        <v>2</v>
      </c>
      <c r="X455" s="85" t="s">
        <v>136</v>
      </c>
      <c r="Y455" s="86" t="s">
        <v>1997</v>
      </c>
      <c r="Z455" s="87">
        <v>6</v>
      </c>
      <c r="AA455" s="88" t="s">
        <v>24</v>
      </c>
      <c r="AB455" s="89">
        <v>1450</v>
      </c>
      <c r="AC455" s="86">
        <v>6</v>
      </c>
      <c r="AD455" s="88" t="s">
        <v>175</v>
      </c>
      <c r="AE455" s="89">
        <v>1015</v>
      </c>
      <c r="AF455" s="113">
        <v>2</v>
      </c>
      <c r="AG455" s="88" t="s">
        <v>24</v>
      </c>
      <c r="AH455" s="89">
        <v>1450</v>
      </c>
      <c r="AI455" s="113">
        <v>3</v>
      </c>
      <c r="AJ455" s="88" t="s">
        <v>24</v>
      </c>
      <c r="AK455" s="89">
        <v>1450</v>
      </c>
      <c r="AL455" s="90"/>
      <c r="AM455" s="91"/>
      <c r="AN455" s="246" t="s">
        <v>476</v>
      </c>
      <c r="AO455" s="243" t="str">
        <f t="shared" si="15"/>
        <v>3TNMCLBHLGTV25</v>
      </c>
    </row>
    <row r="456" spans="1:41" x14ac:dyDescent="0.15">
      <c r="A456" s="83">
        <v>4556</v>
      </c>
      <c r="B456" s="92">
        <v>272</v>
      </c>
      <c r="C456" s="92">
        <v>36882</v>
      </c>
      <c r="D456" s="92" t="s">
        <v>61</v>
      </c>
      <c r="E456" s="92" t="s">
        <v>45</v>
      </c>
      <c r="F456" s="92" t="s">
        <v>46</v>
      </c>
      <c r="G456" s="92" t="str">
        <f t="shared" si="16"/>
        <v>3TNMLBMTSF</v>
      </c>
      <c r="H456" s="92" t="s">
        <v>1648</v>
      </c>
      <c r="I456" s="92" t="s">
        <v>20</v>
      </c>
      <c r="J456" s="92" t="s">
        <v>205</v>
      </c>
      <c r="K456" s="92" t="s">
        <v>242</v>
      </c>
      <c r="L456" s="92" t="s">
        <v>243</v>
      </c>
      <c r="M456" s="92" t="str">
        <f t="shared" si="17"/>
        <v>3TNMLBMTSF501255</v>
      </c>
      <c r="N456" s="92" t="str">
        <f t="shared" si="18"/>
        <v>3TNMLBMTSF501250</v>
      </c>
      <c r="O456" s="93">
        <v>50</v>
      </c>
      <c r="P456" s="92">
        <v>3</v>
      </c>
      <c r="Q456" s="92" t="s">
        <v>151</v>
      </c>
      <c r="R456" s="93">
        <v>1255</v>
      </c>
      <c r="S456" s="93">
        <v>6100</v>
      </c>
      <c r="T456" s="93">
        <v>1250</v>
      </c>
      <c r="U456" s="93">
        <v>1250</v>
      </c>
      <c r="V456" s="93">
        <v>3000</v>
      </c>
      <c r="W456" s="84">
        <v>2</v>
      </c>
      <c r="X456" s="85"/>
      <c r="Y456" s="86" t="s">
        <v>208</v>
      </c>
      <c r="Z456" s="87"/>
      <c r="AA456" s="88"/>
      <c r="AB456" s="89"/>
      <c r="AC456" s="87">
        <v>3</v>
      </c>
      <c r="AD456" s="88" t="s">
        <v>1998</v>
      </c>
      <c r="AE456" s="89">
        <v>1260</v>
      </c>
      <c r="AF456" s="86">
        <v>2</v>
      </c>
      <c r="AG456" s="88" t="s">
        <v>209</v>
      </c>
      <c r="AH456" s="89" t="s">
        <v>2000</v>
      </c>
      <c r="AI456" s="86">
        <v>3</v>
      </c>
      <c r="AJ456" s="88" t="s">
        <v>24</v>
      </c>
      <c r="AK456" s="89">
        <v>1450</v>
      </c>
      <c r="AL456" s="90"/>
      <c r="AM456" s="91"/>
      <c r="AN456" s="91" t="s">
        <v>476</v>
      </c>
      <c r="AO456" s="243" t="str">
        <f t="shared" si="15"/>
        <v>3TNMLBMTSF50</v>
      </c>
    </row>
    <row r="457" spans="1:41" x14ac:dyDescent="0.15">
      <c r="A457" s="83">
        <v>4557</v>
      </c>
      <c r="B457" s="92">
        <v>272</v>
      </c>
      <c r="C457" s="92">
        <v>36882</v>
      </c>
      <c r="D457" s="92" t="s">
        <v>61</v>
      </c>
      <c r="E457" s="92" t="s">
        <v>45</v>
      </c>
      <c r="F457" s="92" t="s">
        <v>46</v>
      </c>
      <c r="G457" s="92" t="str">
        <f t="shared" si="16"/>
        <v>3UNMLBMTSF</v>
      </c>
      <c r="H457" s="92" t="s">
        <v>1657</v>
      </c>
      <c r="I457" s="92" t="s">
        <v>20</v>
      </c>
      <c r="J457" s="92" t="s">
        <v>205</v>
      </c>
      <c r="K457" s="92" t="s">
        <v>242</v>
      </c>
      <c r="L457" s="92" t="s">
        <v>243</v>
      </c>
      <c r="M457" s="92" t="str">
        <f t="shared" si="17"/>
        <v>3UNMLBMTSF501255</v>
      </c>
      <c r="N457" s="92" t="str">
        <f t="shared" si="18"/>
        <v>3UNMLBMTSF501250</v>
      </c>
      <c r="O457" s="93">
        <v>50</v>
      </c>
      <c r="P457" s="92">
        <v>3</v>
      </c>
      <c r="Q457" s="92" t="s">
        <v>151</v>
      </c>
      <c r="R457" s="93">
        <v>1255</v>
      </c>
      <c r="S457" s="93">
        <v>6100</v>
      </c>
      <c r="T457" s="93">
        <v>1250</v>
      </c>
      <c r="U457" s="93">
        <v>1250</v>
      </c>
      <c r="V457" s="93">
        <v>3000</v>
      </c>
      <c r="W457" s="84">
        <v>2</v>
      </c>
      <c r="X457" s="85"/>
      <c r="Y457" s="86" t="s">
        <v>208</v>
      </c>
      <c r="Z457" s="87"/>
      <c r="AA457" s="88"/>
      <c r="AB457" s="89"/>
      <c r="AC457" s="87">
        <v>3</v>
      </c>
      <c r="AD457" s="88" t="s">
        <v>1998</v>
      </c>
      <c r="AE457" s="89">
        <v>1260</v>
      </c>
      <c r="AF457" s="86">
        <v>2</v>
      </c>
      <c r="AG457" s="88" t="s">
        <v>209</v>
      </c>
      <c r="AH457" s="89" t="s">
        <v>2000</v>
      </c>
      <c r="AI457" s="86">
        <v>3</v>
      </c>
      <c r="AJ457" s="88" t="s">
        <v>24</v>
      </c>
      <c r="AK457" s="89">
        <v>1450</v>
      </c>
      <c r="AL457" s="90"/>
      <c r="AM457" s="91"/>
      <c r="AN457" s="91" t="s">
        <v>476</v>
      </c>
      <c r="AO457" s="243" t="str">
        <f t="shared" si="15"/>
        <v>3UNMLBMTSF50</v>
      </c>
    </row>
    <row r="458" spans="1:41" x14ac:dyDescent="0.15">
      <c r="A458" s="83">
        <v>4556</v>
      </c>
      <c r="B458" s="92">
        <v>271</v>
      </c>
      <c r="C458" s="92"/>
      <c r="D458" s="92" t="s">
        <v>530</v>
      </c>
      <c r="E458" s="92" t="s">
        <v>11</v>
      </c>
      <c r="F458" s="92"/>
      <c r="G458" s="92" t="str">
        <f t="shared" si="16"/>
        <v>3TNMLBMBSF</v>
      </c>
      <c r="H458" s="92" t="s">
        <v>1648</v>
      </c>
      <c r="I458" s="92" t="s">
        <v>1550</v>
      </c>
      <c r="J458" s="92" t="s">
        <v>531</v>
      </c>
      <c r="K458" s="92" t="s">
        <v>2235</v>
      </c>
      <c r="L458" s="92" t="s">
        <v>2236</v>
      </c>
      <c r="M458" s="92" t="str">
        <f t="shared" si="17"/>
        <v>3TNMLBMBSF121350</v>
      </c>
      <c r="N458" s="92" t="str">
        <f t="shared" si="18"/>
        <v>3TNMLBMBSF12600</v>
      </c>
      <c r="O458" s="93">
        <v>12</v>
      </c>
      <c r="P458" s="92">
        <v>3</v>
      </c>
      <c r="Q458" s="92" t="s">
        <v>2027</v>
      </c>
      <c r="R458" s="93">
        <v>1350</v>
      </c>
      <c r="S458" s="93">
        <v>12800</v>
      </c>
      <c r="T458" s="93">
        <v>600</v>
      </c>
      <c r="U458" s="93">
        <v>600</v>
      </c>
      <c r="V458" s="93">
        <v>3000</v>
      </c>
      <c r="W458" s="84">
        <v>1</v>
      </c>
      <c r="X458" s="85"/>
      <c r="Y458" s="86" t="s">
        <v>208</v>
      </c>
      <c r="Z458" s="87">
        <v>6</v>
      </c>
      <c r="AA458" s="88" t="s">
        <v>147</v>
      </c>
      <c r="AB458" s="89">
        <v>605</v>
      </c>
      <c r="AC458" s="87">
        <v>3</v>
      </c>
      <c r="AD458" s="125" t="s">
        <v>1998</v>
      </c>
      <c r="AE458" s="89">
        <v>605</v>
      </c>
      <c r="AF458" s="86"/>
      <c r="AG458" s="88"/>
      <c r="AH458" s="89"/>
      <c r="AI458" s="86"/>
      <c r="AJ458" s="88"/>
      <c r="AK458" s="89"/>
      <c r="AL458" s="90"/>
      <c r="AM458" s="91"/>
      <c r="AN458" s="247"/>
      <c r="AO458" s="243" t="str">
        <f t="shared" si="15"/>
        <v>3TNMLBMBSF12</v>
      </c>
    </row>
    <row r="459" spans="1:41" x14ac:dyDescent="0.15">
      <c r="A459" s="83">
        <v>4557</v>
      </c>
      <c r="B459" s="92">
        <v>271</v>
      </c>
      <c r="C459" s="92"/>
      <c r="D459" s="92" t="s">
        <v>530</v>
      </c>
      <c r="E459" s="92" t="s">
        <v>11</v>
      </c>
      <c r="F459" s="92"/>
      <c r="G459" s="92" t="str">
        <f t="shared" si="16"/>
        <v>3UNMLBMBSF</v>
      </c>
      <c r="H459" s="92" t="s">
        <v>1657</v>
      </c>
      <c r="I459" s="92" t="s">
        <v>1550</v>
      </c>
      <c r="J459" s="92" t="s">
        <v>531</v>
      </c>
      <c r="K459" s="92" t="s">
        <v>2235</v>
      </c>
      <c r="L459" s="92" t="s">
        <v>2236</v>
      </c>
      <c r="M459" s="92" t="str">
        <f t="shared" si="17"/>
        <v>3UNMLBMBSF121350</v>
      </c>
      <c r="N459" s="92" t="str">
        <f t="shared" si="18"/>
        <v>3UNMLBMBSF12600</v>
      </c>
      <c r="O459" s="93">
        <v>12</v>
      </c>
      <c r="P459" s="92">
        <v>3</v>
      </c>
      <c r="Q459" s="92" t="s">
        <v>2027</v>
      </c>
      <c r="R459" s="93">
        <v>1350</v>
      </c>
      <c r="S459" s="93">
        <v>12800</v>
      </c>
      <c r="T459" s="93">
        <v>600</v>
      </c>
      <c r="U459" s="93">
        <v>600</v>
      </c>
      <c r="V459" s="93">
        <v>3000</v>
      </c>
      <c r="W459" s="84">
        <v>1</v>
      </c>
      <c r="X459" s="85"/>
      <c r="Y459" s="86" t="s">
        <v>208</v>
      </c>
      <c r="Z459" s="87">
        <v>6</v>
      </c>
      <c r="AA459" s="88" t="s">
        <v>147</v>
      </c>
      <c r="AB459" s="89">
        <v>605</v>
      </c>
      <c r="AC459" s="87">
        <v>3</v>
      </c>
      <c r="AD459" s="125" t="s">
        <v>1998</v>
      </c>
      <c r="AE459" s="89">
        <v>605</v>
      </c>
      <c r="AF459" s="86"/>
      <c r="AG459" s="88"/>
      <c r="AH459" s="89"/>
      <c r="AI459" s="86"/>
      <c r="AJ459" s="88"/>
      <c r="AK459" s="89"/>
      <c r="AL459" s="90"/>
      <c r="AM459" s="91"/>
      <c r="AN459" s="247"/>
      <c r="AO459" s="243" t="str">
        <f t="shared" si="15"/>
        <v>3UNMLBMBSF12</v>
      </c>
    </row>
    <row r="460" spans="1:41" x14ac:dyDescent="0.15">
      <c r="A460" s="83">
        <v>4227</v>
      </c>
      <c r="B460" s="92">
        <v>276</v>
      </c>
      <c r="C460" s="92">
        <v>2220</v>
      </c>
      <c r="D460" s="92" t="s">
        <v>171</v>
      </c>
      <c r="E460" s="92" t="s">
        <v>58</v>
      </c>
      <c r="F460" s="92" t="s">
        <v>46</v>
      </c>
      <c r="G460" s="92" t="str">
        <f t="shared" si="16"/>
        <v>3UNMCLBDMSEYK</v>
      </c>
      <c r="H460" s="92" t="s">
        <v>1657</v>
      </c>
      <c r="I460" s="92" t="s">
        <v>20</v>
      </c>
      <c r="J460" s="92" t="s">
        <v>165</v>
      </c>
      <c r="K460" s="92" t="s">
        <v>2237</v>
      </c>
      <c r="L460" s="92" t="s">
        <v>2238</v>
      </c>
      <c r="M460" s="92" t="str">
        <f t="shared" si="17"/>
        <v>3UNMCLBDMSEYK501300</v>
      </c>
      <c r="N460" s="92" t="str">
        <f t="shared" si="18"/>
        <v>3UNMCLBDMSEYK501190</v>
      </c>
      <c r="O460" s="93">
        <v>50</v>
      </c>
      <c r="P460" s="92">
        <v>3</v>
      </c>
      <c r="Q460" s="92" t="s">
        <v>1999</v>
      </c>
      <c r="R460" s="93">
        <v>1300</v>
      </c>
      <c r="S460" s="93">
        <v>4000</v>
      </c>
      <c r="T460" s="93">
        <v>1190</v>
      </c>
      <c r="U460" s="93">
        <v>1190</v>
      </c>
      <c r="V460" s="93">
        <v>4000</v>
      </c>
      <c r="W460" s="84">
        <v>2</v>
      </c>
      <c r="X460" s="85" t="s">
        <v>136</v>
      </c>
      <c r="Y460" s="86" t="s">
        <v>1997</v>
      </c>
      <c r="Z460" s="87">
        <v>6</v>
      </c>
      <c r="AA460" s="88" t="s">
        <v>24</v>
      </c>
      <c r="AB460" s="89">
        <v>1450</v>
      </c>
      <c r="AC460" s="86">
        <v>6</v>
      </c>
      <c r="AD460" s="88" t="s">
        <v>147</v>
      </c>
      <c r="AE460" s="89">
        <v>1220</v>
      </c>
      <c r="AF460" s="113">
        <v>2</v>
      </c>
      <c r="AG460" s="88" t="s">
        <v>24</v>
      </c>
      <c r="AH460" s="89">
        <v>1450</v>
      </c>
      <c r="AI460" s="113">
        <v>3</v>
      </c>
      <c r="AJ460" s="88" t="s">
        <v>24</v>
      </c>
      <c r="AK460" s="89">
        <v>1450</v>
      </c>
      <c r="AL460" s="90"/>
      <c r="AM460" s="91"/>
      <c r="AN460" s="91" t="s">
        <v>476</v>
      </c>
      <c r="AO460" s="243" t="str">
        <f t="shared" si="15"/>
        <v>3UNMCLBDMSEYK50</v>
      </c>
    </row>
    <row r="461" spans="1:41" x14ac:dyDescent="0.15">
      <c r="A461" s="83">
        <v>4556</v>
      </c>
      <c r="B461" s="92">
        <v>276</v>
      </c>
      <c r="C461" s="92">
        <v>4049</v>
      </c>
      <c r="D461" s="92" t="s">
        <v>311</v>
      </c>
      <c r="E461" s="92" t="s">
        <v>58</v>
      </c>
      <c r="F461" s="92" t="s">
        <v>12</v>
      </c>
      <c r="G461" s="92" t="str">
        <f t="shared" si="16"/>
        <v>3TNDMSX42G</v>
      </c>
      <c r="H461" s="92" t="s">
        <v>265</v>
      </c>
      <c r="I461" s="92" t="s">
        <v>20</v>
      </c>
      <c r="J461" s="92" t="s">
        <v>312</v>
      </c>
      <c r="K461" s="92" t="s">
        <v>313</v>
      </c>
      <c r="L461" s="92" t="s">
        <v>314</v>
      </c>
      <c r="M461" s="92" t="str">
        <f t="shared" si="17"/>
        <v>3TNDMSX42G501360</v>
      </c>
      <c r="N461" s="92" t="str">
        <f t="shared" si="18"/>
        <v>3TNDMSX42G50680</v>
      </c>
      <c r="O461" s="93">
        <v>50</v>
      </c>
      <c r="P461" s="92">
        <v>3</v>
      </c>
      <c r="Q461" s="92" t="s">
        <v>313</v>
      </c>
      <c r="R461" s="93">
        <v>1360</v>
      </c>
      <c r="S461" s="93">
        <v>4100</v>
      </c>
      <c r="T461" s="93">
        <v>680</v>
      </c>
      <c r="U461" s="93">
        <v>680</v>
      </c>
      <c r="V461" s="93">
        <v>2000</v>
      </c>
      <c r="W461" s="84">
        <v>2</v>
      </c>
      <c r="X461" s="85"/>
      <c r="Y461" s="86" t="s">
        <v>208</v>
      </c>
      <c r="Z461" s="87"/>
      <c r="AA461" s="88"/>
      <c r="AB461" s="89"/>
      <c r="AC461" s="87">
        <v>6</v>
      </c>
      <c r="AD461" s="88" t="s">
        <v>24</v>
      </c>
      <c r="AE461" s="89">
        <v>1600</v>
      </c>
      <c r="AF461" s="86">
        <v>2</v>
      </c>
      <c r="AG461" s="88" t="s">
        <v>209</v>
      </c>
      <c r="AH461" s="89" t="s">
        <v>315</v>
      </c>
      <c r="AI461" s="86">
        <v>3</v>
      </c>
      <c r="AJ461" s="88" t="s">
        <v>266</v>
      </c>
      <c r="AK461" s="89">
        <v>1450</v>
      </c>
      <c r="AL461" s="90"/>
      <c r="AM461" s="91"/>
      <c r="AN461" s="246" t="s">
        <v>476</v>
      </c>
      <c r="AO461" s="243" t="str">
        <f t="shared" si="15"/>
        <v>3TNDMSX42G50</v>
      </c>
    </row>
    <row r="462" spans="1:41" x14ac:dyDescent="0.15">
      <c r="A462" s="83">
        <v>4556</v>
      </c>
      <c r="B462" s="92">
        <v>276</v>
      </c>
      <c r="C462" s="92">
        <v>4049</v>
      </c>
      <c r="D462" s="92" t="s">
        <v>316</v>
      </c>
      <c r="E462" s="92" t="s">
        <v>58</v>
      </c>
      <c r="F462" s="92" t="s">
        <v>26</v>
      </c>
      <c r="G462" s="92" t="str">
        <f t="shared" si="16"/>
        <v>3TNDMSX42GPC</v>
      </c>
      <c r="H462" s="92" t="s">
        <v>265</v>
      </c>
      <c r="I462" s="92" t="s">
        <v>20</v>
      </c>
      <c r="J462" s="92" t="s">
        <v>312</v>
      </c>
      <c r="K462" s="92" t="s">
        <v>317</v>
      </c>
      <c r="L462" s="92" t="s">
        <v>318</v>
      </c>
      <c r="M462" s="92" t="str">
        <f t="shared" si="17"/>
        <v>3TNDMSX42GPC501360</v>
      </c>
      <c r="N462" s="92" t="str">
        <f t="shared" si="18"/>
        <v>3TNDMSX42GPC50680</v>
      </c>
      <c r="O462" s="93">
        <v>50</v>
      </c>
      <c r="P462" s="92">
        <v>3</v>
      </c>
      <c r="Q462" s="92" t="s">
        <v>313</v>
      </c>
      <c r="R462" s="93">
        <v>1360</v>
      </c>
      <c r="S462" s="93">
        <v>4100</v>
      </c>
      <c r="T462" s="93">
        <v>680</v>
      </c>
      <c r="U462" s="93">
        <v>680</v>
      </c>
      <c r="V462" s="93">
        <v>2000</v>
      </c>
      <c r="W462" s="84">
        <v>2</v>
      </c>
      <c r="X462" s="85" t="s">
        <v>136</v>
      </c>
      <c r="Y462" s="86" t="s">
        <v>208</v>
      </c>
      <c r="Z462" s="87">
        <v>6</v>
      </c>
      <c r="AA462" s="88" t="s">
        <v>24</v>
      </c>
      <c r="AB462" s="89">
        <v>1450</v>
      </c>
      <c r="AC462" s="86">
        <v>3</v>
      </c>
      <c r="AD462" s="88" t="s">
        <v>2028</v>
      </c>
      <c r="AE462" s="89">
        <v>690</v>
      </c>
      <c r="AF462" s="86"/>
      <c r="AG462" s="88" t="s">
        <v>24</v>
      </c>
      <c r="AH462" s="89">
        <v>1450</v>
      </c>
      <c r="AI462" s="86"/>
      <c r="AJ462" s="88"/>
      <c r="AK462" s="89"/>
      <c r="AL462" s="90"/>
      <c r="AM462" s="91"/>
      <c r="AN462" s="246" t="s">
        <v>476</v>
      </c>
      <c r="AO462" s="243" t="str">
        <f t="shared" si="15"/>
        <v>3TNDMSX42GPC50</v>
      </c>
    </row>
    <row r="463" spans="1:41" x14ac:dyDescent="0.15">
      <c r="A463" s="83">
        <v>4556</v>
      </c>
      <c r="B463" s="92">
        <v>275</v>
      </c>
      <c r="C463" s="92">
        <v>5174</v>
      </c>
      <c r="D463" s="92" t="s">
        <v>116</v>
      </c>
      <c r="E463" s="92" t="s">
        <v>117</v>
      </c>
      <c r="F463" s="92" t="s">
        <v>2047</v>
      </c>
      <c r="G463" s="92" t="str">
        <f t="shared" si="16"/>
        <v>3TNMCLBTET1MV</v>
      </c>
      <c r="H463" s="92" t="s">
        <v>771</v>
      </c>
      <c r="I463" s="92" t="s">
        <v>20</v>
      </c>
      <c r="J463" s="92" t="s">
        <v>165</v>
      </c>
      <c r="K463" s="92" t="s">
        <v>425</v>
      </c>
      <c r="L463" s="92" t="s">
        <v>426</v>
      </c>
      <c r="M463" s="92" t="str">
        <f t="shared" si="17"/>
        <v>3TNMCLBTET1MV381005</v>
      </c>
      <c r="N463" s="92" t="str">
        <f t="shared" si="18"/>
        <v>3TNMCLBTET1MV381000</v>
      </c>
      <c r="O463" s="93">
        <v>38</v>
      </c>
      <c r="P463" s="92">
        <v>3</v>
      </c>
      <c r="Q463" s="92" t="s">
        <v>2029</v>
      </c>
      <c r="R463" s="93">
        <v>1005</v>
      </c>
      <c r="S463" s="93">
        <v>8000</v>
      </c>
      <c r="T463" s="93">
        <v>1005</v>
      </c>
      <c r="U463" s="93">
        <v>1000</v>
      </c>
      <c r="V463" s="93">
        <v>8000</v>
      </c>
      <c r="W463" s="84">
        <v>2</v>
      </c>
      <c r="X463" s="85" t="s">
        <v>136</v>
      </c>
      <c r="Y463" s="86" t="s">
        <v>1997</v>
      </c>
      <c r="Z463" s="87">
        <v>6</v>
      </c>
      <c r="AA463" s="88" t="s">
        <v>24</v>
      </c>
      <c r="AB463" s="89">
        <v>1450</v>
      </c>
      <c r="AC463" s="86">
        <v>6</v>
      </c>
      <c r="AD463" s="88" t="s">
        <v>175</v>
      </c>
      <c r="AE463" s="89">
        <v>1015</v>
      </c>
      <c r="AF463" s="113">
        <v>2</v>
      </c>
      <c r="AG463" s="88" t="s">
        <v>24</v>
      </c>
      <c r="AH463" s="89">
        <v>1450</v>
      </c>
      <c r="AI463" s="113">
        <v>3</v>
      </c>
      <c r="AJ463" s="88" t="s">
        <v>24</v>
      </c>
      <c r="AK463" s="89">
        <v>1450</v>
      </c>
      <c r="AL463" s="90"/>
      <c r="AM463" s="91"/>
      <c r="AN463" s="246" t="s">
        <v>476</v>
      </c>
      <c r="AO463" s="243" t="str">
        <f t="shared" ref="AO463:AO472" si="21">G463&amp;O463</f>
        <v>3TNMCLBTET1MV38</v>
      </c>
    </row>
    <row r="464" spans="1:41" x14ac:dyDescent="0.15">
      <c r="A464" s="83">
        <v>4556</v>
      </c>
      <c r="B464" s="92">
        <v>275</v>
      </c>
      <c r="C464" s="92">
        <v>5174</v>
      </c>
      <c r="D464" s="92" t="s">
        <v>116</v>
      </c>
      <c r="E464" s="92" t="s">
        <v>117</v>
      </c>
      <c r="F464" s="92" t="s">
        <v>2047</v>
      </c>
      <c r="G464" s="92" t="str">
        <f t="shared" si="16"/>
        <v>3TNMCLBHLKTV</v>
      </c>
      <c r="H464" s="92" t="s">
        <v>265</v>
      </c>
      <c r="I464" s="92" t="s">
        <v>20</v>
      </c>
      <c r="J464" s="92" t="s">
        <v>165</v>
      </c>
      <c r="K464" s="92" t="s">
        <v>319</v>
      </c>
      <c r="L464" s="92" t="s">
        <v>320</v>
      </c>
      <c r="M464" s="92" t="str">
        <f t="shared" si="17"/>
        <v>3TNMCLBHLKTV251030</v>
      </c>
      <c r="N464" s="92" t="str">
        <f t="shared" si="18"/>
        <v>3TNMCLBHLKTV251000</v>
      </c>
      <c r="O464" s="93">
        <v>25</v>
      </c>
      <c r="P464" s="92">
        <v>3</v>
      </c>
      <c r="Q464" s="92" t="s">
        <v>2335</v>
      </c>
      <c r="R464" s="93">
        <v>1030</v>
      </c>
      <c r="S464" s="93">
        <v>4000</v>
      </c>
      <c r="T464" s="93">
        <v>1000</v>
      </c>
      <c r="U464" s="93">
        <v>1000</v>
      </c>
      <c r="V464" s="93">
        <v>2000</v>
      </c>
      <c r="W464" s="84">
        <v>2</v>
      </c>
      <c r="X464" s="85" t="s">
        <v>136</v>
      </c>
      <c r="Y464" s="86" t="s">
        <v>1997</v>
      </c>
      <c r="Z464" s="87">
        <v>6</v>
      </c>
      <c r="AA464" s="88" t="s">
        <v>24</v>
      </c>
      <c r="AB464" s="89">
        <v>1450</v>
      </c>
      <c r="AC464" s="86">
        <v>6</v>
      </c>
      <c r="AD464" s="88" t="s">
        <v>175</v>
      </c>
      <c r="AE464" s="89">
        <v>1015</v>
      </c>
      <c r="AF464" s="86"/>
      <c r="AG464" s="88" t="s">
        <v>24</v>
      </c>
      <c r="AH464" s="89">
        <v>1450</v>
      </c>
      <c r="AI464" s="86"/>
      <c r="AJ464" s="88"/>
      <c r="AK464" s="89"/>
      <c r="AL464" s="90"/>
      <c r="AM464" s="91"/>
      <c r="AN464" s="246" t="s">
        <v>476</v>
      </c>
      <c r="AO464" s="203" t="str">
        <f t="shared" si="21"/>
        <v>3TNMCLBHLKTV25</v>
      </c>
    </row>
    <row r="465" spans="1:41" x14ac:dyDescent="0.15">
      <c r="A465" s="83">
        <v>4556</v>
      </c>
      <c r="B465" s="92">
        <v>275</v>
      </c>
      <c r="C465" s="92">
        <v>5174</v>
      </c>
      <c r="D465" s="92" t="s">
        <v>116</v>
      </c>
      <c r="E465" s="92" t="s">
        <v>117</v>
      </c>
      <c r="F465" s="92" t="s">
        <v>2047</v>
      </c>
      <c r="G465" s="92" t="str">
        <f t="shared" si="16"/>
        <v>3TNMCLBHLKTV</v>
      </c>
      <c r="H465" s="92" t="s">
        <v>265</v>
      </c>
      <c r="I465" s="92" t="s">
        <v>20</v>
      </c>
      <c r="J465" s="92" t="s">
        <v>165</v>
      </c>
      <c r="K465" s="92" t="s">
        <v>319</v>
      </c>
      <c r="L465" s="92" t="s">
        <v>320</v>
      </c>
      <c r="M465" s="92" t="str">
        <f t="shared" si="17"/>
        <v>3TNMCLBHLKTV501030</v>
      </c>
      <c r="N465" s="92" t="str">
        <f t="shared" si="18"/>
        <v>3TNMCLBHLKTV501000</v>
      </c>
      <c r="O465" s="93">
        <v>50</v>
      </c>
      <c r="P465" s="92">
        <v>3</v>
      </c>
      <c r="Q465" s="92" t="s">
        <v>321</v>
      </c>
      <c r="R465" s="93">
        <v>1030</v>
      </c>
      <c r="S465" s="93">
        <v>4100</v>
      </c>
      <c r="T465" s="93">
        <v>1000</v>
      </c>
      <c r="U465" s="93">
        <v>1000</v>
      </c>
      <c r="V465" s="93">
        <v>2000</v>
      </c>
      <c r="W465" s="84">
        <v>2</v>
      </c>
      <c r="X465" s="85" t="s">
        <v>136</v>
      </c>
      <c r="Y465" s="86" t="s">
        <v>1997</v>
      </c>
      <c r="Z465" s="87">
        <v>6</v>
      </c>
      <c r="AA465" s="88" t="s">
        <v>24</v>
      </c>
      <c r="AB465" s="89">
        <v>1450</v>
      </c>
      <c r="AC465" s="86">
        <v>6</v>
      </c>
      <c r="AD465" s="88" t="s">
        <v>175</v>
      </c>
      <c r="AE465" s="89">
        <v>1015</v>
      </c>
      <c r="AF465" s="86"/>
      <c r="AG465" s="88" t="s">
        <v>24</v>
      </c>
      <c r="AH465" s="89">
        <v>1450</v>
      </c>
      <c r="AI465" s="86"/>
      <c r="AJ465" s="88"/>
      <c r="AK465" s="89"/>
      <c r="AL465" s="90"/>
      <c r="AM465" s="91"/>
      <c r="AN465" s="246" t="s">
        <v>476</v>
      </c>
      <c r="AO465" s="243" t="str">
        <f t="shared" si="21"/>
        <v>3TNMCLBHLKTV50</v>
      </c>
    </row>
    <row r="466" spans="1:41" x14ac:dyDescent="0.15">
      <c r="A466" s="119">
        <v>4556</v>
      </c>
      <c r="B466" s="94">
        <v>275</v>
      </c>
      <c r="C466" s="94">
        <v>5174</v>
      </c>
      <c r="D466" s="94" t="s">
        <v>116</v>
      </c>
      <c r="E466" s="94" t="s">
        <v>117</v>
      </c>
      <c r="F466" s="94" t="s">
        <v>2047</v>
      </c>
      <c r="G466" s="94" t="str">
        <f t="shared" si="16"/>
        <v>3TNMCLBHLDTV</v>
      </c>
      <c r="H466" s="94" t="s">
        <v>265</v>
      </c>
      <c r="I466" s="94" t="s">
        <v>20</v>
      </c>
      <c r="J466" s="94" t="s">
        <v>165</v>
      </c>
      <c r="K466" s="94" t="s">
        <v>322</v>
      </c>
      <c r="L466" s="94" t="s">
        <v>323</v>
      </c>
      <c r="M466" s="94" t="str">
        <f t="shared" si="17"/>
        <v>3TNMCLBHLDTV501030</v>
      </c>
      <c r="N466" s="94" t="str">
        <f t="shared" si="18"/>
        <v>3TNMCLBHLDTV501000</v>
      </c>
      <c r="O466" s="120">
        <v>50</v>
      </c>
      <c r="P466" s="94">
        <v>3</v>
      </c>
      <c r="Q466" s="94" t="s">
        <v>2336</v>
      </c>
      <c r="R466" s="120">
        <v>1030</v>
      </c>
      <c r="S466" s="120">
        <v>4100</v>
      </c>
      <c r="T466" s="120">
        <v>1005</v>
      </c>
      <c r="U466" s="120">
        <v>1000</v>
      </c>
      <c r="V466" s="120">
        <v>2000</v>
      </c>
      <c r="W466" s="121">
        <v>2</v>
      </c>
      <c r="X466" s="122" t="s">
        <v>136</v>
      </c>
      <c r="Y466" s="123" t="s">
        <v>1997</v>
      </c>
      <c r="Z466" s="124">
        <v>6</v>
      </c>
      <c r="AA466" s="88" t="s">
        <v>24</v>
      </c>
      <c r="AB466" s="126">
        <v>1450</v>
      </c>
      <c r="AC466" s="123">
        <v>6</v>
      </c>
      <c r="AD466" s="125" t="s">
        <v>175</v>
      </c>
      <c r="AE466" s="126">
        <v>1015</v>
      </c>
      <c r="AF466" s="123"/>
      <c r="AG466" s="125" t="s">
        <v>24</v>
      </c>
      <c r="AH466" s="126">
        <v>1450</v>
      </c>
      <c r="AI466" s="123"/>
      <c r="AJ466" s="125"/>
      <c r="AK466" s="126"/>
      <c r="AL466" s="127"/>
      <c r="AM466" s="128"/>
      <c r="AN466" s="248" t="s">
        <v>476</v>
      </c>
      <c r="AO466" s="203" t="str">
        <f t="shared" si="21"/>
        <v>3TNMCLBHLDTV50</v>
      </c>
    </row>
    <row r="467" spans="1:41" x14ac:dyDescent="0.15">
      <c r="A467" s="83">
        <v>4556</v>
      </c>
      <c r="B467" s="92">
        <v>275</v>
      </c>
      <c r="C467" s="92">
        <v>2042</v>
      </c>
      <c r="D467" s="92" t="s">
        <v>247</v>
      </c>
      <c r="E467" s="92" t="s">
        <v>117</v>
      </c>
      <c r="F467" s="92" t="s">
        <v>2047</v>
      </c>
      <c r="G467" s="92" t="str">
        <f t="shared" si="16"/>
        <v>3TNMLBHLGTF</v>
      </c>
      <c r="H467" s="92" t="s">
        <v>1648</v>
      </c>
      <c r="I467" s="92" t="s">
        <v>20</v>
      </c>
      <c r="J467" s="92" t="s">
        <v>422</v>
      </c>
      <c r="K467" s="92" t="s">
        <v>2239</v>
      </c>
      <c r="L467" s="92" t="s">
        <v>1000</v>
      </c>
      <c r="M467" s="92" t="str">
        <f t="shared" si="17"/>
        <v>3TNMLBHLGTF501005</v>
      </c>
      <c r="N467" s="92" t="str">
        <f t="shared" si="18"/>
        <v>3TNMLBHLGTF501000</v>
      </c>
      <c r="O467" s="93">
        <v>50</v>
      </c>
      <c r="P467" s="92">
        <v>3</v>
      </c>
      <c r="Q467" s="92" t="s">
        <v>999</v>
      </c>
      <c r="R467" s="93">
        <v>1005</v>
      </c>
      <c r="S467" s="93">
        <v>4100</v>
      </c>
      <c r="T467" s="93">
        <v>1005</v>
      </c>
      <c r="U467" s="93">
        <v>1000</v>
      </c>
      <c r="V467" s="93">
        <v>4100</v>
      </c>
      <c r="W467" s="84">
        <v>2</v>
      </c>
      <c r="X467" s="85"/>
      <c r="Y467" s="86" t="s">
        <v>208</v>
      </c>
      <c r="Z467" s="87"/>
      <c r="AA467" s="88"/>
      <c r="AB467" s="89"/>
      <c r="AC467" s="87">
        <v>6</v>
      </c>
      <c r="AD467" s="88"/>
      <c r="AE467" s="89"/>
      <c r="AF467" s="86"/>
      <c r="AG467" s="88"/>
      <c r="AH467" s="89"/>
      <c r="AI467" s="86"/>
      <c r="AJ467" s="88"/>
      <c r="AK467" s="89"/>
      <c r="AL467" s="90"/>
      <c r="AM467" s="91"/>
      <c r="AN467" s="91" t="s">
        <v>476</v>
      </c>
      <c r="AO467" s="243" t="str">
        <f t="shared" si="21"/>
        <v>3TNMLBHLGTF50</v>
      </c>
    </row>
    <row r="468" spans="1:41" x14ac:dyDescent="0.15">
      <c r="A468" s="119">
        <v>4556</v>
      </c>
      <c r="B468" s="94">
        <v>276</v>
      </c>
      <c r="C468" s="94">
        <v>3540</v>
      </c>
      <c r="D468" s="94" t="s">
        <v>324</v>
      </c>
      <c r="E468" s="94" t="s">
        <v>58</v>
      </c>
      <c r="F468" s="94" t="s">
        <v>46</v>
      </c>
      <c r="G468" s="94" t="str">
        <f t="shared" si="16"/>
        <v>3UNMLBKF9BF</v>
      </c>
      <c r="H468" s="94" t="s">
        <v>452</v>
      </c>
      <c r="I468" s="94" t="s">
        <v>20</v>
      </c>
      <c r="J468" s="94" t="s">
        <v>422</v>
      </c>
      <c r="K468" s="94" t="s">
        <v>325</v>
      </c>
      <c r="L468" s="94" t="s">
        <v>326</v>
      </c>
      <c r="M468" s="94" t="str">
        <f t="shared" si="17"/>
        <v>3UNMLBKF9BF91280</v>
      </c>
      <c r="N468" s="94" t="str">
        <f t="shared" si="18"/>
        <v>3UNMLBKF9BF91200</v>
      </c>
      <c r="O468" s="120">
        <v>9</v>
      </c>
      <c r="P468" s="94">
        <v>3</v>
      </c>
      <c r="Q468" s="94" t="s">
        <v>327</v>
      </c>
      <c r="R468" s="120">
        <v>1280</v>
      </c>
      <c r="S468" s="120">
        <v>12000</v>
      </c>
      <c r="T468" s="120">
        <v>1200</v>
      </c>
      <c r="U468" s="120">
        <v>1200</v>
      </c>
      <c r="V468" s="120">
        <v>2000</v>
      </c>
      <c r="W468" s="121">
        <v>2</v>
      </c>
      <c r="X468" s="122"/>
      <c r="Y468" s="123" t="s">
        <v>208</v>
      </c>
      <c r="Z468" s="124"/>
      <c r="AA468" s="125"/>
      <c r="AB468" s="126"/>
      <c r="AC468" s="124">
        <v>3</v>
      </c>
      <c r="AD468" s="125" t="s">
        <v>2028</v>
      </c>
      <c r="AE468" s="126">
        <v>1220</v>
      </c>
      <c r="AF468" s="123"/>
      <c r="AG468" s="125"/>
      <c r="AH468" s="126"/>
      <c r="AI468" s="123"/>
      <c r="AJ468" s="125"/>
      <c r="AK468" s="126"/>
      <c r="AL468" s="127"/>
      <c r="AM468" s="128"/>
      <c r="AN468" s="248" t="s">
        <v>476</v>
      </c>
      <c r="AO468" s="245" t="str">
        <f t="shared" si="21"/>
        <v>3UNMLBKF9BF9</v>
      </c>
    </row>
    <row r="469" spans="1:41" x14ac:dyDescent="0.15">
      <c r="A469" s="119">
        <v>4556</v>
      </c>
      <c r="B469" s="94">
        <v>276</v>
      </c>
      <c r="C469" s="94">
        <v>3540</v>
      </c>
      <c r="D469" s="94" t="s">
        <v>324</v>
      </c>
      <c r="E469" s="94" t="s">
        <v>58</v>
      </c>
      <c r="F469" s="94" t="s">
        <v>46</v>
      </c>
      <c r="G469" s="94" t="str">
        <f t="shared" si="16"/>
        <v>3UNMLBKF9BF</v>
      </c>
      <c r="H469" s="94" t="s">
        <v>452</v>
      </c>
      <c r="I469" s="94" t="s">
        <v>20</v>
      </c>
      <c r="J469" s="94" t="s">
        <v>422</v>
      </c>
      <c r="K469" s="94" t="s">
        <v>325</v>
      </c>
      <c r="L469" s="94" t="s">
        <v>326</v>
      </c>
      <c r="M469" s="94" t="str">
        <f t="shared" si="17"/>
        <v>3UNMLBKF9BF91400</v>
      </c>
      <c r="N469" s="94" t="str">
        <f t="shared" si="18"/>
        <v>3UNMLBKF9BF91200</v>
      </c>
      <c r="O469" s="120">
        <v>9</v>
      </c>
      <c r="P469" s="94">
        <v>3</v>
      </c>
      <c r="Q469" s="94" t="s">
        <v>327</v>
      </c>
      <c r="R469" s="120">
        <v>1400</v>
      </c>
      <c r="S469" s="120">
        <v>12000</v>
      </c>
      <c r="T469" s="120">
        <v>1200</v>
      </c>
      <c r="U469" s="120">
        <v>1200</v>
      </c>
      <c r="V469" s="120">
        <v>2000</v>
      </c>
      <c r="W469" s="121">
        <v>2</v>
      </c>
      <c r="X469" s="122"/>
      <c r="Y469" s="123" t="s">
        <v>208</v>
      </c>
      <c r="Z469" s="124"/>
      <c r="AA469" s="125"/>
      <c r="AB469" s="126"/>
      <c r="AC469" s="124">
        <v>3</v>
      </c>
      <c r="AD469" s="125" t="s">
        <v>2028</v>
      </c>
      <c r="AE469" s="126">
        <v>1220</v>
      </c>
      <c r="AF469" s="123"/>
      <c r="AG469" s="125"/>
      <c r="AH469" s="126"/>
      <c r="AI469" s="123"/>
      <c r="AJ469" s="125"/>
      <c r="AK469" s="126"/>
      <c r="AL469" s="127"/>
      <c r="AM469" s="128"/>
      <c r="AN469" s="248" t="s">
        <v>476</v>
      </c>
      <c r="AO469" s="245" t="str">
        <f t="shared" si="21"/>
        <v>3UNMLBKF9BF9</v>
      </c>
    </row>
    <row r="470" spans="1:41" x14ac:dyDescent="0.15">
      <c r="A470" s="119">
        <v>4556</v>
      </c>
      <c r="B470" s="94">
        <v>276</v>
      </c>
      <c r="C470" s="94">
        <v>3540</v>
      </c>
      <c r="D470" s="94" t="s">
        <v>324</v>
      </c>
      <c r="E470" s="94" t="s">
        <v>58</v>
      </c>
      <c r="F470" s="94" t="s">
        <v>46</v>
      </c>
      <c r="G470" s="94" t="str">
        <f t="shared" si="16"/>
        <v>3UNMLBKF9BF</v>
      </c>
      <c r="H470" s="94" t="s">
        <v>452</v>
      </c>
      <c r="I470" s="94" t="s">
        <v>20</v>
      </c>
      <c r="J470" s="94" t="s">
        <v>422</v>
      </c>
      <c r="K470" s="94" t="s">
        <v>325</v>
      </c>
      <c r="L470" s="94" t="s">
        <v>326</v>
      </c>
      <c r="M470" s="94" t="str">
        <f t="shared" si="17"/>
        <v>3UNMLBKF9BF91400</v>
      </c>
      <c r="N470" s="94" t="str">
        <f t="shared" si="18"/>
        <v>3UNMLBKF9BF91000</v>
      </c>
      <c r="O470" s="120">
        <v>9</v>
      </c>
      <c r="P470" s="94">
        <v>3</v>
      </c>
      <c r="Q470" s="94" t="s">
        <v>327</v>
      </c>
      <c r="R470" s="120">
        <v>1400</v>
      </c>
      <c r="S470" s="120">
        <v>12000</v>
      </c>
      <c r="T470" s="120">
        <v>1000</v>
      </c>
      <c r="U470" s="120">
        <v>1000</v>
      </c>
      <c r="V470" s="120">
        <v>500</v>
      </c>
      <c r="W470" s="121">
        <v>2</v>
      </c>
      <c r="X470" s="122"/>
      <c r="Y470" s="123" t="s">
        <v>208</v>
      </c>
      <c r="Z470" s="124"/>
      <c r="AA470" s="125"/>
      <c r="AB470" s="126"/>
      <c r="AC470" s="124">
        <v>3</v>
      </c>
      <c r="AD470" s="125" t="s">
        <v>2028</v>
      </c>
      <c r="AE470" s="126">
        <v>1020</v>
      </c>
      <c r="AF470" s="123"/>
      <c r="AG470" s="125"/>
      <c r="AH470" s="126"/>
      <c r="AI470" s="123"/>
      <c r="AJ470" s="125"/>
      <c r="AK470" s="126"/>
      <c r="AL470" s="127"/>
      <c r="AM470" s="128"/>
      <c r="AN470" s="248" t="s">
        <v>476</v>
      </c>
      <c r="AO470" s="245" t="str">
        <f t="shared" si="21"/>
        <v>3UNMLBKF9BF9</v>
      </c>
    </row>
    <row r="471" spans="1:41" ht="12.75" thickBot="1" x14ac:dyDescent="0.2">
      <c r="A471" s="97">
        <v>4556</v>
      </c>
      <c r="B471" s="98">
        <v>276</v>
      </c>
      <c r="C471" s="98">
        <v>3540</v>
      </c>
      <c r="D471" s="98" t="s">
        <v>324</v>
      </c>
      <c r="E471" s="98" t="s">
        <v>58</v>
      </c>
      <c r="F471" s="98" t="s">
        <v>46</v>
      </c>
      <c r="G471" s="98" t="str">
        <f t="shared" si="16"/>
        <v>3UNMLBKF9BF</v>
      </c>
      <c r="H471" s="98" t="s">
        <v>452</v>
      </c>
      <c r="I471" s="98" t="s">
        <v>20</v>
      </c>
      <c r="J471" s="98" t="s">
        <v>422</v>
      </c>
      <c r="K471" s="98" t="s">
        <v>325</v>
      </c>
      <c r="L471" s="98" t="s">
        <v>326</v>
      </c>
      <c r="M471" s="98" t="str">
        <f t="shared" si="17"/>
        <v>3UNMLBKF9BF91400</v>
      </c>
      <c r="N471" s="98" t="str">
        <f t="shared" si="18"/>
        <v>3UNMLBKF9BF91360</v>
      </c>
      <c r="O471" s="99">
        <v>9</v>
      </c>
      <c r="P471" s="98">
        <v>3</v>
      </c>
      <c r="Q471" s="98" t="s">
        <v>327</v>
      </c>
      <c r="R471" s="99">
        <v>1400</v>
      </c>
      <c r="S471" s="99">
        <v>12000</v>
      </c>
      <c r="T471" s="99">
        <v>1360</v>
      </c>
      <c r="U471" s="99">
        <v>1360</v>
      </c>
      <c r="V471" s="99">
        <v>2100</v>
      </c>
      <c r="W471" s="100">
        <v>2</v>
      </c>
      <c r="X471" s="101"/>
      <c r="Y471" s="102" t="s">
        <v>208</v>
      </c>
      <c r="Z471" s="103"/>
      <c r="AA471" s="104"/>
      <c r="AB471" s="105"/>
      <c r="AC471" s="103">
        <v>3</v>
      </c>
      <c r="AD471" s="104" t="s">
        <v>2028</v>
      </c>
      <c r="AE471" s="105">
        <v>1380</v>
      </c>
      <c r="AF471" s="102"/>
      <c r="AG471" s="104"/>
      <c r="AH471" s="105"/>
      <c r="AI471" s="102"/>
      <c r="AJ471" s="104"/>
      <c r="AK471" s="105"/>
      <c r="AL471" s="106"/>
      <c r="AM471" s="107"/>
      <c r="AN471" s="249" t="s">
        <v>476</v>
      </c>
      <c r="AO471" s="250" t="str">
        <f t="shared" si="21"/>
        <v>3UNMLBKF9BF9</v>
      </c>
    </row>
    <row r="472" spans="1:41" x14ac:dyDescent="0.15">
      <c r="A472" s="83">
        <v>4113</v>
      </c>
      <c r="B472" s="92">
        <v>272</v>
      </c>
      <c r="C472" s="92">
        <v>4641</v>
      </c>
      <c r="D472" s="92" t="s">
        <v>98</v>
      </c>
      <c r="E472" s="92" t="s">
        <v>45</v>
      </c>
      <c r="F472" s="92" t="s">
        <v>46</v>
      </c>
      <c r="G472" s="92" t="str">
        <f t="shared" si="16"/>
        <v>3TNCERASY08</v>
      </c>
      <c r="H472" s="92" t="s">
        <v>1648</v>
      </c>
      <c r="I472" s="92" t="s">
        <v>20</v>
      </c>
      <c r="J472" s="92" t="s">
        <v>21</v>
      </c>
      <c r="K472" s="92" t="s">
        <v>99</v>
      </c>
      <c r="L472" s="92" t="s">
        <v>100</v>
      </c>
      <c r="M472" s="92" t="str">
        <f t="shared" si="17"/>
        <v>3TNCERASY08251045</v>
      </c>
      <c r="N472" s="92" t="str">
        <f t="shared" si="18"/>
        <v>3TNCERASY0825500</v>
      </c>
      <c r="O472" s="93">
        <v>25</v>
      </c>
      <c r="P472" s="92">
        <v>3</v>
      </c>
      <c r="Q472" s="92" t="s">
        <v>19</v>
      </c>
      <c r="R472" s="93">
        <v>1045</v>
      </c>
      <c r="S472" s="93">
        <v>12400</v>
      </c>
      <c r="T472" s="93">
        <v>500</v>
      </c>
      <c r="U472" s="93">
        <v>500</v>
      </c>
      <c r="V472" s="93">
        <v>4000</v>
      </c>
      <c r="W472" s="84">
        <v>2</v>
      </c>
      <c r="X472" s="85" t="s">
        <v>14</v>
      </c>
      <c r="Y472" s="86" t="s">
        <v>295</v>
      </c>
      <c r="Z472" s="87">
        <v>6</v>
      </c>
      <c r="AA472" s="88" t="s">
        <v>24</v>
      </c>
      <c r="AB472" s="89">
        <v>1450</v>
      </c>
      <c r="AC472" s="86">
        <v>3</v>
      </c>
      <c r="AD472" s="88" t="s">
        <v>1656</v>
      </c>
      <c r="AE472" s="89">
        <v>505</v>
      </c>
      <c r="AF472" s="86"/>
      <c r="AG472" s="88"/>
      <c r="AH472" s="89"/>
      <c r="AI472" s="86"/>
      <c r="AJ472" s="88"/>
      <c r="AK472" s="89"/>
      <c r="AL472" s="90"/>
      <c r="AM472" s="91"/>
      <c r="AN472" s="91" t="s">
        <v>471</v>
      </c>
      <c r="AO472" s="243" t="str">
        <f t="shared" si="21"/>
        <v>3TNCERASY0825</v>
      </c>
    </row>
  </sheetData>
  <sheetProtection sheet="1" objects="1" scenarios="1"/>
  <sortState xmlns:xlrd2="http://schemas.microsoft.com/office/spreadsheetml/2017/richdata2" ref="A4:S277">
    <sortCondition ref="Q4:Q277"/>
  </sortState>
  <phoneticPr fontId="1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2153"/>
  <sheetViews>
    <sheetView workbookViewId="0">
      <pane xSplit="5" ySplit="2" topLeftCell="F1008" activePane="bottomRight" state="frozen"/>
      <selection pane="topRight" activeCell="F1" sqref="F1"/>
      <selection pane="bottomLeft" activeCell="A3" sqref="A3"/>
      <selection pane="bottomRight" activeCell="R1015" sqref="R1015"/>
    </sheetView>
  </sheetViews>
  <sheetFormatPr defaultColWidth="9" defaultRowHeight="12" x14ac:dyDescent="0.15"/>
  <cols>
    <col min="1" max="1" width="8.5" style="146" bestFit="1" customWidth="1"/>
    <col min="2" max="2" width="15.5" style="146" bestFit="1" customWidth="1"/>
    <col min="3" max="4" width="12.375" style="146" bestFit="1" customWidth="1"/>
    <col min="5" max="5" width="16.125" style="146" customWidth="1"/>
    <col min="6" max="6" width="3.875" style="146" customWidth="1"/>
    <col min="7" max="7" width="4" style="146" customWidth="1"/>
    <col min="8" max="8" width="3.5" style="146" customWidth="1"/>
    <col min="9" max="9" width="4.75" style="146" customWidth="1"/>
    <col min="10" max="10" width="5.875" style="146" customWidth="1"/>
    <col min="11" max="11" width="6.125" style="146" customWidth="1"/>
    <col min="12" max="12" width="3.25" style="146" customWidth="1"/>
    <col min="13" max="13" width="40.125" style="146" customWidth="1"/>
    <col min="14" max="16" width="7.25" style="147" customWidth="1"/>
    <col min="17" max="17" width="4" style="146" customWidth="1"/>
    <col min="18" max="18" width="6.875" style="146" customWidth="1"/>
    <col min="19" max="19" width="5.375" style="146" customWidth="1"/>
    <col min="20" max="21" width="10.5" style="148" bestFit="1" customWidth="1"/>
    <col min="22" max="22" width="15.125" style="146" bestFit="1" customWidth="1"/>
    <col min="23" max="23" width="13" style="146" bestFit="1" customWidth="1"/>
    <col min="24" max="25" width="9" style="146"/>
    <col min="26" max="28" width="9" style="151" customWidth="1"/>
    <col min="29" max="16384" width="9" style="146"/>
  </cols>
  <sheetData>
    <row r="1" spans="1:28" s="144" customFormat="1" ht="11.25" x14ac:dyDescent="0.15">
      <c r="A1" s="143">
        <v>1</v>
      </c>
      <c r="B1" s="143">
        <v>2</v>
      </c>
      <c r="C1" s="143">
        <v>3</v>
      </c>
      <c r="D1" s="143">
        <v>4</v>
      </c>
      <c r="E1" s="143">
        <v>5</v>
      </c>
      <c r="F1" s="143">
        <v>6</v>
      </c>
      <c r="G1" s="143">
        <v>7</v>
      </c>
      <c r="H1" s="143">
        <v>8</v>
      </c>
      <c r="I1" s="143">
        <v>9</v>
      </c>
      <c r="J1" s="143">
        <v>10</v>
      </c>
      <c r="K1" s="143">
        <v>11</v>
      </c>
      <c r="L1" s="143">
        <v>12</v>
      </c>
      <c r="M1" s="143">
        <v>13</v>
      </c>
      <c r="N1" s="143">
        <v>14</v>
      </c>
      <c r="O1" s="143">
        <v>15</v>
      </c>
      <c r="P1" s="143">
        <v>16</v>
      </c>
      <c r="Q1" s="143">
        <v>17</v>
      </c>
      <c r="R1" s="143">
        <v>18</v>
      </c>
      <c r="S1" s="143">
        <v>19</v>
      </c>
      <c r="T1" s="143">
        <v>20</v>
      </c>
      <c r="U1" s="143">
        <v>21</v>
      </c>
      <c r="V1" s="143">
        <v>22</v>
      </c>
      <c r="W1" s="143">
        <v>23</v>
      </c>
      <c r="X1" s="143">
        <v>24</v>
      </c>
      <c r="Z1" s="149"/>
      <c r="AA1" s="149"/>
      <c r="AB1" s="149"/>
    </row>
    <row r="2" spans="1:28" s="145" customFormat="1" ht="22.5" x14ac:dyDescent="0.15">
      <c r="A2" s="152" t="s">
        <v>328</v>
      </c>
      <c r="B2" s="152" t="s">
        <v>329</v>
      </c>
      <c r="C2" s="152" t="s">
        <v>330</v>
      </c>
      <c r="D2" s="152" t="s">
        <v>331</v>
      </c>
      <c r="E2" s="152" t="s">
        <v>332</v>
      </c>
      <c r="F2" s="152" t="s">
        <v>333</v>
      </c>
      <c r="G2" s="152" t="s">
        <v>334</v>
      </c>
      <c r="H2" s="152" t="s">
        <v>335</v>
      </c>
      <c r="I2" s="152" t="s">
        <v>336</v>
      </c>
      <c r="J2" s="152" t="s">
        <v>337</v>
      </c>
      <c r="K2" s="152" t="s">
        <v>338</v>
      </c>
      <c r="L2" s="152" t="s">
        <v>7</v>
      </c>
      <c r="M2" s="152" t="s">
        <v>339</v>
      </c>
      <c r="N2" s="153" t="s">
        <v>340</v>
      </c>
      <c r="O2" s="153" t="s">
        <v>341</v>
      </c>
      <c r="P2" s="153" t="s">
        <v>342</v>
      </c>
      <c r="Q2" s="152" t="s">
        <v>343</v>
      </c>
      <c r="R2" s="152" t="s">
        <v>344</v>
      </c>
      <c r="S2" s="152" t="s">
        <v>345</v>
      </c>
      <c r="T2" s="154" t="s">
        <v>346</v>
      </c>
      <c r="U2" s="154" t="s">
        <v>347</v>
      </c>
      <c r="V2" s="152" t="s">
        <v>348</v>
      </c>
      <c r="W2" s="152" t="s">
        <v>349</v>
      </c>
      <c r="X2" s="152" t="s">
        <v>350</v>
      </c>
      <c r="Z2" s="150" t="s">
        <v>419</v>
      </c>
      <c r="AA2" s="150" t="s">
        <v>420</v>
      </c>
      <c r="AB2" s="150" t="s">
        <v>421</v>
      </c>
    </row>
    <row r="3" spans="1:28" s="144" customFormat="1" ht="11.25" x14ac:dyDescent="0.15">
      <c r="A3" s="177">
        <v>3662798</v>
      </c>
      <c r="B3" s="177" t="s">
        <v>351</v>
      </c>
      <c r="C3" s="177" t="s">
        <v>352</v>
      </c>
      <c r="D3" s="177" t="s">
        <v>353</v>
      </c>
      <c r="E3" s="177" t="s">
        <v>116</v>
      </c>
      <c r="F3" s="177">
        <v>3</v>
      </c>
      <c r="G3" s="177" t="s">
        <v>19</v>
      </c>
      <c r="H3" s="177" t="s">
        <v>20</v>
      </c>
      <c r="I3" s="177" t="s">
        <v>205</v>
      </c>
      <c r="J3" s="177"/>
      <c r="K3" s="177" t="s">
        <v>212</v>
      </c>
      <c r="L3" s="177">
        <v>50</v>
      </c>
      <c r="M3" s="177" t="s">
        <v>213</v>
      </c>
      <c r="N3" s="178">
        <v>1120</v>
      </c>
      <c r="O3" s="178">
        <v>1120</v>
      </c>
      <c r="P3" s="178">
        <v>4000</v>
      </c>
      <c r="Q3" s="177">
        <v>2</v>
      </c>
      <c r="R3" s="177">
        <v>8</v>
      </c>
      <c r="S3" s="177" t="s">
        <v>354</v>
      </c>
      <c r="T3" s="179">
        <v>44704</v>
      </c>
      <c r="U3" s="179">
        <v>44755</v>
      </c>
      <c r="V3" s="177" t="s">
        <v>355</v>
      </c>
      <c r="W3" s="177"/>
      <c r="X3" s="177"/>
      <c r="Z3" s="149" t="str">
        <f ca="1">IF(SUM(AA3:AB3)=0,"",SUM(AA3:AB3))</f>
        <v/>
      </c>
      <c r="AA3" s="149" t="str">
        <f ca="1">IFERROR(IF(OR(OFFSET('S4'!#REF!,MATCH($A3,'S4'!$D$5:$D$3387,0)-1,6)="巻返し",OFFSET('S4'!#REF!,MATCH($A3,'S4'!$D$5:$D$3387,0)-1,6)="スリット"),SUMIF('S4'!$D$5:$D$3387,$A3,'S4'!$U$5:$U$3387),""),"")</f>
        <v/>
      </c>
      <c r="AB3" s="149" t="str">
        <f ca="1">IFERROR(IF(OR(OFFSET('S5'!#REF!,MATCH($A3,'S5'!$D$5:$D$2917,0)-1,6)="巻返し",OFFSET('S5'!#REF!,MATCH($A3,'S5'!$D$5:$D$2917,0)-1,6)="スリット"),SUMIF('S5'!$D$5:$D$2917,$A3,'S5'!$T$5:$T$2917),""),"")</f>
        <v/>
      </c>
    </row>
    <row r="4" spans="1:28" s="144" customFormat="1" ht="11.25" x14ac:dyDescent="0.15">
      <c r="A4" s="177">
        <v>3662809</v>
      </c>
      <c r="B4" s="177" t="s">
        <v>351</v>
      </c>
      <c r="C4" s="177" t="s">
        <v>352</v>
      </c>
      <c r="D4" s="177" t="s">
        <v>353</v>
      </c>
      <c r="E4" s="177" t="s">
        <v>116</v>
      </c>
      <c r="F4" s="177">
        <v>3</v>
      </c>
      <c r="G4" s="177" t="s">
        <v>19</v>
      </c>
      <c r="H4" s="177" t="s">
        <v>20</v>
      </c>
      <c r="I4" s="177" t="s">
        <v>205</v>
      </c>
      <c r="J4" s="177"/>
      <c r="K4" s="177" t="s">
        <v>216</v>
      </c>
      <c r="L4" s="177">
        <v>50</v>
      </c>
      <c r="M4" s="177" t="s">
        <v>217</v>
      </c>
      <c r="N4" s="178">
        <v>1120</v>
      </c>
      <c r="O4" s="178">
        <v>1120</v>
      </c>
      <c r="P4" s="178">
        <v>5000</v>
      </c>
      <c r="Q4" s="177">
        <v>2</v>
      </c>
      <c r="R4" s="177">
        <v>12</v>
      </c>
      <c r="S4" s="177" t="s">
        <v>354</v>
      </c>
      <c r="T4" s="179">
        <v>44704</v>
      </c>
      <c r="U4" s="179">
        <v>44743</v>
      </c>
      <c r="V4" s="177" t="s">
        <v>355</v>
      </c>
      <c r="W4" s="177"/>
      <c r="X4" s="177"/>
      <c r="Z4" s="149" t="str">
        <f t="shared" ref="Z4:Z67" ca="1" si="0">IF(SUM(AA4:AB4)=0,"",SUM(AA4:AB4))</f>
        <v/>
      </c>
      <c r="AA4" s="149" t="str">
        <f ca="1">IFERROR(IF(OR(OFFSET('S4'!#REF!,MATCH($A4,'S4'!$D$5:$D$3387,0)-1,6)="巻返し",OFFSET('S4'!#REF!,MATCH($A4,'S4'!$D$5:$D$3387,0)-1,6)="スリット"),SUMIF('S4'!$D$5:$D$3387,$A4,'S4'!$U$5:$U$3387),""),"")</f>
        <v/>
      </c>
      <c r="AB4" s="149" t="str">
        <f ca="1">IFERROR(IF(OR(OFFSET('S5'!#REF!,MATCH($A4,'S5'!$D$5:$D$2917,0)-1,6)="巻返し",OFFSET('S5'!#REF!,MATCH($A4,'S5'!$D$5:$D$2917,0)-1,6)="スリット"),SUMIF('S5'!$D$5:$D$2917,$A4,'S5'!$T$5:$T$2917),""),"")</f>
        <v/>
      </c>
    </row>
    <row r="5" spans="1:28" s="144" customFormat="1" ht="11.25" x14ac:dyDescent="0.15">
      <c r="A5" s="177">
        <v>3662810</v>
      </c>
      <c r="B5" s="177" t="s">
        <v>351</v>
      </c>
      <c r="C5" s="177" t="s">
        <v>352</v>
      </c>
      <c r="D5" s="177" t="s">
        <v>353</v>
      </c>
      <c r="E5" s="177" t="s">
        <v>116</v>
      </c>
      <c r="F5" s="177">
        <v>3</v>
      </c>
      <c r="G5" s="177" t="s">
        <v>19</v>
      </c>
      <c r="H5" s="177" t="s">
        <v>20</v>
      </c>
      <c r="I5" s="177" t="s">
        <v>205</v>
      </c>
      <c r="J5" s="177"/>
      <c r="K5" s="177" t="s">
        <v>216</v>
      </c>
      <c r="L5" s="177">
        <v>50</v>
      </c>
      <c r="M5" s="177" t="s">
        <v>217</v>
      </c>
      <c r="N5" s="178">
        <v>1120</v>
      </c>
      <c r="O5" s="178">
        <v>1120</v>
      </c>
      <c r="P5" s="178">
        <v>5000</v>
      </c>
      <c r="Q5" s="177">
        <v>2</v>
      </c>
      <c r="R5" s="177">
        <v>12</v>
      </c>
      <c r="S5" s="177" t="s">
        <v>354</v>
      </c>
      <c r="T5" s="179">
        <v>44704</v>
      </c>
      <c r="U5" s="179">
        <v>44750</v>
      </c>
      <c r="V5" s="177" t="s">
        <v>355</v>
      </c>
      <c r="W5" s="177"/>
      <c r="X5" s="177"/>
      <c r="Z5" s="149" t="str">
        <f t="shared" ca="1" si="0"/>
        <v/>
      </c>
      <c r="AA5" s="149" t="str">
        <f ca="1">IFERROR(IF(OR(OFFSET('S4'!#REF!,MATCH($A5,'S4'!$D$5:$D$3387,0)-1,6)="巻返し",OFFSET('S4'!#REF!,MATCH($A5,'S4'!$D$5:$D$3387,0)-1,6)="スリット"),SUMIF('S4'!$D$5:$D$3387,$A5,'S4'!$U$5:$U$3387),""),"")</f>
        <v/>
      </c>
      <c r="AB5" s="149" t="str">
        <f ca="1">IFERROR(IF(OR(OFFSET('S5'!#REF!,MATCH($A5,'S5'!$D$5:$D$2917,0)-1,6)="巻返し",OFFSET('S5'!#REF!,MATCH($A5,'S5'!$D$5:$D$2917,0)-1,6)="スリット"),SUMIF('S5'!$D$5:$D$2917,$A5,'S5'!$T$5:$T$2917),""),"")</f>
        <v/>
      </c>
    </row>
    <row r="6" spans="1:28" s="144" customFormat="1" ht="11.25" x14ac:dyDescent="0.15">
      <c r="A6" s="177">
        <v>3662811</v>
      </c>
      <c r="B6" s="177" t="s">
        <v>351</v>
      </c>
      <c r="C6" s="177" t="s">
        <v>352</v>
      </c>
      <c r="D6" s="177" t="s">
        <v>353</v>
      </c>
      <c r="E6" s="177" t="s">
        <v>116</v>
      </c>
      <c r="F6" s="177">
        <v>3</v>
      </c>
      <c r="G6" s="177" t="s">
        <v>19</v>
      </c>
      <c r="H6" s="177" t="s">
        <v>20</v>
      </c>
      <c r="I6" s="177" t="s">
        <v>205</v>
      </c>
      <c r="J6" s="177"/>
      <c r="K6" s="177" t="s">
        <v>216</v>
      </c>
      <c r="L6" s="177">
        <v>50</v>
      </c>
      <c r="M6" s="177" t="s">
        <v>217</v>
      </c>
      <c r="N6" s="178">
        <v>1120</v>
      </c>
      <c r="O6" s="178">
        <v>1120</v>
      </c>
      <c r="P6" s="178">
        <v>5000</v>
      </c>
      <c r="Q6" s="177">
        <v>2</v>
      </c>
      <c r="R6" s="177">
        <v>12</v>
      </c>
      <c r="S6" s="177" t="s">
        <v>354</v>
      </c>
      <c r="T6" s="179">
        <v>44704</v>
      </c>
      <c r="U6" s="179">
        <v>44755</v>
      </c>
      <c r="V6" s="177" t="s">
        <v>355</v>
      </c>
      <c r="W6" s="177"/>
      <c r="X6" s="177"/>
      <c r="Z6" s="149" t="str">
        <f t="shared" ca="1" si="0"/>
        <v/>
      </c>
      <c r="AA6" s="149" t="str">
        <f ca="1">IFERROR(IF(OR(OFFSET('S4'!#REF!,MATCH($A6,'S4'!$D$5:$D$3387,0)-1,6)="巻返し",OFFSET('S4'!#REF!,MATCH($A6,'S4'!$D$5:$D$3387,0)-1,6)="スリット"),SUMIF('S4'!$D$5:$D$3387,$A6,'S4'!$U$5:$U$3387),""),"")</f>
        <v/>
      </c>
      <c r="AB6" s="149" t="str">
        <f ca="1">IFERROR(IF(OR(OFFSET('S5'!#REF!,MATCH($A6,'S5'!$D$5:$D$2917,0)-1,6)="巻返し",OFFSET('S5'!#REF!,MATCH($A6,'S5'!$D$5:$D$2917,0)-1,6)="スリット"),SUMIF('S5'!$D$5:$D$2917,$A6,'S5'!$T$5:$T$2917),""),"")</f>
        <v/>
      </c>
    </row>
    <row r="7" spans="1:28" s="144" customFormat="1" ht="11.25" x14ac:dyDescent="0.15">
      <c r="A7" s="177">
        <v>3667093</v>
      </c>
      <c r="B7" s="177" t="s">
        <v>351</v>
      </c>
      <c r="C7" s="177" t="s">
        <v>358</v>
      </c>
      <c r="D7" s="177" t="s">
        <v>353</v>
      </c>
      <c r="E7" s="177" t="s">
        <v>61</v>
      </c>
      <c r="F7" s="177">
        <v>3</v>
      </c>
      <c r="G7" s="177" t="s">
        <v>19</v>
      </c>
      <c r="H7" s="177" t="s">
        <v>20</v>
      </c>
      <c r="I7" s="177" t="s">
        <v>205</v>
      </c>
      <c r="J7" s="177"/>
      <c r="K7" s="177" t="s">
        <v>242</v>
      </c>
      <c r="L7" s="177">
        <v>50</v>
      </c>
      <c r="M7" s="177" t="s">
        <v>243</v>
      </c>
      <c r="N7" s="178">
        <v>1255</v>
      </c>
      <c r="O7" s="178">
        <v>1250</v>
      </c>
      <c r="P7" s="178">
        <v>2000</v>
      </c>
      <c r="Q7" s="177">
        <v>2</v>
      </c>
      <c r="R7" s="177">
        <v>12</v>
      </c>
      <c r="S7" s="177" t="s">
        <v>354</v>
      </c>
      <c r="T7" s="179">
        <v>44734</v>
      </c>
      <c r="U7" s="179">
        <v>44757</v>
      </c>
      <c r="V7" s="177" t="s">
        <v>355</v>
      </c>
      <c r="W7" s="177"/>
      <c r="X7" s="177"/>
      <c r="Z7" s="149" t="str">
        <f t="shared" ca="1" si="0"/>
        <v/>
      </c>
      <c r="AA7" s="149" t="str">
        <f ca="1">IFERROR(IF(OR(OFFSET('S4'!#REF!,MATCH($A7,'S4'!$D$5:$D$3387,0)-1,6)="巻返し",OFFSET('S4'!#REF!,MATCH($A7,'S4'!$D$5:$D$3387,0)-1,6)="スリット"),SUMIF('S4'!$D$5:$D$3387,$A7,'S4'!$U$5:$U$3387),""),"")</f>
        <v/>
      </c>
      <c r="AB7" s="149" t="str">
        <f ca="1">IFERROR(IF(OR(OFFSET('S5'!#REF!,MATCH($A7,'S5'!$D$5:$D$2917,0)-1,6)="巻返し",OFFSET('S5'!#REF!,MATCH($A7,'S5'!$D$5:$D$2917,0)-1,6)="スリット"),SUMIF('S5'!$D$5:$D$2917,$A7,'S5'!$T$5:$T$2917),""),"")</f>
        <v/>
      </c>
    </row>
    <row r="8" spans="1:28" s="144" customFormat="1" ht="11.25" x14ac:dyDescent="0.15">
      <c r="A8" s="177">
        <v>3667095</v>
      </c>
      <c r="B8" s="177" t="s">
        <v>351</v>
      </c>
      <c r="C8" s="177" t="s">
        <v>352</v>
      </c>
      <c r="D8" s="177" t="s">
        <v>353</v>
      </c>
      <c r="E8" s="177" t="s">
        <v>232</v>
      </c>
      <c r="F8" s="177">
        <v>3</v>
      </c>
      <c r="G8" s="177" t="s">
        <v>19</v>
      </c>
      <c r="H8" s="177" t="s">
        <v>20</v>
      </c>
      <c r="I8" s="177" t="s">
        <v>205</v>
      </c>
      <c r="J8" s="177"/>
      <c r="K8" s="177" t="s">
        <v>230</v>
      </c>
      <c r="L8" s="177">
        <v>25</v>
      </c>
      <c r="M8" s="177" t="s">
        <v>231</v>
      </c>
      <c r="N8" s="178">
        <v>1240</v>
      </c>
      <c r="O8" s="178">
        <v>1240</v>
      </c>
      <c r="P8" s="178">
        <v>2000</v>
      </c>
      <c r="Q8" s="177">
        <v>1</v>
      </c>
      <c r="R8" s="177">
        <v>6</v>
      </c>
      <c r="S8" s="177" t="s">
        <v>354</v>
      </c>
      <c r="T8" s="179">
        <v>44734</v>
      </c>
      <c r="U8" s="179">
        <v>44757</v>
      </c>
      <c r="V8" s="177" t="s">
        <v>355</v>
      </c>
      <c r="W8" s="177"/>
      <c r="X8" s="177"/>
      <c r="Z8" s="149" t="str">
        <f t="shared" ca="1" si="0"/>
        <v/>
      </c>
      <c r="AA8" s="149" t="str">
        <f ca="1">IFERROR(IF(OR(OFFSET('S4'!#REF!,MATCH($A8,'S4'!$D$5:$D$3387,0)-1,6)="巻返し",OFFSET('S4'!#REF!,MATCH($A8,'S4'!$D$5:$D$3387,0)-1,6)="スリット"),SUMIF('S4'!$D$5:$D$3387,$A8,'S4'!$U$5:$U$3387),""),"")</f>
        <v/>
      </c>
      <c r="AB8" s="149" t="str">
        <f ca="1">IFERROR(IF(OR(OFFSET('S5'!#REF!,MATCH($A8,'S5'!$D$5:$D$2917,0)-1,6)="巻返し",OFFSET('S5'!#REF!,MATCH($A8,'S5'!$D$5:$D$2917,0)-1,6)="スリット"),SUMIF('S5'!$D$5:$D$2917,$A8,'S5'!$T$5:$T$2917),""),"")</f>
        <v/>
      </c>
    </row>
    <row r="9" spans="1:28" s="144" customFormat="1" ht="11.25" x14ac:dyDescent="0.15">
      <c r="A9" s="177">
        <v>3667096</v>
      </c>
      <c r="B9" s="177" t="s">
        <v>351</v>
      </c>
      <c r="C9" s="177" t="s">
        <v>364</v>
      </c>
      <c r="D9" s="177" t="s">
        <v>353</v>
      </c>
      <c r="E9" s="177" t="s">
        <v>171</v>
      </c>
      <c r="F9" s="177" t="s">
        <v>96</v>
      </c>
      <c r="G9" s="177" t="s">
        <v>19</v>
      </c>
      <c r="H9" s="177" t="s">
        <v>20</v>
      </c>
      <c r="I9" s="177" t="s">
        <v>165</v>
      </c>
      <c r="J9" s="177"/>
      <c r="K9" s="177" t="s">
        <v>169</v>
      </c>
      <c r="L9" s="177">
        <v>50</v>
      </c>
      <c r="M9" s="177" t="s">
        <v>170</v>
      </c>
      <c r="N9" s="178">
        <v>1190</v>
      </c>
      <c r="O9" s="178">
        <v>1190</v>
      </c>
      <c r="P9" s="178">
        <v>6000</v>
      </c>
      <c r="Q9" s="177">
        <v>2</v>
      </c>
      <c r="R9" s="177">
        <v>22</v>
      </c>
      <c r="S9" s="177" t="s">
        <v>354</v>
      </c>
      <c r="T9" s="179">
        <v>44734</v>
      </c>
      <c r="U9" s="179">
        <v>44757</v>
      </c>
      <c r="V9" s="177" t="s">
        <v>355</v>
      </c>
      <c r="W9" s="177"/>
      <c r="X9" s="177"/>
      <c r="Z9" s="149" t="str">
        <f t="shared" ca="1" si="0"/>
        <v/>
      </c>
      <c r="AA9" s="149" t="str">
        <f ca="1">IFERROR(IF(OR(OFFSET('S4'!#REF!,MATCH($A9,'S4'!$D$5:$D$3387,0)-1,6)="巻返し",OFFSET('S4'!#REF!,MATCH($A9,'S4'!$D$5:$D$3387,0)-1,6)="スリット"),SUMIF('S4'!$D$5:$D$3387,$A9,'S4'!$U$5:$U$3387),""),"")</f>
        <v/>
      </c>
      <c r="AB9" s="149" t="str">
        <f ca="1">IFERROR(IF(OR(OFFSET('S5'!#REF!,MATCH($A9,'S5'!$D$5:$D$2917,0)-1,6)="巻返し",OFFSET('S5'!#REF!,MATCH($A9,'S5'!$D$5:$D$2917,0)-1,6)="スリット"),SUMIF('S5'!$D$5:$D$2917,$A9,'S5'!$T$5:$T$2917),""),"")</f>
        <v/>
      </c>
    </row>
    <row r="10" spans="1:28" s="144" customFormat="1" ht="11.25" x14ac:dyDescent="0.15">
      <c r="A10" s="177">
        <v>3667098</v>
      </c>
      <c r="B10" s="177" t="s">
        <v>423</v>
      </c>
      <c r="C10" s="177" t="s">
        <v>364</v>
      </c>
      <c r="D10" s="177" t="s">
        <v>353</v>
      </c>
      <c r="E10" s="177" t="s">
        <v>316</v>
      </c>
      <c r="F10" s="177">
        <v>3</v>
      </c>
      <c r="G10" s="177" t="s">
        <v>265</v>
      </c>
      <c r="H10" s="177" t="s">
        <v>20</v>
      </c>
      <c r="I10" s="177" t="s">
        <v>312</v>
      </c>
      <c r="J10" s="177"/>
      <c r="K10" s="177" t="s">
        <v>317</v>
      </c>
      <c r="L10" s="177">
        <v>50</v>
      </c>
      <c r="M10" s="177" t="s">
        <v>318</v>
      </c>
      <c r="N10" s="178">
        <v>680</v>
      </c>
      <c r="O10" s="178">
        <v>680</v>
      </c>
      <c r="P10" s="178">
        <v>2000</v>
      </c>
      <c r="Q10" s="177">
        <v>2</v>
      </c>
      <c r="R10" s="177">
        <v>8</v>
      </c>
      <c r="S10" s="177" t="s">
        <v>354</v>
      </c>
      <c r="T10" s="179">
        <v>44734</v>
      </c>
      <c r="U10" s="179">
        <v>44757</v>
      </c>
      <c r="V10" s="177" t="s">
        <v>355</v>
      </c>
      <c r="W10" s="177"/>
      <c r="X10" s="177"/>
      <c r="Z10" s="149" t="str">
        <f t="shared" ca="1" si="0"/>
        <v/>
      </c>
      <c r="AA10" s="149" t="str">
        <f ca="1">IFERROR(IF(OR(OFFSET('S4'!#REF!,MATCH($A10,'S4'!$D$5:$D$3387,0)-1,6)="巻返し",OFFSET('S4'!#REF!,MATCH($A10,'S4'!$D$5:$D$3387,0)-1,6)="スリット"),SUMIF('S4'!$D$5:$D$3387,$A10,'S4'!$U$5:$U$3387),""),"")</f>
        <v/>
      </c>
      <c r="AB10" s="149" t="str">
        <f ca="1">IFERROR(IF(OR(OFFSET('S5'!#REF!,MATCH($A10,'S5'!$D$5:$D$2917,0)-1,6)="巻返し",OFFSET('S5'!#REF!,MATCH($A10,'S5'!$D$5:$D$2917,0)-1,6)="スリット"),SUMIF('S5'!$D$5:$D$2917,$A10,'S5'!$T$5:$T$2917),""),"")</f>
        <v/>
      </c>
    </row>
    <row r="11" spans="1:28" s="144" customFormat="1" ht="11.25" x14ac:dyDescent="0.15">
      <c r="A11" s="177">
        <v>3667098</v>
      </c>
      <c r="B11" s="177" t="s">
        <v>423</v>
      </c>
      <c r="C11" s="177" t="s">
        <v>364</v>
      </c>
      <c r="D11" s="177" t="s">
        <v>353</v>
      </c>
      <c r="E11" s="177" t="s">
        <v>316</v>
      </c>
      <c r="F11" s="177">
        <v>3</v>
      </c>
      <c r="G11" s="177" t="s">
        <v>265</v>
      </c>
      <c r="H11" s="177" t="s">
        <v>20</v>
      </c>
      <c r="I11" s="177" t="s">
        <v>312</v>
      </c>
      <c r="J11" s="177"/>
      <c r="K11" s="177" t="s">
        <v>317</v>
      </c>
      <c r="L11" s="177">
        <v>50</v>
      </c>
      <c r="M11" s="177" t="s">
        <v>318</v>
      </c>
      <c r="N11" s="178">
        <v>680</v>
      </c>
      <c r="O11" s="178">
        <v>680</v>
      </c>
      <c r="P11" s="178">
        <v>2000</v>
      </c>
      <c r="Q11" s="177">
        <v>2</v>
      </c>
      <c r="R11" s="177">
        <v>8</v>
      </c>
      <c r="S11" s="177" t="s">
        <v>354</v>
      </c>
      <c r="T11" s="179">
        <v>44734</v>
      </c>
      <c r="U11" s="179">
        <v>44757</v>
      </c>
      <c r="V11" s="177" t="s">
        <v>355</v>
      </c>
      <c r="W11" s="177"/>
      <c r="X11" s="177"/>
      <c r="Z11" s="149" t="str">
        <f t="shared" ca="1" si="0"/>
        <v/>
      </c>
      <c r="AA11" s="149" t="str">
        <f ca="1">IFERROR(IF(OR(OFFSET('S4'!#REF!,MATCH($A11,'S4'!$D$5:$D$3387,0)-1,6)="巻返し",OFFSET('S4'!#REF!,MATCH($A11,'S4'!$D$5:$D$3387,0)-1,6)="スリット"),SUMIF('S4'!$D$5:$D$3387,$A11,'S4'!$U$5:$U$3387),""),"")</f>
        <v/>
      </c>
      <c r="AB11" s="149" t="str">
        <f ca="1">IFERROR(IF(OR(OFFSET('S5'!#REF!,MATCH($A11,'S5'!$D$5:$D$2917,0)-1,6)="巻返し",OFFSET('S5'!#REF!,MATCH($A11,'S5'!$D$5:$D$2917,0)-1,6)="スリット"),SUMIF('S5'!$D$5:$D$2917,$A11,'S5'!$T$5:$T$2917),""),"")</f>
        <v/>
      </c>
    </row>
    <row r="12" spans="1:28" s="144" customFormat="1" ht="11.25" x14ac:dyDescent="0.15">
      <c r="A12" s="177">
        <v>3667099</v>
      </c>
      <c r="B12" s="177" t="s">
        <v>351</v>
      </c>
      <c r="C12" s="177" t="s">
        <v>364</v>
      </c>
      <c r="D12" s="177" t="s">
        <v>353</v>
      </c>
      <c r="E12" s="177" t="s">
        <v>183</v>
      </c>
      <c r="F12" s="177">
        <v>3</v>
      </c>
      <c r="G12" s="177" t="s">
        <v>19</v>
      </c>
      <c r="H12" s="177" t="s">
        <v>20</v>
      </c>
      <c r="I12" s="177" t="s">
        <v>165</v>
      </c>
      <c r="J12" s="177"/>
      <c r="K12" s="177" t="s">
        <v>180</v>
      </c>
      <c r="L12" s="177">
        <v>100</v>
      </c>
      <c r="M12" s="177" t="s">
        <v>181</v>
      </c>
      <c r="N12" s="178">
        <v>1205</v>
      </c>
      <c r="O12" s="178">
        <v>1205</v>
      </c>
      <c r="P12" s="178">
        <v>2500</v>
      </c>
      <c r="Q12" s="177">
        <v>2</v>
      </c>
      <c r="R12" s="177">
        <v>4</v>
      </c>
      <c r="S12" s="177" t="s">
        <v>354</v>
      </c>
      <c r="T12" s="179">
        <v>44734</v>
      </c>
      <c r="U12" s="179">
        <v>44757</v>
      </c>
      <c r="V12" s="177" t="s">
        <v>355</v>
      </c>
      <c r="W12" s="177"/>
      <c r="X12" s="177"/>
      <c r="Z12" s="149" t="str">
        <f t="shared" ca="1" si="0"/>
        <v/>
      </c>
      <c r="AA12" s="149" t="str">
        <f ca="1">IFERROR(IF(OR(OFFSET('S4'!#REF!,MATCH($A12,'S4'!$D$5:$D$3387,0)-1,6)="巻返し",OFFSET('S4'!#REF!,MATCH($A12,'S4'!$D$5:$D$3387,0)-1,6)="スリット"),SUMIF('S4'!$D$5:$D$3387,$A12,'S4'!$U$5:$U$3387),""),"")</f>
        <v/>
      </c>
      <c r="AB12" s="149" t="str">
        <f ca="1">IFERROR(IF(OR(OFFSET('S5'!#REF!,MATCH($A12,'S5'!$D$5:$D$2917,0)-1,6)="巻返し",OFFSET('S5'!#REF!,MATCH($A12,'S5'!$D$5:$D$2917,0)-1,6)="スリット"),SUMIF('S5'!$D$5:$D$2917,$A12,'S5'!$T$5:$T$2917),""),"")</f>
        <v/>
      </c>
    </row>
    <row r="13" spans="1:28" s="144" customFormat="1" ht="11.25" x14ac:dyDescent="0.15">
      <c r="A13" s="177">
        <v>3667100</v>
      </c>
      <c r="B13" s="177" t="s">
        <v>351</v>
      </c>
      <c r="C13" s="177" t="s">
        <v>364</v>
      </c>
      <c r="D13" s="177" t="s">
        <v>353</v>
      </c>
      <c r="E13" s="177" t="s">
        <v>148</v>
      </c>
      <c r="F13" s="177">
        <v>3</v>
      </c>
      <c r="G13" s="177" t="s">
        <v>19</v>
      </c>
      <c r="H13" s="177" t="s">
        <v>20</v>
      </c>
      <c r="I13" s="177" t="s">
        <v>143</v>
      </c>
      <c r="J13" s="177"/>
      <c r="K13" s="177" t="s">
        <v>149</v>
      </c>
      <c r="L13" s="177">
        <v>50</v>
      </c>
      <c r="M13" s="177" t="s">
        <v>150</v>
      </c>
      <c r="N13" s="178">
        <v>1120</v>
      </c>
      <c r="O13" s="178">
        <v>1120</v>
      </c>
      <c r="P13" s="178">
        <v>6000</v>
      </c>
      <c r="Q13" s="177">
        <v>2</v>
      </c>
      <c r="R13" s="177">
        <v>6</v>
      </c>
      <c r="S13" s="177" t="s">
        <v>354</v>
      </c>
      <c r="T13" s="179">
        <v>44734</v>
      </c>
      <c r="U13" s="179">
        <v>44757</v>
      </c>
      <c r="V13" s="177" t="s">
        <v>355</v>
      </c>
      <c r="W13" s="177"/>
      <c r="X13" s="177"/>
      <c r="Z13" s="149" t="str">
        <f t="shared" ca="1" si="0"/>
        <v/>
      </c>
      <c r="AA13" s="149" t="str">
        <f ca="1">IFERROR(IF(OR(OFFSET('S4'!#REF!,MATCH($A13,'S4'!$D$5:$D$3387,0)-1,6)="巻返し",OFFSET('S4'!#REF!,MATCH($A13,'S4'!$D$5:$D$3387,0)-1,6)="スリット"),SUMIF('S4'!$D$5:$D$3387,$A13,'S4'!$U$5:$U$3387),""),"")</f>
        <v/>
      </c>
      <c r="AB13" s="149" t="str">
        <f ca="1">IFERROR(IF(OR(OFFSET('S5'!#REF!,MATCH($A13,'S5'!$D$5:$D$2917,0)-1,6)="巻返し",OFFSET('S5'!#REF!,MATCH($A13,'S5'!$D$5:$D$2917,0)-1,6)="スリット"),SUMIF('S5'!$D$5:$D$2917,$A13,'S5'!$T$5:$T$2917),""),"")</f>
        <v/>
      </c>
    </row>
    <row r="14" spans="1:28" s="144" customFormat="1" ht="11.25" x14ac:dyDescent="0.15">
      <c r="A14" s="177">
        <v>3667101</v>
      </c>
      <c r="B14" s="177" t="s">
        <v>351</v>
      </c>
      <c r="C14" s="177" t="s">
        <v>364</v>
      </c>
      <c r="D14" s="177" t="s">
        <v>353</v>
      </c>
      <c r="E14" s="177" t="s">
        <v>148</v>
      </c>
      <c r="F14" s="177">
        <v>3</v>
      </c>
      <c r="G14" s="177" t="s">
        <v>19</v>
      </c>
      <c r="H14" s="177" t="s">
        <v>20</v>
      </c>
      <c r="I14" s="177" t="s">
        <v>165</v>
      </c>
      <c r="J14" s="177"/>
      <c r="K14" s="177" t="s">
        <v>169</v>
      </c>
      <c r="L14" s="177">
        <v>50</v>
      </c>
      <c r="M14" s="177" t="s">
        <v>170</v>
      </c>
      <c r="N14" s="178">
        <v>1120</v>
      </c>
      <c r="O14" s="178">
        <v>1120</v>
      </c>
      <c r="P14" s="178">
        <v>6000</v>
      </c>
      <c r="Q14" s="177">
        <v>2</v>
      </c>
      <c r="R14" s="177">
        <v>1</v>
      </c>
      <c r="S14" s="177" t="s">
        <v>354</v>
      </c>
      <c r="T14" s="179">
        <v>44734</v>
      </c>
      <c r="U14" s="179">
        <v>44757</v>
      </c>
      <c r="V14" s="177" t="s">
        <v>355</v>
      </c>
      <c r="W14" s="177"/>
      <c r="X14" s="177"/>
      <c r="Z14" s="149" t="str">
        <f t="shared" ca="1" si="0"/>
        <v/>
      </c>
      <c r="AA14" s="149" t="str">
        <f ca="1">IFERROR(IF(OR(OFFSET('S4'!#REF!,MATCH($A14,'S4'!$D$5:$D$3387,0)-1,6)="巻返し",OFFSET('S4'!#REF!,MATCH($A14,'S4'!$D$5:$D$3387,0)-1,6)="スリット"),SUMIF('S4'!$D$5:$D$3387,$A14,'S4'!$U$5:$U$3387),""),"")</f>
        <v/>
      </c>
      <c r="AB14" s="149" t="str">
        <f ca="1">IFERROR(IF(OR(OFFSET('S5'!#REF!,MATCH($A14,'S5'!$D$5:$D$2917,0)-1,6)="巻返し",OFFSET('S5'!#REF!,MATCH($A14,'S5'!$D$5:$D$2917,0)-1,6)="スリット"),SUMIF('S5'!$D$5:$D$2917,$A14,'S5'!$T$5:$T$2917),""),"")</f>
        <v/>
      </c>
    </row>
    <row r="15" spans="1:28" s="144" customFormat="1" ht="11.25" x14ac:dyDescent="0.15">
      <c r="A15" s="177">
        <v>3667102</v>
      </c>
      <c r="B15" s="177" t="s">
        <v>351</v>
      </c>
      <c r="C15" s="177" t="s">
        <v>364</v>
      </c>
      <c r="D15" s="177" t="s">
        <v>353</v>
      </c>
      <c r="E15" s="177" t="s">
        <v>148</v>
      </c>
      <c r="F15" s="177">
        <v>3</v>
      </c>
      <c r="G15" s="177" t="s">
        <v>19</v>
      </c>
      <c r="H15" s="177" t="s">
        <v>20</v>
      </c>
      <c r="I15" s="177" t="s">
        <v>165</v>
      </c>
      <c r="J15" s="177"/>
      <c r="K15" s="177" t="s">
        <v>180</v>
      </c>
      <c r="L15" s="177">
        <v>25</v>
      </c>
      <c r="M15" s="177" t="s">
        <v>181</v>
      </c>
      <c r="N15" s="178">
        <v>1120</v>
      </c>
      <c r="O15" s="178">
        <v>1120</v>
      </c>
      <c r="P15" s="178">
        <v>4000</v>
      </c>
      <c r="Q15" s="177">
        <v>2</v>
      </c>
      <c r="R15" s="177">
        <v>4</v>
      </c>
      <c r="S15" s="177" t="s">
        <v>354</v>
      </c>
      <c r="T15" s="179">
        <v>44734</v>
      </c>
      <c r="U15" s="179">
        <v>44757</v>
      </c>
      <c r="V15" s="177" t="s">
        <v>355</v>
      </c>
      <c r="W15" s="177"/>
      <c r="X15" s="177"/>
      <c r="Z15" s="149" t="str">
        <f t="shared" ca="1" si="0"/>
        <v/>
      </c>
      <c r="AA15" s="149" t="str">
        <f ca="1">IFERROR(IF(OR(OFFSET('S4'!#REF!,MATCH($A15,'S4'!$D$5:$D$3387,0)-1,6)="巻返し",OFFSET('S4'!#REF!,MATCH($A15,'S4'!$D$5:$D$3387,0)-1,6)="スリット"),SUMIF('S4'!$D$5:$D$3387,$A15,'S4'!$U$5:$U$3387),""),"")</f>
        <v/>
      </c>
      <c r="AB15" s="149" t="str">
        <f ca="1">IFERROR(IF(OR(OFFSET('S5'!#REF!,MATCH($A15,'S5'!$D$5:$D$2917,0)-1,6)="巻返し",OFFSET('S5'!#REF!,MATCH($A15,'S5'!$D$5:$D$2917,0)-1,6)="スリット"),SUMIF('S5'!$D$5:$D$2917,$A15,'S5'!$T$5:$T$2917),""),"")</f>
        <v/>
      </c>
    </row>
    <row r="16" spans="1:28" s="144" customFormat="1" ht="11.25" x14ac:dyDescent="0.15">
      <c r="A16" s="177">
        <v>3667103</v>
      </c>
      <c r="B16" s="177" t="s">
        <v>351</v>
      </c>
      <c r="C16" s="177" t="s">
        <v>364</v>
      </c>
      <c r="D16" s="177" t="s">
        <v>353</v>
      </c>
      <c r="E16" s="177" t="s">
        <v>148</v>
      </c>
      <c r="F16" s="177">
        <v>3</v>
      </c>
      <c r="G16" s="177" t="s">
        <v>19</v>
      </c>
      <c r="H16" s="177" t="s">
        <v>20</v>
      </c>
      <c r="I16" s="177" t="s">
        <v>165</v>
      </c>
      <c r="J16" s="177"/>
      <c r="K16" s="177" t="s">
        <v>180</v>
      </c>
      <c r="L16" s="177">
        <v>50</v>
      </c>
      <c r="M16" s="177" t="s">
        <v>181</v>
      </c>
      <c r="N16" s="178">
        <v>1120</v>
      </c>
      <c r="O16" s="178">
        <v>1120</v>
      </c>
      <c r="P16" s="178">
        <v>4000</v>
      </c>
      <c r="Q16" s="177">
        <v>2</v>
      </c>
      <c r="R16" s="177">
        <v>6</v>
      </c>
      <c r="S16" s="177" t="s">
        <v>354</v>
      </c>
      <c r="T16" s="179">
        <v>44734</v>
      </c>
      <c r="U16" s="179">
        <v>44757</v>
      </c>
      <c r="V16" s="177" t="s">
        <v>355</v>
      </c>
      <c r="W16" s="177"/>
      <c r="X16" s="177"/>
      <c r="Z16" s="149" t="str">
        <f t="shared" ca="1" si="0"/>
        <v/>
      </c>
      <c r="AA16" s="149" t="str">
        <f ca="1">IFERROR(IF(OR(OFFSET('S4'!#REF!,MATCH($A16,'S4'!$D$5:$D$3387,0)-1,6)="巻返し",OFFSET('S4'!#REF!,MATCH($A16,'S4'!$D$5:$D$3387,0)-1,6)="スリット"),SUMIF('S4'!$D$5:$D$3387,$A16,'S4'!$U$5:$U$3387),""),"")</f>
        <v/>
      </c>
      <c r="AB16" s="149" t="str">
        <f ca="1">IFERROR(IF(OR(OFFSET('S5'!#REF!,MATCH($A16,'S5'!$D$5:$D$2917,0)-1,6)="巻返し",OFFSET('S5'!#REF!,MATCH($A16,'S5'!$D$5:$D$2917,0)-1,6)="スリット"),SUMIF('S5'!$D$5:$D$2917,$A16,'S5'!$T$5:$T$2917),""),"")</f>
        <v/>
      </c>
    </row>
    <row r="17" spans="1:28" s="144" customFormat="1" ht="11.25" x14ac:dyDescent="0.15">
      <c r="A17" s="177">
        <v>3667104</v>
      </c>
      <c r="B17" s="177" t="s">
        <v>351</v>
      </c>
      <c r="C17" s="177" t="s">
        <v>352</v>
      </c>
      <c r="D17" s="177" t="s">
        <v>353</v>
      </c>
      <c r="E17" s="177" t="s">
        <v>247</v>
      </c>
      <c r="F17" s="177">
        <v>3</v>
      </c>
      <c r="G17" s="177" t="s">
        <v>19</v>
      </c>
      <c r="H17" s="177" t="s">
        <v>20</v>
      </c>
      <c r="I17" s="177" t="s">
        <v>205</v>
      </c>
      <c r="J17" s="177"/>
      <c r="K17" s="177" t="s">
        <v>248</v>
      </c>
      <c r="L17" s="177">
        <v>12</v>
      </c>
      <c r="M17" s="177" t="s">
        <v>249</v>
      </c>
      <c r="N17" s="178">
        <v>1000</v>
      </c>
      <c r="O17" s="178">
        <v>1000</v>
      </c>
      <c r="P17" s="178">
        <v>6000</v>
      </c>
      <c r="Q17" s="177">
        <v>2</v>
      </c>
      <c r="R17" s="177">
        <v>4</v>
      </c>
      <c r="S17" s="177" t="s">
        <v>354</v>
      </c>
      <c r="T17" s="179">
        <v>44734</v>
      </c>
      <c r="U17" s="179">
        <v>44762</v>
      </c>
      <c r="V17" s="177" t="s">
        <v>355</v>
      </c>
      <c r="W17" s="177"/>
      <c r="X17" s="177"/>
      <c r="Z17" s="149" t="str">
        <f t="shared" ca="1" si="0"/>
        <v/>
      </c>
      <c r="AA17" s="149" t="str">
        <f ca="1">IFERROR(IF(OR(OFFSET('S4'!#REF!,MATCH($A17,'S4'!$D$5:$D$3387,0)-1,6)="巻返し",OFFSET('S4'!#REF!,MATCH($A17,'S4'!$D$5:$D$3387,0)-1,6)="スリット"),SUMIF('S4'!$D$5:$D$3387,$A17,'S4'!$U$5:$U$3387),""),"")</f>
        <v/>
      </c>
      <c r="AB17" s="149" t="str">
        <f ca="1">IFERROR(IF(OR(OFFSET('S5'!#REF!,MATCH($A17,'S5'!$D$5:$D$2917,0)-1,6)="巻返し",OFFSET('S5'!#REF!,MATCH($A17,'S5'!$D$5:$D$2917,0)-1,6)="スリット"),SUMIF('S5'!$D$5:$D$2917,$A17,'S5'!$T$5:$T$2917),""),"")</f>
        <v/>
      </c>
    </row>
    <row r="18" spans="1:28" s="144" customFormat="1" ht="11.25" x14ac:dyDescent="0.15">
      <c r="A18" s="177">
        <v>3667105</v>
      </c>
      <c r="B18" s="177" t="s">
        <v>351</v>
      </c>
      <c r="C18" s="177" t="s">
        <v>352</v>
      </c>
      <c r="D18" s="177" t="s">
        <v>353</v>
      </c>
      <c r="E18" s="177" t="s">
        <v>247</v>
      </c>
      <c r="F18" s="177">
        <v>3</v>
      </c>
      <c r="G18" s="177" t="s">
        <v>19</v>
      </c>
      <c r="H18" s="177" t="s">
        <v>20</v>
      </c>
      <c r="I18" s="177" t="s">
        <v>143</v>
      </c>
      <c r="J18" s="177"/>
      <c r="K18" s="177" t="s">
        <v>149</v>
      </c>
      <c r="L18" s="177">
        <v>38</v>
      </c>
      <c r="M18" s="177" t="s">
        <v>150</v>
      </c>
      <c r="N18" s="178">
        <v>1125</v>
      </c>
      <c r="O18" s="178">
        <v>1120</v>
      </c>
      <c r="P18" s="178">
        <v>4000</v>
      </c>
      <c r="Q18" s="177">
        <v>2</v>
      </c>
      <c r="R18" s="177">
        <v>2</v>
      </c>
      <c r="S18" s="177" t="s">
        <v>354</v>
      </c>
      <c r="T18" s="179">
        <v>44734</v>
      </c>
      <c r="U18" s="179">
        <v>44750</v>
      </c>
      <c r="V18" s="177" t="s">
        <v>355</v>
      </c>
      <c r="W18" s="177"/>
      <c r="X18" s="177"/>
      <c r="Z18" s="149" t="str">
        <f t="shared" ca="1" si="0"/>
        <v/>
      </c>
      <c r="AA18" s="149" t="str">
        <f ca="1">IFERROR(IF(OR(OFFSET('S4'!#REF!,MATCH($A18,'S4'!$D$5:$D$3387,0)-1,6)="巻返し",OFFSET('S4'!#REF!,MATCH($A18,'S4'!$D$5:$D$3387,0)-1,6)="スリット"),SUMIF('S4'!$D$5:$D$3387,$A18,'S4'!$U$5:$U$3387),""),"")</f>
        <v/>
      </c>
      <c r="AB18" s="149" t="str">
        <f ca="1">IFERROR(IF(OR(OFFSET('S5'!#REF!,MATCH($A18,'S5'!$D$5:$D$2917,0)-1,6)="巻返し",OFFSET('S5'!#REF!,MATCH($A18,'S5'!$D$5:$D$2917,0)-1,6)="スリット"),SUMIF('S5'!$D$5:$D$2917,$A18,'S5'!$T$5:$T$2917),""),"")</f>
        <v/>
      </c>
    </row>
    <row r="19" spans="1:28" s="144" customFormat="1" ht="11.25" x14ac:dyDescent="0.15">
      <c r="A19" s="177">
        <v>3667106</v>
      </c>
      <c r="B19" s="177" t="s">
        <v>351</v>
      </c>
      <c r="C19" s="177" t="s">
        <v>352</v>
      </c>
      <c r="D19" s="177" t="s">
        <v>353</v>
      </c>
      <c r="E19" s="177" t="s">
        <v>116</v>
      </c>
      <c r="F19" s="177">
        <v>3</v>
      </c>
      <c r="G19" s="177" t="s">
        <v>19</v>
      </c>
      <c r="H19" s="177" t="s">
        <v>20</v>
      </c>
      <c r="I19" s="177" t="s">
        <v>205</v>
      </c>
      <c r="J19" s="177"/>
      <c r="K19" s="177" t="s">
        <v>212</v>
      </c>
      <c r="L19" s="177">
        <v>25</v>
      </c>
      <c r="M19" s="177" t="s">
        <v>213</v>
      </c>
      <c r="N19" s="178">
        <v>1120</v>
      </c>
      <c r="O19" s="178">
        <v>1120</v>
      </c>
      <c r="P19" s="178">
        <v>4000</v>
      </c>
      <c r="Q19" s="177">
        <v>2</v>
      </c>
      <c r="R19" s="177">
        <v>4</v>
      </c>
      <c r="S19" s="177" t="s">
        <v>354</v>
      </c>
      <c r="T19" s="179">
        <v>44734</v>
      </c>
      <c r="U19" s="179">
        <v>44767</v>
      </c>
      <c r="V19" s="177" t="s">
        <v>355</v>
      </c>
      <c r="W19" s="177"/>
      <c r="X19" s="177"/>
      <c r="Z19" s="149" t="str">
        <f t="shared" ca="1" si="0"/>
        <v/>
      </c>
      <c r="AA19" s="149" t="str">
        <f ca="1">IFERROR(IF(OR(OFFSET('S4'!#REF!,MATCH($A19,'S4'!$D$5:$D$3387,0)-1,6)="巻返し",OFFSET('S4'!#REF!,MATCH($A19,'S4'!$D$5:$D$3387,0)-1,6)="スリット"),SUMIF('S4'!$D$5:$D$3387,$A19,'S4'!$U$5:$U$3387),""),"")</f>
        <v/>
      </c>
      <c r="AB19" s="149" t="str">
        <f ca="1">IFERROR(IF(OR(OFFSET('S5'!#REF!,MATCH($A19,'S5'!$D$5:$D$2917,0)-1,6)="巻返し",OFFSET('S5'!#REF!,MATCH($A19,'S5'!$D$5:$D$2917,0)-1,6)="スリット"),SUMIF('S5'!$D$5:$D$2917,$A19,'S5'!$T$5:$T$2917),""),"")</f>
        <v/>
      </c>
    </row>
    <row r="20" spans="1:28" s="144" customFormat="1" ht="11.25" x14ac:dyDescent="0.15">
      <c r="A20" s="177">
        <v>3667107</v>
      </c>
      <c r="B20" s="177" t="s">
        <v>351</v>
      </c>
      <c r="C20" s="177" t="s">
        <v>352</v>
      </c>
      <c r="D20" s="177" t="s">
        <v>353</v>
      </c>
      <c r="E20" s="177" t="s">
        <v>116</v>
      </c>
      <c r="F20" s="177">
        <v>3</v>
      </c>
      <c r="G20" s="177" t="s">
        <v>19</v>
      </c>
      <c r="H20" s="177" t="s">
        <v>28</v>
      </c>
      <c r="I20" s="177" t="s">
        <v>205</v>
      </c>
      <c r="J20" s="177"/>
      <c r="K20" s="177" t="s">
        <v>212</v>
      </c>
      <c r="L20" s="177">
        <v>25</v>
      </c>
      <c r="M20" s="177" t="s">
        <v>213</v>
      </c>
      <c r="N20" s="178">
        <v>1120</v>
      </c>
      <c r="O20" s="178">
        <v>1120</v>
      </c>
      <c r="P20" s="178">
        <v>4000</v>
      </c>
      <c r="Q20" s="177">
        <v>2</v>
      </c>
      <c r="R20" s="177">
        <v>2</v>
      </c>
      <c r="S20" s="177" t="s">
        <v>354</v>
      </c>
      <c r="T20" s="179">
        <v>44734</v>
      </c>
      <c r="U20" s="179">
        <v>44767</v>
      </c>
      <c r="V20" s="177" t="s">
        <v>355</v>
      </c>
      <c r="W20" s="177"/>
      <c r="X20" s="177"/>
      <c r="Z20" s="149" t="str">
        <f t="shared" ca="1" si="0"/>
        <v/>
      </c>
      <c r="AA20" s="149" t="str">
        <f ca="1">IFERROR(IF(OR(OFFSET('S4'!#REF!,MATCH($A20,'S4'!$D$5:$D$3387,0)-1,6)="巻返し",OFFSET('S4'!#REF!,MATCH($A20,'S4'!$D$5:$D$3387,0)-1,6)="スリット"),SUMIF('S4'!$D$5:$D$3387,$A20,'S4'!$U$5:$U$3387),""),"")</f>
        <v/>
      </c>
      <c r="AB20" s="149" t="str">
        <f ca="1">IFERROR(IF(OR(OFFSET('S5'!#REF!,MATCH($A20,'S5'!$D$5:$D$2917,0)-1,6)="巻返し",OFFSET('S5'!#REF!,MATCH($A20,'S5'!$D$5:$D$2917,0)-1,6)="スリット"),SUMIF('S5'!$D$5:$D$2917,$A20,'S5'!$T$5:$T$2917),""),"")</f>
        <v/>
      </c>
    </row>
    <row r="21" spans="1:28" s="144" customFormat="1" ht="11.25" x14ac:dyDescent="0.15">
      <c r="A21" s="177">
        <v>3667108</v>
      </c>
      <c r="B21" s="177" t="s">
        <v>351</v>
      </c>
      <c r="C21" s="177" t="s">
        <v>352</v>
      </c>
      <c r="D21" s="177" t="s">
        <v>353</v>
      </c>
      <c r="E21" s="177" t="s">
        <v>116</v>
      </c>
      <c r="F21" s="177">
        <v>3</v>
      </c>
      <c r="G21" s="177" t="s">
        <v>19</v>
      </c>
      <c r="H21" s="177" t="s">
        <v>20</v>
      </c>
      <c r="I21" s="177" t="s">
        <v>205</v>
      </c>
      <c r="J21" s="177"/>
      <c r="K21" s="177" t="s">
        <v>212</v>
      </c>
      <c r="L21" s="177">
        <v>50</v>
      </c>
      <c r="M21" s="177" t="s">
        <v>213</v>
      </c>
      <c r="N21" s="178">
        <v>1000</v>
      </c>
      <c r="O21" s="178">
        <v>1000</v>
      </c>
      <c r="P21" s="178">
        <v>4000</v>
      </c>
      <c r="Q21" s="177">
        <v>2</v>
      </c>
      <c r="R21" s="177">
        <v>2</v>
      </c>
      <c r="S21" s="177" t="s">
        <v>354</v>
      </c>
      <c r="T21" s="179">
        <v>44734</v>
      </c>
      <c r="U21" s="179">
        <v>44761</v>
      </c>
      <c r="V21" s="177" t="s">
        <v>355</v>
      </c>
      <c r="W21" s="177"/>
      <c r="X21" s="177"/>
      <c r="Z21" s="149" t="str">
        <f t="shared" ca="1" si="0"/>
        <v/>
      </c>
      <c r="AA21" s="149" t="str">
        <f ca="1">IFERROR(IF(OR(OFFSET('S4'!#REF!,MATCH($A21,'S4'!$D$5:$D$3387,0)-1,6)="巻返し",OFFSET('S4'!#REF!,MATCH($A21,'S4'!$D$5:$D$3387,0)-1,6)="スリット"),SUMIF('S4'!$D$5:$D$3387,$A21,'S4'!$U$5:$U$3387),""),"")</f>
        <v/>
      </c>
      <c r="AB21" s="149" t="str">
        <f ca="1">IFERROR(IF(OR(OFFSET('S5'!#REF!,MATCH($A21,'S5'!$D$5:$D$2917,0)-1,6)="巻返し",OFFSET('S5'!#REF!,MATCH($A21,'S5'!$D$5:$D$2917,0)-1,6)="スリット"),SUMIF('S5'!$D$5:$D$2917,$A21,'S5'!$T$5:$T$2917),""),"")</f>
        <v/>
      </c>
    </row>
    <row r="22" spans="1:28" s="144" customFormat="1" ht="11.25" x14ac:dyDescent="0.15">
      <c r="A22" s="177">
        <v>3667109</v>
      </c>
      <c r="B22" s="177" t="s">
        <v>351</v>
      </c>
      <c r="C22" s="177" t="s">
        <v>352</v>
      </c>
      <c r="D22" s="177" t="s">
        <v>353</v>
      </c>
      <c r="E22" s="177" t="s">
        <v>116</v>
      </c>
      <c r="F22" s="177">
        <v>3</v>
      </c>
      <c r="G22" s="177" t="s">
        <v>19</v>
      </c>
      <c r="H22" s="177" t="s">
        <v>20</v>
      </c>
      <c r="I22" s="177" t="s">
        <v>205</v>
      </c>
      <c r="J22" s="177"/>
      <c r="K22" s="177" t="s">
        <v>212</v>
      </c>
      <c r="L22" s="177">
        <v>50</v>
      </c>
      <c r="M22" s="177" t="s">
        <v>213</v>
      </c>
      <c r="N22" s="178">
        <v>1120</v>
      </c>
      <c r="O22" s="178">
        <v>1120</v>
      </c>
      <c r="P22" s="178">
        <v>4000</v>
      </c>
      <c r="Q22" s="177">
        <v>2</v>
      </c>
      <c r="R22" s="177">
        <v>8</v>
      </c>
      <c r="S22" s="177" t="s">
        <v>354</v>
      </c>
      <c r="T22" s="179">
        <v>44734</v>
      </c>
      <c r="U22" s="179">
        <v>44774</v>
      </c>
      <c r="V22" s="177" t="s">
        <v>355</v>
      </c>
      <c r="W22" s="177"/>
      <c r="X22" s="177"/>
      <c r="Z22" s="149" t="str">
        <f t="shared" ca="1" si="0"/>
        <v/>
      </c>
      <c r="AA22" s="149" t="str">
        <f ca="1">IFERROR(IF(OR(OFFSET('S4'!#REF!,MATCH($A22,'S4'!$D$5:$D$3387,0)-1,6)="巻返し",OFFSET('S4'!#REF!,MATCH($A22,'S4'!$D$5:$D$3387,0)-1,6)="スリット"),SUMIF('S4'!$D$5:$D$3387,$A22,'S4'!$U$5:$U$3387),""),"")</f>
        <v/>
      </c>
      <c r="AB22" s="149" t="str">
        <f ca="1">IFERROR(IF(OR(OFFSET('S5'!#REF!,MATCH($A22,'S5'!$D$5:$D$2917,0)-1,6)="巻返し",OFFSET('S5'!#REF!,MATCH($A22,'S5'!$D$5:$D$2917,0)-1,6)="スリット"),SUMIF('S5'!$D$5:$D$2917,$A22,'S5'!$T$5:$T$2917),""),"")</f>
        <v/>
      </c>
    </row>
    <row r="23" spans="1:28" s="144" customFormat="1" ht="11.25" x14ac:dyDescent="0.15">
      <c r="A23" s="177">
        <v>3667110</v>
      </c>
      <c r="B23" s="177" t="s">
        <v>351</v>
      </c>
      <c r="C23" s="177" t="s">
        <v>352</v>
      </c>
      <c r="D23" s="177" t="s">
        <v>353</v>
      </c>
      <c r="E23" s="177" t="s">
        <v>116</v>
      </c>
      <c r="F23" s="177">
        <v>3</v>
      </c>
      <c r="G23" s="177" t="s">
        <v>19</v>
      </c>
      <c r="H23" s="177" t="s">
        <v>20</v>
      </c>
      <c r="I23" s="177" t="s">
        <v>205</v>
      </c>
      <c r="J23" s="177"/>
      <c r="K23" s="177" t="s">
        <v>212</v>
      </c>
      <c r="L23" s="177">
        <v>50</v>
      </c>
      <c r="M23" s="177" t="s">
        <v>213</v>
      </c>
      <c r="N23" s="178">
        <v>1120</v>
      </c>
      <c r="O23" s="178">
        <v>1120</v>
      </c>
      <c r="P23" s="178">
        <v>4000</v>
      </c>
      <c r="Q23" s="177">
        <v>2</v>
      </c>
      <c r="R23" s="177">
        <v>8</v>
      </c>
      <c r="S23" s="177" t="s">
        <v>354</v>
      </c>
      <c r="T23" s="179">
        <v>44734</v>
      </c>
      <c r="U23" s="179">
        <v>44774</v>
      </c>
      <c r="V23" s="177" t="s">
        <v>355</v>
      </c>
      <c r="W23" s="177"/>
      <c r="X23" s="177"/>
      <c r="Z23" s="149" t="str">
        <f t="shared" ca="1" si="0"/>
        <v/>
      </c>
      <c r="AA23" s="149" t="str">
        <f ca="1">IFERROR(IF(OR(OFFSET('S4'!#REF!,MATCH($A23,'S4'!$D$5:$D$3387,0)-1,6)="巻返し",OFFSET('S4'!#REF!,MATCH($A23,'S4'!$D$5:$D$3387,0)-1,6)="スリット"),SUMIF('S4'!$D$5:$D$3387,$A23,'S4'!$U$5:$U$3387),""),"")</f>
        <v/>
      </c>
      <c r="AB23" s="149" t="str">
        <f ca="1">IFERROR(IF(OR(OFFSET('S5'!#REF!,MATCH($A23,'S5'!$D$5:$D$2917,0)-1,6)="巻返し",OFFSET('S5'!#REF!,MATCH($A23,'S5'!$D$5:$D$2917,0)-1,6)="スリット"),SUMIF('S5'!$D$5:$D$2917,$A23,'S5'!$T$5:$T$2917),""),"")</f>
        <v/>
      </c>
    </row>
    <row r="24" spans="1:28" s="144" customFormat="1" ht="11.25" x14ac:dyDescent="0.15">
      <c r="A24" s="177">
        <v>3667111</v>
      </c>
      <c r="B24" s="177" t="s">
        <v>351</v>
      </c>
      <c r="C24" s="177" t="s">
        <v>352</v>
      </c>
      <c r="D24" s="177" t="s">
        <v>353</v>
      </c>
      <c r="E24" s="177" t="s">
        <v>116</v>
      </c>
      <c r="F24" s="177">
        <v>3</v>
      </c>
      <c r="G24" s="177" t="s">
        <v>19</v>
      </c>
      <c r="H24" s="177" t="s">
        <v>20</v>
      </c>
      <c r="I24" s="177" t="s">
        <v>205</v>
      </c>
      <c r="J24" s="177"/>
      <c r="K24" s="177" t="s">
        <v>212</v>
      </c>
      <c r="L24" s="177">
        <v>50</v>
      </c>
      <c r="M24" s="177" t="s">
        <v>213</v>
      </c>
      <c r="N24" s="178">
        <v>1120</v>
      </c>
      <c r="O24" s="178">
        <v>1120</v>
      </c>
      <c r="P24" s="178">
        <v>4000</v>
      </c>
      <c r="Q24" s="177">
        <v>2</v>
      </c>
      <c r="R24" s="177">
        <v>4</v>
      </c>
      <c r="S24" s="177" t="s">
        <v>354</v>
      </c>
      <c r="T24" s="179">
        <v>44734</v>
      </c>
      <c r="U24" s="179">
        <v>44774</v>
      </c>
      <c r="V24" s="177" t="s">
        <v>355</v>
      </c>
      <c r="W24" s="177"/>
      <c r="X24" s="177"/>
      <c r="Z24" s="149" t="str">
        <f t="shared" ca="1" si="0"/>
        <v/>
      </c>
      <c r="AA24" s="149" t="str">
        <f ca="1">IFERROR(IF(OR(OFFSET('S4'!#REF!,MATCH($A24,'S4'!$D$5:$D$3387,0)-1,6)="巻返し",OFFSET('S4'!#REF!,MATCH($A24,'S4'!$D$5:$D$3387,0)-1,6)="スリット"),SUMIF('S4'!$D$5:$D$3387,$A24,'S4'!$U$5:$U$3387),""),"")</f>
        <v/>
      </c>
      <c r="AB24" s="149" t="str">
        <f ca="1">IFERROR(IF(OR(OFFSET('S5'!#REF!,MATCH($A24,'S5'!$D$5:$D$2917,0)-1,6)="巻返し",OFFSET('S5'!#REF!,MATCH($A24,'S5'!$D$5:$D$2917,0)-1,6)="スリット"),SUMIF('S5'!$D$5:$D$2917,$A24,'S5'!$T$5:$T$2917),""),"")</f>
        <v/>
      </c>
    </row>
    <row r="25" spans="1:28" s="144" customFormat="1" ht="11.25" x14ac:dyDescent="0.15">
      <c r="A25" s="177">
        <v>3667112</v>
      </c>
      <c r="B25" s="177" t="s">
        <v>351</v>
      </c>
      <c r="C25" s="177" t="s">
        <v>352</v>
      </c>
      <c r="D25" s="177" t="s">
        <v>353</v>
      </c>
      <c r="E25" s="177" t="s">
        <v>116</v>
      </c>
      <c r="F25" s="177">
        <v>3</v>
      </c>
      <c r="G25" s="177" t="s">
        <v>19</v>
      </c>
      <c r="H25" s="177" t="s">
        <v>20</v>
      </c>
      <c r="I25" s="177" t="s">
        <v>205</v>
      </c>
      <c r="J25" s="177"/>
      <c r="K25" s="177" t="s">
        <v>212</v>
      </c>
      <c r="L25" s="177">
        <v>50</v>
      </c>
      <c r="M25" s="177" t="s">
        <v>213</v>
      </c>
      <c r="N25" s="178">
        <v>1120</v>
      </c>
      <c r="O25" s="178">
        <v>1120</v>
      </c>
      <c r="P25" s="178">
        <v>4000</v>
      </c>
      <c r="Q25" s="177">
        <v>2</v>
      </c>
      <c r="R25" s="177">
        <v>8</v>
      </c>
      <c r="S25" s="177" t="s">
        <v>354</v>
      </c>
      <c r="T25" s="179">
        <v>44734</v>
      </c>
      <c r="U25" s="179">
        <v>44781</v>
      </c>
      <c r="V25" s="177" t="s">
        <v>355</v>
      </c>
      <c r="W25" s="177"/>
      <c r="X25" s="177"/>
      <c r="Z25" s="149" t="str">
        <f t="shared" ca="1" si="0"/>
        <v/>
      </c>
      <c r="AA25" s="149" t="str">
        <f ca="1">IFERROR(IF(OR(OFFSET('S4'!#REF!,MATCH($A25,'S4'!$D$5:$D$3387,0)-1,6)="巻返し",OFFSET('S4'!#REF!,MATCH($A25,'S4'!$D$5:$D$3387,0)-1,6)="スリット"),SUMIF('S4'!$D$5:$D$3387,$A25,'S4'!$U$5:$U$3387),""),"")</f>
        <v/>
      </c>
      <c r="AB25" s="149" t="str">
        <f ca="1">IFERROR(IF(OR(OFFSET('S5'!#REF!,MATCH($A25,'S5'!$D$5:$D$2917,0)-1,6)="巻返し",OFFSET('S5'!#REF!,MATCH($A25,'S5'!$D$5:$D$2917,0)-1,6)="スリット"),SUMIF('S5'!$D$5:$D$2917,$A25,'S5'!$T$5:$T$2917),""),"")</f>
        <v/>
      </c>
    </row>
    <row r="26" spans="1:28" s="144" customFormat="1" ht="11.25" x14ac:dyDescent="0.15">
      <c r="A26" s="177">
        <v>3667113</v>
      </c>
      <c r="B26" s="177" t="s">
        <v>351</v>
      </c>
      <c r="C26" s="177" t="s">
        <v>352</v>
      </c>
      <c r="D26" s="177" t="s">
        <v>353</v>
      </c>
      <c r="E26" s="177" t="s">
        <v>116</v>
      </c>
      <c r="F26" s="177">
        <v>3</v>
      </c>
      <c r="G26" s="177" t="s">
        <v>19</v>
      </c>
      <c r="H26" s="177" t="s">
        <v>20</v>
      </c>
      <c r="I26" s="177" t="s">
        <v>205</v>
      </c>
      <c r="J26" s="177"/>
      <c r="K26" s="177" t="s">
        <v>212</v>
      </c>
      <c r="L26" s="177">
        <v>50</v>
      </c>
      <c r="M26" s="177" t="s">
        <v>213</v>
      </c>
      <c r="N26" s="178">
        <v>1120</v>
      </c>
      <c r="O26" s="178">
        <v>1120</v>
      </c>
      <c r="P26" s="178">
        <v>4000</v>
      </c>
      <c r="Q26" s="177">
        <v>2</v>
      </c>
      <c r="R26" s="177">
        <v>8</v>
      </c>
      <c r="S26" s="177" t="s">
        <v>354</v>
      </c>
      <c r="T26" s="179">
        <v>44734</v>
      </c>
      <c r="U26" s="179">
        <v>44790</v>
      </c>
      <c r="V26" s="177" t="s">
        <v>355</v>
      </c>
      <c r="W26" s="177"/>
      <c r="X26" s="177"/>
      <c r="Z26" s="149" t="str">
        <f t="shared" ca="1" si="0"/>
        <v/>
      </c>
      <c r="AA26" s="149" t="str">
        <f ca="1">IFERROR(IF(OR(OFFSET('S4'!#REF!,MATCH($A26,'S4'!$D$5:$D$3387,0)-1,6)="巻返し",OFFSET('S4'!#REF!,MATCH($A26,'S4'!$D$5:$D$3387,0)-1,6)="スリット"),SUMIF('S4'!$D$5:$D$3387,$A26,'S4'!$U$5:$U$3387),""),"")</f>
        <v/>
      </c>
      <c r="AB26" s="149" t="str">
        <f ca="1">IFERROR(IF(OR(OFFSET('S5'!#REF!,MATCH($A26,'S5'!$D$5:$D$2917,0)-1,6)="巻返し",OFFSET('S5'!#REF!,MATCH($A26,'S5'!$D$5:$D$2917,0)-1,6)="スリット"),SUMIF('S5'!$D$5:$D$2917,$A26,'S5'!$T$5:$T$2917),""),"")</f>
        <v/>
      </c>
    </row>
    <row r="27" spans="1:28" s="144" customFormat="1" ht="11.25" x14ac:dyDescent="0.15">
      <c r="A27" s="177">
        <v>3667114</v>
      </c>
      <c r="B27" s="177" t="s">
        <v>351</v>
      </c>
      <c r="C27" s="177" t="s">
        <v>352</v>
      </c>
      <c r="D27" s="177" t="s">
        <v>353</v>
      </c>
      <c r="E27" s="177" t="s">
        <v>116</v>
      </c>
      <c r="F27" s="177">
        <v>3</v>
      </c>
      <c r="G27" s="177" t="s">
        <v>19</v>
      </c>
      <c r="H27" s="177" t="s">
        <v>20</v>
      </c>
      <c r="I27" s="177" t="s">
        <v>205</v>
      </c>
      <c r="J27" s="177"/>
      <c r="K27" s="177" t="s">
        <v>211</v>
      </c>
      <c r="L27" s="177">
        <v>25</v>
      </c>
      <c r="M27" s="177" t="s">
        <v>491</v>
      </c>
      <c r="N27" s="178">
        <v>1050</v>
      </c>
      <c r="O27" s="178">
        <v>1050</v>
      </c>
      <c r="P27" s="178">
        <v>4000</v>
      </c>
      <c r="Q27" s="177">
        <v>2</v>
      </c>
      <c r="R27" s="177">
        <v>2</v>
      </c>
      <c r="S27" s="177" t="s">
        <v>354</v>
      </c>
      <c r="T27" s="179">
        <v>44734</v>
      </c>
      <c r="U27" s="179">
        <v>44757</v>
      </c>
      <c r="V27" s="177" t="s">
        <v>355</v>
      </c>
      <c r="W27" s="177"/>
      <c r="X27" s="177"/>
      <c r="Z27" s="149" t="str">
        <f t="shared" ca="1" si="0"/>
        <v/>
      </c>
      <c r="AA27" s="149" t="str">
        <f ca="1">IFERROR(IF(OR(OFFSET('S4'!#REF!,MATCH($A27,'S4'!$D$5:$D$3387,0)-1,6)="巻返し",OFFSET('S4'!#REF!,MATCH($A27,'S4'!$D$5:$D$3387,0)-1,6)="スリット"),SUMIF('S4'!$D$5:$D$3387,$A27,'S4'!$U$5:$U$3387),""),"")</f>
        <v/>
      </c>
      <c r="AB27" s="149" t="str">
        <f ca="1">IFERROR(IF(OR(OFFSET('S5'!#REF!,MATCH($A27,'S5'!$D$5:$D$2917,0)-1,6)="巻返し",OFFSET('S5'!#REF!,MATCH($A27,'S5'!$D$5:$D$2917,0)-1,6)="スリット"),SUMIF('S5'!$D$5:$D$2917,$A27,'S5'!$T$5:$T$2917),""),"")</f>
        <v/>
      </c>
    </row>
    <row r="28" spans="1:28" s="144" customFormat="1" ht="11.25" x14ac:dyDescent="0.15">
      <c r="A28" s="177">
        <v>3667115</v>
      </c>
      <c r="B28" s="177" t="s">
        <v>351</v>
      </c>
      <c r="C28" s="177" t="s">
        <v>352</v>
      </c>
      <c r="D28" s="177" t="s">
        <v>353</v>
      </c>
      <c r="E28" s="177" t="s">
        <v>116</v>
      </c>
      <c r="F28" s="177">
        <v>3</v>
      </c>
      <c r="G28" s="177" t="s">
        <v>19</v>
      </c>
      <c r="H28" s="177" t="s">
        <v>20</v>
      </c>
      <c r="I28" s="177" t="s">
        <v>205</v>
      </c>
      <c r="J28" s="177"/>
      <c r="K28" s="177" t="s">
        <v>211</v>
      </c>
      <c r="L28" s="177">
        <v>50</v>
      </c>
      <c r="M28" s="177" t="s">
        <v>370</v>
      </c>
      <c r="N28" s="178">
        <v>1050</v>
      </c>
      <c r="O28" s="178">
        <v>1050</v>
      </c>
      <c r="P28" s="178">
        <v>4100</v>
      </c>
      <c r="Q28" s="177">
        <v>2</v>
      </c>
      <c r="R28" s="177">
        <v>6</v>
      </c>
      <c r="S28" s="177" t="s">
        <v>354</v>
      </c>
      <c r="T28" s="179">
        <v>44734</v>
      </c>
      <c r="U28" s="179">
        <v>44757</v>
      </c>
      <c r="V28" s="177" t="s">
        <v>355</v>
      </c>
      <c r="W28" s="177"/>
      <c r="X28" s="177"/>
      <c r="Z28" s="149" t="str">
        <f t="shared" ca="1" si="0"/>
        <v/>
      </c>
      <c r="AA28" s="149" t="str">
        <f ca="1">IFERROR(IF(OR(OFFSET('S4'!#REF!,MATCH($A28,'S4'!$D$5:$D$3387,0)-1,6)="巻返し",OFFSET('S4'!#REF!,MATCH($A28,'S4'!$D$5:$D$3387,0)-1,6)="スリット"),SUMIF('S4'!$D$5:$D$3387,$A28,'S4'!$U$5:$U$3387),""),"")</f>
        <v/>
      </c>
      <c r="AB28" s="149" t="str">
        <f ca="1">IFERROR(IF(OR(OFFSET('S5'!#REF!,MATCH($A28,'S5'!$D$5:$D$2917,0)-1,6)="巻返し",OFFSET('S5'!#REF!,MATCH($A28,'S5'!$D$5:$D$2917,0)-1,6)="スリット"),SUMIF('S5'!$D$5:$D$2917,$A28,'S5'!$T$5:$T$2917),""),"")</f>
        <v/>
      </c>
    </row>
    <row r="29" spans="1:28" s="144" customFormat="1" ht="11.25" x14ac:dyDescent="0.15">
      <c r="A29" s="177">
        <v>3667116</v>
      </c>
      <c r="B29" s="177" t="s">
        <v>351</v>
      </c>
      <c r="C29" s="177" t="s">
        <v>352</v>
      </c>
      <c r="D29" s="177" t="s">
        <v>353</v>
      </c>
      <c r="E29" s="177" t="s">
        <v>116</v>
      </c>
      <c r="F29" s="177">
        <v>3</v>
      </c>
      <c r="G29" s="177" t="s">
        <v>19</v>
      </c>
      <c r="H29" s="177" t="s">
        <v>20</v>
      </c>
      <c r="I29" s="177" t="s">
        <v>205</v>
      </c>
      <c r="J29" s="177"/>
      <c r="K29" s="177" t="s">
        <v>211</v>
      </c>
      <c r="L29" s="177">
        <v>75</v>
      </c>
      <c r="M29" s="177" t="s">
        <v>370</v>
      </c>
      <c r="N29" s="178">
        <v>1050</v>
      </c>
      <c r="O29" s="178">
        <v>1050</v>
      </c>
      <c r="P29" s="178">
        <v>2000</v>
      </c>
      <c r="Q29" s="177">
        <v>2</v>
      </c>
      <c r="R29" s="177">
        <v>2</v>
      </c>
      <c r="S29" s="177" t="s">
        <v>354</v>
      </c>
      <c r="T29" s="179">
        <v>44734</v>
      </c>
      <c r="U29" s="179">
        <v>44757</v>
      </c>
      <c r="V29" s="177" t="s">
        <v>355</v>
      </c>
      <c r="W29" s="177"/>
      <c r="X29" s="177"/>
      <c r="Z29" s="149" t="str">
        <f t="shared" ca="1" si="0"/>
        <v/>
      </c>
      <c r="AA29" s="149" t="str">
        <f ca="1">IFERROR(IF(OR(OFFSET('S4'!#REF!,MATCH($A29,'S4'!$D$5:$D$3387,0)-1,6)="巻返し",OFFSET('S4'!#REF!,MATCH($A29,'S4'!$D$5:$D$3387,0)-1,6)="スリット"),SUMIF('S4'!$D$5:$D$3387,$A29,'S4'!$U$5:$U$3387),""),"")</f>
        <v/>
      </c>
      <c r="AB29" s="149" t="str">
        <f ca="1">IFERROR(IF(OR(OFFSET('S5'!#REF!,MATCH($A29,'S5'!$D$5:$D$2917,0)-1,6)="巻返し",OFFSET('S5'!#REF!,MATCH($A29,'S5'!$D$5:$D$2917,0)-1,6)="スリット"),SUMIF('S5'!$D$5:$D$2917,$A29,'S5'!$T$5:$T$2917),""),"")</f>
        <v/>
      </c>
    </row>
    <row r="30" spans="1:28" s="144" customFormat="1" ht="11.25" x14ac:dyDescent="0.15">
      <c r="A30" s="177">
        <v>3667117</v>
      </c>
      <c r="B30" s="177" t="s">
        <v>351</v>
      </c>
      <c r="C30" s="177" t="s">
        <v>352</v>
      </c>
      <c r="D30" s="177" t="s">
        <v>353</v>
      </c>
      <c r="E30" s="177" t="s">
        <v>116</v>
      </c>
      <c r="F30" s="177">
        <v>3</v>
      </c>
      <c r="G30" s="177" t="s">
        <v>19</v>
      </c>
      <c r="H30" s="177" t="s">
        <v>20</v>
      </c>
      <c r="I30" s="177" t="s">
        <v>165</v>
      </c>
      <c r="J30" s="177"/>
      <c r="K30" s="177" t="s">
        <v>185</v>
      </c>
      <c r="L30" s="177">
        <v>50</v>
      </c>
      <c r="M30" s="177" t="s">
        <v>186</v>
      </c>
      <c r="N30" s="178">
        <v>1005</v>
      </c>
      <c r="O30" s="178">
        <v>1000</v>
      </c>
      <c r="P30" s="178">
        <v>4000</v>
      </c>
      <c r="Q30" s="177">
        <v>2</v>
      </c>
      <c r="R30" s="177">
        <v>3</v>
      </c>
      <c r="S30" s="177" t="s">
        <v>354</v>
      </c>
      <c r="T30" s="179">
        <v>44734</v>
      </c>
      <c r="U30" s="179">
        <v>44757</v>
      </c>
      <c r="V30" s="177" t="s">
        <v>355</v>
      </c>
      <c r="W30" s="177"/>
      <c r="X30" s="177"/>
      <c r="Z30" s="149" t="str">
        <f t="shared" ca="1" si="0"/>
        <v/>
      </c>
      <c r="AA30" s="149" t="str">
        <f ca="1">IFERROR(IF(OR(OFFSET('S4'!#REF!,MATCH($A30,'S4'!$D$5:$D$3387,0)-1,6)="巻返し",OFFSET('S4'!#REF!,MATCH($A30,'S4'!$D$5:$D$3387,0)-1,6)="スリット"),SUMIF('S4'!$D$5:$D$3387,$A30,'S4'!$U$5:$U$3387),""),"")</f>
        <v/>
      </c>
      <c r="AB30" s="149" t="str">
        <f ca="1">IFERROR(IF(OR(OFFSET('S5'!#REF!,MATCH($A30,'S5'!$D$5:$D$2917,0)-1,6)="巻返し",OFFSET('S5'!#REF!,MATCH($A30,'S5'!$D$5:$D$2917,0)-1,6)="スリット"),SUMIF('S5'!$D$5:$D$2917,$A30,'S5'!$T$5:$T$2917),""),"")</f>
        <v/>
      </c>
    </row>
    <row r="31" spans="1:28" s="144" customFormat="1" ht="11.25" x14ac:dyDescent="0.15">
      <c r="A31" s="177">
        <v>3667119</v>
      </c>
      <c r="B31" s="177" t="s">
        <v>351</v>
      </c>
      <c r="C31" s="177" t="s">
        <v>352</v>
      </c>
      <c r="D31" s="177" t="s">
        <v>353</v>
      </c>
      <c r="E31" s="177" t="s">
        <v>116</v>
      </c>
      <c r="F31" s="177">
        <v>3</v>
      </c>
      <c r="G31" s="177" t="s">
        <v>19</v>
      </c>
      <c r="H31" s="177" t="s">
        <v>20</v>
      </c>
      <c r="I31" s="177" t="s">
        <v>205</v>
      </c>
      <c r="J31" s="177"/>
      <c r="K31" s="177" t="s">
        <v>216</v>
      </c>
      <c r="L31" s="177">
        <v>25</v>
      </c>
      <c r="M31" s="177" t="s">
        <v>217</v>
      </c>
      <c r="N31" s="178">
        <v>1005</v>
      </c>
      <c r="O31" s="178">
        <v>1000</v>
      </c>
      <c r="P31" s="178">
        <v>4000</v>
      </c>
      <c r="Q31" s="177">
        <v>2</v>
      </c>
      <c r="R31" s="177">
        <v>15</v>
      </c>
      <c r="S31" s="177" t="s">
        <v>354</v>
      </c>
      <c r="T31" s="179">
        <v>44734</v>
      </c>
      <c r="U31" s="179">
        <v>44767</v>
      </c>
      <c r="V31" s="177" t="s">
        <v>355</v>
      </c>
      <c r="W31" s="177"/>
      <c r="X31" s="177"/>
      <c r="Z31" s="149" t="str">
        <f t="shared" ca="1" si="0"/>
        <v/>
      </c>
      <c r="AA31" s="149" t="str">
        <f ca="1">IFERROR(IF(OR(OFFSET('S4'!#REF!,MATCH($A31,'S4'!$D$5:$D$3387,0)-1,6)="巻返し",OFFSET('S4'!#REF!,MATCH($A31,'S4'!$D$5:$D$3387,0)-1,6)="スリット"),SUMIF('S4'!$D$5:$D$3387,$A31,'S4'!$U$5:$U$3387),""),"")</f>
        <v/>
      </c>
      <c r="AB31" s="149" t="str">
        <f ca="1">IFERROR(IF(OR(OFFSET('S5'!#REF!,MATCH($A31,'S5'!$D$5:$D$2917,0)-1,6)="巻返し",OFFSET('S5'!#REF!,MATCH($A31,'S5'!$D$5:$D$2917,0)-1,6)="スリット"),SUMIF('S5'!$D$5:$D$2917,$A31,'S5'!$T$5:$T$2917),""),"")</f>
        <v/>
      </c>
    </row>
    <row r="32" spans="1:28" s="144" customFormat="1" ht="11.25" x14ac:dyDescent="0.15">
      <c r="A32" s="177">
        <v>3667120</v>
      </c>
      <c r="B32" s="177" t="s">
        <v>351</v>
      </c>
      <c r="C32" s="177" t="s">
        <v>352</v>
      </c>
      <c r="D32" s="177" t="s">
        <v>353</v>
      </c>
      <c r="E32" s="177" t="s">
        <v>116</v>
      </c>
      <c r="F32" s="177">
        <v>3</v>
      </c>
      <c r="G32" s="177" t="s">
        <v>19</v>
      </c>
      <c r="H32" s="177" t="s">
        <v>20</v>
      </c>
      <c r="I32" s="177" t="s">
        <v>205</v>
      </c>
      <c r="J32" s="177"/>
      <c r="K32" s="177" t="s">
        <v>216</v>
      </c>
      <c r="L32" s="177">
        <v>50</v>
      </c>
      <c r="M32" s="177" t="s">
        <v>217</v>
      </c>
      <c r="N32" s="178">
        <v>1120</v>
      </c>
      <c r="O32" s="178">
        <v>1120</v>
      </c>
      <c r="P32" s="178">
        <v>5000</v>
      </c>
      <c r="Q32" s="177">
        <v>2</v>
      </c>
      <c r="R32" s="177">
        <v>12</v>
      </c>
      <c r="S32" s="177" t="s">
        <v>354</v>
      </c>
      <c r="T32" s="179">
        <v>44734</v>
      </c>
      <c r="U32" s="179">
        <v>44762</v>
      </c>
      <c r="V32" s="177" t="s">
        <v>355</v>
      </c>
      <c r="W32" s="177"/>
      <c r="X32" s="177"/>
      <c r="Z32" s="149" t="str">
        <f t="shared" ca="1" si="0"/>
        <v/>
      </c>
      <c r="AA32" s="149" t="str">
        <f ca="1">IFERROR(IF(OR(OFFSET('S4'!#REF!,MATCH($A32,'S4'!$D$5:$D$3387,0)-1,6)="巻返し",OFFSET('S4'!#REF!,MATCH($A32,'S4'!$D$5:$D$3387,0)-1,6)="スリット"),SUMIF('S4'!$D$5:$D$3387,$A32,'S4'!$U$5:$U$3387),""),"")</f>
        <v/>
      </c>
      <c r="AB32" s="149" t="str">
        <f ca="1">IFERROR(IF(OR(OFFSET('S5'!#REF!,MATCH($A32,'S5'!$D$5:$D$2917,0)-1,6)="巻返し",OFFSET('S5'!#REF!,MATCH($A32,'S5'!$D$5:$D$2917,0)-1,6)="スリット"),SUMIF('S5'!$D$5:$D$2917,$A32,'S5'!$T$5:$T$2917),""),"")</f>
        <v/>
      </c>
    </row>
    <row r="33" spans="1:28" s="144" customFormat="1" ht="11.25" x14ac:dyDescent="0.15">
      <c r="A33" s="177">
        <v>3667121</v>
      </c>
      <c r="B33" s="177" t="s">
        <v>351</v>
      </c>
      <c r="C33" s="177" t="s">
        <v>352</v>
      </c>
      <c r="D33" s="177" t="s">
        <v>353</v>
      </c>
      <c r="E33" s="177" t="s">
        <v>116</v>
      </c>
      <c r="F33" s="177">
        <v>3</v>
      </c>
      <c r="G33" s="177" t="s">
        <v>19</v>
      </c>
      <c r="H33" s="177" t="s">
        <v>20</v>
      </c>
      <c r="I33" s="177" t="s">
        <v>205</v>
      </c>
      <c r="J33" s="177"/>
      <c r="K33" s="177" t="s">
        <v>216</v>
      </c>
      <c r="L33" s="177">
        <v>50</v>
      </c>
      <c r="M33" s="177" t="s">
        <v>217</v>
      </c>
      <c r="N33" s="178">
        <v>1120</v>
      </c>
      <c r="O33" s="178">
        <v>1120</v>
      </c>
      <c r="P33" s="178">
        <v>5000</v>
      </c>
      <c r="Q33" s="177">
        <v>2</v>
      </c>
      <c r="R33" s="177">
        <v>12</v>
      </c>
      <c r="S33" s="177" t="s">
        <v>354</v>
      </c>
      <c r="T33" s="179">
        <v>44734</v>
      </c>
      <c r="U33" s="179">
        <v>44774</v>
      </c>
      <c r="V33" s="177" t="s">
        <v>355</v>
      </c>
      <c r="W33" s="177"/>
      <c r="X33" s="177"/>
      <c r="Z33" s="149" t="str">
        <f t="shared" ca="1" si="0"/>
        <v/>
      </c>
      <c r="AA33" s="149" t="str">
        <f ca="1">IFERROR(IF(OR(OFFSET('S4'!#REF!,MATCH($A33,'S4'!$D$5:$D$3387,0)-1,6)="巻返し",OFFSET('S4'!#REF!,MATCH($A33,'S4'!$D$5:$D$3387,0)-1,6)="スリット"),SUMIF('S4'!$D$5:$D$3387,$A33,'S4'!$U$5:$U$3387),""),"")</f>
        <v/>
      </c>
      <c r="AB33" s="149" t="str">
        <f ca="1">IFERROR(IF(OR(OFFSET('S5'!#REF!,MATCH($A33,'S5'!$D$5:$D$2917,0)-1,6)="巻返し",OFFSET('S5'!#REF!,MATCH($A33,'S5'!$D$5:$D$2917,0)-1,6)="スリット"),SUMIF('S5'!$D$5:$D$2917,$A33,'S5'!$T$5:$T$2917),""),"")</f>
        <v/>
      </c>
    </row>
    <row r="34" spans="1:28" s="144" customFormat="1" ht="11.25" x14ac:dyDescent="0.15">
      <c r="A34" s="177">
        <v>3667122</v>
      </c>
      <c r="B34" s="177" t="s">
        <v>351</v>
      </c>
      <c r="C34" s="177" t="s">
        <v>352</v>
      </c>
      <c r="D34" s="177" t="s">
        <v>353</v>
      </c>
      <c r="E34" s="177" t="s">
        <v>116</v>
      </c>
      <c r="F34" s="177">
        <v>3</v>
      </c>
      <c r="G34" s="177" t="s">
        <v>19</v>
      </c>
      <c r="H34" s="177" t="s">
        <v>20</v>
      </c>
      <c r="I34" s="177" t="s">
        <v>205</v>
      </c>
      <c r="J34" s="177"/>
      <c r="K34" s="177" t="s">
        <v>216</v>
      </c>
      <c r="L34" s="177">
        <v>50</v>
      </c>
      <c r="M34" s="177" t="s">
        <v>217</v>
      </c>
      <c r="N34" s="178">
        <v>1120</v>
      </c>
      <c r="O34" s="178">
        <v>1120</v>
      </c>
      <c r="P34" s="178">
        <v>5000</v>
      </c>
      <c r="Q34" s="177">
        <v>2</v>
      </c>
      <c r="R34" s="177">
        <v>12</v>
      </c>
      <c r="S34" s="177" t="s">
        <v>354</v>
      </c>
      <c r="T34" s="179">
        <v>44734</v>
      </c>
      <c r="U34" s="179">
        <v>44781</v>
      </c>
      <c r="V34" s="177" t="s">
        <v>355</v>
      </c>
      <c r="W34" s="177"/>
      <c r="X34" s="177"/>
      <c r="Z34" s="149" t="str">
        <f t="shared" ca="1" si="0"/>
        <v/>
      </c>
      <c r="AA34" s="149" t="str">
        <f ca="1">IFERROR(IF(OR(OFFSET('S4'!#REF!,MATCH($A34,'S4'!$D$5:$D$3387,0)-1,6)="巻返し",OFFSET('S4'!#REF!,MATCH($A34,'S4'!$D$5:$D$3387,0)-1,6)="スリット"),SUMIF('S4'!$D$5:$D$3387,$A34,'S4'!$U$5:$U$3387),""),"")</f>
        <v/>
      </c>
      <c r="AB34" s="149" t="str">
        <f ca="1">IFERROR(IF(OR(OFFSET('S5'!#REF!,MATCH($A34,'S5'!$D$5:$D$2917,0)-1,6)="巻返し",OFFSET('S5'!#REF!,MATCH($A34,'S5'!$D$5:$D$2917,0)-1,6)="スリット"),SUMIF('S5'!$D$5:$D$2917,$A34,'S5'!$T$5:$T$2917),""),"")</f>
        <v/>
      </c>
    </row>
    <row r="35" spans="1:28" s="144" customFormat="1" ht="11.25" x14ac:dyDescent="0.15">
      <c r="A35" s="177">
        <v>3667123</v>
      </c>
      <c r="B35" s="177" t="s">
        <v>351</v>
      </c>
      <c r="C35" s="177" t="s">
        <v>352</v>
      </c>
      <c r="D35" s="177" t="s">
        <v>353</v>
      </c>
      <c r="E35" s="177" t="s">
        <v>116</v>
      </c>
      <c r="F35" s="177">
        <v>3</v>
      </c>
      <c r="G35" s="177" t="s">
        <v>19</v>
      </c>
      <c r="H35" s="177" t="s">
        <v>20</v>
      </c>
      <c r="I35" s="177" t="s">
        <v>205</v>
      </c>
      <c r="J35" s="177"/>
      <c r="K35" s="177" t="s">
        <v>216</v>
      </c>
      <c r="L35" s="177">
        <v>50</v>
      </c>
      <c r="M35" s="177" t="s">
        <v>217</v>
      </c>
      <c r="N35" s="178">
        <v>1120</v>
      </c>
      <c r="O35" s="178">
        <v>1120</v>
      </c>
      <c r="P35" s="178">
        <v>5000</v>
      </c>
      <c r="Q35" s="177">
        <v>2</v>
      </c>
      <c r="R35" s="177">
        <v>12</v>
      </c>
      <c r="S35" s="177" t="s">
        <v>354</v>
      </c>
      <c r="T35" s="179">
        <v>44734</v>
      </c>
      <c r="U35" s="179">
        <v>44790</v>
      </c>
      <c r="V35" s="177" t="s">
        <v>355</v>
      </c>
      <c r="W35" s="177"/>
      <c r="X35" s="177"/>
      <c r="Z35" s="149" t="str">
        <f t="shared" ca="1" si="0"/>
        <v/>
      </c>
      <c r="AA35" s="149" t="str">
        <f ca="1">IFERROR(IF(OR(OFFSET('S4'!#REF!,MATCH($A35,'S4'!$D$5:$D$3387,0)-1,6)="巻返し",OFFSET('S4'!#REF!,MATCH($A35,'S4'!$D$5:$D$3387,0)-1,6)="スリット"),SUMIF('S4'!$D$5:$D$3387,$A35,'S4'!$U$5:$U$3387),""),"")</f>
        <v/>
      </c>
      <c r="AB35" s="149" t="str">
        <f ca="1">IFERROR(IF(OR(OFFSET('S5'!#REF!,MATCH($A35,'S5'!$D$5:$D$2917,0)-1,6)="巻返し",OFFSET('S5'!#REF!,MATCH($A35,'S5'!$D$5:$D$2917,0)-1,6)="スリット"),SUMIF('S5'!$D$5:$D$2917,$A35,'S5'!$T$5:$T$2917),""),"")</f>
        <v/>
      </c>
    </row>
    <row r="36" spans="1:28" s="144" customFormat="1" ht="11.25" x14ac:dyDescent="0.15">
      <c r="A36" s="177">
        <v>3667124</v>
      </c>
      <c r="B36" s="177" t="s">
        <v>351</v>
      </c>
      <c r="C36" s="177" t="s">
        <v>352</v>
      </c>
      <c r="D36" s="177" t="s">
        <v>353</v>
      </c>
      <c r="E36" s="177" t="s">
        <v>116</v>
      </c>
      <c r="F36" s="177">
        <v>3</v>
      </c>
      <c r="G36" s="177" t="s">
        <v>19</v>
      </c>
      <c r="H36" s="177" t="s">
        <v>20</v>
      </c>
      <c r="I36" s="177" t="s">
        <v>165</v>
      </c>
      <c r="J36" s="177"/>
      <c r="K36" s="177" t="s">
        <v>187</v>
      </c>
      <c r="L36" s="177">
        <v>50</v>
      </c>
      <c r="M36" s="177" t="s">
        <v>188</v>
      </c>
      <c r="N36" s="178">
        <v>1000</v>
      </c>
      <c r="O36" s="178">
        <v>1000</v>
      </c>
      <c r="P36" s="178">
        <v>3000</v>
      </c>
      <c r="Q36" s="177">
        <v>2</v>
      </c>
      <c r="R36" s="177">
        <v>2</v>
      </c>
      <c r="S36" s="177" t="s">
        <v>354</v>
      </c>
      <c r="T36" s="179">
        <v>44734</v>
      </c>
      <c r="U36" s="179">
        <v>44767</v>
      </c>
      <c r="V36" s="177" t="s">
        <v>355</v>
      </c>
      <c r="W36" s="177"/>
      <c r="X36" s="177"/>
      <c r="Z36" s="149" t="str">
        <f t="shared" ca="1" si="0"/>
        <v/>
      </c>
      <c r="AA36" s="149" t="str">
        <f ca="1">IFERROR(IF(OR(OFFSET('S4'!#REF!,MATCH($A36,'S4'!$D$5:$D$3387,0)-1,6)="巻返し",OFFSET('S4'!#REF!,MATCH($A36,'S4'!$D$5:$D$3387,0)-1,6)="スリット"),SUMIF('S4'!$D$5:$D$3387,$A36,'S4'!$U$5:$U$3387),""),"")</f>
        <v/>
      </c>
      <c r="AB36" s="149" t="str">
        <f ca="1">IFERROR(IF(OR(OFFSET('S5'!#REF!,MATCH($A36,'S5'!$D$5:$D$2917,0)-1,6)="巻返し",OFFSET('S5'!#REF!,MATCH($A36,'S5'!$D$5:$D$2917,0)-1,6)="スリット"),SUMIF('S5'!$D$5:$D$2917,$A36,'S5'!$T$5:$T$2917),""),"")</f>
        <v/>
      </c>
    </row>
    <row r="37" spans="1:28" s="144" customFormat="1" ht="11.25" x14ac:dyDescent="0.15">
      <c r="A37" s="177">
        <v>3667125</v>
      </c>
      <c r="B37" s="177" t="s">
        <v>351</v>
      </c>
      <c r="C37" s="177" t="s">
        <v>352</v>
      </c>
      <c r="D37" s="177" t="s">
        <v>353</v>
      </c>
      <c r="E37" s="177" t="s">
        <v>116</v>
      </c>
      <c r="F37" s="177">
        <v>3</v>
      </c>
      <c r="G37" s="177" t="s">
        <v>19</v>
      </c>
      <c r="H37" s="177" t="s">
        <v>20</v>
      </c>
      <c r="I37" s="177" t="s">
        <v>205</v>
      </c>
      <c r="J37" s="177"/>
      <c r="K37" s="177" t="s">
        <v>218</v>
      </c>
      <c r="L37" s="177">
        <v>25</v>
      </c>
      <c r="M37" s="177" t="s">
        <v>219</v>
      </c>
      <c r="N37" s="178">
        <v>1005</v>
      </c>
      <c r="O37" s="178">
        <v>1000</v>
      </c>
      <c r="P37" s="178">
        <v>4000</v>
      </c>
      <c r="Q37" s="177">
        <v>2</v>
      </c>
      <c r="R37" s="177">
        <v>2</v>
      </c>
      <c r="S37" s="177" t="s">
        <v>354</v>
      </c>
      <c r="T37" s="179">
        <v>44734</v>
      </c>
      <c r="U37" s="179">
        <v>44767</v>
      </c>
      <c r="V37" s="177" t="s">
        <v>355</v>
      </c>
      <c r="W37" s="177"/>
      <c r="X37" s="177"/>
      <c r="Z37" s="149" t="str">
        <f t="shared" ca="1" si="0"/>
        <v/>
      </c>
      <c r="AA37" s="149" t="str">
        <f ca="1">IFERROR(IF(OR(OFFSET('S4'!#REF!,MATCH($A37,'S4'!$D$5:$D$3387,0)-1,6)="巻返し",OFFSET('S4'!#REF!,MATCH($A37,'S4'!$D$5:$D$3387,0)-1,6)="スリット"),SUMIF('S4'!$D$5:$D$3387,$A37,'S4'!$U$5:$U$3387),""),"")</f>
        <v/>
      </c>
      <c r="AB37" s="149" t="str">
        <f ca="1">IFERROR(IF(OR(OFFSET('S5'!#REF!,MATCH($A37,'S5'!$D$5:$D$2917,0)-1,6)="巻返し",OFFSET('S5'!#REF!,MATCH($A37,'S5'!$D$5:$D$2917,0)-1,6)="スリット"),SUMIF('S5'!$D$5:$D$2917,$A37,'S5'!$T$5:$T$2917),""),"")</f>
        <v/>
      </c>
    </row>
    <row r="38" spans="1:28" s="144" customFormat="1" ht="11.25" x14ac:dyDescent="0.15">
      <c r="A38" s="177">
        <v>3667126</v>
      </c>
      <c r="B38" s="177" t="s">
        <v>351</v>
      </c>
      <c r="C38" s="177" t="s">
        <v>352</v>
      </c>
      <c r="D38" s="177" t="s">
        <v>353</v>
      </c>
      <c r="E38" s="177" t="s">
        <v>116</v>
      </c>
      <c r="F38" s="177">
        <v>3</v>
      </c>
      <c r="G38" s="177" t="s">
        <v>19</v>
      </c>
      <c r="H38" s="177" t="s">
        <v>20</v>
      </c>
      <c r="I38" s="177" t="s">
        <v>205</v>
      </c>
      <c r="J38" s="177"/>
      <c r="K38" s="177" t="s">
        <v>218</v>
      </c>
      <c r="L38" s="177">
        <v>50</v>
      </c>
      <c r="M38" s="177" t="s">
        <v>219</v>
      </c>
      <c r="N38" s="178">
        <v>1000</v>
      </c>
      <c r="O38" s="178">
        <v>1000</v>
      </c>
      <c r="P38" s="178">
        <v>4000</v>
      </c>
      <c r="Q38" s="177">
        <v>2</v>
      </c>
      <c r="R38" s="177">
        <v>15</v>
      </c>
      <c r="S38" s="177" t="s">
        <v>354</v>
      </c>
      <c r="T38" s="179">
        <v>44734</v>
      </c>
      <c r="U38" s="179">
        <v>44767</v>
      </c>
      <c r="V38" s="177" t="s">
        <v>355</v>
      </c>
      <c r="W38" s="177"/>
      <c r="X38" s="177"/>
      <c r="Z38" s="149" t="str">
        <f t="shared" ca="1" si="0"/>
        <v/>
      </c>
      <c r="AA38" s="149" t="str">
        <f ca="1">IFERROR(IF(OR(OFFSET('S4'!#REF!,MATCH($A38,'S4'!$D$5:$D$3387,0)-1,6)="巻返し",OFFSET('S4'!#REF!,MATCH($A38,'S4'!$D$5:$D$3387,0)-1,6)="スリット"),SUMIF('S4'!$D$5:$D$3387,$A38,'S4'!$U$5:$U$3387),""),"")</f>
        <v/>
      </c>
      <c r="AB38" s="149" t="str">
        <f ca="1">IFERROR(IF(OR(OFFSET('S5'!#REF!,MATCH($A38,'S5'!$D$5:$D$2917,0)-1,6)="巻返し",OFFSET('S5'!#REF!,MATCH($A38,'S5'!$D$5:$D$2917,0)-1,6)="スリット"),SUMIF('S5'!$D$5:$D$2917,$A38,'S5'!$T$5:$T$2917),""),"")</f>
        <v/>
      </c>
    </row>
    <row r="39" spans="1:28" s="144" customFormat="1" ht="11.25" x14ac:dyDescent="0.15">
      <c r="A39" s="177">
        <v>3667127</v>
      </c>
      <c r="B39" s="177" t="s">
        <v>351</v>
      </c>
      <c r="C39" s="177" t="s">
        <v>352</v>
      </c>
      <c r="D39" s="177" t="s">
        <v>353</v>
      </c>
      <c r="E39" s="177" t="s">
        <v>116</v>
      </c>
      <c r="F39" s="177" t="s">
        <v>158</v>
      </c>
      <c r="G39" s="177" t="s">
        <v>19</v>
      </c>
      <c r="H39" s="177" t="s">
        <v>20</v>
      </c>
      <c r="I39" s="177" t="s">
        <v>165</v>
      </c>
      <c r="J39" s="177"/>
      <c r="K39" s="177" t="s">
        <v>192</v>
      </c>
      <c r="L39" s="177">
        <v>50</v>
      </c>
      <c r="M39" s="177" t="s">
        <v>193</v>
      </c>
      <c r="N39" s="178">
        <v>1005</v>
      </c>
      <c r="O39" s="178">
        <v>1000</v>
      </c>
      <c r="P39" s="178">
        <v>4000</v>
      </c>
      <c r="Q39" s="177">
        <v>2</v>
      </c>
      <c r="R39" s="177">
        <v>6</v>
      </c>
      <c r="S39" s="177" t="s">
        <v>354</v>
      </c>
      <c r="T39" s="179">
        <v>44734</v>
      </c>
      <c r="U39" s="179">
        <v>44767</v>
      </c>
      <c r="V39" s="177" t="s">
        <v>355</v>
      </c>
      <c r="W39" s="177"/>
      <c r="X39" s="177"/>
      <c r="Z39" s="149" t="str">
        <f t="shared" ca="1" si="0"/>
        <v/>
      </c>
      <c r="AA39" s="149" t="str">
        <f ca="1">IFERROR(IF(OR(OFFSET('S4'!#REF!,MATCH($A39,'S4'!$D$5:$D$3387,0)-1,6)="巻返し",OFFSET('S4'!#REF!,MATCH($A39,'S4'!$D$5:$D$3387,0)-1,6)="スリット"),SUMIF('S4'!$D$5:$D$3387,$A39,'S4'!$U$5:$U$3387),""),"")</f>
        <v/>
      </c>
      <c r="AB39" s="149" t="str">
        <f ca="1">IFERROR(IF(OR(OFFSET('S5'!#REF!,MATCH($A39,'S5'!$D$5:$D$2917,0)-1,6)="巻返し",OFFSET('S5'!#REF!,MATCH($A39,'S5'!$D$5:$D$2917,0)-1,6)="スリット"),SUMIF('S5'!$D$5:$D$2917,$A39,'S5'!$T$5:$T$2917),""),"")</f>
        <v/>
      </c>
    </row>
    <row r="40" spans="1:28" s="144" customFormat="1" ht="11.25" x14ac:dyDescent="0.15">
      <c r="A40" s="177">
        <v>3667128</v>
      </c>
      <c r="B40" s="177" t="s">
        <v>351</v>
      </c>
      <c r="C40" s="177" t="s">
        <v>352</v>
      </c>
      <c r="D40" s="177" t="s">
        <v>353</v>
      </c>
      <c r="E40" s="177" t="s">
        <v>116</v>
      </c>
      <c r="F40" s="177" t="s">
        <v>158</v>
      </c>
      <c r="G40" s="177" t="s">
        <v>19</v>
      </c>
      <c r="H40" s="177" t="s">
        <v>20</v>
      </c>
      <c r="I40" s="177" t="s">
        <v>165</v>
      </c>
      <c r="J40" s="177"/>
      <c r="K40" s="177" t="s">
        <v>195</v>
      </c>
      <c r="L40" s="177">
        <v>50</v>
      </c>
      <c r="M40" s="177" t="s">
        <v>196</v>
      </c>
      <c r="N40" s="178">
        <v>1005</v>
      </c>
      <c r="O40" s="178">
        <v>1000</v>
      </c>
      <c r="P40" s="178">
        <v>4000</v>
      </c>
      <c r="Q40" s="177">
        <v>2</v>
      </c>
      <c r="R40" s="177">
        <v>3</v>
      </c>
      <c r="S40" s="177" t="s">
        <v>354</v>
      </c>
      <c r="T40" s="179">
        <v>44734</v>
      </c>
      <c r="U40" s="179">
        <v>44767</v>
      </c>
      <c r="V40" s="177" t="s">
        <v>355</v>
      </c>
      <c r="W40" s="177"/>
      <c r="X40" s="177"/>
      <c r="Z40" s="149" t="str">
        <f t="shared" ca="1" si="0"/>
        <v/>
      </c>
      <c r="AA40" s="149" t="str">
        <f ca="1">IFERROR(IF(OR(OFFSET('S4'!#REF!,MATCH($A40,'S4'!$D$5:$D$3387,0)-1,6)="巻返し",OFFSET('S4'!#REF!,MATCH($A40,'S4'!$D$5:$D$3387,0)-1,6)="スリット"),SUMIF('S4'!$D$5:$D$3387,$A40,'S4'!$U$5:$U$3387),""),"")</f>
        <v/>
      </c>
      <c r="AB40" s="149" t="str">
        <f ca="1">IFERROR(IF(OR(OFFSET('S5'!#REF!,MATCH($A40,'S5'!$D$5:$D$2917,0)-1,6)="巻返し",OFFSET('S5'!#REF!,MATCH($A40,'S5'!$D$5:$D$2917,0)-1,6)="スリット"),SUMIF('S5'!$D$5:$D$2917,$A40,'S5'!$T$5:$T$2917),""),"")</f>
        <v/>
      </c>
    </row>
    <row r="41" spans="1:28" s="144" customFormat="1" ht="11.25" x14ac:dyDescent="0.15">
      <c r="A41" s="177">
        <v>3667129</v>
      </c>
      <c r="B41" s="177" t="s">
        <v>351</v>
      </c>
      <c r="C41" s="177" t="s">
        <v>352</v>
      </c>
      <c r="D41" s="177" t="s">
        <v>353</v>
      </c>
      <c r="E41" s="177" t="s">
        <v>116</v>
      </c>
      <c r="F41" s="177" t="s">
        <v>158</v>
      </c>
      <c r="G41" s="177" t="s">
        <v>19</v>
      </c>
      <c r="H41" s="177" t="s">
        <v>20</v>
      </c>
      <c r="I41" s="177" t="s">
        <v>165</v>
      </c>
      <c r="J41" s="177"/>
      <c r="K41" s="177" t="s">
        <v>197</v>
      </c>
      <c r="L41" s="177">
        <v>50</v>
      </c>
      <c r="M41" s="177" t="s">
        <v>198</v>
      </c>
      <c r="N41" s="178">
        <v>1005</v>
      </c>
      <c r="O41" s="178">
        <v>1000</v>
      </c>
      <c r="P41" s="178">
        <v>4000</v>
      </c>
      <c r="Q41" s="177">
        <v>2</v>
      </c>
      <c r="R41" s="177">
        <v>6</v>
      </c>
      <c r="S41" s="177" t="s">
        <v>354</v>
      </c>
      <c r="T41" s="179">
        <v>44734</v>
      </c>
      <c r="U41" s="179">
        <v>44767</v>
      </c>
      <c r="V41" s="177" t="s">
        <v>355</v>
      </c>
      <c r="W41" s="177"/>
      <c r="X41" s="177"/>
      <c r="Z41" s="149" t="str">
        <f t="shared" ca="1" si="0"/>
        <v/>
      </c>
      <c r="AA41" s="149" t="str">
        <f ca="1">IFERROR(IF(OR(OFFSET('S4'!#REF!,MATCH($A41,'S4'!$D$5:$D$3387,0)-1,6)="巻返し",OFFSET('S4'!#REF!,MATCH($A41,'S4'!$D$5:$D$3387,0)-1,6)="スリット"),SUMIF('S4'!$D$5:$D$3387,$A41,'S4'!$U$5:$U$3387),""),"")</f>
        <v/>
      </c>
      <c r="AB41" s="149" t="str">
        <f ca="1">IFERROR(IF(OR(OFFSET('S5'!#REF!,MATCH($A41,'S5'!$D$5:$D$2917,0)-1,6)="巻返し",OFFSET('S5'!#REF!,MATCH($A41,'S5'!$D$5:$D$2917,0)-1,6)="スリット"),SUMIF('S5'!$D$5:$D$2917,$A41,'S5'!$T$5:$T$2917),""),"")</f>
        <v/>
      </c>
    </row>
    <row r="42" spans="1:28" s="144" customFormat="1" ht="11.25" x14ac:dyDescent="0.15">
      <c r="A42" s="177">
        <v>3667132</v>
      </c>
      <c r="B42" s="177" t="s">
        <v>351</v>
      </c>
      <c r="C42" s="177" t="s">
        <v>352</v>
      </c>
      <c r="D42" s="177" t="s">
        <v>353</v>
      </c>
      <c r="E42" s="177" t="s">
        <v>116</v>
      </c>
      <c r="F42" s="177">
        <v>3</v>
      </c>
      <c r="G42" s="177" t="s">
        <v>19</v>
      </c>
      <c r="H42" s="177" t="s">
        <v>20</v>
      </c>
      <c r="I42" s="177" t="s">
        <v>205</v>
      </c>
      <c r="J42" s="177"/>
      <c r="K42" s="177" t="s">
        <v>221</v>
      </c>
      <c r="L42" s="177">
        <v>25</v>
      </c>
      <c r="M42" s="177" t="s">
        <v>222</v>
      </c>
      <c r="N42" s="178">
        <v>1000</v>
      </c>
      <c r="O42" s="178">
        <v>1000</v>
      </c>
      <c r="P42" s="178">
        <v>6000</v>
      </c>
      <c r="Q42" s="177">
        <v>2</v>
      </c>
      <c r="R42" s="177">
        <v>6</v>
      </c>
      <c r="S42" s="177" t="s">
        <v>354</v>
      </c>
      <c r="T42" s="179">
        <v>44734</v>
      </c>
      <c r="U42" s="179">
        <v>44774</v>
      </c>
      <c r="V42" s="177" t="s">
        <v>355</v>
      </c>
      <c r="W42" s="177"/>
      <c r="X42" s="177"/>
      <c r="Z42" s="149" t="str">
        <f t="shared" ca="1" si="0"/>
        <v/>
      </c>
      <c r="AA42" s="149" t="str">
        <f ca="1">IFERROR(IF(OR(OFFSET('S4'!#REF!,MATCH($A42,'S4'!$D$5:$D$3387,0)-1,6)="巻返し",OFFSET('S4'!#REF!,MATCH($A42,'S4'!$D$5:$D$3387,0)-1,6)="スリット"),SUMIF('S4'!$D$5:$D$3387,$A42,'S4'!$U$5:$U$3387),""),"")</f>
        <v/>
      </c>
      <c r="AB42" s="149" t="str">
        <f ca="1">IFERROR(IF(OR(OFFSET('S5'!#REF!,MATCH($A42,'S5'!$D$5:$D$2917,0)-1,6)="巻返し",OFFSET('S5'!#REF!,MATCH($A42,'S5'!$D$5:$D$2917,0)-1,6)="スリット"),SUMIF('S5'!$D$5:$D$2917,$A42,'S5'!$T$5:$T$2917),""),"")</f>
        <v/>
      </c>
    </row>
    <row r="43" spans="1:28" s="144" customFormat="1" ht="11.25" x14ac:dyDescent="0.15">
      <c r="A43" s="177">
        <v>3667133</v>
      </c>
      <c r="B43" s="177" t="s">
        <v>351</v>
      </c>
      <c r="C43" s="177" t="s">
        <v>352</v>
      </c>
      <c r="D43" s="177" t="s">
        <v>353</v>
      </c>
      <c r="E43" s="177" t="s">
        <v>116</v>
      </c>
      <c r="F43" s="177">
        <v>3</v>
      </c>
      <c r="G43" s="177" t="s">
        <v>19</v>
      </c>
      <c r="H43" s="177" t="s">
        <v>20</v>
      </c>
      <c r="I43" s="177" t="s">
        <v>205</v>
      </c>
      <c r="J43" s="177"/>
      <c r="K43" s="177" t="s">
        <v>221</v>
      </c>
      <c r="L43" s="177">
        <v>25</v>
      </c>
      <c r="M43" s="177" t="s">
        <v>222</v>
      </c>
      <c r="N43" s="178">
        <v>1100</v>
      </c>
      <c r="O43" s="178">
        <v>1100</v>
      </c>
      <c r="P43" s="178">
        <v>6000</v>
      </c>
      <c r="Q43" s="177">
        <v>2</v>
      </c>
      <c r="R43" s="177">
        <v>12</v>
      </c>
      <c r="S43" s="177" t="s">
        <v>354</v>
      </c>
      <c r="T43" s="179">
        <v>44734</v>
      </c>
      <c r="U43" s="179">
        <v>44774</v>
      </c>
      <c r="V43" s="177" t="s">
        <v>355</v>
      </c>
      <c r="W43" s="177"/>
      <c r="X43" s="177"/>
      <c r="Z43" s="149" t="str">
        <f t="shared" ca="1" si="0"/>
        <v/>
      </c>
      <c r="AA43" s="149" t="str">
        <f ca="1">IFERROR(IF(OR(OFFSET('S4'!#REF!,MATCH($A43,'S4'!$D$5:$D$3387,0)-1,6)="巻返し",OFFSET('S4'!#REF!,MATCH($A43,'S4'!$D$5:$D$3387,0)-1,6)="スリット"),SUMIF('S4'!$D$5:$D$3387,$A43,'S4'!$U$5:$U$3387),""),"")</f>
        <v/>
      </c>
      <c r="AB43" s="149" t="str">
        <f ca="1">IFERROR(IF(OR(OFFSET('S5'!#REF!,MATCH($A43,'S5'!$D$5:$D$2917,0)-1,6)="巻返し",OFFSET('S5'!#REF!,MATCH($A43,'S5'!$D$5:$D$2917,0)-1,6)="スリット"),SUMIF('S5'!$D$5:$D$2917,$A43,'S5'!$T$5:$T$2917),""),"")</f>
        <v/>
      </c>
    </row>
    <row r="44" spans="1:28" s="144" customFormat="1" ht="11.25" x14ac:dyDescent="0.15">
      <c r="A44" s="177">
        <v>3667134</v>
      </c>
      <c r="B44" s="177" t="s">
        <v>351</v>
      </c>
      <c r="C44" s="177" t="s">
        <v>352</v>
      </c>
      <c r="D44" s="177" t="s">
        <v>353</v>
      </c>
      <c r="E44" s="177" t="s">
        <v>116</v>
      </c>
      <c r="F44" s="177">
        <v>3</v>
      </c>
      <c r="G44" s="177" t="s">
        <v>19</v>
      </c>
      <c r="H44" s="177" t="s">
        <v>20</v>
      </c>
      <c r="I44" s="177" t="s">
        <v>165</v>
      </c>
      <c r="J44" s="177"/>
      <c r="K44" s="177" t="s">
        <v>172</v>
      </c>
      <c r="L44" s="177">
        <v>50</v>
      </c>
      <c r="M44" s="177" t="s">
        <v>173</v>
      </c>
      <c r="N44" s="178">
        <v>1005</v>
      </c>
      <c r="O44" s="178">
        <v>1000</v>
      </c>
      <c r="P44" s="178">
        <v>2000</v>
      </c>
      <c r="Q44" s="177">
        <v>2</v>
      </c>
      <c r="R44" s="177">
        <v>4</v>
      </c>
      <c r="S44" s="177" t="s">
        <v>354</v>
      </c>
      <c r="T44" s="179">
        <v>44734</v>
      </c>
      <c r="U44" s="179">
        <v>44767</v>
      </c>
      <c r="V44" s="177" t="s">
        <v>355</v>
      </c>
      <c r="W44" s="177"/>
      <c r="X44" s="177"/>
      <c r="Z44" s="149" t="str">
        <f t="shared" ca="1" si="0"/>
        <v/>
      </c>
      <c r="AA44" s="149" t="str">
        <f ca="1">IFERROR(IF(OR(OFFSET('S4'!#REF!,MATCH($A44,'S4'!$D$5:$D$3387,0)-1,6)="巻返し",OFFSET('S4'!#REF!,MATCH($A44,'S4'!$D$5:$D$3387,0)-1,6)="スリット"),SUMIF('S4'!$D$5:$D$3387,$A44,'S4'!$U$5:$U$3387),""),"")</f>
        <v/>
      </c>
      <c r="AB44" s="149" t="str">
        <f ca="1">IFERROR(IF(OR(OFFSET('S5'!#REF!,MATCH($A44,'S5'!$D$5:$D$2917,0)-1,6)="巻返し",OFFSET('S5'!#REF!,MATCH($A44,'S5'!$D$5:$D$2917,0)-1,6)="スリット"),SUMIF('S5'!$D$5:$D$2917,$A44,'S5'!$T$5:$T$2917),""),"")</f>
        <v/>
      </c>
    </row>
    <row r="45" spans="1:28" s="144" customFormat="1" ht="11.25" x14ac:dyDescent="0.15">
      <c r="A45" s="177">
        <v>3667135</v>
      </c>
      <c r="B45" s="177" t="s">
        <v>351</v>
      </c>
      <c r="C45" s="177" t="s">
        <v>352</v>
      </c>
      <c r="D45" s="177" t="s">
        <v>353</v>
      </c>
      <c r="E45" s="177" t="s">
        <v>116</v>
      </c>
      <c r="F45" s="177">
        <v>3</v>
      </c>
      <c r="G45" s="177" t="s">
        <v>19</v>
      </c>
      <c r="H45" s="177" t="s">
        <v>20</v>
      </c>
      <c r="I45" s="177" t="s">
        <v>165</v>
      </c>
      <c r="J45" s="177"/>
      <c r="K45" s="177" t="s">
        <v>176</v>
      </c>
      <c r="L45" s="177">
        <v>25</v>
      </c>
      <c r="M45" s="177" t="s">
        <v>177</v>
      </c>
      <c r="N45" s="178">
        <v>1005</v>
      </c>
      <c r="O45" s="178">
        <v>1000</v>
      </c>
      <c r="P45" s="178">
        <v>2000</v>
      </c>
      <c r="Q45" s="177">
        <v>2</v>
      </c>
      <c r="R45" s="177">
        <v>8</v>
      </c>
      <c r="S45" s="177" t="s">
        <v>354</v>
      </c>
      <c r="T45" s="179">
        <v>44734</v>
      </c>
      <c r="U45" s="179">
        <v>44767</v>
      </c>
      <c r="V45" s="177" t="s">
        <v>355</v>
      </c>
      <c r="W45" s="177"/>
      <c r="X45" s="177"/>
      <c r="Z45" s="149" t="str">
        <f t="shared" ca="1" si="0"/>
        <v/>
      </c>
      <c r="AA45" s="149" t="str">
        <f ca="1">IFERROR(IF(OR(OFFSET('S4'!#REF!,MATCH($A45,'S4'!$D$5:$D$3387,0)-1,6)="巻返し",OFFSET('S4'!#REF!,MATCH($A45,'S4'!$D$5:$D$3387,0)-1,6)="スリット"),SUMIF('S4'!$D$5:$D$3387,$A45,'S4'!$U$5:$U$3387),""),"")</f>
        <v/>
      </c>
      <c r="AB45" s="149" t="str">
        <f ca="1">IFERROR(IF(OR(OFFSET('S5'!#REF!,MATCH($A45,'S5'!$D$5:$D$2917,0)-1,6)="巻返し",OFFSET('S5'!#REF!,MATCH($A45,'S5'!$D$5:$D$2917,0)-1,6)="スリット"),SUMIF('S5'!$D$5:$D$2917,$A45,'S5'!$T$5:$T$2917),""),"")</f>
        <v/>
      </c>
    </row>
    <row r="46" spans="1:28" s="144" customFormat="1" ht="11.25" x14ac:dyDescent="0.15">
      <c r="A46" s="177">
        <v>3667136</v>
      </c>
      <c r="B46" s="177" t="s">
        <v>351</v>
      </c>
      <c r="C46" s="177" t="s">
        <v>352</v>
      </c>
      <c r="D46" s="177" t="s">
        <v>353</v>
      </c>
      <c r="E46" s="177" t="s">
        <v>116</v>
      </c>
      <c r="F46" s="177">
        <v>3</v>
      </c>
      <c r="G46" s="177" t="s">
        <v>19</v>
      </c>
      <c r="H46" s="177" t="s">
        <v>20</v>
      </c>
      <c r="I46" s="177" t="s">
        <v>165</v>
      </c>
      <c r="J46" s="177"/>
      <c r="K46" s="177" t="s">
        <v>176</v>
      </c>
      <c r="L46" s="177">
        <v>50</v>
      </c>
      <c r="M46" s="177" t="s">
        <v>177</v>
      </c>
      <c r="N46" s="178">
        <v>1005</v>
      </c>
      <c r="O46" s="178">
        <v>1000</v>
      </c>
      <c r="P46" s="178">
        <v>4000</v>
      </c>
      <c r="Q46" s="177">
        <v>2</v>
      </c>
      <c r="R46" s="177">
        <v>2</v>
      </c>
      <c r="S46" s="177" t="s">
        <v>354</v>
      </c>
      <c r="T46" s="179">
        <v>44734</v>
      </c>
      <c r="U46" s="179">
        <v>44767</v>
      </c>
      <c r="V46" s="177" t="s">
        <v>355</v>
      </c>
      <c r="W46" s="177"/>
      <c r="X46" s="177"/>
      <c r="Z46" s="149" t="str">
        <f t="shared" ca="1" si="0"/>
        <v/>
      </c>
      <c r="AA46" s="149" t="str">
        <f ca="1">IFERROR(IF(OR(OFFSET('S4'!#REF!,MATCH($A46,'S4'!$D$5:$D$3387,0)-1,6)="巻返し",OFFSET('S4'!#REF!,MATCH($A46,'S4'!$D$5:$D$3387,0)-1,6)="スリット"),SUMIF('S4'!$D$5:$D$3387,$A46,'S4'!$U$5:$U$3387),""),"")</f>
        <v/>
      </c>
      <c r="AB46" s="149" t="str">
        <f ca="1">IFERROR(IF(OR(OFFSET('S5'!#REF!,MATCH($A46,'S5'!$D$5:$D$2917,0)-1,6)="巻返し",OFFSET('S5'!#REF!,MATCH($A46,'S5'!$D$5:$D$2917,0)-1,6)="スリット"),SUMIF('S5'!$D$5:$D$2917,$A46,'S5'!$T$5:$T$2917),""),"")</f>
        <v/>
      </c>
    </row>
    <row r="47" spans="1:28" s="144" customFormat="1" ht="11.25" x14ac:dyDescent="0.15">
      <c r="A47" s="177">
        <v>3667137</v>
      </c>
      <c r="B47" s="177" t="s">
        <v>351</v>
      </c>
      <c r="C47" s="177" t="s">
        <v>352</v>
      </c>
      <c r="D47" s="177" t="s">
        <v>353</v>
      </c>
      <c r="E47" s="177" t="s">
        <v>116</v>
      </c>
      <c r="F47" s="177">
        <v>3</v>
      </c>
      <c r="G47" s="177" t="s">
        <v>19</v>
      </c>
      <c r="H47" s="177" t="s">
        <v>20</v>
      </c>
      <c r="I47" s="177" t="s">
        <v>165</v>
      </c>
      <c r="J47" s="177"/>
      <c r="K47" s="177" t="s">
        <v>176</v>
      </c>
      <c r="L47" s="177">
        <v>50</v>
      </c>
      <c r="M47" s="177" t="s">
        <v>177</v>
      </c>
      <c r="N47" s="178">
        <v>1125</v>
      </c>
      <c r="O47" s="178">
        <v>1120</v>
      </c>
      <c r="P47" s="178">
        <v>4000</v>
      </c>
      <c r="Q47" s="177">
        <v>2</v>
      </c>
      <c r="R47" s="177">
        <v>9</v>
      </c>
      <c r="S47" s="177" t="s">
        <v>354</v>
      </c>
      <c r="T47" s="179">
        <v>44734</v>
      </c>
      <c r="U47" s="179">
        <v>44767</v>
      </c>
      <c r="V47" s="177" t="s">
        <v>355</v>
      </c>
      <c r="W47" s="177"/>
      <c r="X47" s="177"/>
      <c r="Z47" s="149" t="str">
        <f t="shared" ca="1" si="0"/>
        <v/>
      </c>
      <c r="AA47" s="149" t="str">
        <f ca="1">IFERROR(IF(OR(OFFSET('S4'!#REF!,MATCH($A47,'S4'!$D$5:$D$3387,0)-1,6)="巻返し",OFFSET('S4'!#REF!,MATCH($A47,'S4'!$D$5:$D$3387,0)-1,6)="スリット"),SUMIF('S4'!$D$5:$D$3387,$A47,'S4'!$U$5:$U$3387),""),"")</f>
        <v/>
      </c>
      <c r="AB47" s="149" t="str">
        <f ca="1">IFERROR(IF(OR(OFFSET('S5'!#REF!,MATCH($A47,'S5'!$D$5:$D$2917,0)-1,6)="巻返し",OFFSET('S5'!#REF!,MATCH($A47,'S5'!$D$5:$D$2917,0)-1,6)="スリット"),SUMIF('S5'!$D$5:$D$2917,$A47,'S5'!$T$5:$T$2917),""),"")</f>
        <v/>
      </c>
    </row>
    <row r="48" spans="1:28" s="144" customFormat="1" ht="11.25" x14ac:dyDescent="0.15">
      <c r="A48" s="177">
        <v>3667138</v>
      </c>
      <c r="B48" s="177" t="s">
        <v>351</v>
      </c>
      <c r="C48" s="177" t="s">
        <v>352</v>
      </c>
      <c r="D48" s="177" t="s">
        <v>353</v>
      </c>
      <c r="E48" s="177" t="s">
        <v>116</v>
      </c>
      <c r="F48" s="177">
        <v>3</v>
      </c>
      <c r="G48" s="177" t="s">
        <v>19</v>
      </c>
      <c r="H48" s="177" t="s">
        <v>20</v>
      </c>
      <c r="I48" s="177" t="s">
        <v>143</v>
      </c>
      <c r="J48" s="177"/>
      <c r="K48" s="177" t="s">
        <v>152</v>
      </c>
      <c r="L48" s="177">
        <v>38</v>
      </c>
      <c r="M48" s="177" t="s">
        <v>153</v>
      </c>
      <c r="N48" s="178">
        <v>1005</v>
      </c>
      <c r="O48" s="178">
        <v>1000</v>
      </c>
      <c r="P48" s="178">
        <v>4000</v>
      </c>
      <c r="Q48" s="177">
        <v>2</v>
      </c>
      <c r="R48" s="177">
        <v>4</v>
      </c>
      <c r="S48" s="177" t="s">
        <v>354</v>
      </c>
      <c r="T48" s="179">
        <v>44734</v>
      </c>
      <c r="U48" s="179">
        <v>44767</v>
      </c>
      <c r="V48" s="177" t="s">
        <v>355</v>
      </c>
      <c r="W48" s="177"/>
      <c r="X48" s="177"/>
      <c r="Z48" s="149" t="str">
        <f t="shared" ca="1" si="0"/>
        <v/>
      </c>
      <c r="AA48" s="149" t="str">
        <f ca="1">IFERROR(IF(OR(OFFSET('S4'!#REF!,MATCH($A48,'S4'!$D$5:$D$3387,0)-1,6)="巻返し",OFFSET('S4'!#REF!,MATCH($A48,'S4'!$D$5:$D$3387,0)-1,6)="スリット"),SUMIF('S4'!$D$5:$D$3387,$A48,'S4'!$U$5:$U$3387),""),"")</f>
        <v/>
      </c>
      <c r="AB48" s="149" t="str">
        <f ca="1">IFERROR(IF(OR(OFFSET('S5'!#REF!,MATCH($A48,'S5'!$D$5:$D$2917,0)-1,6)="巻返し",OFFSET('S5'!#REF!,MATCH($A48,'S5'!$D$5:$D$2917,0)-1,6)="スリット"),SUMIF('S5'!$D$5:$D$2917,$A48,'S5'!$T$5:$T$2917),""),"")</f>
        <v/>
      </c>
    </row>
    <row r="49" spans="1:28" s="144" customFormat="1" ht="11.25" x14ac:dyDescent="0.15">
      <c r="A49" s="177">
        <v>3667139</v>
      </c>
      <c r="B49" s="177" t="s">
        <v>351</v>
      </c>
      <c r="C49" s="177" t="s">
        <v>352</v>
      </c>
      <c r="D49" s="177" t="s">
        <v>353</v>
      </c>
      <c r="E49" s="177" t="s">
        <v>116</v>
      </c>
      <c r="F49" s="177">
        <v>3</v>
      </c>
      <c r="G49" s="177" t="s">
        <v>19</v>
      </c>
      <c r="H49" s="177" t="s">
        <v>28</v>
      </c>
      <c r="I49" s="177" t="s">
        <v>205</v>
      </c>
      <c r="J49" s="177"/>
      <c r="K49" s="177" t="s">
        <v>237</v>
      </c>
      <c r="L49" s="177">
        <v>25</v>
      </c>
      <c r="M49" s="177" t="s">
        <v>238</v>
      </c>
      <c r="N49" s="178">
        <v>1120</v>
      </c>
      <c r="O49" s="178">
        <v>1120</v>
      </c>
      <c r="P49" s="178">
        <v>8000</v>
      </c>
      <c r="Q49" s="177">
        <v>2</v>
      </c>
      <c r="R49" s="177">
        <v>2</v>
      </c>
      <c r="S49" s="177" t="s">
        <v>354</v>
      </c>
      <c r="T49" s="179">
        <v>44734</v>
      </c>
      <c r="U49" s="179">
        <v>44753</v>
      </c>
      <c r="V49" s="177" t="s">
        <v>355</v>
      </c>
      <c r="W49" s="177"/>
      <c r="X49" s="177"/>
      <c r="Z49" s="149" t="str">
        <f t="shared" ca="1" si="0"/>
        <v/>
      </c>
      <c r="AA49" s="149" t="str">
        <f ca="1">IFERROR(IF(OR(OFFSET('S4'!#REF!,MATCH($A49,'S4'!$D$5:$D$3387,0)-1,6)="巻返し",OFFSET('S4'!#REF!,MATCH($A49,'S4'!$D$5:$D$3387,0)-1,6)="スリット"),SUMIF('S4'!$D$5:$D$3387,$A49,'S4'!$U$5:$U$3387),""),"")</f>
        <v/>
      </c>
      <c r="AB49" s="149" t="str">
        <f ca="1">IFERROR(IF(OR(OFFSET('S5'!#REF!,MATCH($A49,'S5'!$D$5:$D$2917,0)-1,6)="巻返し",OFFSET('S5'!#REF!,MATCH($A49,'S5'!$D$5:$D$2917,0)-1,6)="スリット"),SUMIF('S5'!$D$5:$D$2917,$A49,'S5'!$T$5:$T$2917),""),"")</f>
        <v/>
      </c>
    </row>
    <row r="50" spans="1:28" s="144" customFormat="1" ht="11.25" x14ac:dyDescent="0.15">
      <c r="A50" s="177">
        <v>3667140</v>
      </c>
      <c r="B50" s="177" t="s">
        <v>351</v>
      </c>
      <c r="C50" s="177" t="s">
        <v>352</v>
      </c>
      <c r="D50" s="177" t="s">
        <v>353</v>
      </c>
      <c r="E50" s="177" t="s">
        <v>116</v>
      </c>
      <c r="F50" s="177">
        <v>3</v>
      </c>
      <c r="G50" s="177" t="s">
        <v>19</v>
      </c>
      <c r="H50" s="177" t="s">
        <v>28</v>
      </c>
      <c r="I50" s="177" t="s">
        <v>205</v>
      </c>
      <c r="J50" s="177"/>
      <c r="K50" s="177" t="s">
        <v>233</v>
      </c>
      <c r="L50" s="177">
        <v>50</v>
      </c>
      <c r="M50" s="177" t="s">
        <v>234</v>
      </c>
      <c r="N50" s="178">
        <v>1120</v>
      </c>
      <c r="O50" s="178">
        <v>1120</v>
      </c>
      <c r="P50" s="178">
        <v>4000</v>
      </c>
      <c r="Q50" s="177">
        <v>2</v>
      </c>
      <c r="R50" s="177">
        <v>9</v>
      </c>
      <c r="S50" s="177" t="s">
        <v>354</v>
      </c>
      <c r="T50" s="179">
        <v>44734</v>
      </c>
      <c r="U50" s="179">
        <v>44762</v>
      </c>
      <c r="V50" s="177" t="s">
        <v>355</v>
      </c>
      <c r="W50" s="177"/>
      <c r="X50" s="177"/>
      <c r="Z50" s="149" t="str">
        <f t="shared" ca="1" si="0"/>
        <v/>
      </c>
      <c r="AA50" s="149" t="str">
        <f ca="1">IFERROR(IF(OR(OFFSET('S4'!#REF!,MATCH($A50,'S4'!$D$5:$D$3387,0)-1,6)="巻返し",OFFSET('S4'!#REF!,MATCH($A50,'S4'!$D$5:$D$3387,0)-1,6)="スリット"),SUMIF('S4'!$D$5:$D$3387,$A50,'S4'!$U$5:$U$3387),""),"")</f>
        <v/>
      </c>
      <c r="AB50" s="149" t="str">
        <f ca="1">IFERROR(IF(OR(OFFSET('S5'!#REF!,MATCH($A50,'S5'!$D$5:$D$2917,0)-1,6)="巻返し",OFFSET('S5'!#REF!,MATCH($A50,'S5'!$D$5:$D$2917,0)-1,6)="スリット"),SUMIF('S5'!$D$5:$D$2917,$A50,'S5'!$T$5:$T$2917),""),"")</f>
        <v/>
      </c>
    </row>
    <row r="51" spans="1:28" s="144" customFormat="1" ht="11.25" x14ac:dyDescent="0.15">
      <c r="A51" s="177">
        <v>3667141</v>
      </c>
      <c r="B51" s="177" t="s">
        <v>351</v>
      </c>
      <c r="C51" s="177" t="s">
        <v>352</v>
      </c>
      <c r="D51" s="177" t="s">
        <v>353</v>
      </c>
      <c r="E51" s="177" t="s">
        <v>116</v>
      </c>
      <c r="F51" s="177">
        <v>3</v>
      </c>
      <c r="G51" s="177" t="s">
        <v>19</v>
      </c>
      <c r="H51" s="177" t="s">
        <v>28</v>
      </c>
      <c r="I51" s="177" t="s">
        <v>205</v>
      </c>
      <c r="J51" s="177"/>
      <c r="K51" s="177" t="s">
        <v>224</v>
      </c>
      <c r="L51" s="177">
        <v>25</v>
      </c>
      <c r="M51" s="177" t="s">
        <v>225</v>
      </c>
      <c r="N51" s="178">
        <v>1120</v>
      </c>
      <c r="O51" s="178">
        <v>1120</v>
      </c>
      <c r="P51" s="178">
        <v>8000</v>
      </c>
      <c r="Q51" s="177">
        <v>2</v>
      </c>
      <c r="R51" s="177">
        <v>1</v>
      </c>
      <c r="S51" s="177" t="s">
        <v>354</v>
      </c>
      <c r="T51" s="179">
        <v>44734</v>
      </c>
      <c r="U51" s="179">
        <v>44767</v>
      </c>
      <c r="V51" s="177" t="s">
        <v>355</v>
      </c>
      <c r="W51" s="177"/>
      <c r="X51" s="177"/>
      <c r="Z51" s="149" t="str">
        <f t="shared" ca="1" si="0"/>
        <v/>
      </c>
      <c r="AA51" s="149" t="str">
        <f ca="1">IFERROR(IF(OR(OFFSET('S4'!#REF!,MATCH($A51,'S4'!$D$5:$D$3387,0)-1,6)="巻返し",OFFSET('S4'!#REF!,MATCH($A51,'S4'!$D$5:$D$3387,0)-1,6)="スリット"),SUMIF('S4'!$D$5:$D$3387,$A51,'S4'!$U$5:$U$3387),""),"")</f>
        <v/>
      </c>
      <c r="AB51" s="149" t="str">
        <f ca="1">IFERROR(IF(OR(OFFSET('S5'!#REF!,MATCH($A51,'S5'!$D$5:$D$2917,0)-1,6)="巻返し",OFFSET('S5'!#REF!,MATCH($A51,'S5'!$D$5:$D$2917,0)-1,6)="スリット"),SUMIF('S5'!$D$5:$D$2917,$A51,'S5'!$T$5:$T$2917),""),"")</f>
        <v/>
      </c>
    </row>
    <row r="52" spans="1:28" s="144" customFormat="1" ht="11.25" x14ac:dyDescent="0.15">
      <c r="A52" s="177">
        <v>3667142</v>
      </c>
      <c r="B52" s="177" t="s">
        <v>351</v>
      </c>
      <c r="C52" s="177" t="s">
        <v>352</v>
      </c>
      <c r="D52" s="177" t="s">
        <v>353</v>
      </c>
      <c r="E52" s="177" t="s">
        <v>116</v>
      </c>
      <c r="F52" s="177">
        <v>3</v>
      </c>
      <c r="G52" s="177" t="s">
        <v>19</v>
      </c>
      <c r="H52" s="177" t="s">
        <v>28</v>
      </c>
      <c r="I52" s="177" t="s">
        <v>205</v>
      </c>
      <c r="J52" s="177"/>
      <c r="K52" s="177" t="s">
        <v>233</v>
      </c>
      <c r="L52" s="177">
        <v>50</v>
      </c>
      <c r="M52" s="177" t="s">
        <v>234</v>
      </c>
      <c r="N52" s="178">
        <v>1120</v>
      </c>
      <c r="O52" s="178">
        <v>1120</v>
      </c>
      <c r="P52" s="178">
        <v>4000</v>
      </c>
      <c r="Q52" s="177">
        <v>2</v>
      </c>
      <c r="R52" s="177">
        <v>6</v>
      </c>
      <c r="S52" s="177" t="s">
        <v>354</v>
      </c>
      <c r="T52" s="179">
        <v>44734</v>
      </c>
      <c r="U52" s="179">
        <v>44762</v>
      </c>
      <c r="V52" s="177" t="s">
        <v>355</v>
      </c>
      <c r="W52" s="177"/>
      <c r="X52" s="177"/>
      <c r="Z52" s="149" t="str">
        <f t="shared" ca="1" si="0"/>
        <v/>
      </c>
      <c r="AA52" s="149" t="str">
        <f ca="1">IFERROR(IF(OR(OFFSET('S4'!#REF!,MATCH($A52,'S4'!$D$5:$D$3387,0)-1,6)="巻返し",OFFSET('S4'!#REF!,MATCH($A52,'S4'!$D$5:$D$3387,0)-1,6)="スリット"),SUMIF('S4'!$D$5:$D$3387,$A52,'S4'!$U$5:$U$3387),""),"")</f>
        <v/>
      </c>
      <c r="AB52" s="149" t="str">
        <f ca="1">IFERROR(IF(OR(OFFSET('S5'!#REF!,MATCH($A52,'S5'!$D$5:$D$2917,0)-1,6)="巻返し",OFFSET('S5'!#REF!,MATCH($A52,'S5'!$D$5:$D$2917,0)-1,6)="スリット"),SUMIF('S5'!$D$5:$D$2917,$A52,'S5'!$T$5:$T$2917),""),"")</f>
        <v/>
      </c>
    </row>
    <row r="53" spans="1:28" s="144" customFormat="1" ht="11.25" x14ac:dyDescent="0.15">
      <c r="A53" s="177">
        <v>3667714</v>
      </c>
      <c r="B53" s="177" t="s">
        <v>423</v>
      </c>
      <c r="C53" s="177" t="s">
        <v>364</v>
      </c>
      <c r="D53" s="177" t="s">
        <v>353</v>
      </c>
      <c r="E53" s="177" t="s">
        <v>316</v>
      </c>
      <c r="F53" s="177">
        <v>3</v>
      </c>
      <c r="G53" s="177" t="s">
        <v>265</v>
      </c>
      <c r="H53" s="177" t="s">
        <v>20</v>
      </c>
      <c r="I53" s="177" t="s">
        <v>312</v>
      </c>
      <c r="J53" s="177"/>
      <c r="K53" s="177" t="s">
        <v>317</v>
      </c>
      <c r="L53" s="177">
        <v>50</v>
      </c>
      <c r="M53" s="177" t="s">
        <v>318</v>
      </c>
      <c r="N53" s="178">
        <v>680</v>
      </c>
      <c r="O53" s="178">
        <v>680</v>
      </c>
      <c r="P53" s="178">
        <v>2000</v>
      </c>
      <c r="Q53" s="177">
        <v>2</v>
      </c>
      <c r="R53" s="177">
        <v>8</v>
      </c>
      <c r="S53" s="177" t="s">
        <v>354</v>
      </c>
      <c r="T53" s="179">
        <v>44735</v>
      </c>
      <c r="U53" s="179">
        <v>44757</v>
      </c>
      <c r="V53" s="177" t="s">
        <v>355</v>
      </c>
      <c r="W53" s="177"/>
      <c r="X53" s="177"/>
      <c r="Z53" s="149" t="str">
        <f t="shared" ca="1" si="0"/>
        <v/>
      </c>
      <c r="AA53" s="149" t="str">
        <f ca="1">IFERROR(IF(OR(OFFSET('S4'!#REF!,MATCH($A53,'S4'!$D$5:$D$3387,0)-1,6)="巻返し",OFFSET('S4'!#REF!,MATCH($A53,'S4'!$D$5:$D$3387,0)-1,6)="スリット"),SUMIF('S4'!$D$5:$D$3387,$A53,'S4'!$U$5:$U$3387),""),"")</f>
        <v/>
      </c>
      <c r="AB53" s="149" t="str">
        <f ca="1">IFERROR(IF(OR(OFFSET('S5'!#REF!,MATCH($A53,'S5'!$D$5:$D$2917,0)-1,6)="巻返し",OFFSET('S5'!#REF!,MATCH($A53,'S5'!$D$5:$D$2917,0)-1,6)="スリット"),SUMIF('S5'!$D$5:$D$2917,$A53,'S5'!$T$5:$T$2917),""),"")</f>
        <v/>
      </c>
    </row>
    <row r="54" spans="1:28" s="144" customFormat="1" ht="11.25" x14ac:dyDescent="0.15">
      <c r="A54" s="177">
        <v>3667721</v>
      </c>
      <c r="B54" s="177" t="s">
        <v>510</v>
      </c>
      <c r="C54" s="177" t="s">
        <v>364</v>
      </c>
      <c r="D54" s="177" t="s">
        <v>353</v>
      </c>
      <c r="E54" s="177" t="s">
        <v>324</v>
      </c>
      <c r="F54" s="177">
        <v>3</v>
      </c>
      <c r="G54" s="177" t="s">
        <v>269</v>
      </c>
      <c r="H54" s="177" t="s">
        <v>20</v>
      </c>
      <c r="I54" s="177" t="s">
        <v>205</v>
      </c>
      <c r="J54" s="177"/>
      <c r="K54" s="177" t="s">
        <v>325</v>
      </c>
      <c r="L54" s="177">
        <v>9</v>
      </c>
      <c r="M54" s="177" t="s">
        <v>326</v>
      </c>
      <c r="N54" s="178">
        <v>1200</v>
      </c>
      <c r="O54" s="178">
        <v>1200</v>
      </c>
      <c r="P54" s="178">
        <v>2000</v>
      </c>
      <c r="Q54" s="177">
        <v>2</v>
      </c>
      <c r="R54" s="177">
        <v>10</v>
      </c>
      <c r="S54" s="177" t="s">
        <v>354</v>
      </c>
      <c r="T54" s="179">
        <v>44735</v>
      </c>
      <c r="U54" s="179">
        <v>44773</v>
      </c>
      <c r="V54" s="177" t="s">
        <v>428</v>
      </c>
      <c r="W54" s="177"/>
      <c r="X54" s="177"/>
      <c r="Z54" s="149" t="str">
        <f t="shared" ca="1" si="0"/>
        <v/>
      </c>
      <c r="AA54" s="149" t="str">
        <f ca="1">IFERROR(IF(OR(OFFSET('S4'!#REF!,MATCH($A54,'S4'!$D$5:$D$3387,0)-1,6)="巻返し",OFFSET('S4'!#REF!,MATCH($A54,'S4'!$D$5:$D$3387,0)-1,6)="スリット"),SUMIF('S4'!$D$5:$D$3387,$A54,'S4'!$U$5:$U$3387),""),"")</f>
        <v/>
      </c>
      <c r="AB54" s="149" t="str">
        <f ca="1">IFERROR(IF(OR(OFFSET('S5'!#REF!,MATCH($A54,'S5'!$D$5:$D$2917,0)-1,6)="巻返し",OFFSET('S5'!#REF!,MATCH($A54,'S5'!$D$5:$D$2917,0)-1,6)="スリット"),SUMIF('S5'!$D$5:$D$2917,$A54,'S5'!$T$5:$T$2917),""),"")</f>
        <v/>
      </c>
    </row>
    <row r="55" spans="1:28" s="144" customFormat="1" ht="11.25" x14ac:dyDescent="0.15">
      <c r="A55" s="177">
        <v>3669159</v>
      </c>
      <c r="B55" s="177" t="s">
        <v>423</v>
      </c>
      <c r="C55" s="177" t="s">
        <v>356</v>
      </c>
      <c r="D55" s="177" t="s">
        <v>353</v>
      </c>
      <c r="E55" s="177" t="s">
        <v>530</v>
      </c>
      <c r="F55" s="177">
        <v>3</v>
      </c>
      <c r="G55" s="177" t="s">
        <v>265</v>
      </c>
      <c r="H55" s="177" t="s">
        <v>20</v>
      </c>
      <c r="I55" s="177" t="s">
        <v>205</v>
      </c>
      <c r="J55" s="177"/>
      <c r="K55" s="177" t="s">
        <v>522</v>
      </c>
      <c r="L55" s="177">
        <v>12</v>
      </c>
      <c r="M55" s="177" t="s">
        <v>523</v>
      </c>
      <c r="N55" s="178">
        <v>600</v>
      </c>
      <c r="O55" s="178">
        <v>600</v>
      </c>
      <c r="P55" s="178">
        <v>3000</v>
      </c>
      <c r="Q55" s="177">
        <v>1</v>
      </c>
      <c r="R55" s="177">
        <v>8</v>
      </c>
      <c r="S55" s="177" t="s">
        <v>354</v>
      </c>
      <c r="T55" s="179">
        <v>44747</v>
      </c>
      <c r="U55" s="179">
        <v>44773</v>
      </c>
      <c r="V55" s="177" t="s">
        <v>355</v>
      </c>
      <c r="W55" s="177"/>
      <c r="X55" s="177"/>
      <c r="Z55" s="149" t="str">
        <f t="shared" ca="1" si="0"/>
        <v/>
      </c>
      <c r="AA55" s="149" t="str">
        <f ca="1">IFERROR(IF(OR(OFFSET('S4'!#REF!,MATCH($A55,'S4'!$D$5:$D$3387,0)-1,6)="巻返し",OFFSET('S4'!#REF!,MATCH($A55,'S4'!$D$5:$D$3387,0)-1,6)="スリット"),SUMIF('S4'!$D$5:$D$3387,$A55,'S4'!$U$5:$U$3387),""),"")</f>
        <v/>
      </c>
      <c r="AB55" s="149" t="str">
        <f ca="1">IFERROR(IF(OR(OFFSET('S5'!#REF!,MATCH($A55,'S5'!$D$5:$D$2917,0)-1,6)="巻返し",OFFSET('S5'!#REF!,MATCH($A55,'S5'!$D$5:$D$2917,0)-1,6)="スリット"),SUMIF('S5'!$D$5:$D$2917,$A55,'S5'!$T$5:$T$2917),""),"")</f>
        <v/>
      </c>
    </row>
    <row r="56" spans="1:28" s="144" customFormat="1" ht="11.25" x14ac:dyDescent="0.15">
      <c r="A56" s="177">
        <v>3671808</v>
      </c>
      <c r="B56" s="177" t="s">
        <v>351</v>
      </c>
      <c r="C56" s="177" t="s">
        <v>358</v>
      </c>
      <c r="D56" s="177" t="s">
        <v>353</v>
      </c>
      <c r="E56" s="177" t="s">
        <v>61</v>
      </c>
      <c r="F56" s="177">
        <v>3</v>
      </c>
      <c r="G56" s="177" t="s">
        <v>19</v>
      </c>
      <c r="H56" s="177" t="s">
        <v>20</v>
      </c>
      <c r="I56" s="177" t="s">
        <v>205</v>
      </c>
      <c r="J56" s="177"/>
      <c r="K56" s="177" t="s">
        <v>242</v>
      </c>
      <c r="L56" s="177">
        <v>50</v>
      </c>
      <c r="M56" s="177" t="s">
        <v>243</v>
      </c>
      <c r="N56" s="178">
        <v>1255</v>
      </c>
      <c r="O56" s="178">
        <v>1250</v>
      </c>
      <c r="P56" s="178">
        <v>2000</v>
      </c>
      <c r="Q56" s="177">
        <v>2</v>
      </c>
      <c r="R56" s="177">
        <v>6</v>
      </c>
      <c r="S56" s="177" t="s">
        <v>354</v>
      </c>
      <c r="T56" s="179">
        <v>44763</v>
      </c>
      <c r="U56" s="179">
        <v>44795</v>
      </c>
      <c r="V56" s="177" t="s">
        <v>355</v>
      </c>
      <c r="W56" s="177"/>
      <c r="X56" s="177"/>
      <c r="Z56" s="149" t="str">
        <f t="shared" ca="1" si="0"/>
        <v/>
      </c>
      <c r="AA56" s="149" t="str">
        <f ca="1">IFERROR(IF(OR(OFFSET('S4'!#REF!,MATCH($A56,'S4'!$D$5:$D$3387,0)-1,6)="巻返し",OFFSET('S4'!#REF!,MATCH($A56,'S4'!$D$5:$D$3387,0)-1,6)="スリット"),SUMIF('S4'!$D$5:$D$3387,$A56,'S4'!$U$5:$U$3387),""),"")</f>
        <v/>
      </c>
      <c r="AB56" s="149" t="str">
        <f ca="1">IFERROR(IF(OR(OFFSET('S5'!#REF!,MATCH($A56,'S5'!$D$5:$D$2917,0)-1,6)="巻返し",OFFSET('S5'!#REF!,MATCH($A56,'S5'!$D$5:$D$2917,0)-1,6)="スリット"),SUMIF('S5'!$D$5:$D$2917,$A56,'S5'!$T$5:$T$2917),""),"")</f>
        <v/>
      </c>
    </row>
    <row r="57" spans="1:28" s="144" customFormat="1" ht="11.25" x14ac:dyDescent="0.15">
      <c r="A57" s="177">
        <v>3671810</v>
      </c>
      <c r="B57" s="177" t="s">
        <v>351</v>
      </c>
      <c r="C57" s="177" t="s">
        <v>364</v>
      </c>
      <c r="D57" s="177" t="s">
        <v>353</v>
      </c>
      <c r="E57" s="177" t="s">
        <v>171</v>
      </c>
      <c r="F57" s="177" t="s">
        <v>96</v>
      </c>
      <c r="G57" s="177" t="s">
        <v>19</v>
      </c>
      <c r="H57" s="177" t="s">
        <v>20</v>
      </c>
      <c r="I57" s="177" t="s">
        <v>165</v>
      </c>
      <c r="J57" s="177"/>
      <c r="K57" s="177" t="s">
        <v>169</v>
      </c>
      <c r="L57" s="177">
        <v>50</v>
      </c>
      <c r="M57" s="177" t="s">
        <v>170</v>
      </c>
      <c r="N57" s="178">
        <v>1190</v>
      </c>
      <c r="O57" s="178">
        <v>1190</v>
      </c>
      <c r="P57" s="178">
        <v>6000</v>
      </c>
      <c r="Q57" s="177">
        <v>2</v>
      </c>
      <c r="R57" s="177">
        <v>2</v>
      </c>
      <c r="S57" s="177" t="s">
        <v>354</v>
      </c>
      <c r="T57" s="179">
        <v>44763</v>
      </c>
      <c r="U57" s="179">
        <v>44795</v>
      </c>
      <c r="V57" s="177" t="s">
        <v>355</v>
      </c>
      <c r="W57" s="177"/>
      <c r="X57" s="177"/>
      <c r="Z57" s="149" t="str">
        <f t="shared" ca="1" si="0"/>
        <v/>
      </c>
      <c r="AA57" s="149" t="str">
        <f ca="1">IFERROR(IF(OR(OFFSET('S4'!#REF!,MATCH($A57,'S4'!$D$5:$D$3387,0)-1,6)="巻返し",OFFSET('S4'!#REF!,MATCH($A57,'S4'!$D$5:$D$3387,0)-1,6)="スリット"),SUMIF('S4'!$D$5:$D$3387,$A57,'S4'!$U$5:$U$3387),""),"")</f>
        <v/>
      </c>
      <c r="AB57" s="149" t="str">
        <f ca="1">IFERROR(IF(OR(OFFSET('S5'!#REF!,MATCH($A57,'S5'!$D$5:$D$2917,0)-1,6)="巻返し",OFFSET('S5'!#REF!,MATCH($A57,'S5'!$D$5:$D$2917,0)-1,6)="スリット"),SUMIF('S5'!$D$5:$D$2917,$A57,'S5'!$T$5:$T$2917),""),"")</f>
        <v/>
      </c>
    </row>
    <row r="58" spans="1:28" s="144" customFormat="1" ht="11.25" x14ac:dyDescent="0.15">
      <c r="A58" s="177">
        <v>3671811</v>
      </c>
      <c r="B58" s="177" t="s">
        <v>351</v>
      </c>
      <c r="C58" s="177" t="s">
        <v>364</v>
      </c>
      <c r="D58" s="177" t="s">
        <v>353</v>
      </c>
      <c r="E58" s="177" t="s">
        <v>171</v>
      </c>
      <c r="F58" s="177">
        <v>3</v>
      </c>
      <c r="G58" s="177" t="s">
        <v>19</v>
      </c>
      <c r="H58" s="177" t="s">
        <v>20</v>
      </c>
      <c r="I58" s="177" t="s">
        <v>165</v>
      </c>
      <c r="J58" s="177"/>
      <c r="K58" s="177" t="s">
        <v>180</v>
      </c>
      <c r="L58" s="177">
        <v>50</v>
      </c>
      <c r="M58" s="177" t="s">
        <v>181</v>
      </c>
      <c r="N58" s="178">
        <v>1200</v>
      </c>
      <c r="O58" s="178">
        <v>1190</v>
      </c>
      <c r="P58" s="178">
        <v>6000</v>
      </c>
      <c r="Q58" s="177">
        <v>2</v>
      </c>
      <c r="R58" s="177">
        <v>10</v>
      </c>
      <c r="S58" s="177" t="s">
        <v>354</v>
      </c>
      <c r="T58" s="179">
        <v>44763</v>
      </c>
      <c r="U58" s="179">
        <v>44795</v>
      </c>
      <c r="V58" s="177" t="s">
        <v>355</v>
      </c>
      <c r="W58" s="177"/>
      <c r="X58" s="177"/>
      <c r="Z58" s="149" t="str">
        <f t="shared" ca="1" si="0"/>
        <v/>
      </c>
      <c r="AA58" s="149" t="str">
        <f ca="1">IFERROR(IF(OR(OFFSET('S4'!#REF!,MATCH($A58,'S4'!$D$5:$D$3387,0)-1,6)="巻返し",OFFSET('S4'!#REF!,MATCH($A58,'S4'!$D$5:$D$3387,0)-1,6)="スリット"),SUMIF('S4'!$D$5:$D$3387,$A58,'S4'!$U$5:$U$3387),""),"")</f>
        <v/>
      </c>
      <c r="AB58" s="149" t="str">
        <f ca="1">IFERROR(IF(OR(OFFSET('S5'!#REF!,MATCH($A58,'S5'!$D$5:$D$2917,0)-1,6)="巻返し",OFFSET('S5'!#REF!,MATCH($A58,'S5'!$D$5:$D$2917,0)-1,6)="スリット"),SUMIF('S5'!$D$5:$D$2917,$A58,'S5'!$T$5:$T$2917),""),"")</f>
        <v/>
      </c>
    </row>
    <row r="59" spans="1:28" s="144" customFormat="1" ht="11.25" x14ac:dyDescent="0.15">
      <c r="A59" s="177">
        <v>3671813</v>
      </c>
      <c r="B59" s="177" t="s">
        <v>351</v>
      </c>
      <c r="C59" s="177" t="s">
        <v>364</v>
      </c>
      <c r="D59" s="177" t="s">
        <v>353</v>
      </c>
      <c r="E59" s="177" t="s">
        <v>183</v>
      </c>
      <c r="F59" s="177">
        <v>3</v>
      </c>
      <c r="G59" s="177" t="s">
        <v>19</v>
      </c>
      <c r="H59" s="177" t="s">
        <v>20</v>
      </c>
      <c r="I59" s="177" t="s">
        <v>165</v>
      </c>
      <c r="J59" s="177"/>
      <c r="K59" s="177" t="s">
        <v>180</v>
      </c>
      <c r="L59" s="177">
        <v>100</v>
      </c>
      <c r="M59" s="177" t="s">
        <v>181</v>
      </c>
      <c r="N59" s="178">
        <v>1205</v>
      </c>
      <c r="O59" s="178">
        <v>1205</v>
      </c>
      <c r="P59" s="178">
        <v>2500</v>
      </c>
      <c r="Q59" s="177">
        <v>2</v>
      </c>
      <c r="R59" s="177">
        <v>4</v>
      </c>
      <c r="S59" s="177" t="s">
        <v>354</v>
      </c>
      <c r="T59" s="179">
        <v>44763</v>
      </c>
      <c r="U59" s="179">
        <v>44795</v>
      </c>
      <c r="V59" s="177" t="s">
        <v>355</v>
      </c>
      <c r="W59" s="177"/>
      <c r="X59" s="177"/>
      <c r="Z59" s="149" t="str">
        <f t="shared" ca="1" si="0"/>
        <v/>
      </c>
      <c r="AA59" s="149" t="str">
        <f ca="1">IFERROR(IF(OR(OFFSET('S4'!#REF!,MATCH($A59,'S4'!$D$5:$D$3387,0)-1,6)="巻返し",OFFSET('S4'!#REF!,MATCH($A59,'S4'!$D$5:$D$3387,0)-1,6)="スリット"),SUMIF('S4'!$D$5:$D$3387,$A59,'S4'!$U$5:$U$3387),""),"")</f>
        <v/>
      </c>
      <c r="AB59" s="149" t="str">
        <f ca="1">IFERROR(IF(OR(OFFSET('S5'!#REF!,MATCH($A59,'S5'!$D$5:$D$2917,0)-1,6)="巻返し",OFFSET('S5'!#REF!,MATCH($A59,'S5'!$D$5:$D$2917,0)-1,6)="スリット"),SUMIF('S5'!$D$5:$D$2917,$A59,'S5'!$T$5:$T$2917),""),"")</f>
        <v/>
      </c>
    </row>
    <row r="60" spans="1:28" s="144" customFormat="1" ht="11.25" x14ac:dyDescent="0.15">
      <c r="A60" s="177">
        <v>3671814</v>
      </c>
      <c r="B60" s="177" t="s">
        <v>351</v>
      </c>
      <c r="C60" s="177" t="s">
        <v>364</v>
      </c>
      <c r="D60" s="177" t="s">
        <v>353</v>
      </c>
      <c r="E60" s="177" t="s">
        <v>148</v>
      </c>
      <c r="F60" s="177">
        <v>3</v>
      </c>
      <c r="G60" s="177" t="s">
        <v>19</v>
      </c>
      <c r="H60" s="177" t="s">
        <v>20</v>
      </c>
      <c r="I60" s="177" t="s">
        <v>143</v>
      </c>
      <c r="J60" s="177"/>
      <c r="K60" s="177" t="s">
        <v>149</v>
      </c>
      <c r="L60" s="177">
        <v>50</v>
      </c>
      <c r="M60" s="177" t="s">
        <v>150</v>
      </c>
      <c r="N60" s="178">
        <v>1120</v>
      </c>
      <c r="O60" s="178">
        <v>1120</v>
      </c>
      <c r="P60" s="178">
        <v>6000</v>
      </c>
      <c r="Q60" s="177">
        <v>2</v>
      </c>
      <c r="R60" s="177">
        <v>6</v>
      </c>
      <c r="S60" s="177" t="s">
        <v>354</v>
      </c>
      <c r="T60" s="179">
        <v>44763</v>
      </c>
      <c r="U60" s="179">
        <v>44795</v>
      </c>
      <c r="V60" s="177" t="s">
        <v>355</v>
      </c>
      <c r="W60" s="177"/>
      <c r="X60" s="177"/>
      <c r="Z60" s="149" t="str">
        <f t="shared" ca="1" si="0"/>
        <v/>
      </c>
      <c r="AA60" s="149" t="str">
        <f ca="1">IFERROR(IF(OR(OFFSET('S4'!#REF!,MATCH($A60,'S4'!$D$5:$D$3387,0)-1,6)="巻返し",OFFSET('S4'!#REF!,MATCH($A60,'S4'!$D$5:$D$3387,0)-1,6)="スリット"),SUMIF('S4'!$D$5:$D$3387,$A60,'S4'!$U$5:$U$3387),""),"")</f>
        <v/>
      </c>
      <c r="AB60" s="149" t="str">
        <f ca="1">IFERROR(IF(OR(OFFSET('S5'!#REF!,MATCH($A60,'S5'!$D$5:$D$2917,0)-1,6)="巻返し",OFFSET('S5'!#REF!,MATCH($A60,'S5'!$D$5:$D$2917,0)-1,6)="スリット"),SUMIF('S5'!$D$5:$D$2917,$A60,'S5'!$T$5:$T$2917),""),"")</f>
        <v/>
      </c>
    </row>
    <row r="61" spans="1:28" s="144" customFormat="1" ht="11.25" x14ac:dyDescent="0.15">
      <c r="A61" s="177">
        <v>3671815</v>
      </c>
      <c r="B61" s="177" t="s">
        <v>351</v>
      </c>
      <c r="C61" s="177" t="s">
        <v>364</v>
      </c>
      <c r="D61" s="177" t="s">
        <v>353</v>
      </c>
      <c r="E61" s="177" t="s">
        <v>148</v>
      </c>
      <c r="F61" s="177">
        <v>3</v>
      </c>
      <c r="G61" s="177" t="s">
        <v>19</v>
      </c>
      <c r="H61" s="177" t="s">
        <v>20</v>
      </c>
      <c r="I61" s="177" t="s">
        <v>165</v>
      </c>
      <c r="J61" s="177"/>
      <c r="K61" s="177" t="s">
        <v>169</v>
      </c>
      <c r="L61" s="177">
        <v>50</v>
      </c>
      <c r="M61" s="177" t="s">
        <v>170</v>
      </c>
      <c r="N61" s="178">
        <v>1120</v>
      </c>
      <c r="O61" s="178">
        <v>1120</v>
      </c>
      <c r="P61" s="178">
        <v>6000</v>
      </c>
      <c r="Q61" s="177">
        <v>2</v>
      </c>
      <c r="R61" s="177">
        <v>2</v>
      </c>
      <c r="S61" s="177" t="s">
        <v>354</v>
      </c>
      <c r="T61" s="179">
        <v>44763</v>
      </c>
      <c r="U61" s="179">
        <v>44795</v>
      </c>
      <c r="V61" s="177" t="s">
        <v>355</v>
      </c>
      <c r="W61" s="177"/>
      <c r="X61" s="177"/>
      <c r="Z61" s="149" t="str">
        <f t="shared" ca="1" si="0"/>
        <v/>
      </c>
      <c r="AA61" s="149" t="str">
        <f ca="1">IFERROR(IF(OR(OFFSET('S4'!#REF!,MATCH($A61,'S4'!$D$5:$D$3387,0)-1,6)="巻返し",OFFSET('S4'!#REF!,MATCH($A61,'S4'!$D$5:$D$3387,0)-1,6)="スリット"),SUMIF('S4'!$D$5:$D$3387,$A61,'S4'!$U$5:$U$3387),""),"")</f>
        <v/>
      </c>
      <c r="AB61" s="149" t="str">
        <f ca="1">IFERROR(IF(OR(OFFSET('S5'!#REF!,MATCH($A61,'S5'!$D$5:$D$2917,0)-1,6)="巻返し",OFFSET('S5'!#REF!,MATCH($A61,'S5'!$D$5:$D$2917,0)-1,6)="スリット"),SUMIF('S5'!$D$5:$D$2917,$A61,'S5'!$T$5:$T$2917),""),"")</f>
        <v/>
      </c>
    </row>
    <row r="62" spans="1:28" s="144" customFormat="1" ht="11.25" x14ac:dyDescent="0.15">
      <c r="A62" s="177">
        <v>3671816</v>
      </c>
      <c r="B62" s="177" t="s">
        <v>351</v>
      </c>
      <c r="C62" s="177" t="s">
        <v>364</v>
      </c>
      <c r="D62" s="177" t="s">
        <v>353</v>
      </c>
      <c r="E62" s="177" t="s">
        <v>148</v>
      </c>
      <c r="F62" s="177">
        <v>3</v>
      </c>
      <c r="G62" s="177" t="s">
        <v>19</v>
      </c>
      <c r="H62" s="177" t="s">
        <v>20</v>
      </c>
      <c r="I62" s="177" t="s">
        <v>165</v>
      </c>
      <c r="J62" s="177"/>
      <c r="K62" s="177" t="s">
        <v>180</v>
      </c>
      <c r="L62" s="177">
        <v>25</v>
      </c>
      <c r="M62" s="177" t="s">
        <v>181</v>
      </c>
      <c r="N62" s="178">
        <v>1120</v>
      </c>
      <c r="O62" s="178">
        <v>1120</v>
      </c>
      <c r="P62" s="178">
        <v>4000</v>
      </c>
      <c r="Q62" s="177">
        <v>2</v>
      </c>
      <c r="R62" s="177">
        <v>4</v>
      </c>
      <c r="S62" s="177" t="s">
        <v>354</v>
      </c>
      <c r="T62" s="179">
        <v>44763</v>
      </c>
      <c r="U62" s="179">
        <v>44795</v>
      </c>
      <c r="V62" s="177" t="s">
        <v>355</v>
      </c>
      <c r="W62" s="177"/>
      <c r="X62" s="177"/>
      <c r="Z62" s="149" t="str">
        <f t="shared" ca="1" si="0"/>
        <v/>
      </c>
      <c r="AA62" s="149" t="str">
        <f ca="1">IFERROR(IF(OR(OFFSET('S4'!#REF!,MATCH($A62,'S4'!$D$5:$D$3387,0)-1,6)="巻返し",OFFSET('S4'!#REF!,MATCH($A62,'S4'!$D$5:$D$3387,0)-1,6)="スリット"),SUMIF('S4'!$D$5:$D$3387,$A62,'S4'!$U$5:$U$3387),""),"")</f>
        <v/>
      </c>
      <c r="AB62" s="149" t="str">
        <f ca="1">IFERROR(IF(OR(OFFSET('S5'!#REF!,MATCH($A62,'S5'!$D$5:$D$2917,0)-1,6)="巻返し",OFFSET('S5'!#REF!,MATCH($A62,'S5'!$D$5:$D$2917,0)-1,6)="スリット"),SUMIF('S5'!$D$5:$D$2917,$A62,'S5'!$T$5:$T$2917),""),"")</f>
        <v/>
      </c>
    </row>
    <row r="63" spans="1:28" s="144" customFormat="1" ht="11.25" x14ac:dyDescent="0.15">
      <c r="A63" s="177">
        <v>3671817</v>
      </c>
      <c r="B63" s="177" t="s">
        <v>351</v>
      </c>
      <c r="C63" s="177" t="s">
        <v>364</v>
      </c>
      <c r="D63" s="177" t="s">
        <v>353</v>
      </c>
      <c r="E63" s="177" t="s">
        <v>148</v>
      </c>
      <c r="F63" s="177">
        <v>3</v>
      </c>
      <c r="G63" s="177" t="s">
        <v>19</v>
      </c>
      <c r="H63" s="177" t="s">
        <v>20</v>
      </c>
      <c r="I63" s="177" t="s">
        <v>165</v>
      </c>
      <c r="J63" s="177"/>
      <c r="K63" s="177" t="s">
        <v>180</v>
      </c>
      <c r="L63" s="177">
        <v>50</v>
      </c>
      <c r="M63" s="177" t="s">
        <v>181</v>
      </c>
      <c r="N63" s="178">
        <v>1120</v>
      </c>
      <c r="O63" s="178">
        <v>1120</v>
      </c>
      <c r="P63" s="178">
        <v>4000</v>
      </c>
      <c r="Q63" s="177">
        <v>2</v>
      </c>
      <c r="R63" s="177">
        <v>6</v>
      </c>
      <c r="S63" s="177" t="s">
        <v>354</v>
      </c>
      <c r="T63" s="179">
        <v>44763</v>
      </c>
      <c r="U63" s="179">
        <v>44795</v>
      </c>
      <c r="V63" s="177" t="s">
        <v>355</v>
      </c>
      <c r="W63" s="177"/>
      <c r="X63" s="177"/>
      <c r="Z63" s="149" t="str">
        <f t="shared" ca="1" si="0"/>
        <v/>
      </c>
      <c r="AA63" s="149" t="str">
        <f ca="1">IFERROR(IF(OR(OFFSET('S4'!#REF!,MATCH($A63,'S4'!$D$5:$D$3387,0)-1,6)="巻返し",OFFSET('S4'!#REF!,MATCH($A63,'S4'!$D$5:$D$3387,0)-1,6)="スリット"),SUMIF('S4'!$D$5:$D$3387,$A63,'S4'!$U$5:$U$3387),""),"")</f>
        <v/>
      </c>
      <c r="AB63" s="149" t="str">
        <f ca="1">IFERROR(IF(OR(OFFSET('S5'!#REF!,MATCH($A63,'S5'!$D$5:$D$2917,0)-1,6)="巻返し",OFFSET('S5'!#REF!,MATCH($A63,'S5'!$D$5:$D$2917,0)-1,6)="スリット"),SUMIF('S5'!$D$5:$D$2917,$A63,'S5'!$T$5:$T$2917),""),"")</f>
        <v/>
      </c>
    </row>
    <row r="64" spans="1:28" s="144" customFormat="1" ht="11.25" x14ac:dyDescent="0.15">
      <c r="A64" s="177">
        <v>3671818</v>
      </c>
      <c r="B64" s="177" t="s">
        <v>351</v>
      </c>
      <c r="C64" s="177" t="s">
        <v>352</v>
      </c>
      <c r="D64" s="177" t="s">
        <v>353</v>
      </c>
      <c r="E64" s="177" t="s">
        <v>116</v>
      </c>
      <c r="F64" s="177">
        <v>3</v>
      </c>
      <c r="G64" s="177" t="s">
        <v>19</v>
      </c>
      <c r="H64" s="177" t="s">
        <v>20</v>
      </c>
      <c r="I64" s="177" t="s">
        <v>205</v>
      </c>
      <c r="J64" s="177"/>
      <c r="K64" s="177" t="s">
        <v>212</v>
      </c>
      <c r="L64" s="177">
        <v>25</v>
      </c>
      <c r="M64" s="177" t="s">
        <v>213</v>
      </c>
      <c r="N64" s="178">
        <v>1000</v>
      </c>
      <c r="O64" s="178">
        <v>1000</v>
      </c>
      <c r="P64" s="178">
        <v>4000</v>
      </c>
      <c r="Q64" s="177">
        <v>2</v>
      </c>
      <c r="R64" s="177">
        <v>3</v>
      </c>
      <c r="S64" s="177" t="s">
        <v>354</v>
      </c>
      <c r="T64" s="179">
        <v>44763</v>
      </c>
      <c r="U64" s="179">
        <v>44795</v>
      </c>
      <c r="V64" s="177" t="s">
        <v>355</v>
      </c>
      <c r="W64" s="177"/>
      <c r="X64" s="177"/>
      <c r="Z64" s="149" t="str">
        <f t="shared" ca="1" si="0"/>
        <v/>
      </c>
      <c r="AA64" s="149" t="str">
        <f ca="1">IFERROR(IF(OR(OFFSET('S4'!#REF!,MATCH($A64,'S4'!$D$5:$D$3387,0)-1,6)="巻返し",OFFSET('S4'!#REF!,MATCH($A64,'S4'!$D$5:$D$3387,0)-1,6)="スリット"),SUMIF('S4'!$D$5:$D$3387,$A64,'S4'!$U$5:$U$3387),""),"")</f>
        <v/>
      </c>
      <c r="AB64" s="149" t="str">
        <f ca="1">IFERROR(IF(OR(OFFSET('S5'!#REF!,MATCH($A64,'S5'!$D$5:$D$2917,0)-1,6)="巻返し",OFFSET('S5'!#REF!,MATCH($A64,'S5'!$D$5:$D$2917,0)-1,6)="スリット"),SUMIF('S5'!$D$5:$D$2917,$A64,'S5'!$T$5:$T$2917),""),"")</f>
        <v/>
      </c>
    </row>
    <row r="65" spans="1:28" s="144" customFormat="1" ht="11.25" x14ac:dyDescent="0.15">
      <c r="A65" s="177">
        <v>3671819</v>
      </c>
      <c r="B65" s="177" t="s">
        <v>351</v>
      </c>
      <c r="C65" s="177" t="s">
        <v>352</v>
      </c>
      <c r="D65" s="177" t="s">
        <v>353</v>
      </c>
      <c r="E65" s="177" t="s">
        <v>116</v>
      </c>
      <c r="F65" s="177">
        <v>3</v>
      </c>
      <c r="G65" s="177" t="s">
        <v>19</v>
      </c>
      <c r="H65" s="177" t="s">
        <v>20</v>
      </c>
      <c r="I65" s="177" t="s">
        <v>205</v>
      </c>
      <c r="J65" s="177"/>
      <c r="K65" s="177" t="s">
        <v>212</v>
      </c>
      <c r="L65" s="177">
        <v>25</v>
      </c>
      <c r="M65" s="177" t="s">
        <v>213</v>
      </c>
      <c r="N65" s="178">
        <v>1120</v>
      </c>
      <c r="O65" s="178">
        <v>1120</v>
      </c>
      <c r="P65" s="178">
        <v>4000</v>
      </c>
      <c r="Q65" s="177">
        <v>2</v>
      </c>
      <c r="R65" s="177">
        <v>6</v>
      </c>
      <c r="S65" s="177" t="s">
        <v>354</v>
      </c>
      <c r="T65" s="179">
        <v>44763</v>
      </c>
      <c r="U65" s="179">
        <v>44795</v>
      </c>
      <c r="V65" s="177" t="s">
        <v>355</v>
      </c>
      <c r="W65" s="177"/>
      <c r="X65" s="177"/>
      <c r="Z65" s="149" t="str">
        <f t="shared" ca="1" si="0"/>
        <v/>
      </c>
      <c r="AA65" s="149" t="str">
        <f ca="1">IFERROR(IF(OR(OFFSET('S4'!#REF!,MATCH($A65,'S4'!$D$5:$D$3387,0)-1,6)="巻返し",OFFSET('S4'!#REF!,MATCH($A65,'S4'!$D$5:$D$3387,0)-1,6)="スリット"),SUMIF('S4'!$D$5:$D$3387,$A65,'S4'!$U$5:$U$3387),""),"")</f>
        <v/>
      </c>
      <c r="AB65" s="149" t="str">
        <f ca="1">IFERROR(IF(OR(OFFSET('S5'!#REF!,MATCH($A65,'S5'!$D$5:$D$2917,0)-1,6)="巻返し",OFFSET('S5'!#REF!,MATCH($A65,'S5'!$D$5:$D$2917,0)-1,6)="スリット"),SUMIF('S5'!$D$5:$D$2917,$A65,'S5'!$T$5:$T$2917),""),"")</f>
        <v/>
      </c>
    </row>
    <row r="66" spans="1:28" s="144" customFormat="1" ht="11.25" x14ac:dyDescent="0.15">
      <c r="A66" s="177">
        <v>3671820</v>
      </c>
      <c r="B66" s="177" t="s">
        <v>351</v>
      </c>
      <c r="C66" s="177" t="s">
        <v>352</v>
      </c>
      <c r="D66" s="177" t="s">
        <v>353</v>
      </c>
      <c r="E66" s="177" t="s">
        <v>116</v>
      </c>
      <c r="F66" s="177">
        <v>3</v>
      </c>
      <c r="G66" s="177" t="s">
        <v>19</v>
      </c>
      <c r="H66" s="177" t="s">
        <v>20</v>
      </c>
      <c r="I66" s="177" t="s">
        <v>205</v>
      </c>
      <c r="J66" s="177"/>
      <c r="K66" s="177" t="s">
        <v>212</v>
      </c>
      <c r="L66" s="177">
        <v>50</v>
      </c>
      <c r="M66" s="177" t="s">
        <v>213</v>
      </c>
      <c r="N66" s="178">
        <v>1000</v>
      </c>
      <c r="O66" s="178">
        <v>1000</v>
      </c>
      <c r="P66" s="178">
        <v>4000</v>
      </c>
      <c r="Q66" s="177">
        <v>2</v>
      </c>
      <c r="R66" s="177">
        <v>4</v>
      </c>
      <c r="S66" s="177" t="s">
        <v>354</v>
      </c>
      <c r="T66" s="179">
        <v>44763</v>
      </c>
      <c r="U66" s="179">
        <v>44790</v>
      </c>
      <c r="V66" s="177" t="s">
        <v>355</v>
      </c>
      <c r="W66" s="177"/>
      <c r="X66" s="177"/>
      <c r="Z66" s="149" t="str">
        <f t="shared" ca="1" si="0"/>
        <v/>
      </c>
      <c r="AA66" s="149" t="str">
        <f ca="1">IFERROR(IF(OR(OFFSET('S4'!#REF!,MATCH($A66,'S4'!$D$5:$D$3387,0)-1,6)="巻返し",OFFSET('S4'!#REF!,MATCH($A66,'S4'!$D$5:$D$3387,0)-1,6)="スリット"),SUMIF('S4'!$D$5:$D$3387,$A66,'S4'!$U$5:$U$3387),""),"")</f>
        <v/>
      </c>
      <c r="AB66" s="149" t="str">
        <f ca="1">IFERROR(IF(OR(OFFSET('S5'!#REF!,MATCH($A66,'S5'!$D$5:$D$2917,0)-1,6)="巻返し",OFFSET('S5'!#REF!,MATCH($A66,'S5'!$D$5:$D$2917,0)-1,6)="スリット"),SUMIF('S5'!$D$5:$D$2917,$A66,'S5'!$T$5:$T$2917),""),"")</f>
        <v/>
      </c>
    </row>
    <row r="67" spans="1:28" s="144" customFormat="1" ht="11.25" x14ac:dyDescent="0.15">
      <c r="A67" s="177">
        <v>3671821</v>
      </c>
      <c r="B67" s="177" t="s">
        <v>351</v>
      </c>
      <c r="C67" s="177" t="s">
        <v>352</v>
      </c>
      <c r="D67" s="177" t="s">
        <v>353</v>
      </c>
      <c r="E67" s="177" t="s">
        <v>116</v>
      </c>
      <c r="F67" s="177">
        <v>3</v>
      </c>
      <c r="G67" s="177" t="s">
        <v>19</v>
      </c>
      <c r="H67" s="177" t="s">
        <v>20</v>
      </c>
      <c r="I67" s="177" t="s">
        <v>205</v>
      </c>
      <c r="J67" s="177"/>
      <c r="K67" s="177" t="s">
        <v>212</v>
      </c>
      <c r="L67" s="177">
        <v>50</v>
      </c>
      <c r="M67" s="177" t="s">
        <v>213</v>
      </c>
      <c r="N67" s="178">
        <v>1120</v>
      </c>
      <c r="O67" s="178">
        <v>1120</v>
      </c>
      <c r="P67" s="178">
        <v>4000</v>
      </c>
      <c r="Q67" s="177">
        <v>2</v>
      </c>
      <c r="R67" s="177">
        <v>8</v>
      </c>
      <c r="S67" s="177" t="s">
        <v>354</v>
      </c>
      <c r="T67" s="179">
        <v>44763</v>
      </c>
      <c r="U67" s="179">
        <v>44802</v>
      </c>
      <c r="V67" s="177" t="s">
        <v>355</v>
      </c>
      <c r="W67" s="177"/>
      <c r="X67" s="177"/>
      <c r="Z67" s="149" t="str">
        <f t="shared" ca="1" si="0"/>
        <v/>
      </c>
      <c r="AA67" s="149" t="str">
        <f ca="1">IFERROR(IF(OR(OFFSET('S4'!#REF!,MATCH($A67,'S4'!$D$5:$D$3387,0)-1,6)="巻返し",OFFSET('S4'!#REF!,MATCH($A67,'S4'!$D$5:$D$3387,0)-1,6)="スリット"),SUMIF('S4'!$D$5:$D$3387,$A67,'S4'!$U$5:$U$3387),""),"")</f>
        <v/>
      </c>
      <c r="AB67" s="149" t="str">
        <f ca="1">IFERROR(IF(OR(OFFSET('S5'!#REF!,MATCH($A67,'S5'!$D$5:$D$2917,0)-1,6)="巻返し",OFFSET('S5'!#REF!,MATCH($A67,'S5'!$D$5:$D$2917,0)-1,6)="スリット"),SUMIF('S5'!$D$5:$D$2917,$A67,'S5'!$T$5:$T$2917),""),"")</f>
        <v/>
      </c>
    </row>
    <row r="68" spans="1:28" s="144" customFormat="1" ht="11.25" x14ac:dyDescent="0.15">
      <c r="A68" s="177">
        <v>3671822</v>
      </c>
      <c r="B68" s="177" t="s">
        <v>351</v>
      </c>
      <c r="C68" s="177" t="s">
        <v>352</v>
      </c>
      <c r="D68" s="177" t="s">
        <v>353</v>
      </c>
      <c r="E68" s="177" t="s">
        <v>116</v>
      </c>
      <c r="F68" s="177">
        <v>3</v>
      </c>
      <c r="G68" s="177" t="s">
        <v>19</v>
      </c>
      <c r="H68" s="177" t="s">
        <v>20</v>
      </c>
      <c r="I68" s="177" t="s">
        <v>205</v>
      </c>
      <c r="J68" s="177"/>
      <c r="K68" s="177" t="s">
        <v>212</v>
      </c>
      <c r="L68" s="177">
        <v>50</v>
      </c>
      <c r="M68" s="177" t="s">
        <v>213</v>
      </c>
      <c r="N68" s="178">
        <v>1120</v>
      </c>
      <c r="O68" s="178">
        <v>1120</v>
      </c>
      <c r="P68" s="178">
        <v>4000</v>
      </c>
      <c r="Q68" s="177">
        <v>2</v>
      </c>
      <c r="R68" s="177">
        <v>4</v>
      </c>
      <c r="S68" s="177" t="s">
        <v>354</v>
      </c>
      <c r="T68" s="179">
        <v>44763</v>
      </c>
      <c r="U68" s="179">
        <v>44804</v>
      </c>
      <c r="V68" s="177" t="s">
        <v>355</v>
      </c>
      <c r="W68" s="177"/>
      <c r="X68" s="177"/>
      <c r="Z68" s="149" t="str">
        <f t="shared" ref="Z68:Z131" ca="1" si="1">IF(SUM(AA68:AB68)=0,"",SUM(AA68:AB68))</f>
        <v/>
      </c>
      <c r="AA68" s="149" t="str">
        <f ca="1">IFERROR(IF(OR(OFFSET('S4'!#REF!,MATCH($A68,'S4'!$D$5:$D$3387,0)-1,6)="巻返し",OFFSET('S4'!#REF!,MATCH($A68,'S4'!$D$5:$D$3387,0)-1,6)="スリット"),SUMIF('S4'!$D$5:$D$3387,$A68,'S4'!$U$5:$U$3387),""),"")</f>
        <v/>
      </c>
      <c r="AB68" s="149" t="str">
        <f ca="1">IFERROR(IF(OR(OFFSET('S5'!#REF!,MATCH($A68,'S5'!$D$5:$D$2917,0)-1,6)="巻返し",OFFSET('S5'!#REF!,MATCH($A68,'S5'!$D$5:$D$2917,0)-1,6)="スリット"),SUMIF('S5'!$D$5:$D$2917,$A68,'S5'!$T$5:$T$2917),""),"")</f>
        <v/>
      </c>
    </row>
    <row r="69" spans="1:28" s="144" customFormat="1" ht="11.25" x14ac:dyDescent="0.15">
      <c r="A69" s="177">
        <v>3671823</v>
      </c>
      <c r="B69" s="177" t="s">
        <v>351</v>
      </c>
      <c r="C69" s="177" t="s">
        <v>352</v>
      </c>
      <c r="D69" s="177" t="s">
        <v>353</v>
      </c>
      <c r="E69" s="177" t="s">
        <v>116</v>
      </c>
      <c r="F69" s="177">
        <v>3</v>
      </c>
      <c r="G69" s="177" t="s">
        <v>19</v>
      </c>
      <c r="H69" s="177" t="s">
        <v>20</v>
      </c>
      <c r="I69" s="177" t="s">
        <v>205</v>
      </c>
      <c r="J69" s="177"/>
      <c r="K69" s="177" t="s">
        <v>212</v>
      </c>
      <c r="L69" s="177">
        <v>50</v>
      </c>
      <c r="M69" s="177" t="s">
        <v>213</v>
      </c>
      <c r="N69" s="178">
        <v>1120</v>
      </c>
      <c r="O69" s="178">
        <v>1120</v>
      </c>
      <c r="P69" s="178">
        <v>4000</v>
      </c>
      <c r="Q69" s="177">
        <v>2</v>
      </c>
      <c r="R69" s="177">
        <v>8</v>
      </c>
      <c r="S69" s="177" t="s">
        <v>354</v>
      </c>
      <c r="T69" s="179">
        <v>44763</v>
      </c>
      <c r="U69" s="179">
        <v>44809</v>
      </c>
      <c r="V69" s="177" t="s">
        <v>355</v>
      </c>
      <c r="W69" s="177"/>
      <c r="X69" s="177"/>
      <c r="Z69" s="149" t="str">
        <f t="shared" ca="1" si="1"/>
        <v/>
      </c>
      <c r="AA69" s="149" t="str">
        <f ca="1">IFERROR(IF(OR(OFFSET('S4'!#REF!,MATCH($A69,'S4'!$D$5:$D$3387,0)-1,6)="巻返し",OFFSET('S4'!#REF!,MATCH($A69,'S4'!$D$5:$D$3387,0)-1,6)="スリット"),SUMIF('S4'!$D$5:$D$3387,$A69,'S4'!$U$5:$U$3387),""),"")</f>
        <v/>
      </c>
      <c r="AB69" s="149" t="str">
        <f ca="1">IFERROR(IF(OR(OFFSET('S5'!#REF!,MATCH($A69,'S5'!$D$5:$D$2917,0)-1,6)="巻返し",OFFSET('S5'!#REF!,MATCH($A69,'S5'!$D$5:$D$2917,0)-1,6)="スリット"),SUMIF('S5'!$D$5:$D$2917,$A69,'S5'!$T$5:$T$2917),""),"")</f>
        <v/>
      </c>
    </row>
    <row r="70" spans="1:28" s="144" customFormat="1" ht="11.25" x14ac:dyDescent="0.15">
      <c r="A70" s="177">
        <v>3671824</v>
      </c>
      <c r="B70" s="177" t="s">
        <v>351</v>
      </c>
      <c r="C70" s="177" t="s">
        <v>352</v>
      </c>
      <c r="D70" s="177" t="s">
        <v>353</v>
      </c>
      <c r="E70" s="177" t="s">
        <v>116</v>
      </c>
      <c r="F70" s="177">
        <v>3</v>
      </c>
      <c r="G70" s="177" t="s">
        <v>19</v>
      </c>
      <c r="H70" s="177" t="s">
        <v>20</v>
      </c>
      <c r="I70" s="177" t="s">
        <v>205</v>
      </c>
      <c r="J70" s="177"/>
      <c r="K70" s="177" t="s">
        <v>212</v>
      </c>
      <c r="L70" s="177">
        <v>50</v>
      </c>
      <c r="M70" s="177" t="s">
        <v>213</v>
      </c>
      <c r="N70" s="178">
        <v>1120</v>
      </c>
      <c r="O70" s="178">
        <v>1120</v>
      </c>
      <c r="P70" s="178">
        <v>4000</v>
      </c>
      <c r="Q70" s="177">
        <v>2</v>
      </c>
      <c r="R70" s="177">
        <v>8</v>
      </c>
      <c r="S70" s="177" t="s">
        <v>354</v>
      </c>
      <c r="T70" s="179">
        <v>44763</v>
      </c>
      <c r="U70" s="179">
        <v>44816</v>
      </c>
      <c r="V70" s="177" t="s">
        <v>355</v>
      </c>
      <c r="W70" s="177"/>
      <c r="X70" s="177"/>
      <c r="Z70" s="149" t="str">
        <f t="shared" ca="1" si="1"/>
        <v/>
      </c>
      <c r="AA70" s="149" t="str">
        <f ca="1">IFERROR(IF(OR(OFFSET('S4'!#REF!,MATCH($A70,'S4'!$D$5:$D$3387,0)-1,6)="巻返し",OFFSET('S4'!#REF!,MATCH($A70,'S4'!$D$5:$D$3387,0)-1,6)="スリット"),SUMIF('S4'!$D$5:$D$3387,$A70,'S4'!$U$5:$U$3387),""),"")</f>
        <v/>
      </c>
      <c r="AB70" s="149" t="str">
        <f ca="1">IFERROR(IF(OR(OFFSET('S5'!#REF!,MATCH($A70,'S5'!$D$5:$D$2917,0)-1,6)="巻返し",OFFSET('S5'!#REF!,MATCH($A70,'S5'!$D$5:$D$2917,0)-1,6)="スリット"),SUMIF('S5'!$D$5:$D$2917,$A70,'S5'!$T$5:$T$2917),""),"")</f>
        <v/>
      </c>
    </row>
    <row r="71" spans="1:28" s="144" customFormat="1" ht="11.25" x14ac:dyDescent="0.15">
      <c r="A71" s="177">
        <v>3671825</v>
      </c>
      <c r="B71" s="177" t="s">
        <v>351</v>
      </c>
      <c r="C71" s="177" t="s">
        <v>352</v>
      </c>
      <c r="D71" s="177" t="s">
        <v>353</v>
      </c>
      <c r="E71" s="177" t="s">
        <v>116</v>
      </c>
      <c r="F71" s="177">
        <v>3</v>
      </c>
      <c r="G71" s="177" t="s">
        <v>19</v>
      </c>
      <c r="H71" s="177" t="s">
        <v>20</v>
      </c>
      <c r="I71" s="177" t="s">
        <v>205</v>
      </c>
      <c r="J71" s="177"/>
      <c r="K71" s="177" t="s">
        <v>211</v>
      </c>
      <c r="L71" s="177">
        <v>50</v>
      </c>
      <c r="M71" s="177" t="s">
        <v>370</v>
      </c>
      <c r="N71" s="178">
        <v>1050</v>
      </c>
      <c r="O71" s="178">
        <v>1050</v>
      </c>
      <c r="P71" s="178">
        <v>4100</v>
      </c>
      <c r="Q71" s="177">
        <v>2</v>
      </c>
      <c r="R71" s="177">
        <v>3</v>
      </c>
      <c r="S71" s="177" t="s">
        <v>354</v>
      </c>
      <c r="T71" s="179">
        <v>44763</v>
      </c>
      <c r="U71" s="179">
        <v>44790</v>
      </c>
      <c r="V71" s="177" t="s">
        <v>355</v>
      </c>
      <c r="W71" s="177"/>
      <c r="X71" s="177"/>
      <c r="Z71" s="149" t="str">
        <f t="shared" ca="1" si="1"/>
        <v/>
      </c>
      <c r="AA71" s="149" t="str">
        <f ca="1">IFERROR(IF(OR(OFFSET('S4'!#REF!,MATCH($A71,'S4'!$D$5:$D$3387,0)-1,6)="巻返し",OFFSET('S4'!#REF!,MATCH($A71,'S4'!$D$5:$D$3387,0)-1,6)="スリット"),SUMIF('S4'!$D$5:$D$3387,$A71,'S4'!$U$5:$U$3387),""),"")</f>
        <v/>
      </c>
      <c r="AB71" s="149" t="str">
        <f ca="1">IFERROR(IF(OR(OFFSET('S5'!#REF!,MATCH($A71,'S5'!$D$5:$D$2917,0)-1,6)="巻返し",OFFSET('S5'!#REF!,MATCH($A71,'S5'!$D$5:$D$2917,0)-1,6)="スリット"),SUMIF('S5'!$D$5:$D$2917,$A71,'S5'!$T$5:$T$2917),""),"")</f>
        <v/>
      </c>
    </row>
    <row r="72" spans="1:28" s="144" customFormat="1" ht="11.25" x14ac:dyDescent="0.15">
      <c r="A72" s="177">
        <v>3671826</v>
      </c>
      <c r="B72" s="177" t="s">
        <v>351</v>
      </c>
      <c r="C72" s="177" t="s">
        <v>352</v>
      </c>
      <c r="D72" s="177" t="s">
        <v>353</v>
      </c>
      <c r="E72" s="177" t="s">
        <v>116</v>
      </c>
      <c r="F72" s="177">
        <v>3</v>
      </c>
      <c r="G72" s="177" t="s">
        <v>19</v>
      </c>
      <c r="H72" s="177" t="s">
        <v>20</v>
      </c>
      <c r="I72" s="177" t="s">
        <v>205</v>
      </c>
      <c r="J72" s="177"/>
      <c r="K72" s="177" t="s">
        <v>211</v>
      </c>
      <c r="L72" s="177">
        <v>75</v>
      </c>
      <c r="M72" s="177" t="s">
        <v>370</v>
      </c>
      <c r="N72" s="178">
        <v>1050</v>
      </c>
      <c r="O72" s="178">
        <v>1050</v>
      </c>
      <c r="P72" s="178">
        <v>2000</v>
      </c>
      <c r="Q72" s="177">
        <v>2</v>
      </c>
      <c r="R72" s="177">
        <v>2</v>
      </c>
      <c r="S72" s="177" t="s">
        <v>354</v>
      </c>
      <c r="T72" s="179">
        <v>44763</v>
      </c>
      <c r="U72" s="179">
        <v>44790</v>
      </c>
      <c r="V72" s="177" t="s">
        <v>355</v>
      </c>
      <c r="W72" s="177"/>
      <c r="X72" s="177"/>
      <c r="Z72" s="149" t="str">
        <f t="shared" ca="1" si="1"/>
        <v/>
      </c>
      <c r="AA72" s="149" t="str">
        <f ca="1">IFERROR(IF(OR(OFFSET('S4'!#REF!,MATCH($A72,'S4'!$D$5:$D$3387,0)-1,6)="巻返し",OFFSET('S4'!#REF!,MATCH($A72,'S4'!$D$5:$D$3387,0)-1,6)="スリット"),SUMIF('S4'!$D$5:$D$3387,$A72,'S4'!$U$5:$U$3387),""),"")</f>
        <v/>
      </c>
      <c r="AB72" s="149" t="str">
        <f ca="1">IFERROR(IF(OR(OFFSET('S5'!#REF!,MATCH($A72,'S5'!$D$5:$D$2917,0)-1,6)="巻返し",OFFSET('S5'!#REF!,MATCH($A72,'S5'!$D$5:$D$2917,0)-1,6)="スリット"),SUMIF('S5'!$D$5:$D$2917,$A72,'S5'!$T$5:$T$2917),""),"")</f>
        <v/>
      </c>
    </row>
    <row r="73" spans="1:28" s="144" customFormat="1" ht="11.25" x14ac:dyDescent="0.15">
      <c r="A73" s="177">
        <v>3671828</v>
      </c>
      <c r="B73" s="177" t="s">
        <v>351</v>
      </c>
      <c r="C73" s="177" t="s">
        <v>352</v>
      </c>
      <c r="D73" s="177" t="s">
        <v>353</v>
      </c>
      <c r="E73" s="177" t="s">
        <v>116</v>
      </c>
      <c r="F73" s="177">
        <v>3</v>
      </c>
      <c r="G73" s="177" t="s">
        <v>19</v>
      </c>
      <c r="H73" s="177" t="s">
        <v>20</v>
      </c>
      <c r="I73" s="177" t="s">
        <v>165</v>
      </c>
      <c r="J73" s="177"/>
      <c r="K73" s="177" t="s">
        <v>245</v>
      </c>
      <c r="L73" s="177">
        <v>16</v>
      </c>
      <c r="M73" s="177" t="s">
        <v>366</v>
      </c>
      <c r="N73" s="178">
        <v>1005</v>
      </c>
      <c r="O73" s="178">
        <v>1005</v>
      </c>
      <c r="P73" s="178">
        <v>3000</v>
      </c>
      <c r="Q73" s="177">
        <v>2</v>
      </c>
      <c r="R73" s="177">
        <v>1</v>
      </c>
      <c r="S73" s="177" t="s">
        <v>354</v>
      </c>
      <c r="T73" s="179">
        <v>44763</v>
      </c>
      <c r="U73" s="179">
        <v>44810</v>
      </c>
      <c r="V73" s="177" t="s">
        <v>355</v>
      </c>
      <c r="W73" s="177"/>
      <c r="X73" s="177"/>
      <c r="Z73" s="149" t="str">
        <f t="shared" ca="1" si="1"/>
        <v/>
      </c>
      <c r="AA73" s="149" t="str">
        <f ca="1">IFERROR(IF(OR(OFFSET('S4'!#REF!,MATCH($A73,'S4'!$D$5:$D$3387,0)-1,6)="巻返し",OFFSET('S4'!#REF!,MATCH($A73,'S4'!$D$5:$D$3387,0)-1,6)="スリット"),SUMIF('S4'!$D$5:$D$3387,$A73,'S4'!$U$5:$U$3387),""),"")</f>
        <v/>
      </c>
      <c r="AB73" s="149" t="str">
        <f ca="1">IFERROR(IF(OR(OFFSET('S5'!#REF!,MATCH($A73,'S5'!$D$5:$D$2917,0)-1,6)="巻返し",OFFSET('S5'!#REF!,MATCH($A73,'S5'!$D$5:$D$2917,0)-1,6)="スリット"),SUMIF('S5'!$D$5:$D$2917,$A73,'S5'!$T$5:$T$2917),""),"")</f>
        <v/>
      </c>
    </row>
    <row r="74" spans="1:28" s="144" customFormat="1" ht="11.25" x14ac:dyDescent="0.15">
      <c r="A74" s="177">
        <v>3671829</v>
      </c>
      <c r="B74" s="177" t="s">
        <v>351</v>
      </c>
      <c r="C74" s="177" t="s">
        <v>352</v>
      </c>
      <c r="D74" s="177" t="s">
        <v>353</v>
      </c>
      <c r="E74" s="177" t="s">
        <v>116</v>
      </c>
      <c r="F74" s="177">
        <v>3</v>
      </c>
      <c r="G74" s="177" t="s">
        <v>19</v>
      </c>
      <c r="H74" s="177" t="s">
        <v>20</v>
      </c>
      <c r="I74" s="177" t="s">
        <v>205</v>
      </c>
      <c r="J74" s="177"/>
      <c r="K74" s="177" t="s">
        <v>216</v>
      </c>
      <c r="L74" s="177">
        <v>25</v>
      </c>
      <c r="M74" s="177" t="s">
        <v>217</v>
      </c>
      <c r="N74" s="178">
        <v>1005</v>
      </c>
      <c r="O74" s="178">
        <v>1000</v>
      </c>
      <c r="P74" s="178">
        <v>4000</v>
      </c>
      <c r="Q74" s="177">
        <v>2</v>
      </c>
      <c r="R74" s="177">
        <v>6</v>
      </c>
      <c r="S74" s="177" t="s">
        <v>354</v>
      </c>
      <c r="T74" s="179">
        <v>44763</v>
      </c>
      <c r="U74" s="179">
        <v>44795</v>
      </c>
      <c r="V74" s="177" t="s">
        <v>355</v>
      </c>
      <c r="W74" s="177"/>
      <c r="X74" s="177"/>
      <c r="Z74" s="149" t="str">
        <f t="shared" ca="1" si="1"/>
        <v/>
      </c>
      <c r="AA74" s="149" t="str">
        <f ca="1">IFERROR(IF(OR(OFFSET('S4'!#REF!,MATCH($A74,'S4'!$D$5:$D$3387,0)-1,6)="巻返し",OFFSET('S4'!#REF!,MATCH($A74,'S4'!$D$5:$D$3387,0)-1,6)="スリット"),SUMIF('S4'!$D$5:$D$3387,$A74,'S4'!$U$5:$U$3387),""),"")</f>
        <v/>
      </c>
      <c r="AB74" s="149" t="str">
        <f ca="1">IFERROR(IF(OR(OFFSET('S5'!#REF!,MATCH($A74,'S5'!$D$5:$D$2917,0)-1,6)="巻返し",OFFSET('S5'!#REF!,MATCH($A74,'S5'!$D$5:$D$2917,0)-1,6)="スリット"),SUMIF('S5'!$D$5:$D$2917,$A74,'S5'!$T$5:$T$2917),""),"")</f>
        <v/>
      </c>
    </row>
    <row r="75" spans="1:28" s="144" customFormat="1" ht="11.25" x14ac:dyDescent="0.15">
      <c r="A75" s="177">
        <v>3671830</v>
      </c>
      <c r="B75" s="177" t="s">
        <v>351</v>
      </c>
      <c r="C75" s="177" t="s">
        <v>352</v>
      </c>
      <c r="D75" s="177" t="s">
        <v>353</v>
      </c>
      <c r="E75" s="177" t="s">
        <v>116</v>
      </c>
      <c r="F75" s="177">
        <v>3</v>
      </c>
      <c r="G75" s="177" t="s">
        <v>19</v>
      </c>
      <c r="H75" s="177" t="s">
        <v>20</v>
      </c>
      <c r="I75" s="177" t="s">
        <v>205</v>
      </c>
      <c r="J75" s="177"/>
      <c r="K75" s="177" t="s">
        <v>216</v>
      </c>
      <c r="L75" s="177">
        <v>50</v>
      </c>
      <c r="M75" s="177" t="s">
        <v>217</v>
      </c>
      <c r="N75" s="178">
        <v>1120</v>
      </c>
      <c r="O75" s="178">
        <v>1120</v>
      </c>
      <c r="P75" s="178">
        <v>5000</v>
      </c>
      <c r="Q75" s="177">
        <v>2</v>
      </c>
      <c r="R75" s="177">
        <v>12</v>
      </c>
      <c r="S75" s="177" t="s">
        <v>354</v>
      </c>
      <c r="T75" s="179">
        <v>44763</v>
      </c>
      <c r="U75" s="179">
        <v>44796</v>
      </c>
      <c r="V75" s="177" t="s">
        <v>355</v>
      </c>
      <c r="W75" s="177"/>
      <c r="X75" s="177"/>
      <c r="Z75" s="149" t="str">
        <f t="shared" ca="1" si="1"/>
        <v/>
      </c>
      <c r="AA75" s="149" t="str">
        <f ca="1">IFERROR(IF(OR(OFFSET('S4'!#REF!,MATCH($A75,'S4'!$D$5:$D$3387,0)-1,6)="巻返し",OFFSET('S4'!#REF!,MATCH($A75,'S4'!$D$5:$D$3387,0)-1,6)="スリット"),SUMIF('S4'!$D$5:$D$3387,$A75,'S4'!$U$5:$U$3387),""),"")</f>
        <v/>
      </c>
      <c r="AB75" s="149" t="str">
        <f ca="1">IFERROR(IF(OR(OFFSET('S5'!#REF!,MATCH($A75,'S5'!$D$5:$D$2917,0)-1,6)="巻返し",OFFSET('S5'!#REF!,MATCH($A75,'S5'!$D$5:$D$2917,0)-1,6)="スリット"),SUMIF('S5'!$D$5:$D$2917,$A75,'S5'!$T$5:$T$2917),""),"")</f>
        <v/>
      </c>
    </row>
    <row r="76" spans="1:28" s="144" customFormat="1" ht="11.25" x14ac:dyDescent="0.15">
      <c r="A76" s="177">
        <v>3671831</v>
      </c>
      <c r="B76" s="177" t="s">
        <v>351</v>
      </c>
      <c r="C76" s="177" t="s">
        <v>352</v>
      </c>
      <c r="D76" s="177" t="s">
        <v>353</v>
      </c>
      <c r="E76" s="177" t="s">
        <v>116</v>
      </c>
      <c r="F76" s="177">
        <v>3</v>
      </c>
      <c r="G76" s="177" t="s">
        <v>19</v>
      </c>
      <c r="H76" s="177" t="s">
        <v>20</v>
      </c>
      <c r="I76" s="177" t="s">
        <v>205</v>
      </c>
      <c r="J76" s="177"/>
      <c r="K76" s="177" t="s">
        <v>216</v>
      </c>
      <c r="L76" s="177">
        <v>50</v>
      </c>
      <c r="M76" s="177" t="s">
        <v>217</v>
      </c>
      <c r="N76" s="178">
        <v>1120</v>
      </c>
      <c r="O76" s="178">
        <v>1120</v>
      </c>
      <c r="P76" s="178">
        <v>5000</v>
      </c>
      <c r="Q76" s="177">
        <v>2</v>
      </c>
      <c r="R76" s="177">
        <v>12</v>
      </c>
      <c r="S76" s="177" t="s">
        <v>354</v>
      </c>
      <c r="T76" s="179">
        <v>44763</v>
      </c>
      <c r="U76" s="179">
        <v>44802</v>
      </c>
      <c r="V76" s="177" t="s">
        <v>355</v>
      </c>
      <c r="W76" s="177"/>
      <c r="X76" s="177"/>
      <c r="Z76" s="149" t="str">
        <f t="shared" ca="1" si="1"/>
        <v/>
      </c>
      <c r="AA76" s="149" t="str">
        <f ca="1">IFERROR(IF(OR(OFFSET('S4'!#REF!,MATCH($A76,'S4'!$D$5:$D$3387,0)-1,6)="巻返し",OFFSET('S4'!#REF!,MATCH($A76,'S4'!$D$5:$D$3387,0)-1,6)="スリット"),SUMIF('S4'!$D$5:$D$3387,$A76,'S4'!$U$5:$U$3387),""),"")</f>
        <v/>
      </c>
      <c r="AB76" s="149" t="str">
        <f ca="1">IFERROR(IF(OR(OFFSET('S5'!#REF!,MATCH($A76,'S5'!$D$5:$D$2917,0)-1,6)="巻返し",OFFSET('S5'!#REF!,MATCH($A76,'S5'!$D$5:$D$2917,0)-1,6)="スリット"),SUMIF('S5'!$D$5:$D$2917,$A76,'S5'!$T$5:$T$2917),""),"")</f>
        <v/>
      </c>
    </row>
    <row r="77" spans="1:28" s="144" customFormat="1" ht="11.25" x14ac:dyDescent="0.15">
      <c r="A77" s="177">
        <v>3671832</v>
      </c>
      <c r="B77" s="177" t="s">
        <v>351</v>
      </c>
      <c r="C77" s="177" t="s">
        <v>352</v>
      </c>
      <c r="D77" s="177" t="s">
        <v>353</v>
      </c>
      <c r="E77" s="177" t="s">
        <v>116</v>
      </c>
      <c r="F77" s="177">
        <v>3</v>
      </c>
      <c r="G77" s="177" t="s">
        <v>19</v>
      </c>
      <c r="H77" s="177" t="s">
        <v>20</v>
      </c>
      <c r="I77" s="177" t="s">
        <v>205</v>
      </c>
      <c r="J77" s="177"/>
      <c r="K77" s="177" t="s">
        <v>216</v>
      </c>
      <c r="L77" s="177">
        <v>50</v>
      </c>
      <c r="M77" s="177" t="s">
        <v>217</v>
      </c>
      <c r="N77" s="178">
        <v>1120</v>
      </c>
      <c r="O77" s="178">
        <v>1120</v>
      </c>
      <c r="P77" s="178">
        <v>5000</v>
      </c>
      <c r="Q77" s="177">
        <v>2</v>
      </c>
      <c r="R77" s="177">
        <v>14</v>
      </c>
      <c r="S77" s="177" t="s">
        <v>354</v>
      </c>
      <c r="T77" s="179">
        <v>44763</v>
      </c>
      <c r="U77" s="179">
        <v>44809</v>
      </c>
      <c r="V77" s="177" t="s">
        <v>355</v>
      </c>
      <c r="W77" s="177"/>
      <c r="X77" s="177"/>
      <c r="Z77" s="149" t="str">
        <f t="shared" ca="1" si="1"/>
        <v/>
      </c>
      <c r="AA77" s="149" t="str">
        <f ca="1">IFERROR(IF(OR(OFFSET('S4'!#REF!,MATCH($A77,'S4'!$D$5:$D$3387,0)-1,6)="巻返し",OFFSET('S4'!#REF!,MATCH($A77,'S4'!$D$5:$D$3387,0)-1,6)="スリット"),SUMIF('S4'!$D$5:$D$3387,$A77,'S4'!$U$5:$U$3387),""),"")</f>
        <v/>
      </c>
      <c r="AB77" s="149" t="str">
        <f ca="1">IFERROR(IF(OR(OFFSET('S5'!#REF!,MATCH($A77,'S5'!$D$5:$D$2917,0)-1,6)="巻返し",OFFSET('S5'!#REF!,MATCH($A77,'S5'!$D$5:$D$2917,0)-1,6)="スリット"),SUMIF('S5'!$D$5:$D$2917,$A77,'S5'!$T$5:$T$2917),""),"")</f>
        <v/>
      </c>
    </row>
    <row r="78" spans="1:28" s="144" customFormat="1" ht="11.25" x14ac:dyDescent="0.15">
      <c r="A78" s="177">
        <v>3671833</v>
      </c>
      <c r="B78" s="177" t="s">
        <v>351</v>
      </c>
      <c r="C78" s="177" t="s">
        <v>352</v>
      </c>
      <c r="D78" s="177" t="s">
        <v>353</v>
      </c>
      <c r="E78" s="177" t="s">
        <v>116</v>
      </c>
      <c r="F78" s="177">
        <v>3</v>
      </c>
      <c r="G78" s="177" t="s">
        <v>19</v>
      </c>
      <c r="H78" s="177" t="s">
        <v>20</v>
      </c>
      <c r="I78" s="177" t="s">
        <v>205</v>
      </c>
      <c r="J78" s="177"/>
      <c r="K78" s="177" t="s">
        <v>216</v>
      </c>
      <c r="L78" s="177">
        <v>50</v>
      </c>
      <c r="M78" s="177" t="s">
        <v>217</v>
      </c>
      <c r="N78" s="178">
        <v>1120</v>
      </c>
      <c r="O78" s="178">
        <v>1120</v>
      </c>
      <c r="P78" s="178">
        <v>5000</v>
      </c>
      <c r="Q78" s="177">
        <v>2</v>
      </c>
      <c r="R78" s="177">
        <v>14</v>
      </c>
      <c r="S78" s="177" t="s">
        <v>354</v>
      </c>
      <c r="T78" s="179">
        <v>44763</v>
      </c>
      <c r="U78" s="179">
        <v>44816</v>
      </c>
      <c r="V78" s="177" t="s">
        <v>355</v>
      </c>
      <c r="W78" s="177"/>
      <c r="X78" s="177"/>
      <c r="Z78" s="149" t="str">
        <f t="shared" ca="1" si="1"/>
        <v/>
      </c>
      <c r="AA78" s="149" t="str">
        <f ca="1">IFERROR(IF(OR(OFFSET('S4'!#REF!,MATCH($A78,'S4'!$D$5:$D$3387,0)-1,6)="巻返し",OFFSET('S4'!#REF!,MATCH($A78,'S4'!$D$5:$D$3387,0)-1,6)="スリット"),SUMIF('S4'!$D$5:$D$3387,$A78,'S4'!$U$5:$U$3387),""),"")</f>
        <v/>
      </c>
      <c r="AB78" s="149" t="str">
        <f ca="1">IFERROR(IF(OR(OFFSET('S5'!#REF!,MATCH($A78,'S5'!$D$5:$D$2917,0)-1,6)="巻返し",OFFSET('S5'!#REF!,MATCH($A78,'S5'!$D$5:$D$2917,0)-1,6)="スリット"),SUMIF('S5'!$D$5:$D$2917,$A78,'S5'!$T$5:$T$2917),""),"")</f>
        <v/>
      </c>
    </row>
    <row r="79" spans="1:28" s="144" customFormat="1" ht="11.25" x14ac:dyDescent="0.15">
      <c r="A79" s="177">
        <v>3671834</v>
      </c>
      <c r="B79" s="177" t="s">
        <v>351</v>
      </c>
      <c r="C79" s="177" t="s">
        <v>352</v>
      </c>
      <c r="D79" s="177" t="s">
        <v>353</v>
      </c>
      <c r="E79" s="177" t="s">
        <v>116</v>
      </c>
      <c r="F79" s="177">
        <v>3</v>
      </c>
      <c r="G79" s="177" t="s">
        <v>19</v>
      </c>
      <c r="H79" s="177" t="s">
        <v>20</v>
      </c>
      <c r="I79" s="177" t="s">
        <v>205</v>
      </c>
      <c r="J79" s="177"/>
      <c r="K79" s="177" t="s">
        <v>218</v>
      </c>
      <c r="L79" s="177">
        <v>25</v>
      </c>
      <c r="M79" s="177" t="s">
        <v>219</v>
      </c>
      <c r="N79" s="178">
        <v>1005</v>
      </c>
      <c r="O79" s="178">
        <v>1000</v>
      </c>
      <c r="P79" s="178">
        <v>4000</v>
      </c>
      <c r="Q79" s="177">
        <v>2</v>
      </c>
      <c r="R79" s="177">
        <v>6</v>
      </c>
      <c r="S79" s="177" t="s">
        <v>354</v>
      </c>
      <c r="T79" s="179">
        <v>44763</v>
      </c>
      <c r="U79" s="179">
        <v>44795</v>
      </c>
      <c r="V79" s="177" t="s">
        <v>355</v>
      </c>
      <c r="W79" s="177"/>
      <c r="X79" s="177"/>
      <c r="Z79" s="149" t="str">
        <f t="shared" ca="1" si="1"/>
        <v/>
      </c>
      <c r="AA79" s="149" t="str">
        <f ca="1">IFERROR(IF(OR(OFFSET('S4'!#REF!,MATCH($A79,'S4'!$D$5:$D$3387,0)-1,6)="巻返し",OFFSET('S4'!#REF!,MATCH($A79,'S4'!$D$5:$D$3387,0)-1,6)="スリット"),SUMIF('S4'!$D$5:$D$3387,$A79,'S4'!$U$5:$U$3387),""),"")</f>
        <v/>
      </c>
      <c r="AB79" s="149" t="str">
        <f ca="1">IFERROR(IF(OR(OFFSET('S5'!#REF!,MATCH($A79,'S5'!$D$5:$D$2917,0)-1,6)="巻返し",OFFSET('S5'!#REF!,MATCH($A79,'S5'!$D$5:$D$2917,0)-1,6)="スリット"),SUMIF('S5'!$D$5:$D$2917,$A79,'S5'!$T$5:$T$2917),""),"")</f>
        <v/>
      </c>
    </row>
    <row r="80" spans="1:28" s="144" customFormat="1" ht="11.25" x14ac:dyDescent="0.15">
      <c r="A80" s="177">
        <v>3671835</v>
      </c>
      <c r="B80" s="177" t="s">
        <v>351</v>
      </c>
      <c r="C80" s="177" t="s">
        <v>352</v>
      </c>
      <c r="D80" s="177" t="s">
        <v>353</v>
      </c>
      <c r="E80" s="177" t="s">
        <v>116</v>
      </c>
      <c r="F80" s="177">
        <v>3</v>
      </c>
      <c r="G80" s="177" t="s">
        <v>19</v>
      </c>
      <c r="H80" s="177" t="s">
        <v>20</v>
      </c>
      <c r="I80" s="177" t="s">
        <v>205</v>
      </c>
      <c r="J80" s="177"/>
      <c r="K80" s="177" t="s">
        <v>218</v>
      </c>
      <c r="L80" s="177">
        <v>50</v>
      </c>
      <c r="M80" s="177" t="s">
        <v>219</v>
      </c>
      <c r="N80" s="178">
        <v>1000</v>
      </c>
      <c r="O80" s="178">
        <v>1000</v>
      </c>
      <c r="P80" s="178">
        <v>4000</v>
      </c>
      <c r="Q80" s="177">
        <v>2</v>
      </c>
      <c r="R80" s="177">
        <v>21</v>
      </c>
      <c r="S80" s="177" t="s">
        <v>354</v>
      </c>
      <c r="T80" s="179">
        <v>44763</v>
      </c>
      <c r="U80" s="179">
        <v>44795</v>
      </c>
      <c r="V80" s="177" t="s">
        <v>355</v>
      </c>
      <c r="W80" s="177"/>
      <c r="X80" s="177"/>
      <c r="Z80" s="149" t="str">
        <f t="shared" ca="1" si="1"/>
        <v/>
      </c>
      <c r="AA80" s="149" t="str">
        <f ca="1">IFERROR(IF(OR(OFFSET('S4'!#REF!,MATCH($A80,'S4'!$D$5:$D$3387,0)-1,6)="巻返し",OFFSET('S4'!#REF!,MATCH($A80,'S4'!$D$5:$D$3387,0)-1,6)="スリット"),SUMIF('S4'!$D$5:$D$3387,$A80,'S4'!$U$5:$U$3387),""),"")</f>
        <v/>
      </c>
      <c r="AB80" s="149" t="str">
        <f ca="1">IFERROR(IF(OR(OFFSET('S5'!#REF!,MATCH($A80,'S5'!$D$5:$D$2917,0)-1,6)="巻返し",OFFSET('S5'!#REF!,MATCH($A80,'S5'!$D$5:$D$2917,0)-1,6)="スリット"),SUMIF('S5'!$D$5:$D$2917,$A80,'S5'!$T$5:$T$2917),""),"")</f>
        <v/>
      </c>
    </row>
    <row r="81" spans="1:28" s="144" customFormat="1" ht="11.25" x14ac:dyDescent="0.15">
      <c r="A81" s="177">
        <v>3671836</v>
      </c>
      <c r="B81" s="177" t="s">
        <v>351</v>
      </c>
      <c r="C81" s="177" t="s">
        <v>352</v>
      </c>
      <c r="D81" s="177" t="s">
        <v>353</v>
      </c>
      <c r="E81" s="177" t="s">
        <v>116</v>
      </c>
      <c r="F81" s="177" t="s">
        <v>158</v>
      </c>
      <c r="G81" s="177" t="s">
        <v>19</v>
      </c>
      <c r="H81" s="177" t="s">
        <v>20</v>
      </c>
      <c r="I81" s="177" t="s">
        <v>165</v>
      </c>
      <c r="J81" s="177"/>
      <c r="K81" s="177" t="s">
        <v>192</v>
      </c>
      <c r="L81" s="177">
        <v>50</v>
      </c>
      <c r="M81" s="177" t="s">
        <v>193</v>
      </c>
      <c r="N81" s="178">
        <v>1005</v>
      </c>
      <c r="O81" s="178">
        <v>1000</v>
      </c>
      <c r="P81" s="178">
        <v>4000</v>
      </c>
      <c r="Q81" s="177">
        <v>2</v>
      </c>
      <c r="R81" s="177">
        <v>3</v>
      </c>
      <c r="S81" s="177" t="s">
        <v>354</v>
      </c>
      <c r="T81" s="179">
        <v>44763</v>
      </c>
      <c r="U81" s="179">
        <v>44795</v>
      </c>
      <c r="V81" s="177" t="s">
        <v>355</v>
      </c>
      <c r="W81" s="177"/>
      <c r="X81" s="177"/>
      <c r="Z81" s="149" t="str">
        <f t="shared" ca="1" si="1"/>
        <v/>
      </c>
      <c r="AA81" s="149" t="str">
        <f ca="1">IFERROR(IF(OR(OFFSET('S4'!#REF!,MATCH($A81,'S4'!$D$5:$D$3387,0)-1,6)="巻返し",OFFSET('S4'!#REF!,MATCH($A81,'S4'!$D$5:$D$3387,0)-1,6)="スリット"),SUMIF('S4'!$D$5:$D$3387,$A81,'S4'!$U$5:$U$3387),""),"")</f>
        <v/>
      </c>
      <c r="AB81" s="149" t="str">
        <f ca="1">IFERROR(IF(OR(OFFSET('S5'!#REF!,MATCH($A81,'S5'!$D$5:$D$2917,0)-1,6)="巻返し",OFFSET('S5'!#REF!,MATCH($A81,'S5'!$D$5:$D$2917,0)-1,6)="スリット"),SUMIF('S5'!$D$5:$D$2917,$A81,'S5'!$T$5:$T$2917),""),"")</f>
        <v/>
      </c>
    </row>
    <row r="82" spans="1:28" s="144" customFormat="1" ht="11.25" x14ac:dyDescent="0.15">
      <c r="A82" s="177">
        <v>3671837</v>
      </c>
      <c r="B82" s="177" t="s">
        <v>351</v>
      </c>
      <c r="C82" s="177" t="s">
        <v>352</v>
      </c>
      <c r="D82" s="177" t="s">
        <v>353</v>
      </c>
      <c r="E82" s="177" t="s">
        <v>116</v>
      </c>
      <c r="F82" s="177" t="s">
        <v>158</v>
      </c>
      <c r="G82" s="177" t="s">
        <v>19</v>
      </c>
      <c r="H82" s="177" t="s">
        <v>20</v>
      </c>
      <c r="I82" s="177" t="s">
        <v>165</v>
      </c>
      <c r="J82" s="177"/>
      <c r="K82" s="177" t="s">
        <v>197</v>
      </c>
      <c r="L82" s="177">
        <v>50</v>
      </c>
      <c r="M82" s="177" t="s">
        <v>198</v>
      </c>
      <c r="N82" s="178">
        <v>1005</v>
      </c>
      <c r="O82" s="178">
        <v>1000</v>
      </c>
      <c r="P82" s="178">
        <v>4000</v>
      </c>
      <c r="Q82" s="177">
        <v>2</v>
      </c>
      <c r="R82" s="177">
        <v>3</v>
      </c>
      <c r="S82" s="177" t="s">
        <v>354</v>
      </c>
      <c r="T82" s="179">
        <v>44763</v>
      </c>
      <c r="U82" s="179">
        <v>44795</v>
      </c>
      <c r="V82" s="177" t="s">
        <v>355</v>
      </c>
      <c r="W82" s="177"/>
      <c r="X82" s="177"/>
      <c r="Z82" s="149" t="str">
        <f t="shared" ca="1" si="1"/>
        <v/>
      </c>
      <c r="AA82" s="149" t="str">
        <f ca="1">IFERROR(IF(OR(OFFSET('S4'!#REF!,MATCH($A82,'S4'!$D$5:$D$3387,0)-1,6)="巻返し",OFFSET('S4'!#REF!,MATCH($A82,'S4'!$D$5:$D$3387,0)-1,6)="スリット"),SUMIF('S4'!$D$5:$D$3387,$A82,'S4'!$U$5:$U$3387),""),"")</f>
        <v/>
      </c>
      <c r="AB82" s="149" t="str">
        <f ca="1">IFERROR(IF(OR(OFFSET('S5'!#REF!,MATCH($A82,'S5'!$D$5:$D$2917,0)-1,6)="巻返し",OFFSET('S5'!#REF!,MATCH($A82,'S5'!$D$5:$D$2917,0)-1,6)="スリット"),SUMIF('S5'!$D$5:$D$2917,$A82,'S5'!$T$5:$T$2917),""),"")</f>
        <v/>
      </c>
    </row>
    <row r="83" spans="1:28" s="144" customFormat="1" ht="11.25" x14ac:dyDescent="0.15">
      <c r="A83" s="177">
        <v>3671838</v>
      </c>
      <c r="B83" s="177" t="s">
        <v>351</v>
      </c>
      <c r="C83" s="177" t="s">
        <v>352</v>
      </c>
      <c r="D83" s="177" t="s">
        <v>353</v>
      </c>
      <c r="E83" s="177" t="s">
        <v>116</v>
      </c>
      <c r="F83" s="177">
        <v>3</v>
      </c>
      <c r="G83" s="177" t="s">
        <v>19</v>
      </c>
      <c r="H83" s="177" t="s">
        <v>20</v>
      </c>
      <c r="I83" s="177" t="s">
        <v>165</v>
      </c>
      <c r="J83" s="177"/>
      <c r="K83" s="177" t="s">
        <v>166</v>
      </c>
      <c r="L83" s="177">
        <v>50</v>
      </c>
      <c r="M83" s="177" t="s">
        <v>167</v>
      </c>
      <c r="N83" s="178">
        <v>1005</v>
      </c>
      <c r="O83" s="178">
        <v>1000</v>
      </c>
      <c r="P83" s="178">
        <v>2000</v>
      </c>
      <c r="Q83" s="177">
        <v>2</v>
      </c>
      <c r="R83" s="177">
        <v>2</v>
      </c>
      <c r="S83" s="177" t="s">
        <v>354</v>
      </c>
      <c r="T83" s="179">
        <v>44763</v>
      </c>
      <c r="U83" s="179">
        <v>44792</v>
      </c>
      <c r="V83" s="177" t="s">
        <v>355</v>
      </c>
      <c r="W83" s="177"/>
      <c r="X83" s="177"/>
      <c r="Z83" s="149" t="str">
        <f t="shared" ca="1" si="1"/>
        <v/>
      </c>
      <c r="AA83" s="149" t="str">
        <f ca="1">IFERROR(IF(OR(OFFSET('S4'!#REF!,MATCH($A83,'S4'!$D$5:$D$3387,0)-1,6)="巻返し",OFFSET('S4'!#REF!,MATCH($A83,'S4'!$D$5:$D$3387,0)-1,6)="スリット"),SUMIF('S4'!$D$5:$D$3387,$A83,'S4'!$U$5:$U$3387),""),"")</f>
        <v/>
      </c>
      <c r="AB83" s="149" t="str">
        <f ca="1">IFERROR(IF(OR(OFFSET('S5'!#REF!,MATCH($A83,'S5'!$D$5:$D$2917,0)-1,6)="巻返し",OFFSET('S5'!#REF!,MATCH($A83,'S5'!$D$5:$D$2917,0)-1,6)="スリット"),SUMIF('S5'!$D$5:$D$2917,$A83,'S5'!$T$5:$T$2917),""),"")</f>
        <v/>
      </c>
    </row>
    <row r="84" spans="1:28" s="144" customFormat="1" ht="11.25" x14ac:dyDescent="0.15">
      <c r="A84" s="177">
        <v>3671839</v>
      </c>
      <c r="B84" s="177" t="s">
        <v>351</v>
      </c>
      <c r="C84" s="177" t="s">
        <v>352</v>
      </c>
      <c r="D84" s="177" t="s">
        <v>353</v>
      </c>
      <c r="E84" s="177" t="s">
        <v>116</v>
      </c>
      <c r="F84" s="177">
        <v>3</v>
      </c>
      <c r="G84" s="177" t="s">
        <v>19</v>
      </c>
      <c r="H84" s="177" t="s">
        <v>20</v>
      </c>
      <c r="I84" s="177" t="s">
        <v>165</v>
      </c>
      <c r="J84" s="177"/>
      <c r="K84" s="177" t="s">
        <v>172</v>
      </c>
      <c r="L84" s="177">
        <v>50</v>
      </c>
      <c r="M84" s="177" t="s">
        <v>173</v>
      </c>
      <c r="N84" s="178">
        <v>1005</v>
      </c>
      <c r="O84" s="178">
        <v>1000</v>
      </c>
      <c r="P84" s="178">
        <v>2000</v>
      </c>
      <c r="Q84" s="177">
        <v>2</v>
      </c>
      <c r="R84" s="177">
        <v>6</v>
      </c>
      <c r="S84" s="177" t="s">
        <v>354</v>
      </c>
      <c r="T84" s="179">
        <v>44763</v>
      </c>
      <c r="U84" s="179">
        <v>44795</v>
      </c>
      <c r="V84" s="177" t="s">
        <v>355</v>
      </c>
      <c r="W84" s="177"/>
      <c r="X84" s="177"/>
      <c r="Z84" s="149" t="str">
        <f t="shared" ca="1" si="1"/>
        <v/>
      </c>
      <c r="AA84" s="149" t="str">
        <f ca="1">IFERROR(IF(OR(OFFSET('S4'!#REF!,MATCH($A84,'S4'!$D$5:$D$3387,0)-1,6)="巻返し",OFFSET('S4'!#REF!,MATCH($A84,'S4'!$D$5:$D$3387,0)-1,6)="スリット"),SUMIF('S4'!$D$5:$D$3387,$A84,'S4'!$U$5:$U$3387),""),"")</f>
        <v/>
      </c>
      <c r="AB84" s="149" t="str">
        <f ca="1">IFERROR(IF(OR(OFFSET('S5'!#REF!,MATCH($A84,'S5'!$D$5:$D$2917,0)-1,6)="巻返し",OFFSET('S5'!#REF!,MATCH($A84,'S5'!$D$5:$D$2917,0)-1,6)="スリット"),SUMIF('S5'!$D$5:$D$2917,$A84,'S5'!$T$5:$T$2917),""),"")</f>
        <v/>
      </c>
    </row>
    <row r="85" spans="1:28" s="144" customFormat="1" ht="11.25" x14ac:dyDescent="0.15">
      <c r="A85" s="177">
        <v>3671840</v>
      </c>
      <c r="B85" s="177" t="s">
        <v>351</v>
      </c>
      <c r="C85" s="177" t="s">
        <v>352</v>
      </c>
      <c r="D85" s="177" t="s">
        <v>353</v>
      </c>
      <c r="E85" s="177" t="s">
        <v>116</v>
      </c>
      <c r="F85" s="177">
        <v>3</v>
      </c>
      <c r="G85" s="177" t="s">
        <v>19</v>
      </c>
      <c r="H85" s="177" t="s">
        <v>20</v>
      </c>
      <c r="I85" s="177" t="s">
        <v>165</v>
      </c>
      <c r="J85" s="177"/>
      <c r="K85" s="177" t="s">
        <v>176</v>
      </c>
      <c r="L85" s="177">
        <v>50</v>
      </c>
      <c r="M85" s="177" t="s">
        <v>177</v>
      </c>
      <c r="N85" s="178">
        <v>1005</v>
      </c>
      <c r="O85" s="178">
        <v>1000</v>
      </c>
      <c r="P85" s="178">
        <v>4000</v>
      </c>
      <c r="Q85" s="177">
        <v>2</v>
      </c>
      <c r="R85" s="177">
        <v>3</v>
      </c>
      <c r="S85" s="177" t="s">
        <v>354</v>
      </c>
      <c r="T85" s="179">
        <v>44763</v>
      </c>
      <c r="U85" s="179">
        <v>44795</v>
      </c>
      <c r="V85" s="177" t="s">
        <v>355</v>
      </c>
      <c r="W85" s="177"/>
      <c r="X85" s="177"/>
      <c r="Z85" s="149" t="str">
        <f t="shared" ca="1" si="1"/>
        <v/>
      </c>
      <c r="AA85" s="149" t="str">
        <f ca="1">IFERROR(IF(OR(OFFSET('S4'!#REF!,MATCH($A85,'S4'!$D$5:$D$3387,0)-1,6)="巻返し",OFFSET('S4'!#REF!,MATCH($A85,'S4'!$D$5:$D$3387,0)-1,6)="スリット"),SUMIF('S4'!$D$5:$D$3387,$A85,'S4'!$U$5:$U$3387),""),"")</f>
        <v/>
      </c>
      <c r="AB85" s="149" t="str">
        <f ca="1">IFERROR(IF(OR(OFFSET('S5'!#REF!,MATCH($A85,'S5'!$D$5:$D$2917,0)-1,6)="巻返し",OFFSET('S5'!#REF!,MATCH($A85,'S5'!$D$5:$D$2917,0)-1,6)="スリット"),SUMIF('S5'!$D$5:$D$2917,$A85,'S5'!$T$5:$T$2917),""),"")</f>
        <v/>
      </c>
    </row>
    <row r="86" spans="1:28" s="144" customFormat="1" ht="11.25" x14ac:dyDescent="0.15">
      <c r="A86" s="177">
        <v>3671841</v>
      </c>
      <c r="B86" s="177" t="s">
        <v>351</v>
      </c>
      <c r="C86" s="177" t="s">
        <v>352</v>
      </c>
      <c r="D86" s="177" t="s">
        <v>353</v>
      </c>
      <c r="E86" s="177" t="s">
        <v>116</v>
      </c>
      <c r="F86" s="177">
        <v>3</v>
      </c>
      <c r="G86" s="177" t="s">
        <v>19</v>
      </c>
      <c r="H86" s="177" t="s">
        <v>20</v>
      </c>
      <c r="I86" s="177" t="s">
        <v>143</v>
      </c>
      <c r="J86" s="177"/>
      <c r="K86" s="177" t="s">
        <v>152</v>
      </c>
      <c r="L86" s="177">
        <v>38</v>
      </c>
      <c r="M86" s="177" t="s">
        <v>153</v>
      </c>
      <c r="N86" s="178">
        <v>1005</v>
      </c>
      <c r="O86" s="178">
        <v>1000</v>
      </c>
      <c r="P86" s="178">
        <v>4000</v>
      </c>
      <c r="Q86" s="177">
        <v>2</v>
      </c>
      <c r="R86" s="177">
        <v>2</v>
      </c>
      <c r="S86" s="177" t="s">
        <v>354</v>
      </c>
      <c r="T86" s="179">
        <v>44763</v>
      </c>
      <c r="U86" s="179">
        <v>44795</v>
      </c>
      <c r="V86" s="177" t="s">
        <v>355</v>
      </c>
      <c r="W86" s="177"/>
      <c r="X86" s="177"/>
      <c r="Z86" s="149" t="str">
        <f t="shared" ca="1" si="1"/>
        <v/>
      </c>
      <c r="AA86" s="149" t="str">
        <f ca="1">IFERROR(IF(OR(OFFSET('S4'!#REF!,MATCH($A86,'S4'!$D$5:$D$3387,0)-1,6)="巻返し",OFFSET('S4'!#REF!,MATCH($A86,'S4'!$D$5:$D$3387,0)-1,6)="スリット"),SUMIF('S4'!$D$5:$D$3387,$A86,'S4'!$U$5:$U$3387),""),"")</f>
        <v/>
      </c>
      <c r="AB86" s="149" t="str">
        <f ca="1">IFERROR(IF(OR(OFFSET('S5'!#REF!,MATCH($A86,'S5'!$D$5:$D$2917,0)-1,6)="巻返し",OFFSET('S5'!#REF!,MATCH($A86,'S5'!$D$5:$D$2917,0)-1,6)="スリット"),SUMIF('S5'!$D$5:$D$2917,$A86,'S5'!$T$5:$T$2917),""),"")</f>
        <v/>
      </c>
    </row>
    <row r="87" spans="1:28" s="144" customFormat="1" ht="11.25" x14ac:dyDescent="0.15">
      <c r="A87" s="177">
        <v>3671842</v>
      </c>
      <c r="B87" s="177" t="s">
        <v>351</v>
      </c>
      <c r="C87" s="177" t="s">
        <v>352</v>
      </c>
      <c r="D87" s="177" t="s">
        <v>353</v>
      </c>
      <c r="E87" s="177" t="s">
        <v>116</v>
      </c>
      <c r="F87" s="177">
        <v>3</v>
      </c>
      <c r="G87" s="177" t="s">
        <v>19</v>
      </c>
      <c r="H87" s="177" t="s">
        <v>28</v>
      </c>
      <c r="I87" s="177" t="s">
        <v>205</v>
      </c>
      <c r="J87" s="177"/>
      <c r="K87" s="177" t="s">
        <v>237</v>
      </c>
      <c r="L87" s="177">
        <v>50</v>
      </c>
      <c r="M87" s="177" t="s">
        <v>238</v>
      </c>
      <c r="N87" s="178">
        <v>1120</v>
      </c>
      <c r="O87" s="178">
        <v>1120</v>
      </c>
      <c r="P87" s="178">
        <v>4000</v>
      </c>
      <c r="Q87" s="177">
        <v>2</v>
      </c>
      <c r="R87" s="177">
        <v>2</v>
      </c>
      <c r="S87" s="177" t="s">
        <v>354</v>
      </c>
      <c r="T87" s="179">
        <v>44763</v>
      </c>
      <c r="U87" s="179">
        <v>44795</v>
      </c>
      <c r="V87" s="177" t="s">
        <v>355</v>
      </c>
      <c r="W87" s="177"/>
      <c r="X87" s="177"/>
      <c r="Z87" s="149" t="str">
        <f t="shared" ca="1" si="1"/>
        <v/>
      </c>
      <c r="AA87" s="149" t="str">
        <f ca="1">IFERROR(IF(OR(OFFSET('S4'!#REF!,MATCH($A87,'S4'!$D$5:$D$3387,0)-1,6)="巻返し",OFFSET('S4'!#REF!,MATCH($A87,'S4'!$D$5:$D$3387,0)-1,6)="スリット"),SUMIF('S4'!$D$5:$D$3387,$A87,'S4'!$U$5:$U$3387),""),"")</f>
        <v/>
      </c>
      <c r="AB87" s="149" t="str">
        <f ca="1">IFERROR(IF(OR(OFFSET('S5'!#REF!,MATCH($A87,'S5'!$D$5:$D$2917,0)-1,6)="巻返し",OFFSET('S5'!#REF!,MATCH($A87,'S5'!$D$5:$D$2917,0)-1,6)="スリット"),SUMIF('S5'!$D$5:$D$2917,$A87,'S5'!$T$5:$T$2917),""),"")</f>
        <v/>
      </c>
    </row>
    <row r="88" spans="1:28" s="144" customFormat="1" ht="11.25" x14ac:dyDescent="0.15">
      <c r="A88" s="177">
        <v>3671843</v>
      </c>
      <c r="B88" s="177" t="s">
        <v>351</v>
      </c>
      <c r="C88" s="177" t="s">
        <v>352</v>
      </c>
      <c r="D88" s="177" t="s">
        <v>353</v>
      </c>
      <c r="E88" s="177" t="s">
        <v>116</v>
      </c>
      <c r="F88" s="177">
        <v>3</v>
      </c>
      <c r="G88" s="177" t="s">
        <v>19</v>
      </c>
      <c r="H88" s="177" t="s">
        <v>28</v>
      </c>
      <c r="I88" s="177" t="s">
        <v>205</v>
      </c>
      <c r="J88" s="177"/>
      <c r="K88" s="177" t="s">
        <v>237</v>
      </c>
      <c r="L88" s="177">
        <v>25</v>
      </c>
      <c r="M88" s="177" t="s">
        <v>238</v>
      </c>
      <c r="N88" s="178">
        <v>1120</v>
      </c>
      <c r="O88" s="178">
        <v>1120</v>
      </c>
      <c r="P88" s="178">
        <v>8000</v>
      </c>
      <c r="Q88" s="177">
        <v>2</v>
      </c>
      <c r="R88" s="177">
        <v>1</v>
      </c>
      <c r="S88" s="177" t="s">
        <v>354</v>
      </c>
      <c r="T88" s="179">
        <v>44763</v>
      </c>
      <c r="U88" s="179">
        <v>44795</v>
      </c>
      <c r="V88" s="177" t="s">
        <v>355</v>
      </c>
      <c r="W88" s="177"/>
      <c r="X88" s="177"/>
      <c r="Z88" s="149" t="str">
        <f t="shared" ca="1" si="1"/>
        <v/>
      </c>
      <c r="AA88" s="149" t="str">
        <f ca="1">IFERROR(IF(OR(OFFSET('S4'!#REF!,MATCH($A88,'S4'!$D$5:$D$3387,0)-1,6)="巻返し",OFFSET('S4'!#REF!,MATCH($A88,'S4'!$D$5:$D$3387,0)-1,6)="スリット"),SUMIF('S4'!$D$5:$D$3387,$A88,'S4'!$U$5:$U$3387),""),"")</f>
        <v/>
      </c>
      <c r="AB88" s="149" t="str">
        <f ca="1">IFERROR(IF(OR(OFFSET('S5'!#REF!,MATCH($A88,'S5'!$D$5:$D$2917,0)-1,6)="巻返し",OFFSET('S5'!#REF!,MATCH($A88,'S5'!$D$5:$D$2917,0)-1,6)="スリット"),SUMIF('S5'!$D$5:$D$2917,$A88,'S5'!$T$5:$T$2917),""),"")</f>
        <v/>
      </c>
    </row>
    <row r="89" spans="1:28" s="144" customFormat="1" ht="11.25" x14ac:dyDescent="0.15">
      <c r="A89" s="177">
        <v>3671844</v>
      </c>
      <c r="B89" s="177" t="s">
        <v>351</v>
      </c>
      <c r="C89" s="177" t="s">
        <v>352</v>
      </c>
      <c r="D89" s="177" t="s">
        <v>353</v>
      </c>
      <c r="E89" s="177" t="s">
        <v>116</v>
      </c>
      <c r="F89" s="177">
        <v>3</v>
      </c>
      <c r="G89" s="177" t="s">
        <v>19</v>
      </c>
      <c r="H89" s="177" t="s">
        <v>28</v>
      </c>
      <c r="I89" s="177" t="s">
        <v>205</v>
      </c>
      <c r="J89" s="177"/>
      <c r="K89" s="177" t="s">
        <v>235</v>
      </c>
      <c r="L89" s="177">
        <v>50</v>
      </c>
      <c r="M89" s="177" t="s">
        <v>236</v>
      </c>
      <c r="N89" s="178">
        <v>1120</v>
      </c>
      <c r="O89" s="178">
        <v>1120</v>
      </c>
      <c r="P89" s="178">
        <v>4000</v>
      </c>
      <c r="Q89" s="177">
        <v>2</v>
      </c>
      <c r="R89" s="177">
        <v>16</v>
      </c>
      <c r="S89" s="177" t="s">
        <v>354</v>
      </c>
      <c r="T89" s="179">
        <v>44763</v>
      </c>
      <c r="U89" s="179">
        <v>44795</v>
      </c>
      <c r="V89" s="177" t="s">
        <v>355</v>
      </c>
      <c r="W89" s="177"/>
      <c r="X89" s="177"/>
      <c r="Z89" s="149" t="str">
        <f t="shared" ca="1" si="1"/>
        <v/>
      </c>
      <c r="AA89" s="149" t="str">
        <f ca="1">IFERROR(IF(OR(OFFSET('S4'!#REF!,MATCH($A89,'S4'!$D$5:$D$3387,0)-1,6)="巻返し",OFFSET('S4'!#REF!,MATCH($A89,'S4'!$D$5:$D$3387,0)-1,6)="スリット"),SUMIF('S4'!$D$5:$D$3387,$A89,'S4'!$U$5:$U$3387),""),"")</f>
        <v/>
      </c>
      <c r="AB89" s="149" t="str">
        <f ca="1">IFERROR(IF(OR(OFFSET('S5'!#REF!,MATCH($A89,'S5'!$D$5:$D$2917,0)-1,6)="巻返し",OFFSET('S5'!#REF!,MATCH($A89,'S5'!$D$5:$D$2917,0)-1,6)="スリット"),SUMIF('S5'!$D$5:$D$2917,$A89,'S5'!$T$5:$T$2917),""),"")</f>
        <v/>
      </c>
    </row>
    <row r="90" spans="1:28" s="144" customFormat="1" ht="11.25" x14ac:dyDescent="0.15">
      <c r="A90" s="177">
        <v>3671845</v>
      </c>
      <c r="B90" s="177" t="s">
        <v>351</v>
      </c>
      <c r="C90" s="177" t="s">
        <v>352</v>
      </c>
      <c r="D90" s="177" t="s">
        <v>353</v>
      </c>
      <c r="E90" s="177" t="s">
        <v>116</v>
      </c>
      <c r="F90" s="177">
        <v>3</v>
      </c>
      <c r="G90" s="177" t="s">
        <v>19</v>
      </c>
      <c r="H90" s="177" t="s">
        <v>28</v>
      </c>
      <c r="I90" s="177" t="s">
        <v>205</v>
      </c>
      <c r="J90" s="177"/>
      <c r="K90" s="177" t="s">
        <v>224</v>
      </c>
      <c r="L90" s="177">
        <v>25</v>
      </c>
      <c r="M90" s="177" t="s">
        <v>225</v>
      </c>
      <c r="N90" s="178">
        <v>1120</v>
      </c>
      <c r="O90" s="178">
        <v>1120</v>
      </c>
      <c r="P90" s="178">
        <v>8000</v>
      </c>
      <c r="Q90" s="177">
        <v>2</v>
      </c>
      <c r="R90" s="177">
        <v>1</v>
      </c>
      <c r="S90" s="177" t="s">
        <v>354</v>
      </c>
      <c r="T90" s="179">
        <v>44763</v>
      </c>
      <c r="U90" s="179">
        <v>44790</v>
      </c>
      <c r="V90" s="177" t="s">
        <v>355</v>
      </c>
      <c r="W90" s="177"/>
      <c r="X90" s="177"/>
      <c r="Z90" s="149" t="str">
        <f t="shared" ca="1" si="1"/>
        <v/>
      </c>
      <c r="AA90" s="149" t="str">
        <f ca="1">IFERROR(IF(OR(OFFSET('S4'!#REF!,MATCH($A90,'S4'!$D$5:$D$3387,0)-1,6)="巻返し",OFFSET('S4'!#REF!,MATCH($A90,'S4'!$D$5:$D$3387,0)-1,6)="スリット"),SUMIF('S4'!$D$5:$D$3387,$A90,'S4'!$U$5:$U$3387),""),"")</f>
        <v/>
      </c>
      <c r="AB90" s="149" t="str">
        <f ca="1">IFERROR(IF(OR(OFFSET('S5'!#REF!,MATCH($A90,'S5'!$D$5:$D$2917,0)-1,6)="巻返し",OFFSET('S5'!#REF!,MATCH($A90,'S5'!$D$5:$D$2917,0)-1,6)="スリット"),SUMIF('S5'!$D$5:$D$2917,$A90,'S5'!$T$5:$T$2917),""),"")</f>
        <v/>
      </c>
    </row>
    <row r="91" spans="1:28" s="144" customFormat="1" ht="11.25" x14ac:dyDescent="0.15">
      <c r="A91" s="177">
        <v>3671846</v>
      </c>
      <c r="B91" s="177" t="s">
        <v>351</v>
      </c>
      <c r="C91" s="177" t="s">
        <v>352</v>
      </c>
      <c r="D91" s="177" t="s">
        <v>353</v>
      </c>
      <c r="E91" s="177" t="s">
        <v>116</v>
      </c>
      <c r="F91" s="177">
        <v>3</v>
      </c>
      <c r="G91" s="177" t="s">
        <v>19</v>
      </c>
      <c r="H91" s="177" t="s">
        <v>28</v>
      </c>
      <c r="I91" s="177" t="s">
        <v>205</v>
      </c>
      <c r="J91" s="177"/>
      <c r="K91" s="177" t="s">
        <v>224</v>
      </c>
      <c r="L91" s="177">
        <v>50</v>
      </c>
      <c r="M91" s="177" t="s">
        <v>225</v>
      </c>
      <c r="N91" s="178">
        <v>1120</v>
      </c>
      <c r="O91" s="178">
        <v>1120</v>
      </c>
      <c r="P91" s="178">
        <v>5000</v>
      </c>
      <c r="Q91" s="177">
        <v>2</v>
      </c>
      <c r="R91" s="177">
        <v>2</v>
      </c>
      <c r="S91" s="177" t="s">
        <v>354</v>
      </c>
      <c r="T91" s="179">
        <v>44763</v>
      </c>
      <c r="U91" s="179">
        <v>44790</v>
      </c>
      <c r="V91" s="177" t="s">
        <v>355</v>
      </c>
      <c r="W91" s="177"/>
      <c r="X91" s="177"/>
      <c r="Z91" s="149" t="str">
        <f t="shared" ca="1" si="1"/>
        <v/>
      </c>
      <c r="AA91" s="149" t="str">
        <f ca="1">IFERROR(IF(OR(OFFSET('S4'!#REF!,MATCH($A91,'S4'!$D$5:$D$3387,0)-1,6)="巻返し",OFFSET('S4'!#REF!,MATCH($A91,'S4'!$D$5:$D$3387,0)-1,6)="スリット"),SUMIF('S4'!$D$5:$D$3387,$A91,'S4'!$U$5:$U$3387),""),"")</f>
        <v/>
      </c>
      <c r="AB91" s="149" t="str">
        <f ca="1">IFERROR(IF(OR(OFFSET('S5'!#REF!,MATCH($A91,'S5'!$D$5:$D$2917,0)-1,6)="巻返し",OFFSET('S5'!#REF!,MATCH($A91,'S5'!$D$5:$D$2917,0)-1,6)="スリット"),SUMIF('S5'!$D$5:$D$2917,$A91,'S5'!$T$5:$T$2917),""),"")</f>
        <v/>
      </c>
    </row>
    <row r="92" spans="1:28" s="144" customFormat="1" ht="11.25" x14ac:dyDescent="0.15">
      <c r="A92" s="177">
        <v>3672286</v>
      </c>
      <c r="B92" s="177" t="s">
        <v>510</v>
      </c>
      <c r="C92" s="177" t="s">
        <v>364</v>
      </c>
      <c r="D92" s="177" t="s">
        <v>353</v>
      </c>
      <c r="E92" s="177" t="s">
        <v>324</v>
      </c>
      <c r="F92" s="177">
        <v>3</v>
      </c>
      <c r="G92" s="177" t="s">
        <v>269</v>
      </c>
      <c r="H92" s="177" t="s">
        <v>20</v>
      </c>
      <c r="I92" s="177" t="s">
        <v>205</v>
      </c>
      <c r="J92" s="177"/>
      <c r="K92" s="177" t="s">
        <v>325</v>
      </c>
      <c r="L92" s="177">
        <v>9</v>
      </c>
      <c r="M92" s="177" t="s">
        <v>326</v>
      </c>
      <c r="N92" s="178">
        <v>1360</v>
      </c>
      <c r="O92" s="178">
        <v>1360</v>
      </c>
      <c r="P92" s="178">
        <v>2100</v>
      </c>
      <c r="Q92" s="177">
        <v>2</v>
      </c>
      <c r="R92" s="177">
        <v>25</v>
      </c>
      <c r="S92" s="177" t="s">
        <v>354</v>
      </c>
      <c r="T92" s="179">
        <v>44767</v>
      </c>
      <c r="U92" s="179">
        <v>44851</v>
      </c>
      <c r="V92" s="177" t="s">
        <v>428</v>
      </c>
      <c r="W92" s="177"/>
      <c r="X92" s="177"/>
      <c r="Z92" s="149" t="str">
        <f t="shared" ca="1" si="1"/>
        <v/>
      </c>
      <c r="AA92" s="149" t="str">
        <f ca="1">IFERROR(IF(OR(OFFSET('S4'!#REF!,MATCH($A92,'S4'!$D$5:$D$3387,0)-1,6)="巻返し",OFFSET('S4'!#REF!,MATCH($A92,'S4'!$D$5:$D$3387,0)-1,6)="スリット"),SUMIF('S4'!$D$5:$D$3387,$A92,'S4'!$U$5:$U$3387),""),"")</f>
        <v/>
      </c>
      <c r="AB92" s="149" t="str">
        <f ca="1">IFERROR(IF(OR(OFFSET('S5'!#REF!,MATCH($A92,'S5'!$D$5:$D$2917,0)-1,6)="巻返し",OFFSET('S5'!#REF!,MATCH($A92,'S5'!$D$5:$D$2917,0)-1,6)="スリット"),SUMIF('S5'!$D$5:$D$2917,$A92,'S5'!$T$5:$T$2917),""),"")</f>
        <v/>
      </c>
    </row>
    <row r="93" spans="1:28" s="144" customFormat="1" ht="11.25" x14ac:dyDescent="0.15">
      <c r="A93" s="177">
        <v>3672431</v>
      </c>
      <c r="B93" s="177" t="s">
        <v>510</v>
      </c>
      <c r="C93" s="177" t="s">
        <v>364</v>
      </c>
      <c r="D93" s="177" t="s">
        <v>353</v>
      </c>
      <c r="E93" s="177" t="s">
        <v>324</v>
      </c>
      <c r="F93" s="177">
        <v>3</v>
      </c>
      <c r="G93" s="177" t="s">
        <v>269</v>
      </c>
      <c r="H93" s="177" t="s">
        <v>20</v>
      </c>
      <c r="I93" s="177" t="s">
        <v>205</v>
      </c>
      <c r="J93" s="177"/>
      <c r="K93" s="177" t="s">
        <v>325</v>
      </c>
      <c r="L93" s="177">
        <v>9</v>
      </c>
      <c r="M93" s="177" t="s">
        <v>326</v>
      </c>
      <c r="N93" s="178">
        <v>1200</v>
      </c>
      <c r="O93" s="178">
        <v>1200</v>
      </c>
      <c r="P93" s="178">
        <v>2000</v>
      </c>
      <c r="Q93" s="177">
        <v>2</v>
      </c>
      <c r="R93" s="177">
        <v>5</v>
      </c>
      <c r="S93" s="177" t="s">
        <v>354</v>
      </c>
      <c r="T93" s="179">
        <v>44769</v>
      </c>
      <c r="U93" s="179">
        <v>44773</v>
      </c>
      <c r="V93" s="177" t="s">
        <v>428</v>
      </c>
      <c r="W93" s="177"/>
      <c r="X93" s="177"/>
      <c r="Z93" s="149" t="str">
        <f t="shared" ca="1" si="1"/>
        <v/>
      </c>
      <c r="AA93" s="149" t="str">
        <f ca="1">IFERROR(IF(OR(OFFSET('S4'!#REF!,MATCH($A93,'S4'!$D$5:$D$3387,0)-1,6)="巻返し",OFFSET('S4'!#REF!,MATCH($A93,'S4'!$D$5:$D$3387,0)-1,6)="スリット"),SUMIF('S4'!$D$5:$D$3387,$A93,'S4'!$U$5:$U$3387),""),"")</f>
        <v/>
      </c>
      <c r="AB93" s="149" t="str">
        <f ca="1">IFERROR(IF(OR(OFFSET('S5'!#REF!,MATCH($A93,'S5'!$D$5:$D$2917,0)-1,6)="巻返し",OFFSET('S5'!#REF!,MATCH($A93,'S5'!$D$5:$D$2917,0)-1,6)="スリット"),SUMIF('S5'!$D$5:$D$2917,$A93,'S5'!$T$5:$T$2917),""),"")</f>
        <v/>
      </c>
    </row>
    <row r="94" spans="1:28" s="144" customFormat="1" ht="11.25" x14ac:dyDescent="0.15">
      <c r="A94" s="177">
        <v>3673085</v>
      </c>
      <c r="B94" s="177" t="s">
        <v>423</v>
      </c>
      <c r="C94" s="177" t="s">
        <v>352</v>
      </c>
      <c r="D94" s="177" t="s">
        <v>353</v>
      </c>
      <c r="E94" s="177" t="s">
        <v>116</v>
      </c>
      <c r="F94" s="177">
        <v>3</v>
      </c>
      <c r="G94" s="177" t="s">
        <v>265</v>
      </c>
      <c r="H94" s="177" t="s">
        <v>20</v>
      </c>
      <c r="I94" s="177" t="s">
        <v>165</v>
      </c>
      <c r="J94" s="177"/>
      <c r="K94" s="177" t="s">
        <v>319</v>
      </c>
      <c r="L94" s="177">
        <v>25</v>
      </c>
      <c r="M94" s="177" t="s">
        <v>320</v>
      </c>
      <c r="N94" s="178">
        <v>1000</v>
      </c>
      <c r="O94" s="178">
        <v>1000</v>
      </c>
      <c r="P94" s="178">
        <v>2000</v>
      </c>
      <c r="Q94" s="177">
        <v>2</v>
      </c>
      <c r="R94" s="177">
        <v>2</v>
      </c>
      <c r="S94" s="177" t="s">
        <v>354</v>
      </c>
      <c r="T94" s="179">
        <v>44771</v>
      </c>
      <c r="U94" s="179">
        <v>44783</v>
      </c>
      <c r="V94" s="177" t="s">
        <v>355</v>
      </c>
      <c r="W94" s="177"/>
      <c r="X94" s="177"/>
      <c r="Z94" s="149" t="str">
        <f t="shared" ca="1" si="1"/>
        <v/>
      </c>
      <c r="AA94" s="149" t="str">
        <f ca="1">IFERROR(IF(OR(OFFSET('S4'!#REF!,MATCH($A94,'S4'!$D$5:$D$3387,0)-1,6)="巻返し",OFFSET('S4'!#REF!,MATCH($A94,'S4'!$D$5:$D$3387,0)-1,6)="スリット"),SUMIF('S4'!$D$5:$D$3387,$A94,'S4'!$U$5:$U$3387),""),"")</f>
        <v/>
      </c>
      <c r="AB94" s="149" t="str">
        <f ca="1">IFERROR(IF(OR(OFFSET('S5'!#REF!,MATCH($A94,'S5'!$D$5:$D$2917,0)-1,6)="巻返し",OFFSET('S5'!#REF!,MATCH($A94,'S5'!$D$5:$D$2917,0)-1,6)="スリット"),SUMIF('S5'!$D$5:$D$2917,$A94,'S5'!$T$5:$T$2917),""),"")</f>
        <v/>
      </c>
    </row>
    <row r="95" spans="1:28" s="144" customFormat="1" ht="11.25" x14ac:dyDescent="0.15">
      <c r="A95" s="177">
        <v>3673409</v>
      </c>
      <c r="B95" s="177" t="s">
        <v>351</v>
      </c>
      <c r="C95" s="177" t="s">
        <v>352</v>
      </c>
      <c r="D95" s="177" t="s">
        <v>353</v>
      </c>
      <c r="E95" s="177" t="s">
        <v>116</v>
      </c>
      <c r="F95" s="177">
        <v>3</v>
      </c>
      <c r="G95" s="177" t="s">
        <v>19</v>
      </c>
      <c r="H95" s="177" t="s">
        <v>20</v>
      </c>
      <c r="I95" s="177" t="s">
        <v>205</v>
      </c>
      <c r="J95" s="177"/>
      <c r="K95" s="177" t="s">
        <v>221</v>
      </c>
      <c r="L95" s="177">
        <v>25</v>
      </c>
      <c r="M95" s="177" t="s">
        <v>222</v>
      </c>
      <c r="N95" s="178">
        <v>1100</v>
      </c>
      <c r="O95" s="178">
        <v>1100</v>
      </c>
      <c r="P95" s="178">
        <v>6000</v>
      </c>
      <c r="Q95" s="177">
        <v>2</v>
      </c>
      <c r="R95" s="177">
        <v>1</v>
      </c>
      <c r="S95" s="177" t="s">
        <v>354</v>
      </c>
      <c r="T95" s="179">
        <v>44777</v>
      </c>
      <c r="U95" s="179">
        <v>44804</v>
      </c>
      <c r="V95" s="177" t="s">
        <v>355</v>
      </c>
      <c r="W95" s="177"/>
      <c r="X95" s="177"/>
      <c r="Z95" s="149" t="str">
        <f t="shared" ca="1" si="1"/>
        <v/>
      </c>
      <c r="AA95" s="149" t="str">
        <f ca="1">IFERROR(IF(OR(OFFSET('S4'!#REF!,MATCH($A95,'S4'!$D$5:$D$3387,0)-1,6)="巻返し",OFFSET('S4'!#REF!,MATCH($A95,'S4'!$D$5:$D$3387,0)-1,6)="スリット"),SUMIF('S4'!$D$5:$D$3387,$A95,'S4'!$U$5:$U$3387),""),"")</f>
        <v/>
      </c>
      <c r="AB95" s="149" t="str">
        <f ca="1">IFERROR(IF(OR(OFFSET('S5'!#REF!,MATCH($A95,'S5'!$D$5:$D$2917,0)-1,6)="巻返し",OFFSET('S5'!#REF!,MATCH($A95,'S5'!$D$5:$D$2917,0)-1,6)="スリット"),SUMIF('S5'!$D$5:$D$2917,$A95,'S5'!$T$5:$T$2917),""),"")</f>
        <v/>
      </c>
    </row>
    <row r="96" spans="1:28" s="144" customFormat="1" ht="11.25" x14ac:dyDescent="0.15">
      <c r="A96" s="177">
        <v>3674223</v>
      </c>
      <c r="B96" s="177" t="s">
        <v>423</v>
      </c>
      <c r="C96" s="177" t="s">
        <v>352</v>
      </c>
      <c r="D96" s="177" t="s">
        <v>353</v>
      </c>
      <c r="E96" s="177" t="s">
        <v>116</v>
      </c>
      <c r="F96" s="177">
        <v>3</v>
      </c>
      <c r="G96" s="177" t="s">
        <v>265</v>
      </c>
      <c r="H96" s="177" t="s">
        <v>20</v>
      </c>
      <c r="I96" s="177" t="s">
        <v>165</v>
      </c>
      <c r="J96" s="177"/>
      <c r="K96" s="177" t="s">
        <v>319</v>
      </c>
      <c r="L96" s="177">
        <v>50</v>
      </c>
      <c r="M96" s="177" t="s">
        <v>483</v>
      </c>
      <c r="N96" s="178">
        <v>1000</v>
      </c>
      <c r="O96" s="178">
        <v>1000</v>
      </c>
      <c r="P96" s="178">
        <v>1700</v>
      </c>
      <c r="Q96" s="177">
        <v>2</v>
      </c>
      <c r="R96" s="177">
        <v>1</v>
      </c>
      <c r="S96" s="177" t="s">
        <v>354</v>
      </c>
      <c r="T96" s="179">
        <v>44782</v>
      </c>
      <c r="U96" s="179">
        <v>44804</v>
      </c>
      <c r="V96" s="177" t="s">
        <v>355</v>
      </c>
      <c r="W96" s="177"/>
      <c r="X96" s="177"/>
      <c r="Z96" s="149" t="str">
        <f t="shared" ca="1" si="1"/>
        <v/>
      </c>
      <c r="AA96" s="149" t="str">
        <f ca="1">IFERROR(IF(OR(OFFSET('S4'!#REF!,MATCH($A96,'S4'!$D$5:$D$3387,0)-1,6)="巻返し",OFFSET('S4'!#REF!,MATCH($A96,'S4'!$D$5:$D$3387,0)-1,6)="スリット"),SUMIF('S4'!$D$5:$D$3387,$A96,'S4'!$U$5:$U$3387),""),"")</f>
        <v/>
      </c>
      <c r="AB96" s="149" t="str">
        <f ca="1">IFERROR(IF(OR(OFFSET('S5'!#REF!,MATCH($A96,'S5'!$D$5:$D$2917,0)-1,6)="巻返し",OFFSET('S5'!#REF!,MATCH($A96,'S5'!$D$5:$D$2917,0)-1,6)="スリット"),SUMIF('S5'!$D$5:$D$2917,$A96,'S5'!$T$5:$T$2917),""),"")</f>
        <v/>
      </c>
    </row>
    <row r="97" spans="1:28" s="144" customFormat="1" ht="11.25" x14ac:dyDescent="0.15">
      <c r="A97" s="177">
        <v>3674224</v>
      </c>
      <c r="B97" s="177" t="s">
        <v>423</v>
      </c>
      <c r="C97" s="177" t="s">
        <v>352</v>
      </c>
      <c r="D97" s="177" t="s">
        <v>353</v>
      </c>
      <c r="E97" s="177" t="s">
        <v>116</v>
      </c>
      <c r="F97" s="177">
        <v>3</v>
      </c>
      <c r="G97" s="177" t="s">
        <v>265</v>
      </c>
      <c r="H97" s="177" t="s">
        <v>20</v>
      </c>
      <c r="I97" s="177" t="s">
        <v>165</v>
      </c>
      <c r="J97" s="177"/>
      <c r="K97" s="177" t="s">
        <v>319</v>
      </c>
      <c r="L97" s="177">
        <v>50</v>
      </c>
      <c r="M97" s="177" t="s">
        <v>483</v>
      </c>
      <c r="N97" s="178">
        <v>1000</v>
      </c>
      <c r="O97" s="178">
        <v>1000</v>
      </c>
      <c r="P97" s="178">
        <v>1800</v>
      </c>
      <c r="Q97" s="177">
        <v>2</v>
      </c>
      <c r="R97" s="177">
        <v>2</v>
      </c>
      <c r="S97" s="177" t="s">
        <v>354</v>
      </c>
      <c r="T97" s="179">
        <v>44782</v>
      </c>
      <c r="U97" s="179">
        <v>44804</v>
      </c>
      <c r="V97" s="177" t="s">
        <v>355</v>
      </c>
      <c r="W97" s="177"/>
      <c r="X97" s="177"/>
      <c r="Z97" s="149" t="str">
        <f t="shared" ca="1" si="1"/>
        <v/>
      </c>
      <c r="AA97" s="149" t="str">
        <f ca="1">IFERROR(IF(OR(OFFSET('S4'!#REF!,MATCH($A97,'S4'!$D$5:$D$3387,0)-1,6)="巻返し",OFFSET('S4'!#REF!,MATCH($A97,'S4'!$D$5:$D$3387,0)-1,6)="スリット"),SUMIF('S4'!$D$5:$D$3387,$A97,'S4'!$U$5:$U$3387),""),"")</f>
        <v/>
      </c>
      <c r="AB97" s="149" t="str">
        <f ca="1">IFERROR(IF(OR(OFFSET('S5'!#REF!,MATCH($A97,'S5'!$D$5:$D$2917,0)-1,6)="巻返し",OFFSET('S5'!#REF!,MATCH($A97,'S5'!$D$5:$D$2917,0)-1,6)="スリット"),SUMIF('S5'!$D$5:$D$2917,$A97,'S5'!$T$5:$T$2917),""),"")</f>
        <v/>
      </c>
    </row>
    <row r="98" spans="1:28" s="144" customFormat="1" ht="11.25" x14ac:dyDescent="0.15">
      <c r="A98" s="177">
        <v>3674225</v>
      </c>
      <c r="B98" s="177" t="s">
        <v>423</v>
      </c>
      <c r="C98" s="177" t="s">
        <v>352</v>
      </c>
      <c r="D98" s="177" t="s">
        <v>353</v>
      </c>
      <c r="E98" s="177" t="s">
        <v>116</v>
      </c>
      <c r="F98" s="177">
        <v>3</v>
      </c>
      <c r="G98" s="177" t="s">
        <v>265</v>
      </c>
      <c r="H98" s="177" t="s">
        <v>20</v>
      </c>
      <c r="I98" s="177" t="s">
        <v>165</v>
      </c>
      <c r="J98" s="177"/>
      <c r="K98" s="177" t="s">
        <v>322</v>
      </c>
      <c r="L98" s="177">
        <v>50</v>
      </c>
      <c r="M98" s="177" t="s">
        <v>323</v>
      </c>
      <c r="N98" s="178">
        <v>1000</v>
      </c>
      <c r="O98" s="178">
        <v>1000</v>
      </c>
      <c r="P98" s="178">
        <v>1700</v>
      </c>
      <c r="Q98" s="177">
        <v>2</v>
      </c>
      <c r="R98" s="177">
        <v>1</v>
      </c>
      <c r="S98" s="177" t="s">
        <v>354</v>
      </c>
      <c r="T98" s="179">
        <v>44782</v>
      </c>
      <c r="U98" s="179">
        <v>44804</v>
      </c>
      <c r="V98" s="177" t="s">
        <v>355</v>
      </c>
      <c r="W98" s="177"/>
      <c r="X98" s="177"/>
      <c r="Z98" s="149" t="str">
        <f t="shared" ca="1" si="1"/>
        <v/>
      </c>
      <c r="AA98" s="149" t="str">
        <f ca="1">IFERROR(IF(OR(OFFSET('S4'!#REF!,MATCH($A98,'S4'!$D$5:$D$3387,0)-1,6)="巻返し",OFFSET('S4'!#REF!,MATCH($A98,'S4'!$D$5:$D$3387,0)-1,6)="スリット"),SUMIF('S4'!$D$5:$D$3387,$A98,'S4'!$U$5:$U$3387),""),"")</f>
        <v/>
      </c>
      <c r="AB98" s="149" t="str">
        <f ca="1">IFERROR(IF(OR(OFFSET('S5'!#REF!,MATCH($A98,'S5'!$D$5:$D$2917,0)-1,6)="巻返し",OFFSET('S5'!#REF!,MATCH($A98,'S5'!$D$5:$D$2917,0)-1,6)="スリット"),SUMIF('S5'!$D$5:$D$2917,$A98,'S5'!$T$5:$T$2917),""),"")</f>
        <v/>
      </c>
    </row>
    <row r="99" spans="1:28" s="144" customFormat="1" ht="11.25" x14ac:dyDescent="0.15">
      <c r="A99" s="177">
        <v>3674505</v>
      </c>
      <c r="B99" s="177" t="s">
        <v>351</v>
      </c>
      <c r="C99" s="177" t="s">
        <v>352</v>
      </c>
      <c r="D99" s="177" t="s">
        <v>353</v>
      </c>
      <c r="E99" s="177" t="s">
        <v>116</v>
      </c>
      <c r="F99" s="177">
        <v>3</v>
      </c>
      <c r="G99" s="177" t="s">
        <v>19</v>
      </c>
      <c r="H99" s="177" t="s">
        <v>20</v>
      </c>
      <c r="I99" s="177" t="s">
        <v>205</v>
      </c>
      <c r="J99" s="177"/>
      <c r="K99" s="177" t="s">
        <v>216</v>
      </c>
      <c r="L99" s="177">
        <v>25</v>
      </c>
      <c r="M99" s="177" t="s">
        <v>217</v>
      </c>
      <c r="N99" s="178">
        <v>1005</v>
      </c>
      <c r="O99" s="178">
        <v>1000</v>
      </c>
      <c r="P99" s="178">
        <v>4000</v>
      </c>
      <c r="Q99" s="177">
        <v>2</v>
      </c>
      <c r="R99" s="177">
        <v>3</v>
      </c>
      <c r="S99" s="177" t="s">
        <v>354</v>
      </c>
      <c r="T99" s="179">
        <v>44791</v>
      </c>
      <c r="U99" s="179">
        <v>44795</v>
      </c>
      <c r="V99" s="177" t="s">
        <v>355</v>
      </c>
      <c r="W99" s="177"/>
      <c r="X99" s="177"/>
      <c r="Z99" s="149" t="str">
        <f t="shared" ca="1" si="1"/>
        <v/>
      </c>
      <c r="AA99" s="149" t="str">
        <f ca="1">IFERROR(IF(OR(OFFSET('S4'!#REF!,MATCH($A99,'S4'!$D$5:$D$3387,0)-1,6)="巻返し",OFFSET('S4'!#REF!,MATCH($A99,'S4'!$D$5:$D$3387,0)-1,6)="スリット"),SUMIF('S4'!$D$5:$D$3387,$A99,'S4'!$U$5:$U$3387),""),"")</f>
        <v/>
      </c>
      <c r="AB99" s="149" t="str">
        <f ca="1">IFERROR(IF(OR(OFFSET('S5'!#REF!,MATCH($A99,'S5'!$D$5:$D$2917,0)-1,6)="巻返し",OFFSET('S5'!#REF!,MATCH($A99,'S5'!$D$5:$D$2917,0)-1,6)="スリット"),SUMIF('S5'!$D$5:$D$2917,$A99,'S5'!$T$5:$T$2917),""),"")</f>
        <v/>
      </c>
    </row>
    <row r="100" spans="1:28" s="144" customFormat="1" ht="11.25" x14ac:dyDescent="0.15">
      <c r="A100" s="177">
        <v>3674861</v>
      </c>
      <c r="B100" s="177" t="s">
        <v>351</v>
      </c>
      <c r="C100" s="177" t="s">
        <v>364</v>
      </c>
      <c r="D100" s="177" t="s">
        <v>353</v>
      </c>
      <c r="E100" s="177" t="s">
        <v>171</v>
      </c>
      <c r="F100" s="177">
        <v>3</v>
      </c>
      <c r="G100" s="177" t="s">
        <v>19</v>
      </c>
      <c r="H100" s="177" t="s">
        <v>20</v>
      </c>
      <c r="I100" s="177" t="s">
        <v>165</v>
      </c>
      <c r="J100" s="177"/>
      <c r="K100" s="177" t="s">
        <v>180</v>
      </c>
      <c r="L100" s="177">
        <v>50</v>
      </c>
      <c r="M100" s="177" t="s">
        <v>181</v>
      </c>
      <c r="N100" s="178">
        <v>1200</v>
      </c>
      <c r="O100" s="178">
        <v>1190</v>
      </c>
      <c r="P100" s="178">
        <v>6000</v>
      </c>
      <c r="Q100" s="177">
        <v>2</v>
      </c>
      <c r="R100" s="177">
        <v>6</v>
      </c>
      <c r="S100" s="177" t="s">
        <v>354</v>
      </c>
      <c r="T100" s="179">
        <v>44792</v>
      </c>
      <c r="U100" s="179">
        <v>44834</v>
      </c>
      <c r="V100" s="177" t="s">
        <v>355</v>
      </c>
      <c r="W100" s="177"/>
      <c r="X100" s="177"/>
      <c r="Z100" s="149" t="str">
        <f t="shared" ca="1" si="1"/>
        <v/>
      </c>
      <c r="AA100" s="149" t="str">
        <f ca="1">IFERROR(IF(OR(OFFSET('S4'!#REF!,MATCH($A100,'S4'!$D$5:$D$3387,0)-1,6)="巻返し",OFFSET('S4'!#REF!,MATCH($A100,'S4'!$D$5:$D$3387,0)-1,6)="スリット"),SUMIF('S4'!$D$5:$D$3387,$A100,'S4'!$U$5:$U$3387),""),"")</f>
        <v/>
      </c>
      <c r="AB100" s="149" t="str">
        <f ca="1">IFERROR(IF(OR(OFFSET('S5'!#REF!,MATCH($A100,'S5'!$D$5:$D$2917,0)-1,6)="巻返し",OFFSET('S5'!#REF!,MATCH($A100,'S5'!$D$5:$D$2917,0)-1,6)="スリット"),SUMIF('S5'!$D$5:$D$2917,$A100,'S5'!$T$5:$T$2917),""),"")</f>
        <v/>
      </c>
    </row>
    <row r="101" spans="1:28" s="144" customFormat="1" ht="11.25" x14ac:dyDescent="0.15">
      <c r="A101" s="177">
        <v>3674862</v>
      </c>
      <c r="B101" s="177" t="s">
        <v>351</v>
      </c>
      <c r="C101" s="177" t="s">
        <v>364</v>
      </c>
      <c r="D101" s="177" t="s">
        <v>353</v>
      </c>
      <c r="E101" s="177" t="s">
        <v>148</v>
      </c>
      <c r="F101" s="177">
        <v>3</v>
      </c>
      <c r="G101" s="177" t="s">
        <v>19</v>
      </c>
      <c r="H101" s="177" t="s">
        <v>20</v>
      </c>
      <c r="I101" s="177" t="s">
        <v>165</v>
      </c>
      <c r="J101" s="177"/>
      <c r="K101" s="177" t="s">
        <v>180</v>
      </c>
      <c r="L101" s="177">
        <v>50</v>
      </c>
      <c r="M101" s="177" t="s">
        <v>181</v>
      </c>
      <c r="N101" s="178">
        <v>1120</v>
      </c>
      <c r="O101" s="178">
        <v>1120</v>
      </c>
      <c r="P101" s="178">
        <v>4000</v>
      </c>
      <c r="Q101" s="177">
        <v>2</v>
      </c>
      <c r="R101" s="177">
        <v>6</v>
      </c>
      <c r="S101" s="177" t="s">
        <v>354</v>
      </c>
      <c r="T101" s="179">
        <v>44792</v>
      </c>
      <c r="U101" s="179">
        <v>44834</v>
      </c>
      <c r="V101" s="177" t="s">
        <v>355</v>
      </c>
      <c r="W101" s="177"/>
      <c r="X101" s="177"/>
      <c r="Z101" s="149" t="str">
        <f t="shared" ca="1" si="1"/>
        <v/>
      </c>
      <c r="AA101" s="149" t="str">
        <f ca="1">IFERROR(IF(OR(OFFSET('S4'!#REF!,MATCH($A101,'S4'!$D$5:$D$3387,0)-1,6)="巻返し",OFFSET('S4'!#REF!,MATCH($A101,'S4'!$D$5:$D$3387,0)-1,6)="スリット"),SUMIF('S4'!$D$5:$D$3387,$A101,'S4'!$U$5:$U$3387),""),"")</f>
        <v/>
      </c>
      <c r="AB101" s="149" t="str">
        <f ca="1">IFERROR(IF(OR(OFFSET('S5'!#REF!,MATCH($A101,'S5'!$D$5:$D$2917,0)-1,6)="巻返し",OFFSET('S5'!#REF!,MATCH($A101,'S5'!$D$5:$D$2917,0)-1,6)="スリット"),SUMIF('S5'!$D$5:$D$2917,$A101,'S5'!$T$5:$T$2917),""),"")</f>
        <v/>
      </c>
    </row>
    <row r="102" spans="1:28" s="144" customFormat="1" ht="11.25" x14ac:dyDescent="0.15">
      <c r="A102" s="177">
        <v>3675619</v>
      </c>
      <c r="B102" s="177" t="s">
        <v>351</v>
      </c>
      <c r="C102" s="177" t="s">
        <v>356</v>
      </c>
      <c r="D102" s="177" t="s">
        <v>353</v>
      </c>
      <c r="E102" s="177" t="s">
        <v>17</v>
      </c>
      <c r="F102" s="177">
        <v>3</v>
      </c>
      <c r="G102" s="177" t="s">
        <v>19</v>
      </c>
      <c r="H102" s="177" t="s">
        <v>20</v>
      </c>
      <c r="I102" s="177" t="s">
        <v>205</v>
      </c>
      <c r="J102" s="177"/>
      <c r="K102" s="177" t="s">
        <v>242</v>
      </c>
      <c r="L102" s="177">
        <v>50</v>
      </c>
      <c r="M102" s="177" t="s">
        <v>243</v>
      </c>
      <c r="N102" s="178">
        <v>1000</v>
      </c>
      <c r="O102" s="178">
        <v>1000</v>
      </c>
      <c r="P102" s="178">
        <v>1000</v>
      </c>
      <c r="Q102" s="177">
        <v>2</v>
      </c>
      <c r="R102" s="177">
        <v>6</v>
      </c>
      <c r="S102" s="177" t="s">
        <v>354</v>
      </c>
      <c r="T102" s="179">
        <v>44795</v>
      </c>
      <c r="U102" s="179">
        <v>44833</v>
      </c>
      <c r="V102" s="177" t="s">
        <v>355</v>
      </c>
      <c r="W102" s="177"/>
      <c r="X102" s="177"/>
      <c r="Z102" s="149" t="str">
        <f t="shared" ca="1" si="1"/>
        <v/>
      </c>
      <c r="AA102" s="149" t="str">
        <f ca="1">IFERROR(IF(OR(OFFSET('S4'!#REF!,MATCH($A102,'S4'!$D$5:$D$3387,0)-1,6)="巻返し",OFFSET('S4'!#REF!,MATCH($A102,'S4'!$D$5:$D$3387,0)-1,6)="スリット"),SUMIF('S4'!$D$5:$D$3387,$A102,'S4'!$U$5:$U$3387),""),"")</f>
        <v/>
      </c>
      <c r="AB102" s="149" t="str">
        <f ca="1">IFERROR(IF(OR(OFFSET('S5'!#REF!,MATCH($A102,'S5'!$D$5:$D$2917,0)-1,6)="巻返し",OFFSET('S5'!#REF!,MATCH($A102,'S5'!$D$5:$D$2917,0)-1,6)="スリット"),SUMIF('S5'!$D$5:$D$2917,$A102,'S5'!$T$5:$T$2917),""),"")</f>
        <v/>
      </c>
    </row>
    <row r="103" spans="1:28" s="144" customFormat="1" ht="11.25" x14ac:dyDescent="0.15">
      <c r="A103" s="177">
        <v>3675620</v>
      </c>
      <c r="B103" s="177" t="s">
        <v>351</v>
      </c>
      <c r="C103" s="177" t="s">
        <v>358</v>
      </c>
      <c r="D103" s="177" t="s">
        <v>353</v>
      </c>
      <c r="E103" s="177" t="s">
        <v>61</v>
      </c>
      <c r="F103" s="177">
        <v>3</v>
      </c>
      <c r="G103" s="177" t="s">
        <v>19</v>
      </c>
      <c r="H103" s="177" t="s">
        <v>20</v>
      </c>
      <c r="I103" s="177" t="s">
        <v>205</v>
      </c>
      <c r="J103" s="177"/>
      <c r="K103" s="177" t="s">
        <v>242</v>
      </c>
      <c r="L103" s="177">
        <v>50</v>
      </c>
      <c r="M103" s="177" t="s">
        <v>243</v>
      </c>
      <c r="N103" s="178">
        <v>1255</v>
      </c>
      <c r="O103" s="178">
        <v>1250</v>
      </c>
      <c r="P103" s="178">
        <v>2000</v>
      </c>
      <c r="Q103" s="177">
        <v>2</v>
      </c>
      <c r="R103" s="177">
        <v>6</v>
      </c>
      <c r="S103" s="177" t="s">
        <v>354</v>
      </c>
      <c r="T103" s="179">
        <v>44795</v>
      </c>
      <c r="U103" s="179">
        <v>44833</v>
      </c>
      <c r="V103" s="177" t="s">
        <v>355</v>
      </c>
      <c r="W103" s="177"/>
      <c r="X103" s="177"/>
      <c r="Z103" s="149" t="str">
        <f t="shared" ca="1" si="1"/>
        <v/>
      </c>
      <c r="AA103" s="149" t="str">
        <f ca="1">IFERROR(IF(OR(OFFSET('S4'!#REF!,MATCH($A103,'S4'!$D$5:$D$3387,0)-1,6)="巻返し",OFFSET('S4'!#REF!,MATCH($A103,'S4'!$D$5:$D$3387,0)-1,6)="スリット"),SUMIF('S4'!$D$5:$D$3387,$A103,'S4'!$U$5:$U$3387),""),"")</f>
        <v/>
      </c>
      <c r="AB103" s="149" t="str">
        <f ca="1">IFERROR(IF(OR(OFFSET('S5'!#REF!,MATCH($A103,'S5'!$D$5:$D$2917,0)-1,6)="巻返し",OFFSET('S5'!#REF!,MATCH($A103,'S5'!$D$5:$D$2917,0)-1,6)="スリット"),SUMIF('S5'!$D$5:$D$2917,$A103,'S5'!$T$5:$T$2917),""),"")</f>
        <v/>
      </c>
    </row>
    <row r="104" spans="1:28" s="144" customFormat="1" ht="11.25" x14ac:dyDescent="0.15">
      <c r="A104" s="177">
        <v>3675622</v>
      </c>
      <c r="B104" s="177" t="s">
        <v>351</v>
      </c>
      <c r="C104" s="177" t="s">
        <v>364</v>
      </c>
      <c r="D104" s="177" t="s">
        <v>353</v>
      </c>
      <c r="E104" s="177" t="s">
        <v>171</v>
      </c>
      <c r="F104" s="177" t="s">
        <v>96</v>
      </c>
      <c r="G104" s="177" t="s">
        <v>19</v>
      </c>
      <c r="H104" s="177" t="s">
        <v>20</v>
      </c>
      <c r="I104" s="177" t="s">
        <v>165</v>
      </c>
      <c r="J104" s="177"/>
      <c r="K104" s="177" t="s">
        <v>169</v>
      </c>
      <c r="L104" s="177">
        <v>50</v>
      </c>
      <c r="M104" s="177" t="s">
        <v>170</v>
      </c>
      <c r="N104" s="178">
        <v>1190</v>
      </c>
      <c r="O104" s="178">
        <v>1190</v>
      </c>
      <c r="P104" s="178">
        <v>6000</v>
      </c>
      <c r="Q104" s="177">
        <v>2</v>
      </c>
      <c r="R104" s="177">
        <v>15</v>
      </c>
      <c r="S104" s="177" t="s">
        <v>354</v>
      </c>
      <c r="T104" s="179">
        <v>44795</v>
      </c>
      <c r="U104" s="179">
        <v>44813</v>
      </c>
      <c r="V104" s="177" t="s">
        <v>355</v>
      </c>
      <c r="W104" s="177"/>
      <c r="X104" s="177"/>
      <c r="Z104" s="149" t="str">
        <f t="shared" ca="1" si="1"/>
        <v/>
      </c>
      <c r="AA104" s="149" t="str">
        <f ca="1">IFERROR(IF(OR(OFFSET('S4'!#REF!,MATCH($A104,'S4'!$D$5:$D$3387,0)-1,6)="巻返し",OFFSET('S4'!#REF!,MATCH($A104,'S4'!$D$5:$D$3387,0)-1,6)="スリット"),SUMIF('S4'!$D$5:$D$3387,$A104,'S4'!$U$5:$U$3387),""),"")</f>
        <v/>
      </c>
      <c r="AB104" s="149" t="str">
        <f ca="1">IFERROR(IF(OR(OFFSET('S5'!#REF!,MATCH($A104,'S5'!$D$5:$D$2917,0)-1,6)="巻返し",OFFSET('S5'!#REF!,MATCH($A104,'S5'!$D$5:$D$2917,0)-1,6)="スリット"),SUMIF('S5'!$D$5:$D$2917,$A104,'S5'!$T$5:$T$2917),""),"")</f>
        <v/>
      </c>
    </row>
    <row r="105" spans="1:28" s="144" customFormat="1" ht="11.25" x14ac:dyDescent="0.15">
      <c r="A105" s="177">
        <v>3675623</v>
      </c>
      <c r="B105" s="177" t="s">
        <v>351</v>
      </c>
      <c r="C105" s="177" t="s">
        <v>364</v>
      </c>
      <c r="D105" s="177" t="s">
        <v>353</v>
      </c>
      <c r="E105" s="177" t="s">
        <v>171</v>
      </c>
      <c r="F105" s="177">
        <v>3</v>
      </c>
      <c r="G105" s="177" t="s">
        <v>19</v>
      </c>
      <c r="H105" s="177" t="s">
        <v>20</v>
      </c>
      <c r="I105" s="177" t="s">
        <v>165</v>
      </c>
      <c r="J105" s="177"/>
      <c r="K105" s="177" t="s">
        <v>180</v>
      </c>
      <c r="L105" s="177">
        <v>50</v>
      </c>
      <c r="M105" s="177" t="s">
        <v>181</v>
      </c>
      <c r="N105" s="178">
        <v>1200</v>
      </c>
      <c r="O105" s="178">
        <v>1190</v>
      </c>
      <c r="P105" s="178">
        <v>6000</v>
      </c>
      <c r="Q105" s="177">
        <v>2</v>
      </c>
      <c r="R105" s="177">
        <v>8</v>
      </c>
      <c r="S105" s="177" t="s">
        <v>354</v>
      </c>
      <c r="T105" s="179">
        <v>44795</v>
      </c>
      <c r="U105" s="179">
        <v>44813</v>
      </c>
      <c r="V105" s="177" t="s">
        <v>355</v>
      </c>
      <c r="W105" s="177"/>
      <c r="X105" s="177"/>
      <c r="Z105" s="149" t="str">
        <f t="shared" ca="1" si="1"/>
        <v/>
      </c>
      <c r="AA105" s="149" t="str">
        <f ca="1">IFERROR(IF(OR(OFFSET('S4'!#REF!,MATCH($A105,'S4'!$D$5:$D$3387,0)-1,6)="巻返し",OFFSET('S4'!#REF!,MATCH($A105,'S4'!$D$5:$D$3387,0)-1,6)="スリット"),SUMIF('S4'!$D$5:$D$3387,$A105,'S4'!$U$5:$U$3387),""),"")</f>
        <v/>
      </c>
      <c r="AB105" s="149" t="str">
        <f ca="1">IFERROR(IF(OR(OFFSET('S5'!#REF!,MATCH($A105,'S5'!$D$5:$D$2917,0)-1,6)="巻返し",OFFSET('S5'!#REF!,MATCH($A105,'S5'!$D$5:$D$2917,0)-1,6)="スリット"),SUMIF('S5'!$D$5:$D$2917,$A105,'S5'!$T$5:$T$2917),""),"")</f>
        <v/>
      </c>
    </row>
    <row r="106" spans="1:28" s="144" customFormat="1" ht="11.25" x14ac:dyDescent="0.15">
      <c r="A106" s="177">
        <v>3675625</v>
      </c>
      <c r="B106" s="177" t="s">
        <v>351</v>
      </c>
      <c r="C106" s="177" t="s">
        <v>364</v>
      </c>
      <c r="D106" s="177" t="s">
        <v>353</v>
      </c>
      <c r="E106" s="177" t="s">
        <v>148</v>
      </c>
      <c r="F106" s="177">
        <v>3</v>
      </c>
      <c r="G106" s="177" t="s">
        <v>19</v>
      </c>
      <c r="H106" s="177" t="s">
        <v>20</v>
      </c>
      <c r="I106" s="177" t="s">
        <v>143</v>
      </c>
      <c r="J106" s="177"/>
      <c r="K106" s="177" t="s">
        <v>149</v>
      </c>
      <c r="L106" s="177">
        <v>50</v>
      </c>
      <c r="M106" s="177" t="s">
        <v>150</v>
      </c>
      <c r="N106" s="178">
        <v>1120</v>
      </c>
      <c r="O106" s="178">
        <v>1120</v>
      </c>
      <c r="P106" s="178">
        <v>6000</v>
      </c>
      <c r="Q106" s="177">
        <v>2</v>
      </c>
      <c r="R106" s="177">
        <v>2</v>
      </c>
      <c r="S106" s="177" t="s">
        <v>354</v>
      </c>
      <c r="T106" s="179">
        <v>44795</v>
      </c>
      <c r="U106" s="179">
        <v>44813</v>
      </c>
      <c r="V106" s="177" t="s">
        <v>355</v>
      </c>
      <c r="W106" s="177"/>
      <c r="X106" s="177"/>
      <c r="Z106" s="149" t="str">
        <f t="shared" ca="1" si="1"/>
        <v/>
      </c>
      <c r="AA106" s="149" t="str">
        <f ca="1">IFERROR(IF(OR(OFFSET('S4'!#REF!,MATCH($A106,'S4'!$D$5:$D$3387,0)-1,6)="巻返し",OFFSET('S4'!#REF!,MATCH($A106,'S4'!$D$5:$D$3387,0)-1,6)="スリット"),SUMIF('S4'!$D$5:$D$3387,$A106,'S4'!$U$5:$U$3387),""),"")</f>
        <v/>
      </c>
      <c r="AB106" s="149" t="str">
        <f ca="1">IFERROR(IF(OR(OFFSET('S5'!#REF!,MATCH($A106,'S5'!$D$5:$D$2917,0)-1,6)="巻返し",OFFSET('S5'!#REF!,MATCH($A106,'S5'!$D$5:$D$2917,0)-1,6)="スリット"),SUMIF('S5'!$D$5:$D$2917,$A106,'S5'!$T$5:$T$2917),""),"")</f>
        <v/>
      </c>
    </row>
    <row r="107" spans="1:28" s="144" customFormat="1" ht="11.25" x14ac:dyDescent="0.15">
      <c r="A107" s="177">
        <v>3675626</v>
      </c>
      <c r="B107" s="177" t="s">
        <v>351</v>
      </c>
      <c r="C107" s="177" t="s">
        <v>364</v>
      </c>
      <c r="D107" s="177" t="s">
        <v>353</v>
      </c>
      <c r="E107" s="177" t="s">
        <v>148</v>
      </c>
      <c r="F107" s="177">
        <v>3</v>
      </c>
      <c r="G107" s="177" t="s">
        <v>19</v>
      </c>
      <c r="H107" s="177" t="s">
        <v>20</v>
      </c>
      <c r="I107" s="177" t="s">
        <v>165</v>
      </c>
      <c r="J107" s="177"/>
      <c r="K107" s="177" t="s">
        <v>169</v>
      </c>
      <c r="L107" s="177">
        <v>50</v>
      </c>
      <c r="M107" s="177" t="s">
        <v>170</v>
      </c>
      <c r="N107" s="178">
        <v>1120</v>
      </c>
      <c r="O107" s="178">
        <v>1120</v>
      </c>
      <c r="P107" s="178">
        <v>6000</v>
      </c>
      <c r="Q107" s="177">
        <v>2</v>
      </c>
      <c r="R107" s="177">
        <v>1</v>
      </c>
      <c r="S107" s="177" t="s">
        <v>354</v>
      </c>
      <c r="T107" s="179">
        <v>44795</v>
      </c>
      <c r="U107" s="179">
        <v>44813</v>
      </c>
      <c r="V107" s="177" t="s">
        <v>355</v>
      </c>
      <c r="W107" s="177"/>
      <c r="X107" s="177"/>
      <c r="Z107" s="149" t="str">
        <f t="shared" ca="1" si="1"/>
        <v/>
      </c>
      <c r="AA107" s="149" t="str">
        <f ca="1">IFERROR(IF(OR(OFFSET('S4'!#REF!,MATCH($A107,'S4'!$D$5:$D$3387,0)-1,6)="巻返し",OFFSET('S4'!#REF!,MATCH($A107,'S4'!$D$5:$D$3387,0)-1,6)="スリット"),SUMIF('S4'!$D$5:$D$3387,$A107,'S4'!$U$5:$U$3387),""),"")</f>
        <v/>
      </c>
      <c r="AB107" s="149" t="str">
        <f ca="1">IFERROR(IF(OR(OFFSET('S5'!#REF!,MATCH($A107,'S5'!$D$5:$D$2917,0)-1,6)="巻返し",OFFSET('S5'!#REF!,MATCH($A107,'S5'!$D$5:$D$2917,0)-1,6)="スリット"),SUMIF('S5'!$D$5:$D$2917,$A107,'S5'!$T$5:$T$2917),""),"")</f>
        <v/>
      </c>
    </row>
    <row r="108" spans="1:28" s="144" customFormat="1" ht="11.25" x14ac:dyDescent="0.15">
      <c r="A108" s="177">
        <v>3675627</v>
      </c>
      <c r="B108" s="177" t="s">
        <v>351</v>
      </c>
      <c r="C108" s="177" t="s">
        <v>364</v>
      </c>
      <c r="D108" s="177" t="s">
        <v>353</v>
      </c>
      <c r="E108" s="177" t="s">
        <v>148</v>
      </c>
      <c r="F108" s="177">
        <v>3</v>
      </c>
      <c r="G108" s="177" t="s">
        <v>19</v>
      </c>
      <c r="H108" s="177" t="s">
        <v>20</v>
      </c>
      <c r="I108" s="177" t="s">
        <v>165</v>
      </c>
      <c r="J108" s="177"/>
      <c r="K108" s="177" t="s">
        <v>180</v>
      </c>
      <c r="L108" s="177">
        <v>25</v>
      </c>
      <c r="M108" s="177" t="s">
        <v>181</v>
      </c>
      <c r="N108" s="178">
        <v>1120</v>
      </c>
      <c r="O108" s="178">
        <v>1120</v>
      </c>
      <c r="P108" s="178">
        <v>4000</v>
      </c>
      <c r="Q108" s="177">
        <v>2</v>
      </c>
      <c r="R108" s="177">
        <v>4</v>
      </c>
      <c r="S108" s="177" t="s">
        <v>354</v>
      </c>
      <c r="T108" s="179">
        <v>44795</v>
      </c>
      <c r="U108" s="179">
        <v>44813</v>
      </c>
      <c r="V108" s="177" t="s">
        <v>355</v>
      </c>
      <c r="W108" s="177"/>
      <c r="X108" s="177"/>
      <c r="Z108" s="149" t="str">
        <f t="shared" ca="1" si="1"/>
        <v/>
      </c>
      <c r="AA108" s="149" t="str">
        <f ca="1">IFERROR(IF(OR(OFFSET('S4'!#REF!,MATCH($A108,'S4'!$D$5:$D$3387,0)-1,6)="巻返し",OFFSET('S4'!#REF!,MATCH($A108,'S4'!$D$5:$D$3387,0)-1,6)="スリット"),SUMIF('S4'!$D$5:$D$3387,$A108,'S4'!$U$5:$U$3387),""),"")</f>
        <v/>
      </c>
      <c r="AB108" s="149" t="str">
        <f ca="1">IFERROR(IF(OR(OFFSET('S5'!#REF!,MATCH($A108,'S5'!$D$5:$D$2917,0)-1,6)="巻返し",OFFSET('S5'!#REF!,MATCH($A108,'S5'!$D$5:$D$2917,0)-1,6)="スリット"),SUMIF('S5'!$D$5:$D$2917,$A108,'S5'!$T$5:$T$2917),""),"")</f>
        <v/>
      </c>
    </row>
    <row r="109" spans="1:28" s="144" customFormat="1" ht="11.25" x14ac:dyDescent="0.15">
      <c r="A109" s="177">
        <v>3675628</v>
      </c>
      <c r="B109" s="177" t="s">
        <v>351</v>
      </c>
      <c r="C109" s="177" t="s">
        <v>364</v>
      </c>
      <c r="D109" s="177" t="s">
        <v>353</v>
      </c>
      <c r="E109" s="177" t="s">
        <v>148</v>
      </c>
      <c r="F109" s="177">
        <v>3</v>
      </c>
      <c r="G109" s="177" t="s">
        <v>19</v>
      </c>
      <c r="H109" s="177" t="s">
        <v>20</v>
      </c>
      <c r="I109" s="177" t="s">
        <v>165</v>
      </c>
      <c r="J109" s="177"/>
      <c r="K109" s="177" t="s">
        <v>202</v>
      </c>
      <c r="L109" s="177">
        <v>50</v>
      </c>
      <c r="M109" s="177" t="s">
        <v>424</v>
      </c>
      <c r="N109" s="178">
        <v>1120</v>
      </c>
      <c r="O109" s="178">
        <v>1120</v>
      </c>
      <c r="P109" s="178">
        <v>5000</v>
      </c>
      <c r="Q109" s="177">
        <v>2</v>
      </c>
      <c r="R109" s="177">
        <v>1</v>
      </c>
      <c r="S109" s="177" t="s">
        <v>354</v>
      </c>
      <c r="T109" s="179">
        <v>44795</v>
      </c>
      <c r="U109" s="179">
        <v>44833</v>
      </c>
      <c r="V109" s="177" t="s">
        <v>355</v>
      </c>
      <c r="W109" s="177"/>
      <c r="X109" s="177"/>
      <c r="Z109" s="149" t="str">
        <f t="shared" ca="1" si="1"/>
        <v/>
      </c>
      <c r="AA109" s="149" t="str">
        <f ca="1">IFERROR(IF(OR(OFFSET('S4'!#REF!,MATCH($A109,'S4'!$D$5:$D$3387,0)-1,6)="巻返し",OFFSET('S4'!#REF!,MATCH($A109,'S4'!$D$5:$D$3387,0)-1,6)="スリット"),SUMIF('S4'!$D$5:$D$3387,$A109,'S4'!$U$5:$U$3387),""),"")</f>
        <v/>
      </c>
      <c r="AB109" s="149" t="str">
        <f ca="1">IFERROR(IF(OR(OFFSET('S5'!#REF!,MATCH($A109,'S5'!$D$5:$D$2917,0)-1,6)="巻返し",OFFSET('S5'!#REF!,MATCH($A109,'S5'!$D$5:$D$2917,0)-1,6)="スリット"),SUMIF('S5'!$D$5:$D$2917,$A109,'S5'!$T$5:$T$2917),""),"")</f>
        <v/>
      </c>
    </row>
    <row r="110" spans="1:28" s="144" customFormat="1" ht="11.25" x14ac:dyDescent="0.15">
      <c r="A110" s="177">
        <v>3675629</v>
      </c>
      <c r="B110" s="177" t="s">
        <v>351</v>
      </c>
      <c r="C110" s="177" t="s">
        <v>352</v>
      </c>
      <c r="D110" s="177" t="s">
        <v>353</v>
      </c>
      <c r="E110" s="177" t="s">
        <v>116</v>
      </c>
      <c r="F110" s="177">
        <v>3</v>
      </c>
      <c r="G110" s="177" t="s">
        <v>19</v>
      </c>
      <c r="H110" s="177" t="s">
        <v>20</v>
      </c>
      <c r="I110" s="177" t="s">
        <v>205</v>
      </c>
      <c r="J110" s="177"/>
      <c r="K110" s="177" t="s">
        <v>212</v>
      </c>
      <c r="L110" s="177">
        <v>25</v>
      </c>
      <c r="M110" s="177" t="s">
        <v>213</v>
      </c>
      <c r="N110" s="178">
        <v>1000</v>
      </c>
      <c r="O110" s="178">
        <v>1000</v>
      </c>
      <c r="P110" s="178">
        <v>4000</v>
      </c>
      <c r="Q110" s="177">
        <v>2</v>
      </c>
      <c r="R110" s="177">
        <v>3</v>
      </c>
      <c r="S110" s="177" t="s">
        <v>354</v>
      </c>
      <c r="T110" s="179">
        <v>44795</v>
      </c>
      <c r="U110" s="179">
        <v>44824</v>
      </c>
      <c r="V110" s="177" t="s">
        <v>355</v>
      </c>
      <c r="W110" s="177"/>
      <c r="X110" s="177"/>
      <c r="Z110" s="149" t="str">
        <f t="shared" ca="1" si="1"/>
        <v/>
      </c>
      <c r="AA110" s="149" t="str">
        <f ca="1">IFERROR(IF(OR(OFFSET('S4'!#REF!,MATCH($A110,'S4'!$D$5:$D$3387,0)-1,6)="巻返し",OFFSET('S4'!#REF!,MATCH($A110,'S4'!$D$5:$D$3387,0)-1,6)="スリット"),SUMIF('S4'!$D$5:$D$3387,$A110,'S4'!$U$5:$U$3387),""),"")</f>
        <v/>
      </c>
      <c r="AB110" s="149" t="str">
        <f ca="1">IFERROR(IF(OR(OFFSET('S5'!#REF!,MATCH($A110,'S5'!$D$5:$D$2917,0)-1,6)="巻返し",OFFSET('S5'!#REF!,MATCH($A110,'S5'!$D$5:$D$2917,0)-1,6)="スリット"),SUMIF('S5'!$D$5:$D$2917,$A110,'S5'!$T$5:$T$2917),""),"")</f>
        <v/>
      </c>
    </row>
    <row r="111" spans="1:28" s="144" customFormat="1" ht="11.25" x14ac:dyDescent="0.15">
      <c r="A111" s="177">
        <v>3675630</v>
      </c>
      <c r="B111" s="177" t="s">
        <v>351</v>
      </c>
      <c r="C111" s="177" t="s">
        <v>352</v>
      </c>
      <c r="D111" s="177" t="s">
        <v>353</v>
      </c>
      <c r="E111" s="177" t="s">
        <v>116</v>
      </c>
      <c r="F111" s="177">
        <v>3</v>
      </c>
      <c r="G111" s="177" t="s">
        <v>19</v>
      </c>
      <c r="H111" s="177" t="s">
        <v>20</v>
      </c>
      <c r="I111" s="177" t="s">
        <v>205</v>
      </c>
      <c r="J111" s="177"/>
      <c r="K111" s="177" t="s">
        <v>212</v>
      </c>
      <c r="L111" s="177">
        <v>25</v>
      </c>
      <c r="M111" s="177" t="s">
        <v>213</v>
      </c>
      <c r="N111" s="178">
        <v>1120</v>
      </c>
      <c r="O111" s="178">
        <v>1120</v>
      </c>
      <c r="P111" s="178">
        <v>4000</v>
      </c>
      <c r="Q111" s="177">
        <v>2</v>
      </c>
      <c r="R111" s="177">
        <v>3</v>
      </c>
      <c r="S111" s="177" t="s">
        <v>354</v>
      </c>
      <c r="T111" s="179">
        <v>44795</v>
      </c>
      <c r="U111" s="179">
        <v>44824</v>
      </c>
      <c r="V111" s="177" t="s">
        <v>355</v>
      </c>
      <c r="W111" s="177"/>
      <c r="X111" s="177"/>
      <c r="Z111" s="149" t="str">
        <f t="shared" ca="1" si="1"/>
        <v/>
      </c>
      <c r="AA111" s="149" t="str">
        <f ca="1">IFERROR(IF(OR(OFFSET('S4'!#REF!,MATCH($A111,'S4'!$D$5:$D$3387,0)-1,6)="巻返し",OFFSET('S4'!#REF!,MATCH($A111,'S4'!$D$5:$D$3387,0)-1,6)="スリット"),SUMIF('S4'!$D$5:$D$3387,$A111,'S4'!$U$5:$U$3387),""),"")</f>
        <v/>
      </c>
      <c r="AB111" s="149" t="str">
        <f ca="1">IFERROR(IF(OR(OFFSET('S5'!#REF!,MATCH($A111,'S5'!$D$5:$D$2917,0)-1,6)="巻返し",OFFSET('S5'!#REF!,MATCH($A111,'S5'!$D$5:$D$2917,0)-1,6)="スリット"),SUMIF('S5'!$D$5:$D$2917,$A111,'S5'!$T$5:$T$2917),""),"")</f>
        <v/>
      </c>
    </row>
    <row r="112" spans="1:28" s="144" customFormat="1" ht="11.25" x14ac:dyDescent="0.15">
      <c r="A112" s="177">
        <v>3675631</v>
      </c>
      <c r="B112" s="177" t="s">
        <v>351</v>
      </c>
      <c r="C112" s="177" t="s">
        <v>352</v>
      </c>
      <c r="D112" s="177" t="s">
        <v>353</v>
      </c>
      <c r="E112" s="177" t="s">
        <v>116</v>
      </c>
      <c r="F112" s="177">
        <v>3</v>
      </c>
      <c r="G112" s="177" t="s">
        <v>19</v>
      </c>
      <c r="H112" s="177" t="s">
        <v>20</v>
      </c>
      <c r="I112" s="177" t="s">
        <v>205</v>
      </c>
      <c r="J112" s="177"/>
      <c r="K112" s="177" t="s">
        <v>212</v>
      </c>
      <c r="L112" s="177">
        <v>50</v>
      </c>
      <c r="M112" s="177" t="s">
        <v>213</v>
      </c>
      <c r="N112" s="178">
        <v>1000</v>
      </c>
      <c r="O112" s="178">
        <v>1000</v>
      </c>
      <c r="P112" s="178">
        <v>4000</v>
      </c>
      <c r="Q112" s="177">
        <v>2</v>
      </c>
      <c r="R112" s="177">
        <v>2</v>
      </c>
      <c r="S112" s="177" t="s">
        <v>354</v>
      </c>
      <c r="T112" s="179">
        <v>44795</v>
      </c>
      <c r="U112" s="179">
        <v>44824</v>
      </c>
      <c r="V112" s="177" t="s">
        <v>355</v>
      </c>
      <c r="W112" s="177"/>
      <c r="X112" s="177"/>
      <c r="Z112" s="149" t="str">
        <f t="shared" ca="1" si="1"/>
        <v/>
      </c>
      <c r="AA112" s="149" t="str">
        <f ca="1">IFERROR(IF(OR(OFFSET('S4'!#REF!,MATCH($A112,'S4'!$D$5:$D$3387,0)-1,6)="巻返し",OFFSET('S4'!#REF!,MATCH($A112,'S4'!$D$5:$D$3387,0)-1,6)="スリット"),SUMIF('S4'!$D$5:$D$3387,$A112,'S4'!$U$5:$U$3387),""),"")</f>
        <v/>
      </c>
      <c r="AB112" s="149" t="str">
        <f ca="1">IFERROR(IF(OR(OFFSET('S5'!#REF!,MATCH($A112,'S5'!$D$5:$D$2917,0)-1,6)="巻返し",OFFSET('S5'!#REF!,MATCH($A112,'S5'!$D$5:$D$2917,0)-1,6)="スリット"),SUMIF('S5'!$D$5:$D$2917,$A112,'S5'!$T$5:$T$2917),""),"")</f>
        <v/>
      </c>
    </row>
    <row r="113" spans="1:28" s="144" customFormat="1" ht="11.25" x14ac:dyDescent="0.15">
      <c r="A113" s="177">
        <v>3675632</v>
      </c>
      <c r="B113" s="177" t="s">
        <v>351</v>
      </c>
      <c r="C113" s="177" t="s">
        <v>352</v>
      </c>
      <c r="D113" s="177" t="s">
        <v>353</v>
      </c>
      <c r="E113" s="177" t="s">
        <v>116</v>
      </c>
      <c r="F113" s="177">
        <v>3</v>
      </c>
      <c r="G113" s="177" t="s">
        <v>19</v>
      </c>
      <c r="H113" s="177" t="s">
        <v>20</v>
      </c>
      <c r="I113" s="177" t="s">
        <v>205</v>
      </c>
      <c r="J113" s="177"/>
      <c r="K113" s="177" t="s">
        <v>212</v>
      </c>
      <c r="L113" s="177">
        <v>50</v>
      </c>
      <c r="M113" s="177" t="s">
        <v>213</v>
      </c>
      <c r="N113" s="178">
        <v>1120</v>
      </c>
      <c r="O113" s="178">
        <v>1120</v>
      </c>
      <c r="P113" s="178">
        <v>4000</v>
      </c>
      <c r="Q113" s="177">
        <v>2</v>
      </c>
      <c r="R113" s="177">
        <v>8</v>
      </c>
      <c r="S113" s="177" t="s">
        <v>354</v>
      </c>
      <c r="T113" s="179">
        <v>44795</v>
      </c>
      <c r="U113" s="179">
        <v>44837</v>
      </c>
      <c r="V113" s="177" t="s">
        <v>355</v>
      </c>
      <c r="W113" s="177"/>
      <c r="X113" s="177"/>
      <c r="Z113" s="149" t="str">
        <f t="shared" ca="1" si="1"/>
        <v/>
      </c>
      <c r="AA113" s="149" t="str">
        <f ca="1">IFERROR(IF(OR(OFFSET('S4'!#REF!,MATCH($A113,'S4'!$D$5:$D$3387,0)-1,6)="巻返し",OFFSET('S4'!#REF!,MATCH($A113,'S4'!$D$5:$D$3387,0)-1,6)="スリット"),SUMIF('S4'!$D$5:$D$3387,$A113,'S4'!$U$5:$U$3387),""),"")</f>
        <v/>
      </c>
      <c r="AB113" s="149" t="str">
        <f ca="1">IFERROR(IF(OR(OFFSET('S5'!#REF!,MATCH($A113,'S5'!$D$5:$D$2917,0)-1,6)="巻返し",OFFSET('S5'!#REF!,MATCH($A113,'S5'!$D$5:$D$2917,0)-1,6)="スリット"),SUMIF('S5'!$D$5:$D$2917,$A113,'S5'!$T$5:$T$2917),""),"")</f>
        <v/>
      </c>
    </row>
    <row r="114" spans="1:28" s="144" customFormat="1" ht="11.25" x14ac:dyDescent="0.15">
      <c r="A114" s="177">
        <v>3675633</v>
      </c>
      <c r="B114" s="177" t="s">
        <v>351</v>
      </c>
      <c r="C114" s="177" t="s">
        <v>352</v>
      </c>
      <c r="D114" s="177" t="s">
        <v>353</v>
      </c>
      <c r="E114" s="177" t="s">
        <v>116</v>
      </c>
      <c r="F114" s="177">
        <v>3</v>
      </c>
      <c r="G114" s="177" t="s">
        <v>19</v>
      </c>
      <c r="H114" s="177" t="s">
        <v>20</v>
      </c>
      <c r="I114" s="177" t="s">
        <v>205</v>
      </c>
      <c r="J114" s="177"/>
      <c r="K114" s="177" t="s">
        <v>211</v>
      </c>
      <c r="L114" s="177">
        <v>50</v>
      </c>
      <c r="M114" s="177" t="s">
        <v>370</v>
      </c>
      <c r="N114" s="178">
        <v>1050</v>
      </c>
      <c r="O114" s="178">
        <v>1050</v>
      </c>
      <c r="P114" s="178">
        <v>4100</v>
      </c>
      <c r="Q114" s="177">
        <v>2</v>
      </c>
      <c r="R114" s="177">
        <v>6</v>
      </c>
      <c r="S114" s="177" t="s">
        <v>354</v>
      </c>
      <c r="T114" s="179">
        <v>44795</v>
      </c>
      <c r="U114" s="179">
        <v>44819</v>
      </c>
      <c r="V114" s="177" t="s">
        <v>355</v>
      </c>
      <c r="W114" s="177"/>
      <c r="X114" s="177"/>
      <c r="Z114" s="149" t="str">
        <f t="shared" ca="1" si="1"/>
        <v/>
      </c>
      <c r="AA114" s="149" t="str">
        <f ca="1">IFERROR(IF(OR(OFFSET('S4'!#REF!,MATCH($A114,'S4'!$D$5:$D$3387,0)-1,6)="巻返し",OFFSET('S4'!#REF!,MATCH($A114,'S4'!$D$5:$D$3387,0)-1,6)="スリット"),SUMIF('S4'!$D$5:$D$3387,$A114,'S4'!$U$5:$U$3387),""),"")</f>
        <v/>
      </c>
      <c r="AB114" s="149" t="str">
        <f ca="1">IFERROR(IF(OR(OFFSET('S5'!#REF!,MATCH($A114,'S5'!$D$5:$D$2917,0)-1,6)="巻返し",OFFSET('S5'!#REF!,MATCH($A114,'S5'!$D$5:$D$2917,0)-1,6)="スリット"),SUMIF('S5'!$D$5:$D$2917,$A114,'S5'!$T$5:$T$2917),""),"")</f>
        <v/>
      </c>
    </row>
    <row r="115" spans="1:28" s="144" customFormat="1" ht="11.25" x14ac:dyDescent="0.15">
      <c r="A115" s="177">
        <v>3675634</v>
      </c>
      <c r="B115" s="177" t="s">
        <v>351</v>
      </c>
      <c r="C115" s="177" t="s">
        <v>352</v>
      </c>
      <c r="D115" s="177" t="s">
        <v>353</v>
      </c>
      <c r="E115" s="177" t="s">
        <v>116</v>
      </c>
      <c r="F115" s="177">
        <v>3</v>
      </c>
      <c r="G115" s="177" t="s">
        <v>19</v>
      </c>
      <c r="H115" s="177" t="s">
        <v>20</v>
      </c>
      <c r="I115" s="177" t="s">
        <v>205</v>
      </c>
      <c r="J115" s="177"/>
      <c r="K115" s="177" t="s">
        <v>211</v>
      </c>
      <c r="L115" s="177">
        <v>75</v>
      </c>
      <c r="M115" s="177" t="s">
        <v>370</v>
      </c>
      <c r="N115" s="178">
        <v>1050</v>
      </c>
      <c r="O115" s="178">
        <v>1050</v>
      </c>
      <c r="P115" s="178">
        <v>2000</v>
      </c>
      <c r="Q115" s="177">
        <v>2</v>
      </c>
      <c r="R115" s="177">
        <v>2</v>
      </c>
      <c r="S115" s="177" t="s">
        <v>354</v>
      </c>
      <c r="T115" s="179">
        <v>44795</v>
      </c>
      <c r="U115" s="179">
        <v>44819</v>
      </c>
      <c r="V115" s="177" t="s">
        <v>355</v>
      </c>
      <c r="W115" s="177"/>
      <c r="X115" s="177"/>
      <c r="Z115" s="149" t="str">
        <f t="shared" ca="1" si="1"/>
        <v/>
      </c>
      <c r="AA115" s="149" t="str">
        <f ca="1">IFERROR(IF(OR(OFFSET('S4'!#REF!,MATCH($A115,'S4'!$D$5:$D$3387,0)-1,6)="巻返し",OFFSET('S4'!#REF!,MATCH($A115,'S4'!$D$5:$D$3387,0)-1,6)="スリット"),SUMIF('S4'!$D$5:$D$3387,$A115,'S4'!$U$5:$U$3387),""),"")</f>
        <v/>
      </c>
      <c r="AB115" s="149" t="str">
        <f ca="1">IFERROR(IF(OR(OFFSET('S5'!#REF!,MATCH($A115,'S5'!$D$5:$D$2917,0)-1,6)="巻返し",OFFSET('S5'!#REF!,MATCH($A115,'S5'!$D$5:$D$2917,0)-1,6)="スリット"),SUMIF('S5'!$D$5:$D$2917,$A115,'S5'!$T$5:$T$2917),""),"")</f>
        <v/>
      </c>
    </row>
    <row r="116" spans="1:28" s="144" customFormat="1" ht="11.25" x14ac:dyDescent="0.15">
      <c r="A116" s="177">
        <v>3675635</v>
      </c>
      <c r="B116" s="177" t="s">
        <v>351</v>
      </c>
      <c r="C116" s="177" t="s">
        <v>352</v>
      </c>
      <c r="D116" s="177" t="s">
        <v>353</v>
      </c>
      <c r="E116" s="177" t="s">
        <v>116</v>
      </c>
      <c r="F116" s="177">
        <v>3</v>
      </c>
      <c r="G116" s="177" t="s">
        <v>19</v>
      </c>
      <c r="H116" s="177" t="s">
        <v>20</v>
      </c>
      <c r="I116" s="177" t="s">
        <v>165</v>
      </c>
      <c r="J116" s="177"/>
      <c r="K116" s="177" t="s">
        <v>185</v>
      </c>
      <c r="L116" s="177">
        <v>50</v>
      </c>
      <c r="M116" s="177" t="s">
        <v>186</v>
      </c>
      <c r="N116" s="178">
        <v>1005</v>
      </c>
      <c r="O116" s="178">
        <v>1000</v>
      </c>
      <c r="P116" s="178">
        <v>4000</v>
      </c>
      <c r="Q116" s="177">
        <v>2</v>
      </c>
      <c r="R116" s="177">
        <v>3</v>
      </c>
      <c r="S116" s="177" t="s">
        <v>354</v>
      </c>
      <c r="T116" s="179">
        <v>44795</v>
      </c>
      <c r="U116" s="179">
        <v>44824</v>
      </c>
      <c r="V116" s="177" t="s">
        <v>355</v>
      </c>
      <c r="W116" s="177"/>
      <c r="X116" s="177"/>
      <c r="Z116" s="149" t="str">
        <f t="shared" ca="1" si="1"/>
        <v/>
      </c>
      <c r="AA116" s="149" t="str">
        <f ca="1">IFERROR(IF(OR(OFFSET('S4'!#REF!,MATCH($A116,'S4'!$D$5:$D$3387,0)-1,6)="巻返し",OFFSET('S4'!#REF!,MATCH($A116,'S4'!$D$5:$D$3387,0)-1,6)="スリット"),SUMIF('S4'!$D$5:$D$3387,$A116,'S4'!$U$5:$U$3387),""),"")</f>
        <v/>
      </c>
      <c r="AB116" s="149" t="str">
        <f ca="1">IFERROR(IF(OR(OFFSET('S5'!#REF!,MATCH($A116,'S5'!$D$5:$D$2917,0)-1,6)="巻返し",OFFSET('S5'!#REF!,MATCH($A116,'S5'!$D$5:$D$2917,0)-1,6)="スリット"),SUMIF('S5'!$D$5:$D$2917,$A116,'S5'!$T$5:$T$2917),""),"")</f>
        <v/>
      </c>
    </row>
    <row r="117" spans="1:28" s="144" customFormat="1" ht="11.25" x14ac:dyDescent="0.15">
      <c r="A117" s="177">
        <v>3675636</v>
      </c>
      <c r="B117" s="177" t="s">
        <v>351</v>
      </c>
      <c r="C117" s="177" t="s">
        <v>352</v>
      </c>
      <c r="D117" s="177" t="s">
        <v>353</v>
      </c>
      <c r="E117" s="177" t="s">
        <v>116</v>
      </c>
      <c r="F117" s="177">
        <v>3</v>
      </c>
      <c r="G117" s="177" t="s">
        <v>19</v>
      </c>
      <c r="H117" s="177" t="s">
        <v>20</v>
      </c>
      <c r="I117" s="177" t="s">
        <v>205</v>
      </c>
      <c r="J117" s="177"/>
      <c r="K117" s="177" t="s">
        <v>216</v>
      </c>
      <c r="L117" s="177">
        <v>25</v>
      </c>
      <c r="M117" s="177" t="s">
        <v>217</v>
      </c>
      <c r="N117" s="178">
        <v>1005</v>
      </c>
      <c r="O117" s="178">
        <v>1000</v>
      </c>
      <c r="P117" s="178">
        <v>4000</v>
      </c>
      <c r="Q117" s="177">
        <v>2</v>
      </c>
      <c r="R117" s="177">
        <v>21</v>
      </c>
      <c r="S117" s="177" t="s">
        <v>354</v>
      </c>
      <c r="T117" s="179">
        <v>44795</v>
      </c>
      <c r="U117" s="179">
        <v>44819</v>
      </c>
      <c r="V117" s="177" t="s">
        <v>355</v>
      </c>
      <c r="W117" s="177"/>
      <c r="X117" s="177"/>
      <c r="Z117" s="149" t="str">
        <f t="shared" ca="1" si="1"/>
        <v/>
      </c>
      <c r="AA117" s="149" t="str">
        <f ca="1">IFERROR(IF(OR(OFFSET('S4'!#REF!,MATCH($A117,'S4'!$D$5:$D$3387,0)-1,6)="巻返し",OFFSET('S4'!#REF!,MATCH($A117,'S4'!$D$5:$D$3387,0)-1,6)="スリット"),SUMIF('S4'!$D$5:$D$3387,$A117,'S4'!$U$5:$U$3387),""),"")</f>
        <v/>
      </c>
      <c r="AB117" s="149" t="str">
        <f ca="1">IFERROR(IF(OR(OFFSET('S5'!#REF!,MATCH($A117,'S5'!$D$5:$D$2917,0)-1,6)="巻返し",OFFSET('S5'!#REF!,MATCH($A117,'S5'!$D$5:$D$2917,0)-1,6)="スリット"),SUMIF('S5'!$D$5:$D$2917,$A117,'S5'!$T$5:$T$2917),""),"")</f>
        <v/>
      </c>
    </row>
    <row r="118" spans="1:28" s="144" customFormat="1" ht="11.25" x14ac:dyDescent="0.15">
      <c r="A118" s="177">
        <v>3675637</v>
      </c>
      <c r="B118" s="177" t="s">
        <v>351</v>
      </c>
      <c r="C118" s="177" t="s">
        <v>352</v>
      </c>
      <c r="D118" s="177" t="s">
        <v>353</v>
      </c>
      <c r="E118" s="177" t="s">
        <v>116</v>
      </c>
      <c r="F118" s="177">
        <v>3</v>
      </c>
      <c r="G118" s="177" t="s">
        <v>19</v>
      </c>
      <c r="H118" s="177" t="s">
        <v>20</v>
      </c>
      <c r="I118" s="177" t="s">
        <v>205</v>
      </c>
      <c r="J118" s="177"/>
      <c r="K118" s="177" t="s">
        <v>216</v>
      </c>
      <c r="L118" s="177">
        <v>50</v>
      </c>
      <c r="M118" s="177" t="s">
        <v>217</v>
      </c>
      <c r="N118" s="178">
        <v>1120</v>
      </c>
      <c r="O118" s="178">
        <v>1120</v>
      </c>
      <c r="P118" s="178">
        <v>5000</v>
      </c>
      <c r="Q118" s="177">
        <v>2</v>
      </c>
      <c r="R118" s="177">
        <v>14</v>
      </c>
      <c r="S118" s="177" t="s">
        <v>354</v>
      </c>
      <c r="T118" s="179">
        <v>44795</v>
      </c>
      <c r="U118" s="179">
        <v>44832</v>
      </c>
      <c r="V118" s="177" t="s">
        <v>355</v>
      </c>
      <c r="W118" s="177"/>
      <c r="X118" s="177"/>
      <c r="Z118" s="149" t="str">
        <f t="shared" ca="1" si="1"/>
        <v/>
      </c>
      <c r="AA118" s="149" t="str">
        <f ca="1">IFERROR(IF(OR(OFFSET('S4'!#REF!,MATCH($A118,'S4'!$D$5:$D$3387,0)-1,6)="巻返し",OFFSET('S4'!#REF!,MATCH($A118,'S4'!$D$5:$D$3387,0)-1,6)="スリット"),SUMIF('S4'!$D$5:$D$3387,$A118,'S4'!$U$5:$U$3387),""),"")</f>
        <v/>
      </c>
      <c r="AB118" s="149" t="str">
        <f ca="1">IFERROR(IF(OR(OFFSET('S5'!#REF!,MATCH($A118,'S5'!$D$5:$D$2917,0)-1,6)="巻返し",OFFSET('S5'!#REF!,MATCH($A118,'S5'!$D$5:$D$2917,0)-1,6)="スリット"),SUMIF('S5'!$D$5:$D$2917,$A118,'S5'!$T$5:$T$2917),""),"")</f>
        <v/>
      </c>
    </row>
    <row r="119" spans="1:28" s="144" customFormat="1" ht="11.25" x14ac:dyDescent="0.15">
      <c r="A119" s="177">
        <v>3675638</v>
      </c>
      <c r="B119" s="177" t="s">
        <v>351</v>
      </c>
      <c r="C119" s="177" t="s">
        <v>352</v>
      </c>
      <c r="D119" s="177" t="s">
        <v>353</v>
      </c>
      <c r="E119" s="177" t="s">
        <v>116</v>
      </c>
      <c r="F119" s="177">
        <v>3</v>
      </c>
      <c r="G119" s="177" t="s">
        <v>19</v>
      </c>
      <c r="H119" s="177" t="s">
        <v>20</v>
      </c>
      <c r="I119" s="177" t="s">
        <v>205</v>
      </c>
      <c r="J119" s="177"/>
      <c r="K119" s="177" t="s">
        <v>216</v>
      </c>
      <c r="L119" s="177">
        <v>50</v>
      </c>
      <c r="M119" s="177" t="s">
        <v>217</v>
      </c>
      <c r="N119" s="178">
        <v>1120</v>
      </c>
      <c r="O119" s="178">
        <v>1120</v>
      </c>
      <c r="P119" s="178">
        <v>5000</v>
      </c>
      <c r="Q119" s="177">
        <v>2</v>
      </c>
      <c r="R119" s="177">
        <v>14</v>
      </c>
      <c r="S119" s="177" t="s">
        <v>354</v>
      </c>
      <c r="T119" s="179">
        <v>44795</v>
      </c>
      <c r="U119" s="179">
        <v>44837</v>
      </c>
      <c r="V119" s="177" t="s">
        <v>355</v>
      </c>
      <c r="W119" s="177"/>
      <c r="X119" s="177"/>
      <c r="Z119" s="149" t="str">
        <f t="shared" ca="1" si="1"/>
        <v/>
      </c>
      <c r="AA119" s="149" t="str">
        <f ca="1">IFERROR(IF(OR(OFFSET('S4'!#REF!,MATCH($A119,'S4'!$D$5:$D$3387,0)-1,6)="巻返し",OFFSET('S4'!#REF!,MATCH($A119,'S4'!$D$5:$D$3387,0)-1,6)="スリット"),SUMIF('S4'!$D$5:$D$3387,$A119,'S4'!$U$5:$U$3387),""),"")</f>
        <v/>
      </c>
      <c r="AB119" s="149" t="str">
        <f ca="1">IFERROR(IF(OR(OFFSET('S5'!#REF!,MATCH($A119,'S5'!$D$5:$D$2917,0)-1,6)="巻返し",OFFSET('S5'!#REF!,MATCH($A119,'S5'!$D$5:$D$2917,0)-1,6)="スリット"),SUMIF('S5'!$D$5:$D$2917,$A119,'S5'!$T$5:$T$2917),""),"")</f>
        <v/>
      </c>
    </row>
    <row r="120" spans="1:28" s="144" customFormat="1" ht="11.25" x14ac:dyDescent="0.15">
      <c r="A120" s="177">
        <v>3675639</v>
      </c>
      <c r="B120" s="177" t="s">
        <v>351</v>
      </c>
      <c r="C120" s="177" t="s">
        <v>352</v>
      </c>
      <c r="D120" s="177" t="s">
        <v>353</v>
      </c>
      <c r="E120" s="177" t="s">
        <v>116</v>
      </c>
      <c r="F120" s="177">
        <v>3</v>
      </c>
      <c r="G120" s="177" t="s">
        <v>19</v>
      </c>
      <c r="H120" s="177" t="s">
        <v>20</v>
      </c>
      <c r="I120" s="177" t="s">
        <v>205</v>
      </c>
      <c r="J120" s="177"/>
      <c r="K120" s="177" t="s">
        <v>216</v>
      </c>
      <c r="L120" s="177">
        <v>50</v>
      </c>
      <c r="M120" s="177" t="s">
        <v>217</v>
      </c>
      <c r="N120" s="178">
        <v>1120</v>
      </c>
      <c r="O120" s="178">
        <v>1120</v>
      </c>
      <c r="P120" s="178">
        <v>5000</v>
      </c>
      <c r="Q120" s="177">
        <v>2</v>
      </c>
      <c r="R120" s="177">
        <v>14</v>
      </c>
      <c r="S120" s="177" t="s">
        <v>354</v>
      </c>
      <c r="T120" s="179">
        <v>44795</v>
      </c>
      <c r="U120" s="179">
        <v>44846</v>
      </c>
      <c r="V120" s="177" t="s">
        <v>355</v>
      </c>
      <c r="W120" s="177"/>
      <c r="X120" s="177"/>
      <c r="Z120" s="149" t="str">
        <f t="shared" ca="1" si="1"/>
        <v/>
      </c>
      <c r="AA120" s="149" t="str">
        <f ca="1">IFERROR(IF(OR(OFFSET('S4'!#REF!,MATCH($A120,'S4'!$D$5:$D$3387,0)-1,6)="巻返し",OFFSET('S4'!#REF!,MATCH($A120,'S4'!$D$5:$D$3387,0)-1,6)="スリット"),SUMIF('S4'!$D$5:$D$3387,$A120,'S4'!$U$5:$U$3387),""),"")</f>
        <v/>
      </c>
      <c r="AB120" s="149" t="str">
        <f ca="1">IFERROR(IF(OR(OFFSET('S5'!#REF!,MATCH($A120,'S5'!$D$5:$D$2917,0)-1,6)="巻返し",OFFSET('S5'!#REF!,MATCH($A120,'S5'!$D$5:$D$2917,0)-1,6)="スリット"),SUMIF('S5'!$D$5:$D$2917,$A120,'S5'!$T$5:$T$2917),""),"")</f>
        <v/>
      </c>
    </row>
    <row r="121" spans="1:28" s="144" customFormat="1" ht="11.25" x14ac:dyDescent="0.15">
      <c r="A121" s="177">
        <v>3675640</v>
      </c>
      <c r="B121" s="177" t="s">
        <v>351</v>
      </c>
      <c r="C121" s="177" t="s">
        <v>352</v>
      </c>
      <c r="D121" s="177" t="s">
        <v>353</v>
      </c>
      <c r="E121" s="177" t="s">
        <v>116</v>
      </c>
      <c r="F121" s="177">
        <v>3</v>
      </c>
      <c r="G121" s="177" t="s">
        <v>19</v>
      </c>
      <c r="H121" s="177" t="s">
        <v>20</v>
      </c>
      <c r="I121" s="177" t="s">
        <v>205</v>
      </c>
      <c r="J121" s="177"/>
      <c r="K121" s="177" t="s">
        <v>218</v>
      </c>
      <c r="L121" s="177">
        <v>25</v>
      </c>
      <c r="M121" s="177" t="s">
        <v>219</v>
      </c>
      <c r="N121" s="178">
        <v>1005</v>
      </c>
      <c r="O121" s="178">
        <v>1000</v>
      </c>
      <c r="P121" s="178">
        <v>4000</v>
      </c>
      <c r="Q121" s="177">
        <v>2</v>
      </c>
      <c r="R121" s="177">
        <v>6</v>
      </c>
      <c r="S121" s="177" t="s">
        <v>354</v>
      </c>
      <c r="T121" s="179">
        <v>44795</v>
      </c>
      <c r="U121" s="179">
        <v>44824</v>
      </c>
      <c r="V121" s="177" t="s">
        <v>355</v>
      </c>
      <c r="W121" s="177"/>
      <c r="X121" s="177"/>
      <c r="Z121" s="149" t="str">
        <f t="shared" ca="1" si="1"/>
        <v/>
      </c>
      <c r="AA121" s="149" t="str">
        <f ca="1">IFERROR(IF(OR(OFFSET('S4'!#REF!,MATCH($A121,'S4'!$D$5:$D$3387,0)-1,6)="巻返し",OFFSET('S4'!#REF!,MATCH($A121,'S4'!$D$5:$D$3387,0)-1,6)="スリット"),SUMIF('S4'!$D$5:$D$3387,$A121,'S4'!$U$5:$U$3387),""),"")</f>
        <v/>
      </c>
      <c r="AB121" s="149" t="str">
        <f ca="1">IFERROR(IF(OR(OFFSET('S5'!#REF!,MATCH($A121,'S5'!$D$5:$D$2917,0)-1,6)="巻返し",OFFSET('S5'!#REF!,MATCH($A121,'S5'!$D$5:$D$2917,0)-1,6)="スリット"),SUMIF('S5'!$D$5:$D$2917,$A121,'S5'!$T$5:$T$2917),""),"")</f>
        <v/>
      </c>
    </row>
    <row r="122" spans="1:28" s="144" customFormat="1" ht="11.25" x14ac:dyDescent="0.15">
      <c r="A122" s="177">
        <v>3675641</v>
      </c>
      <c r="B122" s="177" t="s">
        <v>351</v>
      </c>
      <c r="C122" s="177" t="s">
        <v>352</v>
      </c>
      <c r="D122" s="177" t="s">
        <v>353</v>
      </c>
      <c r="E122" s="177" t="s">
        <v>116</v>
      </c>
      <c r="F122" s="177">
        <v>3</v>
      </c>
      <c r="G122" s="177" t="s">
        <v>19</v>
      </c>
      <c r="H122" s="177" t="s">
        <v>20</v>
      </c>
      <c r="I122" s="177" t="s">
        <v>205</v>
      </c>
      <c r="J122" s="177"/>
      <c r="K122" s="177" t="s">
        <v>218</v>
      </c>
      <c r="L122" s="177">
        <v>50</v>
      </c>
      <c r="M122" s="177" t="s">
        <v>219</v>
      </c>
      <c r="N122" s="178">
        <v>1000</v>
      </c>
      <c r="O122" s="178">
        <v>1000</v>
      </c>
      <c r="P122" s="178">
        <v>4000</v>
      </c>
      <c r="Q122" s="177">
        <v>2</v>
      </c>
      <c r="R122" s="177">
        <v>21</v>
      </c>
      <c r="S122" s="177" t="s">
        <v>354</v>
      </c>
      <c r="T122" s="179">
        <v>44795</v>
      </c>
      <c r="U122" s="179">
        <v>44824</v>
      </c>
      <c r="V122" s="177" t="s">
        <v>355</v>
      </c>
      <c r="W122" s="177"/>
      <c r="X122" s="177"/>
      <c r="Z122" s="149" t="str">
        <f t="shared" ca="1" si="1"/>
        <v/>
      </c>
      <c r="AA122" s="149" t="str">
        <f ca="1">IFERROR(IF(OR(OFFSET('S4'!#REF!,MATCH($A122,'S4'!$D$5:$D$3387,0)-1,6)="巻返し",OFFSET('S4'!#REF!,MATCH($A122,'S4'!$D$5:$D$3387,0)-1,6)="スリット"),SUMIF('S4'!$D$5:$D$3387,$A122,'S4'!$U$5:$U$3387),""),"")</f>
        <v/>
      </c>
      <c r="AB122" s="149" t="str">
        <f ca="1">IFERROR(IF(OR(OFFSET('S5'!#REF!,MATCH($A122,'S5'!$D$5:$D$2917,0)-1,6)="巻返し",OFFSET('S5'!#REF!,MATCH($A122,'S5'!$D$5:$D$2917,0)-1,6)="スリット"),SUMIF('S5'!$D$5:$D$2917,$A122,'S5'!$T$5:$T$2917),""),"")</f>
        <v/>
      </c>
    </row>
    <row r="123" spans="1:28" s="144" customFormat="1" ht="11.25" x14ac:dyDescent="0.15">
      <c r="A123" s="177">
        <v>3675642</v>
      </c>
      <c r="B123" s="177" t="s">
        <v>351</v>
      </c>
      <c r="C123" s="177" t="s">
        <v>352</v>
      </c>
      <c r="D123" s="177" t="s">
        <v>353</v>
      </c>
      <c r="E123" s="177" t="s">
        <v>116</v>
      </c>
      <c r="F123" s="177" t="s">
        <v>158</v>
      </c>
      <c r="G123" s="177" t="s">
        <v>19</v>
      </c>
      <c r="H123" s="177" t="s">
        <v>20</v>
      </c>
      <c r="I123" s="177" t="s">
        <v>165</v>
      </c>
      <c r="J123" s="177"/>
      <c r="K123" s="177" t="s">
        <v>195</v>
      </c>
      <c r="L123" s="177">
        <v>50</v>
      </c>
      <c r="M123" s="177" t="s">
        <v>196</v>
      </c>
      <c r="N123" s="178">
        <v>1005</v>
      </c>
      <c r="O123" s="178">
        <v>1000</v>
      </c>
      <c r="P123" s="178">
        <v>4000</v>
      </c>
      <c r="Q123" s="177">
        <v>2</v>
      </c>
      <c r="R123" s="177">
        <v>3</v>
      </c>
      <c r="S123" s="177" t="s">
        <v>354</v>
      </c>
      <c r="T123" s="179">
        <v>44795</v>
      </c>
      <c r="U123" s="179">
        <v>44824</v>
      </c>
      <c r="V123" s="177" t="s">
        <v>355</v>
      </c>
      <c r="W123" s="177"/>
      <c r="X123" s="177"/>
      <c r="Z123" s="149" t="str">
        <f t="shared" ca="1" si="1"/>
        <v/>
      </c>
      <c r="AA123" s="149" t="str">
        <f ca="1">IFERROR(IF(OR(OFFSET('S4'!#REF!,MATCH($A123,'S4'!$D$5:$D$3387,0)-1,6)="巻返し",OFFSET('S4'!#REF!,MATCH($A123,'S4'!$D$5:$D$3387,0)-1,6)="スリット"),SUMIF('S4'!$D$5:$D$3387,$A123,'S4'!$U$5:$U$3387),""),"")</f>
        <v/>
      </c>
      <c r="AB123" s="149" t="str">
        <f ca="1">IFERROR(IF(OR(OFFSET('S5'!#REF!,MATCH($A123,'S5'!$D$5:$D$2917,0)-1,6)="巻返し",OFFSET('S5'!#REF!,MATCH($A123,'S5'!$D$5:$D$2917,0)-1,6)="スリット"),SUMIF('S5'!$D$5:$D$2917,$A123,'S5'!$T$5:$T$2917),""),"")</f>
        <v/>
      </c>
    </row>
    <row r="124" spans="1:28" s="144" customFormat="1" ht="11.25" x14ac:dyDescent="0.15">
      <c r="A124" s="177">
        <v>3675643</v>
      </c>
      <c r="B124" s="177" t="s">
        <v>351</v>
      </c>
      <c r="C124" s="177" t="s">
        <v>352</v>
      </c>
      <c r="D124" s="177" t="s">
        <v>353</v>
      </c>
      <c r="E124" s="177" t="s">
        <v>116</v>
      </c>
      <c r="F124" s="177" t="s">
        <v>158</v>
      </c>
      <c r="G124" s="177" t="s">
        <v>19</v>
      </c>
      <c r="H124" s="177" t="s">
        <v>20</v>
      </c>
      <c r="I124" s="177" t="s">
        <v>165</v>
      </c>
      <c r="J124" s="177"/>
      <c r="K124" s="177" t="s">
        <v>197</v>
      </c>
      <c r="L124" s="177">
        <v>50</v>
      </c>
      <c r="M124" s="177" t="s">
        <v>198</v>
      </c>
      <c r="N124" s="178">
        <v>1005</v>
      </c>
      <c r="O124" s="178">
        <v>1000</v>
      </c>
      <c r="P124" s="178">
        <v>4000</v>
      </c>
      <c r="Q124" s="177">
        <v>2</v>
      </c>
      <c r="R124" s="177">
        <v>6</v>
      </c>
      <c r="S124" s="177" t="s">
        <v>354</v>
      </c>
      <c r="T124" s="179">
        <v>44795</v>
      </c>
      <c r="U124" s="179">
        <v>44824</v>
      </c>
      <c r="V124" s="177" t="s">
        <v>355</v>
      </c>
      <c r="W124" s="177"/>
      <c r="X124" s="177"/>
      <c r="Z124" s="149" t="str">
        <f t="shared" ca="1" si="1"/>
        <v/>
      </c>
      <c r="AA124" s="149" t="str">
        <f ca="1">IFERROR(IF(OR(OFFSET('S4'!#REF!,MATCH($A124,'S4'!$D$5:$D$3387,0)-1,6)="巻返し",OFFSET('S4'!#REF!,MATCH($A124,'S4'!$D$5:$D$3387,0)-1,6)="スリット"),SUMIF('S4'!$D$5:$D$3387,$A124,'S4'!$U$5:$U$3387),""),"")</f>
        <v/>
      </c>
      <c r="AB124" s="149" t="str">
        <f ca="1">IFERROR(IF(OR(OFFSET('S5'!#REF!,MATCH($A124,'S5'!$D$5:$D$2917,0)-1,6)="巻返し",OFFSET('S5'!#REF!,MATCH($A124,'S5'!$D$5:$D$2917,0)-1,6)="スリット"),SUMIF('S5'!$D$5:$D$2917,$A124,'S5'!$T$5:$T$2917),""),"")</f>
        <v/>
      </c>
    </row>
    <row r="125" spans="1:28" s="144" customFormat="1" ht="11.25" x14ac:dyDescent="0.15">
      <c r="A125" s="177">
        <v>3675644</v>
      </c>
      <c r="B125" s="177" t="s">
        <v>351</v>
      </c>
      <c r="C125" s="177" t="s">
        <v>352</v>
      </c>
      <c r="D125" s="177" t="s">
        <v>353</v>
      </c>
      <c r="E125" s="177" t="s">
        <v>116</v>
      </c>
      <c r="F125" s="177">
        <v>3</v>
      </c>
      <c r="G125" s="177" t="s">
        <v>19</v>
      </c>
      <c r="H125" s="177" t="s">
        <v>20</v>
      </c>
      <c r="I125" s="177" t="s">
        <v>165</v>
      </c>
      <c r="J125" s="177"/>
      <c r="K125" s="177" t="s">
        <v>176</v>
      </c>
      <c r="L125" s="177">
        <v>50</v>
      </c>
      <c r="M125" s="177" t="s">
        <v>177</v>
      </c>
      <c r="N125" s="178">
        <v>1005</v>
      </c>
      <c r="O125" s="178">
        <v>1000</v>
      </c>
      <c r="P125" s="178">
        <v>4000</v>
      </c>
      <c r="Q125" s="177">
        <v>2</v>
      </c>
      <c r="R125" s="177">
        <v>3</v>
      </c>
      <c r="S125" s="177" t="s">
        <v>354</v>
      </c>
      <c r="T125" s="179">
        <v>44795</v>
      </c>
      <c r="U125" s="179">
        <v>44824</v>
      </c>
      <c r="V125" s="177" t="s">
        <v>355</v>
      </c>
      <c r="W125" s="177"/>
      <c r="X125" s="177"/>
      <c r="Z125" s="149" t="str">
        <f t="shared" ca="1" si="1"/>
        <v/>
      </c>
      <c r="AA125" s="149" t="str">
        <f ca="1">IFERROR(IF(OR(OFFSET('S4'!#REF!,MATCH($A125,'S4'!$D$5:$D$3387,0)-1,6)="巻返し",OFFSET('S4'!#REF!,MATCH($A125,'S4'!$D$5:$D$3387,0)-1,6)="スリット"),SUMIF('S4'!$D$5:$D$3387,$A125,'S4'!$U$5:$U$3387),""),"")</f>
        <v/>
      </c>
      <c r="AB125" s="149" t="str">
        <f ca="1">IFERROR(IF(OR(OFFSET('S5'!#REF!,MATCH($A125,'S5'!$D$5:$D$2917,0)-1,6)="巻返し",OFFSET('S5'!#REF!,MATCH($A125,'S5'!$D$5:$D$2917,0)-1,6)="スリット"),SUMIF('S5'!$D$5:$D$2917,$A125,'S5'!$T$5:$T$2917),""),"")</f>
        <v/>
      </c>
    </row>
    <row r="126" spans="1:28" s="144" customFormat="1" ht="11.25" x14ac:dyDescent="0.15">
      <c r="A126" s="177">
        <v>3675645</v>
      </c>
      <c r="B126" s="177" t="s">
        <v>351</v>
      </c>
      <c r="C126" s="177" t="s">
        <v>352</v>
      </c>
      <c r="D126" s="177" t="s">
        <v>353</v>
      </c>
      <c r="E126" s="177" t="s">
        <v>116</v>
      </c>
      <c r="F126" s="177">
        <v>3</v>
      </c>
      <c r="G126" s="177" t="s">
        <v>19</v>
      </c>
      <c r="H126" s="177" t="s">
        <v>28</v>
      </c>
      <c r="I126" s="177" t="s">
        <v>205</v>
      </c>
      <c r="J126" s="177"/>
      <c r="K126" s="177" t="s">
        <v>237</v>
      </c>
      <c r="L126" s="177">
        <v>50</v>
      </c>
      <c r="M126" s="177" t="s">
        <v>238</v>
      </c>
      <c r="N126" s="178">
        <v>1120</v>
      </c>
      <c r="O126" s="178">
        <v>1120</v>
      </c>
      <c r="P126" s="178">
        <v>4000</v>
      </c>
      <c r="Q126" s="177">
        <v>2</v>
      </c>
      <c r="R126" s="177">
        <v>2</v>
      </c>
      <c r="S126" s="177" t="s">
        <v>354</v>
      </c>
      <c r="T126" s="179">
        <v>44795</v>
      </c>
      <c r="U126" s="179">
        <v>44830</v>
      </c>
      <c r="V126" s="177" t="s">
        <v>355</v>
      </c>
      <c r="W126" s="177"/>
      <c r="X126" s="177"/>
      <c r="Z126" s="149" t="str">
        <f t="shared" ca="1" si="1"/>
        <v/>
      </c>
      <c r="AA126" s="149" t="str">
        <f ca="1">IFERROR(IF(OR(OFFSET('S4'!#REF!,MATCH($A126,'S4'!$D$5:$D$3387,0)-1,6)="巻返し",OFFSET('S4'!#REF!,MATCH($A126,'S4'!$D$5:$D$3387,0)-1,6)="スリット"),SUMIF('S4'!$D$5:$D$3387,$A126,'S4'!$U$5:$U$3387),""),"")</f>
        <v/>
      </c>
      <c r="AB126" s="149" t="str">
        <f ca="1">IFERROR(IF(OR(OFFSET('S5'!#REF!,MATCH($A126,'S5'!$D$5:$D$2917,0)-1,6)="巻返し",OFFSET('S5'!#REF!,MATCH($A126,'S5'!$D$5:$D$2917,0)-1,6)="スリット"),SUMIF('S5'!$D$5:$D$2917,$A126,'S5'!$T$5:$T$2917),""),"")</f>
        <v/>
      </c>
    </row>
    <row r="127" spans="1:28" s="144" customFormat="1" ht="11.25" x14ac:dyDescent="0.15">
      <c r="A127" s="177">
        <v>3675646</v>
      </c>
      <c r="B127" s="177" t="s">
        <v>351</v>
      </c>
      <c r="C127" s="177" t="s">
        <v>352</v>
      </c>
      <c r="D127" s="177" t="s">
        <v>353</v>
      </c>
      <c r="E127" s="177" t="s">
        <v>116</v>
      </c>
      <c r="F127" s="177">
        <v>3</v>
      </c>
      <c r="G127" s="177" t="s">
        <v>19</v>
      </c>
      <c r="H127" s="177" t="s">
        <v>28</v>
      </c>
      <c r="I127" s="177" t="s">
        <v>205</v>
      </c>
      <c r="J127" s="177"/>
      <c r="K127" s="177" t="s">
        <v>233</v>
      </c>
      <c r="L127" s="177">
        <v>50</v>
      </c>
      <c r="M127" s="177" t="s">
        <v>234</v>
      </c>
      <c r="N127" s="178">
        <v>1120</v>
      </c>
      <c r="O127" s="178">
        <v>1120</v>
      </c>
      <c r="P127" s="178">
        <v>4000</v>
      </c>
      <c r="Q127" s="177">
        <v>2</v>
      </c>
      <c r="R127" s="177">
        <v>4</v>
      </c>
      <c r="S127" s="177" t="s">
        <v>354</v>
      </c>
      <c r="T127" s="179">
        <v>44795</v>
      </c>
      <c r="U127" s="179">
        <v>44830</v>
      </c>
      <c r="V127" s="177" t="s">
        <v>355</v>
      </c>
      <c r="W127" s="177"/>
      <c r="X127" s="177"/>
      <c r="Z127" s="149" t="str">
        <f t="shared" ca="1" si="1"/>
        <v/>
      </c>
      <c r="AA127" s="149" t="str">
        <f ca="1">IFERROR(IF(OR(OFFSET('S4'!#REF!,MATCH($A127,'S4'!$D$5:$D$3387,0)-1,6)="巻返し",OFFSET('S4'!#REF!,MATCH($A127,'S4'!$D$5:$D$3387,0)-1,6)="スリット"),SUMIF('S4'!$D$5:$D$3387,$A127,'S4'!$U$5:$U$3387),""),"")</f>
        <v/>
      </c>
      <c r="AB127" s="149" t="str">
        <f ca="1">IFERROR(IF(OR(OFFSET('S5'!#REF!,MATCH($A127,'S5'!$D$5:$D$2917,0)-1,6)="巻返し",OFFSET('S5'!#REF!,MATCH($A127,'S5'!$D$5:$D$2917,0)-1,6)="スリット"),SUMIF('S5'!$D$5:$D$2917,$A127,'S5'!$T$5:$T$2917),""),"")</f>
        <v/>
      </c>
    </row>
    <row r="128" spans="1:28" s="144" customFormat="1" ht="11.25" x14ac:dyDescent="0.15">
      <c r="A128" s="177">
        <v>3676794</v>
      </c>
      <c r="B128" s="177" t="s">
        <v>351</v>
      </c>
      <c r="C128" s="177" t="s">
        <v>352</v>
      </c>
      <c r="D128" s="177" t="s">
        <v>353</v>
      </c>
      <c r="E128" s="177" t="s">
        <v>116</v>
      </c>
      <c r="F128" s="177">
        <v>3</v>
      </c>
      <c r="G128" s="177" t="s">
        <v>19</v>
      </c>
      <c r="H128" s="177" t="s">
        <v>28</v>
      </c>
      <c r="I128" s="177" t="s">
        <v>205</v>
      </c>
      <c r="J128" s="177"/>
      <c r="K128" s="177" t="s">
        <v>224</v>
      </c>
      <c r="L128" s="177">
        <v>50</v>
      </c>
      <c r="M128" s="177" t="s">
        <v>225</v>
      </c>
      <c r="N128" s="178">
        <v>1120</v>
      </c>
      <c r="O128" s="178">
        <v>1120</v>
      </c>
      <c r="P128" s="178">
        <v>5000</v>
      </c>
      <c r="Q128" s="177">
        <v>2</v>
      </c>
      <c r="R128" s="177">
        <v>1</v>
      </c>
      <c r="S128" s="177" t="s">
        <v>354</v>
      </c>
      <c r="T128" s="179">
        <v>44802</v>
      </c>
      <c r="U128" s="179">
        <v>44824</v>
      </c>
      <c r="V128" s="177" t="s">
        <v>355</v>
      </c>
      <c r="W128" s="177"/>
      <c r="X128" s="177"/>
      <c r="Z128" s="149" t="str">
        <f t="shared" ca="1" si="1"/>
        <v/>
      </c>
      <c r="AA128" s="149" t="str">
        <f ca="1">IFERROR(IF(OR(OFFSET('S4'!#REF!,MATCH($A128,'S4'!$D$5:$D$3387,0)-1,6)="巻返し",OFFSET('S4'!#REF!,MATCH($A128,'S4'!$D$5:$D$3387,0)-1,6)="スリット"),SUMIF('S4'!$D$5:$D$3387,$A128,'S4'!$U$5:$U$3387),""),"")</f>
        <v/>
      </c>
      <c r="AB128" s="149" t="str">
        <f ca="1">IFERROR(IF(OR(OFFSET('S5'!#REF!,MATCH($A128,'S5'!$D$5:$D$2917,0)-1,6)="巻返し",OFFSET('S5'!#REF!,MATCH($A128,'S5'!$D$5:$D$2917,0)-1,6)="スリット"),SUMIF('S5'!$D$5:$D$2917,$A128,'S5'!$T$5:$T$2917),""),"")</f>
        <v/>
      </c>
    </row>
    <row r="129" spans="1:28" s="144" customFormat="1" ht="11.25" x14ac:dyDescent="0.15">
      <c r="A129" s="177">
        <v>3676795</v>
      </c>
      <c r="B129" s="177" t="s">
        <v>351</v>
      </c>
      <c r="C129" s="177" t="s">
        <v>352</v>
      </c>
      <c r="D129" s="177" t="s">
        <v>353</v>
      </c>
      <c r="E129" s="177" t="s">
        <v>116</v>
      </c>
      <c r="F129" s="177">
        <v>3</v>
      </c>
      <c r="G129" s="177" t="s">
        <v>19</v>
      </c>
      <c r="H129" s="177" t="s">
        <v>28</v>
      </c>
      <c r="I129" s="177" t="s">
        <v>205</v>
      </c>
      <c r="J129" s="177"/>
      <c r="K129" s="177" t="s">
        <v>224</v>
      </c>
      <c r="L129" s="177">
        <v>50</v>
      </c>
      <c r="M129" s="177" t="s">
        <v>225</v>
      </c>
      <c r="N129" s="178">
        <v>1120</v>
      </c>
      <c r="O129" s="178">
        <v>1120</v>
      </c>
      <c r="P129" s="178">
        <v>5000</v>
      </c>
      <c r="Q129" s="177">
        <v>2</v>
      </c>
      <c r="R129" s="177">
        <v>2</v>
      </c>
      <c r="S129" s="177" t="s">
        <v>354</v>
      </c>
      <c r="T129" s="179">
        <v>44802</v>
      </c>
      <c r="U129" s="179">
        <v>44830</v>
      </c>
      <c r="V129" s="177" t="s">
        <v>355</v>
      </c>
      <c r="W129" s="177"/>
      <c r="X129" s="177"/>
      <c r="Z129" s="149" t="str">
        <f t="shared" ca="1" si="1"/>
        <v/>
      </c>
      <c r="AA129" s="149" t="str">
        <f ca="1">IFERROR(IF(OR(OFFSET('S4'!#REF!,MATCH($A129,'S4'!$D$5:$D$3387,0)-1,6)="巻返し",OFFSET('S4'!#REF!,MATCH($A129,'S4'!$D$5:$D$3387,0)-1,6)="スリット"),SUMIF('S4'!$D$5:$D$3387,$A129,'S4'!$U$5:$U$3387),""),"")</f>
        <v/>
      </c>
      <c r="AB129" s="149" t="str">
        <f ca="1">IFERROR(IF(OR(OFFSET('S5'!#REF!,MATCH($A129,'S5'!$D$5:$D$2917,0)-1,6)="巻返し",OFFSET('S5'!#REF!,MATCH($A129,'S5'!$D$5:$D$2917,0)-1,6)="スリット"),SUMIF('S5'!$D$5:$D$2917,$A129,'S5'!$T$5:$T$2917),""),"")</f>
        <v/>
      </c>
    </row>
    <row r="130" spans="1:28" s="144" customFormat="1" ht="11.25" x14ac:dyDescent="0.15">
      <c r="A130" s="177">
        <v>3676796</v>
      </c>
      <c r="B130" s="177" t="s">
        <v>351</v>
      </c>
      <c r="C130" s="177" t="s">
        <v>352</v>
      </c>
      <c r="D130" s="177" t="s">
        <v>353</v>
      </c>
      <c r="E130" s="177" t="s">
        <v>116</v>
      </c>
      <c r="F130" s="177">
        <v>3</v>
      </c>
      <c r="G130" s="177" t="s">
        <v>19</v>
      </c>
      <c r="H130" s="177" t="s">
        <v>28</v>
      </c>
      <c r="I130" s="177" t="s">
        <v>205</v>
      </c>
      <c r="J130" s="177"/>
      <c r="K130" s="177" t="s">
        <v>224</v>
      </c>
      <c r="L130" s="177">
        <v>50</v>
      </c>
      <c r="M130" s="177" t="s">
        <v>225</v>
      </c>
      <c r="N130" s="178">
        <v>1120</v>
      </c>
      <c r="O130" s="178">
        <v>1120</v>
      </c>
      <c r="P130" s="178">
        <v>5000</v>
      </c>
      <c r="Q130" s="177">
        <v>2</v>
      </c>
      <c r="R130" s="177">
        <v>1</v>
      </c>
      <c r="S130" s="177" t="s">
        <v>354</v>
      </c>
      <c r="T130" s="179">
        <v>44802</v>
      </c>
      <c r="U130" s="179">
        <v>44830</v>
      </c>
      <c r="V130" s="177" t="s">
        <v>355</v>
      </c>
      <c r="W130" s="177"/>
      <c r="X130" s="177"/>
      <c r="Z130" s="149" t="str">
        <f t="shared" ca="1" si="1"/>
        <v/>
      </c>
      <c r="AA130" s="149" t="str">
        <f ca="1">IFERROR(IF(OR(OFFSET('S4'!#REF!,MATCH($A130,'S4'!$D$5:$D$3387,0)-1,6)="巻返し",OFFSET('S4'!#REF!,MATCH($A130,'S4'!$D$5:$D$3387,0)-1,6)="スリット"),SUMIF('S4'!$D$5:$D$3387,$A130,'S4'!$U$5:$U$3387),""),"")</f>
        <v/>
      </c>
      <c r="AB130" s="149" t="str">
        <f ca="1">IFERROR(IF(OR(OFFSET('S5'!#REF!,MATCH($A130,'S5'!$D$5:$D$2917,0)-1,6)="巻返し",OFFSET('S5'!#REF!,MATCH($A130,'S5'!$D$5:$D$2917,0)-1,6)="スリット"),SUMIF('S5'!$D$5:$D$2917,$A130,'S5'!$T$5:$T$2917),""),"")</f>
        <v/>
      </c>
    </row>
    <row r="131" spans="1:28" s="144" customFormat="1" ht="11.25" x14ac:dyDescent="0.15">
      <c r="A131" s="177">
        <v>3676797</v>
      </c>
      <c r="B131" s="177" t="s">
        <v>351</v>
      </c>
      <c r="C131" s="177" t="s">
        <v>352</v>
      </c>
      <c r="D131" s="177" t="s">
        <v>353</v>
      </c>
      <c r="E131" s="177" t="s">
        <v>116</v>
      </c>
      <c r="F131" s="177">
        <v>3</v>
      </c>
      <c r="G131" s="177" t="s">
        <v>19</v>
      </c>
      <c r="H131" s="177" t="s">
        <v>28</v>
      </c>
      <c r="I131" s="177" t="s">
        <v>205</v>
      </c>
      <c r="J131" s="177"/>
      <c r="K131" s="177" t="s">
        <v>224</v>
      </c>
      <c r="L131" s="177">
        <v>25</v>
      </c>
      <c r="M131" s="177" t="s">
        <v>225</v>
      </c>
      <c r="N131" s="178">
        <v>1120</v>
      </c>
      <c r="O131" s="178">
        <v>1120</v>
      </c>
      <c r="P131" s="178">
        <v>8000</v>
      </c>
      <c r="Q131" s="177">
        <v>2</v>
      </c>
      <c r="R131" s="177">
        <v>1</v>
      </c>
      <c r="S131" s="177" t="s">
        <v>354</v>
      </c>
      <c r="T131" s="179">
        <v>44802</v>
      </c>
      <c r="U131" s="179">
        <v>44830</v>
      </c>
      <c r="V131" s="177" t="s">
        <v>355</v>
      </c>
      <c r="W131" s="177"/>
      <c r="X131" s="177"/>
      <c r="Z131" s="149" t="str">
        <f t="shared" ca="1" si="1"/>
        <v/>
      </c>
      <c r="AA131" s="149" t="str">
        <f ca="1">IFERROR(IF(OR(OFFSET('S4'!#REF!,MATCH($A131,'S4'!$D$5:$D$3387,0)-1,6)="巻返し",OFFSET('S4'!#REF!,MATCH($A131,'S4'!$D$5:$D$3387,0)-1,6)="スリット"),SUMIF('S4'!$D$5:$D$3387,$A131,'S4'!$U$5:$U$3387),""),"")</f>
        <v/>
      </c>
      <c r="AB131" s="149" t="str">
        <f ca="1">IFERROR(IF(OR(OFFSET('S5'!#REF!,MATCH($A131,'S5'!$D$5:$D$2917,0)-1,6)="巻返し",OFFSET('S5'!#REF!,MATCH($A131,'S5'!$D$5:$D$2917,0)-1,6)="スリット"),SUMIF('S5'!$D$5:$D$2917,$A131,'S5'!$T$5:$T$2917),""),"")</f>
        <v/>
      </c>
    </row>
    <row r="132" spans="1:28" s="144" customFormat="1" ht="11.25" x14ac:dyDescent="0.15">
      <c r="A132" s="177">
        <v>3676798</v>
      </c>
      <c r="B132" s="177" t="s">
        <v>351</v>
      </c>
      <c r="C132" s="177" t="s">
        <v>352</v>
      </c>
      <c r="D132" s="177" t="s">
        <v>353</v>
      </c>
      <c r="E132" s="177" t="s">
        <v>116</v>
      </c>
      <c r="F132" s="177">
        <v>3</v>
      </c>
      <c r="G132" s="177" t="s">
        <v>19</v>
      </c>
      <c r="H132" s="177" t="s">
        <v>28</v>
      </c>
      <c r="I132" s="177" t="s">
        <v>205</v>
      </c>
      <c r="J132" s="177"/>
      <c r="K132" s="177" t="s">
        <v>224</v>
      </c>
      <c r="L132" s="177">
        <v>25</v>
      </c>
      <c r="M132" s="177" t="s">
        <v>225</v>
      </c>
      <c r="N132" s="178">
        <v>1120</v>
      </c>
      <c r="O132" s="178">
        <v>1120</v>
      </c>
      <c r="P132" s="178">
        <v>8000</v>
      </c>
      <c r="Q132" s="177">
        <v>2</v>
      </c>
      <c r="R132" s="177">
        <v>1</v>
      </c>
      <c r="S132" s="177" t="s">
        <v>354</v>
      </c>
      <c r="T132" s="179">
        <v>44802</v>
      </c>
      <c r="U132" s="179">
        <v>44830</v>
      </c>
      <c r="V132" s="177" t="s">
        <v>355</v>
      </c>
      <c r="W132" s="177"/>
      <c r="X132" s="177"/>
      <c r="Z132" s="149" t="str">
        <f t="shared" ref="Z132:Z195" ca="1" si="2">IF(SUM(AA132:AB132)=0,"",SUM(AA132:AB132))</f>
        <v/>
      </c>
      <c r="AA132" s="149" t="str">
        <f ca="1">IFERROR(IF(OR(OFFSET('S4'!#REF!,MATCH($A132,'S4'!$D$5:$D$3387,0)-1,6)="巻返し",OFFSET('S4'!#REF!,MATCH($A132,'S4'!$D$5:$D$3387,0)-1,6)="スリット"),SUMIF('S4'!$D$5:$D$3387,$A132,'S4'!$U$5:$U$3387),""),"")</f>
        <v/>
      </c>
      <c r="AB132" s="149" t="str">
        <f ca="1">IFERROR(IF(OR(OFFSET('S5'!#REF!,MATCH($A132,'S5'!$D$5:$D$2917,0)-1,6)="巻返し",OFFSET('S5'!#REF!,MATCH($A132,'S5'!$D$5:$D$2917,0)-1,6)="スリット"),SUMIF('S5'!$D$5:$D$2917,$A132,'S5'!$T$5:$T$2917),""),"")</f>
        <v/>
      </c>
    </row>
    <row r="133" spans="1:28" s="144" customFormat="1" ht="11.25" x14ac:dyDescent="0.15">
      <c r="A133" s="177">
        <v>3676799</v>
      </c>
      <c r="B133" s="177" t="s">
        <v>351</v>
      </c>
      <c r="C133" s="177" t="s">
        <v>352</v>
      </c>
      <c r="D133" s="177" t="s">
        <v>353</v>
      </c>
      <c r="E133" s="177" t="s">
        <v>116</v>
      </c>
      <c r="F133" s="177">
        <v>3</v>
      </c>
      <c r="G133" s="177" t="s">
        <v>19</v>
      </c>
      <c r="H133" s="177" t="s">
        <v>28</v>
      </c>
      <c r="I133" s="177" t="s">
        <v>205</v>
      </c>
      <c r="J133" s="177"/>
      <c r="K133" s="177" t="s">
        <v>233</v>
      </c>
      <c r="L133" s="177">
        <v>50</v>
      </c>
      <c r="M133" s="177" t="s">
        <v>234</v>
      </c>
      <c r="N133" s="178">
        <v>1120</v>
      </c>
      <c r="O133" s="178">
        <v>1120</v>
      </c>
      <c r="P133" s="178">
        <v>4000</v>
      </c>
      <c r="Q133" s="177">
        <v>2</v>
      </c>
      <c r="R133" s="177">
        <v>6</v>
      </c>
      <c r="S133" s="177" t="s">
        <v>354</v>
      </c>
      <c r="T133" s="179">
        <v>44802</v>
      </c>
      <c r="U133" s="179">
        <v>44830</v>
      </c>
      <c r="V133" s="177" t="s">
        <v>355</v>
      </c>
      <c r="W133" s="177"/>
      <c r="X133" s="177"/>
      <c r="Z133" s="149" t="str">
        <f t="shared" ca="1" si="2"/>
        <v/>
      </c>
      <c r="AA133" s="149" t="str">
        <f ca="1">IFERROR(IF(OR(OFFSET('S4'!#REF!,MATCH($A133,'S4'!$D$5:$D$3387,0)-1,6)="巻返し",OFFSET('S4'!#REF!,MATCH($A133,'S4'!$D$5:$D$3387,0)-1,6)="スリット"),SUMIF('S4'!$D$5:$D$3387,$A133,'S4'!$U$5:$U$3387),""),"")</f>
        <v/>
      </c>
      <c r="AB133" s="149" t="str">
        <f ca="1">IFERROR(IF(OR(OFFSET('S5'!#REF!,MATCH($A133,'S5'!$D$5:$D$2917,0)-1,6)="巻返し",OFFSET('S5'!#REF!,MATCH($A133,'S5'!$D$5:$D$2917,0)-1,6)="スリット"),SUMIF('S5'!$D$5:$D$2917,$A133,'S5'!$T$5:$T$2917),""),"")</f>
        <v/>
      </c>
    </row>
    <row r="134" spans="1:28" s="144" customFormat="1" ht="11.25" x14ac:dyDescent="0.15">
      <c r="A134" s="177">
        <v>3676800</v>
      </c>
      <c r="B134" s="177" t="s">
        <v>351</v>
      </c>
      <c r="C134" s="177" t="s">
        <v>352</v>
      </c>
      <c r="D134" s="177" t="s">
        <v>353</v>
      </c>
      <c r="E134" s="177" t="s">
        <v>116</v>
      </c>
      <c r="F134" s="177">
        <v>3</v>
      </c>
      <c r="G134" s="177" t="s">
        <v>19</v>
      </c>
      <c r="H134" s="177" t="s">
        <v>28</v>
      </c>
      <c r="I134" s="177" t="s">
        <v>205</v>
      </c>
      <c r="J134" s="177"/>
      <c r="K134" s="177" t="s">
        <v>233</v>
      </c>
      <c r="L134" s="177">
        <v>50</v>
      </c>
      <c r="M134" s="177" t="s">
        <v>234</v>
      </c>
      <c r="N134" s="178">
        <v>1120</v>
      </c>
      <c r="O134" s="178">
        <v>1120</v>
      </c>
      <c r="P134" s="178">
        <v>4000</v>
      </c>
      <c r="Q134" s="177">
        <v>2</v>
      </c>
      <c r="R134" s="177">
        <v>2</v>
      </c>
      <c r="S134" s="177" t="s">
        <v>354</v>
      </c>
      <c r="T134" s="179">
        <v>44802</v>
      </c>
      <c r="U134" s="179">
        <v>44830</v>
      </c>
      <c r="V134" s="177" t="s">
        <v>355</v>
      </c>
      <c r="W134" s="177"/>
      <c r="X134" s="177"/>
      <c r="Z134" s="149" t="str">
        <f t="shared" ca="1" si="2"/>
        <v/>
      </c>
      <c r="AA134" s="149" t="str">
        <f ca="1">IFERROR(IF(OR(OFFSET('S4'!#REF!,MATCH($A134,'S4'!$D$5:$D$3387,0)-1,6)="巻返し",OFFSET('S4'!#REF!,MATCH($A134,'S4'!$D$5:$D$3387,0)-1,6)="スリット"),SUMIF('S4'!$D$5:$D$3387,$A134,'S4'!$U$5:$U$3387),""),"")</f>
        <v/>
      </c>
      <c r="AB134" s="149" t="str">
        <f ca="1">IFERROR(IF(OR(OFFSET('S5'!#REF!,MATCH($A134,'S5'!$D$5:$D$2917,0)-1,6)="巻返し",OFFSET('S5'!#REF!,MATCH($A134,'S5'!$D$5:$D$2917,0)-1,6)="スリット"),SUMIF('S5'!$D$5:$D$2917,$A134,'S5'!$T$5:$T$2917),""),"")</f>
        <v/>
      </c>
    </row>
    <row r="135" spans="1:28" s="144" customFormat="1" ht="11.25" x14ac:dyDescent="0.15">
      <c r="A135" s="240">
        <v>3677676</v>
      </c>
      <c r="B135" s="240" t="s">
        <v>510</v>
      </c>
      <c r="C135" s="240" t="s">
        <v>364</v>
      </c>
      <c r="D135" s="240" t="s">
        <v>353</v>
      </c>
      <c r="E135" s="240" t="s">
        <v>116</v>
      </c>
      <c r="F135" s="240">
        <v>3</v>
      </c>
      <c r="G135" s="240" t="s">
        <v>269</v>
      </c>
      <c r="H135" s="240" t="s">
        <v>20</v>
      </c>
      <c r="I135" s="240" t="s">
        <v>165</v>
      </c>
      <c r="J135" s="240"/>
      <c r="K135" s="240" t="s">
        <v>176</v>
      </c>
      <c r="L135" s="240">
        <v>25</v>
      </c>
      <c r="M135" s="240" t="s">
        <v>577</v>
      </c>
      <c r="N135" s="241">
        <v>1000</v>
      </c>
      <c r="O135" s="241">
        <v>1000</v>
      </c>
      <c r="P135" s="241">
        <v>8000</v>
      </c>
      <c r="Q135" s="240">
        <v>2</v>
      </c>
      <c r="R135" s="240">
        <v>1</v>
      </c>
      <c r="S135" s="240" t="s">
        <v>354</v>
      </c>
      <c r="T135" s="242">
        <v>44812</v>
      </c>
      <c r="U135" s="242">
        <v>44841</v>
      </c>
      <c r="V135" s="240" t="s">
        <v>428</v>
      </c>
      <c r="W135" s="240"/>
      <c r="X135" s="240"/>
      <c r="Z135" s="149" t="str">
        <f t="shared" ca="1" si="2"/>
        <v/>
      </c>
      <c r="AA135" s="149" t="str">
        <f ca="1">IFERROR(IF(OR(OFFSET('S4'!#REF!,MATCH($A135,'S4'!$D$5:$D$3387,0)-1,6)="巻返し",OFFSET('S4'!#REF!,MATCH($A135,'S4'!$D$5:$D$3387,0)-1,6)="スリット"),SUMIF('S4'!$D$5:$D$3387,$A135,'S4'!$U$5:$U$3387),""),"")</f>
        <v/>
      </c>
      <c r="AB135" s="149" t="str">
        <f ca="1">IFERROR(IF(OR(OFFSET('S5'!#REF!,MATCH($A135,'S5'!$D$5:$D$2917,0)-1,6)="巻返し",OFFSET('S5'!#REF!,MATCH($A135,'S5'!$D$5:$D$2917,0)-1,6)="スリット"),SUMIF('S5'!$D$5:$D$2917,$A135,'S5'!$T$5:$T$2917),""),"")</f>
        <v/>
      </c>
    </row>
    <row r="136" spans="1:28" s="144" customFormat="1" ht="11.25" x14ac:dyDescent="0.15">
      <c r="A136" s="240">
        <v>3677677</v>
      </c>
      <c r="B136" s="240" t="s">
        <v>510</v>
      </c>
      <c r="C136" s="240" t="s">
        <v>364</v>
      </c>
      <c r="D136" s="240" t="s">
        <v>353</v>
      </c>
      <c r="E136" s="240" t="s">
        <v>116</v>
      </c>
      <c r="F136" s="240">
        <v>3</v>
      </c>
      <c r="G136" s="240" t="s">
        <v>269</v>
      </c>
      <c r="H136" s="240" t="s">
        <v>20</v>
      </c>
      <c r="I136" s="240" t="s">
        <v>165</v>
      </c>
      <c r="J136" s="240"/>
      <c r="K136" s="240" t="s">
        <v>172</v>
      </c>
      <c r="L136" s="240">
        <v>25</v>
      </c>
      <c r="M136" s="240" t="s">
        <v>576</v>
      </c>
      <c r="N136" s="241">
        <v>1000</v>
      </c>
      <c r="O136" s="241">
        <v>1000</v>
      </c>
      <c r="P136" s="241">
        <v>2000</v>
      </c>
      <c r="Q136" s="240">
        <v>2</v>
      </c>
      <c r="R136" s="240">
        <v>2</v>
      </c>
      <c r="S136" s="240" t="s">
        <v>354</v>
      </c>
      <c r="T136" s="242">
        <v>44812</v>
      </c>
      <c r="U136" s="242">
        <v>44841</v>
      </c>
      <c r="V136" s="240" t="s">
        <v>428</v>
      </c>
      <c r="W136" s="240"/>
      <c r="X136" s="240"/>
      <c r="Z136" s="149" t="str">
        <f t="shared" ca="1" si="2"/>
        <v/>
      </c>
      <c r="AA136" s="149" t="str">
        <f ca="1">IFERROR(IF(OR(OFFSET('S4'!#REF!,MATCH($A136,'S4'!$D$5:$D$3387,0)-1,6)="巻返し",OFFSET('S4'!#REF!,MATCH($A136,'S4'!$D$5:$D$3387,0)-1,6)="スリット"),SUMIF('S4'!$D$5:$D$3387,$A136,'S4'!$U$5:$U$3387),""),"")</f>
        <v/>
      </c>
      <c r="AB136" s="149" t="str">
        <f ca="1">IFERROR(IF(OR(OFFSET('S5'!#REF!,MATCH($A136,'S5'!$D$5:$D$2917,0)-1,6)="巻返し",OFFSET('S5'!#REF!,MATCH($A136,'S5'!$D$5:$D$2917,0)-1,6)="スリット"),SUMIF('S5'!$D$5:$D$2917,$A136,'S5'!$T$5:$T$2917),""),"")</f>
        <v/>
      </c>
    </row>
    <row r="137" spans="1:28" s="144" customFormat="1" ht="11.25" x14ac:dyDescent="0.15">
      <c r="A137" s="240">
        <v>3677678</v>
      </c>
      <c r="B137" s="240" t="s">
        <v>510</v>
      </c>
      <c r="C137" s="240" t="s">
        <v>364</v>
      </c>
      <c r="D137" s="240" t="s">
        <v>353</v>
      </c>
      <c r="E137" s="240" t="s">
        <v>116</v>
      </c>
      <c r="F137" s="240">
        <v>3</v>
      </c>
      <c r="G137" s="240" t="s">
        <v>269</v>
      </c>
      <c r="H137" s="240" t="s">
        <v>20</v>
      </c>
      <c r="I137" s="240" t="s">
        <v>165</v>
      </c>
      <c r="J137" s="240"/>
      <c r="K137" s="240" t="s">
        <v>172</v>
      </c>
      <c r="L137" s="240">
        <v>50</v>
      </c>
      <c r="M137" s="240" t="s">
        <v>576</v>
      </c>
      <c r="N137" s="241">
        <v>1000</v>
      </c>
      <c r="O137" s="241">
        <v>1000</v>
      </c>
      <c r="P137" s="241">
        <v>4000</v>
      </c>
      <c r="Q137" s="240">
        <v>2</v>
      </c>
      <c r="R137" s="240">
        <v>1</v>
      </c>
      <c r="S137" s="240" t="s">
        <v>354</v>
      </c>
      <c r="T137" s="242">
        <v>44812</v>
      </c>
      <c r="U137" s="242">
        <v>44841</v>
      </c>
      <c r="V137" s="240" t="s">
        <v>428</v>
      </c>
      <c r="W137" s="240"/>
      <c r="X137" s="240"/>
      <c r="Z137" s="149" t="str">
        <f t="shared" ca="1" si="2"/>
        <v/>
      </c>
      <c r="AA137" s="149" t="str">
        <f ca="1">IFERROR(IF(OR(OFFSET('S4'!#REF!,MATCH($A137,'S4'!$D$5:$D$3387,0)-1,6)="巻返し",OFFSET('S4'!#REF!,MATCH($A137,'S4'!$D$5:$D$3387,0)-1,6)="スリット"),SUMIF('S4'!$D$5:$D$3387,$A137,'S4'!$U$5:$U$3387),""),"")</f>
        <v/>
      </c>
      <c r="AB137" s="149" t="str">
        <f ca="1">IFERROR(IF(OR(OFFSET('S5'!#REF!,MATCH($A137,'S5'!$D$5:$D$2917,0)-1,6)="巻返し",OFFSET('S5'!#REF!,MATCH($A137,'S5'!$D$5:$D$2917,0)-1,6)="スリット"),SUMIF('S5'!$D$5:$D$2917,$A137,'S5'!$T$5:$T$2917),""),"")</f>
        <v/>
      </c>
    </row>
    <row r="138" spans="1:28" s="144" customFormat="1" ht="11.25" x14ac:dyDescent="0.15">
      <c r="A138" s="240">
        <v>3679211</v>
      </c>
      <c r="B138" s="240" t="s">
        <v>351</v>
      </c>
      <c r="C138" s="240" t="s">
        <v>352</v>
      </c>
      <c r="D138" s="240" t="s">
        <v>353</v>
      </c>
      <c r="E138" s="240" t="s">
        <v>116</v>
      </c>
      <c r="F138" s="240">
        <v>3</v>
      </c>
      <c r="G138" s="240" t="s">
        <v>19</v>
      </c>
      <c r="H138" s="240" t="s">
        <v>20</v>
      </c>
      <c r="I138" s="240" t="s">
        <v>143</v>
      </c>
      <c r="J138" s="240"/>
      <c r="K138" s="240" t="s">
        <v>152</v>
      </c>
      <c r="L138" s="240">
        <v>38</v>
      </c>
      <c r="M138" s="240" t="s">
        <v>153</v>
      </c>
      <c r="N138" s="241">
        <v>1005</v>
      </c>
      <c r="O138" s="241">
        <v>1000</v>
      </c>
      <c r="P138" s="241">
        <v>4000</v>
      </c>
      <c r="Q138" s="240">
        <v>2</v>
      </c>
      <c r="R138" s="240">
        <v>4</v>
      </c>
      <c r="S138" s="240" t="s">
        <v>354</v>
      </c>
      <c r="T138" s="242">
        <v>44820</v>
      </c>
      <c r="U138" s="242">
        <v>44834</v>
      </c>
      <c r="V138" s="240" t="s">
        <v>355</v>
      </c>
      <c r="W138" s="240"/>
      <c r="X138" s="240"/>
      <c r="Z138" s="149" t="str">
        <f t="shared" ca="1" si="2"/>
        <v/>
      </c>
      <c r="AA138" s="149" t="str">
        <f ca="1">IFERROR(IF(OR(OFFSET('S4'!#REF!,MATCH($A138,'S4'!$D$5:$D$3387,0)-1,6)="巻返し",OFFSET('S4'!#REF!,MATCH($A138,'S4'!$D$5:$D$3387,0)-1,6)="スリット"),SUMIF('S4'!$D$5:$D$3387,$A138,'S4'!$U$5:$U$3387),""),"")</f>
        <v/>
      </c>
      <c r="AB138" s="149" t="str">
        <f ca="1">IFERROR(IF(OR(OFFSET('S5'!#REF!,MATCH($A138,'S5'!$D$5:$D$2917,0)-1,6)="巻返し",OFFSET('S5'!#REF!,MATCH($A138,'S5'!$D$5:$D$2917,0)-1,6)="スリット"),SUMIF('S5'!$D$5:$D$2917,$A138,'S5'!$T$5:$T$2917),""),"")</f>
        <v/>
      </c>
    </row>
    <row r="139" spans="1:28" s="144" customFormat="1" ht="11.25" x14ac:dyDescent="0.15">
      <c r="A139" s="240">
        <v>3680006</v>
      </c>
      <c r="B139" s="240" t="s">
        <v>351</v>
      </c>
      <c r="C139" s="240" t="s">
        <v>358</v>
      </c>
      <c r="D139" s="240" t="s">
        <v>353</v>
      </c>
      <c r="E139" s="240" t="s">
        <v>61</v>
      </c>
      <c r="F139" s="240">
        <v>3</v>
      </c>
      <c r="G139" s="240" t="s">
        <v>19</v>
      </c>
      <c r="H139" s="240" t="s">
        <v>20</v>
      </c>
      <c r="I139" s="240" t="s">
        <v>205</v>
      </c>
      <c r="J139" s="240"/>
      <c r="K139" s="240" t="s">
        <v>242</v>
      </c>
      <c r="L139" s="240">
        <v>50</v>
      </c>
      <c r="M139" s="240" t="s">
        <v>243</v>
      </c>
      <c r="N139" s="241">
        <v>1255</v>
      </c>
      <c r="O139" s="241">
        <v>1250</v>
      </c>
      <c r="P139" s="241">
        <v>2000</v>
      </c>
      <c r="Q139" s="240">
        <v>2</v>
      </c>
      <c r="R139" s="240">
        <v>6</v>
      </c>
      <c r="S139" s="240" t="s">
        <v>354</v>
      </c>
      <c r="T139" s="242">
        <v>44825</v>
      </c>
      <c r="U139" s="242">
        <v>44849</v>
      </c>
      <c r="V139" s="240" t="s">
        <v>355</v>
      </c>
      <c r="W139" s="240"/>
      <c r="X139" s="240"/>
      <c r="Z139" s="149" t="str">
        <f t="shared" ca="1" si="2"/>
        <v/>
      </c>
      <c r="AA139" s="149" t="str">
        <f ca="1">IFERROR(IF(OR(OFFSET('S4'!#REF!,MATCH($A139,'S4'!$D$5:$D$3387,0)-1,6)="巻返し",OFFSET('S4'!#REF!,MATCH($A139,'S4'!$D$5:$D$3387,0)-1,6)="スリット"),SUMIF('S4'!$D$5:$D$3387,$A139,'S4'!$U$5:$U$3387),""),"")</f>
        <v/>
      </c>
      <c r="AB139" s="149" t="str">
        <f ca="1">IFERROR(IF(OR(OFFSET('S5'!#REF!,MATCH($A139,'S5'!$D$5:$D$2917,0)-1,6)="巻返し",OFFSET('S5'!#REF!,MATCH($A139,'S5'!$D$5:$D$2917,0)-1,6)="スリット"),SUMIF('S5'!$D$5:$D$2917,$A139,'S5'!$T$5:$T$2917),""),"")</f>
        <v/>
      </c>
    </row>
    <row r="140" spans="1:28" s="144" customFormat="1" ht="11.25" x14ac:dyDescent="0.15">
      <c r="A140" s="240">
        <v>3680008</v>
      </c>
      <c r="B140" s="240" t="s">
        <v>351</v>
      </c>
      <c r="C140" s="240" t="s">
        <v>364</v>
      </c>
      <c r="D140" s="240" t="s">
        <v>353</v>
      </c>
      <c r="E140" s="240" t="s">
        <v>171</v>
      </c>
      <c r="F140" s="240" t="s">
        <v>96</v>
      </c>
      <c r="G140" s="240" t="s">
        <v>19</v>
      </c>
      <c r="H140" s="240" t="s">
        <v>20</v>
      </c>
      <c r="I140" s="240" t="s">
        <v>165</v>
      </c>
      <c r="J140" s="240"/>
      <c r="K140" s="240" t="s">
        <v>169</v>
      </c>
      <c r="L140" s="240">
        <v>50</v>
      </c>
      <c r="M140" s="240" t="s">
        <v>170</v>
      </c>
      <c r="N140" s="241">
        <v>1190</v>
      </c>
      <c r="O140" s="241">
        <v>1190</v>
      </c>
      <c r="P140" s="241">
        <v>6000</v>
      </c>
      <c r="Q140" s="240">
        <v>2</v>
      </c>
      <c r="R140" s="240">
        <v>6</v>
      </c>
      <c r="S140" s="240" t="s">
        <v>354</v>
      </c>
      <c r="T140" s="242">
        <v>44825</v>
      </c>
      <c r="U140" s="242">
        <v>44849</v>
      </c>
      <c r="V140" s="240" t="s">
        <v>355</v>
      </c>
      <c r="W140" s="240"/>
      <c r="X140" s="240"/>
      <c r="Z140" s="149" t="str">
        <f t="shared" ca="1" si="2"/>
        <v/>
      </c>
      <c r="AA140" s="149" t="str">
        <f ca="1">IFERROR(IF(OR(OFFSET('S4'!#REF!,MATCH($A140,'S4'!$D$5:$D$3387,0)-1,6)="巻返し",OFFSET('S4'!#REF!,MATCH($A140,'S4'!$D$5:$D$3387,0)-1,6)="スリット"),SUMIF('S4'!$D$5:$D$3387,$A140,'S4'!$U$5:$U$3387),""),"")</f>
        <v/>
      </c>
      <c r="AB140" s="149" t="str">
        <f ca="1">IFERROR(IF(OR(OFFSET('S5'!#REF!,MATCH($A140,'S5'!$D$5:$D$2917,0)-1,6)="巻返し",OFFSET('S5'!#REF!,MATCH($A140,'S5'!$D$5:$D$2917,0)-1,6)="スリット"),SUMIF('S5'!$D$5:$D$2917,$A140,'S5'!$T$5:$T$2917),""),"")</f>
        <v/>
      </c>
    </row>
    <row r="141" spans="1:28" s="144" customFormat="1" ht="11.25" x14ac:dyDescent="0.15">
      <c r="A141" s="240">
        <v>3680009</v>
      </c>
      <c r="B141" s="240" t="s">
        <v>351</v>
      </c>
      <c r="C141" s="240" t="s">
        <v>364</v>
      </c>
      <c r="D141" s="240" t="s">
        <v>353</v>
      </c>
      <c r="E141" s="240" t="s">
        <v>171</v>
      </c>
      <c r="F141" s="240">
        <v>3</v>
      </c>
      <c r="G141" s="240" t="s">
        <v>19</v>
      </c>
      <c r="H141" s="240" t="s">
        <v>20</v>
      </c>
      <c r="I141" s="240" t="s">
        <v>165</v>
      </c>
      <c r="J141" s="240"/>
      <c r="K141" s="240" t="s">
        <v>180</v>
      </c>
      <c r="L141" s="240">
        <v>50</v>
      </c>
      <c r="M141" s="240" t="s">
        <v>181</v>
      </c>
      <c r="N141" s="241">
        <v>1200</v>
      </c>
      <c r="O141" s="241">
        <v>1190</v>
      </c>
      <c r="P141" s="241">
        <v>6000</v>
      </c>
      <c r="Q141" s="240">
        <v>2</v>
      </c>
      <c r="R141" s="240">
        <v>8</v>
      </c>
      <c r="S141" s="240" t="s">
        <v>354</v>
      </c>
      <c r="T141" s="242">
        <v>44825</v>
      </c>
      <c r="U141" s="242">
        <v>44849</v>
      </c>
      <c r="V141" s="240" t="s">
        <v>355</v>
      </c>
      <c r="W141" s="240"/>
      <c r="X141" s="240"/>
      <c r="Z141" s="149" t="str">
        <f t="shared" ca="1" si="2"/>
        <v/>
      </c>
      <c r="AA141" s="149" t="str">
        <f ca="1">IFERROR(IF(OR(OFFSET('S4'!#REF!,MATCH($A141,'S4'!$D$5:$D$3387,0)-1,6)="巻返し",OFFSET('S4'!#REF!,MATCH($A141,'S4'!$D$5:$D$3387,0)-1,6)="スリット"),SUMIF('S4'!$D$5:$D$3387,$A141,'S4'!$U$5:$U$3387),""),"")</f>
        <v/>
      </c>
      <c r="AB141" s="149" t="str">
        <f ca="1">IFERROR(IF(OR(OFFSET('S5'!#REF!,MATCH($A141,'S5'!$D$5:$D$2917,0)-1,6)="巻返し",OFFSET('S5'!#REF!,MATCH($A141,'S5'!$D$5:$D$2917,0)-1,6)="スリット"),SUMIF('S5'!$D$5:$D$2917,$A141,'S5'!$T$5:$T$2917),""),"")</f>
        <v/>
      </c>
    </row>
    <row r="142" spans="1:28" s="144" customFormat="1" ht="11.25" x14ac:dyDescent="0.15">
      <c r="A142" s="240">
        <v>3680012</v>
      </c>
      <c r="B142" s="240" t="s">
        <v>351</v>
      </c>
      <c r="C142" s="240" t="s">
        <v>364</v>
      </c>
      <c r="D142" s="240" t="s">
        <v>353</v>
      </c>
      <c r="E142" s="240" t="s">
        <v>148</v>
      </c>
      <c r="F142" s="240">
        <v>3</v>
      </c>
      <c r="G142" s="240" t="s">
        <v>19</v>
      </c>
      <c r="H142" s="240" t="s">
        <v>20</v>
      </c>
      <c r="I142" s="240" t="s">
        <v>143</v>
      </c>
      <c r="J142" s="240"/>
      <c r="K142" s="240" t="s">
        <v>149</v>
      </c>
      <c r="L142" s="240">
        <v>25</v>
      </c>
      <c r="M142" s="240" t="s">
        <v>150</v>
      </c>
      <c r="N142" s="241">
        <v>1120</v>
      </c>
      <c r="O142" s="241">
        <v>1120</v>
      </c>
      <c r="P142" s="241">
        <v>6000</v>
      </c>
      <c r="Q142" s="240">
        <v>2</v>
      </c>
      <c r="R142" s="240">
        <v>4</v>
      </c>
      <c r="S142" s="240" t="s">
        <v>354</v>
      </c>
      <c r="T142" s="242">
        <v>44825</v>
      </c>
      <c r="U142" s="242">
        <v>44849</v>
      </c>
      <c r="V142" s="240" t="s">
        <v>355</v>
      </c>
      <c r="W142" s="240"/>
      <c r="X142" s="240"/>
      <c r="Z142" s="149" t="str">
        <f t="shared" ca="1" si="2"/>
        <v/>
      </c>
      <c r="AA142" s="149" t="str">
        <f ca="1">IFERROR(IF(OR(OFFSET('S4'!#REF!,MATCH($A142,'S4'!$D$5:$D$3387,0)-1,6)="巻返し",OFFSET('S4'!#REF!,MATCH($A142,'S4'!$D$5:$D$3387,0)-1,6)="スリット"),SUMIF('S4'!$D$5:$D$3387,$A142,'S4'!$U$5:$U$3387),""),"")</f>
        <v/>
      </c>
      <c r="AB142" s="149" t="str">
        <f ca="1">IFERROR(IF(OR(OFFSET('S5'!#REF!,MATCH($A142,'S5'!$D$5:$D$2917,0)-1,6)="巻返し",OFFSET('S5'!#REF!,MATCH($A142,'S5'!$D$5:$D$2917,0)-1,6)="スリット"),SUMIF('S5'!$D$5:$D$2917,$A142,'S5'!$T$5:$T$2917),""),"")</f>
        <v/>
      </c>
    </row>
    <row r="143" spans="1:28" s="144" customFormat="1" ht="11.25" x14ac:dyDescent="0.15">
      <c r="A143" s="240">
        <v>3680013</v>
      </c>
      <c r="B143" s="240" t="s">
        <v>351</v>
      </c>
      <c r="C143" s="240" t="s">
        <v>364</v>
      </c>
      <c r="D143" s="240" t="s">
        <v>353</v>
      </c>
      <c r="E143" s="240" t="s">
        <v>148</v>
      </c>
      <c r="F143" s="240">
        <v>3</v>
      </c>
      <c r="G143" s="240" t="s">
        <v>19</v>
      </c>
      <c r="H143" s="240" t="s">
        <v>20</v>
      </c>
      <c r="I143" s="240" t="s">
        <v>143</v>
      </c>
      <c r="J143" s="240"/>
      <c r="K143" s="240" t="s">
        <v>149</v>
      </c>
      <c r="L143" s="240">
        <v>25</v>
      </c>
      <c r="M143" s="240" t="s">
        <v>150</v>
      </c>
      <c r="N143" s="241">
        <v>1120</v>
      </c>
      <c r="O143" s="241">
        <v>1120</v>
      </c>
      <c r="P143" s="241">
        <v>6000</v>
      </c>
      <c r="Q143" s="240">
        <v>2</v>
      </c>
      <c r="R143" s="240">
        <v>2</v>
      </c>
      <c r="S143" s="240" t="s">
        <v>354</v>
      </c>
      <c r="T143" s="242">
        <v>44825</v>
      </c>
      <c r="U143" s="242">
        <v>44849</v>
      </c>
      <c r="V143" s="240" t="s">
        <v>355</v>
      </c>
      <c r="W143" s="240"/>
      <c r="X143" s="240"/>
      <c r="Z143" s="149" t="str">
        <f t="shared" ca="1" si="2"/>
        <v/>
      </c>
      <c r="AA143" s="149" t="str">
        <f ca="1">IFERROR(IF(OR(OFFSET('S4'!#REF!,MATCH($A143,'S4'!$D$5:$D$3387,0)-1,6)="巻返し",OFFSET('S4'!#REF!,MATCH($A143,'S4'!$D$5:$D$3387,0)-1,6)="スリット"),SUMIF('S4'!$D$5:$D$3387,$A143,'S4'!$U$5:$U$3387),""),"")</f>
        <v/>
      </c>
      <c r="AB143" s="149" t="str">
        <f ca="1">IFERROR(IF(OR(OFFSET('S5'!#REF!,MATCH($A143,'S5'!$D$5:$D$2917,0)-1,6)="巻返し",OFFSET('S5'!#REF!,MATCH($A143,'S5'!$D$5:$D$2917,0)-1,6)="スリット"),SUMIF('S5'!$D$5:$D$2917,$A143,'S5'!$T$5:$T$2917),""),"")</f>
        <v/>
      </c>
    </row>
    <row r="144" spans="1:28" s="144" customFormat="1" ht="11.25" x14ac:dyDescent="0.15">
      <c r="A144" s="240">
        <v>3680014</v>
      </c>
      <c r="B144" s="240" t="s">
        <v>351</v>
      </c>
      <c r="C144" s="240" t="s">
        <v>364</v>
      </c>
      <c r="D144" s="240" t="s">
        <v>353</v>
      </c>
      <c r="E144" s="240" t="s">
        <v>148</v>
      </c>
      <c r="F144" s="240">
        <v>3</v>
      </c>
      <c r="G144" s="240" t="s">
        <v>19</v>
      </c>
      <c r="H144" s="240" t="s">
        <v>20</v>
      </c>
      <c r="I144" s="240" t="s">
        <v>143</v>
      </c>
      <c r="J144" s="240"/>
      <c r="K144" s="240" t="s">
        <v>149</v>
      </c>
      <c r="L144" s="240">
        <v>50</v>
      </c>
      <c r="M144" s="240" t="s">
        <v>150</v>
      </c>
      <c r="N144" s="241">
        <v>1120</v>
      </c>
      <c r="O144" s="241">
        <v>1120</v>
      </c>
      <c r="P144" s="241">
        <v>6000</v>
      </c>
      <c r="Q144" s="240">
        <v>2</v>
      </c>
      <c r="R144" s="240">
        <v>11</v>
      </c>
      <c r="S144" s="240" t="s">
        <v>354</v>
      </c>
      <c r="T144" s="242">
        <v>44825</v>
      </c>
      <c r="U144" s="242">
        <v>44849</v>
      </c>
      <c r="V144" s="240" t="s">
        <v>355</v>
      </c>
      <c r="W144" s="240"/>
      <c r="X144" s="240"/>
      <c r="Z144" s="149" t="str">
        <f t="shared" ca="1" si="2"/>
        <v/>
      </c>
      <c r="AA144" s="149" t="str">
        <f ca="1">IFERROR(IF(OR(OFFSET('S4'!#REF!,MATCH($A144,'S4'!$D$5:$D$3387,0)-1,6)="巻返し",OFFSET('S4'!#REF!,MATCH($A144,'S4'!$D$5:$D$3387,0)-1,6)="スリット"),SUMIF('S4'!$D$5:$D$3387,$A144,'S4'!$U$5:$U$3387),""),"")</f>
        <v/>
      </c>
      <c r="AB144" s="149" t="str">
        <f ca="1">IFERROR(IF(OR(OFFSET('S5'!#REF!,MATCH($A144,'S5'!$D$5:$D$2917,0)-1,6)="巻返し",OFFSET('S5'!#REF!,MATCH($A144,'S5'!$D$5:$D$2917,0)-1,6)="スリット"),SUMIF('S5'!$D$5:$D$2917,$A144,'S5'!$T$5:$T$2917),""),"")</f>
        <v/>
      </c>
    </row>
    <row r="145" spans="1:28" s="144" customFormat="1" ht="11.25" x14ac:dyDescent="0.15">
      <c r="A145" s="240">
        <v>3680015</v>
      </c>
      <c r="B145" s="240" t="s">
        <v>351</v>
      </c>
      <c r="C145" s="240" t="s">
        <v>364</v>
      </c>
      <c r="D145" s="240" t="s">
        <v>353</v>
      </c>
      <c r="E145" s="240" t="s">
        <v>148</v>
      </c>
      <c r="F145" s="240">
        <v>3</v>
      </c>
      <c r="G145" s="240" t="s">
        <v>19</v>
      </c>
      <c r="H145" s="240" t="s">
        <v>20</v>
      </c>
      <c r="I145" s="240" t="s">
        <v>165</v>
      </c>
      <c r="J145" s="240"/>
      <c r="K145" s="240" t="s">
        <v>180</v>
      </c>
      <c r="L145" s="240">
        <v>50</v>
      </c>
      <c r="M145" s="240" t="s">
        <v>181</v>
      </c>
      <c r="N145" s="241">
        <v>1120</v>
      </c>
      <c r="O145" s="241">
        <v>1120</v>
      </c>
      <c r="P145" s="241">
        <v>4000</v>
      </c>
      <c r="Q145" s="240">
        <v>2</v>
      </c>
      <c r="R145" s="240">
        <v>6</v>
      </c>
      <c r="S145" s="240" t="s">
        <v>354</v>
      </c>
      <c r="T145" s="242">
        <v>44825</v>
      </c>
      <c r="U145" s="242">
        <v>44849</v>
      </c>
      <c r="V145" s="240" t="s">
        <v>355</v>
      </c>
      <c r="W145" s="240"/>
      <c r="X145" s="240"/>
      <c r="Z145" s="149" t="str">
        <f t="shared" ca="1" si="2"/>
        <v/>
      </c>
      <c r="AA145" s="149" t="str">
        <f ca="1">IFERROR(IF(OR(OFFSET('S4'!#REF!,MATCH($A145,'S4'!$D$5:$D$3387,0)-1,6)="巻返し",OFFSET('S4'!#REF!,MATCH($A145,'S4'!$D$5:$D$3387,0)-1,6)="スリット"),SUMIF('S4'!$D$5:$D$3387,$A145,'S4'!$U$5:$U$3387),""),"")</f>
        <v/>
      </c>
      <c r="AB145" s="149" t="str">
        <f ca="1">IFERROR(IF(OR(OFFSET('S5'!#REF!,MATCH($A145,'S5'!$D$5:$D$2917,0)-1,6)="巻返し",OFFSET('S5'!#REF!,MATCH($A145,'S5'!$D$5:$D$2917,0)-1,6)="スリット"),SUMIF('S5'!$D$5:$D$2917,$A145,'S5'!$T$5:$T$2917),""),"")</f>
        <v/>
      </c>
    </row>
    <row r="146" spans="1:28" s="144" customFormat="1" ht="11.25" x14ac:dyDescent="0.15">
      <c r="A146" s="240">
        <v>3680016</v>
      </c>
      <c r="B146" s="240" t="s">
        <v>351</v>
      </c>
      <c r="C146" s="240" t="s">
        <v>364</v>
      </c>
      <c r="D146" s="240" t="s">
        <v>353</v>
      </c>
      <c r="E146" s="240" t="s">
        <v>148</v>
      </c>
      <c r="F146" s="240">
        <v>3</v>
      </c>
      <c r="G146" s="240" t="s">
        <v>19</v>
      </c>
      <c r="H146" s="240" t="s">
        <v>20</v>
      </c>
      <c r="I146" s="240" t="s">
        <v>165</v>
      </c>
      <c r="J146" s="240"/>
      <c r="K146" s="240" t="s">
        <v>202</v>
      </c>
      <c r="L146" s="240">
        <v>50</v>
      </c>
      <c r="M146" s="240" t="s">
        <v>424</v>
      </c>
      <c r="N146" s="241">
        <v>1120</v>
      </c>
      <c r="O146" s="241">
        <v>1120</v>
      </c>
      <c r="P146" s="241">
        <v>5000</v>
      </c>
      <c r="Q146" s="240">
        <v>2</v>
      </c>
      <c r="R146" s="240">
        <v>2</v>
      </c>
      <c r="S146" s="240" t="s">
        <v>354</v>
      </c>
      <c r="T146" s="242">
        <v>44825</v>
      </c>
      <c r="U146" s="242">
        <v>44849</v>
      </c>
      <c r="V146" s="240" t="s">
        <v>355</v>
      </c>
      <c r="W146" s="240"/>
      <c r="X146" s="240"/>
      <c r="Z146" s="149" t="str">
        <f t="shared" ca="1" si="2"/>
        <v/>
      </c>
      <c r="AA146" s="149" t="str">
        <f ca="1">IFERROR(IF(OR(OFFSET('S4'!#REF!,MATCH($A146,'S4'!$D$5:$D$3387,0)-1,6)="巻返し",OFFSET('S4'!#REF!,MATCH($A146,'S4'!$D$5:$D$3387,0)-1,6)="スリット"),SUMIF('S4'!$D$5:$D$3387,$A146,'S4'!$U$5:$U$3387),""),"")</f>
        <v/>
      </c>
      <c r="AB146" s="149" t="str">
        <f ca="1">IFERROR(IF(OR(OFFSET('S5'!#REF!,MATCH($A146,'S5'!$D$5:$D$2917,0)-1,6)="巻返し",OFFSET('S5'!#REF!,MATCH($A146,'S5'!$D$5:$D$2917,0)-1,6)="スリット"),SUMIF('S5'!$D$5:$D$2917,$A146,'S5'!$T$5:$T$2917),""),"")</f>
        <v/>
      </c>
    </row>
    <row r="147" spans="1:28" s="144" customFormat="1" ht="11.25" x14ac:dyDescent="0.15">
      <c r="A147" s="240">
        <v>3680017</v>
      </c>
      <c r="B147" s="240" t="s">
        <v>351</v>
      </c>
      <c r="C147" s="240" t="s">
        <v>352</v>
      </c>
      <c r="D147" s="240" t="s">
        <v>353</v>
      </c>
      <c r="E147" s="240" t="s">
        <v>247</v>
      </c>
      <c r="F147" s="240">
        <v>3</v>
      </c>
      <c r="G147" s="240" t="s">
        <v>19</v>
      </c>
      <c r="H147" s="240" t="s">
        <v>20</v>
      </c>
      <c r="I147" s="240" t="s">
        <v>205</v>
      </c>
      <c r="J147" s="240"/>
      <c r="K147" s="240" t="s">
        <v>248</v>
      </c>
      <c r="L147" s="240">
        <v>12</v>
      </c>
      <c r="M147" s="240" t="s">
        <v>249</v>
      </c>
      <c r="N147" s="241">
        <v>1000</v>
      </c>
      <c r="O147" s="241">
        <v>1000</v>
      </c>
      <c r="P147" s="241">
        <v>6000</v>
      </c>
      <c r="Q147" s="240">
        <v>2</v>
      </c>
      <c r="R147" s="240">
        <v>8</v>
      </c>
      <c r="S147" s="240" t="s">
        <v>354</v>
      </c>
      <c r="T147" s="242">
        <v>44825</v>
      </c>
      <c r="U147" s="242">
        <v>44851</v>
      </c>
      <c r="V147" s="240" t="s">
        <v>355</v>
      </c>
      <c r="W147" s="240"/>
      <c r="X147" s="240"/>
      <c r="Z147" s="149" t="str">
        <f t="shared" ca="1" si="2"/>
        <v/>
      </c>
      <c r="AA147" s="149" t="str">
        <f ca="1">IFERROR(IF(OR(OFFSET('S4'!#REF!,MATCH($A147,'S4'!$D$5:$D$3387,0)-1,6)="巻返し",OFFSET('S4'!#REF!,MATCH($A147,'S4'!$D$5:$D$3387,0)-1,6)="スリット"),SUMIF('S4'!$D$5:$D$3387,$A147,'S4'!$U$5:$U$3387),""),"")</f>
        <v/>
      </c>
      <c r="AB147" s="149" t="str">
        <f ca="1">IFERROR(IF(OR(OFFSET('S5'!#REF!,MATCH($A147,'S5'!$D$5:$D$2917,0)-1,6)="巻返し",OFFSET('S5'!#REF!,MATCH($A147,'S5'!$D$5:$D$2917,0)-1,6)="スリット"),SUMIF('S5'!$D$5:$D$2917,$A147,'S5'!$T$5:$T$2917),""),"")</f>
        <v/>
      </c>
    </row>
    <row r="148" spans="1:28" s="144" customFormat="1" ht="11.25" x14ac:dyDescent="0.15">
      <c r="A148" s="240">
        <v>3680018</v>
      </c>
      <c r="B148" s="240" t="s">
        <v>351</v>
      </c>
      <c r="C148" s="240" t="s">
        <v>352</v>
      </c>
      <c r="D148" s="240" t="s">
        <v>353</v>
      </c>
      <c r="E148" s="240" t="s">
        <v>247</v>
      </c>
      <c r="F148" s="240">
        <v>3</v>
      </c>
      <c r="G148" s="240" t="s">
        <v>19</v>
      </c>
      <c r="H148" s="240" t="s">
        <v>20</v>
      </c>
      <c r="I148" s="240" t="s">
        <v>143</v>
      </c>
      <c r="J148" s="240"/>
      <c r="K148" s="240" t="s">
        <v>149</v>
      </c>
      <c r="L148" s="240">
        <v>38</v>
      </c>
      <c r="M148" s="240" t="s">
        <v>150</v>
      </c>
      <c r="N148" s="241">
        <v>1125</v>
      </c>
      <c r="O148" s="241">
        <v>1120</v>
      </c>
      <c r="P148" s="241">
        <v>4000</v>
      </c>
      <c r="Q148" s="240">
        <v>2</v>
      </c>
      <c r="R148" s="240">
        <v>2</v>
      </c>
      <c r="S148" s="240" t="s">
        <v>354</v>
      </c>
      <c r="T148" s="242">
        <v>44825</v>
      </c>
      <c r="U148" s="242">
        <v>44851</v>
      </c>
      <c r="V148" s="240" t="s">
        <v>355</v>
      </c>
      <c r="W148" s="240"/>
      <c r="X148" s="240"/>
      <c r="Z148" s="149" t="str">
        <f t="shared" ca="1" si="2"/>
        <v/>
      </c>
      <c r="AA148" s="149" t="str">
        <f ca="1">IFERROR(IF(OR(OFFSET('S4'!#REF!,MATCH($A148,'S4'!$D$5:$D$3387,0)-1,6)="巻返し",OFFSET('S4'!#REF!,MATCH($A148,'S4'!$D$5:$D$3387,0)-1,6)="スリット"),SUMIF('S4'!$D$5:$D$3387,$A148,'S4'!$U$5:$U$3387),""),"")</f>
        <v/>
      </c>
      <c r="AB148" s="149" t="str">
        <f ca="1">IFERROR(IF(OR(OFFSET('S5'!#REF!,MATCH($A148,'S5'!$D$5:$D$2917,0)-1,6)="巻返し",OFFSET('S5'!#REF!,MATCH($A148,'S5'!$D$5:$D$2917,0)-1,6)="スリット"),SUMIF('S5'!$D$5:$D$2917,$A148,'S5'!$T$5:$T$2917),""),"")</f>
        <v/>
      </c>
    </row>
    <row r="149" spans="1:28" s="144" customFormat="1" ht="11.25" x14ac:dyDescent="0.15">
      <c r="A149" s="240">
        <v>3680019</v>
      </c>
      <c r="B149" s="240" t="s">
        <v>351</v>
      </c>
      <c r="C149" s="240" t="s">
        <v>352</v>
      </c>
      <c r="D149" s="240" t="s">
        <v>353</v>
      </c>
      <c r="E149" s="240" t="s">
        <v>116</v>
      </c>
      <c r="F149" s="240">
        <v>3</v>
      </c>
      <c r="G149" s="240" t="s">
        <v>19</v>
      </c>
      <c r="H149" s="240" t="s">
        <v>20</v>
      </c>
      <c r="I149" s="240" t="s">
        <v>205</v>
      </c>
      <c r="J149" s="240"/>
      <c r="K149" s="240" t="s">
        <v>212</v>
      </c>
      <c r="L149" s="240">
        <v>25</v>
      </c>
      <c r="M149" s="240" t="s">
        <v>213</v>
      </c>
      <c r="N149" s="241">
        <v>1120</v>
      </c>
      <c r="O149" s="241">
        <v>1120</v>
      </c>
      <c r="P149" s="241">
        <v>4000</v>
      </c>
      <c r="Q149" s="240">
        <v>2</v>
      </c>
      <c r="R149" s="240">
        <v>6</v>
      </c>
      <c r="S149" s="240" t="s">
        <v>354</v>
      </c>
      <c r="T149" s="242">
        <v>44825</v>
      </c>
      <c r="U149" s="242">
        <v>44855</v>
      </c>
      <c r="V149" s="240" t="s">
        <v>355</v>
      </c>
      <c r="W149" s="240"/>
      <c r="X149" s="240"/>
      <c r="Z149" s="149" t="str">
        <f t="shared" ca="1" si="2"/>
        <v/>
      </c>
      <c r="AA149" s="149" t="str">
        <f ca="1">IFERROR(IF(OR(OFFSET('S4'!#REF!,MATCH($A149,'S4'!$D$5:$D$3387,0)-1,6)="巻返し",OFFSET('S4'!#REF!,MATCH($A149,'S4'!$D$5:$D$3387,0)-1,6)="スリット"),SUMIF('S4'!$D$5:$D$3387,$A149,'S4'!$U$5:$U$3387),""),"")</f>
        <v/>
      </c>
      <c r="AB149" s="149" t="str">
        <f ca="1">IFERROR(IF(OR(OFFSET('S5'!#REF!,MATCH($A149,'S5'!$D$5:$D$2917,0)-1,6)="巻返し",OFFSET('S5'!#REF!,MATCH($A149,'S5'!$D$5:$D$2917,0)-1,6)="スリット"),SUMIF('S5'!$D$5:$D$2917,$A149,'S5'!$T$5:$T$2917),""),"")</f>
        <v/>
      </c>
    </row>
    <row r="150" spans="1:28" s="144" customFormat="1" ht="11.25" x14ac:dyDescent="0.15">
      <c r="A150" s="240">
        <v>3680020</v>
      </c>
      <c r="B150" s="240" t="s">
        <v>351</v>
      </c>
      <c r="C150" s="240" t="s">
        <v>352</v>
      </c>
      <c r="D150" s="240" t="s">
        <v>353</v>
      </c>
      <c r="E150" s="240" t="s">
        <v>116</v>
      </c>
      <c r="F150" s="240">
        <v>3</v>
      </c>
      <c r="G150" s="240" t="s">
        <v>19</v>
      </c>
      <c r="H150" s="240" t="s">
        <v>20</v>
      </c>
      <c r="I150" s="240" t="s">
        <v>205</v>
      </c>
      <c r="J150" s="240"/>
      <c r="K150" s="240" t="s">
        <v>212</v>
      </c>
      <c r="L150" s="240">
        <v>50</v>
      </c>
      <c r="M150" s="240" t="s">
        <v>213</v>
      </c>
      <c r="N150" s="241">
        <v>1120</v>
      </c>
      <c r="O150" s="241">
        <v>1120</v>
      </c>
      <c r="P150" s="241">
        <v>4000</v>
      </c>
      <c r="Q150" s="240">
        <v>2</v>
      </c>
      <c r="R150" s="240">
        <v>8</v>
      </c>
      <c r="S150" s="240" t="s">
        <v>354</v>
      </c>
      <c r="T150" s="242">
        <v>44825</v>
      </c>
      <c r="U150" s="242">
        <v>44862</v>
      </c>
      <c r="V150" s="240" t="s">
        <v>355</v>
      </c>
      <c r="W150" s="240"/>
      <c r="X150" s="240"/>
      <c r="Z150" s="149" t="str">
        <f t="shared" ca="1" si="2"/>
        <v/>
      </c>
      <c r="AA150" s="149" t="str">
        <f ca="1">IFERROR(IF(OR(OFFSET('S4'!#REF!,MATCH($A150,'S4'!$D$5:$D$3387,0)-1,6)="巻返し",OFFSET('S4'!#REF!,MATCH($A150,'S4'!$D$5:$D$3387,0)-1,6)="スリット"),SUMIF('S4'!$D$5:$D$3387,$A150,'S4'!$U$5:$U$3387),""),"")</f>
        <v/>
      </c>
      <c r="AB150" s="149" t="str">
        <f ca="1">IFERROR(IF(OR(OFFSET('S5'!#REF!,MATCH($A150,'S5'!$D$5:$D$2917,0)-1,6)="巻返し",OFFSET('S5'!#REF!,MATCH($A150,'S5'!$D$5:$D$2917,0)-1,6)="スリット"),SUMIF('S5'!$D$5:$D$2917,$A150,'S5'!$T$5:$T$2917),""),"")</f>
        <v/>
      </c>
    </row>
    <row r="151" spans="1:28" s="144" customFormat="1" ht="11.25" x14ac:dyDescent="0.15">
      <c r="A151" s="240">
        <v>3680021</v>
      </c>
      <c r="B151" s="240" t="s">
        <v>351</v>
      </c>
      <c r="C151" s="240" t="s">
        <v>352</v>
      </c>
      <c r="D151" s="240" t="s">
        <v>353</v>
      </c>
      <c r="E151" s="240" t="s">
        <v>116</v>
      </c>
      <c r="F151" s="240">
        <v>3</v>
      </c>
      <c r="G151" s="240" t="s">
        <v>19</v>
      </c>
      <c r="H151" s="240" t="s">
        <v>20</v>
      </c>
      <c r="I151" s="240" t="s">
        <v>205</v>
      </c>
      <c r="J151" s="240"/>
      <c r="K151" s="240" t="s">
        <v>212</v>
      </c>
      <c r="L151" s="240">
        <v>50</v>
      </c>
      <c r="M151" s="240" t="s">
        <v>213</v>
      </c>
      <c r="N151" s="241">
        <v>1120</v>
      </c>
      <c r="O151" s="241">
        <v>1120</v>
      </c>
      <c r="P151" s="241">
        <v>4000</v>
      </c>
      <c r="Q151" s="240">
        <v>2</v>
      </c>
      <c r="R151" s="240">
        <v>8</v>
      </c>
      <c r="S151" s="240" t="s">
        <v>354</v>
      </c>
      <c r="T151" s="242">
        <v>44825</v>
      </c>
      <c r="U151" s="242">
        <v>44869</v>
      </c>
      <c r="V151" s="240" t="s">
        <v>355</v>
      </c>
      <c r="W151" s="240"/>
      <c r="X151" s="240"/>
      <c r="Z151" s="149" t="str">
        <f t="shared" ca="1" si="2"/>
        <v/>
      </c>
      <c r="AA151" s="149" t="str">
        <f ca="1">IFERROR(IF(OR(OFFSET('S4'!#REF!,MATCH($A151,'S4'!$D$5:$D$3387,0)-1,6)="巻返し",OFFSET('S4'!#REF!,MATCH($A151,'S4'!$D$5:$D$3387,0)-1,6)="スリット"),SUMIF('S4'!$D$5:$D$3387,$A151,'S4'!$U$5:$U$3387),""),"")</f>
        <v/>
      </c>
      <c r="AB151" s="149" t="str">
        <f ca="1">IFERROR(IF(OR(OFFSET('S5'!#REF!,MATCH($A151,'S5'!$D$5:$D$2917,0)-1,6)="巻返し",OFFSET('S5'!#REF!,MATCH($A151,'S5'!$D$5:$D$2917,0)-1,6)="スリット"),SUMIF('S5'!$D$5:$D$2917,$A151,'S5'!$T$5:$T$2917),""),"")</f>
        <v/>
      </c>
    </row>
    <row r="152" spans="1:28" s="144" customFormat="1" ht="11.25" x14ac:dyDescent="0.15">
      <c r="A152" s="240">
        <v>3680022</v>
      </c>
      <c r="B152" s="240" t="s">
        <v>351</v>
      </c>
      <c r="C152" s="240" t="s">
        <v>352</v>
      </c>
      <c r="D152" s="240" t="s">
        <v>353</v>
      </c>
      <c r="E152" s="240" t="s">
        <v>116</v>
      </c>
      <c r="F152" s="240">
        <v>3</v>
      </c>
      <c r="G152" s="240" t="s">
        <v>19</v>
      </c>
      <c r="H152" s="240" t="s">
        <v>20</v>
      </c>
      <c r="I152" s="240" t="s">
        <v>205</v>
      </c>
      <c r="J152" s="240"/>
      <c r="K152" s="240" t="s">
        <v>212</v>
      </c>
      <c r="L152" s="240">
        <v>50</v>
      </c>
      <c r="M152" s="240" t="s">
        <v>213</v>
      </c>
      <c r="N152" s="241">
        <v>1120</v>
      </c>
      <c r="O152" s="241">
        <v>1120</v>
      </c>
      <c r="P152" s="241">
        <v>4000</v>
      </c>
      <c r="Q152" s="240">
        <v>2</v>
      </c>
      <c r="R152" s="240">
        <v>8</v>
      </c>
      <c r="S152" s="240" t="s">
        <v>354</v>
      </c>
      <c r="T152" s="242">
        <v>44825</v>
      </c>
      <c r="U152" s="242">
        <v>44879</v>
      </c>
      <c r="V152" s="240" t="s">
        <v>355</v>
      </c>
      <c r="W152" s="240"/>
      <c r="X152" s="240"/>
      <c r="Z152" s="149" t="str">
        <f t="shared" ca="1" si="2"/>
        <v/>
      </c>
      <c r="AA152" s="149" t="str">
        <f ca="1">IFERROR(IF(OR(OFFSET('S4'!#REF!,MATCH($A152,'S4'!$D$5:$D$3387,0)-1,6)="巻返し",OFFSET('S4'!#REF!,MATCH($A152,'S4'!$D$5:$D$3387,0)-1,6)="スリット"),SUMIF('S4'!$D$5:$D$3387,$A152,'S4'!$U$5:$U$3387),""),"")</f>
        <v/>
      </c>
      <c r="AB152" s="149" t="str">
        <f ca="1">IFERROR(IF(OR(OFFSET('S5'!#REF!,MATCH($A152,'S5'!$D$5:$D$2917,0)-1,6)="巻返し",OFFSET('S5'!#REF!,MATCH($A152,'S5'!$D$5:$D$2917,0)-1,6)="スリット"),SUMIF('S5'!$D$5:$D$2917,$A152,'S5'!$T$5:$T$2917),""),"")</f>
        <v/>
      </c>
    </row>
    <row r="153" spans="1:28" s="144" customFormat="1" ht="11.25" x14ac:dyDescent="0.15">
      <c r="A153" s="240">
        <v>3680023</v>
      </c>
      <c r="B153" s="240" t="s">
        <v>351</v>
      </c>
      <c r="C153" s="240" t="s">
        <v>352</v>
      </c>
      <c r="D153" s="240" t="s">
        <v>353</v>
      </c>
      <c r="E153" s="240" t="s">
        <v>116</v>
      </c>
      <c r="F153" s="240">
        <v>3</v>
      </c>
      <c r="G153" s="240" t="s">
        <v>19</v>
      </c>
      <c r="H153" s="240" t="s">
        <v>20</v>
      </c>
      <c r="I153" s="240" t="s">
        <v>205</v>
      </c>
      <c r="J153" s="240"/>
      <c r="K153" s="240" t="s">
        <v>211</v>
      </c>
      <c r="L153" s="240">
        <v>38</v>
      </c>
      <c r="M153" s="240" t="s">
        <v>370</v>
      </c>
      <c r="N153" s="241">
        <v>1005</v>
      </c>
      <c r="O153" s="241">
        <v>1000</v>
      </c>
      <c r="P153" s="241">
        <v>4000</v>
      </c>
      <c r="Q153" s="240">
        <v>2</v>
      </c>
      <c r="R153" s="240">
        <v>3</v>
      </c>
      <c r="S153" s="240" t="s">
        <v>354</v>
      </c>
      <c r="T153" s="242">
        <v>44825</v>
      </c>
      <c r="U153" s="242">
        <v>44855</v>
      </c>
      <c r="V153" s="240" t="s">
        <v>355</v>
      </c>
      <c r="W153" s="240"/>
      <c r="X153" s="240"/>
      <c r="Z153" s="149" t="str">
        <f t="shared" ca="1" si="2"/>
        <v/>
      </c>
      <c r="AA153" s="149" t="str">
        <f ca="1">IFERROR(IF(OR(OFFSET('S4'!#REF!,MATCH($A153,'S4'!$D$5:$D$3387,0)-1,6)="巻返し",OFFSET('S4'!#REF!,MATCH($A153,'S4'!$D$5:$D$3387,0)-1,6)="スリット"),SUMIF('S4'!$D$5:$D$3387,$A153,'S4'!$U$5:$U$3387),""),"")</f>
        <v/>
      </c>
      <c r="AB153" s="149" t="str">
        <f ca="1">IFERROR(IF(OR(OFFSET('S5'!#REF!,MATCH($A153,'S5'!$D$5:$D$2917,0)-1,6)="巻返し",OFFSET('S5'!#REF!,MATCH($A153,'S5'!$D$5:$D$2917,0)-1,6)="スリット"),SUMIF('S5'!$D$5:$D$2917,$A153,'S5'!$T$5:$T$2917),""),"")</f>
        <v/>
      </c>
    </row>
    <row r="154" spans="1:28" s="144" customFormat="1" ht="11.25" x14ac:dyDescent="0.15">
      <c r="A154" s="240">
        <v>3680024</v>
      </c>
      <c r="B154" s="240" t="s">
        <v>351</v>
      </c>
      <c r="C154" s="240" t="s">
        <v>352</v>
      </c>
      <c r="D154" s="240" t="s">
        <v>353</v>
      </c>
      <c r="E154" s="240" t="s">
        <v>116</v>
      </c>
      <c r="F154" s="240">
        <v>3</v>
      </c>
      <c r="G154" s="240" t="s">
        <v>19</v>
      </c>
      <c r="H154" s="240" t="s">
        <v>20</v>
      </c>
      <c r="I154" s="240" t="s">
        <v>205</v>
      </c>
      <c r="J154" s="240"/>
      <c r="K154" s="240" t="s">
        <v>211</v>
      </c>
      <c r="L154" s="240">
        <v>50</v>
      </c>
      <c r="M154" s="240" t="s">
        <v>370</v>
      </c>
      <c r="N154" s="241">
        <v>1050</v>
      </c>
      <c r="O154" s="241">
        <v>1050</v>
      </c>
      <c r="P154" s="241">
        <v>4100</v>
      </c>
      <c r="Q154" s="240">
        <v>2</v>
      </c>
      <c r="R154" s="240">
        <v>3</v>
      </c>
      <c r="S154" s="240" t="s">
        <v>354</v>
      </c>
      <c r="T154" s="242">
        <v>44825</v>
      </c>
      <c r="U154" s="242">
        <v>44855</v>
      </c>
      <c r="V154" s="240" t="s">
        <v>355</v>
      </c>
      <c r="W154" s="240"/>
      <c r="X154" s="240"/>
      <c r="Z154" s="149" t="str">
        <f t="shared" ca="1" si="2"/>
        <v/>
      </c>
      <c r="AA154" s="149" t="str">
        <f ca="1">IFERROR(IF(OR(OFFSET('S4'!#REF!,MATCH($A154,'S4'!$D$5:$D$3387,0)-1,6)="巻返し",OFFSET('S4'!#REF!,MATCH($A154,'S4'!$D$5:$D$3387,0)-1,6)="スリット"),SUMIF('S4'!$D$5:$D$3387,$A154,'S4'!$U$5:$U$3387),""),"")</f>
        <v/>
      </c>
      <c r="AB154" s="149" t="str">
        <f ca="1">IFERROR(IF(OR(OFFSET('S5'!#REF!,MATCH($A154,'S5'!$D$5:$D$2917,0)-1,6)="巻返し",OFFSET('S5'!#REF!,MATCH($A154,'S5'!$D$5:$D$2917,0)-1,6)="スリット"),SUMIF('S5'!$D$5:$D$2917,$A154,'S5'!$T$5:$T$2917),""),"")</f>
        <v/>
      </c>
    </row>
    <row r="155" spans="1:28" s="144" customFormat="1" ht="11.25" x14ac:dyDescent="0.15">
      <c r="A155" s="240">
        <v>3680025</v>
      </c>
      <c r="B155" s="240" t="s">
        <v>351</v>
      </c>
      <c r="C155" s="240" t="s">
        <v>352</v>
      </c>
      <c r="D155" s="240" t="s">
        <v>353</v>
      </c>
      <c r="E155" s="240" t="s">
        <v>116</v>
      </c>
      <c r="F155" s="240">
        <v>3</v>
      </c>
      <c r="G155" s="240" t="s">
        <v>19</v>
      </c>
      <c r="H155" s="240" t="s">
        <v>20</v>
      </c>
      <c r="I155" s="240" t="s">
        <v>205</v>
      </c>
      <c r="J155" s="240"/>
      <c r="K155" s="240" t="s">
        <v>211</v>
      </c>
      <c r="L155" s="240">
        <v>50</v>
      </c>
      <c r="M155" s="240" t="s">
        <v>370</v>
      </c>
      <c r="N155" s="241">
        <v>1170</v>
      </c>
      <c r="O155" s="241">
        <v>1170</v>
      </c>
      <c r="P155" s="241">
        <v>4000</v>
      </c>
      <c r="Q155" s="240">
        <v>2</v>
      </c>
      <c r="R155" s="240">
        <v>2</v>
      </c>
      <c r="S155" s="240" t="s">
        <v>354</v>
      </c>
      <c r="T155" s="242">
        <v>44825</v>
      </c>
      <c r="U155" s="242">
        <v>44855</v>
      </c>
      <c r="V155" s="240" t="s">
        <v>355</v>
      </c>
      <c r="W155" s="240"/>
      <c r="X155" s="240"/>
      <c r="Z155" s="149" t="str">
        <f t="shared" ca="1" si="2"/>
        <v/>
      </c>
      <c r="AA155" s="149" t="str">
        <f ca="1">IFERROR(IF(OR(OFFSET('S4'!#REF!,MATCH($A155,'S4'!$D$5:$D$3387,0)-1,6)="巻返し",OFFSET('S4'!#REF!,MATCH($A155,'S4'!$D$5:$D$3387,0)-1,6)="スリット"),SUMIF('S4'!$D$5:$D$3387,$A155,'S4'!$U$5:$U$3387),""),"")</f>
        <v/>
      </c>
      <c r="AB155" s="149" t="str">
        <f ca="1">IFERROR(IF(OR(OFFSET('S5'!#REF!,MATCH($A155,'S5'!$D$5:$D$2917,0)-1,6)="巻返し",OFFSET('S5'!#REF!,MATCH($A155,'S5'!$D$5:$D$2917,0)-1,6)="スリット"),SUMIF('S5'!$D$5:$D$2917,$A155,'S5'!$T$5:$T$2917),""),"")</f>
        <v/>
      </c>
    </row>
    <row r="156" spans="1:28" s="144" customFormat="1" ht="11.25" x14ac:dyDescent="0.15">
      <c r="A156" s="240">
        <v>3680027</v>
      </c>
      <c r="B156" s="240" t="s">
        <v>351</v>
      </c>
      <c r="C156" s="240" t="s">
        <v>352</v>
      </c>
      <c r="D156" s="240" t="s">
        <v>353</v>
      </c>
      <c r="E156" s="240" t="s">
        <v>116</v>
      </c>
      <c r="F156" s="240">
        <v>3</v>
      </c>
      <c r="G156" s="240" t="s">
        <v>19</v>
      </c>
      <c r="H156" s="240" t="s">
        <v>20</v>
      </c>
      <c r="I156" s="240" t="s">
        <v>205</v>
      </c>
      <c r="J156" s="240"/>
      <c r="K156" s="240" t="s">
        <v>216</v>
      </c>
      <c r="L156" s="240">
        <v>25</v>
      </c>
      <c r="M156" s="240" t="s">
        <v>217</v>
      </c>
      <c r="N156" s="241">
        <v>1005</v>
      </c>
      <c r="O156" s="241">
        <v>1000</v>
      </c>
      <c r="P156" s="241">
        <v>4000</v>
      </c>
      <c r="Q156" s="240">
        <v>2</v>
      </c>
      <c r="R156" s="240">
        <v>15</v>
      </c>
      <c r="S156" s="240" t="s">
        <v>354</v>
      </c>
      <c r="T156" s="242">
        <v>44825</v>
      </c>
      <c r="U156" s="242">
        <v>44855</v>
      </c>
      <c r="V156" s="240" t="s">
        <v>355</v>
      </c>
      <c r="W156" s="240"/>
      <c r="X156" s="240"/>
      <c r="Z156" s="149" t="str">
        <f t="shared" ca="1" si="2"/>
        <v/>
      </c>
      <c r="AA156" s="149" t="str">
        <f ca="1">IFERROR(IF(OR(OFFSET('S4'!#REF!,MATCH($A156,'S4'!$D$5:$D$3387,0)-1,6)="巻返し",OFFSET('S4'!#REF!,MATCH($A156,'S4'!$D$5:$D$3387,0)-1,6)="スリット"),SUMIF('S4'!$D$5:$D$3387,$A156,'S4'!$U$5:$U$3387),""),"")</f>
        <v/>
      </c>
      <c r="AB156" s="149" t="str">
        <f ca="1">IFERROR(IF(OR(OFFSET('S5'!#REF!,MATCH($A156,'S5'!$D$5:$D$2917,0)-1,6)="巻返し",OFFSET('S5'!#REF!,MATCH($A156,'S5'!$D$5:$D$2917,0)-1,6)="スリット"),SUMIF('S5'!$D$5:$D$2917,$A156,'S5'!$T$5:$T$2917),""),"")</f>
        <v/>
      </c>
    </row>
    <row r="157" spans="1:28" s="144" customFormat="1" ht="11.25" x14ac:dyDescent="0.15">
      <c r="A157" s="240">
        <v>3680028</v>
      </c>
      <c r="B157" s="240" t="s">
        <v>351</v>
      </c>
      <c r="C157" s="240" t="s">
        <v>352</v>
      </c>
      <c r="D157" s="240" t="s">
        <v>353</v>
      </c>
      <c r="E157" s="240" t="s">
        <v>116</v>
      </c>
      <c r="F157" s="240">
        <v>3</v>
      </c>
      <c r="G157" s="240" t="s">
        <v>19</v>
      </c>
      <c r="H157" s="240" t="s">
        <v>20</v>
      </c>
      <c r="I157" s="240" t="s">
        <v>205</v>
      </c>
      <c r="J157" s="240"/>
      <c r="K157" s="240" t="s">
        <v>216</v>
      </c>
      <c r="L157" s="240">
        <v>50</v>
      </c>
      <c r="M157" s="240" t="s">
        <v>217</v>
      </c>
      <c r="N157" s="241">
        <v>1120</v>
      </c>
      <c r="O157" s="241">
        <v>1120</v>
      </c>
      <c r="P157" s="241">
        <v>5000</v>
      </c>
      <c r="Q157" s="240">
        <v>2</v>
      </c>
      <c r="R157" s="240">
        <v>12</v>
      </c>
      <c r="S157" s="240" t="s">
        <v>354</v>
      </c>
      <c r="T157" s="242">
        <v>44825</v>
      </c>
      <c r="U157" s="242">
        <v>44860</v>
      </c>
      <c r="V157" s="240" t="s">
        <v>355</v>
      </c>
      <c r="W157" s="240"/>
      <c r="X157" s="240"/>
      <c r="Z157" s="149" t="str">
        <f t="shared" ca="1" si="2"/>
        <v/>
      </c>
      <c r="AA157" s="149" t="str">
        <f ca="1">IFERROR(IF(OR(OFFSET('S4'!#REF!,MATCH($A157,'S4'!$D$5:$D$3387,0)-1,6)="巻返し",OFFSET('S4'!#REF!,MATCH($A157,'S4'!$D$5:$D$3387,0)-1,6)="スリット"),SUMIF('S4'!$D$5:$D$3387,$A157,'S4'!$U$5:$U$3387),""),"")</f>
        <v/>
      </c>
      <c r="AB157" s="149" t="str">
        <f ca="1">IFERROR(IF(OR(OFFSET('S5'!#REF!,MATCH($A157,'S5'!$D$5:$D$2917,0)-1,6)="巻返し",OFFSET('S5'!#REF!,MATCH($A157,'S5'!$D$5:$D$2917,0)-1,6)="スリット"),SUMIF('S5'!$D$5:$D$2917,$A157,'S5'!$T$5:$T$2917),""),"")</f>
        <v/>
      </c>
    </row>
    <row r="158" spans="1:28" s="144" customFormat="1" ht="11.25" x14ac:dyDescent="0.15">
      <c r="A158" s="240">
        <v>3680029</v>
      </c>
      <c r="B158" s="240" t="s">
        <v>351</v>
      </c>
      <c r="C158" s="240" t="s">
        <v>352</v>
      </c>
      <c r="D158" s="240" t="s">
        <v>353</v>
      </c>
      <c r="E158" s="240" t="s">
        <v>116</v>
      </c>
      <c r="F158" s="240">
        <v>3</v>
      </c>
      <c r="G158" s="240" t="s">
        <v>19</v>
      </c>
      <c r="H158" s="240" t="s">
        <v>20</v>
      </c>
      <c r="I158" s="240" t="s">
        <v>205</v>
      </c>
      <c r="J158" s="240"/>
      <c r="K158" s="240" t="s">
        <v>216</v>
      </c>
      <c r="L158" s="240">
        <v>50</v>
      </c>
      <c r="M158" s="240" t="s">
        <v>217</v>
      </c>
      <c r="N158" s="241">
        <v>1120</v>
      </c>
      <c r="O158" s="241">
        <v>1120</v>
      </c>
      <c r="P158" s="241">
        <v>5000</v>
      </c>
      <c r="Q158" s="240">
        <v>2</v>
      </c>
      <c r="R158" s="240">
        <v>12</v>
      </c>
      <c r="S158" s="240" t="s">
        <v>354</v>
      </c>
      <c r="T158" s="242">
        <v>44825</v>
      </c>
      <c r="U158" s="242">
        <v>44862</v>
      </c>
      <c r="V158" s="240" t="s">
        <v>355</v>
      </c>
      <c r="W158" s="240"/>
      <c r="X158" s="240"/>
      <c r="Z158" s="149" t="str">
        <f t="shared" ca="1" si="2"/>
        <v/>
      </c>
      <c r="AA158" s="149" t="str">
        <f ca="1">IFERROR(IF(OR(OFFSET('S4'!#REF!,MATCH($A158,'S4'!$D$5:$D$3387,0)-1,6)="巻返し",OFFSET('S4'!#REF!,MATCH($A158,'S4'!$D$5:$D$3387,0)-1,6)="スリット"),SUMIF('S4'!$D$5:$D$3387,$A158,'S4'!$U$5:$U$3387),""),"")</f>
        <v/>
      </c>
      <c r="AB158" s="149" t="str">
        <f ca="1">IFERROR(IF(OR(OFFSET('S5'!#REF!,MATCH($A158,'S5'!$D$5:$D$2917,0)-1,6)="巻返し",OFFSET('S5'!#REF!,MATCH($A158,'S5'!$D$5:$D$2917,0)-1,6)="スリット"),SUMIF('S5'!$D$5:$D$2917,$A158,'S5'!$T$5:$T$2917),""),"")</f>
        <v/>
      </c>
    </row>
    <row r="159" spans="1:28" s="144" customFormat="1" ht="11.25" x14ac:dyDescent="0.15">
      <c r="A159" s="240">
        <v>3680030</v>
      </c>
      <c r="B159" s="240" t="s">
        <v>351</v>
      </c>
      <c r="C159" s="240" t="s">
        <v>352</v>
      </c>
      <c r="D159" s="240" t="s">
        <v>353</v>
      </c>
      <c r="E159" s="240" t="s">
        <v>116</v>
      </c>
      <c r="F159" s="240">
        <v>3</v>
      </c>
      <c r="G159" s="240" t="s">
        <v>19</v>
      </c>
      <c r="H159" s="240" t="s">
        <v>20</v>
      </c>
      <c r="I159" s="240" t="s">
        <v>205</v>
      </c>
      <c r="J159" s="240"/>
      <c r="K159" s="240" t="s">
        <v>216</v>
      </c>
      <c r="L159" s="240">
        <v>50</v>
      </c>
      <c r="M159" s="240" t="s">
        <v>217</v>
      </c>
      <c r="N159" s="241">
        <v>1120</v>
      </c>
      <c r="O159" s="241">
        <v>1120</v>
      </c>
      <c r="P159" s="241">
        <v>5000</v>
      </c>
      <c r="Q159" s="240">
        <v>2</v>
      </c>
      <c r="R159" s="240">
        <v>12</v>
      </c>
      <c r="S159" s="240" t="s">
        <v>354</v>
      </c>
      <c r="T159" s="242">
        <v>44825</v>
      </c>
      <c r="U159" s="242">
        <v>44869</v>
      </c>
      <c r="V159" s="240" t="s">
        <v>355</v>
      </c>
      <c r="W159" s="240"/>
      <c r="X159" s="240"/>
      <c r="Z159" s="149" t="str">
        <f t="shared" ca="1" si="2"/>
        <v/>
      </c>
      <c r="AA159" s="149" t="str">
        <f ca="1">IFERROR(IF(OR(OFFSET('S4'!#REF!,MATCH($A159,'S4'!$D$5:$D$3387,0)-1,6)="巻返し",OFFSET('S4'!#REF!,MATCH($A159,'S4'!$D$5:$D$3387,0)-1,6)="スリット"),SUMIF('S4'!$D$5:$D$3387,$A159,'S4'!$U$5:$U$3387),""),"")</f>
        <v/>
      </c>
      <c r="AB159" s="149" t="str">
        <f ca="1">IFERROR(IF(OR(OFFSET('S5'!#REF!,MATCH($A159,'S5'!$D$5:$D$2917,0)-1,6)="巻返し",OFFSET('S5'!#REF!,MATCH($A159,'S5'!$D$5:$D$2917,0)-1,6)="スリット"),SUMIF('S5'!$D$5:$D$2917,$A159,'S5'!$T$5:$T$2917),""),"")</f>
        <v/>
      </c>
    </row>
    <row r="160" spans="1:28" s="144" customFormat="1" ht="11.25" x14ac:dyDescent="0.15">
      <c r="A160" s="240">
        <v>3680031</v>
      </c>
      <c r="B160" s="240" t="s">
        <v>351</v>
      </c>
      <c r="C160" s="240" t="s">
        <v>352</v>
      </c>
      <c r="D160" s="240" t="s">
        <v>353</v>
      </c>
      <c r="E160" s="240" t="s">
        <v>116</v>
      </c>
      <c r="F160" s="240">
        <v>3</v>
      </c>
      <c r="G160" s="240" t="s">
        <v>19</v>
      </c>
      <c r="H160" s="240" t="s">
        <v>20</v>
      </c>
      <c r="I160" s="240" t="s">
        <v>205</v>
      </c>
      <c r="J160" s="240"/>
      <c r="K160" s="240" t="s">
        <v>216</v>
      </c>
      <c r="L160" s="240">
        <v>50</v>
      </c>
      <c r="M160" s="240" t="s">
        <v>217</v>
      </c>
      <c r="N160" s="241">
        <v>1120</v>
      </c>
      <c r="O160" s="241">
        <v>1120</v>
      </c>
      <c r="P160" s="241">
        <v>5000</v>
      </c>
      <c r="Q160" s="240">
        <v>2</v>
      </c>
      <c r="R160" s="240">
        <v>12</v>
      </c>
      <c r="S160" s="240" t="s">
        <v>354</v>
      </c>
      <c r="T160" s="242">
        <v>44825</v>
      </c>
      <c r="U160" s="242">
        <v>44879</v>
      </c>
      <c r="V160" s="240" t="s">
        <v>355</v>
      </c>
      <c r="W160" s="240"/>
      <c r="X160" s="240"/>
      <c r="Z160" s="149" t="str">
        <f t="shared" ca="1" si="2"/>
        <v/>
      </c>
      <c r="AA160" s="149" t="str">
        <f ca="1">IFERROR(IF(OR(OFFSET('S4'!#REF!,MATCH($A160,'S4'!$D$5:$D$3387,0)-1,6)="巻返し",OFFSET('S4'!#REF!,MATCH($A160,'S4'!$D$5:$D$3387,0)-1,6)="スリット"),SUMIF('S4'!$D$5:$D$3387,$A160,'S4'!$U$5:$U$3387),""),"")</f>
        <v/>
      </c>
      <c r="AB160" s="149" t="str">
        <f ca="1">IFERROR(IF(OR(OFFSET('S5'!#REF!,MATCH($A160,'S5'!$D$5:$D$2917,0)-1,6)="巻返し",OFFSET('S5'!#REF!,MATCH($A160,'S5'!$D$5:$D$2917,0)-1,6)="スリット"),SUMIF('S5'!$D$5:$D$2917,$A160,'S5'!$T$5:$T$2917),""),"")</f>
        <v/>
      </c>
    </row>
    <row r="161" spans="1:28" s="144" customFormat="1" ht="11.25" x14ac:dyDescent="0.15">
      <c r="A161" s="240">
        <v>3680032</v>
      </c>
      <c r="B161" s="240" t="s">
        <v>351</v>
      </c>
      <c r="C161" s="240" t="s">
        <v>352</v>
      </c>
      <c r="D161" s="240" t="s">
        <v>353</v>
      </c>
      <c r="E161" s="240" t="s">
        <v>116</v>
      </c>
      <c r="F161" s="240">
        <v>3</v>
      </c>
      <c r="G161" s="240" t="s">
        <v>19</v>
      </c>
      <c r="H161" s="240" t="s">
        <v>20</v>
      </c>
      <c r="I161" s="240" t="s">
        <v>205</v>
      </c>
      <c r="J161" s="240"/>
      <c r="K161" s="240" t="s">
        <v>218</v>
      </c>
      <c r="L161" s="240">
        <v>25</v>
      </c>
      <c r="M161" s="240" t="s">
        <v>219</v>
      </c>
      <c r="N161" s="241">
        <v>1005</v>
      </c>
      <c r="O161" s="241">
        <v>1000</v>
      </c>
      <c r="P161" s="241">
        <v>4000</v>
      </c>
      <c r="Q161" s="240">
        <v>2</v>
      </c>
      <c r="R161" s="240">
        <v>8</v>
      </c>
      <c r="S161" s="240" t="s">
        <v>354</v>
      </c>
      <c r="T161" s="242">
        <v>44825</v>
      </c>
      <c r="U161" s="242">
        <v>44851</v>
      </c>
      <c r="V161" s="240" t="s">
        <v>355</v>
      </c>
      <c r="W161" s="240"/>
      <c r="X161" s="240"/>
      <c r="Z161" s="149" t="str">
        <f t="shared" ca="1" si="2"/>
        <v/>
      </c>
      <c r="AA161" s="149" t="str">
        <f ca="1">IFERROR(IF(OR(OFFSET('S4'!#REF!,MATCH($A161,'S4'!$D$5:$D$3387,0)-1,6)="巻返し",OFFSET('S4'!#REF!,MATCH($A161,'S4'!$D$5:$D$3387,0)-1,6)="スリット"),SUMIF('S4'!$D$5:$D$3387,$A161,'S4'!$U$5:$U$3387),""),"")</f>
        <v/>
      </c>
      <c r="AB161" s="149" t="str">
        <f ca="1">IFERROR(IF(OR(OFFSET('S5'!#REF!,MATCH($A161,'S5'!$D$5:$D$2917,0)-1,6)="巻返し",OFFSET('S5'!#REF!,MATCH($A161,'S5'!$D$5:$D$2917,0)-1,6)="スリット"),SUMIF('S5'!$D$5:$D$2917,$A161,'S5'!$T$5:$T$2917),""),"")</f>
        <v/>
      </c>
    </row>
    <row r="162" spans="1:28" s="144" customFormat="1" ht="11.25" x14ac:dyDescent="0.15">
      <c r="A162" s="240">
        <v>3680033</v>
      </c>
      <c r="B162" s="240" t="s">
        <v>351</v>
      </c>
      <c r="C162" s="240" t="s">
        <v>352</v>
      </c>
      <c r="D162" s="240" t="s">
        <v>353</v>
      </c>
      <c r="E162" s="240" t="s">
        <v>116</v>
      </c>
      <c r="F162" s="240">
        <v>3</v>
      </c>
      <c r="G162" s="240" t="s">
        <v>19</v>
      </c>
      <c r="H162" s="240" t="s">
        <v>20</v>
      </c>
      <c r="I162" s="240" t="s">
        <v>205</v>
      </c>
      <c r="J162" s="240"/>
      <c r="K162" s="240" t="s">
        <v>218</v>
      </c>
      <c r="L162" s="240">
        <v>50</v>
      </c>
      <c r="M162" s="240" t="s">
        <v>219</v>
      </c>
      <c r="N162" s="241">
        <v>1000</v>
      </c>
      <c r="O162" s="241">
        <v>1000</v>
      </c>
      <c r="P162" s="241">
        <v>4000</v>
      </c>
      <c r="Q162" s="240">
        <v>2</v>
      </c>
      <c r="R162" s="240">
        <v>18</v>
      </c>
      <c r="S162" s="240" t="s">
        <v>354</v>
      </c>
      <c r="T162" s="242">
        <v>44825</v>
      </c>
      <c r="U162" s="242">
        <v>44855</v>
      </c>
      <c r="V162" s="240" t="s">
        <v>355</v>
      </c>
      <c r="W162" s="240"/>
      <c r="X162" s="240"/>
      <c r="Z162" s="149" t="str">
        <f t="shared" ca="1" si="2"/>
        <v/>
      </c>
      <c r="AA162" s="149" t="str">
        <f ca="1">IFERROR(IF(OR(OFFSET('S4'!#REF!,MATCH($A162,'S4'!$D$5:$D$3387,0)-1,6)="巻返し",OFFSET('S4'!#REF!,MATCH($A162,'S4'!$D$5:$D$3387,0)-1,6)="スリット"),SUMIF('S4'!$D$5:$D$3387,$A162,'S4'!$U$5:$U$3387),""),"")</f>
        <v/>
      </c>
      <c r="AB162" s="149" t="str">
        <f ca="1">IFERROR(IF(OR(OFFSET('S5'!#REF!,MATCH($A162,'S5'!$D$5:$D$2917,0)-1,6)="巻返し",OFFSET('S5'!#REF!,MATCH($A162,'S5'!$D$5:$D$2917,0)-1,6)="スリット"),SUMIF('S5'!$D$5:$D$2917,$A162,'S5'!$T$5:$T$2917),""),"")</f>
        <v/>
      </c>
    </row>
    <row r="163" spans="1:28" s="144" customFormat="1" ht="11.25" x14ac:dyDescent="0.15">
      <c r="A163" s="240">
        <v>3680034</v>
      </c>
      <c r="B163" s="240" t="s">
        <v>351</v>
      </c>
      <c r="C163" s="240" t="s">
        <v>352</v>
      </c>
      <c r="D163" s="240" t="s">
        <v>353</v>
      </c>
      <c r="E163" s="240" t="s">
        <v>116</v>
      </c>
      <c r="F163" s="240" t="s">
        <v>158</v>
      </c>
      <c r="G163" s="240" t="s">
        <v>19</v>
      </c>
      <c r="H163" s="240" t="s">
        <v>20</v>
      </c>
      <c r="I163" s="240" t="s">
        <v>165</v>
      </c>
      <c r="J163" s="240"/>
      <c r="K163" s="240" t="s">
        <v>192</v>
      </c>
      <c r="L163" s="240">
        <v>38</v>
      </c>
      <c r="M163" s="240" t="s">
        <v>193</v>
      </c>
      <c r="N163" s="241">
        <v>1005</v>
      </c>
      <c r="O163" s="241">
        <v>1000</v>
      </c>
      <c r="P163" s="241">
        <v>2000</v>
      </c>
      <c r="Q163" s="240">
        <v>2</v>
      </c>
      <c r="R163" s="240">
        <v>1</v>
      </c>
      <c r="S163" s="240" t="s">
        <v>354</v>
      </c>
      <c r="T163" s="242">
        <v>44825</v>
      </c>
      <c r="U163" s="242">
        <v>44851</v>
      </c>
      <c r="V163" s="240" t="s">
        <v>355</v>
      </c>
      <c r="W163" s="240"/>
      <c r="X163" s="240"/>
      <c r="Z163" s="149" t="str">
        <f t="shared" ca="1" si="2"/>
        <v/>
      </c>
      <c r="AA163" s="149" t="str">
        <f ca="1">IFERROR(IF(OR(OFFSET('S4'!#REF!,MATCH($A163,'S4'!$D$5:$D$3387,0)-1,6)="巻返し",OFFSET('S4'!#REF!,MATCH($A163,'S4'!$D$5:$D$3387,0)-1,6)="スリット"),SUMIF('S4'!$D$5:$D$3387,$A163,'S4'!$U$5:$U$3387),""),"")</f>
        <v/>
      </c>
      <c r="AB163" s="149" t="str">
        <f ca="1">IFERROR(IF(OR(OFFSET('S5'!#REF!,MATCH($A163,'S5'!$D$5:$D$2917,0)-1,6)="巻返し",OFFSET('S5'!#REF!,MATCH($A163,'S5'!$D$5:$D$2917,0)-1,6)="スリット"),SUMIF('S5'!$D$5:$D$2917,$A163,'S5'!$T$5:$T$2917),""),"")</f>
        <v/>
      </c>
    </row>
    <row r="164" spans="1:28" s="144" customFormat="1" ht="11.25" x14ac:dyDescent="0.15">
      <c r="A164" s="240">
        <v>3680035</v>
      </c>
      <c r="B164" s="240" t="s">
        <v>351</v>
      </c>
      <c r="C164" s="240" t="s">
        <v>352</v>
      </c>
      <c r="D164" s="240" t="s">
        <v>353</v>
      </c>
      <c r="E164" s="240" t="s">
        <v>116</v>
      </c>
      <c r="F164" s="240" t="s">
        <v>158</v>
      </c>
      <c r="G164" s="240" t="s">
        <v>19</v>
      </c>
      <c r="H164" s="240" t="s">
        <v>20</v>
      </c>
      <c r="I164" s="240" t="s">
        <v>165</v>
      </c>
      <c r="J164" s="240"/>
      <c r="K164" s="240" t="s">
        <v>192</v>
      </c>
      <c r="L164" s="240">
        <v>50</v>
      </c>
      <c r="M164" s="240" t="s">
        <v>193</v>
      </c>
      <c r="N164" s="241">
        <v>1005</v>
      </c>
      <c r="O164" s="241">
        <v>1000</v>
      </c>
      <c r="P164" s="241">
        <v>4000</v>
      </c>
      <c r="Q164" s="240">
        <v>2</v>
      </c>
      <c r="R164" s="240">
        <v>6</v>
      </c>
      <c r="S164" s="240" t="s">
        <v>354</v>
      </c>
      <c r="T164" s="242">
        <v>44825</v>
      </c>
      <c r="U164" s="242">
        <v>44861</v>
      </c>
      <c r="V164" s="240" t="s">
        <v>355</v>
      </c>
      <c r="W164" s="240"/>
      <c r="X164" s="240"/>
      <c r="Z164" s="149" t="str">
        <f t="shared" ca="1" si="2"/>
        <v/>
      </c>
      <c r="AA164" s="149" t="str">
        <f ca="1">IFERROR(IF(OR(OFFSET('S4'!#REF!,MATCH($A164,'S4'!$D$5:$D$3387,0)-1,6)="巻返し",OFFSET('S4'!#REF!,MATCH($A164,'S4'!$D$5:$D$3387,0)-1,6)="スリット"),SUMIF('S4'!$D$5:$D$3387,$A164,'S4'!$U$5:$U$3387),""),"")</f>
        <v/>
      </c>
      <c r="AB164" s="149" t="str">
        <f ca="1">IFERROR(IF(OR(OFFSET('S5'!#REF!,MATCH($A164,'S5'!$D$5:$D$2917,0)-1,6)="巻返し",OFFSET('S5'!#REF!,MATCH($A164,'S5'!$D$5:$D$2917,0)-1,6)="スリット"),SUMIF('S5'!$D$5:$D$2917,$A164,'S5'!$T$5:$T$2917),""),"")</f>
        <v/>
      </c>
    </row>
    <row r="165" spans="1:28" s="144" customFormat="1" ht="11.25" x14ac:dyDescent="0.15">
      <c r="A165" s="240">
        <v>3680036</v>
      </c>
      <c r="B165" s="240" t="s">
        <v>351</v>
      </c>
      <c r="C165" s="240" t="s">
        <v>352</v>
      </c>
      <c r="D165" s="240" t="s">
        <v>353</v>
      </c>
      <c r="E165" s="240" t="s">
        <v>116</v>
      </c>
      <c r="F165" s="240" t="s">
        <v>158</v>
      </c>
      <c r="G165" s="240" t="s">
        <v>19</v>
      </c>
      <c r="H165" s="240" t="s">
        <v>20</v>
      </c>
      <c r="I165" s="240" t="s">
        <v>165</v>
      </c>
      <c r="J165" s="240"/>
      <c r="K165" s="240" t="s">
        <v>195</v>
      </c>
      <c r="L165" s="240">
        <v>50</v>
      </c>
      <c r="M165" s="240" t="s">
        <v>196</v>
      </c>
      <c r="N165" s="241">
        <v>1005</v>
      </c>
      <c r="O165" s="241">
        <v>1000</v>
      </c>
      <c r="P165" s="241">
        <v>4000</v>
      </c>
      <c r="Q165" s="240">
        <v>2</v>
      </c>
      <c r="R165" s="240">
        <v>3</v>
      </c>
      <c r="S165" s="240" t="s">
        <v>354</v>
      </c>
      <c r="T165" s="242">
        <v>44825</v>
      </c>
      <c r="U165" s="242">
        <v>44861</v>
      </c>
      <c r="V165" s="240" t="s">
        <v>355</v>
      </c>
      <c r="W165" s="240"/>
      <c r="X165" s="240"/>
      <c r="Z165" s="149" t="str">
        <f t="shared" ca="1" si="2"/>
        <v/>
      </c>
      <c r="AA165" s="149" t="str">
        <f ca="1">IFERROR(IF(OR(OFFSET('S4'!#REF!,MATCH($A165,'S4'!$D$5:$D$3387,0)-1,6)="巻返し",OFFSET('S4'!#REF!,MATCH($A165,'S4'!$D$5:$D$3387,0)-1,6)="スリット"),SUMIF('S4'!$D$5:$D$3387,$A165,'S4'!$U$5:$U$3387),""),"")</f>
        <v/>
      </c>
      <c r="AB165" s="149" t="str">
        <f ca="1">IFERROR(IF(OR(OFFSET('S5'!#REF!,MATCH($A165,'S5'!$D$5:$D$2917,0)-1,6)="巻返し",OFFSET('S5'!#REF!,MATCH($A165,'S5'!$D$5:$D$2917,0)-1,6)="スリット"),SUMIF('S5'!$D$5:$D$2917,$A165,'S5'!$T$5:$T$2917),""),"")</f>
        <v/>
      </c>
    </row>
    <row r="166" spans="1:28" s="144" customFormat="1" ht="11.25" x14ac:dyDescent="0.15">
      <c r="A166" s="240">
        <v>3680037</v>
      </c>
      <c r="B166" s="240" t="s">
        <v>351</v>
      </c>
      <c r="C166" s="240" t="s">
        <v>352</v>
      </c>
      <c r="D166" s="240" t="s">
        <v>353</v>
      </c>
      <c r="E166" s="240" t="s">
        <v>116</v>
      </c>
      <c r="F166" s="240">
        <v>3</v>
      </c>
      <c r="G166" s="240" t="s">
        <v>19</v>
      </c>
      <c r="H166" s="240" t="s">
        <v>20</v>
      </c>
      <c r="I166" s="240" t="s">
        <v>165</v>
      </c>
      <c r="J166" s="240"/>
      <c r="K166" s="240" t="s">
        <v>166</v>
      </c>
      <c r="L166" s="240">
        <v>50</v>
      </c>
      <c r="M166" s="240" t="s">
        <v>167</v>
      </c>
      <c r="N166" s="241">
        <v>1005</v>
      </c>
      <c r="O166" s="241">
        <v>1000</v>
      </c>
      <c r="P166" s="241">
        <v>2000</v>
      </c>
      <c r="Q166" s="240">
        <v>2</v>
      </c>
      <c r="R166" s="240">
        <v>2</v>
      </c>
      <c r="S166" s="240" t="s">
        <v>354</v>
      </c>
      <c r="T166" s="242">
        <v>44825</v>
      </c>
      <c r="U166" s="242">
        <v>44855</v>
      </c>
      <c r="V166" s="240" t="s">
        <v>355</v>
      </c>
      <c r="W166" s="240"/>
      <c r="X166" s="240"/>
      <c r="Z166" s="149" t="str">
        <f t="shared" ca="1" si="2"/>
        <v/>
      </c>
      <c r="AA166" s="149" t="str">
        <f ca="1">IFERROR(IF(OR(OFFSET('S4'!#REF!,MATCH($A166,'S4'!$D$5:$D$3387,0)-1,6)="巻返し",OFFSET('S4'!#REF!,MATCH($A166,'S4'!$D$5:$D$3387,0)-1,6)="スリット"),SUMIF('S4'!$D$5:$D$3387,$A166,'S4'!$U$5:$U$3387),""),"")</f>
        <v/>
      </c>
      <c r="AB166" s="149" t="str">
        <f ca="1">IFERROR(IF(OR(OFFSET('S5'!#REF!,MATCH($A166,'S5'!$D$5:$D$2917,0)-1,6)="巻返し",OFFSET('S5'!#REF!,MATCH($A166,'S5'!$D$5:$D$2917,0)-1,6)="スリット"),SUMIF('S5'!$D$5:$D$2917,$A166,'S5'!$T$5:$T$2917),""),"")</f>
        <v/>
      </c>
    </row>
    <row r="167" spans="1:28" s="144" customFormat="1" ht="11.25" x14ac:dyDescent="0.15">
      <c r="A167" s="240">
        <v>3680038</v>
      </c>
      <c r="B167" s="240" t="s">
        <v>351</v>
      </c>
      <c r="C167" s="240" t="s">
        <v>352</v>
      </c>
      <c r="D167" s="240" t="s">
        <v>353</v>
      </c>
      <c r="E167" s="240" t="s">
        <v>116</v>
      </c>
      <c r="F167" s="240">
        <v>3</v>
      </c>
      <c r="G167" s="240" t="s">
        <v>19</v>
      </c>
      <c r="H167" s="240" t="s">
        <v>20</v>
      </c>
      <c r="I167" s="240" t="s">
        <v>165</v>
      </c>
      <c r="J167" s="240"/>
      <c r="K167" s="240" t="s">
        <v>166</v>
      </c>
      <c r="L167" s="240">
        <v>50</v>
      </c>
      <c r="M167" s="240" t="s">
        <v>167</v>
      </c>
      <c r="N167" s="241">
        <v>1005</v>
      </c>
      <c r="O167" s="241">
        <v>1000</v>
      </c>
      <c r="P167" s="241">
        <v>2000</v>
      </c>
      <c r="Q167" s="240">
        <v>2</v>
      </c>
      <c r="R167" s="240">
        <v>2</v>
      </c>
      <c r="S167" s="240" t="s">
        <v>354</v>
      </c>
      <c r="T167" s="242">
        <v>44825</v>
      </c>
      <c r="U167" s="242">
        <v>44895</v>
      </c>
      <c r="V167" s="240" t="s">
        <v>355</v>
      </c>
      <c r="W167" s="240"/>
      <c r="X167" s="240"/>
      <c r="Z167" s="149" t="str">
        <f t="shared" ca="1" si="2"/>
        <v/>
      </c>
      <c r="AA167" s="149" t="str">
        <f ca="1">IFERROR(IF(OR(OFFSET('S4'!#REF!,MATCH($A167,'S4'!$D$5:$D$3387,0)-1,6)="巻返し",OFFSET('S4'!#REF!,MATCH($A167,'S4'!$D$5:$D$3387,0)-1,6)="スリット"),SUMIF('S4'!$D$5:$D$3387,$A167,'S4'!$U$5:$U$3387),""),"")</f>
        <v/>
      </c>
      <c r="AB167" s="149" t="str">
        <f ca="1">IFERROR(IF(OR(OFFSET('S5'!#REF!,MATCH($A167,'S5'!$D$5:$D$2917,0)-1,6)="巻返し",OFFSET('S5'!#REF!,MATCH($A167,'S5'!$D$5:$D$2917,0)-1,6)="スリット"),SUMIF('S5'!$D$5:$D$2917,$A167,'S5'!$T$5:$T$2917),""),"")</f>
        <v/>
      </c>
    </row>
    <row r="168" spans="1:28" s="144" customFormat="1" ht="11.25" x14ac:dyDescent="0.15">
      <c r="A168" s="240">
        <v>3680041</v>
      </c>
      <c r="B168" s="240" t="s">
        <v>351</v>
      </c>
      <c r="C168" s="240" t="s">
        <v>352</v>
      </c>
      <c r="D168" s="240" t="s">
        <v>353</v>
      </c>
      <c r="E168" s="240" t="s">
        <v>116</v>
      </c>
      <c r="F168" s="240">
        <v>3</v>
      </c>
      <c r="G168" s="240" t="s">
        <v>19</v>
      </c>
      <c r="H168" s="240" t="s">
        <v>20</v>
      </c>
      <c r="I168" s="240" t="s">
        <v>205</v>
      </c>
      <c r="J168" s="240"/>
      <c r="K168" s="240" t="s">
        <v>221</v>
      </c>
      <c r="L168" s="240">
        <v>25</v>
      </c>
      <c r="M168" s="240" t="s">
        <v>222</v>
      </c>
      <c r="N168" s="241">
        <v>1000</v>
      </c>
      <c r="O168" s="241">
        <v>1000</v>
      </c>
      <c r="P168" s="241">
        <v>6000</v>
      </c>
      <c r="Q168" s="240">
        <v>2</v>
      </c>
      <c r="R168" s="240">
        <v>6</v>
      </c>
      <c r="S168" s="240" t="s">
        <v>354</v>
      </c>
      <c r="T168" s="242">
        <v>44825</v>
      </c>
      <c r="U168" s="242">
        <v>44848</v>
      </c>
      <c r="V168" s="240" t="s">
        <v>355</v>
      </c>
      <c r="W168" s="240"/>
      <c r="X168" s="240"/>
      <c r="Z168" s="149" t="str">
        <f t="shared" ca="1" si="2"/>
        <v/>
      </c>
      <c r="AA168" s="149" t="str">
        <f ca="1">IFERROR(IF(OR(OFFSET('S4'!#REF!,MATCH($A168,'S4'!$D$5:$D$3387,0)-1,6)="巻返し",OFFSET('S4'!#REF!,MATCH($A168,'S4'!$D$5:$D$3387,0)-1,6)="スリット"),SUMIF('S4'!$D$5:$D$3387,$A168,'S4'!$U$5:$U$3387),""),"")</f>
        <v/>
      </c>
      <c r="AB168" s="149" t="str">
        <f ca="1">IFERROR(IF(OR(OFFSET('S5'!#REF!,MATCH($A168,'S5'!$D$5:$D$2917,0)-1,6)="巻返し",OFFSET('S5'!#REF!,MATCH($A168,'S5'!$D$5:$D$2917,0)-1,6)="スリット"),SUMIF('S5'!$D$5:$D$2917,$A168,'S5'!$T$5:$T$2917),""),"")</f>
        <v/>
      </c>
    </row>
    <row r="169" spans="1:28" s="144" customFormat="1" ht="11.25" x14ac:dyDescent="0.15">
      <c r="A169" s="240">
        <v>3680042</v>
      </c>
      <c r="B169" s="240" t="s">
        <v>351</v>
      </c>
      <c r="C169" s="240" t="s">
        <v>352</v>
      </c>
      <c r="D169" s="240" t="s">
        <v>353</v>
      </c>
      <c r="E169" s="240" t="s">
        <v>116</v>
      </c>
      <c r="F169" s="240">
        <v>3</v>
      </c>
      <c r="G169" s="240" t="s">
        <v>19</v>
      </c>
      <c r="H169" s="240" t="s">
        <v>20</v>
      </c>
      <c r="I169" s="240" t="s">
        <v>165</v>
      </c>
      <c r="J169" s="240"/>
      <c r="K169" s="240" t="s">
        <v>176</v>
      </c>
      <c r="L169" s="240">
        <v>50</v>
      </c>
      <c r="M169" s="240" t="s">
        <v>177</v>
      </c>
      <c r="N169" s="241">
        <v>1005</v>
      </c>
      <c r="O169" s="241">
        <v>1000</v>
      </c>
      <c r="P169" s="241">
        <v>4000</v>
      </c>
      <c r="Q169" s="240">
        <v>2</v>
      </c>
      <c r="R169" s="240">
        <v>2</v>
      </c>
      <c r="S169" s="240" t="s">
        <v>354</v>
      </c>
      <c r="T169" s="242">
        <v>44825</v>
      </c>
      <c r="U169" s="242">
        <v>44855</v>
      </c>
      <c r="V169" s="240" t="s">
        <v>355</v>
      </c>
      <c r="W169" s="240"/>
      <c r="X169" s="240"/>
      <c r="Z169" s="149" t="str">
        <f t="shared" ca="1" si="2"/>
        <v/>
      </c>
      <c r="AA169" s="149" t="str">
        <f ca="1">IFERROR(IF(OR(OFFSET('S4'!#REF!,MATCH($A169,'S4'!$D$5:$D$3387,0)-1,6)="巻返し",OFFSET('S4'!#REF!,MATCH($A169,'S4'!$D$5:$D$3387,0)-1,6)="スリット"),SUMIF('S4'!$D$5:$D$3387,$A169,'S4'!$U$5:$U$3387),""),"")</f>
        <v/>
      </c>
      <c r="AB169" s="149" t="str">
        <f ca="1">IFERROR(IF(OR(OFFSET('S5'!#REF!,MATCH($A169,'S5'!$D$5:$D$2917,0)-1,6)="巻返し",OFFSET('S5'!#REF!,MATCH($A169,'S5'!$D$5:$D$2917,0)-1,6)="スリット"),SUMIF('S5'!$D$5:$D$2917,$A169,'S5'!$T$5:$T$2917),""),"")</f>
        <v/>
      </c>
    </row>
    <row r="170" spans="1:28" s="144" customFormat="1" ht="11.25" x14ac:dyDescent="0.15">
      <c r="A170" s="240">
        <v>3680043</v>
      </c>
      <c r="B170" s="240" t="s">
        <v>351</v>
      </c>
      <c r="C170" s="240" t="s">
        <v>352</v>
      </c>
      <c r="D170" s="240" t="s">
        <v>353</v>
      </c>
      <c r="E170" s="240" t="s">
        <v>116</v>
      </c>
      <c r="F170" s="240">
        <v>3</v>
      </c>
      <c r="G170" s="240" t="s">
        <v>19</v>
      </c>
      <c r="H170" s="240" t="s">
        <v>28</v>
      </c>
      <c r="I170" s="240" t="s">
        <v>205</v>
      </c>
      <c r="J170" s="240"/>
      <c r="K170" s="240" t="s">
        <v>237</v>
      </c>
      <c r="L170" s="240">
        <v>25</v>
      </c>
      <c r="M170" s="240" t="s">
        <v>238</v>
      </c>
      <c r="N170" s="241">
        <v>1120</v>
      </c>
      <c r="O170" s="241">
        <v>1120</v>
      </c>
      <c r="P170" s="241">
        <v>8000</v>
      </c>
      <c r="Q170" s="240">
        <v>2</v>
      </c>
      <c r="R170" s="240">
        <v>1</v>
      </c>
      <c r="S170" s="240" t="s">
        <v>354</v>
      </c>
      <c r="T170" s="242">
        <v>44825</v>
      </c>
      <c r="U170" s="242">
        <v>44855</v>
      </c>
      <c r="V170" s="240" t="s">
        <v>355</v>
      </c>
      <c r="W170" s="240"/>
      <c r="X170" s="240"/>
      <c r="Z170" s="149" t="str">
        <f t="shared" ca="1" si="2"/>
        <v/>
      </c>
      <c r="AA170" s="149" t="str">
        <f ca="1">IFERROR(IF(OR(OFFSET('S4'!#REF!,MATCH($A170,'S4'!$D$5:$D$3387,0)-1,6)="巻返し",OFFSET('S4'!#REF!,MATCH($A170,'S4'!$D$5:$D$3387,0)-1,6)="スリット"),SUMIF('S4'!$D$5:$D$3387,$A170,'S4'!$U$5:$U$3387),""),"")</f>
        <v/>
      </c>
      <c r="AB170" s="149" t="str">
        <f ca="1">IFERROR(IF(OR(OFFSET('S5'!#REF!,MATCH($A170,'S5'!$D$5:$D$2917,0)-1,6)="巻返し",OFFSET('S5'!#REF!,MATCH($A170,'S5'!$D$5:$D$2917,0)-1,6)="スリット"),SUMIF('S5'!$D$5:$D$2917,$A170,'S5'!$T$5:$T$2917),""),"")</f>
        <v/>
      </c>
    </row>
    <row r="171" spans="1:28" s="144" customFormat="1" ht="11.25" x14ac:dyDescent="0.15">
      <c r="A171" s="240">
        <v>3680044</v>
      </c>
      <c r="B171" s="240" t="s">
        <v>351</v>
      </c>
      <c r="C171" s="240" t="s">
        <v>352</v>
      </c>
      <c r="D171" s="240" t="s">
        <v>353</v>
      </c>
      <c r="E171" s="240" t="s">
        <v>116</v>
      </c>
      <c r="F171" s="240">
        <v>3</v>
      </c>
      <c r="G171" s="240" t="s">
        <v>19</v>
      </c>
      <c r="H171" s="240" t="s">
        <v>28</v>
      </c>
      <c r="I171" s="240" t="s">
        <v>205</v>
      </c>
      <c r="J171" s="240"/>
      <c r="K171" s="240" t="s">
        <v>226</v>
      </c>
      <c r="L171" s="240">
        <v>50</v>
      </c>
      <c r="M171" s="240" t="s">
        <v>227</v>
      </c>
      <c r="N171" s="241">
        <v>1120</v>
      </c>
      <c r="O171" s="241">
        <v>1120</v>
      </c>
      <c r="P171" s="241">
        <v>5000</v>
      </c>
      <c r="Q171" s="240">
        <v>2</v>
      </c>
      <c r="R171" s="240">
        <v>2</v>
      </c>
      <c r="S171" s="240" t="s">
        <v>354</v>
      </c>
      <c r="T171" s="242">
        <v>44825</v>
      </c>
      <c r="U171" s="242">
        <v>44855</v>
      </c>
      <c r="V171" s="240" t="s">
        <v>355</v>
      </c>
      <c r="W171" s="240"/>
      <c r="X171" s="240"/>
      <c r="Z171" s="149" t="str">
        <f t="shared" ca="1" si="2"/>
        <v/>
      </c>
      <c r="AA171" s="149" t="str">
        <f ca="1">IFERROR(IF(OR(OFFSET('S4'!#REF!,MATCH($A171,'S4'!$D$5:$D$3387,0)-1,6)="巻返し",OFFSET('S4'!#REF!,MATCH($A171,'S4'!$D$5:$D$3387,0)-1,6)="スリット"),SUMIF('S4'!$D$5:$D$3387,$A171,'S4'!$U$5:$U$3387),""),"")</f>
        <v/>
      </c>
      <c r="AB171" s="149" t="str">
        <f ca="1">IFERROR(IF(OR(OFFSET('S5'!#REF!,MATCH($A171,'S5'!$D$5:$D$2917,0)-1,6)="巻返し",OFFSET('S5'!#REF!,MATCH($A171,'S5'!$D$5:$D$2917,0)-1,6)="スリット"),SUMIF('S5'!$D$5:$D$2917,$A171,'S5'!$T$5:$T$2917),""),"")</f>
        <v/>
      </c>
    </row>
    <row r="172" spans="1:28" s="144" customFormat="1" ht="11.25" x14ac:dyDescent="0.15">
      <c r="A172" s="240">
        <v>3680045</v>
      </c>
      <c r="B172" s="240" t="s">
        <v>351</v>
      </c>
      <c r="C172" s="240" t="s">
        <v>352</v>
      </c>
      <c r="D172" s="240" t="s">
        <v>353</v>
      </c>
      <c r="E172" s="240" t="s">
        <v>116</v>
      </c>
      <c r="F172" s="240">
        <v>3</v>
      </c>
      <c r="G172" s="240" t="s">
        <v>19</v>
      </c>
      <c r="H172" s="240" t="s">
        <v>28</v>
      </c>
      <c r="I172" s="240" t="s">
        <v>205</v>
      </c>
      <c r="J172" s="240"/>
      <c r="K172" s="240" t="s">
        <v>224</v>
      </c>
      <c r="L172" s="240">
        <v>25</v>
      </c>
      <c r="M172" s="240" t="s">
        <v>225</v>
      </c>
      <c r="N172" s="241">
        <v>1120</v>
      </c>
      <c r="O172" s="241">
        <v>1120</v>
      </c>
      <c r="P172" s="241">
        <v>8000</v>
      </c>
      <c r="Q172" s="240">
        <v>2</v>
      </c>
      <c r="R172" s="240">
        <v>1</v>
      </c>
      <c r="S172" s="240" t="s">
        <v>354</v>
      </c>
      <c r="T172" s="242">
        <v>44825</v>
      </c>
      <c r="U172" s="242">
        <v>44855</v>
      </c>
      <c r="V172" s="240" t="s">
        <v>355</v>
      </c>
      <c r="W172" s="240"/>
      <c r="X172" s="240"/>
      <c r="Z172" s="149" t="str">
        <f t="shared" ca="1" si="2"/>
        <v/>
      </c>
      <c r="AA172" s="149" t="str">
        <f ca="1">IFERROR(IF(OR(OFFSET('S4'!#REF!,MATCH($A172,'S4'!$D$5:$D$3387,0)-1,6)="巻返し",OFFSET('S4'!#REF!,MATCH($A172,'S4'!$D$5:$D$3387,0)-1,6)="スリット"),SUMIF('S4'!$D$5:$D$3387,$A172,'S4'!$U$5:$U$3387),""),"")</f>
        <v/>
      </c>
      <c r="AB172" s="149" t="str">
        <f ca="1">IFERROR(IF(OR(OFFSET('S5'!#REF!,MATCH($A172,'S5'!$D$5:$D$2917,0)-1,6)="巻返し",OFFSET('S5'!#REF!,MATCH($A172,'S5'!$D$5:$D$2917,0)-1,6)="スリット"),SUMIF('S5'!$D$5:$D$2917,$A172,'S5'!$T$5:$T$2917),""),"")</f>
        <v/>
      </c>
    </row>
    <row r="173" spans="1:28" s="144" customFormat="1" ht="11.25" x14ac:dyDescent="0.15">
      <c r="A173" s="240">
        <v>3680046</v>
      </c>
      <c r="B173" s="240" t="s">
        <v>351</v>
      </c>
      <c r="C173" s="240" t="s">
        <v>352</v>
      </c>
      <c r="D173" s="240" t="s">
        <v>353</v>
      </c>
      <c r="E173" s="240" t="s">
        <v>116</v>
      </c>
      <c r="F173" s="240">
        <v>3</v>
      </c>
      <c r="G173" s="240" t="s">
        <v>19</v>
      </c>
      <c r="H173" s="240" t="s">
        <v>28</v>
      </c>
      <c r="I173" s="240" t="s">
        <v>205</v>
      </c>
      <c r="J173" s="240"/>
      <c r="K173" s="240" t="s">
        <v>224</v>
      </c>
      <c r="L173" s="240">
        <v>50</v>
      </c>
      <c r="M173" s="240" t="s">
        <v>225</v>
      </c>
      <c r="N173" s="241">
        <v>1120</v>
      </c>
      <c r="O173" s="241">
        <v>1120</v>
      </c>
      <c r="P173" s="241">
        <v>5000</v>
      </c>
      <c r="Q173" s="240">
        <v>2</v>
      </c>
      <c r="R173" s="240">
        <v>2</v>
      </c>
      <c r="S173" s="240" t="s">
        <v>354</v>
      </c>
      <c r="T173" s="242">
        <v>44825</v>
      </c>
      <c r="U173" s="242">
        <v>44855</v>
      </c>
      <c r="V173" s="240" t="s">
        <v>355</v>
      </c>
      <c r="W173" s="240"/>
      <c r="X173" s="240"/>
      <c r="Z173" s="149" t="str">
        <f t="shared" ca="1" si="2"/>
        <v/>
      </c>
      <c r="AA173" s="149" t="str">
        <f ca="1">IFERROR(IF(OR(OFFSET('S4'!#REF!,MATCH($A173,'S4'!$D$5:$D$3387,0)-1,6)="巻返し",OFFSET('S4'!#REF!,MATCH($A173,'S4'!$D$5:$D$3387,0)-1,6)="スリット"),SUMIF('S4'!$D$5:$D$3387,$A173,'S4'!$U$5:$U$3387),""),"")</f>
        <v/>
      </c>
      <c r="AB173" s="149" t="str">
        <f ca="1">IFERROR(IF(OR(OFFSET('S5'!#REF!,MATCH($A173,'S5'!$D$5:$D$2917,0)-1,6)="巻返し",OFFSET('S5'!#REF!,MATCH($A173,'S5'!$D$5:$D$2917,0)-1,6)="スリット"),SUMIF('S5'!$D$5:$D$2917,$A173,'S5'!$T$5:$T$2917),""),"")</f>
        <v/>
      </c>
    </row>
    <row r="174" spans="1:28" s="144" customFormat="1" ht="11.25" x14ac:dyDescent="0.15">
      <c r="A174" s="240">
        <v>3680047</v>
      </c>
      <c r="B174" s="240" t="s">
        <v>351</v>
      </c>
      <c r="C174" s="240" t="s">
        <v>352</v>
      </c>
      <c r="D174" s="240" t="s">
        <v>353</v>
      </c>
      <c r="E174" s="240" t="s">
        <v>116</v>
      </c>
      <c r="F174" s="240">
        <v>3</v>
      </c>
      <c r="G174" s="240" t="s">
        <v>19</v>
      </c>
      <c r="H174" s="240" t="s">
        <v>28</v>
      </c>
      <c r="I174" s="240" t="s">
        <v>205</v>
      </c>
      <c r="J174" s="240"/>
      <c r="K174" s="240" t="s">
        <v>233</v>
      </c>
      <c r="L174" s="240">
        <v>50</v>
      </c>
      <c r="M174" s="240" t="s">
        <v>234</v>
      </c>
      <c r="N174" s="241">
        <v>1120</v>
      </c>
      <c r="O174" s="241">
        <v>1120</v>
      </c>
      <c r="P174" s="241">
        <v>4000</v>
      </c>
      <c r="Q174" s="240">
        <v>2</v>
      </c>
      <c r="R174" s="240">
        <v>6</v>
      </c>
      <c r="S174" s="240" t="s">
        <v>354</v>
      </c>
      <c r="T174" s="242">
        <v>44825</v>
      </c>
      <c r="U174" s="242">
        <v>44855</v>
      </c>
      <c r="V174" s="240" t="s">
        <v>355</v>
      </c>
      <c r="W174" s="240"/>
      <c r="X174" s="240"/>
      <c r="Z174" s="149" t="str">
        <f t="shared" ca="1" si="2"/>
        <v/>
      </c>
      <c r="AA174" s="149" t="str">
        <f ca="1">IFERROR(IF(OR(OFFSET('S4'!#REF!,MATCH($A174,'S4'!$D$5:$D$3387,0)-1,6)="巻返し",OFFSET('S4'!#REF!,MATCH($A174,'S4'!$D$5:$D$3387,0)-1,6)="スリット"),SUMIF('S4'!$D$5:$D$3387,$A174,'S4'!$U$5:$U$3387),""),"")</f>
        <v/>
      </c>
      <c r="AB174" s="149" t="str">
        <f ca="1">IFERROR(IF(OR(OFFSET('S5'!#REF!,MATCH($A174,'S5'!$D$5:$D$2917,0)-1,6)="巻返し",OFFSET('S5'!#REF!,MATCH($A174,'S5'!$D$5:$D$2917,0)-1,6)="スリット"),SUMIF('S5'!$D$5:$D$2917,$A174,'S5'!$T$5:$T$2917),""),"")</f>
        <v/>
      </c>
    </row>
    <row r="175" spans="1:28" s="144" customFormat="1" ht="11.25" x14ac:dyDescent="0.15">
      <c r="A175" s="240">
        <v>3680048</v>
      </c>
      <c r="B175" s="240" t="s">
        <v>423</v>
      </c>
      <c r="C175" s="240" t="s">
        <v>364</v>
      </c>
      <c r="D175" s="240" t="s">
        <v>353</v>
      </c>
      <c r="E175" s="240" t="s">
        <v>316</v>
      </c>
      <c r="F175" s="240">
        <v>3</v>
      </c>
      <c r="G175" s="240" t="s">
        <v>265</v>
      </c>
      <c r="H175" s="240" t="s">
        <v>20</v>
      </c>
      <c r="I175" s="240" t="s">
        <v>312</v>
      </c>
      <c r="J175" s="240"/>
      <c r="K175" s="240" t="s">
        <v>317</v>
      </c>
      <c r="L175" s="240">
        <v>50</v>
      </c>
      <c r="M175" s="240" t="s">
        <v>318</v>
      </c>
      <c r="N175" s="241">
        <v>680</v>
      </c>
      <c r="O175" s="241">
        <v>680</v>
      </c>
      <c r="P175" s="241">
        <v>2000</v>
      </c>
      <c r="Q175" s="240">
        <v>2</v>
      </c>
      <c r="R175" s="240">
        <v>4</v>
      </c>
      <c r="S175" s="240" t="s">
        <v>354</v>
      </c>
      <c r="T175" s="242">
        <v>44825</v>
      </c>
      <c r="U175" s="242">
        <v>44849</v>
      </c>
      <c r="V175" s="240" t="s">
        <v>355</v>
      </c>
      <c r="W175" s="240"/>
      <c r="X175" s="240"/>
      <c r="Z175" s="149" t="str">
        <f t="shared" ca="1" si="2"/>
        <v/>
      </c>
      <c r="AA175" s="149" t="str">
        <f ca="1">IFERROR(IF(OR(OFFSET('S4'!#REF!,MATCH($A175,'S4'!$D$5:$D$3387,0)-1,6)="巻返し",OFFSET('S4'!#REF!,MATCH($A175,'S4'!$D$5:$D$3387,0)-1,6)="スリット"),SUMIF('S4'!$D$5:$D$3387,$A175,'S4'!$U$5:$U$3387),""),"")</f>
        <v/>
      </c>
      <c r="AB175" s="149" t="str">
        <f ca="1">IFERROR(IF(OR(OFFSET('S5'!#REF!,MATCH($A175,'S5'!$D$5:$D$2917,0)-1,6)="巻返し",OFFSET('S5'!#REF!,MATCH($A175,'S5'!$D$5:$D$2917,0)-1,6)="スリット"),SUMIF('S5'!$D$5:$D$2917,$A175,'S5'!$T$5:$T$2917),""),"")</f>
        <v/>
      </c>
    </row>
    <row r="176" spans="1:28" s="144" customFormat="1" ht="11.25" x14ac:dyDescent="0.15">
      <c r="A176" s="177">
        <v>3683046</v>
      </c>
      <c r="B176" s="177" t="s">
        <v>351</v>
      </c>
      <c r="C176" s="177" t="s">
        <v>364</v>
      </c>
      <c r="D176" s="177" t="s">
        <v>353</v>
      </c>
      <c r="E176" s="177" t="s">
        <v>148</v>
      </c>
      <c r="F176" s="177">
        <v>3</v>
      </c>
      <c r="G176" s="177" t="s">
        <v>19</v>
      </c>
      <c r="H176" s="177" t="s">
        <v>20</v>
      </c>
      <c r="I176" s="177" t="s">
        <v>165</v>
      </c>
      <c r="J176" s="177"/>
      <c r="K176" s="177" t="s">
        <v>180</v>
      </c>
      <c r="L176" s="177">
        <v>25</v>
      </c>
      <c r="M176" s="177" t="s">
        <v>181</v>
      </c>
      <c r="N176" s="178">
        <v>1120</v>
      </c>
      <c r="O176" s="178">
        <v>1120</v>
      </c>
      <c r="P176" s="178">
        <v>4000</v>
      </c>
      <c r="Q176" s="177">
        <v>2</v>
      </c>
      <c r="R176" s="177">
        <v>4</v>
      </c>
      <c r="S176" s="177" t="s">
        <v>354</v>
      </c>
      <c r="T176" s="179">
        <v>44846</v>
      </c>
      <c r="U176" s="179">
        <v>44895</v>
      </c>
      <c r="V176" s="177" t="s">
        <v>355</v>
      </c>
      <c r="W176" s="177"/>
      <c r="X176" s="177"/>
      <c r="Z176" s="149" t="str">
        <f t="shared" ca="1" si="2"/>
        <v/>
      </c>
      <c r="AA176" s="149" t="str">
        <f ca="1">IFERROR(IF(OR(OFFSET('S4'!#REF!,MATCH($A176,'S4'!$D$5:$D$3387,0)-1,6)="巻返し",OFFSET('S4'!#REF!,MATCH($A176,'S4'!$D$5:$D$3387,0)-1,6)="スリット"),SUMIF('S4'!$D$5:$D$3387,$A176,'S4'!$U$5:$U$3387),""),"")</f>
        <v/>
      </c>
      <c r="AB176" s="149" t="str">
        <f ca="1">IFERROR(IF(OR(OFFSET('S5'!#REF!,MATCH($A176,'S5'!$D$5:$D$2917,0)-1,6)="巻返し",OFFSET('S5'!#REF!,MATCH($A176,'S5'!$D$5:$D$2917,0)-1,6)="スリット"),SUMIF('S5'!$D$5:$D$2917,$A176,'S5'!$T$5:$T$2917),""),"")</f>
        <v/>
      </c>
    </row>
    <row r="177" spans="1:28" s="144" customFormat="1" ht="11.25" x14ac:dyDescent="0.15">
      <c r="A177" s="177">
        <v>3683662</v>
      </c>
      <c r="B177" s="177" t="s">
        <v>423</v>
      </c>
      <c r="C177" s="177" t="s">
        <v>352</v>
      </c>
      <c r="D177" s="177" t="s">
        <v>353</v>
      </c>
      <c r="E177" s="177" t="s">
        <v>116</v>
      </c>
      <c r="F177" s="177">
        <v>3</v>
      </c>
      <c r="G177" s="177" t="s">
        <v>265</v>
      </c>
      <c r="H177" s="177" t="s">
        <v>20</v>
      </c>
      <c r="I177" s="177" t="s">
        <v>165</v>
      </c>
      <c r="J177" s="177"/>
      <c r="K177" s="177" t="s">
        <v>319</v>
      </c>
      <c r="L177" s="177">
        <v>50</v>
      </c>
      <c r="M177" s="177" t="s">
        <v>483</v>
      </c>
      <c r="N177" s="178">
        <v>1000</v>
      </c>
      <c r="O177" s="178">
        <v>1000</v>
      </c>
      <c r="P177" s="178">
        <v>2000</v>
      </c>
      <c r="Q177" s="177">
        <v>2</v>
      </c>
      <c r="R177" s="177">
        <v>2</v>
      </c>
      <c r="S177" s="177" t="s">
        <v>354</v>
      </c>
      <c r="T177" s="179">
        <v>44851</v>
      </c>
      <c r="U177" s="179">
        <v>44862</v>
      </c>
      <c r="V177" s="177" t="s">
        <v>355</v>
      </c>
      <c r="W177" s="177"/>
      <c r="X177" s="177"/>
      <c r="Z177" s="149" t="str">
        <f t="shared" ca="1" si="2"/>
        <v/>
      </c>
      <c r="AA177" s="149" t="str">
        <f ca="1">IFERROR(IF(OR(OFFSET('S4'!#REF!,MATCH($A177,'S4'!$D$5:$D$3387,0)-1,6)="巻返し",OFFSET('S4'!#REF!,MATCH($A177,'S4'!$D$5:$D$3387,0)-1,6)="スリット"),SUMIF('S4'!$D$5:$D$3387,$A177,'S4'!$U$5:$U$3387),""),"")</f>
        <v/>
      </c>
      <c r="AB177" s="149" t="str">
        <f ca="1">IFERROR(IF(OR(OFFSET('S5'!#REF!,MATCH($A177,'S5'!$D$5:$D$2917,0)-1,6)="巻返し",OFFSET('S5'!#REF!,MATCH($A177,'S5'!$D$5:$D$2917,0)-1,6)="スリット"),SUMIF('S5'!$D$5:$D$2917,$A177,'S5'!$T$5:$T$2917),""),"")</f>
        <v/>
      </c>
    </row>
    <row r="178" spans="1:28" s="144" customFormat="1" ht="11.25" x14ac:dyDescent="0.15">
      <c r="A178" s="177">
        <v>3684757</v>
      </c>
      <c r="B178" s="177" t="s">
        <v>351</v>
      </c>
      <c r="C178" s="177" t="s">
        <v>352</v>
      </c>
      <c r="D178" s="177" t="s">
        <v>353</v>
      </c>
      <c r="E178" s="177" t="s">
        <v>232</v>
      </c>
      <c r="F178" s="177">
        <v>3</v>
      </c>
      <c r="G178" s="177" t="s">
        <v>19</v>
      </c>
      <c r="H178" s="177" t="s">
        <v>20</v>
      </c>
      <c r="I178" s="177" t="s">
        <v>205</v>
      </c>
      <c r="J178" s="177"/>
      <c r="K178" s="177" t="s">
        <v>230</v>
      </c>
      <c r="L178" s="177">
        <v>25</v>
      </c>
      <c r="M178" s="177" t="s">
        <v>231</v>
      </c>
      <c r="N178" s="178">
        <v>1240</v>
      </c>
      <c r="O178" s="178">
        <v>1240</v>
      </c>
      <c r="P178" s="178">
        <v>2000</v>
      </c>
      <c r="Q178" s="177">
        <v>1</v>
      </c>
      <c r="R178" s="177">
        <v>6</v>
      </c>
      <c r="S178" s="177" t="s">
        <v>354</v>
      </c>
      <c r="T178" s="179">
        <v>44855</v>
      </c>
      <c r="U178" s="179">
        <v>44880</v>
      </c>
      <c r="V178" s="177" t="s">
        <v>355</v>
      </c>
      <c r="W178" s="177"/>
      <c r="X178" s="177"/>
      <c r="Z178" s="149" t="str">
        <f t="shared" ca="1" si="2"/>
        <v/>
      </c>
      <c r="AA178" s="149" t="str">
        <f ca="1">IFERROR(IF(OR(OFFSET('S4'!#REF!,MATCH($A178,'S4'!$D$5:$D$3387,0)-1,6)="巻返し",OFFSET('S4'!#REF!,MATCH($A178,'S4'!$D$5:$D$3387,0)-1,6)="スリット"),SUMIF('S4'!$D$5:$D$3387,$A178,'S4'!$U$5:$U$3387),""),"")</f>
        <v/>
      </c>
      <c r="AB178" s="149" t="str">
        <f ca="1">IFERROR(IF(OR(OFFSET('S5'!#REF!,MATCH($A178,'S5'!$D$5:$D$2917,0)-1,6)="巻返し",OFFSET('S5'!#REF!,MATCH($A178,'S5'!$D$5:$D$2917,0)-1,6)="スリット"),SUMIF('S5'!$D$5:$D$2917,$A178,'S5'!$T$5:$T$2917),""),"")</f>
        <v/>
      </c>
    </row>
    <row r="179" spans="1:28" s="144" customFormat="1" ht="11.25" x14ac:dyDescent="0.15">
      <c r="A179" s="177">
        <v>3684758</v>
      </c>
      <c r="B179" s="177" t="s">
        <v>351</v>
      </c>
      <c r="C179" s="177" t="s">
        <v>358</v>
      </c>
      <c r="D179" s="177" t="s">
        <v>353</v>
      </c>
      <c r="E179" s="177" t="s">
        <v>61</v>
      </c>
      <c r="F179" s="177">
        <v>3</v>
      </c>
      <c r="G179" s="177" t="s">
        <v>19</v>
      </c>
      <c r="H179" s="177" t="s">
        <v>20</v>
      </c>
      <c r="I179" s="177" t="s">
        <v>205</v>
      </c>
      <c r="J179" s="177"/>
      <c r="K179" s="177" t="s">
        <v>242</v>
      </c>
      <c r="L179" s="177">
        <v>50</v>
      </c>
      <c r="M179" s="177" t="s">
        <v>243</v>
      </c>
      <c r="N179" s="178">
        <v>1255</v>
      </c>
      <c r="O179" s="178">
        <v>1250</v>
      </c>
      <c r="P179" s="178">
        <v>2000</v>
      </c>
      <c r="Q179" s="177">
        <v>2</v>
      </c>
      <c r="R179" s="177">
        <v>15</v>
      </c>
      <c r="S179" s="177" t="s">
        <v>354</v>
      </c>
      <c r="T179" s="179">
        <v>44855</v>
      </c>
      <c r="U179" s="179">
        <v>44880</v>
      </c>
      <c r="V179" s="177" t="s">
        <v>355</v>
      </c>
      <c r="W179" s="177"/>
      <c r="X179" s="177"/>
      <c r="Z179" s="149" t="str">
        <f t="shared" ca="1" si="2"/>
        <v/>
      </c>
      <c r="AA179" s="149" t="str">
        <f ca="1">IFERROR(IF(OR(OFFSET('S4'!#REF!,MATCH($A179,'S4'!$D$5:$D$3387,0)-1,6)="巻返し",OFFSET('S4'!#REF!,MATCH($A179,'S4'!$D$5:$D$3387,0)-1,6)="スリット"),SUMIF('S4'!$D$5:$D$3387,$A179,'S4'!$U$5:$U$3387),""),"")</f>
        <v/>
      </c>
      <c r="AB179" s="149" t="str">
        <f ca="1">IFERROR(IF(OR(OFFSET('S5'!#REF!,MATCH($A179,'S5'!$D$5:$D$2917,0)-1,6)="巻返し",OFFSET('S5'!#REF!,MATCH($A179,'S5'!$D$5:$D$2917,0)-1,6)="スリット"),SUMIF('S5'!$D$5:$D$2917,$A179,'S5'!$T$5:$T$2917),""),"")</f>
        <v/>
      </c>
    </row>
    <row r="180" spans="1:28" s="144" customFormat="1" ht="11.25" x14ac:dyDescent="0.15">
      <c r="A180" s="177">
        <v>3684759</v>
      </c>
      <c r="B180" s="177" t="s">
        <v>351</v>
      </c>
      <c r="C180" s="177" t="s">
        <v>364</v>
      </c>
      <c r="D180" s="177" t="s">
        <v>353</v>
      </c>
      <c r="E180" s="177" t="s">
        <v>171</v>
      </c>
      <c r="F180" s="177" t="s">
        <v>96</v>
      </c>
      <c r="G180" s="177" t="s">
        <v>19</v>
      </c>
      <c r="H180" s="177" t="s">
        <v>20</v>
      </c>
      <c r="I180" s="177" t="s">
        <v>165</v>
      </c>
      <c r="J180" s="177"/>
      <c r="K180" s="177" t="s">
        <v>169</v>
      </c>
      <c r="L180" s="177">
        <v>50</v>
      </c>
      <c r="M180" s="177" t="s">
        <v>170</v>
      </c>
      <c r="N180" s="178">
        <v>1190</v>
      </c>
      <c r="O180" s="178">
        <v>1190</v>
      </c>
      <c r="P180" s="178">
        <v>6000</v>
      </c>
      <c r="Q180" s="177">
        <v>2</v>
      </c>
      <c r="R180" s="177">
        <v>18</v>
      </c>
      <c r="S180" s="177" t="s">
        <v>354</v>
      </c>
      <c r="T180" s="179">
        <v>44855</v>
      </c>
      <c r="U180" s="179">
        <v>44880</v>
      </c>
      <c r="V180" s="177" t="s">
        <v>355</v>
      </c>
      <c r="W180" s="177"/>
      <c r="X180" s="177"/>
      <c r="Z180" s="149" t="str">
        <f t="shared" ca="1" si="2"/>
        <v/>
      </c>
      <c r="AA180" s="149" t="str">
        <f ca="1">IFERROR(IF(OR(OFFSET('S4'!#REF!,MATCH($A180,'S4'!$D$5:$D$3387,0)-1,6)="巻返し",OFFSET('S4'!#REF!,MATCH($A180,'S4'!$D$5:$D$3387,0)-1,6)="スリット"),SUMIF('S4'!$D$5:$D$3387,$A180,'S4'!$U$5:$U$3387),""),"")</f>
        <v/>
      </c>
      <c r="AB180" s="149" t="str">
        <f ca="1">IFERROR(IF(OR(OFFSET('S5'!#REF!,MATCH($A180,'S5'!$D$5:$D$2917,0)-1,6)="巻返し",OFFSET('S5'!#REF!,MATCH($A180,'S5'!$D$5:$D$2917,0)-1,6)="スリット"),SUMIF('S5'!$D$5:$D$2917,$A180,'S5'!$T$5:$T$2917),""),"")</f>
        <v/>
      </c>
    </row>
    <row r="181" spans="1:28" s="144" customFormat="1" ht="11.25" x14ac:dyDescent="0.15">
      <c r="A181" s="177">
        <v>3684760</v>
      </c>
      <c r="B181" s="177" t="s">
        <v>423</v>
      </c>
      <c r="C181" s="177" t="s">
        <v>364</v>
      </c>
      <c r="D181" s="177" t="s">
        <v>353</v>
      </c>
      <c r="E181" s="177" t="s">
        <v>316</v>
      </c>
      <c r="F181" s="177">
        <v>3</v>
      </c>
      <c r="G181" s="177" t="s">
        <v>265</v>
      </c>
      <c r="H181" s="177" t="s">
        <v>20</v>
      </c>
      <c r="I181" s="177" t="s">
        <v>312</v>
      </c>
      <c r="J181" s="177"/>
      <c r="K181" s="177" t="s">
        <v>317</v>
      </c>
      <c r="L181" s="177">
        <v>50</v>
      </c>
      <c r="M181" s="177" t="s">
        <v>318</v>
      </c>
      <c r="N181" s="178">
        <v>680</v>
      </c>
      <c r="O181" s="178">
        <v>680</v>
      </c>
      <c r="P181" s="178">
        <v>2000</v>
      </c>
      <c r="Q181" s="177">
        <v>2</v>
      </c>
      <c r="R181" s="177">
        <v>4</v>
      </c>
      <c r="S181" s="177" t="s">
        <v>354</v>
      </c>
      <c r="T181" s="179">
        <v>44855</v>
      </c>
      <c r="U181" s="179">
        <v>44880</v>
      </c>
      <c r="V181" s="177" t="s">
        <v>355</v>
      </c>
      <c r="W181" s="177"/>
      <c r="X181" s="177"/>
      <c r="Z181" s="149" t="str">
        <f t="shared" ca="1" si="2"/>
        <v/>
      </c>
      <c r="AA181" s="149" t="str">
        <f ca="1">IFERROR(IF(OR(OFFSET('S4'!#REF!,MATCH($A181,'S4'!$D$5:$D$3387,0)-1,6)="巻返し",OFFSET('S4'!#REF!,MATCH($A181,'S4'!$D$5:$D$3387,0)-1,6)="スリット"),SUMIF('S4'!$D$5:$D$3387,$A181,'S4'!$U$5:$U$3387),""),"")</f>
        <v/>
      </c>
      <c r="AB181" s="149" t="str">
        <f ca="1">IFERROR(IF(OR(OFFSET('S5'!#REF!,MATCH($A181,'S5'!$D$5:$D$2917,0)-1,6)="巻返し",OFFSET('S5'!#REF!,MATCH($A181,'S5'!$D$5:$D$2917,0)-1,6)="スリット"),SUMIF('S5'!$D$5:$D$2917,$A181,'S5'!$T$5:$T$2917),""),"")</f>
        <v/>
      </c>
    </row>
    <row r="182" spans="1:28" s="144" customFormat="1" ht="11.25" x14ac:dyDescent="0.15">
      <c r="A182" s="177">
        <v>3684763</v>
      </c>
      <c r="B182" s="177" t="s">
        <v>351</v>
      </c>
      <c r="C182" s="177" t="s">
        <v>364</v>
      </c>
      <c r="D182" s="177" t="s">
        <v>353</v>
      </c>
      <c r="E182" s="177" t="s">
        <v>148</v>
      </c>
      <c r="F182" s="177">
        <v>3</v>
      </c>
      <c r="G182" s="177" t="s">
        <v>19</v>
      </c>
      <c r="H182" s="177" t="s">
        <v>20</v>
      </c>
      <c r="I182" s="177" t="s">
        <v>143</v>
      </c>
      <c r="J182" s="177"/>
      <c r="K182" s="177" t="s">
        <v>149</v>
      </c>
      <c r="L182" s="177">
        <v>25</v>
      </c>
      <c r="M182" s="177" t="s">
        <v>150</v>
      </c>
      <c r="N182" s="178">
        <v>1120</v>
      </c>
      <c r="O182" s="178">
        <v>1120</v>
      </c>
      <c r="P182" s="178">
        <v>6000</v>
      </c>
      <c r="Q182" s="177">
        <v>2</v>
      </c>
      <c r="R182" s="177">
        <v>4</v>
      </c>
      <c r="S182" s="177" t="s">
        <v>354</v>
      </c>
      <c r="T182" s="179">
        <v>44855</v>
      </c>
      <c r="U182" s="179">
        <v>44880</v>
      </c>
      <c r="V182" s="177" t="s">
        <v>355</v>
      </c>
      <c r="W182" s="177"/>
      <c r="X182" s="177"/>
      <c r="Z182" s="149" t="str">
        <f t="shared" ca="1" si="2"/>
        <v/>
      </c>
      <c r="AA182" s="149" t="str">
        <f ca="1">IFERROR(IF(OR(OFFSET('S4'!#REF!,MATCH($A182,'S4'!$D$5:$D$3387,0)-1,6)="巻返し",OFFSET('S4'!#REF!,MATCH($A182,'S4'!$D$5:$D$3387,0)-1,6)="スリット"),SUMIF('S4'!$D$5:$D$3387,$A182,'S4'!$U$5:$U$3387),""),"")</f>
        <v/>
      </c>
      <c r="AB182" s="149" t="str">
        <f ca="1">IFERROR(IF(OR(OFFSET('S5'!#REF!,MATCH($A182,'S5'!$D$5:$D$2917,0)-1,6)="巻返し",OFFSET('S5'!#REF!,MATCH($A182,'S5'!$D$5:$D$2917,0)-1,6)="スリット"),SUMIF('S5'!$D$5:$D$2917,$A182,'S5'!$T$5:$T$2917),""),"")</f>
        <v/>
      </c>
    </row>
    <row r="183" spans="1:28" s="144" customFormat="1" ht="11.25" x14ac:dyDescent="0.15">
      <c r="A183" s="177">
        <v>3684764</v>
      </c>
      <c r="B183" s="177" t="s">
        <v>351</v>
      </c>
      <c r="C183" s="177" t="s">
        <v>364</v>
      </c>
      <c r="D183" s="177" t="s">
        <v>353</v>
      </c>
      <c r="E183" s="177" t="s">
        <v>148</v>
      </c>
      <c r="F183" s="177">
        <v>3</v>
      </c>
      <c r="G183" s="177" t="s">
        <v>19</v>
      </c>
      <c r="H183" s="177" t="s">
        <v>20</v>
      </c>
      <c r="I183" s="177" t="s">
        <v>143</v>
      </c>
      <c r="J183" s="177"/>
      <c r="K183" s="177" t="s">
        <v>149</v>
      </c>
      <c r="L183" s="177">
        <v>50</v>
      </c>
      <c r="M183" s="177" t="s">
        <v>150</v>
      </c>
      <c r="N183" s="178">
        <v>1120</v>
      </c>
      <c r="O183" s="178">
        <v>1120</v>
      </c>
      <c r="P183" s="178">
        <v>6000</v>
      </c>
      <c r="Q183" s="177">
        <v>2</v>
      </c>
      <c r="R183" s="177">
        <v>5</v>
      </c>
      <c r="S183" s="177" t="s">
        <v>354</v>
      </c>
      <c r="T183" s="179">
        <v>44855</v>
      </c>
      <c r="U183" s="179">
        <v>44880</v>
      </c>
      <c r="V183" s="177" t="s">
        <v>355</v>
      </c>
      <c r="W183" s="177"/>
      <c r="X183" s="177"/>
      <c r="Z183" s="149" t="str">
        <f t="shared" ca="1" si="2"/>
        <v/>
      </c>
      <c r="AA183" s="149" t="str">
        <f ca="1">IFERROR(IF(OR(OFFSET('S4'!#REF!,MATCH($A183,'S4'!$D$5:$D$3387,0)-1,6)="巻返し",OFFSET('S4'!#REF!,MATCH($A183,'S4'!$D$5:$D$3387,0)-1,6)="スリット"),SUMIF('S4'!$D$5:$D$3387,$A183,'S4'!$U$5:$U$3387),""),"")</f>
        <v/>
      </c>
      <c r="AB183" s="149" t="str">
        <f ca="1">IFERROR(IF(OR(OFFSET('S5'!#REF!,MATCH($A183,'S5'!$D$5:$D$2917,0)-1,6)="巻返し",OFFSET('S5'!#REF!,MATCH($A183,'S5'!$D$5:$D$2917,0)-1,6)="スリット"),SUMIF('S5'!$D$5:$D$2917,$A183,'S5'!$T$5:$T$2917),""),"")</f>
        <v/>
      </c>
    </row>
    <row r="184" spans="1:28" s="144" customFormat="1" ht="11.25" x14ac:dyDescent="0.15">
      <c r="A184" s="177">
        <v>3684765</v>
      </c>
      <c r="B184" s="177" t="s">
        <v>351</v>
      </c>
      <c r="C184" s="177" t="s">
        <v>364</v>
      </c>
      <c r="D184" s="177" t="s">
        <v>353</v>
      </c>
      <c r="E184" s="177" t="s">
        <v>148</v>
      </c>
      <c r="F184" s="177">
        <v>3</v>
      </c>
      <c r="G184" s="177" t="s">
        <v>19</v>
      </c>
      <c r="H184" s="177" t="s">
        <v>20</v>
      </c>
      <c r="I184" s="177" t="s">
        <v>165</v>
      </c>
      <c r="J184" s="177"/>
      <c r="K184" s="177" t="s">
        <v>169</v>
      </c>
      <c r="L184" s="177">
        <v>50</v>
      </c>
      <c r="M184" s="177" t="s">
        <v>170</v>
      </c>
      <c r="N184" s="178">
        <v>1120</v>
      </c>
      <c r="O184" s="178">
        <v>1120</v>
      </c>
      <c r="P184" s="178">
        <v>6000</v>
      </c>
      <c r="Q184" s="177">
        <v>2</v>
      </c>
      <c r="R184" s="177">
        <v>2</v>
      </c>
      <c r="S184" s="177" t="s">
        <v>354</v>
      </c>
      <c r="T184" s="179">
        <v>44855</v>
      </c>
      <c r="U184" s="179">
        <v>44880</v>
      </c>
      <c r="V184" s="177" t="s">
        <v>355</v>
      </c>
      <c r="W184" s="177"/>
      <c r="X184" s="177"/>
      <c r="Z184" s="149" t="str">
        <f t="shared" ca="1" si="2"/>
        <v/>
      </c>
      <c r="AA184" s="149" t="str">
        <f ca="1">IFERROR(IF(OR(OFFSET('S4'!#REF!,MATCH($A184,'S4'!$D$5:$D$3387,0)-1,6)="巻返し",OFFSET('S4'!#REF!,MATCH($A184,'S4'!$D$5:$D$3387,0)-1,6)="スリット"),SUMIF('S4'!$D$5:$D$3387,$A184,'S4'!$U$5:$U$3387),""),"")</f>
        <v/>
      </c>
      <c r="AB184" s="149" t="str">
        <f ca="1">IFERROR(IF(OR(OFFSET('S5'!#REF!,MATCH($A184,'S5'!$D$5:$D$2917,0)-1,6)="巻返し",OFFSET('S5'!#REF!,MATCH($A184,'S5'!$D$5:$D$2917,0)-1,6)="スリット"),SUMIF('S5'!$D$5:$D$2917,$A184,'S5'!$T$5:$T$2917),""),"")</f>
        <v/>
      </c>
    </row>
    <row r="185" spans="1:28" s="144" customFormat="1" ht="11.25" x14ac:dyDescent="0.15">
      <c r="A185" s="177">
        <v>3684766</v>
      </c>
      <c r="B185" s="177" t="s">
        <v>351</v>
      </c>
      <c r="C185" s="177" t="s">
        <v>352</v>
      </c>
      <c r="D185" s="177" t="s">
        <v>353</v>
      </c>
      <c r="E185" s="177" t="s">
        <v>247</v>
      </c>
      <c r="F185" s="177">
        <v>3</v>
      </c>
      <c r="G185" s="177" t="s">
        <v>19</v>
      </c>
      <c r="H185" s="177" t="s">
        <v>20</v>
      </c>
      <c r="I185" s="177" t="s">
        <v>205</v>
      </c>
      <c r="J185" s="177"/>
      <c r="K185" s="177" t="s">
        <v>248</v>
      </c>
      <c r="L185" s="177">
        <v>12</v>
      </c>
      <c r="M185" s="177" t="s">
        <v>249</v>
      </c>
      <c r="N185" s="178">
        <v>1000</v>
      </c>
      <c r="O185" s="178">
        <v>1000</v>
      </c>
      <c r="P185" s="178">
        <v>6000</v>
      </c>
      <c r="Q185" s="177">
        <v>2</v>
      </c>
      <c r="R185" s="177">
        <v>4</v>
      </c>
      <c r="S185" s="177" t="s">
        <v>354</v>
      </c>
      <c r="T185" s="179">
        <v>44855</v>
      </c>
      <c r="U185" s="179">
        <v>44883</v>
      </c>
      <c r="V185" s="177" t="s">
        <v>355</v>
      </c>
      <c r="W185" s="177"/>
      <c r="X185" s="177"/>
      <c r="Z185" s="149" t="str">
        <f t="shared" ca="1" si="2"/>
        <v/>
      </c>
      <c r="AA185" s="149" t="str">
        <f ca="1">IFERROR(IF(OR(OFFSET('S4'!#REF!,MATCH($A185,'S4'!$D$5:$D$3387,0)-1,6)="巻返し",OFFSET('S4'!#REF!,MATCH($A185,'S4'!$D$5:$D$3387,0)-1,6)="スリット"),SUMIF('S4'!$D$5:$D$3387,$A185,'S4'!$U$5:$U$3387),""),"")</f>
        <v/>
      </c>
      <c r="AB185" s="149" t="str">
        <f ca="1">IFERROR(IF(OR(OFFSET('S5'!#REF!,MATCH($A185,'S5'!$D$5:$D$2917,0)-1,6)="巻返し",OFFSET('S5'!#REF!,MATCH($A185,'S5'!$D$5:$D$2917,0)-1,6)="スリット"),SUMIF('S5'!$D$5:$D$2917,$A185,'S5'!$T$5:$T$2917),""),"")</f>
        <v/>
      </c>
    </row>
    <row r="186" spans="1:28" s="144" customFormat="1" ht="11.25" x14ac:dyDescent="0.15">
      <c r="A186" s="177">
        <v>3684767</v>
      </c>
      <c r="B186" s="177" t="s">
        <v>351</v>
      </c>
      <c r="C186" s="177" t="s">
        <v>352</v>
      </c>
      <c r="D186" s="177" t="s">
        <v>353</v>
      </c>
      <c r="E186" s="177" t="s">
        <v>116</v>
      </c>
      <c r="F186" s="177">
        <v>3</v>
      </c>
      <c r="G186" s="177" t="s">
        <v>19</v>
      </c>
      <c r="H186" s="177" t="s">
        <v>20</v>
      </c>
      <c r="I186" s="177" t="s">
        <v>205</v>
      </c>
      <c r="J186" s="177"/>
      <c r="K186" s="177" t="s">
        <v>212</v>
      </c>
      <c r="L186" s="177">
        <v>25</v>
      </c>
      <c r="M186" s="177" t="s">
        <v>213</v>
      </c>
      <c r="N186" s="178">
        <v>1120</v>
      </c>
      <c r="O186" s="178">
        <v>1120</v>
      </c>
      <c r="P186" s="178">
        <v>4000</v>
      </c>
      <c r="Q186" s="177">
        <v>2</v>
      </c>
      <c r="R186" s="177">
        <v>6</v>
      </c>
      <c r="S186" s="177" t="s">
        <v>354</v>
      </c>
      <c r="T186" s="179">
        <v>44855</v>
      </c>
      <c r="U186" s="179">
        <v>44886</v>
      </c>
      <c r="V186" s="177" t="s">
        <v>355</v>
      </c>
      <c r="W186" s="177"/>
      <c r="X186" s="177"/>
      <c r="Z186" s="149" t="str">
        <f t="shared" ca="1" si="2"/>
        <v/>
      </c>
      <c r="AA186" s="149" t="str">
        <f ca="1">IFERROR(IF(OR(OFFSET('S4'!#REF!,MATCH($A186,'S4'!$D$5:$D$3387,0)-1,6)="巻返し",OFFSET('S4'!#REF!,MATCH($A186,'S4'!$D$5:$D$3387,0)-1,6)="スリット"),SUMIF('S4'!$D$5:$D$3387,$A186,'S4'!$U$5:$U$3387),""),"")</f>
        <v/>
      </c>
      <c r="AB186" s="149" t="str">
        <f ca="1">IFERROR(IF(OR(OFFSET('S5'!#REF!,MATCH($A186,'S5'!$D$5:$D$2917,0)-1,6)="巻返し",OFFSET('S5'!#REF!,MATCH($A186,'S5'!$D$5:$D$2917,0)-1,6)="スリット"),SUMIF('S5'!$D$5:$D$2917,$A186,'S5'!$T$5:$T$2917),""),"")</f>
        <v/>
      </c>
    </row>
    <row r="187" spans="1:28" s="144" customFormat="1" ht="11.25" x14ac:dyDescent="0.15">
      <c r="A187" s="177">
        <v>3684768</v>
      </c>
      <c r="B187" s="177" t="s">
        <v>351</v>
      </c>
      <c r="C187" s="177" t="s">
        <v>352</v>
      </c>
      <c r="D187" s="177" t="s">
        <v>353</v>
      </c>
      <c r="E187" s="177" t="s">
        <v>116</v>
      </c>
      <c r="F187" s="177">
        <v>3</v>
      </c>
      <c r="G187" s="177" t="s">
        <v>19</v>
      </c>
      <c r="H187" s="177" t="s">
        <v>20</v>
      </c>
      <c r="I187" s="177" t="s">
        <v>205</v>
      </c>
      <c r="J187" s="177"/>
      <c r="K187" s="177" t="s">
        <v>212</v>
      </c>
      <c r="L187" s="177">
        <v>50</v>
      </c>
      <c r="M187" s="177" t="s">
        <v>213</v>
      </c>
      <c r="N187" s="178">
        <v>1120</v>
      </c>
      <c r="O187" s="178">
        <v>1120</v>
      </c>
      <c r="P187" s="178">
        <v>4000</v>
      </c>
      <c r="Q187" s="177">
        <v>2</v>
      </c>
      <c r="R187" s="177">
        <v>8</v>
      </c>
      <c r="S187" s="177" t="s">
        <v>354</v>
      </c>
      <c r="T187" s="179">
        <v>44855</v>
      </c>
      <c r="U187" s="179">
        <v>44880</v>
      </c>
      <c r="V187" s="177" t="s">
        <v>355</v>
      </c>
      <c r="W187" s="177"/>
      <c r="X187" s="177"/>
      <c r="Z187" s="149" t="str">
        <f t="shared" ca="1" si="2"/>
        <v/>
      </c>
      <c r="AA187" s="149" t="str">
        <f ca="1">IFERROR(IF(OR(OFFSET('S4'!#REF!,MATCH($A187,'S4'!$D$5:$D$3387,0)-1,6)="巻返し",OFFSET('S4'!#REF!,MATCH($A187,'S4'!$D$5:$D$3387,0)-1,6)="スリット"),SUMIF('S4'!$D$5:$D$3387,$A187,'S4'!$U$5:$U$3387),""),"")</f>
        <v/>
      </c>
      <c r="AB187" s="149" t="str">
        <f ca="1">IFERROR(IF(OR(OFFSET('S5'!#REF!,MATCH($A187,'S5'!$D$5:$D$2917,0)-1,6)="巻返し",OFFSET('S5'!#REF!,MATCH($A187,'S5'!$D$5:$D$2917,0)-1,6)="スリット"),SUMIF('S5'!$D$5:$D$2917,$A187,'S5'!$T$5:$T$2917),""),"")</f>
        <v/>
      </c>
    </row>
    <row r="188" spans="1:28" s="144" customFormat="1" ht="11.25" x14ac:dyDescent="0.15">
      <c r="A188" s="177">
        <v>3684769</v>
      </c>
      <c r="B188" s="177" t="s">
        <v>351</v>
      </c>
      <c r="C188" s="177" t="s">
        <v>352</v>
      </c>
      <c r="D188" s="177" t="s">
        <v>353</v>
      </c>
      <c r="E188" s="177" t="s">
        <v>116</v>
      </c>
      <c r="F188" s="177">
        <v>3</v>
      </c>
      <c r="G188" s="177" t="s">
        <v>19</v>
      </c>
      <c r="H188" s="177" t="s">
        <v>20</v>
      </c>
      <c r="I188" s="177" t="s">
        <v>205</v>
      </c>
      <c r="J188" s="177"/>
      <c r="K188" s="177" t="s">
        <v>212</v>
      </c>
      <c r="L188" s="177">
        <v>50</v>
      </c>
      <c r="M188" s="177" t="s">
        <v>213</v>
      </c>
      <c r="N188" s="178">
        <v>1120</v>
      </c>
      <c r="O188" s="178">
        <v>1120</v>
      </c>
      <c r="P188" s="178">
        <v>4000</v>
      </c>
      <c r="Q188" s="177">
        <v>2</v>
      </c>
      <c r="R188" s="177">
        <v>4</v>
      </c>
      <c r="S188" s="177" t="s">
        <v>354</v>
      </c>
      <c r="T188" s="179">
        <v>44855</v>
      </c>
      <c r="U188" s="179">
        <v>44883</v>
      </c>
      <c r="V188" s="177" t="s">
        <v>355</v>
      </c>
      <c r="W188" s="177"/>
      <c r="X188" s="177"/>
      <c r="Z188" s="149" t="str">
        <f t="shared" ca="1" si="2"/>
        <v/>
      </c>
      <c r="AA188" s="149" t="str">
        <f ca="1">IFERROR(IF(OR(OFFSET('S4'!#REF!,MATCH($A188,'S4'!$D$5:$D$3387,0)-1,6)="巻返し",OFFSET('S4'!#REF!,MATCH($A188,'S4'!$D$5:$D$3387,0)-1,6)="スリット"),SUMIF('S4'!$D$5:$D$3387,$A188,'S4'!$U$5:$U$3387),""),"")</f>
        <v/>
      </c>
      <c r="AB188" s="149" t="str">
        <f ca="1">IFERROR(IF(OR(OFFSET('S5'!#REF!,MATCH($A188,'S5'!$D$5:$D$2917,0)-1,6)="巻返し",OFFSET('S5'!#REF!,MATCH($A188,'S5'!$D$5:$D$2917,0)-1,6)="スリット"),SUMIF('S5'!$D$5:$D$2917,$A188,'S5'!$T$5:$T$2917),""),"")</f>
        <v/>
      </c>
    </row>
    <row r="189" spans="1:28" s="144" customFormat="1" ht="11.25" x14ac:dyDescent="0.15">
      <c r="A189" s="177">
        <v>3684770</v>
      </c>
      <c r="B189" s="177" t="s">
        <v>351</v>
      </c>
      <c r="C189" s="177" t="s">
        <v>352</v>
      </c>
      <c r="D189" s="177" t="s">
        <v>353</v>
      </c>
      <c r="E189" s="177" t="s">
        <v>116</v>
      </c>
      <c r="F189" s="177">
        <v>3</v>
      </c>
      <c r="G189" s="177" t="s">
        <v>19</v>
      </c>
      <c r="H189" s="177" t="s">
        <v>20</v>
      </c>
      <c r="I189" s="177" t="s">
        <v>205</v>
      </c>
      <c r="J189" s="177"/>
      <c r="K189" s="177" t="s">
        <v>212</v>
      </c>
      <c r="L189" s="177">
        <v>50</v>
      </c>
      <c r="M189" s="177" t="s">
        <v>213</v>
      </c>
      <c r="N189" s="178">
        <v>1120</v>
      </c>
      <c r="O189" s="178">
        <v>1120</v>
      </c>
      <c r="P189" s="178">
        <v>4000</v>
      </c>
      <c r="Q189" s="177">
        <v>2</v>
      </c>
      <c r="R189" s="177">
        <v>8</v>
      </c>
      <c r="S189" s="177" t="s">
        <v>354</v>
      </c>
      <c r="T189" s="179">
        <v>44855</v>
      </c>
      <c r="U189" s="179">
        <v>44887</v>
      </c>
      <c r="V189" s="177" t="s">
        <v>355</v>
      </c>
      <c r="W189" s="177"/>
      <c r="X189" s="177"/>
      <c r="Z189" s="149" t="str">
        <f t="shared" ca="1" si="2"/>
        <v/>
      </c>
      <c r="AA189" s="149" t="str">
        <f ca="1">IFERROR(IF(OR(OFFSET('S4'!#REF!,MATCH($A189,'S4'!$D$5:$D$3387,0)-1,6)="巻返し",OFFSET('S4'!#REF!,MATCH($A189,'S4'!$D$5:$D$3387,0)-1,6)="スリット"),SUMIF('S4'!$D$5:$D$3387,$A189,'S4'!$U$5:$U$3387),""),"")</f>
        <v/>
      </c>
      <c r="AB189" s="149" t="str">
        <f ca="1">IFERROR(IF(OR(OFFSET('S5'!#REF!,MATCH($A189,'S5'!$D$5:$D$2917,0)-1,6)="巻返し",OFFSET('S5'!#REF!,MATCH($A189,'S5'!$D$5:$D$2917,0)-1,6)="スリット"),SUMIF('S5'!$D$5:$D$2917,$A189,'S5'!$T$5:$T$2917),""),"")</f>
        <v/>
      </c>
    </row>
    <row r="190" spans="1:28" s="144" customFormat="1" ht="11.25" x14ac:dyDescent="0.15">
      <c r="A190" s="177">
        <v>3684771</v>
      </c>
      <c r="B190" s="177" t="s">
        <v>351</v>
      </c>
      <c r="C190" s="177" t="s">
        <v>352</v>
      </c>
      <c r="D190" s="177" t="s">
        <v>353</v>
      </c>
      <c r="E190" s="177" t="s">
        <v>116</v>
      </c>
      <c r="F190" s="177">
        <v>3</v>
      </c>
      <c r="G190" s="177" t="s">
        <v>19</v>
      </c>
      <c r="H190" s="177" t="s">
        <v>20</v>
      </c>
      <c r="I190" s="177" t="s">
        <v>205</v>
      </c>
      <c r="J190" s="177"/>
      <c r="K190" s="177" t="s">
        <v>212</v>
      </c>
      <c r="L190" s="177">
        <v>50</v>
      </c>
      <c r="M190" s="177" t="s">
        <v>213</v>
      </c>
      <c r="N190" s="178">
        <v>1120</v>
      </c>
      <c r="O190" s="178">
        <v>1120</v>
      </c>
      <c r="P190" s="178">
        <v>4000</v>
      </c>
      <c r="Q190" s="177">
        <v>2</v>
      </c>
      <c r="R190" s="177">
        <v>8</v>
      </c>
      <c r="S190" s="177" t="s">
        <v>354</v>
      </c>
      <c r="T190" s="179">
        <v>44855</v>
      </c>
      <c r="U190" s="179">
        <v>44896</v>
      </c>
      <c r="V190" s="177" t="s">
        <v>355</v>
      </c>
      <c r="W190" s="177"/>
      <c r="X190" s="177"/>
      <c r="Z190" s="149" t="str">
        <f t="shared" ca="1" si="2"/>
        <v/>
      </c>
      <c r="AA190" s="149" t="str">
        <f ca="1">IFERROR(IF(OR(OFFSET('S4'!#REF!,MATCH($A190,'S4'!$D$5:$D$3387,0)-1,6)="巻返し",OFFSET('S4'!#REF!,MATCH($A190,'S4'!$D$5:$D$3387,0)-1,6)="スリット"),SUMIF('S4'!$D$5:$D$3387,$A190,'S4'!$U$5:$U$3387),""),"")</f>
        <v/>
      </c>
      <c r="AB190" s="149" t="str">
        <f ca="1">IFERROR(IF(OR(OFFSET('S5'!#REF!,MATCH($A190,'S5'!$D$5:$D$2917,0)-1,6)="巻返し",OFFSET('S5'!#REF!,MATCH($A190,'S5'!$D$5:$D$2917,0)-1,6)="スリット"),SUMIF('S5'!$D$5:$D$2917,$A190,'S5'!$T$5:$T$2917),""),"")</f>
        <v/>
      </c>
    </row>
    <row r="191" spans="1:28" s="144" customFormat="1" ht="11.25" x14ac:dyDescent="0.15">
      <c r="A191" s="177">
        <v>3684772</v>
      </c>
      <c r="B191" s="177" t="s">
        <v>351</v>
      </c>
      <c r="C191" s="177" t="s">
        <v>352</v>
      </c>
      <c r="D191" s="177" t="s">
        <v>353</v>
      </c>
      <c r="E191" s="177" t="s">
        <v>116</v>
      </c>
      <c r="F191" s="177">
        <v>3</v>
      </c>
      <c r="G191" s="177" t="s">
        <v>19</v>
      </c>
      <c r="H191" s="177" t="s">
        <v>20</v>
      </c>
      <c r="I191" s="177" t="s">
        <v>205</v>
      </c>
      <c r="J191" s="177"/>
      <c r="K191" s="177" t="s">
        <v>212</v>
      </c>
      <c r="L191" s="177">
        <v>50</v>
      </c>
      <c r="M191" s="177" t="s">
        <v>213</v>
      </c>
      <c r="N191" s="178">
        <v>1120</v>
      </c>
      <c r="O191" s="178">
        <v>1120</v>
      </c>
      <c r="P191" s="178">
        <v>4000</v>
      </c>
      <c r="Q191" s="177">
        <v>2</v>
      </c>
      <c r="R191" s="177">
        <v>8</v>
      </c>
      <c r="S191" s="177" t="s">
        <v>354</v>
      </c>
      <c r="T191" s="179">
        <v>44855</v>
      </c>
      <c r="U191" s="179">
        <v>44904</v>
      </c>
      <c r="V191" s="177" t="s">
        <v>355</v>
      </c>
      <c r="W191" s="177"/>
      <c r="X191" s="177"/>
      <c r="Z191" s="149" t="str">
        <f t="shared" ca="1" si="2"/>
        <v/>
      </c>
      <c r="AA191" s="149" t="str">
        <f ca="1">IFERROR(IF(OR(OFFSET('S4'!#REF!,MATCH($A191,'S4'!$D$5:$D$3387,0)-1,6)="巻返し",OFFSET('S4'!#REF!,MATCH($A191,'S4'!$D$5:$D$3387,0)-1,6)="スリット"),SUMIF('S4'!$D$5:$D$3387,$A191,'S4'!$U$5:$U$3387),""),"")</f>
        <v/>
      </c>
      <c r="AB191" s="149" t="str">
        <f ca="1">IFERROR(IF(OR(OFFSET('S5'!#REF!,MATCH($A191,'S5'!$D$5:$D$2917,0)-1,6)="巻返し",OFFSET('S5'!#REF!,MATCH($A191,'S5'!$D$5:$D$2917,0)-1,6)="スリット"),SUMIF('S5'!$D$5:$D$2917,$A191,'S5'!$T$5:$T$2917),""),"")</f>
        <v/>
      </c>
    </row>
    <row r="192" spans="1:28" s="144" customFormat="1" ht="11.25" x14ac:dyDescent="0.15">
      <c r="A192" s="177">
        <v>3684773</v>
      </c>
      <c r="B192" s="177" t="s">
        <v>351</v>
      </c>
      <c r="C192" s="177" t="s">
        <v>352</v>
      </c>
      <c r="D192" s="177" t="s">
        <v>353</v>
      </c>
      <c r="E192" s="177" t="s">
        <v>116</v>
      </c>
      <c r="F192" s="177">
        <v>3</v>
      </c>
      <c r="G192" s="177" t="s">
        <v>19</v>
      </c>
      <c r="H192" s="177" t="s">
        <v>20</v>
      </c>
      <c r="I192" s="177" t="s">
        <v>205</v>
      </c>
      <c r="J192" s="177"/>
      <c r="K192" s="177" t="s">
        <v>212</v>
      </c>
      <c r="L192" s="177">
        <v>50</v>
      </c>
      <c r="M192" s="177" t="s">
        <v>213</v>
      </c>
      <c r="N192" s="178">
        <v>1120</v>
      </c>
      <c r="O192" s="178">
        <v>1120</v>
      </c>
      <c r="P192" s="178">
        <v>4000</v>
      </c>
      <c r="Q192" s="177">
        <v>2</v>
      </c>
      <c r="R192" s="177">
        <v>8</v>
      </c>
      <c r="S192" s="177" t="s">
        <v>354</v>
      </c>
      <c r="T192" s="179">
        <v>44855</v>
      </c>
      <c r="U192" s="179">
        <v>44911</v>
      </c>
      <c r="V192" s="177" t="s">
        <v>355</v>
      </c>
      <c r="W192" s="177"/>
      <c r="X192" s="177"/>
      <c r="Z192" s="149" t="str">
        <f t="shared" ca="1" si="2"/>
        <v/>
      </c>
      <c r="AA192" s="149" t="str">
        <f ca="1">IFERROR(IF(OR(OFFSET('S4'!#REF!,MATCH($A192,'S4'!$D$5:$D$3387,0)-1,6)="巻返し",OFFSET('S4'!#REF!,MATCH($A192,'S4'!$D$5:$D$3387,0)-1,6)="スリット"),SUMIF('S4'!$D$5:$D$3387,$A192,'S4'!$U$5:$U$3387),""),"")</f>
        <v/>
      </c>
      <c r="AB192" s="149" t="str">
        <f ca="1">IFERROR(IF(OR(OFFSET('S5'!#REF!,MATCH($A192,'S5'!$D$5:$D$2917,0)-1,6)="巻返し",OFFSET('S5'!#REF!,MATCH($A192,'S5'!$D$5:$D$2917,0)-1,6)="スリット"),SUMIF('S5'!$D$5:$D$2917,$A192,'S5'!$T$5:$T$2917),""),"")</f>
        <v/>
      </c>
    </row>
    <row r="193" spans="1:28" s="144" customFormat="1" ht="11.25" x14ac:dyDescent="0.15">
      <c r="A193" s="177">
        <v>3684774</v>
      </c>
      <c r="B193" s="177" t="s">
        <v>351</v>
      </c>
      <c r="C193" s="177" t="s">
        <v>352</v>
      </c>
      <c r="D193" s="177" t="s">
        <v>353</v>
      </c>
      <c r="E193" s="177" t="s">
        <v>116</v>
      </c>
      <c r="F193" s="177">
        <v>3</v>
      </c>
      <c r="G193" s="177" t="s">
        <v>19</v>
      </c>
      <c r="H193" s="177" t="s">
        <v>20</v>
      </c>
      <c r="I193" s="177" t="s">
        <v>205</v>
      </c>
      <c r="J193" s="177"/>
      <c r="K193" s="177" t="s">
        <v>211</v>
      </c>
      <c r="L193" s="177">
        <v>50</v>
      </c>
      <c r="M193" s="177" t="s">
        <v>370</v>
      </c>
      <c r="N193" s="178">
        <v>1050</v>
      </c>
      <c r="O193" s="178">
        <v>1050</v>
      </c>
      <c r="P193" s="178">
        <v>4100</v>
      </c>
      <c r="Q193" s="177">
        <v>2</v>
      </c>
      <c r="R193" s="177">
        <v>3</v>
      </c>
      <c r="S193" s="177" t="s">
        <v>354</v>
      </c>
      <c r="T193" s="179">
        <v>44855</v>
      </c>
      <c r="U193" s="179">
        <v>44890</v>
      </c>
      <c r="V193" s="177" t="s">
        <v>355</v>
      </c>
      <c r="W193" s="177"/>
      <c r="X193" s="177"/>
      <c r="Z193" s="149" t="str">
        <f t="shared" ca="1" si="2"/>
        <v/>
      </c>
      <c r="AA193" s="149" t="str">
        <f ca="1">IFERROR(IF(OR(OFFSET('S4'!#REF!,MATCH($A193,'S4'!$D$5:$D$3387,0)-1,6)="巻返し",OFFSET('S4'!#REF!,MATCH($A193,'S4'!$D$5:$D$3387,0)-1,6)="スリット"),SUMIF('S4'!$D$5:$D$3387,$A193,'S4'!$U$5:$U$3387),""),"")</f>
        <v/>
      </c>
      <c r="AB193" s="149" t="str">
        <f ca="1">IFERROR(IF(OR(OFFSET('S5'!#REF!,MATCH($A193,'S5'!$D$5:$D$2917,0)-1,6)="巻返し",OFFSET('S5'!#REF!,MATCH($A193,'S5'!$D$5:$D$2917,0)-1,6)="スリット"),SUMIF('S5'!$D$5:$D$2917,$A193,'S5'!$T$5:$T$2917),""),"")</f>
        <v/>
      </c>
    </row>
    <row r="194" spans="1:28" s="144" customFormat="1" ht="11.25" x14ac:dyDescent="0.15">
      <c r="A194" s="177">
        <v>3684775</v>
      </c>
      <c r="B194" s="177" t="s">
        <v>351</v>
      </c>
      <c r="C194" s="177" t="s">
        <v>352</v>
      </c>
      <c r="D194" s="177" t="s">
        <v>353</v>
      </c>
      <c r="E194" s="177" t="s">
        <v>116</v>
      </c>
      <c r="F194" s="177">
        <v>3</v>
      </c>
      <c r="G194" s="177" t="s">
        <v>19</v>
      </c>
      <c r="H194" s="177" t="s">
        <v>20</v>
      </c>
      <c r="I194" s="177" t="s">
        <v>205</v>
      </c>
      <c r="J194" s="177"/>
      <c r="K194" s="177" t="s">
        <v>211</v>
      </c>
      <c r="L194" s="177">
        <v>75</v>
      </c>
      <c r="M194" s="177" t="s">
        <v>370</v>
      </c>
      <c r="N194" s="178">
        <v>1050</v>
      </c>
      <c r="O194" s="178">
        <v>1050</v>
      </c>
      <c r="P194" s="178">
        <v>2000</v>
      </c>
      <c r="Q194" s="177">
        <v>2</v>
      </c>
      <c r="R194" s="177">
        <v>2</v>
      </c>
      <c r="S194" s="177" t="s">
        <v>354</v>
      </c>
      <c r="T194" s="179">
        <v>44855</v>
      </c>
      <c r="U194" s="179">
        <v>44890</v>
      </c>
      <c r="V194" s="177" t="s">
        <v>355</v>
      </c>
      <c r="W194" s="177"/>
      <c r="X194" s="177"/>
      <c r="Z194" s="149" t="str">
        <f t="shared" ca="1" si="2"/>
        <v/>
      </c>
      <c r="AA194" s="149" t="str">
        <f ca="1">IFERROR(IF(OR(OFFSET('S4'!#REF!,MATCH($A194,'S4'!$D$5:$D$3387,0)-1,6)="巻返し",OFFSET('S4'!#REF!,MATCH($A194,'S4'!$D$5:$D$3387,0)-1,6)="スリット"),SUMIF('S4'!$D$5:$D$3387,$A194,'S4'!$U$5:$U$3387),""),"")</f>
        <v/>
      </c>
      <c r="AB194" s="149" t="str">
        <f ca="1">IFERROR(IF(OR(OFFSET('S5'!#REF!,MATCH($A194,'S5'!$D$5:$D$2917,0)-1,6)="巻返し",OFFSET('S5'!#REF!,MATCH($A194,'S5'!$D$5:$D$2917,0)-1,6)="スリット"),SUMIF('S5'!$D$5:$D$2917,$A194,'S5'!$T$5:$T$2917),""),"")</f>
        <v/>
      </c>
    </row>
    <row r="195" spans="1:28" s="144" customFormat="1" ht="11.25" x14ac:dyDescent="0.15">
      <c r="A195" s="177">
        <v>3684776</v>
      </c>
      <c r="B195" s="177" t="s">
        <v>351</v>
      </c>
      <c r="C195" s="177" t="s">
        <v>352</v>
      </c>
      <c r="D195" s="177" t="s">
        <v>353</v>
      </c>
      <c r="E195" s="177" t="s">
        <v>116</v>
      </c>
      <c r="F195" s="177">
        <v>3</v>
      </c>
      <c r="G195" s="177" t="s">
        <v>19</v>
      </c>
      <c r="H195" s="177" t="s">
        <v>20</v>
      </c>
      <c r="I195" s="177" t="s">
        <v>165</v>
      </c>
      <c r="J195" s="177"/>
      <c r="K195" s="177" t="s">
        <v>185</v>
      </c>
      <c r="L195" s="177">
        <v>50</v>
      </c>
      <c r="M195" s="177" t="s">
        <v>186</v>
      </c>
      <c r="N195" s="178">
        <v>1005</v>
      </c>
      <c r="O195" s="178">
        <v>1000</v>
      </c>
      <c r="P195" s="178">
        <v>4000</v>
      </c>
      <c r="Q195" s="177">
        <v>2</v>
      </c>
      <c r="R195" s="177">
        <v>6</v>
      </c>
      <c r="S195" s="177" t="s">
        <v>354</v>
      </c>
      <c r="T195" s="179">
        <v>44855</v>
      </c>
      <c r="U195" s="179">
        <v>44890</v>
      </c>
      <c r="V195" s="177" t="s">
        <v>355</v>
      </c>
      <c r="W195" s="177"/>
      <c r="X195" s="177"/>
      <c r="Z195" s="149" t="str">
        <f t="shared" ca="1" si="2"/>
        <v/>
      </c>
      <c r="AA195" s="149" t="str">
        <f ca="1">IFERROR(IF(OR(OFFSET('S4'!#REF!,MATCH($A195,'S4'!$D$5:$D$3387,0)-1,6)="巻返し",OFFSET('S4'!#REF!,MATCH($A195,'S4'!$D$5:$D$3387,0)-1,6)="スリット"),SUMIF('S4'!$D$5:$D$3387,$A195,'S4'!$U$5:$U$3387),""),"")</f>
        <v/>
      </c>
      <c r="AB195" s="149" t="str">
        <f ca="1">IFERROR(IF(OR(OFFSET('S5'!#REF!,MATCH($A195,'S5'!$D$5:$D$2917,0)-1,6)="巻返し",OFFSET('S5'!#REF!,MATCH($A195,'S5'!$D$5:$D$2917,0)-1,6)="スリット"),SUMIF('S5'!$D$5:$D$2917,$A195,'S5'!$T$5:$T$2917),""),"")</f>
        <v/>
      </c>
    </row>
    <row r="196" spans="1:28" s="144" customFormat="1" ht="11.25" x14ac:dyDescent="0.15">
      <c r="A196" s="177">
        <v>3684778</v>
      </c>
      <c r="B196" s="177" t="s">
        <v>351</v>
      </c>
      <c r="C196" s="177" t="s">
        <v>352</v>
      </c>
      <c r="D196" s="177" t="s">
        <v>353</v>
      </c>
      <c r="E196" s="177" t="s">
        <v>116</v>
      </c>
      <c r="F196" s="177">
        <v>3</v>
      </c>
      <c r="G196" s="177" t="s">
        <v>19</v>
      </c>
      <c r="H196" s="177" t="s">
        <v>20</v>
      </c>
      <c r="I196" s="177" t="s">
        <v>205</v>
      </c>
      <c r="J196" s="177"/>
      <c r="K196" s="177" t="s">
        <v>216</v>
      </c>
      <c r="L196" s="177">
        <v>25</v>
      </c>
      <c r="M196" s="177" t="s">
        <v>217</v>
      </c>
      <c r="N196" s="178">
        <v>1005</v>
      </c>
      <c r="O196" s="178">
        <v>1000</v>
      </c>
      <c r="P196" s="178">
        <v>4000</v>
      </c>
      <c r="Q196" s="177">
        <v>2</v>
      </c>
      <c r="R196" s="177">
        <v>27</v>
      </c>
      <c r="S196" s="177" t="s">
        <v>354</v>
      </c>
      <c r="T196" s="179">
        <v>44855</v>
      </c>
      <c r="U196" s="179">
        <v>44886</v>
      </c>
      <c r="V196" s="177" t="s">
        <v>355</v>
      </c>
      <c r="W196" s="177"/>
      <c r="X196" s="177"/>
      <c r="Z196" s="149" t="str">
        <f t="shared" ref="Z196:Z259" ca="1" si="3">IF(SUM(AA196:AB196)=0,"",SUM(AA196:AB196))</f>
        <v/>
      </c>
      <c r="AA196" s="149" t="str">
        <f ca="1">IFERROR(IF(OR(OFFSET('S4'!#REF!,MATCH($A196,'S4'!$D$5:$D$3387,0)-1,6)="巻返し",OFFSET('S4'!#REF!,MATCH($A196,'S4'!$D$5:$D$3387,0)-1,6)="スリット"),SUMIF('S4'!$D$5:$D$3387,$A196,'S4'!$U$5:$U$3387),""),"")</f>
        <v/>
      </c>
      <c r="AB196" s="149" t="str">
        <f ca="1">IFERROR(IF(OR(OFFSET('S5'!#REF!,MATCH($A196,'S5'!$D$5:$D$2917,0)-1,6)="巻返し",OFFSET('S5'!#REF!,MATCH($A196,'S5'!$D$5:$D$2917,0)-1,6)="スリット"),SUMIF('S5'!$D$5:$D$2917,$A196,'S5'!$T$5:$T$2917),""),"")</f>
        <v/>
      </c>
    </row>
    <row r="197" spans="1:28" s="144" customFormat="1" ht="11.25" x14ac:dyDescent="0.15">
      <c r="A197" s="177">
        <v>3684779</v>
      </c>
      <c r="B197" s="177" t="s">
        <v>351</v>
      </c>
      <c r="C197" s="177" t="s">
        <v>352</v>
      </c>
      <c r="D197" s="177" t="s">
        <v>353</v>
      </c>
      <c r="E197" s="177" t="s">
        <v>116</v>
      </c>
      <c r="F197" s="177">
        <v>3</v>
      </c>
      <c r="G197" s="177" t="s">
        <v>19</v>
      </c>
      <c r="H197" s="177" t="s">
        <v>20</v>
      </c>
      <c r="I197" s="177" t="s">
        <v>205</v>
      </c>
      <c r="J197" s="177"/>
      <c r="K197" s="177" t="s">
        <v>216</v>
      </c>
      <c r="L197" s="177">
        <v>50</v>
      </c>
      <c r="M197" s="177" t="s">
        <v>217</v>
      </c>
      <c r="N197" s="178">
        <v>1120</v>
      </c>
      <c r="O197" s="178">
        <v>1120</v>
      </c>
      <c r="P197" s="178">
        <v>5000</v>
      </c>
      <c r="Q197" s="177">
        <v>2</v>
      </c>
      <c r="R197" s="177">
        <v>12</v>
      </c>
      <c r="S197" s="177" t="s">
        <v>354</v>
      </c>
      <c r="T197" s="179">
        <v>44855</v>
      </c>
      <c r="U197" s="179">
        <v>44889</v>
      </c>
      <c r="V197" s="177" t="s">
        <v>355</v>
      </c>
      <c r="W197" s="177"/>
      <c r="X197" s="177"/>
      <c r="Z197" s="149" t="str">
        <f t="shared" ca="1" si="3"/>
        <v/>
      </c>
      <c r="AA197" s="149" t="str">
        <f ca="1">IFERROR(IF(OR(OFFSET('S4'!#REF!,MATCH($A197,'S4'!$D$5:$D$3387,0)-1,6)="巻返し",OFFSET('S4'!#REF!,MATCH($A197,'S4'!$D$5:$D$3387,0)-1,6)="スリット"),SUMIF('S4'!$D$5:$D$3387,$A197,'S4'!$U$5:$U$3387),""),"")</f>
        <v/>
      </c>
      <c r="AB197" s="149" t="str">
        <f ca="1">IFERROR(IF(OR(OFFSET('S5'!#REF!,MATCH($A197,'S5'!$D$5:$D$2917,0)-1,6)="巻返し",OFFSET('S5'!#REF!,MATCH($A197,'S5'!$D$5:$D$2917,0)-1,6)="スリット"),SUMIF('S5'!$D$5:$D$2917,$A197,'S5'!$T$5:$T$2917),""),"")</f>
        <v/>
      </c>
    </row>
    <row r="198" spans="1:28" s="144" customFormat="1" ht="11.25" x14ac:dyDescent="0.15">
      <c r="A198" s="177">
        <v>3684780</v>
      </c>
      <c r="B198" s="177" t="s">
        <v>351</v>
      </c>
      <c r="C198" s="177" t="s">
        <v>352</v>
      </c>
      <c r="D198" s="177" t="s">
        <v>353</v>
      </c>
      <c r="E198" s="177" t="s">
        <v>116</v>
      </c>
      <c r="F198" s="177">
        <v>3</v>
      </c>
      <c r="G198" s="177" t="s">
        <v>19</v>
      </c>
      <c r="H198" s="177" t="s">
        <v>20</v>
      </c>
      <c r="I198" s="177" t="s">
        <v>205</v>
      </c>
      <c r="J198" s="177"/>
      <c r="K198" s="177" t="s">
        <v>216</v>
      </c>
      <c r="L198" s="177">
        <v>50</v>
      </c>
      <c r="M198" s="177" t="s">
        <v>217</v>
      </c>
      <c r="N198" s="178">
        <v>1120</v>
      </c>
      <c r="O198" s="178">
        <v>1120</v>
      </c>
      <c r="P198" s="178">
        <v>5000</v>
      </c>
      <c r="Q198" s="177">
        <v>2</v>
      </c>
      <c r="R198" s="177">
        <v>12</v>
      </c>
      <c r="S198" s="177" t="s">
        <v>354</v>
      </c>
      <c r="T198" s="179">
        <v>44855</v>
      </c>
      <c r="U198" s="179">
        <v>44897</v>
      </c>
      <c r="V198" s="177" t="s">
        <v>355</v>
      </c>
      <c r="W198" s="177"/>
      <c r="X198" s="177"/>
      <c r="Z198" s="149" t="str">
        <f t="shared" ca="1" si="3"/>
        <v/>
      </c>
      <c r="AA198" s="149" t="str">
        <f ca="1">IFERROR(IF(OR(OFFSET('S4'!#REF!,MATCH($A198,'S4'!$D$5:$D$3387,0)-1,6)="巻返し",OFFSET('S4'!#REF!,MATCH($A198,'S4'!$D$5:$D$3387,0)-1,6)="スリット"),SUMIF('S4'!$D$5:$D$3387,$A198,'S4'!$U$5:$U$3387),""),"")</f>
        <v/>
      </c>
      <c r="AB198" s="149" t="str">
        <f ca="1">IFERROR(IF(OR(OFFSET('S5'!#REF!,MATCH($A198,'S5'!$D$5:$D$2917,0)-1,6)="巻返し",OFFSET('S5'!#REF!,MATCH($A198,'S5'!$D$5:$D$2917,0)-1,6)="スリット"),SUMIF('S5'!$D$5:$D$2917,$A198,'S5'!$T$5:$T$2917),""),"")</f>
        <v/>
      </c>
    </row>
    <row r="199" spans="1:28" s="144" customFormat="1" ht="11.25" x14ac:dyDescent="0.15">
      <c r="A199" s="177">
        <v>3684781</v>
      </c>
      <c r="B199" s="177" t="s">
        <v>351</v>
      </c>
      <c r="C199" s="177" t="s">
        <v>352</v>
      </c>
      <c r="D199" s="177" t="s">
        <v>353</v>
      </c>
      <c r="E199" s="177" t="s">
        <v>116</v>
      </c>
      <c r="F199" s="177">
        <v>3</v>
      </c>
      <c r="G199" s="177" t="s">
        <v>19</v>
      </c>
      <c r="H199" s="177" t="s">
        <v>20</v>
      </c>
      <c r="I199" s="177" t="s">
        <v>205</v>
      </c>
      <c r="J199" s="177"/>
      <c r="K199" s="177" t="s">
        <v>216</v>
      </c>
      <c r="L199" s="177">
        <v>50</v>
      </c>
      <c r="M199" s="177" t="s">
        <v>217</v>
      </c>
      <c r="N199" s="178">
        <v>1120</v>
      </c>
      <c r="O199" s="178">
        <v>1120</v>
      </c>
      <c r="P199" s="178">
        <v>5000</v>
      </c>
      <c r="Q199" s="177">
        <v>2</v>
      </c>
      <c r="R199" s="177">
        <v>12</v>
      </c>
      <c r="S199" s="177" t="s">
        <v>354</v>
      </c>
      <c r="T199" s="179">
        <v>44855</v>
      </c>
      <c r="U199" s="179">
        <v>44907</v>
      </c>
      <c r="V199" s="177" t="s">
        <v>355</v>
      </c>
      <c r="W199" s="177"/>
      <c r="X199" s="177"/>
      <c r="Z199" s="149" t="str">
        <f t="shared" ca="1" si="3"/>
        <v/>
      </c>
      <c r="AA199" s="149" t="str">
        <f ca="1">IFERROR(IF(OR(OFFSET('S4'!#REF!,MATCH($A199,'S4'!$D$5:$D$3387,0)-1,6)="巻返し",OFFSET('S4'!#REF!,MATCH($A199,'S4'!$D$5:$D$3387,0)-1,6)="スリット"),SUMIF('S4'!$D$5:$D$3387,$A199,'S4'!$U$5:$U$3387),""),"")</f>
        <v/>
      </c>
      <c r="AB199" s="149" t="str">
        <f ca="1">IFERROR(IF(OR(OFFSET('S5'!#REF!,MATCH($A199,'S5'!$D$5:$D$2917,0)-1,6)="巻返し",OFFSET('S5'!#REF!,MATCH($A199,'S5'!$D$5:$D$2917,0)-1,6)="スリット"),SUMIF('S5'!$D$5:$D$2917,$A199,'S5'!$T$5:$T$2917),""),"")</f>
        <v/>
      </c>
    </row>
    <row r="200" spans="1:28" s="144" customFormat="1" ht="11.25" x14ac:dyDescent="0.15">
      <c r="A200" s="177">
        <v>3684782</v>
      </c>
      <c r="B200" s="177" t="s">
        <v>351</v>
      </c>
      <c r="C200" s="177" t="s">
        <v>352</v>
      </c>
      <c r="D200" s="177" t="s">
        <v>353</v>
      </c>
      <c r="E200" s="177" t="s">
        <v>116</v>
      </c>
      <c r="F200" s="177">
        <v>3</v>
      </c>
      <c r="G200" s="177" t="s">
        <v>19</v>
      </c>
      <c r="H200" s="177" t="s">
        <v>20</v>
      </c>
      <c r="I200" s="177" t="s">
        <v>165</v>
      </c>
      <c r="J200" s="177"/>
      <c r="K200" s="177" t="s">
        <v>187</v>
      </c>
      <c r="L200" s="177">
        <v>50</v>
      </c>
      <c r="M200" s="177" t="s">
        <v>188</v>
      </c>
      <c r="N200" s="178">
        <v>1195</v>
      </c>
      <c r="O200" s="178">
        <v>1190</v>
      </c>
      <c r="P200" s="178">
        <v>6000</v>
      </c>
      <c r="Q200" s="177">
        <v>2</v>
      </c>
      <c r="R200" s="177">
        <v>1</v>
      </c>
      <c r="S200" s="177" t="s">
        <v>354</v>
      </c>
      <c r="T200" s="179">
        <v>44855</v>
      </c>
      <c r="U200" s="179">
        <v>44879</v>
      </c>
      <c r="V200" s="177" t="s">
        <v>360</v>
      </c>
      <c r="W200" s="177"/>
      <c r="X200" s="177"/>
      <c r="Z200" s="149" t="str">
        <f t="shared" ca="1" si="3"/>
        <v/>
      </c>
      <c r="AA200" s="149" t="str">
        <f ca="1">IFERROR(IF(OR(OFFSET('S4'!#REF!,MATCH($A200,'S4'!$D$5:$D$3387,0)-1,6)="巻返し",OFFSET('S4'!#REF!,MATCH($A200,'S4'!$D$5:$D$3387,0)-1,6)="スリット"),SUMIF('S4'!$D$5:$D$3387,$A200,'S4'!$U$5:$U$3387),""),"")</f>
        <v/>
      </c>
      <c r="AB200" s="149" t="str">
        <f ca="1">IFERROR(IF(OR(OFFSET('S5'!#REF!,MATCH($A200,'S5'!$D$5:$D$2917,0)-1,6)="巻返し",OFFSET('S5'!#REF!,MATCH($A200,'S5'!$D$5:$D$2917,0)-1,6)="スリット"),SUMIF('S5'!$D$5:$D$2917,$A200,'S5'!$T$5:$T$2917),""),"")</f>
        <v/>
      </c>
    </row>
    <row r="201" spans="1:28" s="144" customFormat="1" ht="11.25" x14ac:dyDescent="0.15">
      <c r="A201" s="177">
        <v>3684783</v>
      </c>
      <c r="B201" s="177" t="s">
        <v>351</v>
      </c>
      <c r="C201" s="177" t="s">
        <v>352</v>
      </c>
      <c r="D201" s="177" t="s">
        <v>353</v>
      </c>
      <c r="E201" s="177" t="s">
        <v>116</v>
      </c>
      <c r="F201" s="177">
        <v>3</v>
      </c>
      <c r="G201" s="177" t="s">
        <v>19</v>
      </c>
      <c r="H201" s="177" t="s">
        <v>20</v>
      </c>
      <c r="I201" s="177" t="s">
        <v>205</v>
      </c>
      <c r="J201" s="177"/>
      <c r="K201" s="177" t="s">
        <v>218</v>
      </c>
      <c r="L201" s="177">
        <v>25</v>
      </c>
      <c r="M201" s="177" t="s">
        <v>219</v>
      </c>
      <c r="N201" s="178">
        <v>1005</v>
      </c>
      <c r="O201" s="178">
        <v>1000</v>
      </c>
      <c r="P201" s="178">
        <v>4000</v>
      </c>
      <c r="Q201" s="177">
        <v>2</v>
      </c>
      <c r="R201" s="177">
        <v>6</v>
      </c>
      <c r="S201" s="177" t="s">
        <v>354</v>
      </c>
      <c r="T201" s="179">
        <v>44855</v>
      </c>
      <c r="U201" s="179">
        <v>44886</v>
      </c>
      <c r="V201" s="177" t="s">
        <v>355</v>
      </c>
      <c r="W201" s="177"/>
      <c r="X201" s="177"/>
      <c r="Z201" s="149" t="str">
        <f t="shared" ca="1" si="3"/>
        <v/>
      </c>
      <c r="AA201" s="149" t="str">
        <f ca="1">IFERROR(IF(OR(OFFSET('S4'!#REF!,MATCH($A201,'S4'!$D$5:$D$3387,0)-1,6)="巻返し",OFFSET('S4'!#REF!,MATCH($A201,'S4'!$D$5:$D$3387,0)-1,6)="スリット"),SUMIF('S4'!$D$5:$D$3387,$A201,'S4'!$U$5:$U$3387),""),"")</f>
        <v/>
      </c>
      <c r="AB201" s="149" t="str">
        <f ca="1">IFERROR(IF(OR(OFFSET('S5'!#REF!,MATCH($A201,'S5'!$D$5:$D$2917,0)-1,6)="巻返し",OFFSET('S5'!#REF!,MATCH($A201,'S5'!$D$5:$D$2917,0)-1,6)="スリット"),SUMIF('S5'!$D$5:$D$2917,$A201,'S5'!$T$5:$T$2917),""),"")</f>
        <v/>
      </c>
    </row>
    <row r="202" spans="1:28" s="144" customFormat="1" ht="11.25" x14ac:dyDescent="0.15">
      <c r="A202" s="177">
        <v>3684784</v>
      </c>
      <c r="B202" s="177" t="s">
        <v>351</v>
      </c>
      <c r="C202" s="177" t="s">
        <v>352</v>
      </c>
      <c r="D202" s="177" t="s">
        <v>353</v>
      </c>
      <c r="E202" s="177" t="s">
        <v>116</v>
      </c>
      <c r="F202" s="177">
        <v>3</v>
      </c>
      <c r="G202" s="177" t="s">
        <v>19</v>
      </c>
      <c r="H202" s="177" t="s">
        <v>20</v>
      </c>
      <c r="I202" s="177" t="s">
        <v>205</v>
      </c>
      <c r="J202" s="177"/>
      <c r="K202" s="177" t="s">
        <v>218</v>
      </c>
      <c r="L202" s="177">
        <v>50</v>
      </c>
      <c r="M202" s="177" t="s">
        <v>219</v>
      </c>
      <c r="N202" s="178">
        <v>1000</v>
      </c>
      <c r="O202" s="178">
        <v>1000</v>
      </c>
      <c r="P202" s="178">
        <v>4000</v>
      </c>
      <c r="Q202" s="177">
        <v>2</v>
      </c>
      <c r="R202" s="177">
        <v>21</v>
      </c>
      <c r="S202" s="177" t="s">
        <v>354</v>
      </c>
      <c r="T202" s="179">
        <v>44855</v>
      </c>
      <c r="U202" s="179">
        <v>44886</v>
      </c>
      <c r="V202" s="177" t="s">
        <v>355</v>
      </c>
      <c r="W202" s="177"/>
      <c r="X202" s="177"/>
      <c r="Z202" s="149" t="str">
        <f t="shared" ca="1" si="3"/>
        <v/>
      </c>
      <c r="AA202" s="149" t="str">
        <f ca="1">IFERROR(IF(OR(OFFSET('S4'!#REF!,MATCH($A202,'S4'!$D$5:$D$3387,0)-1,6)="巻返し",OFFSET('S4'!#REF!,MATCH($A202,'S4'!$D$5:$D$3387,0)-1,6)="スリット"),SUMIF('S4'!$D$5:$D$3387,$A202,'S4'!$U$5:$U$3387),""),"")</f>
        <v/>
      </c>
      <c r="AB202" s="149" t="str">
        <f ca="1">IFERROR(IF(OR(OFFSET('S5'!#REF!,MATCH($A202,'S5'!$D$5:$D$2917,0)-1,6)="巻返し",OFFSET('S5'!#REF!,MATCH($A202,'S5'!$D$5:$D$2917,0)-1,6)="スリット"),SUMIF('S5'!$D$5:$D$2917,$A202,'S5'!$T$5:$T$2917),""),"")</f>
        <v/>
      </c>
    </row>
    <row r="203" spans="1:28" s="144" customFormat="1" ht="11.25" x14ac:dyDescent="0.15">
      <c r="A203" s="177">
        <v>3684785</v>
      </c>
      <c r="B203" s="177" t="s">
        <v>351</v>
      </c>
      <c r="C203" s="177" t="s">
        <v>352</v>
      </c>
      <c r="D203" s="177" t="s">
        <v>353</v>
      </c>
      <c r="E203" s="177" t="s">
        <v>116</v>
      </c>
      <c r="F203" s="177" t="s">
        <v>158</v>
      </c>
      <c r="G203" s="177" t="s">
        <v>19</v>
      </c>
      <c r="H203" s="177" t="s">
        <v>20</v>
      </c>
      <c r="I203" s="177" t="s">
        <v>165</v>
      </c>
      <c r="J203" s="177"/>
      <c r="K203" s="177" t="s">
        <v>192</v>
      </c>
      <c r="L203" s="177">
        <v>50</v>
      </c>
      <c r="M203" s="177" t="s">
        <v>193</v>
      </c>
      <c r="N203" s="178">
        <v>1005</v>
      </c>
      <c r="O203" s="178">
        <v>1000</v>
      </c>
      <c r="P203" s="178">
        <v>4000</v>
      </c>
      <c r="Q203" s="177">
        <v>2</v>
      </c>
      <c r="R203" s="177">
        <v>3</v>
      </c>
      <c r="S203" s="177" t="s">
        <v>354</v>
      </c>
      <c r="T203" s="179">
        <v>44855</v>
      </c>
      <c r="U203" s="179">
        <v>44889</v>
      </c>
      <c r="V203" s="177" t="s">
        <v>355</v>
      </c>
      <c r="W203" s="177"/>
      <c r="X203" s="177"/>
      <c r="Z203" s="149" t="str">
        <f t="shared" ca="1" si="3"/>
        <v/>
      </c>
      <c r="AA203" s="149" t="str">
        <f ca="1">IFERROR(IF(OR(OFFSET('S4'!#REF!,MATCH($A203,'S4'!$D$5:$D$3387,0)-1,6)="巻返し",OFFSET('S4'!#REF!,MATCH($A203,'S4'!$D$5:$D$3387,0)-1,6)="スリット"),SUMIF('S4'!$D$5:$D$3387,$A203,'S4'!$U$5:$U$3387),""),"")</f>
        <v/>
      </c>
      <c r="AB203" s="149" t="str">
        <f ca="1">IFERROR(IF(OR(OFFSET('S5'!#REF!,MATCH($A203,'S5'!$D$5:$D$2917,0)-1,6)="巻返し",OFFSET('S5'!#REF!,MATCH($A203,'S5'!$D$5:$D$2917,0)-1,6)="スリット"),SUMIF('S5'!$D$5:$D$2917,$A203,'S5'!$T$5:$T$2917),""),"")</f>
        <v/>
      </c>
    </row>
    <row r="204" spans="1:28" s="144" customFormat="1" ht="11.25" x14ac:dyDescent="0.15">
      <c r="A204" s="177">
        <v>3684786</v>
      </c>
      <c r="B204" s="177" t="s">
        <v>351</v>
      </c>
      <c r="C204" s="177" t="s">
        <v>352</v>
      </c>
      <c r="D204" s="177" t="s">
        <v>353</v>
      </c>
      <c r="E204" s="177" t="s">
        <v>116</v>
      </c>
      <c r="F204" s="177" t="s">
        <v>158</v>
      </c>
      <c r="G204" s="177" t="s">
        <v>19</v>
      </c>
      <c r="H204" s="177" t="s">
        <v>20</v>
      </c>
      <c r="I204" s="177" t="s">
        <v>165</v>
      </c>
      <c r="J204" s="177"/>
      <c r="K204" s="177" t="s">
        <v>195</v>
      </c>
      <c r="L204" s="177">
        <v>50</v>
      </c>
      <c r="M204" s="177" t="s">
        <v>196</v>
      </c>
      <c r="N204" s="178">
        <v>1005</v>
      </c>
      <c r="O204" s="178">
        <v>1000</v>
      </c>
      <c r="P204" s="178">
        <v>4000</v>
      </c>
      <c r="Q204" s="177">
        <v>2</v>
      </c>
      <c r="R204" s="177">
        <v>3</v>
      </c>
      <c r="S204" s="177" t="s">
        <v>354</v>
      </c>
      <c r="T204" s="179">
        <v>44855</v>
      </c>
      <c r="U204" s="179">
        <v>44889</v>
      </c>
      <c r="V204" s="177" t="s">
        <v>355</v>
      </c>
      <c r="W204" s="177"/>
      <c r="X204" s="177"/>
      <c r="Z204" s="149" t="str">
        <f t="shared" ca="1" si="3"/>
        <v/>
      </c>
      <c r="AA204" s="149" t="str">
        <f ca="1">IFERROR(IF(OR(OFFSET('S4'!#REF!,MATCH($A204,'S4'!$D$5:$D$3387,0)-1,6)="巻返し",OFFSET('S4'!#REF!,MATCH($A204,'S4'!$D$5:$D$3387,0)-1,6)="スリット"),SUMIF('S4'!$D$5:$D$3387,$A204,'S4'!$U$5:$U$3387),""),"")</f>
        <v/>
      </c>
      <c r="AB204" s="149" t="str">
        <f ca="1">IFERROR(IF(OR(OFFSET('S5'!#REF!,MATCH($A204,'S5'!$D$5:$D$2917,0)-1,6)="巻返し",OFFSET('S5'!#REF!,MATCH($A204,'S5'!$D$5:$D$2917,0)-1,6)="スリット"),SUMIF('S5'!$D$5:$D$2917,$A204,'S5'!$T$5:$T$2917),""),"")</f>
        <v/>
      </c>
    </row>
    <row r="205" spans="1:28" s="144" customFormat="1" ht="11.25" x14ac:dyDescent="0.15">
      <c r="A205" s="177">
        <v>3684787</v>
      </c>
      <c r="B205" s="177" t="s">
        <v>351</v>
      </c>
      <c r="C205" s="177" t="s">
        <v>352</v>
      </c>
      <c r="D205" s="177" t="s">
        <v>353</v>
      </c>
      <c r="E205" s="177" t="s">
        <v>116</v>
      </c>
      <c r="F205" s="177" t="s">
        <v>158</v>
      </c>
      <c r="G205" s="177" t="s">
        <v>19</v>
      </c>
      <c r="H205" s="177" t="s">
        <v>20</v>
      </c>
      <c r="I205" s="177" t="s">
        <v>165</v>
      </c>
      <c r="J205" s="177"/>
      <c r="K205" s="177" t="s">
        <v>197</v>
      </c>
      <c r="L205" s="177">
        <v>50</v>
      </c>
      <c r="M205" s="177" t="s">
        <v>198</v>
      </c>
      <c r="N205" s="178">
        <v>1005</v>
      </c>
      <c r="O205" s="178">
        <v>1000</v>
      </c>
      <c r="P205" s="178">
        <v>4000</v>
      </c>
      <c r="Q205" s="177">
        <v>2</v>
      </c>
      <c r="R205" s="177">
        <v>6</v>
      </c>
      <c r="S205" s="177" t="s">
        <v>354</v>
      </c>
      <c r="T205" s="179">
        <v>44855</v>
      </c>
      <c r="U205" s="179">
        <v>44882</v>
      </c>
      <c r="V205" s="177" t="s">
        <v>355</v>
      </c>
      <c r="W205" s="177"/>
      <c r="X205" s="177"/>
      <c r="Z205" s="149" t="str">
        <f t="shared" ca="1" si="3"/>
        <v/>
      </c>
      <c r="AA205" s="149" t="str">
        <f ca="1">IFERROR(IF(OR(OFFSET('S4'!#REF!,MATCH($A205,'S4'!$D$5:$D$3387,0)-1,6)="巻返し",OFFSET('S4'!#REF!,MATCH($A205,'S4'!$D$5:$D$3387,0)-1,6)="スリット"),SUMIF('S4'!$D$5:$D$3387,$A205,'S4'!$U$5:$U$3387),""),"")</f>
        <v/>
      </c>
      <c r="AB205" s="149" t="str">
        <f ca="1">IFERROR(IF(OR(OFFSET('S5'!#REF!,MATCH($A205,'S5'!$D$5:$D$2917,0)-1,6)="巻返し",OFFSET('S5'!#REF!,MATCH($A205,'S5'!$D$5:$D$2917,0)-1,6)="スリット"),SUMIF('S5'!$D$5:$D$2917,$A205,'S5'!$T$5:$T$2917),""),"")</f>
        <v/>
      </c>
    </row>
    <row r="206" spans="1:28" s="144" customFormat="1" ht="11.25" x14ac:dyDescent="0.15">
      <c r="A206" s="177">
        <v>3684788</v>
      </c>
      <c r="B206" s="177" t="s">
        <v>351</v>
      </c>
      <c r="C206" s="177" t="s">
        <v>352</v>
      </c>
      <c r="D206" s="177" t="s">
        <v>353</v>
      </c>
      <c r="E206" s="177" t="s">
        <v>116</v>
      </c>
      <c r="F206" s="177">
        <v>3</v>
      </c>
      <c r="G206" s="177" t="s">
        <v>19</v>
      </c>
      <c r="H206" s="177" t="s">
        <v>20</v>
      </c>
      <c r="I206" s="177" t="s">
        <v>165</v>
      </c>
      <c r="J206" s="177"/>
      <c r="K206" s="177" t="s">
        <v>200</v>
      </c>
      <c r="L206" s="177">
        <v>50</v>
      </c>
      <c r="M206" s="177" t="s">
        <v>201</v>
      </c>
      <c r="N206" s="178">
        <v>1005</v>
      </c>
      <c r="O206" s="178">
        <v>1000</v>
      </c>
      <c r="P206" s="178">
        <v>4000</v>
      </c>
      <c r="Q206" s="177">
        <v>2</v>
      </c>
      <c r="R206" s="177">
        <v>3</v>
      </c>
      <c r="S206" s="177" t="s">
        <v>354</v>
      </c>
      <c r="T206" s="179">
        <v>44855</v>
      </c>
      <c r="U206" s="179">
        <v>44889</v>
      </c>
      <c r="V206" s="177" t="s">
        <v>355</v>
      </c>
      <c r="W206" s="177"/>
      <c r="X206" s="177"/>
      <c r="Z206" s="149" t="str">
        <f t="shared" ca="1" si="3"/>
        <v/>
      </c>
      <c r="AA206" s="149" t="str">
        <f ca="1">IFERROR(IF(OR(OFFSET('S4'!#REF!,MATCH($A206,'S4'!$D$5:$D$3387,0)-1,6)="巻返し",OFFSET('S4'!#REF!,MATCH($A206,'S4'!$D$5:$D$3387,0)-1,6)="スリット"),SUMIF('S4'!$D$5:$D$3387,$A206,'S4'!$U$5:$U$3387),""),"")</f>
        <v/>
      </c>
      <c r="AB206" s="149" t="str">
        <f ca="1">IFERROR(IF(OR(OFFSET('S5'!#REF!,MATCH($A206,'S5'!$D$5:$D$2917,0)-1,6)="巻返し",OFFSET('S5'!#REF!,MATCH($A206,'S5'!$D$5:$D$2917,0)-1,6)="スリット"),SUMIF('S5'!$D$5:$D$2917,$A206,'S5'!$T$5:$T$2917),""),"")</f>
        <v/>
      </c>
    </row>
    <row r="207" spans="1:28" s="144" customFormat="1" ht="11.25" x14ac:dyDescent="0.15">
      <c r="A207" s="177">
        <v>3684790</v>
      </c>
      <c r="B207" s="177" t="s">
        <v>351</v>
      </c>
      <c r="C207" s="177" t="s">
        <v>352</v>
      </c>
      <c r="D207" s="177" t="s">
        <v>353</v>
      </c>
      <c r="E207" s="177" t="s">
        <v>116</v>
      </c>
      <c r="F207" s="177">
        <v>3</v>
      </c>
      <c r="G207" s="177" t="s">
        <v>19</v>
      </c>
      <c r="H207" s="177" t="s">
        <v>20</v>
      </c>
      <c r="I207" s="177" t="s">
        <v>165</v>
      </c>
      <c r="J207" s="177"/>
      <c r="K207" s="177" t="s">
        <v>172</v>
      </c>
      <c r="L207" s="177">
        <v>50</v>
      </c>
      <c r="M207" s="177" t="s">
        <v>173</v>
      </c>
      <c r="N207" s="178">
        <v>1005</v>
      </c>
      <c r="O207" s="178">
        <v>1000</v>
      </c>
      <c r="P207" s="178">
        <v>2000</v>
      </c>
      <c r="Q207" s="177">
        <v>2</v>
      </c>
      <c r="R207" s="177">
        <v>4</v>
      </c>
      <c r="S207" s="177" t="s">
        <v>354</v>
      </c>
      <c r="T207" s="179">
        <v>44855</v>
      </c>
      <c r="U207" s="179">
        <v>44889</v>
      </c>
      <c r="V207" s="177" t="s">
        <v>355</v>
      </c>
      <c r="W207" s="177"/>
      <c r="X207" s="177"/>
      <c r="Z207" s="149" t="str">
        <f t="shared" ca="1" si="3"/>
        <v/>
      </c>
      <c r="AA207" s="149" t="str">
        <f ca="1">IFERROR(IF(OR(OFFSET('S4'!#REF!,MATCH($A207,'S4'!$D$5:$D$3387,0)-1,6)="巻返し",OFFSET('S4'!#REF!,MATCH($A207,'S4'!$D$5:$D$3387,0)-1,6)="スリット"),SUMIF('S4'!$D$5:$D$3387,$A207,'S4'!$U$5:$U$3387),""),"")</f>
        <v/>
      </c>
      <c r="AB207" s="149" t="str">
        <f ca="1">IFERROR(IF(OR(OFFSET('S5'!#REF!,MATCH($A207,'S5'!$D$5:$D$2917,0)-1,6)="巻返し",OFFSET('S5'!#REF!,MATCH($A207,'S5'!$D$5:$D$2917,0)-1,6)="スリット"),SUMIF('S5'!$D$5:$D$2917,$A207,'S5'!$T$5:$T$2917),""),"")</f>
        <v/>
      </c>
    </row>
    <row r="208" spans="1:28" s="144" customFormat="1" ht="11.25" x14ac:dyDescent="0.15">
      <c r="A208" s="177">
        <v>3684791</v>
      </c>
      <c r="B208" s="177" t="s">
        <v>351</v>
      </c>
      <c r="C208" s="177" t="s">
        <v>352</v>
      </c>
      <c r="D208" s="177" t="s">
        <v>353</v>
      </c>
      <c r="E208" s="177" t="s">
        <v>116</v>
      </c>
      <c r="F208" s="177">
        <v>3</v>
      </c>
      <c r="G208" s="177" t="s">
        <v>19</v>
      </c>
      <c r="H208" s="177" t="s">
        <v>20</v>
      </c>
      <c r="I208" s="177" t="s">
        <v>165</v>
      </c>
      <c r="J208" s="177"/>
      <c r="K208" s="177" t="s">
        <v>176</v>
      </c>
      <c r="L208" s="177">
        <v>50</v>
      </c>
      <c r="M208" s="177" t="s">
        <v>177</v>
      </c>
      <c r="N208" s="178">
        <v>1005</v>
      </c>
      <c r="O208" s="178">
        <v>1000</v>
      </c>
      <c r="P208" s="178">
        <v>4000</v>
      </c>
      <c r="Q208" s="177">
        <v>2</v>
      </c>
      <c r="R208" s="177">
        <v>7</v>
      </c>
      <c r="S208" s="177" t="s">
        <v>354</v>
      </c>
      <c r="T208" s="179">
        <v>44855</v>
      </c>
      <c r="U208" s="179">
        <v>44889</v>
      </c>
      <c r="V208" s="177" t="s">
        <v>355</v>
      </c>
      <c r="W208" s="177"/>
      <c r="X208" s="177"/>
      <c r="Z208" s="149" t="str">
        <f t="shared" ca="1" si="3"/>
        <v/>
      </c>
      <c r="AA208" s="149" t="str">
        <f ca="1">IFERROR(IF(OR(OFFSET('S4'!#REF!,MATCH($A208,'S4'!$D$5:$D$3387,0)-1,6)="巻返し",OFFSET('S4'!#REF!,MATCH($A208,'S4'!$D$5:$D$3387,0)-1,6)="スリット"),SUMIF('S4'!$D$5:$D$3387,$A208,'S4'!$U$5:$U$3387),""),"")</f>
        <v/>
      </c>
      <c r="AB208" s="149" t="str">
        <f ca="1">IFERROR(IF(OR(OFFSET('S5'!#REF!,MATCH($A208,'S5'!$D$5:$D$2917,0)-1,6)="巻返し",OFFSET('S5'!#REF!,MATCH($A208,'S5'!$D$5:$D$2917,0)-1,6)="スリット"),SUMIF('S5'!$D$5:$D$2917,$A208,'S5'!$T$5:$T$2917),""),"")</f>
        <v/>
      </c>
    </row>
    <row r="209" spans="1:28" s="144" customFormat="1" ht="11.25" x14ac:dyDescent="0.15">
      <c r="A209" s="177">
        <v>3684792</v>
      </c>
      <c r="B209" s="177" t="s">
        <v>423</v>
      </c>
      <c r="C209" s="177" t="s">
        <v>352</v>
      </c>
      <c r="D209" s="177" t="s">
        <v>353</v>
      </c>
      <c r="E209" s="177" t="s">
        <v>116</v>
      </c>
      <c r="F209" s="177">
        <v>3</v>
      </c>
      <c r="G209" s="177" t="s">
        <v>265</v>
      </c>
      <c r="H209" s="177" t="s">
        <v>20</v>
      </c>
      <c r="I209" s="177" t="s">
        <v>165</v>
      </c>
      <c r="J209" s="177"/>
      <c r="K209" s="177" t="s">
        <v>319</v>
      </c>
      <c r="L209" s="177">
        <v>25</v>
      </c>
      <c r="M209" s="177" t="s">
        <v>320</v>
      </c>
      <c r="N209" s="178">
        <v>1000</v>
      </c>
      <c r="O209" s="178">
        <v>1000</v>
      </c>
      <c r="P209" s="178">
        <v>2000</v>
      </c>
      <c r="Q209" s="177">
        <v>2</v>
      </c>
      <c r="R209" s="177">
        <v>4</v>
      </c>
      <c r="S209" s="177" t="s">
        <v>354</v>
      </c>
      <c r="T209" s="179">
        <v>44855</v>
      </c>
      <c r="U209" s="179">
        <v>44895</v>
      </c>
      <c r="V209" s="177" t="s">
        <v>355</v>
      </c>
      <c r="W209" s="177"/>
      <c r="X209" s="177"/>
      <c r="Z209" s="149" t="str">
        <f t="shared" ca="1" si="3"/>
        <v/>
      </c>
      <c r="AA209" s="149" t="str">
        <f ca="1">IFERROR(IF(OR(OFFSET('S4'!#REF!,MATCH($A209,'S4'!$D$5:$D$3387,0)-1,6)="巻返し",OFFSET('S4'!#REF!,MATCH($A209,'S4'!$D$5:$D$3387,0)-1,6)="スリット"),SUMIF('S4'!$D$5:$D$3387,$A209,'S4'!$U$5:$U$3387),""),"")</f>
        <v/>
      </c>
      <c r="AB209" s="149" t="str">
        <f ca="1">IFERROR(IF(OR(OFFSET('S5'!#REF!,MATCH($A209,'S5'!$D$5:$D$2917,0)-1,6)="巻返し",OFFSET('S5'!#REF!,MATCH($A209,'S5'!$D$5:$D$2917,0)-1,6)="スリット"),SUMIF('S5'!$D$5:$D$2917,$A209,'S5'!$T$5:$T$2917),""),"")</f>
        <v/>
      </c>
    </row>
    <row r="210" spans="1:28" s="144" customFormat="1" ht="11.25" x14ac:dyDescent="0.15">
      <c r="A210" s="177">
        <v>3684793</v>
      </c>
      <c r="B210" s="177" t="s">
        <v>423</v>
      </c>
      <c r="C210" s="177" t="s">
        <v>352</v>
      </c>
      <c r="D210" s="177" t="s">
        <v>353</v>
      </c>
      <c r="E210" s="177" t="s">
        <v>116</v>
      </c>
      <c r="F210" s="177">
        <v>3</v>
      </c>
      <c r="G210" s="177" t="s">
        <v>265</v>
      </c>
      <c r="H210" s="177" t="s">
        <v>20</v>
      </c>
      <c r="I210" s="177" t="s">
        <v>165</v>
      </c>
      <c r="J210" s="177"/>
      <c r="K210" s="177" t="s">
        <v>319</v>
      </c>
      <c r="L210" s="177">
        <v>50</v>
      </c>
      <c r="M210" s="177" t="s">
        <v>483</v>
      </c>
      <c r="N210" s="178">
        <v>1000</v>
      </c>
      <c r="O210" s="178">
        <v>1000</v>
      </c>
      <c r="P210" s="178">
        <v>2000</v>
      </c>
      <c r="Q210" s="177">
        <v>2</v>
      </c>
      <c r="R210" s="177">
        <v>2</v>
      </c>
      <c r="S210" s="177" t="s">
        <v>354</v>
      </c>
      <c r="T210" s="179">
        <v>44855</v>
      </c>
      <c r="U210" s="179">
        <v>44895</v>
      </c>
      <c r="V210" s="177" t="s">
        <v>355</v>
      </c>
      <c r="W210" s="177"/>
      <c r="X210" s="177"/>
      <c r="Z210" s="149" t="str">
        <f t="shared" ca="1" si="3"/>
        <v/>
      </c>
      <c r="AA210" s="149" t="str">
        <f ca="1">IFERROR(IF(OR(OFFSET('S4'!#REF!,MATCH($A210,'S4'!$D$5:$D$3387,0)-1,6)="巻返し",OFFSET('S4'!#REF!,MATCH($A210,'S4'!$D$5:$D$3387,0)-1,6)="スリット"),SUMIF('S4'!$D$5:$D$3387,$A210,'S4'!$U$5:$U$3387),""),"")</f>
        <v/>
      </c>
      <c r="AB210" s="149" t="str">
        <f ca="1">IFERROR(IF(OR(OFFSET('S5'!#REF!,MATCH($A210,'S5'!$D$5:$D$2917,0)-1,6)="巻返し",OFFSET('S5'!#REF!,MATCH($A210,'S5'!$D$5:$D$2917,0)-1,6)="スリット"),SUMIF('S5'!$D$5:$D$2917,$A210,'S5'!$T$5:$T$2917),""),"")</f>
        <v/>
      </c>
    </row>
    <row r="211" spans="1:28" s="144" customFormat="1" ht="11.25" x14ac:dyDescent="0.15">
      <c r="A211" s="177">
        <v>3684794</v>
      </c>
      <c r="B211" s="177" t="s">
        <v>351</v>
      </c>
      <c r="C211" s="177" t="s">
        <v>352</v>
      </c>
      <c r="D211" s="177" t="s">
        <v>353</v>
      </c>
      <c r="E211" s="177" t="s">
        <v>116</v>
      </c>
      <c r="F211" s="177">
        <v>3</v>
      </c>
      <c r="G211" s="177" t="s">
        <v>19</v>
      </c>
      <c r="H211" s="177" t="s">
        <v>20</v>
      </c>
      <c r="I211" s="177" t="s">
        <v>143</v>
      </c>
      <c r="J211" s="177"/>
      <c r="K211" s="177" t="s">
        <v>152</v>
      </c>
      <c r="L211" s="177">
        <v>38</v>
      </c>
      <c r="M211" s="177" t="s">
        <v>153</v>
      </c>
      <c r="N211" s="178">
        <v>1005</v>
      </c>
      <c r="O211" s="178">
        <v>1000</v>
      </c>
      <c r="P211" s="178">
        <v>4000</v>
      </c>
      <c r="Q211" s="177">
        <v>2</v>
      </c>
      <c r="R211" s="177">
        <v>8</v>
      </c>
      <c r="S211" s="177" t="s">
        <v>354</v>
      </c>
      <c r="T211" s="179">
        <v>44855</v>
      </c>
      <c r="U211" s="179">
        <v>44889</v>
      </c>
      <c r="V211" s="177" t="s">
        <v>355</v>
      </c>
      <c r="W211" s="177"/>
      <c r="X211" s="177"/>
      <c r="Z211" s="149" t="str">
        <f t="shared" ca="1" si="3"/>
        <v/>
      </c>
      <c r="AA211" s="149" t="str">
        <f ca="1">IFERROR(IF(OR(OFFSET('S4'!#REF!,MATCH($A211,'S4'!$D$5:$D$3387,0)-1,6)="巻返し",OFFSET('S4'!#REF!,MATCH($A211,'S4'!$D$5:$D$3387,0)-1,6)="スリット"),SUMIF('S4'!$D$5:$D$3387,$A211,'S4'!$U$5:$U$3387),""),"")</f>
        <v/>
      </c>
      <c r="AB211" s="149" t="str">
        <f ca="1">IFERROR(IF(OR(OFFSET('S5'!#REF!,MATCH($A211,'S5'!$D$5:$D$2917,0)-1,6)="巻返し",OFFSET('S5'!#REF!,MATCH($A211,'S5'!$D$5:$D$2917,0)-1,6)="スリット"),SUMIF('S5'!$D$5:$D$2917,$A211,'S5'!$T$5:$T$2917),""),"")</f>
        <v/>
      </c>
    </row>
    <row r="212" spans="1:28" s="144" customFormat="1" ht="11.25" x14ac:dyDescent="0.15">
      <c r="A212" s="177">
        <v>3684795</v>
      </c>
      <c r="B212" s="177" t="s">
        <v>351</v>
      </c>
      <c r="C212" s="177" t="s">
        <v>352</v>
      </c>
      <c r="D212" s="177" t="s">
        <v>353</v>
      </c>
      <c r="E212" s="177" t="s">
        <v>116</v>
      </c>
      <c r="F212" s="177">
        <v>3</v>
      </c>
      <c r="G212" s="177" t="s">
        <v>19</v>
      </c>
      <c r="H212" s="177" t="s">
        <v>28</v>
      </c>
      <c r="I212" s="177" t="s">
        <v>205</v>
      </c>
      <c r="J212" s="177"/>
      <c r="K212" s="177" t="s">
        <v>237</v>
      </c>
      <c r="L212" s="177">
        <v>25</v>
      </c>
      <c r="M212" s="177" t="s">
        <v>238</v>
      </c>
      <c r="N212" s="178">
        <v>1120</v>
      </c>
      <c r="O212" s="178">
        <v>1120</v>
      </c>
      <c r="P212" s="178">
        <v>8000</v>
      </c>
      <c r="Q212" s="177">
        <v>2</v>
      </c>
      <c r="R212" s="177">
        <v>2</v>
      </c>
      <c r="S212" s="177" t="s">
        <v>354</v>
      </c>
      <c r="T212" s="179">
        <v>44855</v>
      </c>
      <c r="U212" s="179">
        <v>44883</v>
      </c>
      <c r="V212" s="177" t="s">
        <v>355</v>
      </c>
      <c r="W212" s="177"/>
      <c r="X212" s="177"/>
      <c r="Z212" s="149" t="str">
        <f t="shared" ca="1" si="3"/>
        <v/>
      </c>
      <c r="AA212" s="149" t="str">
        <f ca="1">IFERROR(IF(OR(OFFSET('S4'!#REF!,MATCH($A212,'S4'!$D$5:$D$3387,0)-1,6)="巻返し",OFFSET('S4'!#REF!,MATCH($A212,'S4'!$D$5:$D$3387,0)-1,6)="スリット"),SUMIF('S4'!$D$5:$D$3387,$A212,'S4'!$U$5:$U$3387),""),"")</f>
        <v/>
      </c>
      <c r="AB212" s="149" t="str">
        <f ca="1">IFERROR(IF(OR(OFFSET('S5'!#REF!,MATCH($A212,'S5'!$D$5:$D$2917,0)-1,6)="巻返し",OFFSET('S5'!#REF!,MATCH($A212,'S5'!$D$5:$D$2917,0)-1,6)="スリット"),SUMIF('S5'!$D$5:$D$2917,$A212,'S5'!$T$5:$T$2917),""),"")</f>
        <v/>
      </c>
    </row>
    <row r="213" spans="1:28" s="144" customFormat="1" ht="11.25" x14ac:dyDescent="0.15">
      <c r="A213" s="177">
        <v>3684796</v>
      </c>
      <c r="B213" s="177" t="s">
        <v>351</v>
      </c>
      <c r="C213" s="177" t="s">
        <v>352</v>
      </c>
      <c r="D213" s="177" t="s">
        <v>353</v>
      </c>
      <c r="E213" s="177" t="s">
        <v>116</v>
      </c>
      <c r="F213" s="177">
        <v>3</v>
      </c>
      <c r="G213" s="177" t="s">
        <v>19</v>
      </c>
      <c r="H213" s="177" t="s">
        <v>28</v>
      </c>
      <c r="I213" s="177" t="s">
        <v>205</v>
      </c>
      <c r="J213" s="177"/>
      <c r="K213" s="177" t="s">
        <v>237</v>
      </c>
      <c r="L213" s="177">
        <v>50</v>
      </c>
      <c r="M213" s="177" t="s">
        <v>238</v>
      </c>
      <c r="N213" s="178">
        <v>1120</v>
      </c>
      <c r="O213" s="178">
        <v>1120</v>
      </c>
      <c r="P213" s="178">
        <v>4000</v>
      </c>
      <c r="Q213" s="177">
        <v>2</v>
      </c>
      <c r="R213" s="177">
        <v>2</v>
      </c>
      <c r="S213" s="177" t="s">
        <v>354</v>
      </c>
      <c r="T213" s="179">
        <v>44855</v>
      </c>
      <c r="U213" s="179">
        <v>44890</v>
      </c>
      <c r="V213" s="177" t="s">
        <v>355</v>
      </c>
      <c r="W213" s="177"/>
      <c r="X213" s="177"/>
      <c r="Z213" s="149" t="str">
        <f t="shared" ca="1" si="3"/>
        <v/>
      </c>
      <c r="AA213" s="149" t="str">
        <f ca="1">IFERROR(IF(OR(OFFSET('S4'!#REF!,MATCH($A213,'S4'!$D$5:$D$3387,0)-1,6)="巻返し",OFFSET('S4'!#REF!,MATCH($A213,'S4'!$D$5:$D$3387,0)-1,6)="スリット"),SUMIF('S4'!$D$5:$D$3387,$A213,'S4'!$U$5:$U$3387),""),"")</f>
        <v/>
      </c>
      <c r="AB213" s="149" t="str">
        <f ca="1">IFERROR(IF(OR(OFFSET('S5'!#REF!,MATCH($A213,'S5'!$D$5:$D$2917,0)-1,6)="巻返し",OFFSET('S5'!#REF!,MATCH($A213,'S5'!$D$5:$D$2917,0)-1,6)="スリット"),SUMIF('S5'!$D$5:$D$2917,$A213,'S5'!$T$5:$T$2917),""),"")</f>
        <v/>
      </c>
    </row>
    <row r="214" spans="1:28" s="144" customFormat="1" ht="11.25" x14ac:dyDescent="0.15">
      <c r="A214" s="177">
        <v>3684797</v>
      </c>
      <c r="B214" s="177" t="s">
        <v>351</v>
      </c>
      <c r="C214" s="177" t="s">
        <v>352</v>
      </c>
      <c r="D214" s="177" t="s">
        <v>353</v>
      </c>
      <c r="E214" s="177" t="s">
        <v>116</v>
      </c>
      <c r="F214" s="177">
        <v>3</v>
      </c>
      <c r="G214" s="177" t="s">
        <v>19</v>
      </c>
      <c r="H214" s="177" t="s">
        <v>28</v>
      </c>
      <c r="I214" s="177" t="s">
        <v>205</v>
      </c>
      <c r="J214" s="177"/>
      <c r="K214" s="177" t="s">
        <v>237</v>
      </c>
      <c r="L214" s="177">
        <v>50</v>
      </c>
      <c r="M214" s="177" t="s">
        <v>238</v>
      </c>
      <c r="N214" s="178">
        <v>1120</v>
      </c>
      <c r="O214" s="178">
        <v>1120</v>
      </c>
      <c r="P214" s="178">
        <v>4000</v>
      </c>
      <c r="Q214" s="177">
        <v>2</v>
      </c>
      <c r="R214" s="177">
        <v>2</v>
      </c>
      <c r="S214" s="177" t="s">
        <v>354</v>
      </c>
      <c r="T214" s="179">
        <v>44855</v>
      </c>
      <c r="U214" s="179">
        <v>44890</v>
      </c>
      <c r="V214" s="177" t="s">
        <v>355</v>
      </c>
      <c r="W214" s="177"/>
      <c r="X214" s="177"/>
      <c r="Z214" s="149" t="str">
        <f t="shared" ca="1" si="3"/>
        <v/>
      </c>
      <c r="AA214" s="149" t="str">
        <f ca="1">IFERROR(IF(OR(OFFSET('S4'!#REF!,MATCH($A214,'S4'!$D$5:$D$3387,0)-1,6)="巻返し",OFFSET('S4'!#REF!,MATCH($A214,'S4'!$D$5:$D$3387,0)-1,6)="スリット"),SUMIF('S4'!$D$5:$D$3387,$A214,'S4'!$U$5:$U$3387),""),"")</f>
        <v/>
      </c>
      <c r="AB214" s="149" t="str">
        <f ca="1">IFERROR(IF(OR(OFFSET('S5'!#REF!,MATCH($A214,'S5'!$D$5:$D$2917,0)-1,6)="巻返し",OFFSET('S5'!#REF!,MATCH($A214,'S5'!$D$5:$D$2917,0)-1,6)="スリット"),SUMIF('S5'!$D$5:$D$2917,$A214,'S5'!$T$5:$T$2917),""),"")</f>
        <v/>
      </c>
    </row>
    <row r="215" spans="1:28" s="144" customFormat="1" ht="11.25" x14ac:dyDescent="0.15">
      <c r="A215" s="177">
        <v>3684798</v>
      </c>
      <c r="B215" s="177" t="s">
        <v>351</v>
      </c>
      <c r="C215" s="177" t="s">
        <v>352</v>
      </c>
      <c r="D215" s="177" t="s">
        <v>353</v>
      </c>
      <c r="E215" s="177" t="s">
        <v>116</v>
      </c>
      <c r="F215" s="177">
        <v>3</v>
      </c>
      <c r="G215" s="177" t="s">
        <v>19</v>
      </c>
      <c r="H215" s="177" t="s">
        <v>28</v>
      </c>
      <c r="I215" s="177" t="s">
        <v>205</v>
      </c>
      <c r="J215" s="177"/>
      <c r="K215" s="177" t="s">
        <v>224</v>
      </c>
      <c r="L215" s="177">
        <v>25</v>
      </c>
      <c r="M215" s="177" t="s">
        <v>225</v>
      </c>
      <c r="N215" s="178">
        <v>1120</v>
      </c>
      <c r="O215" s="178">
        <v>1120</v>
      </c>
      <c r="P215" s="178">
        <v>8000</v>
      </c>
      <c r="Q215" s="177">
        <v>2</v>
      </c>
      <c r="R215" s="177">
        <v>4</v>
      </c>
      <c r="S215" s="177" t="s">
        <v>354</v>
      </c>
      <c r="T215" s="179">
        <v>44855</v>
      </c>
      <c r="U215" s="179">
        <v>44890</v>
      </c>
      <c r="V215" s="177" t="s">
        <v>355</v>
      </c>
      <c r="W215" s="177"/>
      <c r="X215" s="177"/>
      <c r="Z215" s="149" t="str">
        <f t="shared" ca="1" si="3"/>
        <v/>
      </c>
      <c r="AA215" s="149" t="str">
        <f ca="1">IFERROR(IF(OR(OFFSET('S4'!#REF!,MATCH($A215,'S4'!$D$5:$D$3387,0)-1,6)="巻返し",OFFSET('S4'!#REF!,MATCH($A215,'S4'!$D$5:$D$3387,0)-1,6)="スリット"),SUMIF('S4'!$D$5:$D$3387,$A215,'S4'!$U$5:$U$3387),""),"")</f>
        <v/>
      </c>
      <c r="AB215" s="149" t="str">
        <f ca="1">IFERROR(IF(OR(OFFSET('S5'!#REF!,MATCH($A215,'S5'!$D$5:$D$2917,0)-1,6)="巻返し",OFFSET('S5'!#REF!,MATCH($A215,'S5'!$D$5:$D$2917,0)-1,6)="スリット"),SUMIF('S5'!$D$5:$D$2917,$A215,'S5'!$T$5:$T$2917),""),"")</f>
        <v/>
      </c>
    </row>
    <row r="216" spans="1:28" s="144" customFormat="1" ht="11.25" x14ac:dyDescent="0.15">
      <c r="A216" s="177">
        <v>3684799</v>
      </c>
      <c r="B216" s="177" t="s">
        <v>351</v>
      </c>
      <c r="C216" s="177" t="s">
        <v>352</v>
      </c>
      <c r="D216" s="177" t="s">
        <v>353</v>
      </c>
      <c r="E216" s="177" t="s">
        <v>116</v>
      </c>
      <c r="F216" s="177">
        <v>3</v>
      </c>
      <c r="G216" s="177" t="s">
        <v>19</v>
      </c>
      <c r="H216" s="177" t="s">
        <v>28</v>
      </c>
      <c r="I216" s="177" t="s">
        <v>205</v>
      </c>
      <c r="J216" s="177"/>
      <c r="K216" s="177" t="s">
        <v>233</v>
      </c>
      <c r="L216" s="177">
        <v>50</v>
      </c>
      <c r="M216" s="177" t="s">
        <v>234</v>
      </c>
      <c r="N216" s="178">
        <v>1120</v>
      </c>
      <c r="O216" s="178">
        <v>1120</v>
      </c>
      <c r="P216" s="178">
        <v>4000</v>
      </c>
      <c r="Q216" s="177">
        <v>2</v>
      </c>
      <c r="R216" s="177">
        <v>2</v>
      </c>
      <c r="S216" s="177" t="s">
        <v>354</v>
      </c>
      <c r="T216" s="179">
        <v>44855</v>
      </c>
      <c r="U216" s="179">
        <v>44890</v>
      </c>
      <c r="V216" s="177" t="s">
        <v>355</v>
      </c>
      <c r="W216" s="177"/>
      <c r="X216" s="177"/>
      <c r="Z216" s="149" t="str">
        <f t="shared" ca="1" si="3"/>
        <v/>
      </c>
      <c r="AA216" s="149" t="str">
        <f ca="1">IFERROR(IF(OR(OFFSET('S4'!#REF!,MATCH($A216,'S4'!$D$5:$D$3387,0)-1,6)="巻返し",OFFSET('S4'!#REF!,MATCH($A216,'S4'!$D$5:$D$3387,0)-1,6)="スリット"),SUMIF('S4'!$D$5:$D$3387,$A216,'S4'!$U$5:$U$3387),""),"")</f>
        <v/>
      </c>
      <c r="AB216" s="149" t="str">
        <f ca="1">IFERROR(IF(OR(OFFSET('S5'!#REF!,MATCH($A216,'S5'!$D$5:$D$2917,0)-1,6)="巻返し",OFFSET('S5'!#REF!,MATCH($A216,'S5'!$D$5:$D$2917,0)-1,6)="スリット"),SUMIF('S5'!$D$5:$D$2917,$A216,'S5'!$T$5:$T$2917),""),"")</f>
        <v/>
      </c>
    </row>
    <row r="217" spans="1:28" s="144" customFormat="1" ht="11.25" x14ac:dyDescent="0.15">
      <c r="A217" s="177">
        <v>3684800</v>
      </c>
      <c r="B217" s="177" t="s">
        <v>351</v>
      </c>
      <c r="C217" s="177" t="s">
        <v>352</v>
      </c>
      <c r="D217" s="177" t="s">
        <v>353</v>
      </c>
      <c r="E217" s="177" t="s">
        <v>116</v>
      </c>
      <c r="F217" s="177">
        <v>3</v>
      </c>
      <c r="G217" s="177" t="s">
        <v>19</v>
      </c>
      <c r="H217" s="177" t="s">
        <v>28</v>
      </c>
      <c r="I217" s="177" t="s">
        <v>205</v>
      </c>
      <c r="J217" s="177"/>
      <c r="K217" s="177" t="s">
        <v>224</v>
      </c>
      <c r="L217" s="177">
        <v>50</v>
      </c>
      <c r="M217" s="177" t="s">
        <v>225</v>
      </c>
      <c r="N217" s="178">
        <v>1120</v>
      </c>
      <c r="O217" s="178">
        <v>1120</v>
      </c>
      <c r="P217" s="178">
        <v>5000</v>
      </c>
      <c r="Q217" s="177">
        <v>2</v>
      </c>
      <c r="R217" s="177">
        <v>3</v>
      </c>
      <c r="S217" s="177" t="s">
        <v>354</v>
      </c>
      <c r="T217" s="179">
        <v>44855</v>
      </c>
      <c r="U217" s="179">
        <v>44890</v>
      </c>
      <c r="V217" s="177" t="s">
        <v>355</v>
      </c>
      <c r="W217" s="177"/>
      <c r="X217" s="177"/>
      <c r="Z217" s="149" t="str">
        <f t="shared" ca="1" si="3"/>
        <v/>
      </c>
      <c r="AA217" s="149" t="str">
        <f ca="1">IFERROR(IF(OR(OFFSET('S4'!#REF!,MATCH($A217,'S4'!$D$5:$D$3387,0)-1,6)="巻返し",OFFSET('S4'!#REF!,MATCH($A217,'S4'!$D$5:$D$3387,0)-1,6)="スリット"),SUMIF('S4'!$D$5:$D$3387,$A217,'S4'!$U$5:$U$3387),""),"")</f>
        <v/>
      </c>
      <c r="AB217" s="149" t="str">
        <f ca="1">IFERROR(IF(OR(OFFSET('S5'!#REF!,MATCH($A217,'S5'!$D$5:$D$2917,0)-1,6)="巻返し",OFFSET('S5'!#REF!,MATCH($A217,'S5'!$D$5:$D$2917,0)-1,6)="スリット"),SUMIF('S5'!$D$5:$D$2917,$A217,'S5'!$T$5:$T$2917),""),"")</f>
        <v/>
      </c>
    </row>
    <row r="218" spans="1:28" s="144" customFormat="1" ht="11.25" x14ac:dyDescent="0.15">
      <c r="A218" s="177">
        <v>3684801</v>
      </c>
      <c r="B218" s="177" t="s">
        <v>351</v>
      </c>
      <c r="C218" s="177" t="s">
        <v>352</v>
      </c>
      <c r="D218" s="177" t="s">
        <v>353</v>
      </c>
      <c r="E218" s="177" t="s">
        <v>116</v>
      </c>
      <c r="F218" s="177">
        <v>3</v>
      </c>
      <c r="G218" s="177" t="s">
        <v>19</v>
      </c>
      <c r="H218" s="177" t="s">
        <v>28</v>
      </c>
      <c r="I218" s="177" t="s">
        <v>205</v>
      </c>
      <c r="J218" s="177"/>
      <c r="K218" s="177" t="s">
        <v>233</v>
      </c>
      <c r="L218" s="177">
        <v>50</v>
      </c>
      <c r="M218" s="177" t="s">
        <v>234</v>
      </c>
      <c r="N218" s="178">
        <v>1120</v>
      </c>
      <c r="O218" s="178">
        <v>1120</v>
      </c>
      <c r="P218" s="178">
        <v>4000</v>
      </c>
      <c r="Q218" s="177">
        <v>2</v>
      </c>
      <c r="R218" s="177">
        <v>6</v>
      </c>
      <c r="S218" s="177" t="s">
        <v>354</v>
      </c>
      <c r="T218" s="179">
        <v>44855</v>
      </c>
      <c r="U218" s="179">
        <v>44890</v>
      </c>
      <c r="V218" s="177" t="s">
        <v>355</v>
      </c>
      <c r="W218" s="177"/>
      <c r="X218" s="177"/>
      <c r="Z218" s="149" t="str">
        <f t="shared" ca="1" si="3"/>
        <v/>
      </c>
      <c r="AA218" s="149" t="str">
        <f ca="1">IFERROR(IF(OR(OFFSET('S4'!#REF!,MATCH($A218,'S4'!$D$5:$D$3387,0)-1,6)="巻返し",OFFSET('S4'!#REF!,MATCH($A218,'S4'!$D$5:$D$3387,0)-1,6)="スリット"),SUMIF('S4'!$D$5:$D$3387,$A218,'S4'!$U$5:$U$3387),""),"")</f>
        <v/>
      </c>
      <c r="AB218" s="149" t="str">
        <f ca="1">IFERROR(IF(OR(OFFSET('S5'!#REF!,MATCH($A218,'S5'!$D$5:$D$2917,0)-1,6)="巻返し",OFFSET('S5'!#REF!,MATCH($A218,'S5'!$D$5:$D$2917,0)-1,6)="スリット"),SUMIF('S5'!$D$5:$D$2917,$A218,'S5'!$T$5:$T$2917),""),"")</f>
        <v/>
      </c>
    </row>
    <row r="219" spans="1:28" s="144" customFormat="1" ht="11.25" x14ac:dyDescent="0.15">
      <c r="A219" s="177">
        <v>3686127</v>
      </c>
      <c r="B219" s="177" t="s">
        <v>351</v>
      </c>
      <c r="C219" s="177" t="s">
        <v>352</v>
      </c>
      <c r="D219" s="177" t="s">
        <v>353</v>
      </c>
      <c r="E219" s="177" t="s">
        <v>116</v>
      </c>
      <c r="F219" s="177">
        <v>3</v>
      </c>
      <c r="G219" s="177" t="s">
        <v>19</v>
      </c>
      <c r="H219" s="177" t="s">
        <v>20</v>
      </c>
      <c r="I219" s="177" t="s">
        <v>205</v>
      </c>
      <c r="J219" s="177"/>
      <c r="K219" s="177" t="s">
        <v>216</v>
      </c>
      <c r="L219" s="177">
        <v>50</v>
      </c>
      <c r="M219" s="177" t="s">
        <v>217</v>
      </c>
      <c r="N219" s="178">
        <v>1120</v>
      </c>
      <c r="O219" s="178">
        <v>1120</v>
      </c>
      <c r="P219" s="178">
        <v>5000</v>
      </c>
      <c r="Q219" s="177">
        <v>2</v>
      </c>
      <c r="R219" s="177">
        <v>2</v>
      </c>
      <c r="S219" s="177" t="s">
        <v>354</v>
      </c>
      <c r="T219" s="179">
        <v>44862</v>
      </c>
      <c r="U219" s="179">
        <v>44897</v>
      </c>
      <c r="V219" s="177" t="s">
        <v>355</v>
      </c>
      <c r="W219" s="177"/>
      <c r="X219" s="177"/>
      <c r="Z219" s="149" t="str">
        <f t="shared" ca="1" si="3"/>
        <v/>
      </c>
      <c r="AA219" s="149" t="str">
        <f ca="1">IFERROR(IF(OR(OFFSET('S4'!#REF!,MATCH($A219,'S4'!$D$5:$D$3387,0)-1,6)="巻返し",OFFSET('S4'!#REF!,MATCH($A219,'S4'!$D$5:$D$3387,0)-1,6)="スリット"),SUMIF('S4'!$D$5:$D$3387,$A219,'S4'!$U$5:$U$3387),""),"")</f>
        <v/>
      </c>
      <c r="AB219" s="149" t="str">
        <f ca="1">IFERROR(IF(OR(OFFSET('S5'!#REF!,MATCH($A219,'S5'!$D$5:$D$2917,0)-1,6)="巻返し",OFFSET('S5'!#REF!,MATCH($A219,'S5'!$D$5:$D$2917,0)-1,6)="スリット"),SUMIF('S5'!$D$5:$D$2917,$A219,'S5'!$T$5:$T$2917),""),"")</f>
        <v/>
      </c>
    </row>
    <row r="220" spans="1:28" s="144" customFormat="1" ht="11.25" x14ac:dyDescent="0.15">
      <c r="A220" s="177">
        <v>3686128</v>
      </c>
      <c r="B220" s="177" t="s">
        <v>423</v>
      </c>
      <c r="C220" s="177" t="s">
        <v>356</v>
      </c>
      <c r="D220" s="177" t="s">
        <v>353</v>
      </c>
      <c r="E220" s="177" t="s">
        <v>648</v>
      </c>
      <c r="F220" s="177">
        <v>3</v>
      </c>
      <c r="G220" s="177" t="s">
        <v>265</v>
      </c>
      <c r="H220" s="177" t="s">
        <v>20</v>
      </c>
      <c r="I220" s="177" t="s">
        <v>205</v>
      </c>
      <c r="J220" s="177"/>
      <c r="K220" s="177" t="s">
        <v>522</v>
      </c>
      <c r="L220" s="177">
        <v>12</v>
      </c>
      <c r="M220" s="177" t="s">
        <v>523</v>
      </c>
      <c r="N220" s="178">
        <v>600</v>
      </c>
      <c r="O220" s="178">
        <v>600</v>
      </c>
      <c r="P220" s="178">
        <v>3000</v>
      </c>
      <c r="Q220" s="177">
        <v>1</v>
      </c>
      <c r="R220" s="177">
        <v>8</v>
      </c>
      <c r="S220" s="177" t="s">
        <v>354</v>
      </c>
      <c r="T220" s="179">
        <v>44862</v>
      </c>
      <c r="U220" s="179">
        <v>44895</v>
      </c>
      <c r="V220" s="177" t="s">
        <v>355</v>
      </c>
      <c r="W220" s="177"/>
      <c r="X220" s="177"/>
      <c r="Z220" s="149" t="str">
        <f t="shared" ca="1" si="3"/>
        <v/>
      </c>
      <c r="AA220" s="149" t="str">
        <f ca="1">IFERROR(IF(OR(OFFSET('S4'!#REF!,MATCH($A220,'S4'!$D$5:$D$3387,0)-1,6)="巻返し",OFFSET('S4'!#REF!,MATCH($A220,'S4'!$D$5:$D$3387,0)-1,6)="スリット"),SUMIF('S4'!$D$5:$D$3387,$A220,'S4'!$U$5:$U$3387),""),"")</f>
        <v/>
      </c>
      <c r="AB220" s="149" t="str">
        <f ca="1">IFERROR(IF(OR(OFFSET('S5'!#REF!,MATCH($A220,'S5'!$D$5:$D$2917,0)-1,6)="巻返し",OFFSET('S5'!#REF!,MATCH($A220,'S5'!$D$5:$D$2917,0)-1,6)="スリット"),SUMIF('S5'!$D$5:$D$2917,$A220,'S5'!$T$5:$T$2917),""),"")</f>
        <v/>
      </c>
    </row>
    <row r="221" spans="1:28" s="144" customFormat="1" ht="11.25" x14ac:dyDescent="0.15">
      <c r="A221" s="177">
        <v>3686129</v>
      </c>
      <c r="B221" s="177" t="s">
        <v>351</v>
      </c>
      <c r="C221" s="177" t="s">
        <v>356</v>
      </c>
      <c r="D221" s="177" t="s">
        <v>353</v>
      </c>
      <c r="E221" s="177" t="s">
        <v>229</v>
      </c>
      <c r="F221" s="177">
        <v>3</v>
      </c>
      <c r="G221" s="177" t="s">
        <v>19</v>
      </c>
      <c r="H221" s="177" t="s">
        <v>20</v>
      </c>
      <c r="I221" s="177" t="s">
        <v>205</v>
      </c>
      <c r="J221" s="177"/>
      <c r="K221" s="177" t="s">
        <v>230</v>
      </c>
      <c r="L221" s="177">
        <v>25</v>
      </c>
      <c r="M221" s="177" t="s">
        <v>231</v>
      </c>
      <c r="N221" s="178">
        <v>1000</v>
      </c>
      <c r="O221" s="178">
        <v>1000</v>
      </c>
      <c r="P221" s="178">
        <v>2000</v>
      </c>
      <c r="Q221" s="177">
        <v>2</v>
      </c>
      <c r="R221" s="177">
        <v>6</v>
      </c>
      <c r="S221" s="177" t="s">
        <v>354</v>
      </c>
      <c r="T221" s="179">
        <v>44862</v>
      </c>
      <c r="U221" s="179">
        <v>44895</v>
      </c>
      <c r="V221" s="177" t="s">
        <v>355</v>
      </c>
      <c r="W221" s="177"/>
      <c r="X221" s="177"/>
      <c r="Z221" s="149" t="str">
        <f t="shared" ca="1" si="3"/>
        <v/>
      </c>
      <c r="AA221" s="149" t="str">
        <f ca="1">IFERROR(IF(OR(OFFSET('S4'!#REF!,MATCH($A221,'S4'!$D$5:$D$3387,0)-1,6)="巻返し",OFFSET('S4'!#REF!,MATCH($A221,'S4'!$D$5:$D$3387,0)-1,6)="スリット"),SUMIF('S4'!$D$5:$D$3387,$A221,'S4'!$U$5:$U$3387),""),"")</f>
        <v/>
      </c>
      <c r="AB221" s="149" t="str">
        <f ca="1">IFERROR(IF(OR(OFFSET('S5'!#REF!,MATCH($A221,'S5'!$D$5:$D$2917,0)-1,6)="巻返し",OFFSET('S5'!#REF!,MATCH($A221,'S5'!$D$5:$D$2917,0)-1,6)="スリット"),SUMIF('S5'!$D$5:$D$2917,$A221,'S5'!$T$5:$T$2917),""),"")</f>
        <v/>
      </c>
    </row>
    <row r="222" spans="1:28" s="144" customFormat="1" ht="11.25" x14ac:dyDescent="0.15">
      <c r="A222" s="177">
        <v>3686233</v>
      </c>
      <c r="B222" s="177" t="s">
        <v>351</v>
      </c>
      <c r="C222" s="177" t="s">
        <v>352</v>
      </c>
      <c r="D222" s="177" t="s">
        <v>353</v>
      </c>
      <c r="E222" s="177" t="s">
        <v>116</v>
      </c>
      <c r="F222" s="177">
        <v>3</v>
      </c>
      <c r="G222" s="177" t="s">
        <v>19</v>
      </c>
      <c r="H222" s="177" t="s">
        <v>20</v>
      </c>
      <c r="I222" s="177" t="s">
        <v>165</v>
      </c>
      <c r="J222" s="177"/>
      <c r="K222" s="177" t="s">
        <v>176</v>
      </c>
      <c r="L222" s="177">
        <v>50</v>
      </c>
      <c r="M222" s="177" t="s">
        <v>177</v>
      </c>
      <c r="N222" s="178">
        <v>1005</v>
      </c>
      <c r="O222" s="178">
        <v>1000</v>
      </c>
      <c r="P222" s="178">
        <v>2000</v>
      </c>
      <c r="Q222" s="177">
        <v>2</v>
      </c>
      <c r="R222" s="177">
        <v>2</v>
      </c>
      <c r="S222" s="177" t="s">
        <v>354</v>
      </c>
      <c r="T222" s="179">
        <v>44865</v>
      </c>
      <c r="U222" s="179">
        <v>44889</v>
      </c>
      <c r="V222" s="177" t="s">
        <v>355</v>
      </c>
      <c r="W222" s="177"/>
      <c r="X222" s="177"/>
      <c r="Z222" s="149" t="str">
        <f t="shared" ca="1" si="3"/>
        <v/>
      </c>
      <c r="AA222" s="149" t="str">
        <f ca="1">IFERROR(IF(OR(OFFSET('S4'!#REF!,MATCH($A222,'S4'!$D$5:$D$3387,0)-1,6)="巻返し",OFFSET('S4'!#REF!,MATCH($A222,'S4'!$D$5:$D$3387,0)-1,6)="スリット"),SUMIF('S4'!$D$5:$D$3387,$A222,'S4'!$U$5:$U$3387),""),"")</f>
        <v/>
      </c>
      <c r="AB222" s="149" t="str">
        <f ca="1">IFERROR(IF(OR(OFFSET('S5'!#REF!,MATCH($A222,'S5'!$D$5:$D$2917,0)-1,6)="巻返し",OFFSET('S5'!#REF!,MATCH($A222,'S5'!$D$5:$D$2917,0)-1,6)="スリット"),SUMIF('S5'!$D$5:$D$2917,$A222,'S5'!$T$5:$T$2917),""),"")</f>
        <v/>
      </c>
    </row>
    <row r="223" spans="1:28" s="144" customFormat="1" ht="11.25" x14ac:dyDescent="0.15">
      <c r="A223" s="177">
        <v>3686426</v>
      </c>
      <c r="B223" s="177" t="s">
        <v>510</v>
      </c>
      <c r="C223" s="177" t="s">
        <v>358</v>
      </c>
      <c r="D223" s="177" t="s">
        <v>353</v>
      </c>
      <c r="E223" s="177" t="s">
        <v>61</v>
      </c>
      <c r="F223" s="177">
        <v>3</v>
      </c>
      <c r="G223" s="177" t="s">
        <v>269</v>
      </c>
      <c r="H223" s="177" t="s">
        <v>20</v>
      </c>
      <c r="I223" s="177" t="s">
        <v>205</v>
      </c>
      <c r="J223" s="177"/>
      <c r="K223" s="177" t="s">
        <v>242</v>
      </c>
      <c r="L223" s="177">
        <v>50</v>
      </c>
      <c r="M223" s="177" t="s">
        <v>243</v>
      </c>
      <c r="N223" s="178">
        <v>1250</v>
      </c>
      <c r="O223" s="178">
        <v>1250</v>
      </c>
      <c r="P223" s="178">
        <v>3000</v>
      </c>
      <c r="Q223" s="177">
        <v>2</v>
      </c>
      <c r="R223" s="177">
        <v>2</v>
      </c>
      <c r="S223" s="177" t="s">
        <v>354</v>
      </c>
      <c r="T223" s="179">
        <v>44872</v>
      </c>
      <c r="U223" s="179">
        <v>44895</v>
      </c>
      <c r="V223" s="177" t="s">
        <v>428</v>
      </c>
      <c r="W223" s="177"/>
      <c r="X223" s="177"/>
      <c r="Z223" s="149" t="str">
        <f t="shared" ca="1" si="3"/>
        <v/>
      </c>
      <c r="AA223" s="149" t="str">
        <f ca="1">IFERROR(IF(OR(OFFSET('S4'!#REF!,MATCH($A223,'S4'!$D$5:$D$3387,0)-1,6)="巻返し",OFFSET('S4'!#REF!,MATCH($A223,'S4'!$D$5:$D$3387,0)-1,6)="スリット"),SUMIF('S4'!$D$5:$D$3387,$A223,'S4'!$U$5:$U$3387),""),"")</f>
        <v/>
      </c>
      <c r="AB223" s="149" t="str">
        <f ca="1">IFERROR(IF(OR(OFFSET('S5'!#REF!,MATCH($A223,'S5'!$D$5:$D$2917,0)-1,6)="巻返し",OFFSET('S5'!#REF!,MATCH($A223,'S5'!$D$5:$D$2917,0)-1,6)="スリット"),SUMIF('S5'!$D$5:$D$2917,$A223,'S5'!$T$5:$T$2917),""),"")</f>
        <v/>
      </c>
    </row>
    <row r="224" spans="1:28" s="144" customFormat="1" ht="11.25" x14ac:dyDescent="0.15">
      <c r="A224" s="177">
        <v>3686428</v>
      </c>
      <c r="B224" s="177" t="s">
        <v>510</v>
      </c>
      <c r="C224" s="177" t="s">
        <v>364</v>
      </c>
      <c r="D224" s="177" t="s">
        <v>353</v>
      </c>
      <c r="E224" s="177" t="s">
        <v>171</v>
      </c>
      <c r="F224" s="177">
        <v>3</v>
      </c>
      <c r="G224" s="177" t="s">
        <v>269</v>
      </c>
      <c r="H224" s="177" t="s">
        <v>20</v>
      </c>
      <c r="I224" s="177" t="s">
        <v>165</v>
      </c>
      <c r="J224" s="177"/>
      <c r="K224" s="177" t="s">
        <v>662</v>
      </c>
      <c r="L224" s="177">
        <v>50</v>
      </c>
      <c r="M224" s="177" t="s">
        <v>663</v>
      </c>
      <c r="N224" s="178">
        <v>1190</v>
      </c>
      <c r="O224" s="178">
        <v>1190</v>
      </c>
      <c r="P224" s="178">
        <v>4000</v>
      </c>
      <c r="Q224" s="177">
        <v>2</v>
      </c>
      <c r="R224" s="177">
        <v>1</v>
      </c>
      <c r="S224" s="177" t="s">
        <v>354</v>
      </c>
      <c r="T224" s="179">
        <v>44872</v>
      </c>
      <c r="U224" s="179">
        <v>44895</v>
      </c>
      <c r="V224" s="177" t="s">
        <v>428</v>
      </c>
      <c r="W224" s="177"/>
      <c r="X224" s="177"/>
      <c r="Z224" s="149" t="str">
        <f t="shared" ca="1" si="3"/>
        <v/>
      </c>
      <c r="AA224" s="149" t="str">
        <f ca="1">IFERROR(IF(OR(OFFSET('S4'!#REF!,MATCH($A224,'S4'!$D$5:$D$3387,0)-1,6)="巻返し",OFFSET('S4'!#REF!,MATCH($A224,'S4'!$D$5:$D$3387,0)-1,6)="スリット"),SUMIF('S4'!$D$5:$D$3387,$A224,'S4'!$U$5:$U$3387),""),"")</f>
        <v/>
      </c>
      <c r="AB224" s="149" t="str">
        <f ca="1">IFERROR(IF(OR(OFFSET('S5'!#REF!,MATCH($A224,'S5'!$D$5:$D$2917,0)-1,6)="巻返し",OFFSET('S5'!#REF!,MATCH($A224,'S5'!$D$5:$D$2917,0)-1,6)="スリット"),SUMIF('S5'!$D$5:$D$2917,$A224,'S5'!$T$5:$T$2917),""),"")</f>
        <v/>
      </c>
    </row>
    <row r="225" spans="1:28" s="144" customFormat="1" ht="11.25" x14ac:dyDescent="0.15">
      <c r="A225" s="177">
        <v>3689024</v>
      </c>
      <c r="B225" s="177" t="s">
        <v>351</v>
      </c>
      <c r="C225" s="177" t="s">
        <v>364</v>
      </c>
      <c r="D225" s="177" t="s">
        <v>353</v>
      </c>
      <c r="E225" s="177" t="s">
        <v>171</v>
      </c>
      <c r="F225" s="177">
        <v>3</v>
      </c>
      <c r="G225" s="177" t="s">
        <v>19</v>
      </c>
      <c r="H225" s="177" t="s">
        <v>20</v>
      </c>
      <c r="I225" s="177" t="s">
        <v>165</v>
      </c>
      <c r="J225" s="177"/>
      <c r="K225" s="177" t="s">
        <v>180</v>
      </c>
      <c r="L225" s="177">
        <v>50</v>
      </c>
      <c r="M225" s="177" t="s">
        <v>181</v>
      </c>
      <c r="N225" s="178">
        <v>1200</v>
      </c>
      <c r="O225" s="178">
        <v>1190</v>
      </c>
      <c r="P225" s="178">
        <v>6000</v>
      </c>
      <c r="Q225" s="177">
        <v>2</v>
      </c>
      <c r="R225" s="177">
        <v>8</v>
      </c>
      <c r="S225" s="177" t="s">
        <v>354</v>
      </c>
      <c r="T225" s="179">
        <v>44886</v>
      </c>
      <c r="U225" s="179">
        <v>44918</v>
      </c>
      <c r="V225" s="177" t="s">
        <v>355</v>
      </c>
      <c r="W225" s="177"/>
      <c r="X225" s="177"/>
      <c r="Z225" s="149" t="str">
        <f t="shared" ca="1" si="3"/>
        <v/>
      </c>
      <c r="AA225" s="149" t="str">
        <f ca="1">IFERROR(IF(OR(OFFSET('S4'!#REF!,MATCH($A225,'S4'!$D$5:$D$3387,0)-1,6)="巻返し",OFFSET('S4'!#REF!,MATCH($A225,'S4'!$D$5:$D$3387,0)-1,6)="スリット"),SUMIF('S4'!$D$5:$D$3387,$A225,'S4'!$U$5:$U$3387),""),"")</f>
        <v/>
      </c>
      <c r="AB225" s="149" t="str">
        <f ca="1">IFERROR(IF(OR(OFFSET('S5'!#REF!,MATCH($A225,'S5'!$D$5:$D$2917,0)-1,6)="巻返し",OFFSET('S5'!#REF!,MATCH($A225,'S5'!$D$5:$D$2917,0)-1,6)="スリット"),SUMIF('S5'!$D$5:$D$2917,$A225,'S5'!$T$5:$T$2917),""),"")</f>
        <v/>
      </c>
    </row>
    <row r="226" spans="1:28" s="144" customFormat="1" ht="11.25" x14ac:dyDescent="0.15">
      <c r="A226" s="177">
        <v>3689026</v>
      </c>
      <c r="B226" s="177" t="s">
        <v>351</v>
      </c>
      <c r="C226" s="177" t="s">
        <v>364</v>
      </c>
      <c r="D226" s="177" t="s">
        <v>353</v>
      </c>
      <c r="E226" s="177" t="s">
        <v>148</v>
      </c>
      <c r="F226" s="177">
        <v>3</v>
      </c>
      <c r="G226" s="177" t="s">
        <v>19</v>
      </c>
      <c r="H226" s="177" t="s">
        <v>20</v>
      </c>
      <c r="I226" s="177" t="s">
        <v>165</v>
      </c>
      <c r="J226" s="177"/>
      <c r="K226" s="177" t="s">
        <v>180</v>
      </c>
      <c r="L226" s="177">
        <v>25</v>
      </c>
      <c r="M226" s="177" t="s">
        <v>181</v>
      </c>
      <c r="N226" s="178">
        <v>1120</v>
      </c>
      <c r="O226" s="178">
        <v>1120</v>
      </c>
      <c r="P226" s="178">
        <v>4000</v>
      </c>
      <c r="Q226" s="177">
        <v>2</v>
      </c>
      <c r="R226" s="177">
        <v>4</v>
      </c>
      <c r="S226" s="177" t="s">
        <v>354</v>
      </c>
      <c r="T226" s="179">
        <v>44886</v>
      </c>
      <c r="U226" s="179">
        <v>44918</v>
      </c>
      <c r="V226" s="177" t="s">
        <v>355</v>
      </c>
      <c r="W226" s="177"/>
      <c r="X226" s="177"/>
      <c r="Z226" s="149" t="str">
        <f t="shared" ca="1" si="3"/>
        <v/>
      </c>
      <c r="AA226" s="149" t="str">
        <f ca="1">IFERROR(IF(OR(OFFSET('S4'!#REF!,MATCH($A226,'S4'!$D$5:$D$3387,0)-1,6)="巻返し",OFFSET('S4'!#REF!,MATCH($A226,'S4'!$D$5:$D$3387,0)-1,6)="スリット"),SUMIF('S4'!$D$5:$D$3387,$A226,'S4'!$U$5:$U$3387),""),"")</f>
        <v/>
      </c>
      <c r="AB226" s="149" t="str">
        <f ca="1">IFERROR(IF(OR(OFFSET('S5'!#REF!,MATCH($A226,'S5'!$D$5:$D$2917,0)-1,6)="巻返し",OFFSET('S5'!#REF!,MATCH($A226,'S5'!$D$5:$D$2917,0)-1,6)="スリット"),SUMIF('S5'!$D$5:$D$2917,$A226,'S5'!$T$5:$T$2917),""),"")</f>
        <v/>
      </c>
    </row>
    <row r="227" spans="1:28" s="144" customFormat="1" ht="11.25" x14ac:dyDescent="0.15">
      <c r="A227" s="177">
        <v>3689028</v>
      </c>
      <c r="B227" s="177" t="s">
        <v>351</v>
      </c>
      <c r="C227" s="177" t="s">
        <v>364</v>
      </c>
      <c r="D227" s="177" t="s">
        <v>353</v>
      </c>
      <c r="E227" s="177" t="s">
        <v>148</v>
      </c>
      <c r="F227" s="177">
        <v>3</v>
      </c>
      <c r="G227" s="177" t="s">
        <v>19</v>
      </c>
      <c r="H227" s="177" t="s">
        <v>20</v>
      </c>
      <c r="I227" s="177" t="s">
        <v>165</v>
      </c>
      <c r="J227" s="177"/>
      <c r="K227" s="177" t="s">
        <v>180</v>
      </c>
      <c r="L227" s="177">
        <v>50</v>
      </c>
      <c r="M227" s="177" t="s">
        <v>181</v>
      </c>
      <c r="N227" s="178">
        <v>1120</v>
      </c>
      <c r="O227" s="178">
        <v>1120</v>
      </c>
      <c r="P227" s="178">
        <v>4000</v>
      </c>
      <c r="Q227" s="177">
        <v>2</v>
      </c>
      <c r="R227" s="177">
        <v>6</v>
      </c>
      <c r="S227" s="177" t="s">
        <v>354</v>
      </c>
      <c r="T227" s="179">
        <v>44886</v>
      </c>
      <c r="U227" s="179">
        <v>44918</v>
      </c>
      <c r="V227" s="177" t="s">
        <v>355</v>
      </c>
      <c r="W227" s="177"/>
      <c r="X227" s="177"/>
      <c r="Z227" s="149" t="str">
        <f t="shared" ca="1" si="3"/>
        <v/>
      </c>
      <c r="AA227" s="149" t="str">
        <f ca="1">IFERROR(IF(OR(OFFSET('S4'!#REF!,MATCH($A227,'S4'!$D$5:$D$3387,0)-1,6)="巻返し",OFFSET('S4'!#REF!,MATCH($A227,'S4'!$D$5:$D$3387,0)-1,6)="スリット"),SUMIF('S4'!$D$5:$D$3387,$A227,'S4'!$U$5:$U$3387),""),"")</f>
        <v/>
      </c>
      <c r="AB227" s="149" t="str">
        <f ca="1">IFERROR(IF(OR(OFFSET('S5'!#REF!,MATCH($A227,'S5'!$D$5:$D$2917,0)-1,6)="巻返し",OFFSET('S5'!#REF!,MATCH($A227,'S5'!$D$5:$D$2917,0)-1,6)="スリット"),SUMIF('S5'!$D$5:$D$2917,$A227,'S5'!$T$5:$T$2917),""),"")</f>
        <v/>
      </c>
    </row>
    <row r="228" spans="1:28" s="144" customFormat="1" ht="11.25" x14ac:dyDescent="0.15">
      <c r="A228" s="177">
        <v>3689030</v>
      </c>
      <c r="B228" s="177" t="s">
        <v>351</v>
      </c>
      <c r="C228" s="177" t="s">
        <v>352</v>
      </c>
      <c r="D228" s="177" t="s">
        <v>353</v>
      </c>
      <c r="E228" s="177" t="s">
        <v>116</v>
      </c>
      <c r="F228" s="177">
        <v>3</v>
      </c>
      <c r="G228" s="177" t="s">
        <v>19</v>
      </c>
      <c r="H228" s="177" t="s">
        <v>20</v>
      </c>
      <c r="I228" s="177" t="s">
        <v>205</v>
      </c>
      <c r="J228" s="177"/>
      <c r="K228" s="177" t="s">
        <v>212</v>
      </c>
      <c r="L228" s="177">
        <v>25</v>
      </c>
      <c r="M228" s="177" t="s">
        <v>213</v>
      </c>
      <c r="N228" s="178">
        <v>1120</v>
      </c>
      <c r="O228" s="178">
        <v>1120</v>
      </c>
      <c r="P228" s="178">
        <v>4000</v>
      </c>
      <c r="Q228" s="177">
        <v>2</v>
      </c>
      <c r="R228" s="177">
        <v>3</v>
      </c>
      <c r="S228" s="177" t="s">
        <v>354</v>
      </c>
      <c r="T228" s="179">
        <v>44886</v>
      </c>
      <c r="U228" s="179">
        <v>44918</v>
      </c>
      <c r="V228" s="177" t="s">
        <v>355</v>
      </c>
      <c r="W228" s="177"/>
      <c r="X228" s="177"/>
      <c r="Z228" s="149" t="str">
        <f t="shared" ca="1" si="3"/>
        <v/>
      </c>
      <c r="AA228" s="149" t="str">
        <f ca="1">IFERROR(IF(OR(OFFSET('S4'!#REF!,MATCH($A228,'S4'!$D$5:$D$3387,0)-1,6)="巻返し",OFFSET('S4'!#REF!,MATCH($A228,'S4'!$D$5:$D$3387,0)-1,6)="スリット"),SUMIF('S4'!$D$5:$D$3387,$A228,'S4'!$U$5:$U$3387),""),"")</f>
        <v/>
      </c>
      <c r="AB228" s="149" t="str">
        <f ca="1">IFERROR(IF(OR(OFFSET('S5'!#REF!,MATCH($A228,'S5'!$D$5:$D$2917,0)-1,6)="巻返し",OFFSET('S5'!#REF!,MATCH($A228,'S5'!$D$5:$D$2917,0)-1,6)="スリット"),SUMIF('S5'!$D$5:$D$2917,$A228,'S5'!$T$5:$T$2917),""),"")</f>
        <v/>
      </c>
    </row>
    <row r="229" spans="1:28" s="144" customFormat="1" ht="11.25" x14ac:dyDescent="0.15">
      <c r="A229" s="177">
        <v>3689033</v>
      </c>
      <c r="B229" s="177" t="s">
        <v>351</v>
      </c>
      <c r="C229" s="177" t="s">
        <v>352</v>
      </c>
      <c r="D229" s="177" t="s">
        <v>353</v>
      </c>
      <c r="E229" s="177" t="s">
        <v>116</v>
      </c>
      <c r="F229" s="177">
        <v>3</v>
      </c>
      <c r="G229" s="177" t="s">
        <v>19</v>
      </c>
      <c r="H229" s="177" t="s">
        <v>20</v>
      </c>
      <c r="I229" s="177" t="s">
        <v>205</v>
      </c>
      <c r="J229" s="177"/>
      <c r="K229" s="177" t="s">
        <v>212</v>
      </c>
      <c r="L229" s="177">
        <v>50</v>
      </c>
      <c r="M229" s="177" t="s">
        <v>213</v>
      </c>
      <c r="N229" s="178">
        <v>1000</v>
      </c>
      <c r="O229" s="178">
        <v>1000</v>
      </c>
      <c r="P229" s="178">
        <v>4000</v>
      </c>
      <c r="Q229" s="177">
        <v>2</v>
      </c>
      <c r="R229" s="177">
        <v>2</v>
      </c>
      <c r="S229" s="177" t="s">
        <v>354</v>
      </c>
      <c r="T229" s="179">
        <v>44886</v>
      </c>
      <c r="U229" s="179">
        <v>44918</v>
      </c>
      <c r="V229" s="177" t="s">
        <v>355</v>
      </c>
      <c r="W229" s="177"/>
      <c r="X229" s="177"/>
      <c r="Z229" s="149" t="str">
        <f t="shared" ca="1" si="3"/>
        <v/>
      </c>
      <c r="AA229" s="149" t="str">
        <f ca="1">IFERROR(IF(OR(OFFSET('S4'!#REF!,MATCH($A229,'S4'!$D$5:$D$3387,0)-1,6)="巻返し",OFFSET('S4'!#REF!,MATCH($A229,'S4'!$D$5:$D$3387,0)-1,6)="スリット"),SUMIF('S4'!$D$5:$D$3387,$A229,'S4'!$U$5:$U$3387),""),"")</f>
        <v/>
      </c>
      <c r="AB229" s="149" t="str">
        <f ca="1">IFERROR(IF(OR(OFFSET('S5'!#REF!,MATCH($A229,'S5'!$D$5:$D$2917,0)-1,6)="巻返し",OFFSET('S5'!#REF!,MATCH($A229,'S5'!$D$5:$D$2917,0)-1,6)="スリット"),SUMIF('S5'!$D$5:$D$2917,$A229,'S5'!$T$5:$T$2917),""),"")</f>
        <v/>
      </c>
    </row>
    <row r="230" spans="1:28" s="144" customFormat="1" ht="11.25" x14ac:dyDescent="0.15">
      <c r="A230" s="177">
        <v>3689035</v>
      </c>
      <c r="B230" s="177" t="s">
        <v>351</v>
      </c>
      <c r="C230" s="177" t="s">
        <v>352</v>
      </c>
      <c r="D230" s="177" t="s">
        <v>353</v>
      </c>
      <c r="E230" s="177" t="s">
        <v>116</v>
      </c>
      <c r="F230" s="177">
        <v>3</v>
      </c>
      <c r="G230" s="177" t="s">
        <v>19</v>
      </c>
      <c r="H230" s="177" t="s">
        <v>20</v>
      </c>
      <c r="I230" s="177" t="s">
        <v>205</v>
      </c>
      <c r="J230" s="177"/>
      <c r="K230" s="177" t="s">
        <v>212</v>
      </c>
      <c r="L230" s="177">
        <v>50</v>
      </c>
      <c r="M230" s="177" t="s">
        <v>213</v>
      </c>
      <c r="N230" s="178">
        <v>1120</v>
      </c>
      <c r="O230" s="178">
        <v>1120</v>
      </c>
      <c r="P230" s="178">
        <v>4000</v>
      </c>
      <c r="Q230" s="177">
        <v>2</v>
      </c>
      <c r="R230" s="177">
        <v>9</v>
      </c>
      <c r="S230" s="177" t="s">
        <v>354</v>
      </c>
      <c r="T230" s="179">
        <v>44886</v>
      </c>
      <c r="U230" s="179">
        <v>44918</v>
      </c>
      <c r="V230" s="177" t="s">
        <v>355</v>
      </c>
      <c r="W230" s="177"/>
      <c r="X230" s="177"/>
      <c r="Z230" s="149" t="str">
        <f t="shared" ca="1" si="3"/>
        <v/>
      </c>
      <c r="AA230" s="149" t="str">
        <f ca="1">IFERROR(IF(OR(OFFSET('S4'!#REF!,MATCH($A230,'S4'!$D$5:$D$3387,0)-1,6)="巻返し",OFFSET('S4'!#REF!,MATCH($A230,'S4'!$D$5:$D$3387,0)-1,6)="スリット"),SUMIF('S4'!$D$5:$D$3387,$A230,'S4'!$U$5:$U$3387),""),"")</f>
        <v/>
      </c>
      <c r="AB230" s="149" t="str">
        <f ca="1">IFERROR(IF(OR(OFFSET('S5'!#REF!,MATCH($A230,'S5'!$D$5:$D$2917,0)-1,6)="巻返し",OFFSET('S5'!#REF!,MATCH($A230,'S5'!$D$5:$D$2917,0)-1,6)="スリット"),SUMIF('S5'!$D$5:$D$2917,$A230,'S5'!$T$5:$T$2917),""),"")</f>
        <v/>
      </c>
    </row>
    <row r="231" spans="1:28" s="144" customFormat="1" ht="11.25" x14ac:dyDescent="0.15">
      <c r="A231" s="177">
        <v>3689037</v>
      </c>
      <c r="B231" s="177" t="s">
        <v>351</v>
      </c>
      <c r="C231" s="177" t="s">
        <v>352</v>
      </c>
      <c r="D231" s="177" t="s">
        <v>353</v>
      </c>
      <c r="E231" s="177" t="s">
        <v>116</v>
      </c>
      <c r="F231" s="177">
        <v>3</v>
      </c>
      <c r="G231" s="177" t="s">
        <v>19</v>
      </c>
      <c r="H231" s="177" t="s">
        <v>20</v>
      </c>
      <c r="I231" s="177" t="s">
        <v>205</v>
      </c>
      <c r="J231" s="177"/>
      <c r="K231" s="177" t="s">
        <v>212</v>
      </c>
      <c r="L231" s="177">
        <v>50</v>
      </c>
      <c r="M231" s="177" t="s">
        <v>213</v>
      </c>
      <c r="N231" s="178">
        <v>1120</v>
      </c>
      <c r="O231" s="178">
        <v>1120</v>
      </c>
      <c r="P231" s="178">
        <v>4000</v>
      </c>
      <c r="Q231" s="177">
        <v>2</v>
      </c>
      <c r="R231" s="177">
        <v>9</v>
      </c>
      <c r="S231" s="177" t="s">
        <v>354</v>
      </c>
      <c r="T231" s="179">
        <v>44886</v>
      </c>
      <c r="U231" s="179">
        <v>44918</v>
      </c>
      <c r="V231" s="177" t="s">
        <v>355</v>
      </c>
      <c r="W231" s="177"/>
      <c r="X231" s="177"/>
      <c r="Z231" s="149" t="str">
        <f t="shared" ca="1" si="3"/>
        <v/>
      </c>
      <c r="AA231" s="149" t="str">
        <f ca="1">IFERROR(IF(OR(OFFSET('S4'!#REF!,MATCH($A231,'S4'!$D$5:$D$3387,0)-1,6)="巻返し",OFFSET('S4'!#REF!,MATCH($A231,'S4'!$D$5:$D$3387,0)-1,6)="スリット"),SUMIF('S4'!$D$5:$D$3387,$A231,'S4'!$U$5:$U$3387),""),"")</f>
        <v/>
      </c>
      <c r="AB231" s="149" t="str">
        <f ca="1">IFERROR(IF(OR(OFFSET('S5'!#REF!,MATCH($A231,'S5'!$D$5:$D$2917,0)-1,6)="巻返し",OFFSET('S5'!#REF!,MATCH($A231,'S5'!$D$5:$D$2917,0)-1,6)="スリット"),SUMIF('S5'!$D$5:$D$2917,$A231,'S5'!$T$5:$T$2917),""),"")</f>
        <v/>
      </c>
    </row>
    <row r="232" spans="1:28" s="144" customFormat="1" ht="11.25" x14ac:dyDescent="0.15">
      <c r="A232" s="177">
        <v>3689039</v>
      </c>
      <c r="B232" s="177" t="s">
        <v>351</v>
      </c>
      <c r="C232" s="177" t="s">
        <v>352</v>
      </c>
      <c r="D232" s="177" t="s">
        <v>353</v>
      </c>
      <c r="E232" s="177" t="s">
        <v>116</v>
      </c>
      <c r="F232" s="177">
        <v>3</v>
      </c>
      <c r="G232" s="177" t="s">
        <v>19</v>
      </c>
      <c r="H232" s="177" t="s">
        <v>20</v>
      </c>
      <c r="I232" s="177" t="s">
        <v>205</v>
      </c>
      <c r="J232" s="177"/>
      <c r="K232" s="177" t="s">
        <v>212</v>
      </c>
      <c r="L232" s="177">
        <v>50</v>
      </c>
      <c r="M232" s="177" t="s">
        <v>213</v>
      </c>
      <c r="N232" s="178">
        <v>1120</v>
      </c>
      <c r="O232" s="178">
        <v>1120</v>
      </c>
      <c r="P232" s="178">
        <v>4000</v>
      </c>
      <c r="Q232" s="177">
        <v>2</v>
      </c>
      <c r="R232" s="177">
        <v>9</v>
      </c>
      <c r="S232" s="177" t="s">
        <v>354</v>
      </c>
      <c r="T232" s="179">
        <v>44886</v>
      </c>
      <c r="U232" s="179">
        <v>44939</v>
      </c>
      <c r="V232" s="177" t="s">
        <v>355</v>
      </c>
      <c r="W232" s="177"/>
      <c r="X232" s="177"/>
      <c r="Z232" s="149" t="str">
        <f t="shared" ca="1" si="3"/>
        <v/>
      </c>
      <c r="AA232" s="149" t="str">
        <f ca="1">IFERROR(IF(OR(OFFSET('S4'!#REF!,MATCH($A232,'S4'!$D$5:$D$3387,0)-1,6)="巻返し",OFFSET('S4'!#REF!,MATCH($A232,'S4'!$D$5:$D$3387,0)-1,6)="スリット"),SUMIF('S4'!$D$5:$D$3387,$A232,'S4'!$U$5:$U$3387),""),"")</f>
        <v/>
      </c>
      <c r="AB232" s="149" t="str">
        <f ca="1">IFERROR(IF(OR(OFFSET('S5'!#REF!,MATCH($A232,'S5'!$D$5:$D$2917,0)-1,6)="巻返し",OFFSET('S5'!#REF!,MATCH($A232,'S5'!$D$5:$D$2917,0)-1,6)="スリット"),SUMIF('S5'!$D$5:$D$2917,$A232,'S5'!$T$5:$T$2917),""),"")</f>
        <v/>
      </c>
    </row>
    <row r="233" spans="1:28" s="144" customFormat="1" ht="11.25" x14ac:dyDescent="0.15">
      <c r="A233" s="177">
        <v>3689041</v>
      </c>
      <c r="B233" s="177" t="s">
        <v>351</v>
      </c>
      <c r="C233" s="177" t="s">
        <v>352</v>
      </c>
      <c r="D233" s="177" t="s">
        <v>353</v>
      </c>
      <c r="E233" s="177" t="s">
        <v>116</v>
      </c>
      <c r="F233" s="177">
        <v>3</v>
      </c>
      <c r="G233" s="177" t="s">
        <v>19</v>
      </c>
      <c r="H233" s="177" t="s">
        <v>20</v>
      </c>
      <c r="I233" s="177" t="s">
        <v>205</v>
      </c>
      <c r="J233" s="177"/>
      <c r="K233" s="177" t="s">
        <v>212</v>
      </c>
      <c r="L233" s="177">
        <v>50</v>
      </c>
      <c r="M233" s="177" t="s">
        <v>213</v>
      </c>
      <c r="N233" s="178">
        <v>1120</v>
      </c>
      <c r="O233" s="178">
        <v>1120</v>
      </c>
      <c r="P233" s="178">
        <v>4000</v>
      </c>
      <c r="Q233" s="177">
        <v>2</v>
      </c>
      <c r="R233" s="177">
        <v>6</v>
      </c>
      <c r="S233" s="177" t="s">
        <v>354</v>
      </c>
      <c r="T233" s="179">
        <v>44886</v>
      </c>
      <c r="U233" s="179">
        <v>44946</v>
      </c>
      <c r="V233" s="177" t="s">
        <v>355</v>
      </c>
      <c r="W233" s="177"/>
      <c r="X233" s="177"/>
      <c r="Z233" s="149" t="str">
        <f t="shared" ca="1" si="3"/>
        <v/>
      </c>
      <c r="AA233" s="149" t="str">
        <f ca="1">IFERROR(IF(OR(OFFSET('S4'!#REF!,MATCH($A233,'S4'!$D$5:$D$3387,0)-1,6)="巻返し",OFFSET('S4'!#REF!,MATCH($A233,'S4'!$D$5:$D$3387,0)-1,6)="スリット"),SUMIF('S4'!$D$5:$D$3387,$A233,'S4'!$U$5:$U$3387),""),"")</f>
        <v/>
      </c>
      <c r="AB233" s="149" t="str">
        <f ca="1">IFERROR(IF(OR(OFFSET('S5'!#REF!,MATCH($A233,'S5'!$D$5:$D$2917,0)-1,6)="巻返し",OFFSET('S5'!#REF!,MATCH($A233,'S5'!$D$5:$D$2917,0)-1,6)="スリット"),SUMIF('S5'!$D$5:$D$2917,$A233,'S5'!$T$5:$T$2917),""),"")</f>
        <v/>
      </c>
    </row>
    <row r="234" spans="1:28" s="144" customFormat="1" ht="11.25" x14ac:dyDescent="0.15">
      <c r="A234" s="177">
        <v>3689045</v>
      </c>
      <c r="B234" s="177" t="s">
        <v>351</v>
      </c>
      <c r="C234" s="177" t="s">
        <v>352</v>
      </c>
      <c r="D234" s="177" t="s">
        <v>353</v>
      </c>
      <c r="E234" s="177" t="s">
        <v>116</v>
      </c>
      <c r="F234" s="177">
        <v>3</v>
      </c>
      <c r="G234" s="177" t="s">
        <v>19</v>
      </c>
      <c r="H234" s="177" t="s">
        <v>20</v>
      </c>
      <c r="I234" s="177" t="s">
        <v>205</v>
      </c>
      <c r="J234" s="177"/>
      <c r="K234" s="177" t="s">
        <v>216</v>
      </c>
      <c r="L234" s="177">
        <v>25</v>
      </c>
      <c r="M234" s="177" t="s">
        <v>217</v>
      </c>
      <c r="N234" s="178">
        <v>1005</v>
      </c>
      <c r="O234" s="178">
        <v>1000</v>
      </c>
      <c r="P234" s="178">
        <v>4000</v>
      </c>
      <c r="Q234" s="177">
        <v>2</v>
      </c>
      <c r="R234" s="177">
        <v>15</v>
      </c>
      <c r="S234" s="177" t="s">
        <v>354</v>
      </c>
      <c r="T234" s="179">
        <v>44886</v>
      </c>
      <c r="U234" s="179">
        <v>44918</v>
      </c>
      <c r="V234" s="177" t="s">
        <v>355</v>
      </c>
      <c r="W234" s="177"/>
      <c r="X234" s="177"/>
      <c r="Z234" s="149" t="str">
        <f t="shared" ca="1" si="3"/>
        <v/>
      </c>
      <c r="AA234" s="149" t="str">
        <f ca="1">IFERROR(IF(OR(OFFSET('S4'!#REF!,MATCH($A234,'S4'!$D$5:$D$3387,0)-1,6)="巻返し",OFFSET('S4'!#REF!,MATCH($A234,'S4'!$D$5:$D$3387,0)-1,6)="スリット"),SUMIF('S4'!$D$5:$D$3387,$A234,'S4'!$U$5:$U$3387),""),"")</f>
        <v/>
      </c>
      <c r="AB234" s="149" t="str">
        <f ca="1">IFERROR(IF(OR(OFFSET('S5'!#REF!,MATCH($A234,'S5'!$D$5:$D$2917,0)-1,6)="巻返し",OFFSET('S5'!#REF!,MATCH($A234,'S5'!$D$5:$D$2917,0)-1,6)="スリット"),SUMIF('S5'!$D$5:$D$2917,$A234,'S5'!$T$5:$T$2917),""),"")</f>
        <v/>
      </c>
    </row>
    <row r="235" spans="1:28" s="144" customFormat="1" ht="11.25" x14ac:dyDescent="0.15">
      <c r="A235" s="177">
        <v>3689047</v>
      </c>
      <c r="B235" s="177" t="s">
        <v>351</v>
      </c>
      <c r="C235" s="177" t="s">
        <v>352</v>
      </c>
      <c r="D235" s="177" t="s">
        <v>353</v>
      </c>
      <c r="E235" s="177" t="s">
        <v>116</v>
      </c>
      <c r="F235" s="177">
        <v>3</v>
      </c>
      <c r="G235" s="177" t="s">
        <v>19</v>
      </c>
      <c r="H235" s="177" t="s">
        <v>20</v>
      </c>
      <c r="I235" s="177" t="s">
        <v>205</v>
      </c>
      <c r="J235" s="177"/>
      <c r="K235" s="177" t="s">
        <v>216</v>
      </c>
      <c r="L235" s="177">
        <v>50</v>
      </c>
      <c r="M235" s="177" t="s">
        <v>217</v>
      </c>
      <c r="N235" s="178">
        <v>1120</v>
      </c>
      <c r="O235" s="178">
        <v>1120</v>
      </c>
      <c r="P235" s="178">
        <v>5000</v>
      </c>
      <c r="Q235" s="177">
        <v>2</v>
      </c>
      <c r="R235" s="177">
        <v>14</v>
      </c>
      <c r="S235" s="177" t="s">
        <v>354</v>
      </c>
      <c r="T235" s="179">
        <v>44886</v>
      </c>
      <c r="U235" s="179">
        <v>44921</v>
      </c>
      <c r="V235" s="177" t="s">
        <v>355</v>
      </c>
      <c r="W235" s="177"/>
      <c r="X235" s="177"/>
      <c r="Z235" s="149" t="str">
        <f t="shared" ca="1" si="3"/>
        <v/>
      </c>
      <c r="AA235" s="149" t="str">
        <f ca="1">IFERROR(IF(OR(OFFSET('S4'!#REF!,MATCH($A235,'S4'!$D$5:$D$3387,0)-1,6)="巻返し",OFFSET('S4'!#REF!,MATCH($A235,'S4'!$D$5:$D$3387,0)-1,6)="スリット"),SUMIF('S4'!$D$5:$D$3387,$A235,'S4'!$U$5:$U$3387),""),"")</f>
        <v/>
      </c>
      <c r="AB235" s="149" t="str">
        <f ca="1">IFERROR(IF(OR(OFFSET('S5'!#REF!,MATCH($A235,'S5'!$D$5:$D$2917,0)-1,6)="巻返し",OFFSET('S5'!#REF!,MATCH($A235,'S5'!$D$5:$D$2917,0)-1,6)="スリット"),SUMIF('S5'!$D$5:$D$2917,$A235,'S5'!$T$5:$T$2917),""),"")</f>
        <v/>
      </c>
    </row>
    <row r="236" spans="1:28" s="144" customFormat="1" ht="11.25" x14ac:dyDescent="0.15">
      <c r="A236" s="177">
        <v>3689049</v>
      </c>
      <c r="B236" s="177" t="s">
        <v>351</v>
      </c>
      <c r="C236" s="177" t="s">
        <v>352</v>
      </c>
      <c r="D236" s="177" t="s">
        <v>353</v>
      </c>
      <c r="E236" s="177" t="s">
        <v>116</v>
      </c>
      <c r="F236" s="177">
        <v>3</v>
      </c>
      <c r="G236" s="177" t="s">
        <v>19</v>
      </c>
      <c r="H236" s="177" t="s">
        <v>20</v>
      </c>
      <c r="I236" s="177" t="s">
        <v>205</v>
      </c>
      <c r="J236" s="177"/>
      <c r="K236" s="177" t="s">
        <v>216</v>
      </c>
      <c r="L236" s="177">
        <v>50</v>
      </c>
      <c r="M236" s="177" t="s">
        <v>217</v>
      </c>
      <c r="N236" s="178">
        <v>1120</v>
      </c>
      <c r="O236" s="178">
        <v>1120</v>
      </c>
      <c r="P236" s="178">
        <v>5000</v>
      </c>
      <c r="Q236" s="177">
        <v>2</v>
      </c>
      <c r="R236" s="177">
        <v>14</v>
      </c>
      <c r="S236" s="177" t="s">
        <v>354</v>
      </c>
      <c r="T236" s="179">
        <v>44886</v>
      </c>
      <c r="U236" s="179">
        <v>44946</v>
      </c>
      <c r="V236" s="177" t="s">
        <v>355</v>
      </c>
      <c r="W236" s="177"/>
      <c r="X236" s="177"/>
      <c r="Z236" s="149" t="str">
        <f t="shared" ca="1" si="3"/>
        <v/>
      </c>
      <c r="AA236" s="149" t="str">
        <f ca="1">IFERROR(IF(OR(OFFSET('S4'!#REF!,MATCH($A236,'S4'!$D$5:$D$3387,0)-1,6)="巻返し",OFFSET('S4'!#REF!,MATCH($A236,'S4'!$D$5:$D$3387,0)-1,6)="スリット"),SUMIF('S4'!$D$5:$D$3387,$A236,'S4'!$U$5:$U$3387),""),"")</f>
        <v/>
      </c>
      <c r="AB236" s="149" t="str">
        <f ca="1">IFERROR(IF(OR(OFFSET('S5'!#REF!,MATCH($A236,'S5'!$D$5:$D$2917,0)-1,6)="巻返し",OFFSET('S5'!#REF!,MATCH($A236,'S5'!$D$5:$D$2917,0)-1,6)="スリット"),SUMIF('S5'!$D$5:$D$2917,$A236,'S5'!$T$5:$T$2917),""),"")</f>
        <v/>
      </c>
    </row>
    <row r="237" spans="1:28" s="144" customFormat="1" ht="11.25" x14ac:dyDescent="0.15">
      <c r="A237" s="177">
        <v>3689051</v>
      </c>
      <c r="B237" s="177" t="s">
        <v>351</v>
      </c>
      <c r="C237" s="177" t="s">
        <v>352</v>
      </c>
      <c r="D237" s="177" t="s">
        <v>353</v>
      </c>
      <c r="E237" s="177" t="s">
        <v>116</v>
      </c>
      <c r="F237" s="177">
        <v>3</v>
      </c>
      <c r="G237" s="177" t="s">
        <v>19</v>
      </c>
      <c r="H237" s="177" t="s">
        <v>20</v>
      </c>
      <c r="I237" s="177" t="s">
        <v>205</v>
      </c>
      <c r="J237" s="177"/>
      <c r="K237" s="177" t="s">
        <v>218</v>
      </c>
      <c r="L237" s="177">
        <v>50</v>
      </c>
      <c r="M237" s="177" t="s">
        <v>219</v>
      </c>
      <c r="N237" s="178">
        <v>1000</v>
      </c>
      <c r="O237" s="178">
        <v>1000</v>
      </c>
      <c r="P237" s="178">
        <v>4000</v>
      </c>
      <c r="Q237" s="177">
        <v>2</v>
      </c>
      <c r="R237" s="177">
        <v>21</v>
      </c>
      <c r="S237" s="177" t="s">
        <v>354</v>
      </c>
      <c r="T237" s="179">
        <v>44886</v>
      </c>
      <c r="U237" s="179">
        <v>44918</v>
      </c>
      <c r="V237" s="177" t="s">
        <v>355</v>
      </c>
      <c r="W237" s="177"/>
      <c r="X237" s="177"/>
      <c r="Z237" s="149" t="str">
        <f t="shared" ca="1" si="3"/>
        <v/>
      </c>
      <c r="AA237" s="149" t="str">
        <f ca="1">IFERROR(IF(OR(OFFSET('S4'!#REF!,MATCH($A237,'S4'!$D$5:$D$3387,0)-1,6)="巻返し",OFFSET('S4'!#REF!,MATCH($A237,'S4'!$D$5:$D$3387,0)-1,6)="スリット"),SUMIF('S4'!$D$5:$D$3387,$A237,'S4'!$U$5:$U$3387),""),"")</f>
        <v/>
      </c>
      <c r="AB237" s="149" t="str">
        <f ca="1">IFERROR(IF(OR(OFFSET('S5'!#REF!,MATCH($A237,'S5'!$D$5:$D$2917,0)-1,6)="巻返し",OFFSET('S5'!#REF!,MATCH($A237,'S5'!$D$5:$D$2917,0)-1,6)="スリット"),SUMIF('S5'!$D$5:$D$2917,$A237,'S5'!$T$5:$T$2917),""),"")</f>
        <v/>
      </c>
    </row>
    <row r="238" spans="1:28" s="144" customFormat="1" ht="11.25" x14ac:dyDescent="0.15">
      <c r="A238" s="177">
        <v>3689053</v>
      </c>
      <c r="B238" s="177" t="s">
        <v>351</v>
      </c>
      <c r="C238" s="177" t="s">
        <v>352</v>
      </c>
      <c r="D238" s="177" t="s">
        <v>353</v>
      </c>
      <c r="E238" s="177" t="s">
        <v>116</v>
      </c>
      <c r="F238" s="177" t="s">
        <v>158</v>
      </c>
      <c r="G238" s="177" t="s">
        <v>19</v>
      </c>
      <c r="H238" s="177" t="s">
        <v>20</v>
      </c>
      <c r="I238" s="177" t="s">
        <v>165</v>
      </c>
      <c r="J238" s="177"/>
      <c r="K238" s="177" t="s">
        <v>192</v>
      </c>
      <c r="L238" s="177">
        <v>50</v>
      </c>
      <c r="M238" s="177" t="s">
        <v>193</v>
      </c>
      <c r="N238" s="178">
        <v>1005</v>
      </c>
      <c r="O238" s="178">
        <v>1000</v>
      </c>
      <c r="P238" s="178">
        <v>4000</v>
      </c>
      <c r="Q238" s="177">
        <v>2</v>
      </c>
      <c r="R238" s="177">
        <v>6</v>
      </c>
      <c r="S238" s="177" t="s">
        <v>354</v>
      </c>
      <c r="T238" s="179">
        <v>44886</v>
      </c>
      <c r="U238" s="179">
        <v>44918</v>
      </c>
      <c r="V238" s="177" t="s">
        <v>355</v>
      </c>
      <c r="W238" s="177"/>
      <c r="X238" s="177"/>
      <c r="Z238" s="149" t="str">
        <f t="shared" ca="1" si="3"/>
        <v/>
      </c>
      <c r="AA238" s="149" t="str">
        <f ca="1">IFERROR(IF(OR(OFFSET('S4'!#REF!,MATCH($A238,'S4'!$D$5:$D$3387,0)-1,6)="巻返し",OFFSET('S4'!#REF!,MATCH($A238,'S4'!$D$5:$D$3387,0)-1,6)="スリット"),SUMIF('S4'!$D$5:$D$3387,$A238,'S4'!$U$5:$U$3387),""),"")</f>
        <v/>
      </c>
      <c r="AB238" s="149" t="str">
        <f ca="1">IFERROR(IF(OR(OFFSET('S5'!#REF!,MATCH($A238,'S5'!$D$5:$D$2917,0)-1,6)="巻返し",OFFSET('S5'!#REF!,MATCH($A238,'S5'!$D$5:$D$2917,0)-1,6)="スリット"),SUMIF('S5'!$D$5:$D$2917,$A238,'S5'!$T$5:$T$2917),""),"")</f>
        <v/>
      </c>
    </row>
    <row r="239" spans="1:28" s="144" customFormat="1" ht="11.25" x14ac:dyDescent="0.15">
      <c r="A239" s="177">
        <v>3689055</v>
      </c>
      <c r="B239" s="177" t="s">
        <v>351</v>
      </c>
      <c r="C239" s="177" t="s">
        <v>352</v>
      </c>
      <c r="D239" s="177" t="s">
        <v>353</v>
      </c>
      <c r="E239" s="177" t="s">
        <v>116</v>
      </c>
      <c r="F239" s="177" t="s">
        <v>158</v>
      </c>
      <c r="G239" s="177" t="s">
        <v>19</v>
      </c>
      <c r="H239" s="177" t="s">
        <v>20</v>
      </c>
      <c r="I239" s="177" t="s">
        <v>165</v>
      </c>
      <c r="J239" s="177"/>
      <c r="K239" s="177" t="s">
        <v>197</v>
      </c>
      <c r="L239" s="177">
        <v>50</v>
      </c>
      <c r="M239" s="177" t="s">
        <v>198</v>
      </c>
      <c r="N239" s="178">
        <v>1005</v>
      </c>
      <c r="O239" s="178">
        <v>1000</v>
      </c>
      <c r="P239" s="178">
        <v>4000</v>
      </c>
      <c r="Q239" s="177">
        <v>2</v>
      </c>
      <c r="R239" s="177">
        <v>3</v>
      </c>
      <c r="S239" s="177" t="s">
        <v>354</v>
      </c>
      <c r="T239" s="179">
        <v>44886</v>
      </c>
      <c r="U239" s="179">
        <v>44918</v>
      </c>
      <c r="V239" s="177" t="s">
        <v>355</v>
      </c>
      <c r="W239" s="177"/>
      <c r="X239" s="177"/>
      <c r="Z239" s="149" t="str">
        <f t="shared" ca="1" si="3"/>
        <v/>
      </c>
      <c r="AA239" s="149" t="str">
        <f ca="1">IFERROR(IF(OR(OFFSET('S4'!#REF!,MATCH($A239,'S4'!$D$5:$D$3387,0)-1,6)="巻返し",OFFSET('S4'!#REF!,MATCH($A239,'S4'!$D$5:$D$3387,0)-1,6)="スリット"),SUMIF('S4'!$D$5:$D$3387,$A239,'S4'!$U$5:$U$3387),""),"")</f>
        <v/>
      </c>
      <c r="AB239" s="149" t="str">
        <f ca="1">IFERROR(IF(OR(OFFSET('S5'!#REF!,MATCH($A239,'S5'!$D$5:$D$2917,0)-1,6)="巻返し",OFFSET('S5'!#REF!,MATCH($A239,'S5'!$D$5:$D$2917,0)-1,6)="スリット"),SUMIF('S5'!$D$5:$D$2917,$A239,'S5'!$T$5:$T$2917),""),"")</f>
        <v/>
      </c>
    </row>
    <row r="240" spans="1:28" s="144" customFormat="1" ht="11.25" x14ac:dyDescent="0.15">
      <c r="A240" s="177">
        <v>3689059</v>
      </c>
      <c r="B240" s="177" t="s">
        <v>351</v>
      </c>
      <c r="C240" s="177" t="s">
        <v>352</v>
      </c>
      <c r="D240" s="177" t="s">
        <v>353</v>
      </c>
      <c r="E240" s="177" t="s">
        <v>116</v>
      </c>
      <c r="F240" s="177">
        <v>3</v>
      </c>
      <c r="G240" s="177" t="s">
        <v>19</v>
      </c>
      <c r="H240" s="177" t="s">
        <v>20</v>
      </c>
      <c r="I240" s="177" t="s">
        <v>205</v>
      </c>
      <c r="J240" s="177"/>
      <c r="K240" s="177" t="s">
        <v>221</v>
      </c>
      <c r="L240" s="177">
        <v>25</v>
      </c>
      <c r="M240" s="177" t="s">
        <v>222</v>
      </c>
      <c r="N240" s="178">
        <v>1000</v>
      </c>
      <c r="O240" s="178">
        <v>1000</v>
      </c>
      <c r="P240" s="178">
        <v>6000</v>
      </c>
      <c r="Q240" s="177">
        <v>2</v>
      </c>
      <c r="R240" s="177">
        <v>3</v>
      </c>
      <c r="S240" s="177" t="s">
        <v>354</v>
      </c>
      <c r="T240" s="179">
        <v>44886</v>
      </c>
      <c r="U240" s="179">
        <v>44910</v>
      </c>
      <c r="V240" s="177" t="s">
        <v>355</v>
      </c>
      <c r="W240" s="177"/>
      <c r="X240" s="177"/>
      <c r="Z240" s="149" t="str">
        <f t="shared" ca="1" si="3"/>
        <v/>
      </c>
      <c r="AA240" s="149" t="str">
        <f ca="1">IFERROR(IF(OR(OFFSET('S4'!#REF!,MATCH($A240,'S4'!$D$5:$D$3387,0)-1,6)="巻返し",OFFSET('S4'!#REF!,MATCH($A240,'S4'!$D$5:$D$3387,0)-1,6)="スリット"),SUMIF('S4'!$D$5:$D$3387,$A240,'S4'!$U$5:$U$3387),""),"")</f>
        <v/>
      </c>
      <c r="AB240" s="149" t="str">
        <f ca="1">IFERROR(IF(OR(OFFSET('S5'!#REF!,MATCH($A240,'S5'!$D$5:$D$2917,0)-1,6)="巻返し",OFFSET('S5'!#REF!,MATCH($A240,'S5'!$D$5:$D$2917,0)-1,6)="スリット"),SUMIF('S5'!$D$5:$D$2917,$A240,'S5'!$T$5:$T$2917),""),"")</f>
        <v/>
      </c>
    </row>
    <row r="241" spans="1:28" s="144" customFormat="1" ht="11.25" x14ac:dyDescent="0.15">
      <c r="A241" s="177">
        <v>3689061</v>
      </c>
      <c r="B241" s="177" t="s">
        <v>351</v>
      </c>
      <c r="C241" s="177" t="s">
        <v>352</v>
      </c>
      <c r="D241" s="177" t="s">
        <v>353</v>
      </c>
      <c r="E241" s="177" t="s">
        <v>116</v>
      </c>
      <c r="F241" s="177">
        <v>3</v>
      </c>
      <c r="G241" s="177" t="s">
        <v>19</v>
      </c>
      <c r="H241" s="177" t="s">
        <v>20</v>
      </c>
      <c r="I241" s="177" t="s">
        <v>165</v>
      </c>
      <c r="J241" s="177"/>
      <c r="K241" s="177" t="s">
        <v>176</v>
      </c>
      <c r="L241" s="177">
        <v>50</v>
      </c>
      <c r="M241" s="177" t="s">
        <v>177</v>
      </c>
      <c r="N241" s="178">
        <v>1005</v>
      </c>
      <c r="O241" s="178">
        <v>1000</v>
      </c>
      <c r="P241" s="178">
        <v>4000</v>
      </c>
      <c r="Q241" s="177">
        <v>2</v>
      </c>
      <c r="R241" s="177">
        <v>7</v>
      </c>
      <c r="S241" s="177" t="s">
        <v>354</v>
      </c>
      <c r="T241" s="179">
        <v>44886</v>
      </c>
      <c r="U241" s="179">
        <v>44914</v>
      </c>
      <c r="V241" s="177" t="s">
        <v>355</v>
      </c>
      <c r="W241" s="177"/>
      <c r="X241" s="177"/>
      <c r="Z241" s="149" t="str">
        <f t="shared" ca="1" si="3"/>
        <v/>
      </c>
      <c r="AA241" s="149" t="str">
        <f ca="1">IFERROR(IF(OR(OFFSET('S4'!#REF!,MATCH($A241,'S4'!$D$5:$D$3387,0)-1,6)="巻返し",OFFSET('S4'!#REF!,MATCH($A241,'S4'!$D$5:$D$3387,0)-1,6)="スリット"),SUMIF('S4'!$D$5:$D$3387,$A241,'S4'!$U$5:$U$3387),""),"")</f>
        <v/>
      </c>
      <c r="AB241" s="149" t="str">
        <f ca="1">IFERROR(IF(OR(OFFSET('S5'!#REF!,MATCH($A241,'S5'!$D$5:$D$2917,0)-1,6)="巻返し",OFFSET('S5'!#REF!,MATCH($A241,'S5'!$D$5:$D$2917,0)-1,6)="スリット"),SUMIF('S5'!$D$5:$D$2917,$A241,'S5'!$T$5:$T$2917),""),"")</f>
        <v/>
      </c>
    </row>
    <row r="242" spans="1:28" s="144" customFormat="1" ht="11.25" x14ac:dyDescent="0.15">
      <c r="A242" s="177">
        <v>3689063</v>
      </c>
      <c r="B242" s="177" t="s">
        <v>351</v>
      </c>
      <c r="C242" s="177" t="s">
        <v>352</v>
      </c>
      <c r="D242" s="177" t="s">
        <v>353</v>
      </c>
      <c r="E242" s="177" t="s">
        <v>116</v>
      </c>
      <c r="F242" s="177">
        <v>3</v>
      </c>
      <c r="G242" s="177" t="s">
        <v>19</v>
      </c>
      <c r="H242" s="177" t="s">
        <v>20</v>
      </c>
      <c r="I242" s="177" t="s">
        <v>143</v>
      </c>
      <c r="J242" s="177"/>
      <c r="K242" s="177" t="s">
        <v>152</v>
      </c>
      <c r="L242" s="177">
        <v>38</v>
      </c>
      <c r="M242" s="177" t="s">
        <v>153</v>
      </c>
      <c r="N242" s="178">
        <v>1005</v>
      </c>
      <c r="O242" s="178">
        <v>1000</v>
      </c>
      <c r="P242" s="178">
        <v>4000</v>
      </c>
      <c r="Q242" s="177">
        <v>2</v>
      </c>
      <c r="R242" s="177">
        <v>2</v>
      </c>
      <c r="S242" s="177" t="s">
        <v>354</v>
      </c>
      <c r="T242" s="179">
        <v>44886</v>
      </c>
      <c r="U242" s="179">
        <v>44910</v>
      </c>
      <c r="V242" s="177" t="s">
        <v>355</v>
      </c>
      <c r="W242" s="177"/>
      <c r="X242" s="177"/>
      <c r="Z242" s="149" t="str">
        <f t="shared" ca="1" si="3"/>
        <v/>
      </c>
      <c r="AA242" s="149" t="str">
        <f ca="1">IFERROR(IF(OR(OFFSET('S4'!#REF!,MATCH($A242,'S4'!$D$5:$D$3387,0)-1,6)="巻返し",OFFSET('S4'!#REF!,MATCH($A242,'S4'!$D$5:$D$3387,0)-1,6)="スリット"),SUMIF('S4'!$D$5:$D$3387,$A242,'S4'!$U$5:$U$3387),""),"")</f>
        <v/>
      </c>
      <c r="AB242" s="149" t="str">
        <f ca="1">IFERROR(IF(OR(OFFSET('S5'!#REF!,MATCH($A242,'S5'!$D$5:$D$2917,0)-1,6)="巻返し",OFFSET('S5'!#REF!,MATCH($A242,'S5'!$D$5:$D$2917,0)-1,6)="スリット"),SUMIF('S5'!$D$5:$D$2917,$A242,'S5'!$T$5:$T$2917),""),"")</f>
        <v/>
      </c>
    </row>
    <row r="243" spans="1:28" s="144" customFormat="1" ht="11.25" x14ac:dyDescent="0.15">
      <c r="A243" s="177">
        <v>3689065</v>
      </c>
      <c r="B243" s="177" t="s">
        <v>351</v>
      </c>
      <c r="C243" s="177" t="s">
        <v>352</v>
      </c>
      <c r="D243" s="177" t="s">
        <v>353</v>
      </c>
      <c r="E243" s="177" t="s">
        <v>116</v>
      </c>
      <c r="F243" s="177">
        <v>3</v>
      </c>
      <c r="G243" s="177" t="s">
        <v>19</v>
      </c>
      <c r="H243" s="177" t="s">
        <v>28</v>
      </c>
      <c r="I243" s="177" t="s">
        <v>205</v>
      </c>
      <c r="J243" s="177"/>
      <c r="K243" s="177" t="s">
        <v>240</v>
      </c>
      <c r="L243" s="177">
        <v>50</v>
      </c>
      <c r="M243" s="177" t="s">
        <v>241</v>
      </c>
      <c r="N243" s="178">
        <v>1120</v>
      </c>
      <c r="O243" s="178">
        <v>1120</v>
      </c>
      <c r="P243" s="178">
        <v>4000</v>
      </c>
      <c r="Q243" s="177">
        <v>2</v>
      </c>
      <c r="R243" s="177">
        <v>8</v>
      </c>
      <c r="S243" s="177" t="s">
        <v>354</v>
      </c>
      <c r="T243" s="179">
        <v>44886</v>
      </c>
      <c r="U243" s="179">
        <v>44914</v>
      </c>
      <c r="V243" s="177" t="s">
        <v>355</v>
      </c>
      <c r="W243" s="177"/>
      <c r="X243" s="177"/>
      <c r="Z243" s="149" t="str">
        <f t="shared" ca="1" si="3"/>
        <v/>
      </c>
      <c r="AA243" s="149" t="str">
        <f ca="1">IFERROR(IF(OR(OFFSET('S4'!#REF!,MATCH($A243,'S4'!$D$5:$D$3387,0)-1,6)="巻返し",OFFSET('S4'!#REF!,MATCH($A243,'S4'!$D$5:$D$3387,0)-1,6)="スリット"),SUMIF('S4'!$D$5:$D$3387,$A243,'S4'!$U$5:$U$3387),""),"")</f>
        <v/>
      </c>
      <c r="AB243" s="149" t="str">
        <f ca="1">IFERROR(IF(OR(OFFSET('S5'!#REF!,MATCH($A243,'S5'!$D$5:$D$2917,0)-1,6)="巻返し",OFFSET('S5'!#REF!,MATCH($A243,'S5'!$D$5:$D$2917,0)-1,6)="スリット"),SUMIF('S5'!$D$5:$D$2917,$A243,'S5'!$T$5:$T$2917),""),"")</f>
        <v/>
      </c>
    </row>
    <row r="244" spans="1:28" s="144" customFormat="1" ht="11.25" x14ac:dyDescent="0.15">
      <c r="A244" s="177">
        <v>3689067</v>
      </c>
      <c r="B244" s="177" t="s">
        <v>351</v>
      </c>
      <c r="C244" s="177" t="s">
        <v>352</v>
      </c>
      <c r="D244" s="177" t="s">
        <v>353</v>
      </c>
      <c r="E244" s="177" t="s">
        <v>116</v>
      </c>
      <c r="F244" s="177">
        <v>3</v>
      </c>
      <c r="G244" s="177" t="s">
        <v>19</v>
      </c>
      <c r="H244" s="177" t="s">
        <v>28</v>
      </c>
      <c r="I244" s="177" t="s">
        <v>205</v>
      </c>
      <c r="J244" s="177"/>
      <c r="K244" s="177" t="s">
        <v>226</v>
      </c>
      <c r="L244" s="177">
        <v>50</v>
      </c>
      <c r="M244" s="177" t="s">
        <v>227</v>
      </c>
      <c r="N244" s="178">
        <v>1120</v>
      </c>
      <c r="O244" s="178">
        <v>1120</v>
      </c>
      <c r="P244" s="178">
        <v>5000</v>
      </c>
      <c r="Q244" s="177">
        <v>2</v>
      </c>
      <c r="R244" s="177">
        <v>2</v>
      </c>
      <c r="S244" s="177" t="s">
        <v>354</v>
      </c>
      <c r="T244" s="179">
        <v>44886</v>
      </c>
      <c r="U244" s="179">
        <v>44914</v>
      </c>
      <c r="V244" s="177" t="s">
        <v>355</v>
      </c>
      <c r="W244" s="177"/>
      <c r="X244" s="177"/>
      <c r="Z244" s="149" t="str">
        <f t="shared" ca="1" si="3"/>
        <v/>
      </c>
      <c r="AA244" s="149" t="str">
        <f ca="1">IFERROR(IF(OR(OFFSET('S4'!#REF!,MATCH($A244,'S4'!$D$5:$D$3387,0)-1,6)="巻返し",OFFSET('S4'!#REF!,MATCH($A244,'S4'!$D$5:$D$3387,0)-1,6)="スリット"),SUMIF('S4'!$D$5:$D$3387,$A244,'S4'!$U$5:$U$3387),""),"")</f>
        <v/>
      </c>
      <c r="AB244" s="149" t="str">
        <f ca="1">IFERROR(IF(OR(OFFSET('S5'!#REF!,MATCH($A244,'S5'!$D$5:$D$2917,0)-1,6)="巻返し",OFFSET('S5'!#REF!,MATCH($A244,'S5'!$D$5:$D$2917,0)-1,6)="スリット"),SUMIF('S5'!$D$5:$D$2917,$A244,'S5'!$T$5:$T$2917),""),"")</f>
        <v/>
      </c>
    </row>
    <row r="245" spans="1:28" s="144" customFormat="1" ht="11.25" x14ac:dyDescent="0.15">
      <c r="A245" s="177">
        <v>3689069</v>
      </c>
      <c r="B245" s="177" t="s">
        <v>351</v>
      </c>
      <c r="C245" s="177" t="s">
        <v>352</v>
      </c>
      <c r="D245" s="177" t="s">
        <v>353</v>
      </c>
      <c r="E245" s="177" t="s">
        <v>116</v>
      </c>
      <c r="F245" s="177">
        <v>3</v>
      </c>
      <c r="G245" s="177" t="s">
        <v>19</v>
      </c>
      <c r="H245" s="177" t="s">
        <v>28</v>
      </c>
      <c r="I245" s="177" t="s">
        <v>205</v>
      </c>
      <c r="J245" s="177"/>
      <c r="K245" s="177" t="s">
        <v>224</v>
      </c>
      <c r="L245" s="177">
        <v>50</v>
      </c>
      <c r="M245" s="177" t="s">
        <v>225</v>
      </c>
      <c r="N245" s="178">
        <v>1120</v>
      </c>
      <c r="O245" s="178">
        <v>1120</v>
      </c>
      <c r="P245" s="178">
        <v>5000</v>
      </c>
      <c r="Q245" s="177">
        <v>2</v>
      </c>
      <c r="R245" s="177">
        <v>3</v>
      </c>
      <c r="S245" s="177" t="s">
        <v>354</v>
      </c>
      <c r="T245" s="179">
        <v>44886</v>
      </c>
      <c r="U245" s="179">
        <v>44910</v>
      </c>
      <c r="V245" s="177" t="s">
        <v>355</v>
      </c>
      <c r="W245" s="177"/>
      <c r="X245" s="177"/>
      <c r="Z245" s="149" t="str">
        <f t="shared" ca="1" si="3"/>
        <v/>
      </c>
      <c r="AA245" s="149" t="str">
        <f ca="1">IFERROR(IF(OR(OFFSET('S4'!#REF!,MATCH($A245,'S4'!$D$5:$D$3387,0)-1,6)="巻返し",OFFSET('S4'!#REF!,MATCH($A245,'S4'!$D$5:$D$3387,0)-1,6)="スリット"),SUMIF('S4'!$D$5:$D$3387,$A245,'S4'!$U$5:$U$3387),""),"")</f>
        <v/>
      </c>
      <c r="AB245" s="149" t="str">
        <f ca="1">IFERROR(IF(OR(OFFSET('S5'!#REF!,MATCH($A245,'S5'!$D$5:$D$2917,0)-1,6)="巻返し",OFFSET('S5'!#REF!,MATCH($A245,'S5'!$D$5:$D$2917,0)-1,6)="スリット"),SUMIF('S5'!$D$5:$D$2917,$A245,'S5'!$T$5:$T$2917),""),"")</f>
        <v/>
      </c>
    </row>
    <row r="246" spans="1:28" s="144" customFormat="1" ht="11.25" x14ac:dyDescent="0.15">
      <c r="A246" s="177">
        <v>3689071</v>
      </c>
      <c r="B246" s="177" t="s">
        <v>351</v>
      </c>
      <c r="C246" s="177" t="s">
        <v>352</v>
      </c>
      <c r="D246" s="177" t="s">
        <v>353</v>
      </c>
      <c r="E246" s="177" t="s">
        <v>116</v>
      </c>
      <c r="F246" s="177">
        <v>3</v>
      </c>
      <c r="G246" s="177" t="s">
        <v>19</v>
      </c>
      <c r="H246" s="177" t="s">
        <v>28</v>
      </c>
      <c r="I246" s="177" t="s">
        <v>205</v>
      </c>
      <c r="J246" s="177"/>
      <c r="K246" s="177" t="s">
        <v>233</v>
      </c>
      <c r="L246" s="177">
        <v>50</v>
      </c>
      <c r="M246" s="177" t="s">
        <v>234</v>
      </c>
      <c r="N246" s="178">
        <v>1120</v>
      </c>
      <c r="O246" s="178">
        <v>1120</v>
      </c>
      <c r="P246" s="178">
        <v>4000</v>
      </c>
      <c r="Q246" s="177">
        <v>2</v>
      </c>
      <c r="R246" s="177">
        <v>7</v>
      </c>
      <c r="S246" s="177" t="s">
        <v>354</v>
      </c>
      <c r="T246" s="179">
        <v>44886</v>
      </c>
      <c r="U246" s="179">
        <v>44910</v>
      </c>
      <c r="V246" s="177" t="s">
        <v>355</v>
      </c>
      <c r="W246" s="177"/>
      <c r="X246" s="177"/>
      <c r="Z246" s="149" t="str">
        <f t="shared" ca="1" si="3"/>
        <v/>
      </c>
      <c r="AA246" s="149" t="str">
        <f ca="1">IFERROR(IF(OR(OFFSET('S4'!#REF!,MATCH($A246,'S4'!$D$5:$D$3387,0)-1,6)="巻返し",OFFSET('S4'!#REF!,MATCH($A246,'S4'!$D$5:$D$3387,0)-1,6)="スリット"),SUMIF('S4'!$D$5:$D$3387,$A246,'S4'!$U$5:$U$3387),""),"")</f>
        <v/>
      </c>
      <c r="AB246" s="149" t="str">
        <f ca="1">IFERROR(IF(OR(OFFSET('S5'!#REF!,MATCH($A246,'S5'!$D$5:$D$2917,0)-1,6)="巻返し",OFFSET('S5'!#REF!,MATCH($A246,'S5'!$D$5:$D$2917,0)-1,6)="スリット"),SUMIF('S5'!$D$5:$D$2917,$A246,'S5'!$T$5:$T$2917),""),"")</f>
        <v/>
      </c>
    </row>
    <row r="247" spans="1:28" s="144" customFormat="1" ht="11.25" x14ac:dyDescent="0.15">
      <c r="A247" s="177">
        <v>3689073</v>
      </c>
      <c r="B247" s="177" t="s">
        <v>351</v>
      </c>
      <c r="C247" s="177" t="s">
        <v>352</v>
      </c>
      <c r="D247" s="177" t="s">
        <v>353</v>
      </c>
      <c r="E247" s="177" t="s">
        <v>116</v>
      </c>
      <c r="F247" s="177">
        <v>3</v>
      </c>
      <c r="G247" s="177" t="s">
        <v>19</v>
      </c>
      <c r="H247" s="177" t="s">
        <v>28</v>
      </c>
      <c r="I247" s="177" t="s">
        <v>205</v>
      </c>
      <c r="J247" s="177"/>
      <c r="K247" s="177" t="s">
        <v>224</v>
      </c>
      <c r="L247" s="177">
        <v>25</v>
      </c>
      <c r="M247" s="177" t="s">
        <v>225</v>
      </c>
      <c r="N247" s="178">
        <v>1120</v>
      </c>
      <c r="O247" s="178">
        <v>1120</v>
      </c>
      <c r="P247" s="178">
        <v>7600</v>
      </c>
      <c r="Q247" s="177">
        <v>2</v>
      </c>
      <c r="R247" s="177">
        <v>1</v>
      </c>
      <c r="S247" s="177" t="s">
        <v>354</v>
      </c>
      <c r="T247" s="179">
        <v>44886</v>
      </c>
      <c r="U247" s="179">
        <v>44914</v>
      </c>
      <c r="V247" s="177" t="s">
        <v>355</v>
      </c>
      <c r="W247" s="177"/>
      <c r="X247" s="177"/>
      <c r="Z247" s="149" t="str">
        <f t="shared" ca="1" si="3"/>
        <v/>
      </c>
      <c r="AA247" s="149" t="str">
        <f ca="1">IFERROR(IF(OR(OFFSET('S4'!#REF!,MATCH($A247,'S4'!$D$5:$D$3387,0)-1,6)="巻返し",OFFSET('S4'!#REF!,MATCH($A247,'S4'!$D$5:$D$3387,0)-1,6)="スリット"),SUMIF('S4'!$D$5:$D$3387,$A247,'S4'!$U$5:$U$3387),""),"")</f>
        <v/>
      </c>
      <c r="AB247" s="149" t="str">
        <f ca="1">IFERROR(IF(OR(OFFSET('S5'!#REF!,MATCH($A247,'S5'!$D$5:$D$2917,0)-1,6)="巻返し",OFFSET('S5'!#REF!,MATCH($A247,'S5'!$D$5:$D$2917,0)-1,6)="スリット"),SUMIF('S5'!$D$5:$D$2917,$A247,'S5'!$T$5:$T$2917),""),"")</f>
        <v/>
      </c>
    </row>
    <row r="248" spans="1:28" s="144" customFormat="1" ht="11.25" x14ac:dyDescent="0.15">
      <c r="A248" s="177">
        <v>3689075</v>
      </c>
      <c r="B248" s="177" t="s">
        <v>351</v>
      </c>
      <c r="C248" s="177" t="s">
        <v>352</v>
      </c>
      <c r="D248" s="177" t="s">
        <v>353</v>
      </c>
      <c r="E248" s="177" t="s">
        <v>116</v>
      </c>
      <c r="F248" s="177">
        <v>3</v>
      </c>
      <c r="G248" s="177" t="s">
        <v>19</v>
      </c>
      <c r="H248" s="177" t="s">
        <v>28</v>
      </c>
      <c r="I248" s="177" t="s">
        <v>205</v>
      </c>
      <c r="J248" s="177"/>
      <c r="K248" s="177" t="s">
        <v>224</v>
      </c>
      <c r="L248" s="177">
        <v>50</v>
      </c>
      <c r="M248" s="177" t="s">
        <v>225</v>
      </c>
      <c r="N248" s="178">
        <v>1120</v>
      </c>
      <c r="O248" s="178">
        <v>1120</v>
      </c>
      <c r="P248" s="178">
        <v>5000</v>
      </c>
      <c r="Q248" s="177">
        <v>2</v>
      </c>
      <c r="R248" s="177">
        <v>2</v>
      </c>
      <c r="S248" s="177" t="s">
        <v>354</v>
      </c>
      <c r="T248" s="179">
        <v>44886</v>
      </c>
      <c r="U248" s="179">
        <v>44914</v>
      </c>
      <c r="V248" s="177" t="s">
        <v>355</v>
      </c>
      <c r="W248" s="177"/>
      <c r="X248" s="177"/>
      <c r="Z248" s="149" t="str">
        <f t="shared" ca="1" si="3"/>
        <v/>
      </c>
      <c r="AA248" s="149" t="str">
        <f ca="1">IFERROR(IF(OR(OFFSET('S4'!#REF!,MATCH($A248,'S4'!$D$5:$D$3387,0)-1,6)="巻返し",OFFSET('S4'!#REF!,MATCH($A248,'S4'!$D$5:$D$3387,0)-1,6)="スリット"),SUMIF('S4'!$D$5:$D$3387,$A248,'S4'!$U$5:$U$3387),""),"")</f>
        <v/>
      </c>
      <c r="AB248" s="149" t="str">
        <f ca="1">IFERROR(IF(OR(OFFSET('S5'!#REF!,MATCH($A248,'S5'!$D$5:$D$2917,0)-1,6)="巻返し",OFFSET('S5'!#REF!,MATCH($A248,'S5'!$D$5:$D$2917,0)-1,6)="スリット"),SUMIF('S5'!$D$5:$D$2917,$A248,'S5'!$T$5:$T$2917),""),"")</f>
        <v/>
      </c>
    </row>
    <row r="249" spans="1:28" s="144" customFormat="1" ht="11.25" x14ac:dyDescent="0.15">
      <c r="A249" s="177">
        <v>3689077</v>
      </c>
      <c r="B249" s="177" t="s">
        <v>351</v>
      </c>
      <c r="C249" s="177" t="s">
        <v>352</v>
      </c>
      <c r="D249" s="177" t="s">
        <v>353</v>
      </c>
      <c r="E249" s="177" t="s">
        <v>116</v>
      </c>
      <c r="F249" s="177">
        <v>3</v>
      </c>
      <c r="G249" s="177" t="s">
        <v>19</v>
      </c>
      <c r="H249" s="177" t="s">
        <v>28</v>
      </c>
      <c r="I249" s="177" t="s">
        <v>205</v>
      </c>
      <c r="J249" s="177"/>
      <c r="K249" s="177" t="s">
        <v>233</v>
      </c>
      <c r="L249" s="177">
        <v>50</v>
      </c>
      <c r="M249" s="177" t="s">
        <v>234</v>
      </c>
      <c r="N249" s="178">
        <v>1120</v>
      </c>
      <c r="O249" s="178">
        <v>1120</v>
      </c>
      <c r="P249" s="178">
        <v>4000</v>
      </c>
      <c r="Q249" s="177">
        <v>2</v>
      </c>
      <c r="R249" s="177">
        <v>6</v>
      </c>
      <c r="S249" s="177" t="s">
        <v>354</v>
      </c>
      <c r="T249" s="179">
        <v>44886</v>
      </c>
      <c r="U249" s="179">
        <v>44914</v>
      </c>
      <c r="V249" s="177" t="s">
        <v>355</v>
      </c>
      <c r="W249" s="177"/>
      <c r="X249" s="177"/>
      <c r="Z249" s="149" t="str">
        <f t="shared" ca="1" si="3"/>
        <v/>
      </c>
      <c r="AA249" s="149" t="str">
        <f ca="1">IFERROR(IF(OR(OFFSET('S4'!#REF!,MATCH($A249,'S4'!$D$5:$D$3387,0)-1,6)="巻返し",OFFSET('S4'!#REF!,MATCH($A249,'S4'!$D$5:$D$3387,0)-1,6)="スリット"),SUMIF('S4'!$D$5:$D$3387,$A249,'S4'!$U$5:$U$3387),""),"")</f>
        <v/>
      </c>
      <c r="AB249" s="149" t="str">
        <f ca="1">IFERROR(IF(OR(OFFSET('S5'!#REF!,MATCH($A249,'S5'!$D$5:$D$2917,0)-1,6)="巻返し",OFFSET('S5'!#REF!,MATCH($A249,'S5'!$D$5:$D$2917,0)-1,6)="スリット"),SUMIF('S5'!$D$5:$D$2917,$A249,'S5'!$T$5:$T$2917),""),"")</f>
        <v/>
      </c>
    </row>
    <row r="250" spans="1:28" s="144" customFormat="1" ht="11.25" x14ac:dyDescent="0.15">
      <c r="A250" s="177">
        <v>3691103</v>
      </c>
      <c r="B250" s="177" t="s">
        <v>351</v>
      </c>
      <c r="C250" s="177" t="s">
        <v>364</v>
      </c>
      <c r="D250" s="177" t="s">
        <v>353</v>
      </c>
      <c r="E250" s="177" t="s">
        <v>148</v>
      </c>
      <c r="F250" s="177">
        <v>3</v>
      </c>
      <c r="G250" s="177" t="s">
        <v>19</v>
      </c>
      <c r="H250" s="177" t="s">
        <v>20</v>
      </c>
      <c r="I250" s="177" t="s">
        <v>165</v>
      </c>
      <c r="J250" s="177"/>
      <c r="K250" s="177" t="s">
        <v>180</v>
      </c>
      <c r="L250" s="177">
        <v>25</v>
      </c>
      <c r="M250" s="177" t="s">
        <v>181</v>
      </c>
      <c r="N250" s="178">
        <v>1120</v>
      </c>
      <c r="O250" s="178">
        <v>1120</v>
      </c>
      <c r="P250" s="178">
        <v>4000</v>
      </c>
      <c r="Q250" s="177">
        <v>2</v>
      </c>
      <c r="R250" s="177">
        <v>2</v>
      </c>
      <c r="S250" s="177" t="s">
        <v>354</v>
      </c>
      <c r="T250" s="179">
        <v>44894</v>
      </c>
      <c r="U250" s="179">
        <v>44957</v>
      </c>
      <c r="V250" s="177" t="s">
        <v>355</v>
      </c>
      <c r="W250" s="177"/>
      <c r="X250" s="177"/>
      <c r="Z250" s="149" t="str">
        <f t="shared" ca="1" si="3"/>
        <v/>
      </c>
      <c r="AA250" s="149" t="str">
        <f ca="1">IFERROR(IF(OR(OFFSET('S4'!#REF!,MATCH($A250,'S4'!$D$5:$D$3387,0)-1,6)="巻返し",OFFSET('S4'!#REF!,MATCH($A250,'S4'!$D$5:$D$3387,0)-1,6)="スリット"),SUMIF('S4'!$D$5:$D$3387,$A250,'S4'!$U$5:$U$3387),""),"")</f>
        <v/>
      </c>
      <c r="AB250" s="149" t="str">
        <f ca="1">IFERROR(IF(OR(OFFSET('S5'!#REF!,MATCH($A250,'S5'!$D$5:$D$2917,0)-1,6)="巻返し",OFFSET('S5'!#REF!,MATCH($A250,'S5'!$D$5:$D$2917,0)-1,6)="スリット"),SUMIF('S5'!$D$5:$D$2917,$A250,'S5'!$T$5:$T$2917),""),"")</f>
        <v/>
      </c>
    </row>
    <row r="251" spans="1:28" s="144" customFormat="1" ht="11.25" x14ac:dyDescent="0.15">
      <c r="A251" s="177">
        <v>3691104</v>
      </c>
      <c r="B251" s="177" t="s">
        <v>351</v>
      </c>
      <c r="C251" s="177" t="s">
        <v>364</v>
      </c>
      <c r="D251" s="177" t="s">
        <v>353</v>
      </c>
      <c r="E251" s="177" t="s">
        <v>148</v>
      </c>
      <c r="F251" s="177">
        <v>3</v>
      </c>
      <c r="G251" s="177" t="s">
        <v>19</v>
      </c>
      <c r="H251" s="177" t="s">
        <v>20</v>
      </c>
      <c r="I251" s="177" t="s">
        <v>165</v>
      </c>
      <c r="J251" s="177"/>
      <c r="K251" s="177" t="s">
        <v>180</v>
      </c>
      <c r="L251" s="177">
        <v>50</v>
      </c>
      <c r="M251" s="177" t="s">
        <v>181</v>
      </c>
      <c r="N251" s="178">
        <v>1120</v>
      </c>
      <c r="O251" s="178">
        <v>1120</v>
      </c>
      <c r="P251" s="178">
        <v>4000</v>
      </c>
      <c r="Q251" s="177">
        <v>2</v>
      </c>
      <c r="R251" s="177">
        <v>8</v>
      </c>
      <c r="S251" s="177" t="s">
        <v>354</v>
      </c>
      <c r="T251" s="179">
        <v>44894</v>
      </c>
      <c r="U251" s="179">
        <v>44957</v>
      </c>
      <c r="V251" s="177" t="s">
        <v>355</v>
      </c>
      <c r="W251" s="177"/>
      <c r="X251" s="177"/>
      <c r="Z251" s="149" t="str">
        <f t="shared" ca="1" si="3"/>
        <v/>
      </c>
      <c r="AA251" s="149" t="str">
        <f ca="1">IFERROR(IF(OR(OFFSET('S4'!#REF!,MATCH($A251,'S4'!$D$5:$D$3387,0)-1,6)="巻返し",OFFSET('S4'!#REF!,MATCH($A251,'S4'!$D$5:$D$3387,0)-1,6)="スリット"),SUMIF('S4'!$D$5:$D$3387,$A251,'S4'!$U$5:$U$3387),""),"")</f>
        <v/>
      </c>
      <c r="AB251" s="149" t="str">
        <f ca="1">IFERROR(IF(OR(OFFSET('S5'!#REF!,MATCH($A251,'S5'!$D$5:$D$2917,0)-1,6)="巻返し",OFFSET('S5'!#REF!,MATCH($A251,'S5'!$D$5:$D$2917,0)-1,6)="スリット"),SUMIF('S5'!$D$5:$D$2917,$A251,'S5'!$T$5:$T$2917),""),"")</f>
        <v/>
      </c>
    </row>
    <row r="252" spans="1:28" s="144" customFormat="1" ht="11.25" x14ac:dyDescent="0.15">
      <c r="A252" s="177">
        <v>3691105</v>
      </c>
      <c r="B252" s="177" t="s">
        <v>351</v>
      </c>
      <c r="C252" s="177" t="s">
        <v>364</v>
      </c>
      <c r="D252" s="177" t="s">
        <v>353</v>
      </c>
      <c r="E252" s="177" t="s">
        <v>148</v>
      </c>
      <c r="F252" s="177">
        <v>3</v>
      </c>
      <c r="G252" s="177" t="s">
        <v>19</v>
      </c>
      <c r="H252" s="177" t="s">
        <v>20</v>
      </c>
      <c r="I252" s="177" t="s">
        <v>165</v>
      </c>
      <c r="J252" s="177"/>
      <c r="K252" s="177" t="s">
        <v>180</v>
      </c>
      <c r="L252" s="177">
        <v>25</v>
      </c>
      <c r="M252" s="177" t="s">
        <v>181</v>
      </c>
      <c r="N252" s="178">
        <v>1120</v>
      </c>
      <c r="O252" s="178">
        <v>1120</v>
      </c>
      <c r="P252" s="178">
        <v>4000</v>
      </c>
      <c r="Q252" s="177">
        <v>2</v>
      </c>
      <c r="R252" s="177">
        <v>2</v>
      </c>
      <c r="S252" s="177" t="s">
        <v>354</v>
      </c>
      <c r="T252" s="179">
        <v>44894</v>
      </c>
      <c r="U252" s="179">
        <v>44985</v>
      </c>
      <c r="V252" s="177" t="s">
        <v>355</v>
      </c>
      <c r="W252" s="177"/>
      <c r="X252" s="177"/>
      <c r="Z252" s="149" t="str">
        <f t="shared" ca="1" si="3"/>
        <v/>
      </c>
      <c r="AA252" s="149" t="str">
        <f ca="1">IFERROR(IF(OR(OFFSET('S4'!#REF!,MATCH($A252,'S4'!$D$5:$D$3387,0)-1,6)="巻返し",OFFSET('S4'!#REF!,MATCH($A252,'S4'!$D$5:$D$3387,0)-1,6)="スリット"),SUMIF('S4'!$D$5:$D$3387,$A252,'S4'!$U$5:$U$3387),""),"")</f>
        <v/>
      </c>
      <c r="AB252" s="149" t="str">
        <f ca="1">IFERROR(IF(OR(OFFSET('S5'!#REF!,MATCH($A252,'S5'!$D$5:$D$2917,0)-1,6)="巻返し",OFFSET('S5'!#REF!,MATCH($A252,'S5'!$D$5:$D$2917,0)-1,6)="スリット"),SUMIF('S5'!$D$5:$D$2917,$A252,'S5'!$T$5:$T$2917),""),"")</f>
        <v/>
      </c>
    </row>
    <row r="253" spans="1:28" s="144" customFormat="1" ht="11.25" x14ac:dyDescent="0.15">
      <c r="A253" s="177">
        <v>3691106</v>
      </c>
      <c r="B253" s="177" t="s">
        <v>351</v>
      </c>
      <c r="C253" s="177" t="s">
        <v>364</v>
      </c>
      <c r="D253" s="177" t="s">
        <v>353</v>
      </c>
      <c r="E253" s="177" t="s">
        <v>148</v>
      </c>
      <c r="F253" s="177">
        <v>3</v>
      </c>
      <c r="G253" s="177" t="s">
        <v>19</v>
      </c>
      <c r="H253" s="177" t="s">
        <v>20</v>
      </c>
      <c r="I253" s="177" t="s">
        <v>165</v>
      </c>
      <c r="J253" s="177"/>
      <c r="K253" s="177" t="s">
        <v>180</v>
      </c>
      <c r="L253" s="177">
        <v>50</v>
      </c>
      <c r="M253" s="177" t="s">
        <v>181</v>
      </c>
      <c r="N253" s="178">
        <v>1120</v>
      </c>
      <c r="O253" s="178">
        <v>1120</v>
      </c>
      <c r="P253" s="178">
        <v>4000</v>
      </c>
      <c r="Q253" s="177">
        <v>2</v>
      </c>
      <c r="R253" s="177">
        <v>8</v>
      </c>
      <c r="S253" s="177" t="s">
        <v>354</v>
      </c>
      <c r="T253" s="179">
        <v>44894</v>
      </c>
      <c r="U253" s="179">
        <v>44985</v>
      </c>
      <c r="V253" s="177" t="s">
        <v>355</v>
      </c>
      <c r="W253" s="177"/>
      <c r="X253" s="177"/>
      <c r="Z253" s="149" t="str">
        <f t="shared" ca="1" si="3"/>
        <v/>
      </c>
      <c r="AA253" s="149" t="str">
        <f ca="1">IFERROR(IF(OR(OFFSET('S4'!#REF!,MATCH($A253,'S4'!$D$5:$D$3387,0)-1,6)="巻返し",OFFSET('S4'!#REF!,MATCH($A253,'S4'!$D$5:$D$3387,0)-1,6)="スリット"),SUMIF('S4'!$D$5:$D$3387,$A253,'S4'!$U$5:$U$3387),""),"")</f>
        <v/>
      </c>
      <c r="AB253" s="149" t="str">
        <f ca="1">IFERROR(IF(OR(OFFSET('S5'!#REF!,MATCH($A253,'S5'!$D$5:$D$2917,0)-1,6)="巻返し",OFFSET('S5'!#REF!,MATCH($A253,'S5'!$D$5:$D$2917,0)-1,6)="スリット"),SUMIF('S5'!$D$5:$D$2917,$A253,'S5'!$T$5:$T$2917),""),"")</f>
        <v/>
      </c>
    </row>
    <row r="254" spans="1:28" s="144" customFormat="1" ht="11.25" x14ac:dyDescent="0.15">
      <c r="A254" s="177">
        <v>3691107</v>
      </c>
      <c r="B254" s="177" t="s">
        <v>351</v>
      </c>
      <c r="C254" s="177" t="s">
        <v>364</v>
      </c>
      <c r="D254" s="177" t="s">
        <v>353</v>
      </c>
      <c r="E254" s="177" t="s">
        <v>171</v>
      </c>
      <c r="F254" s="177" t="s">
        <v>96</v>
      </c>
      <c r="G254" s="177" t="s">
        <v>19</v>
      </c>
      <c r="H254" s="177" t="s">
        <v>20</v>
      </c>
      <c r="I254" s="177" t="s">
        <v>165</v>
      </c>
      <c r="J254" s="177"/>
      <c r="K254" s="177" t="s">
        <v>169</v>
      </c>
      <c r="L254" s="177">
        <v>50</v>
      </c>
      <c r="M254" s="177" t="s">
        <v>170</v>
      </c>
      <c r="N254" s="178">
        <v>1190</v>
      </c>
      <c r="O254" s="178">
        <v>1190</v>
      </c>
      <c r="P254" s="178">
        <v>6000</v>
      </c>
      <c r="Q254" s="177">
        <v>2</v>
      </c>
      <c r="R254" s="177">
        <v>10</v>
      </c>
      <c r="S254" s="177" t="s">
        <v>354</v>
      </c>
      <c r="T254" s="179">
        <v>44894</v>
      </c>
      <c r="U254" s="179">
        <v>44923</v>
      </c>
      <c r="V254" s="177" t="s">
        <v>355</v>
      </c>
      <c r="W254" s="177"/>
      <c r="X254" s="177"/>
      <c r="Z254" s="149" t="str">
        <f t="shared" ca="1" si="3"/>
        <v/>
      </c>
      <c r="AA254" s="149" t="str">
        <f ca="1">IFERROR(IF(OR(OFFSET('S4'!#REF!,MATCH($A254,'S4'!$D$5:$D$3387,0)-1,6)="巻返し",OFFSET('S4'!#REF!,MATCH($A254,'S4'!$D$5:$D$3387,0)-1,6)="スリット"),SUMIF('S4'!$D$5:$D$3387,$A254,'S4'!$U$5:$U$3387),""),"")</f>
        <v/>
      </c>
      <c r="AB254" s="149" t="str">
        <f ca="1">IFERROR(IF(OR(OFFSET('S5'!#REF!,MATCH($A254,'S5'!$D$5:$D$2917,0)-1,6)="巻返し",OFFSET('S5'!#REF!,MATCH($A254,'S5'!$D$5:$D$2917,0)-1,6)="スリット"),SUMIF('S5'!$D$5:$D$2917,$A254,'S5'!$T$5:$T$2917),""),"")</f>
        <v/>
      </c>
    </row>
    <row r="255" spans="1:28" s="144" customFormat="1" ht="11.25" x14ac:dyDescent="0.15">
      <c r="A255" s="177">
        <v>3691437</v>
      </c>
      <c r="B255" s="177" t="s">
        <v>423</v>
      </c>
      <c r="C255" s="177" t="s">
        <v>356</v>
      </c>
      <c r="D255" s="177" t="s">
        <v>353</v>
      </c>
      <c r="E255" s="177" t="s">
        <v>61</v>
      </c>
      <c r="F255" s="177">
        <v>3</v>
      </c>
      <c r="G255" s="177" t="s">
        <v>265</v>
      </c>
      <c r="H255" s="177" t="s">
        <v>20</v>
      </c>
      <c r="I255" s="177" t="s">
        <v>205</v>
      </c>
      <c r="J255" s="177"/>
      <c r="K255" s="177" t="s">
        <v>522</v>
      </c>
      <c r="L255" s="177">
        <v>12</v>
      </c>
      <c r="M255" s="177" t="s">
        <v>523</v>
      </c>
      <c r="N255" s="178">
        <v>600</v>
      </c>
      <c r="O255" s="178">
        <v>600</v>
      </c>
      <c r="P255" s="178">
        <v>3000</v>
      </c>
      <c r="Q255" s="177">
        <v>1</v>
      </c>
      <c r="R255" s="177">
        <v>4</v>
      </c>
      <c r="S255" s="177" t="s">
        <v>354</v>
      </c>
      <c r="T255" s="179">
        <v>44900</v>
      </c>
      <c r="U255" s="179">
        <v>44923</v>
      </c>
      <c r="V255" s="177" t="s">
        <v>355</v>
      </c>
      <c r="W255" s="177"/>
      <c r="X255" s="177"/>
      <c r="Z255" s="149" t="str">
        <f t="shared" ca="1" si="3"/>
        <v/>
      </c>
      <c r="AA255" s="149" t="str">
        <f ca="1">IFERROR(IF(OR(OFFSET('S4'!#REF!,MATCH($A255,'S4'!$D$5:$D$3387,0)-1,6)="巻返し",OFFSET('S4'!#REF!,MATCH($A255,'S4'!$D$5:$D$3387,0)-1,6)="スリット"),SUMIF('S4'!$D$5:$D$3387,$A255,'S4'!$U$5:$U$3387),""),"")</f>
        <v/>
      </c>
      <c r="AB255" s="149" t="str">
        <f ca="1">IFERROR(IF(OR(OFFSET('S5'!#REF!,MATCH($A255,'S5'!$D$5:$D$2917,0)-1,6)="巻返し",OFFSET('S5'!#REF!,MATCH($A255,'S5'!$D$5:$D$2917,0)-1,6)="スリット"),SUMIF('S5'!$D$5:$D$2917,$A255,'S5'!$T$5:$T$2917),""),"")</f>
        <v/>
      </c>
    </row>
    <row r="256" spans="1:28" s="144" customFormat="1" ht="11.25" x14ac:dyDescent="0.15">
      <c r="A256" s="177">
        <v>3692500</v>
      </c>
      <c r="B256" s="177" t="s">
        <v>423</v>
      </c>
      <c r="C256" s="177" t="s">
        <v>352</v>
      </c>
      <c r="D256" s="177" t="s">
        <v>353</v>
      </c>
      <c r="E256" s="177" t="s">
        <v>116</v>
      </c>
      <c r="F256" s="177">
        <v>3</v>
      </c>
      <c r="G256" s="177" t="s">
        <v>265</v>
      </c>
      <c r="H256" s="177" t="s">
        <v>20</v>
      </c>
      <c r="I256" s="177" t="s">
        <v>165</v>
      </c>
      <c r="J256" s="177"/>
      <c r="K256" s="177" t="s">
        <v>319</v>
      </c>
      <c r="L256" s="177">
        <v>25</v>
      </c>
      <c r="M256" s="177" t="s">
        <v>320</v>
      </c>
      <c r="N256" s="178">
        <v>1000</v>
      </c>
      <c r="O256" s="178">
        <v>1000</v>
      </c>
      <c r="P256" s="178">
        <v>2000</v>
      </c>
      <c r="Q256" s="177">
        <v>2</v>
      </c>
      <c r="R256" s="177">
        <v>3</v>
      </c>
      <c r="S256" s="177" t="s">
        <v>354</v>
      </c>
      <c r="T256" s="179">
        <v>44909</v>
      </c>
      <c r="U256" s="179">
        <v>44923</v>
      </c>
      <c r="V256" s="177" t="s">
        <v>355</v>
      </c>
      <c r="W256" s="177"/>
      <c r="X256" s="177"/>
      <c r="Z256" s="149" t="str">
        <f t="shared" ca="1" si="3"/>
        <v/>
      </c>
      <c r="AA256" s="149" t="str">
        <f ca="1">IFERROR(IF(OR(OFFSET('S4'!#REF!,MATCH($A256,'S4'!$D$5:$D$3387,0)-1,6)="巻返し",OFFSET('S4'!#REF!,MATCH($A256,'S4'!$D$5:$D$3387,0)-1,6)="スリット"),SUMIF('S4'!$D$5:$D$3387,$A256,'S4'!$U$5:$U$3387),""),"")</f>
        <v/>
      </c>
      <c r="AB256" s="149" t="str">
        <f ca="1">IFERROR(IF(OR(OFFSET('S5'!#REF!,MATCH($A256,'S5'!$D$5:$D$2917,0)-1,6)="巻返し",OFFSET('S5'!#REF!,MATCH($A256,'S5'!$D$5:$D$2917,0)-1,6)="スリット"),SUMIF('S5'!$D$5:$D$2917,$A256,'S5'!$T$5:$T$2917),""),"")</f>
        <v/>
      </c>
    </row>
    <row r="257" spans="1:28" s="144" customFormat="1" ht="11.25" x14ac:dyDescent="0.15">
      <c r="A257" s="177">
        <v>3692501</v>
      </c>
      <c r="B257" s="177" t="s">
        <v>423</v>
      </c>
      <c r="C257" s="177" t="s">
        <v>352</v>
      </c>
      <c r="D257" s="177" t="s">
        <v>353</v>
      </c>
      <c r="E257" s="177" t="s">
        <v>116</v>
      </c>
      <c r="F257" s="177">
        <v>3</v>
      </c>
      <c r="G257" s="177" t="s">
        <v>265</v>
      </c>
      <c r="H257" s="177" t="s">
        <v>20</v>
      </c>
      <c r="I257" s="177" t="s">
        <v>165</v>
      </c>
      <c r="J257" s="177"/>
      <c r="K257" s="177" t="s">
        <v>319</v>
      </c>
      <c r="L257" s="177">
        <v>50</v>
      </c>
      <c r="M257" s="177" t="s">
        <v>483</v>
      </c>
      <c r="N257" s="178">
        <v>1000</v>
      </c>
      <c r="O257" s="178">
        <v>1000</v>
      </c>
      <c r="P257" s="178">
        <v>2000</v>
      </c>
      <c r="Q257" s="177">
        <v>2</v>
      </c>
      <c r="R257" s="177">
        <v>2</v>
      </c>
      <c r="S257" s="177" t="s">
        <v>354</v>
      </c>
      <c r="T257" s="179">
        <v>44909</v>
      </c>
      <c r="U257" s="179">
        <v>44923</v>
      </c>
      <c r="V257" s="177" t="s">
        <v>355</v>
      </c>
      <c r="W257" s="177"/>
      <c r="X257" s="177"/>
      <c r="Z257" s="149" t="str">
        <f t="shared" ca="1" si="3"/>
        <v/>
      </c>
      <c r="AA257" s="149" t="str">
        <f ca="1">IFERROR(IF(OR(OFFSET('S4'!#REF!,MATCH($A257,'S4'!$D$5:$D$3387,0)-1,6)="巻返し",OFFSET('S4'!#REF!,MATCH($A257,'S4'!$D$5:$D$3387,0)-1,6)="スリット"),SUMIF('S4'!$D$5:$D$3387,$A257,'S4'!$U$5:$U$3387),""),"")</f>
        <v/>
      </c>
      <c r="AB257" s="149" t="str">
        <f ca="1">IFERROR(IF(OR(OFFSET('S5'!#REF!,MATCH($A257,'S5'!$D$5:$D$2917,0)-1,6)="巻返し",OFFSET('S5'!#REF!,MATCH($A257,'S5'!$D$5:$D$2917,0)-1,6)="スリット"),SUMIF('S5'!$D$5:$D$2917,$A257,'S5'!$T$5:$T$2917),""),"")</f>
        <v/>
      </c>
    </row>
    <row r="258" spans="1:28" s="144" customFormat="1" ht="11.25" x14ac:dyDescent="0.15">
      <c r="A258" s="177">
        <v>3694097</v>
      </c>
      <c r="B258" s="177" t="s">
        <v>351</v>
      </c>
      <c r="C258" s="177" t="s">
        <v>352</v>
      </c>
      <c r="D258" s="177" t="s">
        <v>353</v>
      </c>
      <c r="E258" s="177" t="s">
        <v>232</v>
      </c>
      <c r="F258" s="177">
        <v>3</v>
      </c>
      <c r="G258" s="177" t="s">
        <v>19</v>
      </c>
      <c r="H258" s="177" t="s">
        <v>20</v>
      </c>
      <c r="I258" s="177" t="s">
        <v>205</v>
      </c>
      <c r="J258" s="177"/>
      <c r="K258" s="177" t="s">
        <v>230</v>
      </c>
      <c r="L258" s="177">
        <v>25</v>
      </c>
      <c r="M258" s="177" t="s">
        <v>231</v>
      </c>
      <c r="N258" s="178">
        <v>1240</v>
      </c>
      <c r="O258" s="178">
        <v>1240</v>
      </c>
      <c r="P258" s="178">
        <v>2000</v>
      </c>
      <c r="Q258" s="177">
        <v>1</v>
      </c>
      <c r="R258" s="177">
        <v>6</v>
      </c>
      <c r="S258" s="177" t="s">
        <v>354</v>
      </c>
      <c r="T258" s="179">
        <v>44916</v>
      </c>
      <c r="U258" s="179">
        <v>44949</v>
      </c>
      <c r="V258" s="177" t="s">
        <v>355</v>
      </c>
      <c r="W258" s="177"/>
      <c r="X258" s="177"/>
      <c r="Z258" s="149" t="str">
        <f t="shared" ca="1" si="3"/>
        <v/>
      </c>
      <c r="AA258" s="149" t="str">
        <f ca="1">IFERROR(IF(OR(OFFSET('S4'!#REF!,MATCH($A258,'S4'!$D$5:$D$3387,0)-1,6)="巻返し",OFFSET('S4'!#REF!,MATCH($A258,'S4'!$D$5:$D$3387,0)-1,6)="スリット"),SUMIF('S4'!$D$5:$D$3387,$A258,'S4'!$U$5:$U$3387),""),"")</f>
        <v/>
      </c>
      <c r="AB258" s="149" t="str">
        <f ca="1">IFERROR(IF(OR(OFFSET('S5'!#REF!,MATCH($A258,'S5'!$D$5:$D$2917,0)-1,6)="巻返し",OFFSET('S5'!#REF!,MATCH($A258,'S5'!$D$5:$D$2917,0)-1,6)="スリット"),SUMIF('S5'!$D$5:$D$2917,$A258,'S5'!$T$5:$T$2917),""),"")</f>
        <v/>
      </c>
    </row>
    <row r="259" spans="1:28" s="144" customFormat="1" ht="11.25" x14ac:dyDescent="0.15">
      <c r="A259" s="177">
        <v>3694098</v>
      </c>
      <c r="B259" s="177" t="s">
        <v>351</v>
      </c>
      <c r="C259" s="177" t="s">
        <v>364</v>
      </c>
      <c r="D259" s="177" t="s">
        <v>353</v>
      </c>
      <c r="E259" s="177" t="s">
        <v>171</v>
      </c>
      <c r="F259" s="177" t="s">
        <v>96</v>
      </c>
      <c r="G259" s="177" t="s">
        <v>19</v>
      </c>
      <c r="H259" s="177" t="s">
        <v>20</v>
      </c>
      <c r="I259" s="177" t="s">
        <v>165</v>
      </c>
      <c r="J259" s="177"/>
      <c r="K259" s="177" t="s">
        <v>169</v>
      </c>
      <c r="L259" s="177">
        <v>50</v>
      </c>
      <c r="M259" s="177" t="s">
        <v>170</v>
      </c>
      <c r="N259" s="178">
        <v>1190</v>
      </c>
      <c r="O259" s="178">
        <v>1190</v>
      </c>
      <c r="P259" s="178">
        <v>6000</v>
      </c>
      <c r="Q259" s="177">
        <v>2</v>
      </c>
      <c r="R259" s="177">
        <v>8</v>
      </c>
      <c r="S259" s="177" t="s">
        <v>354</v>
      </c>
      <c r="T259" s="179">
        <v>44916</v>
      </c>
      <c r="U259" s="179">
        <v>44949</v>
      </c>
      <c r="V259" s="177" t="s">
        <v>355</v>
      </c>
      <c r="W259" s="177"/>
      <c r="X259" s="177"/>
      <c r="Z259" s="149" t="str">
        <f t="shared" ca="1" si="3"/>
        <v/>
      </c>
      <c r="AA259" s="149" t="str">
        <f ca="1">IFERROR(IF(OR(OFFSET('S4'!#REF!,MATCH($A259,'S4'!$D$5:$D$3387,0)-1,6)="巻返し",OFFSET('S4'!#REF!,MATCH($A259,'S4'!$D$5:$D$3387,0)-1,6)="スリット"),SUMIF('S4'!$D$5:$D$3387,$A259,'S4'!$U$5:$U$3387),""),"")</f>
        <v/>
      </c>
      <c r="AB259" s="149" t="str">
        <f ca="1">IFERROR(IF(OR(OFFSET('S5'!#REF!,MATCH($A259,'S5'!$D$5:$D$2917,0)-1,6)="巻返し",OFFSET('S5'!#REF!,MATCH($A259,'S5'!$D$5:$D$2917,0)-1,6)="スリット"),SUMIF('S5'!$D$5:$D$2917,$A259,'S5'!$T$5:$T$2917),""),"")</f>
        <v/>
      </c>
    </row>
    <row r="260" spans="1:28" s="144" customFormat="1" ht="11.25" x14ac:dyDescent="0.15">
      <c r="A260" s="177">
        <v>3694099</v>
      </c>
      <c r="B260" s="177" t="s">
        <v>351</v>
      </c>
      <c r="C260" s="177" t="s">
        <v>364</v>
      </c>
      <c r="D260" s="177" t="s">
        <v>353</v>
      </c>
      <c r="E260" s="177" t="s">
        <v>148</v>
      </c>
      <c r="F260" s="177">
        <v>3</v>
      </c>
      <c r="G260" s="177" t="s">
        <v>19</v>
      </c>
      <c r="H260" s="177" t="s">
        <v>20</v>
      </c>
      <c r="I260" s="177" t="s">
        <v>165</v>
      </c>
      <c r="J260" s="177"/>
      <c r="K260" s="177" t="s">
        <v>169</v>
      </c>
      <c r="L260" s="177">
        <v>50</v>
      </c>
      <c r="M260" s="177" t="s">
        <v>170</v>
      </c>
      <c r="N260" s="178">
        <v>1120</v>
      </c>
      <c r="O260" s="178">
        <v>1120</v>
      </c>
      <c r="P260" s="178">
        <v>6000</v>
      </c>
      <c r="Q260" s="177">
        <v>2</v>
      </c>
      <c r="R260" s="177">
        <v>2</v>
      </c>
      <c r="S260" s="177" t="s">
        <v>354</v>
      </c>
      <c r="T260" s="179">
        <v>44916</v>
      </c>
      <c r="U260" s="179">
        <v>44949</v>
      </c>
      <c r="V260" s="177" t="s">
        <v>355</v>
      </c>
      <c r="W260" s="177"/>
      <c r="X260" s="177"/>
      <c r="Z260" s="149" t="str">
        <f t="shared" ref="Z260:Z323" ca="1" si="4">IF(SUM(AA260:AB260)=0,"",SUM(AA260:AB260))</f>
        <v/>
      </c>
      <c r="AA260" s="149" t="str">
        <f ca="1">IFERROR(IF(OR(OFFSET('S4'!#REF!,MATCH($A260,'S4'!$D$5:$D$3387,0)-1,6)="巻返し",OFFSET('S4'!#REF!,MATCH($A260,'S4'!$D$5:$D$3387,0)-1,6)="スリット"),SUMIF('S4'!$D$5:$D$3387,$A260,'S4'!$U$5:$U$3387),""),"")</f>
        <v/>
      </c>
      <c r="AB260" s="149" t="str">
        <f ca="1">IFERROR(IF(OR(OFFSET('S5'!#REF!,MATCH($A260,'S5'!$D$5:$D$2917,0)-1,6)="巻返し",OFFSET('S5'!#REF!,MATCH($A260,'S5'!$D$5:$D$2917,0)-1,6)="スリット"),SUMIF('S5'!$D$5:$D$2917,$A260,'S5'!$T$5:$T$2917),""),"")</f>
        <v/>
      </c>
    </row>
    <row r="261" spans="1:28" s="144" customFormat="1" ht="11.25" x14ac:dyDescent="0.15">
      <c r="A261" s="177">
        <v>3694100</v>
      </c>
      <c r="B261" s="177" t="s">
        <v>351</v>
      </c>
      <c r="C261" s="177" t="s">
        <v>364</v>
      </c>
      <c r="D261" s="177" t="s">
        <v>353</v>
      </c>
      <c r="E261" s="177" t="s">
        <v>171</v>
      </c>
      <c r="F261" s="177">
        <v>3</v>
      </c>
      <c r="G261" s="177" t="s">
        <v>19</v>
      </c>
      <c r="H261" s="177" t="s">
        <v>20</v>
      </c>
      <c r="I261" s="177" t="s">
        <v>165</v>
      </c>
      <c r="J261" s="177"/>
      <c r="K261" s="177" t="s">
        <v>180</v>
      </c>
      <c r="L261" s="177">
        <v>50</v>
      </c>
      <c r="M261" s="177" t="s">
        <v>181</v>
      </c>
      <c r="N261" s="178">
        <v>1200</v>
      </c>
      <c r="O261" s="178">
        <v>1190</v>
      </c>
      <c r="P261" s="178">
        <v>6000</v>
      </c>
      <c r="Q261" s="177">
        <v>2</v>
      </c>
      <c r="R261" s="177">
        <v>4</v>
      </c>
      <c r="S261" s="177" t="s">
        <v>354</v>
      </c>
      <c r="T261" s="179">
        <v>44916</v>
      </c>
      <c r="U261" s="179">
        <v>44949</v>
      </c>
      <c r="V261" s="177" t="s">
        <v>355</v>
      </c>
      <c r="W261" s="177"/>
      <c r="X261" s="177"/>
      <c r="Z261" s="149" t="str">
        <f t="shared" ca="1" si="4"/>
        <v/>
      </c>
      <c r="AA261" s="149" t="str">
        <f ca="1">IFERROR(IF(OR(OFFSET('S4'!#REF!,MATCH($A261,'S4'!$D$5:$D$3387,0)-1,6)="巻返し",OFFSET('S4'!#REF!,MATCH($A261,'S4'!$D$5:$D$3387,0)-1,6)="スリット"),SUMIF('S4'!$D$5:$D$3387,$A261,'S4'!$U$5:$U$3387),""),"")</f>
        <v/>
      </c>
      <c r="AB261" s="149" t="str">
        <f ca="1">IFERROR(IF(OR(OFFSET('S5'!#REF!,MATCH($A261,'S5'!$D$5:$D$2917,0)-1,6)="巻返し",OFFSET('S5'!#REF!,MATCH($A261,'S5'!$D$5:$D$2917,0)-1,6)="スリット"),SUMIF('S5'!$D$5:$D$2917,$A261,'S5'!$T$5:$T$2917),""),"")</f>
        <v/>
      </c>
    </row>
    <row r="262" spans="1:28" s="144" customFormat="1" ht="11.25" x14ac:dyDescent="0.15">
      <c r="A262" s="177">
        <v>3694102</v>
      </c>
      <c r="B262" s="177" t="s">
        <v>351</v>
      </c>
      <c r="C262" s="177" t="s">
        <v>352</v>
      </c>
      <c r="D262" s="177" t="s">
        <v>353</v>
      </c>
      <c r="E262" s="177" t="s">
        <v>116</v>
      </c>
      <c r="F262" s="177">
        <v>3</v>
      </c>
      <c r="G262" s="177" t="s">
        <v>19</v>
      </c>
      <c r="H262" s="177" t="s">
        <v>20</v>
      </c>
      <c r="I262" s="177" t="s">
        <v>205</v>
      </c>
      <c r="J262" s="177"/>
      <c r="K262" s="177" t="s">
        <v>212</v>
      </c>
      <c r="L262" s="177">
        <v>25</v>
      </c>
      <c r="M262" s="177" t="s">
        <v>213</v>
      </c>
      <c r="N262" s="178">
        <v>1000</v>
      </c>
      <c r="O262" s="178">
        <v>1000</v>
      </c>
      <c r="P262" s="178">
        <v>4000</v>
      </c>
      <c r="Q262" s="177">
        <v>2</v>
      </c>
      <c r="R262" s="177">
        <v>3</v>
      </c>
      <c r="S262" s="177" t="s">
        <v>354</v>
      </c>
      <c r="T262" s="179">
        <v>44916</v>
      </c>
      <c r="U262" s="179">
        <v>44949</v>
      </c>
      <c r="V262" s="177" t="s">
        <v>355</v>
      </c>
      <c r="W262" s="177"/>
      <c r="X262" s="177"/>
      <c r="Z262" s="149" t="str">
        <f t="shared" ca="1" si="4"/>
        <v/>
      </c>
      <c r="AA262" s="149" t="str">
        <f ca="1">IFERROR(IF(OR(OFFSET('S4'!#REF!,MATCH($A262,'S4'!$D$5:$D$3387,0)-1,6)="巻返し",OFFSET('S4'!#REF!,MATCH($A262,'S4'!$D$5:$D$3387,0)-1,6)="スリット"),SUMIF('S4'!$D$5:$D$3387,$A262,'S4'!$U$5:$U$3387),""),"")</f>
        <v/>
      </c>
      <c r="AB262" s="149" t="str">
        <f ca="1">IFERROR(IF(OR(OFFSET('S5'!#REF!,MATCH($A262,'S5'!$D$5:$D$2917,0)-1,6)="巻返し",OFFSET('S5'!#REF!,MATCH($A262,'S5'!$D$5:$D$2917,0)-1,6)="スリット"),SUMIF('S5'!$D$5:$D$2917,$A262,'S5'!$T$5:$T$2917),""),"")</f>
        <v/>
      </c>
    </row>
    <row r="263" spans="1:28" s="144" customFormat="1" ht="11.25" x14ac:dyDescent="0.15">
      <c r="A263" s="177">
        <v>3694103</v>
      </c>
      <c r="B263" s="177" t="s">
        <v>351</v>
      </c>
      <c r="C263" s="177" t="s">
        <v>352</v>
      </c>
      <c r="D263" s="177" t="s">
        <v>353</v>
      </c>
      <c r="E263" s="177" t="s">
        <v>116</v>
      </c>
      <c r="F263" s="177">
        <v>3</v>
      </c>
      <c r="G263" s="177" t="s">
        <v>19</v>
      </c>
      <c r="H263" s="177" t="s">
        <v>20</v>
      </c>
      <c r="I263" s="177" t="s">
        <v>205</v>
      </c>
      <c r="J263" s="177"/>
      <c r="K263" s="177" t="s">
        <v>212</v>
      </c>
      <c r="L263" s="177">
        <v>25</v>
      </c>
      <c r="M263" s="177" t="s">
        <v>213</v>
      </c>
      <c r="N263" s="178">
        <v>1120</v>
      </c>
      <c r="O263" s="178">
        <v>1120</v>
      </c>
      <c r="P263" s="178">
        <v>4000</v>
      </c>
      <c r="Q263" s="177">
        <v>2</v>
      </c>
      <c r="R263" s="177">
        <v>9</v>
      </c>
      <c r="S263" s="177" t="s">
        <v>354</v>
      </c>
      <c r="T263" s="179">
        <v>44916</v>
      </c>
      <c r="U263" s="179">
        <v>44949</v>
      </c>
      <c r="V263" s="177" t="s">
        <v>355</v>
      </c>
      <c r="W263" s="177"/>
      <c r="X263" s="177"/>
      <c r="Z263" s="149" t="str">
        <f t="shared" ca="1" si="4"/>
        <v/>
      </c>
      <c r="AA263" s="149" t="str">
        <f ca="1">IFERROR(IF(OR(OFFSET('S4'!#REF!,MATCH($A263,'S4'!$D$5:$D$3387,0)-1,6)="巻返し",OFFSET('S4'!#REF!,MATCH($A263,'S4'!$D$5:$D$3387,0)-1,6)="スリット"),SUMIF('S4'!$D$5:$D$3387,$A263,'S4'!$U$5:$U$3387),""),"")</f>
        <v/>
      </c>
      <c r="AB263" s="149" t="str">
        <f ca="1">IFERROR(IF(OR(OFFSET('S5'!#REF!,MATCH($A263,'S5'!$D$5:$D$2917,0)-1,6)="巻返し",OFFSET('S5'!#REF!,MATCH($A263,'S5'!$D$5:$D$2917,0)-1,6)="スリット"),SUMIF('S5'!$D$5:$D$2917,$A263,'S5'!$T$5:$T$2917),""),"")</f>
        <v/>
      </c>
    </row>
    <row r="264" spans="1:28" s="144" customFormat="1" ht="11.25" x14ac:dyDescent="0.15">
      <c r="A264" s="177">
        <v>3694104</v>
      </c>
      <c r="B264" s="177" t="s">
        <v>351</v>
      </c>
      <c r="C264" s="177" t="s">
        <v>352</v>
      </c>
      <c r="D264" s="177" t="s">
        <v>353</v>
      </c>
      <c r="E264" s="177" t="s">
        <v>116</v>
      </c>
      <c r="F264" s="177">
        <v>3</v>
      </c>
      <c r="G264" s="177" t="s">
        <v>19</v>
      </c>
      <c r="H264" s="177" t="s">
        <v>20</v>
      </c>
      <c r="I264" s="177" t="s">
        <v>205</v>
      </c>
      <c r="J264" s="177"/>
      <c r="K264" s="177" t="s">
        <v>212</v>
      </c>
      <c r="L264" s="177">
        <v>50</v>
      </c>
      <c r="M264" s="177" t="s">
        <v>213</v>
      </c>
      <c r="N264" s="178">
        <v>1120</v>
      </c>
      <c r="O264" s="178">
        <v>1120</v>
      </c>
      <c r="P264" s="178">
        <v>4000</v>
      </c>
      <c r="Q264" s="177">
        <v>2</v>
      </c>
      <c r="R264" s="177">
        <v>24</v>
      </c>
      <c r="S264" s="177" t="s">
        <v>354</v>
      </c>
      <c r="T264" s="179">
        <v>44916</v>
      </c>
      <c r="U264" s="179">
        <v>44963</v>
      </c>
      <c r="V264" s="177" t="s">
        <v>355</v>
      </c>
      <c r="W264" s="177"/>
      <c r="X264" s="177"/>
      <c r="Z264" s="149" t="str">
        <f t="shared" ca="1" si="4"/>
        <v/>
      </c>
      <c r="AA264" s="149" t="str">
        <f ca="1">IFERROR(IF(OR(OFFSET('S4'!#REF!,MATCH($A264,'S4'!$D$5:$D$3387,0)-1,6)="巻返し",OFFSET('S4'!#REF!,MATCH($A264,'S4'!$D$5:$D$3387,0)-1,6)="スリット"),SUMIF('S4'!$D$5:$D$3387,$A264,'S4'!$U$5:$U$3387),""),"")</f>
        <v/>
      </c>
      <c r="AB264" s="149" t="str">
        <f ca="1">IFERROR(IF(OR(OFFSET('S5'!#REF!,MATCH($A264,'S5'!$D$5:$D$2917,0)-1,6)="巻返し",OFFSET('S5'!#REF!,MATCH($A264,'S5'!$D$5:$D$2917,0)-1,6)="スリット"),SUMIF('S5'!$D$5:$D$2917,$A264,'S5'!$T$5:$T$2917),""),"")</f>
        <v/>
      </c>
    </row>
    <row r="265" spans="1:28" s="144" customFormat="1" ht="11.25" x14ac:dyDescent="0.15">
      <c r="A265" s="177">
        <v>3694105</v>
      </c>
      <c r="B265" s="177" t="s">
        <v>351</v>
      </c>
      <c r="C265" s="177" t="s">
        <v>352</v>
      </c>
      <c r="D265" s="177" t="s">
        <v>353</v>
      </c>
      <c r="E265" s="177" t="s">
        <v>116</v>
      </c>
      <c r="F265" s="177">
        <v>3</v>
      </c>
      <c r="G265" s="177" t="s">
        <v>19</v>
      </c>
      <c r="H265" s="177" t="s">
        <v>20</v>
      </c>
      <c r="I265" s="177" t="s">
        <v>205</v>
      </c>
      <c r="J265" s="177"/>
      <c r="K265" s="177" t="s">
        <v>211</v>
      </c>
      <c r="L265" s="177">
        <v>38</v>
      </c>
      <c r="M265" s="177" t="s">
        <v>370</v>
      </c>
      <c r="N265" s="178">
        <v>1005</v>
      </c>
      <c r="O265" s="178">
        <v>1000</v>
      </c>
      <c r="P265" s="178">
        <v>4000</v>
      </c>
      <c r="Q265" s="177">
        <v>2</v>
      </c>
      <c r="R265" s="177">
        <v>3</v>
      </c>
      <c r="S265" s="177" t="s">
        <v>354</v>
      </c>
      <c r="T265" s="179">
        <v>44916</v>
      </c>
      <c r="U265" s="179">
        <v>44949</v>
      </c>
      <c r="V265" s="177" t="s">
        <v>355</v>
      </c>
      <c r="W265" s="177"/>
      <c r="X265" s="177"/>
      <c r="Z265" s="149" t="str">
        <f t="shared" ca="1" si="4"/>
        <v/>
      </c>
      <c r="AA265" s="149" t="str">
        <f ca="1">IFERROR(IF(OR(OFFSET('S4'!#REF!,MATCH($A265,'S4'!$D$5:$D$3387,0)-1,6)="巻返し",OFFSET('S4'!#REF!,MATCH($A265,'S4'!$D$5:$D$3387,0)-1,6)="スリット"),SUMIF('S4'!$D$5:$D$3387,$A265,'S4'!$U$5:$U$3387),""),"")</f>
        <v/>
      </c>
      <c r="AB265" s="149" t="str">
        <f ca="1">IFERROR(IF(OR(OFFSET('S5'!#REF!,MATCH($A265,'S5'!$D$5:$D$2917,0)-1,6)="巻返し",OFFSET('S5'!#REF!,MATCH($A265,'S5'!$D$5:$D$2917,0)-1,6)="スリット"),SUMIF('S5'!$D$5:$D$2917,$A265,'S5'!$T$5:$T$2917),""),"")</f>
        <v/>
      </c>
    </row>
    <row r="266" spans="1:28" s="144" customFormat="1" ht="11.25" x14ac:dyDescent="0.15">
      <c r="A266" s="177">
        <v>3694106</v>
      </c>
      <c r="B266" s="177" t="s">
        <v>351</v>
      </c>
      <c r="C266" s="177" t="s">
        <v>352</v>
      </c>
      <c r="D266" s="177" t="s">
        <v>353</v>
      </c>
      <c r="E266" s="177" t="s">
        <v>116</v>
      </c>
      <c r="F266" s="177">
        <v>3</v>
      </c>
      <c r="G266" s="177" t="s">
        <v>19</v>
      </c>
      <c r="H266" s="177" t="s">
        <v>20</v>
      </c>
      <c r="I266" s="177" t="s">
        <v>205</v>
      </c>
      <c r="J266" s="177"/>
      <c r="K266" s="177" t="s">
        <v>211</v>
      </c>
      <c r="L266" s="177">
        <v>50</v>
      </c>
      <c r="M266" s="177" t="s">
        <v>370</v>
      </c>
      <c r="N266" s="178">
        <v>1050</v>
      </c>
      <c r="O266" s="178">
        <v>1050</v>
      </c>
      <c r="P266" s="178">
        <v>4100</v>
      </c>
      <c r="Q266" s="177">
        <v>2</v>
      </c>
      <c r="R266" s="177">
        <v>3</v>
      </c>
      <c r="S266" s="177" t="s">
        <v>354</v>
      </c>
      <c r="T266" s="179">
        <v>44916</v>
      </c>
      <c r="U266" s="179">
        <v>44949</v>
      </c>
      <c r="V266" s="177" t="s">
        <v>355</v>
      </c>
      <c r="W266" s="177"/>
      <c r="X266" s="177"/>
      <c r="Z266" s="149" t="str">
        <f t="shared" ca="1" si="4"/>
        <v/>
      </c>
      <c r="AA266" s="149" t="str">
        <f ca="1">IFERROR(IF(OR(OFFSET('S4'!#REF!,MATCH($A266,'S4'!$D$5:$D$3387,0)-1,6)="巻返し",OFFSET('S4'!#REF!,MATCH($A266,'S4'!$D$5:$D$3387,0)-1,6)="スリット"),SUMIF('S4'!$D$5:$D$3387,$A266,'S4'!$U$5:$U$3387),""),"")</f>
        <v/>
      </c>
      <c r="AB266" s="149" t="str">
        <f ca="1">IFERROR(IF(OR(OFFSET('S5'!#REF!,MATCH($A266,'S5'!$D$5:$D$2917,0)-1,6)="巻返し",OFFSET('S5'!#REF!,MATCH($A266,'S5'!$D$5:$D$2917,0)-1,6)="スリット"),SUMIF('S5'!$D$5:$D$2917,$A266,'S5'!$T$5:$T$2917),""),"")</f>
        <v/>
      </c>
    </row>
    <row r="267" spans="1:28" s="144" customFormat="1" ht="11.25" x14ac:dyDescent="0.15">
      <c r="A267" s="177">
        <v>3694107</v>
      </c>
      <c r="B267" s="177" t="s">
        <v>351</v>
      </c>
      <c r="C267" s="177" t="s">
        <v>352</v>
      </c>
      <c r="D267" s="177" t="s">
        <v>353</v>
      </c>
      <c r="E267" s="177" t="s">
        <v>116</v>
      </c>
      <c r="F267" s="177">
        <v>3</v>
      </c>
      <c r="G267" s="177" t="s">
        <v>19</v>
      </c>
      <c r="H267" s="177" t="s">
        <v>20</v>
      </c>
      <c r="I267" s="177" t="s">
        <v>165</v>
      </c>
      <c r="J267" s="177"/>
      <c r="K267" s="177" t="s">
        <v>185</v>
      </c>
      <c r="L267" s="177">
        <v>50</v>
      </c>
      <c r="M267" s="177" t="s">
        <v>186</v>
      </c>
      <c r="N267" s="178">
        <v>1005</v>
      </c>
      <c r="O267" s="178">
        <v>1000</v>
      </c>
      <c r="P267" s="178">
        <v>4000</v>
      </c>
      <c r="Q267" s="177">
        <v>2</v>
      </c>
      <c r="R267" s="177">
        <v>3</v>
      </c>
      <c r="S267" s="177" t="s">
        <v>354</v>
      </c>
      <c r="T267" s="179">
        <v>44916</v>
      </c>
      <c r="U267" s="179">
        <v>44949</v>
      </c>
      <c r="V267" s="177" t="s">
        <v>355</v>
      </c>
      <c r="W267" s="177"/>
      <c r="X267" s="177"/>
      <c r="Z267" s="149" t="str">
        <f t="shared" ca="1" si="4"/>
        <v/>
      </c>
      <c r="AA267" s="149" t="str">
        <f ca="1">IFERROR(IF(OR(OFFSET('S4'!#REF!,MATCH($A267,'S4'!$D$5:$D$3387,0)-1,6)="巻返し",OFFSET('S4'!#REF!,MATCH($A267,'S4'!$D$5:$D$3387,0)-1,6)="スリット"),SUMIF('S4'!$D$5:$D$3387,$A267,'S4'!$U$5:$U$3387),""),"")</f>
        <v/>
      </c>
      <c r="AB267" s="149" t="str">
        <f ca="1">IFERROR(IF(OR(OFFSET('S5'!#REF!,MATCH($A267,'S5'!$D$5:$D$2917,0)-1,6)="巻返し",OFFSET('S5'!#REF!,MATCH($A267,'S5'!$D$5:$D$2917,0)-1,6)="スリット"),SUMIF('S5'!$D$5:$D$2917,$A267,'S5'!$T$5:$T$2917),""),"")</f>
        <v/>
      </c>
    </row>
    <row r="268" spans="1:28" s="144" customFormat="1" ht="11.25" x14ac:dyDescent="0.15">
      <c r="A268" s="177">
        <v>3694109</v>
      </c>
      <c r="B268" s="177" t="s">
        <v>351</v>
      </c>
      <c r="C268" s="177" t="s">
        <v>352</v>
      </c>
      <c r="D268" s="177" t="s">
        <v>353</v>
      </c>
      <c r="E268" s="177" t="s">
        <v>116</v>
      </c>
      <c r="F268" s="177">
        <v>3</v>
      </c>
      <c r="G268" s="177" t="s">
        <v>19</v>
      </c>
      <c r="H268" s="177" t="s">
        <v>20</v>
      </c>
      <c r="I268" s="177" t="s">
        <v>165</v>
      </c>
      <c r="J268" s="177"/>
      <c r="K268" s="177" t="s">
        <v>245</v>
      </c>
      <c r="L268" s="177">
        <v>16</v>
      </c>
      <c r="M268" s="177" t="s">
        <v>366</v>
      </c>
      <c r="N268" s="178">
        <v>1005</v>
      </c>
      <c r="O268" s="178">
        <v>1000</v>
      </c>
      <c r="P268" s="178">
        <v>3200</v>
      </c>
      <c r="Q268" s="177">
        <v>2</v>
      </c>
      <c r="R268" s="177">
        <v>1</v>
      </c>
      <c r="S268" s="177" t="s">
        <v>354</v>
      </c>
      <c r="T268" s="179">
        <v>44916</v>
      </c>
      <c r="U268" s="179">
        <v>44951</v>
      </c>
      <c r="V268" s="177" t="s">
        <v>355</v>
      </c>
      <c r="W268" s="177"/>
      <c r="X268" s="177"/>
      <c r="Z268" s="149" t="str">
        <f t="shared" ca="1" si="4"/>
        <v/>
      </c>
      <c r="AA268" s="149" t="str">
        <f ca="1">IFERROR(IF(OR(OFFSET('S4'!#REF!,MATCH($A268,'S4'!$D$5:$D$3387,0)-1,6)="巻返し",OFFSET('S4'!#REF!,MATCH($A268,'S4'!$D$5:$D$3387,0)-1,6)="スリット"),SUMIF('S4'!$D$5:$D$3387,$A268,'S4'!$U$5:$U$3387),""),"")</f>
        <v/>
      </c>
      <c r="AB268" s="149" t="str">
        <f ca="1">IFERROR(IF(OR(OFFSET('S5'!#REF!,MATCH($A268,'S5'!$D$5:$D$2917,0)-1,6)="巻返し",OFFSET('S5'!#REF!,MATCH($A268,'S5'!$D$5:$D$2917,0)-1,6)="スリット"),SUMIF('S5'!$D$5:$D$2917,$A268,'S5'!$T$5:$T$2917),""),"")</f>
        <v/>
      </c>
    </row>
    <row r="269" spans="1:28" s="144" customFormat="1" ht="11.25" x14ac:dyDescent="0.15">
      <c r="A269" s="177">
        <v>3694110</v>
      </c>
      <c r="B269" s="177" t="s">
        <v>351</v>
      </c>
      <c r="C269" s="177" t="s">
        <v>352</v>
      </c>
      <c r="D269" s="177" t="s">
        <v>353</v>
      </c>
      <c r="E269" s="177" t="s">
        <v>116</v>
      </c>
      <c r="F269" s="177">
        <v>3</v>
      </c>
      <c r="G269" s="177" t="s">
        <v>19</v>
      </c>
      <c r="H269" s="177" t="s">
        <v>20</v>
      </c>
      <c r="I269" s="177" t="s">
        <v>205</v>
      </c>
      <c r="J269" s="177"/>
      <c r="K269" s="177" t="s">
        <v>216</v>
      </c>
      <c r="L269" s="177">
        <v>25</v>
      </c>
      <c r="M269" s="177" t="s">
        <v>217</v>
      </c>
      <c r="N269" s="178">
        <v>1005</v>
      </c>
      <c r="O269" s="178">
        <v>1000</v>
      </c>
      <c r="P269" s="178">
        <v>4000</v>
      </c>
      <c r="Q269" s="177">
        <v>2</v>
      </c>
      <c r="R269" s="177">
        <v>15</v>
      </c>
      <c r="S269" s="177" t="s">
        <v>354</v>
      </c>
      <c r="T269" s="179">
        <v>44916</v>
      </c>
      <c r="U269" s="179">
        <v>44949</v>
      </c>
      <c r="V269" s="177" t="s">
        <v>355</v>
      </c>
      <c r="W269" s="177"/>
      <c r="X269" s="177"/>
      <c r="Z269" s="149" t="str">
        <f t="shared" ca="1" si="4"/>
        <v/>
      </c>
      <c r="AA269" s="149" t="str">
        <f ca="1">IFERROR(IF(OR(OFFSET('S4'!#REF!,MATCH($A269,'S4'!$D$5:$D$3387,0)-1,6)="巻返し",OFFSET('S4'!#REF!,MATCH($A269,'S4'!$D$5:$D$3387,0)-1,6)="スリット"),SUMIF('S4'!$D$5:$D$3387,$A269,'S4'!$U$5:$U$3387),""),"")</f>
        <v/>
      </c>
      <c r="AB269" s="149" t="str">
        <f ca="1">IFERROR(IF(OR(OFFSET('S5'!#REF!,MATCH($A269,'S5'!$D$5:$D$2917,0)-1,6)="巻返し",OFFSET('S5'!#REF!,MATCH($A269,'S5'!$D$5:$D$2917,0)-1,6)="スリット"),SUMIF('S5'!$D$5:$D$2917,$A269,'S5'!$T$5:$T$2917),""),"")</f>
        <v/>
      </c>
    </row>
    <row r="270" spans="1:28" s="144" customFormat="1" ht="11.25" x14ac:dyDescent="0.15">
      <c r="A270" s="177">
        <v>3694111</v>
      </c>
      <c r="B270" s="177" t="s">
        <v>351</v>
      </c>
      <c r="C270" s="177" t="s">
        <v>352</v>
      </c>
      <c r="D270" s="177" t="s">
        <v>353</v>
      </c>
      <c r="E270" s="177" t="s">
        <v>116</v>
      </c>
      <c r="F270" s="177">
        <v>3</v>
      </c>
      <c r="G270" s="177" t="s">
        <v>19</v>
      </c>
      <c r="H270" s="177" t="s">
        <v>20</v>
      </c>
      <c r="I270" s="177" t="s">
        <v>205</v>
      </c>
      <c r="J270" s="177"/>
      <c r="K270" s="177" t="s">
        <v>216</v>
      </c>
      <c r="L270" s="177">
        <v>50</v>
      </c>
      <c r="M270" s="177" t="s">
        <v>217</v>
      </c>
      <c r="N270" s="178">
        <v>1120</v>
      </c>
      <c r="O270" s="178">
        <v>1120</v>
      </c>
      <c r="P270" s="178">
        <v>5000</v>
      </c>
      <c r="Q270" s="177">
        <v>2</v>
      </c>
      <c r="R270" s="177">
        <v>12</v>
      </c>
      <c r="S270" s="177" t="s">
        <v>354</v>
      </c>
      <c r="T270" s="179">
        <v>44916</v>
      </c>
      <c r="U270" s="179">
        <v>44949</v>
      </c>
      <c r="V270" s="177" t="s">
        <v>355</v>
      </c>
      <c r="W270" s="177"/>
      <c r="X270" s="177"/>
      <c r="Z270" s="149" t="str">
        <f t="shared" ca="1" si="4"/>
        <v/>
      </c>
      <c r="AA270" s="149" t="str">
        <f ca="1">IFERROR(IF(OR(OFFSET('S4'!#REF!,MATCH($A270,'S4'!$D$5:$D$3387,0)-1,6)="巻返し",OFFSET('S4'!#REF!,MATCH($A270,'S4'!$D$5:$D$3387,0)-1,6)="スリット"),SUMIF('S4'!$D$5:$D$3387,$A270,'S4'!$U$5:$U$3387),""),"")</f>
        <v/>
      </c>
      <c r="AB270" s="149" t="str">
        <f ca="1">IFERROR(IF(OR(OFFSET('S5'!#REF!,MATCH($A270,'S5'!$D$5:$D$2917,0)-1,6)="巻返し",OFFSET('S5'!#REF!,MATCH($A270,'S5'!$D$5:$D$2917,0)-1,6)="スリット"),SUMIF('S5'!$D$5:$D$2917,$A270,'S5'!$T$5:$T$2917),""),"")</f>
        <v/>
      </c>
    </row>
    <row r="271" spans="1:28" s="144" customFormat="1" ht="11.25" x14ac:dyDescent="0.15">
      <c r="A271" s="177">
        <v>3694112</v>
      </c>
      <c r="B271" s="177" t="s">
        <v>351</v>
      </c>
      <c r="C271" s="177" t="s">
        <v>352</v>
      </c>
      <c r="D271" s="177" t="s">
        <v>353</v>
      </c>
      <c r="E271" s="177" t="s">
        <v>116</v>
      </c>
      <c r="F271" s="177">
        <v>3</v>
      </c>
      <c r="G271" s="177" t="s">
        <v>19</v>
      </c>
      <c r="H271" s="177" t="s">
        <v>20</v>
      </c>
      <c r="I271" s="177" t="s">
        <v>165</v>
      </c>
      <c r="J271" s="177"/>
      <c r="K271" s="177" t="s">
        <v>187</v>
      </c>
      <c r="L271" s="177">
        <v>50</v>
      </c>
      <c r="M271" s="177" t="s">
        <v>188</v>
      </c>
      <c r="N271" s="178">
        <v>1000</v>
      </c>
      <c r="O271" s="178">
        <v>1000</v>
      </c>
      <c r="P271" s="178">
        <v>3000</v>
      </c>
      <c r="Q271" s="177">
        <v>2</v>
      </c>
      <c r="R271" s="177">
        <v>2</v>
      </c>
      <c r="S271" s="177" t="s">
        <v>354</v>
      </c>
      <c r="T271" s="179">
        <v>44916</v>
      </c>
      <c r="U271" s="179">
        <v>44949</v>
      </c>
      <c r="V271" s="177" t="s">
        <v>355</v>
      </c>
      <c r="W271" s="177"/>
      <c r="X271" s="177"/>
      <c r="Z271" s="149" t="str">
        <f t="shared" ca="1" si="4"/>
        <v/>
      </c>
      <c r="AA271" s="149" t="str">
        <f ca="1">IFERROR(IF(OR(OFFSET('S4'!#REF!,MATCH($A271,'S4'!$D$5:$D$3387,0)-1,6)="巻返し",OFFSET('S4'!#REF!,MATCH($A271,'S4'!$D$5:$D$3387,0)-1,6)="スリット"),SUMIF('S4'!$D$5:$D$3387,$A271,'S4'!$U$5:$U$3387),""),"")</f>
        <v/>
      </c>
      <c r="AB271" s="149" t="str">
        <f ca="1">IFERROR(IF(OR(OFFSET('S5'!#REF!,MATCH($A271,'S5'!$D$5:$D$2917,0)-1,6)="巻返し",OFFSET('S5'!#REF!,MATCH($A271,'S5'!$D$5:$D$2917,0)-1,6)="スリット"),SUMIF('S5'!$D$5:$D$2917,$A271,'S5'!$T$5:$T$2917),""),"")</f>
        <v/>
      </c>
    </row>
    <row r="272" spans="1:28" s="144" customFormat="1" ht="11.25" x14ac:dyDescent="0.15">
      <c r="A272" s="177">
        <v>3694113</v>
      </c>
      <c r="B272" s="177" t="s">
        <v>351</v>
      </c>
      <c r="C272" s="177" t="s">
        <v>352</v>
      </c>
      <c r="D272" s="177" t="s">
        <v>353</v>
      </c>
      <c r="E272" s="177" t="s">
        <v>116</v>
      </c>
      <c r="F272" s="177">
        <v>3</v>
      </c>
      <c r="G272" s="177" t="s">
        <v>19</v>
      </c>
      <c r="H272" s="177" t="s">
        <v>20</v>
      </c>
      <c r="I272" s="177" t="s">
        <v>165</v>
      </c>
      <c r="J272" s="177"/>
      <c r="K272" s="177" t="s">
        <v>187</v>
      </c>
      <c r="L272" s="177">
        <v>50</v>
      </c>
      <c r="M272" s="177" t="s">
        <v>188</v>
      </c>
      <c r="N272" s="178">
        <v>1160</v>
      </c>
      <c r="O272" s="178">
        <v>1160</v>
      </c>
      <c r="P272" s="178">
        <v>6000</v>
      </c>
      <c r="Q272" s="177">
        <v>2</v>
      </c>
      <c r="R272" s="177">
        <v>1</v>
      </c>
      <c r="S272" s="177" t="s">
        <v>354</v>
      </c>
      <c r="T272" s="179">
        <v>44916</v>
      </c>
      <c r="U272" s="179">
        <v>44965</v>
      </c>
      <c r="V272" s="177" t="s">
        <v>360</v>
      </c>
      <c r="W272" s="177"/>
      <c r="X272" s="177"/>
      <c r="Z272" s="149" t="str">
        <f t="shared" ca="1" si="4"/>
        <v/>
      </c>
      <c r="AA272" s="149" t="str">
        <f ca="1">IFERROR(IF(OR(OFFSET('S4'!#REF!,MATCH($A272,'S4'!$D$5:$D$3387,0)-1,6)="巻返し",OFFSET('S4'!#REF!,MATCH($A272,'S4'!$D$5:$D$3387,0)-1,6)="スリット"),SUMIF('S4'!$D$5:$D$3387,$A272,'S4'!$U$5:$U$3387),""),"")</f>
        <v/>
      </c>
      <c r="AB272" s="149" t="str">
        <f ca="1">IFERROR(IF(OR(OFFSET('S5'!#REF!,MATCH($A272,'S5'!$D$5:$D$2917,0)-1,6)="巻返し",OFFSET('S5'!#REF!,MATCH($A272,'S5'!$D$5:$D$2917,0)-1,6)="スリット"),SUMIF('S5'!$D$5:$D$2917,$A272,'S5'!$T$5:$T$2917),""),"")</f>
        <v/>
      </c>
    </row>
    <row r="273" spans="1:28" s="144" customFormat="1" ht="11.25" x14ac:dyDescent="0.15">
      <c r="A273" s="177">
        <v>3694114</v>
      </c>
      <c r="B273" s="177" t="s">
        <v>351</v>
      </c>
      <c r="C273" s="177" t="s">
        <v>352</v>
      </c>
      <c r="D273" s="177" t="s">
        <v>353</v>
      </c>
      <c r="E273" s="177" t="s">
        <v>116</v>
      </c>
      <c r="F273" s="177">
        <v>3</v>
      </c>
      <c r="G273" s="177" t="s">
        <v>19</v>
      </c>
      <c r="H273" s="177" t="s">
        <v>20</v>
      </c>
      <c r="I273" s="177" t="s">
        <v>205</v>
      </c>
      <c r="J273" s="177"/>
      <c r="K273" s="177" t="s">
        <v>218</v>
      </c>
      <c r="L273" s="177">
        <v>25</v>
      </c>
      <c r="M273" s="177" t="s">
        <v>219</v>
      </c>
      <c r="N273" s="178">
        <v>1005</v>
      </c>
      <c r="O273" s="178">
        <v>1000</v>
      </c>
      <c r="P273" s="178">
        <v>4000</v>
      </c>
      <c r="Q273" s="177">
        <v>2</v>
      </c>
      <c r="R273" s="177">
        <v>4</v>
      </c>
      <c r="S273" s="177" t="s">
        <v>354</v>
      </c>
      <c r="T273" s="179">
        <v>44916</v>
      </c>
      <c r="U273" s="179">
        <v>44949</v>
      </c>
      <c r="V273" s="177" t="s">
        <v>355</v>
      </c>
      <c r="W273" s="177"/>
      <c r="X273" s="177"/>
      <c r="Z273" s="149" t="str">
        <f t="shared" ca="1" si="4"/>
        <v/>
      </c>
      <c r="AA273" s="149" t="str">
        <f ca="1">IFERROR(IF(OR(OFFSET('S4'!#REF!,MATCH($A273,'S4'!$D$5:$D$3387,0)-1,6)="巻返し",OFFSET('S4'!#REF!,MATCH($A273,'S4'!$D$5:$D$3387,0)-1,6)="スリット"),SUMIF('S4'!$D$5:$D$3387,$A273,'S4'!$U$5:$U$3387),""),"")</f>
        <v/>
      </c>
      <c r="AB273" s="149" t="str">
        <f ca="1">IFERROR(IF(OR(OFFSET('S5'!#REF!,MATCH($A273,'S5'!$D$5:$D$2917,0)-1,6)="巻返し",OFFSET('S5'!#REF!,MATCH($A273,'S5'!$D$5:$D$2917,0)-1,6)="スリット"),SUMIF('S5'!$D$5:$D$2917,$A273,'S5'!$T$5:$T$2917),""),"")</f>
        <v/>
      </c>
    </row>
    <row r="274" spans="1:28" s="144" customFormat="1" ht="11.25" x14ac:dyDescent="0.15">
      <c r="A274" s="177">
        <v>3694115</v>
      </c>
      <c r="B274" s="177" t="s">
        <v>351</v>
      </c>
      <c r="C274" s="177" t="s">
        <v>352</v>
      </c>
      <c r="D274" s="177" t="s">
        <v>353</v>
      </c>
      <c r="E274" s="177" t="s">
        <v>116</v>
      </c>
      <c r="F274" s="177">
        <v>3</v>
      </c>
      <c r="G274" s="177" t="s">
        <v>19</v>
      </c>
      <c r="H274" s="177" t="s">
        <v>20</v>
      </c>
      <c r="I274" s="177" t="s">
        <v>205</v>
      </c>
      <c r="J274" s="177"/>
      <c r="K274" s="177" t="s">
        <v>218</v>
      </c>
      <c r="L274" s="177">
        <v>50</v>
      </c>
      <c r="M274" s="177" t="s">
        <v>219</v>
      </c>
      <c r="N274" s="178">
        <v>1000</v>
      </c>
      <c r="O274" s="178">
        <v>1000</v>
      </c>
      <c r="P274" s="178">
        <v>4000</v>
      </c>
      <c r="Q274" s="177">
        <v>2</v>
      </c>
      <c r="R274" s="177">
        <v>21</v>
      </c>
      <c r="S274" s="177" t="s">
        <v>354</v>
      </c>
      <c r="T274" s="179">
        <v>44916</v>
      </c>
      <c r="U274" s="179">
        <v>44949</v>
      </c>
      <c r="V274" s="177" t="s">
        <v>355</v>
      </c>
      <c r="W274" s="177"/>
      <c r="X274" s="177"/>
      <c r="Z274" s="149" t="str">
        <f t="shared" ca="1" si="4"/>
        <v/>
      </c>
      <c r="AA274" s="149" t="str">
        <f ca="1">IFERROR(IF(OR(OFFSET('S4'!#REF!,MATCH($A274,'S4'!$D$5:$D$3387,0)-1,6)="巻返し",OFFSET('S4'!#REF!,MATCH($A274,'S4'!$D$5:$D$3387,0)-1,6)="スリット"),SUMIF('S4'!$D$5:$D$3387,$A274,'S4'!$U$5:$U$3387),""),"")</f>
        <v/>
      </c>
      <c r="AB274" s="149" t="str">
        <f ca="1">IFERROR(IF(OR(OFFSET('S5'!#REF!,MATCH($A274,'S5'!$D$5:$D$2917,0)-1,6)="巻返し",OFFSET('S5'!#REF!,MATCH($A274,'S5'!$D$5:$D$2917,0)-1,6)="スリット"),SUMIF('S5'!$D$5:$D$2917,$A274,'S5'!$T$5:$T$2917),""),"")</f>
        <v/>
      </c>
    </row>
    <row r="275" spans="1:28" s="144" customFormat="1" ht="11.25" x14ac:dyDescent="0.15">
      <c r="A275" s="177">
        <v>3694116</v>
      </c>
      <c r="B275" s="177" t="s">
        <v>351</v>
      </c>
      <c r="C275" s="177" t="s">
        <v>352</v>
      </c>
      <c r="D275" s="177" t="s">
        <v>353</v>
      </c>
      <c r="E275" s="177" t="s">
        <v>116</v>
      </c>
      <c r="F275" s="177" t="s">
        <v>158</v>
      </c>
      <c r="G275" s="177" t="s">
        <v>19</v>
      </c>
      <c r="H275" s="177" t="s">
        <v>20</v>
      </c>
      <c r="I275" s="177" t="s">
        <v>165</v>
      </c>
      <c r="J275" s="177"/>
      <c r="K275" s="177" t="s">
        <v>192</v>
      </c>
      <c r="L275" s="177">
        <v>50</v>
      </c>
      <c r="M275" s="177" t="s">
        <v>193</v>
      </c>
      <c r="N275" s="178">
        <v>1005</v>
      </c>
      <c r="O275" s="178">
        <v>1000</v>
      </c>
      <c r="P275" s="178">
        <v>4000</v>
      </c>
      <c r="Q275" s="177">
        <v>2</v>
      </c>
      <c r="R275" s="177">
        <v>3</v>
      </c>
      <c r="S275" s="177" t="s">
        <v>354</v>
      </c>
      <c r="T275" s="179">
        <v>44916</v>
      </c>
      <c r="U275" s="179">
        <v>44949</v>
      </c>
      <c r="V275" s="177" t="s">
        <v>355</v>
      </c>
      <c r="W275" s="177"/>
      <c r="X275" s="177"/>
      <c r="Z275" s="149" t="str">
        <f t="shared" ca="1" si="4"/>
        <v/>
      </c>
      <c r="AA275" s="149" t="str">
        <f ca="1">IFERROR(IF(OR(OFFSET('S4'!#REF!,MATCH($A275,'S4'!$D$5:$D$3387,0)-1,6)="巻返し",OFFSET('S4'!#REF!,MATCH($A275,'S4'!$D$5:$D$3387,0)-1,6)="スリット"),SUMIF('S4'!$D$5:$D$3387,$A275,'S4'!$U$5:$U$3387),""),"")</f>
        <v/>
      </c>
      <c r="AB275" s="149" t="str">
        <f ca="1">IFERROR(IF(OR(OFFSET('S5'!#REF!,MATCH($A275,'S5'!$D$5:$D$2917,0)-1,6)="巻返し",OFFSET('S5'!#REF!,MATCH($A275,'S5'!$D$5:$D$2917,0)-1,6)="スリット"),SUMIF('S5'!$D$5:$D$2917,$A275,'S5'!$T$5:$T$2917),""),"")</f>
        <v/>
      </c>
    </row>
    <row r="276" spans="1:28" s="144" customFormat="1" ht="11.25" x14ac:dyDescent="0.15">
      <c r="A276" s="177">
        <v>3694117</v>
      </c>
      <c r="B276" s="177" t="s">
        <v>351</v>
      </c>
      <c r="C276" s="177" t="s">
        <v>352</v>
      </c>
      <c r="D276" s="177" t="s">
        <v>353</v>
      </c>
      <c r="E276" s="177" t="s">
        <v>116</v>
      </c>
      <c r="F276" s="177" t="s">
        <v>158</v>
      </c>
      <c r="G276" s="177" t="s">
        <v>19</v>
      </c>
      <c r="H276" s="177" t="s">
        <v>20</v>
      </c>
      <c r="I276" s="177" t="s">
        <v>165</v>
      </c>
      <c r="J276" s="177"/>
      <c r="K276" s="177" t="s">
        <v>195</v>
      </c>
      <c r="L276" s="177">
        <v>50</v>
      </c>
      <c r="M276" s="177" t="s">
        <v>196</v>
      </c>
      <c r="N276" s="178">
        <v>1005</v>
      </c>
      <c r="O276" s="178">
        <v>1000</v>
      </c>
      <c r="P276" s="178">
        <v>4000</v>
      </c>
      <c r="Q276" s="177">
        <v>2</v>
      </c>
      <c r="R276" s="177">
        <v>3</v>
      </c>
      <c r="S276" s="177" t="s">
        <v>354</v>
      </c>
      <c r="T276" s="179">
        <v>44916</v>
      </c>
      <c r="U276" s="179">
        <v>44949</v>
      </c>
      <c r="V276" s="177" t="s">
        <v>355</v>
      </c>
      <c r="W276" s="177"/>
      <c r="X276" s="177"/>
      <c r="Z276" s="149" t="str">
        <f t="shared" ca="1" si="4"/>
        <v/>
      </c>
      <c r="AA276" s="149" t="str">
        <f ca="1">IFERROR(IF(OR(OFFSET('S4'!#REF!,MATCH($A276,'S4'!$D$5:$D$3387,0)-1,6)="巻返し",OFFSET('S4'!#REF!,MATCH($A276,'S4'!$D$5:$D$3387,0)-1,6)="スリット"),SUMIF('S4'!$D$5:$D$3387,$A276,'S4'!$U$5:$U$3387),""),"")</f>
        <v/>
      </c>
      <c r="AB276" s="149" t="str">
        <f ca="1">IFERROR(IF(OR(OFFSET('S5'!#REF!,MATCH($A276,'S5'!$D$5:$D$2917,0)-1,6)="巻返し",OFFSET('S5'!#REF!,MATCH($A276,'S5'!$D$5:$D$2917,0)-1,6)="スリット"),SUMIF('S5'!$D$5:$D$2917,$A276,'S5'!$T$5:$T$2917),""),"")</f>
        <v/>
      </c>
    </row>
    <row r="277" spans="1:28" s="144" customFormat="1" ht="11.25" x14ac:dyDescent="0.15">
      <c r="A277" s="177">
        <v>3694119</v>
      </c>
      <c r="B277" s="177" t="s">
        <v>351</v>
      </c>
      <c r="C277" s="177" t="s">
        <v>352</v>
      </c>
      <c r="D277" s="177" t="s">
        <v>353</v>
      </c>
      <c r="E277" s="177" t="s">
        <v>116</v>
      </c>
      <c r="F277" s="177">
        <v>3</v>
      </c>
      <c r="G277" s="177" t="s">
        <v>19</v>
      </c>
      <c r="H277" s="177" t="s">
        <v>20</v>
      </c>
      <c r="I277" s="177" t="s">
        <v>205</v>
      </c>
      <c r="J277" s="177"/>
      <c r="K277" s="177" t="s">
        <v>221</v>
      </c>
      <c r="L277" s="177">
        <v>25</v>
      </c>
      <c r="M277" s="177" t="s">
        <v>222</v>
      </c>
      <c r="N277" s="178">
        <v>1000</v>
      </c>
      <c r="O277" s="178">
        <v>1000</v>
      </c>
      <c r="P277" s="178">
        <v>6000</v>
      </c>
      <c r="Q277" s="177">
        <v>2</v>
      </c>
      <c r="R277" s="177">
        <v>8</v>
      </c>
      <c r="S277" s="177" t="s">
        <v>354</v>
      </c>
      <c r="T277" s="179">
        <v>44916</v>
      </c>
      <c r="U277" s="179">
        <v>44936</v>
      </c>
      <c r="V277" s="177" t="s">
        <v>355</v>
      </c>
      <c r="W277" s="177"/>
      <c r="X277" s="177"/>
      <c r="Z277" s="149" t="str">
        <f t="shared" ca="1" si="4"/>
        <v/>
      </c>
      <c r="AA277" s="149" t="str">
        <f ca="1">IFERROR(IF(OR(OFFSET('S4'!#REF!,MATCH($A277,'S4'!$D$5:$D$3387,0)-1,6)="巻返し",OFFSET('S4'!#REF!,MATCH($A277,'S4'!$D$5:$D$3387,0)-1,6)="スリット"),SUMIF('S4'!$D$5:$D$3387,$A277,'S4'!$U$5:$U$3387),""),"")</f>
        <v/>
      </c>
      <c r="AB277" s="149" t="str">
        <f ca="1">IFERROR(IF(OR(OFFSET('S5'!#REF!,MATCH($A277,'S5'!$D$5:$D$2917,0)-1,6)="巻返し",OFFSET('S5'!#REF!,MATCH($A277,'S5'!$D$5:$D$2917,0)-1,6)="スリット"),SUMIF('S5'!$D$5:$D$2917,$A277,'S5'!$T$5:$T$2917),""),"")</f>
        <v/>
      </c>
    </row>
    <row r="278" spans="1:28" s="144" customFormat="1" ht="11.25" x14ac:dyDescent="0.15">
      <c r="A278" s="177">
        <v>3694120</v>
      </c>
      <c r="B278" s="177" t="s">
        <v>351</v>
      </c>
      <c r="C278" s="177" t="s">
        <v>352</v>
      </c>
      <c r="D278" s="177" t="s">
        <v>353</v>
      </c>
      <c r="E278" s="177" t="s">
        <v>116</v>
      </c>
      <c r="F278" s="177">
        <v>3</v>
      </c>
      <c r="G278" s="177" t="s">
        <v>19</v>
      </c>
      <c r="H278" s="177" t="s">
        <v>20</v>
      </c>
      <c r="I278" s="177" t="s">
        <v>205</v>
      </c>
      <c r="J278" s="177"/>
      <c r="K278" s="177" t="s">
        <v>221</v>
      </c>
      <c r="L278" s="177">
        <v>25</v>
      </c>
      <c r="M278" s="177" t="s">
        <v>222</v>
      </c>
      <c r="N278" s="178">
        <v>1100</v>
      </c>
      <c r="O278" s="178">
        <v>1100</v>
      </c>
      <c r="P278" s="178">
        <v>6000</v>
      </c>
      <c r="Q278" s="177">
        <v>2</v>
      </c>
      <c r="R278" s="177">
        <v>20</v>
      </c>
      <c r="S278" s="177" t="s">
        <v>354</v>
      </c>
      <c r="T278" s="179">
        <v>44916</v>
      </c>
      <c r="U278" s="179">
        <v>44936</v>
      </c>
      <c r="V278" s="177" t="s">
        <v>355</v>
      </c>
      <c r="W278" s="177"/>
      <c r="X278" s="177"/>
      <c r="Z278" s="149" t="str">
        <f t="shared" ca="1" si="4"/>
        <v/>
      </c>
      <c r="AA278" s="149" t="str">
        <f ca="1">IFERROR(IF(OR(OFFSET('S4'!#REF!,MATCH($A278,'S4'!$D$5:$D$3387,0)-1,6)="巻返し",OFFSET('S4'!#REF!,MATCH($A278,'S4'!$D$5:$D$3387,0)-1,6)="スリット"),SUMIF('S4'!$D$5:$D$3387,$A278,'S4'!$U$5:$U$3387),""),"")</f>
        <v/>
      </c>
      <c r="AB278" s="149" t="str">
        <f ca="1">IFERROR(IF(OR(OFFSET('S5'!#REF!,MATCH($A278,'S5'!$D$5:$D$2917,0)-1,6)="巻返し",OFFSET('S5'!#REF!,MATCH($A278,'S5'!$D$5:$D$2917,0)-1,6)="スリット"),SUMIF('S5'!$D$5:$D$2917,$A278,'S5'!$T$5:$T$2917),""),"")</f>
        <v/>
      </c>
    </row>
    <row r="279" spans="1:28" s="144" customFormat="1" ht="11.25" x14ac:dyDescent="0.15">
      <c r="A279" s="177">
        <v>3694121</v>
      </c>
      <c r="B279" s="177" t="s">
        <v>351</v>
      </c>
      <c r="C279" s="177" t="s">
        <v>352</v>
      </c>
      <c r="D279" s="177" t="s">
        <v>353</v>
      </c>
      <c r="E279" s="177" t="s">
        <v>116</v>
      </c>
      <c r="F279" s="177">
        <v>3</v>
      </c>
      <c r="G279" s="177" t="s">
        <v>19</v>
      </c>
      <c r="H279" s="177" t="s">
        <v>20</v>
      </c>
      <c r="I279" s="177" t="s">
        <v>165</v>
      </c>
      <c r="J279" s="177"/>
      <c r="K279" s="177" t="s">
        <v>176</v>
      </c>
      <c r="L279" s="177">
        <v>25</v>
      </c>
      <c r="M279" s="177" t="s">
        <v>177</v>
      </c>
      <c r="N279" s="178">
        <v>1005</v>
      </c>
      <c r="O279" s="178">
        <v>1000</v>
      </c>
      <c r="P279" s="178">
        <v>2000</v>
      </c>
      <c r="Q279" s="177">
        <v>2</v>
      </c>
      <c r="R279" s="177">
        <v>1</v>
      </c>
      <c r="S279" s="177" t="s">
        <v>354</v>
      </c>
      <c r="T279" s="179">
        <v>44916</v>
      </c>
      <c r="U279" s="179">
        <v>44946</v>
      </c>
      <c r="V279" s="177" t="s">
        <v>355</v>
      </c>
      <c r="W279" s="177"/>
      <c r="X279" s="177"/>
      <c r="Z279" s="149" t="str">
        <f t="shared" ca="1" si="4"/>
        <v/>
      </c>
      <c r="AA279" s="149" t="str">
        <f ca="1">IFERROR(IF(OR(OFFSET('S4'!#REF!,MATCH($A279,'S4'!$D$5:$D$3387,0)-1,6)="巻返し",OFFSET('S4'!#REF!,MATCH($A279,'S4'!$D$5:$D$3387,0)-1,6)="スリット"),SUMIF('S4'!$D$5:$D$3387,$A279,'S4'!$U$5:$U$3387),""),"")</f>
        <v/>
      </c>
      <c r="AB279" s="149" t="str">
        <f ca="1">IFERROR(IF(OR(OFFSET('S5'!#REF!,MATCH($A279,'S5'!$D$5:$D$2917,0)-1,6)="巻返し",OFFSET('S5'!#REF!,MATCH($A279,'S5'!$D$5:$D$2917,0)-1,6)="スリット"),SUMIF('S5'!$D$5:$D$2917,$A279,'S5'!$T$5:$T$2917),""),"")</f>
        <v/>
      </c>
    </row>
    <row r="280" spans="1:28" s="144" customFormat="1" ht="11.25" x14ac:dyDescent="0.15">
      <c r="A280" s="177">
        <v>3694121</v>
      </c>
      <c r="B280" s="177" t="s">
        <v>351</v>
      </c>
      <c r="C280" s="177" t="s">
        <v>352</v>
      </c>
      <c r="D280" s="177" t="s">
        <v>353</v>
      </c>
      <c r="E280" s="177" t="s">
        <v>116</v>
      </c>
      <c r="F280" s="177">
        <v>3</v>
      </c>
      <c r="G280" s="177" t="s">
        <v>19</v>
      </c>
      <c r="H280" s="177" t="s">
        <v>20</v>
      </c>
      <c r="I280" s="177" t="s">
        <v>165</v>
      </c>
      <c r="J280" s="177"/>
      <c r="K280" s="177" t="s">
        <v>176</v>
      </c>
      <c r="L280" s="177">
        <v>25</v>
      </c>
      <c r="M280" s="177" t="s">
        <v>177</v>
      </c>
      <c r="N280" s="178">
        <v>1005</v>
      </c>
      <c r="O280" s="178">
        <v>1000</v>
      </c>
      <c r="P280" s="178">
        <v>6000</v>
      </c>
      <c r="Q280" s="177">
        <v>2</v>
      </c>
      <c r="R280" s="177">
        <v>1</v>
      </c>
      <c r="S280" s="177" t="s">
        <v>354</v>
      </c>
      <c r="T280" s="179">
        <v>44916</v>
      </c>
      <c r="U280" s="179">
        <v>44946</v>
      </c>
      <c r="V280" s="177" t="s">
        <v>355</v>
      </c>
      <c r="W280" s="177"/>
      <c r="X280" s="177"/>
      <c r="Z280" s="149" t="str">
        <f t="shared" ca="1" si="4"/>
        <v/>
      </c>
      <c r="AA280" s="149" t="str">
        <f ca="1">IFERROR(IF(OR(OFFSET('S4'!#REF!,MATCH($A280,'S4'!$D$5:$D$3387,0)-1,6)="巻返し",OFFSET('S4'!#REF!,MATCH($A280,'S4'!$D$5:$D$3387,0)-1,6)="スリット"),SUMIF('S4'!$D$5:$D$3387,$A280,'S4'!$U$5:$U$3387),""),"")</f>
        <v/>
      </c>
      <c r="AB280" s="149" t="str">
        <f ca="1">IFERROR(IF(OR(OFFSET('S5'!#REF!,MATCH($A280,'S5'!$D$5:$D$2917,0)-1,6)="巻返し",OFFSET('S5'!#REF!,MATCH($A280,'S5'!$D$5:$D$2917,0)-1,6)="スリット"),SUMIF('S5'!$D$5:$D$2917,$A280,'S5'!$T$5:$T$2917),""),"")</f>
        <v/>
      </c>
    </row>
    <row r="281" spans="1:28" s="144" customFormat="1" ht="11.25" x14ac:dyDescent="0.15">
      <c r="A281" s="177">
        <v>3694122</v>
      </c>
      <c r="B281" s="177" t="s">
        <v>351</v>
      </c>
      <c r="C281" s="177" t="s">
        <v>352</v>
      </c>
      <c r="D281" s="177" t="s">
        <v>353</v>
      </c>
      <c r="E281" s="177" t="s">
        <v>116</v>
      </c>
      <c r="F281" s="177">
        <v>3</v>
      </c>
      <c r="G281" s="177" t="s">
        <v>19</v>
      </c>
      <c r="H281" s="177" t="s">
        <v>20</v>
      </c>
      <c r="I281" s="177" t="s">
        <v>165</v>
      </c>
      <c r="J281" s="177"/>
      <c r="K281" s="177" t="s">
        <v>176</v>
      </c>
      <c r="L281" s="177">
        <v>50</v>
      </c>
      <c r="M281" s="177" t="s">
        <v>177</v>
      </c>
      <c r="N281" s="178">
        <v>1005</v>
      </c>
      <c r="O281" s="178">
        <v>1000</v>
      </c>
      <c r="P281" s="178">
        <v>4000</v>
      </c>
      <c r="Q281" s="177">
        <v>2</v>
      </c>
      <c r="R281" s="177">
        <v>9</v>
      </c>
      <c r="S281" s="177" t="s">
        <v>354</v>
      </c>
      <c r="T281" s="179">
        <v>44916</v>
      </c>
      <c r="U281" s="179">
        <v>44944</v>
      </c>
      <c r="V281" s="177" t="s">
        <v>355</v>
      </c>
      <c r="W281" s="177"/>
      <c r="X281" s="177"/>
      <c r="Z281" s="149" t="str">
        <f t="shared" ca="1" si="4"/>
        <v/>
      </c>
      <c r="AA281" s="149" t="str">
        <f ca="1">IFERROR(IF(OR(OFFSET('S4'!#REF!,MATCH($A281,'S4'!$D$5:$D$3387,0)-1,6)="巻返し",OFFSET('S4'!#REF!,MATCH($A281,'S4'!$D$5:$D$3387,0)-1,6)="スリット"),SUMIF('S4'!$D$5:$D$3387,$A281,'S4'!$U$5:$U$3387),""),"")</f>
        <v/>
      </c>
      <c r="AB281" s="149" t="str">
        <f ca="1">IFERROR(IF(OR(OFFSET('S5'!#REF!,MATCH($A281,'S5'!$D$5:$D$2917,0)-1,6)="巻返し",OFFSET('S5'!#REF!,MATCH($A281,'S5'!$D$5:$D$2917,0)-1,6)="スリット"),SUMIF('S5'!$D$5:$D$2917,$A281,'S5'!$T$5:$T$2917),""),"")</f>
        <v/>
      </c>
    </row>
    <row r="282" spans="1:28" s="144" customFormat="1" ht="11.25" x14ac:dyDescent="0.15">
      <c r="A282" s="177">
        <v>3694123</v>
      </c>
      <c r="B282" s="177" t="s">
        <v>351</v>
      </c>
      <c r="C282" s="177" t="s">
        <v>352</v>
      </c>
      <c r="D282" s="177" t="s">
        <v>353</v>
      </c>
      <c r="E282" s="177" t="s">
        <v>116</v>
      </c>
      <c r="F282" s="177">
        <v>3</v>
      </c>
      <c r="G282" s="177" t="s">
        <v>19</v>
      </c>
      <c r="H282" s="177" t="s">
        <v>20</v>
      </c>
      <c r="I282" s="177" t="s">
        <v>143</v>
      </c>
      <c r="J282" s="177"/>
      <c r="K282" s="177" t="s">
        <v>152</v>
      </c>
      <c r="L282" s="177">
        <v>38</v>
      </c>
      <c r="M282" s="177" t="s">
        <v>153</v>
      </c>
      <c r="N282" s="178">
        <v>1005</v>
      </c>
      <c r="O282" s="178">
        <v>1000</v>
      </c>
      <c r="P282" s="178">
        <v>4000</v>
      </c>
      <c r="Q282" s="177">
        <v>2</v>
      </c>
      <c r="R282" s="177">
        <v>2</v>
      </c>
      <c r="S282" s="177" t="s">
        <v>354</v>
      </c>
      <c r="T282" s="179">
        <v>44916</v>
      </c>
      <c r="U282" s="179">
        <v>44942</v>
      </c>
      <c r="V282" s="177" t="s">
        <v>355</v>
      </c>
      <c r="W282" s="177"/>
      <c r="X282" s="177"/>
      <c r="Z282" s="149" t="str">
        <f t="shared" ca="1" si="4"/>
        <v/>
      </c>
      <c r="AA282" s="149" t="str">
        <f ca="1">IFERROR(IF(OR(OFFSET('S4'!#REF!,MATCH($A282,'S4'!$D$5:$D$3387,0)-1,6)="巻返し",OFFSET('S4'!#REF!,MATCH($A282,'S4'!$D$5:$D$3387,0)-1,6)="スリット"),SUMIF('S4'!$D$5:$D$3387,$A282,'S4'!$U$5:$U$3387),""),"")</f>
        <v/>
      </c>
      <c r="AB282" s="149" t="str">
        <f ca="1">IFERROR(IF(OR(OFFSET('S5'!#REF!,MATCH($A282,'S5'!$D$5:$D$2917,0)-1,6)="巻返し",OFFSET('S5'!#REF!,MATCH($A282,'S5'!$D$5:$D$2917,0)-1,6)="スリット"),SUMIF('S5'!$D$5:$D$2917,$A282,'S5'!$T$5:$T$2917),""),"")</f>
        <v/>
      </c>
    </row>
    <row r="283" spans="1:28" s="144" customFormat="1" ht="11.25" x14ac:dyDescent="0.15">
      <c r="A283" s="177">
        <v>3694124</v>
      </c>
      <c r="B283" s="177" t="s">
        <v>351</v>
      </c>
      <c r="C283" s="177" t="s">
        <v>352</v>
      </c>
      <c r="D283" s="177" t="s">
        <v>353</v>
      </c>
      <c r="E283" s="177" t="s">
        <v>116</v>
      </c>
      <c r="F283" s="177">
        <v>3</v>
      </c>
      <c r="G283" s="177" t="s">
        <v>19</v>
      </c>
      <c r="H283" s="177" t="s">
        <v>20</v>
      </c>
      <c r="I283" s="177" t="s">
        <v>143</v>
      </c>
      <c r="J283" s="177"/>
      <c r="K283" s="177" t="s">
        <v>152</v>
      </c>
      <c r="L283" s="177">
        <v>38</v>
      </c>
      <c r="M283" s="177" t="s">
        <v>153</v>
      </c>
      <c r="N283" s="178">
        <v>1005</v>
      </c>
      <c r="O283" s="178">
        <v>1000</v>
      </c>
      <c r="P283" s="178">
        <v>4000</v>
      </c>
      <c r="Q283" s="177">
        <v>2</v>
      </c>
      <c r="R283" s="177">
        <v>2</v>
      </c>
      <c r="S283" s="177" t="s">
        <v>354</v>
      </c>
      <c r="T283" s="179">
        <v>44916</v>
      </c>
      <c r="U283" s="179">
        <v>44942</v>
      </c>
      <c r="V283" s="177" t="s">
        <v>355</v>
      </c>
      <c r="W283" s="177"/>
      <c r="X283" s="177"/>
      <c r="Z283" s="149" t="str">
        <f t="shared" ca="1" si="4"/>
        <v/>
      </c>
      <c r="AA283" s="149" t="str">
        <f ca="1">IFERROR(IF(OR(OFFSET('S4'!#REF!,MATCH($A283,'S4'!$D$5:$D$3387,0)-1,6)="巻返し",OFFSET('S4'!#REF!,MATCH($A283,'S4'!$D$5:$D$3387,0)-1,6)="スリット"),SUMIF('S4'!$D$5:$D$3387,$A283,'S4'!$U$5:$U$3387),""),"")</f>
        <v/>
      </c>
      <c r="AB283" s="149" t="str">
        <f ca="1">IFERROR(IF(OR(OFFSET('S5'!#REF!,MATCH($A283,'S5'!$D$5:$D$2917,0)-1,6)="巻返し",OFFSET('S5'!#REF!,MATCH($A283,'S5'!$D$5:$D$2917,0)-1,6)="スリット"),SUMIF('S5'!$D$5:$D$2917,$A283,'S5'!$T$5:$T$2917),""),"")</f>
        <v/>
      </c>
    </row>
    <row r="284" spans="1:28" s="144" customFormat="1" ht="11.25" x14ac:dyDescent="0.15">
      <c r="A284" s="177">
        <v>3694125</v>
      </c>
      <c r="B284" s="177" t="s">
        <v>351</v>
      </c>
      <c r="C284" s="177" t="s">
        <v>352</v>
      </c>
      <c r="D284" s="177" t="s">
        <v>353</v>
      </c>
      <c r="E284" s="177" t="s">
        <v>116</v>
      </c>
      <c r="F284" s="177">
        <v>3</v>
      </c>
      <c r="G284" s="177" t="s">
        <v>19</v>
      </c>
      <c r="H284" s="177" t="s">
        <v>28</v>
      </c>
      <c r="I284" s="177" t="s">
        <v>205</v>
      </c>
      <c r="J284" s="177"/>
      <c r="K284" s="177" t="s">
        <v>240</v>
      </c>
      <c r="L284" s="177">
        <v>50</v>
      </c>
      <c r="M284" s="177" t="s">
        <v>241</v>
      </c>
      <c r="N284" s="178">
        <v>1120</v>
      </c>
      <c r="O284" s="178">
        <v>1120</v>
      </c>
      <c r="P284" s="178">
        <v>4000</v>
      </c>
      <c r="Q284" s="177">
        <v>2</v>
      </c>
      <c r="R284" s="177">
        <v>2</v>
      </c>
      <c r="S284" s="177" t="s">
        <v>354</v>
      </c>
      <c r="T284" s="179">
        <v>44916</v>
      </c>
      <c r="U284" s="179">
        <v>44949</v>
      </c>
      <c r="V284" s="177" t="s">
        <v>355</v>
      </c>
      <c r="W284" s="177"/>
      <c r="X284" s="177"/>
      <c r="Z284" s="149" t="str">
        <f t="shared" ca="1" si="4"/>
        <v/>
      </c>
      <c r="AA284" s="149" t="str">
        <f ca="1">IFERROR(IF(OR(OFFSET('S4'!#REF!,MATCH($A284,'S4'!$D$5:$D$3387,0)-1,6)="巻返し",OFFSET('S4'!#REF!,MATCH($A284,'S4'!$D$5:$D$3387,0)-1,6)="スリット"),SUMIF('S4'!$D$5:$D$3387,$A284,'S4'!$U$5:$U$3387),""),"")</f>
        <v/>
      </c>
      <c r="AB284" s="149" t="str">
        <f ca="1">IFERROR(IF(OR(OFFSET('S5'!#REF!,MATCH($A284,'S5'!$D$5:$D$2917,0)-1,6)="巻返し",OFFSET('S5'!#REF!,MATCH($A284,'S5'!$D$5:$D$2917,0)-1,6)="スリット"),SUMIF('S5'!$D$5:$D$2917,$A284,'S5'!$T$5:$T$2917),""),"")</f>
        <v/>
      </c>
    </row>
    <row r="285" spans="1:28" s="144" customFormat="1" ht="11.25" x14ac:dyDescent="0.15">
      <c r="A285" s="177">
        <v>3694126</v>
      </c>
      <c r="B285" s="177" t="s">
        <v>351</v>
      </c>
      <c r="C285" s="177" t="s">
        <v>352</v>
      </c>
      <c r="D285" s="177" t="s">
        <v>353</v>
      </c>
      <c r="E285" s="177" t="s">
        <v>116</v>
      </c>
      <c r="F285" s="177">
        <v>3</v>
      </c>
      <c r="G285" s="177" t="s">
        <v>19</v>
      </c>
      <c r="H285" s="177" t="s">
        <v>28</v>
      </c>
      <c r="I285" s="177" t="s">
        <v>205</v>
      </c>
      <c r="J285" s="177"/>
      <c r="K285" s="177" t="s">
        <v>237</v>
      </c>
      <c r="L285" s="177">
        <v>50</v>
      </c>
      <c r="M285" s="177" t="s">
        <v>238</v>
      </c>
      <c r="N285" s="178">
        <v>1120</v>
      </c>
      <c r="O285" s="178">
        <v>1120</v>
      </c>
      <c r="P285" s="178">
        <v>4000</v>
      </c>
      <c r="Q285" s="177">
        <v>2</v>
      </c>
      <c r="R285" s="177">
        <v>4</v>
      </c>
      <c r="S285" s="177" t="s">
        <v>354</v>
      </c>
      <c r="T285" s="179">
        <v>44916</v>
      </c>
      <c r="U285" s="179">
        <v>44949</v>
      </c>
      <c r="V285" s="177" t="s">
        <v>355</v>
      </c>
      <c r="W285" s="177"/>
      <c r="X285" s="177"/>
      <c r="Z285" s="149" t="str">
        <f t="shared" ca="1" si="4"/>
        <v/>
      </c>
      <c r="AA285" s="149" t="str">
        <f ca="1">IFERROR(IF(OR(OFFSET('S4'!#REF!,MATCH($A285,'S4'!$D$5:$D$3387,0)-1,6)="巻返し",OFFSET('S4'!#REF!,MATCH($A285,'S4'!$D$5:$D$3387,0)-1,6)="スリット"),SUMIF('S4'!$D$5:$D$3387,$A285,'S4'!$U$5:$U$3387),""),"")</f>
        <v/>
      </c>
      <c r="AB285" s="149" t="str">
        <f ca="1">IFERROR(IF(OR(OFFSET('S5'!#REF!,MATCH($A285,'S5'!$D$5:$D$2917,0)-1,6)="巻返し",OFFSET('S5'!#REF!,MATCH($A285,'S5'!$D$5:$D$2917,0)-1,6)="スリット"),SUMIF('S5'!$D$5:$D$2917,$A285,'S5'!$T$5:$T$2917),""),"")</f>
        <v/>
      </c>
    </row>
    <row r="286" spans="1:28" s="144" customFormat="1" ht="11.25" x14ac:dyDescent="0.15">
      <c r="A286" s="177">
        <v>3694127</v>
      </c>
      <c r="B286" s="177" t="s">
        <v>351</v>
      </c>
      <c r="C286" s="177" t="s">
        <v>352</v>
      </c>
      <c r="D286" s="177" t="s">
        <v>353</v>
      </c>
      <c r="E286" s="177" t="s">
        <v>116</v>
      </c>
      <c r="F286" s="177">
        <v>3</v>
      </c>
      <c r="G286" s="177" t="s">
        <v>19</v>
      </c>
      <c r="H286" s="177" t="s">
        <v>28</v>
      </c>
      <c r="I286" s="177" t="s">
        <v>205</v>
      </c>
      <c r="J286" s="177"/>
      <c r="K286" s="177" t="s">
        <v>233</v>
      </c>
      <c r="L286" s="177">
        <v>50</v>
      </c>
      <c r="M286" s="177" t="s">
        <v>234</v>
      </c>
      <c r="N286" s="178">
        <v>1120</v>
      </c>
      <c r="O286" s="178">
        <v>1120</v>
      </c>
      <c r="P286" s="178">
        <v>4000</v>
      </c>
      <c r="Q286" s="177">
        <v>2</v>
      </c>
      <c r="R286" s="177">
        <v>4</v>
      </c>
      <c r="S286" s="177" t="s">
        <v>354</v>
      </c>
      <c r="T286" s="179">
        <v>44916</v>
      </c>
      <c r="U286" s="179">
        <v>44949</v>
      </c>
      <c r="V286" s="177" t="s">
        <v>355</v>
      </c>
      <c r="W286" s="177"/>
      <c r="X286" s="177"/>
      <c r="Z286" s="149" t="str">
        <f t="shared" ca="1" si="4"/>
        <v/>
      </c>
      <c r="AA286" s="149" t="str">
        <f ca="1">IFERROR(IF(OR(OFFSET('S4'!#REF!,MATCH($A286,'S4'!$D$5:$D$3387,0)-1,6)="巻返し",OFFSET('S4'!#REF!,MATCH($A286,'S4'!$D$5:$D$3387,0)-1,6)="スリット"),SUMIF('S4'!$D$5:$D$3387,$A286,'S4'!$U$5:$U$3387),""),"")</f>
        <v/>
      </c>
      <c r="AB286" s="149" t="str">
        <f ca="1">IFERROR(IF(OR(OFFSET('S5'!#REF!,MATCH($A286,'S5'!$D$5:$D$2917,0)-1,6)="巻返し",OFFSET('S5'!#REF!,MATCH($A286,'S5'!$D$5:$D$2917,0)-1,6)="スリット"),SUMIF('S5'!$D$5:$D$2917,$A286,'S5'!$T$5:$T$2917),""),"")</f>
        <v/>
      </c>
    </row>
    <row r="287" spans="1:28" s="144" customFormat="1" ht="11.25" x14ac:dyDescent="0.15">
      <c r="A287" s="177">
        <v>3694128</v>
      </c>
      <c r="B287" s="177" t="s">
        <v>351</v>
      </c>
      <c r="C287" s="177" t="s">
        <v>358</v>
      </c>
      <c r="D287" s="177" t="s">
        <v>353</v>
      </c>
      <c r="E287" s="177" t="s">
        <v>753</v>
      </c>
      <c r="F287" s="177">
        <v>3</v>
      </c>
      <c r="G287" s="177" t="s">
        <v>19</v>
      </c>
      <c r="H287" s="177" t="s">
        <v>20</v>
      </c>
      <c r="I287" s="177" t="s">
        <v>205</v>
      </c>
      <c r="J287" s="177"/>
      <c r="K287" s="177" t="s">
        <v>230</v>
      </c>
      <c r="L287" s="177">
        <v>25</v>
      </c>
      <c r="M287" s="177" t="s">
        <v>231</v>
      </c>
      <c r="N287" s="178">
        <v>510</v>
      </c>
      <c r="O287" s="178">
        <v>510</v>
      </c>
      <c r="P287" s="178">
        <v>2000</v>
      </c>
      <c r="Q287" s="177">
        <v>1</v>
      </c>
      <c r="R287" s="177">
        <v>12</v>
      </c>
      <c r="S287" s="177" t="s">
        <v>354</v>
      </c>
      <c r="T287" s="179">
        <v>44916</v>
      </c>
      <c r="U287" s="179">
        <v>44949</v>
      </c>
      <c r="V287" s="177" t="s">
        <v>355</v>
      </c>
      <c r="W287" s="177"/>
      <c r="X287" s="177"/>
      <c r="Z287" s="149" t="str">
        <f t="shared" ca="1" si="4"/>
        <v/>
      </c>
      <c r="AA287" s="149" t="str">
        <f ca="1">IFERROR(IF(OR(OFFSET('S4'!#REF!,MATCH($A287,'S4'!$D$5:$D$3387,0)-1,6)="巻返し",OFFSET('S4'!#REF!,MATCH($A287,'S4'!$D$5:$D$3387,0)-1,6)="スリット"),SUMIF('S4'!$D$5:$D$3387,$A287,'S4'!$U$5:$U$3387),""),"")</f>
        <v/>
      </c>
      <c r="AB287" s="149" t="str">
        <f ca="1">IFERROR(IF(OR(OFFSET('S5'!#REF!,MATCH($A287,'S5'!$D$5:$D$2917,0)-1,6)="巻返し",OFFSET('S5'!#REF!,MATCH($A287,'S5'!$D$5:$D$2917,0)-1,6)="スリット"),SUMIF('S5'!$D$5:$D$2917,$A287,'S5'!$T$5:$T$2917),""),"")</f>
        <v/>
      </c>
    </row>
    <row r="288" spans="1:28" s="144" customFormat="1" ht="11.25" x14ac:dyDescent="0.15">
      <c r="A288" s="177">
        <v>3697647</v>
      </c>
      <c r="B288" s="177" t="s">
        <v>351</v>
      </c>
      <c r="C288" s="177" t="s">
        <v>356</v>
      </c>
      <c r="D288" s="177" t="s">
        <v>353</v>
      </c>
      <c r="E288" s="177" t="s">
        <v>17</v>
      </c>
      <c r="F288" s="177">
        <v>3</v>
      </c>
      <c r="G288" s="177" t="s">
        <v>19</v>
      </c>
      <c r="H288" s="177" t="s">
        <v>20</v>
      </c>
      <c r="I288" s="177" t="s">
        <v>205</v>
      </c>
      <c r="J288" s="177"/>
      <c r="K288" s="177" t="s">
        <v>242</v>
      </c>
      <c r="L288" s="177">
        <v>75</v>
      </c>
      <c r="M288" s="177" t="s">
        <v>243</v>
      </c>
      <c r="N288" s="178">
        <v>1000</v>
      </c>
      <c r="O288" s="178">
        <v>1000</v>
      </c>
      <c r="P288" s="178">
        <v>1000</v>
      </c>
      <c r="Q288" s="177">
        <v>2</v>
      </c>
      <c r="R288" s="177">
        <v>2</v>
      </c>
      <c r="S288" s="177" t="s">
        <v>354</v>
      </c>
      <c r="T288" s="179">
        <v>44949</v>
      </c>
      <c r="U288" s="179">
        <v>44977</v>
      </c>
      <c r="V288" s="177" t="s">
        <v>355</v>
      </c>
      <c r="W288" s="177"/>
      <c r="X288" s="177"/>
      <c r="Z288" s="149" t="str">
        <f t="shared" ca="1" si="4"/>
        <v/>
      </c>
      <c r="AA288" s="149" t="str">
        <f ca="1">IFERROR(IF(OR(OFFSET('S4'!#REF!,MATCH($A288,'S4'!$D$5:$D$3387,0)-1,6)="巻返し",OFFSET('S4'!#REF!,MATCH($A288,'S4'!$D$5:$D$3387,0)-1,6)="スリット"),SUMIF('S4'!$D$5:$D$3387,$A288,'S4'!$U$5:$U$3387),""),"")</f>
        <v/>
      </c>
      <c r="AB288" s="149" t="str">
        <f ca="1">IFERROR(IF(OR(OFFSET('S5'!#REF!,MATCH($A288,'S5'!$D$5:$D$2917,0)-1,6)="巻返し",OFFSET('S5'!#REF!,MATCH($A288,'S5'!$D$5:$D$2917,0)-1,6)="スリット"),SUMIF('S5'!$D$5:$D$2917,$A288,'S5'!$T$5:$T$2917),""),"")</f>
        <v/>
      </c>
    </row>
    <row r="289" spans="1:28" s="144" customFormat="1" ht="11.25" x14ac:dyDescent="0.15">
      <c r="A289" s="177">
        <v>3697651</v>
      </c>
      <c r="B289" s="177" t="s">
        <v>351</v>
      </c>
      <c r="C289" s="177" t="s">
        <v>363</v>
      </c>
      <c r="D289" s="177" t="s">
        <v>353</v>
      </c>
      <c r="E289" s="177" t="s">
        <v>204</v>
      </c>
      <c r="F289" s="177">
        <v>3</v>
      </c>
      <c r="G289" s="177" t="s">
        <v>19</v>
      </c>
      <c r="H289" s="177" t="s">
        <v>20</v>
      </c>
      <c r="I289" s="177" t="s">
        <v>205</v>
      </c>
      <c r="J289" s="177"/>
      <c r="K289" s="177" t="s">
        <v>206</v>
      </c>
      <c r="L289" s="177">
        <v>50</v>
      </c>
      <c r="M289" s="177" t="s">
        <v>207</v>
      </c>
      <c r="N289" s="178">
        <v>1020</v>
      </c>
      <c r="O289" s="178">
        <v>1000</v>
      </c>
      <c r="P289" s="178">
        <v>2000</v>
      </c>
      <c r="Q289" s="177">
        <v>2</v>
      </c>
      <c r="R289" s="177">
        <v>4</v>
      </c>
      <c r="S289" s="177" t="s">
        <v>354</v>
      </c>
      <c r="T289" s="179">
        <v>44949</v>
      </c>
      <c r="U289" s="179">
        <v>44977</v>
      </c>
      <c r="V289" s="177" t="s">
        <v>355</v>
      </c>
      <c r="W289" s="177"/>
      <c r="X289" s="177"/>
      <c r="Z289" s="149" t="str">
        <f t="shared" ca="1" si="4"/>
        <v/>
      </c>
      <c r="AA289" s="149" t="str">
        <f ca="1">IFERROR(IF(OR(OFFSET('S4'!#REF!,MATCH($A289,'S4'!$D$5:$D$3387,0)-1,6)="巻返し",OFFSET('S4'!#REF!,MATCH($A289,'S4'!$D$5:$D$3387,0)-1,6)="スリット"),SUMIF('S4'!$D$5:$D$3387,$A289,'S4'!$U$5:$U$3387),""),"")</f>
        <v/>
      </c>
      <c r="AB289" s="149" t="str">
        <f ca="1">IFERROR(IF(OR(OFFSET('S5'!#REF!,MATCH($A289,'S5'!$D$5:$D$2917,0)-1,6)="巻返し",OFFSET('S5'!#REF!,MATCH($A289,'S5'!$D$5:$D$2917,0)-1,6)="スリット"),SUMIF('S5'!$D$5:$D$2917,$A289,'S5'!$T$5:$T$2917),""),"")</f>
        <v/>
      </c>
    </row>
    <row r="290" spans="1:28" s="144" customFormat="1" ht="11.25" x14ac:dyDescent="0.15">
      <c r="A290" s="177">
        <v>3697653</v>
      </c>
      <c r="B290" s="177" t="s">
        <v>351</v>
      </c>
      <c r="C290" s="177" t="s">
        <v>364</v>
      </c>
      <c r="D290" s="177" t="s">
        <v>353</v>
      </c>
      <c r="E290" s="177" t="s">
        <v>171</v>
      </c>
      <c r="F290" s="177" t="s">
        <v>96</v>
      </c>
      <c r="G290" s="177" t="s">
        <v>19</v>
      </c>
      <c r="H290" s="177" t="s">
        <v>20</v>
      </c>
      <c r="I290" s="177" t="s">
        <v>165</v>
      </c>
      <c r="J290" s="177"/>
      <c r="K290" s="177" t="s">
        <v>169</v>
      </c>
      <c r="L290" s="177">
        <v>50</v>
      </c>
      <c r="M290" s="177" t="s">
        <v>170</v>
      </c>
      <c r="N290" s="178">
        <v>1190</v>
      </c>
      <c r="O290" s="178">
        <v>1190</v>
      </c>
      <c r="P290" s="178">
        <v>6000</v>
      </c>
      <c r="Q290" s="177">
        <v>2</v>
      </c>
      <c r="R290" s="177">
        <v>6</v>
      </c>
      <c r="S290" s="177" t="s">
        <v>354</v>
      </c>
      <c r="T290" s="179">
        <v>44949</v>
      </c>
      <c r="U290" s="179">
        <v>44977</v>
      </c>
      <c r="V290" s="177" t="s">
        <v>355</v>
      </c>
      <c r="W290" s="177"/>
      <c r="X290" s="177"/>
      <c r="Z290" s="149" t="str">
        <f t="shared" ca="1" si="4"/>
        <v/>
      </c>
      <c r="AA290" s="149" t="str">
        <f ca="1">IFERROR(IF(OR(OFFSET('S4'!#REF!,MATCH($A290,'S4'!$D$5:$D$3387,0)-1,6)="巻返し",OFFSET('S4'!#REF!,MATCH($A290,'S4'!$D$5:$D$3387,0)-1,6)="スリット"),SUMIF('S4'!$D$5:$D$3387,$A290,'S4'!$U$5:$U$3387),""),"")</f>
        <v/>
      </c>
      <c r="AB290" s="149" t="str">
        <f ca="1">IFERROR(IF(OR(OFFSET('S5'!#REF!,MATCH($A290,'S5'!$D$5:$D$2917,0)-1,6)="巻返し",OFFSET('S5'!#REF!,MATCH($A290,'S5'!$D$5:$D$2917,0)-1,6)="スリット"),SUMIF('S5'!$D$5:$D$2917,$A290,'S5'!$T$5:$T$2917),""),"")</f>
        <v/>
      </c>
    </row>
    <row r="291" spans="1:28" s="144" customFormat="1" ht="11.25" x14ac:dyDescent="0.15">
      <c r="A291" s="177">
        <v>3697654</v>
      </c>
      <c r="B291" s="177" t="s">
        <v>423</v>
      </c>
      <c r="C291" s="177" t="s">
        <v>364</v>
      </c>
      <c r="D291" s="177" t="s">
        <v>353</v>
      </c>
      <c r="E291" s="177" t="s">
        <v>316</v>
      </c>
      <c r="F291" s="177">
        <v>3</v>
      </c>
      <c r="G291" s="177" t="s">
        <v>265</v>
      </c>
      <c r="H291" s="177" t="s">
        <v>20</v>
      </c>
      <c r="I291" s="177" t="s">
        <v>312</v>
      </c>
      <c r="J291" s="177"/>
      <c r="K291" s="177" t="s">
        <v>317</v>
      </c>
      <c r="L291" s="177">
        <v>50</v>
      </c>
      <c r="M291" s="177" t="s">
        <v>318</v>
      </c>
      <c r="N291" s="178">
        <v>680</v>
      </c>
      <c r="O291" s="178">
        <v>680</v>
      </c>
      <c r="P291" s="178">
        <v>2000</v>
      </c>
      <c r="Q291" s="177">
        <v>2</v>
      </c>
      <c r="R291" s="177">
        <v>4</v>
      </c>
      <c r="S291" s="177" t="s">
        <v>354</v>
      </c>
      <c r="T291" s="179">
        <v>44949</v>
      </c>
      <c r="U291" s="179">
        <v>44977</v>
      </c>
      <c r="V291" s="177" t="s">
        <v>355</v>
      </c>
      <c r="W291" s="177"/>
      <c r="X291" s="177"/>
      <c r="Z291" s="149" t="str">
        <f t="shared" ca="1" si="4"/>
        <v/>
      </c>
      <c r="AA291" s="149" t="str">
        <f ca="1">IFERROR(IF(OR(OFFSET('S4'!#REF!,MATCH($A291,'S4'!$D$5:$D$3387,0)-1,6)="巻返し",OFFSET('S4'!#REF!,MATCH($A291,'S4'!$D$5:$D$3387,0)-1,6)="スリット"),SUMIF('S4'!$D$5:$D$3387,$A291,'S4'!$U$5:$U$3387),""),"")</f>
        <v/>
      </c>
      <c r="AB291" s="149" t="str">
        <f ca="1">IFERROR(IF(OR(OFFSET('S5'!#REF!,MATCH($A291,'S5'!$D$5:$D$2917,0)-1,6)="巻返し",OFFSET('S5'!#REF!,MATCH($A291,'S5'!$D$5:$D$2917,0)-1,6)="スリット"),SUMIF('S5'!$D$5:$D$2917,$A291,'S5'!$T$5:$T$2917),""),"")</f>
        <v/>
      </c>
    </row>
    <row r="292" spans="1:28" s="144" customFormat="1" ht="11.25" x14ac:dyDescent="0.15">
      <c r="A292" s="177">
        <v>3697655</v>
      </c>
      <c r="B292" s="177" t="s">
        <v>351</v>
      </c>
      <c r="C292" s="177" t="s">
        <v>364</v>
      </c>
      <c r="D292" s="177" t="s">
        <v>353</v>
      </c>
      <c r="E292" s="177" t="s">
        <v>148</v>
      </c>
      <c r="F292" s="177">
        <v>3</v>
      </c>
      <c r="G292" s="177" t="s">
        <v>19</v>
      </c>
      <c r="H292" s="177" t="s">
        <v>20</v>
      </c>
      <c r="I292" s="177" t="s">
        <v>143</v>
      </c>
      <c r="J292" s="177"/>
      <c r="K292" s="177" t="s">
        <v>149</v>
      </c>
      <c r="L292" s="177">
        <v>50</v>
      </c>
      <c r="M292" s="177" t="s">
        <v>150</v>
      </c>
      <c r="N292" s="178">
        <v>1120</v>
      </c>
      <c r="O292" s="178">
        <v>1120</v>
      </c>
      <c r="P292" s="178">
        <v>6000</v>
      </c>
      <c r="Q292" s="177">
        <v>2</v>
      </c>
      <c r="R292" s="177">
        <v>6</v>
      </c>
      <c r="S292" s="177" t="s">
        <v>354</v>
      </c>
      <c r="T292" s="179">
        <v>44949</v>
      </c>
      <c r="U292" s="179">
        <v>44977</v>
      </c>
      <c r="V292" s="177" t="s">
        <v>355</v>
      </c>
      <c r="W292" s="177"/>
      <c r="X292" s="177"/>
      <c r="Z292" s="149" t="str">
        <f t="shared" ca="1" si="4"/>
        <v/>
      </c>
      <c r="AA292" s="149" t="str">
        <f ca="1">IFERROR(IF(OR(OFFSET('S4'!#REF!,MATCH($A292,'S4'!$D$5:$D$3387,0)-1,6)="巻返し",OFFSET('S4'!#REF!,MATCH($A292,'S4'!$D$5:$D$3387,0)-1,6)="スリット"),SUMIF('S4'!$D$5:$D$3387,$A292,'S4'!$U$5:$U$3387),""),"")</f>
        <v/>
      </c>
      <c r="AB292" s="149" t="str">
        <f ca="1">IFERROR(IF(OR(OFFSET('S5'!#REF!,MATCH($A292,'S5'!$D$5:$D$2917,0)-1,6)="巻返し",OFFSET('S5'!#REF!,MATCH($A292,'S5'!$D$5:$D$2917,0)-1,6)="スリット"),SUMIF('S5'!$D$5:$D$2917,$A292,'S5'!$T$5:$T$2917),""),"")</f>
        <v/>
      </c>
    </row>
    <row r="293" spans="1:28" s="144" customFormat="1" ht="11.25" x14ac:dyDescent="0.15">
      <c r="A293" s="177">
        <v>3697656</v>
      </c>
      <c r="B293" s="177" t="s">
        <v>351</v>
      </c>
      <c r="C293" s="177" t="s">
        <v>364</v>
      </c>
      <c r="D293" s="177" t="s">
        <v>353</v>
      </c>
      <c r="E293" s="177" t="s">
        <v>148</v>
      </c>
      <c r="F293" s="177">
        <v>3</v>
      </c>
      <c r="G293" s="177" t="s">
        <v>19</v>
      </c>
      <c r="H293" s="177" t="s">
        <v>20</v>
      </c>
      <c r="I293" s="177" t="s">
        <v>165</v>
      </c>
      <c r="J293" s="177"/>
      <c r="K293" s="177" t="s">
        <v>169</v>
      </c>
      <c r="L293" s="177">
        <v>50</v>
      </c>
      <c r="M293" s="177" t="s">
        <v>170</v>
      </c>
      <c r="N293" s="178">
        <v>1120</v>
      </c>
      <c r="O293" s="178">
        <v>1120</v>
      </c>
      <c r="P293" s="178">
        <v>6000</v>
      </c>
      <c r="Q293" s="177">
        <v>2</v>
      </c>
      <c r="R293" s="177">
        <v>4</v>
      </c>
      <c r="S293" s="177" t="s">
        <v>354</v>
      </c>
      <c r="T293" s="179">
        <v>44949</v>
      </c>
      <c r="U293" s="179">
        <v>44977</v>
      </c>
      <c r="V293" s="177" t="s">
        <v>355</v>
      </c>
      <c r="W293" s="177"/>
      <c r="X293" s="177"/>
      <c r="Z293" s="149" t="str">
        <f t="shared" ca="1" si="4"/>
        <v/>
      </c>
      <c r="AA293" s="149" t="str">
        <f ca="1">IFERROR(IF(OR(OFFSET('S4'!#REF!,MATCH($A293,'S4'!$D$5:$D$3387,0)-1,6)="巻返し",OFFSET('S4'!#REF!,MATCH($A293,'S4'!$D$5:$D$3387,0)-1,6)="スリット"),SUMIF('S4'!$D$5:$D$3387,$A293,'S4'!$U$5:$U$3387),""),"")</f>
        <v/>
      </c>
      <c r="AB293" s="149" t="str">
        <f ca="1">IFERROR(IF(OR(OFFSET('S5'!#REF!,MATCH($A293,'S5'!$D$5:$D$2917,0)-1,6)="巻返し",OFFSET('S5'!#REF!,MATCH($A293,'S5'!$D$5:$D$2917,0)-1,6)="スリット"),SUMIF('S5'!$D$5:$D$2917,$A293,'S5'!$T$5:$T$2917),""),"")</f>
        <v/>
      </c>
    </row>
    <row r="294" spans="1:28" s="144" customFormat="1" ht="11.25" x14ac:dyDescent="0.15">
      <c r="A294" s="177">
        <v>3697657</v>
      </c>
      <c r="B294" s="177" t="s">
        <v>351</v>
      </c>
      <c r="C294" s="177" t="s">
        <v>352</v>
      </c>
      <c r="D294" s="177" t="s">
        <v>353</v>
      </c>
      <c r="E294" s="177" t="s">
        <v>116</v>
      </c>
      <c r="F294" s="177">
        <v>3</v>
      </c>
      <c r="G294" s="177" t="s">
        <v>19</v>
      </c>
      <c r="H294" s="177" t="s">
        <v>28</v>
      </c>
      <c r="I294" s="177" t="s">
        <v>205</v>
      </c>
      <c r="J294" s="177"/>
      <c r="K294" s="177" t="s">
        <v>212</v>
      </c>
      <c r="L294" s="177">
        <v>25</v>
      </c>
      <c r="M294" s="177" t="s">
        <v>213</v>
      </c>
      <c r="N294" s="178">
        <v>1120</v>
      </c>
      <c r="O294" s="178">
        <v>1120</v>
      </c>
      <c r="P294" s="178">
        <v>4000</v>
      </c>
      <c r="Q294" s="177">
        <v>2</v>
      </c>
      <c r="R294" s="177">
        <v>4</v>
      </c>
      <c r="S294" s="177" t="s">
        <v>354</v>
      </c>
      <c r="T294" s="179">
        <v>44949</v>
      </c>
      <c r="U294" s="179">
        <v>44985</v>
      </c>
      <c r="V294" s="177" t="s">
        <v>355</v>
      </c>
      <c r="W294" s="177"/>
      <c r="X294" s="177"/>
      <c r="Z294" s="149" t="str">
        <f t="shared" ca="1" si="4"/>
        <v/>
      </c>
      <c r="AA294" s="149" t="str">
        <f ca="1">IFERROR(IF(OR(OFFSET('S4'!#REF!,MATCH($A294,'S4'!$D$5:$D$3387,0)-1,6)="巻返し",OFFSET('S4'!#REF!,MATCH($A294,'S4'!$D$5:$D$3387,0)-1,6)="スリット"),SUMIF('S4'!$D$5:$D$3387,$A294,'S4'!$U$5:$U$3387),""),"")</f>
        <v/>
      </c>
      <c r="AB294" s="149" t="str">
        <f ca="1">IFERROR(IF(OR(OFFSET('S5'!#REF!,MATCH($A294,'S5'!$D$5:$D$2917,0)-1,6)="巻返し",OFFSET('S5'!#REF!,MATCH($A294,'S5'!$D$5:$D$2917,0)-1,6)="スリット"),SUMIF('S5'!$D$5:$D$2917,$A294,'S5'!$T$5:$T$2917),""),"")</f>
        <v/>
      </c>
    </row>
    <row r="295" spans="1:28" s="144" customFormat="1" ht="11.25" x14ac:dyDescent="0.15">
      <c r="A295" s="177">
        <v>3697658</v>
      </c>
      <c r="B295" s="177" t="s">
        <v>351</v>
      </c>
      <c r="C295" s="177" t="s">
        <v>352</v>
      </c>
      <c r="D295" s="177" t="s">
        <v>353</v>
      </c>
      <c r="E295" s="177" t="s">
        <v>116</v>
      </c>
      <c r="F295" s="177">
        <v>3</v>
      </c>
      <c r="G295" s="177" t="s">
        <v>19</v>
      </c>
      <c r="H295" s="177" t="s">
        <v>20</v>
      </c>
      <c r="I295" s="177" t="s">
        <v>205</v>
      </c>
      <c r="J295" s="177"/>
      <c r="K295" s="177" t="s">
        <v>212</v>
      </c>
      <c r="L295" s="177">
        <v>50</v>
      </c>
      <c r="M295" s="177" t="s">
        <v>213</v>
      </c>
      <c r="N295" s="178">
        <v>1120</v>
      </c>
      <c r="O295" s="178">
        <v>1120</v>
      </c>
      <c r="P295" s="178">
        <v>4000</v>
      </c>
      <c r="Q295" s="177">
        <v>2</v>
      </c>
      <c r="R295" s="177">
        <v>15</v>
      </c>
      <c r="S295" s="177" t="s">
        <v>354</v>
      </c>
      <c r="T295" s="179">
        <v>44949</v>
      </c>
      <c r="U295" s="179">
        <v>44981</v>
      </c>
      <c r="V295" s="177" t="s">
        <v>355</v>
      </c>
      <c r="W295" s="177"/>
      <c r="X295" s="177"/>
      <c r="Z295" s="149" t="str">
        <f t="shared" ca="1" si="4"/>
        <v/>
      </c>
      <c r="AA295" s="149" t="str">
        <f ca="1">IFERROR(IF(OR(OFFSET('S4'!#REF!,MATCH($A295,'S4'!$D$5:$D$3387,0)-1,6)="巻返し",OFFSET('S4'!#REF!,MATCH($A295,'S4'!$D$5:$D$3387,0)-1,6)="スリット"),SUMIF('S4'!$D$5:$D$3387,$A295,'S4'!$U$5:$U$3387),""),"")</f>
        <v/>
      </c>
      <c r="AB295" s="149" t="str">
        <f ca="1">IFERROR(IF(OR(OFFSET('S5'!#REF!,MATCH($A295,'S5'!$D$5:$D$2917,0)-1,6)="巻返し",OFFSET('S5'!#REF!,MATCH($A295,'S5'!$D$5:$D$2917,0)-1,6)="スリット"),SUMIF('S5'!$D$5:$D$2917,$A295,'S5'!$T$5:$T$2917),""),"")</f>
        <v/>
      </c>
    </row>
    <row r="296" spans="1:28" s="144" customFormat="1" ht="11.25" x14ac:dyDescent="0.15">
      <c r="A296" s="177">
        <v>3697659</v>
      </c>
      <c r="B296" s="177" t="s">
        <v>351</v>
      </c>
      <c r="C296" s="177" t="s">
        <v>352</v>
      </c>
      <c r="D296" s="177" t="s">
        <v>353</v>
      </c>
      <c r="E296" s="177" t="s">
        <v>116</v>
      </c>
      <c r="F296" s="177">
        <v>3</v>
      </c>
      <c r="G296" s="177" t="s">
        <v>19</v>
      </c>
      <c r="H296" s="177" t="s">
        <v>20</v>
      </c>
      <c r="I296" s="177" t="s">
        <v>205</v>
      </c>
      <c r="J296" s="177"/>
      <c r="K296" s="177" t="s">
        <v>211</v>
      </c>
      <c r="L296" s="177">
        <v>50</v>
      </c>
      <c r="M296" s="177" t="s">
        <v>370</v>
      </c>
      <c r="N296" s="178">
        <v>1170</v>
      </c>
      <c r="O296" s="178">
        <v>1170</v>
      </c>
      <c r="P296" s="178">
        <v>4000</v>
      </c>
      <c r="Q296" s="177">
        <v>2</v>
      </c>
      <c r="R296" s="177">
        <v>1</v>
      </c>
      <c r="S296" s="177" t="s">
        <v>354</v>
      </c>
      <c r="T296" s="179">
        <v>44949</v>
      </c>
      <c r="U296" s="179">
        <v>44972</v>
      </c>
      <c r="V296" s="177" t="s">
        <v>355</v>
      </c>
      <c r="W296" s="177"/>
      <c r="X296" s="177"/>
      <c r="Z296" s="149" t="str">
        <f t="shared" ca="1" si="4"/>
        <v/>
      </c>
      <c r="AA296" s="149" t="str">
        <f ca="1">IFERROR(IF(OR(OFFSET('S4'!#REF!,MATCH($A296,'S4'!$D$5:$D$3387,0)-1,6)="巻返し",OFFSET('S4'!#REF!,MATCH($A296,'S4'!$D$5:$D$3387,0)-1,6)="スリット"),SUMIF('S4'!$D$5:$D$3387,$A296,'S4'!$U$5:$U$3387),""),"")</f>
        <v/>
      </c>
      <c r="AB296" s="149" t="str">
        <f ca="1">IFERROR(IF(OR(OFFSET('S5'!#REF!,MATCH($A296,'S5'!$D$5:$D$2917,0)-1,6)="巻返し",OFFSET('S5'!#REF!,MATCH($A296,'S5'!$D$5:$D$2917,0)-1,6)="スリット"),SUMIF('S5'!$D$5:$D$2917,$A296,'S5'!$T$5:$T$2917),""),"")</f>
        <v/>
      </c>
    </row>
    <row r="297" spans="1:28" s="144" customFormat="1" ht="11.25" x14ac:dyDescent="0.15">
      <c r="A297" s="177">
        <v>3697660</v>
      </c>
      <c r="B297" s="177" t="s">
        <v>351</v>
      </c>
      <c r="C297" s="177" t="s">
        <v>352</v>
      </c>
      <c r="D297" s="177" t="s">
        <v>353</v>
      </c>
      <c r="E297" s="177" t="s">
        <v>116</v>
      </c>
      <c r="F297" s="177">
        <v>3</v>
      </c>
      <c r="G297" s="177" t="s">
        <v>19</v>
      </c>
      <c r="H297" s="177" t="s">
        <v>20</v>
      </c>
      <c r="I297" s="177" t="s">
        <v>165</v>
      </c>
      <c r="J297" s="177"/>
      <c r="K297" s="177" t="s">
        <v>185</v>
      </c>
      <c r="L297" s="177">
        <v>50</v>
      </c>
      <c r="M297" s="177" t="s">
        <v>186</v>
      </c>
      <c r="N297" s="178">
        <v>1005</v>
      </c>
      <c r="O297" s="178">
        <v>1000</v>
      </c>
      <c r="P297" s="178">
        <v>4000</v>
      </c>
      <c r="Q297" s="177">
        <v>2</v>
      </c>
      <c r="R297" s="177">
        <v>3</v>
      </c>
      <c r="S297" s="177" t="s">
        <v>354</v>
      </c>
      <c r="T297" s="179">
        <v>44949</v>
      </c>
      <c r="U297" s="179">
        <v>44977</v>
      </c>
      <c r="V297" s="177" t="s">
        <v>355</v>
      </c>
      <c r="W297" s="177"/>
      <c r="X297" s="177"/>
      <c r="Z297" s="149" t="str">
        <f t="shared" ca="1" si="4"/>
        <v/>
      </c>
      <c r="AA297" s="149" t="str">
        <f ca="1">IFERROR(IF(OR(OFFSET('S4'!#REF!,MATCH($A297,'S4'!$D$5:$D$3387,0)-1,6)="巻返し",OFFSET('S4'!#REF!,MATCH($A297,'S4'!$D$5:$D$3387,0)-1,6)="スリット"),SUMIF('S4'!$D$5:$D$3387,$A297,'S4'!$U$5:$U$3387),""),"")</f>
        <v/>
      </c>
      <c r="AB297" s="149" t="str">
        <f ca="1">IFERROR(IF(OR(OFFSET('S5'!#REF!,MATCH($A297,'S5'!$D$5:$D$2917,0)-1,6)="巻返し",OFFSET('S5'!#REF!,MATCH($A297,'S5'!$D$5:$D$2917,0)-1,6)="スリット"),SUMIF('S5'!$D$5:$D$2917,$A297,'S5'!$T$5:$T$2917),""),"")</f>
        <v/>
      </c>
    </row>
    <row r="298" spans="1:28" s="144" customFormat="1" ht="11.25" x14ac:dyDescent="0.15">
      <c r="A298" s="177">
        <v>3697662</v>
      </c>
      <c r="B298" s="177" t="s">
        <v>351</v>
      </c>
      <c r="C298" s="177" t="s">
        <v>352</v>
      </c>
      <c r="D298" s="177" t="s">
        <v>353</v>
      </c>
      <c r="E298" s="177" t="s">
        <v>116</v>
      </c>
      <c r="F298" s="177">
        <v>3</v>
      </c>
      <c r="G298" s="177" t="s">
        <v>19</v>
      </c>
      <c r="H298" s="177" t="s">
        <v>20</v>
      </c>
      <c r="I298" s="177" t="s">
        <v>205</v>
      </c>
      <c r="J298" s="177"/>
      <c r="K298" s="177" t="s">
        <v>216</v>
      </c>
      <c r="L298" s="177">
        <v>25</v>
      </c>
      <c r="M298" s="177" t="s">
        <v>217</v>
      </c>
      <c r="N298" s="178">
        <v>1005</v>
      </c>
      <c r="O298" s="178">
        <v>1000</v>
      </c>
      <c r="P298" s="178">
        <v>4000</v>
      </c>
      <c r="Q298" s="177">
        <v>2</v>
      </c>
      <c r="R298" s="177">
        <v>3</v>
      </c>
      <c r="S298" s="177" t="s">
        <v>354</v>
      </c>
      <c r="T298" s="179">
        <v>44949</v>
      </c>
      <c r="U298" s="179">
        <v>44977</v>
      </c>
      <c r="V298" s="177" t="s">
        <v>355</v>
      </c>
      <c r="W298" s="177"/>
      <c r="X298" s="177"/>
      <c r="Z298" s="149" t="str">
        <f t="shared" ca="1" si="4"/>
        <v/>
      </c>
      <c r="AA298" s="149" t="str">
        <f ca="1">IFERROR(IF(OR(OFFSET('S4'!#REF!,MATCH($A298,'S4'!$D$5:$D$3387,0)-1,6)="巻返し",OFFSET('S4'!#REF!,MATCH($A298,'S4'!$D$5:$D$3387,0)-1,6)="スリット"),SUMIF('S4'!$D$5:$D$3387,$A298,'S4'!$U$5:$U$3387),""),"")</f>
        <v/>
      </c>
      <c r="AB298" s="149" t="str">
        <f ca="1">IFERROR(IF(OR(OFFSET('S5'!#REF!,MATCH($A298,'S5'!$D$5:$D$2917,0)-1,6)="巻返し",OFFSET('S5'!#REF!,MATCH($A298,'S5'!$D$5:$D$2917,0)-1,6)="スリット"),SUMIF('S5'!$D$5:$D$2917,$A298,'S5'!$T$5:$T$2917),""),"")</f>
        <v/>
      </c>
    </row>
    <row r="299" spans="1:28" s="144" customFormat="1" ht="11.25" x14ac:dyDescent="0.15">
      <c r="A299" s="177">
        <v>3697663</v>
      </c>
      <c r="B299" s="177" t="s">
        <v>351</v>
      </c>
      <c r="C299" s="177" t="s">
        <v>352</v>
      </c>
      <c r="D299" s="177" t="s">
        <v>353</v>
      </c>
      <c r="E299" s="177" t="s">
        <v>116</v>
      </c>
      <c r="F299" s="177">
        <v>3</v>
      </c>
      <c r="G299" s="177" t="s">
        <v>19</v>
      </c>
      <c r="H299" s="177" t="s">
        <v>20</v>
      </c>
      <c r="I299" s="177" t="s">
        <v>205</v>
      </c>
      <c r="J299" s="177"/>
      <c r="K299" s="177" t="s">
        <v>216</v>
      </c>
      <c r="L299" s="177">
        <v>25</v>
      </c>
      <c r="M299" s="177" t="s">
        <v>217</v>
      </c>
      <c r="N299" s="178">
        <v>1125</v>
      </c>
      <c r="O299" s="178">
        <v>1120</v>
      </c>
      <c r="P299" s="178">
        <v>4000</v>
      </c>
      <c r="Q299" s="177">
        <v>2</v>
      </c>
      <c r="R299" s="177">
        <v>3</v>
      </c>
      <c r="S299" s="177" t="s">
        <v>354</v>
      </c>
      <c r="T299" s="179">
        <v>44949</v>
      </c>
      <c r="U299" s="179">
        <v>44972</v>
      </c>
      <c r="V299" s="177" t="s">
        <v>355</v>
      </c>
      <c r="W299" s="177"/>
      <c r="X299" s="177"/>
      <c r="Z299" s="149" t="str">
        <f t="shared" ca="1" si="4"/>
        <v/>
      </c>
      <c r="AA299" s="149" t="str">
        <f ca="1">IFERROR(IF(OR(OFFSET('S4'!#REF!,MATCH($A299,'S4'!$D$5:$D$3387,0)-1,6)="巻返し",OFFSET('S4'!#REF!,MATCH($A299,'S4'!$D$5:$D$3387,0)-1,6)="スリット"),SUMIF('S4'!$D$5:$D$3387,$A299,'S4'!$U$5:$U$3387),""),"")</f>
        <v/>
      </c>
      <c r="AB299" s="149" t="str">
        <f ca="1">IFERROR(IF(OR(OFFSET('S5'!#REF!,MATCH($A299,'S5'!$D$5:$D$2917,0)-1,6)="巻返し",OFFSET('S5'!#REF!,MATCH($A299,'S5'!$D$5:$D$2917,0)-1,6)="スリット"),SUMIF('S5'!$D$5:$D$2917,$A299,'S5'!$T$5:$T$2917),""),"")</f>
        <v/>
      </c>
    </row>
    <row r="300" spans="1:28" s="144" customFormat="1" ht="11.25" x14ac:dyDescent="0.15">
      <c r="A300" s="177">
        <v>3697664</v>
      </c>
      <c r="B300" s="177" t="s">
        <v>351</v>
      </c>
      <c r="C300" s="177" t="s">
        <v>352</v>
      </c>
      <c r="D300" s="177" t="s">
        <v>353</v>
      </c>
      <c r="E300" s="177" t="s">
        <v>116</v>
      </c>
      <c r="F300" s="177">
        <v>3</v>
      </c>
      <c r="G300" s="177" t="s">
        <v>19</v>
      </c>
      <c r="H300" s="177" t="s">
        <v>20</v>
      </c>
      <c r="I300" s="177" t="s">
        <v>205</v>
      </c>
      <c r="J300" s="177"/>
      <c r="K300" s="177" t="s">
        <v>216</v>
      </c>
      <c r="L300" s="177">
        <v>50</v>
      </c>
      <c r="M300" s="177" t="s">
        <v>217</v>
      </c>
      <c r="N300" s="178">
        <v>1120</v>
      </c>
      <c r="O300" s="178">
        <v>1120</v>
      </c>
      <c r="P300" s="178">
        <v>5000</v>
      </c>
      <c r="Q300" s="177">
        <v>2</v>
      </c>
      <c r="R300" s="177">
        <v>12</v>
      </c>
      <c r="S300" s="177" t="s">
        <v>354</v>
      </c>
      <c r="T300" s="179">
        <v>44949</v>
      </c>
      <c r="U300" s="179">
        <v>44973</v>
      </c>
      <c r="V300" s="177" t="s">
        <v>355</v>
      </c>
      <c r="W300" s="177"/>
      <c r="X300" s="177"/>
      <c r="Z300" s="149" t="str">
        <f t="shared" ca="1" si="4"/>
        <v/>
      </c>
      <c r="AA300" s="149" t="str">
        <f ca="1">IFERROR(IF(OR(OFFSET('S4'!#REF!,MATCH($A300,'S4'!$D$5:$D$3387,0)-1,6)="巻返し",OFFSET('S4'!#REF!,MATCH($A300,'S4'!$D$5:$D$3387,0)-1,6)="スリット"),SUMIF('S4'!$D$5:$D$3387,$A300,'S4'!$U$5:$U$3387),""),"")</f>
        <v/>
      </c>
      <c r="AB300" s="149" t="str">
        <f ca="1">IFERROR(IF(OR(OFFSET('S5'!#REF!,MATCH($A300,'S5'!$D$5:$D$2917,0)-1,6)="巻返し",OFFSET('S5'!#REF!,MATCH($A300,'S5'!$D$5:$D$2917,0)-1,6)="スリット"),SUMIF('S5'!$D$5:$D$2917,$A300,'S5'!$T$5:$T$2917),""),"")</f>
        <v/>
      </c>
    </row>
    <row r="301" spans="1:28" s="144" customFormat="1" ht="11.25" x14ac:dyDescent="0.15">
      <c r="A301" s="177">
        <v>3697665</v>
      </c>
      <c r="B301" s="177" t="s">
        <v>351</v>
      </c>
      <c r="C301" s="177" t="s">
        <v>352</v>
      </c>
      <c r="D301" s="177" t="s">
        <v>353</v>
      </c>
      <c r="E301" s="177" t="s">
        <v>116</v>
      </c>
      <c r="F301" s="177">
        <v>3</v>
      </c>
      <c r="G301" s="177" t="s">
        <v>19</v>
      </c>
      <c r="H301" s="177" t="s">
        <v>20</v>
      </c>
      <c r="I301" s="177" t="s">
        <v>205</v>
      </c>
      <c r="J301" s="177"/>
      <c r="K301" s="177" t="s">
        <v>216</v>
      </c>
      <c r="L301" s="177">
        <v>50</v>
      </c>
      <c r="M301" s="177" t="s">
        <v>217</v>
      </c>
      <c r="N301" s="178">
        <v>1120</v>
      </c>
      <c r="O301" s="178">
        <v>1120</v>
      </c>
      <c r="P301" s="178">
        <v>5000</v>
      </c>
      <c r="Q301" s="177">
        <v>2</v>
      </c>
      <c r="R301" s="177">
        <v>12</v>
      </c>
      <c r="S301" s="177" t="s">
        <v>354</v>
      </c>
      <c r="T301" s="179">
        <v>44949</v>
      </c>
      <c r="U301" s="179">
        <v>44978</v>
      </c>
      <c r="V301" s="177" t="s">
        <v>355</v>
      </c>
      <c r="W301" s="177"/>
      <c r="X301" s="177"/>
      <c r="Z301" s="149" t="str">
        <f t="shared" ca="1" si="4"/>
        <v/>
      </c>
      <c r="AA301" s="149" t="str">
        <f ca="1">IFERROR(IF(OR(OFFSET('S4'!#REF!,MATCH($A301,'S4'!$D$5:$D$3387,0)-1,6)="巻返し",OFFSET('S4'!#REF!,MATCH($A301,'S4'!$D$5:$D$3387,0)-1,6)="スリット"),SUMIF('S4'!$D$5:$D$3387,$A301,'S4'!$U$5:$U$3387),""),"")</f>
        <v/>
      </c>
      <c r="AB301" s="149" t="str">
        <f ca="1">IFERROR(IF(OR(OFFSET('S5'!#REF!,MATCH($A301,'S5'!$D$5:$D$2917,0)-1,6)="巻返し",OFFSET('S5'!#REF!,MATCH($A301,'S5'!$D$5:$D$2917,0)-1,6)="スリット"),SUMIF('S5'!$D$5:$D$2917,$A301,'S5'!$T$5:$T$2917),""),"")</f>
        <v/>
      </c>
    </row>
    <row r="302" spans="1:28" s="144" customFormat="1" ht="11.25" x14ac:dyDescent="0.15">
      <c r="A302" s="177">
        <v>3697666</v>
      </c>
      <c r="B302" s="177" t="s">
        <v>351</v>
      </c>
      <c r="C302" s="177" t="s">
        <v>352</v>
      </c>
      <c r="D302" s="177" t="s">
        <v>353</v>
      </c>
      <c r="E302" s="177" t="s">
        <v>116</v>
      </c>
      <c r="F302" s="177">
        <v>3</v>
      </c>
      <c r="G302" s="177" t="s">
        <v>19</v>
      </c>
      <c r="H302" s="177" t="s">
        <v>20</v>
      </c>
      <c r="I302" s="177" t="s">
        <v>205</v>
      </c>
      <c r="J302" s="177"/>
      <c r="K302" s="177" t="s">
        <v>216</v>
      </c>
      <c r="L302" s="177">
        <v>50</v>
      </c>
      <c r="M302" s="177" t="s">
        <v>217</v>
      </c>
      <c r="N302" s="178">
        <v>1120</v>
      </c>
      <c r="O302" s="178">
        <v>1120</v>
      </c>
      <c r="P302" s="178">
        <v>5000</v>
      </c>
      <c r="Q302" s="177">
        <v>2</v>
      </c>
      <c r="R302" s="177">
        <v>14</v>
      </c>
      <c r="S302" s="177" t="s">
        <v>354</v>
      </c>
      <c r="T302" s="179">
        <v>44949</v>
      </c>
      <c r="U302" s="179">
        <v>44981</v>
      </c>
      <c r="V302" s="177" t="s">
        <v>355</v>
      </c>
      <c r="W302" s="177"/>
      <c r="X302" s="177"/>
      <c r="Z302" s="149" t="str">
        <f t="shared" ca="1" si="4"/>
        <v/>
      </c>
      <c r="AA302" s="149" t="str">
        <f ca="1">IFERROR(IF(OR(OFFSET('S4'!#REF!,MATCH($A302,'S4'!$D$5:$D$3387,0)-1,6)="巻返し",OFFSET('S4'!#REF!,MATCH($A302,'S4'!$D$5:$D$3387,0)-1,6)="スリット"),SUMIF('S4'!$D$5:$D$3387,$A302,'S4'!$U$5:$U$3387),""),"")</f>
        <v/>
      </c>
      <c r="AB302" s="149" t="str">
        <f ca="1">IFERROR(IF(OR(OFFSET('S5'!#REF!,MATCH($A302,'S5'!$D$5:$D$2917,0)-1,6)="巻返し",OFFSET('S5'!#REF!,MATCH($A302,'S5'!$D$5:$D$2917,0)-1,6)="スリット"),SUMIF('S5'!$D$5:$D$2917,$A302,'S5'!$T$5:$T$2917),""),"")</f>
        <v/>
      </c>
    </row>
    <row r="303" spans="1:28" s="144" customFormat="1" ht="11.25" x14ac:dyDescent="0.15">
      <c r="A303" s="177">
        <v>3697667</v>
      </c>
      <c r="B303" s="177" t="s">
        <v>351</v>
      </c>
      <c r="C303" s="177" t="s">
        <v>352</v>
      </c>
      <c r="D303" s="177" t="s">
        <v>353</v>
      </c>
      <c r="E303" s="177" t="s">
        <v>116</v>
      </c>
      <c r="F303" s="177">
        <v>3</v>
      </c>
      <c r="G303" s="177" t="s">
        <v>19</v>
      </c>
      <c r="H303" s="177" t="s">
        <v>20</v>
      </c>
      <c r="I303" s="177" t="s">
        <v>205</v>
      </c>
      <c r="J303" s="177"/>
      <c r="K303" s="177" t="s">
        <v>216</v>
      </c>
      <c r="L303" s="177">
        <v>50</v>
      </c>
      <c r="M303" s="177" t="s">
        <v>217</v>
      </c>
      <c r="N303" s="178">
        <v>1120</v>
      </c>
      <c r="O303" s="178">
        <v>1120</v>
      </c>
      <c r="P303" s="178">
        <v>5000</v>
      </c>
      <c r="Q303" s="177">
        <v>2</v>
      </c>
      <c r="R303" s="177">
        <v>14</v>
      </c>
      <c r="S303" s="177" t="s">
        <v>354</v>
      </c>
      <c r="T303" s="179">
        <v>44949</v>
      </c>
      <c r="U303" s="179">
        <v>44995</v>
      </c>
      <c r="V303" s="177" t="s">
        <v>355</v>
      </c>
      <c r="W303" s="177"/>
      <c r="X303" s="177"/>
      <c r="Z303" s="149" t="str">
        <f t="shared" ca="1" si="4"/>
        <v/>
      </c>
      <c r="AA303" s="149" t="str">
        <f ca="1">IFERROR(IF(OR(OFFSET('S4'!#REF!,MATCH($A303,'S4'!$D$5:$D$3387,0)-1,6)="巻返し",OFFSET('S4'!#REF!,MATCH($A303,'S4'!$D$5:$D$3387,0)-1,6)="スリット"),SUMIF('S4'!$D$5:$D$3387,$A303,'S4'!$U$5:$U$3387),""),"")</f>
        <v/>
      </c>
      <c r="AB303" s="149" t="str">
        <f ca="1">IFERROR(IF(OR(OFFSET('S5'!#REF!,MATCH($A303,'S5'!$D$5:$D$2917,0)-1,6)="巻返し",OFFSET('S5'!#REF!,MATCH($A303,'S5'!$D$5:$D$2917,0)-1,6)="スリット"),SUMIF('S5'!$D$5:$D$2917,$A303,'S5'!$T$5:$T$2917),""),"")</f>
        <v/>
      </c>
    </row>
    <row r="304" spans="1:28" s="144" customFormat="1" ht="11.25" x14ac:dyDescent="0.15">
      <c r="A304" s="177">
        <v>3697668</v>
      </c>
      <c r="B304" s="177" t="s">
        <v>351</v>
      </c>
      <c r="C304" s="177" t="s">
        <v>352</v>
      </c>
      <c r="D304" s="177" t="s">
        <v>353</v>
      </c>
      <c r="E304" s="177" t="s">
        <v>116</v>
      </c>
      <c r="F304" s="177">
        <v>3</v>
      </c>
      <c r="G304" s="177" t="s">
        <v>19</v>
      </c>
      <c r="H304" s="177" t="s">
        <v>20</v>
      </c>
      <c r="I304" s="177" t="s">
        <v>205</v>
      </c>
      <c r="J304" s="177"/>
      <c r="K304" s="177" t="s">
        <v>216</v>
      </c>
      <c r="L304" s="177">
        <v>50</v>
      </c>
      <c r="M304" s="177" t="s">
        <v>217</v>
      </c>
      <c r="N304" s="178">
        <v>1120</v>
      </c>
      <c r="O304" s="178">
        <v>1120</v>
      </c>
      <c r="P304" s="178">
        <v>5000</v>
      </c>
      <c r="Q304" s="177">
        <v>2</v>
      </c>
      <c r="R304" s="177">
        <v>12</v>
      </c>
      <c r="S304" s="177" t="s">
        <v>354</v>
      </c>
      <c r="T304" s="179">
        <v>44949</v>
      </c>
      <c r="U304" s="179">
        <v>45000</v>
      </c>
      <c r="V304" s="177" t="s">
        <v>355</v>
      </c>
      <c r="W304" s="177"/>
      <c r="X304" s="177"/>
      <c r="Z304" s="149" t="str">
        <f t="shared" ca="1" si="4"/>
        <v/>
      </c>
      <c r="AA304" s="149" t="str">
        <f ca="1">IFERROR(IF(OR(OFFSET('S4'!#REF!,MATCH($A304,'S4'!$D$5:$D$3387,0)-1,6)="巻返し",OFFSET('S4'!#REF!,MATCH($A304,'S4'!$D$5:$D$3387,0)-1,6)="スリット"),SUMIF('S4'!$D$5:$D$3387,$A304,'S4'!$U$5:$U$3387),""),"")</f>
        <v/>
      </c>
      <c r="AB304" s="149" t="str">
        <f ca="1">IFERROR(IF(OR(OFFSET('S5'!#REF!,MATCH($A304,'S5'!$D$5:$D$2917,0)-1,6)="巻返し",OFFSET('S5'!#REF!,MATCH($A304,'S5'!$D$5:$D$2917,0)-1,6)="スリット"),SUMIF('S5'!$D$5:$D$2917,$A304,'S5'!$T$5:$T$2917),""),"")</f>
        <v/>
      </c>
    </row>
    <row r="305" spans="1:28" s="144" customFormat="1" ht="11.25" x14ac:dyDescent="0.15">
      <c r="A305" s="177">
        <v>3697669</v>
      </c>
      <c r="B305" s="177" t="s">
        <v>351</v>
      </c>
      <c r="C305" s="177" t="s">
        <v>352</v>
      </c>
      <c r="D305" s="177" t="s">
        <v>353</v>
      </c>
      <c r="E305" s="177" t="s">
        <v>116</v>
      </c>
      <c r="F305" s="177">
        <v>3</v>
      </c>
      <c r="G305" s="177" t="s">
        <v>19</v>
      </c>
      <c r="H305" s="177" t="s">
        <v>20</v>
      </c>
      <c r="I305" s="177" t="s">
        <v>205</v>
      </c>
      <c r="J305" s="177"/>
      <c r="K305" s="177" t="s">
        <v>218</v>
      </c>
      <c r="L305" s="177">
        <v>25</v>
      </c>
      <c r="M305" s="177" t="s">
        <v>219</v>
      </c>
      <c r="N305" s="178">
        <v>1005</v>
      </c>
      <c r="O305" s="178">
        <v>1000</v>
      </c>
      <c r="P305" s="178">
        <v>4000</v>
      </c>
      <c r="Q305" s="177">
        <v>2</v>
      </c>
      <c r="R305" s="177">
        <v>4</v>
      </c>
      <c r="S305" s="177" t="s">
        <v>354</v>
      </c>
      <c r="T305" s="179">
        <v>44949</v>
      </c>
      <c r="U305" s="179">
        <v>44977</v>
      </c>
      <c r="V305" s="177" t="s">
        <v>355</v>
      </c>
      <c r="W305" s="177"/>
      <c r="X305" s="177"/>
      <c r="Z305" s="149" t="str">
        <f t="shared" ca="1" si="4"/>
        <v/>
      </c>
      <c r="AA305" s="149" t="str">
        <f ca="1">IFERROR(IF(OR(OFFSET('S4'!#REF!,MATCH($A305,'S4'!$D$5:$D$3387,0)-1,6)="巻返し",OFFSET('S4'!#REF!,MATCH($A305,'S4'!$D$5:$D$3387,0)-1,6)="スリット"),SUMIF('S4'!$D$5:$D$3387,$A305,'S4'!$U$5:$U$3387),""),"")</f>
        <v/>
      </c>
      <c r="AB305" s="149" t="str">
        <f ca="1">IFERROR(IF(OR(OFFSET('S5'!#REF!,MATCH($A305,'S5'!$D$5:$D$2917,0)-1,6)="巻返し",OFFSET('S5'!#REF!,MATCH($A305,'S5'!$D$5:$D$2917,0)-1,6)="スリット"),SUMIF('S5'!$D$5:$D$2917,$A305,'S5'!$T$5:$T$2917),""),"")</f>
        <v/>
      </c>
    </row>
    <row r="306" spans="1:28" s="144" customFormat="1" ht="11.25" x14ac:dyDescent="0.15">
      <c r="A306" s="177">
        <v>3697670</v>
      </c>
      <c r="B306" s="177" t="s">
        <v>351</v>
      </c>
      <c r="C306" s="177" t="s">
        <v>352</v>
      </c>
      <c r="D306" s="177" t="s">
        <v>353</v>
      </c>
      <c r="E306" s="177" t="s">
        <v>116</v>
      </c>
      <c r="F306" s="177">
        <v>3</v>
      </c>
      <c r="G306" s="177" t="s">
        <v>19</v>
      </c>
      <c r="H306" s="177" t="s">
        <v>20</v>
      </c>
      <c r="I306" s="177" t="s">
        <v>205</v>
      </c>
      <c r="J306" s="177"/>
      <c r="K306" s="177" t="s">
        <v>218</v>
      </c>
      <c r="L306" s="177">
        <v>50</v>
      </c>
      <c r="M306" s="177" t="s">
        <v>219</v>
      </c>
      <c r="N306" s="178">
        <v>1000</v>
      </c>
      <c r="O306" s="178">
        <v>1000</v>
      </c>
      <c r="P306" s="178">
        <v>4000</v>
      </c>
      <c r="Q306" s="177">
        <v>2</v>
      </c>
      <c r="R306" s="177">
        <v>15</v>
      </c>
      <c r="S306" s="177" t="s">
        <v>354</v>
      </c>
      <c r="T306" s="179">
        <v>44949</v>
      </c>
      <c r="U306" s="179">
        <v>44977</v>
      </c>
      <c r="V306" s="177" t="s">
        <v>355</v>
      </c>
      <c r="W306" s="177"/>
      <c r="X306" s="177"/>
      <c r="Z306" s="149" t="str">
        <f t="shared" ca="1" si="4"/>
        <v/>
      </c>
      <c r="AA306" s="149" t="str">
        <f ca="1">IFERROR(IF(OR(OFFSET('S4'!#REF!,MATCH($A306,'S4'!$D$5:$D$3387,0)-1,6)="巻返し",OFFSET('S4'!#REF!,MATCH($A306,'S4'!$D$5:$D$3387,0)-1,6)="スリット"),SUMIF('S4'!$D$5:$D$3387,$A306,'S4'!$U$5:$U$3387),""),"")</f>
        <v/>
      </c>
      <c r="AB306" s="149" t="str">
        <f ca="1">IFERROR(IF(OR(OFFSET('S5'!#REF!,MATCH($A306,'S5'!$D$5:$D$2917,0)-1,6)="巻返し",OFFSET('S5'!#REF!,MATCH($A306,'S5'!$D$5:$D$2917,0)-1,6)="スリット"),SUMIF('S5'!$D$5:$D$2917,$A306,'S5'!$T$5:$T$2917),""),"")</f>
        <v/>
      </c>
    </row>
    <row r="307" spans="1:28" s="144" customFormat="1" ht="11.25" x14ac:dyDescent="0.15">
      <c r="A307" s="177">
        <v>3697671</v>
      </c>
      <c r="B307" s="177" t="s">
        <v>351</v>
      </c>
      <c r="C307" s="177" t="s">
        <v>352</v>
      </c>
      <c r="D307" s="177" t="s">
        <v>353</v>
      </c>
      <c r="E307" s="177" t="s">
        <v>116</v>
      </c>
      <c r="F307" s="177" t="s">
        <v>158</v>
      </c>
      <c r="G307" s="177" t="s">
        <v>19</v>
      </c>
      <c r="H307" s="177" t="s">
        <v>20</v>
      </c>
      <c r="I307" s="177" t="s">
        <v>165</v>
      </c>
      <c r="J307" s="177"/>
      <c r="K307" s="177" t="s">
        <v>192</v>
      </c>
      <c r="L307" s="177">
        <v>50</v>
      </c>
      <c r="M307" s="177" t="s">
        <v>193</v>
      </c>
      <c r="N307" s="178">
        <v>1005</v>
      </c>
      <c r="O307" s="178">
        <v>1000</v>
      </c>
      <c r="P307" s="178">
        <v>4000</v>
      </c>
      <c r="Q307" s="177">
        <v>2</v>
      </c>
      <c r="R307" s="177">
        <v>3</v>
      </c>
      <c r="S307" s="177" t="s">
        <v>354</v>
      </c>
      <c r="T307" s="179">
        <v>44949</v>
      </c>
      <c r="U307" s="179">
        <v>44977</v>
      </c>
      <c r="V307" s="177" t="s">
        <v>355</v>
      </c>
      <c r="W307" s="177"/>
      <c r="X307" s="177"/>
      <c r="Z307" s="149" t="str">
        <f t="shared" ca="1" si="4"/>
        <v/>
      </c>
      <c r="AA307" s="149" t="str">
        <f ca="1">IFERROR(IF(OR(OFFSET('S4'!#REF!,MATCH($A307,'S4'!$D$5:$D$3387,0)-1,6)="巻返し",OFFSET('S4'!#REF!,MATCH($A307,'S4'!$D$5:$D$3387,0)-1,6)="スリット"),SUMIF('S4'!$D$5:$D$3387,$A307,'S4'!$U$5:$U$3387),""),"")</f>
        <v/>
      </c>
      <c r="AB307" s="149" t="str">
        <f ca="1">IFERROR(IF(OR(OFFSET('S5'!#REF!,MATCH($A307,'S5'!$D$5:$D$2917,0)-1,6)="巻返し",OFFSET('S5'!#REF!,MATCH($A307,'S5'!$D$5:$D$2917,0)-1,6)="スリット"),SUMIF('S5'!$D$5:$D$2917,$A307,'S5'!$T$5:$T$2917),""),"")</f>
        <v/>
      </c>
    </row>
    <row r="308" spans="1:28" s="144" customFormat="1" ht="11.25" x14ac:dyDescent="0.15">
      <c r="A308" s="177">
        <v>3697672</v>
      </c>
      <c r="B308" s="177" t="s">
        <v>351</v>
      </c>
      <c r="C308" s="177" t="s">
        <v>352</v>
      </c>
      <c r="D308" s="177" t="s">
        <v>353</v>
      </c>
      <c r="E308" s="177" t="s">
        <v>116</v>
      </c>
      <c r="F308" s="177" t="s">
        <v>158</v>
      </c>
      <c r="G308" s="177" t="s">
        <v>19</v>
      </c>
      <c r="H308" s="177" t="s">
        <v>20</v>
      </c>
      <c r="I308" s="177" t="s">
        <v>165</v>
      </c>
      <c r="J308" s="177"/>
      <c r="K308" s="177" t="s">
        <v>195</v>
      </c>
      <c r="L308" s="177">
        <v>50</v>
      </c>
      <c r="M308" s="177" t="s">
        <v>196</v>
      </c>
      <c r="N308" s="178">
        <v>1005</v>
      </c>
      <c r="O308" s="178">
        <v>1000</v>
      </c>
      <c r="P308" s="178">
        <v>4000</v>
      </c>
      <c r="Q308" s="177">
        <v>2</v>
      </c>
      <c r="R308" s="177">
        <v>6</v>
      </c>
      <c r="S308" s="177" t="s">
        <v>354</v>
      </c>
      <c r="T308" s="179">
        <v>44949</v>
      </c>
      <c r="U308" s="179">
        <v>44977</v>
      </c>
      <c r="V308" s="177" t="s">
        <v>355</v>
      </c>
      <c r="W308" s="177"/>
      <c r="X308" s="177"/>
      <c r="Z308" s="149" t="str">
        <f t="shared" ca="1" si="4"/>
        <v/>
      </c>
      <c r="AA308" s="149" t="str">
        <f ca="1">IFERROR(IF(OR(OFFSET('S4'!#REF!,MATCH($A308,'S4'!$D$5:$D$3387,0)-1,6)="巻返し",OFFSET('S4'!#REF!,MATCH($A308,'S4'!$D$5:$D$3387,0)-1,6)="スリット"),SUMIF('S4'!$D$5:$D$3387,$A308,'S4'!$U$5:$U$3387),""),"")</f>
        <v/>
      </c>
      <c r="AB308" s="149" t="str">
        <f ca="1">IFERROR(IF(OR(OFFSET('S5'!#REF!,MATCH($A308,'S5'!$D$5:$D$2917,0)-1,6)="巻返し",OFFSET('S5'!#REF!,MATCH($A308,'S5'!$D$5:$D$2917,0)-1,6)="スリット"),SUMIF('S5'!$D$5:$D$2917,$A308,'S5'!$T$5:$T$2917),""),"")</f>
        <v/>
      </c>
    </row>
    <row r="309" spans="1:28" s="144" customFormat="1" ht="11.25" x14ac:dyDescent="0.15">
      <c r="A309" s="177">
        <v>3697673</v>
      </c>
      <c r="B309" s="177" t="s">
        <v>351</v>
      </c>
      <c r="C309" s="177" t="s">
        <v>352</v>
      </c>
      <c r="D309" s="177" t="s">
        <v>353</v>
      </c>
      <c r="E309" s="177" t="s">
        <v>116</v>
      </c>
      <c r="F309" s="177" t="s">
        <v>158</v>
      </c>
      <c r="G309" s="177" t="s">
        <v>19</v>
      </c>
      <c r="H309" s="177" t="s">
        <v>20</v>
      </c>
      <c r="I309" s="177" t="s">
        <v>165</v>
      </c>
      <c r="J309" s="177"/>
      <c r="K309" s="177" t="s">
        <v>197</v>
      </c>
      <c r="L309" s="177">
        <v>50</v>
      </c>
      <c r="M309" s="177" t="s">
        <v>198</v>
      </c>
      <c r="N309" s="178">
        <v>1005</v>
      </c>
      <c r="O309" s="178">
        <v>1000</v>
      </c>
      <c r="P309" s="178">
        <v>4000</v>
      </c>
      <c r="Q309" s="177">
        <v>2</v>
      </c>
      <c r="R309" s="177">
        <v>3</v>
      </c>
      <c r="S309" s="177" t="s">
        <v>354</v>
      </c>
      <c r="T309" s="179">
        <v>44949</v>
      </c>
      <c r="U309" s="179">
        <v>44977</v>
      </c>
      <c r="V309" s="177" t="s">
        <v>355</v>
      </c>
      <c r="W309" s="177"/>
      <c r="X309" s="177"/>
      <c r="Z309" s="149" t="str">
        <f t="shared" ca="1" si="4"/>
        <v/>
      </c>
      <c r="AA309" s="149" t="str">
        <f ca="1">IFERROR(IF(OR(OFFSET('S4'!#REF!,MATCH($A309,'S4'!$D$5:$D$3387,0)-1,6)="巻返し",OFFSET('S4'!#REF!,MATCH($A309,'S4'!$D$5:$D$3387,0)-1,6)="スリット"),SUMIF('S4'!$D$5:$D$3387,$A309,'S4'!$U$5:$U$3387),""),"")</f>
        <v/>
      </c>
      <c r="AB309" s="149" t="str">
        <f ca="1">IFERROR(IF(OR(OFFSET('S5'!#REF!,MATCH($A309,'S5'!$D$5:$D$2917,0)-1,6)="巻返し",OFFSET('S5'!#REF!,MATCH($A309,'S5'!$D$5:$D$2917,0)-1,6)="スリット"),SUMIF('S5'!$D$5:$D$2917,$A309,'S5'!$T$5:$T$2917),""),"")</f>
        <v/>
      </c>
    </row>
    <row r="310" spans="1:28" s="144" customFormat="1" ht="11.25" x14ac:dyDescent="0.15">
      <c r="A310" s="177">
        <v>3697674</v>
      </c>
      <c r="B310" s="177" t="s">
        <v>351</v>
      </c>
      <c r="C310" s="177" t="s">
        <v>352</v>
      </c>
      <c r="D310" s="177" t="s">
        <v>353</v>
      </c>
      <c r="E310" s="177" t="s">
        <v>116</v>
      </c>
      <c r="F310" s="177">
        <v>3</v>
      </c>
      <c r="G310" s="177" t="s">
        <v>19</v>
      </c>
      <c r="H310" s="177" t="s">
        <v>20</v>
      </c>
      <c r="I310" s="177" t="s">
        <v>165</v>
      </c>
      <c r="J310" s="177"/>
      <c r="K310" s="177" t="s">
        <v>166</v>
      </c>
      <c r="L310" s="177">
        <v>50</v>
      </c>
      <c r="M310" s="177" t="s">
        <v>167</v>
      </c>
      <c r="N310" s="178">
        <v>1005</v>
      </c>
      <c r="O310" s="178">
        <v>1000</v>
      </c>
      <c r="P310" s="178">
        <v>2000</v>
      </c>
      <c r="Q310" s="177">
        <v>2</v>
      </c>
      <c r="R310" s="177">
        <v>2</v>
      </c>
      <c r="S310" s="177" t="s">
        <v>354</v>
      </c>
      <c r="T310" s="179">
        <v>44949</v>
      </c>
      <c r="U310" s="179">
        <v>44981</v>
      </c>
      <c r="V310" s="177" t="s">
        <v>355</v>
      </c>
      <c r="W310" s="177"/>
      <c r="X310" s="177"/>
      <c r="Z310" s="149" t="str">
        <f t="shared" ca="1" si="4"/>
        <v/>
      </c>
      <c r="AA310" s="149" t="str">
        <f ca="1">IFERROR(IF(OR(OFFSET('S4'!#REF!,MATCH($A310,'S4'!$D$5:$D$3387,0)-1,6)="巻返し",OFFSET('S4'!#REF!,MATCH($A310,'S4'!$D$5:$D$3387,0)-1,6)="スリット"),SUMIF('S4'!$D$5:$D$3387,$A310,'S4'!$U$5:$U$3387),""),"")</f>
        <v/>
      </c>
      <c r="AB310" s="149" t="str">
        <f ca="1">IFERROR(IF(OR(OFFSET('S5'!#REF!,MATCH($A310,'S5'!$D$5:$D$2917,0)-1,6)="巻返し",OFFSET('S5'!#REF!,MATCH($A310,'S5'!$D$5:$D$2917,0)-1,6)="スリット"),SUMIF('S5'!$D$5:$D$2917,$A310,'S5'!$T$5:$T$2917),""),"")</f>
        <v/>
      </c>
    </row>
    <row r="311" spans="1:28" s="144" customFormat="1" ht="11.25" x14ac:dyDescent="0.15">
      <c r="A311" s="177">
        <v>3697675</v>
      </c>
      <c r="B311" s="177" t="s">
        <v>351</v>
      </c>
      <c r="C311" s="177" t="s">
        <v>352</v>
      </c>
      <c r="D311" s="177" t="s">
        <v>353</v>
      </c>
      <c r="E311" s="177" t="s">
        <v>116</v>
      </c>
      <c r="F311" s="177">
        <v>3</v>
      </c>
      <c r="G311" s="177" t="s">
        <v>19</v>
      </c>
      <c r="H311" s="177" t="s">
        <v>20</v>
      </c>
      <c r="I311" s="177" t="s">
        <v>165</v>
      </c>
      <c r="J311" s="177"/>
      <c r="K311" s="177" t="s">
        <v>166</v>
      </c>
      <c r="L311" s="177">
        <v>50</v>
      </c>
      <c r="M311" s="177" t="s">
        <v>167</v>
      </c>
      <c r="N311" s="178">
        <v>1005</v>
      </c>
      <c r="O311" s="178">
        <v>1000</v>
      </c>
      <c r="P311" s="178">
        <v>2000</v>
      </c>
      <c r="Q311" s="177">
        <v>2</v>
      </c>
      <c r="R311" s="177">
        <v>2</v>
      </c>
      <c r="S311" s="177" t="s">
        <v>354</v>
      </c>
      <c r="T311" s="179">
        <v>44949</v>
      </c>
      <c r="U311" s="179">
        <v>45015</v>
      </c>
      <c r="V311" s="177" t="s">
        <v>355</v>
      </c>
      <c r="W311" s="177"/>
      <c r="X311" s="177"/>
      <c r="Z311" s="149" t="str">
        <f t="shared" ca="1" si="4"/>
        <v/>
      </c>
      <c r="AA311" s="149" t="str">
        <f ca="1">IFERROR(IF(OR(OFFSET('S4'!#REF!,MATCH($A311,'S4'!$D$5:$D$3387,0)-1,6)="巻返し",OFFSET('S4'!#REF!,MATCH($A311,'S4'!$D$5:$D$3387,0)-1,6)="スリット"),SUMIF('S4'!$D$5:$D$3387,$A311,'S4'!$U$5:$U$3387),""),"")</f>
        <v/>
      </c>
      <c r="AB311" s="149" t="str">
        <f ca="1">IFERROR(IF(OR(OFFSET('S5'!#REF!,MATCH($A311,'S5'!$D$5:$D$2917,0)-1,6)="巻返し",OFFSET('S5'!#REF!,MATCH($A311,'S5'!$D$5:$D$2917,0)-1,6)="スリット"),SUMIF('S5'!$D$5:$D$2917,$A311,'S5'!$T$5:$T$2917),""),"")</f>
        <v/>
      </c>
    </row>
    <row r="312" spans="1:28" s="144" customFormat="1" ht="11.25" x14ac:dyDescent="0.15">
      <c r="A312" s="177">
        <v>3697676</v>
      </c>
      <c r="B312" s="177" t="s">
        <v>351</v>
      </c>
      <c r="C312" s="177" t="s">
        <v>352</v>
      </c>
      <c r="D312" s="177" t="s">
        <v>353</v>
      </c>
      <c r="E312" s="177" t="s">
        <v>116</v>
      </c>
      <c r="F312" s="177">
        <v>3</v>
      </c>
      <c r="G312" s="177" t="s">
        <v>19</v>
      </c>
      <c r="H312" s="177" t="s">
        <v>20</v>
      </c>
      <c r="I312" s="177" t="s">
        <v>205</v>
      </c>
      <c r="J312" s="177"/>
      <c r="K312" s="177" t="s">
        <v>221</v>
      </c>
      <c r="L312" s="177">
        <v>25</v>
      </c>
      <c r="M312" s="177" t="s">
        <v>222</v>
      </c>
      <c r="N312" s="178">
        <v>1100</v>
      </c>
      <c r="O312" s="178">
        <v>1100</v>
      </c>
      <c r="P312" s="178">
        <v>6000</v>
      </c>
      <c r="Q312" s="177">
        <v>2</v>
      </c>
      <c r="R312" s="177">
        <v>20</v>
      </c>
      <c r="S312" s="177" t="s">
        <v>354</v>
      </c>
      <c r="T312" s="179">
        <v>44949</v>
      </c>
      <c r="U312" s="179">
        <v>44972</v>
      </c>
      <c r="V312" s="177" t="s">
        <v>355</v>
      </c>
      <c r="W312" s="177"/>
      <c r="X312" s="177"/>
      <c r="Z312" s="149" t="str">
        <f t="shared" ca="1" si="4"/>
        <v/>
      </c>
      <c r="AA312" s="149" t="str">
        <f ca="1">IFERROR(IF(OR(OFFSET('S4'!#REF!,MATCH($A312,'S4'!$D$5:$D$3387,0)-1,6)="巻返し",OFFSET('S4'!#REF!,MATCH($A312,'S4'!$D$5:$D$3387,0)-1,6)="スリット"),SUMIF('S4'!$D$5:$D$3387,$A312,'S4'!$U$5:$U$3387),""),"")</f>
        <v/>
      </c>
      <c r="AB312" s="149" t="str">
        <f ca="1">IFERROR(IF(OR(OFFSET('S5'!#REF!,MATCH($A312,'S5'!$D$5:$D$2917,0)-1,6)="巻返し",OFFSET('S5'!#REF!,MATCH($A312,'S5'!$D$5:$D$2917,0)-1,6)="スリット"),SUMIF('S5'!$D$5:$D$2917,$A312,'S5'!$T$5:$T$2917),""),"")</f>
        <v/>
      </c>
    </row>
    <row r="313" spans="1:28" s="144" customFormat="1" ht="11.25" x14ac:dyDescent="0.15">
      <c r="A313" s="177">
        <v>3697677</v>
      </c>
      <c r="B313" s="177" t="s">
        <v>351</v>
      </c>
      <c r="C313" s="177" t="s">
        <v>352</v>
      </c>
      <c r="D313" s="177" t="s">
        <v>353</v>
      </c>
      <c r="E313" s="177" t="s">
        <v>116</v>
      </c>
      <c r="F313" s="177">
        <v>3</v>
      </c>
      <c r="G313" s="177" t="s">
        <v>19</v>
      </c>
      <c r="H313" s="177" t="s">
        <v>20</v>
      </c>
      <c r="I313" s="177" t="s">
        <v>165</v>
      </c>
      <c r="J313" s="177"/>
      <c r="K313" s="177" t="s">
        <v>172</v>
      </c>
      <c r="L313" s="177">
        <v>50</v>
      </c>
      <c r="M313" s="177" t="s">
        <v>173</v>
      </c>
      <c r="N313" s="178">
        <v>1005</v>
      </c>
      <c r="O313" s="178">
        <v>1000</v>
      </c>
      <c r="P313" s="178">
        <v>2000</v>
      </c>
      <c r="Q313" s="177">
        <v>2</v>
      </c>
      <c r="R313" s="177">
        <v>2</v>
      </c>
      <c r="S313" s="177" t="s">
        <v>354</v>
      </c>
      <c r="T313" s="179">
        <v>44949</v>
      </c>
      <c r="U313" s="179">
        <v>44977</v>
      </c>
      <c r="V313" s="177" t="s">
        <v>355</v>
      </c>
      <c r="W313" s="177"/>
      <c r="X313" s="177"/>
      <c r="Z313" s="149" t="str">
        <f t="shared" ca="1" si="4"/>
        <v/>
      </c>
      <c r="AA313" s="149" t="str">
        <f ca="1">IFERROR(IF(OR(OFFSET('S4'!#REF!,MATCH($A313,'S4'!$D$5:$D$3387,0)-1,6)="巻返し",OFFSET('S4'!#REF!,MATCH($A313,'S4'!$D$5:$D$3387,0)-1,6)="スリット"),SUMIF('S4'!$D$5:$D$3387,$A313,'S4'!$U$5:$U$3387),""),"")</f>
        <v/>
      </c>
      <c r="AB313" s="149" t="str">
        <f ca="1">IFERROR(IF(OR(OFFSET('S5'!#REF!,MATCH($A313,'S5'!$D$5:$D$2917,0)-1,6)="巻返し",OFFSET('S5'!#REF!,MATCH($A313,'S5'!$D$5:$D$2917,0)-1,6)="スリット"),SUMIF('S5'!$D$5:$D$2917,$A313,'S5'!$T$5:$T$2917),""),"")</f>
        <v/>
      </c>
    </row>
    <row r="314" spans="1:28" s="144" customFormat="1" ht="11.25" x14ac:dyDescent="0.15">
      <c r="A314" s="177">
        <v>3697678</v>
      </c>
      <c r="B314" s="177" t="s">
        <v>423</v>
      </c>
      <c r="C314" s="177" t="s">
        <v>352</v>
      </c>
      <c r="D314" s="177" t="s">
        <v>353</v>
      </c>
      <c r="E314" s="177" t="s">
        <v>116</v>
      </c>
      <c r="F314" s="177">
        <v>3</v>
      </c>
      <c r="G314" s="177" t="s">
        <v>265</v>
      </c>
      <c r="H314" s="177" t="s">
        <v>20</v>
      </c>
      <c r="I314" s="177" t="s">
        <v>165</v>
      </c>
      <c r="J314" s="177"/>
      <c r="K314" s="177" t="s">
        <v>172</v>
      </c>
      <c r="L314" s="177">
        <v>50</v>
      </c>
      <c r="M314" s="177" t="s">
        <v>173</v>
      </c>
      <c r="N314" s="178">
        <v>1005</v>
      </c>
      <c r="O314" s="178">
        <v>1000</v>
      </c>
      <c r="P314" s="178">
        <v>4000</v>
      </c>
      <c r="Q314" s="177">
        <v>2</v>
      </c>
      <c r="R314" s="177">
        <v>1</v>
      </c>
      <c r="S314" s="177" t="s">
        <v>354</v>
      </c>
      <c r="T314" s="179">
        <v>44949</v>
      </c>
      <c r="U314" s="179">
        <v>44977</v>
      </c>
      <c r="V314" s="177" t="s">
        <v>355</v>
      </c>
      <c r="W314" s="177"/>
      <c r="X314" s="177"/>
      <c r="Z314" s="149" t="str">
        <f t="shared" ca="1" si="4"/>
        <v/>
      </c>
      <c r="AA314" s="149" t="str">
        <f ca="1">IFERROR(IF(OR(OFFSET('S4'!#REF!,MATCH($A314,'S4'!$D$5:$D$3387,0)-1,6)="巻返し",OFFSET('S4'!#REF!,MATCH($A314,'S4'!$D$5:$D$3387,0)-1,6)="スリット"),SUMIF('S4'!$D$5:$D$3387,$A314,'S4'!$U$5:$U$3387),""),"")</f>
        <v/>
      </c>
      <c r="AB314" s="149" t="str">
        <f ca="1">IFERROR(IF(OR(OFFSET('S5'!#REF!,MATCH($A314,'S5'!$D$5:$D$2917,0)-1,6)="巻返し",OFFSET('S5'!#REF!,MATCH($A314,'S5'!$D$5:$D$2917,0)-1,6)="スリット"),SUMIF('S5'!$D$5:$D$2917,$A314,'S5'!$T$5:$T$2917),""),"")</f>
        <v/>
      </c>
    </row>
    <row r="315" spans="1:28" s="144" customFormat="1" ht="11.25" x14ac:dyDescent="0.15">
      <c r="A315" s="177">
        <v>3697679</v>
      </c>
      <c r="B315" s="177" t="s">
        <v>351</v>
      </c>
      <c r="C315" s="177" t="s">
        <v>352</v>
      </c>
      <c r="D315" s="177" t="s">
        <v>353</v>
      </c>
      <c r="E315" s="177" t="s">
        <v>116</v>
      </c>
      <c r="F315" s="177">
        <v>3</v>
      </c>
      <c r="G315" s="177" t="s">
        <v>19</v>
      </c>
      <c r="H315" s="177" t="s">
        <v>20</v>
      </c>
      <c r="I315" s="177" t="s">
        <v>165</v>
      </c>
      <c r="J315" s="177"/>
      <c r="K315" s="177" t="s">
        <v>176</v>
      </c>
      <c r="L315" s="177">
        <v>50</v>
      </c>
      <c r="M315" s="177" t="s">
        <v>177</v>
      </c>
      <c r="N315" s="178">
        <v>1005</v>
      </c>
      <c r="O315" s="178">
        <v>1000</v>
      </c>
      <c r="P315" s="178">
        <v>4000</v>
      </c>
      <c r="Q315" s="177">
        <v>2</v>
      </c>
      <c r="R315" s="177">
        <v>9</v>
      </c>
      <c r="S315" s="177" t="s">
        <v>354</v>
      </c>
      <c r="T315" s="179">
        <v>44949</v>
      </c>
      <c r="U315" s="179">
        <v>44977</v>
      </c>
      <c r="V315" s="177" t="s">
        <v>355</v>
      </c>
      <c r="W315" s="177"/>
      <c r="X315" s="177"/>
      <c r="Z315" s="149" t="str">
        <f t="shared" ca="1" si="4"/>
        <v/>
      </c>
      <c r="AA315" s="149" t="str">
        <f ca="1">IFERROR(IF(OR(OFFSET('S4'!#REF!,MATCH($A315,'S4'!$D$5:$D$3387,0)-1,6)="巻返し",OFFSET('S4'!#REF!,MATCH($A315,'S4'!$D$5:$D$3387,0)-1,6)="スリット"),SUMIF('S4'!$D$5:$D$3387,$A315,'S4'!$U$5:$U$3387),""),"")</f>
        <v/>
      </c>
      <c r="AB315" s="149" t="str">
        <f ca="1">IFERROR(IF(OR(OFFSET('S5'!#REF!,MATCH($A315,'S5'!$D$5:$D$2917,0)-1,6)="巻返し",OFFSET('S5'!#REF!,MATCH($A315,'S5'!$D$5:$D$2917,0)-1,6)="スリット"),SUMIF('S5'!$D$5:$D$2917,$A315,'S5'!$T$5:$T$2917),""),"")</f>
        <v/>
      </c>
    </row>
    <row r="316" spans="1:28" s="144" customFormat="1" ht="11.25" x14ac:dyDescent="0.15">
      <c r="A316" s="177">
        <v>3697680</v>
      </c>
      <c r="B316" s="177" t="s">
        <v>351</v>
      </c>
      <c r="C316" s="177" t="s">
        <v>352</v>
      </c>
      <c r="D316" s="177" t="s">
        <v>353</v>
      </c>
      <c r="E316" s="177" t="s">
        <v>116</v>
      </c>
      <c r="F316" s="177">
        <v>3</v>
      </c>
      <c r="G316" s="177" t="s">
        <v>19</v>
      </c>
      <c r="H316" s="177" t="s">
        <v>20</v>
      </c>
      <c r="I316" s="177" t="s">
        <v>165</v>
      </c>
      <c r="J316" s="177"/>
      <c r="K316" s="177" t="s">
        <v>176</v>
      </c>
      <c r="L316" s="177">
        <v>50</v>
      </c>
      <c r="M316" s="177" t="s">
        <v>177</v>
      </c>
      <c r="N316" s="178">
        <v>1125</v>
      </c>
      <c r="O316" s="178">
        <v>1120</v>
      </c>
      <c r="P316" s="178">
        <v>4000</v>
      </c>
      <c r="Q316" s="177">
        <v>2</v>
      </c>
      <c r="R316" s="177">
        <v>10</v>
      </c>
      <c r="S316" s="177" t="s">
        <v>354</v>
      </c>
      <c r="T316" s="179">
        <v>44949</v>
      </c>
      <c r="U316" s="179">
        <v>44977</v>
      </c>
      <c r="V316" s="177" t="s">
        <v>355</v>
      </c>
      <c r="W316" s="177"/>
      <c r="X316" s="177"/>
      <c r="Z316" s="149" t="str">
        <f t="shared" ca="1" si="4"/>
        <v/>
      </c>
      <c r="AA316" s="149" t="str">
        <f ca="1">IFERROR(IF(OR(OFFSET('S4'!#REF!,MATCH($A316,'S4'!$D$5:$D$3387,0)-1,6)="巻返し",OFFSET('S4'!#REF!,MATCH($A316,'S4'!$D$5:$D$3387,0)-1,6)="スリット"),SUMIF('S4'!$D$5:$D$3387,$A316,'S4'!$U$5:$U$3387),""),"")</f>
        <v/>
      </c>
      <c r="AB316" s="149" t="str">
        <f ca="1">IFERROR(IF(OR(OFFSET('S5'!#REF!,MATCH($A316,'S5'!$D$5:$D$2917,0)-1,6)="巻返し",OFFSET('S5'!#REF!,MATCH($A316,'S5'!$D$5:$D$2917,0)-1,6)="スリット"),SUMIF('S5'!$D$5:$D$2917,$A316,'S5'!$T$5:$T$2917),""),"")</f>
        <v/>
      </c>
    </row>
    <row r="317" spans="1:28" s="144" customFormat="1" ht="11.25" x14ac:dyDescent="0.15">
      <c r="A317" s="177">
        <v>3697681</v>
      </c>
      <c r="B317" s="177" t="s">
        <v>351</v>
      </c>
      <c r="C317" s="177" t="s">
        <v>352</v>
      </c>
      <c r="D317" s="177" t="s">
        <v>353</v>
      </c>
      <c r="E317" s="177" t="s">
        <v>116</v>
      </c>
      <c r="F317" s="177">
        <v>3</v>
      </c>
      <c r="G317" s="177" t="s">
        <v>19</v>
      </c>
      <c r="H317" s="177" t="s">
        <v>20</v>
      </c>
      <c r="I317" s="177" t="s">
        <v>143</v>
      </c>
      <c r="J317" s="177"/>
      <c r="K317" s="177" t="s">
        <v>152</v>
      </c>
      <c r="L317" s="177">
        <v>38</v>
      </c>
      <c r="M317" s="177" t="s">
        <v>153</v>
      </c>
      <c r="N317" s="178">
        <v>1005</v>
      </c>
      <c r="O317" s="178">
        <v>1000</v>
      </c>
      <c r="P317" s="178">
        <v>4000</v>
      </c>
      <c r="Q317" s="177">
        <v>2</v>
      </c>
      <c r="R317" s="177">
        <v>8</v>
      </c>
      <c r="S317" s="177" t="s">
        <v>354</v>
      </c>
      <c r="T317" s="179">
        <v>44949</v>
      </c>
      <c r="U317" s="179">
        <v>44979</v>
      </c>
      <c r="V317" s="177" t="s">
        <v>355</v>
      </c>
      <c r="W317" s="177"/>
      <c r="X317" s="177"/>
      <c r="Z317" s="149" t="str">
        <f t="shared" ca="1" si="4"/>
        <v/>
      </c>
      <c r="AA317" s="149" t="str">
        <f ca="1">IFERROR(IF(OR(OFFSET('S4'!#REF!,MATCH($A317,'S4'!$D$5:$D$3387,0)-1,6)="巻返し",OFFSET('S4'!#REF!,MATCH($A317,'S4'!$D$5:$D$3387,0)-1,6)="スリット"),SUMIF('S4'!$D$5:$D$3387,$A317,'S4'!$U$5:$U$3387),""),"")</f>
        <v/>
      </c>
      <c r="AB317" s="149" t="str">
        <f ca="1">IFERROR(IF(OR(OFFSET('S5'!#REF!,MATCH($A317,'S5'!$D$5:$D$2917,0)-1,6)="巻返し",OFFSET('S5'!#REF!,MATCH($A317,'S5'!$D$5:$D$2917,0)-1,6)="スリット"),SUMIF('S5'!$D$5:$D$2917,$A317,'S5'!$T$5:$T$2917),""),"")</f>
        <v/>
      </c>
    </row>
    <row r="318" spans="1:28" s="144" customFormat="1" ht="11.25" x14ac:dyDescent="0.15">
      <c r="A318" s="177">
        <v>3697682</v>
      </c>
      <c r="B318" s="177" t="s">
        <v>351</v>
      </c>
      <c r="C318" s="177" t="s">
        <v>352</v>
      </c>
      <c r="D318" s="177" t="s">
        <v>353</v>
      </c>
      <c r="E318" s="177" t="s">
        <v>116</v>
      </c>
      <c r="F318" s="177">
        <v>3</v>
      </c>
      <c r="G318" s="177" t="s">
        <v>19</v>
      </c>
      <c r="H318" s="177" t="s">
        <v>28</v>
      </c>
      <c r="I318" s="177" t="s">
        <v>205</v>
      </c>
      <c r="J318" s="177"/>
      <c r="K318" s="177" t="s">
        <v>237</v>
      </c>
      <c r="L318" s="177">
        <v>50</v>
      </c>
      <c r="M318" s="177" t="s">
        <v>238</v>
      </c>
      <c r="N318" s="178">
        <v>1120</v>
      </c>
      <c r="O318" s="178">
        <v>1120</v>
      </c>
      <c r="P318" s="178">
        <v>4000</v>
      </c>
      <c r="Q318" s="177">
        <v>2</v>
      </c>
      <c r="R318" s="177">
        <v>4</v>
      </c>
      <c r="S318" s="177" t="s">
        <v>354</v>
      </c>
      <c r="T318" s="179">
        <v>44949</v>
      </c>
      <c r="U318" s="179">
        <v>44995</v>
      </c>
      <c r="V318" s="177" t="s">
        <v>355</v>
      </c>
      <c r="W318" s="177"/>
      <c r="X318" s="177"/>
      <c r="Z318" s="149" t="str">
        <f t="shared" ca="1" si="4"/>
        <v/>
      </c>
      <c r="AA318" s="149" t="str">
        <f ca="1">IFERROR(IF(OR(OFFSET('S4'!#REF!,MATCH($A318,'S4'!$D$5:$D$3387,0)-1,6)="巻返し",OFFSET('S4'!#REF!,MATCH($A318,'S4'!$D$5:$D$3387,0)-1,6)="スリット"),SUMIF('S4'!$D$5:$D$3387,$A318,'S4'!$U$5:$U$3387),""),"")</f>
        <v/>
      </c>
      <c r="AB318" s="149" t="str">
        <f ca="1">IFERROR(IF(OR(OFFSET('S5'!#REF!,MATCH($A318,'S5'!$D$5:$D$2917,0)-1,6)="巻返し",OFFSET('S5'!#REF!,MATCH($A318,'S5'!$D$5:$D$2917,0)-1,6)="スリット"),SUMIF('S5'!$D$5:$D$2917,$A318,'S5'!$T$5:$T$2917),""),"")</f>
        <v/>
      </c>
    </row>
    <row r="319" spans="1:28" s="144" customFormat="1" ht="11.25" x14ac:dyDescent="0.15">
      <c r="A319" s="177">
        <v>3697683</v>
      </c>
      <c r="B319" s="177" t="s">
        <v>351</v>
      </c>
      <c r="C319" s="177" t="s">
        <v>352</v>
      </c>
      <c r="D319" s="177" t="s">
        <v>353</v>
      </c>
      <c r="E319" s="177" t="s">
        <v>116</v>
      </c>
      <c r="F319" s="177">
        <v>3</v>
      </c>
      <c r="G319" s="177" t="s">
        <v>19</v>
      </c>
      <c r="H319" s="177" t="s">
        <v>28</v>
      </c>
      <c r="I319" s="177" t="s">
        <v>205</v>
      </c>
      <c r="J319" s="177"/>
      <c r="K319" s="177" t="s">
        <v>233</v>
      </c>
      <c r="L319" s="177">
        <v>50</v>
      </c>
      <c r="M319" s="177" t="s">
        <v>234</v>
      </c>
      <c r="N319" s="178">
        <v>1120</v>
      </c>
      <c r="O319" s="178">
        <v>1120</v>
      </c>
      <c r="P319" s="178">
        <v>4000</v>
      </c>
      <c r="Q319" s="177">
        <v>2</v>
      </c>
      <c r="R319" s="177">
        <v>4</v>
      </c>
      <c r="S319" s="177" t="s">
        <v>354</v>
      </c>
      <c r="T319" s="179">
        <v>44949</v>
      </c>
      <c r="U319" s="179">
        <v>44995</v>
      </c>
      <c r="V319" s="177" t="s">
        <v>355</v>
      </c>
      <c r="W319" s="177"/>
      <c r="X319" s="177"/>
      <c r="Z319" s="149" t="str">
        <f t="shared" ca="1" si="4"/>
        <v/>
      </c>
      <c r="AA319" s="149" t="str">
        <f ca="1">IFERROR(IF(OR(OFFSET('S4'!#REF!,MATCH($A319,'S4'!$D$5:$D$3387,0)-1,6)="巻返し",OFFSET('S4'!#REF!,MATCH($A319,'S4'!$D$5:$D$3387,0)-1,6)="スリット"),SUMIF('S4'!$D$5:$D$3387,$A319,'S4'!$U$5:$U$3387),""),"")</f>
        <v/>
      </c>
      <c r="AB319" s="149" t="str">
        <f ca="1">IFERROR(IF(OR(OFFSET('S5'!#REF!,MATCH($A319,'S5'!$D$5:$D$2917,0)-1,6)="巻返し",OFFSET('S5'!#REF!,MATCH($A319,'S5'!$D$5:$D$2917,0)-1,6)="スリット"),SUMIF('S5'!$D$5:$D$2917,$A319,'S5'!$T$5:$T$2917),""),"")</f>
        <v/>
      </c>
    </row>
    <row r="320" spans="1:28" s="144" customFormat="1" ht="11.25" x14ac:dyDescent="0.15">
      <c r="A320" s="177">
        <v>3697684</v>
      </c>
      <c r="B320" s="177" t="s">
        <v>351</v>
      </c>
      <c r="C320" s="177" t="s">
        <v>352</v>
      </c>
      <c r="D320" s="177" t="s">
        <v>353</v>
      </c>
      <c r="E320" s="177" t="s">
        <v>116</v>
      </c>
      <c r="F320" s="177">
        <v>3</v>
      </c>
      <c r="G320" s="177" t="s">
        <v>19</v>
      </c>
      <c r="H320" s="177" t="s">
        <v>28</v>
      </c>
      <c r="I320" s="177" t="s">
        <v>205</v>
      </c>
      <c r="J320" s="177"/>
      <c r="K320" s="177" t="s">
        <v>233</v>
      </c>
      <c r="L320" s="177">
        <v>50</v>
      </c>
      <c r="M320" s="177" t="s">
        <v>234</v>
      </c>
      <c r="N320" s="178">
        <v>1120</v>
      </c>
      <c r="O320" s="178">
        <v>1120</v>
      </c>
      <c r="P320" s="178">
        <v>4000</v>
      </c>
      <c r="Q320" s="177">
        <v>2</v>
      </c>
      <c r="R320" s="177">
        <v>4</v>
      </c>
      <c r="S320" s="177" t="s">
        <v>354</v>
      </c>
      <c r="T320" s="179">
        <v>44949</v>
      </c>
      <c r="U320" s="179">
        <v>44995</v>
      </c>
      <c r="V320" s="177" t="s">
        <v>355</v>
      </c>
      <c r="W320" s="177"/>
      <c r="X320" s="177"/>
      <c r="Z320" s="149" t="str">
        <f t="shared" ca="1" si="4"/>
        <v/>
      </c>
      <c r="AA320" s="149" t="str">
        <f ca="1">IFERROR(IF(OR(OFFSET('S4'!#REF!,MATCH($A320,'S4'!$D$5:$D$3387,0)-1,6)="巻返し",OFFSET('S4'!#REF!,MATCH($A320,'S4'!$D$5:$D$3387,0)-1,6)="スリット"),SUMIF('S4'!$D$5:$D$3387,$A320,'S4'!$U$5:$U$3387),""),"")</f>
        <v/>
      </c>
      <c r="AB320" s="149" t="str">
        <f ca="1">IFERROR(IF(OR(OFFSET('S5'!#REF!,MATCH($A320,'S5'!$D$5:$D$2917,0)-1,6)="巻返し",OFFSET('S5'!#REF!,MATCH($A320,'S5'!$D$5:$D$2917,0)-1,6)="スリット"),SUMIF('S5'!$D$5:$D$2917,$A320,'S5'!$T$5:$T$2917),""),"")</f>
        <v/>
      </c>
    </row>
    <row r="321" spans="1:28" s="144" customFormat="1" ht="13.5" x14ac:dyDescent="0.15">
      <c r="A321" s="296">
        <v>3697857</v>
      </c>
      <c r="B321" s="296" t="s">
        <v>351</v>
      </c>
      <c r="C321" s="296" t="s">
        <v>356</v>
      </c>
      <c r="D321" s="296" t="s">
        <v>353</v>
      </c>
      <c r="E321" s="296" t="s">
        <v>17</v>
      </c>
      <c r="F321" s="296">
        <v>3</v>
      </c>
      <c r="G321" s="296" t="s">
        <v>19</v>
      </c>
      <c r="H321" s="296" t="s">
        <v>20</v>
      </c>
      <c r="I321" s="296" t="s">
        <v>205</v>
      </c>
      <c r="J321" s="296"/>
      <c r="K321" s="296" t="s">
        <v>230</v>
      </c>
      <c r="L321" s="296">
        <v>25</v>
      </c>
      <c r="M321" s="296" t="s">
        <v>231</v>
      </c>
      <c r="N321" s="297">
        <v>1020</v>
      </c>
      <c r="O321" s="297">
        <v>1020</v>
      </c>
      <c r="P321" s="297">
        <v>2000</v>
      </c>
      <c r="Q321" s="296">
        <v>2</v>
      </c>
      <c r="R321" s="296">
        <v>6</v>
      </c>
      <c r="S321" s="296" t="s">
        <v>354</v>
      </c>
      <c r="T321" s="298">
        <v>44951</v>
      </c>
      <c r="U321" s="298">
        <v>44985</v>
      </c>
      <c r="V321" s="296" t="s">
        <v>355</v>
      </c>
      <c r="W321" s="296"/>
      <c r="X321" s="296"/>
      <c r="Z321" s="149" t="str">
        <f t="shared" ca="1" si="4"/>
        <v/>
      </c>
      <c r="AA321" s="149" t="str">
        <f ca="1">IFERROR(IF(OR(OFFSET('S4'!#REF!,MATCH($A321,'S4'!$D$5:$D$3387,0)-1,6)="巻返し",OFFSET('S4'!#REF!,MATCH($A321,'S4'!$D$5:$D$3387,0)-1,6)="スリット"),SUMIF('S4'!$D$5:$D$3387,$A321,'S4'!$U$5:$U$3387),""),"")</f>
        <v/>
      </c>
      <c r="AB321" s="149" t="str">
        <f ca="1">IFERROR(IF(OR(OFFSET('S5'!#REF!,MATCH($A321,'S5'!$D$5:$D$2917,0)-1,6)="巻返し",OFFSET('S5'!#REF!,MATCH($A321,'S5'!$D$5:$D$2917,0)-1,6)="スリット"),SUMIF('S5'!$D$5:$D$2917,$A321,'S5'!$T$5:$T$2917),""),"")</f>
        <v/>
      </c>
    </row>
    <row r="322" spans="1:28" s="144" customFormat="1" ht="13.5" x14ac:dyDescent="0.15">
      <c r="A322" s="296">
        <v>3698026</v>
      </c>
      <c r="B322" s="296" t="s">
        <v>351</v>
      </c>
      <c r="C322" s="296" t="s">
        <v>352</v>
      </c>
      <c r="D322" s="296" t="s">
        <v>353</v>
      </c>
      <c r="E322" s="296" t="s">
        <v>116</v>
      </c>
      <c r="F322" s="296">
        <v>3</v>
      </c>
      <c r="G322" s="296" t="s">
        <v>19</v>
      </c>
      <c r="H322" s="296" t="s">
        <v>20</v>
      </c>
      <c r="I322" s="296" t="s">
        <v>205</v>
      </c>
      <c r="J322" s="296"/>
      <c r="K322" s="296" t="s">
        <v>221</v>
      </c>
      <c r="L322" s="296">
        <v>25</v>
      </c>
      <c r="M322" s="296" t="s">
        <v>222</v>
      </c>
      <c r="N322" s="297">
        <v>1100</v>
      </c>
      <c r="O322" s="297">
        <v>1100</v>
      </c>
      <c r="P322" s="297">
        <v>6000</v>
      </c>
      <c r="Q322" s="296">
        <v>2</v>
      </c>
      <c r="R322" s="296">
        <v>7</v>
      </c>
      <c r="S322" s="296" t="s">
        <v>354</v>
      </c>
      <c r="T322" s="298">
        <v>44952</v>
      </c>
      <c r="U322" s="298">
        <v>44985</v>
      </c>
      <c r="V322" s="296" t="s">
        <v>355</v>
      </c>
      <c r="W322" s="296"/>
      <c r="X322" s="296"/>
      <c r="Z322" s="149" t="str">
        <f t="shared" ca="1" si="4"/>
        <v/>
      </c>
      <c r="AA322" s="149" t="str">
        <f ca="1">IFERROR(IF(OR(OFFSET('S4'!#REF!,MATCH($A322,'S4'!$D$5:$D$3387,0)-1,6)="巻返し",OFFSET('S4'!#REF!,MATCH($A322,'S4'!$D$5:$D$3387,0)-1,6)="スリット"),SUMIF('S4'!$D$5:$D$3387,$A322,'S4'!$U$5:$U$3387),""),"")</f>
        <v/>
      </c>
      <c r="AB322" s="149" t="str">
        <f ca="1">IFERROR(IF(OR(OFFSET('S5'!#REF!,MATCH($A322,'S5'!$D$5:$D$2917,0)-1,6)="巻返し",OFFSET('S5'!#REF!,MATCH($A322,'S5'!$D$5:$D$2917,0)-1,6)="スリット"),SUMIF('S5'!$D$5:$D$2917,$A322,'S5'!$T$5:$T$2917),""),"")</f>
        <v/>
      </c>
    </row>
    <row r="323" spans="1:28" s="144" customFormat="1" ht="13.5" x14ac:dyDescent="0.15">
      <c r="A323" s="296">
        <v>3698027</v>
      </c>
      <c r="B323" s="296" t="s">
        <v>351</v>
      </c>
      <c r="C323" s="296" t="s">
        <v>363</v>
      </c>
      <c r="D323" s="296" t="s">
        <v>353</v>
      </c>
      <c r="E323" s="296" t="s">
        <v>204</v>
      </c>
      <c r="F323" s="296">
        <v>3</v>
      </c>
      <c r="G323" s="296" t="s">
        <v>19</v>
      </c>
      <c r="H323" s="296" t="s">
        <v>20</v>
      </c>
      <c r="I323" s="296" t="s">
        <v>205</v>
      </c>
      <c r="J323" s="296"/>
      <c r="K323" s="296" t="s">
        <v>206</v>
      </c>
      <c r="L323" s="296">
        <v>50</v>
      </c>
      <c r="M323" s="296" t="s">
        <v>207</v>
      </c>
      <c r="N323" s="297">
        <v>1100</v>
      </c>
      <c r="O323" s="297">
        <v>1100</v>
      </c>
      <c r="P323" s="297">
        <v>8000</v>
      </c>
      <c r="Q323" s="296">
        <v>2</v>
      </c>
      <c r="R323" s="296">
        <v>1</v>
      </c>
      <c r="S323" s="296" t="s">
        <v>354</v>
      </c>
      <c r="T323" s="298">
        <v>44952</v>
      </c>
      <c r="U323" s="298">
        <v>44977</v>
      </c>
      <c r="V323" s="296" t="s">
        <v>360</v>
      </c>
      <c r="W323" s="296"/>
      <c r="X323" s="296"/>
      <c r="Z323" s="149" t="str">
        <f t="shared" ca="1" si="4"/>
        <v/>
      </c>
      <c r="AA323" s="149" t="str">
        <f ca="1">IFERROR(IF(OR(OFFSET('S4'!#REF!,MATCH($A323,'S4'!$D$5:$D$3387,0)-1,6)="巻返し",OFFSET('S4'!#REF!,MATCH($A323,'S4'!$D$5:$D$3387,0)-1,6)="スリット"),SUMIF('S4'!$D$5:$D$3387,$A323,'S4'!$U$5:$U$3387),""),"")</f>
        <v/>
      </c>
      <c r="AB323" s="149" t="str">
        <f ca="1">IFERROR(IF(OR(OFFSET('S5'!#REF!,MATCH($A323,'S5'!$D$5:$D$2917,0)-1,6)="巻返し",OFFSET('S5'!#REF!,MATCH($A323,'S5'!$D$5:$D$2917,0)-1,6)="スリット"),SUMIF('S5'!$D$5:$D$2917,$A323,'S5'!$T$5:$T$2917),""),"")</f>
        <v/>
      </c>
    </row>
    <row r="324" spans="1:28" s="144" customFormat="1" ht="13.5" x14ac:dyDescent="0.15">
      <c r="A324" s="296">
        <v>3698028</v>
      </c>
      <c r="B324" s="296" t="s">
        <v>351</v>
      </c>
      <c r="C324" s="296" t="s">
        <v>364</v>
      </c>
      <c r="D324" s="296" t="s">
        <v>353</v>
      </c>
      <c r="E324" s="296" t="s">
        <v>148</v>
      </c>
      <c r="F324" s="296">
        <v>3</v>
      </c>
      <c r="G324" s="296" t="s">
        <v>19</v>
      </c>
      <c r="H324" s="296" t="s">
        <v>20</v>
      </c>
      <c r="I324" s="296" t="s">
        <v>165</v>
      </c>
      <c r="J324" s="296"/>
      <c r="K324" s="296" t="s">
        <v>180</v>
      </c>
      <c r="L324" s="296">
        <v>50</v>
      </c>
      <c r="M324" s="296" t="s">
        <v>181</v>
      </c>
      <c r="N324" s="297">
        <v>1120</v>
      </c>
      <c r="O324" s="297">
        <v>1120</v>
      </c>
      <c r="P324" s="297">
        <v>4000</v>
      </c>
      <c r="Q324" s="296">
        <v>2</v>
      </c>
      <c r="R324" s="296">
        <v>8</v>
      </c>
      <c r="S324" s="296" t="s">
        <v>354</v>
      </c>
      <c r="T324" s="298">
        <v>44952</v>
      </c>
      <c r="U324" s="298">
        <v>45016</v>
      </c>
      <c r="V324" s="296" t="s">
        <v>355</v>
      </c>
      <c r="W324" s="296"/>
      <c r="X324" s="296"/>
      <c r="Z324" s="149" t="str">
        <f t="shared" ref="Z324:Z387" ca="1" si="5">IF(SUM(AA324:AB324)=0,"",SUM(AA324:AB324))</f>
        <v/>
      </c>
      <c r="AA324" s="149" t="str">
        <f ca="1">IFERROR(IF(OR(OFFSET('S4'!#REF!,MATCH($A324,'S4'!$D$5:$D$3387,0)-1,6)="巻返し",OFFSET('S4'!#REF!,MATCH($A324,'S4'!$D$5:$D$3387,0)-1,6)="スリット"),SUMIF('S4'!$D$5:$D$3387,$A324,'S4'!$U$5:$U$3387),""),"")</f>
        <v/>
      </c>
      <c r="AB324" s="149" t="str">
        <f ca="1">IFERROR(IF(OR(OFFSET('S5'!#REF!,MATCH($A324,'S5'!$D$5:$D$2917,0)-1,6)="巻返し",OFFSET('S5'!#REF!,MATCH($A324,'S5'!$D$5:$D$2917,0)-1,6)="スリット"),SUMIF('S5'!$D$5:$D$2917,$A324,'S5'!$T$5:$T$2917),""),"")</f>
        <v/>
      </c>
    </row>
    <row r="325" spans="1:28" s="144" customFormat="1" ht="13.5" x14ac:dyDescent="0.15">
      <c r="A325" s="296">
        <v>3698435</v>
      </c>
      <c r="B325" s="296" t="s">
        <v>351</v>
      </c>
      <c r="C325" s="296" t="s">
        <v>363</v>
      </c>
      <c r="D325" s="296" t="s">
        <v>353</v>
      </c>
      <c r="E325" s="296" t="s">
        <v>204</v>
      </c>
      <c r="F325" s="296">
        <v>3</v>
      </c>
      <c r="G325" s="296" t="s">
        <v>19</v>
      </c>
      <c r="H325" s="296" t="s">
        <v>20</v>
      </c>
      <c r="I325" s="296" t="s">
        <v>205</v>
      </c>
      <c r="J325" s="296"/>
      <c r="K325" s="296" t="s">
        <v>206</v>
      </c>
      <c r="L325" s="296">
        <v>50</v>
      </c>
      <c r="M325" s="296" t="s">
        <v>207</v>
      </c>
      <c r="N325" s="297">
        <v>1100</v>
      </c>
      <c r="O325" s="297">
        <v>1100</v>
      </c>
      <c r="P325" s="297">
        <v>4000</v>
      </c>
      <c r="Q325" s="296">
        <v>2</v>
      </c>
      <c r="R325" s="296">
        <v>2</v>
      </c>
      <c r="S325" s="296" t="s">
        <v>354</v>
      </c>
      <c r="T325" s="298">
        <v>44952</v>
      </c>
      <c r="U325" s="298">
        <v>44977</v>
      </c>
      <c r="V325" s="296" t="s">
        <v>360</v>
      </c>
      <c r="W325" s="296"/>
      <c r="X325" s="296"/>
      <c r="Z325" s="149" t="str">
        <f t="shared" ca="1" si="5"/>
        <v/>
      </c>
      <c r="AA325" s="149" t="str">
        <f ca="1">IFERROR(IF(OR(OFFSET('S4'!#REF!,MATCH($A325,'S4'!$D$5:$D$3387,0)-1,6)="巻返し",OFFSET('S4'!#REF!,MATCH($A325,'S4'!$D$5:$D$3387,0)-1,6)="スリット"),SUMIF('S4'!$D$5:$D$3387,$A325,'S4'!$U$5:$U$3387),""),"")</f>
        <v/>
      </c>
      <c r="AB325" s="149" t="str">
        <f ca="1">IFERROR(IF(OR(OFFSET('S5'!#REF!,MATCH($A325,'S5'!$D$5:$D$2917,0)-1,6)="巻返し",OFFSET('S5'!#REF!,MATCH($A325,'S5'!$D$5:$D$2917,0)-1,6)="スリット"),SUMIF('S5'!$D$5:$D$2917,$A325,'S5'!$T$5:$T$2917),""),"")</f>
        <v/>
      </c>
    </row>
    <row r="326" spans="1:28" s="144" customFormat="1" ht="13.5" x14ac:dyDescent="0.15">
      <c r="A326" s="296">
        <v>3699460</v>
      </c>
      <c r="B326" s="296" t="s">
        <v>510</v>
      </c>
      <c r="C326" s="296" t="s">
        <v>364</v>
      </c>
      <c r="D326" s="296" t="s">
        <v>353</v>
      </c>
      <c r="E326" s="296" t="s">
        <v>324</v>
      </c>
      <c r="F326" s="296">
        <v>3</v>
      </c>
      <c r="G326" s="296" t="s">
        <v>269</v>
      </c>
      <c r="H326" s="296" t="s">
        <v>20</v>
      </c>
      <c r="I326" s="296" t="s">
        <v>205</v>
      </c>
      <c r="J326" s="296"/>
      <c r="K326" s="296" t="s">
        <v>325</v>
      </c>
      <c r="L326" s="296">
        <v>9</v>
      </c>
      <c r="M326" s="296" t="s">
        <v>326</v>
      </c>
      <c r="N326" s="297">
        <v>1200</v>
      </c>
      <c r="O326" s="297">
        <v>1200</v>
      </c>
      <c r="P326" s="297">
        <v>2100</v>
      </c>
      <c r="Q326" s="296">
        <v>2</v>
      </c>
      <c r="R326" s="296">
        <v>12</v>
      </c>
      <c r="S326" s="296" t="s">
        <v>354</v>
      </c>
      <c r="T326" s="298">
        <v>44960</v>
      </c>
      <c r="U326" s="298">
        <v>44985</v>
      </c>
      <c r="V326" s="296" t="s">
        <v>428</v>
      </c>
      <c r="W326" s="296"/>
      <c r="X326" s="296"/>
      <c r="Z326" s="149" t="str">
        <f t="shared" ca="1" si="5"/>
        <v/>
      </c>
      <c r="AA326" s="149" t="str">
        <f ca="1">IFERROR(IF(OR(OFFSET('S4'!#REF!,MATCH($A326,'S4'!$D$5:$D$3387,0)-1,6)="巻返し",OFFSET('S4'!#REF!,MATCH($A326,'S4'!$D$5:$D$3387,0)-1,6)="スリット"),SUMIF('S4'!$D$5:$D$3387,$A326,'S4'!$U$5:$U$3387),""),"")</f>
        <v/>
      </c>
      <c r="AB326" s="149" t="str">
        <f ca="1">IFERROR(IF(OR(OFFSET('S5'!#REF!,MATCH($A326,'S5'!$D$5:$D$2917,0)-1,6)="巻返し",OFFSET('S5'!#REF!,MATCH($A326,'S5'!$D$5:$D$2917,0)-1,6)="スリット"),SUMIF('S5'!$D$5:$D$2917,$A326,'S5'!$T$5:$T$2917),""),"")</f>
        <v/>
      </c>
    </row>
    <row r="327" spans="1:28" s="144" customFormat="1" ht="13.5" x14ac:dyDescent="0.15">
      <c r="A327" s="296">
        <v>3699538</v>
      </c>
      <c r="B327" s="296" t="s">
        <v>510</v>
      </c>
      <c r="C327" s="296" t="s">
        <v>364</v>
      </c>
      <c r="D327" s="296" t="s">
        <v>353</v>
      </c>
      <c r="E327" s="296" t="s">
        <v>324</v>
      </c>
      <c r="F327" s="296">
        <v>3</v>
      </c>
      <c r="G327" s="296" t="s">
        <v>269</v>
      </c>
      <c r="H327" s="296" t="s">
        <v>20</v>
      </c>
      <c r="I327" s="296" t="s">
        <v>205</v>
      </c>
      <c r="J327" s="296"/>
      <c r="K327" s="296" t="s">
        <v>325</v>
      </c>
      <c r="L327" s="296">
        <v>9</v>
      </c>
      <c r="M327" s="296" t="s">
        <v>326</v>
      </c>
      <c r="N327" s="297">
        <v>1200</v>
      </c>
      <c r="O327" s="297">
        <v>1200</v>
      </c>
      <c r="P327" s="297">
        <v>2000</v>
      </c>
      <c r="Q327" s="296">
        <v>2</v>
      </c>
      <c r="R327" s="296">
        <v>12</v>
      </c>
      <c r="S327" s="296" t="s">
        <v>354</v>
      </c>
      <c r="T327" s="298">
        <v>44960</v>
      </c>
      <c r="U327" s="298">
        <v>44985</v>
      </c>
      <c r="V327" s="296" t="s">
        <v>428</v>
      </c>
      <c r="W327" s="296"/>
      <c r="X327" s="296"/>
      <c r="Z327" s="149" t="str">
        <f t="shared" ca="1" si="5"/>
        <v/>
      </c>
      <c r="AA327" s="149" t="str">
        <f ca="1">IFERROR(IF(OR(OFFSET('S4'!#REF!,MATCH($A327,'S4'!$D$5:$D$3387,0)-1,6)="巻返し",OFFSET('S4'!#REF!,MATCH($A327,'S4'!$D$5:$D$3387,0)-1,6)="スリット"),SUMIF('S4'!$D$5:$D$3387,$A327,'S4'!$U$5:$U$3387),""),"")</f>
        <v/>
      </c>
      <c r="AB327" s="149" t="str">
        <f ca="1">IFERROR(IF(OR(OFFSET('S5'!#REF!,MATCH($A327,'S5'!$D$5:$D$2917,0)-1,6)="巻返し",OFFSET('S5'!#REF!,MATCH($A327,'S5'!$D$5:$D$2917,0)-1,6)="スリット"),SUMIF('S5'!$D$5:$D$2917,$A327,'S5'!$T$5:$T$2917),""),"")</f>
        <v/>
      </c>
    </row>
    <row r="328" spans="1:28" s="144" customFormat="1" ht="13.5" x14ac:dyDescent="0.15">
      <c r="A328" s="296">
        <v>3700944</v>
      </c>
      <c r="B328" s="296" t="s">
        <v>351</v>
      </c>
      <c r="C328" s="296" t="s">
        <v>364</v>
      </c>
      <c r="D328" s="296" t="s">
        <v>353</v>
      </c>
      <c r="E328" s="296" t="s">
        <v>171</v>
      </c>
      <c r="F328" s="296" t="s">
        <v>96</v>
      </c>
      <c r="G328" s="296" t="s">
        <v>19</v>
      </c>
      <c r="H328" s="296" t="s">
        <v>20</v>
      </c>
      <c r="I328" s="296" t="s">
        <v>165</v>
      </c>
      <c r="J328" s="296"/>
      <c r="K328" s="296" t="s">
        <v>169</v>
      </c>
      <c r="L328" s="296">
        <v>50</v>
      </c>
      <c r="M328" s="296" t="s">
        <v>170</v>
      </c>
      <c r="N328" s="297">
        <v>1190</v>
      </c>
      <c r="O328" s="297">
        <v>1190</v>
      </c>
      <c r="P328" s="297">
        <v>6000</v>
      </c>
      <c r="Q328" s="296">
        <v>2</v>
      </c>
      <c r="R328" s="296">
        <v>10</v>
      </c>
      <c r="S328" s="296" t="s">
        <v>354</v>
      </c>
      <c r="T328" s="298">
        <v>44978</v>
      </c>
      <c r="U328" s="298">
        <v>45012</v>
      </c>
      <c r="V328" s="296" t="s">
        <v>355</v>
      </c>
      <c r="W328" s="296"/>
      <c r="X328" s="296"/>
      <c r="Y328" s="252"/>
      <c r="Z328" s="149" t="str">
        <f t="shared" ca="1" si="5"/>
        <v/>
      </c>
      <c r="AA328" s="149" t="str">
        <f ca="1">IFERROR(IF(OR(OFFSET('S4'!#REF!,MATCH($A328,'S4'!$D$5:$D$3387,0)-1,6)="巻返し",OFFSET('S4'!#REF!,MATCH($A328,'S4'!$D$5:$D$3387,0)-1,6)="スリット"),SUMIF('S4'!$D$5:$D$3387,$A328,'S4'!$U$5:$U$3387),""),"")</f>
        <v/>
      </c>
      <c r="AB328" s="149" t="str">
        <f ca="1">IFERROR(IF(OR(OFFSET('S5'!#REF!,MATCH($A328,'S5'!$D$5:$D$2917,0)-1,6)="巻返し",OFFSET('S5'!#REF!,MATCH($A328,'S5'!$D$5:$D$2917,0)-1,6)="スリット"),SUMIF('S5'!$D$5:$D$2917,$A328,'S5'!$T$5:$T$2917),""),"")</f>
        <v/>
      </c>
    </row>
    <row r="329" spans="1:28" s="144" customFormat="1" ht="13.5" x14ac:dyDescent="0.15">
      <c r="A329" s="296">
        <v>3700946</v>
      </c>
      <c r="B329" s="296" t="s">
        <v>351</v>
      </c>
      <c r="C329" s="296" t="s">
        <v>364</v>
      </c>
      <c r="D329" s="296" t="s">
        <v>353</v>
      </c>
      <c r="E329" s="296" t="s">
        <v>183</v>
      </c>
      <c r="F329" s="296">
        <v>3</v>
      </c>
      <c r="G329" s="296" t="s">
        <v>19</v>
      </c>
      <c r="H329" s="296" t="s">
        <v>20</v>
      </c>
      <c r="I329" s="296" t="s">
        <v>165</v>
      </c>
      <c r="J329" s="296"/>
      <c r="K329" s="296" t="s">
        <v>180</v>
      </c>
      <c r="L329" s="296">
        <v>100</v>
      </c>
      <c r="M329" s="296" t="s">
        <v>181</v>
      </c>
      <c r="N329" s="297">
        <v>1205</v>
      </c>
      <c r="O329" s="297">
        <v>1205</v>
      </c>
      <c r="P329" s="297">
        <v>2500</v>
      </c>
      <c r="Q329" s="296">
        <v>2</v>
      </c>
      <c r="R329" s="296">
        <v>4</v>
      </c>
      <c r="S329" s="296" t="s">
        <v>354</v>
      </c>
      <c r="T329" s="298">
        <v>44978</v>
      </c>
      <c r="U329" s="298">
        <v>45012</v>
      </c>
      <c r="V329" s="296" t="s">
        <v>355</v>
      </c>
      <c r="W329" s="296"/>
      <c r="X329" s="296"/>
      <c r="Y329" s="252"/>
      <c r="Z329" s="149" t="str">
        <f t="shared" ca="1" si="5"/>
        <v/>
      </c>
      <c r="AA329" s="149" t="str">
        <f ca="1">IFERROR(IF(OR(OFFSET('S4'!#REF!,MATCH($A329,'S4'!$D$5:$D$3387,0)-1,6)="巻返し",OFFSET('S4'!#REF!,MATCH($A329,'S4'!$D$5:$D$3387,0)-1,6)="スリット"),SUMIF('S4'!$D$5:$D$3387,$A329,'S4'!$U$5:$U$3387),""),"")</f>
        <v/>
      </c>
      <c r="AB329" s="149" t="str">
        <f ca="1">IFERROR(IF(OR(OFFSET('S5'!#REF!,MATCH($A329,'S5'!$D$5:$D$2917,0)-1,6)="巻返し",OFFSET('S5'!#REF!,MATCH($A329,'S5'!$D$5:$D$2917,0)-1,6)="スリット"),SUMIF('S5'!$D$5:$D$2917,$A329,'S5'!$T$5:$T$2917),""),"")</f>
        <v/>
      </c>
    </row>
    <row r="330" spans="1:28" s="144" customFormat="1" ht="13.5" x14ac:dyDescent="0.15">
      <c r="A330" s="296">
        <v>3700947</v>
      </c>
      <c r="B330" s="296" t="s">
        <v>351</v>
      </c>
      <c r="C330" s="296" t="s">
        <v>364</v>
      </c>
      <c r="D330" s="296" t="s">
        <v>353</v>
      </c>
      <c r="E330" s="296" t="s">
        <v>148</v>
      </c>
      <c r="F330" s="296">
        <v>3</v>
      </c>
      <c r="G330" s="296" t="s">
        <v>19</v>
      </c>
      <c r="H330" s="296" t="s">
        <v>20</v>
      </c>
      <c r="I330" s="296" t="s">
        <v>165</v>
      </c>
      <c r="J330" s="296"/>
      <c r="K330" s="296" t="s">
        <v>169</v>
      </c>
      <c r="L330" s="296">
        <v>50</v>
      </c>
      <c r="M330" s="296" t="s">
        <v>170</v>
      </c>
      <c r="N330" s="297">
        <v>1120</v>
      </c>
      <c r="O330" s="297">
        <v>1120</v>
      </c>
      <c r="P330" s="297">
        <v>6000</v>
      </c>
      <c r="Q330" s="296">
        <v>2</v>
      </c>
      <c r="R330" s="296">
        <v>2</v>
      </c>
      <c r="S330" s="296" t="s">
        <v>354</v>
      </c>
      <c r="T330" s="298">
        <v>44978</v>
      </c>
      <c r="U330" s="298">
        <v>45012</v>
      </c>
      <c r="V330" s="296" t="s">
        <v>355</v>
      </c>
      <c r="W330" s="296"/>
      <c r="X330" s="296"/>
      <c r="Y330" s="252"/>
      <c r="Z330" s="149" t="str">
        <f t="shared" ca="1" si="5"/>
        <v/>
      </c>
      <c r="AA330" s="149" t="str">
        <f ca="1">IFERROR(IF(OR(OFFSET('S4'!#REF!,MATCH($A330,'S4'!$D$5:$D$3387,0)-1,6)="巻返し",OFFSET('S4'!#REF!,MATCH($A330,'S4'!$D$5:$D$3387,0)-1,6)="スリット"),SUMIF('S4'!$D$5:$D$3387,$A330,'S4'!$U$5:$U$3387),""),"")</f>
        <v/>
      </c>
      <c r="AB330" s="149" t="str">
        <f ca="1">IFERROR(IF(OR(OFFSET('S5'!#REF!,MATCH($A330,'S5'!$D$5:$D$2917,0)-1,6)="巻返し",OFFSET('S5'!#REF!,MATCH($A330,'S5'!$D$5:$D$2917,0)-1,6)="スリット"),SUMIF('S5'!$D$5:$D$2917,$A330,'S5'!$T$5:$T$2917),""),"")</f>
        <v/>
      </c>
    </row>
    <row r="331" spans="1:28" s="144" customFormat="1" ht="13.5" x14ac:dyDescent="0.15">
      <c r="A331" s="296">
        <v>3700948</v>
      </c>
      <c r="B331" s="296" t="s">
        <v>351</v>
      </c>
      <c r="C331" s="296" t="s">
        <v>364</v>
      </c>
      <c r="D331" s="296" t="s">
        <v>353</v>
      </c>
      <c r="E331" s="296" t="s">
        <v>148</v>
      </c>
      <c r="F331" s="296">
        <v>3</v>
      </c>
      <c r="G331" s="296" t="s">
        <v>19</v>
      </c>
      <c r="H331" s="296" t="s">
        <v>20</v>
      </c>
      <c r="I331" s="296" t="s">
        <v>165</v>
      </c>
      <c r="J331" s="296"/>
      <c r="K331" s="296" t="s">
        <v>180</v>
      </c>
      <c r="L331" s="296">
        <v>50</v>
      </c>
      <c r="M331" s="296" t="s">
        <v>181</v>
      </c>
      <c r="N331" s="297">
        <v>1120</v>
      </c>
      <c r="O331" s="297">
        <v>1120</v>
      </c>
      <c r="P331" s="297">
        <v>4000</v>
      </c>
      <c r="Q331" s="296">
        <v>2</v>
      </c>
      <c r="R331" s="296">
        <v>6</v>
      </c>
      <c r="S331" s="296" t="s">
        <v>354</v>
      </c>
      <c r="T331" s="298">
        <v>44978</v>
      </c>
      <c r="U331" s="298">
        <v>45012</v>
      </c>
      <c r="V331" s="296" t="s">
        <v>355</v>
      </c>
      <c r="W331" s="296"/>
      <c r="X331" s="296"/>
      <c r="Y331" s="252"/>
      <c r="Z331" s="149" t="str">
        <f t="shared" ca="1" si="5"/>
        <v/>
      </c>
      <c r="AA331" s="149" t="str">
        <f ca="1">IFERROR(IF(OR(OFFSET('S4'!#REF!,MATCH($A331,'S4'!$D$5:$D$3387,0)-1,6)="巻返し",OFFSET('S4'!#REF!,MATCH($A331,'S4'!$D$5:$D$3387,0)-1,6)="スリット"),SUMIF('S4'!$D$5:$D$3387,$A331,'S4'!$U$5:$U$3387),""),"")</f>
        <v/>
      </c>
      <c r="AB331" s="149" t="str">
        <f ca="1">IFERROR(IF(OR(OFFSET('S5'!#REF!,MATCH($A331,'S5'!$D$5:$D$2917,0)-1,6)="巻返し",OFFSET('S5'!#REF!,MATCH($A331,'S5'!$D$5:$D$2917,0)-1,6)="スリット"),SUMIF('S5'!$D$5:$D$2917,$A331,'S5'!$T$5:$T$2917),""),"")</f>
        <v/>
      </c>
    </row>
    <row r="332" spans="1:28" s="144" customFormat="1" ht="13.5" x14ac:dyDescent="0.15">
      <c r="A332" s="296">
        <v>3700950</v>
      </c>
      <c r="B332" s="296" t="s">
        <v>351</v>
      </c>
      <c r="C332" s="296" t="s">
        <v>352</v>
      </c>
      <c r="D332" s="296" t="s">
        <v>353</v>
      </c>
      <c r="E332" s="296" t="s">
        <v>116</v>
      </c>
      <c r="F332" s="296">
        <v>3</v>
      </c>
      <c r="G332" s="296" t="s">
        <v>19</v>
      </c>
      <c r="H332" s="296" t="s">
        <v>20</v>
      </c>
      <c r="I332" s="296" t="s">
        <v>205</v>
      </c>
      <c r="J332" s="296"/>
      <c r="K332" s="296" t="s">
        <v>212</v>
      </c>
      <c r="L332" s="296">
        <v>25</v>
      </c>
      <c r="M332" s="296" t="s">
        <v>213</v>
      </c>
      <c r="N332" s="297">
        <v>1120</v>
      </c>
      <c r="O332" s="297">
        <v>1120</v>
      </c>
      <c r="P332" s="297">
        <v>4000</v>
      </c>
      <c r="Q332" s="296">
        <v>2</v>
      </c>
      <c r="R332" s="296">
        <v>5</v>
      </c>
      <c r="S332" s="296" t="s">
        <v>354</v>
      </c>
      <c r="T332" s="298">
        <v>44978</v>
      </c>
      <c r="U332" s="298">
        <v>45007</v>
      </c>
      <c r="V332" s="296" t="s">
        <v>355</v>
      </c>
      <c r="W332" s="296"/>
      <c r="X332" s="296"/>
      <c r="Y332" s="252"/>
      <c r="Z332" s="149" t="str">
        <f t="shared" ca="1" si="5"/>
        <v/>
      </c>
      <c r="AA332" s="149" t="str">
        <f ca="1">IFERROR(IF(OR(OFFSET('S4'!#REF!,MATCH($A332,'S4'!$D$5:$D$3387,0)-1,6)="巻返し",OFFSET('S4'!#REF!,MATCH($A332,'S4'!$D$5:$D$3387,0)-1,6)="スリット"),SUMIF('S4'!$D$5:$D$3387,$A332,'S4'!$U$5:$U$3387),""),"")</f>
        <v/>
      </c>
      <c r="AB332" s="149" t="str">
        <f ca="1">IFERROR(IF(OR(OFFSET('S5'!#REF!,MATCH($A332,'S5'!$D$5:$D$2917,0)-1,6)="巻返し",OFFSET('S5'!#REF!,MATCH($A332,'S5'!$D$5:$D$2917,0)-1,6)="スリット"),SUMIF('S5'!$D$5:$D$2917,$A332,'S5'!$T$5:$T$2917),""),"")</f>
        <v/>
      </c>
    </row>
    <row r="333" spans="1:28" s="144" customFormat="1" ht="13.5" x14ac:dyDescent="0.15">
      <c r="A333" s="296">
        <v>3700951</v>
      </c>
      <c r="B333" s="296" t="s">
        <v>351</v>
      </c>
      <c r="C333" s="296" t="s">
        <v>352</v>
      </c>
      <c r="D333" s="296" t="s">
        <v>353</v>
      </c>
      <c r="E333" s="296" t="s">
        <v>116</v>
      </c>
      <c r="F333" s="296">
        <v>3</v>
      </c>
      <c r="G333" s="296" t="s">
        <v>19</v>
      </c>
      <c r="H333" s="296" t="s">
        <v>20</v>
      </c>
      <c r="I333" s="296" t="s">
        <v>205</v>
      </c>
      <c r="J333" s="296"/>
      <c r="K333" s="296" t="s">
        <v>212</v>
      </c>
      <c r="L333" s="296">
        <v>50</v>
      </c>
      <c r="M333" s="296" t="s">
        <v>213</v>
      </c>
      <c r="N333" s="297">
        <v>1000</v>
      </c>
      <c r="O333" s="297">
        <v>1000</v>
      </c>
      <c r="P333" s="297">
        <v>4000</v>
      </c>
      <c r="Q333" s="296">
        <v>2</v>
      </c>
      <c r="R333" s="296">
        <v>2</v>
      </c>
      <c r="S333" s="296" t="s">
        <v>354</v>
      </c>
      <c r="T333" s="298">
        <v>44978</v>
      </c>
      <c r="U333" s="298">
        <v>45007</v>
      </c>
      <c r="V333" s="296" t="s">
        <v>355</v>
      </c>
      <c r="W333" s="296"/>
      <c r="X333" s="296"/>
      <c r="Y333" s="252"/>
      <c r="Z333" s="149" t="str">
        <f t="shared" ca="1" si="5"/>
        <v/>
      </c>
      <c r="AA333" s="149" t="str">
        <f ca="1">IFERROR(IF(OR(OFFSET('S4'!#REF!,MATCH($A333,'S4'!$D$5:$D$3387,0)-1,6)="巻返し",OFFSET('S4'!#REF!,MATCH($A333,'S4'!$D$5:$D$3387,0)-1,6)="スリット"),SUMIF('S4'!$D$5:$D$3387,$A333,'S4'!$U$5:$U$3387),""),"")</f>
        <v/>
      </c>
      <c r="AB333" s="149" t="str">
        <f ca="1">IFERROR(IF(OR(OFFSET('S5'!#REF!,MATCH($A333,'S5'!$D$5:$D$2917,0)-1,6)="巻返し",OFFSET('S5'!#REF!,MATCH($A333,'S5'!$D$5:$D$2917,0)-1,6)="スリット"),SUMIF('S5'!$D$5:$D$2917,$A333,'S5'!$T$5:$T$2917),""),"")</f>
        <v/>
      </c>
    </row>
    <row r="334" spans="1:28" s="144" customFormat="1" ht="13.5" x14ac:dyDescent="0.15">
      <c r="A334" s="296">
        <v>3700952</v>
      </c>
      <c r="B334" s="296" t="s">
        <v>351</v>
      </c>
      <c r="C334" s="296" t="s">
        <v>352</v>
      </c>
      <c r="D334" s="296" t="s">
        <v>353</v>
      </c>
      <c r="E334" s="296" t="s">
        <v>116</v>
      </c>
      <c r="F334" s="296">
        <v>3</v>
      </c>
      <c r="G334" s="296" t="s">
        <v>19</v>
      </c>
      <c r="H334" s="296" t="s">
        <v>20</v>
      </c>
      <c r="I334" s="296" t="s">
        <v>205</v>
      </c>
      <c r="J334" s="296"/>
      <c r="K334" s="296" t="s">
        <v>212</v>
      </c>
      <c r="L334" s="296">
        <v>50</v>
      </c>
      <c r="M334" s="296" t="s">
        <v>213</v>
      </c>
      <c r="N334" s="297">
        <v>1120</v>
      </c>
      <c r="O334" s="297">
        <v>1120</v>
      </c>
      <c r="P334" s="297">
        <v>4000</v>
      </c>
      <c r="Q334" s="296">
        <v>2</v>
      </c>
      <c r="R334" s="296">
        <v>24</v>
      </c>
      <c r="S334" s="296" t="s">
        <v>354</v>
      </c>
      <c r="T334" s="298">
        <v>44978</v>
      </c>
      <c r="U334" s="298">
        <v>45021</v>
      </c>
      <c r="V334" s="296" t="s">
        <v>355</v>
      </c>
      <c r="W334" s="296"/>
      <c r="X334" s="296"/>
      <c r="Y334" s="252"/>
      <c r="Z334" s="149" t="str">
        <f t="shared" ca="1" si="5"/>
        <v/>
      </c>
      <c r="AA334" s="149" t="str">
        <f ca="1">IFERROR(IF(OR(OFFSET('S4'!#REF!,MATCH($A334,'S4'!$D$5:$D$3387,0)-1,6)="巻返し",OFFSET('S4'!#REF!,MATCH($A334,'S4'!$D$5:$D$3387,0)-1,6)="スリット"),SUMIF('S4'!$D$5:$D$3387,$A334,'S4'!$U$5:$U$3387),""),"")</f>
        <v/>
      </c>
      <c r="AB334" s="149" t="str">
        <f ca="1">IFERROR(IF(OR(OFFSET('S5'!#REF!,MATCH($A334,'S5'!$D$5:$D$2917,0)-1,6)="巻返し",OFFSET('S5'!#REF!,MATCH($A334,'S5'!$D$5:$D$2917,0)-1,6)="スリット"),SUMIF('S5'!$D$5:$D$2917,$A334,'S5'!$T$5:$T$2917),""),"")</f>
        <v/>
      </c>
    </row>
    <row r="335" spans="1:28" s="144" customFormat="1" ht="13.5" x14ac:dyDescent="0.15">
      <c r="A335" s="296">
        <v>3700953</v>
      </c>
      <c r="B335" s="296" t="s">
        <v>351</v>
      </c>
      <c r="C335" s="296" t="s">
        <v>352</v>
      </c>
      <c r="D335" s="296" t="s">
        <v>353</v>
      </c>
      <c r="E335" s="296" t="s">
        <v>116</v>
      </c>
      <c r="F335" s="296">
        <v>3</v>
      </c>
      <c r="G335" s="296" t="s">
        <v>19</v>
      </c>
      <c r="H335" s="296" t="s">
        <v>20</v>
      </c>
      <c r="I335" s="296" t="s">
        <v>205</v>
      </c>
      <c r="J335" s="296"/>
      <c r="K335" s="296" t="s">
        <v>211</v>
      </c>
      <c r="L335" s="296">
        <v>50</v>
      </c>
      <c r="M335" s="296" t="s">
        <v>370</v>
      </c>
      <c r="N335" s="297">
        <v>1050</v>
      </c>
      <c r="O335" s="297">
        <v>1050</v>
      </c>
      <c r="P335" s="297">
        <v>4100</v>
      </c>
      <c r="Q335" s="296">
        <v>2</v>
      </c>
      <c r="R335" s="296">
        <v>3</v>
      </c>
      <c r="S335" s="296" t="s">
        <v>354</v>
      </c>
      <c r="T335" s="298">
        <v>44978</v>
      </c>
      <c r="U335" s="298">
        <v>45007</v>
      </c>
      <c r="V335" s="296" t="s">
        <v>355</v>
      </c>
      <c r="W335" s="296"/>
      <c r="X335" s="296"/>
      <c r="Y335" s="252"/>
      <c r="Z335" s="149" t="str">
        <f t="shared" ca="1" si="5"/>
        <v/>
      </c>
      <c r="AA335" s="149" t="str">
        <f ca="1">IFERROR(IF(OR(OFFSET('S4'!#REF!,MATCH($A335,'S4'!$D$5:$D$3387,0)-1,6)="巻返し",OFFSET('S4'!#REF!,MATCH($A335,'S4'!$D$5:$D$3387,0)-1,6)="スリット"),SUMIF('S4'!$D$5:$D$3387,$A335,'S4'!$U$5:$U$3387),""),"")</f>
        <v/>
      </c>
      <c r="AB335" s="149" t="str">
        <f ca="1">IFERROR(IF(OR(OFFSET('S5'!#REF!,MATCH($A335,'S5'!$D$5:$D$2917,0)-1,6)="巻返し",OFFSET('S5'!#REF!,MATCH($A335,'S5'!$D$5:$D$2917,0)-1,6)="スリット"),SUMIF('S5'!$D$5:$D$2917,$A335,'S5'!$T$5:$T$2917),""),"")</f>
        <v/>
      </c>
    </row>
    <row r="336" spans="1:28" s="144" customFormat="1" ht="13.5" x14ac:dyDescent="0.15">
      <c r="A336" s="296">
        <v>3700955</v>
      </c>
      <c r="B336" s="296" t="s">
        <v>351</v>
      </c>
      <c r="C336" s="296" t="s">
        <v>352</v>
      </c>
      <c r="D336" s="296" t="s">
        <v>353</v>
      </c>
      <c r="E336" s="296" t="s">
        <v>116</v>
      </c>
      <c r="F336" s="296">
        <v>3</v>
      </c>
      <c r="G336" s="296" t="s">
        <v>19</v>
      </c>
      <c r="H336" s="296" t="s">
        <v>20</v>
      </c>
      <c r="I336" s="296" t="s">
        <v>205</v>
      </c>
      <c r="J336" s="296"/>
      <c r="K336" s="296" t="s">
        <v>216</v>
      </c>
      <c r="L336" s="296">
        <v>25</v>
      </c>
      <c r="M336" s="296" t="s">
        <v>217</v>
      </c>
      <c r="N336" s="297">
        <v>1005</v>
      </c>
      <c r="O336" s="297">
        <v>1000</v>
      </c>
      <c r="P336" s="297">
        <v>4000</v>
      </c>
      <c r="Q336" s="296">
        <v>2</v>
      </c>
      <c r="R336" s="296">
        <v>15</v>
      </c>
      <c r="S336" s="296" t="s">
        <v>354</v>
      </c>
      <c r="T336" s="298">
        <v>44978</v>
      </c>
      <c r="U336" s="298">
        <v>45007</v>
      </c>
      <c r="V336" s="296" t="s">
        <v>355</v>
      </c>
      <c r="W336" s="296"/>
      <c r="X336" s="296"/>
      <c r="Y336" s="252"/>
      <c r="Z336" s="149" t="str">
        <f t="shared" ca="1" si="5"/>
        <v/>
      </c>
      <c r="AA336" s="149" t="str">
        <f ca="1">IFERROR(IF(OR(OFFSET('S4'!#REF!,MATCH($A336,'S4'!$D$5:$D$3387,0)-1,6)="巻返し",OFFSET('S4'!#REF!,MATCH($A336,'S4'!$D$5:$D$3387,0)-1,6)="スリット"),SUMIF('S4'!$D$5:$D$3387,$A336,'S4'!$U$5:$U$3387),""),"")</f>
        <v/>
      </c>
      <c r="AB336" s="149" t="str">
        <f ca="1">IFERROR(IF(OR(OFFSET('S5'!#REF!,MATCH($A336,'S5'!$D$5:$D$2917,0)-1,6)="巻返し",OFFSET('S5'!#REF!,MATCH($A336,'S5'!$D$5:$D$2917,0)-1,6)="スリット"),SUMIF('S5'!$D$5:$D$2917,$A336,'S5'!$T$5:$T$2917),""),"")</f>
        <v/>
      </c>
    </row>
    <row r="337" spans="1:28" s="144" customFormat="1" ht="13.5" x14ac:dyDescent="0.15">
      <c r="A337" s="296">
        <v>3700956</v>
      </c>
      <c r="B337" s="296" t="s">
        <v>351</v>
      </c>
      <c r="C337" s="296" t="s">
        <v>352</v>
      </c>
      <c r="D337" s="296" t="s">
        <v>353</v>
      </c>
      <c r="E337" s="296" t="s">
        <v>116</v>
      </c>
      <c r="F337" s="296">
        <v>3</v>
      </c>
      <c r="G337" s="296" t="s">
        <v>19</v>
      </c>
      <c r="H337" s="296" t="s">
        <v>20</v>
      </c>
      <c r="I337" s="296" t="s">
        <v>205</v>
      </c>
      <c r="J337" s="296"/>
      <c r="K337" s="296" t="s">
        <v>216</v>
      </c>
      <c r="L337" s="296">
        <v>50</v>
      </c>
      <c r="M337" s="296" t="s">
        <v>217</v>
      </c>
      <c r="N337" s="297">
        <v>1120</v>
      </c>
      <c r="O337" s="297">
        <v>1120</v>
      </c>
      <c r="P337" s="297">
        <v>5000</v>
      </c>
      <c r="Q337" s="296">
        <v>2</v>
      </c>
      <c r="R337" s="296">
        <v>12</v>
      </c>
      <c r="S337" s="296" t="s">
        <v>354</v>
      </c>
      <c r="T337" s="298">
        <v>44978</v>
      </c>
      <c r="U337" s="298">
        <v>45007</v>
      </c>
      <c r="V337" s="296" t="s">
        <v>355</v>
      </c>
      <c r="W337" s="296"/>
      <c r="X337" s="296"/>
      <c r="Y337" s="252"/>
      <c r="Z337" s="149" t="str">
        <f t="shared" ca="1" si="5"/>
        <v/>
      </c>
      <c r="AA337" s="149" t="str">
        <f ca="1">IFERROR(IF(OR(OFFSET('S4'!#REF!,MATCH($A337,'S4'!$D$5:$D$3387,0)-1,6)="巻返し",OFFSET('S4'!#REF!,MATCH($A337,'S4'!$D$5:$D$3387,0)-1,6)="スリット"),SUMIF('S4'!$D$5:$D$3387,$A337,'S4'!$U$5:$U$3387),""),"")</f>
        <v/>
      </c>
      <c r="AB337" s="149" t="str">
        <f ca="1">IFERROR(IF(OR(OFFSET('S5'!#REF!,MATCH($A337,'S5'!$D$5:$D$2917,0)-1,6)="巻返し",OFFSET('S5'!#REF!,MATCH($A337,'S5'!$D$5:$D$2917,0)-1,6)="スリット"),SUMIF('S5'!$D$5:$D$2917,$A337,'S5'!$T$5:$T$2917),""),"")</f>
        <v/>
      </c>
    </row>
    <row r="338" spans="1:28" s="144" customFormat="1" ht="13.5" x14ac:dyDescent="0.15">
      <c r="A338" s="296">
        <v>3700957</v>
      </c>
      <c r="B338" s="296" t="s">
        <v>351</v>
      </c>
      <c r="C338" s="296" t="s">
        <v>352</v>
      </c>
      <c r="D338" s="296" t="s">
        <v>353</v>
      </c>
      <c r="E338" s="296" t="s">
        <v>116</v>
      </c>
      <c r="F338" s="296">
        <v>3</v>
      </c>
      <c r="G338" s="296" t="s">
        <v>19</v>
      </c>
      <c r="H338" s="296" t="s">
        <v>20</v>
      </c>
      <c r="I338" s="296" t="s">
        <v>205</v>
      </c>
      <c r="J338" s="296"/>
      <c r="K338" s="296" t="s">
        <v>216</v>
      </c>
      <c r="L338" s="296">
        <v>50</v>
      </c>
      <c r="M338" s="296" t="s">
        <v>217</v>
      </c>
      <c r="N338" s="297">
        <v>1120</v>
      </c>
      <c r="O338" s="297">
        <v>1120</v>
      </c>
      <c r="P338" s="297">
        <v>5000</v>
      </c>
      <c r="Q338" s="296">
        <v>2</v>
      </c>
      <c r="R338" s="296">
        <v>12</v>
      </c>
      <c r="S338" s="296" t="s">
        <v>354</v>
      </c>
      <c r="T338" s="298">
        <v>44978</v>
      </c>
      <c r="U338" s="298">
        <v>45014</v>
      </c>
      <c r="V338" s="296" t="s">
        <v>355</v>
      </c>
      <c r="W338" s="296"/>
      <c r="X338" s="296"/>
      <c r="Y338" s="252"/>
      <c r="Z338" s="149" t="str">
        <f t="shared" ca="1" si="5"/>
        <v/>
      </c>
      <c r="AA338" s="149" t="str">
        <f ca="1">IFERROR(IF(OR(OFFSET('S4'!#REF!,MATCH($A338,'S4'!$D$5:$D$3387,0)-1,6)="巻返し",OFFSET('S4'!#REF!,MATCH($A338,'S4'!$D$5:$D$3387,0)-1,6)="スリット"),SUMIF('S4'!$D$5:$D$3387,$A338,'S4'!$U$5:$U$3387),""),"")</f>
        <v/>
      </c>
      <c r="AB338" s="149" t="str">
        <f ca="1">IFERROR(IF(OR(OFFSET('S5'!#REF!,MATCH($A338,'S5'!$D$5:$D$2917,0)-1,6)="巻返し",OFFSET('S5'!#REF!,MATCH($A338,'S5'!$D$5:$D$2917,0)-1,6)="スリット"),SUMIF('S5'!$D$5:$D$2917,$A338,'S5'!$T$5:$T$2917),""),"")</f>
        <v/>
      </c>
    </row>
    <row r="339" spans="1:28" s="144" customFormat="1" ht="13.5" x14ac:dyDescent="0.15">
      <c r="A339" s="296">
        <v>3700958</v>
      </c>
      <c r="B339" s="296" t="s">
        <v>351</v>
      </c>
      <c r="C339" s="296" t="s">
        <v>352</v>
      </c>
      <c r="D339" s="296" t="s">
        <v>353</v>
      </c>
      <c r="E339" s="296" t="s">
        <v>116</v>
      </c>
      <c r="F339" s="296">
        <v>3</v>
      </c>
      <c r="G339" s="296" t="s">
        <v>19</v>
      </c>
      <c r="H339" s="296" t="s">
        <v>20</v>
      </c>
      <c r="I339" s="296" t="s">
        <v>205</v>
      </c>
      <c r="J339" s="296"/>
      <c r="K339" s="296" t="s">
        <v>216</v>
      </c>
      <c r="L339" s="296">
        <v>50</v>
      </c>
      <c r="M339" s="296" t="s">
        <v>217</v>
      </c>
      <c r="N339" s="297">
        <v>1120</v>
      </c>
      <c r="O339" s="297">
        <v>1120</v>
      </c>
      <c r="P339" s="297">
        <v>5000</v>
      </c>
      <c r="Q339" s="296">
        <v>2</v>
      </c>
      <c r="R339" s="296">
        <v>12</v>
      </c>
      <c r="S339" s="296" t="s">
        <v>354</v>
      </c>
      <c r="T339" s="298">
        <v>44978</v>
      </c>
      <c r="U339" s="298">
        <v>45021</v>
      </c>
      <c r="V339" s="296" t="s">
        <v>355</v>
      </c>
      <c r="W339" s="296"/>
      <c r="X339" s="296"/>
      <c r="Y339" s="252"/>
      <c r="Z339" s="149" t="str">
        <f t="shared" ca="1" si="5"/>
        <v/>
      </c>
      <c r="AA339" s="149" t="str">
        <f ca="1">IFERROR(IF(OR(OFFSET('S4'!#REF!,MATCH($A339,'S4'!$D$5:$D$3387,0)-1,6)="巻返し",OFFSET('S4'!#REF!,MATCH($A339,'S4'!$D$5:$D$3387,0)-1,6)="スリット"),SUMIF('S4'!$D$5:$D$3387,$A339,'S4'!$U$5:$U$3387),""),"")</f>
        <v/>
      </c>
      <c r="AB339" s="149" t="str">
        <f ca="1">IFERROR(IF(OR(OFFSET('S5'!#REF!,MATCH($A339,'S5'!$D$5:$D$2917,0)-1,6)="巻返し",OFFSET('S5'!#REF!,MATCH($A339,'S5'!$D$5:$D$2917,0)-1,6)="スリット"),SUMIF('S5'!$D$5:$D$2917,$A339,'S5'!$T$5:$T$2917),""),"")</f>
        <v/>
      </c>
    </row>
    <row r="340" spans="1:28" s="144" customFormat="1" ht="13.5" x14ac:dyDescent="0.15">
      <c r="A340" s="296">
        <v>3700959</v>
      </c>
      <c r="B340" s="296" t="s">
        <v>351</v>
      </c>
      <c r="C340" s="296" t="s">
        <v>352</v>
      </c>
      <c r="D340" s="296" t="s">
        <v>353</v>
      </c>
      <c r="E340" s="296" t="s">
        <v>116</v>
      </c>
      <c r="F340" s="296">
        <v>3</v>
      </c>
      <c r="G340" s="296" t="s">
        <v>19</v>
      </c>
      <c r="H340" s="296" t="s">
        <v>20</v>
      </c>
      <c r="I340" s="296" t="s">
        <v>205</v>
      </c>
      <c r="J340" s="296"/>
      <c r="K340" s="296" t="s">
        <v>216</v>
      </c>
      <c r="L340" s="296">
        <v>50</v>
      </c>
      <c r="M340" s="296" t="s">
        <v>217</v>
      </c>
      <c r="N340" s="297">
        <v>1120</v>
      </c>
      <c r="O340" s="297">
        <v>1120</v>
      </c>
      <c r="P340" s="297">
        <v>5000</v>
      </c>
      <c r="Q340" s="296">
        <v>2</v>
      </c>
      <c r="R340" s="296">
        <v>12</v>
      </c>
      <c r="S340" s="296" t="s">
        <v>354</v>
      </c>
      <c r="T340" s="298">
        <v>44978</v>
      </c>
      <c r="U340" s="298">
        <v>45028</v>
      </c>
      <c r="V340" s="296" t="s">
        <v>355</v>
      </c>
      <c r="W340" s="296"/>
      <c r="X340" s="296"/>
      <c r="Y340" s="252"/>
      <c r="Z340" s="149" t="str">
        <f t="shared" ca="1" si="5"/>
        <v/>
      </c>
      <c r="AA340" s="149" t="str">
        <f ca="1">IFERROR(IF(OR(OFFSET('S4'!#REF!,MATCH($A340,'S4'!$D$5:$D$3387,0)-1,6)="巻返し",OFFSET('S4'!#REF!,MATCH($A340,'S4'!$D$5:$D$3387,0)-1,6)="スリット"),SUMIF('S4'!$D$5:$D$3387,$A340,'S4'!$U$5:$U$3387),""),"")</f>
        <v/>
      </c>
      <c r="AB340" s="149" t="str">
        <f ca="1">IFERROR(IF(OR(OFFSET('S5'!#REF!,MATCH($A340,'S5'!$D$5:$D$2917,0)-1,6)="巻返し",OFFSET('S5'!#REF!,MATCH($A340,'S5'!$D$5:$D$2917,0)-1,6)="スリット"),SUMIF('S5'!$D$5:$D$2917,$A340,'S5'!$T$5:$T$2917),""),"")</f>
        <v/>
      </c>
    </row>
    <row r="341" spans="1:28" s="144" customFormat="1" ht="13.5" x14ac:dyDescent="0.15">
      <c r="A341" s="296">
        <v>3700960</v>
      </c>
      <c r="B341" s="296" t="s">
        <v>351</v>
      </c>
      <c r="C341" s="296" t="s">
        <v>352</v>
      </c>
      <c r="D341" s="296" t="s">
        <v>353</v>
      </c>
      <c r="E341" s="296" t="s">
        <v>116</v>
      </c>
      <c r="F341" s="296">
        <v>3</v>
      </c>
      <c r="G341" s="296" t="s">
        <v>19</v>
      </c>
      <c r="H341" s="296" t="s">
        <v>20</v>
      </c>
      <c r="I341" s="296" t="s">
        <v>205</v>
      </c>
      <c r="J341" s="296"/>
      <c r="K341" s="296" t="s">
        <v>218</v>
      </c>
      <c r="L341" s="296">
        <v>50</v>
      </c>
      <c r="M341" s="296" t="s">
        <v>219</v>
      </c>
      <c r="N341" s="297">
        <v>1000</v>
      </c>
      <c r="O341" s="297">
        <v>1000</v>
      </c>
      <c r="P341" s="297">
        <v>4000</v>
      </c>
      <c r="Q341" s="296">
        <v>2</v>
      </c>
      <c r="R341" s="296">
        <v>15</v>
      </c>
      <c r="S341" s="296" t="s">
        <v>354</v>
      </c>
      <c r="T341" s="298">
        <v>44978</v>
      </c>
      <c r="U341" s="298">
        <v>45007</v>
      </c>
      <c r="V341" s="296" t="s">
        <v>355</v>
      </c>
      <c r="W341" s="296"/>
      <c r="X341" s="296"/>
      <c r="Y341" s="252"/>
      <c r="Z341" s="149" t="str">
        <f t="shared" ca="1" si="5"/>
        <v/>
      </c>
      <c r="AA341" s="149" t="str">
        <f ca="1">IFERROR(IF(OR(OFFSET('S4'!#REF!,MATCH($A341,'S4'!$D$5:$D$3387,0)-1,6)="巻返し",OFFSET('S4'!#REF!,MATCH($A341,'S4'!$D$5:$D$3387,0)-1,6)="スリット"),SUMIF('S4'!$D$5:$D$3387,$A341,'S4'!$U$5:$U$3387),""),"")</f>
        <v/>
      </c>
      <c r="AB341" s="149" t="str">
        <f ca="1">IFERROR(IF(OR(OFFSET('S5'!#REF!,MATCH($A341,'S5'!$D$5:$D$2917,0)-1,6)="巻返し",OFFSET('S5'!#REF!,MATCH($A341,'S5'!$D$5:$D$2917,0)-1,6)="スリット"),SUMIF('S5'!$D$5:$D$2917,$A341,'S5'!$T$5:$T$2917),""),"")</f>
        <v/>
      </c>
    </row>
    <row r="342" spans="1:28" s="144" customFormat="1" ht="13.5" x14ac:dyDescent="0.15">
      <c r="A342" s="296">
        <v>3700961</v>
      </c>
      <c r="B342" s="296" t="s">
        <v>351</v>
      </c>
      <c r="C342" s="296" t="s">
        <v>352</v>
      </c>
      <c r="D342" s="296" t="s">
        <v>353</v>
      </c>
      <c r="E342" s="296" t="s">
        <v>116</v>
      </c>
      <c r="F342" s="296" t="s">
        <v>158</v>
      </c>
      <c r="G342" s="296" t="s">
        <v>19</v>
      </c>
      <c r="H342" s="296" t="s">
        <v>20</v>
      </c>
      <c r="I342" s="296" t="s">
        <v>165</v>
      </c>
      <c r="J342" s="296"/>
      <c r="K342" s="296" t="s">
        <v>192</v>
      </c>
      <c r="L342" s="296">
        <v>50</v>
      </c>
      <c r="M342" s="296" t="s">
        <v>193</v>
      </c>
      <c r="N342" s="297">
        <v>1005</v>
      </c>
      <c r="O342" s="297">
        <v>1000</v>
      </c>
      <c r="P342" s="297">
        <v>4000</v>
      </c>
      <c r="Q342" s="296">
        <v>2</v>
      </c>
      <c r="R342" s="296">
        <v>3</v>
      </c>
      <c r="S342" s="296" t="s">
        <v>354</v>
      </c>
      <c r="T342" s="298">
        <v>44978</v>
      </c>
      <c r="U342" s="298">
        <v>45007</v>
      </c>
      <c r="V342" s="296" t="s">
        <v>355</v>
      </c>
      <c r="W342" s="296"/>
      <c r="X342" s="296"/>
      <c r="Y342" s="252"/>
      <c r="Z342" s="149" t="str">
        <f t="shared" ca="1" si="5"/>
        <v/>
      </c>
      <c r="AA342" s="149" t="str">
        <f ca="1">IFERROR(IF(OR(OFFSET('S4'!#REF!,MATCH($A342,'S4'!$D$5:$D$3387,0)-1,6)="巻返し",OFFSET('S4'!#REF!,MATCH($A342,'S4'!$D$5:$D$3387,0)-1,6)="スリット"),SUMIF('S4'!$D$5:$D$3387,$A342,'S4'!$U$5:$U$3387),""),"")</f>
        <v/>
      </c>
      <c r="AB342" s="149" t="str">
        <f ca="1">IFERROR(IF(OR(OFFSET('S5'!#REF!,MATCH($A342,'S5'!$D$5:$D$2917,0)-1,6)="巻返し",OFFSET('S5'!#REF!,MATCH($A342,'S5'!$D$5:$D$2917,0)-1,6)="スリット"),SUMIF('S5'!$D$5:$D$2917,$A342,'S5'!$T$5:$T$2917),""),"")</f>
        <v/>
      </c>
    </row>
    <row r="343" spans="1:28" s="144" customFormat="1" ht="13.5" x14ac:dyDescent="0.15">
      <c r="A343" s="296">
        <v>3700962</v>
      </c>
      <c r="B343" s="296" t="s">
        <v>351</v>
      </c>
      <c r="C343" s="296" t="s">
        <v>352</v>
      </c>
      <c r="D343" s="296" t="s">
        <v>353</v>
      </c>
      <c r="E343" s="296" t="s">
        <v>116</v>
      </c>
      <c r="F343" s="296" t="s">
        <v>158</v>
      </c>
      <c r="G343" s="296" t="s">
        <v>19</v>
      </c>
      <c r="H343" s="296" t="s">
        <v>20</v>
      </c>
      <c r="I343" s="296" t="s">
        <v>165</v>
      </c>
      <c r="J343" s="296"/>
      <c r="K343" s="296" t="s">
        <v>195</v>
      </c>
      <c r="L343" s="296">
        <v>50</v>
      </c>
      <c r="M343" s="296" t="s">
        <v>196</v>
      </c>
      <c r="N343" s="297">
        <v>1005</v>
      </c>
      <c r="O343" s="297">
        <v>1000</v>
      </c>
      <c r="P343" s="297">
        <v>4000</v>
      </c>
      <c r="Q343" s="296">
        <v>2</v>
      </c>
      <c r="R343" s="296">
        <v>3</v>
      </c>
      <c r="S343" s="296" t="s">
        <v>354</v>
      </c>
      <c r="T343" s="298">
        <v>44978</v>
      </c>
      <c r="U343" s="298">
        <v>45007</v>
      </c>
      <c r="V343" s="296" t="s">
        <v>355</v>
      </c>
      <c r="W343" s="296"/>
      <c r="X343" s="296"/>
      <c r="Y343" s="252"/>
      <c r="Z343" s="149" t="str">
        <f t="shared" ca="1" si="5"/>
        <v/>
      </c>
      <c r="AA343" s="149" t="str">
        <f ca="1">IFERROR(IF(OR(OFFSET('S4'!#REF!,MATCH($A343,'S4'!$D$5:$D$3387,0)-1,6)="巻返し",OFFSET('S4'!#REF!,MATCH($A343,'S4'!$D$5:$D$3387,0)-1,6)="スリット"),SUMIF('S4'!$D$5:$D$3387,$A343,'S4'!$U$5:$U$3387),""),"")</f>
        <v/>
      </c>
      <c r="AB343" s="149" t="str">
        <f ca="1">IFERROR(IF(OR(OFFSET('S5'!#REF!,MATCH($A343,'S5'!$D$5:$D$2917,0)-1,6)="巻返し",OFFSET('S5'!#REF!,MATCH($A343,'S5'!$D$5:$D$2917,0)-1,6)="スリット"),SUMIF('S5'!$D$5:$D$2917,$A343,'S5'!$T$5:$T$2917),""),"")</f>
        <v/>
      </c>
    </row>
    <row r="344" spans="1:28" s="144" customFormat="1" ht="13.5" x14ac:dyDescent="0.15">
      <c r="A344" s="296">
        <v>3700963</v>
      </c>
      <c r="B344" s="296" t="s">
        <v>351</v>
      </c>
      <c r="C344" s="296" t="s">
        <v>352</v>
      </c>
      <c r="D344" s="296" t="s">
        <v>353</v>
      </c>
      <c r="E344" s="296" t="s">
        <v>116</v>
      </c>
      <c r="F344" s="296">
        <v>3</v>
      </c>
      <c r="G344" s="296" t="s">
        <v>19</v>
      </c>
      <c r="H344" s="296" t="s">
        <v>20</v>
      </c>
      <c r="I344" s="296" t="s">
        <v>205</v>
      </c>
      <c r="J344" s="296"/>
      <c r="K344" s="296" t="s">
        <v>221</v>
      </c>
      <c r="L344" s="296">
        <v>25</v>
      </c>
      <c r="M344" s="296" t="s">
        <v>222</v>
      </c>
      <c r="N344" s="297">
        <v>1100</v>
      </c>
      <c r="O344" s="297">
        <v>1100</v>
      </c>
      <c r="P344" s="297">
        <v>6000</v>
      </c>
      <c r="Q344" s="296">
        <v>2</v>
      </c>
      <c r="R344" s="296">
        <v>18</v>
      </c>
      <c r="S344" s="296" t="s">
        <v>354</v>
      </c>
      <c r="T344" s="298">
        <v>44978</v>
      </c>
      <c r="U344" s="298">
        <v>45021</v>
      </c>
      <c r="V344" s="296" t="s">
        <v>355</v>
      </c>
      <c r="W344" s="296"/>
      <c r="X344" s="296"/>
      <c r="Y344" s="252"/>
      <c r="Z344" s="149" t="str">
        <f t="shared" ca="1" si="5"/>
        <v/>
      </c>
      <c r="AA344" s="149" t="str">
        <f ca="1">IFERROR(IF(OR(OFFSET('S4'!#REF!,MATCH($A344,'S4'!$D$5:$D$3387,0)-1,6)="巻返し",OFFSET('S4'!#REF!,MATCH($A344,'S4'!$D$5:$D$3387,0)-1,6)="スリット"),SUMIF('S4'!$D$5:$D$3387,$A344,'S4'!$U$5:$U$3387),""),"")</f>
        <v/>
      </c>
      <c r="AB344" s="149" t="str">
        <f ca="1">IFERROR(IF(OR(OFFSET('S5'!#REF!,MATCH($A344,'S5'!$D$5:$D$2917,0)-1,6)="巻返し",OFFSET('S5'!#REF!,MATCH($A344,'S5'!$D$5:$D$2917,0)-1,6)="スリット"),SUMIF('S5'!$D$5:$D$2917,$A344,'S5'!$T$5:$T$2917),""),"")</f>
        <v/>
      </c>
    </row>
    <row r="345" spans="1:28" s="144" customFormat="1" ht="13.5" x14ac:dyDescent="0.15">
      <c r="A345" s="296">
        <v>3700964</v>
      </c>
      <c r="B345" s="296" t="s">
        <v>351</v>
      </c>
      <c r="C345" s="296" t="s">
        <v>352</v>
      </c>
      <c r="D345" s="296" t="s">
        <v>353</v>
      </c>
      <c r="E345" s="296" t="s">
        <v>116</v>
      </c>
      <c r="F345" s="296">
        <v>3</v>
      </c>
      <c r="G345" s="296" t="s">
        <v>19</v>
      </c>
      <c r="H345" s="296" t="s">
        <v>20</v>
      </c>
      <c r="I345" s="296" t="s">
        <v>165</v>
      </c>
      <c r="J345" s="296"/>
      <c r="K345" s="296" t="s">
        <v>176</v>
      </c>
      <c r="L345" s="296">
        <v>25</v>
      </c>
      <c r="M345" s="296" t="s">
        <v>177</v>
      </c>
      <c r="N345" s="297">
        <v>1005</v>
      </c>
      <c r="O345" s="297">
        <v>1000</v>
      </c>
      <c r="P345" s="297">
        <v>2000</v>
      </c>
      <c r="Q345" s="296">
        <v>2</v>
      </c>
      <c r="R345" s="296">
        <v>4</v>
      </c>
      <c r="S345" s="296" t="s">
        <v>354</v>
      </c>
      <c r="T345" s="298">
        <v>44978</v>
      </c>
      <c r="U345" s="298">
        <v>45005</v>
      </c>
      <c r="V345" s="296" t="s">
        <v>355</v>
      </c>
      <c r="W345" s="296"/>
      <c r="X345" s="296"/>
      <c r="Y345" s="252"/>
      <c r="Z345" s="149" t="str">
        <f t="shared" ca="1" si="5"/>
        <v/>
      </c>
      <c r="AA345" s="149" t="str">
        <f ca="1">IFERROR(IF(OR(OFFSET('S4'!#REF!,MATCH($A345,'S4'!$D$5:$D$3387,0)-1,6)="巻返し",OFFSET('S4'!#REF!,MATCH($A345,'S4'!$D$5:$D$3387,0)-1,6)="スリット"),SUMIF('S4'!$D$5:$D$3387,$A345,'S4'!$U$5:$U$3387),""),"")</f>
        <v/>
      </c>
      <c r="AB345" s="149" t="str">
        <f ca="1">IFERROR(IF(OR(OFFSET('S5'!#REF!,MATCH($A345,'S5'!$D$5:$D$2917,0)-1,6)="巻返し",OFFSET('S5'!#REF!,MATCH($A345,'S5'!$D$5:$D$2917,0)-1,6)="スリット"),SUMIF('S5'!$D$5:$D$2917,$A345,'S5'!$T$5:$T$2917),""),"")</f>
        <v/>
      </c>
    </row>
    <row r="346" spans="1:28" s="144" customFormat="1" ht="13.5" x14ac:dyDescent="0.15">
      <c r="A346" s="296">
        <v>3700965</v>
      </c>
      <c r="B346" s="296" t="s">
        <v>351</v>
      </c>
      <c r="C346" s="296" t="s">
        <v>352</v>
      </c>
      <c r="D346" s="296" t="s">
        <v>353</v>
      </c>
      <c r="E346" s="296" t="s">
        <v>116</v>
      </c>
      <c r="F346" s="296">
        <v>3</v>
      </c>
      <c r="G346" s="296" t="s">
        <v>19</v>
      </c>
      <c r="H346" s="296" t="s">
        <v>20</v>
      </c>
      <c r="I346" s="296" t="s">
        <v>165</v>
      </c>
      <c r="J346" s="296"/>
      <c r="K346" s="296" t="s">
        <v>176</v>
      </c>
      <c r="L346" s="296">
        <v>50</v>
      </c>
      <c r="M346" s="296" t="s">
        <v>177</v>
      </c>
      <c r="N346" s="297">
        <v>1005</v>
      </c>
      <c r="O346" s="297">
        <v>1000</v>
      </c>
      <c r="P346" s="297">
        <v>4000</v>
      </c>
      <c r="Q346" s="296">
        <v>2</v>
      </c>
      <c r="R346" s="296">
        <v>6</v>
      </c>
      <c r="S346" s="296" t="s">
        <v>354</v>
      </c>
      <c r="T346" s="298">
        <v>44978</v>
      </c>
      <c r="U346" s="298">
        <v>45007</v>
      </c>
      <c r="V346" s="296" t="s">
        <v>355</v>
      </c>
      <c r="W346" s="296"/>
      <c r="X346" s="296"/>
      <c r="Y346" s="252"/>
      <c r="Z346" s="149" t="str">
        <f t="shared" ca="1" si="5"/>
        <v/>
      </c>
      <c r="AA346" s="149" t="str">
        <f ca="1">IFERROR(IF(OR(OFFSET('S4'!#REF!,MATCH($A346,'S4'!$D$5:$D$3387,0)-1,6)="巻返し",OFFSET('S4'!#REF!,MATCH($A346,'S4'!$D$5:$D$3387,0)-1,6)="スリット"),SUMIF('S4'!$D$5:$D$3387,$A346,'S4'!$U$5:$U$3387),""),"")</f>
        <v/>
      </c>
      <c r="AB346" s="149" t="str">
        <f ca="1">IFERROR(IF(OR(OFFSET('S5'!#REF!,MATCH($A346,'S5'!$D$5:$D$2917,0)-1,6)="巻返し",OFFSET('S5'!#REF!,MATCH($A346,'S5'!$D$5:$D$2917,0)-1,6)="スリット"),SUMIF('S5'!$D$5:$D$2917,$A346,'S5'!$T$5:$T$2917),""),"")</f>
        <v/>
      </c>
    </row>
    <row r="347" spans="1:28" s="144" customFormat="1" ht="13.5" x14ac:dyDescent="0.15">
      <c r="A347" s="296">
        <v>3700966</v>
      </c>
      <c r="B347" s="296" t="s">
        <v>351</v>
      </c>
      <c r="C347" s="296" t="s">
        <v>352</v>
      </c>
      <c r="D347" s="296" t="s">
        <v>353</v>
      </c>
      <c r="E347" s="296" t="s">
        <v>116</v>
      </c>
      <c r="F347" s="296">
        <v>3</v>
      </c>
      <c r="G347" s="296" t="s">
        <v>19</v>
      </c>
      <c r="H347" s="296" t="s">
        <v>20</v>
      </c>
      <c r="I347" s="296" t="s">
        <v>143</v>
      </c>
      <c r="J347" s="296"/>
      <c r="K347" s="296" t="s">
        <v>152</v>
      </c>
      <c r="L347" s="296">
        <v>38</v>
      </c>
      <c r="M347" s="296" t="s">
        <v>153</v>
      </c>
      <c r="N347" s="297">
        <v>1005</v>
      </c>
      <c r="O347" s="297">
        <v>1000</v>
      </c>
      <c r="P347" s="297">
        <v>4000</v>
      </c>
      <c r="Q347" s="296">
        <v>2</v>
      </c>
      <c r="R347" s="296">
        <v>10</v>
      </c>
      <c r="S347" s="296" t="s">
        <v>354</v>
      </c>
      <c r="T347" s="298">
        <v>44978</v>
      </c>
      <c r="U347" s="298">
        <v>45005</v>
      </c>
      <c r="V347" s="296" t="s">
        <v>355</v>
      </c>
      <c r="W347" s="296"/>
      <c r="X347" s="296"/>
      <c r="Y347" s="252"/>
      <c r="Z347" s="149" t="str">
        <f t="shared" ca="1" si="5"/>
        <v/>
      </c>
      <c r="AA347" s="149" t="str">
        <f ca="1">IFERROR(IF(OR(OFFSET('S4'!#REF!,MATCH($A347,'S4'!$D$5:$D$3387,0)-1,6)="巻返し",OFFSET('S4'!#REF!,MATCH($A347,'S4'!$D$5:$D$3387,0)-1,6)="スリット"),SUMIF('S4'!$D$5:$D$3387,$A347,'S4'!$U$5:$U$3387),""),"")</f>
        <v/>
      </c>
      <c r="AB347" s="149" t="str">
        <f ca="1">IFERROR(IF(OR(OFFSET('S5'!#REF!,MATCH($A347,'S5'!$D$5:$D$2917,0)-1,6)="巻返し",OFFSET('S5'!#REF!,MATCH($A347,'S5'!$D$5:$D$2917,0)-1,6)="スリット"),SUMIF('S5'!$D$5:$D$2917,$A347,'S5'!$T$5:$T$2917),""),"")</f>
        <v/>
      </c>
    </row>
    <row r="348" spans="1:28" s="144" customFormat="1" ht="13.5" x14ac:dyDescent="0.15">
      <c r="A348" s="296">
        <v>3700967</v>
      </c>
      <c r="B348" s="296" t="s">
        <v>351</v>
      </c>
      <c r="C348" s="296" t="s">
        <v>352</v>
      </c>
      <c r="D348" s="296" t="s">
        <v>353</v>
      </c>
      <c r="E348" s="296" t="s">
        <v>116</v>
      </c>
      <c r="F348" s="296">
        <v>3</v>
      </c>
      <c r="G348" s="296" t="s">
        <v>19</v>
      </c>
      <c r="H348" s="296" t="s">
        <v>28</v>
      </c>
      <c r="I348" s="296" t="s">
        <v>205</v>
      </c>
      <c r="J348" s="296"/>
      <c r="K348" s="296" t="s">
        <v>233</v>
      </c>
      <c r="L348" s="296">
        <v>50</v>
      </c>
      <c r="M348" s="296" t="s">
        <v>234</v>
      </c>
      <c r="N348" s="297">
        <v>1120</v>
      </c>
      <c r="O348" s="297">
        <v>1120</v>
      </c>
      <c r="P348" s="297">
        <v>4000</v>
      </c>
      <c r="Q348" s="296">
        <v>2</v>
      </c>
      <c r="R348" s="296">
        <v>4</v>
      </c>
      <c r="S348" s="296" t="s">
        <v>354</v>
      </c>
      <c r="T348" s="298">
        <v>44978</v>
      </c>
      <c r="U348" s="298">
        <v>45019</v>
      </c>
      <c r="V348" s="296" t="s">
        <v>355</v>
      </c>
      <c r="W348" s="296"/>
      <c r="X348" s="296"/>
      <c r="Y348" s="252"/>
      <c r="Z348" s="149" t="str">
        <f t="shared" ca="1" si="5"/>
        <v/>
      </c>
      <c r="AA348" s="149" t="str">
        <f ca="1">IFERROR(IF(OR(OFFSET('S4'!#REF!,MATCH($A348,'S4'!$D$5:$D$3387,0)-1,6)="巻返し",OFFSET('S4'!#REF!,MATCH($A348,'S4'!$D$5:$D$3387,0)-1,6)="スリット"),SUMIF('S4'!$D$5:$D$3387,$A348,'S4'!$U$5:$U$3387),""),"")</f>
        <v/>
      </c>
      <c r="AB348" s="149" t="str">
        <f ca="1">IFERROR(IF(OR(OFFSET('S5'!#REF!,MATCH($A348,'S5'!$D$5:$D$2917,0)-1,6)="巻返し",OFFSET('S5'!#REF!,MATCH($A348,'S5'!$D$5:$D$2917,0)-1,6)="スリット"),SUMIF('S5'!$D$5:$D$2917,$A348,'S5'!$T$5:$T$2917),""),"")</f>
        <v/>
      </c>
    </row>
    <row r="349" spans="1:28" s="144" customFormat="1" ht="13.5" x14ac:dyDescent="0.15">
      <c r="A349" s="296">
        <v>3700968</v>
      </c>
      <c r="B349" s="296" t="s">
        <v>351</v>
      </c>
      <c r="C349" s="296" t="s">
        <v>352</v>
      </c>
      <c r="D349" s="296" t="s">
        <v>353</v>
      </c>
      <c r="E349" s="296" t="s">
        <v>116</v>
      </c>
      <c r="F349" s="296">
        <v>3</v>
      </c>
      <c r="G349" s="296" t="s">
        <v>19</v>
      </c>
      <c r="H349" s="296" t="s">
        <v>28</v>
      </c>
      <c r="I349" s="296" t="s">
        <v>205</v>
      </c>
      <c r="J349" s="296"/>
      <c r="K349" s="296" t="s">
        <v>240</v>
      </c>
      <c r="L349" s="296">
        <v>50</v>
      </c>
      <c r="M349" s="296" t="s">
        <v>241</v>
      </c>
      <c r="N349" s="297">
        <v>1120</v>
      </c>
      <c r="O349" s="297">
        <v>1120</v>
      </c>
      <c r="P349" s="297">
        <v>4000</v>
      </c>
      <c r="Q349" s="296">
        <v>2</v>
      </c>
      <c r="R349" s="296">
        <v>10</v>
      </c>
      <c r="S349" s="296" t="s">
        <v>354</v>
      </c>
      <c r="T349" s="298">
        <v>44978</v>
      </c>
      <c r="U349" s="298">
        <v>45009</v>
      </c>
      <c r="V349" s="296" t="s">
        <v>355</v>
      </c>
      <c r="W349" s="296"/>
      <c r="X349" s="296"/>
      <c r="Y349" s="252"/>
      <c r="Z349" s="149" t="str">
        <f t="shared" ca="1" si="5"/>
        <v/>
      </c>
      <c r="AA349" s="149" t="str">
        <f ca="1">IFERROR(IF(OR(OFFSET('S4'!#REF!,MATCH($A349,'S4'!$D$5:$D$3387,0)-1,6)="巻返し",OFFSET('S4'!#REF!,MATCH($A349,'S4'!$D$5:$D$3387,0)-1,6)="スリット"),SUMIF('S4'!$D$5:$D$3387,$A349,'S4'!$U$5:$U$3387),""),"")</f>
        <v/>
      </c>
      <c r="AB349" s="149" t="str">
        <f ca="1">IFERROR(IF(OR(OFFSET('S5'!#REF!,MATCH($A349,'S5'!$D$5:$D$2917,0)-1,6)="巻返し",OFFSET('S5'!#REF!,MATCH($A349,'S5'!$D$5:$D$2917,0)-1,6)="スリット"),SUMIF('S5'!$D$5:$D$2917,$A349,'S5'!$T$5:$T$2917),""),"")</f>
        <v/>
      </c>
    </row>
    <row r="350" spans="1:28" s="144" customFormat="1" ht="13.5" x14ac:dyDescent="0.15">
      <c r="A350" s="296">
        <v>3700969</v>
      </c>
      <c r="B350" s="296" t="s">
        <v>351</v>
      </c>
      <c r="C350" s="296" t="s">
        <v>352</v>
      </c>
      <c r="D350" s="296" t="s">
        <v>353</v>
      </c>
      <c r="E350" s="296" t="s">
        <v>116</v>
      </c>
      <c r="F350" s="296">
        <v>3</v>
      </c>
      <c r="G350" s="296" t="s">
        <v>19</v>
      </c>
      <c r="H350" s="296" t="s">
        <v>28</v>
      </c>
      <c r="I350" s="296" t="s">
        <v>205</v>
      </c>
      <c r="J350" s="296"/>
      <c r="K350" s="296" t="s">
        <v>235</v>
      </c>
      <c r="L350" s="296">
        <v>50</v>
      </c>
      <c r="M350" s="296" t="s">
        <v>236</v>
      </c>
      <c r="N350" s="297">
        <v>1120</v>
      </c>
      <c r="O350" s="297">
        <v>1120</v>
      </c>
      <c r="P350" s="297">
        <v>4000</v>
      </c>
      <c r="Q350" s="296">
        <v>2</v>
      </c>
      <c r="R350" s="296">
        <v>16</v>
      </c>
      <c r="S350" s="296" t="s">
        <v>354</v>
      </c>
      <c r="T350" s="298">
        <v>44978</v>
      </c>
      <c r="U350" s="298">
        <v>45002</v>
      </c>
      <c r="V350" s="296" t="s">
        <v>355</v>
      </c>
      <c r="W350" s="296"/>
      <c r="X350" s="296"/>
      <c r="Y350" s="252"/>
      <c r="Z350" s="149" t="str">
        <f t="shared" ca="1" si="5"/>
        <v/>
      </c>
      <c r="AA350" s="149" t="str">
        <f ca="1">IFERROR(IF(OR(OFFSET('S4'!#REF!,MATCH($A350,'S4'!$D$5:$D$3387,0)-1,6)="巻返し",OFFSET('S4'!#REF!,MATCH($A350,'S4'!$D$5:$D$3387,0)-1,6)="スリット"),SUMIF('S4'!$D$5:$D$3387,$A350,'S4'!$U$5:$U$3387),""),"")</f>
        <v/>
      </c>
      <c r="AB350" s="149" t="str">
        <f ca="1">IFERROR(IF(OR(OFFSET('S5'!#REF!,MATCH($A350,'S5'!$D$5:$D$2917,0)-1,6)="巻返し",OFFSET('S5'!#REF!,MATCH($A350,'S5'!$D$5:$D$2917,0)-1,6)="スリット"),SUMIF('S5'!$D$5:$D$2917,$A350,'S5'!$T$5:$T$2917),""),"")</f>
        <v/>
      </c>
    </row>
    <row r="351" spans="1:28" s="144" customFormat="1" ht="13.5" x14ac:dyDescent="0.15">
      <c r="A351" s="296">
        <v>3700970</v>
      </c>
      <c r="B351" s="296" t="s">
        <v>351</v>
      </c>
      <c r="C351" s="296" t="s">
        <v>352</v>
      </c>
      <c r="D351" s="296" t="s">
        <v>353</v>
      </c>
      <c r="E351" s="296" t="s">
        <v>116</v>
      </c>
      <c r="F351" s="296">
        <v>3</v>
      </c>
      <c r="G351" s="296" t="s">
        <v>19</v>
      </c>
      <c r="H351" s="296" t="s">
        <v>28</v>
      </c>
      <c r="I351" s="296" t="s">
        <v>205</v>
      </c>
      <c r="J351" s="296"/>
      <c r="K351" s="296" t="s">
        <v>226</v>
      </c>
      <c r="L351" s="296">
        <v>50</v>
      </c>
      <c r="M351" s="296" t="s">
        <v>227</v>
      </c>
      <c r="N351" s="297">
        <v>1120</v>
      </c>
      <c r="O351" s="297">
        <v>1120</v>
      </c>
      <c r="P351" s="297">
        <v>5000</v>
      </c>
      <c r="Q351" s="296">
        <v>2</v>
      </c>
      <c r="R351" s="296">
        <v>2</v>
      </c>
      <c r="S351" s="296" t="s">
        <v>354</v>
      </c>
      <c r="T351" s="298">
        <v>44978</v>
      </c>
      <c r="U351" s="298">
        <v>45002</v>
      </c>
      <c r="V351" s="296" t="s">
        <v>355</v>
      </c>
      <c r="W351" s="296"/>
      <c r="X351" s="296"/>
      <c r="Y351" s="252"/>
      <c r="Z351" s="149" t="str">
        <f t="shared" ca="1" si="5"/>
        <v/>
      </c>
      <c r="AA351" s="149" t="str">
        <f ca="1">IFERROR(IF(OR(OFFSET('S4'!#REF!,MATCH($A351,'S4'!$D$5:$D$3387,0)-1,6)="巻返し",OFFSET('S4'!#REF!,MATCH($A351,'S4'!$D$5:$D$3387,0)-1,6)="スリット"),SUMIF('S4'!$D$5:$D$3387,$A351,'S4'!$U$5:$U$3387),""),"")</f>
        <v/>
      </c>
      <c r="AB351" s="149" t="str">
        <f ca="1">IFERROR(IF(OR(OFFSET('S5'!#REF!,MATCH($A351,'S5'!$D$5:$D$2917,0)-1,6)="巻返し",OFFSET('S5'!#REF!,MATCH($A351,'S5'!$D$5:$D$2917,0)-1,6)="スリット"),SUMIF('S5'!$D$5:$D$2917,$A351,'S5'!$T$5:$T$2917),""),"")</f>
        <v/>
      </c>
    </row>
    <row r="352" spans="1:28" s="144" customFormat="1" ht="13.5" x14ac:dyDescent="0.15">
      <c r="A352" s="296">
        <v>3700971</v>
      </c>
      <c r="B352" s="296" t="s">
        <v>351</v>
      </c>
      <c r="C352" s="296" t="s">
        <v>352</v>
      </c>
      <c r="D352" s="296" t="s">
        <v>353</v>
      </c>
      <c r="E352" s="296" t="s">
        <v>116</v>
      </c>
      <c r="F352" s="296">
        <v>3</v>
      </c>
      <c r="G352" s="296" t="s">
        <v>19</v>
      </c>
      <c r="H352" s="296" t="s">
        <v>28</v>
      </c>
      <c r="I352" s="296" t="s">
        <v>205</v>
      </c>
      <c r="J352" s="296"/>
      <c r="K352" s="296" t="s">
        <v>235</v>
      </c>
      <c r="L352" s="296">
        <v>25</v>
      </c>
      <c r="M352" s="296" t="s">
        <v>236</v>
      </c>
      <c r="N352" s="297">
        <v>1120</v>
      </c>
      <c r="O352" s="297">
        <v>1120</v>
      </c>
      <c r="P352" s="297">
        <v>8000</v>
      </c>
      <c r="Q352" s="296">
        <v>2</v>
      </c>
      <c r="R352" s="296">
        <v>2</v>
      </c>
      <c r="S352" s="296" t="s">
        <v>354</v>
      </c>
      <c r="T352" s="298">
        <v>44978</v>
      </c>
      <c r="U352" s="298">
        <v>45002</v>
      </c>
      <c r="V352" s="296" t="s">
        <v>355</v>
      </c>
      <c r="W352" s="296"/>
      <c r="X352" s="296"/>
      <c r="Y352" s="252"/>
      <c r="Z352" s="149" t="str">
        <f t="shared" ca="1" si="5"/>
        <v/>
      </c>
      <c r="AA352" s="149" t="str">
        <f ca="1">IFERROR(IF(OR(OFFSET('S4'!#REF!,MATCH($A352,'S4'!$D$5:$D$3387,0)-1,6)="巻返し",OFFSET('S4'!#REF!,MATCH($A352,'S4'!$D$5:$D$3387,0)-1,6)="スリット"),SUMIF('S4'!$D$5:$D$3387,$A352,'S4'!$U$5:$U$3387),""),"")</f>
        <v/>
      </c>
      <c r="AB352" s="149" t="str">
        <f ca="1">IFERROR(IF(OR(OFFSET('S5'!#REF!,MATCH($A352,'S5'!$D$5:$D$2917,0)-1,6)="巻返し",OFFSET('S5'!#REF!,MATCH($A352,'S5'!$D$5:$D$2917,0)-1,6)="スリット"),SUMIF('S5'!$D$5:$D$2917,$A352,'S5'!$T$5:$T$2917),""),"")</f>
        <v/>
      </c>
    </row>
    <row r="353" spans="1:28" s="144" customFormat="1" ht="11.25" x14ac:dyDescent="0.15">
      <c r="A353" s="177">
        <v>3702341</v>
      </c>
      <c r="B353" s="177" t="s">
        <v>351</v>
      </c>
      <c r="C353" s="177" t="s">
        <v>364</v>
      </c>
      <c r="D353" s="177" t="s">
        <v>353</v>
      </c>
      <c r="E353" s="177" t="s">
        <v>171</v>
      </c>
      <c r="F353" s="177">
        <v>3</v>
      </c>
      <c r="G353" s="177" t="s">
        <v>19</v>
      </c>
      <c r="H353" s="177" t="s">
        <v>20</v>
      </c>
      <c r="I353" s="177" t="s">
        <v>165</v>
      </c>
      <c r="J353" s="177"/>
      <c r="K353" s="177" t="s">
        <v>180</v>
      </c>
      <c r="L353" s="177">
        <v>50</v>
      </c>
      <c r="M353" s="177" t="s">
        <v>181</v>
      </c>
      <c r="N353" s="178">
        <v>1200</v>
      </c>
      <c r="O353" s="178">
        <v>1190</v>
      </c>
      <c r="P353" s="178">
        <v>6000</v>
      </c>
      <c r="Q353" s="177">
        <v>2</v>
      </c>
      <c r="R353" s="177">
        <v>6</v>
      </c>
      <c r="S353" s="177" t="s">
        <v>354</v>
      </c>
      <c r="T353" s="179">
        <v>44984</v>
      </c>
      <c r="U353" s="179">
        <v>45016</v>
      </c>
      <c r="V353" s="177" t="s">
        <v>355</v>
      </c>
      <c r="W353" s="177"/>
      <c r="X353" s="177"/>
      <c r="Z353" s="149" t="str">
        <f t="shared" ca="1" si="5"/>
        <v/>
      </c>
      <c r="AA353" s="149" t="str">
        <f ca="1">IFERROR(IF(OR(OFFSET('S4'!#REF!,MATCH($A353,'S4'!$D$5:$D$3387,0)-1,6)="巻返し",OFFSET('S4'!#REF!,MATCH($A353,'S4'!$D$5:$D$3387,0)-1,6)="スリット"),SUMIF('S4'!$D$5:$D$3387,$A353,'S4'!$U$5:$U$3387),""),"")</f>
        <v/>
      </c>
      <c r="AB353" s="149" t="str">
        <f ca="1">IFERROR(IF(OR(OFFSET('S5'!#REF!,MATCH($A353,'S5'!$D$5:$D$2917,0)-1,6)="巻返し",OFFSET('S5'!#REF!,MATCH($A353,'S5'!$D$5:$D$2917,0)-1,6)="スリット"),SUMIF('S5'!$D$5:$D$2917,$A353,'S5'!$T$5:$T$2917),""),"")</f>
        <v/>
      </c>
    </row>
    <row r="354" spans="1:28" s="144" customFormat="1" ht="13.5" x14ac:dyDescent="0.15">
      <c r="A354" s="296">
        <v>3702343</v>
      </c>
      <c r="B354" s="296" t="s">
        <v>510</v>
      </c>
      <c r="C354" s="296" t="s">
        <v>364</v>
      </c>
      <c r="D354" s="296" t="s">
        <v>353</v>
      </c>
      <c r="E354" s="296" t="s">
        <v>324</v>
      </c>
      <c r="F354" s="296">
        <v>3</v>
      </c>
      <c r="G354" s="296" t="s">
        <v>269</v>
      </c>
      <c r="H354" s="296" t="s">
        <v>20</v>
      </c>
      <c r="I354" s="296" t="s">
        <v>205</v>
      </c>
      <c r="J354" s="296"/>
      <c r="K354" s="296" t="s">
        <v>325</v>
      </c>
      <c r="L354" s="296">
        <v>9</v>
      </c>
      <c r="M354" s="296" t="s">
        <v>326</v>
      </c>
      <c r="N354" s="297">
        <v>1200</v>
      </c>
      <c r="O354" s="297">
        <v>1200</v>
      </c>
      <c r="P354" s="297">
        <v>2000</v>
      </c>
      <c r="Q354" s="296">
        <v>2</v>
      </c>
      <c r="R354" s="296">
        <v>6</v>
      </c>
      <c r="S354" s="296" t="s">
        <v>354</v>
      </c>
      <c r="T354" s="298">
        <v>44984</v>
      </c>
      <c r="U354" s="298">
        <v>45016</v>
      </c>
      <c r="V354" s="296" t="s">
        <v>428</v>
      </c>
      <c r="W354" s="296"/>
      <c r="X354" s="296"/>
      <c r="Z354" s="149" t="str">
        <f t="shared" ca="1" si="5"/>
        <v/>
      </c>
      <c r="AA354" s="149" t="str">
        <f ca="1">IFERROR(IF(OR(OFFSET('S4'!#REF!,MATCH($A354,'S4'!$D$5:$D$3387,0)-1,6)="巻返し",OFFSET('S4'!#REF!,MATCH($A354,'S4'!$D$5:$D$3387,0)-1,6)="スリット"),SUMIF('S4'!$D$5:$D$3387,$A354,'S4'!$U$5:$U$3387),""),"")</f>
        <v/>
      </c>
      <c r="AB354" s="149" t="str">
        <f ca="1">IFERROR(IF(OR(OFFSET('S5'!#REF!,MATCH($A354,'S5'!$D$5:$D$2917,0)-1,6)="巻返し",OFFSET('S5'!#REF!,MATCH($A354,'S5'!$D$5:$D$2917,0)-1,6)="スリット"),SUMIF('S5'!$D$5:$D$2917,$A354,'S5'!$T$5:$T$2917),""),"")</f>
        <v/>
      </c>
    </row>
    <row r="355" spans="1:28" s="144" customFormat="1" ht="13.5" x14ac:dyDescent="0.15">
      <c r="A355" s="296">
        <v>3702649</v>
      </c>
      <c r="B355" s="296" t="s">
        <v>423</v>
      </c>
      <c r="C355" s="296" t="s">
        <v>352</v>
      </c>
      <c r="D355" s="296" t="s">
        <v>353</v>
      </c>
      <c r="E355" s="296" t="s">
        <v>247</v>
      </c>
      <c r="F355" s="296">
        <v>3</v>
      </c>
      <c r="G355" s="296" t="s">
        <v>265</v>
      </c>
      <c r="H355" s="296" t="s">
        <v>20</v>
      </c>
      <c r="I355" s="296" t="s">
        <v>205</v>
      </c>
      <c r="J355" s="296"/>
      <c r="K355" s="296" t="s">
        <v>997</v>
      </c>
      <c r="L355" s="296">
        <v>50</v>
      </c>
      <c r="M355" s="296" t="s">
        <v>998</v>
      </c>
      <c r="N355" s="297">
        <v>1005</v>
      </c>
      <c r="O355" s="297">
        <v>1000</v>
      </c>
      <c r="P355" s="297">
        <v>4100</v>
      </c>
      <c r="Q355" s="296">
        <v>2</v>
      </c>
      <c r="R355" s="296">
        <v>2</v>
      </c>
      <c r="S355" s="296" t="s">
        <v>354</v>
      </c>
      <c r="T355" s="298">
        <v>44988</v>
      </c>
      <c r="U355" s="298">
        <v>45016</v>
      </c>
      <c r="V355" s="296" t="s">
        <v>355</v>
      </c>
      <c r="W355" s="296"/>
      <c r="X355" s="296"/>
      <c r="Z355" s="149" t="str">
        <f t="shared" ca="1" si="5"/>
        <v/>
      </c>
      <c r="AA355" s="149" t="str">
        <f ca="1">IFERROR(IF(OR(OFFSET('S4'!#REF!,MATCH($A355,'S4'!$D$5:$D$3387,0)-1,6)="巻返し",OFFSET('S4'!#REF!,MATCH($A355,'S4'!$D$5:$D$3387,0)-1,6)="スリット"),SUMIF('S4'!$D$5:$D$3387,$A355,'S4'!$U$5:$U$3387),""),"")</f>
        <v/>
      </c>
      <c r="AB355" s="149" t="str">
        <f ca="1">IFERROR(IF(OR(OFFSET('S5'!#REF!,MATCH($A355,'S5'!$D$5:$D$2917,0)-1,6)="巻返し",OFFSET('S5'!#REF!,MATCH($A355,'S5'!$D$5:$D$2917,0)-1,6)="スリット"),SUMIF('S5'!$D$5:$D$2917,$A355,'S5'!$T$5:$T$2917),""),"")</f>
        <v/>
      </c>
    </row>
    <row r="356" spans="1:28" s="144" customFormat="1" ht="13.5" x14ac:dyDescent="0.15">
      <c r="A356" s="296">
        <v>3703375</v>
      </c>
      <c r="B356" s="296" t="s">
        <v>351</v>
      </c>
      <c r="C356" s="296" t="s">
        <v>352</v>
      </c>
      <c r="D356" s="296" t="s">
        <v>353</v>
      </c>
      <c r="E356" s="296" t="s">
        <v>116</v>
      </c>
      <c r="F356" s="296">
        <v>3</v>
      </c>
      <c r="G356" s="296" t="s">
        <v>19</v>
      </c>
      <c r="H356" s="296" t="s">
        <v>20</v>
      </c>
      <c r="I356" s="296" t="s">
        <v>143</v>
      </c>
      <c r="J356" s="296"/>
      <c r="K356" s="296" t="s">
        <v>152</v>
      </c>
      <c r="L356" s="296">
        <v>38</v>
      </c>
      <c r="M356" s="296" t="s">
        <v>153</v>
      </c>
      <c r="N356" s="297">
        <v>1005</v>
      </c>
      <c r="O356" s="297">
        <v>1000</v>
      </c>
      <c r="P356" s="297">
        <v>4000</v>
      </c>
      <c r="Q356" s="296">
        <v>2</v>
      </c>
      <c r="R356" s="296">
        <v>2</v>
      </c>
      <c r="S356" s="296" t="s">
        <v>354</v>
      </c>
      <c r="T356" s="298">
        <v>44993</v>
      </c>
      <c r="U356" s="298">
        <v>45005</v>
      </c>
      <c r="V356" s="296" t="s">
        <v>355</v>
      </c>
      <c r="W356" s="296"/>
      <c r="X356" s="296"/>
      <c r="Z356" s="149" t="str">
        <f t="shared" ca="1" si="5"/>
        <v/>
      </c>
      <c r="AA356" s="149" t="str">
        <f ca="1">IFERROR(IF(OR(OFFSET('S4'!#REF!,MATCH($A356,'S4'!$D$5:$D$3387,0)-1,6)="巻返し",OFFSET('S4'!#REF!,MATCH($A356,'S4'!$D$5:$D$3387,0)-1,6)="スリット"),SUMIF('S4'!$D$5:$D$3387,$A356,'S4'!$U$5:$U$3387),""),"")</f>
        <v/>
      </c>
      <c r="AB356" s="149" t="str">
        <f ca="1">IFERROR(IF(OR(OFFSET('S5'!#REF!,MATCH($A356,'S5'!$D$5:$D$2917,0)-1,6)="巻返し",OFFSET('S5'!#REF!,MATCH($A356,'S5'!$D$5:$D$2917,0)-1,6)="スリット"),SUMIF('S5'!$D$5:$D$2917,$A356,'S5'!$T$5:$T$2917),""),"")</f>
        <v/>
      </c>
    </row>
    <row r="357" spans="1:28" s="144" customFormat="1" ht="13.5" x14ac:dyDescent="0.15">
      <c r="A357" s="296">
        <v>3703648</v>
      </c>
      <c r="B357" s="296" t="s">
        <v>423</v>
      </c>
      <c r="C357" s="296" t="s">
        <v>352</v>
      </c>
      <c r="D357" s="296" t="s">
        <v>353</v>
      </c>
      <c r="E357" s="296" t="s">
        <v>116</v>
      </c>
      <c r="F357" s="296">
        <v>3</v>
      </c>
      <c r="G357" s="296" t="s">
        <v>265</v>
      </c>
      <c r="H357" s="296" t="s">
        <v>20</v>
      </c>
      <c r="I357" s="296" t="s">
        <v>165</v>
      </c>
      <c r="J357" s="296"/>
      <c r="K357" s="296" t="s">
        <v>319</v>
      </c>
      <c r="L357" s="296">
        <v>25</v>
      </c>
      <c r="M357" s="296" t="s">
        <v>320</v>
      </c>
      <c r="N357" s="297">
        <v>1000</v>
      </c>
      <c r="O357" s="297">
        <v>1000</v>
      </c>
      <c r="P357" s="297">
        <v>2000</v>
      </c>
      <c r="Q357" s="296">
        <v>2</v>
      </c>
      <c r="R357" s="296">
        <v>2</v>
      </c>
      <c r="S357" s="296" t="s">
        <v>354</v>
      </c>
      <c r="T357" s="298">
        <v>45001</v>
      </c>
      <c r="U357" s="298">
        <v>45015</v>
      </c>
      <c r="V357" s="296" t="s">
        <v>355</v>
      </c>
      <c r="W357" s="296"/>
      <c r="X357" s="296"/>
      <c r="Z357" s="149" t="str">
        <f t="shared" ca="1" si="5"/>
        <v/>
      </c>
      <c r="AA357" s="149" t="str">
        <f ca="1">IFERROR(IF(OR(OFFSET('S4'!#REF!,MATCH($A357,'S4'!$D$5:$D$3387,0)-1,6)="巻返し",OFFSET('S4'!#REF!,MATCH($A357,'S4'!$D$5:$D$3387,0)-1,6)="スリット"),SUMIF('S4'!$D$5:$D$3387,$A357,'S4'!$U$5:$U$3387),""),"")</f>
        <v/>
      </c>
      <c r="AB357" s="149" t="str">
        <f ca="1">IFERROR(IF(OR(OFFSET('S5'!#REF!,MATCH($A357,'S5'!$D$5:$D$2917,0)-1,6)="巻返し",OFFSET('S5'!#REF!,MATCH($A357,'S5'!$D$5:$D$2917,0)-1,6)="スリット"),SUMIF('S5'!$D$5:$D$2917,$A357,'S5'!$T$5:$T$2917),""),"")</f>
        <v/>
      </c>
    </row>
    <row r="358" spans="1:28" s="144" customFormat="1" ht="13.5" x14ac:dyDescent="0.15">
      <c r="A358" s="296">
        <v>3703649</v>
      </c>
      <c r="B358" s="296" t="s">
        <v>423</v>
      </c>
      <c r="C358" s="296" t="s">
        <v>352</v>
      </c>
      <c r="D358" s="296" t="s">
        <v>353</v>
      </c>
      <c r="E358" s="296" t="s">
        <v>116</v>
      </c>
      <c r="F358" s="296">
        <v>3</v>
      </c>
      <c r="G358" s="296" t="s">
        <v>265</v>
      </c>
      <c r="H358" s="296" t="s">
        <v>20</v>
      </c>
      <c r="I358" s="296" t="s">
        <v>165</v>
      </c>
      <c r="J358" s="296"/>
      <c r="K358" s="296" t="s">
        <v>319</v>
      </c>
      <c r="L358" s="296">
        <v>50</v>
      </c>
      <c r="M358" s="296" t="s">
        <v>483</v>
      </c>
      <c r="N358" s="297">
        <v>1000</v>
      </c>
      <c r="O358" s="297">
        <v>1000</v>
      </c>
      <c r="P358" s="297">
        <v>2000</v>
      </c>
      <c r="Q358" s="296">
        <v>2</v>
      </c>
      <c r="R358" s="296">
        <v>2</v>
      </c>
      <c r="S358" s="296" t="s">
        <v>354</v>
      </c>
      <c r="T358" s="298">
        <v>45001</v>
      </c>
      <c r="U358" s="298">
        <v>45015</v>
      </c>
      <c r="V358" s="296" t="s">
        <v>355</v>
      </c>
      <c r="W358" s="296"/>
      <c r="X358" s="296"/>
      <c r="Z358" s="149" t="str">
        <f t="shared" ca="1" si="5"/>
        <v/>
      </c>
      <c r="AA358" s="149" t="str">
        <f ca="1">IFERROR(IF(OR(OFFSET('S4'!#REF!,MATCH($A358,'S4'!$D$5:$D$3387,0)-1,6)="巻返し",OFFSET('S4'!#REF!,MATCH($A358,'S4'!$D$5:$D$3387,0)-1,6)="スリット"),SUMIF('S4'!$D$5:$D$3387,$A358,'S4'!$U$5:$U$3387),""),"")</f>
        <v/>
      </c>
      <c r="AB358" s="149" t="str">
        <f ca="1">IFERROR(IF(OR(OFFSET('S5'!#REF!,MATCH($A358,'S5'!$D$5:$D$2917,0)-1,6)="巻返し",OFFSET('S5'!#REF!,MATCH($A358,'S5'!$D$5:$D$2917,0)-1,6)="スリット"),SUMIF('S5'!$D$5:$D$2917,$A358,'S5'!$T$5:$T$2917),""),"")</f>
        <v/>
      </c>
    </row>
    <row r="359" spans="1:28" s="144" customFormat="1" ht="13.5" x14ac:dyDescent="0.15">
      <c r="A359" s="296">
        <v>3703986</v>
      </c>
      <c r="B359" s="296" t="s">
        <v>351</v>
      </c>
      <c r="C359" s="296" t="s">
        <v>352</v>
      </c>
      <c r="D359" s="296" t="s">
        <v>353</v>
      </c>
      <c r="E359" s="296" t="s">
        <v>116</v>
      </c>
      <c r="F359" s="296">
        <v>3</v>
      </c>
      <c r="G359" s="296" t="s">
        <v>19</v>
      </c>
      <c r="H359" s="296" t="s">
        <v>20</v>
      </c>
      <c r="I359" s="296" t="s">
        <v>143</v>
      </c>
      <c r="J359" s="296"/>
      <c r="K359" s="296" t="s">
        <v>152</v>
      </c>
      <c r="L359" s="296">
        <v>38</v>
      </c>
      <c r="M359" s="296" t="s">
        <v>153</v>
      </c>
      <c r="N359" s="297">
        <v>1005</v>
      </c>
      <c r="O359" s="297">
        <v>1000</v>
      </c>
      <c r="P359" s="297">
        <v>4000</v>
      </c>
      <c r="Q359" s="296">
        <v>2</v>
      </c>
      <c r="R359" s="296">
        <v>8</v>
      </c>
      <c r="S359" s="296" t="s">
        <v>354</v>
      </c>
      <c r="T359" s="298">
        <v>45005</v>
      </c>
      <c r="U359" s="298">
        <v>45037</v>
      </c>
      <c r="V359" s="296" t="s">
        <v>355</v>
      </c>
      <c r="W359" s="296"/>
      <c r="X359" s="296"/>
      <c r="Z359" s="149" t="str">
        <f t="shared" ca="1" si="5"/>
        <v/>
      </c>
      <c r="AA359" s="149" t="str">
        <f ca="1">IFERROR(IF(OR(OFFSET('S4'!#REF!,MATCH($A359,'S4'!$D$5:$D$3387,0)-1,6)="巻返し",OFFSET('S4'!#REF!,MATCH($A359,'S4'!$D$5:$D$3387,0)-1,6)="スリット"),SUMIF('S4'!$D$5:$D$3387,$A359,'S4'!$U$5:$U$3387),""),"")</f>
        <v/>
      </c>
      <c r="AB359" s="149" t="str">
        <f ca="1">IFERROR(IF(OR(OFFSET('S5'!#REF!,MATCH($A359,'S5'!$D$5:$D$2917,0)-1,6)="巻返し",OFFSET('S5'!#REF!,MATCH($A359,'S5'!$D$5:$D$2917,0)-1,6)="スリット"),SUMIF('S5'!$D$5:$D$2917,$A359,'S5'!$T$5:$T$2917),""),"")</f>
        <v/>
      </c>
    </row>
    <row r="360" spans="1:28" s="144" customFormat="1" ht="13.5" x14ac:dyDescent="0.15">
      <c r="A360" s="296">
        <v>3703987</v>
      </c>
      <c r="B360" s="296" t="s">
        <v>351</v>
      </c>
      <c r="C360" s="296" t="s">
        <v>352</v>
      </c>
      <c r="D360" s="296" t="s">
        <v>353</v>
      </c>
      <c r="E360" s="296" t="s">
        <v>116</v>
      </c>
      <c r="F360" s="296">
        <v>3</v>
      </c>
      <c r="G360" s="296" t="s">
        <v>19</v>
      </c>
      <c r="H360" s="296" t="s">
        <v>20</v>
      </c>
      <c r="I360" s="296" t="s">
        <v>165</v>
      </c>
      <c r="J360" s="296"/>
      <c r="K360" s="296" t="s">
        <v>176</v>
      </c>
      <c r="L360" s="296">
        <v>50</v>
      </c>
      <c r="M360" s="296" t="s">
        <v>177</v>
      </c>
      <c r="N360" s="297">
        <v>1005</v>
      </c>
      <c r="O360" s="297">
        <v>1000</v>
      </c>
      <c r="P360" s="297">
        <v>4000</v>
      </c>
      <c r="Q360" s="296">
        <v>2</v>
      </c>
      <c r="R360" s="296">
        <v>3</v>
      </c>
      <c r="S360" s="296" t="s">
        <v>354</v>
      </c>
      <c r="T360" s="298">
        <v>45005</v>
      </c>
      <c r="U360" s="298">
        <v>45037</v>
      </c>
      <c r="V360" s="296" t="s">
        <v>355</v>
      </c>
      <c r="W360" s="296"/>
      <c r="X360" s="296"/>
      <c r="Z360" s="149" t="str">
        <f t="shared" ca="1" si="5"/>
        <v/>
      </c>
      <c r="AA360" s="149" t="str">
        <f ca="1">IFERROR(IF(OR(OFFSET('S4'!#REF!,MATCH($A360,'S4'!$D$5:$D$3387,0)-1,6)="巻返し",OFFSET('S4'!#REF!,MATCH($A360,'S4'!$D$5:$D$3387,0)-1,6)="スリット"),SUMIF('S4'!$D$5:$D$3387,$A360,'S4'!$U$5:$U$3387),""),"")</f>
        <v/>
      </c>
      <c r="AB360" s="149" t="str">
        <f ca="1">IFERROR(IF(OR(OFFSET('S5'!#REF!,MATCH($A360,'S5'!$D$5:$D$2917,0)-1,6)="巻返し",OFFSET('S5'!#REF!,MATCH($A360,'S5'!$D$5:$D$2917,0)-1,6)="スリット"),SUMIF('S5'!$D$5:$D$2917,$A360,'S5'!$T$5:$T$2917),""),"")</f>
        <v/>
      </c>
    </row>
    <row r="361" spans="1:28" s="144" customFormat="1" ht="13.5" x14ac:dyDescent="0.15">
      <c r="A361" s="296">
        <v>3703988</v>
      </c>
      <c r="B361" s="296" t="s">
        <v>351</v>
      </c>
      <c r="C361" s="296" t="s">
        <v>352</v>
      </c>
      <c r="D361" s="296" t="s">
        <v>353</v>
      </c>
      <c r="E361" s="296" t="s">
        <v>116</v>
      </c>
      <c r="F361" s="296">
        <v>3</v>
      </c>
      <c r="G361" s="296" t="s">
        <v>19</v>
      </c>
      <c r="H361" s="296" t="s">
        <v>20</v>
      </c>
      <c r="I361" s="296" t="s">
        <v>165</v>
      </c>
      <c r="J361" s="296"/>
      <c r="K361" s="296" t="s">
        <v>185</v>
      </c>
      <c r="L361" s="296">
        <v>50</v>
      </c>
      <c r="M361" s="296" t="s">
        <v>186</v>
      </c>
      <c r="N361" s="297">
        <v>1005</v>
      </c>
      <c r="O361" s="297">
        <v>1000</v>
      </c>
      <c r="P361" s="297">
        <v>4000</v>
      </c>
      <c r="Q361" s="296">
        <v>2</v>
      </c>
      <c r="R361" s="296">
        <v>3</v>
      </c>
      <c r="S361" s="296" t="s">
        <v>354</v>
      </c>
      <c r="T361" s="298">
        <v>45005</v>
      </c>
      <c r="U361" s="298">
        <v>45037</v>
      </c>
      <c r="V361" s="296" t="s">
        <v>355</v>
      </c>
      <c r="W361" s="296"/>
      <c r="X361" s="296"/>
      <c r="Z361" s="149" t="str">
        <f t="shared" ca="1" si="5"/>
        <v/>
      </c>
      <c r="AA361" s="149" t="str">
        <f ca="1">IFERROR(IF(OR(OFFSET('S4'!#REF!,MATCH($A361,'S4'!$D$5:$D$3387,0)-1,6)="巻返し",OFFSET('S4'!#REF!,MATCH($A361,'S4'!$D$5:$D$3387,0)-1,6)="スリット"),SUMIF('S4'!$D$5:$D$3387,$A361,'S4'!$U$5:$U$3387),""),"")</f>
        <v/>
      </c>
      <c r="AB361" s="149" t="str">
        <f ca="1">IFERROR(IF(OR(OFFSET('S5'!#REF!,MATCH($A361,'S5'!$D$5:$D$2917,0)-1,6)="巻返し",OFFSET('S5'!#REF!,MATCH($A361,'S5'!$D$5:$D$2917,0)-1,6)="スリット"),SUMIF('S5'!$D$5:$D$2917,$A361,'S5'!$T$5:$T$2917),""),"")</f>
        <v/>
      </c>
    </row>
    <row r="362" spans="1:28" s="144" customFormat="1" ht="13.5" x14ac:dyDescent="0.15">
      <c r="A362" s="296">
        <v>3703989</v>
      </c>
      <c r="B362" s="296" t="s">
        <v>351</v>
      </c>
      <c r="C362" s="296" t="s">
        <v>352</v>
      </c>
      <c r="D362" s="296" t="s">
        <v>353</v>
      </c>
      <c r="E362" s="296" t="s">
        <v>116</v>
      </c>
      <c r="F362" s="296" t="s">
        <v>158</v>
      </c>
      <c r="G362" s="296" t="s">
        <v>19</v>
      </c>
      <c r="H362" s="296" t="s">
        <v>20</v>
      </c>
      <c r="I362" s="296" t="s">
        <v>165</v>
      </c>
      <c r="J362" s="296"/>
      <c r="K362" s="296" t="s">
        <v>195</v>
      </c>
      <c r="L362" s="296">
        <v>50</v>
      </c>
      <c r="M362" s="296" t="s">
        <v>196</v>
      </c>
      <c r="N362" s="297">
        <v>1005</v>
      </c>
      <c r="O362" s="297">
        <v>1000</v>
      </c>
      <c r="P362" s="297">
        <v>4000</v>
      </c>
      <c r="Q362" s="296">
        <v>2</v>
      </c>
      <c r="R362" s="296">
        <v>3</v>
      </c>
      <c r="S362" s="296" t="s">
        <v>354</v>
      </c>
      <c r="T362" s="298">
        <v>45005</v>
      </c>
      <c r="U362" s="298">
        <v>45037</v>
      </c>
      <c r="V362" s="296" t="s">
        <v>355</v>
      </c>
      <c r="W362" s="296"/>
      <c r="X362" s="296"/>
      <c r="Z362" s="149" t="str">
        <f t="shared" ca="1" si="5"/>
        <v/>
      </c>
      <c r="AA362" s="149" t="str">
        <f ca="1">IFERROR(IF(OR(OFFSET('S4'!#REF!,MATCH($A362,'S4'!$D$5:$D$3387,0)-1,6)="巻返し",OFFSET('S4'!#REF!,MATCH($A362,'S4'!$D$5:$D$3387,0)-1,6)="スリット"),SUMIF('S4'!$D$5:$D$3387,$A362,'S4'!$U$5:$U$3387),""),"")</f>
        <v/>
      </c>
      <c r="AB362" s="149" t="str">
        <f ca="1">IFERROR(IF(OR(OFFSET('S5'!#REF!,MATCH($A362,'S5'!$D$5:$D$2917,0)-1,6)="巻返し",OFFSET('S5'!#REF!,MATCH($A362,'S5'!$D$5:$D$2917,0)-1,6)="スリット"),SUMIF('S5'!$D$5:$D$2917,$A362,'S5'!$T$5:$T$2917),""),"")</f>
        <v/>
      </c>
    </row>
    <row r="363" spans="1:28" s="144" customFormat="1" ht="13.5" x14ac:dyDescent="0.15">
      <c r="A363" s="296">
        <v>3703990</v>
      </c>
      <c r="B363" s="296" t="s">
        <v>351</v>
      </c>
      <c r="C363" s="296" t="s">
        <v>352</v>
      </c>
      <c r="D363" s="296" t="s">
        <v>353</v>
      </c>
      <c r="E363" s="296" t="s">
        <v>116</v>
      </c>
      <c r="F363" s="296" t="s">
        <v>158</v>
      </c>
      <c r="G363" s="296" t="s">
        <v>19</v>
      </c>
      <c r="H363" s="296" t="s">
        <v>20</v>
      </c>
      <c r="I363" s="296" t="s">
        <v>165</v>
      </c>
      <c r="J363" s="296"/>
      <c r="K363" s="296" t="s">
        <v>197</v>
      </c>
      <c r="L363" s="296">
        <v>50</v>
      </c>
      <c r="M363" s="296" t="s">
        <v>198</v>
      </c>
      <c r="N363" s="297">
        <v>1005</v>
      </c>
      <c r="O363" s="297">
        <v>1000</v>
      </c>
      <c r="P363" s="297">
        <v>4000</v>
      </c>
      <c r="Q363" s="296">
        <v>2</v>
      </c>
      <c r="R363" s="296">
        <v>3</v>
      </c>
      <c r="S363" s="296" t="s">
        <v>354</v>
      </c>
      <c r="T363" s="298">
        <v>45005</v>
      </c>
      <c r="U363" s="298">
        <v>45037</v>
      </c>
      <c r="V363" s="296" t="s">
        <v>355</v>
      </c>
      <c r="W363" s="296"/>
      <c r="X363" s="296"/>
      <c r="Z363" s="149" t="str">
        <f t="shared" ca="1" si="5"/>
        <v/>
      </c>
      <c r="AA363" s="149" t="str">
        <f ca="1">IFERROR(IF(OR(OFFSET('S4'!#REF!,MATCH($A363,'S4'!$D$5:$D$3387,0)-1,6)="巻返し",OFFSET('S4'!#REF!,MATCH($A363,'S4'!$D$5:$D$3387,0)-1,6)="スリット"),SUMIF('S4'!$D$5:$D$3387,$A363,'S4'!$U$5:$U$3387),""),"")</f>
        <v/>
      </c>
      <c r="AB363" s="149" t="str">
        <f ca="1">IFERROR(IF(OR(OFFSET('S5'!#REF!,MATCH($A363,'S5'!$D$5:$D$2917,0)-1,6)="巻返し",OFFSET('S5'!#REF!,MATCH($A363,'S5'!$D$5:$D$2917,0)-1,6)="スリット"),SUMIF('S5'!$D$5:$D$2917,$A363,'S5'!$T$5:$T$2917),""),"")</f>
        <v/>
      </c>
    </row>
    <row r="364" spans="1:28" s="144" customFormat="1" ht="13.5" x14ac:dyDescent="0.15">
      <c r="A364" s="296">
        <v>3703991</v>
      </c>
      <c r="B364" s="296" t="s">
        <v>351</v>
      </c>
      <c r="C364" s="296" t="s">
        <v>352</v>
      </c>
      <c r="D364" s="296" t="s">
        <v>353</v>
      </c>
      <c r="E364" s="296" t="s">
        <v>116</v>
      </c>
      <c r="F364" s="296">
        <v>3</v>
      </c>
      <c r="G364" s="296" t="s">
        <v>19</v>
      </c>
      <c r="H364" s="296" t="s">
        <v>20</v>
      </c>
      <c r="I364" s="296" t="s">
        <v>165</v>
      </c>
      <c r="J364" s="296"/>
      <c r="K364" s="296" t="s">
        <v>200</v>
      </c>
      <c r="L364" s="296">
        <v>50</v>
      </c>
      <c r="M364" s="296" t="s">
        <v>201</v>
      </c>
      <c r="N364" s="297">
        <v>1005</v>
      </c>
      <c r="O364" s="297">
        <v>1000</v>
      </c>
      <c r="P364" s="297">
        <v>4000</v>
      </c>
      <c r="Q364" s="296">
        <v>2</v>
      </c>
      <c r="R364" s="296">
        <v>3</v>
      </c>
      <c r="S364" s="296" t="s">
        <v>354</v>
      </c>
      <c r="T364" s="298">
        <v>45005</v>
      </c>
      <c r="U364" s="298">
        <v>45037</v>
      </c>
      <c r="V364" s="296" t="s">
        <v>355</v>
      </c>
      <c r="W364" s="296"/>
      <c r="X364" s="296"/>
      <c r="Z364" s="149" t="str">
        <f t="shared" ca="1" si="5"/>
        <v/>
      </c>
      <c r="AA364" s="149" t="str">
        <f ca="1">IFERROR(IF(OR(OFFSET('S4'!#REF!,MATCH($A364,'S4'!$D$5:$D$3387,0)-1,6)="巻返し",OFFSET('S4'!#REF!,MATCH($A364,'S4'!$D$5:$D$3387,0)-1,6)="スリット"),SUMIF('S4'!$D$5:$D$3387,$A364,'S4'!$U$5:$U$3387),""),"")</f>
        <v/>
      </c>
      <c r="AB364" s="149" t="str">
        <f ca="1">IFERROR(IF(OR(OFFSET('S5'!#REF!,MATCH($A364,'S5'!$D$5:$D$2917,0)-1,6)="巻返し",OFFSET('S5'!#REF!,MATCH($A364,'S5'!$D$5:$D$2917,0)-1,6)="スリット"),SUMIF('S5'!$D$5:$D$2917,$A364,'S5'!$T$5:$T$2917),""),"")</f>
        <v/>
      </c>
    </row>
    <row r="365" spans="1:28" s="144" customFormat="1" ht="13.5" x14ac:dyDescent="0.15">
      <c r="A365" s="296">
        <v>3703992</v>
      </c>
      <c r="B365" s="296" t="s">
        <v>351</v>
      </c>
      <c r="C365" s="296" t="s">
        <v>352</v>
      </c>
      <c r="D365" s="296" t="s">
        <v>353</v>
      </c>
      <c r="E365" s="296" t="s">
        <v>116</v>
      </c>
      <c r="F365" s="296">
        <v>3</v>
      </c>
      <c r="G365" s="296" t="s">
        <v>19</v>
      </c>
      <c r="H365" s="296" t="s">
        <v>20</v>
      </c>
      <c r="I365" s="296" t="s">
        <v>205</v>
      </c>
      <c r="J365" s="296"/>
      <c r="K365" s="296" t="s">
        <v>211</v>
      </c>
      <c r="L365" s="296">
        <v>38</v>
      </c>
      <c r="M365" s="296" t="s">
        <v>370</v>
      </c>
      <c r="N365" s="297">
        <v>1005</v>
      </c>
      <c r="O365" s="297">
        <v>1000</v>
      </c>
      <c r="P365" s="297">
        <v>4000</v>
      </c>
      <c r="Q365" s="296">
        <v>2</v>
      </c>
      <c r="R365" s="296">
        <v>3</v>
      </c>
      <c r="S365" s="296" t="s">
        <v>354</v>
      </c>
      <c r="T365" s="298">
        <v>45005</v>
      </c>
      <c r="U365" s="298">
        <v>45037</v>
      </c>
      <c r="V365" s="296" t="s">
        <v>355</v>
      </c>
      <c r="W365" s="296"/>
      <c r="X365" s="296"/>
      <c r="Z365" s="149" t="str">
        <f t="shared" ca="1" si="5"/>
        <v/>
      </c>
      <c r="AA365" s="149" t="str">
        <f ca="1">IFERROR(IF(OR(OFFSET('S4'!#REF!,MATCH($A365,'S4'!$D$5:$D$3387,0)-1,6)="巻返し",OFFSET('S4'!#REF!,MATCH($A365,'S4'!$D$5:$D$3387,0)-1,6)="スリット"),SUMIF('S4'!$D$5:$D$3387,$A365,'S4'!$U$5:$U$3387),""),"")</f>
        <v/>
      </c>
      <c r="AB365" s="149" t="str">
        <f ca="1">IFERROR(IF(OR(OFFSET('S5'!#REF!,MATCH($A365,'S5'!$D$5:$D$2917,0)-1,6)="巻返し",OFFSET('S5'!#REF!,MATCH($A365,'S5'!$D$5:$D$2917,0)-1,6)="スリット"),SUMIF('S5'!$D$5:$D$2917,$A365,'S5'!$T$5:$T$2917),""),"")</f>
        <v/>
      </c>
    </row>
    <row r="366" spans="1:28" s="144" customFormat="1" ht="13.5" x14ac:dyDescent="0.15">
      <c r="A366" s="296">
        <v>3703993</v>
      </c>
      <c r="B366" s="296" t="s">
        <v>351</v>
      </c>
      <c r="C366" s="296" t="s">
        <v>352</v>
      </c>
      <c r="D366" s="296" t="s">
        <v>353</v>
      </c>
      <c r="E366" s="296" t="s">
        <v>116</v>
      </c>
      <c r="F366" s="296">
        <v>3</v>
      </c>
      <c r="G366" s="296" t="s">
        <v>19</v>
      </c>
      <c r="H366" s="296" t="s">
        <v>20</v>
      </c>
      <c r="I366" s="296" t="s">
        <v>205</v>
      </c>
      <c r="J366" s="296"/>
      <c r="K366" s="296" t="s">
        <v>211</v>
      </c>
      <c r="L366" s="296">
        <v>50</v>
      </c>
      <c r="M366" s="296" t="s">
        <v>370</v>
      </c>
      <c r="N366" s="297">
        <v>1050</v>
      </c>
      <c r="O366" s="297">
        <v>1050</v>
      </c>
      <c r="P366" s="297">
        <v>4100</v>
      </c>
      <c r="Q366" s="296">
        <v>2</v>
      </c>
      <c r="R366" s="296">
        <v>4</v>
      </c>
      <c r="S366" s="296" t="s">
        <v>354</v>
      </c>
      <c r="T366" s="298">
        <v>45005</v>
      </c>
      <c r="U366" s="298">
        <v>45037</v>
      </c>
      <c r="V366" s="296" t="s">
        <v>355</v>
      </c>
      <c r="W366" s="296"/>
      <c r="X366" s="296"/>
      <c r="Z366" s="149" t="str">
        <f t="shared" ca="1" si="5"/>
        <v/>
      </c>
      <c r="AA366" s="149" t="str">
        <f ca="1">IFERROR(IF(OR(OFFSET('S4'!#REF!,MATCH($A366,'S4'!$D$5:$D$3387,0)-1,6)="巻返し",OFFSET('S4'!#REF!,MATCH($A366,'S4'!$D$5:$D$3387,0)-1,6)="スリット"),SUMIF('S4'!$D$5:$D$3387,$A366,'S4'!$U$5:$U$3387),""),"")</f>
        <v/>
      </c>
      <c r="AB366" s="149" t="str">
        <f ca="1">IFERROR(IF(OR(OFFSET('S5'!#REF!,MATCH($A366,'S5'!$D$5:$D$2917,0)-1,6)="巻返し",OFFSET('S5'!#REF!,MATCH($A366,'S5'!$D$5:$D$2917,0)-1,6)="スリット"),SUMIF('S5'!$D$5:$D$2917,$A366,'S5'!$T$5:$T$2917),""),"")</f>
        <v/>
      </c>
    </row>
    <row r="367" spans="1:28" s="144" customFormat="1" ht="13.5" x14ac:dyDescent="0.15">
      <c r="A367" s="296">
        <v>3703994</v>
      </c>
      <c r="B367" s="296" t="s">
        <v>351</v>
      </c>
      <c r="C367" s="296" t="s">
        <v>352</v>
      </c>
      <c r="D367" s="296" t="s">
        <v>353</v>
      </c>
      <c r="E367" s="296" t="s">
        <v>116</v>
      </c>
      <c r="F367" s="296">
        <v>3</v>
      </c>
      <c r="G367" s="296" t="s">
        <v>19</v>
      </c>
      <c r="H367" s="296" t="s">
        <v>20</v>
      </c>
      <c r="I367" s="296" t="s">
        <v>205</v>
      </c>
      <c r="J367" s="296"/>
      <c r="K367" s="296" t="s">
        <v>212</v>
      </c>
      <c r="L367" s="296">
        <v>25</v>
      </c>
      <c r="M367" s="296" t="s">
        <v>213</v>
      </c>
      <c r="N367" s="297">
        <v>1120</v>
      </c>
      <c r="O367" s="297">
        <v>1120</v>
      </c>
      <c r="P367" s="297">
        <v>4000</v>
      </c>
      <c r="Q367" s="296">
        <v>2</v>
      </c>
      <c r="R367" s="296">
        <v>6</v>
      </c>
      <c r="S367" s="296" t="s">
        <v>354</v>
      </c>
      <c r="T367" s="298">
        <v>45005</v>
      </c>
      <c r="U367" s="298">
        <v>45033</v>
      </c>
      <c r="V367" s="296" t="s">
        <v>355</v>
      </c>
      <c r="W367" s="296"/>
      <c r="X367" s="296"/>
      <c r="Z367" s="149" t="str">
        <f t="shared" ca="1" si="5"/>
        <v/>
      </c>
      <c r="AA367" s="149" t="str">
        <f ca="1">IFERROR(IF(OR(OFFSET('S4'!#REF!,MATCH($A367,'S4'!$D$5:$D$3387,0)-1,6)="巻返し",OFFSET('S4'!#REF!,MATCH($A367,'S4'!$D$5:$D$3387,0)-1,6)="スリット"),SUMIF('S4'!$D$5:$D$3387,$A367,'S4'!$U$5:$U$3387),""),"")</f>
        <v/>
      </c>
      <c r="AB367" s="149" t="str">
        <f ca="1">IFERROR(IF(OR(OFFSET('S5'!#REF!,MATCH($A367,'S5'!$D$5:$D$2917,0)-1,6)="巻返し",OFFSET('S5'!#REF!,MATCH($A367,'S5'!$D$5:$D$2917,0)-1,6)="スリット"),SUMIF('S5'!$D$5:$D$2917,$A367,'S5'!$T$5:$T$2917),""),"")</f>
        <v/>
      </c>
    </row>
    <row r="368" spans="1:28" s="144" customFormat="1" ht="13.5" x14ac:dyDescent="0.15">
      <c r="A368" s="296">
        <v>3703995</v>
      </c>
      <c r="B368" s="296" t="s">
        <v>351</v>
      </c>
      <c r="C368" s="296" t="s">
        <v>352</v>
      </c>
      <c r="D368" s="296" t="s">
        <v>353</v>
      </c>
      <c r="E368" s="296" t="s">
        <v>116</v>
      </c>
      <c r="F368" s="296">
        <v>3</v>
      </c>
      <c r="G368" s="296" t="s">
        <v>19</v>
      </c>
      <c r="H368" s="296" t="s">
        <v>20</v>
      </c>
      <c r="I368" s="296" t="s">
        <v>205</v>
      </c>
      <c r="J368" s="296"/>
      <c r="K368" s="296" t="s">
        <v>216</v>
      </c>
      <c r="L368" s="296">
        <v>25</v>
      </c>
      <c r="M368" s="296" t="s">
        <v>217</v>
      </c>
      <c r="N368" s="297">
        <v>1005</v>
      </c>
      <c r="O368" s="297">
        <v>1000</v>
      </c>
      <c r="P368" s="297">
        <v>4000</v>
      </c>
      <c r="Q368" s="296">
        <v>2</v>
      </c>
      <c r="R368" s="296">
        <v>9</v>
      </c>
      <c r="S368" s="296" t="s">
        <v>354</v>
      </c>
      <c r="T368" s="298">
        <v>45005</v>
      </c>
      <c r="U368" s="298">
        <v>45037</v>
      </c>
      <c r="V368" s="296" t="s">
        <v>355</v>
      </c>
      <c r="W368" s="296"/>
      <c r="X368" s="296"/>
      <c r="Z368" s="149" t="str">
        <f t="shared" ca="1" si="5"/>
        <v/>
      </c>
      <c r="AA368" s="149" t="str">
        <f ca="1">IFERROR(IF(OR(OFFSET('S4'!#REF!,MATCH($A368,'S4'!$D$5:$D$3387,0)-1,6)="巻返し",OFFSET('S4'!#REF!,MATCH($A368,'S4'!$D$5:$D$3387,0)-1,6)="スリット"),SUMIF('S4'!$D$5:$D$3387,$A368,'S4'!$U$5:$U$3387),""),"")</f>
        <v/>
      </c>
      <c r="AB368" s="149" t="str">
        <f ca="1">IFERROR(IF(OR(OFFSET('S5'!#REF!,MATCH($A368,'S5'!$D$5:$D$2917,0)-1,6)="巻返し",OFFSET('S5'!#REF!,MATCH($A368,'S5'!$D$5:$D$2917,0)-1,6)="スリット"),SUMIF('S5'!$D$5:$D$2917,$A368,'S5'!$T$5:$T$2917),""),"")</f>
        <v/>
      </c>
    </row>
    <row r="369" spans="1:28" s="144" customFormat="1" ht="13.5" x14ac:dyDescent="0.15">
      <c r="A369" s="296">
        <v>3703996</v>
      </c>
      <c r="B369" s="296" t="s">
        <v>351</v>
      </c>
      <c r="C369" s="296" t="s">
        <v>352</v>
      </c>
      <c r="D369" s="296" t="s">
        <v>353</v>
      </c>
      <c r="E369" s="296" t="s">
        <v>116</v>
      </c>
      <c r="F369" s="296">
        <v>3</v>
      </c>
      <c r="G369" s="296" t="s">
        <v>19</v>
      </c>
      <c r="H369" s="296" t="s">
        <v>20</v>
      </c>
      <c r="I369" s="296" t="s">
        <v>205</v>
      </c>
      <c r="J369" s="296"/>
      <c r="K369" s="296" t="s">
        <v>216</v>
      </c>
      <c r="L369" s="296">
        <v>50</v>
      </c>
      <c r="M369" s="296" t="s">
        <v>217</v>
      </c>
      <c r="N369" s="297">
        <v>1120</v>
      </c>
      <c r="O369" s="297">
        <v>1120</v>
      </c>
      <c r="P369" s="297">
        <v>5000</v>
      </c>
      <c r="Q369" s="296">
        <v>2</v>
      </c>
      <c r="R369" s="296">
        <v>12</v>
      </c>
      <c r="S369" s="296" t="s">
        <v>354</v>
      </c>
      <c r="T369" s="298">
        <v>45005</v>
      </c>
      <c r="U369" s="298">
        <v>45037</v>
      </c>
      <c r="V369" s="296" t="s">
        <v>355</v>
      </c>
      <c r="W369" s="296"/>
      <c r="X369" s="296"/>
      <c r="Z369" s="149" t="str">
        <f t="shared" ca="1" si="5"/>
        <v/>
      </c>
      <c r="AA369" s="149" t="str">
        <f ca="1">IFERROR(IF(OR(OFFSET('S4'!#REF!,MATCH($A369,'S4'!$D$5:$D$3387,0)-1,6)="巻返し",OFFSET('S4'!#REF!,MATCH($A369,'S4'!$D$5:$D$3387,0)-1,6)="スリット"),SUMIF('S4'!$D$5:$D$3387,$A369,'S4'!$U$5:$U$3387),""),"")</f>
        <v/>
      </c>
      <c r="AB369" s="149" t="str">
        <f ca="1">IFERROR(IF(OR(OFFSET('S5'!#REF!,MATCH($A369,'S5'!$D$5:$D$2917,0)-1,6)="巻返し",OFFSET('S5'!#REF!,MATCH($A369,'S5'!$D$5:$D$2917,0)-1,6)="スリット"),SUMIF('S5'!$D$5:$D$2917,$A369,'S5'!$T$5:$T$2917),""),"")</f>
        <v/>
      </c>
    </row>
    <row r="370" spans="1:28" s="144" customFormat="1" ht="13.5" x14ac:dyDescent="0.15">
      <c r="A370" s="296">
        <v>3703997</v>
      </c>
      <c r="B370" s="296" t="s">
        <v>351</v>
      </c>
      <c r="C370" s="296" t="s">
        <v>352</v>
      </c>
      <c r="D370" s="296" t="s">
        <v>353</v>
      </c>
      <c r="E370" s="296" t="s">
        <v>116</v>
      </c>
      <c r="F370" s="296">
        <v>3</v>
      </c>
      <c r="G370" s="296" t="s">
        <v>19</v>
      </c>
      <c r="H370" s="296" t="s">
        <v>20</v>
      </c>
      <c r="I370" s="296" t="s">
        <v>205</v>
      </c>
      <c r="J370" s="296"/>
      <c r="K370" s="296" t="s">
        <v>216</v>
      </c>
      <c r="L370" s="296">
        <v>50</v>
      </c>
      <c r="M370" s="296" t="s">
        <v>217</v>
      </c>
      <c r="N370" s="297">
        <v>1120</v>
      </c>
      <c r="O370" s="297">
        <v>1120</v>
      </c>
      <c r="P370" s="297">
        <v>5000</v>
      </c>
      <c r="Q370" s="296">
        <v>2</v>
      </c>
      <c r="R370" s="296">
        <v>12</v>
      </c>
      <c r="S370" s="296" t="s">
        <v>354</v>
      </c>
      <c r="T370" s="298">
        <v>45005</v>
      </c>
      <c r="U370" s="298">
        <v>45058</v>
      </c>
      <c r="V370" s="296" t="s">
        <v>355</v>
      </c>
      <c r="W370" s="296"/>
      <c r="X370" s="296"/>
      <c r="Z370" s="149" t="str">
        <f t="shared" ca="1" si="5"/>
        <v/>
      </c>
      <c r="AA370" s="149" t="str">
        <f ca="1">IFERROR(IF(OR(OFFSET('S4'!#REF!,MATCH($A370,'S4'!$D$5:$D$3387,0)-1,6)="巻返し",OFFSET('S4'!#REF!,MATCH($A370,'S4'!$D$5:$D$3387,0)-1,6)="スリット"),SUMIF('S4'!$D$5:$D$3387,$A370,'S4'!$U$5:$U$3387),""),"")</f>
        <v/>
      </c>
      <c r="AB370" s="149" t="str">
        <f ca="1">IFERROR(IF(OR(OFFSET('S5'!#REF!,MATCH($A370,'S5'!$D$5:$D$2917,0)-1,6)="巻返し",OFFSET('S5'!#REF!,MATCH($A370,'S5'!$D$5:$D$2917,0)-1,6)="スリット"),SUMIF('S5'!$D$5:$D$2917,$A370,'S5'!$T$5:$T$2917),""),"")</f>
        <v/>
      </c>
    </row>
    <row r="371" spans="1:28" s="144" customFormat="1" ht="13.5" x14ac:dyDescent="0.15">
      <c r="A371" s="296">
        <v>3703998</v>
      </c>
      <c r="B371" s="296" t="s">
        <v>351</v>
      </c>
      <c r="C371" s="296" t="s">
        <v>352</v>
      </c>
      <c r="D371" s="296" t="s">
        <v>353</v>
      </c>
      <c r="E371" s="296" t="s">
        <v>116</v>
      </c>
      <c r="F371" s="296">
        <v>3</v>
      </c>
      <c r="G371" s="296" t="s">
        <v>19</v>
      </c>
      <c r="H371" s="296" t="s">
        <v>20</v>
      </c>
      <c r="I371" s="296" t="s">
        <v>205</v>
      </c>
      <c r="J371" s="296"/>
      <c r="K371" s="296" t="s">
        <v>216</v>
      </c>
      <c r="L371" s="296">
        <v>50</v>
      </c>
      <c r="M371" s="296" t="s">
        <v>217</v>
      </c>
      <c r="N371" s="297">
        <v>1120</v>
      </c>
      <c r="O371" s="297">
        <v>1120</v>
      </c>
      <c r="P371" s="297">
        <v>5000</v>
      </c>
      <c r="Q371" s="296">
        <v>2</v>
      </c>
      <c r="R371" s="296">
        <v>12</v>
      </c>
      <c r="S371" s="296" t="s">
        <v>354</v>
      </c>
      <c r="T371" s="298">
        <v>45005</v>
      </c>
      <c r="U371" s="298">
        <v>45065</v>
      </c>
      <c r="V371" s="296" t="s">
        <v>355</v>
      </c>
      <c r="W371" s="296"/>
      <c r="X371" s="296"/>
      <c r="Z371" s="149" t="str">
        <f t="shared" ca="1" si="5"/>
        <v/>
      </c>
      <c r="AA371" s="149" t="str">
        <f ca="1">IFERROR(IF(OR(OFFSET('S4'!#REF!,MATCH($A371,'S4'!$D$5:$D$3387,0)-1,6)="巻返し",OFFSET('S4'!#REF!,MATCH($A371,'S4'!$D$5:$D$3387,0)-1,6)="スリット"),SUMIF('S4'!$D$5:$D$3387,$A371,'S4'!$U$5:$U$3387),""),"")</f>
        <v/>
      </c>
      <c r="AB371" s="149" t="str">
        <f ca="1">IFERROR(IF(OR(OFFSET('S5'!#REF!,MATCH($A371,'S5'!$D$5:$D$2917,0)-1,6)="巻返し",OFFSET('S5'!#REF!,MATCH($A371,'S5'!$D$5:$D$2917,0)-1,6)="スリット"),SUMIF('S5'!$D$5:$D$2917,$A371,'S5'!$T$5:$T$2917),""),"")</f>
        <v/>
      </c>
    </row>
    <row r="372" spans="1:28" s="144" customFormat="1" ht="13.5" x14ac:dyDescent="0.15">
      <c r="A372" s="296">
        <v>3703999</v>
      </c>
      <c r="B372" s="296" t="s">
        <v>351</v>
      </c>
      <c r="C372" s="296" t="s">
        <v>352</v>
      </c>
      <c r="D372" s="296" t="s">
        <v>353</v>
      </c>
      <c r="E372" s="296" t="s">
        <v>116</v>
      </c>
      <c r="F372" s="296">
        <v>3</v>
      </c>
      <c r="G372" s="296" t="s">
        <v>19</v>
      </c>
      <c r="H372" s="296" t="s">
        <v>20</v>
      </c>
      <c r="I372" s="296" t="s">
        <v>205</v>
      </c>
      <c r="J372" s="296"/>
      <c r="K372" s="296" t="s">
        <v>218</v>
      </c>
      <c r="L372" s="296">
        <v>25</v>
      </c>
      <c r="M372" s="296" t="s">
        <v>219</v>
      </c>
      <c r="N372" s="297">
        <v>1005</v>
      </c>
      <c r="O372" s="297">
        <v>1000</v>
      </c>
      <c r="P372" s="297">
        <v>4000</v>
      </c>
      <c r="Q372" s="296">
        <v>2</v>
      </c>
      <c r="R372" s="296">
        <v>2</v>
      </c>
      <c r="S372" s="296" t="s">
        <v>354</v>
      </c>
      <c r="T372" s="298">
        <v>45005</v>
      </c>
      <c r="U372" s="298">
        <v>45037</v>
      </c>
      <c r="V372" s="296" t="s">
        <v>355</v>
      </c>
      <c r="W372" s="296"/>
      <c r="X372" s="296"/>
      <c r="Z372" s="149" t="str">
        <f t="shared" ca="1" si="5"/>
        <v/>
      </c>
      <c r="AA372" s="149" t="str">
        <f ca="1">IFERROR(IF(OR(OFFSET('S4'!#REF!,MATCH($A372,'S4'!$D$5:$D$3387,0)-1,6)="巻返し",OFFSET('S4'!#REF!,MATCH($A372,'S4'!$D$5:$D$3387,0)-1,6)="スリット"),SUMIF('S4'!$D$5:$D$3387,$A372,'S4'!$U$5:$U$3387),""),"")</f>
        <v/>
      </c>
      <c r="AB372" s="149" t="str">
        <f ca="1">IFERROR(IF(OR(OFFSET('S5'!#REF!,MATCH($A372,'S5'!$D$5:$D$2917,0)-1,6)="巻返し",OFFSET('S5'!#REF!,MATCH($A372,'S5'!$D$5:$D$2917,0)-1,6)="スリット"),SUMIF('S5'!$D$5:$D$2917,$A372,'S5'!$T$5:$T$2917),""),"")</f>
        <v/>
      </c>
    </row>
    <row r="373" spans="1:28" s="144" customFormat="1" ht="13.5" x14ac:dyDescent="0.15">
      <c r="A373" s="296">
        <v>3704000</v>
      </c>
      <c r="B373" s="296" t="s">
        <v>351</v>
      </c>
      <c r="C373" s="296" t="s">
        <v>352</v>
      </c>
      <c r="D373" s="296" t="s">
        <v>353</v>
      </c>
      <c r="E373" s="296" t="s">
        <v>116</v>
      </c>
      <c r="F373" s="296">
        <v>3</v>
      </c>
      <c r="G373" s="296" t="s">
        <v>19</v>
      </c>
      <c r="H373" s="296" t="s">
        <v>20</v>
      </c>
      <c r="I373" s="296" t="s">
        <v>205</v>
      </c>
      <c r="J373" s="296"/>
      <c r="K373" s="296" t="s">
        <v>218</v>
      </c>
      <c r="L373" s="296">
        <v>50</v>
      </c>
      <c r="M373" s="296" t="s">
        <v>219</v>
      </c>
      <c r="N373" s="297">
        <v>1000</v>
      </c>
      <c r="O373" s="297">
        <v>1000</v>
      </c>
      <c r="P373" s="297">
        <v>4000</v>
      </c>
      <c r="Q373" s="296">
        <v>2</v>
      </c>
      <c r="R373" s="296">
        <v>15</v>
      </c>
      <c r="S373" s="296" t="s">
        <v>354</v>
      </c>
      <c r="T373" s="298">
        <v>45005</v>
      </c>
      <c r="U373" s="298">
        <v>45037</v>
      </c>
      <c r="V373" s="296" t="s">
        <v>355</v>
      </c>
      <c r="W373" s="296"/>
      <c r="X373" s="296"/>
      <c r="Z373" s="149" t="str">
        <f t="shared" ca="1" si="5"/>
        <v/>
      </c>
      <c r="AA373" s="149" t="str">
        <f ca="1">IFERROR(IF(OR(OFFSET('S4'!#REF!,MATCH($A373,'S4'!$D$5:$D$3387,0)-1,6)="巻返し",OFFSET('S4'!#REF!,MATCH($A373,'S4'!$D$5:$D$3387,0)-1,6)="スリット"),SUMIF('S4'!$D$5:$D$3387,$A373,'S4'!$U$5:$U$3387),""),"")</f>
        <v/>
      </c>
      <c r="AB373" s="149" t="str">
        <f ca="1">IFERROR(IF(OR(OFFSET('S5'!#REF!,MATCH($A373,'S5'!$D$5:$D$2917,0)-1,6)="巻返し",OFFSET('S5'!#REF!,MATCH($A373,'S5'!$D$5:$D$2917,0)-1,6)="スリット"),SUMIF('S5'!$D$5:$D$2917,$A373,'S5'!$T$5:$T$2917),""),"")</f>
        <v/>
      </c>
    </row>
    <row r="374" spans="1:28" s="144" customFormat="1" ht="13.5" x14ac:dyDescent="0.15">
      <c r="A374" s="296">
        <v>3704001</v>
      </c>
      <c r="B374" s="296" t="s">
        <v>351</v>
      </c>
      <c r="C374" s="296" t="s">
        <v>352</v>
      </c>
      <c r="D374" s="296" t="s">
        <v>353</v>
      </c>
      <c r="E374" s="296" t="s">
        <v>116</v>
      </c>
      <c r="F374" s="296">
        <v>3</v>
      </c>
      <c r="G374" s="296" t="s">
        <v>19</v>
      </c>
      <c r="H374" s="296" t="s">
        <v>28</v>
      </c>
      <c r="I374" s="296" t="s">
        <v>205</v>
      </c>
      <c r="J374" s="296"/>
      <c r="K374" s="296" t="s">
        <v>224</v>
      </c>
      <c r="L374" s="296">
        <v>50</v>
      </c>
      <c r="M374" s="296" t="s">
        <v>225</v>
      </c>
      <c r="N374" s="297">
        <v>1120</v>
      </c>
      <c r="O374" s="297">
        <v>1120</v>
      </c>
      <c r="P374" s="297">
        <v>5000</v>
      </c>
      <c r="Q374" s="296">
        <v>2</v>
      </c>
      <c r="R374" s="296">
        <v>2</v>
      </c>
      <c r="S374" s="296" t="s">
        <v>354</v>
      </c>
      <c r="T374" s="298">
        <v>45005</v>
      </c>
      <c r="U374" s="298">
        <v>45040</v>
      </c>
      <c r="V374" s="296" t="s">
        <v>355</v>
      </c>
      <c r="W374" s="296"/>
      <c r="X374" s="296"/>
      <c r="Z374" s="149" t="str">
        <f t="shared" ca="1" si="5"/>
        <v/>
      </c>
      <c r="AA374" s="149" t="str">
        <f ca="1">IFERROR(IF(OR(OFFSET('S4'!#REF!,MATCH($A374,'S4'!$D$5:$D$3387,0)-1,6)="巻返し",OFFSET('S4'!#REF!,MATCH($A374,'S4'!$D$5:$D$3387,0)-1,6)="スリット"),SUMIF('S4'!$D$5:$D$3387,$A374,'S4'!$U$5:$U$3387),""),"")</f>
        <v/>
      </c>
      <c r="AB374" s="149" t="str">
        <f ca="1">IFERROR(IF(OR(OFFSET('S5'!#REF!,MATCH($A374,'S5'!$D$5:$D$2917,0)-1,6)="巻返し",OFFSET('S5'!#REF!,MATCH($A374,'S5'!$D$5:$D$2917,0)-1,6)="スリット"),SUMIF('S5'!$D$5:$D$2917,$A374,'S5'!$T$5:$T$2917),""),"")</f>
        <v/>
      </c>
    </row>
    <row r="375" spans="1:28" s="144" customFormat="1" ht="13.5" x14ac:dyDescent="0.15">
      <c r="A375" s="296">
        <v>3704002</v>
      </c>
      <c r="B375" s="296" t="s">
        <v>351</v>
      </c>
      <c r="C375" s="296" t="s">
        <v>364</v>
      </c>
      <c r="D375" s="296" t="s">
        <v>353</v>
      </c>
      <c r="E375" s="296" t="s">
        <v>171</v>
      </c>
      <c r="F375" s="296" t="s">
        <v>1073</v>
      </c>
      <c r="G375" s="296" t="s">
        <v>19</v>
      </c>
      <c r="H375" s="296" t="s">
        <v>20</v>
      </c>
      <c r="I375" s="296" t="s">
        <v>165</v>
      </c>
      <c r="J375" s="296"/>
      <c r="K375" s="296" t="s">
        <v>169</v>
      </c>
      <c r="L375" s="296">
        <v>50</v>
      </c>
      <c r="M375" s="296" t="s">
        <v>170</v>
      </c>
      <c r="N375" s="297">
        <v>1190</v>
      </c>
      <c r="O375" s="297">
        <v>1190</v>
      </c>
      <c r="P375" s="297">
        <v>6000</v>
      </c>
      <c r="Q375" s="296">
        <v>2</v>
      </c>
      <c r="R375" s="296">
        <v>1</v>
      </c>
      <c r="S375" s="296" t="s">
        <v>354</v>
      </c>
      <c r="T375" s="298">
        <v>45005</v>
      </c>
      <c r="U375" s="298">
        <v>45031</v>
      </c>
      <c r="V375" s="296" t="s">
        <v>355</v>
      </c>
      <c r="W375" s="296"/>
      <c r="X375" s="296"/>
      <c r="Z375" s="149" t="str">
        <f t="shared" ca="1" si="5"/>
        <v/>
      </c>
      <c r="AA375" s="149" t="str">
        <f ca="1">IFERROR(IF(OR(OFFSET('S4'!#REF!,MATCH($A375,'S4'!$D$5:$D$3387,0)-1,6)="巻返し",OFFSET('S4'!#REF!,MATCH($A375,'S4'!$D$5:$D$3387,0)-1,6)="スリット"),SUMIF('S4'!$D$5:$D$3387,$A375,'S4'!$U$5:$U$3387),""),"")</f>
        <v/>
      </c>
      <c r="AB375" s="149" t="str">
        <f ca="1">IFERROR(IF(OR(OFFSET('S5'!#REF!,MATCH($A375,'S5'!$D$5:$D$2917,0)-1,6)="巻返し",OFFSET('S5'!#REF!,MATCH($A375,'S5'!$D$5:$D$2917,0)-1,6)="スリット"),SUMIF('S5'!$D$5:$D$2917,$A375,'S5'!$T$5:$T$2917),""),"")</f>
        <v/>
      </c>
    </row>
    <row r="376" spans="1:28" s="144" customFormat="1" ht="13.5" x14ac:dyDescent="0.15">
      <c r="A376" s="296">
        <v>3704003</v>
      </c>
      <c r="B376" s="296" t="s">
        <v>351</v>
      </c>
      <c r="C376" s="296" t="s">
        <v>364</v>
      </c>
      <c r="D376" s="296" t="s">
        <v>353</v>
      </c>
      <c r="E376" s="296" t="s">
        <v>171</v>
      </c>
      <c r="F376" s="296" t="s">
        <v>1073</v>
      </c>
      <c r="G376" s="296" t="s">
        <v>19</v>
      </c>
      <c r="H376" s="296" t="s">
        <v>20</v>
      </c>
      <c r="I376" s="296" t="s">
        <v>165</v>
      </c>
      <c r="J376" s="296"/>
      <c r="K376" s="296" t="s">
        <v>169</v>
      </c>
      <c r="L376" s="296">
        <v>50</v>
      </c>
      <c r="M376" s="296" t="s">
        <v>170</v>
      </c>
      <c r="N376" s="297">
        <v>1190</v>
      </c>
      <c r="O376" s="297">
        <v>1190</v>
      </c>
      <c r="P376" s="297">
        <v>6000</v>
      </c>
      <c r="Q376" s="296">
        <v>2</v>
      </c>
      <c r="R376" s="296">
        <v>10</v>
      </c>
      <c r="S376" s="296" t="s">
        <v>354</v>
      </c>
      <c r="T376" s="298">
        <v>45005</v>
      </c>
      <c r="U376" s="298">
        <v>45031</v>
      </c>
      <c r="V376" s="296" t="s">
        <v>355</v>
      </c>
      <c r="W376" s="296"/>
      <c r="X376" s="296"/>
      <c r="Z376" s="149" t="str">
        <f t="shared" ca="1" si="5"/>
        <v/>
      </c>
      <c r="AA376" s="149" t="str">
        <f ca="1">IFERROR(IF(OR(OFFSET('S4'!#REF!,MATCH($A376,'S4'!$D$5:$D$3387,0)-1,6)="巻返し",OFFSET('S4'!#REF!,MATCH($A376,'S4'!$D$5:$D$3387,0)-1,6)="スリット"),SUMIF('S4'!$D$5:$D$3387,$A376,'S4'!$U$5:$U$3387),""),"")</f>
        <v/>
      </c>
      <c r="AB376" s="149" t="str">
        <f ca="1">IFERROR(IF(OR(OFFSET('S5'!#REF!,MATCH($A376,'S5'!$D$5:$D$2917,0)-1,6)="巻返し",OFFSET('S5'!#REF!,MATCH($A376,'S5'!$D$5:$D$2917,0)-1,6)="スリット"),SUMIF('S5'!$D$5:$D$2917,$A376,'S5'!$T$5:$T$2917),""),"")</f>
        <v/>
      </c>
    </row>
    <row r="377" spans="1:28" s="144" customFormat="1" ht="13.5" x14ac:dyDescent="0.15">
      <c r="A377" s="296">
        <v>3704004</v>
      </c>
      <c r="B377" s="296" t="s">
        <v>351</v>
      </c>
      <c r="C377" s="296" t="s">
        <v>364</v>
      </c>
      <c r="D377" s="296" t="s">
        <v>353</v>
      </c>
      <c r="E377" s="296" t="s">
        <v>171</v>
      </c>
      <c r="F377" s="296">
        <v>3</v>
      </c>
      <c r="G377" s="296" t="s">
        <v>19</v>
      </c>
      <c r="H377" s="296" t="s">
        <v>20</v>
      </c>
      <c r="I377" s="296" t="s">
        <v>165</v>
      </c>
      <c r="J377" s="296"/>
      <c r="K377" s="296" t="s">
        <v>180</v>
      </c>
      <c r="L377" s="296">
        <v>50</v>
      </c>
      <c r="M377" s="296" t="s">
        <v>181</v>
      </c>
      <c r="N377" s="297">
        <v>1200</v>
      </c>
      <c r="O377" s="297">
        <v>1190</v>
      </c>
      <c r="P377" s="297">
        <v>6000</v>
      </c>
      <c r="Q377" s="296">
        <v>2</v>
      </c>
      <c r="R377" s="296">
        <v>8</v>
      </c>
      <c r="S377" s="296" t="s">
        <v>354</v>
      </c>
      <c r="T377" s="298">
        <v>45005</v>
      </c>
      <c r="U377" s="298">
        <v>45031</v>
      </c>
      <c r="V377" s="296" t="s">
        <v>355</v>
      </c>
      <c r="W377" s="296"/>
      <c r="X377" s="296"/>
      <c r="Z377" s="149" t="str">
        <f t="shared" ca="1" si="5"/>
        <v/>
      </c>
      <c r="AA377" s="149" t="str">
        <f ca="1">IFERROR(IF(OR(OFFSET('S4'!#REF!,MATCH($A377,'S4'!$D$5:$D$3387,0)-1,6)="巻返し",OFFSET('S4'!#REF!,MATCH($A377,'S4'!$D$5:$D$3387,0)-1,6)="スリット"),SUMIF('S4'!$D$5:$D$3387,$A377,'S4'!$U$5:$U$3387),""),"")</f>
        <v/>
      </c>
      <c r="AB377" s="149" t="str">
        <f ca="1">IFERROR(IF(OR(OFFSET('S5'!#REF!,MATCH($A377,'S5'!$D$5:$D$2917,0)-1,6)="巻返し",OFFSET('S5'!#REF!,MATCH($A377,'S5'!$D$5:$D$2917,0)-1,6)="スリット"),SUMIF('S5'!$D$5:$D$2917,$A377,'S5'!$T$5:$T$2917),""),"")</f>
        <v/>
      </c>
    </row>
    <row r="378" spans="1:28" s="144" customFormat="1" ht="13.5" x14ac:dyDescent="0.15">
      <c r="A378" s="296">
        <v>3704005</v>
      </c>
      <c r="B378" s="296" t="s">
        <v>423</v>
      </c>
      <c r="C378" s="296" t="s">
        <v>364</v>
      </c>
      <c r="D378" s="296" t="s">
        <v>353</v>
      </c>
      <c r="E378" s="296" t="s">
        <v>316</v>
      </c>
      <c r="F378" s="296">
        <v>3</v>
      </c>
      <c r="G378" s="296" t="s">
        <v>265</v>
      </c>
      <c r="H378" s="296" t="s">
        <v>20</v>
      </c>
      <c r="I378" s="296" t="s">
        <v>312</v>
      </c>
      <c r="J378" s="296"/>
      <c r="K378" s="296" t="s">
        <v>317</v>
      </c>
      <c r="L378" s="296">
        <v>50</v>
      </c>
      <c r="M378" s="296" t="s">
        <v>318</v>
      </c>
      <c r="N378" s="296">
        <v>680</v>
      </c>
      <c r="O378" s="296">
        <v>680</v>
      </c>
      <c r="P378" s="297">
        <v>2000</v>
      </c>
      <c r="Q378" s="296">
        <v>2</v>
      </c>
      <c r="R378" s="296">
        <v>4</v>
      </c>
      <c r="S378" s="296" t="s">
        <v>354</v>
      </c>
      <c r="T378" s="298">
        <v>45005</v>
      </c>
      <c r="U378" s="298">
        <v>45031</v>
      </c>
      <c r="V378" s="296" t="s">
        <v>355</v>
      </c>
      <c r="W378" s="296"/>
      <c r="X378" s="296"/>
      <c r="Z378" s="149" t="str">
        <f t="shared" ca="1" si="5"/>
        <v/>
      </c>
      <c r="AA378" s="149" t="str">
        <f ca="1">IFERROR(IF(OR(OFFSET('S4'!#REF!,MATCH($A378,'S4'!$D$5:$D$3387,0)-1,6)="巻返し",OFFSET('S4'!#REF!,MATCH($A378,'S4'!$D$5:$D$3387,0)-1,6)="スリット"),SUMIF('S4'!$D$5:$D$3387,$A378,'S4'!$U$5:$U$3387),""),"")</f>
        <v/>
      </c>
      <c r="AB378" s="149" t="str">
        <f ca="1">IFERROR(IF(OR(OFFSET('S5'!#REF!,MATCH($A378,'S5'!$D$5:$D$2917,0)-1,6)="巻返し",OFFSET('S5'!#REF!,MATCH($A378,'S5'!$D$5:$D$2917,0)-1,6)="スリット"),SUMIF('S5'!$D$5:$D$2917,$A378,'S5'!$T$5:$T$2917),""),"")</f>
        <v/>
      </c>
    </row>
    <row r="379" spans="1:28" s="144" customFormat="1" ht="13.5" x14ac:dyDescent="0.15">
      <c r="A379" s="296">
        <v>3704008</v>
      </c>
      <c r="B379" s="296" t="s">
        <v>351</v>
      </c>
      <c r="C379" s="296" t="s">
        <v>364</v>
      </c>
      <c r="D379" s="296" t="s">
        <v>353</v>
      </c>
      <c r="E379" s="296" t="s">
        <v>148</v>
      </c>
      <c r="F379" s="296">
        <v>3</v>
      </c>
      <c r="G379" s="296" t="s">
        <v>19</v>
      </c>
      <c r="H379" s="296" t="s">
        <v>20</v>
      </c>
      <c r="I379" s="296" t="s">
        <v>143</v>
      </c>
      <c r="J379" s="296"/>
      <c r="K379" s="296" t="s">
        <v>149</v>
      </c>
      <c r="L379" s="296">
        <v>50</v>
      </c>
      <c r="M379" s="296" t="s">
        <v>150</v>
      </c>
      <c r="N379" s="297">
        <v>1120</v>
      </c>
      <c r="O379" s="297">
        <v>1120</v>
      </c>
      <c r="P379" s="297">
        <v>6000</v>
      </c>
      <c r="Q379" s="296">
        <v>2</v>
      </c>
      <c r="R379" s="296">
        <v>2</v>
      </c>
      <c r="S379" s="296" t="s">
        <v>354</v>
      </c>
      <c r="T379" s="298">
        <v>45005</v>
      </c>
      <c r="U379" s="298">
        <v>45031</v>
      </c>
      <c r="V379" s="296" t="s">
        <v>355</v>
      </c>
      <c r="W379" s="296"/>
      <c r="X379" s="296"/>
      <c r="Z379" s="149" t="str">
        <f t="shared" ca="1" si="5"/>
        <v/>
      </c>
      <c r="AA379" s="149" t="str">
        <f ca="1">IFERROR(IF(OR(OFFSET('S4'!#REF!,MATCH($A379,'S4'!$D$5:$D$3387,0)-1,6)="巻返し",OFFSET('S4'!#REF!,MATCH($A379,'S4'!$D$5:$D$3387,0)-1,6)="スリット"),SUMIF('S4'!$D$5:$D$3387,$A379,'S4'!$U$5:$U$3387),""),"")</f>
        <v/>
      </c>
      <c r="AB379" s="149" t="str">
        <f ca="1">IFERROR(IF(OR(OFFSET('S5'!#REF!,MATCH($A379,'S5'!$D$5:$D$2917,0)-1,6)="巻返し",OFFSET('S5'!#REF!,MATCH($A379,'S5'!$D$5:$D$2917,0)-1,6)="スリット"),SUMIF('S5'!$D$5:$D$2917,$A379,'S5'!$T$5:$T$2917),""),"")</f>
        <v/>
      </c>
    </row>
    <row r="380" spans="1:28" s="144" customFormat="1" ht="13.5" x14ac:dyDescent="0.15">
      <c r="A380" s="296">
        <v>3704463</v>
      </c>
      <c r="B380" s="296" t="s">
        <v>351</v>
      </c>
      <c r="C380" s="296" t="s">
        <v>364</v>
      </c>
      <c r="D380" s="296" t="s">
        <v>353</v>
      </c>
      <c r="E380" s="296" t="s">
        <v>171</v>
      </c>
      <c r="F380" s="296">
        <v>3</v>
      </c>
      <c r="G380" s="296" t="s">
        <v>19</v>
      </c>
      <c r="H380" s="296" t="s">
        <v>20</v>
      </c>
      <c r="I380" s="296" t="s">
        <v>165</v>
      </c>
      <c r="J380" s="296"/>
      <c r="K380" s="296" t="s">
        <v>180</v>
      </c>
      <c r="L380" s="296">
        <v>50</v>
      </c>
      <c r="M380" s="296" t="s">
        <v>181</v>
      </c>
      <c r="N380" s="297">
        <v>1200</v>
      </c>
      <c r="O380" s="297">
        <v>1190</v>
      </c>
      <c r="P380" s="297">
        <v>6000</v>
      </c>
      <c r="Q380" s="296">
        <v>2</v>
      </c>
      <c r="R380" s="296">
        <v>4</v>
      </c>
      <c r="S380" s="296" t="s">
        <v>354</v>
      </c>
      <c r="T380" s="298">
        <v>45005</v>
      </c>
      <c r="U380" s="298">
        <v>45031</v>
      </c>
      <c r="V380" s="296" t="s">
        <v>355</v>
      </c>
      <c r="W380" s="296"/>
      <c r="X380" s="296"/>
      <c r="Z380" s="149" t="str">
        <f t="shared" ca="1" si="5"/>
        <v/>
      </c>
      <c r="AA380" s="149" t="str">
        <f ca="1">IFERROR(IF(OR(OFFSET('S4'!#REF!,MATCH($A380,'S4'!$D$5:$D$3387,0)-1,6)="巻返し",OFFSET('S4'!#REF!,MATCH($A380,'S4'!$D$5:$D$3387,0)-1,6)="スリット"),SUMIF('S4'!$D$5:$D$3387,$A380,'S4'!$U$5:$U$3387),""),"")</f>
        <v/>
      </c>
      <c r="AB380" s="149" t="str">
        <f ca="1">IFERROR(IF(OR(OFFSET('S5'!#REF!,MATCH($A380,'S5'!$D$5:$D$2917,0)-1,6)="巻返し",OFFSET('S5'!#REF!,MATCH($A380,'S5'!$D$5:$D$2917,0)-1,6)="スリット"),SUMIF('S5'!$D$5:$D$2917,$A380,'S5'!$T$5:$T$2917),""),"")</f>
        <v/>
      </c>
    </row>
    <row r="381" spans="1:28" s="144" customFormat="1" ht="13.5" x14ac:dyDescent="0.15">
      <c r="A381" s="296">
        <v>3706174</v>
      </c>
      <c r="B381" s="296" t="s">
        <v>351</v>
      </c>
      <c r="C381" s="296" t="s">
        <v>352</v>
      </c>
      <c r="D381" s="296" t="s">
        <v>353</v>
      </c>
      <c r="E381" s="296" t="s">
        <v>116</v>
      </c>
      <c r="F381" s="296">
        <v>3</v>
      </c>
      <c r="G381" s="296" t="s">
        <v>19</v>
      </c>
      <c r="H381" s="296" t="s">
        <v>20</v>
      </c>
      <c r="I381" s="296" t="s">
        <v>205</v>
      </c>
      <c r="J381" s="296"/>
      <c r="K381" s="296" t="s">
        <v>216</v>
      </c>
      <c r="L381" s="296">
        <v>50</v>
      </c>
      <c r="M381" s="296" t="s">
        <v>217</v>
      </c>
      <c r="N381" s="297">
        <v>1120</v>
      </c>
      <c r="O381" s="297">
        <v>1120</v>
      </c>
      <c r="P381" s="297">
        <v>5000</v>
      </c>
      <c r="Q381" s="296">
        <v>2</v>
      </c>
      <c r="R381" s="296">
        <v>12</v>
      </c>
      <c r="S381" s="296" t="s">
        <v>354</v>
      </c>
      <c r="T381" s="298">
        <v>45015</v>
      </c>
      <c r="U381" s="298">
        <v>45065</v>
      </c>
      <c r="V381" s="296" t="s">
        <v>355</v>
      </c>
      <c r="W381" s="296"/>
      <c r="X381" s="296"/>
      <c r="Z381" s="149" t="str">
        <f t="shared" ca="1" si="5"/>
        <v/>
      </c>
      <c r="AA381" s="149" t="str">
        <f ca="1">IFERROR(IF(OR(OFFSET('S4'!#REF!,MATCH($A381,'S4'!$D$5:$D$3387,0)-1,6)="巻返し",OFFSET('S4'!#REF!,MATCH($A381,'S4'!$D$5:$D$3387,0)-1,6)="スリット"),SUMIF('S4'!$D$5:$D$3387,$A381,'S4'!$U$5:$U$3387),""),"")</f>
        <v/>
      </c>
      <c r="AB381" s="149" t="str">
        <f ca="1">IFERROR(IF(OR(OFFSET('S5'!#REF!,MATCH($A381,'S5'!$D$5:$D$2917,0)-1,6)="巻返し",OFFSET('S5'!#REF!,MATCH($A381,'S5'!$D$5:$D$2917,0)-1,6)="スリット"),SUMIF('S5'!$D$5:$D$2917,$A381,'S5'!$T$5:$T$2917),""),"")</f>
        <v/>
      </c>
    </row>
    <row r="382" spans="1:28" s="144" customFormat="1" ht="13.5" x14ac:dyDescent="0.15">
      <c r="A382" s="296">
        <v>3706175</v>
      </c>
      <c r="B382" s="296" t="s">
        <v>351</v>
      </c>
      <c r="C382" s="296" t="s">
        <v>352</v>
      </c>
      <c r="D382" s="296" t="s">
        <v>353</v>
      </c>
      <c r="E382" s="296" t="s">
        <v>116</v>
      </c>
      <c r="F382" s="296">
        <v>3</v>
      </c>
      <c r="G382" s="296" t="s">
        <v>19</v>
      </c>
      <c r="H382" s="296" t="s">
        <v>20</v>
      </c>
      <c r="I382" s="296" t="s">
        <v>205</v>
      </c>
      <c r="J382" s="296"/>
      <c r="K382" s="296" t="s">
        <v>218</v>
      </c>
      <c r="L382" s="296">
        <v>50</v>
      </c>
      <c r="M382" s="296" t="s">
        <v>219</v>
      </c>
      <c r="N382" s="297">
        <v>1000</v>
      </c>
      <c r="O382" s="297">
        <v>1000</v>
      </c>
      <c r="P382" s="297">
        <v>4000</v>
      </c>
      <c r="Q382" s="296">
        <v>2</v>
      </c>
      <c r="R382" s="296">
        <v>8</v>
      </c>
      <c r="S382" s="296" t="s">
        <v>354</v>
      </c>
      <c r="T382" s="298">
        <v>45015</v>
      </c>
      <c r="U382" s="298">
        <v>45037</v>
      </c>
      <c r="V382" s="296" t="s">
        <v>355</v>
      </c>
      <c r="W382" s="296"/>
      <c r="X382" s="296"/>
      <c r="Z382" s="149" t="str">
        <f t="shared" ca="1" si="5"/>
        <v/>
      </c>
      <c r="AA382" s="149" t="str">
        <f ca="1">IFERROR(IF(OR(OFFSET('S4'!#REF!,MATCH($A382,'S4'!$D$5:$D$3387,0)-1,6)="巻返し",OFFSET('S4'!#REF!,MATCH($A382,'S4'!$D$5:$D$3387,0)-1,6)="スリット"),SUMIF('S4'!$D$5:$D$3387,$A382,'S4'!$U$5:$U$3387),""),"")</f>
        <v/>
      </c>
      <c r="AB382" s="149" t="str">
        <f ca="1">IFERROR(IF(OR(OFFSET('S5'!#REF!,MATCH($A382,'S5'!$D$5:$D$2917,0)-1,6)="巻返し",OFFSET('S5'!#REF!,MATCH($A382,'S5'!$D$5:$D$2917,0)-1,6)="スリット"),SUMIF('S5'!$D$5:$D$2917,$A382,'S5'!$T$5:$T$2917),""),"")</f>
        <v/>
      </c>
    </row>
    <row r="383" spans="1:28" s="144" customFormat="1" ht="13.5" x14ac:dyDescent="0.15">
      <c r="A383" s="296">
        <v>3706358</v>
      </c>
      <c r="B383" s="296" t="s">
        <v>351</v>
      </c>
      <c r="C383" s="296" t="s">
        <v>364</v>
      </c>
      <c r="D383" s="296" t="s">
        <v>353</v>
      </c>
      <c r="E383" s="296" t="s">
        <v>148</v>
      </c>
      <c r="F383" s="296">
        <v>3</v>
      </c>
      <c r="G383" s="296" t="s">
        <v>19</v>
      </c>
      <c r="H383" s="296" t="s">
        <v>20</v>
      </c>
      <c r="I383" s="296" t="s">
        <v>165</v>
      </c>
      <c r="J383" s="296"/>
      <c r="K383" s="296" t="s">
        <v>180</v>
      </c>
      <c r="L383" s="296">
        <v>50</v>
      </c>
      <c r="M383" s="296" t="s">
        <v>181</v>
      </c>
      <c r="N383" s="297">
        <v>1120</v>
      </c>
      <c r="O383" s="297">
        <v>1120</v>
      </c>
      <c r="P383" s="297">
        <v>4000</v>
      </c>
      <c r="Q383" s="296">
        <v>2</v>
      </c>
      <c r="R383" s="296">
        <v>2</v>
      </c>
      <c r="S383" s="296" t="s">
        <v>354</v>
      </c>
      <c r="T383" s="298">
        <v>45021</v>
      </c>
      <c r="U383" s="298">
        <v>45046</v>
      </c>
      <c r="V383" s="296" t="s">
        <v>355</v>
      </c>
      <c r="W383" s="296"/>
      <c r="X383" s="296"/>
      <c r="Z383" s="149" t="str">
        <f t="shared" ca="1" si="5"/>
        <v/>
      </c>
      <c r="AA383" s="149" t="str">
        <f ca="1">IFERROR(IF(OR(OFFSET('S4'!#REF!,MATCH($A383,'S4'!$D$5:$D$3387,0)-1,6)="巻返し",OFFSET('S4'!#REF!,MATCH($A383,'S4'!$D$5:$D$3387,0)-1,6)="スリット"),SUMIF('S4'!$D$5:$D$3387,$A383,'S4'!$U$5:$U$3387),""),"")</f>
        <v/>
      </c>
      <c r="AB383" s="149" t="str">
        <f ca="1">IFERROR(IF(OR(OFFSET('S5'!#REF!,MATCH($A383,'S5'!$D$5:$D$2917,0)-1,6)="巻返し",OFFSET('S5'!#REF!,MATCH($A383,'S5'!$D$5:$D$2917,0)-1,6)="スリット"),SUMIF('S5'!$D$5:$D$2917,$A383,'S5'!$T$5:$T$2917),""),"")</f>
        <v/>
      </c>
    </row>
    <row r="384" spans="1:28" s="144" customFormat="1" ht="13.5" x14ac:dyDescent="0.15">
      <c r="A384" s="296">
        <v>3708694</v>
      </c>
      <c r="B384" s="296" t="s">
        <v>351</v>
      </c>
      <c r="C384" s="296" t="s">
        <v>352</v>
      </c>
      <c r="D384" s="296" t="s">
        <v>353</v>
      </c>
      <c r="E384" s="296" t="s">
        <v>1097</v>
      </c>
      <c r="F384" s="296" t="s">
        <v>96</v>
      </c>
      <c r="G384" s="296" t="s">
        <v>19</v>
      </c>
      <c r="H384" s="296" t="s">
        <v>20</v>
      </c>
      <c r="I384" s="296" t="s">
        <v>205</v>
      </c>
      <c r="J384" s="296"/>
      <c r="K384" s="296" t="s">
        <v>230</v>
      </c>
      <c r="L384" s="296">
        <v>38</v>
      </c>
      <c r="M384" s="296" t="s">
        <v>231</v>
      </c>
      <c r="N384" s="296">
        <v>865</v>
      </c>
      <c r="O384" s="296">
        <v>865</v>
      </c>
      <c r="P384" s="297">
        <v>2800</v>
      </c>
      <c r="Q384" s="296">
        <v>2</v>
      </c>
      <c r="R384" s="296">
        <v>20</v>
      </c>
      <c r="S384" s="296" t="s">
        <v>354</v>
      </c>
      <c r="T384" s="298">
        <v>45037</v>
      </c>
      <c r="U384" s="298">
        <v>45061</v>
      </c>
      <c r="V384" s="296" t="s">
        <v>355</v>
      </c>
      <c r="W384" s="296"/>
      <c r="X384" s="296"/>
      <c r="Y384" s="252"/>
      <c r="Z384" s="149" t="str">
        <f t="shared" ca="1" si="5"/>
        <v/>
      </c>
      <c r="AA384" s="149" t="str">
        <f ca="1">IFERROR(IF(OR(OFFSET('S4'!#REF!,MATCH($A384,'S4'!$D$5:$D$3387,0)-1,6)="巻返し",OFFSET('S4'!#REF!,MATCH($A384,'S4'!$D$5:$D$3387,0)-1,6)="スリット"),SUMIF('S4'!$D$5:$D$3387,$A384,'S4'!$U$5:$U$3387),""),"")</f>
        <v/>
      </c>
      <c r="AB384" s="149" t="str">
        <f ca="1">IFERROR(IF(OR(OFFSET('S5'!#REF!,MATCH($A384,'S5'!$D$5:$D$2917,0)-1,6)="巻返し",OFFSET('S5'!#REF!,MATCH($A384,'S5'!$D$5:$D$2917,0)-1,6)="スリット"),SUMIF('S5'!$D$5:$D$2917,$A384,'S5'!$T$5:$T$2917),""),"")</f>
        <v/>
      </c>
    </row>
    <row r="385" spans="1:28" s="144" customFormat="1" ht="13.5" x14ac:dyDescent="0.15">
      <c r="A385" s="296">
        <v>3708695</v>
      </c>
      <c r="B385" s="296" t="s">
        <v>351</v>
      </c>
      <c r="C385" s="296" t="s">
        <v>364</v>
      </c>
      <c r="D385" s="296" t="s">
        <v>353</v>
      </c>
      <c r="E385" s="296" t="s">
        <v>171</v>
      </c>
      <c r="F385" s="296" t="s">
        <v>96</v>
      </c>
      <c r="G385" s="296" t="s">
        <v>19</v>
      </c>
      <c r="H385" s="296" t="s">
        <v>20</v>
      </c>
      <c r="I385" s="296" t="s">
        <v>165</v>
      </c>
      <c r="J385" s="296"/>
      <c r="K385" s="296" t="s">
        <v>169</v>
      </c>
      <c r="L385" s="296">
        <v>50</v>
      </c>
      <c r="M385" s="296" t="s">
        <v>170</v>
      </c>
      <c r="N385" s="297">
        <v>1190</v>
      </c>
      <c r="O385" s="297">
        <v>1190</v>
      </c>
      <c r="P385" s="297">
        <v>6000</v>
      </c>
      <c r="Q385" s="296">
        <v>2</v>
      </c>
      <c r="R385" s="296">
        <v>30</v>
      </c>
      <c r="S385" s="296" t="s">
        <v>354</v>
      </c>
      <c r="T385" s="298">
        <v>45037</v>
      </c>
      <c r="U385" s="298">
        <v>45061</v>
      </c>
      <c r="V385" s="296" t="s">
        <v>355</v>
      </c>
      <c r="W385" s="296"/>
      <c r="X385" s="296"/>
      <c r="Y385" s="252"/>
      <c r="Z385" s="149" t="str">
        <f t="shared" ca="1" si="5"/>
        <v/>
      </c>
      <c r="AA385" s="149" t="str">
        <f ca="1">IFERROR(IF(OR(OFFSET('S4'!#REF!,MATCH($A385,'S4'!$D$5:$D$3387,0)-1,6)="巻返し",OFFSET('S4'!#REF!,MATCH($A385,'S4'!$D$5:$D$3387,0)-1,6)="スリット"),SUMIF('S4'!$D$5:$D$3387,$A385,'S4'!$U$5:$U$3387),""),"")</f>
        <v/>
      </c>
      <c r="AB385" s="149" t="str">
        <f ca="1">IFERROR(IF(OR(OFFSET('S5'!#REF!,MATCH($A385,'S5'!$D$5:$D$2917,0)-1,6)="巻返し",OFFSET('S5'!#REF!,MATCH($A385,'S5'!$D$5:$D$2917,0)-1,6)="スリット"),SUMIF('S5'!$D$5:$D$2917,$A385,'S5'!$T$5:$T$2917),""),"")</f>
        <v/>
      </c>
    </row>
    <row r="386" spans="1:28" s="144" customFormat="1" ht="13.5" x14ac:dyDescent="0.15">
      <c r="A386" s="296">
        <v>3708696</v>
      </c>
      <c r="B386" s="296" t="s">
        <v>351</v>
      </c>
      <c r="C386" s="296" t="s">
        <v>356</v>
      </c>
      <c r="D386" s="296" t="s">
        <v>353</v>
      </c>
      <c r="E386" s="296" t="s">
        <v>229</v>
      </c>
      <c r="F386" s="296">
        <v>3</v>
      </c>
      <c r="G386" s="296" t="s">
        <v>19</v>
      </c>
      <c r="H386" s="296" t="s">
        <v>20</v>
      </c>
      <c r="I386" s="296" t="s">
        <v>205</v>
      </c>
      <c r="J386" s="296"/>
      <c r="K386" s="296" t="s">
        <v>230</v>
      </c>
      <c r="L386" s="296">
        <v>25</v>
      </c>
      <c r="M386" s="296" t="s">
        <v>231</v>
      </c>
      <c r="N386" s="297">
        <v>1000</v>
      </c>
      <c r="O386" s="297">
        <v>1000</v>
      </c>
      <c r="P386" s="297">
        <v>2000</v>
      </c>
      <c r="Q386" s="296">
        <v>2</v>
      </c>
      <c r="R386" s="296">
        <v>6</v>
      </c>
      <c r="S386" s="296" t="s">
        <v>354</v>
      </c>
      <c r="T386" s="298">
        <v>45037</v>
      </c>
      <c r="U386" s="298">
        <v>45061</v>
      </c>
      <c r="V386" s="296" t="s">
        <v>355</v>
      </c>
      <c r="W386" s="296"/>
      <c r="X386" s="296"/>
      <c r="Y386" s="252"/>
      <c r="Z386" s="149" t="str">
        <f t="shared" ca="1" si="5"/>
        <v/>
      </c>
      <c r="AA386" s="149" t="str">
        <f ca="1">IFERROR(IF(OR(OFFSET('S4'!#REF!,MATCH($A386,'S4'!$D$5:$D$3387,0)-1,6)="巻返し",OFFSET('S4'!#REF!,MATCH($A386,'S4'!$D$5:$D$3387,0)-1,6)="スリット"),SUMIF('S4'!$D$5:$D$3387,$A386,'S4'!$U$5:$U$3387),""),"")</f>
        <v/>
      </c>
      <c r="AB386" s="149" t="str">
        <f ca="1">IFERROR(IF(OR(OFFSET('S5'!#REF!,MATCH($A386,'S5'!$D$5:$D$2917,0)-1,6)="巻返し",OFFSET('S5'!#REF!,MATCH($A386,'S5'!$D$5:$D$2917,0)-1,6)="スリット"),SUMIF('S5'!$D$5:$D$2917,$A386,'S5'!$T$5:$T$2917),""),"")</f>
        <v/>
      </c>
    </row>
    <row r="387" spans="1:28" s="144" customFormat="1" ht="13.5" x14ac:dyDescent="0.15">
      <c r="A387" s="296">
        <v>3708697</v>
      </c>
      <c r="B387" s="296" t="s">
        <v>351</v>
      </c>
      <c r="C387" s="296" t="s">
        <v>356</v>
      </c>
      <c r="D387" s="296" t="s">
        <v>353</v>
      </c>
      <c r="E387" s="296" t="s">
        <v>17</v>
      </c>
      <c r="F387" s="296">
        <v>3</v>
      </c>
      <c r="G387" s="296" t="s">
        <v>19</v>
      </c>
      <c r="H387" s="296" t="s">
        <v>20</v>
      </c>
      <c r="I387" s="296" t="s">
        <v>205</v>
      </c>
      <c r="J387" s="296"/>
      <c r="K387" s="296" t="s">
        <v>242</v>
      </c>
      <c r="L387" s="296">
        <v>75</v>
      </c>
      <c r="M387" s="296" t="s">
        <v>243</v>
      </c>
      <c r="N387" s="297">
        <v>1000</v>
      </c>
      <c r="O387" s="297">
        <v>1000</v>
      </c>
      <c r="P387" s="297">
        <v>1000</v>
      </c>
      <c r="Q387" s="296">
        <v>2</v>
      </c>
      <c r="R387" s="296">
        <v>2</v>
      </c>
      <c r="S387" s="296" t="s">
        <v>354</v>
      </c>
      <c r="T387" s="298">
        <v>45037</v>
      </c>
      <c r="U387" s="298">
        <v>45061</v>
      </c>
      <c r="V387" s="296" t="s">
        <v>355</v>
      </c>
      <c r="W387" s="296"/>
      <c r="X387" s="296"/>
      <c r="Y387" s="252"/>
      <c r="Z387" s="149" t="str">
        <f t="shared" ca="1" si="5"/>
        <v/>
      </c>
      <c r="AA387" s="149" t="str">
        <f ca="1">IFERROR(IF(OR(OFFSET('S4'!#REF!,MATCH($A387,'S4'!$D$5:$D$3387,0)-1,6)="巻返し",OFFSET('S4'!#REF!,MATCH($A387,'S4'!$D$5:$D$3387,0)-1,6)="スリット"),SUMIF('S4'!$D$5:$D$3387,$A387,'S4'!$U$5:$U$3387),""),"")</f>
        <v/>
      </c>
      <c r="AB387" s="149" t="str">
        <f ca="1">IFERROR(IF(OR(OFFSET('S5'!#REF!,MATCH($A387,'S5'!$D$5:$D$2917,0)-1,6)="巻返し",OFFSET('S5'!#REF!,MATCH($A387,'S5'!$D$5:$D$2917,0)-1,6)="スリット"),SUMIF('S5'!$D$5:$D$2917,$A387,'S5'!$T$5:$T$2917),""),"")</f>
        <v/>
      </c>
    </row>
    <row r="388" spans="1:28" s="144" customFormat="1" ht="13.5" x14ac:dyDescent="0.15">
      <c r="A388" s="296">
        <v>3708703</v>
      </c>
      <c r="B388" s="296" t="s">
        <v>351</v>
      </c>
      <c r="C388" s="296" t="s">
        <v>364</v>
      </c>
      <c r="D388" s="296" t="s">
        <v>353</v>
      </c>
      <c r="E388" s="296" t="s">
        <v>148</v>
      </c>
      <c r="F388" s="296">
        <v>3</v>
      </c>
      <c r="G388" s="296" t="s">
        <v>19</v>
      </c>
      <c r="H388" s="296" t="s">
        <v>20</v>
      </c>
      <c r="I388" s="296" t="s">
        <v>143</v>
      </c>
      <c r="J388" s="296"/>
      <c r="K388" s="296" t="s">
        <v>149</v>
      </c>
      <c r="L388" s="296">
        <v>25</v>
      </c>
      <c r="M388" s="296" t="s">
        <v>150</v>
      </c>
      <c r="N388" s="297">
        <v>1120</v>
      </c>
      <c r="O388" s="297">
        <v>1120</v>
      </c>
      <c r="P388" s="297">
        <v>6000</v>
      </c>
      <c r="Q388" s="296">
        <v>2</v>
      </c>
      <c r="R388" s="296">
        <v>4</v>
      </c>
      <c r="S388" s="296" t="s">
        <v>354</v>
      </c>
      <c r="T388" s="298">
        <v>45037</v>
      </c>
      <c r="U388" s="298">
        <v>45061</v>
      </c>
      <c r="V388" s="296" t="s">
        <v>355</v>
      </c>
      <c r="W388" s="296"/>
      <c r="X388" s="296"/>
      <c r="Y388" s="252"/>
      <c r="Z388" s="149" t="str">
        <f t="shared" ref="Z388:Z451" ca="1" si="6">IF(SUM(AA388:AB388)=0,"",SUM(AA388:AB388))</f>
        <v/>
      </c>
      <c r="AA388" s="149" t="str">
        <f ca="1">IFERROR(IF(OR(OFFSET('S4'!#REF!,MATCH($A388,'S4'!$D$5:$D$3387,0)-1,6)="巻返し",OFFSET('S4'!#REF!,MATCH($A388,'S4'!$D$5:$D$3387,0)-1,6)="スリット"),SUMIF('S4'!$D$5:$D$3387,$A388,'S4'!$U$5:$U$3387),""),"")</f>
        <v/>
      </c>
      <c r="AB388" s="149" t="str">
        <f ca="1">IFERROR(IF(OR(OFFSET('S5'!#REF!,MATCH($A388,'S5'!$D$5:$D$2917,0)-1,6)="巻返し",OFFSET('S5'!#REF!,MATCH($A388,'S5'!$D$5:$D$2917,0)-1,6)="スリット"),SUMIF('S5'!$D$5:$D$2917,$A388,'S5'!$T$5:$T$2917),""),"")</f>
        <v/>
      </c>
    </row>
    <row r="389" spans="1:28" s="144" customFormat="1" ht="13.5" x14ac:dyDescent="0.15">
      <c r="A389" s="296">
        <v>3708704</v>
      </c>
      <c r="B389" s="296" t="s">
        <v>351</v>
      </c>
      <c r="C389" s="296" t="s">
        <v>364</v>
      </c>
      <c r="D389" s="296" t="s">
        <v>353</v>
      </c>
      <c r="E389" s="296" t="s">
        <v>148</v>
      </c>
      <c r="F389" s="296">
        <v>3</v>
      </c>
      <c r="G389" s="296" t="s">
        <v>19</v>
      </c>
      <c r="H389" s="296" t="s">
        <v>20</v>
      </c>
      <c r="I389" s="296" t="s">
        <v>143</v>
      </c>
      <c r="J389" s="296"/>
      <c r="K389" s="296" t="s">
        <v>149</v>
      </c>
      <c r="L389" s="296">
        <v>50</v>
      </c>
      <c r="M389" s="296" t="s">
        <v>150</v>
      </c>
      <c r="N389" s="297">
        <v>1120</v>
      </c>
      <c r="O389" s="297">
        <v>1120</v>
      </c>
      <c r="P389" s="297">
        <v>6000</v>
      </c>
      <c r="Q389" s="296">
        <v>2</v>
      </c>
      <c r="R389" s="296">
        <v>8</v>
      </c>
      <c r="S389" s="296" t="s">
        <v>354</v>
      </c>
      <c r="T389" s="298">
        <v>45037</v>
      </c>
      <c r="U389" s="298">
        <v>45061</v>
      </c>
      <c r="V389" s="296" t="s">
        <v>355</v>
      </c>
      <c r="W389" s="296"/>
      <c r="X389" s="296"/>
      <c r="Y389" s="252"/>
      <c r="Z389" s="149" t="str">
        <f t="shared" ca="1" si="6"/>
        <v/>
      </c>
      <c r="AA389" s="149" t="str">
        <f ca="1">IFERROR(IF(OR(OFFSET('S4'!#REF!,MATCH($A389,'S4'!$D$5:$D$3387,0)-1,6)="巻返し",OFFSET('S4'!#REF!,MATCH($A389,'S4'!$D$5:$D$3387,0)-1,6)="スリット"),SUMIF('S4'!$D$5:$D$3387,$A389,'S4'!$U$5:$U$3387),""),"")</f>
        <v/>
      </c>
      <c r="AB389" s="149" t="str">
        <f ca="1">IFERROR(IF(OR(OFFSET('S5'!#REF!,MATCH($A389,'S5'!$D$5:$D$2917,0)-1,6)="巻返し",OFFSET('S5'!#REF!,MATCH($A389,'S5'!$D$5:$D$2917,0)-1,6)="スリット"),SUMIF('S5'!$D$5:$D$2917,$A389,'S5'!$T$5:$T$2917),""),"")</f>
        <v/>
      </c>
    </row>
    <row r="390" spans="1:28" s="144" customFormat="1" ht="13.5" x14ac:dyDescent="0.15">
      <c r="A390" s="296">
        <v>3708705</v>
      </c>
      <c r="B390" s="296" t="s">
        <v>351</v>
      </c>
      <c r="C390" s="296" t="s">
        <v>352</v>
      </c>
      <c r="D390" s="296" t="s">
        <v>353</v>
      </c>
      <c r="E390" s="296" t="s">
        <v>116</v>
      </c>
      <c r="F390" s="296">
        <v>3</v>
      </c>
      <c r="G390" s="296" t="s">
        <v>19</v>
      </c>
      <c r="H390" s="296" t="s">
        <v>20</v>
      </c>
      <c r="I390" s="296" t="s">
        <v>205</v>
      </c>
      <c r="J390" s="296"/>
      <c r="K390" s="296" t="s">
        <v>212</v>
      </c>
      <c r="L390" s="296">
        <v>25</v>
      </c>
      <c r="M390" s="296" t="s">
        <v>213</v>
      </c>
      <c r="N390" s="297">
        <v>1120</v>
      </c>
      <c r="O390" s="297">
        <v>1120</v>
      </c>
      <c r="P390" s="297">
        <v>4000</v>
      </c>
      <c r="Q390" s="296">
        <v>2</v>
      </c>
      <c r="R390" s="296">
        <v>9</v>
      </c>
      <c r="S390" s="296" t="s">
        <v>354</v>
      </c>
      <c r="T390" s="298">
        <v>45037</v>
      </c>
      <c r="U390" s="298">
        <v>45069</v>
      </c>
      <c r="V390" s="296" t="s">
        <v>355</v>
      </c>
      <c r="W390" s="296"/>
      <c r="X390" s="296"/>
      <c r="Y390" s="252"/>
      <c r="Z390" s="149" t="str">
        <f t="shared" ca="1" si="6"/>
        <v/>
      </c>
      <c r="AA390" s="149" t="str">
        <f ca="1">IFERROR(IF(OR(OFFSET('S4'!#REF!,MATCH($A390,'S4'!$D$5:$D$3387,0)-1,6)="巻返し",OFFSET('S4'!#REF!,MATCH($A390,'S4'!$D$5:$D$3387,0)-1,6)="スリット"),SUMIF('S4'!$D$5:$D$3387,$A390,'S4'!$U$5:$U$3387),""),"")</f>
        <v/>
      </c>
      <c r="AB390" s="149" t="str">
        <f ca="1">IFERROR(IF(OR(OFFSET('S5'!#REF!,MATCH($A390,'S5'!$D$5:$D$2917,0)-1,6)="巻返し",OFFSET('S5'!#REF!,MATCH($A390,'S5'!$D$5:$D$2917,0)-1,6)="スリット"),SUMIF('S5'!$D$5:$D$2917,$A390,'S5'!$T$5:$T$2917),""),"")</f>
        <v/>
      </c>
    </row>
    <row r="391" spans="1:28" s="144" customFormat="1" ht="13.5" x14ac:dyDescent="0.15">
      <c r="A391" s="296">
        <v>3708706</v>
      </c>
      <c r="B391" s="296" t="s">
        <v>351</v>
      </c>
      <c r="C391" s="296" t="s">
        <v>352</v>
      </c>
      <c r="D391" s="296" t="s">
        <v>353</v>
      </c>
      <c r="E391" s="296" t="s">
        <v>116</v>
      </c>
      <c r="F391" s="296">
        <v>3</v>
      </c>
      <c r="G391" s="296" t="s">
        <v>19</v>
      </c>
      <c r="H391" s="296" t="s">
        <v>20</v>
      </c>
      <c r="I391" s="296" t="s">
        <v>205</v>
      </c>
      <c r="J391" s="296"/>
      <c r="K391" s="296" t="s">
        <v>212</v>
      </c>
      <c r="L391" s="296">
        <v>50</v>
      </c>
      <c r="M391" s="296" t="s">
        <v>213</v>
      </c>
      <c r="N391" s="297">
        <v>1120</v>
      </c>
      <c r="O391" s="297">
        <v>1120</v>
      </c>
      <c r="P391" s="297">
        <v>4000</v>
      </c>
      <c r="Q391" s="296">
        <v>2</v>
      </c>
      <c r="R391" s="296">
        <v>16</v>
      </c>
      <c r="S391" s="296" t="s">
        <v>354</v>
      </c>
      <c r="T391" s="298">
        <v>45037</v>
      </c>
      <c r="U391" s="298">
        <v>45070</v>
      </c>
      <c r="V391" s="296" t="s">
        <v>355</v>
      </c>
      <c r="W391" s="296"/>
      <c r="X391" s="296"/>
      <c r="Y391" s="252"/>
      <c r="Z391" s="149" t="str">
        <f t="shared" ca="1" si="6"/>
        <v/>
      </c>
      <c r="AA391" s="149" t="str">
        <f ca="1">IFERROR(IF(OR(OFFSET('S4'!#REF!,MATCH($A391,'S4'!$D$5:$D$3387,0)-1,6)="巻返し",OFFSET('S4'!#REF!,MATCH($A391,'S4'!$D$5:$D$3387,0)-1,6)="スリット"),SUMIF('S4'!$D$5:$D$3387,$A391,'S4'!$U$5:$U$3387),""),"")</f>
        <v/>
      </c>
      <c r="AB391" s="149" t="str">
        <f ca="1">IFERROR(IF(OR(OFFSET('S5'!#REF!,MATCH($A391,'S5'!$D$5:$D$2917,0)-1,6)="巻返し",OFFSET('S5'!#REF!,MATCH($A391,'S5'!$D$5:$D$2917,0)-1,6)="スリット"),SUMIF('S5'!$D$5:$D$2917,$A391,'S5'!$T$5:$T$2917),""),"")</f>
        <v/>
      </c>
    </row>
    <row r="392" spans="1:28" s="144" customFormat="1" ht="13.5" x14ac:dyDescent="0.15">
      <c r="A392" s="296">
        <v>3708707</v>
      </c>
      <c r="B392" s="296" t="s">
        <v>351</v>
      </c>
      <c r="C392" s="296" t="s">
        <v>352</v>
      </c>
      <c r="D392" s="296" t="s">
        <v>353</v>
      </c>
      <c r="E392" s="296" t="s">
        <v>116</v>
      </c>
      <c r="F392" s="296">
        <v>3</v>
      </c>
      <c r="G392" s="296" t="s">
        <v>19</v>
      </c>
      <c r="H392" s="296" t="s">
        <v>20</v>
      </c>
      <c r="I392" s="296" t="s">
        <v>205</v>
      </c>
      <c r="J392" s="296"/>
      <c r="K392" s="296" t="s">
        <v>211</v>
      </c>
      <c r="L392" s="296">
        <v>50</v>
      </c>
      <c r="M392" s="296" t="s">
        <v>370</v>
      </c>
      <c r="N392" s="297">
        <v>1050</v>
      </c>
      <c r="O392" s="297">
        <v>1050</v>
      </c>
      <c r="P392" s="297">
        <v>4100</v>
      </c>
      <c r="Q392" s="296">
        <v>2</v>
      </c>
      <c r="R392" s="296">
        <v>4</v>
      </c>
      <c r="S392" s="296" t="s">
        <v>354</v>
      </c>
      <c r="T392" s="298">
        <v>45037</v>
      </c>
      <c r="U392" s="298">
        <v>45068</v>
      </c>
      <c r="V392" s="296" t="s">
        <v>355</v>
      </c>
      <c r="W392" s="296"/>
      <c r="X392" s="296"/>
      <c r="Y392" s="252"/>
      <c r="Z392" s="149" t="str">
        <f t="shared" ca="1" si="6"/>
        <v/>
      </c>
      <c r="AA392" s="149" t="str">
        <f ca="1">IFERROR(IF(OR(OFFSET('S4'!#REF!,MATCH($A392,'S4'!$D$5:$D$3387,0)-1,6)="巻返し",OFFSET('S4'!#REF!,MATCH($A392,'S4'!$D$5:$D$3387,0)-1,6)="スリット"),SUMIF('S4'!$D$5:$D$3387,$A392,'S4'!$U$5:$U$3387),""),"")</f>
        <v/>
      </c>
      <c r="AB392" s="149" t="str">
        <f ca="1">IFERROR(IF(OR(OFFSET('S5'!#REF!,MATCH($A392,'S5'!$D$5:$D$2917,0)-1,6)="巻返し",OFFSET('S5'!#REF!,MATCH($A392,'S5'!$D$5:$D$2917,0)-1,6)="スリット"),SUMIF('S5'!$D$5:$D$2917,$A392,'S5'!$T$5:$T$2917),""),"")</f>
        <v/>
      </c>
    </row>
    <row r="393" spans="1:28" s="144" customFormat="1" ht="13.5" x14ac:dyDescent="0.15">
      <c r="A393" s="296">
        <v>3708708</v>
      </c>
      <c r="B393" s="296" t="s">
        <v>351</v>
      </c>
      <c r="C393" s="296" t="s">
        <v>352</v>
      </c>
      <c r="D393" s="296" t="s">
        <v>353</v>
      </c>
      <c r="E393" s="296" t="s">
        <v>116</v>
      </c>
      <c r="F393" s="296">
        <v>3</v>
      </c>
      <c r="G393" s="296" t="s">
        <v>19</v>
      </c>
      <c r="H393" s="296" t="s">
        <v>20</v>
      </c>
      <c r="I393" s="296" t="s">
        <v>205</v>
      </c>
      <c r="J393" s="296"/>
      <c r="K393" s="296" t="s">
        <v>211</v>
      </c>
      <c r="L393" s="296">
        <v>75</v>
      </c>
      <c r="M393" s="296" t="s">
        <v>370</v>
      </c>
      <c r="N393" s="297">
        <v>1050</v>
      </c>
      <c r="O393" s="297">
        <v>1050</v>
      </c>
      <c r="P393" s="297">
        <v>2000</v>
      </c>
      <c r="Q393" s="296">
        <v>2</v>
      </c>
      <c r="R393" s="296">
        <v>3</v>
      </c>
      <c r="S393" s="296" t="s">
        <v>354</v>
      </c>
      <c r="T393" s="298">
        <v>45037</v>
      </c>
      <c r="U393" s="298">
        <v>45068</v>
      </c>
      <c r="V393" s="296" t="s">
        <v>355</v>
      </c>
      <c r="W393" s="296"/>
      <c r="X393" s="296"/>
      <c r="Y393" s="252"/>
      <c r="Z393" s="149" t="str">
        <f t="shared" ca="1" si="6"/>
        <v/>
      </c>
      <c r="AA393" s="149" t="str">
        <f ca="1">IFERROR(IF(OR(OFFSET('S4'!#REF!,MATCH($A393,'S4'!$D$5:$D$3387,0)-1,6)="巻返し",OFFSET('S4'!#REF!,MATCH($A393,'S4'!$D$5:$D$3387,0)-1,6)="スリット"),SUMIF('S4'!$D$5:$D$3387,$A393,'S4'!$U$5:$U$3387),""),"")</f>
        <v/>
      </c>
      <c r="AB393" s="149" t="str">
        <f ca="1">IFERROR(IF(OR(OFFSET('S5'!#REF!,MATCH($A393,'S5'!$D$5:$D$2917,0)-1,6)="巻返し",OFFSET('S5'!#REF!,MATCH($A393,'S5'!$D$5:$D$2917,0)-1,6)="スリット"),SUMIF('S5'!$D$5:$D$2917,$A393,'S5'!$T$5:$T$2917),""),"")</f>
        <v/>
      </c>
    </row>
    <row r="394" spans="1:28" s="144" customFormat="1" ht="13.5" x14ac:dyDescent="0.15">
      <c r="A394" s="296">
        <v>3708709</v>
      </c>
      <c r="B394" s="296" t="s">
        <v>351</v>
      </c>
      <c r="C394" s="296" t="s">
        <v>352</v>
      </c>
      <c r="D394" s="296" t="s">
        <v>353</v>
      </c>
      <c r="E394" s="296" t="s">
        <v>116</v>
      </c>
      <c r="F394" s="296">
        <v>3</v>
      </c>
      <c r="G394" s="296" t="s">
        <v>19</v>
      </c>
      <c r="H394" s="296" t="s">
        <v>20</v>
      </c>
      <c r="I394" s="296" t="s">
        <v>205</v>
      </c>
      <c r="J394" s="296"/>
      <c r="K394" s="296" t="s">
        <v>216</v>
      </c>
      <c r="L394" s="296">
        <v>25</v>
      </c>
      <c r="M394" s="296" t="s">
        <v>217</v>
      </c>
      <c r="N394" s="297">
        <v>1005</v>
      </c>
      <c r="O394" s="297">
        <v>1000</v>
      </c>
      <c r="P394" s="297">
        <v>4000</v>
      </c>
      <c r="Q394" s="296">
        <v>2</v>
      </c>
      <c r="R394" s="296">
        <v>12</v>
      </c>
      <c r="S394" s="296" t="s">
        <v>354</v>
      </c>
      <c r="T394" s="298">
        <v>45037</v>
      </c>
      <c r="U394" s="298">
        <v>45069</v>
      </c>
      <c r="V394" s="296" t="s">
        <v>355</v>
      </c>
      <c r="W394" s="296"/>
      <c r="X394" s="296"/>
      <c r="Y394" s="252"/>
      <c r="Z394" s="149" t="str">
        <f t="shared" ca="1" si="6"/>
        <v/>
      </c>
      <c r="AA394" s="149" t="str">
        <f ca="1">IFERROR(IF(OR(OFFSET('S4'!#REF!,MATCH($A394,'S4'!$D$5:$D$3387,0)-1,6)="巻返し",OFFSET('S4'!#REF!,MATCH($A394,'S4'!$D$5:$D$3387,0)-1,6)="スリット"),SUMIF('S4'!$D$5:$D$3387,$A394,'S4'!$U$5:$U$3387),""),"")</f>
        <v/>
      </c>
      <c r="AB394" s="149" t="str">
        <f ca="1">IFERROR(IF(OR(OFFSET('S5'!#REF!,MATCH($A394,'S5'!$D$5:$D$2917,0)-1,6)="巻返し",OFFSET('S5'!#REF!,MATCH($A394,'S5'!$D$5:$D$2917,0)-1,6)="スリット"),SUMIF('S5'!$D$5:$D$2917,$A394,'S5'!$T$5:$T$2917),""),"")</f>
        <v/>
      </c>
    </row>
    <row r="395" spans="1:28" s="144" customFormat="1" ht="13.5" x14ac:dyDescent="0.15">
      <c r="A395" s="296">
        <v>3708710</v>
      </c>
      <c r="B395" s="296" t="s">
        <v>351</v>
      </c>
      <c r="C395" s="296" t="s">
        <v>352</v>
      </c>
      <c r="D395" s="296" t="s">
        <v>353</v>
      </c>
      <c r="E395" s="296" t="s">
        <v>116</v>
      </c>
      <c r="F395" s="296">
        <v>3</v>
      </c>
      <c r="G395" s="296" t="s">
        <v>19</v>
      </c>
      <c r="H395" s="296" t="s">
        <v>20</v>
      </c>
      <c r="I395" s="296" t="s">
        <v>205</v>
      </c>
      <c r="J395" s="296"/>
      <c r="K395" s="296" t="s">
        <v>216</v>
      </c>
      <c r="L395" s="296">
        <v>25</v>
      </c>
      <c r="M395" s="296" t="s">
        <v>217</v>
      </c>
      <c r="N395" s="297">
        <v>1125</v>
      </c>
      <c r="O395" s="297">
        <v>1120</v>
      </c>
      <c r="P395" s="297">
        <v>4000</v>
      </c>
      <c r="Q395" s="296">
        <v>2</v>
      </c>
      <c r="R395" s="296">
        <v>3</v>
      </c>
      <c r="S395" s="296" t="s">
        <v>354</v>
      </c>
      <c r="T395" s="298">
        <v>45037</v>
      </c>
      <c r="U395" s="298">
        <v>45069</v>
      </c>
      <c r="V395" s="296" t="s">
        <v>355</v>
      </c>
      <c r="W395" s="296"/>
      <c r="X395" s="296"/>
      <c r="Y395" s="252"/>
      <c r="Z395" s="149" t="str">
        <f t="shared" ca="1" si="6"/>
        <v/>
      </c>
      <c r="AA395" s="149" t="str">
        <f ca="1">IFERROR(IF(OR(OFFSET('S4'!#REF!,MATCH($A395,'S4'!$D$5:$D$3387,0)-1,6)="巻返し",OFFSET('S4'!#REF!,MATCH($A395,'S4'!$D$5:$D$3387,0)-1,6)="スリット"),SUMIF('S4'!$D$5:$D$3387,$A395,'S4'!$U$5:$U$3387),""),"")</f>
        <v/>
      </c>
      <c r="AB395" s="149" t="str">
        <f ca="1">IFERROR(IF(OR(OFFSET('S5'!#REF!,MATCH($A395,'S5'!$D$5:$D$2917,0)-1,6)="巻返し",OFFSET('S5'!#REF!,MATCH($A395,'S5'!$D$5:$D$2917,0)-1,6)="スリット"),SUMIF('S5'!$D$5:$D$2917,$A395,'S5'!$T$5:$T$2917),""),"")</f>
        <v/>
      </c>
    </row>
    <row r="396" spans="1:28" s="144" customFormat="1" ht="13.5" x14ac:dyDescent="0.15">
      <c r="A396" s="296">
        <v>3708711</v>
      </c>
      <c r="B396" s="296" t="s">
        <v>351</v>
      </c>
      <c r="C396" s="296" t="s">
        <v>352</v>
      </c>
      <c r="D396" s="296" t="s">
        <v>353</v>
      </c>
      <c r="E396" s="296" t="s">
        <v>116</v>
      </c>
      <c r="F396" s="296">
        <v>3</v>
      </c>
      <c r="G396" s="296" t="s">
        <v>19</v>
      </c>
      <c r="H396" s="296" t="s">
        <v>20</v>
      </c>
      <c r="I396" s="296" t="s">
        <v>205</v>
      </c>
      <c r="J396" s="296"/>
      <c r="K396" s="296" t="s">
        <v>216</v>
      </c>
      <c r="L396" s="296">
        <v>50</v>
      </c>
      <c r="M396" s="296" t="s">
        <v>217</v>
      </c>
      <c r="N396" s="297">
        <v>1120</v>
      </c>
      <c r="O396" s="297">
        <v>1120</v>
      </c>
      <c r="P396" s="297">
        <v>5000</v>
      </c>
      <c r="Q396" s="296">
        <v>2</v>
      </c>
      <c r="R396" s="296">
        <v>15</v>
      </c>
      <c r="S396" s="296" t="s">
        <v>354</v>
      </c>
      <c r="T396" s="298">
        <v>45037</v>
      </c>
      <c r="U396" s="298">
        <v>45077</v>
      </c>
      <c r="V396" s="296" t="s">
        <v>355</v>
      </c>
      <c r="W396" s="296"/>
      <c r="X396" s="296"/>
      <c r="Y396" s="252"/>
      <c r="Z396" s="149" t="str">
        <f t="shared" ca="1" si="6"/>
        <v/>
      </c>
      <c r="AA396" s="149" t="str">
        <f ca="1">IFERROR(IF(OR(OFFSET('S4'!#REF!,MATCH($A396,'S4'!$D$5:$D$3387,0)-1,6)="巻返し",OFFSET('S4'!#REF!,MATCH($A396,'S4'!$D$5:$D$3387,0)-1,6)="スリット"),SUMIF('S4'!$D$5:$D$3387,$A396,'S4'!$U$5:$U$3387),""),"")</f>
        <v/>
      </c>
      <c r="AB396" s="149" t="str">
        <f ca="1">IFERROR(IF(OR(OFFSET('S5'!#REF!,MATCH($A396,'S5'!$D$5:$D$2917,0)-1,6)="巻返し",OFFSET('S5'!#REF!,MATCH($A396,'S5'!$D$5:$D$2917,0)-1,6)="スリット"),SUMIF('S5'!$D$5:$D$2917,$A396,'S5'!$T$5:$T$2917),""),"")</f>
        <v/>
      </c>
    </row>
    <row r="397" spans="1:28" s="144" customFormat="1" ht="13.5" x14ac:dyDescent="0.15">
      <c r="A397" s="296">
        <v>3708712</v>
      </c>
      <c r="B397" s="296" t="s">
        <v>351</v>
      </c>
      <c r="C397" s="296" t="s">
        <v>352</v>
      </c>
      <c r="D397" s="296" t="s">
        <v>353</v>
      </c>
      <c r="E397" s="296" t="s">
        <v>116</v>
      </c>
      <c r="F397" s="296">
        <v>3</v>
      </c>
      <c r="G397" s="296" t="s">
        <v>19</v>
      </c>
      <c r="H397" s="296" t="s">
        <v>20</v>
      </c>
      <c r="I397" s="296" t="s">
        <v>205</v>
      </c>
      <c r="J397" s="296"/>
      <c r="K397" s="296" t="s">
        <v>216</v>
      </c>
      <c r="L397" s="296">
        <v>50</v>
      </c>
      <c r="M397" s="296" t="s">
        <v>217</v>
      </c>
      <c r="N397" s="297">
        <v>1120</v>
      </c>
      <c r="O397" s="297">
        <v>1120</v>
      </c>
      <c r="P397" s="297">
        <v>5000</v>
      </c>
      <c r="Q397" s="296">
        <v>2</v>
      </c>
      <c r="R397" s="296">
        <v>14</v>
      </c>
      <c r="S397" s="296" t="s">
        <v>354</v>
      </c>
      <c r="T397" s="298">
        <v>45037</v>
      </c>
      <c r="U397" s="298">
        <v>45085</v>
      </c>
      <c r="V397" s="296" t="s">
        <v>355</v>
      </c>
      <c r="W397" s="296"/>
      <c r="X397" s="296"/>
      <c r="Y397" s="252"/>
      <c r="Z397" s="149" t="str">
        <f t="shared" ca="1" si="6"/>
        <v/>
      </c>
      <c r="AA397" s="149" t="str">
        <f ca="1">IFERROR(IF(OR(OFFSET('S4'!#REF!,MATCH($A397,'S4'!$D$5:$D$3387,0)-1,6)="巻返し",OFFSET('S4'!#REF!,MATCH($A397,'S4'!$D$5:$D$3387,0)-1,6)="スリット"),SUMIF('S4'!$D$5:$D$3387,$A397,'S4'!$U$5:$U$3387),""),"")</f>
        <v/>
      </c>
      <c r="AB397" s="149" t="str">
        <f ca="1">IFERROR(IF(OR(OFFSET('S5'!#REF!,MATCH($A397,'S5'!$D$5:$D$2917,0)-1,6)="巻返し",OFFSET('S5'!#REF!,MATCH($A397,'S5'!$D$5:$D$2917,0)-1,6)="スリット"),SUMIF('S5'!$D$5:$D$2917,$A397,'S5'!$T$5:$T$2917),""),"")</f>
        <v/>
      </c>
    </row>
    <row r="398" spans="1:28" s="144" customFormat="1" ht="13.5" x14ac:dyDescent="0.15">
      <c r="A398" s="296">
        <v>3708713</v>
      </c>
      <c r="B398" s="296" t="s">
        <v>351</v>
      </c>
      <c r="C398" s="296" t="s">
        <v>352</v>
      </c>
      <c r="D398" s="296" t="s">
        <v>353</v>
      </c>
      <c r="E398" s="296" t="s">
        <v>116</v>
      </c>
      <c r="F398" s="296">
        <v>3</v>
      </c>
      <c r="G398" s="296" t="s">
        <v>19</v>
      </c>
      <c r="H398" s="296" t="s">
        <v>20</v>
      </c>
      <c r="I398" s="296" t="s">
        <v>205</v>
      </c>
      <c r="J398" s="296"/>
      <c r="K398" s="296" t="s">
        <v>216</v>
      </c>
      <c r="L398" s="296">
        <v>50</v>
      </c>
      <c r="M398" s="296" t="s">
        <v>217</v>
      </c>
      <c r="N398" s="297">
        <v>1120</v>
      </c>
      <c r="O398" s="297">
        <v>1120</v>
      </c>
      <c r="P398" s="297">
        <v>5000</v>
      </c>
      <c r="Q398" s="296">
        <v>2</v>
      </c>
      <c r="R398" s="296">
        <v>1</v>
      </c>
      <c r="S398" s="296" t="s">
        <v>354</v>
      </c>
      <c r="T398" s="298">
        <v>45037</v>
      </c>
      <c r="U398" s="298">
        <v>45085</v>
      </c>
      <c r="V398" s="296" t="s">
        <v>355</v>
      </c>
      <c r="W398" s="296"/>
      <c r="X398" s="296"/>
      <c r="Y398" s="252"/>
      <c r="Z398" s="149" t="str">
        <f t="shared" ca="1" si="6"/>
        <v/>
      </c>
      <c r="AA398" s="149" t="str">
        <f ca="1">IFERROR(IF(OR(OFFSET('S4'!#REF!,MATCH($A398,'S4'!$D$5:$D$3387,0)-1,6)="巻返し",OFFSET('S4'!#REF!,MATCH($A398,'S4'!$D$5:$D$3387,0)-1,6)="スリット"),SUMIF('S4'!$D$5:$D$3387,$A398,'S4'!$U$5:$U$3387),""),"")</f>
        <v/>
      </c>
      <c r="AB398" s="149" t="str">
        <f ca="1">IFERROR(IF(OR(OFFSET('S5'!#REF!,MATCH($A398,'S5'!$D$5:$D$2917,0)-1,6)="巻返し",OFFSET('S5'!#REF!,MATCH($A398,'S5'!$D$5:$D$2917,0)-1,6)="スリット"),SUMIF('S5'!$D$5:$D$2917,$A398,'S5'!$T$5:$T$2917),""),"")</f>
        <v/>
      </c>
    </row>
    <row r="399" spans="1:28" s="144" customFormat="1" ht="13.5" x14ac:dyDescent="0.15">
      <c r="A399" s="296">
        <v>3708714</v>
      </c>
      <c r="B399" s="296" t="s">
        <v>351</v>
      </c>
      <c r="C399" s="296" t="s">
        <v>352</v>
      </c>
      <c r="D399" s="296" t="s">
        <v>353</v>
      </c>
      <c r="E399" s="296" t="s">
        <v>116</v>
      </c>
      <c r="F399" s="296">
        <v>3</v>
      </c>
      <c r="G399" s="296" t="s">
        <v>19</v>
      </c>
      <c r="H399" s="296" t="s">
        <v>20</v>
      </c>
      <c r="I399" s="296" t="s">
        <v>205</v>
      </c>
      <c r="J399" s="296"/>
      <c r="K399" s="296" t="s">
        <v>218</v>
      </c>
      <c r="L399" s="296">
        <v>25</v>
      </c>
      <c r="M399" s="296" t="s">
        <v>219</v>
      </c>
      <c r="N399" s="297">
        <v>1005</v>
      </c>
      <c r="O399" s="297">
        <v>1000</v>
      </c>
      <c r="P399" s="297">
        <v>4000</v>
      </c>
      <c r="Q399" s="296">
        <v>2</v>
      </c>
      <c r="R399" s="296">
        <v>4</v>
      </c>
      <c r="S399" s="296" t="s">
        <v>354</v>
      </c>
      <c r="T399" s="298">
        <v>45037</v>
      </c>
      <c r="U399" s="298">
        <v>45069</v>
      </c>
      <c r="V399" s="296" t="s">
        <v>355</v>
      </c>
      <c r="W399" s="296"/>
      <c r="X399" s="296"/>
      <c r="Y399" s="252"/>
      <c r="Z399" s="149" t="str">
        <f t="shared" ca="1" si="6"/>
        <v/>
      </c>
      <c r="AA399" s="149" t="str">
        <f ca="1">IFERROR(IF(OR(OFFSET('S4'!#REF!,MATCH($A399,'S4'!$D$5:$D$3387,0)-1,6)="巻返し",OFFSET('S4'!#REF!,MATCH($A399,'S4'!$D$5:$D$3387,0)-1,6)="スリット"),SUMIF('S4'!$D$5:$D$3387,$A399,'S4'!$U$5:$U$3387),""),"")</f>
        <v/>
      </c>
      <c r="AB399" s="149" t="str">
        <f ca="1">IFERROR(IF(OR(OFFSET('S5'!#REF!,MATCH($A399,'S5'!$D$5:$D$2917,0)-1,6)="巻返し",OFFSET('S5'!#REF!,MATCH($A399,'S5'!$D$5:$D$2917,0)-1,6)="スリット"),SUMIF('S5'!$D$5:$D$2917,$A399,'S5'!$T$5:$T$2917),""),"")</f>
        <v/>
      </c>
    </row>
    <row r="400" spans="1:28" s="144" customFormat="1" ht="13.5" x14ac:dyDescent="0.15">
      <c r="A400" s="296">
        <v>3708715</v>
      </c>
      <c r="B400" s="296" t="s">
        <v>351</v>
      </c>
      <c r="C400" s="296" t="s">
        <v>352</v>
      </c>
      <c r="D400" s="296" t="s">
        <v>353</v>
      </c>
      <c r="E400" s="296" t="s">
        <v>116</v>
      </c>
      <c r="F400" s="296">
        <v>3</v>
      </c>
      <c r="G400" s="296" t="s">
        <v>19</v>
      </c>
      <c r="H400" s="296" t="s">
        <v>20</v>
      </c>
      <c r="I400" s="296" t="s">
        <v>205</v>
      </c>
      <c r="J400" s="296"/>
      <c r="K400" s="296" t="s">
        <v>218</v>
      </c>
      <c r="L400" s="296">
        <v>50</v>
      </c>
      <c r="M400" s="296" t="s">
        <v>219</v>
      </c>
      <c r="N400" s="297">
        <v>1000</v>
      </c>
      <c r="O400" s="297">
        <v>1000</v>
      </c>
      <c r="P400" s="297">
        <v>4000</v>
      </c>
      <c r="Q400" s="296">
        <v>2</v>
      </c>
      <c r="R400" s="296">
        <v>15</v>
      </c>
      <c r="S400" s="296" t="s">
        <v>354</v>
      </c>
      <c r="T400" s="298">
        <v>45037</v>
      </c>
      <c r="U400" s="298">
        <v>45069</v>
      </c>
      <c r="V400" s="296" t="s">
        <v>355</v>
      </c>
      <c r="W400" s="296"/>
      <c r="X400" s="296"/>
      <c r="Y400" s="252"/>
      <c r="Z400" s="149" t="str">
        <f t="shared" ca="1" si="6"/>
        <v/>
      </c>
      <c r="AA400" s="149" t="str">
        <f ca="1">IFERROR(IF(OR(OFFSET('S4'!#REF!,MATCH($A400,'S4'!$D$5:$D$3387,0)-1,6)="巻返し",OFFSET('S4'!#REF!,MATCH($A400,'S4'!$D$5:$D$3387,0)-1,6)="スリット"),SUMIF('S4'!$D$5:$D$3387,$A400,'S4'!$U$5:$U$3387),""),"")</f>
        <v/>
      </c>
      <c r="AB400" s="149" t="str">
        <f ca="1">IFERROR(IF(OR(OFFSET('S5'!#REF!,MATCH($A400,'S5'!$D$5:$D$2917,0)-1,6)="巻返し",OFFSET('S5'!#REF!,MATCH($A400,'S5'!$D$5:$D$2917,0)-1,6)="スリット"),SUMIF('S5'!$D$5:$D$2917,$A400,'S5'!$T$5:$T$2917),""),"")</f>
        <v/>
      </c>
    </row>
    <row r="401" spans="1:28" s="144" customFormat="1" ht="13.5" x14ac:dyDescent="0.15">
      <c r="A401" s="296">
        <v>3708716</v>
      </c>
      <c r="B401" s="296" t="s">
        <v>351</v>
      </c>
      <c r="C401" s="296" t="s">
        <v>352</v>
      </c>
      <c r="D401" s="296" t="s">
        <v>353</v>
      </c>
      <c r="E401" s="296" t="s">
        <v>116</v>
      </c>
      <c r="F401" s="296" t="s">
        <v>158</v>
      </c>
      <c r="G401" s="296" t="s">
        <v>19</v>
      </c>
      <c r="H401" s="296" t="s">
        <v>20</v>
      </c>
      <c r="I401" s="296" t="s">
        <v>165</v>
      </c>
      <c r="J401" s="296"/>
      <c r="K401" s="296" t="s">
        <v>192</v>
      </c>
      <c r="L401" s="296">
        <v>50</v>
      </c>
      <c r="M401" s="296" t="s">
        <v>193</v>
      </c>
      <c r="N401" s="297">
        <v>1005</v>
      </c>
      <c r="O401" s="297">
        <v>1000</v>
      </c>
      <c r="P401" s="297">
        <v>4000</v>
      </c>
      <c r="Q401" s="296">
        <v>2</v>
      </c>
      <c r="R401" s="296">
        <v>3</v>
      </c>
      <c r="S401" s="296" t="s">
        <v>354</v>
      </c>
      <c r="T401" s="298">
        <v>45037</v>
      </c>
      <c r="U401" s="298">
        <v>45069</v>
      </c>
      <c r="V401" s="296" t="s">
        <v>355</v>
      </c>
      <c r="W401" s="296"/>
      <c r="X401" s="296"/>
      <c r="Y401" s="252"/>
      <c r="Z401" s="149" t="str">
        <f t="shared" ca="1" si="6"/>
        <v/>
      </c>
      <c r="AA401" s="149" t="str">
        <f ca="1">IFERROR(IF(OR(OFFSET('S4'!#REF!,MATCH($A401,'S4'!$D$5:$D$3387,0)-1,6)="巻返し",OFFSET('S4'!#REF!,MATCH($A401,'S4'!$D$5:$D$3387,0)-1,6)="スリット"),SUMIF('S4'!$D$5:$D$3387,$A401,'S4'!$U$5:$U$3387),""),"")</f>
        <v/>
      </c>
      <c r="AB401" s="149" t="str">
        <f ca="1">IFERROR(IF(OR(OFFSET('S5'!#REF!,MATCH($A401,'S5'!$D$5:$D$2917,0)-1,6)="巻返し",OFFSET('S5'!#REF!,MATCH($A401,'S5'!$D$5:$D$2917,0)-1,6)="スリット"),SUMIF('S5'!$D$5:$D$2917,$A401,'S5'!$T$5:$T$2917),""),"")</f>
        <v/>
      </c>
    </row>
    <row r="402" spans="1:28" s="144" customFormat="1" ht="13.5" x14ac:dyDescent="0.15">
      <c r="A402" s="296">
        <v>3708717</v>
      </c>
      <c r="B402" s="296" t="s">
        <v>351</v>
      </c>
      <c r="C402" s="296" t="s">
        <v>352</v>
      </c>
      <c r="D402" s="296" t="s">
        <v>353</v>
      </c>
      <c r="E402" s="296" t="s">
        <v>116</v>
      </c>
      <c r="F402" s="296" t="s">
        <v>158</v>
      </c>
      <c r="G402" s="296" t="s">
        <v>19</v>
      </c>
      <c r="H402" s="296" t="s">
        <v>20</v>
      </c>
      <c r="I402" s="296" t="s">
        <v>165</v>
      </c>
      <c r="J402" s="296"/>
      <c r="K402" s="296" t="s">
        <v>197</v>
      </c>
      <c r="L402" s="296">
        <v>50</v>
      </c>
      <c r="M402" s="296" t="s">
        <v>198</v>
      </c>
      <c r="N402" s="297">
        <v>1005</v>
      </c>
      <c r="O402" s="297">
        <v>1000</v>
      </c>
      <c r="P402" s="297">
        <v>4000</v>
      </c>
      <c r="Q402" s="296">
        <v>2</v>
      </c>
      <c r="R402" s="296">
        <v>6</v>
      </c>
      <c r="S402" s="296" t="s">
        <v>354</v>
      </c>
      <c r="T402" s="298">
        <v>45037</v>
      </c>
      <c r="U402" s="298">
        <v>45069</v>
      </c>
      <c r="V402" s="296" t="s">
        <v>355</v>
      </c>
      <c r="W402" s="296"/>
      <c r="X402" s="296"/>
      <c r="Y402" s="252"/>
      <c r="Z402" s="149" t="str">
        <f t="shared" ca="1" si="6"/>
        <v/>
      </c>
      <c r="AA402" s="149" t="str">
        <f ca="1">IFERROR(IF(OR(OFFSET('S4'!#REF!,MATCH($A402,'S4'!$D$5:$D$3387,0)-1,6)="巻返し",OFFSET('S4'!#REF!,MATCH($A402,'S4'!$D$5:$D$3387,0)-1,6)="スリット"),SUMIF('S4'!$D$5:$D$3387,$A402,'S4'!$U$5:$U$3387),""),"")</f>
        <v/>
      </c>
      <c r="AB402" s="149" t="str">
        <f ca="1">IFERROR(IF(OR(OFFSET('S5'!#REF!,MATCH($A402,'S5'!$D$5:$D$2917,0)-1,6)="巻返し",OFFSET('S5'!#REF!,MATCH($A402,'S5'!$D$5:$D$2917,0)-1,6)="スリット"),SUMIF('S5'!$D$5:$D$2917,$A402,'S5'!$T$5:$T$2917),""),"")</f>
        <v/>
      </c>
    </row>
    <row r="403" spans="1:28" s="144" customFormat="1" ht="13.5" x14ac:dyDescent="0.15">
      <c r="A403" s="296">
        <v>3708719</v>
      </c>
      <c r="B403" s="296" t="s">
        <v>351</v>
      </c>
      <c r="C403" s="296" t="s">
        <v>352</v>
      </c>
      <c r="D403" s="296" t="s">
        <v>353</v>
      </c>
      <c r="E403" s="296" t="s">
        <v>116</v>
      </c>
      <c r="F403" s="296">
        <v>3</v>
      </c>
      <c r="G403" s="296" t="s">
        <v>19</v>
      </c>
      <c r="H403" s="296" t="s">
        <v>20</v>
      </c>
      <c r="I403" s="296" t="s">
        <v>165</v>
      </c>
      <c r="J403" s="296"/>
      <c r="K403" s="296" t="s">
        <v>172</v>
      </c>
      <c r="L403" s="296">
        <v>50</v>
      </c>
      <c r="M403" s="296" t="s">
        <v>173</v>
      </c>
      <c r="N403" s="297">
        <v>1005</v>
      </c>
      <c r="O403" s="297">
        <v>1000</v>
      </c>
      <c r="P403" s="297">
        <v>2000</v>
      </c>
      <c r="Q403" s="296">
        <v>2</v>
      </c>
      <c r="R403" s="296">
        <v>4</v>
      </c>
      <c r="S403" s="296" t="s">
        <v>354</v>
      </c>
      <c r="T403" s="298">
        <v>45037</v>
      </c>
      <c r="U403" s="298">
        <v>45069</v>
      </c>
      <c r="V403" s="296" t="s">
        <v>355</v>
      </c>
      <c r="W403" s="296"/>
      <c r="X403" s="296"/>
      <c r="Y403" s="252"/>
      <c r="Z403" s="149" t="str">
        <f t="shared" ca="1" si="6"/>
        <v/>
      </c>
      <c r="AA403" s="149" t="str">
        <f ca="1">IFERROR(IF(OR(OFFSET('S4'!#REF!,MATCH($A403,'S4'!$D$5:$D$3387,0)-1,6)="巻返し",OFFSET('S4'!#REF!,MATCH($A403,'S4'!$D$5:$D$3387,0)-1,6)="スリット"),SUMIF('S4'!$D$5:$D$3387,$A403,'S4'!$U$5:$U$3387),""),"")</f>
        <v/>
      </c>
      <c r="AB403" s="149" t="str">
        <f ca="1">IFERROR(IF(OR(OFFSET('S5'!#REF!,MATCH($A403,'S5'!$D$5:$D$2917,0)-1,6)="巻返し",OFFSET('S5'!#REF!,MATCH($A403,'S5'!$D$5:$D$2917,0)-1,6)="スリット"),SUMIF('S5'!$D$5:$D$2917,$A403,'S5'!$T$5:$T$2917),""),"")</f>
        <v/>
      </c>
    </row>
    <row r="404" spans="1:28" s="144" customFormat="1" ht="13.5" x14ac:dyDescent="0.15">
      <c r="A404" s="296">
        <v>3708720</v>
      </c>
      <c r="B404" s="296" t="s">
        <v>351</v>
      </c>
      <c r="C404" s="296" t="s">
        <v>352</v>
      </c>
      <c r="D404" s="296" t="s">
        <v>353</v>
      </c>
      <c r="E404" s="296" t="s">
        <v>116</v>
      </c>
      <c r="F404" s="296">
        <v>3</v>
      </c>
      <c r="G404" s="296" t="s">
        <v>19</v>
      </c>
      <c r="H404" s="296" t="s">
        <v>20</v>
      </c>
      <c r="I404" s="296" t="s">
        <v>165</v>
      </c>
      <c r="J404" s="296"/>
      <c r="K404" s="296" t="s">
        <v>176</v>
      </c>
      <c r="L404" s="296">
        <v>25</v>
      </c>
      <c r="M404" s="296" t="s">
        <v>177</v>
      </c>
      <c r="N404" s="297">
        <v>1005</v>
      </c>
      <c r="O404" s="297">
        <v>1000</v>
      </c>
      <c r="P404" s="297">
        <v>2000</v>
      </c>
      <c r="Q404" s="296">
        <v>2</v>
      </c>
      <c r="R404" s="296">
        <v>4</v>
      </c>
      <c r="S404" s="296" t="s">
        <v>354</v>
      </c>
      <c r="T404" s="298">
        <v>45037</v>
      </c>
      <c r="U404" s="298">
        <v>45069</v>
      </c>
      <c r="V404" s="296" t="s">
        <v>355</v>
      </c>
      <c r="W404" s="296"/>
      <c r="X404" s="296"/>
      <c r="Y404" s="252"/>
      <c r="Z404" s="149" t="str">
        <f t="shared" ca="1" si="6"/>
        <v/>
      </c>
      <c r="AA404" s="149" t="str">
        <f ca="1">IFERROR(IF(OR(OFFSET('S4'!#REF!,MATCH($A404,'S4'!$D$5:$D$3387,0)-1,6)="巻返し",OFFSET('S4'!#REF!,MATCH($A404,'S4'!$D$5:$D$3387,0)-1,6)="スリット"),SUMIF('S4'!$D$5:$D$3387,$A404,'S4'!$U$5:$U$3387),""),"")</f>
        <v/>
      </c>
      <c r="AB404" s="149" t="str">
        <f ca="1">IFERROR(IF(OR(OFFSET('S5'!#REF!,MATCH($A404,'S5'!$D$5:$D$2917,0)-1,6)="巻返し",OFFSET('S5'!#REF!,MATCH($A404,'S5'!$D$5:$D$2917,0)-1,6)="スリット"),SUMIF('S5'!$D$5:$D$2917,$A404,'S5'!$T$5:$T$2917),""),"")</f>
        <v/>
      </c>
    </row>
    <row r="405" spans="1:28" s="144" customFormat="1" ht="13.5" x14ac:dyDescent="0.15">
      <c r="A405" s="296">
        <v>3708721</v>
      </c>
      <c r="B405" s="296" t="s">
        <v>351</v>
      </c>
      <c r="C405" s="296" t="s">
        <v>352</v>
      </c>
      <c r="D405" s="296" t="s">
        <v>353</v>
      </c>
      <c r="E405" s="296" t="s">
        <v>116</v>
      </c>
      <c r="F405" s="296">
        <v>3</v>
      </c>
      <c r="G405" s="296" t="s">
        <v>19</v>
      </c>
      <c r="H405" s="296" t="s">
        <v>20</v>
      </c>
      <c r="I405" s="296" t="s">
        <v>165</v>
      </c>
      <c r="J405" s="296"/>
      <c r="K405" s="296" t="s">
        <v>176</v>
      </c>
      <c r="L405" s="296">
        <v>50</v>
      </c>
      <c r="M405" s="296" t="s">
        <v>177</v>
      </c>
      <c r="N405" s="297">
        <v>1005</v>
      </c>
      <c r="O405" s="297">
        <v>1000</v>
      </c>
      <c r="P405" s="297">
        <v>4000</v>
      </c>
      <c r="Q405" s="296">
        <v>2</v>
      </c>
      <c r="R405" s="296">
        <v>5</v>
      </c>
      <c r="S405" s="296" t="s">
        <v>354</v>
      </c>
      <c r="T405" s="298">
        <v>45037</v>
      </c>
      <c r="U405" s="298">
        <v>45069</v>
      </c>
      <c r="V405" s="296" t="s">
        <v>355</v>
      </c>
      <c r="W405" s="296"/>
      <c r="X405" s="296"/>
      <c r="Y405" s="252"/>
      <c r="Z405" s="149" t="str">
        <f t="shared" ca="1" si="6"/>
        <v/>
      </c>
      <c r="AA405" s="149" t="str">
        <f ca="1">IFERROR(IF(OR(OFFSET('S4'!#REF!,MATCH($A405,'S4'!$D$5:$D$3387,0)-1,6)="巻返し",OFFSET('S4'!#REF!,MATCH($A405,'S4'!$D$5:$D$3387,0)-1,6)="スリット"),SUMIF('S4'!$D$5:$D$3387,$A405,'S4'!$U$5:$U$3387),""),"")</f>
        <v/>
      </c>
      <c r="AB405" s="149" t="str">
        <f ca="1">IFERROR(IF(OR(OFFSET('S5'!#REF!,MATCH($A405,'S5'!$D$5:$D$2917,0)-1,6)="巻返し",OFFSET('S5'!#REF!,MATCH($A405,'S5'!$D$5:$D$2917,0)-1,6)="スリット"),SUMIF('S5'!$D$5:$D$2917,$A405,'S5'!$T$5:$T$2917),""),"")</f>
        <v/>
      </c>
    </row>
    <row r="406" spans="1:28" s="144" customFormat="1" ht="13.5" x14ac:dyDescent="0.15">
      <c r="A406" s="296">
        <v>3708722</v>
      </c>
      <c r="B406" s="296" t="s">
        <v>351</v>
      </c>
      <c r="C406" s="296" t="s">
        <v>352</v>
      </c>
      <c r="D406" s="296" t="s">
        <v>353</v>
      </c>
      <c r="E406" s="296" t="s">
        <v>116</v>
      </c>
      <c r="F406" s="296">
        <v>3</v>
      </c>
      <c r="G406" s="296" t="s">
        <v>19</v>
      </c>
      <c r="H406" s="296" t="s">
        <v>20</v>
      </c>
      <c r="I406" s="296" t="s">
        <v>165</v>
      </c>
      <c r="J406" s="296"/>
      <c r="K406" s="296" t="s">
        <v>176</v>
      </c>
      <c r="L406" s="296">
        <v>50</v>
      </c>
      <c r="M406" s="296" t="s">
        <v>177</v>
      </c>
      <c r="N406" s="297">
        <v>1005</v>
      </c>
      <c r="O406" s="297">
        <v>1000</v>
      </c>
      <c r="P406" s="297">
        <v>2000</v>
      </c>
      <c r="Q406" s="296">
        <v>2</v>
      </c>
      <c r="R406" s="296">
        <v>2</v>
      </c>
      <c r="S406" s="296" t="s">
        <v>354</v>
      </c>
      <c r="T406" s="298">
        <v>45037</v>
      </c>
      <c r="U406" s="298">
        <v>45069</v>
      </c>
      <c r="V406" s="296" t="s">
        <v>355</v>
      </c>
      <c r="W406" s="296"/>
      <c r="X406" s="296"/>
      <c r="Y406" s="252"/>
      <c r="Z406" s="149" t="str">
        <f t="shared" ca="1" si="6"/>
        <v/>
      </c>
      <c r="AA406" s="149" t="str">
        <f ca="1">IFERROR(IF(OR(OFFSET('S4'!#REF!,MATCH($A406,'S4'!$D$5:$D$3387,0)-1,6)="巻返し",OFFSET('S4'!#REF!,MATCH($A406,'S4'!$D$5:$D$3387,0)-1,6)="スリット"),SUMIF('S4'!$D$5:$D$3387,$A406,'S4'!$U$5:$U$3387),""),"")</f>
        <v/>
      </c>
      <c r="AB406" s="149" t="str">
        <f ca="1">IFERROR(IF(OR(OFFSET('S5'!#REF!,MATCH($A406,'S5'!$D$5:$D$2917,0)-1,6)="巻返し",OFFSET('S5'!#REF!,MATCH($A406,'S5'!$D$5:$D$2917,0)-1,6)="スリット"),SUMIF('S5'!$D$5:$D$2917,$A406,'S5'!$T$5:$T$2917),""),"")</f>
        <v/>
      </c>
    </row>
    <row r="407" spans="1:28" s="144" customFormat="1" ht="13.5" x14ac:dyDescent="0.15">
      <c r="A407" s="296">
        <v>3708724</v>
      </c>
      <c r="B407" s="296" t="s">
        <v>351</v>
      </c>
      <c r="C407" s="296" t="s">
        <v>352</v>
      </c>
      <c r="D407" s="296" t="s">
        <v>353</v>
      </c>
      <c r="E407" s="296" t="s">
        <v>116</v>
      </c>
      <c r="F407" s="296">
        <v>3</v>
      </c>
      <c r="G407" s="296" t="s">
        <v>19</v>
      </c>
      <c r="H407" s="296" t="s">
        <v>28</v>
      </c>
      <c r="I407" s="296" t="s">
        <v>205</v>
      </c>
      <c r="J407" s="296"/>
      <c r="K407" s="296" t="s">
        <v>235</v>
      </c>
      <c r="L407" s="296">
        <v>50</v>
      </c>
      <c r="M407" s="296" t="s">
        <v>236</v>
      </c>
      <c r="N407" s="297">
        <v>1120</v>
      </c>
      <c r="O407" s="297">
        <v>1120</v>
      </c>
      <c r="P407" s="297">
        <v>4000</v>
      </c>
      <c r="Q407" s="296">
        <v>2</v>
      </c>
      <c r="R407" s="296">
        <v>16</v>
      </c>
      <c r="S407" s="296" t="s">
        <v>354</v>
      </c>
      <c r="T407" s="298">
        <v>45037</v>
      </c>
      <c r="U407" s="298">
        <v>45072</v>
      </c>
      <c r="V407" s="296" t="s">
        <v>355</v>
      </c>
      <c r="W407" s="296"/>
      <c r="X407" s="296"/>
      <c r="Y407" s="252"/>
      <c r="Z407" s="149" t="str">
        <f t="shared" ca="1" si="6"/>
        <v/>
      </c>
      <c r="AA407" s="149" t="str">
        <f ca="1">IFERROR(IF(OR(OFFSET('S4'!#REF!,MATCH($A407,'S4'!$D$5:$D$3387,0)-1,6)="巻返し",OFFSET('S4'!#REF!,MATCH($A407,'S4'!$D$5:$D$3387,0)-1,6)="スリット"),SUMIF('S4'!$D$5:$D$3387,$A407,'S4'!$U$5:$U$3387),""),"")</f>
        <v/>
      </c>
      <c r="AB407" s="149" t="str">
        <f ca="1">IFERROR(IF(OR(OFFSET('S5'!#REF!,MATCH($A407,'S5'!$D$5:$D$2917,0)-1,6)="巻返し",OFFSET('S5'!#REF!,MATCH($A407,'S5'!$D$5:$D$2917,0)-1,6)="スリット"),SUMIF('S5'!$D$5:$D$2917,$A407,'S5'!$T$5:$T$2917),""),"")</f>
        <v/>
      </c>
    </row>
    <row r="408" spans="1:28" s="144" customFormat="1" ht="13.5" x14ac:dyDescent="0.15">
      <c r="A408" s="296">
        <v>3708725</v>
      </c>
      <c r="B408" s="296" t="s">
        <v>351</v>
      </c>
      <c r="C408" s="296" t="s">
        <v>352</v>
      </c>
      <c r="D408" s="296" t="s">
        <v>353</v>
      </c>
      <c r="E408" s="296" t="s">
        <v>116</v>
      </c>
      <c r="F408" s="296">
        <v>3</v>
      </c>
      <c r="G408" s="296" t="s">
        <v>19</v>
      </c>
      <c r="H408" s="296" t="s">
        <v>28</v>
      </c>
      <c r="I408" s="296" t="s">
        <v>205</v>
      </c>
      <c r="J408" s="296"/>
      <c r="K408" s="296" t="s">
        <v>226</v>
      </c>
      <c r="L408" s="296">
        <v>50</v>
      </c>
      <c r="M408" s="296" t="s">
        <v>227</v>
      </c>
      <c r="N408" s="297">
        <v>1120</v>
      </c>
      <c r="O408" s="297">
        <v>1120</v>
      </c>
      <c r="P408" s="297">
        <v>5000</v>
      </c>
      <c r="Q408" s="296">
        <v>2</v>
      </c>
      <c r="R408" s="296">
        <v>2</v>
      </c>
      <c r="S408" s="296" t="s">
        <v>354</v>
      </c>
      <c r="T408" s="298">
        <v>45037</v>
      </c>
      <c r="U408" s="298">
        <v>45072</v>
      </c>
      <c r="V408" s="296" t="s">
        <v>355</v>
      </c>
      <c r="W408" s="296"/>
      <c r="X408" s="296"/>
      <c r="Y408" s="252"/>
      <c r="Z408" s="149" t="str">
        <f t="shared" ca="1" si="6"/>
        <v/>
      </c>
      <c r="AA408" s="149" t="str">
        <f ca="1">IFERROR(IF(OR(OFFSET('S4'!#REF!,MATCH($A408,'S4'!$D$5:$D$3387,0)-1,6)="巻返し",OFFSET('S4'!#REF!,MATCH($A408,'S4'!$D$5:$D$3387,0)-1,6)="スリット"),SUMIF('S4'!$D$5:$D$3387,$A408,'S4'!$U$5:$U$3387),""),"")</f>
        <v/>
      </c>
      <c r="AB408" s="149" t="str">
        <f ca="1">IFERROR(IF(OR(OFFSET('S5'!#REF!,MATCH($A408,'S5'!$D$5:$D$2917,0)-1,6)="巻返し",OFFSET('S5'!#REF!,MATCH($A408,'S5'!$D$5:$D$2917,0)-1,6)="スリット"),SUMIF('S5'!$D$5:$D$2917,$A408,'S5'!$T$5:$T$2917),""),"")</f>
        <v/>
      </c>
    </row>
    <row r="409" spans="1:28" s="144" customFormat="1" ht="13.5" x14ac:dyDescent="0.15">
      <c r="A409" s="296">
        <v>3708726</v>
      </c>
      <c r="B409" s="296" t="s">
        <v>351</v>
      </c>
      <c r="C409" s="296" t="s">
        <v>358</v>
      </c>
      <c r="D409" s="296" t="s">
        <v>353</v>
      </c>
      <c r="E409" s="296" t="s">
        <v>61</v>
      </c>
      <c r="F409" s="296">
        <v>3</v>
      </c>
      <c r="G409" s="296" t="s">
        <v>19</v>
      </c>
      <c r="H409" s="296" t="s">
        <v>20</v>
      </c>
      <c r="I409" s="296" t="s">
        <v>205</v>
      </c>
      <c r="J409" s="296"/>
      <c r="K409" s="296" t="s">
        <v>242</v>
      </c>
      <c r="L409" s="296">
        <v>50</v>
      </c>
      <c r="M409" s="296" t="s">
        <v>243</v>
      </c>
      <c r="N409" s="297">
        <v>1255</v>
      </c>
      <c r="O409" s="297">
        <v>1250</v>
      </c>
      <c r="P409" s="297">
        <v>2000</v>
      </c>
      <c r="Q409" s="296">
        <v>2</v>
      </c>
      <c r="R409" s="296">
        <v>3</v>
      </c>
      <c r="S409" s="296" t="s">
        <v>354</v>
      </c>
      <c r="T409" s="298">
        <v>45037</v>
      </c>
      <c r="U409" s="298">
        <v>45077</v>
      </c>
      <c r="V409" s="296" t="s">
        <v>355</v>
      </c>
      <c r="W409" s="296"/>
      <c r="X409" s="296"/>
      <c r="Y409" s="252"/>
      <c r="Z409" s="149" t="str">
        <f t="shared" ca="1" si="6"/>
        <v/>
      </c>
      <c r="AA409" s="149" t="str">
        <f ca="1">IFERROR(IF(OR(OFFSET('S4'!#REF!,MATCH($A409,'S4'!$D$5:$D$3387,0)-1,6)="巻返し",OFFSET('S4'!#REF!,MATCH($A409,'S4'!$D$5:$D$3387,0)-1,6)="スリット"),SUMIF('S4'!$D$5:$D$3387,$A409,'S4'!$U$5:$U$3387),""),"")</f>
        <v/>
      </c>
      <c r="AB409" s="149" t="str">
        <f ca="1">IFERROR(IF(OR(OFFSET('S5'!#REF!,MATCH($A409,'S5'!$D$5:$D$2917,0)-1,6)="巻返し",OFFSET('S5'!#REF!,MATCH($A409,'S5'!$D$5:$D$2917,0)-1,6)="スリット"),SUMIF('S5'!$D$5:$D$2917,$A409,'S5'!$T$5:$T$2917),""),"")</f>
        <v/>
      </c>
    </row>
    <row r="410" spans="1:28" s="144" customFormat="1" ht="13.5" x14ac:dyDescent="0.15">
      <c r="A410" s="296">
        <v>3709496</v>
      </c>
      <c r="B410" s="296" t="s">
        <v>423</v>
      </c>
      <c r="C410" s="296" t="s">
        <v>358</v>
      </c>
      <c r="D410" s="296" t="s">
        <v>353</v>
      </c>
      <c r="E410" s="296" t="s">
        <v>61</v>
      </c>
      <c r="F410" s="296">
        <v>3</v>
      </c>
      <c r="G410" s="296" t="s">
        <v>265</v>
      </c>
      <c r="H410" s="296" t="s">
        <v>20</v>
      </c>
      <c r="I410" s="296" t="s">
        <v>205</v>
      </c>
      <c r="J410" s="296"/>
      <c r="K410" s="296" t="s">
        <v>242</v>
      </c>
      <c r="L410" s="296">
        <v>50</v>
      </c>
      <c r="M410" s="296" t="s">
        <v>243</v>
      </c>
      <c r="N410" s="297">
        <v>1255</v>
      </c>
      <c r="O410" s="297">
        <v>1250</v>
      </c>
      <c r="P410" s="297">
        <v>3000</v>
      </c>
      <c r="Q410" s="296">
        <v>2</v>
      </c>
      <c r="R410" s="296">
        <v>2</v>
      </c>
      <c r="S410" s="296" t="s">
        <v>354</v>
      </c>
      <c r="T410" s="298">
        <v>45041</v>
      </c>
      <c r="U410" s="298">
        <v>45077</v>
      </c>
      <c r="V410" s="296" t="s">
        <v>355</v>
      </c>
      <c r="W410" s="296"/>
      <c r="X410" s="296"/>
      <c r="Y410" s="146"/>
      <c r="Z410" s="149" t="str">
        <f t="shared" ca="1" si="6"/>
        <v/>
      </c>
      <c r="AA410" s="149" t="str">
        <f ca="1">IFERROR(IF(OR(OFFSET('S4'!#REF!,MATCH($A410,'S4'!$D$5:$D$3387,0)-1,6)="巻返し",OFFSET('S4'!#REF!,MATCH($A410,'S4'!$D$5:$D$3387,0)-1,6)="スリット"),SUMIF('S4'!$D$5:$D$3387,$A410,'S4'!$U$5:$U$3387),""),"")</f>
        <v/>
      </c>
      <c r="AB410" s="149" t="str">
        <f ca="1">IFERROR(IF(OR(OFFSET('S5'!#REF!,MATCH($A410,'S5'!$D$5:$D$2917,0)-1,6)="巻返し",OFFSET('S5'!#REF!,MATCH($A410,'S5'!$D$5:$D$2917,0)-1,6)="スリット"),SUMIF('S5'!$D$5:$D$2917,$A410,'S5'!$T$5:$T$2917),""),"")</f>
        <v/>
      </c>
    </row>
    <row r="411" spans="1:28" s="144" customFormat="1" ht="13.5" x14ac:dyDescent="0.15">
      <c r="A411" s="296">
        <v>3711137</v>
      </c>
      <c r="B411" s="296" t="s">
        <v>351</v>
      </c>
      <c r="C411" s="296" t="s">
        <v>356</v>
      </c>
      <c r="D411" s="296" t="s">
        <v>353</v>
      </c>
      <c r="E411" s="296" t="s">
        <v>17</v>
      </c>
      <c r="F411" s="296">
        <v>3</v>
      </c>
      <c r="G411" s="296" t="s">
        <v>19</v>
      </c>
      <c r="H411" s="296" t="s">
        <v>20</v>
      </c>
      <c r="I411" s="296" t="s">
        <v>205</v>
      </c>
      <c r="J411" s="296"/>
      <c r="K411" s="296" t="s">
        <v>242</v>
      </c>
      <c r="L411" s="296">
        <v>75</v>
      </c>
      <c r="M411" s="296" t="s">
        <v>243</v>
      </c>
      <c r="N411" s="297">
        <v>1000</v>
      </c>
      <c r="O411" s="297">
        <v>1000</v>
      </c>
      <c r="P411" s="297">
        <v>1000</v>
      </c>
      <c r="Q411" s="296">
        <v>2</v>
      </c>
      <c r="R411" s="296">
        <v>2</v>
      </c>
      <c r="S411" s="296" t="s">
        <v>354</v>
      </c>
      <c r="T411" s="298">
        <v>45056</v>
      </c>
      <c r="U411" s="298">
        <v>45061</v>
      </c>
      <c r="V411" s="296" t="s">
        <v>355</v>
      </c>
      <c r="W411" s="296"/>
      <c r="X411" s="296"/>
      <c r="Y411" s="146"/>
      <c r="Z411" s="149" t="str">
        <f t="shared" ca="1" si="6"/>
        <v/>
      </c>
      <c r="AA411" s="149" t="str">
        <f ca="1">IFERROR(IF(OR(OFFSET('S4'!#REF!,MATCH($A411,'S4'!$D$5:$D$3387,0)-1,6)="巻返し",OFFSET('S4'!#REF!,MATCH($A411,'S4'!$D$5:$D$3387,0)-1,6)="スリット"),SUMIF('S4'!$D$5:$D$3387,$A411,'S4'!$U$5:$U$3387),""),"")</f>
        <v/>
      </c>
      <c r="AB411" s="149" t="str">
        <f ca="1">IFERROR(IF(OR(OFFSET('S5'!#REF!,MATCH($A411,'S5'!$D$5:$D$2917,0)-1,6)="巻返し",OFFSET('S5'!#REF!,MATCH($A411,'S5'!$D$5:$D$2917,0)-1,6)="スリット"),SUMIF('S5'!$D$5:$D$2917,$A411,'S5'!$T$5:$T$2917),""),"")</f>
        <v/>
      </c>
    </row>
    <row r="412" spans="1:28" s="144" customFormat="1" ht="13.5" x14ac:dyDescent="0.15">
      <c r="A412" s="296">
        <v>3711151</v>
      </c>
      <c r="B412" s="296" t="s">
        <v>510</v>
      </c>
      <c r="C412" s="296" t="s">
        <v>352</v>
      </c>
      <c r="D412" s="296" t="s">
        <v>353</v>
      </c>
      <c r="E412" s="296" t="s">
        <v>116</v>
      </c>
      <c r="F412" s="296">
        <v>3</v>
      </c>
      <c r="G412" s="296" t="s">
        <v>269</v>
      </c>
      <c r="H412" s="296" t="s">
        <v>20</v>
      </c>
      <c r="I412" s="296" t="s">
        <v>165</v>
      </c>
      <c r="J412" s="296"/>
      <c r="K412" s="296" t="s">
        <v>172</v>
      </c>
      <c r="L412" s="296">
        <v>50</v>
      </c>
      <c r="M412" s="296" t="s">
        <v>576</v>
      </c>
      <c r="N412" s="297">
        <v>1005</v>
      </c>
      <c r="O412" s="297">
        <v>1000</v>
      </c>
      <c r="P412" s="297">
        <v>2000</v>
      </c>
      <c r="Q412" s="296">
        <v>2</v>
      </c>
      <c r="R412" s="296">
        <v>4</v>
      </c>
      <c r="S412" s="296" t="s">
        <v>354</v>
      </c>
      <c r="T412" s="298">
        <v>45056</v>
      </c>
      <c r="U412" s="298">
        <v>45069</v>
      </c>
      <c r="V412" s="296" t="s">
        <v>428</v>
      </c>
      <c r="W412" s="296"/>
      <c r="X412" s="296"/>
      <c r="Y412" s="146"/>
      <c r="Z412" s="149" t="str">
        <f t="shared" ca="1" si="6"/>
        <v/>
      </c>
      <c r="AA412" s="149" t="str">
        <f ca="1">IFERROR(IF(OR(OFFSET('S4'!#REF!,MATCH($A412,'S4'!$D$5:$D$3387,0)-1,6)="巻返し",OFFSET('S4'!#REF!,MATCH($A412,'S4'!$D$5:$D$3387,0)-1,6)="スリット"),SUMIF('S4'!$D$5:$D$3387,$A412,'S4'!$U$5:$U$3387),""),"")</f>
        <v/>
      </c>
      <c r="AB412" s="149" t="str">
        <f ca="1">IFERROR(IF(OR(OFFSET('S5'!#REF!,MATCH($A412,'S5'!$D$5:$D$2917,0)-1,6)="巻返し",OFFSET('S5'!#REF!,MATCH($A412,'S5'!$D$5:$D$2917,0)-1,6)="スリット"),SUMIF('S5'!$D$5:$D$2917,$A412,'S5'!$T$5:$T$2917),""),"")</f>
        <v/>
      </c>
    </row>
    <row r="413" spans="1:28" s="144" customFormat="1" ht="13.5" x14ac:dyDescent="0.15">
      <c r="A413" s="296">
        <v>3711152</v>
      </c>
      <c r="B413" s="296" t="s">
        <v>510</v>
      </c>
      <c r="C413" s="296" t="s">
        <v>352</v>
      </c>
      <c r="D413" s="296" t="s">
        <v>353</v>
      </c>
      <c r="E413" s="296" t="s">
        <v>116</v>
      </c>
      <c r="F413" s="296">
        <v>3</v>
      </c>
      <c r="G413" s="296" t="s">
        <v>269</v>
      </c>
      <c r="H413" s="296" t="s">
        <v>20</v>
      </c>
      <c r="I413" s="296" t="s">
        <v>165</v>
      </c>
      <c r="J413" s="296"/>
      <c r="K413" s="296" t="s">
        <v>176</v>
      </c>
      <c r="L413" s="296">
        <v>50</v>
      </c>
      <c r="M413" s="296" t="s">
        <v>177</v>
      </c>
      <c r="N413" s="297">
        <v>1005</v>
      </c>
      <c r="O413" s="297">
        <v>1000</v>
      </c>
      <c r="P413" s="297">
        <v>4000</v>
      </c>
      <c r="Q413" s="296">
        <v>2</v>
      </c>
      <c r="R413" s="296">
        <v>5</v>
      </c>
      <c r="S413" s="296" t="s">
        <v>354</v>
      </c>
      <c r="T413" s="298">
        <v>45056</v>
      </c>
      <c r="U413" s="298">
        <v>45069</v>
      </c>
      <c r="V413" s="296" t="s">
        <v>428</v>
      </c>
      <c r="W413" s="296"/>
      <c r="X413" s="296"/>
      <c r="Y413" s="146"/>
      <c r="Z413" s="149" t="str">
        <f t="shared" ca="1" si="6"/>
        <v/>
      </c>
      <c r="AA413" s="149" t="str">
        <f ca="1">IFERROR(IF(OR(OFFSET('S4'!#REF!,MATCH($A413,'S4'!$D$5:$D$3387,0)-1,6)="巻返し",OFFSET('S4'!#REF!,MATCH($A413,'S4'!$D$5:$D$3387,0)-1,6)="スリット"),SUMIF('S4'!$D$5:$D$3387,$A413,'S4'!$U$5:$U$3387),""),"")</f>
        <v/>
      </c>
      <c r="AB413" s="149" t="str">
        <f ca="1">IFERROR(IF(OR(OFFSET('S5'!#REF!,MATCH($A413,'S5'!$D$5:$D$2917,0)-1,6)="巻返し",OFFSET('S5'!#REF!,MATCH($A413,'S5'!$D$5:$D$2917,0)-1,6)="スリット"),SUMIF('S5'!$D$5:$D$2917,$A413,'S5'!$T$5:$T$2917),""),"")</f>
        <v/>
      </c>
    </row>
    <row r="414" spans="1:28" s="144" customFormat="1" ht="13.5" x14ac:dyDescent="0.15">
      <c r="A414" s="296">
        <v>3711153</v>
      </c>
      <c r="B414" s="296" t="s">
        <v>510</v>
      </c>
      <c r="C414" s="296" t="s">
        <v>352</v>
      </c>
      <c r="D414" s="296" t="s">
        <v>353</v>
      </c>
      <c r="E414" s="296" t="s">
        <v>116</v>
      </c>
      <c r="F414" s="296">
        <v>3</v>
      </c>
      <c r="G414" s="296" t="s">
        <v>269</v>
      </c>
      <c r="H414" s="296" t="s">
        <v>20</v>
      </c>
      <c r="I414" s="296" t="s">
        <v>165</v>
      </c>
      <c r="J414" s="296"/>
      <c r="K414" s="296" t="s">
        <v>176</v>
      </c>
      <c r="L414" s="296">
        <v>25</v>
      </c>
      <c r="M414" s="296" t="s">
        <v>577</v>
      </c>
      <c r="N414" s="297">
        <v>1005</v>
      </c>
      <c r="O414" s="297">
        <v>1000</v>
      </c>
      <c r="P414" s="297">
        <v>2000</v>
      </c>
      <c r="Q414" s="296">
        <v>2</v>
      </c>
      <c r="R414" s="296">
        <v>4</v>
      </c>
      <c r="S414" s="296" t="s">
        <v>354</v>
      </c>
      <c r="T414" s="298">
        <v>45056</v>
      </c>
      <c r="U414" s="298">
        <v>45069</v>
      </c>
      <c r="V414" s="296" t="s">
        <v>428</v>
      </c>
      <c r="W414" s="296"/>
      <c r="X414" s="296"/>
      <c r="Y414" s="146"/>
      <c r="Z414" s="149" t="str">
        <f t="shared" ca="1" si="6"/>
        <v/>
      </c>
      <c r="AA414" s="149" t="str">
        <f ca="1">IFERROR(IF(OR(OFFSET('S4'!#REF!,MATCH($A414,'S4'!$D$5:$D$3387,0)-1,6)="巻返し",OFFSET('S4'!#REF!,MATCH($A414,'S4'!$D$5:$D$3387,0)-1,6)="スリット"),SUMIF('S4'!$D$5:$D$3387,$A414,'S4'!$U$5:$U$3387),""),"")</f>
        <v/>
      </c>
      <c r="AB414" s="149" t="str">
        <f ca="1">IFERROR(IF(OR(OFFSET('S5'!#REF!,MATCH($A414,'S5'!$D$5:$D$2917,0)-1,6)="巻返し",OFFSET('S5'!#REF!,MATCH($A414,'S5'!$D$5:$D$2917,0)-1,6)="スリット"),SUMIF('S5'!$D$5:$D$2917,$A414,'S5'!$T$5:$T$2917),""),"")</f>
        <v/>
      </c>
    </row>
    <row r="415" spans="1:28" s="144" customFormat="1" ht="13.5" x14ac:dyDescent="0.15">
      <c r="A415" s="296">
        <v>3712089</v>
      </c>
      <c r="B415" s="296" t="s">
        <v>351</v>
      </c>
      <c r="C415" s="296" t="s">
        <v>352</v>
      </c>
      <c r="D415" s="296" t="s">
        <v>353</v>
      </c>
      <c r="E415" s="296" t="s">
        <v>232</v>
      </c>
      <c r="F415" s="296">
        <v>3</v>
      </c>
      <c r="G415" s="296" t="s">
        <v>19</v>
      </c>
      <c r="H415" s="296" t="s">
        <v>20</v>
      </c>
      <c r="I415" s="296" t="s">
        <v>205</v>
      </c>
      <c r="J415" s="296"/>
      <c r="K415" s="296" t="s">
        <v>230</v>
      </c>
      <c r="L415" s="296">
        <v>25</v>
      </c>
      <c r="M415" s="296" t="s">
        <v>231</v>
      </c>
      <c r="N415" s="297">
        <v>1020</v>
      </c>
      <c r="O415" s="297">
        <v>1020</v>
      </c>
      <c r="P415" s="297">
        <v>2000</v>
      </c>
      <c r="Q415" s="296">
        <v>1</v>
      </c>
      <c r="R415" s="296">
        <v>6</v>
      </c>
      <c r="S415" s="296" t="s">
        <v>354</v>
      </c>
      <c r="T415" s="298">
        <v>45068</v>
      </c>
      <c r="U415" s="298">
        <v>45100</v>
      </c>
      <c r="V415" s="296" t="s">
        <v>355</v>
      </c>
      <c r="W415" s="296"/>
      <c r="X415" s="296"/>
      <c r="Y415" s="146"/>
      <c r="Z415" s="149" t="str">
        <f t="shared" ca="1" si="6"/>
        <v/>
      </c>
      <c r="AA415" s="149" t="str">
        <f ca="1">IFERROR(IF(OR(OFFSET('S4'!#REF!,MATCH($A415,'S4'!$D$5:$D$3387,0)-1,6)="巻返し",OFFSET('S4'!#REF!,MATCH($A415,'S4'!$D$5:$D$3387,0)-1,6)="スリット"),SUMIF('S4'!$D$5:$D$3387,$A415,'S4'!$U$5:$U$3387),""),"")</f>
        <v/>
      </c>
      <c r="AB415" s="149" t="str">
        <f ca="1">IFERROR(IF(OR(OFFSET('S5'!#REF!,MATCH($A415,'S5'!$D$5:$D$2917,0)-1,6)="巻返し",OFFSET('S5'!#REF!,MATCH($A415,'S5'!$D$5:$D$2917,0)-1,6)="スリット"),SUMIF('S5'!$D$5:$D$2917,$A415,'S5'!$T$5:$T$2917),""),"")</f>
        <v/>
      </c>
    </row>
    <row r="416" spans="1:28" s="144" customFormat="1" ht="13.5" x14ac:dyDescent="0.15">
      <c r="A416" s="296">
        <v>3712090</v>
      </c>
      <c r="B416" s="296" t="s">
        <v>351</v>
      </c>
      <c r="C416" s="296" t="s">
        <v>364</v>
      </c>
      <c r="D416" s="296" t="s">
        <v>353</v>
      </c>
      <c r="E416" s="296" t="s">
        <v>171</v>
      </c>
      <c r="F416" s="296">
        <v>3</v>
      </c>
      <c r="G416" s="296" t="s">
        <v>19</v>
      </c>
      <c r="H416" s="296" t="s">
        <v>20</v>
      </c>
      <c r="I416" s="296" t="s">
        <v>165</v>
      </c>
      <c r="J416" s="296"/>
      <c r="K416" s="296" t="s">
        <v>180</v>
      </c>
      <c r="L416" s="296">
        <v>50</v>
      </c>
      <c r="M416" s="296" t="s">
        <v>181</v>
      </c>
      <c r="N416" s="297">
        <v>1200</v>
      </c>
      <c r="O416" s="297">
        <v>1190</v>
      </c>
      <c r="P416" s="297">
        <v>6000</v>
      </c>
      <c r="Q416" s="296">
        <v>2</v>
      </c>
      <c r="R416" s="296">
        <v>6</v>
      </c>
      <c r="S416" s="296" t="s">
        <v>354</v>
      </c>
      <c r="T416" s="298">
        <v>45068</v>
      </c>
      <c r="U416" s="298">
        <v>45100</v>
      </c>
      <c r="V416" s="296" t="s">
        <v>355</v>
      </c>
      <c r="W416" s="296"/>
      <c r="X416" s="296"/>
      <c r="Y416" s="146"/>
      <c r="Z416" s="149" t="str">
        <f t="shared" ca="1" si="6"/>
        <v/>
      </c>
      <c r="AA416" s="149" t="str">
        <f ca="1">IFERROR(IF(OR(OFFSET('S4'!#REF!,MATCH($A416,'S4'!$D$5:$D$3387,0)-1,6)="巻返し",OFFSET('S4'!#REF!,MATCH($A416,'S4'!$D$5:$D$3387,0)-1,6)="スリット"),SUMIF('S4'!$D$5:$D$3387,$A416,'S4'!$U$5:$U$3387),""),"")</f>
        <v/>
      </c>
      <c r="AB416" s="149" t="str">
        <f ca="1">IFERROR(IF(OR(OFFSET('S5'!#REF!,MATCH($A416,'S5'!$D$5:$D$2917,0)-1,6)="巻返し",OFFSET('S5'!#REF!,MATCH($A416,'S5'!$D$5:$D$2917,0)-1,6)="スリット"),SUMIF('S5'!$D$5:$D$2917,$A416,'S5'!$T$5:$T$2917),""),"")</f>
        <v/>
      </c>
    </row>
    <row r="417" spans="1:28" s="144" customFormat="1" ht="13.5" x14ac:dyDescent="0.15">
      <c r="A417" s="296">
        <v>3712093</v>
      </c>
      <c r="B417" s="296" t="s">
        <v>351</v>
      </c>
      <c r="C417" s="296" t="s">
        <v>364</v>
      </c>
      <c r="D417" s="296" t="s">
        <v>353</v>
      </c>
      <c r="E417" s="296" t="s">
        <v>148</v>
      </c>
      <c r="F417" s="296">
        <v>3</v>
      </c>
      <c r="G417" s="296" t="s">
        <v>19</v>
      </c>
      <c r="H417" s="296" t="s">
        <v>20</v>
      </c>
      <c r="I417" s="296" t="s">
        <v>143</v>
      </c>
      <c r="J417" s="296"/>
      <c r="K417" s="296" t="s">
        <v>149</v>
      </c>
      <c r="L417" s="296">
        <v>25</v>
      </c>
      <c r="M417" s="296" t="s">
        <v>150</v>
      </c>
      <c r="N417" s="297">
        <v>1120</v>
      </c>
      <c r="O417" s="297">
        <v>1120</v>
      </c>
      <c r="P417" s="297">
        <v>6000</v>
      </c>
      <c r="Q417" s="296">
        <v>2</v>
      </c>
      <c r="R417" s="296">
        <v>2</v>
      </c>
      <c r="S417" s="296" t="s">
        <v>354</v>
      </c>
      <c r="T417" s="298">
        <v>45068</v>
      </c>
      <c r="U417" s="298">
        <v>45100</v>
      </c>
      <c r="V417" s="296" t="s">
        <v>355</v>
      </c>
      <c r="W417" s="296"/>
      <c r="X417" s="296"/>
      <c r="Y417" s="146"/>
      <c r="Z417" s="149" t="str">
        <f t="shared" ca="1" si="6"/>
        <v/>
      </c>
      <c r="AA417" s="149" t="str">
        <f ca="1">IFERROR(IF(OR(OFFSET('S4'!#REF!,MATCH($A417,'S4'!$D$5:$D$3387,0)-1,6)="巻返し",OFFSET('S4'!#REF!,MATCH($A417,'S4'!$D$5:$D$3387,0)-1,6)="スリット"),SUMIF('S4'!$D$5:$D$3387,$A417,'S4'!$U$5:$U$3387),""),"")</f>
        <v/>
      </c>
      <c r="AB417" s="149" t="str">
        <f ca="1">IFERROR(IF(OR(OFFSET('S5'!#REF!,MATCH($A417,'S5'!$D$5:$D$2917,0)-1,6)="巻返し",OFFSET('S5'!#REF!,MATCH($A417,'S5'!$D$5:$D$2917,0)-1,6)="スリット"),SUMIF('S5'!$D$5:$D$2917,$A417,'S5'!$T$5:$T$2917),""),"")</f>
        <v/>
      </c>
    </row>
    <row r="418" spans="1:28" s="144" customFormat="1" ht="13.5" x14ac:dyDescent="0.15">
      <c r="A418" s="296">
        <v>3712094</v>
      </c>
      <c r="B418" s="296" t="s">
        <v>351</v>
      </c>
      <c r="C418" s="296" t="s">
        <v>364</v>
      </c>
      <c r="D418" s="296" t="s">
        <v>353</v>
      </c>
      <c r="E418" s="296" t="s">
        <v>148</v>
      </c>
      <c r="F418" s="296">
        <v>3</v>
      </c>
      <c r="G418" s="296" t="s">
        <v>19</v>
      </c>
      <c r="H418" s="296" t="s">
        <v>20</v>
      </c>
      <c r="I418" s="296" t="s">
        <v>143</v>
      </c>
      <c r="J418" s="296"/>
      <c r="K418" s="296" t="s">
        <v>149</v>
      </c>
      <c r="L418" s="296">
        <v>50</v>
      </c>
      <c r="M418" s="296" t="s">
        <v>150</v>
      </c>
      <c r="N418" s="297">
        <v>1120</v>
      </c>
      <c r="O418" s="297">
        <v>1120</v>
      </c>
      <c r="P418" s="297">
        <v>6000</v>
      </c>
      <c r="Q418" s="296">
        <v>2</v>
      </c>
      <c r="R418" s="296">
        <v>3</v>
      </c>
      <c r="S418" s="296" t="s">
        <v>354</v>
      </c>
      <c r="T418" s="298">
        <v>45068</v>
      </c>
      <c r="U418" s="298">
        <v>45100</v>
      </c>
      <c r="V418" s="296" t="s">
        <v>355</v>
      </c>
      <c r="W418" s="296"/>
      <c r="X418" s="296"/>
      <c r="Y418" s="146"/>
      <c r="Z418" s="149" t="str">
        <f t="shared" ca="1" si="6"/>
        <v/>
      </c>
      <c r="AA418" s="149" t="str">
        <f ca="1">IFERROR(IF(OR(OFFSET('S4'!#REF!,MATCH($A418,'S4'!$D$5:$D$3387,0)-1,6)="巻返し",OFFSET('S4'!#REF!,MATCH($A418,'S4'!$D$5:$D$3387,0)-1,6)="スリット"),SUMIF('S4'!$D$5:$D$3387,$A418,'S4'!$U$5:$U$3387),""),"")</f>
        <v/>
      </c>
      <c r="AB418" s="149" t="str">
        <f ca="1">IFERROR(IF(OR(OFFSET('S5'!#REF!,MATCH($A418,'S5'!$D$5:$D$2917,0)-1,6)="巻返し",OFFSET('S5'!#REF!,MATCH($A418,'S5'!$D$5:$D$2917,0)-1,6)="スリット"),SUMIF('S5'!$D$5:$D$2917,$A418,'S5'!$T$5:$T$2917),""),"")</f>
        <v/>
      </c>
    </row>
    <row r="419" spans="1:28" s="144" customFormat="1" ht="13.5" x14ac:dyDescent="0.15">
      <c r="A419" s="296">
        <v>3712095</v>
      </c>
      <c r="B419" s="296" t="s">
        <v>351</v>
      </c>
      <c r="C419" s="296" t="s">
        <v>364</v>
      </c>
      <c r="D419" s="296" t="s">
        <v>353</v>
      </c>
      <c r="E419" s="296" t="s">
        <v>148</v>
      </c>
      <c r="F419" s="296">
        <v>3</v>
      </c>
      <c r="G419" s="296" t="s">
        <v>19</v>
      </c>
      <c r="H419" s="296" t="s">
        <v>20</v>
      </c>
      <c r="I419" s="296" t="s">
        <v>165</v>
      </c>
      <c r="J419" s="296"/>
      <c r="K419" s="296" t="s">
        <v>169</v>
      </c>
      <c r="L419" s="296">
        <v>50</v>
      </c>
      <c r="M419" s="296" t="s">
        <v>170</v>
      </c>
      <c r="N419" s="297">
        <v>1120</v>
      </c>
      <c r="O419" s="297">
        <v>1120</v>
      </c>
      <c r="P419" s="297">
        <v>6000</v>
      </c>
      <c r="Q419" s="296">
        <v>2</v>
      </c>
      <c r="R419" s="296">
        <v>4</v>
      </c>
      <c r="S419" s="296" t="s">
        <v>354</v>
      </c>
      <c r="T419" s="298">
        <v>45068</v>
      </c>
      <c r="U419" s="298">
        <v>45100</v>
      </c>
      <c r="V419" s="296" t="s">
        <v>355</v>
      </c>
      <c r="W419" s="296"/>
      <c r="X419" s="296"/>
      <c r="Y419" s="146"/>
      <c r="Z419" s="149" t="str">
        <f t="shared" ca="1" si="6"/>
        <v/>
      </c>
      <c r="AA419" s="149" t="str">
        <f ca="1">IFERROR(IF(OR(OFFSET('S4'!#REF!,MATCH($A419,'S4'!$D$5:$D$3387,0)-1,6)="巻返し",OFFSET('S4'!#REF!,MATCH($A419,'S4'!$D$5:$D$3387,0)-1,6)="スリット"),SUMIF('S4'!$D$5:$D$3387,$A419,'S4'!$U$5:$U$3387),""),"")</f>
        <v/>
      </c>
      <c r="AB419" s="149" t="str">
        <f ca="1">IFERROR(IF(OR(OFFSET('S5'!#REF!,MATCH($A419,'S5'!$D$5:$D$2917,0)-1,6)="巻返し",OFFSET('S5'!#REF!,MATCH($A419,'S5'!$D$5:$D$2917,0)-1,6)="スリット"),SUMIF('S5'!$D$5:$D$2917,$A419,'S5'!$T$5:$T$2917),""),"")</f>
        <v/>
      </c>
    </row>
    <row r="420" spans="1:28" s="144" customFormat="1" ht="13.5" x14ac:dyDescent="0.15">
      <c r="A420" s="296">
        <v>3712096</v>
      </c>
      <c r="B420" s="296" t="s">
        <v>351</v>
      </c>
      <c r="C420" s="296" t="s">
        <v>364</v>
      </c>
      <c r="D420" s="296" t="s">
        <v>353</v>
      </c>
      <c r="E420" s="296" t="s">
        <v>148</v>
      </c>
      <c r="F420" s="296">
        <v>3</v>
      </c>
      <c r="G420" s="296" t="s">
        <v>19</v>
      </c>
      <c r="H420" s="296" t="s">
        <v>20</v>
      </c>
      <c r="I420" s="296" t="s">
        <v>165</v>
      </c>
      <c r="J420" s="296"/>
      <c r="K420" s="296" t="s">
        <v>190</v>
      </c>
      <c r="L420" s="296">
        <v>25</v>
      </c>
      <c r="M420" s="296" t="s">
        <v>191</v>
      </c>
      <c r="N420" s="297">
        <v>1020</v>
      </c>
      <c r="O420" s="297">
        <v>1020</v>
      </c>
      <c r="P420" s="297">
        <v>6000</v>
      </c>
      <c r="Q420" s="296">
        <v>2</v>
      </c>
      <c r="R420" s="296">
        <v>6</v>
      </c>
      <c r="S420" s="296" t="s">
        <v>354</v>
      </c>
      <c r="T420" s="298">
        <v>45068</v>
      </c>
      <c r="U420" s="298">
        <v>45100</v>
      </c>
      <c r="V420" s="296" t="s">
        <v>355</v>
      </c>
      <c r="W420" s="296"/>
      <c r="X420" s="296"/>
      <c r="Y420" s="146"/>
      <c r="Z420" s="149" t="str">
        <f t="shared" ca="1" si="6"/>
        <v/>
      </c>
      <c r="AA420" s="149" t="str">
        <f ca="1">IFERROR(IF(OR(OFFSET('S4'!#REF!,MATCH($A420,'S4'!$D$5:$D$3387,0)-1,6)="巻返し",OFFSET('S4'!#REF!,MATCH($A420,'S4'!$D$5:$D$3387,0)-1,6)="スリット"),SUMIF('S4'!$D$5:$D$3387,$A420,'S4'!$U$5:$U$3387),""),"")</f>
        <v/>
      </c>
      <c r="AB420" s="149" t="str">
        <f ca="1">IFERROR(IF(OR(OFFSET('S5'!#REF!,MATCH($A420,'S5'!$D$5:$D$2917,0)-1,6)="巻返し",OFFSET('S5'!#REF!,MATCH($A420,'S5'!$D$5:$D$2917,0)-1,6)="スリット"),SUMIF('S5'!$D$5:$D$2917,$A420,'S5'!$T$5:$T$2917),""),"")</f>
        <v/>
      </c>
    </row>
    <row r="421" spans="1:28" s="144" customFormat="1" ht="13.5" x14ac:dyDescent="0.15">
      <c r="A421" s="296">
        <v>3712097</v>
      </c>
      <c r="B421" s="296" t="s">
        <v>351</v>
      </c>
      <c r="C421" s="296" t="s">
        <v>364</v>
      </c>
      <c r="D421" s="296" t="s">
        <v>353</v>
      </c>
      <c r="E421" s="296" t="s">
        <v>148</v>
      </c>
      <c r="F421" s="296">
        <v>3</v>
      </c>
      <c r="G421" s="296" t="s">
        <v>19</v>
      </c>
      <c r="H421" s="296" t="s">
        <v>20</v>
      </c>
      <c r="I421" s="296" t="s">
        <v>165</v>
      </c>
      <c r="J421" s="296"/>
      <c r="K421" s="296" t="s">
        <v>202</v>
      </c>
      <c r="L421" s="296">
        <v>50</v>
      </c>
      <c r="M421" s="296" t="s">
        <v>424</v>
      </c>
      <c r="N421" s="297">
        <v>1120</v>
      </c>
      <c r="O421" s="297">
        <v>1120</v>
      </c>
      <c r="P421" s="297">
        <v>5000</v>
      </c>
      <c r="Q421" s="296">
        <v>2</v>
      </c>
      <c r="R421" s="296">
        <v>4</v>
      </c>
      <c r="S421" s="296" t="s">
        <v>354</v>
      </c>
      <c r="T421" s="298">
        <v>45068</v>
      </c>
      <c r="U421" s="298">
        <v>45100</v>
      </c>
      <c r="V421" s="296" t="s">
        <v>355</v>
      </c>
      <c r="W421" s="296"/>
      <c r="X421" s="296"/>
      <c r="Y421" s="146"/>
      <c r="Z421" s="149" t="str">
        <f t="shared" ca="1" si="6"/>
        <v/>
      </c>
      <c r="AA421" s="149" t="str">
        <f ca="1">IFERROR(IF(OR(OFFSET('S4'!#REF!,MATCH($A421,'S4'!$D$5:$D$3387,0)-1,6)="巻返し",OFFSET('S4'!#REF!,MATCH($A421,'S4'!$D$5:$D$3387,0)-1,6)="スリット"),SUMIF('S4'!$D$5:$D$3387,$A421,'S4'!$U$5:$U$3387),""),"")</f>
        <v/>
      </c>
      <c r="AB421" s="149" t="str">
        <f ca="1">IFERROR(IF(OR(OFFSET('S5'!#REF!,MATCH($A421,'S5'!$D$5:$D$2917,0)-1,6)="巻返し",OFFSET('S5'!#REF!,MATCH($A421,'S5'!$D$5:$D$2917,0)-1,6)="スリット"),SUMIF('S5'!$D$5:$D$2917,$A421,'S5'!$T$5:$T$2917),""),"")</f>
        <v/>
      </c>
    </row>
    <row r="422" spans="1:28" s="144" customFormat="1" ht="13.5" x14ac:dyDescent="0.15">
      <c r="A422" s="296">
        <v>3712099</v>
      </c>
      <c r="B422" s="296" t="s">
        <v>351</v>
      </c>
      <c r="C422" s="296" t="s">
        <v>352</v>
      </c>
      <c r="D422" s="296" t="s">
        <v>353</v>
      </c>
      <c r="E422" s="296" t="s">
        <v>116</v>
      </c>
      <c r="F422" s="296">
        <v>3</v>
      </c>
      <c r="G422" s="296" t="s">
        <v>19</v>
      </c>
      <c r="H422" s="296" t="s">
        <v>20</v>
      </c>
      <c r="I422" s="296" t="s">
        <v>205</v>
      </c>
      <c r="J422" s="296"/>
      <c r="K422" s="296" t="s">
        <v>212</v>
      </c>
      <c r="L422" s="296">
        <v>25</v>
      </c>
      <c r="M422" s="296" t="s">
        <v>213</v>
      </c>
      <c r="N422" s="297">
        <v>1000</v>
      </c>
      <c r="O422" s="297">
        <v>1000</v>
      </c>
      <c r="P422" s="297">
        <v>4000</v>
      </c>
      <c r="Q422" s="296">
        <v>2</v>
      </c>
      <c r="R422" s="296">
        <v>3</v>
      </c>
      <c r="S422" s="296" t="s">
        <v>354</v>
      </c>
      <c r="T422" s="298">
        <v>45068</v>
      </c>
      <c r="U422" s="298">
        <v>45100</v>
      </c>
      <c r="V422" s="296" t="s">
        <v>355</v>
      </c>
      <c r="W422" s="296"/>
      <c r="X422" s="296"/>
      <c r="Y422" s="146"/>
      <c r="Z422" s="149" t="str">
        <f t="shared" ca="1" si="6"/>
        <v/>
      </c>
      <c r="AA422" s="149" t="str">
        <f ca="1">IFERROR(IF(OR(OFFSET('S4'!#REF!,MATCH($A422,'S4'!$D$5:$D$3387,0)-1,6)="巻返し",OFFSET('S4'!#REF!,MATCH($A422,'S4'!$D$5:$D$3387,0)-1,6)="スリット"),SUMIF('S4'!$D$5:$D$3387,$A422,'S4'!$U$5:$U$3387),""),"")</f>
        <v/>
      </c>
      <c r="AB422" s="149" t="str">
        <f ca="1">IFERROR(IF(OR(OFFSET('S5'!#REF!,MATCH($A422,'S5'!$D$5:$D$2917,0)-1,6)="巻返し",OFFSET('S5'!#REF!,MATCH($A422,'S5'!$D$5:$D$2917,0)-1,6)="スリット"),SUMIF('S5'!$D$5:$D$2917,$A422,'S5'!$T$5:$T$2917),""),"")</f>
        <v/>
      </c>
    </row>
    <row r="423" spans="1:28" s="144" customFormat="1" ht="13.5" x14ac:dyDescent="0.15">
      <c r="A423" s="296">
        <v>3712100</v>
      </c>
      <c r="B423" s="296" t="s">
        <v>351</v>
      </c>
      <c r="C423" s="296" t="s">
        <v>352</v>
      </c>
      <c r="D423" s="296" t="s">
        <v>353</v>
      </c>
      <c r="E423" s="296" t="s">
        <v>116</v>
      </c>
      <c r="F423" s="296">
        <v>3</v>
      </c>
      <c r="G423" s="296" t="s">
        <v>19</v>
      </c>
      <c r="H423" s="296" t="s">
        <v>20</v>
      </c>
      <c r="I423" s="296" t="s">
        <v>205</v>
      </c>
      <c r="J423" s="296"/>
      <c r="K423" s="296" t="s">
        <v>212</v>
      </c>
      <c r="L423" s="296">
        <v>25</v>
      </c>
      <c r="M423" s="296" t="s">
        <v>213</v>
      </c>
      <c r="N423" s="297">
        <v>1120</v>
      </c>
      <c r="O423" s="297">
        <v>1120</v>
      </c>
      <c r="P423" s="297">
        <v>4000</v>
      </c>
      <c r="Q423" s="296">
        <v>2</v>
      </c>
      <c r="R423" s="296">
        <v>3</v>
      </c>
      <c r="S423" s="296" t="s">
        <v>354</v>
      </c>
      <c r="T423" s="298">
        <v>45068</v>
      </c>
      <c r="U423" s="298">
        <v>45096</v>
      </c>
      <c r="V423" s="296" t="s">
        <v>355</v>
      </c>
      <c r="W423" s="296"/>
      <c r="X423" s="296"/>
      <c r="Y423" s="146"/>
      <c r="Z423" s="149" t="str">
        <f t="shared" ca="1" si="6"/>
        <v/>
      </c>
      <c r="AA423" s="149" t="str">
        <f ca="1">IFERROR(IF(OR(OFFSET('S4'!#REF!,MATCH($A423,'S4'!$D$5:$D$3387,0)-1,6)="巻返し",OFFSET('S4'!#REF!,MATCH($A423,'S4'!$D$5:$D$3387,0)-1,6)="スリット"),SUMIF('S4'!$D$5:$D$3387,$A423,'S4'!$U$5:$U$3387),""),"")</f>
        <v/>
      </c>
      <c r="AB423" s="149" t="str">
        <f ca="1">IFERROR(IF(OR(OFFSET('S5'!#REF!,MATCH($A423,'S5'!$D$5:$D$2917,0)-1,6)="巻返し",OFFSET('S5'!#REF!,MATCH($A423,'S5'!$D$5:$D$2917,0)-1,6)="スリット"),SUMIF('S5'!$D$5:$D$2917,$A423,'S5'!$T$5:$T$2917),""),"")</f>
        <v/>
      </c>
    </row>
    <row r="424" spans="1:28" s="144" customFormat="1" ht="13.5" x14ac:dyDescent="0.15">
      <c r="A424" s="296">
        <v>3712101</v>
      </c>
      <c r="B424" s="296" t="s">
        <v>351</v>
      </c>
      <c r="C424" s="296" t="s">
        <v>352</v>
      </c>
      <c r="D424" s="296" t="s">
        <v>353</v>
      </c>
      <c r="E424" s="296" t="s">
        <v>116</v>
      </c>
      <c r="F424" s="296">
        <v>3</v>
      </c>
      <c r="G424" s="296" t="s">
        <v>19</v>
      </c>
      <c r="H424" s="296" t="s">
        <v>20</v>
      </c>
      <c r="I424" s="296" t="s">
        <v>205</v>
      </c>
      <c r="J424" s="296"/>
      <c r="K424" s="296" t="s">
        <v>212</v>
      </c>
      <c r="L424" s="296">
        <v>50</v>
      </c>
      <c r="M424" s="296" t="s">
        <v>213</v>
      </c>
      <c r="N424" s="297">
        <v>1120</v>
      </c>
      <c r="O424" s="297">
        <v>1120</v>
      </c>
      <c r="P424" s="297">
        <v>4000</v>
      </c>
      <c r="Q424" s="296">
        <v>2</v>
      </c>
      <c r="R424" s="296">
        <v>18</v>
      </c>
      <c r="S424" s="296" t="s">
        <v>354</v>
      </c>
      <c r="T424" s="298">
        <v>45068</v>
      </c>
      <c r="U424" s="298">
        <v>45100</v>
      </c>
      <c r="V424" s="296" t="s">
        <v>355</v>
      </c>
      <c r="W424" s="296"/>
      <c r="X424" s="296"/>
      <c r="Y424" s="146"/>
      <c r="Z424" s="149" t="str">
        <f t="shared" ca="1" si="6"/>
        <v/>
      </c>
      <c r="AA424" s="149" t="str">
        <f ca="1">IFERROR(IF(OR(OFFSET('S4'!#REF!,MATCH($A424,'S4'!$D$5:$D$3387,0)-1,6)="巻返し",OFFSET('S4'!#REF!,MATCH($A424,'S4'!$D$5:$D$3387,0)-1,6)="スリット"),SUMIF('S4'!$D$5:$D$3387,$A424,'S4'!$U$5:$U$3387),""),"")</f>
        <v/>
      </c>
      <c r="AB424" s="149" t="str">
        <f ca="1">IFERROR(IF(OR(OFFSET('S5'!#REF!,MATCH($A424,'S5'!$D$5:$D$2917,0)-1,6)="巻返し",OFFSET('S5'!#REF!,MATCH($A424,'S5'!$D$5:$D$2917,0)-1,6)="スリット"),SUMIF('S5'!$D$5:$D$2917,$A424,'S5'!$T$5:$T$2917),""),"")</f>
        <v/>
      </c>
    </row>
    <row r="425" spans="1:28" s="144" customFormat="1" ht="13.5" x14ac:dyDescent="0.15">
      <c r="A425" s="296">
        <v>3712102</v>
      </c>
      <c r="B425" s="296" t="s">
        <v>351</v>
      </c>
      <c r="C425" s="296" t="s">
        <v>352</v>
      </c>
      <c r="D425" s="296" t="s">
        <v>353</v>
      </c>
      <c r="E425" s="296" t="s">
        <v>116</v>
      </c>
      <c r="F425" s="296">
        <v>3</v>
      </c>
      <c r="G425" s="296" t="s">
        <v>19</v>
      </c>
      <c r="H425" s="296" t="s">
        <v>20</v>
      </c>
      <c r="I425" s="296" t="s">
        <v>205</v>
      </c>
      <c r="J425" s="296"/>
      <c r="K425" s="296" t="s">
        <v>212</v>
      </c>
      <c r="L425" s="296">
        <v>50</v>
      </c>
      <c r="M425" s="296" t="s">
        <v>213</v>
      </c>
      <c r="N425" s="297">
        <v>1120</v>
      </c>
      <c r="O425" s="297">
        <v>1120</v>
      </c>
      <c r="P425" s="297">
        <v>4000</v>
      </c>
      <c r="Q425" s="296">
        <v>2</v>
      </c>
      <c r="R425" s="296">
        <v>9</v>
      </c>
      <c r="S425" s="296" t="s">
        <v>354</v>
      </c>
      <c r="T425" s="298">
        <v>45068</v>
      </c>
      <c r="U425" s="298">
        <v>45100</v>
      </c>
      <c r="V425" s="296" t="s">
        <v>355</v>
      </c>
      <c r="W425" s="296"/>
      <c r="X425" s="296"/>
      <c r="Y425" s="146"/>
      <c r="Z425" s="149" t="str">
        <f t="shared" ca="1" si="6"/>
        <v/>
      </c>
      <c r="AA425" s="149" t="str">
        <f ca="1">IFERROR(IF(OR(OFFSET('S4'!#REF!,MATCH($A425,'S4'!$D$5:$D$3387,0)-1,6)="巻返し",OFFSET('S4'!#REF!,MATCH($A425,'S4'!$D$5:$D$3387,0)-1,6)="スリット"),SUMIF('S4'!$D$5:$D$3387,$A425,'S4'!$U$5:$U$3387),""),"")</f>
        <v/>
      </c>
      <c r="AB425" s="149" t="str">
        <f ca="1">IFERROR(IF(OR(OFFSET('S5'!#REF!,MATCH($A425,'S5'!$D$5:$D$2917,0)-1,6)="巻返し",OFFSET('S5'!#REF!,MATCH($A425,'S5'!$D$5:$D$2917,0)-1,6)="スリット"),SUMIF('S5'!$D$5:$D$2917,$A425,'S5'!$T$5:$T$2917),""),"")</f>
        <v/>
      </c>
    </row>
    <row r="426" spans="1:28" s="144" customFormat="1" ht="13.5" x14ac:dyDescent="0.15">
      <c r="A426" s="296">
        <v>3712103</v>
      </c>
      <c r="B426" s="296" t="s">
        <v>351</v>
      </c>
      <c r="C426" s="296" t="s">
        <v>352</v>
      </c>
      <c r="D426" s="296" t="s">
        <v>353</v>
      </c>
      <c r="E426" s="296" t="s">
        <v>116</v>
      </c>
      <c r="F426" s="296">
        <v>3</v>
      </c>
      <c r="G426" s="296" t="s">
        <v>19</v>
      </c>
      <c r="H426" s="296" t="s">
        <v>20</v>
      </c>
      <c r="I426" s="296" t="s">
        <v>205</v>
      </c>
      <c r="J426" s="296"/>
      <c r="K426" s="296" t="s">
        <v>211</v>
      </c>
      <c r="L426" s="296">
        <v>50</v>
      </c>
      <c r="M426" s="296" t="s">
        <v>370</v>
      </c>
      <c r="N426" s="297">
        <v>1050</v>
      </c>
      <c r="O426" s="297">
        <v>1050</v>
      </c>
      <c r="P426" s="297">
        <v>4100</v>
      </c>
      <c r="Q426" s="296">
        <v>2</v>
      </c>
      <c r="R426" s="296">
        <v>4</v>
      </c>
      <c r="S426" s="296" t="s">
        <v>354</v>
      </c>
      <c r="T426" s="298">
        <v>45068</v>
      </c>
      <c r="U426" s="298">
        <v>45100</v>
      </c>
      <c r="V426" s="296" t="s">
        <v>355</v>
      </c>
      <c r="W426" s="296"/>
      <c r="X426" s="296"/>
      <c r="Y426" s="146"/>
      <c r="Z426" s="149" t="str">
        <f t="shared" ca="1" si="6"/>
        <v/>
      </c>
      <c r="AA426" s="149" t="str">
        <f ca="1">IFERROR(IF(OR(OFFSET('S4'!#REF!,MATCH($A426,'S4'!$D$5:$D$3387,0)-1,6)="巻返し",OFFSET('S4'!#REF!,MATCH($A426,'S4'!$D$5:$D$3387,0)-1,6)="スリット"),SUMIF('S4'!$D$5:$D$3387,$A426,'S4'!$U$5:$U$3387),""),"")</f>
        <v/>
      </c>
      <c r="AB426" s="149" t="str">
        <f ca="1">IFERROR(IF(OR(OFFSET('S5'!#REF!,MATCH($A426,'S5'!$D$5:$D$2917,0)-1,6)="巻返し",OFFSET('S5'!#REF!,MATCH($A426,'S5'!$D$5:$D$2917,0)-1,6)="スリット"),SUMIF('S5'!$D$5:$D$2917,$A426,'S5'!$T$5:$T$2917),""),"")</f>
        <v/>
      </c>
    </row>
    <row r="427" spans="1:28" s="144" customFormat="1" ht="13.5" x14ac:dyDescent="0.15">
      <c r="A427" s="296">
        <v>3712104</v>
      </c>
      <c r="B427" s="296" t="s">
        <v>351</v>
      </c>
      <c r="C427" s="296" t="s">
        <v>352</v>
      </c>
      <c r="D427" s="296" t="s">
        <v>353</v>
      </c>
      <c r="E427" s="296" t="s">
        <v>116</v>
      </c>
      <c r="F427" s="296">
        <v>3</v>
      </c>
      <c r="G427" s="296" t="s">
        <v>19</v>
      </c>
      <c r="H427" s="296" t="s">
        <v>20</v>
      </c>
      <c r="I427" s="296" t="s">
        <v>205</v>
      </c>
      <c r="J427" s="296"/>
      <c r="K427" s="296" t="s">
        <v>211</v>
      </c>
      <c r="L427" s="296">
        <v>75</v>
      </c>
      <c r="M427" s="296" t="s">
        <v>370</v>
      </c>
      <c r="N427" s="297">
        <v>1050</v>
      </c>
      <c r="O427" s="297">
        <v>1050</v>
      </c>
      <c r="P427" s="297">
        <v>2000</v>
      </c>
      <c r="Q427" s="296">
        <v>2</v>
      </c>
      <c r="R427" s="296">
        <v>2</v>
      </c>
      <c r="S427" s="296" t="s">
        <v>354</v>
      </c>
      <c r="T427" s="298">
        <v>45068</v>
      </c>
      <c r="U427" s="298">
        <v>45096</v>
      </c>
      <c r="V427" s="296" t="s">
        <v>355</v>
      </c>
      <c r="W427" s="296"/>
      <c r="X427" s="296"/>
      <c r="Y427" s="146"/>
      <c r="Z427" s="149" t="str">
        <f t="shared" ca="1" si="6"/>
        <v/>
      </c>
      <c r="AA427" s="149" t="str">
        <f ca="1">IFERROR(IF(OR(OFFSET('S4'!#REF!,MATCH($A427,'S4'!$D$5:$D$3387,0)-1,6)="巻返し",OFFSET('S4'!#REF!,MATCH($A427,'S4'!$D$5:$D$3387,0)-1,6)="スリット"),SUMIF('S4'!$D$5:$D$3387,$A427,'S4'!$U$5:$U$3387),""),"")</f>
        <v/>
      </c>
      <c r="AB427" s="149" t="str">
        <f ca="1">IFERROR(IF(OR(OFFSET('S5'!#REF!,MATCH($A427,'S5'!$D$5:$D$2917,0)-1,6)="巻返し",OFFSET('S5'!#REF!,MATCH($A427,'S5'!$D$5:$D$2917,0)-1,6)="スリット"),SUMIF('S5'!$D$5:$D$2917,$A427,'S5'!$T$5:$T$2917),""),"")</f>
        <v/>
      </c>
    </row>
    <row r="428" spans="1:28" s="144" customFormat="1" ht="13.5" x14ac:dyDescent="0.15">
      <c r="A428" s="296">
        <v>3712105</v>
      </c>
      <c r="B428" s="296" t="s">
        <v>351</v>
      </c>
      <c r="C428" s="296" t="s">
        <v>352</v>
      </c>
      <c r="D428" s="296" t="s">
        <v>353</v>
      </c>
      <c r="E428" s="296" t="s">
        <v>116</v>
      </c>
      <c r="F428" s="296">
        <v>3</v>
      </c>
      <c r="G428" s="296" t="s">
        <v>19</v>
      </c>
      <c r="H428" s="296" t="s">
        <v>20</v>
      </c>
      <c r="I428" s="296" t="s">
        <v>205</v>
      </c>
      <c r="J428" s="296"/>
      <c r="K428" s="296" t="s">
        <v>216</v>
      </c>
      <c r="L428" s="296">
        <v>50</v>
      </c>
      <c r="M428" s="296" t="s">
        <v>217</v>
      </c>
      <c r="N428" s="297">
        <v>1120</v>
      </c>
      <c r="O428" s="297">
        <v>1120</v>
      </c>
      <c r="P428" s="297">
        <v>5000</v>
      </c>
      <c r="Q428" s="296">
        <v>2</v>
      </c>
      <c r="R428" s="296">
        <v>15</v>
      </c>
      <c r="S428" s="296" t="s">
        <v>354</v>
      </c>
      <c r="T428" s="298">
        <v>45068</v>
      </c>
      <c r="U428" s="298">
        <v>45107</v>
      </c>
      <c r="V428" s="296" t="s">
        <v>355</v>
      </c>
      <c r="W428" s="296"/>
      <c r="X428" s="296"/>
      <c r="Y428" s="146"/>
      <c r="Z428" s="149" t="str">
        <f t="shared" ca="1" si="6"/>
        <v/>
      </c>
      <c r="AA428" s="149" t="str">
        <f ca="1">IFERROR(IF(OR(OFFSET('S4'!#REF!,MATCH($A428,'S4'!$D$5:$D$3387,0)-1,6)="巻返し",OFFSET('S4'!#REF!,MATCH($A428,'S4'!$D$5:$D$3387,0)-1,6)="スリット"),SUMIF('S4'!$D$5:$D$3387,$A428,'S4'!$U$5:$U$3387),""),"")</f>
        <v/>
      </c>
      <c r="AB428" s="149" t="str">
        <f ca="1">IFERROR(IF(OR(OFFSET('S5'!#REF!,MATCH($A428,'S5'!$D$5:$D$2917,0)-1,6)="巻返し",OFFSET('S5'!#REF!,MATCH($A428,'S5'!$D$5:$D$2917,0)-1,6)="スリット"),SUMIF('S5'!$D$5:$D$2917,$A428,'S5'!$T$5:$T$2917),""),"")</f>
        <v/>
      </c>
    </row>
    <row r="429" spans="1:28" s="144" customFormat="1" ht="13.5" x14ac:dyDescent="0.15">
      <c r="A429" s="296">
        <v>3712106</v>
      </c>
      <c r="B429" s="296" t="s">
        <v>351</v>
      </c>
      <c r="C429" s="296" t="s">
        <v>352</v>
      </c>
      <c r="D429" s="296" t="s">
        <v>353</v>
      </c>
      <c r="E429" s="296" t="s">
        <v>116</v>
      </c>
      <c r="F429" s="296">
        <v>3</v>
      </c>
      <c r="G429" s="296" t="s">
        <v>19</v>
      </c>
      <c r="H429" s="296" t="s">
        <v>20</v>
      </c>
      <c r="I429" s="296" t="s">
        <v>205</v>
      </c>
      <c r="J429" s="296"/>
      <c r="K429" s="296" t="s">
        <v>216</v>
      </c>
      <c r="L429" s="296">
        <v>50</v>
      </c>
      <c r="M429" s="296" t="s">
        <v>217</v>
      </c>
      <c r="N429" s="297">
        <v>1120</v>
      </c>
      <c r="O429" s="297">
        <v>1120</v>
      </c>
      <c r="P429" s="297">
        <v>5000</v>
      </c>
      <c r="Q429" s="296">
        <v>2</v>
      </c>
      <c r="R429" s="296">
        <v>15</v>
      </c>
      <c r="S429" s="296" t="s">
        <v>354</v>
      </c>
      <c r="T429" s="298">
        <v>45068</v>
      </c>
      <c r="U429" s="298">
        <v>45107</v>
      </c>
      <c r="V429" s="296" t="s">
        <v>355</v>
      </c>
      <c r="W429" s="296"/>
      <c r="X429" s="296"/>
      <c r="Y429" s="146"/>
      <c r="Z429" s="149" t="str">
        <f t="shared" ca="1" si="6"/>
        <v/>
      </c>
      <c r="AA429" s="149" t="str">
        <f ca="1">IFERROR(IF(OR(OFFSET('S4'!#REF!,MATCH($A429,'S4'!$D$5:$D$3387,0)-1,6)="巻返し",OFFSET('S4'!#REF!,MATCH($A429,'S4'!$D$5:$D$3387,0)-1,6)="スリット"),SUMIF('S4'!$D$5:$D$3387,$A429,'S4'!$U$5:$U$3387),""),"")</f>
        <v/>
      </c>
      <c r="AB429" s="149" t="str">
        <f ca="1">IFERROR(IF(OR(OFFSET('S5'!#REF!,MATCH($A429,'S5'!$D$5:$D$2917,0)-1,6)="巻返し",OFFSET('S5'!#REF!,MATCH($A429,'S5'!$D$5:$D$2917,0)-1,6)="スリット"),SUMIF('S5'!$D$5:$D$2917,$A429,'S5'!$T$5:$T$2917),""),"")</f>
        <v/>
      </c>
    </row>
    <row r="430" spans="1:28" s="144" customFormat="1" ht="13.5" x14ac:dyDescent="0.15">
      <c r="A430" s="296">
        <v>3712107</v>
      </c>
      <c r="B430" s="296" t="s">
        <v>351</v>
      </c>
      <c r="C430" s="296" t="s">
        <v>352</v>
      </c>
      <c r="D430" s="296" t="s">
        <v>353</v>
      </c>
      <c r="E430" s="296" t="s">
        <v>116</v>
      </c>
      <c r="F430" s="296">
        <v>3</v>
      </c>
      <c r="G430" s="296" t="s">
        <v>19</v>
      </c>
      <c r="H430" s="296" t="s">
        <v>20</v>
      </c>
      <c r="I430" s="296" t="s">
        <v>205</v>
      </c>
      <c r="J430" s="296"/>
      <c r="K430" s="296" t="s">
        <v>218</v>
      </c>
      <c r="L430" s="296">
        <v>25</v>
      </c>
      <c r="M430" s="296" t="s">
        <v>219</v>
      </c>
      <c r="N430" s="297">
        <v>1005</v>
      </c>
      <c r="O430" s="297">
        <v>1000</v>
      </c>
      <c r="P430" s="297">
        <v>4000</v>
      </c>
      <c r="Q430" s="296">
        <v>2</v>
      </c>
      <c r="R430" s="296">
        <v>4</v>
      </c>
      <c r="S430" s="296" t="s">
        <v>354</v>
      </c>
      <c r="T430" s="298">
        <v>45068</v>
      </c>
      <c r="U430" s="298">
        <v>45100</v>
      </c>
      <c r="V430" s="296" t="s">
        <v>355</v>
      </c>
      <c r="W430" s="296"/>
      <c r="X430" s="296"/>
      <c r="Y430" s="146"/>
      <c r="Z430" s="149" t="str">
        <f t="shared" ca="1" si="6"/>
        <v/>
      </c>
      <c r="AA430" s="149" t="str">
        <f ca="1">IFERROR(IF(OR(OFFSET('S4'!#REF!,MATCH($A430,'S4'!$D$5:$D$3387,0)-1,6)="巻返し",OFFSET('S4'!#REF!,MATCH($A430,'S4'!$D$5:$D$3387,0)-1,6)="スリット"),SUMIF('S4'!$D$5:$D$3387,$A430,'S4'!$U$5:$U$3387),""),"")</f>
        <v/>
      </c>
      <c r="AB430" s="149" t="str">
        <f ca="1">IFERROR(IF(OR(OFFSET('S5'!#REF!,MATCH($A430,'S5'!$D$5:$D$2917,0)-1,6)="巻返し",OFFSET('S5'!#REF!,MATCH($A430,'S5'!$D$5:$D$2917,0)-1,6)="スリット"),SUMIF('S5'!$D$5:$D$2917,$A430,'S5'!$T$5:$T$2917),""),"")</f>
        <v/>
      </c>
    </row>
    <row r="431" spans="1:28" s="144" customFormat="1" ht="13.5" x14ac:dyDescent="0.15">
      <c r="A431" s="296">
        <v>3712108</v>
      </c>
      <c r="B431" s="296" t="s">
        <v>351</v>
      </c>
      <c r="C431" s="296" t="s">
        <v>352</v>
      </c>
      <c r="D431" s="296" t="s">
        <v>353</v>
      </c>
      <c r="E431" s="296" t="s">
        <v>116</v>
      </c>
      <c r="F431" s="296">
        <v>3</v>
      </c>
      <c r="G431" s="296" t="s">
        <v>19</v>
      </c>
      <c r="H431" s="296" t="s">
        <v>20</v>
      </c>
      <c r="I431" s="296" t="s">
        <v>205</v>
      </c>
      <c r="J431" s="296"/>
      <c r="K431" s="296" t="s">
        <v>218</v>
      </c>
      <c r="L431" s="296">
        <v>50</v>
      </c>
      <c r="M431" s="296" t="s">
        <v>219</v>
      </c>
      <c r="N431" s="297">
        <v>1000</v>
      </c>
      <c r="O431" s="297">
        <v>1000</v>
      </c>
      <c r="P431" s="297">
        <v>4000</v>
      </c>
      <c r="Q431" s="296">
        <v>2</v>
      </c>
      <c r="R431" s="296">
        <v>15</v>
      </c>
      <c r="S431" s="296" t="s">
        <v>354</v>
      </c>
      <c r="T431" s="298">
        <v>45068</v>
      </c>
      <c r="U431" s="298">
        <v>45100</v>
      </c>
      <c r="V431" s="296" t="s">
        <v>355</v>
      </c>
      <c r="W431" s="296"/>
      <c r="X431" s="296"/>
      <c r="Y431" s="146"/>
      <c r="Z431" s="149" t="str">
        <f t="shared" ca="1" si="6"/>
        <v/>
      </c>
      <c r="AA431" s="149" t="str">
        <f ca="1">IFERROR(IF(OR(OFFSET('S4'!#REF!,MATCH($A431,'S4'!$D$5:$D$3387,0)-1,6)="巻返し",OFFSET('S4'!#REF!,MATCH($A431,'S4'!$D$5:$D$3387,0)-1,6)="スリット"),SUMIF('S4'!$D$5:$D$3387,$A431,'S4'!$U$5:$U$3387),""),"")</f>
        <v/>
      </c>
      <c r="AB431" s="149" t="str">
        <f ca="1">IFERROR(IF(OR(OFFSET('S5'!#REF!,MATCH($A431,'S5'!$D$5:$D$2917,0)-1,6)="巻返し",OFFSET('S5'!#REF!,MATCH($A431,'S5'!$D$5:$D$2917,0)-1,6)="スリット"),SUMIF('S5'!$D$5:$D$2917,$A431,'S5'!$T$5:$T$2917),""),"")</f>
        <v/>
      </c>
    </row>
    <row r="432" spans="1:28" s="144" customFormat="1" ht="13.5" x14ac:dyDescent="0.15">
      <c r="A432" s="296">
        <v>3712109</v>
      </c>
      <c r="B432" s="296" t="s">
        <v>351</v>
      </c>
      <c r="C432" s="296" t="s">
        <v>352</v>
      </c>
      <c r="D432" s="296" t="s">
        <v>353</v>
      </c>
      <c r="E432" s="296" t="s">
        <v>116</v>
      </c>
      <c r="F432" s="296" t="s">
        <v>158</v>
      </c>
      <c r="G432" s="296" t="s">
        <v>19</v>
      </c>
      <c r="H432" s="296" t="s">
        <v>20</v>
      </c>
      <c r="I432" s="296" t="s">
        <v>165</v>
      </c>
      <c r="J432" s="296"/>
      <c r="K432" s="296" t="s">
        <v>192</v>
      </c>
      <c r="L432" s="296">
        <v>50</v>
      </c>
      <c r="M432" s="296" t="s">
        <v>193</v>
      </c>
      <c r="N432" s="297">
        <v>1005</v>
      </c>
      <c r="O432" s="297">
        <v>1000</v>
      </c>
      <c r="P432" s="297">
        <v>4000</v>
      </c>
      <c r="Q432" s="296">
        <v>2</v>
      </c>
      <c r="R432" s="296">
        <v>3</v>
      </c>
      <c r="S432" s="296" t="s">
        <v>354</v>
      </c>
      <c r="T432" s="298">
        <v>45068</v>
      </c>
      <c r="U432" s="298">
        <v>45100</v>
      </c>
      <c r="V432" s="296" t="s">
        <v>355</v>
      </c>
      <c r="W432" s="296"/>
      <c r="X432" s="296"/>
      <c r="Y432" s="146"/>
      <c r="Z432" s="149" t="str">
        <f t="shared" ca="1" si="6"/>
        <v/>
      </c>
      <c r="AA432" s="149" t="str">
        <f ca="1">IFERROR(IF(OR(OFFSET('S4'!#REF!,MATCH($A432,'S4'!$D$5:$D$3387,0)-1,6)="巻返し",OFFSET('S4'!#REF!,MATCH($A432,'S4'!$D$5:$D$3387,0)-1,6)="スリット"),SUMIF('S4'!$D$5:$D$3387,$A432,'S4'!$U$5:$U$3387),""),"")</f>
        <v/>
      </c>
      <c r="AB432" s="149" t="str">
        <f ca="1">IFERROR(IF(OR(OFFSET('S5'!#REF!,MATCH($A432,'S5'!$D$5:$D$2917,0)-1,6)="巻返し",OFFSET('S5'!#REF!,MATCH($A432,'S5'!$D$5:$D$2917,0)-1,6)="スリット"),SUMIF('S5'!$D$5:$D$2917,$A432,'S5'!$T$5:$T$2917),""),"")</f>
        <v/>
      </c>
    </row>
    <row r="433" spans="1:28" s="144" customFormat="1" ht="13.5" x14ac:dyDescent="0.15">
      <c r="A433" s="296">
        <v>3712110</v>
      </c>
      <c r="B433" s="296" t="s">
        <v>351</v>
      </c>
      <c r="C433" s="296" t="s">
        <v>352</v>
      </c>
      <c r="D433" s="296" t="s">
        <v>353</v>
      </c>
      <c r="E433" s="296" t="s">
        <v>116</v>
      </c>
      <c r="F433" s="296" t="s">
        <v>158</v>
      </c>
      <c r="G433" s="296" t="s">
        <v>19</v>
      </c>
      <c r="H433" s="296" t="s">
        <v>20</v>
      </c>
      <c r="I433" s="296" t="s">
        <v>165</v>
      </c>
      <c r="J433" s="296"/>
      <c r="K433" s="296" t="s">
        <v>195</v>
      </c>
      <c r="L433" s="296">
        <v>50</v>
      </c>
      <c r="M433" s="296" t="s">
        <v>196</v>
      </c>
      <c r="N433" s="297">
        <v>1005</v>
      </c>
      <c r="O433" s="297">
        <v>1000</v>
      </c>
      <c r="P433" s="297">
        <v>4000</v>
      </c>
      <c r="Q433" s="296">
        <v>2</v>
      </c>
      <c r="R433" s="296">
        <v>3</v>
      </c>
      <c r="S433" s="296" t="s">
        <v>354</v>
      </c>
      <c r="T433" s="298">
        <v>45068</v>
      </c>
      <c r="U433" s="298">
        <v>45100</v>
      </c>
      <c r="V433" s="296" t="s">
        <v>355</v>
      </c>
      <c r="W433" s="296"/>
      <c r="X433" s="296"/>
      <c r="Y433" s="146"/>
      <c r="Z433" s="149" t="str">
        <f t="shared" ca="1" si="6"/>
        <v/>
      </c>
      <c r="AA433" s="149" t="str">
        <f ca="1">IFERROR(IF(OR(OFFSET('S4'!#REF!,MATCH($A433,'S4'!$D$5:$D$3387,0)-1,6)="巻返し",OFFSET('S4'!#REF!,MATCH($A433,'S4'!$D$5:$D$3387,0)-1,6)="スリット"),SUMIF('S4'!$D$5:$D$3387,$A433,'S4'!$U$5:$U$3387),""),"")</f>
        <v/>
      </c>
      <c r="AB433" s="149" t="str">
        <f ca="1">IFERROR(IF(OR(OFFSET('S5'!#REF!,MATCH($A433,'S5'!$D$5:$D$2917,0)-1,6)="巻返し",OFFSET('S5'!#REF!,MATCH($A433,'S5'!$D$5:$D$2917,0)-1,6)="スリット"),SUMIF('S5'!$D$5:$D$2917,$A433,'S5'!$T$5:$T$2917),""),"")</f>
        <v/>
      </c>
    </row>
    <row r="434" spans="1:28" s="144" customFormat="1" ht="13.5" x14ac:dyDescent="0.15">
      <c r="A434" s="296">
        <v>3712111</v>
      </c>
      <c r="B434" s="296" t="s">
        <v>351</v>
      </c>
      <c r="C434" s="296" t="s">
        <v>352</v>
      </c>
      <c r="D434" s="296" t="s">
        <v>353</v>
      </c>
      <c r="E434" s="296" t="s">
        <v>116</v>
      </c>
      <c r="F434" s="296" t="s">
        <v>158</v>
      </c>
      <c r="G434" s="296" t="s">
        <v>19</v>
      </c>
      <c r="H434" s="296" t="s">
        <v>20</v>
      </c>
      <c r="I434" s="296" t="s">
        <v>165</v>
      </c>
      <c r="J434" s="296"/>
      <c r="K434" s="296" t="s">
        <v>197</v>
      </c>
      <c r="L434" s="296">
        <v>50</v>
      </c>
      <c r="M434" s="296" t="s">
        <v>198</v>
      </c>
      <c r="N434" s="297">
        <v>1005</v>
      </c>
      <c r="O434" s="297">
        <v>1000</v>
      </c>
      <c r="P434" s="297">
        <v>4000</v>
      </c>
      <c r="Q434" s="296">
        <v>2</v>
      </c>
      <c r="R434" s="296">
        <v>6</v>
      </c>
      <c r="S434" s="296" t="s">
        <v>354</v>
      </c>
      <c r="T434" s="298">
        <v>45068</v>
      </c>
      <c r="U434" s="298">
        <v>45100</v>
      </c>
      <c r="V434" s="296" t="s">
        <v>355</v>
      </c>
      <c r="W434" s="296"/>
      <c r="X434" s="296"/>
      <c r="Y434" s="146"/>
      <c r="Z434" s="149" t="str">
        <f t="shared" ca="1" si="6"/>
        <v/>
      </c>
      <c r="AA434" s="149" t="str">
        <f ca="1">IFERROR(IF(OR(OFFSET('S4'!#REF!,MATCH($A434,'S4'!$D$5:$D$3387,0)-1,6)="巻返し",OFFSET('S4'!#REF!,MATCH($A434,'S4'!$D$5:$D$3387,0)-1,6)="スリット"),SUMIF('S4'!$D$5:$D$3387,$A434,'S4'!$U$5:$U$3387),""),"")</f>
        <v/>
      </c>
      <c r="AB434" s="149" t="str">
        <f ca="1">IFERROR(IF(OR(OFFSET('S5'!#REF!,MATCH($A434,'S5'!$D$5:$D$2917,0)-1,6)="巻返し",OFFSET('S5'!#REF!,MATCH($A434,'S5'!$D$5:$D$2917,0)-1,6)="スリット"),SUMIF('S5'!$D$5:$D$2917,$A434,'S5'!$T$5:$T$2917),""),"")</f>
        <v/>
      </c>
    </row>
    <row r="435" spans="1:28" s="144" customFormat="1" ht="13.5" x14ac:dyDescent="0.15">
      <c r="A435" s="296">
        <v>3712113</v>
      </c>
      <c r="B435" s="296" t="s">
        <v>351</v>
      </c>
      <c r="C435" s="296" t="s">
        <v>352</v>
      </c>
      <c r="D435" s="296" t="s">
        <v>353</v>
      </c>
      <c r="E435" s="296" t="s">
        <v>116</v>
      </c>
      <c r="F435" s="296">
        <v>3</v>
      </c>
      <c r="G435" s="296" t="s">
        <v>19</v>
      </c>
      <c r="H435" s="296" t="s">
        <v>20</v>
      </c>
      <c r="I435" s="296" t="s">
        <v>165</v>
      </c>
      <c r="J435" s="296"/>
      <c r="K435" s="296" t="s">
        <v>176</v>
      </c>
      <c r="L435" s="296">
        <v>50</v>
      </c>
      <c r="M435" s="296" t="s">
        <v>177</v>
      </c>
      <c r="N435" s="297">
        <v>1005</v>
      </c>
      <c r="O435" s="297">
        <v>1000</v>
      </c>
      <c r="P435" s="297">
        <v>4000</v>
      </c>
      <c r="Q435" s="296">
        <v>2</v>
      </c>
      <c r="R435" s="296">
        <v>3</v>
      </c>
      <c r="S435" s="296" t="s">
        <v>354</v>
      </c>
      <c r="T435" s="298">
        <v>45068</v>
      </c>
      <c r="U435" s="298">
        <v>45096</v>
      </c>
      <c r="V435" s="296" t="s">
        <v>355</v>
      </c>
      <c r="W435" s="296"/>
      <c r="X435" s="296"/>
      <c r="Y435" s="146"/>
      <c r="Z435" s="149" t="str">
        <f t="shared" ca="1" si="6"/>
        <v/>
      </c>
      <c r="AA435" s="149" t="str">
        <f ca="1">IFERROR(IF(OR(OFFSET('S4'!#REF!,MATCH($A435,'S4'!$D$5:$D$3387,0)-1,6)="巻返し",OFFSET('S4'!#REF!,MATCH($A435,'S4'!$D$5:$D$3387,0)-1,6)="スリット"),SUMIF('S4'!$D$5:$D$3387,$A435,'S4'!$U$5:$U$3387),""),"")</f>
        <v/>
      </c>
      <c r="AB435" s="149" t="str">
        <f ca="1">IFERROR(IF(OR(OFFSET('S5'!#REF!,MATCH($A435,'S5'!$D$5:$D$2917,0)-1,6)="巻返し",OFFSET('S5'!#REF!,MATCH($A435,'S5'!$D$5:$D$2917,0)-1,6)="スリット"),SUMIF('S5'!$D$5:$D$2917,$A435,'S5'!$T$5:$T$2917),""),"")</f>
        <v/>
      </c>
    </row>
    <row r="436" spans="1:28" s="144" customFormat="1" ht="13.5" x14ac:dyDescent="0.15">
      <c r="A436" s="296">
        <v>3712114</v>
      </c>
      <c r="B436" s="296" t="s">
        <v>351</v>
      </c>
      <c r="C436" s="296" t="s">
        <v>352</v>
      </c>
      <c r="D436" s="296" t="s">
        <v>353</v>
      </c>
      <c r="E436" s="296" t="s">
        <v>116</v>
      </c>
      <c r="F436" s="296">
        <v>3</v>
      </c>
      <c r="G436" s="296" t="s">
        <v>19</v>
      </c>
      <c r="H436" s="296" t="s">
        <v>20</v>
      </c>
      <c r="I436" s="296" t="s">
        <v>143</v>
      </c>
      <c r="J436" s="296"/>
      <c r="K436" s="296" t="s">
        <v>152</v>
      </c>
      <c r="L436" s="296">
        <v>38</v>
      </c>
      <c r="M436" s="296" t="s">
        <v>153</v>
      </c>
      <c r="N436" s="297">
        <v>1005</v>
      </c>
      <c r="O436" s="297">
        <v>1000</v>
      </c>
      <c r="P436" s="297">
        <v>4000</v>
      </c>
      <c r="Q436" s="296">
        <v>2</v>
      </c>
      <c r="R436" s="296">
        <v>2</v>
      </c>
      <c r="S436" s="296" t="s">
        <v>354</v>
      </c>
      <c r="T436" s="298">
        <v>45068</v>
      </c>
      <c r="U436" s="298">
        <v>45100</v>
      </c>
      <c r="V436" s="296" t="s">
        <v>355</v>
      </c>
      <c r="W436" s="296"/>
      <c r="X436" s="296"/>
      <c r="Y436" s="146"/>
      <c r="Z436" s="149" t="str">
        <f t="shared" ca="1" si="6"/>
        <v/>
      </c>
      <c r="AA436" s="149" t="str">
        <f ca="1">IFERROR(IF(OR(OFFSET('S4'!#REF!,MATCH($A436,'S4'!$D$5:$D$3387,0)-1,6)="巻返し",OFFSET('S4'!#REF!,MATCH($A436,'S4'!$D$5:$D$3387,0)-1,6)="スリット"),SUMIF('S4'!$D$5:$D$3387,$A436,'S4'!$U$5:$U$3387),""),"")</f>
        <v/>
      </c>
      <c r="AB436" s="149" t="str">
        <f ca="1">IFERROR(IF(OR(OFFSET('S5'!#REF!,MATCH($A436,'S5'!$D$5:$D$2917,0)-1,6)="巻返し",OFFSET('S5'!#REF!,MATCH($A436,'S5'!$D$5:$D$2917,0)-1,6)="スリット"),SUMIF('S5'!$D$5:$D$2917,$A436,'S5'!$T$5:$T$2917),""),"")</f>
        <v/>
      </c>
    </row>
    <row r="437" spans="1:28" s="144" customFormat="1" ht="13.5" x14ac:dyDescent="0.15">
      <c r="A437" s="296">
        <v>3712115</v>
      </c>
      <c r="B437" s="296" t="s">
        <v>351</v>
      </c>
      <c r="C437" s="296" t="s">
        <v>352</v>
      </c>
      <c r="D437" s="296" t="s">
        <v>353</v>
      </c>
      <c r="E437" s="296" t="s">
        <v>116</v>
      </c>
      <c r="F437" s="296">
        <v>3</v>
      </c>
      <c r="G437" s="296" t="s">
        <v>19</v>
      </c>
      <c r="H437" s="296" t="s">
        <v>20</v>
      </c>
      <c r="I437" s="296" t="s">
        <v>143</v>
      </c>
      <c r="J437" s="296"/>
      <c r="K437" s="296" t="s">
        <v>152</v>
      </c>
      <c r="L437" s="296">
        <v>38</v>
      </c>
      <c r="M437" s="296" t="s">
        <v>153</v>
      </c>
      <c r="N437" s="297">
        <v>1005</v>
      </c>
      <c r="O437" s="297">
        <v>1000</v>
      </c>
      <c r="P437" s="297">
        <v>4000</v>
      </c>
      <c r="Q437" s="296">
        <v>2</v>
      </c>
      <c r="R437" s="296">
        <v>2</v>
      </c>
      <c r="S437" s="296" t="s">
        <v>354</v>
      </c>
      <c r="T437" s="298">
        <v>45068</v>
      </c>
      <c r="U437" s="298">
        <v>45100</v>
      </c>
      <c r="V437" s="296" t="s">
        <v>355</v>
      </c>
      <c r="W437" s="296"/>
      <c r="X437" s="296"/>
      <c r="Y437" s="146"/>
      <c r="Z437" s="149" t="str">
        <f t="shared" ca="1" si="6"/>
        <v/>
      </c>
      <c r="AA437" s="149" t="str">
        <f ca="1">IFERROR(IF(OR(OFFSET('S4'!#REF!,MATCH($A437,'S4'!$D$5:$D$3387,0)-1,6)="巻返し",OFFSET('S4'!#REF!,MATCH($A437,'S4'!$D$5:$D$3387,0)-1,6)="スリット"),SUMIF('S4'!$D$5:$D$3387,$A437,'S4'!$U$5:$U$3387),""),"")</f>
        <v/>
      </c>
      <c r="AB437" s="149" t="str">
        <f ca="1">IFERROR(IF(OR(OFFSET('S5'!#REF!,MATCH($A437,'S5'!$D$5:$D$2917,0)-1,6)="巻返し",OFFSET('S5'!#REF!,MATCH($A437,'S5'!$D$5:$D$2917,0)-1,6)="スリット"),SUMIF('S5'!$D$5:$D$2917,$A437,'S5'!$T$5:$T$2917),""),"")</f>
        <v/>
      </c>
    </row>
    <row r="438" spans="1:28" s="144" customFormat="1" ht="13.5" x14ac:dyDescent="0.15">
      <c r="A438" s="296">
        <v>3714660</v>
      </c>
      <c r="B438" s="296" t="s">
        <v>510</v>
      </c>
      <c r="C438" s="296" t="s">
        <v>352</v>
      </c>
      <c r="D438" s="296" t="s">
        <v>353</v>
      </c>
      <c r="E438" s="296" t="s">
        <v>116</v>
      </c>
      <c r="F438" s="296">
        <v>3</v>
      </c>
      <c r="G438" s="296" t="s">
        <v>269</v>
      </c>
      <c r="H438" s="296" t="s">
        <v>20</v>
      </c>
      <c r="I438" s="296" t="s">
        <v>165</v>
      </c>
      <c r="J438" s="296"/>
      <c r="K438" s="296" t="s">
        <v>176</v>
      </c>
      <c r="L438" s="296">
        <v>25</v>
      </c>
      <c r="M438" s="296" t="s">
        <v>577</v>
      </c>
      <c r="N438" s="297">
        <v>1005</v>
      </c>
      <c r="O438" s="297">
        <v>1000</v>
      </c>
      <c r="P438" s="297">
        <v>2000</v>
      </c>
      <c r="Q438" s="296">
        <v>2</v>
      </c>
      <c r="R438" s="296">
        <v>1</v>
      </c>
      <c r="S438" s="296" t="s">
        <v>354</v>
      </c>
      <c r="T438" s="298">
        <v>45077</v>
      </c>
      <c r="U438" s="298">
        <v>45107</v>
      </c>
      <c r="V438" s="296" t="s">
        <v>428</v>
      </c>
      <c r="W438" s="296"/>
      <c r="X438" s="296"/>
      <c r="Y438" s="146"/>
      <c r="Z438" s="149" t="str">
        <f t="shared" ca="1" si="6"/>
        <v/>
      </c>
      <c r="AA438" s="149" t="str">
        <f ca="1">IFERROR(IF(OR(OFFSET('S4'!#REF!,MATCH($A438,'S4'!$D$5:$D$3387,0)-1,6)="巻返し",OFFSET('S4'!#REF!,MATCH($A438,'S4'!$D$5:$D$3387,0)-1,6)="スリット"),SUMIF('S4'!$D$5:$D$3387,$A438,'S4'!$U$5:$U$3387),""),"")</f>
        <v/>
      </c>
      <c r="AB438" s="149" t="str">
        <f ca="1">IFERROR(IF(OR(OFFSET('S5'!#REF!,MATCH($A438,'S5'!$D$5:$D$2917,0)-1,6)="巻返し",OFFSET('S5'!#REF!,MATCH($A438,'S5'!$D$5:$D$2917,0)-1,6)="スリット"),SUMIF('S5'!$D$5:$D$2917,$A438,'S5'!$T$5:$T$2917),""),"")</f>
        <v/>
      </c>
    </row>
    <row r="439" spans="1:28" s="144" customFormat="1" ht="13.5" x14ac:dyDescent="0.15">
      <c r="A439" s="296">
        <v>3714660</v>
      </c>
      <c r="B439" s="296" t="s">
        <v>510</v>
      </c>
      <c r="C439" s="296" t="s">
        <v>352</v>
      </c>
      <c r="D439" s="296" t="s">
        <v>353</v>
      </c>
      <c r="E439" s="296" t="s">
        <v>116</v>
      </c>
      <c r="F439" s="296">
        <v>3</v>
      </c>
      <c r="G439" s="296" t="s">
        <v>269</v>
      </c>
      <c r="H439" s="296" t="s">
        <v>20</v>
      </c>
      <c r="I439" s="296" t="s">
        <v>165</v>
      </c>
      <c r="J439" s="296"/>
      <c r="K439" s="296" t="s">
        <v>176</v>
      </c>
      <c r="L439" s="296">
        <v>25</v>
      </c>
      <c r="M439" s="296" t="s">
        <v>577</v>
      </c>
      <c r="N439" s="297">
        <v>1005</v>
      </c>
      <c r="O439" s="297">
        <v>1000</v>
      </c>
      <c r="P439" s="297">
        <v>6000</v>
      </c>
      <c r="Q439" s="296">
        <v>2</v>
      </c>
      <c r="R439" s="296">
        <v>1</v>
      </c>
      <c r="S439" s="296" t="s">
        <v>354</v>
      </c>
      <c r="T439" s="298">
        <v>45077</v>
      </c>
      <c r="U439" s="298">
        <v>45107</v>
      </c>
      <c r="V439" s="296" t="s">
        <v>428</v>
      </c>
      <c r="W439" s="296"/>
      <c r="X439" s="296"/>
      <c r="Y439" s="146"/>
      <c r="Z439" s="149" t="str">
        <f t="shared" ca="1" si="6"/>
        <v/>
      </c>
      <c r="AA439" s="149" t="str">
        <f ca="1">IFERROR(IF(OR(OFFSET('S4'!#REF!,MATCH($A439,'S4'!$D$5:$D$3387,0)-1,6)="巻返し",OFFSET('S4'!#REF!,MATCH($A439,'S4'!$D$5:$D$3387,0)-1,6)="スリット"),SUMIF('S4'!$D$5:$D$3387,$A439,'S4'!$U$5:$U$3387),""),"")</f>
        <v/>
      </c>
      <c r="AB439" s="149" t="str">
        <f ca="1">IFERROR(IF(OR(OFFSET('S5'!#REF!,MATCH($A439,'S5'!$D$5:$D$2917,0)-1,6)="巻返し",OFFSET('S5'!#REF!,MATCH($A439,'S5'!$D$5:$D$2917,0)-1,6)="スリット"),SUMIF('S5'!$D$5:$D$2917,$A439,'S5'!$T$5:$T$2917),""),"")</f>
        <v/>
      </c>
    </row>
    <row r="440" spans="1:28" s="144" customFormat="1" ht="13.5" x14ac:dyDescent="0.15">
      <c r="A440" s="296">
        <v>3715368</v>
      </c>
      <c r="B440" s="296" t="s">
        <v>423</v>
      </c>
      <c r="C440" s="296" t="s">
        <v>352</v>
      </c>
      <c r="D440" s="296" t="s">
        <v>353</v>
      </c>
      <c r="E440" s="296" t="s">
        <v>116</v>
      </c>
      <c r="F440" s="296">
        <v>3</v>
      </c>
      <c r="G440" s="296" t="s">
        <v>265</v>
      </c>
      <c r="H440" s="296" t="s">
        <v>20</v>
      </c>
      <c r="I440" s="296" t="s">
        <v>165</v>
      </c>
      <c r="J440" s="296"/>
      <c r="K440" s="296" t="s">
        <v>319</v>
      </c>
      <c r="L440" s="296">
        <v>50</v>
      </c>
      <c r="M440" s="296" t="s">
        <v>483</v>
      </c>
      <c r="N440" s="297">
        <v>1000</v>
      </c>
      <c r="O440" s="297">
        <v>1000</v>
      </c>
      <c r="P440" s="297">
        <v>2000</v>
      </c>
      <c r="Q440" s="296">
        <v>2</v>
      </c>
      <c r="R440" s="296">
        <v>2</v>
      </c>
      <c r="S440" s="296" t="s">
        <v>354</v>
      </c>
      <c r="T440" s="298">
        <v>45083</v>
      </c>
      <c r="U440" s="298">
        <v>45105</v>
      </c>
      <c r="V440" s="296" t="s">
        <v>355</v>
      </c>
      <c r="W440" s="296"/>
      <c r="X440" s="296"/>
      <c r="Y440" s="146"/>
      <c r="Z440" s="149" t="str">
        <f t="shared" ca="1" si="6"/>
        <v/>
      </c>
      <c r="AA440" s="149" t="str">
        <f ca="1">IFERROR(IF(OR(OFFSET('S4'!#REF!,MATCH($A440,'S4'!$D$5:$D$3387,0)-1,6)="巻返し",OFFSET('S4'!#REF!,MATCH($A440,'S4'!$D$5:$D$3387,0)-1,6)="スリット"),SUMIF('S4'!$D$5:$D$3387,$A440,'S4'!$U$5:$U$3387),""),"")</f>
        <v/>
      </c>
      <c r="AB440" s="149" t="str">
        <f ca="1">IFERROR(IF(OR(OFFSET('S5'!#REF!,MATCH($A440,'S5'!$D$5:$D$2917,0)-1,6)="巻返し",OFFSET('S5'!#REF!,MATCH($A440,'S5'!$D$5:$D$2917,0)-1,6)="スリット"),SUMIF('S5'!$D$5:$D$2917,$A440,'S5'!$T$5:$T$2917),""),"")</f>
        <v/>
      </c>
    </row>
    <row r="441" spans="1:28" s="144" customFormat="1" ht="13.5" x14ac:dyDescent="0.15">
      <c r="A441" s="296">
        <v>3716240</v>
      </c>
      <c r="B441" s="296" t="s">
        <v>351</v>
      </c>
      <c r="C441" s="296" t="s">
        <v>363</v>
      </c>
      <c r="D441" s="296" t="s">
        <v>353</v>
      </c>
      <c r="E441" s="296" t="s">
        <v>204</v>
      </c>
      <c r="F441" s="296">
        <v>3</v>
      </c>
      <c r="G441" s="296" t="s">
        <v>19</v>
      </c>
      <c r="H441" s="296" t="s">
        <v>20</v>
      </c>
      <c r="I441" s="296" t="s">
        <v>205</v>
      </c>
      <c r="J441" s="296"/>
      <c r="K441" s="296" t="s">
        <v>206</v>
      </c>
      <c r="L441" s="296">
        <v>50</v>
      </c>
      <c r="M441" s="296" t="s">
        <v>207</v>
      </c>
      <c r="N441" s="297">
        <v>1020</v>
      </c>
      <c r="O441" s="297">
        <v>1000</v>
      </c>
      <c r="P441" s="297">
        <v>2000</v>
      </c>
      <c r="Q441" s="296">
        <v>2</v>
      </c>
      <c r="R441" s="296">
        <v>4</v>
      </c>
      <c r="S441" s="296" t="s">
        <v>354</v>
      </c>
      <c r="T441" s="298">
        <v>45097</v>
      </c>
      <c r="U441" s="298">
        <v>45122</v>
      </c>
      <c r="V441" s="296" t="s">
        <v>355</v>
      </c>
      <c r="W441" s="296"/>
      <c r="X441" s="296"/>
      <c r="Y441" s="252"/>
      <c r="Z441" s="149" t="str">
        <f t="shared" ca="1" si="6"/>
        <v/>
      </c>
      <c r="AA441" s="149" t="str">
        <f ca="1">IFERROR(IF(OR(OFFSET('S4'!#REF!,MATCH($A441,'S4'!$D$5:$D$3387,0)-1,6)="巻返し",OFFSET('S4'!#REF!,MATCH($A441,'S4'!$D$5:$D$3387,0)-1,6)="スリット"),SUMIF('S4'!$D$5:$D$3387,$A441,'S4'!$U$5:$U$3387),""),"")</f>
        <v/>
      </c>
      <c r="AB441" s="149" t="str">
        <f ca="1">IFERROR(IF(OR(OFFSET('S5'!#REF!,MATCH($A441,'S5'!$D$5:$D$2917,0)-1,6)="巻返し",OFFSET('S5'!#REF!,MATCH($A441,'S5'!$D$5:$D$2917,0)-1,6)="スリット"),SUMIF('S5'!$D$5:$D$2917,$A441,'S5'!$T$5:$T$2917),""),"")</f>
        <v/>
      </c>
    </row>
    <row r="442" spans="1:28" s="144" customFormat="1" ht="13.5" x14ac:dyDescent="0.15">
      <c r="A442" s="296">
        <v>3716243</v>
      </c>
      <c r="B442" s="296" t="s">
        <v>351</v>
      </c>
      <c r="C442" s="296" t="s">
        <v>364</v>
      </c>
      <c r="D442" s="296" t="s">
        <v>353</v>
      </c>
      <c r="E442" s="296" t="s">
        <v>148</v>
      </c>
      <c r="F442" s="296">
        <v>3</v>
      </c>
      <c r="G442" s="296" t="s">
        <v>19</v>
      </c>
      <c r="H442" s="296" t="s">
        <v>20</v>
      </c>
      <c r="I442" s="296" t="s">
        <v>143</v>
      </c>
      <c r="J442" s="296"/>
      <c r="K442" s="296" t="s">
        <v>149</v>
      </c>
      <c r="L442" s="296">
        <v>25</v>
      </c>
      <c r="M442" s="296" t="s">
        <v>150</v>
      </c>
      <c r="N442" s="297">
        <v>1120</v>
      </c>
      <c r="O442" s="297">
        <v>1120</v>
      </c>
      <c r="P442" s="297">
        <v>6000</v>
      </c>
      <c r="Q442" s="296">
        <v>2</v>
      </c>
      <c r="R442" s="296">
        <v>4</v>
      </c>
      <c r="S442" s="296" t="s">
        <v>354</v>
      </c>
      <c r="T442" s="298">
        <v>45097</v>
      </c>
      <c r="U442" s="298">
        <v>45122</v>
      </c>
      <c r="V442" s="296" t="s">
        <v>355</v>
      </c>
      <c r="W442" s="296"/>
      <c r="X442" s="296"/>
      <c r="Y442" s="252"/>
      <c r="Z442" s="149" t="str">
        <f t="shared" ca="1" si="6"/>
        <v/>
      </c>
      <c r="AA442" s="149" t="str">
        <f ca="1">IFERROR(IF(OR(OFFSET('S4'!#REF!,MATCH($A442,'S4'!$D$5:$D$3387,0)-1,6)="巻返し",OFFSET('S4'!#REF!,MATCH($A442,'S4'!$D$5:$D$3387,0)-1,6)="スリット"),SUMIF('S4'!$D$5:$D$3387,$A442,'S4'!$U$5:$U$3387),""),"")</f>
        <v/>
      </c>
      <c r="AB442" s="149" t="str">
        <f ca="1">IFERROR(IF(OR(OFFSET('S5'!#REF!,MATCH($A442,'S5'!$D$5:$D$2917,0)-1,6)="巻返し",OFFSET('S5'!#REF!,MATCH($A442,'S5'!$D$5:$D$2917,0)-1,6)="スリット"),SUMIF('S5'!$D$5:$D$2917,$A442,'S5'!$T$5:$T$2917),""),"")</f>
        <v/>
      </c>
    </row>
    <row r="443" spans="1:28" s="144" customFormat="1" ht="13.5" x14ac:dyDescent="0.15">
      <c r="A443" s="296">
        <v>3716244</v>
      </c>
      <c r="B443" s="296" t="s">
        <v>351</v>
      </c>
      <c r="C443" s="296" t="s">
        <v>364</v>
      </c>
      <c r="D443" s="296" t="s">
        <v>353</v>
      </c>
      <c r="E443" s="296" t="s">
        <v>148</v>
      </c>
      <c r="F443" s="296">
        <v>3</v>
      </c>
      <c r="G443" s="296" t="s">
        <v>19</v>
      </c>
      <c r="H443" s="296" t="s">
        <v>20</v>
      </c>
      <c r="I443" s="296" t="s">
        <v>143</v>
      </c>
      <c r="J443" s="296"/>
      <c r="K443" s="296" t="s">
        <v>149</v>
      </c>
      <c r="L443" s="296">
        <v>50</v>
      </c>
      <c r="M443" s="296" t="s">
        <v>150</v>
      </c>
      <c r="N443" s="297">
        <v>1120</v>
      </c>
      <c r="O443" s="297">
        <v>1120</v>
      </c>
      <c r="P443" s="297">
        <v>6000</v>
      </c>
      <c r="Q443" s="296">
        <v>2</v>
      </c>
      <c r="R443" s="296">
        <v>2</v>
      </c>
      <c r="S443" s="296" t="s">
        <v>354</v>
      </c>
      <c r="T443" s="298">
        <v>45097</v>
      </c>
      <c r="U443" s="298">
        <v>45122</v>
      </c>
      <c r="V443" s="296" t="s">
        <v>355</v>
      </c>
      <c r="W443" s="296"/>
      <c r="X443" s="296"/>
      <c r="Y443" s="252"/>
      <c r="Z443" s="149" t="str">
        <f t="shared" ca="1" si="6"/>
        <v/>
      </c>
      <c r="AA443" s="149" t="str">
        <f ca="1">IFERROR(IF(OR(OFFSET('S4'!#REF!,MATCH($A443,'S4'!$D$5:$D$3387,0)-1,6)="巻返し",OFFSET('S4'!#REF!,MATCH($A443,'S4'!$D$5:$D$3387,0)-1,6)="スリット"),SUMIF('S4'!$D$5:$D$3387,$A443,'S4'!$U$5:$U$3387),""),"")</f>
        <v/>
      </c>
      <c r="AB443" s="149" t="str">
        <f ca="1">IFERROR(IF(OR(OFFSET('S5'!#REF!,MATCH($A443,'S5'!$D$5:$D$2917,0)-1,6)="巻返し",OFFSET('S5'!#REF!,MATCH($A443,'S5'!$D$5:$D$2917,0)-1,6)="スリット"),SUMIF('S5'!$D$5:$D$2917,$A443,'S5'!$T$5:$T$2917),""),"")</f>
        <v/>
      </c>
    </row>
    <row r="444" spans="1:28" s="144" customFormat="1" ht="13.5" x14ac:dyDescent="0.15">
      <c r="A444" s="296">
        <v>3716245</v>
      </c>
      <c r="B444" s="296" t="s">
        <v>351</v>
      </c>
      <c r="C444" s="296" t="s">
        <v>352</v>
      </c>
      <c r="D444" s="296" t="s">
        <v>353</v>
      </c>
      <c r="E444" s="296" t="s">
        <v>116</v>
      </c>
      <c r="F444" s="296">
        <v>3</v>
      </c>
      <c r="G444" s="296" t="s">
        <v>19</v>
      </c>
      <c r="H444" s="296" t="s">
        <v>20</v>
      </c>
      <c r="I444" s="296" t="s">
        <v>205</v>
      </c>
      <c r="J444" s="296"/>
      <c r="K444" s="296" t="s">
        <v>212</v>
      </c>
      <c r="L444" s="296">
        <v>25</v>
      </c>
      <c r="M444" s="296" t="s">
        <v>213</v>
      </c>
      <c r="N444" s="297">
        <v>1120</v>
      </c>
      <c r="O444" s="297">
        <v>1120</v>
      </c>
      <c r="P444" s="297">
        <v>4000</v>
      </c>
      <c r="Q444" s="296">
        <v>2</v>
      </c>
      <c r="R444" s="296">
        <v>8</v>
      </c>
      <c r="S444" s="296" t="s">
        <v>354</v>
      </c>
      <c r="T444" s="298">
        <v>45097</v>
      </c>
      <c r="U444" s="298">
        <v>45128</v>
      </c>
      <c r="V444" s="296" t="s">
        <v>355</v>
      </c>
      <c r="W444" s="296"/>
      <c r="X444" s="296"/>
      <c r="Y444" s="252"/>
      <c r="Z444" s="149" t="str">
        <f t="shared" ca="1" si="6"/>
        <v/>
      </c>
      <c r="AA444" s="149" t="str">
        <f ca="1">IFERROR(IF(OR(OFFSET('S4'!#REF!,MATCH($A444,'S4'!$D$5:$D$3387,0)-1,6)="巻返し",OFFSET('S4'!#REF!,MATCH($A444,'S4'!$D$5:$D$3387,0)-1,6)="スリット"),SUMIF('S4'!$D$5:$D$3387,$A444,'S4'!$U$5:$U$3387),""),"")</f>
        <v/>
      </c>
      <c r="AB444" s="149" t="str">
        <f ca="1">IFERROR(IF(OR(OFFSET('S5'!#REF!,MATCH($A444,'S5'!$D$5:$D$2917,0)-1,6)="巻返し",OFFSET('S5'!#REF!,MATCH($A444,'S5'!$D$5:$D$2917,0)-1,6)="スリット"),SUMIF('S5'!$D$5:$D$2917,$A444,'S5'!$T$5:$T$2917),""),"")</f>
        <v/>
      </c>
    </row>
    <row r="445" spans="1:28" s="144" customFormat="1" ht="13.5" x14ac:dyDescent="0.15">
      <c r="A445" s="296">
        <v>3716246</v>
      </c>
      <c r="B445" s="296" t="s">
        <v>351</v>
      </c>
      <c r="C445" s="296" t="s">
        <v>352</v>
      </c>
      <c r="D445" s="296" t="s">
        <v>353</v>
      </c>
      <c r="E445" s="296" t="s">
        <v>116</v>
      </c>
      <c r="F445" s="296">
        <v>3</v>
      </c>
      <c r="G445" s="296" t="s">
        <v>19</v>
      </c>
      <c r="H445" s="296" t="s">
        <v>20</v>
      </c>
      <c r="I445" s="296" t="s">
        <v>205</v>
      </c>
      <c r="J445" s="296"/>
      <c r="K445" s="296" t="s">
        <v>212</v>
      </c>
      <c r="L445" s="296">
        <v>50</v>
      </c>
      <c r="M445" s="296" t="s">
        <v>213</v>
      </c>
      <c r="N445" s="297">
        <v>1000</v>
      </c>
      <c r="O445" s="297">
        <v>1000</v>
      </c>
      <c r="P445" s="297">
        <v>4000</v>
      </c>
      <c r="Q445" s="296">
        <v>2</v>
      </c>
      <c r="R445" s="296">
        <v>3</v>
      </c>
      <c r="S445" s="296" t="s">
        <v>354</v>
      </c>
      <c r="T445" s="298">
        <v>45097</v>
      </c>
      <c r="U445" s="298">
        <v>45128</v>
      </c>
      <c r="V445" s="296" t="s">
        <v>355</v>
      </c>
      <c r="W445" s="296"/>
      <c r="X445" s="296"/>
      <c r="Y445" s="252"/>
      <c r="Z445" s="149" t="str">
        <f t="shared" ca="1" si="6"/>
        <v/>
      </c>
      <c r="AA445" s="149" t="str">
        <f ca="1">IFERROR(IF(OR(OFFSET('S4'!#REF!,MATCH($A445,'S4'!$D$5:$D$3387,0)-1,6)="巻返し",OFFSET('S4'!#REF!,MATCH($A445,'S4'!$D$5:$D$3387,0)-1,6)="スリット"),SUMIF('S4'!$D$5:$D$3387,$A445,'S4'!$U$5:$U$3387),""),"")</f>
        <v/>
      </c>
      <c r="AB445" s="149" t="str">
        <f ca="1">IFERROR(IF(OR(OFFSET('S5'!#REF!,MATCH($A445,'S5'!$D$5:$D$2917,0)-1,6)="巻返し",OFFSET('S5'!#REF!,MATCH($A445,'S5'!$D$5:$D$2917,0)-1,6)="スリット"),SUMIF('S5'!$D$5:$D$2917,$A445,'S5'!$T$5:$T$2917),""),"")</f>
        <v/>
      </c>
    </row>
    <row r="446" spans="1:28" s="144" customFormat="1" ht="13.5" x14ac:dyDescent="0.15">
      <c r="A446" s="296">
        <v>3716247</v>
      </c>
      <c r="B446" s="296" t="s">
        <v>351</v>
      </c>
      <c r="C446" s="296" t="s">
        <v>352</v>
      </c>
      <c r="D446" s="296" t="s">
        <v>353</v>
      </c>
      <c r="E446" s="296" t="s">
        <v>116</v>
      </c>
      <c r="F446" s="296">
        <v>3</v>
      </c>
      <c r="G446" s="296" t="s">
        <v>19</v>
      </c>
      <c r="H446" s="296" t="s">
        <v>20</v>
      </c>
      <c r="I446" s="296" t="s">
        <v>205</v>
      </c>
      <c r="J446" s="296"/>
      <c r="K446" s="296" t="s">
        <v>212</v>
      </c>
      <c r="L446" s="296">
        <v>50</v>
      </c>
      <c r="M446" s="296" t="s">
        <v>213</v>
      </c>
      <c r="N446" s="297">
        <v>1120</v>
      </c>
      <c r="O446" s="297">
        <v>1120</v>
      </c>
      <c r="P446" s="297">
        <v>4000</v>
      </c>
      <c r="Q446" s="296">
        <v>2</v>
      </c>
      <c r="R446" s="296">
        <v>20</v>
      </c>
      <c r="S446" s="296" t="s">
        <v>354</v>
      </c>
      <c r="T446" s="298">
        <v>45097</v>
      </c>
      <c r="U446" s="298">
        <v>45125</v>
      </c>
      <c r="V446" s="296" t="s">
        <v>355</v>
      </c>
      <c r="W446" s="296"/>
      <c r="X446" s="296"/>
      <c r="Y446" s="252"/>
      <c r="Z446" s="149" t="str">
        <f t="shared" ca="1" si="6"/>
        <v/>
      </c>
      <c r="AA446" s="149" t="str">
        <f ca="1">IFERROR(IF(OR(OFFSET('S4'!#REF!,MATCH($A446,'S4'!$D$5:$D$3387,0)-1,6)="巻返し",OFFSET('S4'!#REF!,MATCH($A446,'S4'!$D$5:$D$3387,0)-1,6)="スリット"),SUMIF('S4'!$D$5:$D$3387,$A446,'S4'!$U$5:$U$3387),""),"")</f>
        <v/>
      </c>
      <c r="AB446" s="149" t="str">
        <f ca="1">IFERROR(IF(OR(OFFSET('S5'!#REF!,MATCH($A446,'S5'!$D$5:$D$2917,0)-1,6)="巻返し",OFFSET('S5'!#REF!,MATCH($A446,'S5'!$D$5:$D$2917,0)-1,6)="スリット"),SUMIF('S5'!$D$5:$D$2917,$A446,'S5'!$T$5:$T$2917),""),"")</f>
        <v/>
      </c>
    </row>
    <row r="447" spans="1:28" s="144" customFormat="1" ht="13.5" x14ac:dyDescent="0.15">
      <c r="A447" s="296">
        <v>3716248</v>
      </c>
      <c r="B447" s="296" t="s">
        <v>351</v>
      </c>
      <c r="C447" s="296" t="s">
        <v>352</v>
      </c>
      <c r="D447" s="296" t="s">
        <v>353</v>
      </c>
      <c r="E447" s="296" t="s">
        <v>116</v>
      </c>
      <c r="F447" s="296">
        <v>3</v>
      </c>
      <c r="G447" s="296" t="s">
        <v>19</v>
      </c>
      <c r="H447" s="296" t="s">
        <v>20</v>
      </c>
      <c r="I447" s="296" t="s">
        <v>205</v>
      </c>
      <c r="J447" s="296"/>
      <c r="K447" s="296" t="s">
        <v>212</v>
      </c>
      <c r="L447" s="296">
        <v>50</v>
      </c>
      <c r="M447" s="296" t="s">
        <v>213</v>
      </c>
      <c r="N447" s="297">
        <v>1120</v>
      </c>
      <c r="O447" s="297">
        <v>1120</v>
      </c>
      <c r="P447" s="297">
        <v>4000</v>
      </c>
      <c r="Q447" s="296">
        <v>2</v>
      </c>
      <c r="R447" s="296">
        <v>18</v>
      </c>
      <c r="S447" s="296" t="s">
        <v>354</v>
      </c>
      <c r="T447" s="298">
        <v>45097</v>
      </c>
      <c r="U447" s="298">
        <v>45125</v>
      </c>
      <c r="V447" s="296" t="s">
        <v>355</v>
      </c>
      <c r="W447" s="296"/>
      <c r="X447" s="296"/>
      <c r="Y447" s="252"/>
      <c r="Z447" s="149" t="str">
        <f t="shared" ca="1" si="6"/>
        <v/>
      </c>
      <c r="AA447" s="149" t="str">
        <f ca="1">IFERROR(IF(OR(OFFSET('S4'!#REF!,MATCH($A447,'S4'!$D$5:$D$3387,0)-1,6)="巻返し",OFFSET('S4'!#REF!,MATCH($A447,'S4'!$D$5:$D$3387,0)-1,6)="スリット"),SUMIF('S4'!$D$5:$D$3387,$A447,'S4'!$U$5:$U$3387),""),"")</f>
        <v/>
      </c>
      <c r="AB447" s="149" t="str">
        <f ca="1">IFERROR(IF(OR(OFFSET('S5'!#REF!,MATCH($A447,'S5'!$D$5:$D$2917,0)-1,6)="巻返し",OFFSET('S5'!#REF!,MATCH($A447,'S5'!$D$5:$D$2917,0)-1,6)="スリット"),SUMIF('S5'!$D$5:$D$2917,$A447,'S5'!$T$5:$T$2917),""),"")</f>
        <v/>
      </c>
    </row>
    <row r="448" spans="1:28" s="144" customFormat="1" ht="13.5" x14ac:dyDescent="0.15">
      <c r="A448" s="296">
        <v>3716249</v>
      </c>
      <c r="B448" s="296" t="s">
        <v>351</v>
      </c>
      <c r="C448" s="296" t="s">
        <v>352</v>
      </c>
      <c r="D448" s="296" t="s">
        <v>353</v>
      </c>
      <c r="E448" s="296" t="s">
        <v>116</v>
      </c>
      <c r="F448" s="296">
        <v>3</v>
      </c>
      <c r="G448" s="296" t="s">
        <v>19</v>
      </c>
      <c r="H448" s="296" t="s">
        <v>20</v>
      </c>
      <c r="I448" s="296" t="s">
        <v>205</v>
      </c>
      <c r="J448" s="296"/>
      <c r="K448" s="296" t="s">
        <v>211</v>
      </c>
      <c r="L448" s="296">
        <v>38</v>
      </c>
      <c r="M448" s="296" t="s">
        <v>370</v>
      </c>
      <c r="N448" s="297">
        <v>1005</v>
      </c>
      <c r="O448" s="297">
        <v>1000</v>
      </c>
      <c r="P448" s="297">
        <v>4000</v>
      </c>
      <c r="Q448" s="296">
        <v>2</v>
      </c>
      <c r="R448" s="296">
        <v>3</v>
      </c>
      <c r="S448" s="296" t="s">
        <v>354</v>
      </c>
      <c r="T448" s="298">
        <v>45097</v>
      </c>
      <c r="U448" s="298">
        <v>45128</v>
      </c>
      <c r="V448" s="296" t="s">
        <v>355</v>
      </c>
      <c r="W448" s="296"/>
      <c r="X448" s="296"/>
      <c r="Y448" s="252"/>
      <c r="Z448" s="149" t="str">
        <f t="shared" ca="1" si="6"/>
        <v/>
      </c>
      <c r="AA448" s="149" t="str">
        <f ca="1">IFERROR(IF(OR(OFFSET('S4'!#REF!,MATCH($A448,'S4'!$D$5:$D$3387,0)-1,6)="巻返し",OFFSET('S4'!#REF!,MATCH($A448,'S4'!$D$5:$D$3387,0)-1,6)="スリット"),SUMIF('S4'!$D$5:$D$3387,$A448,'S4'!$U$5:$U$3387),""),"")</f>
        <v/>
      </c>
      <c r="AB448" s="149" t="str">
        <f ca="1">IFERROR(IF(OR(OFFSET('S5'!#REF!,MATCH($A448,'S5'!$D$5:$D$2917,0)-1,6)="巻返し",OFFSET('S5'!#REF!,MATCH($A448,'S5'!$D$5:$D$2917,0)-1,6)="スリット"),SUMIF('S5'!$D$5:$D$2917,$A448,'S5'!$T$5:$T$2917),""),"")</f>
        <v/>
      </c>
    </row>
    <row r="449" spans="1:28" s="144" customFormat="1" ht="13.5" x14ac:dyDescent="0.15">
      <c r="A449" s="296">
        <v>3716250</v>
      </c>
      <c r="B449" s="296" t="s">
        <v>351</v>
      </c>
      <c r="C449" s="296" t="s">
        <v>352</v>
      </c>
      <c r="D449" s="296" t="s">
        <v>353</v>
      </c>
      <c r="E449" s="296" t="s">
        <v>116</v>
      </c>
      <c r="F449" s="296">
        <v>3</v>
      </c>
      <c r="G449" s="296" t="s">
        <v>19</v>
      </c>
      <c r="H449" s="296" t="s">
        <v>20</v>
      </c>
      <c r="I449" s="296" t="s">
        <v>205</v>
      </c>
      <c r="J449" s="296"/>
      <c r="K449" s="296" t="s">
        <v>211</v>
      </c>
      <c r="L449" s="296">
        <v>25</v>
      </c>
      <c r="M449" s="296" t="s">
        <v>491</v>
      </c>
      <c r="N449" s="297">
        <v>1050</v>
      </c>
      <c r="O449" s="297">
        <v>1050</v>
      </c>
      <c r="P449" s="297">
        <v>4000</v>
      </c>
      <c r="Q449" s="296">
        <v>2</v>
      </c>
      <c r="R449" s="296">
        <v>2</v>
      </c>
      <c r="S449" s="296" t="s">
        <v>354</v>
      </c>
      <c r="T449" s="298">
        <v>45097</v>
      </c>
      <c r="U449" s="298">
        <v>45126</v>
      </c>
      <c r="V449" s="296" t="s">
        <v>355</v>
      </c>
      <c r="W449" s="296"/>
      <c r="X449" s="296"/>
      <c r="Y449" s="252"/>
      <c r="Z449" s="149" t="str">
        <f t="shared" ca="1" si="6"/>
        <v/>
      </c>
      <c r="AA449" s="149" t="str">
        <f ca="1">IFERROR(IF(OR(OFFSET('S4'!#REF!,MATCH($A449,'S4'!$D$5:$D$3387,0)-1,6)="巻返し",OFFSET('S4'!#REF!,MATCH($A449,'S4'!$D$5:$D$3387,0)-1,6)="スリット"),SUMIF('S4'!$D$5:$D$3387,$A449,'S4'!$U$5:$U$3387),""),"")</f>
        <v/>
      </c>
      <c r="AB449" s="149" t="str">
        <f ca="1">IFERROR(IF(OR(OFFSET('S5'!#REF!,MATCH($A449,'S5'!$D$5:$D$2917,0)-1,6)="巻返し",OFFSET('S5'!#REF!,MATCH($A449,'S5'!$D$5:$D$2917,0)-1,6)="スリット"),SUMIF('S5'!$D$5:$D$2917,$A449,'S5'!$T$5:$T$2917),""),"")</f>
        <v/>
      </c>
    </row>
    <row r="450" spans="1:28" s="144" customFormat="1" ht="13.5" x14ac:dyDescent="0.15">
      <c r="A450" s="296">
        <v>3716251</v>
      </c>
      <c r="B450" s="296" t="s">
        <v>351</v>
      </c>
      <c r="C450" s="296" t="s">
        <v>352</v>
      </c>
      <c r="D450" s="296" t="s">
        <v>353</v>
      </c>
      <c r="E450" s="296" t="s">
        <v>116</v>
      </c>
      <c r="F450" s="296">
        <v>3</v>
      </c>
      <c r="G450" s="296" t="s">
        <v>19</v>
      </c>
      <c r="H450" s="296" t="s">
        <v>20</v>
      </c>
      <c r="I450" s="296" t="s">
        <v>205</v>
      </c>
      <c r="J450" s="296"/>
      <c r="K450" s="296" t="s">
        <v>211</v>
      </c>
      <c r="L450" s="296">
        <v>50</v>
      </c>
      <c r="M450" s="296" t="s">
        <v>370</v>
      </c>
      <c r="N450" s="297">
        <v>1050</v>
      </c>
      <c r="O450" s="297">
        <v>1050</v>
      </c>
      <c r="P450" s="297">
        <v>4100</v>
      </c>
      <c r="Q450" s="296">
        <v>2</v>
      </c>
      <c r="R450" s="296">
        <v>3</v>
      </c>
      <c r="S450" s="296" t="s">
        <v>354</v>
      </c>
      <c r="T450" s="298">
        <v>45097</v>
      </c>
      <c r="U450" s="298">
        <v>45126</v>
      </c>
      <c r="V450" s="296" t="s">
        <v>355</v>
      </c>
      <c r="W450" s="296"/>
      <c r="X450" s="296"/>
      <c r="Y450" s="252"/>
      <c r="Z450" s="149" t="str">
        <f t="shared" ca="1" si="6"/>
        <v/>
      </c>
      <c r="AA450" s="149" t="str">
        <f ca="1">IFERROR(IF(OR(OFFSET('S4'!#REF!,MATCH($A450,'S4'!$D$5:$D$3387,0)-1,6)="巻返し",OFFSET('S4'!#REF!,MATCH($A450,'S4'!$D$5:$D$3387,0)-1,6)="スリット"),SUMIF('S4'!$D$5:$D$3387,$A450,'S4'!$U$5:$U$3387),""),"")</f>
        <v/>
      </c>
      <c r="AB450" s="149" t="str">
        <f ca="1">IFERROR(IF(OR(OFFSET('S5'!#REF!,MATCH($A450,'S5'!$D$5:$D$2917,0)-1,6)="巻返し",OFFSET('S5'!#REF!,MATCH($A450,'S5'!$D$5:$D$2917,0)-1,6)="スリット"),SUMIF('S5'!$D$5:$D$2917,$A450,'S5'!$T$5:$T$2917),""),"")</f>
        <v/>
      </c>
    </row>
    <row r="451" spans="1:28" s="144" customFormat="1" ht="13.5" x14ac:dyDescent="0.15">
      <c r="A451" s="296">
        <v>3716252</v>
      </c>
      <c r="B451" s="296" t="s">
        <v>351</v>
      </c>
      <c r="C451" s="296" t="s">
        <v>352</v>
      </c>
      <c r="D451" s="296" t="s">
        <v>353</v>
      </c>
      <c r="E451" s="296" t="s">
        <v>116</v>
      </c>
      <c r="F451" s="296">
        <v>3</v>
      </c>
      <c r="G451" s="296" t="s">
        <v>19</v>
      </c>
      <c r="H451" s="296" t="s">
        <v>20</v>
      </c>
      <c r="I451" s="296" t="s">
        <v>205</v>
      </c>
      <c r="J451" s="296"/>
      <c r="K451" s="296" t="s">
        <v>211</v>
      </c>
      <c r="L451" s="296">
        <v>50</v>
      </c>
      <c r="M451" s="296" t="s">
        <v>370</v>
      </c>
      <c r="N451" s="297">
        <v>1170</v>
      </c>
      <c r="O451" s="297">
        <v>1170</v>
      </c>
      <c r="P451" s="297">
        <v>4000</v>
      </c>
      <c r="Q451" s="296">
        <v>2</v>
      </c>
      <c r="R451" s="296">
        <v>2</v>
      </c>
      <c r="S451" s="296" t="s">
        <v>354</v>
      </c>
      <c r="T451" s="298">
        <v>45097</v>
      </c>
      <c r="U451" s="298">
        <v>45126</v>
      </c>
      <c r="V451" s="296" t="s">
        <v>355</v>
      </c>
      <c r="W451" s="296"/>
      <c r="X451" s="296"/>
      <c r="Y451" s="252"/>
      <c r="Z451" s="149" t="str">
        <f t="shared" ca="1" si="6"/>
        <v/>
      </c>
      <c r="AA451" s="149" t="str">
        <f ca="1">IFERROR(IF(OR(OFFSET('S4'!#REF!,MATCH($A451,'S4'!$D$5:$D$3387,0)-1,6)="巻返し",OFFSET('S4'!#REF!,MATCH($A451,'S4'!$D$5:$D$3387,0)-1,6)="スリット"),SUMIF('S4'!$D$5:$D$3387,$A451,'S4'!$U$5:$U$3387),""),"")</f>
        <v/>
      </c>
      <c r="AB451" s="149" t="str">
        <f ca="1">IFERROR(IF(OR(OFFSET('S5'!#REF!,MATCH($A451,'S5'!$D$5:$D$2917,0)-1,6)="巻返し",OFFSET('S5'!#REF!,MATCH($A451,'S5'!$D$5:$D$2917,0)-1,6)="スリット"),SUMIF('S5'!$D$5:$D$2917,$A451,'S5'!$T$5:$T$2917),""),"")</f>
        <v/>
      </c>
    </row>
    <row r="452" spans="1:28" s="144" customFormat="1" ht="13.5" x14ac:dyDescent="0.15">
      <c r="A452" s="296">
        <v>3716253</v>
      </c>
      <c r="B452" s="296" t="s">
        <v>351</v>
      </c>
      <c r="C452" s="296" t="s">
        <v>352</v>
      </c>
      <c r="D452" s="296" t="s">
        <v>353</v>
      </c>
      <c r="E452" s="296" t="s">
        <v>116</v>
      </c>
      <c r="F452" s="296">
        <v>3</v>
      </c>
      <c r="G452" s="296" t="s">
        <v>19</v>
      </c>
      <c r="H452" s="296" t="s">
        <v>20</v>
      </c>
      <c r="I452" s="296" t="s">
        <v>205</v>
      </c>
      <c r="J452" s="296"/>
      <c r="K452" s="296" t="s">
        <v>211</v>
      </c>
      <c r="L452" s="296">
        <v>75</v>
      </c>
      <c r="M452" s="296" t="s">
        <v>370</v>
      </c>
      <c r="N452" s="297">
        <v>1050</v>
      </c>
      <c r="O452" s="297">
        <v>1050</v>
      </c>
      <c r="P452" s="297">
        <v>2000</v>
      </c>
      <c r="Q452" s="296">
        <v>2</v>
      </c>
      <c r="R452" s="296">
        <v>2</v>
      </c>
      <c r="S452" s="296" t="s">
        <v>354</v>
      </c>
      <c r="T452" s="298">
        <v>45097</v>
      </c>
      <c r="U452" s="298">
        <v>45126</v>
      </c>
      <c r="V452" s="296" t="s">
        <v>355</v>
      </c>
      <c r="W452" s="296"/>
      <c r="X452" s="296"/>
      <c r="Y452" s="252"/>
      <c r="Z452" s="149" t="str">
        <f t="shared" ref="Z452:Z514" ca="1" si="7">IF(SUM(AA452:AB452)=0,"",SUM(AA452:AB452))</f>
        <v/>
      </c>
      <c r="AA452" s="149" t="str">
        <f ca="1">IFERROR(IF(OR(OFFSET('S4'!#REF!,MATCH($A452,'S4'!$D$5:$D$3387,0)-1,6)="巻返し",OFFSET('S4'!#REF!,MATCH($A452,'S4'!$D$5:$D$3387,0)-1,6)="スリット"),SUMIF('S4'!$D$5:$D$3387,$A452,'S4'!$U$5:$U$3387),""),"")</f>
        <v/>
      </c>
      <c r="AB452" s="149" t="str">
        <f ca="1">IFERROR(IF(OR(OFFSET('S5'!#REF!,MATCH($A452,'S5'!$D$5:$D$2917,0)-1,6)="巻返し",OFFSET('S5'!#REF!,MATCH($A452,'S5'!$D$5:$D$2917,0)-1,6)="スリット"),SUMIF('S5'!$D$5:$D$2917,$A452,'S5'!$T$5:$T$2917),""),"")</f>
        <v/>
      </c>
    </row>
    <row r="453" spans="1:28" s="144" customFormat="1" ht="13.5" x14ac:dyDescent="0.15">
      <c r="A453" s="296">
        <v>3716254</v>
      </c>
      <c r="B453" s="296" t="s">
        <v>351</v>
      </c>
      <c r="C453" s="296" t="s">
        <v>352</v>
      </c>
      <c r="D453" s="296" t="s">
        <v>353</v>
      </c>
      <c r="E453" s="296" t="s">
        <v>116</v>
      </c>
      <c r="F453" s="296">
        <v>3</v>
      </c>
      <c r="G453" s="296" t="s">
        <v>19</v>
      </c>
      <c r="H453" s="296" t="s">
        <v>20</v>
      </c>
      <c r="I453" s="296" t="s">
        <v>165</v>
      </c>
      <c r="J453" s="296"/>
      <c r="K453" s="296" t="s">
        <v>185</v>
      </c>
      <c r="L453" s="296">
        <v>50</v>
      </c>
      <c r="M453" s="296" t="s">
        <v>186</v>
      </c>
      <c r="N453" s="297">
        <v>1005</v>
      </c>
      <c r="O453" s="297">
        <v>1000</v>
      </c>
      <c r="P453" s="297">
        <v>4000</v>
      </c>
      <c r="Q453" s="296">
        <v>2</v>
      </c>
      <c r="R453" s="296">
        <v>3</v>
      </c>
      <c r="S453" s="296" t="s">
        <v>354</v>
      </c>
      <c r="T453" s="298">
        <v>45097</v>
      </c>
      <c r="U453" s="298">
        <v>45128</v>
      </c>
      <c r="V453" s="296" t="s">
        <v>355</v>
      </c>
      <c r="W453" s="296"/>
      <c r="X453" s="296"/>
      <c r="Y453" s="252"/>
      <c r="Z453" s="149" t="str">
        <f t="shared" ca="1" si="7"/>
        <v/>
      </c>
      <c r="AA453" s="149" t="str">
        <f ca="1">IFERROR(IF(OR(OFFSET('S4'!#REF!,MATCH($A453,'S4'!$D$5:$D$3387,0)-1,6)="巻返し",OFFSET('S4'!#REF!,MATCH($A453,'S4'!$D$5:$D$3387,0)-1,6)="スリット"),SUMIF('S4'!$D$5:$D$3387,$A453,'S4'!$U$5:$U$3387),""),"")</f>
        <v/>
      </c>
      <c r="AB453" s="149" t="str">
        <f ca="1">IFERROR(IF(OR(OFFSET('S5'!#REF!,MATCH($A453,'S5'!$D$5:$D$2917,0)-1,6)="巻返し",OFFSET('S5'!#REF!,MATCH($A453,'S5'!$D$5:$D$2917,0)-1,6)="スリット"),SUMIF('S5'!$D$5:$D$2917,$A453,'S5'!$T$5:$T$2917),""),"")</f>
        <v/>
      </c>
    </row>
    <row r="454" spans="1:28" s="144" customFormat="1" ht="13.5" x14ac:dyDescent="0.15">
      <c r="A454" s="296">
        <v>3716255</v>
      </c>
      <c r="B454" s="296" t="s">
        <v>351</v>
      </c>
      <c r="C454" s="296" t="s">
        <v>352</v>
      </c>
      <c r="D454" s="296" t="s">
        <v>353</v>
      </c>
      <c r="E454" s="296" t="s">
        <v>116</v>
      </c>
      <c r="F454" s="296">
        <v>3</v>
      </c>
      <c r="G454" s="296" t="s">
        <v>19</v>
      </c>
      <c r="H454" s="296" t="s">
        <v>20</v>
      </c>
      <c r="I454" s="296" t="s">
        <v>205</v>
      </c>
      <c r="J454" s="296"/>
      <c r="K454" s="296" t="s">
        <v>216</v>
      </c>
      <c r="L454" s="296">
        <v>25</v>
      </c>
      <c r="M454" s="296" t="s">
        <v>217</v>
      </c>
      <c r="N454" s="297">
        <v>1005</v>
      </c>
      <c r="O454" s="297">
        <v>1000</v>
      </c>
      <c r="P454" s="297">
        <v>4000</v>
      </c>
      <c r="Q454" s="296">
        <v>2</v>
      </c>
      <c r="R454" s="296">
        <v>15</v>
      </c>
      <c r="S454" s="296" t="s">
        <v>354</v>
      </c>
      <c r="T454" s="298">
        <v>45097</v>
      </c>
      <c r="U454" s="298">
        <v>45128</v>
      </c>
      <c r="V454" s="296" t="s">
        <v>355</v>
      </c>
      <c r="W454" s="296"/>
      <c r="X454" s="296"/>
      <c r="Y454" s="252"/>
      <c r="Z454" s="149" t="str">
        <f t="shared" ca="1" si="7"/>
        <v/>
      </c>
      <c r="AA454" s="149" t="str">
        <f ca="1">IFERROR(IF(OR(OFFSET('S4'!#REF!,MATCH($A454,'S4'!$D$5:$D$3387,0)-1,6)="巻返し",OFFSET('S4'!#REF!,MATCH($A454,'S4'!$D$5:$D$3387,0)-1,6)="スリット"),SUMIF('S4'!$D$5:$D$3387,$A454,'S4'!$U$5:$U$3387),""),"")</f>
        <v/>
      </c>
      <c r="AB454" s="149" t="str">
        <f ca="1">IFERROR(IF(OR(OFFSET('S5'!#REF!,MATCH($A454,'S5'!$D$5:$D$2917,0)-1,6)="巻返し",OFFSET('S5'!#REF!,MATCH($A454,'S5'!$D$5:$D$2917,0)-1,6)="スリット"),SUMIF('S5'!$D$5:$D$2917,$A454,'S5'!$T$5:$T$2917),""),"")</f>
        <v/>
      </c>
    </row>
    <row r="455" spans="1:28" s="144" customFormat="1" ht="13.5" x14ac:dyDescent="0.15">
      <c r="A455" s="296">
        <v>3716256</v>
      </c>
      <c r="B455" s="296" t="s">
        <v>351</v>
      </c>
      <c r="C455" s="296" t="s">
        <v>352</v>
      </c>
      <c r="D455" s="296" t="s">
        <v>353</v>
      </c>
      <c r="E455" s="296" t="s">
        <v>116</v>
      </c>
      <c r="F455" s="296">
        <v>3</v>
      </c>
      <c r="G455" s="296" t="s">
        <v>19</v>
      </c>
      <c r="H455" s="296" t="s">
        <v>20</v>
      </c>
      <c r="I455" s="296" t="s">
        <v>205</v>
      </c>
      <c r="J455" s="296"/>
      <c r="K455" s="296" t="s">
        <v>216</v>
      </c>
      <c r="L455" s="296">
        <v>25</v>
      </c>
      <c r="M455" s="296" t="s">
        <v>217</v>
      </c>
      <c r="N455" s="297">
        <v>1125</v>
      </c>
      <c r="O455" s="297">
        <v>1120</v>
      </c>
      <c r="P455" s="297">
        <v>4000</v>
      </c>
      <c r="Q455" s="296">
        <v>2</v>
      </c>
      <c r="R455" s="296">
        <v>3</v>
      </c>
      <c r="S455" s="296" t="s">
        <v>354</v>
      </c>
      <c r="T455" s="298">
        <v>45097</v>
      </c>
      <c r="U455" s="298">
        <v>45128</v>
      </c>
      <c r="V455" s="296" t="s">
        <v>355</v>
      </c>
      <c r="W455" s="296"/>
      <c r="X455" s="296"/>
      <c r="Y455" s="252"/>
      <c r="Z455" s="149" t="str">
        <f t="shared" ca="1" si="7"/>
        <v/>
      </c>
      <c r="AA455" s="149" t="str">
        <f ca="1">IFERROR(IF(OR(OFFSET('S4'!#REF!,MATCH($A455,'S4'!$D$5:$D$3387,0)-1,6)="巻返し",OFFSET('S4'!#REF!,MATCH($A455,'S4'!$D$5:$D$3387,0)-1,6)="スリット"),SUMIF('S4'!$D$5:$D$3387,$A455,'S4'!$U$5:$U$3387),""),"")</f>
        <v/>
      </c>
      <c r="AB455" s="149" t="str">
        <f ca="1">IFERROR(IF(OR(OFFSET('S5'!#REF!,MATCH($A455,'S5'!$D$5:$D$2917,0)-1,6)="巻返し",OFFSET('S5'!#REF!,MATCH($A455,'S5'!$D$5:$D$2917,0)-1,6)="スリット"),SUMIF('S5'!$D$5:$D$2917,$A455,'S5'!$T$5:$T$2917),""),"")</f>
        <v/>
      </c>
    </row>
    <row r="456" spans="1:28" s="144" customFormat="1" ht="13.5" x14ac:dyDescent="0.15">
      <c r="A456" s="296">
        <v>3716257</v>
      </c>
      <c r="B456" s="296" t="s">
        <v>351</v>
      </c>
      <c r="C456" s="296" t="s">
        <v>352</v>
      </c>
      <c r="D456" s="296" t="s">
        <v>353</v>
      </c>
      <c r="E456" s="296" t="s">
        <v>116</v>
      </c>
      <c r="F456" s="296">
        <v>3</v>
      </c>
      <c r="G456" s="296" t="s">
        <v>19</v>
      </c>
      <c r="H456" s="296" t="s">
        <v>20</v>
      </c>
      <c r="I456" s="296" t="s">
        <v>205</v>
      </c>
      <c r="J456" s="296"/>
      <c r="K456" s="296" t="s">
        <v>216</v>
      </c>
      <c r="L456" s="296">
        <v>50</v>
      </c>
      <c r="M456" s="296" t="s">
        <v>217</v>
      </c>
      <c r="N456" s="297">
        <v>1120</v>
      </c>
      <c r="O456" s="297">
        <v>1120</v>
      </c>
      <c r="P456" s="297">
        <v>5000</v>
      </c>
      <c r="Q456" s="296">
        <v>2</v>
      </c>
      <c r="R456" s="296">
        <v>13</v>
      </c>
      <c r="S456" s="296" t="s">
        <v>354</v>
      </c>
      <c r="T456" s="298">
        <v>45097</v>
      </c>
      <c r="U456" s="298">
        <v>45127</v>
      </c>
      <c r="V456" s="296" t="s">
        <v>355</v>
      </c>
      <c r="W456" s="296"/>
      <c r="X456" s="296"/>
      <c r="Y456" s="252"/>
      <c r="Z456" s="149" t="str">
        <f t="shared" ca="1" si="7"/>
        <v/>
      </c>
      <c r="AA456" s="149" t="str">
        <f ca="1">IFERROR(IF(OR(OFFSET('S4'!#REF!,MATCH($A456,'S4'!$D$5:$D$3387,0)-1,6)="巻返し",OFFSET('S4'!#REF!,MATCH($A456,'S4'!$D$5:$D$3387,0)-1,6)="スリット"),SUMIF('S4'!$D$5:$D$3387,$A456,'S4'!$U$5:$U$3387),""),"")</f>
        <v/>
      </c>
      <c r="AB456" s="149" t="str">
        <f ca="1">IFERROR(IF(OR(OFFSET('S5'!#REF!,MATCH($A456,'S5'!$D$5:$D$2917,0)-1,6)="巻返し",OFFSET('S5'!#REF!,MATCH($A456,'S5'!$D$5:$D$2917,0)-1,6)="スリット"),SUMIF('S5'!$D$5:$D$2917,$A456,'S5'!$T$5:$T$2917),""),"")</f>
        <v/>
      </c>
    </row>
    <row r="457" spans="1:28" s="144" customFormat="1" ht="13.5" x14ac:dyDescent="0.15">
      <c r="A457" s="296">
        <v>3716258</v>
      </c>
      <c r="B457" s="296" t="s">
        <v>351</v>
      </c>
      <c r="C457" s="296" t="s">
        <v>352</v>
      </c>
      <c r="D457" s="296" t="s">
        <v>353</v>
      </c>
      <c r="E457" s="296" t="s">
        <v>116</v>
      </c>
      <c r="F457" s="296">
        <v>3</v>
      </c>
      <c r="G457" s="296" t="s">
        <v>19</v>
      </c>
      <c r="H457" s="296" t="s">
        <v>20</v>
      </c>
      <c r="I457" s="296" t="s">
        <v>205</v>
      </c>
      <c r="J457" s="296"/>
      <c r="K457" s="296" t="s">
        <v>216</v>
      </c>
      <c r="L457" s="296">
        <v>50</v>
      </c>
      <c r="M457" s="296" t="s">
        <v>217</v>
      </c>
      <c r="N457" s="297">
        <v>1120</v>
      </c>
      <c r="O457" s="297">
        <v>1120</v>
      </c>
      <c r="P457" s="297">
        <v>5000</v>
      </c>
      <c r="Q457" s="296">
        <v>2</v>
      </c>
      <c r="R457" s="296">
        <v>13</v>
      </c>
      <c r="S457" s="296" t="s">
        <v>354</v>
      </c>
      <c r="T457" s="298">
        <v>45097</v>
      </c>
      <c r="U457" s="298">
        <v>45132</v>
      </c>
      <c r="V457" s="296" t="s">
        <v>355</v>
      </c>
      <c r="W457" s="296"/>
      <c r="X457" s="296"/>
      <c r="Y457" s="252"/>
      <c r="Z457" s="149" t="str">
        <f t="shared" ca="1" si="7"/>
        <v/>
      </c>
      <c r="AA457" s="149" t="str">
        <f ca="1">IFERROR(IF(OR(OFFSET('S4'!#REF!,MATCH($A457,'S4'!$D$5:$D$3387,0)-1,6)="巻返し",OFFSET('S4'!#REF!,MATCH($A457,'S4'!$D$5:$D$3387,0)-1,6)="スリット"),SUMIF('S4'!$D$5:$D$3387,$A457,'S4'!$U$5:$U$3387),""),"")</f>
        <v/>
      </c>
      <c r="AB457" s="149" t="str">
        <f ca="1">IFERROR(IF(OR(OFFSET('S5'!#REF!,MATCH($A457,'S5'!$D$5:$D$2917,0)-1,6)="巻返し",OFFSET('S5'!#REF!,MATCH($A457,'S5'!$D$5:$D$2917,0)-1,6)="スリット"),SUMIF('S5'!$D$5:$D$2917,$A457,'S5'!$T$5:$T$2917),""),"")</f>
        <v/>
      </c>
    </row>
    <row r="458" spans="1:28" s="144" customFormat="1" ht="13.5" x14ac:dyDescent="0.15">
      <c r="A458" s="296">
        <v>3716259</v>
      </c>
      <c r="B458" s="296" t="s">
        <v>351</v>
      </c>
      <c r="C458" s="296" t="s">
        <v>352</v>
      </c>
      <c r="D458" s="296" t="s">
        <v>353</v>
      </c>
      <c r="E458" s="296" t="s">
        <v>116</v>
      </c>
      <c r="F458" s="296">
        <v>3</v>
      </c>
      <c r="G458" s="296" t="s">
        <v>19</v>
      </c>
      <c r="H458" s="296" t="s">
        <v>20</v>
      </c>
      <c r="I458" s="296" t="s">
        <v>205</v>
      </c>
      <c r="J458" s="296"/>
      <c r="K458" s="296" t="s">
        <v>216</v>
      </c>
      <c r="L458" s="296">
        <v>50</v>
      </c>
      <c r="M458" s="296" t="s">
        <v>217</v>
      </c>
      <c r="N458" s="297">
        <v>1120</v>
      </c>
      <c r="O458" s="297">
        <v>1120</v>
      </c>
      <c r="P458" s="297">
        <v>5000</v>
      </c>
      <c r="Q458" s="296">
        <v>2</v>
      </c>
      <c r="R458" s="296">
        <v>13</v>
      </c>
      <c r="S458" s="296" t="s">
        <v>354</v>
      </c>
      <c r="T458" s="298">
        <v>45097</v>
      </c>
      <c r="U458" s="298">
        <v>45135</v>
      </c>
      <c r="V458" s="296" t="s">
        <v>355</v>
      </c>
      <c r="W458" s="296"/>
      <c r="X458" s="296"/>
      <c r="Y458" s="252"/>
      <c r="Z458" s="149" t="str">
        <f t="shared" ca="1" si="7"/>
        <v/>
      </c>
      <c r="AA458" s="149" t="str">
        <f ca="1">IFERROR(IF(OR(OFFSET('S4'!#REF!,MATCH($A458,'S4'!$D$5:$D$3387,0)-1,6)="巻返し",OFFSET('S4'!#REF!,MATCH($A458,'S4'!$D$5:$D$3387,0)-1,6)="スリット"),SUMIF('S4'!$D$5:$D$3387,$A458,'S4'!$U$5:$U$3387),""),"")</f>
        <v/>
      </c>
      <c r="AB458" s="149" t="str">
        <f ca="1">IFERROR(IF(OR(OFFSET('S5'!#REF!,MATCH($A458,'S5'!$D$5:$D$2917,0)-1,6)="巻返し",OFFSET('S5'!#REF!,MATCH($A458,'S5'!$D$5:$D$2917,0)-1,6)="スリット"),SUMIF('S5'!$D$5:$D$2917,$A458,'S5'!$T$5:$T$2917),""),"")</f>
        <v/>
      </c>
    </row>
    <row r="459" spans="1:28" s="144" customFormat="1" ht="13.5" x14ac:dyDescent="0.15">
      <c r="A459" s="296">
        <v>3716260</v>
      </c>
      <c r="B459" s="296" t="s">
        <v>351</v>
      </c>
      <c r="C459" s="296" t="s">
        <v>352</v>
      </c>
      <c r="D459" s="296" t="s">
        <v>353</v>
      </c>
      <c r="E459" s="296" t="s">
        <v>116</v>
      </c>
      <c r="F459" s="296">
        <v>3</v>
      </c>
      <c r="G459" s="296" t="s">
        <v>19</v>
      </c>
      <c r="H459" s="296" t="s">
        <v>20</v>
      </c>
      <c r="I459" s="296" t="s">
        <v>205</v>
      </c>
      <c r="J459" s="296"/>
      <c r="K459" s="296" t="s">
        <v>216</v>
      </c>
      <c r="L459" s="296">
        <v>50</v>
      </c>
      <c r="M459" s="296" t="s">
        <v>217</v>
      </c>
      <c r="N459" s="297">
        <v>1120</v>
      </c>
      <c r="O459" s="297">
        <v>1120</v>
      </c>
      <c r="P459" s="297">
        <v>5000</v>
      </c>
      <c r="Q459" s="296">
        <v>2</v>
      </c>
      <c r="R459" s="296">
        <v>13</v>
      </c>
      <c r="S459" s="296" t="s">
        <v>354</v>
      </c>
      <c r="T459" s="298">
        <v>45097</v>
      </c>
      <c r="U459" s="298">
        <v>45138</v>
      </c>
      <c r="V459" s="296" t="s">
        <v>355</v>
      </c>
      <c r="W459" s="296"/>
      <c r="X459" s="296"/>
      <c r="Y459" s="252"/>
      <c r="Z459" s="149" t="str">
        <f t="shared" ca="1" si="7"/>
        <v/>
      </c>
      <c r="AA459" s="149" t="str">
        <f ca="1">IFERROR(IF(OR(OFFSET('S4'!#REF!,MATCH($A459,'S4'!$D$5:$D$3387,0)-1,6)="巻返し",OFFSET('S4'!#REF!,MATCH($A459,'S4'!$D$5:$D$3387,0)-1,6)="スリット"),SUMIF('S4'!$D$5:$D$3387,$A459,'S4'!$U$5:$U$3387),""),"")</f>
        <v/>
      </c>
      <c r="AB459" s="149" t="str">
        <f ca="1">IFERROR(IF(OR(OFFSET('S5'!#REF!,MATCH($A459,'S5'!$D$5:$D$2917,0)-1,6)="巻返し",OFFSET('S5'!#REF!,MATCH($A459,'S5'!$D$5:$D$2917,0)-1,6)="スリット"),SUMIF('S5'!$D$5:$D$2917,$A459,'S5'!$T$5:$T$2917),""),"")</f>
        <v/>
      </c>
    </row>
    <row r="460" spans="1:28" s="144" customFormat="1" ht="13.5" x14ac:dyDescent="0.15">
      <c r="A460" s="296">
        <v>3716262</v>
      </c>
      <c r="B460" s="296" t="s">
        <v>351</v>
      </c>
      <c r="C460" s="296" t="s">
        <v>352</v>
      </c>
      <c r="D460" s="296" t="s">
        <v>353</v>
      </c>
      <c r="E460" s="296" t="s">
        <v>116</v>
      </c>
      <c r="F460" s="296">
        <v>3</v>
      </c>
      <c r="G460" s="296" t="s">
        <v>19</v>
      </c>
      <c r="H460" s="296" t="s">
        <v>20</v>
      </c>
      <c r="I460" s="296" t="s">
        <v>205</v>
      </c>
      <c r="J460" s="296"/>
      <c r="K460" s="296" t="s">
        <v>218</v>
      </c>
      <c r="L460" s="296">
        <v>25</v>
      </c>
      <c r="M460" s="296" t="s">
        <v>219</v>
      </c>
      <c r="N460" s="297">
        <v>1005</v>
      </c>
      <c r="O460" s="297">
        <v>1000</v>
      </c>
      <c r="P460" s="297">
        <v>4000</v>
      </c>
      <c r="Q460" s="296">
        <v>2</v>
      </c>
      <c r="R460" s="296">
        <v>4</v>
      </c>
      <c r="S460" s="296" t="s">
        <v>354</v>
      </c>
      <c r="T460" s="298">
        <v>45097</v>
      </c>
      <c r="U460" s="298">
        <v>45128</v>
      </c>
      <c r="V460" s="296" t="s">
        <v>355</v>
      </c>
      <c r="W460" s="296"/>
      <c r="X460" s="296"/>
      <c r="Y460" s="252"/>
      <c r="Z460" s="149" t="str">
        <f t="shared" ca="1" si="7"/>
        <v/>
      </c>
      <c r="AA460" s="149" t="str">
        <f ca="1">IFERROR(IF(OR(OFFSET('S4'!#REF!,MATCH($A460,'S4'!$D$5:$D$3387,0)-1,6)="巻返し",OFFSET('S4'!#REF!,MATCH($A460,'S4'!$D$5:$D$3387,0)-1,6)="スリット"),SUMIF('S4'!$D$5:$D$3387,$A460,'S4'!$U$5:$U$3387),""),"")</f>
        <v/>
      </c>
      <c r="AB460" s="149" t="str">
        <f ca="1">IFERROR(IF(OR(OFFSET('S5'!#REF!,MATCH($A460,'S5'!$D$5:$D$2917,0)-1,6)="巻返し",OFFSET('S5'!#REF!,MATCH($A460,'S5'!$D$5:$D$2917,0)-1,6)="スリット"),SUMIF('S5'!$D$5:$D$2917,$A460,'S5'!$T$5:$T$2917),""),"")</f>
        <v/>
      </c>
    </row>
    <row r="461" spans="1:28" s="144" customFormat="1" ht="13.5" x14ac:dyDescent="0.15">
      <c r="A461" s="296">
        <v>3716263</v>
      </c>
      <c r="B461" s="296" t="s">
        <v>351</v>
      </c>
      <c r="C461" s="296" t="s">
        <v>352</v>
      </c>
      <c r="D461" s="296" t="s">
        <v>353</v>
      </c>
      <c r="E461" s="296" t="s">
        <v>116</v>
      </c>
      <c r="F461" s="296">
        <v>3</v>
      </c>
      <c r="G461" s="296" t="s">
        <v>19</v>
      </c>
      <c r="H461" s="296" t="s">
        <v>20</v>
      </c>
      <c r="I461" s="296" t="s">
        <v>205</v>
      </c>
      <c r="J461" s="296"/>
      <c r="K461" s="296" t="s">
        <v>218</v>
      </c>
      <c r="L461" s="296">
        <v>50</v>
      </c>
      <c r="M461" s="296" t="s">
        <v>219</v>
      </c>
      <c r="N461" s="297">
        <v>1000</v>
      </c>
      <c r="O461" s="297">
        <v>1000</v>
      </c>
      <c r="P461" s="297">
        <v>4000</v>
      </c>
      <c r="Q461" s="296">
        <v>2</v>
      </c>
      <c r="R461" s="296">
        <v>4</v>
      </c>
      <c r="S461" s="296" t="s">
        <v>354</v>
      </c>
      <c r="T461" s="298">
        <v>45097</v>
      </c>
      <c r="U461" s="298">
        <v>45128</v>
      </c>
      <c r="V461" s="296" t="s">
        <v>355</v>
      </c>
      <c r="W461" s="296"/>
      <c r="X461" s="296"/>
      <c r="Y461" s="252"/>
      <c r="Z461" s="149" t="str">
        <f t="shared" ca="1" si="7"/>
        <v/>
      </c>
      <c r="AA461" s="149" t="str">
        <f ca="1">IFERROR(IF(OR(OFFSET('S4'!#REF!,MATCH($A461,'S4'!$D$5:$D$3387,0)-1,6)="巻返し",OFFSET('S4'!#REF!,MATCH($A461,'S4'!$D$5:$D$3387,0)-1,6)="スリット"),SUMIF('S4'!$D$5:$D$3387,$A461,'S4'!$U$5:$U$3387),""),"")</f>
        <v/>
      </c>
      <c r="AB461" s="149" t="str">
        <f ca="1">IFERROR(IF(OR(OFFSET('S5'!#REF!,MATCH($A461,'S5'!$D$5:$D$2917,0)-1,6)="巻返し",OFFSET('S5'!#REF!,MATCH($A461,'S5'!$D$5:$D$2917,0)-1,6)="スリット"),SUMIF('S5'!$D$5:$D$2917,$A461,'S5'!$T$5:$T$2917),""),"")</f>
        <v/>
      </c>
    </row>
    <row r="462" spans="1:28" s="144" customFormat="1" ht="13.5" x14ac:dyDescent="0.15">
      <c r="A462" s="296">
        <v>3716264</v>
      </c>
      <c r="B462" s="296" t="s">
        <v>351</v>
      </c>
      <c r="C462" s="296" t="s">
        <v>352</v>
      </c>
      <c r="D462" s="296" t="s">
        <v>353</v>
      </c>
      <c r="E462" s="296" t="s">
        <v>116</v>
      </c>
      <c r="F462" s="296">
        <v>3</v>
      </c>
      <c r="G462" s="296" t="s">
        <v>19</v>
      </c>
      <c r="H462" s="296" t="s">
        <v>20</v>
      </c>
      <c r="I462" s="296" t="s">
        <v>205</v>
      </c>
      <c r="J462" s="296"/>
      <c r="K462" s="296" t="s">
        <v>218</v>
      </c>
      <c r="L462" s="296">
        <v>50</v>
      </c>
      <c r="M462" s="296" t="s">
        <v>219</v>
      </c>
      <c r="N462" s="297">
        <v>1000</v>
      </c>
      <c r="O462" s="297">
        <v>1000</v>
      </c>
      <c r="P462" s="297">
        <v>4000</v>
      </c>
      <c r="Q462" s="296">
        <v>2</v>
      </c>
      <c r="R462" s="296">
        <v>14</v>
      </c>
      <c r="S462" s="296" t="s">
        <v>354</v>
      </c>
      <c r="T462" s="298">
        <v>45097</v>
      </c>
      <c r="U462" s="298">
        <v>45128</v>
      </c>
      <c r="V462" s="296" t="s">
        <v>355</v>
      </c>
      <c r="W462" s="296"/>
      <c r="X462" s="296"/>
      <c r="Y462" s="252"/>
      <c r="Z462" s="149" t="str">
        <f t="shared" ca="1" si="7"/>
        <v/>
      </c>
      <c r="AA462" s="149" t="str">
        <f ca="1">IFERROR(IF(OR(OFFSET('S4'!#REF!,MATCH($A462,'S4'!$D$5:$D$3387,0)-1,6)="巻返し",OFFSET('S4'!#REF!,MATCH($A462,'S4'!$D$5:$D$3387,0)-1,6)="スリット"),SUMIF('S4'!$D$5:$D$3387,$A462,'S4'!$U$5:$U$3387),""),"")</f>
        <v/>
      </c>
      <c r="AB462" s="149" t="str">
        <f ca="1">IFERROR(IF(OR(OFFSET('S5'!#REF!,MATCH($A462,'S5'!$D$5:$D$2917,0)-1,6)="巻返し",OFFSET('S5'!#REF!,MATCH($A462,'S5'!$D$5:$D$2917,0)-1,6)="スリット"),SUMIF('S5'!$D$5:$D$2917,$A462,'S5'!$T$5:$T$2917),""),"")</f>
        <v/>
      </c>
    </row>
    <row r="463" spans="1:28" s="144" customFormat="1" ht="13.5" x14ac:dyDescent="0.15">
      <c r="A463" s="296">
        <v>3716265</v>
      </c>
      <c r="B463" s="296" t="s">
        <v>351</v>
      </c>
      <c r="C463" s="296" t="s">
        <v>352</v>
      </c>
      <c r="D463" s="296" t="s">
        <v>353</v>
      </c>
      <c r="E463" s="296" t="s">
        <v>116</v>
      </c>
      <c r="F463" s="296" t="s">
        <v>158</v>
      </c>
      <c r="G463" s="296" t="s">
        <v>19</v>
      </c>
      <c r="H463" s="296" t="s">
        <v>20</v>
      </c>
      <c r="I463" s="296" t="s">
        <v>165</v>
      </c>
      <c r="J463" s="296"/>
      <c r="K463" s="296" t="s">
        <v>192</v>
      </c>
      <c r="L463" s="296">
        <v>50</v>
      </c>
      <c r="M463" s="296" t="s">
        <v>193</v>
      </c>
      <c r="N463" s="297">
        <v>1005</v>
      </c>
      <c r="O463" s="297">
        <v>1000</v>
      </c>
      <c r="P463" s="297">
        <v>4000</v>
      </c>
      <c r="Q463" s="296">
        <v>2</v>
      </c>
      <c r="R463" s="296">
        <v>6</v>
      </c>
      <c r="S463" s="296" t="s">
        <v>354</v>
      </c>
      <c r="T463" s="298">
        <v>45097</v>
      </c>
      <c r="U463" s="298">
        <v>45128</v>
      </c>
      <c r="V463" s="296" t="s">
        <v>355</v>
      </c>
      <c r="W463" s="296"/>
      <c r="X463" s="296"/>
      <c r="Y463" s="252"/>
      <c r="Z463" s="149" t="str">
        <f t="shared" ca="1" si="7"/>
        <v/>
      </c>
      <c r="AA463" s="149" t="str">
        <f ca="1">IFERROR(IF(OR(OFFSET('S4'!#REF!,MATCH($A463,'S4'!$D$5:$D$3387,0)-1,6)="巻返し",OFFSET('S4'!#REF!,MATCH($A463,'S4'!$D$5:$D$3387,0)-1,6)="スリット"),SUMIF('S4'!$D$5:$D$3387,$A463,'S4'!$U$5:$U$3387),""),"")</f>
        <v/>
      </c>
      <c r="AB463" s="149" t="str">
        <f ca="1">IFERROR(IF(OR(OFFSET('S5'!#REF!,MATCH($A463,'S5'!$D$5:$D$2917,0)-1,6)="巻返し",OFFSET('S5'!#REF!,MATCH($A463,'S5'!$D$5:$D$2917,0)-1,6)="スリット"),SUMIF('S5'!$D$5:$D$2917,$A463,'S5'!$T$5:$T$2917),""),"")</f>
        <v/>
      </c>
    </row>
    <row r="464" spans="1:28" s="144" customFormat="1" ht="13.5" x14ac:dyDescent="0.15">
      <c r="A464" s="296">
        <v>3716267</v>
      </c>
      <c r="B464" s="296" t="s">
        <v>351</v>
      </c>
      <c r="C464" s="296" t="s">
        <v>352</v>
      </c>
      <c r="D464" s="296" t="s">
        <v>353</v>
      </c>
      <c r="E464" s="296" t="s">
        <v>116</v>
      </c>
      <c r="F464" s="296">
        <v>3</v>
      </c>
      <c r="G464" s="296" t="s">
        <v>19</v>
      </c>
      <c r="H464" s="296" t="s">
        <v>20</v>
      </c>
      <c r="I464" s="296" t="s">
        <v>205</v>
      </c>
      <c r="J464" s="296"/>
      <c r="K464" s="296" t="s">
        <v>221</v>
      </c>
      <c r="L464" s="296">
        <v>25</v>
      </c>
      <c r="M464" s="296" t="s">
        <v>222</v>
      </c>
      <c r="N464" s="297">
        <v>1000</v>
      </c>
      <c r="O464" s="297">
        <v>1000</v>
      </c>
      <c r="P464" s="297">
        <v>6000</v>
      </c>
      <c r="Q464" s="296">
        <v>2</v>
      </c>
      <c r="R464" s="296">
        <v>8</v>
      </c>
      <c r="S464" s="296" t="s">
        <v>354</v>
      </c>
      <c r="T464" s="298">
        <v>45097</v>
      </c>
      <c r="U464" s="298">
        <v>45125</v>
      </c>
      <c r="V464" s="296" t="s">
        <v>355</v>
      </c>
      <c r="W464" s="296"/>
      <c r="X464" s="296"/>
      <c r="Y464" s="252"/>
      <c r="Z464" s="149" t="str">
        <f t="shared" ca="1" si="7"/>
        <v/>
      </c>
      <c r="AA464" s="149" t="str">
        <f ca="1">IFERROR(IF(OR(OFFSET('S4'!#REF!,MATCH($A464,'S4'!$D$5:$D$3387,0)-1,6)="巻返し",OFFSET('S4'!#REF!,MATCH($A464,'S4'!$D$5:$D$3387,0)-1,6)="スリット"),SUMIF('S4'!$D$5:$D$3387,$A464,'S4'!$U$5:$U$3387),""),"")</f>
        <v/>
      </c>
      <c r="AB464" s="149" t="str">
        <f ca="1">IFERROR(IF(OR(OFFSET('S5'!#REF!,MATCH($A464,'S5'!$D$5:$D$2917,0)-1,6)="巻返し",OFFSET('S5'!#REF!,MATCH($A464,'S5'!$D$5:$D$2917,0)-1,6)="スリット"),SUMIF('S5'!$D$5:$D$2917,$A464,'S5'!$T$5:$T$2917),""),"")</f>
        <v/>
      </c>
    </row>
    <row r="465" spans="1:28" s="144" customFormat="1" ht="13.5" x14ac:dyDescent="0.15">
      <c r="A465" s="296">
        <v>3716268</v>
      </c>
      <c r="B465" s="296" t="s">
        <v>351</v>
      </c>
      <c r="C465" s="296" t="s">
        <v>352</v>
      </c>
      <c r="D465" s="296" t="s">
        <v>353</v>
      </c>
      <c r="E465" s="296" t="s">
        <v>116</v>
      </c>
      <c r="F465" s="296">
        <v>3</v>
      </c>
      <c r="G465" s="296" t="s">
        <v>19</v>
      </c>
      <c r="H465" s="296" t="s">
        <v>20</v>
      </c>
      <c r="I465" s="296" t="s">
        <v>205</v>
      </c>
      <c r="J465" s="296"/>
      <c r="K465" s="296" t="s">
        <v>221</v>
      </c>
      <c r="L465" s="296">
        <v>25</v>
      </c>
      <c r="M465" s="296" t="s">
        <v>222</v>
      </c>
      <c r="N465" s="297">
        <v>1100</v>
      </c>
      <c r="O465" s="297">
        <v>1100</v>
      </c>
      <c r="P465" s="297">
        <v>6000</v>
      </c>
      <c r="Q465" s="296">
        <v>2</v>
      </c>
      <c r="R465" s="296">
        <v>8</v>
      </c>
      <c r="S465" s="296" t="s">
        <v>354</v>
      </c>
      <c r="T465" s="298">
        <v>45097</v>
      </c>
      <c r="U465" s="298">
        <v>45125</v>
      </c>
      <c r="V465" s="296" t="s">
        <v>355</v>
      </c>
      <c r="W465" s="296"/>
      <c r="X465" s="296"/>
      <c r="Y465" s="252"/>
      <c r="Z465" s="149" t="str">
        <f t="shared" ca="1" si="7"/>
        <v/>
      </c>
      <c r="AA465" s="149" t="str">
        <f ca="1">IFERROR(IF(OR(OFFSET('S4'!#REF!,MATCH($A465,'S4'!$D$5:$D$3387,0)-1,6)="巻返し",OFFSET('S4'!#REF!,MATCH($A465,'S4'!$D$5:$D$3387,0)-1,6)="スリット"),SUMIF('S4'!$D$5:$D$3387,$A465,'S4'!$U$5:$U$3387),""),"")</f>
        <v/>
      </c>
      <c r="AB465" s="149" t="str">
        <f ca="1">IFERROR(IF(OR(OFFSET('S5'!#REF!,MATCH($A465,'S5'!$D$5:$D$2917,0)-1,6)="巻返し",OFFSET('S5'!#REF!,MATCH($A465,'S5'!$D$5:$D$2917,0)-1,6)="スリット"),SUMIF('S5'!$D$5:$D$2917,$A465,'S5'!$T$5:$T$2917),""),"")</f>
        <v/>
      </c>
    </row>
    <row r="466" spans="1:28" s="144" customFormat="1" ht="13.5" x14ac:dyDescent="0.15">
      <c r="A466" s="296">
        <v>3716269</v>
      </c>
      <c r="B466" s="296" t="s">
        <v>351</v>
      </c>
      <c r="C466" s="296" t="s">
        <v>352</v>
      </c>
      <c r="D466" s="296" t="s">
        <v>353</v>
      </c>
      <c r="E466" s="296" t="s">
        <v>116</v>
      </c>
      <c r="F466" s="296">
        <v>3</v>
      </c>
      <c r="G466" s="296" t="s">
        <v>19</v>
      </c>
      <c r="H466" s="296" t="s">
        <v>20</v>
      </c>
      <c r="I466" s="296" t="s">
        <v>143</v>
      </c>
      <c r="J466" s="296"/>
      <c r="K466" s="296" t="s">
        <v>152</v>
      </c>
      <c r="L466" s="296">
        <v>38</v>
      </c>
      <c r="M466" s="296" t="s">
        <v>153</v>
      </c>
      <c r="N466" s="297">
        <v>1005</v>
      </c>
      <c r="O466" s="297">
        <v>1000</v>
      </c>
      <c r="P466" s="297">
        <v>4000</v>
      </c>
      <c r="Q466" s="296">
        <v>2</v>
      </c>
      <c r="R466" s="296">
        <v>4</v>
      </c>
      <c r="S466" s="296" t="s">
        <v>354</v>
      </c>
      <c r="T466" s="298">
        <v>45097</v>
      </c>
      <c r="U466" s="298">
        <v>45128</v>
      </c>
      <c r="V466" s="296" t="s">
        <v>355</v>
      </c>
      <c r="W466" s="296"/>
      <c r="X466" s="296"/>
      <c r="Y466" s="252"/>
      <c r="Z466" s="149" t="str">
        <f t="shared" ca="1" si="7"/>
        <v/>
      </c>
      <c r="AA466" s="149" t="str">
        <f ca="1">IFERROR(IF(OR(OFFSET('S4'!#REF!,MATCH($A466,'S4'!$D$5:$D$3387,0)-1,6)="巻返し",OFFSET('S4'!#REF!,MATCH($A466,'S4'!$D$5:$D$3387,0)-1,6)="スリット"),SUMIF('S4'!$D$5:$D$3387,$A466,'S4'!$U$5:$U$3387),""),"")</f>
        <v/>
      </c>
      <c r="AB466" s="149" t="str">
        <f ca="1">IFERROR(IF(OR(OFFSET('S5'!#REF!,MATCH($A466,'S5'!$D$5:$D$2917,0)-1,6)="巻返し",OFFSET('S5'!#REF!,MATCH($A466,'S5'!$D$5:$D$2917,0)-1,6)="スリット"),SUMIF('S5'!$D$5:$D$2917,$A466,'S5'!$T$5:$T$2917),""),"")</f>
        <v/>
      </c>
    </row>
    <row r="467" spans="1:28" s="144" customFormat="1" ht="13.5" x14ac:dyDescent="0.15">
      <c r="A467" s="296">
        <v>3716270</v>
      </c>
      <c r="B467" s="296" t="s">
        <v>351</v>
      </c>
      <c r="C467" s="296" t="s">
        <v>352</v>
      </c>
      <c r="D467" s="296" t="s">
        <v>353</v>
      </c>
      <c r="E467" s="296" t="s">
        <v>116</v>
      </c>
      <c r="F467" s="296">
        <v>3</v>
      </c>
      <c r="G467" s="296" t="s">
        <v>19</v>
      </c>
      <c r="H467" s="296" t="s">
        <v>28</v>
      </c>
      <c r="I467" s="296" t="s">
        <v>205</v>
      </c>
      <c r="J467" s="296"/>
      <c r="K467" s="296" t="s">
        <v>237</v>
      </c>
      <c r="L467" s="296">
        <v>25</v>
      </c>
      <c r="M467" s="296" t="s">
        <v>238</v>
      </c>
      <c r="N467" s="297">
        <v>1120</v>
      </c>
      <c r="O467" s="297">
        <v>1120</v>
      </c>
      <c r="P467" s="297">
        <v>8000</v>
      </c>
      <c r="Q467" s="296">
        <v>2</v>
      </c>
      <c r="R467" s="296">
        <v>1</v>
      </c>
      <c r="S467" s="296" t="s">
        <v>354</v>
      </c>
      <c r="T467" s="298">
        <v>45097</v>
      </c>
      <c r="U467" s="298">
        <v>45128</v>
      </c>
      <c r="V467" s="296" t="s">
        <v>355</v>
      </c>
      <c r="W467" s="296"/>
      <c r="X467" s="296"/>
      <c r="Y467" s="252"/>
      <c r="Z467" s="149" t="str">
        <f t="shared" ca="1" si="7"/>
        <v/>
      </c>
      <c r="AA467" s="149" t="str">
        <f ca="1">IFERROR(IF(OR(OFFSET('S4'!#REF!,MATCH($A467,'S4'!$D$5:$D$3387,0)-1,6)="巻返し",OFFSET('S4'!#REF!,MATCH($A467,'S4'!$D$5:$D$3387,0)-1,6)="スリット"),SUMIF('S4'!$D$5:$D$3387,$A467,'S4'!$U$5:$U$3387),""),"")</f>
        <v/>
      </c>
      <c r="AB467" s="149" t="str">
        <f ca="1">IFERROR(IF(OR(OFFSET('S5'!#REF!,MATCH($A467,'S5'!$D$5:$D$2917,0)-1,6)="巻返し",OFFSET('S5'!#REF!,MATCH($A467,'S5'!$D$5:$D$2917,0)-1,6)="スリット"),SUMIF('S5'!$D$5:$D$2917,$A467,'S5'!$T$5:$T$2917),""),"")</f>
        <v/>
      </c>
    </row>
    <row r="468" spans="1:28" s="144" customFormat="1" ht="13.5" x14ac:dyDescent="0.15">
      <c r="A468" s="296">
        <v>3716271</v>
      </c>
      <c r="B468" s="296" t="s">
        <v>351</v>
      </c>
      <c r="C468" s="296" t="s">
        <v>352</v>
      </c>
      <c r="D468" s="296" t="s">
        <v>353</v>
      </c>
      <c r="E468" s="296" t="s">
        <v>116</v>
      </c>
      <c r="F468" s="296">
        <v>3</v>
      </c>
      <c r="G468" s="296" t="s">
        <v>19</v>
      </c>
      <c r="H468" s="296" t="s">
        <v>28</v>
      </c>
      <c r="I468" s="296" t="s">
        <v>205</v>
      </c>
      <c r="J468" s="296"/>
      <c r="K468" s="296" t="s">
        <v>237</v>
      </c>
      <c r="L468" s="296">
        <v>50</v>
      </c>
      <c r="M468" s="296" t="s">
        <v>238</v>
      </c>
      <c r="N468" s="297">
        <v>1120</v>
      </c>
      <c r="O468" s="297">
        <v>1120</v>
      </c>
      <c r="P468" s="297">
        <v>4000</v>
      </c>
      <c r="Q468" s="296">
        <v>2</v>
      </c>
      <c r="R468" s="296">
        <v>4</v>
      </c>
      <c r="S468" s="296" t="s">
        <v>354</v>
      </c>
      <c r="T468" s="298">
        <v>45097</v>
      </c>
      <c r="U468" s="298">
        <v>45134</v>
      </c>
      <c r="V468" s="296" t="s">
        <v>355</v>
      </c>
      <c r="W468" s="296"/>
      <c r="X468" s="296"/>
      <c r="Y468" s="252"/>
      <c r="Z468" s="149" t="str">
        <f t="shared" ca="1" si="7"/>
        <v/>
      </c>
      <c r="AA468" s="149" t="str">
        <f ca="1">IFERROR(IF(OR(OFFSET('S4'!#REF!,MATCH($A468,'S4'!$D$5:$D$3387,0)-1,6)="巻返し",OFFSET('S4'!#REF!,MATCH($A468,'S4'!$D$5:$D$3387,0)-1,6)="スリット"),SUMIF('S4'!$D$5:$D$3387,$A468,'S4'!$U$5:$U$3387),""),"")</f>
        <v/>
      </c>
      <c r="AB468" s="149" t="str">
        <f ca="1">IFERROR(IF(OR(OFFSET('S5'!#REF!,MATCH($A468,'S5'!$D$5:$D$2917,0)-1,6)="巻返し",OFFSET('S5'!#REF!,MATCH($A468,'S5'!$D$5:$D$2917,0)-1,6)="スリット"),SUMIF('S5'!$D$5:$D$2917,$A468,'S5'!$T$5:$T$2917),""),"")</f>
        <v/>
      </c>
    </row>
    <row r="469" spans="1:28" s="144" customFormat="1" ht="13.5" x14ac:dyDescent="0.15">
      <c r="A469" s="296">
        <v>3716272</v>
      </c>
      <c r="B469" s="296" t="s">
        <v>351</v>
      </c>
      <c r="C469" s="296" t="s">
        <v>352</v>
      </c>
      <c r="D469" s="296" t="s">
        <v>353</v>
      </c>
      <c r="E469" s="296" t="s">
        <v>116</v>
      </c>
      <c r="F469" s="296">
        <v>3</v>
      </c>
      <c r="G469" s="296" t="s">
        <v>19</v>
      </c>
      <c r="H469" s="296" t="s">
        <v>28</v>
      </c>
      <c r="I469" s="296" t="s">
        <v>205</v>
      </c>
      <c r="J469" s="296"/>
      <c r="K469" s="296" t="s">
        <v>233</v>
      </c>
      <c r="L469" s="296">
        <v>50</v>
      </c>
      <c r="M469" s="296" t="s">
        <v>234</v>
      </c>
      <c r="N469" s="297">
        <v>1120</v>
      </c>
      <c r="O469" s="297">
        <v>1120</v>
      </c>
      <c r="P469" s="297">
        <v>4000</v>
      </c>
      <c r="Q469" s="296">
        <v>2</v>
      </c>
      <c r="R469" s="296">
        <v>4</v>
      </c>
      <c r="S469" s="296" t="s">
        <v>354</v>
      </c>
      <c r="T469" s="298">
        <v>45097</v>
      </c>
      <c r="U469" s="298">
        <v>45128</v>
      </c>
      <c r="V469" s="296" t="s">
        <v>355</v>
      </c>
      <c r="W469" s="296"/>
      <c r="X469" s="296"/>
      <c r="Y469" s="252"/>
      <c r="Z469" s="149" t="str">
        <f t="shared" ca="1" si="7"/>
        <v/>
      </c>
      <c r="AA469" s="149" t="str">
        <f ca="1">IFERROR(IF(OR(OFFSET('S4'!#REF!,MATCH($A469,'S4'!$D$5:$D$3387,0)-1,6)="巻返し",OFFSET('S4'!#REF!,MATCH($A469,'S4'!$D$5:$D$3387,0)-1,6)="スリット"),SUMIF('S4'!$D$5:$D$3387,$A469,'S4'!$U$5:$U$3387),""),"")</f>
        <v/>
      </c>
      <c r="AB469" s="149" t="str">
        <f ca="1">IFERROR(IF(OR(OFFSET('S5'!#REF!,MATCH($A469,'S5'!$D$5:$D$2917,0)-1,6)="巻返し",OFFSET('S5'!#REF!,MATCH($A469,'S5'!$D$5:$D$2917,0)-1,6)="スリット"),SUMIF('S5'!$D$5:$D$2917,$A469,'S5'!$T$5:$T$2917),""),"")</f>
        <v/>
      </c>
    </row>
    <row r="470" spans="1:28" s="144" customFormat="1" ht="13.5" x14ac:dyDescent="0.15">
      <c r="A470" s="296">
        <v>3716273</v>
      </c>
      <c r="B470" s="296" t="s">
        <v>351</v>
      </c>
      <c r="C470" s="296" t="s">
        <v>352</v>
      </c>
      <c r="D470" s="296" t="s">
        <v>353</v>
      </c>
      <c r="E470" s="296" t="s">
        <v>116</v>
      </c>
      <c r="F470" s="296">
        <v>3</v>
      </c>
      <c r="G470" s="296" t="s">
        <v>19</v>
      </c>
      <c r="H470" s="296" t="s">
        <v>28</v>
      </c>
      <c r="I470" s="296" t="s">
        <v>205</v>
      </c>
      <c r="J470" s="296"/>
      <c r="K470" s="296" t="s">
        <v>233</v>
      </c>
      <c r="L470" s="296">
        <v>50</v>
      </c>
      <c r="M470" s="296" t="s">
        <v>234</v>
      </c>
      <c r="N470" s="297">
        <v>1120</v>
      </c>
      <c r="O470" s="297">
        <v>1120</v>
      </c>
      <c r="P470" s="297">
        <v>4000</v>
      </c>
      <c r="Q470" s="296">
        <v>2</v>
      </c>
      <c r="R470" s="296">
        <v>5</v>
      </c>
      <c r="S470" s="296" t="s">
        <v>354</v>
      </c>
      <c r="T470" s="298">
        <v>45097</v>
      </c>
      <c r="U470" s="298">
        <v>45132</v>
      </c>
      <c r="V470" s="296" t="s">
        <v>355</v>
      </c>
      <c r="W470" s="296"/>
      <c r="X470" s="296"/>
      <c r="Y470" s="252"/>
      <c r="Z470" s="149" t="str">
        <f t="shared" ca="1" si="7"/>
        <v/>
      </c>
      <c r="AA470" s="149" t="str">
        <f ca="1">IFERROR(IF(OR(OFFSET('S4'!#REF!,MATCH($A470,'S4'!$D$5:$D$3387,0)-1,6)="巻返し",OFFSET('S4'!#REF!,MATCH($A470,'S4'!$D$5:$D$3387,0)-1,6)="スリット"),SUMIF('S4'!$D$5:$D$3387,$A470,'S4'!$U$5:$U$3387),""),"")</f>
        <v/>
      </c>
      <c r="AB470" s="149" t="str">
        <f ca="1">IFERROR(IF(OR(OFFSET('S5'!#REF!,MATCH($A470,'S5'!$D$5:$D$2917,0)-1,6)="巻返し",OFFSET('S5'!#REF!,MATCH($A470,'S5'!$D$5:$D$2917,0)-1,6)="スリット"),SUMIF('S5'!$D$5:$D$2917,$A470,'S5'!$T$5:$T$2917),""),"")</f>
        <v/>
      </c>
    </row>
    <row r="471" spans="1:28" s="144" customFormat="1" ht="13.5" x14ac:dyDescent="0.15">
      <c r="A471" s="296">
        <v>3717577</v>
      </c>
      <c r="B471" s="296" t="s">
        <v>351</v>
      </c>
      <c r="C471" s="296" t="s">
        <v>364</v>
      </c>
      <c r="D471" s="296" t="s">
        <v>353</v>
      </c>
      <c r="E471" s="296" t="s">
        <v>148</v>
      </c>
      <c r="F471" s="296">
        <v>3</v>
      </c>
      <c r="G471" s="296" t="s">
        <v>19</v>
      </c>
      <c r="H471" s="296" t="s">
        <v>20</v>
      </c>
      <c r="I471" s="296" t="s">
        <v>165</v>
      </c>
      <c r="J471" s="296"/>
      <c r="K471" s="296" t="s">
        <v>180</v>
      </c>
      <c r="L471" s="296">
        <v>50</v>
      </c>
      <c r="M471" s="296" t="s">
        <v>181</v>
      </c>
      <c r="N471" s="297">
        <v>1120</v>
      </c>
      <c r="O471" s="297">
        <v>1120</v>
      </c>
      <c r="P471" s="297">
        <v>4000</v>
      </c>
      <c r="Q471" s="296">
        <v>2</v>
      </c>
      <c r="R471" s="296">
        <v>2</v>
      </c>
      <c r="S471" s="296" t="s">
        <v>354</v>
      </c>
      <c r="T471" s="298">
        <v>45099</v>
      </c>
      <c r="U471" s="298">
        <v>45169</v>
      </c>
      <c r="V471" s="296" t="s">
        <v>355</v>
      </c>
      <c r="W471" s="296"/>
      <c r="X471" s="296"/>
      <c r="Y471" s="146"/>
      <c r="Z471" s="149" t="str">
        <f t="shared" ca="1" si="7"/>
        <v/>
      </c>
      <c r="AA471" s="149" t="str">
        <f ca="1">IFERROR(IF(OR(OFFSET('S4'!#REF!,MATCH($A471,'S4'!$D$5:$D$3387,0)-1,6)="巻返し",OFFSET('S4'!#REF!,MATCH($A471,'S4'!$D$5:$D$3387,0)-1,6)="スリット"),SUMIF('S4'!$D$5:$D$3387,$A471,'S4'!$U$5:$U$3387),""),"")</f>
        <v/>
      </c>
      <c r="AB471" s="149" t="str">
        <f ca="1">IFERROR(IF(OR(OFFSET('S5'!#REF!,MATCH($A471,'S5'!$D$5:$D$2917,0)-1,6)="巻返し",OFFSET('S5'!#REF!,MATCH($A471,'S5'!$D$5:$D$2917,0)-1,6)="スリット"),SUMIF('S5'!$D$5:$D$2917,$A471,'S5'!$T$5:$T$2917),""),"")</f>
        <v/>
      </c>
    </row>
    <row r="472" spans="1:28" s="144" customFormat="1" ht="13.5" x14ac:dyDescent="0.15">
      <c r="A472" s="296">
        <v>3717593</v>
      </c>
      <c r="B472" s="296" t="s">
        <v>351</v>
      </c>
      <c r="C472" s="296" t="s">
        <v>352</v>
      </c>
      <c r="D472" s="296" t="s">
        <v>353</v>
      </c>
      <c r="E472" s="296" t="s">
        <v>116</v>
      </c>
      <c r="F472" s="296">
        <v>3</v>
      </c>
      <c r="G472" s="296" t="s">
        <v>19</v>
      </c>
      <c r="H472" s="296" t="s">
        <v>20</v>
      </c>
      <c r="I472" s="296" t="s">
        <v>165</v>
      </c>
      <c r="J472" s="296"/>
      <c r="K472" s="296" t="s">
        <v>185</v>
      </c>
      <c r="L472" s="296">
        <v>50</v>
      </c>
      <c r="M472" s="296" t="s">
        <v>186</v>
      </c>
      <c r="N472" s="297">
        <v>1005</v>
      </c>
      <c r="O472" s="297">
        <v>1000</v>
      </c>
      <c r="P472" s="297">
        <v>4100</v>
      </c>
      <c r="Q472" s="296">
        <v>2</v>
      </c>
      <c r="R472" s="296">
        <v>3</v>
      </c>
      <c r="S472" s="296" t="s">
        <v>354</v>
      </c>
      <c r="T472" s="298">
        <v>45100</v>
      </c>
      <c r="U472" s="298">
        <v>45128</v>
      </c>
      <c r="V472" s="296" t="s">
        <v>355</v>
      </c>
      <c r="W472" s="296"/>
      <c r="X472" s="296"/>
      <c r="Y472" s="146"/>
      <c r="Z472" s="149" t="str">
        <f t="shared" ca="1" si="7"/>
        <v/>
      </c>
      <c r="AA472" s="149" t="str">
        <f ca="1">IFERROR(IF(OR(OFFSET('S4'!#REF!,MATCH($A472,'S4'!$D$5:$D$3387,0)-1,6)="巻返し",OFFSET('S4'!#REF!,MATCH($A472,'S4'!$D$5:$D$3387,0)-1,6)="スリット"),SUMIF('S4'!$D$5:$D$3387,$A472,'S4'!$U$5:$U$3387),""),"")</f>
        <v/>
      </c>
      <c r="AB472" s="149" t="str">
        <f ca="1">IFERROR(IF(OR(OFFSET('S5'!#REF!,MATCH($A472,'S5'!$D$5:$D$2917,0)-1,6)="巻返し",OFFSET('S5'!#REF!,MATCH($A472,'S5'!$D$5:$D$2917,0)-1,6)="スリット"),SUMIF('S5'!$D$5:$D$2917,$A472,'S5'!$T$5:$T$2917),""),"")</f>
        <v/>
      </c>
    </row>
    <row r="473" spans="1:28" s="144" customFormat="1" ht="13.5" x14ac:dyDescent="0.15">
      <c r="A473" s="296">
        <v>3717594</v>
      </c>
      <c r="B473" s="296" t="s">
        <v>351</v>
      </c>
      <c r="C473" s="296" t="s">
        <v>352</v>
      </c>
      <c r="D473" s="296" t="s">
        <v>353</v>
      </c>
      <c r="E473" s="296" t="s">
        <v>116</v>
      </c>
      <c r="F473" s="296">
        <v>3</v>
      </c>
      <c r="G473" s="296" t="s">
        <v>19</v>
      </c>
      <c r="H473" s="296" t="s">
        <v>20</v>
      </c>
      <c r="I473" s="296" t="s">
        <v>205</v>
      </c>
      <c r="J473" s="296"/>
      <c r="K473" s="296" t="s">
        <v>211</v>
      </c>
      <c r="L473" s="296">
        <v>38</v>
      </c>
      <c r="M473" s="296" t="s">
        <v>370</v>
      </c>
      <c r="N473" s="297">
        <v>1005</v>
      </c>
      <c r="O473" s="297">
        <v>1000</v>
      </c>
      <c r="P473" s="297">
        <v>4100</v>
      </c>
      <c r="Q473" s="296">
        <v>2</v>
      </c>
      <c r="R473" s="296">
        <v>3</v>
      </c>
      <c r="S473" s="296" t="s">
        <v>354</v>
      </c>
      <c r="T473" s="298">
        <v>45100</v>
      </c>
      <c r="U473" s="298">
        <v>45128</v>
      </c>
      <c r="V473" s="296" t="s">
        <v>355</v>
      </c>
      <c r="W473" s="296"/>
      <c r="X473" s="296"/>
      <c r="Y473" s="146"/>
      <c r="Z473" s="149" t="str">
        <f t="shared" ca="1" si="7"/>
        <v/>
      </c>
      <c r="AA473" s="149" t="str">
        <f ca="1">IFERROR(IF(OR(OFFSET('S4'!#REF!,MATCH($A473,'S4'!$D$5:$D$3387,0)-1,6)="巻返し",OFFSET('S4'!#REF!,MATCH($A473,'S4'!$D$5:$D$3387,0)-1,6)="スリット"),SUMIF('S4'!$D$5:$D$3387,$A473,'S4'!$U$5:$U$3387),""),"")</f>
        <v/>
      </c>
      <c r="AB473" s="149" t="str">
        <f ca="1">IFERROR(IF(OR(OFFSET('S5'!#REF!,MATCH($A473,'S5'!$D$5:$D$2917,0)-1,6)="巻返し",OFFSET('S5'!#REF!,MATCH($A473,'S5'!$D$5:$D$2917,0)-1,6)="スリット"),SUMIF('S5'!$D$5:$D$2917,$A473,'S5'!$T$5:$T$2917),""),"")</f>
        <v/>
      </c>
    </row>
    <row r="474" spans="1:28" s="144" customFormat="1" ht="13.5" x14ac:dyDescent="0.15">
      <c r="A474" s="296">
        <v>3717595</v>
      </c>
      <c r="B474" s="296" t="s">
        <v>510</v>
      </c>
      <c r="C474" s="296" t="s">
        <v>352</v>
      </c>
      <c r="D474" s="296" t="s">
        <v>353</v>
      </c>
      <c r="E474" s="296" t="s">
        <v>116</v>
      </c>
      <c r="F474" s="296">
        <v>3</v>
      </c>
      <c r="G474" s="296" t="s">
        <v>269</v>
      </c>
      <c r="H474" s="296" t="s">
        <v>20</v>
      </c>
      <c r="I474" s="296" t="s">
        <v>165</v>
      </c>
      <c r="J474" s="296"/>
      <c r="K474" s="296" t="s">
        <v>172</v>
      </c>
      <c r="L474" s="296">
        <v>50</v>
      </c>
      <c r="M474" s="296" t="s">
        <v>576</v>
      </c>
      <c r="N474" s="297">
        <v>1005</v>
      </c>
      <c r="O474" s="297">
        <v>1000</v>
      </c>
      <c r="P474" s="297">
        <v>2000</v>
      </c>
      <c r="Q474" s="296">
        <v>2</v>
      </c>
      <c r="R474" s="296">
        <v>2</v>
      </c>
      <c r="S474" s="296" t="s">
        <v>354</v>
      </c>
      <c r="T474" s="298">
        <v>45100</v>
      </c>
      <c r="U474" s="298">
        <v>45138</v>
      </c>
      <c r="V474" s="296" t="s">
        <v>428</v>
      </c>
      <c r="W474" s="296"/>
      <c r="X474" s="296"/>
      <c r="Y474" s="146"/>
      <c r="Z474" s="149" t="str">
        <f t="shared" ca="1" si="7"/>
        <v/>
      </c>
      <c r="AA474" s="149" t="str">
        <f ca="1">IFERROR(IF(OR(OFFSET('S4'!#REF!,MATCH($A474,'S4'!$D$5:$D$3387,0)-1,6)="巻返し",OFFSET('S4'!#REF!,MATCH($A474,'S4'!$D$5:$D$3387,0)-1,6)="スリット"),SUMIF('S4'!$D$5:$D$3387,$A474,'S4'!$U$5:$U$3387),""),"")</f>
        <v/>
      </c>
      <c r="AB474" s="149" t="str">
        <f ca="1">IFERROR(IF(OR(OFFSET('S5'!#REF!,MATCH($A474,'S5'!$D$5:$D$2917,0)-1,6)="巻返し",OFFSET('S5'!#REF!,MATCH($A474,'S5'!$D$5:$D$2917,0)-1,6)="スリット"),SUMIF('S5'!$D$5:$D$2917,$A474,'S5'!$T$5:$T$2917),""),"")</f>
        <v/>
      </c>
    </row>
    <row r="475" spans="1:28" s="144" customFormat="1" ht="13.5" x14ac:dyDescent="0.15">
      <c r="A475" s="296">
        <v>3717596</v>
      </c>
      <c r="B475" s="296" t="s">
        <v>510</v>
      </c>
      <c r="C475" s="296" t="s">
        <v>352</v>
      </c>
      <c r="D475" s="296" t="s">
        <v>353</v>
      </c>
      <c r="E475" s="296" t="s">
        <v>116</v>
      </c>
      <c r="F475" s="296">
        <v>3</v>
      </c>
      <c r="G475" s="296" t="s">
        <v>269</v>
      </c>
      <c r="H475" s="296" t="s">
        <v>20</v>
      </c>
      <c r="I475" s="296" t="s">
        <v>165</v>
      </c>
      <c r="J475" s="296"/>
      <c r="K475" s="296" t="s">
        <v>172</v>
      </c>
      <c r="L475" s="296">
        <v>50</v>
      </c>
      <c r="M475" s="296" t="s">
        <v>576</v>
      </c>
      <c r="N475" s="297">
        <v>1005</v>
      </c>
      <c r="O475" s="297">
        <v>1000</v>
      </c>
      <c r="P475" s="297">
        <v>2000</v>
      </c>
      <c r="Q475" s="296">
        <v>2</v>
      </c>
      <c r="R475" s="296">
        <v>4</v>
      </c>
      <c r="S475" s="296" t="s">
        <v>354</v>
      </c>
      <c r="T475" s="298">
        <v>45100</v>
      </c>
      <c r="U475" s="298">
        <v>45138</v>
      </c>
      <c r="V475" s="296" t="s">
        <v>428</v>
      </c>
      <c r="W475" s="296"/>
      <c r="X475" s="296"/>
      <c r="Y475" s="146"/>
      <c r="Z475" s="149" t="str">
        <f t="shared" ca="1" si="7"/>
        <v/>
      </c>
      <c r="AA475" s="149" t="str">
        <f ca="1">IFERROR(IF(OR(OFFSET('S4'!#REF!,MATCH($A475,'S4'!$D$5:$D$3387,0)-1,6)="巻返し",OFFSET('S4'!#REF!,MATCH($A475,'S4'!$D$5:$D$3387,0)-1,6)="スリット"),SUMIF('S4'!$D$5:$D$3387,$A475,'S4'!$U$5:$U$3387),""),"")</f>
        <v/>
      </c>
      <c r="AB475" s="149" t="str">
        <f ca="1">IFERROR(IF(OR(OFFSET('S5'!#REF!,MATCH($A475,'S5'!$D$5:$D$2917,0)-1,6)="巻返し",OFFSET('S5'!#REF!,MATCH($A475,'S5'!$D$5:$D$2917,0)-1,6)="スリット"),SUMIF('S5'!$D$5:$D$2917,$A475,'S5'!$T$5:$T$2917),""),"")</f>
        <v/>
      </c>
    </row>
    <row r="476" spans="1:28" s="144" customFormat="1" ht="13.5" x14ac:dyDescent="0.15">
      <c r="A476" s="296">
        <v>3717597</v>
      </c>
      <c r="B476" s="296" t="s">
        <v>510</v>
      </c>
      <c r="C476" s="296" t="s">
        <v>352</v>
      </c>
      <c r="D476" s="296" t="s">
        <v>353</v>
      </c>
      <c r="E476" s="296" t="s">
        <v>116</v>
      </c>
      <c r="F476" s="296">
        <v>3</v>
      </c>
      <c r="G476" s="296" t="s">
        <v>269</v>
      </c>
      <c r="H476" s="296" t="s">
        <v>20</v>
      </c>
      <c r="I476" s="296" t="s">
        <v>165</v>
      </c>
      <c r="J476" s="296"/>
      <c r="K476" s="296" t="s">
        <v>176</v>
      </c>
      <c r="L476" s="296">
        <v>25</v>
      </c>
      <c r="M476" s="296" t="s">
        <v>577</v>
      </c>
      <c r="N476" s="297">
        <v>1005</v>
      </c>
      <c r="O476" s="297">
        <v>1000</v>
      </c>
      <c r="P476" s="297">
        <v>2000</v>
      </c>
      <c r="Q476" s="296">
        <v>2</v>
      </c>
      <c r="R476" s="296">
        <v>4</v>
      </c>
      <c r="S476" s="296" t="s">
        <v>354</v>
      </c>
      <c r="T476" s="298">
        <v>45100</v>
      </c>
      <c r="U476" s="298">
        <v>45138</v>
      </c>
      <c r="V476" s="296" t="s">
        <v>428</v>
      </c>
      <c r="W476" s="296"/>
      <c r="X476" s="296"/>
      <c r="Y476" s="146"/>
      <c r="Z476" s="149" t="str">
        <f t="shared" ca="1" si="7"/>
        <v/>
      </c>
      <c r="AA476" s="149" t="str">
        <f ca="1">IFERROR(IF(OR(OFFSET('S4'!#REF!,MATCH($A476,'S4'!$D$5:$D$3387,0)-1,6)="巻返し",OFFSET('S4'!#REF!,MATCH($A476,'S4'!$D$5:$D$3387,0)-1,6)="スリット"),SUMIF('S4'!$D$5:$D$3387,$A476,'S4'!$U$5:$U$3387),""),"")</f>
        <v/>
      </c>
      <c r="AB476" s="149" t="str">
        <f ca="1">IFERROR(IF(OR(OFFSET('S5'!#REF!,MATCH($A476,'S5'!$D$5:$D$2917,0)-1,6)="巻返し",OFFSET('S5'!#REF!,MATCH($A476,'S5'!$D$5:$D$2917,0)-1,6)="スリット"),SUMIF('S5'!$D$5:$D$2917,$A476,'S5'!$T$5:$T$2917),""),"")</f>
        <v/>
      </c>
    </row>
    <row r="477" spans="1:28" s="144" customFormat="1" ht="13.5" x14ac:dyDescent="0.15">
      <c r="A477" s="296">
        <v>3717598</v>
      </c>
      <c r="B477" s="296" t="s">
        <v>510</v>
      </c>
      <c r="C477" s="296" t="s">
        <v>352</v>
      </c>
      <c r="D477" s="296" t="s">
        <v>353</v>
      </c>
      <c r="E477" s="296" t="s">
        <v>116</v>
      </c>
      <c r="F477" s="296">
        <v>3</v>
      </c>
      <c r="G477" s="296" t="s">
        <v>269</v>
      </c>
      <c r="H477" s="296" t="s">
        <v>20</v>
      </c>
      <c r="I477" s="296" t="s">
        <v>165</v>
      </c>
      <c r="J477" s="296"/>
      <c r="K477" s="296" t="s">
        <v>176</v>
      </c>
      <c r="L477" s="296">
        <v>25</v>
      </c>
      <c r="M477" s="296" t="s">
        <v>577</v>
      </c>
      <c r="N477" s="297">
        <v>1005</v>
      </c>
      <c r="O477" s="297">
        <v>1000</v>
      </c>
      <c r="P477" s="297">
        <v>6000</v>
      </c>
      <c r="Q477" s="296">
        <v>2</v>
      </c>
      <c r="R477" s="296">
        <v>4</v>
      </c>
      <c r="S477" s="296" t="s">
        <v>354</v>
      </c>
      <c r="T477" s="298">
        <v>45100</v>
      </c>
      <c r="U477" s="298">
        <v>45138</v>
      </c>
      <c r="V477" s="296" t="s">
        <v>428</v>
      </c>
      <c r="W477" s="296"/>
      <c r="X477" s="296"/>
      <c r="Y477" s="146"/>
      <c r="Z477" s="149" t="str">
        <f t="shared" ca="1" si="7"/>
        <v/>
      </c>
      <c r="AA477" s="149" t="str">
        <f ca="1">IFERROR(IF(OR(OFFSET('S4'!#REF!,MATCH($A477,'S4'!$D$5:$D$3387,0)-1,6)="巻返し",OFFSET('S4'!#REF!,MATCH($A477,'S4'!$D$5:$D$3387,0)-1,6)="スリット"),SUMIF('S4'!$D$5:$D$3387,$A477,'S4'!$U$5:$U$3387),""),"")</f>
        <v/>
      </c>
      <c r="AB477" s="149" t="str">
        <f ca="1">IFERROR(IF(OR(OFFSET('S5'!#REF!,MATCH($A477,'S5'!$D$5:$D$2917,0)-1,6)="巻返し",OFFSET('S5'!#REF!,MATCH($A477,'S5'!$D$5:$D$2917,0)-1,6)="スリット"),SUMIF('S5'!$D$5:$D$2917,$A477,'S5'!$T$5:$T$2917),""),"")</f>
        <v/>
      </c>
    </row>
    <row r="478" spans="1:28" s="144" customFormat="1" ht="13.5" x14ac:dyDescent="0.15">
      <c r="A478" s="296">
        <v>3717599</v>
      </c>
      <c r="B478" s="296" t="s">
        <v>510</v>
      </c>
      <c r="C478" s="296" t="s">
        <v>352</v>
      </c>
      <c r="D478" s="296" t="s">
        <v>353</v>
      </c>
      <c r="E478" s="296" t="s">
        <v>116</v>
      </c>
      <c r="F478" s="296">
        <v>3</v>
      </c>
      <c r="G478" s="296" t="s">
        <v>269</v>
      </c>
      <c r="H478" s="296" t="s">
        <v>20</v>
      </c>
      <c r="I478" s="296" t="s">
        <v>165</v>
      </c>
      <c r="J478" s="296"/>
      <c r="K478" s="296" t="s">
        <v>176</v>
      </c>
      <c r="L478" s="296">
        <v>50</v>
      </c>
      <c r="M478" s="296" t="s">
        <v>177</v>
      </c>
      <c r="N478" s="297">
        <v>1005</v>
      </c>
      <c r="O478" s="297">
        <v>1000</v>
      </c>
      <c r="P478" s="297">
        <v>4100</v>
      </c>
      <c r="Q478" s="296">
        <v>2</v>
      </c>
      <c r="R478" s="296">
        <v>3</v>
      </c>
      <c r="S478" s="296" t="s">
        <v>354</v>
      </c>
      <c r="T478" s="298">
        <v>45100</v>
      </c>
      <c r="U478" s="298">
        <v>45138</v>
      </c>
      <c r="V478" s="296" t="s">
        <v>428</v>
      </c>
      <c r="W478" s="296"/>
      <c r="X478" s="296"/>
      <c r="Y478" s="146"/>
      <c r="Z478" s="149" t="str">
        <f t="shared" ca="1" si="7"/>
        <v/>
      </c>
      <c r="AA478" s="149" t="str">
        <f ca="1">IFERROR(IF(OR(OFFSET('S4'!#REF!,MATCH($A478,'S4'!$D$5:$D$3387,0)-1,6)="巻返し",OFFSET('S4'!#REF!,MATCH($A478,'S4'!$D$5:$D$3387,0)-1,6)="スリット"),SUMIF('S4'!$D$5:$D$3387,$A478,'S4'!$U$5:$U$3387),""),"")</f>
        <v/>
      </c>
      <c r="AB478" s="149" t="str">
        <f ca="1">IFERROR(IF(OR(OFFSET('S5'!#REF!,MATCH($A478,'S5'!$D$5:$D$2917,0)-1,6)="巻返し",OFFSET('S5'!#REF!,MATCH($A478,'S5'!$D$5:$D$2917,0)-1,6)="スリット"),SUMIF('S5'!$D$5:$D$2917,$A478,'S5'!$T$5:$T$2917),""),"")</f>
        <v/>
      </c>
    </row>
    <row r="479" spans="1:28" s="144" customFormat="1" ht="13.5" x14ac:dyDescent="0.15">
      <c r="A479" s="296">
        <v>3717604</v>
      </c>
      <c r="B479" s="296" t="s">
        <v>510</v>
      </c>
      <c r="C479" s="296" t="s">
        <v>352</v>
      </c>
      <c r="D479" s="296" t="s">
        <v>353</v>
      </c>
      <c r="E479" s="296" t="s">
        <v>116</v>
      </c>
      <c r="F479" s="296">
        <v>3</v>
      </c>
      <c r="G479" s="296" t="s">
        <v>269</v>
      </c>
      <c r="H479" s="296" t="s">
        <v>20</v>
      </c>
      <c r="I479" s="296" t="s">
        <v>165</v>
      </c>
      <c r="J479" s="296"/>
      <c r="K479" s="296" t="s">
        <v>176</v>
      </c>
      <c r="L479" s="296">
        <v>25</v>
      </c>
      <c r="M479" s="296" t="s">
        <v>577</v>
      </c>
      <c r="N479" s="297">
        <v>1005</v>
      </c>
      <c r="O479" s="297">
        <v>1000</v>
      </c>
      <c r="P479" s="297">
        <v>2000</v>
      </c>
      <c r="Q479" s="296">
        <v>2</v>
      </c>
      <c r="R479" s="296">
        <v>4</v>
      </c>
      <c r="S479" s="296" t="s">
        <v>354</v>
      </c>
      <c r="T479" s="298">
        <v>45100</v>
      </c>
      <c r="U479" s="298">
        <v>45138</v>
      </c>
      <c r="V479" s="296" t="s">
        <v>428</v>
      </c>
      <c r="W479" s="296"/>
      <c r="X479" s="296"/>
      <c r="Y479" s="146"/>
      <c r="Z479" s="149" t="str">
        <f t="shared" ca="1" si="7"/>
        <v/>
      </c>
      <c r="AA479" s="149" t="str">
        <f ca="1">IFERROR(IF(OR(OFFSET('S4'!#REF!,MATCH($A479,'S4'!$D$5:$D$3387,0)-1,6)="巻返し",OFFSET('S4'!#REF!,MATCH($A479,'S4'!$D$5:$D$3387,0)-1,6)="スリット"),SUMIF('S4'!$D$5:$D$3387,$A479,'S4'!$U$5:$U$3387),""),"")</f>
        <v/>
      </c>
      <c r="AB479" s="149" t="str">
        <f ca="1">IFERROR(IF(OR(OFFSET('S5'!#REF!,MATCH($A479,'S5'!$D$5:$D$2917,0)-1,6)="巻返し",OFFSET('S5'!#REF!,MATCH($A479,'S5'!$D$5:$D$2917,0)-1,6)="スリット"),SUMIF('S5'!$D$5:$D$2917,$A479,'S5'!$T$5:$T$2917),""),"")</f>
        <v/>
      </c>
    </row>
    <row r="480" spans="1:28" s="144" customFormat="1" ht="13.5" x14ac:dyDescent="0.15">
      <c r="A480" s="296">
        <v>3717604</v>
      </c>
      <c r="B480" s="296" t="s">
        <v>510</v>
      </c>
      <c r="C480" s="296" t="s">
        <v>352</v>
      </c>
      <c r="D480" s="296" t="s">
        <v>353</v>
      </c>
      <c r="E480" s="296" t="s">
        <v>116</v>
      </c>
      <c r="F480" s="296">
        <v>3</v>
      </c>
      <c r="G480" s="296" t="s">
        <v>269</v>
      </c>
      <c r="H480" s="296" t="s">
        <v>20</v>
      </c>
      <c r="I480" s="296" t="s">
        <v>165</v>
      </c>
      <c r="J480" s="296"/>
      <c r="K480" s="296" t="s">
        <v>176</v>
      </c>
      <c r="L480" s="296">
        <v>25</v>
      </c>
      <c r="M480" s="296" t="s">
        <v>577</v>
      </c>
      <c r="N480" s="297">
        <v>1005</v>
      </c>
      <c r="O480" s="297">
        <v>1005</v>
      </c>
      <c r="P480" s="297">
        <v>6000</v>
      </c>
      <c r="Q480" s="296">
        <v>2</v>
      </c>
      <c r="R480" s="296">
        <v>4</v>
      </c>
      <c r="S480" s="296" t="s">
        <v>354</v>
      </c>
      <c r="T480" s="298">
        <v>45100</v>
      </c>
      <c r="U480" s="298">
        <v>45138</v>
      </c>
      <c r="V480" s="296" t="s">
        <v>428</v>
      </c>
      <c r="W480" s="296"/>
      <c r="X480" s="296"/>
      <c r="Y480" s="146"/>
      <c r="Z480" s="149" t="str">
        <f t="shared" ca="1" si="7"/>
        <v/>
      </c>
      <c r="AA480" s="149" t="str">
        <f ca="1">IFERROR(IF(OR(OFFSET('S4'!#REF!,MATCH($A480,'S4'!$D$5:$D$3387,0)-1,6)="巻返し",OFFSET('S4'!#REF!,MATCH($A480,'S4'!$D$5:$D$3387,0)-1,6)="スリット"),SUMIF('S4'!$D$5:$D$3387,$A480,'S4'!$U$5:$U$3387),""),"")</f>
        <v/>
      </c>
      <c r="AB480" s="149" t="str">
        <f ca="1">IFERROR(IF(OR(OFFSET('S5'!#REF!,MATCH($A480,'S5'!$D$5:$D$2917,0)-1,6)="巻返し",OFFSET('S5'!#REF!,MATCH($A480,'S5'!$D$5:$D$2917,0)-1,6)="スリット"),SUMIF('S5'!$D$5:$D$2917,$A480,'S5'!$T$5:$T$2917),""),"")</f>
        <v/>
      </c>
    </row>
    <row r="481" spans="1:28" s="144" customFormat="1" ht="13.5" x14ac:dyDescent="0.15">
      <c r="A481" s="296">
        <v>3721199</v>
      </c>
      <c r="B481" s="296" t="s">
        <v>351</v>
      </c>
      <c r="C481" s="296" t="s">
        <v>358</v>
      </c>
      <c r="D481" s="296" t="s">
        <v>353</v>
      </c>
      <c r="E481" s="296" t="s">
        <v>753</v>
      </c>
      <c r="F481" s="296">
        <v>3</v>
      </c>
      <c r="G481" s="296" t="s">
        <v>19</v>
      </c>
      <c r="H481" s="296" t="s">
        <v>20</v>
      </c>
      <c r="I481" s="296" t="s">
        <v>205</v>
      </c>
      <c r="J481" s="296"/>
      <c r="K481" s="296" t="s">
        <v>230</v>
      </c>
      <c r="L481" s="296">
        <v>25</v>
      </c>
      <c r="M481" s="296" t="s">
        <v>231</v>
      </c>
      <c r="N481" s="296">
        <v>510</v>
      </c>
      <c r="O481" s="296">
        <v>510</v>
      </c>
      <c r="P481" s="297">
        <v>2000</v>
      </c>
      <c r="Q481" s="296">
        <v>1</v>
      </c>
      <c r="R481" s="296">
        <v>12</v>
      </c>
      <c r="S481" s="296" t="s">
        <v>354</v>
      </c>
      <c r="T481" s="298">
        <v>45128</v>
      </c>
      <c r="U481" s="298">
        <v>45148</v>
      </c>
      <c r="V481" s="296" t="s">
        <v>355</v>
      </c>
      <c r="W481" s="296"/>
      <c r="X481" s="296"/>
      <c r="Y481" s="146"/>
      <c r="Z481" s="149" t="str">
        <f t="shared" ca="1" si="7"/>
        <v/>
      </c>
      <c r="AA481" s="149" t="str">
        <f ca="1">IFERROR(IF(OR(OFFSET('S4'!#REF!,MATCH($A481,'S4'!$D$5:$D$3387,0)-1,6)="巻返し",OFFSET('S4'!#REF!,MATCH($A481,'S4'!$D$5:$D$3387,0)-1,6)="スリット"),SUMIF('S4'!$D$5:$D$3387,$A481,'S4'!$U$5:$U$3387),""),"")</f>
        <v/>
      </c>
      <c r="AB481" s="149" t="str">
        <f ca="1">IFERROR(IF(OR(OFFSET('S5'!#REF!,MATCH($A481,'S5'!$D$5:$D$2917,0)-1,6)="巻返し",OFFSET('S5'!#REF!,MATCH($A481,'S5'!$D$5:$D$2917,0)-1,6)="スリット"),SUMIF('S5'!$D$5:$D$2917,$A481,'S5'!$T$5:$T$2917),""),"")</f>
        <v/>
      </c>
    </row>
    <row r="482" spans="1:28" s="144" customFormat="1" ht="13.5" x14ac:dyDescent="0.15">
      <c r="A482" s="296">
        <v>3721200</v>
      </c>
      <c r="B482" s="296" t="s">
        <v>351</v>
      </c>
      <c r="C482" s="296" t="s">
        <v>364</v>
      </c>
      <c r="D482" s="296" t="s">
        <v>353</v>
      </c>
      <c r="E482" s="296" t="s">
        <v>171</v>
      </c>
      <c r="F482" s="296" t="s">
        <v>96</v>
      </c>
      <c r="G482" s="296" t="s">
        <v>19</v>
      </c>
      <c r="H482" s="296" t="s">
        <v>20</v>
      </c>
      <c r="I482" s="296" t="s">
        <v>165</v>
      </c>
      <c r="J482" s="296"/>
      <c r="K482" s="296" t="s">
        <v>169</v>
      </c>
      <c r="L482" s="296">
        <v>50</v>
      </c>
      <c r="M482" s="296" t="s">
        <v>170</v>
      </c>
      <c r="N482" s="297">
        <v>1190</v>
      </c>
      <c r="O482" s="297">
        <v>1190</v>
      </c>
      <c r="P482" s="297">
        <v>6000</v>
      </c>
      <c r="Q482" s="296">
        <v>2</v>
      </c>
      <c r="R482" s="296">
        <v>6</v>
      </c>
      <c r="S482" s="296" t="s">
        <v>354</v>
      </c>
      <c r="T482" s="298">
        <v>45128</v>
      </c>
      <c r="U482" s="298">
        <v>45158</v>
      </c>
      <c r="V482" s="296" t="s">
        <v>355</v>
      </c>
      <c r="W482" s="296"/>
      <c r="X482" s="296"/>
      <c r="Y482" s="146"/>
      <c r="Z482" s="149" t="str">
        <f t="shared" ca="1" si="7"/>
        <v/>
      </c>
      <c r="AA482" s="149" t="str">
        <f ca="1">IFERROR(IF(OR(OFFSET('S4'!#REF!,MATCH($A482,'S4'!$D$5:$D$3387,0)-1,6)="巻返し",OFFSET('S4'!#REF!,MATCH($A482,'S4'!$D$5:$D$3387,0)-1,6)="スリット"),SUMIF('S4'!$D$5:$D$3387,$A482,'S4'!$U$5:$U$3387),""),"")</f>
        <v/>
      </c>
      <c r="AB482" s="149" t="str">
        <f ca="1">IFERROR(IF(OR(OFFSET('S5'!#REF!,MATCH($A482,'S5'!$D$5:$D$2917,0)-1,6)="巻返し",OFFSET('S5'!#REF!,MATCH($A482,'S5'!$D$5:$D$2917,0)-1,6)="スリット"),SUMIF('S5'!$D$5:$D$2917,$A482,'S5'!$T$5:$T$2917),""),"")</f>
        <v/>
      </c>
    </row>
    <row r="483" spans="1:28" s="144" customFormat="1" ht="13.5" x14ac:dyDescent="0.15">
      <c r="A483" s="296">
        <v>3721201</v>
      </c>
      <c r="B483" s="296" t="s">
        <v>351</v>
      </c>
      <c r="C483" s="296" t="s">
        <v>364</v>
      </c>
      <c r="D483" s="296" t="s">
        <v>353</v>
      </c>
      <c r="E483" s="296" t="s">
        <v>171</v>
      </c>
      <c r="F483" s="296">
        <v>3</v>
      </c>
      <c r="G483" s="296" t="s">
        <v>19</v>
      </c>
      <c r="H483" s="296" t="s">
        <v>20</v>
      </c>
      <c r="I483" s="296" t="s">
        <v>165</v>
      </c>
      <c r="J483" s="296"/>
      <c r="K483" s="296" t="s">
        <v>180</v>
      </c>
      <c r="L483" s="296">
        <v>50</v>
      </c>
      <c r="M483" s="296" t="s">
        <v>181</v>
      </c>
      <c r="N483" s="297">
        <v>1200</v>
      </c>
      <c r="O483" s="297">
        <v>1190</v>
      </c>
      <c r="P483" s="297">
        <v>6000</v>
      </c>
      <c r="Q483" s="296">
        <v>2</v>
      </c>
      <c r="R483" s="296">
        <v>4</v>
      </c>
      <c r="S483" s="296" t="s">
        <v>354</v>
      </c>
      <c r="T483" s="298">
        <v>45128</v>
      </c>
      <c r="U483" s="298">
        <v>45158</v>
      </c>
      <c r="V483" s="296" t="s">
        <v>355</v>
      </c>
      <c r="W483" s="296"/>
      <c r="X483" s="296"/>
      <c r="Y483" s="146"/>
      <c r="Z483" s="149" t="str">
        <f t="shared" ca="1" si="7"/>
        <v/>
      </c>
      <c r="AA483" s="149" t="str">
        <f ca="1">IFERROR(IF(OR(OFFSET('S4'!#REF!,MATCH($A483,'S4'!$D$5:$D$3387,0)-1,6)="巻返し",OFFSET('S4'!#REF!,MATCH($A483,'S4'!$D$5:$D$3387,0)-1,6)="スリット"),SUMIF('S4'!$D$5:$D$3387,$A483,'S4'!$U$5:$U$3387),""),"")</f>
        <v/>
      </c>
      <c r="AB483" s="149" t="str">
        <f ca="1">IFERROR(IF(OR(OFFSET('S5'!#REF!,MATCH($A483,'S5'!$D$5:$D$2917,0)-1,6)="巻返し",OFFSET('S5'!#REF!,MATCH($A483,'S5'!$D$5:$D$2917,0)-1,6)="スリット"),SUMIF('S5'!$D$5:$D$2917,$A483,'S5'!$T$5:$T$2917),""),"")</f>
        <v/>
      </c>
    </row>
    <row r="484" spans="1:28" s="144" customFormat="1" ht="13.5" x14ac:dyDescent="0.15">
      <c r="A484" s="296">
        <v>3721203</v>
      </c>
      <c r="B484" s="296" t="s">
        <v>351</v>
      </c>
      <c r="C484" s="296" t="s">
        <v>364</v>
      </c>
      <c r="D484" s="296" t="s">
        <v>353</v>
      </c>
      <c r="E484" s="296" t="s">
        <v>148</v>
      </c>
      <c r="F484" s="296">
        <v>3</v>
      </c>
      <c r="G484" s="296" t="s">
        <v>19</v>
      </c>
      <c r="H484" s="296" t="s">
        <v>20</v>
      </c>
      <c r="I484" s="296" t="s">
        <v>143</v>
      </c>
      <c r="J484" s="296"/>
      <c r="K484" s="296" t="s">
        <v>149</v>
      </c>
      <c r="L484" s="296">
        <v>25</v>
      </c>
      <c r="M484" s="296" t="s">
        <v>150</v>
      </c>
      <c r="N484" s="297">
        <v>1120</v>
      </c>
      <c r="O484" s="297">
        <v>1120</v>
      </c>
      <c r="P484" s="297">
        <v>6000</v>
      </c>
      <c r="Q484" s="296">
        <v>2</v>
      </c>
      <c r="R484" s="296">
        <v>8</v>
      </c>
      <c r="S484" s="296" t="s">
        <v>354</v>
      </c>
      <c r="T484" s="298">
        <v>45128</v>
      </c>
      <c r="U484" s="298">
        <v>45158</v>
      </c>
      <c r="V484" s="296" t="s">
        <v>355</v>
      </c>
      <c r="W484" s="296"/>
      <c r="X484" s="296"/>
      <c r="Y484" s="146"/>
      <c r="Z484" s="149" t="str">
        <f t="shared" ca="1" si="7"/>
        <v/>
      </c>
      <c r="AA484" s="149" t="str">
        <f ca="1">IFERROR(IF(OR(OFFSET('S4'!#REF!,MATCH($A484,'S4'!$D$5:$D$3387,0)-1,6)="巻返し",OFFSET('S4'!#REF!,MATCH($A484,'S4'!$D$5:$D$3387,0)-1,6)="スリット"),SUMIF('S4'!$D$5:$D$3387,$A484,'S4'!$U$5:$U$3387),""),"")</f>
        <v/>
      </c>
      <c r="AB484" s="149" t="str">
        <f ca="1">IFERROR(IF(OR(OFFSET('S5'!#REF!,MATCH($A484,'S5'!$D$5:$D$2917,0)-1,6)="巻返し",OFFSET('S5'!#REF!,MATCH($A484,'S5'!$D$5:$D$2917,0)-1,6)="スリット"),SUMIF('S5'!$D$5:$D$2917,$A484,'S5'!$T$5:$T$2917),""),"")</f>
        <v/>
      </c>
    </row>
    <row r="485" spans="1:28" s="144" customFormat="1" ht="13.5" x14ac:dyDescent="0.15">
      <c r="A485" s="296">
        <v>3721204</v>
      </c>
      <c r="B485" s="296" t="s">
        <v>351</v>
      </c>
      <c r="C485" s="296" t="s">
        <v>364</v>
      </c>
      <c r="D485" s="296" t="s">
        <v>353</v>
      </c>
      <c r="E485" s="296" t="s">
        <v>148</v>
      </c>
      <c r="F485" s="296">
        <v>3</v>
      </c>
      <c r="G485" s="296" t="s">
        <v>19</v>
      </c>
      <c r="H485" s="296" t="s">
        <v>20</v>
      </c>
      <c r="I485" s="296" t="s">
        <v>143</v>
      </c>
      <c r="J485" s="296"/>
      <c r="K485" s="296" t="s">
        <v>149</v>
      </c>
      <c r="L485" s="296">
        <v>50</v>
      </c>
      <c r="M485" s="296" t="s">
        <v>150</v>
      </c>
      <c r="N485" s="297">
        <v>1120</v>
      </c>
      <c r="O485" s="297">
        <v>1120</v>
      </c>
      <c r="P485" s="297">
        <v>6000</v>
      </c>
      <c r="Q485" s="296">
        <v>2</v>
      </c>
      <c r="R485" s="296">
        <v>6</v>
      </c>
      <c r="S485" s="296" t="s">
        <v>354</v>
      </c>
      <c r="T485" s="298">
        <v>45128</v>
      </c>
      <c r="U485" s="298">
        <v>45158</v>
      </c>
      <c r="V485" s="296" t="s">
        <v>355</v>
      </c>
      <c r="W485" s="296"/>
      <c r="X485" s="296"/>
      <c r="Y485" s="146"/>
      <c r="Z485" s="149" t="str">
        <f t="shared" ca="1" si="7"/>
        <v/>
      </c>
      <c r="AA485" s="149" t="str">
        <f ca="1">IFERROR(IF(OR(OFFSET('S4'!#REF!,MATCH($A485,'S4'!$D$5:$D$3387,0)-1,6)="巻返し",OFFSET('S4'!#REF!,MATCH($A485,'S4'!$D$5:$D$3387,0)-1,6)="スリット"),SUMIF('S4'!$D$5:$D$3387,$A485,'S4'!$U$5:$U$3387),""),"")</f>
        <v/>
      </c>
      <c r="AB485" s="149" t="str">
        <f ca="1">IFERROR(IF(OR(OFFSET('S5'!#REF!,MATCH($A485,'S5'!$D$5:$D$2917,0)-1,6)="巻返し",OFFSET('S5'!#REF!,MATCH($A485,'S5'!$D$5:$D$2917,0)-1,6)="スリット"),SUMIF('S5'!$D$5:$D$2917,$A485,'S5'!$T$5:$T$2917),""),"")</f>
        <v/>
      </c>
    </row>
    <row r="486" spans="1:28" s="144" customFormat="1" ht="13.5" x14ac:dyDescent="0.15">
      <c r="A486" s="296">
        <v>3721205</v>
      </c>
      <c r="B486" s="296" t="s">
        <v>351</v>
      </c>
      <c r="C486" s="296" t="s">
        <v>352</v>
      </c>
      <c r="D486" s="296" t="s">
        <v>353</v>
      </c>
      <c r="E486" s="296" t="s">
        <v>116</v>
      </c>
      <c r="F486" s="296">
        <v>3</v>
      </c>
      <c r="G486" s="296" t="s">
        <v>19</v>
      </c>
      <c r="H486" s="296" t="s">
        <v>20</v>
      </c>
      <c r="I486" s="296" t="s">
        <v>205</v>
      </c>
      <c r="J486" s="296"/>
      <c r="K486" s="296" t="s">
        <v>212</v>
      </c>
      <c r="L486" s="296">
        <v>25</v>
      </c>
      <c r="M486" s="296" t="s">
        <v>213</v>
      </c>
      <c r="N486" s="297">
        <v>1000</v>
      </c>
      <c r="O486" s="297">
        <v>1000</v>
      </c>
      <c r="P486" s="297">
        <v>4000</v>
      </c>
      <c r="Q486" s="296">
        <v>2</v>
      </c>
      <c r="R486" s="296">
        <v>3</v>
      </c>
      <c r="S486" s="296" t="s">
        <v>354</v>
      </c>
      <c r="T486" s="298">
        <v>45128</v>
      </c>
      <c r="U486" s="298">
        <v>45161</v>
      </c>
      <c r="V486" s="296" t="s">
        <v>355</v>
      </c>
      <c r="W486" s="296"/>
      <c r="X486" s="296"/>
      <c r="Y486" s="146"/>
      <c r="Z486" s="149" t="str">
        <f t="shared" ca="1" si="7"/>
        <v/>
      </c>
      <c r="AA486" s="149" t="str">
        <f ca="1">IFERROR(IF(OR(OFFSET('S4'!#REF!,MATCH($A486,'S4'!$D$5:$D$3387,0)-1,6)="巻返し",OFFSET('S4'!#REF!,MATCH($A486,'S4'!$D$5:$D$3387,0)-1,6)="スリット"),SUMIF('S4'!$D$5:$D$3387,$A486,'S4'!$U$5:$U$3387),""),"")</f>
        <v/>
      </c>
      <c r="AB486" s="149" t="str">
        <f ca="1">IFERROR(IF(OR(OFFSET('S5'!#REF!,MATCH($A486,'S5'!$D$5:$D$2917,0)-1,6)="巻返し",OFFSET('S5'!#REF!,MATCH($A486,'S5'!$D$5:$D$2917,0)-1,6)="スリット"),SUMIF('S5'!$D$5:$D$2917,$A486,'S5'!$T$5:$T$2917),""),"")</f>
        <v/>
      </c>
    </row>
    <row r="487" spans="1:28" s="144" customFormat="1" ht="13.5" x14ac:dyDescent="0.15">
      <c r="A487" s="296">
        <v>3721206</v>
      </c>
      <c r="B487" s="296" t="s">
        <v>351</v>
      </c>
      <c r="C487" s="296" t="s">
        <v>352</v>
      </c>
      <c r="D487" s="296" t="s">
        <v>353</v>
      </c>
      <c r="E487" s="296" t="s">
        <v>116</v>
      </c>
      <c r="F487" s="296">
        <v>3</v>
      </c>
      <c r="G487" s="296" t="s">
        <v>19</v>
      </c>
      <c r="H487" s="296" t="s">
        <v>20</v>
      </c>
      <c r="I487" s="296" t="s">
        <v>205</v>
      </c>
      <c r="J487" s="296"/>
      <c r="K487" s="296" t="s">
        <v>212</v>
      </c>
      <c r="L487" s="296">
        <v>25</v>
      </c>
      <c r="M487" s="296" t="s">
        <v>213</v>
      </c>
      <c r="N487" s="297">
        <v>1120</v>
      </c>
      <c r="O487" s="297">
        <v>1120</v>
      </c>
      <c r="P487" s="297">
        <v>4000</v>
      </c>
      <c r="Q487" s="296">
        <v>2</v>
      </c>
      <c r="R487" s="296">
        <v>5</v>
      </c>
      <c r="S487" s="296" t="s">
        <v>354</v>
      </c>
      <c r="T487" s="298">
        <v>45128</v>
      </c>
      <c r="U487" s="298">
        <v>45161</v>
      </c>
      <c r="V487" s="296" t="s">
        <v>355</v>
      </c>
      <c r="W487" s="296"/>
      <c r="X487" s="296"/>
      <c r="Y487" s="146"/>
      <c r="Z487" s="149" t="str">
        <f t="shared" ca="1" si="7"/>
        <v/>
      </c>
      <c r="AA487" s="149" t="str">
        <f ca="1">IFERROR(IF(OR(OFFSET('S4'!#REF!,MATCH($A487,'S4'!$D$5:$D$3387,0)-1,6)="巻返し",OFFSET('S4'!#REF!,MATCH($A487,'S4'!$D$5:$D$3387,0)-1,6)="スリット"),SUMIF('S4'!$D$5:$D$3387,$A487,'S4'!$U$5:$U$3387),""),"")</f>
        <v/>
      </c>
      <c r="AB487" s="149" t="str">
        <f ca="1">IFERROR(IF(OR(OFFSET('S5'!#REF!,MATCH($A487,'S5'!$D$5:$D$2917,0)-1,6)="巻返し",OFFSET('S5'!#REF!,MATCH($A487,'S5'!$D$5:$D$2917,0)-1,6)="スリット"),SUMIF('S5'!$D$5:$D$2917,$A487,'S5'!$T$5:$T$2917),""),"")</f>
        <v/>
      </c>
    </row>
    <row r="488" spans="1:28" s="144" customFormat="1" ht="13.5" x14ac:dyDescent="0.15">
      <c r="A488" s="296">
        <v>3721207</v>
      </c>
      <c r="B488" s="296" t="s">
        <v>351</v>
      </c>
      <c r="C488" s="296" t="s">
        <v>352</v>
      </c>
      <c r="D488" s="296" t="s">
        <v>353</v>
      </c>
      <c r="E488" s="296" t="s">
        <v>116</v>
      </c>
      <c r="F488" s="296">
        <v>3</v>
      </c>
      <c r="G488" s="296" t="s">
        <v>19</v>
      </c>
      <c r="H488" s="296" t="s">
        <v>20</v>
      </c>
      <c r="I488" s="296" t="s">
        <v>205</v>
      </c>
      <c r="J488" s="296"/>
      <c r="K488" s="296" t="s">
        <v>212</v>
      </c>
      <c r="L488" s="296">
        <v>50</v>
      </c>
      <c r="M488" s="296" t="s">
        <v>213</v>
      </c>
      <c r="N488" s="297">
        <v>1120</v>
      </c>
      <c r="O488" s="297">
        <v>1120</v>
      </c>
      <c r="P488" s="297">
        <v>4000</v>
      </c>
      <c r="Q488" s="296">
        <v>2</v>
      </c>
      <c r="R488" s="296">
        <v>20</v>
      </c>
      <c r="S488" s="296" t="s">
        <v>354</v>
      </c>
      <c r="T488" s="298">
        <v>45128</v>
      </c>
      <c r="U488" s="298">
        <v>45163</v>
      </c>
      <c r="V488" s="296" t="s">
        <v>355</v>
      </c>
      <c r="W488" s="296"/>
      <c r="X488" s="296"/>
      <c r="Y488" s="146"/>
      <c r="Z488" s="149" t="str">
        <f t="shared" ca="1" si="7"/>
        <v/>
      </c>
      <c r="AA488" s="149" t="str">
        <f ca="1">IFERROR(IF(OR(OFFSET('S4'!#REF!,MATCH($A488,'S4'!$D$5:$D$3387,0)-1,6)="巻返し",OFFSET('S4'!#REF!,MATCH($A488,'S4'!$D$5:$D$3387,0)-1,6)="スリット"),SUMIF('S4'!$D$5:$D$3387,$A488,'S4'!$U$5:$U$3387),""),"")</f>
        <v/>
      </c>
      <c r="AB488" s="149" t="str">
        <f ca="1">IFERROR(IF(OR(OFFSET('S5'!#REF!,MATCH($A488,'S5'!$D$5:$D$2917,0)-1,6)="巻返し",OFFSET('S5'!#REF!,MATCH($A488,'S5'!$D$5:$D$2917,0)-1,6)="スリット"),SUMIF('S5'!$D$5:$D$2917,$A488,'S5'!$T$5:$T$2917),""),"")</f>
        <v/>
      </c>
    </row>
    <row r="489" spans="1:28" s="144" customFormat="1" ht="13.5" x14ac:dyDescent="0.15">
      <c r="A489" s="296">
        <v>3721208</v>
      </c>
      <c r="B489" s="296" t="s">
        <v>351</v>
      </c>
      <c r="C489" s="296" t="s">
        <v>352</v>
      </c>
      <c r="D489" s="296" t="s">
        <v>353</v>
      </c>
      <c r="E489" s="296" t="s">
        <v>116</v>
      </c>
      <c r="F489" s="296">
        <v>3</v>
      </c>
      <c r="G489" s="296" t="s">
        <v>19</v>
      </c>
      <c r="H489" s="296" t="s">
        <v>20</v>
      </c>
      <c r="I489" s="296" t="s">
        <v>205</v>
      </c>
      <c r="J489" s="296"/>
      <c r="K489" s="296" t="s">
        <v>212</v>
      </c>
      <c r="L489" s="296">
        <v>50</v>
      </c>
      <c r="M489" s="296" t="s">
        <v>213</v>
      </c>
      <c r="N489" s="297">
        <v>1120</v>
      </c>
      <c r="O489" s="297">
        <v>1120</v>
      </c>
      <c r="P489" s="297">
        <v>4000</v>
      </c>
      <c r="Q489" s="296">
        <v>2</v>
      </c>
      <c r="R489" s="296">
        <v>20</v>
      </c>
      <c r="S489" s="296" t="s">
        <v>354</v>
      </c>
      <c r="T489" s="298">
        <v>45128</v>
      </c>
      <c r="U489" s="298">
        <v>45163</v>
      </c>
      <c r="V489" s="296" t="s">
        <v>355</v>
      </c>
      <c r="W489" s="296"/>
      <c r="X489" s="296"/>
      <c r="Y489" s="146"/>
      <c r="Z489" s="149" t="str">
        <f t="shared" ca="1" si="7"/>
        <v/>
      </c>
      <c r="AA489" s="149" t="str">
        <f ca="1">IFERROR(IF(OR(OFFSET('S4'!#REF!,MATCH($A489,'S4'!$D$5:$D$3387,0)-1,6)="巻返し",OFFSET('S4'!#REF!,MATCH($A489,'S4'!$D$5:$D$3387,0)-1,6)="スリット"),SUMIF('S4'!$D$5:$D$3387,$A489,'S4'!$U$5:$U$3387),""),"")</f>
        <v/>
      </c>
      <c r="AB489" s="149" t="str">
        <f ca="1">IFERROR(IF(OR(OFFSET('S5'!#REF!,MATCH($A489,'S5'!$D$5:$D$2917,0)-1,6)="巻返し",OFFSET('S5'!#REF!,MATCH($A489,'S5'!$D$5:$D$2917,0)-1,6)="スリット"),SUMIF('S5'!$D$5:$D$2917,$A489,'S5'!$T$5:$T$2917),""),"")</f>
        <v/>
      </c>
    </row>
    <row r="490" spans="1:28" s="144" customFormat="1" ht="13.5" x14ac:dyDescent="0.15">
      <c r="A490" s="296">
        <v>3721209</v>
      </c>
      <c r="B490" s="296" t="s">
        <v>351</v>
      </c>
      <c r="C490" s="296" t="s">
        <v>352</v>
      </c>
      <c r="D490" s="296" t="s">
        <v>353</v>
      </c>
      <c r="E490" s="296" t="s">
        <v>116</v>
      </c>
      <c r="F490" s="296">
        <v>3</v>
      </c>
      <c r="G490" s="296" t="s">
        <v>19</v>
      </c>
      <c r="H490" s="296" t="s">
        <v>20</v>
      </c>
      <c r="I490" s="296" t="s">
        <v>205</v>
      </c>
      <c r="J490" s="296"/>
      <c r="K490" s="296" t="s">
        <v>211</v>
      </c>
      <c r="L490" s="296">
        <v>50</v>
      </c>
      <c r="M490" s="296" t="s">
        <v>370</v>
      </c>
      <c r="N490" s="297">
        <v>1050</v>
      </c>
      <c r="O490" s="297">
        <v>1050</v>
      </c>
      <c r="P490" s="297">
        <v>4100</v>
      </c>
      <c r="Q490" s="296">
        <v>2</v>
      </c>
      <c r="R490" s="296">
        <v>3</v>
      </c>
      <c r="S490" s="296" t="s">
        <v>354</v>
      </c>
      <c r="T490" s="298">
        <v>45128</v>
      </c>
      <c r="U490" s="298">
        <v>45163</v>
      </c>
      <c r="V490" s="296" t="s">
        <v>355</v>
      </c>
      <c r="W490" s="296"/>
      <c r="X490" s="296"/>
      <c r="Y490" s="146"/>
      <c r="Z490" s="149" t="str">
        <f t="shared" ca="1" si="7"/>
        <v/>
      </c>
      <c r="AA490" s="149" t="str">
        <f ca="1">IFERROR(IF(OR(OFFSET('S4'!#REF!,MATCH($A490,'S4'!$D$5:$D$3387,0)-1,6)="巻返し",OFFSET('S4'!#REF!,MATCH($A490,'S4'!$D$5:$D$3387,0)-1,6)="スリット"),SUMIF('S4'!$D$5:$D$3387,$A490,'S4'!$U$5:$U$3387),""),"")</f>
        <v/>
      </c>
      <c r="AB490" s="149" t="str">
        <f ca="1">IFERROR(IF(OR(OFFSET('S5'!#REF!,MATCH($A490,'S5'!$D$5:$D$2917,0)-1,6)="巻返し",OFFSET('S5'!#REF!,MATCH($A490,'S5'!$D$5:$D$2917,0)-1,6)="スリット"),SUMIF('S5'!$D$5:$D$2917,$A490,'S5'!$T$5:$T$2917),""),"")</f>
        <v/>
      </c>
    </row>
    <row r="491" spans="1:28" s="144" customFormat="1" ht="13.5" x14ac:dyDescent="0.15">
      <c r="A491" s="296">
        <v>3721210</v>
      </c>
      <c r="B491" s="296" t="s">
        <v>351</v>
      </c>
      <c r="C491" s="296" t="s">
        <v>352</v>
      </c>
      <c r="D491" s="296" t="s">
        <v>353</v>
      </c>
      <c r="E491" s="296" t="s">
        <v>116</v>
      </c>
      <c r="F491" s="296">
        <v>3</v>
      </c>
      <c r="G491" s="296" t="s">
        <v>19</v>
      </c>
      <c r="H491" s="296" t="s">
        <v>20</v>
      </c>
      <c r="I491" s="296" t="s">
        <v>205</v>
      </c>
      <c r="J491" s="296"/>
      <c r="K491" s="296" t="s">
        <v>211</v>
      </c>
      <c r="L491" s="296">
        <v>75</v>
      </c>
      <c r="M491" s="296" t="s">
        <v>370</v>
      </c>
      <c r="N491" s="297">
        <v>1050</v>
      </c>
      <c r="O491" s="297">
        <v>1050</v>
      </c>
      <c r="P491" s="297">
        <v>2000</v>
      </c>
      <c r="Q491" s="296">
        <v>2</v>
      </c>
      <c r="R491" s="296">
        <v>2</v>
      </c>
      <c r="S491" s="296" t="s">
        <v>354</v>
      </c>
      <c r="T491" s="298">
        <v>45128</v>
      </c>
      <c r="U491" s="298">
        <v>45163</v>
      </c>
      <c r="V491" s="296" t="s">
        <v>355</v>
      </c>
      <c r="W491" s="296"/>
      <c r="X491" s="296"/>
      <c r="Y491" s="146"/>
      <c r="Z491" s="149" t="str">
        <f t="shared" ca="1" si="7"/>
        <v/>
      </c>
      <c r="AA491" s="149" t="str">
        <f ca="1">IFERROR(IF(OR(OFFSET('S4'!#REF!,MATCH($A491,'S4'!$D$5:$D$3387,0)-1,6)="巻返し",OFFSET('S4'!#REF!,MATCH($A491,'S4'!$D$5:$D$3387,0)-1,6)="スリット"),SUMIF('S4'!$D$5:$D$3387,$A491,'S4'!$U$5:$U$3387),""),"")</f>
        <v/>
      </c>
      <c r="AB491" s="149" t="str">
        <f ca="1">IFERROR(IF(OR(OFFSET('S5'!#REF!,MATCH($A491,'S5'!$D$5:$D$2917,0)-1,6)="巻返し",OFFSET('S5'!#REF!,MATCH($A491,'S5'!$D$5:$D$2917,0)-1,6)="スリット"),SUMIF('S5'!$D$5:$D$2917,$A491,'S5'!$T$5:$T$2917),""),"")</f>
        <v/>
      </c>
    </row>
    <row r="492" spans="1:28" s="144" customFormat="1" ht="13.5" x14ac:dyDescent="0.15">
      <c r="A492" s="296">
        <v>3721211</v>
      </c>
      <c r="B492" s="296" t="s">
        <v>351</v>
      </c>
      <c r="C492" s="296" t="s">
        <v>352</v>
      </c>
      <c r="D492" s="296" t="s">
        <v>353</v>
      </c>
      <c r="E492" s="296" t="s">
        <v>116</v>
      </c>
      <c r="F492" s="296">
        <v>3</v>
      </c>
      <c r="G492" s="296" t="s">
        <v>19</v>
      </c>
      <c r="H492" s="296" t="s">
        <v>20</v>
      </c>
      <c r="I492" s="296" t="s">
        <v>165</v>
      </c>
      <c r="J492" s="296"/>
      <c r="K492" s="296" t="s">
        <v>185</v>
      </c>
      <c r="L492" s="296">
        <v>50</v>
      </c>
      <c r="M492" s="296" t="s">
        <v>186</v>
      </c>
      <c r="N492" s="297">
        <v>1005</v>
      </c>
      <c r="O492" s="297">
        <v>1000</v>
      </c>
      <c r="P492" s="297">
        <v>4100</v>
      </c>
      <c r="Q492" s="296">
        <v>2</v>
      </c>
      <c r="R492" s="296">
        <v>3</v>
      </c>
      <c r="S492" s="296" t="s">
        <v>354</v>
      </c>
      <c r="T492" s="298">
        <v>45128</v>
      </c>
      <c r="U492" s="298">
        <v>45163</v>
      </c>
      <c r="V492" s="296" t="s">
        <v>355</v>
      </c>
      <c r="W492" s="296"/>
      <c r="X492" s="296"/>
      <c r="Y492" s="146"/>
      <c r="Z492" s="149" t="str">
        <f t="shared" ca="1" si="7"/>
        <v/>
      </c>
      <c r="AA492" s="149" t="str">
        <f ca="1">IFERROR(IF(OR(OFFSET('S4'!#REF!,MATCH($A492,'S4'!$D$5:$D$3387,0)-1,6)="巻返し",OFFSET('S4'!#REF!,MATCH($A492,'S4'!$D$5:$D$3387,0)-1,6)="スリット"),SUMIF('S4'!$D$5:$D$3387,$A492,'S4'!$U$5:$U$3387),""),"")</f>
        <v/>
      </c>
      <c r="AB492" s="149" t="str">
        <f ca="1">IFERROR(IF(OR(OFFSET('S5'!#REF!,MATCH($A492,'S5'!$D$5:$D$2917,0)-1,6)="巻返し",OFFSET('S5'!#REF!,MATCH($A492,'S5'!$D$5:$D$2917,0)-1,6)="スリット"),SUMIF('S5'!$D$5:$D$2917,$A492,'S5'!$T$5:$T$2917),""),"")</f>
        <v/>
      </c>
    </row>
    <row r="493" spans="1:28" s="144" customFormat="1" ht="13.5" x14ac:dyDescent="0.15">
      <c r="A493" s="296">
        <v>3721213</v>
      </c>
      <c r="B493" s="296" t="s">
        <v>351</v>
      </c>
      <c r="C493" s="296" t="s">
        <v>352</v>
      </c>
      <c r="D493" s="296" t="s">
        <v>353</v>
      </c>
      <c r="E493" s="296" t="s">
        <v>116</v>
      </c>
      <c r="F493" s="296">
        <v>3</v>
      </c>
      <c r="G493" s="296" t="s">
        <v>19</v>
      </c>
      <c r="H493" s="296" t="s">
        <v>20</v>
      </c>
      <c r="I493" s="296" t="s">
        <v>205</v>
      </c>
      <c r="J493" s="296"/>
      <c r="K493" s="296" t="s">
        <v>216</v>
      </c>
      <c r="L493" s="296">
        <v>25</v>
      </c>
      <c r="M493" s="296" t="s">
        <v>217</v>
      </c>
      <c r="N493" s="297">
        <v>1005</v>
      </c>
      <c r="O493" s="297">
        <v>1000</v>
      </c>
      <c r="P493" s="297">
        <v>4000</v>
      </c>
      <c r="Q493" s="296">
        <v>2</v>
      </c>
      <c r="R493" s="296">
        <v>15</v>
      </c>
      <c r="S493" s="296" t="s">
        <v>354</v>
      </c>
      <c r="T493" s="298">
        <v>45128</v>
      </c>
      <c r="U493" s="298">
        <v>45163</v>
      </c>
      <c r="V493" s="296" t="s">
        <v>355</v>
      </c>
      <c r="W493" s="296"/>
      <c r="X493" s="296"/>
      <c r="Y493" s="146"/>
      <c r="Z493" s="149" t="str">
        <f t="shared" ca="1" si="7"/>
        <v/>
      </c>
      <c r="AA493" s="149" t="str">
        <f ca="1">IFERROR(IF(OR(OFFSET('S4'!#REF!,MATCH($A493,'S4'!$D$5:$D$3387,0)-1,6)="巻返し",OFFSET('S4'!#REF!,MATCH($A493,'S4'!$D$5:$D$3387,0)-1,6)="スリット"),SUMIF('S4'!$D$5:$D$3387,$A493,'S4'!$U$5:$U$3387),""),"")</f>
        <v/>
      </c>
      <c r="AB493" s="149" t="str">
        <f ca="1">IFERROR(IF(OR(OFFSET('S5'!#REF!,MATCH($A493,'S5'!$D$5:$D$2917,0)-1,6)="巻返し",OFFSET('S5'!#REF!,MATCH($A493,'S5'!$D$5:$D$2917,0)-1,6)="スリット"),SUMIF('S5'!$D$5:$D$2917,$A493,'S5'!$T$5:$T$2917),""),"")</f>
        <v/>
      </c>
    </row>
    <row r="494" spans="1:28" s="144" customFormat="1" ht="13.5" x14ac:dyDescent="0.15">
      <c r="A494" s="296">
        <v>3721214</v>
      </c>
      <c r="B494" s="296" t="s">
        <v>351</v>
      </c>
      <c r="C494" s="296" t="s">
        <v>352</v>
      </c>
      <c r="D494" s="296" t="s">
        <v>353</v>
      </c>
      <c r="E494" s="296" t="s">
        <v>116</v>
      </c>
      <c r="F494" s="296">
        <v>3</v>
      </c>
      <c r="G494" s="296" t="s">
        <v>19</v>
      </c>
      <c r="H494" s="296" t="s">
        <v>20</v>
      </c>
      <c r="I494" s="296" t="s">
        <v>205</v>
      </c>
      <c r="J494" s="296"/>
      <c r="K494" s="296" t="s">
        <v>216</v>
      </c>
      <c r="L494" s="296">
        <v>50</v>
      </c>
      <c r="M494" s="296" t="s">
        <v>217</v>
      </c>
      <c r="N494" s="297">
        <v>1120</v>
      </c>
      <c r="O494" s="297">
        <v>1120</v>
      </c>
      <c r="P494" s="297">
        <v>5000</v>
      </c>
      <c r="Q494" s="296">
        <v>2</v>
      </c>
      <c r="R494" s="296">
        <v>13</v>
      </c>
      <c r="S494" s="296" t="s">
        <v>354</v>
      </c>
      <c r="T494" s="298">
        <v>45128</v>
      </c>
      <c r="U494" s="298">
        <v>45167</v>
      </c>
      <c r="V494" s="296" t="s">
        <v>355</v>
      </c>
      <c r="W494" s="296"/>
      <c r="X494" s="296"/>
      <c r="Y494" s="146"/>
      <c r="Z494" s="149" t="str">
        <f t="shared" ca="1" si="7"/>
        <v/>
      </c>
      <c r="AA494" s="149" t="str">
        <f ca="1">IFERROR(IF(OR(OFFSET('S4'!#REF!,MATCH($A494,'S4'!$D$5:$D$3387,0)-1,6)="巻返し",OFFSET('S4'!#REF!,MATCH($A494,'S4'!$D$5:$D$3387,0)-1,6)="スリット"),SUMIF('S4'!$D$5:$D$3387,$A494,'S4'!$U$5:$U$3387),""),"")</f>
        <v/>
      </c>
      <c r="AB494" s="149" t="str">
        <f ca="1">IFERROR(IF(OR(OFFSET('S5'!#REF!,MATCH($A494,'S5'!$D$5:$D$2917,0)-1,6)="巻返し",OFFSET('S5'!#REF!,MATCH($A494,'S5'!$D$5:$D$2917,0)-1,6)="スリット"),SUMIF('S5'!$D$5:$D$2917,$A494,'S5'!$T$5:$T$2917),""),"")</f>
        <v/>
      </c>
    </row>
    <row r="495" spans="1:28" s="144" customFormat="1" ht="13.5" x14ac:dyDescent="0.15">
      <c r="A495" s="296">
        <v>3721215</v>
      </c>
      <c r="B495" s="296" t="s">
        <v>351</v>
      </c>
      <c r="C495" s="296" t="s">
        <v>352</v>
      </c>
      <c r="D495" s="296" t="s">
        <v>353</v>
      </c>
      <c r="E495" s="296" t="s">
        <v>116</v>
      </c>
      <c r="F495" s="296">
        <v>3</v>
      </c>
      <c r="G495" s="296" t="s">
        <v>19</v>
      </c>
      <c r="H495" s="296" t="s">
        <v>20</v>
      </c>
      <c r="I495" s="296" t="s">
        <v>205</v>
      </c>
      <c r="J495" s="296"/>
      <c r="K495" s="296" t="s">
        <v>216</v>
      </c>
      <c r="L495" s="296">
        <v>50</v>
      </c>
      <c r="M495" s="296" t="s">
        <v>217</v>
      </c>
      <c r="N495" s="297">
        <v>1120</v>
      </c>
      <c r="O495" s="297">
        <v>1120</v>
      </c>
      <c r="P495" s="297">
        <v>5000</v>
      </c>
      <c r="Q495" s="296">
        <v>2</v>
      </c>
      <c r="R495" s="296">
        <v>13</v>
      </c>
      <c r="S495" s="296" t="s">
        <v>354</v>
      </c>
      <c r="T495" s="298">
        <v>45128</v>
      </c>
      <c r="U495" s="298">
        <v>45177</v>
      </c>
      <c r="V495" s="296" t="s">
        <v>355</v>
      </c>
      <c r="W495" s="296"/>
      <c r="X495" s="296"/>
      <c r="Y495" s="146"/>
      <c r="Z495" s="149" t="str">
        <f t="shared" ca="1" si="7"/>
        <v/>
      </c>
      <c r="AA495" s="149" t="str">
        <f ca="1">IFERROR(IF(OR(OFFSET('S4'!#REF!,MATCH($A495,'S4'!$D$5:$D$3387,0)-1,6)="巻返し",OFFSET('S4'!#REF!,MATCH($A495,'S4'!$D$5:$D$3387,0)-1,6)="スリット"),SUMIF('S4'!$D$5:$D$3387,$A495,'S4'!$U$5:$U$3387),""),"")</f>
        <v/>
      </c>
      <c r="AB495" s="149" t="str">
        <f ca="1">IFERROR(IF(OR(OFFSET('S5'!#REF!,MATCH($A495,'S5'!$D$5:$D$2917,0)-1,6)="巻返し",OFFSET('S5'!#REF!,MATCH($A495,'S5'!$D$5:$D$2917,0)-1,6)="スリット"),SUMIF('S5'!$D$5:$D$2917,$A495,'S5'!$T$5:$T$2917),""),"")</f>
        <v/>
      </c>
    </row>
    <row r="496" spans="1:28" s="144" customFormat="1" ht="13.5" x14ac:dyDescent="0.15">
      <c r="A496" s="296">
        <v>3721216</v>
      </c>
      <c r="B496" s="296" t="s">
        <v>351</v>
      </c>
      <c r="C496" s="296" t="s">
        <v>352</v>
      </c>
      <c r="D496" s="296" t="s">
        <v>353</v>
      </c>
      <c r="E496" s="296" t="s">
        <v>116</v>
      </c>
      <c r="F496" s="296">
        <v>3</v>
      </c>
      <c r="G496" s="296" t="s">
        <v>19</v>
      </c>
      <c r="H496" s="296" t="s">
        <v>20</v>
      </c>
      <c r="I496" s="296" t="s">
        <v>205</v>
      </c>
      <c r="J496" s="296"/>
      <c r="K496" s="296" t="s">
        <v>216</v>
      </c>
      <c r="L496" s="296">
        <v>50</v>
      </c>
      <c r="M496" s="296" t="s">
        <v>217</v>
      </c>
      <c r="N496" s="297">
        <v>1120</v>
      </c>
      <c r="O496" s="297">
        <v>1120</v>
      </c>
      <c r="P496" s="297">
        <v>5000</v>
      </c>
      <c r="Q496" s="296">
        <v>2</v>
      </c>
      <c r="R496" s="296">
        <v>25</v>
      </c>
      <c r="S496" s="296" t="s">
        <v>354</v>
      </c>
      <c r="T496" s="298">
        <v>45128</v>
      </c>
      <c r="U496" s="298">
        <v>45184</v>
      </c>
      <c r="V496" s="296" t="s">
        <v>355</v>
      </c>
      <c r="W496" s="296"/>
      <c r="X496" s="296"/>
      <c r="Y496" s="146"/>
      <c r="Z496" s="149" t="str">
        <f t="shared" ca="1" si="7"/>
        <v/>
      </c>
      <c r="AA496" s="149" t="str">
        <f ca="1">IFERROR(IF(OR(OFFSET('S4'!#REF!,MATCH($A496,'S4'!$D$5:$D$3387,0)-1,6)="巻返し",OFFSET('S4'!#REF!,MATCH($A496,'S4'!$D$5:$D$3387,0)-1,6)="スリット"),SUMIF('S4'!$D$5:$D$3387,$A496,'S4'!$U$5:$U$3387),""),"")</f>
        <v/>
      </c>
      <c r="AB496" s="149" t="str">
        <f ca="1">IFERROR(IF(OR(OFFSET('S5'!#REF!,MATCH($A496,'S5'!$D$5:$D$2917,0)-1,6)="巻返し",OFFSET('S5'!#REF!,MATCH($A496,'S5'!$D$5:$D$2917,0)-1,6)="スリット"),SUMIF('S5'!$D$5:$D$2917,$A496,'S5'!$T$5:$T$2917),""),"")</f>
        <v/>
      </c>
    </row>
    <row r="497" spans="1:28" s="144" customFormat="1" ht="13.5" x14ac:dyDescent="0.15">
      <c r="A497" s="296">
        <v>3721217</v>
      </c>
      <c r="B497" s="296" t="s">
        <v>351</v>
      </c>
      <c r="C497" s="296" t="s">
        <v>352</v>
      </c>
      <c r="D497" s="296" t="s">
        <v>353</v>
      </c>
      <c r="E497" s="296" t="s">
        <v>116</v>
      </c>
      <c r="F497" s="296">
        <v>3</v>
      </c>
      <c r="G497" s="296" t="s">
        <v>19</v>
      </c>
      <c r="H497" s="296" t="s">
        <v>20</v>
      </c>
      <c r="I497" s="296" t="s">
        <v>205</v>
      </c>
      <c r="J497" s="296"/>
      <c r="K497" s="296" t="s">
        <v>216</v>
      </c>
      <c r="L497" s="296">
        <v>50</v>
      </c>
      <c r="M497" s="296" t="s">
        <v>217</v>
      </c>
      <c r="N497" s="297">
        <v>1120</v>
      </c>
      <c r="O497" s="297">
        <v>1120</v>
      </c>
      <c r="P497" s="297">
        <v>5000</v>
      </c>
      <c r="Q497" s="296">
        <v>2</v>
      </c>
      <c r="R497" s="296">
        <v>1</v>
      </c>
      <c r="S497" s="296" t="s">
        <v>354</v>
      </c>
      <c r="T497" s="298">
        <v>45128</v>
      </c>
      <c r="U497" s="298">
        <v>45184</v>
      </c>
      <c r="V497" s="296" t="s">
        <v>355</v>
      </c>
      <c r="W497" s="296"/>
      <c r="X497" s="296"/>
      <c r="Y497" s="146"/>
      <c r="Z497" s="149" t="str">
        <f t="shared" ca="1" si="7"/>
        <v/>
      </c>
      <c r="AA497" s="149" t="str">
        <f ca="1">IFERROR(IF(OR(OFFSET('S4'!#REF!,MATCH($A497,'S4'!$D$5:$D$3387,0)-1,6)="巻返し",OFFSET('S4'!#REF!,MATCH($A497,'S4'!$D$5:$D$3387,0)-1,6)="スリット"),SUMIF('S4'!$D$5:$D$3387,$A497,'S4'!$U$5:$U$3387),""),"")</f>
        <v/>
      </c>
      <c r="AB497" s="149" t="str">
        <f ca="1">IFERROR(IF(OR(OFFSET('S5'!#REF!,MATCH($A497,'S5'!$D$5:$D$2917,0)-1,6)="巻返し",OFFSET('S5'!#REF!,MATCH($A497,'S5'!$D$5:$D$2917,0)-1,6)="スリット"),SUMIF('S5'!$D$5:$D$2917,$A497,'S5'!$T$5:$T$2917),""),"")</f>
        <v/>
      </c>
    </row>
    <row r="498" spans="1:28" s="144" customFormat="1" ht="13.5" x14ac:dyDescent="0.15">
      <c r="A498" s="296">
        <v>3721218</v>
      </c>
      <c r="B498" s="296" t="s">
        <v>351</v>
      </c>
      <c r="C498" s="296" t="s">
        <v>352</v>
      </c>
      <c r="D498" s="296" t="s">
        <v>353</v>
      </c>
      <c r="E498" s="296" t="s">
        <v>116</v>
      </c>
      <c r="F498" s="296">
        <v>3</v>
      </c>
      <c r="G498" s="296" t="s">
        <v>19</v>
      </c>
      <c r="H498" s="296" t="s">
        <v>20</v>
      </c>
      <c r="I498" s="296" t="s">
        <v>165</v>
      </c>
      <c r="J498" s="296"/>
      <c r="K498" s="296" t="s">
        <v>187</v>
      </c>
      <c r="L498" s="296">
        <v>50</v>
      </c>
      <c r="M498" s="296" t="s">
        <v>188</v>
      </c>
      <c r="N498" s="297">
        <v>1000</v>
      </c>
      <c r="O498" s="297">
        <v>1000</v>
      </c>
      <c r="P498" s="297">
        <v>3000</v>
      </c>
      <c r="Q498" s="296">
        <v>2</v>
      </c>
      <c r="R498" s="296">
        <v>2</v>
      </c>
      <c r="S498" s="296" t="s">
        <v>354</v>
      </c>
      <c r="T498" s="298">
        <v>45128</v>
      </c>
      <c r="U498" s="298">
        <v>45163</v>
      </c>
      <c r="V498" s="296" t="s">
        <v>355</v>
      </c>
      <c r="W498" s="296"/>
      <c r="X498" s="296"/>
      <c r="Y498" s="146"/>
      <c r="Z498" s="149" t="str">
        <f t="shared" ca="1" si="7"/>
        <v/>
      </c>
      <c r="AA498" s="149" t="str">
        <f ca="1">IFERROR(IF(OR(OFFSET('S4'!#REF!,MATCH($A498,'S4'!$D$5:$D$3387,0)-1,6)="巻返し",OFFSET('S4'!#REF!,MATCH($A498,'S4'!$D$5:$D$3387,0)-1,6)="スリット"),SUMIF('S4'!$D$5:$D$3387,$A498,'S4'!$U$5:$U$3387),""),"")</f>
        <v/>
      </c>
      <c r="AB498" s="149" t="str">
        <f ca="1">IFERROR(IF(OR(OFFSET('S5'!#REF!,MATCH($A498,'S5'!$D$5:$D$2917,0)-1,6)="巻返し",OFFSET('S5'!#REF!,MATCH($A498,'S5'!$D$5:$D$2917,0)-1,6)="スリット"),SUMIF('S5'!$D$5:$D$2917,$A498,'S5'!$T$5:$T$2917),""),"")</f>
        <v/>
      </c>
    </row>
    <row r="499" spans="1:28" s="144" customFormat="1" ht="13.5" x14ac:dyDescent="0.15">
      <c r="A499" s="296">
        <v>3721219</v>
      </c>
      <c r="B499" s="296" t="s">
        <v>351</v>
      </c>
      <c r="C499" s="296" t="s">
        <v>352</v>
      </c>
      <c r="D499" s="296" t="s">
        <v>353</v>
      </c>
      <c r="E499" s="296" t="s">
        <v>116</v>
      </c>
      <c r="F499" s="296">
        <v>3</v>
      </c>
      <c r="G499" s="296" t="s">
        <v>19</v>
      </c>
      <c r="H499" s="296" t="s">
        <v>20</v>
      </c>
      <c r="I499" s="296" t="s">
        <v>205</v>
      </c>
      <c r="J499" s="296"/>
      <c r="K499" s="296" t="s">
        <v>218</v>
      </c>
      <c r="L499" s="296">
        <v>50</v>
      </c>
      <c r="M499" s="296" t="s">
        <v>219</v>
      </c>
      <c r="N499" s="297">
        <v>1000</v>
      </c>
      <c r="O499" s="297">
        <v>1000</v>
      </c>
      <c r="P499" s="297">
        <v>4000</v>
      </c>
      <c r="Q499" s="296">
        <v>2</v>
      </c>
      <c r="R499" s="296">
        <v>15</v>
      </c>
      <c r="S499" s="296" t="s">
        <v>354</v>
      </c>
      <c r="T499" s="298">
        <v>45128</v>
      </c>
      <c r="U499" s="298">
        <v>45163</v>
      </c>
      <c r="V499" s="296" t="s">
        <v>355</v>
      </c>
      <c r="W499" s="296"/>
      <c r="X499" s="296"/>
      <c r="Y499" s="146"/>
      <c r="Z499" s="149" t="str">
        <f t="shared" ca="1" si="7"/>
        <v/>
      </c>
      <c r="AA499" s="149" t="str">
        <f ca="1">IFERROR(IF(OR(OFFSET('S4'!#REF!,MATCH($A499,'S4'!$D$5:$D$3387,0)-1,6)="巻返し",OFFSET('S4'!#REF!,MATCH($A499,'S4'!$D$5:$D$3387,0)-1,6)="スリット"),SUMIF('S4'!$D$5:$D$3387,$A499,'S4'!$U$5:$U$3387),""),"")</f>
        <v/>
      </c>
      <c r="AB499" s="149" t="str">
        <f ca="1">IFERROR(IF(OR(OFFSET('S5'!#REF!,MATCH($A499,'S5'!$D$5:$D$2917,0)-1,6)="巻返し",OFFSET('S5'!#REF!,MATCH($A499,'S5'!$D$5:$D$2917,0)-1,6)="スリット"),SUMIF('S5'!$D$5:$D$2917,$A499,'S5'!$T$5:$T$2917),""),"")</f>
        <v/>
      </c>
    </row>
    <row r="500" spans="1:28" s="144" customFormat="1" ht="13.5" x14ac:dyDescent="0.15">
      <c r="A500" s="296">
        <v>3721220</v>
      </c>
      <c r="B500" s="296" t="s">
        <v>351</v>
      </c>
      <c r="C500" s="296" t="s">
        <v>352</v>
      </c>
      <c r="D500" s="296" t="s">
        <v>353</v>
      </c>
      <c r="E500" s="296" t="s">
        <v>116</v>
      </c>
      <c r="F500" s="296" t="s">
        <v>158</v>
      </c>
      <c r="G500" s="296" t="s">
        <v>19</v>
      </c>
      <c r="H500" s="296" t="s">
        <v>20</v>
      </c>
      <c r="I500" s="296" t="s">
        <v>165</v>
      </c>
      <c r="J500" s="296"/>
      <c r="K500" s="296" t="s">
        <v>192</v>
      </c>
      <c r="L500" s="296">
        <v>50</v>
      </c>
      <c r="M500" s="296" t="s">
        <v>193</v>
      </c>
      <c r="N500" s="297">
        <v>1005</v>
      </c>
      <c r="O500" s="297">
        <v>1000</v>
      </c>
      <c r="P500" s="297">
        <v>4000</v>
      </c>
      <c r="Q500" s="296">
        <v>2</v>
      </c>
      <c r="R500" s="296">
        <v>3</v>
      </c>
      <c r="S500" s="296" t="s">
        <v>354</v>
      </c>
      <c r="T500" s="298">
        <v>45128</v>
      </c>
      <c r="U500" s="298">
        <v>45163</v>
      </c>
      <c r="V500" s="296" t="s">
        <v>355</v>
      </c>
      <c r="W500" s="296"/>
      <c r="X500" s="296"/>
      <c r="Y500" s="146"/>
      <c r="Z500" s="149" t="str">
        <f t="shared" ca="1" si="7"/>
        <v/>
      </c>
      <c r="AA500" s="149" t="str">
        <f ca="1">IFERROR(IF(OR(OFFSET('S4'!#REF!,MATCH($A500,'S4'!$D$5:$D$3387,0)-1,6)="巻返し",OFFSET('S4'!#REF!,MATCH($A500,'S4'!$D$5:$D$3387,0)-1,6)="スリット"),SUMIF('S4'!$D$5:$D$3387,$A500,'S4'!$U$5:$U$3387),""),"")</f>
        <v/>
      </c>
      <c r="AB500" s="149" t="str">
        <f ca="1">IFERROR(IF(OR(OFFSET('S5'!#REF!,MATCH($A500,'S5'!$D$5:$D$2917,0)-1,6)="巻返し",OFFSET('S5'!#REF!,MATCH($A500,'S5'!$D$5:$D$2917,0)-1,6)="スリット"),SUMIF('S5'!$D$5:$D$2917,$A500,'S5'!$T$5:$T$2917),""),"")</f>
        <v/>
      </c>
    </row>
    <row r="501" spans="1:28" s="144" customFormat="1" ht="13.5" x14ac:dyDescent="0.15">
      <c r="A501" s="296">
        <v>3721221</v>
      </c>
      <c r="B501" s="296" t="s">
        <v>351</v>
      </c>
      <c r="C501" s="296" t="s">
        <v>352</v>
      </c>
      <c r="D501" s="296" t="s">
        <v>353</v>
      </c>
      <c r="E501" s="296" t="s">
        <v>116</v>
      </c>
      <c r="F501" s="296" t="s">
        <v>158</v>
      </c>
      <c r="G501" s="296" t="s">
        <v>19</v>
      </c>
      <c r="H501" s="296" t="s">
        <v>20</v>
      </c>
      <c r="I501" s="296" t="s">
        <v>165</v>
      </c>
      <c r="J501" s="296"/>
      <c r="K501" s="296" t="s">
        <v>195</v>
      </c>
      <c r="L501" s="296">
        <v>50</v>
      </c>
      <c r="M501" s="296" t="s">
        <v>196</v>
      </c>
      <c r="N501" s="297">
        <v>1005</v>
      </c>
      <c r="O501" s="297">
        <v>1000</v>
      </c>
      <c r="P501" s="297">
        <v>4000</v>
      </c>
      <c r="Q501" s="296">
        <v>2</v>
      </c>
      <c r="R501" s="296">
        <v>12</v>
      </c>
      <c r="S501" s="296" t="s">
        <v>354</v>
      </c>
      <c r="T501" s="298">
        <v>45128</v>
      </c>
      <c r="U501" s="298">
        <v>45163</v>
      </c>
      <c r="V501" s="296" t="s">
        <v>355</v>
      </c>
      <c r="W501" s="296"/>
      <c r="X501" s="296"/>
      <c r="Y501" s="146"/>
      <c r="Z501" s="149" t="str">
        <f t="shared" ca="1" si="7"/>
        <v/>
      </c>
      <c r="AA501" s="149" t="str">
        <f ca="1">IFERROR(IF(OR(OFFSET('S4'!#REF!,MATCH($A501,'S4'!$D$5:$D$3387,0)-1,6)="巻返し",OFFSET('S4'!#REF!,MATCH($A501,'S4'!$D$5:$D$3387,0)-1,6)="スリット"),SUMIF('S4'!$D$5:$D$3387,$A501,'S4'!$U$5:$U$3387),""),"")</f>
        <v/>
      </c>
      <c r="AB501" s="149" t="str">
        <f ca="1">IFERROR(IF(OR(OFFSET('S5'!#REF!,MATCH($A501,'S5'!$D$5:$D$2917,0)-1,6)="巻返し",OFFSET('S5'!#REF!,MATCH($A501,'S5'!$D$5:$D$2917,0)-1,6)="スリット"),SUMIF('S5'!$D$5:$D$2917,$A501,'S5'!$T$5:$T$2917),""),"")</f>
        <v/>
      </c>
    </row>
    <row r="502" spans="1:28" s="144" customFormat="1" ht="13.5" x14ac:dyDescent="0.15">
      <c r="A502" s="296">
        <v>3721222</v>
      </c>
      <c r="B502" s="296" t="s">
        <v>351</v>
      </c>
      <c r="C502" s="296" t="s">
        <v>352</v>
      </c>
      <c r="D502" s="296" t="s">
        <v>353</v>
      </c>
      <c r="E502" s="296" t="s">
        <v>116</v>
      </c>
      <c r="F502" s="296" t="s">
        <v>158</v>
      </c>
      <c r="G502" s="296" t="s">
        <v>19</v>
      </c>
      <c r="H502" s="296" t="s">
        <v>20</v>
      </c>
      <c r="I502" s="296" t="s">
        <v>165</v>
      </c>
      <c r="J502" s="296"/>
      <c r="K502" s="296" t="s">
        <v>197</v>
      </c>
      <c r="L502" s="296">
        <v>50</v>
      </c>
      <c r="M502" s="296" t="s">
        <v>198</v>
      </c>
      <c r="N502" s="297">
        <v>1005</v>
      </c>
      <c r="O502" s="297">
        <v>1000</v>
      </c>
      <c r="P502" s="297">
        <v>4100</v>
      </c>
      <c r="Q502" s="296">
        <v>2</v>
      </c>
      <c r="R502" s="296">
        <v>6</v>
      </c>
      <c r="S502" s="296" t="s">
        <v>354</v>
      </c>
      <c r="T502" s="298">
        <v>45128</v>
      </c>
      <c r="U502" s="298">
        <v>45163</v>
      </c>
      <c r="V502" s="296" t="s">
        <v>355</v>
      </c>
      <c r="W502" s="296"/>
      <c r="X502" s="296"/>
      <c r="Y502" s="146"/>
      <c r="Z502" s="149" t="str">
        <f t="shared" ca="1" si="7"/>
        <v/>
      </c>
      <c r="AA502" s="149" t="str">
        <f ca="1">IFERROR(IF(OR(OFFSET('S4'!#REF!,MATCH($A502,'S4'!$D$5:$D$3387,0)-1,6)="巻返し",OFFSET('S4'!#REF!,MATCH($A502,'S4'!$D$5:$D$3387,0)-1,6)="スリット"),SUMIF('S4'!$D$5:$D$3387,$A502,'S4'!$U$5:$U$3387),""),"")</f>
        <v/>
      </c>
      <c r="AB502" s="149" t="str">
        <f ca="1">IFERROR(IF(OR(OFFSET('S5'!#REF!,MATCH($A502,'S5'!$D$5:$D$2917,0)-1,6)="巻返し",OFFSET('S5'!#REF!,MATCH($A502,'S5'!$D$5:$D$2917,0)-1,6)="スリット"),SUMIF('S5'!$D$5:$D$2917,$A502,'S5'!$T$5:$T$2917),""),"")</f>
        <v/>
      </c>
    </row>
    <row r="503" spans="1:28" s="144" customFormat="1" ht="13.5" x14ac:dyDescent="0.15">
      <c r="A503" s="296">
        <v>3721224</v>
      </c>
      <c r="B503" s="296" t="s">
        <v>351</v>
      </c>
      <c r="C503" s="296" t="s">
        <v>352</v>
      </c>
      <c r="D503" s="296" t="s">
        <v>353</v>
      </c>
      <c r="E503" s="296" t="s">
        <v>116</v>
      </c>
      <c r="F503" s="296">
        <v>3</v>
      </c>
      <c r="G503" s="296" t="s">
        <v>19</v>
      </c>
      <c r="H503" s="296" t="s">
        <v>20</v>
      </c>
      <c r="I503" s="296" t="s">
        <v>205</v>
      </c>
      <c r="J503" s="296"/>
      <c r="K503" s="296" t="s">
        <v>221</v>
      </c>
      <c r="L503" s="296">
        <v>25</v>
      </c>
      <c r="M503" s="296" t="s">
        <v>222</v>
      </c>
      <c r="N503" s="297">
        <v>1000</v>
      </c>
      <c r="O503" s="297">
        <v>1000</v>
      </c>
      <c r="P503" s="297">
        <v>6000</v>
      </c>
      <c r="Q503" s="296">
        <v>2</v>
      </c>
      <c r="R503" s="296">
        <v>4</v>
      </c>
      <c r="S503" s="296" t="s">
        <v>354</v>
      </c>
      <c r="T503" s="298">
        <v>45128</v>
      </c>
      <c r="U503" s="298">
        <v>45163</v>
      </c>
      <c r="V503" s="296" t="s">
        <v>355</v>
      </c>
      <c r="W503" s="296"/>
      <c r="X503" s="296"/>
      <c r="Y503" s="146"/>
      <c r="Z503" s="149" t="str">
        <f t="shared" ca="1" si="7"/>
        <v/>
      </c>
      <c r="AA503" s="149" t="str">
        <f ca="1">IFERROR(IF(OR(OFFSET('S4'!#REF!,MATCH($A503,'S4'!$D$5:$D$3387,0)-1,6)="巻返し",OFFSET('S4'!#REF!,MATCH($A503,'S4'!$D$5:$D$3387,0)-1,6)="スリット"),SUMIF('S4'!$D$5:$D$3387,$A503,'S4'!$U$5:$U$3387),""),"")</f>
        <v/>
      </c>
      <c r="AB503" s="149" t="str">
        <f ca="1">IFERROR(IF(OR(OFFSET('S5'!#REF!,MATCH($A503,'S5'!$D$5:$D$2917,0)-1,6)="巻返し",OFFSET('S5'!#REF!,MATCH($A503,'S5'!$D$5:$D$2917,0)-1,6)="スリット"),SUMIF('S5'!$D$5:$D$2917,$A503,'S5'!$T$5:$T$2917),""),"")</f>
        <v/>
      </c>
    </row>
    <row r="504" spans="1:28" s="144" customFormat="1" ht="13.5" x14ac:dyDescent="0.15">
      <c r="A504" s="296">
        <v>3721225</v>
      </c>
      <c r="B504" s="296" t="s">
        <v>351</v>
      </c>
      <c r="C504" s="296" t="s">
        <v>352</v>
      </c>
      <c r="D504" s="296" t="s">
        <v>353</v>
      </c>
      <c r="E504" s="296" t="s">
        <v>116</v>
      </c>
      <c r="F504" s="296">
        <v>3</v>
      </c>
      <c r="G504" s="296" t="s">
        <v>19</v>
      </c>
      <c r="H504" s="296" t="s">
        <v>20</v>
      </c>
      <c r="I504" s="296" t="s">
        <v>205</v>
      </c>
      <c r="J504" s="296"/>
      <c r="K504" s="296" t="s">
        <v>221</v>
      </c>
      <c r="L504" s="296">
        <v>25</v>
      </c>
      <c r="M504" s="296" t="s">
        <v>222</v>
      </c>
      <c r="N504" s="297">
        <v>1100</v>
      </c>
      <c r="O504" s="297">
        <v>1100</v>
      </c>
      <c r="P504" s="297">
        <v>6000</v>
      </c>
      <c r="Q504" s="296">
        <v>2</v>
      </c>
      <c r="R504" s="296">
        <v>8</v>
      </c>
      <c r="S504" s="296" t="s">
        <v>354</v>
      </c>
      <c r="T504" s="298">
        <v>45128</v>
      </c>
      <c r="U504" s="298">
        <v>45163</v>
      </c>
      <c r="V504" s="296" t="s">
        <v>355</v>
      </c>
      <c r="W504" s="296"/>
      <c r="X504" s="296"/>
      <c r="Y504" s="146"/>
      <c r="Z504" s="149" t="str">
        <f t="shared" ca="1" si="7"/>
        <v/>
      </c>
      <c r="AA504" s="149" t="str">
        <f ca="1">IFERROR(IF(OR(OFFSET('S4'!#REF!,MATCH($A504,'S4'!$D$5:$D$3387,0)-1,6)="巻返し",OFFSET('S4'!#REF!,MATCH($A504,'S4'!$D$5:$D$3387,0)-1,6)="スリット"),SUMIF('S4'!$D$5:$D$3387,$A504,'S4'!$U$5:$U$3387),""),"")</f>
        <v/>
      </c>
      <c r="AB504" s="149" t="str">
        <f ca="1">IFERROR(IF(OR(OFFSET('S5'!#REF!,MATCH($A504,'S5'!$D$5:$D$2917,0)-1,6)="巻返し",OFFSET('S5'!#REF!,MATCH($A504,'S5'!$D$5:$D$2917,0)-1,6)="スリット"),SUMIF('S5'!$D$5:$D$2917,$A504,'S5'!$T$5:$T$2917),""),"")</f>
        <v/>
      </c>
    </row>
    <row r="505" spans="1:28" s="144" customFormat="1" ht="13.5" x14ac:dyDescent="0.15">
      <c r="A505" s="296">
        <v>3721226</v>
      </c>
      <c r="B505" s="296" t="s">
        <v>351</v>
      </c>
      <c r="C505" s="296" t="s">
        <v>352</v>
      </c>
      <c r="D505" s="296" t="s">
        <v>353</v>
      </c>
      <c r="E505" s="296" t="s">
        <v>116</v>
      </c>
      <c r="F505" s="296">
        <v>3</v>
      </c>
      <c r="G505" s="296" t="s">
        <v>19</v>
      </c>
      <c r="H505" s="296" t="s">
        <v>28</v>
      </c>
      <c r="I505" s="296" t="s">
        <v>205</v>
      </c>
      <c r="J505" s="296"/>
      <c r="K505" s="296" t="s">
        <v>233</v>
      </c>
      <c r="L505" s="296">
        <v>50</v>
      </c>
      <c r="M505" s="296" t="s">
        <v>234</v>
      </c>
      <c r="N505" s="297">
        <v>1120</v>
      </c>
      <c r="O505" s="297">
        <v>1120</v>
      </c>
      <c r="P505" s="297">
        <v>4000</v>
      </c>
      <c r="Q505" s="296">
        <v>2</v>
      </c>
      <c r="R505" s="296">
        <v>8</v>
      </c>
      <c r="S505" s="296" t="s">
        <v>354</v>
      </c>
      <c r="T505" s="298">
        <v>45128</v>
      </c>
      <c r="U505" s="298">
        <v>45148</v>
      </c>
      <c r="V505" s="296" t="s">
        <v>355</v>
      </c>
      <c r="W505" s="296"/>
      <c r="X505" s="296"/>
      <c r="Y505" s="146"/>
      <c r="Z505" s="149" t="str">
        <f t="shared" ca="1" si="7"/>
        <v/>
      </c>
      <c r="AA505" s="149" t="str">
        <f ca="1">IFERROR(IF(OR(OFFSET('S4'!#REF!,MATCH($A505,'S4'!$D$5:$D$3387,0)-1,6)="巻返し",OFFSET('S4'!#REF!,MATCH($A505,'S4'!$D$5:$D$3387,0)-1,6)="スリット"),SUMIF('S4'!$D$5:$D$3387,$A505,'S4'!$U$5:$U$3387),""),"")</f>
        <v/>
      </c>
      <c r="AB505" s="149" t="str">
        <f ca="1">IFERROR(IF(OR(OFFSET('S5'!#REF!,MATCH($A505,'S5'!$D$5:$D$2917,0)-1,6)="巻返し",OFFSET('S5'!#REF!,MATCH($A505,'S5'!$D$5:$D$2917,0)-1,6)="スリット"),SUMIF('S5'!$D$5:$D$2917,$A505,'S5'!$T$5:$T$2917),""),"")</f>
        <v/>
      </c>
    </row>
    <row r="506" spans="1:28" s="144" customFormat="1" ht="13.5" x14ac:dyDescent="0.15">
      <c r="A506" s="296">
        <v>3721227</v>
      </c>
      <c r="B506" s="296" t="s">
        <v>351</v>
      </c>
      <c r="C506" s="296" t="s">
        <v>352</v>
      </c>
      <c r="D506" s="296" t="s">
        <v>353</v>
      </c>
      <c r="E506" s="296" t="s">
        <v>116</v>
      </c>
      <c r="F506" s="296">
        <v>3</v>
      </c>
      <c r="G506" s="296" t="s">
        <v>19</v>
      </c>
      <c r="H506" s="296" t="s">
        <v>28</v>
      </c>
      <c r="I506" s="296" t="s">
        <v>205</v>
      </c>
      <c r="J506" s="296"/>
      <c r="K506" s="296" t="s">
        <v>233</v>
      </c>
      <c r="L506" s="296">
        <v>50</v>
      </c>
      <c r="M506" s="296" t="s">
        <v>234</v>
      </c>
      <c r="N506" s="297">
        <v>1120</v>
      </c>
      <c r="O506" s="297">
        <v>1120</v>
      </c>
      <c r="P506" s="297">
        <v>4000</v>
      </c>
      <c r="Q506" s="296">
        <v>2</v>
      </c>
      <c r="R506" s="296">
        <v>4</v>
      </c>
      <c r="S506" s="296" t="s">
        <v>354</v>
      </c>
      <c r="T506" s="298">
        <v>45128</v>
      </c>
      <c r="U506" s="298">
        <v>45169</v>
      </c>
      <c r="V506" s="296" t="s">
        <v>355</v>
      </c>
      <c r="W506" s="296"/>
      <c r="X506" s="296"/>
      <c r="Y506" s="146"/>
      <c r="Z506" s="149" t="str">
        <f t="shared" ca="1" si="7"/>
        <v/>
      </c>
      <c r="AA506" s="149" t="str">
        <f ca="1">IFERROR(IF(OR(OFFSET('S4'!#REF!,MATCH($A506,'S4'!$D$5:$D$3387,0)-1,6)="巻返し",OFFSET('S4'!#REF!,MATCH($A506,'S4'!$D$5:$D$3387,0)-1,6)="スリット"),SUMIF('S4'!$D$5:$D$3387,$A506,'S4'!$U$5:$U$3387),""),"")</f>
        <v/>
      </c>
      <c r="AB506" s="149" t="str">
        <f ca="1">IFERROR(IF(OR(OFFSET('S5'!#REF!,MATCH($A506,'S5'!$D$5:$D$2917,0)-1,6)="巻返し",OFFSET('S5'!#REF!,MATCH($A506,'S5'!$D$5:$D$2917,0)-1,6)="スリット"),SUMIF('S5'!$D$5:$D$2917,$A506,'S5'!$T$5:$T$2917),""),"")</f>
        <v/>
      </c>
    </row>
    <row r="507" spans="1:28" s="144" customFormat="1" ht="13.5" x14ac:dyDescent="0.15">
      <c r="A507" s="296">
        <v>3722522</v>
      </c>
      <c r="B507" s="296" t="s">
        <v>1364</v>
      </c>
      <c r="C507" s="296" t="s">
        <v>358</v>
      </c>
      <c r="D507" s="296" t="s">
        <v>353</v>
      </c>
      <c r="E507" s="296" t="s">
        <v>1365</v>
      </c>
      <c r="F507" s="296">
        <v>3</v>
      </c>
      <c r="G507" s="296" t="s">
        <v>269</v>
      </c>
      <c r="H507" s="296" t="s">
        <v>28</v>
      </c>
      <c r="I507" s="296" t="s">
        <v>1078</v>
      </c>
      <c r="J507" s="296"/>
      <c r="K507" s="296" t="s">
        <v>1079</v>
      </c>
      <c r="L507" s="296">
        <v>25</v>
      </c>
      <c r="M507" s="296" t="s">
        <v>1366</v>
      </c>
      <c r="N507" s="297">
        <v>1050</v>
      </c>
      <c r="O507" s="297">
        <v>1050</v>
      </c>
      <c r="P507" s="297">
        <v>4000</v>
      </c>
      <c r="Q507" s="296">
        <v>1</v>
      </c>
      <c r="R507" s="296">
        <v>1</v>
      </c>
      <c r="S507" s="296" t="s">
        <v>354</v>
      </c>
      <c r="T507" s="298">
        <v>45138</v>
      </c>
      <c r="U507" s="298">
        <v>45148</v>
      </c>
      <c r="V507" s="296" t="s">
        <v>428</v>
      </c>
      <c r="W507" s="296"/>
      <c r="X507" s="296"/>
      <c r="Y507" s="146"/>
      <c r="Z507" s="149" t="str">
        <f t="shared" ca="1" si="7"/>
        <v/>
      </c>
      <c r="AA507" s="149" t="str">
        <f ca="1">IFERROR(IF(OR(OFFSET('S4'!#REF!,MATCH($A507,'S4'!$D$5:$D$3387,0)-1,6)="巻返し",OFFSET('S4'!#REF!,MATCH($A507,'S4'!$D$5:$D$3387,0)-1,6)="スリット"),SUMIF('S4'!$D$5:$D$3387,$A507,'S4'!$U$5:$U$3387),""),"")</f>
        <v/>
      </c>
      <c r="AB507" s="149" t="str">
        <f ca="1">IFERROR(IF(OR(OFFSET('S5'!#REF!,MATCH($A507,'S5'!$D$5:$D$2917,0)-1,6)="巻返し",OFFSET('S5'!#REF!,MATCH($A507,'S5'!$D$5:$D$2917,0)-1,6)="スリット"),SUMIF('S5'!$D$5:$D$2917,$A507,'S5'!$T$5:$T$2917),""),"")</f>
        <v/>
      </c>
    </row>
    <row r="508" spans="1:28" s="144" customFormat="1" ht="13.5" x14ac:dyDescent="0.15">
      <c r="A508" s="296">
        <v>3723621</v>
      </c>
      <c r="B508" s="296" t="s">
        <v>351</v>
      </c>
      <c r="C508" s="296" t="s">
        <v>364</v>
      </c>
      <c r="D508" s="296" t="s">
        <v>353</v>
      </c>
      <c r="E508" s="296" t="s">
        <v>171</v>
      </c>
      <c r="F508" s="296">
        <v>3</v>
      </c>
      <c r="G508" s="296" t="s">
        <v>19</v>
      </c>
      <c r="H508" s="296" t="s">
        <v>20</v>
      </c>
      <c r="I508" s="296" t="s">
        <v>165</v>
      </c>
      <c r="J508" s="296"/>
      <c r="K508" s="296" t="s">
        <v>180</v>
      </c>
      <c r="L508" s="296">
        <v>50</v>
      </c>
      <c r="M508" s="296" t="s">
        <v>181</v>
      </c>
      <c r="N508" s="297">
        <v>1200</v>
      </c>
      <c r="O508" s="297">
        <v>1190</v>
      </c>
      <c r="P508" s="297">
        <v>6000</v>
      </c>
      <c r="Q508" s="296">
        <v>2</v>
      </c>
      <c r="R508" s="296">
        <v>12</v>
      </c>
      <c r="S508" s="296" t="s">
        <v>354</v>
      </c>
      <c r="T508" s="298">
        <v>45159</v>
      </c>
      <c r="U508" s="298">
        <v>45184</v>
      </c>
      <c r="V508" s="296" t="s">
        <v>355</v>
      </c>
      <c r="W508" s="296"/>
      <c r="X508" s="296"/>
      <c r="Y508" s="146"/>
      <c r="Z508" s="149" t="str">
        <f t="shared" ca="1" si="7"/>
        <v/>
      </c>
      <c r="AA508" s="149" t="str">
        <f ca="1">IFERROR(IF(OR(OFFSET('S4'!#REF!,MATCH($A508,'S4'!$D$5:$D$3387,0)-1,6)="巻返し",OFFSET('S4'!#REF!,MATCH($A508,'S4'!$D$5:$D$3387,0)-1,6)="スリット"),SUMIF('S4'!$D$5:$D$3387,$A508,'S4'!$U$5:$U$3387),""),"")</f>
        <v/>
      </c>
      <c r="AB508" s="149" t="str">
        <f ca="1">IFERROR(IF(OR(OFFSET('S5'!#REF!,MATCH($A508,'S5'!$D$5:$D$2917,0)-1,6)="巻返し",OFFSET('S5'!#REF!,MATCH($A508,'S5'!$D$5:$D$2917,0)-1,6)="スリット"),SUMIF('S5'!$D$5:$D$2917,$A508,'S5'!$T$5:$T$2917),""),"")</f>
        <v/>
      </c>
    </row>
    <row r="509" spans="1:28" s="144" customFormat="1" ht="13.5" x14ac:dyDescent="0.15">
      <c r="A509" s="296">
        <v>3723623</v>
      </c>
      <c r="B509" s="296" t="s">
        <v>351</v>
      </c>
      <c r="C509" s="296" t="s">
        <v>364</v>
      </c>
      <c r="D509" s="296" t="s">
        <v>353</v>
      </c>
      <c r="E509" s="296" t="s">
        <v>148</v>
      </c>
      <c r="F509" s="296">
        <v>3</v>
      </c>
      <c r="G509" s="296" t="s">
        <v>19</v>
      </c>
      <c r="H509" s="296" t="s">
        <v>20</v>
      </c>
      <c r="I509" s="296" t="s">
        <v>143</v>
      </c>
      <c r="J509" s="296"/>
      <c r="K509" s="296" t="s">
        <v>149</v>
      </c>
      <c r="L509" s="296">
        <v>50</v>
      </c>
      <c r="M509" s="296" t="s">
        <v>150</v>
      </c>
      <c r="N509" s="297">
        <v>1120</v>
      </c>
      <c r="O509" s="297">
        <v>1120</v>
      </c>
      <c r="P509" s="297">
        <v>6000</v>
      </c>
      <c r="Q509" s="296">
        <v>2</v>
      </c>
      <c r="R509" s="296">
        <v>4</v>
      </c>
      <c r="S509" s="296" t="s">
        <v>354</v>
      </c>
      <c r="T509" s="298">
        <v>45159</v>
      </c>
      <c r="U509" s="298">
        <v>45184</v>
      </c>
      <c r="V509" s="296" t="s">
        <v>355</v>
      </c>
      <c r="W509" s="296"/>
      <c r="X509" s="296"/>
      <c r="Y509" s="146"/>
      <c r="Z509" s="149" t="str">
        <f t="shared" ca="1" si="7"/>
        <v/>
      </c>
      <c r="AA509" s="149" t="str">
        <f ca="1">IFERROR(IF(OR(OFFSET('S4'!#REF!,MATCH($A509,'S4'!$D$5:$D$3387,0)-1,6)="巻返し",OFFSET('S4'!#REF!,MATCH($A509,'S4'!$D$5:$D$3387,0)-1,6)="スリット"),SUMIF('S4'!$D$5:$D$3387,$A509,'S4'!$U$5:$U$3387),""),"")</f>
        <v/>
      </c>
      <c r="AB509" s="149" t="str">
        <f ca="1">IFERROR(IF(OR(OFFSET('S5'!#REF!,MATCH($A509,'S5'!$D$5:$D$2917,0)-1,6)="巻返し",OFFSET('S5'!#REF!,MATCH($A509,'S5'!$D$5:$D$2917,0)-1,6)="スリット"),SUMIF('S5'!$D$5:$D$2917,$A509,'S5'!$T$5:$T$2917),""),"")</f>
        <v/>
      </c>
    </row>
    <row r="510" spans="1:28" s="144" customFormat="1" ht="13.5" x14ac:dyDescent="0.15">
      <c r="A510" s="296">
        <v>3723624</v>
      </c>
      <c r="B510" s="296" t="s">
        <v>351</v>
      </c>
      <c r="C510" s="296" t="s">
        <v>364</v>
      </c>
      <c r="D510" s="296" t="s">
        <v>353</v>
      </c>
      <c r="E510" s="296" t="s">
        <v>148</v>
      </c>
      <c r="F510" s="296">
        <v>3</v>
      </c>
      <c r="G510" s="296" t="s">
        <v>19</v>
      </c>
      <c r="H510" s="296" t="s">
        <v>20</v>
      </c>
      <c r="I510" s="296" t="s">
        <v>165</v>
      </c>
      <c r="J510" s="296"/>
      <c r="K510" s="296" t="s">
        <v>169</v>
      </c>
      <c r="L510" s="296">
        <v>50</v>
      </c>
      <c r="M510" s="296" t="s">
        <v>170</v>
      </c>
      <c r="N510" s="297">
        <v>1120</v>
      </c>
      <c r="O510" s="297">
        <v>1120</v>
      </c>
      <c r="P510" s="297">
        <v>6000</v>
      </c>
      <c r="Q510" s="296">
        <v>2</v>
      </c>
      <c r="R510" s="296">
        <v>4</v>
      </c>
      <c r="S510" s="296" t="s">
        <v>354</v>
      </c>
      <c r="T510" s="298">
        <v>45159</v>
      </c>
      <c r="U510" s="298">
        <v>45184</v>
      </c>
      <c r="V510" s="296" t="s">
        <v>355</v>
      </c>
      <c r="W510" s="296"/>
      <c r="X510" s="296"/>
      <c r="Y510" s="146"/>
      <c r="Z510" s="149" t="str">
        <f t="shared" ca="1" si="7"/>
        <v/>
      </c>
      <c r="AA510" s="149" t="str">
        <f ca="1">IFERROR(IF(OR(OFFSET('S4'!#REF!,MATCH($A510,'S4'!$D$5:$D$3387,0)-1,6)="巻返し",OFFSET('S4'!#REF!,MATCH($A510,'S4'!$D$5:$D$3387,0)-1,6)="スリット"),SUMIF('S4'!$D$5:$D$3387,$A510,'S4'!$U$5:$U$3387),""),"")</f>
        <v/>
      </c>
      <c r="AB510" s="149" t="str">
        <f ca="1">IFERROR(IF(OR(OFFSET('S5'!#REF!,MATCH($A510,'S5'!$D$5:$D$2917,0)-1,6)="巻返し",OFFSET('S5'!#REF!,MATCH($A510,'S5'!$D$5:$D$2917,0)-1,6)="スリット"),SUMIF('S5'!$D$5:$D$2917,$A510,'S5'!$T$5:$T$2917),""),"")</f>
        <v/>
      </c>
    </row>
    <row r="511" spans="1:28" s="144" customFormat="1" ht="13.5" x14ac:dyDescent="0.15">
      <c r="A511" s="296">
        <v>3723625</v>
      </c>
      <c r="B511" s="296" t="s">
        <v>351</v>
      </c>
      <c r="C511" s="296" t="s">
        <v>364</v>
      </c>
      <c r="D511" s="296" t="s">
        <v>353</v>
      </c>
      <c r="E511" s="296" t="s">
        <v>148</v>
      </c>
      <c r="F511" s="296">
        <v>3</v>
      </c>
      <c r="G511" s="296" t="s">
        <v>19</v>
      </c>
      <c r="H511" s="296" t="s">
        <v>20</v>
      </c>
      <c r="I511" s="296" t="s">
        <v>165</v>
      </c>
      <c r="J511" s="296"/>
      <c r="K511" s="296" t="s">
        <v>180</v>
      </c>
      <c r="L511" s="296">
        <v>50</v>
      </c>
      <c r="M511" s="296" t="s">
        <v>181</v>
      </c>
      <c r="N511" s="297">
        <v>1120</v>
      </c>
      <c r="O511" s="297">
        <v>1120</v>
      </c>
      <c r="P511" s="297">
        <v>4000</v>
      </c>
      <c r="Q511" s="296">
        <v>2</v>
      </c>
      <c r="R511" s="296">
        <v>4</v>
      </c>
      <c r="S511" s="296" t="s">
        <v>354</v>
      </c>
      <c r="T511" s="298">
        <v>45159</v>
      </c>
      <c r="U511" s="298">
        <v>45184</v>
      </c>
      <c r="V511" s="296" t="s">
        <v>355</v>
      </c>
      <c r="W511" s="296"/>
      <c r="X511" s="296"/>
      <c r="Y511" s="146"/>
      <c r="Z511" s="149" t="str">
        <f t="shared" ca="1" si="7"/>
        <v/>
      </c>
      <c r="AA511" s="149" t="str">
        <f ca="1">IFERROR(IF(OR(OFFSET('S4'!#REF!,MATCH($A511,'S4'!$D$5:$D$3387,0)-1,6)="巻返し",OFFSET('S4'!#REF!,MATCH($A511,'S4'!$D$5:$D$3387,0)-1,6)="スリット"),SUMIF('S4'!$D$5:$D$3387,$A511,'S4'!$U$5:$U$3387),""),"")</f>
        <v/>
      </c>
      <c r="AB511" s="149" t="str">
        <f ca="1">IFERROR(IF(OR(OFFSET('S5'!#REF!,MATCH($A511,'S5'!$D$5:$D$2917,0)-1,6)="巻返し",OFFSET('S5'!#REF!,MATCH($A511,'S5'!$D$5:$D$2917,0)-1,6)="スリット"),SUMIF('S5'!$D$5:$D$2917,$A511,'S5'!$T$5:$T$2917),""),"")</f>
        <v/>
      </c>
    </row>
    <row r="512" spans="1:28" s="144" customFormat="1" ht="13.5" x14ac:dyDescent="0.15">
      <c r="A512" s="296">
        <v>3723627</v>
      </c>
      <c r="B512" s="296" t="s">
        <v>351</v>
      </c>
      <c r="C512" s="296" t="s">
        <v>352</v>
      </c>
      <c r="D512" s="296" t="s">
        <v>353</v>
      </c>
      <c r="E512" s="296" t="s">
        <v>116</v>
      </c>
      <c r="F512" s="296">
        <v>3</v>
      </c>
      <c r="G512" s="296" t="s">
        <v>19</v>
      </c>
      <c r="H512" s="296" t="s">
        <v>20</v>
      </c>
      <c r="I512" s="296" t="s">
        <v>205</v>
      </c>
      <c r="J512" s="296"/>
      <c r="K512" s="296" t="s">
        <v>212</v>
      </c>
      <c r="L512" s="296">
        <v>25</v>
      </c>
      <c r="M512" s="296" t="s">
        <v>213</v>
      </c>
      <c r="N512" s="297">
        <v>1120</v>
      </c>
      <c r="O512" s="297">
        <v>1120</v>
      </c>
      <c r="P512" s="297">
        <v>4000</v>
      </c>
      <c r="Q512" s="296">
        <v>2</v>
      </c>
      <c r="R512" s="296">
        <v>4</v>
      </c>
      <c r="S512" s="296" t="s">
        <v>354</v>
      </c>
      <c r="T512" s="298">
        <v>45159</v>
      </c>
      <c r="U512" s="298">
        <v>45191</v>
      </c>
      <c r="V512" s="296" t="s">
        <v>355</v>
      </c>
      <c r="W512" s="296"/>
      <c r="X512" s="296"/>
      <c r="Y512" s="146"/>
      <c r="Z512" s="149" t="str">
        <f t="shared" ca="1" si="7"/>
        <v/>
      </c>
      <c r="AA512" s="149" t="str">
        <f ca="1">IFERROR(IF(OR(OFFSET('S4'!#REF!,MATCH($A512,'S4'!$D$5:$D$3387,0)-1,6)="巻返し",OFFSET('S4'!#REF!,MATCH($A512,'S4'!$D$5:$D$3387,0)-1,6)="スリット"),SUMIF('S4'!$D$5:$D$3387,$A512,'S4'!$U$5:$U$3387),""),"")</f>
        <v/>
      </c>
      <c r="AB512" s="149" t="str">
        <f ca="1">IFERROR(IF(OR(OFFSET('S5'!#REF!,MATCH($A512,'S5'!$D$5:$D$2917,0)-1,6)="巻返し",OFFSET('S5'!#REF!,MATCH($A512,'S5'!$D$5:$D$2917,0)-1,6)="スリット"),SUMIF('S5'!$D$5:$D$2917,$A512,'S5'!$T$5:$T$2917),""),"")</f>
        <v/>
      </c>
    </row>
    <row r="513" spans="1:28" s="144" customFormat="1" ht="13.5" x14ac:dyDescent="0.15">
      <c r="A513" s="296">
        <v>3723628</v>
      </c>
      <c r="B513" s="296" t="s">
        <v>351</v>
      </c>
      <c r="C513" s="296" t="s">
        <v>352</v>
      </c>
      <c r="D513" s="296" t="s">
        <v>353</v>
      </c>
      <c r="E513" s="296" t="s">
        <v>116</v>
      </c>
      <c r="F513" s="296">
        <v>3</v>
      </c>
      <c r="G513" s="296" t="s">
        <v>19</v>
      </c>
      <c r="H513" s="296" t="s">
        <v>20</v>
      </c>
      <c r="I513" s="296" t="s">
        <v>205</v>
      </c>
      <c r="J513" s="296"/>
      <c r="K513" s="296" t="s">
        <v>212</v>
      </c>
      <c r="L513" s="296">
        <v>50</v>
      </c>
      <c r="M513" s="296" t="s">
        <v>213</v>
      </c>
      <c r="N513" s="297">
        <v>1000</v>
      </c>
      <c r="O513" s="297">
        <v>1000</v>
      </c>
      <c r="P513" s="297">
        <v>4000</v>
      </c>
      <c r="Q513" s="296">
        <v>2</v>
      </c>
      <c r="R513" s="296">
        <v>2</v>
      </c>
      <c r="S513" s="296" t="s">
        <v>354</v>
      </c>
      <c r="T513" s="298">
        <v>45159</v>
      </c>
      <c r="U513" s="298">
        <v>45191</v>
      </c>
      <c r="V513" s="296" t="s">
        <v>355</v>
      </c>
      <c r="W513" s="296"/>
      <c r="X513" s="296"/>
      <c r="Y513" s="146"/>
      <c r="Z513" s="149" t="str">
        <f t="shared" ca="1" si="7"/>
        <v/>
      </c>
      <c r="AA513" s="149" t="str">
        <f ca="1">IFERROR(IF(OR(OFFSET('S4'!#REF!,MATCH($A513,'S4'!$D$5:$D$3387,0)-1,6)="巻返し",OFFSET('S4'!#REF!,MATCH($A513,'S4'!$D$5:$D$3387,0)-1,6)="スリット"),SUMIF('S4'!$D$5:$D$3387,$A513,'S4'!$U$5:$U$3387),""),"")</f>
        <v/>
      </c>
      <c r="AB513" s="149" t="str">
        <f ca="1">IFERROR(IF(OR(OFFSET('S5'!#REF!,MATCH($A513,'S5'!$D$5:$D$2917,0)-1,6)="巻返し",OFFSET('S5'!#REF!,MATCH($A513,'S5'!$D$5:$D$2917,0)-1,6)="スリット"),SUMIF('S5'!$D$5:$D$2917,$A513,'S5'!$T$5:$T$2917),""),"")</f>
        <v/>
      </c>
    </row>
    <row r="514" spans="1:28" s="144" customFormat="1" ht="13.5" x14ac:dyDescent="0.15">
      <c r="A514" s="296">
        <v>3723629</v>
      </c>
      <c r="B514" s="296" t="s">
        <v>351</v>
      </c>
      <c r="C514" s="296" t="s">
        <v>352</v>
      </c>
      <c r="D514" s="296" t="s">
        <v>353</v>
      </c>
      <c r="E514" s="296" t="s">
        <v>116</v>
      </c>
      <c r="F514" s="296">
        <v>3</v>
      </c>
      <c r="G514" s="296" t="s">
        <v>19</v>
      </c>
      <c r="H514" s="296" t="s">
        <v>20</v>
      </c>
      <c r="I514" s="296" t="s">
        <v>205</v>
      </c>
      <c r="J514" s="296"/>
      <c r="K514" s="296" t="s">
        <v>212</v>
      </c>
      <c r="L514" s="296">
        <v>50</v>
      </c>
      <c r="M514" s="296" t="s">
        <v>213</v>
      </c>
      <c r="N514" s="297">
        <v>1120</v>
      </c>
      <c r="O514" s="297">
        <v>1120</v>
      </c>
      <c r="P514" s="297">
        <v>4000</v>
      </c>
      <c r="Q514" s="296">
        <v>2</v>
      </c>
      <c r="R514" s="296">
        <v>18</v>
      </c>
      <c r="S514" s="296" t="s">
        <v>354</v>
      </c>
      <c r="T514" s="298">
        <v>45159</v>
      </c>
      <c r="U514" s="298">
        <v>45194</v>
      </c>
      <c r="V514" s="296" t="s">
        <v>355</v>
      </c>
      <c r="W514" s="296"/>
      <c r="X514" s="296"/>
      <c r="Y514" s="146"/>
      <c r="Z514" s="149" t="str">
        <f t="shared" ca="1" si="7"/>
        <v/>
      </c>
      <c r="AA514" s="149" t="str">
        <f ca="1">IFERROR(IF(OR(OFFSET('S4'!#REF!,MATCH($A514,'S4'!$D$5:$D$3387,0)-1,6)="巻返し",OFFSET('S4'!#REF!,MATCH($A514,'S4'!$D$5:$D$3387,0)-1,6)="スリット"),SUMIF('S4'!$D$5:$D$3387,$A514,'S4'!$U$5:$U$3387),""),"")</f>
        <v/>
      </c>
      <c r="AB514" s="149" t="str">
        <f ca="1">IFERROR(IF(OR(OFFSET('S5'!#REF!,MATCH($A514,'S5'!$D$5:$D$2917,0)-1,6)="巻返し",OFFSET('S5'!#REF!,MATCH($A514,'S5'!$D$5:$D$2917,0)-1,6)="スリット"),SUMIF('S5'!$D$5:$D$2917,$A514,'S5'!$T$5:$T$2917),""),"")</f>
        <v/>
      </c>
    </row>
    <row r="515" spans="1:28" s="144" customFormat="1" ht="13.5" x14ac:dyDescent="0.15">
      <c r="A515" s="296">
        <v>3723630</v>
      </c>
      <c r="B515" s="296" t="s">
        <v>351</v>
      </c>
      <c r="C515" s="296" t="s">
        <v>352</v>
      </c>
      <c r="D515" s="296" t="s">
        <v>353</v>
      </c>
      <c r="E515" s="296" t="s">
        <v>116</v>
      </c>
      <c r="F515" s="296">
        <v>3</v>
      </c>
      <c r="G515" s="296" t="s">
        <v>19</v>
      </c>
      <c r="H515" s="296" t="s">
        <v>20</v>
      </c>
      <c r="I515" s="296" t="s">
        <v>205</v>
      </c>
      <c r="J515" s="296"/>
      <c r="K515" s="296" t="s">
        <v>212</v>
      </c>
      <c r="L515" s="296">
        <v>50</v>
      </c>
      <c r="M515" s="296" t="s">
        <v>213</v>
      </c>
      <c r="N515" s="297">
        <v>1120</v>
      </c>
      <c r="O515" s="297">
        <v>1120</v>
      </c>
      <c r="P515" s="297">
        <v>4000</v>
      </c>
      <c r="Q515" s="296">
        <v>2</v>
      </c>
      <c r="R515" s="296">
        <v>9</v>
      </c>
      <c r="S515" s="296" t="s">
        <v>354</v>
      </c>
      <c r="T515" s="298">
        <v>45159</v>
      </c>
      <c r="U515" s="298">
        <v>45194</v>
      </c>
      <c r="V515" s="296" t="s">
        <v>355</v>
      </c>
      <c r="W515" s="296"/>
      <c r="X515" s="296"/>
      <c r="Y515" s="146"/>
      <c r="Z515" s="149" t="str">
        <f t="shared" ref="Z515:Z578" ca="1" si="8">IF(SUM(AA515:AB515)=0,"",SUM(AA515:AB515))</f>
        <v/>
      </c>
      <c r="AA515" s="149" t="str">
        <f ca="1">IFERROR(IF(OR(OFFSET('S4'!#REF!,MATCH($A515,'S4'!$D$5:$D$3387,0)-1,6)="巻返し",OFFSET('S4'!#REF!,MATCH($A515,'S4'!$D$5:$D$3387,0)-1,6)="スリット"),SUMIF('S4'!$D$5:$D$3387,$A515,'S4'!$U$5:$U$3387),""),"")</f>
        <v/>
      </c>
      <c r="AB515" s="149" t="str">
        <f ca="1">IFERROR(IF(OR(OFFSET('S5'!#REF!,MATCH($A515,'S5'!$D$5:$D$2917,0)-1,6)="巻返し",OFFSET('S5'!#REF!,MATCH($A515,'S5'!$D$5:$D$2917,0)-1,6)="スリット"),SUMIF('S5'!$D$5:$D$2917,$A515,'S5'!$T$5:$T$2917),""),"")</f>
        <v/>
      </c>
    </row>
    <row r="516" spans="1:28" s="144" customFormat="1" ht="13.5" x14ac:dyDescent="0.15">
      <c r="A516" s="296">
        <v>3723631</v>
      </c>
      <c r="B516" s="296" t="s">
        <v>351</v>
      </c>
      <c r="C516" s="296" t="s">
        <v>352</v>
      </c>
      <c r="D516" s="296" t="s">
        <v>353</v>
      </c>
      <c r="E516" s="296" t="s">
        <v>116</v>
      </c>
      <c r="F516" s="296">
        <v>3</v>
      </c>
      <c r="G516" s="296" t="s">
        <v>19</v>
      </c>
      <c r="H516" s="296" t="s">
        <v>20</v>
      </c>
      <c r="I516" s="296" t="s">
        <v>205</v>
      </c>
      <c r="J516" s="296"/>
      <c r="K516" s="296" t="s">
        <v>211</v>
      </c>
      <c r="L516" s="296">
        <v>38</v>
      </c>
      <c r="M516" s="296" t="s">
        <v>370</v>
      </c>
      <c r="N516" s="297">
        <v>1005</v>
      </c>
      <c r="O516" s="297">
        <v>1000</v>
      </c>
      <c r="P516" s="297">
        <v>4100</v>
      </c>
      <c r="Q516" s="296">
        <v>2</v>
      </c>
      <c r="R516" s="296">
        <v>2</v>
      </c>
      <c r="S516" s="296" t="s">
        <v>354</v>
      </c>
      <c r="T516" s="298">
        <v>45159</v>
      </c>
      <c r="U516" s="298">
        <v>45191</v>
      </c>
      <c r="V516" s="296" t="s">
        <v>355</v>
      </c>
      <c r="W516" s="296"/>
      <c r="X516" s="296"/>
      <c r="Y516" s="146"/>
      <c r="Z516" s="149" t="str">
        <f t="shared" ca="1" si="8"/>
        <v/>
      </c>
      <c r="AA516" s="149" t="str">
        <f ca="1">IFERROR(IF(OR(OFFSET('S4'!#REF!,MATCH($A516,'S4'!$D$5:$D$3387,0)-1,6)="巻返し",OFFSET('S4'!#REF!,MATCH($A516,'S4'!$D$5:$D$3387,0)-1,6)="スリット"),SUMIF('S4'!$D$5:$D$3387,$A516,'S4'!$U$5:$U$3387),""),"")</f>
        <v/>
      </c>
      <c r="AB516" s="149" t="str">
        <f ca="1">IFERROR(IF(OR(OFFSET('S5'!#REF!,MATCH($A516,'S5'!$D$5:$D$2917,0)-1,6)="巻返し",OFFSET('S5'!#REF!,MATCH($A516,'S5'!$D$5:$D$2917,0)-1,6)="スリット"),SUMIF('S5'!$D$5:$D$2917,$A516,'S5'!$T$5:$T$2917),""),"")</f>
        <v/>
      </c>
    </row>
    <row r="517" spans="1:28" s="144" customFormat="1" ht="13.5" x14ac:dyDescent="0.15">
      <c r="A517" s="296">
        <v>3723632</v>
      </c>
      <c r="B517" s="296" t="s">
        <v>351</v>
      </c>
      <c r="C517" s="296" t="s">
        <v>352</v>
      </c>
      <c r="D517" s="296" t="s">
        <v>353</v>
      </c>
      <c r="E517" s="296" t="s">
        <v>116</v>
      </c>
      <c r="F517" s="296">
        <v>3</v>
      </c>
      <c r="G517" s="296" t="s">
        <v>19</v>
      </c>
      <c r="H517" s="296" t="s">
        <v>20</v>
      </c>
      <c r="I517" s="296" t="s">
        <v>205</v>
      </c>
      <c r="J517" s="296"/>
      <c r="K517" s="296" t="s">
        <v>211</v>
      </c>
      <c r="L517" s="296">
        <v>50</v>
      </c>
      <c r="M517" s="296" t="s">
        <v>370</v>
      </c>
      <c r="N517" s="297">
        <v>1050</v>
      </c>
      <c r="O517" s="297">
        <v>1050</v>
      </c>
      <c r="P517" s="297">
        <v>4100</v>
      </c>
      <c r="Q517" s="296">
        <v>2</v>
      </c>
      <c r="R517" s="296">
        <v>3</v>
      </c>
      <c r="S517" s="296" t="s">
        <v>354</v>
      </c>
      <c r="T517" s="298">
        <v>45159</v>
      </c>
      <c r="U517" s="298">
        <v>45191</v>
      </c>
      <c r="V517" s="296" t="s">
        <v>355</v>
      </c>
      <c r="W517" s="296"/>
      <c r="X517" s="296"/>
      <c r="Y517" s="146"/>
      <c r="Z517" s="149" t="str">
        <f t="shared" ca="1" si="8"/>
        <v/>
      </c>
      <c r="AA517" s="149" t="str">
        <f ca="1">IFERROR(IF(OR(OFFSET('S4'!#REF!,MATCH($A517,'S4'!$D$5:$D$3387,0)-1,6)="巻返し",OFFSET('S4'!#REF!,MATCH($A517,'S4'!$D$5:$D$3387,0)-1,6)="スリット"),SUMIF('S4'!$D$5:$D$3387,$A517,'S4'!$U$5:$U$3387),""),"")</f>
        <v/>
      </c>
      <c r="AB517" s="149" t="str">
        <f ca="1">IFERROR(IF(OR(OFFSET('S5'!#REF!,MATCH($A517,'S5'!$D$5:$D$2917,0)-1,6)="巻返し",OFFSET('S5'!#REF!,MATCH($A517,'S5'!$D$5:$D$2917,0)-1,6)="スリット"),SUMIF('S5'!$D$5:$D$2917,$A517,'S5'!$T$5:$T$2917),""),"")</f>
        <v/>
      </c>
    </row>
    <row r="518" spans="1:28" s="144" customFormat="1" ht="13.5" x14ac:dyDescent="0.15">
      <c r="A518" s="296">
        <v>3723633</v>
      </c>
      <c r="B518" s="296" t="s">
        <v>351</v>
      </c>
      <c r="C518" s="296" t="s">
        <v>352</v>
      </c>
      <c r="D518" s="296" t="s">
        <v>353</v>
      </c>
      <c r="E518" s="296" t="s">
        <v>116</v>
      </c>
      <c r="F518" s="296">
        <v>3</v>
      </c>
      <c r="G518" s="296" t="s">
        <v>19</v>
      </c>
      <c r="H518" s="296" t="s">
        <v>20</v>
      </c>
      <c r="I518" s="296" t="s">
        <v>165</v>
      </c>
      <c r="J518" s="296"/>
      <c r="K518" s="296" t="s">
        <v>245</v>
      </c>
      <c r="L518" s="296">
        <v>16</v>
      </c>
      <c r="M518" s="296" t="s">
        <v>366</v>
      </c>
      <c r="N518" s="297">
        <v>1000</v>
      </c>
      <c r="O518" s="297">
        <v>1000</v>
      </c>
      <c r="P518" s="297">
        <v>3200</v>
      </c>
      <c r="Q518" s="296">
        <v>2</v>
      </c>
      <c r="R518" s="296">
        <v>1</v>
      </c>
      <c r="S518" s="296" t="s">
        <v>354</v>
      </c>
      <c r="T518" s="298">
        <v>45159</v>
      </c>
      <c r="U518" s="298">
        <v>45191</v>
      </c>
      <c r="V518" s="296" t="s">
        <v>355</v>
      </c>
      <c r="W518" s="296"/>
      <c r="X518" s="296"/>
      <c r="Y518" s="146"/>
      <c r="Z518" s="149" t="str">
        <f t="shared" ca="1" si="8"/>
        <v/>
      </c>
      <c r="AA518" s="149" t="str">
        <f ca="1">IFERROR(IF(OR(OFFSET('S4'!#REF!,MATCH($A518,'S4'!$D$5:$D$3387,0)-1,6)="巻返し",OFFSET('S4'!#REF!,MATCH($A518,'S4'!$D$5:$D$3387,0)-1,6)="スリット"),SUMIF('S4'!$D$5:$D$3387,$A518,'S4'!$U$5:$U$3387),""),"")</f>
        <v/>
      </c>
      <c r="AB518" s="149" t="str">
        <f ca="1">IFERROR(IF(OR(OFFSET('S5'!#REF!,MATCH($A518,'S5'!$D$5:$D$2917,0)-1,6)="巻返し",OFFSET('S5'!#REF!,MATCH($A518,'S5'!$D$5:$D$2917,0)-1,6)="スリット"),SUMIF('S5'!$D$5:$D$2917,$A518,'S5'!$T$5:$T$2917),""),"")</f>
        <v/>
      </c>
    </row>
    <row r="519" spans="1:28" s="144" customFormat="1" ht="13.5" x14ac:dyDescent="0.15">
      <c r="A519" s="296">
        <v>3723634</v>
      </c>
      <c r="B519" s="296" t="s">
        <v>351</v>
      </c>
      <c r="C519" s="296" t="s">
        <v>352</v>
      </c>
      <c r="D519" s="296" t="s">
        <v>353</v>
      </c>
      <c r="E519" s="296" t="s">
        <v>116</v>
      </c>
      <c r="F519" s="296">
        <v>3</v>
      </c>
      <c r="G519" s="296" t="s">
        <v>19</v>
      </c>
      <c r="H519" s="296" t="s">
        <v>20</v>
      </c>
      <c r="I519" s="296" t="s">
        <v>165</v>
      </c>
      <c r="J519" s="296"/>
      <c r="K519" s="296" t="s">
        <v>185</v>
      </c>
      <c r="L519" s="296">
        <v>50</v>
      </c>
      <c r="M519" s="296" t="s">
        <v>186</v>
      </c>
      <c r="N519" s="297">
        <v>1005</v>
      </c>
      <c r="O519" s="297">
        <v>1000</v>
      </c>
      <c r="P519" s="297">
        <v>4100</v>
      </c>
      <c r="Q519" s="296">
        <v>2</v>
      </c>
      <c r="R519" s="296">
        <v>3</v>
      </c>
      <c r="S519" s="296" t="s">
        <v>354</v>
      </c>
      <c r="T519" s="298">
        <v>45159</v>
      </c>
      <c r="U519" s="298">
        <v>45191</v>
      </c>
      <c r="V519" s="296" t="s">
        <v>355</v>
      </c>
      <c r="W519" s="296"/>
      <c r="X519" s="296"/>
      <c r="Y519" s="146"/>
      <c r="Z519" s="149" t="str">
        <f t="shared" ca="1" si="8"/>
        <v/>
      </c>
      <c r="AA519" s="149" t="str">
        <f ca="1">IFERROR(IF(OR(OFFSET('S4'!#REF!,MATCH($A519,'S4'!$D$5:$D$3387,0)-1,6)="巻返し",OFFSET('S4'!#REF!,MATCH($A519,'S4'!$D$5:$D$3387,0)-1,6)="スリット"),SUMIF('S4'!$D$5:$D$3387,$A519,'S4'!$U$5:$U$3387),""),"")</f>
        <v/>
      </c>
      <c r="AB519" s="149" t="str">
        <f ca="1">IFERROR(IF(OR(OFFSET('S5'!#REF!,MATCH($A519,'S5'!$D$5:$D$2917,0)-1,6)="巻返し",OFFSET('S5'!#REF!,MATCH($A519,'S5'!$D$5:$D$2917,0)-1,6)="スリット"),SUMIF('S5'!$D$5:$D$2917,$A519,'S5'!$T$5:$T$2917),""),"")</f>
        <v/>
      </c>
    </row>
    <row r="520" spans="1:28" s="144" customFormat="1" ht="13.5" x14ac:dyDescent="0.15">
      <c r="A520" s="296">
        <v>3723635</v>
      </c>
      <c r="B520" s="296" t="s">
        <v>351</v>
      </c>
      <c r="C520" s="296" t="s">
        <v>352</v>
      </c>
      <c r="D520" s="296" t="s">
        <v>353</v>
      </c>
      <c r="E520" s="296" t="s">
        <v>116</v>
      </c>
      <c r="F520" s="296">
        <v>3</v>
      </c>
      <c r="G520" s="296" t="s">
        <v>19</v>
      </c>
      <c r="H520" s="296" t="s">
        <v>20</v>
      </c>
      <c r="I520" s="296" t="s">
        <v>205</v>
      </c>
      <c r="J520" s="296"/>
      <c r="K520" s="296" t="s">
        <v>216</v>
      </c>
      <c r="L520" s="296">
        <v>25</v>
      </c>
      <c r="M520" s="296" t="s">
        <v>217</v>
      </c>
      <c r="N520" s="297">
        <v>1005</v>
      </c>
      <c r="O520" s="297">
        <v>1000</v>
      </c>
      <c r="P520" s="297">
        <v>4000</v>
      </c>
      <c r="Q520" s="296">
        <v>2</v>
      </c>
      <c r="R520" s="296">
        <v>15</v>
      </c>
      <c r="S520" s="296" t="s">
        <v>354</v>
      </c>
      <c r="T520" s="298">
        <v>45159</v>
      </c>
      <c r="U520" s="298">
        <v>45191</v>
      </c>
      <c r="V520" s="296" t="s">
        <v>355</v>
      </c>
      <c r="W520" s="296"/>
      <c r="X520" s="296"/>
      <c r="Y520" s="146"/>
      <c r="Z520" s="149" t="str">
        <f t="shared" ca="1" si="8"/>
        <v/>
      </c>
      <c r="AA520" s="149" t="str">
        <f ca="1">IFERROR(IF(OR(OFFSET('S4'!#REF!,MATCH($A520,'S4'!$D$5:$D$3387,0)-1,6)="巻返し",OFFSET('S4'!#REF!,MATCH($A520,'S4'!$D$5:$D$3387,0)-1,6)="スリット"),SUMIF('S4'!$D$5:$D$3387,$A520,'S4'!$U$5:$U$3387),""),"")</f>
        <v/>
      </c>
      <c r="AB520" s="149" t="str">
        <f ca="1">IFERROR(IF(OR(OFFSET('S5'!#REF!,MATCH($A520,'S5'!$D$5:$D$2917,0)-1,6)="巻返し",OFFSET('S5'!#REF!,MATCH($A520,'S5'!$D$5:$D$2917,0)-1,6)="スリット"),SUMIF('S5'!$D$5:$D$2917,$A520,'S5'!$T$5:$T$2917),""),"")</f>
        <v/>
      </c>
    </row>
    <row r="521" spans="1:28" s="144" customFormat="1" ht="13.5" x14ac:dyDescent="0.15">
      <c r="A521" s="296">
        <v>3723636</v>
      </c>
      <c r="B521" s="296" t="s">
        <v>351</v>
      </c>
      <c r="C521" s="296" t="s">
        <v>352</v>
      </c>
      <c r="D521" s="296" t="s">
        <v>353</v>
      </c>
      <c r="E521" s="296" t="s">
        <v>116</v>
      </c>
      <c r="F521" s="296">
        <v>3</v>
      </c>
      <c r="G521" s="296" t="s">
        <v>19</v>
      </c>
      <c r="H521" s="296" t="s">
        <v>20</v>
      </c>
      <c r="I521" s="296" t="s">
        <v>205</v>
      </c>
      <c r="J521" s="296"/>
      <c r="K521" s="296" t="s">
        <v>216</v>
      </c>
      <c r="L521" s="296">
        <v>25</v>
      </c>
      <c r="M521" s="296" t="s">
        <v>217</v>
      </c>
      <c r="N521" s="297">
        <v>1125</v>
      </c>
      <c r="O521" s="297">
        <v>1120</v>
      </c>
      <c r="P521" s="297">
        <v>4000</v>
      </c>
      <c r="Q521" s="296">
        <v>2</v>
      </c>
      <c r="R521" s="296">
        <v>3</v>
      </c>
      <c r="S521" s="296" t="s">
        <v>354</v>
      </c>
      <c r="T521" s="298">
        <v>45159</v>
      </c>
      <c r="U521" s="298">
        <v>45191</v>
      </c>
      <c r="V521" s="296" t="s">
        <v>355</v>
      </c>
      <c r="W521" s="296"/>
      <c r="X521" s="296"/>
      <c r="Y521" s="146"/>
      <c r="Z521" s="149" t="str">
        <f t="shared" ca="1" si="8"/>
        <v/>
      </c>
      <c r="AA521" s="149" t="str">
        <f ca="1">IFERROR(IF(OR(OFFSET('S4'!#REF!,MATCH($A521,'S4'!$D$5:$D$3387,0)-1,6)="巻返し",OFFSET('S4'!#REF!,MATCH($A521,'S4'!$D$5:$D$3387,0)-1,6)="スリット"),SUMIF('S4'!$D$5:$D$3387,$A521,'S4'!$U$5:$U$3387),""),"")</f>
        <v/>
      </c>
      <c r="AB521" s="149" t="str">
        <f ca="1">IFERROR(IF(OR(OFFSET('S5'!#REF!,MATCH($A521,'S5'!$D$5:$D$2917,0)-1,6)="巻返し",OFFSET('S5'!#REF!,MATCH($A521,'S5'!$D$5:$D$2917,0)-1,6)="スリット"),SUMIF('S5'!$D$5:$D$2917,$A521,'S5'!$T$5:$T$2917),""),"")</f>
        <v/>
      </c>
    </row>
    <row r="522" spans="1:28" s="144" customFormat="1" ht="13.5" x14ac:dyDescent="0.15">
      <c r="A522" s="296">
        <v>3723637</v>
      </c>
      <c r="B522" s="296" t="s">
        <v>351</v>
      </c>
      <c r="C522" s="296" t="s">
        <v>352</v>
      </c>
      <c r="D522" s="296" t="s">
        <v>353</v>
      </c>
      <c r="E522" s="296" t="s">
        <v>116</v>
      </c>
      <c r="F522" s="296">
        <v>3</v>
      </c>
      <c r="G522" s="296" t="s">
        <v>19</v>
      </c>
      <c r="H522" s="296" t="s">
        <v>20</v>
      </c>
      <c r="I522" s="296" t="s">
        <v>205</v>
      </c>
      <c r="J522" s="296"/>
      <c r="K522" s="296" t="s">
        <v>216</v>
      </c>
      <c r="L522" s="296">
        <v>50</v>
      </c>
      <c r="M522" s="296" t="s">
        <v>217</v>
      </c>
      <c r="N522" s="297">
        <v>1120</v>
      </c>
      <c r="O522" s="297">
        <v>1120</v>
      </c>
      <c r="P522" s="297">
        <v>5000</v>
      </c>
      <c r="Q522" s="296">
        <v>2</v>
      </c>
      <c r="R522" s="296">
        <v>34</v>
      </c>
      <c r="S522" s="296" t="s">
        <v>354</v>
      </c>
      <c r="T522" s="298">
        <v>45159</v>
      </c>
      <c r="U522" s="298">
        <v>45194</v>
      </c>
      <c r="V522" s="296" t="s">
        <v>355</v>
      </c>
      <c r="W522" s="296"/>
      <c r="X522" s="296"/>
      <c r="Y522" s="146"/>
      <c r="Z522" s="149" t="str">
        <f t="shared" ca="1" si="8"/>
        <v/>
      </c>
      <c r="AA522" s="149" t="str">
        <f ca="1">IFERROR(IF(OR(OFFSET('S4'!#REF!,MATCH($A522,'S4'!$D$5:$D$3387,0)-1,6)="巻返し",OFFSET('S4'!#REF!,MATCH($A522,'S4'!$D$5:$D$3387,0)-1,6)="スリット"),SUMIF('S4'!$D$5:$D$3387,$A522,'S4'!$U$5:$U$3387),""),"")</f>
        <v/>
      </c>
      <c r="AB522" s="149" t="str">
        <f ca="1">IFERROR(IF(OR(OFFSET('S5'!#REF!,MATCH($A522,'S5'!$D$5:$D$2917,0)-1,6)="巻返し",OFFSET('S5'!#REF!,MATCH($A522,'S5'!$D$5:$D$2917,0)-1,6)="スリット"),SUMIF('S5'!$D$5:$D$2917,$A522,'S5'!$T$5:$T$2917),""),"")</f>
        <v/>
      </c>
    </row>
    <row r="523" spans="1:28" s="144" customFormat="1" ht="13.5" x14ac:dyDescent="0.15">
      <c r="A523" s="296">
        <v>3723638</v>
      </c>
      <c r="B523" s="296" t="s">
        <v>351</v>
      </c>
      <c r="C523" s="296" t="s">
        <v>352</v>
      </c>
      <c r="D523" s="296" t="s">
        <v>353</v>
      </c>
      <c r="E523" s="296" t="s">
        <v>116</v>
      </c>
      <c r="F523" s="296">
        <v>3</v>
      </c>
      <c r="G523" s="296" t="s">
        <v>19</v>
      </c>
      <c r="H523" s="296" t="s">
        <v>20</v>
      </c>
      <c r="I523" s="296" t="s">
        <v>205</v>
      </c>
      <c r="J523" s="296"/>
      <c r="K523" s="296" t="s">
        <v>218</v>
      </c>
      <c r="L523" s="296">
        <v>25</v>
      </c>
      <c r="M523" s="296" t="s">
        <v>219</v>
      </c>
      <c r="N523" s="297">
        <v>1005</v>
      </c>
      <c r="O523" s="297">
        <v>1000</v>
      </c>
      <c r="P523" s="297">
        <v>4000</v>
      </c>
      <c r="Q523" s="296">
        <v>2</v>
      </c>
      <c r="R523" s="296">
        <v>8</v>
      </c>
      <c r="S523" s="296" t="s">
        <v>354</v>
      </c>
      <c r="T523" s="298">
        <v>45159</v>
      </c>
      <c r="U523" s="298">
        <v>45191</v>
      </c>
      <c r="V523" s="296" t="s">
        <v>355</v>
      </c>
      <c r="W523" s="296"/>
      <c r="X523" s="296"/>
      <c r="Y523" s="146"/>
      <c r="Z523" s="149" t="str">
        <f t="shared" ca="1" si="8"/>
        <v/>
      </c>
      <c r="AA523" s="149" t="str">
        <f ca="1">IFERROR(IF(OR(OFFSET('S4'!#REF!,MATCH($A523,'S4'!$D$5:$D$3387,0)-1,6)="巻返し",OFFSET('S4'!#REF!,MATCH($A523,'S4'!$D$5:$D$3387,0)-1,6)="スリット"),SUMIF('S4'!$D$5:$D$3387,$A523,'S4'!$U$5:$U$3387),""),"")</f>
        <v/>
      </c>
      <c r="AB523" s="149" t="str">
        <f ca="1">IFERROR(IF(OR(OFFSET('S5'!#REF!,MATCH($A523,'S5'!$D$5:$D$2917,0)-1,6)="巻返し",OFFSET('S5'!#REF!,MATCH($A523,'S5'!$D$5:$D$2917,0)-1,6)="スリット"),SUMIF('S5'!$D$5:$D$2917,$A523,'S5'!$T$5:$T$2917),""),"")</f>
        <v/>
      </c>
    </row>
    <row r="524" spans="1:28" s="144" customFormat="1" ht="13.5" x14ac:dyDescent="0.15">
      <c r="A524" s="296">
        <v>3723639</v>
      </c>
      <c r="B524" s="296" t="s">
        <v>351</v>
      </c>
      <c r="C524" s="296" t="s">
        <v>352</v>
      </c>
      <c r="D524" s="296" t="s">
        <v>353</v>
      </c>
      <c r="E524" s="296" t="s">
        <v>116</v>
      </c>
      <c r="F524" s="296">
        <v>3</v>
      </c>
      <c r="G524" s="296" t="s">
        <v>19</v>
      </c>
      <c r="H524" s="296" t="s">
        <v>20</v>
      </c>
      <c r="I524" s="296" t="s">
        <v>205</v>
      </c>
      <c r="J524" s="296"/>
      <c r="K524" s="296" t="s">
        <v>218</v>
      </c>
      <c r="L524" s="296">
        <v>50</v>
      </c>
      <c r="M524" s="296" t="s">
        <v>219</v>
      </c>
      <c r="N524" s="297">
        <v>1000</v>
      </c>
      <c r="O524" s="297">
        <v>1000</v>
      </c>
      <c r="P524" s="297">
        <v>4000</v>
      </c>
      <c r="Q524" s="296">
        <v>2</v>
      </c>
      <c r="R524" s="296">
        <v>12</v>
      </c>
      <c r="S524" s="296" t="s">
        <v>354</v>
      </c>
      <c r="T524" s="298">
        <v>45159</v>
      </c>
      <c r="U524" s="298">
        <v>45191</v>
      </c>
      <c r="V524" s="296" t="s">
        <v>355</v>
      </c>
      <c r="W524" s="296"/>
      <c r="X524" s="296"/>
      <c r="Y524" s="146"/>
      <c r="Z524" s="149" t="str">
        <f t="shared" ca="1" si="8"/>
        <v/>
      </c>
      <c r="AA524" s="149" t="str">
        <f ca="1">IFERROR(IF(OR(OFFSET('S4'!#REF!,MATCH($A524,'S4'!$D$5:$D$3387,0)-1,6)="巻返し",OFFSET('S4'!#REF!,MATCH($A524,'S4'!$D$5:$D$3387,0)-1,6)="スリット"),SUMIF('S4'!$D$5:$D$3387,$A524,'S4'!$U$5:$U$3387),""),"")</f>
        <v/>
      </c>
      <c r="AB524" s="149" t="str">
        <f ca="1">IFERROR(IF(OR(OFFSET('S5'!#REF!,MATCH($A524,'S5'!$D$5:$D$2917,0)-1,6)="巻返し",OFFSET('S5'!#REF!,MATCH($A524,'S5'!$D$5:$D$2917,0)-1,6)="スリット"),SUMIF('S5'!$D$5:$D$2917,$A524,'S5'!$T$5:$T$2917),""),"")</f>
        <v/>
      </c>
    </row>
    <row r="525" spans="1:28" s="144" customFormat="1" ht="13.5" x14ac:dyDescent="0.15">
      <c r="A525" s="296">
        <v>3723640</v>
      </c>
      <c r="B525" s="296" t="s">
        <v>351</v>
      </c>
      <c r="C525" s="296" t="s">
        <v>352</v>
      </c>
      <c r="D525" s="296" t="s">
        <v>353</v>
      </c>
      <c r="E525" s="296" t="s">
        <v>116</v>
      </c>
      <c r="F525" s="296" t="s">
        <v>158</v>
      </c>
      <c r="G525" s="296" t="s">
        <v>19</v>
      </c>
      <c r="H525" s="296" t="s">
        <v>20</v>
      </c>
      <c r="I525" s="296" t="s">
        <v>165</v>
      </c>
      <c r="J525" s="296"/>
      <c r="K525" s="296" t="s">
        <v>192</v>
      </c>
      <c r="L525" s="296">
        <v>50</v>
      </c>
      <c r="M525" s="296" t="s">
        <v>193</v>
      </c>
      <c r="N525" s="297">
        <v>1005</v>
      </c>
      <c r="O525" s="297">
        <v>1000</v>
      </c>
      <c r="P525" s="297">
        <v>4000</v>
      </c>
      <c r="Q525" s="296">
        <v>2</v>
      </c>
      <c r="R525" s="296">
        <v>3</v>
      </c>
      <c r="S525" s="296" t="s">
        <v>354</v>
      </c>
      <c r="T525" s="298">
        <v>45159</v>
      </c>
      <c r="U525" s="298">
        <v>45191</v>
      </c>
      <c r="V525" s="296" t="s">
        <v>355</v>
      </c>
      <c r="W525" s="296"/>
      <c r="X525" s="296"/>
      <c r="Y525" s="146"/>
      <c r="Z525" s="149" t="str">
        <f t="shared" ca="1" si="8"/>
        <v/>
      </c>
      <c r="AA525" s="149" t="str">
        <f ca="1">IFERROR(IF(OR(OFFSET('S4'!#REF!,MATCH($A525,'S4'!$D$5:$D$3387,0)-1,6)="巻返し",OFFSET('S4'!#REF!,MATCH($A525,'S4'!$D$5:$D$3387,0)-1,6)="スリット"),SUMIF('S4'!$D$5:$D$3387,$A525,'S4'!$U$5:$U$3387),""),"")</f>
        <v/>
      </c>
      <c r="AB525" s="149" t="str">
        <f ca="1">IFERROR(IF(OR(OFFSET('S5'!#REF!,MATCH($A525,'S5'!$D$5:$D$2917,0)-1,6)="巻返し",OFFSET('S5'!#REF!,MATCH($A525,'S5'!$D$5:$D$2917,0)-1,6)="スリット"),SUMIF('S5'!$D$5:$D$2917,$A525,'S5'!$T$5:$T$2917),""),"")</f>
        <v/>
      </c>
    </row>
    <row r="526" spans="1:28" s="144" customFormat="1" ht="13.5" x14ac:dyDescent="0.15">
      <c r="A526" s="296">
        <v>3723641</v>
      </c>
      <c r="B526" s="296" t="s">
        <v>351</v>
      </c>
      <c r="C526" s="296" t="s">
        <v>352</v>
      </c>
      <c r="D526" s="296" t="s">
        <v>353</v>
      </c>
      <c r="E526" s="296" t="s">
        <v>116</v>
      </c>
      <c r="F526" s="296" t="s">
        <v>158</v>
      </c>
      <c r="G526" s="296" t="s">
        <v>19</v>
      </c>
      <c r="H526" s="296" t="s">
        <v>20</v>
      </c>
      <c r="I526" s="296" t="s">
        <v>165</v>
      </c>
      <c r="J526" s="296"/>
      <c r="K526" s="296" t="s">
        <v>195</v>
      </c>
      <c r="L526" s="296">
        <v>50</v>
      </c>
      <c r="M526" s="296" t="s">
        <v>196</v>
      </c>
      <c r="N526" s="297">
        <v>1005</v>
      </c>
      <c r="O526" s="297">
        <v>1000</v>
      </c>
      <c r="P526" s="297">
        <v>4000</v>
      </c>
      <c r="Q526" s="296">
        <v>2</v>
      </c>
      <c r="R526" s="296">
        <v>3</v>
      </c>
      <c r="S526" s="296" t="s">
        <v>354</v>
      </c>
      <c r="T526" s="298">
        <v>45159</v>
      </c>
      <c r="U526" s="298">
        <v>45191</v>
      </c>
      <c r="V526" s="296" t="s">
        <v>355</v>
      </c>
      <c r="W526" s="296"/>
      <c r="X526" s="296"/>
      <c r="Y526" s="146"/>
      <c r="Z526" s="149" t="str">
        <f t="shared" ca="1" si="8"/>
        <v/>
      </c>
      <c r="AA526" s="149" t="str">
        <f ca="1">IFERROR(IF(OR(OFFSET('S4'!#REF!,MATCH($A526,'S4'!$D$5:$D$3387,0)-1,6)="巻返し",OFFSET('S4'!#REF!,MATCH($A526,'S4'!$D$5:$D$3387,0)-1,6)="スリット"),SUMIF('S4'!$D$5:$D$3387,$A526,'S4'!$U$5:$U$3387),""),"")</f>
        <v/>
      </c>
      <c r="AB526" s="149" t="str">
        <f ca="1">IFERROR(IF(OR(OFFSET('S5'!#REF!,MATCH($A526,'S5'!$D$5:$D$2917,0)-1,6)="巻返し",OFFSET('S5'!#REF!,MATCH($A526,'S5'!$D$5:$D$2917,0)-1,6)="スリット"),SUMIF('S5'!$D$5:$D$2917,$A526,'S5'!$T$5:$T$2917),""),"")</f>
        <v/>
      </c>
    </row>
    <row r="527" spans="1:28" s="144" customFormat="1" ht="13.5" x14ac:dyDescent="0.15">
      <c r="A527" s="296">
        <v>3723642</v>
      </c>
      <c r="B527" s="296" t="s">
        <v>351</v>
      </c>
      <c r="C527" s="296" t="s">
        <v>352</v>
      </c>
      <c r="D527" s="296" t="s">
        <v>353</v>
      </c>
      <c r="E527" s="296" t="s">
        <v>116</v>
      </c>
      <c r="F527" s="296" t="s">
        <v>158</v>
      </c>
      <c r="G527" s="296" t="s">
        <v>19</v>
      </c>
      <c r="H527" s="296" t="s">
        <v>20</v>
      </c>
      <c r="I527" s="296" t="s">
        <v>165</v>
      </c>
      <c r="J527" s="296"/>
      <c r="K527" s="296" t="s">
        <v>195</v>
      </c>
      <c r="L527" s="296">
        <v>50</v>
      </c>
      <c r="M527" s="296" t="s">
        <v>196</v>
      </c>
      <c r="N527" s="297">
        <v>1005</v>
      </c>
      <c r="O527" s="297">
        <v>1000</v>
      </c>
      <c r="P527" s="297">
        <v>4100</v>
      </c>
      <c r="Q527" s="296">
        <v>2</v>
      </c>
      <c r="R527" s="296">
        <v>3</v>
      </c>
      <c r="S527" s="296" t="s">
        <v>354</v>
      </c>
      <c r="T527" s="298">
        <v>45159</v>
      </c>
      <c r="U527" s="298">
        <v>45191</v>
      </c>
      <c r="V527" s="296" t="s">
        <v>355</v>
      </c>
      <c r="W527" s="296"/>
      <c r="X527" s="296"/>
      <c r="Y527" s="146"/>
      <c r="Z527" s="149" t="str">
        <f t="shared" ca="1" si="8"/>
        <v/>
      </c>
      <c r="AA527" s="149" t="str">
        <f ca="1">IFERROR(IF(OR(OFFSET('S4'!#REF!,MATCH($A527,'S4'!$D$5:$D$3387,0)-1,6)="巻返し",OFFSET('S4'!#REF!,MATCH($A527,'S4'!$D$5:$D$3387,0)-1,6)="スリット"),SUMIF('S4'!$D$5:$D$3387,$A527,'S4'!$U$5:$U$3387),""),"")</f>
        <v/>
      </c>
      <c r="AB527" s="149" t="str">
        <f ca="1">IFERROR(IF(OR(OFFSET('S5'!#REF!,MATCH($A527,'S5'!$D$5:$D$2917,0)-1,6)="巻返し",OFFSET('S5'!#REF!,MATCH($A527,'S5'!$D$5:$D$2917,0)-1,6)="スリット"),SUMIF('S5'!$D$5:$D$2917,$A527,'S5'!$T$5:$T$2917),""),"")</f>
        <v/>
      </c>
    </row>
    <row r="528" spans="1:28" s="144" customFormat="1" ht="13.5" x14ac:dyDescent="0.15">
      <c r="A528" s="296">
        <v>3723643</v>
      </c>
      <c r="B528" s="296" t="s">
        <v>351</v>
      </c>
      <c r="C528" s="296" t="s">
        <v>352</v>
      </c>
      <c r="D528" s="296" t="s">
        <v>353</v>
      </c>
      <c r="E528" s="296" t="s">
        <v>116</v>
      </c>
      <c r="F528" s="296">
        <v>3</v>
      </c>
      <c r="G528" s="296" t="s">
        <v>19</v>
      </c>
      <c r="H528" s="296" t="s">
        <v>20</v>
      </c>
      <c r="I528" s="296" t="s">
        <v>205</v>
      </c>
      <c r="J528" s="296"/>
      <c r="K528" s="296" t="s">
        <v>221</v>
      </c>
      <c r="L528" s="296">
        <v>25</v>
      </c>
      <c r="M528" s="296" t="s">
        <v>222</v>
      </c>
      <c r="N528" s="297">
        <v>1000</v>
      </c>
      <c r="O528" s="297">
        <v>1000</v>
      </c>
      <c r="P528" s="297">
        <v>6000</v>
      </c>
      <c r="Q528" s="296">
        <v>2</v>
      </c>
      <c r="R528" s="296">
        <v>6</v>
      </c>
      <c r="S528" s="296" t="s">
        <v>354</v>
      </c>
      <c r="T528" s="298">
        <v>45159</v>
      </c>
      <c r="U528" s="298">
        <v>45191</v>
      </c>
      <c r="V528" s="296" t="s">
        <v>355</v>
      </c>
      <c r="W528" s="296"/>
      <c r="X528" s="296"/>
      <c r="Y528" s="146"/>
      <c r="Z528" s="149" t="str">
        <f t="shared" ca="1" si="8"/>
        <v/>
      </c>
      <c r="AA528" s="149" t="str">
        <f ca="1">IFERROR(IF(OR(OFFSET('S4'!#REF!,MATCH($A528,'S4'!$D$5:$D$3387,0)-1,6)="巻返し",OFFSET('S4'!#REF!,MATCH($A528,'S4'!$D$5:$D$3387,0)-1,6)="スリット"),SUMIF('S4'!$D$5:$D$3387,$A528,'S4'!$U$5:$U$3387),""),"")</f>
        <v/>
      </c>
      <c r="AB528" s="149" t="str">
        <f ca="1">IFERROR(IF(OR(OFFSET('S5'!#REF!,MATCH($A528,'S5'!$D$5:$D$2917,0)-1,6)="巻返し",OFFSET('S5'!#REF!,MATCH($A528,'S5'!$D$5:$D$2917,0)-1,6)="スリット"),SUMIF('S5'!$D$5:$D$2917,$A528,'S5'!$T$5:$T$2917),""),"")</f>
        <v/>
      </c>
    </row>
    <row r="529" spans="1:28" s="144" customFormat="1" ht="13.5" x14ac:dyDescent="0.15">
      <c r="A529" s="296">
        <v>3723644</v>
      </c>
      <c r="B529" s="296" t="s">
        <v>351</v>
      </c>
      <c r="C529" s="296" t="s">
        <v>352</v>
      </c>
      <c r="D529" s="296" t="s">
        <v>353</v>
      </c>
      <c r="E529" s="296" t="s">
        <v>116</v>
      </c>
      <c r="F529" s="296">
        <v>3</v>
      </c>
      <c r="G529" s="296" t="s">
        <v>19</v>
      </c>
      <c r="H529" s="296" t="s">
        <v>20</v>
      </c>
      <c r="I529" s="296" t="s">
        <v>205</v>
      </c>
      <c r="J529" s="296"/>
      <c r="K529" s="296" t="s">
        <v>221</v>
      </c>
      <c r="L529" s="296">
        <v>25</v>
      </c>
      <c r="M529" s="296" t="s">
        <v>222</v>
      </c>
      <c r="N529" s="297">
        <v>1100</v>
      </c>
      <c r="O529" s="297">
        <v>1100</v>
      </c>
      <c r="P529" s="297">
        <v>6000</v>
      </c>
      <c r="Q529" s="296">
        <v>2</v>
      </c>
      <c r="R529" s="296">
        <v>6</v>
      </c>
      <c r="S529" s="296" t="s">
        <v>354</v>
      </c>
      <c r="T529" s="298">
        <v>45159</v>
      </c>
      <c r="U529" s="298">
        <v>45191</v>
      </c>
      <c r="V529" s="296" t="s">
        <v>355</v>
      </c>
      <c r="W529" s="296"/>
      <c r="X529" s="296"/>
      <c r="Y529" s="146"/>
      <c r="Z529" s="149" t="str">
        <f t="shared" ca="1" si="8"/>
        <v/>
      </c>
      <c r="AA529" s="149" t="str">
        <f ca="1">IFERROR(IF(OR(OFFSET('S4'!#REF!,MATCH($A529,'S4'!$D$5:$D$3387,0)-1,6)="巻返し",OFFSET('S4'!#REF!,MATCH($A529,'S4'!$D$5:$D$3387,0)-1,6)="スリット"),SUMIF('S4'!$D$5:$D$3387,$A529,'S4'!$U$5:$U$3387),""),"")</f>
        <v/>
      </c>
      <c r="AB529" s="149" t="str">
        <f ca="1">IFERROR(IF(OR(OFFSET('S5'!#REF!,MATCH($A529,'S5'!$D$5:$D$2917,0)-1,6)="巻返し",OFFSET('S5'!#REF!,MATCH($A529,'S5'!$D$5:$D$2917,0)-1,6)="スリット"),SUMIF('S5'!$D$5:$D$2917,$A529,'S5'!$T$5:$T$2917),""),"")</f>
        <v/>
      </c>
    </row>
    <row r="530" spans="1:28" s="144" customFormat="1" ht="13.5" x14ac:dyDescent="0.15">
      <c r="A530" s="296">
        <v>3723645</v>
      </c>
      <c r="B530" s="296" t="s">
        <v>351</v>
      </c>
      <c r="C530" s="296" t="s">
        <v>352</v>
      </c>
      <c r="D530" s="296" t="s">
        <v>353</v>
      </c>
      <c r="E530" s="296" t="s">
        <v>116</v>
      </c>
      <c r="F530" s="296">
        <v>3</v>
      </c>
      <c r="G530" s="296" t="s">
        <v>19</v>
      </c>
      <c r="H530" s="296" t="s">
        <v>20</v>
      </c>
      <c r="I530" s="296" t="s">
        <v>165</v>
      </c>
      <c r="J530" s="296"/>
      <c r="K530" s="296" t="s">
        <v>176</v>
      </c>
      <c r="L530" s="296">
        <v>50</v>
      </c>
      <c r="M530" s="296" t="s">
        <v>177</v>
      </c>
      <c r="N530" s="297">
        <v>1005</v>
      </c>
      <c r="O530" s="297">
        <v>1000</v>
      </c>
      <c r="P530" s="297">
        <v>4100</v>
      </c>
      <c r="Q530" s="296">
        <v>2</v>
      </c>
      <c r="R530" s="296">
        <v>1</v>
      </c>
      <c r="S530" s="296" t="s">
        <v>354</v>
      </c>
      <c r="T530" s="298">
        <v>45159</v>
      </c>
      <c r="U530" s="298">
        <v>45191</v>
      </c>
      <c r="V530" s="296" t="s">
        <v>355</v>
      </c>
      <c r="W530" s="296"/>
      <c r="X530" s="296"/>
      <c r="Y530" s="146"/>
      <c r="Z530" s="149" t="str">
        <f t="shared" ca="1" si="8"/>
        <v/>
      </c>
      <c r="AA530" s="149" t="str">
        <f ca="1">IFERROR(IF(OR(OFFSET('S4'!#REF!,MATCH($A530,'S4'!$D$5:$D$3387,0)-1,6)="巻返し",OFFSET('S4'!#REF!,MATCH($A530,'S4'!$D$5:$D$3387,0)-1,6)="スリット"),SUMIF('S4'!$D$5:$D$3387,$A530,'S4'!$U$5:$U$3387),""),"")</f>
        <v/>
      </c>
      <c r="AB530" s="149" t="str">
        <f ca="1">IFERROR(IF(OR(OFFSET('S5'!#REF!,MATCH($A530,'S5'!$D$5:$D$2917,0)-1,6)="巻返し",OFFSET('S5'!#REF!,MATCH($A530,'S5'!$D$5:$D$2917,0)-1,6)="スリット"),SUMIF('S5'!$D$5:$D$2917,$A530,'S5'!$T$5:$T$2917),""),"")</f>
        <v/>
      </c>
    </row>
    <row r="531" spans="1:28" s="144" customFormat="1" ht="13.5" x14ac:dyDescent="0.15">
      <c r="A531" s="296">
        <v>3723646</v>
      </c>
      <c r="B531" s="296" t="s">
        <v>351</v>
      </c>
      <c r="C531" s="296" t="s">
        <v>352</v>
      </c>
      <c r="D531" s="296" t="s">
        <v>353</v>
      </c>
      <c r="E531" s="296" t="s">
        <v>116</v>
      </c>
      <c r="F531" s="296">
        <v>3</v>
      </c>
      <c r="G531" s="296" t="s">
        <v>19</v>
      </c>
      <c r="H531" s="296" t="s">
        <v>28</v>
      </c>
      <c r="I531" s="296" t="s">
        <v>205</v>
      </c>
      <c r="J531" s="296"/>
      <c r="K531" s="296" t="s">
        <v>235</v>
      </c>
      <c r="L531" s="296">
        <v>25</v>
      </c>
      <c r="M531" s="296" t="s">
        <v>236</v>
      </c>
      <c r="N531" s="297">
        <v>1120</v>
      </c>
      <c r="O531" s="297">
        <v>1120</v>
      </c>
      <c r="P531" s="297">
        <v>8000</v>
      </c>
      <c r="Q531" s="296">
        <v>2</v>
      </c>
      <c r="R531" s="296">
        <v>1</v>
      </c>
      <c r="S531" s="296" t="s">
        <v>354</v>
      </c>
      <c r="T531" s="298">
        <v>45159</v>
      </c>
      <c r="U531" s="298">
        <v>45194</v>
      </c>
      <c r="V531" s="296" t="s">
        <v>355</v>
      </c>
      <c r="W531" s="296"/>
      <c r="X531" s="296"/>
      <c r="Y531" s="146"/>
      <c r="Z531" s="149" t="str">
        <f t="shared" ca="1" si="8"/>
        <v/>
      </c>
      <c r="AA531" s="149" t="str">
        <f ca="1">IFERROR(IF(OR(OFFSET('S4'!#REF!,MATCH($A531,'S4'!$D$5:$D$3387,0)-1,6)="巻返し",OFFSET('S4'!#REF!,MATCH($A531,'S4'!$D$5:$D$3387,0)-1,6)="スリット"),SUMIF('S4'!$D$5:$D$3387,$A531,'S4'!$U$5:$U$3387),""),"")</f>
        <v/>
      </c>
      <c r="AB531" s="149" t="str">
        <f ca="1">IFERROR(IF(OR(OFFSET('S5'!#REF!,MATCH($A531,'S5'!$D$5:$D$2917,0)-1,6)="巻返し",OFFSET('S5'!#REF!,MATCH($A531,'S5'!$D$5:$D$2917,0)-1,6)="スリット"),SUMIF('S5'!$D$5:$D$2917,$A531,'S5'!$T$5:$T$2917),""),"")</f>
        <v/>
      </c>
    </row>
    <row r="532" spans="1:28" s="144" customFormat="1" ht="13.5" x14ac:dyDescent="0.15">
      <c r="A532" s="296">
        <v>3723647</v>
      </c>
      <c r="B532" s="296" t="s">
        <v>351</v>
      </c>
      <c r="C532" s="296" t="s">
        <v>352</v>
      </c>
      <c r="D532" s="296" t="s">
        <v>353</v>
      </c>
      <c r="E532" s="296" t="s">
        <v>116</v>
      </c>
      <c r="F532" s="296">
        <v>3</v>
      </c>
      <c r="G532" s="296" t="s">
        <v>19</v>
      </c>
      <c r="H532" s="296" t="s">
        <v>28</v>
      </c>
      <c r="I532" s="296" t="s">
        <v>205</v>
      </c>
      <c r="J532" s="296"/>
      <c r="K532" s="296" t="s">
        <v>224</v>
      </c>
      <c r="L532" s="296">
        <v>50</v>
      </c>
      <c r="M532" s="296" t="s">
        <v>225</v>
      </c>
      <c r="N532" s="297">
        <v>1120</v>
      </c>
      <c r="O532" s="297">
        <v>1120</v>
      </c>
      <c r="P532" s="297">
        <v>5000</v>
      </c>
      <c r="Q532" s="296">
        <v>2</v>
      </c>
      <c r="R532" s="296">
        <v>2</v>
      </c>
      <c r="S532" s="296" t="s">
        <v>354</v>
      </c>
      <c r="T532" s="298">
        <v>45159</v>
      </c>
      <c r="U532" s="298">
        <v>45191</v>
      </c>
      <c r="V532" s="296" t="s">
        <v>355</v>
      </c>
      <c r="W532" s="296"/>
      <c r="X532" s="296"/>
      <c r="Y532" s="146"/>
      <c r="Z532" s="149" t="str">
        <f t="shared" ca="1" si="8"/>
        <v/>
      </c>
      <c r="AA532" s="149" t="str">
        <f ca="1">IFERROR(IF(OR(OFFSET('S4'!#REF!,MATCH($A532,'S4'!$D$5:$D$3387,0)-1,6)="巻返し",OFFSET('S4'!#REF!,MATCH($A532,'S4'!$D$5:$D$3387,0)-1,6)="スリット"),SUMIF('S4'!$D$5:$D$3387,$A532,'S4'!$U$5:$U$3387),""),"")</f>
        <v/>
      </c>
      <c r="AB532" s="149" t="str">
        <f ca="1">IFERROR(IF(OR(OFFSET('S5'!#REF!,MATCH($A532,'S5'!$D$5:$D$2917,0)-1,6)="巻返し",OFFSET('S5'!#REF!,MATCH($A532,'S5'!$D$5:$D$2917,0)-1,6)="スリット"),SUMIF('S5'!$D$5:$D$2917,$A532,'S5'!$T$5:$T$2917),""),"")</f>
        <v/>
      </c>
    </row>
    <row r="533" spans="1:28" s="144" customFormat="1" ht="13.5" x14ac:dyDescent="0.15">
      <c r="A533" s="296">
        <v>3723648</v>
      </c>
      <c r="B533" s="296" t="s">
        <v>351</v>
      </c>
      <c r="C533" s="296" t="s">
        <v>352</v>
      </c>
      <c r="D533" s="296" t="s">
        <v>353</v>
      </c>
      <c r="E533" s="296" t="s">
        <v>116</v>
      </c>
      <c r="F533" s="296">
        <v>3</v>
      </c>
      <c r="G533" s="296" t="s">
        <v>19</v>
      </c>
      <c r="H533" s="296" t="s">
        <v>28</v>
      </c>
      <c r="I533" s="296" t="s">
        <v>205</v>
      </c>
      <c r="J533" s="296"/>
      <c r="K533" s="296" t="s">
        <v>233</v>
      </c>
      <c r="L533" s="296">
        <v>50</v>
      </c>
      <c r="M533" s="296" t="s">
        <v>234</v>
      </c>
      <c r="N533" s="297">
        <v>1120</v>
      </c>
      <c r="O533" s="297">
        <v>1120</v>
      </c>
      <c r="P533" s="297">
        <v>4000</v>
      </c>
      <c r="Q533" s="296">
        <v>2</v>
      </c>
      <c r="R533" s="296">
        <v>4</v>
      </c>
      <c r="S533" s="296" t="s">
        <v>354</v>
      </c>
      <c r="T533" s="298">
        <v>45159</v>
      </c>
      <c r="U533" s="298">
        <v>45191</v>
      </c>
      <c r="V533" s="296" t="s">
        <v>355</v>
      </c>
      <c r="W533" s="296"/>
      <c r="X533" s="296"/>
      <c r="Y533" s="146"/>
      <c r="Z533" s="149" t="str">
        <f t="shared" ca="1" si="8"/>
        <v/>
      </c>
      <c r="AA533" s="149" t="str">
        <f ca="1">IFERROR(IF(OR(OFFSET('S4'!#REF!,MATCH($A533,'S4'!$D$5:$D$3387,0)-1,6)="巻返し",OFFSET('S4'!#REF!,MATCH($A533,'S4'!$D$5:$D$3387,0)-1,6)="スリット"),SUMIF('S4'!$D$5:$D$3387,$A533,'S4'!$U$5:$U$3387),""),"")</f>
        <v/>
      </c>
      <c r="AB533" s="149" t="str">
        <f ca="1">IFERROR(IF(OR(OFFSET('S5'!#REF!,MATCH($A533,'S5'!$D$5:$D$2917,0)-1,6)="巻返し",OFFSET('S5'!#REF!,MATCH($A533,'S5'!$D$5:$D$2917,0)-1,6)="スリット"),SUMIF('S5'!$D$5:$D$2917,$A533,'S5'!$T$5:$T$2917),""),"")</f>
        <v/>
      </c>
    </row>
    <row r="534" spans="1:28" s="144" customFormat="1" ht="13.5" x14ac:dyDescent="0.15">
      <c r="A534" s="296">
        <v>3723649</v>
      </c>
      <c r="B534" s="296" t="s">
        <v>351</v>
      </c>
      <c r="C534" s="296" t="s">
        <v>352</v>
      </c>
      <c r="D534" s="296" t="s">
        <v>353</v>
      </c>
      <c r="E534" s="296" t="s">
        <v>116</v>
      </c>
      <c r="F534" s="296">
        <v>3</v>
      </c>
      <c r="G534" s="296" t="s">
        <v>19</v>
      </c>
      <c r="H534" s="296" t="s">
        <v>28</v>
      </c>
      <c r="I534" s="296" t="s">
        <v>205</v>
      </c>
      <c r="J534" s="296"/>
      <c r="K534" s="296" t="s">
        <v>233</v>
      </c>
      <c r="L534" s="296">
        <v>50</v>
      </c>
      <c r="M534" s="296" t="s">
        <v>234</v>
      </c>
      <c r="N534" s="297">
        <v>1120</v>
      </c>
      <c r="O534" s="297">
        <v>1120</v>
      </c>
      <c r="P534" s="297">
        <v>4000</v>
      </c>
      <c r="Q534" s="296">
        <v>2</v>
      </c>
      <c r="R534" s="296">
        <v>4</v>
      </c>
      <c r="S534" s="296" t="s">
        <v>354</v>
      </c>
      <c r="T534" s="298">
        <v>45159</v>
      </c>
      <c r="U534" s="298">
        <v>45205</v>
      </c>
      <c r="V534" s="296" t="s">
        <v>355</v>
      </c>
      <c r="W534" s="296"/>
      <c r="X534" s="296"/>
      <c r="Y534" s="146"/>
      <c r="Z534" s="149" t="str">
        <f t="shared" ca="1" si="8"/>
        <v/>
      </c>
      <c r="AA534" s="149" t="str">
        <f ca="1">IFERROR(IF(OR(OFFSET('S4'!#REF!,MATCH($A534,'S4'!$D$5:$D$3387,0)-1,6)="巻返し",OFFSET('S4'!#REF!,MATCH($A534,'S4'!$D$5:$D$3387,0)-1,6)="スリット"),SUMIF('S4'!$D$5:$D$3387,$A534,'S4'!$U$5:$U$3387),""),"")</f>
        <v/>
      </c>
      <c r="AB534" s="149" t="str">
        <f ca="1">IFERROR(IF(OR(OFFSET('S5'!#REF!,MATCH($A534,'S5'!$D$5:$D$2917,0)-1,6)="巻返し",OFFSET('S5'!#REF!,MATCH($A534,'S5'!$D$5:$D$2917,0)-1,6)="スリット"),SUMIF('S5'!$D$5:$D$2917,$A534,'S5'!$T$5:$T$2917),""),"")</f>
        <v/>
      </c>
    </row>
    <row r="535" spans="1:28" s="144" customFormat="1" ht="13.5" x14ac:dyDescent="0.15">
      <c r="A535" s="296">
        <v>3723650</v>
      </c>
      <c r="B535" s="296" t="s">
        <v>351</v>
      </c>
      <c r="C535" s="296" t="s">
        <v>352</v>
      </c>
      <c r="D535" s="296" t="s">
        <v>353</v>
      </c>
      <c r="E535" s="296" t="s">
        <v>116</v>
      </c>
      <c r="F535" s="296">
        <v>3</v>
      </c>
      <c r="G535" s="296" t="s">
        <v>19</v>
      </c>
      <c r="H535" s="296" t="s">
        <v>28</v>
      </c>
      <c r="I535" s="296" t="s">
        <v>205</v>
      </c>
      <c r="J535" s="296"/>
      <c r="K535" s="296" t="s">
        <v>224</v>
      </c>
      <c r="L535" s="296">
        <v>50</v>
      </c>
      <c r="M535" s="296" t="s">
        <v>225</v>
      </c>
      <c r="N535" s="297">
        <v>1120</v>
      </c>
      <c r="O535" s="297">
        <v>1120</v>
      </c>
      <c r="P535" s="297">
        <v>5000</v>
      </c>
      <c r="Q535" s="296">
        <v>2</v>
      </c>
      <c r="R535" s="296">
        <v>2</v>
      </c>
      <c r="S535" s="296" t="s">
        <v>354</v>
      </c>
      <c r="T535" s="298">
        <v>45159</v>
      </c>
      <c r="U535" s="298">
        <v>45191</v>
      </c>
      <c r="V535" s="296" t="s">
        <v>355</v>
      </c>
      <c r="W535" s="296"/>
      <c r="X535" s="296"/>
      <c r="Y535" s="146"/>
      <c r="Z535" s="149" t="str">
        <f t="shared" ca="1" si="8"/>
        <v/>
      </c>
      <c r="AA535" s="149" t="str">
        <f ca="1">IFERROR(IF(OR(OFFSET('S4'!#REF!,MATCH($A535,'S4'!$D$5:$D$3387,0)-1,6)="巻返し",OFFSET('S4'!#REF!,MATCH($A535,'S4'!$D$5:$D$3387,0)-1,6)="スリット"),SUMIF('S4'!$D$5:$D$3387,$A535,'S4'!$U$5:$U$3387),""),"")</f>
        <v/>
      </c>
      <c r="AB535" s="149" t="str">
        <f ca="1">IFERROR(IF(OR(OFFSET('S5'!#REF!,MATCH($A535,'S5'!$D$5:$D$2917,0)-1,6)="巻返し",OFFSET('S5'!#REF!,MATCH($A535,'S5'!$D$5:$D$2917,0)-1,6)="スリット"),SUMIF('S5'!$D$5:$D$2917,$A535,'S5'!$T$5:$T$2917),""),"")</f>
        <v/>
      </c>
    </row>
    <row r="536" spans="1:28" s="144" customFormat="1" ht="13.5" x14ac:dyDescent="0.15">
      <c r="A536" s="296">
        <v>3724503</v>
      </c>
      <c r="B536" s="296" t="s">
        <v>351</v>
      </c>
      <c r="C536" s="296" t="s">
        <v>352</v>
      </c>
      <c r="D536" s="296" t="s">
        <v>353</v>
      </c>
      <c r="E536" s="296" t="s">
        <v>116</v>
      </c>
      <c r="F536" s="296">
        <v>3</v>
      </c>
      <c r="G536" s="296" t="s">
        <v>19</v>
      </c>
      <c r="H536" s="296" t="s">
        <v>20</v>
      </c>
      <c r="I536" s="296" t="s">
        <v>165</v>
      </c>
      <c r="J536" s="296"/>
      <c r="K536" s="296" t="s">
        <v>245</v>
      </c>
      <c r="L536" s="296">
        <v>16</v>
      </c>
      <c r="M536" s="296" t="s">
        <v>366</v>
      </c>
      <c r="N536" s="297">
        <v>1000</v>
      </c>
      <c r="O536" s="297">
        <v>1000</v>
      </c>
      <c r="P536" s="297">
        <v>3200</v>
      </c>
      <c r="Q536" s="296">
        <v>2</v>
      </c>
      <c r="R536" s="296">
        <v>1</v>
      </c>
      <c r="S536" s="296" t="s">
        <v>354</v>
      </c>
      <c r="T536" s="298">
        <v>45161</v>
      </c>
      <c r="U536" s="298">
        <v>45191</v>
      </c>
      <c r="V536" s="296" t="s">
        <v>355</v>
      </c>
      <c r="W536" s="296"/>
      <c r="X536" s="296"/>
      <c r="Y536" s="146"/>
      <c r="Z536" s="149" t="str">
        <f t="shared" ca="1" si="8"/>
        <v/>
      </c>
      <c r="AA536" s="149" t="str">
        <f ca="1">IFERROR(IF(OR(OFFSET('S4'!#REF!,MATCH($A536,'S4'!$D$5:$D$3387,0)-1,6)="巻返し",OFFSET('S4'!#REF!,MATCH($A536,'S4'!$D$5:$D$3387,0)-1,6)="スリット"),SUMIF('S4'!$D$5:$D$3387,$A536,'S4'!$U$5:$U$3387),""),"")</f>
        <v/>
      </c>
      <c r="AB536" s="149" t="str">
        <f ca="1">IFERROR(IF(OR(OFFSET('S5'!#REF!,MATCH($A536,'S5'!$D$5:$D$2917,0)-1,6)="巻返し",OFFSET('S5'!#REF!,MATCH($A536,'S5'!$D$5:$D$2917,0)-1,6)="スリット"),SUMIF('S5'!$D$5:$D$2917,$A536,'S5'!$T$5:$T$2917),""),"")</f>
        <v/>
      </c>
    </row>
    <row r="537" spans="1:28" s="144" customFormat="1" ht="13.5" x14ac:dyDescent="0.15">
      <c r="A537" s="296">
        <v>3724504</v>
      </c>
      <c r="B537" s="296" t="s">
        <v>423</v>
      </c>
      <c r="C537" s="296" t="s">
        <v>352</v>
      </c>
      <c r="D537" s="296" t="s">
        <v>353</v>
      </c>
      <c r="E537" s="296" t="s">
        <v>116</v>
      </c>
      <c r="F537" s="296">
        <v>3</v>
      </c>
      <c r="G537" s="296" t="s">
        <v>265</v>
      </c>
      <c r="H537" s="296" t="s">
        <v>20</v>
      </c>
      <c r="I537" s="296" t="s">
        <v>165</v>
      </c>
      <c r="J537" s="296"/>
      <c r="K537" s="296" t="s">
        <v>172</v>
      </c>
      <c r="L537" s="296">
        <v>50</v>
      </c>
      <c r="M537" s="296" t="s">
        <v>173</v>
      </c>
      <c r="N537" s="297">
        <v>1005</v>
      </c>
      <c r="O537" s="297">
        <v>1000</v>
      </c>
      <c r="P537" s="297">
        <v>2000</v>
      </c>
      <c r="Q537" s="296">
        <v>2</v>
      </c>
      <c r="R537" s="296">
        <v>4</v>
      </c>
      <c r="S537" s="296" t="s">
        <v>354</v>
      </c>
      <c r="T537" s="298">
        <v>45161</v>
      </c>
      <c r="U537" s="298">
        <v>45191</v>
      </c>
      <c r="V537" s="296" t="s">
        <v>355</v>
      </c>
      <c r="W537" s="296"/>
      <c r="X537" s="296"/>
      <c r="Y537" s="146"/>
      <c r="Z537" s="149" t="str">
        <f t="shared" ca="1" si="8"/>
        <v/>
      </c>
      <c r="AA537" s="149" t="str">
        <f ca="1">IFERROR(IF(OR(OFFSET('S4'!#REF!,MATCH($A537,'S4'!$D$5:$D$3387,0)-1,6)="巻返し",OFFSET('S4'!#REF!,MATCH($A537,'S4'!$D$5:$D$3387,0)-1,6)="スリット"),SUMIF('S4'!$D$5:$D$3387,$A537,'S4'!$U$5:$U$3387),""),"")</f>
        <v/>
      </c>
      <c r="AB537" s="149" t="str">
        <f ca="1">IFERROR(IF(OR(OFFSET('S5'!#REF!,MATCH($A537,'S5'!$D$5:$D$2917,0)-1,6)="巻返し",OFFSET('S5'!#REF!,MATCH($A537,'S5'!$D$5:$D$2917,0)-1,6)="スリット"),SUMIF('S5'!$D$5:$D$2917,$A537,'S5'!$T$5:$T$2917),""),"")</f>
        <v/>
      </c>
    </row>
    <row r="538" spans="1:28" s="144" customFormat="1" ht="13.5" x14ac:dyDescent="0.15">
      <c r="A538" s="296">
        <v>3724505</v>
      </c>
      <c r="B538" s="296" t="s">
        <v>423</v>
      </c>
      <c r="C538" s="296" t="s">
        <v>352</v>
      </c>
      <c r="D538" s="296" t="s">
        <v>353</v>
      </c>
      <c r="E538" s="296" t="s">
        <v>116</v>
      </c>
      <c r="F538" s="296">
        <v>3</v>
      </c>
      <c r="G538" s="296" t="s">
        <v>265</v>
      </c>
      <c r="H538" s="296" t="s">
        <v>20</v>
      </c>
      <c r="I538" s="296" t="s">
        <v>165</v>
      </c>
      <c r="J538" s="296"/>
      <c r="K538" s="296" t="s">
        <v>176</v>
      </c>
      <c r="L538" s="296">
        <v>50</v>
      </c>
      <c r="M538" s="296" t="s">
        <v>177</v>
      </c>
      <c r="N538" s="297">
        <v>1005</v>
      </c>
      <c r="O538" s="297">
        <v>1000</v>
      </c>
      <c r="P538" s="297">
        <v>4000</v>
      </c>
      <c r="Q538" s="296">
        <v>2</v>
      </c>
      <c r="R538" s="296">
        <v>5</v>
      </c>
      <c r="S538" s="296" t="s">
        <v>354</v>
      </c>
      <c r="T538" s="298">
        <v>45161</v>
      </c>
      <c r="U538" s="298">
        <v>45191</v>
      </c>
      <c r="V538" s="296" t="s">
        <v>355</v>
      </c>
      <c r="W538" s="296"/>
      <c r="X538" s="296"/>
      <c r="Y538" s="146"/>
      <c r="Z538" s="149" t="str">
        <f t="shared" ca="1" si="8"/>
        <v/>
      </c>
      <c r="AA538" s="149" t="str">
        <f ca="1">IFERROR(IF(OR(OFFSET('S4'!#REF!,MATCH($A538,'S4'!$D$5:$D$3387,0)-1,6)="巻返し",OFFSET('S4'!#REF!,MATCH($A538,'S4'!$D$5:$D$3387,0)-1,6)="スリット"),SUMIF('S4'!$D$5:$D$3387,$A538,'S4'!$U$5:$U$3387),""),"")</f>
        <v/>
      </c>
      <c r="AB538" s="149" t="str">
        <f ca="1">IFERROR(IF(OR(OFFSET('S5'!#REF!,MATCH($A538,'S5'!$D$5:$D$2917,0)-1,6)="巻返し",OFFSET('S5'!#REF!,MATCH($A538,'S5'!$D$5:$D$2917,0)-1,6)="スリット"),SUMIF('S5'!$D$5:$D$2917,$A538,'S5'!$T$5:$T$2917),""),"")</f>
        <v/>
      </c>
    </row>
    <row r="539" spans="1:28" s="144" customFormat="1" ht="13.5" x14ac:dyDescent="0.15">
      <c r="A539" s="296">
        <v>3725012</v>
      </c>
      <c r="B539" s="296" t="s">
        <v>351</v>
      </c>
      <c r="C539" s="296" t="s">
        <v>352</v>
      </c>
      <c r="D539" s="296" t="s">
        <v>353</v>
      </c>
      <c r="E539" s="296" t="s">
        <v>116</v>
      </c>
      <c r="F539" s="296">
        <v>3</v>
      </c>
      <c r="G539" s="296" t="s">
        <v>19</v>
      </c>
      <c r="H539" s="296" t="s">
        <v>20</v>
      </c>
      <c r="I539" s="296" t="s">
        <v>205</v>
      </c>
      <c r="J539" s="296"/>
      <c r="K539" s="296" t="s">
        <v>212</v>
      </c>
      <c r="L539" s="296">
        <v>25</v>
      </c>
      <c r="M539" s="296" t="s">
        <v>213</v>
      </c>
      <c r="N539" s="297">
        <v>1120</v>
      </c>
      <c r="O539" s="297">
        <v>1120</v>
      </c>
      <c r="P539" s="297">
        <v>4000</v>
      </c>
      <c r="Q539" s="296">
        <v>2</v>
      </c>
      <c r="R539" s="296">
        <v>7</v>
      </c>
      <c r="S539" s="296" t="s">
        <v>354</v>
      </c>
      <c r="T539" s="298">
        <v>45167</v>
      </c>
      <c r="U539" s="298">
        <v>45224</v>
      </c>
      <c r="V539" s="296" t="s">
        <v>355</v>
      </c>
      <c r="W539" s="296"/>
      <c r="X539" s="296"/>
      <c r="Y539" s="146"/>
      <c r="Z539" s="149" t="str">
        <f t="shared" ca="1" si="8"/>
        <v/>
      </c>
      <c r="AA539" s="149" t="str">
        <f ca="1">IFERROR(IF(OR(OFFSET('S4'!#REF!,MATCH($A539,'S4'!$D$5:$D$3387,0)-1,6)="巻返し",OFFSET('S4'!#REF!,MATCH($A539,'S4'!$D$5:$D$3387,0)-1,6)="スリット"),SUMIF('S4'!$D$5:$D$3387,$A539,'S4'!$U$5:$U$3387),""),"")</f>
        <v/>
      </c>
      <c r="AB539" s="149" t="str">
        <f ca="1">IFERROR(IF(OR(OFFSET('S5'!#REF!,MATCH($A539,'S5'!$D$5:$D$2917,0)-1,6)="巻返し",OFFSET('S5'!#REF!,MATCH($A539,'S5'!$D$5:$D$2917,0)-1,6)="スリット"),SUMIF('S5'!$D$5:$D$2917,$A539,'S5'!$T$5:$T$2917),""),"")</f>
        <v/>
      </c>
    </row>
    <row r="540" spans="1:28" s="144" customFormat="1" ht="13.5" x14ac:dyDescent="0.15">
      <c r="A540" s="296">
        <v>3725013</v>
      </c>
      <c r="B540" s="296" t="s">
        <v>351</v>
      </c>
      <c r="C540" s="296" t="s">
        <v>352</v>
      </c>
      <c r="D540" s="296" t="s">
        <v>353</v>
      </c>
      <c r="E540" s="296" t="s">
        <v>116</v>
      </c>
      <c r="F540" s="296">
        <v>3</v>
      </c>
      <c r="G540" s="296" t="s">
        <v>19</v>
      </c>
      <c r="H540" s="296" t="s">
        <v>20</v>
      </c>
      <c r="I540" s="296" t="s">
        <v>205</v>
      </c>
      <c r="J540" s="296"/>
      <c r="K540" s="296" t="s">
        <v>216</v>
      </c>
      <c r="L540" s="296">
        <v>50</v>
      </c>
      <c r="M540" s="296" t="s">
        <v>217</v>
      </c>
      <c r="N540" s="297">
        <v>1120</v>
      </c>
      <c r="O540" s="297">
        <v>1120</v>
      </c>
      <c r="P540" s="297">
        <v>5000</v>
      </c>
      <c r="Q540" s="296">
        <v>2</v>
      </c>
      <c r="R540" s="296">
        <v>28</v>
      </c>
      <c r="S540" s="296" t="s">
        <v>354</v>
      </c>
      <c r="T540" s="298">
        <v>45167</v>
      </c>
      <c r="U540" s="298">
        <v>45224</v>
      </c>
      <c r="V540" s="296" t="s">
        <v>355</v>
      </c>
      <c r="W540" s="296"/>
      <c r="X540" s="296"/>
      <c r="Y540" s="146"/>
      <c r="Z540" s="149" t="str">
        <f t="shared" ca="1" si="8"/>
        <v/>
      </c>
      <c r="AA540" s="149" t="str">
        <f ca="1">IFERROR(IF(OR(OFFSET('S4'!#REF!,MATCH($A540,'S4'!$D$5:$D$3387,0)-1,6)="巻返し",OFFSET('S4'!#REF!,MATCH($A540,'S4'!$D$5:$D$3387,0)-1,6)="スリット"),SUMIF('S4'!$D$5:$D$3387,$A540,'S4'!$U$5:$U$3387),""),"")</f>
        <v/>
      </c>
      <c r="AB540" s="149" t="str">
        <f ca="1">IFERROR(IF(OR(OFFSET('S5'!#REF!,MATCH($A540,'S5'!$D$5:$D$2917,0)-1,6)="巻返し",OFFSET('S5'!#REF!,MATCH($A540,'S5'!$D$5:$D$2917,0)-1,6)="スリット"),SUMIF('S5'!$D$5:$D$2917,$A540,'S5'!$T$5:$T$2917),""),"")</f>
        <v/>
      </c>
    </row>
    <row r="541" spans="1:28" s="144" customFormat="1" ht="13.5" x14ac:dyDescent="0.15">
      <c r="A541" s="296">
        <v>3725014</v>
      </c>
      <c r="B541" s="296" t="s">
        <v>351</v>
      </c>
      <c r="C541" s="296" t="s">
        <v>352</v>
      </c>
      <c r="D541" s="296" t="s">
        <v>353</v>
      </c>
      <c r="E541" s="296" t="s">
        <v>116</v>
      </c>
      <c r="F541" s="296">
        <v>3</v>
      </c>
      <c r="G541" s="296" t="s">
        <v>19</v>
      </c>
      <c r="H541" s="296" t="s">
        <v>20</v>
      </c>
      <c r="I541" s="296" t="s">
        <v>205</v>
      </c>
      <c r="J541" s="296"/>
      <c r="K541" s="296" t="s">
        <v>218</v>
      </c>
      <c r="L541" s="296">
        <v>50</v>
      </c>
      <c r="M541" s="296" t="s">
        <v>219</v>
      </c>
      <c r="N541" s="297">
        <v>1000</v>
      </c>
      <c r="O541" s="297">
        <v>1000</v>
      </c>
      <c r="P541" s="297">
        <v>4000</v>
      </c>
      <c r="Q541" s="296">
        <v>2</v>
      </c>
      <c r="R541" s="296">
        <v>6</v>
      </c>
      <c r="S541" s="296" t="s">
        <v>354</v>
      </c>
      <c r="T541" s="298">
        <v>45167</v>
      </c>
      <c r="U541" s="298">
        <v>45224</v>
      </c>
      <c r="V541" s="296" t="s">
        <v>355</v>
      </c>
      <c r="W541" s="296"/>
      <c r="X541" s="296"/>
      <c r="Y541" s="146"/>
      <c r="Z541" s="149" t="str">
        <f t="shared" ca="1" si="8"/>
        <v/>
      </c>
      <c r="AA541" s="149" t="str">
        <f ca="1">IFERROR(IF(OR(OFFSET('S4'!#REF!,MATCH($A541,'S4'!$D$5:$D$3387,0)-1,6)="巻返し",OFFSET('S4'!#REF!,MATCH($A541,'S4'!$D$5:$D$3387,0)-1,6)="スリット"),SUMIF('S4'!$D$5:$D$3387,$A541,'S4'!$U$5:$U$3387),""),"")</f>
        <v/>
      </c>
      <c r="AB541" s="149" t="str">
        <f ca="1">IFERROR(IF(OR(OFFSET('S5'!#REF!,MATCH($A541,'S5'!$D$5:$D$2917,0)-1,6)="巻返し",OFFSET('S5'!#REF!,MATCH($A541,'S5'!$D$5:$D$2917,0)-1,6)="スリット"),SUMIF('S5'!$D$5:$D$2917,$A541,'S5'!$T$5:$T$2917),""),"")</f>
        <v/>
      </c>
    </row>
    <row r="542" spans="1:28" s="144" customFormat="1" ht="13.5" x14ac:dyDescent="0.15">
      <c r="A542" s="296">
        <v>3725626</v>
      </c>
      <c r="B542" s="296" t="s">
        <v>510</v>
      </c>
      <c r="C542" s="296" t="s">
        <v>364</v>
      </c>
      <c r="D542" s="296" t="s">
        <v>353</v>
      </c>
      <c r="E542" s="296" t="s">
        <v>324</v>
      </c>
      <c r="F542" s="296">
        <v>3</v>
      </c>
      <c r="G542" s="296" t="s">
        <v>269</v>
      </c>
      <c r="H542" s="296" t="s">
        <v>20</v>
      </c>
      <c r="I542" s="296" t="s">
        <v>205</v>
      </c>
      <c r="J542" s="296"/>
      <c r="K542" s="296" t="s">
        <v>325</v>
      </c>
      <c r="L542" s="296">
        <v>9</v>
      </c>
      <c r="M542" s="296" t="s">
        <v>326</v>
      </c>
      <c r="N542" s="297">
        <v>1000</v>
      </c>
      <c r="O542" s="297">
        <v>1000</v>
      </c>
      <c r="P542" s="296">
        <v>500</v>
      </c>
      <c r="Q542" s="296">
        <v>2</v>
      </c>
      <c r="R542" s="296">
        <v>22</v>
      </c>
      <c r="S542" s="296" t="s">
        <v>354</v>
      </c>
      <c r="T542" s="298">
        <v>45169</v>
      </c>
      <c r="U542" s="298">
        <v>45198</v>
      </c>
      <c r="V542" s="296" t="s">
        <v>428</v>
      </c>
      <c r="W542" s="296"/>
      <c r="X542" s="296"/>
      <c r="Y542" s="146"/>
      <c r="Z542" s="149" t="str">
        <f t="shared" ca="1" si="8"/>
        <v/>
      </c>
      <c r="AA542" s="149" t="str">
        <f ca="1">IFERROR(IF(OR(OFFSET('S4'!#REF!,MATCH($A542,'S4'!$D$5:$D$3387,0)-1,6)="巻返し",OFFSET('S4'!#REF!,MATCH($A542,'S4'!$D$5:$D$3387,0)-1,6)="スリット"),SUMIF('S4'!$D$5:$D$3387,$A542,'S4'!$U$5:$U$3387),""),"")</f>
        <v/>
      </c>
      <c r="AB542" s="149" t="str">
        <f ca="1">IFERROR(IF(OR(OFFSET('S5'!#REF!,MATCH($A542,'S5'!$D$5:$D$2917,0)-1,6)="巻返し",OFFSET('S5'!#REF!,MATCH($A542,'S5'!$D$5:$D$2917,0)-1,6)="スリット"),SUMIF('S5'!$D$5:$D$2917,$A542,'S5'!$T$5:$T$2917),""),"")</f>
        <v/>
      </c>
    </row>
    <row r="543" spans="1:28" s="144" customFormat="1" ht="13.5" x14ac:dyDescent="0.15">
      <c r="A543" s="296">
        <v>3725627</v>
      </c>
      <c r="B543" s="296" t="s">
        <v>510</v>
      </c>
      <c r="C543" s="296" t="s">
        <v>364</v>
      </c>
      <c r="D543" s="296" t="s">
        <v>353</v>
      </c>
      <c r="E543" s="296" t="s">
        <v>324</v>
      </c>
      <c r="F543" s="296">
        <v>3</v>
      </c>
      <c r="G543" s="296" t="s">
        <v>269</v>
      </c>
      <c r="H543" s="296" t="s">
        <v>20</v>
      </c>
      <c r="I543" s="296" t="s">
        <v>205</v>
      </c>
      <c r="J543" s="296"/>
      <c r="K543" s="296" t="s">
        <v>325</v>
      </c>
      <c r="L543" s="296">
        <v>9</v>
      </c>
      <c r="M543" s="296" t="s">
        <v>326</v>
      </c>
      <c r="N543" s="297">
        <v>1200</v>
      </c>
      <c r="O543" s="297">
        <v>1200</v>
      </c>
      <c r="P543" s="297">
        <v>2000</v>
      </c>
      <c r="Q543" s="296">
        <v>2</v>
      </c>
      <c r="R543" s="296">
        <v>12</v>
      </c>
      <c r="S543" s="296" t="s">
        <v>354</v>
      </c>
      <c r="T543" s="298">
        <v>45169</v>
      </c>
      <c r="U543" s="298">
        <v>45212</v>
      </c>
      <c r="V543" s="296" t="s">
        <v>428</v>
      </c>
      <c r="W543" s="296"/>
      <c r="X543" s="296"/>
      <c r="Y543" s="146"/>
      <c r="Z543" s="149" t="str">
        <f t="shared" ca="1" si="8"/>
        <v/>
      </c>
      <c r="AA543" s="149" t="str">
        <f ca="1">IFERROR(IF(OR(OFFSET('S4'!#REF!,MATCH($A543,'S4'!$D$5:$D$3387,0)-1,6)="巻返し",OFFSET('S4'!#REF!,MATCH($A543,'S4'!$D$5:$D$3387,0)-1,6)="スリット"),SUMIF('S4'!$D$5:$D$3387,$A543,'S4'!$U$5:$U$3387),""),"")</f>
        <v/>
      </c>
      <c r="AB543" s="149" t="str">
        <f ca="1">IFERROR(IF(OR(OFFSET('S5'!#REF!,MATCH($A543,'S5'!$D$5:$D$2917,0)-1,6)="巻返し",OFFSET('S5'!#REF!,MATCH($A543,'S5'!$D$5:$D$2917,0)-1,6)="スリット"),SUMIF('S5'!$D$5:$D$2917,$A543,'S5'!$T$5:$T$2917),""),"")</f>
        <v/>
      </c>
    </row>
    <row r="544" spans="1:28" s="144" customFormat="1" ht="13.5" x14ac:dyDescent="0.15">
      <c r="A544" s="296">
        <v>3725628</v>
      </c>
      <c r="B544" s="296" t="s">
        <v>1364</v>
      </c>
      <c r="C544" s="296" t="s">
        <v>358</v>
      </c>
      <c r="D544" s="296" t="s">
        <v>353</v>
      </c>
      <c r="E544" s="296" t="s">
        <v>1365</v>
      </c>
      <c r="F544" s="296">
        <v>3</v>
      </c>
      <c r="G544" s="296" t="s">
        <v>269</v>
      </c>
      <c r="H544" s="296" t="s">
        <v>28</v>
      </c>
      <c r="I544" s="296" t="s">
        <v>1078</v>
      </c>
      <c r="J544" s="296"/>
      <c r="K544" s="296" t="s">
        <v>1079</v>
      </c>
      <c r="L544" s="296">
        <v>25</v>
      </c>
      <c r="M544" s="296" t="s">
        <v>1366</v>
      </c>
      <c r="N544" s="297">
        <v>1050</v>
      </c>
      <c r="O544" s="297">
        <v>1050</v>
      </c>
      <c r="P544" s="297">
        <v>6000</v>
      </c>
      <c r="Q544" s="296">
        <v>1</v>
      </c>
      <c r="R544" s="296">
        <v>2</v>
      </c>
      <c r="S544" s="296" t="s">
        <v>354</v>
      </c>
      <c r="T544" s="298">
        <v>45169</v>
      </c>
      <c r="U544" s="298">
        <v>45188</v>
      </c>
      <c r="V544" s="296" t="s">
        <v>428</v>
      </c>
      <c r="W544" s="296"/>
      <c r="X544" s="296"/>
      <c r="Y544" s="146"/>
      <c r="Z544" s="149" t="str">
        <f t="shared" ca="1" si="8"/>
        <v/>
      </c>
      <c r="AA544" s="149" t="str">
        <f ca="1">IFERROR(IF(OR(OFFSET('S4'!#REF!,MATCH($A544,'S4'!$D$5:$D$3387,0)-1,6)="巻返し",OFFSET('S4'!#REF!,MATCH($A544,'S4'!$D$5:$D$3387,0)-1,6)="スリット"),SUMIF('S4'!$D$5:$D$3387,$A544,'S4'!$U$5:$U$3387),""),"")</f>
        <v/>
      </c>
      <c r="AB544" s="149" t="str">
        <f ca="1">IFERROR(IF(OR(OFFSET('S5'!#REF!,MATCH($A544,'S5'!$D$5:$D$2917,0)-1,6)="巻返し",OFFSET('S5'!#REF!,MATCH($A544,'S5'!$D$5:$D$2917,0)-1,6)="スリット"),SUMIF('S5'!$D$5:$D$2917,$A544,'S5'!$T$5:$T$2917),""),"")</f>
        <v/>
      </c>
    </row>
    <row r="545" spans="1:28" s="144" customFormat="1" ht="13.5" x14ac:dyDescent="0.15">
      <c r="A545" s="296">
        <v>3725778</v>
      </c>
      <c r="B545" s="296" t="s">
        <v>423</v>
      </c>
      <c r="C545" s="296" t="s">
        <v>352</v>
      </c>
      <c r="D545" s="296" t="s">
        <v>353</v>
      </c>
      <c r="E545" s="296" t="s">
        <v>116</v>
      </c>
      <c r="F545" s="296">
        <v>3</v>
      </c>
      <c r="G545" s="296" t="s">
        <v>265</v>
      </c>
      <c r="H545" s="296" t="s">
        <v>20</v>
      </c>
      <c r="I545" s="296" t="s">
        <v>165</v>
      </c>
      <c r="J545" s="296"/>
      <c r="K545" s="296" t="s">
        <v>176</v>
      </c>
      <c r="L545" s="296">
        <v>50</v>
      </c>
      <c r="M545" s="296" t="s">
        <v>177</v>
      </c>
      <c r="N545" s="297">
        <v>1005</v>
      </c>
      <c r="O545" s="297">
        <v>1000</v>
      </c>
      <c r="P545" s="297">
        <v>4100</v>
      </c>
      <c r="Q545" s="296">
        <v>2</v>
      </c>
      <c r="R545" s="296">
        <v>5</v>
      </c>
      <c r="S545" s="296" t="s">
        <v>354</v>
      </c>
      <c r="T545" s="298">
        <v>45173</v>
      </c>
      <c r="U545" s="298">
        <v>45191</v>
      </c>
      <c r="V545" s="296" t="s">
        <v>355</v>
      </c>
      <c r="W545" s="296"/>
      <c r="X545" s="296"/>
      <c r="Y545" s="146"/>
      <c r="Z545" s="149" t="str">
        <f t="shared" ca="1" si="8"/>
        <v/>
      </c>
      <c r="AA545" s="149" t="str">
        <f ca="1">IFERROR(IF(OR(OFFSET('S4'!#REF!,MATCH($A545,'S4'!$D$5:$D$3387,0)-1,6)="巻返し",OFFSET('S4'!#REF!,MATCH($A545,'S4'!$D$5:$D$3387,0)-1,6)="スリット"),SUMIF('S4'!$D$5:$D$3387,$A545,'S4'!$U$5:$U$3387),""),"")</f>
        <v/>
      </c>
      <c r="AB545" s="149" t="str">
        <f ca="1">IFERROR(IF(OR(OFFSET('S5'!#REF!,MATCH($A545,'S5'!$D$5:$D$2917,0)-1,6)="巻返し",OFFSET('S5'!#REF!,MATCH($A545,'S5'!$D$5:$D$2917,0)-1,6)="スリット"),SUMIF('S5'!$D$5:$D$2917,$A545,'S5'!$T$5:$T$2917),""),"")</f>
        <v/>
      </c>
    </row>
    <row r="546" spans="1:28" s="144" customFormat="1" ht="13.5" x14ac:dyDescent="0.15">
      <c r="A546" s="392">
        <v>3727586</v>
      </c>
      <c r="B546" s="392" t="s">
        <v>1471</v>
      </c>
      <c r="C546" s="392" t="s">
        <v>1472</v>
      </c>
      <c r="D546" s="392" t="s">
        <v>1473</v>
      </c>
      <c r="E546" s="392" t="s">
        <v>1524</v>
      </c>
      <c r="F546" s="394">
        <v>3</v>
      </c>
      <c r="G546" s="392" t="s">
        <v>19</v>
      </c>
      <c r="H546" s="392" t="s">
        <v>20</v>
      </c>
      <c r="I546" s="392" t="s">
        <v>1553</v>
      </c>
      <c r="J546" s="392" t="s">
        <v>1475</v>
      </c>
      <c r="K546" s="392" t="s">
        <v>1572</v>
      </c>
      <c r="L546" s="392">
        <v>25</v>
      </c>
      <c r="M546" s="392" t="s">
        <v>1525</v>
      </c>
      <c r="N546" s="392">
        <v>510</v>
      </c>
      <c r="O546" s="392">
        <v>510</v>
      </c>
      <c r="P546" s="392">
        <v>2000</v>
      </c>
      <c r="Q546" s="392">
        <v>1</v>
      </c>
      <c r="R546" s="392">
        <v>12</v>
      </c>
      <c r="S546" s="392" t="s">
        <v>1477</v>
      </c>
      <c r="T546" s="392" t="s">
        <v>1478</v>
      </c>
      <c r="U546" s="392" t="s">
        <v>1526</v>
      </c>
      <c r="V546" s="392" t="s">
        <v>1480</v>
      </c>
      <c r="W546" s="392" t="s">
        <v>1481</v>
      </c>
      <c r="X546" s="392" t="s">
        <v>1482</v>
      </c>
      <c r="Y546" s="146"/>
      <c r="Z546" s="149" t="str">
        <f t="shared" ca="1" si="8"/>
        <v/>
      </c>
      <c r="AA546" s="149" t="str">
        <f ca="1">IFERROR(IF(OR(OFFSET('S4'!#REF!,MATCH($A546,'S4'!$D$5:$D$3387,0)-1,6)="巻返し",OFFSET('S4'!#REF!,MATCH($A546,'S4'!$D$5:$D$3387,0)-1,6)="スリット"),SUMIF('S4'!$D$5:$D$3387,$A546,'S4'!$U$5:$U$3387),""),"")</f>
        <v/>
      </c>
      <c r="AB546" s="149" t="str">
        <f ca="1">IFERROR(IF(OR(OFFSET('S5'!#REF!,MATCH($A546,'S5'!$D$5:$D$2917,0)-1,6)="巻返し",OFFSET('S5'!#REF!,MATCH($A546,'S5'!$D$5:$D$2917,0)-1,6)="スリット"),SUMIF('S5'!$D$5:$D$2917,$A546,'S5'!$T$5:$T$2917),""),"")</f>
        <v/>
      </c>
    </row>
    <row r="547" spans="1:28" s="144" customFormat="1" ht="13.5" x14ac:dyDescent="0.15">
      <c r="A547" s="296">
        <v>3727587</v>
      </c>
      <c r="B547" s="296" t="s">
        <v>1471</v>
      </c>
      <c r="C547" s="296" t="s">
        <v>1472</v>
      </c>
      <c r="D547" s="296" t="s">
        <v>1473</v>
      </c>
      <c r="E547" s="296" t="s">
        <v>1474</v>
      </c>
      <c r="F547" s="296">
        <v>3</v>
      </c>
      <c r="G547" s="296" t="s">
        <v>19</v>
      </c>
      <c r="H547" s="296" t="s">
        <v>20</v>
      </c>
      <c r="I547" s="392" t="s">
        <v>1553</v>
      </c>
      <c r="J547" s="296" t="s">
        <v>1475</v>
      </c>
      <c r="K547" s="296" t="s">
        <v>1573</v>
      </c>
      <c r="L547" s="296">
        <v>50</v>
      </c>
      <c r="M547" s="296" t="s">
        <v>1527</v>
      </c>
      <c r="N547" s="297">
        <v>1255</v>
      </c>
      <c r="O547" s="297">
        <v>1250</v>
      </c>
      <c r="P547" s="297">
        <v>2000</v>
      </c>
      <c r="Q547" s="296">
        <v>2</v>
      </c>
      <c r="R547" s="296">
        <v>9</v>
      </c>
      <c r="S547" s="296" t="s">
        <v>1477</v>
      </c>
      <c r="T547" s="298">
        <v>45190</v>
      </c>
      <c r="U547" s="298">
        <v>45214</v>
      </c>
      <c r="V547" s="296" t="s">
        <v>1480</v>
      </c>
      <c r="W547" s="296" t="s">
        <v>1481</v>
      </c>
      <c r="X547" s="296" t="s">
        <v>1482</v>
      </c>
      <c r="Y547" s="146"/>
      <c r="Z547" s="149" t="str">
        <f t="shared" ca="1" si="8"/>
        <v/>
      </c>
      <c r="AA547" s="149" t="str">
        <f ca="1">IFERROR(IF(OR(OFFSET('S4'!#REF!,MATCH($A547,'S4'!$D$5:$D$3387,0)-1,6)="巻返し",OFFSET('S4'!#REF!,MATCH($A547,'S4'!$D$5:$D$3387,0)-1,6)="スリット"),SUMIF('S4'!$D$5:$D$3387,$A547,'S4'!$U$5:$U$3387),""),"")</f>
        <v/>
      </c>
      <c r="AB547" s="149" t="str">
        <f ca="1">IFERROR(IF(OR(OFFSET('S5'!#REF!,MATCH($A547,'S5'!$D$5:$D$2917,0)-1,6)="巻返し",OFFSET('S5'!#REF!,MATCH($A547,'S5'!$D$5:$D$2917,0)-1,6)="スリット"),SUMIF('S5'!$D$5:$D$2917,$A547,'S5'!$T$5:$T$2917),""),"")</f>
        <v/>
      </c>
    </row>
    <row r="548" spans="1:28" s="144" customFormat="1" ht="13.5" x14ac:dyDescent="0.15">
      <c r="A548" s="392">
        <v>3727589</v>
      </c>
      <c r="B548" s="392" t="s">
        <v>1471</v>
      </c>
      <c r="C548" s="392" t="s">
        <v>1551</v>
      </c>
      <c r="D548" s="392" t="s">
        <v>1473</v>
      </c>
      <c r="E548" s="392" t="s">
        <v>1530</v>
      </c>
      <c r="F548" s="394">
        <v>3</v>
      </c>
      <c r="G548" s="392" t="s">
        <v>19</v>
      </c>
      <c r="H548" s="392" t="s">
        <v>20</v>
      </c>
      <c r="I548" s="392" t="s">
        <v>1553</v>
      </c>
      <c r="J548" s="392" t="s">
        <v>1475</v>
      </c>
      <c r="K548" s="392" t="s">
        <v>1572</v>
      </c>
      <c r="L548" s="392">
        <v>25</v>
      </c>
      <c r="M548" s="392" t="s">
        <v>1525</v>
      </c>
      <c r="N548" s="392">
        <v>1240</v>
      </c>
      <c r="O548" s="392">
        <v>1240</v>
      </c>
      <c r="P548" s="392">
        <v>2000</v>
      </c>
      <c r="Q548" s="392">
        <v>1</v>
      </c>
      <c r="R548" s="392">
        <v>6</v>
      </c>
      <c r="S548" s="392" t="s">
        <v>1477</v>
      </c>
      <c r="T548" s="392" t="s">
        <v>1478</v>
      </c>
      <c r="U548" s="392" t="s">
        <v>1526</v>
      </c>
      <c r="V548" s="392" t="s">
        <v>1480</v>
      </c>
      <c r="W548" s="392" t="s">
        <v>1481</v>
      </c>
      <c r="X548" s="392" t="s">
        <v>1482</v>
      </c>
      <c r="Y548" s="146"/>
      <c r="Z548" s="149" t="str">
        <f t="shared" ca="1" si="8"/>
        <v/>
      </c>
      <c r="AA548" s="149" t="str">
        <f ca="1">IFERROR(IF(OR(OFFSET('S4'!#REF!,MATCH($A548,'S4'!$D$5:$D$3387,0)-1,6)="巻返し",OFFSET('S4'!#REF!,MATCH($A548,'S4'!$D$5:$D$3387,0)-1,6)="スリット"),SUMIF('S4'!$D$5:$D$3387,$A548,'S4'!$U$5:$U$3387),""),"")</f>
        <v/>
      </c>
      <c r="AB548" s="149" t="str">
        <f ca="1">IFERROR(IF(OR(OFFSET('S5'!#REF!,MATCH($A548,'S5'!$D$5:$D$2917,0)-1,6)="巻返し",OFFSET('S5'!#REF!,MATCH($A548,'S5'!$D$5:$D$2917,0)-1,6)="スリット"),SUMIF('S5'!$D$5:$D$2917,$A548,'S5'!$T$5:$T$2917),""),"")</f>
        <v/>
      </c>
    </row>
    <row r="549" spans="1:28" s="144" customFormat="1" ht="13.5" x14ac:dyDescent="0.15">
      <c r="A549" s="392">
        <v>3727591</v>
      </c>
      <c r="B549" s="392" t="s">
        <v>1471</v>
      </c>
      <c r="C549" s="392" t="s">
        <v>1495</v>
      </c>
      <c r="D549" s="392" t="s">
        <v>1473</v>
      </c>
      <c r="E549" s="392" t="s">
        <v>1532</v>
      </c>
      <c r="F549" s="394">
        <v>3</v>
      </c>
      <c r="G549" s="392" t="s">
        <v>19</v>
      </c>
      <c r="H549" s="392" t="s">
        <v>20</v>
      </c>
      <c r="I549" s="392" t="s">
        <v>1555</v>
      </c>
      <c r="J549" s="392" t="s">
        <v>1475</v>
      </c>
      <c r="K549" s="392" t="s">
        <v>1576</v>
      </c>
      <c r="L549" s="392">
        <v>50</v>
      </c>
      <c r="M549" s="392" t="s">
        <v>1533</v>
      </c>
      <c r="N549" s="392">
        <v>1120</v>
      </c>
      <c r="O549" s="392">
        <v>1120</v>
      </c>
      <c r="P549" s="392">
        <v>5000</v>
      </c>
      <c r="Q549" s="392">
        <v>2</v>
      </c>
      <c r="R549" s="392">
        <v>3</v>
      </c>
      <c r="S549" s="392" t="s">
        <v>1477</v>
      </c>
      <c r="T549" s="392" t="s">
        <v>1478</v>
      </c>
      <c r="U549" s="392" t="s">
        <v>1526</v>
      </c>
      <c r="V549" s="392" t="s">
        <v>1480</v>
      </c>
      <c r="W549" s="392" t="s">
        <v>1481</v>
      </c>
      <c r="X549" s="392" t="s">
        <v>1482</v>
      </c>
      <c r="Y549" s="146"/>
      <c r="Z549" s="149" t="str">
        <f t="shared" ca="1" si="8"/>
        <v/>
      </c>
      <c r="AA549" s="149" t="str">
        <f ca="1">IFERROR(IF(OR(OFFSET('S4'!#REF!,MATCH($A549,'S4'!$D$5:$D$3387,0)-1,6)="巻返し",OFFSET('S4'!#REF!,MATCH($A549,'S4'!$D$5:$D$3387,0)-1,6)="スリット"),SUMIF('S4'!$D$5:$D$3387,$A549,'S4'!$U$5:$U$3387),""),"")</f>
        <v/>
      </c>
      <c r="AB549" s="149" t="str">
        <f ca="1">IFERROR(IF(OR(OFFSET('S5'!#REF!,MATCH($A549,'S5'!$D$5:$D$2917,0)-1,6)="巻返し",OFFSET('S5'!#REF!,MATCH($A549,'S5'!$D$5:$D$2917,0)-1,6)="スリット"),SUMIF('S5'!$D$5:$D$2917,$A549,'S5'!$T$5:$T$2917),""),"")</f>
        <v/>
      </c>
    </row>
    <row r="550" spans="1:28" s="144" customFormat="1" ht="13.5" x14ac:dyDescent="0.15">
      <c r="A550" s="392">
        <v>3727592</v>
      </c>
      <c r="B550" s="392" t="s">
        <v>1471</v>
      </c>
      <c r="C550" s="392" t="s">
        <v>1495</v>
      </c>
      <c r="D550" s="392" t="s">
        <v>1473</v>
      </c>
      <c r="E550" s="392" t="s">
        <v>1532</v>
      </c>
      <c r="F550" s="394">
        <v>3</v>
      </c>
      <c r="G550" s="392" t="s">
        <v>19</v>
      </c>
      <c r="H550" s="392" t="s">
        <v>20</v>
      </c>
      <c r="I550" s="392" t="s">
        <v>1555</v>
      </c>
      <c r="J550" s="392" t="s">
        <v>1475</v>
      </c>
      <c r="K550" s="392" t="s">
        <v>1577</v>
      </c>
      <c r="L550" s="392">
        <v>50</v>
      </c>
      <c r="M550" s="392" t="s">
        <v>1534</v>
      </c>
      <c r="N550" s="392">
        <v>1120</v>
      </c>
      <c r="O550" s="392">
        <v>1120</v>
      </c>
      <c r="P550" s="392">
        <v>4000</v>
      </c>
      <c r="Q550" s="392">
        <v>2</v>
      </c>
      <c r="R550" s="392">
        <v>6</v>
      </c>
      <c r="S550" s="392" t="s">
        <v>1477</v>
      </c>
      <c r="T550" s="392" t="s">
        <v>1478</v>
      </c>
      <c r="U550" s="392" t="s">
        <v>1526</v>
      </c>
      <c r="V550" s="392" t="s">
        <v>1480</v>
      </c>
      <c r="W550" s="392" t="s">
        <v>1481</v>
      </c>
      <c r="X550" s="392" t="s">
        <v>1482</v>
      </c>
      <c r="Y550" s="146"/>
      <c r="Z550" s="149" t="str">
        <f t="shared" ca="1" si="8"/>
        <v/>
      </c>
      <c r="AA550" s="149" t="str">
        <f ca="1">IFERROR(IF(OR(OFFSET('S4'!#REF!,MATCH($A550,'S4'!$D$5:$D$3387,0)-1,6)="巻返し",OFFSET('S4'!#REF!,MATCH($A550,'S4'!$D$5:$D$3387,0)-1,6)="スリット"),SUMIF('S4'!$D$5:$D$3387,$A550,'S4'!$U$5:$U$3387),""),"")</f>
        <v/>
      </c>
      <c r="AB550" s="149" t="str">
        <f ca="1">IFERROR(IF(OR(OFFSET('S5'!#REF!,MATCH($A550,'S5'!$D$5:$D$2917,0)-1,6)="巻返し",OFFSET('S5'!#REF!,MATCH($A550,'S5'!$D$5:$D$2917,0)-1,6)="スリット"),SUMIF('S5'!$D$5:$D$2917,$A550,'S5'!$T$5:$T$2917),""),"")</f>
        <v/>
      </c>
    </row>
    <row r="551" spans="1:28" s="144" customFormat="1" ht="13.5" x14ac:dyDescent="0.15">
      <c r="A551" s="392">
        <v>3727593</v>
      </c>
      <c r="B551" s="392" t="s">
        <v>1471</v>
      </c>
      <c r="C551" s="392" t="s">
        <v>1510</v>
      </c>
      <c r="D551" s="392" t="s">
        <v>1473</v>
      </c>
      <c r="E551" s="392" t="s">
        <v>1511</v>
      </c>
      <c r="F551" s="394">
        <v>3</v>
      </c>
      <c r="G551" s="392" t="s">
        <v>19</v>
      </c>
      <c r="H551" s="392" t="s">
        <v>20</v>
      </c>
      <c r="I551" s="392" t="s">
        <v>1553</v>
      </c>
      <c r="J551" s="392" t="s">
        <v>1475</v>
      </c>
      <c r="K551" s="392" t="s">
        <v>1578</v>
      </c>
      <c r="L551" s="392">
        <v>25</v>
      </c>
      <c r="M551" s="392" t="s">
        <v>1535</v>
      </c>
      <c r="N551" s="392">
        <v>1120</v>
      </c>
      <c r="O551" s="392">
        <v>1120</v>
      </c>
      <c r="P551" s="392">
        <v>4000</v>
      </c>
      <c r="Q551" s="392">
        <v>2</v>
      </c>
      <c r="R551" s="392">
        <v>3</v>
      </c>
      <c r="S551" s="392" t="s">
        <v>1477</v>
      </c>
      <c r="T551" s="392" t="s">
        <v>1478</v>
      </c>
      <c r="U551" s="392" t="s">
        <v>1536</v>
      </c>
      <c r="V551" s="392" t="s">
        <v>1480</v>
      </c>
      <c r="W551" s="392" t="s">
        <v>1481</v>
      </c>
      <c r="X551" s="392" t="s">
        <v>1482</v>
      </c>
      <c r="Y551" s="146"/>
      <c r="Z551" s="149" t="str">
        <f t="shared" ca="1" si="8"/>
        <v/>
      </c>
      <c r="AA551" s="149" t="str">
        <f ca="1">IFERROR(IF(OR(OFFSET('S4'!#REF!,MATCH($A551,'S4'!$D$5:$D$3387,0)-1,6)="巻返し",OFFSET('S4'!#REF!,MATCH($A551,'S4'!$D$5:$D$3387,0)-1,6)="スリット"),SUMIF('S4'!$D$5:$D$3387,$A551,'S4'!$U$5:$U$3387),""),"")</f>
        <v/>
      </c>
      <c r="AB551" s="149" t="str">
        <f ca="1">IFERROR(IF(OR(OFFSET('S5'!#REF!,MATCH($A551,'S5'!$D$5:$D$2917,0)-1,6)="巻返し",OFFSET('S5'!#REF!,MATCH($A551,'S5'!$D$5:$D$2917,0)-1,6)="スリット"),SUMIF('S5'!$D$5:$D$2917,$A551,'S5'!$T$5:$T$2917),""),"")</f>
        <v/>
      </c>
    </row>
    <row r="552" spans="1:28" s="144" customFormat="1" ht="13.5" x14ac:dyDescent="0.15">
      <c r="A552" s="392">
        <v>3727594</v>
      </c>
      <c r="B552" s="392" t="s">
        <v>1471</v>
      </c>
      <c r="C552" s="392" t="s">
        <v>1510</v>
      </c>
      <c r="D552" s="392" t="s">
        <v>1473</v>
      </c>
      <c r="E552" s="392" t="s">
        <v>1511</v>
      </c>
      <c r="F552" s="394">
        <v>3</v>
      </c>
      <c r="G552" s="392" t="s">
        <v>1640</v>
      </c>
      <c r="H552" s="392" t="s">
        <v>1641</v>
      </c>
      <c r="I552" s="392" t="s">
        <v>531</v>
      </c>
      <c r="J552" s="392" t="s">
        <v>1475</v>
      </c>
      <c r="K552" s="392" t="s">
        <v>1578</v>
      </c>
      <c r="L552" s="392">
        <v>50</v>
      </c>
      <c r="M552" s="392" t="s">
        <v>1535</v>
      </c>
      <c r="N552" s="392">
        <v>1120</v>
      </c>
      <c r="O552" s="392">
        <v>1120</v>
      </c>
      <c r="P552" s="392">
        <v>4000</v>
      </c>
      <c r="Q552" s="392">
        <v>2</v>
      </c>
      <c r="R552" s="392">
        <v>18</v>
      </c>
      <c r="S552" s="392" t="s">
        <v>1477</v>
      </c>
      <c r="T552" s="392" t="s">
        <v>1478</v>
      </c>
      <c r="U552" s="392" t="s">
        <v>1536</v>
      </c>
      <c r="V552" s="392" t="s">
        <v>1480</v>
      </c>
      <c r="W552" s="392" t="s">
        <v>1481</v>
      </c>
      <c r="X552" s="392" t="s">
        <v>1482</v>
      </c>
      <c r="Y552" s="146"/>
      <c r="Z552" s="149" t="str">
        <f t="shared" ca="1" si="8"/>
        <v/>
      </c>
      <c r="AA552" s="149" t="str">
        <f ca="1">IFERROR(IF(OR(OFFSET('S4'!#REF!,MATCH($A552,'S4'!$D$5:$D$3387,0)-1,6)="巻返し",OFFSET('S4'!#REF!,MATCH($A552,'S4'!$D$5:$D$3387,0)-1,6)="スリット"),SUMIF('S4'!$D$5:$D$3387,$A552,'S4'!$U$5:$U$3387),""),"")</f>
        <v/>
      </c>
      <c r="AB552" s="149" t="str">
        <f ca="1">IFERROR(IF(OR(OFFSET('S5'!#REF!,MATCH($A552,'S5'!$D$5:$D$2917,0)-1,6)="巻返し",OFFSET('S5'!#REF!,MATCH($A552,'S5'!$D$5:$D$2917,0)-1,6)="スリット"),SUMIF('S5'!$D$5:$D$2917,$A552,'S5'!$T$5:$T$2917),""),"")</f>
        <v/>
      </c>
    </row>
    <row r="553" spans="1:28" s="144" customFormat="1" ht="13.5" x14ac:dyDescent="0.15">
      <c r="A553" s="392">
        <v>3727595</v>
      </c>
      <c r="B553" s="392" t="s">
        <v>1471</v>
      </c>
      <c r="C553" s="392" t="s">
        <v>1510</v>
      </c>
      <c r="D553" s="392" t="s">
        <v>1473</v>
      </c>
      <c r="E553" s="392" t="s">
        <v>1511</v>
      </c>
      <c r="F553" s="394">
        <v>3</v>
      </c>
      <c r="G553" s="392" t="s">
        <v>19</v>
      </c>
      <c r="H553" s="392" t="s">
        <v>20</v>
      </c>
      <c r="I553" s="392" t="s">
        <v>1553</v>
      </c>
      <c r="J553" s="392" t="s">
        <v>1475</v>
      </c>
      <c r="K553" s="392" t="s">
        <v>1578</v>
      </c>
      <c r="L553" s="392">
        <v>50</v>
      </c>
      <c r="M553" s="392" t="s">
        <v>1535</v>
      </c>
      <c r="N553" s="392">
        <v>1120</v>
      </c>
      <c r="O553" s="392">
        <v>1120</v>
      </c>
      <c r="P553" s="392">
        <v>4000</v>
      </c>
      <c r="Q553" s="392">
        <v>2</v>
      </c>
      <c r="R553" s="392">
        <v>9</v>
      </c>
      <c r="S553" s="392" t="s">
        <v>1477</v>
      </c>
      <c r="T553" s="392" t="s">
        <v>1478</v>
      </c>
      <c r="U553" s="392" t="s">
        <v>1536</v>
      </c>
      <c r="V553" s="392" t="s">
        <v>1480</v>
      </c>
      <c r="W553" s="392" t="s">
        <v>1481</v>
      </c>
      <c r="X553" s="392" t="s">
        <v>1482</v>
      </c>
      <c r="Y553" s="146"/>
      <c r="Z553" s="149" t="str">
        <f t="shared" ca="1" si="8"/>
        <v/>
      </c>
      <c r="AA553" s="149" t="str">
        <f ca="1">IFERROR(IF(OR(OFFSET('S4'!#REF!,MATCH($A553,'S4'!$D$5:$D$3387,0)-1,6)="巻返し",OFFSET('S4'!#REF!,MATCH($A553,'S4'!$D$5:$D$3387,0)-1,6)="スリット"),SUMIF('S4'!$D$5:$D$3387,$A553,'S4'!$U$5:$U$3387),""),"")</f>
        <v/>
      </c>
      <c r="AB553" s="149" t="str">
        <f ca="1">IFERROR(IF(OR(OFFSET('S5'!#REF!,MATCH($A553,'S5'!$D$5:$D$2917,0)-1,6)="巻返し",OFFSET('S5'!#REF!,MATCH($A553,'S5'!$D$5:$D$2917,0)-1,6)="スリット"),SUMIF('S5'!$D$5:$D$2917,$A553,'S5'!$T$5:$T$2917),""),"")</f>
        <v/>
      </c>
    </row>
    <row r="554" spans="1:28" s="144" customFormat="1" ht="13.5" x14ac:dyDescent="0.15">
      <c r="A554" s="392">
        <v>3727596</v>
      </c>
      <c r="B554" s="392" t="s">
        <v>1471</v>
      </c>
      <c r="C554" s="392" t="s">
        <v>1510</v>
      </c>
      <c r="D554" s="392" t="s">
        <v>1473</v>
      </c>
      <c r="E554" s="392" t="s">
        <v>1511</v>
      </c>
      <c r="F554" s="394">
        <v>3</v>
      </c>
      <c r="G554" s="392" t="s">
        <v>19</v>
      </c>
      <c r="H554" s="392" t="s">
        <v>20</v>
      </c>
      <c r="I554" s="392" t="s">
        <v>1553</v>
      </c>
      <c r="J554" s="392" t="s">
        <v>1475</v>
      </c>
      <c r="K554" s="392" t="s">
        <v>1579</v>
      </c>
      <c r="L554" s="392">
        <v>38</v>
      </c>
      <c r="M554" s="392" t="s">
        <v>1537</v>
      </c>
      <c r="N554" s="392">
        <v>1005</v>
      </c>
      <c r="O554" s="392">
        <v>1000</v>
      </c>
      <c r="P554" s="392">
        <v>4100</v>
      </c>
      <c r="Q554" s="392">
        <v>2</v>
      </c>
      <c r="R554" s="392">
        <v>2</v>
      </c>
      <c r="S554" s="392" t="s">
        <v>1477</v>
      </c>
      <c r="T554" s="392" t="s">
        <v>1478</v>
      </c>
      <c r="U554" s="392" t="s">
        <v>1536</v>
      </c>
      <c r="V554" s="392" t="s">
        <v>1480</v>
      </c>
      <c r="W554" s="392" t="s">
        <v>1481</v>
      </c>
      <c r="X554" s="392" t="s">
        <v>1482</v>
      </c>
      <c r="Y554" s="146"/>
      <c r="Z554" s="149" t="str">
        <f t="shared" ca="1" si="8"/>
        <v/>
      </c>
      <c r="AA554" s="149" t="str">
        <f ca="1">IFERROR(IF(OR(OFFSET('S4'!#REF!,MATCH($A554,'S4'!$D$5:$D$3387,0)-1,6)="巻返し",OFFSET('S4'!#REF!,MATCH($A554,'S4'!$D$5:$D$3387,0)-1,6)="スリット"),SUMIF('S4'!$D$5:$D$3387,$A554,'S4'!$U$5:$U$3387),""),"")</f>
        <v/>
      </c>
      <c r="AB554" s="149" t="str">
        <f ca="1">IFERROR(IF(OR(OFFSET('S5'!#REF!,MATCH($A554,'S5'!$D$5:$D$2917,0)-1,6)="巻返し",OFFSET('S5'!#REF!,MATCH($A554,'S5'!$D$5:$D$2917,0)-1,6)="スリット"),SUMIF('S5'!$D$5:$D$2917,$A554,'S5'!$T$5:$T$2917),""),"")</f>
        <v/>
      </c>
    </row>
    <row r="555" spans="1:28" s="144" customFormat="1" ht="13.5" x14ac:dyDescent="0.15">
      <c r="A555" s="392">
        <v>3727597</v>
      </c>
      <c r="B555" s="392" t="s">
        <v>1471</v>
      </c>
      <c r="C555" s="392" t="s">
        <v>1510</v>
      </c>
      <c r="D555" s="392" t="s">
        <v>1473</v>
      </c>
      <c r="E555" s="392" t="s">
        <v>1511</v>
      </c>
      <c r="F555" s="394">
        <v>3</v>
      </c>
      <c r="G555" s="392" t="s">
        <v>19</v>
      </c>
      <c r="H555" s="392" t="s">
        <v>20</v>
      </c>
      <c r="I555" s="392" t="s">
        <v>1553</v>
      </c>
      <c r="J555" s="392" t="s">
        <v>1475</v>
      </c>
      <c r="K555" s="392" t="s">
        <v>1579</v>
      </c>
      <c r="L555" s="392">
        <v>50</v>
      </c>
      <c r="M555" s="392" t="s">
        <v>1537</v>
      </c>
      <c r="N555" s="392">
        <v>1050</v>
      </c>
      <c r="O555" s="392">
        <v>1050</v>
      </c>
      <c r="P555" s="392">
        <v>4100</v>
      </c>
      <c r="Q555" s="392">
        <v>2</v>
      </c>
      <c r="R555" s="392">
        <v>5</v>
      </c>
      <c r="S555" s="392" t="s">
        <v>1477</v>
      </c>
      <c r="T555" s="392" t="s">
        <v>1478</v>
      </c>
      <c r="U555" s="392" t="s">
        <v>1536</v>
      </c>
      <c r="V555" s="392" t="s">
        <v>1480</v>
      </c>
      <c r="W555" s="392" t="s">
        <v>1481</v>
      </c>
      <c r="X555" s="392" t="s">
        <v>1482</v>
      </c>
      <c r="Y555" s="146"/>
      <c r="Z555" s="149" t="str">
        <f t="shared" ca="1" si="8"/>
        <v/>
      </c>
      <c r="AA555" s="149" t="str">
        <f ca="1">IFERROR(IF(OR(OFFSET('S4'!#REF!,MATCH($A555,'S4'!$D$5:$D$3387,0)-1,6)="巻返し",OFFSET('S4'!#REF!,MATCH($A555,'S4'!$D$5:$D$3387,0)-1,6)="スリット"),SUMIF('S4'!$D$5:$D$3387,$A555,'S4'!$U$5:$U$3387),""),"")</f>
        <v/>
      </c>
      <c r="AB555" s="149" t="str">
        <f ca="1">IFERROR(IF(OR(OFFSET('S5'!#REF!,MATCH($A555,'S5'!$D$5:$D$2917,0)-1,6)="巻返し",OFFSET('S5'!#REF!,MATCH($A555,'S5'!$D$5:$D$2917,0)-1,6)="スリット"),SUMIF('S5'!$D$5:$D$2917,$A555,'S5'!$T$5:$T$2917),""),"")</f>
        <v/>
      </c>
    </row>
    <row r="556" spans="1:28" s="144" customFormat="1" ht="13.5" x14ac:dyDescent="0.15">
      <c r="A556" s="392">
        <v>3727598</v>
      </c>
      <c r="B556" s="392" t="s">
        <v>1471</v>
      </c>
      <c r="C556" s="392" t="s">
        <v>1510</v>
      </c>
      <c r="D556" s="392" t="s">
        <v>1473</v>
      </c>
      <c r="E556" s="392" t="s">
        <v>1511</v>
      </c>
      <c r="F556" s="394">
        <v>3</v>
      </c>
      <c r="G556" s="392" t="s">
        <v>19</v>
      </c>
      <c r="H556" s="392" t="s">
        <v>20</v>
      </c>
      <c r="I556" s="392" t="s">
        <v>1553</v>
      </c>
      <c r="J556" s="392" t="s">
        <v>1475</v>
      </c>
      <c r="K556" s="392" t="s">
        <v>1580</v>
      </c>
      <c r="L556" s="392">
        <v>25</v>
      </c>
      <c r="M556" s="392" t="s">
        <v>1538</v>
      </c>
      <c r="N556" s="392">
        <v>1005</v>
      </c>
      <c r="O556" s="392">
        <v>1000</v>
      </c>
      <c r="P556" s="392">
        <v>4000</v>
      </c>
      <c r="Q556" s="392">
        <v>2</v>
      </c>
      <c r="R556" s="392">
        <v>15</v>
      </c>
      <c r="S556" s="392" t="s">
        <v>1477</v>
      </c>
      <c r="T556" s="392" t="s">
        <v>1478</v>
      </c>
      <c r="U556" s="392" t="s">
        <v>1536</v>
      </c>
      <c r="V556" s="392" t="s">
        <v>1480</v>
      </c>
      <c r="W556" s="392" t="s">
        <v>1481</v>
      </c>
      <c r="X556" s="392" t="s">
        <v>1482</v>
      </c>
      <c r="Y556" s="146"/>
      <c r="Z556" s="149" t="str">
        <f t="shared" ca="1" si="8"/>
        <v/>
      </c>
      <c r="AA556" s="149" t="str">
        <f ca="1">IFERROR(IF(OR(OFFSET('S4'!#REF!,MATCH($A556,'S4'!$D$5:$D$3387,0)-1,6)="巻返し",OFFSET('S4'!#REF!,MATCH($A556,'S4'!$D$5:$D$3387,0)-1,6)="スリット"),SUMIF('S4'!$D$5:$D$3387,$A556,'S4'!$U$5:$U$3387),""),"")</f>
        <v/>
      </c>
      <c r="AB556" s="149" t="str">
        <f ca="1">IFERROR(IF(OR(OFFSET('S5'!#REF!,MATCH($A556,'S5'!$D$5:$D$2917,0)-1,6)="巻返し",OFFSET('S5'!#REF!,MATCH($A556,'S5'!$D$5:$D$2917,0)-1,6)="スリット"),SUMIF('S5'!$D$5:$D$2917,$A556,'S5'!$T$5:$T$2917),""),"")</f>
        <v/>
      </c>
    </row>
    <row r="557" spans="1:28" s="144" customFormat="1" ht="13.5" x14ac:dyDescent="0.15">
      <c r="A557" s="392">
        <v>3727599</v>
      </c>
      <c r="B557" s="392" t="s">
        <v>1471</v>
      </c>
      <c r="C557" s="392" t="s">
        <v>1510</v>
      </c>
      <c r="D557" s="392" t="s">
        <v>1473</v>
      </c>
      <c r="E557" s="392" t="s">
        <v>1511</v>
      </c>
      <c r="F557" s="394">
        <v>3</v>
      </c>
      <c r="G557" s="392" t="s">
        <v>19</v>
      </c>
      <c r="H557" s="392" t="s">
        <v>20</v>
      </c>
      <c r="I557" s="392" t="s">
        <v>1553</v>
      </c>
      <c r="J557" s="392" t="s">
        <v>1475</v>
      </c>
      <c r="K557" s="392" t="s">
        <v>1580</v>
      </c>
      <c r="L557" s="392">
        <v>25</v>
      </c>
      <c r="M557" s="392" t="s">
        <v>1538</v>
      </c>
      <c r="N557" s="392">
        <v>1125</v>
      </c>
      <c r="O557" s="392">
        <v>1120</v>
      </c>
      <c r="P557" s="392">
        <v>4000</v>
      </c>
      <c r="Q557" s="392">
        <v>2</v>
      </c>
      <c r="R557" s="392">
        <v>3</v>
      </c>
      <c r="S557" s="392" t="s">
        <v>1477</v>
      </c>
      <c r="T557" s="392" t="s">
        <v>1478</v>
      </c>
      <c r="U557" s="392" t="s">
        <v>1536</v>
      </c>
      <c r="V557" s="392" t="s">
        <v>1480</v>
      </c>
      <c r="W557" s="392" t="s">
        <v>1481</v>
      </c>
      <c r="X557" s="392" t="s">
        <v>1482</v>
      </c>
      <c r="Y557" s="146"/>
      <c r="Z557" s="149" t="str">
        <f t="shared" ca="1" si="8"/>
        <v/>
      </c>
      <c r="AA557" s="149" t="str">
        <f ca="1">IFERROR(IF(OR(OFFSET('S4'!#REF!,MATCH($A557,'S4'!$D$5:$D$3387,0)-1,6)="巻返し",OFFSET('S4'!#REF!,MATCH($A557,'S4'!$D$5:$D$3387,0)-1,6)="スリット"),SUMIF('S4'!$D$5:$D$3387,$A557,'S4'!$U$5:$U$3387),""),"")</f>
        <v/>
      </c>
      <c r="AB557" s="149" t="str">
        <f ca="1">IFERROR(IF(OR(OFFSET('S5'!#REF!,MATCH($A557,'S5'!$D$5:$D$2917,0)-1,6)="巻返し",OFFSET('S5'!#REF!,MATCH($A557,'S5'!$D$5:$D$2917,0)-1,6)="スリット"),SUMIF('S5'!$D$5:$D$2917,$A557,'S5'!$T$5:$T$2917),""),"")</f>
        <v/>
      </c>
    </row>
    <row r="558" spans="1:28" s="144" customFormat="1" ht="13.5" x14ac:dyDescent="0.15">
      <c r="A558" s="392">
        <v>3727600</v>
      </c>
      <c r="B558" s="392" t="s">
        <v>1471</v>
      </c>
      <c r="C558" s="392" t="s">
        <v>1510</v>
      </c>
      <c r="D558" s="392" t="s">
        <v>1473</v>
      </c>
      <c r="E558" s="392" t="s">
        <v>1511</v>
      </c>
      <c r="F558" s="394">
        <v>3</v>
      </c>
      <c r="G558" s="392" t="s">
        <v>19</v>
      </c>
      <c r="H558" s="392" t="s">
        <v>20</v>
      </c>
      <c r="I558" s="392" t="s">
        <v>1553</v>
      </c>
      <c r="J558" s="392" t="s">
        <v>1475</v>
      </c>
      <c r="K558" s="392" t="s">
        <v>1580</v>
      </c>
      <c r="L558" s="392">
        <v>50</v>
      </c>
      <c r="M558" s="392" t="s">
        <v>1538</v>
      </c>
      <c r="N558" s="392">
        <v>1120</v>
      </c>
      <c r="O558" s="392">
        <v>1120</v>
      </c>
      <c r="P558" s="392">
        <v>5000</v>
      </c>
      <c r="Q558" s="392">
        <v>2</v>
      </c>
      <c r="R558" s="392">
        <v>36</v>
      </c>
      <c r="S558" s="392" t="s">
        <v>1477</v>
      </c>
      <c r="T558" s="392" t="s">
        <v>1478</v>
      </c>
      <c r="U558" s="392" t="s">
        <v>1539</v>
      </c>
      <c r="V558" s="392" t="s">
        <v>1480</v>
      </c>
      <c r="W558" s="392" t="s">
        <v>1481</v>
      </c>
      <c r="X558" s="392" t="s">
        <v>1482</v>
      </c>
      <c r="Y558" s="146"/>
      <c r="Z558" s="149" t="str">
        <f t="shared" ca="1" si="8"/>
        <v/>
      </c>
      <c r="AA558" s="149" t="str">
        <f ca="1">IFERROR(IF(OR(OFFSET('S4'!#REF!,MATCH($A558,'S4'!$D$5:$D$3387,0)-1,6)="巻返し",OFFSET('S4'!#REF!,MATCH($A558,'S4'!$D$5:$D$3387,0)-1,6)="スリット"),SUMIF('S4'!$D$5:$D$3387,$A558,'S4'!$U$5:$U$3387),""),"")</f>
        <v/>
      </c>
      <c r="AB558" s="149" t="str">
        <f ca="1">IFERROR(IF(OR(OFFSET('S5'!#REF!,MATCH($A558,'S5'!$D$5:$D$2917,0)-1,6)="巻返し",OFFSET('S5'!#REF!,MATCH($A558,'S5'!$D$5:$D$2917,0)-1,6)="スリット"),SUMIF('S5'!$D$5:$D$2917,$A558,'S5'!$T$5:$T$2917),""),"")</f>
        <v/>
      </c>
    </row>
    <row r="559" spans="1:28" s="144" customFormat="1" ht="13.5" x14ac:dyDescent="0.15">
      <c r="A559" s="392">
        <v>3727601</v>
      </c>
      <c r="B559" s="392" t="s">
        <v>1471</v>
      </c>
      <c r="C559" s="392" t="s">
        <v>1510</v>
      </c>
      <c r="D559" s="392" t="s">
        <v>1473</v>
      </c>
      <c r="E559" s="392" t="s">
        <v>1511</v>
      </c>
      <c r="F559" s="394">
        <v>3</v>
      </c>
      <c r="G559" s="392" t="s">
        <v>19</v>
      </c>
      <c r="H559" s="392" t="s">
        <v>20</v>
      </c>
      <c r="I559" s="392" t="s">
        <v>1553</v>
      </c>
      <c r="J559" s="392" t="s">
        <v>1475</v>
      </c>
      <c r="K559" s="392" t="s">
        <v>1581</v>
      </c>
      <c r="L559" s="392">
        <v>50</v>
      </c>
      <c r="M559" s="392" t="s">
        <v>1540</v>
      </c>
      <c r="N559" s="392">
        <v>1000</v>
      </c>
      <c r="O559" s="392">
        <v>1000</v>
      </c>
      <c r="P559" s="392">
        <v>4000</v>
      </c>
      <c r="Q559" s="392">
        <v>2</v>
      </c>
      <c r="R559" s="392">
        <v>15</v>
      </c>
      <c r="S559" s="392" t="s">
        <v>1477</v>
      </c>
      <c r="T559" s="392" t="s">
        <v>1478</v>
      </c>
      <c r="U559" s="392" t="s">
        <v>1536</v>
      </c>
      <c r="V559" s="392" t="s">
        <v>1480</v>
      </c>
      <c r="W559" s="392" t="s">
        <v>1481</v>
      </c>
      <c r="X559" s="392" t="s">
        <v>1482</v>
      </c>
      <c r="Y559" s="146"/>
      <c r="Z559" s="149" t="str">
        <f t="shared" ca="1" si="8"/>
        <v/>
      </c>
      <c r="AA559" s="149" t="str">
        <f ca="1">IFERROR(IF(OR(OFFSET('S4'!#REF!,MATCH($A559,'S4'!$D$5:$D$3387,0)-1,6)="巻返し",OFFSET('S4'!#REF!,MATCH($A559,'S4'!$D$5:$D$3387,0)-1,6)="スリット"),SUMIF('S4'!$D$5:$D$3387,$A559,'S4'!$U$5:$U$3387),""),"")</f>
        <v/>
      </c>
      <c r="AB559" s="149" t="str">
        <f ca="1">IFERROR(IF(OR(OFFSET('S5'!#REF!,MATCH($A559,'S5'!$D$5:$D$2917,0)-1,6)="巻返し",OFFSET('S5'!#REF!,MATCH($A559,'S5'!$D$5:$D$2917,0)-1,6)="スリット"),SUMIF('S5'!$D$5:$D$2917,$A559,'S5'!$T$5:$T$2917),""),"")</f>
        <v/>
      </c>
    </row>
    <row r="560" spans="1:28" s="144" customFormat="1" ht="13.5" x14ac:dyDescent="0.15">
      <c r="A560" s="392">
        <v>3727602</v>
      </c>
      <c r="B560" s="392" t="s">
        <v>1471</v>
      </c>
      <c r="C560" s="392" t="s">
        <v>1510</v>
      </c>
      <c r="D560" s="392" t="s">
        <v>1473</v>
      </c>
      <c r="E560" s="392" t="s">
        <v>1511</v>
      </c>
      <c r="F560" s="394" t="s">
        <v>1602</v>
      </c>
      <c r="G560" s="392" t="s">
        <v>1589</v>
      </c>
      <c r="H560" s="392" t="s">
        <v>20</v>
      </c>
      <c r="I560" s="392" t="s">
        <v>1555</v>
      </c>
      <c r="J560" s="392" t="s">
        <v>1475</v>
      </c>
      <c r="K560" s="392" t="s">
        <v>1582</v>
      </c>
      <c r="L560" s="392">
        <v>50</v>
      </c>
      <c r="M560" s="392" t="s">
        <v>1541</v>
      </c>
      <c r="N560" s="392">
        <v>1005</v>
      </c>
      <c r="O560" s="392">
        <v>1000</v>
      </c>
      <c r="P560" s="392">
        <v>4000</v>
      </c>
      <c r="Q560" s="392">
        <v>2</v>
      </c>
      <c r="R560" s="392">
        <v>2</v>
      </c>
      <c r="S560" s="392" t="s">
        <v>1477</v>
      </c>
      <c r="T560" s="392" t="s">
        <v>1478</v>
      </c>
      <c r="U560" s="392" t="s">
        <v>1536</v>
      </c>
      <c r="V560" s="392" t="s">
        <v>1480</v>
      </c>
      <c r="W560" s="392" t="s">
        <v>1481</v>
      </c>
      <c r="X560" s="392" t="s">
        <v>1482</v>
      </c>
      <c r="Y560" s="146"/>
      <c r="Z560" s="149" t="str">
        <f t="shared" ca="1" si="8"/>
        <v/>
      </c>
      <c r="AA560" s="149" t="str">
        <f ca="1">IFERROR(IF(OR(OFFSET('S4'!#REF!,MATCH($A560,'S4'!$D$5:$D$3387,0)-1,6)="巻返し",OFFSET('S4'!#REF!,MATCH($A560,'S4'!$D$5:$D$3387,0)-1,6)="スリット"),SUMIF('S4'!$D$5:$D$3387,$A560,'S4'!$U$5:$U$3387),""),"")</f>
        <v/>
      </c>
      <c r="AB560" s="149" t="str">
        <f ca="1">IFERROR(IF(OR(OFFSET('S5'!#REF!,MATCH($A560,'S5'!$D$5:$D$2917,0)-1,6)="巻返し",OFFSET('S5'!#REF!,MATCH($A560,'S5'!$D$5:$D$2917,0)-1,6)="スリット"),SUMIF('S5'!$D$5:$D$2917,$A560,'S5'!$T$5:$T$2917),""),"")</f>
        <v/>
      </c>
    </row>
    <row r="561" spans="1:28" s="144" customFormat="1" ht="13.5" x14ac:dyDescent="0.15">
      <c r="A561" s="392">
        <v>3727603</v>
      </c>
      <c r="B561" s="392" t="s">
        <v>1471</v>
      </c>
      <c r="C561" s="392" t="s">
        <v>1510</v>
      </c>
      <c r="D561" s="392" t="s">
        <v>1473</v>
      </c>
      <c r="E561" s="392" t="s">
        <v>1511</v>
      </c>
      <c r="F561" s="394" t="s">
        <v>1602</v>
      </c>
      <c r="G561" s="392" t="s">
        <v>19</v>
      </c>
      <c r="H561" s="392" t="s">
        <v>20</v>
      </c>
      <c r="I561" s="392" t="s">
        <v>1555</v>
      </c>
      <c r="J561" s="392" t="s">
        <v>1475</v>
      </c>
      <c r="K561" s="392" t="s">
        <v>1583</v>
      </c>
      <c r="L561" s="392">
        <v>50</v>
      </c>
      <c r="M561" s="392" t="s">
        <v>1542</v>
      </c>
      <c r="N561" s="392">
        <v>1005</v>
      </c>
      <c r="O561" s="392">
        <v>1000</v>
      </c>
      <c r="P561" s="392">
        <v>4100</v>
      </c>
      <c r="Q561" s="392">
        <v>2</v>
      </c>
      <c r="R561" s="392">
        <v>2</v>
      </c>
      <c r="S561" s="392" t="s">
        <v>1477</v>
      </c>
      <c r="T561" s="392" t="s">
        <v>1478</v>
      </c>
      <c r="U561" s="392" t="s">
        <v>1536</v>
      </c>
      <c r="V561" s="392" t="s">
        <v>1480</v>
      </c>
      <c r="W561" s="392" t="s">
        <v>1481</v>
      </c>
      <c r="X561" s="392" t="s">
        <v>1482</v>
      </c>
      <c r="Y561" s="146"/>
      <c r="Z561" s="149" t="str">
        <f t="shared" ca="1" si="8"/>
        <v/>
      </c>
      <c r="AA561" s="149" t="str">
        <f ca="1">IFERROR(IF(OR(OFFSET('S4'!#REF!,MATCH($A561,'S4'!$D$5:$D$3387,0)-1,6)="巻返し",OFFSET('S4'!#REF!,MATCH($A561,'S4'!$D$5:$D$3387,0)-1,6)="スリット"),SUMIF('S4'!$D$5:$D$3387,$A561,'S4'!$U$5:$U$3387),""),"")</f>
        <v/>
      </c>
      <c r="AB561" s="149" t="str">
        <f ca="1">IFERROR(IF(OR(OFFSET('S5'!#REF!,MATCH($A561,'S5'!$D$5:$D$2917,0)-1,6)="巻返し",OFFSET('S5'!#REF!,MATCH($A561,'S5'!$D$5:$D$2917,0)-1,6)="スリット"),SUMIF('S5'!$D$5:$D$2917,$A561,'S5'!$T$5:$T$2917),""),"")</f>
        <v/>
      </c>
    </row>
    <row r="562" spans="1:28" s="144" customFormat="1" ht="13.5" x14ac:dyDescent="0.15">
      <c r="A562" s="392">
        <v>3727604</v>
      </c>
      <c r="B562" s="392" t="s">
        <v>423</v>
      </c>
      <c r="C562" s="392" t="s">
        <v>1510</v>
      </c>
      <c r="D562" s="392" t="s">
        <v>1473</v>
      </c>
      <c r="E562" s="392" t="s">
        <v>1511</v>
      </c>
      <c r="F562" s="394">
        <v>3</v>
      </c>
      <c r="G562" s="392" t="s">
        <v>265</v>
      </c>
      <c r="H562" s="392" t="s">
        <v>20</v>
      </c>
      <c r="I562" s="392" t="s">
        <v>1555</v>
      </c>
      <c r="J562" s="392" t="s">
        <v>1475</v>
      </c>
      <c r="K562" s="392" t="s">
        <v>1584</v>
      </c>
      <c r="L562" s="392">
        <v>50</v>
      </c>
      <c r="M562" s="392" t="s">
        <v>1543</v>
      </c>
      <c r="N562" s="392">
        <v>1005</v>
      </c>
      <c r="O562" s="392">
        <v>1000</v>
      </c>
      <c r="P562" s="392">
        <v>4000</v>
      </c>
      <c r="Q562" s="392">
        <v>2</v>
      </c>
      <c r="R562" s="392">
        <v>2</v>
      </c>
      <c r="S562" s="392" t="s">
        <v>1477</v>
      </c>
      <c r="T562" s="392" t="s">
        <v>1478</v>
      </c>
      <c r="U562" s="392" t="s">
        <v>1536</v>
      </c>
      <c r="V562" s="392" t="s">
        <v>1480</v>
      </c>
      <c r="W562" s="392" t="s">
        <v>1481</v>
      </c>
      <c r="X562" s="392" t="s">
        <v>1482</v>
      </c>
      <c r="Y562" s="146"/>
      <c r="Z562" s="149" t="str">
        <f t="shared" ca="1" si="8"/>
        <v/>
      </c>
      <c r="AA562" s="149" t="str">
        <f ca="1">IFERROR(IF(OR(OFFSET('S4'!#REF!,MATCH($A562,'S4'!$D$5:$D$3387,0)-1,6)="巻返し",OFFSET('S4'!#REF!,MATCH($A562,'S4'!$D$5:$D$3387,0)-1,6)="スリット"),SUMIF('S4'!$D$5:$D$3387,$A562,'S4'!$U$5:$U$3387),""),"")</f>
        <v/>
      </c>
      <c r="AB562" s="149" t="str">
        <f ca="1">IFERROR(IF(OR(OFFSET('S5'!#REF!,MATCH($A562,'S5'!$D$5:$D$2917,0)-1,6)="巻返し",OFFSET('S5'!#REF!,MATCH($A562,'S5'!$D$5:$D$2917,0)-1,6)="スリット"),SUMIF('S5'!$D$5:$D$2917,$A562,'S5'!$T$5:$T$2917),""),"")</f>
        <v/>
      </c>
    </row>
    <row r="563" spans="1:28" s="144" customFormat="1" ht="13.5" x14ac:dyDescent="0.15">
      <c r="A563" s="392">
        <v>3727605</v>
      </c>
      <c r="B563" s="392" t="s">
        <v>423</v>
      </c>
      <c r="C563" s="392" t="s">
        <v>1510</v>
      </c>
      <c r="D563" s="392" t="s">
        <v>1473</v>
      </c>
      <c r="E563" s="392" t="s">
        <v>1511</v>
      </c>
      <c r="F563" s="394">
        <v>3</v>
      </c>
      <c r="G563" s="392" t="s">
        <v>265</v>
      </c>
      <c r="H563" s="392" t="s">
        <v>20</v>
      </c>
      <c r="I563" s="392" t="s">
        <v>1555</v>
      </c>
      <c r="J563" s="392" t="s">
        <v>1475</v>
      </c>
      <c r="K563" s="392" t="s">
        <v>1585</v>
      </c>
      <c r="L563" s="392">
        <v>50</v>
      </c>
      <c r="M563" s="392" t="s">
        <v>1544</v>
      </c>
      <c r="N563" s="392">
        <v>1005</v>
      </c>
      <c r="O563" s="392">
        <v>1000</v>
      </c>
      <c r="P563" s="392">
        <v>2000</v>
      </c>
      <c r="Q563" s="392">
        <v>2</v>
      </c>
      <c r="R563" s="392">
        <v>2</v>
      </c>
      <c r="S563" s="392" t="s">
        <v>1477</v>
      </c>
      <c r="T563" s="392" t="s">
        <v>1478</v>
      </c>
      <c r="U563" s="392" t="s">
        <v>1536</v>
      </c>
      <c r="V563" s="392" t="s">
        <v>1480</v>
      </c>
      <c r="W563" s="392" t="s">
        <v>1481</v>
      </c>
      <c r="X563" s="392" t="s">
        <v>1482</v>
      </c>
      <c r="Y563" s="146"/>
      <c r="Z563" s="149" t="str">
        <f t="shared" ca="1" si="8"/>
        <v/>
      </c>
      <c r="AA563" s="149" t="str">
        <f ca="1">IFERROR(IF(OR(OFFSET('S4'!#REF!,MATCH($A563,'S4'!$D$5:$D$3387,0)-1,6)="巻返し",OFFSET('S4'!#REF!,MATCH($A563,'S4'!$D$5:$D$3387,0)-1,6)="スリット"),SUMIF('S4'!$D$5:$D$3387,$A563,'S4'!$U$5:$U$3387),""),"")</f>
        <v/>
      </c>
      <c r="AB563" s="149" t="str">
        <f ca="1">IFERROR(IF(OR(OFFSET('S5'!#REF!,MATCH($A563,'S5'!$D$5:$D$2917,0)-1,6)="巻返し",OFFSET('S5'!#REF!,MATCH($A563,'S5'!$D$5:$D$2917,0)-1,6)="スリット"),SUMIF('S5'!$D$5:$D$2917,$A563,'S5'!$T$5:$T$2917),""),"")</f>
        <v/>
      </c>
    </row>
    <row r="564" spans="1:28" s="144" customFormat="1" ht="13.5" x14ac:dyDescent="0.15">
      <c r="A564" s="392">
        <v>3727606</v>
      </c>
      <c r="B564" s="392" t="s">
        <v>423</v>
      </c>
      <c r="C564" s="392" t="s">
        <v>1510</v>
      </c>
      <c r="D564" s="392" t="s">
        <v>1473</v>
      </c>
      <c r="E564" s="392" t="s">
        <v>1511</v>
      </c>
      <c r="F564" s="394">
        <v>3</v>
      </c>
      <c r="G564" s="392" t="s">
        <v>265</v>
      </c>
      <c r="H564" s="392" t="s">
        <v>20</v>
      </c>
      <c r="I564" s="392" t="s">
        <v>1555</v>
      </c>
      <c r="J564" s="392" t="s">
        <v>1475</v>
      </c>
      <c r="K564" s="392" t="s">
        <v>1585</v>
      </c>
      <c r="L564" s="392">
        <v>50</v>
      </c>
      <c r="M564" s="392" t="s">
        <v>1544</v>
      </c>
      <c r="N564" s="392">
        <v>1005</v>
      </c>
      <c r="O564" s="392">
        <v>1000</v>
      </c>
      <c r="P564" s="392">
        <v>4100</v>
      </c>
      <c r="Q564" s="392">
        <v>2</v>
      </c>
      <c r="R564" s="392">
        <v>5</v>
      </c>
      <c r="S564" s="392" t="s">
        <v>1477</v>
      </c>
      <c r="T564" s="392" t="s">
        <v>1478</v>
      </c>
      <c r="U564" s="392" t="s">
        <v>1536</v>
      </c>
      <c r="V564" s="392" t="s">
        <v>1480</v>
      </c>
      <c r="W564" s="392" t="s">
        <v>1481</v>
      </c>
      <c r="X564" s="392" t="s">
        <v>1482</v>
      </c>
      <c r="Y564" s="146"/>
      <c r="Z564" s="149" t="str">
        <f t="shared" ca="1" si="8"/>
        <v/>
      </c>
      <c r="AA564" s="149" t="str">
        <f ca="1">IFERROR(IF(OR(OFFSET('S4'!#REF!,MATCH($A564,'S4'!$D$5:$D$3387,0)-1,6)="巻返し",OFFSET('S4'!#REF!,MATCH($A564,'S4'!$D$5:$D$3387,0)-1,6)="スリット"),SUMIF('S4'!$D$5:$D$3387,$A564,'S4'!$U$5:$U$3387),""),"")</f>
        <v/>
      </c>
      <c r="AB564" s="149" t="str">
        <f ca="1">IFERROR(IF(OR(OFFSET('S5'!#REF!,MATCH($A564,'S5'!$D$5:$D$2917,0)-1,6)="巻返し",OFFSET('S5'!#REF!,MATCH($A564,'S5'!$D$5:$D$2917,0)-1,6)="スリット"),SUMIF('S5'!$D$5:$D$2917,$A564,'S5'!$T$5:$T$2917),""),"")</f>
        <v/>
      </c>
    </row>
    <row r="565" spans="1:28" s="144" customFormat="1" ht="13.5" x14ac:dyDescent="0.15">
      <c r="A565" s="392">
        <v>3727607</v>
      </c>
      <c r="B565" s="392" t="s">
        <v>1471</v>
      </c>
      <c r="C565" s="392" t="s">
        <v>1510</v>
      </c>
      <c r="D565" s="392" t="s">
        <v>1473</v>
      </c>
      <c r="E565" s="392" t="s">
        <v>1511</v>
      </c>
      <c r="F565" s="394">
        <v>3</v>
      </c>
      <c r="G565" s="392" t="s">
        <v>19</v>
      </c>
      <c r="H565" s="392" t="s">
        <v>20</v>
      </c>
      <c r="I565" s="392" t="s">
        <v>1555</v>
      </c>
      <c r="J565" s="392" t="s">
        <v>1475</v>
      </c>
      <c r="K565" s="392" t="s">
        <v>1586</v>
      </c>
      <c r="L565" s="392">
        <v>50</v>
      </c>
      <c r="M565" s="392" t="s">
        <v>1545</v>
      </c>
      <c r="N565" s="392">
        <v>1005</v>
      </c>
      <c r="O565" s="392">
        <v>1000</v>
      </c>
      <c r="P565" s="392">
        <v>2000</v>
      </c>
      <c r="Q565" s="392">
        <v>2</v>
      </c>
      <c r="R565" s="392">
        <v>4</v>
      </c>
      <c r="S565" s="392" t="s">
        <v>1477</v>
      </c>
      <c r="T565" s="392" t="s">
        <v>1478</v>
      </c>
      <c r="U565" s="392" t="s">
        <v>1546</v>
      </c>
      <c r="V565" s="392" t="s">
        <v>1480</v>
      </c>
      <c r="W565" s="392" t="s">
        <v>1481</v>
      </c>
      <c r="X565" s="392" t="s">
        <v>1482</v>
      </c>
      <c r="Y565" s="146"/>
      <c r="Z565" s="149" t="str">
        <f t="shared" ca="1" si="8"/>
        <v/>
      </c>
      <c r="AA565" s="149" t="str">
        <f ca="1">IFERROR(IF(OR(OFFSET('S4'!#REF!,MATCH($A565,'S4'!$D$5:$D$3387,0)-1,6)="巻返し",OFFSET('S4'!#REF!,MATCH($A565,'S4'!$D$5:$D$3387,0)-1,6)="スリット"),SUMIF('S4'!$D$5:$D$3387,$A565,'S4'!$U$5:$U$3387),""),"")</f>
        <v/>
      </c>
      <c r="AB565" s="149" t="str">
        <f ca="1">IFERROR(IF(OR(OFFSET('S5'!#REF!,MATCH($A565,'S5'!$D$5:$D$2917,0)-1,6)="巻返し",OFFSET('S5'!#REF!,MATCH($A565,'S5'!$D$5:$D$2917,0)-1,6)="スリット"),SUMIF('S5'!$D$5:$D$2917,$A565,'S5'!$T$5:$T$2917),""),"")</f>
        <v/>
      </c>
    </row>
    <row r="566" spans="1:28" s="144" customFormat="1" ht="13.5" x14ac:dyDescent="0.15">
      <c r="A566" s="392">
        <v>3727608</v>
      </c>
      <c r="B566" s="392" t="s">
        <v>1471</v>
      </c>
      <c r="C566" s="392" t="s">
        <v>1510</v>
      </c>
      <c r="D566" s="392" t="s">
        <v>1473</v>
      </c>
      <c r="E566" s="392" t="s">
        <v>1511</v>
      </c>
      <c r="F566" s="394">
        <v>3</v>
      </c>
      <c r="G566" s="392" t="s">
        <v>19</v>
      </c>
      <c r="H566" s="392" t="s">
        <v>20</v>
      </c>
      <c r="I566" s="392" t="s">
        <v>1553</v>
      </c>
      <c r="J566" s="392" t="s">
        <v>1475</v>
      </c>
      <c r="K566" s="392" t="s">
        <v>1580</v>
      </c>
      <c r="L566" s="392">
        <v>50</v>
      </c>
      <c r="M566" s="392" t="s">
        <v>1538</v>
      </c>
      <c r="N566" s="392">
        <v>1120</v>
      </c>
      <c r="O566" s="392">
        <v>1120</v>
      </c>
      <c r="P566" s="392">
        <v>5000</v>
      </c>
      <c r="Q566" s="392">
        <v>2</v>
      </c>
      <c r="R566" s="392">
        <v>46</v>
      </c>
      <c r="S566" s="392" t="s">
        <v>1477</v>
      </c>
      <c r="T566" s="392" t="s">
        <v>1478</v>
      </c>
      <c r="U566" s="392" t="s">
        <v>1536</v>
      </c>
      <c r="V566" s="392" t="s">
        <v>1480</v>
      </c>
      <c r="W566" s="392" t="s">
        <v>1481</v>
      </c>
      <c r="X566" s="392" t="s">
        <v>1482</v>
      </c>
      <c r="Y566" s="146"/>
      <c r="Z566" s="149" t="str">
        <f t="shared" ca="1" si="8"/>
        <v/>
      </c>
      <c r="AA566" s="149" t="str">
        <f ca="1">IFERROR(IF(OR(OFFSET('S4'!#REF!,MATCH($A566,'S4'!$D$5:$D$3387,0)-1,6)="巻返し",OFFSET('S4'!#REF!,MATCH($A566,'S4'!$D$5:$D$3387,0)-1,6)="スリット"),SUMIF('S4'!$D$5:$D$3387,$A566,'S4'!$U$5:$U$3387),""),"")</f>
        <v/>
      </c>
      <c r="AB566" s="149" t="str">
        <f ca="1">IFERROR(IF(OR(OFFSET('S5'!#REF!,MATCH($A566,'S5'!$D$5:$D$2917,0)-1,6)="巻返し",OFFSET('S5'!#REF!,MATCH($A566,'S5'!$D$5:$D$2917,0)-1,6)="スリット"),SUMIF('S5'!$D$5:$D$2917,$A566,'S5'!$T$5:$T$2917),""),"")</f>
        <v/>
      </c>
    </row>
    <row r="567" spans="1:28" s="144" customFormat="1" ht="13.5" x14ac:dyDescent="0.15">
      <c r="A567" s="392">
        <v>3727609</v>
      </c>
      <c r="B567" s="392" t="s">
        <v>1471</v>
      </c>
      <c r="C567" s="392" t="s">
        <v>1510</v>
      </c>
      <c r="D567" s="392" t="s">
        <v>1473</v>
      </c>
      <c r="E567" s="392" t="s">
        <v>1511</v>
      </c>
      <c r="F567" s="394">
        <v>3</v>
      </c>
      <c r="G567" s="392" t="s">
        <v>19</v>
      </c>
      <c r="H567" s="392" t="s">
        <v>20</v>
      </c>
      <c r="I567" s="392" t="s">
        <v>1553</v>
      </c>
      <c r="J567" s="392" t="s">
        <v>1475</v>
      </c>
      <c r="K567" s="392" t="s">
        <v>1581</v>
      </c>
      <c r="L567" s="392">
        <v>50</v>
      </c>
      <c r="M567" s="392" t="s">
        <v>1540</v>
      </c>
      <c r="N567" s="392">
        <v>1000</v>
      </c>
      <c r="O567" s="392">
        <v>1000</v>
      </c>
      <c r="P567" s="392">
        <v>4000</v>
      </c>
      <c r="Q567" s="392">
        <v>2</v>
      </c>
      <c r="R567" s="392">
        <v>4</v>
      </c>
      <c r="S567" s="392" t="s">
        <v>1477</v>
      </c>
      <c r="T567" s="392" t="s">
        <v>1478</v>
      </c>
      <c r="U567" s="392" t="s">
        <v>1536</v>
      </c>
      <c r="V567" s="392" t="s">
        <v>1480</v>
      </c>
      <c r="W567" s="392" t="s">
        <v>1481</v>
      </c>
      <c r="X567" s="392" t="s">
        <v>1482</v>
      </c>
      <c r="Y567" s="146"/>
      <c r="Z567" s="149" t="str">
        <f t="shared" ca="1" si="8"/>
        <v/>
      </c>
      <c r="AA567" s="149" t="str">
        <f ca="1">IFERROR(IF(OR(OFFSET('S4'!#REF!,MATCH($A567,'S4'!$D$5:$D$3387,0)-1,6)="巻返し",OFFSET('S4'!#REF!,MATCH($A567,'S4'!$D$5:$D$3387,0)-1,6)="スリット"),SUMIF('S4'!$D$5:$D$3387,$A567,'S4'!$U$5:$U$3387),""),"")</f>
        <v/>
      </c>
      <c r="AB567" s="149" t="str">
        <f ca="1">IFERROR(IF(OR(OFFSET('S5'!#REF!,MATCH($A567,'S5'!$D$5:$D$2917,0)-1,6)="巻返し",OFFSET('S5'!#REF!,MATCH($A567,'S5'!$D$5:$D$2917,0)-1,6)="スリット"),SUMIF('S5'!$D$5:$D$2917,$A567,'S5'!$T$5:$T$2917),""),"")</f>
        <v/>
      </c>
    </row>
    <row r="568" spans="1:28" s="144" customFormat="1" ht="13.5" x14ac:dyDescent="0.15">
      <c r="A568" s="392">
        <v>3727610</v>
      </c>
      <c r="B568" s="392" t="s">
        <v>1471</v>
      </c>
      <c r="C568" s="392" t="s">
        <v>1510</v>
      </c>
      <c r="D568" s="392" t="s">
        <v>1473</v>
      </c>
      <c r="E568" s="392" t="s">
        <v>1511</v>
      </c>
      <c r="F568" s="394">
        <v>3</v>
      </c>
      <c r="G568" s="392" t="s">
        <v>19</v>
      </c>
      <c r="H568" s="392" t="s">
        <v>20</v>
      </c>
      <c r="I568" s="392" t="s">
        <v>1553</v>
      </c>
      <c r="J568" s="392" t="s">
        <v>1475</v>
      </c>
      <c r="K568" s="392" t="s">
        <v>1581</v>
      </c>
      <c r="L568" s="392">
        <v>50</v>
      </c>
      <c r="M568" s="392" t="s">
        <v>1540</v>
      </c>
      <c r="N568" s="392">
        <v>1000</v>
      </c>
      <c r="O568" s="392">
        <v>1000</v>
      </c>
      <c r="P568" s="392">
        <v>4000</v>
      </c>
      <c r="Q568" s="392">
        <v>2</v>
      </c>
      <c r="R568" s="392">
        <v>11</v>
      </c>
      <c r="S568" s="392" t="s">
        <v>1477</v>
      </c>
      <c r="T568" s="392" t="s">
        <v>1478</v>
      </c>
      <c r="U568" s="392" t="s">
        <v>1536</v>
      </c>
      <c r="V568" s="392" t="s">
        <v>1480</v>
      </c>
      <c r="W568" s="392" t="s">
        <v>1481</v>
      </c>
      <c r="X568" s="392" t="s">
        <v>1482</v>
      </c>
      <c r="Y568" s="146"/>
      <c r="Z568" s="149" t="str">
        <f t="shared" ca="1" si="8"/>
        <v/>
      </c>
      <c r="AA568" s="149" t="str">
        <f ca="1">IFERROR(IF(OR(OFFSET('S4'!#REF!,MATCH($A568,'S4'!$D$5:$D$3387,0)-1,6)="巻返し",OFFSET('S4'!#REF!,MATCH($A568,'S4'!$D$5:$D$3387,0)-1,6)="スリット"),SUMIF('S4'!$D$5:$D$3387,$A568,'S4'!$U$5:$U$3387),""),"")</f>
        <v/>
      </c>
      <c r="AB568" s="149" t="str">
        <f ca="1">IFERROR(IF(OR(OFFSET('S5'!#REF!,MATCH($A568,'S5'!$D$5:$D$2917,0)-1,6)="巻返し",OFFSET('S5'!#REF!,MATCH($A568,'S5'!$D$5:$D$2917,0)-1,6)="スリット"),SUMIF('S5'!$D$5:$D$2917,$A568,'S5'!$T$5:$T$2917),""),"")</f>
        <v/>
      </c>
    </row>
    <row r="569" spans="1:28" s="144" customFormat="1" ht="13.5" x14ac:dyDescent="0.15">
      <c r="A569" s="392">
        <v>3727611</v>
      </c>
      <c r="B569" s="392" t="s">
        <v>1471</v>
      </c>
      <c r="C569" s="392" t="s">
        <v>1510</v>
      </c>
      <c r="D569" s="392" t="s">
        <v>1473</v>
      </c>
      <c r="E569" s="392" t="s">
        <v>1511</v>
      </c>
      <c r="F569" s="394">
        <v>3</v>
      </c>
      <c r="G569" s="392" t="s">
        <v>19</v>
      </c>
      <c r="H569" s="392" t="s">
        <v>20</v>
      </c>
      <c r="I569" s="392" t="s">
        <v>1553</v>
      </c>
      <c r="J569" s="392" t="s">
        <v>1475</v>
      </c>
      <c r="K569" s="392" t="s">
        <v>1587</v>
      </c>
      <c r="L569" s="392">
        <v>25</v>
      </c>
      <c r="M569" s="392" t="s">
        <v>1547</v>
      </c>
      <c r="N569" s="392">
        <v>1100</v>
      </c>
      <c r="O569" s="392">
        <v>1100</v>
      </c>
      <c r="P569" s="392">
        <v>6000</v>
      </c>
      <c r="Q569" s="392">
        <v>2</v>
      </c>
      <c r="R569" s="392">
        <v>8</v>
      </c>
      <c r="S569" s="392" t="s">
        <v>1477</v>
      </c>
      <c r="T569" s="392" t="s">
        <v>1478</v>
      </c>
      <c r="U569" s="392" t="s">
        <v>1536</v>
      </c>
      <c r="V569" s="392" t="s">
        <v>1480</v>
      </c>
      <c r="W569" s="392" t="s">
        <v>1481</v>
      </c>
      <c r="X569" s="392" t="s">
        <v>1482</v>
      </c>
      <c r="Y569" s="146"/>
      <c r="Z569" s="149" t="str">
        <f t="shared" ca="1" si="8"/>
        <v/>
      </c>
      <c r="AA569" s="149" t="str">
        <f ca="1">IFERROR(IF(OR(OFFSET('S4'!#REF!,MATCH($A569,'S4'!$D$5:$D$3387,0)-1,6)="巻返し",OFFSET('S4'!#REF!,MATCH($A569,'S4'!$D$5:$D$3387,0)-1,6)="スリット"),SUMIF('S4'!$D$5:$D$3387,$A569,'S4'!$U$5:$U$3387),""),"")</f>
        <v/>
      </c>
      <c r="AB569" s="149" t="str">
        <f ca="1">IFERROR(IF(OR(OFFSET('S5'!#REF!,MATCH($A569,'S5'!$D$5:$D$2917,0)-1,6)="巻返し",OFFSET('S5'!#REF!,MATCH($A569,'S5'!$D$5:$D$2917,0)-1,6)="スリット"),SUMIF('S5'!$D$5:$D$2917,$A569,'S5'!$T$5:$T$2917),""),"")</f>
        <v/>
      </c>
    </row>
    <row r="570" spans="1:28" s="144" customFormat="1" ht="13.5" x14ac:dyDescent="0.15">
      <c r="A570" s="392">
        <v>3727612</v>
      </c>
      <c r="B570" s="392" t="s">
        <v>1471</v>
      </c>
      <c r="C570" s="392" t="s">
        <v>1510</v>
      </c>
      <c r="D570" s="392" t="s">
        <v>1473</v>
      </c>
      <c r="E570" s="392" t="s">
        <v>1511</v>
      </c>
      <c r="F570" s="394">
        <v>3</v>
      </c>
      <c r="G570" s="392" t="s">
        <v>19</v>
      </c>
      <c r="H570" s="392" t="s">
        <v>28</v>
      </c>
      <c r="I570" s="392" t="s">
        <v>1553</v>
      </c>
      <c r="J570" s="392" t="s">
        <v>1475</v>
      </c>
      <c r="K570" s="392" t="s">
        <v>1588</v>
      </c>
      <c r="L570" s="392">
        <v>50</v>
      </c>
      <c r="M570" s="392" t="s">
        <v>1548</v>
      </c>
      <c r="N570" s="392">
        <v>1120</v>
      </c>
      <c r="O570" s="392">
        <v>1120</v>
      </c>
      <c r="P570" s="392">
        <v>5000</v>
      </c>
      <c r="Q570" s="392">
        <v>2</v>
      </c>
      <c r="R570" s="392">
        <v>2</v>
      </c>
      <c r="S570" s="392" t="s">
        <v>1477</v>
      </c>
      <c r="T570" s="392" t="s">
        <v>1478</v>
      </c>
      <c r="U570" s="392" t="s">
        <v>1536</v>
      </c>
      <c r="V570" s="392" t="s">
        <v>1480</v>
      </c>
      <c r="W570" s="392" t="s">
        <v>1481</v>
      </c>
      <c r="X570" s="392" t="s">
        <v>1482</v>
      </c>
      <c r="Y570" s="146"/>
      <c r="Z570" s="149" t="str">
        <f t="shared" ca="1" si="8"/>
        <v/>
      </c>
      <c r="AA570" s="149" t="str">
        <f ca="1">IFERROR(IF(OR(OFFSET('S4'!#REF!,MATCH($A570,'S4'!$D$5:$D$3387,0)-1,6)="巻返し",OFFSET('S4'!#REF!,MATCH($A570,'S4'!$D$5:$D$3387,0)-1,6)="スリット"),SUMIF('S4'!$D$5:$D$3387,$A570,'S4'!$U$5:$U$3387),""),"")</f>
        <v/>
      </c>
      <c r="AB570" s="149" t="str">
        <f ca="1">IFERROR(IF(OR(OFFSET('S5'!#REF!,MATCH($A570,'S5'!$D$5:$D$2917,0)-1,6)="巻返し",OFFSET('S5'!#REF!,MATCH($A570,'S5'!$D$5:$D$2917,0)-1,6)="スリット"),SUMIF('S5'!$D$5:$D$2917,$A570,'S5'!$T$5:$T$2917),""),"")</f>
        <v/>
      </c>
    </row>
    <row r="571" spans="1:28" s="144" customFormat="1" ht="13.5" x14ac:dyDescent="0.15">
      <c r="A571" s="296">
        <v>3727984</v>
      </c>
      <c r="B571" s="296" t="str">
        <f>"機能Ｆ　ラベル福島原"</f>
        <v>機能Ｆ　ラベル福島原</v>
      </c>
      <c r="C571" s="296" t="str">
        <f>"プロセス材１課      "</f>
        <v xml:space="preserve">プロセス材１課      </v>
      </c>
      <c r="D571" s="296" t="str">
        <f>"ダミー担当者        "</f>
        <v xml:space="preserve">ダミー担当者        </v>
      </c>
      <c r="E571" s="296" t="str">
        <f>"リンテック㈱        "</f>
        <v xml:space="preserve">リンテック㈱        </v>
      </c>
      <c r="F571" s="296">
        <v>3</v>
      </c>
      <c r="G571" s="296" t="s">
        <v>1648</v>
      </c>
      <c r="H571" s="296" t="s">
        <v>1641</v>
      </c>
      <c r="I571" s="296" t="s">
        <v>1649</v>
      </c>
      <c r="J571" s="296" t="str">
        <f>"   "</f>
        <v xml:space="preserve">   </v>
      </c>
      <c r="K571" s="296" t="s">
        <v>1650</v>
      </c>
      <c r="L571" s="296">
        <v>50</v>
      </c>
      <c r="M571" s="296" t="str">
        <f>"メタルミー　ヘヤライン金艶Ｖ                                            "</f>
        <v xml:space="preserve">メタルミー　ヘヤライン金艶Ｖ                                            </v>
      </c>
      <c r="N571" s="296">
        <v>1000</v>
      </c>
      <c r="O571" s="296">
        <v>1000</v>
      </c>
      <c r="P571" s="296">
        <v>2000</v>
      </c>
      <c r="Q571" s="296">
        <v>2</v>
      </c>
      <c r="R571" s="296">
        <v>4</v>
      </c>
      <c r="S571" s="296" t="str">
        <f>"本        "</f>
        <v xml:space="preserve">本        </v>
      </c>
      <c r="T571" s="298">
        <v>45194</v>
      </c>
      <c r="U571" s="298">
        <v>45219</v>
      </c>
      <c r="V571" s="296" t="str">
        <f>"㈱須賀川東部鏡石    "</f>
        <v xml:space="preserve">㈱須賀川東部鏡石    </v>
      </c>
      <c r="W571" s="296" t="str">
        <f>"                                                                                "</f>
        <v xml:space="preserve">                                                                                </v>
      </c>
      <c r="X571" s="296" t="str">
        <f>"     "</f>
        <v xml:space="preserve">     </v>
      </c>
      <c r="Y571" s="146"/>
      <c r="Z571" s="149" t="str">
        <f t="shared" ca="1" si="8"/>
        <v/>
      </c>
      <c r="AA571" s="149" t="str">
        <f ca="1">IFERROR(IF(OR(OFFSET('S4'!#REF!,MATCH($A571,'S4'!$D$5:$D$3387,0)-1,6)="巻返し",OFFSET('S4'!#REF!,MATCH($A571,'S4'!$D$5:$D$3387,0)-1,6)="スリット"),SUMIF('S4'!$D$5:$D$3387,$A571,'S4'!$U$5:$U$3387),""),"")</f>
        <v/>
      </c>
      <c r="AB571" s="149" t="str">
        <f ca="1">IFERROR(IF(OR(OFFSET('S5'!#REF!,MATCH($A571,'S5'!$D$5:$D$2917,0)-1,6)="巻返し",OFFSET('S5'!#REF!,MATCH($A571,'S5'!$D$5:$D$2917,0)-1,6)="スリット"),SUMIF('S5'!$D$5:$D$2917,$A571,'S5'!$T$5:$T$2917),""),"")</f>
        <v/>
      </c>
    </row>
    <row r="572" spans="1:28" s="144" customFormat="1" ht="13.5" x14ac:dyDescent="0.15">
      <c r="A572" s="296">
        <v>3728260</v>
      </c>
      <c r="B572" s="296" t="str">
        <f>"機能Ｆ　ラベル福島開"</f>
        <v>機能Ｆ　ラベル福島開</v>
      </c>
      <c r="C572" s="296" t="str">
        <f>"プロセス材２課      "</f>
        <v xml:space="preserve">プロセス材２課      </v>
      </c>
      <c r="D572" s="296" t="str">
        <f>"ダミー担当者        "</f>
        <v xml:space="preserve">ダミー担当者        </v>
      </c>
      <c r="E572" s="296" t="str">
        <f>"栃木カネカ㈱電材検査"</f>
        <v>栃木カネカ㈱電材検査</v>
      </c>
      <c r="F572" s="296">
        <v>3</v>
      </c>
      <c r="G572" s="296" t="s">
        <v>1657</v>
      </c>
      <c r="H572" s="296" t="s">
        <v>1658</v>
      </c>
      <c r="I572" s="296" t="s">
        <v>1659</v>
      </c>
      <c r="J572" s="296" t="str">
        <f>"   "</f>
        <v xml:space="preserve">   </v>
      </c>
      <c r="K572" s="296" t="s">
        <v>1660</v>
      </c>
      <c r="L572" s="296">
        <v>9</v>
      </c>
      <c r="M572" s="296" t="str">
        <f>"ＫＦ－９Ｂ                                                              "</f>
        <v xml:space="preserve">ＫＦ－９Ｂ                                                              </v>
      </c>
      <c r="N572" s="296">
        <v>1360</v>
      </c>
      <c r="O572" s="296">
        <v>1360</v>
      </c>
      <c r="P572" s="296">
        <v>2100</v>
      </c>
      <c r="Q572" s="296">
        <v>2</v>
      </c>
      <c r="R572" s="296">
        <v>10</v>
      </c>
      <c r="S572" s="296" t="str">
        <f>"本        "</f>
        <v xml:space="preserve">本        </v>
      </c>
      <c r="T572" s="298">
        <v>45196</v>
      </c>
      <c r="U572" s="298">
        <v>45230</v>
      </c>
      <c r="V572" s="296" t="str">
        <f>"福島工場ＣＯ        "</f>
        <v xml:space="preserve">福島工場ＣＯ        </v>
      </c>
      <c r="W572" s="296" t="str">
        <f>"                                                                                "</f>
        <v xml:space="preserve">                                                                                </v>
      </c>
      <c r="X572" s="296" t="str">
        <f>"     "</f>
        <v xml:space="preserve">     </v>
      </c>
      <c r="Y572" s="146"/>
      <c r="Z572" s="149" t="str">
        <f t="shared" ca="1" si="8"/>
        <v/>
      </c>
      <c r="AA572" s="149" t="str">
        <f ca="1">IFERROR(IF(OR(OFFSET('S4'!#REF!,MATCH($A572,'S4'!$D$5:$D$3387,0)-1,6)="巻返し",OFFSET('S4'!#REF!,MATCH($A572,'S4'!$D$5:$D$3387,0)-1,6)="スリット"),SUMIF('S4'!$D$5:$D$3387,$A572,'S4'!$U$5:$U$3387),""),"")</f>
        <v/>
      </c>
      <c r="AB572" s="149" t="str">
        <f ca="1">IFERROR(IF(OR(OFFSET('S5'!#REF!,MATCH($A572,'S5'!$D$5:$D$2917,0)-1,6)="巻返し",OFFSET('S5'!#REF!,MATCH($A572,'S5'!$D$5:$D$2917,0)-1,6)="スリット"),SUMIF('S5'!$D$5:$D$2917,$A572,'S5'!$T$5:$T$2917),""),"")</f>
        <v/>
      </c>
    </row>
    <row r="573" spans="1:28" s="144" customFormat="1" ht="13.5" x14ac:dyDescent="0.15">
      <c r="A573" s="296">
        <v>3728261</v>
      </c>
      <c r="B573" s="296" t="str">
        <f>"機能Ｆ　ラベル福島開"</f>
        <v>機能Ｆ　ラベル福島開</v>
      </c>
      <c r="C573" s="296" t="str">
        <f>"プロセス材２課      "</f>
        <v xml:space="preserve">プロセス材２課      </v>
      </c>
      <c r="D573" s="296" t="str">
        <f>"ダミー担当者        "</f>
        <v xml:space="preserve">ダミー担当者        </v>
      </c>
      <c r="E573" s="296" t="str">
        <f>"栃木カネカ㈱電材検査"</f>
        <v>栃木カネカ㈱電材検査</v>
      </c>
      <c r="F573" s="296">
        <v>3</v>
      </c>
      <c r="G573" s="296" t="s">
        <v>1657</v>
      </c>
      <c r="H573" s="296" t="s">
        <v>1658</v>
      </c>
      <c r="I573" s="296" t="s">
        <v>1659</v>
      </c>
      <c r="J573" s="296" t="str">
        <f>"   "</f>
        <v xml:space="preserve">   </v>
      </c>
      <c r="K573" s="296" t="s">
        <v>1660</v>
      </c>
      <c r="L573" s="296">
        <v>9</v>
      </c>
      <c r="M573" s="296" t="str">
        <f>"ＫＦ－９Ｂ                                                              "</f>
        <v xml:space="preserve">ＫＦ－９Ｂ                                                              </v>
      </c>
      <c r="N573" s="296">
        <v>1200</v>
      </c>
      <c r="O573" s="296">
        <v>1200</v>
      </c>
      <c r="P573" s="296">
        <v>2000</v>
      </c>
      <c r="Q573" s="296">
        <v>2</v>
      </c>
      <c r="R573" s="296">
        <v>6</v>
      </c>
      <c r="S573" s="296" t="str">
        <f>"本        "</f>
        <v xml:space="preserve">本        </v>
      </c>
      <c r="T573" s="298">
        <v>45196</v>
      </c>
      <c r="U573" s="298">
        <v>45230</v>
      </c>
      <c r="V573" s="296" t="str">
        <f>"福島工場ＣＯ        "</f>
        <v xml:space="preserve">福島工場ＣＯ        </v>
      </c>
      <c r="W573" s="296" t="str">
        <f>"                                                                                "</f>
        <v xml:space="preserve">                                                                                </v>
      </c>
      <c r="X573" s="296" t="str">
        <f>"     "</f>
        <v xml:space="preserve">     </v>
      </c>
      <c r="Y573" s="146"/>
      <c r="Z573" s="149" t="str">
        <f t="shared" ca="1" si="8"/>
        <v/>
      </c>
      <c r="AA573" s="149" t="str">
        <f ca="1">IFERROR(IF(OR(OFFSET('S4'!#REF!,MATCH($A573,'S4'!$D$5:$D$3387,0)-1,6)="巻返し",OFFSET('S4'!#REF!,MATCH($A573,'S4'!$D$5:$D$3387,0)-1,6)="スリット"),SUMIF('S4'!$D$5:$D$3387,$A573,'S4'!$U$5:$U$3387),""),"")</f>
        <v/>
      </c>
      <c r="AB573" s="149" t="str">
        <f ca="1">IFERROR(IF(OR(OFFSET('S5'!#REF!,MATCH($A573,'S5'!$D$5:$D$2917,0)-1,6)="巻返し",OFFSET('S5'!#REF!,MATCH($A573,'S5'!$D$5:$D$2917,0)-1,6)="スリット"),SUMIF('S5'!$D$5:$D$2917,$A573,'S5'!$T$5:$T$2917),""),"")</f>
        <v/>
      </c>
    </row>
    <row r="574" spans="1:28" s="144" customFormat="1" ht="13.5" x14ac:dyDescent="0.15">
      <c r="A574" s="296">
        <v>3731340</v>
      </c>
      <c r="B574" s="296" t="s">
        <v>351</v>
      </c>
      <c r="C574" s="296" t="s">
        <v>356</v>
      </c>
      <c r="D574" s="296" t="s">
        <v>353</v>
      </c>
      <c r="E574" s="296" t="s">
        <v>17</v>
      </c>
      <c r="F574" s="296">
        <v>3</v>
      </c>
      <c r="G574" s="296" t="s">
        <v>19</v>
      </c>
      <c r="H574" s="296" t="s">
        <v>20</v>
      </c>
      <c r="I574" s="296" t="s">
        <v>205</v>
      </c>
      <c r="J574" s="296" t="s">
        <v>928</v>
      </c>
      <c r="K574" s="296" t="s">
        <v>230</v>
      </c>
      <c r="L574" s="296">
        <v>25</v>
      </c>
      <c r="M574" s="296" t="s">
        <v>231</v>
      </c>
      <c r="N574" s="296">
        <v>1000</v>
      </c>
      <c r="O574" s="296">
        <v>1000</v>
      </c>
      <c r="P574" s="296">
        <v>2000</v>
      </c>
      <c r="Q574" s="296">
        <v>2</v>
      </c>
      <c r="R574" s="296">
        <v>4</v>
      </c>
      <c r="S574" s="296" t="s">
        <v>354</v>
      </c>
      <c r="T574" s="296" t="s">
        <v>1675</v>
      </c>
      <c r="U574" s="296" t="s">
        <v>1728</v>
      </c>
      <c r="V574" s="296" t="s">
        <v>355</v>
      </c>
      <c r="W574" s="296" t="s">
        <v>928</v>
      </c>
      <c r="X574" s="296" t="s">
        <v>928</v>
      </c>
      <c r="Y574" s="146"/>
      <c r="Z574" s="149" t="str">
        <f t="shared" ca="1" si="8"/>
        <v/>
      </c>
      <c r="AA574" s="149" t="str">
        <f ca="1">IFERROR(IF(OR(OFFSET('S4'!#REF!,MATCH($A574,'S4'!$D$5:$D$3387,0)-1,6)="巻返し",OFFSET('S4'!#REF!,MATCH($A574,'S4'!$D$5:$D$3387,0)-1,6)="スリット"),SUMIF('S4'!$D$5:$D$3387,$A574,'S4'!$U$5:$U$3387),""),"")</f>
        <v/>
      </c>
      <c r="AB574" s="149" t="str">
        <f ca="1">IFERROR(IF(OR(OFFSET('S5'!#REF!,MATCH($A574,'S5'!$D$5:$D$2917,0)-1,6)="巻返し",OFFSET('S5'!#REF!,MATCH($A574,'S5'!$D$5:$D$2917,0)-1,6)="スリット"),SUMIF('S5'!$D$5:$D$2917,$A574,'S5'!$T$5:$T$2917),""),"")</f>
        <v/>
      </c>
    </row>
    <row r="575" spans="1:28" s="144" customFormat="1" ht="13.5" x14ac:dyDescent="0.15">
      <c r="A575" s="296">
        <v>3731340</v>
      </c>
      <c r="B575" s="296" t="s">
        <v>351</v>
      </c>
      <c r="C575" s="296" t="s">
        <v>356</v>
      </c>
      <c r="D575" s="296" t="s">
        <v>353</v>
      </c>
      <c r="E575" s="296" t="s">
        <v>17</v>
      </c>
      <c r="F575" s="296">
        <v>3</v>
      </c>
      <c r="G575" s="296" t="s">
        <v>19</v>
      </c>
      <c r="H575" s="296" t="s">
        <v>20</v>
      </c>
      <c r="I575" s="296" t="s">
        <v>205</v>
      </c>
      <c r="J575" s="296" t="s">
        <v>928</v>
      </c>
      <c r="K575" s="296" t="s">
        <v>230</v>
      </c>
      <c r="L575" s="296">
        <v>25</v>
      </c>
      <c r="M575" s="296" t="s">
        <v>231</v>
      </c>
      <c r="N575" s="296">
        <v>1020</v>
      </c>
      <c r="O575" s="296">
        <v>1020</v>
      </c>
      <c r="P575" s="296">
        <v>2000</v>
      </c>
      <c r="Q575" s="296">
        <v>2</v>
      </c>
      <c r="R575" s="296">
        <v>2</v>
      </c>
      <c r="S575" s="296" t="s">
        <v>354</v>
      </c>
      <c r="T575" s="296" t="s">
        <v>1675</v>
      </c>
      <c r="U575" s="296" t="s">
        <v>1728</v>
      </c>
      <c r="V575" s="296" t="s">
        <v>355</v>
      </c>
      <c r="W575" s="296" t="s">
        <v>928</v>
      </c>
      <c r="X575" s="296" t="s">
        <v>928</v>
      </c>
      <c r="Y575" s="146"/>
      <c r="Z575" s="149" t="str">
        <f t="shared" ca="1" si="8"/>
        <v/>
      </c>
      <c r="AA575" s="149" t="str">
        <f ca="1">IFERROR(IF(OR(OFFSET('S4'!#REF!,MATCH($A575,'S4'!$D$5:$D$3387,0)-1,6)="巻返し",OFFSET('S4'!#REF!,MATCH($A575,'S4'!$D$5:$D$3387,0)-1,6)="スリット"),SUMIF('S4'!$D$5:$D$3387,$A575,'S4'!$U$5:$U$3387),""),"")</f>
        <v/>
      </c>
      <c r="AB575" s="149" t="str">
        <f ca="1">IFERROR(IF(OR(OFFSET('S5'!#REF!,MATCH($A575,'S5'!$D$5:$D$2917,0)-1,6)="巻返し",OFFSET('S5'!#REF!,MATCH($A575,'S5'!$D$5:$D$2917,0)-1,6)="スリット"),SUMIF('S5'!$D$5:$D$2917,$A575,'S5'!$T$5:$T$2917),""),"")</f>
        <v/>
      </c>
    </row>
    <row r="576" spans="1:28" s="144" customFormat="1" ht="13.5" x14ac:dyDescent="0.15">
      <c r="A576" s="296">
        <v>3731341</v>
      </c>
      <c r="B576" s="296" t="s">
        <v>351</v>
      </c>
      <c r="C576" s="296" t="s">
        <v>356</v>
      </c>
      <c r="D576" s="296" t="s">
        <v>353</v>
      </c>
      <c r="E576" s="296" t="s">
        <v>17</v>
      </c>
      <c r="F576" s="296">
        <v>3</v>
      </c>
      <c r="G576" s="296" t="s">
        <v>19</v>
      </c>
      <c r="H576" s="296" t="s">
        <v>20</v>
      </c>
      <c r="I576" s="296" t="s">
        <v>205</v>
      </c>
      <c r="J576" s="296" t="s">
        <v>928</v>
      </c>
      <c r="K576" s="296" t="s">
        <v>242</v>
      </c>
      <c r="L576" s="296">
        <v>75</v>
      </c>
      <c r="M576" s="296" t="s">
        <v>243</v>
      </c>
      <c r="N576" s="296">
        <v>1000</v>
      </c>
      <c r="O576" s="296">
        <v>1000</v>
      </c>
      <c r="P576" s="296">
        <v>1000</v>
      </c>
      <c r="Q576" s="296">
        <v>2</v>
      </c>
      <c r="R576" s="296">
        <v>2</v>
      </c>
      <c r="S576" s="296" t="s">
        <v>354</v>
      </c>
      <c r="T576" s="296" t="s">
        <v>1675</v>
      </c>
      <c r="U576" s="296" t="s">
        <v>1728</v>
      </c>
      <c r="V576" s="296" t="s">
        <v>355</v>
      </c>
      <c r="W576" s="296" t="s">
        <v>928</v>
      </c>
      <c r="X576" s="296" t="s">
        <v>928</v>
      </c>
      <c r="Y576" s="146"/>
      <c r="Z576" s="149" t="str">
        <f t="shared" ca="1" si="8"/>
        <v/>
      </c>
      <c r="AA576" s="149" t="str">
        <f ca="1">IFERROR(IF(OR(OFFSET('S4'!#REF!,MATCH($A576,'S4'!$D$5:$D$3387,0)-1,6)="巻返し",OFFSET('S4'!#REF!,MATCH($A576,'S4'!$D$5:$D$3387,0)-1,6)="スリット"),SUMIF('S4'!$D$5:$D$3387,$A576,'S4'!$U$5:$U$3387),""),"")</f>
        <v/>
      </c>
      <c r="AB576" s="149" t="str">
        <f ca="1">IFERROR(IF(OR(OFFSET('S5'!#REF!,MATCH($A576,'S5'!$D$5:$D$2917,0)-1,6)="巻返し",OFFSET('S5'!#REF!,MATCH($A576,'S5'!$D$5:$D$2917,0)-1,6)="スリット"),SUMIF('S5'!$D$5:$D$2917,$A576,'S5'!$T$5:$T$2917),""),"")</f>
        <v/>
      </c>
    </row>
    <row r="577" spans="1:28" s="144" customFormat="1" ht="13.5" x14ac:dyDescent="0.15">
      <c r="A577" s="296">
        <v>3731342</v>
      </c>
      <c r="B577" s="296" t="s">
        <v>351</v>
      </c>
      <c r="C577" s="296" t="s">
        <v>358</v>
      </c>
      <c r="D577" s="296" t="s">
        <v>353</v>
      </c>
      <c r="E577" s="296" t="s">
        <v>61</v>
      </c>
      <c r="F577" s="296">
        <v>3</v>
      </c>
      <c r="G577" s="296" t="s">
        <v>19</v>
      </c>
      <c r="H577" s="296" t="s">
        <v>20</v>
      </c>
      <c r="I577" s="296" t="s">
        <v>205</v>
      </c>
      <c r="J577" s="296" t="s">
        <v>928</v>
      </c>
      <c r="K577" s="296" t="s">
        <v>242</v>
      </c>
      <c r="L577" s="296">
        <v>50</v>
      </c>
      <c r="M577" s="296" t="s">
        <v>243</v>
      </c>
      <c r="N577" s="296">
        <v>1255</v>
      </c>
      <c r="O577" s="296">
        <v>1250</v>
      </c>
      <c r="P577" s="296">
        <v>2000</v>
      </c>
      <c r="Q577" s="296">
        <v>2</v>
      </c>
      <c r="R577" s="296">
        <v>18</v>
      </c>
      <c r="S577" s="296" t="s">
        <v>354</v>
      </c>
      <c r="T577" s="296" t="s">
        <v>1675</v>
      </c>
      <c r="U577" s="296" t="s">
        <v>1729</v>
      </c>
      <c r="V577" s="296" t="s">
        <v>355</v>
      </c>
      <c r="W577" s="296" t="s">
        <v>928</v>
      </c>
      <c r="X577" s="296" t="s">
        <v>928</v>
      </c>
      <c r="Y577" s="146"/>
      <c r="Z577" s="149" t="str">
        <f t="shared" ca="1" si="8"/>
        <v/>
      </c>
      <c r="AA577" s="149" t="str">
        <f ca="1">IFERROR(IF(OR(OFFSET('S4'!#REF!,MATCH($A577,'S4'!$D$5:$D$3387,0)-1,6)="巻返し",OFFSET('S4'!#REF!,MATCH($A577,'S4'!$D$5:$D$3387,0)-1,6)="スリット"),SUMIF('S4'!$D$5:$D$3387,$A577,'S4'!$U$5:$U$3387),""),"")</f>
        <v/>
      </c>
      <c r="AB577" s="149" t="str">
        <f ca="1">IFERROR(IF(OR(OFFSET('S5'!#REF!,MATCH($A577,'S5'!$D$5:$D$2917,0)-1,6)="巻返し",OFFSET('S5'!#REF!,MATCH($A577,'S5'!$D$5:$D$2917,0)-1,6)="スリット"),SUMIF('S5'!$D$5:$D$2917,$A577,'S5'!$T$5:$T$2917),""),"")</f>
        <v/>
      </c>
    </row>
    <row r="578" spans="1:28" s="144" customFormat="1" ht="13.5" x14ac:dyDescent="0.15">
      <c r="A578" s="296">
        <v>3731344</v>
      </c>
      <c r="B578" s="296" t="s">
        <v>351</v>
      </c>
      <c r="C578" s="296" t="s">
        <v>364</v>
      </c>
      <c r="D578" s="296" t="s">
        <v>353</v>
      </c>
      <c r="E578" s="296" t="s">
        <v>148</v>
      </c>
      <c r="F578" s="296">
        <v>3</v>
      </c>
      <c r="G578" s="296" t="s">
        <v>19</v>
      </c>
      <c r="H578" s="296" t="s">
        <v>20</v>
      </c>
      <c r="I578" s="296" t="s">
        <v>143</v>
      </c>
      <c r="J578" s="296" t="s">
        <v>928</v>
      </c>
      <c r="K578" s="296" t="s">
        <v>149</v>
      </c>
      <c r="L578" s="296">
        <v>50</v>
      </c>
      <c r="M578" s="296" t="s">
        <v>150</v>
      </c>
      <c r="N578" s="296">
        <v>1120</v>
      </c>
      <c r="O578" s="296">
        <v>1120</v>
      </c>
      <c r="P578" s="296">
        <v>6000</v>
      </c>
      <c r="Q578" s="296">
        <v>2</v>
      </c>
      <c r="R578" s="296">
        <v>8</v>
      </c>
      <c r="S578" s="296" t="s">
        <v>354</v>
      </c>
      <c r="T578" s="296" t="s">
        <v>1675</v>
      </c>
      <c r="U578" s="296" t="s">
        <v>1728</v>
      </c>
      <c r="V578" s="296" t="s">
        <v>355</v>
      </c>
      <c r="W578" s="296" t="s">
        <v>928</v>
      </c>
      <c r="X578" s="296" t="s">
        <v>928</v>
      </c>
      <c r="Y578" s="146"/>
      <c r="Z578" s="149" t="str">
        <f t="shared" ca="1" si="8"/>
        <v/>
      </c>
      <c r="AA578" s="149" t="str">
        <f ca="1">IFERROR(IF(OR(OFFSET('S4'!#REF!,MATCH($A578,'S4'!$D$5:$D$3387,0)-1,6)="巻返し",OFFSET('S4'!#REF!,MATCH($A578,'S4'!$D$5:$D$3387,0)-1,6)="スリット"),SUMIF('S4'!$D$5:$D$3387,$A578,'S4'!$U$5:$U$3387),""),"")</f>
        <v/>
      </c>
      <c r="AB578" s="149" t="str">
        <f ca="1">IFERROR(IF(OR(OFFSET('S5'!#REF!,MATCH($A578,'S5'!$D$5:$D$2917,0)-1,6)="巻返し",OFFSET('S5'!#REF!,MATCH($A578,'S5'!$D$5:$D$2917,0)-1,6)="スリット"),SUMIF('S5'!$D$5:$D$2917,$A578,'S5'!$T$5:$T$2917),""),"")</f>
        <v/>
      </c>
    </row>
    <row r="579" spans="1:28" s="144" customFormat="1" ht="13.5" x14ac:dyDescent="0.15">
      <c r="A579" s="296">
        <v>3731345</v>
      </c>
      <c r="B579" s="296" t="s">
        <v>351</v>
      </c>
      <c r="C579" s="296" t="s">
        <v>364</v>
      </c>
      <c r="D579" s="296" t="s">
        <v>353</v>
      </c>
      <c r="E579" s="296" t="s">
        <v>148</v>
      </c>
      <c r="F579" s="296">
        <v>3</v>
      </c>
      <c r="G579" s="296" t="s">
        <v>19</v>
      </c>
      <c r="H579" s="296" t="s">
        <v>20</v>
      </c>
      <c r="I579" s="296" t="s">
        <v>165</v>
      </c>
      <c r="J579" s="296" t="s">
        <v>928</v>
      </c>
      <c r="K579" s="296" t="s">
        <v>169</v>
      </c>
      <c r="L579" s="296">
        <v>50</v>
      </c>
      <c r="M579" s="296" t="s">
        <v>170</v>
      </c>
      <c r="N579" s="296">
        <v>1120</v>
      </c>
      <c r="O579" s="296">
        <v>1120</v>
      </c>
      <c r="P579" s="296">
        <v>6000</v>
      </c>
      <c r="Q579" s="296">
        <v>2</v>
      </c>
      <c r="R579" s="296">
        <v>4</v>
      </c>
      <c r="S579" s="296" t="s">
        <v>354</v>
      </c>
      <c r="T579" s="296" t="s">
        <v>1675</v>
      </c>
      <c r="U579" s="296" t="s">
        <v>1728</v>
      </c>
      <c r="V579" s="296" t="s">
        <v>355</v>
      </c>
      <c r="W579" s="296" t="s">
        <v>928</v>
      </c>
      <c r="X579" s="296" t="s">
        <v>928</v>
      </c>
      <c r="Y579" s="146"/>
      <c r="Z579" s="149" t="str">
        <f t="shared" ref="Z579:Z618" ca="1" si="9">IF(SUM(AA579:AB579)=0,"",SUM(AA579:AB579))</f>
        <v/>
      </c>
      <c r="AA579" s="149" t="str">
        <f ca="1">IFERROR(IF(OR(OFFSET('S4'!#REF!,MATCH($A579,'S4'!$D$5:$D$3387,0)-1,6)="巻返し",OFFSET('S4'!#REF!,MATCH($A579,'S4'!$D$5:$D$3387,0)-1,6)="スリット"),SUMIF('S4'!$D$5:$D$3387,$A579,'S4'!$U$5:$U$3387),""),"")</f>
        <v/>
      </c>
      <c r="AB579" s="149" t="str">
        <f ca="1">IFERROR(IF(OR(OFFSET('S5'!#REF!,MATCH($A579,'S5'!$D$5:$D$2917,0)-1,6)="巻返し",OFFSET('S5'!#REF!,MATCH($A579,'S5'!$D$5:$D$2917,0)-1,6)="スリット"),SUMIF('S5'!$D$5:$D$2917,$A579,'S5'!$T$5:$T$2917),""),"")</f>
        <v/>
      </c>
    </row>
    <row r="580" spans="1:28" s="144" customFormat="1" ht="13.5" x14ac:dyDescent="0.15">
      <c r="A580" s="296">
        <v>3731346</v>
      </c>
      <c r="B580" s="296" t="s">
        <v>351</v>
      </c>
      <c r="C580" s="296" t="s">
        <v>364</v>
      </c>
      <c r="D580" s="296" t="s">
        <v>353</v>
      </c>
      <c r="E580" s="296" t="s">
        <v>148</v>
      </c>
      <c r="F580" s="296">
        <v>3</v>
      </c>
      <c r="G580" s="296" t="s">
        <v>19</v>
      </c>
      <c r="H580" s="296" t="s">
        <v>20</v>
      </c>
      <c r="I580" s="296" t="s">
        <v>165</v>
      </c>
      <c r="J580" s="296" t="s">
        <v>928</v>
      </c>
      <c r="K580" s="296" t="s">
        <v>180</v>
      </c>
      <c r="L580" s="296">
        <v>50</v>
      </c>
      <c r="M580" s="296" t="s">
        <v>181</v>
      </c>
      <c r="N580" s="296">
        <v>1120</v>
      </c>
      <c r="O580" s="296">
        <v>1120</v>
      </c>
      <c r="P580" s="296">
        <v>4000</v>
      </c>
      <c r="Q580" s="296">
        <v>2</v>
      </c>
      <c r="R580" s="296">
        <v>6</v>
      </c>
      <c r="S580" s="296" t="s">
        <v>354</v>
      </c>
      <c r="T580" s="296" t="s">
        <v>1675</v>
      </c>
      <c r="U580" s="296" t="s">
        <v>1728</v>
      </c>
      <c r="V580" s="296" t="s">
        <v>355</v>
      </c>
      <c r="W580" s="296" t="s">
        <v>928</v>
      </c>
      <c r="X580" s="296" t="s">
        <v>928</v>
      </c>
      <c r="Y580" s="146"/>
      <c r="Z580" s="149" t="str">
        <f t="shared" ca="1" si="9"/>
        <v/>
      </c>
      <c r="AA580" s="149" t="str">
        <f ca="1">IFERROR(IF(OR(OFFSET('S4'!#REF!,MATCH($A580,'S4'!$D$5:$D$3387,0)-1,6)="巻返し",OFFSET('S4'!#REF!,MATCH($A580,'S4'!$D$5:$D$3387,0)-1,6)="スリット"),SUMIF('S4'!$D$5:$D$3387,$A580,'S4'!$U$5:$U$3387),""),"")</f>
        <v/>
      </c>
      <c r="AB580" s="149" t="str">
        <f ca="1">IFERROR(IF(OR(OFFSET('S5'!#REF!,MATCH($A580,'S5'!$D$5:$D$2917,0)-1,6)="巻返し",OFFSET('S5'!#REF!,MATCH($A580,'S5'!$D$5:$D$2917,0)-1,6)="スリット"),SUMIF('S5'!$D$5:$D$2917,$A580,'S5'!$T$5:$T$2917),""),"")</f>
        <v/>
      </c>
    </row>
    <row r="581" spans="1:28" s="144" customFormat="1" ht="13.5" x14ac:dyDescent="0.15">
      <c r="A581" s="296">
        <v>3731347</v>
      </c>
      <c r="B581" s="296" t="s">
        <v>351</v>
      </c>
      <c r="C581" s="296" t="s">
        <v>352</v>
      </c>
      <c r="D581" s="296" t="s">
        <v>353</v>
      </c>
      <c r="E581" s="296" t="s">
        <v>116</v>
      </c>
      <c r="F581" s="296">
        <v>3</v>
      </c>
      <c r="G581" s="296" t="s">
        <v>19</v>
      </c>
      <c r="H581" s="296" t="s">
        <v>20</v>
      </c>
      <c r="I581" s="296" t="s">
        <v>205</v>
      </c>
      <c r="J581" s="296" t="s">
        <v>928</v>
      </c>
      <c r="K581" s="296" t="s">
        <v>212</v>
      </c>
      <c r="L581" s="296">
        <v>25</v>
      </c>
      <c r="M581" s="296" t="s">
        <v>213</v>
      </c>
      <c r="N581" s="296">
        <v>1000</v>
      </c>
      <c r="O581" s="296">
        <v>1000</v>
      </c>
      <c r="P581" s="296">
        <v>4000</v>
      </c>
      <c r="Q581" s="296">
        <v>2</v>
      </c>
      <c r="R581" s="296">
        <v>2</v>
      </c>
      <c r="S581" s="296" t="s">
        <v>354</v>
      </c>
      <c r="T581" s="296" t="s">
        <v>1675</v>
      </c>
      <c r="U581" s="296" t="s">
        <v>1717</v>
      </c>
      <c r="V581" s="296" t="s">
        <v>355</v>
      </c>
      <c r="W581" s="296" t="s">
        <v>928</v>
      </c>
      <c r="X581" s="296" t="s">
        <v>928</v>
      </c>
      <c r="Y581" s="146"/>
      <c r="Z581" s="149" t="str">
        <f t="shared" ca="1" si="9"/>
        <v/>
      </c>
      <c r="AA581" s="149" t="str">
        <f ca="1">IFERROR(IF(OR(OFFSET('S4'!#REF!,MATCH($A581,'S4'!$D$5:$D$3387,0)-1,6)="巻返し",OFFSET('S4'!#REF!,MATCH($A581,'S4'!$D$5:$D$3387,0)-1,6)="スリット"),SUMIF('S4'!$D$5:$D$3387,$A581,'S4'!$U$5:$U$3387),""),"")</f>
        <v/>
      </c>
      <c r="AB581" s="149" t="str">
        <f ca="1">IFERROR(IF(OR(OFFSET('S5'!#REF!,MATCH($A581,'S5'!$D$5:$D$2917,0)-1,6)="巻返し",OFFSET('S5'!#REF!,MATCH($A581,'S5'!$D$5:$D$2917,0)-1,6)="スリット"),SUMIF('S5'!$D$5:$D$2917,$A581,'S5'!$T$5:$T$2917),""),"")</f>
        <v/>
      </c>
    </row>
    <row r="582" spans="1:28" s="144" customFormat="1" ht="13.5" x14ac:dyDescent="0.15">
      <c r="A582" s="296">
        <v>3731348</v>
      </c>
      <c r="B582" s="296" t="s">
        <v>351</v>
      </c>
      <c r="C582" s="296" t="s">
        <v>352</v>
      </c>
      <c r="D582" s="296" t="s">
        <v>353</v>
      </c>
      <c r="E582" s="296" t="s">
        <v>116</v>
      </c>
      <c r="F582" s="296">
        <v>3</v>
      </c>
      <c r="G582" s="296" t="s">
        <v>19</v>
      </c>
      <c r="H582" s="296" t="s">
        <v>20</v>
      </c>
      <c r="I582" s="296" t="s">
        <v>205</v>
      </c>
      <c r="J582" s="296" t="s">
        <v>928</v>
      </c>
      <c r="K582" s="296" t="s">
        <v>212</v>
      </c>
      <c r="L582" s="296">
        <v>25</v>
      </c>
      <c r="M582" s="296" t="s">
        <v>213</v>
      </c>
      <c r="N582" s="296">
        <v>1120</v>
      </c>
      <c r="O582" s="296">
        <v>1120</v>
      </c>
      <c r="P582" s="296">
        <v>4000</v>
      </c>
      <c r="Q582" s="296">
        <v>2</v>
      </c>
      <c r="R582" s="296">
        <v>6</v>
      </c>
      <c r="S582" s="296" t="s">
        <v>354</v>
      </c>
      <c r="T582" s="296" t="s">
        <v>1675</v>
      </c>
      <c r="U582" s="296" t="s">
        <v>1717</v>
      </c>
      <c r="V582" s="296" t="s">
        <v>355</v>
      </c>
      <c r="W582" s="296" t="s">
        <v>928</v>
      </c>
      <c r="X582" s="296" t="s">
        <v>928</v>
      </c>
      <c r="Y582" s="146"/>
      <c r="Z582" s="149" t="str">
        <f t="shared" ca="1" si="9"/>
        <v/>
      </c>
      <c r="AA582" s="149" t="str">
        <f ca="1">IFERROR(IF(OR(OFFSET('S4'!#REF!,MATCH($A582,'S4'!$D$5:$D$3387,0)-1,6)="巻返し",OFFSET('S4'!#REF!,MATCH($A582,'S4'!$D$5:$D$3387,0)-1,6)="スリット"),SUMIF('S4'!$D$5:$D$3387,$A582,'S4'!$U$5:$U$3387),""),"")</f>
        <v/>
      </c>
      <c r="AB582" s="149" t="str">
        <f ca="1">IFERROR(IF(OR(OFFSET('S5'!#REF!,MATCH($A582,'S5'!$D$5:$D$2917,0)-1,6)="巻返し",OFFSET('S5'!#REF!,MATCH($A582,'S5'!$D$5:$D$2917,0)-1,6)="スリット"),SUMIF('S5'!$D$5:$D$2917,$A582,'S5'!$T$5:$T$2917),""),"")</f>
        <v/>
      </c>
    </row>
    <row r="583" spans="1:28" s="144" customFormat="1" ht="13.5" x14ac:dyDescent="0.15">
      <c r="A583" s="296">
        <v>3731349</v>
      </c>
      <c r="B583" s="296" t="s">
        <v>351</v>
      </c>
      <c r="C583" s="296" t="s">
        <v>352</v>
      </c>
      <c r="D583" s="296" t="s">
        <v>353</v>
      </c>
      <c r="E583" s="296" t="s">
        <v>116</v>
      </c>
      <c r="F583" s="296">
        <v>3</v>
      </c>
      <c r="G583" s="296" t="s">
        <v>19</v>
      </c>
      <c r="H583" s="296" t="s">
        <v>20</v>
      </c>
      <c r="I583" s="296" t="s">
        <v>205</v>
      </c>
      <c r="J583" s="296" t="s">
        <v>928</v>
      </c>
      <c r="K583" s="296" t="s">
        <v>212</v>
      </c>
      <c r="L583" s="296">
        <v>50</v>
      </c>
      <c r="M583" s="296" t="s">
        <v>213</v>
      </c>
      <c r="N583" s="296">
        <v>1120</v>
      </c>
      <c r="O583" s="296">
        <v>1120</v>
      </c>
      <c r="P583" s="296">
        <v>4000</v>
      </c>
      <c r="Q583" s="296">
        <v>2</v>
      </c>
      <c r="R583" s="296">
        <v>18</v>
      </c>
      <c r="S583" s="296" t="s">
        <v>354</v>
      </c>
      <c r="T583" s="296" t="s">
        <v>1675</v>
      </c>
      <c r="U583" s="296" t="s">
        <v>1730</v>
      </c>
      <c r="V583" s="296" t="s">
        <v>355</v>
      </c>
      <c r="W583" s="296" t="s">
        <v>928</v>
      </c>
      <c r="X583" s="296" t="s">
        <v>928</v>
      </c>
      <c r="Y583" s="146"/>
      <c r="Z583" s="149" t="str">
        <f t="shared" ca="1" si="9"/>
        <v/>
      </c>
      <c r="AA583" s="149" t="str">
        <f ca="1">IFERROR(IF(OR(OFFSET('S4'!#REF!,MATCH($A583,'S4'!$D$5:$D$3387,0)-1,6)="巻返し",OFFSET('S4'!#REF!,MATCH($A583,'S4'!$D$5:$D$3387,0)-1,6)="スリット"),SUMIF('S4'!$D$5:$D$3387,$A583,'S4'!$U$5:$U$3387),""),"")</f>
        <v/>
      </c>
      <c r="AB583" s="149" t="str">
        <f ca="1">IFERROR(IF(OR(OFFSET('S5'!#REF!,MATCH($A583,'S5'!$D$5:$D$2917,0)-1,6)="巻返し",OFFSET('S5'!#REF!,MATCH($A583,'S5'!$D$5:$D$2917,0)-1,6)="スリット"),SUMIF('S5'!$D$5:$D$2917,$A583,'S5'!$T$5:$T$2917),""),"")</f>
        <v/>
      </c>
    </row>
    <row r="584" spans="1:28" s="144" customFormat="1" ht="13.5" x14ac:dyDescent="0.15">
      <c r="A584" s="296">
        <v>3731350</v>
      </c>
      <c r="B584" s="296" t="s">
        <v>351</v>
      </c>
      <c r="C584" s="296" t="s">
        <v>352</v>
      </c>
      <c r="D584" s="296" t="s">
        <v>353</v>
      </c>
      <c r="E584" s="296" t="s">
        <v>116</v>
      </c>
      <c r="F584" s="296">
        <v>3</v>
      </c>
      <c r="G584" s="296" t="s">
        <v>19</v>
      </c>
      <c r="H584" s="296" t="s">
        <v>20</v>
      </c>
      <c r="I584" s="296" t="s">
        <v>205</v>
      </c>
      <c r="J584" s="296" t="s">
        <v>928</v>
      </c>
      <c r="K584" s="296" t="s">
        <v>212</v>
      </c>
      <c r="L584" s="296">
        <v>50</v>
      </c>
      <c r="M584" s="296" t="s">
        <v>213</v>
      </c>
      <c r="N584" s="296">
        <v>1120</v>
      </c>
      <c r="O584" s="296">
        <v>1120</v>
      </c>
      <c r="P584" s="296">
        <v>4000</v>
      </c>
      <c r="Q584" s="296">
        <v>2</v>
      </c>
      <c r="R584" s="296">
        <v>18</v>
      </c>
      <c r="S584" s="296" t="s">
        <v>354</v>
      </c>
      <c r="T584" s="296" t="s">
        <v>1675</v>
      </c>
      <c r="U584" s="296" t="s">
        <v>1730</v>
      </c>
      <c r="V584" s="296" t="s">
        <v>355</v>
      </c>
      <c r="W584" s="296" t="s">
        <v>928</v>
      </c>
      <c r="X584" s="296" t="s">
        <v>928</v>
      </c>
      <c r="Y584" s="146"/>
      <c r="Z584" s="149" t="str">
        <f t="shared" ca="1" si="9"/>
        <v/>
      </c>
      <c r="AA584" s="149" t="str">
        <f ca="1">IFERROR(IF(OR(OFFSET('S4'!#REF!,MATCH($A584,'S4'!$D$5:$D$3387,0)-1,6)="巻返し",OFFSET('S4'!#REF!,MATCH($A584,'S4'!$D$5:$D$3387,0)-1,6)="スリット"),SUMIF('S4'!$D$5:$D$3387,$A584,'S4'!$U$5:$U$3387),""),"")</f>
        <v/>
      </c>
      <c r="AB584" s="149" t="str">
        <f ca="1">IFERROR(IF(OR(OFFSET('S5'!#REF!,MATCH($A584,'S5'!$D$5:$D$2917,0)-1,6)="巻返し",OFFSET('S5'!#REF!,MATCH($A584,'S5'!$D$5:$D$2917,0)-1,6)="スリット"),SUMIF('S5'!$D$5:$D$2917,$A584,'S5'!$T$5:$T$2917),""),"")</f>
        <v/>
      </c>
    </row>
    <row r="585" spans="1:28" s="144" customFormat="1" ht="13.5" x14ac:dyDescent="0.15">
      <c r="A585" s="296">
        <v>3731351</v>
      </c>
      <c r="B585" s="296" t="s">
        <v>351</v>
      </c>
      <c r="C585" s="296" t="s">
        <v>352</v>
      </c>
      <c r="D585" s="296" t="s">
        <v>353</v>
      </c>
      <c r="E585" s="296" t="s">
        <v>116</v>
      </c>
      <c r="F585" s="296">
        <v>3</v>
      </c>
      <c r="G585" s="296" t="s">
        <v>19</v>
      </c>
      <c r="H585" s="296" t="s">
        <v>20</v>
      </c>
      <c r="I585" s="296" t="s">
        <v>205</v>
      </c>
      <c r="J585" s="296" t="s">
        <v>928</v>
      </c>
      <c r="K585" s="296" t="s">
        <v>211</v>
      </c>
      <c r="L585" s="296">
        <v>50</v>
      </c>
      <c r="M585" s="296" t="s">
        <v>370</v>
      </c>
      <c r="N585" s="296">
        <v>1050</v>
      </c>
      <c r="O585" s="296">
        <v>1050</v>
      </c>
      <c r="P585" s="296">
        <v>4100</v>
      </c>
      <c r="Q585" s="296">
        <v>2</v>
      </c>
      <c r="R585" s="296">
        <v>5</v>
      </c>
      <c r="S585" s="296" t="s">
        <v>354</v>
      </c>
      <c r="T585" s="296" t="s">
        <v>1675</v>
      </c>
      <c r="U585" s="296" t="s">
        <v>1717</v>
      </c>
      <c r="V585" s="296" t="s">
        <v>355</v>
      </c>
      <c r="W585" s="296" t="s">
        <v>928</v>
      </c>
      <c r="X585" s="296" t="s">
        <v>928</v>
      </c>
      <c r="Y585" s="146"/>
      <c r="Z585" s="149" t="str">
        <f t="shared" ca="1" si="9"/>
        <v/>
      </c>
      <c r="AA585" s="149" t="str">
        <f ca="1">IFERROR(IF(OR(OFFSET('S4'!#REF!,MATCH($A585,'S4'!$D$5:$D$3387,0)-1,6)="巻返し",OFFSET('S4'!#REF!,MATCH($A585,'S4'!$D$5:$D$3387,0)-1,6)="スリット"),SUMIF('S4'!$D$5:$D$3387,$A585,'S4'!$U$5:$U$3387),""),"")</f>
        <v/>
      </c>
      <c r="AB585" s="149" t="str">
        <f ca="1">IFERROR(IF(OR(OFFSET('S5'!#REF!,MATCH($A585,'S5'!$D$5:$D$2917,0)-1,6)="巻返し",OFFSET('S5'!#REF!,MATCH($A585,'S5'!$D$5:$D$2917,0)-1,6)="スリット"),SUMIF('S5'!$D$5:$D$2917,$A585,'S5'!$T$5:$T$2917),""),"")</f>
        <v/>
      </c>
    </row>
    <row r="586" spans="1:28" s="144" customFormat="1" ht="13.5" x14ac:dyDescent="0.15">
      <c r="A586" s="296">
        <v>3731353</v>
      </c>
      <c r="B586" s="296" t="s">
        <v>351</v>
      </c>
      <c r="C586" s="296" t="s">
        <v>352</v>
      </c>
      <c r="D586" s="296" t="s">
        <v>353</v>
      </c>
      <c r="E586" s="296" t="s">
        <v>116</v>
      </c>
      <c r="F586" s="296">
        <v>3</v>
      </c>
      <c r="G586" s="296" t="s">
        <v>19</v>
      </c>
      <c r="H586" s="296" t="s">
        <v>20</v>
      </c>
      <c r="I586" s="296" t="s">
        <v>205</v>
      </c>
      <c r="J586" s="296" t="s">
        <v>928</v>
      </c>
      <c r="K586" s="296" t="s">
        <v>216</v>
      </c>
      <c r="L586" s="296">
        <v>25</v>
      </c>
      <c r="M586" s="296" t="s">
        <v>217</v>
      </c>
      <c r="N586" s="296">
        <v>1005</v>
      </c>
      <c r="O586" s="296">
        <v>1000</v>
      </c>
      <c r="P586" s="296">
        <v>4000</v>
      </c>
      <c r="Q586" s="296">
        <v>2</v>
      </c>
      <c r="R586" s="296">
        <v>18</v>
      </c>
      <c r="S586" s="296" t="s">
        <v>354</v>
      </c>
      <c r="T586" s="296" t="s">
        <v>1675</v>
      </c>
      <c r="U586" s="296" t="s">
        <v>1717</v>
      </c>
      <c r="V586" s="296" t="s">
        <v>355</v>
      </c>
      <c r="W586" s="296" t="s">
        <v>928</v>
      </c>
      <c r="X586" s="296" t="s">
        <v>928</v>
      </c>
      <c r="Y586" s="146"/>
      <c r="Z586" s="149" t="str">
        <f t="shared" ca="1" si="9"/>
        <v/>
      </c>
      <c r="AA586" s="149" t="str">
        <f ca="1">IFERROR(IF(OR(OFFSET('S4'!#REF!,MATCH($A586,'S4'!$D$5:$D$3387,0)-1,6)="巻返し",OFFSET('S4'!#REF!,MATCH($A586,'S4'!$D$5:$D$3387,0)-1,6)="スリット"),SUMIF('S4'!$D$5:$D$3387,$A586,'S4'!$U$5:$U$3387),""),"")</f>
        <v/>
      </c>
      <c r="AB586" s="149" t="str">
        <f ca="1">IFERROR(IF(OR(OFFSET('S5'!#REF!,MATCH($A586,'S5'!$D$5:$D$2917,0)-1,6)="巻返し",OFFSET('S5'!#REF!,MATCH($A586,'S5'!$D$5:$D$2917,0)-1,6)="スリット"),SUMIF('S5'!$D$5:$D$2917,$A586,'S5'!$T$5:$T$2917),""),"")</f>
        <v/>
      </c>
    </row>
    <row r="587" spans="1:28" s="144" customFormat="1" ht="13.5" x14ac:dyDescent="0.15">
      <c r="A587" s="296">
        <v>3731354</v>
      </c>
      <c r="B587" s="296" t="s">
        <v>351</v>
      </c>
      <c r="C587" s="296" t="s">
        <v>352</v>
      </c>
      <c r="D587" s="296" t="s">
        <v>353</v>
      </c>
      <c r="E587" s="296" t="s">
        <v>116</v>
      </c>
      <c r="F587" s="296">
        <v>3</v>
      </c>
      <c r="G587" s="296" t="s">
        <v>19</v>
      </c>
      <c r="H587" s="296" t="s">
        <v>20</v>
      </c>
      <c r="I587" s="296" t="s">
        <v>205</v>
      </c>
      <c r="J587" s="296" t="s">
        <v>928</v>
      </c>
      <c r="K587" s="296" t="s">
        <v>216</v>
      </c>
      <c r="L587" s="296">
        <v>25</v>
      </c>
      <c r="M587" s="296" t="s">
        <v>217</v>
      </c>
      <c r="N587" s="296">
        <v>1125</v>
      </c>
      <c r="O587" s="296">
        <v>1120</v>
      </c>
      <c r="P587" s="296">
        <v>4000</v>
      </c>
      <c r="Q587" s="296">
        <v>2</v>
      </c>
      <c r="R587" s="296">
        <v>3</v>
      </c>
      <c r="S587" s="296" t="s">
        <v>354</v>
      </c>
      <c r="T587" s="296" t="s">
        <v>1675</v>
      </c>
      <c r="U587" s="296" t="s">
        <v>1717</v>
      </c>
      <c r="V587" s="296" t="s">
        <v>355</v>
      </c>
      <c r="W587" s="296" t="s">
        <v>928</v>
      </c>
      <c r="X587" s="296" t="s">
        <v>928</v>
      </c>
      <c r="Y587" s="146"/>
      <c r="Z587" s="149" t="str">
        <f t="shared" ca="1" si="9"/>
        <v/>
      </c>
      <c r="AA587" s="149" t="str">
        <f ca="1">IFERROR(IF(OR(OFFSET('S4'!#REF!,MATCH($A587,'S4'!$D$5:$D$3387,0)-1,6)="巻返し",OFFSET('S4'!#REF!,MATCH($A587,'S4'!$D$5:$D$3387,0)-1,6)="スリット"),SUMIF('S4'!$D$5:$D$3387,$A587,'S4'!$U$5:$U$3387),""),"")</f>
        <v/>
      </c>
      <c r="AB587" s="149" t="str">
        <f ca="1">IFERROR(IF(OR(OFFSET('S5'!#REF!,MATCH($A587,'S5'!$D$5:$D$2917,0)-1,6)="巻返し",OFFSET('S5'!#REF!,MATCH($A587,'S5'!$D$5:$D$2917,0)-1,6)="スリット"),SUMIF('S5'!$D$5:$D$2917,$A587,'S5'!$T$5:$T$2917),""),"")</f>
        <v/>
      </c>
    </row>
    <row r="588" spans="1:28" s="144" customFormat="1" ht="13.5" x14ac:dyDescent="0.15">
      <c r="A588" s="296">
        <v>3731355</v>
      </c>
      <c r="B588" s="296" t="s">
        <v>351</v>
      </c>
      <c r="C588" s="296" t="s">
        <v>352</v>
      </c>
      <c r="D588" s="296" t="s">
        <v>353</v>
      </c>
      <c r="E588" s="296" t="s">
        <v>116</v>
      </c>
      <c r="F588" s="296">
        <v>3</v>
      </c>
      <c r="G588" s="296" t="s">
        <v>19</v>
      </c>
      <c r="H588" s="296" t="s">
        <v>20</v>
      </c>
      <c r="I588" s="296" t="s">
        <v>205</v>
      </c>
      <c r="J588" s="296" t="s">
        <v>928</v>
      </c>
      <c r="K588" s="296" t="s">
        <v>216</v>
      </c>
      <c r="L588" s="296">
        <v>50</v>
      </c>
      <c r="M588" s="296" t="s">
        <v>217</v>
      </c>
      <c r="N588" s="296">
        <v>1120</v>
      </c>
      <c r="O588" s="296">
        <v>1120</v>
      </c>
      <c r="P588" s="296">
        <v>5000</v>
      </c>
      <c r="Q588" s="296">
        <v>2</v>
      </c>
      <c r="R588" s="296">
        <v>30</v>
      </c>
      <c r="S588" s="296" t="s">
        <v>354</v>
      </c>
      <c r="T588" s="296" t="s">
        <v>1675</v>
      </c>
      <c r="U588" s="296" t="s">
        <v>1730</v>
      </c>
      <c r="V588" s="296" t="s">
        <v>355</v>
      </c>
      <c r="W588" s="296" t="s">
        <v>928</v>
      </c>
      <c r="X588" s="296" t="s">
        <v>928</v>
      </c>
      <c r="Y588" s="146"/>
      <c r="Z588" s="149" t="str">
        <f t="shared" ca="1" si="9"/>
        <v/>
      </c>
      <c r="AA588" s="149" t="str">
        <f ca="1">IFERROR(IF(OR(OFFSET('S4'!#REF!,MATCH($A588,'S4'!$D$5:$D$3387,0)-1,6)="巻返し",OFFSET('S4'!#REF!,MATCH($A588,'S4'!$D$5:$D$3387,0)-1,6)="スリット"),SUMIF('S4'!$D$5:$D$3387,$A588,'S4'!$U$5:$U$3387),""),"")</f>
        <v/>
      </c>
      <c r="AB588" s="149" t="str">
        <f ca="1">IFERROR(IF(OR(OFFSET('S5'!#REF!,MATCH($A588,'S5'!$D$5:$D$2917,0)-1,6)="巻返し",OFFSET('S5'!#REF!,MATCH($A588,'S5'!$D$5:$D$2917,0)-1,6)="スリット"),SUMIF('S5'!$D$5:$D$2917,$A588,'S5'!$T$5:$T$2917),""),"")</f>
        <v/>
      </c>
    </row>
    <row r="589" spans="1:28" s="144" customFormat="1" ht="13.5" x14ac:dyDescent="0.15">
      <c r="A589" s="296">
        <v>3731356</v>
      </c>
      <c r="B589" s="296" t="s">
        <v>351</v>
      </c>
      <c r="C589" s="296" t="s">
        <v>352</v>
      </c>
      <c r="D589" s="296" t="s">
        <v>353</v>
      </c>
      <c r="E589" s="296" t="s">
        <v>116</v>
      </c>
      <c r="F589" s="296">
        <v>3</v>
      </c>
      <c r="G589" s="296" t="s">
        <v>19</v>
      </c>
      <c r="H589" s="296" t="s">
        <v>20</v>
      </c>
      <c r="I589" s="296" t="s">
        <v>165</v>
      </c>
      <c r="J589" s="296" t="s">
        <v>928</v>
      </c>
      <c r="K589" s="296" t="s">
        <v>187</v>
      </c>
      <c r="L589" s="296">
        <v>50</v>
      </c>
      <c r="M589" s="296" t="s">
        <v>188</v>
      </c>
      <c r="N589" s="296">
        <v>1000</v>
      </c>
      <c r="O589" s="296">
        <v>1000</v>
      </c>
      <c r="P589" s="296">
        <v>3000</v>
      </c>
      <c r="Q589" s="296">
        <v>2</v>
      </c>
      <c r="R589" s="296">
        <v>2</v>
      </c>
      <c r="S589" s="296" t="s">
        <v>354</v>
      </c>
      <c r="T589" s="296" t="s">
        <v>1675</v>
      </c>
      <c r="U589" s="296" t="s">
        <v>1717</v>
      </c>
      <c r="V589" s="296" t="s">
        <v>355</v>
      </c>
      <c r="W589" s="296" t="s">
        <v>928</v>
      </c>
      <c r="X589" s="296" t="s">
        <v>928</v>
      </c>
      <c r="Y589" s="146"/>
      <c r="Z589" s="149" t="str">
        <f t="shared" ca="1" si="9"/>
        <v/>
      </c>
      <c r="AA589" s="149" t="str">
        <f ca="1">IFERROR(IF(OR(OFFSET('S4'!#REF!,MATCH($A589,'S4'!$D$5:$D$3387,0)-1,6)="巻返し",OFFSET('S4'!#REF!,MATCH($A589,'S4'!$D$5:$D$3387,0)-1,6)="スリット"),SUMIF('S4'!$D$5:$D$3387,$A589,'S4'!$U$5:$U$3387),""),"")</f>
        <v/>
      </c>
      <c r="AB589" s="149" t="str">
        <f ca="1">IFERROR(IF(OR(OFFSET('S5'!#REF!,MATCH($A589,'S5'!$D$5:$D$2917,0)-1,6)="巻返し",OFFSET('S5'!#REF!,MATCH($A589,'S5'!$D$5:$D$2917,0)-1,6)="スリット"),SUMIF('S5'!$D$5:$D$2917,$A589,'S5'!$T$5:$T$2917),""),"")</f>
        <v/>
      </c>
    </row>
    <row r="590" spans="1:28" s="144" customFormat="1" ht="13.5" x14ac:dyDescent="0.15">
      <c r="A590" s="296">
        <v>3731357</v>
      </c>
      <c r="B590" s="296" t="s">
        <v>351</v>
      </c>
      <c r="C590" s="296" t="s">
        <v>352</v>
      </c>
      <c r="D590" s="296" t="s">
        <v>353</v>
      </c>
      <c r="E590" s="296" t="s">
        <v>116</v>
      </c>
      <c r="F590" s="296">
        <v>3</v>
      </c>
      <c r="G590" s="296" t="s">
        <v>19</v>
      </c>
      <c r="H590" s="296" t="s">
        <v>20</v>
      </c>
      <c r="I590" s="296" t="s">
        <v>205</v>
      </c>
      <c r="J590" s="296" t="s">
        <v>928</v>
      </c>
      <c r="K590" s="296" t="s">
        <v>218</v>
      </c>
      <c r="L590" s="296">
        <v>25</v>
      </c>
      <c r="M590" s="296" t="s">
        <v>219</v>
      </c>
      <c r="N590" s="296">
        <v>1005</v>
      </c>
      <c r="O590" s="296">
        <v>1000</v>
      </c>
      <c r="P590" s="296">
        <v>4000</v>
      </c>
      <c r="Q590" s="296">
        <v>2</v>
      </c>
      <c r="R590" s="296">
        <v>2</v>
      </c>
      <c r="S590" s="296" t="s">
        <v>354</v>
      </c>
      <c r="T590" s="296" t="s">
        <v>1675</v>
      </c>
      <c r="U590" s="296" t="s">
        <v>1717</v>
      </c>
      <c r="V590" s="296" t="s">
        <v>355</v>
      </c>
      <c r="W590" s="296" t="s">
        <v>928</v>
      </c>
      <c r="X590" s="296" t="s">
        <v>928</v>
      </c>
      <c r="Y590" s="146"/>
      <c r="Z590" s="149" t="str">
        <f t="shared" ca="1" si="9"/>
        <v/>
      </c>
      <c r="AA590" s="149" t="str">
        <f ca="1">IFERROR(IF(OR(OFFSET('S4'!#REF!,MATCH($A590,'S4'!$D$5:$D$3387,0)-1,6)="巻返し",OFFSET('S4'!#REF!,MATCH($A590,'S4'!$D$5:$D$3387,0)-1,6)="スリット"),SUMIF('S4'!$D$5:$D$3387,$A590,'S4'!$U$5:$U$3387),""),"")</f>
        <v/>
      </c>
      <c r="AB590" s="149" t="str">
        <f ca="1">IFERROR(IF(OR(OFFSET('S5'!#REF!,MATCH($A590,'S5'!$D$5:$D$2917,0)-1,6)="巻返し",OFFSET('S5'!#REF!,MATCH($A590,'S5'!$D$5:$D$2917,0)-1,6)="スリット"),SUMIF('S5'!$D$5:$D$2917,$A590,'S5'!$T$5:$T$2917),""),"")</f>
        <v/>
      </c>
    </row>
    <row r="591" spans="1:28" s="144" customFormat="1" ht="13.5" x14ac:dyDescent="0.15">
      <c r="A591" s="296">
        <v>3731358</v>
      </c>
      <c r="B591" s="296" t="s">
        <v>351</v>
      </c>
      <c r="C591" s="296" t="s">
        <v>352</v>
      </c>
      <c r="D591" s="296" t="s">
        <v>353</v>
      </c>
      <c r="E591" s="296" t="s">
        <v>116</v>
      </c>
      <c r="F591" s="296">
        <v>3</v>
      </c>
      <c r="G591" s="296" t="s">
        <v>19</v>
      </c>
      <c r="H591" s="296" t="s">
        <v>20</v>
      </c>
      <c r="I591" s="296" t="s">
        <v>205</v>
      </c>
      <c r="J591" s="296" t="s">
        <v>928</v>
      </c>
      <c r="K591" s="296" t="s">
        <v>218</v>
      </c>
      <c r="L591" s="296">
        <v>50</v>
      </c>
      <c r="M591" s="296" t="s">
        <v>219</v>
      </c>
      <c r="N591" s="296">
        <v>1000</v>
      </c>
      <c r="O591" s="296">
        <v>1000</v>
      </c>
      <c r="P591" s="296">
        <v>4000</v>
      </c>
      <c r="Q591" s="296">
        <v>2</v>
      </c>
      <c r="R591" s="296">
        <v>20</v>
      </c>
      <c r="S591" s="296" t="s">
        <v>354</v>
      </c>
      <c r="T591" s="296" t="s">
        <v>1675</v>
      </c>
      <c r="U591" s="296" t="s">
        <v>1717</v>
      </c>
      <c r="V591" s="296" t="s">
        <v>355</v>
      </c>
      <c r="W591" s="296" t="s">
        <v>928</v>
      </c>
      <c r="X591" s="296" t="s">
        <v>928</v>
      </c>
      <c r="Y591" s="146"/>
      <c r="Z591" s="149" t="str">
        <f t="shared" ca="1" si="9"/>
        <v/>
      </c>
      <c r="AA591" s="149" t="str">
        <f ca="1">IFERROR(IF(OR(OFFSET('S4'!#REF!,MATCH($A591,'S4'!$D$5:$D$3387,0)-1,6)="巻返し",OFFSET('S4'!#REF!,MATCH($A591,'S4'!$D$5:$D$3387,0)-1,6)="スリット"),SUMIF('S4'!$D$5:$D$3387,$A591,'S4'!$U$5:$U$3387),""),"")</f>
        <v/>
      </c>
      <c r="AB591" s="149" t="str">
        <f ca="1">IFERROR(IF(OR(OFFSET('S5'!#REF!,MATCH($A591,'S5'!$D$5:$D$2917,0)-1,6)="巻返し",OFFSET('S5'!#REF!,MATCH($A591,'S5'!$D$5:$D$2917,0)-1,6)="スリット"),SUMIF('S5'!$D$5:$D$2917,$A591,'S5'!$T$5:$T$2917),""),"")</f>
        <v/>
      </c>
    </row>
    <row r="592" spans="1:28" s="144" customFormat="1" ht="13.5" x14ac:dyDescent="0.15">
      <c r="A592" s="296">
        <v>3731359</v>
      </c>
      <c r="B592" s="296" t="s">
        <v>351</v>
      </c>
      <c r="C592" s="296" t="s">
        <v>352</v>
      </c>
      <c r="D592" s="296" t="s">
        <v>353</v>
      </c>
      <c r="E592" s="296" t="s">
        <v>116</v>
      </c>
      <c r="F592" s="296" t="s">
        <v>158</v>
      </c>
      <c r="G592" s="296" t="s">
        <v>19</v>
      </c>
      <c r="H592" s="296" t="s">
        <v>20</v>
      </c>
      <c r="I592" s="296" t="s">
        <v>165</v>
      </c>
      <c r="J592" s="296" t="s">
        <v>928</v>
      </c>
      <c r="K592" s="296" t="s">
        <v>192</v>
      </c>
      <c r="L592" s="296">
        <v>50</v>
      </c>
      <c r="M592" s="296" t="s">
        <v>193</v>
      </c>
      <c r="N592" s="296">
        <v>1005</v>
      </c>
      <c r="O592" s="296">
        <v>1000</v>
      </c>
      <c r="P592" s="296">
        <v>4000</v>
      </c>
      <c r="Q592" s="296">
        <v>2</v>
      </c>
      <c r="R592" s="296">
        <v>6</v>
      </c>
      <c r="S592" s="296" t="s">
        <v>354</v>
      </c>
      <c r="T592" s="296" t="s">
        <v>1675</v>
      </c>
      <c r="U592" s="296" t="s">
        <v>1717</v>
      </c>
      <c r="V592" s="296" t="s">
        <v>355</v>
      </c>
      <c r="W592" s="296" t="s">
        <v>928</v>
      </c>
      <c r="X592" s="296" t="s">
        <v>928</v>
      </c>
      <c r="Y592" s="146"/>
      <c r="Z592" s="149" t="str">
        <f t="shared" ca="1" si="9"/>
        <v/>
      </c>
      <c r="AA592" s="149" t="str">
        <f ca="1">IFERROR(IF(OR(OFFSET('S4'!#REF!,MATCH($A592,'S4'!$D$5:$D$3387,0)-1,6)="巻返し",OFFSET('S4'!#REF!,MATCH($A592,'S4'!$D$5:$D$3387,0)-1,6)="スリット"),SUMIF('S4'!$D$5:$D$3387,$A592,'S4'!$U$5:$U$3387),""),"")</f>
        <v/>
      </c>
      <c r="AB592" s="149" t="str">
        <f ca="1">IFERROR(IF(OR(OFFSET('S5'!#REF!,MATCH($A592,'S5'!$D$5:$D$2917,0)-1,6)="巻返し",OFFSET('S5'!#REF!,MATCH($A592,'S5'!$D$5:$D$2917,0)-1,6)="スリット"),SUMIF('S5'!$D$5:$D$2917,$A592,'S5'!$T$5:$T$2917),""),"")</f>
        <v/>
      </c>
    </row>
    <row r="593" spans="1:28" s="144" customFormat="1" ht="13.5" x14ac:dyDescent="0.15">
      <c r="A593" s="296">
        <v>3731360</v>
      </c>
      <c r="B593" s="296" t="s">
        <v>351</v>
      </c>
      <c r="C593" s="296" t="s">
        <v>352</v>
      </c>
      <c r="D593" s="296" t="s">
        <v>353</v>
      </c>
      <c r="E593" s="296" t="s">
        <v>116</v>
      </c>
      <c r="F593" s="296" t="s">
        <v>158</v>
      </c>
      <c r="G593" s="296" t="s">
        <v>19</v>
      </c>
      <c r="H593" s="296" t="s">
        <v>20</v>
      </c>
      <c r="I593" s="296" t="s">
        <v>165</v>
      </c>
      <c r="J593" s="296" t="s">
        <v>928</v>
      </c>
      <c r="K593" s="296" t="s">
        <v>195</v>
      </c>
      <c r="L593" s="296">
        <v>50</v>
      </c>
      <c r="M593" s="296" t="s">
        <v>196</v>
      </c>
      <c r="N593" s="296">
        <v>1005</v>
      </c>
      <c r="O593" s="296">
        <v>1000</v>
      </c>
      <c r="P593" s="296">
        <v>4000</v>
      </c>
      <c r="Q593" s="296">
        <v>2</v>
      </c>
      <c r="R593" s="296">
        <v>9</v>
      </c>
      <c r="S593" s="296" t="s">
        <v>354</v>
      </c>
      <c r="T593" s="296" t="s">
        <v>1675</v>
      </c>
      <c r="U593" s="296" t="s">
        <v>1717</v>
      </c>
      <c r="V593" s="296" t="s">
        <v>355</v>
      </c>
      <c r="W593" s="296" t="s">
        <v>928</v>
      </c>
      <c r="X593" s="296" t="s">
        <v>928</v>
      </c>
      <c r="Y593" s="146"/>
      <c r="Z593" s="149" t="str">
        <f t="shared" ca="1" si="9"/>
        <v/>
      </c>
      <c r="AA593" s="149" t="str">
        <f ca="1">IFERROR(IF(OR(OFFSET('S4'!#REF!,MATCH($A593,'S4'!$D$5:$D$3387,0)-1,6)="巻返し",OFFSET('S4'!#REF!,MATCH($A593,'S4'!$D$5:$D$3387,0)-1,6)="スリット"),SUMIF('S4'!$D$5:$D$3387,$A593,'S4'!$U$5:$U$3387),""),"")</f>
        <v/>
      </c>
      <c r="AB593" s="149" t="str">
        <f ca="1">IFERROR(IF(OR(OFFSET('S5'!#REF!,MATCH($A593,'S5'!$D$5:$D$2917,0)-1,6)="巻返し",OFFSET('S5'!#REF!,MATCH($A593,'S5'!$D$5:$D$2917,0)-1,6)="スリット"),SUMIF('S5'!$D$5:$D$2917,$A593,'S5'!$T$5:$T$2917),""),"")</f>
        <v/>
      </c>
    </row>
    <row r="594" spans="1:28" s="144" customFormat="1" ht="13.5" x14ac:dyDescent="0.15">
      <c r="A594" s="296">
        <v>3731361</v>
      </c>
      <c r="B594" s="296" t="s">
        <v>351</v>
      </c>
      <c r="C594" s="296" t="s">
        <v>352</v>
      </c>
      <c r="D594" s="296" t="s">
        <v>353</v>
      </c>
      <c r="E594" s="296" t="s">
        <v>116</v>
      </c>
      <c r="F594" s="296" t="s">
        <v>158</v>
      </c>
      <c r="G594" s="296" t="s">
        <v>19</v>
      </c>
      <c r="H594" s="296" t="s">
        <v>20</v>
      </c>
      <c r="I594" s="296" t="s">
        <v>165</v>
      </c>
      <c r="J594" s="296" t="s">
        <v>928</v>
      </c>
      <c r="K594" s="296" t="s">
        <v>195</v>
      </c>
      <c r="L594" s="296">
        <v>50</v>
      </c>
      <c r="M594" s="296" t="s">
        <v>196</v>
      </c>
      <c r="N594" s="296">
        <v>1005</v>
      </c>
      <c r="O594" s="296">
        <v>1000</v>
      </c>
      <c r="P594" s="296">
        <v>4100</v>
      </c>
      <c r="Q594" s="296">
        <v>2</v>
      </c>
      <c r="R594" s="296">
        <v>3</v>
      </c>
      <c r="S594" s="296" t="s">
        <v>354</v>
      </c>
      <c r="T594" s="296" t="s">
        <v>1675</v>
      </c>
      <c r="U594" s="296" t="s">
        <v>1717</v>
      </c>
      <c r="V594" s="296" t="s">
        <v>355</v>
      </c>
      <c r="W594" s="296" t="s">
        <v>928</v>
      </c>
      <c r="X594" s="296" t="s">
        <v>928</v>
      </c>
      <c r="Y594" s="146"/>
      <c r="Z594" s="149" t="str">
        <f t="shared" ca="1" si="9"/>
        <v/>
      </c>
      <c r="AA594" s="149" t="str">
        <f ca="1">IFERROR(IF(OR(OFFSET('S4'!#REF!,MATCH($A594,'S4'!$D$5:$D$3387,0)-1,6)="巻返し",OFFSET('S4'!#REF!,MATCH($A594,'S4'!$D$5:$D$3387,0)-1,6)="スリット"),SUMIF('S4'!$D$5:$D$3387,$A594,'S4'!$U$5:$U$3387),""),"")</f>
        <v/>
      </c>
      <c r="AB594" s="149" t="str">
        <f ca="1">IFERROR(IF(OR(OFFSET('S5'!#REF!,MATCH($A594,'S5'!$D$5:$D$2917,0)-1,6)="巻返し",OFFSET('S5'!#REF!,MATCH($A594,'S5'!$D$5:$D$2917,0)-1,6)="スリット"),SUMIF('S5'!$D$5:$D$2917,$A594,'S5'!$T$5:$T$2917),""),"")</f>
        <v/>
      </c>
    </row>
    <row r="595" spans="1:28" s="144" customFormat="1" ht="13.5" x14ac:dyDescent="0.15">
      <c r="A595" s="296">
        <v>3731362</v>
      </c>
      <c r="B595" s="296" t="s">
        <v>351</v>
      </c>
      <c r="C595" s="296" t="s">
        <v>352</v>
      </c>
      <c r="D595" s="296" t="s">
        <v>353</v>
      </c>
      <c r="E595" s="296" t="s">
        <v>116</v>
      </c>
      <c r="F595" s="296" t="s">
        <v>158</v>
      </c>
      <c r="G595" s="296" t="s">
        <v>19</v>
      </c>
      <c r="H595" s="296" t="s">
        <v>20</v>
      </c>
      <c r="I595" s="296" t="s">
        <v>165</v>
      </c>
      <c r="J595" s="296" t="s">
        <v>928</v>
      </c>
      <c r="K595" s="296" t="s">
        <v>197</v>
      </c>
      <c r="L595" s="296">
        <v>50</v>
      </c>
      <c r="M595" s="296" t="s">
        <v>198</v>
      </c>
      <c r="N595" s="296">
        <v>1005</v>
      </c>
      <c r="O595" s="296">
        <v>1000</v>
      </c>
      <c r="P595" s="296">
        <v>4100</v>
      </c>
      <c r="Q595" s="296">
        <v>2</v>
      </c>
      <c r="R595" s="296">
        <v>2</v>
      </c>
      <c r="S595" s="296" t="s">
        <v>354</v>
      </c>
      <c r="T595" s="296" t="s">
        <v>1675</v>
      </c>
      <c r="U595" s="296" t="s">
        <v>1717</v>
      </c>
      <c r="V595" s="296" t="s">
        <v>355</v>
      </c>
      <c r="W595" s="296" t="s">
        <v>928</v>
      </c>
      <c r="X595" s="296" t="s">
        <v>928</v>
      </c>
      <c r="Y595" s="146"/>
      <c r="Z595" s="149" t="str">
        <f t="shared" ca="1" si="9"/>
        <v/>
      </c>
      <c r="AA595" s="149" t="str">
        <f ca="1">IFERROR(IF(OR(OFFSET('S4'!#REF!,MATCH($A595,'S4'!$D$5:$D$3387,0)-1,6)="巻返し",OFFSET('S4'!#REF!,MATCH($A595,'S4'!$D$5:$D$3387,0)-1,6)="スリット"),SUMIF('S4'!$D$5:$D$3387,$A595,'S4'!$U$5:$U$3387),""),"")</f>
        <v/>
      </c>
      <c r="AB595" s="149" t="str">
        <f ca="1">IFERROR(IF(OR(OFFSET('S5'!#REF!,MATCH($A595,'S5'!$D$5:$D$2917,0)-1,6)="巻返し",OFFSET('S5'!#REF!,MATCH($A595,'S5'!$D$5:$D$2917,0)-1,6)="スリット"),SUMIF('S5'!$D$5:$D$2917,$A595,'S5'!$T$5:$T$2917),""),"")</f>
        <v/>
      </c>
    </row>
    <row r="596" spans="1:28" s="144" customFormat="1" ht="13.5" x14ac:dyDescent="0.15">
      <c r="A596" s="296">
        <v>3731365</v>
      </c>
      <c r="B596" s="296" t="s">
        <v>351</v>
      </c>
      <c r="C596" s="296" t="s">
        <v>352</v>
      </c>
      <c r="D596" s="296" t="s">
        <v>353</v>
      </c>
      <c r="E596" s="296" t="s">
        <v>116</v>
      </c>
      <c r="F596" s="296">
        <v>3</v>
      </c>
      <c r="G596" s="296" t="s">
        <v>19</v>
      </c>
      <c r="H596" s="296" t="s">
        <v>20</v>
      </c>
      <c r="I596" s="296" t="s">
        <v>205</v>
      </c>
      <c r="J596" s="296" t="s">
        <v>928</v>
      </c>
      <c r="K596" s="296" t="s">
        <v>221</v>
      </c>
      <c r="L596" s="296">
        <v>25</v>
      </c>
      <c r="M596" s="296" t="s">
        <v>222</v>
      </c>
      <c r="N596" s="296">
        <v>1000</v>
      </c>
      <c r="O596" s="296">
        <v>1000</v>
      </c>
      <c r="P596" s="296">
        <v>6000</v>
      </c>
      <c r="Q596" s="296">
        <v>2</v>
      </c>
      <c r="R596" s="296">
        <v>8</v>
      </c>
      <c r="S596" s="296" t="s">
        <v>354</v>
      </c>
      <c r="T596" s="296" t="s">
        <v>1675</v>
      </c>
      <c r="U596" s="296" t="s">
        <v>1717</v>
      </c>
      <c r="V596" s="296" t="s">
        <v>355</v>
      </c>
      <c r="W596" s="296" t="s">
        <v>928</v>
      </c>
      <c r="X596" s="296" t="s">
        <v>928</v>
      </c>
      <c r="Y596" s="146"/>
      <c r="Z596" s="149" t="str">
        <f t="shared" ca="1" si="9"/>
        <v/>
      </c>
      <c r="AA596" s="149" t="str">
        <f ca="1">IFERROR(IF(OR(OFFSET('S4'!#REF!,MATCH($A596,'S4'!$D$5:$D$3387,0)-1,6)="巻返し",OFFSET('S4'!#REF!,MATCH($A596,'S4'!$D$5:$D$3387,0)-1,6)="スリット"),SUMIF('S4'!$D$5:$D$3387,$A596,'S4'!$U$5:$U$3387),""),"")</f>
        <v/>
      </c>
      <c r="AB596" s="149" t="str">
        <f ca="1">IFERROR(IF(OR(OFFSET('S5'!#REF!,MATCH($A596,'S5'!$D$5:$D$2917,0)-1,6)="巻返し",OFFSET('S5'!#REF!,MATCH($A596,'S5'!$D$5:$D$2917,0)-1,6)="スリット"),SUMIF('S5'!$D$5:$D$2917,$A596,'S5'!$T$5:$T$2917),""),"")</f>
        <v/>
      </c>
    </row>
    <row r="597" spans="1:28" s="144" customFormat="1" ht="13.5" x14ac:dyDescent="0.15">
      <c r="A597" s="296">
        <v>3731366</v>
      </c>
      <c r="B597" s="296" t="s">
        <v>351</v>
      </c>
      <c r="C597" s="296" t="s">
        <v>352</v>
      </c>
      <c r="D597" s="296" t="s">
        <v>353</v>
      </c>
      <c r="E597" s="296" t="s">
        <v>116</v>
      </c>
      <c r="F597" s="296">
        <v>3</v>
      </c>
      <c r="G597" s="296" t="s">
        <v>19</v>
      </c>
      <c r="H597" s="296" t="s">
        <v>20</v>
      </c>
      <c r="I597" s="296" t="s">
        <v>205</v>
      </c>
      <c r="J597" s="296" t="s">
        <v>928</v>
      </c>
      <c r="K597" s="296" t="s">
        <v>221</v>
      </c>
      <c r="L597" s="296">
        <v>25</v>
      </c>
      <c r="M597" s="296" t="s">
        <v>222</v>
      </c>
      <c r="N597" s="296">
        <v>1100</v>
      </c>
      <c r="O597" s="296">
        <v>1100</v>
      </c>
      <c r="P597" s="296">
        <v>6000</v>
      </c>
      <c r="Q597" s="296">
        <v>2</v>
      </c>
      <c r="R597" s="296">
        <v>12</v>
      </c>
      <c r="S597" s="296" t="s">
        <v>354</v>
      </c>
      <c r="T597" s="296" t="s">
        <v>1675</v>
      </c>
      <c r="U597" s="296" t="s">
        <v>1717</v>
      </c>
      <c r="V597" s="296" t="s">
        <v>355</v>
      </c>
      <c r="W597" s="296" t="s">
        <v>928</v>
      </c>
      <c r="X597" s="296" t="s">
        <v>928</v>
      </c>
      <c r="Y597" s="146"/>
      <c r="Z597" s="149" t="str">
        <f t="shared" ca="1" si="9"/>
        <v/>
      </c>
      <c r="AA597" s="149" t="str">
        <f ca="1">IFERROR(IF(OR(OFFSET('S4'!#REF!,MATCH($A597,'S4'!$D$5:$D$3387,0)-1,6)="巻返し",OFFSET('S4'!#REF!,MATCH($A597,'S4'!$D$5:$D$3387,0)-1,6)="スリット"),SUMIF('S4'!$D$5:$D$3387,$A597,'S4'!$U$5:$U$3387),""),"")</f>
        <v/>
      </c>
      <c r="AB597" s="149" t="str">
        <f ca="1">IFERROR(IF(OR(OFFSET('S5'!#REF!,MATCH($A597,'S5'!$D$5:$D$2917,0)-1,6)="巻返し",OFFSET('S5'!#REF!,MATCH($A597,'S5'!$D$5:$D$2917,0)-1,6)="スリット"),SUMIF('S5'!$D$5:$D$2917,$A597,'S5'!$T$5:$T$2917),""),"")</f>
        <v/>
      </c>
    </row>
    <row r="598" spans="1:28" s="144" customFormat="1" ht="13.5" x14ac:dyDescent="0.15">
      <c r="A598" s="296">
        <v>3731367</v>
      </c>
      <c r="B598" s="296" t="s">
        <v>351</v>
      </c>
      <c r="C598" s="296" t="s">
        <v>352</v>
      </c>
      <c r="D598" s="296" t="s">
        <v>353</v>
      </c>
      <c r="E598" s="296" t="s">
        <v>116</v>
      </c>
      <c r="F598" s="296">
        <v>3</v>
      </c>
      <c r="G598" s="296" t="s">
        <v>19</v>
      </c>
      <c r="H598" s="296" t="s">
        <v>20</v>
      </c>
      <c r="I598" s="296" t="s">
        <v>165</v>
      </c>
      <c r="J598" s="296" t="s">
        <v>928</v>
      </c>
      <c r="K598" s="296" t="s">
        <v>172</v>
      </c>
      <c r="L598" s="296">
        <v>50</v>
      </c>
      <c r="M598" s="296" t="s">
        <v>173</v>
      </c>
      <c r="N598" s="296">
        <v>1005</v>
      </c>
      <c r="O598" s="296">
        <v>1000</v>
      </c>
      <c r="P598" s="296">
        <v>4000</v>
      </c>
      <c r="Q598" s="296">
        <v>2</v>
      </c>
      <c r="R598" s="296">
        <v>2</v>
      </c>
      <c r="S598" s="296" t="s">
        <v>354</v>
      </c>
      <c r="T598" s="296" t="s">
        <v>1675</v>
      </c>
      <c r="U598" s="296" t="s">
        <v>1717</v>
      </c>
      <c r="V598" s="296" t="s">
        <v>355</v>
      </c>
      <c r="W598" s="296" t="s">
        <v>928</v>
      </c>
      <c r="X598" s="296" t="s">
        <v>928</v>
      </c>
      <c r="Y598" s="146"/>
      <c r="Z598" s="149" t="str">
        <f t="shared" ca="1" si="9"/>
        <v/>
      </c>
      <c r="AA598" s="149" t="str">
        <f ca="1">IFERROR(IF(OR(OFFSET('S4'!#REF!,MATCH($A598,'S4'!$D$5:$D$3387,0)-1,6)="巻返し",OFFSET('S4'!#REF!,MATCH($A598,'S4'!$D$5:$D$3387,0)-1,6)="スリット"),SUMIF('S4'!$D$5:$D$3387,$A598,'S4'!$U$5:$U$3387),""),"")</f>
        <v/>
      </c>
      <c r="AB598" s="149" t="str">
        <f ca="1">IFERROR(IF(OR(OFFSET('S5'!#REF!,MATCH($A598,'S5'!$D$5:$D$2917,0)-1,6)="巻返し",OFFSET('S5'!#REF!,MATCH($A598,'S5'!$D$5:$D$2917,0)-1,6)="スリット"),SUMIF('S5'!$D$5:$D$2917,$A598,'S5'!$T$5:$T$2917),""),"")</f>
        <v/>
      </c>
    </row>
    <row r="599" spans="1:28" s="144" customFormat="1" ht="13.5" x14ac:dyDescent="0.15">
      <c r="A599" s="296">
        <v>3731368</v>
      </c>
      <c r="B599" s="296" t="s">
        <v>351</v>
      </c>
      <c r="C599" s="296" t="s">
        <v>352</v>
      </c>
      <c r="D599" s="296" t="s">
        <v>353</v>
      </c>
      <c r="E599" s="296" t="s">
        <v>116</v>
      </c>
      <c r="F599" s="296">
        <v>3</v>
      </c>
      <c r="G599" s="296" t="s">
        <v>19</v>
      </c>
      <c r="H599" s="296" t="s">
        <v>20</v>
      </c>
      <c r="I599" s="296" t="s">
        <v>165</v>
      </c>
      <c r="J599" s="296" t="s">
        <v>928</v>
      </c>
      <c r="K599" s="296" t="s">
        <v>176</v>
      </c>
      <c r="L599" s="296">
        <v>25</v>
      </c>
      <c r="M599" s="296" t="s">
        <v>177</v>
      </c>
      <c r="N599" s="296">
        <v>1005</v>
      </c>
      <c r="O599" s="296">
        <v>1000</v>
      </c>
      <c r="P599" s="296">
        <v>2000</v>
      </c>
      <c r="Q599" s="296">
        <v>2</v>
      </c>
      <c r="R599" s="296">
        <v>4</v>
      </c>
      <c r="S599" s="296" t="s">
        <v>354</v>
      </c>
      <c r="T599" s="296" t="s">
        <v>1675</v>
      </c>
      <c r="U599" s="296" t="s">
        <v>1717</v>
      </c>
      <c r="V599" s="296" t="s">
        <v>355</v>
      </c>
      <c r="W599" s="296" t="s">
        <v>928</v>
      </c>
      <c r="X599" s="296" t="s">
        <v>928</v>
      </c>
      <c r="Y599" s="146"/>
      <c r="Z599" s="149" t="str">
        <f t="shared" ca="1" si="9"/>
        <v/>
      </c>
      <c r="AA599" s="149" t="str">
        <f ca="1">IFERROR(IF(OR(OFFSET('S4'!#REF!,MATCH($A599,'S4'!$D$5:$D$3387,0)-1,6)="巻返し",OFFSET('S4'!#REF!,MATCH($A599,'S4'!$D$5:$D$3387,0)-1,6)="スリット"),SUMIF('S4'!$D$5:$D$3387,$A599,'S4'!$U$5:$U$3387),""),"")</f>
        <v/>
      </c>
      <c r="AB599" s="149" t="str">
        <f ca="1">IFERROR(IF(OR(OFFSET('S5'!#REF!,MATCH($A599,'S5'!$D$5:$D$2917,0)-1,6)="巻返し",OFFSET('S5'!#REF!,MATCH($A599,'S5'!$D$5:$D$2917,0)-1,6)="スリット"),SUMIF('S5'!$D$5:$D$2917,$A599,'S5'!$T$5:$T$2917),""),"")</f>
        <v/>
      </c>
    </row>
    <row r="600" spans="1:28" s="144" customFormat="1" ht="13.5" x14ac:dyDescent="0.15">
      <c r="A600" s="296">
        <v>3731369</v>
      </c>
      <c r="B600" s="296" t="s">
        <v>351</v>
      </c>
      <c r="C600" s="296" t="s">
        <v>352</v>
      </c>
      <c r="D600" s="296" t="s">
        <v>353</v>
      </c>
      <c r="E600" s="296" t="s">
        <v>116</v>
      </c>
      <c r="F600" s="296">
        <v>3</v>
      </c>
      <c r="G600" s="296" t="s">
        <v>19</v>
      </c>
      <c r="H600" s="296" t="s">
        <v>20</v>
      </c>
      <c r="I600" s="296" t="s">
        <v>165</v>
      </c>
      <c r="J600" s="296" t="s">
        <v>928</v>
      </c>
      <c r="K600" s="296" t="s">
        <v>176</v>
      </c>
      <c r="L600" s="296">
        <v>50</v>
      </c>
      <c r="M600" s="296" t="s">
        <v>177</v>
      </c>
      <c r="N600" s="296">
        <v>1005</v>
      </c>
      <c r="O600" s="296">
        <v>1000</v>
      </c>
      <c r="P600" s="296">
        <v>4100</v>
      </c>
      <c r="Q600" s="296">
        <v>2</v>
      </c>
      <c r="R600" s="296">
        <v>4</v>
      </c>
      <c r="S600" s="296" t="s">
        <v>354</v>
      </c>
      <c r="T600" s="296" t="s">
        <v>1675</v>
      </c>
      <c r="U600" s="296" t="s">
        <v>1717</v>
      </c>
      <c r="V600" s="296" t="s">
        <v>355</v>
      </c>
      <c r="W600" s="296" t="s">
        <v>928</v>
      </c>
      <c r="X600" s="296" t="s">
        <v>928</v>
      </c>
      <c r="Y600" s="146"/>
      <c r="Z600" s="149" t="str">
        <f t="shared" ca="1" si="9"/>
        <v/>
      </c>
      <c r="AA600" s="149" t="str">
        <f ca="1">IFERROR(IF(OR(OFFSET('S4'!#REF!,MATCH($A600,'S4'!$D$5:$D$3387,0)-1,6)="巻返し",OFFSET('S4'!#REF!,MATCH($A600,'S4'!$D$5:$D$3387,0)-1,6)="スリット"),SUMIF('S4'!$D$5:$D$3387,$A600,'S4'!$U$5:$U$3387),""),"")</f>
        <v/>
      </c>
      <c r="AB600" s="149" t="str">
        <f ca="1">IFERROR(IF(OR(OFFSET('S5'!#REF!,MATCH($A600,'S5'!$D$5:$D$2917,0)-1,6)="巻返し",OFFSET('S5'!#REF!,MATCH($A600,'S5'!$D$5:$D$2917,0)-1,6)="スリット"),SUMIF('S5'!$D$5:$D$2917,$A600,'S5'!$T$5:$T$2917),""),"")</f>
        <v/>
      </c>
    </row>
    <row r="601" spans="1:28" s="144" customFormat="1" ht="13.5" x14ac:dyDescent="0.15">
      <c r="A601" s="296">
        <v>3731370</v>
      </c>
      <c r="B601" s="296" t="s">
        <v>351</v>
      </c>
      <c r="C601" s="296" t="s">
        <v>352</v>
      </c>
      <c r="D601" s="296" t="s">
        <v>353</v>
      </c>
      <c r="E601" s="296" t="s">
        <v>116</v>
      </c>
      <c r="F601" s="296">
        <v>3</v>
      </c>
      <c r="G601" s="296" t="s">
        <v>19</v>
      </c>
      <c r="H601" s="296" t="s">
        <v>20</v>
      </c>
      <c r="I601" s="296" t="s">
        <v>143</v>
      </c>
      <c r="J601" s="296" t="s">
        <v>928</v>
      </c>
      <c r="K601" s="296" t="s">
        <v>152</v>
      </c>
      <c r="L601" s="296">
        <v>38</v>
      </c>
      <c r="M601" s="296" t="s">
        <v>153</v>
      </c>
      <c r="N601" s="296">
        <v>1005</v>
      </c>
      <c r="O601" s="296">
        <v>1000</v>
      </c>
      <c r="P601" s="296">
        <v>4000</v>
      </c>
      <c r="Q601" s="296">
        <v>2</v>
      </c>
      <c r="R601" s="296">
        <v>4</v>
      </c>
      <c r="S601" s="296" t="s">
        <v>354</v>
      </c>
      <c r="T601" s="296" t="s">
        <v>1675</v>
      </c>
      <c r="U601" s="296" t="s">
        <v>1717</v>
      </c>
      <c r="V601" s="296" t="s">
        <v>355</v>
      </c>
      <c r="W601" s="296" t="s">
        <v>928</v>
      </c>
      <c r="X601" s="296" t="s">
        <v>928</v>
      </c>
      <c r="Y601" s="146"/>
      <c r="Z601" s="149" t="str">
        <f t="shared" ca="1" si="9"/>
        <v/>
      </c>
      <c r="AA601" s="149" t="str">
        <f ca="1">IFERROR(IF(OR(OFFSET('S4'!#REF!,MATCH($A601,'S4'!$D$5:$D$3387,0)-1,6)="巻返し",OFFSET('S4'!#REF!,MATCH($A601,'S4'!$D$5:$D$3387,0)-1,6)="スリット"),SUMIF('S4'!$D$5:$D$3387,$A601,'S4'!$U$5:$U$3387),""),"")</f>
        <v/>
      </c>
      <c r="AB601" s="149" t="str">
        <f ca="1">IFERROR(IF(OR(OFFSET('S5'!#REF!,MATCH($A601,'S5'!$D$5:$D$2917,0)-1,6)="巻返し",OFFSET('S5'!#REF!,MATCH($A601,'S5'!$D$5:$D$2917,0)-1,6)="スリット"),SUMIF('S5'!$D$5:$D$2917,$A601,'S5'!$T$5:$T$2917),""),"")</f>
        <v/>
      </c>
    </row>
    <row r="602" spans="1:28" s="144" customFormat="1" ht="13.5" x14ac:dyDescent="0.15">
      <c r="A602" s="296">
        <v>3731371</v>
      </c>
      <c r="B602" s="296" t="s">
        <v>351</v>
      </c>
      <c r="C602" s="296" t="s">
        <v>352</v>
      </c>
      <c r="D602" s="296" t="s">
        <v>353</v>
      </c>
      <c r="E602" s="296" t="s">
        <v>116</v>
      </c>
      <c r="F602" s="296">
        <v>3</v>
      </c>
      <c r="G602" s="296" t="s">
        <v>19</v>
      </c>
      <c r="H602" s="296" t="s">
        <v>28</v>
      </c>
      <c r="I602" s="296" t="s">
        <v>205</v>
      </c>
      <c r="J602" s="296" t="s">
        <v>928</v>
      </c>
      <c r="K602" s="296" t="s">
        <v>237</v>
      </c>
      <c r="L602" s="296">
        <v>25</v>
      </c>
      <c r="M602" s="296" t="s">
        <v>238</v>
      </c>
      <c r="N602" s="296">
        <v>1120</v>
      </c>
      <c r="O602" s="296">
        <v>1120</v>
      </c>
      <c r="P602" s="296">
        <v>8000</v>
      </c>
      <c r="Q602" s="296">
        <v>2</v>
      </c>
      <c r="R602" s="296">
        <v>2</v>
      </c>
      <c r="S602" s="296" t="s">
        <v>354</v>
      </c>
      <c r="T602" s="296" t="s">
        <v>1675</v>
      </c>
      <c r="U602" s="296" t="s">
        <v>1690</v>
      </c>
      <c r="V602" s="296" t="s">
        <v>355</v>
      </c>
      <c r="W602" s="296" t="s">
        <v>928</v>
      </c>
      <c r="X602" s="296" t="s">
        <v>928</v>
      </c>
      <c r="Y602" s="146"/>
      <c r="Z602" s="149" t="str">
        <f t="shared" ca="1" si="9"/>
        <v/>
      </c>
      <c r="AA602" s="149" t="str">
        <f ca="1">IFERROR(IF(OR(OFFSET('S4'!#REF!,MATCH($A602,'S4'!$D$5:$D$3387,0)-1,6)="巻返し",OFFSET('S4'!#REF!,MATCH($A602,'S4'!$D$5:$D$3387,0)-1,6)="スリット"),SUMIF('S4'!$D$5:$D$3387,$A602,'S4'!$U$5:$U$3387),""),"")</f>
        <v/>
      </c>
      <c r="AB602" s="149" t="str">
        <f ca="1">IFERROR(IF(OR(OFFSET('S5'!#REF!,MATCH($A602,'S5'!$D$5:$D$2917,0)-1,6)="巻返し",OFFSET('S5'!#REF!,MATCH($A602,'S5'!$D$5:$D$2917,0)-1,6)="スリット"),SUMIF('S5'!$D$5:$D$2917,$A602,'S5'!$T$5:$T$2917),""),"")</f>
        <v/>
      </c>
    </row>
    <row r="603" spans="1:28" s="144" customFormat="1" ht="13.5" x14ac:dyDescent="0.15">
      <c r="A603" s="296">
        <v>3731372</v>
      </c>
      <c r="B603" s="296" t="s">
        <v>351</v>
      </c>
      <c r="C603" s="296" t="s">
        <v>352</v>
      </c>
      <c r="D603" s="296" t="s">
        <v>353</v>
      </c>
      <c r="E603" s="296" t="s">
        <v>116</v>
      </c>
      <c r="F603" s="296">
        <v>3</v>
      </c>
      <c r="G603" s="296" t="s">
        <v>19</v>
      </c>
      <c r="H603" s="296" t="s">
        <v>28</v>
      </c>
      <c r="I603" s="296" t="s">
        <v>205</v>
      </c>
      <c r="J603" s="296" t="s">
        <v>928</v>
      </c>
      <c r="K603" s="296" t="s">
        <v>237</v>
      </c>
      <c r="L603" s="296">
        <v>25</v>
      </c>
      <c r="M603" s="296" t="s">
        <v>238</v>
      </c>
      <c r="N603" s="296">
        <v>1120</v>
      </c>
      <c r="O603" s="296">
        <v>1120</v>
      </c>
      <c r="P603" s="296">
        <v>8000</v>
      </c>
      <c r="Q603" s="296">
        <v>2</v>
      </c>
      <c r="R603" s="296">
        <v>1</v>
      </c>
      <c r="S603" s="296" t="s">
        <v>354</v>
      </c>
      <c r="T603" s="296" t="s">
        <v>1675</v>
      </c>
      <c r="U603" s="296" t="s">
        <v>1690</v>
      </c>
      <c r="V603" s="296" t="s">
        <v>355</v>
      </c>
      <c r="W603" s="296" t="s">
        <v>928</v>
      </c>
      <c r="X603" s="296" t="s">
        <v>928</v>
      </c>
      <c r="Y603" s="146"/>
      <c r="Z603" s="149" t="str">
        <f t="shared" ca="1" si="9"/>
        <v/>
      </c>
      <c r="AA603" s="149" t="str">
        <f ca="1">IFERROR(IF(OR(OFFSET('S4'!#REF!,MATCH($A603,'S4'!$D$5:$D$3387,0)-1,6)="巻返し",OFFSET('S4'!#REF!,MATCH($A603,'S4'!$D$5:$D$3387,0)-1,6)="スリット"),SUMIF('S4'!$D$5:$D$3387,$A603,'S4'!$U$5:$U$3387),""),"")</f>
        <v/>
      </c>
      <c r="AB603" s="149" t="str">
        <f ca="1">IFERROR(IF(OR(OFFSET('S5'!#REF!,MATCH($A603,'S5'!$D$5:$D$2917,0)-1,6)="巻返し",OFFSET('S5'!#REF!,MATCH($A603,'S5'!$D$5:$D$2917,0)-1,6)="スリット"),SUMIF('S5'!$D$5:$D$2917,$A603,'S5'!$T$5:$T$2917),""),"")</f>
        <v/>
      </c>
    </row>
    <row r="604" spans="1:28" s="144" customFormat="1" ht="13.5" x14ac:dyDescent="0.15">
      <c r="A604" s="296">
        <v>3731373</v>
      </c>
      <c r="B604" s="296" t="s">
        <v>351</v>
      </c>
      <c r="C604" s="296" t="s">
        <v>352</v>
      </c>
      <c r="D604" s="296" t="s">
        <v>353</v>
      </c>
      <c r="E604" s="296" t="s">
        <v>116</v>
      </c>
      <c r="F604" s="296">
        <v>3</v>
      </c>
      <c r="G604" s="296" t="s">
        <v>19</v>
      </c>
      <c r="H604" s="296" t="s">
        <v>28</v>
      </c>
      <c r="I604" s="296" t="s">
        <v>205</v>
      </c>
      <c r="J604" s="296" t="s">
        <v>928</v>
      </c>
      <c r="K604" s="296" t="s">
        <v>237</v>
      </c>
      <c r="L604" s="296">
        <v>50</v>
      </c>
      <c r="M604" s="296" t="s">
        <v>238</v>
      </c>
      <c r="N604" s="296">
        <v>1120</v>
      </c>
      <c r="O604" s="296">
        <v>1120</v>
      </c>
      <c r="P604" s="296">
        <v>4000</v>
      </c>
      <c r="Q604" s="296">
        <v>2</v>
      </c>
      <c r="R604" s="296">
        <v>4</v>
      </c>
      <c r="S604" s="296" t="s">
        <v>354</v>
      </c>
      <c r="T604" s="296" t="s">
        <v>1675</v>
      </c>
      <c r="U604" s="296" t="s">
        <v>1731</v>
      </c>
      <c r="V604" s="296" t="s">
        <v>355</v>
      </c>
      <c r="W604" s="296" t="s">
        <v>928</v>
      </c>
      <c r="X604" s="296" t="s">
        <v>928</v>
      </c>
      <c r="Y604" s="146"/>
      <c r="Z604" s="149" t="str">
        <f t="shared" ca="1" si="9"/>
        <v/>
      </c>
      <c r="AA604" s="149" t="str">
        <f ca="1">IFERROR(IF(OR(OFFSET('S4'!#REF!,MATCH($A604,'S4'!$D$5:$D$3387,0)-1,6)="巻返し",OFFSET('S4'!#REF!,MATCH($A604,'S4'!$D$5:$D$3387,0)-1,6)="スリット"),SUMIF('S4'!$D$5:$D$3387,$A604,'S4'!$U$5:$U$3387),""),"")</f>
        <v/>
      </c>
      <c r="AB604" s="149" t="str">
        <f ca="1">IFERROR(IF(OR(OFFSET('S5'!#REF!,MATCH($A604,'S5'!$D$5:$D$2917,0)-1,6)="巻返し",OFFSET('S5'!#REF!,MATCH($A604,'S5'!$D$5:$D$2917,0)-1,6)="スリット"),SUMIF('S5'!$D$5:$D$2917,$A604,'S5'!$T$5:$T$2917),""),"")</f>
        <v/>
      </c>
    </row>
    <row r="605" spans="1:28" s="144" customFormat="1" ht="13.5" x14ac:dyDescent="0.15">
      <c r="A605" s="296">
        <v>3731374</v>
      </c>
      <c r="B605" s="296" t="s">
        <v>351</v>
      </c>
      <c r="C605" s="296" t="s">
        <v>352</v>
      </c>
      <c r="D605" s="296" t="s">
        <v>353</v>
      </c>
      <c r="E605" s="296" t="s">
        <v>116</v>
      </c>
      <c r="F605" s="296">
        <v>3</v>
      </c>
      <c r="G605" s="296" t="s">
        <v>19</v>
      </c>
      <c r="H605" s="296" t="s">
        <v>28</v>
      </c>
      <c r="I605" s="296" t="s">
        <v>205</v>
      </c>
      <c r="J605" s="296" t="s">
        <v>928</v>
      </c>
      <c r="K605" s="296" t="s">
        <v>224</v>
      </c>
      <c r="L605" s="296">
        <v>50</v>
      </c>
      <c r="M605" s="296" t="s">
        <v>225</v>
      </c>
      <c r="N605" s="296">
        <v>1120</v>
      </c>
      <c r="O605" s="296">
        <v>1120</v>
      </c>
      <c r="P605" s="296">
        <v>5000</v>
      </c>
      <c r="Q605" s="296">
        <v>2</v>
      </c>
      <c r="R605" s="296">
        <v>2</v>
      </c>
      <c r="S605" s="296" t="s">
        <v>354</v>
      </c>
      <c r="T605" s="296" t="s">
        <v>1675</v>
      </c>
      <c r="U605" s="296" t="s">
        <v>1731</v>
      </c>
      <c r="V605" s="296" t="s">
        <v>355</v>
      </c>
      <c r="W605" s="296" t="s">
        <v>928</v>
      </c>
      <c r="X605" s="296" t="s">
        <v>928</v>
      </c>
      <c r="Y605" s="146"/>
      <c r="Z605" s="149" t="str">
        <f t="shared" ca="1" si="9"/>
        <v/>
      </c>
      <c r="AA605" s="149" t="str">
        <f ca="1">IFERROR(IF(OR(OFFSET('S4'!#REF!,MATCH($A605,'S4'!$D$5:$D$3387,0)-1,6)="巻返し",OFFSET('S4'!#REF!,MATCH($A605,'S4'!$D$5:$D$3387,0)-1,6)="スリット"),SUMIF('S4'!$D$5:$D$3387,$A605,'S4'!$U$5:$U$3387),""),"")</f>
        <v/>
      </c>
      <c r="AB605" s="149" t="str">
        <f ca="1">IFERROR(IF(OR(OFFSET('S5'!#REF!,MATCH($A605,'S5'!$D$5:$D$2917,0)-1,6)="巻返し",OFFSET('S5'!#REF!,MATCH($A605,'S5'!$D$5:$D$2917,0)-1,6)="スリット"),SUMIF('S5'!$D$5:$D$2917,$A605,'S5'!$T$5:$T$2917),""),"")</f>
        <v/>
      </c>
    </row>
    <row r="606" spans="1:28" s="144" customFormat="1" ht="13.5" x14ac:dyDescent="0.15">
      <c r="A606" s="296">
        <v>3731375</v>
      </c>
      <c r="B606" s="296" t="s">
        <v>351</v>
      </c>
      <c r="C606" s="296" t="s">
        <v>352</v>
      </c>
      <c r="D606" s="296" t="s">
        <v>353</v>
      </c>
      <c r="E606" s="296" t="s">
        <v>116</v>
      </c>
      <c r="F606" s="296">
        <v>3</v>
      </c>
      <c r="G606" s="296" t="s">
        <v>19</v>
      </c>
      <c r="H606" s="296" t="s">
        <v>28</v>
      </c>
      <c r="I606" s="296" t="s">
        <v>205</v>
      </c>
      <c r="J606" s="296" t="s">
        <v>928</v>
      </c>
      <c r="K606" s="296" t="s">
        <v>233</v>
      </c>
      <c r="L606" s="296">
        <v>50</v>
      </c>
      <c r="M606" s="296" t="s">
        <v>234</v>
      </c>
      <c r="N606" s="296">
        <v>1120</v>
      </c>
      <c r="O606" s="296">
        <v>1120</v>
      </c>
      <c r="P606" s="296">
        <v>4000</v>
      </c>
      <c r="Q606" s="296">
        <v>2</v>
      </c>
      <c r="R606" s="296">
        <v>2</v>
      </c>
      <c r="S606" s="296" t="s">
        <v>354</v>
      </c>
      <c r="T606" s="296" t="s">
        <v>1675</v>
      </c>
      <c r="U606" s="296" t="s">
        <v>1731</v>
      </c>
      <c r="V606" s="296" t="s">
        <v>355</v>
      </c>
      <c r="W606" s="296" t="s">
        <v>928</v>
      </c>
      <c r="X606" s="296" t="s">
        <v>928</v>
      </c>
      <c r="Y606" s="146"/>
      <c r="Z606" s="149" t="str">
        <f t="shared" ca="1" si="9"/>
        <v/>
      </c>
      <c r="AA606" s="149" t="str">
        <f ca="1">IFERROR(IF(OR(OFFSET('S4'!#REF!,MATCH($A606,'S4'!$D$5:$D$3387,0)-1,6)="巻返し",OFFSET('S4'!#REF!,MATCH($A606,'S4'!$D$5:$D$3387,0)-1,6)="スリット"),SUMIF('S4'!$D$5:$D$3387,$A606,'S4'!$U$5:$U$3387),""),"")</f>
        <v/>
      </c>
      <c r="AB606" s="149" t="str">
        <f ca="1">IFERROR(IF(OR(OFFSET('S5'!#REF!,MATCH($A606,'S5'!$D$5:$D$2917,0)-1,6)="巻返し",OFFSET('S5'!#REF!,MATCH($A606,'S5'!$D$5:$D$2917,0)-1,6)="スリット"),SUMIF('S5'!$D$5:$D$2917,$A606,'S5'!$T$5:$T$2917),""),"")</f>
        <v/>
      </c>
    </row>
    <row r="607" spans="1:28" s="144" customFormat="1" ht="13.5" x14ac:dyDescent="0.15">
      <c r="A607" s="296">
        <v>3731376</v>
      </c>
      <c r="B607" s="296" t="s">
        <v>351</v>
      </c>
      <c r="C607" s="296" t="s">
        <v>352</v>
      </c>
      <c r="D607" s="296" t="s">
        <v>353</v>
      </c>
      <c r="E607" s="296" t="s">
        <v>116</v>
      </c>
      <c r="F607" s="296">
        <v>3</v>
      </c>
      <c r="G607" s="296" t="s">
        <v>19</v>
      </c>
      <c r="H607" s="296" t="s">
        <v>28</v>
      </c>
      <c r="I607" s="296" t="s">
        <v>205</v>
      </c>
      <c r="J607" s="296" t="s">
        <v>928</v>
      </c>
      <c r="K607" s="296" t="s">
        <v>224</v>
      </c>
      <c r="L607" s="296">
        <v>50</v>
      </c>
      <c r="M607" s="296" t="s">
        <v>225</v>
      </c>
      <c r="N607" s="296">
        <v>1120</v>
      </c>
      <c r="O607" s="296">
        <v>1120</v>
      </c>
      <c r="P607" s="296">
        <v>5000</v>
      </c>
      <c r="Q607" s="296">
        <v>2</v>
      </c>
      <c r="R607" s="296">
        <v>2</v>
      </c>
      <c r="S607" s="296" t="s">
        <v>354</v>
      </c>
      <c r="T607" s="296" t="s">
        <v>1675</v>
      </c>
      <c r="U607" s="296" t="s">
        <v>1731</v>
      </c>
      <c r="V607" s="296" t="s">
        <v>355</v>
      </c>
      <c r="W607" s="296" t="s">
        <v>928</v>
      </c>
      <c r="X607" s="296" t="s">
        <v>928</v>
      </c>
      <c r="Y607" s="146"/>
      <c r="Z607" s="149" t="str">
        <f t="shared" ca="1" si="9"/>
        <v/>
      </c>
      <c r="AA607" s="149" t="str">
        <f ca="1">IFERROR(IF(OR(OFFSET('S4'!#REF!,MATCH($A607,'S4'!$D$5:$D$3387,0)-1,6)="巻返し",OFFSET('S4'!#REF!,MATCH($A607,'S4'!$D$5:$D$3387,0)-1,6)="スリット"),SUMIF('S4'!$D$5:$D$3387,$A607,'S4'!$U$5:$U$3387),""),"")</f>
        <v/>
      </c>
      <c r="AB607" s="149" t="str">
        <f ca="1">IFERROR(IF(OR(OFFSET('S5'!#REF!,MATCH($A607,'S5'!$D$5:$D$2917,0)-1,6)="巻返し",OFFSET('S5'!#REF!,MATCH($A607,'S5'!$D$5:$D$2917,0)-1,6)="スリット"),SUMIF('S5'!$D$5:$D$2917,$A607,'S5'!$T$5:$T$2917),""),"")</f>
        <v/>
      </c>
    </row>
    <row r="608" spans="1:28" s="144" customFormat="1" ht="13.5" x14ac:dyDescent="0.15">
      <c r="A608" s="296">
        <v>3731377</v>
      </c>
      <c r="B608" s="296" t="s">
        <v>351</v>
      </c>
      <c r="C608" s="296" t="s">
        <v>352</v>
      </c>
      <c r="D608" s="296" t="s">
        <v>353</v>
      </c>
      <c r="E608" s="296" t="s">
        <v>116</v>
      </c>
      <c r="F608" s="296">
        <v>3</v>
      </c>
      <c r="G608" s="296" t="s">
        <v>19</v>
      </c>
      <c r="H608" s="296" t="s">
        <v>28</v>
      </c>
      <c r="I608" s="296" t="s">
        <v>205</v>
      </c>
      <c r="J608" s="296" t="s">
        <v>928</v>
      </c>
      <c r="K608" s="296" t="s">
        <v>233</v>
      </c>
      <c r="L608" s="296">
        <v>50</v>
      </c>
      <c r="M608" s="296" t="s">
        <v>234</v>
      </c>
      <c r="N608" s="296">
        <v>1120</v>
      </c>
      <c r="O608" s="296">
        <v>1120</v>
      </c>
      <c r="P608" s="296">
        <v>4000</v>
      </c>
      <c r="Q608" s="296">
        <v>2</v>
      </c>
      <c r="R608" s="296">
        <v>4</v>
      </c>
      <c r="S608" s="296" t="s">
        <v>354</v>
      </c>
      <c r="T608" s="296" t="s">
        <v>1675</v>
      </c>
      <c r="U608" s="296" t="s">
        <v>1731</v>
      </c>
      <c r="V608" s="296" t="s">
        <v>355</v>
      </c>
      <c r="W608" s="296" t="s">
        <v>928</v>
      </c>
      <c r="X608" s="296" t="s">
        <v>928</v>
      </c>
      <c r="Y608" s="146"/>
      <c r="Z608" s="149" t="str">
        <f t="shared" ca="1" si="9"/>
        <v/>
      </c>
      <c r="AA608" s="149" t="str">
        <f ca="1">IFERROR(IF(OR(OFFSET('S4'!#REF!,MATCH($A608,'S4'!$D$5:$D$3387,0)-1,6)="巻返し",OFFSET('S4'!#REF!,MATCH($A608,'S4'!$D$5:$D$3387,0)-1,6)="スリット"),SUMIF('S4'!$D$5:$D$3387,$A608,'S4'!$U$5:$U$3387),""),"")</f>
        <v/>
      </c>
      <c r="AB608" s="149" t="str">
        <f ca="1">IFERROR(IF(OR(OFFSET('S5'!#REF!,MATCH($A608,'S5'!$D$5:$D$2917,0)-1,6)="巻返し",OFFSET('S5'!#REF!,MATCH($A608,'S5'!$D$5:$D$2917,0)-1,6)="スリット"),SUMIF('S5'!$D$5:$D$2917,$A608,'S5'!$T$5:$T$2917),""),"")</f>
        <v/>
      </c>
    </row>
    <row r="609" spans="1:28" s="144" customFormat="1" ht="13.5" x14ac:dyDescent="0.15">
      <c r="A609" s="296">
        <v>3731382</v>
      </c>
      <c r="B609" s="296" t="s">
        <v>510</v>
      </c>
      <c r="C609" s="296" t="s">
        <v>364</v>
      </c>
      <c r="D609" s="296" t="s">
        <v>353</v>
      </c>
      <c r="E609" s="296" t="s">
        <v>324</v>
      </c>
      <c r="F609" s="296">
        <v>3</v>
      </c>
      <c r="G609" s="296" t="s">
        <v>269</v>
      </c>
      <c r="H609" s="296" t="s">
        <v>20</v>
      </c>
      <c r="I609" s="296" t="s">
        <v>205</v>
      </c>
      <c r="J609" s="296" t="s">
        <v>928</v>
      </c>
      <c r="K609" s="296" t="s">
        <v>325</v>
      </c>
      <c r="L609" s="296">
        <v>9</v>
      </c>
      <c r="M609" s="296" t="s">
        <v>326</v>
      </c>
      <c r="N609" s="296">
        <v>1360</v>
      </c>
      <c r="O609" s="296">
        <v>1360</v>
      </c>
      <c r="P609" s="296">
        <v>2100</v>
      </c>
      <c r="Q609" s="296">
        <v>2</v>
      </c>
      <c r="R609" s="296">
        <v>15</v>
      </c>
      <c r="S609" s="296" t="s">
        <v>354</v>
      </c>
      <c r="T609" s="296" t="s">
        <v>1536</v>
      </c>
      <c r="U609" s="296" t="s">
        <v>1756</v>
      </c>
      <c r="V609" s="296" t="s">
        <v>428</v>
      </c>
      <c r="W609" s="296" t="s">
        <v>928</v>
      </c>
      <c r="X609" s="296" t="s">
        <v>928</v>
      </c>
      <c r="Y609" s="146"/>
      <c r="Z609" s="149" t="str">
        <f t="shared" ca="1" si="9"/>
        <v/>
      </c>
      <c r="AA609" s="149" t="str">
        <f ca="1">IFERROR(IF(OR(OFFSET('S4'!#REF!,MATCH($A609,'S4'!$D$5:$D$3387,0)-1,6)="巻返し",OFFSET('S4'!#REF!,MATCH($A609,'S4'!$D$5:$D$3387,0)-1,6)="スリット"),SUMIF('S4'!$D$5:$D$3387,$A609,'S4'!$U$5:$U$3387),""),"")</f>
        <v/>
      </c>
      <c r="AB609" s="149" t="str">
        <f ca="1">IFERROR(IF(OR(OFFSET('S5'!#REF!,MATCH($A609,'S5'!$D$5:$D$2917,0)-1,6)="巻返し",OFFSET('S5'!#REF!,MATCH($A609,'S5'!$D$5:$D$2917,0)-1,6)="スリット"),SUMIF('S5'!$D$5:$D$2917,$A609,'S5'!$T$5:$T$2917),""),"")</f>
        <v/>
      </c>
    </row>
    <row r="610" spans="1:28" s="144" customFormat="1" ht="13.5" x14ac:dyDescent="0.15">
      <c r="A610" s="296">
        <v>3731443</v>
      </c>
      <c r="B610" s="296" t="s">
        <v>1364</v>
      </c>
      <c r="C610" s="296" t="s">
        <v>358</v>
      </c>
      <c r="D610" s="296" t="s">
        <v>353</v>
      </c>
      <c r="E610" s="296" t="s">
        <v>1365</v>
      </c>
      <c r="F610" s="296">
        <v>3</v>
      </c>
      <c r="G610" s="296" t="s">
        <v>269</v>
      </c>
      <c r="H610" s="296" t="s">
        <v>28</v>
      </c>
      <c r="I610" s="296" t="s">
        <v>1078</v>
      </c>
      <c r="J610" s="296" t="s">
        <v>928</v>
      </c>
      <c r="K610" s="296" t="s">
        <v>1079</v>
      </c>
      <c r="L610" s="296">
        <v>25</v>
      </c>
      <c r="M610" s="296" t="s">
        <v>1366</v>
      </c>
      <c r="N610" s="296">
        <v>1050</v>
      </c>
      <c r="O610" s="296">
        <v>1050</v>
      </c>
      <c r="P610" s="296">
        <v>6000</v>
      </c>
      <c r="Q610" s="296">
        <v>1</v>
      </c>
      <c r="R610" s="296">
        <v>6</v>
      </c>
      <c r="S610" s="296" t="s">
        <v>354</v>
      </c>
      <c r="T610" s="296" t="s">
        <v>1536</v>
      </c>
      <c r="U610" s="296" t="s">
        <v>1728</v>
      </c>
      <c r="V610" s="296" t="s">
        <v>428</v>
      </c>
      <c r="W610" s="296" t="s">
        <v>928</v>
      </c>
      <c r="X610" s="296" t="s">
        <v>928</v>
      </c>
      <c r="Y610" s="146"/>
      <c r="Z610" s="149" t="str">
        <f t="shared" ca="1" si="9"/>
        <v/>
      </c>
      <c r="AA610" s="149" t="str">
        <f ca="1">IFERROR(IF(OR(OFFSET('S4'!#REF!,MATCH($A610,'S4'!$D$5:$D$3387,0)-1,6)="巻返し",OFFSET('S4'!#REF!,MATCH($A610,'S4'!$D$5:$D$3387,0)-1,6)="スリット"),SUMIF('S4'!$D$5:$D$3387,$A610,'S4'!$U$5:$U$3387),""),"")</f>
        <v/>
      </c>
      <c r="AB610" s="149" t="str">
        <f ca="1">IFERROR(IF(OR(OFFSET('S5'!#REF!,MATCH($A610,'S5'!$D$5:$D$2917,0)-1,6)="巻返し",OFFSET('S5'!#REF!,MATCH($A610,'S5'!$D$5:$D$2917,0)-1,6)="スリット"),SUMIF('S5'!$D$5:$D$2917,$A610,'S5'!$T$5:$T$2917),""),"")</f>
        <v/>
      </c>
    </row>
    <row r="611" spans="1:28" s="144" customFormat="1" ht="13.5" x14ac:dyDescent="0.15">
      <c r="A611" s="296">
        <v>3731444</v>
      </c>
      <c r="B611" s="296" t="s">
        <v>1364</v>
      </c>
      <c r="C611" s="296" t="s">
        <v>358</v>
      </c>
      <c r="D611" s="296" t="s">
        <v>353</v>
      </c>
      <c r="E611" s="296" t="s">
        <v>1365</v>
      </c>
      <c r="F611" s="296">
        <v>3</v>
      </c>
      <c r="G611" s="296" t="s">
        <v>269</v>
      </c>
      <c r="H611" s="296" t="s">
        <v>28</v>
      </c>
      <c r="I611" s="296" t="s">
        <v>1078</v>
      </c>
      <c r="J611" s="296" t="s">
        <v>928</v>
      </c>
      <c r="K611" s="296" t="s">
        <v>1079</v>
      </c>
      <c r="L611" s="296">
        <v>25</v>
      </c>
      <c r="M611" s="296" t="s">
        <v>1366</v>
      </c>
      <c r="N611" s="296">
        <v>1050</v>
      </c>
      <c r="O611" s="296">
        <v>1050</v>
      </c>
      <c r="P611" s="296">
        <v>6000</v>
      </c>
      <c r="Q611" s="296">
        <v>1</v>
      </c>
      <c r="R611" s="296">
        <v>4</v>
      </c>
      <c r="S611" s="296" t="s">
        <v>354</v>
      </c>
      <c r="T611" s="296" t="s">
        <v>1536</v>
      </c>
      <c r="U611" s="296" t="s">
        <v>1756</v>
      </c>
      <c r="V611" s="296" t="s">
        <v>428</v>
      </c>
      <c r="W611" s="296" t="s">
        <v>928</v>
      </c>
      <c r="X611" s="296" t="s">
        <v>928</v>
      </c>
      <c r="Y611" s="146"/>
      <c r="Z611" s="149" t="str">
        <f t="shared" ca="1" si="9"/>
        <v/>
      </c>
      <c r="AA611" s="149" t="str">
        <f ca="1">IFERROR(IF(OR(OFFSET('S4'!#REF!,MATCH($A611,'S4'!$D$5:$D$3387,0)-1,6)="巻返し",OFFSET('S4'!#REF!,MATCH($A611,'S4'!$D$5:$D$3387,0)-1,6)="スリット"),SUMIF('S4'!$D$5:$D$3387,$A611,'S4'!$U$5:$U$3387),""),"")</f>
        <v/>
      </c>
      <c r="AB611" s="149" t="str">
        <f ca="1">IFERROR(IF(OR(OFFSET('S5'!#REF!,MATCH($A611,'S5'!$D$5:$D$2917,0)-1,6)="巻返し",OFFSET('S5'!#REF!,MATCH($A611,'S5'!$D$5:$D$2917,0)-1,6)="スリット"),SUMIF('S5'!$D$5:$D$2917,$A611,'S5'!$T$5:$T$2917),""),"")</f>
        <v/>
      </c>
    </row>
    <row r="612" spans="1:28" s="144" customFormat="1" ht="13.5" x14ac:dyDescent="0.15">
      <c r="A612" s="296">
        <v>3731818</v>
      </c>
      <c r="B612" s="296" t="s">
        <v>351</v>
      </c>
      <c r="C612" s="296" t="s">
        <v>363</v>
      </c>
      <c r="D612" s="296" t="s">
        <v>353</v>
      </c>
      <c r="E612" s="296" t="s">
        <v>204</v>
      </c>
      <c r="F612" s="296">
        <v>3</v>
      </c>
      <c r="G612" s="296" t="s">
        <v>19</v>
      </c>
      <c r="H612" s="296" t="s">
        <v>20</v>
      </c>
      <c r="I612" s="296" t="s">
        <v>205</v>
      </c>
      <c r="J612" s="296" t="s">
        <v>928</v>
      </c>
      <c r="K612" s="296" t="s">
        <v>206</v>
      </c>
      <c r="L612" s="296">
        <v>50</v>
      </c>
      <c r="M612" s="296" t="s">
        <v>207</v>
      </c>
      <c r="N612" s="296">
        <v>1020</v>
      </c>
      <c r="O612" s="296">
        <v>1000</v>
      </c>
      <c r="P612" s="296">
        <v>2000</v>
      </c>
      <c r="Q612" s="296">
        <v>2</v>
      </c>
      <c r="R612" s="296">
        <v>4</v>
      </c>
      <c r="S612" s="296" t="s">
        <v>354</v>
      </c>
      <c r="T612" s="296" t="s">
        <v>1536</v>
      </c>
      <c r="U612" s="296" t="s">
        <v>1756</v>
      </c>
      <c r="V612" s="296" t="s">
        <v>355</v>
      </c>
      <c r="W612" s="296" t="s">
        <v>928</v>
      </c>
      <c r="X612" s="296" t="s">
        <v>928</v>
      </c>
      <c r="Y612" s="146"/>
      <c r="Z612" s="149" t="str">
        <f t="shared" ca="1" si="9"/>
        <v/>
      </c>
      <c r="AA612" s="149" t="str">
        <f ca="1">IFERROR(IF(OR(OFFSET('S4'!#REF!,MATCH($A612,'S4'!$D$5:$D$3387,0)-1,6)="巻返し",OFFSET('S4'!#REF!,MATCH($A612,'S4'!$D$5:$D$3387,0)-1,6)="スリット"),SUMIF('S4'!$D$5:$D$3387,$A612,'S4'!$U$5:$U$3387),""),"")</f>
        <v/>
      </c>
      <c r="AB612" s="149" t="str">
        <f ca="1">IFERROR(IF(OR(OFFSET('S5'!#REF!,MATCH($A612,'S5'!$D$5:$D$2917,0)-1,6)="巻返し",OFFSET('S5'!#REF!,MATCH($A612,'S5'!$D$5:$D$2917,0)-1,6)="スリット"),SUMIF('S5'!$D$5:$D$2917,$A612,'S5'!$T$5:$T$2917),""),"")</f>
        <v/>
      </c>
    </row>
    <row r="613" spans="1:28" s="144" customFormat="1" ht="13.5" x14ac:dyDescent="0.15">
      <c r="A613" s="296">
        <v>3732043</v>
      </c>
      <c r="B613" s="296" t="s">
        <v>351</v>
      </c>
      <c r="C613" s="296" t="s">
        <v>364</v>
      </c>
      <c r="D613" s="296" t="s">
        <v>353</v>
      </c>
      <c r="E613" s="296" t="s">
        <v>171</v>
      </c>
      <c r="F613" s="296">
        <v>3</v>
      </c>
      <c r="G613" s="296" t="s">
        <v>19</v>
      </c>
      <c r="H613" s="296" t="s">
        <v>20</v>
      </c>
      <c r="I613" s="296" t="s">
        <v>165</v>
      </c>
      <c r="J613" s="296" t="s">
        <v>928</v>
      </c>
      <c r="K613" s="296" t="s">
        <v>180</v>
      </c>
      <c r="L613" s="296">
        <v>50</v>
      </c>
      <c r="M613" s="296" t="s">
        <v>181</v>
      </c>
      <c r="N613" s="296">
        <v>1200</v>
      </c>
      <c r="O613" s="296">
        <v>1190</v>
      </c>
      <c r="P613" s="296">
        <v>6000</v>
      </c>
      <c r="Q613" s="296">
        <v>2</v>
      </c>
      <c r="R613" s="296">
        <v>6</v>
      </c>
      <c r="S613" s="296" t="s">
        <v>354</v>
      </c>
      <c r="T613" s="296" t="s">
        <v>1758</v>
      </c>
      <c r="U613" s="296" t="s">
        <v>1728</v>
      </c>
      <c r="V613" s="296" t="s">
        <v>355</v>
      </c>
      <c r="W613" s="296" t="s">
        <v>928</v>
      </c>
      <c r="X613" s="296" t="s">
        <v>928</v>
      </c>
      <c r="Y613" s="146"/>
      <c r="Z613" s="149" t="str">
        <f t="shared" ca="1" si="9"/>
        <v/>
      </c>
      <c r="AA613" s="149" t="str">
        <f ca="1">IFERROR(IF(OR(OFFSET('S4'!#REF!,MATCH($A613,'S4'!$D$5:$D$3387,0)-1,6)="巻返し",OFFSET('S4'!#REF!,MATCH($A613,'S4'!$D$5:$D$3387,0)-1,6)="スリット"),SUMIF('S4'!$D$5:$D$3387,$A613,'S4'!$U$5:$U$3387),""),"")</f>
        <v/>
      </c>
      <c r="AB613" s="149" t="str">
        <f ca="1">IFERROR(IF(OR(OFFSET('S5'!#REF!,MATCH($A613,'S5'!$D$5:$D$2917,0)-1,6)="巻返し",OFFSET('S5'!#REF!,MATCH($A613,'S5'!$D$5:$D$2917,0)-1,6)="スリット"),SUMIF('S5'!$D$5:$D$2917,$A613,'S5'!$T$5:$T$2917),""),"")</f>
        <v/>
      </c>
    </row>
    <row r="614" spans="1:28" s="144" customFormat="1" ht="13.5" x14ac:dyDescent="0.15">
      <c r="A614" s="296">
        <v>3732645</v>
      </c>
      <c r="B614" s="296" t="s">
        <v>351</v>
      </c>
      <c r="C614" s="296" t="s">
        <v>358</v>
      </c>
      <c r="D614" s="296" t="s">
        <v>353</v>
      </c>
      <c r="E614" s="296" t="s">
        <v>204</v>
      </c>
      <c r="F614" s="296">
        <v>3</v>
      </c>
      <c r="G614" s="296" t="s">
        <v>19</v>
      </c>
      <c r="H614" s="296" t="s">
        <v>20</v>
      </c>
      <c r="I614" s="296" t="s">
        <v>205</v>
      </c>
      <c r="J614" s="296" t="s">
        <v>928</v>
      </c>
      <c r="K614" s="296" t="s">
        <v>206</v>
      </c>
      <c r="L614" s="296">
        <v>50</v>
      </c>
      <c r="M614" s="296" t="s">
        <v>207</v>
      </c>
      <c r="N614" s="296">
        <v>1020</v>
      </c>
      <c r="O614" s="296">
        <v>1000</v>
      </c>
      <c r="P614" s="296">
        <v>2000</v>
      </c>
      <c r="Q614" s="296">
        <v>2</v>
      </c>
      <c r="R614" s="296">
        <v>4</v>
      </c>
      <c r="S614" s="296" t="s">
        <v>354</v>
      </c>
      <c r="T614" s="296" t="s">
        <v>1513</v>
      </c>
      <c r="U614" s="296" t="s">
        <v>1756</v>
      </c>
      <c r="V614" s="296" t="s">
        <v>355</v>
      </c>
      <c r="W614" s="296" t="s">
        <v>928</v>
      </c>
      <c r="X614" s="296" t="s">
        <v>928</v>
      </c>
      <c r="Y614" s="146"/>
      <c r="Z614" s="149" t="str">
        <f t="shared" ca="1" si="9"/>
        <v/>
      </c>
      <c r="AA614" s="149" t="str">
        <f ca="1">IFERROR(IF(OR(OFFSET('S4'!#REF!,MATCH($A614,'S4'!$D$5:$D$3387,0)-1,6)="巻返し",OFFSET('S4'!#REF!,MATCH($A614,'S4'!$D$5:$D$3387,0)-1,6)="スリット"),SUMIF('S4'!$D$5:$D$3387,$A614,'S4'!$U$5:$U$3387),""),"")</f>
        <v/>
      </c>
      <c r="AB614" s="149" t="str">
        <f ca="1">IFERROR(IF(OR(OFFSET('S5'!#REF!,MATCH($A614,'S5'!$D$5:$D$2917,0)-1,6)="巻返し",OFFSET('S5'!#REF!,MATCH($A614,'S5'!$D$5:$D$2917,0)-1,6)="スリット"),SUMIF('S5'!$D$5:$D$2917,$A614,'S5'!$T$5:$T$2917),""),"")</f>
        <v/>
      </c>
    </row>
    <row r="615" spans="1:28" s="144" customFormat="1" ht="13.5" x14ac:dyDescent="0.15">
      <c r="A615" s="296">
        <v>3732646</v>
      </c>
      <c r="B615" s="296" t="s">
        <v>351</v>
      </c>
      <c r="C615" s="296" t="s">
        <v>352</v>
      </c>
      <c r="D615" s="296" t="s">
        <v>353</v>
      </c>
      <c r="E615" s="296" t="s">
        <v>171</v>
      </c>
      <c r="F615" s="296">
        <v>3</v>
      </c>
      <c r="G615" s="296" t="s">
        <v>19</v>
      </c>
      <c r="H615" s="296" t="s">
        <v>20</v>
      </c>
      <c r="I615" s="296" t="s">
        <v>165</v>
      </c>
      <c r="J615" s="296" t="s">
        <v>928</v>
      </c>
      <c r="K615" s="296" t="s">
        <v>180</v>
      </c>
      <c r="L615" s="296">
        <v>50</v>
      </c>
      <c r="M615" s="296" t="s">
        <v>181</v>
      </c>
      <c r="N615" s="296">
        <v>1200</v>
      </c>
      <c r="O615" s="296">
        <v>1190</v>
      </c>
      <c r="P615" s="296">
        <v>6000</v>
      </c>
      <c r="Q615" s="296">
        <v>2</v>
      </c>
      <c r="R615" s="296">
        <v>4</v>
      </c>
      <c r="S615" s="296" t="s">
        <v>354</v>
      </c>
      <c r="T615" s="296" t="s">
        <v>1513</v>
      </c>
      <c r="U615" s="296" t="s">
        <v>1728</v>
      </c>
      <c r="V615" s="296" t="s">
        <v>355</v>
      </c>
      <c r="W615" s="296" t="s">
        <v>928</v>
      </c>
      <c r="X615" s="296" t="s">
        <v>928</v>
      </c>
      <c r="Y615" s="146"/>
      <c r="Z615" s="149" t="str">
        <f t="shared" ca="1" si="9"/>
        <v/>
      </c>
      <c r="AA615" s="149" t="str">
        <f ca="1">IFERROR(IF(OR(OFFSET('S4'!#REF!,MATCH($A615,'S4'!$D$5:$D$3387,0)-1,6)="巻返し",OFFSET('S4'!#REF!,MATCH($A615,'S4'!$D$5:$D$3387,0)-1,6)="スリット"),SUMIF('S4'!$D$5:$D$3387,$A615,'S4'!$U$5:$U$3387),""),"")</f>
        <v/>
      </c>
      <c r="AB615" s="149" t="str">
        <f ca="1">IFERROR(IF(OR(OFFSET('S5'!#REF!,MATCH($A615,'S5'!$D$5:$D$2917,0)-1,6)="巻返し",OFFSET('S5'!#REF!,MATCH($A615,'S5'!$D$5:$D$2917,0)-1,6)="スリット"),SUMIF('S5'!$D$5:$D$2917,$A615,'S5'!$T$5:$T$2917),""),"")</f>
        <v/>
      </c>
    </row>
    <row r="616" spans="1:28" s="144" customFormat="1" ht="13.5" x14ac:dyDescent="0.15">
      <c r="A616" s="296">
        <v>3732648</v>
      </c>
      <c r="B616" s="296" t="s">
        <v>351</v>
      </c>
      <c r="C616" s="296" t="s">
        <v>352</v>
      </c>
      <c r="D616" s="296" t="s">
        <v>353</v>
      </c>
      <c r="E616" s="296" t="s">
        <v>148</v>
      </c>
      <c r="F616" s="296">
        <v>3</v>
      </c>
      <c r="G616" s="296" t="s">
        <v>19</v>
      </c>
      <c r="H616" s="296" t="s">
        <v>20</v>
      </c>
      <c r="I616" s="296" t="s">
        <v>143</v>
      </c>
      <c r="J616" s="296" t="s">
        <v>928</v>
      </c>
      <c r="K616" s="296" t="s">
        <v>149</v>
      </c>
      <c r="L616" s="296">
        <v>50</v>
      </c>
      <c r="M616" s="296" t="s">
        <v>150</v>
      </c>
      <c r="N616" s="296">
        <v>1120</v>
      </c>
      <c r="O616" s="296">
        <v>1120</v>
      </c>
      <c r="P616" s="296">
        <v>6000</v>
      </c>
      <c r="Q616" s="296">
        <v>2</v>
      </c>
      <c r="R616" s="296">
        <v>8</v>
      </c>
      <c r="S616" s="296" t="s">
        <v>354</v>
      </c>
      <c r="T616" s="296" t="s">
        <v>1513</v>
      </c>
      <c r="U616" s="296" t="s">
        <v>1728</v>
      </c>
      <c r="V616" s="296" t="s">
        <v>355</v>
      </c>
      <c r="W616" s="296" t="s">
        <v>928</v>
      </c>
      <c r="X616" s="296" t="s">
        <v>928</v>
      </c>
      <c r="Y616" s="146"/>
      <c r="Z616" s="149" t="str">
        <f t="shared" ca="1" si="9"/>
        <v/>
      </c>
      <c r="AA616" s="149" t="str">
        <f ca="1">IFERROR(IF(OR(OFFSET('S4'!#REF!,MATCH($A616,'S4'!$D$5:$D$3387,0)-1,6)="巻返し",OFFSET('S4'!#REF!,MATCH($A616,'S4'!$D$5:$D$3387,0)-1,6)="スリット"),SUMIF('S4'!$D$5:$D$3387,$A616,'S4'!$U$5:$U$3387),""),"")</f>
        <v/>
      </c>
      <c r="AB616" s="149" t="str">
        <f ca="1">IFERROR(IF(OR(OFFSET('S5'!#REF!,MATCH($A616,'S5'!$D$5:$D$2917,0)-1,6)="巻返し",OFFSET('S5'!#REF!,MATCH($A616,'S5'!$D$5:$D$2917,0)-1,6)="スリット"),SUMIF('S5'!$D$5:$D$2917,$A616,'S5'!$T$5:$T$2917),""),"")</f>
        <v/>
      </c>
    </row>
    <row r="617" spans="1:28" s="144" customFormat="1" ht="13.5" x14ac:dyDescent="0.15">
      <c r="A617" s="296">
        <v>3732649</v>
      </c>
      <c r="B617" s="296" t="s">
        <v>351</v>
      </c>
      <c r="C617" s="296" t="s">
        <v>352</v>
      </c>
      <c r="D617" s="296" t="s">
        <v>353</v>
      </c>
      <c r="E617" s="296" t="s">
        <v>148</v>
      </c>
      <c r="F617" s="296">
        <v>3</v>
      </c>
      <c r="G617" s="296" t="s">
        <v>19</v>
      </c>
      <c r="H617" s="296" t="s">
        <v>20</v>
      </c>
      <c r="I617" s="296" t="s">
        <v>165</v>
      </c>
      <c r="J617" s="296" t="s">
        <v>928</v>
      </c>
      <c r="K617" s="296" t="s">
        <v>169</v>
      </c>
      <c r="L617" s="296">
        <v>50</v>
      </c>
      <c r="M617" s="296" t="s">
        <v>170</v>
      </c>
      <c r="N617" s="296">
        <v>1120</v>
      </c>
      <c r="O617" s="296">
        <v>1120</v>
      </c>
      <c r="P617" s="296">
        <v>6000</v>
      </c>
      <c r="Q617" s="296">
        <v>2</v>
      </c>
      <c r="R617" s="296">
        <v>4</v>
      </c>
      <c r="S617" s="296" t="s">
        <v>354</v>
      </c>
      <c r="T617" s="296" t="s">
        <v>1513</v>
      </c>
      <c r="U617" s="296" t="s">
        <v>1728</v>
      </c>
      <c r="V617" s="296" t="s">
        <v>355</v>
      </c>
      <c r="W617" s="296" t="s">
        <v>928</v>
      </c>
      <c r="X617" s="296" t="s">
        <v>928</v>
      </c>
      <c r="Y617" s="146"/>
      <c r="Z617" s="149" t="str">
        <f t="shared" ca="1" si="9"/>
        <v/>
      </c>
      <c r="AA617" s="149" t="str">
        <f ca="1">IFERROR(IF(OR(OFFSET('S4'!#REF!,MATCH($A617,'S4'!$D$5:$D$3387,0)-1,6)="巻返し",OFFSET('S4'!#REF!,MATCH($A617,'S4'!$D$5:$D$3387,0)-1,6)="スリット"),SUMIF('S4'!$D$5:$D$3387,$A617,'S4'!$U$5:$U$3387),""),"")</f>
        <v/>
      </c>
      <c r="AB617" s="149" t="str">
        <f ca="1">IFERROR(IF(OR(OFFSET('S5'!#REF!,MATCH($A617,'S5'!$D$5:$D$2917,0)-1,6)="巻返し",OFFSET('S5'!#REF!,MATCH($A617,'S5'!$D$5:$D$2917,0)-1,6)="スリット"),SUMIF('S5'!$D$5:$D$2917,$A617,'S5'!$T$5:$T$2917),""),"")</f>
        <v/>
      </c>
    </row>
    <row r="618" spans="1:28" s="144" customFormat="1" ht="13.5" x14ac:dyDescent="0.15">
      <c r="A618" s="296">
        <v>3732650</v>
      </c>
      <c r="B618" s="296" t="s">
        <v>351</v>
      </c>
      <c r="C618" s="296" t="s">
        <v>352</v>
      </c>
      <c r="D618" s="296" t="s">
        <v>353</v>
      </c>
      <c r="E618" s="296" t="s">
        <v>148</v>
      </c>
      <c r="F618" s="296">
        <v>3</v>
      </c>
      <c r="G618" s="296" t="s">
        <v>19</v>
      </c>
      <c r="H618" s="296" t="s">
        <v>20</v>
      </c>
      <c r="I618" s="296" t="s">
        <v>165</v>
      </c>
      <c r="J618" s="296" t="s">
        <v>928</v>
      </c>
      <c r="K618" s="296" t="s">
        <v>180</v>
      </c>
      <c r="L618" s="296">
        <v>50</v>
      </c>
      <c r="M618" s="296" t="s">
        <v>181</v>
      </c>
      <c r="N618" s="296">
        <v>1120</v>
      </c>
      <c r="O618" s="296">
        <v>1120</v>
      </c>
      <c r="P618" s="296">
        <v>4000</v>
      </c>
      <c r="Q618" s="296">
        <v>2</v>
      </c>
      <c r="R618" s="296">
        <v>6</v>
      </c>
      <c r="S618" s="296" t="s">
        <v>354</v>
      </c>
      <c r="T618" s="296" t="s">
        <v>1513</v>
      </c>
      <c r="U618" s="296" t="s">
        <v>1728</v>
      </c>
      <c r="V618" s="296" t="s">
        <v>355</v>
      </c>
      <c r="W618" s="296" t="s">
        <v>928</v>
      </c>
      <c r="X618" s="296" t="s">
        <v>928</v>
      </c>
      <c r="Y618" s="146"/>
      <c r="Z618" s="149" t="str">
        <f t="shared" ca="1" si="9"/>
        <v/>
      </c>
      <c r="AA618" s="149" t="str">
        <f ca="1">IFERROR(IF(OR(OFFSET('S4'!#REF!,MATCH($A618,'S4'!$D$5:$D$3387,0)-1,6)="巻返し",OFFSET('S4'!#REF!,MATCH($A618,'S4'!$D$5:$D$3387,0)-1,6)="スリット"),SUMIF('S4'!$D$5:$D$3387,$A618,'S4'!$U$5:$U$3387),""),"")</f>
        <v/>
      </c>
      <c r="AB618" s="149" t="str">
        <f ca="1">IFERROR(IF(OR(OFFSET('S5'!#REF!,MATCH($A618,'S5'!$D$5:$D$2917,0)-1,6)="巻返し",OFFSET('S5'!#REF!,MATCH($A618,'S5'!$D$5:$D$2917,0)-1,6)="スリット"),SUMIF('S5'!$D$5:$D$2917,$A618,'S5'!$T$5:$T$2917),""),"")</f>
        <v/>
      </c>
    </row>
    <row r="619" spans="1:28" s="252" customFormat="1" ht="13.15" customHeight="1" x14ac:dyDescent="0.15">
      <c r="A619" s="296">
        <v>3732651</v>
      </c>
      <c r="B619" s="296" t="s">
        <v>351</v>
      </c>
      <c r="C619" s="296" t="s">
        <v>352</v>
      </c>
      <c r="D619" s="296" t="s">
        <v>353</v>
      </c>
      <c r="E619" s="296" t="s">
        <v>148</v>
      </c>
      <c r="F619" s="296">
        <v>3</v>
      </c>
      <c r="G619" s="296" t="s">
        <v>19</v>
      </c>
      <c r="H619" s="296" t="s">
        <v>20</v>
      </c>
      <c r="I619" s="296" t="s">
        <v>165</v>
      </c>
      <c r="J619" s="296" t="s">
        <v>928</v>
      </c>
      <c r="K619" s="296" t="s">
        <v>202</v>
      </c>
      <c r="L619" s="296">
        <v>50</v>
      </c>
      <c r="M619" s="296" t="s">
        <v>424</v>
      </c>
      <c r="N619" s="296">
        <v>1120</v>
      </c>
      <c r="O619" s="296">
        <v>1120</v>
      </c>
      <c r="P619" s="296">
        <v>5000</v>
      </c>
      <c r="Q619" s="296">
        <v>2</v>
      </c>
      <c r="R619" s="296">
        <v>2</v>
      </c>
      <c r="S619" s="296" t="s">
        <v>354</v>
      </c>
      <c r="T619" s="296" t="s">
        <v>1513</v>
      </c>
      <c r="U619" s="296" t="s">
        <v>1728</v>
      </c>
      <c r="V619" s="296" t="s">
        <v>355</v>
      </c>
      <c r="W619" s="296" t="s">
        <v>928</v>
      </c>
      <c r="X619" s="296" t="s">
        <v>928</v>
      </c>
      <c r="Y619" s="146"/>
    </row>
    <row r="620" spans="1:28" s="252" customFormat="1" ht="13.15" customHeight="1" x14ac:dyDescent="0.15">
      <c r="A620" s="296">
        <v>3732676</v>
      </c>
      <c r="B620" s="296" t="s">
        <v>351</v>
      </c>
      <c r="C620" s="296" t="s">
        <v>352</v>
      </c>
      <c r="D620" s="296" t="s">
        <v>353</v>
      </c>
      <c r="E620" s="296" t="s">
        <v>148</v>
      </c>
      <c r="F620" s="296" t="s">
        <v>468</v>
      </c>
      <c r="G620" s="296" t="s">
        <v>19</v>
      </c>
      <c r="H620" s="296" t="s">
        <v>20</v>
      </c>
      <c r="I620" s="296" t="s">
        <v>165</v>
      </c>
      <c r="J620" s="296" t="s">
        <v>928</v>
      </c>
      <c r="K620" s="296" t="s">
        <v>202</v>
      </c>
      <c r="L620" s="296">
        <v>50</v>
      </c>
      <c r="M620" s="296" t="s">
        <v>424</v>
      </c>
      <c r="N620" s="296">
        <v>1120</v>
      </c>
      <c r="O620" s="296">
        <v>1120</v>
      </c>
      <c r="P620" s="296">
        <v>5000</v>
      </c>
      <c r="Q620" s="296">
        <v>2</v>
      </c>
      <c r="R620" s="296">
        <v>2</v>
      </c>
      <c r="S620" s="296" t="s">
        <v>354</v>
      </c>
      <c r="T620" s="296" t="s">
        <v>1757</v>
      </c>
      <c r="U620" s="296" t="s">
        <v>1728</v>
      </c>
      <c r="V620" s="296" t="s">
        <v>355</v>
      </c>
      <c r="W620" s="296" t="s">
        <v>928</v>
      </c>
      <c r="X620" s="296" t="s">
        <v>928</v>
      </c>
      <c r="Y620" s="146"/>
    </row>
    <row r="621" spans="1:28" s="252" customFormat="1" ht="13.15" customHeight="1" x14ac:dyDescent="0.15">
      <c r="A621" s="296">
        <v>3732679</v>
      </c>
      <c r="B621" s="296" t="s">
        <v>423</v>
      </c>
      <c r="C621" s="296" t="s">
        <v>352</v>
      </c>
      <c r="D621" s="296" t="s">
        <v>353</v>
      </c>
      <c r="E621" s="296" t="s">
        <v>116</v>
      </c>
      <c r="F621" s="296">
        <v>3</v>
      </c>
      <c r="G621" s="296" t="s">
        <v>265</v>
      </c>
      <c r="H621" s="296" t="s">
        <v>20</v>
      </c>
      <c r="I621" s="296" t="s">
        <v>165</v>
      </c>
      <c r="J621" s="296" t="s">
        <v>928</v>
      </c>
      <c r="K621" s="296" t="s">
        <v>172</v>
      </c>
      <c r="L621" s="296">
        <v>50</v>
      </c>
      <c r="M621" s="296" t="s">
        <v>173</v>
      </c>
      <c r="N621" s="296">
        <v>1005</v>
      </c>
      <c r="O621" s="296">
        <v>1000</v>
      </c>
      <c r="P621" s="296">
        <v>4000</v>
      </c>
      <c r="Q621" s="296">
        <v>2</v>
      </c>
      <c r="R621" s="296">
        <v>2</v>
      </c>
      <c r="S621" s="296" t="s">
        <v>354</v>
      </c>
      <c r="T621" s="296" t="s">
        <v>1757</v>
      </c>
      <c r="U621" s="296" t="s">
        <v>1717</v>
      </c>
      <c r="V621" s="296" t="s">
        <v>355</v>
      </c>
      <c r="W621" s="296" t="s">
        <v>928</v>
      </c>
      <c r="X621" s="296" t="s">
        <v>928</v>
      </c>
      <c r="Y621" s="146"/>
    </row>
    <row r="622" spans="1:28" s="252" customFormat="1" ht="13.15" customHeight="1" x14ac:dyDescent="0.15">
      <c r="A622" s="296">
        <v>3732680</v>
      </c>
      <c r="B622" s="296" t="s">
        <v>423</v>
      </c>
      <c r="C622" s="296" t="s">
        <v>352</v>
      </c>
      <c r="D622" s="296" t="s">
        <v>353</v>
      </c>
      <c r="E622" s="296" t="s">
        <v>116</v>
      </c>
      <c r="F622" s="296">
        <v>3</v>
      </c>
      <c r="G622" s="296" t="s">
        <v>265</v>
      </c>
      <c r="H622" s="296" t="s">
        <v>20</v>
      </c>
      <c r="I622" s="296" t="s">
        <v>165</v>
      </c>
      <c r="J622" s="296" t="s">
        <v>928</v>
      </c>
      <c r="K622" s="296" t="s">
        <v>176</v>
      </c>
      <c r="L622" s="296">
        <v>50</v>
      </c>
      <c r="M622" s="296" t="s">
        <v>177</v>
      </c>
      <c r="N622" s="296">
        <v>1005</v>
      </c>
      <c r="O622" s="296">
        <v>1000</v>
      </c>
      <c r="P622" s="296">
        <v>4100</v>
      </c>
      <c r="Q622" s="296">
        <v>2</v>
      </c>
      <c r="R622" s="296">
        <v>4</v>
      </c>
      <c r="S622" s="296" t="s">
        <v>354</v>
      </c>
      <c r="T622" s="296" t="s">
        <v>1757</v>
      </c>
      <c r="U622" s="296" t="s">
        <v>1717</v>
      </c>
      <c r="V622" s="296" t="s">
        <v>355</v>
      </c>
      <c r="W622" s="296" t="s">
        <v>928</v>
      </c>
      <c r="X622" s="296" t="s">
        <v>928</v>
      </c>
      <c r="Y622" s="146"/>
    </row>
    <row r="623" spans="1:28" s="252" customFormat="1" ht="13.15" customHeight="1" x14ac:dyDescent="0.15">
      <c r="A623" s="296">
        <v>3732681</v>
      </c>
      <c r="B623" s="296" t="s">
        <v>423</v>
      </c>
      <c r="C623" s="296" t="s">
        <v>352</v>
      </c>
      <c r="D623" s="296" t="s">
        <v>353</v>
      </c>
      <c r="E623" s="296" t="s">
        <v>116</v>
      </c>
      <c r="F623" s="296">
        <v>3</v>
      </c>
      <c r="G623" s="296" t="s">
        <v>265</v>
      </c>
      <c r="H623" s="296" t="s">
        <v>20</v>
      </c>
      <c r="I623" s="296" t="s">
        <v>165</v>
      </c>
      <c r="J623" s="296" t="s">
        <v>928</v>
      </c>
      <c r="K623" s="296" t="s">
        <v>176</v>
      </c>
      <c r="L623" s="296">
        <v>25</v>
      </c>
      <c r="M623" s="296" t="s">
        <v>177</v>
      </c>
      <c r="N623" s="296">
        <v>1005</v>
      </c>
      <c r="O623" s="296">
        <v>1000</v>
      </c>
      <c r="P623" s="296">
        <v>2000</v>
      </c>
      <c r="Q623" s="296">
        <v>2</v>
      </c>
      <c r="R623" s="296">
        <v>4</v>
      </c>
      <c r="S623" s="296" t="s">
        <v>354</v>
      </c>
      <c r="T623" s="296" t="s">
        <v>1757</v>
      </c>
      <c r="U623" s="296" t="s">
        <v>1717</v>
      </c>
      <c r="V623" s="296" t="s">
        <v>355</v>
      </c>
      <c r="W623" s="296" t="s">
        <v>928</v>
      </c>
      <c r="X623" s="296" t="s">
        <v>928</v>
      </c>
      <c r="Y623" s="146"/>
    </row>
    <row r="624" spans="1:28" s="252" customFormat="1" ht="13.15" customHeight="1" x14ac:dyDescent="0.15">
      <c r="A624" s="296">
        <v>3732871</v>
      </c>
      <c r="B624" s="296" t="s">
        <v>351</v>
      </c>
      <c r="C624" s="296" t="s">
        <v>1796</v>
      </c>
      <c r="D624" s="296" t="s">
        <v>353</v>
      </c>
      <c r="E624" s="296" t="s">
        <v>17</v>
      </c>
      <c r="F624" s="296" t="s">
        <v>96</v>
      </c>
      <c r="G624" s="296" t="s">
        <v>19</v>
      </c>
      <c r="H624" s="296" t="s">
        <v>20</v>
      </c>
      <c r="I624" s="296" t="s">
        <v>205</v>
      </c>
      <c r="J624" s="296" t="s">
        <v>928</v>
      </c>
      <c r="K624" s="296" t="s">
        <v>242</v>
      </c>
      <c r="L624" s="296">
        <v>50</v>
      </c>
      <c r="M624" s="296" t="s">
        <v>243</v>
      </c>
      <c r="N624" s="296">
        <v>1000</v>
      </c>
      <c r="O624" s="296">
        <v>1000</v>
      </c>
      <c r="P624" s="296">
        <v>1000</v>
      </c>
      <c r="Q624" s="296">
        <v>2</v>
      </c>
      <c r="R624" s="296">
        <v>6</v>
      </c>
      <c r="S624" s="296" t="s">
        <v>354</v>
      </c>
      <c r="T624" s="296" t="s">
        <v>1797</v>
      </c>
      <c r="U624" s="296" t="s">
        <v>1728</v>
      </c>
      <c r="V624" s="296" t="s">
        <v>355</v>
      </c>
      <c r="W624" s="296" t="s">
        <v>928</v>
      </c>
      <c r="X624" s="296" t="s">
        <v>928</v>
      </c>
      <c r="Y624" s="146"/>
    </row>
    <row r="625" spans="1:25" s="252" customFormat="1" ht="13.15" customHeight="1" x14ac:dyDescent="0.15">
      <c r="A625" s="296">
        <v>3733362</v>
      </c>
      <c r="B625" s="296" t="s">
        <v>423</v>
      </c>
      <c r="C625" s="296" t="s">
        <v>1801</v>
      </c>
      <c r="D625" s="296" t="s">
        <v>353</v>
      </c>
      <c r="E625" s="296" t="s">
        <v>116</v>
      </c>
      <c r="F625" s="296">
        <v>3</v>
      </c>
      <c r="G625" s="296" t="s">
        <v>265</v>
      </c>
      <c r="H625" s="296" t="s">
        <v>20</v>
      </c>
      <c r="I625" s="296" t="s">
        <v>165</v>
      </c>
      <c r="J625" s="296" t="s">
        <v>928</v>
      </c>
      <c r="K625" s="296" t="s">
        <v>319</v>
      </c>
      <c r="L625" s="296">
        <v>25</v>
      </c>
      <c r="M625" s="296" t="s">
        <v>320</v>
      </c>
      <c r="N625" s="296">
        <v>1000</v>
      </c>
      <c r="O625" s="296">
        <v>1000</v>
      </c>
      <c r="P625" s="296">
        <v>2000</v>
      </c>
      <c r="Q625" s="296">
        <v>2</v>
      </c>
      <c r="R625" s="296">
        <v>2</v>
      </c>
      <c r="S625" s="296" t="s">
        <v>354</v>
      </c>
      <c r="T625" s="296" t="s">
        <v>1546</v>
      </c>
      <c r="U625" s="296" t="s">
        <v>1756</v>
      </c>
      <c r="V625" s="296" t="s">
        <v>355</v>
      </c>
      <c r="W625" s="296" t="s">
        <v>928</v>
      </c>
      <c r="X625" s="296" t="s">
        <v>928</v>
      </c>
      <c r="Y625" s="146"/>
    </row>
    <row r="626" spans="1:25" s="252" customFormat="1" ht="13.15" customHeight="1" x14ac:dyDescent="0.15">
      <c r="A626" s="296">
        <v>3734843</v>
      </c>
      <c r="B626" s="296" t="s">
        <v>510</v>
      </c>
      <c r="C626" s="296" t="s">
        <v>1801</v>
      </c>
      <c r="D626" s="296" t="s">
        <v>353</v>
      </c>
      <c r="E626" s="296" t="s">
        <v>324</v>
      </c>
      <c r="F626" s="296">
        <v>3</v>
      </c>
      <c r="G626" s="296" t="s">
        <v>269</v>
      </c>
      <c r="H626" s="296" t="s">
        <v>20</v>
      </c>
      <c r="I626" s="296" t="s">
        <v>205</v>
      </c>
      <c r="J626" s="296" t="s">
        <v>928</v>
      </c>
      <c r="K626" s="296" t="s">
        <v>325</v>
      </c>
      <c r="L626" s="296">
        <v>9</v>
      </c>
      <c r="M626" s="296" t="s">
        <v>326</v>
      </c>
      <c r="N626" s="296">
        <v>1360</v>
      </c>
      <c r="O626" s="296">
        <v>1360</v>
      </c>
      <c r="P626" s="296">
        <v>2100</v>
      </c>
      <c r="Q626" s="296">
        <v>2</v>
      </c>
      <c r="R626" s="296">
        <v>15</v>
      </c>
      <c r="S626" s="296" t="s">
        <v>354</v>
      </c>
      <c r="T626" s="296" t="s">
        <v>1808</v>
      </c>
      <c r="U626" s="296" t="s">
        <v>1756</v>
      </c>
      <c r="V626" s="296" t="s">
        <v>428</v>
      </c>
      <c r="W626" s="296" t="s">
        <v>928</v>
      </c>
      <c r="X626" s="296" t="s">
        <v>928</v>
      </c>
      <c r="Y626" s="146"/>
    </row>
    <row r="627" spans="1:25" s="252" customFormat="1" ht="13.15" customHeight="1" x14ac:dyDescent="0.15">
      <c r="A627" s="296">
        <v>3734843</v>
      </c>
      <c r="B627" s="296" t="s">
        <v>510</v>
      </c>
      <c r="C627" s="296" t="s">
        <v>1801</v>
      </c>
      <c r="D627" s="296" t="s">
        <v>353</v>
      </c>
      <c r="E627" s="296" t="s">
        <v>324</v>
      </c>
      <c r="F627" s="296">
        <v>3</v>
      </c>
      <c r="G627" s="296" t="s">
        <v>269</v>
      </c>
      <c r="H627" s="296" t="s">
        <v>20</v>
      </c>
      <c r="I627" s="296" t="s">
        <v>205</v>
      </c>
      <c r="J627" s="296" t="s">
        <v>928</v>
      </c>
      <c r="K627" s="296" t="s">
        <v>325</v>
      </c>
      <c r="L627" s="296">
        <v>9</v>
      </c>
      <c r="M627" s="296" t="s">
        <v>326</v>
      </c>
      <c r="N627" s="296">
        <v>1360</v>
      </c>
      <c r="O627" s="296">
        <v>1360</v>
      </c>
      <c r="P627" s="296">
        <v>2100</v>
      </c>
      <c r="Q627" s="296">
        <v>2</v>
      </c>
      <c r="R627" s="296">
        <v>15</v>
      </c>
      <c r="S627" s="296" t="s">
        <v>354</v>
      </c>
      <c r="T627" s="296" t="s">
        <v>1808</v>
      </c>
      <c r="U627" s="296" t="s">
        <v>1756</v>
      </c>
      <c r="V627" s="296" t="s">
        <v>428</v>
      </c>
      <c r="W627" s="296" t="s">
        <v>928</v>
      </c>
      <c r="X627" s="296" t="s">
        <v>928</v>
      </c>
      <c r="Y627" s="146"/>
    </row>
    <row r="628" spans="1:25" s="252" customFormat="1" ht="13.15" customHeight="1" x14ac:dyDescent="0.15">
      <c r="A628" s="296">
        <v>3734853</v>
      </c>
      <c r="B628" s="296" t="s">
        <v>423</v>
      </c>
      <c r="C628" s="296" t="s">
        <v>1801</v>
      </c>
      <c r="D628" s="296" t="s">
        <v>353</v>
      </c>
      <c r="E628" s="296" t="s">
        <v>116</v>
      </c>
      <c r="F628" s="296">
        <v>3</v>
      </c>
      <c r="G628" s="296" t="s">
        <v>265</v>
      </c>
      <c r="H628" s="296" t="s">
        <v>20</v>
      </c>
      <c r="I628" s="296" t="s">
        <v>165</v>
      </c>
      <c r="J628" s="296" t="s">
        <v>928</v>
      </c>
      <c r="K628" s="296" t="s">
        <v>319</v>
      </c>
      <c r="L628" s="296">
        <v>25</v>
      </c>
      <c r="M628" s="296" t="s">
        <v>320</v>
      </c>
      <c r="N628" s="296">
        <v>1000</v>
      </c>
      <c r="O628" s="296">
        <v>1000</v>
      </c>
      <c r="P628" s="296">
        <v>2000</v>
      </c>
      <c r="Q628" s="296">
        <v>2</v>
      </c>
      <c r="R628" s="296">
        <v>2</v>
      </c>
      <c r="S628" s="296" t="s">
        <v>354</v>
      </c>
      <c r="T628" s="296" t="s">
        <v>1808</v>
      </c>
      <c r="U628" s="296" t="s">
        <v>1756</v>
      </c>
      <c r="V628" s="296" t="s">
        <v>355</v>
      </c>
      <c r="W628" s="296" t="s">
        <v>928</v>
      </c>
      <c r="X628" s="296" t="s">
        <v>928</v>
      </c>
      <c r="Y628" s="146"/>
    </row>
    <row r="629" spans="1:25" s="252" customFormat="1" ht="13.15" customHeight="1" x14ac:dyDescent="0.15">
      <c r="A629" s="296">
        <v>3735099</v>
      </c>
      <c r="B629" s="296" t="s">
        <v>423</v>
      </c>
      <c r="C629" s="296" t="s">
        <v>1801</v>
      </c>
      <c r="D629" s="296" t="s">
        <v>353</v>
      </c>
      <c r="E629" s="296" t="s">
        <v>316</v>
      </c>
      <c r="F629" s="296">
        <v>3</v>
      </c>
      <c r="G629" s="296" t="s">
        <v>265</v>
      </c>
      <c r="H629" s="296" t="s">
        <v>20</v>
      </c>
      <c r="I629" s="296" t="s">
        <v>312</v>
      </c>
      <c r="J629" s="296" t="s">
        <v>928</v>
      </c>
      <c r="K629" s="296" t="s">
        <v>317</v>
      </c>
      <c r="L629" s="296">
        <v>50</v>
      </c>
      <c r="M629" s="296" t="s">
        <v>318</v>
      </c>
      <c r="N629" s="296">
        <v>680</v>
      </c>
      <c r="O629" s="296">
        <v>680</v>
      </c>
      <c r="P629" s="296">
        <v>2000</v>
      </c>
      <c r="Q629" s="296">
        <v>2</v>
      </c>
      <c r="R629" s="296">
        <v>4</v>
      </c>
      <c r="S629" s="296" t="s">
        <v>354</v>
      </c>
      <c r="T629" s="296" t="s">
        <v>1809</v>
      </c>
      <c r="U629" s="296" t="s">
        <v>1810</v>
      </c>
      <c r="V629" s="296" t="s">
        <v>355</v>
      </c>
      <c r="W629" s="296" t="s">
        <v>928</v>
      </c>
      <c r="X629" s="296" t="s">
        <v>928</v>
      </c>
      <c r="Y629" s="146"/>
    </row>
    <row r="630" spans="1:25" s="252" customFormat="1" ht="13.15" customHeight="1" x14ac:dyDescent="0.15">
      <c r="A630" s="296">
        <v>3735101</v>
      </c>
      <c r="B630" s="296" t="s">
        <v>351</v>
      </c>
      <c r="C630" s="296" t="s">
        <v>1801</v>
      </c>
      <c r="D630" s="296" t="s">
        <v>353</v>
      </c>
      <c r="E630" s="296" t="s">
        <v>148</v>
      </c>
      <c r="F630" s="296" t="s">
        <v>1818</v>
      </c>
      <c r="G630" s="296" t="s">
        <v>19</v>
      </c>
      <c r="H630" s="296" t="s">
        <v>20</v>
      </c>
      <c r="I630" s="296" t="s">
        <v>165</v>
      </c>
      <c r="J630" s="296" t="s">
        <v>928</v>
      </c>
      <c r="K630" s="296" t="s">
        <v>169</v>
      </c>
      <c r="L630" s="296">
        <v>50</v>
      </c>
      <c r="M630" s="296" t="s">
        <v>170</v>
      </c>
      <c r="N630" s="296">
        <v>1120</v>
      </c>
      <c r="O630" s="296">
        <v>1120</v>
      </c>
      <c r="P630" s="296">
        <v>6000</v>
      </c>
      <c r="Q630" s="296">
        <v>2</v>
      </c>
      <c r="R630" s="296">
        <v>2</v>
      </c>
      <c r="S630" s="296" t="s">
        <v>354</v>
      </c>
      <c r="T630" s="296" t="s">
        <v>1809</v>
      </c>
      <c r="U630" s="296" t="s">
        <v>1810</v>
      </c>
      <c r="V630" s="296" t="s">
        <v>355</v>
      </c>
      <c r="W630" s="296" t="s">
        <v>928</v>
      </c>
      <c r="X630" s="296" t="s">
        <v>928</v>
      </c>
      <c r="Y630" s="146"/>
    </row>
    <row r="631" spans="1:25" s="252" customFormat="1" ht="13.15" customHeight="1" x14ac:dyDescent="0.15">
      <c r="A631" s="296">
        <v>3735102</v>
      </c>
      <c r="B631" s="296" t="s">
        <v>351</v>
      </c>
      <c r="C631" s="296" t="s">
        <v>1801</v>
      </c>
      <c r="D631" s="296" t="s">
        <v>353</v>
      </c>
      <c r="E631" s="296" t="s">
        <v>148</v>
      </c>
      <c r="F631" s="296" t="s">
        <v>96</v>
      </c>
      <c r="G631" s="296" t="s">
        <v>19</v>
      </c>
      <c r="H631" s="296" t="s">
        <v>20</v>
      </c>
      <c r="I631" s="296" t="s">
        <v>165</v>
      </c>
      <c r="J631" s="296" t="s">
        <v>928</v>
      </c>
      <c r="K631" s="296" t="s">
        <v>202</v>
      </c>
      <c r="L631" s="296">
        <v>50</v>
      </c>
      <c r="M631" s="296" t="s">
        <v>424</v>
      </c>
      <c r="N631" s="296">
        <v>1120</v>
      </c>
      <c r="O631" s="296">
        <v>1120</v>
      </c>
      <c r="P631" s="296">
        <v>5000</v>
      </c>
      <c r="Q631" s="296">
        <v>2</v>
      </c>
      <c r="R631" s="296">
        <v>3</v>
      </c>
      <c r="S631" s="296" t="s">
        <v>354</v>
      </c>
      <c r="T631" s="296" t="s">
        <v>1809</v>
      </c>
      <c r="U631" s="296" t="s">
        <v>1810</v>
      </c>
      <c r="V631" s="296" t="s">
        <v>355</v>
      </c>
      <c r="W631" s="296" t="s">
        <v>928</v>
      </c>
      <c r="X631" s="296" t="s">
        <v>928</v>
      </c>
      <c r="Y631" s="146"/>
    </row>
    <row r="632" spans="1:25" s="252" customFormat="1" ht="13.15" customHeight="1" x14ac:dyDescent="0.15">
      <c r="A632" s="296">
        <v>3735103</v>
      </c>
      <c r="B632" s="296" t="s">
        <v>351</v>
      </c>
      <c r="C632" s="296" t="s">
        <v>1801</v>
      </c>
      <c r="D632" s="296" t="s">
        <v>353</v>
      </c>
      <c r="E632" s="296" t="s">
        <v>232</v>
      </c>
      <c r="F632" s="296">
        <v>3</v>
      </c>
      <c r="G632" s="296" t="s">
        <v>19</v>
      </c>
      <c r="H632" s="296" t="s">
        <v>20</v>
      </c>
      <c r="I632" s="296" t="s">
        <v>205</v>
      </c>
      <c r="J632" s="296" t="s">
        <v>928</v>
      </c>
      <c r="K632" s="296" t="s">
        <v>230</v>
      </c>
      <c r="L632" s="296">
        <v>25</v>
      </c>
      <c r="M632" s="296" t="s">
        <v>231</v>
      </c>
      <c r="N632" s="296">
        <v>1240</v>
      </c>
      <c r="O632" s="296">
        <v>1240</v>
      </c>
      <c r="P632" s="296">
        <v>2000</v>
      </c>
      <c r="Q632" s="296">
        <v>1</v>
      </c>
      <c r="R632" s="296">
        <v>6</v>
      </c>
      <c r="S632" s="296" t="s">
        <v>354</v>
      </c>
      <c r="T632" s="296" t="s">
        <v>1809</v>
      </c>
      <c r="U632" s="296" t="s">
        <v>1810</v>
      </c>
      <c r="V632" s="296" t="s">
        <v>355</v>
      </c>
      <c r="W632" s="296" t="s">
        <v>928</v>
      </c>
      <c r="X632" s="296" t="s">
        <v>928</v>
      </c>
      <c r="Y632" s="146"/>
    </row>
    <row r="633" spans="1:25" s="252" customFormat="1" ht="13.15" customHeight="1" x14ac:dyDescent="0.15">
      <c r="A633" s="296">
        <v>3735104</v>
      </c>
      <c r="B633" s="296" t="s">
        <v>351</v>
      </c>
      <c r="C633" s="296" t="s">
        <v>1801</v>
      </c>
      <c r="D633" s="296" t="s">
        <v>353</v>
      </c>
      <c r="E633" s="296" t="s">
        <v>116</v>
      </c>
      <c r="F633" s="296">
        <v>3</v>
      </c>
      <c r="G633" s="296" t="s">
        <v>19</v>
      </c>
      <c r="H633" s="296" t="s">
        <v>20</v>
      </c>
      <c r="I633" s="296" t="s">
        <v>205</v>
      </c>
      <c r="J633" s="296" t="s">
        <v>928</v>
      </c>
      <c r="K633" s="296" t="s">
        <v>212</v>
      </c>
      <c r="L633" s="296">
        <v>25</v>
      </c>
      <c r="M633" s="296" t="s">
        <v>213</v>
      </c>
      <c r="N633" s="296">
        <v>1000</v>
      </c>
      <c r="O633" s="296">
        <v>1000</v>
      </c>
      <c r="P633" s="296">
        <v>4000</v>
      </c>
      <c r="Q633" s="296">
        <v>2</v>
      </c>
      <c r="R633" s="296">
        <v>2</v>
      </c>
      <c r="S633" s="296" t="s">
        <v>354</v>
      </c>
      <c r="T633" s="296" t="s">
        <v>1809</v>
      </c>
      <c r="U633" s="296" t="s">
        <v>1811</v>
      </c>
      <c r="V633" s="296" t="s">
        <v>355</v>
      </c>
      <c r="W633" s="296" t="s">
        <v>928</v>
      </c>
      <c r="X633" s="296" t="s">
        <v>928</v>
      </c>
      <c r="Y633" s="146"/>
    </row>
    <row r="634" spans="1:25" s="252" customFormat="1" ht="13.15" customHeight="1" x14ac:dyDescent="0.15">
      <c r="A634" s="296">
        <v>3735105</v>
      </c>
      <c r="B634" s="296" t="s">
        <v>351</v>
      </c>
      <c r="C634" s="296" t="s">
        <v>1801</v>
      </c>
      <c r="D634" s="296" t="s">
        <v>353</v>
      </c>
      <c r="E634" s="296" t="s">
        <v>116</v>
      </c>
      <c r="F634" s="296">
        <v>3</v>
      </c>
      <c r="G634" s="296" t="s">
        <v>19</v>
      </c>
      <c r="H634" s="296" t="s">
        <v>20</v>
      </c>
      <c r="I634" s="296" t="s">
        <v>205</v>
      </c>
      <c r="J634" s="296" t="s">
        <v>928</v>
      </c>
      <c r="K634" s="296" t="s">
        <v>212</v>
      </c>
      <c r="L634" s="296">
        <v>25</v>
      </c>
      <c r="M634" s="296" t="s">
        <v>213</v>
      </c>
      <c r="N634" s="296">
        <v>1120</v>
      </c>
      <c r="O634" s="296">
        <v>1120</v>
      </c>
      <c r="P634" s="296">
        <v>4000</v>
      </c>
      <c r="Q634" s="296">
        <v>2</v>
      </c>
      <c r="R634" s="296">
        <v>9</v>
      </c>
      <c r="S634" s="296" t="s">
        <v>354</v>
      </c>
      <c r="T634" s="296" t="s">
        <v>1809</v>
      </c>
      <c r="U634" s="296" t="s">
        <v>1811</v>
      </c>
      <c r="V634" s="296" t="s">
        <v>355</v>
      </c>
      <c r="W634" s="296" t="s">
        <v>928</v>
      </c>
      <c r="X634" s="296" t="s">
        <v>928</v>
      </c>
      <c r="Y634" s="146"/>
    </row>
    <row r="635" spans="1:25" s="252" customFormat="1" ht="13.15" customHeight="1" x14ac:dyDescent="0.15">
      <c r="A635" s="296">
        <v>3735106</v>
      </c>
      <c r="B635" s="296" t="s">
        <v>351</v>
      </c>
      <c r="C635" s="296" t="s">
        <v>1801</v>
      </c>
      <c r="D635" s="296" t="s">
        <v>353</v>
      </c>
      <c r="E635" s="296" t="s">
        <v>116</v>
      </c>
      <c r="F635" s="296">
        <v>3</v>
      </c>
      <c r="G635" s="296" t="s">
        <v>19</v>
      </c>
      <c r="H635" s="296" t="s">
        <v>20</v>
      </c>
      <c r="I635" s="296" t="s">
        <v>205</v>
      </c>
      <c r="J635" s="296" t="s">
        <v>928</v>
      </c>
      <c r="K635" s="296" t="s">
        <v>212</v>
      </c>
      <c r="L635" s="296">
        <v>50</v>
      </c>
      <c r="M635" s="296" t="s">
        <v>213</v>
      </c>
      <c r="N635" s="296">
        <v>1000</v>
      </c>
      <c r="O635" s="296">
        <v>1000</v>
      </c>
      <c r="P635" s="296">
        <v>4000</v>
      </c>
      <c r="Q635" s="296">
        <v>2</v>
      </c>
      <c r="R635" s="296">
        <v>3</v>
      </c>
      <c r="S635" s="296" t="s">
        <v>354</v>
      </c>
      <c r="T635" s="296" t="s">
        <v>1809</v>
      </c>
      <c r="U635" s="296" t="s">
        <v>1811</v>
      </c>
      <c r="V635" s="296" t="s">
        <v>355</v>
      </c>
      <c r="W635" s="296" t="s">
        <v>928</v>
      </c>
      <c r="X635" s="296" t="s">
        <v>928</v>
      </c>
      <c r="Y635" s="146"/>
    </row>
    <row r="636" spans="1:25" s="252" customFormat="1" ht="13.15" customHeight="1" x14ac:dyDescent="0.15">
      <c r="A636" s="296">
        <v>3735107</v>
      </c>
      <c r="B636" s="296" t="s">
        <v>351</v>
      </c>
      <c r="C636" s="296" t="s">
        <v>1801</v>
      </c>
      <c r="D636" s="296" t="s">
        <v>353</v>
      </c>
      <c r="E636" s="296" t="s">
        <v>116</v>
      </c>
      <c r="F636" s="296">
        <v>3</v>
      </c>
      <c r="G636" s="296" t="s">
        <v>19</v>
      </c>
      <c r="H636" s="296" t="s">
        <v>20</v>
      </c>
      <c r="I636" s="296" t="s">
        <v>205</v>
      </c>
      <c r="J636" s="296" t="s">
        <v>928</v>
      </c>
      <c r="K636" s="296" t="s">
        <v>212</v>
      </c>
      <c r="L636" s="296">
        <v>50</v>
      </c>
      <c r="M636" s="296" t="s">
        <v>213</v>
      </c>
      <c r="N636" s="296">
        <v>1120</v>
      </c>
      <c r="O636" s="296">
        <v>1120</v>
      </c>
      <c r="P636" s="296">
        <v>4000</v>
      </c>
      <c r="Q636" s="296">
        <v>2</v>
      </c>
      <c r="R636" s="296">
        <v>15</v>
      </c>
      <c r="S636" s="296" t="s">
        <v>354</v>
      </c>
      <c r="T636" s="296" t="s">
        <v>1809</v>
      </c>
      <c r="U636" s="296" t="s">
        <v>1813</v>
      </c>
      <c r="V636" s="296" t="s">
        <v>355</v>
      </c>
      <c r="W636" s="296" t="s">
        <v>928</v>
      </c>
      <c r="X636" s="296" t="s">
        <v>928</v>
      </c>
      <c r="Y636" s="146"/>
    </row>
    <row r="637" spans="1:25" s="252" customFormat="1" ht="13.15" customHeight="1" x14ac:dyDescent="0.15">
      <c r="A637" s="296">
        <v>3735108</v>
      </c>
      <c r="B637" s="296" t="s">
        <v>351</v>
      </c>
      <c r="C637" s="296" t="s">
        <v>1801</v>
      </c>
      <c r="D637" s="296" t="s">
        <v>353</v>
      </c>
      <c r="E637" s="296" t="s">
        <v>116</v>
      </c>
      <c r="F637" s="296">
        <v>3</v>
      </c>
      <c r="G637" s="296" t="s">
        <v>19</v>
      </c>
      <c r="H637" s="296" t="s">
        <v>20</v>
      </c>
      <c r="I637" s="296" t="s">
        <v>205</v>
      </c>
      <c r="J637" s="296" t="s">
        <v>928</v>
      </c>
      <c r="K637" s="296" t="s">
        <v>212</v>
      </c>
      <c r="L637" s="296">
        <v>50</v>
      </c>
      <c r="M637" s="296" t="s">
        <v>213</v>
      </c>
      <c r="N637" s="296">
        <v>1120</v>
      </c>
      <c r="O637" s="296">
        <v>1120</v>
      </c>
      <c r="P637" s="296">
        <v>4000</v>
      </c>
      <c r="Q637" s="296">
        <v>2</v>
      </c>
      <c r="R637" s="296">
        <v>15</v>
      </c>
      <c r="S637" s="296" t="s">
        <v>354</v>
      </c>
      <c r="T637" s="296" t="s">
        <v>1809</v>
      </c>
      <c r="U637" s="296" t="s">
        <v>1813</v>
      </c>
      <c r="V637" s="296" t="s">
        <v>355</v>
      </c>
      <c r="W637" s="296" t="s">
        <v>928</v>
      </c>
      <c r="X637" s="296" t="s">
        <v>928</v>
      </c>
      <c r="Y637" s="146"/>
    </row>
    <row r="638" spans="1:25" s="252" customFormat="1" ht="13.15" customHeight="1" x14ac:dyDescent="0.15">
      <c r="A638" s="296">
        <v>3735109</v>
      </c>
      <c r="B638" s="296" t="s">
        <v>351</v>
      </c>
      <c r="C638" s="296" t="s">
        <v>1801</v>
      </c>
      <c r="D638" s="296" t="s">
        <v>353</v>
      </c>
      <c r="E638" s="296" t="s">
        <v>116</v>
      </c>
      <c r="F638" s="296">
        <v>3</v>
      </c>
      <c r="G638" s="296" t="s">
        <v>19</v>
      </c>
      <c r="H638" s="296" t="s">
        <v>20</v>
      </c>
      <c r="I638" s="296" t="s">
        <v>205</v>
      </c>
      <c r="J638" s="296" t="s">
        <v>928</v>
      </c>
      <c r="K638" s="296" t="s">
        <v>211</v>
      </c>
      <c r="L638" s="296">
        <v>38</v>
      </c>
      <c r="M638" s="296" t="s">
        <v>370</v>
      </c>
      <c r="N638" s="296">
        <v>1005</v>
      </c>
      <c r="O638" s="296">
        <v>1000</v>
      </c>
      <c r="P638" s="296">
        <v>4100</v>
      </c>
      <c r="Q638" s="296">
        <v>2</v>
      </c>
      <c r="R638" s="296">
        <v>2</v>
      </c>
      <c r="S638" s="296" t="s">
        <v>354</v>
      </c>
      <c r="T638" s="296" t="s">
        <v>1809</v>
      </c>
      <c r="U638" s="296" t="s">
        <v>1811</v>
      </c>
      <c r="V638" s="296" t="s">
        <v>355</v>
      </c>
      <c r="W638" s="296" t="s">
        <v>928</v>
      </c>
      <c r="X638" s="296" t="s">
        <v>928</v>
      </c>
      <c r="Y638" s="146"/>
    </row>
    <row r="639" spans="1:25" s="252" customFormat="1" ht="13.15" customHeight="1" x14ac:dyDescent="0.15">
      <c r="A639" s="296">
        <v>3735110</v>
      </c>
      <c r="B639" s="296" t="s">
        <v>351</v>
      </c>
      <c r="C639" s="296" t="s">
        <v>1801</v>
      </c>
      <c r="D639" s="296" t="s">
        <v>353</v>
      </c>
      <c r="E639" s="296" t="s">
        <v>116</v>
      </c>
      <c r="F639" s="296">
        <v>3</v>
      </c>
      <c r="G639" s="296" t="s">
        <v>19</v>
      </c>
      <c r="H639" s="296" t="s">
        <v>20</v>
      </c>
      <c r="I639" s="296" t="s">
        <v>205</v>
      </c>
      <c r="J639" s="296" t="s">
        <v>928</v>
      </c>
      <c r="K639" s="296" t="s">
        <v>211</v>
      </c>
      <c r="L639" s="296">
        <v>25</v>
      </c>
      <c r="M639" s="296" t="s">
        <v>491</v>
      </c>
      <c r="N639" s="296">
        <v>1050</v>
      </c>
      <c r="O639" s="296">
        <v>1050</v>
      </c>
      <c r="P639" s="296">
        <v>4000</v>
      </c>
      <c r="Q639" s="296">
        <v>2</v>
      </c>
      <c r="R639" s="296">
        <v>2</v>
      </c>
      <c r="S639" s="296" t="s">
        <v>354</v>
      </c>
      <c r="T639" s="296" t="s">
        <v>1809</v>
      </c>
      <c r="U639" s="296" t="s">
        <v>1819</v>
      </c>
      <c r="V639" s="296" t="s">
        <v>355</v>
      </c>
      <c r="W639" s="296" t="s">
        <v>928</v>
      </c>
      <c r="X639" s="296" t="s">
        <v>928</v>
      </c>
      <c r="Y639" s="146"/>
    </row>
    <row r="640" spans="1:25" s="252" customFormat="1" ht="13.15" customHeight="1" x14ac:dyDescent="0.15">
      <c r="A640" s="296">
        <v>3735111</v>
      </c>
      <c r="B640" s="296" t="s">
        <v>351</v>
      </c>
      <c r="C640" s="296" t="s">
        <v>1801</v>
      </c>
      <c r="D640" s="296" t="s">
        <v>353</v>
      </c>
      <c r="E640" s="296" t="s">
        <v>116</v>
      </c>
      <c r="F640" s="296">
        <v>3</v>
      </c>
      <c r="G640" s="296" t="s">
        <v>19</v>
      </c>
      <c r="H640" s="296" t="s">
        <v>20</v>
      </c>
      <c r="I640" s="296" t="s">
        <v>205</v>
      </c>
      <c r="J640" s="296" t="s">
        <v>928</v>
      </c>
      <c r="K640" s="296" t="s">
        <v>211</v>
      </c>
      <c r="L640" s="296">
        <v>50</v>
      </c>
      <c r="M640" s="296" t="s">
        <v>370</v>
      </c>
      <c r="N640" s="296">
        <v>1050</v>
      </c>
      <c r="O640" s="296">
        <v>1050</v>
      </c>
      <c r="P640" s="296">
        <v>4100</v>
      </c>
      <c r="Q640" s="296">
        <v>2</v>
      </c>
      <c r="R640" s="296">
        <v>3</v>
      </c>
      <c r="S640" s="296" t="s">
        <v>354</v>
      </c>
      <c r="T640" s="296" t="s">
        <v>1809</v>
      </c>
      <c r="U640" s="296" t="s">
        <v>1811</v>
      </c>
      <c r="V640" s="296" t="s">
        <v>355</v>
      </c>
      <c r="W640" s="296" t="s">
        <v>928</v>
      </c>
      <c r="X640" s="296" t="s">
        <v>928</v>
      </c>
      <c r="Y640" s="146"/>
    </row>
    <row r="641" spans="1:25" s="252" customFormat="1" ht="13.15" customHeight="1" x14ac:dyDescent="0.15">
      <c r="A641" s="296">
        <v>3735112</v>
      </c>
      <c r="B641" s="296" t="s">
        <v>351</v>
      </c>
      <c r="C641" s="296" t="s">
        <v>1801</v>
      </c>
      <c r="D641" s="296" t="s">
        <v>353</v>
      </c>
      <c r="E641" s="296" t="s">
        <v>116</v>
      </c>
      <c r="F641" s="296">
        <v>3</v>
      </c>
      <c r="G641" s="296" t="s">
        <v>19</v>
      </c>
      <c r="H641" s="296" t="s">
        <v>20</v>
      </c>
      <c r="I641" s="296" t="s">
        <v>205</v>
      </c>
      <c r="J641" s="296" t="s">
        <v>928</v>
      </c>
      <c r="K641" s="296" t="s">
        <v>211</v>
      </c>
      <c r="L641" s="296">
        <v>75</v>
      </c>
      <c r="M641" s="296" t="s">
        <v>370</v>
      </c>
      <c r="N641" s="296">
        <v>1050</v>
      </c>
      <c r="O641" s="296">
        <v>1050</v>
      </c>
      <c r="P641" s="296">
        <v>2000</v>
      </c>
      <c r="Q641" s="296">
        <v>2</v>
      </c>
      <c r="R641" s="296">
        <v>2</v>
      </c>
      <c r="S641" s="296" t="s">
        <v>354</v>
      </c>
      <c r="T641" s="296" t="s">
        <v>1809</v>
      </c>
      <c r="U641" s="296" t="s">
        <v>1819</v>
      </c>
      <c r="V641" s="296" t="s">
        <v>355</v>
      </c>
      <c r="W641" s="296" t="s">
        <v>928</v>
      </c>
      <c r="X641" s="296" t="s">
        <v>928</v>
      </c>
      <c r="Y641" s="146"/>
    </row>
    <row r="642" spans="1:25" s="252" customFormat="1" ht="13.15" customHeight="1" x14ac:dyDescent="0.15">
      <c r="A642" s="296">
        <v>3735113</v>
      </c>
      <c r="B642" s="296" t="s">
        <v>351</v>
      </c>
      <c r="C642" s="296" t="s">
        <v>1801</v>
      </c>
      <c r="D642" s="296" t="s">
        <v>353</v>
      </c>
      <c r="E642" s="296" t="s">
        <v>116</v>
      </c>
      <c r="F642" s="296">
        <v>3</v>
      </c>
      <c r="G642" s="296" t="s">
        <v>19</v>
      </c>
      <c r="H642" s="296" t="s">
        <v>20</v>
      </c>
      <c r="I642" s="296" t="s">
        <v>165</v>
      </c>
      <c r="J642" s="296" t="s">
        <v>928</v>
      </c>
      <c r="K642" s="296" t="s">
        <v>185</v>
      </c>
      <c r="L642" s="296">
        <v>50</v>
      </c>
      <c r="M642" s="296" t="s">
        <v>186</v>
      </c>
      <c r="N642" s="296">
        <v>1005</v>
      </c>
      <c r="O642" s="296">
        <v>1000</v>
      </c>
      <c r="P642" s="296">
        <v>4100</v>
      </c>
      <c r="Q642" s="296">
        <v>2</v>
      </c>
      <c r="R642" s="296">
        <v>6</v>
      </c>
      <c r="S642" s="296" t="s">
        <v>354</v>
      </c>
      <c r="T642" s="296" t="s">
        <v>1809</v>
      </c>
      <c r="U642" s="296" t="s">
        <v>1811</v>
      </c>
      <c r="V642" s="296" t="s">
        <v>355</v>
      </c>
      <c r="W642" s="296" t="s">
        <v>928</v>
      </c>
      <c r="X642" s="296" t="s">
        <v>928</v>
      </c>
      <c r="Y642" s="146"/>
    </row>
    <row r="643" spans="1:25" s="252" customFormat="1" ht="13.15" customHeight="1" x14ac:dyDescent="0.15">
      <c r="A643" s="296">
        <v>3735116</v>
      </c>
      <c r="B643" s="296" t="s">
        <v>351</v>
      </c>
      <c r="C643" s="296" t="s">
        <v>1801</v>
      </c>
      <c r="D643" s="296" t="s">
        <v>353</v>
      </c>
      <c r="E643" s="296" t="s">
        <v>116</v>
      </c>
      <c r="F643" s="296">
        <v>3</v>
      </c>
      <c r="G643" s="296" t="s">
        <v>19</v>
      </c>
      <c r="H643" s="296" t="s">
        <v>20</v>
      </c>
      <c r="I643" s="296" t="s">
        <v>205</v>
      </c>
      <c r="J643" s="296" t="s">
        <v>928</v>
      </c>
      <c r="K643" s="296" t="s">
        <v>216</v>
      </c>
      <c r="L643" s="296">
        <v>25</v>
      </c>
      <c r="M643" s="296" t="s">
        <v>217</v>
      </c>
      <c r="N643" s="296">
        <v>1005</v>
      </c>
      <c r="O643" s="296">
        <v>1000</v>
      </c>
      <c r="P643" s="296">
        <v>4000</v>
      </c>
      <c r="Q643" s="296">
        <v>2</v>
      </c>
      <c r="R643" s="296">
        <v>15</v>
      </c>
      <c r="S643" s="296" t="s">
        <v>354</v>
      </c>
      <c r="T643" s="296" t="s">
        <v>1809</v>
      </c>
      <c r="U643" s="296" t="s">
        <v>1816</v>
      </c>
      <c r="V643" s="296" t="s">
        <v>355</v>
      </c>
      <c r="W643" s="296" t="s">
        <v>928</v>
      </c>
      <c r="X643" s="296" t="s">
        <v>928</v>
      </c>
      <c r="Y643" s="146"/>
    </row>
    <row r="644" spans="1:25" s="252" customFormat="1" ht="13.15" customHeight="1" x14ac:dyDescent="0.15">
      <c r="A644" s="296">
        <v>3735117</v>
      </c>
      <c r="B644" s="296" t="s">
        <v>351</v>
      </c>
      <c r="C644" s="296" t="s">
        <v>1801</v>
      </c>
      <c r="D644" s="296" t="s">
        <v>353</v>
      </c>
      <c r="E644" s="296" t="s">
        <v>116</v>
      </c>
      <c r="F644" s="296" t="s">
        <v>96</v>
      </c>
      <c r="G644" s="296" t="s">
        <v>19</v>
      </c>
      <c r="H644" s="296" t="s">
        <v>20</v>
      </c>
      <c r="I644" s="296" t="s">
        <v>205</v>
      </c>
      <c r="J644" s="296" t="s">
        <v>928</v>
      </c>
      <c r="K644" s="296" t="s">
        <v>216</v>
      </c>
      <c r="L644" s="296">
        <v>50</v>
      </c>
      <c r="M644" s="296" t="s">
        <v>217</v>
      </c>
      <c r="N644" s="296">
        <v>1120</v>
      </c>
      <c r="O644" s="296">
        <v>1120</v>
      </c>
      <c r="P644" s="296">
        <v>5000</v>
      </c>
      <c r="Q644" s="296">
        <v>2</v>
      </c>
      <c r="R644" s="296">
        <v>25</v>
      </c>
      <c r="S644" s="296" t="s">
        <v>354</v>
      </c>
      <c r="T644" s="296" t="s">
        <v>1809</v>
      </c>
      <c r="U644" s="296" t="s">
        <v>1813</v>
      </c>
      <c r="V644" s="296" t="s">
        <v>355</v>
      </c>
      <c r="W644" s="296" t="s">
        <v>928</v>
      </c>
      <c r="X644" s="296" t="s">
        <v>928</v>
      </c>
      <c r="Y644" s="146"/>
    </row>
    <row r="645" spans="1:25" s="252" customFormat="1" ht="13.15" customHeight="1" x14ac:dyDescent="0.15">
      <c r="A645" s="296">
        <v>3735118</v>
      </c>
      <c r="B645" s="296" t="s">
        <v>351</v>
      </c>
      <c r="C645" s="296" t="s">
        <v>1801</v>
      </c>
      <c r="D645" s="296" t="s">
        <v>353</v>
      </c>
      <c r="E645" s="296" t="s">
        <v>116</v>
      </c>
      <c r="F645" s="296">
        <v>3</v>
      </c>
      <c r="G645" s="296" t="s">
        <v>19</v>
      </c>
      <c r="H645" s="296" t="s">
        <v>20</v>
      </c>
      <c r="I645" s="296" t="s">
        <v>205</v>
      </c>
      <c r="J645" s="296" t="s">
        <v>928</v>
      </c>
      <c r="K645" s="296" t="s">
        <v>216</v>
      </c>
      <c r="L645" s="296">
        <v>50</v>
      </c>
      <c r="M645" s="296" t="s">
        <v>217</v>
      </c>
      <c r="N645" s="296">
        <v>1120</v>
      </c>
      <c r="O645" s="296">
        <v>1120</v>
      </c>
      <c r="P645" s="296">
        <v>5000</v>
      </c>
      <c r="Q645" s="296">
        <v>2</v>
      </c>
      <c r="R645" s="296">
        <v>4</v>
      </c>
      <c r="S645" s="296" t="s">
        <v>354</v>
      </c>
      <c r="T645" s="296" t="s">
        <v>1809</v>
      </c>
      <c r="U645" s="296" t="s">
        <v>1813</v>
      </c>
      <c r="V645" s="296" t="s">
        <v>355</v>
      </c>
      <c r="W645" s="296" t="s">
        <v>928</v>
      </c>
      <c r="X645" s="296" t="s">
        <v>928</v>
      </c>
      <c r="Y645" s="146"/>
    </row>
    <row r="646" spans="1:25" s="252" customFormat="1" ht="13.15" customHeight="1" x14ac:dyDescent="0.15">
      <c r="A646" s="296">
        <v>3735119</v>
      </c>
      <c r="B646" s="296" t="s">
        <v>351</v>
      </c>
      <c r="C646" s="296" t="s">
        <v>1801</v>
      </c>
      <c r="D646" s="296" t="s">
        <v>353</v>
      </c>
      <c r="E646" s="296" t="s">
        <v>116</v>
      </c>
      <c r="F646" s="296" t="s">
        <v>1825</v>
      </c>
      <c r="G646" s="296" t="s">
        <v>19</v>
      </c>
      <c r="H646" s="296" t="s">
        <v>20</v>
      </c>
      <c r="I646" s="296" t="s">
        <v>205</v>
      </c>
      <c r="J646" s="296" t="s">
        <v>928</v>
      </c>
      <c r="K646" s="296" t="s">
        <v>216</v>
      </c>
      <c r="L646" s="296">
        <v>50</v>
      </c>
      <c r="M646" s="296" t="s">
        <v>217</v>
      </c>
      <c r="N646" s="296">
        <v>1120</v>
      </c>
      <c r="O646" s="296">
        <v>1120</v>
      </c>
      <c r="P646" s="296">
        <v>5000</v>
      </c>
      <c r="Q646" s="296">
        <v>2</v>
      </c>
      <c r="R646" s="296">
        <v>4</v>
      </c>
      <c r="S646" s="296" t="s">
        <v>354</v>
      </c>
      <c r="T646" s="296" t="s">
        <v>1809</v>
      </c>
      <c r="U646" s="296" t="s">
        <v>1813</v>
      </c>
      <c r="V646" s="296" t="s">
        <v>355</v>
      </c>
      <c r="W646" s="296" t="s">
        <v>928</v>
      </c>
      <c r="X646" s="296" t="s">
        <v>928</v>
      </c>
      <c r="Y646" s="146"/>
    </row>
    <row r="647" spans="1:25" s="252" customFormat="1" ht="13.15" customHeight="1" x14ac:dyDescent="0.15">
      <c r="A647" s="296">
        <v>3735120</v>
      </c>
      <c r="B647" s="296" t="s">
        <v>351</v>
      </c>
      <c r="C647" s="296" t="s">
        <v>1801</v>
      </c>
      <c r="D647" s="296" t="s">
        <v>353</v>
      </c>
      <c r="E647" s="296" t="s">
        <v>116</v>
      </c>
      <c r="F647" s="296">
        <v>3</v>
      </c>
      <c r="G647" s="296" t="s">
        <v>19</v>
      </c>
      <c r="H647" s="296" t="s">
        <v>20</v>
      </c>
      <c r="I647" s="296" t="s">
        <v>205</v>
      </c>
      <c r="J647" s="296" t="s">
        <v>928</v>
      </c>
      <c r="K647" s="296" t="s">
        <v>218</v>
      </c>
      <c r="L647" s="296">
        <v>25</v>
      </c>
      <c r="M647" s="296" t="s">
        <v>219</v>
      </c>
      <c r="N647" s="296">
        <v>1005</v>
      </c>
      <c r="O647" s="296">
        <v>1000</v>
      </c>
      <c r="P647" s="296">
        <v>4000</v>
      </c>
      <c r="Q647" s="296">
        <v>2</v>
      </c>
      <c r="R647" s="296">
        <v>4</v>
      </c>
      <c r="S647" s="296" t="s">
        <v>354</v>
      </c>
      <c r="T647" s="296" t="s">
        <v>1809</v>
      </c>
      <c r="U647" s="296" t="s">
        <v>1811</v>
      </c>
      <c r="V647" s="296" t="s">
        <v>355</v>
      </c>
      <c r="W647" s="296" t="s">
        <v>928</v>
      </c>
      <c r="X647" s="296" t="s">
        <v>928</v>
      </c>
      <c r="Y647" s="146"/>
    </row>
    <row r="648" spans="1:25" s="252" customFormat="1" ht="13.15" customHeight="1" x14ac:dyDescent="0.15">
      <c r="A648" s="296">
        <v>3735121</v>
      </c>
      <c r="B648" s="296" t="s">
        <v>351</v>
      </c>
      <c r="C648" s="296" t="s">
        <v>1801</v>
      </c>
      <c r="D648" s="296" t="s">
        <v>353</v>
      </c>
      <c r="E648" s="296" t="s">
        <v>116</v>
      </c>
      <c r="F648" s="296">
        <v>3</v>
      </c>
      <c r="G648" s="296" t="s">
        <v>19</v>
      </c>
      <c r="H648" s="296" t="s">
        <v>20</v>
      </c>
      <c r="I648" s="296" t="s">
        <v>205</v>
      </c>
      <c r="J648" s="296" t="s">
        <v>928</v>
      </c>
      <c r="K648" s="296" t="s">
        <v>218</v>
      </c>
      <c r="L648" s="296">
        <v>50</v>
      </c>
      <c r="M648" s="296" t="s">
        <v>219</v>
      </c>
      <c r="N648" s="296">
        <v>1000</v>
      </c>
      <c r="O648" s="296">
        <v>1000</v>
      </c>
      <c r="P648" s="296">
        <v>4000</v>
      </c>
      <c r="Q648" s="296">
        <v>2</v>
      </c>
      <c r="R648" s="296">
        <v>10</v>
      </c>
      <c r="S648" s="296" t="s">
        <v>354</v>
      </c>
      <c r="T648" s="296" t="s">
        <v>1809</v>
      </c>
      <c r="U648" s="296" t="s">
        <v>1811</v>
      </c>
      <c r="V648" s="296" t="s">
        <v>355</v>
      </c>
      <c r="W648" s="296" t="s">
        <v>928</v>
      </c>
      <c r="X648" s="296" t="s">
        <v>928</v>
      </c>
      <c r="Y648" s="146"/>
    </row>
    <row r="649" spans="1:25" s="252" customFormat="1" ht="13.15" customHeight="1" x14ac:dyDescent="0.15">
      <c r="A649" s="296">
        <v>3735122</v>
      </c>
      <c r="B649" s="296" t="s">
        <v>351</v>
      </c>
      <c r="C649" s="296" t="s">
        <v>1801</v>
      </c>
      <c r="D649" s="296" t="s">
        <v>353</v>
      </c>
      <c r="E649" s="296" t="s">
        <v>116</v>
      </c>
      <c r="F649" s="296" t="s">
        <v>158</v>
      </c>
      <c r="G649" s="296" t="s">
        <v>19</v>
      </c>
      <c r="H649" s="296" t="s">
        <v>20</v>
      </c>
      <c r="I649" s="296" t="s">
        <v>165</v>
      </c>
      <c r="J649" s="296" t="s">
        <v>928</v>
      </c>
      <c r="K649" s="296" t="s">
        <v>192</v>
      </c>
      <c r="L649" s="296">
        <v>50</v>
      </c>
      <c r="M649" s="296" t="s">
        <v>193</v>
      </c>
      <c r="N649" s="296">
        <v>1005</v>
      </c>
      <c r="O649" s="296">
        <v>1000</v>
      </c>
      <c r="P649" s="296">
        <v>4000</v>
      </c>
      <c r="Q649" s="296">
        <v>2</v>
      </c>
      <c r="R649" s="296">
        <v>4</v>
      </c>
      <c r="S649" s="296" t="s">
        <v>354</v>
      </c>
      <c r="T649" s="296" t="s">
        <v>1809</v>
      </c>
      <c r="U649" s="296" t="s">
        <v>1811</v>
      </c>
      <c r="V649" s="296" t="s">
        <v>355</v>
      </c>
      <c r="W649" s="296" t="s">
        <v>928</v>
      </c>
      <c r="X649" s="296" t="s">
        <v>928</v>
      </c>
      <c r="Y649" s="146"/>
    </row>
    <row r="650" spans="1:25" s="252" customFormat="1" ht="13.15" customHeight="1" x14ac:dyDescent="0.15">
      <c r="A650" s="296">
        <v>3735123</v>
      </c>
      <c r="B650" s="296" t="s">
        <v>351</v>
      </c>
      <c r="C650" s="296" t="s">
        <v>1801</v>
      </c>
      <c r="D650" s="296" t="s">
        <v>353</v>
      </c>
      <c r="E650" s="296" t="s">
        <v>116</v>
      </c>
      <c r="F650" s="296" t="s">
        <v>158</v>
      </c>
      <c r="G650" s="296" t="s">
        <v>19</v>
      </c>
      <c r="H650" s="296" t="s">
        <v>20</v>
      </c>
      <c r="I650" s="296" t="s">
        <v>165</v>
      </c>
      <c r="J650" s="296" t="s">
        <v>928</v>
      </c>
      <c r="K650" s="296" t="s">
        <v>195</v>
      </c>
      <c r="L650" s="296">
        <v>50</v>
      </c>
      <c r="M650" s="296" t="s">
        <v>196</v>
      </c>
      <c r="N650" s="296">
        <v>1005</v>
      </c>
      <c r="O650" s="296">
        <v>1000</v>
      </c>
      <c r="P650" s="296">
        <v>4000</v>
      </c>
      <c r="Q650" s="296">
        <v>2</v>
      </c>
      <c r="R650" s="296">
        <v>5</v>
      </c>
      <c r="S650" s="296" t="s">
        <v>354</v>
      </c>
      <c r="T650" s="296" t="s">
        <v>1809</v>
      </c>
      <c r="U650" s="296" t="s">
        <v>1811</v>
      </c>
      <c r="V650" s="296" t="s">
        <v>355</v>
      </c>
      <c r="W650" s="296" t="s">
        <v>928</v>
      </c>
      <c r="X650" s="296" t="s">
        <v>928</v>
      </c>
      <c r="Y650" s="146"/>
    </row>
    <row r="651" spans="1:25" s="252" customFormat="1" ht="13.15" customHeight="1" x14ac:dyDescent="0.15">
      <c r="A651" s="296">
        <v>3735124</v>
      </c>
      <c r="B651" s="296" t="s">
        <v>351</v>
      </c>
      <c r="C651" s="296" t="s">
        <v>1801</v>
      </c>
      <c r="D651" s="296" t="s">
        <v>353</v>
      </c>
      <c r="E651" s="296" t="s">
        <v>116</v>
      </c>
      <c r="F651" s="296" t="s">
        <v>158</v>
      </c>
      <c r="G651" s="296" t="s">
        <v>19</v>
      </c>
      <c r="H651" s="296" t="s">
        <v>20</v>
      </c>
      <c r="I651" s="296" t="s">
        <v>165</v>
      </c>
      <c r="J651" s="296" t="s">
        <v>928</v>
      </c>
      <c r="K651" s="296" t="s">
        <v>197</v>
      </c>
      <c r="L651" s="296">
        <v>50</v>
      </c>
      <c r="M651" s="296" t="s">
        <v>198</v>
      </c>
      <c r="N651" s="296">
        <v>1005</v>
      </c>
      <c r="O651" s="296">
        <v>1000</v>
      </c>
      <c r="P651" s="296">
        <v>4100</v>
      </c>
      <c r="Q651" s="296">
        <v>2</v>
      </c>
      <c r="R651" s="296">
        <v>9</v>
      </c>
      <c r="S651" s="296" t="s">
        <v>354</v>
      </c>
      <c r="T651" s="296" t="s">
        <v>1809</v>
      </c>
      <c r="U651" s="296" t="s">
        <v>1811</v>
      </c>
      <c r="V651" s="296" t="s">
        <v>355</v>
      </c>
      <c r="W651" s="296" t="s">
        <v>928</v>
      </c>
      <c r="X651" s="296" t="s">
        <v>928</v>
      </c>
      <c r="Y651" s="146"/>
    </row>
    <row r="652" spans="1:25" s="252" customFormat="1" ht="13.15" customHeight="1" x14ac:dyDescent="0.15">
      <c r="A652" s="296">
        <v>3735125</v>
      </c>
      <c r="B652" s="296" t="s">
        <v>351</v>
      </c>
      <c r="C652" s="296" t="s">
        <v>1801</v>
      </c>
      <c r="D652" s="296" t="s">
        <v>353</v>
      </c>
      <c r="E652" s="296" t="s">
        <v>116</v>
      </c>
      <c r="F652" s="296">
        <v>3</v>
      </c>
      <c r="G652" s="296" t="s">
        <v>19</v>
      </c>
      <c r="H652" s="296" t="s">
        <v>20</v>
      </c>
      <c r="I652" s="296" t="s">
        <v>165</v>
      </c>
      <c r="J652" s="296" t="s">
        <v>928</v>
      </c>
      <c r="K652" s="296" t="s">
        <v>200</v>
      </c>
      <c r="L652" s="296">
        <v>50</v>
      </c>
      <c r="M652" s="296" t="s">
        <v>201</v>
      </c>
      <c r="N652" s="296">
        <v>1005</v>
      </c>
      <c r="O652" s="296">
        <v>1000</v>
      </c>
      <c r="P652" s="296">
        <v>4100</v>
      </c>
      <c r="Q652" s="296">
        <v>2</v>
      </c>
      <c r="R652" s="296">
        <v>2</v>
      </c>
      <c r="S652" s="296" t="s">
        <v>354</v>
      </c>
      <c r="T652" s="296" t="s">
        <v>1809</v>
      </c>
      <c r="U652" s="296" t="s">
        <v>1811</v>
      </c>
      <c r="V652" s="296" t="s">
        <v>355</v>
      </c>
      <c r="W652" s="296" t="s">
        <v>928</v>
      </c>
      <c r="X652" s="296" t="s">
        <v>928</v>
      </c>
      <c r="Y652" s="146"/>
    </row>
    <row r="653" spans="1:25" s="252" customFormat="1" ht="13.15" customHeight="1" x14ac:dyDescent="0.15">
      <c r="A653" s="296">
        <v>3735127</v>
      </c>
      <c r="B653" s="296" t="s">
        <v>351</v>
      </c>
      <c r="C653" s="296" t="s">
        <v>1801</v>
      </c>
      <c r="D653" s="296" t="s">
        <v>353</v>
      </c>
      <c r="E653" s="296" t="s">
        <v>116</v>
      </c>
      <c r="F653" s="296">
        <v>3</v>
      </c>
      <c r="G653" s="296" t="s">
        <v>19</v>
      </c>
      <c r="H653" s="296" t="s">
        <v>20</v>
      </c>
      <c r="I653" s="296" t="s">
        <v>205</v>
      </c>
      <c r="J653" s="296" t="s">
        <v>928</v>
      </c>
      <c r="K653" s="296" t="s">
        <v>221</v>
      </c>
      <c r="L653" s="296">
        <v>25</v>
      </c>
      <c r="M653" s="296" t="s">
        <v>222</v>
      </c>
      <c r="N653" s="296">
        <v>1000</v>
      </c>
      <c r="O653" s="296">
        <v>1000</v>
      </c>
      <c r="P653" s="296">
        <v>6000</v>
      </c>
      <c r="Q653" s="296">
        <v>2</v>
      </c>
      <c r="R653" s="296">
        <v>3</v>
      </c>
      <c r="S653" s="296" t="s">
        <v>354</v>
      </c>
      <c r="T653" s="296" t="s">
        <v>1809</v>
      </c>
      <c r="U653" s="296" t="s">
        <v>1820</v>
      </c>
      <c r="V653" s="296" t="s">
        <v>355</v>
      </c>
      <c r="W653" s="296" t="s">
        <v>928</v>
      </c>
      <c r="X653" s="296" t="s">
        <v>928</v>
      </c>
      <c r="Y653" s="146"/>
    </row>
    <row r="654" spans="1:25" s="252" customFormat="1" ht="13.15" customHeight="1" x14ac:dyDescent="0.15">
      <c r="A654" s="296">
        <v>3735128</v>
      </c>
      <c r="B654" s="296" t="s">
        <v>351</v>
      </c>
      <c r="C654" s="296" t="s">
        <v>1801</v>
      </c>
      <c r="D654" s="296" t="s">
        <v>353</v>
      </c>
      <c r="E654" s="296" t="s">
        <v>116</v>
      </c>
      <c r="F654" s="296">
        <v>3</v>
      </c>
      <c r="G654" s="296" t="s">
        <v>19</v>
      </c>
      <c r="H654" s="296" t="s">
        <v>20</v>
      </c>
      <c r="I654" s="296" t="s">
        <v>205</v>
      </c>
      <c r="J654" s="296" t="s">
        <v>928</v>
      </c>
      <c r="K654" s="296" t="s">
        <v>221</v>
      </c>
      <c r="L654" s="296">
        <v>25</v>
      </c>
      <c r="M654" s="296" t="s">
        <v>222</v>
      </c>
      <c r="N654" s="296">
        <v>1100</v>
      </c>
      <c r="O654" s="296">
        <v>1100</v>
      </c>
      <c r="P654" s="296">
        <v>6000</v>
      </c>
      <c r="Q654" s="296">
        <v>2</v>
      </c>
      <c r="R654" s="296">
        <v>20</v>
      </c>
      <c r="S654" s="296" t="s">
        <v>354</v>
      </c>
      <c r="T654" s="296" t="s">
        <v>1809</v>
      </c>
      <c r="U654" s="296" t="s">
        <v>1820</v>
      </c>
      <c r="V654" s="296" t="s">
        <v>355</v>
      </c>
      <c r="W654" s="296" t="s">
        <v>928</v>
      </c>
      <c r="X654" s="296" t="s">
        <v>928</v>
      </c>
      <c r="Y654" s="146"/>
    </row>
    <row r="655" spans="1:25" s="252" customFormat="1" ht="13.15" customHeight="1" x14ac:dyDescent="0.15">
      <c r="A655" s="296">
        <v>3735129</v>
      </c>
      <c r="B655" s="296" t="s">
        <v>423</v>
      </c>
      <c r="C655" s="296" t="s">
        <v>1801</v>
      </c>
      <c r="D655" s="296" t="s">
        <v>353</v>
      </c>
      <c r="E655" s="296" t="s">
        <v>116</v>
      </c>
      <c r="F655" s="296">
        <v>3</v>
      </c>
      <c r="G655" s="296" t="s">
        <v>265</v>
      </c>
      <c r="H655" s="296" t="s">
        <v>20</v>
      </c>
      <c r="I655" s="296" t="s">
        <v>165</v>
      </c>
      <c r="J655" s="296" t="s">
        <v>928</v>
      </c>
      <c r="K655" s="296" t="s">
        <v>172</v>
      </c>
      <c r="L655" s="296">
        <v>50</v>
      </c>
      <c r="M655" s="296" t="s">
        <v>173</v>
      </c>
      <c r="N655" s="296">
        <v>1005</v>
      </c>
      <c r="O655" s="296">
        <v>1000</v>
      </c>
      <c r="P655" s="296">
        <v>2000</v>
      </c>
      <c r="Q655" s="296">
        <v>2</v>
      </c>
      <c r="R655" s="296">
        <v>4</v>
      </c>
      <c r="S655" s="296" t="s">
        <v>354</v>
      </c>
      <c r="T655" s="296" t="s">
        <v>1809</v>
      </c>
      <c r="U655" s="296" t="s">
        <v>1811</v>
      </c>
      <c r="V655" s="296" t="s">
        <v>355</v>
      </c>
      <c r="W655" s="296" t="s">
        <v>928</v>
      </c>
      <c r="X655" s="296" t="s">
        <v>928</v>
      </c>
      <c r="Y655" s="146"/>
    </row>
    <row r="656" spans="1:25" s="252" customFormat="1" ht="13.15" customHeight="1" x14ac:dyDescent="0.15">
      <c r="A656" s="296">
        <v>3735130</v>
      </c>
      <c r="B656" s="296" t="s">
        <v>423</v>
      </c>
      <c r="C656" s="296" t="s">
        <v>1801</v>
      </c>
      <c r="D656" s="296" t="s">
        <v>353</v>
      </c>
      <c r="E656" s="296" t="s">
        <v>116</v>
      </c>
      <c r="F656" s="296">
        <v>3</v>
      </c>
      <c r="G656" s="296" t="s">
        <v>265</v>
      </c>
      <c r="H656" s="296" t="s">
        <v>20</v>
      </c>
      <c r="I656" s="296" t="s">
        <v>165</v>
      </c>
      <c r="J656" s="296" t="s">
        <v>928</v>
      </c>
      <c r="K656" s="296" t="s">
        <v>176</v>
      </c>
      <c r="L656" s="296">
        <v>25</v>
      </c>
      <c r="M656" s="296" t="s">
        <v>177</v>
      </c>
      <c r="N656" s="296">
        <v>1005</v>
      </c>
      <c r="O656" s="296">
        <v>1000</v>
      </c>
      <c r="P656" s="296">
        <v>2000</v>
      </c>
      <c r="Q656" s="296">
        <v>2</v>
      </c>
      <c r="R656" s="296">
        <v>4</v>
      </c>
      <c r="S656" s="296" t="s">
        <v>354</v>
      </c>
      <c r="T656" s="296" t="s">
        <v>1809</v>
      </c>
      <c r="U656" s="296" t="s">
        <v>1811</v>
      </c>
      <c r="V656" s="296" t="s">
        <v>355</v>
      </c>
      <c r="W656" s="296" t="s">
        <v>928</v>
      </c>
      <c r="X656" s="296" t="s">
        <v>928</v>
      </c>
      <c r="Y656" s="146"/>
    </row>
    <row r="657" spans="1:25" s="252" customFormat="1" ht="13.15" customHeight="1" x14ac:dyDescent="0.15">
      <c r="A657" s="296">
        <v>3735131</v>
      </c>
      <c r="B657" s="296" t="s">
        <v>423</v>
      </c>
      <c r="C657" s="296" t="s">
        <v>1801</v>
      </c>
      <c r="D657" s="296" t="s">
        <v>353</v>
      </c>
      <c r="E657" s="296" t="s">
        <v>116</v>
      </c>
      <c r="F657" s="296">
        <v>3</v>
      </c>
      <c r="G657" s="296" t="s">
        <v>265</v>
      </c>
      <c r="H657" s="296" t="s">
        <v>20</v>
      </c>
      <c r="I657" s="296" t="s">
        <v>165</v>
      </c>
      <c r="J657" s="296" t="s">
        <v>928</v>
      </c>
      <c r="K657" s="296" t="s">
        <v>176</v>
      </c>
      <c r="L657" s="296">
        <v>50</v>
      </c>
      <c r="M657" s="296" t="s">
        <v>177</v>
      </c>
      <c r="N657" s="296">
        <v>1005</v>
      </c>
      <c r="O657" s="296">
        <v>1000</v>
      </c>
      <c r="P657" s="296">
        <v>4100</v>
      </c>
      <c r="Q657" s="296">
        <v>2</v>
      </c>
      <c r="R657" s="296">
        <v>3</v>
      </c>
      <c r="S657" s="296" t="s">
        <v>354</v>
      </c>
      <c r="T657" s="296" t="s">
        <v>1809</v>
      </c>
      <c r="U657" s="296" t="s">
        <v>1811</v>
      </c>
      <c r="V657" s="296" t="s">
        <v>355</v>
      </c>
      <c r="W657" s="296" t="s">
        <v>928</v>
      </c>
      <c r="X657" s="296" t="s">
        <v>928</v>
      </c>
      <c r="Y657" s="146"/>
    </row>
    <row r="658" spans="1:25" s="252" customFormat="1" ht="13.15" customHeight="1" x14ac:dyDescent="0.15">
      <c r="A658" s="296">
        <v>3735132</v>
      </c>
      <c r="B658" s="296" t="s">
        <v>351</v>
      </c>
      <c r="C658" s="296" t="s">
        <v>1801</v>
      </c>
      <c r="D658" s="296" t="s">
        <v>353</v>
      </c>
      <c r="E658" s="296" t="s">
        <v>116</v>
      </c>
      <c r="F658" s="296">
        <v>3</v>
      </c>
      <c r="G658" s="296" t="s">
        <v>19</v>
      </c>
      <c r="H658" s="296" t="s">
        <v>20</v>
      </c>
      <c r="I658" s="296" t="s">
        <v>143</v>
      </c>
      <c r="J658" s="296" t="s">
        <v>928</v>
      </c>
      <c r="K658" s="296" t="s">
        <v>152</v>
      </c>
      <c r="L658" s="296">
        <v>38</v>
      </c>
      <c r="M658" s="296" t="s">
        <v>153</v>
      </c>
      <c r="N658" s="296">
        <v>1005</v>
      </c>
      <c r="O658" s="296">
        <v>1000</v>
      </c>
      <c r="P658" s="296">
        <v>4000</v>
      </c>
      <c r="Q658" s="296">
        <v>2</v>
      </c>
      <c r="R658" s="296">
        <v>2</v>
      </c>
      <c r="S658" s="296" t="s">
        <v>354</v>
      </c>
      <c r="T658" s="296" t="s">
        <v>1809</v>
      </c>
      <c r="U658" s="296" t="s">
        <v>1820</v>
      </c>
      <c r="V658" s="296" t="s">
        <v>355</v>
      </c>
      <c r="W658" s="296" t="s">
        <v>928</v>
      </c>
      <c r="X658" s="296" t="s">
        <v>928</v>
      </c>
      <c r="Y658" s="146"/>
    </row>
    <row r="659" spans="1:25" s="252" customFormat="1" ht="13.15" customHeight="1" x14ac:dyDescent="0.15">
      <c r="A659" s="296">
        <v>3735133</v>
      </c>
      <c r="B659" s="296" t="s">
        <v>510</v>
      </c>
      <c r="C659" s="296" t="s">
        <v>1801</v>
      </c>
      <c r="D659" s="296" t="s">
        <v>353</v>
      </c>
      <c r="E659" s="296" t="s">
        <v>324</v>
      </c>
      <c r="F659" s="296">
        <v>3</v>
      </c>
      <c r="G659" s="296" t="s">
        <v>269</v>
      </c>
      <c r="H659" s="296" t="s">
        <v>20</v>
      </c>
      <c r="I659" s="296" t="s">
        <v>205</v>
      </c>
      <c r="J659" s="296" t="s">
        <v>928</v>
      </c>
      <c r="K659" s="296" t="s">
        <v>325</v>
      </c>
      <c r="L659" s="296">
        <v>9</v>
      </c>
      <c r="M659" s="296" t="s">
        <v>326</v>
      </c>
      <c r="N659" s="296">
        <v>1360</v>
      </c>
      <c r="O659" s="296">
        <v>1360</v>
      </c>
      <c r="P659" s="296">
        <v>2100</v>
      </c>
      <c r="Q659" s="296">
        <v>2</v>
      </c>
      <c r="R659" s="296">
        <v>10</v>
      </c>
      <c r="S659" s="296" t="s">
        <v>354</v>
      </c>
      <c r="T659" s="296" t="s">
        <v>1809</v>
      </c>
      <c r="U659" s="296" t="s">
        <v>1810</v>
      </c>
      <c r="V659" s="296" t="s">
        <v>428</v>
      </c>
      <c r="W659" s="296" t="s">
        <v>928</v>
      </c>
      <c r="X659" s="296" t="s">
        <v>928</v>
      </c>
      <c r="Y659" s="146"/>
    </row>
    <row r="660" spans="1:25" s="252" customFormat="1" ht="13.15" customHeight="1" x14ac:dyDescent="0.15">
      <c r="A660" s="296">
        <v>3735903</v>
      </c>
      <c r="B660" s="296" t="s">
        <v>351</v>
      </c>
      <c r="C660" s="296" t="s">
        <v>1801</v>
      </c>
      <c r="D660" s="296" t="s">
        <v>353</v>
      </c>
      <c r="E660" s="296" t="s">
        <v>148</v>
      </c>
      <c r="F660" s="296">
        <v>3</v>
      </c>
      <c r="G660" s="296" t="s">
        <v>19</v>
      </c>
      <c r="H660" s="296" t="s">
        <v>20</v>
      </c>
      <c r="I660" s="296" t="s">
        <v>165</v>
      </c>
      <c r="J660" s="296" t="s">
        <v>928</v>
      </c>
      <c r="K660" s="296" t="s">
        <v>180</v>
      </c>
      <c r="L660" s="296">
        <v>50</v>
      </c>
      <c r="M660" s="296" t="s">
        <v>181</v>
      </c>
      <c r="N660" s="296">
        <v>1120</v>
      </c>
      <c r="O660" s="296">
        <v>1120</v>
      </c>
      <c r="P660" s="296">
        <v>4000</v>
      </c>
      <c r="Q660" s="296">
        <v>2</v>
      </c>
      <c r="R660" s="296">
        <v>6</v>
      </c>
      <c r="S660" s="296" t="s">
        <v>354</v>
      </c>
      <c r="T660" s="296" t="s">
        <v>1731</v>
      </c>
      <c r="U660" s="296" t="s">
        <v>1728</v>
      </c>
      <c r="V660" s="296" t="s">
        <v>355</v>
      </c>
      <c r="W660" s="296" t="s">
        <v>928</v>
      </c>
      <c r="X660" s="296" t="s">
        <v>928</v>
      </c>
      <c r="Y660" s="146"/>
    </row>
    <row r="661" spans="1:25" s="252" customFormat="1" ht="13.15" customHeight="1" x14ac:dyDescent="0.15">
      <c r="A661" s="296">
        <v>3737316</v>
      </c>
      <c r="B661" s="296" t="s">
        <v>1364</v>
      </c>
      <c r="C661" s="296" t="s">
        <v>1803</v>
      </c>
      <c r="D661" s="296" t="s">
        <v>353</v>
      </c>
      <c r="E661" s="296" t="s">
        <v>61</v>
      </c>
      <c r="F661" s="296">
        <v>3</v>
      </c>
      <c r="G661" s="296" t="s">
        <v>269</v>
      </c>
      <c r="H661" s="296" t="s">
        <v>28</v>
      </c>
      <c r="I661" s="296" t="s">
        <v>1078</v>
      </c>
      <c r="J661" s="296" t="s">
        <v>928</v>
      </c>
      <c r="K661" s="296" t="s">
        <v>1079</v>
      </c>
      <c r="L661" s="296">
        <v>25</v>
      </c>
      <c r="M661" s="296" t="s">
        <v>1366</v>
      </c>
      <c r="N661" s="296">
        <v>1050</v>
      </c>
      <c r="O661" s="296">
        <v>1050</v>
      </c>
      <c r="P661" s="296">
        <v>6000</v>
      </c>
      <c r="Q661" s="296">
        <v>1</v>
      </c>
      <c r="R661" s="296">
        <v>22</v>
      </c>
      <c r="S661" s="296" t="s">
        <v>354</v>
      </c>
      <c r="T661" s="296" t="s">
        <v>1881</v>
      </c>
      <c r="U661" s="296" t="s">
        <v>1810</v>
      </c>
      <c r="V661" s="296" t="s">
        <v>428</v>
      </c>
      <c r="W661" s="296" t="s">
        <v>928</v>
      </c>
      <c r="X661" s="296" t="s">
        <v>928</v>
      </c>
      <c r="Y661" s="146"/>
    </row>
    <row r="662" spans="1:25" s="252" customFormat="1" ht="13.15" customHeight="1" x14ac:dyDescent="0.15">
      <c r="A662" s="296">
        <v>3737317</v>
      </c>
      <c r="B662" s="296" t="s">
        <v>1364</v>
      </c>
      <c r="C662" s="296" t="s">
        <v>1803</v>
      </c>
      <c r="D662" s="296" t="s">
        <v>353</v>
      </c>
      <c r="E662" s="296" t="s">
        <v>61</v>
      </c>
      <c r="F662" s="296">
        <v>3</v>
      </c>
      <c r="G662" s="296" t="s">
        <v>269</v>
      </c>
      <c r="H662" s="296" t="s">
        <v>28</v>
      </c>
      <c r="I662" s="296" t="s">
        <v>1078</v>
      </c>
      <c r="J662" s="296" t="s">
        <v>928</v>
      </c>
      <c r="K662" s="296" t="s">
        <v>1079</v>
      </c>
      <c r="L662" s="296">
        <v>25</v>
      </c>
      <c r="M662" s="296" t="s">
        <v>1366</v>
      </c>
      <c r="N662" s="296">
        <v>1050</v>
      </c>
      <c r="O662" s="296">
        <v>1050</v>
      </c>
      <c r="P662" s="296">
        <v>6000</v>
      </c>
      <c r="Q662" s="296">
        <v>1</v>
      </c>
      <c r="R662" s="296">
        <v>2</v>
      </c>
      <c r="S662" s="296" t="s">
        <v>354</v>
      </c>
      <c r="T662" s="296" t="s">
        <v>1881</v>
      </c>
      <c r="U662" s="296" t="s">
        <v>1810</v>
      </c>
      <c r="V662" s="296" t="s">
        <v>428</v>
      </c>
      <c r="W662" s="296" t="s">
        <v>928</v>
      </c>
      <c r="X662" s="296" t="s">
        <v>928</v>
      </c>
      <c r="Y662" s="146"/>
    </row>
    <row r="663" spans="1:25" s="252" customFormat="1" ht="13.15" customHeight="1" x14ac:dyDescent="0.15">
      <c r="A663" s="296">
        <v>3737453</v>
      </c>
      <c r="B663" s="296" t="s">
        <v>351</v>
      </c>
      <c r="C663" s="296" t="s">
        <v>1801</v>
      </c>
      <c r="D663" s="296" t="s">
        <v>353</v>
      </c>
      <c r="E663" s="296" t="s">
        <v>116</v>
      </c>
      <c r="F663" s="296">
        <v>3</v>
      </c>
      <c r="G663" s="296" t="s">
        <v>19</v>
      </c>
      <c r="H663" s="296" t="s">
        <v>28</v>
      </c>
      <c r="I663" s="296" t="s">
        <v>205</v>
      </c>
      <c r="J663" s="296" t="s">
        <v>928</v>
      </c>
      <c r="K663" s="296" t="s">
        <v>233</v>
      </c>
      <c r="L663" s="296">
        <v>50</v>
      </c>
      <c r="M663" s="296" t="s">
        <v>234</v>
      </c>
      <c r="N663" s="296">
        <v>1120</v>
      </c>
      <c r="O663" s="296">
        <v>1120</v>
      </c>
      <c r="P663" s="296">
        <v>4000</v>
      </c>
      <c r="Q663" s="296">
        <v>2</v>
      </c>
      <c r="R663" s="296">
        <v>4</v>
      </c>
      <c r="S663" s="296" t="s">
        <v>354</v>
      </c>
      <c r="T663" s="296" t="s">
        <v>1883</v>
      </c>
      <c r="U663" s="296" t="s">
        <v>1813</v>
      </c>
      <c r="V663" s="296" t="s">
        <v>355</v>
      </c>
      <c r="W663" s="296" t="s">
        <v>928</v>
      </c>
      <c r="X663" s="296" t="s">
        <v>928</v>
      </c>
      <c r="Y663" s="146"/>
    </row>
    <row r="664" spans="1:25" s="252" customFormat="1" ht="13.15" customHeight="1" x14ac:dyDescent="0.15">
      <c r="A664" s="416">
        <v>3741600</v>
      </c>
      <c r="B664" s="296" t="s">
        <v>351</v>
      </c>
      <c r="C664" s="296" t="s">
        <v>1803</v>
      </c>
      <c r="D664" s="296" t="s">
        <v>353</v>
      </c>
      <c r="E664" s="296" t="s">
        <v>61</v>
      </c>
      <c r="F664" s="416">
        <v>3</v>
      </c>
      <c r="G664" s="296" t="s">
        <v>19</v>
      </c>
      <c r="H664" s="296" t="s">
        <v>20</v>
      </c>
      <c r="I664" s="296" t="s">
        <v>205</v>
      </c>
      <c r="J664" s="296" t="s">
        <v>928</v>
      </c>
      <c r="K664" s="296" t="s">
        <v>242</v>
      </c>
      <c r="L664" s="296">
        <v>50</v>
      </c>
      <c r="M664" s="296" t="s">
        <v>243</v>
      </c>
      <c r="N664" s="296">
        <v>1255</v>
      </c>
      <c r="O664" s="296">
        <v>1250</v>
      </c>
      <c r="P664" s="296">
        <v>2000</v>
      </c>
      <c r="Q664" s="416">
        <v>2</v>
      </c>
      <c r="R664" s="296">
        <v>21</v>
      </c>
      <c r="S664" s="296" t="s">
        <v>354</v>
      </c>
      <c r="T664" s="296" t="s">
        <v>1946</v>
      </c>
      <c r="U664" s="296" t="s">
        <v>1949</v>
      </c>
      <c r="V664" s="296" t="s">
        <v>355</v>
      </c>
      <c r="W664" s="417"/>
      <c r="X664" s="417"/>
      <c r="Y664" s="146"/>
    </row>
    <row r="665" spans="1:25" s="252" customFormat="1" ht="13.15" customHeight="1" x14ac:dyDescent="0.15">
      <c r="A665" s="416">
        <v>3741601</v>
      </c>
      <c r="B665" s="296" t="s">
        <v>351</v>
      </c>
      <c r="C665" s="296" t="s">
        <v>1801</v>
      </c>
      <c r="D665" s="296" t="s">
        <v>353</v>
      </c>
      <c r="E665" s="296" t="s">
        <v>116</v>
      </c>
      <c r="F665" s="416">
        <v>3</v>
      </c>
      <c r="G665" s="296" t="s">
        <v>19</v>
      </c>
      <c r="H665" s="296" t="s">
        <v>20</v>
      </c>
      <c r="I665" s="296" t="s">
        <v>205</v>
      </c>
      <c r="J665" s="296" t="s">
        <v>928</v>
      </c>
      <c r="K665" s="296" t="s">
        <v>212</v>
      </c>
      <c r="L665" s="296">
        <v>25</v>
      </c>
      <c r="M665" s="296" t="s">
        <v>213</v>
      </c>
      <c r="N665" s="296">
        <v>1000</v>
      </c>
      <c r="O665" s="296">
        <v>1000</v>
      </c>
      <c r="P665" s="296">
        <v>4000</v>
      </c>
      <c r="Q665" s="416">
        <v>2</v>
      </c>
      <c r="R665" s="296">
        <v>3</v>
      </c>
      <c r="S665" s="296" t="s">
        <v>354</v>
      </c>
      <c r="T665" s="296" t="s">
        <v>1946</v>
      </c>
      <c r="U665" s="296" t="s">
        <v>1953</v>
      </c>
      <c r="V665" s="296" t="s">
        <v>355</v>
      </c>
      <c r="W665" s="417"/>
      <c r="X665" s="417"/>
      <c r="Y665" s="146"/>
    </row>
    <row r="666" spans="1:25" s="252" customFormat="1" ht="13.15" customHeight="1" x14ac:dyDescent="0.15">
      <c r="A666" s="416">
        <v>3741602</v>
      </c>
      <c r="B666" s="296" t="s">
        <v>351</v>
      </c>
      <c r="C666" s="296" t="s">
        <v>1801</v>
      </c>
      <c r="D666" s="296" t="s">
        <v>353</v>
      </c>
      <c r="E666" s="296" t="s">
        <v>116</v>
      </c>
      <c r="F666" s="416">
        <v>3</v>
      </c>
      <c r="G666" s="296" t="s">
        <v>19</v>
      </c>
      <c r="H666" s="296" t="s">
        <v>20</v>
      </c>
      <c r="I666" s="296" t="s">
        <v>205</v>
      </c>
      <c r="J666" s="296" t="s">
        <v>928</v>
      </c>
      <c r="K666" s="296" t="s">
        <v>212</v>
      </c>
      <c r="L666" s="296">
        <v>25</v>
      </c>
      <c r="M666" s="296" t="s">
        <v>213</v>
      </c>
      <c r="N666" s="296">
        <v>1120</v>
      </c>
      <c r="O666" s="296">
        <v>1120</v>
      </c>
      <c r="P666" s="296">
        <v>4000</v>
      </c>
      <c r="Q666" s="416">
        <v>2</v>
      </c>
      <c r="R666" s="296">
        <v>6</v>
      </c>
      <c r="S666" s="296" t="s">
        <v>354</v>
      </c>
      <c r="T666" s="296" t="s">
        <v>1946</v>
      </c>
      <c r="U666" s="296" t="s">
        <v>1953</v>
      </c>
      <c r="V666" s="296" t="s">
        <v>355</v>
      </c>
      <c r="W666" s="417"/>
      <c r="X666" s="417"/>
      <c r="Y666" s="146"/>
    </row>
    <row r="667" spans="1:25" s="252" customFormat="1" ht="13.15" customHeight="1" x14ac:dyDescent="0.15">
      <c r="A667" s="416">
        <v>3741603</v>
      </c>
      <c r="B667" s="296" t="s">
        <v>351</v>
      </c>
      <c r="C667" s="296" t="s">
        <v>1801</v>
      </c>
      <c r="D667" s="296" t="s">
        <v>353</v>
      </c>
      <c r="E667" s="296" t="s">
        <v>116</v>
      </c>
      <c r="F667" s="416">
        <v>3</v>
      </c>
      <c r="G667" s="296" t="s">
        <v>19</v>
      </c>
      <c r="H667" s="296" t="s">
        <v>20</v>
      </c>
      <c r="I667" s="296" t="s">
        <v>205</v>
      </c>
      <c r="J667" s="296" t="s">
        <v>928</v>
      </c>
      <c r="K667" s="296" t="s">
        <v>212</v>
      </c>
      <c r="L667" s="296">
        <v>50</v>
      </c>
      <c r="M667" s="296" t="s">
        <v>213</v>
      </c>
      <c r="N667" s="296">
        <v>1000</v>
      </c>
      <c r="O667" s="296">
        <v>1000</v>
      </c>
      <c r="P667" s="296">
        <v>4000</v>
      </c>
      <c r="Q667" s="416">
        <v>2</v>
      </c>
      <c r="R667" s="296">
        <v>3</v>
      </c>
      <c r="S667" s="296" t="s">
        <v>354</v>
      </c>
      <c r="T667" s="296" t="s">
        <v>1946</v>
      </c>
      <c r="U667" s="296" t="s">
        <v>1954</v>
      </c>
      <c r="V667" s="296" t="s">
        <v>355</v>
      </c>
      <c r="W667" s="417"/>
      <c r="X667" s="417"/>
      <c r="Y667" s="146"/>
    </row>
    <row r="668" spans="1:25" s="252" customFormat="1" ht="13.15" customHeight="1" x14ac:dyDescent="0.15">
      <c r="A668" s="416">
        <v>3741604</v>
      </c>
      <c r="B668" s="296" t="s">
        <v>351</v>
      </c>
      <c r="C668" s="296" t="s">
        <v>1801</v>
      </c>
      <c r="D668" s="296" t="s">
        <v>353</v>
      </c>
      <c r="E668" s="296" t="s">
        <v>116</v>
      </c>
      <c r="F668" s="416">
        <v>3</v>
      </c>
      <c r="G668" s="296" t="s">
        <v>19</v>
      </c>
      <c r="H668" s="296" t="s">
        <v>20</v>
      </c>
      <c r="I668" s="296" t="s">
        <v>205</v>
      </c>
      <c r="J668" s="296" t="s">
        <v>928</v>
      </c>
      <c r="K668" s="296" t="s">
        <v>212</v>
      </c>
      <c r="L668" s="296">
        <v>50</v>
      </c>
      <c r="M668" s="296" t="s">
        <v>213</v>
      </c>
      <c r="N668" s="296">
        <v>1120</v>
      </c>
      <c r="O668" s="296">
        <v>1120</v>
      </c>
      <c r="P668" s="296">
        <v>4000</v>
      </c>
      <c r="Q668" s="416">
        <v>2</v>
      </c>
      <c r="R668" s="296">
        <v>36</v>
      </c>
      <c r="S668" s="296" t="s">
        <v>354</v>
      </c>
      <c r="T668" s="296" t="s">
        <v>1946</v>
      </c>
      <c r="U668" s="296" t="s">
        <v>1955</v>
      </c>
      <c r="V668" s="296" t="s">
        <v>355</v>
      </c>
      <c r="W668" s="417"/>
      <c r="X668" s="417"/>
      <c r="Y668" s="146"/>
    </row>
    <row r="669" spans="1:25" s="252" customFormat="1" ht="13.15" customHeight="1" x14ac:dyDescent="0.15">
      <c r="A669" s="416">
        <v>3741605</v>
      </c>
      <c r="B669" s="296" t="s">
        <v>351</v>
      </c>
      <c r="C669" s="296" t="s">
        <v>1801</v>
      </c>
      <c r="D669" s="296" t="s">
        <v>353</v>
      </c>
      <c r="E669" s="296" t="s">
        <v>116</v>
      </c>
      <c r="F669" s="416">
        <v>3</v>
      </c>
      <c r="G669" s="296" t="s">
        <v>19</v>
      </c>
      <c r="H669" s="296" t="s">
        <v>20</v>
      </c>
      <c r="I669" s="296" t="s">
        <v>205</v>
      </c>
      <c r="J669" s="296" t="s">
        <v>928</v>
      </c>
      <c r="K669" s="296" t="s">
        <v>211</v>
      </c>
      <c r="L669" s="296">
        <v>38</v>
      </c>
      <c r="M669" s="296" t="s">
        <v>370</v>
      </c>
      <c r="N669" s="296">
        <v>1005</v>
      </c>
      <c r="O669" s="296">
        <v>1000</v>
      </c>
      <c r="P669" s="296">
        <v>4100</v>
      </c>
      <c r="Q669" s="416">
        <v>2</v>
      </c>
      <c r="R669" s="296">
        <v>3</v>
      </c>
      <c r="S669" s="296" t="s">
        <v>354</v>
      </c>
      <c r="T669" s="296" t="s">
        <v>1946</v>
      </c>
      <c r="U669" s="296" t="s">
        <v>1953</v>
      </c>
      <c r="V669" s="296" t="s">
        <v>355</v>
      </c>
      <c r="W669" s="417"/>
      <c r="X669" s="417"/>
      <c r="Y669" s="146"/>
    </row>
    <row r="670" spans="1:25" s="252" customFormat="1" ht="13.15" customHeight="1" x14ac:dyDescent="0.15">
      <c r="A670" s="416">
        <v>3741606</v>
      </c>
      <c r="B670" s="296" t="s">
        <v>351</v>
      </c>
      <c r="C670" s="296" t="s">
        <v>1801</v>
      </c>
      <c r="D670" s="296" t="s">
        <v>353</v>
      </c>
      <c r="E670" s="296" t="s">
        <v>116</v>
      </c>
      <c r="F670" s="416">
        <v>3</v>
      </c>
      <c r="G670" s="296" t="s">
        <v>19</v>
      </c>
      <c r="H670" s="296" t="s">
        <v>20</v>
      </c>
      <c r="I670" s="296" t="s">
        <v>205</v>
      </c>
      <c r="J670" s="296" t="s">
        <v>928</v>
      </c>
      <c r="K670" s="296" t="s">
        <v>211</v>
      </c>
      <c r="L670" s="296">
        <v>50</v>
      </c>
      <c r="M670" s="296" t="s">
        <v>370</v>
      </c>
      <c r="N670" s="296">
        <v>1050</v>
      </c>
      <c r="O670" s="296">
        <v>1050</v>
      </c>
      <c r="P670" s="296">
        <v>4100</v>
      </c>
      <c r="Q670" s="416">
        <v>2</v>
      </c>
      <c r="R670" s="296">
        <v>6</v>
      </c>
      <c r="S670" s="296" t="s">
        <v>354</v>
      </c>
      <c r="T670" s="296" t="s">
        <v>1946</v>
      </c>
      <c r="U670" s="296" t="s">
        <v>1953</v>
      </c>
      <c r="V670" s="296" t="s">
        <v>355</v>
      </c>
      <c r="W670" s="417"/>
      <c r="X670" s="417"/>
      <c r="Y670" s="146"/>
    </row>
    <row r="671" spans="1:25" s="252" customFormat="1" ht="13.15" customHeight="1" x14ac:dyDescent="0.15">
      <c r="A671" s="416">
        <v>3741607</v>
      </c>
      <c r="B671" s="296" t="s">
        <v>351</v>
      </c>
      <c r="C671" s="296" t="s">
        <v>1801</v>
      </c>
      <c r="D671" s="296" t="s">
        <v>353</v>
      </c>
      <c r="E671" s="296" t="s">
        <v>116</v>
      </c>
      <c r="F671" s="416">
        <v>3</v>
      </c>
      <c r="G671" s="296" t="s">
        <v>19</v>
      </c>
      <c r="H671" s="296" t="s">
        <v>20</v>
      </c>
      <c r="I671" s="296" t="s">
        <v>205</v>
      </c>
      <c r="J671" s="296" t="s">
        <v>928</v>
      </c>
      <c r="K671" s="296" t="s">
        <v>211</v>
      </c>
      <c r="L671" s="296">
        <v>75</v>
      </c>
      <c r="M671" s="296" t="s">
        <v>370</v>
      </c>
      <c r="N671" s="296">
        <v>1050</v>
      </c>
      <c r="O671" s="296">
        <v>1050</v>
      </c>
      <c r="P671" s="296">
        <v>2000</v>
      </c>
      <c r="Q671" s="416">
        <v>2</v>
      </c>
      <c r="R671" s="296">
        <v>2</v>
      </c>
      <c r="S671" s="296" t="s">
        <v>354</v>
      </c>
      <c r="T671" s="296" t="s">
        <v>1946</v>
      </c>
      <c r="U671" s="296" t="s">
        <v>1953</v>
      </c>
      <c r="V671" s="296" t="s">
        <v>355</v>
      </c>
      <c r="W671" s="417"/>
      <c r="X671" s="417"/>
      <c r="Y671" s="146"/>
    </row>
    <row r="672" spans="1:25" s="252" customFormat="1" ht="13.15" customHeight="1" x14ac:dyDescent="0.15">
      <c r="A672" s="416">
        <v>3741608</v>
      </c>
      <c r="B672" s="296" t="s">
        <v>351</v>
      </c>
      <c r="C672" s="296" t="s">
        <v>1801</v>
      </c>
      <c r="D672" s="296" t="s">
        <v>353</v>
      </c>
      <c r="E672" s="296" t="s">
        <v>116</v>
      </c>
      <c r="F672" s="416">
        <v>3</v>
      </c>
      <c r="G672" s="296" t="s">
        <v>19</v>
      </c>
      <c r="H672" s="296" t="s">
        <v>20</v>
      </c>
      <c r="I672" s="296" t="s">
        <v>165</v>
      </c>
      <c r="J672" s="296" t="s">
        <v>928</v>
      </c>
      <c r="K672" s="296" t="s">
        <v>185</v>
      </c>
      <c r="L672" s="296">
        <v>50</v>
      </c>
      <c r="M672" s="296" t="s">
        <v>186</v>
      </c>
      <c r="N672" s="296">
        <v>1005</v>
      </c>
      <c r="O672" s="296">
        <v>1000</v>
      </c>
      <c r="P672" s="296">
        <v>4100</v>
      </c>
      <c r="Q672" s="416">
        <v>2</v>
      </c>
      <c r="R672" s="296">
        <v>3</v>
      </c>
      <c r="S672" s="296" t="s">
        <v>354</v>
      </c>
      <c r="T672" s="296" t="s">
        <v>1946</v>
      </c>
      <c r="U672" s="296" t="s">
        <v>1953</v>
      </c>
      <c r="V672" s="296" t="s">
        <v>355</v>
      </c>
      <c r="W672" s="417"/>
      <c r="X672" s="417"/>
      <c r="Y672" s="146"/>
    </row>
    <row r="673" spans="1:28" s="252" customFormat="1" ht="13.15" customHeight="1" x14ac:dyDescent="0.15">
      <c r="A673" s="416">
        <v>3741610</v>
      </c>
      <c r="B673" s="296" t="s">
        <v>351</v>
      </c>
      <c r="C673" s="296" t="s">
        <v>1801</v>
      </c>
      <c r="D673" s="296" t="s">
        <v>353</v>
      </c>
      <c r="E673" s="296" t="s">
        <v>116</v>
      </c>
      <c r="F673" s="416">
        <v>3</v>
      </c>
      <c r="G673" s="296" t="s">
        <v>19</v>
      </c>
      <c r="H673" s="296" t="s">
        <v>20</v>
      </c>
      <c r="I673" s="296" t="s">
        <v>205</v>
      </c>
      <c r="J673" s="296" t="s">
        <v>928</v>
      </c>
      <c r="K673" s="296" t="s">
        <v>216</v>
      </c>
      <c r="L673" s="296">
        <v>25</v>
      </c>
      <c r="M673" s="296" t="s">
        <v>217</v>
      </c>
      <c r="N673" s="296">
        <v>1005</v>
      </c>
      <c r="O673" s="296">
        <v>1000</v>
      </c>
      <c r="P673" s="296">
        <v>4000</v>
      </c>
      <c r="Q673" s="416">
        <v>2</v>
      </c>
      <c r="R673" s="296">
        <v>6</v>
      </c>
      <c r="S673" s="296" t="s">
        <v>354</v>
      </c>
      <c r="T673" s="296" t="s">
        <v>1946</v>
      </c>
      <c r="U673" s="296" t="s">
        <v>1953</v>
      </c>
      <c r="V673" s="296" t="s">
        <v>355</v>
      </c>
      <c r="W673" s="417"/>
      <c r="X673" s="417"/>
      <c r="Y673" s="146"/>
    </row>
    <row r="674" spans="1:28" s="252" customFormat="1" ht="13.15" customHeight="1" x14ac:dyDescent="0.15">
      <c r="A674" s="416">
        <v>3741611</v>
      </c>
      <c r="B674" s="296" t="s">
        <v>351</v>
      </c>
      <c r="C674" s="296" t="s">
        <v>1801</v>
      </c>
      <c r="D674" s="296" t="s">
        <v>353</v>
      </c>
      <c r="E674" s="296" t="s">
        <v>116</v>
      </c>
      <c r="F674" s="416">
        <v>3</v>
      </c>
      <c r="G674" s="296" t="s">
        <v>19</v>
      </c>
      <c r="H674" s="296" t="s">
        <v>20</v>
      </c>
      <c r="I674" s="296" t="s">
        <v>205</v>
      </c>
      <c r="J674" s="296" t="s">
        <v>928</v>
      </c>
      <c r="K674" s="296" t="s">
        <v>216</v>
      </c>
      <c r="L674" s="296">
        <v>25</v>
      </c>
      <c r="M674" s="296" t="s">
        <v>217</v>
      </c>
      <c r="N674" s="296">
        <v>1125</v>
      </c>
      <c r="O674" s="296">
        <v>1120</v>
      </c>
      <c r="P674" s="296">
        <v>4000</v>
      </c>
      <c r="Q674" s="416">
        <v>2</v>
      </c>
      <c r="R674" s="296">
        <v>3</v>
      </c>
      <c r="S674" s="296" t="s">
        <v>354</v>
      </c>
      <c r="T674" s="296" t="s">
        <v>1946</v>
      </c>
      <c r="U674" s="296" t="s">
        <v>1954</v>
      </c>
      <c r="V674" s="296" t="s">
        <v>355</v>
      </c>
      <c r="W674" s="417"/>
      <c r="X674" s="417"/>
      <c r="Y674" s="146"/>
    </row>
    <row r="675" spans="1:28" s="252" customFormat="1" ht="13.15" customHeight="1" x14ac:dyDescent="0.15">
      <c r="A675" s="416">
        <v>3741612</v>
      </c>
      <c r="B675" s="296" t="s">
        <v>351</v>
      </c>
      <c r="C675" s="296" t="s">
        <v>1801</v>
      </c>
      <c r="D675" s="296" t="s">
        <v>353</v>
      </c>
      <c r="E675" s="296" t="s">
        <v>116</v>
      </c>
      <c r="F675" s="416">
        <v>3</v>
      </c>
      <c r="G675" s="296" t="s">
        <v>19</v>
      </c>
      <c r="H675" s="296" t="s">
        <v>20</v>
      </c>
      <c r="I675" s="296" t="s">
        <v>205</v>
      </c>
      <c r="J675" s="296" t="s">
        <v>928</v>
      </c>
      <c r="K675" s="296" t="s">
        <v>216</v>
      </c>
      <c r="L675" s="296">
        <v>50</v>
      </c>
      <c r="M675" s="296" t="s">
        <v>217</v>
      </c>
      <c r="N675" s="296">
        <v>1120</v>
      </c>
      <c r="O675" s="296">
        <v>1120</v>
      </c>
      <c r="P675" s="296">
        <v>5000</v>
      </c>
      <c r="Q675" s="416">
        <v>2</v>
      </c>
      <c r="R675" s="296">
        <v>24</v>
      </c>
      <c r="S675" s="296" t="s">
        <v>354</v>
      </c>
      <c r="T675" s="296" t="s">
        <v>1946</v>
      </c>
      <c r="U675" s="296" t="s">
        <v>1956</v>
      </c>
      <c r="V675" s="296" t="s">
        <v>355</v>
      </c>
      <c r="W675" s="417"/>
      <c r="X675" s="417"/>
      <c r="Y675" s="146"/>
    </row>
    <row r="676" spans="1:28" s="252" customFormat="1" ht="13.15" customHeight="1" x14ac:dyDescent="0.15">
      <c r="A676" s="416">
        <v>3741613</v>
      </c>
      <c r="B676" s="296" t="s">
        <v>351</v>
      </c>
      <c r="C676" s="296" t="s">
        <v>1801</v>
      </c>
      <c r="D676" s="296" t="s">
        <v>353</v>
      </c>
      <c r="E676" s="296" t="s">
        <v>116</v>
      </c>
      <c r="F676" s="416">
        <v>3</v>
      </c>
      <c r="G676" s="296" t="s">
        <v>19</v>
      </c>
      <c r="H676" s="296" t="s">
        <v>20</v>
      </c>
      <c r="I676" s="296" t="s">
        <v>205</v>
      </c>
      <c r="J676" s="296" t="s">
        <v>928</v>
      </c>
      <c r="K676" s="296" t="s">
        <v>218</v>
      </c>
      <c r="L676" s="296">
        <v>25</v>
      </c>
      <c r="M676" s="296" t="s">
        <v>219</v>
      </c>
      <c r="N676" s="296">
        <v>1005</v>
      </c>
      <c r="O676" s="296">
        <v>1000</v>
      </c>
      <c r="P676" s="296">
        <v>4000</v>
      </c>
      <c r="Q676" s="416">
        <v>2</v>
      </c>
      <c r="R676" s="296">
        <v>4</v>
      </c>
      <c r="S676" s="296" t="s">
        <v>354</v>
      </c>
      <c r="T676" s="296" t="s">
        <v>1946</v>
      </c>
      <c r="U676" s="296" t="s">
        <v>1953</v>
      </c>
      <c r="V676" s="296" t="s">
        <v>355</v>
      </c>
      <c r="W676" s="417"/>
      <c r="X676" s="417"/>
      <c r="Y676" s="146"/>
    </row>
    <row r="677" spans="1:28" s="252" customFormat="1" ht="13.15" customHeight="1" x14ac:dyDescent="0.15">
      <c r="A677" s="416">
        <v>3741614</v>
      </c>
      <c r="B677" s="296" t="s">
        <v>351</v>
      </c>
      <c r="C677" s="296" t="s">
        <v>1801</v>
      </c>
      <c r="D677" s="296" t="s">
        <v>353</v>
      </c>
      <c r="E677" s="296" t="s">
        <v>116</v>
      </c>
      <c r="F677" s="416">
        <v>3</v>
      </c>
      <c r="G677" s="296" t="s">
        <v>19</v>
      </c>
      <c r="H677" s="296" t="s">
        <v>20</v>
      </c>
      <c r="I677" s="296" t="s">
        <v>205</v>
      </c>
      <c r="J677" s="296" t="s">
        <v>928</v>
      </c>
      <c r="K677" s="296" t="s">
        <v>218</v>
      </c>
      <c r="L677" s="296">
        <v>50</v>
      </c>
      <c r="M677" s="296" t="s">
        <v>219</v>
      </c>
      <c r="N677" s="296">
        <v>1000</v>
      </c>
      <c r="O677" s="296">
        <v>1000</v>
      </c>
      <c r="P677" s="296">
        <v>4000</v>
      </c>
      <c r="Q677" s="416">
        <v>2</v>
      </c>
      <c r="R677" s="296">
        <v>24</v>
      </c>
      <c r="S677" s="296" t="s">
        <v>354</v>
      </c>
      <c r="T677" s="296" t="s">
        <v>1946</v>
      </c>
      <c r="U677" s="296" t="s">
        <v>1953</v>
      </c>
      <c r="V677" s="296" t="s">
        <v>355</v>
      </c>
      <c r="W677" s="417"/>
      <c r="X677" s="417"/>
      <c r="Y677" s="146"/>
    </row>
    <row r="678" spans="1:28" s="252" customFormat="1" ht="13.15" customHeight="1" x14ac:dyDescent="0.15">
      <c r="A678" s="416">
        <v>3741615</v>
      </c>
      <c r="B678" s="296" t="s">
        <v>351</v>
      </c>
      <c r="C678" s="296" t="s">
        <v>1801</v>
      </c>
      <c r="D678" s="296" t="s">
        <v>353</v>
      </c>
      <c r="E678" s="296" t="s">
        <v>116</v>
      </c>
      <c r="F678" s="296" t="s">
        <v>158</v>
      </c>
      <c r="G678" s="296" t="s">
        <v>19</v>
      </c>
      <c r="H678" s="296" t="s">
        <v>20</v>
      </c>
      <c r="I678" s="296" t="s">
        <v>165</v>
      </c>
      <c r="J678" s="296" t="s">
        <v>928</v>
      </c>
      <c r="K678" s="296" t="s">
        <v>192</v>
      </c>
      <c r="L678" s="296">
        <v>50</v>
      </c>
      <c r="M678" s="296" t="s">
        <v>193</v>
      </c>
      <c r="N678" s="296">
        <v>1005</v>
      </c>
      <c r="O678" s="296">
        <v>1000</v>
      </c>
      <c r="P678" s="296">
        <v>4000</v>
      </c>
      <c r="Q678" s="416">
        <v>2</v>
      </c>
      <c r="R678" s="296">
        <v>6</v>
      </c>
      <c r="S678" s="296" t="s">
        <v>354</v>
      </c>
      <c r="T678" s="296" t="s">
        <v>1946</v>
      </c>
      <c r="U678" s="296" t="s">
        <v>1957</v>
      </c>
      <c r="V678" s="296" t="s">
        <v>355</v>
      </c>
      <c r="W678" s="417"/>
      <c r="X678" s="417"/>
      <c r="Y678" s="146"/>
    </row>
    <row r="679" spans="1:28" s="252" customFormat="1" ht="13.15" customHeight="1" x14ac:dyDescent="0.15">
      <c r="A679" s="416">
        <v>3741616</v>
      </c>
      <c r="B679" s="296" t="s">
        <v>351</v>
      </c>
      <c r="C679" s="296" t="s">
        <v>1801</v>
      </c>
      <c r="D679" s="296" t="s">
        <v>353</v>
      </c>
      <c r="E679" s="296" t="s">
        <v>116</v>
      </c>
      <c r="F679" s="296" t="s">
        <v>158</v>
      </c>
      <c r="G679" s="296" t="s">
        <v>19</v>
      </c>
      <c r="H679" s="296" t="s">
        <v>20</v>
      </c>
      <c r="I679" s="296" t="s">
        <v>165</v>
      </c>
      <c r="J679" s="296" t="s">
        <v>928</v>
      </c>
      <c r="K679" s="296" t="s">
        <v>195</v>
      </c>
      <c r="L679" s="296">
        <v>50</v>
      </c>
      <c r="M679" s="296" t="s">
        <v>196</v>
      </c>
      <c r="N679" s="296">
        <v>1005</v>
      </c>
      <c r="O679" s="296">
        <v>1000</v>
      </c>
      <c r="P679" s="296">
        <v>4000</v>
      </c>
      <c r="Q679" s="416">
        <v>2</v>
      </c>
      <c r="R679" s="296">
        <v>8</v>
      </c>
      <c r="S679" s="296" t="s">
        <v>354</v>
      </c>
      <c r="T679" s="296" t="s">
        <v>1946</v>
      </c>
      <c r="U679" s="296" t="s">
        <v>1957</v>
      </c>
      <c r="V679" s="296" t="s">
        <v>355</v>
      </c>
      <c r="W679" s="417"/>
      <c r="X679" s="417"/>
      <c r="Y679" s="146"/>
    </row>
    <row r="680" spans="1:28" s="252" customFormat="1" ht="13.15" customHeight="1" x14ac:dyDescent="0.15">
      <c r="A680" s="416">
        <v>3741617</v>
      </c>
      <c r="B680" s="296" t="s">
        <v>351</v>
      </c>
      <c r="C680" s="296" t="s">
        <v>1801</v>
      </c>
      <c r="D680" s="296" t="s">
        <v>353</v>
      </c>
      <c r="E680" s="296" t="s">
        <v>116</v>
      </c>
      <c r="F680" s="296" t="s">
        <v>158</v>
      </c>
      <c r="G680" s="296" t="s">
        <v>19</v>
      </c>
      <c r="H680" s="296" t="s">
        <v>28</v>
      </c>
      <c r="I680" s="296" t="s">
        <v>165</v>
      </c>
      <c r="J680" s="296" t="s">
        <v>928</v>
      </c>
      <c r="K680" s="296" t="s">
        <v>195</v>
      </c>
      <c r="L680" s="296">
        <v>50</v>
      </c>
      <c r="M680" s="296" t="s">
        <v>1958</v>
      </c>
      <c r="N680" s="296">
        <v>1005</v>
      </c>
      <c r="O680" s="296">
        <v>1000</v>
      </c>
      <c r="P680" s="296">
        <v>4000</v>
      </c>
      <c r="Q680" s="416">
        <v>2</v>
      </c>
      <c r="R680" s="296">
        <v>1</v>
      </c>
      <c r="S680" s="296" t="s">
        <v>354</v>
      </c>
      <c r="T680" s="296" t="s">
        <v>1946</v>
      </c>
      <c r="U680" s="296" t="s">
        <v>1957</v>
      </c>
      <c r="V680" s="296" t="s">
        <v>355</v>
      </c>
      <c r="W680" s="417"/>
      <c r="X680" s="417"/>
      <c r="Y680" s="146"/>
    </row>
    <row r="681" spans="1:28" s="252" customFormat="1" ht="13.15" customHeight="1" x14ac:dyDescent="0.15">
      <c r="A681" s="416">
        <v>3741618</v>
      </c>
      <c r="B681" s="296" t="s">
        <v>351</v>
      </c>
      <c r="C681" s="296" t="s">
        <v>1801</v>
      </c>
      <c r="D681" s="296" t="s">
        <v>353</v>
      </c>
      <c r="E681" s="296" t="s">
        <v>116</v>
      </c>
      <c r="F681" s="296" t="s">
        <v>158</v>
      </c>
      <c r="G681" s="296" t="s">
        <v>19</v>
      </c>
      <c r="H681" s="296" t="s">
        <v>20</v>
      </c>
      <c r="I681" s="296" t="s">
        <v>165</v>
      </c>
      <c r="J681" s="296" t="s">
        <v>928</v>
      </c>
      <c r="K681" s="296" t="s">
        <v>197</v>
      </c>
      <c r="L681" s="296">
        <v>50</v>
      </c>
      <c r="M681" s="296" t="s">
        <v>198</v>
      </c>
      <c r="N681" s="296">
        <v>1005</v>
      </c>
      <c r="O681" s="296">
        <v>1000</v>
      </c>
      <c r="P681" s="296">
        <v>4100</v>
      </c>
      <c r="Q681" s="416">
        <v>2</v>
      </c>
      <c r="R681" s="296">
        <v>6</v>
      </c>
      <c r="S681" s="296" t="s">
        <v>354</v>
      </c>
      <c r="T681" s="296" t="s">
        <v>1946</v>
      </c>
      <c r="U681" s="296" t="s">
        <v>1957</v>
      </c>
      <c r="V681" s="296" t="s">
        <v>355</v>
      </c>
      <c r="W681" s="417"/>
      <c r="X681" s="417"/>
      <c r="Y681" s="146"/>
    </row>
    <row r="682" spans="1:28" s="252" customFormat="1" ht="13.15" customHeight="1" x14ac:dyDescent="0.15">
      <c r="A682" s="416">
        <v>3741619</v>
      </c>
      <c r="B682" s="296" t="s">
        <v>351</v>
      </c>
      <c r="C682" s="296" t="s">
        <v>1801</v>
      </c>
      <c r="D682" s="296" t="s">
        <v>353</v>
      </c>
      <c r="E682" s="296" t="s">
        <v>116</v>
      </c>
      <c r="F682" s="416">
        <v>3</v>
      </c>
      <c r="G682" s="296" t="s">
        <v>19</v>
      </c>
      <c r="H682" s="296" t="s">
        <v>20</v>
      </c>
      <c r="I682" s="296" t="s">
        <v>165</v>
      </c>
      <c r="J682" s="296" t="s">
        <v>928</v>
      </c>
      <c r="K682" s="296" t="s">
        <v>200</v>
      </c>
      <c r="L682" s="296">
        <v>50</v>
      </c>
      <c r="M682" s="296" t="s">
        <v>201</v>
      </c>
      <c r="N682" s="296">
        <v>1005</v>
      </c>
      <c r="O682" s="296">
        <v>1000</v>
      </c>
      <c r="P682" s="296">
        <v>4100</v>
      </c>
      <c r="Q682" s="416">
        <v>2</v>
      </c>
      <c r="R682" s="296">
        <v>2</v>
      </c>
      <c r="S682" s="296" t="s">
        <v>354</v>
      </c>
      <c r="T682" s="296" t="s">
        <v>1946</v>
      </c>
      <c r="U682" s="296" t="s">
        <v>1957</v>
      </c>
      <c r="V682" s="296" t="s">
        <v>355</v>
      </c>
      <c r="W682" s="417"/>
      <c r="X682" s="417"/>
      <c r="Y682" s="146"/>
    </row>
    <row r="683" spans="1:28" s="252" customFormat="1" ht="13.15" customHeight="1" x14ac:dyDescent="0.15">
      <c r="A683" s="416">
        <v>3741621</v>
      </c>
      <c r="B683" s="296" t="s">
        <v>351</v>
      </c>
      <c r="C683" s="296" t="s">
        <v>1801</v>
      </c>
      <c r="D683" s="296" t="s">
        <v>353</v>
      </c>
      <c r="E683" s="296" t="s">
        <v>116</v>
      </c>
      <c r="F683" s="416">
        <v>3</v>
      </c>
      <c r="G683" s="296" t="s">
        <v>19</v>
      </c>
      <c r="H683" s="296" t="s">
        <v>20</v>
      </c>
      <c r="I683" s="296" t="s">
        <v>205</v>
      </c>
      <c r="J683" s="296" t="s">
        <v>928</v>
      </c>
      <c r="K683" s="296" t="s">
        <v>221</v>
      </c>
      <c r="L683" s="296">
        <v>25</v>
      </c>
      <c r="M683" s="296" t="s">
        <v>222</v>
      </c>
      <c r="N683" s="296">
        <v>1000</v>
      </c>
      <c r="O683" s="296">
        <v>1000</v>
      </c>
      <c r="P683" s="296">
        <v>6000</v>
      </c>
      <c r="Q683" s="416">
        <v>2</v>
      </c>
      <c r="R683" s="296">
        <v>3</v>
      </c>
      <c r="S683" s="296" t="s">
        <v>354</v>
      </c>
      <c r="T683" s="296" t="s">
        <v>1946</v>
      </c>
      <c r="U683" s="296" t="s">
        <v>1953</v>
      </c>
      <c r="V683" s="296" t="s">
        <v>355</v>
      </c>
      <c r="W683" s="417"/>
      <c r="X683" s="417"/>
      <c r="Y683" s="146"/>
    </row>
    <row r="684" spans="1:28" s="252" customFormat="1" ht="13.15" customHeight="1" x14ac:dyDescent="0.15">
      <c r="A684" s="416">
        <v>3741622</v>
      </c>
      <c r="B684" s="296" t="s">
        <v>351</v>
      </c>
      <c r="C684" s="296" t="s">
        <v>1801</v>
      </c>
      <c r="D684" s="296" t="s">
        <v>353</v>
      </c>
      <c r="E684" s="296" t="s">
        <v>116</v>
      </c>
      <c r="F684" s="416">
        <v>3</v>
      </c>
      <c r="G684" s="296" t="s">
        <v>19</v>
      </c>
      <c r="H684" s="296" t="s">
        <v>20</v>
      </c>
      <c r="I684" s="296" t="s">
        <v>205</v>
      </c>
      <c r="J684" s="296" t="s">
        <v>928</v>
      </c>
      <c r="K684" s="296" t="s">
        <v>221</v>
      </c>
      <c r="L684" s="296">
        <v>25</v>
      </c>
      <c r="M684" s="296" t="s">
        <v>222</v>
      </c>
      <c r="N684" s="296">
        <v>1100</v>
      </c>
      <c r="O684" s="296">
        <v>1100</v>
      </c>
      <c r="P684" s="296">
        <v>6000</v>
      </c>
      <c r="Q684" s="416">
        <v>2</v>
      </c>
      <c r="R684" s="296">
        <v>20</v>
      </c>
      <c r="S684" s="296" t="s">
        <v>354</v>
      </c>
      <c r="T684" s="296" t="s">
        <v>1946</v>
      </c>
      <c r="U684" s="296" t="s">
        <v>1953</v>
      </c>
      <c r="V684" s="296" t="s">
        <v>355</v>
      </c>
      <c r="W684" s="417"/>
      <c r="X684" s="417"/>
      <c r="Y684" s="146"/>
    </row>
    <row r="685" spans="1:28" s="252" customFormat="1" ht="13.15" customHeight="1" x14ac:dyDescent="0.15">
      <c r="A685" s="416">
        <v>3741623</v>
      </c>
      <c r="B685" s="296" t="s">
        <v>423</v>
      </c>
      <c r="C685" s="296" t="s">
        <v>1801</v>
      </c>
      <c r="D685" s="296" t="s">
        <v>353</v>
      </c>
      <c r="E685" s="296" t="s">
        <v>116</v>
      </c>
      <c r="F685" s="416">
        <v>3</v>
      </c>
      <c r="G685" s="296" t="s">
        <v>265</v>
      </c>
      <c r="H685" s="296" t="s">
        <v>20</v>
      </c>
      <c r="I685" s="296" t="s">
        <v>165</v>
      </c>
      <c r="J685" s="296" t="s">
        <v>928</v>
      </c>
      <c r="K685" s="296" t="s">
        <v>176</v>
      </c>
      <c r="L685" s="296">
        <v>50</v>
      </c>
      <c r="M685" s="296" t="s">
        <v>177</v>
      </c>
      <c r="N685" s="296">
        <v>1005</v>
      </c>
      <c r="O685" s="296">
        <v>1000</v>
      </c>
      <c r="P685" s="296">
        <v>4100</v>
      </c>
      <c r="Q685" s="416">
        <v>2</v>
      </c>
      <c r="R685" s="296">
        <v>9</v>
      </c>
      <c r="S685" s="296" t="s">
        <v>354</v>
      </c>
      <c r="T685" s="296" t="s">
        <v>1946</v>
      </c>
      <c r="U685" s="296" t="s">
        <v>1953</v>
      </c>
      <c r="V685" s="296" t="s">
        <v>355</v>
      </c>
      <c r="W685" s="417"/>
      <c r="X685" s="417"/>
      <c r="Y685" s="146"/>
    </row>
    <row r="686" spans="1:28" s="252" customFormat="1" ht="13.15" customHeight="1" x14ac:dyDescent="0.15">
      <c r="A686" s="416">
        <v>3741625</v>
      </c>
      <c r="B686" s="296" t="s">
        <v>351</v>
      </c>
      <c r="C686" s="296" t="s">
        <v>1801</v>
      </c>
      <c r="D686" s="296" t="s">
        <v>353</v>
      </c>
      <c r="E686" s="296" t="s">
        <v>116</v>
      </c>
      <c r="F686" s="416">
        <v>3</v>
      </c>
      <c r="G686" s="296" t="s">
        <v>19</v>
      </c>
      <c r="H686" s="296" t="s">
        <v>28</v>
      </c>
      <c r="I686" s="296" t="s">
        <v>205</v>
      </c>
      <c r="J686" s="296" t="s">
        <v>928</v>
      </c>
      <c r="K686" s="296" t="s">
        <v>233</v>
      </c>
      <c r="L686" s="296">
        <v>50</v>
      </c>
      <c r="M686" s="296" t="s">
        <v>234</v>
      </c>
      <c r="N686" s="296">
        <v>1120</v>
      </c>
      <c r="O686" s="296">
        <v>1120</v>
      </c>
      <c r="P686" s="296">
        <v>4000</v>
      </c>
      <c r="Q686" s="416">
        <v>2</v>
      </c>
      <c r="R686" s="296">
        <v>2</v>
      </c>
      <c r="S686" s="296" t="s">
        <v>354</v>
      </c>
      <c r="T686" s="296" t="s">
        <v>1946</v>
      </c>
      <c r="U686" s="296" t="s">
        <v>1959</v>
      </c>
      <c r="V686" s="296" t="s">
        <v>355</v>
      </c>
      <c r="W686" s="417"/>
      <c r="X686" s="417"/>
      <c r="Y686" s="146"/>
    </row>
    <row r="687" spans="1:28" s="252" customFormat="1" ht="13.15" customHeight="1" x14ac:dyDescent="0.15">
      <c r="A687" s="416">
        <v>3741626</v>
      </c>
      <c r="B687" s="296" t="s">
        <v>351</v>
      </c>
      <c r="C687" s="296" t="s">
        <v>1801</v>
      </c>
      <c r="D687" s="296" t="s">
        <v>353</v>
      </c>
      <c r="E687" s="296" t="s">
        <v>116</v>
      </c>
      <c r="F687" s="416">
        <v>3</v>
      </c>
      <c r="G687" s="296" t="s">
        <v>19</v>
      </c>
      <c r="H687" s="296" t="s">
        <v>28</v>
      </c>
      <c r="I687" s="296" t="s">
        <v>205</v>
      </c>
      <c r="J687" s="296" t="s">
        <v>928</v>
      </c>
      <c r="K687" s="296" t="s">
        <v>224</v>
      </c>
      <c r="L687" s="296">
        <v>50</v>
      </c>
      <c r="M687" s="296" t="s">
        <v>225</v>
      </c>
      <c r="N687" s="296">
        <v>1120</v>
      </c>
      <c r="O687" s="296">
        <v>1120</v>
      </c>
      <c r="P687" s="296">
        <v>5000</v>
      </c>
      <c r="Q687" s="416">
        <v>2</v>
      </c>
      <c r="R687" s="296">
        <v>2</v>
      </c>
      <c r="S687" s="296" t="s">
        <v>354</v>
      </c>
      <c r="T687" s="296" t="s">
        <v>1946</v>
      </c>
      <c r="U687" s="296" t="s">
        <v>1959</v>
      </c>
      <c r="V687" s="296" t="s">
        <v>355</v>
      </c>
      <c r="W687" s="417"/>
      <c r="X687" s="417"/>
      <c r="Y687" s="146"/>
    </row>
    <row r="688" spans="1:28" s="144" customFormat="1" ht="13.5" x14ac:dyDescent="0.15">
      <c r="A688" s="416">
        <v>3741627</v>
      </c>
      <c r="B688" s="296" t="s">
        <v>351</v>
      </c>
      <c r="C688" s="296" t="s">
        <v>1801</v>
      </c>
      <c r="D688" s="296" t="s">
        <v>353</v>
      </c>
      <c r="E688" s="296" t="s">
        <v>116</v>
      </c>
      <c r="F688" s="416">
        <v>3</v>
      </c>
      <c r="G688" s="296" t="s">
        <v>19</v>
      </c>
      <c r="H688" s="296" t="s">
        <v>28</v>
      </c>
      <c r="I688" s="296" t="s">
        <v>205</v>
      </c>
      <c r="J688" s="296" t="s">
        <v>928</v>
      </c>
      <c r="K688" s="296" t="s">
        <v>233</v>
      </c>
      <c r="L688" s="296">
        <v>50</v>
      </c>
      <c r="M688" s="296" t="s">
        <v>234</v>
      </c>
      <c r="N688" s="296">
        <v>1120</v>
      </c>
      <c r="O688" s="296">
        <v>1120</v>
      </c>
      <c r="P688" s="296">
        <v>4000</v>
      </c>
      <c r="Q688" s="416">
        <v>2</v>
      </c>
      <c r="R688" s="296">
        <v>4</v>
      </c>
      <c r="S688" s="296" t="s">
        <v>354</v>
      </c>
      <c r="T688" s="296" t="s">
        <v>1946</v>
      </c>
      <c r="U688" s="296" t="s">
        <v>1959</v>
      </c>
      <c r="V688" s="296" t="s">
        <v>355</v>
      </c>
      <c r="W688" s="417"/>
      <c r="X688" s="417"/>
      <c r="Y688" s="146"/>
      <c r="Z688" s="149" t="str">
        <f t="shared" ref="Z688:Z697" ca="1" si="10">IF(SUM(AA688:AB688)=0,"",SUM(AA688:AB688))</f>
        <v/>
      </c>
      <c r="AA688" s="149" t="str">
        <f ca="1">IFERROR(IF(OR(OFFSET('S4'!#REF!,MATCH($A688,'S4'!$D$5:$D$3387,0)-1,6)="巻返し",OFFSET('S4'!#REF!,MATCH($A688,'S4'!$D$5:$D$3387,0)-1,6)="スリット"),SUMIF('S4'!$D$5:$D$3387,$A688,'S4'!$U$5:$U$3387),""),"")</f>
        <v/>
      </c>
      <c r="AB688" s="149" t="str">
        <f ca="1">IFERROR(IF(OR(OFFSET('S5'!#REF!,MATCH($A688,'S5'!$D$5:$D$2917,0)-1,6)="巻返し",OFFSET('S5'!#REF!,MATCH($A688,'S5'!$D$5:$D$2917,0)-1,6)="スリット"),SUMIF('S5'!$D$5:$D$2917,$A688,'S5'!$T$5:$T$2917),""),"")</f>
        <v/>
      </c>
    </row>
    <row r="689" spans="1:28" s="144" customFormat="1" ht="13.5" x14ac:dyDescent="0.15">
      <c r="A689" s="416">
        <v>3741628</v>
      </c>
      <c r="B689" s="296" t="s">
        <v>351</v>
      </c>
      <c r="C689" s="296" t="s">
        <v>1801</v>
      </c>
      <c r="D689" s="296" t="s">
        <v>353</v>
      </c>
      <c r="E689" s="296" t="s">
        <v>116</v>
      </c>
      <c r="F689" s="416">
        <v>3</v>
      </c>
      <c r="G689" s="296" t="s">
        <v>19</v>
      </c>
      <c r="H689" s="296" t="s">
        <v>28</v>
      </c>
      <c r="I689" s="296" t="s">
        <v>205</v>
      </c>
      <c r="J689" s="296" t="s">
        <v>928</v>
      </c>
      <c r="K689" s="296" t="s">
        <v>233</v>
      </c>
      <c r="L689" s="296">
        <v>50</v>
      </c>
      <c r="M689" s="296" t="s">
        <v>234</v>
      </c>
      <c r="N689" s="296">
        <v>1120</v>
      </c>
      <c r="O689" s="296">
        <v>1120</v>
      </c>
      <c r="P689" s="296">
        <v>4000</v>
      </c>
      <c r="Q689" s="416">
        <v>2</v>
      </c>
      <c r="R689" s="296">
        <v>4</v>
      </c>
      <c r="S689" s="296" t="s">
        <v>354</v>
      </c>
      <c r="T689" s="296" t="s">
        <v>1946</v>
      </c>
      <c r="U689" s="296" t="s">
        <v>1959</v>
      </c>
      <c r="V689" s="296" t="s">
        <v>355</v>
      </c>
      <c r="W689" s="417"/>
      <c r="X689" s="417"/>
      <c r="Y689" s="146"/>
      <c r="Z689" s="149" t="str">
        <f t="shared" ca="1" si="10"/>
        <v/>
      </c>
      <c r="AA689" s="149" t="str">
        <f ca="1">IFERROR(IF(OR(OFFSET('S4'!#REF!,MATCH($A689,'S4'!$D$5:$D$3387,0)-1,6)="巻返し",OFFSET('S4'!#REF!,MATCH($A689,'S4'!$D$5:$D$3387,0)-1,6)="スリット"),SUMIF('S4'!$D$5:$D$3387,$A689,'S4'!$U$5:$U$3387),""),"")</f>
        <v/>
      </c>
      <c r="AB689" s="149" t="str">
        <f ca="1">IFERROR(IF(OR(OFFSET('S5'!#REF!,MATCH($A689,'S5'!$D$5:$D$2917,0)-1,6)="巻返し",OFFSET('S5'!#REF!,MATCH($A689,'S5'!$D$5:$D$2917,0)-1,6)="スリット"),SUMIF('S5'!$D$5:$D$2917,$A689,'S5'!$T$5:$T$2917),""),"")</f>
        <v/>
      </c>
    </row>
    <row r="690" spans="1:28" s="144" customFormat="1" ht="13.5" x14ac:dyDescent="0.15">
      <c r="A690" s="296">
        <v>3744746</v>
      </c>
      <c r="B690" s="296" t="s">
        <v>423</v>
      </c>
      <c r="C690" s="296" t="s">
        <v>1803</v>
      </c>
      <c r="D690" s="296" t="s">
        <v>353</v>
      </c>
      <c r="E690" s="296" t="s">
        <v>61</v>
      </c>
      <c r="F690" s="296">
        <v>3</v>
      </c>
      <c r="G690" s="296" t="s">
        <v>265</v>
      </c>
      <c r="H690" s="296" t="s">
        <v>20</v>
      </c>
      <c r="I690" s="296" t="s">
        <v>205</v>
      </c>
      <c r="J690" s="296" t="s">
        <v>928</v>
      </c>
      <c r="K690" s="296" t="s">
        <v>242</v>
      </c>
      <c r="L690" s="296">
        <v>50</v>
      </c>
      <c r="M690" s="296" t="s">
        <v>243</v>
      </c>
      <c r="N690" s="296">
        <v>1255</v>
      </c>
      <c r="O690" s="296">
        <v>1250</v>
      </c>
      <c r="P690" s="296">
        <v>3000</v>
      </c>
      <c r="Q690" s="296">
        <v>2</v>
      </c>
      <c r="R690" s="296">
        <v>2</v>
      </c>
      <c r="S690" s="296" t="s">
        <v>354</v>
      </c>
      <c r="T690" s="296" t="s">
        <v>2255</v>
      </c>
      <c r="U690" s="296" t="s">
        <v>1949</v>
      </c>
      <c r="V690" s="296" t="s">
        <v>355</v>
      </c>
      <c r="W690" s="296" t="s">
        <v>928</v>
      </c>
      <c r="X690" s="296" t="s">
        <v>928</v>
      </c>
      <c r="Y690" s="146"/>
      <c r="Z690" s="149" t="str">
        <f t="shared" ca="1" si="10"/>
        <v/>
      </c>
      <c r="AA690" s="149" t="str">
        <f ca="1">IFERROR(IF(OR(OFFSET('S4'!#REF!,MATCH($A690,'S4'!$D$5:$D$3387,0)-1,6)="巻返し",OFFSET('S4'!#REF!,MATCH($A690,'S4'!$D$5:$D$3387,0)-1,6)="スリット"),SUMIF('S4'!$D$5:$D$3387,$A690,'S4'!$U$5:$U$3387),""),"")</f>
        <v/>
      </c>
      <c r="AB690" s="149" t="str">
        <f ca="1">IFERROR(IF(OR(OFFSET('S5'!#REF!,MATCH($A690,'S5'!$D$5:$D$2917,0)-1,6)="巻返し",OFFSET('S5'!#REF!,MATCH($A690,'S5'!$D$5:$D$2917,0)-1,6)="スリット"),SUMIF('S5'!$D$5:$D$2917,$A690,'S5'!$T$5:$T$2917),""),"")</f>
        <v/>
      </c>
    </row>
    <row r="691" spans="1:28" s="144" customFormat="1" ht="13.5" x14ac:dyDescent="0.15">
      <c r="A691" s="416">
        <v>3744881</v>
      </c>
      <c r="B691" s="296" t="s">
        <v>351</v>
      </c>
      <c r="C691" s="296" t="s">
        <v>1801</v>
      </c>
      <c r="D691" s="296" t="s">
        <v>353</v>
      </c>
      <c r="E691" s="296" t="s">
        <v>116</v>
      </c>
      <c r="F691" s="296" t="s">
        <v>158</v>
      </c>
      <c r="G691" s="296" t="s">
        <v>19</v>
      </c>
      <c r="H691" s="296" t="s">
        <v>20</v>
      </c>
      <c r="I691" s="296" t="s">
        <v>165</v>
      </c>
      <c r="J691" s="296" t="s">
        <v>928</v>
      </c>
      <c r="K691" s="296" t="s">
        <v>197</v>
      </c>
      <c r="L691" s="296">
        <v>50</v>
      </c>
      <c r="M691" s="296" t="s">
        <v>198</v>
      </c>
      <c r="N691" s="296">
        <v>1005</v>
      </c>
      <c r="O691" s="296">
        <v>1000</v>
      </c>
      <c r="P691" s="296">
        <v>4100</v>
      </c>
      <c r="Q691" s="416">
        <v>2</v>
      </c>
      <c r="R691" s="296">
        <v>6</v>
      </c>
      <c r="S691" s="296" t="s">
        <v>354</v>
      </c>
      <c r="T691" s="296" t="s">
        <v>2259</v>
      </c>
      <c r="U691" s="296" t="s">
        <v>2260</v>
      </c>
      <c r="V691" s="296" t="s">
        <v>355</v>
      </c>
      <c r="W691" s="417"/>
      <c r="X691" s="417"/>
      <c r="Y691" s="146"/>
      <c r="Z691" s="149" t="str">
        <f t="shared" ca="1" si="10"/>
        <v/>
      </c>
      <c r="AA691" s="149" t="str">
        <f ca="1">IFERROR(IF(OR(OFFSET('S4'!#REF!,MATCH($A691,'S4'!$D$5:$D$3387,0)-1,6)="巻返し",OFFSET('S4'!#REF!,MATCH($A691,'S4'!$D$5:$D$3387,0)-1,6)="スリット"),SUMIF('S4'!$D$5:$D$3387,$A691,'S4'!$U$5:$U$3387),""),"")</f>
        <v/>
      </c>
      <c r="AB691" s="149" t="str">
        <f ca="1">IFERROR(IF(OR(OFFSET('S5'!#REF!,MATCH($A691,'S5'!$D$5:$D$2917,0)-1,6)="巻返し",OFFSET('S5'!#REF!,MATCH($A691,'S5'!$D$5:$D$2917,0)-1,6)="スリット"),SUMIF('S5'!$D$5:$D$2917,$A691,'S5'!$T$5:$T$2917),""),"")</f>
        <v/>
      </c>
    </row>
    <row r="692" spans="1:28" s="144" customFormat="1" ht="13.5" x14ac:dyDescent="0.15">
      <c r="A692" s="416">
        <v>3744882</v>
      </c>
      <c r="B692" s="296" t="s">
        <v>351</v>
      </c>
      <c r="C692" s="296" t="s">
        <v>1801</v>
      </c>
      <c r="D692" s="296" t="s">
        <v>353</v>
      </c>
      <c r="E692" s="296" t="s">
        <v>116</v>
      </c>
      <c r="F692" s="416">
        <v>3</v>
      </c>
      <c r="G692" s="296" t="s">
        <v>19</v>
      </c>
      <c r="H692" s="296" t="s">
        <v>20</v>
      </c>
      <c r="I692" s="296" t="s">
        <v>165</v>
      </c>
      <c r="J692" s="296" t="s">
        <v>928</v>
      </c>
      <c r="K692" s="296" t="s">
        <v>200</v>
      </c>
      <c r="L692" s="296">
        <v>50</v>
      </c>
      <c r="M692" s="296" t="s">
        <v>201</v>
      </c>
      <c r="N692" s="296">
        <v>1005</v>
      </c>
      <c r="O692" s="296">
        <v>1000</v>
      </c>
      <c r="P692" s="296">
        <v>4100</v>
      </c>
      <c r="Q692" s="416">
        <v>2</v>
      </c>
      <c r="R692" s="296">
        <v>2</v>
      </c>
      <c r="S692" s="296" t="s">
        <v>354</v>
      </c>
      <c r="T692" s="296" t="s">
        <v>2259</v>
      </c>
      <c r="U692" s="296" t="s">
        <v>2260</v>
      </c>
      <c r="V692" s="296" t="s">
        <v>355</v>
      </c>
      <c r="W692" s="417"/>
      <c r="X692" s="417"/>
      <c r="Y692" s="146"/>
      <c r="Z692" s="149" t="str">
        <f t="shared" ca="1" si="10"/>
        <v/>
      </c>
      <c r="AA692" s="149" t="str">
        <f ca="1">IFERROR(IF(OR(OFFSET('S4'!#REF!,MATCH($A692,'S4'!$D$5:$D$3387,0)-1,6)="巻返し",OFFSET('S4'!#REF!,MATCH($A692,'S4'!$D$5:$D$3387,0)-1,6)="スリット"),SUMIF('S4'!$D$5:$D$3387,$A692,'S4'!$U$5:$U$3387),""),"")</f>
        <v/>
      </c>
      <c r="AB692" s="149" t="str">
        <f ca="1">IFERROR(IF(OR(OFFSET('S5'!#REF!,MATCH($A692,'S5'!$D$5:$D$2917,0)-1,6)="巻返し",OFFSET('S5'!#REF!,MATCH($A692,'S5'!$D$5:$D$2917,0)-1,6)="スリット"),SUMIF('S5'!$D$5:$D$2917,$A692,'S5'!$T$5:$T$2917),""),"")</f>
        <v/>
      </c>
    </row>
    <row r="693" spans="1:28" s="144" customFormat="1" ht="13.5" x14ac:dyDescent="0.15">
      <c r="A693" s="416">
        <v>3744883</v>
      </c>
      <c r="B693" s="296" t="s">
        <v>351</v>
      </c>
      <c r="C693" s="296" t="s">
        <v>1801</v>
      </c>
      <c r="D693" s="296" t="s">
        <v>353</v>
      </c>
      <c r="E693" s="296" t="s">
        <v>116</v>
      </c>
      <c r="F693" s="416">
        <v>3</v>
      </c>
      <c r="G693" s="296" t="s">
        <v>19</v>
      </c>
      <c r="H693" s="296" t="s">
        <v>20</v>
      </c>
      <c r="I693" s="296" t="s">
        <v>205</v>
      </c>
      <c r="J693" s="296" t="s">
        <v>928</v>
      </c>
      <c r="K693" s="296" t="s">
        <v>212</v>
      </c>
      <c r="L693" s="296">
        <v>50</v>
      </c>
      <c r="M693" s="296" t="s">
        <v>213</v>
      </c>
      <c r="N693" s="296">
        <v>1120</v>
      </c>
      <c r="O693" s="296">
        <v>1120</v>
      </c>
      <c r="P693" s="296">
        <v>4000</v>
      </c>
      <c r="Q693" s="416">
        <v>2</v>
      </c>
      <c r="R693" s="296">
        <v>12</v>
      </c>
      <c r="S693" s="296" t="s">
        <v>354</v>
      </c>
      <c r="T693" s="296" t="s">
        <v>2259</v>
      </c>
      <c r="U693" s="296" t="s">
        <v>2260</v>
      </c>
      <c r="V693" s="296" t="s">
        <v>355</v>
      </c>
      <c r="W693" s="417"/>
      <c r="X693" s="417"/>
      <c r="Y693" s="146"/>
      <c r="Z693" s="149" t="str">
        <f t="shared" ca="1" si="10"/>
        <v/>
      </c>
      <c r="AA693" s="149" t="str">
        <f ca="1">IFERROR(IF(OR(OFFSET('S4'!#REF!,MATCH($A693,'S4'!$D$5:$D$3387,0)-1,6)="巻返し",OFFSET('S4'!#REF!,MATCH($A693,'S4'!$D$5:$D$3387,0)-1,6)="スリット"),SUMIF('S4'!$D$5:$D$3387,$A693,'S4'!$U$5:$U$3387),""),"")</f>
        <v/>
      </c>
      <c r="AB693" s="149" t="str">
        <f ca="1">IFERROR(IF(OR(OFFSET('S5'!#REF!,MATCH($A693,'S5'!$D$5:$D$2917,0)-1,6)="巻返し",OFFSET('S5'!#REF!,MATCH($A693,'S5'!$D$5:$D$2917,0)-1,6)="スリット"),SUMIF('S5'!$D$5:$D$2917,$A693,'S5'!$T$5:$T$2917),""),"")</f>
        <v/>
      </c>
    </row>
    <row r="694" spans="1:28" s="144" customFormat="1" ht="13.5" x14ac:dyDescent="0.15">
      <c r="A694" s="416">
        <v>3744884</v>
      </c>
      <c r="B694" s="296" t="s">
        <v>351</v>
      </c>
      <c r="C694" s="296" t="s">
        <v>1801</v>
      </c>
      <c r="D694" s="296" t="s">
        <v>353</v>
      </c>
      <c r="E694" s="296" t="s">
        <v>116</v>
      </c>
      <c r="F694" s="416">
        <v>3</v>
      </c>
      <c r="G694" s="296" t="s">
        <v>19</v>
      </c>
      <c r="H694" s="296" t="s">
        <v>20</v>
      </c>
      <c r="I694" s="296" t="s">
        <v>205</v>
      </c>
      <c r="J694" s="296" t="s">
        <v>928</v>
      </c>
      <c r="K694" s="296" t="s">
        <v>216</v>
      </c>
      <c r="L694" s="296">
        <v>50</v>
      </c>
      <c r="M694" s="296" t="s">
        <v>217</v>
      </c>
      <c r="N694" s="296">
        <v>1120</v>
      </c>
      <c r="O694" s="296">
        <v>1120</v>
      </c>
      <c r="P694" s="296">
        <v>5000</v>
      </c>
      <c r="Q694" s="416">
        <v>2</v>
      </c>
      <c r="R694" s="296">
        <v>14</v>
      </c>
      <c r="S694" s="296" t="s">
        <v>354</v>
      </c>
      <c r="T694" s="296" t="s">
        <v>2259</v>
      </c>
      <c r="U694" s="296" t="s">
        <v>2260</v>
      </c>
      <c r="V694" s="296" t="s">
        <v>355</v>
      </c>
      <c r="W694" s="417"/>
      <c r="X694" s="417"/>
      <c r="Y694" s="146"/>
      <c r="Z694" s="149" t="str">
        <f t="shared" ca="1" si="10"/>
        <v/>
      </c>
      <c r="AA694" s="149" t="str">
        <f ca="1">IFERROR(IF(OR(OFFSET('S4'!#REF!,MATCH($A694,'S4'!$D$5:$D$3387,0)-1,6)="巻返し",OFFSET('S4'!#REF!,MATCH($A694,'S4'!$D$5:$D$3387,0)-1,6)="スリット"),SUMIF('S4'!$D$5:$D$3387,$A694,'S4'!$U$5:$U$3387),""),"")</f>
        <v/>
      </c>
      <c r="AB694" s="149" t="str">
        <f ca="1">IFERROR(IF(OR(OFFSET('S5'!#REF!,MATCH($A694,'S5'!$D$5:$D$2917,0)-1,6)="巻返し",OFFSET('S5'!#REF!,MATCH($A694,'S5'!$D$5:$D$2917,0)-1,6)="スリット"),SUMIF('S5'!$D$5:$D$2917,$A694,'S5'!$T$5:$T$2917),""),"")</f>
        <v/>
      </c>
    </row>
    <row r="695" spans="1:28" s="144" customFormat="1" ht="13.5" x14ac:dyDescent="0.15">
      <c r="A695" s="416">
        <v>3744886</v>
      </c>
      <c r="B695" s="296" t="s">
        <v>351</v>
      </c>
      <c r="C695" s="296" t="s">
        <v>1801</v>
      </c>
      <c r="D695" s="296" t="s">
        <v>353</v>
      </c>
      <c r="E695" s="296" t="s">
        <v>116</v>
      </c>
      <c r="F695" s="416">
        <v>3</v>
      </c>
      <c r="G695" s="296" t="s">
        <v>19</v>
      </c>
      <c r="H695" s="296" t="s">
        <v>20</v>
      </c>
      <c r="I695" s="296" t="s">
        <v>143</v>
      </c>
      <c r="J695" s="296" t="s">
        <v>928</v>
      </c>
      <c r="K695" s="296" t="s">
        <v>152</v>
      </c>
      <c r="L695" s="296">
        <v>38</v>
      </c>
      <c r="M695" s="296" t="s">
        <v>153</v>
      </c>
      <c r="N695" s="296">
        <v>1005</v>
      </c>
      <c r="O695" s="296">
        <v>1000</v>
      </c>
      <c r="P695" s="296">
        <v>4000</v>
      </c>
      <c r="Q695" s="416">
        <v>2</v>
      </c>
      <c r="R695" s="296">
        <v>6</v>
      </c>
      <c r="S695" s="296" t="s">
        <v>354</v>
      </c>
      <c r="T695" s="296" t="s">
        <v>2259</v>
      </c>
      <c r="U695" s="296" t="s">
        <v>2260</v>
      </c>
      <c r="V695" s="296" t="s">
        <v>355</v>
      </c>
      <c r="W695" s="417"/>
      <c r="X695" s="417"/>
      <c r="Y695" s="146"/>
      <c r="Z695" s="149" t="str">
        <f t="shared" ca="1" si="10"/>
        <v/>
      </c>
      <c r="AA695" s="149" t="str">
        <f ca="1">IFERROR(IF(OR(OFFSET('S4'!#REF!,MATCH($A695,'S4'!$D$5:$D$3387,0)-1,6)="巻返し",OFFSET('S4'!#REF!,MATCH($A695,'S4'!$D$5:$D$3387,0)-1,6)="スリット"),SUMIF('S4'!$D$5:$D$3387,$A695,'S4'!$U$5:$U$3387),""),"")</f>
        <v/>
      </c>
      <c r="AB695" s="149" t="str">
        <f ca="1">IFERROR(IF(OR(OFFSET('S5'!#REF!,MATCH($A695,'S5'!$D$5:$D$2917,0)-1,6)="巻返し",OFFSET('S5'!#REF!,MATCH($A695,'S5'!$D$5:$D$2917,0)-1,6)="スリット"),SUMIF('S5'!$D$5:$D$2917,$A695,'S5'!$T$5:$T$2917),""),"")</f>
        <v/>
      </c>
    </row>
    <row r="696" spans="1:28" s="144" customFormat="1" ht="13.5" x14ac:dyDescent="0.15">
      <c r="A696" s="416">
        <v>3744888</v>
      </c>
      <c r="B696" s="296" t="s">
        <v>351</v>
      </c>
      <c r="C696" s="296" t="s">
        <v>1801</v>
      </c>
      <c r="D696" s="296" t="s">
        <v>353</v>
      </c>
      <c r="E696" s="296" t="s">
        <v>116</v>
      </c>
      <c r="F696" s="296" t="s">
        <v>158</v>
      </c>
      <c r="G696" s="296" t="s">
        <v>19</v>
      </c>
      <c r="H696" s="296" t="s">
        <v>20</v>
      </c>
      <c r="I696" s="296" t="s">
        <v>165</v>
      </c>
      <c r="J696" s="296" t="s">
        <v>928</v>
      </c>
      <c r="K696" s="296" t="s">
        <v>195</v>
      </c>
      <c r="L696" s="296">
        <v>50</v>
      </c>
      <c r="M696" s="296" t="s">
        <v>196</v>
      </c>
      <c r="N696" s="296">
        <v>1005</v>
      </c>
      <c r="O696" s="296">
        <v>1000</v>
      </c>
      <c r="P696" s="296">
        <v>4000</v>
      </c>
      <c r="Q696" s="416">
        <v>2</v>
      </c>
      <c r="R696" s="296">
        <v>6</v>
      </c>
      <c r="S696" s="296" t="s">
        <v>354</v>
      </c>
      <c r="T696" s="296" t="s">
        <v>2259</v>
      </c>
      <c r="U696" s="296" t="s">
        <v>2260</v>
      </c>
      <c r="V696" s="296" t="s">
        <v>355</v>
      </c>
      <c r="W696" s="417"/>
      <c r="X696" s="417"/>
      <c r="Y696" s="146"/>
      <c r="Z696" s="149" t="str">
        <f t="shared" ca="1" si="10"/>
        <v/>
      </c>
      <c r="AA696" s="149" t="str">
        <f ca="1">IFERROR(IF(OR(OFFSET('S4'!#REF!,MATCH($A696,'S4'!$D$5:$D$3387,0)-1,6)="巻返し",OFFSET('S4'!#REF!,MATCH($A696,'S4'!$D$5:$D$3387,0)-1,6)="スリット"),SUMIF('S4'!$D$5:$D$3387,$A696,'S4'!$U$5:$U$3387),""),"")</f>
        <v/>
      </c>
      <c r="AB696" s="149" t="str">
        <f ca="1">IFERROR(IF(OR(OFFSET('S5'!#REF!,MATCH($A696,'S5'!$D$5:$D$2917,0)-1,6)="巻返し",OFFSET('S5'!#REF!,MATCH($A696,'S5'!$D$5:$D$2917,0)-1,6)="スリット"),SUMIF('S5'!$D$5:$D$2917,$A696,'S5'!$T$5:$T$2917),""),"")</f>
        <v/>
      </c>
    </row>
    <row r="697" spans="1:28" s="144" customFormat="1" ht="13.5" x14ac:dyDescent="0.15">
      <c r="A697" s="416">
        <v>3744889</v>
      </c>
      <c r="B697" s="296" t="s">
        <v>351</v>
      </c>
      <c r="C697" s="296" t="s">
        <v>1801</v>
      </c>
      <c r="D697" s="296" t="s">
        <v>353</v>
      </c>
      <c r="E697" s="296" t="s">
        <v>116</v>
      </c>
      <c r="F697" s="416">
        <v>3</v>
      </c>
      <c r="G697" s="296" t="s">
        <v>19</v>
      </c>
      <c r="H697" s="296" t="s">
        <v>28</v>
      </c>
      <c r="I697" s="296" t="s">
        <v>205</v>
      </c>
      <c r="J697" s="296" t="s">
        <v>928</v>
      </c>
      <c r="K697" s="296" t="s">
        <v>224</v>
      </c>
      <c r="L697" s="296">
        <v>50</v>
      </c>
      <c r="M697" s="296" t="s">
        <v>225</v>
      </c>
      <c r="N697" s="296">
        <v>1120</v>
      </c>
      <c r="O697" s="296">
        <v>1120</v>
      </c>
      <c r="P697" s="296">
        <v>5000</v>
      </c>
      <c r="Q697" s="416">
        <v>2</v>
      </c>
      <c r="R697" s="296">
        <v>2</v>
      </c>
      <c r="S697" s="296" t="s">
        <v>354</v>
      </c>
      <c r="T697" s="296" t="s">
        <v>2259</v>
      </c>
      <c r="U697" s="296" t="s">
        <v>2260</v>
      </c>
      <c r="V697" s="296" t="s">
        <v>355</v>
      </c>
      <c r="W697" s="417"/>
      <c r="X697" s="417"/>
      <c r="Y697" s="146"/>
      <c r="Z697" s="149" t="str">
        <f t="shared" ca="1" si="10"/>
        <v/>
      </c>
      <c r="AA697" s="149" t="str">
        <f ca="1">IFERROR(IF(OR(OFFSET('S4'!#REF!,MATCH($A697,'S4'!$D$5:$D$3387,0)-1,6)="巻返し",OFFSET('S4'!#REF!,MATCH($A697,'S4'!$D$5:$D$3387,0)-1,6)="スリット"),SUMIF('S4'!$D$5:$D$3387,$A697,'S4'!$U$5:$U$3387),""),"")</f>
        <v/>
      </c>
      <c r="AB697" s="149" t="str">
        <f ca="1">IFERROR(IF(OR(OFFSET('S5'!#REF!,MATCH($A697,'S5'!$D$5:$D$2917,0)-1,6)="巻返し",OFFSET('S5'!#REF!,MATCH($A697,'S5'!$D$5:$D$2917,0)-1,6)="スリット"),SUMIF('S5'!$D$5:$D$2917,$A697,'S5'!$T$5:$T$2917),""),"")</f>
        <v/>
      </c>
    </row>
    <row r="698" spans="1:28" s="144" customFormat="1" ht="13.5" x14ac:dyDescent="0.15">
      <c r="A698" s="416">
        <v>3744890</v>
      </c>
      <c r="B698" s="296" t="s">
        <v>351</v>
      </c>
      <c r="C698" s="296" t="s">
        <v>1801</v>
      </c>
      <c r="D698" s="296" t="s">
        <v>353</v>
      </c>
      <c r="E698" s="296" t="s">
        <v>116</v>
      </c>
      <c r="F698" s="416">
        <v>3</v>
      </c>
      <c r="G698" s="296" t="s">
        <v>19</v>
      </c>
      <c r="H698" s="296" t="s">
        <v>28</v>
      </c>
      <c r="I698" s="296" t="s">
        <v>205</v>
      </c>
      <c r="J698" s="296" t="s">
        <v>928</v>
      </c>
      <c r="K698" s="296" t="s">
        <v>233</v>
      </c>
      <c r="L698" s="296">
        <v>50</v>
      </c>
      <c r="M698" s="296" t="s">
        <v>234</v>
      </c>
      <c r="N698" s="296">
        <v>1120</v>
      </c>
      <c r="O698" s="296">
        <v>1120</v>
      </c>
      <c r="P698" s="296">
        <v>4000</v>
      </c>
      <c r="Q698" s="416">
        <v>2</v>
      </c>
      <c r="R698" s="296">
        <v>2</v>
      </c>
      <c r="S698" s="296" t="s">
        <v>354</v>
      </c>
      <c r="T698" s="296" t="s">
        <v>2259</v>
      </c>
      <c r="U698" s="296" t="s">
        <v>2260</v>
      </c>
      <c r="V698" s="296" t="s">
        <v>355</v>
      </c>
      <c r="W698" s="417"/>
      <c r="X698" s="417"/>
      <c r="Y698" s="146"/>
      <c r="Z698" s="149" t="str">
        <f t="shared" ref="Z698:Z737" ca="1" si="11">IF(SUM(AA698:AB698)=0,"",SUM(AA698:AB698))</f>
        <v/>
      </c>
      <c r="AA698" s="149" t="str">
        <f ca="1">IFERROR(IF(OR(OFFSET('S4'!#REF!,MATCH($A698,'S4'!$D$5:$D$3387,0)-1,6)="巻返し",OFFSET('S4'!#REF!,MATCH($A698,'S4'!$D$5:$D$3387,0)-1,6)="スリット"),SUMIF('S4'!$D$5:$D$3387,$A698,'S4'!$U$5:$U$3387),""),"")</f>
        <v/>
      </c>
      <c r="AB698" s="149" t="str">
        <f ca="1">IFERROR(IF(OR(OFFSET('S5'!#REF!,MATCH($A698,'S5'!$D$5:$D$2917,0)-1,6)="巻返し",OFFSET('S5'!#REF!,MATCH($A698,'S5'!$D$5:$D$2917,0)-1,6)="スリット"),SUMIF('S5'!$D$5:$D$2917,$A698,'S5'!$T$5:$T$2917),""),"")</f>
        <v/>
      </c>
    </row>
    <row r="699" spans="1:28" s="144" customFormat="1" ht="13.5" x14ac:dyDescent="0.15">
      <c r="A699" s="416">
        <v>3744891</v>
      </c>
      <c r="B699" s="296" t="s">
        <v>351</v>
      </c>
      <c r="C699" s="296" t="s">
        <v>1801</v>
      </c>
      <c r="D699" s="296" t="s">
        <v>353</v>
      </c>
      <c r="E699" s="296" t="s">
        <v>116</v>
      </c>
      <c r="F699" s="416">
        <v>3</v>
      </c>
      <c r="G699" s="296" t="s">
        <v>19</v>
      </c>
      <c r="H699" s="296" t="s">
        <v>28</v>
      </c>
      <c r="I699" s="296" t="s">
        <v>205</v>
      </c>
      <c r="J699" s="296" t="s">
        <v>928</v>
      </c>
      <c r="K699" s="296" t="s">
        <v>237</v>
      </c>
      <c r="L699" s="296">
        <v>50</v>
      </c>
      <c r="M699" s="296" t="s">
        <v>238</v>
      </c>
      <c r="N699" s="296">
        <v>1120</v>
      </c>
      <c r="O699" s="296">
        <v>1120</v>
      </c>
      <c r="P699" s="296">
        <v>4000</v>
      </c>
      <c r="Q699" s="416">
        <v>2</v>
      </c>
      <c r="R699" s="296">
        <v>8</v>
      </c>
      <c r="S699" s="296" t="s">
        <v>354</v>
      </c>
      <c r="T699" s="296" t="s">
        <v>2259</v>
      </c>
      <c r="U699" s="296" t="s">
        <v>2260</v>
      </c>
      <c r="V699" s="296" t="s">
        <v>355</v>
      </c>
      <c r="W699" s="417"/>
      <c r="X699" s="417"/>
      <c r="Y699" s="146"/>
      <c r="Z699" s="149" t="str">
        <f t="shared" ca="1" si="11"/>
        <v/>
      </c>
      <c r="AA699" s="149" t="str">
        <f ca="1">IFERROR(IF(OR(OFFSET('S4'!#REF!,MATCH($A699,'S4'!$D$5:$D$3387,0)-1,6)="巻返し",OFFSET('S4'!#REF!,MATCH($A699,'S4'!$D$5:$D$3387,0)-1,6)="スリット"),SUMIF('S4'!$D$5:$D$3387,$A699,'S4'!$U$5:$U$3387),""),"")</f>
        <v/>
      </c>
      <c r="AB699" s="149" t="str">
        <f ca="1">IFERROR(IF(OR(OFFSET('S5'!#REF!,MATCH($A699,'S5'!$D$5:$D$2917,0)-1,6)="巻返し",OFFSET('S5'!#REF!,MATCH($A699,'S5'!$D$5:$D$2917,0)-1,6)="スリット"),SUMIF('S5'!$D$5:$D$2917,$A699,'S5'!$T$5:$T$2917),""),"")</f>
        <v/>
      </c>
    </row>
    <row r="700" spans="1:28" s="144" customFormat="1" ht="13.5" x14ac:dyDescent="0.15">
      <c r="A700" s="416">
        <v>3744892</v>
      </c>
      <c r="B700" s="296" t="s">
        <v>351</v>
      </c>
      <c r="C700" s="296" t="s">
        <v>1801</v>
      </c>
      <c r="D700" s="296" t="s">
        <v>353</v>
      </c>
      <c r="E700" s="296" t="s">
        <v>171</v>
      </c>
      <c r="F700" s="416">
        <v>3</v>
      </c>
      <c r="G700" s="296" t="s">
        <v>19</v>
      </c>
      <c r="H700" s="296" t="s">
        <v>20</v>
      </c>
      <c r="I700" s="296" t="s">
        <v>165</v>
      </c>
      <c r="J700" s="296" t="s">
        <v>928</v>
      </c>
      <c r="K700" s="296" t="s">
        <v>180</v>
      </c>
      <c r="L700" s="296">
        <v>50</v>
      </c>
      <c r="M700" s="296" t="s">
        <v>181</v>
      </c>
      <c r="N700" s="296">
        <v>1200</v>
      </c>
      <c r="O700" s="296">
        <v>1190</v>
      </c>
      <c r="P700" s="296">
        <v>6000</v>
      </c>
      <c r="Q700" s="416">
        <v>2</v>
      </c>
      <c r="R700" s="296">
        <v>8</v>
      </c>
      <c r="S700" s="296" t="s">
        <v>354</v>
      </c>
      <c r="T700" s="296" t="s">
        <v>2259</v>
      </c>
      <c r="U700" s="296" t="s">
        <v>2261</v>
      </c>
      <c r="V700" s="296" t="s">
        <v>355</v>
      </c>
      <c r="W700" s="417"/>
      <c r="X700" s="417"/>
      <c r="Y700" s="146"/>
      <c r="Z700" s="149" t="str">
        <f t="shared" ca="1" si="11"/>
        <v/>
      </c>
      <c r="AA700" s="149" t="str">
        <f ca="1">IFERROR(IF(OR(OFFSET('S4'!#REF!,MATCH($A700,'S4'!$D$5:$D$3387,0)-1,6)="巻返し",OFFSET('S4'!#REF!,MATCH($A700,'S4'!$D$5:$D$3387,0)-1,6)="スリット"),SUMIF('S4'!$D$5:$D$3387,$A700,'S4'!$U$5:$U$3387),""),"")</f>
        <v/>
      </c>
      <c r="AB700" s="149" t="str">
        <f ca="1">IFERROR(IF(OR(OFFSET('S5'!#REF!,MATCH($A700,'S5'!$D$5:$D$2917,0)-1,6)="巻返し",OFFSET('S5'!#REF!,MATCH($A700,'S5'!$D$5:$D$2917,0)-1,6)="スリット"),SUMIF('S5'!$D$5:$D$2917,$A700,'S5'!$T$5:$T$2917),""),"")</f>
        <v/>
      </c>
    </row>
    <row r="701" spans="1:28" s="144" customFormat="1" ht="13.5" x14ac:dyDescent="0.15">
      <c r="A701" s="416">
        <v>3744900</v>
      </c>
      <c r="B701" s="296" t="s">
        <v>351</v>
      </c>
      <c r="C701" s="296" t="s">
        <v>1801</v>
      </c>
      <c r="D701" s="296" t="s">
        <v>353</v>
      </c>
      <c r="E701" s="296" t="s">
        <v>148</v>
      </c>
      <c r="F701" s="296" t="s">
        <v>1818</v>
      </c>
      <c r="G701" s="296" t="s">
        <v>19</v>
      </c>
      <c r="H701" s="296" t="s">
        <v>20</v>
      </c>
      <c r="I701" s="296" t="s">
        <v>165</v>
      </c>
      <c r="J701" s="296" t="s">
        <v>928</v>
      </c>
      <c r="K701" s="296" t="s">
        <v>169</v>
      </c>
      <c r="L701" s="296">
        <v>50</v>
      </c>
      <c r="M701" s="296" t="s">
        <v>170</v>
      </c>
      <c r="N701" s="296">
        <v>1120</v>
      </c>
      <c r="O701" s="296">
        <v>1120</v>
      </c>
      <c r="P701" s="296">
        <v>6000</v>
      </c>
      <c r="Q701" s="416">
        <v>2</v>
      </c>
      <c r="R701" s="296">
        <v>2</v>
      </c>
      <c r="S701" s="296" t="s">
        <v>354</v>
      </c>
      <c r="T701" s="296" t="s">
        <v>2259</v>
      </c>
      <c r="U701" s="296" t="s">
        <v>2260</v>
      </c>
      <c r="V701" s="296" t="s">
        <v>355</v>
      </c>
      <c r="W701" s="417"/>
      <c r="X701" s="417"/>
      <c r="Y701" s="146"/>
      <c r="Z701" s="149" t="str">
        <f t="shared" ca="1" si="11"/>
        <v/>
      </c>
      <c r="AA701" s="149" t="str">
        <f ca="1">IFERROR(IF(OR(OFFSET('S4'!#REF!,MATCH($A701,'S4'!$D$5:$D$3387,0)-1,6)="巻返し",OFFSET('S4'!#REF!,MATCH($A701,'S4'!$D$5:$D$3387,0)-1,6)="スリット"),SUMIF('S4'!$D$5:$D$3387,$A701,'S4'!$U$5:$U$3387),""),"")</f>
        <v/>
      </c>
      <c r="AB701" s="149" t="str">
        <f ca="1">IFERROR(IF(OR(OFFSET('S5'!#REF!,MATCH($A701,'S5'!$D$5:$D$2917,0)-1,6)="巻返し",OFFSET('S5'!#REF!,MATCH($A701,'S5'!$D$5:$D$2917,0)-1,6)="スリット"),SUMIF('S5'!$D$5:$D$2917,$A701,'S5'!$T$5:$T$2917),""),"")</f>
        <v/>
      </c>
    </row>
    <row r="702" spans="1:28" s="144" customFormat="1" ht="13.5" x14ac:dyDescent="0.15">
      <c r="A702" s="296">
        <v>3745509</v>
      </c>
      <c r="B702" s="296" t="s">
        <v>351</v>
      </c>
      <c r="C702" s="296" t="s">
        <v>1801</v>
      </c>
      <c r="D702" s="296" t="s">
        <v>353</v>
      </c>
      <c r="E702" s="296" t="s">
        <v>116</v>
      </c>
      <c r="F702" s="296" t="s">
        <v>158</v>
      </c>
      <c r="G702" s="296" t="s">
        <v>19</v>
      </c>
      <c r="H702" s="296" t="s">
        <v>20</v>
      </c>
      <c r="I702" s="296" t="s">
        <v>165</v>
      </c>
      <c r="J702" s="296" t="s">
        <v>928</v>
      </c>
      <c r="K702" s="296" t="s">
        <v>192</v>
      </c>
      <c r="L702" s="296">
        <v>38</v>
      </c>
      <c r="M702" s="296" t="s">
        <v>193</v>
      </c>
      <c r="N702" s="296">
        <v>1005</v>
      </c>
      <c r="O702" s="296">
        <v>1000</v>
      </c>
      <c r="P702" s="296">
        <v>2000</v>
      </c>
      <c r="Q702" s="296">
        <v>2</v>
      </c>
      <c r="R702" s="296">
        <v>1</v>
      </c>
      <c r="S702" s="296" t="s">
        <v>354</v>
      </c>
      <c r="T702" s="296" t="s">
        <v>2266</v>
      </c>
      <c r="U702" s="296" t="s">
        <v>2267</v>
      </c>
      <c r="V702" s="296" t="s">
        <v>355</v>
      </c>
      <c r="W702" s="296" t="s">
        <v>928</v>
      </c>
      <c r="X702" s="296" t="s">
        <v>928</v>
      </c>
      <c r="Y702" s="146"/>
      <c r="Z702" s="149" t="str">
        <f t="shared" ca="1" si="11"/>
        <v/>
      </c>
      <c r="AA702" s="149" t="str">
        <f ca="1">IFERROR(IF(OR(OFFSET('S4'!#REF!,MATCH($A702,'S4'!$D$5:$D$3387,0)-1,6)="巻返し",OFFSET('S4'!#REF!,MATCH($A702,'S4'!$D$5:$D$3387,0)-1,6)="スリット"),SUMIF('S4'!$D$5:$D$3387,$A702,'S4'!$U$5:$U$3387),""),"")</f>
        <v/>
      </c>
      <c r="AB702" s="149" t="str">
        <f ca="1">IFERROR(IF(OR(OFFSET('S5'!#REF!,MATCH($A702,'S5'!$D$5:$D$2917,0)-1,6)="巻返し",OFFSET('S5'!#REF!,MATCH($A702,'S5'!$D$5:$D$2917,0)-1,6)="スリット"),SUMIF('S5'!$D$5:$D$2917,$A702,'S5'!$T$5:$T$2917),""),"")</f>
        <v/>
      </c>
    </row>
    <row r="703" spans="1:28" s="144" customFormat="1" ht="13.5" x14ac:dyDescent="0.15">
      <c r="A703" s="296">
        <v>3745645</v>
      </c>
      <c r="B703" s="296" t="s">
        <v>423</v>
      </c>
      <c r="C703" s="296" t="s">
        <v>1801</v>
      </c>
      <c r="D703" s="296" t="s">
        <v>353</v>
      </c>
      <c r="E703" s="296" t="s">
        <v>116</v>
      </c>
      <c r="F703" s="296">
        <v>3</v>
      </c>
      <c r="G703" s="296" t="s">
        <v>265</v>
      </c>
      <c r="H703" s="296" t="s">
        <v>20</v>
      </c>
      <c r="I703" s="296" t="s">
        <v>165</v>
      </c>
      <c r="J703" s="296" t="s">
        <v>928</v>
      </c>
      <c r="K703" s="296" t="s">
        <v>176</v>
      </c>
      <c r="L703" s="296">
        <v>50</v>
      </c>
      <c r="M703" s="296" t="s">
        <v>177</v>
      </c>
      <c r="N703" s="296">
        <v>1005</v>
      </c>
      <c r="O703" s="296">
        <v>1000</v>
      </c>
      <c r="P703" s="296">
        <v>4000</v>
      </c>
      <c r="Q703" s="296">
        <v>2</v>
      </c>
      <c r="R703" s="296">
        <v>3</v>
      </c>
      <c r="S703" s="296" t="s">
        <v>354</v>
      </c>
      <c r="T703" s="296" t="s">
        <v>2268</v>
      </c>
      <c r="U703" s="296" t="s">
        <v>2269</v>
      </c>
      <c r="V703" s="296" t="s">
        <v>355</v>
      </c>
      <c r="W703" s="296" t="s">
        <v>928</v>
      </c>
      <c r="X703" s="296" t="s">
        <v>928</v>
      </c>
      <c r="Y703" s="146"/>
      <c r="Z703" s="149" t="str">
        <f t="shared" ca="1" si="11"/>
        <v/>
      </c>
      <c r="AA703" s="149" t="str">
        <f ca="1">IFERROR(IF(OR(OFFSET('S4'!#REF!,MATCH($A703,'S4'!$D$5:$D$3387,0)-1,6)="巻返し",OFFSET('S4'!#REF!,MATCH($A703,'S4'!$D$5:$D$3387,0)-1,6)="スリット"),SUMIF('S4'!$D$5:$D$3387,$A703,'S4'!$U$5:$U$3387),""),"")</f>
        <v/>
      </c>
      <c r="AB703" s="149" t="str">
        <f ca="1">IFERROR(IF(OR(OFFSET('S5'!#REF!,MATCH($A703,'S5'!$D$5:$D$2917,0)-1,6)="巻返し",OFFSET('S5'!#REF!,MATCH($A703,'S5'!$D$5:$D$2917,0)-1,6)="スリット"),SUMIF('S5'!$D$5:$D$2917,$A703,'S5'!$T$5:$T$2917),""),"")</f>
        <v/>
      </c>
    </row>
    <row r="704" spans="1:28" s="144" customFormat="1" ht="13.5" x14ac:dyDescent="0.15">
      <c r="A704" s="296">
        <v>3745646</v>
      </c>
      <c r="B704" s="296" t="s">
        <v>351</v>
      </c>
      <c r="C704" s="296" t="s">
        <v>1801</v>
      </c>
      <c r="D704" s="296" t="s">
        <v>353</v>
      </c>
      <c r="E704" s="296" t="s">
        <v>116</v>
      </c>
      <c r="F704" s="296">
        <v>3</v>
      </c>
      <c r="G704" s="296" t="s">
        <v>19</v>
      </c>
      <c r="H704" s="296" t="s">
        <v>28</v>
      </c>
      <c r="I704" s="296" t="s">
        <v>205</v>
      </c>
      <c r="J704" s="296" t="s">
        <v>928</v>
      </c>
      <c r="K704" s="296" t="s">
        <v>237</v>
      </c>
      <c r="L704" s="296">
        <v>25</v>
      </c>
      <c r="M704" s="296" t="s">
        <v>238</v>
      </c>
      <c r="N704" s="296">
        <v>1120</v>
      </c>
      <c r="O704" s="296">
        <v>1120</v>
      </c>
      <c r="P704" s="296">
        <v>8000</v>
      </c>
      <c r="Q704" s="296">
        <v>2</v>
      </c>
      <c r="R704" s="296">
        <v>2</v>
      </c>
      <c r="S704" s="296" t="s">
        <v>354</v>
      </c>
      <c r="T704" s="296" t="s">
        <v>2268</v>
      </c>
      <c r="U704" s="296" t="s">
        <v>2261</v>
      </c>
      <c r="V704" s="296" t="s">
        <v>355</v>
      </c>
      <c r="W704" s="296" t="s">
        <v>928</v>
      </c>
      <c r="X704" s="296" t="s">
        <v>928</v>
      </c>
      <c r="Y704" s="146"/>
      <c r="Z704" s="149" t="str">
        <f t="shared" ca="1" si="11"/>
        <v/>
      </c>
      <c r="AA704" s="149" t="str">
        <f ca="1">IFERROR(IF(OR(OFFSET('S4'!#REF!,MATCH($A704,'S4'!$D$5:$D$3387,0)-1,6)="巻返し",OFFSET('S4'!#REF!,MATCH($A704,'S4'!$D$5:$D$3387,0)-1,6)="スリット"),SUMIF('S4'!$D$5:$D$3387,$A704,'S4'!$U$5:$U$3387),""),"")</f>
        <v/>
      </c>
      <c r="AB704" s="149" t="str">
        <f ca="1">IFERROR(IF(OR(OFFSET('S5'!#REF!,MATCH($A704,'S5'!$D$5:$D$2917,0)-1,6)="巻返し",OFFSET('S5'!#REF!,MATCH($A704,'S5'!$D$5:$D$2917,0)-1,6)="スリット"),SUMIF('S5'!$D$5:$D$2917,$A704,'S5'!$T$5:$T$2917),""),"")</f>
        <v/>
      </c>
    </row>
    <row r="705" spans="1:28" s="144" customFormat="1" ht="13.5" x14ac:dyDescent="0.15">
      <c r="A705" s="296">
        <v>3745647</v>
      </c>
      <c r="B705" s="296" t="s">
        <v>351</v>
      </c>
      <c r="C705" s="296" t="s">
        <v>1801</v>
      </c>
      <c r="D705" s="296" t="s">
        <v>353</v>
      </c>
      <c r="E705" s="296" t="s">
        <v>116</v>
      </c>
      <c r="F705" s="296">
        <v>3</v>
      </c>
      <c r="G705" s="296" t="s">
        <v>19</v>
      </c>
      <c r="H705" s="296" t="s">
        <v>28</v>
      </c>
      <c r="I705" s="296" t="s">
        <v>205</v>
      </c>
      <c r="J705" s="296" t="s">
        <v>928</v>
      </c>
      <c r="K705" s="296" t="s">
        <v>224</v>
      </c>
      <c r="L705" s="296">
        <v>25</v>
      </c>
      <c r="M705" s="296" t="s">
        <v>225</v>
      </c>
      <c r="N705" s="296">
        <v>1120</v>
      </c>
      <c r="O705" s="296">
        <v>1120</v>
      </c>
      <c r="P705" s="296">
        <v>4000</v>
      </c>
      <c r="Q705" s="296">
        <v>2</v>
      </c>
      <c r="R705" s="296">
        <v>2</v>
      </c>
      <c r="S705" s="296" t="s">
        <v>354</v>
      </c>
      <c r="T705" s="296" t="s">
        <v>2268</v>
      </c>
      <c r="U705" s="296" t="s">
        <v>2261</v>
      </c>
      <c r="V705" s="296" t="s">
        <v>355</v>
      </c>
      <c r="W705" s="296" t="s">
        <v>928</v>
      </c>
      <c r="X705" s="296" t="s">
        <v>928</v>
      </c>
      <c r="Y705" s="146"/>
      <c r="Z705" s="149" t="str">
        <f t="shared" ca="1" si="11"/>
        <v/>
      </c>
      <c r="AA705" s="149" t="str">
        <f ca="1">IFERROR(IF(OR(OFFSET('S4'!#REF!,MATCH($A705,'S4'!$D$5:$D$3387,0)-1,6)="巻返し",OFFSET('S4'!#REF!,MATCH($A705,'S4'!$D$5:$D$3387,0)-1,6)="スリット"),SUMIF('S4'!$D$5:$D$3387,$A705,'S4'!$U$5:$U$3387),""),"")</f>
        <v/>
      </c>
      <c r="AB705" s="149" t="str">
        <f ca="1">IFERROR(IF(OR(OFFSET('S5'!#REF!,MATCH($A705,'S5'!$D$5:$D$2917,0)-1,6)="巻返し",OFFSET('S5'!#REF!,MATCH($A705,'S5'!$D$5:$D$2917,0)-1,6)="スリット"),SUMIF('S5'!$D$5:$D$2917,$A705,'S5'!$T$5:$T$2917),""),"")</f>
        <v/>
      </c>
    </row>
    <row r="706" spans="1:28" s="144" customFormat="1" ht="13.5" x14ac:dyDescent="0.15">
      <c r="A706" s="296">
        <v>3745648</v>
      </c>
      <c r="B706" s="296" t="s">
        <v>351</v>
      </c>
      <c r="C706" s="296" t="s">
        <v>1801</v>
      </c>
      <c r="D706" s="296" t="s">
        <v>353</v>
      </c>
      <c r="E706" s="296" t="s">
        <v>116</v>
      </c>
      <c r="F706" s="296">
        <v>3</v>
      </c>
      <c r="G706" s="296" t="s">
        <v>19</v>
      </c>
      <c r="H706" s="296" t="s">
        <v>28</v>
      </c>
      <c r="I706" s="296" t="s">
        <v>205</v>
      </c>
      <c r="J706" s="296" t="s">
        <v>928</v>
      </c>
      <c r="K706" s="296" t="s">
        <v>233</v>
      </c>
      <c r="L706" s="296">
        <v>50</v>
      </c>
      <c r="M706" s="296" t="s">
        <v>234</v>
      </c>
      <c r="N706" s="296">
        <v>1120</v>
      </c>
      <c r="O706" s="296">
        <v>1120</v>
      </c>
      <c r="P706" s="296">
        <v>4000</v>
      </c>
      <c r="Q706" s="296">
        <v>2</v>
      </c>
      <c r="R706" s="296">
        <v>4</v>
      </c>
      <c r="S706" s="296" t="s">
        <v>354</v>
      </c>
      <c r="T706" s="296" t="s">
        <v>2268</v>
      </c>
      <c r="U706" s="296" t="s">
        <v>2261</v>
      </c>
      <c r="V706" s="296" t="s">
        <v>355</v>
      </c>
      <c r="W706" s="296" t="s">
        <v>928</v>
      </c>
      <c r="X706" s="296" t="s">
        <v>928</v>
      </c>
      <c r="Y706" s="146"/>
      <c r="Z706" s="149" t="str">
        <f t="shared" ca="1" si="11"/>
        <v/>
      </c>
      <c r="AA706" s="149" t="str">
        <f ca="1">IFERROR(IF(OR(OFFSET('S4'!#REF!,MATCH($A706,'S4'!$D$5:$D$3387,0)-1,6)="巻返し",OFFSET('S4'!#REF!,MATCH($A706,'S4'!$D$5:$D$3387,0)-1,6)="スリット"),SUMIF('S4'!$D$5:$D$3387,$A706,'S4'!$U$5:$U$3387),""),"")</f>
        <v/>
      </c>
      <c r="AB706" s="149" t="str">
        <f ca="1">IFERROR(IF(OR(OFFSET('S5'!#REF!,MATCH($A706,'S5'!$D$5:$D$2917,0)-1,6)="巻返し",OFFSET('S5'!#REF!,MATCH($A706,'S5'!$D$5:$D$2917,0)-1,6)="スリット"),SUMIF('S5'!$D$5:$D$2917,$A706,'S5'!$T$5:$T$2917),""),"")</f>
        <v/>
      </c>
    </row>
    <row r="707" spans="1:28" s="144" customFormat="1" ht="13.5" x14ac:dyDescent="0.15">
      <c r="A707" s="296">
        <v>3745649</v>
      </c>
      <c r="B707" s="296" t="s">
        <v>351</v>
      </c>
      <c r="C707" s="296" t="s">
        <v>1801</v>
      </c>
      <c r="D707" s="296" t="s">
        <v>353</v>
      </c>
      <c r="E707" s="296" t="s">
        <v>116</v>
      </c>
      <c r="F707" s="296">
        <v>3</v>
      </c>
      <c r="G707" s="296" t="s">
        <v>19</v>
      </c>
      <c r="H707" s="296" t="s">
        <v>28</v>
      </c>
      <c r="I707" s="296" t="s">
        <v>205</v>
      </c>
      <c r="J707" s="296" t="s">
        <v>928</v>
      </c>
      <c r="K707" s="296" t="s">
        <v>233</v>
      </c>
      <c r="L707" s="296">
        <v>50</v>
      </c>
      <c r="M707" s="296" t="s">
        <v>234</v>
      </c>
      <c r="N707" s="296">
        <v>1120</v>
      </c>
      <c r="O707" s="296">
        <v>1120</v>
      </c>
      <c r="P707" s="296">
        <v>4000</v>
      </c>
      <c r="Q707" s="296">
        <v>2</v>
      </c>
      <c r="R707" s="296">
        <v>10</v>
      </c>
      <c r="S707" s="296" t="s">
        <v>354</v>
      </c>
      <c r="T707" s="296" t="s">
        <v>2268</v>
      </c>
      <c r="U707" s="296" t="s">
        <v>2261</v>
      </c>
      <c r="V707" s="296" t="s">
        <v>355</v>
      </c>
      <c r="W707" s="296" t="s">
        <v>928</v>
      </c>
      <c r="X707" s="296" t="s">
        <v>928</v>
      </c>
      <c r="Y707" s="146"/>
      <c r="Z707" s="149" t="str">
        <f t="shared" ca="1" si="11"/>
        <v/>
      </c>
      <c r="AA707" s="149" t="str">
        <f ca="1">IFERROR(IF(OR(OFFSET('S4'!#REF!,MATCH($A707,'S4'!$D$5:$D$3387,0)-1,6)="巻返し",OFFSET('S4'!#REF!,MATCH($A707,'S4'!$D$5:$D$3387,0)-1,6)="スリット"),SUMIF('S4'!$D$5:$D$3387,$A707,'S4'!$U$5:$U$3387),""),"")</f>
        <v/>
      </c>
      <c r="AB707" s="149" t="str">
        <f ca="1">IFERROR(IF(OR(OFFSET('S5'!#REF!,MATCH($A707,'S5'!$D$5:$D$2917,0)-1,6)="巻返し",OFFSET('S5'!#REF!,MATCH($A707,'S5'!$D$5:$D$2917,0)-1,6)="スリット"),SUMIF('S5'!$D$5:$D$2917,$A707,'S5'!$T$5:$T$2917),""),"")</f>
        <v/>
      </c>
    </row>
    <row r="708" spans="1:28" s="144" customFormat="1" ht="13.5" x14ac:dyDescent="0.15">
      <c r="A708" s="296">
        <v>3745895</v>
      </c>
      <c r="B708" s="296" t="s">
        <v>423</v>
      </c>
      <c r="C708" s="296" t="s">
        <v>1801</v>
      </c>
      <c r="D708" s="296" t="s">
        <v>353</v>
      </c>
      <c r="E708" s="296" t="s">
        <v>116</v>
      </c>
      <c r="F708" s="296">
        <v>3</v>
      </c>
      <c r="G708" s="296" t="s">
        <v>265</v>
      </c>
      <c r="H708" s="296" t="s">
        <v>20</v>
      </c>
      <c r="I708" s="296" t="s">
        <v>165</v>
      </c>
      <c r="J708" s="296" t="s">
        <v>928</v>
      </c>
      <c r="K708" s="296" t="s">
        <v>176</v>
      </c>
      <c r="L708" s="296">
        <v>50</v>
      </c>
      <c r="M708" s="296" t="s">
        <v>177</v>
      </c>
      <c r="N708" s="296">
        <v>1005</v>
      </c>
      <c r="O708" s="296">
        <v>1000</v>
      </c>
      <c r="P708" s="296">
        <v>4100</v>
      </c>
      <c r="Q708" s="296">
        <v>2</v>
      </c>
      <c r="R708" s="296">
        <v>3</v>
      </c>
      <c r="S708" s="296" t="s">
        <v>354</v>
      </c>
      <c r="T708" s="296" t="s">
        <v>2268</v>
      </c>
      <c r="U708" s="296" t="s">
        <v>2269</v>
      </c>
      <c r="V708" s="296" t="s">
        <v>355</v>
      </c>
      <c r="W708" s="296" t="s">
        <v>928</v>
      </c>
      <c r="X708" s="296" t="s">
        <v>928</v>
      </c>
      <c r="Y708" s="146"/>
      <c r="Z708" s="149" t="str">
        <f t="shared" ca="1" si="11"/>
        <v/>
      </c>
      <c r="AA708" s="149" t="str">
        <f ca="1">IFERROR(IF(OR(OFFSET('S4'!#REF!,MATCH($A708,'S4'!$D$5:$D$3387,0)-1,6)="巻返し",OFFSET('S4'!#REF!,MATCH($A708,'S4'!$D$5:$D$3387,0)-1,6)="スリット"),SUMIF('S4'!$D$5:$D$3387,$A708,'S4'!$U$5:$U$3387),""),"")</f>
        <v/>
      </c>
      <c r="AB708" s="149" t="str">
        <f ca="1">IFERROR(IF(OR(OFFSET('S5'!#REF!,MATCH($A708,'S5'!$D$5:$D$2917,0)-1,6)="巻返し",OFFSET('S5'!#REF!,MATCH($A708,'S5'!$D$5:$D$2917,0)-1,6)="スリット"),SUMIF('S5'!$D$5:$D$2917,$A708,'S5'!$T$5:$T$2917),""),"")</f>
        <v/>
      </c>
    </row>
    <row r="709" spans="1:28" s="144" customFormat="1" ht="13.5" x14ac:dyDescent="0.15">
      <c r="A709" s="296">
        <v>3746133</v>
      </c>
      <c r="B709" s="296" t="s">
        <v>351</v>
      </c>
      <c r="C709" s="296" t="s">
        <v>1801</v>
      </c>
      <c r="D709" s="296" t="s">
        <v>353</v>
      </c>
      <c r="E709" s="296" t="s">
        <v>148</v>
      </c>
      <c r="F709" s="296" t="s">
        <v>1818</v>
      </c>
      <c r="G709" s="296" t="s">
        <v>19</v>
      </c>
      <c r="H709" s="296" t="s">
        <v>20</v>
      </c>
      <c r="I709" s="296" t="s">
        <v>165</v>
      </c>
      <c r="J709" s="296" t="s">
        <v>928</v>
      </c>
      <c r="K709" s="296" t="s">
        <v>169</v>
      </c>
      <c r="L709" s="296">
        <v>50</v>
      </c>
      <c r="M709" s="296" t="s">
        <v>170</v>
      </c>
      <c r="N709" s="296">
        <v>1120</v>
      </c>
      <c r="O709" s="296">
        <v>1120</v>
      </c>
      <c r="P709" s="296">
        <v>6000</v>
      </c>
      <c r="Q709" s="296">
        <v>2</v>
      </c>
      <c r="R709" s="296">
        <v>2</v>
      </c>
      <c r="S709" s="296" t="s">
        <v>354</v>
      </c>
      <c r="T709" s="296" t="s">
        <v>2268</v>
      </c>
      <c r="U709" s="296" t="s">
        <v>2261</v>
      </c>
      <c r="V709" s="296" t="s">
        <v>355</v>
      </c>
      <c r="W709" s="296" t="s">
        <v>928</v>
      </c>
      <c r="X709" s="417"/>
      <c r="Y709" s="146"/>
      <c r="Z709" s="149" t="str">
        <f t="shared" ca="1" si="11"/>
        <v/>
      </c>
      <c r="AA709" s="149" t="str">
        <f ca="1">IFERROR(IF(OR(OFFSET('S4'!#REF!,MATCH($A709,'S4'!$D$5:$D$3387,0)-1,6)="巻返し",OFFSET('S4'!#REF!,MATCH($A709,'S4'!$D$5:$D$3387,0)-1,6)="スリット"),SUMIF('S4'!$D$5:$D$3387,$A709,'S4'!$U$5:$U$3387),""),"")</f>
        <v/>
      </c>
      <c r="AB709" s="149" t="str">
        <f ca="1">IFERROR(IF(OR(OFFSET('S5'!#REF!,MATCH($A709,'S5'!$D$5:$D$2917,0)-1,6)="巻返し",OFFSET('S5'!#REF!,MATCH($A709,'S5'!$D$5:$D$2917,0)-1,6)="スリット"),SUMIF('S5'!$D$5:$D$2917,$A709,'S5'!$T$5:$T$2917),""),"")</f>
        <v/>
      </c>
    </row>
    <row r="710" spans="1:28" s="144" customFormat="1" ht="13.5" x14ac:dyDescent="0.15">
      <c r="A710" s="296">
        <v>3748890</v>
      </c>
      <c r="B710" s="296" t="s">
        <v>423</v>
      </c>
      <c r="C710" s="296" t="s">
        <v>1801</v>
      </c>
      <c r="D710" s="296" t="s">
        <v>353</v>
      </c>
      <c r="E710" s="296" t="s">
        <v>116</v>
      </c>
      <c r="F710" s="296">
        <v>3</v>
      </c>
      <c r="G710" s="296" t="s">
        <v>265</v>
      </c>
      <c r="H710" s="296" t="s">
        <v>20</v>
      </c>
      <c r="I710" s="296" t="s">
        <v>165</v>
      </c>
      <c r="J710" s="296" t="s">
        <v>928</v>
      </c>
      <c r="K710" s="296" t="s">
        <v>319</v>
      </c>
      <c r="L710" s="296">
        <v>25</v>
      </c>
      <c r="M710" s="296" t="s">
        <v>320</v>
      </c>
      <c r="N710" s="296">
        <v>1000</v>
      </c>
      <c r="O710" s="296">
        <v>1000</v>
      </c>
      <c r="P710" s="296">
        <v>2000</v>
      </c>
      <c r="Q710" s="296">
        <v>2</v>
      </c>
      <c r="R710" s="296">
        <v>2</v>
      </c>
      <c r="S710" s="296" t="s">
        <v>354</v>
      </c>
      <c r="T710" s="296" t="s">
        <v>2332</v>
      </c>
      <c r="U710" s="296" t="s">
        <v>2261</v>
      </c>
      <c r="V710" s="296" t="s">
        <v>355</v>
      </c>
      <c r="W710" s="296" t="s">
        <v>928</v>
      </c>
      <c r="X710" s="296" t="s">
        <v>928</v>
      </c>
      <c r="Y710" s="146"/>
      <c r="Z710" s="149" t="str">
        <f t="shared" ca="1" si="11"/>
        <v/>
      </c>
      <c r="AA710" s="149" t="str">
        <f ca="1">IFERROR(IF(OR(OFFSET('S4'!#REF!,MATCH($A710,'S4'!$D$5:$D$3387,0)-1,6)="巻返し",OFFSET('S4'!#REF!,MATCH($A710,'S4'!$D$5:$D$3387,0)-1,6)="スリット"),SUMIF('S4'!$D$5:$D$3387,$A710,'S4'!$U$5:$U$3387),""),"")</f>
        <v/>
      </c>
      <c r="AB710" s="149" t="str">
        <f ca="1">IFERROR(IF(OR(OFFSET('S5'!#REF!,MATCH($A710,'S5'!$D$5:$D$2917,0)-1,6)="巻返し",OFFSET('S5'!#REF!,MATCH($A710,'S5'!$D$5:$D$2917,0)-1,6)="スリット"),SUMIF('S5'!$D$5:$D$2917,$A710,'S5'!$T$5:$T$2917),""),"")</f>
        <v/>
      </c>
    </row>
    <row r="711" spans="1:28" s="144" customFormat="1" ht="13.5" x14ac:dyDescent="0.15">
      <c r="A711" s="296">
        <v>3749856</v>
      </c>
      <c r="B711" s="296" t="s">
        <v>351</v>
      </c>
      <c r="C711" s="296" t="s">
        <v>1801</v>
      </c>
      <c r="D711" s="296" t="s">
        <v>353</v>
      </c>
      <c r="E711" s="296" t="s">
        <v>171</v>
      </c>
      <c r="F711" s="296">
        <v>3</v>
      </c>
      <c r="G711" s="296" t="s">
        <v>19</v>
      </c>
      <c r="H711" s="296" t="s">
        <v>20</v>
      </c>
      <c r="I711" s="296" t="s">
        <v>165</v>
      </c>
      <c r="J711" s="296" t="s">
        <v>928</v>
      </c>
      <c r="K711" s="296" t="s">
        <v>180</v>
      </c>
      <c r="L711" s="296">
        <v>50</v>
      </c>
      <c r="M711" s="296" t="s">
        <v>181</v>
      </c>
      <c r="N711" s="296">
        <v>1200</v>
      </c>
      <c r="O711" s="296">
        <v>1190</v>
      </c>
      <c r="P711" s="296">
        <v>6000</v>
      </c>
      <c r="Q711" s="296">
        <v>2</v>
      </c>
      <c r="R711" s="296">
        <v>8</v>
      </c>
      <c r="S711" s="296" t="s">
        <v>354</v>
      </c>
      <c r="T711" s="296" t="s">
        <v>2355</v>
      </c>
      <c r="U711" s="296" t="s">
        <v>2261</v>
      </c>
      <c r="V711" s="296" t="s">
        <v>355</v>
      </c>
      <c r="W711" s="296" t="s">
        <v>928</v>
      </c>
      <c r="X711" s="296" t="s">
        <v>928</v>
      </c>
      <c r="Y711" s="146"/>
      <c r="Z711" s="149" t="str">
        <f t="shared" ca="1" si="11"/>
        <v/>
      </c>
      <c r="AA711" s="149" t="str">
        <f ca="1">IFERROR(IF(OR(OFFSET('S4'!#REF!,MATCH($A711,'S4'!$D$5:$D$3387,0)-1,6)="巻返し",OFFSET('S4'!#REF!,MATCH($A711,'S4'!$D$5:$D$3387,0)-1,6)="スリット"),SUMIF('S4'!$D$5:$D$3387,$A711,'S4'!$U$5:$U$3387),""),"")</f>
        <v/>
      </c>
      <c r="AB711" s="149" t="str">
        <f ca="1">IFERROR(IF(OR(OFFSET('S5'!#REF!,MATCH($A711,'S5'!$D$5:$D$2917,0)-1,6)="巻返し",OFFSET('S5'!#REF!,MATCH($A711,'S5'!$D$5:$D$2917,0)-1,6)="スリット"),SUMIF('S5'!$D$5:$D$2917,$A711,'S5'!$T$5:$T$2917),""),"")</f>
        <v/>
      </c>
    </row>
    <row r="712" spans="1:28" s="144" customFormat="1" ht="13.5" x14ac:dyDescent="0.15">
      <c r="A712" s="296">
        <v>3749857</v>
      </c>
      <c r="B712" s="296" t="s">
        <v>351</v>
      </c>
      <c r="C712" s="296" t="s">
        <v>1801</v>
      </c>
      <c r="D712" s="296" t="s">
        <v>353</v>
      </c>
      <c r="E712" s="296" t="s">
        <v>148</v>
      </c>
      <c r="F712" s="296" t="s">
        <v>1818</v>
      </c>
      <c r="G712" s="296" t="s">
        <v>19</v>
      </c>
      <c r="H712" s="296" t="s">
        <v>20</v>
      </c>
      <c r="I712" s="296" t="s">
        <v>165</v>
      </c>
      <c r="J712" s="296" t="s">
        <v>928</v>
      </c>
      <c r="K712" s="296" t="s">
        <v>169</v>
      </c>
      <c r="L712" s="296">
        <v>50</v>
      </c>
      <c r="M712" s="296" t="s">
        <v>170</v>
      </c>
      <c r="N712" s="296">
        <v>1120</v>
      </c>
      <c r="O712" s="296">
        <v>1120</v>
      </c>
      <c r="P712" s="296">
        <v>6000</v>
      </c>
      <c r="Q712" s="296">
        <v>2</v>
      </c>
      <c r="R712" s="296">
        <v>2</v>
      </c>
      <c r="S712" s="296" t="s">
        <v>354</v>
      </c>
      <c r="T712" s="296" t="s">
        <v>2355</v>
      </c>
      <c r="U712" s="296" t="s">
        <v>2261</v>
      </c>
      <c r="V712" s="296" t="s">
        <v>355</v>
      </c>
      <c r="W712" s="296" t="s">
        <v>928</v>
      </c>
      <c r="X712" s="296" t="s">
        <v>928</v>
      </c>
      <c r="Y712" s="146"/>
      <c r="Z712" s="149" t="str">
        <f t="shared" ca="1" si="11"/>
        <v/>
      </c>
      <c r="AA712" s="149" t="str">
        <f ca="1">IFERROR(IF(OR(OFFSET('S4'!#REF!,MATCH($A712,'S4'!$D$5:$D$3387,0)-1,6)="巻返し",OFFSET('S4'!#REF!,MATCH($A712,'S4'!$D$5:$D$3387,0)-1,6)="スリット"),SUMIF('S4'!$D$5:$D$3387,$A712,'S4'!$U$5:$U$3387),""),"")</f>
        <v/>
      </c>
      <c r="AB712" s="149" t="str">
        <f ca="1">IFERROR(IF(OR(OFFSET('S5'!#REF!,MATCH($A712,'S5'!$D$5:$D$2917,0)-1,6)="巻返し",OFFSET('S5'!#REF!,MATCH($A712,'S5'!$D$5:$D$2917,0)-1,6)="スリット"),SUMIF('S5'!$D$5:$D$2917,$A712,'S5'!$T$5:$T$2917),""),"")</f>
        <v/>
      </c>
    </row>
    <row r="713" spans="1:28" s="144" customFormat="1" ht="13.5" x14ac:dyDescent="0.15">
      <c r="A713" s="296">
        <v>3750056</v>
      </c>
      <c r="B713" s="296" t="s">
        <v>351</v>
      </c>
      <c r="C713" s="296" t="s">
        <v>1796</v>
      </c>
      <c r="D713" s="296" t="s">
        <v>353</v>
      </c>
      <c r="E713" s="296" t="s">
        <v>17</v>
      </c>
      <c r="F713" s="296">
        <v>3</v>
      </c>
      <c r="G713" s="296" t="s">
        <v>19</v>
      </c>
      <c r="H713" s="296" t="s">
        <v>20</v>
      </c>
      <c r="I713" s="296" t="s">
        <v>205</v>
      </c>
      <c r="J713" s="296" t="s">
        <v>928</v>
      </c>
      <c r="K713" s="296" t="s">
        <v>230</v>
      </c>
      <c r="L713" s="296">
        <v>25</v>
      </c>
      <c r="M713" s="296" t="s">
        <v>231</v>
      </c>
      <c r="N713" s="296">
        <v>1020</v>
      </c>
      <c r="O713" s="296">
        <v>1020</v>
      </c>
      <c r="P713" s="296">
        <v>2000</v>
      </c>
      <c r="Q713" s="296">
        <v>2</v>
      </c>
      <c r="R713" s="296">
        <v>6</v>
      </c>
      <c r="S713" s="296" t="s">
        <v>354</v>
      </c>
      <c r="T713" s="296" t="s">
        <v>2355</v>
      </c>
      <c r="U713" s="296" t="s">
        <v>2357</v>
      </c>
      <c r="V713" s="296" t="s">
        <v>355</v>
      </c>
      <c r="W713" s="296" t="s">
        <v>928</v>
      </c>
      <c r="X713" s="296" t="s">
        <v>928</v>
      </c>
      <c r="Y713" s="146"/>
      <c r="Z713" s="149" t="str">
        <f t="shared" ca="1" si="11"/>
        <v/>
      </c>
      <c r="AA713" s="149" t="str">
        <f ca="1">IFERROR(IF(OR(OFFSET('S4'!#REF!,MATCH($A713,'S4'!$D$5:$D$3387,0)-1,6)="巻返し",OFFSET('S4'!#REF!,MATCH($A713,'S4'!$D$5:$D$3387,0)-1,6)="スリット"),SUMIF('S4'!$D$5:$D$3387,$A713,'S4'!$U$5:$U$3387),""),"")</f>
        <v/>
      </c>
      <c r="AB713" s="149" t="str">
        <f ca="1">IFERROR(IF(OR(OFFSET('S5'!#REF!,MATCH($A713,'S5'!$D$5:$D$2917,0)-1,6)="巻返し",OFFSET('S5'!#REF!,MATCH($A713,'S5'!$D$5:$D$2917,0)-1,6)="スリット"),SUMIF('S5'!$D$5:$D$2917,$A713,'S5'!$T$5:$T$2917),""),"")</f>
        <v/>
      </c>
    </row>
    <row r="714" spans="1:28" s="144" customFormat="1" ht="13.5" x14ac:dyDescent="0.15">
      <c r="A714" s="296">
        <v>3750057</v>
      </c>
      <c r="B714" s="296" t="s">
        <v>351</v>
      </c>
      <c r="C714" s="296" t="s">
        <v>1796</v>
      </c>
      <c r="D714" s="296" t="s">
        <v>353</v>
      </c>
      <c r="E714" s="296" t="s">
        <v>229</v>
      </c>
      <c r="F714" s="296">
        <v>3</v>
      </c>
      <c r="G714" s="296" t="s">
        <v>19</v>
      </c>
      <c r="H714" s="296" t="s">
        <v>20</v>
      </c>
      <c r="I714" s="296" t="s">
        <v>205</v>
      </c>
      <c r="J714" s="296" t="s">
        <v>928</v>
      </c>
      <c r="K714" s="296" t="s">
        <v>230</v>
      </c>
      <c r="L714" s="296">
        <v>25</v>
      </c>
      <c r="M714" s="296" t="s">
        <v>231</v>
      </c>
      <c r="N714" s="296">
        <v>1000</v>
      </c>
      <c r="O714" s="296">
        <v>1000</v>
      </c>
      <c r="P714" s="296">
        <v>2000</v>
      </c>
      <c r="Q714" s="296">
        <v>2</v>
      </c>
      <c r="R714" s="296">
        <v>6</v>
      </c>
      <c r="S714" s="296" t="s">
        <v>354</v>
      </c>
      <c r="T714" s="296" t="s">
        <v>2355</v>
      </c>
      <c r="U714" s="296" t="s">
        <v>2357</v>
      </c>
      <c r="V714" s="296" t="s">
        <v>355</v>
      </c>
      <c r="W714" s="296" t="s">
        <v>928</v>
      </c>
      <c r="X714" s="296" t="s">
        <v>928</v>
      </c>
      <c r="Y714" s="146"/>
      <c r="Z714" s="149" t="str">
        <f t="shared" ca="1" si="11"/>
        <v/>
      </c>
      <c r="AA714" s="149" t="str">
        <f ca="1">IFERROR(IF(OR(OFFSET('S4'!#REF!,MATCH($A714,'S4'!$D$5:$D$3387,0)-1,6)="巻返し",OFFSET('S4'!#REF!,MATCH($A714,'S4'!$D$5:$D$3387,0)-1,6)="スリット"),SUMIF('S4'!$D$5:$D$3387,$A714,'S4'!$U$5:$U$3387),""),"")</f>
        <v/>
      </c>
      <c r="AB714" s="149" t="str">
        <f ca="1">IFERROR(IF(OR(OFFSET('S5'!#REF!,MATCH($A714,'S5'!$D$5:$D$2917,0)-1,6)="巻返し",OFFSET('S5'!#REF!,MATCH($A714,'S5'!$D$5:$D$2917,0)-1,6)="スリット"),SUMIF('S5'!$D$5:$D$2917,$A714,'S5'!$T$5:$T$2917),""),"")</f>
        <v/>
      </c>
    </row>
    <row r="715" spans="1:28" s="144" customFormat="1" ht="13.5" x14ac:dyDescent="0.15">
      <c r="A715" s="296">
        <v>3750058</v>
      </c>
      <c r="B715" s="296" t="s">
        <v>351</v>
      </c>
      <c r="C715" s="296" t="s">
        <v>1803</v>
      </c>
      <c r="D715" s="296" t="s">
        <v>353</v>
      </c>
      <c r="E715" s="296" t="s">
        <v>753</v>
      </c>
      <c r="F715" s="296">
        <v>3</v>
      </c>
      <c r="G715" s="296" t="s">
        <v>19</v>
      </c>
      <c r="H715" s="296" t="s">
        <v>20</v>
      </c>
      <c r="I715" s="296" t="s">
        <v>205</v>
      </c>
      <c r="J715" s="296" t="s">
        <v>928</v>
      </c>
      <c r="K715" s="296" t="s">
        <v>230</v>
      </c>
      <c r="L715" s="296">
        <v>25</v>
      </c>
      <c r="M715" s="296" t="s">
        <v>231</v>
      </c>
      <c r="N715" s="296">
        <v>510</v>
      </c>
      <c r="O715" s="296">
        <v>510</v>
      </c>
      <c r="P715" s="296">
        <v>2000</v>
      </c>
      <c r="Q715" s="296">
        <v>1</v>
      </c>
      <c r="R715" s="296">
        <v>12</v>
      </c>
      <c r="S715" s="296" t="s">
        <v>354</v>
      </c>
      <c r="T715" s="296" t="s">
        <v>2355</v>
      </c>
      <c r="U715" s="296" t="s">
        <v>2357</v>
      </c>
      <c r="V715" s="296" t="s">
        <v>355</v>
      </c>
      <c r="W715" s="296" t="s">
        <v>928</v>
      </c>
      <c r="X715" s="296" t="s">
        <v>928</v>
      </c>
      <c r="Y715" s="146"/>
      <c r="Z715" s="149" t="str">
        <f t="shared" ca="1" si="11"/>
        <v/>
      </c>
      <c r="AA715" s="149" t="str">
        <f ca="1">IFERROR(IF(OR(OFFSET('S4'!#REF!,MATCH($A715,'S4'!$D$5:$D$3387,0)-1,6)="巻返し",OFFSET('S4'!#REF!,MATCH($A715,'S4'!$D$5:$D$3387,0)-1,6)="スリット"),SUMIF('S4'!$D$5:$D$3387,$A715,'S4'!$U$5:$U$3387),""),"")</f>
        <v/>
      </c>
      <c r="AB715" s="149" t="str">
        <f ca="1">IFERROR(IF(OR(OFFSET('S5'!#REF!,MATCH($A715,'S5'!$D$5:$D$2917,0)-1,6)="巻返し",OFFSET('S5'!#REF!,MATCH($A715,'S5'!$D$5:$D$2917,0)-1,6)="スリット"),SUMIF('S5'!$D$5:$D$2917,$A715,'S5'!$T$5:$T$2917),""),"")</f>
        <v/>
      </c>
    </row>
    <row r="716" spans="1:28" s="144" customFormat="1" ht="13.5" x14ac:dyDescent="0.15">
      <c r="A716" s="296">
        <v>3750059</v>
      </c>
      <c r="B716" s="296" t="s">
        <v>351</v>
      </c>
      <c r="C716" s="296" t="s">
        <v>1803</v>
      </c>
      <c r="D716" s="296" t="s">
        <v>353</v>
      </c>
      <c r="E716" s="296" t="s">
        <v>61</v>
      </c>
      <c r="F716" s="296">
        <v>3</v>
      </c>
      <c r="G716" s="296" t="s">
        <v>19</v>
      </c>
      <c r="H716" s="296" t="s">
        <v>20</v>
      </c>
      <c r="I716" s="296" t="s">
        <v>205</v>
      </c>
      <c r="J716" s="296" t="s">
        <v>928</v>
      </c>
      <c r="K716" s="296" t="s">
        <v>242</v>
      </c>
      <c r="L716" s="296">
        <v>50</v>
      </c>
      <c r="M716" s="296" t="s">
        <v>243</v>
      </c>
      <c r="N716" s="296">
        <v>1255</v>
      </c>
      <c r="O716" s="296">
        <v>1250</v>
      </c>
      <c r="P716" s="296">
        <v>2000</v>
      </c>
      <c r="Q716" s="296">
        <v>2</v>
      </c>
      <c r="R716" s="296">
        <v>6</v>
      </c>
      <c r="S716" s="296" t="s">
        <v>354</v>
      </c>
      <c r="T716" s="296" t="s">
        <v>2355</v>
      </c>
      <c r="U716" s="296" t="s">
        <v>2357</v>
      </c>
      <c r="V716" s="296" t="s">
        <v>355</v>
      </c>
      <c r="W716" s="296" t="s">
        <v>928</v>
      </c>
      <c r="X716" s="296" t="s">
        <v>928</v>
      </c>
      <c r="Y716" s="146"/>
      <c r="Z716" s="149" t="str">
        <f t="shared" ca="1" si="11"/>
        <v/>
      </c>
      <c r="AA716" s="149" t="str">
        <f ca="1">IFERROR(IF(OR(OFFSET('S4'!#REF!,MATCH($A716,'S4'!$D$5:$D$3387,0)-1,6)="巻返し",OFFSET('S4'!#REF!,MATCH($A716,'S4'!$D$5:$D$3387,0)-1,6)="スリット"),SUMIF('S4'!$D$5:$D$3387,$A716,'S4'!$U$5:$U$3387),""),"")</f>
        <v/>
      </c>
      <c r="AB716" s="149" t="str">
        <f ca="1">IFERROR(IF(OR(OFFSET('S5'!#REF!,MATCH($A716,'S5'!$D$5:$D$2917,0)-1,6)="巻返し",OFFSET('S5'!#REF!,MATCH($A716,'S5'!$D$5:$D$2917,0)-1,6)="スリット"),SUMIF('S5'!$D$5:$D$2917,$A716,'S5'!$T$5:$T$2917),""),"")</f>
        <v/>
      </c>
    </row>
    <row r="717" spans="1:28" s="144" customFormat="1" ht="13.5" x14ac:dyDescent="0.15">
      <c r="A717" s="296">
        <v>3750060</v>
      </c>
      <c r="B717" s="296" t="s">
        <v>351</v>
      </c>
      <c r="C717" s="296" t="s">
        <v>1801</v>
      </c>
      <c r="D717" s="296" t="s">
        <v>353</v>
      </c>
      <c r="E717" s="296" t="s">
        <v>171</v>
      </c>
      <c r="F717" s="296">
        <v>3</v>
      </c>
      <c r="G717" s="296" t="s">
        <v>19</v>
      </c>
      <c r="H717" s="296" t="s">
        <v>20</v>
      </c>
      <c r="I717" s="296" t="s">
        <v>165</v>
      </c>
      <c r="J717" s="296" t="s">
        <v>928</v>
      </c>
      <c r="K717" s="296" t="s">
        <v>180</v>
      </c>
      <c r="L717" s="296">
        <v>50</v>
      </c>
      <c r="M717" s="296" t="s">
        <v>181</v>
      </c>
      <c r="N717" s="296">
        <v>1200</v>
      </c>
      <c r="O717" s="296">
        <v>1190</v>
      </c>
      <c r="P717" s="296">
        <v>6000</v>
      </c>
      <c r="Q717" s="296">
        <v>2</v>
      </c>
      <c r="R717" s="296">
        <v>12</v>
      </c>
      <c r="S717" s="296" t="s">
        <v>354</v>
      </c>
      <c r="T717" s="296" t="s">
        <v>2355</v>
      </c>
      <c r="U717" s="296" t="s">
        <v>2357</v>
      </c>
      <c r="V717" s="296" t="s">
        <v>355</v>
      </c>
      <c r="W717" s="296" t="s">
        <v>928</v>
      </c>
      <c r="X717" s="296" t="s">
        <v>928</v>
      </c>
      <c r="Y717" s="146"/>
      <c r="Z717" s="149" t="str">
        <f t="shared" ca="1" si="11"/>
        <v/>
      </c>
      <c r="AA717" s="149" t="str">
        <f ca="1">IFERROR(IF(OR(OFFSET('S4'!#REF!,MATCH($A717,'S4'!$D$5:$D$3387,0)-1,6)="巻返し",OFFSET('S4'!#REF!,MATCH($A717,'S4'!$D$5:$D$3387,0)-1,6)="スリット"),SUMIF('S4'!$D$5:$D$3387,$A717,'S4'!$U$5:$U$3387),""),"")</f>
        <v/>
      </c>
      <c r="AB717" s="149" t="str">
        <f ca="1">IFERROR(IF(OR(OFFSET('S5'!#REF!,MATCH($A717,'S5'!$D$5:$D$2917,0)-1,6)="巻返し",OFFSET('S5'!#REF!,MATCH($A717,'S5'!$D$5:$D$2917,0)-1,6)="スリット"),SUMIF('S5'!$D$5:$D$2917,$A717,'S5'!$T$5:$T$2917),""),"")</f>
        <v/>
      </c>
    </row>
    <row r="718" spans="1:28" s="144" customFormat="1" ht="13.5" x14ac:dyDescent="0.15">
      <c r="A718" s="296">
        <v>3750061</v>
      </c>
      <c r="B718" s="296" t="s">
        <v>351</v>
      </c>
      <c r="C718" s="296" t="s">
        <v>1801</v>
      </c>
      <c r="D718" s="296" t="s">
        <v>353</v>
      </c>
      <c r="E718" s="296" t="s">
        <v>148</v>
      </c>
      <c r="F718" s="296" t="s">
        <v>1818</v>
      </c>
      <c r="G718" s="296" t="s">
        <v>19</v>
      </c>
      <c r="H718" s="296" t="s">
        <v>20</v>
      </c>
      <c r="I718" s="296" t="s">
        <v>165</v>
      </c>
      <c r="J718" s="296" t="s">
        <v>928</v>
      </c>
      <c r="K718" s="296" t="s">
        <v>169</v>
      </c>
      <c r="L718" s="296">
        <v>50</v>
      </c>
      <c r="M718" s="296" t="s">
        <v>170</v>
      </c>
      <c r="N718" s="296">
        <v>1120</v>
      </c>
      <c r="O718" s="296">
        <v>1120</v>
      </c>
      <c r="P718" s="296">
        <v>6000</v>
      </c>
      <c r="Q718" s="296">
        <v>2</v>
      </c>
      <c r="R718" s="296">
        <v>3</v>
      </c>
      <c r="S718" s="296" t="s">
        <v>354</v>
      </c>
      <c r="T718" s="296" t="s">
        <v>2355</v>
      </c>
      <c r="U718" s="296" t="s">
        <v>2357</v>
      </c>
      <c r="V718" s="296" t="s">
        <v>355</v>
      </c>
      <c r="W718" s="296" t="s">
        <v>928</v>
      </c>
      <c r="X718" s="296" t="s">
        <v>928</v>
      </c>
      <c r="Y718" s="146"/>
      <c r="Z718" s="149" t="str">
        <f t="shared" ca="1" si="11"/>
        <v/>
      </c>
      <c r="AA718" s="149" t="str">
        <f ca="1">IFERROR(IF(OR(OFFSET('S4'!#REF!,MATCH($A718,'S4'!$D$5:$D$3387,0)-1,6)="巻返し",OFFSET('S4'!#REF!,MATCH($A718,'S4'!$D$5:$D$3387,0)-1,6)="スリット"),SUMIF('S4'!$D$5:$D$3387,$A718,'S4'!$U$5:$U$3387),""),"")</f>
        <v/>
      </c>
      <c r="AB718" s="149" t="str">
        <f ca="1">IFERROR(IF(OR(OFFSET('S5'!#REF!,MATCH($A718,'S5'!$D$5:$D$2917,0)-1,6)="巻返し",OFFSET('S5'!#REF!,MATCH($A718,'S5'!$D$5:$D$2917,0)-1,6)="スリット"),SUMIF('S5'!$D$5:$D$2917,$A718,'S5'!$T$5:$T$2917),""),"")</f>
        <v/>
      </c>
    </row>
    <row r="719" spans="1:28" s="144" customFormat="1" ht="13.5" x14ac:dyDescent="0.15">
      <c r="A719" s="296">
        <v>3750062</v>
      </c>
      <c r="B719" s="296" t="s">
        <v>351</v>
      </c>
      <c r="C719" s="296" t="s">
        <v>1801</v>
      </c>
      <c r="D719" s="296" t="s">
        <v>353</v>
      </c>
      <c r="E719" s="296" t="s">
        <v>148</v>
      </c>
      <c r="F719" s="296" t="s">
        <v>1818</v>
      </c>
      <c r="G719" s="296" t="s">
        <v>19</v>
      </c>
      <c r="H719" s="296" t="s">
        <v>20</v>
      </c>
      <c r="I719" s="296" t="s">
        <v>165</v>
      </c>
      <c r="J719" s="296" t="s">
        <v>928</v>
      </c>
      <c r="K719" s="296" t="s">
        <v>169</v>
      </c>
      <c r="L719" s="296">
        <v>50</v>
      </c>
      <c r="M719" s="296" t="s">
        <v>170</v>
      </c>
      <c r="N719" s="296">
        <v>1120</v>
      </c>
      <c r="O719" s="296">
        <v>1120</v>
      </c>
      <c r="P719" s="296">
        <v>6000</v>
      </c>
      <c r="Q719" s="296">
        <v>2</v>
      </c>
      <c r="R719" s="296">
        <v>1</v>
      </c>
      <c r="S719" s="296" t="s">
        <v>354</v>
      </c>
      <c r="T719" s="296" t="s">
        <v>2355</v>
      </c>
      <c r="U719" s="296" t="s">
        <v>2357</v>
      </c>
      <c r="V719" s="296" t="s">
        <v>355</v>
      </c>
      <c r="W719" s="296" t="s">
        <v>928</v>
      </c>
      <c r="X719" s="296" t="s">
        <v>928</v>
      </c>
      <c r="Y719" s="146"/>
      <c r="Z719" s="149" t="str">
        <f t="shared" ca="1" si="11"/>
        <v/>
      </c>
      <c r="AA719" s="149" t="str">
        <f ca="1">IFERROR(IF(OR(OFFSET('S4'!#REF!,MATCH($A719,'S4'!$D$5:$D$3387,0)-1,6)="巻返し",OFFSET('S4'!#REF!,MATCH($A719,'S4'!$D$5:$D$3387,0)-1,6)="スリット"),SUMIF('S4'!$D$5:$D$3387,$A719,'S4'!$U$5:$U$3387),""),"")</f>
        <v/>
      </c>
      <c r="AB719" s="149" t="str">
        <f ca="1">IFERROR(IF(OR(OFFSET('S5'!#REF!,MATCH($A719,'S5'!$D$5:$D$2917,0)-1,6)="巻返し",OFFSET('S5'!#REF!,MATCH($A719,'S5'!$D$5:$D$2917,0)-1,6)="スリット"),SUMIF('S5'!$D$5:$D$2917,$A719,'S5'!$T$5:$T$2917),""),"")</f>
        <v/>
      </c>
    </row>
    <row r="720" spans="1:28" s="144" customFormat="1" ht="13.5" x14ac:dyDescent="0.15">
      <c r="A720" s="296">
        <v>3750063</v>
      </c>
      <c r="B720" s="296" t="s">
        <v>351</v>
      </c>
      <c r="C720" s="296" t="s">
        <v>1801</v>
      </c>
      <c r="D720" s="296" t="s">
        <v>353</v>
      </c>
      <c r="E720" s="296" t="s">
        <v>148</v>
      </c>
      <c r="F720" s="296">
        <v>3</v>
      </c>
      <c r="G720" s="296" t="s">
        <v>19</v>
      </c>
      <c r="H720" s="296" t="s">
        <v>20</v>
      </c>
      <c r="I720" s="296" t="s">
        <v>165</v>
      </c>
      <c r="J720" s="296" t="s">
        <v>928</v>
      </c>
      <c r="K720" s="296" t="s">
        <v>190</v>
      </c>
      <c r="L720" s="296">
        <v>25</v>
      </c>
      <c r="M720" s="296" t="s">
        <v>191</v>
      </c>
      <c r="N720" s="296">
        <v>1020</v>
      </c>
      <c r="O720" s="296">
        <v>1020</v>
      </c>
      <c r="P720" s="296">
        <v>6000</v>
      </c>
      <c r="Q720" s="296">
        <v>2</v>
      </c>
      <c r="R720" s="296">
        <v>2</v>
      </c>
      <c r="S720" s="296" t="s">
        <v>354</v>
      </c>
      <c r="T720" s="296" t="s">
        <v>2355</v>
      </c>
      <c r="U720" s="296" t="s">
        <v>2357</v>
      </c>
      <c r="V720" s="296" t="s">
        <v>355</v>
      </c>
      <c r="W720" s="296" t="s">
        <v>928</v>
      </c>
      <c r="X720" s="296" t="s">
        <v>928</v>
      </c>
      <c r="Y720" s="146"/>
      <c r="Z720" s="149" t="str">
        <f t="shared" ca="1" si="11"/>
        <v/>
      </c>
      <c r="AA720" s="149" t="str">
        <f ca="1">IFERROR(IF(OR(OFFSET('S4'!#REF!,MATCH($A720,'S4'!$D$5:$D$3387,0)-1,6)="巻返し",OFFSET('S4'!#REF!,MATCH($A720,'S4'!$D$5:$D$3387,0)-1,6)="スリット"),SUMIF('S4'!$D$5:$D$3387,$A720,'S4'!$U$5:$U$3387),""),"")</f>
        <v/>
      </c>
      <c r="AB720" s="149" t="str">
        <f ca="1">IFERROR(IF(OR(OFFSET('S5'!#REF!,MATCH($A720,'S5'!$D$5:$D$2917,0)-1,6)="巻返し",OFFSET('S5'!#REF!,MATCH($A720,'S5'!$D$5:$D$2917,0)-1,6)="スリット"),SUMIF('S5'!$D$5:$D$2917,$A720,'S5'!$T$5:$T$2917),""),"")</f>
        <v/>
      </c>
    </row>
    <row r="721" spans="1:28" s="144" customFormat="1" ht="13.5" x14ac:dyDescent="0.15">
      <c r="A721" s="296">
        <v>3750064</v>
      </c>
      <c r="B721" s="296" t="s">
        <v>351</v>
      </c>
      <c r="C721" s="296" t="s">
        <v>1801</v>
      </c>
      <c r="D721" s="296" t="s">
        <v>353</v>
      </c>
      <c r="E721" s="296" t="s">
        <v>148</v>
      </c>
      <c r="F721" s="296" t="s">
        <v>2370</v>
      </c>
      <c r="G721" s="296" t="s">
        <v>19</v>
      </c>
      <c r="H721" s="296" t="s">
        <v>20</v>
      </c>
      <c r="I721" s="296" t="s">
        <v>165</v>
      </c>
      <c r="J721" s="296" t="s">
        <v>928</v>
      </c>
      <c r="K721" s="296" t="s">
        <v>202</v>
      </c>
      <c r="L721" s="296">
        <v>50</v>
      </c>
      <c r="M721" s="296" t="s">
        <v>424</v>
      </c>
      <c r="N721" s="296">
        <v>1120</v>
      </c>
      <c r="O721" s="296">
        <v>1120</v>
      </c>
      <c r="P721" s="296">
        <v>5000</v>
      </c>
      <c r="Q721" s="296">
        <v>2</v>
      </c>
      <c r="R721" s="296">
        <v>1</v>
      </c>
      <c r="S721" s="296" t="s">
        <v>354</v>
      </c>
      <c r="T721" s="296" t="s">
        <v>2355</v>
      </c>
      <c r="U721" s="296" t="s">
        <v>2357</v>
      </c>
      <c r="V721" s="296" t="s">
        <v>355</v>
      </c>
      <c r="W721" s="296" t="s">
        <v>928</v>
      </c>
      <c r="X721" s="296" t="s">
        <v>928</v>
      </c>
      <c r="Y721" s="146"/>
      <c r="Z721" s="149" t="str">
        <f t="shared" ca="1" si="11"/>
        <v/>
      </c>
      <c r="AA721" s="149" t="str">
        <f ca="1">IFERROR(IF(OR(OFFSET('S4'!#REF!,MATCH($A721,'S4'!$D$5:$D$3387,0)-1,6)="巻返し",OFFSET('S4'!#REF!,MATCH($A721,'S4'!$D$5:$D$3387,0)-1,6)="スリット"),SUMIF('S4'!$D$5:$D$3387,$A721,'S4'!$U$5:$U$3387),""),"")</f>
        <v/>
      </c>
      <c r="AB721" s="149" t="str">
        <f ca="1">IFERROR(IF(OR(OFFSET('S5'!#REF!,MATCH($A721,'S5'!$D$5:$D$2917,0)-1,6)="巻返し",OFFSET('S5'!#REF!,MATCH($A721,'S5'!$D$5:$D$2917,0)-1,6)="スリット"),SUMIF('S5'!$D$5:$D$2917,$A721,'S5'!$T$5:$T$2917),""),"")</f>
        <v/>
      </c>
    </row>
    <row r="722" spans="1:28" s="144" customFormat="1" ht="13.5" x14ac:dyDescent="0.15">
      <c r="A722" s="296">
        <v>3750065</v>
      </c>
      <c r="B722" s="296" t="s">
        <v>351</v>
      </c>
      <c r="C722" s="296" t="s">
        <v>1801</v>
      </c>
      <c r="D722" s="296" t="s">
        <v>353</v>
      </c>
      <c r="E722" s="296" t="s">
        <v>116</v>
      </c>
      <c r="F722" s="296">
        <v>3</v>
      </c>
      <c r="G722" s="296" t="s">
        <v>19</v>
      </c>
      <c r="H722" s="296" t="s">
        <v>20</v>
      </c>
      <c r="I722" s="296" t="s">
        <v>205</v>
      </c>
      <c r="J722" s="296" t="s">
        <v>928</v>
      </c>
      <c r="K722" s="296" t="s">
        <v>212</v>
      </c>
      <c r="L722" s="296">
        <v>25</v>
      </c>
      <c r="M722" s="296" t="s">
        <v>213</v>
      </c>
      <c r="N722" s="296">
        <v>1120</v>
      </c>
      <c r="O722" s="296">
        <v>1120</v>
      </c>
      <c r="P722" s="296">
        <v>4000</v>
      </c>
      <c r="Q722" s="296">
        <v>2</v>
      </c>
      <c r="R722" s="296">
        <v>4</v>
      </c>
      <c r="S722" s="296" t="s">
        <v>354</v>
      </c>
      <c r="T722" s="296" t="s">
        <v>2355</v>
      </c>
      <c r="U722" s="296" t="s">
        <v>2363</v>
      </c>
      <c r="V722" s="296" t="s">
        <v>355</v>
      </c>
      <c r="W722" s="296" t="s">
        <v>928</v>
      </c>
      <c r="X722" s="296" t="s">
        <v>928</v>
      </c>
      <c r="Y722" s="146"/>
      <c r="Z722" s="149" t="str">
        <f t="shared" ca="1" si="11"/>
        <v/>
      </c>
      <c r="AA722" s="149" t="str">
        <f ca="1">IFERROR(IF(OR(OFFSET('S4'!#REF!,MATCH($A722,'S4'!$D$5:$D$3387,0)-1,6)="巻返し",OFFSET('S4'!#REF!,MATCH($A722,'S4'!$D$5:$D$3387,0)-1,6)="スリット"),SUMIF('S4'!$D$5:$D$3387,$A722,'S4'!$U$5:$U$3387),""),"")</f>
        <v/>
      </c>
      <c r="AB722" s="149" t="str">
        <f ca="1">IFERROR(IF(OR(OFFSET('S5'!#REF!,MATCH($A722,'S5'!$D$5:$D$2917,0)-1,6)="巻返し",OFFSET('S5'!#REF!,MATCH($A722,'S5'!$D$5:$D$2917,0)-1,6)="スリット"),SUMIF('S5'!$D$5:$D$2917,$A722,'S5'!$T$5:$T$2917),""),"")</f>
        <v/>
      </c>
    </row>
    <row r="723" spans="1:28" s="144" customFormat="1" ht="13.5" x14ac:dyDescent="0.15">
      <c r="A723" s="296">
        <v>3750066</v>
      </c>
      <c r="B723" s="296" t="s">
        <v>351</v>
      </c>
      <c r="C723" s="296" t="s">
        <v>1801</v>
      </c>
      <c r="D723" s="296" t="s">
        <v>353</v>
      </c>
      <c r="E723" s="296" t="s">
        <v>116</v>
      </c>
      <c r="F723" s="296">
        <v>3</v>
      </c>
      <c r="G723" s="296" t="s">
        <v>19</v>
      </c>
      <c r="H723" s="296" t="s">
        <v>20</v>
      </c>
      <c r="I723" s="296" t="s">
        <v>205</v>
      </c>
      <c r="J723" s="296" t="s">
        <v>928</v>
      </c>
      <c r="K723" s="296" t="s">
        <v>212</v>
      </c>
      <c r="L723" s="296">
        <v>50</v>
      </c>
      <c r="M723" s="296" t="s">
        <v>213</v>
      </c>
      <c r="N723" s="296">
        <v>1120</v>
      </c>
      <c r="O723" s="296">
        <v>1120</v>
      </c>
      <c r="P723" s="296">
        <v>4000</v>
      </c>
      <c r="Q723" s="296">
        <v>2</v>
      </c>
      <c r="R723" s="296">
        <v>30</v>
      </c>
      <c r="S723" s="296" t="s">
        <v>354</v>
      </c>
      <c r="T723" s="296" t="s">
        <v>2355</v>
      </c>
      <c r="U723" s="296" t="s">
        <v>2356</v>
      </c>
      <c r="V723" s="296" t="s">
        <v>355</v>
      </c>
      <c r="W723" s="296" t="s">
        <v>928</v>
      </c>
      <c r="X723" s="296" t="s">
        <v>928</v>
      </c>
      <c r="Y723" s="146"/>
      <c r="Z723" s="149" t="str">
        <f t="shared" ca="1" si="11"/>
        <v/>
      </c>
      <c r="AA723" s="149" t="str">
        <f ca="1">IFERROR(IF(OR(OFFSET('S4'!#REF!,MATCH($A723,'S4'!$D$5:$D$3387,0)-1,6)="巻返し",OFFSET('S4'!#REF!,MATCH($A723,'S4'!$D$5:$D$3387,0)-1,6)="スリット"),SUMIF('S4'!$D$5:$D$3387,$A723,'S4'!$U$5:$U$3387),""),"")</f>
        <v/>
      </c>
      <c r="AB723" s="149" t="str">
        <f ca="1">IFERROR(IF(OR(OFFSET('S5'!#REF!,MATCH($A723,'S5'!$D$5:$D$2917,0)-1,6)="巻返し",OFFSET('S5'!#REF!,MATCH($A723,'S5'!$D$5:$D$2917,0)-1,6)="スリット"),SUMIF('S5'!$D$5:$D$2917,$A723,'S5'!$T$5:$T$2917),""),"")</f>
        <v/>
      </c>
    </row>
    <row r="724" spans="1:28" s="144" customFormat="1" ht="13.5" x14ac:dyDescent="0.15">
      <c r="A724" s="296">
        <v>3750067</v>
      </c>
      <c r="B724" s="296" t="s">
        <v>351</v>
      </c>
      <c r="C724" s="296" t="s">
        <v>1801</v>
      </c>
      <c r="D724" s="296" t="s">
        <v>353</v>
      </c>
      <c r="E724" s="296" t="s">
        <v>116</v>
      </c>
      <c r="F724" s="296">
        <v>3</v>
      </c>
      <c r="G724" s="296" t="s">
        <v>19</v>
      </c>
      <c r="H724" s="296" t="s">
        <v>20</v>
      </c>
      <c r="I724" s="296" t="s">
        <v>205</v>
      </c>
      <c r="J724" s="296" t="s">
        <v>928</v>
      </c>
      <c r="K724" s="296" t="s">
        <v>211</v>
      </c>
      <c r="L724" s="296">
        <v>50</v>
      </c>
      <c r="M724" s="296" t="s">
        <v>370</v>
      </c>
      <c r="N724" s="296">
        <v>1050</v>
      </c>
      <c r="O724" s="296">
        <v>1050</v>
      </c>
      <c r="P724" s="296">
        <v>4100</v>
      </c>
      <c r="Q724" s="296">
        <v>2</v>
      </c>
      <c r="R724" s="296">
        <v>6</v>
      </c>
      <c r="S724" s="296" t="s">
        <v>354</v>
      </c>
      <c r="T724" s="296" t="s">
        <v>2355</v>
      </c>
      <c r="U724" s="296" t="s">
        <v>2363</v>
      </c>
      <c r="V724" s="296" t="s">
        <v>355</v>
      </c>
      <c r="W724" s="296" t="s">
        <v>928</v>
      </c>
      <c r="X724" s="296" t="s">
        <v>928</v>
      </c>
      <c r="Y724" s="146"/>
      <c r="Z724" s="149" t="str">
        <f t="shared" ca="1" si="11"/>
        <v/>
      </c>
      <c r="AA724" s="149" t="str">
        <f ca="1">IFERROR(IF(OR(OFFSET('S4'!#REF!,MATCH($A724,'S4'!$D$5:$D$3387,0)-1,6)="巻返し",OFFSET('S4'!#REF!,MATCH($A724,'S4'!$D$5:$D$3387,0)-1,6)="スリット"),SUMIF('S4'!$D$5:$D$3387,$A724,'S4'!$U$5:$U$3387),""),"")</f>
        <v/>
      </c>
      <c r="AB724" s="149" t="str">
        <f ca="1">IFERROR(IF(OR(OFFSET('S5'!#REF!,MATCH($A724,'S5'!$D$5:$D$2917,0)-1,6)="巻返し",OFFSET('S5'!#REF!,MATCH($A724,'S5'!$D$5:$D$2917,0)-1,6)="スリット"),SUMIF('S5'!$D$5:$D$2917,$A724,'S5'!$T$5:$T$2917),""),"")</f>
        <v/>
      </c>
    </row>
    <row r="725" spans="1:28" s="144" customFormat="1" ht="13.5" x14ac:dyDescent="0.15">
      <c r="A725" s="296">
        <v>3750068</v>
      </c>
      <c r="B725" s="296" t="s">
        <v>351</v>
      </c>
      <c r="C725" s="296" t="s">
        <v>1801</v>
      </c>
      <c r="D725" s="296" t="s">
        <v>353</v>
      </c>
      <c r="E725" s="296" t="s">
        <v>116</v>
      </c>
      <c r="F725" s="296">
        <v>3</v>
      </c>
      <c r="G725" s="296" t="s">
        <v>19</v>
      </c>
      <c r="H725" s="296" t="s">
        <v>20</v>
      </c>
      <c r="I725" s="296" t="s">
        <v>165</v>
      </c>
      <c r="J725" s="296" t="s">
        <v>928</v>
      </c>
      <c r="K725" s="296" t="s">
        <v>185</v>
      </c>
      <c r="L725" s="296">
        <v>50</v>
      </c>
      <c r="M725" s="296" t="s">
        <v>186</v>
      </c>
      <c r="N725" s="296">
        <v>1005</v>
      </c>
      <c r="O725" s="296">
        <v>1000</v>
      </c>
      <c r="P725" s="296">
        <v>4100</v>
      </c>
      <c r="Q725" s="296">
        <v>2</v>
      </c>
      <c r="R725" s="296">
        <v>2</v>
      </c>
      <c r="S725" s="296" t="s">
        <v>354</v>
      </c>
      <c r="T725" s="296" t="s">
        <v>2355</v>
      </c>
      <c r="U725" s="296" t="s">
        <v>2363</v>
      </c>
      <c r="V725" s="296" t="s">
        <v>355</v>
      </c>
      <c r="W725" s="296" t="s">
        <v>928</v>
      </c>
      <c r="X725" s="296" t="s">
        <v>928</v>
      </c>
      <c r="Y725" s="146"/>
      <c r="Z725" s="149" t="str">
        <f t="shared" ca="1" si="11"/>
        <v/>
      </c>
      <c r="AA725" s="149" t="str">
        <f ca="1">IFERROR(IF(OR(OFFSET('S4'!#REF!,MATCH($A725,'S4'!$D$5:$D$3387,0)-1,6)="巻返し",OFFSET('S4'!#REF!,MATCH($A725,'S4'!$D$5:$D$3387,0)-1,6)="スリット"),SUMIF('S4'!$D$5:$D$3387,$A725,'S4'!$U$5:$U$3387),""),"")</f>
        <v/>
      </c>
      <c r="AB725" s="149" t="str">
        <f ca="1">IFERROR(IF(OR(OFFSET('S5'!#REF!,MATCH($A725,'S5'!$D$5:$D$2917,0)-1,6)="巻返し",OFFSET('S5'!#REF!,MATCH($A725,'S5'!$D$5:$D$2917,0)-1,6)="スリット"),SUMIF('S5'!$D$5:$D$2917,$A725,'S5'!$T$5:$T$2917),""),"")</f>
        <v/>
      </c>
    </row>
    <row r="726" spans="1:28" s="144" customFormat="1" ht="13.5" x14ac:dyDescent="0.15">
      <c r="A726" s="296">
        <v>3750069</v>
      </c>
      <c r="B726" s="296" t="s">
        <v>351</v>
      </c>
      <c r="C726" s="296" t="s">
        <v>1801</v>
      </c>
      <c r="D726" s="296" t="s">
        <v>353</v>
      </c>
      <c r="E726" s="296" t="s">
        <v>116</v>
      </c>
      <c r="F726" s="296">
        <v>3</v>
      </c>
      <c r="G726" s="296" t="s">
        <v>19</v>
      </c>
      <c r="H726" s="296" t="s">
        <v>20</v>
      </c>
      <c r="I726" s="296" t="s">
        <v>165</v>
      </c>
      <c r="J726" s="296" t="s">
        <v>928</v>
      </c>
      <c r="K726" s="296" t="s">
        <v>245</v>
      </c>
      <c r="L726" s="296">
        <v>16</v>
      </c>
      <c r="M726" s="296" t="s">
        <v>366</v>
      </c>
      <c r="N726" s="296">
        <v>1000</v>
      </c>
      <c r="O726" s="296">
        <v>1000</v>
      </c>
      <c r="P726" s="296">
        <v>3200</v>
      </c>
      <c r="Q726" s="296">
        <v>2</v>
      </c>
      <c r="R726" s="296">
        <v>1</v>
      </c>
      <c r="S726" s="296" t="s">
        <v>354</v>
      </c>
      <c r="T726" s="296" t="s">
        <v>2355</v>
      </c>
      <c r="U726" s="296" t="s">
        <v>2356</v>
      </c>
      <c r="V726" s="296" t="s">
        <v>355</v>
      </c>
      <c r="W726" s="296" t="s">
        <v>928</v>
      </c>
      <c r="X726" s="296" t="s">
        <v>928</v>
      </c>
      <c r="Y726" s="146"/>
      <c r="Z726" s="149" t="str">
        <f t="shared" ca="1" si="11"/>
        <v/>
      </c>
      <c r="AA726" s="149" t="str">
        <f ca="1">IFERROR(IF(OR(OFFSET('S4'!#REF!,MATCH($A726,'S4'!$D$5:$D$3387,0)-1,6)="巻返し",OFFSET('S4'!#REF!,MATCH($A726,'S4'!$D$5:$D$3387,0)-1,6)="スリット"),SUMIF('S4'!$D$5:$D$3387,$A726,'S4'!$U$5:$U$3387),""),"")</f>
        <v/>
      </c>
      <c r="AB726" s="149" t="str">
        <f ca="1">IFERROR(IF(OR(OFFSET('S5'!#REF!,MATCH($A726,'S5'!$D$5:$D$2917,0)-1,6)="巻返し",OFFSET('S5'!#REF!,MATCH($A726,'S5'!$D$5:$D$2917,0)-1,6)="スリット"),SUMIF('S5'!$D$5:$D$2917,$A726,'S5'!$T$5:$T$2917),""),"")</f>
        <v/>
      </c>
    </row>
    <row r="727" spans="1:28" s="144" customFormat="1" ht="13.5" x14ac:dyDescent="0.15">
      <c r="A727" s="296">
        <v>3750070</v>
      </c>
      <c r="B727" s="296" t="s">
        <v>351</v>
      </c>
      <c r="C727" s="296" t="s">
        <v>1801</v>
      </c>
      <c r="D727" s="296" t="s">
        <v>353</v>
      </c>
      <c r="E727" s="296" t="s">
        <v>116</v>
      </c>
      <c r="F727" s="296">
        <v>3</v>
      </c>
      <c r="G727" s="296" t="s">
        <v>19</v>
      </c>
      <c r="H727" s="296" t="s">
        <v>20</v>
      </c>
      <c r="I727" s="296" t="s">
        <v>205</v>
      </c>
      <c r="J727" s="296" t="s">
        <v>928</v>
      </c>
      <c r="K727" s="296" t="s">
        <v>216</v>
      </c>
      <c r="L727" s="296">
        <v>25</v>
      </c>
      <c r="M727" s="296" t="s">
        <v>217</v>
      </c>
      <c r="N727" s="296">
        <v>1005</v>
      </c>
      <c r="O727" s="296">
        <v>1000</v>
      </c>
      <c r="P727" s="296">
        <v>4000</v>
      </c>
      <c r="Q727" s="296">
        <v>2</v>
      </c>
      <c r="R727" s="296">
        <v>6</v>
      </c>
      <c r="S727" s="296" t="s">
        <v>354</v>
      </c>
      <c r="T727" s="296" t="s">
        <v>2355</v>
      </c>
      <c r="U727" s="296" t="s">
        <v>2363</v>
      </c>
      <c r="V727" s="296" t="s">
        <v>355</v>
      </c>
      <c r="W727" s="296" t="s">
        <v>928</v>
      </c>
      <c r="X727" s="296" t="s">
        <v>928</v>
      </c>
      <c r="Y727" s="146"/>
      <c r="Z727" s="149" t="str">
        <f t="shared" ca="1" si="11"/>
        <v/>
      </c>
      <c r="AA727" s="149" t="str">
        <f ca="1">IFERROR(IF(OR(OFFSET('S4'!#REF!,MATCH($A727,'S4'!$D$5:$D$3387,0)-1,6)="巻返し",OFFSET('S4'!#REF!,MATCH($A727,'S4'!$D$5:$D$3387,0)-1,6)="スリット"),SUMIF('S4'!$D$5:$D$3387,$A727,'S4'!$U$5:$U$3387),""),"")</f>
        <v/>
      </c>
      <c r="AB727" s="149" t="str">
        <f ca="1">IFERROR(IF(OR(OFFSET('S5'!#REF!,MATCH($A727,'S5'!$D$5:$D$2917,0)-1,6)="巻返し",OFFSET('S5'!#REF!,MATCH($A727,'S5'!$D$5:$D$2917,0)-1,6)="スリット"),SUMIF('S5'!$D$5:$D$2917,$A727,'S5'!$T$5:$T$2917),""),"")</f>
        <v/>
      </c>
    </row>
    <row r="728" spans="1:28" s="144" customFormat="1" ht="13.5" x14ac:dyDescent="0.15">
      <c r="A728" s="296">
        <v>3750071</v>
      </c>
      <c r="B728" s="296" t="s">
        <v>351</v>
      </c>
      <c r="C728" s="296" t="s">
        <v>1801</v>
      </c>
      <c r="D728" s="296" t="s">
        <v>353</v>
      </c>
      <c r="E728" s="296" t="s">
        <v>116</v>
      </c>
      <c r="F728" s="296">
        <v>3</v>
      </c>
      <c r="G728" s="296" t="s">
        <v>19</v>
      </c>
      <c r="H728" s="296" t="s">
        <v>20</v>
      </c>
      <c r="I728" s="296" t="s">
        <v>205</v>
      </c>
      <c r="J728" s="296" t="s">
        <v>928</v>
      </c>
      <c r="K728" s="296" t="s">
        <v>216</v>
      </c>
      <c r="L728" s="296">
        <v>50</v>
      </c>
      <c r="M728" s="296" t="s">
        <v>217</v>
      </c>
      <c r="N728" s="296">
        <v>1120</v>
      </c>
      <c r="O728" s="296">
        <v>1120</v>
      </c>
      <c r="P728" s="296">
        <v>5000</v>
      </c>
      <c r="Q728" s="296">
        <v>2</v>
      </c>
      <c r="R728" s="296">
        <v>50</v>
      </c>
      <c r="S728" s="296" t="s">
        <v>354</v>
      </c>
      <c r="T728" s="296" t="s">
        <v>2355</v>
      </c>
      <c r="U728" s="296" t="s">
        <v>2356</v>
      </c>
      <c r="V728" s="296" t="s">
        <v>355</v>
      </c>
      <c r="W728" s="296" t="s">
        <v>928</v>
      </c>
      <c r="X728" s="296" t="s">
        <v>928</v>
      </c>
      <c r="Y728" s="146"/>
      <c r="Z728" s="149" t="str">
        <f t="shared" ca="1" si="11"/>
        <v/>
      </c>
      <c r="AA728" s="149" t="str">
        <f ca="1">IFERROR(IF(OR(OFFSET('S4'!#REF!,MATCH($A728,'S4'!$D$5:$D$3387,0)-1,6)="巻返し",OFFSET('S4'!#REF!,MATCH($A728,'S4'!$D$5:$D$3387,0)-1,6)="スリット"),SUMIF('S4'!$D$5:$D$3387,$A728,'S4'!$U$5:$U$3387),""),"")</f>
        <v/>
      </c>
      <c r="AB728" s="149" t="str">
        <f ca="1">IFERROR(IF(OR(OFFSET('S5'!#REF!,MATCH($A728,'S5'!$D$5:$D$2917,0)-1,6)="巻返し",OFFSET('S5'!#REF!,MATCH($A728,'S5'!$D$5:$D$2917,0)-1,6)="スリット"),SUMIF('S5'!$D$5:$D$2917,$A728,'S5'!$T$5:$T$2917),""),"")</f>
        <v/>
      </c>
    </row>
    <row r="729" spans="1:28" s="144" customFormat="1" ht="13.5" x14ac:dyDescent="0.15">
      <c r="A729" s="296">
        <v>3750072</v>
      </c>
      <c r="B729" s="296" t="s">
        <v>351</v>
      </c>
      <c r="C729" s="296" t="s">
        <v>1801</v>
      </c>
      <c r="D729" s="296" t="s">
        <v>353</v>
      </c>
      <c r="E729" s="296" t="s">
        <v>116</v>
      </c>
      <c r="F729" s="296">
        <v>3</v>
      </c>
      <c r="G729" s="296" t="s">
        <v>19</v>
      </c>
      <c r="H729" s="296" t="s">
        <v>20</v>
      </c>
      <c r="I729" s="296" t="s">
        <v>205</v>
      </c>
      <c r="J729" s="296" t="s">
        <v>928</v>
      </c>
      <c r="K729" s="296" t="s">
        <v>218</v>
      </c>
      <c r="L729" s="296">
        <v>50</v>
      </c>
      <c r="M729" s="296" t="s">
        <v>219</v>
      </c>
      <c r="N729" s="296">
        <v>1000</v>
      </c>
      <c r="O729" s="296">
        <v>1000</v>
      </c>
      <c r="P729" s="296">
        <v>4000</v>
      </c>
      <c r="Q729" s="296">
        <v>2</v>
      </c>
      <c r="R729" s="296">
        <v>28</v>
      </c>
      <c r="S729" s="296" t="s">
        <v>354</v>
      </c>
      <c r="T729" s="296" t="s">
        <v>2355</v>
      </c>
      <c r="U729" s="296" t="s">
        <v>2356</v>
      </c>
      <c r="V729" s="296" t="s">
        <v>355</v>
      </c>
      <c r="W729" s="296" t="s">
        <v>928</v>
      </c>
      <c r="X729" s="296" t="s">
        <v>928</v>
      </c>
      <c r="Y729" s="146"/>
      <c r="Z729" s="149" t="str">
        <f t="shared" ca="1" si="11"/>
        <v/>
      </c>
      <c r="AA729" s="149" t="str">
        <f ca="1">IFERROR(IF(OR(OFFSET('S4'!#REF!,MATCH($A729,'S4'!$D$5:$D$3387,0)-1,6)="巻返し",OFFSET('S4'!#REF!,MATCH($A729,'S4'!$D$5:$D$3387,0)-1,6)="スリット"),SUMIF('S4'!$D$5:$D$3387,$A729,'S4'!$U$5:$U$3387),""),"")</f>
        <v/>
      </c>
      <c r="AB729" s="149" t="str">
        <f ca="1">IFERROR(IF(OR(OFFSET('S5'!#REF!,MATCH($A729,'S5'!$D$5:$D$2917,0)-1,6)="巻返し",OFFSET('S5'!#REF!,MATCH($A729,'S5'!$D$5:$D$2917,0)-1,6)="スリット"),SUMIF('S5'!$D$5:$D$2917,$A729,'S5'!$T$5:$T$2917),""),"")</f>
        <v/>
      </c>
    </row>
    <row r="730" spans="1:28" s="144" customFormat="1" ht="13.5" x14ac:dyDescent="0.15">
      <c r="A730" s="296">
        <v>3750073</v>
      </c>
      <c r="B730" s="296" t="s">
        <v>351</v>
      </c>
      <c r="C730" s="296" t="s">
        <v>1801</v>
      </c>
      <c r="D730" s="296" t="s">
        <v>353</v>
      </c>
      <c r="E730" s="296" t="s">
        <v>116</v>
      </c>
      <c r="F730" s="296" t="s">
        <v>158</v>
      </c>
      <c r="G730" s="296" t="s">
        <v>19</v>
      </c>
      <c r="H730" s="296" t="s">
        <v>20</v>
      </c>
      <c r="I730" s="296" t="s">
        <v>165</v>
      </c>
      <c r="J730" s="296" t="s">
        <v>928</v>
      </c>
      <c r="K730" s="296" t="s">
        <v>192</v>
      </c>
      <c r="L730" s="296">
        <v>50</v>
      </c>
      <c r="M730" s="296" t="s">
        <v>193</v>
      </c>
      <c r="N730" s="296">
        <v>1005</v>
      </c>
      <c r="O730" s="296">
        <v>1000</v>
      </c>
      <c r="P730" s="296">
        <v>4000</v>
      </c>
      <c r="Q730" s="296">
        <v>2</v>
      </c>
      <c r="R730" s="296">
        <v>3</v>
      </c>
      <c r="S730" s="296" t="s">
        <v>354</v>
      </c>
      <c r="T730" s="296" t="s">
        <v>2355</v>
      </c>
      <c r="U730" s="296" t="s">
        <v>2363</v>
      </c>
      <c r="V730" s="296" t="s">
        <v>355</v>
      </c>
      <c r="W730" s="296" t="s">
        <v>928</v>
      </c>
      <c r="X730" s="296" t="s">
        <v>928</v>
      </c>
      <c r="Y730" s="146"/>
      <c r="Z730" s="149" t="str">
        <f t="shared" ca="1" si="11"/>
        <v/>
      </c>
      <c r="AA730" s="149" t="str">
        <f ca="1">IFERROR(IF(OR(OFFSET('S4'!#REF!,MATCH($A730,'S4'!$D$5:$D$3387,0)-1,6)="巻返し",OFFSET('S4'!#REF!,MATCH($A730,'S4'!$D$5:$D$3387,0)-1,6)="スリット"),SUMIF('S4'!$D$5:$D$3387,$A730,'S4'!$U$5:$U$3387),""),"")</f>
        <v/>
      </c>
      <c r="AB730" s="149" t="str">
        <f ca="1">IFERROR(IF(OR(OFFSET('S5'!#REF!,MATCH($A730,'S5'!$D$5:$D$2917,0)-1,6)="巻返し",OFFSET('S5'!#REF!,MATCH($A730,'S5'!$D$5:$D$2917,0)-1,6)="スリット"),SUMIF('S5'!$D$5:$D$2917,$A730,'S5'!$T$5:$T$2917),""),"")</f>
        <v/>
      </c>
    </row>
    <row r="731" spans="1:28" s="144" customFormat="1" ht="13.5" x14ac:dyDescent="0.15">
      <c r="A731" s="296">
        <v>3750074</v>
      </c>
      <c r="B731" s="296" t="s">
        <v>351</v>
      </c>
      <c r="C731" s="296" t="s">
        <v>1801</v>
      </c>
      <c r="D731" s="296" t="s">
        <v>353</v>
      </c>
      <c r="E731" s="296" t="s">
        <v>116</v>
      </c>
      <c r="F731" s="296" t="s">
        <v>158</v>
      </c>
      <c r="G731" s="296" t="s">
        <v>19</v>
      </c>
      <c r="H731" s="296" t="s">
        <v>20</v>
      </c>
      <c r="I731" s="296" t="s">
        <v>165</v>
      </c>
      <c r="J731" s="296" t="s">
        <v>928</v>
      </c>
      <c r="K731" s="296" t="s">
        <v>195</v>
      </c>
      <c r="L731" s="296">
        <v>50</v>
      </c>
      <c r="M731" s="296" t="s">
        <v>196</v>
      </c>
      <c r="N731" s="296">
        <v>1005</v>
      </c>
      <c r="O731" s="296">
        <v>1000</v>
      </c>
      <c r="P731" s="296">
        <v>4000</v>
      </c>
      <c r="Q731" s="296">
        <v>2</v>
      </c>
      <c r="R731" s="296">
        <v>5</v>
      </c>
      <c r="S731" s="296" t="s">
        <v>354</v>
      </c>
      <c r="T731" s="296" t="s">
        <v>2355</v>
      </c>
      <c r="U731" s="296" t="s">
        <v>2356</v>
      </c>
      <c r="V731" s="296" t="s">
        <v>355</v>
      </c>
      <c r="W731" s="296" t="s">
        <v>928</v>
      </c>
      <c r="X731" s="296" t="s">
        <v>928</v>
      </c>
      <c r="Y731" s="146"/>
      <c r="Z731" s="149" t="str">
        <f t="shared" ca="1" si="11"/>
        <v/>
      </c>
      <c r="AA731" s="149" t="str">
        <f ca="1">IFERROR(IF(OR(OFFSET('S4'!#REF!,MATCH($A731,'S4'!$D$5:$D$3387,0)-1,6)="巻返し",OFFSET('S4'!#REF!,MATCH($A731,'S4'!$D$5:$D$3387,0)-1,6)="スリット"),SUMIF('S4'!$D$5:$D$3387,$A731,'S4'!$U$5:$U$3387),""),"")</f>
        <v/>
      </c>
      <c r="AB731" s="149" t="str">
        <f ca="1">IFERROR(IF(OR(OFFSET('S5'!#REF!,MATCH($A731,'S5'!$D$5:$D$2917,0)-1,6)="巻返し",OFFSET('S5'!#REF!,MATCH($A731,'S5'!$D$5:$D$2917,0)-1,6)="スリット"),SUMIF('S5'!$D$5:$D$2917,$A731,'S5'!$T$5:$T$2917),""),"")</f>
        <v/>
      </c>
    </row>
    <row r="732" spans="1:28" s="144" customFormat="1" ht="13.5" x14ac:dyDescent="0.15">
      <c r="A732" s="296">
        <v>3750075</v>
      </c>
      <c r="B732" s="296" t="s">
        <v>351</v>
      </c>
      <c r="C732" s="296" t="s">
        <v>1801</v>
      </c>
      <c r="D732" s="296" t="s">
        <v>353</v>
      </c>
      <c r="E732" s="296" t="s">
        <v>116</v>
      </c>
      <c r="F732" s="296" t="s">
        <v>158</v>
      </c>
      <c r="G732" s="296" t="s">
        <v>19</v>
      </c>
      <c r="H732" s="296" t="s">
        <v>28</v>
      </c>
      <c r="I732" s="296" t="s">
        <v>165</v>
      </c>
      <c r="J732" s="296" t="s">
        <v>928</v>
      </c>
      <c r="K732" s="296" t="s">
        <v>195</v>
      </c>
      <c r="L732" s="296">
        <v>50</v>
      </c>
      <c r="M732" s="296" t="s">
        <v>1958</v>
      </c>
      <c r="N732" s="296">
        <v>1005</v>
      </c>
      <c r="O732" s="296">
        <v>1000</v>
      </c>
      <c r="P732" s="296">
        <v>4000</v>
      </c>
      <c r="Q732" s="296">
        <v>2</v>
      </c>
      <c r="R732" s="296">
        <v>1</v>
      </c>
      <c r="S732" s="296" t="s">
        <v>354</v>
      </c>
      <c r="T732" s="296" t="s">
        <v>2355</v>
      </c>
      <c r="U732" s="296" t="s">
        <v>2356</v>
      </c>
      <c r="V732" s="296" t="s">
        <v>355</v>
      </c>
      <c r="W732" s="296" t="s">
        <v>928</v>
      </c>
      <c r="X732" s="296" t="s">
        <v>928</v>
      </c>
      <c r="Y732" s="146"/>
      <c r="Z732" s="149" t="str">
        <f t="shared" ca="1" si="11"/>
        <v/>
      </c>
      <c r="AA732" s="149" t="str">
        <f ca="1">IFERROR(IF(OR(OFFSET('S4'!#REF!,MATCH($A732,'S4'!$D$5:$D$3387,0)-1,6)="巻返し",OFFSET('S4'!#REF!,MATCH($A732,'S4'!$D$5:$D$3387,0)-1,6)="スリット"),SUMIF('S4'!$D$5:$D$3387,$A732,'S4'!$U$5:$U$3387),""),"")</f>
        <v/>
      </c>
      <c r="AB732" s="149" t="str">
        <f ca="1">IFERROR(IF(OR(OFFSET('S5'!#REF!,MATCH($A732,'S5'!$D$5:$D$2917,0)-1,6)="巻返し",OFFSET('S5'!#REF!,MATCH($A732,'S5'!$D$5:$D$2917,0)-1,6)="スリット"),SUMIF('S5'!$D$5:$D$2917,$A732,'S5'!$T$5:$T$2917),""),"")</f>
        <v/>
      </c>
    </row>
    <row r="733" spans="1:28" s="144" customFormat="1" ht="13.5" x14ac:dyDescent="0.15">
      <c r="A733" s="296">
        <v>3750076</v>
      </c>
      <c r="B733" s="296" t="s">
        <v>351</v>
      </c>
      <c r="C733" s="296" t="s">
        <v>1801</v>
      </c>
      <c r="D733" s="296" t="s">
        <v>353</v>
      </c>
      <c r="E733" s="296" t="s">
        <v>116</v>
      </c>
      <c r="F733" s="296">
        <v>3</v>
      </c>
      <c r="G733" s="296" t="s">
        <v>19</v>
      </c>
      <c r="H733" s="296" t="s">
        <v>20</v>
      </c>
      <c r="I733" s="296" t="s">
        <v>165</v>
      </c>
      <c r="J733" s="296" t="s">
        <v>928</v>
      </c>
      <c r="K733" s="296" t="s">
        <v>166</v>
      </c>
      <c r="L733" s="296">
        <v>50</v>
      </c>
      <c r="M733" s="296" t="s">
        <v>167</v>
      </c>
      <c r="N733" s="296">
        <v>1005</v>
      </c>
      <c r="O733" s="296">
        <v>1000</v>
      </c>
      <c r="P733" s="296">
        <v>2000</v>
      </c>
      <c r="Q733" s="296">
        <v>2</v>
      </c>
      <c r="R733" s="296">
        <v>2</v>
      </c>
      <c r="S733" s="296" t="s">
        <v>354</v>
      </c>
      <c r="T733" s="296" t="s">
        <v>2355</v>
      </c>
      <c r="U733" s="296" t="s">
        <v>2363</v>
      </c>
      <c r="V733" s="296" t="s">
        <v>355</v>
      </c>
      <c r="W733" s="296" t="s">
        <v>928</v>
      </c>
      <c r="X733" s="296" t="s">
        <v>928</v>
      </c>
      <c r="Y733" s="146"/>
      <c r="Z733" s="149" t="str">
        <f t="shared" ca="1" si="11"/>
        <v/>
      </c>
      <c r="AA733" s="149" t="str">
        <f ca="1">IFERROR(IF(OR(OFFSET('S4'!#REF!,MATCH($A733,'S4'!$D$5:$D$3387,0)-1,6)="巻返し",OFFSET('S4'!#REF!,MATCH($A733,'S4'!$D$5:$D$3387,0)-1,6)="スリット"),SUMIF('S4'!$D$5:$D$3387,$A733,'S4'!$U$5:$U$3387),""),"")</f>
        <v/>
      </c>
      <c r="AB733" s="149" t="str">
        <f ca="1">IFERROR(IF(OR(OFFSET('S5'!#REF!,MATCH($A733,'S5'!$D$5:$D$2917,0)-1,6)="巻返し",OFFSET('S5'!#REF!,MATCH($A733,'S5'!$D$5:$D$2917,0)-1,6)="スリット"),SUMIF('S5'!$D$5:$D$2917,$A733,'S5'!$T$5:$T$2917),""),"")</f>
        <v/>
      </c>
    </row>
    <row r="734" spans="1:28" s="144" customFormat="1" ht="13.5" x14ac:dyDescent="0.15">
      <c r="A734" s="296">
        <v>3750080</v>
      </c>
      <c r="B734" s="296" t="s">
        <v>351</v>
      </c>
      <c r="C734" s="296" t="s">
        <v>1801</v>
      </c>
      <c r="D734" s="296" t="s">
        <v>353</v>
      </c>
      <c r="E734" s="296" t="s">
        <v>116</v>
      </c>
      <c r="F734" s="296">
        <v>3</v>
      </c>
      <c r="G734" s="296" t="s">
        <v>19</v>
      </c>
      <c r="H734" s="296" t="s">
        <v>20</v>
      </c>
      <c r="I734" s="296" t="s">
        <v>205</v>
      </c>
      <c r="J734" s="296" t="s">
        <v>928</v>
      </c>
      <c r="K734" s="296" t="s">
        <v>221</v>
      </c>
      <c r="L734" s="296">
        <v>25</v>
      </c>
      <c r="M734" s="296" t="s">
        <v>222</v>
      </c>
      <c r="N734" s="296">
        <v>1100</v>
      </c>
      <c r="O734" s="296">
        <v>1100</v>
      </c>
      <c r="P734" s="296">
        <v>6000</v>
      </c>
      <c r="Q734" s="296">
        <v>2</v>
      </c>
      <c r="R734" s="296">
        <v>10</v>
      </c>
      <c r="S734" s="296" t="s">
        <v>354</v>
      </c>
      <c r="T734" s="296" t="s">
        <v>2355</v>
      </c>
      <c r="U734" s="296" t="s">
        <v>2356</v>
      </c>
      <c r="V734" s="296" t="s">
        <v>355</v>
      </c>
      <c r="W734" s="296" t="s">
        <v>928</v>
      </c>
      <c r="X734" s="296" t="s">
        <v>928</v>
      </c>
      <c r="Y734" s="146"/>
      <c r="Z734" s="149" t="str">
        <f t="shared" ca="1" si="11"/>
        <v/>
      </c>
      <c r="AA734" s="149" t="str">
        <f ca="1">IFERROR(IF(OR(OFFSET('S4'!#REF!,MATCH($A734,'S4'!$D$5:$D$3387,0)-1,6)="巻返し",OFFSET('S4'!#REF!,MATCH($A734,'S4'!$D$5:$D$3387,0)-1,6)="スリット"),SUMIF('S4'!$D$5:$D$3387,$A734,'S4'!$U$5:$U$3387),""),"")</f>
        <v/>
      </c>
      <c r="AB734" s="149" t="str">
        <f ca="1">IFERROR(IF(OR(OFFSET('S5'!#REF!,MATCH($A734,'S5'!$D$5:$D$2917,0)-1,6)="巻返し",OFFSET('S5'!#REF!,MATCH($A734,'S5'!$D$5:$D$2917,0)-1,6)="スリット"),SUMIF('S5'!$D$5:$D$2917,$A734,'S5'!$T$5:$T$2917),""),"")</f>
        <v/>
      </c>
    </row>
    <row r="735" spans="1:28" s="144" customFormat="1" ht="13.5" x14ac:dyDescent="0.15">
      <c r="A735" s="296">
        <v>3750083</v>
      </c>
      <c r="B735" s="296" t="s">
        <v>351</v>
      </c>
      <c r="C735" s="296" t="s">
        <v>1801</v>
      </c>
      <c r="D735" s="296" t="s">
        <v>353</v>
      </c>
      <c r="E735" s="296" t="s">
        <v>116</v>
      </c>
      <c r="F735" s="296">
        <v>3</v>
      </c>
      <c r="G735" s="296" t="s">
        <v>19</v>
      </c>
      <c r="H735" s="296" t="s">
        <v>20</v>
      </c>
      <c r="I735" s="296" t="s">
        <v>205</v>
      </c>
      <c r="J735" s="296" t="s">
        <v>928</v>
      </c>
      <c r="K735" s="296" t="s">
        <v>218</v>
      </c>
      <c r="L735" s="296">
        <v>25</v>
      </c>
      <c r="M735" s="296" t="s">
        <v>219</v>
      </c>
      <c r="N735" s="296">
        <v>1005</v>
      </c>
      <c r="O735" s="296">
        <v>1000</v>
      </c>
      <c r="P735" s="296">
        <v>4000</v>
      </c>
      <c r="Q735" s="296">
        <v>2</v>
      </c>
      <c r="R735" s="296">
        <v>6</v>
      </c>
      <c r="S735" s="296" t="s">
        <v>354</v>
      </c>
      <c r="T735" s="296" t="s">
        <v>2355</v>
      </c>
      <c r="U735" s="296" t="s">
        <v>2364</v>
      </c>
      <c r="V735" s="296" t="s">
        <v>355</v>
      </c>
      <c r="W735" s="296" t="s">
        <v>928</v>
      </c>
      <c r="X735" s="296" t="s">
        <v>928</v>
      </c>
      <c r="Y735" s="146"/>
      <c r="Z735" s="149" t="str">
        <f t="shared" ca="1" si="11"/>
        <v/>
      </c>
      <c r="AA735" s="149" t="str">
        <f ca="1">IFERROR(IF(OR(OFFSET('S4'!#REF!,MATCH($A735,'S4'!$D$5:$D$3387,0)-1,6)="巻返し",OFFSET('S4'!#REF!,MATCH($A735,'S4'!$D$5:$D$3387,0)-1,6)="スリット"),SUMIF('S4'!$D$5:$D$3387,$A735,'S4'!$U$5:$U$3387),""),"")</f>
        <v/>
      </c>
      <c r="AB735" s="149" t="str">
        <f ca="1">IFERROR(IF(OR(OFFSET('S5'!#REF!,MATCH($A735,'S5'!$D$5:$D$2917,0)-1,6)="巻返し",OFFSET('S5'!#REF!,MATCH($A735,'S5'!$D$5:$D$2917,0)-1,6)="スリット"),SUMIF('S5'!$D$5:$D$2917,$A735,'S5'!$T$5:$T$2917),""),"")</f>
        <v/>
      </c>
    </row>
    <row r="736" spans="1:28" s="144" customFormat="1" ht="13.5" x14ac:dyDescent="0.15">
      <c r="A736" s="296">
        <v>3750084</v>
      </c>
      <c r="B736" s="296" t="s">
        <v>351</v>
      </c>
      <c r="C736" s="296" t="s">
        <v>1801</v>
      </c>
      <c r="D736" s="296" t="s">
        <v>353</v>
      </c>
      <c r="E736" s="296" t="s">
        <v>116</v>
      </c>
      <c r="F736" s="296">
        <v>3</v>
      </c>
      <c r="G736" s="296" t="s">
        <v>19</v>
      </c>
      <c r="H736" s="296" t="s">
        <v>28</v>
      </c>
      <c r="I736" s="296" t="s">
        <v>205</v>
      </c>
      <c r="J736" s="296" t="s">
        <v>928</v>
      </c>
      <c r="K736" s="296" t="s">
        <v>237</v>
      </c>
      <c r="L736" s="296">
        <v>25</v>
      </c>
      <c r="M736" s="296" t="s">
        <v>238</v>
      </c>
      <c r="N736" s="296">
        <v>1120</v>
      </c>
      <c r="O736" s="296">
        <v>1120</v>
      </c>
      <c r="P736" s="296">
        <v>8000</v>
      </c>
      <c r="Q736" s="296">
        <v>2</v>
      </c>
      <c r="R736" s="296">
        <v>2</v>
      </c>
      <c r="S736" s="296" t="s">
        <v>354</v>
      </c>
      <c r="T736" s="296" t="s">
        <v>2355</v>
      </c>
      <c r="U736" s="296" t="s">
        <v>2363</v>
      </c>
      <c r="V736" s="296" t="s">
        <v>355</v>
      </c>
      <c r="W736" s="296" t="s">
        <v>928</v>
      </c>
      <c r="X736" s="296" t="s">
        <v>928</v>
      </c>
      <c r="Y736" s="146"/>
      <c r="Z736" s="149" t="str">
        <f t="shared" ca="1" si="11"/>
        <v/>
      </c>
      <c r="AA736" s="149" t="str">
        <f ca="1">IFERROR(IF(OR(OFFSET('S4'!#REF!,MATCH($A736,'S4'!$D$5:$D$3387,0)-1,6)="巻返し",OFFSET('S4'!#REF!,MATCH($A736,'S4'!$D$5:$D$3387,0)-1,6)="スリット"),SUMIF('S4'!$D$5:$D$3387,$A736,'S4'!$U$5:$U$3387),""),"")</f>
        <v/>
      </c>
      <c r="AB736" s="149" t="str">
        <f ca="1">IFERROR(IF(OR(OFFSET('S5'!#REF!,MATCH($A736,'S5'!$D$5:$D$2917,0)-1,6)="巻返し",OFFSET('S5'!#REF!,MATCH($A736,'S5'!$D$5:$D$2917,0)-1,6)="スリット"),SUMIF('S5'!$D$5:$D$2917,$A736,'S5'!$T$5:$T$2917),""),"")</f>
        <v/>
      </c>
    </row>
    <row r="737" spans="1:28" s="144" customFormat="1" ht="13.5" x14ac:dyDescent="0.15">
      <c r="A737" s="296">
        <v>3750085</v>
      </c>
      <c r="B737" s="296" t="s">
        <v>351</v>
      </c>
      <c r="C737" s="296" t="s">
        <v>1801</v>
      </c>
      <c r="D737" s="296" t="s">
        <v>353</v>
      </c>
      <c r="E737" s="296" t="s">
        <v>116</v>
      </c>
      <c r="F737" s="296">
        <v>3</v>
      </c>
      <c r="G737" s="296" t="s">
        <v>19</v>
      </c>
      <c r="H737" s="296" t="s">
        <v>28</v>
      </c>
      <c r="I737" s="296" t="s">
        <v>205</v>
      </c>
      <c r="J737" s="296" t="s">
        <v>928</v>
      </c>
      <c r="K737" s="296" t="s">
        <v>224</v>
      </c>
      <c r="L737" s="296">
        <v>25</v>
      </c>
      <c r="M737" s="296" t="s">
        <v>225</v>
      </c>
      <c r="N737" s="296">
        <v>1120</v>
      </c>
      <c r="O737" s="296">
        <v>1120</v>
      </c>
      <c r="P737" s="296">
        <v>8000</v>
      </c>
      <c r="Q737" s="296">
        <v>2</v>
      </c>
      <c r="R737" s="296">
        <v>1</v>
      </c>
      <c r="S737" s="296" t="s">
        <v>354</v>
      </c>
      <c r="T737" s="296" t="s">
        <v>2355</v>
      </c>
      <c r="U737" s="296" t="s">
        <v>2363</v>
      </c>
      <c r="V737" s="296" t="s">
        <v>355</v>
      </c>
      <c r="W737" s="296" t="s">
        <v>928</v>
      </c>
      <c r="X737" s="296" t="s">
        <v>928</v>
      </c>
      <c r="Y737" s="146"/>
      <c r="Z737" s="149" t="str">
        <f t="shared" ca="1" si="11"/>
        <v/>
      </c>
      <c r="AA737" s="149" t="str">
        <f ca="1">IFERROR(IF(OR(OFFSET('S4'!#REF!,MATCH($A737,'S4'!$D$5:$D$3387,0)-1,6)="巻返し",OFFSET('S4'!#REF!,MATCH($A737,'S4'!$D$5:$D$3387,0)-1,6)="スリット"),SUMIF('S4'!$D$5:$D$3387,$A737,'S4'!$U$5:$U$3387),""),"")</f>
        <v/>
      </c>
      <c r="AB737" s="149" t="str">
        <f ca="1">IFERROR(IF(OR(OFFSET('S5'!#REF!,MATCH($A737,'S5'!$D$5:$D$2917,0)-1,6)="巻返し",OFFSET('S5'!#REF!,MATCH($A737,'S5'!$D$5:$D$2917,0)-1,6)="スリット"),SUMIF('S5'!$D$5:$D$2917,$A737,'S5'!$T$5:$T$2917),""),"")</f>
        <v/>
      </c>
    </row>
    <row r="738" spans="1:28" s="252" customFormat="1" ht="13.15" customHeight="1" x14ac:dyDescent="0.15">
      <c r="A738" s="296">
        <v>3750086</v>
      </c>
      <c r="B738" s="296" t="s">
        <v>351</v>
      </c>
      <c r="C738" s="296" t="s">
        <v>1801</v>
      </c>
      <c r="D738" s="296" t="s">
        <v>353</v>
      </c>
      <c r="E738" s="296" t="s">
        <v>116</v>
      </c>
      <c r="F738" s="296">
        <v>3</v>
      </c>
      <c r="G738" s="296" t="s">
        <v>19</v>
      </c>
      <c r="H738" s="296" t="s">
        <v>28</v>
      </c>
      <c r="I738" s="296" t="s">
        <v>205</v>
      </c>
      <c r="J738" s="296" t="s">
        <v>928</v>
      </c>
      <c r="K738" s="296" t="s">
        <v>237</v>
      </c>
      <c r="L738" s="296">
        <v>50</v>
      </c>
      <c r="M738" s="296" t="s">
        <v>238</v>
      </c>
      <c r="N738" s="296">
        <v>1120</v>
      </c>
      <c r="O738" s="296">
        <v>1120</v>
      </c>
      <c r="P738" s="296">
        <v>4000</v>
      </c>
      <c r="Q738" s="296">
        <v>2</v>
      </c>
      <c r="R738" s="296">
        <v>4</v>
      </c>
      <c r="S738" s="296" t="s">
        <v>354</v>
      </c>
      <c r="T738" s="296" t="s">
        <v>2355</v>
      </c>
      <c r="U738" s="296" t="s">
        <v>2363</v>
      </c>
      <c r="V738" s="296" t="s">
        <v>355</v>
      </c>
      <c r="W738" s="296" t="s">
        <v>928</v>
      </c>
      <c r="X738" s="296" t="s">
        <v>928</v>
      </c>
      <c r="Y738" s="146"/>
    </row>
    <row r="739" spans="1:28" s="252" customFormat="1" ht="13.15" customHeight="1" x14ac:dyDescent="0.15">
      <c r="A739" s="296">
        <v>3750087</v>
      </c>
      <c r="B739" s="296" t="s">
        <v>351</v>
      </c>
      <c r="C739" s="296" t="s">
        <v>1801</v>
      </c>
      <c r="D739" s="296" t="s">
        <v>353</v>
      </c>
      <c r="E739" s="296" t="s">
        <v>116</v>
      </c>
      <c r="F739" s="296">
        <v>3</v>
      </c>
      <c r="G739" s="296" t="s">
        <v>19</v>
      </c>
      <c r="H739" s="296" t="s">
        <v>28</v>
      </c>
      <c r="I739" s="296" t="s">
        <v>205</v>
      </c>
      <c r="J739" s="296" t="s">
        <v>928</v>
      </c>
      <c r="K739" s="296" t="s">
        <v>224</v>
      </c>
      <c r="L739" s="296">
        <v>50</v>
      </c>
      <c r="M739" s="296" t="s">
        <v>225</v>
      </c>
      <c r="N739" s="296">
        <v>1120</v>
      </c>
      <c r="O739" s="296">
        <v>1120</v>
      </c>
      <c r="P739" s="296">
        <v>5000</v>
      </c>
      <c r="Q739" s="296">
        <v>2</v>
      </c>
      <c r="R739" s="296">
        <v>2</v>
      </c>
      <c r="S739" s="296" t="s">
        <v>354</v>
      </c>
      <c r="T739" s="296" t="s">
        <v>2355</v>
      </c>
      <c r="U739" s="296" t="s">
        <v>2363</v>
      </c>
      <c r="V739" s="296" t="s">
        <v>355</v>
      </c>
      <c r="W739" s="296" t="s">
        <v>928</v>
      </c>
      <c r="X739" s="296" t="s">
        <v>928</v>
      </c>
      <c r="Y739" s="146"/>
    </row>
    <row r="740" spans="1:28" s="252" customFormat="1" ht="13.15" customHeight="1" x14ac:dyDescent="0.15">
      <c r="A740" s="296">
        <v>3750088</v>
      </c>
      <c r="B740" s="296" t="s">
        <v>351</v>
      </c>
      <c r="C740" s="296" t="s">
        <v>1801</v>
      </c>
      <c r="D740" s="296" t="s">
        <v>353</v>
      </c>
      <c r="E740" s="296" t="s">
        <v>116</v>
      </c>
      <c r="F740" s="296">
        <v>3</v>
      </c>
      <c r="G740" s="296" t="s">
        <v>19</v>
      </c>
      <c r="H740" s="296" t="s">
        <v>28</v>
      </c>
      <c r="I740" s="296" t="s">
        <v>205</v>
      </c>
      <c r="J740" s="296" t="s">
        <v>928</v>
      </c>
      <c r="K740" s="296" t="s">
        <v>233</v>
      </c>
      <c r="L740" s="296">
        <v>50</v>
      </c>
      <c r="M740" s="296" t="s">
        <v>234</v>
      </c>
      <c r="N740" s="296">
        <v>1120</v>
      </c>
      <c r="O740" s="296">
        <v>1120</v>
      </c>
      <c r="P740" s="296">
        <v>4000</v>
      </c>
      <c r="Q740" s="296">
        <v>2</v>
      </c>
      <c r="R740" s="296">
        <v>4</v>
      </c>
      <c r="S740" s="296" t="s">
        <v>354</v>
      </c>
      <c r="T740" s="296" t="s">
        <v>2355</v>
      </c>
      <c r="U740" s="296" t="s">
        <v>2363</v>
      </c>
      <c r="V740" s="296" t="s">
        <v>355</v>
      </c>
      <c r="W740" s="296" t="s">
        <v>928</v>
      </c>
      <c r="X740" s="296" t="s">
        <v>928</v>
      </c>
      <c r="Y740" s="146"/>
    </row>
    <row r="741" spans="1:28" s="252" customFormat="1" ht="13.15" customHeight="1" x14ac:dyDescent="0.15">
      <c r="A741" s="296">
        <v>3750089</v>
      </c>
      <c r="B741" s="296" t="s">
        <v>351</v>
      </c>
      <c r="C741" s="296" t="s">
        <v>1801</v>
      </c>
      <c r="D741" s="296" t="s">
        <v>353</v>
      </c>
      <c r="E741" s="296" t="s">
        <v>116</v>
      </c>
      <c r="F741" s="296">
        <v>3</v>
      </c>
      <c r="G741" s="296" t="s">
        <v>19</v>
      </c>
      <c r="H741" s="296" t="s">
        <v>28</v>
      </c>
      <c r="I741" s="296" t="s">
        <v>205</v>
      </c>
      <c r="J741" s="296" t="s">
        <v>928</v>
      </c>
      <c r="K741" s="296" t="s">
        <v>233</v>
      </c>
      <c r="L741" s="296">
        <v>50</v>
      </c>
      <c r="M741" s="296" t="s">
        <v>234</v>
      </c>
      <c r="N741" s="296">
        <v>1120</v>
      </c>
      <c r="O741" s="296">
        <v>1120</v>
      </c>
      <c r="P741" s="296">
        <v>4000</v>
      </c>
      <c r="Q741" s="296">
        <v>2</v>
      </c>
      <c r="R741" s="296">
        <v>4</v>
      </c>
      <c r="S741" s="296" t="s">
        <v>354</v>
      </c>
      <c r="T741" s="296" t="s">
        <v>2355</v>
      </c>
      <c r="U741" s="296" t="s">
        <v>2363</v>
      </c>
      <c r="V741" s="296" t="s">
        <v>355</v>
      </c>
      <c r="W741" s="296" t="s">
        <v>928</v>
      </c>
      <c r="X741" s="296" t="s">
        <v>928</v>
      </c>
      <c r="Y741" s="146"/>
    </row>
    <row r="742" spans="1:28" s="252" customFormat="1" ht="13.15" customHeight="1" x14ac:dyDescent="0.15">
      <c r="A742" s="296">
        <v>3750090</v>
      </c>
      <c r="B742" s="296" t="s">
        <v>351</v>
      </c>
      <c r="C742" s="296" t="s">
        <v>1801</v>
      </c>
      <c r="D742" s="296" t="s">
        <v>353</v>
      </c>
      <c r="E742" s="296" t="s">
        <v>116</v>
      </c>
      <c r="F742" s="296">
        <v>3</v>
      </c>
      <c r="G742" s="296" t="s">
        <v>19</v>
      </c>
      <c r="H742" s="296" t="s">
        <v>28</v>
      </c>
      <c r="I742" s="296" t="s">
        <v>205</v>
      </c>
      <c r="J742" s="296" t="s">
        <v>928</v>
      </c>
      <c r="K742" s="296" t="s">
        <v>237</v>
      </c>
      <c r="L742" s="296">
        <v>50</v>
      </c>
      <c r="M742" s="296" t="s">
        <v>238</v>
      </c>
      <c r="N742" s="296">
        <v>1120</v>
      </c>
      <c r="O742" s="296">
        <v>1120</v>
      </c>
      <c r="P742" s="296">
        <v>4000</v>
      </c>
      <c r="Q742" s="296">
        <v>2</v>
      </c>
      <c r="R742" s="296">
        <v>2</v>
      </c>
      <c r="S742" s="296" t="s">
        <v>354</v>
      </c>
      <c r="T742" s="296" t="s">
        <v>2355</v>
      </c>
      <c r="U742" s="296" t="s">
        <v>2363</v>
      </c>
      <c r="V742" s="296" t="s">
        <v>355</v>
      </c>
      <c r="W742" s="296" t="s">
        <v>928</v>
      </c>
      <c r="X742" s="296" t="s">
        <v>928</v>
      </c>
      <c r="Y742" s="146"/>
    </row>
    <row r="743" spans="1:28" s="252" customFormat="1" ht="13.15" customHeight="1" x14ac:dyDescent="0.15">
      <c r="A743" s="296">
        <v>3750091</v>
      </c>
      <c r="B743" s="296" t="s">
        <v>351</v>
      </c>
      <c r="C743" s="296" t="s">
        <v>1801</v>
      </c>
      <c r="D743" s="296" t="s">
        <v>353</v>
      </c>
      <c r="E743" s="296" t="s">
        <v>116</v>
      </c>
      <c r="F743" s="296">
        <v>3</v>
      </c>
      <c r="G743" s="296" t="s">
        <v>19</v>
      </c>
      <c r="H743" s="296" t="s">
        <v>28</v>
      </c>
      <c r="I743" s="296" t="s">
        <v>205</v>
      </c>
      <c r="J743" s="296" t="s">
        <v>928</v>
      </c>
      <c r="K743" s="296" t="s">
        <v>224</v>
      </c>
      <c r="L743" s="296">
        <v>25</v>
      </c>
      <c r="M743" s="296" t="s">
        <v>225</v>
      </c>
      <c r="N743" s="296">
        <v>1120</v>
      </c>
      <c r="O743" s="296">
        <v>1120</v>
      </c>
      <c r="P743" s="296">
        <v>8000</v>
      </c>
      <c r="Q743" s="296">
        <v>2</v>
      </c>
      <c r="R743" s="296">
        <v>1</v>
      </c>
      <c r="S743" s="296" t="s">
        <v>354</v>
      </c>
      <c r="T743" s="296" t="s">
        <v>2355</v>
      </c>
      <c r="U743" s="296" t="s">
        <v>2363</v>
      </c>
      <c r="V743" s="296" t="s">
        <v>355</v>
      </c>
      <c r="W743" s="296" t="s">
        <v>928</v>
      </c>
      <c r="X743" s="296" t="s">
        <v>928</v>
      </c>
      <c r="Y743" s="146"/>
    </row>
    <row r="744" spans="1:28" s="252" customFormat="1" ht="13.15" customHeight="1" x14ac:dyDescent="0.15">
      <c r="A744" s="296">
        <v>3750092</v>
      </c>
      <c r="B744" s="296" t="s">
        <v>351</v>
      </c>
      <c r="C744" s="296" t="s">
        <v>1801</v>
      </c>
      <c r="D744" s="296" t="s">
        <v>353</v>
      </c>
      <c r="E744" s="296" t="s">
        <v>116</v>
      </c>
      <c r="F744" s="296">
        <v>3</v>
      </c>
      <c r="G744" s="296" t="s">
        <v>19</v>
      </c>
      <c r="H744" s="296" t="s">
        <v>28</v>
      </c>
      <c r="I744" s="296" t="s">
        <v>205</v>
      </c>
      <c r="J744" s="296" t="s">
        <v>928</v>
      </c>
      <c r="K744" s="296" t="s">
        <v>233</v>
      </c>
      <c r="L744" s="296">
        <v>50</v>
      </c>
      <c r="M744" s="296" t="s">
        <v>234</v>
      </c>
      <c r="N744" s="296">
        <v>1120</v>
      </c>
      <c r="O744" s="296">
        <v>1120</v>
      </c>
      <c r="P744" s="296">
        <v>4000</v>
      </c>
      <c r="Q744" s="296">
        <v>2</v>
      </c>
      <c r="R744" s="296">
        <v>4</v>
      </c>
      <c r="S744" s="296" t="s">
        <v>354</v>
      </c>
      <c r="T744" s="296" t="s">
        <v>2355</v>
      </c>
      <c r="U744" s="296" t="s">
        <v>2363</v>
      </c>
      <c r="V744" s="296" t="s">
        <v>355</v>
      </c>
      <c r="W744" s="296" t="s">
        <v>928</v>
      </c>
      <c r="X744" s="296" t="s">
        <v>928</v>
      </c>
      <c r="Y744" s="146"/>
    </row>
    <row r="745" spans="1:28" s="252" customFormat="1" ht="13.15" customHeight="1" x14ac:dyDescent="0.15">
      <c r="A745" s="296">
        <v>3750093</v>
      </c>
      <c r="B745" s="296" t="s">
        <v>351</v>
      </c>
      <c r="C745" s="296" t="s">
        <v>1801</v>
      </c>
      <c r="D745" s="296" t="s">
        <v>353</v>
      </c>
      <c r="E745" s="296" t="s">
        <v>116</v>
      </c>
      <c r="F745" s="296">
        <v>3</v>
      </c>
      <c r="G745" s="296" t="s">
        <v>19</v>
      </c>
      <c r="H745" s="296" t="s">
        <v>28</v>
      </c>
      <c r="I745" s="296" t="s">
        <v>205</v>
      </c>
      <c r="J745" s="296" t="s">
        <v>928</v>
      </c>
      <c r="K745" s="296" t="s">
        <v>224</v>
      </c>
      <c r="L745" s="296">
        <v>50</v>
      </c>
      <c r="M745" s="296" t="s">
        <v>225</v>
      </c>
      <c r="N745" s="296">
        <v>1120</v>
      </c>
      <c r="O745" s="296">
        <v>1120</v>
      </c>
      <c r="P745" s="296">
        <v>5000</v>
      </c>
      <c r="Q745" s="296">
        <v>2</v>
      </c>
      <c r="R745" s="296">
        <v>2</v>
      </c>
      <c r="S745" s="296" t="s">
        <v>354</v>
      </c>
      <c r="T745" s="296" t="s">
        <v>2355</v>
      </c>
      <c r="U745" s="296" t="s">
        <v>2363</v>
      </c>
      <c r="V745" s="296" t="s">
        <v>355</v>
      </c>
      <c r="W745" s="296" t="s">
        <v>928</v>
      </c>
      <c r="X745" s="296" t="s">
        <v>928</v>
      </c>
      <c r="Y745" s="146"/>
    </row>
    <row r="746" spans="1:28" s="252" customFormat="1" ht="13.15" customHeight="1" x14ac:dyDescent="0.15">
      <c r="A746" s="296">
        <v>3750096</v>
      </c>
      <c r="B746" s="296" t="s">
        <v>423</v>
      </c>
      <c r="C746" s="296" t="s">
        <v>1801</v>
      </c>
      <c r="D746" s="296" t="s">
        <v>353</v>
      </c>
      <c r="E746" s="296" t="s">
        <v>116</v>
      </c>
      <c r="F746" s="296">
        <v>3</v>
      </c>
      <c r="G746" s="296" t="s">
        <v>265</v>
      </c>
      <c r="H746" s="296" t="s">
        <v>20</v>
      </c>
      <c r="I746" s="296" t="s">
        <v>165</v>
      </c>
      <c r="J746" s="296" t="s">
        <v>928</v>
      </c>
      <c r="K746" s="296" t="s">
        <v>176</v>
      </c>
      <c r="L746" s="296">
        <v>50</v>
      </c>
      <c r="M746" s="296" t="s">
        <v>177</v>
      </c>
      <c r="N746" s="296">
        <v>1005</v>
      </c>
      <c r="O746" s="296">
        <v>1000</v>
      </c>
      <c r="P746" s="296">
        <v>4100</v>
      </c>
      <c r="Q746" s="296">
        <v>2</v>
      </c>
      <c r="R746" s="296">
        <v>1</v>
      </c>
      <c r="S746" s="296" t="s">
        <v>354</v>
      </c>
      <c r="T746" s="296" t="s">
        <v>2355</v>
      </c>
      <c r="U746" s="296" t="s">
        <v>2363</v>
      </c>
      <c r="V746" s="296" t="s">
        <v>355</v>
      </c>
      <c r="W746" s="296" t="s">
        <v>928</v>
      </c>
      <c r="X746" s="296" t="s">
        <v>928</v>
      </c>
      <c r="Y746" s="146"/>
    </row>
    <row r="747" spans="1:28" s="252" customFormat="1" ht="13.15" customHeight="1" x14ac:dyDescent="0.15">
      <c r="A747" s="296">
        <v>3750097</v>
      </c>
      <c r="B747" s="296" t="s">
        <v>423</v>
      </c>
      <c r="C747" s="296" t="s">
        <v>1801</v>
      </c>
      <c r="D747" s="296" t="s">
        <v>353</v>
      </c>
      <c r="E747" s="296" t="s">
        <v>116</v>
      </c>
      <c r="F747" s="296">
        <v>3</v>
      </c>
      <c r="G747" s="296" t="s">
        <v>265</v>
      </c>
      <c r="H747" s="296" t="s">
        <v>20</v>
      </c>
      <c r="I747" s="296" t="s">
        <v>165</v>
      </c>
      <c r="J747" s="296" t="s">
        <v>928</v>
      </c>
      <c r="K747" s="296" t="s">
        <v>176</v>
      </c>
      <c r="L747" s="296">
        <v>50</v>
      </c>
      <c r="M747" s="296" t="s">
        <v>177</v>
      </c>
      <c r="N747" s="296">
        <v>1005</v>
      </c>
      <c r="O747" s="296">
        <v>1000</v>
      </c>
      <c r="P747" s="296">
        <v>2000</v>
      </c>
      <c r="Q747" s="296">
        <v>2</v>
      </c>
      <c r="R747" s="296">
        <v>2</v>
      </c>
      <c r="S747" s="296" t="s">
        <v>354</v>
      </c>
      <c r="T747" s="296" t="s">
        <v>2355</v>
      </c>
      <c r="U747" s="296" t="s">
        <v>2363</v>
      </c>
      <c r="V747" s="296" t="s">
        <v>355</v>
      </c>
      <c r="W747" s="296" t="s">
        <v>928</v>
      </c>
      <c r="X747" s="296" t="s">
        <v>928</v>
      </c>
      <c r="Y747" s="146"/>
    </row>
    <row r="748" spans="1:28" s="252" customFormat="1" ht="13.15" customHeight="1" x14ac:dyDescent="0.15">
      <c r="A748" s="296">
        <v>3750949</v>
      </c>
      <c r="B748" s="296" t="s">
        <v>351</v>
      </c>
      <c r="C748" s="296" t="s">
        <v>1801</v>
      </c>
      <c r="D748" s="296" t="s">
        <v>353</v>
      </c>
      <c r="E748" s="296" t="s">
        <v>148</v>
      </c>
      <c r="F748" s="296" t="s">
        <v>1818</v>
      </c>
      <c r="G748" s="296" t="s">
        <v>19</v>
      </c>
      <c r="H748" s="296" t="s">
        <v>20</v>
      </c>
      <c r="I748" s="296" t="s">
        <v>143</v>
      </c>
      <c r="J748" s="296" t="s">
        <v>928</v>
      </c>
      <c r="K748" s="296" t="s">
        <v>149</v>
      </c>
      <c r="L748" s="296">
        <v>25</v>
      </c>
      <c r="M748" s="296" t="s">
        <v>150</v>
      </c>
      <c r="N748" s="296">
        <v>1120</v>
      </c>
      <c r="O748" s="296">
        <v>1120</v>
      </c>
      <c r="P748" s="296">
        <v>6000</v>
      </c>
      <c r="Q748" s="296">
        <v>2</v>
      </c>
      <c r="R748" s="296">
        <v>8</v>
      </c>
      <c r="S748" s="296" t="s">
        <v>354</v>
      </c>
      <c r="T748" s="296" t="s">
        <v>2365</v>
      </c>
      <c r="U748" s="296" t="s">
        <v>2357</v>
      </c>
      <c r="V748" s="296" t="s">
        <v>355</v>
      </c>
      <c r="W748" s="296" t="s">
        <v>928</v>
      </c>
      <c r="X748" s="296" t="s">
        <v>928</v>
      </c>
      <c r="Y748" s="146"/>
    </row>
    <row r="749" spans="1:28" s="252" customFormat="1" ht="13.15" customHeight="1" x14ac:dyDescent="0.15">
      <c r="A749" s="296">
        <v>3750949</v>
      </c>
      <c r="B749" s="296" t="s">
        <v>351</v>
      </c>
      <c r="C749" s="296" t="s">
        <v>1801</v>
      </c>
      <c r="D749" s="296" t="s">
        <v>353</v>
      </c>
      <c r="E749" s="296" t="s">
        <v>148</v>
      </c>
      <c r="F749" s="296" t="s">
        <v>1818</v>
      </c>
      <c r="G749" s="296" t="s">
        <v>19</v>
      </c>
      <c r="H749" s="296" t="s">
        <v>20</v>
      </c>
      <c r="I749" s="296" t="s">
        <v>143</v>
      </c>
      <c r="J749" s="296" t="s">
        <v>928</v>
      </c>
      <c r="K749" s="296" t="s">
        <v>149</v>
      </c>
      <c r="L749" s="296">
        <v>25</v>
      </c>
      <c r="M749" s="296" t="s">
        <v>150</v>
      </c>
      <c r="N749" s="296">
        <v>1120</v>
      </c>
      <c r="O749" s="296">
        <v>1120</v>
      </c>
      <c r="P749" s="296">
        <v>6000</v>
      </c>
      <c r="Q749" s="296">
        <v>2</v>
      </c>
      <c r="R749" s="296">
        <v>8</v>
      </c>
      <c r="S749" s="296" t="s">
        <v>354</v>
      </c>
      <c r="T749" s="296" t="s">
        <v>2365</v>
      </c>
      <c r="U749" s="296" t="s">
        <v>2357</v>
      </c>
      <c r="V749" s="296" t="s">
        <v>355</v>
      </c>
      <c r="W749" s="296" t="s">
        <v>928</v>
      </c>
      <c r="X749" s="296" t="s">
        <v>928</v>
      </c>
      <c r="Y749" s="146"/>
    </row>
    <row r="750" spans="1:28" s="252" customFormat="1" ht="13.15" customHeight="1" x14ac:dyDescent="0.15">
      <c r="A750" s="296">
        <v>3751758</v>
      </c>
      <c r="B750" s="296" t="s">
        <v>423</v>
      </c>
      <c r="C750" s="296" t="s">
        <v>1801</v>
      </c>
      <c r="D750" s="296" t="s">
        <v>353</v>
      </c>
      <c r="E750" s="296" t="s">
        <v>116</v>
      </c>
      <c r="F750" s="296">
        <v>3</v>
      </c>
      <c r="G750" s="296" t="s">
        <v>265</v>
      </c>
      <c r="H750" s="296" t="s">
        <v>20</v>
      </c>
      <c r="I750" s="296" t="s">
        <v>165</v>
      </c>
      <c r="J750" s="296" t="s">
        <v>928</v>
      </c>
      <c r="K750" s="296" t="s">
        <v>319</v>
      </c>
      <c r="L750" s="296">
        <v>50</v>
      </c>
      <c r="M750" s="296" t="s">
        <v>483</v>
      </c>
      <c r="N750" s="296">
        <v>1000</v>
      </c>
      <c r="O750" s="296">
        <v>1000</v>
      </c>
      <c r="P750" s="296">
        <v>2000</v>
      </c>
      <c r="Q750" s="296">
        <v>2</v>
      </c>
      <c r="R750" s="296">
        <v>2</v>
      </c>
      <c r="S750" s="296" t="s">
        <v>354</v>
      </c>
      <c r="T750" s="296" t="s">
        <v>2731</v>
      </c>
      <c r="U750" s="296" t="s">
        <v>2732</v>
      </c>
      <c r="V750" s="296" t="s">
        <v>355</v>
      </c>
      <c r="W750" s="296" t="s">
        <v>928</v>
      </c>
      <c r="X750" s="296" t="s">
        <v>928</v>
      </c>
      <c r="Y750" s="146"/>
    </row>
    <row r="751" spans="1:28" s="252" customFormat="1" ht="13.15" customHeight="1" x14ac:dyDescent="0.15">
      <c r="A751" s="296">
        <v>3752159</v>
      </c>
      <c r="B751" s="296" t="s">
        <v>351</v>
      </c>
      <c r="C751" s="296" t="s">
        <v>1801</v>
      </c>
      <c r="D751" s="296" t="s">
        <v>353</v>
      </c>
      <c r="E751" s="296" t="s">
        <v>183</v>
      </c>
      <c r="F751" s="296">
        <v>3</v>
      </c>
      <c r="G751" s="296" t="s">
        <v>19</v>
      </c>
      <c r="H751" s="296" t="s">
        <v>20</v>
      </c>
      <c r="I751" s="296" t="s">
        <v>165</v>
      </c>
      <c r="J751" s="296" t="s">
        <v>928</v>
      </c>
      <c r="K751" s="296" t="s">
        <v>180</v>
      </c>
      <c r="L751" s="296">
        <v>100</v>
      </c>
      <c r="M751" s="296" t="s">
        <v>181</v>
      </c>
      <c r="N751" s="296">
        <v>1205</v>
      </c>
      <c r="O751" s="296">
        <v>1205</v>
      </c>
      <c r="P751" s="296">
        <v>2500</v>
      </c>
      <c r="Q751" s="296">
        <v>2</v>
      </c>
      <c r="R751" s="296">
        <v>2</v>
      </c>
      <c r="S751" s="296" t="s">
        <v>354</v>
      </c>
      <c r="T751" s="296" t="s">
        <v>2738</v>
      </c>
      <c r="U751" s="296" t="s">
        <v>2739</v>
      </c>
      <c r="V751" s="296" t="s">
        <v>355</v>
      </c>
      <c r="W751" s="296" t="s">
        <v>928</v>
      </c>
      <c r="X751" s="296" t="s">
        <v>928</v>
      </c>
      <c r="Y751" s="146"/>
    </row>
    <row r="752" spans="1:28" s="252" customFormat="1" ht="13.15" customHeight="1" x14ac:dyDescent="0.15">
      <c r="A752" s="296">
        <v>3752405</v>
      </c>
      <c r="B752" s="296" t="s">
        <v>351</v>
      </c>
      <c r="C752" s="296" t="s">
        <v>1801</v>
      </c>
      <c r="D752" s="296" t="s">
        <v>353</v>
      </c>
      <c r="E752" s="296" t="s">
        <v>116</v>
      </c>
      <c r="F752" s="296" t="s">
        <v>96</v>
      </c>
      <c r="G752" s="296" t="s">
        <v>19</v>
      </c>
      <c r="H752" s="296" t="s">
        <v>28</v>
      </c>
      <c r="I752" s="296" t="s">
        <v>205</v>
      </c>
      <c r="J752" s="296" t="s">
        <v>928</v>
      </c>
      <c r="K752" s="296" t="s">
        <v>237</v>
      </c>
      <c r="L752" s="296">
        <v>50</v>
      </c>
      <c r="M752" s="296" t="s">
        <v>238</v>
      </c>
      <c r="N752" s="296">
        <v>1120</v>
      </c>
      <c r="O752" s="296">
        <v>1120</v>
      </c>
      <c r="P752" s="296">
        <v>4000</v>
      </c>
      <c r="Q752" s="296">
        <v>2</v>
      </c>
      <c r="R752" s="296">
        <v>4</v>
      </c>
      <c r="S752" s="296" t="s">
        <v>354</v>
      </c>
      <c r="T752" s="296" t="s">
        <v>2740</v>
      </c>
      <c r="U752" s="296" t="s">
        <v>2363</v>
      </c>
      <c r="V752" s="296" t="s">
        <v>355</v>
      </c>
      <c r="W752" s="296" t="s">
        <v>928</v>
      </c>
      <c r="X752" s="296" t="s">
        <v>928</v>
      </c>
      <c r="Y752" s="146"/>
    </row>
    <row r="753" spans="1:25" s="252" customFormat="1" ht="13.15" customHeight="1" x14ac:dyDescent="0.15">
      <c r="A753" s="296">
        <v>3754078</v>
      </c>
      <c r="B753" s="296" t="s">
        <v>351</v>
      </c>
      <c r="C753" s="296" t="s">
        <v>1803</v>
      </c>
      <c r="D753" s="296" t="s">
        <v>353</v>
      </c>
      <c r="E753" s="296" t="s">
        <v>753</v>
      </c>
      <c r="F753" s="296">
        <v>3</v>
      </c>
      <c r="G753" s="296" t="s">
        <v>19</v>
      </c>
      <c r="H753" s="296" t="s">
        <v>20</v>
      </c>
      <c r="I753" s="296" t="s">
        <v>205</v>
      </c>
      <c r="J753" s="296" t="s">
        <v>928</v>
      </c>
      <c r="K753" s="296" t="s">
        <v>230</v>
      </c>
      <c r="L753" s="296">
        <v>25</v>
      </c>
      <c r="M753" s="296" t="s">
        <v>231</v>
      </c>
      <c r="N753" s="296">
        <v>510</v>
      </c>
      <c r="O753" s="296">
        <v>510</v>
      </c>
      <c r="P753" s="296">
        <v>2000</v>
      </c>
      <c r="Q753" s="296">
        <v>1</v>
      </c>
      <c r="R753" s="296">
        <v>12</v>
      </c>
      <c r="S753" s="296" t="s">
        <v>354</v>
      </c>
      <c r="T753" s="296" t="s">
        <v>2363</v>
      </c>
      <c r="U753" s="296" t="s">
        <v>2753</v>
      </c>
      <c r="V753" s="296" t="s">
        <v>355</v>
      </c>
      <c r="W753" s="296" t="s">
        <v>928</v>
      </c>
      <c r="X753" s="417"/>
      <c r="Y753" s="146"/>
    </row>
    <row r="754" spans="1:25" s="252" customFormat="1" ht="13.15" customHeight="1" x14ac:dyDescent="0.15">
      <c r="A754" s="296">
        <v>3754079</v>
      </c>
      <c r="B754" s="296" t="s">
        <v>351</v>
      </c>
      <c r="C754" s="296" t="s">
        <v>1801</v>
      </c>
      <c r="D754" s="296" t="s">
        <v>353</v>
      </c>
      <c r="E754" s="296" t="s">
        <v>232</v>
      </c>
      <c r="F754" s="296">
        <v>3</v>
      </c>
      <c r="G754" s="296" t="s">
        <v>19</v>
      </c>
      <c r="H754" s="296" t="s">
        <v>20</v>
      </c>
      <c r="I754" s="296" t="s">
        <v>205</v>
      </c>
      <c r="J754" s="296" t="s">
        <v>928</v>
      </c>
      <c r="K754" s="296" t="s">
        <v>230</v>
      </c>
      <c r="L754" s="296">
        <v>25</v>
      </c>
      <c r="M754" s="296" t="s">
        <v>231</v>
      </c>
      <c r="N754" s="296">
        <v>1240</v>
      </c>
      <c r="O754" s="296">
        <v>1240</v>
      </c>
      <c r="P754" s="296">
        <v>2000</v>
      </c>
      <c r="Q754" s="296">
        <v>1</v>
      </c>
      <c r="R754" s="296">
        <v>6</v>
      </c>
      <c r="S754" s="296" t="s">
        <v>354</v>
      </c>
      <c r="T754" s="296" t="s">
        <v>2363</v>
      </c>
      <c r="U754" s="296" t="s">
        <v>2753</v>
      </c>
      <c r="V754" s="296" t="s">
        <v>355</v>
      </c>
      <c r="W754" s="296" t="s">
        <v>928</v>
      </c>
      <c r="X754" s="417"/>
      <c r="Y754" s="146"/>
    </row>
    <row r="755" spans="1:25" s="252" customFormat="1" ht="13.15" customHeight="1" x14ac:dyDescent="0.15">
      <c r="A755" s="296">
        <v>3754080</v>
      </c>
      <c r="B755" s="296" t="s">
        <v>351</v>
      </c>
      <c r="C755" s="296" t="s">
        <v>1801</v>
      </c>
      <c r="D755" s="296" t="s">
        <v>353</v>
      </c>
      <c r="E755" s="296" t="s">
        <v>116</v>
      </c>
      <c r="F755" s="296">
        <v>3</v>
      </c>
      <c r="G755" s="296" t="s">
        <v>19</v>
      </c>
      <c r="H755" s="296" t="s">
        <v>20</v>
      </c>
      <c r="I755" s="296" t="s">
        <v>205</v>
      </c>
      <c r="J755" s="296" t="s">
        <v>928</v>
      </c>
      <c r="K755" s="296" t="s">
        <v>212</v>
      </c>
      <c r="L755" s="296">
        <v>25</v>
      </c>
      <c r="M755" s="296" t="s">
        <v>213</v>
      </c>
      <c r="N755" s="296">
        <v>1120</v>
      </c>
      <c r="O755" s="296">
        <v>1120</v>
      </c>
      <c r="P755" s="296">
        <v>4000</v>
      </c>
      <c r="Q755" s="296">
        <v>2</v>
      </c>
      <c r="R755" s="296">
        <v>3</v>
      </c>
      <c r="S755" s="296" t="s">
        <v>354</v>
      </c>
      <c r="T755" s="296" t="s">
        <v>2363</v>
      </c>
      <c r="U755" s="296" t="s">
        <v>2757</v>
      </c>
      <c r="V755" s="296" t="s">
        <v>355</v>
      </c>
      <c r="W755" s="296" t="s">
        <v>928</v>
      </c>
      <c r="X755" s="417"/>
      <c r="Y755" s="146"/>
    </row>
    <row r="756" spans="1:25" s="252" customFormat="1" ht="13.15" customHeight="1" x14ac:dyDescent="0.15">
      <c r="A756" s="296">
        <v>3754081</v>
      </c>
      <c r="B756" s="296" t="s">
        <v>351</v>
      </c>
      <c r="C756" s="296" t="s">
        <v>1801</v>
      </c>
      <c r="D756" s="296" t="s">
        <v>353</v>
      </c>
      <c r="E756" s="296" t="s">
        <v>116</v>
      </c>
      <c r="F756" s="296">
        <v>3</v>
      </c>
      <c r="G756" s="296" t="s">
        <v>19</v>
      </c>
      <c r="H756" s="296" t="s">
        <v>28</v>
      </c>
      <c r="I756" s="296" t="s">
        <v>205</v>
      </c>
      <c r="J756" s="296" t="s">
        <v>928</v>
      </c>
      <c r="K756" s="296" t="s">
        <v>212</v>
      </c>
      <c r="L756" s="296">
        <v>25</v>
      </c>
      <c r="M756" s="296" t="s">
        <v>2758</v>
      </c>
      <c r="N756" s="296">
        <v>1120</v>
      </c>
      <c r="O756" s="296">
        <v>1120</v>
      </c>
      <c r="P756" s="296">
        <v>4000</v>
      </c>
      <c r="Q756" s="296">
        <v>2</v>
      </c>
      <c r="R756" s="296">
        <v>4</v>
      </c>
      <c r="S756" s="296" t="s">
        <v>354</v>
      </c>
      <c r="T756" s="296" t="s">
        <v>2363</v>
      </c>
      <c r="U756" s="296" t="s">
        <v>2759</v>
      </c>
      <c r="V756" s="296" t="s">
        <v>355</v>
      </c>
      <c r="W756" s="296" t="s">
        <v>928</v>
      </c>
      <c r="X756" s="417"/>
      <c r="Y756" s="146"/>
    </row>
    <row r="757" spans="1:25" s="252" customFormat="1" ht="13.15" customHeight="1" x14ac:dyDescent="0.15">
      <c r="A757" s="296">
        <v>3754082</v>
      </c>
      <c r="B757" s="296" t="s">
        <v>351</v>
      </c>
      <c r="C757" s="296" t="s">
        <v>1801</v>
      </c>
      <c r="D757" s="296" t="s">
        <v>353</v>
      </c>
      <c r="E757" s="296" t="s">
        <v>116</v>
      </c>
      <c r="F757" s="296">
        <v>3</v>
      </c>
      <c r="G757" s="296" t="s">
        <v>19</v>
      </c>
      <c r="H757" s="296" t="s">
        <v>20</v>
      </c>
      <c r="I757" s="296" t="s">
        <v>205</v>
      </c>
      <c r="J757" s="296" t="s">
        <v>928</v>
      </c>
      <c r="K757" s="296" t="s">
        <v>212</v>
      </c>
      <c r="L757" s="296">
        <v>50</v>
      </c>
      <c r="M757" s="296" t="s">
        <v>213</v>
      </c>
      <c r="N757" s="296">
        <v>1000</v>
      </c>
      <c r="O757" s="296">
        <v>1000</v>
      </c>
      <c r="P757" s="296">
        <v>4000</v>
      </c>
      <c r="Q757" s="296">
        <v>2</v>
      </c>
      <c r="R757" s="296">
        <v>3</v>
      </c>
      <c r="S757" s="296" t="s">
        <v>354</v>
      </c>
      <c r="T757" s="296" t="s">
        <v>2363</v>
      </c>
      <c r="U757" s="296" t="s">
        <v>2760</v>
      </c>
      <c r="V757" s="296" t="s">
        <v>355</v>
      </c>
      <c r="W757" s="296" t="s">
        <v>928</v>
      </c>
      <c r="X757" s="417"/>
      <c r="Y757" s="146"/>
    </row>
    <row r="758" spans="1:25" s="252" customFormat="1" ht="13.15" customHeight="1" x14ac:dyDescent="0.15">
      <c r="A758" s="296">
        <v>3754083</v>
      </c>
      <c r="B758" s="296" t="s">
        <v>351</v>
      </c>
      <c r="C758" s="296" t="s">
        <v>1801</v>
      </c>
      <c r="D758" s="296" t="s">
        <v>353</v>
      </c>
      <c r="E758" s="296" t="s">
        <v>116</v>
      </c>
      <c r="F758" s="296">
        <v>3</v>
      </c>
      <c r="G758" s="296" t="s">
        <v>19</v>
      </c>
      <c r="H758" s="296" t="s">
        <v>20</v>
      </c>
      <c r="I758" s="296" t="s">
        <v>205</v>
      </c>
      <c r="J758" s="296" t="s">
        <v>928</v>
      </c>
      <c r="K758" s="296" t="s">
        <v>212</v>
      </c>
      <c r="L758" s="296">
        <v>50</v>
      </c>
      <c r="M758" s="296" t="s">
        <v>213</v>
      </c>
      <c r="N758" s="296">
        <v>1120</v>
      </c>
      <c r="O758" s="296">
        <v>1120</v>
      </c>
      <c r="P758" s="296">
        <v>4000</v>
      </c>
      <c r="Q758" s="296">
        <v>2</v>
      </c>
      <c r="R758" s="296">
        <v>24</v>
      </c>
      <c r="S758" s="296" t="s">
        <v>354</v>
      </c>
      <c r="T758" s="296" t="s">
        <v>2363</v>
      </c>
      <c r="U758" s="296" t="s">
        <v>2757</v>
      </c>
      <c r="V758" s="296" t="s">
        <v>355</v>
      </c>
      <c r="W758" s="296" t="s">
        <v>928</v>
      </c>
      <c r="X758" s="417"/>
      <c r="Y758" s="146"/>
    </row>
    <row r="759" spans="1:25" s="252" customFormat="1" ht="13.15" customHeight="1" x14ac:dyDescent="0.15">
      <c r="A759" s="296">
        <v>3754084</v>
      </c>
      <c r="B759" s="296" t="s">
        <v>351</v>
      </c>
      <c r="C759" s="296" t="s">
        <v>1801</v>
      </c>
      <c r="D759" s="296" t="s">
        <v>353</v>
      </c>
      <c r="E759" s="296" t="s">
        <v>116</v>
      </c>
      <c r="F759" s="296">
        <v>3</v>
      </c>
      <c r="G759" s="296" t="s">
        <v>19</v>
      </c>
      <c r="H759" s="296" t="s">
        <v>20</v>
      </c>
      <c r="I759" s="296" t="s">
        <v>205</v>
      </c>
      <c r="J759" s="296" t="s">
        <v>928</v>
      </c>
      <c r="K759" s="296" t="s">
        <v>211</v>
      </c>
      <c r="L759" s="296">
        <v>50</v>
      </c>
      <c r="M759" s="296" t="s">
        <v>370</v>
      </c>
      <c r="N759" s="296">
        <v>1050</v>
      </c>
      <c r="O759" s="296">
        <v>1050</v>
      </c>
      <c r="P759" s="296">
        <v>4100</v>
      </c>
      <c r="Q759" s="296">
        <v>2</v>
      </c>
      <c r="R759" s="296">
        <v>3</v>
      </c>
      <c r="S759" s="296" t="s">
        <v>354</v>
      </c>
      <c r="T759" s="296" t="s">
        <v>2363</v>
      </c>
      <c r="U759" s="296" t="s">
        <v>2761</v>
      </c>
      <c r="V759" s="296" t="s">
        <v>355</v>
      </c>
      <c r="W759" s="296" t="s">
        <v>928</v>
      </c>
      <c r="X759" s="417"/>
      <c r="Y759" s="146"/>
    </row>
    <row r="760" spans="1:25" s="252" customFormat="1" ht="13.15" customHeight="1" x14ac:dyDescent="0.15">
      <c r="A760" s="296">
        <v>3754085</v>
      </c>
      <c r="B760" s="296" t="s">
        <v>351</v>
      </c>
      <c r="C760" s="296" t="s">
        <v>1801</v>
      </c>
      <c r="D760" s="296" t="s">
        <v>353</v>
      </c>
      <c r="E760" s="296" t="s">
        <v>116</v>
      </c>
      <c r="F760" s="296">
        <v>3</v>
      </c>
      <c r="G760" s="296" t="s">
        <v>19</v>
      </c>
      <c r="H760" s="296" t="s">
        <v>20</v>
      </c>
      <c r="I760" s="296" t="s">
        <v>205</v>
      </c>
      <c r="J760" s="296" t="s">
        <v>928</v>
      </c>
      <c r="K760" s="296" t="s">
        <v>211</v>
      </c>
      <c r="L760" s="296">
        <v>75</v>
      </c>
      <c r="M760" s="296" t="s">
        <v>370</v>
      </c>
      <c r="N760" s="296">
        <v>1050</v>
      </c>
      <c r="O760" s="296">
        <v>1050</v>
      </c>
      <c r="P760" s="296">
        <v>2000</v>
      </c>
      <c r="Q760" s="296">
        <v>2</v>
      </c>
      <c r="R760" s="296">
        <v>2</v>
      </c>
      <c r="S760" s="296" t="s">
        <v>354</v>
      </c>
      <c r="T760" s="296" t="s">
        <v>2363</v>
      </c>
      <c r="U760" s="296" t="s">
        <v>2761</v>
      </c>
      <c r="V760" s="296" t="s">
        <v>355</v>
      </c>
      <c r="W760" s="296" t="s">
        <v>928</v>
      </c>
      <c r="X760" s="417"/>
      <c r="Y760" s="146"/>
    </row>
    <row r="761" spans="1:25" s="252" customFormat="1" ht="13.15" customHeight="1" x14ac:dyDescent="0.15">
      <c r="A761" s="296">
        <v>3754086</v>
      </c>
      <c r="B761" s="296" t="s">
        <v>351</v>
      </c>
      <c r="C761" s="296" t="s">
        <v>1801</v>
      </c>
      <c r="D761" s="296" t="s">
        <v>353</v>
      </c>
      <c r="E761" s="296" t="s">
        <v>116</v>
      </c>
      <c r="F761" s="296">
        <v>3</v>
      </c>
      <c r="G761" s="296" t="s">
        <v>19</v>
      </c>
      <c r="H761" s="296" t="s">
        <v>20</v>
      </c>
      <c r="I761" s="296" t="s">
        <v>205</v>
      </c>
      <c r="J761" s="296" t="s">
        <v>928</v>
      </c>
      <c r="K761" s="296" t="s">
        <v>216</v>
      </c>
      <c r="L761" s="296">
        <v>25</v>
      </c>
      <c r="M761" s="296" t="s">
        <v>217</v>
      </c>
      <c r="N761" s="296">
        <v>1005</v>
      </c>
      <c r="O761" s="296">
        <v>1000</v>
      </c>
      <c r="P761" s="296">
        <v>4000</v>
      </c>
      <c r="Q761" s="296">
        <v>2</v>
      </c>
      <c r="R761" s="296">
        <v>15</v>
      </c>
      <c r="S761" s="296" t="s">
        <v>354</v>
      </c>
      <c r="T761" s="296" t="s">
        <v>2363</v>
      </c>
      <c r="U761" s="296" t="s">
        <v>2761</v>
      </c>
      <c r="V761" s="296" t="s">
        <v>355</v>
      </c>
      <c r="W761" s="296" t="s">
        <v>928</v>
      </c>
      <c r="X761" s="417"/>
      <c r="Y761" s="146"/>
    </row>
    <row r="762" spans="1:25" s="252" customFormat="1" ht="13.15" customHeight="1" x14ac:dyDescent="0.15">
      <c r="A762" s="296">
        <v>3754087</v>
      </c>
      <c r="B762" s="296" t="s">
        <v>351</v>
      </c>
      <c r="C762" s="296" t="s">
        <v>1801</v>
      </c>
      <c r="D762" s="296" t="s">
        <v>353</v>
      </c>
      <c r="E762" s="296" t="s">
        <v>116</v>
      </c>
      <c r="F762" s="296">
        <v>3</v>
      </c>
      <c r="G762" s="296" t="s">
        <v>19</v>
      </c>
      <c r="H762" s="296" t="s">
        <v>20</v>
      </c>
      <c r="I762" s="296" t="s">
        <v>205</v>
      </c>
      <c r="J762" s="296" t="s">
        <v>928</v>
      </c>
      <c r="K762" s="296" t="s">
        <v>216</v>
      </c>
      <c r="L762" s="296">
        <v>50</v>
      </c>
      <c r="M762" s="296" t="s">
        <v>217</v>
      </c>
      <c r="N762" s="296">
        <v>1120</v>
      </c>
      <c r="O762" s="296">
        <v>1120</v>
      </c>
      <c r="P762" s="296">
        <v>5000</v>
      </c>
      <c r="Q762" s="296">
        <v>2</v>
      </c>
      <c r="R762" s="296">
        <v>54</v>
      </c>
      <c r="S762" s="296" t="s">
        <v>354</v>
      </c>
      <c r="T762" s="296" t="s">
        <v>2363</v>
      </c>
      <c r="U762" s="296" t="s">
        <v>2760</v>
      </c>
      <c r="V762" s="296" t="s">
        <v>355</v>
      </c>
      <c r="W762" s="296" t="s">
        <v>928</v>
      </c>
      <c r="X762" s="417"/>
      <c r="Y762" s="146"/>
    </row>
    <row r="763" spans="1:25" s="252" customFormat="1" ht="13.15" customHeight="1" x14ac:dyDescent="0.15">
      <c r="A763" s="296">
        <v>3754088</v>
      </c>
      <c r="B763" s="296" t="s">
        <v>351</v>
      </c>
      <c r="C763" s="296" t="s">
        <v>1801</v>
      </c>
      <c r="D763" s="296" t="s">
        <v>353</v>
      </c>
      <c r="E763" s="296" t="s">
        <v>116</v>
      </c>
      <c r="F763" s="296">
        <v>3</v>
      </c>
      <c r="G763" s="296" t="s">
        <v>19</v>
      </c>
      <c r="H763" s="296" t="s">
        <v>20</v>
      </c>
      <c r="I763" s="296" t="s">
        <v>205</v>
      </c>
      <c r="J763" s="296" t="s">
        <v>928</v>
      </c>
      <c r="K763" s="296" t="s">
        <v>218</v>
      </c>
      <c r="L763" s="296">
        <v>50</v>
      </c>
      <c r="M763" s="296" t="s">
        <v>219</v>
      </c>
      <c r="N763" s="296">
        <v>1000</v>
      </c>
      <c r="O763" s="296">
        <v>1000</v>
      </c>
      <c r="P763" s="296">
        <v>4000</v>
      </c>
      <c r="Q763" s="296">
        <v>2</v>
      </c>
      <c r="R763" s="296">
        <v>24</v>
      </c>
      <c r="S763" s="296" t="s">
        <v>354</v>
      </c>
      <c r="T763" s="296" t="s">
        <v>2363</v>
      </c>
      <c r="U763" s="296" t="s">
        <v>2760</v>
      </c>
      <c r="V763" s="296" t="s">
        <v>355</v>
      </c>
      <c r="W763" s="296" t="s">
        <v>928</v>
      </c>
      <c r="X763" s="417"/>
      <c r="Y763" s="146"/>
    </row>
    <row r="764" spans="1:25" s="252" customFormat="1" ht="13.15" customHeight="1" x14ac:dyDescent="0.15">
      <c r="A764" s="296">
        <v>3754089</v>
      </c>
      <c r="B764" s="296" t="s">
        <v>351</v>
      </c>
      <c r="C764" s="296" t="s">
        <v>1801</v>
      </c>
      <c r="D764" s="296" t="s">
        <v>353</v>
      </c>
      <c r="E764" s="296" t="s">
        <v>116</v>
      </c>
      <c r="F764" s="296">
        <v>3</v>
      </c>
      <c r="G764" s="296" t="s">
        <v>19</v>
      </c>
      <c r="H764" s="296" t="s">
        <v>28</v>
      </c>
      <c r="I764" s="296" t="s">
        <v>205</v>
      </c>
      <c r="J764" s="296" t="s">
        <v>928</v>
      </c>
      <c r="K764" s="296" t="s">
        <v>233</v>
      </c>
      <c r="L764" s="296">
        <v>50</v>
      </c>
      <c r="M764" s="296" t="s">
        <v>234</v>
      </c>
      <c r="N764" s="296">
        <v>1120</v>
      </c>
      <c r="O764" s="296">
        <v>1120</v>
      </c>
      <c r="P764" s="296">
        <v>4000</v>
      </c>
      <c r="Q764" s="296">
        <v>2</v>
      </c>
      <c r="R764" s="296">
        <v>8</v>
      </c>
      <c r="S764" s="296" t="s">
        <v>354</v>
      </c>
      <c r="T764" s="296" t="s">
        <v>2363</v>
      </c>
      <c r="U764" s="296" t="s">
        <v>2360</v>
      </c>
      <c r="V764" s="296" t="s">
        <v>355</v>
      </c>
      <c r="W764" s="296" t="s">
        <v>928</v>
      </c>
      <c r="X764" s="417"/>
      <c r="Y764" s="146"/>
    </row>
    <row r="765" spans="1:25" s="252" customFormat="1" ht="13.15" customHeight="1" x14ac:dyDescent="0.15">
      <c r="A765" s="296">
        <v>3754090</v>
      </c>
      <c r="B765" s="296" t="s">
        <v>351</v>
      </c>
      <c r="C765" s="296" t="s">
        <v>1801</v>
      </c>
      <c r="D765" s="296" t="s">
        <v>353</v>
      </c>
      <c r="E765" s="296" t="s">
        <v>116</v>
      </c>
      <c r="F765" s="296">
        <v>3</v>
      </c>
      <c r="G765" s="296" t="s">
        <v>19</v>
      </c>
      <c r="H765" s="296" t="s">
        <v>28</v>
      </c>
      <c r="I765" s="296" t="s">
        <v>205</v>
      </c>
      <c r="J765" s="296" t="s">
        <v>928</v>
      </c>
      <c r="K765" s="296" t="s">
        <v>235</v>
      </c>
      <c r="L765" s="296">
        <v>50</v>
      </c>
      <c r="M765" s="296" t="s">
        <v>236</v>
      </c>
      <c r="N765" s="296">
        <v>1120</v>
      </c>
      <c r="O765" s="296">
        <v>1120</v>
      </c>
      <c r="P765" s="296">
        <v>4000</v>
      </c>
      <c r="Q765" s="296">
        <v>2</v>
      </c>
      <c r="R765" s="296">
        <v>8</v>
      </c>
      <c r="S765" s="296" t="s">
        <v>354</v>
      </c>
      <c r="T765" s="296" t="s">
        <v>2363</v>
      </c>
      <c r="U765" s="296" t="s">
        <v>2360</v>
      </c>
      <c r="V765" s="296" t="s">
        <v>355</v>
      </c>
      <c r="W765" s="296" t="s">
        <v>928</v>
      </c>
      <c r="X765" s="417"/>
      <c r="Y765" s="146"/>
    </row>
    <row r="766" spans="1:25" s="252" customFormat="1" ht="13.15" customHeight="1" x14ac:dyDescent="0.15">
      <c r="A766" s="296">
        <v>3754091</v>
      </c>
      <c r="B766" s="296" t="s">
        <v>351</v>
      </c>
      <c r="C766" s="296" t="s">
        <v>1801</v>
      </c>
      <c r="D766" s="296" t="s">
        <v>353</v>
      </c>
      <c r="E766" s="296" t="s">
        <v>116</v>
      </c>
      <c r="F766" s="296">
        <v>3</v>
      </c>
      <c r="G766" s="296" t="s">
        <v>19</v>
      </c>
      <c r="H766" s="296" t="s">
        <v>28</v>
      </c>
      <c r="I766" s="296" t="s">
        <v>205</v>
      </c>
      <c r="J766" s="296" t="s">
        <v>928</v>
      </c>
      <c r="K766" s="296" t="s">
        <v>233</v>
      </c>
      <c r="L766" s="296">
        <v>50</v>
      </c>
      <c r="M766" s="296" t="s">
        <v>234</v>
      </c>
      <c r="N766" s="296">
        <v>1120</v>
      </c>
      <c r="O766" s="296">
        <v>1120</v>
      </c>
      <c r="P766" s="296">
        <v>4000</v>
      </c>
      <c r="Q766" s="296">
        <v>2</v>
      </c>
      <c r="R766" s="296">
        <v>4</v>
      </c>
      <c r="S766" s="296" t="s">
        <v>354</v>
      </c>
      <c r="T766" s="296" t="s">
        <v>2363</v>
      </c>
      <c r="U766" s="296" t="s">
        <v>2360</v>
      </c>
      <c r="V766" s="296" t="s">
        <v>355</v>
      </c>
      <c r="W766" s="296" t="s">
        <v>928</v>
      </c>
      <c r="X766" s="417"/>
      <c r="Y766" s="146"/>
    </row>
    <row r="767" spans="1:25" s="252" customFormat="1" ht="13.15" customHeight="1" x14ac:dyDescent="0.15">
      <c r="A767" s="296">
        <v>3754092</v>
      </c>
      <c r="B767" s="296" t="s">
        <v>351</v>
      </c>
      <c r="C767" s="296" t="s">
        <v>1801</v>
      </c>
      <c r="D767" s="296" t="s">
        <v>353</v>
      </c>
      <c r="E767" s="296" t="s">
        <v>116</v>
      </c>
      <c r="F767" s="296">
        <v>3</v>
      </c>
      <c r="G767" s="296" t="s">
        <v>19</v>
      </c>
      <c r="H767" s="296" t="s">
        <v>28</v>
      </c>
      <c r="I767" s="296" t="s">
        <v>205</v>
      </c>
      <c r="J767" s="296" t="s">
        <v>928</v>
      </c>
      <c r="K767" s="296" t="s">
        <v>233</v>
      </c>
      <c r="L767" s="296">
        <v>50</v>
      </c>
      <c r="M767" s="296" t="s">
        <v>234</v>
      </c>
      <c r="N767" s="296">
        <v>1005</v>
      </c>
      <c r="O767" s="296">
        <v>1005</v>
      </c>
      <c r="P767" s="296">
        <v>4000</v>
      </c>
      <c r="Q767" s="296">
        <v>2</v>
      </c>
      <c r="R767" s="296">
        <v>4</v>
      </c>
      <c r="S767" s="296" t="s">
        <v>354</v>
      </c>
      <c r="T767" s="296" t="s">
        <v>2363</v>
      </c>
      <c r="U767" s="296" t="s">
        <v>2360</v>
      </c>
      <c r="V767" s="296" t="s">
        <v>355</v>
      </c>
      <c r="W767" s="296" t="s">
        <v>928</v>
      </c>
      <c r="X767" s="417"/>
      <c r="Y767" s="146"/>
    </row>
    <row r="768" spans="1:25" s="252" customFormat="1" ht="13.15" customHeight="1" x14ac:dyDescent="0.15">
      <c r="A768" s="296">
        <v>3754093</v>
      </c>
      <c r="B768" s="296" t="s">
        <v>351</v>
      </c>
      <c r="C768" s="296" t="s">
        <v>1801</v>
      </c>
      <c r="D768" s="296" t="s">
        <v>353</v>
      </c>
      <c r="E768" s="296" t="s">
        <v>116</v>
      </c>
      <c r="F768" s="296">
        <v>3</v>
      </c>
      <c r="G768" s="296" t="s">
        <v>19</v>
      </c>
      <c r="H768" s="296" t="s">
        <v>28</v>
      </c>
      <c r="I768" s="296" t="s">
        <v>205</v>
      </c>
      <c r="J768" s="296" t="s">
        <v>928</v>
      </c>
      <c r="K768" s="296" t="s">
        <v>235</v>
      </c>
      <c r="L768" s="296">
        <v>25</v>
      </c>
      <c r="M768" s="296" t="s">
        <v>236</v>
      </c>
      <c r="N768" s="296">
        <v>1120</v>
      </c>
      <c r="O768" s="296">
        <v>1120</v>
      </c>
      <c r="P768" s="296">
        <v>8000</v>
      </c>
      <c r="Q768" s="296">
        <v>2</v>
      </c>
      <c r="R768" s="296">
        <v>2</v>
      </c>
      <c r="S768" s="296" t="s">
        <v>354</v>
      </c>
      <c r="T768" s="296" t="s">
        <v>2363</v>
      </c>
      <c r="U768" s="296" t="s">
        <v>2757</v>
      </c>
      <c r="V768" s="296" t="s">
        <v>355</v>
      </c>
      <c r="W768" s="296" t="s">
        <v>928</v>
      </c>
      <c r="X768" s="417"/>
      <c r="Y768" s="146"/>
    </row>
    <row r="769" spans="1:25" s="252" customFormat="1" ht="13.15" customHeight="1" x14ac:dyDescent="0.15">
      <c r="A769" s="296">
        <v>3754094</v>
      </c>
      <c r="B769" s="296" t="s">
        <v>351</v>
      </c>
      <c r="C769" s="296" t="s">
        <v>1801</v>
      </c>
      <c r="D769" s="296" t="s">
        <v>353</v>
      </c>
      <c r="E769" s="296" t="s">
        <v>116</v>
      </c>
      <c r="F769" s="296">
        <v>3</v>
      </c>
      <c r="G769" s="296" t="s">
        <v>19</v>
      </c>
      <c r="H769" s="296" t="s">
        <v>28</v>
      </c>
      <c r="I769" s="296" t="s">
        <v>205</v>
      </c>
      <c r="J769" s="296" t="s">
        <v>928</v>
      </c>
      <c r="K769" s="296" t="s">
        <v>224</v>
      </c>
      <c r="L769" s="296">
        <v>50</v>
      </c>
      <c r="M769" s="296" t="s">
        <v>225</v>
      </c>
      <c r="N769" s="296">
        <v>1120</v>
      </c>
      <c r="O769" s="296">
        <v>1120</v>
      </c>
      <c r="P769" s="296">
        <v>5000</v>
      </c>
      <c r="Q769" s="296">
        <v>2</v>
      </c>
      <c r="R769" s="296">
        <v>4</v>
      </c>
      <c r="S769" s="296" t="s">
        <v>354</v>
      </c>
      <c r="T769" s="296" t="s">
        <v>2363</v>
      </c>
      <c r="U769" s="296" t="s">
        <v>2757</v>
      </c>
      <c r="V769" s="296" t="s">
        <v>355</v>
      </c>
      <c r="W769" s="296" t="s">
        <v>928</v>
      </c>
      <c r="X769" s="417"/>
      <c r="Y769" s="146"/>
    </row>
    <row r="770" spans="1:25" s="252" customFormat="1" ht="13.15" customHeight="1" x14ac:dyDescent="0.15">
      <c r="A770" s="296">
        <v>3754095</v>
      </c>
      <c r="B770" s="296" t="s">
        <v>351</v>
      </c>
      <c r="C770" s="296" t="s">
        <v>1801</v>
      </c>
      <c r="D770" s="296" t="s">
        <v>353</v>
      </c>
      <c r="E770" s="296" t="s">
        <v>116</v>
      </c>
      <c r="F770" s="296">
        <v>3</v>
      </c>
      <c r="G770" s="296" t="s">
        <v>19</v>
      </c>
      <c r="H770" s="296" t="s">
        <v>28</v>
      </c>
      <c r="I770" s="296" t="s">
        <v>205</v>
      </c>
      <c r="J770" s="296" t="s">
        <v>928</v>
      </c>
      <c r="K770" s="296" t="s">
        <v>224</v>
      </c>
      <c r="L770" s="296">
        <v>50</v>
      </c>
      <c r="M770" s="296" t="s">
        <v>225</v>
      </c>
      <c r="N770" s="296">
        <v>1120</v>
      </c>
      <c r="O770" s="296">
        <v>1120</v>
      </c>
      <c r="P770" s="296">
        <v>5000</v>
      </c>
      <c r="Q770" s="296">
        <v>2</v>
      </c>
      <c r="R770" s="296">
        <v>6</v>
      </c>
      <c r="S770" s="296" t="s">
        <v>354</v>
      </c>
      <c r="T770" s="296" t="s">
        <v>2363</v>
      </c>
      <c r="U770" s="296" t="s">
        <v>2757</v>
      </c>
      <c r="V770" s="296" t="s">
        <v>355</v>
      </c>
      <c r="W770" s="296" t="s">
        <v>928</v>
      </c>
      <c r="X770" s="417"/>
      <c r="Y770" s="146"/>
    </row>
    <row r="771" spans="1:25" s="252" customFormat="1" ht="13.15" customHeight="1" x14ac:dyDescent="0.15">
      <c r="A771" s="296">
        <v>3754097</v>
      </c>
      <c r="B771" s="296" t="s">
        <v>351</v>
      </c>
      <c r="C771" s="296" t="s">
        <v>1801</v>
      </c>
      <c r="D771" s="296" t="s">
        <v>353</v>
      </c>
      <c r="E771" s="296" t="s">
        <v>116</v>
      </c>
      <c r="F771" s="296">
        <v>3</v>
      </c>
      <c r="G771" s="296" t="s">
        <v>19</v>
      </c>
      <c r="H771" s="296" t="s">
        <v>20</v>
      </c>
      <c r="I771" s="296" t="s">
        <v>143</v>
      </c>
      <c r="J771" s="296" t="s">
        <v>928</v>
      </c>
      <c r="K771" s="296" t="s">
        <v>152</v>
      </c>
      <c r="L771" s="296">
        <v>38</v>
      </c>
      <c r="M771" s="296" t="s">
        <v>153</v>
      </c>
      <c r="N771" s="296">
        <v>1005</v>
      </c>
      <c r="O771" s="296">
        <v>1000</v>
      </c>
      <c r="P771" s="296">
        <v>4000</v>
      </c>
      <c r="Q771" s="296">
        <v>2</v>
      </c>
      <c r="R771" s="296">
        <v>2</v>
      </c>
      <c r="S771" s="296" t="s">
        <v>354</v>
      </c>
      <c r="T771" s="296" t="s">
        <v>2363</v>
      </c>
      <c r="U771" s="296" t="s">
        <v>2762</v>
      </c>
      <c r="V771" s="296" t="s">
        <v>355</v>
      </c>
      <c r="W771" s="296" t="s">
        <v>928</v>
      </c>
      <c r="X771" s="417"/>
      <c r="Y771" s="146"/>
    </row>
    <row r="772" spans="1:25" s="252" customFormat="1" ht="13.15" customHeight="1" x14ac:dyDescent="0.15">
      <c r="A772" s="296">
        <v>3754098</v>
      </c>
      <c r="B772" s="296" t="s">
        <v>351</v>
      </c>
      <c r="C772" s="296" t="s">
        <v>1801</v>
      </c>
      <c r="D772" s="296" t="s">
        <v>353</v>
      </c>
      <c r="E772" s="296" t="s">
        <v>183</v>
      </c>
      <c r="F772" s="296">
        <v>3</v>
      </c>
      <c r="G772" s="296" t="s">
        <v>19</v>
      </c>
      <c r="H772" s="296" t="s">
        <v>20</v>
      </c>
      <c r="I772" s="296" t="s">
        <v>165</v>
      </c>
      <c r="J772" s="296" t="s">
        <v>928</v>
      </c>
      <c r="K772" s="296" t="s">
        <v>180</v>
      </c>
      <c r="L772" s="296">
        <v>100</v>
      </c>
      <c r="M772" s="296" t="s">
        <v>181</v>
      </c>
      <c r="N772" s="296">
        <v>1205</v>
      </c>
      <c r="O772" s="296">
        <v>1205</v>
      </c>
      <c r="P772" s="296">
        <v>2500</v>
      </c>
      <c r="Q772" s="296">
        <v>2</v>
      </c>
      <c r="R772" s="296">
        <v>2</v>
      </c>
      <c r="S772" s="296" t="s">
        <v>354</v>
      </c>
      <c r="T772" s="296" t="s">
        <v>2363</v>
      </c>
      <c r="U772" s="296" t="s">
        <v>2753</v>
      </c>
      <c r="V772" s="296" t="s">
        <v>355</v>
      </c>
      <c r="W772" s="296" t="s">
        <v>928</v>
      </c>
      <c r="X772" s="417"/>
      <c r="Y772" s="146"/>
    </row>
    <row r="773" spans="1:25" s="252" customFormat="1" ht="13.15" customHeight="1" x14ac:dyDescent="0.15">
      <c r="A773" s="296">
        <v>3754099</v>
      </c>
      <c r="B773" s="296" t="s">
        <v>351</v>
      </c>
      <c r="C773" s="296" t="s">
        <v>1801</v>
      </c>
      <c r="D773" s="296" t="s">
        <v>353</v>
      </c>
      <c r="E773" s="296" t="s">
        <v>116</v>
      </c>
      <c r="F773" s="296">
        <v>3</v>
      </c>
      <c r="G773" s="296" t="s">
        <v>19</v>
      </c>
      <c r="H773" s="296" t="s">
        <v>20</v>
      </c>
      <c r="I773" s="296" t="s">
        <v>165</v>
      </c>
      <c r="J773" s="296" t="s">
        <v>928</v>
      </c>
      <c r="K773" s="296" t="s">
        <v>185</v>
      </c>
      <c r="L773" s="296">
        <v>50</v>
      </c>
      <c r="M773" s="296" t="s">
        <v>186</v>
      </c>
      <c r="N773" s="296">
        <v>1005</v>
      </c>
      <c r="O773" s="296">
        <v>1000</v>
      </c>
      <c r="P773" s="296">
        <v>4100</v>
      </c>
      <c r="Q773" s="296">
        <v>2</v>
      </c>
      <c r="R773" s="296">
        <v>2</v>
      </c>
      <c r="S773" s="296" t="s">
        <v>354</v>
      </c>
      <c r="T773" s="296" t="s">
        <v>2363</v>
      </c>
      <c r="U773" s="296" t="s">
        <v>2757</v>
      </c>
      <c r="V773" s="296" t="s">
        <v>355</v>
      </c>
      <c r="W773" s="296" t="s">
        <v>928</v>
      </c>
      <c r="X773" s="417"/>
      <c r="Y773" s="146"/>
    </row>
    <row r="774" spans="1:25" s="252" customFormat="1" ht="13.15" customHeight="1" x14ac:dyDescent="0.15">
      <c r="A774" s="296">
        <v>3754100</v>
      </c>
      <c r="B774" s="296" t="s">
        <v>351</v>
      </c>
      <c r="C774" s="296" t="s">
        <v>1801</v>
      </c>
      <c r="D774" s="296" t="s">
        <v>353</v>
      </c>
      <c r="E774" s="296" t="s">
        <v>116</v>
      </c>
      <c r="F774" s="296" t="s">
        <v>158</v>
      </c>
      <c r="G774" s="296" t="s">
        <v>19</v>
      </c>
      <c r="H774" s="296" t="s">
        <v>20</v>
      </c>
      <c r="I774" s="296" t="s">
        <v>165</v>
      </c>
      <c r="J774" s="296" t="s">
        <v>928</v>
      </c>
      <c r="K774" s="296" t="s">
        <v>192</v>
      </c>
      <c r="L774" s="296">
        <v>50</v>
      </c>
      <c r="M774" s="296" t="s">
        <v>193</v>
      </c>
      <c r="N774" s="296">
        <v>1005</v>
      </c>
      <c r="O774" s="296">
        <v>1000</v>
      </c>
      <c r="P774" s="296">
        <v>4000</v>
      </c>
      <c r="Q774" s="296">
        <v>2</v>
      </c>
      <c r="R774" s="296">
        <v>3</v>
      </c>
      <c r="S774" s="296" t="s">
        <v>354</v>
      </c>
      <c r="T774" s="296" t="s">
        <v>2363</v>
      </c>
      <c r="U774" s="296" t="s">
        <v>2762</v>
      </c>
      <c r="V774" s="296" t="s">
        <v>355</v>
      </c>
      <c r="W774" s="296" t="s">
        <v>928</v>
      </c>
      <c r="X774" s="417"/>
      <c r="Y774" s="146"/>
    </row>
    <row r="775" spans="1:25" s="252" customFormat="1" ht="13.15" customHeight="1" x14ac:dyDescent="0.15">
      <c r="A775" s="296">
        <v>3754101</v>
      </c>
      <c r="B775" s="296" t="s">
        <v>351</v>
      </c>
      <c r="C775" s="296" t="s">
        <v>1801</v>
      </c>
      <c r="D775" s="296" t="s">
        <v>353</v>
      </c>
      <c r="E775" s="296" t="s">
        <v>116</v>
      </c>
      <c r="F775" s="296" t="s">
        <v>158</v>
      </c>
      <c r="G775" s="296" t="s">
        <v>19</v>
      </c>
      <c r="H775" s="296" t="s">
        <v>20</v>
      </c>
      <c r="I775" s="296" t="s">
        <v>165</v>
      </c>
      <c r="J775" s="296" t="s">
        <v>928</v>
      </c>
      <c r="K775" s="296" t="s">
        <v>195</v>
      </c>
      <c r="L775" s="296">
        <v>50</v>
      </c>
      <c r="M775" s="296" t="s">
        <v>196</v>
      </c>
      <c r="N775" s="296">
        <v>1005</v>
      </c>
      <c r="O775" s="296">
        <v>1000</v>
      </c>
      <c r="P775" s="296">
        <v>4000</v>
      </c>
      <c r="Q775" s="296">
        <v>2</v>
      </c>
      <c r="R775" s="296">
        <v>6</v>
      </c>
      <c r="S775" s="296" t="s">
        <v>354</v>
      </c>
      <c r="T775" s="296" t="s">
        <v>2363</v>
      </c>
      <c r="U775" s="296" t="s">
        <v>2762</v>
      </c>
      <c r="V775" s="296" t="s">
        <v>355</v>
      </c>
      <c r="W775" s="296" t="s">
        <v>928</v>
      </c>
      <c r="X775" s="417"/>
      <c r="Y775" s="146"/>
    </row>
    <row r="776" spans="1:25" s="252" customFormat="1" ht="13.15" customHeight="1" x14ac:dyDescent="0.15">
      <c r="A776" s="296">
        <v>3754102</v>
      </c>
      <c r="B776" s="296" t="s">
        <v>351</v>
      </c>
      <c r="C776" s="296" t="s">
        <v>1801</v>
      </c>
      <c r="D776" s="296" t="s">
        <v>353</v>
      </c>
      <c r="E776" s="296" t="s">
        <v>116</v>
      </c>
      <c r="F776" s="296" t="s">
        <v>158</v>
      </c>
      <c r="G776" s="296" t="s">
        <v>19</v>
      </c>
      <c r="H776" s="296" t="s">
        <v>20</v>
      </c>
      <c r="I776" s="296" t="s">
        <v>165</v>
      </c>
      <c r="J776" s="296" t="s">
        <v>928</v>
      </c>
      <c r="K776" s="296" t="s">
        <v>197</v>
      </c>
      <c r="L776" s="296">
        <v>50</v>
      </c>
      <c r="M776" s="296" t="s">
        <v>198</v>
      </c>
      <c r="N776" s="296">
        <v>1005</v>
      </c>
      <c r="O776" s="296">
        <v>1000</v>
      </c>
      <c r="P776" s="296">
        <v>4100</v>
      </c>
      <c r="Q776" s="296">
        <v>2</v>
      </c>
      <c r="R776" s="296">
        <v>6</v>
      </c>
      <c r="S776" s="296" t="s">
        <v>354</v>
      </c>
      <c r="T776" s="296" t="s">
        <v>2363</v>
      </c>
      <c r="U776" s="296" t="s">
        <v>2762</v>
      </c>
      <c r="V776" s="296" t="s">
        <v>355</v>
      </c>
      <c r="W776" s="296" t="s">
        <v>928</v>
      </c>
      <c r="X776" s="417"/>
      <c r="Y776" s="146"/>
    </row>
    <row r="777" spans="1:25" s="252" customFormat="1" ht="13.15" customHeight="1" x14ac:dyDescent="0.15">
      <c r="A777" s="296">
        <v>3754103</v>
      </c>
      <c r="B777" s="296" t="s">
        <v>423</v>
      </c>
      <c r="C777" s="296" t="s">
        <v>1801</v>
      </c>
      <c r="D777" s="296" t="s">
        <v>353</v>
      </c>
      <c r="E777" s="296" t="s">
        <v>116</v>
      </c>
      <c r="F777" s="296">
        <v>3</v>
      </c>
      <c r="G777" s="296" t="s">
        <v>265</v>
      </c>
      <c r="H777" s="296" t="s">
        <v>20</v>
      </c>
      <c r="I777" s="296" t="s">
        <v>165</v>
      </c>
      <c r="J777" s="296" t="s">
        <v>928</v>
      </c>
      <c r="K777" s="296" t="s">
        <v>172</v>
      </c>
      <c r="L777" s="296">
        <v>50</v>
      </c>
      <c r="M777" s="296" t="s">
        <v>173</v>
      </c>
      <c r="N777" s="296">
        <v>1005</v>
      </c>
      <c r="O777" s="296">
        <v>1000</v>
      </c>
      <c r="P777" s="296">
        <v>4000</v>
      </c>
      <c r="Q777" s="296">
        <v>2</v>
      </c>
      <c r="R777" s="296">
        <v>3</v>
      </c>
      <c r="S777" s="296" t="s">
        <v>354</v>
      </c>
      <c r="T777" s="296" t="s">
        <v>2363</v>
      </c>
      <c r="U777" s="296" t="s">
        <v>2762</v>
      </c>
      <c r="V777" s="296" t="s">
        <v>355</v>
      </c>
      <c r="W777" s="296" t="s">
        <v>928</v>
      </c>
      <c r="X777" s="417"/>
      <c r="Y777" s="146"/>
    </row>
    <row r="778" spans="1:25" s="252" customFormat="1" ht="13.15" customHeight="1" x14ac:dyDescent="0.15">
      <c r="A778" s="296">
        <v>3754104</v>
      </c>
      <c r="B778" s="296" t="s">
        <v>351</v>
      </c>
      <c r="C778" s="296" t="s">
        <v>1801</v>
      </c>
      <c r="D778" s="296" t="s">
        <v>353</v>
      </c>
      <c r="E778" s="296" t="s">
        <v>116</v>
      </c>
      <c r="F778" s="296">
        <v>3</v>
      </c>
      <c r="G778" s="296" t="s">
        <v>19</v>
      </c>
      <c r="H778" s="296" t="s">
        <v>20</v>
      </c>
      <c r="I778" s="296" t="s">
        <v>165</v>
      </c>
      <c r="J778" s="296" t="s">
        <v>928</v>
      </c>
      <c r="K778" s="296" t="s">
        <v>187</v>
      </c>
      <c r="L778" s="296">
        <v>50</v>
      </c>
      <c r="M778" s="296" t="s">
        <v>188</v>
      </c>
      <c r="N778" s="296">
        <v>1000</v>
      </c>
      <c r="O778" s="296">
        <v>1000</v>
      </c>
      <c r="P778" s="296">
        <v>3000</v>
      </c>
      <c r="Q778" s="296">
        <v>2</v>
      </c>
      <c r="R778" s="296">
        <v>2</v>
      </c>
      <c r="S778" s="296" t="s">
        <v>354</v>
      </c>
      <c r="T778" s="296" t="s">
        <v>2363</v>
      </c>
      <c r="U778" s="296" t="s">
        <v>2762</v>
      </c>
      <c r="V778" s="296" t="s">
        <v>355</v>
      </c>
      <c r="W778" s="296" t="s">
        <v>928</v>
      </c>
      <c r="X778" s="417"/>
      <c r="Y778" s="146"/>
    </row>
    <row r="779" spans="1:25" s="252" customFormat="1" ht="13.15" customHeight="1" x14ac:dyDescent="0.15">
      <c r="A779" s="296">
        <v>3754105</v>
      </c>
      <c r="B779" s="296" t="s">
        <v>351</v>
      </c>
      <c r="C779" s="296" t="s">
        <v>1801</v>
      </c>
      <c r="D779" s="296" t="s">
        <v>353</v>
      </c>
      <c r="E779" s="296" t="s">
        <v>171</v>
      </c>
      <c r="F779" s="296">
        <v>3</v>
      </c>
      <c r="G779" s="296" t="s">
        <v>19</v>
      </c>
      <c r="H779" s="296" t="s">
        <v>20</v>
      </c>
      <c r="I779" s="296" t="s">
        <v>165</v>
      </c>
      <c r="J779" s="296" t="s">
        <v>928</v>
      </c>
      <c r="K779" s="296" t="s">
        <v>180</v>
      </c>
      <c r="L779" s="296">
        <v>50</v>
      </c>
      <c r="M779" s="296" t="s">
        <v>181</v>
      </c>
      <c r="N779" s="296">
        <v>1200</v>
      </c>
      <c r="O779" s="296">
        <v>1190</v>
      </c>
      <c r="P779" s="296">
        <v>6000</v>
      </c>
      <c r="Q779" s="296">
        <v>2</v>
      </c>
      <c r="R779" s="296">
        <v>6</v>
      </c>
      <c r="S779" s="296" t="s">
        <v>354</v>
      </c>
      <c r="T779" s="296" t="s">
        <v>2363</v>
      </c>
      <c r="U779" s="296" t="s">
        <v>2753</v>
      </c>
      <c r="V779" s="296" t="s">
        <v>355</v>
      </c>
      <c r="W779" s="296" t="s">
        <v>928</v>
      </c>
      <c r="X779" s="417"/>
      <c r="Y779" s="146"/>
    </row>
    <row r="780" spans="1:25" s="252" customFormat="1" ht="13.15" customHeight="1" x14ac:dyDescent="0.15">
      <c r="A780" s="296">
        <v>3755579</v>
      </c>
      <c r="B780" s="296" t="s">
        <v>510</v>
      </c>
      <c r="C780" s="296" t="s">
        <v>1796</v>
      </c>
      <c r="D780" s="296" t="s">
        <v>353</v>
      </c>
      <c r="E780" s="296" t="s">
        <v>61</v>
      </c>
      <c r="F780" s="296">
        <v>3</v>
      </c>
      <c r="G780" s="296" t="s">
        <v>269</v>
      </c>
      <c r="H780" s="296" t="s">
        <v>20</v>
      </c>
      <c r="I780" s="296" t="s">
        <v>205</v>
      </c>
      <c r="J780" s="296" t="s">
        <v>928</v>
      </c>
      <c r="K780" s="296" t="s">
        <v>522</v>
      </c>
      <c r="L780" s="296">
        <v>12</v>
      </c>
      <c r="M780" s="296" t="s">
        <v>523</v>
      </c>
      <c r="N780" s="296">
        <v>600</v>
      </c>
      <c r="O780" s="296">
        <v>600</v>
      </c>
      <c r="P780" s="296">
        <v>3000</v>
      </c>
      <c r="Q780" s="296">
        <v>1</v>
      </c>
      <c r="R780" s="296">
        <v>8</v>
      </c>
      <c r="S780" s="296" t="s">
        <v>354</v>
      </c>
      <c r="T780" s="296" t="s">
        <v>2357</v>
      </c>
      <c r="U780" s="296" t="s">
        <v>2753</v>
      </c>
      <c r="V780" s="296" t="s">
        <v>428</v>
      </c>
      <c r="W780" s="296" t="s">
        <v>928</v>
      </c>
      <c r="X780" s="296" t="s">
        <v>928</v>
      </c>
      <c r="Y780" s="146"/>
    </row>
    <row r="781" spans="1:25" s="252" customFormat="1" ht="13.15" customHeight="1" x14ac:dyDescent="0.15">
      <c r="A781" s="296">
        <v>3756847</v>
      </c>
      <c r="B781" s="296" t="s">
        <v>2831</v>
      </c>
      <c r="C781" s="296" t="s">
        <v>1803</v>
      </c>
      <c r="D781" s="296" t="s">
        <v>353</v>
      </c>
      <c r="E781" s="296" t="s">
        <v>61</v>
      </c>
      <c r="F781" s="296">
        <v>3</v>
      </c>
      <c r="G781" s="296" t="s">
        <v>265</v>
      </c>
      <c r="H781" s="296" t="s">
        <v>28</v>
      </c>
      <c r="I781" s="296" t="s">
        <v>1078</v>
      </c>
      <c r="J781" s="296" t="s">
        <v>928</v>
      </c>
      <c r="K781" s="296" t="s">
        <v>2832</v>
      </c>
      <c r="L781" s="296">
        <v>25</v>
      </c>
      <c r="M781" s="296" t="s">
        <v>2833</v>
      </c>
      <c r="N781" s="296">
        <v>1050</v>
      </c>
      <c r="O781" s="296">
        <v>1050</v>
      </c>
      <c r="P781" s="296">
        <v>6000</v>
      </c>
      <c r="Q781" s="296">
        <v>2</v>
      </c>
      <c r="R781" s="296">
        <v>20</v>
      </c>
      <c r="S781" s="296" t="s">
        <v>354</v>
      </c>
      <c r="T781" s="296" t="s">
        <v>2834</v>
      </c>
      <c r="U781" s="296" t="s">
        <v>2753</v>
      </c>
      <c r="V781" s="296" t="s">
        <v>355</v>
      </c>
      <c r="W781" s="296" t="s">
        <v>928</v>
      </c>
      <c r="X781" s="296" t="s">
        <v>928</v>
      </c>
      <c r="Y781" s="146"/>
    </row>
    <row r="782" spans="1:25" s="252" customFormat="1" ht="13.15" customHeight="1" x14ac:dyDescent="0.15">
      <c r="A782" s="417">
        <v>3758058</v>
      </c>
      <c r="B782" s="417" t="s">
        <v>351</v>
      </c>
      <c r="C782" s="417" t="s">
        <v>1803</v>
      </c>
      <c r="D782" s="417" t="s">
        <v>353</v>
      </c>
      <c r="E782" s="417" t="s">
        <v>753</v>
      </c>
      <c r="F782" s="417">
        <v>3</v>
      </c>
      <c r="G782" s="417" t="s">
        <v>19</v>
      </c>
      <c r="H782" s="417" t="s">
        <v>20</v>
      </c>
      <c r="I782" s="417" t="s">
        <v>205</v>
      </c>
      <c r="J782" s="417" t="s">
        <v>928</v>
      </c>
      <c r="K782" s="417" t="s">
        <v>230</v>
      </c>
      <c r="L782" s="417">
        <v>25</v>
      </c>
      <c r="M782" s="417" t="s">
        <v>231</v>
      </c>
      <c r="N782" s="436">
        <v>510</v>
      </c>
      <c r="O782" s="436">
        <v>510</v>
      </c>
      <c r="P782" s="436">
        <v>2000</v>
      </c>
      <c r="Q782" s="417">
        <v>1</v>
      </c>
      <c r="R782" s="417">
        <v>12</v>
      </c>
      <c r="S782" s="417" t="s">
        <v>354</v>
      </c>
      <c r="T782" s="437" t="s">
        <v>2752</v>
      </c>
      <c r="U782" s="437" t="s">
        <v>2854</v>
      </c>
      <c r="V782" s="417" t="s">
        <v>355</v>
      </c>
      <c r="W782" s="417" t="s">
        <v>928</v>
      </c>
      <c r="X782" s="417" t="s">
        <v>928</v>
      </c>
      <c r="Y782" s="146"/>
    </row>
    <row r="783" spans="1:25" s="252" customFormat="1" ht="13.15" customHeight="1" x14ac:dyDescent="0.15">
      <c r="A783" s="417">
        <v>3758059</v>
      </c>
      <c r="B783" s="417" t="s">
        <v>351</v>
      </c>
      <c r="C783" s="417" t="s">
        <v>1801</v>
      </c>
      <c r="D783" s="417" t="s">
        <v>353</v>
      </c>
      <c r="E783" s="417" t="s">
        <v>171</v>
      </c>
      <c r="F783" s="417">
        <v>3</v>
      </c>
      <c r="G783" s="417" t="s">
        <v>19</v>
      </c>
      <c r="H783" s="417" t="s">
        <v>20</v>
      </c>
      <c r="I783" s="417" t="s">
        <v>165</v>
      </c>
      <c r="J783" s="417" t="s">
        <v>928</v>
      </c>
      <c r="K783" s="417" t="s">
        <v>180</v>
      </c>
      <c r="L783" s="417">
        <v>50</v>
      </c>
      <c r="M783" s="417" t="s">
        <v>181</v>
      </c>
      <c r="N783" s="436">
        <v>1200</v>
      </c>
      <c r="O783" s="436">
        <v>1190</v>
      </c>
      <c r="P783" s="436">
        <v>6000</v>
      </c>
      <c r="Q783" s="417">
        <v>2</v>
      </c>
      <c r="R783" s="417">
        <v>10</v>
      </c>
      <c r="S783" s="417" t="s">
        <v>354</v>
      </c>
      <c r="T783" s="437" t="s">
        <v>2752</v>
      </c>
      <c r="U783" s="437" t="s">
        <v>2854</v>
      </c>
      <c r="V783" s="417" t="s">
        <v>355</v>
      </c>
      <c r="W783" s="417" t="s">
        <v>928</v>
      </c>
      <c r="X783" s="417" t="s">
        <v>928</v>
      </c>
      <c r="Y783" s="146"/>
    </row>
    <row r="784" spans="1:25" s="252" customFormat="1" ht="13.15" customHeight="1" x14ac:dyDescent="0.15">
      <c r="A784" s="417">
        <v>3758060</v>
      </c>
      <c r="B784" s="417" t="s">
        <v>351</v>
      </c>
      <c r="C784" s="417" t="s">
        <v>1801</v>
      </c>
      <c r="D784" s="417" t="s">
        <v>353</v>
      </c>
      <c r="E784" s="417" t="s">
        <v>183</v>
      </c>
      <c r="F784" s="417">
        <v>3</v>
      </c>
      <c r="G784" s="417" t="s">
        <v>19</v>
      </c>
      <c r="H784" s="417" t="s">
        <v>20</v>
      </c>
      <c r="I784" s="417" t="s">
        <v>165</v>
      </c>
      <c r="J784" s="417" t="s">
        <v>928</v>
      </c>
      <c r="K784" s="417" t="s">
        <v>180</v>
      </c>
      <c r="L784" s="417">
        <v>100</v>
      </c>
      <c r="M784" s="417" t="s">
        <v>181</v>
      </c>
      <c r="N784" s="436">
        <v>1205</v>
      </c>
      <c r="O784" s="436">
        <v>1205</v>
      </c>
      <c r="P784" s="436">
        <v>2500</v>
      </c>
      <c r="Q784" s="417">
        <v>2</v>
      </c>
      <c r="R784" s="417">
        <v>3</v>
      </c>
      <c r="S784" s="417" t="s">
        <v>354</v>
      </c>
      <c r="T784" s="437" t="s">
        <v>2752</v>
      </c>
      <c r="U784" s="437" t="s">
        <v>2854</v>
      </c>
      <c r="V784" s="417" t="s">
        <v>355</v>
      </c>
      <c r="W784" s="417" t="s">
        <v>928</v>
      </c>
      <c r="X784" s="417" t="s">
        <v>928</v>
      </c>
      <c r="Y784" s="146"/>
    </row>
    <row r="785" spans="1:25" s="252" customFormat="1" ht="13.15" customHeight="1" x14ac:dyDescent="0.15">
      <c r="A785" s="417">
        <v>3758061</v>
      </c>
      <c r="B785" s="417" t="s">
        <v>2831</v>
      </c>
      <c r="C785" s="417" t="s">
        <v>1803</v>
      </c>
      <c r="D785" s="417" t="s">
        <v>353</v>
      </c>
      <c r="E785" s="417" t="s">
        <v>61</v>
      </c>
      <c r="F785" s="417">
        <v>3</v>
      </c>
      <c r="G785" s="417" t="s">
        <v>265</v>
      </c>
      <c r="H785" s="417" t="s">
        <v>28</v>
      </c>
      <c r="I785" s="417" t="s">
        <v>1078</v>
      </c>
      <c r="J785" s="417" t="s">
        <v>928</v>
      </c>
      <c r="K785" s="417" t="s">
        <v>2832</v>
      </c>
      <c r="L785" s="417">
        <v>25</v>
      </c>
      <c r="M785" s="417" t="s">
        <v>2833</v>
      </c>
      <c r="N785" s="436">
        <v>1050</v>
      </c>
      <c r="O785" s="436">
        <v>1050</v>
      </c>
      <c r="P785" s="436">
        <v>6000</v>
      </c>
      <c r="Q785" s="417">
        <v>2</v>
      </c>
      <c r="R785" s="417">
        <v>26</v>
      </c>
      <c r="S785" s="417" t="s">
        <v>354</v>
      </c>
      <c r="T785" s="437" t="s">
        <v>2752</v>
      </c>
      <c r="U785" s="437" t="s">
        <v>2753</v>
      </c>
      <c r="V785" s="417" t="s">
        <v>355</v>
      </c>
      <c r="W785" s="417" t="s">
        <v>928</v>
      </c>
      <c r="X785" s="417" t="s">
        <v>928</v>
      </c>
      <c r="Y785" s="146"/>
    </row>
    <row r="786" spans="1:25" s="252" customFormat="1" ht="13.15" customHeight="1" x14ac:dyDescent="0.15">
      <c r="A786" s="417">
        <v>3758062</v>
      </c>
      <c r="B786" s="417" t="s">
        <v>351</v>
      </c>
      <c r="C786" s="417" t="s">
        <v>1801</v>
      </c>
      <c r="D786" s="417" t="s">
        <v>353</v>
      </c>
      <c r="E786" s="417" t="s">
        <v>116</v>
      </c>
      <c r="F786" s="417">
        <v>3</v>
      </c>
      <c r="G786" s="417" t="s">
        <v>19</v>
      </c>
      <c r="H786" s="417" t="s">
        <v>20</v>
      </c>
      <c r="I786" s="417" t="s">
        <v>205</v>
      </c>
      <c r="J786" s="417" t="s">
        <v>928</v>
      </c>
      <c r="K786" s="417" t="s">
        <v>212</v>
      </c>
      <c r="L786" s="417">
        <v>50</v>
      </c>
      <c r="M786" s="417" t="s">
        <v>213</v>
      </c>
      <c r="N786" s="436">
        <v>1120</v>
      </c>
      <c r="O786" s="436">
        <v>1120</v>
      </c>
      <c r="P786" s="436">
        <v>4000</v>
      </c>
      <c r="Q786" s="417">
        <v>2</v>
      </c>
      <c r="R786" s="417">
        <v>22</v>
      </c>
      <c r="S786" s="417" t="s">
        <v>354</v>
      </c>
      <c r="T786" s="437" t="s">
        <v>2752</v>
      </c>
      <c r="U786" s="437" t="s">
        <v>2859</v>
      </c>
      <c r="V786" s="417" t="s">
        <v>355</v>
      </c>
      <c r="W786" s="417" t="s">
        <v>928</v>
      </c>
      <c r="X786" s="417" t="s">
        <v>928</v>
      </c>
      <c r="Y786" s="146"/>
    </row>
    <row r="787" spans="1:25" s="252" customFormat="1" ht="13.15" customHeight="1" x14ac:dyDescent="0.15">
      <c r="A787" s="417">
        <v>3758063</v>
      </c>
      <c r="B787" s="417" t="s">
        <v>351</v>
      </c>
      <c r="C787" s="417" t="s">
        <v>1801</v>
      </c>
      <c r="D787" s="417" t="s">
        <v>353</v>
      </c>
      <c r="E787" s="417" t="s">
        <v>116</v>
      </c>
      <c r="F787" s="417">
        <v>3</v>
      </c>
      <c r="G787" s="417" t="s">
        <v>19</v>
      </c>
      <c r="H787" s="417" t="s">
        <v>20</v>
      </c>
      <c r="I787" s="417" t="s">
        <v>205</v>
      </c>
      <c r="J787" s="417" t="s">
        <v>928</v>
      </c>
      <c r="K787" s="417" t="s">
        <v>211</v>
      </c>
      <c r="L787" s="417">
        <v>25</v>
      </c>
      <c r="M787" s="417" t="s">
        <v>491</v>
      </c>
      <c r="N787" s="436">
        <v>1050</v>
      </c>
      <c r="O787" s="436">
        <v>1050</v>
      </c>
      <c r="P787" s="436">
        <v>4000</v>
      </c>
      <c r="Q787" s="417">
        <v>2</v>
      </c>
      <c r="R787" s="417">
        <v>2</v>
      </c>
      <c r="S787" s="417" t="s">
        <v>354</v>
      </c>
      <c r="T787" s="437" t="s">
        <v>2752</v>
      </c>
      <c r="U787" s="437" t="s">
        <v>2860</v>
      </c>
      <c r="V787" s="417" t="s">
        <v>355</v>
      </c>
      <c r="W787" s="417" t="s">
        <v>928</v>
      </c>
      <c r="X787" s="417" t="s">
        <v>928</v>
      </c>
      <c r="Y787" s="146"/>
    </row>
    <row r="788" spans="1:25" s="252" customFormat="1" ht="13.15" customHeight="1" x14ac:dyDescent="0.15">
      <c r="A788" s="417">
        <v>3758064</v>
      </c>
      <c r="B788" s="417" t="s">
        <v>351</v>
      </c>
      <c r="C788" s="417" t="s">
        <v>1801</v>
      </c>
      <c r="D788" s="417" t="s">
        <v>353</v>
      </c>
      <c r="E788" s="417" t="s">
        <v>116</v>
      </c>
      <c r="F788" s="417">
        <v>3</v>
      </c>
      <c r="G788" s="417" t="s">
        <v>19</v>
      </c>
      <c r="H788" s="417" t="s">
        <v>20</v>
      </c>
      <c r="I788" s="417" t="s">
        <v>165</v>
      </c>
      <c r="J788" s="417" t="s">
        <v>928</v>
      </c>
      <c r="K788" s="417" t="s">
        <v>185</v>
      </c>
      <c r="L788" s="417">
        <v>50</v>
      </c>
      <c r="M788" s="417" t="s">
        <v>186</v>
      </c>
      <c r="N788" s="436">
        <v>1005</v>
      </c>
      <c r="O788" s="436">
        <v>1000</v>
      </c>
      <c r="P788" s="436">
        <v>4100</v>
      </c>
      <c r="Q788" s="417">
        <v>2</v>
      </c>
      <c r="R788" s="417">
        <v>2</v>
      </c>
      <c r="S788" s="417" t="s">
        <v>354</v>
      </c>
      <c r="T788" s="437" t="s">
        <v>2752</v>
      </c>
      <c r="U788" s="437" t="s">
        <v>2857</v>
      </c>
      <c r="V788" s="417" t="s">
        <v>355</v>
      </c>
      <c r="W788" s="417" t="s">
        <v>928</v>
      </c>
      <c r="X788" s="417" t="s">
        <v>928</v>
      </c>
      <c r="Y788" s="146"/>
    </row>
    <row r="789" spans="1:25" s="252" customFormat="1" ht="13.15" customHeight="1" x14ac:dyDescent="0.15">
      <c r="A789" s="417">
        <v>3758065</v>
      </c>
      <c r="B789" s="417" t="s">
        <v>351</v>
      </c>
      <c r="C789" s="417" t="s">
        <v>1801</v>
      </c>
      <c r="D789" s="417" t="s">
        <v>353</v>
      </c>
      <c r="E789" s="417" t="s">
        <v>116</v>
      </c>
      <c r="F789" s="417">
        <v>3</v>
      </c>
      <c r="G789" s="417" t="s">
        <v>19</v>
      </c>
      <c r="H789" s="417" t="s">
        <v>20</v>
      </c>
      <c r="I789" s="417" t="s">
        <v>205</v>
      </c>
      <c r="J789" s="417" t="s">
        <v>928</v>
      </c>
      <c r="K789" s="417" t="s">
        <v>216</v>
      </c>
      <c r="L789" s="417">
        <v>25</v>
      </c>
      <c r="M789" s="417" t="s">
        <v>217</v>
      </c>
      <c r="N789" s="436">
        <v>1005</v>
      </c>
      <c r="O789" s="436">
        <v>1000</v>
      </c>
      <c r="P789" s="436">
        <v>4000</v>
      </c>
      <c r="Q789" s="417">
        <v>2</v>
      </c>
      <c r="R789" s="417">
        <v>6</v>
      </c>
      <c r="S789" s="417" t="s">
        <v>354</v>
      </c>
      <c r="T789" s="437" t="s">
        <v>2752</v>
      </c>
      <c r="U789" s="437" t="s">
        <v>2860</v>
      </c>
      <c r="V789" s="417" t="s">
        <v>355</v>
      </c>
      <c r="W789" s="417" t="s">
        <v>928</v>
      </c>
      <c r="X789" s="417" t="s">
        <v>928</v>
      </c>
      <c r="Y789" s="146"/>
    </row>
    <row r="790" spans="1:25" s="252" customFormat="1" ht="13.15" customHeight="1" x14ac:dyDescent="0.15">
      <c r="A790" s="417">
        <v>3758066</v>
      </c>
      <c r="B790" s="417" t="s">
        <v>351</v>
      </c>
      <c r="C790" s="417" t="s">
        <v>1801</v>
      </c>
      <c r="D790" s="417" t="s">
        <v>353</v>
      </c>
      <c r="E790" s="417" t="s">
        <v>116</v>
      </c>
      <c r="F790" s="417">
        <v>3</v>
      </c>
      <c r="G790" s="417" t="s">
        <v>19</v>
      </c>
      <c r="H790" s="417" t="s">
        <v>20</v>
      </c>
      <c r="I790" s="417" t="s">
        <v>205</v>
      </c>
      <c r="J790" s="417" t="s">
        <v>928</v>
      </c>
      <c r="K790" s="417" t="s">
        <v>216</v>
      </c>
      <c r="L790" s="417">
        <v>50</v>
      </c>
      <c r="M790" s="417" t="s">
        <v>217</v>
      </c>
      <c r="N790" s="436">
        <v>1120</v>
      </c>
      <c r="O790" s="436">
        <v>1120</v>
      </c>
      <c r="P790" s="436">
        <v>5000</v>
      </c>
      <c r="Q790" s="417">
        <v>2</v>
      </c>
      <c r="R790" s="417">
        <v>52</v>
      </c>
      <c r="S790" s="417" t="s">
        <v>354</v>
      </c>
      <c r="T790" s="437" t="s">
        <v>2752</v>
      </c>
      <c r="U790" s="437" t="s">
        <v>2860</v>
      </c>
      <c r="V790" s="417" t="s">
        <v>355</v>
      </c>
      <c r="W790" s="417" t="s">
        <v>928</v>
      </c>
      <c r="X790" s="417" t="s">
        <v>928</v>
      </c>
      <c r="Y790" s="146"/>
    </row>
    <row r="791" spans="1:25" s="252" customFormat="1" ht="13.15" customHeight="1" x14ac:dyDescent="0.15">
      <c r="A791" s="417">
        <v>3758067</v>
      </c>
      <c r="B791" s="417" t="s">
        <v>351</v>
      </c>
      <c r="C791" s="417" t="s">
        <v>1801</v>
      </c>
      <c r="D791" s="417" t="s">
        <v>353</v>
      </c>
      <c r="E791" s="417" t="s">
        <v>116</v>
      </c>
      <c r="F791" s="417">
        <v>3</v>
      </c>
      <c r="G791" s="417" t="s">
        <v>19</v>
      </c>
      <c r="H791" s="417" t="s">
        <v>20</v>
      </c>
      <c r="I791" s="417" t="s">
        <v>165</v>
      </c>
      <c r="J791" s="417" t="s">
        <v>928</v>
      </c>
      <c r="K791" s="417" t="s">
        <v>187</v>
      </c>
      <c r="L791" s="417">
        <v>50</v>
      </c>
      <c r="M791" s="417" t="s">
        <v>188</v>
      </c>
      <c r="N791" s="436">
        <v>1000</v>
      </c>
      <c r="O791" s="436">
        <v>1000</v>
      </c>
      <c r="P791" s="436">
        <v>3000</v>
      </c>
      <c r="Q791" s="417">
        <v>2</v>
      </c>
      <c r="R791" s="417">
        <v>2</v>
      </c>
      <c r="S791" s="417" t="s">
        <v>354</v>
      </c>
      <c r="T791" s="437" t="s">
        <v>2752</v>
      </c>
      <c r="U791" s="437" t="s">
        <v>2857</v>
      </c>
      <c r="V791" s="417" t="s">
        <v>355</v>
      </c>
      <c r="W791" s="417" t="s">
        <v>928</v>
      </c>
      <c r="X791" s="417" t="s">
        <v>928</v>
      </c>
      <c r="Y791" s="146"/>
    </row>
    <row r="792" spans="1:25" s="252" customFormat="1" ht="13.15" customHeight="1" x14ac:dyDescent="0.15">
      <c r="A792" s="417">
        <v>3758068</v>
      </c>
      <c r="B792" s="417" t="s">
        <v>351</v>
      </c>
      <c r="C792" s="417" t="s">
        <v>1801</v>
      </c>
      <c r="D792" s="417" t="s">
        <v>353</v>
      </c>
      <c r="E792" s="417" t="s">
        <v>116</v>
      </c>
      <c r="F792" s="417">
        <v>3</v>
      </c>
      <c r="G792" s="417" t="s">
        <v>19</v>
      </c>
      <c r="H792" s="417" t="s">
        <v>20</v>
      </c>
      <c r="I792" s="417" t="s">
        <v>205</v>
      </c>
      <c r="J792" s="417" t="s">
        <v>928</v>
      </c>
      <c r="K792" s="417" t="s">
        <v>218</v>
      </c>
      <c r="L792" s="417">
        <v>50</v>
      </c>
      <c r="M792" s="417" t="s">
        <v>219</v>
      </c>
      <c r="N792" s="436">
        <v>1000</v>
      </c>
      <c r="O792" s="436">
        <v>1000</v>
      </c>
      <c r="P792" s="436">
        <v>4000</v>
      </c>
      <c r="Q792" s="417">
        <v>2</v>
      </c>
      <c r="R792" s="417">
        <v>27</v>
      </c>
      <c r="S792" s="417" t="s">
        <v>354</v>
      </c>
      <c r="T792" s="437" t="s">
        <v>2752</v>
      </c>
      <c r="U792" s="437" t="s">
        <v>2860</v>
      </c>
      <c r="V792" s="417" t="s">
        <v>355</v>
      </c>
      <c r="W792" s="417" t="s">
        <v>928</v>
      </c>
      <c r="X792" s="417" t="s">
        <v>928</v>
      </c>
      <c r="Y792" s="146"/>
    </row>
    <row r="793" spans="1:25" s="252" customFormat="1" ht="13.15" customHeight="1" x14ac:dyDescent="0.15">
      <c r="A793" s="417">
        <v>3758069</v>
      </c>
      <c r="B793" s="417" t="s">
        <v>351</v>
      </c>
      <c r="C793" s="417" t="s">
        <v>1801</v>
      </c>
      <c r="D793" s="417" t="s">
        <v>353</v>
      </c>
      <c r="E793" s="417" t="s">
        <v>116</v>
      </c>
      <c r="F793" s="417" t="s">
        <v>158</v>
      </c>
      <c r="G793" s="417" t="s">
        <v>19</v>
      </c>
      <c r="H793" s="417" t="s">
        <v>20</v>
      </c>
      <c r="I793" s="417" t="s">
        <v>165</v>
      </c>
      <c r="J793" s="417" t="s">
        <v>928</v>
      </c>
      <c r="K793" s="417" t="s">
        <v>192</v>
      </c>
      <c r="L793" s="417">
        <v>50</v>
      </c>
      <c r="M793" s="417" t="s">
        <v>193</v>
      </c>
      <c r="N793" s="436">
        <v>1005</v>
      </c>
      <c r="O793" s="436">
        <v>1000</v>
      </c>
      <c r="P793" s="436">
        <v>4000</v>
      </c>
      <c r="Q793" s="417">
        <v>2</v>
      </c>
      <c r="R793" s="417">
        <v>6</v>
      </c>
      <c r="S793" s="417" t="s">
        <v>354</v>
      </c>
      <c r="T793" s="437" t="s">
        <v>2752</v>
      </c>
      <c r="U793" s="437" t="s">
        <v>2857</v>
      </c>
      <c r="V793" s="417" t="s">
        <v>355</v>
      </c>
      <c r="W793" s="417" t="s">
        <v>928</v>
      </c>
      <c r="X793" s="417" t="s">
        <v>928</v>
      </c>
      <c r="Y793" s="146"/>
    </row>
    <row r="794" spans="1:25" s="252" customFormat="1" ht="13.15" customHeight="1" x14ac:dyDescent="0.15">
      <c r="A794" s="417">
        <v>3758070</v>
      </c>
      <c r="B794" s="417" t="s">
        <v>351</v>
      </c>
      <c r="C794" s="417" t="s">
        <v>1801</v>
      </c>
      <c r="D794" s="417" t="s">
        <v>353</v>
      </c>
      <c r="E794" s="417" t="s">
        <v>116</v>
      </c>
      <c r="F794" s="417" t="s">
        <v>158</v>
      </c>
      <c r="G794" s="417" t="s">
        <v>19</v>
      </c>
      <c r="H794" s="417" t="s">
        <v>20</v>
      </c>
      <c r="I794" s="417" t="s">
        <v>165</v>
      </c>
      <c r="J794" s="417" t="s">
        <v>928</v>
      </c>
      <c r="K794" s="417" t="s">
        <v>195</v>
      </c>
      <c r="L794" s="417">
        <v>50</v>
      </c>
      <c r="M794" s="417" t="s">
        <v>196</v>
      </c>
      <c r="N794" s="436">
        <v>1005</v>
      </c>
      <c r="O794" s="436">
        <v>1000</v>
      </c>
      <c r="P794" s="436">
        <v>4000</v>
      </c>
      <c r="Q794" s="417">
        <v>2</v>
      </c>
      <c r="R794" s="417">
        <v>5</v>
      </c>
      <c r="S794" s="417" t="s">
        <v>354</v>
      </c>
      <c r="T794" s="437" t="s">
        <v>2752</v>
      </c>
      <c r="U794" s="437" t="s">
        <v>2857</v>
      </c>
      <c r="V794" s="417" t="s">
        <v>355</v>
      </c>
      <c r="W794" s="417" t="s">
        <v>928</v>
      </c>
      <c r="X794" s="417" t="s">
        <v>928</v>
      </c>
      <c r="Y794" s="146"/>
    </row>
    <row r="795" spans="1:25" s="252" customFormat="1" ht="13.15" customHeight="1" x14ac:dyDescent="0.15">
      <c r="A795" s="417">
        <v>3758071</v>
      </c>
      <c r="B795" s="417" t="s">
        <v>351</v>
      </c>
      <c r="C795" s="417" t="s">
        <v>1801</v>
      </c>
      <c r="D795" s="417" t="s">
        <v>353</v>
      </c>
      <c r="E795" s="417" t="s">
        <v>116</v>
      </c>
      <c r="F795" s="417" t="s">
        <v>158</v>
      </c>
      <c r="G795" s="417" t="s">
        <v>19</v>
      </c>
      <c r="H795" s="417" t="s">
        <v>28</v>
      </c>
      <c r="I795" s="417" t="s">
        <v>165</v>
      </c>
      <c r="J795" s="417" t="s">
        <v>928</v>
      </c>
      <c r="K795" s="417" t="s">
        <v>195</v>
      </c>
      <c r="L795" s="417">
        <v>50</v>
      </c>
      <c r="M795" s="417" t="s">
        <v>1958</v>
      </c>
      <c r="N795" s="436">
        <v>1005</v>
      </c>
      <c r="O795" s="436">
        <v>1000</v>
      </c>
      <c r="P795" s="436">
        <v>4000</v>
      </c>
      <c r="Q795" s="417">
        <v>2</v>
      </c>
      <c r="R795" s="417">
        <v>1</v>
      </c>
      <c r="S795" s="417" t="s">
        <v>354</v>
      </c>
      <c r="T795" s="437" t="s">
        <v>2752</v>
      </c>
      <c r="U795" s="437" t="s">
        <v>2861</v>
      </c>
      <c r="V795" s="417" t="s">
        <v>355</v>
      </c>
      <c r="W795" s="417" t="s">
        <v>928</v>
      </c>
      <c r="X795" s="417" t="s">
        <v>928</v>
      </c>
      <c r="Y795" s="146"/>
    </row>
    <row r="796" spans="1:25" s="252" customFormat="1" ht="13.15" customHeight="1" x14ac:dyDescent="0.15">
      <c r="A796" s="417">
        <v>3758072</v>
      </c>
      <c r="B796" s="417" t="s">
        <v>351</v>
      </c>
      <c r="C796" s="417" t="s">
        <v>1801</v>
      </c>
      <c r="D796" s="417" t="s">
        <v>353</v>
      </c>
      <c r="E796" s="417" t="s">
        <v>116</v>
      </c>
      <c r="F796" s="417" t="s">
        <v>158</v>
      </c>
      <c r="G796" s="417" t="s">
        <v>19</v>
      </c>
      <c r="H796" s="417" t="s">
        <v>20</v>
      </c>
      <c r="I796" s="417" t="s">
        <v>165</v>
      </c>
      <c r="J796" s="417" t="s">
        <v>928</v>
      </c>
      <c r="K796" s="417" t="s">
        <v>197</v>
      </c>
      <c r="L796" s="417">
        <v>50</v>
      </c>
      <c r="M796" s="417" t="s">
        <v>198</v>
      </c>
      <c r="N796" s="436">
        <v>1005</v>
      </c>
      <c r="O796" s="436">
        <v>1000</v>
      </c>
      <c r="P796" s="436">
        <v>4100</v>
      </c>
      <c r="Q796" s="417">
        <v>2</v>
      </c>
      <c r="R796" s="417">
        <v>3</v>
      </c>
      <c r="S796" s="417" t="s">
        <v>354</v>
      </c>
      <c r="T796" s="437" t="s">
        <v>2752</v>
      </c>
      <c r="U796" s="437" t="s">
        <v>2857</v>
      </c>
      <c r="V796" s="417" t="s">
        <v>355</v>
      </c>
      <c r="W796" s="417" t="s">
        <v>928</v>
      </c>
      <c r="X796" s="417" t="s">
        <v>928</v>
      </c>
      <c r="Y796" s="146"/>
    </row>
    <row r="797" spans="1:25" s="252" customFormat="1" ht="13.15" customHeight="1" x14ac:dyDescent="0.15">
      <c r="A797" s="417">
        <v>3758073</v>
      </c>
      <c r="B797" s="417" t="s">
        <v>351</v>
      </c>
      <c r="C797" s="417" t="s">
        <v>1801</v>
      </c>
      <c r="D797" s="417" t="s">
        <v>353</v>
      </c>
      <c r="E797" s="417" t="s">
        <v>116</v>
      </c>
      <c r="F797" s="417">
        <v>3</v>
      </c>
      <c r="G797" s="417" t="s">
        <v>19</v>
      </c>
      <c r="H797" s="417" t="s">
        <v>20</v>
      </c>
      <c r="I797" s="417" t="s">
        <v>165</v>
      </c>
      <c r="J797" s="417" t="s">
        <v>928</v>
      </c>
      <c r="K797" s="417" t="s">
        <v>200</v>
      </c>
      <c r="L797" s="417">
        <v>50</v>
      </c>
      <c r="M797" s="417" t="s">
        <v>201</v>
      </c>
      <c r="N797" s="436">
        <v>1005</v>
      </c>
      <c r="O797" s="436">
        <v>1000</v>
      </c>
      <c r="P797" s="436">
        <v>4100</v>
      </c>
      <c r="Q797" s="417">
        <v>2</v>
      </c>
      <c r="R797" s="417">
        <v>3</v>
      </c>
      <c r="S797" s="417" t="s">
        <v>354</v>
      </c>
      <c r="T797" s="437" t="s">
        <v>2752</v>
      </c>
      <c r="U797" s="437" t="s">
        <v>2857</v>
      </c>
      <c r="V797" s="417" t="s">
        <v>355</v>
      </c>
      <c r="W797" s="417" t="s">
        <v>928</v>
      </c>
      <c r="X797" s="417" t="s">
        <v>928</v>
      </c>
      <c r="Y797" s="146"/>
    </row>
    <row r="798" spans="1:25" s="252" customFormat="1" ht="13.15" customHeight="1" x14ac:dyDescent="0.15">
      <c r="A798" s="417">
        <v>3758075</v>
      </c>
      <c r="B798" s="417" t="s">
        <v>351</v>
      </c>
      <c r="C798" s="417" t="s">
        <v>1801</v>
      </c>
      <c r="D798" s="417" t="s">
        <v>353</v>
      </c>
      <c r="E798" s="417" t="s">
        <v>116</v>
      </c>
      <c r="F798" s="417">
        <v>3</v>
      </c>
      <c r="G798" s="417" t="s">
        <v>19</v>
      </c>
      <c r="H798" s="417" t="s">
        <v>20</v>
      </c>
      <c r="I798" s="417" t="s">
        <v>205</v>
      </c>
      <c r="J798" s="417" t="s">
        <v>928</v>
      </c>
      <c r="K798" s="417" t="s">
        <v>221</v>
      </c>
      <c r="L798" s="417">
        <v>25</v>
      </c>
      <c r="M798" s="417" t="s">
        <v>222</v>
      </c>
      <c r="N798" s="436">
        <v>1000</v>
      </c>
      <c r="O798" s="436">
        <v>1000</v>
      </c>
      <c r="P798" s="436">
        <v>6000</v>
      </c>
      <c r="Q798" s="417">
        <v>2</v>
      </c>
      <c r="R798" s="417">
        <v>3</v>
      </c>
      <c r="S798" s="417" t="s">
        <v>354</v>
      </c>
      <c r="T798" s="437" t="s">
        <v>2752</v>
      </c>
      <c r="U798" s="437" t="s">
        <v>2857</v>
      </c>
      <c r="V798" s="417" t="s">
        <v>355</v>
      </c>
      <c r="W798" s="417" t="s">
        <v>928</v>
      </c>
      <c r="X798" s="417" t="s">
        <v>928</v>
      </c>
      <c r="Y798" s="146"/>
    </row>
    <row r="799" spans="1:25" s="252" customFormat="1" ht="13.15" customHeight="1" x14ac:dyDescent="0.15">
      <c r="A799" s="417">
        <v>3758076</v>
      </c>
      <c r="B799" s="417" t="s">
        <v>351</v>
      </c>
      <c r="C799" s="417" t="s">
        <v>1801</v>
      </c>
      <c r="D799" s="417" t="s">
        <v>353</v>
      </c>
      <c r="E799" s="417" t="s">
        <v>116</v>
      </c>
      <c r="F799" s="417">
        <v>3</v>
      </c>
      <c r="G799" s="417" t="s">
        <v>19</v>
      </c>
      <c r="H799" s="417" t="s">
        <v>20</v>
      </c>
      <c r="I799" s="417" t="s">
        <v>205</v>
      </c>
      <c r="J799" s="417" t="s">
        <v>928</v>
      </c>
      <c r="K799" s="417" t="s">
        <v>221</v>
      </c>
      <c r="L799" s="417">
        <v>25</v>
      </c>
      <c r="M799" s="417" t="s">
        <v>222</v>
      </c>
      <c r="N799" s="436">
        <v>1100</v>
      </c>
      <c r="O799" s="436">
        <v>1100</v>
      </c>
      <c r="P799" s="436">
        <v>6000</v>
      </c>
      <c r="Q799" s="417">
        <v>2</v>
      </c>
      <c r="R799" s="417">
        <v>15</v>
      </c>
      <c r="S799" s="417" t="s">
        <v>354</v>
      </c>
      <c r="T799" s="437" t="s">
        <v>2752</v>
      </c>
      <c r="U799" s="437" t="s">
        <v>2857</v>
      </c>
      <c r="V799" s="417" t="s">
        <v>355</v>
      </c>
      <c r="W799" s="417" t="s">
        <v>928</v>
      </c>
      <c r="X799" s="417" t="s">
        <v>928</v>
      </c>
      <c r="Y799" s="146"/>
    </row>
    <row r="800" spans="1:25" s="252" customFormat="1" ht="13.15" customHeight="1" x14ac:dyDescent="0.15">
      <c r="A800" s="417">
        <v>3758077</v>
      </c>
      <c r="B800" s="417" t="s">
        <v>423</v>
      </c>
      <c r="C800" s="417" t="s">
        <v>1801</v>
      </c>
      <c r="D800" s="417" t="s">
        <v>353</v>
      </c>
      <c r="E800" s="417" t="s">
        <v>116</v>
      </c>
      <c r="F800" s="417">
        <v>3</v>
      </c>
      <c r="G800" s="417" t="s">
        <v>265</v>
      </c>
      <c r="H800" s="417" t="s">
        <v>20</v>
      </c>
      <c r="I800" s="417" t="s">
        <v>165</v>
      </c>
      <c r="J800" s="417" t="s">
        <v>928</v>
      </c>
      <c r="K800" s="417" t="s">
        <v>172</v>
      </c>
      <c r="L800" s="417">
        <v>50</v>
      </c>
      <c r="M800" s="417" t="s">
        <v>173</v>
      </c>
      <c r="N800" s="436">
        <v>1005</v>
      </c>
      <c r="O800" s="436">
        <v>1000</v>
      </c>
      <c r="P800" s="436">
        <v>4000</v>
      </c>
      <c r="Q800" s="417">
        <v>2</v>
      </c>
      <c r="R800" s="417">
        <v>2</v>
      </c>
      <c r="S800" s="417" t="s">
        <v>354</v>
      </c>
      <c r="T800" s="437" t="s">
        <v>2752</v>
      </c>
      <c r="U800" s="437" t="s">
        <v>2857</v>
      </c>
      <c r="V800" s="417" t="s">
        <v>355</v>
      </c>
      <c r="W800" s="417" t="s">
        <v>928</v>
      </c>
      <c r="X800" s="417" t="s">
        <v>928</v>
      </c>
      <c r="Y800" s="146"/>
    </row>
    <row r="801" spans="1:25" s="252" customFormat="1" ht="13.15" customHeight="1" x14ac:dyDescent="0.15">
      <c r="A801" s="417">
        <v>3758078</v>
      </c>
      <c r="B801" s="417" t="s">
        <v>423</v>
      </c>
      <c r="C801" s="417" t="s">
        <v>1801</v>
      </c>
      <c r="D801" s="417" t="s">
        <v>353</v>
      </c>
      <c r="E801" s="417" t="s">
        <v>116</v>
      </c>
      <c r="F801" s="417">
        <v>3</v>
      </c>
      <c r="G801" s="417" t="s">
        <v>265</v>
      </c>
      <c r="H801" s="417" t="s">
        <v>20</v>
      </c>
      <c r="I801" s="417" t="s">
        <v>165</v>
      </c>
      <c r="J801" s="417" t="s">
        <v>928</v>
      </c>
      <c r="K801" s="417" t="s">
        <v>176</v>
      </c>
      <c r="L801" s="417">
        <v>25</v>
      </c>
      <c r="M801" s="417" t="s">
        <v>177</v>
      </c>
      <c r="N801" s="436">
        <v>1005</v>
      </c>
      <c r="O801" s="436">
        <v>1000</v>
      </c>
      <c r="P801" s="436">
        <v>2000</v>
      </c>
      <c r="Q801" s="417">
        <v>2</v>
      </c>
      <c r="R801" s="417">
        <v>1</v>
      </c>
      <c r="S801" s="417" t="s">
        <v>354</v>
      </c>
      <c r="T801" s="437" t="s">
        <v>2752</v>
      </c>
      <c r="U801" s="437" t="s">
        <v>2857</v>
      </c>
      <c r="V801" s="417" t="s">
        <v>355</v>
      </c>
      <c r="W801" s="417" t="s">
        <v>928</v>
      </c>
      <c r="X801" s="417" t="s">
        <v>928</v>
      </c>
      <c r="Y801" s="146"/>
    </row>
    <row r="802" spans="1:25" s="252" customFormat="1" ht="13.15" customHeight="1" x14ac:dyDescent="0.15">
      <c r="A802" s="417">
        <v>3758078</v>
      </c>
      <c r="B802" s="417" t="s">
        <v>423</v>
      </c>
      <c r="C802" s="417" t="s">
        <v>1801</v>
      </c>
      <c r="D802" s="417" t="s">
        <v>353</v>
      </c>
      <c r="E802" s="417" t="s">
        <v>116</v>
      </c>
      <c r="F802" s="417">
        <v>3</v>
      </c>
      <c r="G802" s="417" t="s">
        <v>265</v>
      </c>
      <c r="H802" s="417" t="s">
        <v>20</v>
      </c>
      <c r="I802" s="417" t="s">
        <v>165</v>
      </c>
      <c r="J802" s="417" t="s">
        <v>928</v>
      </c>
      <c r="K802" s="417" t="s">
        <v>176</v>
      </c>
      <c r="L802" s="417">
        <v>25</v>
      </c>
      <c r="M802" s="417" t="s">
        <v>177</v>
      </c>
      <c r="N802" s="436">
        <v>1005</v>
      </c>
      <c r="O802" s="436">
        <v>1000</v>
      </c>
      <c r="P802" s="436">
        <v>6000</v>
      </c>
      <c r="Q802" s="417">
        <v>2</v>
      </c>
      <c r="R802" s="417">
        <v>1</v>
      </c>
      <c r="S802" s="417" t="s">
        <v>354</v>
      </c>
      <c r="T802" s="437" t="s">
        <v>2752</v>
      </c>
      <c r="U802" s="437" t="s">
        <v>2857</v>
      </c>
      <c r="V802" s="417" t="s">
        <v>355</v>
      </c>
      <c r="W802" s="417" t="s">
        <v>928</v>
      </c>
      <c r="X802" s="417" t="s">
        <v>928</v>
      </c>
      <c r="Y802" s="146"/>
    </row>
    <row r="803" spans="1:25" s="252" customFormat="1" ht="13.15" customHeight="1" x14ac:dyDescent="0.15">
      <c r="A803" s="417">
        <v>3758079</v>
      </c>
      <c r="B803" s="417" t="s">
        <v>423</v>
      </c>
      <c r="C803" s="417" t="s">
        <v>1801</v>
      </c>
      <c r="D803" s="417" t="s">
        <v>353</v>
      </c>
      <c r="E803" s="417" t="s">
        <v>116</v>
      </c>
      <c r="F803" s="417">
        <v>3</v>
      </c>
      <c r="G803" s="417" t="s">
        <v>265</v>
      </c>
      <c r="H803" s="417" t="s">
        <v>20</v>
      </c>
      <c r="I803" s="417" t="s">
        <v>165</v>
      </c>
      <c r="J803" s="417" t="s">
        <v>928</v>
      </c>
      <c r="K803" s="417" t="s">
        <v>176</v>
      </c>
      <c r="L803" s="417">
        <v>25</v>
      </c>
      <c r="M803" s="417" t="s">
        <v>177</v>
      </c>
      <c r="N803" s="436">
        <v>1005</v>
      </c>
      <c r="O803" s="436">
        <v>1000</v>
      </c>
      <c r="P803" s="436">
        <v>2000</v>
      </c>
      <c r="Q803" s="417">
        <v>2</v>
      </c>
      <c r="R803" s="417">
        <v>4</v>
      </c>
      <c r="S803" s="417" t="s">
        <v>354</v>
      </c>
      <c r="T803" s="437" t="s">
        <v>2752</v>
      </c>
      <c r="U803" s="437" t="s">
        <v>2857</v>
      </c>
      <c r="V803" s="417" t="s">
        <v>355</v>
      </c>
      <c r="W803" s="417" t="s">
        <v>928</v>
      </c>
      <c r="X803" s="417" t="s">
        <v>928</v>
      </c>
      <c r="Y803" s="146"/>
    </row>
    <row r="804" spans="1:25" s="252" customFormat="1" ht="13.15" customHeight="1" x14ac:dyDescent="0.15">
      <c r="A804" s="417">
        <v>3758080</v>
      </c>
      <c r="B804" s="417" t="s">
        <v>423</v>
      </c>
      <c r="C804" s="417" t="s">
        <v>1801</v>
      </c>
      <c r="D804" s="417" t="s">
        <v>353</v>
      </c>
      <c r="E804" s="417" t="s">
        <v>116</v>
      </c>
      <c r="F804" s="417">
        <v>3</v>
      </c>
      <c r="G804" s="417" t="s">
        <v>265</v>
      </c>
      <c r="H804" s="417" t="s">
        <v>20</v>
      </c>
      <c r="I804" s="417" t="s">
        <v>165</v>
      </c>
      <c r="J804" s="417" t="s">
        <v>928</v>
      </c>
      <c r="K804" s="417" t="s">
        <v>176</v>
      </c>
      <c r="L804" s="417">
        <v>50</v>
      </c>
      <c r="M804" s="417" t="s">
        <v>177</v>
      </c>
      <c r="N804" s="436">
        <v>1005</v>
      </c>
      <c r="O804" s="436">
        <v>1000</v>
      </c>
      <c r="P804" s="436">
        <v>4100</v>
      </c>
      <c r="Q804" s="417">
        <v>2</v>
      </c>
      <c r="R804" s="417">
        <v>6</v>
      </c>
      <c r="S804" s="417" t="s">
        <v>354</v>
      </c>
      <c r="T804" s="437" t="s">
        <v>2752</v>
      </c>
      <c r="U804" s="437" t="s">
        <v>2857</v>
      </c>
      <c r="V804" s="417" t="s">
        <v>355</v>
      </c>
      <c r="W804" s="417" t="s">
        <v>928</v>
      </c>
      <c r="X804" s="417" t="s">
        <v>928</v>
      </c>
      <c r="Y804" s="146"/>
    </row>
    <row r="805" spans="1:25" s="252" customFormat="1" ht="13.15" customHeight="1" x14ac:dyDescent="0.15">
      <c r="A805" s="417">
        <v>3758081</v>
      </c>
      <c r="B805" s="417" t="s">
        <v>351</v>
      </c>
      <c r="C805" s="417" t="s">
        <v>1801</v>
      </c>
      <c r="D805" s="417" t="s">
        <v>353</v>
      </c>
      <c r="E805" s="417" t="s">
        <v>116</v>
      </c>
      <c r="F805" s="417">
        <v>3</v>
      </c>
      <c r="G805" s="417" t="s">
        <v>19</v>
      </c>
      <c r="H805" s="417" t="s">
        <v>20</v>
      </c>
      <c r="I805" s="417" t="s">
        <v>143</v>
      </c>
      <c r="J805" s="417" t="s">
        <v>928</v>
      </c>
      <c r="K805" s="417" t="s">
        <v>152</v>
      </c>
      <c r="L805" s="417">
        <v>38</v>
      </c>
      <c r="M805" s="417" t="s">
        <v>153</v>
      </c>
      <c r="N805" s="436">
        <v>1005</v>
      </c>
      <c r="O805" s="436">
        <v>1000</v>
      </c>
      <c r="P805" s="436">
        <v>4000</v>
      </c>
      <c r="Q805" s="417">
        <v>2</v>
      </c>
      <c r="R805" s="417">
        <v>4</v>
      </c>
      <c r="S805" s="417" t="s">
        <v>354</v>
      </c>
      <c r="T805" s="437" t="s">
        <v>2752</v>
      </c>
      <c r="U805" s="437" t="s">
        <v>2857</v>
      </c>
      <c r="V805" s="417" t="s">
        <v>355</v>
      </c>
      <c r="W805" s="417" t="s">
        <v>928</v>
      </c>
      <c r="X805" s="417" t="s">
        <v>928</v>
      </c>
      <c r="Y805" s="146"/>
    </row>
    <row r="806" spans="1:25" s="252" customFormat="1" ht="13.15" customHeight="1" x14ac:dyDescent="0.15">
      <c r="A806" s="417">
        <v>3758082</v>
      </c>
      <c r="B806" s="417" t="s">
        <v>351</v>
      </c>
      <c r="C806" s="417" t="s">
        <v>1801</v>
      </c>
      <c r="D806" s="417" t="s">
        <v>353</v>
      </c>
      <c r="E806" s="417" t="s">
        <v>116</v>
      </c>
      <c r="F806" s="417">
        <v>3</v>
      </c>
      <c r="G806" s="417" t="s">
        <v>19</v>
      </c>
      <c r="H806" s="417" t="s">
        <v>28</v>
      </c>
      <c r="I806" s="417" t="s">
        <v>205</v>
      </c>
      <c r="J806" s="417" t="s">
        <v>928</v>
      </c>
      <c r="K806" s="417" t="s">
        <v>233</v>
      </c>
      <c r="L806" s="417">
        <v>50</v>
      </c>
      <c r="M806" s="417" t="s">
        <v>234</v>
      </c>
      <c r="N806" s="436">
        <v>1120</v>
      </c>
      <c r="O806" s="436">
        <v>1120</v>
      </c>
      <c r="P806" s="436">
        <v>4000</v>
      </c>
      <c r="Q806" s="417">
        <v>2</v>
      </c>
      <c r="R806" s="417">
        <v>10</v>
      </c>
      <c r="S806" s="417" t="s">
        <v>354</v>
      </c>
      <c r="T806" s="437" t="s">
        <v>2752</v>
      </c>
      <c r="U806" s="437" t="s">
        <v>2862</v>
      </c>
      <c r="V806" s="417" t="s">
        <v>355</v>
      </c>
      <c r="W806" s="417" t="s">
        <v>928</v>
      </c>
      <c r="X806" s="417" t="s">
        <v>928</v>
      </c>
      <c r="Y806" s="146"/>
    </row>
    <row r="807" spans="1:25" s="252" customFormat="1" ht="13.15" customHeight="1" x14ac:dyDescent="0.15">
      <c r="A807" s="417">
        <v>3758083</v>
      </c>
      <c r="B807" s="417" t="s">
        <v>351</v>
      </c>
      <c r="C807" s="417" t="s">
        <v>1801</v>
      </c>
      <c r="D807" s="417" t="s">
        <v>353</v>
      </c>
      <c r="E807" s="417" t="s">
        <v>116</v>
      </c>
      <c r="F807" s="417">
        <v>3</v>
      </c>
      <c r="G807" s="417" t="s">
        <v>19</v>
      </c>
      <c r="H807" s="417" t="s">
        <v>28</v>
      </c>
      <c r="I807" s="417" t="s">
        <v>205</v>
      </c>
      <c r="J807" s="417" t="s">
        <v>928</v>
      </c>
      <c r="K807" s="417" t="s">
        <v>233</v>
      </c>
      <c r="L807" s="417">
        <v>50</v>
      </c>
      <c r="M807" s="417" t="s">
        <v>234</v>
      </c>
      <c r="N807" s="436">
        <v>1120</v>
      </c>
      <c r="O807" s="436">
        <v>1120</v>
      </c>
      <c r="P807" s="436">
        <v>4000</v>
      </c>
      <c r="Q807" s="417">
        <v>2</v>
      </c>
      <c r="R807" s="417">
        <v>10</v>
      </c>
      <c r="S807" s="417" t="s">
        <v>354</v>
      </c>
      <c r="T807" s="437" t="s">
        <v>2752</v>
      </c>
      <c r="U807" s="437" t="s">
        <v>2862</v>
      </c>
      <c r="V807" s="417" t="s">
        <v>355</v>
      </c>
      <c r="W807" s="417" t="s">
        <v>928</v>
      </c>
      <c r="X807" s="417" t="s">
        <v>928</v>
      </c>
      <c r="Y807" s="146"/>
    </row>
    <row r="808" spans="1:25" s="252" customFormat="1" ht="13.15" customHeight="1" x14ac:dyDescent="0.15">
      <c r="A808" s="417">
        <v>3758084</v>
      </c>
      <c r="B808" s="417" t="s">
        <v>351</v>
      </c>
      <c r="C808" s="417" t="s">
        <v>1801</v>
      </c>
      <c r="D808" s="417" t="s">
        <v>353</v>
      </c>
      <c r="E808" s="417" t="s">
        <v>116</v>
      </c>
      <c r="F808" s="417">
        <v>3</v>
      </c>
      <c r="G808" s="417" t="s">
        <v>19</v>
      </c>
      <c r="H808" s="417" t="s">
        <v>28</v>
      </c>
      <c r="I808" s="417" t="s">
        <v>205</v>
      </c>
      <c r="J808" s="417" t="s">
        <v>928</v>
      </c>
      <c r="K808" s="417" t="s">
        <v>233</v>
      </c>
      <c r="L808" s="417">
        <v>50</v>
      </c>
      <c r="M808" s="417" t="s">
        <v>234</v>
      </c>
      <c r="N808" s="436">
        <v>1120</v>
      </c>
      <c r="O808" s="436">
        <v>1120</v>
      </c>
      <c r="P808" s="436">
        <v>4000</v>
      </c>
      <c r="Q808" s="417">
        <v>2</v>
      </c>
      <c r="R808" s="417">
        <v>20</v>
      </c>
      <c r="S808" s="417" t="s">
        <v>354</v>
      </c>
      <c r="T808" s="437" t="s">
        <v>2752</v>
      </c>
      <c r="U808" s="437" t="s">
        <v>2857</v>
      </c>
      <c r="V808" s="417" t="s">
        <v>355</v>
      </c>
      <c r="W808" s="417" t="s">
        <v>928</v>
      </c>
      <c r="X808" s="417" t="s">
        <v>928</v>
      </c>
      <c r="Y808" s="146"/>
    </row>
    <row r="809" spans="1:25" x14ac:dyDescent="0.15">
      <c r="A809" s="417">
        <v>3758085</v>
      </c>
      <c r="B809" s="417" t="s">
        <v>351</v>
      </c>
      <c r="C809" s="417" t="s">
        <v>1801</v>
      </c>
      <c r="D809" s="417" t="s">
        <v>353</v>
      </c>
      <c r="E809" s="417" t="s">
        <v>116</v>
      </c>
      <c r="F809" s="417">
        <v>3</v>
      </c>
      <c r="G809" s="417" t="s">
        <v>19</v>
      </c>
      <c r="H809" s="417" t="s">
        <v>28</v>
      </c>
      <c r="I809" s="417" t="s">
        <v>205</v>
      </c>
      <c r="J809" s="417" t="s">
        <v>928</v>
      </c>
      <c r="K809" s="417" t="s">
        <v>224</v>
      </c>
      <c r="L809" s="417">
        <v>50</v>
      </c>
      <c r="M809" s="417" t="s">
        <v>225</v>
      </c>
      <c r="N809" s="436">
        <v>1120</v>
      </c>
      <c r="O809" s="436">
        <v>1120</v>
      </c>
      <c r="P809" s="436">
        <v>5000</v>
      </c>
      <c r="Q809" s="417">
        <v>2</v>
      </c>
      <c r="R809" s="417">
        <v>6</v>
      </c>
      <c r="S809" s="417" t="s">
        <v>354</v>
      </c>
      <c r="T809" s="437" t="s">
        <v>2752</v>
      </c>
      <c r="U809" s="437" t="s">
        <v>2862</v>
      </c>
      <c r="V809" s="417" t="s">
        <v>355</v>
      </c>
      <c r="W809" s="417" t="s">
        <v>928</v>
      </c>
      <c r="X809" s="417" t="s">
        <v>928</v>
      </c>
    </row>
    <row r="810" spans="1:25" x14ac:dyDescent="0.15">
      <c r="A810" s="417">
        <v>3758086</v>
      </c>
      <c r="B810" s="417" t="s">
        <v>351</v>
      </c>
      <c r="C810" s="417" t="s">
        <v>1801</v>
      </c>
      <c r="D810" s="417" t="s">
        <v>353</v>
      </c>
      <c r="E810" s="417" t="s">
        <v>116</v>
      </c>
      <c r="F810" s="417">
        <v>3</v>
      </c>
      <c r="G810" s="417" t="s">
        <v>19</v>
      </c>
      <c r="H810" s="417" t="s">
        <v>28</v>
      </c>
      <c r="I810" s="417" t="s">
        <v>205</v>
      </c>
      <c r="J810" s="417" t="s">
        <v>928</v>
      </c>
      <c r="K810" s="417" t="s">
        <v>235</v>
      </c>
      <c r="L810" s="417">
        <v>50</v>
      </c>
      <c r="M810" s="417" t="s">
        <v>236</v>
      </c>
      <c r="N810" s="436">
        <v>1120</v>
      </c>
      <c r="O810" s="436">
        <v>1120</v>
      </c>
      <c r="P810" s="436">
        <v>4000</v>
      </c>
      <c r="Q810" s="417">
        <v>2</v>
      </c>
      <c r="R810" s="417">
        <v>2</v>
      </c>
      <c r="S810" s="417" t="s">
        <v>354</v>
      </c>
      <c r="T810" s="437" t="s">
        <v>2752</v>
      </c>
      <c r="U810" s="437" t="s">
        <v>2862</v>
      </c>
      <c r="V810" s="417" t="s">
        <v>355</v>
      </c>
      <c r="W810" s="417" t="s">
        <v>928</v>
      </c>
      <c r="X810" s="417" t="s">
        <v>928</v>
      </c>
    </row>
    <row r="811" spans="1:25" x14ac:dyDescent="0.15">
      <c r="A811" s="417">
        <v>3758087</v>
      </c>
      <c r="B811" s="417" t="s">
        <v>351</v>
      </c>
      <c r="C811" s="417" t="s">
        <v>1801</v>
      </c>
      <c r="D811" s="417" t="s">
        <v>353</v>
      </c>
      <c r="E811" s="417" t="s">
        <v>116</v>
      </c>
      <c r="F811" s="417">
        <v>3</v>
      </c>
      <c r="G811" s="417" t="s">
        <v>19</v>
      </c>
      <c r="H811" s="417" t="s">
        <v>28</v>
      </c>
      <c r="I811" s="417" t="s">
        <v>205</v>
      </c>
      <c r="J811" s="417" t="s">
        <v>928</v>
      </c>
      <c r="K811" s="417" t="s">
        <v>235</v>
      </c>
      <c r="L811" s="417">
        <v>50</v>
      </c>
      <c r="M811" s="417" t="s">
        <v>236</v>
      </c>
      <c r="N811" s="436">
        <v>1120</v>
      </c>
      <c r="O811" s="436">
        <v>1120</v>
      </c>
      <c r="P811" s="436">
        <v>4000</v>
      </c>
      <c r="Q811" s="417">
        <v>2</v>
      </c>
      <c r="R811" s="417">
        <v>10</v>
      </c>
      <c r="S811" s="417" t="s">
        <v>354</v>
      </c>
      <c r="T811" s="437" t="s">
        <v>2752</v>
      </c>
      <c r="U811" s="437" t="s">
        <v>2857</v>
      </c>
      <c r="V811" s="417" t="s">
        <v>355</v>
      </c>
      <c r="W811" s="417" t="s">
        <v>928</v>
      </c>
      <c r="X811" s="417" t="s">
        <v>928</v>
      </c>
    </row>
    <row r="812" spans="1:25" x14ac:dyDescent="0.15">
      <c r="A812" s="417">
        <v>3758088</v>
      </c>
      <c r="B812" s="417" t="s">
        <v>351</v>
      </c>
      <c r="C812" s="417" t="s">
        <v>1801</v>
      </c>
      <c r="D812" s="417" t="s">
        <v>353</v>
      </c>
      <c r="E812" s="417" t="s">
        <v>116</v>
      </c>
      <c r="F812" s="417">
        <v>3</v>
      </c>
      <c r="G812" s="417" t="s">
        <v>19</v>
      </c>
      <c r="H812" s="417" t="s">
        <v>28</v>
      </c>
      <c r="I812" s="417" t="s">
        <v>205</v>
      </c>
      <c r="J812" s="417" t="s">
        <v>928</v>
      </c>
      <c r="K812" s="417" t="s">
        <v>233</v>
      </c>
      <c r="L812" s="417">
        <v>50</v>
      </c>
      <c r="M812" s="417" t="s">
        <v>234</v>
      </c>
      <c r="N812" s="436">
        <v>1120</v>
      </c>
      <c r="O812" s="436">
        <v>1120</v>
      </c>
      <c r="P812" s="436">
        <v>4000</v>
      </c>
      <c r="Q812" s="417">
        <v>2</v>
      </c>
      <c r="R812" s="417">
        <v>8</v>
      </c>
      <c r="S812" s="417" t="s">
        <v>354</v>
      </c>
      <c r="T812" s="437" t="s">
        <v>2752</v>
      </c>
      <c r="U812" s="437" t="s">
        <v>2857</v>
      </c>
      <c r="V812" s="417" t="s">
        <v>355</v>
      </c>
      <c r="W812" s="417" t="s">
        <v>928</v>
      </c>
      <c r="X812" s="417" t="s">
        <v>928</v>
      </c>
    </row>
    <row r="813" spans="1:25" x14ac:dyDescent="0.15">
      <c r="A813" s="417">
        <v>3758089</v>
      </c>
      <c r="B813" s="417" t="s">
        <v>351</v>
      </c>
      <c r="C813" s="417" t="s">
        <v>1801</v>
      </c>
      <c r="D813" s="417" t="s">
        <v>353</v>
      </c>
      <c r="E813" s="417" t="s">
        <v>116</v>
      </c>
      <c r="F813" s="417">
        <v>3</v>
      </c>
      <c r="G813" s="417" t="s">
        <v>19</v>
      </c>
      <c r="H813" s="417" t="s">
        <v>28</v>
      </c>
      <c r="I813" s="417" t="s">
        <v>205</v>
      </c>
      <c r="J813" s="417" t="s">
        <v>928</v>
      </c>
      <c r="K813" s="417" t="s">
        <v>224</v>
      </c>
      <c r="L813" s="417">
        <v>50</v>
      </c>
      <c r="M813" s="417" t="s">
        <v>225</v>
      </c>
      <c r="N813" s="436">
        <v>1120</v>
      </c>
      <c r="O813" s="436">
        <v>1120</v>
      </c>
      <c r="P813" s="436">
        <v>5000</v>
      </c>
      <c r="Q813" s="417">
        <v>2</v>
      </c>
      <c r="R813" s="417">
        <v>2</v>
      </c>
      <c r="S813" s="417" t="s">
        <v>354</v>
      </c>
      <c r="T813" s="437" t="s">
        <v>2752</v>
      </c>
      <c r="U813" s="437" t="s">
        <v>2857</v>
      </c>
      <c r="V813" s="417" t="s">
        <v>355</v>
      </c>
      <c r="W813" s="417" t="s">
        <v>928</v>
      </c>
      <c r="X813" s="417" t="s">
        <v>928</v>
      </c>
    </row>
    <row r="814" spans="1:25" x14ac:dyDescent="0.15">
      <c r="A814" s="417">
        <v>3758135</v>
      </c>
      <c r="B814" s="417" t="s">
        <v>510</v>
      </c>
      <c r="C814" s="417" t="s">
        <v>1801</v>
      </c>
      <c r="D814" s="417" t="s">
        <v>353</v>
      </c>
      <c r="E814" s="417" t="s">
        <v>324</v>
      </c>
      <c r="F814" s="417">
        <v>3</v>
      </c>
      <c r="G814" s="417" t="s">
        <v>269</v>
      </c>
      <c r="H814" s="417" t="s">
        <v>20</v>
      </c>
      <c r="I814" s="417" t="s">
        <v>205</v>
      </c>
      <c r="J814" s="417" t="s">
        <v>928</v>
      </c>
      <c r="K814" s="417" t="s">
        <v>325</v>
      </c>
      <c r="L814" s="417">
        <v>9</v>
      </c>
      <c r="M814" s="417" t="s">
        <v>326</v>
      </c>
      <c r="N814" s="436">
        <v>1200</v>
      </c>
      <c r="O814" s="436">
        <v>1200</v>
      </c>
      <c r="P814" s="436">
        <v>2100</v>
      </c>
      <c r="Q814" s="417">
        <v>2</v>
      </c>
      <c r="R814" s="417">
        <v>15</v>
      </c>
      <c r="S814" s="417" t="s">
        <v>354</v>
      </c>
      <c r="T814" s="437" t="s">
        <v>2752</v>
      </c>
      <c r="U814" s="437" t="s">
        <v>2753</v>
      </c>
      <c r="V814" s="417" t="s">
        <v>428</v>
      </c>
      <c r="W814" s="417" t="s">
        <v>928</v>
      </c>
      <c r="X814" s="417" t="s">
        <v>928</v>
      </c>
    </row>
    <row r="815" spans="1:25" ht="13.5" x14ac:dyDescent="0.15">
      <c r="A815" s="296">
        <v>3758333</v>
      </c>
      <c r="B815" s="296" t="s">
        <v>510</v>
      </c>
      <c r="C815" s="296" t="s">
        <v>1803</v>
      </c>
      <c r="D815" s="296" t="s">
        <v>353</v>
      </c>
      <c r="E815" s="296" t="s">
        <v>61</v>
      </c>
      <c r="F815" s="296">
        <v>3</v>
      </c>
      <c r="G815" s="296" t="s">
        <v>269</v>
      </c>
      <c r="H815" s="296" t="s">
        <v>20</v>
      </c>
      <c r="I815" s="296" t="s">
        <v>205</v>
      </c>
      <c r="J815" s="296" t="s">
        <v>928</v>
      </c>
      <c r="K815" s="296" t="s">
        <v>242</v>
      </c>
      <c r="L815" s="296">
        <v>50</v>
      </c>
      <c r="M815" s="296" t="s">
        <v>243</v>
      </c>
      <c r="N815" s="296">
        <v>1255</v>
      </c>
      <c r="O815" s="296">
        <v>1250</v>
      </c>
      <c r="P815" s="296">
        <v>2000</v>
      </c>
      <c r="Q815" s="296">
        <v>2</v>
      </c>
      <c r="R815" s="296">
        <v>6</v>
      </c>
      <c r="S815" s="296" t="s">
        <v>354</v>
      </c>
      <c r="T815" s="296" t="s">
        <v>2761</v>
      </c>
      <c r="U815" s="296" t="s">
        <v>2753</v>
      </c>
      <c r="V815" s="296" t="s">
        <v>428</v>
      </c>
      <c r="W815" s="296" t="s">
        <v>928</v>
      </c>
      <c r="X815" s="296" t="s">
        <v>928</v>
      </c>
    </row>
    <row r="816" spans="1:25" ht="13.5" x14ac:dyDescent="0.15">
      <c r="A816" s="296">
        <v>3758334</v>
      </c>
      <c r="B816" s="296" t="s">
        <v>351</v>
      </c>
      <c r="C816" s="296" t="s">
        <v>1801</v>
      </c>
      <c r="D816" s="296" t="s">
        <v>353</v>
      </c>
      <c r="E816" s="296" t="s">
        <v>232</v>
      </c>
      <c r="F816" s="296">
        <v>3</v>
      </c>
      <c r="G816" s="296" t="s">
        <v>19</v>
      </c>
      <c r="H816" s="296" t="s">
        <v>20</v>
      </c>
      <c r="I816" s="296" t="s">
        <v>205</v>
      </c>
      <c r="J816" s="296" t="s">
        <v>928</v>
      </c>
      <c r="K816" s="296" t="s">
        <v>230</v>
      </c>
      <c r="L816" s="296">
        <v>25</v>
      </c>
      <c r="M816" s="296" t="s">
        <v>231</v>
      </c>
      <c r="N816" s="296">
        <v>1240</v>
      </c>
      <c r="O816" s="296">
        <v>1240</v>
      </c>
      <c r="P816" s="296">
        <v>2000</v>
      </c>
      <c r="Q816" s="296">
        <v>1</v>
      </c>
      <c r="R816" s="296">
        <v>6</v>
      </c>
      <c r="S816" s="296" t="s">
        <v>354</v>
      </c>
      <c r="T816" s="296" t="s">
        <v>2761</v>
      </c>
      <c r="U816" s="296" t="s">
        <v>2854</v>
      </c>
      <c r="V816" s="296" t="s">
        <v>355</v>
      </c>
      <c r="W816" s="296" t="s">
        <v>928</v>
      </c>
      <c r="X816" s="296" t="s">
        <v>928</v>
      </c>
    </row>
    <row r="817" spans="1:24" ht="13.5" x14ac:dyDescent="0.15">
      <c r="A817" s="296">
        <v>3758350</v>
      </c>
      <c r="B817" s="296" t="s">
        <v>510</v>
      </c>
      <c r="C817" s="296" t="s">
        <v>1801</v>
      </c>
      <c r="D817" s="296" t="s">
        <v>353</v>
      </c>
      <c r="E817" s="296" t="s">
        <v>324</v>
      </c>
      <c r="F817" s="296">
        <v>3</v>
      </c>
      <c r="G817" s="296" t="s">
        <v>269</v>
      </c>
      <c r="H817" s="296" t="s">
        <v>20</v>
      </c>
      <c r="I817" s="296" t="s">
        <v>205</v>
      </c>
      <c r="J817" s="296" t="s">
        <v>928</v>
      </c>
      <c r="K817" s="296" t="s">
        <v>325</v>
      </c>
      <c r="L817" s="296">
        <v>9</v>
      </c>
      <c r="M817" s="296" t="s">
        <v>326</v>
      </c>
      <c r="N817" s="296">
        <v>1360</v>
      </c>
      <c r="O817" s="296">
        <v>1360</v>
      </c>
      <c r="P817" s="296">
        <v>2100</v>
      </c>
      <c r="Q817" s="296">
        <v>2</v>
      </c>
      <c r="R817" s="296">
        <v>20</v>
      </c>
      <c r="S817" s="296" t="s">
        <v>354</v>
      </c>
      <c r="T817" s="296" t="s">
        <v>2761</v>
      </c>
      <c r="U817" s="296" t="s">
        <v>2854</v>
      </c>
      <c r="V817" s="296" t="s">
        <v>428</v>
      </c>
      <c r="W817" s="296" t="s">
        <v>928</v>
      </c>
      <c r="X817" s="296" t="s">
        <v>928</v>
      </c>
    </row>
    <row r="818" spans="1:24" ht="13.5" x14ac:dyDescent="0.15">
      <c r="A818" s="296">
        <v>3760302</v>
      </c>
      <c r="B818" s="296" t="s">
        <v>423</v>
      </c>
      <c r="C818" s="296" t="s">
        <v>1801</v>
      </c>
      <c r="D818" s="296" t="s">
        <v>353</v>
      </c>
      <c r="E818" s="296" t="s">
        <v>116</v>
      </c>
      <c r="F818" s="296">
        <v>3</v>
      </c>
      <c r="G818" s="296" t="s">
        <v>265</v>
      </c>
      <c r="H818" s="296" t="s">
        <v>20</v>
      </c>
      <c r="I818" s="296" t="s">
        <v>165</v>
      </c>
      <c r="J818" s="296" t="s">
        <v>928</v>
      </c>
      <c r="K818" s="296" t="s">
        <v>319</v>
      </c>
      <c r="L818" s="296">
        <v>25</v>
      </c>
      <c r="M818" s="296" t="s">
        <v>320</v>
      </c>
      <c r="N818" s="296">
        <v>1000</v>
      </c>
      <c r="O818" s="296">
        <v>1000</v>
      </c>
      <c r="P818" s="296">
        <v>2000</v>
      </c>
      <c r="Q818" s="296">
        <v>2</v>
      </c>
      <c r="R818" s="296">
        <v>2</v>
      </c>
      <c r="S818" s="296" t="s">
        <v>354</v>
      </c>
      <c r="T818" s="296" t="s">
        <v>2908</v>
      </c>
      <c r="U818" s="296" t="s">
        <v>2909</v>
      </c>
      <c r="V818" s="296" t="s">
        <v>355</v>
      </c>
      <c r="W818" s="296" t="s">
        <v>928</v>
      </c>
      <c r="X818" s="296" t="s">
        <v>928</v>
      </c>
    </row>
    <row r="819" spans="1:24" ht="13.5" x14ac:dyDescent="0.15">
      <c r="A819" s="296">
        <v>3760303</v>
      </c>
      <c r="B819" s="296" t="s">
        <v>423</v>
      </c>
      <c r="C819" s="296" t="s">
        <v>1801</v>
      </c>
      <c r="D819" s="296" t="s">
        <v>353</v>
      </c>
      <c r="E819" s="296" t="s">
        <v>116</v>
      </c>
      <c r="F819" s="296">
        <v>3</v>
      </c>
      <c r="G819" s="296" t="s">
        <v>265</v>
      </c>
      <c r="H819" s="296" t="s">
        <v>20</v>
      </c>
      <c r="I819" s="296" t="s">
        <v>165</v>
      </c>
      <c r="J819" s="296" t="s">
        <v>928</v>
      </c>
      <c r="K819" s="296" t="s">
        <v>319</v>
      </c>
      <c r="L819" s="296">
        <v>50</v>
      </c>
      <c r="M819" s="296" t="s">
        <v>483</v>
      </c>
      <c r="N819" s="296">
        <v>1000</v>
      </c>
      <c r="O819" s="296">
        <v>1000</v>
      </c>
      <c r="P819" s="296">
        <v>2000</v>
      </c>
      <c r="Q819" s="296">
        <v>2</v>
      </c>
      <c r="R819" s="296">
        <v>2</v>
      </c>
      <c r="S819" s="296" t="s">
        <v>354</v>
      </c>
      <c r="T819" s="296" t="s">
        <v>2908</v>
      </c>
      <c r="U819" s="296" t="s">
        <v>2909</v>
      </c>
      <c r="V819" s="296" t="s">
        <v>355</v>
      </c>
      <c r="W819" s="296" t="s">
        <v>928</v>
      </c>
      <c r="X819" s="296" t="s">
        <v>928</v>
      </c>
    </row>
    <row r="820" spans="1:24" ht="13.5" x14ac:dyDescent="0.15">
      <c r="A820" s="296">
        <v>3762717</v>
      </c>
      <c r="B820" s="296" t="s">
        <v>423</v>
      </c>
      <c r="C820" s="296" t="s">
        <v>1801</v>
      </c>
      <c r="D820" s="296" t="s">
        <v>353</v>
      </c>
      <c r="E820" s="296" t="s">
        <v>316</v>
      </c>
      <c r="F820" s="296">
        <v>3</v>
      </c>
      <c r="G820" s="296" t="s">
        <v>265</v>
      </c>
      <c r="H820" s="296" t="s">
        <v>20</v>
      </c>
      <c r="I820" s="296" t="s">
        <v>312</v>
      </c>
      <c r="J820" s="296" t="s">
        <v>928</v>
      </c>
      <c r="K820" s="296" t="s">
        <v>317</v>
      </c>
      <c r="L820" s="296">
        <v>50</v>
      </c>
      <c r="M820" s="296" t="s">
        <v>318</v>
      </c>
      <c r="N820" s="296">
        <v>680</v>
      </c>
      <c r="O820" s="296">
        <v>680</v>
      </c>
      <c r="P820" s="296">
        <v>2000</v>
      </c>
      <c r="Q820" s="296">
        <v>2</v>
      </c>
      <c r="R820" s="296">
        <v>4</v>
      </c>
      <c r="S820" s="296" t="s">
        <v>354</v>
      </c>
      <c r="T820" s="296" t="s">
        <v>2862</v>
      </c>
      <c r="U820" s="296" t="s">
        <v>2923</v>
      </c>
      <c r="V820" s="296" t="s">
        <v>355</v>
      </c>
      <c r="W820" s="296" t="s">
        <v>928</v>
      </c>
      <c r="X820" s="296" t="s">
        <v>928</v>
      </c>
    </row>
    <row r="821" spans="1:24" ht="13.5" x14ac:dyDescent="0.15">
      <c r="A821" s="296">
        <v>3762718</v>
      </c>
      <c r="B821" s="296" t="s">
        <v>351</v>
      </c>
      <c r="C821" s="296" t="s">
        <v>1801</v>
      </c>
      <c r="D821" s="296" t="s">
        <v>353</v>
      </c>
      <c r="E821" s="296" t="s">
        <v>247</v>
      </c>
      <c r="F821" s="296">
        <v>3</v>
      </c>
      <c r="G821" s="296" t="s">
        <v>19</v>
      </c>
      <c r="H821" s="296" t="s">
        <v>20</v>
      </c>
      <c r="I821" s="296" t="s">
        <v>143</v>
      </c>
      <c r="J821" s="296" t="s">
        <v>928</v>
      </c>
      <c r="K821" s="296" t="s">
        <v>149</v>
      </c>
      <c r="L821" s="296">
        <v>38</v>
      </c>
      <c r="M821" s="296" t="s">
        <v>150</v>
      </c>
      <c r="N821" s="296">
        <v>1120</v>
      </c>
      <c r="O821" s="296">
        <v>1120</v>
      </c>
      <c r="P821" s="296">
        <v>4000</v>
      </c>
      <c r="Q821" s="296">
        <v>2</v>
      </c>
      <c r="R821" s="296">
        <v>2</v>
      </c>
      <c r="S821" s="296" t="s">
        <v>354</v>
      </c>
      <c r="T821" s="296" t="s">
        <v>2862</v>
      </c>
      <c r="U821" s="296" t="s">
        <v>2923</v>
      </c>
      <c r="V821" s="296" t="s">
        <v>355</v>
      </c>
      <c r="W821" s="296" t="s">
        <v>928</v>
      </c>
      <c r="X821" s="296" t="s">
        <v>928</v>
      </c>
    </row>
    <row r="822" spans="1:24" ht="13.5" x14ac:dyDescent="0.15">
      <c r="A822" s="296">
        <v>3762723</v>
      </c>
      <c r="B822" s="296" t="s">
        <v>351</v>
      </c>
      <c r="C822" s="296" t="s">
        <v>1796</v>
      </c>
      <c r="D822" s="296" t="s">
        <v>353</v>
      </c>
      <c r="E822" s="296" t="s">
        <v>17</v>
      </c>
      <c r="F822" s="296">
        <v>3</v>
      </c>
      <c r="G822" s="296" t="s">
        <v>19</v>
      </c>
      <c r="H822" s="296" t="s">
        <v>20</v>
      </c>
      <c r="I822" s="296" t="s">
        <v>205</v>
      </c>
      <c r="J822" s="296" t="s">
        <v>928</v>
      </c>
      <c r="K822" s="296" t="s">
        <v>242</v>
      </c>
      <c r="L822" s="296">
        <v>50</v>
      </c>
      <c r="M822" s="296" t="s">
        <v>243</v>
      </c>
      <c r="N822" s="296">
        <v>1000</v>
      </c>
      <c r="O822" s="296">
        <v>1000</v>
      </c>
      <c r="P822" s="296">
        <v>1000</v>
      </c>
      <c r="Q822" s="296">
        <v>2</v>
      </c>
      <c r="R822" s="296">
        <v>6</v>
      </c>
      <c r="S822" s="296" t="s">
        <v>354</v>
      </c>
      <c r="T822" s="296" t="s">
        <v>2862</v>
      </c>
      <c r="U822" s="296" t="s">
        <v>2923</v>
      </c>
      <c r="V822" s="296" t="s">
        <v>355</v>
      </c>
      <c r="W822" s="296" t="s">
        <v>928</v>
      </c>
      <c r="X822" s="296" t="s">
        <v>928</v>
      </c>
    </row>
    <row r="823" spans="1:24" ht="13.5" x14ac:dyDescent="0.15">
      <c r="A823" s="296">
        <v>3762724</v>
      </c>
      <c r="B823" s="296" t="s">
        <v>351</v>
      </c>
      <c r="C823" s="296" t="s">
        <v>1796</v>
      </c>
      <c r="D823" s="296" t="s">
        <v>353</v>
      </c>
      <c r="E823" s="296" t="s">
        <v>17</v>
      </c>
      <c r="F823" s="296">
        <v>3</v>
      </c>
      <c r="G823" s="296" t="s">
        <v>19</v>
      </c>
      <c r="H823" s="296" t="s">
        <v>20</v>
      </c>
      <c r="I823" s="296" t="s">
        <v>205</v>
      </c>
      <c r="J823" s="296" t="s">
        <v>928</v>
      </c>
      <c r="K823" s="296" t="s">
        <v>242</v>
      </c>
      <c r="L823" s="296">
        <v>75</v>
      </c>
      <c r="M823" s="296" t="s">
        <v>243</v>
      </c>
      <c r="N823" s="296">
        <v>1000</v>
      </c>
      <c r="O823" s="296">
        <v>1000</v>
      </c>
      <c r="P823" s="296">
        <v>1000</v>
      </c>
      <c r="Q823" s="296">
        <v>2</v>
      </c>
      <c r="R823" s="296">
        <v>2</v>
      </c>
      <c r="S823" s="296" t="s">
        <v>354</v>
      </c>
      <c r="T823" s="296" t="s">
        <v>2862</v>
      </c>
      <c r="U823" s="296" t="s">
        <v>2923</v>
      </c>
      <c r="V823" s="296" t="s">
        <v>355</v>
      </c>
      <c r="W823" s="296" t="s">
        <v>928</v>
      </c>
      <c r="X823" s="296" t="s">
        <v>928</v>
      </c>
    </row>
    <row r="824" spans="1:24" ht="13.5" x14ac:dyDescent="0.15">
      <c r="A824" s="296">
        <v>3762725</v>
      </c>
      <c r="B824" s="296" t="s">
        <v>351</v>
      </c>
      <c r="C824" s="296" t="s">
        <v>1796</v>
      </c>
      <c r="D824" s="296" t="s">
        <v>353</v>
      </c>
      <c r="E824" s="296" t="s">
        <v>229</v>
      </c>
      <c r="F824" s="296">
        <v>3</v>
      </c>
      <c r="G824" s="296" t="s">
        <v>19</v>
      </c>
      <c r="H824" s="296" t="s">
        <v>20</v>
      </c>
      <c r="I824" s="296" t="s">
        <v>205</v>
      </c>
      <c r="J824" s="296" t="s">
        <v>928</v>
      </c>
      <c r="K824" s="296" t="s">
        <v>230</v>
      </c>
      <c r="L824" s="296">
        <v>25</v>
      </c>
      <c r="M824" s="296" t="s">
        <v>231</v>
      </c>
      <c r="N824" s="296">
        <v>1000</v>
      </c>
      <c r="O824" s="296">
        <v>1000</v>
      </c>
      <c r="P824" s="296">
        <v>2000</v>
      </c>
      <c r="Q824" s="296">
        <v>2</v>
      </c>
      <c r="R824" s="296">
        <v>6</v>
      </c>
      <c r="S824" s="296" t="s">
        <v>354</v>
      </c>
      <c r="T824" s="296" t="s">
        <v>2862</v>
      </c>
      <c r="U824" s="296" t="s">
        <v>2923</v>
      </c>
      <c r="V824" s="296" t="s">
        <v>355</v>
      </c>
      <c r="W824" s="296" t="s">
        <v>928</v>
      </c>
      <c r="X824" s="296" t="s">
        <v>928</v>
      </c>
    </row>
    <row r="825" spans="1:24" ht="13.5" x14ac:dyDescent="0.15">
      <c r="A825" s="296">
        <v>3762726</v>
      </c>
      <c r="B825" s="296" t="s">
        <v>351</v>
      </c>
      <c r="C825" s="296" t="s">
        <v>1803</v>
      </c>
      <c r="D825" s="296" t="s">
        <v>353</v>
      </c>
      <c r="E825" s="296" t="s">
        <v>61</v>
      </c>
      <c r="F825" s="296">
        <v>3</v>
      </c>
      <c r="G825" s="296" t="s">
        <v>19</v>
      </c>
      <c r="H825" s="296" t="s">
        <v>20</v>
      </c>
      <c r="I825" s="296" t="s">
        <v>205</v>
      </c>
      <c r="J825" s="296" t="s">
        <v>928</v>
      </c>
      <c r="K825" s="296" t="s">
        <v>242</v>
      </c>
      <c r="L825" s="296">
        <v>50</v>
      </c>
      <c r="M825" s="296" t="s">
        <v>243</v>
      </c>
      <c r="N825" s="296">
        <v>1255</v>
      </c>
      <c r="O825" s="296">
        <v>1250</v>
      </c>
      <c r="P825" s="296">
        <v>2000</v>
      </c>
      <c r="Q825" s="296">
        <v>2</v>
      </c>
      <c r="R825" s="296">
        <v>6</v>
      </c>
      <c r="S825" s="296" t="s">
        <v>354</v>
      </c>
      <c r="T825" s="296" t="s">
        <v>2862</v>
      </c>
      <c r="U825" s="296" t="s">
        <v>2923</v>
      </c>
      <c r="V825" s="296" t="s">
        <v>355</v>
      </c>
      <c r="W825" s="296" t="s">
        <v>928</v>
      </c>
      <c r="X825" s="296" t="s">
        <v>928</v>
      </c>
    </row>
    <row r="826" spans="1:24" ht="13.5" x14ac:dyDescent="0.15">
      <c r="A826" s="296">
        <v>3762727</v>
      </c>
      <c r="B826" s="296" t="s">
        <v>351</v>
      </c>
      <c r="C826" s="296" t="s">
        <v>1801</v>
      </c>
      <c r="D826" s="296" t="s">
        <v>353</v>
      </c>
      <c r="E826" s="296" t="s">
        <v>116</v>
      </c>
      <c r="F826" s="296">
        <v>3</v>
      </c>
      <c r="G826" s="296" t="s">
        <v>19</v>
      </c>
      <c r="H826" s="296" t="s">
        <v>20</v>
      </c>
      <c r="I826" s="296" t="s">
        <v>205</v>
      </c>
      <c r="J826" s="296" t="s">
        <v>928</v>
      </c>
      <c r="K826" s="296" t="s">
        <v>212</v>
      </c>
      <c r="L826" s="296">
        <v>25</v>
      </c>
      <c r="M826" s="296" t="s">
        <v>213</v>
      </c>
      <c r="N826" s="296">
        <v>1120</v>
      </c>
      <c r="O826" s="296">
        <v>1120</v>
      </c>
      <c r="P826" s="296">
        <v>4000</v>
      </c>
      <c r="Q826" s="296">
        <v>2</v>
      </c>
      <c r="R826" s="296">
        <v>6</v>
      </c>
      <c r="S826" s="296" t="s">
        <v>354</v>
      </c>
      <c r="T826" s="296" t="s">
        <v>2862</v>
      </c>
      <c r="U826" s="296" t="s">
        <v>2924</v>
      </c>
      <c r="V826" s="296" t="s">
        <v>355</v>
      </c>
      <c r="W826" s="296" t="s">
        <v>928</v>
      </c>
      <c r="X826" s="296" t="s">
        <v>928</v>
      </c>
    </row>
    <row r="827" spans="1:24" ht="13.5" x14ac:dyDescent="0.15">
      <c r="A827" s="296">
        <v>3762728</v>
      </c>
      <c r="B827" s="296" t="s">
        <v>351</v>
      </c>
      <c r="C827" s="296" t="s">
        <v>1801</v>
      </c>
      <c r="D827" s="296" t="s">
        <v>353</v>
      </c>
      <c r="E827" s="296" t="s">
        <v>116</v>
      </c>
      <c r="F827" s="296">
        <v>3</v>
      </c>
      <c r="G827" s="296" t="s">
        <v>19</v>
      </c>
      <c r="H827" s="296" t="s">
        <v>20</v>
      </c>
      <c r="I827" s="296" t="s">
        <v>205</v>
      </c>
      <c r="J827" s="296" t="s">
        <v>928</v>
      </c>
      <c r="K827" s="296" t="s">
        <v>212</v>
      </c>
      <c r="L827" s="296">
        <v>50</v>
      </c>
      <c r="M827" s="296" t="s">
        <v>213</v>
      </c>
      <c r="N827" s="296">
        <v>1120</v>
      </c>
      <c r="O827" s="296">
        <v>1120</v>
      </c>
      <c r="P827" s="296">
        <v>4000</v>
      </c>
      <c r="Q827" s="296">
        <v>2</v>
      </c>
      <c r="R827" s="296">
        <v>14</v>
      </c>
      <c r="S827" s="296" t="s">
        <v>354</v>
      </c>
      <c r="T827" s="296" t="s">
        <v>2862</v>
      </c>
      <c r="U827" s="296" t="s">
        <v>2929</v>
      </c>
      <c r="V827" s="296" t="s">
        <v>355</v>
      </c>
      <c r="W827" s="296" t="s">
        <v>928</v>
      </c>
      <c r="X827" s="296" t="s">
        <v>928</v>
      </c>
    </row>
    <row r="828" spans="1:24" ht="13.5" x14ac:dyDescent="0.15">
      <c r="A828" s="296">
        <v>3762729</v>
      </c>
      <c r="B828" s="296" t="s">
        <v>351</v>
      </c>
      <c r="C828" s="296" t="s">
        <v>1801</v>
      </c>
      <c r="D828" s="296" t="s">
        <v>353</v>
      </c>
      <c r="E828" s="296" t="s">
        <v>116</v>
      </c>
      <c r="F828" s="296">
        <v>3</v>
      </c>
      <c r="G828" s="296" t="s">
        <v>19</v>
      </c>
      <c r="H828" s="296" t="s">
        <v>20</v>
      </c>
      <c r="I828" s="296" t="s">
        <v>205</v>
      </c>
      <c r="J828" s="296" t="s">
        <v>928</v>
      </c>
      <c r="K828" s="296" t="s">
        <v>211</v>
      </c>
      <c r="L828" s="296">
        <v>38</v>
      </c>
      <c r="M828" s="296" t="s">
        <v>370</v>
      </c>
      <c r="N828" s="296">
        <v>1005</v>
      </c>
      <c r="O828" s="296">
        <v>1000</v>
      </c>
      <c r="P828" s="296">
        <v>4100</v>
      </c>
      <c r="Q828" s="296">
        <v>2</v>
      </c>
      <c r="R828" s="296">
        <v>2</v>
      </c>
      <c r="S828" s="296" t="s">
        <v>354</v>
      </c>
      <c r="T828" s="296" t="s">
        <v>2862</v>
      </c>
      <c r="U828" s="296" t="s">
        <v>2925</v>
      </c>
      <c r="V828" s="296" t="s">
        <v>355</v>
      </c>
      <c r="W828" s="296" t="s">
        <v>928</v>
      </c>
      <c r="X828" s="296" t="s">
        <v>928</v>
      </c>
    </row>
    <row r="829" spans="1:24" ht="13.5" x14ac:dyDescent="0.15">
      <c r="A829" s="296">
        <v>3762730</v>
      </c>
      <c r="B829" s="296" t="s">
        <v>351</v>
      </c>
      <c r="C829" s="296" t="s">
        <v>1801</v>
      </c>
      <c r="D829" s="296" t="s">
        <v>353</v>
      </c>
      <c r="E829" s="296" t="s">
        <v>116</v>
      </c>
      <c r="F829" s="296">
        <v>3</v>
      </c>
      <c r="G829" s="296" t="s">
        <v>19</v>
      </c>
      <c r="H829" s="296" t="s">
        <v>20</v>
      </c>
      <c r="I829" s="296" t="s">
        <v>205</v>
      </c>
      <c r="J829" s="296" t="s">
        <v>928</v>
      </c>
      <c r="K829" s="296" t="s">
        <v>211</v>
      </c>
      <c r="L829" s="296">
        <v>75</v>
      </c>
      <c r="M829" s="296" t="s">
        <v>370</v>
      </c>
      <c r="N829" s="296">
        <v>1050</v>
      </c>
      <c r="O829" s="296">
        <v>1050</v>
      </c>
      <c r="P829" s="296">
        <v>2000</v>
      </c>
      <c r="Q829" s="296">
        <v>2</v>
      </c>
      <c r="R829" s="296">
        <v>2</v>
      </c>
      <c r="S829" s="296" t="s">
        <v>354</v>
      </c>
      <c r="T829" s="296" t="s">
        <v>2862</v>
      </c>
      <c r="U829" s="296" t="s">
        <v>2924</v>
      </c>
      <c r="V829" s="296" t="s">
        <v>355</v>
      </c>
      <c r="W829" s="296" t="s">
        <v>928</v>
      </c>
      <c r="X829" s="296" t="s">
        <v>928</v>
      </c>
    </row>
    <row r="830" spans="1:24" ht="13.5" x14ac:dyDescent="0.15">
      <c r="A830" s="296">
        <v>3762731</v>
      </c>
      <c r="B830" s="296" t="s">
        <v>351</v>
      </c>
      <c r="C830" s="296" t="s">
        <v>1801</v>
      </c>
      <c r="D830" s="296" t="s">
        <v>353</v>
      </c>
      <c r="E830" s="296" t="s">
        <v>116</v>
      </c>
      <c r="F830" s="296">
        <v>3</v>
      </c>
      <c r="G830" s="296" t="s">
        <v>19</v>
      </c>
      <c r="H830" s="296" t="s">
        <v>20</v>
      </c>
      <c r="I830" s="296" t="s">
        <v>205</v>
      </c>
      <c r="J830" s="296" t="s">
        <v>928</v>
      </c>
      <c r="K830" s="296" t="s">
        <v>216</v>
      </c>
      <c r="L830" s="296">
        <v>25</v>
      </c>
      <c r="M830" s="296" t="s">
        <v>217</v>
      </c>
      <c r="N830" s="296">
        <v>1005</v>
      </c>
      <c r="O830" s="296">
        <v>1000</v>
      </c>
      <c r="P830" s="296">
        <v>4000</v>
      </c>
      <c r="Q830" s="296">
        <v>2</v>
      </c>
      <c r="R830" s="296">
        <v>12</v>
      </c>
      <c r="S830" s="296" t="s">
        <v>354</v>
      </c>
      <c r="T830" s="296" t="s">
        <v>2862</v>
      </c>
      <c r="U830" s="296" t="s">
        <v>2930</v>
      </c>
      <c r="V830" s="296" t="s">
        <v>355</v>
      </c>
      <c r="W830" s="296" t="s">
        <v>928</v>
      </c>
      <c r="X830" s="296" t="s">
        <v>928</v>
      </c>
    </row>
    <row r="831" spans="1:24" ht="13.5" x14ac:dyDescent="0.15">
      <c r="A831" s="296">
        <v>3762732</v>
      </c>
      <c r="B831" s="296" t="s">
        <v>351</v>
      </c>
      <c r="C831" s="296" t="s">
        <v>1801</v>
      </c>
      <c r="D831" s="296" t="s">
        <v>353</v>
      </c>
      <c r="E831" s="296" t="s">
        <v>116</v>
      </c>
      <c r="F831" s="296">
        <v>3</v>
      </c>
      <c r="G831" s="296" t="s">
        <v>19</v>
      </c>
      <c r="H831" s="296" t="s">
        <v>20</v>
      </c>
      <c r="I831" s="296" t="s">
        <v>205</v>
      </c>
      <c r="J831" s="296" t="s">
        <v>928</v>
      </c>
      <c r="K831" s="296" t="s">
        <v>216</v>
      </c>
      <c r="L831" s="296">
        <v>50</v>
      </c>
      <c r="M831" s="296" t="s">
        <v>217</v>
      </c>
      <c r="N831" s="296">
        <v>1120</v>
      </c>
      <c r="O831" s="296">
        <v>1120</v>
      </c>
      <c r="P831" s="296">
        <v>5000</v>
      </c>
      <c r="Q831" s="296">
        <v>2</v>
      </c>
      <c r="R831" s="296">
        <v>32</v>
      </c>
      <c r="S831" s="296" t="s">
        <v>354</v>
      </c>
      <c r="T831" s="296" t="s">
        <v>2862</v>
      </c>
      <c r="U831" s="296" t="s">
        <v>2931</v>
      </c>
      <c r="V831" s="296" t="s">
        <v>355</v>
      </c>
      <c r="W831" s="296" t="s">
        <v>928</v>
      </c>
      <c r="X831" s="296" t="s">
        <v>928</v>
      </c>
    </row>
    <row r="832" spans="1:24" ht="13.5" x14ac:dyDescent="0.15">
      <c r="A832" s="296">
        <v>3762733</v>
      </c>
      <c r="B832" s="296" t="s">
        <v>351</v>
      </c>
      <c r="C832" s="296" t="s">
        <v>1801</v>
      </c>
      <c r="D832" s="296" t="s">
        <v>353</v>
      </c>
      <c r="E832" s="296" t="s">
        <v>116</v>
      </c>
      <c r="F832" s="296">
        <v>3</v>
      </c>
      <c r="G832" s="296" t="s">
        <v>19</v>
      </c>
      <c r="H832" s="296" t="s">
        <v>20</v>
      </c>
      <c r="I832" s="296" t="s">
        <v>165</v>
      </c>
      <c r="J832" s="296" t="s">
        <v>928</v>
      </c>
      <c r="K832" s="296" t="s">
        <v>187</v>
      </c>
      <c r="L832" s="296">
        <v>50</v>
      </c>
      <c r="M832" s="296" t="s">
        <v>188</v>
      </c>
      <c r="N832" s="296">
        <v>1120</v>
      </c>
      <c r="O832" s="296">
        <v>1120</v>
      </c>
      <c r="P832" s="296">
        <v>2500</v>
      </c>
      <c r="Q832" s="296">
        <v>2</v>
      </c>
      <c r="R832" s="296">
        <v>2</v>
      </c>
      <c r="S832" s="296" t="s">
        <v>354</v>
      </c>
      <c r="T832" s="296" t="s">
        <v>2862</v>
      </c>
      <c r="U832" s="296" t="s">
        <v>2925</v>
      </c>
      <c r="V832" s="296" t="s">
        <v>355</v>
      </c>
      <c r="W832" s="296" t="s">
        <v>928</v>
      </c>
      <c r="X832" s="296" t="s">
        <v>928</v>
      </c>
    </row>
    <row r="833" spans="1:24" ht="13.5" x14ac:dyDescent="0.15">
      <c r="A833" s="296">
        <v>3762734</v>
      </c>
      <c r="B833" s="296" t="s">
        <v>351</v>
      </c>
      <c r="C833" s="296" t="s">
        <v>1801</v>
      </c>
      <c r="D833" s="296" t="s">
        <v>353</v>
      </c>
      <c r="E833" s="296" t="s">
        <v>116</v>
      </c>
      <c r="F833" s="296">
        <v>3</v>
      </c>
      <c r="G833" s="296" t="s">
        <v>19</v>
      </c>
      <c r="H833" s="296" t="s">
        <v>20</v>
      </c>
      <c r="I833" s="296" t="s">
        <v>205</v>
      </c>
      <c r="J833" s="296" t="s">
        <v>928</v>
      </c>
      <c r="K833" s="296" t="s">
        <v>218</v>
      </c>
      <c r="L833" s="296">
        <v>50</v>
      </c>
      <c r="M833" s="296" t="s">
        <v>219</v>
      </c>
      <c r="N833" s="296">
        <v>1000</v>
      </c>
      <c r="O833" s="296">
        <v>1000</v>
      </c>
      <c r="P833" s="296">
        <v>4000</v>
      </c>
      <c r="Q833" s="296">
        <v>2</v>
      </c>
      <c r="R833" s="296">
        <v>21</v>
      </c>
      <c r="S833" s="296" t="s">
        <v>354</v>
      </c>
      <c r="T833" s="296" t="s">
        <v>2862</v>
      </c>
      <c r="U833" s="296" t="s">
        <v>2932</v>
      </c>
      <c r="V833" s="296" t="s">
        <v>355</v>
      </c>
      <c r="W833" s="296" t="s">
        <v>928</v>
      </c>
      <c r="X833" s="296" t="s">
        <v>928</v>
      </c>
    </row>
    <row r="834" spans="1:24" ht="13.5" x14ac:dyDescent="0.15">
      <c r="A834" s="296">
        <v>3762735</v>
      </c>
      <c r="B834" s="296" t="s">
        <v>351</v>
      </c>
      <c r="C834" s="296" t="s">
        <v>1801</v>
      </c>
      <c r="D834" s="296" t="s">
        <v>353</v>
      </c>
      <c r="E834" s="296" t="s">
        <v>116</v>
      </c>
      <c r="F834" s="296" t="s">
        <v>158</v>
      </c>
      <c r="G834" s="296" t="s">
        <v>19</v>
      </c>
      <c r="H834" s="296" t="s">
        <v>20</v>
      </c>
      <c r="I834" s="296" t="s">
        <v>165</v>
      </c>
      <c r="J834" s="296" t="s">
        <v>928</v>
      </c>
      <c r="K834" s="296" t="s">
        <v>192</v>
      </c>
      <c r="L834" s="296">
        <v>50</v>
      </c>
      <c r="M834" s="296" t="s">
        <v>193</v>
      </c>
      <c r="N834" s="296">
        <v>1005</v>
      </c>
      <c r="O834" s="296">
        <v>1000</v>
      </c>
      <c r="P834" s="296">
        <v>4000</v>
      </c>
      <c r="Q834" s="296">
        <v>2</v>
      </c>
      <c r="R834" s="296">
        <v>5</v>
      </c>
      <c r="S834" s="296" t="s">
        <v>354</v>
      </c>
      <c r="T834" s="296" t="s">
        <v>2862</v>
      </c>
      <c r="U834" s="296" t="s">
        <v>2924</v>
      </c>
      <c r="V834" s="296" t="s">
        <v>355</v>
      </c>
      <c r="W834" s="296" t="s">
        <v>928</v>
      </c>
      <c r="X834" s="296" t="s">
        <v>928</v>
      </c>
    </row>
    <row r="835" spans="1:24" ht="13.5" x14ac:dyDescent="0.15">
      <c r="A835" s="296">
        <v>3762736</v>
      </c>
      <c r="B835" s="296" t="s">
        <v>351</v>
      </c>
      <c r="C835" s="296" t="s">
        <v>1801</v>
      </c>
      <c r="D835" s="296" t="s">
        <v>353</v>
      </c>
      <c r="E835" s="296" t="s">
        <v>116</v>
      </c>
      <c r="F835" s="296" t="s">
        <v>158</v>
      </c>
      <c r="G835" s="296" t="s">
        <v>19</v>
      </c>
      <c r="H835" s="296" t="s">
        <v>20</v>
      </c>
      <c r="I835" s="296" t="s">
        <v>165</v>
      </c>
      <c r="J835" s="296" t="s">
        <v>928</v>
      </c>
      <c r="K835" s="296" t="s">
        <v>195</v>
      </c>
      <c r="L835" s="296">
        <v>50</v>
      </c>
      <c r="M835" s="296" t="s">
        <v>196</v>
      </c>
      <c r="N835" s="296">
        <v>1005</v>
      </c>
      <c r="O835" s="296">
        <v>1000</v>
      </c>
      <c r="P835" s="296">
        <v>4000</v>
      </c>
      <c r="Q835" s="296">
        <v>2</v>
      </c>
      <c r="R835" s="296">
        <v>5</v>
      </c>
      <c r="S835" s="296" t="s">
        <v>354</v>
      </c>
      <c r="T835" s="296" t="s">
        <v>2862</v>
      </c>
      <c r="U835" s="296" t="s">
        <v>2924</v>
      </c>
      <c r="V835" s="296" t="s">
        <v>355</v>
      </c>
      <c r="W835" s="296" t="s">
        <v>928</v>
      </c>
      <c r="X835" s="296" t="s">
        <v>928</v>
      </c>
    </row>
    <row r="836" spans="1:24" ht="13.5" x14ac:dyDescent="0.15">
      <c r="A836" s="296">
        <v>3762737</v>
      </c>
      <c r="B836" s="296" t="s">
        <v>351</v>
      </c>
      <c r="C836" s="296" t="s">
        <v>1801</v>
      </c>
      <c r="D836" s="296" t="s">
        <v>353</v>
      </c>
      <c r="E836" s="296" t="s">
        <v>116</v>
      </c>
      <c r="F836" s="296">
        <v>3</v>
      </c>
      <c r="G836" s="296" t="s">
        <v>19</v>
      </c>
      <c r="H836" s="296" t="s">
        <v>20</v>
      </c>
      <c r="I836" s="296" t="s">
        <v>205</v>
      </c>
      <c r="J836" s="296" t="s">
        <v>928</v>
      </c>
      <c r="K836" s="296" t="s">
        <v>221</v>
      </c>
      <c r="L836" s="296">
        <v>25</v>
      </c>
      <c r="M836" s="296" t="s">
        <v>222</v>
      </c>
      <c r="N836" s="296">
        <v>1000</v>
      </c>
      <c r="O836" s="296">
        <v>1000</v>
      </c>
      <c r="P836" s="296">
        <v>6000</v>
      </c>
      <c r="Q836" s="296">
        <v>2</v>
      </c>
      <c r="R836" s="296">
        <v>15</v>
      </c>
      <c r="S836" s="296" t="s">
        <v>354</v>
      </c>
      <c r="T836" s="296" t="s">
        <v>2862</v>
      </c>
      <c r="U836" s="296" t="s">
        <v>2930</v>
      </c>
      <c r="V836" s="296" t="s">
        <v>355</v>
      </c>
      <c r="W836" s="296" t="s">
        <v>928</v>
      </c>
      <c r="X836" s="296" t="s">
        <v>928</v>
      </c>
    </row>
    <row r="837" spans="1:24" ht="13.5" x14ac:dyDescent="0.15">
      <c r="A837" s="296">
        <v>3762738</v>
      </c>
      <c r="B837" s="296" t="s">
        <v>423</v>
      </c>
      <c r="C837" s="296" t="s">
        <v>1801</v>
      </c>
      <c r="D837" s="296" t="s">
        <v>353</v>
      </c>
      <c r="E837" s="296" t="s">
        <v>116</v>
      </c>
      <c r="F837" s="296">
        <v>3</v>
      </c>
      <c r="G837" s="296" t="s">
        <v>265</v>
      </c>
      <c r="H837" s="296" t="s">
        <v>20</v>
      </c>
      <c r="I837" s="296" t="s">
        <v>165</v>
      </c>
      <c r="J837" s="296" t="s">
        <v>928</v>
      </c>
      <c r="K837" s="296" t="s">
        <v>176</v>
      </c>
      <c r="L837" s="296">
        <v>50</v>
      </c>
      <c r="M837" s="296" t="s">
        <v>177</v>
      </c>
      <c r="N837" s="296">
        <v>1005</v>
      </c>
      <c r="O837" s="296">
        <v>1000</v>
      </c>
      <c r="P837" s="296">
        <v>4100</v>
      </c>
      <c r="Q837" s="296">
        <v>2</v>
      </c>
      <c r="R837" s="296">
        <v>6</v>
      </c>
      <c r="S837" s="296" t="s">
        <v>354</v>
      </c>
      <c r="T837" s="296" t="s">
        <v>2862</v>
      </c>
      <c r="U837" s="296" t="s">
        <v>2932</v>
      </c>
      <c r="V837" s="296" t="s">
        <v>355</v>
      </c>
      <c r="W837" s="296" t="s">
        <v>928</v>
      </c>
      <c r="X837" s="296" t="s">
        <v>928</v>
      </c>
    </row>
    <row r="838" spans="1:24" ht="13.5" x14ac:dyDescent="0.15">
      <c r="A838" s="296">
        <v>3762739</v>
      </c>
      <c r="B838" s="296" t="s">
        <v>351</v>
      </c>
      <c r="C838" s="296" t="s">
        <v>1801</v>
      </c>
      <c r="D838" s="296" t="s">
        <v>353</v>
      </c>
      <c r="E838" s="296" t="s">
        <v>116</v>
      </c>
      <c r="F838" s="296">
        <v>3</v>
      </c>
      <c r="G838" s="296" t="s">
        <v>19</v>
      </c>
      <c r="H838" s="296" t="s">
        <v>28</v>
      </c>
      <c r="I838" s="296" t="s">
        <v>205</v>
      </c>
      <c r="J838" s="296" t="s">
        <v>928</v>
      </c>
      <c r="K838" s="296" t="s">
        <v>224</v>
      </c>
      <c r="L838" s="296">
        <v>25</v>
      </c>
      <c r="M838" s="296" t="s">
        <v>225</v>
      </c>
      <c r="N838" s="296">
        <v>1120</v>
      </c>
      <c r="O838" s="296">
        <v>1120</v>
      </c>
      <c r="P838" s="296">
        <v>8000</v>
      </c>
      <c r="Q838" s="296">
        <v>2</v>
      </c>
      <c r="R838" s="296">
        <v>2</v>
      </c>
      <c r="S838" s="296" t="s">
        <v>354</v>
      </c>
      <c r="T838" s="296" t="s">
        <v>2862</v>
      </c>
      <c r="U838" s="296" t="s">
        <v>2925</v>
      </c>
      <c r="V838" s="296" t="s">
        <v>355</v>
      </c>
      <c r="W838" s="296" t="s">
        <v>928</v>
      </c>
      <c r="X838" s="296" t="s">
        <v>928</v>
      </c>
    </row>
    <row r="839" spans="1:24" ht="13.5" x14ac:dyDescent="0.15">
      <c r="A839" s="296">
        <v>3762740</v>
      </c>
      <c r="B839" s="296" t="s">
        <v>351</v>
      </c>
      <c r="C839" s="296" t="s">
        <v>1801</v>
      </c>
      <c r="D839" s="296" t="s">
        <v>353</v>
      </c>
      <c r="E839" s="296" t="s">
        <v>116</v>
      </c>
      <c r="F839" s="296">
        <v>3</v>
      </c>
      <c r="G839" s="296" t="s">
        <v>19</v>
      </c>
      <c r="H839" s="296" t="s">
        <v>28</v>
      </c>
      <c r="I839" s="296" t="s">
        <v>205</v>
      </c>
      <c r="J839" s="296" t="s">
        <v>928</v>
      </c>
      <c r="K839" s="296" t="s">
        <v>233</v>
      </c>
      <c r="L839" s="296">
        <v>50</v>
      </c>
      <c r="M839" s="296" t="s">
        <v>234</v>
      </c>
      <c r="N839" s="296">
        <v>1120</v>
      </c>
      <c r="O839" s="296">
        <v>1120</v>
      </c>
      <c r="P839" s="296">
        <v>4000</v>
      </c>
      <c r="Q839" s="296">
        <v>2</v>
      </c>
      <c r="R839" s="296">
        <v>20</v>
      </c>
      <c r="S839" s="296" t="s">
        <v>354</v>
      </c>
      <c r="T839" s="296" t="s">
        <v>2862</v>
      </c>
      <c r="U839" s="296" t="s">
        <v>2925</v>
      </c>
      <c r="V839" s="296" t="s">
        <v>355</v>
      </c>
      <c r="W839" s="296" t="s">
        <v>928</v>
      </c>
      <c r="X839" s="296" t="s">
        <v>928</v>
      </c>
    </row>
    <row r="840" spans="1:24" ht="13.5" x14ac:dyDescent="0.15">
      <c r="A840" s="296">
        <v>3762741</v>
      </c>
      <c r="B840" s="296" t="s">
        <v>351</v>
      </c>
      <c r="C840" s="296" t="s">
        <v>1801</v>
      </c>
      <c r="D840" s="296" t="s">
        <v>353</v>
      </c>
      <c r="E840" s="296" t="s">
        <v>116</v>
      </c>
      <c r="F840" s="296">
        <v>3</v>
      </c>
      <c r="G840" s="296" t="s">
        <v>19</v>
      </c>
      <c r="H840" s="296" t="s">
        <v>28</v>
      </c>
      <c r="I840" s="296" t="s">
        <v>205</v>
      </c>
      <c r="J840" s="296" t="s">
        <v>928</v>
      </c>
      <c r="K840" s="296" t="s">
        <v>237</v>
      </c>
      <c r="L840" s="296">
        <v>50</v>
      </c>
      <c r="M840" s="296" t="s">
        <v>238</v>
      </c>
      <c r="N840" s="296">
        <v>1120</v>
      </c>
      <c r="O840" s="296">
        <v>1120</v>
      </c>
      <c r="P840" s="296">
        <v>4000</v>
      </c>
      <c r="Q840" s="296">
        <v>2</v>
      </c>
      <c r="R840" s="296">
        <v>2</v>
      </c>
      <c r="S840" s="296" t="s">
        <v>354</v>
      </c>
      <c r="T840" s="296" t="s">
        <v>2862</v>
      </c>
      <c r="U840" s="296" t="s">
        <v>2925</v>
      </c>
      <c r="V840" s="296" t="s">
        <v>355</v>
      </c>
      <c r="W840" s="296" t="s">
        <v>928</v>
      </c>
      <c r="X840" s="296" t="s">
        <v>928</v>
      </c>
    </row>
    <row r="841" spans="1:24" ht="13.5" x14ac:dyDescent="0.15">
      <c r="A841" s="296">
        <v>3762742</v>
      </c>
      <c r="B841" s="296" t="s">
        <v>351</v>
      </c>
      <c r="C841" s="296" t="s">
        <v>1801</v>
      </c>
      <c r="D841" s="296" t="s">
        <v>353</v>
      </c>
      <c r="E841" s="296" t="s">
        <v>116</v>
      </c>
      <c r="F841" s="296">
        <v>3</v>
      </c>
      <c r="G841" s="296" t="s">
        <v>19</v>
      </c>
      <c r="H841" s="296" t="s">
        <v>28</v>
      </c>
      <c r="I841" s="296" t="s">
        <v>205</v>
      </c>
      <c r="J841" s="296" t="s">
        <v>928</v>
      </c>
      <c r="K841" s="296" t="s">
        <v>237</v>
      </c>
      <c r="L841" s="296">
        <v>50</v>
      </c>
      <c r="M841" s="296" t="s">
        <v>238</v>
      </c>
      <c r="N841" s="296">
        <v>1120</v>
      </c>
      <c r="O841" s="296">
        <v>1120</v>
      </c>
      <c r="P841" s="296">
        <v>4000</v>
      </c>
      <c r="Q841" s="296">
        <v>2</v>
      </c>
      <c r="R841" s="296">
        <v>8</v>
      </c>
      <c r="S841" s="296" t="s">
        <v>354</v>
      </c>
      <c r="T841" s="296" t="s">
        <v>2862</v>
      </c>
      <c r="U841" s="296" t="s">
        <v>2925</v>
      </c>
      <c r="V841" s="296" t="s">
        <v>355</v>
      </c>
      <c r="W841" s="296" t="s">
        <v>928</v>
      </c>
      <c r="X841" s="296" t="s">
        <v>928</v>
      </c>
    </row>
    <row r="842" spans="1:24" ht="13.5" x14ac:dyDescent="0.15">
      <c r="A842" s="296">
        <v>3762743</v>
      </c>
      <c r="B842" s="296" t="s">
        <v>351</v>
      </c>
      <c r="C842" s="296" t="s">
        <v>1801</v>
      </c>
      <c r="D842" s="296" t="s">
        <v>353</v>
      </c>
      <c r="E842" s="296" t="s">
        <v>116</v>
      </c>
      <c r="F842" s="296">
        <v>3</v>
      </c>
      <c r="G842" s="296" t="s">
        <v>19</v>
      </c>
      <c r="H842" s="296" t="s">
        <v>28</v>
      </c>
      <c r="I842" s="296" t="s">
        <v>205</v>
      </c>
      <c r="J842" s="296" t="s">
        <v>928</v>
      </c>
      <c r="K842" s="296" t="s">
        <v>235</v>
      </c>
      <c r="L842" s="296">
        <v>50</v>
      </c>
      <c r="M842" s="296" t="s">
        <v>236</v>
      </c>
      <c r="N842" s="296">
        <v>1120</v>
      </c>
      <c r="O842" s="296">
        <v>1120</v>
      </c>
      <c r="P842" s="296">
        <v>4000</v>
      </c>
      <c r="Q842" s="296">
        <v>2</v>
      </c>
      <c r="R842" s="296">
        <v>1</v>
      </c>
      <c r="S842" s="296" t="s">
        <v>354</v>
      </c>
      <c r="T842" s="296" t="s">
        <v>2862</v>
      </c>
      <c r="U842" s="296" t="s">
        <v>2925</v>
      </c>
      <c r="V842" s="296" t="s">
        <v>355</v>
      </c>
      <c r="W842" s="296" t="s">
        <v>928</v>
      </c>
      <c r="X842" s="296" t="s">
        <v>928</v>
      </c>
    </row>
    <row r="843" spans="1:24" ht="13.5" x14ac:dyDescent="0.15">
      <c r="A843" s="296">
        <v>3762744</v>
      </c>
      <c r="B843" s="296" t="s">
        <v>351</v>
      </c>
      <c r="C843" s="296" t="s">
        <v>1801</v>
      </c>
      <c r="D843" s="296" t="s">
        <v>353</v>
      </c>
      <c r="E843" s="296" t="s">
        <v>116</v>
      </c>
      <c r="F843" s="296">
        <v>3</v>
      </c>
      <c r="G843" s="296" t="s">
        <v>19</v>
      </c>
      <c r="H843" s="296" t="s">
        <v>28</v>
      </c>
      <c r="I843" s="296" t="s">
        <v>205</v>
      </c>
      <c r="J843" s="296" t="s">
        <v>928</v>
      </c>
      <c r="K843" s="296" t="s">
        <v>240</v>
      </c>
      <c r="L843" s="296">
        <v>50</v>
      </c>
      <c r="M843" s="296" t="s">
        <v>241</v>
      </c>
      <c r="N843" s="296">
        <v>1120</v>
      </c>
      <c r="O843" s="296">
        <v>1120</v>
      </c>
      <c r="P843" s="296">
        <v>4000</v>
      </c>
      <c r="Q843" s="296">
        <v>2</v>
      </c>
      <c r="R843" s="296">
        <v>6</v>
      </c>
      <c r="S843" s="296" t="s">
        <v>354</v>
      </c>
      <c r="T843" s="296" t="s">
        <v>2862</v>
      </c>
      <c r="U843" s="296" t="s">
        <v>2925</v>
      </c>
      <c r="V843" s="296" t="s">
        <v>355</v>
      </c>
      <c r="W843" s="296" t="s">
        <v>928</v>
      </c>
      <c r="X843" s="296" t="s">
        <v>928</v>
      </c>
    </row>
    <row r="844" spans="1:24" ht="13.5" x14ac:dyDescent="0.15">
      <c r="A844" s="296">
        <v>3762745</v>
      </c>
      <c r="B844" s="296" t="s">
        <v>2831</v>
      </c>
      <c r="C844" s="296" t="s">
        <v>1803</v>
      </c>
      <c r="D844" s="296" t="s">
        <v>353</v>
      </c>
      <c r="E844" s="296" t="s">
        <v>61</v>
      </c>
      <c r="F844" s="296">
        <v>3</v>
      </c>
      <c r="G844" s="296" t="s">
        <v>265</v>
      </c>
      <c r="H844" s="296" t="s">
        <v>28</v>
      </c>
      <c r="I844" s="296" t="s">
        <v>1078</v>
      </c>
      <c r="J844" s="296" t="s">
        <v>928</v>
      </c>
      <c r="K844" s="296" t="s">
        <v>2832</v>
      </c>
      <c r="L844" s="296">
        <v>25</v>
      </c>
      <c r="M844" s="296" t="s">
        <v>2833</v>
      </c>
      <c r="N844" s="296">
        <v>1050</v>
      </c>
      <c r="O844" s="296">
        <v>1050</v>
      </c>
      <c r="P844" s="296">
        <v>6000</v>
      </c>
      <c r="Q844" s="296">
        <v>2</v>
      </c>
      <c r="R844" s="296">
        <v>26</v>
      </c>
      <c r="S844" s="296" t="s">
        <v>354</v>
      </c>
      <c r="T844" s="296" t="s">
        <v>2862</v>
      </c>
      <c r="U844" s="296" t="s">
        <v>2932</v>
      </c>
      <c r="V844" s="296" t="s">
        <v>355</v>
      </c>
      <c r="W844" s="296" t="s">
        <v>928</v>
      </c>
      <c r="X844" s="296" t="s">
        <v>928</v>
      </c>
    </row>
    <row r="845" spans="1:24" ht="13.5" x14ac:dyDescent="0.15">
      <c r="A845" s="296">
        <v>3763923</v>
      </c>
      <c r="B845" s="296" t="s">
        <v>510</v>
      </c>
      <c r="C845" s="296" t="s">
        <v>1803</v>
      </c>
      <c r="D845" s="296" t="s">
        <v>353</v>
      </c>
      <c r="E845" s="296" t="s">
        <v>61</v>
      </c>
      <c r="F845" s="296">
        <v>3</v>
      </c>
      <c r="G845" s="296" t="s">
        <v>269</v>
      </c>
      <c r="H845" s="296" t="s">
        <v>20</v>
      </c>
      <c r="I845" s="296" t="s">
        <v>205</v>
      </c>
      <c r="J845" s="296" t="s">
        <v>928</v>
      </c>
      <c r="K845" s="296" t="s">
        <v>242</v>
      </c>
      <c r="L845" s="296">
        <v>50</v>
      </c>
      <c r="M845" s="296" t="s">
        <v>243</v>
      </c>
      <c r="N845" s="296">
        <v>1255</v>
      </c>
      <c r="O845" s="296">
        <v>1250</v>
      </c>
      <c r="P845" s="296">
        <v>2000</v>
      </c>
      <c r="Q845" s="296">
        <v>2</v>
      </c>
      <c r="R845" s="296">
        <v>6</v>
      </c>
      <c r="S845" s="296" t="s">
        <v>354</v>
      </c>
      <c r="T845" s="296" t="s">
        <v>2949</v>
      </c>
      <c r="U845" s="296" t="s">
        <v>2923</v>
      </c>
      <c r="V845" s="296" t="s">
        <v>428</v>
      </c>
      <c r="W845" s="296" t="s">
        <v>928</v>
      </c>
      <c r="X845" s="296" t="s">
        <v>928</v>
      </c>
    </row>
    <row r="846" spans="1:24" ht="13.5" x14ac:dyDescent="0.15">
      <c r="A846" s="296">
        <v>3764502</v>
      </c>
      <c r="B846" s="296" t="s">
        <v>351</v>
      </c>
      <c r="C846" s="296" t="s">
        <v>1801</v>
      </c>
      <c r="D846" s="296" t="s">
        <v>353</v>
      </c>
      <c r="E846" s="296" t="s">
        <v>116</v>
      </c>
      <c r="F846" s="296">
        <v>3</v>
      </c>
      <c r="G846" s="296" t="s">
        <v>19</v>
      </c>
      <c r="H846" s="296" t="s">
        <v>20</v>
      </c>
      <c r="I846" s="296" t="s">
        <v>205</v>
      </c>
      <c r="J846" s="296" t="s">
        <v>928</v>
      </c>
      <c r="K846" s="296" t="s">
        <v>212</v>
      </c>
      <c r="L846" s="296">
        <v>50</v>
      </c>
      <c r="M846" s="296" t="s">
        <v>213</v>
      </c>
      <c r="N846" s="296">
        <v>1120</v>
      </c>
      <c r="O846" s="296">
        <v>1120</v>
      </c>
      <c r="P846" s="296">
        <v>4000</v>
      </c>
      <c r="Q846" s="296">
        <v>2</v>
      </c>
      <c r="R846" s="296">
        <v>7</v>
      </c>
      <c r="S846" s="296" t="s">
        <v>354</v>
      </c>
      <c r="T846" s="296" t="s">
        <v>2858</v>
      </c>
      <c r="U846" s="296" t="s">
        <v>2929</v>
      </c>
      <c r="V846" s="296" t="s">
        <v>355</v>
      </c>
      <c r="W846" s="296" t="s">
        <v>928</v>
      </c>
      <c r="X846" s="296" t="s">
        <v>928</v>
      </c>
    </row>
    <row r="847" spans="1:24" ht="13.5" x14ac:dyDescent="0.15">
      <c r="A847" s="296">
        <v>3764503</v>
      </c>
      <c r="B847" s="296" t="s">
        <v>351</v>
      </c>
      <c r="C847" s="296" t="s">
        <v>1801</v>
      </c>
      <c r="D847" s="296" t="s">
        <v>353</v>
      </c>
      <c r="E847" s="296" t="s">
        <v>116</v>
      </c>
      <c r="F847" s="296" t="s">
        <v>158</v>
      </c>
      <c r="G847" s="296" t="s">
        <v>19</v>
      </c>
      <c r="H847" s="296" t="s">
        <v>20</v>
      </c>
      <c r="I847" s="296" t="s">
        <v>165</v>
      </c>
      <c r="J847" s="296" t="s">
        <v>928</v>
      </c>
      <c r="K847" s="296" t="s">
        <v>197</v>
      </c>
      <c r="L847" s="296">
        <v>50</v>
      </c>
      <c r="M847" s="296" t="s">
        <v>198</v>
      </c>
      <c r="N847" s="296">
        <v>1005</v>
      </c>
      <c r="O847" s="296">
        <v>1000</v>
      </c>
      <c r="P847" s="296">
        <v>4100</v>
      </c>
      <c r="Q847" s="296">
        <v>2</v>
      </c>
      <c r="R847" s="296">
        <v>3</v>
      </c>
      <c r="S847" s="296" t="s">
        <v>354</v>
      </c>
      <c r="T847" s="296" t="s">
        <v>2858</v>
      </c>
      <c r="U847" s="296" t="s">
        <v>2924</v>
      </c>
      <c r="V847" s="296" t="s">
        <v>355</v>
      </c>
      <c r="W847" s="296" t="s">
        <v>928</v>
      </c>
      <c r="X847" s="296" t="s">
        <v>928</v>
      </c>
    </row>
    <row r="848" spans="1:24" ht="13.5" x14ac:dyDescent="0.15">
      <c r="A848" s="296">
        <v>3764504</v>
      </c>
      <c r="B848" s="296" t="s">
        <v>351</v>
      </c>
      <c r="C848" s="296" t="s">
        <v>1801</v>
      </c>
      <c r="D848" s="296" t="s">
        <v>353</v>
      </c>
      <c r="E848" s="296" t="s">
        <v>116</v>
      </c>
      <c r="F848" s="296">
        <v>3</v>
      </c>
      <c r="G848" s="296" t="s">
        <v>19</v>
      </c>
      <c r="H848" s="296" t="s">
        <v>20</v>
      </c>
      <c r="I848" s="296" t="s">
        <v>165</v>
      </c>
      <c r="J848" s="296" t="s">
        <v>928</v>
      </c>
      <c r="K848" s="296" t="s">
        <v>200</v>
      </c>
      <c r="L848" s="296">
        <v>50</v>
      </c>
      <c r="M848" s="296" t="s">
        <v>201</v>
      </c>
      <c r="N848" s="296">
        <v>1005</v>
      </c>
      <c r="O848" s="296">
        <v>1000</v>
      </c>
      <c r="P848" s="296">
        <v>4100</v>
      </c>
      <c r="Q848" s="296">
        <v>2</v>
      </c>
      <c r="R848" s="296">
        <v>2</v>
      </c>
      <c r="S848" s="296" t="s">
        <v>354</v>
      </c>
      <c r="T848" s="296" t="s">
        <v>2858</v>
      </c>
      <c r="U848" s="296" t="s">
        <v>2924</v>
      </c>
      <c r="V848" s="296" t="s">
        <v>355</v>
      </c>
      <c r="W848" s="296" t="s">
        <v>928</v>
      </c>
      <c r="X848" s="296" t="s">
        <v>928</v>
      </c>
    </row>
    <row r="849" spans="1:24" ht="13.5" x14ac:dyDescent="0.15">
      <c r="A849" s="296">
        <v>3764905</v>
      </c>
      <c r="B849" s="296" t="s">
        <v>351</v>
      </c>
      <c r="C849" s="296" t="s">
        <v>1801</v>
      </c>
      <c r="D849" s="296" t="s">
        <v>353</v>
      </c>
      <c r="E849" s="296" t="s">
        <v>116</v>
      </c>
      <c r="F849" s="296">
        <v>3</v>
      </c>
      <c r="G849" s="296" t="s">
        <v>19</v>
      </c>
      <c r="H849" s="296" t="s">
        <v>28</v>
      </c>
      <c r="I849" s="296" t="s">
        <v>205</v>
      </c>
      <c r="J849" s="296" t="s">
        <v>928</v>
      </c>
      <c r="K849" s="296" t="s">
        <v>224</v>
      </c>
      <c r="L849" s="296">
        <v>25</v>
      </c>
      <c r="M849" s="296" t="s">
        <v>225</v>
      </c>
      <c r="N849" s="296">
        <v>1120</v>
      </c>
      <c r="O849" s="296">
        <v>1120</v>
      </c>
      <c r="P849" s="296">
        <v>8000</v>
      </c>
      <c r="Q849" s="296">
        <v>2</v>
      </c>
      <c r="R849" s="296">
        <v>2</v>
      </c>
      <c r="S849" s="296" t="s">
        <v>354</v>
      </c>
      <c r="T849" s="296" t="s">
        <v>2978</v>
      </c>
      <c r="U849" s="296" t="s">
        <v>2925</v>
      </c>
      <c r="V849" s="296" t="s">
        <v>355</v>
      </c>
      <c r="W849" s="296" t="s">
        <v>928</v>
      </c>
      <c r="X849" s="296" t="s">
        <v>928</v>
      </c>
    </row>
    <row r="850" spans="1:24" ht="13.5" x14ac:dyDescent="0.15">
      <c r="A850" s="296">
        <v>3765502</v>
      </c>
      <c r="B850" s="296" t="s">
        <v>351</v>
      </c>
      <c r="C850" s="296" t="s">
        <v>1796</v>
      </c>
      <c r="D850" s="296" t="s">
        <v>353</v>
      </c>
      <c r="E850" s="296" t="s">
        <v>17</v>
      </c>
      <c r="F850" s="296">
        <v>3</v>
      </c>
      <c r="G850" s="296" t="s">
        <v>19</v>
      </c>
      <c r="H850" s="296" t="s">
        <v>20</v>
      </c>
      <c r="I850" s="296" t="s">
        <v>205</v>
      </c>
      <c r="J850" s="296" t="s">
        <v>928</v>
      </c>
      <c r="K850" s="296" t="s">
        <v>242</v>
      </c>
      <c r="L850" s="296">
        <v>75</v>
      </c>
      <c r="M850" s="296" t="s">
        <v>243</v>
      </c>
      <c r="N850" s="296">
        <v>1000</v>
      </c>
      <c r="O850" s="296">
        <v>1000</v>
      </c>
      <c r="P850" s="296">
        <v>1000</v>
      </c>
      <c r="Q850" s="296">
        <v>2</v>
      </c>
      <c r="R850" s="296">
        <v>2</v>
      </c>
      <c r="S850" s="296" t="s">
        <v>354</v>
      </c>
      <c r="T850" s="296" t="s">
        <v>2982</v>
      </c>
      <c r="U850" s="296" t="s">
        <v>2923</v>
      </c>
      <c r="V850" s="296" t="s">
        <v>355</v>
      </c>
      <c r="W850" s="296" t="s">
        <v>928</v>
      </c>
      <c r="X850" s="296" t="s">
        <v>928</v>
      </c>
    </row>
    <row r="851" spans="1:24" ht="13.5" x14ac:dyDescent="0.15">
      <c r="A851" s="296">
        <v>3766743</v>
      </c>
      <c r="B851" s="296" t="s">
        <v>351</v>
      </c>
      <c r="C851" s="296" t="s">
        <v>1803</v>
      </c>
      <c r="D851" s="296" t="s">
        <v>353</v>
      </c>
      <c r="E851" s="296" t="s">
        <v>204</v>
      </c>
      <c r="F851" s="296">
        <v>3</v>
      </c>
      <c r="G851" s="296" t="s">
        <v>19</v>
      </c>
      <c r="H851" s="296" t="s">
        <v>20</v>
      </c>
      <c r="I851" s="296" t="s">
        <v>205</v>
      </c>
      <c r="J851" s="296" t="s">
        <v>928</v>
      </c>
      <c r="K851" s="296" t="s">
        <v>206</v>
      </c>
      <c r="L851" s="296">
        <v>50</v>
      </c>
      <c r="M851" s="296" t="s">
        <v>207</v>
      </c>
      <c r="N851" s="296">
        <v>1020</v>
      </c>
      <c r="O851" s="296">
        <v>1000</v>
      </c>
      <c r="P851" s="296">
        <v>2000</v>
      </c>
      <c r="Q851" s="296">
        <v>2</v>
      </c>
      <c r="R851" s="296">
        <v>2</v>
      </c>
      <c r="S851" s="296" t="s">
        <v>354</v>
      </c>
      <c r="T851" s="296" t="s">
        <v>2925</v>
      </c>
      <c r="U851" s="296" t="s">
        <v>2999</v>
      </c>
      <c r="V851" s="296" t="s">
        <v>355</v>
      </c>
      <c r="W851" s="296" t="s">
        <v>928</v>
      </c>
      <c r="X851" s="296" t="s">
        <v>928</v>
      </c>
    </row>
    <row r="852" spans="1:24" ht="13.5" x14ac:dyDescent="0.15">
      <c r="A852" s="296">
        <v>3766744</v>
      </c>
      <c r="B852" s="296" t="s">
        <v>2831</v>
      </c>
      <c r="C852" s="296" t="s">
        <v>1803</v>
      </c>
      <c r="D852" s="296" t="s">
        <v>353</v>
      </c>
      <c r="E852" s="296" t="s">
        <v>61</v>
      </c>
      <c r="F852" s="296">
        <v>3</v>
      </c>
      <c r="G852" s="296" t="s">
        <v>265</v>
      </c>
      <c r="H852" s="296" t="s">
        <v>28</v>
      </c>
      <c r="I852" s="296" t="s">
        <v>1078</v>
      </c>
      <c r="J852" s="296" t="s">
        <v>928</v>
      </c>
      <c r="K852" s="296" t="s">
        <v>2832</v>
      </c>
      <c r="L852" s="296">
        <v>25</v>
      </c>
      <c r="M852" s="296" t="s">
        <v>2833</v>
      </c>
      <c r="N852" s="296">
        <v>1050</v>
      </c>
      <c r="O852" s="296">
        <v>1050</v>
      </c>
      <c r="P852" s="296">
        <v>6000</v>
      </c>
      <c r="Q852" s="296">
        <v>2</v>
      </c>
      <c r="R852" s="296">
        <v>26</v>
      </c>
      <c r="S852" s="296" t="s">
        <v>354</v>
      </c>
      <c r="T852" s="296" t="s">
        <v>2925</v>
      </c>
      <c r="U852" s="296" t="s">
        <v>3002</v>
      </c>
      <c r="V852" s="296" t="s">
        <v>355</v>
      </c>
      <c r="W852" s="296" t="s">
        <v>928</v>
      </c>
      <c r="X852" s="296" t="s">
        <v>928</v>
      </c>
    </row>
    <row r="853" spans="1:24" ht="13.5" x14ac:dyDescent="0.15">
      <c r="A853" s="296">
        <v>3766745</v>
      </c>
      <c r="B853" s="296" t="s">
        <v>351</v>
      </c>
      <c r="C853" s="296" t="s">
        <v>1801</v>
      </c>
      <c r="D853" s="296" t="s">
        <v>353</v>
      </c>
      <c r="E853" s="296" t="s">
        <v>171</v>
      </c>
      <c r="F853" s="296">
        <v>3</v>
      </c>
      <c r="G853" s="296" t="s">
        <v>19</v>
      </c>
      <c r="H853" s="296" t="s">
        <v>20</v>
      </c>
      <c r="I853" s="296" t="s">
        <v>165</v>
      </c>
      <c r="J853" s="296" t="s">
        <v>928</v>
      </c>
      <c r="K853" s="296" t="s">
        <v>180</v>
      </c>
      <c r="L853" s="296">
        <v>50</v>
      </c>
      <c r="M853" s="296" t="s">
        <v>181</v>
      </c>
      <c r="N853" s="296">
        <v>1200</v>
      </c>
      <c r="O853" s="296">
        <v>1190</v>
      </c>
      <c r="P853" s="296">
        <v>6000</v>
      </c>
      <c r="Q853" s="296">
        <v>2</v>
      </c>
      <c r="R853" s="296">
        <v>10</v>
      </c>
      <c r="S853" s="296" t="s">
        <v>354</v>
      </c>
      <c r="T853" s="296" t="s">
        <v>2925</v>
      </c>
      <c r="U853" s="296" t="s">
        <v>2999</v>
      </c>
      <c r="V853" s="296" t="s">
        <v>355</v>
      </c>
      <c r="W853" s="296" t="s">
        <v>928</v>
      </c>
      <c r="X853" s="296" t="s">
        <v>928</v>
      </c>
    </row>
    <row r="854" spans="1:24" ht="13.5" x14ac:dyDescent="0.15">
      <c r="A854" s="296">
        <v>3766746</v>
      </c>
      <c r="B854" s="296" t="s">
        <v>351</v>
      </c>
      <c r="C854" s="296" t="s">
        <v>1801</v>
      </c>
      <c r="D854" s="296" t="s">
        <v>353</v>
      </c>
      <c r="E854" s="296" t="s">
        <v>183</v>
      </c>
      <c r="F854" s="296">
        <v>3</v>
      </c>
      <c r="G854" s="296" t="s">
        <v>19</v>
      </c>
      <c r="H854" s="296" t="s">
        <v>20</v>
      </c>
      <c r="I854" s="296" t="s">
        <v>165</v>
      </c>
      <c r="J854" s="296" t="s">
        <v>928</v>
      </c>
      <c r="K854" s="296" t="s">
        <v>180</v>
      </c>
      <c r="L854" s="296">
        <v>100</v>
      </c>
      <c r="M854" s="296" t="s">
        <v>181</v>
      </c>
      <c r="N854" s="296">
        <v>1205</v>
      </c>
      <c r="O854" s="296">
        <v>1205</v>
      </c>
      <c r="P854" s="296">
        <v>2500</v>
      </c>
      <c r="Q854" s="296">
        <v>2</v>
      </c>
      <c r="R854" s="296">
        <v>1</v>
      </c>
      <c r="S854" s="296" t="s">
        <v>354</v>
      </c>
      <c r="T854" s="296" t="s">
        <v>2925</v>
      </c>
      <c r="U854" s="296" t="s">
        <v>2999</v>
      </c>
      <c r="V854" s="296" t="s">
        <v>355</v>
      </c>
      <c r="W854" s="296" t="s">
        <v>928</v>
      </c>
      <c r="X854" s="296" t="s">
        <v>928</v>
      </c>
    </row>
    <row r="855" spans="1:24" ht="13.5" x14ac:dyDescent="0.15">
      <c r="A855" s="296">
        <v>3766747</v>
      </c>
      <c r="B855" s="296" t="s">
        <v>351</v>
      </c>
      <c r="C855" s="296" t="s">
        <v>1801</v>
      </c>
      <c r="D855" s="296" t="s">
        <v>353</v>
      </c>
      <c r="E855" s="296" t="s">
        <v>148</v>
      </c>
      <c r="F855" s="296">
        <v>3</v>
      </c>
      <c r="G855" s="296" t="s">
        <v>19</v>
      </c>
      <c r="H855" s="296" t="s">
        <v>20</v>
      </c>
      <c r="I855" s="296" t="s">
        <v>165</v>
      </c>
      <c r="J855" s="296" t="s">
        <v>928</v>
      </c>
      <c r="K855" s="296" t="s">
        <v>169</v>
      </c>
      <c r="L855" s="296">
        <v>25</v>
      </c>
      <c r="M855" s="296" t="s">
        <v>170</v>
      </c>
      <c r="N855" s="296">
        <v>1120</v>
      </c>
      <c r="O855" s="296">
        <v>1120</v>
      </c>
      <c r="P855" s="296">
        <v>6000</v>
      </c>
      <c r="Q855" s="296">
        <v>2</v>
      </c>
      <c r="R855" s="296">
        <v>2</v>
      </c>
      <c r="S855" s="296" t="s">
        <v>354</v>
      </c>
      <c r="T855" s="296" t="s">
        <v>2925</v>
      </c>
      <c r="U855" s="296" t="s">
        <v>2999</v>
      </c>
      <c r="V855" s="296" t="s">
        <v>355</v>
      </c>
      <c r="W855" s="296" t="s">
        <v>928</v>
      </c>
      <c r="X855" s="296" t="s">
        <v>928</v>
      </c>
    </row>
    <row r="856" spans="1:24" ht="13.5" x14ac:dyDescent="0.15">
      <c r="A856" s="296">
        <v>3766748</v>
      </c>
      <c r="B856" s="296" t="s">
        <v>351</v>
      </c>
      <c r="C856" s="296" t="s">
        <v>1801</v>
      </c>
      <c r="D856" s="296" t="s">
        <v>353</v>
      </c>
      <c r="E856" s="296" t="s">
        <v>148</v>
      </c>
      <c r="F856" s="296">
        <v>3</v>
      </c>
      <c r="G856" s="296" t="s">
        <v>19</v>
      </c>
      <c r="H856" s="296" t="s">
        <v>20</v>
      </c>
      <c r="I856" s="296" t="s">
        <v>165</v>
      </c>
      <c r="J856" s="296" t="s">
        <v>928</v>
      </c>
      <c r="K856" s="296" t="s">
        <v>180</v>
      </c>
      <c r="L856" s="296">
        <v>50</v>
      </c>
      <c r="M856" s="296" t="s">
        <v>181</v>
      </c>
      <c r="N856" s="296">
        <v>1120</v>
      </c>
      <c r="O856" s="296">
        <v>1120</v>
      </c>
      <c r="P856" s="296">
        <v>4000</v>
      </c>
      <c r="Q856" s="296">
        <v>2</v>
      </c>
      <c r="R856" s="296">
        <v>4</v>
      </c>
      <c r="S856" s="296" t="s">
        <v>354</v>
      </c>
      <c r="T856" s="296" t="s">
        <v>2925</v>
      </c>
      <c r="U856" s="296" t="s">
        <v>2999</v>
      </c>
      <c r="V856" s="296" t="s">
        <v>355</v>
      </c>
      <c r="W856" s="296" t="s">
        <v>928</v>
      </c>
      <c r="X856" s="296" t="s">
        <v>928</v>
      </c>
    </row>
    <row r="857" spans="1:24" ht="13.5" x14ac:dyDescent="0.15">
      <c r="A857" s="296">
        <v>3766749</v>
      </c>
      <c r="B857" s="296" t="s">
        <v>423</v>
      </c>
      <c r="C857" s="296" t="s">
        <v>1801</v>
      </c>
      <c r="D857" s="296" t="s">
        <v>353</v>
      </c>
      <c r="E857" s="296" t="s">
        <v>116</v>
      </c>
      <c r="F857" s="296">
        <v>3</v>
      </c>
      <c r="G857" s="296" t="s">
        <v>265</v>
      </c>
      <c r="H857" s="296" t="s">
        <v>20</v>
      </c>
      <c r="I857" s="296" t="s">
        <v>165</v>
      </c>
      <c r="J857" s="296" t="s">
        <v>928</v>
      </c>
      <c r="K857" s="296" t="s">
        <v>176</v>
      </c>
      <c r="L857" s="296">
        <v>50</v>
      </c>
      <c r="M857" s="296" t="s">
        <v>177</v>
      </c>
      <c r="N857" s="296">
        <v>1005</v>
      </c>
      <c r="O857" s="296">
        <v>1000</v>
      </c>
      <c r="P857" s="296">
        <v>4100</v>
      </c>
      <c r="Q857" s="296">
        <v>2</v>
      </c>
      <c r="R857" s="296">
        <v>5</v>
      </c>
      <c r="S857" s="296" t="s">
        <v>354</v>
      </c>
      <c r="T857" s="296" t="s">
        <v>2925</v>
      </c>
      <c r="U857" s="296" t="s">
        <v>3003</v>
      </c>
      <c r="V857" s="296" t="s">
        <v>355</v>
      </c>
      <c r="W857" s="296" t="s">
        <v>928</v>
      </c>
      <c r="X857" s="296" t="s">
        <v>928</v>
      </c>
    </row>
    <row r="858" spans="1:24" ht="13.5" x14ac:dyDescent="0.15">
      <c r="A858" s="296">
        <v>3766750</v>
      </c>
      <c r="B858" s="296" t="s">
        <v>351</v>
      </c>
      <c r="C858" s="296" t="s">
        <v>1801</v>
      </c>
      <c r="D858" s="296" t="s">
        <v>353</v>
      </c>
      <c r="E858" s="296" t="s">
        <v>116</v>
      </c>
      <c r="F858" s="296">
        <v>3</v>
      </c>
      <c r="G858" s="296" t="s">
        <v>19</v>
      </c>
      <c r="H858" s="296" t="s">
        <v>20</v>
      </c>
      <c r="I858" s="296" t="s">
        <v>165</v>
      </c>
      <c r="J858" s="296" t="s">
        <v>928</v>
      </c>
      <c r="K858" s="296" t="s">
        <v>187</v>
      </c>
      <c r="L858" s="296">
        <v>50</v>
      </c>
      <c r="M858" s="296" t="s">
        <v>188</v>
      </c>
      <c r="N858" s="296">
        <v>1000</v>
      </c>
      <c r="O858" s="296">
        <v>1000</v>
      </c>
      <c r="P858" s="296">
        <v>3000</v>
      </c>
      <c r="Q858" s="296">
        <v>2</v>
      </c>
      <c r="R858" s="296">
        <v>2</v>
      </c>
      <c r="S858" s="296" t="s">
        <v>354</v>
      </c>
      <c r="T858" s="296" t="s">
        <v>2925</v>
      </c>
      <c r="U858" s="296" t="s">
        <v>3004</v>
      </c>
      <c r="V858" s="296" t="s">
        <v>355</v>
      </c>
      <c r="W858" s="296" t="s">
        <v>928</v>
      </c>
      <c r="X858" s="296" t="s">
        <v>928</v>
      </c>
    </row>
    <row r="859" spans="1:24" ht="13.5" x14ac:dyDescent="0.15">
      <c r="A859" s="296">
        <v>3766751</v>
      </c>
      <c r="B859" s="296" t="s">
        <v>351</v>
      </c>
      <c r="C859" s="296" t="s">
        <v>1801</v>
      </c>
      <c r="D859" s="296" t="s">
        <v>353</v>
      </c>
      <c r="E859" s="296" t="s">
        <v>116</v>
      </c>
      <c r="F859" s="296" t="s">
        <v>158</v>
      </c>
      <c r="G859" s="296" t="s">
        <v>19</v>
      </c>
      <c r="H859" s="296" t="s">
        <v>20</v>
      </c>
      <c r="I859" s="296" t="s">
        <v>165</v>
      </c>
      <c r="J859" s="296" t="s">
        <v>928</v>
      </c>
      <c r="K859" s="296" t="s">
        <v>192</v>
      </c>
      <c r="L859" s="296">
        <v>50</v>
      </c>
      <c r="M859" s="296" t="s">
        <v>193</v>
      </c>
      <c r="N859" s="296">
        <v>1005</v>
      </c>
      <c r="O859" s="296">
        <v>1000</v>
      </c>
      <c r="P859" s="296">
        <v>4000</v>
      </c>
      <c r="Q859" s="296">
        <v>2</v>
      </c>
      <c r="R859" s="296">
        <v>3</v>
      </c>
      <c r="S859" s="296" t="s">
        <v>354</v>
      </c>
      <c r="T859" s="296" t="s">
        <v>2925</v>
      </c>
      <c r="U859" s="296" t="s">
        <v>3004</v>
      </c>
      <c r="V859" s="296" t="s">
        <v>355</v>
      </c>
      <c r="W859" s="296" t="s">
        <v>928</v>
      </c>
      <c r="X859" s="296" t="s">
        <v>928</v>
      </c>
    </row>
    <row r="860" spans="1:24" ht="13.5" x14ac:dyDescent="0.15">
      <c r="A860" s="296">
        <v>3766752</v>
      </c>
      <c r="B860" s="296" t="s">
        <v>351</v>
      </c>
      <c r="C860" s="296" t="s">
        <v>1801</v>
      </c>
      <c r="D860" s="296" t="s">
        <v>353</v>
      </c>
      <c r="E860" s="296" t="s">
        <v>116</v>
      </c>
      <c r="F860" s="296" t="s">
        <v>158</v>
      </c>
      <c r="G860" s="296" t="s">
        <v>19</v>
      </c>
      <c r="H860" s="296" t="s">
        <v>20</v>
      </c>
      <c r="I860" s="296" t="s">
        <v>165</v>
      </c>
      <c r="J860" s="296" t="s">
        <v>928</v>
      </c>
      <c r="K860" s="296" t="s">
        <v>195</v>
      </c>
      <c r="L860" s="296">
        <v>50</v>
      </c>
      <c r="M860" s="296" t="s">
        <v>196</v>
      </c>
      <c r="N860" s="296">
        <v>1005</v>
      </c>
      <c r="O860" s="296">
        <v>1000</v>
      </c>
      <c r="P860" s="296">
        <v>4000</v>
      </c>
      <c r="Q860" s="296">
        <v>2</v>
      </c>
      <c r="R860" s="296">
        <v>5</v>
      </c>
      <c r="S860" s="296" t="s">
        <v>354</v>
      </c>
      <c r="T860" s="296" t="s">
        <v>2925</v>
      </c>
      <c r="U860" s="296" t="s">
        <v>3004</v>
      </c>
      <c r="V860" s="296" t="s">
        <v>355</v>
      </c>
      <c r="W860" s="296" t="s">
        <v>928</v>
      </c>
      <c r="X860" s="296" t="s">
        <v>928</v>
      </c>
    </row>
    <row r="861" spans="1:24" ht="13.5" x14ac:dyDescent="0.15">
      <c r="A861" s="296">
        <v>3766753</v>
      </c>
      <c r="B861" s="296" t="s">
        <v>351</v>
      </c>
      <c r="C861" s="296" t="s">
        <v>1801</v>
      </c>
      <c r="D861" s="296" t="s">
        <v>353</v>
      </c>
      <c r="E861" s="296" t="s">
        <v>116</v>
      </c>
      <c r="F861" s="296" t="s">
        <v>158</v>
      </c>
      <c r="G861" s="296" t="s">
        <v>19</v>
      </c>
      <c r="H861" s="296" t="s">
        <v>28</v>
      </c>
      <c r="I861" s="296" t="s">
        <v>165</v>
      </c>
      <c r="J861" s="296" t="s">
        <v>928</v>
      </c>
      <c r="K861" s="296" t="s">
        <v>195</v>
      </c>
      <c r="L861" s="296">
        <v>50</v>
      </c>
      <c r="M861" s="296" t="s">
        <v>1958</v>
      </c>
      <c r="N861" s="296">
        <v>1005</v>
      </c>
      <c r="O861" s="296">
        <v>1000</v>
      </c>
      <c r="P861" s="296">
        <v>4000</v>
      </c>
      <c r="Q861" s="296">
        <v>2</v>
      </c>
      <c r="R861" s="296">
        <v>1</v>
      </c>
      <c r="S861" s="296" t="s">
        <v>354</v>
      </c>
      <c r="T861" s="296" t="s">
        <v>2925</v>
      </c>
      <c r="U861" s="296" t="s">
        <v>3005</v>
      </c>
      <c r="V861" s="296" t="s">
        <v>355</v>
      </c>
      <c r="W861" s="296" t="s">
        <v>928</v>
      </c>
      <c r="X861" s="296" t="s">
        <v>928</v>
      </c>
    </row>
    <row r="862" spans="1:24" ht="13.5" x14ac:dyDescent="0.15">
      <c r="A862" s="296">
        <v>3766754</v>
      </c>
      <c r="B862" s="296" t="s">
        <v>351</v>
      </c>
      <c r="C862" s="296" t="s">
        <v>1801</v>
      </c>
      <c r="D862" s="296" t="s">
        <v>353</v>
      </c>
      <c r="E862" s="296" t="s">
        <v>116</v>
      </c>
      <c r="F862" s="296" t="s">
        <v>158</v>
      </c>
      <c r="G862" s="296" t="s">
        <v>19</v>
      </c>
      <c r="H862" s="296" t="s">
        <v>20</v>
      </c>
      <c r="I862" s="296" t="s">
        <v>165</v>
      </c>
      <c r="J862" s="296" t="s">
        <v>928</v>
      </c>
      <c r="K862" s="296" t="s">
        <v>197</v>
      </c>
      <c r="L862" s="296">
        <v>50</v>
      </c>
      <c r="M862" s="296" t="s">
        <v>198</v>
      </c>
      <c r="N862" s="296">
        <v>1005</v>
      </c>
      <c r="O862" s="296">
        <v>1000</v>
      </c>
      <c r="P862" s="296">
        <v>4100</v>
      </c>
      <c r="Q862" s="296">
        <v>2</v>
      </c>
      <c r="R862" s="296">
        <v>3</v>
      </c>
      <c r="S862" s="296" t="s">
        <v>354</v>
      </c>
      <c r="T862" s="296" t="s">
        <v>2925</v>
      </c>
      <c r="U862" s="296" t="s">
        <v>3004</v>
      </c>
      <c r="V862" s="296" t="s">
        <v>355</v>
      </c>
      <c r="W862" s="296" t="s">
        <v>928</v>
      </c>
      <c r="X862" s="296" t="s">
        <v>928</v>
      </c>
    </row>
    <row r="863" spans="1:24" ht="13.5" x14ac:dyDescent="0.15">
      <c r="A863" s="296">
        <v>3766755</v>
      </c>
      <c r="B863" s="296" t="s">
        <v>351</v>
      </c>
      <c r="C863" s="296" t="s">
        <v>1801</v>
      </c>
      <c r="D863" s="296" t="s">
        <v>353</v>
      </c>
      <c r="E863" s="296" t="s">
        <v>116</v>
      </c>
      <c r="F863" s="296">
        <v>3</v>
      </c>
      <c r="G863" s="296" t="s">
        <v>19</v>
      </c>
      <c r="H863" s="296" t="s">
        <v>20</v>
      </c>
      <c r="I863" s="296" t="s">
        <v>205</v>
      </c>
      <c r="J863" s="296" t="s">
        <v>928</v>
      </c>
      <c r="K863" s="296" t="s">
        <v>211</v>
      </c>
      <c r="L863" s="296">
        <v>38</v>
      </c>
      <c r="M863" s="296" t="s">
        <v>370</v>
      </c>
      <c r="N863" s="296">
        <v>1005</v>
      </c>
      <c r="O863" s="296">
        <v>1000</v>
      </c>
      <c r="P863" s="296">
        <v>4100</v>
      </c>
      <c r="Q863" s="296">
        <v>2</v>
      </c>
      <c r="R863" s="296">
        <v>2</v>
      </c>
      <c r="S863" s="296" t="s">
        <v>354</v>
      </c>
      <c r="T863" s="296" t="s">
        <v>2925</v>
      </c>
      <c r="U863" s="296" t="s">
        <v>3005</v>
      </c>
      <c r="V863" s="296" t="s">
        <v>355</v>
      </c>
      <c r="W863" s="296" t="s">
        <v>928</v>
      </c>
      <c r="X863" s="296" t="s">
        <v>928</v>
      </c>
    </row>
    <row r="864" spans="1:24" ht="13.5" x14ac:dyDescent="0.15">
      <c r="A864" s="296">
        <v>3766756</v>
      </c>
      <c r="B864" s="296" t="s">
        <v>351</v>
      </c>
      <c r="C864" s="296" t="s">
        <v>1801</v>
      </c>
      <c r="D864" s="296" t="s">
        <v>353</v>
      </c>
      <c r="E864" s="296" t="s">
        <v>116</v>
      </c>
      <c r="F864" s="296">
        <v>3</v>
      </c>
      <c r="G864" s="296" t="s">
        <v>19</v>
      </c>
      <c r="H864" s="296" t="s">
        <v>20</v>
      </c>
      <c r="I864" s="296" t="s">
        <v>205</v>
      </c>
      <c r="J864" s="296" t="s">
        <v>928</v>
      </c>
      <c r="K864" s="296" t="s">
        <v>211</v>
      </c>
      <c r="L864" s="296">
        <v>75</v>
      </c>
      <c r="M864" s="296" t="s">
        <v>370</v>
      </c>
      <c r="N864" s="296">
        <v>1050</v>
      </c>
      <c r="O864" s="296">
        <v>1050</v>
      </c>
      <c r="P864" s="296">
        <v>2000</v>
      </c>
      <c r="Q864" s="296">
        <v>2</v>
      </c>
      <c r="R864" s="296">
        <v>2</v>
      </c>
      <c r="S864" s="296" t="s">
        <v>354</v>
      </c>
      <c r="T864" s="296" t="s">
        <v>2925</v>
      </c>
      <c r="U864" s="296" t="s">
        <v>3004</v>
      </c>
      <c r="V864" s="296" t="s">
        <v>355</v>
      </c>
      <c r="W864" s="296" t="s">
        <v>928</v>
      </c>
      <c r="X864" s="296" t="s">
        <v>928</v>
      </c>
    </row>
    <row r="865" spans="1:24" ht="13.5" x14ac:dyDescent="0.15">
      <c r="A865" s="296">
        <v>3766757</v>
      </c>
      <c r="B865" s="296" t="s">
        <v>351</v>
      </c>
      <c r="C865" s="296" t="s">
        <v>1801</v>
      </c>
      <c r="D865" s="296" t="s">
        <v>353</v>
      </c>
      <c r="E865" s="296" t="s">
        <v>116</v>
      </c>
      <c r="F865" s="296">
        <v>3</v>
      </c>
      <c r="G865" s="296" t="s">
        <v>19</v>
      </c>
      <c r="H865" s="296" t="s">
        <v>20</v>
      </c>
      <c r="I865" s="296" t="s">
        <v>205</v>
      </c>
      <c r="J865" s="296" t="s">
        <v>928</v>
      </c>
      <c r="K865" s="296" t="s">
        <v>212</v>
      </c>
      <c r="L865" s="296">
        <v>25</v>
      </c>
      <c r="M865" s="296" t="s">
        <v>213</v>
      </c>
      <c r="N865" s="296">
        <v>1000</v>
      </c>
      <c r="O865" s="296">
        <v>1000</v>
      </c>
      <c r="P865" s="296">
        <v>4000</v>
      </c>
      <c r="Q865" s="296">
        <v>2</v>
      </c>
      <c r="R865" s="296">
        <v>3</v>
      </c>
      <c r="S865" s="296" t="s">
        <v>354</v>
      </c>
      <c r="T865" s="296" t="s">
        <v>2925</v>
      </c>
      <c r="U865" s="296" t="s">
        <v>3005</v>
      </c>
      <c r="V865" s="296" t="s">
        <v>355</v>
      </c>
      <c r="W865" s="296" t="s">
        <v>928</v>
      </c>
      <c r="X865" s="296" t="s">
        <v>928</v>
      </c>
    </row>
    <row r="866" spans="1:24" ht="13.5" x14ac:dyDescent="0.15">
      <c r="A866" s="296">
        <v>3766758</v>
      </c>
      <c r="B866" s="296" t="s">
        <v>351</v>
      </c>
      <c r="C866" s="296" t="s">
        <v>1801</v>
      </c>
      <c r="D866" s="296" t="s">
        <v>353</v>
      </c>
      <c r="E866" s="296" t="s">
        <v>116</v>
      </c>
      <c r="F866" s="296">
        <v>3</v>
      </c>
      <c r="G866" s="296" t="s">
        <v>19</v>
      </c>
      <c r="H866" s="296" t="s">
        <v>20</v>
      </c>
      <c r="I866" s="296" t="s">
        <v>205</v>
      </c>
      <c r="J866" s="296" t="s">
        <v>928</v>
      </c>
      <c r="K866" s="296" t="s">
        <v>212</v>
      </c>
      <c r="L866" s="296">
        <v>25</v>
      </c>
      <c r="M866" s="296" t="s">
        <v>213</v>
      </c>
      <c r="N866" s="296">
        <v>1120</v>
      </c>
      <c r="O866" s="296">
        <v>1120</v>
      </c>
      <c r="P866" s="296">
        <v>4000</v>
      </c>
      <c r="Q866" s="296">
        <v>2</v>
      </c>
      <c r="R866" s="296">
        <v>3</v>
      </c>
      <c r="S866" s="296" t="s">
        <v>354</v>
      </c>
      <c r="T866" s="296" t="s">
        <v>2925</v>
      </c>
      <c r="U866" s="296" t="s">
        <v>3005</v>
      </c>
      <c r="V866" s="296" t="s">
        <v>355</v>
      </c>
      <c r="W866" s="296" t="s">
        <v>928</v>
      </c>
      <c r="X866" s="296" t="s">
        <v>928</v>
      </c>
    </row>
    <row r="867" spans="1:24" ht="13.5" x14ac:dyDescent="0.15">
      <c r="A867" s="296">
        <v>3766759</v>
      </c>
      <c r="B867" s="296" t="s">
        <v>351</v>
      </c>
      <c r="C867" s="296" t="s">
        <v>1801</v>
      </c>
      <c r="D867" s="296" t="s">
        <v>353</v>
      </c>
      <c r="E867" s="296" t="s">
        <v>116</v>
      </c>
      <c r="F867" s="296">
        <v>3</v>
      </c>
      <c r="G867" s="296" t="s">
        <v>19</v>
      </c>
      <c r="H867" s="296" t="s">
        <v>20</v>
      </c>
      <c r="I867" s="296" t="s">
        <v>205</v>
      </c>
      <c r="J867" s="296" t="s">
        <v>928</v>
      </c>
      <c r="K867" s="296" t="s">
        <v>212</v>
      </c>
      <c r="L867" s="296">
        <v>50</v>
      </c>
      <c r="M867" s="296" t="s">
        <v>213</v>
      </c>
      <c r="N867" s="296">
        <v>1000</v>
      </c>
      <c r="O867" s="296">
        <v>1000</v>
      </c>
      <c r="P867" s="296">
        <v>4000</v>
      </c>
      <c r="Q867" s="296">
        <v>2</v>
      </c>
      <c r="R867" s="296">
        <v>5</v>
      </c>
      <c r="S867" s="296" t="s">
        <v>354</v>
      </c>
      <c r="T867" s="296" t="s">
        <v>2925</v>
      </c>
      <c r="U867" s="296" t="s">
        <v>3005</v>
      </c>
      <c r="V867" s="296" t="s">
        <v>355</v>
      </c>
      <c r="W867" s="296" t="s">
        <v>928</v>
      </c>
      <c r="X867" s="296" t="s">
        <v>928</v>
      </c>
    </row>
    <row r="868" spans="1:24" ht="13.5" x14ac:dyDescent="0.15">
      <c r="A868" s="296">
        <v>3766760</v>
      </c>
      <c r="B868" s="296" t="s">
        <v>351</v>
      </c>
      <c r="C868" s="296" t="s">
        <v>1801</v>
      </c>
      <c r="D868" s="296" t="s">
        <v>353</v>
      </c>
      <c r="E868" s="296" t="s">
        <v>116</v>
      </c>
      <c r="F868" s="296">
        <v>3</v>
      </c>
      <c r="G868" s="296" t="s">
        <v>19</v>
      </c>
      <c r="H868" s="296" t="s">
        <v>20</v>
      </c>
      <c r="I868" s="296" t="s">
        <v>205</v>
      </c>
      <c r="J868" s="296" t="s">
        <v>928</v>
      </c>
      <c r="K868" s="296" t="s">
        <v>212</v>
      </c>
      <c r="L868" s="296">
        <v>50</v>
      </c>
      <c r="M868" s="296" t="s">
        <v>213</v>
      </c>
      <c r="N868" s="296">
        <v>1120</v>
      </c>
      <c r="O868" s="296">
        <v>1120</v>
      </c>
      <c r="P868" s="296">
        <v>4000</v>
      </c>
      <c r="Q868" s="296">
        <v>2</v>
      </c>
      <c r="R868" s="296">
        <v>23</v>
      </c>
      <c r="S868" s="296" t="s">
        <v>354</v>
      </c>
      <c r="T868" s="296" t="s">
        <v>2925</v>
      </c>
      <c r="U868" s="296" t="s">
        <v>3004</v>
      </c>
      <c r="V868" s="296" t="s">
        <v>355</v>
      </c>
      <c r="W868" s="296" t="s">
        <v>928</v>
      </c>
      <c r="X868" s="296" t="s">
        <v>928</v>
      </c>
    </row>
    <row r="869" spans="1:24" ht="13.5" x14ac:dyDescent="0.15">
      <c r="A869" s="296">
        <v>3766761</v>
      </c>
      <c r="B869" s="296" t="s">
        <v>351</v>
      </c>
      <c r="C869" s="296" t="s">
        <v>1801</v>
      </c>
      <c r="D869" s="296" t="s">
        <v>353</v>
      </c>
      <c r="E869" s="296" t="s">
        <v>116</v>
      </c>
      <c r="F869" s="296">
        <v>3</v>
      </c>
      <c r="G869" s="296" t="s">
        <v>19</v>
      </c>
      <c r="H869" s="296" t="s">
        <v>20</v>
      </c>
      <c r="I869" s="296" t="s">
        <v>205</v>
      </c>
      <c r="J869" s="296" t="s">
        <v>928</v>
      </c>
      <c r="K869" s="296" t="s">
        <v>216</v>
      </c>
      <c r="L869" s="296">
        <v>25</v>
      </c>
      <c r="M869" s="296" t="s">
        <v>217</v>
      </c>
      <c r="N869" s="296">
        <v>1005</v>
      </c>
      <c r="O869" s="296">
        <v>1000</v>
      </c>
      <c r="P869" s="296">
        <v>4000</v>
      </c>
      <c r="Q869" s="296">
        <v>2</v>
      </c>
      <c r="R869" s="296">
        <v>3</v>
      </c>
      <c r="S869" s="296" t="s">
        <v>354</v>
      </c>
      <c r="T869" s="296" t="s">
        <v>2925</v>
      </c>
      <c r="U869" s="296" t="s">
        <v>3003</v>
      </c>
      <c r="V869" s="296" t="s">
        <v>355</v>
      </c>
      <c r="W869" s="296" t="s">
        <v>928</v>
      </c>
      <c r="X869" s="296" t="s">
        <v>928</v>
      </c>
    </row>
    <row r="870" spans="1:24" ht="13.5" x14ac:dyDescent="0.15">
      <c r="A870" s="296">
        <v>3766762</v>
      </c>
      <c r="B870" s="296" t="s">
        <v>351</v>
      </c>
      <c r="C870" s="296" t="s">
        <v>1801</v>
      </c>
      <c r="D870" s="296" t="s">
        <v>353</v>
      </c>
      <c r="E870" s="296" t="s">
        <v>116</v>
      </c>
      <c r="F870" s="296">
        <v>3</v>
      </c>
      <c r="G870" s="296" t="s">
        <v>19</v>
      </c>
      <c r="H870" s="296" t="s">
        <v>20</v>
      </c>
      <c r="I870" s="296" t="s">
        <v>205</v>
      </c>
      <c r="J870" s="296" t="s">
        <v>928</v>
      </c>
      <c r="K870" s="296" t="s">
        <v>216</v>
      </c>
      <c r="L870" s="296">
        <v>50</v>
      </c>
      <c r="M870" s="296" t="s">
        <v>217</v>
      </c>
      <c r="N870" s="296">
        <v>1120</v>
      </c>
      <c r="O870" s="296">
        <v>1120</v>
      </c>
      <c r="P870" s="296">
        <v>5000</v>
      </c>
      <c r="Q870" s="296">
        <v>2</v>
      </c>
      <c r="R870" s="296">
        <v>22</v>
      </c>
      <c r="S870" s="296" t="s">
        <v>354</v>
      </c>
      <c r="T870" s="296" t="s">
        <v>2925</v>
      </c>
      <c r="U870" s="296" t="s">
        <v>3005</v>
      </c>
      <c r="V870" s="296" t="s">
        <v>355</v>
      </c>
      <c r="W870" s="296" t="s">
        <v>928</v>
      </c>
      <c r="X870" s="296" t="s">
        <v>928</v>
      </c>
    </row>
    <row r="871" spans="1:24" ht="13.5" x14ac:dyDescent="0.15">
      <c r="A871" s="296">
        <v>3766763</v>
      </c>
      <c r="B871" s="296" t="s">
        <v>351</v>
      </c>
      <c r="C871" s="296" t="s">
        <v>1801</v>
      </c>
      <c r="D871" s="296" t="s">
        <v>353</v>
      </c>
      <c r="E871" s="296" t="s">
        <v>116</v>
      </c>
      <c r="F871" s="296">
        <v>3</v>
      </c>
      <c r="G871" s="296" t="s">
        <v>19</v>
      </c>
      <c r="H871" s="296" t="s">
        <v>20</v>
      </c>
      <c r="I871" s="296" t="s">
        <v>205</v>
      </c>
      <c r="J871" s="296" t="s">
        <v>928</v>
      </c>
      <c r="K871" s="296" t="s">
        <v>218</v>
      </c>
      <c r="L871" s="296">
        <v>50</v>
      </c>
      <c r="M871" s="296" t="s">
        <v>219</v>
      </c>
      <c r="N871" s="296">
        <v>1000</v>
      </c>
      <c r="O871" s="296">
        <v>1000</v>
      </c>
      <c r="P871" s="296">
        <v>4000</v>
      </c>
      <c r="Q871" s="296">
        <v>2</v>
      </c>
      <c r="R871" s="296">
        <v>21</v>
      </c>
      <c r="S871" s="296" t="s">
        <v>354</v>
      </c>
      <c r="T871" s="296" t="s">
        <v>2925</v>
      </c>
      <c r="U871" s="296" t="s">
        <v>3004</v>
      </c>
      <c r="V871" s="296" t="s">
        <v>355</v>
      </c>
      <c r="W871" s="296" t="s">
        <v>928</v>
      </c>
      <c r="X871" s="296" t="s">
        <v>928</v>
      </c>
    </row>
    <row r="872" spans="1:24" ht="13.5" x14ac:dyDescent="0.15">
      <c r="A872" s="296">
        <v>3766764</v>
      </c>
      <c r="B872" s="296" t="s">
        <v>351</v>
      </c>
      <c r="C872" s="296" t="s">
        <v>1801</v>
      </c>
      <c r="D872" s="296" t="s">
        <v>353</v>
      </c>
      <c r="E872" s="296" t="s">
        <v>116</v>
      </c>
      <c r="F872" s="296">
        <v>3</v>
      </c>
      <c r="G872" s="296" t="s">
        <v>19</v>
      </c>
      <c r="H872" s="296" t="s">
        <v>20</v>
      </c>
      <c r="I872" s="296" t="s">
        <v>205</v>
      </c>
      <c r="J872" s="296" t="s">
        <v>928</v>
      </c>
      <c r="K872" s="296" t="s">
        <v>221</v>
      </c>
      <c r="L872" s="296">
        <v>25</v>
      </c>
      <c r="M872" s="296" t="s">
        <v>222</v>
      </c>
      <c r="N872" s="296">
        <v>1100</v>
      </c>
      <c r="O872" s="296">
        <v>1100</v>
      </c>
      <c r="P872" s="296">
        <v>6000</v>
      </c>
      <c r="Q872" s="296">
        <v>2</v>
      </c>
      <c r="R872" s="296">
        <v>6</v>
      </c>
      <c r="S872" s="296" t="s">
        <v>354</v>
      </c>
      <c r="T872" s="296" t="s">
        <v>2925</v>
      </c>
      <c r="U872" s="296" t="s">
        <v>3004</v>
      </c>
      <c r="V872" s="296" t="s">
        <v>355</v>
      </c>
      <c r="W872" s="296" t="s">
        <v>928</v>
      </c>
      <c r="X872" s="296" t="s">
        <v>928</v>
      </c>
    </row>
    <row r="873" spans="1:24" ht="13.5" x14ac:dyDescent="0.15">
      <c r="A873" s="296">
        <v>3766765</v>
      </c>
      <c r="B873" s="296" t="s">
        <v>351</v>
      </c>
      <c r="C873" s="296" t="s">
        <v>1801</v>
      </c>
      <c r="D873" s="296" t="s">
        <v>353</v>
      </c>
      <c r="E873" s="296" t="s">
        <v>116</v>
      </c>
      <c r="F873" s="296">
        <v>3</v>
      </c>
      <c r="G873" s="296" t="s">
        <v>19</v>
      </c>
      <c r="H873" s="296" t="s">
        <v>28</v>
      </c>
      <c r="I873" s="296" t="s">
        <v>205</v>
      </c>
      <c r="J873" s="296" t="s">
        <v>928</v>
      </c>
      <c r="K873" s="296" t="s">
        <v>224</v>
      </c>
      <c r="L873" s="296">
        <v>25</v>
      </c>
      <c r="M873" s="296" t="s">
        <v>225</v>
      </c>
      <c r="N873" s="296">
        <v>1120</v>
      </c>
      <c r="O873" s="296">
        <v>1120</v>
      </c>
      <c r="P873" s="296">
        <v>4000</v>
      </c>
      <c r="Q873" s="296">
        <v>2</v>
      </c>
      <c r="R873" s="296">
        <v>2</v>
      </c>
      <c r="S873" s="296" t="s">
        <v>354</v>
      </c>
      <c r="T873" s="296" t="s">
        <v>2925</v>
      </c>
      <c r="U873" s="296" t="s">
        <v>3004</v>
      </c>
      <c r="V873" s="296" t="s">
        <v>355</v>
      </c>
      <c r="W873" s="296" t="s">
        <v>928</v>
      </c>
      <c r="X873" s="296" t="s">
        <v>928</v>
      </c>
    </row>
    <row r="874" spans="1:24" ht="13.5" x14ac:dyDescent="0.15">
      <c r="A874" s="296">
        <v>3766766</v>
      </c>
      <c r="B874" s="296" t="s">
        <v>351</v>
      </c>
      <c r="C874" s="296" t="s">
        <v>1801</v>
      </c>
      <c r="D874" s="296" t="s">
        <v>353</v>
      </c>
      <c r="E874" s="296" t="s">
        <v>116</v>
      </c>
      <c r="F874" s="296">
        <v>3</v>
      </c>
      <c r="G874" s="296" t="s">
        <v>19</v>
      </c>
      <c r="H874" s="296" t="s">
        <v>28</v>
      </c>
      <c r="I874" s="296" t="s">
        <v>205</v>
      </c>
      <c r="J874" s="296" t="s">
        <v>928</v>
      </c>
      <c r="K874" s="296" t="s">
        <v>233</v>
      </c>
      <c r="L874" s="296">
        <v>50</v>
      </c>
      <c r="M874" s="296" t="s">
        <v>234</v>
      </c>
      <c r="N874" s="296">
        <v>1120</v>
      </c>
      <c r="O874" s="296">
        <v>1120</v>
      </c>
      <c r="P874" s="296">
        <v>4000</v>
      </c>
      <c r="Q874" s="296">
        <v>2</v>
      </c>
      <c r="R874" s="296">
        <v>10</v>
      </c>
      <c r="S874" s="296" t="s">
        <v>354</v>
      </c>
      <c r="T874" s="296" t="s">
        <v>2925</v>
      </c>
      <c r="U874" s="296" t="s">
        <v>3004</v>
      </c>
      <c r="V874" s="296" t="s">
        <v>355</v>
      </c>
      <c r="W874" s="296" t="s">
        <v>928</v>
      </c>
      <c r="X874" s="296" t="s">
        <v>928</v>
      </c>
    </row>
    <row r="875" spans="1:24" ht="13.5" x14ac:dyDescent="0.15">
      <c r="A875" s="296">
        <v>3766767</v>
      </c>
      <c r="B875" s="296" t="s">
        <v>351</v>
      </c>
      <c r="C875" s="296" t="s">
        <v>1801</v>
      </c>
      <c r="D875" s="296" t="s">
        <v>353</v>
      </c>
      <c r="E875" s="296" t="s">
        <v>116</v>
      </c>
      <c r="F875" s="296">
        <v>3</v>
      </c>
      <c r="G875" s="296" t="s">
        <v>19</v>
      </c>
      <c r="H875" s="296" t="s">
        <v>28</v>
      </c>
      <c r="I875" s="296" t="s">
        <v>205</v>
      </c>
      <c r="J875" s="296" t="s">
        <v>928</v>
      </c>
      <c r="K875" s="296" t="s">
        <v>233</v>
      </c>
      <c r="L875" s="296">
        <v>50</v>
      </c>
      <c r="M875" s="296" t="s">
        <v>234</v>
      </c>
      <c r="N875" s="296">
        <v>1120</v>
      </c>
      <c r="O875" s="296">
        <v>1120</v>
      </c>
      <c r="P875" s="296">
        <v>4000</v>
      </c>
      <c r="Q875" s="296">
        <v>2</v>
      </c>
      <c r="R875" s="296">
        <v>52</v>
      </c>
      <c r="S875" s="296" t="s">
        <v>354</v>
      </c>
      <c r="T875" s="296" t="s">
        <v>2925</v>
      </c>
      <c r="U875" s="296" t="s">
        <v>3004</v>
      </c>
      <c r="V875" s="296" t="s">
        <v>355</v>
      </c>
      <c r="W875" s="296" t="s">
        <v>928</v>
      </c>
      <c r="X875" s="296" t="s">
        <v>928</v>
      </c>
    </row>
    <row r="876" spans="1:24" ht="13.5" x14ac:dyDescent="0.15">
      <c r="A876" s="296">
        <v>3766768</v>
      </c>
      <c r="B876" s="296" t="s">
        <v>351</v>
      </c>
      <c r="C876" s="296" t="s">
        <v>1801</v>
      </c>
      <c r="D876" s="296" t="s">
        <v>353</v>
      </c>
      <c r="E876" s="296" t="s">
        <v>116</v>
      </c>
      <c r="F876" s="296">
        <v>3</v>
      </c>
      <c r="G876" s="296" t="s">
        <v>19</v>
      </c>
      <c r="H876" s="296" t="s">
        <v>28</v>
      </c>
      <c r="I876" s="296" t="s">
        <v>205</v>
      </c>
      <c r="J876" s="296" t="s">
        <v>928</v>
      </c>
      <c r="K876" s="296" t="s">
        <v>235</v>
      </c>
      <c r="L876" s="296">
        <v>50</v>
      </c>
      <c r="M876" s="296" t="s">
        <v>236</v>
      </c>
      <c r="N876" s="296">
        <v>1120</v>
      </c>
      <c r="O876" s="296">
        <v>1120</v>
      </c>
      <c r="P876" s="296">
        <v>4000</v>
      </c>
      <c r="Q876" s="296">
        <v>2</v>
      </c>
      <c r="R876" s="296">
        <v>10</v>
      </c>
      <c r="S876" s="296" t="s">
        <v>354</v>
      </c>
      <c r="T876" s="296" t="s">
        <v>2925</v>
      </c>
      <c r="U876" s="296" t="s">
        <v>3004</v>
      </c>
      <c r="V876" s="296" t="s">
        <v>355</v>
      </c>
      <c r="W876" s="296" t="s">
        <v>928</v>
      </c>
      <c r="X876" s="296" t="s">
        <v>928</v>
      </c>
    </row>
    <row r="877" spans="1:24" ht="13.5" x14ac:dyDescent="0.15">
      <c r="A877" s="296">
        <v>3766769</v>
      </c>
      <c r="B877" s="296" t="s">
        <v>351</v>
      </c>
      <c r="C877" s="296" t="s">
        <v>1801</v>
      </c>
      <c r="D877" s="296" t="s">
        <v>353</v>
      </c>
      <c r="E877" s="296" t="s">
        <v>116</v>
      </c>
      <c r="F877" s="296">
        <v>3</v>
      </c>
      <c r="G877" s="296" t="s">
        <v>19</v>
      </c>
      <c r="H877" s="296" t="s">
        <v>28</v>
      </c>
      <c r="I877" s="296" t="s">
        <v>205</v>
      </c>
      <c r="J877" s="296" t="s">
        <v>928</v>
      </c>
      <c r="K877" s="296" t="s">
        <v>237</v>
      </c>
      <c r="L877" s="296">
        <v>25</v>
      </c>
      <c r="M877" s="296" t="s">
        <v>238</v>
      </c>
      <c r="N877" s="296">
        <v>1120</v>
      </c>
      <c r="O877" s="296">
        <v>1120</v>
      </c>
      <c r="P877" s="296">
        <v>8000</v>
      </c>
      <c r="Q877" s="296">
        <v>2</v>
      </c>
      <c r="R877" s="296">
        <v>2</v>
      </c>
      <c r="S877" s="296" t="s">
        <v>354</v>
      </c>
      <c r="T877" s="296" t="s">
        <v>2925</v>
      </c>
      <c r="U877" s="296" t="s">
        <v>3004</v>
      </c>
      <c r="V877" s="296" t="s">
        <v>355</v>
      </c>
      <c r="W877" s="296" t="s">
        <v>928</v>
      </c>
      <c r="X877" s="296" t="s">
        <v>928</v>
      </c>
    </row>
    <row r="878" spans="1:24" ht="13.5" x14ac:dyDescent="0.15">
      <c r="A878" s="296">
        <v>3766772</v>
      </c>
      <c r="B878" s="296" t="s">
        <v>351</v>
      </c>
      <c r="C878" s="296" t="s">
        <v>1803</v>
      </c>
      <c r="D878" s="296" t="s">
        <v>353</v>
      </c>
      <c r="E878" s="296" t="s">
        <v>61</v>
      </c>
      <c r="F878" s="296">
        <v>3</v>
      </c>
      <c r="G878" s="296" t="s">
        <v>19</v>
      </c>
      <c r="H878" s="296" t="s">
        <v>20</v>
      </c>
      <c r="I878" s="296" t="s">
        <v>205</v>
      </c>
      <c r="J878" s="296" t="s">
        <v>928</v>
      </c>
      <c r="K878" s="296" t="s">
        <v>242</v>
      </c>
      <c r="L878" s="296">
        <v>50</v>
      </c>
      <c r="M878" s="296" t="s">
        <v>243</v>
      </c>
      <c r="N878" s="296">
        <v>1255</v>
      </c>
      <c r="O878" s="296">
        <v>1250</v>
      </c>
      <c r="P878" s="296">
        <v>2000</v>
      </c>
      <c r="Q878" s="296">
        <v>2</v>
      </c>
      <c r="R878" s="296">
        <v>6</v>
      </c>
      <c r="S878" s="296" t="s">
        <v>354</v>
      </c>
      <c r="T878" s="296" t="s">
        <v>2925</v>
      </c>
      <c r="U878" s="296" t="s">
        <v>2999</v>
      </c>
      <c r="V878" s="296" t="s">
        <v>355</v>
      </c>
      <c r="W878" s="296" t="s">
        <v>928</v>
      </c>
      <c r="X878" s="296" t="s">
        <v>928</v>
      </c>
    </row>
    <row r="879" spans="1:24" ht="13.5" x14ac:dyDescent="0.15">
      <c r="A879" s="296">
        <v>3767087</v>
      </c>
      <c r="B879" s="296" t="s">
        <v>351</v>
      </c>
      <c r="C879" s="296" t="s">
        <v>1801</v>
      </c>
      <c r="D879" s="296" t="s">
        <v>353</v>
      </c>
      <c r="E879" s="296" t="s">
        <v>116</v>
      </c>
      <c r="F879" s="296">
        <v>3</v>
      </c>
      <c r="G879" s="296" t="s">
        <v>19</v>
      </c>
      <c r="H879" s="296" t="s">
        <v>28</v>
      </c>
      <c r="I879" s="296" t="s">
        <v>205</v>
      </c>
      <c r="J879" s="296" t="s">
        <v>928</v>
      </c>
      <c r="K879" s="296" t="s">
        <v>224</v>
      </c>
      <c r="L879" s="296">
        <v>25</v>
      </c>
      <c r="M879" s="296" t="s">
        <v>225</v>
      </c>
      <c r="N879" s="296">
        <v>1120</v>
      </c>
      <c r="O879" s="296">
        <v>1120</v>
      </c>
      <c r="P879" s="296">
        <v>8000</v>
      </c>
      <c r="Q879" s="296">
        <v>2</v>
      </c>
      <c r="R879" s="296">
        <v>2</v>
      </c>
      <c r="S879" s="296" t="s">
        <v>354</v>
      </c>
      <c r="T879" s="296" t="s">
        <v>3013</v>
      </c>
      <c r="U879" s="296" t="s">
        <v>3004</v>
      </c>
      <c r="V879" s="296" t="s">
        <v>355</v>
      </c>
      <c r="W879" s="296" t="s">
        <v>928</v>
      </c>
      <c r="X879" s="296" t="s">
        <v>928</v>
      </c>
    </row>
    <row r="880" spans="1:24" ht="13.5" x14ac:dyDescent="0.15">
      <c r="A880" s="296">
        <v>3767088</v>
      </c>
      <c r="B880" s="296" t="s">
        <v>351</v>
      </c>
      <c r="C880" s="296" t="s">
        <v>1801</v>
      </c>
      <c r="D880" s="296" t="s">
        <v>353</v>
      </c>
      <c r="E880" s="296" t="s">
        <v>116</v>
      </c>
      <c r="F880" s="296">
        <v>3</v>
      </c>
      <c r="G880" s="296" t="s">
        <v>19</v>
      </c>
      <c r="H880" s="296" t="s">
        <v>28</v>
      </c>
      <c r="I880" s="296" t="s">
        <v>205</v>
      </c>
      <c r="J880" s="296" t="s">
        <v>928</v>
      </c>
      <c r="K880" s="296" t="s">
        <v>233</v>
      </c>
      <c r="L880" s="296">
        <v>50</v>
      </c>
      <c r="M880" s="296" t="s">
        <v>234</v>
      </c>
      <c r="N880" s="296">
        <v>1120</v>
      </c>
      <c r="O880" s="296">
        <v>1120</v>
      </c>
      <c r="P880" s="296">
        <v>4000</v>
      </c>
      <c r="Q880" s="296">
        <v>2</v>
      </c>
      <c r="R880" s="296">
        <v>6</v>
      </c>
      <c r="S880" s="296" t="s">
        <v>354</v>
      </c>
      <c r="T880" s="296" t="s">
        <v>3013</v>
      </c>
      <c r="U880" s="296" t="s">
        <v>3004</v>
      </c>
      <c r="V880" s="296" t="s">
        <v>355</v>
      </c>
      <c r="W880" s="296" t="s">
        <v>928</v>
      </c>
      <c r="X880" s="296" t="s">
        <v>928</v>
      </c>
    </row>
    <row r="881" spans="1:25" ht="13.5" x14ac:dyDescent="0.15">
      <c r="A881" s="296">
        <v>3767089</v>
      </c>
      <c r="B881" s="296" t="s">
        <v>351</v>
      </c>
      <c r="C881" s="296" t="s">
        <v>1801</v>
      </c>
      <c r="D881" s="296" t="s">
        <v>353</v>
      </c>
      <c r="E881" s="296" t="s">
        <v>116</v>
      </c>
      <c r="F881" s="296">
        <v>3</v>
      </c>
      <c r="G881" s="296" t="s">
        <v>19</v>
      </c>
      <c r="H881" s="296" t="s">
        <v>28</v>
      </c>
      <c r="I881" s="296" t="s">
        <v>205</v>
      </c>
      <c r="J881" s="296" t="s">
        <v>928</v>
      </c>
      <c r="K881" s="296" t="s">
        <v>233</v>
      </c>
      <c r="L881" s="296">
        <v>50</v>
      </c>
      <c r="M881" s="296" t="s">
        <v>234</v>
      </c>
      <c r="N881" s="296">
        <v>1120</v>
      </c>
      <c r="O881" s="296">
        <v>1120</v>
      </c>
      <c r="P881" s="296">
        <v>4000</v>
      </c>
      <c r="Q881" s="296">
        <v>2</v>
      </c>
      <c r="R881" s="296">
        <v>4</v>
      </c>
      <c r="S881" s="296" t="s">
        <v>354</v>
      </c>
      <c r="T881" s="296" t="s">
        <v>3013</v>
      </c>
      <c r="U881" s="296" t="s">
        <v>3004</v>
      </c>
      <c r="V881" s="296" t="s">
        <v>355</v>
      </c>
      <c r="W881" s="296" t="s">
        <v>928</v>
      </c>
      <c r="X881" s="296" t="s">
        <v>928</v>
      </c>
    </row>
    <row r="882" spans="1:25" ht="13.5" x14ac:dyDescent="0.15">
      <c r="A882" s="296">
        <v>3767090</v>
      </c>
      <c r="B882" s="296" t="s">
        <v>351</v>
      </c>
      <c r="C882" s="296" t="s">
        <v>1801</v>
      </c>
      <c r="D882" s="296" t="s">
        <v>353</v>
      </c>
      <c r="E882" s="296" t="s">
        <v>116</v>
      </c>
      <c r="F882" s="296">
        <v>3</v>
      </c>
      <c r="G882" s="296" t="s">
        <v>19</v>
      </c>
      <c r="H882" s="296" t="s">
        <v>28</v>
      </c>
      <c r="I882" s="296" t="s">
        <v>205</v>
      </c>
      <c r="J882" s="296" t="s">
        <v>928</v>
      </c>
      <c r="K882" s="296" t="s">
        <v>233</v>
      </c>
      <c r="L882" s="296">
        <v>50</v>
      </c>
      <c r="M882" s="296" t="s">
        <v>234</v>
      </c>
      <c r="N882" s="296">
        <v>1120</v>
      </c>
      <c r="O882" s="296">
        <v>1120</v>
      </c>
      <c r="P882" s="296">
        <v>4000</v>
      </c>
      <c r="Q882" s="296">
        <v>2</v>
      </c>
      <c r="R882" s="296">
        <v>52</v>
      </c>
      <c r="S882" s="296" t="s">
        <v>354</v>
      </c>
      <c r="T882" s="296" t="s">
        <v>3013</v>
      </c>
      <c r="U882" s="296" t="s">
        <v>3004</v>
      </c>
      <c r="V882" s="296" t="s">
        <v>355</v>
      </c>
      <c r="W882" s="296" t="s">
        <v>928</v>
      </c>
      <c r="X882" s="296" t="s">
        <v>928</v>
      </c>
    </row>
    <row r="883" spans="1:25" ht="13.5" x14ac:dyDescent="0.15">
      <c r="A883" s="296">
        <v>3767091</v>
      </c>
      <c r="B883" s="296" t="s">
        <v>351</v>
      </c>
      <c r="C883" s="296" t="s">
        <v>1801</v>
      </c>
      <c r="D883" s="296" t="s">
        <v>353</v>
      </c>
      <c r="E883" s="296" t="s">
        <v>116</v>
      </c>
      <c r="F883" s="296">
        <v>3</v>
      </c>
      <c r="G883" s="296" t="s">
        <v>19</v>
      </c>
      <c r="H883" s="296" t="s">
        <v>28</v>
      </c>
      <c r="I883" s="296" t="s">
        <v>205</v>
      </c>
      <c r="J883" s="296" t="s">
        <v>928</v>
      </c>
      <c r="K883" s="296" t="s">
        <v>237</v>
      </c>
      <c r="L883" s="296">
        <v>25</v>
      </c>
      <c r="M883" s="296" t="s">
        <v>238</v>
      </c>
      <c r="N883" s="296">
        <v>1120</v>
      </c>
      <c r="O883" s="296">
        <v>1120</v>
      </c>
      <c r="P883" s="296">
        <v>8000</v>
      </c>
      <c r="Q883" s="296">
        <v>2</v>
      </c>
      <c r="R883" s="296">
        <v>2</v>
      </c>
      <c r="S883" s="296" t="s">
        <v>354</v>
      </c>
      <c r="T883" s="296" t="s">
        <v>3013</v>
      </c>
      <c r="U883" s="296" t="s">
        <v>3004</v>
      </c>
      <c r="V883" s="296" t="s">
        <v>355</v>
      </c>
      <c r="W883" s="296" t="s">
        <v>928</v>
      </c>
      <c r="X883" s="296" t="s">
        <v>928</v>
      </c>
    </row>
    <row r="884" spans="1:25" ht="13.5" x14ac:dyDescent="0.15">
      <c r="A884" s="296">
        <v>3767228</v>
      </c>
      <c r="B884" s="296" t="s">
        <v>351</v>
      </c>
      <c r="C884" s="296" t="s">
        <v>1801</v>
      </c>
      <c r="D884" s="296" t="s">
        <v>353</v>
      </c>
      <c r="E884" s="296" t="s">
        <v>116</v>
      </c>
      <c r="F884" s="296">
        <v>3</v>
      </c>
      <c r="G884" s="296" t="s">
        <v>19</v>
      </c>
      <c r="H884" s="296" t="s">
        <v>28</v>
      </c>
      <c r="I884" s="296" t="s">
        <v>205</v>
      </c>
      <c r="J884" s="296" t="s">
        <v>928</v>
      </c>
      <c r="K884" s="296" t="s">
        <v>235</v>
      </c>
      <c r="L884" s="296">
        <v>50</v>
      </c>
      <c r="M884" s="296" t="s">
        <v>236</v>
      </c>
      <c r="N884" s="296">
        <v>1120</v>
      </c>
      <c r="O884" s="296">
        <v>1120</v>
      </c>
      <c r="P884" s="296">
        <v>4000</v>
      </c>
      <c r="Q884" s="296">
        <v>2</v>
      </c>
      <c r="R884" s="296">
        <v>10</v>
      </c>
      <c r="S884" s="296" t="s">
        <v>354</v>
      </c>
      <c r="T884" s="296" t="s">
        <v>3013</v>
      </c>
      <c r="U884" s="296" t="s">
        <v>3004</v>
      </c>
      <c r="V884" s="296" t="s">
        <v>355</v>
      </c>
      <c r="W884" s="296" t="s">
        <v>928</v>
      </c>
      <c r="X884" s="296" t="s">
        <v>928</v>
      </c>
    </row>
    <row r="885" spans="1:25" ht="13.5" x14ac:dyDescent="0.15">
      <c r="A885" s="296">
        <v>3768139</v>
      </c>
      <c r="B885" s="296" t="s">
        <v>351</v>
      </c>
      <c r="C885" s="296" t="s">
        <v>1801</v>
      </c>
      <c r="D885" s="296" t="s">
        <v>353</v>
      </c>
      <c r="E885" s="296" t="s">
        <v>116</v>
      </c>
      <c r="F885" s="296">
        <v>3</v>
      </c>
      <c r="G885" s="296" t="s">
        <v>19</v>
      </c>
      <c r="H885" s="296" t="s">
        <v>20</v>
      </c>
      <c r="I885" s="296" t="s">
        <v>165</v>
      </c>
      <c r="J885" s="296" t="s">
        <v>928</v>
      </c>
      <c r="K885" s="296" t="s">
        <v>245</v>
      </c>
      <c r="L885" s="296">
        <v>16</v>
      </c>
      <c r="M885" s="296" t="s">
        <v>366</v>
      </c>
      <c r="N885" s="296">
        <v>1000</v>
      </c>
      <c r="O885" s="296">
        <v>1000</v>
      </c>
      <c r="P885" s="296">
        <v>3200</v>
      </c>
      <c r="Q885" s="296">
        <v>2</v>
      </c>
      <c r="R885" s="296">
        <v>1</v>
      </c>
      <c r="S885" s="296" t="s">
        <v>354</v>
      </c>
      <c r="T885" s="296" t="s">
        <v>2923</v>
      </c>
      <c r="U885" s="296" t="s">
        <v>2924</v>
      </c>
      <c r="V885" s="296" t="s">
        <v>355</v>
      </c>
      <c r="W885" s="296" t="s">
        <v>928</v>
      </c>
      <c r="X885" s="296" t="s">
        <v>928</v>
      </c>
    </row>
    <row r="886" spans="1:25" ht="13.5" x14ac:dyDescent="0.15">
      <c r="A886" s="296">
        <v>3768140</v>
      </c>
      <c r="B886" s="296" t="s">
        <v>351</v>
      </c>
      <c r="C886" s="296" t="s">
        <v>1801</v>
      </c>
      <c r="D886" s="296" t="s">
        <v>353</v>
      </c>
      <c r="E886" s="296" t="s">
        <v>247</v>
      </c>
      <c r="F886" s="296">
        <v>3</v>
      </c>
      <c r="G886" s="296" t="s">
        <v>19</v>
      </c>
      <c r="H886" s="296" t="s">
        <v>20</v>
      </c>
      <c r="I886" s="296" t="s">
        <v>143</v>
      </c>
      <c r="J886" s="296" t="s">
        <v>928</v>
      </c>
      <c r="K886" s="296" t="s">
        <v>149</v>
      </c>
      <c r="L886" s="296">
        <v>38</v>
      </c>
      <c r="M886" s="296" t="s">
        <v>150</v>
      </c>
      <c r="N886" s="296">
        <v>1120</v>
      </c>
      <c r="O886" s="296">
        <v>1120</v>
      </c>
      <c r="P886" s="296">
        <v>4000</v>
      </c>
      <c r="Q886" s="296">
        <v>2</v>
      </c>
      <c r="R886" s="296">
        <v>1</v>
      </c>
      <c r="S886" s="296" t="s">
        <v>354</v>
      </c>
      <c r="T886" s="296" t="s">
        <v>2923</v>
      </c>
      <c r="U886" s="296" t="s">
        <v>3004</v>
      </c>
      <c r="V886" s="296" t="s">
        <v>355</v>
      </c>
      <c r="W886" s="296" t="s">
        <v>928</v>
      </c>
      <c r="X886" s="296" t="s">
        <v>928</v>
      </c>
    </row>
    <row r="887" spans="1:25" ht="13.5" x14ac:dyDescent="0.15">
      <c r="A887" s="296">
        <v>3768451</v>
      </c>
      <c r="B887" s="296" t="s">
        <v>423</v>
      </c>
      <c r="C887" s="296" t="s">
        <v>1801</v>
      </c>
      <c r="D887" s="296" t="s">
        <v>353</v>
      </c>
      <c r="E887" s="296" t="s">
        <v>116</v>
      </c>
      <c r="F887" s="296">
        <v>3</v>
      </c>
      <c r="G887" s="296" t="s">
        <v>265</v>
      </c>
      <c r="H887" s="296" t="s">
        <v>20</v>
      </c>
      <c r="I887" s="296" t="s">
        <v>165</v>
      </c>
      <c r="J887" s="296" t="s">
        <v>928</v>
      </c>
      <c r="K887" s="296" t="s">
        <v>176</v>
      </c>
      <c r="L887" s="296">
        <v>50</v>
      </c>
      <c r="M887" s="296" t="s">
        <v>177</v>
      </c>
      <c r="N887" s="296">
        <v>1005</v>
      </c>
      <c r="O887" s="296">
        <v>1000</v>
      </c>
      <c r="P887" s="296">
        <v>2000</v>
      </c>
      <c r="Q887" s="296">
        <v>2</v>
      </c>
      <c r="R887" s="296">
        <v>1</v>
      </c>
      <c r="S887" s="296" t="s">
        <v>354</v>
      </c>
      <c r="T887" s="296" t="s">
        <v>2927</v>
      </c>
      <c r="U887" s="296" t="s">
        <v>3003</v>
      </c>
      <c r="V887" s="296" t="s">
        <v>355</v>
      </c>
      <c r="W887" s="296" t="s">
        <v>928</v>
      </c>
      <c r="X887" s="296" t="s">
        <v>928</v>
      </c>
    </row>
    <row r="888" spans="1:25" ht="13.5" x14ac:dyDescent="0.15">
      <c r="A888" s="296">
        <v>3770571</v>
      </c>
      <c r="B888" s="296" t="s">
        <v>2831</v>
      </c>
      <c r="C888" s="296" t="s">
        <v>1803</v>
      </c>
      <c r="D888" s="296" t="s">
        <v>353</v>
      </c>
      <c r="E888" s="296" t="s">
        <v>61</v>
      </c>
      <c r="F888" s="296">
        <v>3</v>
      </c>
      <c r="G888" s="296" t="s">
        <v>265</v>
      </c>
      <c r="H888" s="296" t="s">
        <v>28</v>
      </c>
      <c r="I888" s="296" t="s">
        <v>1078</v>
      </c>
      <c r="J888" s="296" t="s">
        <v>928</v>
      </c>
      <c r="K888" s="296" t="s">
        <v>2832</v>
      </c>
      <c r="L888" s="296">
        <v>25</v>
      </c>
      <c r="M888" s="296" t="s">
        <v>2833</v>
      </c>
      <c r="N888" s="296">
        <v>1050</v>
      </c>
      <c r="O888" s="296">
        <v>1050</v>
      </c>
      <c r="P888" s="296">
        <v>6000</v>
      </c>
      <c r="Q888" s="296">
        <v>2</v>
      </c>
      <c r="R888" s="296">
        <v>26</v>
      </c>
      <c r="S888" s="296" t="s">
        <v>354</v>
      </c>
      <c r="T888" s="296" t="s">
        <v>3103</v>
      </c>
      <c r="U888" s="296" t="s">
        <v>3110</v>
      </c>
      <c r="V888" s="296" t="s">
        <v>355</v>
      </c>
      <c r="W888" s="296" t="s">
        <v>928</v>
      </c>
      <c r="X888" s="296" t="s">
        <v>928</v>
      </c>
    </row>
    <row r="889" spans="1:25" ht="13.5" x14ac:dyDescent="0.15">
      <c r="A889" s="296">
        <v>3770572</v>
      </c>
      <c r="B889" s="296" t="s">
        <v>351</v>
      </c>
      <c r="C889" s="296" t="s">
        <v>1796</v>
      </c>
      <c r="D889" s="296" t="s">
        <v>353</v>
      </c>
      <c r="E889" s="296" t="s">
        <v>229</v>
      </c>
      <c r="F889" s="296">
        <v>3</v>
      </c>
      <c r="G889" s="296" t="s">
        <v>19</v>
      </c>
      <c r="H889" s="296" t="s">
        <v>20</v>
      </c>
      <c r="I889" s="296" t="s">
        <v>205</v>
      </c>
      <c r="J889" s="296" t="s">
        <v>928</v>
      </c>
      <c r="K889" s="296" t="s">
        <v>230</v>
      </c>
      <c r="L889" s="296">
        <v>25</v>
      </c>
      <c r="M889" s="296" t="s">
        <v>231</v>
      </c>
      <c r="N889" s="296">
        <v>1000</v>
      </c>
      <c r="O889" s="296">
        <v>1000</v>
      </c>
      <c r="P889" s="296">
        <v>2000</v>
      </c>
      <c r="Q889" s="296">
        <v>2</v>
      </c>
      <c r="R889" s="296">
        <v>6</v>
      </c>
      <c r="S889" s="296" t="s">
        <v>354</v>
      </c>
      <c r="T889" s="296" t="s">
        <v>3103</v>
      </c>
      <c r="U889" s="296" t="s">
        <v>3106</v>
      </c>
      <c r="V889" s="296" t="s">
        <v>355</v>
      </c>
      <c r="W889" s="296" t="s">
        <v>928</v>
      </c>
      <c r="X889" s="296" t="s">
        <v>928</v>
      </c>
    </row>
    <row r="890" spans="1:25" ht="13.5" x14ac:dyDescent="0.15">
      <c r="A890" s="296">
        <v>3770573</v>
      </c>
      <c r="B890" s="296" t="s">
        <v>351</v>
      </c>
      <c r="C890" s="296" t="s">
        <v>1803</v>
      </c>
      <c r="D890" s="296" t="s">
        <v>353</v>
      </c>
      <c r="E890" s="296" t="s">
        <v>204</v>
      </c>
      <c r="F890" s="296">
        <v>3</v>
      </c>
      <c r="G890" s="296" t="s">
        <v>19</v>
      </c>
      <c r="H890" s="296" t="s">
        <v>20</v>
      </c>
      <c r="I890" s="296" t="s">
        <v>205</v>
      </c>
      <c r="J890" s="296" t="s">
        <v>928</v>
      </c>
      <c r="K890" s="296" t="s">
        <v>206</v>
      </c>
      <c r="L890" s="296">
        <v>50</v>
      </c>
      <c r="M890" s="296" t="s">
        <v>207</v>
      </c>
      <c r="N890" s="296">
        <v>1020</v>
      </c>
      <c r="O890" s="296">
        <v>1000</v>
      </c>
      <c r="P890" s="296">
        <v>2000</v>
      </c>
      <c r="Q890" s="296">
        <v>2</v>
      </c>
      <c r="R890" s="296">
        <v>2</v>
      </c>
      <c r="S890" s="296" t="s">
        <v>354</v>
      </c>
      <c r="T890" s="296" t="s">
        <v>3103</v>
      </c>
      <c r="U890" s="296" t="s">
        <v>3106</v>
      </c>
      <c r="V890" s="296" t="s">
        <v>355</v>
      </c>
      <c r="W890" s="296" t="s">
        <v>928</v>
      </c>
      <c r="X890" s="296" t="s">
        <v>928</v>
      </c>
    </row>
    <row r="891" spans="1:25" s="252" customFormat="1" ht="13.15" customHeight="1" x14ac:dyDescent="0.15">
      <c r="A891" s="296">
        <v>3770574</v>
      </c>
      <c r="B891" s="296" t="s">
        <v>351</v>
      </c>
      <c r="C891" s="296" t="s">
        <v>1801</v>
      </c>
      <c r="D891" s="296" t="s">
        <v>353</v>
      </c>
      <c r="E891" s="296" t="s">
        <v>116</v>
      </c>
      <c r="F891" s="296">
        <v>3</v>
      </c>
      <c r="G891" s="296" t="s">
        <v>19</v>
      </c>
      <c r="H891" s="296" t="s">
        <v>28</v>
      </c>
      <c r="I891" s="296" t="s">
        <v>205</v>
      </c>
      <c r="J891" s="296" t="s">
        <v>928</v>
      </c>
      <c r="K891" s="296" t="s">
        <v>240</v>
      </c>
      <c r="L891" s="296">
        <v>50</v>
      </c>
      <c r="M891" s="296" t="s">
        <v>241</v>
      </c>
      <c r="N891" s="296">
        <v>1120</v>
      </c>
      <c r="O891" s="296">
        <v>1120</v>
      </c>
      <c r="P891" s="296">
        <v>4000</v>
      </c>
      <c r="Q891" s="296">
        <v>2</v>
      </c>
      <c r="R891" s="296">
        <v>6</v>
      </c>
      <c r="S891" s="296" t="s">
        <v>354</v>
      </c>
      <c r="T891" s="296" t="s">
        <v>3103</v>
      </c>
      <c r="U891" s="296" t="s">
        <v>3111</v>
      </c>
      <c r="V891" s="296" t="s">
        <v>355</v>
      </c>
      <c r="W891" s="296" t="s">
        <v>928</v>
      </c>
      <c r="X891" s="296" t="s">
        <v>928</v>
      </c>
      <c r="Y891" s="146"/>
    </row>
    <row r="892" spans="1:25" s="252" customFormat="1" ht="13.15" customHeight="1" x14ac:dyDescent="0.15">
      <c r="A892" s="296">
        <v>3770575</v>
      </c>
      <c r="B892" s="296" t="s">
        <v>351</v>
      </c>
      <c r="C892" s="296" t="s">
        <v>1801</v>
      </c>
      <c r="D892" s="296" t="s">
        <v>353</v>
      </c>
      <c r="E892" s="296" t="s">
        <v>116</v>
      </c>
      <c r="F892" s="296">
        <v>3</v>
      </c>
      <c r="G892" s="296" t="s">
        <v>19</v>
      </c>
      <c r="H892" s="296" t="s">
        <v>28</v>
      </c>
      <c r="I892" s="296" t="s">
        <v>205</v>
      </c>
      <c r="J892" s="296" t="s">
        <v>928</v>
      </c>
      <c r="K892" s="296" t="s">
        <v>224</v>
      </c>
      <c r="L892" s="296">
        <v>25</v>
      </c>
      <c r="M892" s="296" t="s">
        <v>225</v>
      </c>
      <c r="N892" s="296">
        <v>1120</v>
      </c>
      <c r="O892" s="296">
        <v>1120</v>
      </c>
      <c r="P892" s="296">
        <v>8000</v>
      </c>
      <c r="Q892" s="296">
        <v>2</v>
      </c>
      <c r="R892" s="296">
        <v>4</v>
      </c>
      <c r="S892" s="296" t="s">
        <v>354</v>
      </c>
      <c r="T892" s="296" t="s">
        <v>3103</v>
      </c>
      <c r="U892" s="296" t="s">
        <v>3111</v>
      </c>
      <c r="V892" s="296" t="s">
        <v>355</v>
      </c>
      <c r="W892" s="296" t="s">
        <v>928</v>
      </c>
      <c r="X892" s="296" t="s">
        <v>928</v>
      </c>
      <c r="Y892" s="146"/>
    </row>
    <row r="893" spans="1:25" s="252" customFormat="1" ht="13.15" customHeight="1" x14ac:dyDescent="0.15">
      <c r="A893" s="296">
        <v>3770576</v>
      </c>
      <c r="B893" s="296" t="s">
        <v>351</v>
      </c>
      <c r="C893" s="296" t="s">
        <v>1801</v>
      </c>
      <c r="D893" s="296" t="s">
        <v>353</v>
      </c>
      <c r="E893" s="296" t="s">
        <v>116</v>
      </c>
      <c r="F893" s="296">
        <v>3</v>
      </c>
      <c r="G893" s="296" t="s">
        <v>19</v>
      </c>
      <c r="H893" s="296" t="s">
        <v>28</v>
      </c>
      <c r="I893" s="296" t="s">
        <v>205</v>
      </c>
      <c r="J893" s="296" t="s">
        <v>928</v>
      </c>
      <c r="K893" s="296" t="s">
        <v>233</v>
      </c>
      <c r="L893" s="296">
        <v>50</v>
      </c>
      <c r="M893" s="296" t="s">
        <v>234</v>
      </c>
      <c r="N893" s="296">
        <v>1120</v>
      </c>
      <c r="O893" s="296">
        <v>1120</v>
      </c>
      <c r="P893" s="296">
        <v>4000</v>
      </c>
      <c r="Q893" s="296">
        <v>2</v>
      </c>
      <c r="R893" s="296">
        <v>9</v>
      </c>
      <c r="S893" s="296" t="s">
        <v>354</v>
      </c>
      <c r="T893" s="296" t="s">
        <v>3103</v>
      </c>
      <c r="U893" s="296" t="s">
        <v>3111</v>
      </c>
      <c r="V893" s="296" t="s">
        <v>355</v>
      </c>
      <c r="W893" s="296" t="s">
        <v>928</v>
      </c>
      <c r="X893" s="296" t="s">
        <v>928</v>
      </c>
      <c r="Y893" s="146"/>
    </row>
    <row r="894" spans="1:25" s="252" customFormat="1" ht="13.15" customHeight="1" x14ac:dyDescent="0.15">
      <c r="A894" s="296">
        <v>3770577</v>
      </c>
      <c r="B894" s="296" t="s">
        <v>351</v>
      </c>
      <c r="C894" s="296" t="s">
        <v>1801</v>
      </c>
      <c r="D894" s="296" t="s">
        <v>353</v>
      </c>
      <c r="E894" s="296" t="s">
        <v>116</v>
      </c>
      <c r="F894" s="296">
        <v>3</v>
      </c>
      <c r="G894" s="296" t="s">
        <v>19</v>
      </c>
      <c r="H894" s="296" t="s">
        <v>28</v>
      </c>
      <c r="I894" s="296" t="s">
        <v>205</v>
      </c>
      <c r="J894" s="296" t="s">
        <v>928</v>
      </c>
      <c r="K894" s="296" t="s">
        <v>233</v>
      </c>
      <c r="L894" s="296">
        <v>50</v>
      </c>
      <c r="M894" s="296" t="s">
        <v>234</v>
      </c>
      <c r="N894" s="296">
        <v>1120</v>
      </c>
      <c r="O894" s="296">
        <v>1120</v>
      </c>
      <c r="P894" s="296">
        <v>4000</v>
      </c>
      <c r="Q894" s="296">
        <v>2</v>
      </c>
      <c r="R894" s="296">
        <v>10</v>
      </c>
      <c r="S894" s="296" t="s">
        <v>354</v>
      </c>
      <c r="T894" s="296" t="s">
        <v>3103</v>
      </c>
      <c r="U894" s="296" t="s">
        <v>3111</v>
      </c>
      <c r="V894" s="296" t="s">
        <v>355</v>
      </c>
      <c r="W894" s="296" t="s">
        <v>928</v>
      </c>
      <c r="X894" s="296" t="s">
        <v>928</v>
      </c>
      <c r="Y894" s="146"/>
    </row>
    <row r="895" spans="1:25" s="252" customFormat="1" ht="13.15" customHeight="1" x14ac:dyDescent="0.15">
      <c r="A895" s="296">
        <v>3770578</v>
      </c>
      <c r="B895" s="296" t="s">
        <v>351</v>
      </c>
      <c r="C895" s="296" t="s">
        <v>1801</v>
      </c>
      <c r="D895" s="296" t="s">
        <v>353</v>
      </c>
      <c r="E895" s="296" t="s">
        <v>116</v>
      </c>
      <c r="F895" s="296">
        <v>3</v>
      </c>
      <c r="G895" s="296" t="s">
        <v>19</v>
      </c>
      <c r="H895" s="296" t="s">
        <v>20</v>
      </c>
      <c r="I895" s="296" t="s">
        <v>205</v>
      </c>
      <c r="J895" s="296" t="s">
        <v>928</v>
      </c>
      <c r="K895" s="296" t="s">
        <v>212</v>
      </c>
      <c r="L895" s="296">
        <v>25</v>
      </c>
      <c r="M895" s="296" t="s">
        <v>213</v>
      </c>
      <c r="N895" s="296">
        <v>1120</v>
      </c>
      <c r="O895" s="296">
        <v>1120</v>
      </c>
      <c r="P895" s="296">
        <v>4000</v>
      </c>
      <c r="Q895" s="296">
        <v>2</v>
      </c>
      <c r="R895" s="296">
        <v>9</v>
      </c>
      <c r="S895" s="296" t="s">
        <v>354</v>
      </c>
      <c r="T895" s="296" t="s">
        <v>3103</v>
      </c>
      <c r="U895" s="296" t="s">
        <v>3112</v>
      </c>
      <c r="V895" s="296" t="s">
        <v>355</v>
      </c>
      <c r="W895" s="296" t="s">
        <v>928</v>
      </c>
      <c r="X895" s="296" t="s">
        <v>928</v>
      </c>
      <c r="Y895" s="146"/>
    </row>
    <row r="896" spans="1:25" s="252" customFormat="1" ht="13.15" customHeight="1" x14ac:dyDescent="0.15">
      <c r="A896" s="296">
        <v>3770579</v>
      </c>
      <c r="B896" s="296" t="s">
        <v>351</v>
      </c>
      <c r="C896" s="296" t="s">
        <v>1801</v>
      </c>
      <c r="D896" s="296" t="s">
        <v>353</v>
      </c>
      <c r="E896" s="296" t="s">
        <v>116</v>
      </c>
      <c r="F896" s="296">
        <v>3</v>
      </c>
      <c r="G896" s="296" t="s">
        <v>19</v>
      </c>
      <c r="H896" s="296" t="s">
        <v>20</v>
      </c>
      <c r="I896" s="296" t="s">
        <v>205</v>
      </c>
      <c r="J896" s="296" t="s">
        <v>928</v>
      </c>
      <c r="K896" s="296" t="s">
        <v>212</v>
      </c>
      <c r="L896" s="296">
        <v>50</v>
      </c>
      <c r="M896" s="296" t="s">
        <v>213</v>
      </c>
      <c r="N896" s="296">
        <v>1120</v>
      </c>
      <c r="O896" s="296">
        <v>1120</v>
      </c>
      <c r="P896" s="296">
        <v>4000</v>
      </c>
      <c r="Q896" s="296">
        <v>2</v>
      </c>
      <c r="R896" s="296">
        <v>12</v>
      </c>
      <c r="S896" s="296" t="s">
        <v>354</v>
      </c>
      <c r="T896" s="296" t="s">
        <v>3103</v>
      </c>
      <c r="U896" s="296" t="s">
        <v>3110</v>
      </c>
      <c r="V896" s="296" t="s">
        <v>355</v>
      </c>
      <c r="W896" s="296" t="s">
        <v>928</v>
      </c>
      <c r="X896" s="296" t="s">
        <v>928</v>
      </c>
      <c r="Y896" s="146"/>
    </row>
    <row r="897" spans="1:25" s="252" customFormat="1" ht="13.15" customHeight="1" x14ac:dyDescent="0.15">
      <c r="A897" s="296">
        <v>3770580</v>
      </c>
      <c r="B897" s="296" t="s">
        <v>351</v>
      </c>
      <c r="C897" s="296" t="s">
        <v>1801</v>
      </c>
      <c r="D897" s="296" t="s">
        <v>353</v>
      </c>
      <c r="E897" s="296" t="s">
        <v>116</v>
      </c>
      <c r="F897" s="296">
        <v>3</v>
      </c>
      <c r="G897" s="296" t="s">
        <v>19</v>
      </c>
      <c r="H897" s="296" t="s">
        <v>20</v>
      </c>
      <c r="I897" s="296" t="s">
        <v>205</v>
      </c>
      <c r="J897" s="296" t="s">
        <v>928</v>
      </c>
      <c r="K897" s="296" t="s">
        <v>211</v>
      </c>
      <c r="L897" s="296">
        <v>50</v>
      </c>
      <c r="M897" s="296" t="s">
        <v>370</v>
      </c>
      <c r="N897" s="296">
        <v>1005</v>
      </c>
      <c r="O897" s="296">
        <v>1050</v>
      </c>
      <c r="P897" s="296">
        <v>4100</v>
      </c>
      <c r="Q897" s="296">
        <v>2</v>
      </c>
      <c r="R897" s="296">
        <v>3</v>
      </c>
      <c r="S897" s="296" t="s">
        <v>354</v>
      </c>
      <c r="T897" s="296" t="s">
        <v>3103</v>
      </c>
      <c r="U897" s="296" t="s">
        <v>3112</v>
      </c>
      <c r="V897" s="296" t="s">
        <v>355</v>
      </c>
      <c r="W897" s="296" t="s">
        <v>928</v>
      </c>
      <c r="X897" s="296" t="s">
        <v>928</v>
      </c>
      <c r="Y897" s="146"/>
    </row>
    <row r="898" spans="1:25" s="252" customFormat="1" ht="13.15" customHeight="1" x14ac:dyDescent="0.15">
      <c r="A898" s="296">
        <v>3770581</v>
      </c>
      <c r="B898" s="296" t="s">
        <v>351</v>
      </c>
      <c r="C898" s="296" t="s">
        <v>1801</v>
      </c>
      <c r="D898" s="296" t="s">
        <v>353</v>
      </c>
      <c r="E898" s="296" t="s">
        <v>116</v>
      </c>
      <c r="F898" s="296">
        <v>3</v>
      </c>
      <c r="G898" s="296" t="s">
        <v>19</v>
      </c>
      <c r="H898" s="296" t="s">
        <v>20</v>
      </c>
      <c r="I898" s="296" t="s">
        <v>205</v>
      </c>
      <c r="J898" s="296" t="s">
        <v>928</v>
      </c>
      <c r="K898" s="296" t="s">
        <v>211</v>
      </c>
      <c r="L898" s="296">
        <v>75</v>
      </c>
      <c r="M898" s="296" t="s">
        <v>370</v>
      </c>
      <c r="N898" s="296">
        <v>1050</v>
      </c>
      <c r="O898" s="296">
        <v>1050</v>
      </c>
      <c r="P898" s="296">
        <v>2000</v>
      </c>
      <c r="Q898" s="296">
        <v>2</v>
      </c>
      <c r="R898" s="296">
        <v>2</v>
      </c>
      <c r="S898" s="296" t="s">
        <v>354</v>
      </c>
      <c r="T898" s="296" t="s">
        <v>3103</v>
      </c>
      <c r="U898" s="296" t="s">
        <v>3112</v>
      </c>
      <c r="V898" s="296" t="s">
        <v>355</v>
      </c>
      <c r="W898" s="296" t="s">
        <v>928</v>
      </c>
      <c r="X898" s="296" t="s">
        <v>928</v>
      </c>
      <c r="Y898" s="146"/>
    </row>
    <row r="899" spans="1:25" s="252" customFormat="1" ht="13.15" customHeight="1" x14ac:dyDescent="0.15">
      <c r="A899" s="296">
        <v>3770582</v>
      </c>
      <c r="B899" s="296" t="s">
        <v>351</v>
      </c>
      <c r="C899" s="296" t="s">
        <v>1801</v>
      </c>
      <c r="D899" s="296" t="s">
        <v>353</v>
      </c>
      <c r="E899" s="296" t="s">
        <v>116</v>
      </c>
      <c r="F899" s="296">
        <v>3</v>
      </c>
      <c r="G899" s="296" t="s">
        <v>19</v>
      </c>
      <c r="H899" s="296" t="s">
        <v>20</v>
      </c>
      <c r="I899" s="296" t="s">
        <v>165</v>
      </c>
      <c r="J899" s="296" t="s">
        <v>928</v>
      </c>
      <c r="K899" s="296" t="s">
        <v>185</v>
      </c>
      <c r="L899" s="296">
        <v>50</v>
      </c>
      <c r="M899" s="296" t="s">
        <v>186</v>
      </c>
      <c r="N899" s="296">
        <v>1000</v>
      </c>
      <c r="O899" s="296">
        <v>1000</v>
      </c>
      <c r="P899" s="296">
        <v>4000</v>
      </c>
      <c r="Q899" s="296">
        <v>2</v>
      </c>
      <c r="R899" s="296">
        <v>3</v>
      </c>
      <c r="S899" s="296" t="s">
        <v>354</v>
      </c>
      <c r="T899" s="296" t="s">
        <v>3103</v>
      </c>
      <c r="U899" s="296" t="s">
        <v>3106</v>
      </c>
      <c r="V899" s="296" t="s">
        <v>355</v>
      </c>
      <c r="W899" s="296" t="s">
        <v>928</v>
      </c>
      <c r="X899" s="296" t="s">
        <v>928</v>
      </c>
      <c r="Y899" s="146"/>
    </row>
    <row r="900" spans="1:25" s="252" customFormat="1" ht="13.15" customHeight="1" x14ac:dyDescent="0.15">
      <c r="A900" s="296">
        <v>3770583</v>
      </c>
      <c r="B900" s="296" t="s">
        <v>351</v>
      </c>
      <c r="C900" s="296" t="s">
        <v>1801</v>
      </c>
      <c r="D900" s="296" t="s">
        <v>353</v>
      </c>
      <c r="E900" s="296" t="s">
        <v>116</v>
      </c>
      <c r="F900" s="296">
        <v>3</v>
      </c>
      <c r="G900" s="296" t="s">
        <v>19</v>
      </c>
      <c r="H900" s="296" t="s">
        <v>20</v>
      </c>
      <c r="I900" s="296" t="s">
        <v>205</v>
      </c>
      <c r="J900" s="296" t="s">
        <v>928</v>
      </c>
      <c r="K900" s="296" t="s">
        <v>216</v>
      </c>
      <c r="L900" s="296">
        <v>25</v>
      </c>
      <c r="M900" s="296" t="s">
        <v>217</v>
      </c>
      <c r="N900" s="296">
        <v>1005</v>
      </c>
      <c r="O900" s="296">
        <v>1000</v>
      </c>
      <c r="P900" s="296">
        <v>4000</v>
      </c>
      <c r="Q900" s="296">
        <v>2</v>
      </c>
      <c r="R900" s="296">
        <v>15</v>
      </c>
      <c r="S900" s="296" t="s">
        <v>354</v>
      </c>
      <c r="T900" s="296" t="s">
        <v>3103</v>
      </c>
      <c r="U900" s="296" t="s">
        <v>3112</v>
      </c>
      <c r="V900" s="296" t="s">
        <v>355</v>
      </c>
      <c r="W900" s="296" t="s">
        <v>928</v>
      </c>
      <c r="X900" s="296" t="s">
        <v>928</v>
      </c>
      <c r="Y900" s="146"/>
    </row>
    <row r="901" spans="1:25" s="252" customFormat="1" ht="13.15" customHeight="1" x14ac:dyDescent="0.15">
      <c r="A901" s="296">
        <v>3770584</v>
      </c>
      <c r="B901" s="296" t="s">
        <v>351</v>
      </c>
      <c r="C901" s="296" t="s">
        <v>1801</v>
      </c>
      <c r="D901" s="296" t="s">
        <v>353</v>
      </c>
      <c r="E901" s="296" t="s">
        <v>116</v>
      </c>
      <c r="F901" s="296">
        <v>3</v>
      </c>
      <c r="G901" s="296" t="s">
        <v>19</v>
      </c>
      <c r="H901" s="296" t="s">
        <v>20</v>
      </c>
      <c r="I901" s="296" t="s">
        <v>205</v>
      </c>
      <c r="J901" s="296" t="s">
        <v>928</v>
      </c>
      <c r="K901" s="296" t="s">
        <v>216</v>
      </c>
      <c r="L901" s="296">
        <v>50</v>
      </c>
      <c r="M901" s="296" t="s">
        <v>217</v>
      </c>
      <c r="N901" s="296">
        <v>1120</v>
      </c>
      <c r="O901" s="296">
        <v>1120</v>
      </c>
      <c r="P901" s="296">
        <v>5000</v>
      </c>
      <c r="Q901" s="296">
        <v>2</v>
      </c>
      <c r="R901" s="296">
        <v>68</v>
      </c>
      <c r="S901" s="296" t="s">
        <v>354</v>
      </c>
      <c r="T901" s="296" t="s">
        <v>3103</v>
      </c>
      <c r="U901" s="296" t="s">
        <v>3104</v>
      </c>
      <c r="V901" s="296" t="s">
        <v>355</v>
      </c>
      <c r="W901" s="296" t="s">
        <v>928</v>
      </c>
      <c r="X901" s="296" t="s">
        <v>928</v>
      </c>
      <c r="Y901" s="146"/>
    </row>
    <row r="902" spans="1:25" s="252" customFormat="1" ht="13.15" customHeight="1" x14ac:dyDescent="0.15">
      <c r="A902" s="296">
        <v>3770585</v>
      </c>
      <c r="B902" s="296" t="s">
        <v>351</v>
      </c>
      <c r="C902" s="296" t="s">
        <v>1801</v>
      </c>
      <c r="D902" s="296" t="s">
        <v>353</v>
      </c>
      <c r="E902" s="296" t="s">
        <v>116</v>
      </c>
      <c r="F902" s="296">
        <v>3</v>
      </c>
      <c r="G902" s="296" t="s">
        <v>19</v>
      </c>
      <c r="H902" s="296" t="s">
        <v>20</v>
      </c>
      <c r="I902" s="296" t="s">
        <v>165</v>
      </c>
      <c r="J902" s="296" t="s">
        <v>928</v>
      </c>
      <c r="K902" s="296" t="s">
        <v>187</v>
      </c>
      <c r="L902" s="296">
        <v>50</v>
      </c>
      <c r="M902" s="296" t="s">
        <v>188</v>
      </c>
      <c r="N902" s="296">
        <v>1120</v>
      </c>
      <c r="O902" s="296">
        <v>1120</v>
      </c>
      <c r="P902" s="296">
        <v>2500</v>
      </c>
      <c r="Q902" s="296">
        <v>2</v>
      </c>
      <c r="R902" s="296">
        <v>4</v>
      </c>
      <c r="S902" s="296" t="s">
        <v>354</v>
      </c>
      <c r="T902" s="296" t="s">
        <v>3103</v>
      </c>
      <c r="U902" s="296" t="s">
        <v>3106</v>
      </c>
      <c r="V902" s="296" t="s">
        <v>355</v>
      </c>
      <c r="W902" s="296" t="s">
        <v>928</v>
      </c>
      <c r="X902" s="296" t="s">
        <v>928</v>
      </c>
      <c r="Y902" s="146"/>
    </row>
    <row r="903" spans="1:25" s="252" customFormat="1" ht="13.15" customHeight="1" x14ac:dyDescent="0.15">
      <c r="A903" s="296">
        <v>3770586</v>
      </c>
      <c r="B903" s="296" t="s">
        <v>351</v>
      </c>
      <c r="C903" s="296" t="s">
        <v>1801</v>
      </c>
      <c r="D903" s="296" t="s">
        <v>353</v>
      </c>
      <c r="E903" s="296" t="s">
        <v>116</v>
      </c>
      <c r="F903" s="296">
        <v>3</v>
      </c>
      <c r="G903" s="296" t="s">
        <v>19</v>
      </c>
      <c r="H903" s="296" t="s">
        <v>20</v>
      </c>
      <c r="I903" s="296" t="s">
        <v>205</v>
      </c>
      <c r="J903" s="296" t="s">
        <v>928</v>
      </c>
      <c r="K903" s="296" t="s">
        <v>218</v>
      </c>
      <c r="L903" s="296">
        <v>50</v>
      </c>
      <c r="M903" s="296" t="s">
        <v>219</v>
      </c>
      <c r="N903" s="296">
        <v>1000</v>
      </c>
      <c r="O903" s="296">
        <v>1000</v>
      </c>
      <c r="P903" s="296">
        <v>4000</v>
      </c>
      <c r="Q903" s="296">
        <v>2</v>
      </c>
      <c r="R903" s="296">
        <v>18</v>
      </c>
      <c r="S903" s="296" t="s">
        <v>354</v>
      </c>
      <c r="T903" s="296" t="s">
        <v>3103</v>
      </c>
      <c r="U903" s="296" t="s">
        <v>3110</v>
      </c>
      <c r="V903" s="296" t="s">
        <v>355</v>
      </c>
      <c r="W903" s="296" t="s">
        <v>928</v>
      </c>
      <c r="X903" s="296" t="s">
        <v>928</v>
      </c>
      <c r="Y903" s="146"/>
    </row>
    <row r="904" spans="1:25" s="252" customFormat="1" ht="13.15" customHeight="1" x14ac:dyDescent="0.15">
      <c r="A904" s="296">
        <v>3770587</v>
      </c>
      <c r="B904" s="296" t="s">
        <v>351</v>
      </c>
      <c r="C904" s="296" t="s">
        <v>1801</v>
      </c>
      <c r="D904" s="296" t="s">
        <v>353</v>
      </c>
      <c r="E904" s="296" t="s">
        <v>116</v>
      </c>
      <c r="F904" s="296" t="s">
        <v>158</v>
      </c>
      <c r="G904" s="296" t="s">
        <v>19</v>
      </c>
      <c r="H904" s="296" t="s">
        <v>20</v>
      </c>
      <c r="I904" s="296" t="s">
        <v>165</v>
      </c>
      <c r="J904" s="296" t="s">
        <v>928</v>
      </c>
      <c r="K904" s="296" t="s">
        <v>192</v>
      </c>
      <c r="L904" s="296">
        <v>38</v>
      </c>
      <c r="M904" s="296" t="s">
        <v>193</v>
      </c>
      <c r="N904" s="296">
        <v>1005</v>
      </c>
      <c r="O904" s="296">
        <v>1000</v>
      </c>
      <c r="P904" s="296">
        <v>2000</v>
      </c>
      <c r="Q904" s="296">
        <v>2</v>
      </c>
      <c r="R904" s="296">
        <v>1</v>
      </c>
      <c r="S904" s="296" t="s">
        <v>354</v>
      </c>
      <c r="T904" s="296" t="s">
        <v>3103</v>
      </c>
      <c r="U904" s="296" t="s">
        <v>3110</v>
      </c>
      <c r="V904" s="296" t="s">
        <v>355</v>
      </c>
      <c r="W904" s="296" t="s">
        <v>928</v>
      </c>
      <c r="X904" s="296" t="s">
        <v>928</v>
      </c>
      <c r="Y904" s="146"/>
    </row>
    <row r="905" spans="1:25" s="252" customFormat="1" ht="13.15" customHeight="1" x14ac:dyDescent="0.15">
      <c r="A905" s="296">
        <v>3770588</v>
      </c>
      <c r="B905" s="296" t="s">
        <v>351</v>
      </c>
      <c r="C905" s="296" t="s">
        <v>1801</v>
      </c>
      <c r="D905" s="296" t="s">
        <v>353</v>
      </c>
      <c r="E905" s="296" t="s">
        <v>116</v>
      </c>
      <c r="F905" s="296" t="s">
        <v>158</v>
      </c>
      <c r="G905" s="296" t="s">
        <v>19</v>
      </c>
      <c r="H905" s="296" t="s">
        <v>20</v>
      </c>
      <c r="I905" s="296" t="s">
        <v>165</v>
      </c>
      <c r="J905" s="296" t="s">
        <v>928</v>
      </c>
      <c r="K905" s="296" t="s">
        <v>192</v>
      </c>
      <c r="L905" s="296">
        <v>50</v>
      </c>
      <c r="M905" s="296" t="s">
        <v>193</v>
      </c>
      <c r="N905" s="296">
        <v>1005</v>
      </c>
      <c r="O905" s="296">
        <v>1000</v>
      </c>
      <c r="P905" s="296">
        <v>4000</v>
      </c>
      <c r="Q905" s="296">
        <v>2</v>
      </c>
      <c r="R905" s="296">
        <v>3</v>
      </c>
      <c r="S905" s="296" t="s">
        <v>354</v>
      </c>
      <c r="T905" s="296" t="s">
        <v>3103</v>
      </c>
      <c r="U905" s="296" t="s">
        <v>3110</v>
      </c>
      <c r="V905" s="296" t="s">
        <v>355</v>
      </c>
      <c r="W905" s="296" t="s">
        <v>928</v>
      </c>
      <c r="X905" s="296" t="s">
        <v>928</v>
      </c>
      <c r="Y905" s="146"/>
    </row>
    <row r="906" spans="1:25" s="252" customFormat="1" ht="13.15" customHeight="1" x14ac:dyDescent="0.15">
      <c r="A906" s="296">
        <v>3770589</v>
      </c>
      <c r="B906" s="296" t="s">
        <v>351</v>
      </c>
      <c r="C906" s="296" t="s">
        <v>1801</v>
      </c>
      <c r="D906" s="296" t="s">
        <v>353</v>
      </c>
      <c r="E906" s="296" t="s">
        <v>116</v>
      </c>
      <c r="F906" s="296" t="s">
        <v>158</v>
      </c>
      <c r="G906" s="296" t="s">
        <v>19</v>
      </c>
      <c r="H906" s="296" t="s">
        <v>20</v>
      </c>
      <c r="I906" s="296" t="s">
        <v>165</v>
      </c>
      <c r="J906" s="296" t="s">
        <v>928</v>
      </c>
      <c r="K906" s="296" t="s">
        <v>195</v>
      </c>
      <c r="L906" s="296">
        <v>50</v>
      </c>
      <c r="M906" s="296" t="s">
        <v>196</v>
      </c>
      <c r="N906" s="296">
        <v>1005</v>
      </c>
      <c r="O906" s="296">
        <v>1000</v>
      </c>
      <c r="P906" s="296">
        <v>4000</v>
      </c>
      <c r="Q906" s="296">
        <v>2</v>
      </c>
      <c r="R906" s="296">
        <v>3</v>
      </c>
      <c r="S906" s="296" t="s">
        <v>354</v>
      </c>
      <c r="T906" s="296" t="s">
        <v>3103</v>
      </c>
      <c r="U906" s="296" t="s">
        <v>3110</v>
      </c>
      <c r="V906" s="296" t="s">
        <v>355</v>
      </c>
      <c r="W906" s="296" t="s">
        <v>928</v>
      </c>
      <c r="X906" s="296" t="s">
        <v>928</v>
      </c>
      <c r="Y906" s="146"/>
    </row>
    <row r="907" spans="1:25" s="252" customFormat="1" ht="13.15" customHeight="1" x14ac:dyDescent="0.15">
      <c r="A907" s="296">
        <v>3770590</v>
      </c>
      <c r="B907" s="296" t="s">
        <v>351</v>
      </c>
      <c r="C907" s="296" t="s">
        <v>1801</v>
      </c>
      <c r="D907" s="296" t="s">
        <v>353</v>
      </c>
      <c r="E907" s="296" t="s">
        <v>116</v>
      </c>
      <c r="F907" s="296" t="s">
        <v>158</v>
      </c>
      <c r="G907" s="296" t="s">
        <v>19</v>
      </c>
      <c r="H907" s="296" t="s">
        <v>20</v>
      </c>
      <c r="I907" s="296" t="s">
        <v>165</v>
      </c>
      <c r="J907" s="296" t="s">
        <v>928</v>
      </c>
      <c r="K907" s="296" t="s">
        <v>197</v>
      </c>
      <c r="L907" s="296">
        <v>50</v>
      </c>
      <c r="M907" s="296" t="s">
        <v>198</v>
      </c>
      <c r="N907" s="296">
        <v>1005</v>
      </c>
      <c r="O907" s="296">
        <v>1000</v>
      </c>
      <c r="P907" s="296">
        <v>4100</v>
      </c>
      <c r="Q907" s="296">
        <v>2</v>
      </c>
      <c r="R907" s="296">
        <v>3</v>
      </c>
      <c r="S907" s="296" t="s">
        <v>354</v>
      </c>
      <c r="T907" s="296" t="s">
        <v>3103</v>
      </c>
      <c r="U907" s="296" t="s">
        <v>3110</v>
      </c>
      <c r="V907" s="296" t="s">
        <v>355</v>
      </c>
      <c r="W907" s="296" t="s">
        <v>928</v>
      </c>
      <c r="X907" s="296" t="s">
        <v>928</v>
      </c>
      <c r="Y907" s="146"/>
    </row>
    <row r="908" spans="1:25" s="252" customFormat="1" ht="13.15" customHeight="1" x14ac:dyDescent="0.15">
      <c r="A908" s="296">
        <v>3770593</v>
      </c>
      <c r="B908" s="296" t="s">
        <v>351</v>
      </c>
      <c r="C908" s="296" t="s">
        <v>1801</v>
      </c>
      <c r="D908" s="296" t="s">
        <v>353</v>
      </c>
      <c r="E908" s="296" t="s">
        <v>116</v>
      </c>
      <c r="F908" s="296">
        <v>3</v>
      </c>
      <c r="G908" s="296" t="s">
        <v>19</v>
      </c>
      <c r="H908" s="296" t="s">
        <v>20</v>
      </c>
      <c r="I908" s="296" t="s">
        <v>205</v>
      </c>
      <c r="J908" s="296" t="s">
        <v>928</v>
      </c>
      <c r="K908" s="296" t="s">
        <v>221</v>
      </c>
      <c r="L908" s="296">
        <v>25</v>
      </c>
      <c r="M908" s="296" t="s">
        <v>222</v>
      </c>
      <c r="N908" s="296">
        <v>1100</v>
      </c>
      <c r="O908" s="296">
        <v>1100</v>
      </c>
      <c r="P908" s="296">
        <v>6000</v>
      </c>
      <c r="Q908" s="296">
        <v>2</v>
      </c>
      <c r="R908" s="296">
        <v>12</v>
      </c>
      <c r="S908" s="296" t="s">
        <v>354</v>
      </c>
      <c r="T908" s="296" t="s">
        <v>3103</v>
      </c>
      <c r="U908" s="296" t="s">
        <v>3110</v>
      </c>
      <c r="V908" s="296" t="s">
        <v>355</v>
      </c>
      <c r="W908" s="296" t="s">
        <v>928</v>
      </c>
      <c r="X908" s="296" t="s">
        <v>928</v>
      </c>
      <c r="Y908" s="146"/>
    </row>
    <row r="909" spans="1:25" s="252" customFormat="1" ht="13.15" customHeight="1" x14ac:dyDescent="0.15">
      <c r="A909" s="296">
        <v>3770594</v>
      </c>
      <c r="B909" s="296" t="s">
        <v>423</v>
      </c>
      <c r="C909" s="296" t="s">
        <v>1801</v>
      </c>
      <c r="D909" s="296" t="s">
        <v>353</v>
      </c>
      <c r="E909" s="296" t="s">
        <v>116</v>
      </c>
      <c r="F909" s="296">
        <v>3</v>
      </c>
      <c r="G909" s="296" t="s">
        <v>265</v>
      </c>
      <c r="H909" s="296" t="s">
        <v>20</v>
      </c>
      <c r="I909" s="296" t="s">
        <v>165</v>
      </c>
      <c r="J909" s="296" t="s">
        <v>928</v>
      </c>
      <c r="K909" s="296" t="s">
        <v>176</v>
      </c>
      <c r="L909" s="296">
        <v>50</v>
      </c>
      <c r="M909" s="296" t="s">
        <v>177</v>
      </c>
      <c r="N909" s="296">
        <v>1005</v>
      </c>
      <c r="O909" s="296">
        <v>1000</v>
      </c>
      <c r="P909" s="296">
        <v>4100</v>
      </c>
      <c r="Q909" s="296">
        <v>2</v>
      </c>
      <c r="R909" s="296">
        <v>6</v>
      </c>
      <c r="S909" s="296" t="s">
        <v>354</v>
      </c>
      <c r="T909" s="296" t="s">
        <v>3103</v>
      </c>
      <c r="U909" s="296" t="s">
        <v>3110</v>
      </c>
      <c r="V909" s="296" t="s">
        <v>355</v>
      </c>
      <c r="W909" s="296" t="s">
        <v>928</v>
      </c>
      <c r="X909" s="296" t="s">
        <v>928</v>
      </c>
      <c r="Y909" s="146"/>
    </row>
    <row r="910" spans="1:25" s="252" customFormat="1" ht="13.15" customHeight="1" x14ac:dyDescent="0.15">
      <c r="A910" s="296">
        <v>3770595</v>
      </c>
      <c r="B910" s="296" t="s">
        <v>351</v>
      </c>
      <c r="C910" s="296" t="s">
        <v>1801</v>
      </c>
      <c r="D910" s="296" t="s">
        <v>353</v>
      </c>
      <c r="E910" s="296" t="s">
        <v>116</v>
      </c>
      <c r="F910" s="296">
        <v>3</v>
      </c>
      <c r="G910" s="296" t="s">
        <v>19</v>
      </c>
      <c r="H910" s="296" t="s">
        <v>20</v>
      </c>
      <c r="I910" s="296" t="s">
        <v>143</v>
      </c>
      <c r="J910" s="296" t="s">
        <v>928</v>
      </c>
      <c r="K910" s="296" t="s">
        <v>152</v>
      </c>
      <c r="L910" s="296">
        <v>38</v>
      </c>
      <c r="M910" s="296" t="s">
        <v>153</v>
      </c>
      <c r="N910" s="296">
        <v>1000</v>
      </c>
      <c r="O910" s="296">
        <v>1000</v>
      </c>
      <c r="P910" s="296">
        <v>4000</v>
      </c>
      <c r="Q910" s="296">
        <v>2</v>
      </c>
      <c r="R910" s="296">
        <v>2</v>
      </c>
      <c r="S910" s="296" t="s">
        <v>354</v>
      </c>
      <c r="T910" s="296" t="s">
        <v>3103</v>
      </c>
      <c r="U910" s="296" t="s">
        <v>3110</v>
      </c>
      <c r="V910" s="296" t="s">
        <v>355</v>
      </c>
      <c r="W910" s="296" t="s">
        <v>928</v>
      </c>
      <c r="X910" s="296" t="s">
        <v>928</v>
      </c>
      <c r="Y910" s="146"/>
    </row>
    <row r="911" spans="1:25" s="252" customFormat="1" ht="13.15" customHeight="1" x14ac:dyDescent="0.15">
      <c r="A911" s="296">
        <v>3771010</v>
      </c>
      <c r="B911" s="296" t="s">
        <v>351</v>
      </c>
      <c r="C911" s="296" t="s">
        <v>1801</v>
      </c>
      <c r="D911" s="296" t="s">
        <v>353</v>
      </c>
      <c r="E911" s="296" t="s">
        <v>116</v>
      </c>
      <c r="F911" s="296">
        <v>3</v>
      </c>
      <c r="G911" s="296" t="s">
        <v>19</v>
      </c>
      <c r="H911" s="296" t="s">
        <v>20</v>
      </c>
      <c r="I911" s="296" t="s">
        <v>165</v>
      </c>
      <c r="J911" s="296" t="s">
        <v>928</v>
      </c>
      <c r="K911" s="296" t="s">
        <v>185</v>
      </c>
      <c r="L911" s="296">
        <v>50</v>
      </c>
      <c r="M911" s="296" t="s">
        <v>186</v>
      </c>
      <c r="N911" s="296">
        <v>1000</v>
      </c>
      <c r="O911" s="296">
        <v>1000</v>
      </c>
      <c r="P911" s="296">
        <v>4100</v>
      </c>
      <c r="Q911" s="296">
        <v>2</v>
      </c>
      <c r="R911" s="296">
        <v>3</v>
      </c>
      <c r="S911" s="296" t="s">
        <v>354</v>
      </c>
      <c r="T911" s="296" t="s">
        <v>2931</v>
      </c>
      <c r="U911" s="296" t="s">
        <v>3106</v>
      </c>
      <c r="V911" s="296" t="s">
        <v>355</v>
      </c>
      <c r="W911" s="296" t="s">
        <v>928</v>
      </c>
      <c r="X911" s="296" t="s">
        <v>928</v>
      </c>
      <c r="Y911" s="146"/>
    </row>
    <row r="912" spans="1:25" s="252" customFormat="1" ht="13.15" customHeight="1" x14ac:dyDescent="0.15">
      <c r="A912" s="296">
        <v>3772590</v>
      </c>
      <c r="B912" s="296" t="s">
        <v>351</v>
      </c>
      <c r="C912" s="296" t="s">
        <v>1801</v>
      </c>
      <c r="D912" s="296" t="s">
        <v>353</v>
      </c>
      <c r="E912" s="296" t="s">
        <v>232</v>
      </c>
      <c r="F912" s="296">
        <v>3</v>
      </c>
      <c r="G912" s="296" t="s">
        <v>19</v>
      </c>
      <c r="H912" s="296" t="s">
        <v>20</v>
      </c>
      <c r="I912" s="296" t="s">
        <v>205</v>
      </c>
      <c r="J912" s="296" t="s">
        <v>928</v>
      </c>
      <c r="K912" s="296" t="s">
        <v>230</v>
      </c>
      <c r="L912" s="296">
        <v>25</v>
      </c>
      <c r="M912" s="296" t="s">
        <v>231</v>
      </c>
      <c r="N912" s="296">
        <v>1240</v>
      </c>
      <c r="O912" s="296">
        <v>1240</v>
      </c>
      <c r="P912" s="296">
        <v>2000</v>
      </c>
      <c r="Q912" s="296">
        <v>1</v>
      </c>
      <c r="R912" s="296">
        <v>6</v>
      </c>
      <c r="S912" s="296" t="s">
        <v>354</v>
      </c>
      <c r="T912" s="296" t="s">
        <v>3154</v>
      </c>
      <c r="U912" s="296" t="s">
        <v>3106</v>
      </c>
      <c r="V912" s="296" t="s">
        <v>355</v>
      </c>
      <c r="W912" s="296" t="s">
        <v>928</v>
      </c>
      <c r="X912" s="296" t="s">
        <v>928</v>
      </c>
      <c r="Y912" s="146"/>
    </row>
    <row r="913" spans="1:25" s="252" customFormat="1" ht="13.15" customHeight="1" x14ac:dyDescent="0.15">
      <c r="A913" s="296">
        <v>3773537</v>
      </c>
      <c r="B913" s="296" t="s">
        <v>423</v>
      </c>
      <c r="C913" s="296" t="s">
        <v>1801</v>
      </c>
      <c r="D913" s="296" t="s">
        <v>353</v>
      </c>
      <c r="E913" s="296" t="s">
        <v>116</v>
      </c>
      <c r="F913" s="296">
        <v>3</v>
      </c>
      <c r="G913" s="296" t="s">
        <v>265</v>
      </c>
      <c r="H913" s="296" t="s">
        <v>20</v>
      </c>
      <c r="I913" s="296" t="s">
        <v>165</v>
      </c>
      <c r="J913" s="296" t="s">
        <v>928</v>
      </c>
      <c r="K913" s="296" t="s">
        <v>319</v>
      </c>
      <c r="L913" s="296">
        <v>25</v>
      </c>
      <c r="M913" s="296" t="s">
        <v>320</v>
      </c>
      <c r="N913" s="296">
        <v>1000</v>
      </c>
      <c r="O913" s="296">
        <v>1000</v>
      </c>
      <c r="P913" s="296">
        <v>2000</v>
      </c>
      <c r="Q913" s="296">
        <v>2</v>
      </c>
      <c r="R913" s="296">
        <v>2</v>
      </c>
      <c r="S913" s="296" t="s">
        <v>354</v>
      </c>
      <c r="T913" s="296" t="s">
        <v>3155</v>
      </c>
      <c r="U913" s="296" t="s">
        <v>3156</v>
      </c>
      <c r="V913" s="296" t="s">
        <v>355</v>
      </c>
      <c r="W913" s="296" t="s">
        <v>928</v>
      </c>
      <c r="X913" s="296" t="s">
        <v>928</v>
      </c>
      <c r="Y913" s="146"/>
    </row>
    <row r="914" spans="1:25" s="252" customFormat="1" ht="13.15" customHeight="1" x14ac:dyDescent="0.15">
      <c r="A914" s="296">
        <v>3773538</v>
      </c>
      <c r="B914" s="296" t="s">
        <v>423</v>
      </c>
      <c r="C914" s="296" t="s">
        <v>1801</v>
      </c>
      <c r="D914" s="296" t="s">
        <v>353</v>
      </c>
      <c r="E914" s="296" t="s">
        <v>116</v>
      </c>
      <c r="F914" s="296">
        <v>3</v>
      </c>
      <c r="G914" s="296" t="s">
        <v>265</v>
      </c>
      <c r="H914" s="296" t="s">
        <v>20</v>
      </c>
      <c r="I914" s="296" t="s">
        <v>165</v>
      </c>
      <c r="J914" s="296" t="s">
        <v>928</v>
      </c>
      <c r="K914" s="296" t="s">
        <v>319</v>
      </c>
      <c r="L914" s="296">
        <v>50</v>
      </c>
      <c r="M914" s="296" t="s">
        <v>483</v>
      </c>
      <c r="N914" s="296">
        <v>1000</v>
      </c>
      <c r="O914" s="296">
        <v>1000</v>
      </c>
      <c r="P914" s="296">
        <v>2000</v>
      </c>
      <c r="Q914" s="296">
        <v>2</v>
      </c>
      <c r="R914" s="296">
        <v>2</v>
      </c>
      <c r="S914" s="296" t="s">
        <v>354</v>
      </c>
      <c r="T914" s="296" t="s">
        <v>3155</v>
      </c>
      <c r="U914" s="296" t="s">
        <v>3156</v>
      </c>
      <c r="V914" s="296" t="s">
        <v>355</v>
      </c>
      <c r="W914" s="296" t="s">
        <v>928</v>
      </c>
      <c r="X914" s="296" t="s">
        <v>928</v>
      </c>
      <c r="Y914" s="146"/>
    </row>
    <row r="915" spans="1:25" s="252" customFormat="1" ht="13.15" customHeight="1" x14ac:dyDescent="0.15">
      <c r="A915" s="296">
        <v>3774181</v>
      </c>
      <c r="B915" s="296" t="s">
        <v>351</v>
      </c>
      <c r="C915" s="296" t="s">
        <v>1801</v>
      </c>
      <c r="D915" s="296" t="s">
        <v>353</v>
      </c>
      <c r="E915" s="296" t="s">
        <v>116</v>
      </c>
      <c r="F915" s="296">
        <v>3</v>
      </c>
      <c r="G915" s="296" t="s">
        <v>19</v>
      </c>
      <c r="H915" s="296" t="s">
        <v>20</v>
      </c>
      <c r="I915" s="296" t="s">
        <v>205</v>
      </c>
      <c r="J915" s="296" t="s">
        <v>928</v>
      </c>
      <c r="K915" s="296" t="s">
        <v>216</v>
      </c>
      <c r="L915" s="296">
        <v>25</v>
      </c>
      <c r="M915" s="296" t="s">
        <v>217</v>
      </c>
      <c r="N915" s="296">
        <v>1125</v>
      </c>
      <c r="O915" s="296">
        <v>1120</v>
      </c>
      <c r="P915" s="296">
        <v>4000</v>
      </c>
      <c r="Q915" s="296">
        <v>2</v>
      </c>
      <c r="R915" s="296">
        <v>3</v>
      </c>
      <c r="S915" s="296" t="s">
        <v>354</v>
      </c>
      <c r="T915" s="296" t="s">
        <v>3163</v>
      </c>
      <c r="U915" s="296" t="s">
        <v>3112</v>
      </c>
      <c r="V915" s="296" t="s">
        <v>355</v>
      </c>
      <c r="W915" s="296" t="s">
        <v>928</v>
      </c>
      <c r="X915" s="296" t="s">
        <v>928</v>
      </c>
      <c r="Y915" s="146"/>
    </row>
    <row r="916" spans="1:25" s="252" customFormat="1" ht="13.15" customHeight="1" x14ac:dyDescent="0.15">
      <c r="A916" s="296">
        <v>3776274</v>
      </c>
      <c r="B916" s="296" t="s">
        <v>351</v>
      </c>
      <c r="C916" s="296" t="s">
        <v>1801</v>
      </c>
      <c r="D916" s="296" t="s">
        <v>353</v>
      </c>
      <c r="E916" s="296" t="s">
        <v>116</v>
      </c>
      <c r="F916" s="296">
        <v>3</v>
      </c>
      <c r="G916" s="296" t="s">
        <v>19</v>
      </c>
      <c r="H916" s="296" t="s">
        <v>20</v>
      </c>
      <c r="I916" s="296" t="s">
        <v>205</v>
      </c>
      <c r="J916" s="296" t="s">
        <v>928</v>
      </c>
      <c r="K916" s="296" t="s">
        <v>216</v>
      </c>
      <c r="L916" s="296">
        <v>25</v>
      </c>
      <c r="M916" s="296" t="s">
        <v>217</v>
      </c>
      <c r="N916" s="296">
        <v>1005</v>
      </c>
      <c r="O916" s="296">
        <v>1000</v>
      </c>
      <c r="P916" s="296">
        <v>4000</v>
      </c>
      <c r="Q916" s="296">
        <v>2</v>
      </c>
      <c r="R916" s="296">
        <v>3</v>
      </c>
      <c r="S916" s="296" t="s">
        <v>354</v>
      </c>
      <c r="T916" s="296" t="s">
        <v>3171</v>
      </c>
      <c r="U916" s="296" t="s">
        <v>3112</v>
      </c>
      <c r="V916" s="296" t="s">
        <v>355</v>
      </c>
      <c r="W916" s="296" t="s">
        <v>928</v>
      </c>
      <c r="X916" s="296" t="s">
        <v>928</v>
      </c>
      <c r="Y916" s="146"/>
    </row>
    <row r="917" spans="1:25" s="252" customFormat="1" ht="13.15" customHeight="1" x14ac:dyDescent="0.15">
      <c r="A917" s="296">
        <v>3778916</v>
      </c>
      <c r="B917" s="296" t="s">
        <v>351</v>
      </c>
      <c r="C917" s="296" t="s">
        <v>1801</v>
      </c>
      <c r="D917" s="296" t="s">
        <v>353</v>
      </c>
      <c r="E917" s="296" t="s">
        <v>247</v>
      </c>
      <c r="F917" s="296">
        <v>3</v>
      </c>
      <c r="G917" s="296" t="s">
        <v>19</v>
      </c>
      <c r="H917" s="296" t="s">
        <v>20</v>
      </c>
      <c r="I917" s="296" t="s">
        <v>143</v>
      </c>
      <c r="J917" s="296" t="s">
        <v>928</v>
      </c>
      <c r="K917" s="296" t="s">
        <v>149</v>
      </c>
      <c r="L917" s="296">
        <v>38</v>
      </c>
      <c r="M917" s="296" t="s">
        <v>150</v>
      </c>
      <c r="N917" s="296">
        <v>1120</v>
      </c>
      <c r="O917" s="296">
        <v>1120</v>
      </c>
      <c r="P917" s="296">
        <v>4000</v>
      </c>
      <c r="Q917" s="296">
        <v>2</v>
      </c>
      <c r="R917" s="296">
        <v>2</v>
      </c>
      <c r="S917" s="296" t="s">
        <v>354</v>
      </c>
      <c r="T917" s="296" t="s">
        <v>3182</v>
      </c>
      <c r="U917" s="296" t="s">
        <v>3184</v>
      </c>
      <c r="V917" s="296" t="s">
        <v>355</v>
      </c>
      <c r="W917" s="417"/>
      <c r="X917" s="417"/>
      <c r="Y917" s="146"/>
    </row>
    <row r="918" spans="1:25" s="252" customFormat="1" ht="13.15" customHeight="1" x14ac:dyDescent="0.15">
      <c r="A918" s="296">
        <v>3778917</v>
      </c>
      <c r="B918" s="296" t="s">
        <v>423</v>
      </c>
      <c r="C918" s="296" t="s">
        <v>1801</v>
      </c>
      <c r="D918" s="296" t="s">
        <v>353</v>
      </c>
      <c r="E918" s="296" t="s">
        <v>316</v>
      </c>
      <c r="F918" s="296">
        <v>3</v>
      </c>
      <c r="G918" s="296" t="s">
        <v>265</v>
      </c>
      <c r="H918" s="296" t="s">
        <v>20</v>
      </c>
      <c r="I918" s="296" t="s">
        <v>312</v>
      </c>
      <c r="J918" s="296" t="s">
        <v>928</v>
      </c>
      <c r="K918" s="296" t="s">
        <v>317</v>
      </c>
      <c r="L918" s="296">
        <v>50</v>
      </c>
      <c r="M918" s="296" t="s">
        <v>318</v>
      </c>
      <c r="N918" s="296">
        <v>680</v>
      </c>
      <c r="O918" s="296">
        <v>680</v>
      </c>
      <c r="P918" s="296">
        <v>2000</v>
      </c>
      <c r="Q918" s="296">
        <v>2</v>
      </c>
      <c r="R918" s="296">
        <v>8</v>
      </c>
      <c r="S918" s="296" t="s">
        <v>354</v>
      </c>
      <c r="T918" s="296" t="s">
        <v>3182</v>
      </c>
      <c r="U918" s="296" t="s">
        <v>3184</v>
      </c>
      <c r="V918" s="296" t="s">
        <v>355</v>
      </c>
      <c r="W918" s="417"/>
      <c r="X918" s="417"/>
      <c r="Y918" s="146"/>
    </row>
    <row r="919" spans="1:25" s="252" customFormat="1" ht="13.15" customHeight="1" x14ac:dyDescent="0.15">
      <c r="A919" s="296">
        <v>3778922</v>
      </c>
      <c r="B919" s="296" t="s">
        <v>2831</v>
      </c>
      <c r="C919" s="296" t="s">
        <v>1803</v>
      </c>
      <c r="D919" s="296" t="s">
        <v>353</v>
      </c>
      <c r="E919" s="296" t="s">
        <v>61</v>
      </c>
      <c r="F919" s="296">
        <v>3</v>
      </c>
      <c r="G919" s="296" t="s">
        <v>265</v>
      </c>
      <c r="H919" s="296" t="s">
        <v>28</v>
      </c>
      <c r="I919" s="296" t="s">
        <v>1078</v>
      </c>
      <c r="J919" s="296" t="s">
        <v>928</v>
      </c>
      <c r="K919" s="296" t="s">
        <v>2832</v>
      </c>
      <c r="L919" s="296">
        <v>25</v>
      </c>
      <c r="M919" s="296" t="s">
        <v>2833</v>
      </c>
      <c r="N919" s="296">
        <v>1050</v>
      </c>
      <c r="O919" s="296">
        <v>1050</v>
      </c>
      <c r="P919" s="296">
        <v>6000</v>
      </c>
      <c r="Q919" s="296">
        <v>2</v>
      </c>
      <c r="R919" s="296">
        <v>12</v>
      </c>
      <c r="S919" s="296" t="s">
        <v>354</v>
      </c>
      <c r="T919" s="296" t="s">
        <v>3182</v>
      </c>
      <c r="U919" s="296" t="s">
        <v>3184</v>
      </c>
      <c r="V919" s="296" t="s">
        <v>355</v>
      </c>
      <c r="W919" s="417"/>
      <c r="X919" s="417"/>
      <c r="Y919" s="146"/>
    </row>
    <row r="920" spans="1:25" s="252" customFormat="1" ht="13.15" customHeight="1" x14ac:dyDescent="0.15">
      <c r="A920" s="296">
        <v>3778923</v>
      </c>
      <c r="B920" s="296" t="s">
        <v>351</v>
      </c>
      <c r="C920" s="296" t="s">
        <v>1803</v>
      </c>
      <c r="D920" s="296" t="s">
        <v>353</v>
      </c>
      <c r="E920" s="296" t="s">
        <v>61</v>
      </c>
      <c r="F920" s="296">
        <v>3</v>
      </c>
      <c r="G920" s="296" t="s">
        <v>19</v>
      </c>
      <c r="H920" s="296" t="s">
        <v>20</v>
      </c>
      <c r="I920" s="296" t="s">
        <v>205</v>
      </c>
      <c r="J920" s="296" t="s">
        <v>928</v>
      </c>
      <c r="K920" s="296" t="s">
        <v>242</v>
      </c>
      <c r="L920" s="296">
        <v>50</v>
      </c>
      <c r="M920" s="296" t="s">
        <v>243</v>
      </c>
      <c r="N920" s="296">
        <v>1255</v>
      </c>
      <c r="O920" s="296">
        <v>1250</v>
      </c>
      <c r="P920" s="296">
        <v>2000</v>
      </c>
      <c r="Q920" s="296">
        <v>2</v>
      </c>
      <c r="R920" s="296">
        <v>12</v>
      </c>
      <c r="S920" s="296" t="s">
        <v>354</v>
      </c>
      <c r="T920" s="296" t="s">
        <v>3182</v>
      </c>
      <c r="U920" s="296" t="s">
        <v>3184</v>
      </c>
      <c r="V920" s="296" t="s">
        <v>355</v>
      </c>
      <c r="W920" s="417"/>
      <c r="X920" s="417"/>
      <c r="Y920" s="146"/>
    </row>
    <row r="921" spans="1:25" s="252" customFormat="1" ht="13.15" customHeight="1" x14ac:dyDescent="0.15">
      <c r="A921" s="296">
        <v>3778924</v>
      </c>
      <c r="B921" s="296" t="s">
        <v>351</v>
      </c>
      <c r="C921" s="296" t="s">
        <v>1801</v>
      </c>
      <c r="D921" s="296" t="s">
        <v>353</v>
      </c>
      <c r="E921" s="296" t="s">
        <v>116</v>
      </c>
      <c r="F921" s="296">
        <v>3</v>
      </c>
      <c r="G921" s="296" t="s">
        <v>19</v>
      </c>
      <c r="H921" s="296" t="s">
        <v>20</v>
      </c>
      <c r="I921" s="296" t="s">
        <v>205</v>
      </c>
      <c r="J921" s="296" t="s">
        <v>928</v>
      </c>
      <c r="K921" s="296" t="s">
        <v>212</v>
      </c>
      <c r="L921" s="296">
        <v>25</v>
      </c>
      <c r="M921" s="296" t="s">
        <v>213</v>
      </c>
      <c r="N921" s="296">
        <v>1000</v>
      </c>
      <c r="O921" s="296">
        <v>1000</v>
      </c>
      <c r="P921" s="296">
        <v>4000</v>
      </c>
      <c r="Q921" s="296">
        <v>2</v>
      </c>
      <c r="R921" s="296">
        <v>3</v>
      </c>
      <c r="S921" s="296" t="s">
        <v>354</v>
      </c>
      <c r="T921" s="296" t="s">
        <v>3182</v>
      </c>
      <c r="U921" s="296" t="s">
        <v>3185</v>
      </c>
      <c r="V921" s="296" t="s">
        <v>355</v>
      </c>
      <c r="W921" s="417"/>
      <c r="X921" s="417"/>
      <c r="Y921" s="146"/>
    </row>
    <row r="922" spans="1:25" s="252" customFormat="1" ht="13.15" customHeight="1" x14ac:dyDescent="0.15">
      <c r="A922" s="296">
        <v>3778925</v>
      </c>
      <c r="B922" s="296" t="s">
        <v>351</v>
      </c>
      <c r="C922" s="296" t="s">
        <v>1801</v>
      </c>
      <c r="D922" s="296" t="s">
        <v>353</v>
      </c>
      <c r="E922" s="296" t="s">
        <v>116</v>
      </c>
      <c r="F922" s="296">
        <v>3</v>
      </c>
      <c r="G922" s="296" t="s">
        <v>19</v>
      </c>
      <c r="H922" s="296" t="s">
        <v>20</v>
      </c>
      <c r="I922" s="296" t="s">
        <v>205</v>
      </c>
      <c r="J922" s="296" t="s">
        <v>928</v>
      </c>
      <c r="K922" s="296" t="s">
        <v>212</v>
      </c>
      <c r="L922" s="296">
        <v>25</v>
      </c>
      <c r="M922" s="296" t="s">
        <v>213</v>
      </c>
      <c r="N922" s="296">
        <v>1120</v>
      </c>
      <c r="O922" s="296">
        <v>1120</v>
      </c>
      <c r="P922" s="296">
        <v>4000</v>
      </c>
      <c r="Q922" s="296">
        <v>2</v>
      </c>
      <c r="R922" s="296">
        <v>5</v>
      </c>
      <c r="S922" s="296" t="s">
        <v>354</v>
      </c>
      <c r="T922" s="296" t="s">
        <v>3182</v>
      </c>
      <c r="U922" s="296" t="s">
        <v>3183</v>
      </c>
      <c r="V922" s="296" t="s">
        <v>355</v>
      </c>
      <c r="W922" s="417"/>
      <c r="X922" s="417"/>
      <c r="Y922" s="146"/>
    </row>
    <row r="923" spans="1:25" s="252" customFormat="1" ht="13.15" customHeight="1" x14ac:dyDescent="0.15">
      <c r="A923" s="296">
        <v>3778926</v>
      </c>
      <c r="B923" s="296" t="s">
        <v>351</v>
      </c>
      <c r="C923" s="296" t="s">
        <v>1801</v>
      </c>
      <c r="D923" s="296" t="s">
        <v>353</v>
      </c>
      <c r="E923" s="296" t="s">
        <v>116</v>
      </c>
      <c r="F923" s="296">
        <v>3</v>
      </c>
      <c r="G923" s="296" t="s">
        <v>19</v>
      </c>
      <c r="H923" s="296" t="s">
        <v>20</v>
      </c>
      <c r="I923" s="296" t="s">
        <v>205</v>
      </c>
      <c r="J923" s="296" t="s">
        <v>928</v>
      </c>
      <c r="K923" s="296" t="s">
        <v>212</v>
      </c>
      <c r="L923" s="296">
        <v>50</v>
      </c>
      <c r="M923" s="296" t="s">
        <v>213</v>
      </c>
      <c r="N923" s="296">
        <v>1120</v>
      </c>
      <c r="O923" s="296">
        <v>1120</v>
      </c>
      <c r="P923" s="296">
        <v>4000</v>
      </c>
      <c r="Q923" s="296">
        <v>2</v>
      </c>
      <c r="R923" s="296">
        <v>9</v>
      </c>
      <c r="S923" s="296" t="s">
        <v>354</v>
      </c>
      <c r="T923" s="296" t="s">
        <v>3182</v>
      </c>
      <c r="U923" s="296" t="s">
        <v>3191</v>
      </c>
      <c r="V923" s="296" t="s">
        <v>355</v>
      </c>
      <c r="W923" s="417"/>
      <c r="X923" s="417"/>
      <c r="Y923" s="146"/>
    </row>
    <row r="924" spans="1:25" s="252" customFormat="1" ht="13.15" customHeight="1" x14ac:dyDescent="0.15">
      <c r="A924" s="296">
        <v>3778927</v>
      </c>
      <c r="B924" s="296" t="s">
        <v>351</v>
      </c>
      <c r="C924" s="296" t="s">
        <v>1801</v>
      </c>
      <c r="D924" s="296" t="s">
        <v>353</v>
      </c>
      <c r="E924" s="296" t="s">
        <v>116</v>
      </c>
      <c r="F924" s="296">
        <v>3</v>
      </c>
      <c r="G924" s="296" t="s">
        <v>19</v>
      </c>
      <c r="H924" s="296" t="s">
        <v>20</v>
      </c>
      <c r="I924" s="296" t="s">
        <v>205</v>
      </c>
      <c r="J924" s="296" t="s">
        <v>928</v>
      </c>
      <c r="K924" s="296" t="s">
        <v>212</v>
      </c>
      <c r="L924" s="296">
        <v>50</v>
      </c>
      <c r="M924" s="296" t="s">
        <v>213</v>
      </c>
      <c r="N924" s="296">
        <v>1120</v>
      </c>
      <c r="O924" s="296">
        <v>1120</v>
      </c>
      <c r="P924" s="296">
        <v>4000</v>
      </c>
      <c r="Q924" s="296">
        <v>2</v>
      </c>
      <c r="R924" s="296">
        <v>12</v>
      </c>
      <c r="S924" s="296" t="s">
        <v>354</v>
      </c>
      <c r="T924" s="296" t="s">
        <v>3182</v>
      </c>
      <c r="U924" s="296" t="s">
        <v>3191</v>
      </c>
      <c r="V924" s="296" t="s">
        <v>355</v>
      </c>
      <c r="W924" s="417"/>
      <c r="X924" s="417"/>
      <c r="Y924" s="146"/>
    </row>
    <row r="925" spans="1:25" s="252" customFormat="1" ht="13.15" customHeight="1" x14ac:dyDescent="0.15">
      <c r="A925" s="296">
        <v>3778928</v>
      </c>
      <c r="B925" s="296" t="s">
        <v>351</v>
      </c>
      <c r="C925" s="296" t="s">
        <v>1801</v>
      </c>
      <c r="D925" s="296" t="s">
        <v>353</v>
      </c>
      <c r="E925" s="296" t="s">
        <v>116</v>
      </c>
      <c r="F925" s="296">
        <v>3</v>
      </c>
      <c r="G925" s="296" t="s">
        <v>19</v>
      </c>
      <c r="H925" s="296" t="s">
        <v>20</v>
      </c>
      <c r="I925" s="296" t="s">
        <v>205</v>
      </c>
      <c r="J925" s="296" t="s">
        <v>928</v>
      </c>
      <c r="K925" s="296" t="s">
        <v>211</v>
      </c>
      <c r="L925" s="296">
        <v>38</v>
      </c>
      <c r="M925" s="296" t="s">
        <v>370</v>
      </c>
      <c r="N925" s="296">
        <v>1005</v>
      </c>
      <c r="O925" s="296">
        <v>1000</v>
      </c>
      <c r="P925" s="296">
        <v>4100</v>
      </c>
      <c r="Q925" s="296">
        <v>2</v>
      </c>
      <c r="R925" s="296">
        <v>2</v>
      </c>
      <c r="S925" s="296" t="s">
        <v>354</v>
      </c>
      <c r="T925" s="296" t="s">
        <v>3182</v>
      </c>
      <c r="U925" s="296" t="s">
        <v>3191</v>
      </c>
      <c r="V925" s="296" t="s">
        <v>355</v>
      </c>
      <c r="W925" s="417"/>
      <c r="X925" s="417"/>
      <c r="Y925" s="146"/>
    </row>
    <row r="926" spans="1:25" s="252" customFormat="1" ht="13.15" customHeight="1" x14ac:dyDescent="0.15">
      <c r="A926" s="296">
        <v>3778929</v>
      </c>
      <c r="B926" s="296" t="s">
        <v>351</v>
      </c>
      <c r="C926" s="296" t="s">
        <v>1801</v>
      </c>
      <c r="D926" s="296" t="s">
        <v>353</v>
      </c>
      <c r="E926" s="296" t="s">
        <v>116</v>
      </c>
      <c r="F926" s="296">
        <v>3</v>
      </c>
      <c r="G926" s="296" t="s">
        <v>19</v>
      </c>
      <c r="H926" s="296" t="s">
        <v>20</v>
      </c>
      <c r="I926" s="296" t="s">
        <v>205</v>
      </c>
      <c r="J926" s="296" t="s">
        <v>928</v>
      </c>
      <c r="K926" s="296" t="s">
        <v>211</v>
      </c>
      <c r="L926" s="296">
        <v>50</v>
      </c>
      <c r="M926" s="296" t="s">
        <v>370</v>
      </c>
      <c r="N926" s="296">
        <v>1050</v>
      </c>
      <c r="O926" s="296">
        <v>1050</v>
      </c>
      <c r="P926" s="296">
        <v>4100</v>
      </c>
      <c r="Q926" s="296">
        <v>2</v>
      </c>
      <c r="R926" s="296">
        <v>3</v>
      </c>
      <c r="S926" s="296" t="s">
        <v>354</v>
      </c>
      <c r="T926" s="296" t="s">
        <v>3182</v>
      </c>
      <c r="U926" s="296" t="s">
        <v>3191</v>
      </c>
      <c r="V926" s="296" t="s">
        <v>355</v>
      </c>
      <c r="W926" s="417"/>
      <c r="X926" s="417"/>
      <c r="Y926" s="146"/>
    </row>
    <row r="927" spans="1:25" s="252" customFormat="1" ht="13.15" customHeight="1" x14ac:dyDescent="0.15">
      <c r="A927" s="296">
        <v>3778930</v>
      </c>
      <c r="B927" s="296" t="s">
        <v>351</v>
      </c>
      <c r="C927" s="296" t="s">
        <v>1801</v>
      </c>
      <c r="D927" s="296" t="s">
        <v>353</v>
      </c>
      <c r="E927" s="296" t="s">
        <v>116</v>
      </c>
      <c r="F927" s="296">
        <v>3</v>
      </c>
      <c r="G927" s="296" t="s">
        <v>19</v>
      </c>
      <c r="H927" s="296" t="s">
        <v>20</v>
      </c>
      <c r="I927" s="296" t="s">
        <v>165</v>
      </c>
      <c r="J927" s="296" t="s">
        <v>928</v>
      </c>
      <c r="K927" s="296" t="s">
        <v>185</v>
      </c>
      <c r="L927" s="296">
        <v>50</v>
      </c>
      <c r="M927" s="296" t="s">
        <v>186</v>
      </c>
      <c r="N927" s="296">
        <v>1005</v>
      </c>
      <c r="O927" s="296">
        <v>1000</v>
      </c>
      <c r="P927" s="296">
        <v>4000</v>
      </c>
      <c r="Q927" s="296">
        <v>2</v>
      </c>
      <c r="R927" s="296">
        <v>2</v>
      </c>
      <c r="S927" s="296" t="s">
        <v>354</v>
      </c>
      <c r="T927" s="296" t="s">
        <v>3182</v>
      </c>
      <c r="U927" s="296" t="s">
        <v>3183</v>
      </c>
      <c r="V927" s="296" t="s">
        <v>355</v>
      </c>
      <c r="W927" s="417"/>
      <c r="X927" s="417"/>
      <c r="Y927" s="146"/>
    </row>
    <row r="928" spans="1:25" s="252" customFormat="1" ht="13.15" customHeight="1" x14ac:dyDescent="0.15">
      <c r="A928" s="296">
        <v>3778931</v>
      </c>
      <c r="B928" s="296" t="s">
        <v>351</v>
      </c>
      <c r="C928" s="296" t="s">
        <v>1801</v>
      </c>
      <c r="D928" s="296" t="s">
        <v>353</v>
      </c>
      <c r="E928" s="296" t="s">
        <v>116</v>
      </c>
      <c r="F928" s="296">
        <v>3</v>
      </c>
      <c r="G928" s="296" t="s">
        <v>19</v>
      </c>
      <c r="H928" s="296" t="s">
        <v>20</v>
      </c>
      <c r="I928" s="296" t="s">
        <v>165</v>
      </c>
      <c r="J928" s="296" t="s">
        <v>928</v>
      </c>
      <c r="K928" s="296" t="s">
        <v>245</v>
      </c>
      <c r="L928" s="296">
        <v>16</v>
      </c>
      <c r="M928" s="296" t="s">
        <v>366</v>
      </c>
      <c r="N928" s="296">
        <v>1000</v>
      </c>
      <c r="O928" s="296">
        <v>1000</v>
      </c>
      <c r="P928" s="296">
        <v>3200</v>
      </c>
      <c r="Q928" s="296">
        <v>2</v>
      </c>
      <c r="R928" s="296">
        <v>1</v>
      </c>
      <c r="S928" s="296" t="s">
        <v>354</v>
      </c>
      <c r="T928" s="296" t="s">
        <v>3182</v>
      </c>
      <c r="U928" s="296" t="s">
        <v>3191</v>
      </c>
      <c r="V928" s="296" t="s">
        <v>355</v>
      </c>
      <c r="W928" s="417"/>
      <c r="X928" s="417"/>
      <c r="Y928" s="146"/>
    </row>
    <row r="929" spans="1:25" s="252" customFormat="1" ht="13.15" customHeight="1" x14ac:dyDescent="0.15">
      <c r="A929" s="296">
        <v>3778932</v>
      </c>
      <c r="B929" s="296" t="s">
        <v>351</v>
      </c>
      <c r="C929" s="296" t="s">
        <v>1801</v>
      </c>
      <c r="D929" s="296" t="s">
        <v>353</v>
      </c>
      <c r="E929" s="296" t="s">
        <v>116</v>
      </c>
      <c r="F929" s="296">
        <v>3</v>
      </c>
      <c r="G929" s="296" t="s">
        <v>19</v>
      </c>
      <c r="H929" s="296" t="s">
        <v>20</v>
      </c>
      <c r="I929" s="296" t="s">
        <v>205</v>
      </c>
      <c r="J929" s="296" t="s">
        <v>928</v>
      </c>
      <c r="K929" s="296" t="s">
        <v>216</v>
      </c>
      <c r="L929" s="296">
        <v>25</v>
      </c>
      <c r="M929" s="296" t="s">
        <v>217</v>
      </c>
      <c r="N929" s="296">
        <v>1005</v>
      </c>
      <c r="O929" s="296">
        <v>1000</v>
      </c>
      <c r="P929" s="296">
        <v>4000</v>
      </c>
      <c r="Q929" s="296">
        <v>2</v>
      </c>
      <c r="R929" s="296">
        <v>21</v>
      </c>
      <c r="S929" s="296" t="s">
        <v>354</v>
      </c>
      <c r="T929" s="296" t="s">
        <v>3182</v>
      </c>
      <c r="U929" s="296" t="s">
        <v>3192</v>
      </c>
      <c r="V929" s="296" t="s">
        <v>355</v>
      </c>
      <c r="W929" s="417"/>
      <c r="X929" s="417"/>
      <c r="Y929" s="146"/>
    </row>
    <row r="930" spans="1:25" s="252" customFormat="1" ht="13.15" customHeight="1" x14ac:dyDescent="0.15">
      <c r="A930" s="296">
        <v>3778933</v>
      </c>
      <c r="B930" s="296" t="s">
        <v>351</v>
      </c>
      <c r="C930" s="296" t="s">
        <v>1801</v>
      </c>
      <c r="D930" s="296" t="s">
        <v>353</v>
      </c>
      <c r="E930" s="296" t="s">
        <v>116</v>
      </c>
      <c r="F930" s="296">
        <v>3</v>
      </c>
      <c r="G930" s="296" t="s">
        <v>19</v>
      </c>
      <c r="H930" s="296" t="s">
        <v>20</v>
      </c>
      <c r="I930" s="296" t="s">
        <v>205</v>
      </c>
      <c r="J930" s="296" t="s">
        <v>928</v>
      </c>
      <c r="K930" s="296" t="s">
        <v>216</v>
      </c>
      <c r="L930" s="296">
        <v>25</v>
      </c>
      <c r="M930" s="296" t="s">
        <v>217</v>
      </c>
      <c r="N930" s="296">
        <v>1125</v>
      </c>
      <c r="O930" s="296">
        <v>1120</v>
      </c>
      <c r="P930" s="296">
        <v>4000</v>
      </c>
      <c r="Q930" s="296">
        <v>2</v>
      </c>
      <c r="R930" s="296">
        <v>3</v>
      </c>
      <c r="S930" s="296" t="s">
        <v>354</v>
      </c>
      <c r="T930" s="296" t="s">
        <v>3182</v>
      </c>
      <c r="U930" s="296" t="s">
        <v>3193</v>
      </c>
      <c r="V930" s="296" t="s">
        <v>355</v>
      </c>
      <c r="W930" s="417"/>
      <c r="X930" s="417"/>
      <c r="Y930" s="146"/>
    </row>
    <row r="931" spans="1:25" s="252" customFormat="1" ht="13.15" customHeight="1" x14ac:dyDescent="0.15">
      <c r="A931" s="296">
        <v>3778934</v>
      </c>
      <c r="B931" s="296" t="s">
        <v>351</v>
      </c>
      <c r="C931" s="296" t="s">
        <v>1801</v>
      </c>
      <c r="D931" s="296" t="s">
        <v>353</v>
      </c>
      <c r="E931" s="296" t="s">
        <v>116</v>
      </c>
      <c r="F931" s="296">
        <v>3</v>
      </c>
      <c r="G931" s="296" t="s">
        <v>19</v>
      </c>
      <c r="H931" s="296" t="s">
        <v>20</v>
      </c>
      <c r="I931" s="296" t="s">
        <v>205</v>
      </c>
      <c r="J931" s="296" t="s">
        <v>928</v>
      </c>
      <c r="K931" s="296" t="s">
        <v>216</v>
      </c>
      <c r="L931" s="296">
        <v>25</v>
      </c>
      <c r="M931" s="296" t="s">
        <v>217</v>
      </c>
      <c r="N931" s="296">
        <v>1125</v>
      </c>
      <c r="O931" s="296">
        <v>1120</v>
      </c>
      <c r="P931" s="296">
        <v>4000</v>
      </c>
      <c r="Q931" s="296">
        <v>2</v>
      </c>
      <c r="R931" s="296">
        <v>3</v>
      </c>
      <c r="S931" s="296" t="s">
        <v>354</v>
      </c>
      <c r="T931" s="296" t="s">
        <v>3182</v>
      </c>
      <c r="U931" s="296" t="s">
        <v>3193</v>
      </c>
      <c r="V931" s="296" t="s">
        <v>355</v>
      </c>
      <c r="W931" s="417"/>
      <c r="X931" s="417"/>
      <c r="Y931" s="146"/>
    </row>
    <row r="932" spans="1:25" s="252" customFormat="1" ht="13.15" customHeight="1" x14ac:dyDescent="0.15">
      <c r="A932" s="296">
        <v>3778935</v>
      </c>
      <c r="B932" s="296" t="s">
        <v>351</v>
      </c>
      <c r="C932" s="296" t="s">
        <v>1801</v>
      </c>
      <c r="D932" s="296" t="s">
        <v>353</v>
      </c>
      <c r="E932" s="296" t="s">
        <v>116</v>
      </c>
      <c r="F932" s="296">
        <v>3</v>
      </c>
      <c r="G932" s="296" t="s">
        <v>19</v>
      </c>
      <c r="H932" s="296" t="s">
        <v>20</v>
      </c>
      <c r="I932" s="296" t="s">
        <v>205</v>
      </c>
      <c r="J932" s="296" t="s">
        <v>928</v>
      </c>
      <c r="K932" s="296" t="s">
        <v>216</v>
      </c>
      <c r="L932" s="296">
        <v>50</v>
      </c>
      <c r="M932" s="296" t="s">
        <v>217</v>
      </c>
      <c r="N932" s="296">
        <v>1120</v>
      </c>
      <c r="O932" s="296">
        <v>1120</v>
      </c>
      <c r="P932" s="296">
        <v>5000</v>
      </c>
      <c r="Q932" s="296">
        <v>2</v>
      </c>
      <c r="R932" s="296">
        <v>24</v>
      </c>
      <c r="S932" s="296" t="s">
        <v>354</v>
      </c>
      <c r="T932" s="296" t="s">
        <v>3182</v>
      </c>
      <c r="U932" s="296" t="s">
        <v>3192</v>
      </c>
      <c r="V932" s="296" t="s">
        <v>355</v>
      </c>
      <c r="W932" s="417"/>
      <c r="X932" s="417"/>
      <c r="Y932" s="146"/>
    </row>
    <row r="933" spans="1:25" s="252" customFormat="1" ht="13.15" customHeight="1" x14ac:dyDescent="0.15">
      <c r="A933" s="296">
        <v>3778936</v>
      </c>
      <c r="B933" s="296" t="s">
        <v>351</v>
      </c>
      <c r="C933" s="296" t="s">
        <v>1801</v>
      </c>
      <c r="D933" s="296" t="s">
        <v>353</v>
      </c>
      <c r="E933" s="296" t="s">
        <v>116</v>
      </c>
      <c r="F933" s="296">
        <v>3</v>
      </c>
      <c r="G933" s="296" t="s">
        <v>19</v>
      </c>
      <c r="H933" s="296" t="s">
        <v>20</v>
      </c>
      <c r="I933" s="296" t="s">
        <v>205</v>
      </c>
      <c r="J933" s="296" t="s">
        <v>928</v>
      </c>
      <c r="K933" s="296" t="s">
        <v>216</v>
      </c>
      <c r="L933" s="296">
        <v>50</v>
      </c>
      <c r="M933" s="296" t="s">
        <v>217</v>
      </c>
      <c r="N933" s="296">
        <v>1120</v>
      </c>
      <c r="O933" s="296">
        <v>1120</v>
      </c>
      <c r="P933" s="296">
        <v>5000</v>
      </c>
      <c r="Q933" s="296">
        <v>2</v>
      </c>
      <c r="R933" s="296">
        <v>38</v>
      </c>
      <c r="S933" s="296" t="s">
        <v>354</v>
      </c>
      <c r="T933" s="296" t="s">
        <v>3182</v>
      </c>
      <c r="U933" s="296" t="s">
        <v>3192</v>
      </c>
      <c r="V933" s="296" t="s">
        <v>355</v>
      </c>
      <c r="W933" s="417"/>
      <c r="X933" s="417"/>
      <c r="Y933" s="146"/>
    </row>
    <row r="934" spans="1:25" s="252" customFormat="1" ht="13.15" customHeight="1" x14ac:dyDescent="0.15">
      <c r="A934" s="296">
        <v>3778937</v>
      </c>
      <c r="B934" s="296" t="s">
        <v>351</v>
      </c>
      <c r="C934" s="296" t="s">
        <v>1801</v>
      </c>
      <c r="D934" s="296" t="s">
        <v>353</v>
      </c>
      <c r="E934" s="296" t="s">
        <v>116</v>
      </c>
      <c r="F934" s="296">
        <v>3</v>
      </c>
      <c r="G934" s="296" t="s">
        <v>19</v>
      </c>
      <c r="H934" s="296" t="s">
        <v>20</v>
      </c>
      <c r="I934" s="296" t="s">
        <v>165</v>
      </c>
      <c r="J934" s="296" t="s">
        <v>928</v>
      </c>
      <c r="K934" s="296" t="s">
        <v>187</v>
      </c>
      <c r="L934" s="296">
        <v>50</v>
      </c>
      <c r="M934" s="296" t="s">
        <v>188</v>
      </c>
      <c r="N934" s="296">
        <v>1000</v>
      </c>
      <c r="O934" s="296">
        <v>1000</v>
      </c>
      <c r="P934" s="296">
        <v>3000</v>
      </c>
      <c r="Q934" s="296">
        <v>2</v>
      </c>
      <c r="R934" s="296">
        <v>2</v>
      </c>
      <c r="S934" s="296" t="s">
        <v>354</v>
      </c>
      <c r="T934" s="296" t="s">
        <v>3182</v>
      </c>
      <c r="U934" s="296" t="s">
        <v>3185</v>
      </c>
      <c r="V934" s="296" t="s">
        <v>355</v>
      </c>
      <c r="W934" s="417"/>
      <c r="X934" s="417"/>
      <c r="Y934" s="146"/>
    </row>
    <row r="935" spans="1:25" s="252" customFormat="1" ht="13.15" customHeight="1" x14ac:dyDescent="0.15">
      <c r="A935" s="296">
        <v>3778938</v>
      </c>
      <c r="B935" s="296" t="s">
        <v>351</v>
      </c>
      <c r="C935" s="296" t="s">
        <v>1801</v>
      </c>
      <c r="D935" s="296" t="s">
        <v>353</v>
      </c>
      <c r="E935" s="296" t="s">
        <v>116</v>
      </c>
      <c r="F935" s="296">
        <v>3</v>
      </c>
      <c r="G935" s="296" t="s">
        <v>19</v>
      </c>
      <c r="H935" s="296" t="s">
        <v>20</v>
      </c>
      <c r="I935" s="296" t="s">
        <v>205</v>
      </c>
      <c r="J935" s="296" t="s">
        <v>928</v>
      </c>
      <c r="K935" s="296" t="s">
        <v>218</v>
      </c>
      <c r="L935" s="296">
        <v>50</v>
      </c>
      <c r="M935" s="296" t="s">
        <v>219</v>
      </c>
      <c r="N935" s="296">
        <v>1000</v>
      </c>
      <c r="O935" s="296">
        <v>1000</v>
      </c>
      <c r="P935" s="296">
        <v>4000</v>
      </c>
      <c r="Q935" s="296">
        <v>2</v>
      </c>
      <c r="R935" s="296">
        <v>15</v>
      </c>
      <c r="S935" s="296" t="s">
        <v>354</v>
      </c>
      <c r="T935" s="296" t="s">
        <v>3182</v>
      </c>
      <c r="U935" s="296" t="s">
        <v>3185</v>
      </c>
      <c r="V935" s="296" t="s">
        <v>355</v>
      </c>
      <c r="W935" s="417"/>
      <c r="X935" s="417"/>
      <c r="Y935" s="146"/>
    </row>
    <row r="936" spans="1:25" s="252" customFormat="1" ht="13.15" customHeight="1" x14ac:dyDescent="0.15">
      <c r="A936" s="296">
        <v>3778939</v>
      </c>
      <c r="B936" s="296" t="s">
        <v>351</v>
      </c>
      <c r="C936" s="296" t="s">
        <v>1801</v>
      </c>
      <c r="D936" s="296" t="s">
        <v>353</v>
      </c>
      <c r="E936" s="296" t="s">
        <v>116</v>
      </c>
      <c r="F936" s="296" t="s">
        <v>158</v>
      </c>
      <c r="G936" s="296" t="s">
        <v>19</v>
      </c>
      <c r="H936" s="296" t="s">
        <v>20</v>
      </c>
      <c r="I936" s="296" t="s">
        <v>165</v>
      </c>
      <c r="J936" s="296" t="s">
        <v>928</v>
      </c>
      <c r="K936" s="296" t="s">
        <v>192</v>
      </c>
      <c r="L936" s="296">
        <v>50</v>
      </c>
      <c r="M936" s="296" t="s">
        <v>193</v>
      </c>
      <c r="N936" s="296">
        <v>1005</v>
      </c>
      <c r="O936" s="296">
        <v>1000</v>
      </c>
      <c r="P936" s="296">
        <v>4000</v>
      </c>
      <c r="Q936" s="296">
        <v>2</v>
      </c>
      <c r="R936" s="296">
        <v>6</v>
      </c>
      <c r="S936" s="296" t="s">
        <v>354</v>
      </c>
      <c r="T936" s="296" t="s">
        <v>3182</v>
      </c>
      <c r="U936" s="296" t="s">
        <v>3185</v>
      </c>
      <c r="V936" s="296" t="s">
        <v>355</v>
      </c>
      <c r="W936" s="417"/>
      <c r="X936" s="417"/>
      <c r="Y936" s="146"/>
    </row>
    <row r="937" spans="1:25" s="252" customFormat="1" ht="13.15" customHeight="1" x14ac:dyDescent="0.15">
      <c r="A937" s="296">
        <v>3778940</v>
      </c>
      <c r="B937" s="296" t="s">
        <v>351</v>
      </c>
      <c r="C937" s="296" t="s">
        <v>1801</v>
      </c>
      <c r="D937" s="296" t="s">
        <v>353</v>
      </c>
      <c r="E937" s="296" t="s">
        <v>116</v>
      </c>
      <c r="F937" s="296" t="s">
        <v>158</v>
      </c>
      <c r="G937" s="296" t="s">
        <v>19</v>
      </c>
      <c r="H937" s="296" t="s">
        <v>20</v>
      </c>
      <c r="I937" s="296" t="s">
        <v>165</v>
      </c>
      <c r="J937" s="296" t="s">
        <v>928</v>
      </c>
      <c r="K937" s="296" t="s">
        <v>195</v>
      </c>
      <c r="L937" s="296">
        <v>50</v>
      </c>
      <c r="M937" s="296" t="s">
        <v>196</v>
      </c>
      <c r="N937" s="296">
        <v>1005</v>
      </c>
      <c r="O937" s="296">
        <v>1000</v>
      </c>
      <c r="P937" s="296">
        <v>4000</v>
      </c>
      <c r="Q937" s="296">
        <v>2</v>
      </c>
      <c r="R937" s="296">
        <v>3</v>
      </c>
      <c r="S937" s="296" t="s">
        <v>354</v>
      </c>
      <c r="T937" s="296" t="s">
        <v>3182</v>
      </c>
      <c r="U937" s="296" t="s">
        <v>3185</v>
      </c>
      <c r="V937" s="296" t="s">
        <v>355</v>
      </c>
      <c r="W937" s="417"/>
      <c r="X937" s="417"/>
      <c r="Y937" s="146"/>
    </row>
    <row r="938" spans="1:25" s="252" customFormat="1" ht="13.15" customHeight="1" x14ac:dyDescent="0.15">
      <c r="A938" s="296">
        <v>3778941</v>
      </c>
      <c r="B938" s="296" t="s">
        <v>351</v>
      </c>
      <c r="C938" s="296" t="s">
        <v>1801</v>
      </c>
      <c r="D938" s="296" t="s">
        <v>353</v>
      </c>
      <c r="E938" s="296" t="s">
        <v>116</v>
      </c>
      <c r="F938" s="296" t="s">
        <v>3205</v>
      </c>
      <c r="G938" s="296" t="s">
        <v>19</v>
      </c>
      <c r="H938" s="296" t="s">
        <v>20</v>
      </c>
      <c r="I938" s="296" t="s">
        <v>165</v>
      </c>
      <c r="J938" s="296" t="s">
        <v>928</v>
      </c>
      <c r="K938" s="296" t="s">
        <v>197</v>
      </c>
      <c r="L938" s="296">
        <v>50</v>
      </c>
      <c r="M938" s="296" t="s">
        <v>198</v>
      </c>
      <c r="N938" s="296">
        <v>1005</v>
      </c>
      <c r="O938" s="296">
        <v>1000</v>
      </c>
      <c r="P938" s="296">
        <v>4100</v>
      </c>
      <c r="Q938" s="296">
        <v>2</v>
      </c>
      <c r="R938" s="296">
        <v>6</v>
      </c>
      <c r="S938" s="296" t="s">
        <v>354</v>
      </c>
      <c r="T938" s="296" t="s">
        <v>3182</v>
      </c>
      <c r="U938" s="296" t="s">
        <v>3185</v>
      </c>
      <c r="V938" s="296" t="s">
        <v>355</v>
      </c>
      <c r="W938" s="417"/>
      <c r="X938" s="417"/>
      <c r="Y938" s="146"/>
    </row>
    <row r="939" spans="1:25" s="252" customFormat="1" ht="13.15" customHeight="1" x14ac:dyDescent="0.15">
      <c r="A939" s="296">
        <v>3778942</v>
      </c>
      <c r="B939" s="296" t="s">
        <v>351</v>
      </c>
      <c r="C939" s="296" t="s">
        <v>1801</v>
      </c>
      <c r="D939" s="296" t="s">
        <v>353</v>
      </c>
      <c r="E939" s="296" t="s">
        <v>116</v>
      </c>
      <c r="F939" s="296">
        <v>3</v>
      </c>
      <c r="G939" s="296" t="s">
        <v>19</v>
      </c>
      <c r="H939" s="296" t="s">
        <v>20</v>
      </c>
      <c r="I939" s="296" t="s">
        <v>165</v>
      </c>
      <c r="J939" s="296" t="s">
        <v>928</v>
      </c>
      <c r="K939" s="296" t="s">
        <v>166</v>
      </c>
      <c r="L939" s="296">
        <v>50</v>
      </c>
      <c r="M939" s="296" t="s">
        <v>167</v>
      </c>
      <c r="N939" s="296">
        <v>1005</v>
      </c>
      <c r="O939" s="296">
        <v>1000</v>
      </c>
      <c r="P939" s="296">
        <v>2000</v>
      </c>
      <c r="Q939" s="296">
        <v>2</v>
      </c>
      <c r="R939" s="296">
        <v>2</v>
      </c>
      <c r="S939" s="296" t="s">
        <v>354</v>
      </c>
      <c r="T939" s="296" t="s">
        <v>3182</v>
      </c>
      <c r="U939" s="296" t="s">
        <v>3188</v>
      </c>
      <c r="V939" s="296" t="s">
        <v>355</v>
      </c>
      <c r="W939" s="417"/>
      <c r="X939" s="417"/>
      <c r="Y939" s="146"/>
    </row>
    <row r="940" spans="1:25" s="252" customFormat="1" ht="13.15" customHeight="1" x14ac:dyDescent="0.15">
      <c r="A940" s="296">
        <v>3778943</v>
      </c>
      <c r="B940" s="296" t="s">
        <v>423</v>
      </c>
      <c r="C940" s="296" t="s">
        <v>1801</v>
      </c>
      <c r="D940" s="296" t="s">
        <v>353</v>
      </c>
      <c r="E940" s="296" t="s">
        <v>116</v>
      </c>
      <c r="F940" s="296">
        <v>3</v>
      </c>
      <c r="G940" s="296" t="s">
        <v>265</v>
      </c>
      <c r="H940" s="296" t="s">
        <v>20</v>
      </c>
      <c r="I940" s="296" t="s">
        <v>165</v>
      </c>
      <c r="J940" s="296" t="s">
        <v>928</v>
      </c>
      <c r="K940" s="296" t="s">
        <v>172</v>
      </c>
      <c r="L940" s="296">
        <v>50</v>
      </c>
      <c r="M940" s="296" t="s">
        <v>173</v>
      </c>
      <c r="N940" s="296">
        <v>1005</v>
      </c>
      <c r="O940" s="296">
        <v>1000</v>
      </c>
      <c r="P940" s="296">
        <v>4000</v>
      </c>
      <c r="Q940" s="296">
        <v>2</v>
      </c>
      <c r="R940" s="296">
        <v>1</v>
      </c>
      <c r="S940" s="296" t="s">
        <v>354</v>
      </c>
      <c r="T940" s="296" t="s">
        <v>3182</v>
      </c>
      <c r="U940" s="296" t="s">
        <v>3185</v>
      </c>
      <c r="V940" s="296" t="s">
        <v>355</v>
      </c>
      <c r="W940" s="417"/>
      <c r="X940" s="417"/>
      <c r="Y940" s="146"/>
    </row>
    <row r="941" spans="1:25" s="252" customFormat="1" ht="13.15" customHeight="1" x14ac:dyDescent="0.15">
      <c r="A941" s="296">
        <v>3778944</v>
      </c>
      <c r="B941" s="296" t="s">
        <v>423</v>
      </c>
      <c r="C941" s="296" t="s">
        <v>1801</v>
      </c>
      <c r="D941" s="296" t="s">
        <v>353</v>
      </c>
      <c r="E941" s="296" t="s">
        <v>116</v>
      </c>
      <c r="F941" s="296">
        <v>3</v>
      </c>
      <c r="G941" s="296" t="s">
        <v>265</v>
      </c>
      <c r="H941" s="296" t="s">
        <v>20</v>
      </c>
      <c r="I941" s="296" t="s">
        <v>165</v>
      </c>
      <c r="J941" s="296" t="s">
        <v>928</v>
      </c>
      <c r="K941" s="296" t="s">
        <v>172</v>
      </c>
      <c r="L941" s="296">
        <v>50</v>
      </c>
      <c r="M941" s="296" t="s">
        <v>173</v>
      </c>
      <c r="N941" s="296">
        <v>1005</v>
      </c>
      <c r="O941" s="296">
        <v>1000</v>
      </c>
      <c r="P941" s="296">
        <v>2000</v>
      </c>
      <c r="Q941" s="296">
        <v>2</v>
      </c>
      <c r="R941" s="296">
        <v>2</v>
      </c>
      <c r="S941" s="296" t="s">
        <v>354</v>
      </c>
      <c r="T941" s="296" t="s">
        <v>3182</v>
      </c>
      <c r="U941" s="296" t="s">
        <v>3185</v>
      </c>
      <c r="V941" s="296" t="s">
        <v>355</v>
      </c>
      <c r="W941" s="417"/>
      <c r="X941" s="417"/>
      <c r="Y941" s="146"/>
    </row>
    <row r="942" spans="1:25" s="252" customFormat="1" ht="13.15" customHeight="1" x14ac:dyDescent="0.15">
      <c r="A942" s="296">
        <v>3778945</v>
      </c>
      <c r="B942" s="296" t="s">
        <v>423</v>
      </c>
      <c r="C942" s="296" t="s">
        <v>1801</v>
      </c>
      <c r="D942" s="296" t="s">
        <v>353</v>
      </c>
      <c r="E942" s="296" t="s">
        <v>116</v>
      </c>
      <c r="F942" s="296">
        <v>3</v>
      </c>
      <c r="G942" s="296" t="s">
        <v>265</v>
      </c>
      <c r="H942" s="296" t="s">
        <v>20</v>
      </c>
      <c r="I942" s="296" t="s">
        <v>165</v>
      </c>
      <c r="J942" s="296" t="s">
        <v>928</v>
      </c>
      <c r="K942" s="296" t="s">
        <v>176</v>
      </c>
      <c r="L942" s="296">
        <v>50</v>
      </c>
      <c r="M942" s="296" t="s">
        <v>177</v>
      </c>
      <c r="N942" s="296">
        <v>1005</v>
      </c>
      <c r="O942" s="296">
        <v>1000</v>
      </c>
      <c r="P942" s="296">
        <v>4100</v>
      </c>
      <c r="Q942" s="296">
        <v>2</v>
      </c>
      <c r="R942" s="296">
        <v>3</v>
      </c>
      <c r="S942" s="296" t="s">
        <v>354</v>
      </c>
      <c r="T942" s="296" t="s">
        <v>3182</v>
      </c>
      <c r="U942" s="296" t="s">
        <v>3185</v>
      </c>
      <c r="V942" s="296" t="s">
        <v>355</v>
      </c>
      <c r="W942" s="417"/>
      <c r="X942" s="417"/>
      <c r="Y942" s="146"/>
    </row>
    <row r="943" spans="1:25" s="252" customFormat="1" ht="13.15" customHeight="1" x14ac:dyDescent="0.15">
      <c r="A943" s="296">
        <v>3778946</v>
      </c>
      <c r="B943" s="296" t="s">
        <v>351</v>
      </c>
      <c r="C943" s="296" t="s">
        <v>1801</v>
      </c>
      <c r="D943" s="296" t="s">
        <v>353</v>
      </c>
      <c r="E943" s="296" t="s">
        <v>116</v>
      </c>
      <c r="F943" s="296">
        <v>3</v>
      </c>
      <c r="G943" s="296" t="s">
        <v>19</v>
      </c>
      <c r="H943" s="296" t="s">
        <v>28</v>
      </c>
      <c r="I943" s="296" t="s">
        <v>205</v>
      </c>
      <c r="J943" s="296" t="s">
        <v>928</v>
      </c>
      <c r="K943" s="296" t="s">
        <v>224</v>
      </c>
      <c r="L943" s="296">
        <v>50</v>
      </c>
      <c r="M943" s="296" t="s">
        <v>225</v>
      </c>
      <c r="N943" s="296">
        <v>1120</v>
      </c>
      <c r="O943" s="296">
        <v>1120</v>
      </c>
      <c r="P943" s="296">
        <v>5000</v>
      </c>
      <c r="Q943" s="296">
        <v>2</v>
      </c>
      <c r="R943" s="296">
        <v>2</v>
      </c>
      <c r="S943" s="296" t="s">
        <v>354</v>
      </c>
      <c r="T943" s="296" t="s">
        <v>3182</v>
      </c>
      <c r="U943" s="296" t="s">
        <v>3191</v>
      </c>
      <c r="V943" s="296" t="s">
        <v>355</v>
      </c>
      <c r="W943" s="417"/>
      <c r="X943" s="417"/>
      <c r="Y943" s="146"/>
    </row>
    <row r="944" spans="1:25" s="252" customFormat="1" ht="13.15" customHeight="1" x14ac:dyDescent="0.15">
      <c r="A944" s="296">
        <v>3778947</v>
      </c>
      <c r="B944" s="296" t="s">
        <v>351</v>
      </c>
      <c r="C944" s="296" t="s">
        <v>1801</v>
      </c>
      <c r="D944" s="296" t="s">
        <v>353</v>
      </c>
      <c r="E944" s="296" t="s">
        <v>116</v>
      </c>
      <c r="F944" s="296">
        <v>3</v>
      </c>
      <c r="G944" s="296" t="s">
        <v>19</v>
      </c>
      <c r="H944" s="296" t="s">
        <v>28</v>
      </c>
      <c r="I944" s="296" t="s">
        <v>205</v>
      </c>
      <c r="J944" s="296" t="s">
        <v>928</v>
      </c>
      <c r="K944" s="296" t="s">
        <v>233</v>
      </c>
      <c r="L944" s="296">
        <v>50</v>
      </c>
      <c r="M944" s="296" t="s">
        <v>234</v>
      </c>
      <c r="N944" s="296">
        <v>1120</v>
      </c>
      <c r="O944" s="296">
        <v>1120</v>
      </c>
      <c r="P944" s="296">
        <v>4000</v>
      </c>
      <c r="Q944" s="296">
        <v>2</v>
      </c>
      <c r="R944" s="296">
        <v>6</v>
      </c>
      <c r="S944" s="296" t="s">
        <v>354</v>
      </c>
      <c r="T944" s="296" t="s">
        <v>3182</v>
      </c>
      <c r="U944" s="296" t="s">
        <v>3191</v>
      </c>
      <c r="V944" s="296" t="s">
        <v>355</v>
      </c>
      <c r="W944" s="417"/>
      <c r="X944" s="417"/>
      <c r="Y944" s="146"/>
    </row>
    <row r="945" spans="1:25" s="252" customFormat="1" ht="13.15" customHeight="1" x14ac:dyDescent="0.15">
      <c r="A945" s="296">
        <v>3778948</v>
      </c>
      <c r="B945" s="296" t="s">
        <v>351</v>
      </c>
      <c r="C945" s="296" t="s">
        <v>1801</v>
      </c>
      <c r="D945" s="296" t="s">
        <v>353</v>
      </c>
      <c r="E945" s="296" t="s">
        <v>116</v>
      </c>
      <c r="F945" s="296">
        <v>3</v>
      </c>
      <c r="G945" s="296" t="s">
        <v>19</v>
      </c>
      <c r="H945" s="296" t="s">
        <v>28</v>
      </c>
      <c r="I945" s="296" t="s">
        <v>205</v>
      </c>
      <c r="J945" s="296" t="s">
        <v>928</v>
      </c>
      <c r="K945" s="296" t="s">
        <v>224</v>
      </c>
      <c r="L945" s="296">
        <v>50</v>
      </c>
      <c r="M945" s="296" t="s">
        <v>225</v>
      </c>
      <c r="N945" s="296">
        <v>1120</v>
      </c>
      <c r="O945" s="296">
        <v>1120</v>
      </c>
      <c r="P945" s="296">
        <v>5000</v>
      </c>
      <c r="Q945" s="296">
        <v>2</v>
      </c>
      <c r="R945" s="296">
        <v>2</v>
      </c>
      <c r="S945" s="296" t="s">
        <v>354</v>
      </c>
      <c r="T945" s="296" t="s">
        <v>3182</v>
      </c>
      <c r="U945" s="296" t="s">
        <v>3194</v>
      </c>
      <c r="V945" s="296" t="s">
        <v>355</v>
      </c>
      <c r="W945" s="417"/>
      <c r="X945" s="417"/>
      <c r="Y945" s="146"/>
    </row>
    <row r="946" spans="1:25" s="252" customFormat="1" ht="13.15" customHeight="1" x14ac:dyDescent="0.15">
      <c r="A946" s="296">
        <v>3778949</v>
      </c>
      <c r="B946" s="296" t="s">
        <v>351</v>
      </c>
      <c r="C946" s="296" t="s">
        <v>1801</v>
      </c>
      <c r="D946" s="296" t="s">
        <v>353</v>
      </c>
      <c r="E946" s="296" t="s">
        <v>116</v>
      </c>
      <c r="F946" s="296">
        <v>3</v>
      </c>
      <c r="G946" s="296" t="s">
        <v>19</v>
      </c>
      <c r="H946" s="296" t="s">
        <v>28</v>
      </c>
      <c r="I946" s="296" t="s">
        <v>205</v>
      </c>
      <c r="J946" s="296" t="s">
        <v>928</v>
      </c>
      <c r="K946" s="296" t="s">
        <v>224</v>
      </c>
      <c r="L946" s="296">
        <v>50</v>
      </c>
      <c r="M946" s="296" t="s">
        <v>225</v>
      </c>
      <c r="N946" s="296">
        <v>1120</v>
      </c>
      <c r="O946" s="296">
        <v>1120</v>
      </c>
      <c r="P946" s="296">
        <v>5000</v>
      </c>
      <c r="Q946" s="296">
        <v>2</v>
      </c>
      <c r="R946" s="296">
        <v>2</v>
      </c>
      <c r="S946" s="296" t="s">
        <v>354</v>
      </c>
      <c r="T946" s="296" t="s">
        <v>3182</v>
      </c>
      <c r="U946" s="296" t="s">
        <v>3191</v>
      </c>
      <c r="V946" s="296" t="s">
        <v>355</v>
      </c>
      <c r="W946" s="417"/>
      <c r="X946" s="417"/>
      <c r="Y946" s="146"/>
    </row>
    <row r="947" spans="1:25" s="252" customFormat="1" ht="13.15" customHeight="1" x14ac:dyDescent="0.15">
      <c r="A947" s="296">
        <v>3778950</v>
      </c>
      <c r="B947" s="296" t="s">
        <v>351</v>
      </c>
      <c r="C947" s="296" t="s">
        <v>1801</v>
      </c>
      <c r="D947" s="296" t="s">
        <v>353</v>
      </c>
      <c r="E947" s="296" t="s">
        <v>116</v>
      </c>
      <c r="F947" s="296">
        <v>3</v>
      </c>
      <c r="G947" s="296" t="s">
        <v>19</v>
      </c>
      <c r="H947" s="296" t="s">
        <v>28</v>
      </c>
      <c r="I947" s="296" t="s">
        <v>205</v>
      </c>
      <c r="J947" s="296" t="s">
        <v>928</v>
      </c>
      <c r="K947" s="296" t="s">
        <v>224</v>
      </c>
      <c r="L947" s="296">
        <v>50</v>
      </c>
      <c r="M947" s="296" t="s">
        <v>225</v>
      </c>
      <c r="N947" s="296">
        <v>1120</v>
      </c>
      <c r="O947" s="296">
        <v>1120</v>
      </c>
      <c r="P947" s="296">
        <v>5000</v>
      </c>
      <c r="Q947" s="296">
        <v>2</v>
      </c>
      <c r="R947" s="296">
        <v>4</v>
      </c>
      <c r="S947" s="296" t="s">
        <v>354</v>
      </c>
      <c r="T947" s="296" t="s">
        <v>3182</v>
      </c>
      <c r="U947" s="296" t="s">
        <v>3195</v>
      </c>
      <c r="V947" s="296" t="s">
        <v>355</v>
      </c>
      <c r="W947" s="417"/>
      <c r="X947" s="417"/>
      <c r="Y947" s="146"/>
    </row>
    <row r="948" spans="1:25" s="252" customFormat="1" ht="13.15" customHeight="1" x14ac:dyDescent="0.15">
      <c r="A948" s="296">
        <v>3778951</v>
      </c>
      <c r="B948" s="296" t="s">
        <v>351</v>
      </c>
      <c r="C948" s="296" t="s">
        <v>1801</v>
      </c>
      <c r="D948" s="296" t="s">
        <v>353</v>
      </c>
      <c r="E948" s="296" t="s">
        <v>116</v>
      </c>
      <c r="F948" s="296">
        <v>3</v>
      </c>
      <c r="G948" s="296" t="s">
        <v>19</v>
      </c>
      <c r="H948" s="296" t="s">
        <v>28</v>
      </c>
      <c r="I948" s="296" t="s">
        <v>205</v>
      </c>
      <c r="J948" s="296" t="s">
        <v>928</v>
      </c>
      <c r="K948" s="296" t="s">
        <v>233</v>
      </c>
      <c r="L948" s="296">
        <v>50</v>
      </c>
      <c r="M948" s="296" t="s">
        <v>234</v>
      </c>
      <c r="N948" s="296">
        <v>1120</v>
      </c>
      <c r="O948" s="296">
        <v>1120</v>
      </c>
      <c r="P948" s="296">
        <v>4000</v>
      </c>
      <c r="Q948" s="296">
        <v>2</v>
      </c>
      <c r="R948" s="296">
        <v>6</v>
      </c>
      <c r="S948" s="296" t="s">
        <v>354</v>
      </c>
      <c r="T948" s="296" t="s">
        <v>3182</v>
      </c>
      <c r="U948" s="296" t="s">
        <v>3195</v>
      </c>
      <c r="V948" s="296" t="s">
        <v>355</v>
      </c>
      <c r="W948" s="417"/>
      <c r="X948" s="417"/>
      <c r="Y948" s="146"/>
    </row>
    <row r="949" spans="1:25" s="252" customFormat="1" ht="13.15" customHeight="1" x14ac:dyDescent="0.15">
      <c r="A949" s="296">
        <v>3778959</v>
      </c>
      <c r="B949" s="296" t="s">
        <v>351</v>
      </c>
      <c r="C949" s="296" t="s">
        <v>1801</v>
      </c>
      <c r="D949" s="296" t="s">
        <v>353</v>
      </c>
      <c r="E949" s="296" t="s">
        <v>116</v>
      </c>
      <c r="F949" s="296">
        <v>3</v>
      </c>
      <c r="G949" s="296" t="s">
        <v>19</v>
      </c>
      <c r="H949" s="296" t="s">
        <v>20</v>
      </c>
      <c r="I949" s="296" t="s">
        <v>165</v>
      </c>
      <c r="J949" s="296" t="s">
        <v>928</v>
      </c>
      <c r="K949" s="296" t="s">
        <v>185</v>
      </c>
      <c r="L949" s="296">
        <v>50</v>
      </c>
      <c r="M949" s="296" t="s">
        <v>186</v>
      </c>
      <c r="N949" s="296">
        <v>1005</v>
      </c>
      <c r="O949" s="296">
        <v>1000</v>
      </c>
      <c r="P949" s="296">
        <v>4100</v>
      </c>
      <c r="Q949" s="296">
        <v>2</v>
      </c>
      <c r="R949" s="296">
        <v>2</v>
      </c>
      <c r="S949" s="296" t="s">
        <v>354</v>
      </c>
      <c r="T949" s="296" t="s">
        <v>3182</v>
      </c>
      <c r="U949" s="296" t="s">
        <v>3183</v>
      </c>
      <c r="V949" s="296" t="s">
        <v>355</v>
      </c>
      <c r="W949" s="296" t="s">
        <v>928</v>
      </c>
      <c r="X949" s="296" t="s">
        <v>928</v>
      </c>
      <c r="Y949" s="146"/>
    </row>
    <row r="950" spans="1:25" s="252" customFormat="1" ht="13.15" customHeight="1" x14ac:dyDescent="0.15">
      <c r="A950" s="296">
        <v>3779996</v>
      </c>
      <c r="B950" s="296" t="s">
        <v>351</v>
      </c>
      <c r="C950" s="296" t="s">
        <v>1801</v>
      </c>
      <c r="D950" s="296" t="s">
        <v>353</v>
      </c>
      <c r="E950" s="296" t="s">
        <v>116</v>
      </c>
      <c r="F950" s="296">
        <v>3</v>
      </c>
      <c r="G950" s="296" t="s">
        <v>19</v>
      </c>
      <c r="H950" s="296" t="s">
        <v>20</v>
      </c>
      <c r="I950" s="296" t="s">
        <v>165</v>
      </c>
      <c r="J950" s="296" t="s">
        <v>928</v>
      </c>
      <c r="K950" s="296" t="s">
        <v>166</v>
      </c>
      <c r="L950" s="296">
        <v>50</v>
      </c>
      <c r="M950" s="296" t="s">
        <v>167</v>
      </c>
      <c r="N950" s="296">
        <v>1005</v>
      </c>
      <c r="O950" s="296">
        <v>1000</v>
      </c>
      <c r="P950" s="296">
        <v>2000</v>
      </c>
      <c r="Q950" s="296">
        <v>2</v>
      </c>
      <c r="R950" s="296">
        <v>2</v>
      </c>
      <c r="S950" s="296" t="s">
        <v>354</v>
      </c>
      <c r="T950" s="296" t="s">
        <v>3111</v>
      </c>
      <c r="U950" s="296" t="s">
        <v>3188</v>
      </c>
      <c r="V950" s="296" t="s">
        <v>355</v>
      </c>
      <c r="W950" s="296" t="s">
        <v>928</v>
      </c>
      <c r="X950" s="296" t="s">
        <v>928</v>
      </c>
      <c r="Y950" s="146"/>
    </row>
    <row r="951" spans="1:25" s="252" customFormat="1" ht="13.15" customHeight="1" x14ac:dyDescent="0.15">
      <c r="A951" s="296">
        <v>3780715</v>
      </c>
      <c r="B951" s="296" t="s">
        <v>351</v>
      </c>
      <c r="C951" s="296" t="s">
        <v>1801</v>
      </c>
      <c r="D951" s="296" t="s">
        <v>353</v>
      </c>
      <c r="E951" s="296" t="s">
        <v>116</v>
      </c>
      <c r="F951" s="296">
        <v>3</v>
      </c>
      <c r="G951" s="296" t="s">
        <v>19</v>
      </c>
      <c r="H951" s="296" t="s">
        <v>20</v>
      </c>
      <c r="I951" s="296" t="s">
        <v>205</v>
      </c>
      <c r="J951" s="296" t="s">
        <v>928</v>
      </c>
      <c r="K951" s="296" t="s">
        <v>221</v>
      </c>
      <c r="L951" s="296">
        <v>25</v>
      </c>
      <c r="M951" s="296" t="s">
        <v>222</v>
      </c>
      <c r="N951" s="296">
        <v>1100</v>
      </c>
      <c r="O951" s="296">
        <v>1100</v>
      </c>
      <c r="P951" s="296">
        <v>6000</v>
      </c>
      <c r="Q951" s="296">
        <v>2</v>
      </c>
      <c r="R951" s="296">
        <v>3</v>
      </c>
      <c r="S951" s="296" t="s">
        <v>354</v>
      </c>
      <c r="T951" s="296" t="s">
        <v>3278</v>
      </c>
      <c r="U951" s="296" t="s">
        <v>3110</v>
      </c>
      <c r="V951" s="296" t="s">
        <v>355</v>
      </c>
      <c r="W951" s="296" t="s">
        <v>928</v>
      </c>
      <c r="X951" s="296" t="s">
        <v>928</v>
      </c>
      <c r="Y951" s="146"/>
    </row>
    <row r="952" spans="1:25" s="252" customFormat="1" ht="13.15" customHeight="1" x14ac:dyDescent="0.15">
      <c r="A952" s="296">
        <v>3783796</v>
      </c>
      <c r="B952" s="296" t="s">
        <v>351</v>
      </c>
      <c r="C952" s="296" t="s">
        <v>1803</v>
      </c>
      <c r="D952" s="296" t="s">
        <v>353</v>
      </c>
      <c r="E952" s="296" t="s">
        <v>61</v>
      </c>
      <c r="F952" s="296">
        <v>3</v>
      </c>
      <c r="G952" s="296" t="s">
        <v>19</v>
      </c>
      <c r="H952" s="296" t="s">
        <v>20</v>
      </c>
      <c r="I952" s="296" t="s">
        <v>205</v>
      </c>
      <c r="J952" s="296" t="s">
        <v>928</v>
      </c>
      <c r="K952" s="296" t="s">
        <v>242</v>
      </c>
      <c r="L952" s="296">
        <v>50</v>
      </c>
      <c r="M952" s="296" t="s">
        <v>243</v>
      </c>
      <c r="N952" s="296">
        <v>1255</v>
      </c>
      <c r="O952" s="296">
        <v>1250</v>
      </c>
      <c r="P952" s="296">
        <v>3000</v>
      </c>
      <c r="Q952" s="296">
        <v>2</v>
      </c>
      <c r="R952" s="296">
        <v>4</v>
      </c>
      <c r="S952" s="296" t="s">
        <v>354</v>
      </c>
      <c r="T952" s="296" t="s">
        <v>3183</v>
      </c>
      <c r="U952" s="296" t="s">
        <v>3285</v>
      </c>
      <c r="V952" s="296" t="s">
        <v>355</v>
      </c>
      <c r="W952" s="296" t="s">
        <v>928</v>
      </c>
      <c r="X952" s="296" t="s">
        <v>928</v>
      </c>
      <c r="Y952" s="146"/>
    </row>
    <row r="953" spans="1:25" s="252" customFormat="1" ht="13.15" customHeight="1" x14ac:dyDescent="0.15">
      <c r="A953" s="296">
        <v>3783797</v>
      </c>
      <c r="B953" s="296" t="s">
        <v>351</v>
      </c>
      <c r="C953" s="296" t="s">
        <v>1801</v>
      </c>
      <c r="D953" s="296" t="s">
        <v>353</v>
      </c>
      <c r="E953" s="296" t="s">
        <v>232</v>
      </c>
      <c r="F953" s="296">
        <v>3</v>
      </c>
      <c r="G953" s="296" t="s">
        <v>19</v>
      </c>
      <c r="H953" s="296" t="s">
        <v>20</v>
      </c>
      <c r="I953" s="296" t="s">
        <v>205</v>
      </c>
      <c r="J953" s="296" t="s">
        <v>928</v>
      </c>
      <c r="K953" s="296" t="s">
        <v>230</v>
      </c>
      <c r="L953" s="296">
        <v>25</v>
      </c>
      <c r="M953" s="296" t="s">
        <v>231</v>
      </c>
      <c r="N953" s="296">
        <v>1020</v>
      </c>
      <c r="O953" s="296">
        <v>1020</v>
      </c>
      <c r="P953" s="296">
        <v>2000</v>
      </c>
      <c r="Q953" s="296">
        <v>1</v>
      </c>
      <c r="R953" s="296">
        <v>6</v>
      </c>
      <c r="S953" s="296" t="s">
        <v>354</v>
      </c>
      <c r="T953" s="296" t="s">
        <v>3183</v>
      </c>
      <c r="U953" s="296" t="s">
        <v>3285</v>
      </c>
      <c r="V953" s="296" t="s">
        <v>355</v>
      </c>
      <c r="W953" s="296" t="s">
        <v>928</v>
      </c>
      <c r="X953" s="296" t="s">
        <v>928</v>
      </c>
      <c r="Y953" s="146"/>
    </row>
    <row r="954" spans="1:25" s="252" customFormat="1" ht="13.15" customHeight="1" x14ac:dyDescent="0.15">
      <c r="A954" s="296">
        <v>3783798</v>
      </c>
      <c r="B954" s="296" t="s">
        <v>351</v>
      </c>
      <c r="C954" s="296" t="s">
        <v>1801</v>
      </c>
      <c r="D954" s="296" t="s">
        <v>353</v>
      </c>
      <c r="E954" s="296" t="s">
        <v>232</v>
      </c>
      <c r="F954" s="296">
        <v>3</v>
      </c>
      <c r="G954" s="296" t="s">
        <v>19</v>
      </c>
      <c r="H954" s="296" t="s">
        <v>20</v>
      </c>
      <c r="I954" s="296" t="s">
        <v>205</v>
      </c>
      <c r="J954" s="296" t="s">
        <v>928</v>
      </c>
      <c r="K954" s="296" t="s">
        <v>230</v>
      </c>
      <c r="L954" s="296">
        <v>25</v>
      </c>
      <c r="M954" s="296" t="s">
        <v>231</v>
      </c>
      <c r="N954" s="296">
        <v>1240</v>
      </c>
      <c r="O954" s="296">
        <v>1240</v>
      </c>
      <c r="P954" s="296">
        <v>2000</v>
      </c>
      <c r="Q954" s="296">
        <v>1</v>
      </c>
      <c r="R954" s="296">
        <v>6</v>
      </c>
      <c r="S954" s="296" t="s">
        <v>354</v>
      </c>
      <c r="T954" s="296" t="s">
        <v>3183</v>
      </c>
      <c r="U954" s="296" t="s">
        <v>3285</v>
      </c>
      <c r="V954" s="296" t="s">
        <v>355</v>
      </c>
      <c r="W954" s="296" t="s">
        <v>928</v>
      </c>
      <c r="X954" s="296" t="s">
        <v>928</v>
      </c>
      <c r="Y954" s="146"/>
    </row>
    <row r="955" spans="1:25" s="252" customFormat="1" ht="13.15" customHeight="1" x14ac:dyDescent="0.15">
      <c r="A955" s="296">
        <v>3783799</v>
      </c>
      <c r="B955" s="296" t="s">
        <v>351</v>
      </c>
      <c r="C955" s="296" t="s">
        <v>1801</v>
      </c>
      <c r="D955" s="296" t="s">
        <v>353</v>
      </c>
      <c r="E955" s="296" t="s">
        <v>171</v>
      </c>
      <c r="F955" s="296">
        <v>3</v>
      </c>
      <c r="G955" s="296" t="s">
        <v>19</v>
      </c>
      <c r="H955" s="296" t="s">
        <v>20</v>
      </c>
      <c r="I955" s="296" t="s">
        <v>165</v>
      </c>
      <c r="J955" s="296" t="s">
        <v>928</v>
      </c>
      <c r="K955" s="296" t="s">
        <v>180</v>
      </c>
      <c r="L955" s="296">
        <v>50</v>
      </c>
      <c r="M955" s="296" t="s">
        <v>181</v>
      </c>
      <c r="N955" s="296">
        <v>1200</v>
      </c>
      <c r="O955" s="296">
        <v>1190</v>
      </c>
      <c r="P955" s="296">
        <v>6000</v>
      </c>
      <c r="Q955" s="296">
        <v>2</v>
      </c>
      <c r="R955" s="296">
        <v>6</v>
      </c>
      <c r="S955" s="296" t="s">
        <v>354</v>
      </c>
      <c r="T955" s="296" t="s">
        <v>3183</v>
      </c>
      <c r="U955" s="296" t="s">
        <v>3285</v>
      </c>
      <c r="V955" s="296" t="s">
        <v>355</v>
      </c>
      <c r="W955" s="296" t="s">
        <v>928</v>
      </c>
      <c r="X955" s="296" t="s">
        <v>928</v>
      </c>
      <c r="Y955" s="146"/>
    </row>
    <row r="956" spans="1:25" s="252" customFormat="1" ht="13.15" customHeight="1" x14ac:dyDescent="0.15">
      <c r="A956" s="296">
        <v>3783800</v>
      </c>
      <c r="B956" s="296" t="s">
        <v>351</v>
      </c>
      <c r="C956" s="296" t="s">
        <v>1796</v>
      </c>
      <c r="D956" s="296" t="s">
        <v>353</v>
      </c>
      <c r="E956" s="296" t="s">
        <v>17</v>
      </c>
      <c r="F956" s="296">
        <v>3</v>
      </c>
      <c r="G956" s="296" t="s">
        <v>19</v>
      </c>
      <c r="H956" s="296" t="s">
        <v>20</v>
      </c>
      <c r="I956" s="296" t="s">
        <v>205</v>
      </c>
      <c r="J956" s="296" t="s">
        <v>928</v>
      </c>
      <c r="K956" s="296" t="s">
        <v>242</v>
      </c>
      <c r="L956" s="296">
        <v>75</v>
      </c>
      <c r="M956" s="296" t="s">
        <v>243</v>
      </c>
      <c r="N956" s="296">
        <v>1000</v>
      </c>
      <c r="O956" s="296">
        <v>1000</v>
      </c>
      <c r="P956" s="296">
        <v>1000</v>
      </c>
      <c r="Q956" s="296">
        <v>2</v>
      </c>
      <c r="R956" s="296">
        <v>2</v>
      </c>
      <c r="S956" s="296" t="s">
        <v>354</v>
      </c>
      <c r="T956" s="296" t="s">
        <v>3183</v>
      </c>
      <c r="U956" s="296" t="s">
        <v>3285</v>
      </c>
      <c r="V956" s="296" t="s">
        <v>355</v>
      </c>
      <c r="W956" s="296" t="s">
        <v>928</v>
      </c>
      <c r="X956" s="296" t="s">
        <v>928</v>
      </c>
      <c r="Y956" s="146"/>
    </row>
    <row r="957" spans="1:25" s="252" customFormat="1" ht="13.15" customHeight="1" x14ac:dyDescent="0.15">
      <c r="A957" s="296">
        <v>3783801</v>
      </c>
      <c r="B957" s="296" t="s">
        <v>351</v>
      </c>
      <c r="C957" s="296" t="s">
        <v>1801</v>
      </c>
      <c r="D957" s="296" t="s">
        <v>353</v>
      </c>
      <c r="E957" s="296" t="s">
        <v>116</v>
      </c>
      <c r="F957" s="296">
        <v>3</v>
      </c>
      <c r="G957" s="296" t="s">
        <v>19</v>
      </c>
      <c r="H957" s="296" t="s">
        <v>20</v>
      </c>
      <c r="I957" s="296" t="s">
        <v>205</v>
      </c>
      <c r="J957" s="296" t="s">
        <v>928</v>
      </c>
      <c r="K957" s="296" t="s">
        <v>212</v>
      </c>
      <c r="L957" s="296">
        <v>25</v>
      </c>
      <c r="M957" s="296" t="s">
        <v>213</v>
      </c>
      <c r="N957" s="296">
        <v>1000</v>
      </c>
      <c r="O957" s="296">
        <v>1000</v>
      </c>
      <c r="P957" s="296">
        <v>4000</v>
      </c>
      <c r="Q957" s="296">
        <v>2</v>
      </c>
      <c r="R957" s="296">
        <v>3</v>
      </c>
      <c r="S957" s="296" t="s">
        <v>354</v>
      </c>
      <c r="T957" s="296" t="s">
        <v>3183</v>
      </c>
      <c r="U957" s="296" t="s">
        <v>3286</v>
      </c>
      <c r="V957" s="296" t="s">
        <v>355</v>
      </c>
      <c r="W957" s="296" t="s">
        <v>928</v>
      </c>
      <c r="X957" s="296" t="s">
        <v>928</v>
      </c>
      <c r="Y957" s="146"/>
    </row>
    <row r="958" spans="1:25" s="252" customFormat="1" ht="13.15" customHeight="1" x14ac:dyDescent="0.15">
      <c r="A958" s="296">
        <v>3783802</v>
      </c>
      <c r="B958" s="296" t="s">
        <v>351</v>
      </c>
      <c r="C958" s="296" t="s">
        <v>1801</v>
      </c>
      <c r="D958" s="296" t="s">
        <v>353</v>
      </c>
      <c r="E958" s="296" t="s">
        <v>116</v>
      </c>
      <c r="F958" s="296">
        <v>3</v>
      </c>
      <c r="G958" s="296" t="s">
        <v>19</v>
      </c>
      <c r="H958" s="296" t="s">
        <v>20</v>
      </c>
      <c r="I958" s="296" t="s">
        <v>205</v>
      </c>
      <c r="J958" s="296" t="s">
        <v>928</v>
      </c>
      <c r="K958" s="296" t="s">
        <v>212</v>
      </c>
      <c r="L958" s="296">
        <v>25</v>
      </c>
      <c r="M958" s="296" t="s">
        <v>213</v>
      </c>
      <c r="N958" s="296">
        <v>1120</v>
      </c>
      <c r="O958" s="296">
        <v>1120</v>
      </c>
      <c r="P958" s="296">
        <v>4000</v>
      </c>
      <c r="Q958" s="296">
        <v>2</v>
      </c>
      <c r="R958" s="296">
        <v>4</v>
      </c>
      <c r="S958" s="296" t="s">
        <v>354</v>
      </c>
      <c r="T958" s="296" t="s">
        <v>3183</v>
      </c>
      <c r="U958" s="296" t="s">
        <v>3286</v>
      </c>
      <c r="V958" s="296" t="s">
        <v>355</v>
      </c>
      <c r="W958" s="296" t="s">
        <v>928</v>
      </c>
      <c r="X958" s="296" t="s">
        <v>928</v>
      </c>
      <c r="Y958" s="146"/>
    </row>
    <row r="959" spans="1:25" ht="13.5" x14ac:dyDescent="0.15">
      <c r="A959" s="296">
        <v>3783803</v>
      </c>
      <c r="B959" s="296" t="s">
        <v>351</v>
      </c>
      <c r="C959" s="296" t="s">
        <v>1801</v>
      </c>
      <c r="D959" s="296" t="s">
        <v>353</v>
      </c>
      <c r="E959" s="296" t="s">
        <v>116</v>
      </c>
      <c r="F959" s="296">
        <v>3</v>
      </c>
      <c r="G959" s="296" t="s">
        <v>19</v>
      </c>
      <c r="H959" s="296" t="s">
        <v>20</v>
      </c>
      <c r="I959" s="296" t="s">
        <v>205</v>
      </c>
      <c r="J959" s="296" t="s">
        <v>928</v>
      </c>
      <c r="K959" s="296" t="s">
        <v>212</v>
      </c>
      <c r="L959" s="296">
        <v>50</v>
      </c>
      <c r="M959" s="296" t="s">
        <v>213</v>
      </c>
      <c r="N959" s="296">
        <v>1000</v>
      </c>
      <c r="O959" s="296">
        <v>1000</v>
      </c>
      <c r="P959" s="296">
        <v>4000</v>
      </c>
      <c r="Q959" s="296">
        <v>2</v>
      </c>
      <c r="R959" s="296">
        <v>3</v>
      </c>
      <c r="S959" s="296" t="s">
        <v>354</v>
      </c>
      <c r="T959" s="296" t="s">
        <v>3183</v>
      </c>
      <c r="U959" s="296" t="s">
        <v>3286</v>
      </c>
      <c r="V959" s="296" t="s">
        <v>355</v>
      </c>
      <c r="W959" s="296" t="s">
        <v>928</v>
      </c>
      <c r="X959" s="296" t="s">
        <v>928</v>
      </c>
    </row>
    <row r="960" spans="1:25" ht="13.5" x14ac:dyDescent="0.15">
      <c r="A960" s="296">
        <v>3783804</v>
      </c>
      <c r="B960" s="296" t="s">
        <v>351</v>
      </c>
      <c r="C960" s="296" t="s">
        <v>1801</v>
      </c>
      <c r="D960" s="296" t="s">
        <v>353</v>
      </c>
      <c r="E960" s="296" t="s">
        <v>116</v>
      </c>
      <c r="F960" s="296">
        <v>3</v>
      </c>
      <c r="G960" s="296" t="s">
        <v>19</v>
      </c>
      <c r="H960" s="296" t="s">
        <v>20</v>
      </c>
      <c r="I960" s="296" t="s">
        <v>205</v>
      </c>
      <c r="J960" s="296" t="s">
        <v>928</v>
      </c>
      <c r="K960" s="296" t="s">
        <v>212</v>
      </c>
      <c r="L960" s="296">
        <v>50</v>
      </c>
      <c r="M960" s="296" t="s">
        <v>213</v>
      </c>
      <c r="N960" s="296">
        <v>1120</v>
      </c>
      <c r="O960" s="296">
        <v>1120</v>
      </c>
      <c r="P960" s="296">
        <v>4000</v>
      </c>
      <c r="Q960" s="296">
        <v>2</v>
      </c>
      <c r="R960" s="296">
        <v>24</v>
      </c>
      <c r="S960" s="296" t="s">
        <v>354</v>
      </c>
      <c r="T960" s="296" t="s">
        <v>3183</v>
      </c>
      <c r="U960" s="296" t="s">
        <v>3290</v>
      </c>
      <c r="V960" s="296" t="s">
        <v>355</v>
      </c>
      <c r="W960" s="296" t="s">
        <v>928</v>
      </c>
      <c r="X960" s="296" t="s">
        <v>928</v>
      </c>
    </row>
    <row r="961" spans="1:24" ht="13.5" x14ac:dyDescent="0.15">
      <c r="A961" s="296">
        <v>3783805</v>
      </c>
      <c r="B961" s="296" t="s">
        <v>351</v>
      </c>
      <c r="C961" s="296" t="s">
        <v>1801</v>
      </c>
      <c r="D961" s="296" t="s">
        <v>353</v>
      </c>
      <c r="E961" s="296" t="s">
        <v>116</v>
      </c>
      <c r="F961" s="296">
        <v>3</v>
      </c>
      <c r="G961" s="296" t="s">
        <v>19</v>
      </c>
      <c r="H961" s="296" t="s">
        <v>20</v>
      </c>
      <c r="I961" s="296" t="s">
        <v>205</v>
      </c>
      <c r="J961" s="296" t="s">
        <v>928</v>
      </c>
      <c r="K961" s="296" t="s">
        <v>211</v>
      </c>
      <c r="L961" s="296">
        <v>50</v>
      </c>
      <c r="M961" s="296" t="s">
        <v>370</v>
      </c>
      <c r="N961" s="296">
        <v>1050</v>
      </c>
      <c r="O961" s="296">
        <v>1050</v>
      </c>
      <c r="P961" s="296">
        <v>4100</v>
      </c>
      <c r="Q961" s="296">
        <v>2</v>
      </c>
      <c r="R961" s="296">
        <v>5</v>
      </c>
      <c r="S961" s="296" t="s">
        <v>354</v>
      </c>
      <c r="T961" s="296" t="s">
        <v>3183</v>
      </c>
      <c r="U961" s="296" t="s">
        <v>3290</v>
      </c>
      <c r="V961" s="296" t="s">
        <v>355</v>
      </c>
      <c r="W961" s="296" t="s">
        <v>928</v>
      </c>
      <c r="X961" s="296" t="s">
        <v>928</v>
      </c>
    </row>
    <row r="962" spans="1:24" ht="13.5" x14ac:dyDescent="0.15">
      <c r="A962" s="296">
        <v>3783807</v>
      </c>
      <c r="B962" s="296" t="s">
        <v>351</v>
      </c>
      <c r="C962" s="296" t="s">
        <v>1801</v>
      </c>
      <c r="D962" s="296" t="s">
        <v>353</v>
      </c>
      <c r="E962" s="296" t="s">
        <v>116</v>
      </c>
      <c r="F962" s="296">
        <v>3</v>
      </c>
      <c r="G962" s="296" t="s">
        <v>19</v>
      </c>
      <c r="H962" s="296" t="s">
        <v>20</v>
      </c>
      <c r="I962" s="296" t="s">
        <v>165</v>
      </c>
      <c r="J962" s="296" t="s">
        <v>928</v>
      </c>
      <c r="K962" s="296" t="s">
        <v>185</v>
      </c>
      <c r="L962" s="296">
        <v>50</v>
      </c>
      <c r="M962" s="296" t="s">
        <v>186</v>
      </c>
      <c r="N962" s="296">
        <v>1005</v>
      </c>
      <c r="O962" s="296">
        <v>1000</v>
      </c>
      <c r="P962" s="296">
        <v>4100</v>
      </c>
      <c r="Q962" s="296">
        <v>2</v>
      </c>
      <c r="R962" s="296">
        <v>3</v>
      </c>
      <c r="S962" s="296" t="s">
        <v>354</v>
      </c>
      <c r="T962" s="296" t="s">
        <v>3183</v>
      </c>
      <c r="U962" s="296" t="s">
        <v>3286</v>
      </c>
      <c r="V962" s="296" t="s">
        <v>355</v>
      </c>
      <c r="W962" s="296" t="s">
        <v>928</v>
      </c>
      <c r="X962" s="296" t="s">
        <v>928</v>
      </c>
    </row>
    <row r="963" spans="1:24" ht="13.5" x14ac:dyDescent="0.15">
      <c r="A963" s="296">
        <v>3783808</v>
      </c>
      <c r="B963" s="296" t="s">
        <v>351</v>
      </c>
      <c r="C963" s="296" t="s">
        <v>1801</v>
      </c>
      <c r="D963" s="296" t="s">
        <v>353</v>
      </c>
      <c r="E963" s="296" t="s">
        <v>116</v>
      </c>
      <c r="F963" s="296">
        <v>3</v>
      </c>
      <c r="G963" s="296" t="s">
        <v>19</v>
      </c>
      <c r="H963" s="296" t="s">
        <v>20</v>
      </c>
      <c r="I963" s="296" t="s">
        <v>205</v>
      </c>
      <c r="J963" s="296" t="s">
        <v>928</v>
      </c>
      <c r="K963" s="296" t="s">
        <v>216</v>
      </c>
      <c r="L963" s="296">
        <v>25</v>
      </c>
      <c r="M963" s="296" t="s">
        <v>217</v>
      </c>
      <c r="N963" s="296">
        <v>1005</v>
      </c>
      <c r="O963" s="296">
        <v>1000</v>
      </c>
      <c r="P963" s="296">
        <v>4000</v>
      </c>
      <c r="Q963" s="296">
        <v>2</v>
      </c>
      <c r="R963" s="296">
        <v>21</v>
      </c>
      <c r="S963" s="296" t="s">
        <v>354</v>
      </c>
      <c r="T963" s="296" t="s">
        <v>3183</v>
      </c>
      <c r="U963" s="296" t="s">
        <v>3290</v>
      </c>
      <c r="V963" s="296" t="s">
        <v>355</v>
      </c>
      <c r="W963" s="296" t="s">
        <v>928</v>
      </c>
      <c r="X963" s="296" t="s">
        <v>928</v>
      </c>
    </row>
    <row r="964" spans="1:24" ht="13.5" x14ac:dyDescent="0.15">
      <c r="A964" s="296">
        <v>3783809</v>
      </c>
      <c r="B964" s="296" t="s">
        <v>351</v>
      </c>
      <c r="C964" s="296" t="s">
        <v>1801</v>
      </c>
      <c r="D964" s="296" t="s">
        <v>353</v>
      </c>
      <c r="E964" s="296" t="s">
        <v>116</v>
      </c>
      <c r="F964" s="296">
        <v>3</v>
      </c>
      <c r="G964" s="296" t="s">
        <v>19</v>
      </c>
      <c r="H964" s="296" t="s">
        <v>20</v>
      </c>
      <c r="I964" s="296" t="s">
        <v>205</v>
      </c>
      <c r="J964" s="296" t="s">
        <v>928</v>
      </c>
      <c r="K964" s="296" t="s">
        <v>216</v>
      </c>
      <c r="L964" s="296">
        <v>25</v>
      </c>
      <c r="M964" s="296" t="s">
        <v>217</v>
      </c>
      <c r="N964" s="296">
        <v>1125</v>
      </c>
      <c r="O964" s="296">
        <v>1120</v>
      </c>
      <c r="P964" s="296">
        <v>4000</v>
      </c>
      <c r="Q964" s="296">
        <v>2</v>
      </c>
      <c r="R964" s="296">
        <v>3</v>
      </c>
      <c r="S964" s="296" t="s">
        <v>354</v>
      </c>
      <c r="T964" s="296" t="s">
        <v>3183</v>
      </c>
      <c r="U964" s="296" t="s">
        <v>3290</v>
      </c>
      <c r="V964" s="296" t="s">
        <v>355</v>
      </c>
      <c r="W964" s="296" t="s">
        <v>928</v>
      </c>
      <c r="X964" s="296" t="s">
        <v>928</v>
      </c>
    </row>
    <row r="965" spans="1:24" ht="13.5" x14ac:dyDescent="0.15">
      <c r="A965" s="296">
        <v>3783810</v>
      </c>
      <c r="B965" s="296" t="s">
        <v>351</v>
      </c>
      <c r="C965" s="296" t="s">
        <v>1801</v>
      </c>
      <c r="D965" s="296" t="s">
        <v>353</v>
      </c>
      <c r="E965" s="296" t="s">
        <v>116</v>
      </c>
      <c r="F965" s="296">
        <v>3</v>
      </c>
      <c r="G965" s="296" t="s">
        <v>19</v>
      </c>
      <c r="H965" s="296" t="s">
        <v>20</v>
      </c>
      <c r="I965" s="296" t="s">
        <v>205</v>
      </c>
      <c r="J965" s="296" t="s">
        <v>928</v>
      </c>
      <c r="K965" s="296" t="s">
        <v>216</v>
      </c>
      <c r="L965" s="296">
        <v>50</v>
      </c>
      <c r="M965" s="296" t="s">
        <v>217</v>
      </c>
      <c r="N965" s="296">
        <v>1120</v>
      </c>
      <c r="O965" s="296">
        <v>1120</v>
      </c>
      <c r="P965" s="296">
        <v>5000</v>
      </c>
      <c r="Q965" s="296">
        <v>2</v>
      </c>
      <c r="R965" s="296">
        <v>48</v>
      </c>
      <c r="S965" s="296" t="s">
        <v>354</v>
      </c>
      <c r="T965" s="296" t="s">
        <v>3183</v>
      </c>
      <c r="U965" s="296" t="s">
        <v>3291</v>
      </c>
      <c r="V965" s="296" t="s">
        <v>355</v>
      </c>
      <c r="W965" s="296" t="s">
        <v>928</v>
      </c>
      <c r="X965" s="296" t="s">
        <v>928</v>
      </c>
    </row>
    <row r="966" spans="1:24" ht="13.5" x14ac:dyDescent="0.15">
      <c r="A966" s="296">
        <v>3783811</v>
      </c>
      <c r="B966" s="296" t="s">
        <v>351</v>
      </c>
      <c r="C966" s="296" t="s">
        <v>1801</v>
      </c>
      <c r="D966" s="296" t="s">
        <v>353</v>
      </c>
      <c r="E966" s="296" t="s">
        <v>116</v>
      </c>
      <c r="F966" s="296">
        <v>3</v>
      </c>
      <c r="G966" s="296" t="s">
        <v>19</v>
      </c>
      <c r="H966" s="296" t="s">
        <v>20</v>
      </c>
      <c r="I966" s="296" t="s">
        <v>205</v>
      </c>
      <c r="J966" s="296" t="s">
        <v>928</v>
      </c>
      <c r="K966" s="296" t="s">
        <v>218</v>
      </c>
      <c r="L966" s="296">
        <v>25</v>
      </c>
      <c r="M966" s="296" t="s">
        <v>219</v>
      </c>
      <c r="N966" s="296">
        <v>1000</v>
      </c>
      <c r="O966" s="296">
        <v>1000</v>
      </c>
      <c r="P966" s="296">
        <v>4000</v>
      </c>
      <c r="Q966" s="296">
        <v>2</v>
      </c>
      <c r="R966" s="296">
        <v>4</v>
      </c>
      <c r="S966" s="296" t="s">
        <v>354</v>
      </c>
      <c r="T966" s="296" t="s">
        <v>3183</v>
      </c>
      <c r="U966" s="296" t="s">
        <v>3286</v>
      </c>
      <c r="V966" s="296" t="s">
        <v>355</v>
      </c>
      <c r="W966" s="296" t="s">
        <v>928</v>
      </c>
      <c r="X966" s="296" t="s">
        <v>928</v>
      </c>
    </row>
    <row r="967" spans="1:24" ht="13.5" x14ac:dyDescent="0.15">
      <c r="A967" s="296">
        <v>3783812</v>
      </c>
      <c r="B967" s="296" t="s">
        <v>351</v>
      </c>
      <c r="C967" s="296" t="s">
        <v>1801</v>
      </c>
      <c r="D967" s="296" t="s">
        <v>353</v>
      </c>
      <c r="E967" s="296" t="s">
        <v>116</v>
      </c>
      <c r="F967" s="296">
        <v>3</v>
      </c>
      <c r="G967" s="296" t="s">
        <v>19</v>
      </c>
      <c r="H967" s="296" t="s">
        <v>20</v>
      </c>
      <c r="I967" s="296" t="s">
        <v>205</v>
      </c>
      <c r="J967" s="296" t="s">
        <v>928</v>
      </c>
      <c r="K967" s="296" t="s">
        <v>218</v>
      </c>
      <c r="L967" s="296">
        <v>50</v>
      </c>
      <c r="M967" s="296" t="s">
        <v>219</v>
      </c>
      <c r="N967" s="296">
        <v>1000</v>
      </c>
      <c r="O967" s="296">
        <v>1000</v>
      </c>
      <c r="P967" s="296">
        <v>4000</v>
      </c>
      <c r="Q967" s="296">
        <v>2</v>
      </c>
      <c r="R967" s="296">
        <v>9</v>
      </c>
      <c r="S967" s="296" t="s">
        <v>354</v>
      </c>
      <c r="T967" s="296" t="s">
        <v>3183</v>
      </c>
      <c r="U967" s="296" t="s">
        <v>3286</v>
      </c>
      <c r="V967" s="296" t="s">
        <v>355</v>
      </c>
      <c r="W967" s="296" t="s">
        <v>928</v>
      </c>
      <c r="X967" s="296" t="s">
        <v>928</v>
      </c>
    </row>
    <row r="968" spans="1:24" ht="13.5" x14ac:dyDescent="0.15">
      <c r="A968" s="296">
        <v>3783813</v>
      </c>
      <c r="B968" s="296" t="s">
        <v>351</v>
      </c>
      <c r="C968" s="296" t="s">
        <v>1801</v>
      </c>
      <c r="D968" s="296" t="s">
        <v>353</v>
      </c>
      <c r="E968" s="296" t="s">
        <v>116</v>
      </c>
      <c r="F968" s="296" t="s">
        <v>158</v>
      </c>
      <c r="G968" s="296" t="s">
        <v>19</v>
      </c>
      <c r="H968" s="296" t="s">
        <v>20</v>
      </c>
      <c r="I968" s="296" t="s">
        <v>165</v>
      </c>
      <c r="J968" s="296" t="s">
        <v>928</v>
      </c>
      <c r="K968" s="296" t="s">
        <v>192</v>
      </c>
      <c r="L968" s="296">
        <v>50</v>
      </c>
      <c r="M968" s="296" t="s">
        <v>193</v>
      </c>
      <c r="N968" s="296">
        <v>1005</v>
      </c>
      <c r="O968" s="296">
        <v>1000</v>
      </c>
      <c r="P968" s="296">
        <v>4000</v>
      </c>
      <c r="Q968" s="296">
        <v>2</v>
      </c>
      <c r="R968" s="296">
        <v>6</v>
      </c>
      <c r="S968" s="296" t="s">
        <v>354</v>
      </c>
      <c r="T968" s="296" t="s">
        <v>3183</v>
      </c>
      <c r="U968" s="296" t="s">
        <v>3286</v>
      </c>
      <c r="V968" s="296" t="s">
        <v>355</v>
      </c>
      <c r="W968" s="296" t="s">
        <v>928</v>
      </c>
      <c r="X968" s="296" t="s">
        <v>928</v>
      </c>
    </row>
    <row r="969" spans="1:24" ht="13.5" x14ac:dyDescent="0.15">
      <c r="A969" s="296">
        <v>3783814</v>
      </c>
      <c r="B969" s="296" t="s">
        <v>351</v>
      </c>
      <c r="C969" s="296" t="s">
        <v>1801</v>
      </c>
      <c r="D969" s="296" t="s">
        <v>353</v>
      </c>
      <c r="E969" s="296" t="s">
        <v>116</v>
      </c>
      <c r="F969" s="296" t="s">
        <v>158</v>
      </c>
      <c r="G969" s="296" t="s">
        <v>19</v>
      </c>
      <c r="H969" s="296" t="s">
        <v>20</v>
      </c>
      <c r="I969" s="296" t="s">
        <v>165</v>
      </c>
      <c r="J969" s="296" t="s">
        <v>928</v>
      </c>
      <c r="K969" s="296" t="s">
        <v>195</v>
      </c>
      <c r="L969" s="296">
        <v>50</v>
      </c>
      <c r="M969" s="296" t="s">
        <v>196</v>
      </c>
      <c r="N969" s="296">
        <v>1005</v>
      </c>
      <c r="O969" s="296">
        <v>1000</v>
      </c>
      <c r="P969" s="296">
        <v>4000</v>
      </c>
      <c r="Q969" s="296">
        <v>2</v>
      </c>
      <c r="R969" s="296">
        <v>3</v>
      </c>
      <c r="S969" s="296" t="s">
        <v>354</v>
      </c>
      <c r="T969" s="296" t="s">
        <v>3183</v>
      </c>
      <c r="U969" s="296" t="s">
        <v>3286</v>
      </c>
      <c r="V969" s="296" t="s">
        <v>355</v>
      </c>
      <c r="W969" s="296" t="s">
        <v>928</v>
      </c>
      <c r="X969" s="296" t="s">
        <v>928</v>
      </c>
    </row>
    <row r="970" spans="1:24" ht="13.5" x14ac:dyDescent="0.15">
      <c r="A970" s="296">
        <v>3783815</v>
      </c>
      <c r="B970" s="296" t="s">
        <v>351</v>
      </c>
      <c r="C970" s="296" t="s">
        <v>1801</v>
      </c>
      <c r="D970" s="296" t="s">
        <v>353</v>
      </c>
      <c r="E970" s="296" t="s">
        <v>116</v>
      </c>
      <c r="F970" s="296" t="s">
        <v>158</v>
      </c>
      <c r="G970" s="296" t="s">
        <v>19</v>
      </c>
      <c r="H970" s="296" t="s">
        <v>20</v>
      </c>
      <c r="I970" s="296" t="s">
        <v>165</v>
      </c>
      <c r="J970" s="296" t="s">
        <v>928</v>
      </c>
      <c r="K970" s="296" t="s">
        <v>197</v>
      </c>
      <c r="L970" s="296">
        <v>50</v>
      </c>
      <c r="M970" s="296" t="s">
        <v>198</v>
      </c>
      <c r="N970" s="296">
        <v>1005</v>
      </c>
      <c r="O970" s="296">
        <v>1000</v>
      </c>
      <c r="P970" s="296">
        <v>4100</v>
      </c>
      <c r="Q970" s="296">
        <v>2</v>
      </c>
      <c r="R970" s="296">
        <v>6</v>
      </c>
      <c r="S970" s="296" t="s">
        <v>354</v>
      </c>
      <c r="T970" s="296" t="s">
        <v>3183</v>
      </c>
      <c r="U970" s="296" t="s">
        <v>3286</v>
      </c>
      <c r="V970" s="296" t="s">
        <v>355</v>
      </c>
      <c r="W970" s="296" t="s">
        <v>928</v>
      </c>
      <c r="X970" s="296" t="s">
        <v>928</v>
      </c>
    </row>
    <row r="971" spans="1:24" ht="13.5" x14ac:dyDescent="0.15">
      <c r="A971" s="296">
        <v>3783816</v>
      </c>
      <c r="B971" s="296" t="s">
        <v>351</v>
      </c>
      <c r="C971" s="296" t="s">
        <v>1801</v>
      </c>
      <c r="D971" s="296" t="s">
        <v>353</v>
      </c>
      <c r="E971" s="296" t="s">
        <v>116</v>
      </c>
      <c r="F971" s="296">
        <v>3</v>
      </c>
      <c r="G971" s="296" t="s">
        <v>19</v>
      </c>
      <c r="H971" s="296" t="s">
        <v>20</v>
      </c>
      <c r="I971" s="296" t="s">
        <v>205</v>
      </c>
      <c r="J971" s="296" t="s">
        <v>928</v>
      </c>
      <c r="K971" s="296" t="s">
        <v>221</v>
      </c>
      <c r="L971" s="296">
        <v>25</v>
      </c>
      <c r="M971" s="296" t="s">
        <v>222</v>
      </c>
      <c r="N971" s="296">
        <v>1100</v>
      </c>
      <c r="O971" s="296">
        <v>1100</v>
      </c>
      <c r="P971" s="296">
        <v>6000</v>
      </c>
      <c r="Q971" s="296">
        <v>2</v>
      </c>
      <c r="R971" s="296">
        <v>12</v>
      </c>
      <c r="S971" s="296" t="s">
        <v>354</v>
      </c>
      <c r="T971" s="296" t="s">
        <v>3183</v>
      </c>
      <c r="U971" s="296" t="s">
        <v>3286</v>
      </c>
      <c r="V971" s="296" t="s">
        <v>355</v>
      </c>
      <c r="W971" s="296" t="s">
        <v>928</v>
      </c>
      <c r="X971" s="296" t="s">
        <v>928</v>
      </c>
    </row>
    <row r="972" spans="1:24" ht="13.5" x14ac:dyDescent="0.15">
      <c r="A972" s="296">
        <v>3783817</v>
      </c>
      <c r="B972" s="296" t="s">
        <v>423</v>
      </c>
      <c r="C972" s="296" t="s">
        <v>1801</v>
      </c>
      <c r="D972" s="296" t="s">
        <v>353</v>
      </c>
      <c r="E972" s="296" t="s">
        <v>116</v>
      </c>
      <c r="F972" s="296">
        <v>3</v>
      </c>
      <c r="G972" s="296" t="s">
        <v>265</v>
      </c>
      <c r="H972" s="296" t="s">
        <v>20</v>
      </c>
      <c r="I972" s="296" t="s">
        <v>165</v>
      </c>
      <c r="J972" s="296" t="s">
        <v>928</v>
      </c>
      <c r="K972" s="296" t="s">
        <v>172</v>
      </c>
      <c r="L972" s="296">
        <v>50</v>
      </c>
      <c r="M972" s="296" t="s">
        <v>173</v>
      </c>
      <c r="N972" s="296">
        <v>1005</v>
      </c>
      <c r="O972" s="296">
        <v>1000</v>
      </c>
      <c r="P972" s="296">
        <v>4000</v>
      </c>
      <c r="Q972" s="296">
        <v>2</v>
      </c>
      <c r="R972" s="296">
        <v>2</v>
      </c>
      <c r="S972" s="296" t="s">
        <v>354</v>
      </c>
      <c r="T972" s="296" t="s">
        <v>3183</v>
      </c>
      <c r="U972" s="296" t="s">
        <v>3286</v>
      </c>
      <c r="V972" s="296" t="s">
        <v>355</v>
      </c>
      <c r="W972" s="296" t="s">
        <v>928</v>
      </c>
      <c r="X972" s="296" t="s">
        <v>928</v>
      </c>
    </row>
    <row r="973" spans="1:24" ht="13.5" x14ac:dyDescent="0.15">
      <c r="A973" s="296">
        <v>3783818</v>
      </c>
      <c r="B973" s="296" t="s">
        <v>423</v>
      </c>
      <c r="C973" s="296" t="s">
        <v>1801</v>
      </c>
      <c r="D973" s="296" t="s">
        <v>353</v>
      </c>
      <c r="E973" s="296" t="s">
        <v>116</v>
      </c>
      <c r="F973" s="296">
        <v>3</v>
      </c>
      <c r="G973" s="296" t="s">
        <v>265</v>
      </c>
      <c r="H973" s="296" t="s">
        <v>20</v>
      </c>
      <c r="I973" s="296" t="s">
        <v>165</v>
      </c>
      <c r="J973" s="296" t="s">
        <v>928</v>
      </c>
      <c r="K973" s="296" t="s">
        <v>176</v>
      </c>
      <c r="L973" s="296">
        <v>50</v>
      </c>
      <c r="M973" s="296" t="s">
        <v>177</v>
      </c>
      <c r="N973" s="296">
        <v>1005</v>
      </c>
      <c r="O973" s="296">
        <v>1000</v>
      </c>
      <c r="P973" s="296">
        <v>4100</v>
      </c>
      <c r="Q973" s="296">
        <v>2</v>
      </c>
      <c r="R973" s="296">
        <v>6</v>
      </c>
      <c r="S973" s="296" t="s">
        <v>354</v>
      </c>
      <c r="T973" s="296" t="s">
        <v>3183</v>
      </c>
      <c r="U973" s="296" t="s">
        <v>3286</v>
      </c>
      <c r="V973" s="296" t="s">
        <v>355</v>
      </c>
      <c r="W973" s="296" t="s">
        <v>928</v>
      </c>
      <c r="X973" s="296" t="s">
        <v>928</v>
      </c>
    </row>
    <row r="974" spans="1:24" ht="13.5" x14ac:dyDescent="0.15">
      <c r="A974" s="296">
        <v>3783819</v>
      </c>
      <c r="B974" s="296" t="s">
        <v>351</v>
      </c>
      <c r="C974" s="296" t="s">
        <v>1801</v>
      </c>
      <c r="D974" s="296" t="s">
        <v>353</v>
      </c>
      <c r="E974" s="296" t="s">
        <v>116</v>
      </c>
      <c r="F974" s="296" t="s">
        <v>96</v>
      </c>
      <c r="G974" s="296" t="s">
        <v>19</v>
      </c>
      <c r="H974" s="296" t="s">
        <v>28</v>
      </c>
      <c r="I974" s="296" t="s">
        <v>205</v>
      </c>
      <c r="J974" s="296" t="s">
        <v>928</v>
      </c>
      <c r="K974" s="296" t="s">
        <v>237</v>
      </c>
      <c r="L974" s="296">
        <v>50</v>
      </c>
      <c r="M974" s="296" t="s">
        <v>238</v>
      </c>
      <c r="N974" s="296">
        <v>1120</v>
      </c>
      <c r="O974" s="296">
        <v>1120</v>
      </c>
      <c r="P974" s="296">
        <v>4000</v>
      </c>
      <c r="Q974" s="296">
        <v>2</v>
      </c>
      <c r="R974" s="296">
        <v>3</v>
      </c>
      <c r="S974" s="296" t="s">
        <v>354</v>
      </c>
      <c r="T974" s="296" t="s">
        <v>3183</v>
      </c>
      <c r="U974" s="296" t="s">
        <v>3285</v>
      </c>
      <c r="V974" s="296" t="s">
        <v>355</v>
      </c>
      <c r="W974" s="296" t="s">
        <v>928</v>
      </c>
      <c r="X974" s="296" t="s">
        <v>928</v>
      </c>
    </row>
    <row r="975" spans="1:24" ht="13.5" x14ac:dyDescent="0.15">
      <c r="A975" s="296">
        <v>3783820</v>
      </c>
      <c r="B975" s="296" t="s">
        <v>351</v>
      </c>
      <c r="C975" s="296" t="s">
        <v>1801</v>
      </c>
      <c r="D975" s="296" t="s">
        <v>353</v>
      </c>
      <c r="E975" s="296" t="s">
        <v>116</v>
      </c>
      <c r="F975" s="296" t="s">
        <v>96</v>
      </c>
      <c r="G975" s="296" t="s">
        <v>19</v>
      </c>
      <c r="H975" s="296" t="s">
        <v>28</v>
      </c>
      <c r="I975" s="296" t="s">
        <v>205</v>
      </c>
      <c r="J975" s="296" t="s">
        <v>928</v>
      </c>
      <c r="K975" s="296" t="s">
        <v>237</v>
      </c>
      <c r="L975" s="296">
        <v>50</v>
      </c>
      <c r="M975" s="296" t="s">
        <v>238</v>
      </c>
      <c r="N975" s="296">
        <v>1120</v>
      </c>
      <c r="O975" s="296">
        <v>1120</v>
      </c>
      <c r="P975" s="296">
        <v>4000</v>
      </c>
      <c r="Q975" s="296">
        <v>2</v>
      </c>
      <c r="R975" s="296">
        <v>6</v>
      </c>
      <c r="S975" s="296" t="s">
        <v>354</v>
      </c>
      <c r="T975" s="296" t="s">
        <v>3183</v>
      </c>
      <c r="U975" s="296" t="s">
        <v>3285</v>
      </c>
      <c r="V975" s="296" t="s">
        <v>355</v>
      </c>
      <c r="W975" s="296" t="s">
        <v>928</v>
      </c>
      <c r="X975" s="296" t="s">
        <v>928</v>
      </c>
    </row>
    <row r="976" spans="1:24" ht="13.5" x14ac:dyDescent="0.15">
      <c r="A976" s="296">
        <v>3783821</v>
      </c>
      <c r="B976" s="296" t="s">
        <v>351</v>
      </c>
      <c r="C976" s="296" t="s">
        <v>1801</v>
      </c>
      <c r="D976" s="296" t="s">
        <v>353</v>
      </c>
      <c r="E976" s="296" t="s">
        <v>116</v>
      </c>
      <c r="F976" s="296">
        <v>3</v>
      </c>
      <c r="G976" s="296" t="s">
        <v>19</v>
      </c>
      <c r="H976" s="296" t="s">
        <v>28</v>
      </c>
      <c r="I976" s="296" t="s">
        <v>205</v>
      </c>
      <c r="J976" s="296" t="s">
        <v>928</v>
      </c>
      <c r="K976" s="296" t="s">
        <v>237</v>
      </c>
      <c r="L976" s="296">
        <v>25</v>
      </c>
      <c r="M976" s="296" t="s">
        <v>238</v>
      </c>
      <c r="N976" s="296">
        <v>1120</v>
      </c>
      <c r="O976" s="296">
        <v>1120</v>
      </c>
      <c r="P976" s="296">
        <v>8000</v>
      </c>
      <c r="Q976" s="296">
        <v>2</v>
      </c>
      <c r="R976" s="296">
        <v>2</v>
      </c>
      <c r="S976" s="296" t="s">
        <v>354</v>
      </c>
      <c r="T976" s="296" t="s">
        <v>3183</v>
      </c>
      <c r="U976" s="296" t="s">
        <v>3285</v>
      </c>
      <c r="V976" s="296" t="s">
        <v>355</v>
      </c>
      <c r="W976" s="296" t="s">
        <v>928</v>
      </c>
      <c r="X976" s="296" t="s">
        <v>928</v>
      </c>
    </row>
    <row r="977" spans="1:24" ht="13.5" x14ac:dyDescent="0.15">
      <c r="A977" s="296">
        <v>3783822</v>
      </c>
      <c r="B977" s="296" t="s">
        <v>351</v>
      </c>
      <c r="C977" s="296" t="s">
        <v>1801</v>
      </c>
      <c r="D977" s="296" t="s">
        <v>353</v>
      </c>
      <c r="E977" s="296" t="s">
        <v>116</v>
      </c>
      <c r="F977" s="296">
        <v>3</v>
      </c>
      <c r="G977" s="296" t="s">
        <v>19</v>
      </c>
      <c r="H977" s="296" t="s">
        <v>28</v>
      </c>
      <c r="I977" s="296" t="s">
        <v>205</v>
      </c>
      <c r="J977" s="296" t="s">
        <v>928</v>
      </c>
      <c r="K977" s="296" t="s">
        <v>233</v>
      </c>
      <c r="L977" s="296">
        <v>50</v>
      </c>
      <c r="M977" s="296" t="s">
        <v>234</v>
      </c>
      <c r="N977" s="296">
        <v>1120</v>
      </c>
      <c r="O977" s="296">
        <v>1120</v>
      </c>
      <c r="P977" s="296">
        <v>4000</v>
      </c>
      <c r="Q977" s="296">
        <v>2</v>
      </c>
      <c r="R977" s="296">
        <v>10</v>
      </c>
      <c r="S977" s="296" t="s">
        <v>354</v>
      </c>
      <c r="T977" s="296" t="s">
        <v>3183</v>
      </c>
      <c r="U977" s="296" t="s">
        <v>3285</v>
      </c>
      <c r="V977" s="296" t="s">
        <v>355</v>
      </c>
      <c r="W977" s="296" t="s">
        <v>928</v>
      </c>
      <c r="X977" s="296" t="s">
        <v>928</v>
      </c>
    </row>
    <row r="978" spans="1:24" ht="13.5" x14ac:dyDescent="0.15">
      <c r="A978" s="296">
        <v>3783823</v>
      </c>
      <c r="B978" s="296" t="s">
        <v>351</v>
      </c>
      <c r="C978" s="296" t="s">
        <v>1801</v>
      </c>
      <c r="D978" s="296" t="s">
        <v>353</v>
      </c>
      <c r="E978" s="296" t="s">
        <v>116</v>
      </c>
      <c r="F978" s="296">
        <v>3</v>
      </c>
      <c r="G978" s="296" t="s">
        <v>19</v>
      </c>
      <c r="H978" s="296" t="s">
        <v>28</v>
      </c>
      <c r="I978" s="296" t="s">
        <v>205</v>
      </c>
      <c r="J978" s="296" t="s">
        <v>928</v>
      </c>
      <c r="K978" s="296" t="s">
        <v>235</v>
      </c>
      <c r="L978" s="296">
        <v>50</v>
      </c>
      <c r="M978" s="296" t="s">
        <v>236</v>
      </c>
      <c r="N978" s="296">
        <v>1120</v>
      </c>
      <c r="O978" s="296">
        <v>1120</v>
      </c>
      <c r="P978" s="296">
        <v>4000</v>
      </c>
      <c r="Q978" s="296">
        <v>2</v>
      </c>
      <c r="R978" s="296">
        <v>10</v>
      </c>
      <c r="S978" s="296" t="s">
        <v>354</v>
      </c>
      <c r="T978" s="296" t="s">
        <v>3183</v>
      </c>
      <c r="U978" s="296" t="s">
        <v>3285</v>
      </c>
      <c r="V978" s="296" t="s">
        <v>355</v>
      </c>
      <c r="W978" s="296" t="s">
        <v>928</v>
      </c>
      <c r="X978" s="296" t="s">
        <v>928</v>
      </c>
    </row>
    <row r="979" spans="1:24" ht="13.5" x14ac:dyDescent="0.15">
      <c r="A979" s="296">
        <v>3783824</v>
      </c>
      <c r="B979" s="296" t="s">
        <v>351</v>
      </c>
      <c r="C979" s="296" t="s">
        <v>1801</v>
      </c>
      <c r="D979" s="296" t="s">
        <v>353</v>
      </c>
      <c r="E979" s="296" t="s">
        <v>116</v>
      </c>
      <c r="F979" s="296">
        <v>3</v>
      </c>
      <c r="G979" s="296" t="s">
        <v>19</v>
      </c>
      <c r="H979" s="296" t="s">
        <v>28</v>
      </c>
      <c r="I979" s="296" t="s">
        <v>205</v>
      </c>
      <c r="J979" s="296" t="s">
        <v>928</v>
      </c>
      <c r="K979" s="296" t="s">
        <v>233</v>
      </c>
      <c r="L979" s="296">
        <v>50</v>
      </c>
      <c r="M979" s="296" t="s">
        <v>234</v>
      </c>
      <c r="N979" s="296">
        <v>1120</v>
      </c>
      <c r="O979" s="296">
        <v>1120</v>
      </c>
      <c r="P979" s="296">
        <v>4000</v>
      </c>
      <c r="Q979" s="296">
        <v>2</v>
      </c>
      <c r="R979" s="296">
        <v>4</v>
      </c>
      <c r="S979" s="296" t="s">
        <v>354</v>
      </c>
      <c r="T979" s="296" t="s">
        <v>3183</v>
      </c>
      <c r="U979" s="296" t="s">
        <v>3285</v>
      </c>
      <c r="V979" s="296" t="s">
        <v>355</v>
      </c>
      <c r="W979" s="296" t="s">
        <v>928</v>
      </c>
      <c r="X979" s="296" t="s">
        <v>928</v>
      </c>
    </row>
    <row r="980" spans="1:24" ht="13.5" x14ac:dyDescent="0.15">
      <c r="A980" s="296">
        <v>3783831</v>
      </c>
      <c r="B980" s="296" t="s">
        <v>351</v>
      </c>
      <c r="C980" s="296" t="s">
        <v>1801</v>
      </c>
      <c r="D980" s="296" t="s">
        <v>353</v>
      </c>
      <c r="E980" s="296" t="s">
        <v>116</v>
      </c>
      <c r="F980" s="296">
        <v>3</v>
      </c>
      <c r="G980" s="296" t="s">
        <v>19</v>
      </c>
      <c r="H980" s="296" t="s">
        <v>20</v>
      </c>
      <c r="I980" s="296" t="s">
        <v>205</v>
      </c>
      <c r="J980" s="296" t="s">
        <v>928</v>
      </c>
      <c r="K980" s="296" t="s">
        <v>211</v>
      </c>
      <c r="L980" s="296">
        <v>75</v>
      </c>
      <c r="M980" s="296" t="s">
        <v>370</v>
      </c>
      <c r="N980" s="296">
        <v>1050</v>
      </c>
      <c r="O980" s="296">
        <v>1050</v>
      </c>
      <c r="P980" s="296">
        <v>2000</v>
      </c>
      <c r="Q980" s="296">
        <v>2</v>
      </c>
      <c r="R980" s="296">
        <v>2</v>
      </c>
      <c r="S980" s="296" t="s">
        <v>354</v>
      </c>
      <c r="T980" s="296" t="s">
        <v>3183</v>
      </c>
      <c r="U980" s="296" t="s">
        <v>3290</v>
      </c>
      <c r="V980" s="296" t="s">
        <v>355</v>
      </c>
      <c r="W980" s="296" t="s">
        <v>928</v>
      </c>
      <c r="X980" s="296" t="s">
        <v>928</v>
      </c>
    </row>
    <row r="981" spans="1:24" ht="13.5" x14ac:dyDescent="0.15">
      <c r="A981" s="296">
        <v>3784725</v>
      </c>
      <c r="B981" s="296" t="s">
        <v>423</v>
      </c>
      <c r="C981" s="296" t="s">
        <v>1801</v>
      </c>
      <c r="D981" s="296" t="s">
        <v>353</v>
      </c>
      <c r="E981" s="296" t="s">
        <v>316</v>
      </c>
      <c r="F981" s="296">
        <v>3</v>
      </c>
      <c r="G981" s="296" t="s">
        <v>265</v>
      </c>
      <c r="H981" s="296" t="s">
        <v>20</v>
      </c>
      <c r="I981" s="296" t="s">
        <v>312</v>
      </c>
      <c r="J981" s="296" t="s">
        <v>928</v>
      </c>
      <c r="K981" s="296" t="s">
        <v>317</v>
      </c>
      <c r="L981" s="296">
        <v>50</v>
      </c>
      <c r="M981" s="296" t="s">
        <v>318</v>
      </c>
      <c r="N981" s="296">
        <v>680</v>
      </c>
      <c r="O981" s="296">
        <v>680</v>
      </c>
      <c r="P981" s="296">
        <v>2000</v>
      </c>
      <c r="Q981" s="296">
        <v>2</v>
      </c>
      <c r="R981" s="296">
        <v>4</v>
      </c>
      <c r="S981" s="296" t="s">
        <v>354</v>
      </c>
      <c r="T981" s="296" t="s">
        <v>3324</v>
      </c>
      <c r="U981" s="296" t="s">
        <v>3285</v>
      </c>
      <c r="V981" s="296" t="s">
        <v>355</v>
      </c>
      <c r="W981" s="296" t="s">
        <v>928</v>
      </c>
      <c r="X981" s="296" t="s">
        <v>928</v>
      </c>
    </row>
    <row r="982" spans="1:24" ht="13.5" x14ac:dyDescent="0.15">
      <c r="A982" s="296">
        <v>3784730</v>
      </c>
      <c r="B982" s="296" t="s">
        <v>423</v>
      </c>
      <c r="C982" s="296" t="s">
        <v>1803</v>
      </c>
      <c r="D982" s="296" t="s">
        <v>353</v>
      </c>
      <c r="E982" s="296" t="s">
        <v>61</v>
      </c>
      <c r="F982" s="296">
        <v>3</v>
      </c>
      <c r="G982" s="296" t="s">
        <v>265</v>
      </c>
      <c r="H982" s="296" t="s">
        <v>20</v>
      </c>
      <c r="I982" s="296" t="s">
        <v>205</v>
      </c>
      <c r="J982" s="296" t="s">
        <v>928</v>
      </c>
      <c r="K982" s="296" t="s">
        <v>242</v>
      </c>
      <c r="L982" s="296">
        <v>50</v>
      </c>
      <c r="M982" s="296" t="s">
        <v>243</v>
      </c>
      <c r="N982" s="296">
        <v>1255</v>
      </c>
      <c r="O982" s="296">
        <v>1250</v>
      </c>
      <c r="P982" s="296">
        <v>3000</v>
      </c>
      <c r="Q982" s="296">
        <v>2</v>
      </c>
      <c r="R982" s="296">
        <v>4</v>
      </c>
      <c r="S982" s="296" t="s">
        <v>354</v>
      </c>
      <c r="T982" s="296" t="s">
        <v>3324</v>
      </c>
      <c r="U982" s="296" t="s">
        <v>3285</v>
      </c>
      <c r="V982" s="296" t="s">
        <v>355</v>
      </c>
      <c r="W982" s="296" t="s">
        <v>928</v>
      </c>
      <c r="X982" s="296" t="s">
        <v>928</v>
      </c>
    </row>
    <row r="983" spans="1:24" ht="13.5" x14ac:dyDescent="0.15">
      <c r="A983" s="296">
        <v>3785949</v>
      </c>
      <c r="B983" s="296" t="s">
        <v>351</v>
      </c>
      <c r="C983" s="296" t="s">
        <v>1801</v>
      </c>
      <c r="D983" s="296" t="s">
        <v>353</v>
      </c>
      <c r="E983" s="296" t="s">
        <v>116</v>
      </c>
      <c r="F983" s="296">
        <v>3</v>
      </c>
      <c r="G983" s="296" t="s">
        <v>19</v>
      </c>
      <c r="H983" s="296" t="s">
        <v>28</v>
      </c>
      <c r="I983" s="296" t="s">
        <v>205</v>
      </c>
      <c r="J983" s="296" t="s">
        <v>928</v>
      </c>
      <c r="K983" s="296" t="s">
        <v>212</v>
      </c>
      <c r="L983" s="296">
        <v>25</v>
      </c>
      <c r="M983" s="296" t="s">
        <v>2758</v>
      </c>
      <c r="N983" s="296">
        <v>1120</v>
      </c>
      <c r="O983" s="296">
        <v>1120</v>
      </c>
      <c r="P983" s="296">
        <v>4000</v>
      </c>
      <c r="Q983" s="296">
        <v>2</v>
      </c>
      <c r="R983" s="296">
        <v>2</v>
      </c>
      <c r="S983" s="296" t="s">
        <v>354</v>
      </c>
      <c r="T983" s="296" t="s">
        <v>3336</v>
      </c>
      <c r="U983" s="296" t="s">
        <v>3337</v>
      </c>
      <c r="V983" s="296" t="s">
        <v>355</v>
      </c>
      <c r="W983" s="296" t="s">
        <v>928</v>
      </c>
      <c r="X983" s="296" t="s">
        <v>928</v>
      </c>
    </row>
    <row r="984" spans="1:24" ht="13.5" x14ac:dyDescent="0.15">
      <c r="A984" s="296">
        <v>3785950</v>
      </c>
      <c r="B984" s="296" t="s">
        <v>351</v>
      </c>
      <c r="C984" s="296" t="s">
        <v>1801</v>
      </c>
      <c r="D984" s="296" t="s">
        <v>353</v>
      </c>
      <c r="E984" s="296" t="s">
        <v>116</v>
      </c>
      <c r="F984" s="296">
        <v>3</v>
      </c>
      <c r="G984" s="296" t="s">
        <v>19</v>
      </c>
      <c r="H984" s="296" t="s">
        <v>20</v>
      </c>
      <c r="I984" s="296" t="s">
        <v>205</v>
      </c>
      <c r="J984" s="296" t="s">
        <v>928</v>
      </c>
      <c r="K984" s="296" t="s">
        <v>216</v>
      </c>
      <c r="L984" s="296">
        <v>50</v>
      </c>
      <c r="M984" s="296" t="s">
        <v>217</v>
      </c>
      <c r="N984" s="296">
        <v>1120</v>
      </c>
      <c r="O984" s="296">
        <v>1120</v>
      </c>
      <c r="P984" s="296">
        <v>5000</v>
      </c>
      <c r="Q984" s="296">
        <v>2</v>
      </c>
      <c r="R984" s="296">
        <v>10</v>
      </c>
      <c r="S984" s="296" t="s">
        <v>354</v>
      </c>
      <c r="T984" s="296" t="s">
        <v>3336</v>
      </c>
      <c r="U984" s="296" t="s">
        <v>3291</v>
      </c>
      <c r="V984" s="296" t="s">
        <v>355</v>
      </c>
      <c r="W984" s="296" t="s">
        <v>928</v>
      </c>
      <c r="X984" s="296" t="s">
        <v>928</v>
      </c>
    </row>
    <row r="985" spans="1:24" ht="13.5" x14ac:dyDescent="0.15">
      <c r="A985" s="296">
        <v>3785951</v>
      </c>
      <c r="B985" s="296" t="s">
        <v>351</v>
      </c>
      <c r="C985" s="296" t="s">
        <v>1801</v>
      </c>
      <c r="D985" s="296" t="s">
        <v>353</v>
      </c>
      <c r="E985" s="296" t="s">
        <v>116</v>
      </c>
      <c r="F985" s="296">
        <v>3</v>
      </c>
      <c r="G985" s="296" t="s">
        <v>19</v>
      </c>
      <c r="H985" s="296" t="s">
        <v>28</v>
      </c>
      <c r="I985" s="296" t="s">
        <v>205</v>
      </c>
      <c r="J985" s="296" t="s">
        <v>928</v>
      </c>
      <c r="K985" s="296" t="s">
        <v>240</v>
      </c>
      <c r="L985" s="296">
        <v>50</v>
      </c>
      <c r="M985" s="296" t="s">
        <v>241</v>
      </c>
      <c r="N985" s="296">
        <v>1120</v>
      </c>
      <c r="O985" s="296">
        <v>1120</v>
      </c>
      <c r="P985" s="296">
        <v>4000</v>
      </c>
      <c r="Q985" s="296">
        <v>2</v>
      </c>
      <c r="R985" s="296">
        <v>6</v>
      </c>
      <c r="S985" s="296" t="s">
        <v>354</v>
      </c>
      <c r="T985" s="296" t="s">
        <v>3336</v>
      </c>
      <c r="U985" s="296" t="s">
        <v>3285</v>
      </c>
      <c r="V985" s="296" t="s">
        <v>355</v>
      </c>
      <c r="W985" s="296" t="s">
        <v>928</v>
      </c>
      <c r="X985" s="296" t="s">
        <v>928</v>
      </c>
    </row>
    <row r="986" spans="1:24" ht="13.5" x14ac:dyDescent="0.15">
      <c r="A986" s="296">
        <v>3785952</v>
      </c>
      <c r="B986" s="296" t="s">
        <v>351</v>
      </c>
      <c r="C986" s="296" t="s">
        <v>1801</v>
      </c>
      <c r="D986" s="296" t="s">
        <v>353</v>
      </c>
      <c r="E986" s="296" t="s">
        <v>116</v>
      </c>
      <c r="F986" s="296">
        <v>3</v>
      </c>
      <c r="G986" s="296" t="s">
        <v>19</v>
      </c>
      <c r="H986" s="296" t="s">
        <v>28</v>
      </c>
      <c r="I986" s="296" t="s">
        <v>205</v>
      </c>
      <c r="J986" s="296" t="s">
        <v>928</v>
      </c>
      <c r="K986" s="296" t="s">
        <v>235</v>
      </c>
      <c r="L986" s="296">
        <v>50</v>
      </c>
      <c r="M986" s="296" t="s">
        <v>236</v>
      </c>
      <c r="N986" s="296">
        <v>1120</v>
      </c>
      <c r="O986" s="296">
        <v>1120</v>
      </c>
      <c r="P986" s="296">
        <v>4000</v>
      </c>
      <c r="Q986" s="296">
        <v>2</v>
      </c>
      <c r="R986" s="296">
        <v>9</v>
      </c>
      <c r="S986" s="296" t="s">
        <v>354</v>
      </c>
      <c r="T986" s="296" t="s">
        <v>3336</v>
      </c>
      <c r="U986" s="296" t="s">
        <v>3285</v>
      </c>
      <c r="V986" s="296" t="s">
        <v>355</v>
      </c>
      <c r="W986" s="296" t="s">
        <v>928</v>
      </c>
      <c r="X986" s="296" t="s">
        <v>928</v>
      </c>
    </row>
    <row r="987" spans="1:24" ht="13.5" x14ac:dyDescent="0.15">
      <c r="A987" s="296">
        <v>3785953</v>
      </c>
      <c r="B987" s="296" t="s">
        <v>351</v>
      </c>
      <c r="C987" s="296" t="s">
        <v>1801</v>
      </c>
      <c r="D987" s="296" t="s">
        <v>353</v>
      </c>
      <c r="E987" s="296" t="s">
        <v>116</v>
      </c>
      <c r="F987" s="296" t="s">
        <v>96</v>
      </c>
      <c r="G987" s="296" t="s">
        <v>19</v>
      </c>
      <c r="H987" s="296" t="s">
        <v>28</v>
      </c>
      <c r="I987" s="296" t="s">
        <v>205</v>
      </c>
      <c r="J987" s="296" t="s">
        <v>928</v>
      </c>
      <c r="K987" s="296" t="s">
        <v>237</v>
      </c>
      <c r="L987" s="296">
        <v>50</v>
      </c>
      <c r="M987" s="296" t="s">
        <v>238</v>
      </c>
      <c r="N987" s="296">
        <v>1120</v>
      </c>
      <c r="O987" s="296">
        <v>1120</v>
      </c>
      <c r="P987" s="296">
        <v>4000</v>
      </c>
      <c r="Q987" s="296">
        <v>2</v>
      </c>
      <c r="R987" s="296">
        <v>6</v>
      </c>
      <c r="S987" s="296" t="s">
        <v>354</v>
      </c>
      <c r="T987" s="296" t="s">
        <v>3336</v>
      </c>
      <c r="U987" s="296" t="s">
        <v>3285</v>
      </c>
      <c r="V987" s="296" t="s">
        <v>355</v>
      </c>
      <c r="W987" s="296" t="s">
        <v>928</v>
      </c>
      <c r="X987" s="296" t="s">
        <v>928</v>
      </c>
    </row>
    <row r="988" spans="1:24" ht="13.5" x14ac:dyDescent="0.15">
      <c r="A988" s="296">
        <v>3785954</v>
      </c>
      <c r="B988" s="296" t="s">
        <v>351</v>
      </c>
      <c r="C988" s="296" t="s">
        <v>1801</v>
      </c>
      <c r="D988" s="296" t="s">
        <v>353</v>
      </c>
      <c r="E988" s="296" t="s">
        <v>116</v>
      </c>
      <c r="F988" s="296">
        <v>3</v>
      </c>
      <c r="G988" s="296" t="s">
        <v>19</v>
      </c>
      <c r="H988" s="296" t="s">
        <v>20</v>
      </c>
      <c r="I988" s="296" t="s">
        <v>205</v>
      </c>
      <c r="J988" s="296" t="s">
        <v>928</v>
      </c>
      <c r="K988" s="296" t="s">
        <v>212</v>
      </c>
      <c r="L988" s="296">
        <v>25</v>
      </c>
      <c r="M988" s="296" t="s">
        <v>213</v>
      </c>
      <c r="N988" s="296">
        <v>1120</v>
      </c>
      <c r="O988" s="296">
        <v>1120</v>
      </c>
      <c r="P988" s="296">
        <v>4000</v>
      </c>
      <c r="Q988" s="296">
        <v>2</v>
      </c>
      <c r="R988" s="296">
        <v>3</v>
      </c>
      <c r="S988" s="296" t="s">
        <v>354</v>
      </c>
      <c r="T988" s="296" t="s">
        <v>3336</v>
      </c>
      <c r="U988" s="296" t="s">
        <v>3338</v>
      </c>
      <c r="V988" s="296" t="s">
        <v>355</v>
      </c>
      <c r="W988" s="296" t="s">
        <v>928</v>
      </c>
      <c r="X988" s="296" t="s">
        <v>928</v>
      </c>
    </row>
    <row r="989" spans="1:24" ht="13.5" x14ac:dyDescent="0.15">
      <c r="A989" s="296">
        <v>3786990</v>
      </c>
      <c r="B989" s="296" t="s">
        <v>423</v>
      </c>
      <c r="C989" s="296" t="s">
        <v>1801</v>
      </c>
      <c r="D989" s="296" t="s">
        <v>353</v>
      </c>
      <c r="E989" s="296" t="s">
        <v>316</v>
      </c>
      <c r="F989" s="296">
        <v>3</v>
      </c>
      <c r="G989" s="296" t="s">
        <v>265</v>
      </c>
      <c r="H989" s="296" t="s">
        <v>20</v>
      </c>
      <c r="I989" s="296" t="s">
        <v>312</v>
      </c>
      <c r="J989" s="296" t="s">
        <v>928</v>
      </c>
      <c r="K989" s="296" t="s">
        <v>317</v>
      </c>
      <c r="L989" s="296">
        <v>50</v>
      </c>
      <c r="M989" s="296" t="s">
        <v>318</v>
      </c>
      <c r="N989" s="296">
        <v>680</v>
      </c>
      <c r="O989" s="296">
        <v>680</v>
      </c>
      <c r="P989" s="296">
        <v>2000</v>
      </c>
      <c r="Q989" s="296">
        <v>2</v>
      </c>
      <c r="R989" s="296">
        <v>4</v>
      </c>
      <c r="S989" s="296" t="s">
        <v>354</v>
      </c>
      <c r="T989" s="296" t="s">
        <v>3184</v>
      </c>
      <c r="U989" s="296" t="s">
        <v>3289</v>
      </c>
      <c r="V989" s="296" t="s">
        <v>355</v>
      </c>
      <c r="W989" s="296" t="s">
        <v>928</v>
      </c>
      <c r="X989" s="296" t="s">
        <v>928</v>
      </c>
    </row>
    <row r="990" spans="1:24" ht="13.5" x14ac:dyDescent="0.15">
      <c r="A990" s="296">
        <v>3789424</v>
      </c>
      <c r="B990" s="296" t="s">
        <v>423</v>
      </c>
      <c r="C990" s="296" t="s">
        <v>1801</v>
      </c>
      <c r="D990" s="296" t="s">
        <v>353</v>
      </c>
      <c r="E990" s="296" t="s">
        <v>116</v>
      </c>
      <c r="F990" s="296">
        <v>3</v>
      </c>
      <c r="G990" s="296" t="s">
        <v>265</v>
      </c>
      <c r="H990" s="296" t="s">
        <v>20</v>
      </c>
      <c r="I990" s="296" t="s">
        <v>165</v>
      </c>
      <c r="J990" s="296" t="s">
        <v>928</v>
      </c>
      <c r="K990" s="296" t="s">
        <v>322</v>
      </c>
      <c r="L990" s="296">
        <v>50</v>
      </c>
      <c r="M990" s="296" t="s">
        <v>323</v>
      </c>
      <c r="N990" s="296">
        <v>1000</v>
      </c>
      <c r="O990" s="296">
        <v>1000</v>
      </c>
      <c r="P990" s="296">
        <v>2000</v>
      </c>
      <c r="Q990" s="296">
        <v>2</v>
      </c>
      <c r="R990" s="296">
        <v>1</v>
      </c>
      <c r="S990" s="296" t="s">
        <v>354</v>
      </c>
      <c r="T990" s="296" t="s">
        <v>3338</v>
      </c>
      <c r="U990" s="296" t="s">
        <v>3289</v>
      </c>
      <c r="V990" s="296" t="s">
        <v>355</v>
      </c>
      <c r="W990" s="296" t="s">
        <v>928</v>
      </c>
      <c r="X990" s="296" t="s">
        <v>928</v>
      </c>
    </row>
    <row r="991" spans="1:24" ht="13.5" x14ac:dyDescent="0.15">
      <c r="A991" s="296">
        <v>3789425</v>
      </c>
      <c r="B991" s="296" t="s">
        <v>423</v>
      </c>
      <c r="C991" s="296" t="s">
        <v>1801</v>
      </c>
      <c r="D991" s="296" t="s">
        <v>353</v>
      </c>
      <c r="E991" s="296" t="s">
        <v>116</v>
      </c>
      <c r="F991" s="296">
        <v>3</v>
      </c>
      <c r="G991" s="296" t="s">
        <v>265</v>
      </c>
      <c r="H991" s="296" t="s">
        <v>20</v>
      </c>
      <c r="I991" s="296" t="s">
        <v>165</v>
      </c>
      <c r="J991" s="296" t="s">
        <v>928</v>
      </c>
      <c r="K991" s="296" t="s">
        <v>319</v>
      </c>
      <c r="L991" s="296">
        <v>50</v>
      </c>
      <c r="M991" s="296" t="s">
        <v>483</v>
      </c>
      <c r="N991" s="296">
        <v>1000</v>
      </c>
      <c r="O991" s="296">
        <v>1000</v>
      </c>
      <c r="P991" s="296">
        <v>2000</v>
      </c>
      <c r="Q991" s="296">
        <v>2</v>
      </c>
      <c r="R991" s="296">
        <v>1</v>
      </c>
      <c r="S991" s="296" t="s">
        <v>354</v>
      </c>
      <c r="T991" s="296" t="s">
        <v>3338</v>
      </c>
      <c r="U991" s="296" t="s">
        <v>3289</v>
      </c>
      <c r="V991" s="296" t="s">
        <v>355</v>
      </c>
      <c r="W991" s="296" t="s">
        <v>928</v>
      </c>
      <c r="X991" s="296" t="s">
        <v>928</v>
      </c>
    </row>
    <row r="992" spans="1:24" ht="13.5" x14ac:dyDescent="0.15">
      <c r="A992" s="296">
        <v>3789511</v>
      </c>
      <c r="B992" s="296" t="s">
        <v>351</v>
      </c>
      <c r="C992" s="296" t="s">
        <v>1796</v>
      </c>
      <c r="D992" s="296" t="s">
        <v>353</v>
      </c>
      <c r="E992" s="296" t="s">
        <v>17</v>
      </c>
      <c r="F992" s="296">
        <v>3</v>
      </c>
      <c r="G992" s="296" t="s">
        <v>19</v>
      </c>
      <c r="H992" s="296" t="s">
        <v>20</v>
      </c>
      <c r="I992" s="296" t="s">
        <v>205</v>
      </c>
      <c r="J992" s="296" t="s">
        <v>928</v>
      </c>
      <c r="K992" s="296" t="s">
        <v>242</v>
      </c>
      <c r="L992" s="296">
        <v>75</v>
      </c>
      <c r="M992" s="296" t="s">
        <v>243</v>
      </c>
      <c r="N992" s="296">
        <v>1000</v>
      </c>
      <c r="O992" s="296">
        <v>1000</v>
      </c>
      <c r="P992" s="296">
        <v>1000</v>
      </c>
      <c r="Q992" s="296">
        <v>2</v>
      </c>
      <c r="R992" s="296">
        <v>2</v>
      </c>
      <c r="S992" s="296" t="s">
        <v>354</v>
      </c>
      <c r="T992" s="296" t="s">
        <v>3381</v>
      </c>
      <c r="U992" s="296" t="s">
        <v>3285</v>
      </c>
      <c r="V992" s="296" t="s">
        <v>355</v>
      </c>
      <c r="W992" s="296" t="s">
        <v>928</v>
      </c>
      <c r="X992" s="296" t="s">
        <v>928</v>
      </c>
    </row>
    <row r="993" spans="1:24" ht="13.5" x14ac:dyDescent="0.15">
      <c r="A993" s="296">
        <v>3790245</v>
      </c>
      <c r="B993" s="296" t="s">
        <v>351</v>
      </c>
      <c r="C993" s="296" t="s">
        <v>1801</v>
      </c>
      <c r="D993" s="296" t="s">
        <v>353</v>
      </c>
      <c r="E993" s="296" t="s">
        <v>171</v>
      </c>
      <c r="F993" s="296">
        <v>3</v>
      </c>
      <c r="G993" s="296" t="s">
        <v>19</v>
      </c>
      <c r="H993" s="296" t="s">
        <v>20</v>
      </c>
      <c r="I993" s="296" t="s">
        <v>165</v>
      </c>
      <c r="J993" s="296" t="s">
        <v>928</v>
      </c>
      <c r="K993" s="296" t="s">
        <v>180</v>
      </c>
      <c r="L993" s="296">
        <v>50</v>
      </c>
      <c r="M993" s="296" t="s">
        <v>181</v>
      </c>
      <c r="N993" s="296">
        <v>1200</v>
      </c>
      <c r="O993" s="296">
        <v>1190</v>
      </c>
      <c r="P993" s="296">
        <v>6000</v>
      </c>
      <c r="Q993" s="296">
        <v>2</v>
      </c>
      <c r="R993" s="296">
        <v>10</v>
      </c>
      <c r="S993" s="296" t="s">
        <v>354</v>
      </c>
      <c r="T993" s="296" t="s">
        <v>3388</v>
      </c>
      <c r="U993" s="296" t="s">
        <v>3391</v>
      </c>
      <c r="V993" s="296" t="s">
        <v>355</v>
      </c>
      <c r="W993" s="296" t="s">
        <v>928</v>
      </c>
      <c r="X993" s="296" t="s">
        <v>928</v>
      </c>
    </row>
    <row r="994" spans="1:24" ht="13.5" x14ac:dyDescent="0.15">
      <c r="A994" s="296">
        <v>3790246</v>
      </c>
      <c r="B994" s="296" t="s">
        <v>423</v>
      </c>
      <c r="C994" s="296" t="s">
        <v>1801</v>
      </c>
      <c r="D994" s="296" t="s">
        <v>353</v>
      </c>
      <c r="E994" s="296" t="s">
        <v>316</v>
      </c>
      <c r="F994" s="296">
        <v>3</v>
      </c>
      <c r="G994" s="296" t="s">
        <v>265</v>
      </c>
      <c r="H994" s="296" t="s">
        <v>20</v>
      </c>
      <c r="I994" s="296" t="s">
        <v>312</v>
      </c>
      <c r="J994" s="296" t="s">
        <v>928</v>
      </c>
      <c r="K994" s="296" t="s">
        <v>317</v>
      </c>
      <c r="L994" s="296">
        <v>50</v>
      </c>
      <c r="M994" s="296" t="s">
        <v>318</v>
      </c>
      <c r="N994" s="296">
        <v>680</v>
      </c>
      <c r="O994" s="296">
        <v>680</v>
      </c>
      <c r="P994" s="296">
        <v>2000</v>
      </c>
      <c r="Q994" s="296">
        <v>2</v>
      </c>
      <c r="R994" s="296">
        <v>12</v>
      </c>
      <c r="S994" s="296" t="s">
        <v>354</v>
      </c>
      <c r="T994" s="296" t="s">
        <v>3388</v>
      </c>
      <c r="U994" s="296" t="s">
        <v>3391</v>
      </c>
      <c r="V994" s="296" t="s">
        <v>355</v>
      </c>
      <c r="W994" s="296" t="s">
        <v>928</v>
      </c>
      <c r="X994" s="296" t="s">
        <v>928</v>
      </c>
    </row>
    <row r="995" spans="1:24" ht="13.5" x14ac:dyDescent="0.15">
      <c r="A995" s="296">
        <v>3790247</v>
      </c>
      <c r="B995" s="296" t="s">
        <v>351</v>
      </c>
      <c r="C995" s="296" t="s">
        <v>1796</v>
      </c>
      <c r="D995" s="296" t="s">
        <v>353</v>
      </c>
      <c r="E995" s="296" t="s">
        <v>17</v>
      </c>
      <c r="F995" s="296">
        <v>3</v>
      </c>
      <c r="G995" s="296" t="s">
        <v>19</v>
      </c>
      <c r="H995" s="296" t="s">
        <v>20</v>
      </c>
      <c r="I995" s="296" t="s">
        <v>205</v>
      </c>
      <c r="J995" s="296" t="s">
        <v>928</v>
      </c>
      <c r="K995" s="296" t="s">
        <v>230</v>
      </c>
      <c r="L995" s="296">
        <v>25</v>
      </c>
      <c r="M995" s="296" t="s">
        <v>231</v>
      </c>
      <c r="N995" s="296">
        <v>1020</v>
      </c>
      <c r="O995" s="296">
        <v>1020</v>
      </c>
      <c r="P995" s="296">
        <v>2000</v>
      </c>
      <c r="Q995" s="296">
        <v>2</v>
      </c>
      <c r="R995" s="296">
        <v>6</v>
      </c>
      <c r="S995" s="296" t="s">
        <v>354</v>
      </c>
      <c r="T995" s="296" t="s">
        <v>3388</v>
      </c>
      <c r="U995" s="296" t="s">
        <v>3391</v>
      </c>
      <c r="V995" s="296" t="s">
        <v>355</v>
      </c>
      <c r="W995" s="296" t="s">
        <v>928</v>
      </c>
      <c r="X995" s="296" t="s">
        <v>928</v>
      </c>
    </row>
    <row r="996" spans="1:24" ht="13.5" x14ac:dyDescent="0.15">
      <c r="A996" s="296">
        <v>3790248</v>
      </c>
      <c r="B996" s="296" t="s">
        <v>351</v>
      </c>
      <c r="C996" s="296" t="s">
        <v>1801</v>
      </c>
      <c r="D996" s="296" t="s">
        <v>353</v>
      </c>
      <c r="E996" s="296" t="s">
        <v>183</v>
      </c>
      <c r="F996" s="296">
        <v>3</v>
      </c>
      <c r="G996" s="296" t="s">
        <v>19</v>
      </c>
      <c r="H996" s="296" t="s">
        <v>20</v>
      </c>
      <c r="I996" s="296" t="s">
        <v>165</v>
      </c>
      <c r="J996" s="296" t="s">
        <v>928</v>
      </c>
      <c r="K996" s="296" t="s">
        <v>180</v>
      </c>
      <c r="L996" s="296">
        <v>100</v>
      </c>
      <c r="M996" s="296" t="s">
        <v>181</v>
      </c>
      <c r="N996" s="296">
        <v>1205</v>
      </c>
      <c r="O996" s="296">
        <v>1205</v>
      </c>
      <c r="P996" s="296">
        <v>2500</v>
      </c>
      <c r="Q996" s="296">
        <v>2</v>
      </c>
      <c r="R996" s="296">
        <v>2</v>
      </c>
      <c r="S996" s="296" t="s">
        <v>354</v>
      </c>
      <c r="T996" s="296" t="s">
        <v>3388</v>
      </c>
      <c r="U996" s="296" t="s">
        <v>3391</v>
      </c>
      <c r="V996" s="296" t="s">
        <v>355</v>
      </c>
      <c r="W996" s="296" t="s">
        <v>928</v>
      </c>
      <c r="X996" s="296" t="s">
        <v>928</v>
      </c>
    </row>
    <row r="997" spans="1:24" ht="13.5" x14ac:dyDescent="0.15">
      <c r="A997" s="296">
        <v>3790249</v>
      </c>
      <c r="B997" s="296" t="s">
        <v>351</v>
      </c>
      <c r="C997" s="296" t="s">
        <v>1801</v>
      </c>
      <c r="D997" s="296" t="s">
        <v>353</v>
      </c>
      <c r="E997" s="296" t="s">
        <v>148</v>
      </c>
      <c r="F997" s="296">
        <v>3</v>
      </c>
      <c r="G997" s="296" t="s">
        <v>19</v>
      </c>
      <c r="H997" s="296" t="s">
        <v>20</v>
      </c>
      <c r="I997" s="296" t="s">
        <v>165</v>
      </c>
      <c r="J997" s="296" t="s">
        <v>928</v>
      </c>
      <c r="K997" s="296" t="s">
        <v>180</v>
      </c>
      <c r="L997" s="296">
        <v>50</v>
      </c>
      <c r="M997" s="296" t="s">
        <v>181</v>
      </c>
      <c r="N997" s="296">
        <v>1120</v>
      </c>
      <c r="O997" s="296">
        <v>1120</v>
      </c>
      <c r="P997" s="296">
        <v>4000</v>
      </c>
      <c r="Q997" s="296">
        <v>2</v>
      </c>
      <c r="R997" s="296">
        <v>4</v>
      </c>
      <c r="S997" s="296" t="s">
        <v>354</v>
      </c>
      <c r="T997" s="296" t="s">
        <v>3388</v>
      </c>
      <c r="U997" s="296" t="s">
        <v>3391</v>
      </c>
      <c r="V997" s="296" t="s">
        <v>355</v>
      </c>
      <c r="W997" s="296" t="s">
        <v>928</v>
      </c>
      <c r="X997" s="296" t="s">
        <v>928</v>
      </c>
    </row>
    <row r="998" spans="1:24" ht="13.5" x14ac:dyDescent="0.15">
      <c r="A998" s="296">
        <v>3790250</v>
      </c>
      <c r="B998" s="296" t="s">
        <v>351</v>
      </c>
      <c r="C998" s="296" t="s">
        <v>1801</v>
      </c>
      <c r="D998" s="296" t="s">
        <v>353</v>
      </c>
      <c r="E998" s="296" t="s">
        <v>116</v>
      </c>
      <c r="F998" s="296">
        <v>3</v>
      </c>
      <c r="G998" s="296" t="s">
        <v>19</v>
      </c>
      <c r="H998" s="296" t="s">
        <v>20</v>
      </c>
      <c r="I998" s="296" t="s">
        <v>205</v>
      </c>
      <c r="J998" s="296" t="s">
        <v>928</v>
      </c>
      <c r="K998" s="296" t="s">
        <v>212</v>
      </c>
      <c r="L998" s="296">
        <v>25</v>
      </c>
      <c r="M998" s="296" t="s">
        <v>213</v>
      </c>
      <c r="N998" s="296">
        <v>1120</v>
      </c>
      <c r="O998" s="296">
        <v>1120</v>
      </c>
      <c r="P998" s="296">
        <v>4000</v>
      </c>
      <c r="Q998" s="296">
        <v>2</v>
      </c>
      <c r="R998" s="296">
        <v>5</v>
      </c>
      <c r="S998" s="296" t="s">
        <v>354</v>
      </c>
      <c r="T998" s="296" t="s">
        <v>3388</v>
      </c>
      <c r="U998" s="296" t="s">
        <v>3395</v>
      </c>
      <c r="V998" s="296" t="s">
        <v>355</v>
      </c>
      <c r="W998" s="296" t="s">
        <v>928</v>
      </c>
      <c r="X998" s="296" t="s">
        <v>928</v>
      </c>
    </row>
    <row r="999" spans="1:24" ht="13.5" x14ac:dyDescent="0.15">
      <c r="A999" s="296">
        <v>3790251</v>
      </c>
      <c r="B999" s="296" t="s">
        <v>351</v>
      </c>
      <c r="C999" s="296" t="s">
        <v>1801</v>
      </c>
      <c r="D999" s="296" t="s">
        <v>353</v>
      </c>
      <c r="E999" s="296" t="s">
        <v>116</v>
      </c>
      <c r="F999" s="296">
        <v>3</v>
      </c>
      <c r="G999" s="296" t="s">
        <v>19</v>
      </c>
      <c r="H999" s="296" t="s">
        <v>20</v>
      </c>
      <c r="I999" s="296" t="s">
        <v>205</v>
      </c>
      <c r="J999" s="296" t="s">
        <v>928</v>
      </c>
      <c r="K999" s="296" t="s">
        <v>212</v>
      </c>
      <c r="L999" s="296">
        <v>50</v>
      </c>
      <c r="M999" s="296" t="s">
        <v>213</v>
      </c>
      <c r="N999" s="296">
        <v>1000</v>
      </c>
      <c r="O999" s="296">
        <v>1000</v>
      </c>
      <c r="P999" s="296">
        <v>4000</v>
      </c>
      <c r="Q999" s="296">
        <v>2</v>
      </c>
      <c r="R999" s="296">
        <v>2</v>
      </c>
      <c r="S999" s="296" t="s">
        <v>354</v>
      </c>
      <c r="T999" s="296" t="s">
        <v>3388</v>
      </c>
      <c r="U999" s="296" t="s">
        <v>3395</v>
      </c>
      <c r="V999" s="296" t="s">
        <v>355</v>
      </c>
      <c r="W999" s="296" t="s">
        <v>928</v>
      </c>
      <c r="X999" s="296" t="s">
        <v>928</v>
      </c>
    </row>
    <row r="1000" spans="1:24" ht="13.5" x14ac:dyDescent="0.15">
      <c r="A1000" s="296">
        <v>3790252</v>
      </c>
      <c r="B1000" s="296" t="s">
        <v>351</v>
      </c>
      <c r="C1000" s="296" t="s">
        <v>1801</v>
      </c>
      <c r="D1000" s="296" t="s">
        <v>353</v>
      </c>
      <c r="E1000" s="296" t="s">
        <v>116</v>
      </c>
      <c r="F1000" s="296">
        <v>3</v>
      </c>
      <c r="G1000" s="296" t="s">
        <v>19</v>
      </c>
      <c r="H1000" s="296" t="s">
        <v>20</v>
      </c>
      <c r="I1000" s="296" t="s">
        <v>205</v>
      </c>
      <c r="J1000" s="296" t="s">
        <v>928</v>
      </c>
      <c r="K1000" s="296" t="s">
        <v>212</v>
      </c>
      <c r="L1000" s="296">
        <v>50</v>
      </c>
      <c r="M1000" s="296" t="s">
        <v>213</v>
      </c>
      <c r="N1000" s="296">
        <v>1120</v>
      </c>
      <c r="O1000" s="296">
        <v>1120</v>
      </c>
      <c r="P1000" s="296">
        <v>4000</v>
      </c>
      <c r="Q1000" s="296">
        <v>2</v>
      </c>
      <c r="R1000" s="296">
        <v>36</v>
      </c>
      <c r="S1000" s="296" t="s">
        <v>354</v>
      </c>
      <c r="T1000" s="296" t="s">
        <v>3388</v>
      </c>
      <c r="U1000" s="296" t="s">
        <v>3395</v>
      </c>
      <c r="V1000" s="296" t="s">
        <v>355</v>
      </c>
      <c r="W1000" s="296" t="s">
        <v>928</v>
      </c>
      <c r="X1000" s="296" t="s">
        <v>928</v>
      </c>
    </row>
    <row r="1001" spans="1:24" ht="13.5" x14ac:dyDescent="0.15">
      <c r="A1001" s="296">
        <v>3790253</v>
      </c>
      <c r="B1001" s="296" t="s">
        <v>351</v>
      </c>
      <c r="C1001" s="296" t="s">
        <v>1801</v>
      </c>
      <c r="D1001" s="296" t="s">
        <v>353</v>
      </c>
      <c r="E1001" s="296" t="s">
        <v>116</v>
      </c>
      <c r="F1001" s="296">
        <v>3</v>
      </c>
      <c r="G1001" s="296" t="s">
        <v>19</v>
      </c>
      <c r="H1001" s="296" t="s">
        <v>20</v>
      </c>
      <c r="I1001" s="296" t="s">
        <v>205</v>
      </c>
      <c r="J1001" s="296" t="s">
        <v>928</v>
      </c>
      <c r="K1001" s="296" t="s">
        <v>211</v>
      </c>
      <c r="L1001" s="296">
        <v>38</v>
      </c>
      <c r="M1001" s="296" t="s">
        <v>370</v>
      </c>
      <c r="N1001" s="296">
        <v>1005</v>
      </c>
      <c r="O1001" s="296">
        <v>1000</v>
      </c>
      <c r="P1001" s="296">
        <v>4100</v>
      </c>
      <c r="Q1001" s="296">
        <v>2</v>
      </c>
      <c r="R1001" s="296">
        <v>2</v>
      </c>
      <c r="S1001" s="296" t="s">
        <v>354</v>
      </c>
      <c r="T1001" s="296" t="s">
        <v>3388</v>
      </c>
      <c r="U1001" s="296" t="s">
        <v>3392</v>
      </c>
      <c r="V1001" s="296" t="s">
        <v>355</v>
      </c>
      <c r="W1001" s="296" t="s">
        <v>928</v>
      </c>
      <c r="X1001" s="296" t="s">
        <v>928</v>
      </c>
    </row>
    <row r="1002" spans="1:24" ht="13.5" x14ac:dyDescent="0.15">
      <c r="A1002" s="296">
        <v>3790254</v>
      </c>
      <c r="B1002" s="296" t="s">
        <v>351</v>
      </c>
      <c r="C1002" s="296" t="s">
        <v>1801</v>
      </c>
      <c r="D1002" s="296" t="s">
        <v>353</v>
      </c>
      <c r="E1002" s="296" t="s">
        <v>116</v>
      </c>
      <c r="F1002" s="296">
        <v>3</v>
      </c>
      <c r="G1002" s="296" t="s">
        <v>19</v>
      </c>
      <c r="H1002" s="296" t="s">
        <v>20</v>
      </c>
      <c r="I1002" s="296" t="s">
        <v>205</v>
      </c>
      <c r="J1002" s="296" t="s">
        <v>928</v>
      </c>
      <c r="K1002" s="296" t="s">
        <v>211</v>
      </c>
      <c r="L1002" s="296">
        <v>50</v>
      </c>
      <c r="M1002" s="296" t="s">
        <v>370</v>
      </c>
      <c r="N1002" s="296">
        <v>1050</v>
      </c>
      <c r="O1002" s="296">
        <v>1050</v>
      </c>
      <c r="P1002" s="296">
        <v>4100</v>
      </c>
      <c r="Q1002" s="296">
        <v>2</v>
      </c>
      <c r="R1002" s="296">
        <v>5</v>
      </c>
      <c r="S1002" s="296" t="s">
        <v>354</v>
      </c>
      <c r="T1002" s="296" t="s">
        <v>3388</v>
      </c>
      <c r="U1002" s="296" t="s">
        <v>3392</v>
      </c>
      <c r="V1002" s="296" t="s">
        <v>355</v>
      </c>
      <c r="W1002" s="296" t="s">
        <v>928</v>
      </c>
      <c r="X1002" s="296" t="s">
        <v>928</v>
      </c>
    </row>
    <row r="1003" spans="1:24" ht="13.5" x14ac:dyDescent="0.15">
      <c r="A1003" s="296">
        <v>3790255</v>
      </c>
      <c r="B1003" s="296" t="s">
        <v>351</v>
      </c>
      <c r="C1003" s="296" t="s">
        <v>1801</v>
      </c>
      <c r="D1003" s="296" t="s">
        <v>353</v>
      </c>
      <c r="E1003" s="296" t="s">
        <v>116</v>
      </c>
      <c r="F1003" s="296">
        <v>3</v>
      </c>
      <c r="G1003" s="296" t="s">
        <v>19</v>
      </c>
      <c r="H1003" s="296" t="s">
        <v>20</v>
      </c>
      <c r="I1003" s="296" t="s">
        <v>205</v>
      </c>
      <c r="J1003" s="296" t="s">
        <v>928</v>
      </c>
      <c r="K1003" s="296" t="s">
        <v>216</v>
      </c>
      <c r="L1003" s="296">
        <v>25</v>
      </c>
      <c r="M1003" s="296" t="s">
        <v>217</v>
      </c>
      <c r="N1003" s="296">
        <v>1005</v>
      </c>
      <c r="O1003" s="296">
        <v>1000</v>
      </c>
      <c r="P1003" s="296">
        <v>4000</v>
      </c>
      <c r="Q1003" s="296">
        <v>2</v>
      </c>
      <c r="R1003" s="296">
        <v>15</v>
      </c>
      <c r="S1003" s="296" t="s">
        <v>354</v>
      </c>
      <c r="T1003" s="296" t="s">
        <v>3388</v>
      </c>
      <c r="U1003" s="296" t="s">
        <v>3395</v>
      </c>
      <c r="V1003" s="296" t="s">
        <v>355</v>
      </c>
      <c r="W1003" s="296" t="s">
        <v>928</v>
      </c>
      <c r="X1003" s="296" t="s">
        <v>928</v>
      </c>
    </row>
    <row r="1004" spans="1:24" ht="13.5" x14ac:dyDescent="0.15">
      <c r="A1004" s="296">
        <v>3790256</v>
      </c>
      <c r="B1004" s="296" t="s">
        <v>351</v>
      </c>
      <c r="C1004" s="296" t="s">
        <v>1801</v>
      </c>
      <c r="D1004" s="296" t="s">
        <v>353</v>
      </c>
      <c r="E1004" s="296" t="s">
        <v>116</v>
      </c>
      <c r="F1004" s="296">
        <v>3</v>
      </c>
      <c r="G1004" s="296" t="s">
        <v>19</v>
      </c>
      <c r="H1004" s="296" t="s">
        <v>20</v>
      </c>
      <c r="I1004" s="296" t="s">
        <v>205</v>
      </c>
      <c r="J1004" s="296" t="s">
        <v>928</v>
      </c>
      <c r="K1004" s="296" t="s">
        <v>216</v>
      </c>
      <c r="L1004" s="296">
        <v>25</v>
      </c>
      <c r="M1004" s="296" t="s">
        <v>217</v>
      </c>
      <c r="N1004" s="296">
        <v>1125</v>
      </c>
      <c r="O1004" s="296">
        <v>1120</v>
      </c>
      <c r="P1004" s="296">
        <v>4000</v>
      </c>
      <c r="Q1004" s="296">
        <v>2</v>
      </c>
      <c r="R1004" s="296">
        <v>3</v>
      </c>
      <c r="S1004" s="296" t="s">
        <v>354</v>
      </c>
      <c r="T1004" s="296" t="s">
        <v>3388</v>
      </c>
      <c r="U1004" s="296" t="s">
        <v>3392</v>
      </c>
      <c r="V1004" s="296" t="s">
        <v>355</v>
      </c>
      <c r="W1004" s="296" t="s">
        <v>928</v>
      </c>
      <c r="X1004" s="296" t="s">
        <v>928</v>
      </c>
    </row>
    <row r="1005" spans="1:24" ht="13.5" x14ac:dyDescent="0.15">
      <c r="A1005" s="296">
        <v>3790257</v>
      </c>
      <c r="B1005" s="296" t="s">
        <v>351</v>
      </c>
      <c r="C1005" s="296" t="s">
        <v>1801</v>
      </c>
      <c r="D1005" s="296" t="s">
        <v>353</v>
      </c>
      <c r="E1005" s="296" t="s">
        <v>116</v>
      </c>
      <c r="F1005" s="296">
        <v>3</v>
      </c>
      <c r="G1005" s="296" t="s">
        <v>19</v>
      </c>
      <c r="H1005" s="296" t="s">
        <v>20</v>
      </c>
      <c r="I1005" s="296" t="s">
        <v>205</v>
      </c>
      <c r="J1005" s="296" t="s">
        <v>928</v>
      </c>
      <c r="K1005" s="296" t="s">
        <v>216</v>
      </c>
      <c r="L1005" s="296">
        <v>50</v>
      </c>
      <c r="M1005" s="296" t="s">
        <v>217</v>
      </c>
      <c r="N1005" s="296">
        <v>1120</v>
      </c>
      <c r="O1005" s="296">
        <v>1120</v>
      </c>
      <c r="P1005" s="296">
        <v>5000</v>
      </c>
      <c r="Q1005" s="296">
        <v>2</v>
      </c>
      <c r="R1005" s="296">
        <v>52</v>
      </c>
      <c r="S1005" s="296" t="s">
        <v>354</v>
      </c>
      <c r="T1005" s="296" t="s">
        <v>3388</v>
      </c>
      <c r="U1005" s="296" t="s">
        <v>3389</v>
      </c>
      <c r="V1005" s="296" t="s">
        <v>355</v>
      </c>
      <c r="W1005" s="296" t="s">
        <v>928</v>
      </c>
      <c r="X1005" s="296" t="s">
        <v>928</v>
      </c>
    </row>
    <row r="1006" spans="1:24" ht="13.5" x14ac:dyDescent="0.15">
      <c r="A1006" s="296">
        <v>3790258</v>
      </c>
      <c r="B1006" s="296" t="s">
        <v>351</v>
      </c>
      <c r="C1006" s="296" t="s">
        <v>1801</v>
      </c>
      <c r="D1006" s="296" t="s">
        <v>353</v>
      </c>
      <c r="E1006" s="296" t="s">
        <v>116</v>
      </c>
      <c r="F1006" s="296">
        <v>3</v>
      </c>
      <c r="G1006" s="296" t="s">
        <v>19</v>
      </c>
      <c r="H1006" s="296" t="s">
        <v>20</v>
      </c>
      <c r="I1006" s="296" t="s">
        <v>205</v>
      </c>
      <c r="J1006" s="296" t="s">
        <v>928</v>
      </c>
      <c r="K1006" s="296" t="s">
        <v>218</v>
      </c>
      <c r="L1006" s="296">
        <v>25</v>
      </c>
      <c r="M1006" s="296" t="s">
        <v>219</v>
      </c>
      <c r="N1006" s="296">
        <v>1005</v>
      </c>
      <c r="O1006" s="296">
        <v>1000</v>
      </c>
      <c r="P1006" s="296">
        <v>4000</v>
      </c>
      <c r="Q1006" s="296">
        <v>2</v>
      </c>
      <c r="R1006" s="296">
        <v>6</v>
      </c>
      <c r="S1006" s="296" t="s">
        <v>354</v>
      </c>
      <c r="T1006" s="296" t="s">
        <v>3388</v>
      </c>
      <c r="U1006" s="296" t="s">
        <v>3395</v>
      </c>
      <c r="V1006" s="296" t="s">
        <v>355</v>
      </c>
      <c r="W1006" s="296" t="s">
        <v>928</v>
      </c>
      <c r="X1006" s="296" t="s">
        <v>928</v>
      </c>
    </row>
    <row r="1007" spans="1:24" ht="13.5" x14ac:dyDescent="0.15">
      <c r="A1007" s="296">
        <v>3790259</v>
      </c>
      <c r="B1007" s="296" t="s">
        <v>351</v>
      </c>
      <c r="C1007" s="296" t="s">
        <v>1801</v>
      </c>
      <c r="D1007" s="296" t="s">
        <v>353</v>
      </c>
      <c r="E1007" s="296" t="s">
        <v>116</v>
      </c>
      <c r="F1007" s="296">
        <v>3</v>
      </c>
      <c r="G1007" s="296" t="s">
        <v>19</v>
      </c>
      <c r="H1007" s="296" t="s">
        <v>20</v>
      </c>
      <c r="I1007" s="296" t="s">
        <v>205</v>
      </c>
      <c r="J1007" s="296" t="s">
        <v>928</v>
      </c>
      <c r="K1007" s="296" t="s">
        <v>218</v>
      </c>
      <c r="L1007" s="296">
        <v>50</v>
      </c>
      <c r="M1007" s="296" t="s">
        <v>219</v>
      </c>
      <c r="N1007" s="296">
        <v>1000</v>
      </c>
      <c r="O1007" s="296">
        <v>1000</v>
      </c>
      <c r="P1007" s="296">
        <v>4000</v>
      </c>
      <c r="Q1007" s="296">
        <v>2</v>
      </c>
      <c r="R1007" s="296">
        <v>15</v>
      </c>
      <c r="S1007" s="296" t="s">
        <v>354</v>
      </c>
      <c r="T1007" s="296" t="s">
        <v>3388</v>
      </c>
      <c r="U1007" s="296" t="s">
        <v>3392</v>
      </c>
      <c r="V1007" s="296" t="s">
        <v>355</v>
      </c>
      <c r="W1007" s="296" t="s">
        <v>928</v>
      </c>
      <c r="X1007" s="296" t="s">
        <v>928</v>
      </c>
    </row>
    <row r="1008" spans="1:24" ht="13.5" x14ac:dyDescent="0.15">
      <c r="A1008" s="296">
        <v>3790260</v>
      </c>
      <c r="B1008" s="296" t="s">
        <v>351</v>
      </c>
      <c r="C1008" s="296" t="s">
        <v>1801</v>
      </c>
      <c r="D1008" s="296" t="s">
        <v>353</v>
      </c>
      <c r="E1008" s="296" t="s">
        <v>116</v>
      </c>
      <c r="F1008" s="296" t="s">
        <v>158</v>
      </c>
      <c r="G1008" s="296" t="s">
        <v>19</v>
      </c>
      <c r="H1008" s="296" t="s">
        <v>20</v>
      </c>
      <c r="I1008" s="296" t="s">
        <v>165</v>
      </c>
      <c r="J1008" s="296" t="s">
        <v>928</v>
      </c>
      <c r="K1008" s="296" t="s">
        <v>192</v>
      </c>
      <c r="L1008" s="296">
        <v>38</v>
      </c>
      <c r="M1008" s="296" t="s">
        <v>193</v>
      </c>
      <c r="N1008" s="296">
        <v>1005</v>
      </c>
      <c r="O1008" s="296">
        <v>1000</v>
      </c>
      <c r="P1008" s="296">
        <v>2000</v>
      </c>
      <c r="Q1008" s="296">
        <v>2</v>
      </c>
      <c r="R1008" s="296">
        <v>1</v>
      </c>
      <c r="S1008" s="296" t="s">
        <v>354</v>
      </c>
      <c r="T1008" s="296" t="s">
        <v>3388</v>
      </c>
      <c r="U1008" s="296" t="s">
        <v>3395</v>
      </c>
      <c r="V1008" s="296" t="s">
        <v>355</v>
      </c>
      <c r="W1008" s="296" t="s">
        <v>928</v>
      </c>
      <c r="X1008" s="296" t="s">
        <v>928</v>
      </c>
    </row>
    <row r="1009" spans="1:25" ht="13.5" x14ac:dyDescent="0.15">
      <c r="A1009" s="296">
        <v>3790261</v>
      </c>
      <c r="B1009" s="296" t="s">
        <v>351</v>
      </c>
      <c r="C1009" s="296" t="s">
        <v>1801</v>
      </c>
      <c r="D1009" s="296" t="s">
        <v>353</v>
      </c>
      <c r="E1009" s="296" t="s">
        <v>116</v>
      </c>
      <c r="F1009" s="296" t="s">
        <v>158</v>
      </c>
      <c r="G1009" s="296" t="s">
        <v>19</v>
      </c>
      <c r="H1009" s="296" t="s">
        <v>20</v>
      </c>
      <c r="I1009" s="296" t="s">
        <v>165</v>
      </c>
      <c r="J1009" s="296" t="s">
        <v>928</v>
      </c>
      <c r="K1009" s="296" t="s">
        <v>192</v>
      </c>
      <c r="L1009" s="296">
        <v>50</v>
      </c>
      <c r="M1009" s="296" t="s">
        <v>193</v>
      </c>
      <c r="N1009" s="296">
        <v>1005</v>
      </c>
      <c r="O1009" s="296">
        <v>1000</v>
      </c>
      <c r="P1009" s="296">
        <v>4000</v>
      </c>
      <c r="Q1009" s="296">
        <v>2</v>
      </c>
      <c r="R1009" s="296">
        <v>6</v>
      </c>
      <c r="S1009" s="296" t="s">
        <v>354</v>
      </c>
      <c r="T1009" s="296" t="s">
        <v>3388</v>
      </c>
      <c r="U1009" s="296" t="s">
        <v>3392</v>
      </c>
      <c r="V1009" s="296" t="s">
        <v>355</v>
      </c>
      <c r="W1009" s="296" t="s">
        <v>928</v>
      </c>
      <c r="X1009" s="296" t="s">
        <v>928</v>
      </c>
    </row>
    <row r="1010" spans="1:25" ht="13.5" x14ac:dyDescent="0.15">
      <c r="A1010" s="296">
        <v>3790262</v>
      </c>
      <c r="B1010" s="296" t="s">
        <v>351</v>
      </c>
      <c r="C1010" s="296" t="s">
        <v>1801</v>
      </c>
      <c r="D1010" s="296" t="s">
        <v>353</v>
      </c>
      <c r="E1010" s="296" t="s">
        <v>116</v>
      </c>
      <c r="F1010" s="296" t="s">
        <v>158</v>
      </c>
      <c r="G1010" s="296" t="s">
        <v>19</v>
      </c>
      <c r="H1010" s="296" t="s">
        <v>20</v>
      </c>
      <c r="I1010" s="296" t="s">
        <v>165</v>
      </c>
      <c r="J1010" s="296" t="s">
        <v>928</v>
      </c>
      <c r="K1010" s="296" t="s">
        <v>195</v>
      </c>
      <c r="L1010" s="296">
        <v>50</v>
      </c>
      <c r="M1010" s="296" t="s">
        <v>196</v>
      </c>
      <c r="N1010" s="296">
        <v>1005</v>
      </c>
      <c r="O1010" s="296">
        <v>1000</v>
      </c>
      <c r="P1010" s="296">
        <v>4000</v>
      </c>
      <c r="Q1010" s="296">
        <v>2</v>
      </c>
      <c r="R1010" s="296">
        <v>2</v>
      </c>
      <c r="S1010" s="296" t="s">
        <v>354</v>
      </c>
      <c r="T1010" s="296" t="s">
        <v>3388</v>
      </c>
      <c r="U1010" s="296" t="s">
        <v>3392</v>
      </c>
      <c r="V1010" s="296" t="s">
        <v>355</v>
      </c>
      <c r="W1010" s="296" t="s">
        <v>928</v>
      </c>
      <c r="X1010" s="296" t="s">
        <v>928</v>
      </c>
    </row>
    <row r="1011" spans="1:25" ht="13.5" x14ac:dyDescent="0.15">
      <c r="A1011" s="296">
        <v>3790263</v>
      </c>
      <c r="B1011" s="296" t="s">
        <v>351</v>
      </c>
      <c r="C1011" s="296" t="s">
        <v>1801</v>
      </c>
      <c r="D1011" s="296" t="s">
        <v>353</v>
      </c>
      <c r="E1011" s="296" t="s">
        <v>116</v>
      </c>
      <c r="F1011" s="296" t="s">
        <v>158</v>
      </c>
      <c r="G1011" s="296" t="s">
        <v>19</v>
      </c>
      <c r="H1011" s="296" t="s">
        <v>28</v>
      </c>
      <c r="I1011" s="296" t="s">
        <v>165</v>
      </c>
      <c r="J1011" s="296" t="s">
        <v>928</v>
      </c>
      <c r="K1011" s="296" t="s">
        <v>195</v>
      </c>
      <c r="L1011" s="296">
        <v>50</v>
      </c>
      <c r="M1011" s="296" t="s">
        <v>1958</v>
      </c>
      <c r="N1011" s="296">
        <v>1005</v>
      </c>
      <c r="O1011" s="296">
        <v>1000</v>
      </c>
      <c r="P1011" s="296">
        <v>4000</v>
      </c>
      <c r="Q1011" s="296">
        <v>2</v>
      </c>
      <c r="R1011" s="296">
        <v>1</v>
      </c>
      <c r="S1011" s="296" t="s">
        <v>354</v>
      </c>
      <c r="T1011" s="296" t="s">
        <v>3388</v>
      </c>
      <c r="U1011" s="296" t="s">
        <v>3396</v>
      </c>
      <c r="V1011" s="296" t="s">
        <v>355</v>
      </c>
      <c r="W1011" s="296" t="s">
        <v>928</v>
      </c>
      <c r="X1011" s="296" t="s">
        <v>928</v>
      </c>
    </row>
    <row r="1012" spans="1:25" ht="13.5" x14ac:dyDescent="0.15">
      <c r="A1012" s="296">
        <v>3790264</v>
      </c>
      <c r="B1012" s="296" t="s">
        <v>351</v>
      </c>
      <c r="C1012" s="296" t="s">
        <v>1801</v>
      </c>
      <c r="D1012" s="296" t="s">
        <v>353</v>
      </c>
      <c r="E1012" s="296" t="s">
        <v>116</v>
      </c>
      <c r="F1012" s="296" t="s">
        <v>158</v>
      </c>
      <c r="G1012" s="296" t="s">
        <v>19</v>
      </c>
      <c r="H1012" s="296" t="s">
        <v>20</v>
      </c>
      <c r="I1012" s="296" t="s">
        <v>165</v>
      </c>
      <c r="J1012" s="296" t="s">
        <v>928</v>
      </c>
      <c r="K1012" s="296" t="s">
        <v>197</v>
      </c>
      <c r="L1012" s="296">
        <v>50</v>
      </c>
      <c r="M1012" s="296" t="s">
        <v>198</v>
      </c>
      <c r="N1012" s="296">
        <v>1005</v>
      </c>
      <c r="O1012" s="296">
        <v>1000</v>
      </c>
      <c r="P1012" s="296">
        <v>4100</v>
      </c>
      <c r="Q1012" s="296">
        <v>2</v>
      </c>
      <c r="R1012" s="296">
        <v>3</v>
      </c>
      <c r="S1012" s="296" t="s">
        <v>354</v>
      </c>
      <c r="T1012" s="296" t="s">
        <v>3388</v>
      </c>
      <c r="U1012" s="296" t="s">
        <v>3392</v>
      </c>
      <c r="V1012" s="296" t="s">
        <v>355</v>
      </c>
      <c r="W1012" s="296" t="s">
        <v>928</v>
      </c>
      <c r="X1012" s="296" t="s">
        <v>928</v>
      </c>
    </row>
    <row r="1013" spans="1:25" ht="13.5" x14ac:dyDescent="0.15">
      <c r="A1013" s="296">
        <v>3790265</v>
      </c>
      <c r="B1013" s="296" t="s">
        <v>351</v>
      </c>
      <c r="C1013" s="296" t="s">
        <v>1801</v>
      </c>
      <c r="D1013" s="296" t="s">
        <v>353</v>
      </c>
      <c r="E1013" s="296" t="s">
        <v>116</v>
      </c>
      <c r="F1013" s="296">
        <v>3</v>
      </c>
      <c r="G1013" s="296" t="s">
        <v>19</v>
      </c>
      <c r="H1013" s="296" t="s">
        <v>20</v>
      </c>
      <c r="I1013" s="296" t="s">
        <v>165</v>
      </c>
      <c r="J1013" s="296" t="s">
        <v>928</v>
      </c>
      <c r="K1013" s="296" t="s">
        <v>200</v>
      </c>
      <c r="L1013" s="296">
        <v>50</v>
      </c>
      <c r="M1013" s="296" t="s">
        <v>201</v>
      </c>
      <c r="N1013" s="296">
        <v>1005</v>
      </c>
      <c r="O1013" s="296">
        <v>1000</v>
      </c>
      <c r="P1013" s="296">
        <v>4100</v>
      </c>
      <c r="Q1013" s="296">
        <v>2</v>
      </c>
      <c r="R1013" s="296">
        <v>2</v>
      </c>
      <c r="S1013" s="296" t="s">
        <v>354</v>
      </c>
      <c r="T1013" s="296" t="s">
        <v>3388</v>
      </c>
      <c r="U1013" s="296" t="s">
        <v>3392</v>
      </c>
      <c r="V1013" s="296" t="s">
        <v>355</v>
      </c>
      <c r="W1013" s="296" t="s">
        <v>928</v>
      </c>
      <c r="X1013" s="296" t="s">
        <v>928</v>
      </c>
    </row>
    <row r="1014" spans="1:25" ht="13.5" x14ac:dyDescent="0.15">
      <c r="A1014" s="296">
        <v>3790266</v>
      </c>
      <c r="B1014" s="296" t="s">
        <v>351</v>
      </c>
      <c r="C1014" s="296" t="s">
        <v>1801</v>
      </c>
      <c r="D1014" s="296" t="s">
        <v>353</v>
      </c>
      <c r="E1014" s="296" t="s">
        <v>116</v>
      </c>
      <c r="F1014" s="296">
        <v>3</v>
      </c>
      <c r="G1014" s="296" t="s">
        <v>19</v>
      </c>
      <c r="H1014" s="296" t="s">
        <v>20</v>
      </c>
      <c r="I1014" s="296" t="s">
        <v>205</v>
      </c>
      <c r="J1014" s="296" t="s">
        <v>928</v>
      </c>
      <c r="K1014" s="296" t="s">
        <v>221</v>
      </c>
      <c r="L1014" s="296">
        <v>25</v>
      </c>
      <c r="M1014" s="296" t="s">
        <v>222</v>
      </c>
      <c r="N1014" s="296">
        <v>1100</v>
      </c>
      <c r="O1014" s="296">
        <v>1100</v>
      </c>
      <c r="P1014" s="296">
        <v>6000</v>
      </c>
      <c r="Q1014" s="296">
        <v>2</v>
      </c>
      <c r="R1014" s="296">
        <v>9</v>
      </c>
      <c r="S1014" s="296" t="s">
        <v>354</v>
      </c>
      <c r="T1014" s="296" t="s">
        <v>3388</v>
      </c>
      <c r="U1014" s="296" t="s">
        <v>3392</v>
      </c>
      <c r="V1014" s="296" t="s">
        <v>355</v>
      </c>
      <c r="W1014" s="296" t="s">
        <v>928</v>
      </c>
      <c r="X1014" s="296" t="s">
        <v>928</v>
      </c>
    </row>
    <row r="1015" spans="1:25" ht="13.5" x14ac:dyDescent="0.15">
      <c r="A1015" s="296">
        <v>3790267</v>
      </c>
      <c r="B1015" s="296" t="s">
        <v>423</v>
      </c>
      <c r="C1015" s="296" t="s">
        <v>1801</v>
      </c>
      <c r="D1015" s="296" t="s">
        <v>353</v>
      </c>
      <c r="E1015" s="296" t="s">
        <v>116</v>
      </c>
      <c r="F1015" s="296">
        <v>3</v>
      </c>
      <c r="G1015" s="296" t="s">
        <v>265</v>
      </c>
      <c r="H1015" s="296" t="s">
        <v>20</v>
      </c>
      <c r="I1015" s="296" t="s">
        <v>165</v>
      </c>
      <c r="J1015" s="296" t="s">
        <v>928</v>
      </c>
      <c r="K1015" s="296" t="s">
        <v>172</v>
      </c>
      <c r="L1015" s="296">
        <v>50</v>
      </c>
      <c r="M1015" s="296" t="s">
        <v>173</v>
      </c>
      <c r="N1015" s="296">
        <v>1005</v>
      </c>
      <c r="O1015" s="296">
        <v>1000</v>
      </c>
      <c r="P1015" s="296">
        <v>4000</v>
      </c>
      <c r="Q1015" s="296">
        <v>2</v>
      </c>
      <c r="R1015" s="296">
        <v>2</v>
      </c>
      <c r="S1015" s="296" t="s">
        <v>354</v>
      </c>
      <c r="T1015" s="296" t="s">
        <v>3388</v>
      </c>
      <c r="U1015" s="296" t="s">
        <v>3395</v>
      </c>
      <c r="V1015" s="296" t="s">
        <v>355</v>
      </c>
      <c r="W1015" s="296" t="s">
        <v>928</v>
      </c>
      <c r="X1015" s="296" t="s">
        <v>928</v>
      </c>
    </row>
    <row r="1016" spans="1:25" ht="13.5" x14ac:dyDescent="0.15">
      <c r="A1016" s="296">
        <v>3790268</v>
      </c>
      <c r="B1016" s="296" t="s">
        <v>423</v>
      </c>
      <c r="C1016" s="296" t="s">
        <v>1801</v>
      </c>
      <c r="D1016" s="296" t="s">
        <v>353</v>
      </c>
      <c r="E1016" s="296" t="s">
        <v>116</v>
      </c>
      <c r="F1016" s="296">
        <v>3</v>
      </c>
      <c r="G1016" s="296" t="s">
        <v>265</v>
      </c>
      <c r="H1016" s="296" t="s">
        <v>20</v>
      </c>
      <c r="I1016" s="296" t="s">
        <v>165</v>
      </c>
      <c r="J1016" s="296" t="s">
        <v>928</v>
      </c>
      <c r="K1016" s="296" t="s">
        <v>176</v>
      </c>
      <c r="L1016" s="296">
        <v>25</v>
      </c>
      <c r="M1016" s="296" t="s">
        <v>177</v>
      </c>
      <c r="N1016" s="296">
        <v>1005</v>
      </c>
      <c r="O1016" s="296">
        <v>1000</v>
      </c>
      <c r="P1016" s="296">
        <v>2000</v>
      </c>
      <c r="Q1016" s="296">
        <v>2</v>
      </c>
      <c r="R1016" s="296">
        <v>4</v>
      </c>
      <c r="S1016" s="296" t="s">
        <v>354</v>
      </c>
      <c r="T1016" s="296" t="s">
        <v>3388</v>
      </c>
      <c r="U1016" s="296" t="s">
        <v>3392</v>
      </c>
      <c r="V1016" s="296" t="s">
        <v>355</v>
      </c>
      <c r="W1016" s="296" t="s">
        <v>928</v>
      </c>
      <c r="X1016" s="296" t="s">
        <v>928</v>
      </c>
    </row>
    <row r="1017" spans="1:25" ht="13.5" x14ac:dyDescent="0.15">
      <c r="A1017" s="296">
        <v>3790269</v>
      </c>
      <c r="B1017" s="296" t="s">
        <v>423</v>
      </c>
      <c r="C1017" s="296" t="s">
        <v>1801</v>
      </c>
      <c r="D1017" s="296" t="s">
        <v>353</v>
      </c>
      <c r="E1017" s="296" t="s">
        <v>116</v>
      </c>
      <c r="F1017" s="296">
        <v>3</v>
      </c>
      <c r="G1017" s="296" t="s">
        <v>265</v>
      </c>
      <c r="H1017" s="296" t="s">
        <v>20</v>
      </c>
      <c r="I1017" s="296" t="s">
        <v>165</v>
      </c>
      <c r="J1017" s="296" t="s">
        <v>928</v>
      </c>
      <c r="K1017" s="296" t="s">
        <v>176</v>
      </c>
      <c r="L1017" s="296">
        <v>50</v>
      </c>
      <c r="M1017" s="296" t="s">
        <v>177</v>
      </c>
      <c r="N1017" s="296">
        <v>1005</v>
      </c>
      <c r="O1017" s="296">
        <v>1000</v>
      </c>
      <c r="P1017" s="296">
        <v>4100</v>
      </c>
      <c r="Q1017" s="296">
        <v>2</v>
      </c>
      <c r="R1017" s="296">
        <v>3</v>
      </c>
      <c r="S1017" s="296" t="s">
        <v>354</v>
      </c>
      <c r="T1017" s="296" t="s">
        <v>3388</v>
      </c>
      <c r="U1017" s="296" t="s">
        <v>3392</v>
      </c>
      <c r="V1017" s="296" t="s">
        <v>355</v>
      </c>
      <c r="W1017" s="296" t="s">
        <v>928</v>
      </c>
      <c r="X1017" s="296" t="s">
        <v>928</v>
      </c>
    </row>
    <row r="1018" spans="1:25" ht="13.5" x14ac:dyDescent="0.15">
      <c r="A1018" s="296">
        <v>3790270</v>
      </c>
      <c r="B1018" s="296" t="s">
        <v>351</v>
      </c>
      <c r="C1018" s="296" t="s">
        <v>1801</v>
      </c>
      <c r="D1018" s="296" t="s">
        <v>353</v>
      </c>
      <c r="E1018" s="296" t="s">
        <v>116</v>
      </c>
      <c r="F1018" s="296">
        <v>3</v>
      </c>
      <c r="G1018" s="296" t="s">
        <v>19</v>
      </c>
      <c r="H1018" s="296" t="s">
        <v>28</v>
      </c>
      <c r="I1018" s="296" t="s">
        <v>205</v>
      </c>
      <c r="J1018" s="296" t="s">
        <v>928</v>
      </c>
      <c r="K1018" s="296" t="s">
        <v>233</v>
      </c>
      <c r="L1018" s="296">
        <v>50</v>
      </c>
      <c r="M1018" s="296" t="s">
        <v>234</v>
      </c>
      <c r="N1018" s="296">
        <v>1120</v>
      </c>
      <c r="O1018" s="296">
        <v>1120</v>
      </c>
      <c r="P1018" s="296">
        <v>4000</v>
      </c>
      <c r="Q1018" s="296">
        <v>2</v>
      </c>
      <c r="R1018" s="296">
        <v>8</v>
      </c>
      <c r="S1018" s="296" t="s">
        <v>354</v>
      </c>
      <c r="T1018" s="296" t="s">
        <v>3388</v>
      </c>
      <c r="U1018" s="296" t="s">
        <v>3397</v>
      </c>
      <c r="V1018" s="296" t="s">
        <v>355</v>
      </c>
      <c r="W1018" s="296" t="s">
        <v>928</v>
      </c>
      <c r="X1018" s="296" t="s">
        <v>928</v>
      </c>
    </row>
    <row r="1019" spans="1:25" ht="13.5" x14ac:dyDescent="0.15">
      <c r="A1019" s="296">
        <v>3790271</v>
      </c>
      <c r="B1019" s="296" t="s">
        <v>351</v>
      </c>
      <c r="C1019" s="296" t="s">
        <v>1801</v>
      </c>
      <c r="D1019" s="296" t="s">
        <v>353</v>
      </c>
      <c r="E1019" s="296" t="s">
        <v>116</v>
      </c>
      <c r="F1019" s="296">
        <v>3</v>
      </c>
      <c r="G1019" s="296" t="s">
        <v>19</v>
      </c>
      <c r="H1019" s="296" t="s">
        <v>28</v>
      </c>
      <c r="I1019" s="296" t="s">
        <v>205</v>
      </c>
      <c r="J1019" s="296" t="s">
        <v>928</v>
      </c>
      <c r="K1019" s="296" t="s">
        <v>224</v>
      </c>
      <c r="L1019" s="296">
        <v>50</v>
      </c>
      <c r="M1019" s="296" t="s">
        <v>225</v>
      </c>
      <c r="N1019" s="296">
        <v>1120</v>
      </c>
      <c r="O1019" s="296">
        <v>1120</v>
      </c>
      <c r="P1019" s="296">
        <v>5000</v>
      </c>
      <c r="Q1019" s="296">
        <v>2</v>
      </c>
      <c r="R1019" s="296">
        <v>2</v>
      </c>
      <c r="S1019" s="296" t="s">
        <v>354</v>
      </c>
      <c r="T1019" s="296" t="s">
        <v>3388</v>
      </c>
      <c r="U1019" s="296" t="s">
        <v>3391</v>
      </c>
      <c r="V1019" s="296" t="s">
        <v>355</v>
      </c>
      <c r="W1019" s="296" t="s">
        <v>928</v>
      </c>
      <c r="X1019" s="296" t="s">
        <v>928</v>
      </c>
    </row>
    <row r="1020" spans="1:25" ht="13.5" x14ac:dyDescent="0.15">
      <c r="A1020" s="296">
        <v>3790272</v>
      </c>
      <c r="B1020" s="296" t="s">
        <v>351</v>
      </c>
      <c r="C1020" s="296" t="s">
        <v>1801</v>
      </c>
      <c r="D1020" s="296" t="s">
        <v>353</v>
      </c>
      <c r="E1020" s="296" t="s">
        <v>116</v>
      </c>
      <c r="F1020" s="296">
        <v>3</v>
      </c>
      <c r="G1020" s="296" t="s">
        <v>19</v>
      </c>
      <c r="H1020" s="296" t="s">
        <v>28</v>
      </c>
      <c r="I1020" s="296" t="s">
        <v>205</v>
      </c>
      <c r="J1020" s="296" t="s">
        <v>928</v>
      </c>
      <c r="K1020" s="296" t="s">
        <v>235</v>
      </c>
      <c r="L1020" s="296">
        <v>50</v>
      </c>
      <c r="M1020" s="296" t="s">
        <v>236</v>
      </c>
      <c r="N1020" s="296">
        <v>1120</v>
      </c>
      <c r="O1020" s="296">
        <v>1120</v>
      </c>
      <c r="P1020" s="296">
        <v>4000</v>
      </c>
      <c r="Q1020" s="296">
        <v>2</v>
      </c>
      <c r="R1020" s="296">
        <v>9</v>
      </c>
      <c r="S1020" s="296" t="s">
        <v>354</v>
      </c>
      <c r="T1020" s="296" t="s">
        <v>3388</v>
      </c>
      <c r="U1020" s="296" t="s">
        <v>3391</v>
      </c>
      <c r="V1020" s="296" t="s">
        <v>355</v>
      </c>
      <c r="W1020" s="296" t="s">
        <v>928</v>
      </c>
      <c r="X1020" s="296" t="s">
        <v>928</v>
      </c>
    </row>
    <row r="1021" spans="1:25" ht="13.5" x14ac:dyDescent="0.15">
      <c r="A1021" s="296">
        <v>3790273</v>
      </c>
      <c r="B1021" s="296" t="s">
        <v>351</v>
      </c>
      <c r="C1021" s="296" t="s">
        <v>1801</v>
      </c>
      <c r="D1021" s="296" t="s">
        <v>353</v>
      </c>
      <c r="E1021" s="296" t="s">
        <v>116</v>
      </c>
      <c r="F1021" s="296">
        <v>3</v>
      </c>
      <c r="G1021" s="296" t="s">
        <v>19</v>
      </c>
      <c r="H1021" s="296" t="s">
        <v>28</v>
      </c>
      <c r="I1021" s="296" t="s">
        <v>205</v>
      </c>
      <c r="J1021" s="296" t="s">
        <v>928</v>
      </c>
      <c r="K1021" s="296" t="s">
        <v>224</v>
      </c>
      <c r="L1021" s="296">
        <v>50</v>
      </c>
      <c r="M1021" s="296" t="s">
        <v>225</v>
      </c>
      <c r="N1021" s="296">
        <v>1120</v>
      </c>
      <c r="O1021" s="296">
        <v>1120</v>
      </c>
      <c r="P1021" s="296">
        <v>5000</v>
      </c>
      <c r="Q1021" s="296">
        <v>2</v>
      </c>
      <c r="R1021" s="296">
        <v>2</v>
      </c>
      <c r="S1021" s="296" t="s">
        <v>354</v>
      </c>
      <c r="T1021" s="296" t="s">
        <v>3388</v>
      </c>
      <c r="U1021" s="296" t="s">
        <v>3397</v>
      </c>
      <c r="V1021" s="296" t="s">
        <v>355</v>
      </c>
      <c r="W1021" s="296" t="s">
        <v>928</v>
      </c>
      <c r="X1021" s="296" t="s">
        <v>928</v>
      </c>
    </row>
    <row r="1022" spans="1:25" ht="13.5" x14ac:dyDescent="0.15">
      <c r="A1022" s="296">
        <v>3790274</v>
      </c>
      <c r="B1022" s="296" t="s">
        <v>351</v>
      </c>
      <c r="C1022" s="296" t="s">
        <v>1801</v>
      </c>
      <c r="D1022" s="296" t="s">
        <v>353</v>
      </c>
      <c r="E1022" s="296" t="s">
        <v>116</v>
      </c>
      <c r="F1022" s="296">
        <v>3</v>
      </c>
      <c r="G1022" s="296" t="s">
        <v>19</v>
      </c>
      <c r="H1022" s="296" t="s">
        <v>28</v>
      </c>
      <c r="I1022" s="296" t="s">
        <v>205</v>
      </c>
      <c r="J1022" s="296" t="s">
        <v>928</v>
      </c>
      <c r="K1022" s="296" t="s">
        <v>233</v>
      </c>
      <c r="L1022" s="296">
        <v>50</v>
      </c>
      <c r="M1022" s="296" t="s">
        <v>234</v>
      </c>
      <c r="N1022" s="296">
        <v>1120</v>
      </c>
      <c r="O1022" s="296">
        <v>1120</v>
      </c>
      <c r="P1022" s="296">
        <v>4000</v>
      </c>
      <c r="Q1022" s="296">
        <v>2</v>
      </c>
      <c r="R1022" s="296">
        <v>2</v>
      </c>
      <c r="S1022" s="296" t="s">
        <v>354</v>
      </c>
      <c r="T1022" s="296" t="s">
        <v>3388</v>
      </c>
      <c r="U1022" s="296" t="s">
        <v>3397</v>
      </c>
      <c r="V1022" s="296" t="s">
        <v>355</v>
      </c>
      <c r="W1022" s="296" t="s">
        <v>928</v>
      </c>
      <c r="X1022" s="296" t="s">
        <v>928</v>
      </c>
    </row>
    <row r="1023" spans="1:25" ht="14.25" thickBot="1" x14ac:dyDescent="0.2">
      <c r="A1023" s="439">
        <v>3790275</v>
      </c>
      <c r="B1023" s="439" t="s">
        <v>351</v>
      </c>
      <c r="C1023" s="439" t="s">
        <v>1801</v>
      </c>
      <c r="D1023" s="439" t="s">
        <v>353</v>
      </c>
      <c r="E1023" s="439" t="s">
        <v>116</v>
      </c>
      <c r="F1023" s="439">
        <v>3</v>
      </c>
      <c r="G1023" s="439" t="s">
        <v>19</v>
      </c>
      <c r="H1023" s="439" t="s">
        <v>28</v>
      </c>
      <c r="I1023" s="439" t="s">
        <v>205</v>
      </c>
      <c r="J1023" s="439" t="s">
        <v>928</v>
      </c>
      <c r="K1023" s="439" t="s">
        <v>233</v>
      </c>
      <c r="L1023" s="439">
        <v>50</v>
      </c>
      <c r="M1023" s="439" t="s">
        <v>234</v>
      </c>
      <c r="N1023" s="439">
        <v>1120</v>
      </c>
      <c r="O1023" s="439">
        <v>1120</v>
      </c>
      <c r="P1023" s="439">
        <v>4000</v>
      </c>
      <c r="Q1023" s="439">
        <v>2</v>
      </c>
      <c r="R1023" s="439">
        <v>8</v>
      </c>
      <c r="S1023" s="439" t="s">
        <v>354</v>
      </c>
      <c r="T1023" s="439" t="s">
        <v>3388</v>
      </c>
      <c r="U1023" s="439" t="s">
        <v>3391</v>
      </c>
      <c r="V1023" s="439" t="s">
        <v>355</v>
      </c>
      <c r="W1023" s="439" t="s">
        <v>928</v>
      </c>
      <c r="X1023" s="439" t="s">
        <v>928</v>
      </c>
    </row>
    <row r="1024" spans="1:25" x14ac:dyDescent="0.15">
      <c r="A1024" s="251">
        <v>3691086</v>
      </c>
      <c r="B1024" s="180" t="s">
        <v>351</v>
      </c>
      <c r="C1024" s="180" t="s">
        <v>356</v>
      </c>
      <c r="D1024" s="180" t="s">
        <v>353</v>
      </c>
      <c r="E1024" s="180" t="s">
        <v>668</v>
      </c>
      <c r="F1024" s="180">
        <v>331</v>
      </c>
      <c r="G1024" s="180" t="s">
        <v>19</v>
      </c>
      <c r="H1024" s="180" t="s">
        <v>28</v>
      </c>
      <c r="I1024" s="180" t="s">
        <v>21</v>
      </c>
      <c r="J1024" s="180"/>
      <c r="K1024" s="180" t="s">
        <v>102</v>
      </c>
      <c r="L1024" s="180">
        <v>50</v>
      </c>
      <c r="M1024" s="180" t="s">
        <v>103</v>
      </c>
      <c r="N1024" s="181">
        <v>1050</v>
      </c>
      <c r="O1024" s="181">
        <v>1040</v>
      </c>
      <c r="P1024" s="181">
        <v>4000</v>
      </c>
      <c r="Q1024" s="180">
        <v>2</v>
      </c>
      <c r="R1024" s="180">
        <v>6</v>
      </c>
      <c r="S1024" s="180" t="s">
        <v>354</v>
      </c>
      <c r="T1024" s="182">
        <v>44894</v>
      </c>
      <c r="U1024" s="182">
        <v>44900</v>
      </c>
      <c r="V1024" s="180" t="s">
        <v>355</v>
      </c>
      <c r="W1024" s="180"/>
      <c r="X1024" s="180"/>
      <c r="Y1024" s="144"/>
    </row>
    <row r="1025" spans="1:25" ht="13.5" x14ac:dyDescent="0.15">
      <c r="A1025" s="305">
        <v>3700913</v>
      </c>
      <c r="B1025" s="296" t="s">
        <v>351</v>
      </c>
      <c r="C1025" s="296" t="s">
        <v>358</v>
      </c>
      <c r="D1025" s="296" t="s">
        <v>353</v>
      </c>
      <c r="E1025" s="296" t="s">
        <v>61</v>
      </c>
      <c r="F1025" s="393">
        <v>3</v>
      </c>
      <c r="G1025" s="296" t="s">
        <v>1549</v>
      </c>
      <c r="H1025" s="296" t="s">
        <v>1550</v>
      </c>
      <c r="I1025" s="296" t="s">
        <v>21</v>
      </c>
      <c r="J1025" s="296"/>
      <c r="K1025" s="296" t="s">
        <v>62</v>
      </c>
      <c r="L1025" s="296">
        <v>38</v>
      </c>
      <c r="M1025" s="296" t="s">
        <v>63</v>
      </c>
      <c r="N1025" s="297">
        <v>1585</v>
      </c>
      <c r="O1025" s="297">
        <v>1580</v>
      </c>
      <c r="P1025" s="297">
        <v>4000</v>
      </c>
      <c r="Q1025" s="296">
        <v>2</v>
      </c>
      <c r="R1025" s="296">
        <v>3</v>
      </c>
      <c r="S1025" s="296" t="s">
        <v>354</v>
      </c>
      <c r="T1025" s="298">
        <v>44978</v>
      </c>
      <c r="U1025" s="298">
        <v>44993</v>
      </c>
      <c r="V1025" s="296" t="s">
        <v>355</v>
      </c>
      <c r="W1025" s="296"/>
      <c r="X1025" s="296"/>
      <c r="Y1025" s="252"/>
    </row>
    <row r="1026" spans="1:25" ht="13.5" x14ac:dyDescent="0.15">
      <c r="A1026" s="305">
        <v>3700915</v>
      </c>
      <c r="B1026" s="296" t="s">
        <v>351</v>
      </c>
      <c r="C1026" s="296" t="s">
        <v>358</v>
      </c>
      <c r="D1026" s="296" t="s">
        <v>353</v>
      </c>
      <c r="E1026" s="296" t="s">
        <v>61</v>
      </c>
      <c r="F1026" s="393">
        <v>3</v>
      </c>
      <c r="G1026" s="296" t="s">
        <v>19</v>
      </c>
      <c r="H1026" s="296" t="s">
        <v>20</v>
      </c>
      <c r="I1026" s="296" t="s">
        <v>21</v>
      </c>
      <c r="J1026" s="296"/>
      <c r="K1026" s="296" t="s">
        <v>62</v>
      </c>
      <c r="L1026" s="296">
        <v>38</v>
      </c>
      <c r="M1026" s="296" t="s">
        <v>63</v>
      </c>
      <c r="N1026" s="297">
        <v>1255</v>
      </c>
      <c r="O1026" s="297">
        <v>1250</v>
      </c>
      <c r="P1026" s="297">
        <v>6000</v>
      </c>
      <c r="Q1026" s="296">
        <v>2</v>
      </c>
      <c r="R1026" s="296">
        <v>4</v>
      </c>
      <c r="S1026" s="296" t="s">
        <v>354</v>
      </c>
      <c r="T1026" s="298">
        <v>44978</v>
      </c>
      <c r="U1026" s="298">
        <v>44993</v>
      </c>
      <c r="V1026" s="296" t="s">
        <v>355</v>
      </c>
      <c r="W1026" s="296"/>
      <c r="X1026" s="296"/>
      <c r="Y1026" s="252"/>
    </row>
    <row r="1027" spans="1:25" ht="13.5" x14ac:dyDescent="0.15">
      <c r="A1027" s="305">
        <v>3700938</v>
      </c>
      <c r="B1027" s="296" t="s">
        <v>431</v>
      </c>
      <c r="C1027" s="296" t="s">
        <v>754</v>
      </c>
      <c r="D1027" s="296" t="s">
        <v>353</v>
      </c>
      <c r="E1027" s="296" t="s">
        <v>755</v>
      </c>
      <c r="F1027" s="393">
        <v>3</v>
      </c>
      <c r="G1027" s="296" t="s">
        <v>265</v>
      </c>
      <c r="H1027" s="296" t="s">
        <v>20</v>
      </c>
      <c r="I1027" s="296" t="s">
        <v>21</v>
      </c>
      <c r="J1027" s="296"/>
      <c r="K1027" s="296" t="s">
        <v>128</v>
      </c>
      <c r="L1027" s="296">
        <v>25</v>
      </c>
      <c r="M1027" s="296" t="s">
        <v>756</v>
      </c>
      <c r="N1027" s="297">
        <v>1155</v>
      </c>
      <c r="O1027" s="297">
        <v>1150</v>
      </c>
      <c r="P1027" s="297">
        <v>12400</v>
      </c>
      <c r="Q1027" s="296">
        <v>2</v>
      </c>
      <c r="R1027" s="296">
        <v>2</v>
      </c>
      <c r="S1027" s="296" t="s">
        <v>354</v>
      </c>
      <c r="T1027" s="298">
        <v>44978</v>
      </c>
      <c r="U1027" s="298">
        <v>45012</v>
      </c>
      <c r="V1027" s="296" t="s">
        <v>355</v>
      </c>
      <c r="W1027" s="296"/>
      <c r="X1027" s="296"/>
      <c r="Y1027" s="252"/>
    </row>
    <row r="1028" spans="1:25" ht="13.5" x14ac:dyDescent="0.15">
      <c r="A1028" s="305">
        <v>3700942</v>
      </c>
      <c r="B1028" s="296" t="s">
        <v>351</v>
      </c>
      <c r="C1028" s="296" t="s">
        <v>356</v>
      </c>
      <c r="D1028" s="296" t="s">
        <v>1601</v>
      </c>
      <c r="E1028" s="296" t="s">
        <v>668</v>
      </c>
      <c r="F1028" s="393">
        <v>331</v>
      </c>
      <c r="G1028" s="296" t="s">
        <v>19</v>
      </c>
      <c r="H1028" s="296" t="s">
        <v>28</v>
      </c>
      <c r="I1028" s="296" t="s">
        <v>21</v>
      </c>
      <c r="J1028" s="296"/>
      <c r="K1028" s="296" t="s">
        <v>102</v>
      </c>
      <c r="L1028" s="296">
        <v>50</v>
      </c>
      <c r="M1028" s="296" t="s">
        <v>103</v>
      </c>
      <c r="N1028" s="297">
        <v>1050</v>
      </c>
      <c r="O1028" s="297">
        <v>1040</v>
      </c>
      <c r="P1028" s="297">
        <v>4000</v>
      </c>
      <c r="Q1028" s="296">
        <v>2</v>
      </c>
      <c r="R1028" s="296">
        <v>4</v>
      </c>
      <c r="S1028" s="296" t="s">
        <v>354</v>
      </c>
      <c r="T1028" s="298">
        <v>44978</v>
      </c>
      <c r="U1028" s="298">
        <v>45012</v>
      </c>
      <c r="V1028" s="296" t="s">
        <v>355</v>
      </c>
      <c r="W1028" s="296"/>
      <c r="X1028" s="296"/>
      <c r="Y1028" s="252"/>
    </row>
    <row r="1029" spans="1:25" ht="13.5" x14ac:dyDescent="0.15">
      <c r="A1029" s="305">
        <v>3716211</v>
      </c>
      <c r="B1029" s="296" t="s">
        <v>351</v>
      </c>
      <c r="C1029" s="296" t="s">
        <v>358</v>
      </c>
      <c r="D1029" s="296" t="s">
        <v>353</v>
      </c>
      <c r="E1029" s="296" t="s">
        <v>61</v>
      </c>
      <c r="F1029" s="393">
        <v>3</v>
      </c>
      <c r="G1029" s="296" t="s">
        <v>1589</v>
      </c>
      <c r="H1029" s="296" t="s">
        <v>1590</v>
      </c>
      <c r="I1029" s="296" t="s">
        <v>1552</v>
      </c>
      <c r="J1029" s="296"/>
      <c r="K1029" s="296" t="s">
        <v>62</v>
      </c>
      <c r="L1029" s="296">
        <v>38</v>
      </c>
      <c r="M1029" s="296" t="s">
        <v>63</v>
      </c>
      <c r="N1029" s="297">
        <v>1255</v>
      </c>
      <c r="O1029" s="297">
        <v>1250</v>
      </c>
      <c r="P1029" s="297">
        <v>6000</v>
      </c>
      <c r="Q1029" s="296">
        <v>2</v>
      </c>
      <c r="R1029" s="296">
        <v>56</v>
      </c>
      <c r="S1029" s="296" t="s">
        <v>354</v>
      </c>
      <c r="T1029" s="298">
        <v>45097</v>
      </c>
      <c r="U1029" s="298">
        <v>45121</v>
      </c>
      <c r="V1029" s="296" t="s">
        <v>355</v>
      </c>
      <c r="W1029" s="296"/>
      <c r="X1029" s="296"/>
      <c r="Y1029" s="252"/>
    </row>
    <row r="1030" spans="1:25" ht="13.5" x14ac:dyDescent="0.15">
      <c r="A1030" s="425">
        <v>3744893</v>
      </c>
      <c r="B1030" s="296" t="s">
        <v>351</v>
      </c>
      <c r="C1030" s="296" t="s">
        <v>1803</v>
      </c>
      <c r="D1030" s="296" t="s">
        <v>353</v>
      </c>
      <c r="E1030" s="296" t="s">
        <v>362</v>
      </c>
      <c r="F1030" s="416">
        <v>3303</v>
      </c>
      <c r="G1030" s="296" t="s">
        <v>19</v>
      </c>
      <c r="H1030" s="296" t="s">
        <v>20</v>
      </c>
      <c r="I1030" s="296" t="s">
        <v>21</v>
      </c>
      <c r="J1030" s="296" t="s">
        <v>928</v>
      </c>
      <c r="K1030" s="296" t="s">
        <v>88</v>
      </c>
      <c r="L1030" s="296">
        <v>188</v>
      </c>
      <c r="M1030" s="296" t="s">
        <v>361</v>
      </c>
      <c r="N1030" s="296">
        <v>1130</v>
      </c>
      <c r="O1030" s="296">
        <v>1130</v>
      </c>
      <c r="P1030" s="296">
        <v>1620</v>
      </c>
      <c r="Q1030" s="416">
        <v>2</v>
      </c>
      <c r="R1030" s="296">
        <v>2</v>
      </c>
      <c r="S1030" s="296" t="s">
        <v>354</v>
      </c>
      <c r="T1030" s="296" t="s">
        <v>2259</v>
      </c>
      <c r="U1030" s="296" t="s">
        <v>1967</v>
      </c>
      <c r="V1030" s="296" t="s">
        <v>355</v>
      </c>
      <c r="W1030" s="417"/>
      <c r="X1030" s="417"/>
    </row>
    <row r="1031" spans="1:25" ht="13.5" x14ac:dyDescent="0.15">
      <c r="A1031" s="305">
        <v>3750034</v>
      </c>
      <c r="B1031" s="296" t="s">
        <v>431</v>
      </c>
      <c r="C1031" s="296" t="s">
        <v>1796</v>
      </c>
      <c r="D1031" s="296" t="s">
        <v>353</v>
      </c>
      <c r="E1031" s="296" t="s">
        <v>130</v>
      </c>
      <c r="F1031" s="296">
        <v>3</v>
      </c>
      <c r="G1031" s="296" t="s">
        <v>265</v>
      </c>
      <c r="H1031" s="296" t="s">
        <v>20</v>
      </c>
      <c r="I1031" s="296" t="s">
        <v>21</v>
      </c>
      <c r="J1031" s="296" t="s">
        <v>928</v>
      </c>
      <c r="K1031" s="296" t="s">
        <v>2337</v>
      </c>
      <c r="L1031" s="296">
        <v>25</v>
      </c>
      <c r="M1031" s="296" t="s">
        <v>2338</v>
      </c>
      <c r="N1031" s="296">
        <v>1420</v>
      </c>
      <c r="O1031" s="296">
        <v>1420</v>
      </c>
      <c r="P1031" s="296">
        <v>12400</v>
      </c>
      <c r="Q1031" s="296">
        <v>2</v>
      </c>
      <c r="R1031" s="296">
        <v>10</v>
      </c>
      <c r="S1031" s="296" t="s">
        <v>354</v>
      </c>
      <c r="T1031" s="296" t="s">
        <v>2355</v>
      </c>
      <c r="U1031" s="296" t="s">
        <v>2357</v>
      </c>
      <c r="V1031" s="296" t="s">
        <v>355</v>
      </c>
      <c r="W1031" s="296" t="s">
        <v>928</v>
      </c>
      <c r="X1031" s="296" t="s">
        <v>928</v>
      </c>
    </row>
    <row r="1032" spans="1:25" x14ac:dyDescent="0.15">
      <c r="A1032" s="438">
        <v>3758021</v>
      </c>
      <c r="B1032" s="417" t="s">
        <v>351</v>
      </c>
      <c r="C1032" s="417" t="s">
        <v>1796</v>
      </c>
      <c r="D1032" s="417" t="s">
        <v>353</v>
      </c>
      <c r="E1032" s="417" t="s">
        <v>83</v>
      </c>
      <c r="F1032" s="417">
        <v>3</v>
      </c>
      <c r="G1032" s="417" t="s">
        <v>19</v>
      </c>
      <c r="H1032" s="417" t="s">
        <v>20</v>
      </c>
      <c r="I1032" s="417" t="s">
        <v>21</v>
      </c>
      <c r="J1032" s="417" t="s">
        <v>928</v>
      </c>
      <c r="K1032" s="417" t="s">
        <v>84</v>
      </c>
      <c r="L1032" s="417">
        <v>38</v>
      </c>
      <c r="M1032" s="417" t="s">
        <v>85</v>
      </c>
      <c r="N1032" s="436">
        <v>1265</v>
      </c>
      <c r="O1032" s="436">
        <v>1265</v>
      </c>
      <c r="P1032" s="436">
        <v>4000</v>
      </c>
      <c r="Q1032" s="417">
        <v>2</v>
      </c>
      <c r="R1032" s="417">
        <v>12</v>
      </c>
      <c r="S1032" s="417" t="s">
        <v>354</v>
      </c>
      <c r="T1032" s="437" t="s">
        <v>2752</v>
      </c>
      <c r="U1032" s="437" t="s">
        <v>2853</v>
      </c>
      <c r="V1032" s="417" t="s">
        <v>355</v>
      </c>
      <c r="W1032" s="417" t="s">
        <v>928</v>
      </c>
      <c r="X1032" s="417" t="s">
        <v>928</v>
      </c>
    </row>
    <row r="1033" spans="1:25" ht="13.5" x14ac:dyDescent="0.15">
      <c r="A1033" s="305">
        <v>3768451</v>
      </c>
      <c r="B1033" s="296" t="s">
        <v>423</v>
      </c>
      <c r="C1033" s="296" t="s">
        <v>1801</v>
      </c>
      <c r="D1033" s="296" t="s">
        <v>353</v>
      </c>
      <c r="E1033" s="296" t="s">
        <v>116</v>
      </c>
      <c r="F1033" s="296">
        <v>3</v>
      </c>
      <c r="G1033" s="296" t="s">
        <v>265</v>
      </c>
      <c r="H1033" s="296" t="s">
        <v>28</v>
      </c>
      <c r="I1033" s="296" t="s">
        <v>165</v>
      </c>
      <c r="J1033" s="296" t="s">
        <v>928</v>
      </c>
      <c r="K1033" s="296" t="s">
        <v>176</v>
      </c>
      <c r="L1033" s="296">
        <v>50</v>
      </c>
      <c r="M1033" s="296" t="s">
        <v>3041</v>
      </c>
      <c r="N1033" s="296">
        <v>1005</v>
      </c>
      <c r="O1033" s="296">
        <v>1000</v>
      </c>
      <c r="P1033" s="296">
        <v>2000</v>
      </c>
      <c r="Q1033" s="296">
        <v>2</v>
      </c>
      <c r="R1033" s="296">
        <v>1</v>
      </c>
      <c r="S1033" s="296" t="s">
        <v>354</v>
      </c>
      <c r="T1033" s="296" t="s">
        <v>2927</v>
      </c>
      <c r="U1033" s="296" t="s">
        <v>3003</v>
      </c>
      <c r="V1033" s="296" t="s">
        <v>355</v>
      </c>
      <c r="W1033" s="296" t="s">
        <v>928</v>
      </c>
      <c r="X1033" s="296" t="s">
        <v>928</v>
      </c>
    </row>
    <row r="1034" spans="1:25" ht="13.5" x14ac:dyDescent="0.15">
      <c r="A1034" s="305">
        <v>3778460</v>
      </c>
      <c r="B1034" s="296" t="s">
        <v>510</v>
      </c>
      <c r="C1034" s="296" t="s">
        <v>1801</v>
      </c>
      <c r="D1034" s="296" t="s">
        <v>353</v>
      </c>
      <c r="E1034" s="296" t="s">
        <v>116</v>
      </c>
      <c r="F1034" s="296">
        <v>3</v>
      </c>
      <c r="G1034" s="296" t="s">
        <v>269</v>
      </c>
      <c r="H1034" s="296" t="s">
        <v>20</v>
      </c>
      <c r="I1034" s="296" t="s">
        <v>143</v>
      </c>
      <c r="J1034" s="296" t="s">
        <v>928</v>
      </c>
      <c r="K1034" s="296" t="s">
        <v>159</v>
      </c>
      <c r="L1034" s="296">
        <v>25</v>
      </c>
      <c r="M1034" s="296" t="s">
        <v>3174</v>
      </c>
      <c r="N1034" s="296">
        <v>1005</v>
      </c>
      <c r="O1034" s="296">
        <v>1000</v>
      </c>
      <c r="P1034" s="296">
        <v>4000</v>
      </c>
      <c r="Q1034" s="296">
        <v>2</v>
      </c>
      <c r="R1034" s="296">
        <v>2</v>
      </c>
      <c r="S1034" s="296" t="s">
        <v>354</v>
      </c>
      <c r="T1034" s="296" t="s">
        <v>3175</v>
      </c>
      <c r="U1034" s="296" t="s">
        <v>3106</v>
      </c>
      <c r="V1034" s="296" t="s">
        <v>428</v>
      </c>
      <c r="W1034" s="296" t="s">
        <v>928</v>
      </c>
      <c r="X1034" s="296" t="s">
        <v>928</v>
      </c>
    </row>
    <row r="1035" spans="1:25" ht="13.5" x14ac:dyDescent="0.15">
      <c r="A1035" s="305">
        <v>3778914</v>
      </c>
      <c r="B1035" s="296" t="s">
        <v>431</v>
      </c>
      <c r="C1035" s="296" t="s">
        <v>1796</v>
      </c>
      <c r="D1035" s="296" t="s">
        <v>353</v>
      </c>
      <c r="E1035" s="296" t="s">
        <v>1436</v>
      </c>
      <c r="F1035" s="296">
        <v>3</v>
      </c>
      <c r="G1035" s="296" t="s">
        <v>265</v>
      </c>
      <c r="H1035" s="296" t="s">
        <v>28</v>
      </c>
      <c r="I1035" s="296" t="s">
        <v>132</v>
      </c>
      <c r="J1035" s="296" t="s">
        <v>928</v>
      </c>
      <c r="K1035" s="296" t="s">
        <v>3189</v>
      </c>
      <c r="L1035" s="296">
        <v>75</v>
      </c>
      <c r="M1035" s="296" t="s">
        <v>3190</v>
      </c>
      <c r="N1035" s="296">
        <v>1300</v>
      </c>
      <c r="O1035" s="296">
        <v>1486</v>
      </c>
      <c r="P1035" s="296">
        <v>2800</v>
      </c>
      <c r="Q1035" s="296">
        <v>2</v>
      </c>
      <c r="R1035" s="296">
        <v>5</v>
      </c>
      <c r="S1035" s="296" t="s">
        <v>354</v>
      </c>
      <c r="T1035" s="296" t="s">
        <v>3182</v>
      </c>
      <c r="U1035" s="296" t="s">
        <v>3186</v>
      </c>
      <c r="V1035" s="296" t="s">
        <v>355</v>
      </c>
      <c r="W1035" s="417"/>
      <c r="X1035" s="417"/>
    </row>
    <row r="1036" spans="1:25" ht="13.5" x14ac:dyDescent="0.15">
      <c r="A1036" s="305">
        <v>3778952</v>
      </c>
      <c r="B1036" s="296" t="s">
        <v>351</v>
      </c>
      <c r="C1036" s="296" t="s">
        <v>1796</v>
      </c>
      <c r="D1036" s="296" t="s">
        <v>353</v>
      </c>
      <c r="E1036" s="296" t="s">
        <v>1436</v>
      </c>
      <c r="F1036" s="296">
        <v>3</v>
      </c>
      <c r="G1036" s="296" t="s">
        <v>19</v>
      </c>
      <c r="H1036" s="296" t="s">
        <v>28</v>
      </c>
      <c r="I1036" s="296" t="s">
        <v>132</v>
      </c>
      <c r="J1036" s="296" t="s">
        <v>928</v>
      </c>
      <c r="K1036" s="296" t="s">
        <v>1437</v>
      </c>
      <c r="L1036" s="296">
        <v>75</v>
      </c>
      <c r="M1036" s="296" t="s">
        <v>1438</v>
      </c>
      <c r="N1036" s="296">
        <v>685</v>
      </c>
      <c r="O1036" s="296">
        <v>685</v>
      </c>
      <c r="P1036" s="296">
        <v>2000</v>
      </c>
      <c r="Q1036" s="296">
        <v>2</v>
      </c>
      <c r="R1036" s="296">
        <v>16</v>
      </c>
      <c r="S1036" s="296" t="s">
        <v>354</v>
      </c>
      <c r="T1036" s="296" t="s">
        <v>3182</v>
      </c>
      <c r="U1036" s="296" t="s">
        <v>3195</v>
      </c>
      <c r="V1036" s="296" t="s">
        <v>355</v>
      </c>
      <c r="W1036" s="417"/>
      <c r="X1036" s="417"/>
    </row>
    <row r="1037" spans="1:25" ht="13.5" x14ac:dyDescent="0.15">
      <c r="A1037" s="305">
        <v>3780714</v>
      </c>
      <c r="B1037" s="296" t="s">
        <v>431</v>
      </c>
      <c r="C1037" s="296" t="s">
        <v>1796</v>
      </c>
      <c r="D1037" s="296" t="s">
        <v>353</v>
      </c>
      <c r="E1037" s="296" t="s">
        <v>1436</v>
      </c>
      <c r="F1037" s="296">
        <v>3</v>
      </c>
      <c r="G1037" s="296" t="s">
        <v>265</v>
      </c>
      <c r="H1037" s="296" t="s">
        <v>28</v>
      </c>
      <c r="I1037" s="296" t="s">
        <v>132</v>
      </c>
      <c r="J1037" s="296" t="s">
        <v>928</v>
      </c>
      <c r="K1037" s="296" t="s">
        <v>3189</v>
      </c>
      <c r="L1037" s="296">
        <v>75</v>
      </c>
      <c r="M1037" s="296" t="s">
        <v>3190</v>
      </c>
      <c r="N1037" s="296">
        <v>1300</v>
      </c>
      <c r="O1037" s="296">
        <v>1486</v>
      </c>
      <c r="P1037" s="296">
        <v>2900</v>
      </c>
      <c r="Q1037" s="296">
        <v>2</v>
      </c>
      <c r="R1037" s="296">
        <v>5</v>
      </c>
      <c r="S1037" s="296" t="s">
        <v>354</v>
      </c>
      <c r="T1037" s="296" t="s">
        <v>3278</v>
      </c>
      <c r="U1037" s="296" t="s">
        <v>3186</v>
      </c>
      <c r="V1037" s="296" t="s">
        <v>355</v>
      </c>
      <c r="W1037" s="296" t="s">
        <v>928</v>
      </c>
      <c r="X1037" s="296" t="s">
        <v>928</v>
      </c>
    </row>
    <row r="1038" spans="1:25" ht="13.5" x14ac:dyDescent="0.15">
      <c r="A1038" s="305">
        <v>3785969</v>
      </c>
      <c r="B1038" s="296" t="s">
        <v>427</v>
      </c>
      <c r="C1038" s="296" t="s">
        <v>1796</v>
      </c>
      <c r="D1038" s="296" t="s">
        <v>353</v>
      </c>
      <c r="E1038" s="296" t="s">
        <v>928</v>
      </c>
      <c r="F1038" s="296">
        <v>3</v>
      </c>
      <c r="G1038" s="296" t="s">
        <v>269</v>
      </c>
      <c r="H1038" s="296" t="s">
        <v>28</v>
      </c>
      <c r="I1038" s="296" t="s">
        <v>21</v>
      </c>
      <c r="J1038" s="296" t="s">
        <v>928</v>
      </c>
      <c r="K1038" s="296" t="s">
        <v>3339</v>
      </c>
      <c r="L1038" s="296">
        <v>50</v>
      </c>
      <c r="M1038" s="296" t="s">
        <v>3340</v>
      </c>
      <c r="N1038" s="296">
        <v>300</v>
      </c>
      <c r="O1038" s="296">
        <v>300</v>
      </c>
      <c r="P1038" s="296">
        <v>300</v>
      </c>
      <c r="Q1038" s="296">
        <v>2</v>
      </c>
      <c r="R1038" s="296">
        <v>5</v>
      </c>
      <c r="S1038" s="296" t="s">
        <v>354</v>
      </c>
      <c r="T1038" s="296" t="s">
        <v>3336</v>
      </c>
      <c r="U1038" s="296" t="s">
        <v>3338</v>
      </c>
      <c r="V1038" s="296" t="s">
        <v>428</v>
      </c>
      <c r="W1038" s="296" t="s">
        <v>928</v>
      </c>
      <c r="X1038" s="296" t="s">
        <v>928</v>
      </c>
    </row>
    <row r="1039" spans="1:25" ht="13.5" x14ac:dyDescent="0.15">
      <c r="A1039" s="305">
        <v>3790240</v>
      </c>
      <c r="B1039" s="296" t="s">
        <v>351</v>
      </c>
      <c r="C1039" s="296" t="s">
        <v>1796</v>
      </c>
      <c r="D1039" s="296" t="s">
        <v>353</v>
      </c>
      <c r="E1039" s="296" t="s">
        <v>1436</v>
      </c>
      <c r="F1039" s="296">
        <v>3</v>
      </c>
      <c r="G1039" s="296" t="s">
        <v>19</v>
      </c>
      <c r="H1039" s="296" t="s">
        <v>28</v>
      </c>
      <c r="I1039" s="296" t="s">
        <v>132</v>
      </c>
      <c r="J1039" s="296" t="s">
        <v>928</v>
      </c>
      <c r="K1039" s="296" t="s">
        <v>1437</v>
      </c>
      <c r="L1039" s="296">
        <v>75</v>
      </c>
      <c r="M1039" s="296" t="s">
        <v>1438</v>
      </c>
      <c r="N1039" s="296">
        <v>685</v>
      </c>
      <c r="O1039" s="296">
        <v>685</v>
      </c>
      <c r="P1039" s="296">
        <v>2000</v>
      </c>
      <c r="Q1039" s="296">
        <v>2</v>
      </c>
      <c r="R1039" s="296">
        <v>16</v>
      </c>
      <c r="S1039" s="296" t="s">
        <v>354</v>
      </c>
      <c r="T1039" s="296" t="s">
        <v>3388</v>
      </c>
      <c r="U1039" s="296" t="s">
        <v>3393</v>
      </c>
      <c r="V1039" s="296" t="s">
        <v>355</v>
      </c>
      <c r="W1039" s="296" t="s">
        <v>928</v>
      </c>
      <c r="X1039" s="296" t="s">
        <v>928</v>
      </c>
    </row>
    <row r="1040" spans="1:25" ht="13.5" x14ac:dyDescent="0.15">
      <c r="A1040" s="305" t="str">
        <f>"3728262"</f>
        <v>3728262</v>
      </c>
      <c r="B1040" s="296" t="str">
        <f>"機能材料ＫＮＺ福開発"</f>
        <v>機能材料ＫＮＺ福開発</v>
      </c>
      <c r="C1040" s="296" t="str">
        <f>"工材１部大阪電材課  "</f>
        <v xml:space="preserve">工材１部大阪電材課  </v>
      </c>
      <c r="D1040" s="296" t="str">
        <f>"ダミー担当者        "</f>
        <v xml:space="preserve">ダミー担当者        </v>
      </c>
      <c r="E1040" s="296" t="str">
        <f>"日東電工㈱豊橋工場  "</f>
        <v xml:space="preserve">日東電工㈱豊橋工場  </v>
      </c>
      <c r="F1040" s="296" t="str">
        <f>"3   "</f>
        <v xml:space="preserve">3   </v>
      </c>
      <c r="G1040" s="296" t="str">
        <f>"U"</f>
        <v>U</v>
      </c>
      <c r="H1040" s="296" t="str">
        <f>"N"</f>
        <v>N</v>
      </c>
      <c r="I1040" s="296" t="str">
        <f>"KNZ   "</f>
        <v xml:space="preserve">KNZ   </v>
      </c>
      <c r="J1040" s="296" t="str">
        <f>"   "</f>
        <v xml:space="preserve">   </v>
      </c>
      <c r="K1040" s="296" t="str">
        <f>"MCRALCB"</f>
        <v>MCRALCB</v>
      </c>
      <c r="L1040" s="296">
        <v>25</v>
      </c>
      <c r="M1040" s="296" t="str">
        <f>"メタルミーＣＲアルミ面コートＢ                                          "</f>
        <v xml:space="preserve">メタルミーＣＲアルミ面コートＢ                                          </v>
      </c>
      <c r="N1040" s="296">
        <v>1050</v>
      </c>
      <c r="O1040" s="296">
        <v>1050</v>
      </c>
      <c r="P1040" s="296">
        <v>6000</v>
      </c>
      <c r="Q1040" s="296" t="str">
        <f>"2     "</f>
        <v xml:space="preserve">2     </v>
      </c>
      <c r="R1040" s="296">
        <v>6</v>
      </c>
      <c r="S1040" s="296" t="str">
        <f>"本        "</f>
        <v xml:space="preserve">本        </v>
      </c>
      <c r="T1040" s="298">
        <v>45196</v>
      </c>
      <c r="U1040" s="298">
        <v>45230</v>
      </c>
      <c r="V1040" s="296" t="str">
        <f>"福島工場ＣＯ        "</f>
        <v xml:space="preserve">福島工場ＣＯ        </v>
      </c>
      <c r="W1040" s="296" t="str">
        <f>"                                                                                "</f>
        <v xml:space="preserve">                                                                                </v>
      </c>
      <c r="X1040" s="296" t="str">
        <f>"     "</f>
        <v xml:space="preserve">     </v>
      </c>
    </row>
    <row r="1041" spans="1:25" ht="13.5" x14ac:dyDescent="0.15">
      <c r="A1041" s="177">
        <v>3667055</v>
      </c>
      <c r="B1041" s="177" t="s">
        <v>351</v>
      </c>
      <c r="C1041" s="177" t="s">
        <v>356</v>
      </c>
      <c r="D1041" s="177" t="s">
        <v>353</v>
      </c>
      <c r="E1041" s="177" t="s">
        <v>106</v>
      </c>
      <c r="F1041" s="177">
        <v>3</v>
      </c>
      <c r="G1041" s="177" t="s">
        <v>19</v>
      </c>
      <c r="H1041" s="177" t="s">
        <v>20</v>
      </c>
      <c r="I1041" s="177" t="s">
        <v>21</v>
      </c>
      <c r="J1041" s="177"/>
      <c r="K1041" s="177" t="s">
        <v>1571</v>
      </c>
      <c r="L1041" s="177">
        <v>38</v>
      </c>
      <c r="M1041" s="177" t="s">
        <v>367</v>
      </c>
      <c r="N1041" s="178">
        <v>1240</v>
      </c>
      <c r="O1041" s="178">
        <v>1240</v>
      </c>
      <c r="P1041" s="392">
        <v>6000</v>
      </c>
      <c r="Q1041" s="177">
        <v>2</v>
      </c>
      <c r="R1041" s="177">
        <v>4</v>
      </c>
      <c r="S1041" s="177" t="s">
        <v>354</v>
      </c>
      <c r="T1041" s="179">
        <v>44734</v>
      </c>
      <c r="U1041" s="179">
        <v>44753</v>
      </c>
      <c r="V1041" s="177" t="s">
        <v>355</v>
      </c>
      <c r="W1041" s="177"/>
      <c r="X1041" s="177"/>
      <c r="Y1041" s="144"/>
    </row>
    <row r="1042" spans="1:25" ht="13.5" x14ac:dyDescent="0.15">
      <c r="A1042" s="177">
        <v>3667056</v>
      </c>
      <c r="B1042" s="177" t="s">
        <v>351</v>
      </c>
      <c r="C1042" s="177" t="s">
        <v>356</v>
      </c>
      <c r="D1042" s="177" t="s">
        <v>353</v>
      </c>
      <c r="E1042" s="177" t="s">
        <v>115</v>
      </c>
      <c r="F1042" s="177">
        <v>3</v>
      </c>
      <c r="G1042" s="177" t="s">
        <v>19</v>
      </c>
      <c r="H1042" s="177" t="s">
        <v>20</v>
      </c>
      <c r="I1042" s="177" t="s">
        <v>21</v>
      </c>
      <c r="J1042" s="177"/>
      <c r="K1042" s="177" t="s">
        <v>112</v>
      </c>
      <c r="L1042" s="177">
        <v>38</v>
      </c>
      <c r="M1042" s="177" t="s">
        <v>357</v>
      </c>
      <c r="N1042" s="178">
        <v>1135</v>
      </c>
      <c r="O1042" s="178">
        <v>1130</v>
      </c>
      <c r="P1042" s="392">
        <v>6000</v>
      </c>
      <c r="Q1042" s="177">
        <v>2</v>
      </c>
      <c r="R1042" s="177">
        <v>4</v>
      </c>
      <c r="S1042" s="177" t="s">
        <v>354</v>
      </c>
      <c r="T1042" s="179">
        <v>44734</v>
      </c>
      <c r="U1042" s="179">
        <v>44753</v>
      </c>
      <c r="V1042" s="177" t="s">
        <v>355</v>
      </c>
      <c r="W1042" s="177"/>
      <c r="X1042" s="177"/>
      <c r="Y1042" s="144"/>
    </row>
    <row r="1043" spans="1:25" ht="13.5" x14ac:dyDescent="0.15">
      <c r="A1043" s="177">
        <v>3667057</v>
      </c>
      <c r="B1043" s="177" t="s">
        <v>351</v>
      </c>
      <c r="C1043" s="177" t="s">
        <v>358</v>
      </c>
      <c r="D1043" s="177" t="s">
        <v>353</v>
      </c>
      <c r="E1043" s="177" t="s">
        <v>120</v>
      </c>
      <c r="F1043" s="177">
        <v>3</v>
      </c>
      <c r="G1043" s="177" t="s">
        <v>19</v>
      </c>
      <c r="H1043" s="177" t="s">
        <v>20</v>
      </c>
      <c r="I1043" s="177" t="s">
        <v>21</v>
      </c>
      <c r="J1043" s="177"/>
      <c r="K1043" s="177" t="s">
        <v>118</v>
      </c>
      <c r="L1043" s="177">
        <v>125</v>
      </c>
      <c r="M1043" s="177" t="s">
        <v>121</v>
      </c>
      <c r="N1043" s="178">
        <v>1230</v>
      </c>
      <c r="O1043" s="178">
        <v>1225</v>
      </c>
      <c r="P1043" s="392">
        <v>6000</v>
      </c>
      <c r="Q1043" s="177">
        <v>2</v>
      </c>
      <c r="R1043" s="177">
        <v>1</v>
      </c>
      <c r="S1043" s="177" t="s">
        <v>354</v>
      </c>
      <c r="T1043" s="179">
        <v>44734</v>
      </c>
      <c r="U1043" s="179">
        <v>44753</v>
      </c>
      <c r="V1043" s="177" t="s">
        <v>355</v>
      </c>
      <c r="W1043" s="177"/>
      <c r="X1043" s="177"/>
      <c r="Y1043" s="144"/>
    </row>
    <row r="1044" spans="1:25" ht="13.5" x14ac:dyDescent="0.15">
      <c r="A1044" s="177">
        <v>3667058</v>
      </c>
      <c r="B1044" s="177" t="s">
        <v>351</v>
      </c>
      <c r="C1044" s="177" t="s">
        <v>356</v>
      </c>
      <c r="D1044" s="177" t="s">
        <v>353</v>
      </c>
      <c r="E1044" s="177" t="s">
        <v>17</v>
      </c>
      <c r="F1044" s="177">
        <v>3</v>
      </c>
      <c r="G1044" s="177" t="s">
        <v>19</v>
      </c>
      <c r="H1044" s="177" t="s">
        <v>20</v>
      </c>
      <c r="I1044" s="177" t="s">
        <v>21</v>
      </c>
      <c r="J1044" s="177"/>
      <c r="K1044" s="177" t="s">
        <v>104</v>
      </c>
      <c r="L1044" s="177">
        <v>25</v>
      </c>
      <c r="M1044" s="177" t="s">
        <v>375</v>
      </c>
      <c r="N1044" s="178">
        <v>1145</v>
      </c>
      <c r="O1044" s="178">
        <v>1145</v>
      </c>
      <c r="P1044" s="392">
        <v>6000</v>
      </c>
      <c r="Q1044" s="177">
        <v>2</v>
      </c>
      <c r="R1044" s="177">
        <v>2</v>
      </c>
      <c r="S1044" s="177" t="s">
        <v>354</v>
      </c>
      <c r="T1044" s="179">
        <v>44734</v>
      </c>
      <c r="U1044" s="179">
        <v>44753</v>
      </c>
      <c r="V1044" s="177" t="s">
        <v>360</v>
      </c>
      <c r="W1044" s="177"/>
      <c r="X1044" s="177"/>
      <c r="Y1044" s="144"/>
    </row>
    <row r="1045" spans="1:25" ht="13.5" x14ac:dyDescent="0.15">
      <c r="A1045" s="177">
        <v>3667059</v>
      </c>
      <c r="B1045" s="177" t="s">
        <v>351</v>
      </c>
      <c r="C1045" s="177" t="s">
        <v>356</v>
      </c>
      <c r="D1045" s="177" t="s">
        <v>353</v>
      </c>
      <c r="E1045" s="177" t="s">
        <v>17</v>
      </c>
      <c r="F1045" s="177">
        <v>3</v>
      </c>
      <c r="G1045" s="177" t="s">
        <v>19</v>
      </c>
      <c r="H1045" s="177" t="s">
        <v>20</v>
      </c>
      <c r="I1045" s="177" t="s">
        <v>21</v>
      </c>
      <c r="J1045" s="177"/>
      <c r="K1045" s="177" t="s">
        <v>104</v>
      </c>
      <c r="L1045" s="177">
        <v>25</v>
      </c>
      <c r="M1045" s="177" t="s">
        <v>375</v>
      </c>
      <c r="N1045" s="178">
        <v>1325</v>
      </c>
      <c r="O1045" s="178">
        <v>1320</v>
      </c>
      <c r="P1045" s="392">
        <v>6000</v>
      </c>
      <c r="Q1045" s="177">
        <v>2</v>
      </c>
      <c r="R1045" s="177">
        <v>4</v>
      </c>
      <c r="S1045" s="177" t="s">
        <v>354</v>
      </c>
      <c r="T1045" s="179">
        <v>44734</v>
      </c>
      <c r="U1045" s="179">
        <v>44753</v>
      </c>
      <c r="V1045" s="177" t="s">
        <v>355</v>
      </c>
      <c r="W1045" s="177"/>
      <c r="X1045" s="177"/>
      <c r="Y1045" s="144"/>
    </row>
    <row r="1046" spans="1:25" ht="13.5" x14ac:dyDescent="0.15">
      <c r="A1046" s="177">
        <v>3667060</v>
      </c>
      <c r="B1046" s="177" t="s">
        <v>431</v>
      </c>
      <c r="C1046" s="177" t="s">
        <v>364</v>
      </c>
      <c r="D1046" s="177" t="s">
        <v>353</v>
      </c>
      <c r="E1046" s="177" t="s">
        <v>371</v>
      </c>
      <c r="F1046" s="177">
        <v>3</v>
      </c>
      <c r="G1046" s="177" t="s">
        <v>265</v>
      </c>
      <c r="H1046" s="177" t="s">
        <v>20</v>
      </c>
      <c r="I1046" s="177" t="s">
        <v>21</v>
      </c>
      <c r="J1046" s="177"/>
      <c r="K1046" s="177" t="s">
        <v>118</v>
      </c>
      <c r="L1046" s="177">
        <v>25</v>
      </c>
      <c r="M1046" s="177" t="s">
        <v>119</v>
      </c>
      <c r="N1046" s="178">
        <v>1425</v>
      </c>
      <c r="O1046" s="178">
        <v>1420</v>
      </c>
      <c r="P1046" s="392">
        <v>6000</v>
      </c>
      <c r="Q1046" s="177">
        <v>2</v>
      </c>
      <c r="R1046" s="177">
        <v>10</v>
      </c>
      <c r="S1046" s="177" t="s">
        <v>354</v>
      </c>
      <c r="T1046" s="179">
        <v>44734</v>
      </c>
      <c r="U1046" s="179">
        <v>44753</v>
      </c>
      <c r="V1046" s="177" t="s">
        <v>355</v>
      </c>
      <c r="W1046" s="177"/>
      <c r="X1046" s="177"/>
      <c r="Y1046" s="144"/>
    </row>
    <row r="1047" spans="1:25" ht="13.5" x14ac:dyDescent="0.15">
      <c r="A1047" s="177">
        <v>3667060</v>
      </c>
      <c r="B1047" s="177" t="s">
        <v>431</v>
      </c>
      <c r="C1047" s="177" t="s">
        <v>364</v>
      </c>
      <c r="D1047" s="177" t="s">
        <v>353</v>
      </c>
      <c r="E1047" s="177" t="s">
        <v>371</v>
      </c>
      <c r="F1047" s="177">
        <v>3</v>
      </c>
      <c r="G1047" s="177" t="s">
        <v>265</v>
      </c>
      <c r="H1047" s="177" t="s">
        <v>20</v>
      </c>
      <c r="I1047" s="177" t="s">
        <v>21</v>
      </c>
      <c r="J1047" s="177"/>
      <c r="K1047" s="177" t="s">
        <v>118</v>
      </c>
      <c r="L1047" s="177">
        <v>25</v>
      </c>
      <c r="M1047" s="177" t="s">
        <v>119</v>
      </c>
      <c r="N1047" s="178">
        <v>1425</v>
      </c>
      <c r="O1047" s="178">
        <v>1420</v>
      </c>
      <c r="P1047" s="392">
        <v>6000</v>
      </c>
      <c r="Q1047" s="177">
        <v>2</v>
      </c>
      <c r="R1047" s="177">
        <v>10</v>
      </c>
      <c r="S1047" s="177" t="s">
        <v>354</v>
      </c>
      <c r="T1047" s="179">
        <v>44734</v>
      </c>
      <c r="U1047" s="179">
        <v>44753</v>
      </c>
      <c r="V1047" s="177" t="s">
        <v>355</v>
      </c>
      <c r="W1047" s="177"/>
      <c r="X1047" s="177"/>
      <c r="Y1047" s="144"/>
    </row>
    <row r="1048" spans="1:25" ht="13.5" x14ac:dyDescent="0.15">
      <c r="A1048" s="177">
        <v>3667061</v>
      </c>
      <c r="B1048" s="177" t="s">
        <v>351</v>
      </c>
      <c r="C1048" s="177" t="s">
        <v>356</v>
      </c>
      <c r="D1048" s="177" t="s">
        <v>353</v>
      </c>
      <c r="E1048" s="177" t="s">
        <v>106</v>
      </c>
      <c r="F1048" s="177">
        <v>3</v>
      </c>
      <c r="G1048" s="177" t="s">
        <v>19</v>
      </c>
      <c r="H1048" s="177" t="s">
        <v>20</v>
      </c>
      <c r="I1048" s="177" t="s">
        <v>21</v>
      </c>
      <c r="J1048" s="177"/>
      <c r="K1048" s="177" t="s">
        <v>107</v>
      </c>
      <c r="L1048" s="177">
        <v>25</v>
      </c>
      <c r="M1048" s="177" t="s">
        <v>367</v>
      </c>
      <c r="N1048" s="178">
        <v>1040</v>
      </c>
      <c r="O1048" s="178">
        <v>1040</v>
      </c>
      <c r="P1048" s="392">
        <v>6000</v>
      </c>
      <c r="Q1048" s="177">
        <v>2</v>
      </c>
      <c r="R1048" s="177">
        <v>44</v>
      </c>
      <c r="S1048" s="177" t="s">
        <v>354</v>
      </c>
      <c r="T1048" s="179">
        <v>44734</v>
      </c>
      <c r="U1048" s="179">
        <v>44753</v>
      </c>
      <c r="V1048" s="177" t="s">
        <v>355</v>
      </c>
      <c r="W1048" s="177"/>
      <c r="X1048" s="177"/>
      <c r="Y1048" s="144"/>
    </row>
    <row r="1049" spans="1:25" ht="13.5" x14ac:dyDescent="0.15">
      <c r="A1049" s="177">
        <v>3667062</v>
      </c>
      <c r="B1049" s="177" t="s">
        <v>431</v>
      </c>
      <c r="C1049" s="177" t="s">
        <v>356</v>
      </c>
      <c r="D1049" s="177" t="s">
        <v>353</v>
      </c>
      <c r="E1049" s="177" t="s">
        <v>130</v>
      </c>
      <c r="F1049" s="177">
        <v>3</v>
      </c>
      <c r="G1049" s="177" t="s">
        <v>265</v>
      </c>
      <c r="H1049" s="177" t="s">
        <v>20</v>
      </c>
      <c r="I1049" s="177" t="s">
        <v>21</v>
      </c>
      <c r="J1049" s="177"/>
      <c r="K1049" s="177" t="s">
        <v>435</v>
      </c>
      <c r="L1049" s="177">
        <v>25</v>
      </c>
      <c r="M1049" s="177" t="s">
        <v>436</v>
      </c>
      <c r="N1049" s="178">
        <v>1410</v>
      </c>
      <c r="O1049" s="178">
        <v>1410</v>
      </c>
      <c r="P1049" s="392">
        <v>6000</v>
      </c>
      <c r="Q1049" s="177">
        <v>2</v>
      </c>
      <c r="R1049" s="177">
        <v>14</v>
      </c>
      <c r="S1049" s="177" t="s">
        <v>354</v>
      </c>
      <c r="T1049" s="179">
        <v>44734</v>
      </c>
      <c r="U1049" s="179">
        <v>44753</v>
      </c>
      <c r="V1049" s="177" t="s">
        <v>355</v>
      </c>
      <c r="W1049" s="177"/>
      <c r="X1049" s="177"/>
      <c r="Y1049" s="144"/>
    </row>
    <row r="1050" spans="1:25" ht="13.5" x14ac:dyDescent="0.15">
      <c r="A1050" s="177">
        <v>3667062</v>
      </c>
      <c r="B1050" s="177" t="s">
        <v>431</v>
      </c>
      <c r="C1050" s="177" t="s">
        <v>356</v>
      </c>
      <c r="D1050" s="177" t="s">
        <v>353</v>
      </c>
      <c r="E1050" s="177" t="s">
        <v>130</v>
      </c>
      <c r="F1050" s="177">
        <v>3</v>
      </c>
      <c r="G1050" s="177" t="s">
        <v>265</v>
      </c>
      <c r="H1050" s="177" t="s">
        <v>20</v>
      </c>
      <c r="I1050" s="177" t="s">
        <v>21</v>
      </c>
      <c r="J1050" s="177"/>
      <c r="K1050" s="177" t="s">
        <v>435</v>
      </c>
      <c r="L1050" s="177">
        <v>25</v>
      </c>
      <c r="M1050" s="177" t="s">
        <v>436</v>
      </c>
      <c r="N1050" s="178">
        <v>1410</v>
      </c>
      <c r="O1050" s="178">
        <v>1410</v>
      </c>
      <c r="P1050" s="392">
        <v>6000</v>
      </c>
      <c r="Q1050" s="177">
        <v>2</v>
      </c>
      <c r="R1050" s="177">
        <v>14</v>
      </c>
      <c r="S1050" s="177" t="s">
        <v>354</v>
      </c>
      <c r="T1050" s="179">
        <v>44734</v>
      </c>
      <c r="U1050" s="179">
        <v>44753</v>
      </c>
      <c r="V1050" s="177" t="s">
        <v>355</v>
      </c>
      <c r="W1050" s="177"/>
      <c r="X1050" s="177"/>
      <c r="Y1050" s="144"/>
    </row>
    <row r="1051" spans="1:25" ht="13.5" x14ac:dyDescent="0.15">
      <c r="A1051" s="177">
        <v>3667063</v>
      </c>
      <c r="B1051" s="177" t="s">
        <v>351</v>
      </c>
      <c r="C1051" s="177" t="s">
        <v>352</v>
      </c>
      <c r="D1051" s="177" t="s">
        <v>353</v>
      </c>
      <c r="E1051" s="177" t="s">
        <v>116</v>
      </c>
      <c r="F1051" s="177">
        <v>3</v>
      </c>
      <c r="G1051" s="177" t="s">
        <v>19</v>
      </c>
      <c r="H1051" s="177" t="s">
        <v>20</v>
      </c>
      <c r="I1051" s="177" t="s">
        <v>21</v>
      </c>
      <c r="J1051" s="177"/>
      <c r="K1051" s="177" t="s">
        <v>118</v>
      </c>
      <c r="L1051" s="177">
        <v>38</v>
      </c>
      <c r="M1051" s="177" t="s">
        <v>368</v>
      </c>
      <c r="N1051" s="178">
        <v>1005</v>
      </c>
      <c r="O1051" s="178">
        <v>1000</v>
      </c>
      <c r="P1051" s="392">
        <v>6000</v>
      </c>
      <c r="Q1051" s="177">
        <v>2</v>
      </c>
      <c r="R1051" s="177">
        <v>5</v>
      </c>
      <c r="S1051" s="177" t="s">
        <v>354</v>
      </c>
      <c r="T1051" s="179">
        <v>44734</v>
      </c>
      <c r="U1051" s="179">
        <v>44767</v>
      </c>
      <c r="V1051" s="177" t="s">
        <v>355</v>
      </c>
      <c r="W1051" s="177"/>
      <c r="X1051" s="177"/>
      <c r="Y1051" s="144"/>
    </row>
    <row r="1052" spans="1:25" ht="13.5" x14ac:dyDescent="0.15">
      <c r="A1052" s="177">
        <v>3667064</v>
      </c>
      <c r="B1052" s="177" t="s">
        <v>351</v>
      </c>
      <c r="C1052" s="177" t="s">
        <v>352</v>
      </c>
      <c r="D1052" s="177" t="s">
        <v>353</v>
      </c>
      <c r="E1052" s="177" t="s">
        <v>116</v>
      </c>
      <c r="F1052" s="177">
        <v>3</v>
      </c>
      <c r="G1052" s="177" t="s">
        <v>19</v>
      </c>
      <c r="H1052" s="177" t="s">
        <v>20</v>
      </c>
      <c r="I1052" s="177" t="s">
        <v>21</v>
      </c>
      <c r="J1052" s="177"/>
      <c r="K1052" s="177" t="s">
        <v>118</v>
      </c>
      <c r="L1052" s="177">
        <v>38</v>
      </c>
      <c r="M1052" s="177" t="s">
        <v>368</v>
      </c>
      <c r="N1052" s="178">
        <v>1005</v>
      </c>
      <c r="O1052" s="178">
        <v>1000</v>
      </c>
      <c r="P1052" s="392">
        <v>6000</v>
      </c>
      <c r="Q1052" s="177">
        <v>2</v>
      </c>
      <c r="R1052" s="177">
        <v>10</v>
      </c>
      <c r="S1052" s="177" t="s">
        <v>354</v>
      </c>
      <c r="T1052" s="179">
        <v>44734</v>
      </c>
      <c r="U1052" s="179">
        <v>44774</v>
      </c>
      <c r="V1052" s="177" t="s">
        <v>355</v>
      </c>
      <c r="W1052" s="177"/>
      <c r="X1052" s="177"/>
      <c r="Y1052" s="144"/>
    </row>
    <row r="1053" spans="1:25" ht="13.5" x14ac:dyDescent="0.15">
      <c r="A1053" s="177">
        <v>3667065</v>
      </c>
      <c r="B1053" s="177" t="s">
        <v>351</v>
      </c>
      <c r="C1053" s="177" t="s">
        <v>352</v>
      </c>
      <c r="D1053" s="177" t="s">
        <v>353</v>
      </c>
      <c r="E1053" s="177" t="s">
        <v>116</v>
      </c>
      <c r="F1053" s="177">
        <v>3</v>
      </c>
      <c r="G1053" s="177" t="s">
        <v>19</v>
      </c>
      <c r="H1053" s="177" t="s">
        <v>20</v>
      </c>
      <c r="I1053" s="177" t="s">
        <v>21</v>
      </c>
      <c r="J1053" s="177"/>
      <c r="K1053" s="177" t="s">
        <v>118</v>
      </c>
      <c r="L1053" s="177">
        <v>38</v>
      </c>
      <c r="M1053" s="177" t="s">
        <v>368</v>
      </c>
      <c r="N1053" s="178">
        <v>1415</v>
      </c>
      <c r="O1053" s="178">
        <v>1410</v>
      </c>
      <c r="P1053" s="392">
        <v>6000</v>
      </c>
      <c r="Q1053" s="177">
        <v>2</v>
      </c>
      <c r="R1053" s="177">
        <v>12</v>
      </c>
      <c r="S1053" s="177" t="s">
        <v>354</v>
      </c>
      <c r="T1053" s="179">
        <v>44734</v>
      </c>
      <c r="U1053" s="179">
        <v>44767</v>
      </c>
      <c r="V1053" s="177" t="s">
        <v>355</v>
      </c>
      <c r="W1053" s="177"/>
      <c r="X1053" s="177"/>
      <c r="Y1053" s="144"/>
    </row>
    <row r="1054" spans="1:25" ht="13.5" x14ac:dyDescent="0.15">
      <c r="A1054" s="177">
        <v>3667066</v>
      </c>
      <c r="B1054" s="177" t="s">
        <v>351</v>
      </c>
      <c r="C1054" s="177" t="s">
        <v>356</v>
      </c>
      <c r="D1054" s="177" t="s">
        <v>353</v>
      </c>
      <c r="E1054" s="177" t="s">
        <v>32</v>
      </c>
      <c r="F1054" s="177">
        <v>331</v>
      </c>
      <c r="G1054" s="177" t="s">
        <v>19</v>
      </c>
      <c r="H1054" s="177" t="s">
        <v>20</v>
      </c>
      <c r="I1054" s="177" t="s">
        <v>21</v>
      </c>
      <c r="J1054" s="177"/>
      <c r="K1054" s="177" t="s">
        <v>33</v>
      </c>
      <c r="L1054" s="177">
        <v>38</v>
      </c>
      <c r="M1054" s="177" t="s">
        <v>30</v>
      </c>
      <c r="N1054" s="178">
        <v>1330</v>
      </c>
      <c r="O1054" s="178">
        <v>1330</v>
      </c>
      <c r="P1054" s="392">
        <v>6000</v>
      </c>
      <c r="Q1054" s="177">
        <v>2</v>
      </c>
      <c r="R1054" s="177">
        <v>4</v>
      </c>
      <c r="S1054" s="177" t="s">
        <v>354</v>
      </c>
      <c r="T1054" s="179">
        <v>44734</v>
      </c>
      <c r="U1054" s="179">
        <v>44753</v>
      </c>
      <c r="V1054" s="177" t="s">
        <v>355</v>
      </c>
      <c r="W1054" s="177"/>
      <c r="X1054" s="177"/>
      <c r="Y1054" s="144"/>
    </row>
    <row r="1055" spans="1:25" ht="13.5" x14ac:dyDescent="0.15">
      <c r="A1055" s="177">
        <v>3667067</v>
      </c>
      <c r="B1055" s="177" t="s">
        <v>351</v>
      </c>
      <c r="C1055" s="177" t="s">
        <v>356</v>
      </c>
      <c r="D1055" s="177" t="s">
        <v>353</v>
      </c>
      <c r="E1055" s="177" t="s">
        <v>17</v>
      </c>
      <c r="F1055" s="177">
        <v>331</v>
      </c>
      <c r="G1055" s="177" t="s">
        <v>19</v>
      </c>
      <c r="H1055" s="177" t="s">
        <v>20</v>
      </c>
      <c r="I1055" s="177" t="s">
        <v>21</v>
      </c>
      <c r="J1055" s="177"/>
      <c r="K1055" s="177" t="s">
        <v>22</v>
      </c>
      <c r="L1055" s="177">
        <v>38</v>
      </c>
      <c r="M1055" s="177" t="s">
        <v>23</v>
      </c>
      <c r="N1055" s="178">
        <v>1367</v>
      </c>
      <c r="O1055" s="178">
        <v>1360</v>
      </c>
      <c r="P1055" s="392">
        <v>6000</v>
      </c>
      <c r="Q1055" s="177">
        <v>2</v>
      </c>
      <c r="R1055" s="177">
        <v>4</v>
      </c>
      <c r="S1055" s="177" t="s">
        <v>354</v>
      </c>
      <c r="T1055" s="179">
        <v>44734</v>
      </c>
      <c r="U1055" s="179">
        <v>44753</v>
      </c>
      <c r="V1055" s="177" t="s">
        <v>355</v>
      </c>
      <c r="W1055" s="177"/>
      <c r="X1055" s="177"/>
      <c r="Y1055" s="144"/>
    </row>
    <row r="1056" spans="1:25" ht="13.5" x14ac:dyDescent="0.15">
      <c r="A1056" s="177">
        <v>3667068</v>
      </c>
      <c r="B1056" s="177" t="s">
        <v>351</v>
      </c>
      <c r="C1056" s="177" t="s">
        <v>356</v>
      </c>
      <c r="D1056" s="177" t="s">
        <v>353</v>
      </c>
      <c r="E1056" s="177" t="s">
        <v>17</v>
      </c>
      <c r="F1056" s="177">
        <v>331</v>
      </c>
      <c r="G1056" s="177" t="s">
        <v>19</v>
      </c>
      <c r="H1056" s="177" t="s">
        <v>20</v>
      </c>
      <c r="I1056" s="177" t="s">
        <v>21</v>
      </c>
      <c r="J1056" s="177"/>
      <c r="K1056" s="177" t="s">
        <v>22</v>
      </c>
      <c r="L1056" s="177">
        <v>38</v>
      </c>
      <c r="M1056" s="177" t="s">
        <v>23</v>
      </c>
      <c r="N1056" s="178">
        <v>1337</v>
      </c>
      <c r="O1056" s="178">
        <v>1330</v>
      </c>
      <c r="P1056" s="392">
        <v>6000</v>
      </c>
      <c r="Q1056" s="177">
        <v>2</v>
      </c>
      <c r="R1056" s="177">
        <v>4</v>
      </c>
      <c r="S1056" s="177" t="s">
        <v>354</v>
      </c>
      <c r="T1056" s="179">
        <v>44734</v>
      </c>
      <c r="U1056" s="179">
        <v>44753</v>
      </c>
      <c r="V1056" s="177" t="s">
        <v>355</v>
      </c>
      <c r="W1056" s="177"/>
      <c r="X1056" s="177"/>
      <c r="Y1056" s="144"/>
    </row>
    <row r="1057" spans="1:25" ht="13.5" x14ac:dyDescent="0.15">
      <c r="A1057" s="177">
        <v>3667069</v>
      </c>
      <c r="B1057" s="177" t="s">
        <v>351</v>
      </c>
      <c r="C1057" s="177" t="s">
        <v>356</v>
      </c>
      <c r="D1057" s="177" t="s">
        <v>353</v>
      </c>
      <c r="E1057" s="177" t="s">
        <v>377</v>
      </c>
      <c r="F1057" s="177">
        <v>3</v>
      </c>
      <c r="G1057" s="177" t="s">
        <v>19</v>
      </c>
      <c r="H1057" s="177" t="s">
        <v>20</v>
      </c>
      <c r="I1057" s="177" t="s">
        <v>21</v>
      </c>
      <c r="J1057" s="177"/>
      <c r="K1057" s="177" t="s">
        <v>36</v>
      </c>
      <c r="L1057" s="177">
        <v>25</v>
      </c>
      <c r="M1057" s="177" t="s">
        <v>37</v>
      </c>
      <c r="N1057" s="178">
        <v>890</v>
      </c>
      <c r="O1057" s="178">
        <v>890</v>
      </c>
      <c r="P1057" s="392">
        <v>6000</v>
      </c>
      <c r="Q1057" s="177">
        <v>2</v>
      </c>
      <c r="R1057" s="177">
        <v>6</v>
      </c>
      <c r="S1057" s="177" t="s">
        <v>354</v>
      </c>
      <c r="T1057" s="179">
        <v>44734</v>
      </c>
      <c r="U1057" s="179">
        <v>44757</v>
      </c>
      <c r="V1057" s="177" t="s">
        <v>355</v>
      </c>
      <c r="W1057" s="177"/>
      <c r="X1057" s="177"/>
      <c r="Y1057" s="144"/>
    </row>
    <row r="1058" spans="1:25" ht="13.5" x14ac:dyDescent="0.15">
      <c r="A1058" s="177">
        <v>3667070</v>
      </c>
      <c r="B1058" s="177" t="s">
        <v>351</v>
      </c>
      <c r="C1058" s="177" t="s">
        <v>356</v>
      </c>
      <c r="D1058" s="177" t="s">
        <v>353</v>
      </c>
      <c r="E1058" s="177" t="s">
        <v>17</v>
      </c>
      <c r="F1058" s="177">
        <v>331</v>
      </c>
      <c r="G1058" s="177" t="s">
        <v>19</v>
      </c>
      <c r="H1058" s="177" t="s">
        <v>20</v>
      </c>
      <c r="I1058" s="177" t="s">
        <v>21</v>
      </c>
      <c r="J1058" s="177"/>
      <c r="K1058" s="177" t="s">
        <v>22</v>
      </c>
      <c r="L1058" s="177">
        <v>38</v>
      </c>
      <c r="M1058" s="177" t="s">
        <v>23</v>
      </c>
      <c r="N1058" s="178">
        <v>1335</v>
      </c>
      <c r="O1058" s="178">
        <v>1330</v>
      </c>
      <c r="P1058" s="392">
        <v>6000</v>
      </c>
      <c r="Q1058" s="177">
        <v>2</v>
      </c>
      <c r="R1058" s="177">
        <v>18</v>
      </c>
      <c r="S1058" s="177" t="s">
        <v>354</v>
      </c>
      <c r="T1058" s="179">
        <v>44734</v>
      </c>
      <c r="U1058" s="179">
        <v>44757</v>
      </c>
      <c r="V1058" s="177" t="s">
        <v>355</v>
      </c>
      <c r="W1058" s="177"/>
      <c r="X1058" s="177"/>
      <c r="Y1058" s="144"/>
    </row>
    <row r="1059" spans="1:25" ht="13.5" x14ac:dyDescent="0.15">
      <c r="A1059" s="177">
        <v>3667071</v>
      </c>
      <c r="B1059" s="177" t="s">
        <v>351</v>
      </c>
      <c r="C1059" s="177" t="s">
        <v>356</v>
      </c>
      <c r="D1059" s="177" t="s">
        <v>353</v>
      </c>
      <c r="E1059" s="177" t="s">
        <v>17</v>
      </c>
      <c r="F1059" s="177">
        <v>3</v>
      </c>
      <c r="G1059" s="177" t="s">
        <v>19</v>
      </c>
      <c r="H1059" s="177" t="s">
        <v>20</v>
      </c>
      <c r="I1059" s="177" t="s">
        <v>21</v>
      </c>
      <c r="J1059" s="177"/>
      <c r="K1059" s="177" t="s">
        <v>22</v>
      </c>
      <c r="L1059" s="177">
        <v>38</v>
      </c>
      <c r="M1059" s="177" t="s">
        <v>23</v>
      </c>
      <c r="N1059" s="178">
        <v>1037</v>
      </c>
      <c r="O1059" s="178">
        <v>1030</v>
      </c>
      <c r="P1059" s="392">
        <v>6000</v>
      </c>
      <c r="Q1059" s="177">
        <v>2</v>
      </c>
      <c r="R1059" s="177">
        <v>57</v>
      </c>
      <c r="S1059" s="177" t="s">
        <v>354</v>
      </c>
      <c r="T1059" s="179">
        <v>44734</v>
      </c>
      <c r="U1059" s="179">
        <v>44757</v>
      </c>
      <c r="V1059" s="177" t="s">
        <v>355</v>
      </c>
      <c r="W1059" s="177"/>
      <c r="X1059" s="177"/>
      <c r="Y1059" s="144"/>
    </row>
    <row r="1060" spans="1:25" ht="13.5" x14ac:dyDescent="0.15">
      <c r="A1060" s="177">
        <v>3667072</v>
      </c>
      <c r="B1060" s="177" t="s">
        <v>351</v>
      </c>
      <c r="C1060" s="177" t="s">
        <v>356</v>
      </c>
      <c r="D1060" s="177" t="s">
        <v>353</v>
      </c>
      <c r="E1060" s="177" t="s">
        <v>32</v>
      </c>
      <c r="F1060" s="177">
        <v>331</v>
      </c>
      <c r="G1060" s="177" t="s">
        <v>19</v>
      </c>
      <c r="H1060" s="177" t="s">
        <v>20</v>
      </c>
      <c r="I1060" s="177" t="s">
        <v>21</v>
      </c>
      <c r="J1060" s="177"/>
      <c r="K1060" s="177" t="s">
        <v>33</v>
      </c>
      <c r="L1060" s="177">
        <v>38</v>
      </c>
      <c r="M1060" s="177" t="s">
        <v>30</v>
      </c>
      <c r="N1060" s="178">
        <v>1580</v>
      </c>
      <c r="O1060" s="178">
        <v>1580</v>
      </c>
      <c r="P1060" s="392">
        <v>6000</v>
      </c>
      <c r="Q1060" s="177">
        <v>2</v>
      </c>
      <c r="R1060" s="177">
        <v>4</v>
      </c>
      <c r="S1060" s="177" t="s">
        <v>354</v>
      </c>
      <c r="T1060" s="179">
        <v>44734</v>
      </c>
      <c r="U1060" s="179">
        <v>44757</v>
      </c>
      <c r="V1060" s="177" t="s">
        <v>355</v>
      </c>
      <c r="W1060" s="177"/>
      <c r="X1060" s="177"/>
      <c r="Y1060" s="144"/>
    </row>
    <row r="1061" spans="1:25" ht="13.5" x14ac:dyDescent="0.15">
      <c r="A1061" s="177">
        <v>3667073</v>
      </c>
      <c r="B1061" s="177" t="s">
        <v>351</v>
      </c>
      <c r="C1061" s="177" t="s">
        <v>363</v>
      </c>
      <c r="D1061" s="177" t="s">
        <v>353</v>
      </c>
      <c r="E1061" s="177" t="s">
        <v>65</v>
      </c>
      <c r="F1061" s="177">
        <v>3321</v>
      </c>
      <c r="G1061" s="177" t="s">
        <v>19</v>
      </c>
      <c r="H1061" s="177" t="s">
        <v>20</v>
      </c>
      <c r="I1061" s="177" t="s">
        <v>21</v>
      </c>
      <c r="J1061" s="177"/>
      <c r="K1061" s="177" t="s">
        <v>67</v>
      </c>
      <c r="L1061" s="177">
        <v>38</v>
      </c>
      <c r="M1061" s="177" t="s">
        <v>68</v>
      </c>
      <c r="N1061" s="178">
        <v>1336</v>
      </c>
      <c r="O1061" s="178">
        <v>1325</v>
      </c>
      <c r="P1061" s="392">
        <v>6000</v>
      </c>
      <c r="Q1061" s="177">
        <v>2</v>
      </c>
      <c r="R1061" s="177">
        <v>23</v>
      </c>
      <c r="S1061" s="177" t="s">
        <v>354</v>
      </c>
      <c r="T1061" s="179">
        <v>44734</v>
      </c>
      <c r="U1061" s="179">
        <v>44757</v>
      </c>
      <c r="V1061" s="177" t="s">
        <v>355</v>
      </c>
      <c r="W1061" s="177"/>
      <c r="X1061" s="177"/>
      <c r="Y1061" s="144"/>
    </row>
    <row r="1062" spans="1:25" ht="13.5" x14ac:dyDescent="0.15">
      <c r="A1062" s="177">
        <v>3667074</v>
      </c>
      <c r="B1062" s="177" t="s">
        <v>351</v>
      </c>
      <c r="C1062" s="177" t="s">
        <v>363</v>
      </c>
      <c r="D1062" s="177" t="s">
        <v>353</v>
      </c>
      <c r="E1062" s="177" t="s">
        <v>65</v>
      </c>
      <c r="F1062" s="177">
        <v>3321</v>
      </c>
      <c r="G1062" s="177" t="s">
        <v>19</v>
      </c>
      <c r="H1062" s="177" t="s">
        <v>20</v>
      </c>
      <c r="I1062" s="177" t="s">
        <v>21</v>
      </c>
      <c r="J1062" s="177"/>
      <c r="K1062" s="177" t="s">
        <v>70</v>
      </c>
      <c r="L1062" s="177">
        <v>38</v>
      </c>
      <c r="M1062" s="177" t="s">
        <v>71</v>
      </c>
      <c r="N1062" s="178">
        <v>1336</v>
      </c>
      <c r="O1062" s="178">
        <v>1325</v>
      </c>
      <c r="P1062" s="392">
        <v>6000</v>
      </c>
      <c r="Q1062" s="177">
        <v>2</v>
      </c>
      <c r="R1062" s="177">
        <v>23</v>
      </c>
      <c r="S1062" s="177" t="s">
        <v>354</v>
      </c>
      <c r="T1062" s="179">
        <v>44734</v>
      </c>
      <c r="U1062" s="179">
        <v>44757</v>
      </c>
      <c r="V1062" s="177" t="s">
        <v>355</v>
      </c>
      <c r="W1062" s="177"/>
      <c r="X1062" s="177"/>
      <c r="Y1062" s="144"/>
    </row>
    <row r="1063" spans="1:25" ht="13.5" x14ac:dyDescent="0.15">
      <c r="A1063" s="177">
        <v>3667075</v>
      </c>
      <c r="B1063" s="177" t="s">
        <v>351</v>
      </c>
      <c r="C1063" s="177" t="s">
        <v>356</v>
      </c>
      <c r="D1063" s="177" t="s">
        <v>353</v>
      </c>
      <c r="E1063" s="177" t="s">
        <v>17</v>
      </c>
      <c r="F1063" s="177">
        <v>331</v>
      </c>
      <c r="G1063" s="177" t="s">
        <v>19</v>
      </c>
      <c r="H1063" s="177" t="s">
        <v>20</v>
      </c>
      <c r="I1063" s="177" t="s">
        <v>21</v>
      </c>
      <c r="J1063" s="177"/>
      <c r="K1063" s="177" t="s">
        <v>52</v>
      </c>
      <c r="L1063" s="177">
        <v>38</v>
      </c>
      <c r="M1063" s="177" t="s">
        <v>53</v>
      </c>
      <c r="N1063" s="178">
        <v>1330</v>
      </c>
      <c r="O1063" s="178">
        <v>1330</v>
      </c>
      <c r="P1063" s="392">
        <v>6000</v>
      </c>
      <c r="Q1063" s="177">
        <v>2</v>
      </c>
      <c r="R1063" s="177">
        <v>50</v>
      </c>
      <c r="S1063" s="177" t="s">
        <v>354</v>
      </c>
      <c r="T1063" s="179">
        <v>44734</v>
      </c>
      <c r="U1063" s="179">
        <v>44764</v>
      </c>
      <c r="V1063" s="177" t="s">
        <v>355</v>
      </c>
      <c r="W1063" s="177"/>
      <c r="X1063" s="177"/>
      <c r="Y1063" s="144"/>
    </row>
    <row r="1064" spans="1:25" ht="13.5" x14ac:dyDescent="0.15">
      <c r="A1064" s="177">
        <v>3667076</v>
      </c>
      <c r="B1064" s="177" t="s">
        <v>351</v>
      </c>
      <c r="C1064" s="177" t="s">
        <v>356</v>
      </c>
      <c r="D1064" s="177" t="s">
        <v>353</v>
      </c>
      <c r="E1064" s="177" t="s">
        <v>32</v>
      </c>
      <c r="F1064" s="177">
        <v>3</v>
      </c>
      <c r="G1064" s="177" t="s">
        <v>19</v>
      </c>
      <c r="H1064" s="177" t="s">
        <v>20</v>
      </c>
      <c r="I1064" s="177" t="s">
        <v>21</v>
      </c>
      <c r="J1064" s="177"/>
      <c r="K1064" s="177" t="s">
        <v>56</v>
      </c>
      <c r="L1064" s="177">
        <v>75</v>
      </c>
      <c r="M1064" s="177" t="s">
        <v>376</v>
      </c>
      <c r="N1064" s="178">
        <v>1330</v>
      </c>
      <c r="O1064" s="178">
        <v>1330</v>
      </c>
      <c r="P1064" s="392">
        <v>6000</v>
      </c>
      <c r="Q1064" s="177">
        <v>2</v>
      </c>
      <c r="R1064" s="177">
        <v>24</v>
      </c>
      <c r="S1064" s="177" t="s">
        <v>354</v>
      </c>
      <c r="T1064" s="179">
        <v>44734</v>
      </c>
      <c r="U1064" s="179">
        <v>44764</v>
      </c>
      <c r="V1064" s="177" t="s">
        <v>355</v>
      </c>
      <c r="W1064" s="177"/>
      <c r="X1064" s="177"/>
      <c r="Y1064" s="144"/>
    </row>
    <row r="1065" spans="1:25" ht="13.5" x14ac:dyDescent="0.15">
      <c r="A1065" s="177">
        <v>3667077</v>
      </c>
      <c r="B1065" s="177" t="s">
        <v>351</v>
      </c>
      <c r="C1065" s="177" t="s">
        <v>356</v>
      </c>
      <c r="D1065" s="177" t="s">
        <v>353</v>
      </c>
      <c r="E1065" s="177" t="s">
        <v>32</v>
      </c>
      <c r="F1065" s="177">
        <v>331</v>
      </c>
      <c r="G1065" s="177" t="s">
        <v>19</v>
      </c>
      <c r="H1065" s="177" t="s">
        <v>20</v>
      </c>
      <c r="I1065" s="177" t="s">
        <v>21</v>
      </c>
      <c r="J1065" s="177"/>
      <c r="K1065" s="177" t="s">
        <v>54</v>
      </c>
      <c r="L1065" s="177">
        <v>38</v>
      </c>
      <c r="M1065" s="177" t="s">
        <v>53</v>
      </c>
      <c r="N1065" s="178">
        <v>1580</v>
      </c>
      <c r="O1065" s="178">
        <v>1580</v>
      </c>
      <c r="P1065" s="392">
        <v>6000</v>
      </c>
      <c r="Q1065" s="177">
        <v>2</v>
      </c>
      <c r="R1065" s="177">
        <v>4</v>
      </c>
      <c r="S1065" s="177" t="s">
        <v>354</v>
      </c>
      <c r="T1065" s="179">
        <v>44734</v>
      </c>
      <c r="U1065" s="179">
        <v>44764</v>
      </c>
      <c r="V1065" s="177" t="s">
        <v>355</v>
      </c>
      <c r="W1065" s="177"/>
      <c r="X1065" s="177"/>
      <c r="Y1065" s="144"/>
    </row>
    <row r="1066" spans="1:25" ht="13.5" x14ac:dyDescent="0.15">
      <c r="A1066" s="177">
        <v>3667078</v>
      </c>
      <c r="B1066" s="177" t="s">
        <v>431</v>
      </c>
      <c r="C1066" s="177" t="s">
        <v>358</v>
      </c>
      <c r="D1066" s="177" t="s">
        <v>353</v>
      </c>
      <c r="E1066" s="177" t="s">
        <v>61</v>
      </c>
      <c r="F1066" s="177">
        <v>3</v>
      </c>
      <c r="G1066" s="177" t="s">
        <v>265</v>
      </c>
      <c r="H1066" s="177" t="s">
        <v>20</v>
      </c>
      <c r="I1066" s="177" t="s">
        <v>21</v>
      </c>
      <c r="J1066" s="177"/>
      <c r="K1066" s="177" t="s">
        <v>263</v>
      </c>
      <c r="L1066" s="177">
        <v>75</v>
      </c>
      <c r="M1066" s="177" t="s">
        <v>264</v>
      </c>
      <c r="N1066" s="178">
        <v>1050</v>
      </c>
      <c r="O1066" s="178">
        <v>1050</v>
      </c>
      <c r="P1066" s="392">
        <v>6000</v>
      </c>
      <c r="Q1066" s="177">
        <v>2</v>
      </c>
      <c r="R1066" s="177">
        <v>18</v>
      </c>
      <c r="S1066" s="177" t="s">
        <v>354</v>
      </c>
      <c r="T1066" s="179">
        <v>44734</v>
      </c>
      <c r="U1066" s="179">
        <v>44764</v>
      </c>
      <c r="V1066" s="177" t="s">
        <v>355</v>
      </c>
      <c r="W1066" s="177"/>
      <c r="X1066" s="177"/>
      <c r="Y1066" s="144"/>
    </row>
    <row r="1067" spans="1:25" ht="13.5" x14ac:dyDescent="0.15">
      <c r="A1067" s="177">
        <v>3667078</v>
      </c>
      <c r="B1067" s="177" t="s">
        <v>431</v>
      </c>
      <c r="C1067" s="177" t="s">
        <v>358</v>
      </c>
      <c r="D1067" s="177" t="s">
        <v>353</v>
      </c>
      <c r="E1067" s="177" t="s">
        <v>61</v>
      </c>
      <c r="F1067" s="177">
        <v>3</v>
      </c>
      <c r="G1067" s="177" t="s">
        <v>265</v>
      </c>
      <c r="H1067" s="177" t="s">
        <v>20</v>
      </c>
      <c r="I1067" s="177" t="s">
        <v>21</v>
      </c>
      <c r="J1067" s="177"/>
      <c r="K1067" s="177" t="s">
        <v>263</v>
      </c>
      <c r="L1067" s="177">
        <v>75</v>
      </c>
      <c r="M1067" s="177" t="s">
        <v>264</v>
      </c>
      <c r="N1067" s="178">
        <v>1050</v>
      </c>
      <c r="O1067" s="178">
        <v>1050</v>
      </c>
      <c r="P1067" s="392">
        <v>6000</v>
      </c>
      <c r="Q1067" s="177">
        <v>2</v>
      </c>
      <c r="R1067" s="177">
        <v>18</v>
      </c>
      <c r="S1067" s="177" t="s">
        <v>354</v>
      </c>
      <c r="T1067" s="179">
        <v>44734</v>
      </c>
      <c r="U1067" s="179">
        <v>44764</v>
      </c>
      <c r="V1067" s="177" t="s">
        <v>355</v>
      </c>
      <c r="W1067" s="177"/>
      <c r="X1067" s="177"/>
      <c r="Y1067" s="144"/>
    </row>
    <row r="1068" spans="1:25" ht="13.5" x14ac:dyDescent="0.15">
      <c r="A1068" s="177">
        <v>3667079</v>
      </c>
      <c r="B1068" s="177" t="s">
        <v>351</v>
      </c>
      <c r="C1068" s="177" t="s">
        <v>364</v>
      </c>
      <c r="D1068" s="177" t="s">
        <v>353</v>
      </c>
      <c r="E1068" s="177" t="s">
        <v>371</v>
      </c>
      <c r="F1068" s="177">
        <v>3</v>
      </c>
      <c r="G1068" s="177" t="s">
        <v>19</v>
      </c>
      <c r="H1068" s="177" t="s">
        <v>28</v>
      </c>
      <c r="I1068" s="177" t="s">
        <v>21</v>
      </c>
      <c r="J1068" s="177"/>
      <c r="K1068" s="177" t="s">
        <v>465</v>
      </c>
      <c r="L1068" s="177">
        <v>75</v>
      </c>
      <c r="M1068" s="177" t="s">
        <v>466</v>
      </c>
      <c r="N1068" s="178">
        <v>1040</v>
      </c>
      <c r="O1068" s="178">
        <v>1040</v>
      </c>
      <c r="P1068" s="392">
        <v>6000</v>
      </c>
      <c r="Q1068" s="177">
        <v>1</v>
      </c>
      <c r="R1068" s="177">
        <v>1</v>
      </c>
      <c r="S1068" s="177" t="s">
        <v>354</v>
      </c>
      <c r="T1068" s="179">
        <v>44734</v>
      </c>
      <c r="U1068" s="179">
        <v>44764</v>
      </c>
      <c r="V1068" s="177" t="s">
        <v>355</v>
      </c>
      <c r="W1068" s="177"/>
      <c r="X1068" s="177"/>
      <c r="Y1068" s="144"/>
    </row>
    <row r="1069" spans="1:25" ht="13.5" x14ac:dyDescent="0.15">
      <c r="A1069" s="177">
        <v>3667080</v>
      </c>
      <c r="B1069" s="177" t="s">
        <v>351</v>
      </c>
      <c r="C1069" s="177" t="s">
        <v>364</v>
      </c>
      <c r="D1069" s="177" t="s">
        <v>353</v>
      </c>
      <c r="E1069" s="177" t="s">
        <v>371</v>
      </c>
      <c r="F1069" s="177">
        <v>3</v>
      </c>
      <c r="G1069" s="177" t="s">
        <v>19</v>
      </c>
      <c r="H1069" s="177" t="s">
        <v>28</v>
      </c>
      <c r="I1069" s="177" t="s">
        <v>21</v>
      </c>
      <c r="J1069" s="177"/>
      <c r="K1069" s="177" t="s">
        <v>60</v>
      </c>
      <c r="L1069" s="177">
        <v>75</v>
      </c>
      <c r="M1069" s="177" t="s">
        <v>372</v>
      </c>
      <c r="N1069" s="178">
        <v>1040</v>
      </c>
      <c r="O1069" s="178">
        <v>1040</v>
      </c>
      <c r="P1069" s="392">
        <v>6000</v>
      </c>
      <c r="Q1069" s="177">
        <v>1</v>
      </c>
      <c r="R1069" s="177">
        <v>3</v>
      </c>
      <c r="S1069" s="177" t="s">
        <v>354</v>
      </c>
      <c r="T1069" s="179">
        <v>44734</v>
      </c>
      <c r="U1069" s="179">
        <v>44764</v>
      </c>
      <c r="V1069" s="177" t="s">
        <v>355</v>
      </c>
      <c r="W1069" s="177"/>
      <c r="X1069" s="177"/>
      <c r="Y1069" s="144"/>
    </row>
    <row r="1070" spans="1:25" ht="13.5" x14ac:dyDescent="0.15">
      <c r="A1070" s="177">
        <v>3667081</v>
      </c>
      <c r="B1070" s="177" t="s">
        <v>351</v>
      </c>
      <c r="C1070" s="177" t="s">
        <v>356</v>
      </c>
      <c r="D1070" s="177" t="s">
        <v>353</v>
      </c>
      <c r="E1070" s="177" t="s">
        <v>17</v>
      </c>
      <c r="F1070" s="177">
        <v>3</v>
      </c>
      <c r="G1070" s="177" t="s">
        <v>19</v>
      </c>
      <c r="H1070" s="177" t="s">
        <v>20</v>
      </c>
      <c r="I1070" s="177" t="s">
        <v>21</v>
      </c>
      <c r="J1070" s="177"/>
      <c r="K1070" s="177" t="s">
        <v>22</v>
      </c>
      <c r="L1070" s="177">
        <v>38</v>
      </c>
      <c r="M1070" s="177" t="s">
        <v>23</v>
      </c>
      <c r="N1070" s="178">
        <v>1057</v>
      </c>
      <c r="O1070" s="178">
        <v>1050</v>
      </c>
      <c r="P1070" s="392">
        <v>6000</v>
      </c>
      <c r="Q1070" s="177">
        <v>2</v>
      </c>
      <c r="R1070" s="177">
        <v>3</v>
      </c>
      <c r="S1070" s="177" t="s">
        <v>354</v>
      </c>
      <c r="T1070" s="179">
        <v>44734</v>
      </c>
      <c r="U1070" s="179">
        <v>44764</v>
      </c>
      <c r="V1070" s="177" t="s">
        <v>355</v>
      </c>
      <c r="W1070" s="177"/>
      <c r="X1070" s="177"/>
      <c r="Y1070" s="144"/>
    </row>
    <row r="1071" spans="1:25" ht="13.5" x14ac:dyDescent="0.15">
      <c r="A1071" s="177">
        <v>3667082</v>
      </c>
      <c r="B1071" s="177" t="s">
        <v>351</v>
      </c>
      <c r="C1071" s="177" t="s">
        <v>356</v>
      </c>
      <c r="D1071" s="177" t="s">
        <v>353</v>
      </c>
      <c r="E1071" s="177" t="s">
        <v>32</v>
      </c>
      <c r="F1071" s="177">
        <v>331</v>
      </c>
      <c r="G1071" s="177" t="s">
        <v>19</v>
      </c>
      <c r="H1071" s="177" t="s">
        <v>20</v>
      </c>
      <c r="I1071" s="177" t="s">
        <v>21</v>
      </c>
      <c r="J1071" s="177"/>
      <c r="K1071" s="177" t="s">
        <v>33</v>
      </c>
      <c r="L1071" s="177">
        <v>38</v>
      </c>
      <c r="M1071" s="177" t="s">
        <v>30</v>
      </c>
      <c r="N1071" s="178">
        <v>1330</v>
      </c>
      <c r="O1071" s="178">
        <v>1330</v>
      </c>
      <c r="P1071" s="392">
        <v>6000</v>
      </c>
      <c r="Q1071" s="177">
        <v>2</v>
      </c>
      <c r="R1071" s="177">
        <v>16</v>
      </c>
      <c r="S1071" s="177" t="s">
        <v>354</v>
      </c>
      <c r="T1071" s="179">
        <v>44734</v>
      </c>
      <c r="U1071" s="179">
        <v>44764</v>
      </c>
      <c r="V1071" s="177" t="s">
        <v>355</v>
      </c>
      <c r="W1071" s="177"/>
      <c r="X1071" s="177"/>
      <c r="Y1071" s="144"/>
    </row>
    <row r="1072" spans="1:25" ht="13.5" x14ac:dyDescent="0.15">
      <c r="A1072" s="177">
        <v>3667083</v>
      </c>
      <c r="B1072" s="177" t="s">
        <v>351</v>
      </c>
      <c r="C1072" s="177" t="s">
        <v>359</v>
      </c>
      <c r="D1072" s="177" t="s">
        <v>353</v>
      </c>
      <c r="E1072" s="177" t="s">
        <v>40</v>
      </c>
      <c r="F1072" s="177">
        <v>3</v>
      </c>
      <c r="G1072" s="177" t="s">
        <v>19</v>
      </c>
      <c r="H1072" s="177" t="s">
        <v>20</v>
      </c>
      <c r="I1072" s="177" t="s">
        <v>21</v>
      </c>
      <c r="J1072" s="177"/>
      <c r="K1072" s="177" t="s">
        <v>42</v>
      </c>
      <c r="L1072" s="177">
        <v>25</v>
      </c>
      <c r="M1072" s="177" t="s">
        <v>43</v>
      </c>
      <c r="N1072" s="178">
        <v>1045</v>
      </c>
      <c r="O1072" s="178">
        <v>1040</v>
      </c>
      <c r="P1072" s="392">
        <v>6000</v>
      </c>
      <c r="Q1072" s="177">
        <v>2</v>
      </c>
      <c r="R1072" s="177">
        <v>12</v>
      </c>
      <c r="S1072" s="177" t="s">
        <v>354</v>
      </c>
      <c r="T1072" s="179">
        <v>44734</v>
      </c>
      <c r="U1072" s="179">
        <v>44764</v>
      </c>
      <c r="V1072" s="177" t="s">
        <v>355</v>
      </c>
      <c r="W1072" s="177"/>
      <c r="X1072" s="177"/>
      <c r="Y1072" s="144"/>
    </row>
    <row r="1073" spans="1:25" ht="13.5" x14ac:dyDescent="0.15">
      <c r="A1073" s="177">
        <v>3667084</v>
      </c>
      <c r="B1073" s="177" t="s">
        <v>351</v>
      </c>
      <c r="C1073" s="177" t="s">
        <v>359</v>
      </c>
      <c r="D1073" s="177" t="s">
        <v>353</v>
      </c>
      <c r="E1073" s="177" t="s">
        <v>40</v>
      </c>
      <c r="F1073" s="177">
        <v>3</v>
      </c>
      <c r="G1073" s="177" t="s">
        <v>19</v>
      </c>
      <c r="H1073" s="177" t="s">
        <v>20</v>
      </c>
      <c r="I1073" s="177" t="s">
        <v>21</v>
      </c>
      <c r="J1073" s="177"/>
      <c r="K1073" s="177" t="s">
        <v>42</v>
      </c>
      <c r="L1073" s="177">
        <v>25</v>
      </c>
      <c r="M1073" s="177" t="s">
        <v>43</v>
      </c>
      <c r="N1073" s="178">
        <v>1085</v>
      </c>
      <c r="O1073" s="178">
        <v>1080</v>
      </c>
      <c r="P1073" s="392">
        <v>6000</v>
      </c>
      <c r="Q1073" s="177">
        <v>2</v>
      </c>
      <c r="R1073" s="177">
        <v>4</v>
      </c>
      <c r="S1073" s="177" t="s">
        <v>354</v>
      </c>
      <c r="T1073" s="179">
        <v>44734</v>
      </c>
      <c r="U1073" s="179">
        <v>44764</v>
      </c>
      <c r="V1073" s="177" t="s">
        <v>355</v>
      </c>
      <c r="W1073" s="177"/>
      <c r="X1073" s="177"/>
      <c r="Y1073" s="144"/>
    </row>
    <row r="1074" spans="1:25" ht="13.5" x14ac:dyDescent="0.15">
      <c r="A1074" s="177">
        <v>3667085</v>
      </c>
      <c r="B1074" s="177" t="s">
        <v>351</v>
      </c>
      <c r="C1074" s="177" t="s">
        <v>358</v>
      </c>
      <c r="D1074" s="177" t="s">
        <v>353</v>
      </c>
      <c r="E1074" s="177" t="s">
        <v>73</v>
      </c>
      <c r="F1074" s="177">
        <v>331</v>
      </c>
      <c r="G1074" s="177" t="s">
        <v>19</v>
      </c>
      <c r="H1074" s="177" t="s">
        <v>20</v>
      </c>
      <c r="I1074" s="177" t="s">
        <v>21</v>
      </c>
      <c r="J1074" s="177"/>
      <c r="K1074" s="177" t="s">
        <v>74</v>
      </c>
      <c r="L1074" s="177">
        <v>38</v>
      </c>
      <c r="M1074" s="177" t="s">
        <v>365</v>
      </c>
      <c r="N1074" s="178">
        <v>415</v>
      </c>
      <c r="O1074" s="178">
        <v>415</v>
      </c>
      <c r="P1074" s="392">
        <v>6000</v>
      </c>
      <c r="Q1074" s="177">
        <v>2</v>
      </c>
      <c r="R1074" s="177">
        <v>108</v>
      </c>
      <c r="S1074" s="177" t="s">
        <v>354</v>
      </c>
      <c r="T1074" s="179">
        <v>44734</v>
      </c>
      <c r="U1074" s="179">
        <v>44764</v>
      </c>
      <c r="V1074" s="177" t="s">
        <v>355</v>
      </c>
      <c r="W1074" s="177"/>
      <c r="X1074" s="177"/>
      <c r="Y1074" s="144"/>
    </row>
    <row r="1075" spans="1:25" ht="13.5" x14ac:dyDescent="0.15">
      <c r="A1075" s="177">
        <v>3667086</v>
      </c>
      <c r="B1075" s="177" t="s">
        <v>351</v>
      </c>
      <c r="C1075" s="177" t="s">
        <v>358</v>
      </c>
      <c r="D1075" s="177" t="s">
        <v>353</v>
      </c>
      <c r="E1075" s="177" t="s">
        <v>61</v>
      </c>
      <c r="F1075" s="177">
        <v>3313</v>
      </c>
      <c r="G1075" s="177" t="s">
        <v>19</v>
      </c>
      <c r="H1075" s="177" t="s">
        <v>20</v>
      </c>
      <c r="I1075" s="177" t="s">
        <v>21</v>
      </c>
      <c r="J1075" s="177"/>
      <c r="K1075" s="177" t="s">
        <v>62</v>
      </c>
      <c r="L1075" s="177">
        <v>38</v>
      </c>
      <c r="M1075" s="177" t="s">
        <v>63</v>
      </c>
      <c r="N1075" s="178">
        <v>750</v>
      </c>
      <c r="O1075" s="178">
        <v>750</v>
      </c>
      <c r="P1075" s="392">
        <v>6000</v>
      </c>
      <c r="Q1075" s="177">
        <v>2</v>
      </c>
      <c r="R1075" s="177">
        <v>20</v>
      </c>
      <c r="S1075" s="177" t="s">
        <v>354</v>
      </c>
      <c r="T1075" s="179">
        <v>44734</v>
      </c>
      <c r="U1075" s="179">
        <v>44771</v>
      </c>
      <c r="V1075" s="177" t="s">
        <v>355</v>
      </c>
      <c r="W1075" s="177"/>
      <c r="X1075" s="177"/>
      <c r="Y1075" s="144"/>
    </row>
    <row r="1076" spans="1:25" ht="13.5" x14ac:dyDescent="0.15">
      <c r="A1076" s="177">
        <v>3667087</v>
      </c>
      <c r="B1076" s="177" t="s">
        <v>351</v>
      </c>
      <c r="C1076" s="177" t="s">
        <v>358</v>
      </c>
      <c r="D1076" s="177" t="s">
        <v>353</v>
      </c>
      <c r="E1076" s="177" t="s">
        <v>61</v>
      </c>
      <c r="F1076" s="177">
        <v>331</v>
      </c>
      <c r="G1076" s="177" t="s">
        <v>19</v>
      </c>
      <c r="H1076" s="177" t="s">
        <v>20</v>
      </c>
      <c r="I1076" s="177" t="s">
        <v>21</v>
      </c>
      <c r="J1076" s="177"/>
      <c r="K1076" s="177" t="s">
        <v>62</v>
      </c>
      <c r="L1076" s="177">
        <v>38</v>
      </c>
      <c r="M1076" s="177" t="s">
        <v>63</v>
      </c>
      <c r="N1076" s="178">
        <v>1255</v>
      </c>
      <c r="O1076" s="178">
        <v>1250</v>
      </c>
      <c r="P1076" s="392">
        <v>6000</v>
      </c>
      <c r="Q1076" s="177">
        <v>2</v>
      </c>
      <c r="R1076" s="177">
        <v>28</v>
      </c>
      <c r="S1076" s="177" t="s">
        <v>354</v>
      </c>
      <c r="T1076" s="179">
        <v>44734</v>
      </c>
      <c r="U1076" s="179">
        <v>44771</v>
      </c>
      <c r="V1076" s="177" t="s">
        <v>355</v>
      </c>
      <c r="W1076" s="177"/>
      <c r="X1076" s="177"/>
      <c r="Y1076" s="144"/>
    </row>
    <row r="1077" spans="1:25" ht="13.5" x14ac:dyDescent="0.15">
      <c r="A1077" s="177">
        <v>3667088</v>
      </c>
      <c r="B1077" s="177" t="s">
        <v>351</v>
      </c>
      <c r="C1077" s="177" t="s">
        <v>358</v>
      </c>
      <c r="D1077" s="177" t="s">
        <v>353</v>
      </c>
      <c r="E1077" s="177" t="s">
        <v>61</v>
      </c>
      <c r="F1077" s="177">
        <v>331</v>
      </c>
      <c r="G1077" s="177" t="s">
        <v>19</v>
      </c>
      <c r="H1077" s="177" t="s">
        <v>20</v>
      </c>
      <c r="I1077" s="177" t="s">
        <v>21</v>
      </c>
      <c r="J1077" s="177"/>
      <c r="K1077" s="177" t="s">
        <v>62</v>
      </c>
      <c r="L1077" s="177">
        <v>38</v>
      </c>
      <c r="M1077" s="177" t="s">
        <v>63</v>
      </c>
      <c r="N1077" s="178">
        <v>1585</v>
      </c>
      <c r="O1077" s="178">
        <v>1580</v>
      </c>
      <c r="P1077" s="392">
        <v>6000</v>
      </c>
      <c r="Q1077" s="177">
        <v>2</v>
      </c>
      <c r="R1077" s="177">
        <v>3</v>
      </c>
      <c r="S1077" s="177" t="s">
        <v>354</v>
      </c>
      <c r="T1077" s="179">
        <v>44734</v>
      </c>
      <c r="U1077" s="179">
        <v>44771</v>
      </c>
      <c r="V1077" s="177" t="s">
        <v>355</v>
      </c>
      <c r="W1077" s="177"/>
      <c r="X1077" s="177"/>
      <c r="Y1077" s="144"/>
    </row>
    <row r="1078" spans="1:25" ht="13.5" x14ac:dyDescent="0.15">
      <c r="A1078" s="177">
        <v>3667089</v>
      </c>
      <c r="B1078" s="177" t="s">
        <v>351</v>
      </c>
      <c r="C1078" s="177" t="s">
        <v>363</v>
      </c>
      <c r="D1078" s="177" t="s">
        <v>353</v>
      </c>
      <c r="E1078" s="177" t="s">
        <v>65</v>
      </c>
      <c r="F1078" s="177">
        <v>3321</v>
      </c>
      <c r="G1078" s="177" t="s">
        <v>19</v>
      </c>
      <c r="H1078" s="177" t="s">
        <v>20</v>
      </c>
      <c r="I1078" s="177" t="s">
        <v>21</v>
      </c>
      <c r="J1078" s="177"/>
      <c r="K1078" s="177" t="s">
        <v>67</v>
      </c>
      <c r="L1078" s="177">
        <v>38</v>
      </c>
      <c r="M1078" s="177" t="s">
        <v>68</v>
      </c>
      <c r="N1078" s="178">
        <v>1336</v>
      </c>
      <c r="O1078" s="178">
        <v>1325</v>
      </c>
      <c r="P1078" s="392">
        <v>6000</v>
      </c>
      <c r="Q1078" s="177">
        <v>2</v>
      </c>
      <c r="R1078" s="177">
        <v>33</v>
      </c>
      <c r="S1078" s="177" t="s">
        <v>354</v>
      </c>
      <c r="T1078" s="179">
        <v>44734</v>
      </c>
      <c r="U1078" s="179">
        <v>44771</v>
      </c>
      <c r="V1078" s="177" t="s">
        <v>355</v>
      </c>
      <c r="W1078" s="177"/>
      <c r="X1078" s="177"/>
      <c r="Y1078" s="144"/>
    </row>
    <row r="1079" spans="1:25" ht="13.5" x14ac:dyDescent="0.15">
      <c r="A1079" s="177">
        <v>3667090</v>
      </c>
      <c r="B1079" s="177" t="s">
        <v>351</v>
      </c>
      <c r="C1079" s="177" t="s">
        <v>363</v>
      </c>
      <c r="D1079" s="177" t="s">
        <v>353</v>
      </c>
      <c r="E1079" s="177" t="s">
        <v>65</v>
      </c>
      <c r="F1079" s="177">
        <v>3321</v>
      </c>
      <c r="G1079" s="177" t="s">
        <v>19</v>
      </c>
      <c r="H1079" s="177" t="s">
        <v>20</v>
      </c>
      <c r="I1079" s="177" t="s">
        <v>21</v>
      </c>
      <c r="J1079" s="177"/>
      <c r="K1079" s="177" t="s">
        <v>70</v>
      </c>
      <c r="L1079" s="177">
        <v>38</v>
      </c>
      <c r="M1079" s="177" t="s">
        <v>71</v>
      </c>
      <c r="N1079" s="178">
        <v>1336</v>
      </c>
      <c r="O1079" s="178">
        <v>1325</v>
      </c>
      <c r="P1079" s="392">
        <v>6000</v>
      </c>
      <c r="Q1079" s="177">
        <v>2</v>
      </c>
      <c r="R1079" s="177">
        <v>33</v>
      </c>
      <c r="S1079" s="177" t="s">
        <v>354</v>
      </c>
      <c r="T1079" s="179">
        <v>44734</v>
      </c>
      <c r="U1079" s="179">
        <v>44771</v>
      </c>
      <c r="V1079" s="177" t="s">
        <v>355</v>
      </c>
      <c r="W1079" s="177"/>
      <c r="X1079" s="177"/>
      <c r="Y1079" s="144"/>
    </row>
    <row r="1080" spans="1:25" ht="13.5" x14ac:dyDescent="0.15">
      <c r="A1080" s="177">
        <v>3667091</v>
      </c>
      <c r="B1080" s="177" t="s">
        <v>432</v>
      </c>
      <c r="C1080" s="177" t="s">
        <v>358</v>
      </c>
      <c r="D1080" s="177" t="s">
        <v>353</v>
      </c>
      <c r="E1080" s="177" t="s">
        <v>304</v>
      </c>
      <c r="F1080" s="177">
        <v>3301</v>
      </c>
      <c r="G1080" s="177" t="s">
        <v>265</v>
      </c>
      <c r="H1080" s="177" t="s">
        <v>20</v>
      </c>
      <c r="I1080" s="177" t="s">
        <v>256</v>
      </c>
      <c r="J1080" s="177"/>
      <c r="K1080" s="177" t="s">
        <v>433</v>
      </c>
      <c r="L1080" s="177">
        <v>100</v>
      </c>
      <c r="M1080" s="177" t="s">
        <v>305</v>
      </c>
      <c r="N1080" s="178">
        <v>1050</v>
      </c>
      <c r="O1080" s="178">
        <v>1050</v>
      </c>
      <c r="P1080" s="392">
        <v>6000</v>
      </c>
      <c r="Q1080" s="177">
        <v>2</v>
      </c>
      <c r="R1080" s="177">
        <v>1</v>
      </c>
      <c r="S1080" s="177" t="s">
        <v>354</v>
      </c>
      <c r="T1080" s="179">
        <v>44734</v>
      </c>
      <c r="U1080" s="179">
        <v>44757</v>
      </c>
      <c r="V1080" s="177" t="s">
        <v>355</v>
      </c>
      <c r="W1080" s="177"/>
      <c r="X1080" s="177"/>
      <c r="Y1080" s="144"/>
    </row>
    <row r="1081" spans="1:25" ht="13.5" x14ac:dyDescent="0.15">
      <c r="A1081" s="177">
        <v>3667091</v>
      </c>
      <c r="B1081" s="177" t="s">
        <v>432</v>
      </c>
      <c r="C1081" s="177" t="s">
        <v>358</v>
      </c>
      <c r="D1081" s="177" t="s">
        <v>353</v>
      </c>
      <c r="E1081" s="177" t="s">
        <v>304</v>
      </c>
      <c r="F1081" s="177">
        <v>3301</v>
      </c>
      <c r="G1081" s="177" t="s">
        <v>265</v>
      </c>
      <c r="H1081" s="177" t="s">
        <v>20</v>
      </c>
      <c r="I1081" s="177" t="s">
        <v>256</v>
      </c>
      <c r="J1081" s="177"/>
      <c r="K1081" s="177" t="s">
        <v>433</v>
      </c>
      <c r="L1081" s="177">
        <v>100</v>
      </c>
      <c r="M1081" s="177" t="s">
        <v>305</v>
      </c>
      <c r="N1081" s="178">
        <v>1050</v>
      </c>
      <c r="O1081" s="178">
        <v>1050</v>
      </c>
      <c r="P1081" s="392">
        <v>6000</v>
      </c>
      <c r="Q1081" s="177">
        <v>2</v>
      </c>
      <c r="R1081" s="177">
        <v>1</v>
      </c>
      <c r="S1081" s="177" t="s">
        <v>354</v>
      </c>
      <c r="T1081" s="179">
        <v>44734</v>
      </c>
      <c r="U1081" s="179">
        <v>44757</v>
      </c>
      <c r="V1081" s="177" t="s">
        <v>355</v>
      </c>
      <c r="W1081" s="177"/>
      <c r="X1081" s="177"/>
      <c r="Y1081" s="144"/>
    </row>
    <row r="1082" spans="1:25" ht="13.5" x14ac:dyDescent="0.15">
      <c r="A1082" s="177">
        <v>3667091</v>
      </c>
      <c r="B1082" s="177" t="s">
        <v>432</v>
      </c>
      <c r="C1082" s="177" t="s">
        <v>358</v>
      </c>
      <c r="D1082" s="177" t="s">
        <v>353</v>
      </c>
      <c r="E1082" s="177" t="s">
        <v>304</v>
      </c>
      <c r="F1082" s="177">
        <v>3301</v>
      </c>
      <c r="G1082" s="177" t="s">
        <v>265</v>
      </c>
      <c r="H1082" s="177" t="s">
        <v>20</v>
      </c>
      <c r="I1082" s="177" t="s">
        <v>256</v>
      </c>
      <c r="J1082" s="177"/>
      <c r="K1082" s="177" t="s">
        <v>433</v>
      </c>
      <c r="L1082" s="177">
        <v>100</v>
      </c>
      <c r="M1082" s="177" t="s">
        <v>305</v>
      </c>
      <c r="N1082" s="178">
        <v>1050</v>
      </c>
      <c r="O1082" s="178">
        <v>1050</v>
      </c>
      <c r="P1082" s="392">
        <v>6000</v>
      </c>
      <c r="Q1082" s="177">
        <v>2</v>
      </c>
      <c r="R1082" s="177">
        <v>1</v>
      </c>
      <c r="S1082" s="177" t="s">
        <v>354</v>
      </c>
      <c r="T1082" s="179">
        <v>44734</v>
      </c>
      <c r="U1082" s="179">
        <v>44757</v>
      </c>
      <c r="V1082" s="177" t="s">
        <v>355</v>
      </c>
      <c r="W1082" s="177"/>
      <c r="X1082" s="177"/>
      <c r="Y1082" s="144"/>
    </row>
    <row r="1083" spans="1:25" ht="13.5" x14ac:dyDescent="0.15">
      <c r="A1083" s="177">
        <v>3667092</v>
      </c>
      <c r="B1083" s="177" t="s">
        <v>432</v>
      </c>
      <c r="C1083" s="177" t="s">
        <v>358</v>
      </c>
      <c r="D1083" s="177" t="s">
        <v>353</v>
      </c>
      <c r="E1083" s="177" t="s">
        <v>304</v>
      </c>
      <c r="F1083" s="177">
        <v>3301</v>
      </c>
      <c r="G1083" s="177" t="s">
        <v>265</v>
      </c>
      <c r="H1083" s="177" t="s">
        <v>20</v>
      </c>
      <c r="I1083" s="177" t="s">
        <v>256</v>
      </c>
      <c r="J1083" s="177"/>
      <c r="K1083" s="177" t="s">
        <v>433</v>
      </c>
      <c r="L1083" s="177">
        <v>100</v>
      </c>
      <c r="M1083" s="177" t="s">
        <v>305</v>
      </c>
      <c r="N1083" s="178">
        <v>1050</v>
      </c>
      <c r="O1083" s="178">
        <v>1050</v>
      </c>
      <c r="P1083" s="392">
        <v>6000</v>
      </c>
      <c r="Q1083" s="177">
        <v>2</v>
      </c>
      <c r="R1083" s="177">
        <v>1</v>
      </c>
      <c r="S1083" s="177" t="s">
        <v>354</v>
      </c>
      <c r="T1083" s="179">
        <v>44734</v>
      </c>
      <c r="U1083" s="179">
        <v>44757</v>
      </c>
      <c r="V1083" s="177" t="s">
        <v>355</v>
      </c>
      <c r="W1083" s="177"/>
      <c r="X1083" s="177"/>
      <c r="Y1083" s="144"/>
    </row>
    <row r="1084" spans="1:25" ht="13.5" x14ac:dyDescent="0.15">
      <c r="A1084" s="177">
        <v>3667092</v>
      </c>
      <c r="B1084" s="177" t="s">
        <v>432</v>
      </c>
      <c r="C1084" s="177" t="s">
        <v>358</v>
      </c>
      <c r="D1084" s="177" t="s">
        <v>353</v>
      </c>
      <c r="E1084" s="177" t="s">
        <v>304</v>
      </c>
      <c r="F1084" s="177">
        <v>3301</v>
      </c>
      <c r="G1084" s="177" t="s">
        <v>265</v>
      </c>
      <c r="H1084" s="177" t="s">
        <v>20</v>
      </c>
      <c r="I1084" s="177" t="s">
        <v>256</v>
      </c>
      <c r="J1084" s="177"/>
      <c r="K1084" s="177" t="s">
        <v>433</v>
      </c>
      <c r="L1084" s="177">
        <v>100</v>
      </c>
      <c r="M1084" s="177" t="s">
        <v>305</v>
      </c>
      <c r="N1084" s="178">
        <v>1050</v>
      </c>
      <c r="O1084" s="178">
        <v>1050</v>
      </c>
      <c r="P1084" s="392">
        <v>6000</v>
      </c>
      <c r="Q1084" s="177">
        <v>2</v>
      </c>
      <c r="R1084" s="177">
        <v>1</v>
      </c>
      <c r="S1084" s="177" t="s">
        <v>354</v>
      </c>
      <c r="T1084" s="179">
        <v>44734</v>
      </c>
      <c r="U1084" s="179">
        <v>44757</v>
      </c>
      <c r="V1084" s="177" t="s">
        <v>355</v>
      </c>
      <c r="W1084" s="177"/>
      <c r="X1084" s="177"/>
      <c r="Y1084" s="144"/>
    </row>
    <row r="1085" spans="1:25" ht="13.5" x14ac:dyDescent="0.15">
      <c r="A1085" s="177">
        <v>3667092</v>
      </c>
      <c r="B1085" s="177" t="s">
        <v>432</v>
      </c>
      <c r="C1085" s="177" t="s">
        <v>358</v>
      </c>
      <c r="D1085" s="177" t="s">
        <v>353</v>
      </c>
      <c r="E1085" s="177" t="s">
        <v>304</v>
      </c>
      <c r="F1085" s="177">
        <v>3301</v>
      </c>
      <c r="G1085" s="177" t="s">
        <v>265</v>
      </c>
      <c r="H1085" s="177" t="s">
        <v>20</v>
      </c>
      <c r="I1085" s="177" t="s">
        <v>256</v>
      </c>
      <c r="J1085" s="177"/>
      <c r="K1085" s="177" t="s">
        <v>433</v>
      </c>
      <c r="L1085" s="177">
        <v>100</v>
      </c>
      <c r="M1085" s="177" t="s">
        <v>305</v>
      </c>
      <c r="N1085" s="178">
        <v>1050</v>
      </c>
      <c r="O1085" s="178">
        <v>1050</v>
      </c>
      <c r="P1085" s="392">
        <v>6000</v>
      </c>
      <c r="Q1085" s="177">
        <v>2</v>
      </c>
      <c r="R1085" s="177">
        <v>1</v>
      </c>
      <c r="S1085" s="177" t="s">
        <v>354</v>
      </c>
      <c r="T1085" s="179">
        <v>44734</v>
      </c>
      <c r="U1085" s="179">
        <v>44757</v>
      </c>
      <c r="V1085" s="177" t="s">
        <v>355</v>
      </c>
      <c r="W1085" s="177"/>
      <c r="X1085" s="177"/>
      <c r="Y1085" s="144"/>
    </row>
    <row r="1086" spans="1:25" ht="13.5" x14ac:dyDescent="0.15">
      <c r="A1086" s="177">
        <v>3667094</v>
      </c>
      <c r="B1086" s="177" t="s">
        <v>351</v>
      </c>
      <c r="C1086" s="177" t="s">
        <v>363</v>
      </c>
      <c r="D1086" s="177" t="s">
        <v>353</v>
      </c>
      <c r="E1086" s="177" t="s">
        <v>65</v>
      </c>
      <c r="F1086" s="177" t="s">
        <v>96</v>
      </c>
      <c r="G1086" s="177" t="s">
        <v>19</v>
      </c>
      <c r="H1086" s="177" t="s">
        <v>20</v>
      </c>
      <c r="I1086" s="177" t="s">
        <v>251</v>
      </c>
      <c r="J1086" s="177"/>
      <c r="K1086" s="177" t="s">
        <v>252</v>
      </c>
      <c r="L1086" s="177">
        <v>50</v>
      </c>
      <c r="M1086" s="177" t="s">
        <v>253</v>
      </c>
      <c r="N1086" s="178">
        <v>1094</v>
      </c>
      <c r="O1086" s="178">
        <v>1094</v>
      </c>
      <c r="P1086" s="392">
        <v>6000</v>
      </c>
      <c r="Q1086" s="177">
        <v>2</v>
      </c>
      <c r="R1086" s="177">
        <v>5</v>
      </c>
      <c r="S1086" s="177" t="s">
        <v>354</v>
      </c>
      <c r="T1086" s="179">
        <v>44734</v>
      </c>
      <c r="U1086" s="179">
        <v>44757</v>
      </c>
      <c r="V1086" s="177" t="s">
        <v>355</v>
      </c>
      <c r="W1086" s="177"/>
      <c r="X1086" s="177"/>
      <c r="Y1086" s="144"/>
    </row>
    <row r="1087" spans="1:25" ht="13.5" x14ac:dyDescent="0.15">
      <c r="A1087" s="177">
        <v>3667097</v>
      </c>
      <c r="B1087" s="177" t="s">
        <v>440</v>
      </c>
      <c r="C1087" s="177" t="s">
        <v>364</v>
      </c>
      <c r="D1087" s="177" t="s">
        <v>353</v>
      </c>
      <c r="E1087" s="177"/>
      <c r="F1087" s="177" t="s">
        <v>158</v>
      </c>
      <c r="G1087" s="177" t="s">
        <v>265</v>
      </c>
      <c r="H1087" s="177" t="s">
        <v>28</v>
      </c>
      <c r="I1087" s="177" t="s">
        <v>307</v>
      </c>
      <c r="J1087" s="177"/>
      <c r="K1087" s="177" t="s">
        <v>308</v>
      </c>
      <c r="L1087" s="177">
        <v>38</v>
      </c>
      <c r="M1087" s="177" t="s">
        <v>441</v>
      </c>
      <c r="N1087" s="178">
        <v>715</v>
      </c>
      <c r="O1087" s="178">
        <v>715</v>
      </c>
      <c r="P1087" s="392">
        <v>6000</v>
      </c>
      <c r="Q1087" s="177">
        <v>2</v>
      </c>
      <c r="R1087" s="177">
        <v>9</v>
      </c>
      <c r="S1087" s="177" t="s">
        <v>354</v>
      </c>
      <c r="T1087" s="179">
        <v>44734</v>
      </c>
      <c r="U1087" s="179">
        <v>44757</v>
      </c>
      <c r="V1087" s="177" t="s">
        <v>355</v>
      </c>
      <c r="W1087" s="177"/>
      <c r="X1087" s="177"/>
      <c r="Y1087" s="144"/>
    </row>
    <row r="1088" spans="1:25" ht="13.5" x14ac:dyDescent="0.15">
      <c r="A1088" s="177">
        <v>3667097</v>
      </c>
      <c r="B1088" s="177" t="s">
        <v>440</v>
      </c>
      <c r="C1088" s="177" t="s">
        <v>364</v>
      </c>
      <c r="D1088" s="177" t="s">
        <v>353</v>
      </c>
      <c r="E1088" s="177"/>
      <c r="F1088" s="177" t="s">
        <v>158</v>
      </c>
      <c r="G1088" s="177" t="s">
        <v>265</v>
      </c>
      <c r="H1088" s="177" t="s">
        <v>28</v>
      </c>
      <c r="I1088" s="177" t="s">
        <v>307</v>
      </c>
      <c r="J1088" s="177"/>
      <c r="K1088" s="177" t="s">
        <v>308</v>
      </c>
      <c r="L1088" s="177">
        <v>38</v>
      </c>
      <c r="M1088" s="177" t="s">
        <v>441</v>
      </c>
      <c r="N1088" s="178">
        <v>715</v>
      </c>
      <c r="O1088" s="178">
        <v>715</v>
      </c>
      <c r="P1088" s="392">
        <v>6000</v>
      </c>
      <c r="Q1088" s="177">
        <v>2</v>
      </c>
      <c r="R1088" s="177">
        <v>9</v>
      </c>
      <c r="S1088" s="177" t="s">
        <v>354</v>
      </c>
      <c r="T1088" s="179">
        <v>44734</v>
      </c>
      <c r="U1088" s="179">
        <v>44757</v>
      </c>
      <c r="V1088" s="177" t="s">
        <v>355</v>
      </c>
      <c r="W1088" s="177"/>
      <c r="X1088" s="177"/>
      <c r="Y1088" s="144"/>
    </row>
    <row r="1089" spans="1:25" ht="13.5" x14ac:dyDescent="0.15">
      <c r="A1089" s="177">
        <v>3667118</v>
      </c>
      <c r="B1089" s="177" t="s">
        <v>351</v>
      </c>
      <c r="C1089" s="177" t="s">
        <v>352</v>
      </c>
      <c r="D1089" s="177" t="s">
        <v>353</v>
      </c>
      <c r="E1089" s="177" t="s">
        <v>116</v>
      </c>
      <c r="F1089" s="177">
        <v>3</v>
      </c>
      <c r="G1089" s="177" t="s">
        <v>19</v>
      </c>
      <c r="H1089" s="177" t="s">
        <v>20</v>
      </c>
      <c r="I1089" s="177" t="s">
        <v>143</v>
      </c>
      <c r="J1089" s="177"/>
      <c r="K1089" s="177" t="s">
        <v>159</v>
      </c>
      <c r="L1089" s="177">
        <v>25</v>
      </c>
      <c r="M1089" s="177" t="s">
        <v>160</v>
      </c>
      <c r="N1089" s="178">
        <v>1005</v>
      </c>
      <c r="O1089" s="178">
        <v>1000</v>
      </c>
      <c r="P1089" s="392">
        <v>6000</v>
      </c>
      <c r="Q1089" s="177">
        <v>2</v>
      </c>
      <c r="R1089" s="177">
        <v>3</v>
      </c>
      <c r="S1089" s="177" t="s">
        <v>354</v>
      </c>
      <c r="T1089" s="179">
        <v>44734</v>
      </c>
      <c r="U1089" s="179">
        <v>44757</v>
      </c>
      <c r="V1089" s="177" t="s">
        <v>355</v>
      </c>
      <c r="W1089" s="177"/>
      <c r="X1089" s="177"/>
      <c r="Y1089" s="144"/>
    </row>
    <row r="1090" spans="1:25" ht="13.5" x14ac:dyDescent="0.15">
      <c r="A1090" s="177">
        <v>3667130</v>
      </c>
      <c r="B1090" s="177" t="s">
        <v>351</v>
      </c>
      <c r="C1090" s="177" t="s">
        <v>352</v>
      </c>
      <c r="D1090" s="177" t="s">
        <v>353</v>
      </c>
      <c r="E1090" s="177" t="s">
        <v>116</v>
      </c>
      <c r="F1090" s="177">
        <v>3</v>
      </c>
      <c r="G1090" s="177" t="s">
        <v>19</v>
      </c>
      <c r="H1090" s="177" t="s">
        <v>20</v>
      </c>
      <c r="I1090" s="177" t="s">
        <v>143</v>
      </c>
      <c r="J1090" s="177"/>
      <c r="K1090" s="177" t="s">
        <v>144</v>
      </c>
      <c r="L1090" s="177">
        <v>50</v>
      </c>
      <c r="M1090" s="177" t="s">
        <v>145</v>
      </c>
      <c r="N1090" s="178">
        <v>1002</v>
      </c>
      <c r="O1090" s="178">
        <v>1000</v>
      </c>
      <c r="P1090" s="392">
        <v>6000</v>
      </c>
      <c r="Q1090" s="177">
        <v>2</v>
      </c>
      <c r="R1090" s="177">
        <v>9</v>
      </c>
      <c r="S1090" s="177" t="s">
        <v>354</v>
      </c>
      <c r="T1090" s="179">
        <v>44734</v>
      </c>
      <c r="U1090" s="179">
        <v>44767</v>
      </c>
      <c r="V1090" s="177" t="s">
        <v>355</v>
      </c>
      <c r="W1090" s="177"/>
      <c r="X1090" s="177"/>
      <c r="Y1090" s="144"/>
    </row>
    <row r="1091" spans="1:25" ht="13.5" x14ac:dyDescent="0.15">
      <c r="A1091" s="177">
        <v>3667131</v>
      </c>
      <c r="B1091" s="177" t="s">
        <v>351</v>
      </c>
      <c r="C1091" s="177" t="s">
        <v>352</v>
      </c>
      <c r="D1091" s="177" t="s">
        <v>353</v>
      </c>
      <c r="E1091" s="177" t="s">
        <v>116</v>
      </c>
      <c r="F1091" s="177">
        <v>3</v>
      </c>
      <c r="G1091" s="177" t="s">
        <v>19</v>
      </c>
      <c r="H1091" s="177" t="s">
        <v>20</v>
      </c>
      <c r="I1091" s="177" t="s">
        <v>143</v>
      </c>
      <c r="J1091" s="177"/>
      <c r="K1091" s="177" t="s">
        <v>144</v>
      </c>
      <c r="L1091" s="177">
        <v>75</v>
      </c>
      <c r="M1091" s="177" t="s">
        <v>145</v>
      </c>
      <c r="N1091" s="178">
        <v>1002</v>
      </c>
      <c r="O1091" s="178">
        <v>1000</v>
      </c>
      <c r="P1091" s="392">
        <v>6000</v>
      </c>
      <c r="Q1091" s="177">
        <v>2</v>
      </c>
      <c r="R1091" s="177">
        <v>2</v>
      </c>
      <c r="S1091" s="177" t="s">
        <v>354</v>
      </c>
      <c r="T1091" s="179">
        <v>44734</v>
      </c>
      <c r="U1091" s="179">
        <v>44767</v>
      </c>
      <c r="V1091" s="177" t="s">
        <v>355</v>
      </c>
      <c r="W1091" s="177"/>
      <c r="X1091" s="177"/>
      <c r="Y1091" s="144"/>
    </row>
    <row r="1092" spans="1:25" ht="13.5" x14ac:dyDescent="0.15">
      <c r="A1092" s="177">
        <v>3667835</v>
      </c>
      <c r="B1092" s="177" t="s">
        <v>427</v>
      </c>
      <c r="C1092" s="177" t="s">
        <v>356</v>
      </c>
      <c r="D1092" s="177" t="s">
        <v>353</v>
      </c>
      <c r="E1092" s="177"/>
      <c r="F1092" s="177">
        <v>3</v>
      </c>
      <c r="G1092" s="177" t="s">
        <v>269</v>
      </c>
      <c r="H1092" s="177" t="s">
        <v>20</v>
      </c>
      <c r="I1092" s="177" t="s">
        <v>21</v>
      </c>
      <c r="J1092" s="177"/>
      <c r="K1092" s="177" t="s">
        <v>429</v>
      </c>
      <c r="L1092" s="177">
        <v>25</v>
      </c>
      <c r="M1092" s="177" t="s">
        <v>430</v>
      </c>
      <c r="N1092" s="178">
        <v>1100</v>
      </c>
      <c r="O1092" s="178">
        <v>1100</v>
      </c>
      <c r="P1092" s="392">
        <v>6000</v>
      </c>
      <c r="Q1092" s="177">
        <v>2</v>
      </c>
      <c r="R1092" s="177">
        <v>1</v>
      </c>
      <c r="S1092" s="177" t="s">
        <v>354</v>
      </c>
      <c r="T1092" s="179">
        <v>44736</v>
      </c>
      <c r="U1092" s="179">
        <v>44773</v>
      </c>
      <c r="V1092" s="177" t="s">
        <v>428</v>
      </c>
      <c r="W1092" s="177"/>
      <c r="X1092" s="177"/>
      <c r="Y1092" s="144"/>
    </row>
    <row r="1093" spans="1:25" ht="13.5" x14ac:dyDescent="0.15">
      <c r="A1093" s="177">
        <v>3667836</v>
      </c>
      <c r="B1093" s="177" t="s">
        <v>427</v>
      </c>
      <c r="C1093" s="177" t="s">
        <v>352</v>
      </c>
      <c r="D1093" s="177" t="s">
        <v>353</v>
      </c>
      <c r="E1093" s="177"/>
      <c r="F1093" s="177">
        <v>3</v>
      </c>
      <c r="G1093" s="177" t="s">
        <v>269</v>
      </c>
      <c r="H1093" s="177" t="s">
        <v>20</v>
      </c>
      <c r="I1093" s="177" t="s">
        <v>21</v>
      </c>
      <c r="J1093" s="177"/>
      <c r="K1093" s="177" t="s">
        <v>118</v>
      </c>
      <c r="L1093" s="177">
        <v>25</v>
      </c>
      <c r="M1093" s="177" t="s">
        <v>121</v>
      </c>
      <c r="N1093" s="178">
        <v>1000</v>
      </c>
      <c r="O1093" s="178">
        <v>1000</v>
      </c>
      <c r="P1093" s="392">
        <v>6000</v>
      </c>
      <c r="Q1093" s="177">
        <v>2</v>
      </c>
      <c r="R1093" s="177">
        <v>1</v>
      </c>
      <c r="S1093" s="177" t="s">
        <v>354</v>
      </c>
      <c r="T1093" s="179">
        <v>44736</v>
      </c>
      <c r="U1093" s="179">
        <v>44773</v>
      </c>
      <c r="V1093" s="177" t="s">
        <v>428</v>
      </c>
      <c r="W1093" s="177"/>
      <c r="X1093" s="177"/>
      <c r="Y1093" s="144"/>
    </row>
    <row r="1094" spans="1:25" ht="13.5" x14ac:dyDescent="0.15">
      <c r="A1094" s="177">
        <v>3667837</v>
      </c>
      <c r="B1094" s="177" t="s">
        <v>427</v>
      </c>
      <c r="C1094" s="177" t="s">
        <v>356</v>
      </c>
      <c r="D1094" s="177" t="s">
        <v>353</v>
      </c>
      <c r="E1094" s="177"/>
      <c r="F1094" s="177">
        <v>3</v>
      </c>
      <c r="G1094" s="177" t="s">
        <v>269</v>
      </c>
      <c r="H1094" s="177" t="s">
        <v>20</v>
      </c>
      <c r="I1094" s="177" t="s">
        <v>21</v>
      </c>
      <c r="J1094" s="177"/>
      <c r="K1094" s="177" t="s">
        <v>429</v>
      </c>
      <c r="L1094" s="177">
        <v>38</v>
      </c>
      <c r="M1094" s="177" t="s">
        <v>430</v>
      </c>
      <c r="N1094" s="178">
        <v>1000</v>
      </c>
      <c r="O1094" s="178">
        <v>1000</v>
      </c>
      <c r="P1094" s="392">
        <v>6000</v>
      </c>
      <c r="Q1094" s="177">
        <v>2</v>
      </c>
      <c r="R1094" s="177">
        <v>12</v>
      </c>
      <c r="S1094" s="177" t="s">
        <v>354</v>
      </c>
      <c r="T1094" s="179">
        <v>44736</v>
      </c>
      <c r="U1094" s="179">
        <v>44773</v>
      </c>
      <c r="V1094" s="177" t="s">
        <v>428</v>
      </c>
      <c r="W1094" s="177"/>
      <c r="X1094" s="177"/>
      <c r="Y1094" s="144"/>
    </row>
    <row r="1095" spans="1:25" ht="13.5" x14ac:dyDescent="0.15">
      <c r="A1095" s="177">
        <v>3667838</v>
      </c>
      <c r="B1095" s="177" t="s">
        <v>427</v>
      </c>
      <c r="C1095" s="177" t="s">
        <v>356</v>
      </c>
      <c r="D1095" s="177" t="s">
        <v>353</v>
      </c>
      <c r="E1095" s="177"/>
      <c r="F1095" s="177">
        <v>3</v>
      </c>
      <c r="G1095" s="177" t="s">
        <v>269</v>
      </c>
      <c r="H1095" s="177" t="s">
        <v>20</v>
      </c>
      <c r="I1095" s="177" t="s">
        <v>21</v>
      </c>
      <c r="J1095" s="177"/>
      <c r="K1095" s="177" t="s">
        <v>429</v>
      </c>
      <c r="L1095" s="177">
        <v>38</v>
      </c>
      <c r="M1095" s="177" t="s">
        <v>430</v>
      </c>
      <c r="N1095" s="178">
        <v>1000</v>
      </c>
      <c r="O1095" s="178">
        <v>1000</v>
      </c>
      <c r="P1095" s="392">
        <v>6000</v>
      </c>
      <c r="Q1095" s="177">
        <v>2</v>
      </c>
      <c r="R1095" s="177">
        <v>7</v>
      </c>
      <c r="S1095" s="177" t="s">
        <v>354</v>
      </c>
      <c r="T1095" s="179">
        <v>44736</v>
      </c>
      <c r="U1095" s="179">
        <v>44773</v>
      </c>
      <c r="V1095" s="177" t="s">
        <v>428</v>
      </c>
      <c r="W1095" s="177"/>
      <c r="X1095" s="177"/>
      <c r="Y1095" s="144"/>
    </row>
    <row r="1096" spans="1:25" ht="13.5" x14ac:dyDescent="0.15">
      <c r="A1096" s="177">
        <v>3668867</v>
      </c>
      <c r="B1096" s="177" t="s">
        <v>351</v>
      </c>
      <c r="C1096" s="177" t="s">
        <v>358</v>
      </c>
      <c r="D1096" s="177" t="s">
        <v>353</v>
      </c>
      <c r="E1096" s="177" t="s">
        <v>131</v>
      </c>
      <c r="F1096" s="177">
        <v>3</v>
      </c>
      <c r="G1096" s="177" t="s">
        <v>19</v>
      </c>
      <c r="H1096" s="177" t="s">
        <v>20</v>
      </c>
      <c r="I1096" s="177" t="s">
        <v>132</v>
      </c>
      <c r="J1096" s="177"/>
      <c r="K1096" s="177" t="s">
        <v>133</v>
      </c>
      <c r="L1096" s="177">
        <v>75</v>
      </c>
      <c r="M1096" s="177" t="s">
        <v>134</v>
      </c>
      <c r="N1096" s="178">
        <v>600</v>
      </c>
      <c r="O1096" s="178">
        <v>600</v>
      </c>
      <c r="P1096" s="392">
        <v>6000</v>
      </c>
      <c r="Q1096" s="177">
        <v>2</v>
      </c>
      <c r="R1096" s="177">
        <v>24</v>
      </c>
      <c r="S1096" s="177" t="s">
        <v>354</v>
      </c>
      <c r="T1096" s="179">
        <v>44741</v>
      </c>
      <c r="U1096" s="179">
        <v>44773</v>
      </c>
      <c r="V1096" s="177" t="s">
        <v>355</v>
      </c>
      <c r="W1096" s="177"/>
      <c r="X1096" s="177"/>
      <c r="Y1096" s="144"/>
    </row>
    <row r="1097" spans="1:25" ht="13.5" x14ac:dyDescent="0.15">
      <c r="A1097" s="177">
        <v>3668915</v>
      </c>
      <c r="B1097" s="177" t="s">
        <v>351</v>
      </c>
      <c r="C1097" s="177" t="s">
        <v>434</v>
      </c>
      <c r="D1097" s="177" t="s">
        <v>353</v>
      </c>
      <c r="E1097" s="177" t="s">
        <v>439</v>
      </c>
      <c r="F1097" s="177">
        <v>3</v>
      </c>
      <c r="G1097" s="177" t="s">
        <v>19</v>
      </c>
      <c r="H1097" s="177" t="s">
        <v>20</v>
      </c>
      <c r="I1097" s="177" t="s">
        <v>132</v>
      </c>
      <c r="J1097" s="177"/>
      <c r="K1097" s="177" t="s">
        <v>139</v>
      </c>
      <c r="L1097" s="177">
        <v>25</v>
      </c>
      <c r="M1097" s="177" t="s">
        <v>140</v>
      </c>
      <c r="N1097" s="178">
        <v>1575</v>
      </c>
      <c r="O1097" s="178">
        <v>1575</v>
      </c>
      <c r="P1097" s="392">
        <v>6000</v>
      </c>
      <c r="Q1097" s="177">
        <v>2</v>
      </c>
      <c r="R1097" s="177">
        <v>2</v>
      </c>
      <c r="S1097" s="177" t="s">
        <v>354</v>
      </c>
      <c r="T1097" s="179">
        <v>44741</v>
      </c>
      <c r="U1097" s="179">
        <v>44773</v>
      </c>
      <c r="V1097" s="177" t="s">
        <v>355</v>
      </c>
      <c r="W1097" s="177"/>
      <c r="X1097" s="177"/>
      <c r="Y1097" s="144"/>
    </row>
    <row r="1098" spans="1:25" ht="13.5" x14ac:dyDescent="0.15">
      <c r="A1098" s="177">
        <v>3671779</v>
      </c>
      <c r="B1098" s="177" t="s">
        <v>351</v>
      </c>
      <c r="C1098" s="177" t="s">
        <v>356</v>
      </c>
      <c r="D1098" s="177" t="s">
        <v>353</v>
      </c>
      <c r="E1098" s="177" t="s">
        <v>17</v>
      </c>
      <c r="F1098" s="177">
        <v>331</v>
      </c>
      <c r="G1098" s="177" t="s">
        <v>19</v>
      </c>
      <c r="H1098" s="177" t="s">
        <v>20</v>
      </c>
      <c r="I1098" s="177" t="s">
        <v>21</v>
      </c>
      <c r="J1098" s="177"/>
      <c r="K1098" s="177" t="s">
        <v>52</v>
      </c>
      <c r="L1098" s="177">
        <v>38</v>
      </c>
      <c r="M1098" s="177" t="s">
        <v>53</v>
      </c>
      <c r="N1098" s="178">
        <v>1330</v>
      </c>
      <c r="O1098" s="178">
        <v>1330</v>
      </c>
      <c r="P1098" s="392">
        <v>6000</v>
      </c>
      <c r="Q1098" s="177">
        <v>2</v>
      </c>
      <c r="R1098" s="177">
        <v>36</v>
      </c>
      <c r="S1098" s="177" t="s">
        <v>354</v>
      </c>
      <c r="T1098" s="179">
        <v>44763</v>
      </c>
      <c r="U1098" s="179">
        <v>44783</v>
      </c>
      <c r="V1098" s="177" t="s">
        <v>355</v>
      </c>
      <c r="W1098" s="177"/>
      <c r="X1098" s="177"/>
      <c r="Y1098" s="144"/>
    </row>
    <row r="1099" spans="1:25" ht="13.5" x14ac:dyDescent="0.15">
      <c r="A1099" s="177">
        <v>3671780</v>
      </c>
      <c r="B1099" s="177" t="s">
        <v>351</v>
      </c>
      <c r="C1099" s="177" t="s">
        <v>358</v>
      </c>
      <c r="D1099" s="177" t="s">
        <v>353</v>
      </c>
      <c r="E1099" s="177" t="s">
        <v>73</v>
      </c>
      <c r="F1099" s="177">
        <v>331</v>
      </c>
      <c r="G1099" s="177" t="s">
        <v>19</v>
      </c>
      <c r="H1099" s="177" t="s">
        <v>20</v>
      </c>
      <c r="I1099" s="177" t="s">
        <v>21</v>
      </c>
      <c r="J1099" s="177"/>
      <c r="K1099" s="177" t="s">
        <v>74</v>
      </c>
      <c r="L1099" s="177">
        <v>38</v>
      </c>
      <c r="M1099" s="177" t="s">
        <v>365</v>
      </c>
      <c r="N1099" s="178">
        <v>415</v>
      </c>
      <c r="O1099" s="178">
        <v>415</v>
      </c>
      <c r="P1099" s="392">
        <v>6000</v>
      </c>
      <c r="Q1099" s="177">
        <v>2</v>
      </c>
      <c r="R1099" s="177">
        <v>198</v>
      </c>
      <c r="S1099" s="177" t="s">
        <v>354</v>
      </c>
      <c r="T1099" s="179">
        <v>44763</v>
      </c>
      <c r="U1099" s="179">
        <v>44783</v>
      </c>
      <c r="V1099" s="177" t="s">
        <v>355</v>
      </c>
      <c r="W1099" s="177"/>
      <c r="X1099" s="177"/>
      <c r="Y1099" s="144"/>
    </row>
    <row r="1100" spans="1:25" ht="13.5" x14ac:dyDescent="0.15">
      <c r="A1100" s="177">
        <v>3671781</v>
      </c>
      <c r="B1100" s="177" t="s">
        <v>351</v>
      </c>
      <c r="C1100" s="177" t="s">
        <v>358</v>
      </c>
      <c r="D1100" s="177" t="s">
        <v>353</v>
      </c>
      <c r="E1100" s="177" t="s">
        <v>61</v>
      </c>
      <c r="F1100" s="177">
        <v>331</v>
      </c>
      <c r="G1100" s="177" t="s">
        <v>19</v>
      </c>
      <c r="H1100" s="177" t="s">
        <v>20</v>
      </c>
      <c r="I1100" s="177" t="s">
        <v>21</v>
      </c>
      <c r="J1100" s="177"/>
      <c r="K1100" s="177" t="s">
        <v>62</v>
      </c>
      <c r="L1100" s="177">
        <v>38</v>
      </c>
      <c r="M1100" s="177" t="s">
        <v>63</v>
      </c>
      <c r="N1100" s="178">
        <v>1255</v>
      </c>
      <c r="O1100" s="178">
        <v>1250</v>
      </c>
      <c r="P1100" s="392">
        <v>6000</v>
      </c>
      <c r="Q1100" s="177">
        <v>2</v>
      </c>
      <c r="R1100" s="177">
        <v>36</v>
      </c>
      <c r="S1100" s="177" t="s">
        <v>354</v>
      </c>
      <c r="T1100" s="179">
        <v>44763</v>
      </c>
      <c r="U1100" s="179">
        <v>44783</v>
      </c>
      <c r="V1100" s="177" t="s">
        <v>355</v>
      </c>
      <c r="W1100" s="177"/>
      <c r="X1100" s="177"/>
      <c r="Y1100" s="144"/>
    </row>
    <row r="1101" spans="1:25" ht="13.5" x14ac:dyDescent="0.15">
      <c r="A1101" s="177">
        <v>3671782</v>
      </c>
      <c r="B1101" s="177" t="s">
        <v>351</v>
      </c>
      <c r="C1101" s="177" t="s">
        <v>356</v>
      </c>
      <c r="D1101" s="177" t="s">
        <v>353</v>
      </c>
      <c r="E1101" s="177" t="s">
        <v>17</v>
      </c>
      <c r="F1101" s="177">
        <v>331</v>
      </c>
      <c r="G1101" s="177" t="s">
        <v>19</v>
      </c>
      <c r="H1101" s="177" t="s">
        <v>20</v>
      </c>
      <c r="I1101" s="177" t="s">
        <v>21</v>
      </c>
      <c r="J1101" s="177"/>
      <c r="K1101" s="177" t="s">
        <v>22</v>
      </c>
      <c r="L1101" s="177">
        <v>38</v>
      </c>
      <c r="M1101" s="177" t="s">
        <v>23</v>
      </c>
      <c r="N1101" s="178">
        <v>1367</v>
      </c>
      <c r="O1101" s="178">
        <v>1360</v>
      </c>
      <c r="P1101" s="392">
        <v>6000</v>
      </c>
      <c r="Q1101" s="177">
        <v>2</v>
      </c>
      <c r="R1101" s="177">
        <v>6</v>
      </c>
      <c r="S1101" s="177" t="s">
        <v>354</v>
      </c>
      <c r="T1101" s="179">
        <v>44763</v>
      </c>
      <c r="U1101" s="179">
        <v>44783</v>
      </c>
      <c r="V1101" s="177" t="s">
        <v>355</v>
      </c>
      <c r="W1101" s="177"/>
      <c r="X1101" s="177"/>
      <c r="Y1101" s="144"/>
    </row>
    <row r="1102" spans="1:25" ht="13.5" x14ac:dyDescent="0.15">
      <c r="A1102" s="177">
        <v>3671783</v>
      </c>
      <c r="B1102" s="177" t="s">
        <v>351</v>
      </c>
      <c r="C1102" s="177" t="s">
        <v>356</v>
      </c>
      <c r="D1102" s="177" t="s">
        <v>353</v>
      </c>
      <c r="E1102" s="177" t="s">
        <v>17</v>
      </c>
      <c r="F1102" s="177">
        <v>3</v>
      </c>
      <c r="G1102" s="177" t="s">
        <v>19</v>
      </c>
      <c r="H1102" s="177" t="s">
        <v>20</v>
      </c>
      <c r="I1102" s="177" t="s">
        <v>21</v>
      </c>
      <c r="J1102" s="177"/>
      <c r="K1102" s="177" t="s">
        <v>22</v>
      </c>
      <c r="L1102" s="177">
        <v>38</v>
      </c>
      <c r="M1102" s="177" t="s">
        <v>23</v>
      </c>
      <c r="N1102" s="178">
        <v>1037</v>
      </c>
      <c r="O1102" s="178">
        <v>1030</v>
      </c>
      <c r="P1102" s="392">
        <v>6000</v>
      </c>
      <c r="Q1102" s="177">
        <v>2</v>
      </c>
      <c r="R1102" s="177">
        <v>20</v>
      </c>
      <c r="S1102" s="177" t="s">
        <v>354</v>
      </c>
      <c r="T1102" s="179">
        <v>44763</v>
      </c>
      <c r="U1102" s="179">
        <v>44783</v>
      </c>
      <c r="V1102" s="177" t="s">
        <v>355</v>
      </c>
      <c r="W1102" s="177"/>
      <c r="X1102" s="177"/>
      <c r="Y1102" s="144"/>
    </row>
    <row r="1103" spans="1:25" ht="13.5" x14ac:dyDescent="0.15">
      <c r="A1103" s="177">
        <v>3671784</v>
      </c>
      <c r="B1103" s="177" t="s">
        <v>351</v>
      </c>
      <c r="C1103" s="177" t="s">
        <v>356</v>
      </c>
      <c r="D1103" s="177" t="s">
        <v>353</v>
      </c>
      <c r="E1103" s="177" t="s">
        <v>17</v>
      </c>
      <c r="F1103" s="177">
        <v>331</v>
      </c>
      <c r="G1103" s="177" t="s">
        <v>19</v>
      </c>
      <c r="H1103" s="177" t="s">
        <v>20</v>
      </c>
      <c r="I1103" s="177" t="s">
        <v>21</v>
      </c>
      <c r="J1103" s="177"/>
      <c r="K1103" s="177" t="s">
        <v>29</v>
      </c>
      <c r="L1103" s="177">
        <v>38</v>
      </c>
      <c r="M1103" s="177" t="s">
        <v>30</v>
      </c>
      <c r="N1103" s="178">
        <v>1330</v>
      </c>
      <c r="O1103" s="178">
        <v>1330</v>
      </c>
      <c r="P1103" s="392">
        <v>6000</v>
      </c>
      <c r="Q1103" s="177">
        <v>2</v>
      </c>
      <c r="R1103" s="177">
        <v>20</v>
      </c>
      <c r="S1103" s="177" t="s">
        <v>354</v>
      </c>
      <c r="T1103" s="179">
        <v>44763</v>
      </c>
      <c r="U1103" s="179">
        <v>44783</v>
      </c>
      <c r="V1103" s="177" t="s">
        <v>355</v>
      </c>
      <c r="W1103" s="177"/>
      <c r="X1103" s="177"/>
      <c r="Y1103" s="144"/>
    </row>
    <row r="1104" spans="1:25" ht="13.5" x14ac:dyDescent="0.15">
      <c r="A1104" s="177">
        <v>3671785</v>
      </c>
      <c r="B1104" s="177" t="s">
        <v>351</v>
      </c>
      <c r="C1104" s="177" t="s">
        <v>356</v>
      </c>
      <c r="D1104" s="177" t="s">
        <v>353</v>
      </c>
      <c r="E1104" s="177" t="s">
        <v>32</v>
      </c>
      <c r="F1104" s="177">
        <v>331</v>
      </c>
      <c r="G1104" s="177" t="s">
        <v>19</v>
      </c>
      <c r="H1104" s="177" t="s">
        <v>20</v>
      </c>
      <c r="I1104" s="177" t="s">
        <v>21</v>
      </c>
      <c r="J1104" s="177"/>
      <c r="K1104" s="177" t="s">
        <v>33</v>
      </c>
      <c r="L1104" s="177">
        <v>38</v>
      </c>
      <c r="M1104" s="177" t="s">
        <v>30</v>
      </c>
      <c r="N1104" s="178">
        <v>1580</v>
      </c>
      <c r="O1104" s="178">
        <v>1580</v>
      </c>
      <c r="P1104" s="392">
        <v>6000</v>
      </c>
      <c r="Q1104" s="177">
        <v>2</v>
      </c>
      <c r="R1104" s="177">
        <v>2</v>
      </c>
      <c r="S1104" s="177" t="s">
        <v>354</v>
      </c>
      <c r="T1104" s="179">
        <v>44763</v>
      </c>
      <c r="U1104" s="179">
        <v>44783</v>
      </c>
      <c r="V1104" s="177" t="s">
        <v>355</v>
      </c>
      <c r="W1104" s="177"/>
      <c r="X1104" s="177"/>
      <c r="Y1104" s="144"/>
    </row>
    <row r="1105" spans="1:25" ht="13.5" x14ac:dyDescent="0.15">
      <c r="A1105" s="177">
        <v>3671786</v>
      </c>
      <c r="B1105" s="177" t="s">
        <v>351</v>
      </c>
      <c r="C1105" s="177" t="s">
        <v>356</v>
      </c>
      <c r="D1105" s="177" t="s">
        <v>353</v>
      </c>
      <c r="E1105" s="177" t="s">
        <v>106</v>
      </c>
      <c r="F1105" s="177">
        <v>3</v>
      </c>
      <c r="G1105" s="177" t="s">
        <v>19</v>
      </c>
      <c r="H1105" s="177" t="s">
        <v>20</v>
      </c>
      <c r="I1105" s="177" t="s">
        <v>21</v>
      </c>
      <c r="J1105" s="177"/>
      <c r="K1105" s="177" t="s">
        <v>107</v>
      </c>
      <c r="L1105" s="177">
        <v>25</v>
      </c>
      <c r="M1105" s="177" t="s">
        <v>367</v>
      </c>
      <c r="N1105" s="178">
        <v>1040</v>
      </c>
      <c r="O1105" s="178">
        <v>1040</v>
      </c>
      <c r="P1105" s="392">
        <v>6000</v>
      </c>
      <c r="Q1105" s="177">
        <v>2</v>
      </c>
      <c r="R1105" s="177">
        <v>24</v>
      </c>
      <c r="S1105" s="177" t="s">
        <v>354</v>
      </c>
      <c r="T1105" s="179">
        <v>44763</v>
      </c>
      <c r="U1105" s="179">
        <v>44790</v>
      </c>
      <c r="V1105" s="177" t="s">
        <v>355</v>
      </c>
      <c r="W1105" s="177"/>
      <c r="X1105" s="177"/>
      <c r="Y1105" s="144"/>
    </row>
    <row r="1106" spans="1:25" ht="13.5" x14ac:dyDescent="0.15">
      <c r="A1106" s="177">
        <v>3671787</v>
      </c>
      <c r="B1106" s="177" t="s">
        <v>351</v>
      </c>
      <c r="C1106" s="177" t="s">
        <v>356</v>
      </c>
      <c r="D1106" s="177" t="s">
        <v>353</v>
      </c>
      <c r="E1106" s="177" t="s">
        <v>106</v>
      </c>
      <c r="F1106" s="177">
        <v>3</v>
      </c>
      <c r="G1106" s="177" t="s">
        <v>19</v>
      </c>
      <c r="H1106" s="177" t="s">
        <v>20</v>
      </c>
      <c r="I1106" s="177" t="s">
        <v>21</v>
      </c>
      <c r="J1106" s="177"/>
      <c r="K1106" s="177" t="s">
        <v>107</v>
      </c>
      <c r="L1106" s="177">
        <v>38</v>
      </c>
      <c r="M1106" s="177" t="s">
        <v>367</v>
      </c>
      <c r="N1106" s="178">
        <v>1240</v>
      </c>
      <c r="O1106" s="178">
        <v>1240</v>
      </c>
      <c r="P1106" s="392">
        <v>6000</v>
      </c>
      <c r="Q1106" s="177">
        <v>2</v>
      </c>
      <c r="R1106" s="177">
        <v>10</v>
      </c>
      <c r="S1106" s="177" t="s">
        <v>354</v>
      </c>
      <c r="T1106" s="179">
        <v>44763</v>
      </c>
      <c r="U1106" s="179">
        <v>44790</v>
      </c>
      <c r="V1106" s="177" t="s">
        <v>355</v>
      </c>
      <c r="W1106" s="177"/>
      <c r="X1106" s="177"/>
      <c r="Y1106" s="144"/>
    </row>
    <row r="1107" spans="1:25" ht="13.5" x14ac:dyDescent="0.15">
      <c r="A1107" s="177">
        <v>3671788</v>
      </c>
      <c r="B1107" s="177" t="s">
        <v>351</v>
      </c>
      <c r="C1107" s="177" t="s">
        <v>356</v>
      </c>
      <c r="D1107" s="177" t="s">
        <v>353</v>
      </c>
      <c r="E1107" s="177" t="s">
        <v>115</v>
      </c>
      <c r="F1107" s="177">
        <v>3</v>
      </c>
      <c r="G1107" s="177" t="s">
        <v>19</v>
      </c>
      <c r="H1107" s="177" t="s">
        <v>20</v>
      </c>
      <c r="I1107" s="177" t="s">
        <v>21</v>
      </c>
      <c r="J1107" s="177"/>
      <c r="K1107" s="177" t="s">
        <v>112</v>
      </c>
      <c r="L1107" s="177">
        <v>38</v>
      </c>
      <c r="M1107" s="177" t="s">
        <v>357</v>
      </c>
      <c r="N1107" s="178">
        <v>1135</v>
      </c>
      <c r="O1107" s="178">
        <v>1130</v>
      </c>
      <c r="P1107" s="392">
        <v>6000</v>
      </c>
      <c r="Q1107" s="177">
        <v>2</v>
      </c>
      <c r="R1107" s="177">
        <v>2</v>
      </c>
      <c r="S1107" s="177" t="s">
        <v>354</v>
      </c>
      <c r="T1107" s="179">
        <v>44763</v>
      </c>
      <c r="U1107" s="179">
        <v>44790</v>
      </c>
      <c r="V1107" s="177" t="s">
        <v>355</v>
      </c>
      <c r="W1107" s="177"/>
      <c r="X1107" s="177"/>
      <c r="Y1107" s="144"/>
    </row>
    <row r="1108" spans="1:25" ht="13.5" x14ac:dyDescent="0.15">
      <c r="A1108" s="177">
        <v>3671789</v>
      </c>
      <c r="B1108" s="177" t="s">
        <v>431</v>
      </c>
      <c r="C1108" s="177" t="s">
        <v>356</v>
      </c>
      <c r="D1108" s="177" t="s">
        <v>353</v>
      </c>
      <c r="E1108" s="177" t="s">
        <v>130</v>
      </c>
      <c r="F1108" s="177">
        <v>3</v>
      </c>
      <c r="G1108" s="177" t="s">
        <v>265</v>
      </c>
      <c r="H1108" s="177" t="s">
        <v>20</v>
      </c>
      <c r="I1108" s="177" t="s">
        <v>21</v>
      </c>
      <c r="J1108" s="177"/>
      <c r="K1108" s="177" t="s">
        <v>435</v>
      </c>
      <c r="L1108" s="177">
        <v>25</v>
      </c>
      <c r="M1108" s="177" t="s">
        <v>436</v>
      </c>
      <c r="N1108" s="178">
        <v>1410</v>
      </c>
      <c r="O1108" s="178">
        <v>1410</v>
      </c>
      <c r="P1108" s="392">
        <v>6000</v>
      </c>
      <c r="Q1108" s="177">
        <v>2</v>
      </c>
      <c r="R1108" s="177">
        <v>18</v>
      </c>
      <c r="S1108" s="177" t="s">
        <v>354</v>
      </c>
      <c r="T1108" s="179">
        <v>44763</v>
      </c>
      <c r="U1108" s="179">
        <v>44790</v>
      </c>
      <c r="V1108" s="177" t="s">
        <v>355</v>
      </c>
      <c r="W1108" s="177"/>
      <c r="X1108" s="177"/>
      <c r="Y1108" s="144"/>
    </row>
    <row r="1109" spans="1:25" ht="13.5" x14ac:dyDescent="0.15">
      <c r="A1109" s="177">
        <v>3671790</v>
      </c>
      <c r="B1109" s="177" t="s">
        <v>351</v>
      </c>
      <c r="C1109" s="177" t="s">
        <v>356</v>
      </c>
      <c r="D1109" s="177" t="s">
        <v>353</v>
      </c>
      <c r="E1109" s="177" t="s">
        <v>114</v>
      </c>
      <c r="F1109" s="177">
        <v>3</v>
      </c>
      <c r="G1109" s="177" t="s">
        <v>19</v>
      </c>
      <c r="H1109" s="177" t="s">
        <v>20</v>
      </c>
      <c r="I1109" s="177" t="s">
        <v>21</v>
      </c>
      <c r="J1109" s="177"/>
      <c r="K1109" s="177" t="s">
        <v>112</v>
      </c>
      <c r="L1109" s="177">
        <v>25</v>
      </c>
      <c r="M1109" s="177" t="s">
        <v>357</v>
      </c>
      <c r="N1109" s="178">
        <v>640</v>
      </c>
      <c r="O1109" s="178">
        <v>640</v>
      </c>
      <c r="P1109" s="392">
        <v>6000</v>
      </c>
      <c r="Q1109" s="177">
        <v>2</v>
      </c>
      <c r="R1109" s="177">
        <v>12</v>
      </c>
      <c r="S1109" s="177" t="s">
        <v>354</v>
      </c>
      <c r="T1109" s="179">
        <v>44763</v>
      </c>
      <c r="U1109" s="179">
        <v>44790</v>
      </c>
      <c r="V1109" s="177" t="s">
        <v>355</v>
      </c>
      <c r="W1109" s="177"/>
      <c r="X1109" s="177"/>
      <c r="Y1109" s="144"/>
    </row>
    <row r="1110" spans="1:25" ht="13.5" x14ac:dyDescent="0.15">
      <c r="A1110" s="177">
        <v>3671791</v>
      </c>
      <c r="B1110" s="177" t="s">
        <v>351</v>
      </c>
      <c r="C1110" s="177" t="s">
        <v>358</v>
      </c>
      <c r="D1110" s="177" t="s">
        <v>353</v>
      </c>
      <c r="E1110" s="177" t="s">
        <v>120</v>
      </c>
      <c r="F1110" s="177">
        <v>3</v>
      </c>
      <c r="G1110" s="177" t="s">
        <v>19</v>
      </c>
      <c r="H1110" s="177" t="s">
        <v>20</v>
      </c>
      <c r="I1110" s="177" t="s">
        <v>21</v>
      </c>
      <c r="J1110" s="177"/>
      <c r="K1110" s="177" t="s">
        <v>118</v>
      </c>
      <c r="L1110" s="177">
        <v>125</v>
      </c>
      <c r="M1110" s="177" t="s">
        <v>121</v>
      </c>
      <c r="N1110" s="178">
        <v>1230</v>
      </c>
      <c r="O1110" s="178">
        <v>1225</v>
      </c>
      <c r="P1110" s="392">
        <v>6000</v>
      </c>
      <c r="Q1110" s="177">
        <v>2</v>
      </c>
      <c r="R1110" s="177">
        <v>1</v>
      </c>
      <c r="S1110" s="177" t="s">
        <v>354</v>
      </c>
      <c r="T1110" s="179">
        <v>44763</v>
      </c>
      <c r="U1110" s="179">
        <v>44790</v>
      </c>
      <c r="V1110" s="177" t="s">
        <v>355</v>
      </c>
      <c r="W1110" s="177"/>
      <c r="X1110" s="177"/>
      <c r="Y1110" s="144"/>
    </row>
    <row r="1111" spans="1:25" ht="13.5" x14ac:dyDescent="0.15">
      <c r="A1111" s="177">
        <v>3671792</v>
      </c>
      <c r="B1111" s="177" t="s">
        <v>351</v>
      </c>
      <c r="C1111" s="177" t="s">
        <v>356</v>
      </c>
      <c r="D1111" s="177" t="s">
        <v>353</v>
      </c>
      <c r="E1111" s="177" t="s">
        <v>32</v>
      </c>
      <c r="F1111" s="177">
        <v>3</v>
      </c>
      <c r="G1111" s="177" t="s">
        <v>19</v>
      </c>
      <c r="H1111" s="177" t="s">
        <v>20</v>
      </c>
      <c r="I1111" s="177" t="s">
        <v>21</v>
      </c>
      <c r="J1111" s="177"/>
      <c r="K1111" s="177" t="s">
        <v>56</v>
      </c>
      <c r="L1111" s="177">
        <v>75</v>
      </c>
      <c r="M1111" s="177" t="s">
        <v>376</v>
      </c>
      <c r="N1111" s="178">
        <v>1330</v>
      </c>
      <c r="O1111" s="178">
        <v>1330</v>
      </c>
      <c r="P1111" s="392">
        <v>6000</v>
      </c>
      <c r="Q1111" s="177">
        <v>2</v>
      </c>
      <c r="R1111" s="177">
        <v>40</v>
      </c>
      <c r="S1111" s="177" t="s">
        <v>354</v>
      </c>
      <c r="T1111" s="179">
        <v>44763</v>
      </c>
      <c r="U1111" s="179">
        <v>44799</v>
      </c>
      <c r="V1111" s="177" t="s">
        <v>355</v>
      </c>
      <c r="W1111" s="177"/>
      <c r="X1111" s="177"/>
      <c r="Y1111" s="144"/>
    </row>
    <row r="1112" spans="1:25" ht="13.5" x14ac:dyDescent="0.15">
      <c r="A1112" s="177">
        <v>3671793</v>
      </c>
      <c r="B1112" s="177" t="s">
        <v>431</v>
      </c>
      <c r="C1112" s="177" t="s">
        <v>358</v>
      </c>
      <c r="D1112" s="177" t="s">
        <v>353</v>
      </c>
      <c r="E1112" s="177" t="s">
        <v>61</v>
      </c>
      <c r="F1112" s="177">
        <v>3</v>
      </c>
      <c r="G1112" s="177" t="s">
        <v>265</v>
      </c>
      <c r="H1112" s="177" t="s">
        <v>20</v>
      </c>
      <c r="I1112" s="177" t="s">
        <v>21</v>
      </c>
      <c r="J1112" s="177"/>
      <c r="K1112" s="177" t="s">
        <v>263</v>
      </c>
      <c r="L1112" s="177">
        <v>75</v>
      </c>
      <c r="M1112" s="177" t="s">
        <v>264</v>
      </c>
      <c r="N1112" s="178">
        <v>1050</v>
      </c>
      <c r="O1112" s="178">
        <v>1050</v>
      </c>
      <c r="P1112" s="392">
        <v>6000</v>
      </c>
      <c r="Q1112" s="177">
        <v>2</v>
      </c>
      <c r="R1112" s="177">
        <v>32</v>
      </c>
      <c r="S1112" s="177" t="s">
        <v>354</v>
      </c>
      <c r="T1112" s="179">
        <v>44763</v>
      </c>
      <c r="U1112" s="179">
        <v>44799</v>
      </c>
      <c r="V1112" s="177" t="s">
        <v>355</v>
      </c>
      <c r="W1112" s="177"/>
      <c r="X1112" s="177"/>
      <c r="Y1112" s="144"/>
    </row>
    <row r="1113" spans="1:25" ht="13.5" x14ac:dyDescent="0.15">
      <c r="A1113" s="177">
        <v>3671794</v>
      </c>
      <c r="B1113" s="177" t="s">
        <v>351</v>
      </c>
      <c r="C1113" s="177" t="s">
        <v>356</v>
      </c>
      <c r="D1113" s="177" t="s">
        <v>353</v>
      </c>
      <c r="E1113" s="177" t="s">
        <v>106</v>
      </c>
      <c r="F1113" s="177">
        <v>3</v>
      </c>
      <c r="G1113" s="177" t="s">
        <v>19</v>
      </c>
      <c r="H1113" s="177" t="s">
        <v>20</v>
      </c>
      <c r="I1113" s="177" t="s">
        <v>21</v>
      </c>
      <c r="J1113" s="177"/>
      <c r="K1113" s="177" t="s">
        <v>107</v>
      </c>
      <c r="L1113" s="177">
        <v>25</v>
      </c>
      <c r="M1113" s="177" t="s">
        <v>367</v>
      </c>
      <c r="N1113" s="178">
        <v>1240</v>
      </c>
      <c r="O1113" s="178">
        <v>1240</v>
      </c>
      <c r="P1113" s="392">
        <v>6000</v>
      </c>
      <c r="Q1113" s="177">
        <v>2</v>
      </c>
      <c r="R1113" s="177">
        <v>44</v>
      </c>
      <c r="S1113" s="177" t="s">
        <v>354</v>
      </c>
      <c r="T1113" s="179">
        <v>44763</v>
      </c>
      <c r="U1113" s="179">
        <v>44799</v>
      </c>
      <c r="V1113" s="177" t="s">
        <v>355</v>
      </c>
      <c r="W1113" s="177"/>
      <c r="X1113" s="177"/>
      <c r="Y1113" s="144"/>
    </row>
    <row r="1114" spans="1:25" ht="13.5" x14ac:dyDescent="0.15">
      <c r="A1114" s="177">
        <v>3671795</v>
      </c>
      <c r="B1114" s="177" t="s">
        <v>351</v>
      </c>
      <c r="C1114" s="177" t="s">
        <v>352</v>
      </c>
      <c r="D1114" s="177" t="s">
        <v>353</v>
      </c>
      <c r="E1114" s="177" t="s">
        <v>116</v>
      </c>
      <c r="F1114" s="177">
        <v>3</v>
      </c>
      <c r="G1114" s="177" t="s">
        <v>19</v>
      </c>
      <c r="H1114" s="177" t="s">
        <v>20</v>
      </c>
      <c r="I1114" s="177" t="s">
        <v>21</v>
      </c>
      <c r="J1114" s="177"/>
      <c r="K1114" s="177" t="s">
        <v>118</v>
      </c>
      <c r="L1114" s="177">
        <v>38</v>
      </c>
      <c r="M1114" s="177" t="s">
        <v>368</v>
      </c>
      <c r="N1114" s="178">
        <v>1415</v>
      </c>
      <c r="O1114" s="178">
        <v>1410</v>
      </c>
      <c r="P1114" s="392">
        <v>6000</v>
      </c>
      <c r="Q1114" s="177">
        <v>2</v>
      </c>
      <c r="R1114" s="177">
        <v>17</v>
      </c>
      <c r="S1114" s="177" t="s">
        <v>354</v>
      </c>
      <c r="T1114" s="179">
        <v>44763</v>
      </c>
      <c r="U1114" s="179">
        <v>44795</v>
      </c>
      <c r="V1114" s="177" t="s">
        <v>355</v>
      </c>
      <c r="W1114" s="177"/>
      <c r="X1114" s="177"/>
      <c r="Y1114" s="144"/>
    </row>
    <row r="1115" spans="1:25" ht="13.5" x14ac:dyDescent="0.15">
      <c r="A1115" s="177">
        <v>3671796</v>
      </c>
      <c r="B1115" s="177" t="s">
        <v>351</v>
      </c>
      <c r="C1115" s="177" t="s">
        <v>358</v>
      </c>
      <c r="D1115" s="177" t="s">
        <v>353</v>
      </c>
      <c r="E1115" s="177" t="s">
        <v>61</v>
      </c>
      <c r="F1115" s="177">
        <v>3313</v>
      </c>
      <c r="G1115" s="177" t="s">
        <v>19</v>
      </c>
      <c r="H1115" s="177" t="s">
        <v>20</v>
      </c>
      <c r="I1115" s="177" t="s">
        <v>21</v>
      </c>
      <c r="J1115" s="177"/>
      <c r="K1115" s="177" t="s">
        <v>62</v>
      </c>
      <c r="L1115" s="177">
        <v>38</v>
      </c>
      <c r="M1115" s="177" t="s">
        <v>63</v>
      </c>
      <c r="N1115" s="178">
        <v>750</v>
      </c>
      <c r="O1115" s="178">
        <v>750</v>
      </c>
      <c r="P1115" s="392">
        <v>6000</v>
      </c>
      <c r="Q1115" s="177">
        <v>2</v>
      </c>
      <c r="R1115" s="177">
        <v>32</v>
      </c>
      <c r="S1115" s="177" t="s">
        <v>354</v>
      </c>
      <c r="T1115" s="179">
        <v>44763</v>
      </c>
      <c r="U1115" s="179">
        <v>44799</v>
      </c>
      <c r="V1115" s="177" t="s">
        <v>355</v>
      </c>
      <c r="W1115" s="177"/>
      <c r="X1115" s="177"/>
      <c r="Y1115" s="144"/>
    </row>
    <row r="1116" spans="1:25" ht="13.5" x14ac:dyDescent="0.15">
      <c r="A1116" s="177">
        <v>3671797</v>
      </c>
      <c r="B1116" s="177" t="s">
        <v>351</v>
      </c>
      <c r="C1116" s="177" t="s">
        <v>358</v>
      </c>
      <c r="D1116" s="177" t="s">
        <v>353</v>
      </c>
      <c r="E1116" s="177" t="s">
        <v>61</v>
      </c>
      <c r="F1116" s="177">
        <v>331</v>
      </c>
      <c r="G1116" s="177" t="s">
        <v>19</v>
      </c>
      <c r="H1116" s="177" t="s">
        <v>20</v>
      </c>
      <c r="I1116" s="177" t="s">
        <v>21</v>
      </c>
      <c r="J1116" s="177"/>
      <c r="K1116" s="177" t="s">
        <v>62</v>
      </c>
      <c r="L1116" s="177">
        <v>38</v>
      </c>
      <c r="M1116" s="177" t="s">
        <v>63</v>
      </c>
      <c r="N1116" s="178">
        <v>1255</v>
      </c>
      <c r="O1116" s="178">
        <v>1250</v>
      </c>
      <c r="P1116" s="392">
        <v>6000</v>
      </c>
      <c r="Q1116" s="177">
        <v>2</v>
      </c>
      <c r="R1116" s="177">
        <v>12</v>
      </c>
      <c r="S1116" s="177" t="s">
        <v>354</v>
      </c>
      <c r="T1116" s="179">
        <v>44763</v>
      </c>
      <c r="U1116" s="179">
        <v>44799</v>
      </c>
      <c r="V1116" s="177" t="s">
        <v>355</v>
      </c>
      <c r="W1116" s="177"/>
      <c r="X1116" s="177"/>
      <c r="Y1116" s="144"/>
    </row>
    <row r="1117" spans="1:25" ht="13.5" x14ac:dyDescent="0.15">
      <c r="A1117" s="177">
        <v>3671798</v>
      </c>
      <c r="B1117" s="177" t="s">
        <v>351</v>
      </c>
      <c r="C1117" s="177" t="s">
        <v>358</v>
      </c>
      <c r="D1117" s="177" t="s">
        <v>353</v>
      </c>
      <c r="E1117" s="177" t="s">
        <v>61</v>
      </c>
      <c r="F1117" s="177">
        <v>331</v>
      </c>
      <c r="G1117" s="177" t="s">
        <v>19</v>
      </c>
      <c r="H1117" s="177" t="s">
        <v>20</v>
      </c>
      <c r="I1117" s="177" t="s">
        <v>21</v>
      </c>
      <c r="J1117" s="177"/>
      <c r="K1117" s="177" t="s">
        <v>62</v>
      </c>
      <c r="L1117" s="177">
        <v>38</v>
      </c>
      <c r="M1117" s="177" t="s">
        <v>63</v>
      </c>
      <c r="N1117" s="178">
        <v>1585</v>
      </c>
      <c r="O1117" s="178">
        <v>1580</v>
      </c>
      <c r="P1117" s="392">
        <v>6000</v>
      </c>
      <c r="Q1117" s="177">
        <v>2</v>
      </c>
      <c r="R1117" s="177">
        <v>3</v>
      </c>
      <c r="S1117" s="177" t="s">
        <v>354</v>
      </c>
      <c r="T1117" s="179">
        <v>44763</v>
      </c>
      <c r="U1117" s="179">
        <v>44799</v>
      </c>
      <c r="V1117" s="177" t="s">
        <v>355</v>
      </c>
      <c r="W1117" s="177"/>
      <c r="X1117" s="177"/>
      <c r="Y1117" s="144"/>
    </row>
    <row r="1118" spans="1:25" ht="13.5" x14ac:dyDescent="0.15">
      <c r="A1118" s="177">
        <v>3671799</v>
      </c>
      <c r="B1118" s="177" t="s">
        <v>351</v>
      </c>
      <c r="C1118" s="177" t="s">
        <v>363</v>
      </c>
      <c r="D1118" s="177" t="s">
        <v>353</v>
      </c>
      <c r="E1118" s="177" t="s">
        <v>65</v>
      </c>
      <c r="F1118" s="177">
        <v>3321</v>
      </c>
      <c r="G1118" s="177" t="s">
        <v>19</v>
      </c>
      <c r="H1118" s="177" t="s">
        <v>20</v>
      </c>
      <c r="I1118" s="177" t="s">
        <v>21</v>
      </c>
      <c r="J1118" s="177"/>
      <c r="K1118" s="177" t="s">
        <v>67</v>
      </c>
      <c r="L1118" s="177">
        <v>38</v>
      </c>
      <c r="M1118" s="177" t="s">
        <v>68</v>
      </c>
      <c r="N1118" s="178">
        <v>1336</v>
      </c>
      <c r="O1118" s="178">
        <v>1325</v>
      </c>
      <c r="P1118" s="392">
        <v>6000</v>
      </c>
      <c r="Q1118" s="177">
        <v>2</v>
      </c>
      <c r="R1118" s="177">
        <v>22</v>
      </c>
      <c r="S1118" s="177" t="s">
        <v>354</v>
      </c>
      <c r="T1118" s="179">
        <v>44763</v>
      </c>
      <c r="U1118" s="179">
        <v>44799</v>
      </c>
      <c r="V1118" s="177" t="s">
        <v>355</v>
      </c>
      <c r="W1118" s="177"/>
      <c r="X1118" s="177"/>
      <c r="Y1118" s="144"/>
    </row>
    <row r="1119" spans="1:25" ht="13.5" x14ac:dyDescent="0.15">
      <c r="A1119" s="177">
        <v>3671800</v>
      </c>
      <c r="B1119" s="177" t="s">
        <v>351</v>
      </c>
      <c r="C1119" s="177" t="s">
        <v>363</v>
      </c>
      <c r="D1119" s="177" t="s">
        <v>353</v>
      </c>
      <c r="E1119" s="177" t="s">
        <v>65</v>
      </c>
      <c r="F1119" s="177">
        <v>3321</v>
      </c>
      <c r="G1119" s="177" t="s">
        <v>19</v>
      </c>
      <c r="H1119" s="177" t="s">
        <v>20</v>
      </c>
      <c r="I1119" s="177" t="s">
        <v>21</v>
      </c>
      <c r="J1119" s="177"/>
      <c r="K1119" s="177" t="s">
        <v>70</v>
      </c>
      <c r="L1119" s="177">
        <v>38</v>
      </c>
      <c r="M1119" s="177" t="s">
        <v>71</v>
      </c>
      <c r="N1119" s="178">
        <v>1336</v>
      </c>
      <c r="O1119" s="178">
        <v>1325</v>
      </c>
      <c r="P1119" s="392">
        <v>6000</v>
      </c>
      <c r="Q1119" s="177">
        <v>2</v>
      </c>
      <c r="R1119" s="177">
        <v>22</v>
      </c>
      <c r="S1119" s="177" t="s">
        <v>354</v>
      </c>
      <c r="T1119" s="179">
        <v>44763</v>
      </c>
      <c r="U1119" s="179">
        <v>44799</v>
      </c>
      <c r="V1119" s="177" t="s">
        <v>355</v>
      </c>
      <c r="W1119" s="177"/>
      <c r="X1119" s="177"/>
      <c r="Y1119" s="144"/>
    </row>
    <row r="1120" spans="1:25" ht="13.5" x14ac:dyDescent="0.15">
      <c r="A1120" s="177">
        <v>3671801</v>
      </c>
      <c r="B1120" s="177" t="s">
        <v>351</v>
      </c>
      <c r="C1120" s="177" t="s">
        <v>356</v>
      </c>
      <c r="D1120" s="177" t="s">
        <v>353</v>
      </c>
      <c r="E1120" s="177" t="s">
        <v>32</v>
      </c>
      <c r="F1120" s="177">
        <v>331</v>
      </c>
      <c r="G1120" s="177" t="s">
        <v>19</v>
      </c>
      <c r="H1120" s="177" t="s">
        <v>20</v>
      </c>
      <c r="I1120" s="177" t="s">
        <v>21</v>
      </c>
      <c r="J1120" s="177"/>
      <c r="K1120" s="177" t="s">
        <v>33</v>
      </c>
      <c r="L1120" s="177">
        <v>38</v>
      </c>
      <c r="M1120" s="177" t="s">
        <v>30</v>
      </c>
      <c r="N1120" s="178">
        <v>1330</v>
      </c>
      <c r="O1120" s="178">
        <v>1330</v>
      </c>
      <c r="P1120" s="392">
        <v>6000</v>
      </c>
      <c r="Q1120" s="177">
        <v>2</v>
      </c>
      <c r="R1120" s="177">
        <v>10</v>
      </c>
      <c r="S1120" s="177" t="s">
        <v>354</v>
      </c>
      <c r="T1120" s="179">
        <v>44763</v>
      </c>
      <c r="U1120" s="179">
        <v>44804</v>
      </c>
      <c r="V1120" s="177" t="s">
        <v>355</v>
      </c>
      <c r="W1120" s="177"/>
      <c r="X1120" s="177"/>
      <c r="Y1120" s="144"/>
    </row>
    <row r="1121" spans="1:25" ht="13.5" x14ac:dyDescent="0.15">
      <c r="A1121" s="177">
        <v>3671802</v>
      </c>
      <c r="B1121" s="177" t="s">
        <v>351</v>
      </c>
      <c r="C1121" s="177" t="s">
        <v>356</v>
      </c>
      <c r="D1121" s="177" t="s">
        <v>353</v>
      </c>
      <c r="E1121" s="177" t="s">
        <v>377</v>
      </c>
      <c r="F1121" s="177">
        <v>3</v>
      </c>
      <c r="G1121" s="177" t="s">
        <v>19</v>
      </c>
      <c r="H1121" s="177" t="s">
        <v>20</v>
      </c>
      <c r="I1121" s="177" t="s">
        <v>21</v>
      </c>
      <c r="J1121" s="177"/>
      <c r="K1121" s="177" t="s">
        <v>36</v>
      </c>
      <c r="L1121" s="177">
        <v>25</v>
      </c>
      <c r="M1121" s="177" t="s">
        <v>37</v>
      </c>
      <c r="N1121" s="178">
        <v>890</v>
      </c>
      <c r="O1121" s="178">
        <v>890</v>
      </c>
      <c r="P1121" s="392">
        <v>6000</v>
      </c>
      <c r="Q1121" s="177">
        <v>2</v>
      </c>
      <c r="R1121" s="177">
        <v>6</v>
      </c>
      <c r="S1121" s="177" t="s">
        <v>354</v>
      </c>
      <c r="T1121" s="179">
        <v>44763</v>
      </c>
      <c r="U1121" s="179">
        <v>44804</v>
      </c>
      <c r="V1121" s="177" t="s">
        <v>355</v>
      </c>
      <c r="W1121" s="177"/>
      <c r="X1121" s="177"/>
      <c r="Y1121" s="144"/>
    </row>
    <row r="1122" spans="1:25" ht="13.5" x14ac:dyDescent="0.15">
      <c r="A1122" s="177">
        <v>3671803</v>
      </c>
      <c r="B1122" s="177" t="s">
        <v>351</v>
      </c>
      <c r="C1122" s="177" t="s">
        <v>359</v>
      </c>
      <c r="D1122" s="177" t="s">
        <v>353</v>
      </c>
      <c r="E1122" s="177" t="s">
        <v>40</v>
      </c>
      <c r="F1122" s="177">
        <v>3</v>
      </c>
      <c r="G1122" s="177" t="s">
        <v>19</v>
      </c>
      <c r="H1122" s="177" t="s">
        <v>20</v>
      </c>
      <c r="I1122" s="177" t="s">
        <v>21</v>
      </c>
      <c r="J1122" s="177"/>
      <c r="K1122" s="177" t="s">
        <v>42</v>
      </c>
      <c r="L1122" s="177">
        <v>25</v>
      </c>
      <c r="M1122" s="177" t="s">
        <v>43</v>
      </c>
      <c r="N1122" s="178">
        <v>1045</v>
      </c>
      <c r="O1122" s="178">
        <v>1040</v>
      </c>
      <c r="P1122" s="392">
        <v>6000</v>
      </c>
      <c r="Q1122" s="177">
        <v>2</v>
      </c>
      <c r="R1122" s="177">
        <v>16</v>
      </c>
      <c r="S1122" s="177" t="s">
        <v>354</v>
      </c>
      <c r="T1122" s="179">
        <v>44763</v>
      </c>
      <c r="U1122" s="179">
        <v>44804</v>
      </c>
      <c r="V1122" s="177" t="s">
        <v>355</v>
      </c>
      <c r="W1122" s="177"/>
      <c r="X1122" s="177"/>
      <c r="Y1122" s="144"/>
    </row>
    <row r="1123" spans="1:25" ht="13.5" x14ac:dyDescent="0.15">
      <c r="A1123" s="177">
        <v>3671804</v>
      </c>
      <c r="B1123" s="177" t="s">
        <v>351</v>
      </c>
      <c r="C1123" s="177" t="s">
        <v>358</v>
      </c>
      <c r="D1123" s="177" t="s">
        <v>353</v>
      </c>
      <c r="E1123" s="177" t="s">
        <v>378</v>
      </c>
      <c r="F1123" s="177">
        <v>3</v>
      </c>
      <c r="G1123" s="177" t="s">
        <v>19</v>
      </c>
      <c r="H1123" s="177" t="s">
        <v>20</v>
      </c>
      <c r="I1123" s="177" t="s">
        <v>21</v>
      </c>
      <c r="J1123" s="177"/>
      <c r="K1123" s="177" t="s">
        <v>99</v>
      </c>
      <c r="L1123" s="177">
        <v>25</v>
      </c>
      <c r="M1123" s="177" t="s">
        <v>100</v>
      </c>
      <c r="N1123" s="178">
        <v>500</v>
      </c>
      <c r="O1123" s="178">
        <v>500</v>
      </c>
      <c r="P1123" s="392">
        <v>6000</v>
      </c>
      <c r="Q1123" s="177">
        <v>2</v>
      </c>
      <c r="R1123" s="177">
        <v>48</v>
      </c>
      <c r="S1123" s="177" t="s">
        <v>354</v>
      </c>
      <c r="T1123" s="179">
        <v>44763</v>
      </c>
      <c r="U1123" s="179">
        <v>44804</v>
      </c>
      <c r="V1123" s="177" t="s">
        <v>355</v>
      </c>
      <c r="W1123" s="177"/>
      <c r="X1123" s="177"/>
      <c r="Y1123" s="144"/>
    </row>
    <row r="1124" spans="1:25" ht="13.5" x14ac:dyDescent="0.15">
      <c r="A1124" s="177">
        <v>3671805</v>
      </c>
      <c r="B1124" s="177" t="s">
        <v>351</v>
      </c>
      <c r="C1124" s="177" t="s">
        <v>356</v>
      </c>
      <c r="D1124" s="177" t="s">
        <v>353</v>
      </c>
      <c r="E1124" s="177" t="s">
        <v>255</v>
      </c>
      <c r="F1124" s="177">
        <v>3</v>
      </c>
      <c r="G1124" s="177" t="s">
        <v>19</v>
      </c>
      <c r="H1124" s="177" t="s">
        <v>20</v>
      </c>
      <c r="I1124" s="177" t="s">
        <v>256</v>
      </c>
      <c r="J1124" s="177"/>
      <c r="K1124" s="177" t="s">
        <v>257</v>
      </c>
      <c r="L1124" s="177">
        <v>100</v>
      </c>
      <c r="M1124" s="177" t="s">
        <v>258</v>
      </c>
      <c r="N1124" s="178">
        <v>1000</v>
      </c>
      <c r="O1124" s="178">
        <v>1000</v>
      </c>
      <c r="P1124" s="392">
        <v>6000</v>
      </c>
      <c r="Q1124" s="177">
        <v>2</v>
      </c>
      <c r="R1124" s="177">
        <v>8</v>
      </c>
      <c r="S1124" s="177" t="s">
        <v>354</v>
      </c>
      <c r="T1124" s="179">
        <v>44763</v>
      </c>
      <c r="U1124" s="179">
        <v>44795</v>
      </c>
      <c r="V1124" s="177" t="s">
        <v>355</v>
      </c>
      <c r="W1124" s="177"/>
      <c r="X1124" s="177"/>
      <c r="Y1124" s="144"/>
    </row>
    <row r="1125" spans="1:25" ht="13.5" x14ac:dyDescent="0.15">
      <c r="A1125" s="177">
        <v>3671806</v>
      </c>
      <c r="B1125" s="177" t="s">
        <v>351</v>
      </c>
      <c r="C1125" s="177" t="s">
        <v>356</v>
      </c>
      <c r="D1125" s="177" t="s">
        <v>353</v>
      </c>
      <c r="E1125" s="177" t="s">
        <v>255</v>
      </c>
      <c r="F1125" s="177">
        <v>3</v>
      </c>
      <c r="G1125" s="177" t="s">
        <v>19</v>
      </c>
      <c r="H1125" s="177" t="s">
        <v>20</v>
      </c>
      <c r="I1125" s="177" t="s">
        <v>256</v>
      </c>
      <c r="J1125" s="177"/>
      <c r="K1125" s="177" t="s">
        <v>257</v>
      </c>
      <c r="L1125" s="177">
        <v>125</v>
      </c>
      <c r="M1125" s="177" t="s">
        <v>258</v>
      </c>
      <c r="N1125" s="178">
        <v>1000</v>
      </c>
      <c r="O1125" s="178">
        <v>1000</v>
      </c>
      <c r="P1125" s="392">
        <v>6000</v>
      </c>
      <c r="Q1125" s="177">
        <v>2</v>
      </c>
      <c r="R1125" s="177">
        <v>6</v>
      </c>
      <c r="S1125" s="177" t="s">
        <v>354</v>
      </c>
      <c r="T1125" s="179">
        <v>44763</v>
      </c>
      <c r="U1125" s="179">
        <v>44795</v>
      </c>
      <c r="V1125" s="177" t="s">
        <v>355</v>
      </c>
      <c r="W1125" s="177"/>
      <c r="X1125" s="177"/>
      <c r="Y1125" s="144"/>
    </row>
    <row r="1126" spans="1:25" ht="13.5" x14ac:dyDescent="0.15">
      <c r="A1126" s="177">
        <v>3671807</v>
      </c>
      <c r="B1126" s="177" t="s">
        <v>351</v>
      </c>
      <c r="C1126" s="177" t="s">
        <v>356</v>
      </c>
      <c r="D1126" s="177" t="s">
        <v>353</v>
      </c>
      <c r="E1126" s="177" t="s">
        <v>255</v>
      </c>
      <c r="F1126" s="177">
        <v>3</v>
      </c>
      <c r="G1126" s="177" t="s">
        <v>19</v>
      </c>
      <c r="H1126" s="177" t="s">
        <v>20</v>
      </c>
      <c r="I1126" s="177" t="s">
        <v>256</v>
      </c>
      <c r="J1126" s="177"/>
      <c r="K1126" s="177" t="s">
        <v>257</v>
      </c>
      <c r="L1126" s="177">
        <v>188</v>
      </c>
      <c r="M1126" s="177" t="s">
        <v>258</v>
      </c>
      <c r="N1126" s="178">
        <v>1000</v>
      </c>
      <c r="O1126" s="178">
        <v>1000</v>
      </c>
      <c r="P1126" s="392">
        <v>6000</v>
      </c>
      <c r="Q1126" s="177">
        <v>2</v>
      </c>
      <c r="R1126" s="177">
        <v>4</v>
      </c>
      <c r="S1126" s="177" t="s">
        <v>354</v>
      </c>
      <c r="T1126" s="179">
        <v>44763</v>
      </c>
      <c r="U1126" s="179">
        <v>44795</v>
      </c>
      <c r="V1126" s="177" t="s">
        <v>355</v>
      </c>
      <c r="W1126" s="177"/>
      <c r="X1126" s="177"/>
      <c r="Y1126" s="144"/>
    </row>
    <row r="1127" spans="1:25" ht="13.5" x14ac:dyDescent="0.15">
      <c r="A1127" s="177">
        <v>3671809</v>
      </c>
      <c r="B1127" s="177" t="s">
        <v>351</v>
      </c>
      <c r="C1127" s="177" t="s">
        <v>358</v>
      </c>
      <c r="D1127" s="177" t="s">
        <v>353</v>
      </c>
      <c r="E1127" s="177" t="s">
        <v>131</v>
      </c>
      <c r="F1127" s="177">
        <v>3</v>
      </c>
      <c r="G1127" s="177" t="s">
        <v>19</v>
      </c>
      <c r="H1127" s="177" t="s">
        <v>20</v>
      </c>
      <c r="I1127" s="177" t="s">
        <v>132</v>
      </c>
      <c r="J1127" s="177"/>
      <c r="K1127" s="177" t="s">
        <v>133</v>
      </c>
      <c r="L1127" s="177">
        <v>75</v>
      </c>
      <c r="M1127" s="177" t="s">
        <v>134</v>
      </c>
      <c r="N1127" s="178">
        <v>600</v>
      </c>
      <c r="O1127" s="178">
        <v>600</v>
      </c>
      <c r="P1127" s="392">
        <v>6000</v>
      </c>
      <c r="Q1127" s="177">
        <v>2</v>
      </c>
      <c r="R1127" s="177">
        <v>60</v>
      </c>
      <c r="S1127" s="177" t="s">
        <v>354</v>
      </c>
      <c r="T1127" s="179">
        <v>44763</v>
      </c>
      <c r="U1127" s="179">
        <v>44795</v>
      </c>
      <c r="V1127" s="177" t="s">
        <v>355</v>
      </c>
      <c r="W1127" s="177"/>
      <c r="X1127" s="177"/>
      <c r="Y1127" s="144"/>
    </row>
    <row r="1128" spans="1:25" ht="13.5" x14ac:dyDescent="0.15">
      <c r="A1128" s="177">
        <v>3671812</v>
      </c>
      <c r="B1128" s="177" t="s">
        <v>351</v>
      </c>
      <c r="C1128" s="177" t="s">
        <v>364</v>
      </c>
      <c r="D1128" s="177" t="s">
        <v>353</v>
      </c>
      <c r="E1128" s="177" t="s">
        <v>162</v>
      </c>
      <c r="F1128" s="177">
        <v>3</v>
      </c>
      <c r="G1128" s="177" t="s">
        <v>19</v>
      </c>
      <c r="H1128" s="177" t="s">
        <v>20</v>
      </c>
      <c r="I1128" s="177" t="s">
        <v>143</v>
      </c>
      <c r="J1128" s="177"/>
      <c r="K1128" s="177" t="s">
        <v>163</v>
      </c>
      <c r="L1128" s="177">
        <v>38</v>
      </c>
      <c r="M1128" s="177" t="s">
        <v>164</v>
      </c>
      <c r="N1128" s="178">
        <v>1320</v>
      </c>
      <c r="O1128" s="178">
        <v>1320</v>
      </c>
      <c r="P1128" s="392">
        <v>6000</v>
      </c>
      <c r="Q1128" s="177">
        <v>2</v>
      </c>
      <c r="R1128" s="177">
        <v>10</v>
      </c>
      <c r="S1128" s="177" t="s">
        <v>354</v>
      </c>
      <c r="T1128" s="179">
        <v>44763</v>
      </c>
      <c r="U1128" s="179">
        <v>44795</v>
      </c>
      <c r="V1128" s="177" t="s">
        <v>355</v>
      </c>
      <c r="W1128" s="177"/>
      <c r="X1128" s="177"/>
      <c r="Y1128" s="144"/>
    </row>
    <row r="1129" spans="1:25" ht="13.5" x14ac:dyDescent="0.15">
      <c r="A1129" s="177">
        <v>3671827</v>
      </c>
      <c r="B1129" s="177" t="s">
        <v>351</v>
      </c>
      <c r="C1129" s="177" t="s">
        <v>352</v>
      </c>
      <c r="D1129" s="177" t="s">
        <v>353</v>
      </c>
      <c r="E1129" s="177" t="s">
        <v>116</v>
      </c>
      <c r="F1129" s="177">
        <v>3</v>
      </c>
      <c r="G1129" s="177" t="s">
        <v>19</v>
      </c>
      <c r="H1129" s="177" t="s">
        <v>20</v>
      </c>
      <c r="I1129" s="177" t="s">
        <v>143</v>
      </c>
      <c r="J1129" s="177"/>
      <c r="K1129" s="177" t="s">
        <v>159</v>
      </c>
      <c r="L1129" s="177">
        <v>25</v>
      </c>
      <c r="M1129" s="177" t="s">
        <v>160</v>
      </c>
      <c r="N1129" s="178">
        <v>1005</v>
      </c>
      <c r="O1129" s="178">
        <v>1000</v>
      </c>
      <c r="P1129" s="392">
        <v>6000</v>
      </c>
      <c r="Q1129" s="177">
        <v>2</v>
      </c>
      <c r="R1129" s="177">
        <v>3</v>
      </c>
      <c r="S1129" s="177" t="s">
        <v>354</v>
      </c>
      <c r="T1129" s="179">
        <v>44763</v>
      </c>
      <c r="U1129" s="179">
        <v>44790</v>
      </c>
      <c r="V1129" s="177" t="s">
        <v>355</v>
      </c>
      <c r="W1129" s="177"/>
      <c r="X1129" s="177"/>
      <c r="Y1129" s="144"/>
    </row>
    <row r="1130" spans="1:25" ht="13.5" x14ac:dyDescent="0.15">
      <c r="A1130" s="177">
        <v>3674220</v>
      </c>
      <c r="B1130" s="177" t="s">
        <v>351</v>
      </c>
      <c r="C1130" s="177" t="s">
        <v>352</v>
      </c>
      <c r="D1130" s="177" t="s">
        <v>353</v>
      </c>
      <c r="E1130" s="177" t="s">
        <v>116</v>
      </c>
      <c r="F1130" s="177">
        <v>3</v>
      </c>
      <c r="G1130" s="177" t="s">
        <v>19</v>
      </c>
      <c r="H1130" s="177" t="s">
        <v>20</v>
      </c>
      <c r="I1130" s="177" t="s">
        <v>143</v>
      </c>
      <c r="J1130" s="177"/>
      <c r="K1130" s="177" t="s">
        <v>144</v>
      </c>
      <c r="L1130" s="177">
        <v>50</v>
      </c>
      <c r="M1130" s="177" t="s">
        <v>145</v>
      </c>
      <c r="N1130" s="178">
        <v>1002</v>
      </c>
      <c r="O1130" s="178">
        <v>1000</v>
      </c>
      <c r="P1130" s="392">
        <v>6000</v>
      </c>
      <c r="Q1130" s="177">
        <v>2</v>
      </c>
      <c r="R1130" s="177">
        <v>9</v>
      </c>
      <c r="S1130" s="177" t="s">
        <v>354</v>
      </c>
      <c r="T1130" s="179">
        <v>44782</v>
      </c>
      <c r="U1130" s="179">
        <v>44834</v>
      </c>
      <c r="V1130" s="177" t="s">
        <v>355</v>
      </c>
      <c r="W1130" s="177"/>
      <c r="X1130" s="177"/>
      <c r="Y1130" s="144"/>
    </row>
    <row r="1131" spans="1:25" ht="13.5" x14ac:dyDescent="0.15">
      <c r="A1131" s="177">
        <v>3675580</v>
      </c>
      <c r="B1131" s="177" t="s">
        <v>351</v>
      </c>
      <c r="C1131" s="177" t="s">
        <v>358</v>
      </c>
      <c r="D1131" s="177" t="s">
        <v>353</v>
      </c>
      <c r="E1131" s="177" t="s">
        <v>373</v>
      </c>
      <c r="F1131" s="177">
        <v>3</v>
      </c>
      <c r="G1131" s="177" t="s">
        <v>19</v>
      </c>
      <c r="H1131" s="177" t="s">
        <v>20</v>
      </c>
      <c r="I1131" s="177" t="s">
        <v>21</v>
      </c>
      <c r="J1131" s="177"/>
      <c r="K1131" s="177" t="s">
        <v>80</v>
      </c>
      <c r="L1131" s="177">
        <v>31</v>
      </c>
      <c r="M1131" s="177" t="s">
        <v>374</v>
      </c>
      <c r="N1131" s="178">
        <v>440</v>
      </c>
      <c r="O1131" s="178">
        <v>440</v>
      </c>
      <c r="P1131" s="392">
        <v>6000</v>
      </c>
      <c r="Q1131" s="177">
        <v>1</v>
      </c>
      <c r="R1131" s="177">
        <v>42</v>
      </c>
      <c r="S1131" s="177" t="s">
        <v>354</v>
      </c>
      <c r="T1131" s="179">
        <v>44795</v>
      </c>
      <c r="U1131" s="179">
        <v>44811</v>
      </c>
      <c r="V1131" s="177" t="s">
        <v>355</v>
      </c>
      <c r="W1131" s="177"/>
      <c r="X1131" s="177"/>
      <c r="Y1131" s="144"/>
    </row>
    <row r="1132" spans="1:25" ht="13.5" x14ac:dyDescent="0.15">
      <c r="A1132" s="177">
        <v>3675581</v>
      </c>
      <c r="B1132" s="177" t="s">
        <v>351</v>
      </c>
      <c r="C1132" s="177" t="s">
        <v>358</v>
      </c>
      <c r="D1132" s="177" t="s">
        <v>353</v>
      </c>
      <c r="E1132" s="177" t="s">
        <v>362</v>
      </c>
      <c r="F1132" s="177">
        <v>3</v>
      </c>
      <c r="G1132" s="177" t="s">
        <v>19</v>
      </c>
      <c r="H1132" s="177" t="s">
        <v>20</v>
      </c>
      <c r="I1132" s="177" t="s">
        <v>21</v>
      </c>
      <c r="J1132" s="177"/>
      <c r="K1132" s="177" t="s">
        <v>88</v>
      </c>
      <c r="L1132" s="177">
        <v>188</v>
      </c>
      <c r="M1132" s="177" t="s">
        <v>361</v>
      </c>
      <c r="N1132" s="178">
        <v>1130</v>
      </c>
      <c r="O1132" s="178">
        <v>1130</v>
      </c>
      <c r="P1132" s="392">
        <v>6000</v>
      </c>
      <c r="Q1132" s="177">
        <v>2</v>
      </c>
      <c r="R1132" s="177">
        <v>20</v>
      </c>
      <c r="S1132" s="177" t="s">
        <v>354</v>
      </c>
      <c r="T1132" s="179">
        <v>44795</v>
      </c>
      <c r="U1132" s="179">
        <v>44811</v>
      </c>
      <c r="V1132" s="177" t="s">
        <v>355</v>
      </c>
      <c r="W1132" s="177"/>
      <c r="X1132" s="177"/>
      <c r="Y1132" s="144"/>
    </row>
    <row r="1133" spans="1:25" ht="13.5" x14ac:dyDescent="0.15">
      <c r="A1133" s="177">
        <v>3675582</v>
      </c>
      <c r="B1133" s="177" t="s">
        <v>351</v>
      </c>
      <c r="C1133" s="177" t="s">
        <v>356</v>
      </c>
      <c r="D1133" s="177" t="s">
        <v>353</v>
      </c>
      <c r="E1133" s="177" t="s">
        <v>83</v>
      </c>
      <c r="F1133" s="177" t="s">
        <v>86</v>
      </c>
      <c r="G1133" s="177" t="s">
        <v>19</v>
      </c>
      <c r="H1133" s="177" t="s">
        <v>20</v>
      </c>
      <c r="I1133" s="177" t="s">
        <v>21</v>
      </c>
      <c r="J1133" s="177"/>
      <c r="K1133" s="177" t="s">
        <v>84</v>
      </c>
      <c r="L1133" s="177">
        <v>38</v>
      </c>
      <c r="M1133" s="177" t="s">
        <v>85</v>
      </c>
      <c r="N1133" s="178">
        <v>1265</v>
      </c>
      <c r="O1133" s="178">
        <v>1265</v>
      </c>
      <c r="P1133" s="392">
        <v>6000</v>
      </c>
      <c r="Q1133" s="177">
        <v>2</v>
      </c>
      <c r="R1133" s="177">
        <v>3</v>
      </c>
      <c r="S1133" s="177" t="s">
        <v>354</v>
      </c>
      <c r="T1133" s="179">
        <v>44795</v>
      </c>
      <c r="U1133" s="179">
        <v>44811</v>
      </c>
      <c r="V1133" s="177" t="s">
        <v>355</v>
      </c>
      <c r="W1133" s="177"/>
      <c r="X1133" s="177"/>
      <c r="Y1133" s="144"/>
    </row>
    <row r="1134" spans="1:25" ht="13.5" x14ac:dyDescent="0.15">
      <c r="A1134" s="177">
        <v>3675583</v>
      </c>
      <c r="B1134" s="177" t="s">
        <v>351</v>
      </c>
      <c r="C1134" s="177" t="s">
        <v>356</v>
      </c>
      <c r="D1134" s="177" t="s">
        <v>353</v>
      </c>
      <c r="E1134" s="177"/>
      <c r="F1134" s="177">
        <v>3</v>
      </c>
      <c r="G1134" s="177" t="s">
        <v>19</v>
      </c>
      <c r="H1134" s="177" t="s">
        <v>20</v>
      </c>
      <c r="I1134" s="177" t="s">
        <v>21</v>
      </c>
      <c r="J1134" s="177"/>
      <c r="K1134" s="177" t="s">
        <v>88</v>
      </c>
      <c r="L1134" s="177">
        <v>125</v>
      </c>
      <c r="M1134" s="177" t="s">
        <v>361</v>
      </c>
      <c r="N1134" s="178">
        <v>200</v>
      </c>
      <c r="O1134" s="178">
        <v>200</v>
      </c>
      <c r="P1134" s="392">
        <v>6000</v>
      </c>
      <c r="Q1134" s="177">
        <v>1</v>
      </c>
      <c r="R1134" s="177">
        <v>30</v>
      </c>
      <c r="S1134" s="177" t="s">
        <v>354</v>
      </c>
      <c r="T1134" s="179">
        <v>44795</v>
      </c>
      <c r="U1134" s="179">
        <v>44811</v>
      </c>
      <c r="V1134" s="177" t="s">
        <v>355</v>
      </c>
      <c r="W1134" s="177"/>
      <c r="X1134" s="177"/>
      <c r="Y1134" s="144"/>
    </row>
    <row r="1135" spans="1:25" ht="13.5" x14ac:dyDescent="0.15">
      <c r="A1135" s="177">
        <v>3675584</v>
      </c>
      <c r="B1135" s="177" t="s">
        <v>351</v>
      </c>
      <c r="C1135" s="177" t="s">
        <v>358</v>
      </c>
      <c r="D1135" s="177" t="s">
        <v>353</v>
      </c>
      <c r="E1135" s="177" t="s">
        <v>90</v>
      </c>
      <c r="F1135" s="177">
        <v>3</v>
      </c>
      <c r="G1135" s="177" t="s">
        <v>19</v>
      </c>
      <c r="H1135" s="177" t="s">
        <v>20</v>
      </c>
      <c r="I1135" s="177" t="s">
        <v>21</v>
      </c>
      <c r="J1135" s="177"/>
      <c r="K1135" s="177" t="s">
        <v>88</v>
      </c>
      <c r="L1135" s="177">
        <v>75</v>
      </c>
      <c r="M1135" s="177" t="s">
        <v>361</v>
      </c>
      <c r="N1135" s="178">
        <v>620</v>
      </c>
      <c r="O1135" s="178">
        <v>620</v>
      </c>
      <c r="P1135" s="392">
        <v>6000</v>
      </c>
      <c r="Q1135" s="177">
        <v>2</v>
      </c>
      <c r="R1135" s="177">
        <v>36</v>
      </c>
      <c r="S1135" s="177" t="s">
        <v>354</v>
      </c>
      <c r="T1135" s="179">
        <v>44795</v>
      </c>
      <c r="U1135" s="179">
        <v>44811</v>
      </c>
      <c r="V1135" s="177" t="s">
        <v>355</v>
      </c>
      <c r="W1135" s="177"/>
      <c r="X1135" s="177"/>
      <c r="Y1135" s="144"/>
    </row>
    <row r="1136" spans="1:25" ht="13.5" x14ac:dyDescent="0.15">
      <c r="A1136" s="177">
        <v>3675585</v>
      </c>
      <c r="B1136" s="177" t="s">
        <v>351</v>
      </c>
      <c r="C1136" s="177" t="s">
        <v>358</v>
      </c>
      <c r="D1136" s="177" t="s">
        <v>353</v>
      </c>
      <c r="E1136" s="177" t="s">
        <v>95</v>
      </c>
      <c r="F1136" s="177" t="s">
        <v>96</v>
      </c>
      <c r="G1136" s="177" t="s">
        <v>19</v>
      </c>
      <c r="H1136" s="177" t="s">
        <v>20</v>
      </c>
      <c r="I1136" s="177" t="s">
        <v>21</v>
      </c>
      <c r="J1136" s="177"/>
      <c r="K1136" s="177" t="s">
        <v>88</v>
      </c>
      <c r="L1136" s="177">
        <v>188</v>
      </c>
      <c r="M1136" s="177" t="s">
        <v>361</v>
      </c>
      <c r="N1136" s="178">
        <v>360</v>
      </c>
      <c r="O1136" s="178">
        <v>360</v>
      </c>
      <c r="P1136" s="392">
        <v>6000</v>
      </c>
      <c r="Q1136" s="177">
        <v>2</v>
      </c>
      <c r="R1136" s="177">
        <v>105</v>
      </c>
      <c r="S1136" s="177" t="s">
        <v>354</v>
      </c>
      <c r="T1136" s="179">
        <v>44795</v>
      </c>
      <c r="U1136" s="179">
        <v>44811</v>
      </c>
      <c r="V1136" s="177" t="s">
        <v>355</v>
      </c>
      <c r="W1136" s="177"/>
      <c r="X1136" s="177"/>
      <c r="Y1136" s="144"/>
    </row>
    <row r="1137" spans="1:25" ht="13.5" x14ac:dyDescent="0.15">
      <c r="A1137" s="177">
        <v>3675586</v>
      </c>
      <c r="B1137" s="177" t="s">
        <v>351</v>
      </c>
      <c r="C1137" s="177" t="s">
        <v>358</v>
      </c>
      <c r="D1137" s="177" t="s">
        <v>353</v>
      </c>
      <c r="E1137" s="177" t="s">
        <v>362</v>
      </c>
      <c r="F1137" s="177">
        <v>3</v>
      </c>
      <c r="G1137" s="177" t="s">
        <v>19</v>
      </c>
      <c r="H1137" s="177" t="s">
        <v>20</v>
      </c>
      <c r="I1137" s="177" t="s">
        <v>21</v>
      </c>
      <c r="J1137" s="177"/>
      <c r="K1137" s="177" t="s">
        <v>88</v>
      </c>
      <c r="L1137" s="177">
        <v>100</v>
      </c>
      <c r="M1137" s="177" t="s">
        <v>361</v>
      </c>
      <c r="N1137" s="178">
        <v>330</v>
      </c>
      <c r="O1137" s="178">
        <v>330</v>
      </c>
      <c r="P1137" s="392">
        <v>6000</v>
      </c>
      <c r="Q1137" s="177">
        <v>1</v>
      </c>
      <c r="R1137" s="177">
        <v>36</v>
      </c>
      <c r="S1137" s="177" t="s">
        <v>354</v>
      </c>
      <c r="T1137" s="179">
        <v>44795</v>
      </c>
      <c r="U1137" s="179">
        <v>44811</v>
      </c>
      <c r="V1137" s="177" t="s">
        <v>355</v>
      </c>
      <c r="W1137" s="177"/>
      <c r="X1137" s="177"/>
      <c r="Y1137" s="144"/>
    </row>
    <row r="1138" spans="1:25" ht="13.5" x14ac:dyDescent="0.15">
      <c r="A1138" s="177">
        <v>3675587</v>
      </c>
      <c r="B1138" s="177" t="s">
        <v>351</v>
      </c>
      <c r="C1138" s="177" t="s">
        <v>358</v>
      </c>
      <c r="D1138" s="177" t="s">
        <v>353</v>
      </c>
      <c r="E1138" s="177" t="s">
        <v>362</v>
      </c>
      <c r="F1138" s="177">
        <v>3</v>
      </c>
      <c r="G1138" s="177" t="s">
        <v>19</v>
      </c>
      <c r="H1138" s="177" t="s">
        <v>20</v>
      </c>
      <c r="I1138" s="177" t="s">
        <v>21</v>
      </c>
      <c r="J1138" s="177"/>
      <c r="K1138" s="177" t="s">
        <v>88</v>
      </c>
      <c r="L1138" s="177">
        <v>125</v>
      </c>
      <c r="M1138" s="177" t="s">
        <v>361</v>
      </c>
      <c r="N1138" s="178">
        <v>150</v>
      </c>
      <c r="O1138" s="178">
        <v>150</v>
      </c>
      <c r="P1138" s="392">
        <v>6000</v>
      </c>
      <c r="Q1138" s="177">
        <v>1</v>
      </c>
      <c r="R1138" s="177">
        <v>128</v>
      </c>
      <c r="S1138" s="177" t="s">
        <v>354</v>
      </c>
      <c r="T1138" s="179">
        <v>44795</v>
      </c>
      <c r="U1138" s="179">
        <v>44811</v>
      </c>
      <c r="V1138" s="177" t="s">
        <v>355</v>
      </c>
      <c r="W1138" s="177"/>
      <c r="X1138" s="177"/>
      <c r="Y1138" s="144"/>
    </row>
    <row r="1139" spans="1:25" ht="13.5" x14ac:dyDescent="0.15">
      <c r="A1139" s="177">
        <v>3675588</v>
      </c>
      <c r="B1139" s="177" t="s">
        <v>351</v>
      </c>
      <c r="C1139" s="177" t="s">
        <v>364</v>
      </c>
      <c r="D1139" s="177" t="s">
        <v>353</v>
      </c>
      <c r="E1139" s="177" t="s">
        <v>93</v>
      </c>
      <c r="F1139" s="177">
        <v>331</v>
      </c>
      <c r="G1139" s="177" t="s">
        <v>19</v>
      </c>
      <c r="H1139" s="177" t="s">
        <v>20</v>
      </c>
      <c r="I1139" s="177" t="s">
        <v>21</v>
      </c>
      <c r="J1139" s="177"/>
      <c r="K1139" s="177" t="s">
        <v>88</v>
      </c>
      <c r="L1139" s="177">
        <v>100</v>
      </c>
      <c r="M1139" s="177" t="s">
        <v>361</v>
      </c>
      <c r="N1139" s="178">
        <v>450</v>
      </c>
      <c r="O1139" s="178">
        <v>450</v>
      </c>
      <c r="P1139" s="392">
        <v>6000</v>
      </c>
      <c r="Q1139" s="177">
        <v>2</v>
      </c>
      <c r="R1139" s="177">
        <v>12</v>
      </c>
      <c r="S1139" s="177" t="s">
        <v>354</v>
      </c>
      <c r="T1139" s="179">
        <v>44795</v>
      </c>
      <c r="U1139" s="179">
        <v>44811</v>
      </c>
      <c r="V1139" s="177" t="s">
        <v>355</v>
      </c>
      <c r="W1139" s="177"/>
      <c r="X1139" s="177"/>
      <c r="Y1139" s="144"/>
    </row>
    <row r="1140" spans="1:25" ht="13.5" x14ac:dyDescent="0.15">
      <c r="A1140" s="177">
        <v>3675589</v>
      </c>
      <c r="B1140" s="177" t="s">
        <v>351</v>
      </c>
      <c r="C1140" s="177" t="s">
        <v>364</v>
      </c>
      <c r="D1140" s="177" t="s">
        <v>353</v>
      </c>
      <c r="E1140" s="177" t="s">
        <v>93</v>
      </c>
      <c r="F1140" s="177">
        <v>331</v>
      </c>
      <c r="G1140" s="177" t="s">
        <v>19</v>
      </c>
      <c r="H1140" s="177" t="s">
        <v>20</v>
      </c>
      <c r="I1140" s="177" t="s">
        <v>21</v>
      </c>
      <c r="J1140" s="177"/>
      <c r="K1140" s="177" t="s">
        <v>88</v>
      </c>
      <c r="L1140" s="177">
        <v>100</v>
      </c>
      <c r="M1140" s="177" t="s">
        <v>361</v>
      </c>
      <c r="N1140" s="178">
        <v>450</v>
      </c>
      <c r="O1140" s="178">
        <v>450</v>
      </c>
      <c r="P1140" s="392">
        <v>6000</v>
      </c>
      <c r="Q1140" s="177">
        <v>2</v>
      </c>
      <c r="R1140" s="177">
        <v>24</v>
      </c>
      <c r="S1140" s="177" t="s">
        <v>354</v>
      </c>
      <c r="T1140" s="179">
        <v>44795</v>
      </c>
      <c r="U1140" s="179">
        <v>44811</v>
      </c>
      <c r="V1140" s="177" t="s">
        <v>355</v>
      </c>
      <c r="W1140" s="177"/>
      <c r="X1140" s="177"/>
      <c r="Y1140" s="144"/>
    </row>
    <row r="1141" spans="1:25" ht="13.5" x14ac:dyDescent="0.15">
      <c r="A1141" s="177">
        <v>3675590</v>
      </c>
      <c r="B1141" s="177" t="s">
        <v>351</v>
      </c>
      <c r="C1141" s="177" t="s">
        <v>356</v>
      </c>
      <c r="D1141" s="177" t="s">
        <v>353</v>
      </c>
      <c r="E1141" s="177" t="s">
        <v>32</v>
      </c>
      <c r="F1141" s="177">
        <v>331</v>
      </c>
      <c r="G1141" s="177" t="s">
        <v>19</v>
      </c>
      <c r="H1141" s="177" t="s">
        <v>20</v>
      </c>
      <c r="I1141" s="177" t="s">
        <v>21</v>
      </c>
      <c r="J1141" s="177"/>
      <c r="K1141" s="177" t="s">
        <v>33</v>
      </c>
      <c r="L1141" s="177">
        <v>38</v>
      </c>
      <c r="M1141" s="177" t="s">
        <v>30</v>
      </c>
      <c r="N1141" s="178">
        <v>1580</v>
      </c>
      <c r="O1141" s="178">
        <v>1580</v>
      </c>
      <c r="P1141" s="392">
        <v>6000</v>
      </c>
      <c r="Q1141" s="177">
        <v>2</v>
      </c>
      <c r="R1141" s="177">
        <v>6</v>
      </c>
      <c r="S1141" s="177" t="s">
        <v>354</v>
      </c>
      <c r="T1141" s="179">
        <v>44795</v>
      </c>
      <c r="U1141" s="179">
        <v>44813</v>
      </c>
      <c r="V1141" s="177" t="s">
        <v>355</v>
      </c>
      <c r="W1141" s="177"/>
      <c r="X1141" s="177"/>
      <c r="Y1141" s="144"/>
    </row>
    <row r="1142" spans="1:25" ht="13.5" x14ac:dyDescent="0.15">
      <c r="A1142" s="177">
        <v>3675591</v>
      </c>
      <c r="B1142" s="177" t="s">
        <v>351</v>
      </c>
      <c r="C1142" s="177" t="s">
        <v>356</v>
      </c>
      <c r="D1142" s="177" t="s">
        <v>353</v>
      </c>
      <c r="E1142" s="177" t="s">
        <v>32</v>
      </c>
      <c r="F1142" s="177">
        <v>331</v>
      </c>
      <c r="G1142" s="177" t="s">
        <v>19</v>
      </c>
      <c r="H1142" s="177" t="s">
        <v>20</v>
      </c>
      <c r="I1142" s="177" t="s">
        <v>21</v>
      </c>
      <c r="J1142" s="177"/>
      <c r="K1142" s="177" t="s">
        <v>33</v>
      </c>
      <c r="L1142" s="177">
        <v>25</v>
      </c>
      <c r="M1142" s="177" t="s">
        <v>30</v>
      </c>
      <c r="N1142" s="178">
        <v>1330</v>
      </c>
      <c r="O1142" s="178">
        <v>1330</v>
      </c>
      <c r="P1142" s="392">
        <v>6000</v>
      </c>
      <c r="Q1142" s="177">
        <v>2</v>
      </c>
      <c r="R1142" s="177">
        <v>8</v>
      </c>
      <c r="S1142" s="177" t="s">
        <v>354</v>
      </c>
      <c r="T1142" s="179">
        <v>44795</v>
      </c>
      <c r="U1142" s="179">
        <v>44813</v>
      </c>
      <c r="V1142" s="177" t="s">
        <v>355</v>
      </c>
      <c r="W1142" s="177"/>
      <c r="X1142" s="177"/>
      <c r="Y1142" s="144"/>
    </row>
    <row r="1143" spans="1:25" ht="13.5" x14ac:dyDescent="0.15">
      <c r="A1143" s="177">
        <v>3675592</v>
      </c>
      <c r="B1143" s="177" t="s">
        <v>351</v>
      </c>
      <c r="C1143" s="177" t="s">
        <v>356</v>
      </c>
      <c r="D1143" s="177" t="s">
        <v>353</v>
      </c>
      <c r="E1143" s="177" t="s">
        <v>32</v>
      </c>
      <c r="F1143" s="177">
        <v>331</v>
      </c>
      <c r="G1143" s="177" t="s">
        <v>19</v>
      </c>
      <c r="H1143" s="177" t="s">
        <v>20</v>
      </c>
      <c r="I1143" s="177" t="s">
        <v>21</v>
      </c>
      <c r="J1143" s="177"/>
      <c r="K1143" s="177" t="s">
        <v>33</v>
      </c>
      <c r="L1143" s="177">
        <v>38</v>
      </c>
      <c r="M1143" s="177" t="s">
        <v>30</v>
      </c>
      <c r="N1143" s="178">
        <v>1330</v>
      </c>
      <c r="O1143" s="178">
        <v>1330</v>
      </c>
      <c r="P1143" s="392">
        <v>6000</v>
      </c>
      <c r="Q1143" s="177">
        <v>2</v>
      </c>
      <c r="R1143" s="177">
        <v>10</v>
      </c>
      <c r="S1143" s="177" t="s">
        <v>354</v>
      </c>
      <c r="T1143" s="179">
        <v>44795</v>
      </c>
      <c r="U1143" s="179">
        <v>44813</v>
      </c>
      <c r="V1143" s="177" t="s">
        <v>355</v>
      </c>
      <c r="W1143" s="177"/>
      <c r="X1143" s="177"/>
      <c r="Y1143" s="144"/>
    </row>
    <row r="1144" spans="1:25" ht="13.5" x14ac:dyDescent="0.15">
      <c r="A1144" s="177">
        <v>3675593</v>
      </c>
      <c r="B1144" s="177" t="s">
        <v>351</v>
      </c>
      <c r="C1144" s="177" t="s">
        <v>356</v>
      </c>
      <c r="D1144" s="177" t="s">
        <v>353</v>
      </c>
      <c r="E1144" s="177" t="s">
        <v>17</v>
      </c>
      <c r="F1144" s="177">
        <v>3</v>
      </c>
      <c r="G1144" s="177" t="s">
        <v>19</v>
      </c>
      <c r="H1144" s="177" t="s">
        <v>20</v>
      </c>
      <c r="I1144" s="177" t="s">
        <v>21</v>
      </c>
      <c r="J1144" s="177"/>
      <c r="K1144" s="177" t="s">
        <v>22</v>
      </c>
      <c r="L1144" s="177">
        <v>38</v>
      </c>
      <c r="M1144" s="177" t="s">
        <v>23</v>
      </c>
      <c r="N1144" s="178">
        <v>1057</v>
      </c>
      <c r="O1144" s="178">
        <v>1050</v>
      </c>
      <c r="P1144" s="392">
        <v>6000</v>
      </c>
      <c r="Q1144" s="177">
        <v>2</v>
      </c>
      <c r="R1144" s="177">
        <v>10</v>
      </c>
      <c r="S1144" s="177" t="s">
        <v>354</v>
      </c>
      <c r="T1144" s="179">
        <v>44795</v>
      </c>
      <c r="U1144" s="179">
        <v>44813</v>
      </c>
      <c r="V1144" s="177" t="s">
        <v>355</v>
      </c>
      <c r="W1144" s="177"/>
      <c r="X1144" s="177"/>
      <c r="Y1144" s="144"/>
    </row>
    <row r="1145" spans="1:25" ht="13.5" x14ac:dyDescent="0.15">
      <c r="A1145" s="177">
        <v>3675594</v>
      </c>
      <c r="B1145" s="177" t="s">
        <v>351</v>
      </c>
      <c r="C1145" s="177" t="s">
        <v>356</v>
      </c>
      <c r="D1145" s="177" t="s">
        <v>353</v>
      </c>
      <c r="E1145" s="177" t="s">
        <v>17</v>
      </c>
      <c r="F1145" s="177">
        <v>3</v>
      </c>
      <c r="G1145" s="177" t="s">
        <v>19</v>
      </c>
      <c r="H1145" s="177" t="s">
        <v>20</v>
      </c>
      <c r="I1145" s="177" t="s">
        <v>21</v>
      </c>
      <c r="J1145" s="177"/>
      <c r="K1145" s="177" t="s">
        <v>22</v>
      </c>
      <c r="L1145" s="177">
        <v>38</v>
      </c>
      <c r="M1145" s="177" t="s">
        <v>23</v>
      </c>
      <c r="N1145" s="178">
        <v>1037</v>
      </c>
      <c r="O1145" s="178">
        <v>1030</v>
      </c>
      <c r="P1145" s="392">
        <v>6000</v>
      </c>
      <c r="Q1145" s="177">
        <v>2</v>
      </c>
      <c r="R1145" s="177">
        <v>40</v>
      </c>
      <c r="S1145" s="177" t="s">
        <v>354</v>
      </c>
      <c r="T1145" s="179">
        <v>44795</v>
      </c>
      <c r="U1145" s="179">
        <v>44813</v>
      </c>
      <c r="V1145" s="177" t="s">
        <v>355</v>
      </c>
      <c r="W1145" s="177"/>
      <c r="X1145" s="177"/>
      <c r="Y1145" s="144"/>
    </row>
    <row r="1146" spans="1:25" ht="13.5" x14ac:dyDescent="0.15">
      <c r="A1146" s="177">
        <v>3675595</v>
      </c>
      <c r="B1146" s="177" t="s">
        <v>351</v>
      </c>
      <c r="C1146" s="177" t="s">
        <v>356</v>
      </c>
      <c r="D1146" s="177" t="s">
        <v>353</v>
      </c>
      <c r="E1146" s="177" t="s">
        <v>377</v>
      </c>
      <c r="F1146" s="177">
        <v>3</v>
      </c>
      <c r="G1146" s="177" t="s">
        <v>19</v>
      </c>
      <c r="H1146" s="177" t="s">
        <v>20</v>
      </c>
      <c r="I1146" s="177" t="s">
        <v>21</v>
      </c>
      <c r="J1146" s="177"/>
      <c r="K1146" s="177" t="s">
        <v>36</v>
      </c>
      <c r="L1146" s="177">
        <v>25</v>
      </c>
      <c r="M1146" s="177" t="s">
        <v>37</v>
      </c>
      <c r="N1146" s="178">
        <v>890</v>
      </c>
      <c r="O1146" s="178">
        <v>890</v>
      </c>
      <c r="P1146" s="392">
        <v>6000</v>
      </c>
      <c r="Q1146" s="177">
        <v>2</v>
      </c>
      <c r="R1146" s="177">
        <v>3</v>
      </c>
      <c r="S1146" s="177" t="s">
        <v>354</v>
      </c>
      <c r="T1146" s="179">
        <v>44795</v>
      </c>
      <c r="U1146" s="179">
        <v>44813</v>
      </c>
      <c r="V1146" s="177" t="s">
        <v>355</v>
      </c>
      <c r="W1146" s="177"/>
      <c r="X1146" s="177"/>
      <c r="Y1146" s="144"/>
    </row>
    <row r="1147" spans="1:25" ht="13.5" x14ac:dyDescent="0.15">
      <c r="A1147" s="177">
        <v>3675596</v>
      </c>
      <c r="B1147" s="177" t="s">
        <v>351</v>
      </c>
      <c r="C1147" s="177" t="s">
        <v>364</v>
      </c>
      <c r="D1147" s="177" t="s">
        <v>353</v>
      </c>
      <c r="E1147" s="177" t="s">
        <v>371</v>
      </c>
      <c r="F1147" s="177">
        <v>3</v>
      </c>
      <c r="G1147" s="177" t="s">
        <v>19</v>
      </c>
      <c r="H1147" s="177" t="s">
        <v>20</v>
      </c>
      <c r="I1147" s="177" t="s">
        <v>21</v>
      </c>
      <c r="J1147" s="177"/>
      <c r="K1147" s="177" t="s">
        <v>118</v>
      </c>
      <c r="L1147" s="177">
        <v>25</v>
      </c>
      <c r="M1147" s="177" t="s">
        <v>119</v>
      </c>
      <c r="N1147" s="178">
        <v>1425</v>
      </c>
      <c r="O1147" s="178">
        <v>1420</v>
      </c>
      <c r="P1147" s="392">
        <v>6000</v>
      </c>
      <c r="Q1147" s="177">
        <v>2</v>
      </c>
      <c r="R1147" s="177">
        <v>4</v>
      </c>
      <c r="S1147" s="177" t="s">
        <v>354</v>
      </c>
      <c r="T1147" s="179">
        <v>44795</v>
      </c>
      <c r="U1147" s="179">
        <v>44819</v>
      </c>
      <c r="V1147" s="177" t="s">
        <v>355</v>
      </c>
      <c r="W1147" s="177"/>
      <c r="X1147" s="177"/>
      <c r="Y1147" s="144"/>
    </row>
    <row r="1148" spans="1:25" ht="13.5" x14ac:dyDescent="0.15">
      <c r="A1148" s="177">
        <v>3675598</v>
      </c>
      <c r="B1148" s="177" t="s">
        <v>351</v>
      </c>
      <c r="C1148" s="177" t="s">
        <v>356</v>
      </c>
      <c r="D1148" s="177" t="s">
        <v>353</v>
      </c>
      <c r="E1148" s="177" t="s">
        <v>106</v>
      </c>
      <c r="F1148" s="177">
        <v>3</v>
      </c>
      <c r="G1148" s="177" t="s">
        <v>19</v>
      </c>
      <c r="H1148" s="177" t="s">
        <v>20</v>
      </c>
      <c r="I1148" s="177" t="s">
        <v>21</v>
      </c>
      <c r="J1148" s="177"/>
      <c r="K1148" s="177" t="s">
        <v>107</v>
      </c>
      <c r="L1148" s="177">
        <v>25</v>
      </c>
      <c r="M1148" s="177" t="s">
        <v>367</v>
      </c>
      <c r="N1148" s="178">
        <v>1240</v>
      </c>
      <c r="O1148" s="178">
        <v>1240</v>
      </c>
      <c r="P1148" s="392">
        <v>6000</v>
      </c>
      <c r="Q1148" s="177">
        <v>2</v>
      </c>
      <c r="R1148" s="177">
        <v>40</v>
      </c>
      <c r="S1148" s="177" t="s">
        <v>354</v>
      </c>
      <c r="T1148" s="179">
        <v>44795</v>
      </c>
      <c r="U1148" s="179">
        <v>44819</v>
      </c>
      <c r="V1148" s="177" t="s">
        <v>355</v>
      </c>
      <c r="W1148" s="177"/>
      <c r="X1148" s="177"/>
      <c r="Y1148" s="144"/>
    </row>
    <row r="1149" spans="1:25" ht="13.5" x14ac:dyDescent="0.15">
      <c r="A1149" s="177">
        <v>3675599</v>
      </c>
      <c r="B1149" s="177" t="s">
        <v>351</v>
      </c>
      <c r="C1149" s="177" t="s">
        <v>356</v>
      </c>
      <c r="D1149" s="177" t="s">
        <v>353</v>
      </c>
      <c r="E1149" s="177" t="s">
        <v>115</v>
      </c>
      <c r="F1149" s="177">
        <v>3</v>
      </c>
      <c r="G1149" s="177" t="s">
        <v>19</v>
      </c>
      <c r="H1149" s="177" t="s">
        <v>20</v>
      </c>
      <c r="I1149" s="177" t="s">
        <v>21</v>
      </c>
      <c r="J1149" s="177"/>
      <c r="K1149" s="177" t="s">
        <v>112</v>
      </c>
      <c r="L1149" s="177">
        <v>38</v>
      </c>
      <c r="M1149" s="177" t="s">
        <v>357</v>
      </c>
      <c r="N1149" s="178">
        <v>1135</v>
      </c>
      <c r="O1149" s="178">
        <v>1130</v>
      </c>
      <c r="P1149" s="392">
        <v>6000</v>
      </c>
      <c r="Q1149" s="177">
        <v>2</v>
      </c>
      <c r="R1149" s="177">
        <v>2</v>
      </c>
      <c r="S1149" s="177" t="s">
        <v>354</v>
      </c>
      <c r="T1149" s="179">
        <v>44795</v>
      </c>
      <c r="U1149" s="179">
        <v>44819</v>
      </c>
      <c r="V1149" s="177" t="s">
        <v>355</v>
      </c>
      <c r="W1149" s="177"/>
      <c r="X1149" s="177"/>
      <c r="Y1149" s="144"/>
    </row>
    <row r="1150" spans="1:25" ht="13.5" x14ac:dyDescent="0.15">
      <c r="A1150" s="177">
        <v>3675600</v>
      </c>
      <c r="B1150" s="177" t="s">
        <v>351</v>
      </c>
      <c r="C1150" s="177" t="s">
        <v>352</v>
      </c>
      <c r="D1150" s="177" t="s">
        <v>353</v>
      </c>
      <c r="E1150" s="177" t="s">
        <v>116</v>
      </c>
      <c r="F1150" s="177">
        <v>3</v>
      </c>
      <c r="G1150" s="177" t="s">
        <v>19</v>
      </c>
      <c r="H1150" s="177" t="s">
        <v>20</v>
      </c>
      <c r="I1150" s="177" t="s">
        <v>21</v>
      </c>
      <c r="J1150" s="177"/>
      <c r="K1150" s="177" t="s">
        <v>118</v>
      </c>
      <c r="L1150" s="177">
        <v>38</v>
      </c>
      <c r="M1150" s="177" t="s">
        <v>368</v>
      </c>
      <c r="N1150" s="178">
        <v>1415</v>
      </c>
      <c r="O1150" s="178">
        <v>1410</v>
      </c>
      <c r="P1150" s="392">
        <v>6000</v>
      </c>
      <c r="Q1150" s="177">
        <v>2</v>
      </c>
      <c r="R1150" s="177">
        <v>16</v>
      </c>
      <c r="S1150" s="177" t="s">
        <v>354</v>
      </c>
      <c r="T1150" s="179">
        <v>44795</v>
      </c>
      <c r="U1150" s="179">
        <v>44819</v>
      </c>
      <c r="V1150" s="177" t="s">
        <v>355</v>
      </c>
      <c r="W1150" s="177"/>
      <c r="X1150" s="177"/>
      <c r="Y1150" s="144"/>
    </row>
    <row r="1151" spans="1:25" ht="13.5" x14ac:dyDescent="0.15">
      <c r="A1151" s="177">
        <v>3675601</v>
      </c>
      <c r="B1151" s="177" t="s">
        <v>351</v>
      </c>
      <c r="C1151" s="177" t="s">
        <v>356</v>
      </c>
      <c r="D1151" s="177" t="s">
        <v>353</v>
      </c>
      <c r="E1151" s="177" t="s">
        <v>32</v>
      </c>
      <c r="F1151" s="177">
        <v>331</v>
      </c>
      <c r="G1151" s="177" t="s">
        <v>19</v>
      </c>
      <c r="H1151" s="177" t="s">
        <v>20</v>
      </c>
      <c r="I1151" s="177" t="s">
        <v>21</v>
      </c>
      <c r="J1151" s="177"/>
      <c r="K1151" s="177" t="s">
        <v>54</v>
      </c>
      <c r="L1151" s="177">
        <v>38</v>
      </c>
      <c r="M1151" s="177" t="s">
        <v>53</v>
      </c>
      <c r="N1151" s="178">
        <v>1580</v>
      </c>
      <c r="O1151" s="178">
        <v>1580</v>
      </c>
      <c r="P1151" s="392">
        <v>6000</v>
      </c>
      <c r="Q1151" s="177">
        <v>2</v>
      </c>
      <c r="R1151" s="177">
        <v>6</v>
      </c>
      <c r="S1151" s="177" t="s">
        <v>354</v>
      </c>
      <c r="T1151" s="179">
        <v>44795</v>
      </c>
      <c r="U1151" s="179">
        <v>44824</v>
      </c>
      <c r="V1151" s="177" t="s">
        <v>355</v>
      </c>
      <c r="W1151" s="177"/>
      <c r="X1151" s="177"/>
      <c r="Y1151" s="144"/>
    </row>
    <row r="1152" spans="1:25" ht="13.5" x14ac:dyDescent="0.15">
      <c r="A1152" s="177">
        <v>3675602</v>
      </c>
      <c r="B1152" s="177" t="s">
        <v>351</v>
      </c>
      <c r="C1152" s="177" t="s">
        <v>356</v>
      </c>
      <c r="D1152" s="177" t="s">
        <v>353</v>
      </c>
      <c r="E1152" s="177" t="s">
        <v>32</v>
      </c>
      <c r="F1152" s="177">
        <v>331</v>
      </c>
      <c r="G1152" s="177" t="s">
        <v>19</v>
      </c>
      <c r="H1152" s="177" t="s">
        <v>20</v>
      </c>
      <c r="I1152" s="177" t="s">
        <v>21</v>
      </c>
      <c r="J1152" s="177"/>
      <c r="K1152" s="177" t="s">
        <v>54</v>
      </c>
      <c r="L1152" s="177">
        <v>38</v>
      </c>
      <c r="M1152" s="177" t="s">
        <v>53</v>
      </c>
      <c r="N1152" s="178">
        <v>1330</v>
      </c>
      <c r="O1152" s="178">
        <v>1330</v>
      </c>
      <c r="P1152" s="392">
        <v>6000</v>
      </c>
      <c r="Q1152" s="177">
        <v>2</v>
      </c>
      <c r="R1152" s="177">
        <v>2</v>
      </c>
      <c r="S1152" s="177" t="s">
        <v>354</v>
      </c>
      <c r="T1152" s="179">
        <v>44795</v>
      </c>
      <c r="U1152" s="179">
        <v>44824</v>
      </c>
      <c r="V1152" s="177" t="s">
        <v>355</v>
      </c>
      <c r="W1152" s="177"/>
      <c r="X1152" s="177"/>
      <c r="Y1152" s="144"/>
    </row>
    <row r="1153" spans="1:25" ht="13.5" x14ac:dyDescent="0.15">
      <c r="A1153" s="177">
        <v>3675603</v>
      </c>
      <c r="B1153" s="177" t="s">
        <v>351</v>
      </c>
      <c r="C1153" s="177" t="s">
        <v>356</v>
      </c>
      <c r="D1153" s="177" t="s">
        <v>353</v>
      </c>
      <c r="E1153" s="177" t="s">
        <v>17</v>
      </c>
      <c r="F1153" s="177">
        <v>331</v>
      </c>
      <c r="G1153" s="177" t="s">
        <v>19</v>
      </c>
      <c r="H1153" s="177" t="s">
        <v>20</v>
      </c>
      <c r="I1153" s="177" t="s">
        <v>21</v>
      </c>
      <c r="J1153" s="177"/>
      <c r="K1153" s="177" t="s">
        <v>52</v>
      </c>
      <c r="L1153" s="177">
        <v>38</v>
      </c>
      <c r="M1153" s="177" t="s">
        <v>53</v>
      </c>
      <c r="N1153" s="178">
        <v>1330</v>
      </c>
      <c r="O1153" s="178">
        <v>1330</v>
      </c>
      <c r="P1153" s="392">
        <v>6000</v>
      </c>
      <c r="Q1153" s="177">
        <v>2</v>
      </c>
      <c r="R1153" s="177">
        <v>60</v>
      </c>
      <c r="S1153" s="177" t="s">
        <v>354</v>
      </c>
      <c r="T1153" s="179">
        <v>44795</v>
      </c>
      <c r="U1153" s="179">
        <v>44824</v>
      </c>
      <c r="V1153" s="177" t="s">
        <v>355</v>
      </c>
      <c r="W1153" s="177"/>
      <c r="X1153" s="177"/>
      <c r="Y1153" s="144"/>
    </row>
    <row r="1154" spans="1:25" ht="13.5" x14ac:dyDescent="0.15">
      <c r="A1154" s="177">
        <v>3675604</v>
      </c>
      <c r="B1154" s="177" t="s">
        <v>351</v>
      </c>
      <c r="C1154" s="177" t="s">
        <v>358</v>
      </c>
      <c r="D1154" s="177" t="s">
        <v>353</v>
      </c>
      <c r="E1154" s="177" t="s">
        <v>369</v>
      </c>
      <c r="F1154" s="177">
        <v>3</v>
      </c>
      <c r="G1154" s="177" t="s">
        <v>19</v>
      </c>
      <c r="H1154" s="177" t="s">
        <v>20</v>
      </c>
      <c r="I1154" s="177" t="s">
        <v>21</v>
      </c>
      <c r="J1154" s="177"/>
      <c r="K1154" s="177" t="s">
        <v>47</v>
      </c>
      <c r="L1154" s="177">
        <v>38</v>
      </c>
      <c r="M1154" s="177" t="s">
        <v>53</v>
      </c>
      <c r="N1154" s="178">
        <v>535</v>
      </c>
      <c r="O1154" s="178">
        <v>535</v>
      </c>
      <c r="P1154" s="392">
        <v>6000</v>
      </c>
      <c r="Q1154" s="177">
        <v>2</v>
      </c>
      <c r="R1154" s="177">
        <v>20</v>
      </c>
      <c r="S1154" s="177" t="s">
        <v>354</v>
      </c>
      <c r="T1154" s="179">
        <v>44795</v>
      </c>
      <c r="U1154" s="179">
        <v>44824</v>
      </c>
      <c r="V1154" s="177" t="s">
        <v>355</v>
      </c>
      <c r="W1154" s="177"/>
      <c r="X1154" s="177"/>
      <c r="Y1154" s="144"/>
    </row>
    <row r="1155" spans="1:25" ht="13.5" x14ac:dyDescent="0.15">
      <c r="A1155" s="177">
        <v>3675606</v>
      </c>
      <c r="B1155" s="177" t="s">
        <v>351</v>
      </c>
      <c r="C1155" s="177" t="s">
        <v>364</v>
      </c>
      <c r="D1155" s="177" t="s">
        <v>353</v>
      </c>
      <c r="E1155" s="177" t="s">
        <v>371</v>
      </c>
      <c r="F1155" s="177">
        <v>3</v>
      </c>
      <c r="G1155" s="177" t="s">
        <v>19</v>
      </c>
      <c r="H1155" s="177" t="s">
        <v>28</v>
      </c>
      <c r="I1155" s="177" t="s">
        <v>21</v>
      </c>
      <c r="J1155" s="177"/>
      <c r="K1155" s="177" t="s">
        <v>465</v>
      </c>
      <c r="L1155" s="177">
        <v>75</v>
      </c>
      <c r="M1155" s="177" t="s">
        <v>466</v>
      </c>
      <c r="N1155" s="178">
        <v>1040</v>
      </c>
      <c r="O1155" s="178">
        <v>1040</v>
      </c>
      <c r="P1155" s="392">
        <v>6000</v>
      </c>
      <c r="Q1155" s="177">
        <v>1</v>
      </c>
      <c r="R1155" s="177">
        <v>1</v>
      </c>
      <c r="S1155" s="177" t="s">
        <v>354</v>
      </c>
      <c r="T1155" s="179">
        <v>44795</v>
      </c>
      <c r="U1155" s="179">
        <v>44824</v>
      </c>
      <c r="V1155" s="177" t="s">
        <v>355</v>
      </c>
      <c r="W1155" s="177"/>
      <c r="X1155" s="177"/>
      <c r="Y1155" s="144"/>
    </row>
    <row r="1156" spans="1:25" ht="13.5" x14ac:dyDescent="0.15">
      <c r="A1156" s="177">
        <v>3675607</v>
      </c>
      <c r="B1156" s="177" t="s">
        <v>351</v>
      </c>
      <c r="C1156" s="177" t="s">
        <v>363</v>
      </c>
      <c r="D1156" s="177" t="s">
        <v>353</v>
      </c>
      <c r="E1156" s="177" t="s">
        <v>65</v>
      </c>
      <c r="F1156" s="177">
        <v>3321</v>
      </c>
      <c r="G1156" s="177" t="s">
        <v>19</v>
      </c>
      <c r="H1156" s="177" t="s">
        <v>20</v>
      </c>
      <c r="I1156" s="177" t="s">
        <v>21</v>
      </c>
      <c r="J1156" s="177"/>
      <c r="K1156" s="177" t="s">
        <v>67</v>
      </c>
      <c r="L1156" s="177">
        <v>38</v>
      </c>
      <c r="M1156" s="177" t="s">
        <v>68</v>
      </c>
      <c r="N1156" s="178">
        <v>1336</v>
      </c>
      <c r="O1156" s="178">
        <v>1325</v>
      </c>
      <c r="P1156" s="392">
        <v>6000</v>
      </c>
      <c r="Q1156" s="177">
        <v>2</v>
      </c>
      <c r="R1156" s="177">
        <v>30</v>
      </c>
      <c r="S1156" s="177" t="s">
        <v>354</v>
      </c>
      <c r="T1156" s="179">
        <v>44795</v>
      </c>
      <c r="U1156" s="179">
        <v>44824</v>
      </c>
      <c r="V1156" s="177" t="s">
        <v>355</v>
      </c>
      <c r="W1156" s="177"/>
      <c r="X1156" s="177"/>
      <c r="Y1156" s="144"/>
    </row>
    <row r="1157" spans="1:25" ht="13.5" x14ac:dyDescent="0.15">
      <c r="A1157" s="177">
        <v>3675608</v>
      </c>
      <c r="B1157" s="177" t="s">
        <v>351</v>
      </c>
      <c r="C1157" s="177" t="s">
        <v>363</v>
      </c>
      <c r="D1157" s="177" t="s">
        <v>353</v>
      </c>
      <c r="E1157" s="177" t="s">
        <v>65</v>
      </c>
      <c r="F1157" s="177">
        <v>3321</v>
      </c>
      <c r="G1157" s="177" t="s">
        <v>19</v>
      </c>
      <c r="H1157" s="177" t="s">
        <v>20</v>
      </c>
      <c r="I1157" s="177" t="s">
        <v>21</v>
      </c>
      <c r="J1157" s="177"/>
      <c r="K1157" s="177" t="s">
        <v>70</v>
      </c>
      <c r="L1157" s="177">
        <v>38</v>
      </c>
      <c r="M1157" s="177" t="s">
        <v>71</v>
      </c>
      <c r="N1157" s="178">
        <v>1336</v>
      </c>
      <c r="O1157" s="178">
        <v>1325</v>
      </c>
      <c r="P1157" s="392">
        <v>6000</v>
      </c>
      <c r="Q1157" s="177">
        <v>2</v>
      </c>
      <c r="R1157" s="177">
        <v>30</v>
      </c>
      <c r="S1157" s="177" t="s">
        <v>354</v>
      </c>
      <c r="T1157" s="179">
        <v>44795</v>
      </c>
      <c r="U1157" s="179">
        <v>44824</v>
      </c>
      <c r="V1157" s="177" t="s">
        <v>355</v>
      </c>
      <c r="W1157" s="177"/>
      <c r="X1157" s="177"/>
      <c r="Y1157" s="144"/>
    </row>
    <row r="1158" spans="1:25" ht="13.5" x14ac:dyDescent="0.15">
      <c r="A1158" s="177">
        <v>3675611</v>
      </c>
      <c r="B1158" s="177" t="s">
        <v>351</v>
      </c>
      <c r="C1158" s="177" t="s">
        <v>363</v>
      </c>
      <c r="D1158" s="177" t="s">
        <v>353</v>
      </c>
      <c r="E1158" s="177" t="s">
        <v>65</v>
      </c>
      <c r="F1158" s="177">
        <v>3321</v>
      </c>
      <c r="G1158" s="177" t="s">
        <v>19</v>
      </c>
      <c r="H1158" s="177" t="s">
        <v>20</v>
      </c>
      <c r="I1158" s="177" t="s">
        <v>21</v>
      </c>
      <c r="J1158" s="177"/>
      <c r="K1158" s="177" t="s">
        <v>67</v>
      </c>
      <c r="L1158" s="177">
        <v>38</v>
      </c>
      <c r="M1158" s="177" t="s">
        <v>68</v>
      </c>
      <c r="N1158" s="178">
        <v>1336</v>
      </c>
      <c r="O1158" s="178">
        <v>1325</v>
      </c>
      <c r="P1158" s="392">
        <v>6000</v>
      </c>
      <c r="Q1158" s="177">
        <v>2</v>
      </c>
      <c r="R1158" s="177">
        <v>23</v>
      </c>
      <c r="S1158" s="177" t="s">
        <v>354</v>
      </c>
      <c r="T1158" s="179">
        <v>44795</v>
      </c>
      <c r="U1158" s="179">
        <v>44833</v>
      </c>
      <c r="V1158" s="177" t="s">
        <v>355</v>
      </c>
      <c r="W1158" s="177"/>
      <c r="X1158" s="177"/>
      <c r="Y1158" s="144"/>
    </row>
    <row r="1159" spans="1:25" ht="13.5" x14ac:dyDescent="0.15">
      <c r="A1159" s="177">
        <v>3675612</v>
      </c>
      <c r="B1159" s="177" t="s">
        <v>351</v>
      </c>
      <c r="C1159" s="177" t="s">
        <v>363</v>
      </c>
      <c r="D1159" s="177" t="s">
        <v>353</v>
      </c>
      <c r="E1159" s="177" t="s">
        <v>65</v>
      </c>
      <c r="F1159" s="177">
        <v>3321</v>
      </c>
      <c r="G1159" s="177" t="s">
        <v>19</v>
      </c>
      <c r="H1159" s="177" t="s">
        <v>20</v>
      </c>
      <c r="I1159" s="177" t="s">
        <v>21</v>
      </c>
      <c r="J1159" s="177"/>
      <c r="K1159" s="177" t="s">
        <v>70</v>
      </c>
      <c r="L1159" s="177">
        <v>38</v>
      </c>
      <c r="M1159" s="177" t="s">
        <v>71</v>
      </c>
      <c r="N1159" s="178">
        <v>1336</v>
      </c>
      <c r="O1159" s="178">
        <v>1325</v>
      </c>
      <c r="P1159" s="392">
        <v>6000</v>
      </c>
      <c r="Q1159" s="177">
        <v>2</v>
      </c>
      <c r="R1159" s="177">
        <v>24</v>
      </c>
      <c r="S1159" s="177" t="s">
        <v>354</v>
      </c>
      <c r="T1159" s="179">
        <v>44795</v>
      </c>
      <c r="U1159" s="179">
        <v>44833</v>
      </c>
      <c r="V1159" s="177" t="s">
        <v>355</v>
      </c>
      <c r="W1159" s="177"/>
      <c r="X1159" s="177"/>
      <c r="Y1159" s="144"/>
    </row>
    <row r="1160" spans="1:25" ht="13.5" x14ac:dyDescent="0.15">
      <c r="A1160" s="177">
        <v>3675613</v>
      </c>
      <c r="B1160" s="177" t="s">
        <v>351</v>
      </c>
      <c r="C1160" s="177" t="s">
        <v>358</v>
      </c>
      <c r="D1160" s="177" t="s">
        <v>353</v>
      </c>
      <c r="E1160" s="177" t="s">
        <v>61</v>
      </c>
      <c r="F1160" s="177">
        <v>3313</v>
      </c>
      <c r="G1160" s="177" t="s">
        <v>19</v>
      </c>
      <c r="H1160" s="177" t="s">
        <v>20</v>
      </c>
      <c r="I1160" s="177" t="s">
        <v>21</v>
      </c>
      <c r="J1160" s="177"/>
      <c r="K1160" s="177" t="s">
        <v>62</v>
      </c>
      <c r="L1160" s="177">
        <v>38</v>
      </c>
      <c r="M1160" s="177" t="s">
        <v>63</v>
      </c>
      <c r="N1160" s="178">
        <v>750</v>
      </c>
      <c r="O1160" s="178">
        <v>750</v>
      </c>
      <c r="P1160" s="392">
        <v>6000</v>
      </c>
      <c r="Q1160" s="177">
        <v>2</v>
      </c>
      <c r="R1160" s="177">
        <v>8</v>
      </c>
      <c r="S1160" s="177" t="s">
        <v>354</v>
      </c>
      <c r="T1160" s="179">
        <v>44795</v>
      </c>
      <c r="U1160" s="179">
        <v>44833</v>
      </c>
      <c r="V1160" s="177" t="s">
        <v>355</v>
      </c>
      <c r="W1160" s="177"/>
      <c r="X1160" s="177"/>
      <c r="Y1160" s="144"/>
    </row>
    <row r="1161" spans="1:25" ht="13.5" x14ac:dyDescent="0.15">
      <c r="A1161" s="177">
        <v>3675614</v>
      </c>
      <c r="B1161" s="177" t="s">
        <v>351</v>
      </c>
      <c r="C1161" s="177" t="s">
        <v>358</v>
      </c>
      <c r="D1161" s="177" t="s">
        <v>353</v>
      </c>
      <c r="E1161" s="177" t="s">
        <v>61</v>
      </c>
      <c r="F1161" s="177">
        <v>331</v>
      </c>
      <c r="G1161" s="177" t="s">
        <v>19</v>
      </c>
      <c r="H1161" s="177" t="s">
        <v>20</v>
      </c>
      <c r="I1161" s="177" t="s">
        <v>21</v>
      </c>
      <c r="J1161" s="177"/>
      <c r="K1161" s="177" t="s">
        <v>62</v>
      </c>
      <c r="L1161" s="177">
        <v>38</v>
      </c>
      <c r="M1161" s="177" t="s">
        <v>63</v>
      </c>
      <c r="N1161" s="178">
        <v>1255</v>
      </c>
      <c r="O1161" s="178">
        <v>1250</v>
      </c>
      <c r="P1161" s="392">
        <v>6000</v>
      </c>
      <c r="Q1161" s="177">
        <v>2</v>
      </c>
      <c r="R1161" s="177">
        <v>10</v>
      </c>
      <c r="S1161" s="177" t="s">
        <v>354</v>
      </c>
      <c r="T1161" s="179">
        <v>44795</v>
      </c>
      <c r="U1161" s="179">
        <v>44833</v>
      </c>
      <c r="V1161" s="177" t="s">
        <v>355</v>
      </c>
      <c r="W1161" s="177"/>
      <c r="X1161" s="177"/>
      <c r="Y1161" s="144"/>
    </row>
    <row r="1162" spans="1:25" ht="13.5" x14ac:dyDescent="0.15">
      <c r="A1162" s="177">
        <v>3675615</v>
      </c>
      <c r="B1162" s="177" t="s">
        <v>351</v>
      </c>
      <c r="C1162" s="177" t="s">
        <v>356</v>
      </c>
      <c r="D1162" s="177" t="s">
        <v>353</v>
      </c>
      <c r="E1162" s="177" t="s">
        <v>17</v>
      </c>
      <c r="F1162" s="177">
        <v>331</v>
      </c>
      <c r="G1162" s="177" t="s">
        <v>19</v>
      </c>
      <c r="H1162" s="177" t="s">
        <v>20</v>
      </c>
      <c r="I1162" s="177" t="s">
        <v>21</v>
      </c>
      <c r="J1162" s="177"/>
      <c r="K1162" s="177" t="s">
        <v>29</v>
      </c>
      <c r="L1162" s="177">
        <v>38</v>
      </c>
      <c r="M1162" s="177" t="s">
        <v>30</v>
      </c>
      <c r="N1162" s="178">
        <v>1330</v>
      </c>
      <c r="O1162" s="178">
        <v>1330</v>
      </c>
      <c r="P1162" s="392">
        <v>6000</v>
      </c>
      <c r="Q1162" s="177">
        <v>2</v>
      </c>
      <c r="R1162" s="177">
        <v>20</v>
      </c>
      <c r="S1162" s="177" t="s">
        <v>354</v>
      </c>
      <c r="T1162" s="179">
        <v>44795</v>
      </c>
      <c r="U1162" s="179">
        <v>44833</v>
      </c>
      <c r="V1162" s="177" t="s">
        <v>355</v>
      </c>
      <c r="W1162" s="177"/>
      <c r="X1162" s="177"/>
      <c r="Y1162" s="144"/>
    </row>
    <row r="1163" spans="1:25" ht="13.5" x14ac:dyDescent="0.15">
      <c r="A1163" s="177">
        <v>3675616</v>
      </c>
      <c r="B1163" s="177" t="s">
        <v>351</v>
      </c>
      <c r="C1163" s="177" t="s">
        <v>359</v>
      </c>
      <c r="D1163" s="177" t="s">
        <v>353</v>
      </c>
      <c r="E1163" s="177" t="s">
        <v>40</v>
      </c>
      <c r="F1163" s="177">
        <v>3</v>
      </c>
      <c r="G1163" s="177" t="s">
        <v>19</v>
      </c>
      <c r="H1163" s="177" t="s">
        <v>20</v>
      </c>
      <c r="I1163" s="177" t="s">
        <v>21</v>
      </c>
      <c r="J1163" s="177"/>
      <c r="K1163" s="177" t="s">
        <v>42</v>
      </c>
      <c r="L1163" s="177">
        <v>25</v>
      </c>
      <c r="M1163" s="177" t="s">
        <v>43</v>
      </c>
      <c r="N1163" s="178">
        <v>1045</v>
      </c>
      <c r="O1163" s="178">
        <v>1040</v>
      </c>
      <c r="P1163" s="392">
        <v>6000</v>
      </c>
      <c r="Q1163" s="177">
        <v>2</v>
      </c>
      <c r="R1163" s="177">
        <v>14</v>
      </c>
      <c r="S1163" s="177" t="s">
        <v>354</v>
      </c>
      <c r="T1163" s="179">
        <v>44795</v>
      </c>
      <c r="U1163" s="179">
        <v>44833</v>
      </c>
      <c r="V1163" s="177" t="s">
        <v>355</v>
      </c>
      <c r="W1163" s="177"/>
      <c r="X1163" s="177"/>
      <c r="Y1163" s="144"/>
    </row>
    <row r="1164" spans="1:25" ht="13.5" x14ac:dyDescent="0.15">
      <c r="A1164" s="177">
        <v>3675617</v>
      </c>
      <c r="B1164" s="177" t="s">
        <v>351</v>
      </c>
      <c r="C1164" s="177" t="s">
        <v>356</v>
      </c>
      <c r="D1164" s="177" t="s">
        <v>353</v>
      </c>
      <c r="E1164" s="177" t="s">
        <v>17</v>
      </c>
      <c r="F1164" s="177">
        <v>3</v>
      </c>
      <c r="G1164" s="177" t="s">
        <v>19</v>
      </c>
      <c r="H1164" s="177" t="s">
        <v>20</v>
      </c>
      <c r="I1164" s="177" t="s">
        <v>21</v>
      </c>
      <c r="J1164" s="177"/>
      <c r="K1164" s="177" t="s">
        <v>104</v>
      </c>
      <c r="L1164" s="177">
        <v>25</v>
      </c>
      <c r="M1164" s="177" t="s">
        <v>375</v>
      </c>
      <c r="N1164" s="178">
        <v>1050</v>
      </c>
      <c r="O1164" s="178">
        <v>1050</v>
      </c>
      <c r="P1164" s="392">
        <v>6000</v>
      </c>
      <c r="Q1164" s="177">
        <v>2</v>
      </c>
      <c r="R1164" s="177">
        <v>10</v>
      </c>
      <c r="S1164" s="177" t="s">
        <v>354</v>
      </c>
      <c r="T1164" s="179">
        <v>44795</v>
      </c>
      <c r="U1164" s="179">
        <v>44833</v>
      </c>
      <c r="V1164" s="177" t="s">
        <v>355</v>
      </c>
      <c r="W1164" s="177"/>
      <c r="X1164" s="177"/>
      <c r="Y1164" s="144"/>
    </row>
    <row r="1165" spans="1:25" ht="13.5" x14ac:dyDescent="0.15">
      <c r="A1165" s="177">
        <v>3675618</v>
      </c>
      <c r="B1165" s="177" t="s">
        <v>351</v>
      </c>
      <c r="C1165" s="177" t="s">
        <v>356</v>
      </c>
      <c r="D1165" s="177" t="s">
        <v>353</v>
      </c>
      <c r="E1165" s="177" t="s">
        <v>106</v>
      </c>
      <c r="F1165" s="177">
        <v>3</v>
      </c>
      <c r="G1165" s="177" t="s">
        <v>19</v>
      </c>
      <c r="H1165" s="177" t="s">
        <v>20</v>
      </c>
      <c r="I1165" s="177" t="s">
        <v>21</v>
      </c>
      <c r="J1165" s="177"/>
      <c r="K1165" s="177" t="s">
        <v>107</v>
      </c>
      <c r="L1165" s="177">
        <v>25</v>
      </c>
      <c r="M1165" s="177" t="s">
        <v>367</v>
      </c>
      <c r="N1165" s="178">
        <v>1040</v>
      </c>
      <c r="O1165" s="178">
        <v>1040</v>
      </c>
      <c r="P1165" s="392">
        <v>6000</v>
      </c>
      <c r="Q1165" s="177">
        <v>2</v>
      </c>
      <c r="R1165" s="177">
        <v>30</v>
      </c>
      <c r="S1165" s="177" t="s">
        <v>354</v>
      </c>
      <c r="T1165" s="179">
        <v>44795</v>
      </c>
      <c r="U1165" s="179">
        <v>44833</v>
      </c>
      <c r="V1165" s="177" t="s">
        <v>355</v>
      </c>
      <c r="W1165" s="177"/>
      <c r="X1165" s="177"/>
      <c r="Y1165" s="144"/>
    </row>
    <row r="1166" spans="1:25" ht="13.5" x14ac:dyDescent="0.15">
      <c r="A1166" s="177">
        <v>3675621</v>
      </c>
      <c r="B1166" s="177" t="s">
        <v>351</v>
      </c>
      <c r="C1166" s="177" t="s">
        <v>358</v>
      </c>
      <c r="D1166" s="177" t="s">
        <v>353</v>
      </c>
      <c r="E1166" s="177" t="s">
        <v>131</v>
      </c>
      <c r="F1166" s="177">
        <v>3</v>
      </c>
      <c r="G1166" s="177" t="s">
        <v>19</v>
      </c>
      <c r="H1166" s="177" t="s">
        <v>20</v>
      </c>
      <c r="I1166" s="177" t="s">
        <v>132</v>
      </c>
      <c r="J1166" s="177"/>
      <c r="K1166" s="177" t="s">
        <v>133</v>
      </c>
      <c r="L1166" s="177">
        <v>75</v>
      </c>
      <c r="M1166" s="177" t="s">
        <v>134</v>
      </c>
      <c r="N1166" s="178">
        <v>600</v>
      </c>
      <c r="O1166" s="178">
        <v>600</v>
      </c>
      <c r="P1166" s="392">
        <v>6000</v>
      </c>
      <c r="Q1166" s="177">
        <v>2</v>
      </c>
      <c r="R1166" s="177">
        <v>36</v>
      </c>
      <c r="S1166" s="177" t="s">
        <v>354</v>
      </c>
      <c r="T1166" s="179">
        <v>44795</v>
      </c>
      <c r="U1166" s="179">
        <v>44833</v>
      </c>
      <c r="V1166" s="177" t="s">
        <v>355</v>
      </c>
      <c r="W1166" s="177"/>
      <c r="X1166" s="177"/>
      <c r="Y1166" s="144"/>
    </row>
    <row r="1167" spans="1:25" ht="13.5" x14ac:dyDescent="0.15">
      <c r="A1167" s="177">
        <v>3675624</v>
      </c>
      <c r="B1167" s="177" t="s">
        <v>351</v>
      </c>
      <c r="C1167" s="177" t="s">
        <v>364</v>
      </c>
      <c r="D1167" s="177" t="s">
        <v>353</v>
      </c>
      <c r="E1167" s="177" t="s">
        <v>162</v>
      </c>
      <c r="F1167" s="177">
        <v>3</v>
      </c>
      <c r="G1167" s="177" t="s">
        <v>19</v>
      </c>
      <c r="H1167" s="177" t="s">
        <v>20</v>
      </c>
      <c r="I1167" s="177" t="s">
        <v>143</v>
      </c>
      <c r="J1167" s="177"/>
      <c r="K1167" s="177" t="s">
        <v>163</v>
      </c>
      <c r="L1167" s="177">
        <v>38</v>
      </c>
      <c r="M1167" s="177" t="s">
        <v>164</v>
      </c>
      <c r="N1167" s="178">
        <v>1320</v>
      </c>
      <c r="O1167" s="178">
        <v>1320</v>
      </c>
      <c r="P1167" s="392">
        <v>6000</v>
      </c>
      <c r="Q1167" s="177">
        <v>2</v>
      </c>
      <c r="R1167" s="177">
        <v>9</v>
      </c>
      <c r="S1167" s="177" t="s">
        <v>354</v>
      </c>
      <c r="T1167" s="179">
        <v>44795</v>
      </c>
      <c r="U1167" s="179">
        <v>44833</v>
      </c>
      <c r="V1167" s="177" t="s">
        <v>355</v>
      </c>
      <c r="W1167" s="177"/>
      <c r="X1167" s="177"/>
      <c r="Y1167" s="144"/>
    </row>
    <row r="1168" spans="1:25" ht="13.5" x14ac:dyDescent="0.15">
      <c r="A1168" s="177">
        <v>3675647</v>
      </c>
      <c r="B1168" s="177" t="s">
        <v>351</v>
      </c>
      <c r="C1168" s="177" t="s">
        <v>356</v>
      </c>
      <c r="D1168" s="177" t="s">
        <v>353</v>
      </c>
      <c r="E1168" s="177" t="s">
        <v>32</v>
      </c>
      <c r="F1168" s="177">
        <v>3</v>
      </c>
      <c r="G1168" s="177" t="s">
        <v>19</v>
      </c>
      <c r="H1168" s="177" t="s">
        <v>20</v>
      </c>
      <c r="I1168" s="177" t="s">
        <v>21</v>
      </c>
      <c r="J1168" s="177"/>
      <c r="K1168" s="177" t="s">
        <v>56</v>
      </c>
      <c r="L1168" s="177">
        <v>75</v>
      </c>
      <c r="M1168" s="177" t="s">
        <v>376</v>
      </c>
      <c r="N1168" s="178">
        <v>1330</v>
      </c>
      <c r="O1168" s="178">
        <v>1330</v>
      </c>
      <c r="P1168" s="392">
        <v>6000</v>
      </c>
      <c r="Q1168" s="177">
        <v>2</v>
      </c>
      <c r="R1168" s="177">
        <v>60</v>
      </c>
      <c r="S1168" s="177" t="s">
        <v>354</v>
      </c>
      <c r="T1168" s="179">
        <v>44795</v>
      </c>
      <c r="U1168" s="179">
        <v>44833</v>
      </c>
      <c r="V1168" s="177" t="s">
        <v>355</v>
      </c>
      <c r="W1168" s="177"/>
      <c r="X1168" s="177"/>
      <c r="Y1168" s="144"/>
    </row>
    <row r="1169" spans="1:25" ht="13.5" x14ac:dyDescent="0.15">
      <c r="A1169" s="240">
        <v>3679979</v>
      </c>
      <c r="B1169" s="240" t="s">
        <v>351</v>
      </c>
      <c r="C1169" s="240" t="s">
        <v>356</v>
      </c>
      <c r="D1169" s="240" t="s">
        <v>353</v>
      </c>
      <c r="E1169" s="240" t="s">
        <v>32</v>
      </c>
      <c r="F1169" s="240">
        <v>331</v>
      </c>
      <c r="G1169" s="240" t="s">
        <v>19</v>
      </c>
      <c r="H1169" s="240" t="s">
        <v>20</v>
      </c>
      <c r="I1169" s="240" t="s">
        <v>21</v>
      </c>
      <c r="J1169" s="240"/>
      <c r="K1169" s="240" t="s">
        <v>33</v>
      </c>
      <c r="L1169" s="240">
        <v>38</v>
      </c>
      <c r="M1169" s="240" t="s">
        <v>30</v>
      </c>
      <c r="N1169" s="241">
        <v>1580</v>
      </c>
      <c r="O1169" s="241">
        <v>1580</v>
      </c>
      <c r="P1169" s="392">
        <v>6000</v>
      </c>
      <c r="Q1169" s="240">
        <v>2</v>
      </c>
      <c r="R1169" s="240">
        <v>2</v>
      </c>
      <c r="S1169" s="240" t="s">
        <v>354</v>
      </c>
      <c r="T1169" s="242">
        <v>44825</v>
      </c>
      <c r="U1169" s="242">
        <v>44841</v>
      </c>
      <c r="V1169" s="240" t="s">
        <v>355</v>
      </c>
      <c r="W1169" s="240"/>
      <c r="X1169" s="240"/>
      <c r="Y1169" s="144"/>
    </row>
    <row r="1170" spans="1:25" ht="13.5" x14ac:dyDescent="0.15">
      <c r="A1170" s="240">
        <v>3679980</v>
      </c>
      <c r="B1170" s="240" t="s">
        <v>351</v>
      </c>
      <c r="C1170" s="240" t="s">
        <v>356</v>
      </c>
      <c r="D1170" s="240" t="s">
        <v>353</v>
      </c>
      <c r="E1170" s="240" t="s">
        <v>17</v>
      </c>
      <c r="F1170" s="240">
        <v>331</v>
      </c>
      <c r="G1170" s="240" t="s">
        <v>19</v>
      </c>
      <c r="H1170" s="240" t="s">
        <v>20</v>
      </c>
      <c r="I1170" s="240" t="s">
        <v>21</v>
      </c>
      <c r="J1170" s="240"/>
      <c r="K1170" s="240" t="s">
        <v>29</v>
      </c>
      <c r="L1170" s="240">
        <v>38</v>
      </c>
      <c r="M1170" s="240" t="s">
        <v>30</v>
      </c>
      <c r="N1170" s="241">
        <v>1330</v>
      </c>
      <c r="O1170" s="241">
        <v>1330</v>
      </c>
      <c r="P1170" s="392">
        <v>6000</v>
      </c>
      <c r="Q1170" s="240">
        <v>2</v>
      </c>
      <c r="R1170" s="240">
        <v>20</v>
      </c>
      <c r="S1170" s="240" t="s">
        <v>354</v>
      </c>
      <c r="T1170" s="242">
        <v>44825</v>
      </c>
      <c r="U1170" s="242">
        <v>44841</v>
      </c>
      <c r="V1170" s="240" t="s">
        <v>355</v>
      </c>
      <c r="W1170" s="240"/>
      <c r="X1170" s="240"/>
      <c r="Y1170" s="144"/>
    </row>
    <row r="1171" spans="1:25" ht="13.5" x14ac:dyDescent="0.15">
      <c r="A1171" s="240">
        <v>3679981</v>
      </c>
      <c r="B1171" s="240" t="s">
        <v>351</v>
      </c>
      <c r="C1171" s="240" t="s">
        <v>356</v>
      </c>
      <c r="D1171" s="240" t="s">
        <v>353</v>
      </c>
      <c r="E1171" s="240" t="s">
        <v>32</v>
      </c>
      <c r="F1171" s="240">
        <v>331</v>
      </c>
      <c r="G1171" s="240" t="s">
        <v>19</v>
      </c>
      <c r="H1171" s="240" t="s">
        <v>20</v>
      </c>
      <c r="I1171" s="240" t="s">
        <v>21</v>
      </c>
      <c r="J1171" s="240"/>
      <c r="K1171" s="240" t="s">
        <v>33</v>
      </c>
      <c r="L1171" s="240">
        <v>38</v>
      </c>
      <c r="M1171" s="240" t="s">
        <v>30</v>
      </c>
      <c r="N1171" s="241">
        <v>1330</v>
      </c>
      <c r="O1171" s="241">
        <v>1330</v>
      </c>
      <c r="P1171" s="392">
        <v>6000</v>
      </c>
      <c r="Q1171" s="240">
        <v>2</v>
      </c>
      <c r="R1171" s="240">
        <v>20</v>
      </c>
      <c r="S1171" s="240" t="s">
        <v>354</v>
      </c>
      <c r="T1171" s="242">
        <v>44825</v>
      </c>
      <c r="U1171" s="242">
        <v>44841</v>
      </c>
      <c r="V1171" s="240" t="s">
        <v>355</v>
      </c>
      <c r="W1171" s="240"/>
      <c r="X1171" s="240"/>
      <c r="Y1171" s="144"/>
    </row>
    <row r="1172" spans="1:25" ht="13.5" x14ac:dyDescent="0.15">
      <c r="A1172" s="240">
        <v>3679982</v>
      </c>
      <c r="B1172" s="240" t="s">
        <v>351</v>
      </c>
      <c r="C1172" s="240" t="s">
        <v>356</v>
      </c>
      <c r="D1172" s="240" t="s">
        <v>353</v>
      </c>
      <c r="E1172" s="240" t="s">
        <v>17</v>
      </c>
      <c r="F1172" s="240">
        <v>3</v>
      </c>
      <c r="G1172" s="240" t="s">
        <v>19</v>
      </c>
      <c r="H1172" s="240" t="s">
        <v>20</v>
      </c>
      <c r="I1172" s="240" t="s">
        <v>21</v>
      </c>
      <c r="J1172" s="240"/>
      <c r="K1172" s="240" t="s">
        <v>22</v>
      </c>
      <c r="L1172" s="240">
        <v>38</v>
      </c>
      <c r="M1172" s="240" t="s">
        <v>23</v>
      </c>
      <c r="N1172" s="241">
        <v>1057</v>
      </c>
      <c r="O1172" s="241">
        <v>1050</v>
      </c>
      <c r="P1172" s="392">
        <v>6000</v>
      </c>
      <c r="Q1172" s="240">
        <v>2</v>
      </c>
      <c r="R1172" s="240">
        <v>8</v>
      </c>
      <c r="S1172" s="240" t="s">
        <v>354</v>
      </c>
      <c r="T1172" s="242">
        <v>44825</v>
      </c>
      <c r="U1172" s="242">
        <v>44841</v>
      </c>
      <c r="V1172" s="240" t="s">
        <v>355</v>
      </c>
      <c r="W1172" s="240"/>
      <c r="X1172" s="240"/>
      <c r="Y1172" s="144"/>
    </row>
    <row r="1173" spans="1:25" ht="13.5" x14ac:dyDescent="0.15">
      <c r="A1173" s="240">
        <v>3679983</v>
      </c>
      <c r="B1173" s="240" t="s">
        <v>351</v>
      </c>
      <c r="C1173" s="240" t="s">
        <v>359</v>
      </c>
      <c r="D1173" s="240" t="s">
        <v>353</v>
      </c>
      <c r="E1173" s="240" t="s">
        <v>40</v>
      </c>
      <c r="F1173" s="240">
        <v>3</v>
      </c>
      <c r="G1173" s="240" t="s">
        <v>19</v>
      </c>
      <c r="H1173" s="240" t="s">
        <v>20</v>
      </c>
      <c r="I1173" s="240" t="s">
        <v>21</v>
      </c>
      <c r="J1173" s="240"/>
      <c r="K1173" s="240" t="s">
        <v>42</v>
      </c>
      <c r="L1173" s="240">
        <v>25</v>
      </c>
      <c r="M1173" s="240" t="s">
        <v>43</v>
      </c>
      <c r="N1173" s="241">
        <v>1045</v>
      </c>
      <c r="O1173" s="241">
        <v>1040</v>
      </c>
      <c r="P1173" s="392">
        <v>6000</v>
      </c>
      <c r="Q1173" s="240">
        <v>2</v>
      </c>
      <c r="R1173" s="240">
        <v>10</v>
      </c>
      <c r="S1173" s="240" t="s">
        <v>354</v>
      </c>
      <c r="T1173" s="242">
        <v>44825</v>
      </c>
      <c r="U1173" s="242">
        <v>44841</v>
      </c>
      <c r="V1173" s="240" t="s">
        <v>355</v>
      </c>
      <c r="W1173" s="240"/>
      <c r="X1173" s="240"/>
      <c r="Y1173" s="144"/>
    </row>
    <row r="1174" spans="1:25" ht="13.5" x14ac:dyDescent="0.15">
      <c r="A1174" s="240">
        <v>3679984</v>
      </c>
      <c r="B1174" s="240" t="s">
        <v>351</v>
      </c>
      <c r="C1174" s="240" t="s">
        <v>356</v>
      </c>
      <c r="D1174" s="240" t="s">
        <v>353</v>
      </c>
      <c r="E1174" s="240" t="s">
        <v>17</v>
      </c>
      <c r="F1174" s="240">
        <v>3</v>
      </c>
      <c r="G1174" s="240" t="s">
        <v>19</v>
      </c>
      <c r="H1174" s="240" t="s">
        <v>20</v>
      </c>
      <c r="I1174" s="240" t="s">
        <v>21</v>
      </c>
      <c r="J1174" s="240"/>
      <c r="K1174" s="240" t="s">
        <v>22</v>
      </c>
      <c r="L1174" s="240">
        <v>38</v>
      </c>
      <c r="M1174" s="240" t="s">
        <v>23</v>
      </c>
      <c r="N1174" s="241">
        <v>1037</v>
      </c>
      <c r="O1174" s="241">
        <v>1030</v>
      </c>
      <c r="P1174" s="392">
        <v>6000</v>
      </c>
      <c r="Q1174" s="240">
        <v>2</v>
      </c>
      <c r="R1174" s="240">
        <v>60</v>
      </c>
      <c r="S1174" s="240" t="s">
        <v>354</v>
      </c>
      <c r="T1174" s="242">
        <v>44825</v>
      </c>
      <c r="U1174" s="242">
        <v>44841</v>
      </c>
      <c r="V1174" s="240" t="s">
        <v>355</v>
      </c>
      <c r="W1174" s="240"/>
      <c r="X1174" s="240"/>
      <c r="Y1174" s="144"/>
    </row>
    <row r="1175" spans="1:25" ht="13.5" x14ac:dyDescent="0.15">
      <c r="A1175" s="240">
        <v>3679985</v>
      </c>
      <c r="B1175" s="240" t="s">
        <v>351</v>
      </c>
      <c r="C1175" s="240" t="s">
        <v>356</v>
      </c>
      <c r="D1175" s="240" t="s">
        <v>353</v>
      </c>
      <c r="E1175" s="240" t="s">
        <v>17</v>
      </c>
      <c r="F1175" s="240">
        <v>331</v>
      </c>
      <c r="G1175" s="240" t="s">
        <v>19</v>
      </c>
      <c r="H1175" s="240" t="s">
        <v>20</v>
      </c>
      <c r="I1175" s="240" t="s">
        <v>21</v>
      </c>
      <c r="J1175" s="240"/>
      <c r="K1175" s="240" t="s">
        <v>29</v>
      </c>
      <c r="L1175" s="240">
        <v>38</v>
      </c>
      <c r="M1175" s="240" t="s">
        <v>30</v>
      </c>
      <c r="N1175" s="241">
        <v>1030</v>
      </c>
      <c r="O1175" s="241">
        <v>1030</v>
      </c>
      <c r="P1175" s="392">
        <v>6000</v>
      </c>
      <c r="Q1175" s="240">
        <v>2</v>
      </c>
      <c r="R1175" s="240">
        <v>6</v>
      </c>
      <c r="S1175" s="240" t="s">
        <v>354</v>
      </c>
      <c r="T1175" s="242">
        <v>44825</v>
      </c>
      <c r="U1175" s="242">
        <v>44841</v>
      </c>
      <c r="V1175" s="240" t="s">
        <v>355</v>
      </c>
      <c r="W1175" s="240"/>
      <c r="X1175" s="240"/>
      <c r="Y1175" s="144"/>
    </row>
    <row r="1176" spans="1:25" ht="13.5" x14ac:dyDescent="0.15">
      <c r="A1176" s="240">
        <v>3679986</v>
      </c>
      <c r="B1176" s="240" t="s">
        <v>351</v>
      </c>
      <c r="C1176" s="240" t="s">
        <v>356</v>
      </c>
      <c r="D1176" s="240" t="s">
        <v>353</v>
      </c>
      <c r="E1176" s="240" t="s">
        <v>377</v>
      </c>
      <c r="F1176" s="240">
        <v>3</v>
      </c>
      <c r="G1176" s="240" t="s">
        <v>19</v>
      </c>
      <c r="H1176" s="240" t="s">
        <v>20</v>
      </c>
      <c r="I1176" s="240" t="s">
        <v>21</v>
      </c>
      <c r="J1176" s="240"/>
      <c r="K1176" s="240" t="s">
        <v>36</v>
      </c>
      <c r="L1176" s="240">
        <v>25</v>
      </c>
      <c r="M1176" s="240" t="s">
        <v>37</v>
      </c>
      <c r="N1176" s="241">
        <v>890</v>
      </c>
      <c r="O1176" s="241">
        <v>890</v>
      </c>
      <c r="P1176" s="392">
        <v>6000</v>
      </c>
      <c r="Q1176" s="240">
        <v>2</v>
      </c>
      <c r="R1176" s="240">
        <v>6</v>
      </c>
      <c r="S1176" s="240" t="s">
        <v>354</v>
      </c>
      <c r="T1176" s="242">
        <v>44825</v>
      </c>
      <c r="U1176" s="242">
        <v>44841</v>
      </c>
      <c r="V1176" s="240" t="s">
        <v>355</v>
      </c>
      <c r="W1176" s="240"/>
      <c r="X1176" s="240"/>
      <c r="Y1176" s="144"/>
    </row>
    <row r="1177" spans="1:25" ht="13.5" x14ac:dyDescent="0.15">
      <c r="A1177" s="240">
        <v>3679987</v>
      </c>
      <c r="B1177" s="240" t="s">
        <v>431</v>
      </c>
      <c r="C1177" s="240" t="s">
        <v>364</v>
      </c>
      <c r="D1177" s="240" t="s">
        <v>353</v>
      </c>
      <c r="E1177" s="240" t="s">
        <v>371</v>
      </c>
      <c r="F1177" s="240">
        <v>3</v>
      </c>
      <c r="G1177" s="240" t="s">
        <v>265</v>
      </c>
      <c r="H1177" s="240" t="s">
        <v>20</v>
      </c>
      <c r="I1177" s="240" t="s">
        <v>21</v>
      </c>
      <c r="J1177" s="240"/>
      <c r="K1177" s="240" t="s">
        <v>118</v>
      </c>
      <c r="L1177" s="240">
        <v>25</v>
      </c>
      <c r="M1177" s="240" t="s">
        <v>119</v>
      </c>
      <c r="N1177" s="241">
        <v>1425</v>
      </c>
      <c r="O1177" s="241">
        <v>1420</v>
      </c>
      <c r="P1177" s="392">
        <v>6000</v>
      </c>
      <c r="Q1177" s="240">
        <v>2</v>
      </c>
      <c r="R1177" s="240">
        <v>1</v>
      </c>
      <c r="S1177" s="240" t="s">
        <v>354</v>
      </c>
      <c r="T1177" s="242">
        <v>44825</v>
      </c>
      <c r="U1177" s="242">
        <v>44848</v>
      </c>
      <c r="V1177" s="240" t="s">
        <v>355</v>
      </c>
      <c r="W1177" s="240"/>
      <c r="X1177" s="240"/>
      <c r="Y1177" s="144"/>
    </row>
    <row r="1178" spans="1:25" ht="13.5" x14ac:dyDescent="0.15">
      <c r="A1178" s="240">
        <v>3679988</v>
      </c>
      <c r="B1178" s="240" t="s">
        <v>431</v>
      </c>
      <c r="C1178" s="240" t="s">
        <v>364</v>
      </c>
      <c r="D1178" s="240" t="s">
        <v>353</v>
      </c>
      <c r="E1178" s="240" t="s">
        <v>371</v>
      </c>
      <c r="F1178" s="240">
        <v>3</v>
      </c>
      <c r="G1178" s="240" t="s">
        <v>265</v>
      </c>
      <c r="H1178" s="240" t="s">
        <v>20</v>
      </c>
      <c r="I1178" s="240" t="s">
        <v>21</v>
      </c>
      <c r="J1178" s="240"/>
      <c r="K1178" s="240" t="s">
        <v>118</v>
      </c>
      <c r="L1178" s="240">
        <v>25</v>
      </c>
      <c r="M1178" s="240" t="s">
        <v>119</v>
      </c>
      <c r="N1178" s="241">
        <v>1425</v>
      </c>
      <c r="O1178" s="241">
        <v>1420</v>
      </c>
      <c r="P1178" s="392">
        <v>6000</v>
      </c>
      <c r="Q1178" s="240">
        <v>2</v>
      </c>
      <c r="R1178" s="240">
        <v>3</v>
      </c>
      <c r="S1178" s="240" t="s">
        <v>354</v>
      </c>
      <c r="T1178" s="242">
        <v>44825</v>
      </c>
      <c r="U1178" s="242">
        <v>44848</v>
      </c>
      <c r="V1178" s="240" t="s">
        <v>355</v>
      </c>
      <c r="W1178" s="240"/>
      <c r="X1178" s="240"/>
      <c r="Y1178" s="144"/>
    </row>
    <row r="1179" spans="1:25" ht="13.5" x14ac:dyDescent="0.15">
      <c r="A1179" s="240">
        <v>3679989</v>
      </c>
      <c r="B1179" s="240" t="s">
        <v>431</v>
      </c>
      <c r="C1179" s="240" t="s">
        <v>356</v>
      </c>
      <c r="D1179" s="240" t="s">
        <v>353</v>
      </c>
      <c r="E1179" s="240" t="s">
        <v>130</v>
      </c>
      <c r="F1179" s="240">
        <v>3</v>
      </c>
      <c r="G1179" s="240" t="s">
        <v>265</v>
      </c>
      <c r="H1179" s="240" t="s">
        <v>20</v>
      </c>
      <c r="I1179" s="240" t="s">
        <v>21</v>
      </c>
      <c r="J1179" s="240"/>
      <c r="K1179" s="240" t="s">
        <v>435</v>
      </c>
      <c r="L1179" s="240">
        <v>25</v>
      </c>
      <c r="M1179" s="240" t="s">
        <v>436</v>
      </c>
      <c r="N1179" s="241">
        <v>1410</v>
      </c>
      <c r="O1179" s="241">
        <v>1410</v>
      </c>
      <c r="P1179" s="392">
        <v>6000</v>
      </c>
      <c r="Q1179" s="240">
        <v>2</v>
      </c>
      <c r="R1179" s="240">
        <v>20</v>
      </c>
      <c r="S1179" s="240" t="s">
        <v>354</v>
      </c>
      <c r="T1179" s="242">
        <v>44825</v>
      </c>
      <c r="U1179" s="242">
        <v>44848</v>
      </c>
      <c r="V1179" s="240" t="s">
        <v>355</v>
      </c>
      <c r="W1179" s="240"/>
      <c r="X1179" s="240"/>
      <c r="Y1179" s="144"/>
    </row>
    <row r="1180" spans="1:25" ht="13.5" x14ac:dyDescent="0.15">
      <c r="A1180" s="240">
        <v>3679990</v>
      </c>
      <c r="B1180" s="240" t="s">
        <v>351</v>
      </c>
      <c r="C1180" s="240" t="s">
        <v>352</v>
      </c>
      <c r="D1180" s="240" t="s">
        <v>353</v>
      </c>
      <c r="E1180" s="240" t="s">
        <v>116</v>
      </c>
      <c r="F1180" s="240">
        <v>3</v>
      </c>
      <c r="G1180" s="240" t="s">
        <v>19</v>
      </c>
      <c r="H1180" s="240" t="s">
        <v>20</v>
      </c>
      <c r="I1180" s="240" t="s">
        <v>21</v>
      </c>
      <c r="J1180" s="240"/>
      <c r="K1180" s="240" t="s">
        <v>118</v>
      </c>
      <c r="L1180" s="240">
        <v>38</v>
      </c>
      <c r="M1180" s="240" t="s">
        <v>368</v>
      </c>
      <c r="N1180" s="241">
        <v>1415</v>
      </c>
      <c r="O1180" s="241">
        <v>1410</v>
      </c>
      <c r="P1180" s="392">
        <v>6000</v>
      </c>
      <c r="Q1180" s="240">
        <v>2</v>
      </c>
      <c r="R1180" s="240">
        <v>15</v>
      </c>
      <c r="S1180" s="240" t="s">
        <v>354</v>
      </c>
      <c r="T1180" s="242">
        <v>44825</v>
      </c>
      <c r="U1180" s="242">
        <v>44855</v>
      </c>
      <c r="V1180" s="240" t="s">
        <v>355</v>
      </c>
      <c r="W1180" s="240"/>
      <c r="X1180" s="240"/>
      <c r="Y1180" s="144"/>
    </row>
    <row r="1181" spans="1:25" ht="13.5" x14ac:dyDescent="0.15">
      <c r="A1181" s="240">
        <v>3679991</v>
      </c>
      <c r="B1181" s="240" t="s">
        <v>351</v>
      </c>
      <c r="C1181" s="240" t="s">
        <v>356</v>
      </c>
      <c r="D1181" s="240" t="s">
        <v>353</v>
      </c>
      <c r="E1181" s="240" t="s">
        <v>106</v>
      </c>
      <c r="F1181" s="240">
        <v>3</v>
      </c>
      <c r="G1181" s="240" t="s">
        <v>19</v>
      </c>
      <c r="H1181" s="240" t="s">
        <v>20</v>
      </c>
      <c r="I1181" s="240" t="s">
        <v>21</v>
      </c>
      <c r="J1181" s="240"/>
      <c r="K1181" s="240" t="s">
        <v>107</v>
      </c>
      <c r="L1181" s="240">
        <v>25</v>
      </c>
      <c r="M1181" s="240" t="s">
        <v>367</v>
      </c>
      <c r="N1181" s="241">
        <v>1240</v>
      </c>
      <c r="O1181" s="241">
        <v>1240</v>
      </c>
      <c r="P1181" s="392">
        <v>6000</v>
      </c>
      <c r="Q1181" s="240">
        <v>2</v>
      </c>
      <c r="R1181" s="240">
        <v>26</v>
      </c>
      <c r="S1181" s="240" t="s">
        <v>354</v>
      </c>
      <c r="T1181" s="242">
        <v>44825</v>
      </c>
      <c r="U1181" s="242">
        <v>44848</v>
      </c>
      <c r="V1181" s="240" t="s">
        <v>355</v>
      </c>
      <c r="W1181" s="240"/>
      <c r="X1181" s="240"/>
      <c r="Y1181" s="144"/>
    </row>
    <row r="1182" spans="1:25" ht="13.5" x14ac:dyDescent="0.15">
      <c r="A1182" s="240">
        <v>3679992</v>
      </c>
      <c r="B1182" s="240" t="s">
        <v>351</v>
      </c>
      <c r="C1182" s="240" t="s">
        <v>356</v>
      </c>
      <c r="D1182" s="240" t="s">
        <v>353</v>
      </c>
      <c r="E1182" s="240" t="s">
        <v>106</v>
      </c>
      <c r="F1182" s="240">
        <v>3</v>
      </c>
      <c r="G1182" s="240" t="s">
        <v>19</v>
      </c>
      <c r="H1182" s="240" t="s">
        <v>20</v>
      </c>
      <c r="I1182" s="240" t="s">
        <v>21</v>
      </c>
      <c r="J1182" s="240"/>
      <c r="K1182" s="240" t="s">
        <v>107</v>
      </c>
      <c r="L1182" s="240">
        <v>38</v>
      </c>
      <c r="M1182" s="240" t="s">
        <v>367</v>
      </c>
      <c r="N1182" s="241">
        <v>1240</v>
      </c>
      <c r="O1182" s="241">
        <v>1240</v>
      </c>
      <c r="P1182" s="392">
        <v>6000</v>
      </c>
      <c r="Q1182" s="240">
        <v>2</v>
      </c>
      <c r="R1182" s="240">
        <v>12</v>
      </c>
      <c r="S1182" s="240" t="s">
        <v>354</v>
      </c>
      <c r="T1182" s="242">
        <v>44825</v>
      </c>
      <c r="U1182" s="242">
        <v>44848</v>
      </c>
      <c r="V1182" s="240" t="s">
        <v>355</v>
      </c>
      <c r="W1182" s="240"/>
      <c r="X1182" s="240"/>
      <c r="Y1182" s="144"/>
    </row>
    <row r="1183" spans="1:25" ht="13.5" x14ac:dyDescent="0.15">
      <c r="A1183" s="240">
        <v>3679993</v>
      </c>
      <c r="B1183" s="240" t="s">
        <v>351</v>
      </c>
      <c r="C1183" s="240" t="s">
        <v>356</v>
      </c>
      <c r="D1183" s="240" t="s">
        <v>353</v>
      </c>
      <c r="E1183" s="240" t="s">
        <v>115</v>
      </c>
      <c r="F1183" s="240">
        <v>3</v>
      </c>
      <c r="G1183" s="240" t="s">
        <v>19</v>
      </c>
      <c r="H1183" s="240" t="s">
        <v>20</v>
      </c>
      <c r="I1183" s="240" t="s">
        <v>21</v>
      </c>
      <c r="J1183" s="240"/>
      <c r="K1183" s="240" t="s">
        <v>112</v>
      </c>
      <c r="L1183" s="240">
        <v>38</v>
      </c>
      <c r="M1183" s="240" t="s">
        <v>357</v>
      </c>
      <c r="N1183" s="241">
        <v>1135</v>
      </c>
      <c r="O1183" s="241">
        <v>1130</v>
      </c>
      <c r="P1183" s="392">
        <v>6000</v>
      </c>
      <c r="Q1183" s="240">
        <v>2</v>
      </c>
      <c r="R1183" s="240">
        <v>2</v>
      </c>
      <c r="S1183" s="240" t="s">
        <v>354</v>
      </c>
      <c r="T1183" s="242">
        <v>44825</v>
      </c>
      <c r="U1183" s="242">
        <v>44848</v>
      </c>
      <c r="V1183" s="240" t="s">
        <v>355</v>
      </c>
      <c r="W1183" s="240"/>
      <c r="X1183" s="240"/>
      <c r="Y1183" s="144"/>
    </row>
    <row r="1184" spans="1:25" ht="13.5" x14ac:dyDescent="0.15">
      <c r="A1184" s="240">
        <v>3679994</v>
      </c>
      <c r="B1184" s="240" t="s">
        <v>351</v>
      </c>
      <c r="C1184" s="240" t="s">
        <v>356</v>
      </c>
      <c r="D1184" s="240" t="s">
        <v>353</v>
      </c>
      <c r="E1184" s="240" t="s">
        <v>106</v>
      </c>
      <c r="F1184" s="240">
        <v>3</v>
      </c>
      <c r="G1184" s="240" t="s">
        <v>19</v>
      </c>
      <c r="H1184" s="240" t="s">
        <v>20</v>
      </c>
      <c r="I1184" s="240" t="s">
        <v>21</v>
      </c>
      <c r="J1184" s="240"/>
      <c r="K1184" s="240" t="s">
        <v>107</v>
      </c>
      <c r="L1184" s="240">
        <v>25</v>
      </c>
      <c r="M1184" s="240" t="s">
        <v>367</v>
      </c>
      <c r="N1184" s="241">
        <v>1040</v>
      </c>
      <c r="O1184" s="241">
        <v>1040</v>
      </c>
      <c r="P1184" s="392">
        <v>6000</v>
      </c>
      <c r="Q1184" s="240">
        <v>2</v>
      </c>
      <c r="R1184" s="240">
        <v>36</v>
      </c>
      <c r="S1184" s="240" t="s">
        <v>354</v>
      </c>
      <c r="T1184" s="242">
        <v>44825</v>
      </c>
      <c r="U1184" s="242">
        <v>44848</v>
      </c>
      <c r="V1184" s="240" t="s">
        <v>355</v>
      </c>
      <c r="W1184" s="240"/>
      <c r="X1184" s="240"/>
      <c r="Y1184" s="144"/>
    </row>
    <row r="1185" spans="1:25" ht="13.5" x14ac:dyDescent="0.15">
      <c r="A1185" s="240">
        <v>3679995</v>
      </c>
      <c r="B1185" s="240" t="s">
        <v>351</v>
      </c>
      <c r="C1185" s="240" t="s">
        <v>352</v>
      </c>
      <c r="D1185" s="240" t="s">
        <v>353</v>
      </c>
      <c r="E1185" s="240" t="s">
        <v>116</v>
      </c>
      <c r="F1185" s="240">
        <v>3</v>
      </c>
      <c r="G1185" s="240" t="s">
        <v>19</v>
      </c>
      <c r="H1185" s="240" t="s">
        <v>20</v>
      </c>
      <c r="I1185" s="240" t="s">
        <v>21</v>
      </c>
      <c r="J1185" s="240"/>
      <c r="K1185" s="240" t="s">
        <v>118</v>
      </c>
      <c r="L1185" s="240">
        <v>38</v>
      </c>
      <c r="M1185" s="240" t="s">
        <v>368</v>
      </c>
      <c r="N1185" s="241">
        <v>1005</v>
      </c>
      <c r="O1185" s="241">
        <v>1000</v>
      </c>
      <c r="P1185" s="392">
        <v>6000</v>
      </c>
      <c r="Q1185" s="240">
        <v>2</v>
      </c>
      <c r="R1185" s="240">
        <v>10</v>
      </c>
      <c r="S1185" s="240" t="s">
        <v>354</v>
      </c>
      <c r="T1185" s="242">
        <v>44825</v>
      </c>
      <c r="U1185" s="242">
        <v>44861</v>
      </c>
      <c r="V1185" s="240" t="s">
        <v>355</v>
      </c>
      <c r="W1185" s="240"/>
      <c r="X1185" s="240"/>
      <c r="Y1185" s="144"/>
    </row>
    <row r="1186" spans="1:25" ht="13.5" x14ac:dyDescent="0.15">
      <c r="A1186" s="240">
        <v>3679996</v>
      </c>
      <c r="B1186" s="240" t="s">
        <v>351</v>
      </c>
      <c r="C1186" s="240" t="s">
        <v>356</v>
      </c>
      <c r="D1186" s="240" t="s">
        <v>353</v>
      </c>
      <c r="E1186" s="240" t="s">
        <v>32</v>
      </c>
      <c r="F1186" s="240">
        <v>331</v>
      </c>
      <c r="G1186" s="240" t="s">
        <v>19</v>
      </c>
      <c r="H1186" s="240" t="s">
        <v>20</v>
      </c>
      <c r="I1186" s="240" t="s">
        <v>21</v>
      </c>
      <c r="J1186" s="240"/>
      <c r="K1186" s="240" t="s">
        <v>54</v>
      </c>
      <c r="L1186" s="240">
        <v>38</v>
      </c>
      <c r="M1186" s="240" t="s">
        <v>53</v>
      </c>
      <c r="N1186" s="241">
        <v>1580</v>
      </c>
      <c r="O1186" s="241">
        <v>1580</v>
      </c>
      <c r="P1186" s="392">
        <v>6000</v>
      </c>
      <c r="Q1186" s="240">
        <v>2</v>
      </c>
      <c r="R1186" s="240">
        <v>2</v>
      </c>
      <c r="S1186" s="240" t="s">
        <v>354</v>
      </c>
      <c r="T1186" s="242">
        <v>44825</v>
      </c>
      <c r="U1186" s="242">
        <v>44855</v>
      </c>
      <c r="V1186" s="240" t="s">
        <v>355</v>
      </c>
      <c r="W1186" s="240"/>
      <c r="X1186" s="240"/>
      <c r="Y1186" s="144"/>
    </row>
    <row r="1187" spans="1:25" ht="13.5" x14ac:dyDescent="0.15">
      <c r="A1187" s="240">
        <v>3679997</v>
      </c>
      <c r="B1187" s="240" t="s">
        <v>351</v>
      </c>
      <c r="C1187" s="240" t="s">
        <v>356</v>
      </c>
      <c r="D1187" s="240" t="s">
        <v>353</v>
      </c>
      <c r="E1187" s="240" t="s">
        <v>17</v>
      </c>
      <c r="F1187" s="240">
        <v>3</v>
      </c>
      <c r="G1187" s="240" t="s">
        <v>19</v>
      </c>
      <c r="H1187" s="240" t="s">
        <v>20</v>
      </c>
      <c r="I1187" s="240" t="s">
        <v>21</v>
      </c>
      <c r="J1187" s="240"/>
      <c r="K1187" s="240" t="s">
        <v>437</v>
      </c>
      <c r="L1187" s="240">
        <v>75</v>
      </c>
      <c r="M1187" s="240" t="s">
        <v>438</v>
      </c>
      <c r="N1187" s="241">
        <v>1330</v>
      </c>
      <c r="O1187" s="241">
        <v>1330</v>
      </c>
      <c r="P1187" s="392">
        <v>6000</v>
      </c>
      <c r="Q1187" s="240">
        <v>2</v>
      </c>
      <c r="R1187" s="240">
        <v>3</v>
      </c>
      <c r="S1187" s="240" t="s">
        <v>354</v>
      </c>
      <c r="T1187" s="242">
        <v>44825</v>
      </c>
      <c r="U1187" s="242">
        <v>44855</v>
      </c>
      <c r="V1187" s="240" t="s">
        <v>355</v>
      </c>
      <c r="W1187" s="240"/>
      <c r="X1187" s="240"/>
      <c r="Y1187" s="144"/>
    </row>
    <row r="1188" spans="1:25" ht="13.5" x14ac:dyDescent="0.15">
      <c r="A1188" s="240">
        <v>3679998</v>
      </c>
      <c r="B1188" s="240" t="s">
        <v>351</v>
      </c>
      <c r="C1188" s="240" t="s">
        <v>356</v>
      </c>
      <c r="D1188" s="240" t="s">
        <v>353</v>
      </c>
      <c r="E1188" s="240" t="s">
        <v>32</v>
      </c>
      <c r="F1188" s="240">
        <v>3</v>
      </c>
      <c r="G1188" s="240" t="s">
        <v>19</v>
      </c>
      <c r="H1188" s="240" t="s">
        <v>20</v>
      </c>
      <c r="I1188" s="240" t="s">
        <v>21</v>
      </c>
      <c r="J1188" s="240"/>
      <c r="K1188" s="240" t="s">
        <v>56</v>
      </c>
      <c r="L1188" s="240">
        <v>75</v>
      </c>
      <c r="M1188" s="240" t="s">
        <v>376</v>
      </c>
      <c r="N1188" s="241">
        <v>1330</v>
      </c>
      <c r="O1188" s="241">
        <v>1330</v>
      </c>
      <c r="P1188" s="392">
        <v>6000</v>
      </c>
      <c r="Q1188" s="240">
        <v>2</v>
      </c>
      <c r="R1188" s="240">
        <v>20</v>
      </c>
      <c r="S1188" s="240" t="s">
        <v>354</v>
      </c>
      <c r="T1188" s="242">
        <v>44825</v>
      </c>
      <c r="U1188" s="242">
        <v>44855</v>
      </c>
      <c r="V1188" s="240" t="s">
        <v>355</v>
      </c>
      <c r="W1188" s="240"/>
      <c r="X1188" s="240"/>
      <c r="Y1188" s="144"/>
    </row>
    <row r="1189" spans="1:25" ht="13.5" x14ac:dyDescent="0.15">
      <c r="A1189" s="240">
        <v>3679999</v>
      </c>
      <c r="B1189" s="240" t="s">
        <v>351</v>
      </c>
      <c r="C1189" s="240" t="s">
        <v>358</v>
      </c>
      <c r="D1189" s="240" t="s">
        <v>353</v>
      </c>
      <c r="E1189" s="240" t="s">
        <v>369</v>
      </c>
      <c r="F1189" s="240">
        <v>3</v>
      </c>
      <c r="G1189" s="240" t="s">
        <v>19</v>
      </c>
      <c r="H1189" s="240" t="s">
        <v>20</v>
      </c>
      <c r="I1189" s="240" t="s">
        <v>21</v>
      </c>
      <c r="J1189" s="240"/>
      <c r="K1189" s="240" t="s">
        <v>47</v>
      </c>
      <c r="L1189" s="240">
        <v>38</v>
      </c>
      <c r="M1189" s="240" t="s">
        <v>53</v>
      </c>
      <c r="N1189" s="241">
        <v>535</v>
      </c>
      <c r="O1189" s="241">
        <v>535</v>
      </c>
      <c r="P1189" s="392">
        <v>6000</v>
      </c>
      <c r="Q1189" s="240">
        <v>2</v>
      </c>
      <c r="R1189" s="240">
        <v>4</v>
      </c>
      <c r="S1189" s="240" t="s">
        <v>354</v>
      </c>
      <c r="T1189" s="242">
        <v>44825</v>
      </c>
      <c r="U1189" s="242">
        <v>44855</v>
      </c>
      <c r="V1189" s="240" t="s">
        <v>355</v>
      </c>
      <c r="W1189" s="240"/>
      <c r="X1189" s="240"/>
      <c r="Y1189" s="144"/>
    </row>
    <row r="1190" spans="1:25" ht="13.5" x14ac:dyDescent="0.15">
      <c r="A1190" s="240">
        <v>3680000</v>
      </c>
      <c r="B1190" s="240" t="s">
        <v>431</v>
      </c>
      <c r="C1190" s="240" t="s">
        <v>358</v>
      </c>
      <c r="D1190" s="240" t="s">
        <v>353</v>
      </c>
      <c r="E1190" s="240" t="s">
        <v>61</v>
      </c>
      <c r="F1190" s="240">
        <v>3</v>
      </c>
      <c r="G1190" s="240" t="s">
        <v>265</v>
      </c>
      <c r="H1190" s="240" t="s">
        <v>20</v>
      </c>
      <c r="I1190" s="240" t="s">
        <v>21</v>
      </c>
      <c r="J1190" s="240"/>
      <c r="K1190" s="240" t="s">
        <v>263</v>
      </c>
      <c r="L1190" s="240">
        <v>75</v>
      </c>
      <c r="M1190" s="240" t="s">
        <v>264</v>
      </c>
      <c r="N1190" s="241">
        <v>1050</v>
      </c>
      <c r="O1190" s="241">
        <v>1050</v>
      </c>
      <c r="P1190" s="392">
        <v>6000</v>
      </c>
      <c r="Q1190" s="240">
        <v>2</v>
      </c>
      <c r="R1190" s="240">
        <v>5</v>
      </c>
      <c r="S1190" s="240" t="s">
        <v>354</v>
      </c>
      <c r="T1190" s="242">
        <v>44825</v>
      </c>
      <c r="U1190" s="242">
        <v>44860</v>
      </c>
      <c r="V1190" s="240" t="s">
        <v>355</v>
      </c>
      <c r="W1190" s="240"/>
      <c r="X1190" s="240"/>
      <c r="Y1190" s="144"/>
    </row>
    <row r="1191" spans="1:25" ht="13.5" x14ac:dyDescent="0.15">
      <c r="A1191" s="240">
        <v>3680001</v>
      </c>
      <c r="B1191" s="240" t="s">
        <v>351</v>
      </c>
      <c r="C1191" s="240" t="s">
        <v>364</v>
      </c>
      <c r="D1191" s="240" t="s">
        <v>353</v>
      </c>
      <c r="E1191" s="240" t="s">
        <v>371</v>
      </c>
      <c r="F1191" s="240">
        <v>3</v>
      </c>
      <c r="G1191" s="240" t="s">
        <v>19</v>
      </c>
      <c r="H1191" s="240" t="s">
        <v>28</v>
      </c>
      <c r="I1191" s="240" t="s">
        <v>21</v>
      </c>
      <c r="J1191" s="240"/>
      <c r="K1191" s="240" t="s">
        <v>60</v>
      </c>
      <c r="L1191" s="240">
        <v>75</v>
      </c>
      <c r="M1191" s="240" t="s">
        <v>372</v>
      </c>
      <c r="N1191" s="241">
        <v>1040</v>
      </c>
      <c r="O1191" s="241">
        <v>1040</v>
      </c>
      <c r="P1191" s="392">
        <v>6000</v>
      </c>
      <c r="Q1191" s="240">
        <v>1</v>
      </c>
      <c r="R1191" s="240">
        <v>1</v>
      </c>
      <c r="S1191" s="240" t="s">
        <v>354</v>
      </c>
      <c r="T1191" s="242">
        <v>44825</v>
      </c>
      <c r="U1191" s="242">
        <v>44860</v>
      </c>
      <c r="V1191" s="240" t="s">
        <v>355</v>
      </c>
      <c r="W1191" s="240"/>
      <c r="X1191" s="240"/>
      <c r="Y1191" s="144"/>
    </row>
    <row r="1192" spans="1:25" ht="13.5" x14ac:dyDescent="0.15">
      <c r="A1192" s="240">
        <v>3680002</v>
      </c>
      <c r="B1192" s="240" t="s">
        <v>351</v>
      </c>
      <c r="C1192" s="240" t="s">
        <v>363</v>
      </c>
      <c r="D1192" s="240" t="s">
        <v>353</v>
      </c>
      <c r="E1192" s="240" t="s">
        <v>65</v>
      </c>
      <c r="F1192" s="240">
        <v>3321</v>
      </c>
      <c r="G1192" s="240" t="s">
        <v>19</v>
      </c>
      <c r="H1192" s="240" t="s">
        <v>20</v>
      </c>
      <c r="I1192" s="240" t="s">
        <v>21</v>
      </c>
      <c r="J1192" s="240"/>
      <c r="K1192" s="240" t="s">
        <v>67</v>
      </c>
      <c r="L1192" s="240">
        <v>38</v>
      </c>
      <c r="M1192" s="240" t="s">
        <v>68</v>
      </c>
      <c r="N1192" s="241">
        <v>1336</v>
      </c>
      <c r="O1192" s="241">
        <v>1325</v>
      </c>
      <c r="P1192" s="392">
        <v>6000</v>
      </c>
      <c r="Q1192" s="240">
        <v>2</v>
      </c>
      <c r="R1192" s="240">
        <v>34</v>
      </c>
      <c r="S1192" s="240" t="s">
        <v>354</v>
      </c>
      <c r="T1192" s="242">
        <v>44825</v>
      </c>
      <c r="U1192" s="242">
        <v>44860</v>
      </c>
      <c r="V1192" s="240" t="s">
        <v>355</v>
      </c>
      <c r="W1192" s="240"/>
      <c r="X1192" s="240"/>
      <c r="Y1192" s="144"/>
    </row>
    <row r="1193" spans="1:25" ht="13.5" x14ac:dyDescent="0.15">
      <c r="A1193" s="240">
        <v>3680003</v>
      </c>
      <c r="B1193" s="240" t="s">
        <v>351</v>
      </c>
      <c r="C1193" s="240" t="s">
        <v>363</v>
      </c>
      <c r="D1193" s="240" t="s">
        <v>353</v>
      </c>
      <c r="E1193" s="240" t="s">
        <v>65</v>
      </c>
      <c r="F1193" s="240">
        <v>3321</v>
      </c>
      <c r="G1193" s="240" t="s">
        <v>19</v>
      </c>
      <c r="H1193" s="240" t="s">
        <v>20</v>
      </c>
      <c r="I1193" s="240" t="s">
        <v>21</v>
      </c>
      <c r="J1193" s="240"/>
      <c r="K1193" s="240" t="s">
        <v>70</v>
      </c>
      <c r="L1193" s="240">
        <v>38</v>
      </c>
      <c r="M1193" s="240" t="s">
        <v>71</v>
      </c>
      <c r="N1193" s="241">
        <v>1336</v>
      </c>
      <c r="O1193" s="241">
        <v>1325</v>
      </c>
      <c r="P1193" s="392">
        <v>6000</v>
      </c>
      <c r="Q1193" s="240">
        <v>2</v>
      </c>
      <c r="R1193" s="240">
        <v>25</v>
      </c>
      <c r="S1193" s="240" t="s">
        <v>354</v>
      </c>
      <c r="T1193" s="242">
        <v>44825</v>
      </c>
      <c r="U1193" s="242">
        <v>44860</v>
      </c>
      <c r="V1193" s="240" t="s">
        <v>355</v>
      </c>
      <c r="W1193" s="240"/>
      <c r="X1193" s="240"/>
      <c r="Y1193" s="144"/>
    </row>
    <row r="1194" spans="1:25" ht="13.5" x14ac:dyDescent="0.15">
      <c r="A1194" s="240">
        <v>3680004</v>
      </c>
      <c r="B1194" s="240" t="s">
        <v>351</v>
      </c>
      <c r="C1194" s="240" t="s">
        <v>363</v>
      </c>
      <c r="D1194" s="240" t="s">
        <v>353</v>
      </c>
      <c r="E1194" s="240" t="s">
        <v>65</v>
      </c>
      <c r="F1194" s="240">
        <v>3321</v>
      </c>
      <c r="G1194" s="240" t="s">
        <v>19</v>
      </c>
      <c r="H1194" s="240" t="s">
        <v>20</v>
      </c>
      <c r="I1194" s="240" t="s">
        <v>21</v>
      </c>
      <c r="J1194" s="240"/>
      <c r="K1194" s="240" t="s">
        <v>70</v>
      </c>
      <c r="L1194" s="240">
        <v>38</v>
      </c>
      <c r="M1194" s="240" t="s">
        <v>71</v>
      </c>
      <c r="N1194" s="241">
        <v>1336</v>
      </c>
      <c r="O1194" s="241">
        <v>1325</v>
      </c>
      <c r="P1194" s="392">
        <v>6000</v>
      </c>
      <c r="Q1194" s="240">
        <v>2</v>
      </c>
      <c r="R1194" s="240">
        <v>8</v>
      </c>
      <c r="S1194" s="240" t="s">
        <v>354</v>
      </c>
      <c r="T1194" s="242">
        <v>44825</v>
      </c>
      <c r="U1194" s="242">
        <v>44860</v>
      </c>
      <c r="V1194" s="240" t="s">
        <v>355</v>
      </c>
      <c r="W1194" s="240"/>
      <c r="X1194" s="240"/>
      <c r="Y1194" s="144"/>
    </row>
    <row r="1195" spans="1:25" ht="13.5" x14ac:dyDescent="0.15">
      <c r="A1195" s="240">
        <v>3680005</v>
      </c>
      <c r="B1195" s="240" t="s">
        <v>351</v>
      </c>
      <c r="C1195" s="240" t="s">
        <v>358</v>
      </c>
      <c r="D1195" s="240" t="s">
        <v>353</v>
      </c>
      <c r="E1195" s="240" t="s">
        <v>61</v>
      </c>
      <c r="F1195" s="240">
        <v>331</v>
      </c>
      <c r="G1195" s="240" t="s">
        <v>19</v>
      </c>
      <c r="H1195" s="240" t="s">
        <v>20</v>
      </c>
      <c r="I1195" s="240" t="s">
        <v>21</v>
      </c>
      <c r="J1195" s="240"/>
      <c r="K1195" s="240" t="s">
        <v>62</v>
      </c>
      <c r="L1195" s="240">
        <v>38</v>
      </c>
      <c r="M1195" s="240" t="s">
        <v>63</v>
      </c>
      <c r="N1195" s="241">
        <v>1025</v>
      </c>
      <c r="O1195" s="241">
        <v>1020</v>
      </c>
      <c r="P1195" s="392">
        <v>6000</v>
      </c>
      <c r="Q1195" s="240">
        <v>2</v>
      </c>
      <c r="R1195" s="240">
        <v>2</v>
      </c>
      <c r="S1195" s="240" t="s">
        <v>354</v>
      </c>
      <c r="T1195" s="242">
        <v>44825</v>
      </c>
      <c r="U1195" s="242">
        <v>44860</v>
      </c>
      <c r="V1195" s="240" t="s">
        <v>355</v>
      </c>
      <c r="W1195" s="240"/>
      <c r="X1195" s="240"/>
      <c r="Y1195" s="144"/>
    </row>
    <row r="1196" spans="1:25" ht="13.5" x14ac:dyDescent="0.15">
      <c r="A1196" s="240">
        <v>3680007</v>
      </c>
      <c r="B1196" s="240" t="s">
        <v>351</v>
      </c>
      <c r="C1196" s="240" t="s">
        <v>352</v>
      </c>
      <c r="D1196" s="240" t="s">
        <v>353</v>
      </c>
      <c r="E1196" s="240" t="s">
        <v>155</v>
      </c>
      <c r="F1196" s="240" t="s">
        <v>158</v>
      </c>
      <c r="G1196" s="240" t="s">
        <v>19</v>
      </c>
      <c r="H1196" s="240" t="s">
        <v>20</v>
      </c>
      <c r="I1196" s="240" t="s">
        <v>143</v>
      </c>
      <c r="J1196" s="240"/>
      <c r="K1196" s="240" t="s">
        <v>156</v>
      </c>
      <c r="L1196" s="240">
        <v>25</v>
      </c>
      <c r="M1196" s="240" t="s">
        <v>157</v>
      </c>
      <c r="N1196" s="241">
        <v>1120</v>
      </c>
      <c r="O1196" s="241">
        <v>1120</v>
      </c>
      <c r="P1196" s="392">
        <v>6000</v>
      </c>
      <c r="Q1196" s="240">
        <v>2</v>
      </c>
      <c r="R1196" s="240">
        <v>6</v>
      </c>
      <c r="S1196" s="240" t="s">
        <v>354</v>
      </c>
      <c r="T1196" s="242">
        <v>44825</v>
      </c>
      <c r="U1196" s="242">
        <v>44849</v>
      </c>
      <c r="V1196" s="240" t="s">
        <v>355</v>
      </c>
      <c r="W1196" s="240"/>
      <c r="X1196" s="240"/>
      <c r="Y1196" s="144"/>
    </row>
    <row r="1197" spans="1:25" ht="13.5" x14ac:dyDescent="0.15">
      <c r="A1197" s="240">
        <v>3680011</v>
      </c>
      <c r="B1197" s="240" t="s">
        <v>351</v>
      </c>
      <c r="C1197" s="240" t="s">
        <v>364</v>
      </c>
      <c r="D1197" s="240" t="s">
        <v>353</v>
      </c>
      <c r="E1197" s="240" t="s">
        <v>162</v>
      </c>
      <c r="F1197" s="240">
        <v>3</v>
      </c>
      <c r="G1197" s="240" t="s">
        <v>19</v>
      </c>
      <c r="H1197" s="240" t="s">
        <v>20</v>
      </c>
      <c r="I1197" s="240" t="s">
        <v>143</v>
      </c>
      <c r="J1197" s="240"/>
      <c r="K1197" s="240" t="s">
        <v>163</v>
      </c>
      <c r="L1197" s="240">
        <v>50</v>
      </c>
      <c r="M1197" s="240" t="s">
        <v>164</v>
      </c>
      <c r="N1197" s="241">
        <v>1320</v>
      </c>
      <c r="O1197" s="241">
        <v>1320</v>
      </c>
      <c r="P1197" s="392">
        <v>6000</v>
      </c>
      <c r="Q1197" s="240">
        <v>2</v>
      </c>
      <c r="R1197" s="240">
        <v>2</v>
      </c>
      <c r="S1197" s="240" t="s">
        <v>354</v>
      </c>
      <c r="T1197" s="242">
        <v>44825</v>
      </c>
      <c r="U1197" s="242">
        <v>44849</v>
      </c>
      <c r="V1197" s="240" t="s">
        <v>355</v>
      </c>
      <c r="W1197" s="240"/>
      <c r="X1197" s="240"/>
      <c r="Y1197" s="144"/>
    </row>
    <row r="1198" spans="1:25" ht="13.5" x14ac:dyDescent="0.15">
      <c r="A1198" s="240">
        <v>3680026</v>
      </c>
      <c r="B1198" s="240" t="s">
        <v>351</v>
      </c>
      <c r="C1198" s="240" t="s">
        <v>352</v>
      </c>
      <c r="D1198" s="240" t="s">
        <v>353</v>
      </c>
      <c r="E1198" s="240" t="s">
        <v>116</v>
      </c>
      <c r="F1198" s="240">
        <v>3</v>
      </c>
      <c r="G1198" s="240" t="s">
        <v>19</v>
      </c>
      <c r="H1198" s="240" t="s">
        <v>20</v>
      </c>
      <c r="I1198" s="240" t="s">
        <v>143</v>
      </c>
      <c r="J1198" s="240"/>
      <c r="K1198" s="240" t="s">
        <v>159</v>
      </c>
      <c r="L1198" s="240">
        <v>25</v>
      </c>
      <c r="M1198" s="240" t="s">
        <v>160</v>
      </c>
      <c r="N1198" s="241">
        <v>1005</v>
      </c>
      <c r="O1198" s="241">
        <v>1000</v>
      </c>
      <c r="P1198" s="392">
        <v>6000</v>
      </c>
      <c r="Q1198" s="240">
        <v>2</v>
      </c>
      <c r="R1198" s="240">
        <v>6</v>
      </c>
      <c r="S1198" s="240" t="s">
        <v>354</v>
      </c>
      <c r="T1198" s="242">
        <v>44825</v>
      </c>
      <c r="U1198" s="242">
        <v>44845</v>
      </c>
      <c r="V1198" s="240" t="s">
        <v>355</v>
      </c>
      <c r="W1198" s="240"/>
      <c r="X1198" s="240"/>
      <c r="Y1198" s="144"/>
    </row>
    <row r="1199" spans="1:25" ht="13.5" x14ac:dyDescent="0.15">
      <c r="A1199" s="240">
        <v>3680039</v>
      </c>
      <c r="B1199" s="240" t="s">
        <v>351</v>
      </c>
      <c r="C1199" s="240" t="s">
        <v>352</v>
      </c>
      <c r="D1199" s="240" t="s">
        <v>353</v>
      </c>
      <c r="E1199" s="240" t="s">
        <v>116</v>
      </c>
      <c r="F1199" s="240">
        <v>3</v>
      </c>
      <c r="G1199" s="240" t="s">
        <v>19</v>
      </c>
      <c r="H1199" s="240" t="s">
        <v>20</v>
      </c>
      <c r="I1199" s="240" t="s">
        <v>143</v>
      </c>
      <c r="J1199" s="240"/>
      <c r="K1199" s="240" t="s">
        <v>144</v>
      </c>
      <c r="L1199" s="240">
        <v>75</v>
      </c>
      <c r="M1199" s="240" t="s">
        <v>145</v>
      </c>
      <c r="N1199" s="241">
        <v>1002</v>
      </c>
      <c r="O1199" s="241">
        <v>1000</v>
      </c>
      <c r="P1199" s="392">
        <v>6000</v>
      </c>
      <c r="Q1199" s="240">
        <v>2</v>
      </c>
      <c r="R1199" s="240">
        <v>3</v>
      </c>
      <c r="S1199" s="240" t="s">
        <v>354</v>
      </c>
      <c r="T1199" s="242">
        <v>44825</v>
      </c>
      <c r="U1199" s="242">
        <v>44855</v>
      </c>
      <c r="V1199" s="240" t="s">
        <v>355</v>
      </c>
      <c r="W1199" s="240"/>
      <c r="X1199" s="240"/>
      <c r="Y1199" s="144"/>
    </row>
    <row r="1200" spans="1:25" ht="13.5" x14ac:dyDescent="0.15">
      <c r="A1200" s="240">
        <v>3680040</v>
      </c>
      <c r="B1200" s="240" t="s">
        <v>351</v>
      </c>
      <c r="C1200" s="240" t="s">
        <v>352</v>
      </c>
      <c r="D1200" s="240" t="s">
        <v>353</v>
      </c>
      <c r="E1200" s="240" t="s">
        <v>116</v>
      </c>
      <c r="F1200" s="240">
        <v>3</v>
      </c>
      <c r="G1200" s="240" t="s">
        <v>19</v>
      </c>
      <c r="H1200" s="240" t="s">
        <v>20</v>
      </c>
      <c r="I1200" s="240" t="s">
        <v>143</v>
      </c>
      <c r="J1200" s="240"/>
      <c r="K1200" s="240" t="s">
        <v>144</v>
      </c>
      <c r="L1200" s="240">
        <v>100</v>
      </c>
      <c r="M1200" s="240" t="s">
        <v>145</v>
      </c>
      <c r="N1200" s="241">
        <v>1005</v>
      </c>
      <c r="O1200" s="241">
        <v>1000</v>
      </c>
      <c r="P1200" s="392">
        <v>6000</v>
      </c>
      <c r="Q1200" s="240">
        <v>2</v>
      </c>
      <c r="R1200" s="240">
        <v>2</v>
      </c>
      <c r="S1200" s="240" t="s">
        <v>354</v>
      </c>
      <c r="T1200" s="242">
        <v>44825</v>
      </c>
      <c r="U1200" s="242">
        <v>44855</v>
      </c>
      <c r="V1200" s="240" t="s">
        <v>355</v>
      </c>
      <c r="W1200" s="240"/>
      <c r="X1200" s="240"/>
      <c r="Y1200" s="144"/>
    </row>
    <row r="1201" spans="1:25" ht="13.5" x14ac:dyDescent="0.15">
      <c r="A1201" s="177">
        <v>3684726</v>
      </c>
      <c r="B1201" s="177" t="s">
        <v>351</v>
      </c>
      <c r="C1201" s="177" t="s">
        <v>356</v>
      </c>
      <c r="D1201" s="177" t="s">
        <v>353</v>
      </c>
      <c r="E1201" s="177" t="s">
        <v>32</v>
      </c>
      <c r="F1201" s="177">
        <v>331</v>
      </c>
      <c r="G1201" s="177" t="s">
        <v>19</v>
      </c>
      <c r="H1201" s="177" t="s">
        <v>20</v>
      </c>
      <c r="I1201" s="177" t="s">
        <v>21</v>
      </c>
      <c r="J1201" s="177"/>
      <c r="K1201" s="177" t="s">
        <v>54</v>
      </c>
      <c r="L1201" s="177">
        <v>38</v>
      </c>
      <c r="M1201" s="177" t="s">
        <v>53</v>
      </c>
      <c r="N1201" s="178">
        <v>1330</v>
      </c>
      <c r="O1201" s="178">
        <v>1330</v>
      </c>
      <c r="P1201" s="392">
        <v>6000</v>
      </c>
      <c r="Q1201" s="177">
        <v>2</v>
      </c>
      <c r="R1201" s="177">
        <v>4</v>
      </c>
      <c r="S1201" s="177" t="s">
        <v>354</v>
      </c>
      <c r="T1201" s="179">
        <v>44855</v>
      </c>
      <c r="U1201" s="179">
        <v>44875</v>
      </c>
      <c r="V1201" s="177" t="s">
        <v>355</v>
      </c>
      <c r="W1201" s="177"/>
      <c r="X1201" s="177"/>
      <c r="Y1201" s="144"/>
    </row>
    <row r="1202" spans="1:25" ht="13.5" x14ac:dyDescent="0.15">
      <c r="A1202" s="177">
        <v>3684727</v>
      </c>
      <c r="B1202" s="177" t="s">
        <v>351</v>
      </c>
      <c r="C1202" s="177" t="s">
        <v>356</v>
      </c>
      <c r="D1202" s="177" t="s">
        <v>353</v>
      </c>
      <c r="E1202" s="177" t="s">
        <v>32</v>
      </c>
      <c r="F1202" s="177">
        <v>331</v>
      </c>
      <c r="G1202" s="177" t="s">
        <v>19</v>
      </c>
      <c r="H1202" s="177" t="s">
        <v>20</v>
      </c>
      <c r="I1202" s="177" t="s">
        <v>21</v>
      </c>
      <c r="J1202" s="177"/>
      <c r="K1202" s="177" t="s">
        <v>54</v>
      </c>
      <c r="L1202" s="177">
        <v>38</v>
      </c>
      <c r="M1202" s="177" t="s">
        <v>53</v>
      </c>
      <c r="N1202" s="178">
        <v>1580</v>
      </c>
      <c r="O1202" s="178">
        <v>1580</v>
      </c>
      <c r="P1202" s="392">
        <v>6000</v>
      </c>
      <c r="Q1202" s="177">
        <v>2</v>
      </c>
      <c r="R1202" s="177">
        <v>2</v>
      </c>
      <c r="S1202" s="177" t="s">
        <v>354</v>
      </c>
      <c r="T1202" s="179">
        <v>44855</v>
      </c>
      <c r="U1202" s="179">
        <v>44875</v>
      </c>
      <c r="V1202" s="177" t="s">
        <v>355</v>
      </c>
      <c r="W1202" s="177"/>
      <c r="X1202" s="177"/>
      <c r="Y1202" s="144"/>
    </row>
    <row r="1203" spans="1:25" ht="13.5" x14ac:dyDescent="0.15">
      <c r="A1203" s="177">
        <v>3684728</v>
      </c>
      <c r="B1203" s="177" t="s">
        <v>351</v>
      </c>
      <c r="C1203" s="177" t="s">
        <v>356</v>
      </c>
      <c r="D1203" s="177" t="s">
        <v>353</v>
      </c>
      <c r="E1203" s="177"/>
      <c r="F1203" s="177">
        <v>3</v>
      </c>
      <c r="G1203" s="177" t="s">
        <v>19</v>
      </c>
      <c r="H1203" s="177" t="s">
        <v>20</v>
      </c>
      <c r="I1203" s="177" t="s">
        <v>21</v>
      </c>
      <c r="J1203" s="177"/>
      <c r="K1203" s="177" t="s">
        <v>632</v>
      </c>
      <c r="L1203" s="177">
        <v>75</v>
      </c>
      <c r="M1203" s="177" t="s">
        <v>633</v>
      </c>
      <c r="N1203" s="178">
        <v>1300</v>
      </c>
      <c r="O1203" s="178">
        <v>1300</v>
      </c>
      <c r="P1203" s="392">
        <v>6000</v>
      </c>
      <c r="Q1203" s="177">
        <v>2</v>
      </c>
      <c r="R1203" s="177">
        <v>2</v>
      </c>
      <c r="S1203" s="177" t="s">
        <v>354</v>
      </c>
      <c r="T1203" s="179">
        <v>44855</v>
      </c>
      <c r="U1203" s="179">
        <v>44875</v>
      </c>
      <c r="V1203" s="177" t="s">
        <v>355</v>
      </c>
      <c r="W1203" s="177"/>
      <c r="X1203" s="177"/>
      <c r="Y1203" s="144"/>
    </row>
    <row r="1204" spans="1:25" ht="13.5" x14ac:dyDescent="0.15">
      <c r="A1204" s="177">
        <v>3684729</v>
      </c>
      <c r="B1204" s="177" t="s">
        <v>351</v>
      </c>
      <c r="C1204" s="177" t="s">
        <v>358</v>
      </c>
      <c r="D1204" s="177" t="s">
        <v>353</v>
      </c>
      <c r="E1204" s="177" t="s">
        <v>369</v>
      </c>
      <c r="F1204" s="177">
        <v>331</v>
      </c>
      <c r="G1204" s="177" t="s">
        <v>19</v>
      </c>
      <c r="H1204" s="177" t="s">
        <v>20</v>
      </c>
      <c r="I1204" s="177" t="s">
        <v>21</v>
      </c>
      <c r="J1204" s="177"/>
      <c r="K1204" s="177" t="s">
        <v>47</v>
      </c>
      <c r="L1204" s="177">
        <v>38</v>
      </c>
      <c r="M1204" s="177" t="s">
        <v>53</v>
      </c>
      <c r="N1204" s="178">
        <v>535</v>
      </c>
      <c r="O1204" s="178">
        <v>535</v>
      </c>
      <c r="P1204" s="392">
        <v>6000</v>
      </c>
      <c r="Q1204" s="177">
        <v>2</v>
      </c>
      <c r="R1204" s="177">
        <v>24</v>
      </c>
      <c r="S1204" s="177" t="s">
        <v>354</v>
      </c>
      <c r="T1204" s="179">
        <v>44855</v>
      </c>
      <c r="U1204" s="179">
        <v>44875</v>
      </c>
      <c r="V1204" s="177" t="s">
        <v>355</v>
      </c>
      <c r="W1204" s="177"/>
      <c r="X1204" s="177"/>
      <c r="Y1204" s="144"/>
    </row>
    <row r="1205" spans="1:25" ht="13.5" x14ac:dyDescent="0.15">
      <c r="A1205" s="177">
        <v>3684730</v>
      </c>
      <c r="B1205" s="177" t="s">
        <v>351</v>
      </c>
      <c r="C1205" s="177" t="s">
        <v>364</v>
      </c>
      <c r="D1205" s="177" t="s">
        <v>353</v>
      </c>
      <c r="E1205" s="177" t="s">
        <v>371</v>
      </c>
      <c r="F1205" s="177">
        <v>3</v>
      </c>
      <c r="G1205" s="177" t="s">
        <v>19</v>
      </c>
      <c r="H1205" s="177" t="s">
        <v>28</v>
      </c>
      <c r="I1205" s="177" t="s">
        <v>21</v>
      </c>
      <c r="J1205" s="177"/>
      <c r="K1205" s="177" t="s">
        <v>465</v>
      </c>
      <c r="L1205" s="177">
        <v>75</v>
      </c>
      <c r="M1205" s="177" t="s">
        <v>466</v>
      </c>
      <c r="N1205" s="178">
        <v>1040</v>
      </c>
      <c r="O1205" s="178">
        <v>1040</v>
      </c>
      <c r="P1205" s="392">
        <v>6000</v>
      </c>
      <c r="Q1205" s="177">
        <v>1</v>
      </c>
      <c r="R1205" s="177">
        <v>1</v>
      </c>
      <c r="S1205" s="177" t="s">
        <v>354</v>
      </c>
      <c r="T1205" s="179">
        <v>44855</v>
      </c>
      <c r="U1205" s="179">
        <v>44875</v>
      </c>
      <c r="V1205" s="177" t="s">
        <v>355</v>
      </c>
      <c r="W1205" s="177"/>
      <c r="X1205" s="177"/>
      <c r="Y1205" s="144"/>
    </row>
    <row r="1206" spans="1:25" ht="13.5" x14ac:dyDescent="0.15">
      <c r="A1206" s="177">
        <v>3684731</v>
      </c>
      <c r="B1206" s="177" t="s">
        <v>351</v>
      </c>
      <c r="C1206" s="177" t="s">
        <v>364</v>
      </c>
      <c r="D1206" s="177" t="s">
        <v>353</v>
      </c>
      <c r="E1206" s="177" t="s">
        <v>371</v>
      </c>
      <c r="F1206" s="177">
        <v>3</v>
      </c>
      <c r="G1206" s="177" t="s">
        <v>19</v>
      </c>
      <c r="H1206" s="177" t="s">
        <v>20</v>
      </c>
      <c r="I1206" s="177" t="s">
        <v>21</v>
      </c>
      <c r="J1206" s="177"/>
      <c r="K1206" s="177" t="s">
        <v>56</v>
      </c>
      <c r="L1206" s="177">
        <v>75</v>
      </c>
      <c r="M1206" s="177" t="s">
        <v>376</v>
      </c>
      <c r="N1206" s="178">
        <v>1110</v>
      </c>
      <c r="O1206" s="178">
        <v>1100</v>
      </c>
      <c r="P1206" s="392">
        <v>6000</v>
      </c>
      <c r="Q1206" s="177">
        <v>2</v>
      </c>
      <c r="R1206" s="177">
        <v>2</v>
      </c>
      <c r="S1206" s="177" t="s">
        <v>354</v>
      </c>
      <c r="T1206" s="179">
        <v>44855</v>
      </c>
      <c r="U1206" s="179">
        <v>44875</v>
      </c>
      <c r="V1206" s="177" t="s">
        <v>355</v>
      </c>
      <c r="W1206" s="177"/>
      <c r="X1206" s="177"/>
      <c r="Y1206" s="144"/>
    </row>
    <row r="1207" spans="1:25" ht="13.5" x14ac:dyDescent="0.15">
      <c r="A1207" s="177">
        <v>3684732</v>
      </c>
      <c r="B1207" s="177" t="s">
        <v>351</v>
      </c>
      <c r="C1207" s="177" t="s">
        <v>364</v>
      </c>
      <c r="D1207" s="177" t="s">
        <v>353</v>
      </c>
      <c r="E1207" s="177" t="s">
        <v>371</v>
      </c>
      <c r="F1207" s="177">
        <v>3</v>
      </c>
      <c r="G1207" s="177" t="s">
        <v>19</v>
      </c>
      <c r="H1207" s="177" t="s">
        <v>28</v>
      </c>
      <c r="I1207" s="177" t="s">
        <v>21</v>
      </c>
      <c r="J1207" s="177"/>
      <c r="K1207" s="177" t="s">
        <v>60</v>
      </c>
      <c r="L1207" s="177">
        <v>75</v>
      </c>
      <c r="M1207" s="177" t="s">
        <v>372</v>
      </c>
      <c r="N1207" s="178">
        <v>1040</v>
      </c>
      <c r="O1207" s="178">
        <v>1040</v>
      </c>
      <c r="P1207" s="392">
        <v>6000</v>
      </c>
      <c r="Q1207" s="177">
        <v>1</v>
      </c>
      <c r="R1207" s="177">
        <v>2</v>
      </c>
      <c r="S1207" s="177" t="s">
        <v>354</v>
      </c>
      <c r="T1207" s="179">
        <v>44855</v>
      </c>
      <c r="U1207" s="179">
        <v>44875</v>
      </c>
      <c r="V1207" s="177" t="s">
        <v>355</v>
      </c>
      <c r="W1207" s="177"/>
      <c r="X1207" s="177"/>
      <c r="Y1207" s="144"/>
    </row>
    <row r="1208" spans="1:25" ht="13.5" x14ac:dyDescent="0.15">
      <c r="A1208" s="177">
        <v>3684733</v>
      </c>
      <c r="B1208" s="177" t="s">
        <v>351</v>
      </c>
      <c r="C1208" s="177" t="s">
        <v>356</v>
      </c>
      <c r="D1208" s="177" t="s">
        <v>353</v>
      </c>
      <c r="E1208" s="177" t="s">
        <v>377</v>
      </c>
      <c r="F1208" s="177">
        <v>3</v>
      </c>
      <c r="G1208" s="177" t="s">
        <v>19</v>
      </c>
      <c r="H1208" s="177" t="s">
        <v>20</v>
      </c>
      <c r="I1208" s="177" t="s">
        <v>21</v>
      </c>
      <c r="J1208" s="177"/>
      <c r="K1208" s="177" t="s">
        <v>36</v>
      </c>
      <c r="L1208" s="177">
        <v>25</v>
      </c>
      <c r="M1208" s="177" t="s">
        <v>37</v>
      </c>
      <c r="N1208" s="178">
        <v>890</v>
      </c>
      <c r="O1208" s="178">
        <v>890</v>
      </c>
      <c r="P1208" s="392">
        <v>6000</v>
      </c>
      <c r="Q1208" s="177">
        <v>2</v>
      </c>
      <c r="R1208" s="177">
        <v>6</v>
      </c>
      <c r="S1208" s="177" t="s">
        <v>354</v>
      </c>
      <c r="T1208" s="179">
        <v>44855</v>
      </c>
      <c r="U1208" s="179">
        <v>44875</v>
      </c>
      <c r="V1208" s="177" t="s">
        <v>355</v>
      </c>
      <c r="W1208" s="177"/>
      <c r="X1208" s="177"/>
      <c r="Y1208" s="144"/>
    </row>
    <row r="1209" spans="1:25" ht="13.5" x14ac:dyDescent="0.15">
      <c r="A1209" s="177">
        <v>3684734</v>
      </c>
      <c r="B1209" s="177" t="s">
        <v>351</v>
      </c>
      <c r="C1209" s="177" t="s">
        <v>356</v>
      </c>
      <c r="D1209" s="177" t="s">
        <v>353</v>
      </c>
      <c r="E1209" s="177" t="s">
        <v>17</v>
      </c>
      <c r="F1209" s="177">
        <v>3</v>
      </c>
      <c r="G1209" s="177" t="s">
        <v>19</v>
      </c>
      <c r="H1209" s="177" t="s">
        <v>20</v>
      </c>
      <c r="I1209" s="177" t="s">
        <v>21</v>
      </c>
      <c r="J1209" s="177"/>
      <c r="K1209" s="177" t="s">
        <v>22</v>
      </c>
      <c r="L1209" s="177">
        <v>38</v>
      </c>
      <c r="M1209" s="177" t="s">
        <v>23</v>
      </c>
      <c r="N1209" s="178">
        <v>1037</v>
      </c>
      <c r="O1209" s="178">
        <v>1030</v>
      </c>
      <c r="P1209" s="392">
        <v>6000</v>
      </c>
      <c r="Q1209" s="177">
        <v>2</v>
      </c>
      <c r="R1209" s="177">
        <v>18</v>
      </c>
      <c r="S1209" s="177" t="s">
        <v>354</v>
      </c>
      <c r="T1209" s="179">
        <v>44855</v>
      </c>
      <c r="U1209" s="179">
        <v>44875</v>
      </c>
      <c r="V1209" s="177" t="s">
        <v>355</v>
      </c>
      <c r="W1209" s="177"/>
      <c r="X1209" s="177"/>
      <c r="Y1209" s="144"/>
    </row>
    <row r="1210" spans="1:25" ht="13.5" x14ac:dyDescent="0.15">
      <c r="A1210" s="177">
        <v>3684735</v>
      </c>
      <c r="B1210" s="177" t="s">
        <v>351</v>
      </c>
      <c r="C1210" s="177" t="s">
        <v>356</v>
      </c>
      <c r="D1210" s="177" t="s">
        <v>353</v>
      </c>
      <c r="E1210" s="177" t="s">
        <v>17</v>
      </c>
      <c r="F1210" s="177">
        <v>3</v>
      </c>
      <c r="G1210" s="177" t="s">
        <v>19</v>
      </c>
      <c r="H1210" s="177" t="s">
        <v>20</v>
      </c>
      <c r="I1210" s="177" t="s">
        <v>21</v>
      </c>
      <c r="J1210" s="177"/>
      <c r="K1210" s="177" t="s">
        <v>22</v>
      </c>
      <c r="L1210" s="177">
        <v>38</v>
      </c>
      <c r="M1210" s="177" t="s">
        <v>23</v>
      </c>
      <c r="N1210" s="178">
        <v>1037</v>
      </c>
      <c r="O1210" s="178">
        <v>1030</v>
      </c>
      <c r="P1210" s="392">
        <v>6000</v>
      </c>
      <c r="Q1210" s="177">
        <v>2</v>
      </c>
      <c r="R1210" s="177">
        <v>50</v>
      </c>
      <c r="S1210" s="177" t="s">
        <v>354</v>
      </c>
      <c r="T1210" s="179">
        <v>44855</v>
      </c>
      <c r="U1210" s="179">
        <v>44875</v>
      </c>
      <c r="V1210" s="177" t="s">
        <v>355</v>
      </c>
      <c r="W1210" s="177"/>
      <c r="X1210" s="177"/>
      <c r="Y1210" s="144"/>
    </row>
    <row r="1211" spans="1:25" ht="13.5" x14ac:dyDescent="0.15">
      <c r="A1211" s="177">
        <v>3684736</v>
      </c>
      <c r="B1211" s="177" t="s">
        <v>351</v>
      </c>
      <c r="C1211" s="177" t="s">
        <v>356</v>
      </c>
      <c r="D1211" s="177" t="s">
        <v>353</v>
      </c>
      <c r="E1211" s="177" t="s">
        <v>17</v>
      </c>
      <c r="F1211" s="177">
        <v>3</v>
      </c>
      <c r="G1211" s="177" t="s">
        <v>19</v>
      </c>
      <c r="H1211" s="177" t="s">
        <v>20</v>
      </c>
      <c r="I1211" s="177" t="s">
        <v>21</v>
      </c>
      <c r="J1211" s="177"/>
      <c r="K1211" s="177" t="s">
        <v>22</v>
      </c>
      <c r="L1211" s="177">
        <v>38</v>
      </c>
      <c r="M1211" s="177" t="s">
        <v>23</v>
      </c>
      <c r="N1211" s="178">
        <v>1057</v>
      </c>
      <c r="O1211" s="178">
        <v>1050</v>
      </c>
      <c r="P1211" s="392">
        <v>6000</v>
      </c>
      <c r="Q1211" s="177">
        <v>2</v>
      </c>
      <c r="R1211" s="177">
        <v>20</v>
      </c>
      <c r="S1211" s="177" t="s">
        <v>354</v>
      </c>
      <c r="T1211" s="179">
        <v>44855</v>
      </c>
      <c r="U1211" s="179">
        <v>44875</v>
      </c>
      <c r="V1211" s="177" t="s">
        <v>355</v>
      </c>
      <c r="W1211" s="177"/>
      <c r="X1211" s="177"/>
      <c r="Y1211" s="144"/>
    </row>
    <row r="1212" spans="1:25" ht="13.5" x14ac:dyDescent="0.15">
      <c r="A1212" s="177">
        <v>3684737</v>
      </c>
      <c r="B1212" s="177" t="s">
        <v>351</v>
      </c>
      <c r="C1212" s="177" t="s">
        <v>356</v>
      </c>
      <c r="D1212" s="177" t="s">
        <v>353</v>
      </c>
      <c r="E1212" s="177" t="s">
        <v>17</v>
      </c>
      <c r="F1212" s="177">
        <v>331</v>
      </c>
      <c r="G1212" s="177" t="s">
        <v>19</v>
      </c>
      <c r="H1212" s="177" t="s">
        <v>20</v>
      </c>
      <c r="I1212" s="177" t="s">
        <v>21</v>
      </c>
      <c r="J1212" s="177"/>
      <c r="K1212" s="177" t="s">
        <v>29</v>
      </c>
      <c r="L1212" s="177">
        <v>38</v>
      </c>
      <c r="M1212" s="177" t="s">
        <v>30</v>
      </c>
      <c r="N1212" s="178">
        <v>1330</v>
      </c>
      <c r="O1212" s="178">
        <v>1330</v>
      </c>
      <c r="P1212" s="392">
        <v>6000</v>
      </c>
      <c r="Q1212" s="177">
        <v>2</v>
      </c>
      <c r="R1212" s="177">
        <v>24</v>
      </c>
      <c r="S1212" s="177" t="s">
        <v>354</v>
      </c>
      <c r="T1212" s="179">
        <v>44855</v>
      </c>
      <c r="U1212" s="179">
        <v>44875</v>
      </c>
      <c r="V1212" s="177" t="s">
        <v>355</v>
      </c>
      <c r="W1212" s="177"/>
      <c r="X1212" s="177"/>
      <c r="Y1212" s="144"/>
    </row>
    <row r="1213" spans="1:25" ht="13.5" x14ac:dyDescent="0.15">
      <c r="A1213" s="177">
        <v>3684738</v>
      </c>
      <c r="B1213" s="177" t="s">
        <v>351</v>
      </c>
      <c r="C1213" s="177" t="s">
        <v>356</v>
      </c>
      <c r="D1213" s="177" t="s">
        <v>353</v>
      </c>
      <c r="E1213" s="177" t="s">
        <v>32</v>
      </c>
      <c r="F1213" s="177">
        <v>331</v>
      </c>
      <c r="G1213" s="177" t="s">
        <v>19</v>
      </c>
      <c r="H1213" s="177" t="s">
        <v>20</v>
      </c>
      <c r="I1213" s="177" t="s">
        <v>21</v>
      </c>
      <c r="J1213" s="177"/>
      <c r="K1213" s="177" t="s">
        <v>33</v>
      </c>
      <c r="L1213" s="177">
        <v>25</v>
      </c>
      <c r="M1213" s="177" t="s">
        <v>30</v>
      </c>
      <c r="N1213" s="178">
        <v>1330</v>
      </c>
      <c r="O1213" s="178">
        <v>1330</v>
      </c>
      <c r="P1213" s="392">
        <v>6000</v>
      </c>
      <c r="Q1213" s="177">
        <v>2</v>
      </c>
      <c r="R1213" s="177">
        <v>6</v>
      </c>
      <c r="S1213" s="177" t="s">
        <v>354</v>
      </c>
      <c r="T1213" s="179">
        <v>44855</v>
      </c>
      <c r="U1213" s="179">
        <v>44875</v>
      </c>
      <c r="V1213" s="177" t="s">
        <v>355</v>
      </c>
      <c r="W1213" s="177"/>
      <c r="X1213" s="177"/>
      <c r="Y1213" s="144"/>
    </row>
    <row r="1214" spans="1:25" ht="13.5" x14ac:dyDescent="0.15">
      <c r="A1214" s="177">
        <v>3684739</v>
      </c>
      <c r="B1214" s="177" t="s">
        <v>431</v>
      </c>
      <c r="C1214" s="177" t="s">
        <v>364</v>
      </c>
      <c r="D1214" s="177" t="s">
        <v>353</v>
      </c>
      <c r="E1214" s="177" t="s">
        <v>371</v>
      </c>
      <c r="F1214" s="177">
        <v>331</v>
      </c>
      <c r="G1214" s="177" t="s">
        <v>265</v>
      </c>
      <c r="H1214" s="177" t="s">
        <v>20</v>
      </c>
      <c r="I1214" s="177" t="s">
        <v>21</v>
      </c>
      <c r="J1214" s="177"/>
      <c r="K1214" s="177" t="s">
        <v>118</v>
      </c>
      <c r="L1214" s="177">
        <v>25</v>
      </c>
      <c r="M1214" s="177" t="s">
        <v>119</v>
      </c>
      <c r="N1214" s="178">
        <v>1425</v>
      </c>
      <c r="O1214" s="178">
        <v>1420</v>
      </c>
      <c r="P1214" s="392">
        <v>6000</v>
      </c>
      <c r="Q1214" s="177">
        <v>2</v>
      </c>
      <c r="R1214" s="177">
        <v>8</v>
      </c>
      <c r="S1214" s="177" t="s">
        <v>354</v>
      </c>
      <c r="T1214" s="179">
        <v>44855</v>
      </c>
      <c r="U1214" s="179">
        <v>44888</v>
      </c>
      <c r="V1214" s="177" t="s">
        <v>355</v>
      </c>
      <c r="W1214" s="177"/>
      <c r="X1214" s="177"/>
      <c r="Y1214" s="144"/>
    </row>
    <row r="1215" spans="1:25" ht="13.5" x14ac:dyDescent="0.15">
      <c r="A1215" s="177">
        <v>3684740</v>
      </c>
      <c r="B1215" s="177" t="s">
        <v>351</v>
      </c>
      <c r="C1215" s="177" t="s">
        <v>352</v>
      </c>
      <c r="D1215" s="177" t="s">
        <v>353</v>
      </c>
      <c r="E1215" s="177" t="s">
        <v>116</v>
      </c>
      <c r="F1215" s="177">
        <v>3</v>
      </c>
      <c r="G1215" s="177" t="s">
        <v>19</v>
      </c>
      <c r="H1215" s="177" t="s">
        <v>20</v>
      </c>
      <c r="I1215" s="177" t="s">
        <v>21</v>
      </c>
      <c r="J1215" s="177"/>
      <c r="K1215" s="177" t="s">
        <v>118</v>
      </c>
      <c r="L1215" s="177">
        <v>38</v>
      </c>
      <c r="M1215" s="177" t="s">
        <v>368</v>
      </c>
      <c r="N1215" s="178">
        <v>1415</v>
      </c>
      <c r="O1215" s="178">
        <v>1410</v>
      </c>
      <c r="P1215" s="392">
        <v>6000</v>
      </c>
      <c r="Q1215" s="177">
        <v>2</v>
      </c>
      <c r="R1215" s="177">
        <v>15</v>
      </c>
      <c r="S1215" s="177" t="s">
        <v>354</v>
      </c>
      <c r="T1215" s="179">
        <v>44855</v>
      </c>
      <c r="U1215" s="179">
        <v>44895</v>
      </c>
      <c r="V1215" s="177" t="s">
        <v>355</v>
      </c>
      <c r="W1215" s="177"/>
      <c r="X1215" s="177"/>
      <c r="Y1215" s="144"/>
    </row>
    <row r="1216" spans="1:25" ht="13.5" x14ac:dyDescent="0.15">
      <c r="A1216" s="177">
        <v>3684741</v>
      </c>
      <c r="B1216" s="177" t="s">
        <v>351</v>
      </c>
      <c r="C1216" s="177" t="s">
        <v>356</v>
      </c>
      <c r="D1216" s="177" t="s">
        <v>353</v>
      </c>
      <c r="E1216" s="177" t="s">
        <v>114</v>
      </c>
      <c r="F1216" s="177">
        <v>3</v>
      </c>
      <c r="G1216" s="177" t="s">
        <v>19</v>
      </c>
      <c r="H1216" s="177" t="s">
        <v>20</v>
      </c>
      <c r="I1216" s="177" t="s">
        <v>21</v>
      </c>
      <c r="J1216" s="177"/>
      <c r="K1216" s="177" t="s">
        <v>112</v>
      </c>
      <c r="L1216" s="177">
        <v>25</v>
      </c>
      <c r="M1216" s="177" t="s">
        <v>357</v>
      </c>
      <c r="N1216" s="178">
        <v>540</v>
      </c>
      <c r="O1216" s="178">
        <v>540</v>
      </c>
      <c r="P1216" s="392">
        <v>6000</v>
      </c>
      <c r="Q1216" s="177">
        <v>2</v>
      </c>
      <c r="R1216" s="177">
        <v>6</v>
      </c>
      <c r="S1216" s="177" t="s">
        <v>354</v>
      </c>
      <c r="T1216" s="179">
        <v>44855</v>
      </c>
      <c r="U1216" s="179">
        <v>44888</v>
      </c>
      <c r="V1216" s="177" t="s">
        <v>355</v>
      </c>
      <c r="W1216" s="177"/>
      <c r="X1216" s="177"/>
      <c r="Y1216" s="144"/>
    </row>
    <row r="1217" spans="1:25" ht="13.5" x14ac:dyDescent="0.15">
      <c r="A1217" s="177">
        <v>3684741</v>
      </c>
      <c r="B1217" s="177" t="s">
        <v>351</v>
      </c>
      <c r="C1217" s="177" t="s">
        <v>356</v>
      </c>
      <c r="D1217" s="177" t="s">
        <v>353</v>
      </c>
      <c r="E1217" s="177" t="s">
        <v>114</v>
      </c>
      <c r="F1217" s="177">
        <v>3</v>
      </c>
      <c r="G1217" s="177" t="s">
        <v>19</v>
      </c>
      <c r="H1217" s="177" t="s">
        <v>20</v>
      </c>
      <c r="I1217" s="177" t="s">
        <v>21</v>
      </c>
      <c r="J1217" s="177"/>
      <c r="K1217" s="177" t="s">
        <v>112</v>
      </c>
      <c r="L1217" s="177">
        <v>25</v>
      </c>
      <c r="M1217" s="177" t="s">
        <v>357</v>
      </c>
      <c r="N1217" s="178">
        <v>640</v>
      </c>
      <c r="O1217" s="178">
        <v>640</v>
      </c>
      <c r="P1217" s="392">
        <v>6000</v>
      </c>
      <c r="Q1217" s="177">
        <v>2</v>
      </c>
      <c r="R1217" s="177">
        <v>6</v>
      </c>
      <c r="S1217" s="177" t="s">
        <v>354</v>
      </c>
      <c r="T1217" s="179">
        <v>44855</v>
      </c>
      <c r="U1217" s="179">
        <v>44888</v>
      </c>
      <c r="V1217" s="177" t="s">
        <v>355</v>
      </c>
      <c r="W1217" s="177"/>
      <c r="X1217" s="177"/>
      <c r="Y1217" s="144"/>
    </row>
    <row r="1218" spans="1:25" ht="13.5" x14ac:dyDescent="0.15">
      <c r="A1218" s="177">
        <v>3684742</v>
      </c>
      <c r="B1218" s="177" t="s">
        <v>351</v>
      </c>
      <c r="C1218" s="177" t="s">
        <v>356</v>
      </c>
      <c r="D1218" s="177" t="s">
        <v>353</v>
      </c>
      <c r="E1218" s="177" t="s">
        <v>114</v>
      </c>
      <c r="F1218" s="177">
        <v>3</v>
      </c>
      <c r="G1218" s="177" t="s">
        <v>19</v>
      </c>
      <c r="H1218" s="177" t="s">
        <v>20</v>
      </c>
      <c r="I1218" s="177" t="s">
        <v>21</v>
      </c>
      <c r="J1218" s="177"/>
      <c r="K1218" s="177" t="s">
        <v>112</v>
      </c>
      <c r="L1218" s="177">
        <v>25</v>
      </c>
      <c r="M1218" s="177" t="s">
        <v>357</v>
      </c>
      <c r="N1218" s="178">
        <v>640</v>
      </c>
      <c r="O1218" s="178">
        <v>640</v>
      </c>
      <c r="P1218" s="392">
        <v>6000</v>
      </c>
      <c r="Q1218" s="177">
        <v>2</v>
      </c>
      <c r="R1218" s="177">
        <v>12</v>
      </c>
      <c r="S1218" s="177" t="s">
        <v>354</v>
      </c>
      <c r="T1218" s="179">
        <v>44855</v>
      </c>
      <c r="U1218" s="179">
        <v>44888</v>
      </c>
      <c r="V1218" s="177" t="s">
        <v>355</v>
      </c>
      <c r="W1218" s="177"/>
      <c r="X1218" s="177"/>
      <c r="Y1218" s="144"/>
    </row>
    <row r="1219" spans="1:25" ht="13.5" x14ac:dyDescent="0.15">
      <c r="A1219" s="177">
        <v>3684743</v>
      </c>
      <c r="B1219" s="177" t="s">
        <v>351</v>
      </c>
      <c r="C1219" s="177" t="s">
        <v>356</v>
      </c>
      <c r="D1219" s="177" t="s">
        <v>353</v>
      </c>
      <c r="E1219" s="177" t="s">
        <v>106</v>
      </c>
      <c r="F1219" s="177">
        <v>3</v>
      </c>
      <c r="G1219" s="177" t="s">
        <v>19</v>
      </c>
      <c r="H1219" s="177" t="s">
        <v>20</v>
      </c>
      <c r="I1219" s="177" t="s">
        <v>21</v>
      </c>
      <c r="J1219" s="177"/>
      <c r="K1219" s="177" t="s">
        <v>107</v>
      </c>
      <c r="L1219" s="177">
        <v>38</v>
      </c>
      <c r="M1219" s="177" t="s">
        <v>367</v>
      </c>
      <c r="N1219" s="178">
        <v>1240</v>
      </c>
      <c r="O1219" s="178">
        <v>1240</v>
      </c>
      <c r="P1219" s="392">
        <v>6000</v>
      </c>
      <c r="Q1219" s="177">
        <v>2</v>
      </c>
      <c r="R1219" s="177">
        <v>5</v>
      </c>
      <c r="S1219" s="177" t="s">
        <v>354</v>
      </c>
      <c r="T1219" s="179">
        <v>44855</v>
      </c>
      <c r="U1219" s="179">
        <v>44888</v>
      </c>
      <c r="V1219" s="177" t="s">
        <v>355</v>
      </c>
      <c r="W1219" s="177"/>
      <c r="X1219" s="177"/>
      <c r="Y1219" s="144"/>
    </row>
    <row r="1220" spans="1:25" ht="13.5" x14ac:dyDescent="0.15">
      <c r="A1220" s="177">
        <v>3684744</v>
      </c>
      <c r="B1220" s="177" t="s">
        <v>351</v>
      </c>
      <c r="C1220" s="177" t="s">
        <v>352</v>
      </c>
      <c r="D1220" s="177" t="s">
        <v>353</v>
      </c>
      <c r="E1220" s="177" t="s">
        <v>116</v>
      </c>
      <c r="F1220" s="177">
        <v>3</v>
      </c>
      <c r="G1220" s="177" t="s">
        <v>19</v>
      </c>
      <c r="H1220" s="177" t="s">
        <v>20</v>
      </c>
      <c r="I1220" s="177" t="s">
        <v>21</v>
      </c>
      <c r="J1220" s="177"/>
      <c r="K1220" s="177" t="s">
        <v>118</v>
      </c>
      <c r="L1220" s="177">
        <v>38</v>
      </c>
      <c r="M1220" s="177" t="s">
        <v>368</v>
      </c>
      <c r="N1220" s="178">
        <v>1005</v>
      </c>
      <c r="O1220" s="178">
        <v>1000</v>
      </c>
      <c r="P1220" s="392">
        <v>6000</v>
      </c>
      <c r="Q1220" s="177">
        <v>2</v>
      </c>
      <c r="R1220" s="177">
        <v>10</v>
      </c>
      <c r="S1220" s="177" t="s">
        <v>354</v>
      </c>
      <c r="T1220" s="179">
        <v>44855</v>
      </c>
      <c r="U1220" s="179">
        <v>44904</v>
      </c>
      <c r="V1220" s="177" t="s">
        <v>355</v>
      </c>
      <c r="W1220" s="177"/>
      <c r="X1220" s="177"/>
      <c r="Y1220" s="144"/>
    </row>
    <row r="1221" spans="1:25" ht="13.5" x14ac:dyDescent="0.15">
      <c r="A1221" s="177">
        <v>3684745</v>
      </c>
      <c r="B1221" s="177" t="s">
        <v>351</v>
      </c>
      <c r="C1221" s="177" t="s">
        <v>356</v>
      </c>
      <c r="D1221" s="177" t="s">
        <v>353</v>
      </c>
      <c r="E1221" s="177" t="s">
        <v>115</v>
      </c>
      <c r="F1221" s="177">
        <v>3</v>
      </c>
      <c r="G1221" s="177" t="s">
        <v>19</v>
      </c>
      <c r="H1221" s="177" t="s">
        <v>20</v>
      </c>
      <c r="I1221" s="177" t="s">
        <v>21</v>
      </c>
      <c r="J1221" s="177"/>
      <c r="K1221" s="177" t="s">
        <v>112</v>
      </c>
      <c r="L1221" s="177">
        <v>38</v>
      </c>
      <c r="M1221" s="177" t="s">
        <v>357</v>
      </c>
      <c r="N1221" s="178">
        <v>1135</v>
      </c>
      <c r="O1221" s="178">
        <v>1130</v>
      </c>
      <c r="P1221" s="392">
        <v>6000</v>
      </c>
      <c r="Q1221" s="177">
        <v>2</v>
      </c>
      <c r="R1221" s="177">
        <v>2</v>
      </c>
      <c r="S1221" s="177" t="s">
        <v>354</v>
      </c>
      <c r="T1221" s="179">
        <v>44855</v>
      </c>
      <c r="U1221" s="179">
        <v>44888</v>
      </c>
      <c r="V1221" s="177" t="s">
        <v>355</v>
      </c>
      <c r="W1221" s="177"/>
      <c r="X1221" s="177"/>
      <c r="Y1221" s="144"/>
    </row>
    <row r="1222" spans="1:25" ht="13.5" x14ac:dyDescent="0.15">
      <c r="A1222" s="177">
        <v>3684746</v>
      </c>
      <c r="B1222" s="177" t="s">
        <v>351</v>
      </c>
      <c r="C1222" s="177" t="s">
        <v>356</v>
      </c>
      <c r="D1222" s="177" t="s">
        <v>353</v>
      </c>
      <c r="E1222" s="177" t="s">
        <v>17</v>
      </c>
      <c r="F1222" s="177">
        <v>331</v>
      </c>
      <c r="G1222" s="177" t="s">
        <v>19</v>
      </c>
      <c r="H1222" s="177" t="s">
        <v>20</v>
      </c>
      <c r="I1222" s="177" t="s">
        <v>21</v>
      </c>
      <c r="J1222" s="177"/>
      <c r="K1222" s="177" t="s">
        <v>52</v>
      </c>
      <c r="L1222" s="177">
        <v>38</v>
      </c>
      <c r="M1222" s="177" t="s">
        <v>53</v>
      </c>
      <c r="N1222" s="178">
        <v>1330</v>
      </c>
      <c r="O1222" s="178">
        <v>1330</v>
      </c>
      <c r="P1222" s="392">
        <v>6000</v>
      </c>
      <c r="Q1222" s="177">
        <v>2</v>
      </c>
      <c r="R1222" s="177">
        <v>70</v>
      </c>
      <c r="S1222" s="177" t="s">
        <v>354</v>
      </c>
      <c r="T1222" s="179">
        <v>44855</v>
      </c>
      <c r="U1222" s="179">
        <v>44890</v>
      </c>
      <c r="V1222" s="177" t="s">
        <v>355</v>
      </c>
      <c r="W1222" s="177"/>
      <c r="X1222" s="177"/>
      <c r="Y1222" s="144"/>
    </row>
    <row r="1223" spans="1:25" ht="13.5" x14ac:dyDescent="0.15">
      <c r="A1223" s="177">
        <v>3684747</v>
      </c>
      <c r="B1223" s="177" t="s">
        <v>351</v>
      </c>
      <c r="C1223" s="177" t="s">
        <v>356</v>
      </c>
      <c r="D1223" s="177" t="s">
        <v>353</v>
      </c>
      <c r="E1223" s="177" t="s">
        <v>32</v>
      </c>
      <c r="F1223" s="177">
        <v>3</v>
      </c>
      <c r="G1223" s="177" t="s">
        <v>19</v>
      </c>
      <c r="H1223" s="177" t="s">
        <v>20</v>
      </c>
      <c r="I1223" s="177" t="s">
        <v>21</v>
      </c>
      <c r="J1223" s="177"/>
      <c r="K1223" s="177" t="s">
        <v>56</v>
      </c>
      <c r="L1223" s="177">
        <v>75</v>
      </c>
      <c r="M1223" s="177" t="s">
        <v>376</v>
      </c>
      <c r="N1223" s="178">
        <v>1330</v>
      </c>
      <c r="O1223" s="178">
        <v>1330</v>
      </c>
      <c r="P1223" s="392">
        <v>6000</v>
      </c>
      <c r="Q1223" s="177">
        <v>2</v>
      </c>
      <c r="R1223" s="177">
        <v>30</v>
      </c>
      <c r="S1223" s="177" t="s">
        <v>354</v>
      </c>
      <c r="T1223" s="179">
        <v>44855</v>
      </c>
      <c r="U1223" s="179">
        <v>44890</v>
      </c>
      <c r="V1223" s="177" t="s">
        <v>355</v>
      </c>
      <c r="W1223" s="177"/>
      <c r="X1223" s="177"/>
      <c r="Y1223" s="144"/>
    </row>
    <row r="1224" spans="1:25" ht="13.5" x14ac:dyDescent="0.15">
      <c r="A1224" s="177">
        <v>3684748</v>
      </c>
      <c r="B1224" s="177" t="s">
        <v>431</v>
      </c>
      <c r="C1224" s="177" t="s">
        <v>356</v>
      </c>
      <c r="D1224" s="177" t="s">
        <v>353</v>
      </c>
      <c r="E1224" s="177" t="s">
        <v>130</v>
      </c>
      <c r="F1224" s="177">
        <v>3</v>
      </c>
      <c r="G1224" s="177" t="s">
        <v>265</v>
      </c>
      <c r="H1224" s="177" t="s">
        <v>20</v>
      </c>
      <c r="I1224" s="177" t="s">
        <v>21</v>
      </c>
      <c r="J1224" s="177"/>
      <c r="K1224" s="177" t="s">
        <v>435</v>
      </c>
      <c r="L1224" s="177">
        <v>25</v>
      </c>
      <c r="M1224" s="177" t="s">
        <v>436</v>
      </c>
      <c r="N1224" s="178">
        <v>1410</v>
      </c>
      <c r="O1224" s="178">
        <v>1410</v>
      </c>
      <c r="P1224" s="392">
        <v>6000</v>
      </c>
      <c r="Q1224" s="177">
        <v>2</v>
      </c>
      <c r="R1224" s="177">
        <v>18</v>
      </c>
      <c r="S1224" s="177" t="s">
        <v>354</v>
      </c>
      <c r="T1224" s="179">
        <v>44855</v>
      </c>
      <c r="U1224" s="179">
        <v>44895</v>
      </c>
      <c r="V1224" s="177" t="s">
        <v>355</v>
      </c>
      <c r="W1224" s="177"/>
      <c r="X1224" s="177"/>
      <c r="Y1224" s="144"/>
    </row>
    <row r="1225" spans="1:25" ht="13.5" x14ac:dyDescent="0.15">
      <c r="A1225" s="177">
        <v>3684749</v>
      </c>
      <c r="B1225" s="177" t="s">
        <v>351</v>
      </c>
      <c r="C1225" s="177" t="s">
        <v>358</v>
      </c>
      <c r="D1225" s="177" t="s">
        <v>353</v>
      </c>
      <c r="E1225" s="177" t="s">
        <v>61</v>
      </c>
      <c r="F1225" s="177">
        <v>3313</v>
      </c>
      <c r="G1225" s="177" t="s">
        <v>19</v>
      </c>
      <c r="H1225" s="177" t="s">
        <v>20</v>
      </c>
      <c r="I1225" s="177" t="s">
        <v>21</v>
      </c>
      <c r="J1225" s="177"/>
      <c r="K1225" s="177" t="s">
        <v>62</v>
      </c>
      <c r="L1225" s="177">
        <v>38</v>
      </c>
      <c r="M1225" s="177" t="s">
        <v>63</v>
      </c>
      <c r="N1225" s="178">
        <v>750</v>
      </c>
      <c r="O1225" s="178">
        <v>750</v>
      </c>
      <c r="P1225" s="392">
        <v>6000</v>
      </c>
      <c r="Q1225" s="177">
        <v>2</v>
      </c>
      <c r="R1225" s="177">
        <v>8</v>
      </c>
      <c r="S1225" s="177" t="s">
        <v>354</v>
      </c>
      <c r="T1225" s="179">
        <v>44855</v>
      </c>
      <c r="U1225" s="179">
        <v>44890</v>
      </c>
      <c r="V1225" s="177" t="s">
        <v>355</v>
      </c>
      <c r="W1225" s="177"/>
      <c r="X1225" s="177"/>
      <c r="Y1225" s="144"/>
    </row>
    <row r="1226" spans="1:25" ht="13.5" x14ac:dyDescent="0.15">
      <c r="A1226" s="177">
        <v>3684750</v>
      </c>
      <c r="B1226" s="177" t="s">
        <v>351</v>
      </c>
      <c r="C1226" s="177" t="s">
        <v>358</v>
      </c>
      <c r="D1226" s="177" t="s">
        <v>353</v>
      </c>
      <c r="E1226" s="177" t="s">
        <v>61</v>
      </c>
      <c r="F1226" s="177">
        <v>331</v>
      </c>
      <c r="G1226" s="177" t="s">
        <v>19</v>
      </c>
      <c r="H1226" s="177" t="s">
        <v>20</v>
      </c>
      <c r="I1226" s="177" t="s">
        <v>21</v>
      </c>
      <c r="J1226" s="177"/>
      <c r="K1226" s="177" t="s">
        <v>62</v>
      </c>
      <c r="L1226" s="177">
        <v>38</v>
      </c>
      <c r="M1226" s="177" t="s">
        <v>63</v>
      </c>
      <c r="N1226" s="178">
        <v>1025</v>
      </c>
      <c r="O1226" s="178">
        <v>1020</v>
      </c>
      <c r="P1226" s="392">
        <v>6000</v>
      </c>
      <c r="Q1226" s="177">
        <v>2</v>
      </c>
      <c r="R1226" s="177">
        <v>2</v>
      </c>
      <c r="S1226" s="177" t="s">
        <v>354</v>
      </c>
      <c r="T1226" s="179">
        <v>44855</v>
      </c>
      <c r="U1226" s="179">
        <v>44890</v>
      </c>
      <c r="V1226" s="177" t="s">
        <v>355</v>
      </c>
      <c r="W1226" s="177"/>
      <c r="X1226" s="177"/>
      <c r="Y1226" s="144"/>
    </row>
    <row r="1227" spans="1:25" ht="13.5" x14ac:dyDescent="0.15">
      <c r="A1227" s="177">
        <v>3684751</v>
      </c>
      <c r="B1227" s="177" t="s">
        <v>351</v>
      </c>
      <c r="C1227" s="177" t="s">
        <v>363</v>
      </c>
      <c r="D1227" s="177" t="s">
        <v>353</v>
      </c>
      <c r="E1227" s="177" t="s">
        <v>65</v>
      </c>
      <c r="F1227" s="177">
        <v>3321</v>
      </c>
      <c r="G1227" s="177" t="s">
        <v>19</v>
      </c>
      <c r="H1227" s="177" t="s">
        <v>20</v>
      </c>
      <c r="I1227" s="177" t="s">
        <v>21</v>
      </c>
      <c r="J1227" s="177"/>
      <c r="K1227" s="177" t="s">
        <v>67</v>
      </c>
      <c r="L1227" s="177">
        <v>38</v>
      </c>
      <c r="M1227" s="177" t="s">
        <v>68</v>
      </c>
      <c r="N1227" s="178">
        <v>1336</v>
      </c>
      <c r="O1227" s="178">
        <v>1325</v>
      </c>
      <c r="P1227" s="392">
        <v>6000</v>
      </c>
      <c r="Q1227" s="177">
        <v>2</v>
      </c>
      <c r="R1227" s="177">
        <v>50</v>
      </c>
      <c r="S1227" s="177" t="s">
        <v>354</v>
      </c>
      <c r="T1227" s="179">
        <v>44855</v>
      </c>
      <c r="U1227" s="179">
        <v>44890</v>
      </c>
      <c r="V1227" s="177" t="s">
        <v>355</v>
      </c>
      <c r="W1227" s="177"/>
      <c r="X1227" s="177"/>
      <c r="Y1227" s="144"/>
    </row>
    <row r="1228" spans="1:25" ht="13.5" x14ac:dyDescent="0.15">
      <c r="A1228" s="177">
        <v>3684752</v>
      </c>
      <c r="B1228" s="177" t="s">
        <v>351</v>
      </c>
      <c r="C1228" s="177" t="s">
        <v>363</v>
      </c>
      <c r="D1228" s="177" t="s">
        <v>353</v>
      </c>
      <c r="E1228" s="177" t="s">
        <v>65</v>
      </c>
      <c r="F1228" s="177">
        <v>3321</v>
      </c>
      <c r="G1228" s="177" t="s">
        <v>19</v>
      </c>
      <c r="H1228" s="177" t="s">
        <v>20</v>
      </c>
      <c r="I1228" s="177" t="s">
        <v>21</v>
      </c>
      <c r="J1228" s="177"/>
      <c r="K1228" s="177" t="s">
        <v>70</v>
      </c>
      <c r="L1228" s="177">
        <v>38</v>
      </c>
      <c r="M1228" s="177" t="s">
        <v>71</v>
      </c>
      <c r="N1228" s="178">
        <v>1336</v>
      </c>
      <c r="O1228" s="178">
        <v>1325</v>
      </c>
      <c r="P1228" s="392">
        <v>6000</v>
      </c>
      <c r="Q1228" s="177">
        <v>2</v>
      </c>
      <c r="R1228" s="177">
        <v>50</v>
      </c>
      <c r="S1228" s="177" t="s">
        <v>354</v>
      </c>
      <c r="T1228" s="179">
        <v>44855</v>
      </c>
      <c r="U1228" s="179">
        <v>44890</v>
      </c>
      <c r="V1228" s="177" t="s">
        <v>355</v>
      </c>
      <c r="W1228" s="177"/>
      <c r="X1228" s="177"/>
      <c r="Y1228" s="144"/>
    </row>
    <row r="1229" spans="1:25" ht="13.5" x14ac:dyDescent="0.15">
      <c r="A1229" s="177">
        <v>3684753</v>
      </c>
      <c r="B1229" s="177" t="s">
        <v>351</v>
      </c>
      <c r="C1229" s="177" t="s">
        <v>356</v>
      </c>
      <c r="D1229" s="177" t="s">
        <v>353</v>
      </c>
      <c r="E1229" s="177" t="s">
        <v>255</v>
      </c>
      <c r="F1229" s="177">
        <v>3</v>
      </c>
      <c r="G1229" s="177" t="s">
        <v>19</v>
      </c>
      <c r="H1229" s="177" t="s">
        <v>20</v>
      </c>
      <c r="I1229" s="177" t="s">
        <v>256</v>
      </c>
      <c r="J1229" s="177"/>
      <c r="K1229" s="177" t="s">
        <v>257</v>
      </c>
      <c r="L1229" s="177">
        <v>100</v>
      </c>
      <c r="M1229" s="177" t="s">
        <v>258</v>
      </c>
      <c r="N1229" s="178">
        <v>1000</v>
      </c>
      <c r="O1229" s="178">
        <v>1000</v>
      </c>
      <c r="P1229" s="392">
        <v>6000</v>
      </c>
      <c r="Q1229" s="177">
        <v>2</v>
      </c>
      <c r="R1229" s="177">
        <v>6</v>
      </c>
      <c r="S1229" s="177" t="s">
        <v>354</v>
      </c>
      <c r="T1229" s="179">
        <v>44855</v>
      </c>
      <c r="U1229" s="179">
        <v>44880</v>
      </c>
      <c r="V1229" s="177" t="s">
        <v>355</v>
      </c>
      <c r="W1229" s="177"/>
      <c r="X1229" s="177"/>
      <c r="Y1229" s="144"/>
    </row>
    <row r="1230" spans="1:25" ht="13.5" x14ac:dyDescent="0.15">
      <c r="A1230" s="177">
        <v>3684754</v>
      </c>
      <c r="B1230" s="177" t="s">
        <v>351</v>
      </c>
      <c r="C1230" s="177" t="s">
        <v>356</v>
      </c>
      <c r="D1230" s="177" t="s">
        <v>353</v>
      </c>
      <c r="E1230" s="177" t="s">
        <v>255</v>
      </c>
      <c r="F1230" s="177">
        <v>3</v>
      </c>
      <c r="G1230" s="177" t="s">
        <v>19</v>
      </c>
      <c r="H1230" s="177" t="s">
        <v>20</v>
      </c>
      <c r="I1230" s="177" t="s">
        <v>256</v>
      </c>
      <c r="J1230" s="177"/>
      <c r="K1230" s="177" t="s">
        <v>257</v>
      </c>
      <c r="L1230" s="177">
        <v>125</v>
      </c>
      <c r="M1230" s="177" t="s">
        <v>258</v>
      </c>
      <c r="N1230" s="178">
        <v>1000</v>
      </c>
      <c r="O1230" s="178">
        <v>1000</v>
      </c>
      <c r="P1230" s="392">
        <v>6000</v>
      </c>
      <c r="Q1230" s="177">
        <v>2</v>
      </c>
      <c r="R1230" s="177">
        <v>6</v>
      </c>
      <c r="S1230" s="177" t="s">
        <v>354</v>
      </c>
      <c r="T1230" s="179">
        <v>44855</v>
      </c>
      <c r="U1230" s="179">
        <v>44880</v>
      </c>
      <c r="V1230" s="177" t="s">
        <v>355</v>
      </c>
      <c r="W1230" s="177"/>
      <c r="X1230" s="177"/>
      <c r="Y1230" s="144"/>
    </row>
    <row r="1231" spans="1:25" ht="13.5" x14ac:dyDescent="0.15">
      <c r="A1231" s="177">
        <v>3684755</v>
      </c>
      <c r="B1231" s="177" t="s">
        <v>351</v>
      </c>
      <c r="C1231" s="177" t="s">
        <v>356</v>
      </c>
      <c r="D1231" s="177" t="s">
        <v>353</v>
      </c>
      <c r="E1231" s="177" t="s">
        <v>255</v>
      </c>
      <c r="F1231" s="177">
        <v>3</v>
      </c>
      <c r="G1231" s="177" t="s">
        <v>19</v>
      </c>
      <c r="H1231" s="177" t="s">
        <v>20</v>
      </c>
      <c r="I1231" s="177" t="s">
        <v>256</v>
      </c>
      <c r="J1231" s="177"/>
      <c r="K1231" s="177" t="s">
        <v>257</v>
      </c>
      <c r="L1231" s="177">
        <v>188</v>
      </c>
      <c r="M1231" s="177" t="s">
        <v>258</v>
      </c>
      <c r="N1231" s="178">
        <v>1000</v>
      </c>
      <c r="O1231" s="178">
        <v>1000</v>
      </c>
      <c r="P1231" s="392">
        <v>6000</v>
      </c>
      <c r="Q1231" s="177">
        <v>2</v>
      </c>
      <c r="R1231" s="177">
        <v>6</v>
      </c>
      <c r="S1231" s="177" t="s">
        <v>354</v>
      </c>
      <c r="T1231" s="179">
        <v>44855</v>
      </c>
      <c r="U1231" s="179">
        <v>44880</v>
      </c>
      <c r="V1231" s="177" t="s">
        <v>355</v>
      </c>
      <c r="W1231" s="177"/>
      <c r="X1231" s="177"/>
      <c r="Y1231" s="144"/>
    </row>
    <row r="1232" spans="1:25" ht="13.5" x14ac:dyDescent="0.15">
      <c r="A1232" s="177">
        <v>3684756</v>
      </c>
      <c r="B1232" s="177" t="s">
        <v>351</v>
      </c>
      <c r="C1232" s="177" t="s">
        <v>358</v>
      </c>
      <c r="D1232" s="177" t="s">
        <v>353</v>
      </c>
      <c r="E1232" s="177" t="s">
        <v>131</v>
      </c>
      <c r="F1232" s="177">
        <v>3</v>
      </c>
      <c r="G1232" s="177" t="s">
        <v>19</v>
      </c>
      <c r="H1232" s="177" t="s">
        <v>20</v>
      </c>
      <c r="I1232" s="177" t="s">
        <v>132</v>
      </c>
      <c r="J1232" s="177"/>
      <c r="K1232" s="177" t="s">
        <v>133</v>
      </c>
      <c r="L1232" s="177">
        <v>75</v>
      </c>
      <c r="M1232" s="177" t="s">
        <v>134</v>
      </c>
      <c r="N1232" s="178">
        <v>600</v>
      </c>
      <c r="O1232" s="178">
        <v>600</v>
      </c>
      <c r="P1232" s="392">
        <v>6000</v>
      </c>
      <c r="Q1232" s="177">
        <v>2</v>
      </c>
      <c r="R1232" s="177">
        <v>48</v>
      </c>
      <c r="S1232" s="177" t="s">
        <v>354</v>
      </c>
      <c r="T1232" s="179">
        <v>44855</v>
      </c>
      <c r="U1232" s="179">
        <v>44880</v>
      </c>
      <c r="V1232" s="177" t="s">
        <v>355</v>
      </c>
      <c r="W1232" s="177"/>
      <c r="X1232" s="177"/>
      <c r="Y1232" s="144"/>
    </row>
    <row r="1233" spans="1:25" ht="13.5" x14ac:dyDescent="0.15">
      <c r="A1233" s="177">
        <v>3684761</v>
      </c>
      <c r="B1233" s="177" t="s">
        <v>351</v>
      </c>
      <c r="C1233" s="177" t="s">
        <v>364</v>
      </c>
      <c r="D1233" s="177" t="s">
        <v>353</v>
      </c>
      <c r="E1233" s="177" t="s">
        <v>162</v>
      </c>
      <c r="F1233" s="177">
        <v>3</v>
      </c>
      <c r="G1233" s="177" t="s">
        <v>19</v>
      </c>
      <c r="H1233" s="177" t="s">
        <v>20</v>
      </c>
      <c r="I1233" s="177" t="s">
        <v>143</v>
      </c>
      <c r="J1233" s="177"/>
      <c r="K1233" s="177" t="s">
        <v>163</v>
      </c>
      <c r="L1233" s="177">
        <v>38</v>
      </c>
      <c r="M1233" s="177" t="s">
        <v>164</v>
      </c>
      <c r="N1233" s="178">
        <v>1320</v>
      </c>
      <c r="O1233" s="178">
        <v>1320</v>
      </c>
      <c r="P1233" s="392">
        <v>6000</v>
      </c>
      <c r="Q1233" s="177">
        <v>2</v>
      </c>
      <c r="R1233" s="177">
        <v>6</v>
      </c>
      <c r="S1233" s="177" t="s">
        <v>354</v>
      </c>
      <c r="T1233" s="179">
        <v>44855</v>
      </c>
      <c r="U1233" s="179">
        <v>44880</v>
      </c>
      <c r="V1233" s="177" t="s">
        <v>355</v>
      </c>
      <c r="W1233" s="177"/>
      <c r="X1233" s="177"/>
      <c r="Y1233" s="144"/>
    </row>
    <row r="1234" spans="1:25" ht="13.5" x14ac:dyDescent="0.15">
      <c r="A1234" s="177">
        <v>3684762</v>
      </c>
      <c r="B1234" s="177" t="s">
        <v>351</v>
      </c>
      <c r="C1234" s="177" t="s">
        <v>364</v>
      </c>
      <c r="D1234" s="177" t="s">
        <v>353</v>
      </c>
      <c r="E1234" s="177" t="s">
        <v>162</v>
      </c>
      <c r="F1234" s="177">
        <v>3</v>
      </c>
      <c r="G1234" s="177" t="s">
        <v>19</v>
      </c>
      <c r="H1234" s="177" t="s">
        <v>20</v>
      </c>
      <c r="I1234" s="177" t="s">
        <v>143</v>
      </c>
      <c r="J1234" s="177"/>
      <c r="K1234" s="177" t="s">
        <v>163</v>
      </c>
      <c r="L1234" s="177">
        <v>50</v>
      </c>
      <c r="M1234" s="177" t="s">
        <v>164</v>
      </c>
      <c r="N1234" s="178">
        <v>1320</v>
      </c>
      <c r="O1234" s="178">
        <v>1320</v>
      </c>
      <c r="P1234" s="392">
        <v>6000</v>
      </c>
      <c r="Q1234" s="177">
        <v>2</v>
      </c>
      <c r="R1234" s="177">
        <v>1</v>
      </c>
      <c r="S1234" s="177" t="s">
        <v>354</v>
      </c>
      <c r="T1234" s="179">
        <v>44855</v>
      </c>
      <c r="U1234" s="179">
        <v>44880</v>
      </c>
      <c r="V1234" s="177" t="s">
        <v>355</v>
      </c>
      <c r="W1234" s="177"/>
      <c r="X1234" s="177"/>
      <c r="Y1234" s="144"/>
    </row>
    <row r="1235" spans="1:25" ht="13.5" x14ac:dyDescent="0.15">
      <c r="A1235" s="177">
        <v>3684777</v>
      </c>
      <c r="B1235" s="177" t="s">
        <v>351</v>
      </c>
      <c r="C1235" s="177" t="s">
        <v>352</v>
      </c>
      <c r="D1235" s="177" t="s">
        <v>353</v>
      </c>
      <c r="E1235" s="177" t="s">
        <v>116</v>
      </c>
      <c r="F1235" s="177">
        <v>3</v>
      </c>
      <c r="G1235" s="177" t="s">
        <v>19</v>
      </c>
      <c r="H1235" s="177" t="s">
        <v>20</v>
      </c>
      <c r="I1235" s="177" t="s">
        <v>143</v>
      </c>
      <c r="J1235" s="177"/>
      <c r="K1235" s="177" t="s">
        <v>159</v>
      </c>
      <c r="L1235" s="177">
        <v>25</v>
      </c>
      <c r="M1235" s="177" t="s">
        <v>160</v>
      </c>
      <c r="N1235" s="178">
        <v>1005</v>
      </c>
      <c r="O1235" s="178">
        <v>1000</v>
      </c>
      <c r="P1235" s="392">
        <v>6000</v>
      </c>
      <c r="Q1235" s="177">
        <v>2</v>
      </c>
      <c r="R1235" s="177">
        <v>3</v>
      </c>
      <c r="S1235" s="177" t="s">
        <v>354</v>
      </c>
      <c r="T1235" s="179">
        <v>44855</v>
      </c>
      <c r="U1235" s="179">
        <v>44886</v>
      </c>
      <c r="V1235" s="177" t="s">
        <v>355</v>
      </c>
      <c r="W1235" s="177"/>
      <c r="X1235" s="177"/>
      <c r="Y1235" s="144"/>
    </row>
    <row r="1236" spans="1:25" ht="13.5" x14ac:dyDescent="0.15">
      <c r="A1236" s="177">
        <v>3684789</v>
      </c>
      <c r="B1236" s="177" t="s">
        <v>351</v>
      </c>
      <c r="C1236" s="177" t="s">
        <v>352</v>
      </c>
      <c r="D1236" s="177" t="s">
        <v>353</v>
      </c>
      <c r="E1236" s="177" t="s">
        <v>116</v>
      </c>
      <c r="F1236" s="177">
        <v>3</v>
      </c>
      <c r="G1236" s="177" t="s">
        <v>19</v>
      </c>
      <c r="H1236" s="177" t="s">
        <v>20</v>
      </c>
      <c r="I1236" s="177" t="s">
        <v>143</v>
      </c>
      <c r="J1236" s="177"/>
      <c r="K1236" s="177" t="s">
        <v>144</v>
      </c>
      <c r="L1236" s="177">
        <v>50</v>
      </c>
      <c r="M1236" s="177" t="s">
        <v>145</v>
      </c>
      <c r="N1236" s="178">
        <v>1002</v>
      </c>
      <c r="O1236" s="178">
        <v>1000</v>
      </c>
      <c r="P1236" s="392">
        <v>6000</v>
      </c>
      <c r="Q1236" s="177">
        <v>2</v>
      </c>
      <c r="R1236" s="177">
        <v>5</v>
      </c>
      <c r="S1236" s="177" t="s">
        <v>354</v>
      </c>
      <c r="T1236" s="179">
        <v>44855</v>
      </c>
      <c r="U1236" s="179">
        <v>44904</v>
      </c>
      <c r="V1236" s="177" t="s">
        <v>355</v>
      </c>
      <c r="W1236" s="177"/>
      <c r="X1236" s="177"/>
      <c r="Y1236" s="144"/>
    </row>
    <row r="1237" spans="1:25" ht="13.5" x14ac:dyDescent="0.15">
      <c r="A1237" s="177">
        <v>3688943</v>
      </c>
      <c r="B1237" s="177" t="s">
        <v>351</v>
      </c>
      <c r="C1237" s="177" t="s">
        <v>358</v>
      </c>
      <c r="D1237" s="177" t="s">
        <v>353</v>
      </c>
      <c r="E1237" s="177" t="s">
        <v>90</v>
      </c>
      <c r="F1237" s="177">
        <v>3</v>
      </c>
      <c r="G1237" s="177" t="s">
        <v>19</v>
      </c>
      <c r="H1237" s="177" t="s">
        <v>20</v>
      </c>
      <c r="I1237" s="177" t="s">
        <v>21</v>
      </c>
      <c r="J1237" s="177"/>
      <c r="K1237" s="177" t="s">
        <v>88</v>
      </c>
      <c r="L1237" s="177">
        <v>75</v>
      </c>
      <c r="M1237" s="177" t="s">
        <v>361</v>
      </c>
      <c r="N1237" s="178">
        <v>620</v>
      </c>
      <c r="O1237" s="178">
        <v>620</v>
      </c>
      <c r="P1237" s="392">
        <v>6000</v>
      </c>
      <c r="Q1237" s="177">
        <v>2</v>
      </c>
      <c r="R1237" s="177">
        <v>20</v>
      </c>
      <c r="S1237" s="177" t="s">
        <v>354</v>
      </c>
      <c r="T1237" s="179">
        <v>44886</v>
      </c>
      <c r="U1237" s="179">
        <v>44900</v>
      </c>
      <c r="V1237" s="177" t="s">
        <v>355</v>
      </c>
      <c r="W1237" s="177"/>
      <c r="X1237" s="177"/>
      <c r="Y1237" s="144"/>
    </row>
    <row r="1238" spans="1:25" ht="13.5" x14ac:dyDescent="0.15">
      <c r="A1238" s="177">
        <v>3688944</v>
      </c>
      <c r="B1238" s="177" t="s">
        <v>351</v>
      </c>
      <c r="C1238" s="177" t="s">
        <v>356</v>
      </c>
      <c r="D1238" s="177" t="s">
        <v>353</v>
      </c>
      <c r="E1238" s="177" t="s">
        <v>87</v>
      </c>
      <c r="F1238" s="177">
        <v>3</v>
      </c>
      <c r="G1238" s="177" t="s">
        <v>19</v>
      </c>
      <c r="H1238" s="177" t="s">
        <v>20</v>
      </c>
      <c r="I1238" s="177" t="s">
        <v>21</v>
      </c>
      <c r="J1238" s="177"/>
      <c r="K1238" s="177" t="s">
        <v>88</v>
      </c>
      <c r="L1238" s="177">
        <v>75</v>
      </c>
      <c r="M1238" s="177" t="s">
        <v>361</v>
      </c>
      <c r="N1238" s="178">
        <v>220</v>
      </c>
      <c r="O1238" s="178">
        <v>220</v>
      </c>
      <c r="P1238" s="392">
        <v>6000</v>
      </c>
      <c r="Q1238" s="177">
        <v>1</v>
      </c>
      <c r="R1238" s="177">
        <v>45</v>
      </c>
      <c r="S1238" s="177" t="s">
        <v>354</v>
      </c>
      <c r="T1238" s="179">
        <v>44886</v>
      </c>
      <c r="U1238" s="179">
        <v>44900</v>
      </c>
      <c r="V1238" s="177" t="s">
        <v>355</v>
      </c>
      <c r="W1238" s="177"/>
      <c r="X1238" s="177"/>
      <c r="Y1238" s="144"/>
    </row>
    <row r="1239" spans="1:25" ht="13.5" x14ac:dyDescent="0.15">
      <c r="A1239" s="177">
        <v>3688946</v>
      </c>
      <c r="B1239" s="177" t="s">
        <v>351</v>
      </c>
      <c r="C1239" s="177" t="s">
        <v>356</v>
      </c>
      <c r="D1239" s="177" t="s">
        <v>353</v>
      </c>
      <c r="E1239" s="177"/>
      <c r="F1239" s="177">
        <v>3</v>
      </c>
      <c r="G1239" s="177" t="s">
        <v>19</v>
      </c>
      <c r="H1239" s="177" t="s">
        <v>20</v>
      </c>
      <c r="I1239" s="177" t="s">
        <v>21</v>
      </c>
      <c r="J1239" s="177"/>
      <c r="K1239" s="177" t="s">
        <v>88</v>
      </c>
      <c r="L1239" s="177">
        <v>125</v>
      </c>
      <c r="M1239" s="177" t="s">
        <v>361</v>
      </c>
      <c r="N1239" s="178">
        <v>200</v>
      </c>
      <c r="O1239" s="178">
        <v>200</v>
      </c>
      <c r="P1239" s="392">
        <v>6000</v>
      </c>
      <c r="Q1239" s="177">
        <v>1</v>
      </c>
      <c r="R1239" s="177">
        <v>30</v>
      </c>
      <c r="S1239" s="177" t="s">
        <v>354</v>
      </c>
      <c r="T1239" s="179">
        <v>44886</v>
      </c>
      <c r="U1239" s="179">
        <v>44900</v>
      </c>
      <c r="V1239" s="177" t="s">
        <v>355</v>
      </c>
      <c r="W1239" s="177"/>
      <c r="X1239" s="177"/>
      <c r="Y1239" s="144"/>
    </row>
    <row r="1240" spans="1:25" ht="13.5" x14ac:dyDescent="0.15">
      <c r="A1240" s="177">
        <v>3688949</v>
      </c>
      <c r="B1240" s="177" t="s">
        <v>351</v>
      </c>
      <c r="C1240" s="177" t="s">
        <v>358</v>
      </c>
      <c r="D1240" s="177" t="s">
        <v>353</v>
      </c>
      <c r="E1240" s="177" t="s">
        <v>95</v>
      </c>
      <c r="F1240" s="177" t="s">
        <v>96</v>
      </c>
      <c r="G1240" s="177" t="s">
        <v>19</v>
      </c>
      <c r="H1240" s="177" t="s">
        <v>20</v>
      </c>
      <c r="I1240" s="177" t="s">
        <v>21</v>
      </c>
      <c r="J1240" s="177"/>
      <c r="K1240" s="177" t="s">
        <v>88</v>
      </c>
      <c r="L1240" s="177">
        <v>188</v>
      </c>
      <c r="M1240" s="177" t="s">
        <v>361</v>
      </c>
      <c r="N1240" s="178">
        <v>360</v>
      </c>
      <c r="O1240" s="178">
        <v>360</v>
      </c>
      <c r="P1240" s="392">
        <v>6000</v>
      </c>
      <c r="Q1240" s="177">
        <v>2</v>
      </c>
      <c r="R1240" s="177">
        <v>72</v>
      </c>
      <c r="S1240" s="177" t="s">
        <v>354</v>
      </c>
      <c r="T1240" s="179">
        <v>44886</v>
      </c>
      <c r="U1240" s="179">
        <v>44900</v>
      </c>
      <c r="V1240" s="177" t="s">
        <v>355</v>
      </c>
      <c r="W1240" s="177"/>
      <c r="X1240" s="177"/>
      <c r="Y1240" s="144"/>
    </row>
    <row r="1241" spans="1:25" ht="13.5" x14ac:dyDescent="0.15">
      <c r="A1241" s="177">
        <v>3688951</v>
      </c>
      <c r="B1241" s="177" t="s">
        <v>351</v>
      </c>
      <c r="C1241" s="177" t="s">
        <v>358</v>
      </c>
      <c r="D1241" s="177" t="s">
        <v>353</v>
      </c>
      <c r="E1241" s="177" t="s">
        <v>362</v>
      </c>
      <c r="F1241" s="177">
        <v>3</v>
      </c>
      <c r="G1241" s="177" t="s">
        <v>19</v>
      </c>
      <c r="H1241" s="177" t="s">
        <v>20</v>
      </c>
      <c r="I1241" s="177" t="s">
        <v>21</v>
      </c>
      <c r="J1241" s="177"/>
      <c r="K1241" s="177" t="s">
        <v>88</v>
      </c>
      <c r="L1241" s="177">
        <v>188</v>
      </c>
      <c r="M1241" s="177" t="s">
        <v>361</v>
      </c>
      <c r="N1241" s="178">
        <v>1130</v>
      </c>
      <c r="O1241" s="178">
        <v>1130</v>
      </c>
      <c r="P1241" s="392">
        <v>6000</v>
      </c>
      <c r="Q1241" s="177">
        <v>2</v>
      </c>
      <c r="R1241" s="177">
        <v>17</v>
      </c>
      <c r="S1241" s="177" t="s">
        <v>354</v>
      </c>
      <c r="T1241" s="179">
        <v>44886</v>
      </c>
      <c r="U1241" s="179">
        <v>44900</v>
      </c>
      <c r="V1241" s="177" t="s">
        <v>355</v>
      </c>
      <c r="W1241" s="177"/>
      <c r="X1241" s="177"/>
      <c r="Y1241" s="144"/>
    </row>
    <row r="1242" spans="1:25" ht="13.5" x14ac:dyDescent="0.15">
      <c r="A1242" s="177">
        <v>3688953</v>
      </c>
      <c r="B1242" s="177" t="s">
        <v>351</v>
      </c>
      <c r="C1242" s="177" t="s">
        <v>358</v>
      </c>
      <c r="D1242" s="177" t="s">
        <v>353</v>
      </c>
      <c r="E1242" s="177" t="s">
        <v>362</v>
      </c>
      <c r="F1242" s="177">
        <v>3</v>
      </c>
      <c r="G1242" s="177" t="s">
        <v>19</v>
      </c>
      <c r="H1242" s="177" t="s">
        <v>20</v>
      </c>
      <c r="I1242" s="177" t="s">
        <v>21</v>
      </c>
      <c r="J1242" s="177"/>
      <c r="K1242" s="177" t="s">
        <v>88</v>
      </c>
      <c r="L1242" s="177">
        <v>100</v>
      </c>
      <c r="M1242" s="177" t="s">
        <v>361</v>
      </c>
      <c r="N1242" s="178">
        <v>330</v>
      </c>
      <c r="O1242" s="178">
        <v>330</v>
      </c>
      <c r="P1242" s="392">
        <v>6000</v>
      </c>
      <c r="Q1242" s="177">
        <v>1</v>
      </c>
      <c r="R1242" s="177">
        <v>72</v>
      </c>
      <c r="S1242" s="177" t="s">
        <v>354</v>
      </c>
      <c r="T1242" s="179">
        <v>44886</v>
      </c>
      <c r="U1242" s="179">
        <v>44900</v>
      </c>
      <c r="V1242" s="177" t="s">
        <v>355</v>
      </c>
      <c r="W1242" s="177"/>
      <c r="X1242" s="177"/>
      <c r="Y1242" s="144"/>
    </row>
    <row r="1243" spans="1:25" ht="13.5" x14ac:dyDescent="0.15">
      <c r="A1243" s="177">
        <v>3688954</v>
      </c>
      <c r="B1243" s="177" t="s">
        <v>351</v>
      </c>
      <c r="C1243" s="177" t="s">
        <v>364</v>
      </c>
      <c r="D1243" s="177" t="s">
        <v>353</v>
      </c>
      <c r="E1243" s="177" t="s">
        <v>93</v>
      </c>
      <c r="F1243" s="177">
        <v>331</v>
      </c>
      <c r="G1243" s="177" t="s">
        <v>19</v>
      </c>
      <c r="H1243" s="177" t="s">
        <v>20</v>
      </c>
      <c r="I1243" s="177" t="s">
        <v>21</v>
      </c>
      <c r="J1243" s="177"/>
      <c r="K1243" s="177" t="s">
        <v>88</v>
      </c>
      <c r="L1243" s="177">
        <v>100</v>
      </c>
      <c r="M1243" s="177" t="s">
        <v>361</v>
      </c>
      <c r="N1243" s="178">
        <v>450</v>
      </c>
      <c r="O1243" s="178">
        <v>450</v>
      </c>
      <c r="P1243" s="392">
        <v>6000</v>
      </c>
      <c r="Q1243" s="177">
        <v>2</v>
      </c>
      <c r="R1243" s="177">
        <v>48</v>
      </c>
      <c r="S1243" s="177" t="s">
        <v>354</v>
      </c>
      <c r="T1243" s="179">
        <v>44886</v>
      </c>
      <c r="U1243" s="179">
        <v>44900</v>
      </c>
      <c r="V1243" s="177" t="s">
        <v>355</v>
      </c>
      <c r="W1243" s="177"/>
      <c r="X1243" s="177"/>
      <c r="Y1243" s="144"/>
    </row>
    <row r="1244" spans="1:25" ht="13.5" x14ac:dyDescent="0.15">
      <c r="A1244" s="177">
        <v>3688957</v>
      </c>
      <c r="B1244" s="177" t="s">
        <v>351</v>
      </c>
      <c r="C1244" s="177" t="s">
        <v>356</v>
      </c>
      <c r="D1244" s="177" t="s">
        <v>353</v>
      </c>
      <c r="E1244" s="177" t="s">
        <v>668</v>
      </c>
      <c r="F1244" s="177">
        <v>3</v>
      </c>
      <c r="G1244" s="177" t="s">
        <v>19</v>
      </c>
      <c r="H1244" s="177" t="s">
        <v>28</v>
      </c>
      <c r="I1244" s="177" t="s">
        <v>21</v>
      </c>
      <c r="J1244" s="177"/>
      <c r="K1244" s="177" t="s">
        <v>102</v>
      </c>
      <c r="L1244" s="177">
        <v>50</v>
      </c>
      <c r="M1244" s="177" t="s">
        <v>103</v>
      </c>
      <c r="N1244" s="178">
        <v>1050</v>
      </c>
      <c r="O1244" s="178">
        <v>1040</v>
      </c>
      <c r="P1244" s="392">
        <v>6000</v>
      </c>
      <c r="Q1244" s="177">
        <v>2</v>
      </c>
      <c r="R1244" s="177">
        <v>8</v>
      </c>
      <c r="S1244" s="177" t="s">
        <v>354</v>
      </c>
      <c r="T1244" s="179">
        <v>44886</v>
      </c>
      <c r="U1244" s="179">
        <v>44900</v>
      </c>
      <c r="V1244" s="177" t="s">
        <v>355</v>
      </c>
      <c r="W1244" s="177"/>
      <c r="X1244" s="177"/>
      <c r="Y1244" s="144"/>
    </row>
    <row r="1245" spans="1:25" ht="13.5" x14ac:dyDescent="0.15">
      <c r="A1245" s="177">
        <v>3688959</v>
      </c>
      <c r="B1245" s="177" t="s">
        <v>431</v>
      </c>
      <c r="C1245" s="177" t="s">
        <v>364</v>
      </c>
      <c r="D1245" s="177" t="s">
        <v>353</v>
      </c>
      <c r="E1245" s="177" t="s">
        <v>371</v>
      </c>
      <c r="F1245" s="177">
        <v>331</v>
      </c>
      <c r="G1245" s="177" t="s">
        <v>265</v>
      </c>
      <c r="H1245" s="177" t="s">
        <v>20</v>
      </c>
      <c r="I1245" s="177" t="s">
        <v>21</v>
      </c>
      <c r="J1245" s="177"/>
      <c r="K1245" s="177" t="s">
        <v>118</v>
      </c>
      <c r="L1245" s="177">
        <v>25</v>
      </c>
      <c r="M1245" s="177" t="s">
        <v>119</v>
      </c>
      <c r="N1245" s="178">
        <v>1425</v>
      </c>
      <c r="O1245" s="178">
        <v>1420</v>
      </c>
      <c r="P1245" s="392">
        <v>6000</v>
      </c>
      <c r="Q1245" s="177">
        <v>2</v>
      </c>
      <c r="R1245" s="177">
        <v>11</v>
      </c>
      <c r="S1245" s="177" t="s">
        <v>354</v>
      </c>
      <c r="T1245" s="179">
        <v>44886</v>
      </c>
      <c r="U1245" s="179">
        <v>44904</v>
      </c>
      <c r="V1245" s="177" t="s">
        <v>355</v>
      </c>
      <c r="W1245" s="177"/>
      <c r="X1245" s="177"/>
      <c r="Y1245" s="144"/>
    </row>
    <row r="1246" spans="1:25" ht="13.5" x14ac:dyDescent="0.15">
      <c r="A1246" s="177">
        <v>3688961</v>
      </c>
      <c r="B1246" s="177" t="s">
        <v>431</v>
      </c>
      <c r="C1246" s="177" t="s">
        <v>356</v>
      </c>
      <c r="D1246" s="177" t="s">
        <v>353</v>
      </c>
      <c r="E1246" s="177" t="s">
        <v>130</v>
      </c>
      <c r="F1246" s="177">
        <v>3</v>
      </c>
      <c r="G1246" s="177" t="s">
        <v>265</v>
      </c>
      <c r="H1246" s="177" t="s">
        <v>20</v>
      </c>
      <c r="I1246" s="177" t="s">
        <v>21</v>
      </c>
      <c r="J1246" s="177"/>
      <c r="K1246" s="177" t="s">
        <v>435</v>
      </c>
      <c r="L1246" s="177">
        <v>25</v>
      </c>
      <c r="M1246" s="177" t="s">
        <v>436</v>
      </c>
      <c r="N1246" s="178">
        <v>1410</v>
      </c>
      <c r="O1246" s="178">
        <v>1410</v>
      </c>
      <c r="P1246" s="392">
        <v>6000</v>
      </c>
      <c r="Q1246" s="177">
        <v>2</v>
      </c>
      <c r="R1246" s="177">
        <v>18</v>
      </c>
      <c r="S1246" s="177" t="s">
        <v>354</v>
      </c>
      <c r="T1246" s="179">
        <v>44886</v>
      </c>
      <c r="U1246" s="179">
        <v>44904</v>
      </c>
      <c r="V1246" s="177" t="s">
        <v>355</v>
      </c>
      <c r="W1246" s="177"/>
      <c r="X1246" s="177"/>
      <c r="Y1246" s="144"/>
    </row>
    <row r="1247" spans="1:25" ht="13.5" x14ac:dyDescent="0.15">
      <c r="A1247" s="177">
        <v>3688963</v>
      </c>
      <c r="B1247" s="177" t="s">
        <v>351</v>
      </c>
      <c r="C1247" s="177" t="s">
        <v>352</v>
      </c>
      <c r="D1247" s="177" t="s">
        <v>353</v>
      </c>
      <c r="E1247" s="177" t="s">
        <v>116</v>
      </c>
      <c r="F1247" s="177">
        <v>3</v>
      </c>
      <c r="G1247" s="177" t="s">
        <v>19</v>
      </c>
      <c r="H1247" s="177" t="s">
        <v>20</v>
      </c>
      <c r="I1247" s="177" t="s">
        <v>21</v>
      </c>
      <c r="J1247" s="177"/>
      <c r="K1247" s="177" t="s">
        <v>118</v>
      </c>
      <c r="L1247" s="177">
        <v>38</v>
      </c>
      <c r="M1247" s="177" t="s">
        <v>368</v>
      </c>
      <c r="N1247" s="178">
        <v>1415</v>
      </c>
      <c r="O1247" s="178">
        <v>1410</v>
      </c>
      <c r="P1247" s="392">
        <v>6000</v>
      </c>
      <c r="Q1247" s="177">
        <v>2</v>
      </c>
      <c r="R1247" s="177">
        <v>3</v>
      </c>
      <c r="S1247" s="177" t="s">
        <v>354</v>
      </c>
      <c r="T1247" s="179">
        <v>44886</v>
      </c>
      <c r="U1247" s="179">
        <v>44918</v>
      </c>
      <c r="V1247" s="177" t="s">
        <v>355</v>
      </c>
      <c r="W1247" s="177"/>
      <c r="X1247" s="177"/>
      <c r="Y1247" s="144"/>
    </row>
    <row r="1248" spans="1:25" ht="13.5" x14ac:dyDescent="0.15">
      <c r="A1248" s="177">
        <v>3688965</v>
      </c>
      <c r="B1248" s="177" t="s">
        <v>351</v>
      </c>
      <c r="C1248" s="177" t="s">
        <v>356</v>
      </c>
      <c r="D1248" s="177" t="s">
        <v>353</v>
      </c>
      <c r="E1248" s="177" t="s">
        <v>106</v>
      </c>
      <c r="F1248" s="177">
        <v>3</v>
      </c>
      <c r="G1248" s="177" t="s">
        <v>19</v>
      </c>
      <c r="H1248" s="177" t="s">
        <v>20</v>
      </c>
      <c r="I1248" s="177" t="s">
        <v>21</v>
      </c>
      <c r="J1248" s="177"/>
      <c r="K1248" s="177" t="s">
        <v>107</v>
      </c>
      <c r="L1248" s="177">
        <v>25</v>
      </c>
      <c r="M1248" s="177" t="s">
        <v>367</v>
      </c>
      <c r="N1248" s="178">
        <v>1240</v>
      </c>
      <c r="O1248" s="178">
        <v>1240</v>
      </c>
      <c r="P1248" s="392">
        <v>6000</v>
      </c>
      <c r="Q1248" s="177">
        <v>2</v>
      </c>
      <c r="R1248" s="177">
        <v>20</v>
      </c>
      <c r="S1248" s="177" t="s">
        <v>354</v>
      </c>
      <c r="T1248" s="179">
        <v>44886</v>
      </c>
      <c r="U1248" s="179">
        <v>44904</v>
      </c>
      <c r="V1248" s="177" t="s">
        <v>355</v>
      </c>
      <c r="W1248" s="177"/>
      <c r="X1248" s="177"/>
      <c r="Y1248" s="144"/>
    </row>
    <row r="1249" spans="1:25" ht="13.5" x14ac:dyDescent="0.15">
      <c r="A1249" s="177">
        <v>3688967</v>
      </c>
      <c r="B1249" s="177" t="s">
        <v>431</v>
      </c>
      <c r="C1249" s="177" t="s">
        <v>364</v>
      </c>
      <c r="D1249" s="177" t="s">
        <v>353</v>
      </c>
      <c r="E1249" s="177" t="s">
        <v>371</v>
      </c>
      <c r="F1249" s="177">
        <v>3</v>
      </c>
      <c r="G1249" s="177" t="s">
        <v>265</v>
      </c>
      <c r="H1249" s="177" t="s">
        <v>20</v>
      </c>
      <c r="I1249" s="177" t="s">
        <v>21</v>
      </c>
      <c r="J1249" s="177"/>
      <c r="K1249" s="177" t="s">
        <v>118</v>
      </c>
      <c r="L1249" s="177">
        <v>25</v>
      </c>
      <c r="M1249" s="177" t="s">
        <v>119</v>
      </c>
      <c r="N1249" s="178">
        <v>1155</v>
      </c>
      <c r="O1249" s="178">
        <v>1150</v>
      </c>
      <c r="P1249" s="392">
        <v>6000</v>
      </c>
      <c r="Q1249" s="177">
        <v>2</v>
      </c>
      <c r="R1249" s="177">
        <v>3</v>
      </c>
      <c r="S1249" s="177" t="s">
        <v>354</v>
      </c>
      <c r="T1249" s="179">
        <v>44886</v>
      </c>
      <c r="U1249" s="179">
        <v>44904</v>
      </c>
      <c r="V1249" s="177" t="s">
        <v>355</v>
      </c>
      <c r="W1249" s="177"/>
      <c r="X1249" s="177"/>
      <c r="Y1249" s="144"/>
    </row>
    <row r="1250" spans="1:25" ht="13.5" x14ac:dyDescent="0.15">
      <c r="A1250" s="177">
        <v>3688969</v>
      </c>
      <c r="B1250" s="177" t="s">
        <v>351</v>
      </c>
      <c r="C1250" s="177" t="s">
        <v>356</v>
      </c>
      <c r="D1250" s="177" t="s">
        <v>353</v>
      </c>
      <c r="E1250" s="177" t="s">
        <v>115</v>
      </c>
      <c r="F1250" s="177">
        <v>3</v>
      </c>
      <c r="G1250" s="177" t="s">
        <v>19</v>
      </c>
      <c r="H1250" s="177" t="s">
        <v>20</v>
      </c>
      <c r="I1250" s="177" t="s">
        <v>21</v>
      </c>
      <c r="J1250" s="177"/>
      <c r="K1250" s="177" t="s">
        <v>112</v>
      </c>
      <c r="L1250" s="177">
        <v>38</v>
      </c>
      <c r="M1250" s="177" t="s">
        <v>357</v>
      </c>
      <c r="N1250" s="178">
        <v>1135</v>
      </c>
      <c r="O1250" s="178">
        <v>1130</v>
      </c>
      <c r="P1250" s="392">
        <v>6000</v>
      </c>
      <c r="Q1250" s="177">
        <v>2</v>
      </c>
      <c r="R1250" s="177">
        <v>4</v>
      </c>
      <c r="S1250" s="177" t="s">
        <v>354</v>
      </c>
      <c r="T1250" s="179">
        <v>44886</v>
      </c>
      <c r="U1250" s="179">
        <v>44904</v>
      </c>
      <c r="V1250" s="177" t="s">
        <v>355</v>
      </c>
      <c r="W1250" s="177"/>
      <c r="X1250" s="177"/>
      <c r="Y1250" s="144"/>
    </row>
    <row r="1251" spans="1:25" ht="13.5" x14ac:dyDescent="0.15">
      <c r="A1251" s="177">
        <v>3688971</v>
      </c>
      <c r="B1251" s="177" t="s">
        <v>351</v>
      </c>
      <c r="C1251" s="177" t="s">
        <v>356</v>
      </c>
      <c r="D1251" s="177" t="s">
        <v>353</v>
      </c>
      <c r="E1251" s="177" t="s">
        <v>17</v>
      </c>
      <c r="F1251" s="177">
        <v>3</v>
      </c>
      <c r="G1251" s="177" t="s">
        <v>19</v>
      </c>
      <c r="H1251" s="177" t="s">
        <v>20</v>
      </c>
      <c r="I1251" s="177" t="s">
        <v>21</v>
      </c>
      <c r="J1251" s="177"/>
      <c r="K1251" s="177" t="s">
        <v>104</v>
      </c>
      <c r="L1251" s="177">
        <v>25</v>
      </c>
      <c r="M1251" s="177" t="s">
        <v>375</v>
      </c>
      <c r="N1251" s="178">
        <v>1100</v>
      </c>
      <c r="O1251" s="178">
        <v>1100</v>
      </c>
      <c r="P1251" s="392">
        <v>6000</v>
      </c>
      <c r="Q1251" s="177">
        <v>2</v>
      </c>
      <c r="R1251" s="177">
        <v>3</v>
      </c>
      <c r="S1251" s="177" t="s">
        <v>354</v>
      </c>
      <c r="T1251" s="179">
        <v>44886</v>
      </c>
      <c r="U1251" s="179">
        <v>44904</v>
      </c>
      <c r="V1251" s="177" t="s">
        <v>355</v>
      </c>
      <c r="W1251" s="177"/>
      <c r="X1251" s="177"/>
      <c r="Y1251" s="144"/>
    </row>
    <row r="1252" spans="1:25" ht="13.5" x14ac:dyDescent="0.15">
      <c r="A1252" s="177">
        <v>3688973</v>
      </c>
      <c r="B1252" s="177" t="s">
        <v>351</v>
      </c>
      <c r="C1252" s="177" t="s">
        <v>358</v>
      </c>
      <c r="D1252" s="177" t="s">
        <v>353</v>
      </c>
      <c r="E1252" s="177" t="s">
        <v>110</v>
      </c>
      <c r="F1252" s="177">
        <v>3</v>
      </c>
      <c r="G1252" s="177" t="s">
        <v>19</v>
      </c>
      <c r="H1252" s="177" t="s">
        <v>20</v>
      </c>
      <c r="I1252" s="177" t="s">
        <v>21</v>
      </c>
      <c r="J1252" s="177"/>
      <c r="K1252" s="177" t="s">
        <v>112</v>
      </c>
      <c r="L1252" s="177">
        <v>25</v>
      </c>
      <c r="M1252" s="177" t="s">
        <v>357</v>
      </c>
      <c r="N1252" s="178">
        <v>450</v>
      </c>
      <c r="O1252" s="178">
        <v>450</v>
      </c>
      <c r="P1252" s="392">
        <v>6000</v>
      </c>
      <c r="Q1252" s="177">
        <v>2</v>
      </c>
      <c r="R1252" s="177">
        <v>12</v>
      </c>
      <c r="S1252" s="177" t="s">
        <v>354</v>
      </c>
      <c r="T1252" s="179">
        <v>44886</v>
      </c>
      <c r="U1252" s="179">
        <v>44904</v>
      </c>
      <c r="V1252" s="177" t="s">
        <v>355</v>
      </c>
      <c r="W1252" s="177"/>
      <c r="X1252" s="177"/>
      <c r="Y1252" s="144"/>
    </row>
    <row r="1253" spans="1:25" ht="13.5" x14ac:dyDescent="0.15">
      <c r="A1253" s="177">
        <v>3688975</v>
      </c>
      <c r="B1253" s="177" t="s">
        <v>351</v>
      </c>
      <c r="C1253" s="177" t="s">
        <v>356</v>
      </c>
      <c r="D1253" s="177" t="s">
        <v>353</v>
      </c>
      <c r="E1253" s="177" t="s">
        <v>106</v>
      </c>
      <c r="F1253" s="177">
        <v>3</v>
      </c>
      <c r="G1253" s="177" t="s">
        <v>19</v>
      </c>
      <c r="H1253" s="177" t="s">
        <v>20</v>
      </c>
      <c r="I1253" s="177" t="s">
        <v>21</v>
      </c>
      <c r="J1253" s="177"/>
      <c r="K1253" s="177" t="s">
        <v>107</v>
      </c>
      <c r="L1253" s="177">
        <v>38</v>
      </c>
      <c r="M1253" s="177" t="s">
        <v>367</v>
      </c>
      <c r="N1253" s="178">
        <v>1040</v>
      </c>
      <c r="O1253" s="178">
        <v>1040</v>
      </c>
      <c r="P1253" s="392">
        <v>6000</v>
      </c>
      <c r="Q1253" s="177">
        <v>2</v>
      </c>
      <c r="R1253" s="177">
        <v>2</v>
      </c>
      <c r="S1253" s="177" t="s">
        <v>354</v>
      </c>
      <c r="T1253" s="179">
        <v>44886</v>
      </c>
      <c r="U1253" s="179">
        <v>44904</v>
      </c>
      <c r="V1253" s="177" t="s">
        <v>355</v>
      </c>
      <c r="W1253" s="177"/>
      <c r="X1253" s="177"/>
      <c r="Y1253" s="144"/>
    </row>
    <row r="1254" spans="1:25" ht="13.5" x14ac:dyDescent="0.15">
      <c r="A1254" s="177">
        <v>3688977</v>
      </c>
      <c r="B1254" s="177" t="s">
        <v>351</v>
      </c>
      <c r="C1254" s="177" t="s">
        <v>352</v>
      </c>
      <c r="D1254" s="177" t="s">
        <v>353</v>
      </c>
      <c r="E1254" s="177" t="s">
        <v>116</v>
      </c>
      <c r="F1254" s="177">
        <v>3</v>
      </c>
      <c r="G1254" s="177" t="s">
        <v>19</v>
      </c>
      <c r="H1254" s="177" t="s">
        <v>20</v>
      </c>
      <c r="I1254" s="177" t="s">
        <v>21</v>
      </c>
      <c r="J1254" s="177"/>
      <c r="K1254" s="177" t="s">
        <v>118</v>
      </c>
      <c r="L1254" s="177">
        <v>38</v>
      </c>
      <c r="M1254" s="177" t="s">
        <v>368</v>
      </c>
      <c r="N1254" s="178">
        <v>1005</v>
      </c>
      <c r="O1254" s="178">
        <v>1000</v>
      </c>
      <c r="P1254" s="392">
        <v>6000</v>
      </c>
      <c r="Q1254" s="177">
        <v>2</v>
      </c>
      <c r="R1254" s="177">
        <v>2</v>
      </c>
      <c r="S1254" s="177" t="s">
        <v>354</v>
      </c>
      <c r="T1254" s="179">
        <v>44886</v>
      </c>
      <c r="U1254" s="179">
        <v>44918</v>
      </c>
      <c r="V1254" s="177" t="s">
        <v>355</v>
      </c>
      <c r="W1254" s="177"/>
      <c r="X1254" s="177"/>
      <c r="Y1254" s="144"/>
    </row>
    <row r="1255" spans="1:25" ht="13.5" x14ac:dyDescent="0.15">
      <c r="A1255" s="177">
        <v>3688979</v>
      </c>
      <c r="B1255" s="177" t="s">
        <v>351</v>
      </c>
      <c r="C1255" s="177" t="s">
        <v>356</v>
      </c>
      <c r="D1255" s="177" t="s">
        <v>353</v>
      </c>
      <c r="E1255" s="177" t="s">
        <v>17</v>
      </c>
      <c r="F1255" s="177">
        <v>3</v>
      </c>
      <c r="G1255" s="177" t="s">
        <v>19</v>
      </c>
      <c r="H1255" s="177" t="s">
        <v>20</v>
      </c>
      <c r="I1255" s="177" t="s">
        <v>21</v>
      </c>
      <c r="J1255" s="177"/>
      <c r="K1255" s="177" t="s">
        <v>22</v>
      </c>
      <c r="L1255" s="177">
        <v>38</v>
      </c>
      <c r="M1255" s="177" t="s">
        <v>23</v>
      </c>
      <c r="N1255" s="178">
        <v>1037</v>
      </c>
      <c r="O1255" s="178">
        <v>1030</v>
      </c>
      <c r="P1255" s="392">
        <v>6000</v>
      </c>
      <c r="Q1255" s="177">
        <v>2</v>
      </c>
      <c r="R1255" s="177">
        <v>65</v>
      </c>
      <c r="S1255" s="177" t="s">
        <v>354</v>
      </c>
      <c r="T1255" s="179">
        <v>44886</v>
      </c>
      <c r="U1255" s="179">
        <v>44904</v>
      </c>
      <c r="V1255" s="177" t="s">
        <v>355</v>
      </c>
      <c r="W1255" s="177"/>
      <c r="X1255" s="177"/>
      <c r="Y1255" s="144"/>
    </row>
    <row r="1256" spans="1:25" ht="13.5" x14ac:dyDescent="0.15">
      <c r="A1256" s="177">
        <v>3688981</v>
      </c>
      <c r="B1256" s="177" t="s">
        <v>351</v>
      </c>
      <c r="C1256" s="177" t="s">
        <v>356</v>
      </c>
      <c r="D1256" s="177" t="s">
        <v>353</v>
      </c>
      <c r="E1256" s="177" t="s">
        <v>17</v>
      </c>
      <c r="F1256" s="177">
        <v>3</v>
      </c>
      <c r="G1256" s="177" t="s">
        <v>19</v>
      </c>
      <c r="H1256" s="177" t="s">
        <v>20</v>
      </c>
      <c r="I1256" s="177" t="s">
        <v>21</v>
      </c>
      <c r="J1256" s="177"/>
      <c r="K1256" s="177" t="s">
        <v>22</v>
      </c>
      <c r="L1256" s="177">
        <v>38</v>
      </c>
      <c r="M1256" s="177" t="s">
        <v>23</v>
      </c>
      <c r="N1256" s="178">
        <v>1057</v>
      </c>
      <c r="O1256" s="178">
        <v>1050</v>
      </c>
      <c r="P1256" s="392">
        <v>6000</v>
      </c>
      <c r="Q1256" s="177">
        <v>2</v>
      </c>
      <c r="R1256" s="177">
        <v>9</v>
      </c>
      <c r="S1256" s="177" t="s">
        <v>354</v>
      </c>
      <c r="T1256" s="179">
        <v>44886</v>
      </c>
      <c r="U1256" s="179">
        <v>44904</v>
      </c>
      <c r="V1256" s="177" t="s">
        <v>355</v>
      </c>
      <c r="W1256" s="177"/>
      <c r="X1256" s="177"/>
      <c r="Y1256" s="144"/>
    </row>
    <row r="1257" spans="1:25" ht="13.5" x14ac:dyDescent="0.15">
      <c r="A1257" s="177">
        <v>3688983</v>
      </c>
      <c r="B1257" s="177" t="s">
        <v>351</v>
      </c>
      <c r="C1257" s="177" t="s">
        <v>356</v>
      </c>
      <c r="D1257" s="177" t="s">
        <v>353</v>
      </c>
      <c r="E1257" s="177" t="s">
        <v>17</v>
      </c>
      <c r="F1257" s="177">
        <v>331</v>
      </c>
      <c r="G1257" s="177" t="s">
        <v>19</v>
      </c>
      <c r="H1257" s="177" t="s">
        <v>20</v>
      </c>
      <c r="I1257" s="177" t="s">
        <v>21</v>
      </c>
      <c r="J1257" s="177"/>
      <c r="K1257" s="177" t="s">
        <v>29</v>
      </c>
      <c r="L1257" s="177">
        <v>38</v>
      </c>
      <c r="M1257" s="177" t="s">
        <v>30</v>
      </c>
      <c r="N1257" s="178">
        <v>1330</v>
      </c>
      <c r="O1257" s="178">
        <v>1330</v>
      </c>
      <c r="P1257" s="392">
        <v>6000</v>
      </c>
      <c r="Q1257" s="177">
        <v>2</v>
      </c>
      <c r="R1257" s="177">
        <v>10</v>
      </c>
      <c r="S1257" s="177" t="s">
        <v>354</v>
      </c>
      <c r="T1257" s="179">
        <v>44886</v>
      </c>
      <c r="U1257" s="179">
        <v>44904</v>
      </c>
      <c r="V1257" s="177" t="s">
        <v>355</v>
      </c>
      <c r="W1257" s="177"/>
      <c r="X1257" s="177"/>
      <c r="Y1257" s="144"/>
    </row>
    <row r="1258" spans="1:25" ht="13.5" x14ac:dyDescent="0.15">
      <c r="A1258" s="177">
        <v>3688986</v>
      </c>
      <c r="B1258" s="177" t="s">
        <v>351</v>
      </c>
      <c r="C1258" s="177" t="s">
        <v>356</v>
      </c>
      <c r="D1258" s="177" t="s">
        <v>353</v>
      </c>
      <c r="E1258" s="177" t="s">
        <v>32</v>
      </c>
      <c r="F1258" s="177">
        <v>331</v>
      </c>
      <c r="G1258" s="177" t="s">
        <v>19</v>
      </c>
      <c r="H1258" s="177" t="s">
        <v>20</v>
      </c>
      <c r="I1258" s="177" t="s">
        <v>21</v>
      </c>
      <c r="J1258" s="177"/>
      <c r="K1258" s="177" t="s">
        <v>33</v>
      </c>
      <c r="L1258" s="177">
        <v>25</v>
      </c>
      <c r="M1258" s="177" t="s">
        <v>30</v>
      </c>
      <c r="N1258" s="178">
        <v>1330</v>
      </c>
      <c r="O1258" s="178">
        <v>1330</v>
      </c>
      <c r="P1258" s="392">
        <v>6000</v>
      </c>
      <c r="Q1258" s="177">
        <v>2</v>
      </c>
      <c r="R1258" s="177">
        <v>2</v>
      </c>
      <c r="S1258" s="177" t="s">
        <v>354</v>
      </c>
      <c r="T1258" s="179">
        <v>44886</v>
      </c>
      <c r="U1258" s="179">
        <v>44904</v>
      </c>
      <c r="V1258" s="177" t="s">
        <v>355</v>
      </c>
      <c r="W1258" s="177"/>
      <c r="X1258" s="177"/>
      <c r="Y1258" s="144"/>
    </row>
    <row r="1259" spans="1:25" ht="13.5" x14ac:dyDescent="0.15">
      <c r="A1259" s="177">
        <v>3688988</v>
      </c>
      <c r="B1259" s="177" t="s">
        <v>351</v>
      </c>
      <c r="C1259" s="177" t="s">
        <v>356</v>
      </c>
      <c r="D1259" s="177" t="s">
        <v>353</v>
      </c>
      <c r="E1259" s="177" t="s">
        <v>32</v>
      </c>
      <c r="F1259" s="177">
        <v>331</v>
      </c>
      <c r="G1259" s="177" t="s">
        <v>19</v>
      </c>
      <c r="H1259" s="177" t="s">
        <v>20</v>
      </c>
      <c r="I1259" s="177" t="s">
        <v>21</v>
      </c>
      <c r="J1259" s="177"/>
      <c r="K1259" s="177" t="s">
        <v>33</v>
      </c>
      <c r="L1259" s="177">
        <v>38</v>
      </c>
      <c r="M1259" s="177" t="s">
        <v>30</v>
      </c>
      <c r="N1259" s="178">
        <v>1330</v>
      </c>
      <c r="O1259" s="178">
        <v>1330</v>
      </c>
      <c r="P1259" s="392">
        <v>6000</v>
      </c>
      <c r="Q1259" s="177">
        <v>2</v>
      </c>
      <c r="R1259" s="177">
        <v>8</v>
      </c>
      <c r="S1259" s="177" t="s">
        <v>354</v>
      </c>
      <c r="T1259" s="179">
        <v>44886</v>
      </c>
      <c r="U1259" s="179">
        <v>44904</v>
      </c>
      <c r="V1259" s="177" t="s">
        <v>355</v>
      </c>
      <c r="W1259" s="177"/>
      <c r="X1259" s="177"/>
      <c r="Y1259" s="144"/>
    </row>
    <row r="1260" spans="1:25" ht="13.5" x14ac:dyDescent="0.15">
      <c r="A1260" s="177">
        <v>3688989</v>
      </c>
      <c r="B1260" s="177" t="s">
        <v>351</v>
      </c>
      <c r="C1260" s="177" t="s">
        <v>356</v>
      </c>
      <c r="D1260" s="177" t="s">
        <v>353</v>
      </c>
      <c r="E1260" s="177" t="s">
        <v>32</v>
      </c>
      <c r="F1260" s="177">
        <v>331</v>
      </c>
      <c r="G1260" s="177" t="s">
        <v>19</v>
      </c>
      <c r="H1260" s="177" t="s">
        <v>20</v>
      </c>
      <c r="I1260" s="177" t="s">
        <v>21</v>
      </c>
      <c r="J1260" s="177"/>
      <c r="K1260" s="177" t="s">
        <v>33</v>
      </c>
      <c r="L1260" s="177">
        <v>38</v>
      </c>
      <c r="M1260" s="177" t="s">
        <v>30</v>
      </c>
      <c r="N1260" s="178">
        <v>1580</v>
      </c>
      <c r="O1260" s="178">
        <v>1580</v>
      </c>
      <c r="P1260" s="392">
        <v>6000</v>
      </c>
      <c r="Q1260" s="177">
        <v>2</v>
      </c>
      <c r="R1260" s="177">
        <v>2</v>
      </c>
      <c r="S1260" s="177" t="s">
        <v>354</v>
      </c>
      <c r="T1260" s="179">
        <v>44886</v>
      </c>
      <c r="U1260" s="179">
        <v>44904</v>
      </c>
      <c r="V1260" s="177" t="s">
        <v>355</v>
      </c>
      <c r="W1260" s="177"/>
      <c r="X1260" s="177"/>
      <c r="Y1260" s="144"/>
    </row>
    <row r="1261" spans="1:25" ht="13.5" x14ac:dyDescent="0.15">
      <c r="A1261" s="177">
        <v>3688991</v>
      </c>
      <c r="B1261" s="177" t="s">
        <v>351</v>
      </c>
      <c r="C1261" s="177" t="s">
        <v>358</v>
      </c>
      <c r="D1261" s="177" t="s">
        <v>353</v>
      </c>
      <c r="E1261" s="177" t="s">
        <v>61</v>
      </c>
      <c r="F1261" s="177">
        <v>3313</v>
      </c>
      <c r="G1261" s="177" t="s">
        <v>19</v>
      </c>
      <c r="H1261" s="177" t="s">
        <v>20</v>
      </c>
      <c r="I1261" s="177" t="s">
        <v>21</v>
      </c>
      <c r="J1261" s="177"/>
      <c r="K1261" s="177" t="s">
        <v>62</v>
      </c>
      <c r="L1261" s="177">
        <v>38</v>
      </c>
      <c r="M1261" s="177" t="s">
        <v>63</v>
      </c>
      <c r="N1261" s="178">
        <v>750</v>
      </c>
      <c r="O1261" s="178">
        <v>750</v>
      </c>
      <c r="P1261" s="392">
        <v>6000</v>
      </c>
      <c r="Q1261" s="177">
        <v>2</v>
      </c>
      <c r="R1261" s="177">
        <v>28</v>
      </c>
      <c r="S1261" s="177" t="s">
        <v>354</v>
      </c>
      <c r="T1261" s="179">
        <v>44886</v>
      </c>
      <c r="U1261" s="179">
        <v>44909</v>
      </c>
      <c r="V1261" s="177" t="s">
        <v>355</v>
      </c>
      <c r="W1261" s="177"/>
      <c r="X1261" s="177"/>
      <c r="Y1261" s="144"/>
    </row>
    <row r="1262" spans="1:25" ht="13.5" x14ac:dyDescent="0.15">
      <c r="A1262" s="177">
        <v>3688994</v>
      </c>
      <c r="B1262" s="177" t="s">
        <v>351</v>
      </c>
      <c r="C1262" s="177" t="s">
        <v>363</v>
      </c>
      <c r="D1262" s="177" t="s">
        <v>353</v>
      </c>
      <c r="E1262" s="177" t="s">
        <v>65</v>
      </c>
      <c r="F1262" s="177">
        <v>3321</v>
      </c>
      <c r="G1262" s="177" t="s">
        <v>19</v>
      </c>
      <c r="H1262" s="177" t="s">
        <v>20</v>
      </c>
      <c r="I1262" s="177" t="s">
        <v>21</v>
      </c>
      <c r="J1262" s="177"/>
      <c r="K1262" s="177" t="s">
        <v>67</v>
      </c>
      <c r="L1262" s="177">
        <v>38</v>
      </c>
      <c r="M1262" s="177" t="s">
        <v>68</v>
      </c>
      <c r="N1262" s="178">
        <v>1336</v>
      </c>
      <c r="O1262" s="178">
        <v>1325</v>
      </c>
      <c r="P1262" s="392">
        <v>6000</v>
      </c>
      <c r="Q1262" s="177">
        <v>2</v>
      </c>
      <c r="R1262" s="177">
        <v>12</v>
      </c>
      <c r="S1262" s="177" t="s">
        <v>354</v>
      </c>
      <c r="T1262" s="179">
        <v>44886</v>
      </c>
      <c r="U1262" s="179">
        <v>44909</v>
      </c>
      <c r="V1262" s="177" t="s">
        <v>355</v>
      </c>
      <c r="W1262" s="177"/>
      <c r="X1262" s="177"/>
      <c r="Y1262" s="144"/>
    </row>
    <row r="1263" spans="1:25" ht="13.5" x14ac:dyDescent="0.15">
      <c r="A1263" s="177">
        <v>3688996</v>
      </c>
      <c r="B1263" s="177" t="s">
        <v>351</v>
      </c>
      <c r="C1263" s="177" t="s">
        <v>363</v>
      </c>
      <c r="D1263" s="177" t="s">
        <v>353</v>
      </c>
      <c r="E1263" s="177" t="s">
        <v>65</v>
      </c>
      <c r="F1263" s="177">
        <v>3321</v>
      </c>
      <c r="G1263" s="177" t="s">
        <v>19</v>
      </c>
      <c r="H1263" s="177" t="s">
        <v>20</v>
      </c>
      <c r="I1263" s="177" t="s">
        <v>21</v>
      </c>
      <c r="J1263" s="177"/>
      <c r="K1263" s="177" t="s">
        <v>70</v>
      </c>
      <c r="L1263" s="177">
        <v>38</v>
      </c>
      <c r="M1263" s="177" t="s">
        <v>71</v>
      </c>
      <c r="N1263" s="178">
        <v>1336</v>
      </c>
      <c r="O1263" s="178">
        <v>1325</v>
      </c>
      <c r="P1263" s="392">
        <v>6000</v>
      </c>
      <c r="Q1263" s="177">
        <v>2</v>
      </c>
      <c r="R1263" s="177">
        <v>12</v>
      </c>
      <c r="S1263" s="177" t="s">
        <v>354</v>
      </c>
      <c r="T1263" s="179">
        <v>44886</v>
      </c>
      <c r="U1263" s="179">
        <v>44909</v>
      </c>
      <c r="V1263" s="177" t="s">
        <v>355</v>
      </c>
      <c r="W1263" s="177"/>
      <c r="X1263" s="177"/>
      <c r="Y1263" s="144"/>
    </row>
    <row r="1264" spans="1:25" ht="13.5" x14ac:dyDescent="0.15">
      <c r="A1264" s="177">
        <v>3688998</v>
      </c>
      <c r="B1264" s="177" t="s">
        <v>351</v>
      </c>
      <c r="C1264" s="177" t="s">
        <v>363</v>
      </c>
      <c r="D1264" s="177" t="s">
        <v>353</v>
      </c>
      <c r="E1264" s="177" t="s">
        <v>65</v>
      </c>
      <c r="F1264" s="177">
        <v>3321</v>
      </c>
      <c r="G1264" s="177" t="s">
        <v>19</v>
      </c>
      <c r="H1264" s="177" t="s">
        <v>20</v>
      </c>
      <c r="I1264" s="177" t="s">
        <v>21</v>
      </c>
      <c r="J1264" s="177"/>
      <c r="K1264" s="177" t="s">
        <v>67</v>
      </c>
      <c r="L1264" s="177">
        <v>38</v>
      </c>
      <c r="M1264" s="177" t="s">
        <v>68</v>
      </c>
      <c r="N1264" s="178">
        <v>1336</v>
      </c>
      <c r="O1264" s="178">
        <v>1325</v>
      </c>
      <c r="P1264" s="392">
        <v>6000</v>
      </c>
      <c r="Q1264" s="177">
        <v>2</v>
      </c>
      <c r="R1264" s="177">
        <v>30</v>
      </c>
      <c r="S1264" s="177" t="s">
        <v>354</v>
      </c>
      <c r="T1264" s="179">
        <v>44886</v>
      </c>
      <c r="U1264" s="179">
        <v>44911</v>
      </c>
      <c r="V1264" s="177" t="s">
        <v>355</v>
      </c>
      <c r="W1264" s="177"/>
      <c r="X1264" s="177"/>
      <c r="Y1264" s="144"/>
    </row>
    <row r="1265" spans="1:25" ht="13.5" x14ac:dyDescent="0.15">
      <c r="A1265" s="177">
        <v>3688999</v>
      </c>
      <c r="B1265" s="177" t="s">
        <v>351</v>
      </c>
      <c r="C1265" s="177" t="s">
        <v>363</v>
      </c>
      <c r="D1265" s="177" t="s">
        <v>353</v>
      </c>
      <c r="E1265" s="177" t="s">
        <v>65</v>
      </c>
      <c r="F1265" s="177">
        <v>3321</v>
      </c>
      <c r="G1265" s="177" t="s">
        <v>19</v>
      </c>
      <c r="H1265" s="177" t="s">
        <v>20</v>
      </c>
      <c r="I1265" s="177" t="s">
        <v>21</v>
      </c>
      <c r="J1265" s="177"/>
      <c r="K1265" s="177" t="s">
        <v>70</v>
      </c>
      <c r="L1265" s="177">
        <v>38</v>
      </c>
      <c r="M1265" s="177" t="s">
        <v>71</v>
      </c>
      <c r="N1265" s="178">
        <v>1336</v>
      </c>
      <c r="O1265" s="178">
        <v>1325</v>
      </c>
      <c r="P1265" s="392">
        <v>6000</v>
      </c>
      <c r="Q1265" s="177">
        <v>2</v>
      </c>
      <c r="R1265" s="177">
        <v>30</v>
      </c>
      <c r="S1265" s="177" t="s">
        <v>354</v>
      </c>
      <c r="T1265" s="179">
        <v>44886</v>
      </c>
      <c r="U1265" s="179">
        <v>44911</v>
      </c>
      <c r="V1265" s="177" t="s">
        <v>355</v>
      </c>
      <c r="W1265" s="177"/>
      <c r="X1265" s="177"/>
      <c r="Y1265" s="144"/>
    </row>
    <row r="1266" spans="1:25" ht="13.5" x14ac:dyDescent="0.15">
      <c r="A1266" s="177">
        <v>3689001</v>
      </c>
      <c r="B1266" s="177" t="s">
        <v>351</v>
      </c>
      <c r="C1266" s="177" t="s">
        <v>356</v>
      </c>
      <c r="D1266" s="177" t="s">
        <v>353</v>
      </c>
      <c r="E1266" s="177" t="s">
        <v>17</v>
      </c>
      <c r="F1266" s="177">
        <v>3</v>
      </c>
      <c r="G1266" s="177" t="s">
        <v>19</v>
      </c>
      <c r="H1266" s="177" t="s">
        <v>20</v>
      </c>
      <c r="I1266" s="177" t="s">
        <v>21</v>
      </c>
      <c r="J1266" s="177"/>
      <c r="K1266" s="177" t="s">
        <v>437</v>
      </c>
      <c r="L1266" s="177">
        <v>75</v>
      </c>
      <c r="M1266" s="177" t="s">
        <v>438</v>
      </c>
      <c r="N1266" s="178">
        <v>1330</v>
      </c>
      <c r="O1266" s="178">
        <v>1330</v>
      </c>
      <c r="P1266" s="392">
        <v>6000</v>
      </c>
      <c r="Q1266" s="177">
        <v>2</v>
      </c>
      <c r="R1266" s="177">
        <v>3</v>
      </c>
      <c r="S1266" s="177" t="s">
        <v>354</v>
      </c>
      <c r="T1266" s="179">
        <v>44886</v>
      </c>
      <c r="U1266" s="179">
        <v>44918</v>
      </c>
      <c r="V1266" s="177" t="s">
        <v>355</v>
      </c>
      <c r="W1266" s="177"/>
      <c r="X1266" s="177"/>
      <c r="Y1266" s="144"/>
    </row>
    <row r="1267" spans="1:25" ht="13.5" x14ac:dyDescent="0.15">
      <c r="A1267" s="177">
        <v>3689004</v>
      </c>
      <c r="B1267" s="177" t="s">
        <v>351</v>
      </c>
      <c r="C1267" s="177" t="s">
        <v>356</v>
      </c>
      <c r="D1267" s="177" t="s">
        <v>353</v>
      </c>
      <c r="E1267" s="177" t="s">
        <v>17</v>
      </c>
      <c r="F1267" s="177">
        <v>331</v>
      </c>
      <c r="G1267" s="177" t="s">
        <v>19</v>
      </c>
      <c r="H1267" s="177" t="s">
        <v>20</v>
      </c>
      <c r="I1267" s="177" t="s">
        <v>21</v>
      </c>
      <c r="J1267" s="177"/>
      <c r="K1267" s="177" t="s">
        <v>52</v>
      </c>
      <c r="L1267" s="177">
        <v>38</v>
      </c>
      <c r="M1267" s="177" t="s">
        <v>53</v>
      </c>
      <c r="N1267" s="178">
        <v>1330</v>
      </c>
      <c r="O1267" s="178">
        <v>1330</v>
      </c>
      <c r="P1267" s="392">
        <v>6000</v>
      </c>
      <c r="Q1267" s="177">
        <v>2</v>
      </c>
      <c r="R1267" s="177">
        <v>30</v>
      </c>
      <c r="S1267" s="177" t="s">
        <v>354</v>
      </c>
      <c r="T1267" s="179">
        <v>44886</v>
      </c>
      <c r="U1267" s="179">
        <v>44918</v>
      </c>
      <c r="V1267" s="177" t="s">
        <v>355</v>
      </c>
      <c r="W1267" s="177"/>
      <c r="X1267" s="177"/>
      <c r="Y1267" s="144"/>
    </row>
    <row r="1268" spans="1:25" ht="13.5" x14ac:dyDescent="0.15">
      <c r="A1268" s="177">
        <v>3689005</v>
      </c>
      <c r="B1268" s="177" t="s">
        <v>351</v>
      </c>
      <c r="C1268" s="177" t="s">
        <v>356</v>
      </c>
      <c r="D1268" s="177" t="s">
        <v>353</v>
      </c>
      <c r="E1268" s="177" t="s">
        <v>32</v>
      </c>
      <c r="F1268" s="177">
        <v>331</v>
      </c>
      <c r="G1268" s="177" t="s">
        <v>19</v>
      </c>
      <c r="H1268" s="177" t="s">
        <v>20</v>
      </c>
      <c r="I1268" s="177" t="s">
        <v>21</v>
      </c>
      <c r="J1268" s="177"/>
      <c r="K1268" s="177" t="s">
        <v>54</v>
      </c>
      <c r="L1268" s="177">
        <v>38</v>
      </c>
      <c r="M1268" s="177" t="s">
        <v>53</v>
      </c>
      <c r="N1268" s="178">
        <v>1580</v>
      </c>
      <c r="O1268" s="178">
        <v>1580</v>
      </c>
      <c r="P1268" s="392">
        <v>6000</v>
      </c>
      <c r="Q1268" s="177">
        <v>2</v>
      </c>
      <c r="R1268" s="177">
        <v>6</v>
      </c>
      <c r="S1268" s="177" t="s">
        <v>354</v>
      </c>
      <c r="T1268" s="179">
        <v>44886</v>
      </c>
      <c r="U1268" s="179">
        <v>44918</v>
      </c>
      <c r="V1268" s="177" t="s">
        <v>355</v>
      </c>
      <c r="W1268" s="177"/>
      <c r="X1268" s="177"/>
      <c r="Y1268" s="144"/>
    </row>
    <row r="1269" spans="1:25" ht="13.5" x14ac:dyDescent="0.15">
      <c r="A1269" s="177">
        <v>3689007</v>
      </c>
      <c r="B1269" s="177" t="s">
        <v>351</v>
      </c>
      <c r="C1269" s="177" t="s">
        <v>356</v>
      </c>
      <c r="D1269" s="177" t="s">
        <v>353</v>
      </c>
      <c r="E1269" s="177" t="s">
        <v>32</v>
      </c>
      <c r="F1269" s="177">
        <v>3</v>
      </c>
      <c r="G1269" s="177" t="s">
        <v>19</v>
      </c>
      <c r="H1269" s="177" t="s">
        <v>20</v>
      </c>
      <c r="I1269" s="177" t="s">
        <v>21</v>
      </c>
      <c r="J1269" s="177"/>
      <c r="K1269" s="177" t="s">
        <v>56</v>
      </c>
      <c r="L1269" s="177">
        <v>75</v>
      </c>
      <c r="M1269" s="177" t="s">
        <v>376</v>
      </c>
      <c r="N1269" s="178">
        <v>1330</v>
      </c>
      <c r="O1269" s="178">
        <v>1330</v>
      </c>
      <c r="P1269" s="392">
        <v>6000</v>
      </c>
      <c r="Q1269" s="177">
        <v>2</v>
      </c>
      <c r="R1269" s="177">
        <v>20</v>
      </c>
      <c r="S1269" s="177" t="s">
        <v>354</v>
      </c>
      <c r="T1269" s="179">
        <v>44886</v>
      </c>
      <c r="U1269" s="179">
        <v>44918</v>
      </c>
      <c r="V1269" s="177" t="s">
        <v>355</v>
      </c>
      <c r="W1269" s="177"/>
      <c r="X1269" s="177"/>
      <c r="Y1269" s="144"/>
    </row>
    <row r="1270" spans="1:25" ht="13.5" x14ac:dyDescent="0.15">
      <c r="A1270" s="177">
        <v>3689009</v>
      </c>
      <c r="B1270" s="177" t="s">
        <v>351</v>
      </c>
      <c r="C1270" s="177" t="s">
        <v>363</v>
      </c>
      <c r="D1270" s="177" t="s">
        <v>353</v>
      </c>
      <c r="E1270" s="177" t="s">
        <v>65</v>
      </c>
      <c r="F1270" s="177">
        <v>3321</v>
      </c>
      <c r="G1270" s="177" t="s">
        <v>19</v>
      </c>
      <c r="H1270" s="177" t="s">
        <v>20</v>
      </c>
      <c r="I1270" s="177" t="s">
        <v>21</v>
      </c>
      <c r="J1270" s="177"/>
      <c r="K1270" s="177" t="s">
        <v>67</v>
      </c>
      <c r="L1270" s="177">
        <v>38</v>
      </c>
      <c r="M1270" s="177" t="s">
        <v>68</v>
      </c>
      <c r="N1270" s="178">
        <v>1336</v>
      </c>
      <c r="O1270" s="178">
        <v>1325</v>
      </c>
      <c r="P1270" s="392">
        <v>6000</v>
      </c>
      <c r="Q1270" s="177">
        <v>2</v>
      </c>
      <c r="R1270" s="177">
        <v>23</v>
      </c>
      <c r="S1270" s="177" t="s">
        <v>354</v>
      </c>
      <c r="T1270" s="179">
        <v>44886</v>
      </c>
      <c r="U1270" s="179">
        <v>44918</v>
      </c>
      <c r="V1270" s="177" t="s">
        <v>355</v>
      </c>
      <c r="W1270" s="177"/>
      <c r="X1270" s="177"/>
      <c r="Y1270" s="144"/>
    </row>
    <row r="1271" spans="1:25" ht="13.5" x14ac:dyDescent="0.15">
      <c r="A1271" s="177">
        <v>3689012</v>
      </c>
      <c r="B1271" s="177" t="s">
        <v>351</v>
      </c>
      <c r="C1271" s="177" t="s">
        <v>363</v>
      </c>
      <c r="D1271" s="177" t="s">
        <v>353</v>
      </c>
      <c r="E1271" s="177" t="s">
        <v>65</v>
      </c>
      <c r="F1271" s="177">
        <v>3321</v>
      </c>
      <c r="G1271" s="177" t="s">
        <v>19</v>
      </c>
      <c r="H1271" s="177" t="s">
        <v>20</v>
      </c>
      <c r="I1271" s="177" t="s">
        <v>21</v>
      </c>
      <c r="J1271" s="177"/>
      <c r="K1271" s="177" t="s">
        <v>70</v>
      </c>
      <c r="L1271" s="177">
        <v>38</v>
      </c>
      <c r="M1271" s="177" t="s">
        <v>71</v>
      </c>
      <c r="N1271" s="178">
        <v>1336</v>
      </c>
      <c r="O1271" s="178">
        <v>1325</v>
      </c>
      <c r="P1271" s="392">
        <v>6000</v>
      </c>
      <c r="Q1271" s="177">
        <v>2</v>
      </c>
      <c r="R1271" s="177">
        <v>23</v>
      </c>
      <c r="S1271" s="177" t="s">
        <v>354</v>
      </c>
      <c r="T1271" s="179">
        <v>44886</v>
      </c>
      <c r="U1271" s="179">
        <v>44918</v>
      </c>
      <c r="V1271" s="177" t="s">
        <v>355</v>
      </c>
      <c r="W1271" s="177"/>
      <c r="X1271" s="177"/>
      <c r="Y1271" s="144"/>
    </row>
    <row r="1272" spans="1:25" ht="13.5" x14ac:dyDescent="0.15">
      <c r="A1272" s="177">
        <v>3689013</v>
      </c>
      <c r="B1272" s="177" t="s">
        <v>351</v>
      </c>
      <c r="C1272" s="177" t="s">
        <v>358</v>
      </c>
      <c r="D1272" s="177" t="s">
        <v>353</v>
      </c>
      <c r="E1272" s="177" t="s">
        <v>373</v>
      </c>
      <c r="F1272" s="177">
        <v>3</v>
      </c>
      <c r="G1272" s="177" t="s">
        <v>19</v>
      </c>
      <c r="H1272" s="177" t="s">
        <v>20</v>
      </c>
      <c r="I1272" s="177" t="s">
        <v>21</v>
      </c>
      <c r="J1272" s="177"/>
      <c r="K1272" s="177" t="s">
        <v>80</v>
      </c>
      <c r="L1272" s="177">
        <v>31</v>
      </c>
      <c r="M1272" s="177" t="s">
        <v>374</v>
      </c>
      <c r="N1272" s="178">
        <v>440</v>
      </c>
      <c r="O1272" s="178">
        <v>440</v>
      </c>
      <c r="P1272" s="392">
        <v>6000</v>
      </c>
      <c r="Q1272" s="177">
        <v>1</v>
      </c>
      <c r="R1272" s="177">
        <v>54</v>
      </c>
      <c r="S1272" s="177" t="s">
        <v>354</v>
      </c>
      <c r="T1272" s="179">
        <v>44886</v>
      </c>
      <c r="U1272" s="179">
        <v>44918</v>
      </c>
      <c r="V1272" s="177" t="s">
        <v>355</v>
      </c>
      <c r="W1272" s="177"/>
      <c r="X1272" s="177"/>
      <c r="Y1272" s="144"/>
    </row>
    <row r="1273" spans="1:25" ht="13.5" x14ac:dyDescent="0.15">
      <c r="A1273" s="177">
        <v>3689015</v>
      </c>
      <c r="B1273" s="177" t="s">
        <v>351</v>
      </c>
      <c r="C1273" s="177" t="s">
        <v>358</v>
      </c>
      <c r="D1273" s="177" t="s">
        <v>353</v>
      </c>
      <c r="E1273" s="177" t="s">
        <v>131</v>
      </c>
      <c r="F1273" s="177">
        <v>3</v>
      </c>
      <c r="G1273" s="177" t="s">
        <v>19</v>
      </c>
      <c r="H1273" s="177" t="s">
        <v>20</v>
      </c>
      <c r="I1273" s="177" t="s">
        <v>132</v>
      </c>
      <c r="J1273" s="177"/>
      <c r="K1273" s="177" t="s">
        <v>133</v>
      </c>
      <c r="L1273" s="177">
        <v>75</v>
      </c>
      <c r="M1273" s="177" t="s">
        <v>134</v>
      </c>
      <c r="N1273" s="178">
        <v>600</v>
      </c>
      <c r="O1273" s="178">
        <v>600</v>
      </c>
      <c r="P1273" s="392">
        <v>6000</v>
      </c>
      <c r="Q1273" s="177">
        <v>2</v>
      </c>
      <c r="R1273" s="177">
        <v>18</v>
      </c>
      <c r="S1273" s="177" t="s">
        <v>354</v>
      </c>
      <c r="T1273" s="179">
        <v>44886</v>
      </c>
      <c r="U1273" s="179">
        <v>44918</v>
      </c>
      <c r="V1273" s="177" t="s">
        <v>355</v>
      </c>
      <c r="W1273" s="177"/>
      <c r="X1273" s="177"/>
      <c r="Y1273" s="144"/>
    </row>
    <row r="1274" spans="1:25" ht="13.5" x14ac:dyDescent="0.15">
      <c r="A1274" s="177">
        <v>3689018</v>
      </c>
      <c r="B1274" s="177" t="s">
        <v>351</v>
      </c>
      <c r="C1274" s="177" t="s">
        <v>352</v>
      </c>
      <c r="D1274" s="177" t="s">
        <v>353</v>
      </c>
      <c r="E1274" s="177" t="s">
        <v>155</v>
      </c>
      <c r="F1274" s="177" t="s">
        <v>158</v>
      </c>
      <c r="G1274" s="177" t="s">
        <v>19</v>
      </c>
      <c r="H1274" s="177" t="s">
        <v>20</v>
      </c>
      <c r="I1274" s="177" t="s">
        <v>143</v>
      </c>
      <c r="J1274" s="177"/>
      <c r="K1274" s="177" t="s">
        <v>156</v>
      </c>
      <c r="L1274" s="177">
        <v>25</v>
      </c>
      <c r="M1274" s="177" t="s">
        <v>157</v>
      </c>
      <c r="N1274" s="178">
        <v>1120</v>
      </c>
      <c r="O1274" s="178">
        <v>1120</v>
      </c>
      <c r="P1274" s="392">
        <v>6000</v>
      </c>
      <c r="Q1274" s="177">
        <v>2</v>
      </c>
      <c r="R1274" s="177">
        <v>4</v>
      </c>
      <c r="S1274" s="177" t="s">
        <v>354</v>
      </c>
      <c r="T1274" s="179">
        <v>44886</v>
      </c>
      <c r="U1274" s="179">
        <v>44918</v>
      </c>
      <c r="V1274" s="177" t="s">
        <v>355</v>
      </c>
      <c r="W1274" s="177"/>
      <c r="X1274" s="177"/>
      <c r="Y1274" s="144"/>
    </row>
    <row r="1275" spans="1:25" ht="13.5" x14ac:dyDescent="0.15">
      <c r="A1275" s="177">
        <v>3689020</v>
      </c>
      <c r="B1275" s="177" t="s">
        <v>351</v>
      </c>
      <c r="C1275" s="177" t="s">
        <v>364</v>
      </c>
      <c r="D1275" s="177" t="s">
        <v>353</v>
      </c>
      <c r="E1275" s="177" t="s">
        <v>162</v>
      </c>
      <c r="F1275" s="177">
        <v>3</v>
      </c>
      <c r="G1275" s="177" t="s">
        <v>19</v>
      </c>
      <c r="H1275" s="177" t="s">
        <v>20</v>
      </c>
      <c r="I1275" s="177" t="s">
        <v>143</v>
      </c>
      <c r="J1275" s="177"/>
      <c r="K1275" s="177" t="s">
        <v>163</v>
      </c>
      <c r="L1275" s="177">
        <v>38</v>
      </c>
      <c r="M1275" s="177" t="s">
        <v>164</v>
      </c>
      <c r="N1275" s="178">
        <v>1320</v>
      </c>
      <c r="O1275" s="178">
        <v>1320</v>
      </c>
      <c r="P1275" s="392">
        <v>6000</v>
      </c>
      <c r="Q1275" s="177">
        <v>2</v>
      </c>
      <c r="R1275" s="177">
        <v>5</v>
      </c>
      <c r="S1275" s="177" t="s">
        <v>354</v>
      </c>
      <c r="T1275" s="179">
        <v>44886</v>
      </c>
      <c r="U1275" s="179">
        <v>44918</v>
      </c>
      <c r="V1275" s="177" t="s">
        <v>355</v>
      </c>
      <c r="W1275" s="177"/>
      <c r="X1275" s="177"/>
      <c r="Y1275" s="144"/>
    </row>
    <row r="1276" spans="1:25" ht="13.5" x14ac:dyDescent="0.15">
      <c r="A1276" s="177">
        <v>3689021</v>
      </c>
      <c r="B1276" s="177" t="s">
        <v>351</v>
      </c>
      <c r="C1276" s="177" t="s">
        <v>364</v>
      </c>
      <c r="D1276" s="177" t="s">
        <v>353</v>
      </c>
      <c r="E1276" s="177" t="s">
        <v>162</v>
      </c>
      <c r="F1276" s="177">
        <v>3</v>
      </c>
      <c r="G1276" s="177" t="s">
        <v>19</v>
      </c>
      <c r="H1276" s="177" t="s">
        <v>20</v>
      </c>
      <c r="I1276" s="177" t="s">
        <v>143</v>
      </c>
      <c r="J1276" s="177"/>
      <c r="K1276" s="177" t="s">
        <v>163</v>
      </c>
      <c r="L1276" s="177">
        <v>50</v>
      </c>
      <c r="M1276" s="177" t="s">
        <v>164</v>
      </c>
      <c r="N1276" s="178">
        <v>1320</v>
      </c>
      <c r="O1276" s="178">
        <v>1320</v>
      </c>
      <c r="P1276" s="392">
        <v>6000</v>
      </c>
      <c r="Q1276" s="177">
        <v>2</v>
      </c>
      <c r="R1276" s="177">
        <v>1</v>
      </c>
      <c r="S1276" s="177" t="s">
        <v>354</v>
      </c>
      <c r="T1276" s="179">
        <v>44886</v>
      </c>
      <c r="U1276" s="179">
        <v>44918</v>
      </c>
      <c r="V1276" s="177" t="s">
        <v>355</v>
      </c>
      <c r="W1276" s="177"/>
      <c r="X1276" s="177"/>
      <c r="Y1276" s="144"/>
    </row>
    <row r="1277" spans="1:25" ht="13.5" x14ac:dyDescent="0.15">
      <c r="A1277" s="177">
        <v>3689043</v>
      </c>
      <c r="B1277" s="177" t="s">
        <v>351</v>
      </c>
      <c r="C1277" s="177" t="s">
        <v>352</v>
      </c>
      <c r="D1277" s="177" t="s">
        <v>353</v>
      </c>
      <c r="E1277" s="177" t="s">
        <v>116</v>
      </c>
      <c r="F1277" s="177">
        <v>3</v>
      </c>
      <c r="G1277" s="177" t="s">
        <v>19</v>
      </c>
      <c r="H1277" s="177" t="s">
        <v>20</v>
      </c>
      <c r="I1277" s="177" t="s">
        <v>143</v>
      </c>
      <c r="J1277" s="177"/>
      <c r="K1277" s="177" t="s">
        <v>159</v>
      </c>
      <c r="L1277" s="177">
        <v>25</v>
      </c>
      <c r="M1277" s="177" t="s">
        <v>160</v>
      </c>
      <c r="N1277" s="178">
        <v>1005</v>
      </c>
      <c r="O1277" s="178">
        <v>1000</v>
      </c>
      <c r="P1277" s="392">
        <v>6000</v>
      </c>
      <c r="Q1277" s="177">
        <v>2</v>
      </c>
      <c r="R1277" s="177">
        <v>6</v>
      </c>
      <c r="S1277" s="177" t="s">
        <v>354</v>
      </c>
      <c r="T1277" s="179">
        <v>44886</v>
      </c>
      <c r="U1277" s="179">
        <v>44910</v>
      </c>
      <c r="V1277" s="177" t="s">
        <v>355</v>
      </c>
      <c r="W1277" s="177"/>
      <c r="X1277" s="177"/>
      <c r="Y1277" s="144"/>
    </row>
    <row r="1278" spans="1:25" ht="13.5" x14ac:dyDescent="0.15">
      <c r="A1278" s="177">
        <v>3689057</v>
      </c>
      <c r="B1278" s="177" t="s">
        <v>423</v>
      </c>
      <c r="C1278" s="177" t="s">
        <v>352</v>
      </c>
      <c r="D1278" s="177" t="s">
        <v>353</v>
      </c>
      <c r="E1278" s="177" t="s">
        <v>116</v>
      </c>
      <c r="F1278" s="177">
        <v>3</v>
      </c>
      <c r="G1278" s="177" t="s">
        <v>265</v>
      </c>
      <c r="H1278" s="177" t="s">
        <v>20</v>
      </c>
      <c r="I1278" s="177" t="s">
        <v>143</v>
      </c>
      <c r="J1278" s="177"/>
      <c r="K1278" s="177" t="s">
        <v>666</v>
      </c>
      <c r="L1278" s="177">
        <v>16</v>
      </c>
      <c r="M1278" s="177" t="s">
        <v>667</v>
      </c>
      <c r="N1278" s="178">
        <v>1120</v>
      </c>
      <c r="O1278" s="178">
        <v>1000</v>
      </c>
      <c r="P1278" s="392">
        <v>6000</v>
      </c>
      <c r="Q1278" s="177">
        <v>2</v>
      </c>
      <c r="R1278" s="177">
        <v>1</v>
      </c>
      <c r="S1278" s="177" t="s">
        <v>354</v>
      </c>
      <c r="T1278" s="179">
        <v>44886</v>
      </c>
      <c r="U1278" s="179">
        <v>44910</v>
      </c>
      <c r="V1278" s="177" t="s">
        <v>428</v>
      </c>
      <c r="W1278" s="177"/>
      <c r="X1278" s="177"/>
      <c r="Y1278" s="144"/>
    </row>
    <row r="1279" spans="1:25" ht="13.5" x14ac:dyDescent="0.15">
      <c r="A1279" s="177">
        <v>3694076</v>
      </c>
      <c r="B1279" s="177" t="s">
        <v>351</v>
      </c>
      <c r="C1279" s="177" t="s">
        <v>356</v>
      </c>
      <c r="D1279" s="177" t="s">
        <v>353</v>
      </c>
      <c r="E1279" s="177" t="s">
        <v>32</v>
      </c>
      <c r="F1279" s="177">
        <v>331</v>
      </c>
      <c r="G1279" s="177" t="s">
        <v>19</v>
      </c>
      <c r="H1279" s="177" t="s">
        <v>20</v>
      </c>
      <c r="I1279" s="177" t="s">
        <v>21</v>
      </c>
      <c r="J1279" s="177"/>
      <c r="K1279" s="177" t="s">
        <v>54</v>
      </c>
      <c r="L1279" s="177">
        <v>38</v>
      </c>
      <c r="M1279" s="177" t="s">
        <v>53</v>
      </c>
      <c r="N1279" s="178">
        <v>1580</v>
      </c>
      <c r="O1279" s="178">
        <v>1580</v>
      </c>
      <c r="P1279" s="392">
        <v>6000</v>
      </c>
      <c r="Q1279" s="177">
        <v>2</v>
      </c>
      <c r="R1279" s="177">
        <v>2</v>
      </c>
      <c r="S1279" s="177" t="s">
        <v>354</v>
      </c>
      <c r="T1279" s="179">
        <v>44916</v>
      </c>
      <c r="U1279" s="179">
        <v>44938</v>
      </c>
      <c r="V1279" s="177" t="s">
        <v>355</v>
      </c>
      <c r="W1279" s="177"/>
      <c r="X1279" s="177"/>
      <c r="Y1279" s="144"/>
    </row>
    <row r="1280" spans="1:25" ht="13.5" x14ac:dyDescent="0.15">
      <c r="A1280" s="177">
        <v>3694077</v>
      </c>
      <c r="B1280" s="177" t="s">
        <v>351</v>
      </c>
      <c r="C1280" s="177" t="s">
        <v>356</v>
      </c>
      <c r="D1280" s="177" t="s">
        <v>353</v>
      </c>
      <c r="E1280" s="177" t="s">
        <v>17</v>
      </c>
      <c r="F1280" s="177">
        <v>3</v>
      </c>
      <c r="G1280" s="177" t="s">
        <v>19</v>
      </c>
      <c r="H1280" s="177" t="s">
        <v>20</v>
      </c>
      <c r="I1280" s="177" t="s">
        <v>21</v>
      </c>
      <c r="J1280" s="177"/>
      <c r="K1280" s="177" t="s">
        <v>437</v>
      </c>
      <c r="L1280" s="177">
        <v>75</v>
      </c>
      <c r="M1280" s="177" t="s">
        <v>438</v>
      </c>
      <c r="N1280" s="178">
        <v>1330</v>
      </c>
      <c r="O1280" s="178">
        <v>1330</v>
      </c>
      <c r="P1280" s="392">
        <v>6000</v>
      </c>
      <c r="Q1280" s="177">
        <v>2</v>
      </c>
      <c r="R1280" s="177">
        <v>4</v>
      </c>
      <c r="S1280" s="177" t="s">
        <v>354</v>
      </c>
      <c r="T1280" s="179">
        <v>44916</v>
      </c>
      <c r="U1280" s="179">
        <v>44938</v>
      </c>
      <c r="V1280" s="177" t="s">
        <v>355</v>
      </c>
      <c r="W1280" s="177"/>
      <c r="X1280" s="177"/>
      <c r="Y1280" s="144"/>
    </row>
    <row r="1281" spans="1:25" ht="13.5" x14ac:dyDescent="0.15">
      <c r="A1281" s="177">
        <v>3694078</v>
      </c>
      <c r="B1281" s="177" t="s">
        <v>351</v>
      </c>
      <c r="C1281" s="177" t="s">
        <v>356</v>
      </c>
      <c r="D1281" s="177" t="s">
        <v>353</v>
      </c>
      <c r="E1281" s="177" t="s">
        <v>32</v>
      </c>
      <c r="F1281" s="177">
        <v>331</v>
      </c>
      <c r="G1281" s="177" t="s">
        <v>19</v>
      </c>
      <c r="H1281" s="177" t="s">
        <v>20</v>
      </c>
      <c r="I1281" s="177" t="s">
        <v>21</v>
      </c>
      <c r="J1281" s="177"/>
      <c r="K1281" s="177" t="s">
        <v>54</v>
      </c>
      <c r="L1281" s="177">
        <v>38</v>
      </c>
      <c r="M1281" s="177" t="s">
        <v>53</v>
      </c>
      <c r="N1281" s="178">
        <v>1330</v>
      </c>
      <c r="O1281" s="178">
        <v>1330</v>
      </c>
      <c r="P1281" s="392">
        <v>6000</v>
      </c>
      <c r="Q1281" s="177">
        <v>2</v>
      </c>
      <c r="R1281" s="177">
        <v>6</v>
      </c>
      <c r="S1281" s="177" t="s">
        <v>354</v>
      </c>
      <c r="T1281" s="179">
        <v>44916</v>
      </c>
      <c r="U1281" s="179">
        <v>44938</v>
      </c>
      <c r="V1281" s="177" t="s">
        <v>355</v>
      </c>
      <c r="W1281" s="177"/>
      <c r="X1281" s="177"/>
      <c r="Y1281" s="144"/>
    </row>
    <row r="1282" spans="1:25" ht="13.5" x14ac:dyDescent="0.15">
      <c r="A1282" s="177">
        <v>3694079</v>
      </c>
      <c r="B1282" s="177" t="s">
        <v>351</v>
      </c>
      <c r="C1282" s="177" t="s">
        <v>356</v>
      </c>
      <c r="D1282" s="177" t="s">
        <v>353</v>
      </c>
      <c r="E1282" s="177" t="s">
        <v>17</v>
      </c>
      <c r="F1282" s="177">
        <v>331</v>
      </c>
      <c r="G1282" s="177" t="s">
        <v>19</v>
      </c>
      <c r="H1282" s="177" t="s">
        <v>20</v>
      </c>
      <c r="I1282" s="177" t="s">
        <v>21</v>
      </c>
      <c r="J1282" s="177"/>
      <c r="K1282" s="177" t="s">
        <v>52</v>
      </c>
      <c r="L1282" s="177">
        <v>38</v>
      </c>
      <c r="M1282" s="177" t="s">
        <v>53</v>
      </c>
      <c r="N1282" s="178">
        <v>1330</v>
      </c>
      <c r="O1282" s="178">
        <v>1330</v>
      </c>
      <c r="P1282" s="392">
        <v>6000</v>
      </c>
      <c r="Q1282" s="177">
        <v>2</v>
      </c>
      <c r="R1282" s="177">
        <v>30</v>
      </c>
      <c r="S1282" s="177" t="s">
        <v>354</v>
      </c>
      <c r="T1282" s="179">
        <v>44916</v>
      </c>
      <c r="U1282" s="179">
        <v>44943</v>
      </c>
      <c r="V1282" s="177" t="s">
        <v>355</v>
      </c>
      <c r="W1282" s="177"/>
      <c r="X1282" s="177"/>
      <c r="Y1282" s="144"/>
    </row>
    <row r="1283" spans="1:25" ht="13.5" x14ac:dyDescent="0.15">
      <c r="A1283" s="177">
        <v>3694080</v>
      </c>
      <c r="B1283" s="177" t="s">
        <v>431</v>
      </c>
      <c r="C1283" s="177" t="s">
        <v>364</v>
      </c>
      <c r="D1283" s="177" t="s">
        <v>353</v>
      </c>
      <c r="E1283" s="177" t="s">
        <v>371</v>
      </c>
      <c r="F1283" s="177">
        <v>331</v>
      </c>
      <c r="G1283" s="177" t="s">
        <v>265</v>
      </c>
      <c r="H1283" s="177" t="s">
        <v>20</v>
      </c>
      <c r="I1283" s="177" t="s">
        <v>21</v>
      </c>
      <c r="J1283" s="177"/>
      <c r="K1283" s="177" t="s">
        <v>118</v>
      </c>
      <c r="L1283" s="177">
        <v>25</v>
      </c>
      <c r="M1283" s="177" t="s">
        <v>119</v>
      </c>
      <c r="N1283" s="178">
        <v>1425</v>
      </c>
      <c r="O1283" s="178">
        <v>1420</v>
      </c>
      <c r="P1283" s="392">
        <v>6000</v>
      </c>
      <c r="Q1283" s="177">
        <v>2</v>
      </c>
      <c r="R1283" s="177">
        <v>10</v>
      </c>
      <c r="S1283" s="177" t="s">
        <v>354</v>
      </c>
      <c r="T1283" s="179">
        <v>44916</v>
      </c>
      <c r="U1283" s="179">
        <v>44942</v>
      </c>
      <c r="V1283" s="177" t="s">
        <v>355</v>
      </c>
      <c r="W1283" s="177"/>
      <c r="X1283" s="177"/>
      <c r="Y1283" s="144"/>
    </row>
    <row r="1284" spans="1:25" ht="13.5" x14ac:dyDescent="0.15">
      <c r="A1284" s="177">
        <v>3694081</v>
      </c>
      <c r="B1284" s="177" t="s">
        <v>431</v>
      </c>
      <c r="C1284" s="177" t="s">
        <v>356</v>
      </c>
      <c r="D1284" s="177" t="s">
        <v>353</v>
      </c>
      <c r="E1284" s="177" t="s">
        <v>130</v>
      </c>
      <c r="F1284" s="177">
        <v>3</v>
      </c>
      <c r="G1284" s="177" t="s">
        <v>265</v>
      </c>
      <c r="H1284" s="177" t="s">
        <v>20</v>
      </c>
      <c r="I1284" s="177" t="s">
        <v>21</v>
      </c>
      <c r="J1284" s="177"/>
      <c r="K1284" s="177" t="s">
        <v>435</v>
      </c>
      <c r="L1284" s="177">
        <v>25</v>
      </c>
      <c r="M1284" s="177" t="s">
        <v>436</v>
      </c>
      <c r="N1284" s="178">
        <v>1410</v>
      </c>
      <c r="O1284" s="178">
        <v>1410</v>
      </c>
      <c r="P1284" s="392">
        <v>6000</v>
      </c>
      <c r="Q1284" s="177">
        <v>2</v>
      </c>
      <c r="R1284" s="177">
        <v>18</v>
      </c>
      <c r="S1284" s="177" t="s">
        <v>354</v>
      </c>
      <c r="T1284" s="179">
        <v>44916</v>
      </c>
      <c r="U1284" s="179">
        <v>44942</v>
      </c>
      <c r="V1284" s="177" t="s">
        <v>355</v>
      </c>
      <c r="W1284" s="177"/>
      <c r="X1284" s="177"/>
      <c r="Y1284" s="144"/>
    </row>
    <row r="1285" spans="1:25" ht="13.5" x14ac:dyDescent="0.15">
      <c r="A1285" s="177">
        <v>3694082</v>
      </c>
      <c r="B1285" s="177" t="s">
        <v>351</v>
      </c>
      <c r="C1285" s="177" t="s">
        <v>352</v>
      </c>
      <c r="D1285" s="177" t="s">
        <v>353</v>
      </c>
      <c r="E1285" s="177" t="s">
        <v>116</v>
      </c>
      <c r="F1285" s="177">
        <v>3</v>
      </c>
      <c r="G1285" s="177" t="s">
        <v>19</v>
      </c>
      <c r="H1285" s="177" t="s">
        <v>20</v>
      </c>
      <c r="I1285" s="177" t="s">
        <v>21</v>
      </c>
      <c r="J1285" s="177"/>
      <c r="K1285" s="177" t="s">
        <v>118</v>
      </c>
      <c r="L1285" s="177">
        <v>38</v>
      </c>
      <c r="M1285" s="177" t="s">
        <v>368</v>
      </c>
      <c r="N1285" s="178">
        <v>1415</v>
      </c>
      <c r="O1285" s="178">
        <v>1410</v>
      </c>
      <c r="P1285" s="392">
        <v>6000</v>
      </c>
      <c r="Q1285" s="177">
        <v>2</v>
      </c>
      <c r="R1285" s="177">
        <v>6</v>
      </c>
      <c r="S1285" s="177" t="s">
        <v>354</v>
      </c>
      <c r="T1285" s="179">
        <v>44916</v>
      </c>
      <c r="U1285" s="179">
        <v>44942</v>
      </c>
      <c r="V1285" s="177" t="s">
        <v>355</v>
      </c>
      <c r="W1285" s="177"/>
      <c r="X1285" s="177"/>
      <c r="Y1285" s="144"/>
    </row>
    <row r="1286" spans="1:25" ht="13.5" x14ac:dyDescent="0.15">
      <c r="A1286" s="177">
        <v>3694083</v>
      </c>
      <c r="B1286" s="177" t="s">
        <v>351</v>
      </c>
      <c r="C1286" s="177" t="s">
        <v>356</v>
      </c>
      <c r="D1286" s="177" t="s">
        <v>353</v>
      </c>
      <c r="E1286" s="177" t="s">
        <v>17</v>
      </c>
      <c r="F1286" s="177">
        <v>3</v>
      </c>
      <c r="G1286" s="177" t="s">
        <v>19</v>
      </c>
      <c r="H1286" s="177" t="s">
        <v>20</v>
      </c>
      <c r="I1286" s="177" t="s">
        <v>21</v>
      </c>
      <c r="J1286" s="177"/>
      <c r="K1286" s="177" t="s">
        <v>104</v>
      </c>
      <c r="L1286" s="177">
        <v>25</v>
      </c>
      <c r="M1286" s="177" t="s">
        <v>375</v>
      </c>
      <c r="N1286" s="178">
        <v>1325</v>
      </c>
      <c r="O1286" s="178">
        <v>1320</v>
      </c>
      <c r="P1286" s="392">
        <v>6000</v>
      </c>
      <c r="Q1286" s="177">
        <v>2</v>
      </c>
      <c r="R1286" s="177">
        <v>14</v>
      </c>
      <c r="S1286" s="177" t="s">
        <v>354</v>
      </c>
      <c r="T1286" s="179">
        <v>44916</v>
      </c>
      <c r="U1286" s="179">
        <v>44942</v>
      </c>
      <c r="V1286" s="177" t="s">
        <v>355</v>
      </c>
      <c r="W1286" s="177"/>
      <c r="X1286" s="177"/>
      <c r="Y1286" s="144"/>
    </row>
    <row r="1287" spans="1:25" ht="13.5" x14ac:dyDescent="0.15">
      <c r="A1287" s="177">
        <v>3694084</v>
      </c>
      <c r="B1287" s="177" t="s">
        <v>351</v>
      </c>
      <c r="C1287" s="177" t="s">
        <v>358</v>
      </c>
      <c r="D1287" s="177" t="s">
        <v>353</v>
      </c>
      <c r="E1287" s="177" t="s">
        <v>120</v>
      </c>
      <c r="F1287" s="177">
        <v>3</v>
      </c>
      <c r="G1287" s="177" t="s">
        <v>19</v>
      </c>
      <c r="H1287" s="177" t="s">
        <v>20</v>
      </c>
      <c r="I1287" s="177" t="s">
        <v>21</v>
      </c>
      <c r="J1287" s="177"/>
      <c r="K1287" s="177" t="s">
        <v>118</v>
      </c>
      <c r="L1287" s="177">
        <v>125</v>
      </c>
      <c r="M1287" s="177" t="s">
        <v>121</v>
      </c>
      <c r="N1287" s="178">
        <v>1230</v>
      </c>
      <c r="O1287" s="178">
        <v>1225</v>
      </c>
      <c r="P1287" s="392">
        <v>6000</v>
      </c>
      <c r="Q1287" s="177">
        <v>2</v>
      </c>
      <c r="R1287" s="177">
        <v>2</v>
      </c>
      <c r="S1287" s="177" t="s">
        <v>354</v>
      </c>
      <c r="T1287" s="179">
        <v>44916</v>
      </c>
      <c r="U1287" s="179">
        <v>44942</v>
      </c>
      <c r="V1287" s="177" t="s">
        <v>355</v>
      </c>
      <c r="W1287" s="177"/>
      <c r="X1287" s="177"/>
      <c r="Y1287" s="144"/>
    </row>
    <row r="1288" spans="1:25" ht="13.5" x14ac:dyDescent="0.15">
      <c r="A1288" s="177">
        <v>3694085</v>
      </c>
      <c r="B1288" s="177" t="s">
        <v>431</v>
      </c>
      <c r="C1288" s="177" t="s">
        <v>364</v>
      </c>
      <c r="D1288" s="177" t="s">
        <v>353</v>
      </c>
      <c r="E1288" s="177" t="s">
        <v>371</v>
      </c>
      <c r="F1288" s="177">
        <v>3</v>
      </c>
      <c r="G1288" s="177" t="s">
        <v>265</v>
      </c>
      <c r="H1288" s="177" t="s">
        <v>20</v>
      </c>
      <c r="I1288" s="177" t="s">
        <v>21</v>
      </c>
      <c r="J1288" s="177"/>
      <c r="K1288" s="177" t="s">
        <v>118</v>
      </c>
      <c r="L1288" s="177">
        <v>25</v>
      </c>
      <c r="M1288" s="177" t="s">
        <v>119</v>
      </c>
      <c r="N1288" s="178">
        <v>1155</v>
      </c>
      <c r="O1288" s="178">
        <v>1150</v>
      </c>
      <c r="P1288" s="392">
        <v>6000</v>
      </c>
      <c r="Q1288" s="177">
        <v>2</v>
      </c>
      <c r="R1288" s="177">
        <v>3</v>
      </c>
      <c r="S1288" s="177" t="s">
        <v>354</v>
      </c>
      <c r="T1288" s="179">
        <v>44916</v>
      </c>
      <c r="U1288" s="179">
        <v>44942</v>
      </c>
      <c r="V1288" s="177" t="s">
        <v>355</v>
      </c>
      <c r="W1288" s="177"/>
      <c r="X1288" s="177"/>
      <c r="Y1288" s="144"/>
    </row>
    <row r="1289" spans="1:25" ht="13.5" x14ac:dyDescent="0.15">
      <c r="A1289" s="177">
        <v>3694086</v>
      </c>
      <c r="B1289" s="177" t="s">
        <v>351</v>
      </c>
      <c r="C1289" s="177" t="s">
        <v>754</v>
      </c>
      <c r="D1289" s="177" t="s">
        <v>353</v>
      </c>
      <c r="E1289" s="177" t="s">
        <v>755</v>
      </c>
      <c r="F1289" s="177">
        <v>3</v>
      </c>
      <c r="G1289" s="177" t="s">
        <v>19</v>
      </c>
      <c r="H1289" s="177" t="s">
        <v>20</v>
      </c>
      <c r="I1289" s="177" t="s">
        <v>21</v>
      </c>
      <c r="J1289" s="177"/>
      <c r="K1289" s="177" t="s">
        <v>128</v>
      </c>
      <c r="L1289" s="177">
        <v>25</v>
      </c>
      <c r="M1289" s="177" t="s">
        <v>756</v>
      </c>
      <c r="N1289" s="178">
        <v>1155</v>
      </c>
      <c r="O1289" s="178">
        <v>1150</v>
      </c>
      <c r="P1289" s="392">
        <v>6000</v>
      </c>
      <c r="Q1289" s="177">
        <v>2</v>
      </c>
      <c r="R1289" s="177">
        <v>2</v>
      </c>
      <c r="S1289" s="177" t="s">
        <v>354</v>
      </c>
      <c r="T1289" s="179">
        <v>44916</v>
      </c>
      <c r="U1289" s="179">
        <v>44942</v>
      </c>
      <c r="V1289" s="177" t="s">
        <v>355</v>
      </c>
      <c r="W1289" s="177"/>
      <c r="X1289" s="177"/>
      <c r="Y1289" s="144"/>
    </row>
    <row r="1290" spans="1:25" ht="13.5" x14ac:dyDescent="0.15">
      <c r="A1290" s="177">
        <v>3694087</v>
      </c>
      <c r="B1290" s="177" t="s">
        <v>351</v>
      </c>
      <c r="C1290" s="177" t="s">
        <v>358</v>
      </c>
      <c r="D1290" s="177" t="s">
        <v>353</v>
      </c>
      <c r="E1290" s="177" t="s">
        <v>61</v>
      </c>
      <c r="F1290" s="177">
        <v>3313</v>
      </c>
      <c r="G1290" s="177" t="s">
        <v>19</v>
      </c>
      <c r="H1290" s="177" t="s">
        <v>20</v>
      </c>
      <c r="I1290" s="177" t="s">
        <v>21</v>
      </c>
      <c r="J1290" s="177"/>
      <c r="K1290" s="177" t="s">
        <v>62</v>
      </c>
      <c r="L1290" s="177">
        <v>38</v>
      </c>
      <c r="M1290" s="177" t="s">
        <v>63</v>
      </c>
      <c r="N1290" s="178">
        <v>750</v>
      </c>
      <c r="O1290" s="178">
        <v>750</v>
      </c>
      <c r="P1290" s="392">
        <v>6000</v>
      </c>
      <c r="Q1290" s="177">
        <v>2</v>
      </c>
      <c r="R1290" s="177">
        <v>40</v>
      </c>
      <c r="S1290" s="177" t="s">
        <v>354</v>
      </c>
      <c r="T1290" s="179">
        <v>44916</v>
      </c>
      <c r="U1290" s="179">
        <v>44942</v>
      </c>
      <c r="V1290" s="177" t="s">
        <v>355</v>
      </c>
      <c r="W1290" s="177"/>
      <c r="X1290" s="177"/>
      <c r="Y1290" s="144"/>
    </row>
    <row r="1291" spans="1:25" ht="13.5" x14ac:dyDescent="0.15">
      <c r="A1291" s="177">
        <v>3694088</v>
      </c>
      <c r="B1291" s="177" t="s">
        <v>351</v>
      </c>
      <c r="C1291" s="177" t="s">
        <v>363</v>
      </c>
      <c r="D1291" s="177" t="s">
        <v>353</v>
      </c>
      <c r="E1291" s="177" t="s">
        <v>65</v>
      </c>
      <c r="F1291" s="177">
        <v>3321</v>
      </c>
      <c r="G1291" s="177" t="s">
        <v>19</v>
      </c>
      <c r="H1291" s="177" t="s">
        <v>20</v>
      </c>
      <c r="I1291" s="177" t="s">
        <v>21</v>
      </c>
      <c r="J1291" s="177"/>
      <c r="K1291" s="177" t="s">
        <v>70</v>
      </c>
      <c r="L1291" s="177">
        <v>38</v>
      </c>
      <c r="M1291" s="177" t="s">
        <v>71</v>
      </c>
      <c r="N1291" s="178">
        <v>1336</v>
      </c>
      <c r="O1291" s="178">
        <v>1325</v>
      </c>
      <c r="P1291" s="392">
        <v>6000</v>
      </c>
      <c r="Q1291" s="177">
        <v>2</v>
      </c>
      <c r="R1291" s="177">
        <v>30</v>
      </c>
      <c r="S1291" s="177" t="s">
        <v>354</v>
      </c>
      <c r="T1291" s="179">
        <v>44916</v>
      </c>
      <c r="U1291" s="179">
        <v>44942</v>
      </c>
      <c r="V1291" s="177" t="s">
        <v>355</v>
      </c>
      <c r="W1291" s="177"/>
      <c r="X1291" s="177"/>
      <c r="Y1291" s="144"/>
    </row>
    <row r="1292" spans="1:25" ht="13.5" x14ac:dyDescent="0.15">
      <c r="A1292" s="177">
        <v>3694089</v>
      </c>
      <c r="B1292" s="177" t="s">
        <v>351</v>
      </c>
      <c r="C1292" s="177" t="s">
        <v>363</v>
      </c>
      <c r="D1292" s="177" t="s">
        <v>353</v>
      </c>
      <c r="E1292" s="177" t="s">
        <v>65</v>
      </c>
      <c r="F1292" s="177">
        <v>3321</v>
      </c>
      <c r="G1292" s="177" t="s">
        <v>19</v>
      </c>
      <c r="H1292" s="177" t="s">
        <v>20</v>
      </c>
      <c r="I1292" s="177" t="s">
        <v>21</v>
      </c>
      <c r="J1292" s="177"/>
      <c r="K1292" s="177" t="s">
        <v>70</v>
      </c>
      <c r="L1292" s="177">
        <v>38</v>
      </c>
      <c r="M1292" s="177" t="s">
        <v>71</v>
      </c>
      <c r="N1292" s="178">
        <v>1336</v>
      </c>
      <c r="O1292" s="178">
        <v>1325</v>
      </c>
      <c r="P1292" s="392">
        <v>6000</v>
      </c>
      <c r="Q1292" s="177">
        <v>2</v>
      </c>
      <c r="R1292" s="177">
        <v>9</v>
      </c>
      <c r="S1292" s="177" t="s">
        <v>354</v>
      </c>
      <c r="T1292" s="179">
        <v>44916</v>
      </c>
      <c r="U1292" s="179">
        <v>44945</v>
      </c>
      <c r="V1292" s="177" t="s">
        <v>355</v>
      </c>
      <c r="W1292" s="177"/>
      <c r="X1292" s="177"/>
      <c r="Y1292" s="144"/>
    </row>
    <row r="1293" spans="1:25" ht="13.5" x14ac:dyDescent="0.15">
      <c r="A1293" s="177">
        <v>3694090</v>
      </c>
      <c r="B1293" s="177" t="s">
        <v>351</v>
      </c>
      <c r="C1293" s="177" t="s">
        <v>363</v>
      </c>
      <c r="D1293" s="177" t="s">
        <v>353</v>
      </c>
      <c r="E1293" s="177" t="s">
        <v>65</v>
      </c>
      <c r="F1293" s="177">
        <v>3321</v>
      </c>
      <c r="G1293" s="177" t="s">
        <v>19</v>
      </c>
      <c r="H1293" s="177" t="s">
        <v>20</v>
      </c>
      <c r="I1293" s="177" t="s">
        <v>21</v>
      </c>
      <c r="J1293" s="177"/>
      <c r="K1293" s="177" t="s">
        <v>67</v>
      </c>
      <c r="L1293" s="177">
        <v>38</v>
      </c>
      <c r="M1293" s="177" t="s">
        <v>68</v>
      </c>
      <c r="N1293" s="178">
        <v>1336</v>
      </c>
      <c r="O1293" s="178">
        <v>1325</v>
      </c>
      <c r="P1293" s="392">
        <v>6000</v>
      </c>
      <c r="Q1293" s="177">
        <v>2</v>
      </c>
      <c r="R1293" s="177">
        <v>70</v>
      </c>
      <c r="S1293" s="177" t="s">
        <v>354</v>
      </c>
      <c r="T1293" s="179">
        <v>44916</v>
      </c>
      <c r="U1293" s="179">
        <v>44945</v>
      </c>
      <c r="V1293" s="177" t="s">
        <v>355</v>
      </c>
      <c r="W1293" s="177"/>
      <c r="X1293" s="177"/>
      <c r="Y1293" s="144"/>
    </row>
    <row r="1294" spans="1:25" ht="13.5" x14ac:dyDescent="0.15">
      <c r="A1294" s="177">
        <v>3694091</v>
      </c>
      <c r="B1294" s="177" t="s">
        <v>351</v>
      </c>
      <c r="C1294" s="177" t="s">
        <v>358</v>
      </c>
      <c r="D1294" s="177" t="s">
        <v>353</v>
      </c>
      <c r="E1294" s="177" t="s">
        <v>61</v>
      </c>
      <c r="F1294" s="177">
        <v>331</v>
      </c>
      <c r="G1294" s="177" t="s">
        <v>19</v>
      </c>
      <c r="H1294" s="177" t="s">
        <v>20</v>
      </c>
      <c r="I1294" s="177" t="s">
        <v>21</v>
      </c>
      <c r="J1294" s="177"/>
      <c r="K1294" s="177" t="s">
        <v>62</v>
      </c>
      <c r="L1294" s="177">
        <v>38</v>
      </c>
      <c r="M1294" s="177" t="s">
        <v>63</v>
      </c>
      <c r="N1294" s="178">
        <v>1255</v>
      </c>
      <c r="O1294" s="178">
        <v>1250</v>
      </c>
      <c r="P1294" s="392">
        <v>6000</v>
      </c>
      <c r="Q1294" s="177">
        <v>2</v>
      </c>
      <c r="R1294" s="177">
        <v>2</v>
      </c>
      <c r="S1294" s="177" t="s">
        <v>354</v>
      </c>
      <c r="T1294" s="179">
        <v>44916</v>
      </c>
      <c r="U1294" s="179">
        <v>44945</v>
      </c>
      <c r="V1294" s="177" t="s">
        <v>355</v>
      </c>
      <c r="W1294" s="177"/>
      <c r="X1294" s="177"/>
      <c r="Y1294" s="144"/>
    </row>
    <row r="1295" spans="1:25" ht="13.5" x14ac:dyDescent="0.15">
      <c r="A1295" s="177">
        <v>3694092</v>
      </c>
      <c r="B1295" s="177" t="s">
        <v>351</v>
      </c>
      <c r="C1295" s="177" t="s">
        <v>356</v>
      </c>
      <c r="D1295" s="177" t="s">
        <v>353</v>
      </c>
      <c r="E1295" s="177" t="s">
        <v>17</v>
      </c>
      <c r="F1295" s="177">
        <v>331</v>
      </c>
      <c r="G1295" s="177" t="s">
        <v>19</v>
      </c>
      <c r="H1295" s="177" t="s">
        <v>20</v>
      </c>
      <c r="I1295" s="177" t="s">
        <v>21</v>
      </c>
      <c r="J1295" s="177"/>
      <c r="K1295" s="177" t="s">
        <v>22</v>
      </c>
      <c r="L1295" s="177">
        <v>38</v>
      </c>
      <c r="M1295" s="177" t="s">
        <v>23</v>
      </c>
      <c r="N1295" s="178">
        <v>1337</v>
      </c>
      <c r="O1295" s="178">
        <v>1330</v>
      </c>
      <c r="P1295" s="392">
        <v>6000</v>
      </c>
      <c r="Q1295" s="177">
        <v>2</v>
      </c>
      <c r="R1295" s="177">
        <v>16</v>
      </c>
      <c r="S1295" s="177" t="s">
        <v>354</v>
      </c>
      <c r="T1295" s="179">
        <v>44916</v>
      </c>
      <c r="U1295" s="179">
        <v>44949</v>
      </c>
      <c r="V1295" s="177" t="s">
        <v>355</v>
      </c>
      <c r="W1295" s="177"/>
      <c r="X1295" s="177"/>
      <c r="Y1295" s="144"/>
    </row>
    <row r="1296" spans="1:25" ht="13.5" x14ac:dyDescent="0.15">
      <c r="A1296" s="177">
        <v>3694093</v>
      </c>
      <c r="B1296" s="177" t="s">
        <v>351</v>
      </c>
      <c r="C1296" s="177" t="s">
        <v>356</v>
      </c>
      <c r="D1296" s="177" t="s">
        <v>353</v>
      </c>
      <c r="E1296" s="177" t="s">
        <v>32</v>
      </c>
      <c r="F1296" s="177">
        <v>331</v>
      </c>
      <c r="G1296" s="177" t="s">
        <v>19</v>
      </c>
      <c r="H1296" s="177" t="s">
        <v>20</v>
      </c>
      <c r="I1296" s="177" t="s">
        <v>21</v>
      </c>
      <c r="J1296" s="177"/>
      <c r="K1296" s="177" t="s">
        <v>33</v>
      </c>
      <c r="L1296" s="177">
        <v>25</v>
      </c>
      <c r="M1296" s="177" t="s">
        <v>30</v>
      </c>
      <c r="N1296" s="178">
        <v>1330</v>
      </c>
      <c r="O1296" s="178">
        <v>1330</v>
      </c>
      <c r="P1296" s="392">
        <v>6000</v>
      </c>
      <c r="Q1296" s="177">
        <v>2</v>
      </c>
      <c r="R1296" s="177">
        <v>2</v>
      </c>
      <c r="S1296" s="177" t="s">
        <v>354</v>
      </c>
      <c r="T1296" s="179">
        <v>44916</v>
      </c>
      <c r="U1296" s="179">
        <v>44949</v>
      </c>
      <c r="V1296" s="177" t="s">
        <v>355</v>
      </c>
      <c r="W1296" s="177"/>
      <c r="X1296" s="177"/>
      <c r="Y1296" s="144"/>
    </row>
    <row r="1297" spans="1:25" ht="13.5" x14ac:dyDescent="0.15">
      <c r="A1297" s="177">
        <v>3694094</v>
      </c>
      <c r="B1297" s="177" t="s">
        <v>351</v>
      </c>
      <c r="C1297" s="177" t="s">
        <v>356</v>
      </c>
      <c r="D1297" s="177" t="s">
        <v>353</v>
      </c>
      <c r="E1297" s="177" t="s">
        <v>32</v>
      </c>
      <c r="F1297" s="177">
        <v>331</v>
      </c>
      <c r="G1297" s="177" t="s">
        <v>19</v>
      </c>
      <c r="H1297" s="177" t="s">
        <v>20</v>
      </c>
      <c r="I1297" s="177" t="s">
        <v>21</v>
      </c>
      <c r="J1297" s="177"/>
      <c r="K1297" s="177" t="s">
        <v>33</v>
      </c>
      <c r="L1297" s="177">
        <v>38</v>
      </c>
      <c r="M1297" s="177" t="s">
        <v>30</v>
      </c>
      <c r="N1297" s="178">
        <v>1330</v>
      </c>
      <c r="O1297" s="178">
        <v>1330</v>
      </c>
      <c r="P1297" s="392">
        <v>6000</v>
      </c>
      <c r="Q1297" s="177">
        <v>2</v>
      </c>
      <c r="R1297" s="177">
        <v>2</v>
      </c>
      <c r="S1297" s="177" t="s">
        <v>354</v>
      </c>
      <c r="T1297" s="179">
        <v>44916</v>
      </c>
      <c r="U1297" s="179">
        <v>44949</v>
      </c>
      <c r="V1297" s="177" t="s">
        <v>355</v>
      </c>
      <c r="W1297" s="177"/>
      <c r="X1297" s="177"/>
      <c r="Y1297" s="144"/>
    </row>
    <row r="1298" spans="1:25" ht="13.5" x14ac:dyDescent="0.15">
      <c r="A1298" s="177">
        <v>3694095</v>
      </c>
      <c r="B1298" s="177" t="s">
        <v>351</v>
      </c>
      <c r="C1298" s="177" t="s">
        <v>356</v>
      </c>
      <c r="D1298" s="177" t="s">
        <v>353</v>
      </c>
      <c r="E1298" s="177" t="s">
        <v>377</v>
      </c>
      <c r="F1298" s="177">
        <v>3</v>
      </c>
      <c r="G1298" s="177" t="s">
        <v>19</v>
      </c>
      <c r="H1298" s="177" t="s">
        <v>20</v>
      </c>
      <c r="I1298" s="177" t="s">
        <v>21</v>
      </c>
      <c r="J1298" s="177"/>
      <c r="K1298" s="177" t="s">
        <v>36</v>
      </c>
      <c r="L1298" s="177">
        <v>25</v>
      </c>
      <c r="M1298" s="177" t="s">
        <v>37</v>
      </c>
      <c r="N1298" s="178">
        <v>890</v>
      </c>
      <c r="O1298" s="178">
        <v>890</v>
      </c>
      <c r="P1298" s="392">
        <v>6000</v>
      </c>
      <c r="Q1298" s="177">
        <v>2</v>
      </c>
      <c r="R1298" s="177">
        <v>6</v>
      </c>
      <c r="S1298" s="177" t="s">
        <v>354</v>
      </c>
      <c r="T1298" s="179">
        <v>44916</v>
      </c>
      <c r="U1298" s="179">
        <v>44949</v>
      </c>
      <c r="V1298" s="177" t="s">
        <v>355</v>
      </c>
      <c r="W1298" s="177"/>
      <c r="X1298" s="177"/>
      <c r="Y1298" s="144"/>
    </row>
    <row r="1299" spans="1:25" ht="13.5" x14ac:dyDescent="0.15">
      <c r="A1299" s="177">
        <v>3694101</v>
      </c>
      <c r="B1299" s="177" t="s">
        <v>351</v>
      </c>
      <c r="C1299" s="177" t="s">
        <v>434</v>
      </c>
      <c r="D1299" s="177" t="s">
        <v>353</v>
      </c>
      <c r="E1299" s="177" t="s">
        <v>439</v>
      </c>
      <c r="F1299" s="177">
        <v>3</v>
      </c>
      <c r="G1299" s="177" t="s">
        <v>19</v>
      </c>
      <c r="H1299" s="177" t="s">
        <v>20</v>
      </c>
      <c r="I1299" s="177" t="s">
        <v>132</v>
      </c>
      <c r="J1299" s="177"/>
      <c r="K1299" s="177" t="s">
        <v>139</v>
      </c>
      <c r="L1299" s="177">
        <v>25</v>
      </c>
      <c r="M1299" s="177" t="s">
        <v>140</v>
      </c>
      <c r="N1299" s="178">
        <v>1575</v>
      </c>
      <c r="O1299" s="178">
        <v>1575</v>
      </c>
      <c r="P1299" s="392">
        <v>6000</v>
      </c>
      <c r="Q1299" s="177">
        <v>2</v>
      </c>
      <c r="R1299" s="177">
        <v>3</v>
      </c>
      <c r="S1299" s="177" t="s">
        <v>354</v>
      </c>
      <c r="T1299" s="179">
        <v>44916</v>
      </c>
      <c r="U1299" s="179">
        <v>44949</v>
      </c>
      <c r="V1299" s="177" t="s">
        <v>355</v>
      </c>
      <c r="W1299" s="177"/>
      <c r="X1299" s="177"/>
      <c r="Y1299" s="144"/>
    </row>
    <row r="1300" spans="1:25" ht="13.5" x14ac:dyDescent="0.15">
      <c r="A1300" s="177">
        <v>3694108</v>
      </c>
      <c r="B1300" s="177" t="s">
        <v>351</v>
      </c>
      <c r="C1300" s="177" t="s">
        <v>352</v>
      </c>
      <c r="D1300" s="177" t="s">
        <v>353</v>
      </c>
      <c r="E1300" s="177" t="s">
        <v>116</v>
      </c>
      <c r="F1300" s="177">
        <v>3</v>
      </c>
      <c r="G1300" s="177" t="s">
        <v>19</v>
      </c>
      <c r="H1300" s="177" t="s">
        <v>20</v>
      </c>
      <c r="I1300" s="177" t="s">
        <v>143</v>
      </c>
      <c r="J1300" s="177"/>
      <c r="K1300" s="177" t="s">
        <v>159</v>
      </c>
      <c r="L1300" s="177">
        <v>25</v>
      </c>
      <c r="M1300" s="177" t="s">
        <v>160</v>
      </c>
      <c r="N1300" s="178">
        <v>1005</v>
      </c>
      <c r="O1300" s="178">
        <v>1000</v>
      </c>
      <c r="P1300" s="392">
        <v>6000</v>
      </c>
      <c r="Q1300" s="177">
        <v>2</v>
      </c>
      <c r="R1300" s="177">
        <v>9</v>
      </c>
      <c r="S1300" s="177" t="s">
        <v>354</v>
      </c>
      <c r="T1300" s="179">
        <v>44916</v>
      </c>
      <c r="U1300" s="179">
        <v>44942</v>
      </c>
      <c r="V1300" s="177" t="s">
        <v>355</v>
      </c>
      <c r="W1300" s="177"/>
      <c r="X1300" s="177"/>
      <c r="Y1300" s="144"/>
    </row>
    <row r="1301" spans="1:25" ht="13.5" x14ac:dyDescent="0.15">
      <c r="A1301" s="177">
        <v>3694118</v>
      </c>
      <c r="B1301" s="177" t="s">
        <v>351</v>
      </c>
      <c r="C1301" s="177" t="s">
        <v>352</v>
      </c>
      <c r="D1301" s="177" t="s">
        <v>353</v>
      </c>
      <c r="E1301" s="177" t="s">
        <v>116</v>
      </c>
      <c r="F1301" s="177">
        <v>3</v>
      </c>
      <c r="G1301" s="177" t="s">
        <v>19</v>
      </c>
      <c r="H1301" s="177" t="s">
        <v>20</v>
      </c>
      <c r="I1301" s="177" t="s">
        <v>143</v>
      </c>
      <c r="J1301" s="177"/>
      <c r="K1301" s="177" t="s">
        <v>144</v>
      </c>
      <c r="L1301" s="177">
        <v>75</v>
      </c>
      <c r="M1301" s="177" t="s">
        <v>145</v>
      </c>
      <c r="N1301" s="178">
        <v>1002</v>
      </c>
      <c r="O1301" s="178">
        <v>1000</v>
      </c>
      <c r="P1301" s="392">
        <v>6000</v>
      </c>
      <c r="Q1301" s="177">
        <v>2</v>
      </c>
      <c r="R1301" s="177">
        <v>8</v>
      </c>
      <c r="S1301" s="177" t="s">
        <v>354</v>
      </c>
      <c r="T1301" s="179">
        <v>44916</v>
      </c>
      <c r="U1301" s="179">
        <v>44942</v>
      </c>
      <c r="V1301" s="177" t="s">
        <v>355</v>
      </c>
      <c r="W1301" s="177"/>
      <c r="X1301" s="177"/>
      <c r="Y1301" s="144"/>
    </row>
    <row r="1302" spans="1:25" ht="13.5" x14ac:dyDescent="0.15">
      <c r="A1302" s="177">
        <v>3697622</v>
      </c>
      <c r="B1302" s="177" t="s">
        <v>351</v>
      </c>
      <c r="C1302" s="177" t="s">
        <v>356</v>
      </c>
      <c r="D1302" s="177" t="s">
        <v>353</v>
      </c>
      <c r="E1302" s="177" t="s">
        <v>377</v>
      </c>
      <c r="F1302" s="177">
        <v>3</v>
      </c>
      <c r="G1302" s="177" t="s">
        <v>19</v>
      </c>
      <c r="H1302" s="177" t="s">
        <v>20</v>
      </c>
      <c r="I1302" s="177" t="s">
        <v>21</v>
      </c>
      <c r="J1302" s="177"/>
      <c r="K1302" s="177" t="s">
        <v>36</v>
      </c>
      <c r="L1302" s="177">
        <v>25</v>
      </c>
      <c r="M1302" s="177" t="s">
        <v>37</v>
      </c>
      <c r="N1302" s="178">
        <v>890</v>
      </c>
      <c r="O1302" s="178">
        <v>890</v>
      </c>
      <c r="P1302" s="392">
        <v>6000</v>
      </c>
      <c r="Q1302" s="177">
        <v>2</v>
      </c>
      <c r="R1302" s="177">
        <v>3</v>
      </c>
      <c r="S1302" s="177" t="s">
        <v>354</v>
      </c>
      <c r="T1302" s="179">
        <v>44949</v>
      </c>
      <c r="U1302" s="179">
        <v>44963</v>
      </c>
      <c r="V1302" s="177" t="s">
        <v>355</v>
      </c>
      <c r="W1302" s="177"/>
      <c r="X1302" s="177"/>
      <c r="Y1302" s="144"/>
    </row>
    <row r="1303" spans="1:25" ht="13.5" x14ac:dyDescent="0.15">
      <c r="A1303" s="177">
        <v>3697623</v>
      </c>
      <c r="B1303" s="177" t="s">
        <v>351</v>
      </c>
      <c r="C1303" s="177" t="s">
        <v>356</v>
      </c>
      <c r="D1303" s="177" t="s">
        <v>353</v>
      </c>
      <c r="E1303" s="177" t="s">
        <v>17</v>
      </c>
      <c r="F1303" s="177">
        <v>3</v>
      </c>
      <c r="G1303" s="177" t="s">
        <v>19</v>
      </c>
      <c r="H1303" s="177" t="s">
        <v>20</v>
      </c>
      <c r="I1303" s="177" t="s">
        <v>21</v>
      </c>
      <c r="J1303" s="177"/>
      <c r="K1303" s="177" t="s">
        <v>22</v>
      </c>
      <c r="L1303" s="177">
        <v>38</v>
      </c>
      <c r="M1303" s="177" t="s">
        <v>23</v>
      </c>
      <c r="N1303" s="178">
        <v>1037</v>
      </c>
      <c r="O1303" s="178">
        <v>1030</v>
      </c>
      <c r="P1303" s="392">
        <v>6000</v>
      </c>
      <c r="Q1303" s="177">
        <v>2</v>
      </c>
      <c r="R1303" s="177">
        <v>50</v>
      </c>
      <c r="S1303" s="177" t="s">
        <v>354</v>
      </c>
      <c r="T1303" s="179">
        <v>44949</v>
      </c>
      <c r="U1303" s="179">
        <v>44963</v>
      </c>
      <c r="V1303" s="177" t="s">
        <v>355</v>
      </c>
      <c r="W1303" s="177"/>
      <c r="X1303" s="177"/>
      <c r="Y1303" s="144"/>
    </row>
    <row r="1304" spans="1:25" ht="13.5" x14ac:dyDescent="0.15">
      <c r="A1304" s="177">
        <v>3697624</v>
      </c>
      <c r="B1304" s="177" t="s">
        <v>351</v>
      </c>
      <c r="C1304" s="177" t="s">
        <v>356</v>
      </c>
      <c r="D1304" s="177" t="s">
        <v>353</v>
      </c>
      <c r="E1304" s="177" t="s">
        <v>17</v>
      </c>
      <c r="F1304" s="177">
        <v>3</v>
      </c>
      <c r="G1304" s="177" t="s">
        <v>19</v>
      </c>
      <c r="H1304" s="177" t="s">
        <v>20</v>
      </c>
      <c r="I1304" s="177" t="s">
        <v>21</v>
      </c>
      <c r="J1304" s="177"/>
      <c r="K1304" s="177" t="s">
        <v>22</v>
      </c>
      <c r="L1304" s="177">
        <v>38</v>
      </c>
      <c r="M1304" s="177" t="s">
        <v>23</v>
      </c>
      <c r="N1304" s="178">
        <v>1057</v>
      </c>
      <c r="O1304" s="178">
        <v>1050</v>
      </c>
      <c r="P1304" s="392">
        <v>6000</v>
      </c>
      <c r="Q1304" s="177">
        <v>2</v>
      </c>
      <c r="R1304" s="177">
        <v>5</v>
      </c>
      <c r="S1304" s="177" t="s">
        <v>354</v>
      </c>
      <c r="T1304" s="179">
        <v>44949</v>
      </c>
      <c r="U1304" s="179">
        <v>44963</v>
      </c>
      <c r="V1304" s="177" t="s">
        <v>355</v>
      </c>
      <c r="W1304" s="177"/>
      <c r="X1304" s="177"/>
      <c r="Y1304" s="144"/>
    </row>
    <row r="1305" spans="1:25" ht="13.5" x14ac:dyDescent="0.15">
      <c r="A1305" s="177">
        <v>3697625</v>
      </c>
      <c r="B1305" s="177" t="s">
        <v>351</v>
      </c>
      <c r="C1305" s="177" t="s">
        <v>356</v>
      </c>
      <c r="D1305" s="177" t="s">
        <v>353</v>
      </c>
      <c r="E1305" s="177" t="s">
        <v>17</v>
      </c>
      <c r="F1305" s="177">
        <v>331</v>
      </c>
      <c r="G1305" s="177" t="s">
        <v>19</v>
      </c>
      <c r="H1305" s="177" t="s">
        <v>20</v>
      </c>
      <c r="I1305" s="177" t="s">
        <v>21</v>
      </c>
      <c r="J1305" s="177"/>
      <c r="K1305" s="177" t="s">
        <v>29</v>
      </c>
      <c r="L1305" s="177">
        <v>38</v>
      </c>
      <c r="M1305" s="177" t="s">
        <v>30</v>
      </c>
      <c r="N1305" s="178">
        <v>1330</v>
      </c>
      <c r="O1305" s="178">
        <v>1330</v>
      </c>
      <c r="P1305" s="392">
        <v>6000</v>
      </c>
      <c r="Q1305" s="177">
        <v>2</v>
      </c>
      <c r="R1305" s="177">
        <v>20</v>
      </c>
      <c r="S1305" s="177" t="s">
        <v>354</v>
      </c>
      <c r="T1305" s="179">
        <v>44949</v>
      </c>
      <c r="U1305" s="179">
        <v>44963</v>
      </c>
      <c r="V1305" s="177" t="s">
        <v>355</v>
      </c>
      <c r="W1305" s="177"/>
      <c r="X1305" s="177"/>
      <c r="Y1305" s="144"/>
    </row>
    <row r="1306" spans="1:25" ht="13.5" x14ac:dyDescent="0.15">
      <c r="A1306" s="177">
        <v>3697626</v>
      </c>
      <c r="B1306" s="177" t="s">
        <v>351</v>
      </c>
      <c r="C1306" s="177" t="s">
        <v>356</v>
      </c>
      <c r="D1306" s="177" t="s">
        <v>353</v>
      </c>
      <c r="E1306" s="177" t="s">
        <v>32</v>
      </c>
      <c r="F1306" s="177">
        <v>331</v>
      </c>
      <c r="G1306" s="177" t="s">
        <v>19</v>
      </c>
      <c r="H1306" s="177" t="s">
        <v>20</v>
      </c>
      <c r="I1306" s="177" t="s">
        <v>21</v>
      </c>
      <c r="J1306" s="177"/>
      <c r="K1306" s="177" t="s">
        <v>33</v>
      </c>
      <c r="L1306" s="177">
        <v>25</v>
      </c>
      <c r="M1306" s="177" t="s">
        <v>30</v>
      </c>
      <c r="N1306" s="178">
        <v>1330</v>
      </c>
      <c r="O1306" s="178">
        <v>1330</v>
      </c>
      <c r="P1306" s="392">
        <v>6000</v>
      </c>
      <c r="Q1306" s="177">
        <v>2</v>
      </c>
      <c r="R1306" s="177">
        <v>2</v>
      </c>
      <c r="S1306" s="177" t="s">
        <v>354</v>
      </c>
      <c r="T1306" s="179">
        <v>44949</v>
      </c>
      <c r="U1306" s="179">
        <v>44963</v>
      </c>
      <c r="V1306" s="177" t="s">
        <v>355</v>
      </c>
      <c r="W1306" s="177"/>
      <c r="X1306" s="177"/>
      <c r="Y1306" s="144"/>
    </row>
    <row r="1307" spans="1:25" ht="13.5" x14ac:dyDescent="0.15">
      <c r="A1307" s="177">
        <v>3697627</v>
      </c>
      <c r="B1307" s="177" t="s">
        <v>351</v>
      </c>
      <c r="C1307" s="177" t="s">
        <v>356</v>
      </c>
      <c r="D1307" s="177" t="s">
        <v>353</v>
      </c>
      <c r="E1307" s="177" t="s">
        <v>32</v>
      </c>
      <c r="F1307" s="177">
        <v>331</v>
      </c>
      <c r="G1307" s="177" t="s">
        <v>19</v>
      </c>
      <c r="H1307" s="177" t="s">
        <v>20</v>
      </c>
      <c r="I1307" s="177" t="s">
        <v>21</v>
      </c>
      <c r="J1307" s="177"/>
      <c r="K1307" s="177" t="s">
        <v>33</v>
      </c>
      <c r="L1307" s="177">
        <v>38</v>
      </c>
      <c r="M1307" s="177" t="s">
        <v>30</v>
      </c>
      <c r="N1307" s="178">
        <v>1330</v>
      </c>
      <c r="O1307" s="178">
        <v>1330</v>
      </c>
      <c r="P1307" s="392">
        <v>6000</v>
      </c>
      <c r="Q1307" s="177">
        <v>2</v>
      </c>
      <c r="R1307" s="177">
        <v>16</v>
      </c>
      <c r="S1307" s="177" t="s">
        <v>354</v>
      </c>
      <c r="T1307" s="179">
        <v>44949</v>
      </c>
      <c r="U1307" s="179">
        <v>44963</v>
      </c>
      <c r="V1307" s="177" t="s">
        <v>355</v>
      </c>
      <c r="W1307" s="177"/>
      <c r="X1307" s="177"/>
      <c r="Y1307" s="144"/>
    </row>
    <row r="1308" spans="1:25" ht="13.5" x14ac:dyDescent="0.15">
      <c r="A1308" s="177">
        <v>3697628</v>
      </c>
      <c r="B1308" s="177" t="s">
        <v>351</v>
      </c>
      <c r="C1308" s="177" t="s">
        <v>358</v>
      </c>
      <c r="D1308" s="177" t="s">
        <v>353</v>
      </c>
      <c r="E1308" s="177" t="s">
        <v>44</v>
      </c>
      <c r="F1308" s="177">
        <v>3</v>
      </c>
      <c r="G1308" s="177" t="s">
        <v>19</v>
      </c>
      <c r="H1308" s="177" t="s">
        <v>20</v>
      </c>
      <c r="I1308" s="177" t="s">
        <v>21</v>
      </c>
      <c r="J1308" s="177"/>
      <c r="K1308" s="177" t="s">
        <v>47</v>
      </c>
      <c r="L1308" s="177">
        <v>25</v>
      </c>
      <c r="M1308" s="177" t="s">
        <v>48</v>
      </c>
      <c r="N1308" s="178">
        <v>740</v>
      </c>
      <c r="O1308" s="178">
        <v>740</v>
      </c>
      <c r="P1308" s="392">
        <v>6000</v>
      </c>
      <c r="Q1308" s="177">
        <v>1</v>
      </c>
      <c r="R1308" s="177">
        <v>24</v>
      </c>
      <c r="S1308" s="177" t="s">
        <v>354</v>
      </c>
      <c r="T1308" s="179">
        <v>44949</v>
      </c>
      <c r="U1308" s="179">
        <v>44972</v>
      </c>
      <c r="V1308" s="177" t="s">
        <v>355</v>
      </c>
      <c r="W1308" s="177"/>
      <c r="X1308" s="177"/>
      <c r="Y1308" s="144"/>
    </row>
    <row r="1309" spans="1:25" ht="13.5" x14ac:dyDescent="0.15">
      <c r="A1309" s="177">
        <v>3697629</v>
      </c>
      <c r="B1309" s="177" t="s">
        <v>351</v>
      </c>
      <c r="C1309" s="177" t="s">
        <v>356</v>
      </c>
      <c r="D1309" s="177" t="s">
        <v>353</v>
      </c>
      <c r="E1309" s="177" t="s">
        <v>32</v>
      </c>
      <c r="F1309" s="177">
        <v>331</v>
      </c>
      <c r="G1309" s="177" t="s">
        <v>19</v>
      </c>
      <c r="H1309" s="177" t="s">
        <v>20</v>
      </c>
      <c r="I1309" s="177" t="s">
        <v>21</v>
      </c>
      <c r="J1309" s="177"/>
      <c r="K1309" s="177" t="s">
        <v>54</v>
      </c>
      <c r="L1309" s="177">
        <v>38</v>
      </c>
      <c r="M1309" s="177" t="s">
        <v>53</v>
      </c>
      <c r="N1309" s="178">
        <v>1330</v>
      </c>
      <c r="O1309" s="178">
        <v>1330</v>
      </c>
      <c r="P1309" s="392">
        <v>6000</v>
      </c>
      <c r="Q1309" s="177">
        <v>2</v>
      </c>
      <c r="R1309" s="177">
        <v>8</v>
      </c>
      <c r="S1309" s="177" t="s">
        <v>354</v>
      </c>
      <c r="T1309" s="179">
        <v>44949</v>
      </c>
      <c r="U1309" s="179">
        <v>44972</v>
      </c>
      <c r="V1309" s="177" t="s">
        <v>355</v>
      </c>
      <c r="W1309" s="177"/>
      <c r="X1309" s="177"/>
      <c r="Y1309" s="144"/>
    </row>
    <row r="1310" spans="1:25" ht="13.5" x14ac:dyDescent="0.15">
      <c r="A1310" s="177">
        <v>3697630</v>
      </c>
      <c r="B1310" s="177" t="s">
        <v>351</v>
      </c>
      <c r="C1310" s="177" t="s">
        <v>356</v>
      </c>
      <c r="D1310" s="177" t="s">
        <v>353</v>
      </c>
      <c r="E1310" s="177" t="s">
        <v>32</v>
      </c>
      <c r="F1310" s="177">
        <v>3</v>
      </c>
      <c r="G1310" s="177" t="s">
        <v>19</v>
      </c>
      <c r="H1310" s="177" t="s">
        <v>20</v>
      </c>
      <c r="I1310" s="177" t="s">
        <v>21</v>
      </c>
      <c r="J1310" s="177"/>
      <c r="K1310" s="177" t="s">
        <v>56</v>
      </c>
      <c r="L1310" s="177">
        <v>75</v>
      </c>
      <c r="M1310" s="177" t="s">
        <v>376</v>
      </c>
      <c r="N1310" s="178">
        <v>1330</v>
      </c>
      <c r="O1310" s="178">
        <v>1330</v>
      </c>
      <c r="P1310" s="392">
        <v>6000</v>
      </c>
      <c r="Q1310" s="177">
        <v>2</v>
      </c>
      <c r="R1310" s="177">
        <v>30</v>
      </c>
      <c r="S1310" s="177" t="s">
        <v>354</v>
      </c>
      <c r="T1310" s="179">
        <v>44949</v>
      </c>
      <c r="U1310" s="179">
        <v>44972</v>
      </c>
      <c r="V1310" s="177" t="s">
        <v>355</v>
      </c>
      <c r="W1310" s="177"/>
      <c r="X1310" s="177"/>
      <c r="Y1310" s="144"/>
    </row>
    <row r="1311" spans="1:25" ht="13.5" x14ac:dyDescent="0.15">
      <c r="A1311" s="177">
        <v>3697631</v>
      </c>
      <c r="B1311" s="177" t="s">
        <v>351</v>
      </c>
      <c r="C1311" s="177" t="s">
        <v>356</v>
      </c>
      <c r="D1311" s="177" t="s">
        <v>353</v>
      </c>
      <c r="E1311" s="177" t="s">
        <v>17</v>
      </c>
      <c r="F1311" s="177">
        <v>331</v>
      </c>
      <c r="G1311" s="177" t="s">
        <v>19</v>
      </c>
      <c r="H1311" s="177" t="s">
        <v>20</v>
      </c>
      <c r="I1311" s="177" t="s">
        <v>21</v>
      </c>
      <c r="J1311" s="177"/>
      <c r="K1311" s="177" t="s">
        <v>52</v>
      </c>
      <c r="L1311" s="177">
        <v>38</v>
      </c>
      <c r="M1311" s="177" t="s">
        <v>53</v>
      </c>
      <c r="N1311" s="178">
        <v>1330</v>
      </c>
      <c r="O1311" s="178">
        <v>1330</v>
      </c>
      <c r="P1311" s="392">
        <v>6000</v>
      </c>
      <c r="Q1311" s="177">
        <v>2</v>
      </c>
      <c r="R1311" s="177">
        <v>8</v>
      </c>
      <c r="S1311" s="177" t="s">
        <v>354</v>
      </c>
      <c r="T1311" s="179">
        <v>44949</v>
      </c>
      <c r="U1311" s="179">
        <v>44972</v>
      </c>
      <c r="V1311" s="177" t="s">
        <v>355</v>
      </c>
      <c r="W1311" s="177"/>
      <c r="X1311" s="177"/>
      <c r="Y1311" s="144"/>
    </row>
    <row r="1312" spans="1:25" ht="13.5" x14ac:dyDescent="0.15">
      <c r="A1312" s="177">
        <v>3697632</v>
      </c>
      <c r="B1312" s="177" t="s">
        <v>351</v>
      </c>
      <c r="C1312" s="177" t="s">
        <v>356</v>
      </c>
      <c r="D1312" s="177" t="s">
        <v>353</v>
      </c>
      <c r="E1312" s="177" t="s">
        <v>17</v>
      </c>
      <c r="F1312" s="177">
        <v>331</v>
      </c>
      <c r="G1312" s="177" t="s">
        <v>19</v>
      </c>
      <c r="H1312" s="177" t="s">
        <v>20</v>
      </c>
      <c r="I1312" s="177" t="s">
        <v>21</v>
      </c>
      <c r="J1312" s="177"/>
      <c r="K1312" s="177" t="s">
        <v>52</v>
      </c>
      <c r="L1312" s="177">
        <v>38</v>
      </c>
      <c r="M1312" s="177" t="s">
        <v>53</v>
      </c>
      <c r="N1312" s="178">
        <v>1330</v>
      </c>
      <c r="O1312" s="178">
        <v>1330</v>
      </c>
      <c r="P1312" s="392">
        <v>6000</v>
      </c>
      <c r="Q1312" s="177">
        <v>2</v>
      </c>
      <c r="R1312" s="177">
        <v>42</v>
      </c>
      <c r="S1312" s="177" t="s">
        <v>354</v>
      </c>
      <c r="T1312" s="179">
        <v>44949</v>
      </c>
      <c r="U1312" s="179">
        <v>44972</v>
      </c>
      <c r="V1312" s="177" t="s">
        <v>355</v>
      </c>
      <c r="W1312" s="177"/>
      <c r="X1312" s="177"/>
      <c r="Y1312" s="144"/>
    </row>
    <row r="1313" spans="1:25" ht="13.5" x14ac:dyDescent="0.15">
      <c r="A1313" s="177">
        <v>3697633</v>
      </c>
      <c r="B1313" s="177" t="s">
        <v>431</v>
      </c>
      <c r="C1313" s="177" t="s">
        <v>364</v>
      </c>
      <c r="D1313" s="177" t="s">
        <v>353</v>
      </c>
      <c r="E1313" s="177" t="s">
        <v>371</v>
      </c>
      <c r="F1313" s="177">
        <v>331</v>
      </c>
      <c r="G1313" s="177" t="s">
        <v>265</v>
      </c>
      <c r="H1313" s="177" t="s">
        <v>20</v>
      </c>
      <c r="I1313" s="177" t="s">
        <v>21</v>
      </c>
      <c r="J1313" s="177"/>
      <c r="K1313" s="177" t="s">
        <v>118</v>
      </c>
      <c r="L1313" s="177">
        <v>25</v>
      </c>
      <c r="M1313" s="177" t="s">
        <v>119</v>
      </c>
      <c r="N1313" s="178">
        <v>1425</v>
      </c>
      <c r="O1313" s="178">
        <v>1420</v>
      </c>
      <c r="P1313" s="392">
        <v>6000</v>
      </c>
      <c r="Q1313" s="177">
        <v>2</v>
      </c>
      <c r="R1313" s="177">
        <v>8</v>
      </c>
      <c r="S1313" s="177" t="s">
        <v>354</v>
      </c>
      <c r="T1313" s="179">
        <v>44949</v>
      </c>
      <c r="U1313" s="179">
        <v>44977</v>
      </c>
      <c r="V1313" s="177" t="s">
        <v>355</v>
      </c>
      <c r="W1313" s="177"/>
      <c r="X1313" s="177"/>
      <c r="Y1313" s="144"/>
    </row>
    <row r="1314" spans="1:25" ht="13.5" x14ac:dyDescent="0.15">
      <c r="A1314" s="177">
        <v>3697634</v>
      </c>
      <c r="B1314" s="177" t="s">
        <v>431</v>
      </c>
      <c r="C1314" s="177" t="s">
        <v>356</v>
      </c>
      <c r="D1314" s="177" t="s">
        <v>353</v>
      </c>
      <c r="E1314" s="177" t="s">
        <v>130</v>
      </c>
      <c r="F1314" s="177">
        <v>3</v>
      </c>
      <c r="G1314" s="177" t="s">
        <v>265</v>
      </c>
      <c r="H1314" s="177" t="s">
        <v>20</v>
      </c>
      <c r="I1314" s="177" t="s">
        <v>21</v>
      </c>
      <c r="J1314" s="177"/>
      <c r="K1314" s="177" t="s">
        <v>435</v>
      </c>
      <c r="L1314" s="177">
        <v>25</v>
      </c>
      <c r="M1314" s="177" t="s">
        <v>436</v>
      </c>
      <c r="N1314" s="178">
        <v>1410</v>
      </c>
      <c r="O1314" s="178">
        <v>1410</v>
      </c>
      <c r="P1314" s="392">
        <v>6000</v>
      </c>
      <c r="Q1314" s="177">
        <v>2</v>
      </c>
      <c r="R1314" s="177">
        <v>20</v>
      </c>
      <c r="S1314" s="177" t="s">
        <v>354</v>
      </c>
      <c r="T1314" s="179">
        <v>44949</v>
      </c>
      <c r="U1314" s="179">
        <v>44977</v>
      </c>
      <c r="V1314" s="177" t="s">
        <v>355</v>
      </c>
      <c r="W1314" s="177"/>
      <c r="X1314" s="177"/>
      <c r="Y1314" s="144"/>
    </row>
    <row r="1315" spans="1:25" ht="13.5" x14ac:dyDescent="0.15">
      <c r="A1315" s="177">
        <v>3697635</v>
      </c>
      <c r="B1315" s="177" t="s">
        <v>351</v>
      </c>
      <c r="C1315" s="177" t="s">
        <v>352</v>
      </c>
      <c r="D1315" s="177" t="s">
        <v>353</v>
      </c>
      <c r="E1315" s="177" t="s">
        <v>116</v>
      </c>
      <c r="F1315" s="177">
        <v>3</v>
      </c>
      <c r="G1315" s="177" t="s">
        <v>19</v>
      </c>
      <c r="H1315" s="177" t="s">
        <v>20</v>
      </c>
      <c r="I1315" s="177" t="s">
        <v>21</v>
      </c>
      <c r="J1315" s="177"/>
      <c r="K1315" s="177" t="s">
        <v>118</v>
      </c>
      <c r="L1315" s="177">
        <v>38</v>
      </c>
      <c r="M1315" s="177" t="s">
        <v>368</v>
      </c>
      <c r="N1315" s="178">
        <v>1415</v>
      </c>
      <c r="O1315" s="178">
        <v>1410</v>
      </c>
      <c r="P1315" s="392">
        <v>6000</v>
      </c>
      <c r="Q1315" s="177">
        <v>2</v>
      </c>
      <c r="R1315" s="177">
        <v>12</v>
      </c>
      <c r="S1315" s="177" t="s">
        <v>354</v>
      </c>
      <c r="T1315" s="179">
        <v>44949</v>
      </c>
      <c r="U1315" s="179">
        <v>44977</v>
      </c>
      <c r="V1315" s="177" t="s">
        <v>355</v>
      </c>
      <c r="W1315" s="177"/>
      <c r="X1315" s="177"/>
      <c r="Y1315" s="144"/>
    </row>
    <row r="1316" spans="1:25" ht="13.5" x14ac:dyDescent="0.15">
      <c r="A1316" s="177">
        <v>3697636</v>
      </c>
      <c r="B1316" s="177" t="s">
        <v>351</v>
      </c>
      <c r="C1316" s="177" t="s">
        <v>356</v>
      </c>
      <c r="D1316" s="177" t="s">
        <v>353</v>
      </c>
      <c r="E1316" s="177" t="s">
        <v>106</v>
      </c>
      <c r="F1316" s="177">
        <v>3</v>
      </c>
      <c r="G1316" s="177" t="s">
        <v>19</v>
      </c>
      <c r="H1316" s="177" t="s">
        <v>20</v>
      </c>
      <c r="I1316" s="177" t="s">
        <v>21</v>
      </c>
      <c r="J1316" s="177"/>
      <c r="K1316" s="177" t="s">
        <v>107</v>
      </c>
      <c r="L1316" s="177">
        <v>38</v>
      </c>
      <c r="M1316" s="177" t="s">
        <v>367</v>
      </c>
      <c r="N1316" s="178">
        <v>1240</v>
      </c>
      <c r="O1316" s="178">
        <v>1240</v>
      </c>
      <c r="P1316" s="392">
        <v>6000</v>
      </c>
      <c r="Q1316" s="177">
        <v>2</v>
      </c>
      <c r="R1316" s="177">
        <v>8</v>
      </c>
      <c r="S1316" s="177" t="s">
        <v>354</v>
      </c>
      <c r="T1316" s="179">
        <v>44949</v>
      </c>
      <c r="U1316" s="179">
        <v>44979</v>
      </c>
      <c r="V1316" s="177" t="s">
        <v>355</v>
      </c>
      <c r="W1316" s="177"/>
      <c r="X1316" s="177"/>
      <c r="Y1316" s="144"/>
    </row>
    <row r="1317" spans="1:25" ht="13.5" x14ac:dyDescent="0.15">
      <c r="A1317" s="177">
        <v>3697637</v>
      </c>
      <c r="B1317" s="177" t="s">
        <v>431</v>
      </c>
      <c r="C1317" s="177" t="s">
        <v>364</v>
      </c>
      <c r="D1317" s="177" t="s">
        <v>353</v>
      </c>
      <c r="E1317" s="177" t="s">
        <v>371</v>
      </c>
      <c r="F1317" s="177">
        <v>3</v>
      </c>
      <c r="G1317" s="177" t="s">
        <v>265</v>
      </c>
      <c r="H1317" s="177" t="s">
        <v>20</v>
      </c>
      <c r="I1317" s="177" t="s">
        <v>21</v>
      </c>
      <c r="J1317" s="177"/>
      <c r="K1317" s="177" t="s">
        <v>118</v>
      </c>
      <c r="L1317" s="177">
        <v>25</v>
      </c>
      <c r="M1317" s="177" t="s">
        <v>119</v>
      </c>
      <c r="N1317" s="178">
        <v>1155</v>
      </c>
      <c r="O1317" s="178">
        <v>1150</v>
      </c>
      <c r="P1317" s="392">
        <v>6000</v>
      </c>
      <c r="Q1317" s="177">
        <v>2</v>
      </c>
      <c r="R1317" s="177">
        <v>3</v>
      </c>
      <c r="S1317" s="177" t="s">
        <v>354</v>
      </c>
      <c r="T1317" s="179">
        <v>44949</v>
      </c>
      <c r="U1317" s="179">
        <v>44979</v>
      </c>
      <c r="V1317" s="177" t="s">
        <v>355</v>
      </c>
      <c r="W1317" s="177"/>
      <c r="X1317" s="177"/>
      <c r="Y1317" s="144"/>
    </row>
    <row r="1318" spans="1:25" ht="13.5" x14ac:dyDescent="0.15">
      <c r="A1318" s="177">
        <v>3697638</v>
      </c>
      <c r="B1318" s="177" t="s">
        <v>351</v>
      </c>
      <c r="C1318" s="177" t="s">
        <v>356</v>
      </c>
      <c r="D1318" s="177" t="s">
        <v>353</v>
      </c>
      <c r="E1318" s="177" t="s">
        <v>115</v>
      </c>
      <c r="F1318" s="177">
        <v>3</v>
      </c>
      <c r="G1318" s="177" t="s">
        <v>19</v>
      </c>
      <c r="H1318" s="177" t="s">
        <v>20</v>
      </c>
      <c r="I1318" s="177" t="s">
        <v>21</v>
      </c>
      <c r="J1318" s="177"/>
      <c r="K1318" s="177" t="s">
        <v>112</v>
      </c>
      <c r="L1318" s="177">
        <v>38</v>
      </c>
      <c r="M1318" s="177" t="s">
        <v>357</v>
      </c>
      <c r="N1318" s="178">
        <v>1135</v>
      </c>
      <c r="O1318" s="178">
        <v>1130</v>
      </c>
      <c r="P1318" s="392">
        <v>6000</v>
      </c>
      <c r="Q1318" s="177">
        <v>2</v>
      </c>
      <c r="R1318" s="177">
        <v>2</v>
      </c>
      <c r="S1318" s="177" t="s">
        <v>354</v>
      </c>
      <c r="T1318" s="179">
        <v>44949</v>
      </c>
      <c r="U1318" s="179">
        <v>44979</v>
      </c>
      <c r="V1318" s="177" t="s">
        <v>355</v>
      </c>
      <c r="W1318" s="177"/>
      <c r="X1318" s="177"/>
      <c r="Y1318" s="144"/>
    </row>
    <row r="1319" spans="1:25" ht="13.5" x14ac:dyDescent="0.15">
      <c r="A1319" s="177">
        <v>3697639</v>
      </c>
      <c r="B1319" s="177" t="s">
        <v>351</v>
      </c>
      <c r="C1319" s="177" t="s">
        <v>356</v>
      </c>
      <c r="D1319" s="177" t="s">
        <v>353</v>
      </c>
      <c r="E1319" s="177" t="s">
        <v>17</v>
      </c>
      <c r="F1319" s="177">
        <v>3</v>
      </c>
      <c r="G1319" s="177" t="s">
        <v>19</v>
      </c>
      <c r="H1319" s="177" t="s">
        <v>20</v>
      </c>
      <c r="I1319" s="177" t="s">
        <v>21</v>
      </c>
      <c r="J1319" s="177"/>
      <c r="K1319" s="177" t="s">
        <v>104</v>
      </c>
      <c r="L1319" s="177">
        <v>25</v>
      </c>
      <c r="M1319" s="177" t="s">
        <v>375</v>
      </c>
      <c r="N1319" s="178">
        <v>1100</v>
      </c>
      <c r="O1319" s="178">
        <v>1100</v>
      </c>
      <c r="P1319" s="392">
        <v>6000</v>
      </c>
      <c r="Q1319" s="177">
        <v>2</v>
      </c>
      <c r="R1319" s="177">
        <v>4</v>
      </c>
      <c r="S1319" s="177" t="s">
        <v>354</v>
      </c>
      <c r="T1319" s="179">
        <v>44949</v>
      </c>
      <c r="U1319" s="179">
        <v>44979</v>
      </c>
      <c r="V1319" s="177" t="s">
        <v>355</v>
      </c>
      <c r="W1319" s="177"/>
      <c r="X1319" s="177"/>
      <c r="Y1319" s="144"/>
    </row>
    <row r="1320" spans="1:25" ht="13.5" x14ac:dyDescent="0.15">
      <c r="A1320" s="177">
        <v>3697640</v>
      </c>
      <c r="B1320" s="177" t="s">
        <v>351</v>
      </c>
      <c r="C1320" s="177" t="s">
        <v>356</v>
      </c>
      <c r="D1320" s="177" t="s">
        <v>353</v>
      </c>
      <c r="E1320" s="177" t="s">
        <v>106</v>
      </c>
      <c r="F1320" s="177">
        <v>3</v>
      </c>
      <c r="G1320" s="177" t="s">
        <v>19</v>
      </c>
      <c r="H1320" s="177" t="s">
        <v>20</v>
      </c>
      <c r="I1320" s="177" t="s">
        <v>21</v>
      </c>
      <c r="J1320" s="177"/>
      <c r="K1320" s="177" t="s">
        <v>107</v>
      </c>
      <c r="L1320" s="177">
        <v>25</v>
      </c>
      <c r="M1320" s="177" t="s">
        <v>367</v>
      </c>
      <c r="N1320" s="178">
        <v>1040</v>
      </c>
      <c r="O1320" s="178">
        <v>1040</v>
      </c>
      <c r="P1320" s="392">
        <v>6000</v>
      </c>
      <c r="Q1320" s="177">
        <v>2</v>
      </c>
      <c r="R1320" s="177">
        <v>12</v>
      </c>
      <c r="S1320" s="177" t="s">
        <v>354</v>
      </c>
      <c r="T1320" s="179">
        <v>44949</v>
      </c>
      <c r="U1320" s="179">
        <v>44979</v>
      </c>
      <c r="V1320" s="177" t="s">
        <v>355</v>
      </c>
      <c r="W1320" s="177"/>
      <c r="X1320" s="177"/>
      <c r="Y1320" s="144"/>
    </row>
    <row r="1321" spans="1:25" ht="13.5" x14ac:dyDescent="0.15">
      <c r="A1321" s="177">
        <v>3697641</v>
      </c>
      <c r="B1321" s="177" t="s">
        <v>351</v>
      </c>
      <c r="C1321" s="177" t="s">
        <v>358</v>
      </c>
      <c r="D1321" s="177" t="s">
        <v>353</v>
      </c>
      <c r="E1321" s="177" t="s">
        <v>61</v>
      </c>
      <c r="F1321" s="177">
        <v>3313</v>
      </c>
      <c r="G1321" s="177" t="s">
        <v>19</v>
      </c>
      <c r="H1321" s="177" t="s">
        <v>20</v>
      </c>
      <c r="I1321" s="177" t="s">
        <v>21</v>
      </c>
      <c r="J1321" s="177"/>
      <c r="K1321" s="177" t="s">
        <v>62</v>
      </c>
      <c r="L1321" s="177">
        <v>38</v>
      </c>
      <c r="M1321" s="177" t="s">
        <v>63</v>
      </c>
      <c r="N1321" s="178">
        <v>750</v>
      </c>
      <c r="O1321" s="178">
        <v>750</v>
      </c>
      <c r="P1321" s="392">
        <v>6000</v>
      </c>
      <c r="Q1321" s="177">
        <v>2</v>
      </c>
      <c r="R1321" s="177">
        <v>8</v>
      </c>
      <c r="S1321" s="177" t="s">
        <v>354</v>
      </c>
      <c r="T1321" s="179">
        <v>44949</v>
      </c>
      <c r="U1321" s="179">
        <v>44977</v>
      </c>
      <c r="V1321" s="177" t="s">
        <v>355</v>
      </c>
      <c r="W1321" s="177"/>
      <c r="X1321" s="177"/>
      <c r="Y1321" s="144"/>
    </row>
    <row r="1322" spans="1:25" ht="13.5" x14ac:dyDescent="0.15">
      <c r="A1322" s="177">
        <v>3697642</v>
      </c>
      <c r="B1322" s="177" t="s">
        <v>351</v>
      </c>
      <c r="C1322" s="177" t="s">
        <v>363</v>
      </c>
      <c r="D1322" s="177" t="s">
        <v>353</v>
      </c>
      <c r="E1322" s="177" t="s">
        <v>65</v>
      </c>
      <c r="F1322" s="177">
        <v>3321</v>
      </c>
      <c r="G1322" s="177" t="s">
        <v>19</v>
      </c>
      <c r="H1322" s="177" t="s">
        <v>20</v>
      </c>
      <c r="I1322" s="177" t="s">
        <v>21</v>
      </c>
      <c r="J1322" s="177"/>
      <c r="K1322" s="177" t="s">
        <v>70</v>
      </c>
      <c r="L1322" s="177">
        <v>38</v>
      </c>
      <c r="M1322" s="177" t="s">
        <v>71</v>
      </c>
      <c r="N1322" s="178">
        <v>1336</v>
      </c>
      <c r="O1322" s="178">
        <v>1325</v>
      </c>
      <c r="P1322" s="392">
        <v>6000</v>
      </c>
      <c r="Q1322" s="177">
        <v>2</v>
      </c>
      <c r="R1322" s="177">
        <v>1</v>
      </c>
      <c r="S1322" s="177" t="s">
        <v>354</v>
      </c>
      <c r="T1322" s="179">
        <v>44949</v>
      </c>
      <c r="U1322" s="179">
        <v>44977</v>
      </c>
      <c r="V1322" s="177" t="s">
        <v>355</v>
      </c>
      <c r="W1322" s="177"/>
      <c r="X1322" s="177"/>
      <c r="Y1322" s="144"/>
    </row>
    <row r="1323" spans="1:25" ht="13.5" x14ac:dyDescent="0.15">
      <c r="A1323" s="177">
        <v>3697643</v>
      </c>
      <c r="B1323" s="177" t="s">
        <v>351</v>
      </c>
      <c r="C1323" s="177" t="s">
        <v>363</v>
      </c>
      <c r="D1323" s="177" t="s">
        <v>353</v>
      </c>
      <c r="E1323" s="177" t="s">
        <v>65</v>
      </c>
      <c r="F1323" s="177">
        <v>3321</v>
      </c>
      <c r="G1323" s="177" t="s">
        <v>19</v>
      </c>
      <c r="H1323" s="177" t="s">
        <v>20</v>
      </c>
      <c r="I1323" s="177" t="s">
        <v>21</v>
      </c>
      <c r="J1323" s="177"/>
      <c r="K1323" s="177" t="s">
        <v>67</v>
      </c>
      <c r="L1323" s="177">
        <v>38</v>
      </c>
      <c r="M1323" s="177" t="s">
        <v>68</v>
      </c>
      <c r="N1323" s="178">
        <v>1336</v>
      </c>
      <c r="O1323" s="178">
        <v>1325</v>
      </c>
      <c r="P1323" s="392">
        <v>6000</v>
      </c>
      <c r="Q1323" s="177">
        <v>2</v>
      </c>
      <c r="R1323" s="177">
        <v>42</v>
      </c>
      <c r="S1323" s="177" t="s">
        <v>354</v>
      </c>
      <c r="T1323" s="179">
        <v>44949</v>
      </c>
      <c r="U1323" s="179">
        <v>44977</v>
      </c>
      <c r="V1323" s="177" t="s">
        <v>355</v>
      </c>
      <c r="W1323" s="177"/>
      <c r="X1323" s="177"/>
      <c r="Y1323" s="144"/>
    </row>
    <row r="1324" spans="1:25" ht="13.5" x14ac:dyDescent="0.15">
      <c r="A1324" s="177">
        <v>3697644</v>
      </c>
      <c r="B1324" s="177" t="s">
        <v>351</v>
      </c>
      <c r="C1324" s="177" t="s">
        <v>363</v>
      </c>
      <c r="D1324" s="177" t="s">
        <v>353</v>
      </c>
      <c r="E1324" s="177" t="s">
        <v>65</v>
      </c>
      <c r="F1324" s="177">
        <v>3321</v>
      </c>
      <c r="G1324" s="177" t="s">
        <v>19</v>
      </c>
      <c r="H1324" s="177" t="s">
        <v>20</v>
      </c>
      <c r="I1324" s="177" t="s">
        <v>21</v>
      </c>
      <c r="J1324" s="177"/>
      <c r="K1324" s="177" t="s">
        <v>67</v>
      </c>
      <c r="L1324" s="177">
        <v>38</v>
      </c>
      <c r="M1324" s="177" t="s">
        <v>68</v>
      </c>
      <c r="N1324" s="178">
        <v>1336</v>
      </c>
      <c r="O1324" s="178">
        <v>1325</v>
      </c>
      <c r="P1324" s="392">
        <v>6000</v>
      </c>
      <c r="Q1324" s="177">
        <v>2</v>
      </c>
      <c r="R1324" s="177">
        <v>23</v>
      </c>
      <c r="S1324" s="177" t="s">
        <v>354</v>
      </c>
      <c r="T1324" s="179">
        <v>44949</v>
      </c>
      <c r="U1324" s="179">
        <v>44979</v>
      </c>
      <c r="V1324" s="177" t="s">
        <v>355</v>
      </c>
      <c r="W1324" s="177"/>
      <c r="X1324" s="177"/>
      <c r="Y1324" s="144"/>
    </row>
    <row r="1325" spans="1:25" ht="13.5" x14ac:dyDescent="0.15">
      <c r="A1325" s="177">
        <v>3697645</v>
      </c>
      <c r="B1325" s="177" t="s">
        <v>351</v>
      </c>
      <c r="C1325" s="177" t="s">
        <v>363</v>
      </c>
      <c r="D1325" s="177" t="s">
        <v>353</v>
      </c>
      <c r="E1325" s="177" t="s">
        <v>65</v>
      </c>
      <c r="F1325" s="177">
        <v>3321</v>
      </c>
      <c r="G1325" s="177" t="s">
        <v>19</v>
      </c>
      <c r="H1325" s="177" t="s">
        <v>20</v>
      </c>
      <c r="I1325" s="177" t="s">
        <v>21</v>
      </c>
      <c r="J1325" s="177"/>
      <c r="K1325" s="177" t="s">
        <v>70</v>
      </c>
      <c r="L1325" s="177">
        <v>38</v>
      </c>
      <c r="M1325" s="177" t="s">
        <v>71</v>
      </c>
      <c r="N1325" s="178">
        <v>1336</v>
      </c>
      <c r="O1325" s="178">
        <v>1325</v>
      </c>
      <c r="P1325" s="392">
        <v>6000</v>
      </c>
      <c r="Q1325" s="177">
        <v>2</v>
      </c>
      <c r="R1325" s="177">
        <v>31</v>
      </c>
      <c r="S1325" s="177" t="s">
        <v>354</v>
      </c>
      <c r="T1325" s="179">
        <v>44949</v>
      </c>
      <c r="U1325" s="179">
        <v>44979</v>
      </c>
      <c r="V1325" s="177" t="s">
        <v>355</v>
      </c>
      <c r="W1325" s="177"/>
      <c r="X1325" s="177"/>
      <c r="Y1325" s="144"/>
    </row>
    <row r="1326" spans="1:25" ht="13.5" x14ac:dyDescent="0.15">
      <c r="A1326" s="177">
        <v>3697646</v>
      </c>
      <c r="B1326" s="177" t="s">
        <v>351</v>
      </c>
      <c r="C1326" s="177" t="s">
        <v>358</v>
      </c>
      <c r="D1326" s="177" t="s">
        <v>353</v>
      </c>
      <c r="E1326" s="177" t="s">
        <v>61</v>
      </c>
      <c r="F1326" s="177">
        <v>331</v>
      </c>
      <c r="G1326" s="177" t="s">
        <v>19</v>
      </c>
      <c r="H1326" s="177" t="s">
        <v>20</v>
      </c>
      <c r="I1326" s="177" t="s">
        <v>21</v>
      </c>
      <c r="J1326" s="177"/>
      <c r="K1326" s="177" t="s">
        <v>62</v>
      </c>
      <c r="L1326" s="177">
        <v>38</v>
      </c>
      <c r="M1326" s="177" t="s">
        <v>63</v>
      </c>
      <c r="N1326" s="178">
        <v>1255</v>
      </c>
      <c r="O1326" s="178">
        <v>1250</v>
      </c>
      <c r="P1326" s="392">
        <v>6000</v>
      </c>
      <c r="Q1326" s="177">
        <v>2</v>
      </c>
      <c r="R1326" s="177">
        <v>16</v>
      </c>
      <c r="S1326" s="177" t="s">
        <v>354</v>
      </c>
      <c r="T1326" s="179">
        <v>44949</v>
      </c>
      <c r="U1326" s="179">
        <v>44979</v>
      </c>
      <c r="V1326" s="177" t="s">
        <v>355</v>
      </c>
      <c r="W1326" s="177"/>
      <c r="X1326" s="177"/>
      <c r="Y1326" s="144"/>
    </row>
    <row r="1327" spans="1:25" ht="13.5" x14ac:dyDescent="0.15">
      <c r="A1327" s="177">
        <v>3697648</v>
      </c>
      <c r="B1327" s="177" t="s">
        <v>351</v>
      </c>
      <c r="C1327" s="177" t="s">
        <v>356</v>
      </c>
      <c r="D1327" s="177" t="s">
        <v>353</v>
      </c>
      <c r="E1327" s="177" t="s">
        <v>255</v>
      </c>
      <c r="F1327" s="177">
        <v>3</v>
      </c>
      <c r="G1327" s="177" t="s">
        <v>19</v>
      </c>
      <c r="H1327" s="177" t="s">
        <v>20</v>
      </c>
      <c r="I1327" s="177" t="s">
        <v>256</v>
      </c>
      <c r="J1327" s="177"/>
      <c r="K1327" s="177" t="s">
        <v>257</v>
      </c>
      <c r="L1327" s="177">
        <v>100</v>
      </c>
      <c r="M1327" s="177" t="s">
        <v>258</v>
      </c>
      <c r="N1327" s="178">
        <v>1000</v>
      </c>
      <c r="O1327" s="178">
        <v>1000</v>
      </c>
      <c r="P1327" s="392">
        <v>6000</v>
      </c>
      <c r="Q1327" s="177">
        <v>2</v>
      </c>
      <c r="R1327" s="177">
        <v>4</v>
      </c>
      <c r="S1327" s="177" t="s">
        <v>354</v>
      </c>
      <c r="T1327" s="179">
        <v>44949</v>
      </c>
      <c r="U1327" s="179">
        <v>44977</v>
      </c>
      <c r="V1327" s="177" t="s">
        <v>355</v>
      </c>
      <c r="W1327" s="177"/>
      <c r="X1327" s="177"/>
      <c r="Y1327" s="144"/>
    </row>
    <row r="1328" spans="1:25" ht="13.5" x14ac:dyDescent="0.15">
      <c r="A1328" s="177">
        <v>3697649</v>
      </c>
      <c r="B1328" s="177" t="s">
        <v>351</v>
      </c>
      <c r="C1328" s="177" t="s">
        <v>356</v>
      </c>
      <c r="D1328" s="177" t="s">
        <v>353</v>
      </c>
      <c r="E1328" s="177" t="s">
        <v>255</v>
      </c>
      <c r="F1328" s="177">
        <v>3</v>
      </c>
      <c r="G1328" s="177" t="s">
        <v>19</v>
      </c>
      <c r="H1328" s="177" t="s">
        <v>20</v>
      </c>
      <c r="I1328" s="177" t="s">
        <v>256</v>
      </c>
      <c r="J1328" s="177"/>
      <c r="K1328" s="177" t="s">
        <v>257</v>
      </c>
      <c r="L1328" s="177">
        <v>125</v>
      </c>
      <c r="M1328" s="177" t="s">
        <v>258</v>
      </c>
      <c r="N1328" s="178">
        <v>1000</v>
      </c>
      <c r="O1328" s="178">
        <v>1000</v>
      </c>
      <c r="P1328" s="392">
        <v>6000</v>
      </c>
      <c r="Q1328" s="177">
        <v>2</v>
      </c>
      <c r="R1328" s="177">
        <v>8</v>
      </c>
      <c r="S1328" s="177" t="s">
        <v>354</v>
      </c>
      <c r="T1328" s="179">
        <v>44949</v>
      </c>
      <c r="U1328" s="179">
        <v>44977</v>
      </c>
      <c r="V1328" s="177" t="s">
        <v>355</v>
      </c>
      <c r="W1328" s="177"/>
      <c r="X1328" s="177"/>
      <c r="Y1328" s="144"/>
    </row>
    <row r="1329" spans="1:25" ht="13.5" x14ac:dyDescent="0.15">
      <c r="A1329" s="177">
        <v>3697650</v>
      </c>
      <c r="B1329" s="177" t="s">
        <v>351</v>
      </c>
      <c r="C1329" s="177" t="s">
        <v>356</v>
      </c>
      <c r="D1329" s="177" t="s">
        <v>353</v>
      </c>
      <c r="E1329" s="177" t="s">
        <v>255</v>
      </c>
      <c r="F1329" s="177">
        <v>3</v>
      </c>
      <c r="G1329" s="177" t="s">
        <v>19</v>
      </c>
      <c r="H1329" s="177" t="s">
        <v>20</v>
      </c>
      <c r="I1329" s="177" t="s">
        <v>256</v>
      </c>
      <c r="J1329" s="177"/>
      <c r="K1329" s="177" t="s">
        <v>257</v>
      </c>
      <c r="L1329" s="177">
        <v>188</v>
      </c>
      <c r="M1329" s="177" t="s">
        <v>258</v>
      </c>
      <c r="N1329" s="178">
        <v>1000</v>
      </c>
      <c r="O1329" s="178">
        <v>1000</v>
      </c>
      <c r="P1329" s="392">
        <v>6000</v>
      </c>
      <c r="Q1329" s="177">
        <v>2</v>
      </c>
      <c r="R1329" s="177">
        <v>4</v>
      </c>
      <c r="S1329" s="177" t="s">
        <v>354</v>
      </c>
      <c r="T1329" s="179">
        <v>44949</v>
      </c>
      <c r="U1329" s="179">
        <v>44977</v>
      </c>
      <c r="V1329" s="177" t="s">
        <v>355</v>
      </c>
      <c r="W1329" s="177"/>
      <c r="X1329" s="177"/>
      <c r="Y1329" s="144"/>
    </row>
    <row r="1330" spans="1:25" ht="13.5" x14ac:dyDescent="0.15">
      <c r="A1330" s="177">
        <v>3697652</v>
      </c>
      <c r="B1330" s="177" t="s">
        <v>351</v>
      </c>
      <c r="C1330" s="177" t="s">
        <v>352</v>
      </c>
      <c r="D1330" s="177" t="s">
        <v>353</v>
      </c>
      <c r="E1330" s="177" t="s">
        <v>155</v>
      </c>
      <c r="F1330" s="177" t="s">
        <v>158</v>
      </c>
      <c r="G1330" s="177" t="s">
        <v>19</v>
      </c>
      <c r="H1330" s="177" t="s">
        <v>20</v>
      </c>
      <c r="I1330" s="177" t="s">
        <v>143</v>
      </c>
      <c r="J1330" s="177"/>
      <c r="K1330" s="177" t="s">
        <v>156</v>
      </c>
      <c r="L1330" s="177">
        <v>25</v>
      </c>
      <c r="M1330" s="177" t="s">
        <v>157</v>
      </c>
      <c r="N1330" s="178">
        <v>1120</v>
      </c>
      <c r="O1330" s="178">
        <v>1120</v>
      </c>
      <c r="P1330" s="392">
        <v>6000</v>
      </c>
      <c r="Q1330" s="177">
        <v>2</v>
      </c>
      <c r="R1330" s="177">
        <v>6</v>
      </c>
      <c r="S1330" s="177" t="s">
        <v>354</v>
      </c>
      <c r="T1330" s="179">
        <v>44949</v>
      </c>
      <c r="U1330" s="179">
        <v>44977</v>
      </c>
      <c r="V1330" s="177" t="s">
        <v>355</v>
      </c>
      <c r="W1330" s="177"/>
      <c r="X1330" s="177"/>
      <c r="Y1330" s="144"/>
    </row>
    <row r="1331" spans="1:25" ht="13.5" x14ac:dyDescent="0.15">
      <c r="A1331" s="177">
        <v>3697661</v>
      </c>
      <c r="B1331" s="177" t="s">
        <v>351</v>
      </c>
      <c r="C1331" s="177" t="s">
        <v>352</v>
      </c>
      <c r="D1331" s="177" t="s">
        <v>353</v>
      </c>
      <c r="E1331" s="177" t="s">
        <v>116</v>
      </c>
      <c r="F1331" s="177">
        <v>3</v>
      </c>
      <c r="G1331" s="177" t="s">
        <v>19</v>
      </c>
      <c r="H1331" s="177" t="s">
        <v>20</v>
      </c>
      <c r="I1331" s="177" t="s">
        <v>143</v>
      </c>
      <c r="J1331" s="177"/>
      <c r="K1331" s="177" t="s">
        <v>159</v>
      </c>
      <c r="L1331" s="177">
        <v>25</v>
      </c>
      <c r="M1331" s="177" t="s">
        <v>160</v>
      </c>
      <c r="N1331" s="178">
        <v>1005</v>
      </c>
      <c r="O1331" s="178">
        <v>1000</v>
      </c>
      <c r="P1331" s="392">
        <v>6000</v>
      </c>
      <c r="Q1331" s="177">
        <v>2</v>
      </c>
      <c r="R1331" s="177">
        <v>12</v>
      </c>
      <c r="S1331" s="177" t="s">
        <v>354</v>
      </c>
      <c r="T1331" s="179">
        <v>44949</v>
      </c>
      <c r="U1331" s="179">
        <v>44977</v>
      </c>
      <c r="V1331" s="177" t="s">
        <v>355</v>
      </c>
      <c r="W1331" s="177"/>
      <c r="X1331" s="177"/>
      <c r="Y1331" s="144"/>
    </row>
    <row r="1332" spans="1:25" ht="13.5" x14ac:dyDescent="0.15">
      <c r="A1332" s="296">
        <v>3700898</v>
      </c>
      <c r="B1332" s="296" t="s">
        <v>351</v>
      </c>
      <c r="C1332" s="296" t="s">
        <v>356</v>
      </c>
      <c r="D1332" s="296" t="s">
        <v>353</v>
      </c>
      <c r="E1332" s="296" t="s">
        <v>17</v>
      </c>
      <c r="F1332" s="296">
        <v>3303</v>
      </c>
      <c r="G1332" s="296" t="s">
        <v>19</v>
      </c>
      <c r="H1332" s="296" t="s">
        <v>20</v>
      </c>
      <c r="I1332" s="296" t="s">
        <v>21</v>
      </c>
      <c r="J1332" s="296"/>
      <c r="K1332" s="296" t="s">
        <v>52</v>
      </c>
      <c r="L1332" s="296">
        <v>38</v>
      </c>
      <c r="M1332" s="296" t="s">
        <v>53</v>
      </c>
      <c r="N1332" s="297">
        <v>1330</v>
      </c>
      <c r="O1332" s="297">
        <v>1330</v>
      </c>
      <c r="P1332" s="392">
        <v>6000</v>
      </c>
      <c r="Q1332" s="296">
        <v>2</v>
      </c>
      <c r="R1332" s="296">
        <v>2</v>
      </c>
      <c r="S1332" s="296" t="s">
        <v>354</v>
      </c>
      <c r="T1332" s="298">
        <v>44978</v>
      </c>
      <c r="U1332" s="298">
        <v>44985</v>
      </c>
      <c r="V1332" s="296" t="s">
        <v>355</v>
      </c>
      <c r="W1332" s="296"/>
      <c r="X1332" s="296"/>
      <c r="Y1332" s="252"/>
    </row>
    <row r="1333" spans="1:25" ht="13.5" x14ac:dyDescent="0.15">
      <c r="A1333" s="296">
        <v>3700904</v>
      </c>
      <c r="B1333" s="296" t="s">
        <v>351</v>
      </c>
      <c r="C1333" s="296" t="s">
        <v>356</v>
      </c>
      <c r="D1333" s="296" t="s">
        <v>353</v>
      </c>
      <c r="E1333" s="296" t="s">
        <v>32</v>
      </c>
      <c r="F1333" s="296">
        <v>331</v>
      </c>
      <c r="G1333" s="296" t="s">
        <v>19</v>
      </c>
      <c r="H1333" s="296" t="s">
        <v>20</v>
      </c>
      <c r="I1333" s="296" t="s">
        <v>21</v>
      </c>
      <c r="J1333" s="296"/>
      <c r="K1333" s="296" t="s">
        <v>33</v>
      </c>
      <c r="L1333" s="296">
        <v>38</v>
      </c>
      <c r="M1333" s="296" t="s">
        <v>30</v>
      </c>
      <c r="N1333" s="297">
        <v>1580</v>
      </c>
      <c r="O1333" s="297">
        <v>1580</v>
      </c>
      <c r="P1333" s="392">
        <v>6000</v>
      </c>
      <c r="Q1333" s="296">
        <v>2</v>
      </c>
      <c r="R1333" s="296">
        <v>8</v>
      </c>
      <c r="S1333" s="296" t="s">
        <v>354</v>
      </c>
      <c r="T1333" s="298">
        <v>44978</v>
      </c>
      <c r="U1333" s="298">
        <v>44988</v>
      </c>
      <c r="V1333" s="296" t="s">
        <v>355</v>
      </c>
      <c r="W1333" s="296"/>
      <c r="X1333" s="296"/>
      <c r="Y1333" s="252"/>
    </row>
    <row r="1334" spans="1:25" ht="13.5" x14ac:dyDescent="0.15">
      <c r="A1334" s="296">
        <v>3700905</v>
      </c>
      <c r="B1334" s="296" t="s">
        <v>351</v>
      </c>
      <c r="C1334" s="296" t="s">
        <v>356</v>
      </c>
      <c r="D1334" s="296" t="s">
        <v>353</v>
      </c>
      <c r="E1334" s="296" t="s">
        <v>17</v>
      </c>
      <c r="F1334" s="296">
        <v>3</v>
      </c>
      <c r="G1334" s="296" t="s">
        <v>19</v>
      </c>
      <c r="H1334" s="296" t="s">
        <v>20</v>
      </c>
      <c r="I1334" s="296" t="s">
        <v>21</v>
      </c>
      <c r="J1334" s="296"/>
      <c r="K1334" s="296" t="s">
        <v>22</v>
      </c>
      <c r="L1334" s="296">
        <v>38</v>
      </c>
      <c r="M1334" s="296" t="s">
        <v>23</v>
      </c>
      <c r="N1334" s="297">
        <v>1367</v>
      </c>
      <c r="O1334" s="297">
        <v>1360</v>
      </c>
      <c r="P1334" s="392">
        <v>6000</v>
      </c>
      <c r="Q1334" s="296">
        <v>2</v>
      </c>
      <c r="R1334" s="296">
        <v>4</v>
      </c>
      <c r="S1334" s="296" t="s">
        <v>354</v>
      </c>
      <c r="T1334" s="298">
        <v>44978</v>
      </c>
      <c r="U1334" s="298">
        <v>44988</v>
      </c>
      <c r="V1334" s="296" t="s">
        <v>355</v>
      </c>
      <c r="W1334" s="296"/>
      <c r="X1334" s="296"/>
      <c r="Y1334" s="252"/>
    </row>
    <row r="1335" spans="1:25" ht="13.5" x14ac:dyDescent="0.15">
      <c r="A1335" s="296">
        <v>3700906</v>
      </c>
      <c r="B1335" s="296" t="s">
        <v>351</v>
      </c>
      <c r="C1335" s="296" t="s">
        <v>356</v>
      </c>
      <c r="D1335" s="296" t="s">
        <v>353</v>
      </c>
      <c r="E1335" s="296" t="s">
        <v>32</v>
      </c>
      <c r="F1335" s="296">
        <v>331</v>
      </c>
      <c r="G1335" s="296" t="s">
        <v>19</v>
      </c>
      <c r="H1335" s="296" t="s">
        <v>20</v>
      </c>
      <c r="I1335" s="296" t="s">
        <v>21</v>
      </c>
      <c r="J1335" s="296"/>
      <c r="K1335" s="296" t="s">
        <v>33</v>
      </c>
      <c r="L1335" s="296">
        <v>25</v>
      </c>
      <c r="M1335" s="296" t="s">
        <v>30</v>
      </c>
      <c r="N1335" s="297">
        <v>1330</v>
      </c>
      <c r="O1335" s="297">
        <v>1330</v>
      </c>
      <c r="P1335" s="392">
        <v>6000</v>
      </c>
      <c r="Q1335" s="296">
        <v>2</v>
      </c>
      <c r="R1335" s="296">
        <v>4</v>
      </c>
      <c r="S1335" s="296" t="s">
        <v>354</v>
      </c>
      <c r="T1335" s="298">
        <v>44978</v>
      </c>
      <c r="U1335" s="298">
        <v>44988</v>
      </c>
      <c r="V1335" s="296" t="s">
        <v>355</v>
      </c>
      <c r="W1335" s="296"/>
      <c r="X1335" s="296"/>
      <c r="Y1335" s="252"/>
    </row>
    <row r="1336" spans="1:25" ht="13.5" x14ac:dyDescent="0.15">
      <c r="A1336" s="296">
        <v>3700907</v>
      </c>
      <c r="B1336" s="296" t="s">
        <v>351</v>
      </c>
      <c r="C1336" s="296" t="s">
        <v>356</v>
      </c>
      <c r="D1336" s="296" t="s">
        <v>353</v>
      </c>
      <c r="E1336" s="296" t="s">
        <v>17</v>
      </c>
      <c r="F1336" s="296">
        <v>331</v>
      </c>
      <c r="G1336" s="296" t="s">
        <v>19</v>
      </c>
      <c r="H1336" s="296" t="s">
        <v>20</v>
      </c>
      <c r="I1336" s="296" t="s">
        <v>21</v>
      </c>
      <c r="J1336" s="296"/>
      <c r="K1336" s="296" t="s">
        <v>29</v>
      </c>
      <c r="L1336" s="296">
        <v>38</v>
      </c>
      <c r="M1336" s="296" t="s">
        <v>30</v>
      </c>
      <c r="N1336" s="297">
        <v>1330</v>
      </c>
      <c r="O1336" s="297">
        <v>1330</v>
      </c>
      <c r="P1336" s="392">
        <v>6000</v>
      </c>
      <c r="Q1336" s="296">
        <v>2</v>
      </c>
      <c r="R1336" s="296">
        <v>14</v>
      </c>
      <c r="S1336" s="296" t="s">
        <v>354</v>
      </c>
      <c r="T1336" s="298">
        <v>44978</v>
      </c>
      <c r="U1336" s="298">
        <v>44988</v>
      </c>
      <c r="V1336" s="296" t="s">
        <v>355</v>
      </c>
      <c r="W1336" s="296"/>
      <c r="X1336" s="296"/>
      <c r="Y1336" s="252"/>
    </row>
    <row r="1337" spans="1:25" ht="13.5" x14ac:dyDescent="0.15">
      <c r="A1337" s="296">
        <v>3700908</v>
      </c>
      <c r="B1337" s="296" t="s">
        <v>351</v>
      </c>
      <c r="C1337" s="296" t="s">
        <v>356</v>
      </c>
      <c r="D1337" s="296" t="s">
        <v>353</v>
      </c>
      <c r="E1337" s="296" t="s">
        <v>32</v>
      </c>
      <c r="F1337" s="296">
        <v>331</v>
      </c>
      <c r="G1337" s="296" t="s">
        <v>19</v>
      </c>
      <c r="H1337" s="296" t="s">
        <v>20</v>
      </c>
      <c r="I1337" s="296" t="s">
        <v>21</v>
      </c>
      <c r="J1337" s="296"/>
      <c r="K1337" s="296" t="s">
        <v>33</v>
      </c>
      <c r="L1337" s="296">
        <v>38</v>
      </c>
      <c r="M1337" s="296" t="s">
        <v>30</v>
      </c>
      <c r="N1337" s="297">
        <v>1330</v>
      </c>
      <c r="O1337" s="297">
        <v>1330</v>
      </c>
      <c r="P1337" s="392">
        <v>6000</v>
      </c>
      <c r="Q1337" s="296">
        <v>2</v>
      </c>
      <c r="R1337" s="296">
        <v>16</v>
      </c>
      <c r="S1337" s="296" t="s">
        <v>354</v>
      </c>
      <c r="T1337" s="298">
        <v>44978</v>
      </c>
      <c r="U1337" s="298">
        <v>44988</v>
      </c>
      <c r="V1337" s="296" t="s">
        <v>355</v>
      </c>
      <c r="W1337" s="296"/>
      <c r="X1337" s="296"/>
      <c r="Y1337" s="252"/>
    </row>
    <row r="1338" spans="1:25" ht="13.5" x14ac:dyDescent="0.15">
      <c r="A1338" s="296">
        <v>3700909</v>
      </c>
      <c r="B1338" s="296" t="s">
        <v>351</v>
      </c>
      <c r="C1338" s="296" t="s">
        <v>356</v>
      </c>
      <c r="D1338" s="296" t="s">
        <v>353</v>
      </c>
      <c r="E1338" s="296" t="s">
        <v>17</v>
      </c>
      <c r="F1338" s="296">
        <v>331</v>
      </c>
      <c r="G1338" s="296" t="s">
        <v>19</v>
      </c>
      <c r="H1338" s="296" t="s">
        <v>20</v>
      </c>
      <c r="I1338" s="296" t="s">
        <v>21</v>
      </c>
      <c r="J1338" s="296"/>
      <c r="K1338" s="296" t="s">
        <v>29</v>
      </c>
      <c r="L1338" s="296">
        <v>38</v>
      </c>
      <c r="M1338" s="296" t="s">
        <v>30</v>
      </c>
      <c r="N1338" s="297">
        <v>1330</v>
      </c>
      <c r="O1338" s="297">
        <v>1330</v>
      </c>
      <c r="P1338" s="392">
        <v>6000</v>
      </c>
      <c r="Q1338" s="296">
        <v>2</v>
      </c>
      <c r="R1338" s="296">
        <v>18</v>
      </c>
      <c r="S1338" s="296" t="s">
        <v>354</v>
      </c>
      <c r="T1338" s="298">
        <v>44978</v>
      </c>
      <c r="U1338" s="298">
        <v>44988</v>
      </c>
      <c r="V1338" s="296" t="s">
        <v>355</v>
      </c>
      <c r="W1338" s="296"/>
      <c r="X1338" s="296"/>
      <c r="Y1338" s="252"/>
    </row>
    <row r="1339" spans="1:25" ht="13.5" x14ac:dyDescent="0.15">
      <c r="A1339" s="296">
        <v>3700910</v>
      </c>
      <c r="B1339" s="296" t="s">
        <v>351</v>
      </c>
      <c r="C1339" s="296" t="s">
        <v>356</v>
      </c>
      <c r="D1339" s="296" t="s">
        <v>353</v>
      </c>
      <c r="E1339" s="296" t="s">
        <v>17</v>
      </c>
      <c r="F1339" s="296">
        <v>3</v>
      </c>
      <c r="G1339" s="296" t="s">
        <v>19</v>
      </c>
      <c r="H1339" s="296" t="s">
        <v>20</v>
      </c>
      <c r="I1339" s="296" t="s">
        <v>21</v>
      </c>
      <c r="J1339" s="296"/>
      <c r="K1339" s="296" t="s">
        <v>22</v>
      </c>
      <c r="L1339" s="296">
        <v>38</v>
      </c>
      <c r="M1339" s="296" t="s">
        <v>23</v>
      </c>
      <c r="N1339" s="297">
        <v>1057</v>
      </c>
      <c r="O1339" s="297">
        <v>1050</v>
      </c>
      <c r="P1339" s="392">
        <v>6000</v>
      </c>
      <c r="Q1339" s="296">
        <v>2</v>
      </c>
      <c r="R1339" s="296">
        <v>15</v>
      </c>
      <c r="S1339" s="296" t="s">
        <v>354</v>
      </c>
      <c r="T1339" s="298">
        <v>44978</v>
      </c>
      <c r="U1339" s="298">
        <v>44993</v>
      </c>
      <c r="V1339" s="296" t="s">
        <v>355</v>
      </c>
      <c r="W1339" s="296"/>
      <c r="X1339" s="296"/>
      <c r="Y1339" s="252"/>
    </row>
    <row r="1340" spans="1:25" ht="13.5" x14ac:dyDescent="0.15">
      <c r="A1340" s="296">
        <v>3700911</v>
      </c>
      <c r="B1340" s="296" t="s">
        <v>351</v>
      </c>
      <c r="C1340" s="296" t="s">
        <v>356</v>
      </c>
      <c r="D1340" s="296" t="s">
        <v>353</v>
      </c>
      <c r="E1340" s="296" t="s">
        <v>17</v>
      </c>
      <c r="F1340" s="296">
        <v>3</v>
      </c>
      <c r="G1340" s="296" t="s">
        <v>19</v>
      </c>
      <c r="H1340" s="296" t="s">
        <v>20</v>
      </c>
      <c r="I1340" s="296" t="s">
        <v>21</v>
      </c>
      <c r="J1340" s="296"/>
      <c r="K1340" s="296" t="s">
        <v>22</v>
      </c>
      <c r="L1340" s="296">
        <v>38</v>
      </c>
      <c r="M1340" s="296" t="s">
        <v>23</v>
      </c>
      <c r="N1340" s="297">
        <v>1037</v>
      </c>
      <c r="O1340" s="297">
        <v>1030</v>
      </c>
      <c r="P1340" s="392">
        <v>6000</v>
      </c>
      <c r="Q1340" s="296">
        <v>2</v>
      </c>
      <c r="R1340" s="296">
        <v>20</v>
      </c>
      <c r="S1340" s="296" t="s">
        <v>354</v>
      </c>
      <c r="T1340" s="298">
        <v>44978</v>
      </c>
      <c r="U1340" s="298">
        <v>44993</v>
      </c>
      <c r="V1340" s="296" t="s">
        <v>355</v>
      </c>
      <c r="W1340" s="296"/>
      <c r="X1340" s="296"/>
      <c r="Y1340" s="252"/>
    </row>
    <row r="1341" spans="1:25" ht="13.5" x14ac:dyDescent="0.15">
      <c r="A1341" s="296">
        <v>3700912</v>
      </c>
      <c r="B1341" s="296" t="s">
        <v>351</v>
      </c>
      <c r="C1341" s="296" t="s">
        <v>356</v>
      </c>
      <c r="D1341" s="296" t="s">
        <v>353</v>
      </c>
      <c r="E1341" s="296" t="s">
        <v>377</v>
      </c>
      <c r="F1341" s="296">
        <v>3</v>
      </c>
      <c r="G1341" s="296" t="s">
        <v>19</v>
      </c>
      <c r="H1341" s="296" t="s">
        <v>20</v>
      </c>
      <c r="I1341" s="296" t="s">
        <v>21</v>
      </c>
      <c r="J1341" s="296"/>
      <c r="K1341" s="296" t="s">
        <v>36</v>
      </c>
      <c r="L1341" s="296">
        <v>25</v>
      </c>
      <c r="M1341" s="296" t="s">
        <v>37</v>
      </c>
      <c r="N1341" s="296">
        <v>890</v>
      </c>
      <c r="O1341" s="296">
        <v>890</v>
      </c>
      <c r="P1341" s="392">
        <v>6000</v>
      </c>
      <c r="Q1341" s="296">
        <v>2</v>
      </c>
      <c r="R1341" s="296">
        <v>3</v>
      </c>
      <c r="S1341" s="296" t="s">
        <v>354</v>
      </c>
      <c r="T1341" s="298">
        <v>44978</v>
      </c>
      <c r="U1341" s="298">
        <v>44993</v>
      </c>
      <c r="V1341" s="296" t="s">
        <v>355</v>
      </c>
      <c r="W1341" s="296"/>
      <c r="X1341" s="296"/>
      <c r="Y1341" s="252"/>
    </row>
    <row r="1342" spans="1:25" ht="13.5" x14ac:dyDescent="0.15">
      <c r="A1342" s="296">
        <v>3700914</v>
      </c>
      <c r="B1342" s="296" t="s">
        <v>351</v>
      </c>
      <c r="C1342" s="296" t="s">
        <v>358</v>
      </c>
      <c r="D1342" s="296" t="s">
        <v>353</v>
      </c>
      <c r="E1342" s="296" t="s">
        <v>61</v>
      </c>
      <c r="F1342" s="296">
        <v>3313</v>
      </c>
      <c r="G1342" s="296" t="s">
        <v>19</v>
      </c>
      <c r="H1342" s="296" t="s">
        <v>20</v>
      </c>
      <c r="I1342" s="296" t="s">
        <v>21</v>
      </c>
      <c r="J1342" s="296"/>
      <c r="K1342" s="296" t="s">
        <v>62</v>
      </c>
      <c r="L1342" s="296">
        <v>38</v>
      </c>
      <c r="M1342" s="296" t="s">
        <v>63</v>
      </c>
      <c r="N1342" s="296">
        <v>750</v>
      </c>
      <c r="O1342" s="296">
        <v>750</v>
      </c>
      <c r="P1342" s="392">
        <v>6000</v>
      </c>
      <c r="Q1342" s="296">
        <v>2</v>
      </c>
      <c r="R1342" s="296">
        <v>12</v>
      </c>
      <c r="S1342" s="296" t="s">
        <v>354</v>
      </c>
      <c r="T1342" s="298">
        <v>44978</v>
      </c>
      <c r="U1342" s="298">
        <v>44993</v>
      </c>
      <c r="V1342" s="296" t="s">
        <v>355</v>
      </c>
      <c r="W1342" s="296"/>
      <c r="X1342" s="296"/>
      <c r="Y1342" s="252"/>
    </row>
    <row r="1343" spans="1:25" ht="13.5" x14ac:dyDescent="0.15">
      <c r="A1343" s="296">
        <v>3700916</v>
      </c>
      <c r="B1343" s="296" t="s">
        <v>351</v>
      </c>
      <c r="C1343" s="296" t="s">
        <v>363</v>
      </c>
      <c r="D1343" s="296" t="s">
        <v>353</v>
      </c>
      <c r="E1343" s="296" t="s">
        <v>65</v>
      </c>
      <c r="F1343" s="296">
        <v>3321</v>
      </c>
      <c r="G1343" s="296" t="s">
        <v>19</v>
      </c>
      <c r="H1343" s="296" t="s">
        <v>20</v>
      </c>
      <c r="I1343" s="296" t="s">
        <v>21</v>
      </c>
      <c r="J1343" s="296"/>
      <c r="K1343" s="296" t="s">
        <v>70</v>
      </c>
      <c r="L1343" s="296">
        <v>38</v>
      </c>
      <c r="M1343" s="296" t="s">
        <v>71</v>
      </c>
      <c r="N1343" s="297">
        <v>1336</v>
      </c>
      <c r="O1343" s="297">
        <v>1325</v>
      </c>
      <c r="P1343" s="392">
        <v>6000</v>
      </c>
      <c r="Q1343" s="296">
        <v>2</v>
      </c>
      <c r="R1343" s="296">
        <v>4</v>
      </c>
      <c r="S1343" s="296" t="s">
        <v>354</v>
      </c>
      <c r="T1343" s="298">
        <v>44978</v>
      </c>
      <c r="U1343" s="298">
        <v>44993</v>
      </c>
      <c r="V1343" s="296" t="s">
        <v>355</v>
      </c>
      <c r="W1343" s="296"/>
      <c r="X1343" s="296"/>
      <c r="Y1343" s="252"/>
    </row>
    <row r="1344" spans="1:25" ht="13.5" x14ac:dyDescent="0.15">
      <c r="A1344" s="296">
        <v>3700917</v>
      </c>
      <c r="B1344" s="296" t="s">
        <v>431</v>
      </c>
      <c r="C1344" s="296" t="s">
        <v>358</v>
      </c>
      <c r="D1344" s="296" t="s">
        <v>353</v>
      </c>
      <c r="E1344" s="296" t="s">
        <v>61</v>
      </c>
      <c r="F1344" s="296">
        <v>3</v>
      </c>
      <c r="G1344" s="296" t="s">
        <v>265</v>
      </c>
      <c r="H1344" s="296" t="s">
        <v>20</v>
      </c>
      <c r="I1344" s="296" t="s">
        <v>21</v>
      </c>
      <c r="J1344" s="296"/>
      <c r="K1344" s="296" t="s">
        <v>263</v>
      </c>
      <c r="L1344" s="296">
        <v>75</v>
      </c>
      <c r="M1344" s="296" t="s">
        <v>264</v>
      </c>
      <c r="N1344" s="297">
        <v>1050</v>
      </c>
      <c r="O1344" s="297">
        <v>1050</v>
      </c>
      <c r="P1344" s="392">
        <v>6000</v>
      </c>
      <c r="Q1344" s="296">
        <v>2</v>
      </c>
      <c r="R1344" s="296">
        <v>30</v>
      </c>
      <c r="S1344" s="296" t="s">
        <v>354</v>
      </c>
      <c r="T1344" s="298">
        <v>44978</v>
      </c>
      <c r="U1344" s="298">
        <v>45001</v>
      </c>
      <c r="V1344" s="296" t="s">
        <v>355</v>
      </c>
      <c r="W1344" s="296"/>
      <c r="X1344" s="296"/>
      <c r="Y1344" s="252"/>
    </row>
    <row r="1345" spans="1:25" ht="13.5" x14ac:dyDescent="0.15">
      <c r="A1345" s="296">
        <v>3700918</v>
      </c>
      <c r="B1345" s="296" t="s">
        <v>351</v>
      </c>
      <c r="C1345" s="296" t="s">
        <v>356</v>
      </c>
      <c r="D1345" s="296" t="s">
        <v>353</v>
      </c>
      <c r="E1345" s="296" t="s">
        <v>32</v>
      </c>
      <c r="F1345" s="296">
        <v>331</v>
      </c>
      <c r="G1345" s="296" t="s">
        <v>19</v>
      </c>
      <c r="H1345" s="296" t="s">
        <v>20</v>
      </c>
      <c r="I1345" s="296" t="s">
        <v>21</v>
      </c>
      <c r="J1345" s="296"/>
      <c r="K1345" s="296" t="s">
        <v>54</v>
      </c>
      <c r="L1345" s="296">
        <v>38</v>
      </c>
      <c r="M1345" s="296" t="s">
        <v>53</v>
      </c>
      <c r="N1345" s="297">
        <v>1580</v>
      </c>
      <c r="O1345" s="297">
        <v>1580</v>
      </c>
      <c r="P1345" s="392">
        <v>6000</v>
      </c>
      <c r="Q1345" s="296">
        <v>2</v>
      </c>
      <c r="R1345" s="296">
        <v>2</v>
      </c>
      <c r="S1345" s="296" t="s">
        <v>354</v>
      </c>
      <c r="T1345" s="298">
        <v>44978</v>
      </c>
      <c r="U1345" s="298">
        <v>45001</v>
      </c>
      <c r="V1345" s="296" t="s">
        <v>355</v>
      </c>
      <c r="W1345" s="296"/>
      <c r="X1345" s="296"/>
      <c r="Y1345" s="252"/>
    </row>
    <row r="1346" spans="1:25" ht="13.5" x14ac:dyDescent="0.15">
      <c r="A1346" s="296">
        <v>3700919</v>
      </c>
      <c r="B1346" s="296" t="s">
        <v>351</v>
      </c>
      <c r="C1346" s="296" t="s">
        <v>358</v>
      </c>
      <c r="D1346" s="296" t="s">
        <v>353</v>
      </c>
      <c r="E1346" s="296" t="s">
        <v>44</v>
      </c>
      <c r="F1346" s="296">
        <v>3</v>
      </c>
      <c r="G1346" s="296" t="s">
        <v>19</v>
      </c>
      <c r="H1346" s="296" t="s">
        <v>20</v>
      </c>
      <c r="I1346" s="296" t="s">
        <v>21</v>
      </c>
      <c r="J1346" s="296"/>
      <c r="K1346" s="296" t="s">
        <v>47</v>
      </c>
      <c r="L1346" s="296">
        <v>25</v>
      </c>
      <c r="M1346" s="296" t="s">
        <v>48</v>
      </c>
      <c r="N1346" s="296">
        <v>740</v>
      </c>
      <c r="O1346" s="296">
        <v>740</v>
      </c>
      <c r="P1346" s="392">
        <v>6000</v>
      </c>
      <c r="Q1346" s="296">
        <v>1</v>
      </c>
      <c r="R1346" s="296">
        <v>48</v>
      </c>
      <c r="S1346" s="296" t="s">
        <v>354</v>
      </c>
      <c r="T1346" s="298">
        <v>44978</v>
      </c>
      <c r="U1346" s="298">
        <v>45001</v>
      </c>
      <c r="V1346" s="296" t="s">
        <v>355</v>
      </c>
      <c r="W1346" s="296"/>
      <c r="X1346" s="296"/>
      <c r="Y1346" s="252"/>
    </row>
    <row r="1347" spans="1:25" ht="13.5" x14ac:dyDescent="0.15">
      <c r="A1347" s="296">
        <v>3700920</v>
      </c>
      <c r="B1347" s="296" t="s">
        <v>351</v>
      </c>
      <c r="C1347" s="296" t="s">
        <v>356</v>
      </c>
      <c r="D1347" s="296" t="s">
        <v>353</v>
      </c>
      <c r="E1347" s="296" t="s">
        <v>17</v>
      </c>
      <c r="F1347" s="296">
        <v>331</v>
      </c>
      <c r="G1347" s="296" t="s">
        <v>19</v>
      </c>
      <c r="H1347" s="296" t="s">
        <v>20</v>
      </c>
      <c r="I1347" s="296" t="s">
        <v>21</v>
      </c>
      <c r="J1347" s="296"/>
      <c r="K1347" s="296" t="s">
        <v>52</v>
      </c>
      <c r="L1347" s="296">
        <v>38</v>
      </c>
      <c r="M1347" s="296" t="s">
        <v>53</v>
      </c>
      <c r="N1347" s="297">
        <v>1330</v>
      </c>
      <c r="O1347" s="297">
        <v>1330</v>
      </c>
      <c r="P1347" s="392">
        <v>6000</v>
      </c>
      <c r="Q1347" s="296">
        <v>2</v>
      </c>
      <c r="R1347" s="296">
        <v>28</v>
      </c>
      <c r="S1347" s="296" t="s">
        <v>354</v>
      </c>
      <c r="T1347" s="298">
        <v>44978</v>
      </c>
      <c r="U1347" s="298">
        <v>45001</v>
      </c>
      <c r="V1347" s="296" t="s">
        <v>355</v>
      </c>
      <c r="W1347" s="296"/>
      <c r="X1347" s="296"/>
      <c r="Y1347" s="252"/>
    </row>
    <row r="1348" spans="1:25" ht="13.5" x14ac:dyDescent="0.15">
      <c r="A1348" s="296">
        <v>3700921</v>
      </c>
      <c r="B1348" s="296" t="s">
        <v>351</v>
      </c>
      <c r="C1348" s="296" t="s">
        <v>356</v>
      </c>
      <c r="D1348" s="296" t="s">
        <v>353</v>
      </c>
      <c r="E1348" s="296" t="s">
        <v>17</v>
      </c>
      <c r="F1348" s="296">
        <v>331</v>
      </c>
      <c r="G1348" s="296" t="s">
        <v>19</v>
      </c>
      <c r="H1348" s="296" t="s">
        <v>20</v>
      </c>
      <c r="I1348" s="296" t="s">
        <v>21</v>
      </c>
      <c r="J1348" s="296"/>
      <c r="K1348" s="296" t="s">
        <v>52</v>
      </c>
      <c r="L1348" s="296">
        <v>38</v>
      </c>
      <c r="M1348" s="296" t="s">
        <v>53</v>
      </c>
      <c r="N1348" s="297">
        <v>1330</v>
      </c>
      <c r="O1348" s="297">
        <v>1330</v>
      </c>
      <c r="P1348" s="392">
        <v>6000</v>
      </c>
      <c r="Q1348" s="296">
        <v>2</v>
      </c>
      <c r="R1348" s="296">
        <v>28</v>
      </c>
      <c r="S1348" s="296" t="s">
        <v>354</v>
      </c>
      <c r="T1348" s="298">
        <v>44978</v>
      </c>
      <c r="U1348" s="298">
        <v>45001</v>
      </c>
      <c r="V1348" s="296" t="s">
        <v>355</v>
      </c>
      <c r="W1348" s="296"/>
      <c r="X1348" s="296"/>
      <c r="Y1348" s="252"/>
    </row>
    <row r="1349" spans="1:25" ht="13.5" x14ac:dyDescent="0.15">
      <c r="A1349" s="296">
        <v>3700922</v>
      </c>
      <c r="B1349" s="296" t="s">
        <v>351</v>
      </c>
      <c r="C1349" s="296" t="s">
        <v>356</v>
      </c>
      <c r="D1349" s="296" t="s">
        <v>353</v>
      </c>
      <c r="E1349" s="296" t="s">
        <v>32</v>
      </c>
      <c r="F1349" s="296">
        <v>331</v>
      </c>
      <c r="G1349" s="296" t="s">
        <v>19</v>
      </c>
      <c r="H1349" s="296" t="s">
        <v>20</v>
      </c>
      <c r="I1349" s="296" t="s">
        <v>21</v>
      </c>
      <c r="J1349" s="296"/>
      <c r="K1349" s="296" t="s">
        <v>54</v>
      </c>
      <c r="L1349" s="296">
        <v>38</v>
      </c>
      <c r="M1349" s="296" t="s">
        <v>53</v>
      </c>
      <c r="N1349" s="297">
        <v>1330</v>
      </c>
      <c r="O1349" s="297">
        <v>1330</v>
      </c>
      <c r="P1349" s="392">
        <v>6000</v>
      </c>
      <c r="Q1349" s="296">
        <v>2</v>
      </c>
      <c r="R1349" s="296">
        <v>12</v>
      </c>
      <c r="S1349" s="296" t="s">
        <v>354</v>
      </c>
      <c r="T1349" s="298">
        <v>44978</v>
      </c>
      <c r="U1349" s="298">
        <v>45001</v>
      </c>
      <c r="V1349" s="296" t="s">
        <v>355</v>
      </c>
      <c r="W1349" s="296"/>
      <c r="X1349" s="296"/>
      <c r="Y1349" s="252"/>
    </row>
    <row r="1350" spans="1:25" ht="13.5" x14ac:dyDescent="0.15">
      <c r="A1350" s="296">
        <v>3700923</v>
      </c>
      <c r="B1350" s="296" t="s">
        <v>351</v>
      </c>
      <c r="C1350" s="296" t="s">
        <v>356</v>
      </c>
      <c r="D1350" s="296" t="s">
        <v>353</v>
      </c>
      <c r="E1350" s="296" t="s">
        <v>32</v>
      </c>
      <c r="F1350" s="296">
        <v>3</v>
      </c>
      <c r="G1350" s="296" t="s">
        <v>19</v>
      </c>
      <c r="H1350" s="296" t="s">
        <v>20</v>
      </c>
      <c r="I1350" s="296" t="s">
        <v>21</v>
      </c>
      <c r="J1350" s="296"/>
      <c r="K1350" s="296" t="s">
        <v>56</v>
      </c>
      <c r="L1350" s="296">
        <v>75</v>
      </c>
      <c r="M1350" s="296" t="s">
        <v>376</v>
      </c>
      <c r="N1350" s="297">
        <v>1330</v>
      </c>
      <c r="O1350" s="297">
        <v>1330</v>
      </c>
      <c r="P1350" s="392">
        <v>6000</v>
      </c>
      <c r="Q1350" s="296">
        <v>2</v>
      </c>
      <c r="R1350" s="296">
        <v>10</v>
      </c>
      <c r="S1350" s="296" t="s">
        <v>354</v>
      </c>
      <c r="T1350" s="298">
        <v>44978</v>
      </c>
      <c r="U1350" s="298">
        <v>45001</v>
      </c>
      <c r="V1350" s="296" t="s">
        <v>355</v>
      </c>
      <c r="W1350" s="296"/>
      <c r="X1350" s="296"/>
      <c r="Y1350" s="252"/>
    </row>
    <row r="1351" spans="1:25" ht="13.5" x14ac:dyDescent="0.15">
      <c r="A1351" s="296">
        <v>3700924</v>
      </c>
      <c r="B1351" s="296" t="s">
        <v>351</v>
      </c>
      <c r="C1351" s="296" t="s">
        <v>356</v>
      </c>
      <c r="D1351" s="296" t="s">
        <v>353</v>
      </c>
      <c r="E1351" s="296" t="s">
        <v>87</v>
      </c>
      <c r="F1351" s="296">
        <v>3</v>
      </c>
      <c r="G1351" s="296" t="s">
        <v>19</v>
      </c>
      <c r="H1351" s="296" t="s">
        <v>20</v>
      </c>
      <c r="I1351" s="296" t="s">
        <v>21</v>
      </c>
      <c r="J1351" s="296"/>
      <c r="K1351" s="296" t="s">
        <v>88</v>
      </c>
      <c r="L1351" s="296">
        <v>75</v>
      </c>
      <c r="M1351" s="296" t="s">
        <v>361</v>
      </c>
      <c r="N1351" s="296">
        <v>220</v>
      </c>
      <c r="O1351" s="296">
        <v>220</v>
      </c>
      <c r="P1351" s="392">
        <v>6000</v>
      </c>
      <c r="Q1351" s="296">
        <v>1</v>
      </c>
      <c r="R1351" s="296">
        <v>45</v>
      </c>
      <c r="S1351" s="296" t="s">
        <v>354</v>
      </c>
      <c r="T1351" s="298">
        <v>44978</v>
      </c>
      <c r="U1351" s="298">
        <v>45002</v>
      </c>
      <c r="V1351" s="296" t="s">
        <v>355</v>
      </c>
      <c r="W1351" s="296"/>
      <c r="X1351" s="296"/>
      <c r="Y1351" s="252"/>
    </row>
    <row r="1352" spans="1:25" ht="13.5" x14ac:dyDescent="0.15">
      <c r="A1352" s="296">
        <v>3700925</v>
      </c>
      <c r="B1352" s="296" t="s">
        <v>351</v>
      </c>
      <c r="C1352" s="296" t="s">
        <v>358</v>
      </c>
      <c r="D1352" s="296" t="s">
        <v>353</v>
      </c>
      <c r="E1352" s="296" t="s">
        <v>90</v>
      </c>
      <c r="F1352" s="296">
        <v>3</v>
      </c>
      <c r="G1352" s="296" t="s">
        <v>19</v>
      </c>
      <c r="H1352" s="296" t="s">
        <v>20</v>
      </c>
      <c r="I1352" s="296" t="s">
        <v>21</v>
      </c>
      <c r="J1352" s="296"/>
      <c r="K1352" s="296" t="s">
        <v>88</v>
      </c>
      <c r="L1352" s="296">
        <v>75</v>
      </c>
      <c r="M1352" s="296" t="s">
        <v>361</v>
      </c>
      <c r="N1352" s="296">
        <v>620</v>
      </c>
      <c r="O1352" s="296">
        <v>620</v>
      </c>
      <c r="P1352" s="392">
        <v>6000</v>
      </c>
      <c r="Q1352" s="296">
        <v>2</v>
      </c>
      <c r="R1352" s="296">
        <v>18</v>
      </c>
      <c r="S1352" s="296" t="s">
        <v>354</v>
      </c>
      <c r="T1352" s="298">
        <v>44978</v>
      </c>
      <c r="U1352" s="298">
        <v>45002</v>
      </c>
      <c r="V1352" s="296" t="s">
        <v>355</v>
      </c>
      <c r="W1352" s="296"/>
      <c r="X1352" s="296"/>
      <c r="Y1352" s="252"/>
    </row>
    <row r="1353" spans="1:25" ht="13.5" x14ac:dyDescent="0.15">
      <c r="A1353" s="296">
        <v>3700926</v>
      </c>
      <c r="B1353" s="296" t="s">
        <v>351</v>
      </c>
      <c r="C1353" s="296" t="s">
        <v>358</v>
      </c>
      <c r="D1353" s="296" t="s">
        <v>353</v>
      </c>
      <c r="E1353" s="296" t="s">
        <v>90</v>
      </c>
      <c r="F1353" s="296">
        <v>3</v>
      </c>
      <c r="G1353" s="296" t="s">
        <v>19</v>
      </c>
      <c r="H1353" s="296" t="s">
        <v>20</v>
      </c>
      <c r="I1353" s="296" t="s">
        <v>21</v>
      </c>
      <c r="J1353" s="296"/>
      <c r="K1353" s="296" t="s">
        <v>88</v>
      </c>
      <c r="L1353" s="296">
        <v>75</v>
      </c>
      <c r="M1353" s="296" t="s">
        <v>361</v>
      </c>
      <c r="N1353" s="297">
        <v>1130</v>
      </c>
      <c r="O1353" s="297">
        <v>1130</v>
      </c>
      <c r="P1353" s="392">
        <v>6000</v>
      </c>
      <c r="Q1353" s="296">
        <v>2</v>
      </c>
      <c r="R1353" s="296">
        <v>8</v>
      </c>
      <c r="S1353" s="296" t="s">
        <v>354</v>
      </c>
      <c r="T1353" s="298">
        <v>44978</v>
      </c>
      <c r="U1353" s="298">
        <v>45002</v>
      </c>
      <c r="V1353" s="296" t="s">
        <v>355</v>
      </c>
      <c r="W1353" s="296"/>
      <c r="X1353" s="296"/>
      <c r="Y1353" s="252"/>
    </row>
    <row r="1354" spans="1:25" ht="13.5" x14ac:dyDescent="0.15">
      <c r="A1354" s="296">
        <v>3700927</v>
      </c>
      <c r="B1354" s="296" t="s">
        <v>351</v>
      </c>
      <c r="C1354" s="296" t="s">
        <v>358</v>
      </c>
      <c r="D1354" s="296" t="s">
        <v>353</v>
      </c>
      <c r="E1354" s="296" t="s">
        <v>362</v>
      </c>
      <c r="F1354" s="296">
        <v>3</v>
      </c>
      <c r="G1354" s="296" t="s">
        <v>19</v>
      </c>
      <c r="H1354" s="296" t="s">
        <v>20</v>
      </c>
      <c r="I1354" s="296" t="s">
        <v>21</v>
      </c>
      <c r="J1354" s="296"/>
      <c r="K1354" s="296" t="s">
        <v>88</v>
      </c>
      <c r="L1354" s="296">
        <v>188</v>
      </c>
      <c r="M1354" s="296" t="s">
        <v>361</v>
      </c>
      <c r="N1354" s="297">
        <v>1130</v>
      </c>
      <c r="O1354" s="297">
        <v>1130</v>
      </c>
      <c r="P1354" s="392">
        <v>6000</v>
      </c>
      <c r="Q1354" s="296">
        <v>2</v>
      </c>
      <c r="R1354" s="296">
        <v>14</v>
      </c>
      <c r="S1354" s="296" t="s">
        <v>354</v>
      </c>
      <c r="T1354" s="298">
        <v>44978</v>
      </c>
      <c r="U1354" s="298">
        <v>45002</v>
      </c>
      <c r="V1354" s="296" t="s">
        <v>355</v>
      </c>
      <c r="W1354" s="296"/>
      <c r="X1354" s="296"/>
      <c r="Y1354" s="252"/>
    </row>
    <row r="1355" spans="1:25" ht="13.5" x14ac:dyDescent="0.15">
      <c r="A1355" s="296">
        <v>3700928</v>
      </c>
      <c r="B1355" s="296" t="s">
        <v>351</v>
      </c>
      <c r="C1355" s="296" t="s">
        <v>358</v>
      </c>
      <c r="D1355" s="296" t="s">
        <v>353</v>
      </c>
      <c r="E1355" s="296" t="s">
        <v>362</v>
      </c>
      <c r="F1355" s="296">
        <v>3</v>
      </c>
      <c r="G1355" s="296" t="s">
        <v>19</v>
      </c>
      <c r="H1355" s="296" t="s">
        <v>20</v>
      </c>
      <c r="I1355" s="296" t="s">
        <v>21</v>
      </c>
      <c r="J1355" s="296"/>
      <c r="K1355" s="296" t="s">
        <v>88</v>
      </c>
      <c r="L1355" s="296">
        <v>100</v>
      </c>
      <c r="M1355" s="296" t="s">
        <v>361</v>
      </c>
      <c r="N1355" s="296">
        <v>330</v>
      </c>
      <c r="O1355" s="296">
        <v>330</v>
      </c>
      <c r="P1355" s="392">
        <v>6000</v>
      </c>
      <c r="Q1355" s="296">
        <v>1</v>
      </c>
      <c r="R1355" s="296">
        <v>24</v>
      </c>
      <c r="S1355" s="296" t="s">
        <v>354</v>
      </c>
      <c r="T1355" s="298">
        <v>44978</v>
      </c>
      <c r="U1355" s="298">
        <v>45002</v>
      </c>
      <c r="V1355" s="296" t="s">
        <v>355</v>
      </c>
      <c r="W1355" s="296"/>
      <c r="X1355" s="296"/>
      <c r="Y1355" s="252"/>
    </row>
    <row r="1356" spans="1:25" ht="13.5" x14ac:dyDescent="0.15">
      <c r="A1356" s="296">
        <v>3700929</v>
      </c>
      <c r="B1356" s="296" t="s">
        <v>351</v>
      </c>
      <c r="C1356" s="296" t="s">
        <v>358</v>
      </c>
      <c r="D1356" s="296" t="s">
        <v>353</v>
      </c>
      <c r="E1356" s="296" t="s">
        <v>362</v>
      </c>
      <c r="F1356" s="296">
        <v>3</v>
      </c>
      <c r="G1356" s="296" t="s">
        <v>19</v>
      </c>
      <c r="H1356" s="296" t="s">
        <v>20</v>
      </c>
      <c r="I1356" s="296" t="s">
        <v>21</v>
      </c>
      <c r="J1356" s="296"/>
      <c r="K1356" s="296" t="s">
        <v>88</v>
      </c>
      <c r="L1356" s="296">
        <v>100</v>
      </c>
      <c r="M1356" s="296" t="s">
        <v>361</v>
      </c>
      <c r="N1356" s="296">
        <v>330</v>
      </c>
      <c r="O1356" s="296">
        <v>330</v>
      </c>
      <c r="P1356" s="392">
        <v>6000</v>
      </c>
      <c r="Q1356" s="296">
        <v>1</v>
      </c>
      <c r="R1356" s="296">
        <v>48</v>
      </c>
      <c r="S1356" s="296" t="s">
        <v>354</v>
      </c>
      <c r="T1356" s="298">
        <v>44978</v>
      </c>
      <c r="U1356" s="298">
        <v>45002</v>
      </c>
      <c r="V1356" s="296" t="s">
        <v>355</v>
      </c>
      <c r="W1356" s="296"/>
      <c r="X1356" s="296"/>
      <c r="Y1356" s="252"/>
    </row>
    <row r="1357" spans="1:25" ht="13.5" x14ac:dyDescent="0.15">
      <c r="A1357" s="296">
        <v>3700930</v>
      </c>
      <c r="B1357" s="296" t="s">
        <v>351</v>
      </c>
      <c r="C1357" s="296" t="s">
        <v>364</v>
      </c>
      <c r="D1357" s="296" t="s">
        <v>353</v>
      </c>
      <c r="E1357" s="296" t="s">
        <v>93</v>
      </c>
      <c r="F1357" s="296">
        <v>331</v>
      </c>
      <c r="G1357" s="296" t="s">
        <v>19</v>
      </c>
      <c r="H1357" s="296" t="s">
        <v>20</v>
      </c>
      <c r="I1357" s="296" t="s">
        <v>21</v>
      </c>
      <c r="J1357" s="296"/>
      <c r="K1357" s="296" t="s">
        <v>88</v>
      </c>
      <c r="L1357" s="296">
        <v>100</v>
      </c>
      <c r="M1357" s="296" t="s">
        <v>361</v>
      </c>
      <c r="N1357" s="296">
        <v>450</v>
      </c>
      <c r="O1357" s="296">
        <v>450</v>
      </c>
      <c r="P1357" s="392">
        <v>6000</v>
      </c>
      <c r="Q1357" s="296">
        <v>2</v>
      </c>
      <c r="R1357" s="296">
        <v>48</v>
      </c>
      <c r="S1357" s="296" t="s">
        <v>354</v>
      </c>
      <c r="T1357" s="298">
        <v>44978</v>
      </c>
      <c r="U1357" s="298">
        <v>45002</v>
      </c>
      <c r="V1357" s="296" t="s">
        <v>355</v>
      </c>
      <c r="W1357" s="296"/>
      <c r="X1357" s="296"/>
      <c r="Y1357" s="252"/>
    </row>
    <row r="1358" spans="1:25" ht="13.5" x14ac:dyDescent="0.15">
      <c r="A1358" s="296">
        <v>3700931</v>
      </c>
      <c r="B1358" s="296" t="s">
        <v>351</v>
      </c>
      <c r="C1358" s="296" t="s">
        <v>356</v>
      </c>
      <c r="D1358" s="296" t="s">
        <v>353</v>
      </c>
      <c r="E1358" s="296" t="s">
        <v>114</v>
      </c>
      <c r="F1358" s="296">
        <v>3</v>
      </c>
      <c r="G1358" s="296" t="s">
        <v>19</v>
      </c>
      <c r="H1358" s="296" t="s">
        <v>20</v>
      </c>
      <c r="I1358" s="296" t="s">
        <v>21</v>
      </c>
      <c r="J1358" s="296"/>
      <c r="K1358" s="296" t="s">
        <v>112</v>
      </c>
      <c r="L1358" s="296">
        <v>25</v>
      </c>
      <c r="M1358" s="296" t="s">
        <v>357</v>
      </c>
      <c r="N1358" s="296">
        <v>640</v>
      </c>
      <c r="O1358" s="296">
        <v>640</v>
      </c>
      <c r="P1358" s="392">
        <v>6000</v>
      </c>
      <c r="Q1358" s="296">
        <v>2</v>
      </c>
      <c r="R1358" s="296">
        <v>24</v>
      </c>
      <c r="S1358" s="296" t="s">
        <v>354</v>
      </c>
      <c r="T1358" s="298">
        <v>44978</v>
      </c>
      <c r="U1358" s="298">
        <v>45007</v>
      </c>
      <c r="V1358" s="296" t="s">
        <v>355</v>
      </c>
      <c r="W1358" s="296"/>
      <c r="X1358" s="296"/>
      <c r="Y1358" s="252"/>
    </row>
    <row r="1359" spans="1:25" ht="13.5" x14ac:dyDescent="0.15">
      <c r="A1359" s="296">
        <v>3700932</v>
      </c>
      <c r="B1359" s="296" t="s">
        <v>431</v>
      </c>
      <c r="C1359" s="296" t="s">
        <v>364</v>
      </c>
      <c r="D1359" s="296" t="s">
        <v>353</v>
      </c>
      <c r="E1359" s="296" t="s">
        <v>371</v>
      </c>
      <c r="F1359" s="296">
        <v>331</v>
      </c>
      <c r="G1359" s="296" t="s">
        <v>265</v>
      </c>
      <c r="H1359" s="296" t="s">
        <v>20</v>
      </c>
      <c r="I1359" s="296" t="s">
        <v>21</v>
      </c>
      <c r="J1359" s="296"/>
      <c r="K1359" s="296" t="s">
        <v>118</v>
      </c>
      <c r="L1359" s="296">
        <v>25</v>
      </c>
      <c r="M1359" s="296" t="s">
        <v>119</v>
      </c>
      <c r="N1359" s="297">
        <v>1425</v>
      </c>
      <c r="O1359" s="297">
        <v>1420</v>
      </c>
      <c r="P1359" s="392">
        <v>6000</v>
      </c>
      <c r="Q1359" s="296">
        <v>2</v>
      </c>
      <c r="R1359" s="296">
        <v>5</v>
      </c>
      <c r="S1359" s="296" t="s">
        <v>354</v>
      </c>
      <c r="T1359" s="298">
        <v>44978</v>
      </c>
      <c r="U1359" s="298">
        <v>45007</v>
      </c>
      <c r="V1359" s="296" t="s">
        <v>355</v>
      </c>
      <c r="W1359" s="296"/>
      <c r="X1359" s="296"/>
      <c r="Y1359" s="252"/>
    </row>
    <row r="1360" spans="1:25" ht="13.5" x14ac:dyDescent="0.15">
      <c r="A1360" s="296">
        <v>3700933</v>
      </c>
      <c r="B1360" s="296" t="s">
        <v>431</v>
      </c>
      <c r="C1360" s="296" t="s">
        <v>356</v>
      </c>
      <c r="D1360" s="296" t="s">
        <v>353</v>
      </c>
      <c r="E1360" s="296" t="s">
        <v>130</v>
      </c>
      <c r="F1360" s="296">
        <v>3</v>
      </c>
      <c r="G1360" s="296" t="s">
        <v>265</v>
      </c>
      <c r="H1360" s="296" t="s">
        <v>20</v>
      </c>
      <c r="I1360" s="296" t="s">
        <v>21</v>
      </c>
      <c r="J1360" s="296"/>
      <c r="K1360" s="296" t="s">
        <v>435</v>
      </c>
      <c r="L1360" s="296">
        <v>25</v>
      </c>
      <c r="M1360" s="296" t="s">
        <v>436</v>
      </c>
      <c r="N1360" s="297">
        <v>1410</v>
      </c>
      <c r="O1360" s="297">
        <v>1410</v>
      </c>
      <c r="P1360" s="392">
        <v>6000</v>
      </c>
      <c r="Q1360" s="296">
        <v>2</v>
      </c>
      <c r="R1360" s="296">
        <v>18</v>
      </c>
      <c r="S1360" s="296" t="s">
        <v>354</v>
      </c>
      <c r="T1360" s="298">
        <v>44978</v>
      </c>
      <c r="U1360" s="298">
        <v>45007</v>
      </c>
      <c r="V1360" s="296" t="s">
        <v>355</v>
      </c>
      <c r="W1360" s="296"/>
      <c r="X1360" s="296"/>
      <c r="Y1360" s="252"/>
    </row>
    <row r="1361" spans="1:25" ht="13.5" x14ac:dyDescent="0.15">
      <c r="A1361" s="296">
        <v>3700934</v>
      </c>
      <c r="B1361" s="296" t="s">
        <v>351</v>
      </c>
      <c r="C1361" s="296" t="s">
        <v>352</v>
      </c>
      <c r="D1361" s="296" t="s">
        <v>353</v>
      </c>
      <c r="E1361" s="296" t="s">
        <v>116</v>
      </c>
      <c r="F1361" s="296">
        <v>3</v>
      </c>
      <c r="G1361" s="296" t="s">
        <v>19</v>
      </c>
      <c r="H1361" s="296" t="s">
        <v>20</v>
      </c>
      <c r="I1361" s="296" t="s">
        <v>21</v>
      </c>
      <c r="J1361" s="296"/>
      <c r="K1361" s="296" t="s">
        <v>118</v>
      </c>
      <c r="L1361" s="296">
        <v>38</v>
      </c>
      <c r="M1361" s="296" t="s">
        <v>368</v>
      </c>
      <c r="N1361" s="297">
        <v>1415</v>
      </c>
      <c r="O1361" s="297">
        <v>1410</v>
      </c>
      <c r="P1361" s="392">
        <v>6000</v>
      </c>
      <c r="Q1361" s="296">
        <v>2</v>
      </c>
      <c r="R1361" s="296">
        <v>8</v>
      </c>
      <c r="S1361" s="296" t="s">
        <v>354</v>
      </c>
      <c r="T1361" s="298">
        <v>44978</v>
      </c>
      <c r="U1361" s="298">
        <v>45007</v>
      </c>
      <c r="V1361" s="296" t="s">
        <v>355</v>
      </c>
      <c r="W1361" s="296"/>
      <c r="X1361" s="296"/>
      <c r="Y1361" s="252"/>
    </row>
    <row r="1362" spans="1:25" ht="13.5" x14ac:dyDescent="0.15">
      <c r="A1362" s="296">
        <v>3700935</v>
      </c>
      <c r="B1362" s="296" t="s">
        <v>351</v>
      </c>
      <c r="C1362" s="296" t="s">
        <v>356</v>
      </c>
      <c r="D1362" s="296" t="s">
        <v>353</v>
      </c>
      <c r="E1362" s="296" t="s">
        <v>106</v>
      </c>
      <c r="F1362" s="296">
        <v>3</v>
      </c>
      <c r="G1362" s="296" t="s">
        <v>19</v>
      </c>
      <c r="H1362" s="296" t="s">
        <v>20</v>
      </c>
      <c r="I1362" s="296" t="s">
        <v>21</v>
      </c>
      <c r="J1362" s="296"/>
      <c r="K1362" s="296" t="s">
        <v>107</v>
      </c>
      <c r="L1362" s="296">
        <v>25</v>
      </c>
      <c r="M1362" s="296" t="s">
        <v>367</v>
      </c>
      <c r="N1362" s="297">
        <v>1240</v>
      </c>
      <c r="O1362" s="297">
        <v>1240</v>
      </c>
      <c r="P1362" s="392">
        <v>6000</v>
      </c>
      <c r="Q1362" s="296">
        <v>2</v>
      </c>
      <c r="R1362" s="296">
        <v>5</v>
      </c>
      <c r="S1362" s="296" t="s">
        <v>354</v>
      </c>
      <c r="T1362" s="298">
        <v>44978</v>
      </c>
      <c r="U1362" s="298">
        <v>45007</v>
      </c>
      <c r="V1362" s="296" t="s">
        <v>355</v>
      </c>
      <c r="W1362" s="296"/>
      <c r="X1362" s="296"/>
      <c r="Y1362" s="252"/>
    </row>
    <row r="1363" spans="1:25" ht="13.5" x14ac:dyDescent="0.15">
      <c r="A1363" s="296">
        <v>3700936</v>
      </c>
      <c r="B1363" s="296" t="s">
        <v>351</v>
      </c>
      <c r="C1363" s="296" t="s">
        <v>358</v>
      </c>
      <c r="D1363" s="296" t="s">
        <v>353</v>
      </c>
      <c r="E1363" s="296" t="s">
        <v>120</v>
      </c>
      <c r="F1363" s="296">
        <v>3</v>
      </c>
      <c r="G1363" s="296" t="s">
        <v>19</v>
      </c>
      <c r="H1363" s="296" t="s">
        <v>20</v>
      </c>
      <c r="I1363" s="296" t="s">
        <v>21</v>
      </c>
      <c r="J1363" s="296"/>
      <c r="K1363" s="296" t="s">
        <v>118</v>
      </c>
      <c r="L1363" s="296">
        <v>125</v>
      </c>
      <c r="M1363" s="296" t="s">
        <v>121</v>
      </c>
      <c r="N1363" s="297">
        <v>1230</v>
      </c>
      <c r="O1363" s="297">
        <v>1225</v>
      </c>
      <c r="P1363" s="392">
        <v>6000</v>
      </c>
      <c r="Q1363" s="296">
        <v>2</v>
      </c>
      <c r="R1363" s="296">
        <v>2</v>
      </c>
      <c r="S1363" s="296" t="s">
        <v>354</v>
      </c>
      <c r="T1363" s="298">
        <v>44978</v>
      </c>
      <c r="U1363" s="298">
        <v>45007</v>
      </c>
      <c r="V1363" s="296" t="s">
        <v>355</v>
      </c>
      <c r="W1363" s="296"/>
      <c r="X1363" s="296"/>
      <c r="Y1363" s="252"/>
    </row>
    <row r="1364" spans="1:25" ht="13.5" x14ac:dyDescent="0.15">
      <c r="A1364" s="296">
        <v>3700937</v>
      </c>
      <c r="B1364" s="296" t="s">
        <v>431</v>
      </c>
      <c r="C1364" s="296" t="s">
        <v>364</v>
      </c>
      <c r="D1364" s="296" t="s">
        <v>353</v>
      </c>
      <c r="E1364" s="296" t="s">
        <v>371</v>
      </c>
      <c r="F1364" s="296">
        <v>3</v>
      </c>
      <c r="G1364" s="296" t="s">
        <v>265</v>
      </c>
      <c r="H1364" s="296" t="s">
        <v>20</v>
      </c>
      <c r="I1364" s="296" t="s">
        <v>21</v>
      </c>
      <c r="J1364" s="296"/>
      <c r="K1364" s="296" t="s">
        <v>118</v>
      </c>
      <c r="L1364" s="296">
        <v>25</v>
      </c>
      <c r="M1364" s="296" t="s">
        <v>119</v>
      </c>
      <c r="N1364" s="297">
        <v>1155</v>
      </c>
      <c r="O1364" s="297">
        <v>1150</v>
      </c>
      <c r="P1364" s="392">
        <v>6000</v>
      </c>
      <c r="Q1364" s="296">
        <v>2</v>
      </c>
      <c r="R1364" s="296">
        <v>3</v>
      </c>
      <c r="S1364" s="296" t="s">
        <v>354</v>
      </c>
      <c r="T1364" s="298">
        <v>44978</v>
      </c>
      <c r="U1364" s="298">
        <v>45007</v>
      </c>
      <c r="V1364" s="296" t="s">
        <v>355</v>
      </c>
      <c r="W1364" s="296"/>
      <c r="X1364" s="296"/>
      <c r="Y1364" s="252"/>
    </row>
    <row r="1365" spans="1:25" ht="13.5" x14ac:dyDescent="0.15">
      <c r="A1365" s="296">
        <v>3700939</v>
      </c>
      <c r="B1365" s="296" t="s">
        <v>351</v>
      </c>
      <c r="C1365" s="296" t="s">
        <v>356</v>
      </c>
      <c r="D1365" s="296" t="s">
        <v>353</v>
      </c>
      <c r="E1365" s="296" t="s">
        <v>17</v>
      </c>
      <c r="F1365" s="296">
        <v>3</v>
      </c>
      <c r="G1365" s="296" t="s">
        <v>19</v>
      </c>
      <c r="H1365" s="296" t="s">
        <v>20</v>
      </c>
      <c r="I1365" s="296" t="s">
        <v>21</v>
      </c>
      <c r="J1365" s="296"/>
      <c r="K1365" s="296" t="s">
        <v>104</v>
      </c>
      <c r="L1365" s="296">
        <v>25</v>
      </c>
      <c r="M1365" s="296" t="s">
        <v>375</v>
      </c>
      <c r="N1365" s="297">
        <v>1100</v>
      </c>
      <c r="O1365" s="297">
        <v>1100</v>
      </c>
      <c r="P1365" s="392">
        <v>6000</v>
      </c>
      <c r="Q1365" s="296">
        <v>2</v>
      </c>
      <c r="R1365" s="296">
        <v>6</v>
      </c>
      <c r="S1365" s="296" t="s">
        <v>354</v>
      </c>
      <c r="T1365" s="298">
        <v>44978</v>
      </c>
      <c r="U1365" s="298">
        <v>45012</v>
      </c>
      <c r="V1365" s="296" t="s">
        <v>355</v>
      </c>
      <c r="W1365" s="296"/>
      <c r="X1365" s="296"/>
      <c r="Y1365" s="252"/>
    </row>
    <row r="1366" spans="1:25" ht="13.5" x14ac:dyDescent="0.15">
      <c r="A1366" s="296">
        <v>3700940</v>
      </c>
      <c r="B1366" s="296" t="s">
        <v>351</v>
      </c>
      <c r="C1366" s="296" t="s">
        <v>356</v>
      </c>
      <c r="D1366" s="296" t="s">
        <v>353</v>
      </c>
      <c r="E1366" s="296" t="s">
        <v>106</v>
      </c>
      <c r="F1366" s="296">
        <v>3</v>
      </c>
      <c r="G1366" s="296" t="s">
        <v>19</v>
      </c>
      <c r="H1366" s="296" t="s">
        <v>20</v>
      </c>
      <c r="I1366" s="296" t="s">
        <v>21</v>
      </c>
      <c r="J1366" s="296"/>
      <c r="K1366" s="296" t="s">
        <v>107</v>
      </c>
      <c r="L1366" s="296">
        <v>25</v>
      </c>
      <c r="M1366" s="296" t="s">
        <v>367</v>
      </c>
      <c r="N1366" s="297">
        <v>1040</v>
      </c>
      <c r="O1366" s="297">
        <v>1040</v>
      </c>
      <c r="P1366" s="392">
        <v>6000</v>
      </c>
      <c r="Q1366" s="296">
        <v>2</v>
      </c>
      <c r="R1366" s="296">
        <v>8</v>
      </c>
      <c r="S1366" s="296" t="s">
        <v>354</v>
      </c>
      <c r="T1366" s="298">
        <v>44978</v>
      </c>
      <c r="U1366" s="298">
        <v>45012</v>
      </c>
      <c r="V1366" s="296" t="s">
        <v>355</v>
      </c>
      <c r="W1366" s="296"/>
      <c r="X1366" s="296"/>
      <c r="Y1366" s="252"/>
    </row>
    <row r="1367" spans="1:25" ht="13.5" x14ac:dyDescent="0.15">
      <c r="A1367" s="296">
        <v>3700941</v>
      </c>
      <c r="B1367" s="296" t="s">
        <v>351</v>
      </c>
      <c r="C1367" s="296" t="s">
        <v>352</v>
      </c>
      <c r="D1367" s="296" t="s">
        <v>353</v>
      </c>
      <c r="E1367" s="296" t="s">
        <v>116</v>
      </c>
      <c r="F1367" s="296">
        <v>3</v>
      </c>
      <c r="G1367" s="296" t="s">
        <v>19</v>
      </c>
      <c r="H1367" s="296" t="s">
        <v>20</v>
      </c>
      <c r="I1367" s="296" t="s">
        <v>21</v>
      </c>
      <c r="J1367" s="296"/>
      <c r="K1367" s="296" t="s">
        <v>118</v>
      </c>
      <c r="L1367" s="296">
        <v>38</v>
      </c>
      <c r="M1367" s="296" t="s">
        <v>368</v>
      </c>
      <c r="N1367" s="297">
        <v>1005</v>
      </c>
      <c r="O1367" s="297">
        <v>1000</v>
      </c>
      <c r="P1367" s="392">
        <v>6000</v>
      </c>
      <c r="Q1367" s="296">
        <v>2</v>
      </c>
      <c r="R1367" s="296">
        <v>10</v>
      </c>
      <c r="S1367" s="296" t="s">
        <v>354</v>
      </c>
      <c r="T1367" s="298">
        <v>44978</v>
      </c>
      <c r="U1367" s="298">
        <v>45012</v>
      </c>
      <c r="V1367" s="296" t="s">
        <v>355</v>
      </c>
      <c r="W1367" s="296"/>
      <c r="X1367" s="296"/>
      <c r="Y1367" s="252"/>
    </row>
    <row r="1368" spans="1:25" ht="13.5" x14ac:dyDescent="0.15">
      <c r="A1368" s="296">
        <v>3700943</v>
      </c>
      <c r="B1368" s="296" t="s">
        <v>351</v>
      </c>
      <c r="C1368" s="296" t="s">
        <v>352</v>
      </c>
      <c r="D1368" s="296" t="s">
        <v>353</v>
      </c>
      <c r="E1368" s="296" t="s">
        <v>155</v>
      </c>
      <c r="F1368" s="296" t="s">
        <v>158</v>
      </c>
      <c r="G1368" s="296" t="s">
        <v>19</v>
      </c>
      <c r="H1368" s="296" t="s">
        <v>20</v>
      </c>
      <c r="I1368" s="296" t="s">
        <v>143</v>
      </c>
      <c r="J1368" s="296"/>
      <c r="K1368" s="296" t="s">
        <v>156</v>
      </c>
      <c r="L1368" s="296">
        <v>25</v>
      </c>
      <c r="M1368" s="296" t="s">
        <v>157</v>
      </c>
      <c r="N1368" s="297">
        <v>1120</v>
      </c>
      <c r="O1368" s="297">
        <v>1120</v>
      </c>
      <c r="P1368" s="392">
        <v>6000</v>
      </c>
      <c r="Q1368" s="296">
        <v>2</v>
      </c>
      <c r="R1368" s="296">
        <v>2</v>
      </c>
      <c r="S1368" s="296" t="s">
        <v>354</v>
      </c>
      <c r="T1368" s="298">
        <v>44978</v>
      </c>
      <c r="U1368" s="298">
        <v>45012</v>
      </c>
      <c r="V1368" s="296" t="s">
        <v>355</v>
      </c>
      <c r="W1368" s="296"/>
      <c r="X1368" s="296"/>
      <c r="Y1368" s="252"/>
    </row>
    <row r="1369" spans="1:25" ht="13.5" x14ac:dyDescent="0.15">
      <c r="A1369" s="296">
        <v>3700945</v>
      </c>
      <c r="B1369" s="296" t="s">
        <v>351</v>
      </c>
      <c r="C1369" s="296" t="s">
        <v>364</v>
      </c>
      <c r="D1369" s="296" t="s">
        <v>353</v>
      </c>
      <c r="E1369" s="296" t="s">
        <v>162</v>
      </c>
      <c r="F1369" s="296">
        <v>3</v>
      </c>
      <c r="G1369" s="296" t="s">
        <v>19</v>
      </c>
      <c r="H1369" s="296" t="s">
        <v>20</v>
      </c>
      <c r="I1369" s="296" t="s">
        <v>143</v>
      </c>
      <c r="J1369" s="296"/>
      <c r="K1369" s="296" t="s">
        <v>163</v>
      </c>
      <c r="L1369" s="296">
        <v>50</v>
      </c>
      <c r="M1369" s="296" t="s">
        <v>164</v>
      </c>
      <c r="N1369" s="297">
        <v>1320</v>
      </c>
      <c r="O1369" s="297">
        <v>1320</v>
      </c>
      <c r="P1369" s="392">
        <v>6000</v>
      </c>
      <c r="Q1369" s="296">
        <v>2</v>
      </c>
      <c r="R1369" s="296">
        <v>1</v>
      </c>
      <c r="S1369" s="296" t="s">
        <v>354</v>
      </c>
      <c r="T1369" s="298">
        <v>44978</v>
      </c>
      <c r="U1369" s="298">
        <v>45012</v>
      </c>
      <c r="V1369" s="296" t="s">
        <v>355</v>
      </c>
      <c r="W1369" s="296"/>
      <c r="X1369" s="296"/>
      <c r="Y1369" s="252"/>
    </row>
    <row r="1370" spans="1:25" ht="13.5" x14ac:dyDescent="0.15">
      <c r="A1370" s="296">
        <v>3700949</v>
      </c>
      <c r="B1370" s="296" t="s">
        <v>351</v>
      </c>
      <c r="C1370" s="296" t="s">
        <v>434</v>
      </c>
      <c r="D1370" s="296" t="s">
        <v>353</v>
      </c>
      <c r="E1370" s="296" t="s">
        <v>439</v>
      </c>
      <c r="F1370" s="296">
        <v>3</v>
      </c>
      <c r="G1370" s="296" t="s">
        <v>19</v>
      </c>
      <c r="H1370" s="296" t="s">
        <v>20</v>
      </c>
      <c r="I1370" s="296" t="s">
        <v>132</v>
      </c>
      <c r="J1370" s="296"/>
      <c r="K1370" s="296" t="s">
        <v>139</v>
      </c>
      <c r="L1370" s="296">
        <v>25</v>
      </c>
      <c r="M1370" s="296" t="s">
        <v>140</v>
      </c>
      <c r="N1370" s="297">
        <v>1575</v>
      </c>
      <c r="O1370" s="297">
        <v>1575</v>
      </c>
      <c r="P1370" s="392">
        <v>6000</v>
      </c>
      <c r="Q1370" s="296">
        <v>2</v>
      </c>
      <c r="R1370" s="296">
        <v>3</v>
      </c>
      <c r="S1370" s="296" t="s">
        <v>354</v>
      </c>
      <c r="T1370" s="298">
        <v>44978</v>
      </c>
      <c r="U1370" s="298">
        <v>44988</v>
      </c>
      <c r="V1370" s="296" t="s">
        <v>355</v>
      </c>
      <c r="W1370" s="296"/>
      <c r="X1370" s="296"/>
      <c r="Y1370" s="252"/>
    </row>
    <row r="1371" spans="1:25" ht="13.5" x14ac:dyDescent="0.15">
      <c r="A1371" s="296">
        <v>3700954</v>
      </c>
      <c r="B1371" s="296" t="s">
        <v>351</v>
      </c>
      <c r="C1371" s="296" t="s">
        <v>352</v>
      </c>
      <c r="D1371" s="296" t="s">
        <v>353</v>
      </c>
      <c r="E1371" s="296" t="s">
        <v>116</v>
      </c>
      <c r="F1371" s="296">
        <v>3</v>
      </c>
      <c r="G1371" s="296" t="s">
        <v>19</v>
      </c>
      <c r="H1371" s="296" t="s">
        <v>20</v>
      </c>
      <c r="I1371" s="296" t="s">
        <v>143</v>
      </c>
      <c r="J1371" s="296"/>
      <c r="K1371" s="296" t="s">
        <v>159</v>
      </c>
      <c r="L1371" s="296">
        <v>25</v>
      </c>
      <c r="M1371" s="296" t="s">
        <v>160</v>
      </c>
      <c r="N1371" s="297">
        <v>1005</v>
      </c>
      <c r="O1371" s="297">
        <v>1000</v>
      </c>
      <c r="P1371" s="392">
        <v>6000</v>
      </c>
      <c r="Q1371" s="296">
        <v>2</v>
      </c>
      <c r="R1371" s="296">
        <v>6</v>
      </c>
      <c r="S1371" s="296" t="s">
        <v>354</v>
      </c>
      <c r="T1371" s="298">
        <v>44978</v>
      </c>
      <c r="U1371" s="298">
        <v>45007</v>
      </c>
      <c r="V1371" s="296" t="s">
        <v>355</v>
      </c>
      <c r="W1371" s="296"/>
      <c r="X1371" s="296"/>
      <c r="Y1371" s="252"/>
    </row>
    <row r="1372" spans="1:25" ht="13.5" x14ac:dyDescent="0.15">
      <c r="A1372" s="296">
        <v>3703956</v>
      </c>
      <c r="B1372" s="296" t="s">
        <v>351</v>
      </c>
      <c r="C1372" s="296" t="s">
        <v>356</v>
      </c>
      <c r="D1372" s="296" t="s">
        <v>353</v>
      </c>
      <c r="E1372" s="296" t="s">
        <v>32</v>
      </c>
      <c r="F1372" s="296">
        <v>331</v>
      </c>
      <c r="G1372" s="296" t="s">
        <v>19</v>
      </c>
      <c r="H1372" s="296" t="s">
        <v>20</v>
      </c>
      <c r="I1372" s="296" t="s">
        <v>21</v>
      </c>
      <c r="J1372" s="296"/>
      <c r="K1372" s="296" t="s">
        <v>54</v>
      </c>
      <c r="L1372" s="296">
        <v>38</v>
      </c>
      <c r="M1372" s="296" t="s">
        <v>53</v>
      </c>
      <c r="N1372" s="297">
        <v>1580</v>
      </c>
      <c r="O1372" s="297">
        <v>1580</v>
      </c>
      <c r="P1372" s="392">
        <v>6000</v>
      </c>
      <c r="Q1372" s="296">
        <v>2</v>
      </c>
      <c r="R1372" s="296">
        <v>12</v>
      </c>
      <c r="S1372" s="296" t="s">
        <v>354</v>
      </c>
      <c r="T1372" s="298">
        <v>45005</v>
      </c>
      <c r="U1372" s="298">
        <v>45028</v>
      </c>
      <c r="V1372" s="296" t="s">
        <v>355</v>
      </c>
      <c r="W1372" s="296"/>
      <c r="X1372" s="296"/>
      <c r="Y1372" s="144"/>
    </row>
    <row r="1373" spans="1:25" ht="13.5" x14ac:dyDescent="0.15">
      <c r="A1373" s="296">
        <v>3703957</v>
      </c>
      <c r="B1373" s="296" t="s">
        <v>351</v>
      </c>
      <c r="C1373" s="296" t="s">
        <v>356</v>
      </c>
      <c r="D1373" s="296" t="s">
        <v>353</v>
      </c>
      <c r="E1373" s="296" t="s">
        <v>32</v>
      </c>
      <c r="F1373" s="296">
        <v>3</v>
      </c>
      <c r="G1373" s="296" t="s">
        <v>19</v>
      </c>
      <c r="H1373" s="296" t="s">
        <v>20</v>
      </c>
      <c r="I1373" s="296" t="s">
        <v>21</v>
      </c>
      <c r="J1373" s="296"/>
      <c r="K1373" s="296" t="s">
        <v>56</v>
      </c>
      <c r="L1373" s="296">
        <v>75</v>
      </c>
      <c r="M1373" s="296" t="s">
        <v>376</v>
      </c>
      <c r="N1373" s="297">
        <v>1330</v>
      </c>
      <c r="O1373" s="297">
        <v>1330</v>
      </c>
      <c r="P1373" s="392">
        <v>6000</v>
      </c>
      <c r="Q1373" s="296">
        <v>2</v>
      </c>
      <c r="R1373" s="296">
        <v>3</v>
      </c>
      <c r="S1373" s="296" t="s">
        <v>354</v>
      </c>
      <c r="T1373" s="298">
        <v>45005</v>
      </c>
      <c r="U1373" s="298">
        <v>45028</v>
      </c>
      <c r="V1373" s="296" t="s">
        <v>355</v>
      </c>
      <c r="W1373" s="296"/>
      <c r="X1373" s="296"/>
      <c r="Y1373" s="144"/>
    </row>
    <row r="1374" spans="1:25" ht="13.5" x14ac:dyDescent="0.15">
      <c r="A1374" s="296">
        <v>3703958</v>
      </c>
      <c r="B1374" s="296" t="s">
        <v>351</v>
      </c>
      <c r="C1374" s="296" t="s">
        <v>356</v>
      </c>
      <c r="D1374" s="296" t="s">
        <v>353</v>
      </c>
      <c r="E1374" s="296" t="s">
        <v>17</v>
      </c>
      <c r="F1374" s="296">
        <v>331</v>
      </c>
      <c r="G1374" s="296" t="s">
        <v>19</v>
      </c>
      <c r="H1374" s="296" t="s">
        <v>20</v>
      </c>
      <c r="I1374" s="296" t="s">
        <v>21</v>
      </c>
      <c r="J1374" s="296"/>
      <c r="K1374" s="296" t="s">
        <v>52</v>
      </c>
      <c r="L1374" s="296">
        <v>38</v>
      </c>
      <c r="M1374" s="296" t="s">
        <v>53</v>
      </c>
      <c r="N1374" s="297">
        <v>1330</v>
      </c>
      <c r="O1374" s="297">
        <v>1330</v>
      </c>
      <c r="P1374" s="392">
        <v>6000</v>
      </c>
      <c r="Q1374" s="296">
        <v>2</v>
      </c>
      <c r="R1374" s="296">
        <v>10</v>
      </c>
      <c r="S1374" s="296" t="s">
        <v>354</v>
      </c>
      <c r="T1374" s="298">
        <v>45005</v>
      </c>
      <c r="U1374" s="298">
        <v>45028</v>
      </c>
      <c r="V1374" s="296" t="s">
        <v>355</v>
      </c>
      <c r="W1374" s="296"/>
      <c r="X1374" s="296"/>
      <c r="Y1374" s="144"/>
    </row>
    <row r="1375" spans="1:25" ht="13.5" x14ac:dyDescent="0.15">
      <c r="A1375" s="296">
        <v>3703959</v>
      </c>
      <c r="B1375" s="296" t="s">
        <v>351</v>
      </c>
      <c r="C1375" s="296" t="s">
        <v>356</v>
      </c>
      <c r="D1375" s="296" t="s">
        <v>353</v>
      </c>
      <c r="E1375" s="296" t="s">
        <v>32</v>
      </c>
      <c r="F1375" s="296">
        <v>331</v>
      </c>
      <c r="G1375" s="296" t="s">
        <v>19</v>
      </c>
      <c r="H1375" s="296" t="s">
        <v>20</v>
      </c>
      <c r="I1375" s="296" t="s">
        <v>21</v>
      </c>
      <c r="J1375" s="296"/>
      <c r="K1375" s="296" t="s">
        <v>54</v>
      </c>
      <c r="L1375" s="296">
        <v>38</v>
      </c>
      <c r="M1375" s="296" t="s">
        <v>53</v>
      </c>
      <c r="N1375" s="297">
        <v>1330</v>
      </c>
      <c r="O1375" s="297">
        <v>1330</v>
      </c>
      <c r="P1375" s="392">
        <v>6000</v>
      </c>
      <c r="Q1375" s="296">
        <v>2</v>
      </c>
      <c r="R1375" s="296">
        <v>32</v>
      </c>
      <c r="S1375" s="296" t="s">
        <v>354</v>
      </c>
      <c r="T1375" s="298">
        <v>45005</v>
      </c>
      <c r="U1375" s="298">
        <v>45028</v>
      </c>
      <c r="V1375" s="296" t="s">
        <v>355</v>
      </c>
      <c r="W1375" s="296"/>
      <c r="X1375" s="296"/>
      <c r="Y1375" s="144"/>
    </row>
    <row r="1376" spans="1:25" ht="13.5" x14ac:dyDescent="0.15">
      <c r="A1376" s="296">
        <v>3703960</v>
      </c>
      <c r="B1376" s="296" t="s">
        <v>351</v>
      </c>
      <c r="C1376" s="296" t="s">
        <v>364</v>
      </c>
      <c r="D1376" s="296" t="s">
        <v>353</v>
      </c>
      <c r="E1376" s="296" t="s">
        <v>371</v>
      </c>
      <c r="F1376" s="296">
        <v>3</v>
      </c>
      <c r="G1376" s="296" t="s">
        <v>19</v>
      </c>
      <c r="H1376" s="296" t="s">
        <v>20</v>
      </c>
      <c r="I1376" s="296" t="s">
        <v>21</v>
      </c>
      <c r="J1376" s="296"/>
      <c r="K1376" s="296" t="s">
        <v>56</v>
      </c>
      <c r="L1376" s="296">
        <v>75</v>
      </c>
      <c r="M1376" s="296" t="s">
        <v>376</v>
      </c>
      <c r="N1376" s="297">
        <v>1110</v>
      </c>
      <c r="O1376" s="297">
        <v>1100</v>
      </c>
      <c r="P1376" s="392">
        <v>6000</v>
      </c>
      <c r="Q1376" s="296">
        <v>2</v>
      </c>
      <c r="R1376" s="296">
        <v>2</v>
      </c>
      <c r="S1376" s="296" t="s">
        <v>354</v>
      </c>
      <c r="T1376" s="298">
        <v>45005</v>
      </c>
      <c r="U1376" s="298">
        <v>45028</v>
      </c>
      <c r="V1376" s="296" t="s">
        <v>355</v>
      </c>
      <c r="W1376" s="296"/>
      <c r="X1376" s="296"/>
      <c r="Y1376" s="144"/>
    </row>
    <row r="1377" spans="1:25" ht="13.5" x14ac:dyDescent="0.15">
      <c r="A1377" s="296">
        <v>3703961</v>
      </c>
      <c r="B1377" s="296" t="s">
        <v>431</v>
      </c>
      <c r="C1377" s="296" t="s">
        <v>358</v>
      </c>
      <c r="D1377" s="296" t="s">
        <v>353</v>
      </c>
      <c r="E1377" s="296" t="s">
        <v>61</v>
      </c>
      <c r="F1377" s="296">
        <v>3</v>
      </c>
      <c r="G1377" s="296" t="s">
        <v>265</v>
      </c>
      <c r="H1377" s="296" t="s">
        <v>20</v>
      </c>
      <c r="I1377" s="296" t="s">
        <v>21</v>
      </c>
      <c r="J1377" s="296"/>
      <c r="K1377" s="296" t="s">
        <v>263</v>
      </c>
      <c r="L1377" s="296">
        <v>75</v>
      </c>
      <c r="M1377" s="296" t="s">
        <v>264</v>
      </c>
      <c r="N1377" s="297">
        <v>1050</v>
      </c>
      <c r="O1377" s="297">
        <v>1050</v>
      </c>
      <c r="P1377" s="392">
        <v>6000</v>
      </c>
      <c r="Q1377" s="296">
        <v>2</v>
      </c>
      <c r="R1377" s="296">
        <v>30</v>
      </c>
      <c r="S1377" s="296" t="s">
        <v>354</v>
      </c>
      <c r="T1377" s="298">
        <v>45005</v>
      </c>
      <c r="U1377" s="298">
        <v>45028</v>
      </c>
      <c r="V1377" s="296" t="s">
        <v>355</v>
      </c>
      <c r="W1377" s="296"/>
      <c r="X1377" s="296"/>
      <c r="Y1377" s="144"/>
    </row>
    <row r="1378" spans="1:25" ht="13.5" x14ac:dyDescent="0.15">
      <c r="A1378" s="296">
        <v>3703962</v>
      </c>
      <c r="B1378" s="296" t="s">
        <v>351</v>
      </c>
      <c r="C1378" s="296" t="s">
        <v>364</v>
      </c>
      <c r="D1378" s="296" t="s">
        <v>353</v>
      </c>
      <c r="E1378" s="296" t="s">
        <v>371</v>
      </c>
      <c r="F1378" s="296">
        <v>3</v>
      </c>
      <c r="G1378" s="296" t="s">
        <v>19</v>
      </c>
      <c r="H1378" s="296" t="s">
        <v>28</v>
      </c>
      <c r="I1378" s="296" t="s">
        <v>21</v>
      </c>
      <c r="J1378" s="296"/>
      <c r="K1378" s="296" t="s">
        <v>465</v>
      </c>
      <c r="L1378" s="296">
        <v>75</v>
      </c>
      <c r="M1378" s="296" t="s">
        <v>466</v>
      </c>
      <c r="N1378" s="297">
        <v>1040</v>
      </c>
      <c r="O1378" s="297">
        <v>1040</v>
      </c>
      <c r="P1378" s="392">
        <v>6000</v>
      </c>
      <c r="Q1378" s="296">
        <v>1</v>
      </c>
      <c r="R1378" s="296">
        <v>2</v>
      </c>
      <c r="S1378" s="296" t="s">
        <v>354</v>
      </c>
      <c r="T1378" s="298">
        <v>45005</v>
      </c>
      <c r="U1378" s="298">
        <v>45028</v>
      </c>
      <c r="V1378" s="296" t="s">
        <v>355</v>
      </c>
      <c r="W1378" s="296"/>
      <c r="X1378" s="296"/>
      <c r="Y1378" s="144"/>
    </row>
    <row r="1379" spans="1:25" ht="13.5" x14ac:dyDescent="0.15">
      <c r="A1379" s="296">
        <v>3703963</v>
      </c>
      <c r="B1379" s="296" t="s">
        <v>351</v>
      </c>
      <c r="C1379" s="296" t="s">
        <v>364</v>
      </c>
      <c r="D1379" s="296" t="s">
        <v>353</v>
      </c>
      <c r="E1379" s="296" t="s">
        <v>371</v>
      </c>
      <c r="F1379" s="296">
        <v>3</v>
      </c>
      <c r="G1379" s="296" t="s">
        <v>19</v>
      </c>
      <c r="H1379" s="296" t="s">
        <v>28</v>
      </c>
      <c r="I1379" s="296" t="s">
        <v>21</v>
      </c>
      <c r="J1379" s="296"/>
      <c r="K1379" s="296" t="s">
        <v>60</v>
      </c>
      <c r="L1379" s="296">
        <v>75</v>
      </c>
      <c r="M1379" s="296" t="s">
        <v>372</v>
      </c>
      <c r="N1379" s="297">
        <v>1040</v>
      </c>
      <c r="O1379" s="297">
        <v>1040</v>
      </c>
      <c r="P1379" s="392">
        <v>6000</v>
      </c>
      <c r="Q1379" s="296">
        <v>1</v>
      </c>
      <c r="R1379" s="296">
        <v>2</v>
      </c>
      <c r="S1379" s="296" t="s">
        <v>354</v>
      </c>
      <c r="T1379" s="298">
        <v>45005</v>
      </c>
      <c r="U1379" s="298">
        <v>45028</v>
      </c>
      <c r="V1379" s="296" t="s">
        <v>355</v>
      </c>
      <c r="W1379" s="296"/>
      <c r="X1379" s="296"/>
      <c r="Y1379" s="144"/>
    </row>
    <row r="1380" spans="1:25" ht="13.5" x14ac:dyDescent="0.15">
      <c r="A1380" s="296">
        <v>3703964</v>
      </c>
      <c r="B1380" s="296" t="s">
        <v>431</v>
      </c>
      <c r="C1380" s="296" t="s">
        <v>356</v>
      </c>
      <c r="D1380" s="296" t="s">
        <v>353</v>
      </c>
      <c r="E1380" s="296" t="s">
        <v>130</v>
      </c>
      <c r="F1380" s="296">
        <v>3</v>
      </c>
      <c r="G1380" s="296" t="s">
        <v>265</v>
      </c>
      <c r="H1380" s="296" t="s">
        <v>20</v>
      </c>
      <c r="I1380" s="296" t="s">
        <v>21</v>
      </c>
      <c r="J1380" s="296"/>
      <c r="K1380" s="296" t="s">
        <v>435</v>
      </c>
      <c r="L1380" s="296">
        <v>25</v>
      </c>
      <c r="M1380" s="296" t="s">
        <v>436</v>
      </c>
      <c r="N1380" s="297">
        <v>1410</v>
      </c>
      <c r="O1380" s="297">
        <v>1410</v>
      </c>
      <c r="P1380" s="392">
        <v>6000</v>
      </c>
      <c r="Q1380" s="296">
        <v>2</v>
      </c>
      <c r="R1380" s="296">
        <v>10</v>
      </c>
      <c r="S1380" s="296" t="s">
        <v>354</v>
      </c>
      <c r="T1380" s="298">
        <v>45005</v>
      </c>
      <c r="U1380" s="298">
        <v>45030</v>
      </c>
      <c r="V1380" s="296" t="s">
        <v>355</v>
      </c>
      <c r="W1380" s="296"/>
      <c r="X1380" s="296"/>
      <c r="Y1380" s="144"/>
    </row>
    <row r="1381" spans="1:25" ht="13.5" x14ac:dyDescent="0.15">
      <c r="A1381" s="296">
        <v>3703965</v>
      </c>
      <c r="B1381" s="296" t="s">
        <v>431</v>
      </c>
      <c r="C1381" s="296" t="s">
        <v>356</v>
      </c>
      <c r="D1381" s="296" t="s">
        <v>353</v>
      </c>
      <c r="E1381" s="296" t="s">
        <v>130</v>
      </c>
      <c r="F1381" s="296">
        <v>3</v>
      </c>
      <c r="G1381" s="296" t="s">
        <v>265</v>
      </c>
      <c r="H1381" s="296" t="s">
        <v>20</v>
      </c>
      <c r="I1381" s="296" t="s">
        <v>21</v>
      </c>
      <c r="J1381" s="296"/>
      <c r="K1381" s="296" t="s">
        <v>435</v>
      </c>
      <c r="L1381" s="296">
        <v>25</v>
      </c>
      <c r="M1381" s="296" t="s">
        <v>436</v>
      </c>
      <c r="N1381" s="297">
        <v>1410</v>
      </c>
      <c r="O1381" s="297">
        <v>1410</v>
      </c>
      <c r="P1381" s="392">
        <v>6000</v>
      </c>
      <c r="Q1381" s="296">
        <v>2</v>
      </c>
      <c r="R1381" s="296">
        <v>8</v>
      </c>
      <c r="S1381" s="296" t="s">
        <v>354</v>
      </c>
      <c r="T1381" s="298">
        <v>45005</v>
      </c>
      <c r="U1381" s="298">
        <v>45030</v>
      </c>
      <c r="V1381" s="296" t="s">
        <v>355</v>
      </c>
      <c r="W1381" s="296"/>
      <c r="X1381" s="296"/>
      <c r="Y1381" s="144"/>
    </row>
    <row r="1382" spans="1:25" ht="13.5" x14ac:dyDescent="0.15">
      <c r="A1382" s="296">
        <v>3703966</v>
      </c>
      <c r="B1382" s="296" t="s">
        <v>351</v>
      </c>
      <c r="C1382" s="296" t="s">
        <v>352</v>
      </c>
      <c r="D1382" s="296" t="s">
        <v>353</v>
      </c>
      <c r="E1382" s="296" t="s">
        <v>116</v>
      </c>
      <c r="F1382" s="296">
        <v>3</v>
      </c>
      <c r="G1382" s="296" t="s">
        <v>19</v>
      </c>
      <c r="H1382" s="296" t="s">
        <v>20</v>
      </c>
      <c r="I1382" s="296" t="s">
        <v>21</v>
      </c>
      <c r="J1382" s="296"/>
      <c r="K1382" s="296" t="s">
        <v>118</v>
      </c>
      <c r="L1382" s="296">
        <v>38</v>
      </c>
      <c r="M1382" s="296" t="s">
        <v>368</v>
      </c>
      <c r="N1382" s="297">
        <v>1415</v>
      </c>
      <c r="O1382" s="297">
        <v>1410</v>
      </c>
      <c r="P1382" s="392">
        <v>6000</v>
      </c>
      <c r="Q1382" s="296">
        <v>2</v>
      </c>
      <c r="R1382" s="296">
        <v>8</v>
      </c>
      <c r="S1382" s="296" t="s">
        <v>354</v>
      </c>
      <c r="T1382" s="298">
        <v>45005</v>
      </c>
      <c r="U1382" s="298">
        <v>45037</v>
      </c>
      <c r="V1382" s="296" t="s">
        <v>355</v>
      </c>
      <c r="W1382" s="296"/>
      <c r="X1382" s="296"/>
      <c r="Y1382" s="144"/>
    </row>
    <row r="1383" spans="1:25" ht="13.5" x14ac:dyDescent="0.15">
      <c r="A1383" s="296">
        <v>3703967</v>
      </c>
      <c r="B1383" s="296" t="s">
        <v>351</v>
      </c>
      <c r="C1383" s="296" t="s">
        <v>356</v>
      </c>
      <c r="D1383" s="296" t="s">
        <v>353</v>
      </c>
      <c r="E1383" s="296" t="s">
        <v>106</v>
      </c>
      <c r="F1383" s="296">
        <v>3</v>
      </c>
      <c r="G1383" s="296" t="s">
        <v>19</v>
      </c>
      <c r="H1383" s="296" t="s">
        <v>20</v>
      </c>
      <c r="I1383" s="296" t="s">
        <v>21</v>
      </c>
      <c r="J1383" s="296"/>
      <c r="K1383" s="296" t="s">
        <v>107</v>
      </c>
      <c r="L1383" s="296">
        <v>25</v>
      </c>
      <c r="M1383" s="296" t="s">
        <v>367</v>
      </c>
      <c r="N1383" s="297">
        <v>1240</v>
      </c>
      <c r="O1383" s="297">
        <v>1240</v>
      </c>
      <c r="P1383" s="392">
        <v>6000</v>
      </c>
      <c r="Q1383" s="296">
        <v>2</v>
      </c>
      <c r="R1383" s="296">
        <v>26</v>
      </c>
      <c r="S1383" s="296" t="s">
        <v>354</v>
      </c>
      <c r="T1383" s="298">
        <v>45005</v>
      </c>
      <c r="U1383" s="298">
        <v>45030</v>
      </c>
      <c r="V1383" s="296" t="s">
        <v>355</v>
      </c>
      <c r="W1383" s="296"/>
      <c r="X1383" s="296"/>
      <c r="Y1383" s="144"/>
    </row>
    <row r="1384" spans="1:25" ht="13.5" x14ac:dyDescent="0.15">
      <c r="A1384" s="296">
        <v>3703968</v>
      </c>
      <c r="B1384" s="296" t="s">
        <v>351</v>
      </c>
      <c r="C1384" s="296" t="s">
        <v>356</v>
      </c>
      <c r="D1384" s="296" t="s">
        <v>353</v>
      </c>
      <c r="E1384" s="296" t="s">
        <v>106</v>
      </c>
      <c r="F1384" s="296">
        <v>3</v>
      </c>
      <c r="G1384" s="296" t="s">
        <v>19</v>
      </c>
      <c r="H1384" s="296" t="s">
        <v>20</v>
      </c>
      <c r="I1384" s="296" t="s">
        <v>21</v>
      </c>
      <c r="J1384" s="296"/>
      <c r="K1384" s="296" t="s">
        <v>107</v>
      </c>
      <c r="L1384" s="296">
        <v>38</v>
      </c>
      <c r="M1384" s="296" t="s">
        <v>367</v>
      </c>
      <c r="N1384" s="297">
        <v>1240</v>
      </c>
      <c r="O1384" s="297">
        <v>1240</v>
      </c>
      <c r="P1384" s="392">
        <v>6000</v>
      </c>
      <c r="Q1384" s="296">
        <v>2</v>
      </c>
      <c r="R1384" s="296">
        <v>10</v>
      </c>
      <c r="S1384" s="296" t="s">
        <v>354</v>
      </c>
      <c r="T1384" s="298">
        <v>45005</v>
      </c>
      <c r="U1384" s="298">
        <v>45034</v>
      </c>
      <c r="V1384" s="296" t="s">
        <v>355</v>
      </c>
      <c r="W1384" s="296"/>
      <c r="X1384" s="296"/>
      <c r="Y1384" s="144"/>
    </row>
    <row r="1385" spans="1:25" ht="13.5" x14ac:dyDescent="0.15">
      <c r="A1385" s="296">
        <v>3703969</v>
      </c>
      <c r="B1385" s="296" t="s">
        <v>351</v>
      </c>
      <c r="C1385" s="296" t="s">
        <v>356</v>
      </c>
      <c r="D1385" s="296" t="s">
        <v>353</v>
      </c>
      <c r="E1385" s="296" t="s">
        <v>115</v>
      </c>
      <c r="F1385" s="296">
        <v>3</v>
      </c>
      <c r="G1385" s="296" t="s">
        <v>19</v>
      </c>
      <c r="H1385" s="296" t="s">
        <v>20</v>
      </c>
      <c r="I1385" s="296" t="s">
        <v>21</v>
      </c>
      <c r="J1385" s="296"/>
      <c r="K1385" s="296" t="s">
        <v>112</v>
      </c>
      <c r="L1385" s="296">
        <v>38</v>
      </c>
      <c r="M1385" s="296" t="s">
        <v>357</v>
      </c>
      <c r="N1385" s="297">
        <v>1135</v>
      </c>
      <c r="O1385" s="297">
        <v>1130</v>
      </c>
      <c r="P1385" s="392">
        <v>6000</v>
      </c>
      <c r="Q1385" s="296">
        <v>2</v>
      </c>
      <c r="R1385" s="296">
        <v>4</v>
      </c>
      <c r="S1385" s="296" t="s">
        <v>354</v>
      </c>
      <c r="T1385" s="298">
        <v>45005</v>
      </c>
      <c r="U1385" s="298">
        <v>45034</v>
      </c>
      <c r="V1385" s="296" t="s">
        <v>355</v>
      </c>
      <c r="W1385" s="296"/>
      <c r="X1385" s="296"/>
      <c r="Y1385" s="144"/>
    </row>
    <row r="1386" spans="1:25" ht="13.5" x14ac:dyDescent="0.15">
      <c r="A1386" s="296">
        <v>3703970</v>
      </c>
      <c r="B1386" s="296" t="s">
        <v>351</v>
      </c>
      <c r="C1386" s="296" t="s">
        <v>356</v>
      </c>
      <c r="D1386" s="296" t="s">
        <v>353</v>
      </c>
      <c r="E1386" s="296" t="s">
        <v>17</v>
      </c>
      <c r="F1386" s="296">
        <v>3</v>
      </c>
      <c r="G1386" s="296" t="s">
        <v>19</v>
      </c>
      <c r="H1386" s="296" t="s">
        <v>20</v>
      </c>
      <c r="I1386" s="296" t="s">
        <v>21</v>
      </c>
      <c r="J1386" s="296"/>
      <c r="K1386" s="296" t="s">
        <v>104</v>
      </c>
      <c r="L1386" s="296">
        <v>25</v>
      </c>
      <c r="M1386" s="296" t="s">
        <v>375</v>
      </c>
      <c r="N1386" s="297">
        <v>1100</v>
      </c>
      <c r="O1386" s="297">
        <v>1100</v>
      </c>
      <c r="P1386" s="392">
        <v>6000</v>
      </c>
      <c r="Q1386" s="296">
        <v>2</v>
      </c>
      <c r="R1386" s="296">
        <v>5</v>
      </c>
      <c r="S1386" s="296" t="s">
        <v>354</v>
      </c>
      <c r="T1386" s="298">
        <v>45005</v>
      </c>
      <c r="U1386" s="298">
        <v>45034</v>
      </c>
      <c r="V1386" s="296" t="s">
        <v>355</v>
      </c>
      <c r="W1386" s="296"/>
      <c r="X1386" s="296"/>
      <c r="Y1386" s="144"/>
    </row>
    <row r="1387" spans="1:25" ht="13.5" x14ac:dyDescent="0.15">
      <c r="A1387" s="296">
        <v>3703971</v>
      </c>
      <c r="B1387" s="296" t="s">
        <v>351</v>
      </c>
      <c r="C1387" s="296" t="s">
        <v>356</v>
      </c>
      <c r="D1387" s="296" t="s">
        <v>353</v>
      </c>
      <c r="E1387" s="296" t="s">
        <v>106</v>
      </c>
      <c r="F1387" s="296">
        <v>3</v>
      </c>
      <c r="G1387" s="296" t="s">
        <v>19</v>
      </c>
      <c r="H1387" s="296" t="s">
        <v>20</v>
      </c>
      <c r="I1387" s="296" t="s">
        <v>21</v>
      </c>
      <c r="J1387" s="296"/>
      <c r="K1387" s="296" t="s">
        <v>107</v>
      </c>
      <c r="L1387" s="296">
        <v>25</v>
      </c>
      <c r="M1387" s="296" t="s">
        <v>367</v>
      </c>
      <c r="N1387" s="297">
        <v>1040</v>
      </c>
      <c r="O1387" s="297">
        <v>1040</v>
      </c>
      <c r="P1387" s="392">
        <v>6000</v>
      </c>
      <c r="Q1387" s="296">
        <v>2</v>
      </c>
      <c r="R1387" s="296">
        <v>50</v>
      </c>
      <c r="S1387" s="296" t="s">
        <v>354</v>
      </c>
      <c r="T1387" s="298">
        <v>45005</v>
      </c>
      <c r="U1387" s="298">
        <v>45034</v>
      </c>
      <c r="V1387" s="296" t="s">
        <v>355</v>
      </c>
      <c r="W1387" s="296"/>
      <c r="X1387" s="296"/>
      <c r="Y1387" s="144"/>
    </row>
    <row r="1388" spans="1:25" ht="13.5" x14ac:dyDescent="0.15">
      <c r="A1388" s="296">
        <v>3703972</v>
      </c>
      <c r="B1388" s="296" t="s">
        <v>351</v>
      </c>
      <c r="C1388" s="296" t="s">
        <v>356</v>
      </c>
      <c r="D1388" s="296" t="s">
        <v>353</v>
      </c>
      <c r="E1388" s="296" t="s">
        <v>32</v>
      </c>
      <c r="F1388" s="296">
        <v>331</v>
      </c>
      <c r="G1388" s="296" t="s">
        <v>19</v>
      </c>
      <c r="H1388" s="296" t="s">
        <v>20</v>
      </c>
      <c r="I1388" s="296" t="s">
        <v>21</v>
      </c>
      <c r="J1388" s="296"/>
      <c r="K1388" s="296" t="s">
        <v>33</v>
      </c>
      <c r="L1388" s="296">
        <v>38</v>
      </c>
      <c r="M1388" s="296" t="s">
        <v>30</v>
      </c>
      <c r="N1388" s="297">
        <v>1580</v>
      </c>
      <c r="O1388" s="297">
        <v>1580</v>
      </c>
      <c r="P1388" s="392">
        <v>6000</v>
      </c>
      <c r="Q1388" s="296">
        <v>2</v>
      </c>
      <c r="R1388" s="296">
        <v>12</v>
      </c>
      <c r="S1388" s="296" t="s">
        <v>354</v>
      </c>
      <c r="T1388" s="298">
        <v>45005</v>
      </c>
      <c r="U1388" s="298">
        <v>45030</v>
      </c>
      <c r="V1388" s="296" t="s">
        <v>355</v>
      </c>
      <c r="W1388" s="296"/>
      <c r="X1388" s="296"/>
      <c r="Y1388" s="144"/>
    </row>
    <row r="1389" spans="1:25" ht="13.5" x14ac:dyDescent="0.15">
      <c r="A1389" s="296">
        <v>3703973</v>
      </c>
      <c r="B1389" s="296" t="s">
        <v>351</v>
      </c>
      <c r="C1389" s="296" t="s">
        <v>356</v>
      </c>
      <c r="D1389" s="296" t="s">
        <v>353</v>
      </c>
      <c r="E1389" s="296" t="s">
        <v>32</v>
      </c>
      <c r="F1389" s="296">
        <v>331</v>
      </c>
      <c r="G1389" s="296" t="s">
        <v>19</v>
      </c>
      <c r="H1389" s="296" t="s">
        <v>20</v>
      </c>
      <c r="I1389" s="296" t="s">
        <v>21</v>
      </c>
      <c r="J1389" s="296"/>
      <c r="K1389" s="296" t="s">
        <v>33</v>
      </c>
      <c r="L1389" s="296">
        <v>25</v>
      </c>
      <c r="M1389" s="296" t="s">
        <v>30</v>
      </c>
      <c r="N1389" s="297">
        <v>1330</v>
      </c>
      <c r="O1389" s="297">
        <v>1330</v>
      </c>
      <c r="P1389" s="392">
        <v>6000</v>
      </c>
      <c r="Q1389" s="296">
        <v>2</v>
      </c>
      <c r="R1389" s="296">
        <v>16</v>
      </c>
      <c r="S1389" s="296" t="s">
        <v>354</v>
      </c>
      <c r="T1389" s="298">
        <v>45005</v>
      </c>
      <c r="U1389" s="298">
        <v>45030</v>
      </c>
      <c r="V1389" s="296" t="s">
        <v>355</v>
      </c>
      <c r="W1389" s="296"/>
      <c r="X1389" s="296"/>
      <c r="Y1389" s="144"/>
    </row>
    <row r="1390" spans="1:25" ht="13.5" x14ac:dyDescent="0.15">
      <c r="A1390" s="296">
        <v>3703974</v>
      </c>
      <c r="B1390" s="296" t="s">
        <v>351</v>
      </c>
      <c r="C1390" s="296" t="s">
        <v>356</v>
      </c>
      <c r="D1390" s="296" t="s">
        <v>353</v>
      </c>
      <c r="E1390" s="296" t="s">
        <v>17</v>
      </c>
      <c r="F1390" s="296">
        <v>331</v>
      </c>
      <c r="G1390" s="296" t="s">
        <v>19</v>
      </c>
      <c r="H1390" s="296" t="s">
        <v>20</v>
      </c>
      <c r="I1390" s="296" t="s">
        <v>21</v>
      </c>
      <c r="J1390" s="296"/>
      <c r="K1390" s="296" t="s">
        <v>29</v>
      </c>
      <c r="L1390" s="296">
        <v>38</v>
      </c>
      <c r="M1390" s="296" t="s">
        <v>30</v>
      </c>
      <c r="N1390" s="297">
        <v>1330</v>
      </c>
      <c r="O1390" s="297">
        <v>1330</v>
      </c>
      <c r="P1390" s="392">
        <v>6000</v>
      </c>
      <c r="Q1390" s="296">
        <v>2</v>
      </c>
      <c r="R1390" s="296">
        <v>28</v>
      </c>
      <c r="S1390" s="296" t="s">
        <v>354</v>
      </c>
      <c r="T1390" s="298">
        <v>45005</v>
      </c>
      <c r="U1390" s="298">
        <v>45030</v>
      </c>
      <c r="V1390" s="296" t="s">
        <v>355</v>
      </c>
      <c r="W1390" s="296"/>
      <c r="X1390" s="296"/>
      <c r="Y1390" s="144"/>
    </row>
    <row r="1391" spans="1:25" ht="13.5" x14ac:dyDescent="0.15">
      <c r="A1391" s="296">
        <v>3703975</v>
      </c>
      <c r="B1391" s="296" t="s">
        <v>351</v>
      </c>
      <c r="C1391" s="296" t="s">
        <v>356</v>
      </c>
      <c r="D1391" s="296" t="s">
        <v>353</v>
      </c>
      <c r="E1391" s="296" t="s">
        <v>32</v>
      </c>
      <c r="F1391" s="296">
        <v>331</v>
      </c>
      <c r="G1391" s="296" t="s">
        <v>19</v>
      </c>
      <c r="H1391" s="296" t="s">
        <v>20</v>
      </c>
      <c r="I1391" s="296" t="s">
        <v>21</v>
      </c>
      <c r="J1391" s="296"/>
      <c r="K1391" s="296" t="s">
        <v>33</v>
      </c>
      <c r="L1391" s="296">
        <v>38</v>
      </c>
      <c r="M1391" s="296" t="s">
        <v>30</v>
      </c>
      <c r="N1391" s="297">
        <v>1330</v>
      </c>
      <c r="O1391" s="297">
        <v>1330</v>
      </c>
      <c r="P1391" s="392">
        <v>6000</v>
      </c>
      <c r="Q1391" s="296">
        <v>2</v>
      </c>
      <c r="R1391" s="296">
        <v>20</v>
      </c>
      <c r="S1391" s="296" t="s">
        <v>354</v>
      </c>
      <c r="T1391" s="298">
        <v>45005</v>
      </c>
      <c r="U1391" s="298">
        <v>45030</v>
      </c>
      <c r="V1391" s="296" t="s">
        <v>355</v>
      </c>
      <c r="W1391" s="296"/>
      <c r="X1391" s="296"/>
      <c r="Y1391" s="144"/>
    </row>
    <row r="1392" spans="1:25" ht="13.5" x14ac:dyDescent="0.15">
      <c r="A1392" s="296">
        <v>3703976</v>
      </c>
      <c r="B1392" s="296" t="s">
        <v>351</v>
      </c>
      <c r="C1392" s="296" t="s">
        <v>356</v>
      </c>
      <c r="D1392" s="296" t="s">
        <v>353</v>
      </c>
      <c r="E1392" s="296" t="s">
        <v>17</v>
      </c>
      <c r="F1392" s="296">
        <v>3</v>
      </c>
      <c r="G1392" s="296" t="s">
        <v>19</v>
      </c>
      <c r="H1392" s="296" t="s">
        <v>20</v>
      </c>
      <c r="I1392" s="296" t="s">
        <v>21</v>
      </c>
      <c r="J1392" s="296"/>
      <c r="K1392" s="296" t="s">
        <v>22</v>
      </c>
      <c r="L1392" s="296">
        <v>38</v>
      </c>
      <c r="M1392" s="296" t="s">
        <v>23</v>
      </c>
      <c r="N1392" s="297">
        <v>1057</v>
      </c>
      <c r="O1392" s="297">
        <v>1050</v>
      </c>
      <c r="P1392" s="392">
        <v>6000</v>
      </c>
      <c r="Q1392" s="296">
        <v>2</v>
      </c>
      <c r="R1392" s="296">
        <v>5</v>
      </c>
      <c r="S1392" s="296" t="s">
        <v>354</v>
      </c>
      <c r="T1392" s="298">
        <v>45005</v>
      </c>
      <c r="U1392" s="298">
        <v>45030</v>
      </c>
      <c r="V1392" s="296" t="s">
        <v>355</v>
      </c>
      <c r="W1392" s="296"/>
      <c r="X1392" s="296"/>
      <c r="Y1392" s="144"/>
    </row>
    <row r="1393" spans="1:25" ht="13.5" x14ac:dyDescent="0.15">
      <c r="A1393" s="296">
        <v>3703977</v>
      </c>
      <c r="B1393" s="296" t="s">
        <v>351</v>
      </c>
      <c r="C1393" s="296" t="s">
        <v>356</v>
      </c>
      <c r="D1393" s="296" t="s">
        <v>353</v>
      </c>
      <c r="E1393" s="296" t="s">
        <v>17</v>
      </c>
      <c r="F1393" s="296">
        <v>3</v>
      </c>
      <c r="G1393" s="296" t="s">
        <v>19</v>
      </c>
      <c r="H1393" s="296" t="s">
        <v>20</v>
      </c>
      <c r="I1393" s="296" t="s">
        <v>21</v>
      </c>
      <c r="J1393" s="296"/>
      <c r="K1393" s="296" t="s">
        <v>22</v>
      </c>
      <c r="L1393" s="296">
        <v>38</v>
      </c>
      <c r="M1393" s="296" t="s">
        <v>23</v>
      </c>
      <c r="N1393" s="297">
        <v>1037</v>
      </c>
      <c r="O1393" s="297">
        <v>1030</v>
      </c>
      <c r="P1393" s="392">
        <v>6000</v>
      </c>
      <c r="Q1393" s="296">
        <v>2</v>
      </c>
      <c r="R1393" s="296">
        <v>22</v>
      </c>
      <c r="S1393" s="296" t="s">
        <v>354</v>
      </c>
      <c r="T1393" s="298">
        <v>45005</v>
      </c>
      <c r="U1393" s="298">
        <v>45034</v>
      </c>
      <c r="V1393" s="296" t="s">
        <v>355</v>
      </c>
      <c r="W1393" s="296"/>
      <c r="X1393" s="296"/>
      <c r="Y1393" s="144"/>
    </row>
    <row r="1394" spans="1:25" ht="13.5" x14ac:dyDescent="0.15">
      <c r="A1394" s="296">
        <v>3703978</v>
      </c>
      <c r="B1394" s="296" t="s">
        <v>351</v>
      </c>
      <c r="C1394" s="296" t="s">
        <v>356</v>
      </c>
      <c r="D1394" s="296" t="s">
        <v>353</v>
      </c>
      <c r="E1394" s="296" t="s">
        <v>377</v>
      </c>
      <c r="F1394" s="296">
        <v>3</v>
      </c>
      <c r="G1394" s="296" t="s">
        <v>19</v>
      </c>
      <c r="H1394" s="296" t="s">
        <v>20</v>
      </c>
      <c r="I1394" s="296" t="s">
        <v>21</v>
      </c>
      <c r="J1394" s="296"/>
      <c r="K1394" s="296" t="s">
        <v>36</v>
      </c>
      <c r="L1394" s="296">
        <v>25</v>
      </c>
      <c r="M1394" s="296" t="s">
        <v>37</v>
      </c>
      <c r="N1394" s="296">
        <v>890</v>
      </c>
      <c r="O1394" s="296">
        <v>890</v>
      </c>
      <c r="P1394" s="392">
        <v>6000</v>
      </c>
      <c r="Q1394" s="296">
        <v>2</v>
      </c>
      <c r="R1394" s="296">
        <v>9</v>
      </c>
      <c r="S1394" s="296" t="s">
        <v>354</v>
      </c>
      <c r="T1394" s="298">
        <v>45005</v>
      </c>
      <c r="U1394" s="298">
        <v>45034</v>
      </c>
      <c r="V1394" s="296" t="s">
        <v>355</v>
      </c>
      <c r="W1394" s="296"/>
      <c r="X1394" s="296"/>
      <c r="Y1394" s="144"/>
    </row>
    <row r="1395" spans="1:25" ht="13.5" x14ac:dyDescent="0.15">
      <c r="A1395" s="296">
        <v>3703979</v>
      </c>
      <c r="B1395" s="296" t="s">
        <v>351</v>
      </c>
      <c r="C1395" s="296" t="s">
        <v>363</v>
      </c>
      <c r="D1395" s="296" t="s">
        <v>353</v>
      </c>
      <c r="E1395" s="296" t="s">
        <v>65</v>
      </c>
      <c r="F1395" s="296">
        <v>3321</v>
      </c>
      <c r="G1395" s="296" t="s">
        <v>19</v>
      </c>
      <c r="H1395" s="296" t="s">
        <v>20</v>
      </c>
      <c r="I1395" s="296" t="s">
        <v>21</v>
      </c>
      <c r="J1395" s="296"/>
      <c r="K1395" s="296" t="s">
        <v>67</v>
      </c>
      <c r="L1395" s="296">
        <v>38</v>
      </c>
      <c r="M1395" s="296" t="s">
        <v>68</v>
      </c>
      <c r="N1395" s="297">
        <v>1336</v>
      </c>
      <c r="O1395" s="297">
        <v>1325</v>
      </c>
      <c r="P1395" s="392">
        <v>6000</v>
      </c>
      <c r="Q1395" s="296">
        <v>2</v>
      </c>
      <c r="R1395" s="296">
        <v>10</v>
      </c>
      <c r="S1395" s="296" t="s">
        <v>354</v>
      </c>
      <c r="T1395" s="298">
        <v>45005</v>
      </c>
      <c r="U1395" s="298">
        <v>45037</v>
      </c>
      <c r="V1395" s="296" t="s">
        <v>355</v>
      </c>
      <c r="W1395" s="296"/>
      <c r="X1395" s="296"/>
      <c r="Y1395" s="144"/>
    </row>
    <row r="1396" spans="1:25" ht="13.5" x14ac:dyDescent="0.15">
      <c r="A1396" s="296">
        <v>3703980</v>
      </c>
      <c r="B1396" s="296" t="s">
        <v>351</v>
      </c>
      <c r="C1396" s="296" t="s">
        <v>363</v>
      </c>
      <c r="D1396" s="296" t="s">
        <v>353</v>
      </c>
      <c r="E1396" s="296" t="s">
        <v>65</v>
      </c>
      <c r="F1396" s="296">
        <v>3321</v>
      </c>
      <c r="G1396" s="296" t="s">
        <v>19</v>
      </c>
      <c r="H1396" s="296" t="s">
        <v>20</v>
      </c>
      <c r="I1396" s="296" t="s">
        <v>21</v>
      </c>
      <c r="J1396" s="296"/>
      <c r="K1396" s="296" t="s">
        <v>70</v>
      </c>
      <c r="L1396" s="296">
        <v>38</v>
      </c>
      <c r="M1396" s="296" t="s">
        <v>71</v>
      </c>
      <c r="N1396" s="297">
        <v>1336</v>
      </c>
      <c r="O1396" s="297">
        <v>1325</v>
      </c>
      <c r="P1396" s="392">
        <v>6000</v>
      </c>
      <c r="Q1396" s="296">
        <v>2</v>
      </c>
      <c r="R1396" s="296">
        <v>10</v>
      </c>
      <c r="S1396" s="296" t="s">
        <v>354</v>
      </c>
      <c r="T1396" s="298">
        <v>45005</v>
      </c>
      <c r="U1396" s="298">
        <v>45037</v>
      </c>
      <c r="V1396" s="296" t="s">
        <v>355</v>
      </c>
      <c r="W1396" s="296"/>
      <c r="X1396" s="296"/>
      <c r="Y1396" s="144"/>
    </row>
    <row r="1397" spans="1:25" ht="13.5" x14ac:dyDescent="0.15">
      <c r="A1397" s="296">
        <v>3703981</v>
      </c>
      <c r="B1397" s="296" t="s">
        <v>351</v>
      </c>
      <c r="C1397" s="296" t="s">
        <v>358</v>
      </c>
      <c r="D1397" s="296" t="s">
        <v>353</v>
      </c>
      <c r="E1397" s="296" t="s">
        <v>61</v>
      </c>
      <c r="F1397" s="296">
        <v>331</v>
      </c>
      <c r="G1397" s="296" t="s">
        <v>19</v>
      </c>
      <c r="H1397" s="296" t="s">
        <v>20</v>
      </c>
      <c r="I1397" s="296" t="s">
        <v>21</v>
      </c>
      <c r="J1397" s="296"/>
      <c r="K1397" s="296" t="s">
        <v>62</v>
      </c>
      <c r="L1397" s="296">
        <v>38</v>
      </c>
      <c r="M1397" s="296" t="s">
        <v>63</v>
      </c>
      <c r="N1397" s="297">
        <v>1255</v>
      </c>
      <c r="O1397" s="297">
        <v>1250</v>
      </c>
      <c r="P1397" s="392">
        <v>6000</v>
      </c>
      <c r="Q1397" s="296">
        <v>2</v>
      </c>
      <c r="R1397" s="296">
        <v>12</v>
      </c>
      <c r="S1397" s="296" t="s">
        <v>354</v>
      </c>
      <c r="T1397" s="298">
        <v>45005</v>
      </c>
      <c r="U1397" s="298">
        <v>45037</v>
      </c>
      <c r="V1397" s="296" t="s">
        <v>355</v>
      </c>
      <c r="W1397" s="296"/>
      <c r="X1397" s="296"/>
      <c r="Y1397" s="144"/>
    </row>
    <row r="1398" spans="1:25" ht="13.5" x14ac:dyDescent="0.15">
      <c r="A1398" s="296">
        <v>3703982</v>
      </c>
      <c r="B1398" s="296" t="s">
        <v>351</v>
      </c>
      <c r="C1398" s="296" t="s">
        <v>356</v>
      </c>
      <c r="D1398" s="296" t="s">
        <v>353</v>
      </c>
      <c r="E1398" s="296" t="s">
        <v>17</v>
      </c>
      <c r="F1398" s="296">
        <v>331</v>
      </c>
      <c r="G1398" s="296" t="s">
        <v>19</v>
      </c>
      <c r="H1398" s="296" t="s">
        <v>20</v>
      </c>
      <c r="I1398" s="296" t="s">
        <v>21</v>
      </c>
      <c r="J1398" s="296"/>
      <c r="K1398" s="296" t="s">
        <v>52</v>
      </c>
      <c r="L1398" s="296">
        <v>38</v>
      </c>
      <c r="M1398" s="296" t="s">
        <v>53</v>
      </c>
      <c r="N1398" s="297">
        <v>1330</v>
      </c>
      <c r="O1398" s="297">
        <v>1330</v>
      </c>
      <c r="P1398" s="392">
        <v>6000</v>
      </c>
      <c r="Q1398" s="296">
        <v>2</v>
      </c>
      <c r="R1398" s="296">
        <v>26</v>
      </c>
      <c r="S1398" s="296" t="s">
        <v>354</v>
      </c>
      <c r="T1398" s="298">
        <v>45005</v>
      </c>
      <c r="U1398" s="298">
        <v>45044</v>
      </c>
      <c r="V1398" s="296" t="s">
        <v>355</v>
      </c>
      <c r="W1398" s="296"/>
      <c r="X1398" s="296"/>
      <c r="Y1398" s="144"/>
    </row>
    <row r="1399" spans="1:25" ht="13.5" x14ac:dyDescent="0.15">
      <c r="A1399" s="296">
        <v>3703983</v>
      </c>
      <c r="B1399" s="296" t="s">
        <v>351</v>
      </c>
      <c r="C1399" s="296" t="s">
        <v>356</v>
      </c>
      <c r="D1399" s="296" t="s">
        <v>353</v>
      </c>
      <c r="E1399" s="296" t="s">
        <v>32</v>
      </c>
      <c r="F1399" s="296">
        <v>331</v>
      </c>
      <c r="G1399" s="296" t="s">
        <v>19</v>
      </c>
      <c r="H1399" s="296" t="s">
        <v>20</v>
      </c>
      <c r="I1399" s="296" t="s">
        <v>21</v>
      </c>
      <c r="J1399" s="296"/>
      <c r="K1399" s="296" t="s">
        <v>54</v>
      </c>
      <c r="L1399" s="296">
        <v>38</v>
      </c>
      <c r="M1399" s="296" t="s">
        <v>53</v>
      </c>
      <c r="N1399" s="297">
        <v>1330</v>
      </c>
      <c r="O1399" s="297">
        <v>1330</v>
      </c>
      <c r="P1399" s="392">
        <v>6000</v>
      </c>
      <c r="Q1399" s="296">
        <v>2</v>
      </c>
      <c r="R1399" s="296">
        <v>30</v>
      </c>
      <c r="S1399" s="296" t="s">
        <v>354</v>
      </c>
      <c r="T1399" s="298">
        <v>45005</v>
      </c>
      <c r="U1399" s="298">
        <v>45044</v>
      </c>
      <c r="V1399" s="296" t="s">
        <v>355</v>
      </c>
      <c r="W1399" s="296"/>
      <c r="X1399" s="296"/>
      <c r="Y1399" s="144"/>
    </row>
    <row r="1400" spans="1:25" ht="13.5" x14ac:dyDescent="0.15">
      <c r="A1400" s="296">
        <v>3703984</v>
      </c>
      <c r="B1400" s="296" t="s">
        <v>351</v>
      </c>
      <c r="C1400" s="296" t="s">
        <v>356</v>
      </c>
      <c r="D1400" s="296" t="s">
        <v>353</v>
      </c>
      <c r="E1400" s="296" t="s">
        <v>32</v>
      </c>
      <c r="F1400" s="296">
        <v>3</v>
      </c>
      <c r="G1400" s="296" t="s">
        <v>19</v>
      </c>
      <c r="H1400" s="296" t="s">
        <v>20</v>
      </c>
      <c r="I1400" s="296" t="s">
        <v>21</v>
      </c>
      <c r="J1400" s="296"/>
      <c r="K1400" s="296" t="s">
        <v>56</v>
      </c>
      <c r="L1400" s="296">
        <v>75</v>
      </c>
      <c r="M1400" s="296" t="s">
        <v>376</v>
      </c>
      <c r="N1400" s="297">
        <v>1330</v>
      </c>
      <c r="O1400" s="297">
        <v>1330</v>
      </c>
      <c r="P1400" s="392">
        <v>6000</v>
      </c>
      <c r="Q1400" s="296">
        <v>2</v>
      </c>
      <c r="R1400" s="296">
        <v>17</v>
      </c>
      <c r="S1400" s="296" t="s">
        <v>354</v>
      </c>
      <c r="T1400" s="298">
        <v>45005</v>
      </c>
      <c r="U1400" s="298">
        <v>45044</v>
      </c>
      <c r="V1400" s="296" t="s">
        <v>355</v>
      </c>
      <c r="W1400" s="296"/>
      <c r="X1400" s="296"/>
      <c r="Y1400" s="144"/>
    </row>
    <row r="1401" spans="1:25" ht="13.5" x14ac:dyDescent="0.15">
      <c r="A1401" s="296">
        <v>3703985</v>
      </c>
      <c r="B1401" s="296" t="s">
        <v>351</v>
      </c>
      <c r="C1401" s="296" t="s">
        <v>352</v>
      </c>
      <c r="D1401" s="296" t="s">
        <v>353</v>
      </c>
      <c r="E1401" s="296" t="s">
        <v>116</v>
      </c>
      <c r="F1401" s="296">
        <v>3</v>
      </c>
      <c r="G1401" s="296" t="s">
        <v>19</v>
      </c>
      <c r="H1401" s="296" t="s">
        <v>20</v>
      </c>
      <c r="I1401" s="296" t="s">
        <v>143</v>
      </c>
      <c r="J1401" s="296"/>
      <c r="K1401" s="296" t="s">
        <v>144</v>
      </c>
      <c r="L1401" s="296">
        <v>75</v>
      </c>
      <c r="M1401" s="296" t="s">
        <v>145</v>
      </c>
      <c r="N1401" s="297">
        <v>1002</v>
      </c>
      <c r="O1401" s="297">
        <v>1000</v>
      </c>
      <c r="P1401" s="392">
        <v>6000</v>
      </c>
      <c r="Q1401" s="296">
        <v>2</v>
      </c>
      <c r="R1401" s="296">
        <v>2</v>
      </c>
      <c r="S1401" s="296" t="s">
        <v>354</v>
      </c>
      <c r="T1401" s="298">
        <v>45005</v>
      </c>
      <c r="U1401" s="298">
        <v>45037</v>
      </c>
      <c r="V1401" s="296" t="s">
        <v>355</v>
      </c>
      <c r="W1401" s="296"/>
      <c r="X1401" s="296"/>
      <c r="Y1401" s="144"/>
    </row>
    <row r="1402" spans="1:25" ht="13.5" x14ac:dyDescent="0.15">
      <c r="A1402" s="296">
        <v>3704006</v>
      </c>
      <c r="B1402" s="296" t="s">
        <v>351</v>
      </c>
      <c r="C1402" s="296" t="s">
        <v>364</v>
      </c>
      <c r="D1402" s="296" t="s">
        <v>353</v>
      </c>
      <c r="E1402" s="296" t="s">
        <v>162</v>
      </c>
      <c r="F1402" s="296">
        <v>3</v>
      </c>
      <c r="G1402" s="296" t="s">
        <v>19</v>
      </c>
      <c r="H1402" s="296" t="s">
        <v>20</v>
      </c>
      <c r="I1402" s="296" t="s">
        <v>143</v>
      </c>
      <c r="J1402" s="296"/>
      <c r="K1402" s="296" t="s">
        <v>163</v>
      </c>
      <c r="L1402" s="296">
        <v>38</v>
      </c>
      <c r="M1402" s="296" t="s">
        <v>164</v>
      </c>
      <c r="N1402" s="297">
        <v>1320</v>
      </c>
      <c r="O1402" s="297">
        <v>1320</v>
      </c>
      <c r="P1402" s="392">
        <v>6000</v>
      </c>
      <c r="Q1402" s="296">
        <v>2</v>
      </c>
      <c r="R1402" s="296">
        <v>5</v>
      </c>
      <c r="S1402" s="296" t="s">
        <v>354</v>
      </c>
      <c r="T1402" s="298">
        <v>45005</v>
      </c>
      <c r="U1402" s="298">
        <v>45031</v>
      </c>
      <c r="V1402" s="296" t="s">
        <v>355</v>
      </c>
      <c r="W1402" s="296"/>
      <c r="X1402" s="296"/>
      <c r="Y1402" s="144"/>
    </row>
    <row r="1403" spans="1:25" ht="13.5" x14ac:dyDescent="0.15">
      <c r="A1403" s="296">
        <v>3704007</v>
      </c>
      <c r="B1403" s="296" t="s">
        <v>351</v>
      </c>
      <c r="C1403" s="296" t="s">
        <v>364</v>
      </c>
      <c r="D1403" s="296" t="s">
        <v>353</v>
      </c>
      <c r="E1403" s="296" t="s">
        <v>162</v>
      </c>
      <c r="F1403" s="296">
        <v>3</v>
      </c>
      <c r="G1403" s="296" t="s">
        <v>19</v>
      </c>
      <c r="H1403" s="296" t="s">
        <v>20</v>
      </c>
      <c r="I1403" s="296" t="s">
        <v>143</v>
      </c>
      <c r="J1403" s="296"/>
      <c r="K1403" s="296" t="s">
        <v>163</v>
      </c>
      <c r="L1403" s="296">
        <v>50</v>
      </c>
      <c r="M1403" s="296" t="s">
        <v>164</v>
      </c>
      <c r="N1403" s="297">
        <v>1320</v>
      </c>
      <c r="O1403" s="297">
        <v>1320</v>
      </c>
      <c r="P1403" s="392">
        <v>6000</v>
      </c>
      <c r="Q1403" s="296">
        <v>2</v>
      </c>
      <c r="R1403" s="296">
        <v>1</v>
      </c>
      <c r="S1403" s="296" t="s">
        <v>354</v>
      </c>
      <c r="T1403" s="298">
        <v>45005</v>
      </c>
      <c r="U1403" s="298">
        <v>45031</v>
      </c>
      <c r="V1403" s="296" t="s">
        <v>355</v>
      </c>
      <c r="W1403" s="296"/>
      <c r="X1403" s="296"/>
      <c r="Y1403" s="144"/>
    </row>
    <row r="1404" spans="1:25" ht="13.5" x14ac:dyDescent="0.15">
      <c r="A1404" s="296">
        <v>3708649</v>
      </c>
      <c r="B1404" s="296" t="s">
        <v>351</v>
      </c>
      <c r="C1404" s="296" t="s">
        <v>356</v>
      </c>
      <c r="D1404" s="296" t="s">
        <v>353</v>
      </c>
      <c r="E1404" s="296" t="s">
        <v>106</v>
      </c>
      <c r="F1404" s="296">
        <v>3303</v>
      </c>
      <c r="G1404" s="296" t="s">
        <v>19</v>
      </c>
      <c r="H1404" s="296" t="s">
        <v>20</v>
      </c>
      <c r="I1404" s="296" t="s">
        <v>21</v>
      </c>
      <c r="J1404" s="296"/>
      <c r="K1404" s="296" t="s">
        <v>107</v>
      </c>
      <c r="L1404" s="296">
        <v>25</v>
      </c>
      <c r="M1404" s="296" t="s">
        <v>367</v>
      </c>
      <c r="N1404" s="297">
        <v>1240</v>
      </c>
      <c r="O1404" s="297">
        <v>1240</v>
      </c>
      <c r="P1404" s="392">
        <v>6000</v>
      </c>
      <c r="Q1404" s="296">
        <v>2</v>
      </c>
      <c r="R1404" s="296">
        <v>4</v>
      </c>
      <c r="S1404" s="296" t="s">
        <v>354</v>
      </c>
      <c r="T1404" s="298">
        <v>45037</v>
      </c>
      <c r="U1404" s="298">
        <v>45046</v>
      </c>
      <c r="V1404" s="296" t="s">
        <v>355</v>
      </c>
      <c r="W1404" s="296"/>
      <c r="X1404" s="296"/>
      <c r="Y1404" s="252"/>
    </row>
    <row r="1405" spans="1:25" ht="13.5" x14ac:dyDescent="0.15">
      <c r="A1405" s="296">
        <v>3708657</v>
      </c>
      <c r="B1405" s="296" t="s">
        <v>351</v>
      </c>
      <c r="C1405" s="296" t="s">
        <v>358</v>
      </c>
      <c r="D1405" s="296" t="s">
        <v>353</v>
      </c>
      <c r="E1405" s="296" t="s">
        <v>61</v>
      </c>
      <c r="F1405" s="296">
        <v>3313</v>
      </c>
      <c r="G1405" s="296" t="s">
        <v>19</v>
      </c>
      <c r="H1405" s="296" t="s">
        <v>20</v>
      </c>
      <c r="I1405" s="296" t="s">
        <v>21</v>
      </c>
      <c r="J1405" s="296"/>
      <c r="K1405" s="296" t="s">
        <v>62</v>
      </c>
      <c r="L1405" s="296">
        <v>38</v>
      </c>
      <c r="M1405" s="296" t="s">
        <v>63</v>
      </c>
      <c r="N1405" s="296">
        <v>750</v>
      </c>
      <c r="O1405" s="296">
        <v>750</v>
      </c>
      <c r="P1405" s="392">
        <v>6000</v>
      </c>
      <c r="Q1405" s="296">
        <v>2</v>
      </c>
      <c r="R1405" s="296">
        <v>40</v>
      </c>
      <c r="S1405" s="296" t="s">
        <v>354</v>
      </c>
      <c r="T1405" s="298">
        <v>45037</v>
      </c>
      <c r="U1405" s="298">
        <v>45054</v>
      </c>
      <c r="V1405" s="296" t="s">
        <v>355</v>
      </c>
      <c r="W1405" s="296"/>
      <c r="X1405" s="296"/>
      <c r="Y1405" s="252"/>
    </row>
    <row r="1406" spans="1:25" ht="13.5" x14ac:dyDescent="0.15">
      <c r="A1406" s="296">
        <v>3708658</v>
      </c>
      <c r="B1406" s="296" t="s">
        <v>351</v>
      </c>
      <c r="C1406" s="296" t="s">
        <v>358</v>
      </c>
      <c r="D1406" s="296" t="s">
        <v>353</v>
      </c>
      <c r="E1406" s="296" t="s">
        <v>61</v>
      </c>
      <c r="F1406" s="296">
        <v>331</v>
      </c>
      <c r="G1406" s="296" t="s">
        <v>19</v>
      </c>
      <c r="H1406" s="296" t="s">
        <v>20</v>
      </c>
      <c r="I1406" s="296" t="s">
        <v>21</v>
      </c>
      <c r="J1406" s="296"/>
      <c r="K1406" s="296" t="s">
        <v>62</v>
      </c>
      <c r="L1406" s="296">
        <v>38</v>
      </c>
      <c r="M1406" s="296" t="s">
        <v>63</v>
      </c>
      <c r="N1406" s="297">
        <v>1255</v>
      </c>
      <c r="O1406" s="297">
        <v>1250</v>
      </c>
      <c r="P1406" s="392">
        <v>6000</v>
      </c>
      <c r="Q1406" s="296">
        <v>2</v>
      </c>
      <c r="R1406" s="296">
        <v>10</v>
      </c>
      <c r="S1406" s="296" t="s">
        <v>354</v>
      </c>
      <c r="T1406" s="298">
        <v>45037</v>
      </c>
      <c r="U1406" s="298">
        <v>45054</v>
      </c>
      <c r="V1406" s="296" t="s">
        <v>355</v>
      </c>
      <c r="W1406" s="296"/>
      <c r="X1406" s="296"/>
      <c r="Y1406" s="252"/>
    </row>
    <row r="1407" spans="1:25" ht="13.5" x14ac:dyDescent="0.15">
      <c r="A1407" s="296">
        <v>3708659</v>
      </c>
      <c r="B1407" s="296" t="s">
        <v>351</v>
      </c>
      <c r="C1407" s="296" t="s">
        <v>363</v>
      </c>
      <c r="D1407" s="296" t="s">
        <v>353</v>
      </c>
      <c r="E1407" s="296" t="s">
        <v>65</v>
      </c>
      <c r="F1407" s="296">
        <v>3321</v>
      </c>
      <c r="G1407" s="296" t="s">
        <v>19</v>
      </c>
      <c r="H1407" s="296" t="s">
        <v>20</v>
      </c>
      <c r="I1407" s="296" t="s">
        <v>21</v>
      </c>
      <c r="J1407" s="296"/>
      <c r="K1407" s="296" t="s">
        <v>67</v>
      </c>
      <c r="L1407" s="296">
        <v>38</v>
      </c>
      <c r="M1407" s="296" t="s">
        <v>68</v>
      </c>
      <c r="N1407" s="297">
        <v>1336</v>
      </c>
      <c r="O1407" s="297">
        <v>1325</v>
      </c>
      <c r="P1407" s="392">
        <v>6000</v>
      </c>
      <c r="Q1407" s="296">
        <v>2</v>
      </c>
      <c r="R1407" s="296">
        <v>8</v>
      </c>
      <c r="S1407" s="296" t="s">
        <v>354</v>
      </c>
      <c r="T1407" s="298">
        <v>45037</v>
      </c>
      <c r="U1407" s="298">
        <v>45054</v>
      </c>
      <c r="V1407" s="296" t="s">
        <v>355</v>
      </c>
      <c r="W1407" s="296"/>
      <c r="X1407" s="296"/>
      <c r="Y1407" s="252"/>
    </row>
    <row r="1408" spans="1:25" ht="13.5" x14ac:dyDescent="0.15">
      <c r="A1408" s="296">
        <v>3708660</v>
      </c>
      <c r="B1408" s="296" t="s">
        <v>351</v>
      </c>
      <c r="C1408" s="296" t="s">
        <v>363</v>
      </c>
      <c r="D1408" s="296" t="s">
        <v>353</v>
      </c>
      <c r="E1408" s="296" t="s">
        <v>65</v>
      </c>
      <c r="F1408" s="296">
        <v>3321</v>
      </c>
      <c r="G1408" s="296" t="s">
        <v>19</v>
      </c>
      <c r="H1408" s="296" t="s">
        <v>20</v>
      </c>
      <c r="I1408" s="296" t="s">
        <v>21</v>
      </c>
      <c r="J1408" s="296"/>
      <c r="K1408" s="296" t="s">
        <v>70</v>
      </c>
      <c r="L1408" s="296">
        <v>38</v>
      </c>
      <c r="M1408" s="296" t="s">
        <v>71</v>
      </c>
      <c r="N1408" s="297">
        <v>1336</v>
      </c>
      <c r="O1408" s="297">
        <v>1325</v>
      </c>
      <c r="P1408" s="392">
        <v>6000</v>
      </c>
      <c r="Q1408" s="296">
        <v>2</v>
      </c>
      <c r="R1408" s="296">
        <v>8</v>
      </c>
      <c r="S1408" s="296" t="s">
        <v>354</v>
      </c>
      <c r="T1408" s="298">
        <v>45037</v>
      </c>
      <c r="U1408" s="298">
        <v>45054</v>
      </c>
      <c r="V1408" s="296" t="s">
        <v>355</v>
      </c>
      <c r="W1408" s="296"/>
      <c r="X1408" s="296"/>
      <c r="Y1408" s="252"/>
    </row>
    <row r="1409" spans="1:25" ht="13.5" x14ac:dyDescent="0.15">
      <c r="A1409" s="296">
        <v>3708661</v>
      </c>
      <c r="B1409" s="296" t="s">
        <v>351</v>
      </c>
      <c r="C1409" s="296" t="s">
        <v>356</v>
      </c>
      <c r="D1409" s="296" t="s">
        <v>353</v>
      </c>
      <c r="E1409" s="296" t="s">
        <v>32</v>
      </c>
      <c r="F1409" s="296">
        <v>331</v>
      </c>
      <c r="G1409" s="296" t="s">
        <v>19</v>
      </c>
      <c r="H1409" s="296" t="s">
        <v>20</v>
      </c>
      <c r="I1409" s="296" t="s">
        <v>21</v>
      </c>
      <c r="J1409" s="296"/>
      <c r="K1409" s="296" t="s">
        <v>33</v>
      </c>
      <c r="L1409" s="296">
        <v>38</v>
      </c>
      <c r="M1409" s="296" t="s">
        <v>30</v>
      </c>
      <c r="N1409" s="297">
        <v>1580</v>
      </c>
      <c r="O1409" s="297">
        <v>1580</v>
      </c>
      <c r="P1409" s="392">
        <v>6000</v>
      </c>
      <c r="Q1409" s="296">
        <v>2</v>
      </c>
      <c r="R1409" s="296">
        <v>12</v>
      </c>
      <c r="S1409" s="296" t="s">
        <v>354</v>
      </c>
      <c r="T1409" s="298">
        <v>45037</v>
      </c>
      <c r="U1409" s="298">
        <v>45058</v>
      </c>
      <c r="V1409" s="296" t="s">
        <v>355</v>
      </c>
      <c r="W1409" s="296"/>
      <c r="X1409" s="296"/>
      <c r="Y1409" s="252"/>
    </row>
    <row r="1410" spans="1:25" ht="13.5" x14ac:dyDescent="0.15">
      <c r="A1410" s="296">
        <v>3708662</v>
      </c>
      <c r="B1410" s="296" t="s">
        <v>351</v>
      </c>
      <c r="C1410" s="296" t="s">
        <v>356</v>
      </c>
      <c r="D1410" s="296" t="s">
        <v>353</v>
      </c>
      <c r="E1410" s="296" t="s">
        <v>17</v>
      </c>
      <c r="F1410" s="296">
        <v>331</v>
      </c>
      <c r="G1410" s="296" t="s">
        <v>19</v>
      </c>
      <c r="H1410" s="296" t="s">
        <v>20</v>
      </c>
      <c r="I1410" s="296" t="s">
        <v>21</v>
      </c>
      <c r="J1410" s="296"/>
      <c r="K1410" s="296" t="s">
        <v>22</v>
      </c>
      <c r="L1410" s="296">
        <v>38</v>
      </c>
      <c r="M1410" s="296" t="s">
        <v>23</v>
      </c>
      <c r="N1410" s="297">
        <v>1367</v>
      </c>
      <c r="O1410" s="297">
        <v>1360</v>
      </c>
      <c r="P1410" s="392">
        <v>6000</v>
      </c>
      <c r="Q1410" s="296">
        <v>2</v>
      </c>
      <c r="R1410" s="296">
        <v>10</v>
      </c>
      <c r="S1410" s="296" t="s">
        <v>354</v>
      </c>
      <c r="T1410" s="298">
        <v>45037</v>
      </c>
      <c r="U1410" s="298">
        <v>45058</v>
      </c>
      <c r="V1410" s="296" t="s">
        <v>355</v>
      </c>
      <c r="W1410" s="296"/>
      <c r="X1410" s="296"/>
      <c r="Y1410" s="252"/>
    </row>
    <row r="1411" spans="1:25" ht="13.5" x14ac:dyDescent="0.15">
      <c r="A1411" s="296">
        <v>3708663</v>
      </c>
      <c r="B1411" s="296" t="s">
        <v>351</v>
      </c>
      <c r="C1411" s="296" t="s">
        <v>356</v>
      </c>
      <c r="D1411" s="296" t="s">
        <v>353</v>
      </c>
      <c r="E1411" s="296" t="s">
        <v>17</v>
      </c>
      <c r="F1411" s="296">
        <v>331</v>
      </c>
      <c r="G1411" s="296" t="s">
        <v>19</v>
      </c>
      <c r="H1411" s="296" t="s">
        <v>20</v>
      </c>
      <c r="I1411" s="296" t="s">
        <v>21</v>
      </c>
      <c r="J1411" s="296"/>
      <c r="K1411" s="296" t="s">
        <v>29</v>
      </c>
      <c r="L1411" s="296">
        <v>38</v>
      </c>
      <c r="M1411" s="296" t="s">
        <v>30</v>
      </c>
      <c r="N1411" s="297">
        <v>1330</v>
      </c>
      <c r="O1411" s="297">
        <v>1330</v>
      </c>
      <c r="P1411" s="392">
        <v>6000</v>
      </c>
      <c r="Q1411" s="296">
        <v>2</v>
      </c>
      <c r="R1411" s="296">
        <v>10</v>
      </c>
      <c r="S1411" s="296" t="s">
        <v>354</v>
      </c>
      <c r="T1411" s="298">
        <v>45037</v>
      </c>
      <c r="U1411" s="298">
        <v>45058</v>
      </c>
      <c r="V1411" s="296" t="s">
        <v>355</v>
      </c>
      <c r="W1411" s="296"/>
      <c r="X1411" s="296"/>
      <c r="Y1411" s="252"/>
    </row>
    <row r="1412" spans="1:25" ht="13.5" x14ac:dyDescent="0.15">
      <c r="A1412" s="296">
        <v>3708664</v>
      </c>
      <c r="B1412" s="296" t="s">
        <v>351</v>
      </c>
      <c r="C1412" s="296" t="s">
        <v>359</v>
      </c>
      <c r="D1412" s="296" t="s">
        <v>353</v>
      </c>
      <c r="E1412" s="296" t="s">
        <v>40</v>
      </c>
      <c r="F1412" s="296">
        <v>3</v>
      </c>
      <c r="G1412" s="296" t="s">
        <v>19</v>
      </c>
      <c r="H1412" s="296" t="s">
        <v>20</v>
      </c>
      <c r="I1412" s="296" t="s">
        <v>21</v>
      </c>
      <c r="J1412" s="296"/>
      <c r="K1412" s="296" t="s">
        <v>42</v>
      </c>
      <c r="L1412" s="296">
        <v>25</v>
      </c>
      <c r="M1412" s="296" t="s">
        <v>43</v>
      </c>
      <c r="N1412" s="297">
        <v>1085</v>
      </c>
      <c r="O1412" s="297">
        <v>1080</v>
      </c>
      <c r="P1412" s="392">
        <v>6000</v>
      </c>
      <c r="Q1412" s="296">
        <v>2</v>
      </c>
      <c r="R1412" s="296">
        <v>6</v>
      </c>
      <c r="S1412" s="296" t="s">
        <v>354</v>
      </c>
      <c r="T1412" s="298">
        <v>45037</v>
      </c>
      <c r="U1412" s="298">
        <v>45058</v>
      </c>
      <c r="V1412" s="296" t="s">
        <v>355</v>
      </c>
      <c r="W1412" s="296"/>
      <c r="X1412" s="296"/>
      <c r="Y1412" s="252"/>
    </row>
    <row r="1413" spans="1:25" ht="13.5" x14ac:dyDescent="0.15">
      <c r="A1413" s="296">
        <v>3708665</v>
      </c>
      <c r="B1413" s="296" t="s">
        <v>351</v>
      </c>
      <c r="C1413" s="296" t="s">
        <v>356</v>
      </c>
      <c r="D1413" s="296" t="s">
        <v>353</v>
      </c>
      <c r="E1413" s="296" t="s">
        <v>17</v>
      </c>
      <c r="F1413" s="296">
        <v>3</v>
      </c>
      <c r="G1413" s="296" t="s">
        <v>19</v>
      </c>
      <c r="H1413" s="296" t="s">
        <v>20</v>
      </c>
      <c r="I1413" s="296" t="s">
        <v>21</v>
      </c>
      <c r="J1413" s="296"/>
      <c r="K1413" s="296" t="s">
        <v>22</v>
      </c>
      <c r="L1413" s="296">
        <v>38</v>
      </c>
      <c r="M1413" s="296" t="s">
        <v>23</v>
      </c>
      <c r="N1413" s="297">
        <v>1057</v>
      </c>
      <c r="O1413" s="297">
        <v>1050</v>
      </c>
      <c r="P1413" s="392">
        <v>6000</v>
      </c>
      <c r="Q1413" s="296">
        <v>2</v>
      </c>
      <c r="R1413" s="296">
        <v>9</v>
      </c>
      <c r="S1413" s="296" t="s">
        <v>354</v>
      </c>
      <c r="T1413" s="298">
        <v>45037</v>
      </c>
      <c r="U1413" s="298">
        <v>45058</v>
      </c>
      <c r="V1413" s="296" t="s">
        <v>355</v>
      </c>
      <c r="W1413" s="296"/>
      <c r="X1413" s="296"/>
      <c r="Y1413" s="252"/>
    </row>
    <row r="1414" spans="1:25" ht="13.5" x14ac:dyDescent="0.15">
      <c r="A1414" s="296">
        <v>3708666</v>
      </c>
      <c r="B1414" s="296" t="s">
        <v>351</v>
      </c>
      <c r="C1414" s="296" t="s">
        <v>356</v>
      </c>
      <c r="D1414" s="296" t="s">
        <v>353</v>
      </c>
      <c r="E1414" s="296" t="s">
        <v>17</v>
      </c>
      <c r="F1414" s="296">
        <v>3</v>
      </c>
      <c r="G1414" s="296" t="s">
        <v>19</v>
      </c>
      <c r="H1414" s="296" t="s">
        <v>20</v>
      </c>
      <c r="I1414" s="296" t="s">
        <v>21</v>
      </c>
      <c r="J1414" s="296"/>
      <c r="K1414" s="296" t="s">
        <v>22</v>
      </c>
      <c r="L1414" s="296">
        <v>38</v>
      </c>
      <c r="M1414" s="296" t="s">
        <v>23</v>
      </c>
      <c r="N1414" s="297">
        <v>1037</v>
      </c>
      <c r="O1414" s="297">
        <v>1030</v>
      </c>
      <c r="P1414" s="392">
        <v>6000</v>
      </c>
      <c r="Q1414" s="296">
        <v>2</v>
      </c>
      <c r="R1414" s="296">
        <v>30</v>
      </c>
      <c r="S1414" s="296" t="s">
        <v>354</v>
      </c>
      <c r="T1414" s="298">
        <v>45037</v>
      </c>
      <c r="U1414" s="298">
        <v>45058</v>
      </c>
      <c r="V1414" s="296" t="s">
        <v>355</v>
      </c>
      <c r="W1414" s="296"/>
      <c r="X1414" s="296"/>
      <c r="Y1414" s="252"/>
    </row>
    <row r="1415" spans="1:25" ht="13.5" x14ac:dyDescent="0.15">
      <c r="A1415" s="296">
        <v>3708667</v>
      </c>
      <c r="B1415" s="296" t="s">
        <v>431</v>
      </c>
      <c r="C1415" s="296" t="s">
        <v>358</v>
      </c>
      <c r="D1415" s="296" t="s">
        <v>353</v>
      </c>
      <c r="E1415" s="296"/>
      <c r="F1415" s="296">
        <v>3</v>
      </c>
      <c r="G1415" s="296" t="s">
        <v>265</v>
      </c>
      <c r="H1415" s="296" t="s">
        <v>20</v>
      </c>
      <c r="I1415" s="296" t="s">
        <v>21</v>
      </c>
      <c r="J1415" s="296"/>
      <c r="K1415" s="296" t="s">
        <v>118</v>
      </c>
      <c r="L1415" s="296">
        <v>25</v>
      </c>
      <c r="M1415" s="296" t="s">
        <v>119</v>
      </c>
      <c r="N1415" s="297">
        <v>1100</v>
      </c>
      <c r="O1415" s="297">
        <v>1100</v>
      </c>
      <c r="P1415" s="392">
        <v>6000</v>
      </c>
      <c r="Q1415" s="296">
        <v>2</v>
      </c>
      <c r="R1415" s="296">
        <v>50</v>
      </c>
      <c r="S1415" s="296" t="s">
        <v>354</v>
      </c>
      <c r="T1415" s="298">
        <v>45037</v>
      </c>
      <c r="U1415" s="298">
        <v>45065</v>
      </c>
      <c r="V1415" s="296" t="s">
        <v>355</v>
      </c>
      <c r="W1415" s="296"/>
      <c r="X1415" s="296"/>
      <c r="Y1415" s="252"/>
    </row>
    <row r="1416" spans="1:25" ht="13.5" x14ac:dyDescent="0.15">
      <c r="A1416" s="296">
        <v>3708668</v>
      </c>
      <c r="B1416" s="296" t="s">
        <v>431</v>
      </c>
      <c r="C1416" s="296" t="s">
        <v>364</v>
      </c>
      <c r="D1416" s="296" t="s">
        <v>353</v>
      </c>
      <c r="E1416" s="296" t="s">
        <v>371</v>
      </c>
      <c r="F1416" s="296">
        <v>3</v>
      </c>
      <c r="G1416" s="296" t="s">
        <v>265</v>
      </c>
      <c r="H1416" s="296" t="s">
        <v>20</v>
      </c>
      <c r="I1416" s="296" t="s">
        <v>21</v>
      </c>
      <c r="J1416" s="296"/>
      <c r="K1416" s="296" t="s">
        <v>118</v>
      </c>
      <c r="L1416" s="296">
        <v>25</v>
      </c>
      <c r="M1416" s="296" t="s">
        <v>119</v>
      </c>
      <c r="N1416" s="297">
        <v>1425</v>
      </c>
      <c r="O1416" s="297">
        <v>1420</v>
      </c>
      <c r="P1416" s="392">
        <v>6000</v>
      </c>
      <c r="Q1416" s="296">
        <v>2</v>
      </c>
      <c r="R1416" s="296">
        <v>3</v>
      </c>
      <c r="S1416" s="296" t="s">
        <v>354</v>
      </c>
      <c r="T1416" s="298">
        <v>45037</v>
      </c>
      <c r="U1416" s="298">
        <v>45069</v>
      </c>
      <c r="V1416" s="296" t="s">
        <v>355</v>
      </c>
      <c r="W1416" s="296"/>
      <c r="X1416" s="296"/>
      <c r="Y1416" s="252"/>
    </row>
    <row r="1417" spans="1:25" ht="13.5" x14ac:dyDescent="0.15">
      <c r="A1417" s="296">
        <v>3708669</v>
      </c>
      <c r="B1417" s="296" t="s">
        <v>431</v>
      </c>
      <c r="C1417" s="296" t="s">
        <v>356</v>
      </c>
      <c r="D1417" s="296" t="s">
        <v>353</v>
      </c>
      <c r="E1417" s="296" t="s">
        <v>130</v>
      </c>
      <c r="F1417" s="296">
        <v>3</v>
      </c>
      <c r="G1417" s="296" t="s">
        <v>265</v>
      </c>
      <c r="H1417" s="296" t="s">
        <v>20</v>
      </c>
      <c r="I1417" s="296" t="s">
        <v>21</v>
      </c>
      <c r="J1417" s="296"/>
      <c r="K1417" s="296" t="s">
        <v>435</v>
      </c>
      <c r="L1417" s="296">
        <v>25</v>
      </c>
      <c r="M1417" s="296" t="s">
        <v>436</v>
      </c>
      <c r="N1417" s="297">
        <v>1410</v>
      </c>
      <c r="O1417" s="297">
        <v>1410</v>
      </c>
      <c r="P1417" s="392">
        <v>6000</v>
      </c>
      <c r="Q1417" s="296">
        <v>2</v>
      </c>
      <c r="R1417" s="296">
        <v>10</v>
      </c>
      <c r="S1417" s="296" t="s">
        <v>354</v>
      </c>
      <c r="T1417" s="298">
        <v>45037</v>
      </c>
      <c r="U1417" s="298">
        <v>45069</v>
      </c>
      <c r="V1417" s="296" t="s">
        <v>355</v>
      </c>
      <c r="W1417" s="296"/>
      <c r="X1417" s="296"/>
      <c r="Y1417" s="252"/>
    </row>
    <row r="1418" spans="1:25" ht="13.5" x14ac:dyDescent="0.15">
      <c r="A1418" s="296">
        <v>3708670</v>
      </c>
      <c r="B1418" s="296" t="s">
        <v>431</v>
      </c>
      <c r="C1418" s="296" t="s">
        <v>356</v>
      </c>
      <c r="D1418" s="296" t="s">
        <v>353</v>
      </c>
      <c r="E1418" s="296" t="s">
        <v>130</v>
      </c>
      <c r="F1418" s="296">
        <v>3</v>
      </c>
      <c r="G1418" s="296" t="s">
        <v>265</v>
      </c>
      <c r="H1418" s="296" t="s">
        <v>20</v>
      </c>
      <c r="I1418" s="296" t="s">
        <v>21</v>
      </c>
      <c r="J1418" s="296"/>
      <c r="K1418" s="296" t="s">
        <v>435</v>
      </c>
      <c r="L1418" s="296">
        <v>25</v>
      </c>
      <c r="M1418" s="296" t="s">
        <v>436</v>
      </c>
      <c r="N1418" s="297">
        <v>1410</v>
      </c>
      <c r="O1418" s="297">
        <v>1410</v>
      </c>
      <c r="P1418" s="392">
        <v>6000</v>
      </c>
      <c r="Q1418" s="296">
        <v>2</v>
      </c>
      <c r="R1418" s="296">
        <v>12</v>
      </c>
      <c r="S1418" s="296" t="s">
        <v>354</v>
      </c>
      <c r="T1418" s="298">
        <v>45037</v>
      </c>
      <c r="U1418" s="298">
        <v>45069</v>
      </c>
      <c r="V1418" s="296" t="s">
        <v>355</v>
      </c>
      <c r="W1418" s="296"/>
      <c r="X1418" s="296"/>
      <c r="Y1418" s="252"/>
    </row>
    <row r="1419" spans="1:25" ht="13.5" x14ac:dyDescent="0.15">
      <c r="A1419" s="296">
        <v>3708671</v>
      </c>
      <c r="B1419" s="296" t="s">
        <v>351</v>
      </c>
      <c r="C1419" s="296" t="s">
        <v>352</v>
      </c>
      <c r="D1419" s="296" t="s">
        <v>353</v>
      </c>
      <c r="E1419" s="296" t="s">
        <v>116</v>
      </c>
      <c r="F1419" s="296">
        <v>3</v>
      </c>
      <c r="G1419" s="296" t="s">
        <v>19</v>
      </c>
      <c r="H1419" s="296" t="s">
        <v>20</v>
      </c>
      <c r="I1419" s="296" t="s">
        <v>21</v>
      </c>
      <c r="J1419" s="296"/>
      <c r="K1419" s="296" t="s">
        <v>118</v>
      </c>
      <c r="L1419" s="296">
        <v>38</v>
      </c>
      <c r="M1419" s="296" t="s">
        <v>368</v>
      </c>
      <c r="N1419" s="297">
        <v>1415</v>
      </c>
      <c r="O1419" s="297">
        <v>1410</v>
      </c>
      <c r="P1419" s="392">
        <v>6000</v>
      </c>
      <c r="Q1419" s="296">
        <v>2</v>
      </c>
      <c r="R1419" s="296">
        <v>10</v>
      </c>
      <c r="S1419" s="296" t="s">
        <v>354</v>
      </c>
      <c r="T1419" s="298">
        <v>45037</v>
      </c>
      <c r="U1419" s="298">
        <v>45069</v>
      </c>
      <c r="V1419" s="296" t="s">
        <v>355</v>
      </c>
      <c r="W1419" s="296"/>
      <c r="X1419" s="296"/>
      <c r="Y1419" s="252"/>
    </row>
    <row r="1420" spans="1:25" ht="13.5" x14ac:dyDescent="0.15">
      <c r="A1420" s="296">
        <v>3708672</v>
      </c>
      <c r="B1420" s="296" t="s">
        <v>351</v>
      </c>
      <c r="C1420" s="296" t="s">
        <v>356</v>
      </c>
      <c r="D1420" s="296" t="s">
        <v>353</v>
      </c>
      <c r="E1420" s="296" t="s">
        <v>106</v>
      </c>
      <c r="F1420" s="296">
        <v>3</v>
      </c>
      <c r="G1420" s="296" t="s">
        <v>19</v>
      </c>
      <c r="H1420" s="296" t="s">
        <v>20</v>
      </c>
      <c r="I1420" s="296" t="s">
        <v>21</v>
      </c>
      <c r="J1420" s="296"/>
      <c r="K1420" s="296" t="s">
        <v>107</v>
      </c>
      <c r="L1420" s="296">
        <v>25</v>
      </c>
      <c r="M1420" s="296" t="s">
        <v>367</v>
      </c>
      <c r="N1420" s="297">
        <v>1240</v>
      </c>
      <c r="O1420" s="297">
        <v>1240</v>
      </c>
      <c r="P1420" s="392">
        <v>6000</v>
      </c>
      <c r="Q1420" s="296">
        <v>2</v>
      </c>
      <c r="R1420" s="296">
        <v>16</v>
      </c>
      <c r="S1420" s="296" t="s">
        <v>354</v>
      </c>
      <c r="T1420" s="298">
        <v>45037</v>
      </c>
      <c r="U1420" s="298">
        <v>45069</v>
      </c>
      <c r="V1420" s="296" t="s">
        <v>355</v>
      </c>
      <c r="W1420" s="296"/>
      <c r="X1420" s="296"/>
      <c r="Y1420" s="252"/>
    </row>
    <row r="1421" spans="1:25" ht="13.5" x14ac:dyDescent="0.15">
      <c r="A1421" s="296">
        <v>3708673</v>
      </c>
      <c r="B1421" s="296" t="s">
        <v>431</v>
      </c>
      <c r="C1421" s="296" t="s">
        <v>364</v>
      </c>
      <c r="D1421" s="296" t="s">
        <v>353</v>
      </c>
      <c r="E1421" s="296" t="s">
        <v>371</v>
      </c>
      <c r="F1421" s="296">
        <v>3</v>
      </c>
      <c r="G1421" s="296" t="s">
        <v>265</v>
      </c>
      <c r="H1421" s="296" t="s">
        <v>20</v>
      </c>
      <c r="I1421" s="296" t="s">
        <v>21</v>
      </c>
      <c r="J1421" s="296"/>
      <c r="K1421" s="296" t="s">
        <v>118</v>
      </c>
      <c r="L1421" s="296">
        <v>25</v>
      </c>
      <c r="M1421" s="296" t="s">
        <v>119</v>
      </c>
      <c r="N1421" s="297">
        <v>1155</v>
      </c>
      <c r="O1421" s="297">
        <v>1150</v>
      </c>
      <c r="P1421" s="392">
        <v>6000</v>
      </c>
      <c r="Q1421" s="296">
        <v>2</v>
      </c>
      <c r="R1421" s="296">
        <v>3</v>
      </c>
      <c r="S1421" s="296" t="s">
        <v>354</v>
      </c>
      <c r="T1421" s="298">
        <v>45037</v>
      </c>
      <c r="U1421" s="298">
        <v>45069</v>
      </c>
      <c r="V1421" s="296" t="s">
        <v>355</v>
      </c>
      <c r="W1421" s="296"/>
      <c r="X1421" s="296"/>
      <c r="Y1421" s="252"/>
    </row>
    <row r="1422" spans="1:25" ht="13.5" x14ac:dyDescent="0.15">
      <c r="A1422" s="296">
        <v>3708674</v>
      </c>
      <c r="B1422" s="296" t="s">
        <v>351</v>
      </c>
      <c r="C1422" s="296" t="s">
        <v>356</v>
      </c>
      <c r="D1422" s="296" t="s">
        <v>353</v>
      </c>
      <c r="E1422" s="296" t="s">
        <v>115</v>
      </c>
      <c r="F1422" s="296">
        <v>3</v>
      </c>
      <c r="G1422" s="296" t="s">
        <v>19</v>
      </c>
      <c r="H1422" s="296" t="s">
        <v>20</v>
      </c>
      <c r="I1422" s="296" t="s">
        <v>21</v>
      </c>
      <c r="J1422" s="296"/>
      <c r="K1422" s="296" t="s">
        <v>112</v>
      </c>
      <c r="L1422" s="296">
        <v>38</v>
      </c>
      <c r="M1422" s="296" t="s">
        <v>357</v>
      </c>
      <c r="N1422" s="297">
        <v>1135</v>
      </c>
      <c r="O1422" s="297">
        <v>1130</v>
      </c>
      <c r="P1422" s="392">
        <v>6000</v>
      </c>
      <c r="Q1422" s="296">
        <v>2</v>
      </c>
      <c r="R1422" s="296">
        <v>4</v>
      </c>
      <c r="S1422" s="296" t="s">
        <v>354</v>
      </c>
      <c r="T1422" s="298">
        <v>45037</v>
      </c>
      <c r="U1422" s="298">
        <v>45069</v>
      </c>
      <c r="V1422" s="296" t="s">
        <v>355</v>
      </c>
      <c r="W1422" s="296"/>
      <c r="X1422" s="296"/>
      <c r="Y1422" s="252"/>
    </row>
    <row r="1423" spans="1:25" ht="13.5" x14ac:dyDescent="0.15">
      <c r="A1423" s="296">
        <v>3708675</v>
      </c>
      <c r="B1423" s="296" t="s">
        <v>351</v>
      </c>
      <c r="C1423" s="296" t="s">
        <v>356</v>
      </c>
      <c r="D1423" s="296" t="s">
        <v>353</v>
      </c>
      <c r="E1423" s="296" t="s">
        <v>17</v>
      </c>
      <c r="F1423" s="296">
        <v>3</v>
      </c>
      <c r="G1423" s="296" t="s">
        <v>19</v>
      </c>
      <c r="H1423" s="296" t="s">
        <v>20</v>
      </c>
      <c r="I1423" s="296" t="s">
        <v>21</v>
      </c>
      <c r="J1423" s="296"/>
      <c r="K1423" s="296" t="s">
        <v>104</v>
      </c>
      <c r="L1423" s="296">
        <v>25</v>
      </c>
      <c r="M1423" s="296" t="s">
        <v>375</v>
      </c>
      <c r="N1423" s="297">
        <v>1100</v>
      </c>
      <c r="O1423" s="297">
        <v>1100</v>
      </c>
      <c r="P1423" s="392">
        <v>6000</v>
      </c>
      <c r="Q1423" s="296">
        <v>2</v>
      </c>
      <c r="R1423" s="296">
        <v>11</v>
      </c>
      <c r="S1423" s="296" t="s">
        <v>354</v>
      </c>
      <c r="T1423" s="298">
        <v>45037</v>
      </c>
      <c r="U1423" s="298">
        <v>45069</v>
      </c>
      <c r="V1423" s="296" t="s">
        <v>355</v>
      </c>
      <c r="W1423" s="296"/>
      <c r="X1423" s="296"/>
      <c r="Y1423" s="252"/>
    </row>
    <row r="1424" spans="1:25" ht="13.5" x14ac:dyDescent="0.15">
      <c r="A1424" s="296">
        <v>3708676</v>
      </c>
      <c r="B1424" s="296" t="s">
        <v>351</v>
      </c>
      <c r="C1424" s="296" t="s">
        <v>356</v>
      </c>
      <c r="D1424" s="296" t="s">
        <v>353</v>
      </c>
      <c r="E1424" s="296" t="s">
        <v>106</v>
      </c>
      <c r="F1424" s="296">
        <v>3</v>
      </c>
      <c r="G1424" s="296" t="s">
        <v>19</v>
      </c>
      <c r="H1424" s="296" t="s">
        <v>20</v>
      </c>
      <c r="I1424" s="296" t="s">
        <v>21</v>
      </c>
      <c r="J1424" s="296"/>
      <c r="K1424" s="296" t="s">
        <v>107</v>
      </c>
      <c r="L1424" s="296">
        <v>25</v>
      </c>
      <c r="M1424" s="296" t="s">
        <v>367</v>
      </c>
      <c r="N1424" s="297">
        <v>1040</v>
      </c>
      <c r="O1424" s="297">
        <v>1040</v>
      </c>
      <c r="P1424" s="392">
        <v>6000</v>
      </c>
      <c r="Q1424" s="296">
        <v>2</v>
      </c>
      <c r="R1424" s="296">
        <v>40</v>
      </c>
      <c r="S1424" s="296" t="s">
        <v>354</v>
      </c>
      <c r="T1424" s="298">
        <v>45037</v>
      </c>
      <c r="U1424" s="298">
        <v>45069</v>
      </c>
      <c r="V1424" s="296" t="s">
        <v>355</v>
      </c>
      <c r="W1424" s="296"/>
      <c r="X1424" s="296"/>
      <c r="Y1424" s="252"/>
    </row>
    <row r="1425" spans="1:25" ht="13.5" x14ac:dyDescent="0.15">
      <c r="A1425" s="296">
        <v>3708677</v>
      </c>
      <c r="B1425" s="296" t="s">
        <v>351</v>
      </c>
      <c r="C1425" s="296" t="s">
        <v>352</v>
      </c>
      <c r="D1425" s="296" t="s">
        <v>353</v>
      </c>
      <c r="E1425" s="296" t="s">
        <v>116</v>
      </c>
      <c r="F1425" s="296">
        <v>3</v>
      </c>
      <c r="G1425" s="296" t="s">
        <v>19</v>
      </c>
      <c r="H1425" s="296" t="s">
        <v>20</v>
      </c>
      <c r="I1425" s="296" t="s">
        <v>21</v>
      </c>
      <c r="J1425" s="296"/>
      <c r="K1425" s="296" t="s">
        <v>118</v>
      </c>
      <c r="L1425" s="296">
        <v>38</v>
      </c>
      <c r="M1425" s="296" t="s">
        <v>368</v>
      </c>
      <c r="N1425" s="297">
        <v>1005</v>
      </c>
      <c r="O1425" s="297">
        <v>1000</v>
      </c>
      <c r="P1425" s="392">
        <v>6000</v>
      </c>
      <c r="Q1425" s="296">
        <v>2</v>
      </c>
      <c r="R1425" s="296">
        <v>10</v>
      </c>
      <c r="S1425" s="296" t="s">
        <v>354</v>
      </c>
      <c r="T1425" s="298">
        <v>45037</v>
      </c>
      <c r="U1425" s="298">
        <v>45069</v>
      </c>
      <c r="V1425" s="296" t="s">
        <v>355</v>
      </c>
      <c r="W1425" s="296"/>
      <c r="X1425" s="296"/>
      <c r="Y1425" s="252"/>
    </row>
    <row r="1426" spans="1:25" ht="13.5" x14ac:dyDescent="0.15">
      <c r="A1426" s="296">
        <v>3708678</v>
      </c>
      <c r="B1426" s="296" t="s">
        <v>351</v>
      </c>
      <c r="C1426" s="296" t="s">
        <v>356</v>
      </c>
      <c r="D1426" s="296" t="s">
        <v>353</v>
      </c>
      <c r="E1426" s="296" t="s">
        <v>32</v>
      </c>
      <c r="F1426" s="296">
        <v>331</v>
      </c>
      <c r="G1426" s="296" t="s">
        <v>19</v>
      </c>
      <c r="H1426" s="296" t="s">
        <v>20</v>
      </c>
      <c r="I1426" s="296" t="s">
        <v>21</v>
      </c>
      <c r="J1426" s="296"/>
      <c r="K1426" s="296" t="s">
        <v>54</v>
      </c>
      <c r="L1426" s="296">
        <v>38</v>
      </c>
      <c r="M1426" s="296" t="s">
        <v>53</v>
      </c>
      <c r="N1426" s="297">
        <v>1580</v>
      </c>
      <c r="O1426" s="297">
        <v>1580</v>
      </c>
      <c r="P1426" s="392">
        <v>6000</v>
      </c>
      <c r="Q1426" s="296">
        <v>2</v>
      </c>
      <c r="R1426" s="296">
        <v>12</v>
      </c>
      <c r="S1426" s="296" t="s">
        <v>354</v>
      </c>
      <c r="T1426" s="298">
        <v>45037</v>
      </c>
      <c r="U1426" s="298">
        <v>45072</v>
      </c>
      <c r="V1426" s="296" t="s">
        <v>355</v>
      </c>
      <c r="W1426" s="296"/>
      <c r="X1426" s="296"/>
      <c r="Y1426" s="252"/>
    </row>
    <row r="1427" spans="1:25" ht="13.5" x14ac:dyDescent="0.15">
      <c r="A1427" s="296">
        <v>3708679</v>
      </c>
      <c r="B1427" s="296" t="s">
        <v>351</v>
      </c>
      <c r="C1427" s="296" t="s">
        <v>358</v>
      </c>
      <c r="D1427" s="296" t="s">
        <v>353</v>
      </c>
      <c r="E1427" s="296" t="s">
        <v>44</v>
      </c>
      <c r="F1427" s="296">
        <v>3</v>
      </c>
      <c r="G1427" s="296" t="s">
        <v>19</v>
      </c>
      <c r="H1427" s="296" t="s">
        <v>20</v>
      </c>
      <c r="I1427" s="296" t="s">
        <v>21</v>
      </c>
      <c r="J1427" s="296"/>
      <c r="K1427" s="296" t="s">
        <v>47</v>
      </c>
      <c r="L1427" s="296">
        <v>25</v>
      </c>
      <c r="M1427" s="296" t="s">
        <v>48</v>
      </c>
      <c r="N1427" s="296">
        <v>740</v>
      </c>
      <c r="O1427" s="296">
        <v>740</v>
      </c>
      <c r="P1427" s="392">
        <v>6000</v>
      </c>
      <c r="Q1427" s="296">
        <v>1</v>
      </c>
      <c r="R1427" s="296">
        <v>36</v>
      </c>
      <c r="S1427" s="296" t="s">
        <v>354</v>
      </c>
      <c r="T1427" s="298">
        <v>45037</v>
      </c>
      <c r="U1427" s="298">
        <v>45072</v>
      </c>
      <c r="V1427" s="296" t="s">
        <v>355</v>
      </c>
      <c r="W1427" s="296"/>
      <c r="X1427" s="296"/>
      <c r="Y1427" s="252"/>
    </row>
    <row r="1428" spans="1:25" ht="13.5" x14ac:dyDescent="0.15">
      <c r="A1428" s="296">
        <v>3708680</v>
      </c>
      <c r="B1428" s="296" t="s">
        <v>351</v>
      </c>
      <c r="C1428" s="296" t="s">
        <v>356</v>
      </c>
      <c r="D1428" s="296" t="s">
        <v>353</v>
      </c>
      <c r="E1428" s="296" t="s">
        <v>32</v>
      </c>
      <c r="F1428" s="296">
        <v>331</v>
      </c>
      <c r="G1428" s="296" t="s">
        <v>19</v>
      </c>
      <c r="H1428" s="296" t="s">
        <v>20</v>
      </c>
      <c r="I1428" s="296" t="s">
        <v>21</v>
      </c>
      <c r="J1428" s="296"/>
      <c r="K1428" s="296" t="s">
        <v>54</v>
      </c>
      <c r="L1428" s="296">
        <v>38</v>
      </c>
      <c r="M1428" s="296" t="s">
        <v>53</v>
      </c>
      <c r="N1428" s="297">
        <v>1330</v>
      </c>
      <c r="O1428" s="297">
        <v>1330</v>
      </c>
      <c r="P1428" s="392">
        <v>6000</v>
      </c>
      <c r="Q1428" s="296">
        <v>2</v>
      </c>
      <c r="R1428" s="296">
        <v>30</v>
      </c>
      <c r="S1428" s="296" t="s">
        <v>354</v>
      </c>
      <c r="T1428" s="298">
        <v>45037</v>
      </c>
      <c r="U1428" s="298">
        <v>45072</v>
      </c>
      <c r="V1428" s="296" t="s">
        <v>355</v>
      </c>
      <c r="W1428" s="296"/>
      <c r="X1428" s="296"/>
      <c r="Y1428" s="252"/>
    </row>
    <row r="1429" spans="1:25" ht="13.5" x14ac:dyDescent="0.15">
      <c r="A1429" s="296">
        <v>3708681</v>
      </c>
      <c r="B1429" s="296" t="s">
        <v>351</v>
      </c>
      <c r="C1429" s="296" t="s">
        <v>356</v>
      </c>
      <c r="D1429" s="296" t="s">
        <v>353</v>
      </c>
      <c r="E1429" s="296" t="s">
        <v>32</v>
      </c>
      <c r="F1429" s="296">
        <v>3</v>
      </c>
      <c r="G1429" s="296" t="s">
        <v>19</v>
      </c>
      <c r="H1429" s="296" t="s">
        <v>20</v>
      </c>
      <c r="I1429" s="296" t="s">
        <v>21</v>
      </c>
      <c r="J1429" s="296"/>
      <c r="K1429" s="296" t="s">
        <v>56</v>
      </c>
      <c r="L1429" s="296">
        <v>75</v>
      </c>
      <c r="M1429" s="296" t="s">
        <v>376</v>
      </c>
      <c r="N1429" s="297">
        <v>1330</v>
      </c>
      <c r="O1429" s="297">
        <v>1330</v>
      </c>
      <c r="P1429" s="392">
        <v>6000</v>
      </c>
      <c r="Q1429" s="296">
        <v>2</v>
      </c>
      <c r="R1429" s="296">
        <v>12</v>
      </c>
      <c r="S1429" s="296" t="s">
        <v>354</v>
      </c>
      <c r="T1429" s="298">
        <v>45037</v>
      </c>
      <c r="U1429" s="298">
        <v>45072</v>
      </c>
      <c r="V1429" s="296" t="s">
        <v>355</v>
      </c>
      <c r="W1429" s="296"/>
      <c r="X1429" s="296"/>
      <c r="Y1429" s="252"/>
    </row>
    <row r="1430" spans="1:25" ht="13.5" x14ac:dyDescent="0.15">
      <c r="A1430" s="296">
        <v>3708682</v>
      </c>
      <c r="B1430" s="296" t="s">
        <v>351</v>
      </c>
      <c r="C1430" s="296" t="s">
        <v>356</v>
      </c>
      <c r="D1430" s="296" t="s">
        <v>353</v>
      </c>
      <c r="E1430" s="296" t="s">
        <v>32</v>
      </c>
      <c r="F1430" s="296">
        <v>3</v>
      </c>
      <c r="G1430" s="296" t="s">
        <v>19</v>
      </c>
      <c r="H1430" s="296" t="s">
        <v>20</v>
      </c>
      <c r="I1430" s="296" t="s">
        <v>21</v>
      </c>
      <c r="J1430" s="296"/>
      <c r="K1430" s="296" t="s">
        <v>56</v>
      </c>
      <c r="L1430" s="296">
        <v>75</v>
      </c>
      <c r="M1430" s="296" t="s">
        <v>376</v>
      </c>
      <c r="N1430" s="297">
        <v>1330</v>
      </c>
      <c r="O1430" s="297">
        <v>1330</v>
      </c>
      <c r="P1430" s="392">
        <v>6000</v>
      </c>
      <c r="Q1430" s="296">
        <v>2</v>
      </c>
      <c r="R1430" s="296">
        <v>18</v>
      </c>
      <c r="S1430" s="296" t="s">
        <v>354</v>
      </c>
      <c r="T1430" s="298">
        <v>45037</v>
      </c>
      <c r="U1430" s="298">
        <v>45075</v>
      </c>
      <c r="V1430" s="296" t="s">
        <v>355</v>
      </c>
      <c r="W1430" s="296"/>
      <c r="X1430" s="296"/>
      <c r="Y1430" s="252"/>
    </row>
    <row r="1431" spans="1:25" ht="13.5" x14ac:dyDescent="0.15">
      <c r="A1431" s="296">
        <v>3708683</v>
      </c>
      <c r="B1431" s="296" t="s">
        <v>351</v>
      </c>
      <c r="C1431" s="296" t="s">
        <v>364</v>
      </c>
      <c r="D1431" s="296" t="s">
        <v>353</v>
      </c>
      <c r="E1431" s="296" t="s">
        <v>371</v>
      </c>
      <c r="F1431" s="296">
        <v>3</v>
      </c>
      <c r="G1431" s="296" t="s">
        <v>19</v>
      </c>
      <c r="H1431" s="296" t="s">
        <v>20</v>
      </c>
      <c r="I1431" s="296" t="s">
        <v>21</v>
      </c>
      <c r="J1431" s="296"/>
      <c r="K1431" s="296" t="s">
        <v>56</v>
      </c>
      <c r="L1431" s="296">
        <v>75</v>
      </c>
      <c r="M1431" s="296" t="s">
        <v>376</v>
      </c>
      <c r="N1431" s="297">
        <v>1110</v>
      </c>
      <c r="O1431" s="297">
        <v>1100</v>
      </c>
      <c r="P1431" s="392">
        <v>6000</v>
      </c>
      <c r="Q1431" s="296">
        <v>2</v>
      </c>
      <c r="R1431" s="296">
        <v>1</v>
      </c>
      <c r="S1431" s="296" t="s">
        <v>354</v>
      </c>
      <c r="T1431" s="298">
        <v>45037</v>
      </c>
      <c r="U1431" s="298">
        <v>45075</v>
      </c>
      <c r="V1431" s="296" t="s">
        <v>355</v>
      </c>
      <c r="W1431" s="296"/>
      <c r="X1431" s="296"/>
      <c r="Y1431" s="252"/>
    </row>
    <row r="1432" spans="1:25" ht="13.5" x14ac:dyDescent="0.15">
      <c r="A1432" s="296">
        <v>3708684</v>
      </c>
      <c r="B1432" s="296" t="s">
        <v>351</v>
      </c>
      <c r="C1432" s="296" t="s">
        <v>364</v>
      </c>
      <c r="D1432" s="296" t="s">
        <v>353</v>
      </c>
      <c r="E1432" s="296" t="s">
        <v>371</v>
      </c>
      <c r="F1432" s="296">
        <v>3</v>
      </c>
      <c r="G1432" s="296" t="s">
        <v>19</v>
      </c>
      <c r="H1432" s="296" t="s">
        <v>28</v>
      </c>
      <c r="I1432" s="296" t="s">
        <v>21</v>
      </c>
      <c r="J1432" s="296"/>
      <c r="K1432" s="296" t="s">
        <v>60</v>
      </c>
      <c r="L1432" s="296">
        <v>75</v>
      </c>
      <c r="M1432" s="296" t="s">
        <v>372</v>
      </c>
      <c r="N1432" s="297">
        <v>1040</v>
      </c>
      <c r="O1432" s="297">
        <v>1040</v>
      </c>
      <c r="P1432" s="392">
        <v>6000</v>
      </c>
      <c r="Q1432" s="296">
        <v>1</v>
      </c>
      <c r="R1432" s="296">
        <v>4</v>
      </c>
      <c r="S1432" s="296" t="s">
        <v>354</v>
      </c>
      <c r="T1432" s="298">
        <v>45037</v>
      </c>
      <c r="U1432" s="298">
        <v>45075</v>
      </c>
      <c r="V1432" s="296" t="s">
        <v>355</v>
      </c>
      <c r="W1432" s="296"/>
      <c r="X1432" s="296"/>
      <c r="Y1432" s="252"/>
    </row>
    <row r="1433" spans="1:25" ht="13.5" x14ac:dyDescent="0.15">
      <c r="A1433" s="296">
        <v>3708685</v>
      </c>
      <c r="B1433" s="296" t="s">
        <v>351</v>
      </c>
      <c r="C1433" s="296" t="s">
        <v>356</v>
      </c>
      <c r="D1433" s="296" t="s">
        <v>353</v>
      </c>
      <c r="E1433" s="296" t="s">
        <v>32</v>
      </c>
      <c r="F1433" s="296">
        <v>331</v>
      </c>
      <c r="G1433" s="296" t="s">
        <v>19</v>
      </c>
      <c r="H1433" s="296" t="s">
        <v>20</v>
      </c>
      <c r="I1433" s="296" t="s">
        <v>21</v>
      </c>
      <c r="J1433" s="296"/>
      <c r="K1433" s="296" t="s">
        <v>33</v>
      </c>
      <c r="L1433" s="296">
        <v>25</v>
      </c>
      <c r="M1433" s="296" t="s">
        <v>30</v>
      </c>
      <c r="N1433" s="297">
        <v>1330</v>
      </c>
      <c r="O1433" s="297">
        <v>1330</v>
      </c>
      <c r="P1433" s="392">
        <v>6000</v>
      </c>
      <c r="Q1433" s="296">
        <v>2</v>
      </c>
      <c r="R1433" s="296">
        <v>20</v>
      </c>
      <c r="S1433" s="296" t="s">
        <v>354</v>
      </c>
      <c r="T1433" s="298">
        <v>45037</v>
      </c>
      <c r="U1433" s="298">
        <v>45072</v>
      </c>
      <c r="V1433" s="296" t="s">
        <v>355</v>
      </c>
      <c r="W1433" s="296"/>
      <c r="X1433" s="296"/>
      <c r="Y1433" s="252"/>
    </row>
    <row r="1434" spans="1:25" ht="13.5" x14ac:dyDescent="0.15">
      <c r="A1434" s="296">
        <v>3708686</v>
      </c>
      <c r="B1434" s="296" t="s">
        <v>351</v>
      </c>
      <c r="C1434" s="296" t="s">
        <v>356</v>
      </c>
      <c r="D1434" s="296" t="s">
        <v>353</v>
      </c>
      <c r="E1434" s="296" t="s">
        <v>32</v>
      </c>
      <c r="F1434" s="296">
        <v>331</v>
      </c>
      <c r="G1434" s="296" t="s">
        <v>19</v>
      </c>
      <c r="H1434" s="296" t="s">
        <v>20</v>
      </c>
      <c r="I1434" s="296" t="s">
        <v>21</v>
      </c>
      <c r="J1434" s="296"/>
      <c r="K1434" s="296" t="s">
        <v>33</v>
      </c>
      <c r="L1434" s="296">
        <v>38</v>
      </c>
      <c r="M1434" s="296" t="s">
        <v>30</v>
      </c>
      <c r="N1434" s="297">
        <v>1330</v>
      </c>
      <c r="O1434" s="297">
        <v>1330</v>
      </c>
      <c r="P1434" s="392">
        <v>6000</v>
      </c>
      <c r="Q1434" s="296">
        <v>2</v>
      </c>
      <c r="R1434" s="296">
        <v>30</v>
      </c>
      <c r="S1434" s="296" t="s">
        <v>354</v>
      </c>
      <c r="T1434" s="298">
        <v>45037</v>
      </c>
      <c r="U1434" s="298">
        <v>45072</v>
      </c>
      <c r="V1434" s="296" t="s">
        <v>355</v>
      </c>
      <c r="W1434" s="296"/>
      <c r="X1434" s="296"/>
      <c r="Y1434" s="252"/>
    </row>
    <row r="1435" spans="1:25" ht="13.5" x14ac:dyDescent="0.15">
      <c r="A1435" s="296">
        <v>3708687</v>
      </c>
      <c r="B1435" s="296" t="s">
        <v>351</v>
      </c>
      <c r="C1435" s="296" t="s">
        <v>356</v>
      </c>
      <c r="D1435" s="296" t="s">
        <v>353</v>
      </c>
      <c r="E1435" s="296" t="s">
        <v>17</v>
      </c>
      <c r="F1435" s="296">
        <v>3</v>
      </c>
      <c r="G1435" s="296" t="s">
        <v>19</v>
      </c>
      <c r="H1435" s="296" t="s">
        <v>20</v>
      </c>
      <c r="I1435" s="296" t="s">
        <v>21</v>
      </c>
      <c r="J1435" s="296"/>
      <c r="K1435" s="296" t="s">
        <v>22</v>
      </c>
      <c r="L1435" s="296">
        <v>38</v>
      </c>
      <c r="M1435" s="296" t="s">
        <v>23</v>
      </c>
      <c r="N1435" s="297">
        <v>1037</v>
      </c>
      <c r="O1435" s="297">
        <v>1030</v>
      </c>
      <c r="P1435" s="392">
        <v>6000</v>
      </c>
      <c r="Q1435" s="296">
        <v>2</v>
      </c>
      <c r="R1435" s="296">
        <v>29</v>
      </c>
      <c r="S1435" s="296" t="s">
        <v>354</v>
      </c>
      <c r="T1435" s="298">
        <v>45037</v>
      </c>
      <c r="U1435" s="298">
        <v>45072</v>
      </c>
      <c r="V1435" s="296" t="s">
        <v>355</v>
      </c>
      <c r="W1435" s="296"/>
      <c r="X1435" s="296"/>
      <c r="Y1435" s="252"/>
    </row>
    <row r="1436" spans="1:25" ht="13.5" x14ac:dyDescent="0.15">
      <c r="A1436" s="296">
        <v>3708688</v>
      </c>
      <c r="B1436" s="296" t="s">
        <v>351</v>
      </c>
      <c r="C1436" s="296" t="s">
        <v>359</v>
      </c>
      <c r="D1436" s="296" t="s">
        <v>353</v>
      </c>
      <c r="E1436" s="296" t="s">
        <v>40</v>
      </c>
      <c r="F1436" s="296">
        <v>3</v>
      </c>
      <c r="G1436" s="296" t="s">
        <v>19</v>
      </c>
      <c r="H1436" s="296" t="s">
        <v>20</v>
      </c>
      <c r="I1436" s="296" t="s">
        <v>21</v>
      </c>
      <c r="J1436" s="296"/>
      <c r="K1436" s="296" t="s">
        <v>42</v>
      </c>
      <c r="L1436" s="296">
        <v>25</v>
      </c>
      <c r="M1436" s="296" t="s">
        <v>43</v>
      </c>
      <c r="N1436" s="297">
        <v>1045</v>
      </c>
      <c r="O1436" s="297">
        <v>1040</v>
      </c>
      <c r="P1436" s="392">
        <v>6000</v>
      </c>
      <c r="Q1436" s="296">
        <v>2</v>
      </c>
      <c r="R1436" s="296">
        <v>6</v>
      </c>
      <c r="S1436" s="296" t="s">
        <v>354</v>
      </c>
      <c r="T1436" s="298">
        <v>45037</v>
      </c>
      <c r="U1436" s="298">
        <v>45072</v>
      </c>
      <c r="V1436" s="296" t="s">
        <v>355</v>
      </c>
      <c r="W1436" s="296"/>
      <c r="X1436" s="296"/>
      <c r="Y1436" s="252"/>
    </row>
    <row r="1437" spans="1:25" ht="13.5" x14ac:dyDescent="0.15">
      <c r="A1437" s="296">
        <v>3708689</v>
      </c>
      <c r="B1437" s="296" t="s">
        <v>351</v>
      </c>
      <c r="C1437" s="296" t="s">
        <v>356</v>
      </c>
      <c r="D1437" s="296" t="s">
        <v>353</v>
      </c>
      <c r="E1437" s="296" t="s">
        <v>377</v>
      </c>
      <c r="F1437" s="296">
        <v>3</v>
      </c>
      <c r="G1437" s="296" t="s">
        <v>19</v>
      </c>
      <c r="H1437" s="296" t="s">
        <v>20</v>
      </c>
      <c r="I1437" s="296" t="s">
        <v>21</v>
      </c>
      <c r="J1437" s="296"/>
      <c r="K1437" s="296" t="s">
        <v>36</v>
      </c>
      <c r="L1437" s="296">
        <v>25</v>
      </c>
      <c r="M1437" s="296" t="s">
        <v>37</v>
      </c>
      <c r="N1437" s="296">
        <v>890</v>
      </c>
      <c r="O1437" s="296">
        <v>890</v>
      </c>
      <c r="P1437" s="392">
        <v>6000</v>
      </c>
      <c r="Q1437" s="296">
        <v>2</v>
      </c>
      <c r="R1437" s="296">
        <v>9</v>
      </c>
      <c r="S1437" s="296" t="s">
        <v>354</v>
      </c>
      <c r="T1437" s="298">
        <v>45037</v>
      </c>
      <c r="U1437" s="298">
        <v>45072</v>
      </c>
      <c r="V1437" s="296" t="s">
        <v>355</v>
      </c>
      <c r="W1437" s="296"/>
      <c r="X1437" s="296"/>
      <c r="Y1437" s="252"/>
    </row>
    <row r="1438" spans="1:25" ht="13.5" x14ac:dyDescent="0.15">
      <c r="A1438" s="296">
        <v>3708690</v>
      </c>
      <c r="B1438" s="296" t="s">
        <v>351</v>
      </c>
      <c r="C1438" s="296" t="s">
        <v>358</v>
      </c>
      <c r="D1438" s="296" t="s">
        <v>353</v>
      </c>
      <c r="E1438" s="296" t="s">
        <v>61</v>
      </c>
      <c r="F1438" s="296">
        <v>3313</v>
      </c>
      <c r="G1438" s="296" t="s">
        <v>19</v>
      </c>
      <c r="H1438" s="296" t="s">
        <v>20</v>
      </c>
      <c r="I1438" s="296" t="s">
        <v>21</v>
      </c>
      <c r="J1438" s="296"/>
      <c r="K1438" s="296" t="s">
        <v>62</v>
      </c>
      <c r="L1438" s="296">
        <v>38</v>
      </c>
      <c r="M1438" s="296" t="s">
        <v>63</v>
      </c>
      <c r="N1438" s="296">
        <v>750</v>
      </c>
      <c r="O1438" s="296">
        <v>750</v>
      </c>
      <c r="P1438" s="392">
        <v>6000</v>
      </c>
      <c r="Q1438" s="296">
        <v>2</v>
      </c>
      <c r="R1438" s="296">
        <v>40</v>
      </c>
      <c r="S1438" s="296" t="s">
        <v>354</v>
      </c>
      <c r="T1438" s="298">
        <v>45037</v>
      </c>
      <c r="U1438" s="298">
        <v>45077</v>
      </c>
      <c r="V1438" s="296" t="s">
        <v>355</v>
      </c>
      <c r="W1438" s="296"/>
      <c r="X1438" s="296"/>
      <c r="Y1438" s="252"/>
    </row>
    <row r="1439" spans="1:25" ht="13.5" x14ac:dyDescent="0.15">
      <c r="A1439" s="296">
        <v>3708691</v>
      </c>
      <c r="B1439" s="296" t="s">
        <v>351</v>
      </c>
      <c r="C1439" s="296" t="s">
        <v>363</v>
      </c>
      <c r="D1439" s="296" t="s">
        <v>353</v>
      </c>
      <c r="E1439" s="296" t="s">
        <v>65</v>
      </c>
      <c r="F1439" s="296">
        <v>3321</v>
      </c>
      <c r="G1439" s="296" t="s">
        <v>19</v>
      </c>
      <c r="H1439" s="296" t="s">
        <v>20</v>
      </c>
      <c r="I1439" s="296" t="s">
        <v>21</v>
      </c>
      <c r="J1439" s="296"/>
      <c r="K1439" s="296" t="s">
        <v>67</v>
      </c>
      <c r="L1439" s="296">
        <v>38</v>
      </c>
      <c r="M1439" s="296" t="s">
        <v>68</v>
      </c>
      <c r="N1439" s="297">
        <v>1336</v>
      </c>
      <c r="O1439" s="297">
        <v>1325</v>
      </c>
      <c r="P1439" s="392">
        <v>6000</v>
      </c>
      <c r="Q1439" s="296">
        <v>2</v>
      </c>
      <c r="R1439" s="296">
        <v>42</v>
      </c>
      <c r="S1439" s="296" t="s">
        <v>354</v>
      </c>
      <c r="T1439" s="298">
        <v>45037</v>
      </c>
      <c r="U1439" s="298">
        <v>45077</v>
      </c>
      <c r="V1439" s="296" t="s">
        <v>355</v>
      </c>
      <c r="W1439" s="296"/>
      <c r="X1439" s="296"/>
      <c r="Y1439" s="252"/>
    </row>
    <row r="1440" spans="1:25" ht="13.5" x14ac:dyDescent="0.15">
      <c r="A1440" s="296">
        <v>3708692</v>
      </c>
      <c r="B1440" s="296" t="s">
        <v>351</v>
      </c>
      <c r="C1440" s="296" t="s">
        <v>363</v>
      </c>
      <c r="D1440" s="296" t="s">
        <v>353</v>
      </c>
      <c r="E1440" s="296" t="s">
        <v>65</v>
      </c>
      <c r="F1440" s="296">
        <v>3321</v>
      </c>
      <c r="G1440" s="296" t="s">
        <v>19</v>
      </c>
      <c r="H1440" s="296" t="s">
        <v>20</v>
      </c>
      <c r="I1440" s="296" t="s">
        <v>21</v>
      </c>
      <c r="J1440" s="296"/>
      <c r="K1440" s="296" t="s">
        <v>70</v>
      </c>
      <c r="L1440" s="296">
        <v>38</v>
      </c>
      <c r="M1440" s="296" t="s">
        <v>71</v>
      </c>
      <c r="N1440" s="297">
        <v>1336</v>
      </c>
      <c r="O1440" s="297">
        <v>1325</v>
      </c>
      <c r="P1440" s="392">
        <v>6000</v>
      </c>
      <c r="Q1440" s="296">
        <v>2</v>
      </c>
      <c r="R1440" s="296">
        <v>42</v>
      </c>
      <c r="S1440" s="296" t="s">
        <v>354</v>
      </c>
      <c r="T1440" s="298">
        <v>45037</v>
      </c>
      <c r="U1440" s="298">
        <v>45077</v>
      </c>
      <c r="V1440" s="296" t="s">
        <v>355</v>
      </c>
      <c r="W1440" s="296"/>
      <c r="X1440" s="296"/>
      <c r="Y1440" s="252"/>
    </row>
    <row r="1441" spans="1:25" ht="13.5" x14ac:dyDescent="0.15">
      <c r="A1441" s="296">
        <v>3708693</v>
      </c>
      <c r="B1441" s="296" t="s">
        <v>351</v>
      </c>
      <c r="C1441" s="296" t="s">
        <v>352</v>
      </c>
      <c r="D1441" s="296" t="s">
        <v>353</v>
      </c>
      <c r="E1441" s="296" t="s">
        <v>155</v>
      </c>
      <c r="F1441" s="296" t="s">
        <v>158</v>
      </c>
      <c r="G1441" s="296" t="s">
        <v>19</v>
      </c>
      <c r="H1441" s="296" t="s">
        <v>20</v>
      </c>
      <c r="I1441" s="296" t="s">
        <v>143</v>
      </c>
      <c r="J1441" s="296"/>
      <c r="K1441" s="296" t="s">
        <v>156</v>
      </c>
      <c r="L1441" s="296">
        <v>25</v>
      </c>
      <c r="M1441" s="296" t="s">
        <v>157</v>
      </c>
      <c r="N1441" s="297">
        <v>1120</v>
      </c>
      <c r="O1441" s="297">
        <v>1120</v>
      </c>
      <c r="P1441" s="392">
        <v>6000</v>
      </c>
      <c r="Q1441" s="296">
        <v>2</v>
      </c>
      <c r="R1441" s="296">
        <v>6</v>
      </c>
      <c r="S1441" s="296" t="s">
        <v>354</v>
      </c>
      <c r="T1441" s="298">
        <v>45037</v>
      </c>
      <c r="U1441" s="298">
        <v>45061</v>
      </c>
      <c r="V1441" s="296" t="s">
        <v>355</v>
      </c>
      <c r="W1441" s="296"/>
      <c r="X1441" s="296"/>
      <c r="Y1441" s="252"/>
    </row>
    <row r="1442" spans="1:25" ht="13.5" x14ac:dyDescent="0.15">
      <c r="A1442" s="296">
        <v>3708698</v>
      </c>
      <c r="B1442" s="296" t="s">
        <v>351</v>
      </c>
      <c r="C1442" s="296" t="s">
        <v>356</v>
      </c>
      <c r="D1442" s="296" t="s">
        <v>353</v>
      </c>
      <c r="E1442" s="296" t="s">
        <v>255</v>
      </c>
      <c r="F1442" s="296">
        <v>3</v>
      </c>
      <c r="G1442" s="296" t="s">
        <v>19</v>
      </c>
      <c r="H1442" s="296" t="s">
        <v>20</v>
      </c>
      <c r="I1442" s="296" t="s">
        <v>256</v>
      </c>
      <c r="J1442" s="296"/>
      <c r="K1442" s="296" t="s">
        <v>257</v>
      </c>
      <c r="L1442" s="296">
        <v>100</v>
      </c>
      <c r="M1442" s="296" t="s">
        <v>258</v>
      </c>
      <c r="N1442" s="297">
        <v>1000</v>
      </c>
      <c r="O1442" s="297">
        <v>1000</v>
      </c>
      <c r="P1442" s="392">
        <v>6000</v>
      </c>
      <c r="Q1442" s="296">
        <v>2</v>
      </c>
      <c r="R1442" s="296">
        <v>6</v>
      </c>
      <c r="S1442" s="296" t="s">
        <v>354</v>
      </c>
      <c r="T1442" s="298">
        <v>45037</v>
      </c>
      <c r="U1442" s="298">
        <v>45061</v>
      </c>
      <c r="V1442" s="296" t="s">
        <v>355</v>
      </c>
      <c r="W1442" s="296"/>
      <c r="X1442" s="296"/>
      <c r="Y1442" s="252"/>
    </row>
    <row r="1443" spans="1:25" ht="13.5" x14ac:dyDescent="0.15">
      <c r="A1443" s="296">
        <v>3708699</v>
      </c>
      <c r="B1443" s="296" t="s">
        <v>351</v>
      </c>
      <c r="C1443" s="296" t="s">
        <v>356</v>
      </c>
      <c r="D1443" s="296" t="s">
        <v>353</v>
      </c>
      <c r="E1443" s="296" t="s">
        <v>255</v>
      </c>
      <c r="F1443" s="296">
        <v>3</v>
      </c>
      <c r="G1443" s="296" t="s">
        <v>19</v>
      </c>
      <c r="H1443" s="296" t="s">
        <v>20</v>
      </c>
      <c r="I1443" s="296" t="s">
        <v>256</v>
      </c>
      <c r="J1443" s="296"/>
      <c r="K1443" s="296" t="s">
        <v>257</v>
      </c>
      <c r="L1443" s="296">
        <v>125</v>
      </c>
      <c r="M1443" s="296" t="s">
        <v>258</v>
      </c>
      <c r="N1443" s="297">
        <v>1000</v>
      </c>
      <c r="O1443" s="297">
        <v>1000</v>
      </c>
      <c r="P1443" s="392">
        <v>6000</v>
      </c>
      <c r="Q1443" s="296">
        <v>2</v>
      </c>
      <c r="R1443" s="296">
        <v>6</v>
      </c>
      <c r="S1443" s="296" t="s">
        <v>354</v>
      </c>
      <c r="T1443" s="298">
        <v>45037</v>
      </c>
      <c r="U1443" s="298">
        <v>45061</v>
      </c>
      <c r="V1443" s="296" t="s">
        <v>355</v>
      </c>
      <c r="W1443" s="296"/>
      <c r="X1443" s="296"/>
      <c r="Y1443" s="252"/>
    </row>
    <row r="1444" spans="1:25" ht="13.5" x14ac:dyDescent="0.15">
      <c r="A1444" s="296">
        <v>3708700</v>
      </c>
      <c r="B1444" s="296" t="s">
        <v>351</v>
      </c>
      <c r="C1444" s="296" t="s">
        <v>356</v>
      </c>
      <c r="D1444" s="296" t="s">
        <v>353</v>
      </c>
      <c r="E1444" s="296" t="s">
        <v>255</v>
      </c>
      <c r="F1444" s="296">
        <v>3</v>
      </c>
      <c r="G1444" s="296" t="s">
        <v>19</v>
      </c>
      <c r="H1444" s="296" t="s">
        <v>20</v>
      </c>
      <c r="I1444" s="296" t="s">
        <v>256</v>
      </c>
      <c r="J1444" s="296"/>
      <c r="K1444" s="296" t="s">
        <v>257</v>
      </c>
      <c r="L1444" s="296">
        <v>188</v>
      </c>
      <c r="M1444" s="296" t="s">
        <v>258</v>
      </c>
      <c r="N1444" s="297">
        <v>1000</v>
      </c>
      <c r="O1444" s="297">
        <v>1000</v>
      </c>
      <c r="P1444" s="392">
        <v>6000</v>
      </c>
      <c r="Q1444" s="296">
        <v>2</v>
      </c>
      <c r="R1444" s="296">
        <v>6</v>
      </c>
      <c r="S1444" s="296" t="s">
        <v>354</v>
      </c>
      <c r="T1444" s="298">
        <v>45037</v>
      </c>
      <c r="U1444" s="298">
        <v>45061</v>
      </c>
      <c r="V1444" s="296" t="s">
        <v>355</v>
      </c>
      <c r="W1444" s="296"/>
      <c r="X1444" s="296"/>
      <c r="Y1444" s="252"/>
    </row>
    <row r="1445" spans="1:25" ht="13.5" x14ac:dyDescent="0.15">
      <c r="A1445" s="296">
        <v>3708701</v>
      </c>
      <c r="B1445" s="296" t="s">
        <v>351</v>
      </c>
      <c r="C1445" s="296" t="s">
        <v>364</v>
      </c>
      <c r="D1445" s="296" t="s">
        <v>353</v>
      </c>
      <c r="E1445" s="296" t="s">
        <v>162</v>
      </c>
      <c r="F1445" s="296">
        <v>3</v>
      </c>
      <c r="G1445" s="296" t="s">
        <v>19</v>
      </c>
      <c r="H1445" s="296" t="s">
        <v>20</v>
      </c>
      <c r="I1445" s="296" t="s">
        <v>143</v>
      </c>
      <c r="J1445" s="296"/>
      <c r="K1445" s="296" t="s">
        <v>163</v>
      </c>
      <c r="L1445" s="296">
        <v>38</v>
      </c>
      <c r="M1445" s="296" t="s">
        <v>164</v>
      </c>
      <c r="N1445" s="297">
        <v>1320</v>
      </c>
      <c r="O1445" s="297">
        <v>1320</v>
      </c>
      <c r="P1445" s="392">
        <v>6000</v>
      </c>
      <c r="Q1445" s="296">
        <v>2</v>
      </c>
      <c r="R1445" s="296">
        <v>5</v>
      </c>
      <c r="S1445" s="296" t="s">
        <v>354</v>
      </c>
      <c r="T1445" s="298">
        <v>45037</v>
      </c>
      <c r="U1445" s="298">
        <v>45061</v>
      </c>
      <c r="V1445" s="296" t="s">
        <v>355</v>
      </c>
      <c r="W1445" s="296"/>
      <c r="X1445" s="296"/>
      <c r="Y1445" s="252"/>
    </row>
    <row r="1446" spans="1:25" ht="13.5" x14ac:dyDescent="0.15">
      <c r="A1446" s="296">
        <v>3708702</v>
      </c>
      <c r="B1446" s="296" t="s">
        <v>351</v>
      </c>
      <c r="C1446" s="296" t="s">
        <v>364</v>
      </c>
      <c r="D1446" s="296" t="s">
        <v>353</v>
      </c>
      <c r="E1446" s="296" t="s">
        <v>162</v>
      </c>
      <c r="F1446" s="296">
        <v>3</v>
      </c>
      <c r="G1446" s="296" t="s">
        <v>19</v>
      </c>
      <c r="H1446" s="296" t="s">
        <v>20</v>
      </c>
      <c r="I1446" s="296" t="s">
        <v>143</v>
      </c>
      <c r="J1446" s="296"/>
      <c r="K1446" s="296" t="s">
        <v>163</v>
      </c>
      <c r="L1446" s="296">
        <v>50</v>
      </c>
      <c r="M1446" s="296" t="s">
        <v>164</v>
      </c>
      <c r="N1446" s="297">
        <v>1320</v>
      </c>
      <c r="O1446" s="297">
        <v>1320</v>
      </c>
      <c r="P1446" s="392">
        <v>6000</v>
      </c>
      <c r="Q1446" s="296">
        <v>2</v>
      </c>
      <c r="R1446" s="296">
        <v>2</v>
      </c>
      <c r="S1446" s="296" t="s">
        <v>354</v>
      </c>
      <c r="T1446" s="298">
        <v>45037</v>
      </c>
      <c r="U1446" s="298">
        <v>45061</v>
      </c>
      <c r="V1446" s="296" t="s">
        <v>355</v>
      </c>
      <c r="W1446" s="296"/>
      <c r="X1446" s="296"/>
      <c r="Y1446" s="252"/>
    </row>
    <row r="1447" spans="1:25" ht="13.5" x14ac:dyDescent="0.15">
      <c r="A1447" s="296">
        <v>3708718</v>
      </c>
      <c r="B1447" s="296" t="s">
        <v>351</v>
      </c>
      <c r="C1447" s="296" t="s">
        <v>352</v>
      </c>
      <c r="D1447" s="296" t="s">
        <v>353</v>
      </c>
      <c r="E1447" s="296" t="s">
        <v>116</v>
      </c>
      <c r="F1447" s="296">
        <v>3</v>
      </c>
      <c r="G1447" s="296" t="s">
        <v>19</v>
      </c>
      <c r="H1447" s="296" t="s">
        <v>20</v>
      </c>
      <c r="I1447" s="296" t="s">
        <v>143</v>
      </c>
      <c r="J1447" s="296"/>
      <c r="K1447" s="296" t="s">
        <v>144</v>
      </c>
      <c r="L1447" s="296">
        <v>75</v>
      </c>
      <c r="M1447" s="296" t="s">
        <v>145</v>
      </c>
      <c r="N1447" s="297">
        <v>1002</v>
      </c>
      <c r="O1447" s="297">
        <v>1000</v>
      </c>
      <c r="P1447" s="392">
        <v>6000</v>
      </c>
      <c r="Q1447" s="296">
        <v>2</v>
      </c>
      <c r="R1447" s="296">
        <v>2</v>
      </c>
      <c r="S1447" s="296" t="s">
        <v>354</v>
      </c>
      <c r="T1447" s="298">
        <v>45037</v>
      </c>
      <c r="U1447" s="298">
        <v>45069</v>
      </c>
      <c r="V1447" s="296" t="s">
        <v>355</v>
      </c>
      <c r="W1447" s="296"/>
      <c r="X1447" s="296"/>
      <c r="Y1447" s="252"/>
    </row>
    <row r="1448" spans="1:25" ht="13.5" x14ac:dyDescent="0.15">
      <c r="A1448" s="296">
        <v>3708723</v>
      </c>
      <c r="B1448" s="296" t="s">
        <v>351</v>
      </c>
      <c r="C1448" s="296" t="s">
        <v>352</v>
      </c>
      <c r="D1448" s="296" t="s">
        <v>353</v>
      </c>
      <c r="E1448" s="296" t="s">
        <v>116</v>
      </c>
      <c r="F1448" s="296">
        <v>3</v>
      </c>
      <c r="G1448" s="296" t="s">
        <v>19</v>
      </c>
      <c r="H1448" s="296" t="s">
        <v>20</v>
      </c>
      <c r="I1448" s="296" t="s">
        <v>143</v>
      </c>
      <c r="J1448" s="296"/>
      <c r="K1448" s="296" t="s">
        <v>1095</v>
      </c>
      <c r="L1448" s="296">
        <v>50</v>
      </c>
      <c r="M1448" s="296" t="s">
        <v>1096</v>
      </c>
      <c r="N1448" s="297">
        <v>1005</v>
      </c>
      <c r="O1448" s="297">
        <v>1000</v>
      </c>
      <c r="P1448" s="392">
        <v>6000</v>
      </c>
      <c r="Q1448" s="296">
        <v>2</v>
      </c>
      <c r="R1448" s="296">
        <v>1</v>
      </c>
      <c r="S1448" s="296" t="s">
        <v>354</v>
      </c>
      <c r="T1448" s="298">
        <v>45037</v>
      </c>
      <c r="U1448" s="298">
        <v>45065</v>
      </c>
      <c r="V1448" s="296" t="s">
        <v>355</v>
      </c>
      <c r="W1448" s="296"/>
      <c r="X1448" s="296"/>
      <c r="Y1448" s="252"/>
    </row>
    <row r="1449" spans="1:25" ht="13.5" x14ac:dyDescent="0.15">
      <c r="A1449" s="296">
        <v>3712044</v>
      </c>
      <c r="B1449" s="296" t="s">
        <v>351</v>
      </c>
      <c r="C1449" s="296" t="s">
        <v>352</v>
      </c>
      <c r="D1449" s="296" t="s">
        <v>353</v>
      </c>
      <c r="E1449" s="296" t="s">
        <v>116</v>
      </c>
      <c r="F1449" s="296">
        <v>3</v>
      </c>
      <c r="G1449" s="296" t="s">
        <v>19</v>
      </c>
      <c r="H1449" s="296" t="s">
        <v>20</v>
      </c>
      <c r="I1449" s="296" t="s">
        <v>21</v>
      </c>
      <c r="J1449" s="296"/>
      <c r="K1449" s="296" t="s">
        <v>118</v>
      </c>
      <c r="L1449" s="296">
        <v>38</v>
      </c>
      <c r="M1449" s="296" t="s">
        <v>368</v>
      </c>
      <c r="N1449" s="297">
        <v>1415</v>
      </c>
      <c r="O1449" s="297">
        <v>1410</v>
      </c>
      <c r="P1449" s="392">
        <v>6000</v>
      </c>
      <c r="Q1449" s="296">
        <v>2</v>
      </c>
      <c r="R1449" s="296">
        <v>10</v>
      </c>
      <c r="S1449" s="296" t="s">
        <v>354</v>
      </c>
      <c r="T1449" s="298">
        <v>45068</v>
      </c>
      <c r="U1449" s="298">
        <v>45103</v>
      </c>
      <c r="V1449" s="296" t="s">
        <v>355</v>
      </c>
      <c r="W1449" s="296"/>
      <c r="X1449" s="296"/>
    </row>
    <row r="1450" spans="1:25" ht="13.5" x14ac:dyDescent="0.15">
      <c r="A1450" s="296">
        <v>3712045</v>
      </c>
      <c r="B1450" s="296" t="s">
        <v>351</v>
      </c>
      <c r="C1450" s="296" t="s">
        <v>356</v>
      </c>
      <c r="D1450" s="296" t="s">
        <v>353</v>
      </c>
      <c r="E1450" s="296" t="s">
        <v>106</v>
      </c>
      <c r="F1450" s="296">
        <v>3</v>
      </c>
      <c r="G1450" s="296" t="s">
        <v>19</v>
      </c>
      <c r="H1450" s="296" t="s">
        <v>20</v>
      </c>
      <c r="I1450" s="296" t="s">
        <v>21</v>
      </c>
      <c r="J1450" s="296"/>
      <c r="K1450" s="296" t="s">
        <v>107</v>
      </c>
      <c r="L1450" s="296">
        <v>25</v>
      </c>
      <c r="M1450" s="296" t="s">
        <v>367</v>
      </c>
      <c r="N1450" s="297">
        <v>1240</v>
      </c>
      <c r="O1450" s="297">
        <v>1240</v>
      </c>
      <c r="P1450" s="392">
        <v>6000</v>
      </c>
      <c r="Q1450" s="296">
        <v>2</v>
      </c>
      <c r="R1450" s="296">
        <v>30</v>
      </c>
      <c r="S1450" s="296" t="s">
        <v>354</v>
      </c>
      <c r="T1450" s="298">
        <v>45068</v>
      </c>
      <c r="U1450" s="298">
        <v>45085</v>
      </c>
      <c r="V1450" s="296" t="s">
        <v>355</v>
      </c>
      <c r="W1450" s="296"/>
      <c r="X1450" s="296"/>
    </row>
    <row r="1451" spans="1:25" ht="13.5" x14ac:dyDescent="0.15">
      <c r="A1451" s="296">
        <v>3712046</v>
      </c>
      <c r="B1451" s="296" t="s">
        <v>351</v>
      </c>
      <c r="C1451" s="296" t="s">
        <v>356</v>
      </c>
      <c r="D1451" s="296" t="s">
        <v>353</v>
      </c>
      <c r="E1451" s="296" t="s">
        <v>106</v>
      </c>
      <c r="F1451" s="296">
        <v>3</v>
      </c>
      <c r="G1451" s="296" t="s">
        <v>19</v>
      </c>
      <c r="H1451" s="296" t="s">
        <v>20</v>
      </c>
      <c r="I1451" s="296" t="s">
        <v>21</v>
      </c>
      <c r="J1451" s="296"/>
      <c r="K1451" s="296" t="s">
        <v>107</v>
      </c>
      <c r="L1451" s="296">
        <v>38</v>
      </c>
      <c r="M1451" s="296" t="s">
        <v>367</v>
      </c>
      <c r="N1451" s="297">
        <v>1240</v>
      </c>
      <c r="O1451" s="297">
        <v>1240</v>
      </c>
      <c r="P1451" s="392">
        <v>6000</v>
      </c>
      <c r="Q1451" s="296">
        <v>2</v>
      </c>
      <c r="R1451" s="296">
        <v>3</v>
      </c>
      <c r="S1451" s="296" t="s">
        <v>354</v>
      </c>
      <c r="T1451" s="298">
        <v>45068</v>
      </c>
      <c r="U1451" s="298">
        <v>45085</v>
      </c>
      <c r="V1451" s="296" t="s">
        <v>355</v>
      </c>
      <c r="W1451" s="296"/>
      <c r="X1451" s="296"/>
    </row>
    <row r="1452" spans="1:25" ht="13.5" x14ac:dyDescent="0.15">
      <c r="A1452" s="296">
        <v>3712047</v>
      </c>
      <c r="B1452" s="296" t="s">
        <v>351</v>
      </c>
      <c r="C1452" s="296" t="s">
        <v>356</v>
      </c>
      <c r="D1452" s="296" t="s">
        <v>353</v>
      </c>
      <c r="E1452" s="296" t="s">
        <v>17</v>
      </c>
      <c r="F1452" s="296">
        <v>3</v>
      </c>
      <c r="G1452" s="296" t="s">
        <v>19</v>
      </c>
      <c r="H1452" s="296" t="s">
        <v>20</v>
      </c>
      <c r="I1452" s="296" t="s">
        <v>21</v>
      </c>
      <c r="J1452" s="296"/>
      <c r="K1452" s="296" t="s">
        <v>104</v>
      </c>
      <c r="L1452" s="296">
        <v>25</v>
      </c>
      <c r="M1452" s="296" t="s">
        <v>375</v>
      </c>
      <c r="N1452" s="297">
        <v>1050</v>
      </c>
      <c r="O1452" s="297">
        <v>1050</v>
      </c>
      <c r="P1452" s="392">
        <v>6000</v>
      </c>
      <c r="Q1452" s="296">
        <v>2</v>
      </c>
      <c r="R1452" s="296">
        <v>18</v>
      </c>
      <c r="S1452" s="296" t="s">
        <v>354</v>
      </c>
      <c r="T1452" s="298">
        <v>45068</v>
      </c>
      <c r="U1452" s="298">
        <v>45085</v>
      </c>
      <c r="V1452" s="296" t="s">
        <v>355</v>
      </c>
      <c r="W1452" s="296"/>
      <c r="X1452" s="296"/>
    </row>
    <row r="1453" spans="1:25" ht="13.5" x14ac:dyDescent="0.15">
      <c r="A1453" s="296">
        <v>3712048</v>
      </c>
      <c r="B1453" s="296" t="s">
        <v>351</v>
      </c>
      <c r="C1453" s="296" t="s">
        <v>356</v>
      </c>
      <c r="D1453" s="296" t="s">
        <v>353</v>
      </c>
      <c r="E1453" s="296" t="s">
        <v>106</v>
      </c>
      <c r="F1453" s="296">
        <v>3</v>
      </c>
      <c r="G1453" s="296" t="s">
        <v>19</v>
      </c>
      <c r="H1453" s="296" t="s">
        <v>20</v>
      </c>
      <c r="I1453" s="296" t="s">
        <v>21</v>
      </c>
      <c r="J1453" s="296"/>
      <c r="K1453" s="296" t="s">
        <v>107</v>
      </c>
      <c r="L1453" s="296">
        <v>25</v>
      </c>
      <c r="M1453" s="296" t="s">
        <v>367</v>
      </c>
      <c r="N1453" s="297">
        <v>1040</v>
      </c>
      <c r="O1453" s="297">
        <v>1040</v>
      </c>
      <c r="P1453" s="392">
        <v>6000</v>
      </c>
      <c r="Q1453" s="296">
        <v>2</v>
      </c>
      <c r="R1453" s="296">
        <v>30</v>
      </c>
      <c r="S1453" s="296" t="s">
        <v>354</v>
      </c>
      <c r="T1453" s="298">
        <v>45068</v>
      </c>
      <c r="U1453" s="298">
        <v>45089</v>
      </c>
      <c r="V1453" s="296" t="s">
        <v>355</v>
      </c>
      <c r="W1453" s="296"/>
      <c r="X1453" s="296"/>
    </row>
    <row r="1454" spans="1:25" ht="13.5" x14ac:dyDescent="0.15">
      <c r="A1454" s="296">
        <v>3712049</v>
      </c>
      <c r="B1454" s="296" t="s">
        <v>351</v>
      </c>
      <c r="C1454" s="296" t="s">
        <v>356</v>
      </c>
      <c r="D1454" s="296" t="s">
        <v>353</v>
      </c>
      <c r="E1454" s="296" t="s">
        <v>106</v>
      </c>
      <c r="F1454" s="296">
        <v>3</v>
      </c>
      <c r="G1454" s="296" t="s">
        <v>19</v>
      </c>
      <c r="H1454" s="296" t="s">
        <v>20</v>
      </c>
      <c r="I1454" s="296" t="s">
        <v>21</v>
      </c>
      <c r="J1454" s="296"/>
      <c r="K1454" s="296" t="s">
        <v>107</v>
      </c>
      <c r="L1454" s="296">
        <v>38</v>
      </c>
      <c r="M1454" s="296" t="s">
        <v>367</v>
      </c>
      <c r="N1454" s="297">
        <v>1040</v>
      </c>
      <c r="O1454" s="297">
        <v>1040</v>
      </c>
      <c r="P1454" s="392">
        <v>6000</v>
      </c>
      <c r="Q1454" s="296">
        <v>2</v>
      </c>
      <c r="R1454" s="296">
        <v>2</v>
      </c>
      <c r="S1454" s="296" t="s">
        <v>354</v>
      </c>
      <c r="T1454" s="298">
        <v>45068</v>
      </c>
      <c r="U1454" s="298">
        <v>45089</v>
      </c>
      <c r="V1454" s="296" t="s">
        <v>355</v>
      </c>
      <c r="W1454" s="296"/>
      <c r="X1454" s="296"/>
    </row>
    <row r="1455" spans="1:25" ht="13.5" x14ac:dyDescent="0.15">
      <c r="A1455" s="296">
        <v>3712050</v>
      </c>
      <c r="B1455" s="296" t="s">
        <v>431</v>
      </c>
      <c r="C1455" s="296" t="s">
        <v>356</v>
      </c>
      <c r="D1455" s="296" t="s">
        <v>353</v>
      </c>
      <c r="E1455" s="296" t="s">
        <v>130</v>
      </c>
      <c r="F1455" s="296">
        <v>3</v>
      </c>
      <c r="G1455" s="296" t="s">
        <v>265</v>
      </c>
      <c r="H1455" s="296" t="s">
        <v>20</v>
      </c>
      <c r="I1455" s="296" t="s">
        <v>21</v>
      </c>
      <c r="J1455" s="296"/>
      <c r="K1455" s="296" t="s">
        <v>435</v>
      </c>
      <c r="L1455" s="296">
        <v>25</v>
      </c>
      <c r="M1455" s="296" t="s">
        <v>436</v>
      </c>
      <c r="N1455" s="297">
        <v>1410</v>
      </c>
      <c r="O1455" s="297">
        <v>1410</v>
      </c>
      <c r="P1455" s="392">
        <v>6000</v>
      </c>
      <c r="Q1455" s="296">
        <v>2</v>
      </c>
      <c r="R1455" s="296">
        <v>10</v>
      </c>
      <c r="S1455" s="296" t="s">
        <v>354</v>
      </c>
      <c r="T1455" s="298">
        <v>45068</v>
      </c>
      <c r="U1455" s="298">
        <v>45089</v>
      </c>
      <c r="V1455" s="296" t="s">
        <v>355</v>
      </c>
      <c r="W1455" s="296"/>
      <c r="X1455" s="296"/>
    </row>
    <row r="1456" spans="1:25" ht="13.5" x14ac:dyDescent="0.15">
      <c r="A1456" s="296">
        <v>3712051</v>
      </c>
      <c r="B1456" s="296" t="s">
        <v>431</v>
      </c>
      <c r="C1456" s="296" t="s">
        <v>356</v>
      </c>
      <c r="D1456" s="296" t="s">
        <v>353</v>
      </c>
      <c r="E1456" s="296" t="s">
        <v>130</v>
      </c>
      <c r="F1456" s="296">
        <v>3</v>
      </c>
      <c r="G1456" s="296" t="s">
        <v>265</v>
      </c>
      <c r="H1456" s="296" t="s">
        <v>20</v>
      </c>
      <c r="I1456" s="296" t="s">
        <v>21</v>
      </c>
      <c r="J1456" s="296"/>
      <c r="K1456" s="296" t="s">
        <v>435</v>
      </c>
      <c r="L1456" s="296">
        <v>25</v>
      </c>
      <c r="M1456" s="296" t="s">
        <v>436</v>
      </c>
      <c r="N1456" s="297">
        <v>1410</v>
      </c>
      <c r="O1456" s="297">
        <v>1410</v>
      </c>
      <c r="P1456" s="392">
        <v>6000</v>
      </c>
      <c r="Q1456" s="296">
        <v>2</v>
      </c>
      <c r="R1456" s="296">
        <v>10</v>
      </c>
      <c r="S1456" s="296" t="s">
        <v>354</v>
      </c>
      <c r="T1456" s="298">
        <v>45068</v>
      </c>
      <c r="U1456" s="298">
        <v>45089</v>
      </c>
      <c r="V1456" s="296" t="s">
        <v>355</v>
      </c>
      <c r="W1456" s="296"/>
      <c r="X1456" s="296"/>
    </row>
    <row r="1457" spans="1:24" ht="13.5" x14ac:dyDescent="0.15">
      <c r="A1457" s="296">
        <v>3712052</v>
      </c>
      <c r="B1457" s="296" t="s">
        <v>351</v>
      </c>
      <c r="C1457" s="296" t="s">
        <v>358</v>
      </c>
      <c r="D1457" s="296" t="s">
        <v>353</v>
      </c>
      <c r="E1457" s="296" t="s">
        <v>120</v>
      </c>
      <c r="F1457" s="296">
        <v>3</v>
      </c>
      <c r="G1457" s="296" t="s">
        <v>19</v>
      </c>
      <c r="H1457" s="296" t="s">
        <v>20</v>
      </c>
      <c r="I1457" s="296" t="s">
        <v>21</v>
      </c>
      <c r="J1457" s="296"/>
      <c r="K1457" s="296" t="s">
        <v>118</v>
      </c>
      <c r="L1457" s="296">
        <v>125</v>
      </c>
      <c r="M1457" s="296" t="s">
        <v>121</v>
      </c>
      <c r="N1457" s="297">
        <v>1230</v>
      </c>
      <c r="O1457" s="297">
        <v>1225</v>
      </c>
      <c r="P1457" s="392">
        <v>6000</v>
      </c>
      <c r="Q1457" s="296">
        <v>2</v>
      </c>
      <c r="R1457" s="296">
        <v>2</v>
      </c>
      <c r="S1457" s="296" t="s">
        <v>354</v>
      </c>
      <c r="T1457" s="298">
        <v>45068</v>
      </c>
      <c r="U1457" s="298">
        <v>45089</v>
      </c>
      <c r="V1457" s="296" t="s">
        <v>355</v>
      </c>
      <c r="W1457" s="296"/>
      <c r="X1457" s="296"/>
    </row>
    <row r="1458" spans="1:24" ht="13.5" x14ac:dyDescent="0.15">
      <c r="A1458" s="296">
        <v>3712053</v>
      </c>
      <c r="B1458" s="296" t="s">
        <v>351</v>
      </c>
      <c r="C1458" s="296" t="s">
        <v>754</v>
      </c>
      <c r="D1458" s="296" t="s">
        <v>353</v>
      </c>
      <c r="E1458" s="296" t="s">
        <v>755</v>
      </c>
      <c r="F1458" s="296">
        <v>3</v>
      </c>
      <c r="G1458" s="296" t="s">
        <v>19</v>
      </c>
      <c r="H1458" s="296" t="s">
        <v>20</v>
      </c>
      <c r="I1458" s="296" t="s">
        <v>21</v>
      </c>
      <c r="J1458" s="296"/>
      <c r="K1458" s="296" t="s">
        <v>128</v>
      </c>
      <c r="L1458" s="296">
        <v>25</v>
      </c>
      <c r="M1458" s="296" t="s">
        <v>756</v>
      </c>
      <c r="N1458" s="297">
        <v>1155</v>
      </c>
      <c r="O1458" s="297">
        <v>1150</v>
      </c>
      <c r="P1458" s="392">
        <v>6000</v>
      </c>
      <c r="Q1458" s="296">
        <v>2</v>
      </c>
      <c r="R1458" s="296">
        <v>2</v>
      </c>
      <c r="S1458" s="296" t="s">
        <v>354</v>
      </c>
      <c r="T1458" s="298">
        <v>45068</v>
      </c>
      <c r="U1458" s="298">
        <v>45089</v>
      </c>
      <c r="V1458" s="296" t="s">
        <v>355</v>
      </c>
      <c r="W1458" s="296"/>
      <c r="X1458" s="296"/>
    </row>
    <row r="1459" spans="1:24" ht="13.5" x14ac:dyDescent="0.15">
      <c r="A1459" s="296">
        <v>3712054</v>
      </c>
      <c r="B1459" s="296" t="s">
        <v>351</v>
      </c>
      <c r="C1459" s="296" t="s">
        <v>356</v>
      </c>
      <c r="D1459" s="296" t="s">
        <v>353</v>
      </c>
      <c r="E1459" s="296" t="s">
        <v>115</v>
      </c>
      <c r="F1459" s="296">
        <v>3</v>
      </c>
      <c r="G1459" s="296" t="s">
        <v>19</v>
      </c>
      <c r="H1459" s="296" t="s">
        <v>20</v>
      </c>
      <c r="I1459" s="296" t="s">
        <v>21</v>
      </c>
      <c r="J1459" s="296"/>
      <c r="K1459" s="296" t="s">
        <v>112</v>
      </c>
      <c r="L1459" s="296">
        <v>38</v>
      </c>
      <c r="M1459" s="296" t="s">
        <v>357</v>
      </c>
      <c r="N1459" s="297">
        <v>1135</v>
      </c>
      <c r="O1459" s="297">
        <v>1130</v>
      </c>
      <c r="P1459" s="392">
        <v>6000</v>
      </c>
      <c r="Q1459" s="296">
        <v>2</v>
      </c>
      <c r="R1459" s="296">
        <v>2</v>
      </c>
      <c r="S1459" s="296" t="s">
        <v>354</v>
      </c>
      <c r="T1459" s="298">
        <v>45068</v>
      </c>
      <c r="U1459" s="298">
        <v>45093</v>
      </c>
      <c r="V1459" s="296" t="s">
        <v>355</v>
      </c>
      <c r="W1459" s="296"/>
      <c r="X1459" s="296"/>
    </row>
    <row r="1460" spans="1:24" ht="13.5" x14ac:dyDescent="0.15">
      <c r="A1460" s="296">
        <v>3712055</v>
      </c>
      <c r="B1460" s="296" t="s">
        <v>431</v>
      </c>
      <c r="C1460" s="296" t="s">
        <v>358</v>
      </c>
      <c r="D1460" s="296" t="s">
        <v>353</v>
      </c>
      <c r="E1460" s="296"/>
      <c r="F1460" s="296">
        <v>3</v>
      </c>
      <c r="G1460" s="296" t="s">
        <v>265</v>
      </c>
      <c r="H1460" s="296" t="s">
        <v>20</v>
      </c>
      <c r="I1460" s="296" t="s">
        <v>21</v>
      </c>
      <c r="J1460" s="296"/>
      <c r="K1460" s="296" t="s">
        <v>118</v>
      </c>
      <c r="L1460" s="296">
        <v>25</v>
      </c>
      <c r="M1460" s="296" t="s">
        <v>119</v>
      </c>
      <c r="N1460" s="297">
        <v>1100</v>
      </c>
      <c r="O1460" s="297">
        <v>1100</v>
      </c>
      <c r="P1460" s="392">
        <v>6000</v>
      </c>
      <c r="Q1460" s="296">
        <v>2</v>
      </c>
      <c r="R1460" s="296">
        <v>45</v>
      </c>
      <c r="S1460" s="296" t="s">
        <v>354</v>
      </c>
      <c r="T1460" s="298">
        <v>45068</v>
      </c>
      <c r="U1460" s="298">
        <v>45093</v>
      </c>
      <c r="V1460" s="296" t="s">
        <v>355</v>
      </c>
      <c r="W1460" s="296"/>
      <c r="X1460" s="296"/>
    </row>
    <row r="1461" spans="1:24" ht="13.5" x14ac:dyDescent="0.15">
      <c r="A1461" s="296">
        <v>3712056</v>
      </c>
      <c r="B1461" s="296" t="s">
        <v>351</v>
      </c>
      <c r="C1461" s="296" t="s">
        <v>352</v>
      </c>
      <c r="D1461" s="296" t="s">
        <v>353</v>
      </c>
      <c r="E1461" s="296" t="s">
        <v>116</v>
      </c>
      <c r="F1461" s="296">
        <v>3</v>
      </c>
      <c r="G1461" s="296" t="s">
        <v>19</v>
      </c>
      <c r="H1461" s="296" t="s">
        <v>20</v>
      </c>
      <c r="I1461" s="296" t="s">
        <v>21</v>
      </c>
      <c r="J1461" s="296"/>
      <c r="K1461" s="296" t="s">
        <v>118</v>
      </c>
      <c r="L1461" s="296">
        <v>38</v>
      </c>
      <c r="M1461" s="296" t="s">
        <v>368</v>
      </c>
      <c r="N1461" s="297">
        <v>1005</v>
      </c>
      <c r="O1461" s="297">
        <v>1000</v>
      </c>
      <c r="P1461" s="392">
        <v>6000</v>
      </c>
      <c r="Q1461" s="296">
        <v>2</v>
      </c>
      <c r="R1461" s="296">
        <v>10</v>
      </c>
      <c r="S1461" s="296" t="s">
        <v>354</v>
      </c>
      <c r="T1461" s="298">
        <v>45068</v>
      </c>
      <c r="U1461" s="298">
        <v>45093</v>
      </c>
      <c r="V1461" s="296" t="s">
        <v>355</v>
      </c>
      <c r="W1461" s="296"/>
      <c r="X1461" s="296"/>
    </row>
    <row r="1462" spans="1:24" ht="13.5" x14ac:dyDescent="0.15">
      <c r="A1462" s="296">
        <v>3712057</v>
      </c>
      <c r="B1462" s="296" t="s">
        <v>351</v>
      </c>
      <c r="C1462" s="296" t="s">
        <v>356</v>
      </c>
      <c r="D1462" s="296" t="s">
        <v>353</v>
      </c>
      <c r="E1462" s="296" t="s">
        <v>114</v>
      </c>
      <c r="F1462" s="296">
        <v>3</v>
      </c>
      <c r="G1462" s="296" t="s">
        <v>19</v>
      </c>
      <c r="H1462" s="296" t="s">
        <v>20</v>
      </c>
      <c r="I1462" s="296" t="s">
        <v>21</v>
      </c>
      <c r="J1462" s="296"/>
      <c r="K1462" s="296" t="s">
        <v>112</v>
      </c>
      <c r="L1462" s="296">
        <v>25</v>
      </c>
      <c r="M1462" s="296" t="s">
        <v>357</v>
      </c>
      <c r="N1462" s="296">
        <v>640</v>
      </c>
      <c r="O1462" s="296">
        <v>640</v>
      </c>
      <c r="P1462" s="392">
        <v>6000</v>
      </c>
      <c r="Q1462" s="296">
        <v>2</v>
      </c>
      <c r="R1462" s="296">
        <v>12</v>
      </c>
      <c r="S1462" s="296" t="s">
        <v>354</v>
      </c>
      <c r="T1462" s="298">
        <v>45068</v>
      </c>
      <c r="U1462" s="298">
        <v>45093</v>
      </c>
      <c r="V1462" s="296" t="s">
        <v>355</v>
      </c>
      <c r="W1462" s="296"/>
      <c r="X1462" s="296"/>
    </row>
    <row r="1463" spans="1:24" ht="13.5" x14ac:dyDescent="0.15">
      <c r="A1463" s="296">
        <v>3712059</v>
      </c>
      <c r="B1463" s="296" t="s">
        <v>351</v>
      </c>
      <c r="C1463" s="296" t="s">
        <v>358</v>
      </c>
      <c r="D1463" s="296" t="s">
        <v>353</v>
      </c>
      <c r="E1463" s="296" t="s">
        <v>90</v>
      </c>
      <c r="F1463" s="296">
        <v>3</v>
      </c>
      <c r="G1463" s="296" t="s">
        <v>19</v>
      </c>
      <c r="H1463" s="296" t="s">
        <v>20</v>
      </c>
      <c r="I1463" s="296" t="s">
        <v>21</v>
      </c>
      <c r="J1463" s="296"/>
      <c r="K1463" s="296" t="s">
        <v>88</v>
      </c>
      <c r="L1463" s="296">
        <v>75</v>
      </c>
      <c r="M1463" s="296" t="s">
        <v>361</v>
      </c>
      <c r="N1463" s="296">
        <v>620</v>
      </c>
      <c r="O1463" s="296">
        <v>620</v>
      </c>
      <c r="P1463" s="392">
        <v>6000</v>
      </c>
      <c r="Q1463" s="296">
        <v>2</v>
      </c>
      <c r="R1463" s="296">
        <v>20</v>
      </c>
      <c r="S1463" s="296" t="s">
        <v>354</v>
      </c>
      <c r="T1463" s="298">
        <v>45068</v>
      </c>
      <c r="U1463" s="298">
        <v>45093</v>
      </c>
      <c r="V1463" s="296" t="s">
        <v>355</v>
      </c>
      <c r="W1463" s="296"/>
      <c r="X1463" s="296"/>
    </row>
    <row r="1464" spans="1:24" ht="13.5" x14ac:dyDescent="0.15">
      <c r="A1464" s="296">
        <v>3712060</v>
      </c>
      <c r="B1464" s="296" t="s">
        <v>351</v>
      </c>
      <c r="C1464" s="296" t="s">
        <v>356</v>
      </c>
      <c r="D1464" s="296" t="s">
        <v>353</v>
      </c>
      <c r="E1464" s="296" t="s">
        <v>83</v>
      </c>
      <c r="F1464" s="296" t="s">
        <v>86</v>
      </c>
      <c r="G1464" s="296" t="s">
        <v>19</v>
      </c>
      <c r="H1464" s="296" t="s">
        <v>20</v>
      </c>
      <c r="I1464" s="296" t="s">
        <v>21</v>
      </c>
      <c r="J1464" s="296"/>
      <c r="K1464" s="296" t="s">
        <v>84</v>
      </c>
      <c r="L1464" s="296">
        <v>38</v>
      </c>
      <c r="M1464" s="296" t="s">
        <v>85</v>
      </c>
      <c r="N1464" s="297">
        <v>1265</v>
      </c>
      <c r="O1464" s="297">
        <v>1265</v>
      </c>
      <c r="P1464" s="392">
        <v>6000</v>
      </c>
      <c r="Q1464" s="296">
        <v>2</v>
      </c>
      <c r="R1464" s="296">
        <v>36</v>
      </c>
      <c r="S1464" s="296" t="s">
        <v>354</v>
      </c>
      <c r="T1464" s="298">
        <v>45068</v>
      </c>
      <c r="U1464" s="298">
        <v>45093</v>
      </c>
      <c r="V1464" s="296" t="s">
        <v>355</v>
      </c>
      <c r="W1464" s="296"/>
      <c r="X1464" s="296"/>
    </row>
    <row r="1465" spans="1:24" ht="13.5" x14ac:dyDescent="0.15">
      <c r="A1465" s="296">
        <v>3712061</v>
      </c>
      <c r="B1465" s="296" t="s">
        <v>351</v>
      </c>
      <c r="C1465" s="296" t="s">
        <v>356</v>
      </c>
      <c r="D1465" s="296" t="s">
        <v>353</v>
      </c>
      <c r="E1465" s="296" t="s">
        <v>87</v>
      </c>
      <c r="F1465" s="296">
        <v>3</v>
      </c>
      <c r="G1465" s="296" t="s">
        <v>19</v>
      </c>
      <c r="H1465" s="296" t="s">
        <v>20</v>
      </c>
      <c r="I1465" s="296" t="s">
        <v>21</v>
      </c>
      <c r="J1465" s="296"/>
      <c r="K1465" s="296" t="s">
        <v>88</v>
      </c>
      <c r="L1465" s="296">
        <v>75</v>
      </c>
      <c r="M1465" s="296" t="s">
        <v>361</v>
      </c>
      <c r="N1465" s="296">
        <v>220</v>
      </c>
      <c r="O1465" s="296">
        <v>220</v>
      </c>
      <c r="P1465" s="392">
        <v>6000</v>
      </c>
      <c r="Q1465" s="296">
        <v>1</v>
      </c>
      <c r="R1465" s="296">
        <v>60</v>
      </c>
      <c r="S1465" s="296" t="s">
        <v>354</v>
      </c>
      <c r="T1465" s="298">
        <v>45068</v>
      </c>
      <c r="U1465" s="298">
        <v>45093</v>
      </c>
      <c r="V1465" s="296" t="s">
        <v>355</v>
      </c>
      <c r="W1465" s="296"/>
      <c r="X1465" s="296"/>
    </row>
    <row r="1466" spans="1:24" ht="13.5" x14ac:dyDescent="0.15">
      <c r="A1466" s="296">
        <v>3712062</v>
      </c>
      <c r="B1466" s="296" t="s">
        <v>351</v>
      </c>
      <c r="C1466" s="296" t="s">
        <v>358</v>
      </c>
      <c r="D1466" s="296" t="s">
        <v>353</v>
      </c>
      <c r="E1466" s="296" t="s">
        <v>362</v>
      </c>
      <c r="F1466" s="296">
        <v>3</v>
      </c>
      <c r="G1466" s="296" t="s">
        <v>19</v>
      </c>
      <c r="H1466" s="296" t="s">
        <v>20</v>
      </c>
      <c r="I1466" s="296" t="s">
        <v>21</v>
      </c>
      <c r="J1466" s="296"/>
      <c r="K1466" s="296" t="s">
        <v>88</v>
      </c>
      <c r="L1466" s="296">
        <v>125</v>
      </c>
      <c r="M1466" s="296" t="s">
        <v>361</v>
      </c>
      <c r="N1466" s="296">
        <v>150</v>
      </c>
      <c r="O1466" s="296">
        <v>150</v>
      </c>
      <c r="P1466" s="392">
        <v>6000</v>
      </c>
      <c r="Q1466" s="296">
        <v>1</v>
      </c>
      <c r="R1466" s="296">
        <v>76</v>
      </c>
      <c r="S1466" s="296" t="s">
        <v>354</v>
      </c>
      <c r="T1466" s="298">
        <v>45068</v>
      </c>
      <c r="U1466" s="298">
        <v>45093</v>
      </c>
      <c r="V1466" s="296" t="s">
        <v>355</v>
      </c>
      <c r="W1466" s="296"/>
      <c r="X1466" s="296"/>
    </row>
    <row r="1467" spans="1:24" ht="13.5" x14ac:dyDescent="0.15">
      <c r="A1467" s="296">
        <v>3712063</v>
      </c>
      <c r="B1467" s="296" t="s">
        <v>351</v>
      </c>
      <c r="C1467" s="296" t="s">
        <v>358</v>
      </c>
      <c r="D1467" s="296" t="s">
        <v>353</v>
      </c>
      <c r="E1467" s="296" t="s">
        <v>362</v>
      </c>
      <c r="F1467" s="296">
        <v>3</v>
      </c>
      <c r="G1467" s="296" t="s">
        <v>19</v>
      </c>
      <c r="H1467" s="296" t="s">
        <v>20</v>
      </c>
      <c r="I1467" s="296" t="s">
        <v>21</v>
      </c>
      <c r="J1467" s="296"/>
      <c r="K1467" s="296" t="s">
        <v>88</v>
      </c>
      <c r="L1467" s="296">
        <v>188</v>
      </c>
      <c r="M1467" s="296" t="s">
        <v>361</v>
      </c>
      <c r="N1467" s="297">
        <v>1130</v>
      </c>
      <c r="O1467" s="297">
        <v>1130</v>
      </c>
      <c r="P1467" s="392">
        <v>6000</v>
      </c>
      <c r="Q1467" s="296">
        <v>2</v>
      </c>
      <c r="R1467" s="296">
        <v>16</v>
      </c>
      <c r="S1467" s="296" t="s">
        <v>354</v>
      </c>
      <c r="T1467" s="298">
        <v>45068</v>
      </c>
      <c r="U1467" s="298">
        <v>45093</v>
      </c>
      <c r="V1467" s="296" t="s">
        <v>355</v>
      </c>
      <c r="W1467" s="296"/>
      <c r="X1467" s="296"/>
    </row>
    <row r="1468" spans="1:24" ht="13.5" x14ac:dyDescent="0.15">
      <c r="A1468" s="296">
        <v>3712064</v>
      </c>
      <c r="B1468" s="296" t="s">
        <v>351</v>
      </c>
      <c r="C1468" s="296" t="s">
        <v>358</v>
      </c>
      <c r="D1468" s="296" t="s">
        <v>353</v>
      </c>
      <c r="E1468" s="296" t="s">
        <v>362</v>
      </c>
      <c r="F1468" s="296">
        <v>3</v>
      </c>
      <c r="G1468" s="296" t="s">
        <v>19</v>
      </c>
      <c r="H1468" s="296" t="s">
        <v>20</v>
      </c>
      <c r="I1468" s="296" t="s">
        <v>21</v>
      </c>
      <c r="J1468" s="296"/>
      <c r="K1468" s="296" t="s">
        <v>88</v>
      </c>
      <c r="L1468" s="296">
        <v>100</v>
      </c>
      <c r="M1468" s="296" t="s">
        <v>361</v>
      </c>
      <c r="N1468" s="296">
        <v>330</v>
      </c>
      <c r="O1468" s="296">
        <v>330</v>
      </c>
      <c r="P1468" s="392">
        <v>6000</v>
      </c>
      <c r="Q1468" s="296">
        <v>1</v>
      </c>
      <c r="R1468" s="296">
        <v>72</v>
      </c>
      <c r="S1468" s="296" t="s">
        <v>354</v>
      </c>
      <c r="T1468" s="298">
        <v>45068</v>
      </c>
      <c r="U1468" s="298">
        <v>45093</v>
      </c>
      <c r="V1468" s="296" t="s">
        <v>355</v>
      </c>
      <c r="W1468" s="296"/>
      <c r="X1468" s="296"/>
    </row>
    <row r="1469" spans="1:24" ht="13.5" x14ac:dyDescent="0.15">
      <c r="A1469" s="296">
        <v>3712065</v>
      </c>
      <c r="B1469" s="296" t="s">
        <v>351</v>
      </c>
      <c r="C1469" s="296" t="s">
        <v>364</v>
      </c>
      <c r="D1469" s="296" t="s">
        <v>353</v>
      </c>
      <c r="E1469" s="296" t="s">
        <v>93</v>
      </c>
      <c r="F1469" s="296">
        <v>331</v>
      </c>
      <c r="G1469" s="296" t="s">
        <v>19</v>
      </c>
      <c r="H1469" s="296" t="s">
        <v>20</v>
      </c>
      <c r="I1469" s="296" t="s">
        <v>21</v>
      </c>
      <c r="J1469" s="296"/>
      <c r="K1469" s="296" t="s">
        <v>88</v>
      </c>
      <c r="L1469" s="296">
        <v>100</v>
      </c>
      <c r="M1469" s="296" t="s">
        <v>361</v>
      </c>
      <c r="N1469" s="296">
        <v>450</v>
      </c>
      <c r="O1469" s="296">
        <v>450</v>
      </c>
      <c r="P1469" s="392">
        <v>6000</v>
      </c>
      <c r="Q1469" s="296">
        <v>2</v>
      </c>
      <c r="R1469" s="296">
        <v>6</v>
      </c>
      <c r="S1469" s="296" t="s">
        <v>354</v>
      </c>
      <c r="T1469" s="298">
        <v>45068</v>
      </c>
      <c r="U1469" s="298">
        <v>45093</v>
      </c>
      <c r="V1469" s="296" t="s">
        <v>355</v>
      </c>
      <c r="W1469" s="296"/>
      <c r="X1469" s="296"/>
    </row>
    <row r="1470" spans="1:24" ht="13.5" x14ac:dyDescent="0.15">
      <c r="A1470" s="296">
        <v>3712066</v>
      </c>
      <c r="B1470" s="296" t="s">
        <v>351</v>
      </c>
      <c r="C1470" s="296" t="s">
        <v>364</v>
      </c>
      <c r="D1470" s="296" t="s">
        <v>353</v>
      </c>
      <c r="E1470" s="296" t="s">
        <v>93</v>
      </c>
      <c r="F1470" s="296">
        <v>331</v>
      </c>
      <c r="G1470" s="296" t="s">
        <v>19</v>
      </c>
      <c r="H1470" s="296" t="s">
        <v>20</v>
      </c>
      <c r="I1470" s="296" t="s">
        <v>21</v>
      </c>
      <c r="J1470" s="296"/>
      <c r="K1470" s="296" t="s">
        <v>88</v>
      </c>
      <c r="L1470" s="296">
        <v>100</v>
      </c>
      <c r="M1470" s="296" t="s">
        <v>361</v>
      </c>
      <c r="N1470" s="296">
        <v>450</v>
      </c>
      <c r="O1470" s="296">
        <v>450</v>
      </c>
      <c r="P1470" s="392">
        <v>6000</v>
      </c>
      <c r="Q1470" s="296">
        <v>2</v>
      </c>
      <c r="R1470" s="296">
        <v>48</v>
      </c>
      <c r="S1470" s="296" t="s">
        <v>354</v>
      </c>
      <c r="T1470" s="298">
        <v>45068</v>
      </c>
      <c r="U1470" s="298">
        <v>45093</v>
      </c>
      <c r="V1470" s="296" t="s">
        <v>355</v>
      </c>
      <c r="W1470" s="296"/>
      <c r="X1470" s="296"/>
    </row>
    <row r="1471" spans="1:24" ht="13.5" x14ac:dyDescent="0.15">
      <c r="A1471" s="296">
        <v>3712067</v>
      </c>
      <c r="B1471" s="296" t="s">
        <v>351</v>
      </c>
      <c r="C1471" s="296" t="s">
        <v>356</v>
      </c>
      <c r="D1471" s="296" t="s">
        <v>353</v>
      </c>
      <c r="E1471" s="296" t="s">
        <v>32</v>
      </c>
      <c r="F1471" s="296">
        <v>331</v>
      </c>
      <c r="G1471" s="296" t="s">
        <v>19</v>
      </c>
      <c r="H1471" s="296" t="s">
        <v>20</v>
      </c>
      <c r="I1471" s="296" t="s">
        <v>21</v>
      </c>
      <c r="J1471" s="296"/>
      <c r="K1471" s="296" t="s">
        <v>54</v>
      </c>
      <c r="L1471" s="296">
        <v>38</v>
      </c>
      <c r="M1471" s="296" t="s">
        <v>53</v>
      </c>
      <c r="N1471" s="297">
        <v>1580</v>
      </c>
      <c r="O1471" s="297">
        <v>1580</v>
      </c>
      <c r="P1471" s="392">
        <v>6000</v>
      </c>
      <c r="Q1471" s="296">
        <v>2</v>
      </c>
      <c r="R1471" s="296">
        <v>8</v>
      </c>
      <c r="S1471" s="296" t="s">
        <v>354</v>
      </c>
      <c r="T1471" s="298">
        <v>45068</v>
      </c>
      <c r="U1471" s="298">
        <v>45100</v>
      </c>
      <c r="V1471" s="296" t="s">
        <v>355</v>
      </c>
      <c r="W1471" s="296"/>
      <c r="X1471" s="296"/>
    </row>
    <row r="1472" spans="1:24" ht="13.5" x14ac:dyDescent="0.15">
      <c r="A1472" s="296">
        <v>3712068</v>
      </c>
      <c r="B1472" s="296" t="s">
        <v>351</v>
      </c>
      <c r="C1472" s="296" t="s">
        <v>358</v>
      </c>
      <c r="D1472" s="296" t="s">
        <v>353</v>
      </c>
      <c r="E1472" s="296" t="s">
        <v>44</v>
      </c>
      <c r="F1472" s="296">
        <v>3</v>
      </c>
      <c r="G1472" s="296" t="s">
        <v>19</v>
      </c>
      <c r="H1472" s="296" t="s">
        <v>20</v>
      </c>
      <c r="I1472" s="296" t="s">
        <v>21</v>
      </c>
      <c r="J1472" s="296"/>
      <c r="K1472" s="296" t="s">
        <v>47</v>
      </c>
      <c r="L1472" s="296">
        <v>25</v>
      </c>
      <c r="M1472" s="296" t="s">
        <v>48</v>
      </c>
      <c r="N1472" s="296">
        <v>740</v>
      </c>
      <c r="O1472" s="296">
        <v>740</v>
      </c>
      <c r="P1472" s="392">
        <v>6000</v>
      </c>
      <c r="Q1472" s="296">
        <v>1</v>
      </c>
      <c r="R1472" s="296">
        <v>30</v>
      </c>
      <c r="S1472" s="296" t="s">
        <v>354</v>
      </c>
      <c r="T1472" s="298">
        <v>45068</v>
      </c>
      <c r="U1472" s="298">
        <v>45100</v>
      </c>
      <c r="V1472" s="296" t="s">
        <v>355</v>
      </c>
      <c r="W1472" s="296"/>
      <c r="X1472" s="296"/>
    </row>
    <row r="1473" spans="1:24" ht="13.5" x14ac:dyDescent="0.15">
      <c r="A1473" s="296">
        <v>3712069</v>
      </c>
      <c r="B1473" s="296" t="s">
        <v>351</v>
      </c>
      <c r="C1473" s="296" t="s">
        <v>356</v>
      </c>
      <c r="D1473" s="296" t="s">
        <v>353</v>
      </c>
      <c r="E1473" s="296" t="s">
        <v>32</v>
      </c>
      <c r="F1473" s="296">
        <v>331</v>
      </c>
      <c r="G1473" s="296" t="s">
        <v>19</v>
      </c>
      <c r="H1473" s="296" t="s">
        <v>20</v>
      </c>
      <c r="I1473" s="296" t="s">
        <v>21</v>
      </c>
      <c r="J1473" s="296"/>
      <c r="K1473" s="296" t="s">
        <v>54</v>
      </c>
      <c r="L1473" s="296">
        <v>38</v>
      </c>
      <c r="M1473" s="296" t="s">
        <v>53</v>
      </c>
      <c r="N1473" s="297">
        <v>1330</v>
      </c>
      <c r="O1473" s="297">
        <v>1330</v>
      </c>
      <c r="P1473" s="392">
        <v>6000</v>
      </c>
      <c r="Q1473" s="296">
        <v>2</v>
      </c>
      <c r="R1473" s="296">
        <v>30</v>
      </c>
      <c r="S1473" s="296" t="s">
        <v>354</v>
      </c>
      <c r="T1473" s="298">
        <v>45068</v>
      </c>
      <c r="U1473" s="298">
        <v>45100</v>
      </c>
      <c r="V1473" s="296" t="s">
        <v>355</v>
      </c>
      <c r="W1473" s="296"/>
      <c r="X1473" s="296"/>
    </row>
    <row r="1474" spans="1:24" ht="13.5" x14ac:dyDescent="0.15">
      <c r="A1474" s="296">
        <v>3712070</v>
      </c>
      <c r="B1474" s="296" t="s">
        <v>351</v>
      </c>
      <c r="C1474" s="296" t="s">
        <v>356</v>
      </c>
      <c r="D1474" s="296" t="s">
        <v>353</v>
      </c>
      <c r="E1474" s="296" t="s">
        <v>32</v>
      </c>
      <c r="F1474" s="296">
        <v>3</v>
      </c>
      <c r="G1474" s="296" t="s">
        <v>19</v>
      </c>
      <c r="H1474" s="296" t="s">
        <v>20</v>
      </c>
      <c r="I1474" s="296" t="s">
        <v>21</v>
      </c>
      <c r="J1474" s="296"/>
      <c r="K1474" s="296" t="s">
        <v>56</v>
      </c>
      <c r="L1474" s="296">
        <v>75</v>
      </c>
      <c r="M1474" s="296" t="s">
        <v>376</v>
      </c>
      <c r="N1474" s="297">
        <v>1330</v>
      </c>
      <c r="O1474" s="297">
        <v>1330</v>
      </c>
      <c r="P1474" s="392">
        <v>6000</v>
      </c>
      <c r="Q1474" s="296">
        <v>2</v>
      </c>
      <c r="R1474" s="296">
        <v>15</v>
      </c>
      <c r="S1474" s="296" t="s">
        <v>354</v>
      </c>
      <c r="T1474" s="298">
        <v>45068</v>
      </c>
      <c r="U1474" s="298">
        <v>45100</v>
      </c>
      <c r="V1474" s="296" t="s">
        <v>355</v>
      </c>
      <c r="W1474" s="296"/>
      <c r="X1474" s="296"/>
    </row>
    <row r="1475" spans="1:24" ht="13.5" x14ac:dyDescent="0.15">
      <c r="A1475" s="296">
        <v>3712071</v>
      </c>
      <c r="B1475" s="296" t="s">
        <v>431</v>
      </c>
      <c r="C1475" s="296" t="s">
        <v>358</v>
      </c>
      <c r="D1475" s="296" t="s">
        <v>353</v>
      </c>
      <c r="E1475" s="296" t="s">
        <v>1162</v>
      </c>
      <c r="F1475" s="296">
        <v>3</v>
      </c>
      <c r="G1475" s="296" t="s">
        <v>265</v>
      </c>
      <c r="H1475" s="296" t="s">
        <v>20</v>
      </c>
      <c r="I1475" s="296" t="s">
        <v>21</v>
      </c>
      <c r="J1475" s="296"/>
      <c r="K1475" s="296" t="s">
        <v>632</v>
      </c>
      <c r="L1475" s="296">
        <v>25</v>
      </c>
      <c r="M1475" s="296" t="s">
        <v>633</v>
      </c>
      <c r="N1475" s="297">
        <v>1100</v>
      </c>
      <c r="O1475" s="297">
        <v>1100</v>
      </c>
      <c r="P1475" s="392">
        <v>6000</v>
      </c>
      <c r="Q1475" s="296">
        <v>2</v>
      </c>
      <c r="R1475" s="296">
        <v>24</v>
      </c>
      <c r="S1475" s="296" t="s">
        <v>354</v>
      </c>
      <c r="T1475" s="298">
        <v>45068</v>
      </c>
      <c r="U1475" s="298">
        <v>45100</v>
      </c>
      <c r="V1475" s="296" t="s">
        <v>355</v>
      </c>
      <c r="W1475" s="296"/>
      <c r="X1475" s="296"/>
    </row>
    <row r="1476" spans="1:24" ht="13.5" x14ac:dyDescent="0.15">
      <c r="A1476" s="296">
        <v>3712072</v>
      </c>
      <c r="B1476" s="296" t="s">
        <v>351</v>
      </c>
      <c r="C1476" s="296" t="s">
        <v>356</v>
      </c>
      <c r="D1476" s="296" t="s">
        <v>353</v>
      </c>
      <c r="E1476" s="296" t="s">
        <v>32</v>
      </c>
      <c r="F1476" s="296">
        <v>331</v>
      </c>
      <c r="G1476" s="296" t="s">
        <v>19</v>
      </c>
      <c r="H1476" s="296" t="s">
        <v>20</v>
      </c>
      <c r="I1476" s="296" t="s">
        <v>21</v>
      </c>
      <c r="J1476" s="296"/>
      <c r="K1476" s="296" t="s">
        <v>33</v>
      </c>
      <c r="L1476" s="296">
        <v>38</v>
      </c>
      <c r="M1476" s="296" t="s">
        <v>30</v>
      </c>
      <c r="N1476" s="297">
        <v>1580</v>
      </c>
      <c r="O1476" s="297">
        <v>1580</v>
      </c>
      <c r="P1476" s="392">
        <v>6000</v>
      </c>
      <c r="Q1476" s="296">
        <v>2</v>
      </c>
      <c r="R1476" s="296">
        <v>8</v>
      </c>
      <c r="S1476" s="296" t="s">
        <v>354</v>
      </c>
      <c r="T1476" s="298">
        <v>45068</v>
      </c>
      <c r="U1476" s="298">
        <v>45098</v>
      </c>
      <c r="V1476" s="296" t="s">
        <v>355</v>
      </c>
      <c r="W1476" s="296"/>
      <c r="X1476" s="296"/>
    </row>
    <row r="1477" spans="1:24" ht="13.5" x14ac:dyDescent="0.15">
      <c r="A1477" s="296">
        <v>3712073</v>
      </c>
      <c r="B1477" s="296" t="s">
        <v>351</v>
      </c>
      <c r="C1477" s="296" t="s">
        <v>356</v>
      </c>
      <c r="D1477" s="296" t="s">
        <v>353</v>
      </c>
      <c r="E1477" s="296" t="s">
        <v>32</v>
      </c>
      <c r="F1477" s="296">
        <v>331</v>
      </c>
      <c r="G1477" s="296" t="s">
        <v>19</v>
      </c>
      <c r="H1477" s="296" t="s">
        <v>20</v>
      </c>
      <c r="I1477" s="296" t="s">
        <v>21</v>
      </c>
      <c r="J1477" s="296"/>
      <c r="K1477" s="296" t="s">
        <v>33</v>
      </c>
      <c r="L1477" s="296">
        <v>25</v>
      </c>
      <c r="M1477" s="296" t="s">
        <v>30</v>
      </c>
      <c r="N1477" s="297">
        <v>1330</v>
      </c>
      <c r="O1477" s="297">
        <v>1330</v>
      </c>
      <c r="P1477" s="392">
        <v>6000</v>
      </c>
      <c r="Q1477" s="296">
        <v>2</v>
      </c>
      <c r="R1477" s="296">
        <v>56</v>
      </c>
      <c r="S1477" s="296" t="s">
        <v>354</v>
      </c>
      <c r="T1477" s="298">
        <v>45068</v>
      </c>
      <c r="U1477" s="298">
        <v>45098</v>
      </c>
      <c r="V1477" s="296" t="s">
        <v>355</v>
      </c>
      <c r="W1477" s="296"/>
      <c r="X1477" s="296"/>
    </row>
    <row r="1478" spans="1:24" ht="13.5" x14ac:dyDescent="0.15">
      <c r="A1478" s="296">
        <v>3712074</v>
      </c>
      <c r="B1478" s="296" t="s">
        <v>351</v>
      </c>
      <c r="C1478" s="296" t="s">
        <v>356</v>
      </c>
      <c r="D1478" s="296" t="s">
        <v>353</v>
      </c>
      <c r="E1478" s="296" t="s">
        <v>17</v>
      </c>
      <c r="F1478" s="296">
        <v>331</v>
      </c>
      <c r="G1478" s="296" t="s">
        <v>19</v>
      </c>
      <c r="H1478" s="296" t="s">
        <v>20</v>
      </c>
      <c r="I1478" s="296" t="s">
        <v>21</v>
      </c>
      <c r="J1478" s="296"/>
      <c r="K1478" s="296" t="s">
        <v>29</v>
      </c>
      <c r="L1478" s="296">
        <v>38</v>
      </c>
      <c r="M1478" s="296" t="s">
        <v>30</v>
      </c>
      <c r="N1478" s="297">
        <v>1330</v>
      </c>
      <c r="O1478" s="297">
        <v>1330</v>
      </c>
      <c r="P1478" s="392">
        <v>6000</v>
      </c>
      <c r="Q1478" s="296">
        <v>2</v>
      </c>
      <c r="R1478" s="296">
        <v>4</v>
      </c>
      <c r="S1478" s="296" t="s">
        <v>354</v>
      </c>
      <c r="T1478" s="298">
        <v>45068</v>
      </c>
      <c r="U1478" s="298">
        <v>45098</v>
      </c>
      <c r="V1478" s="296" t="s">
        <v>355</v>
      </c>
      <c r="W1478" s="296"/>
      <c r="X1478" s="296"/>
    </row>
    <row r="1479" spans="1:24" ht="13.5" x14ac:dyDescent="0.15">
      <c r="A1479" s="296">
        <v>3712075</v>
      </c>
      <c r="B1479" s="296" t="s">
        <v>351</v>
      </c>
      <c r="C1479" s="296" t="s">
        <v>356</v>
      </c>
      <c r="D1479" s="296" t="s">
        <v>353</v>
      </c>
      <c r="E1479" s="296" t="s">
        <v>32</v>
      </c>
      <c r="F1479" s="296">
        <v>331</v>
      </c>
      <c r="G1479" s="296" t="s">
        <v>19</v>
      </c>
      <c r="H1479" s="296" t="s">
        <v>20</v>
      </c>
      <c r="I1479" s="296" t="s">
        <v>21</v>
      </c>
      <c r="J1479" s="296"/>
      <c r="K1479" s="296" t="s">
        <v>33</v>
      </c>
      <c r="L1479" s="296">
        <v>38</v>
      </c>
      <c r="M1479" s="296" t="s">
        <v>30</v>
      </c>
      <c r="N1479" s="297">
        <v>1330</v>
      </c>
      <c r="O1479" s="297">
        <v>1330</v>
      </c>
      <c r="P1479" s="392">
        <v>6000</v>
      </c>
      <c r="Q1479" s="296">
        <v>2</v>
      </c>
      <c r="R1479" s="296">
        <v>20</v>
      </c>
      <c r="S1479" s="296" t="s">
        <v>354</v>
      </c>
      <c r="T1479" s="298">
        <v>45068</v>
      </c>
      <c r="U1479" s="298">
        <v>45098</v>
      </c>
      <c r="V1479" s="296" t="s">
        <v>355</v>
      </c>
      <c r="W1479" s="296"/>
      <c r="X1479" s="296"/>
    </row>
    <row r="1480" spans="1:24" ht="13.5" x14ac:dyDescent="0.15">
      <c r="A1480" s="296">
        <v>3712076</v>
      </c>
      <c r="B1480" s="296" t="s">
        <v>351</v>
      </c>
      <c r="C1480" s="296" t="s">
        <v>359</v>
      </c>
      <c r="D1480" s="296" t="s">
        <v>353</v>
      </c>
      <c r="E1480" s="296" t="s">
        <v>40</v>
      </c>
      <c r="F1480" s="296">
        <v>3</v>
      </c>
      <c r="G1480" s="296" t="s">
        <v>19</v>
      </c>
      <c r="H1480" s="296" t="s">
        <v>20</v>
      </c>
      <c r="I1480" s="296" t="s">
        <v>21</v>
      </c>
      <c r="J1480" s="296"/>
      <c r="K1480" s="296" t="s">
        <v>42</v>
      </c>
      <c r="L1480" s="296">
        <v>25</v>
      </c>
      <c r="M1480" s="296" t="s">
        <v>43</v>
      </c>
      <c r="N1480" s="297">
        <v>1085</v>
      </c>
      <c r="O1480" s="297">
        <v>1080</v>
      </c>
      <c r="P1480" s="392">
        <v>6000</v>
      </c>
      <c r="Q1480" s="296">
        <v>2</v>
      </c>
      <c r="R1480" s="296">
        <v>4</v>
      </c>
      <c r="S1480" s="296" t="s">
        <v>354</v>
      </c>
      <c r="T1480" s="298">
        <v>45068</v>
      </c>
      <c r="U1480" s="298">
        <v>45100</v>
      </c>
      <c r="V1480" s="296" t="s">
        <v>355</v>
      </c>
      <c r="W1480" s="296"/>
      <c r="X1480" s="296"/>
    </row>
    <row r="1481" spans="1:24" ht="13.5" x14ac:dyDescent="0.15">
      <c r="A1481" s="296">
        <v>3712077</v>
      </c>
      <c r="B1481" s="296" t="s">
        <v>351</v>
      </c>
      <c r="C1481" s="296" t="s">
        <v>356</v>
      </c>
      <c r="D1481" s="296" t="s">
        <v>353</v>
      </c>
      <c r="E1481" s="296" t="s">
        <v>17</v>
      </c>
      <c r="F1481" s="296">
        <v>3</v>
      </c>
      <c r="G1481" s="296" t="s">
        <v>19</v>
      </c>
      <c r="H1481" s="296" t="s">
        <v>20</v>
      </c>
      <c r="I1481" s="296" t="s">
        <v>21</v>
      </c>
      <c r="J1481" s="296"/>
      <c r="K1481" s="296" t="s">
        <v>22</v>
      </c>
      <c r="L1481" s="296">
        <v>38</v>
      </c>
      <c r="M1481" s="296" t="s">
        <v>23</v>
      </c>
      <c r="N1481" s="297">
        <v>1057</v>
      </c>
      <c r="O1481" s="297">
        <v>1050</v>
      </c>
      <c r="P1481" s="392">
        <v>6000</v>
      </c>
      <c r="Q1481" s="296">
        <v>2</v>
      </c>
      <c r="R1481" s="296">
        <v>9</v>
      </c>
      <c r="S1481" s="296" t="s">
        <v>354</v>
      </c>
      <c r="T1481" s="298">
        <v>45068</v>
      </c>
      <c r="U1481" s="298">
        <v>45100</v>
      </c>
      <c r="V1481" s="296" t="s">
        <v>355</v>
      </c>
      <c r="W1481" s="296"/>
      <c r="X1481" s="296"/>
    </row>
    <row r="1482" spans="1:24" ht="13.5" x14ac:dyDescent="0.15">
      <c r="A1482" s="296">
        <v>3712078</v>
      </c>
      <c r="B1482" s="296" t="s">
        <v>351</v>
      </c>
      <c r="C1482" s="296" t="s">
        <v>359</v>
      </c>
      <c r="D1482" s="296" t="s">
        <v>353</v>
      </c>
      <c r="E1482" s="296" t="s">
        <v>40</v>
      </c>
      <c r="F1482" s="296">
        <v>3</v>
      </c>
      <c r="G1482" s="296" t="s">
        <v>19</v>
      </c>
      <c r="H1482" s="296" t="s">
        <v>20</v>
      </c>
      <c r="I1482" s="296" t="s">
        <v>21</v>
      </c>
      <c r="J1482" s="296"/>
      <c r="K1482" s="296" t="s">
        <v>42</v>
      </c>
      <c r="L1482" s="296">
        <v>25</v>
      </c>
      <c r="M1482" s="296" t="s">
        <v>43</v>
      </c>
      <c r="N1482" s="297">
        <v>1045</v>
      </c>
      <c r="O1482" s="297">
        <v>1040</v>
      </c>
      <c r="P1482" s="392">
        <v>6000</v>
      </c>
      <c r="Q1482" s="296">
        <v>2</v>
      </c>
      <c r="R1482" s="296">
        <v>20</v>
      </c>
      <c r="S1482" s="296" t="s">
        <v>354</v>
      </c>
      <c r="T1482" s="298">
        <v>45068</v>
      </c>
      <c r="U1482" s="298">
        <v>45100</v>
      </c>
      <c r="V1482" s="296" t="s">
        <v>355</v>
      </c>
      <c r="W1482" s="296"/>
      <c r="X1482" s="296"/>
    </row>
    <row r="1483" spans="1:24" ht="13.5" x14ac:dyDescent="0.15">
      <c r="A1483" s="296">
        <v>3712079</v>
      </c>
      <c r="B1483" s="296" t="s">
        <v>351</v>
      </c>
      <c r="C1483" s="296" t="s">
        <v>356</v>
      </c>
      <c r="D1483" s="296" t="s">
        <v>353</v>
      </c>
      <c r="E1483" s="296" t="s">
        <v>17</v>
      </c>
      <c r="F1483" s="296">
        <v>3</v>
      </c>
      <c r="G1483" s="296" t="s">
        <v>19</v>
      </c>
      <c r="H1483" s="296" t="s">
        <v>20</v>
      </c>
      <c r="I1483" s="296" t="s">
        <v>21</v>
      </c>
      <c r="J1483" s="296"/>
      <c r="K1483" s="296" t="s">
        <v>22</v>
      </c>
      <c r="L1483" s="296">
        <v>38</v>
      </c>
      <c r="M1483" s="296" t="s">
        <v>23</v>
      </c>
      <c r="N1483" s="297">
        <v>1037</v>
      </c>
      <c r="O1483" s="297">
        <v>1030</v>
      </c>
      <c r="P1483" s="392">
        <v>6000</v>
      </c>
      <c r="Q1483" s="296">
        <v>2</v>
      </c>
      <c r="R1483" s="296">
        <v>50</v>
      </c>
      <c r="S1483" s="296" t="s">
        <v>354</v>
      </c>
      <c r="T1483" s="298">
        <v>45068</v>
      </c>
      <c r="U1483" s="298">
        <v>45100</v>
      </c>
      <c r="V1483" s="296" t="s">
        <v>355</v>
      </c>
      <c r="W1483" s="296"/>
      <c r="X1483" s="296"/>
    </row>
    <row r="1484" spans="1:24" ht="13.5" x14ac:dyDescent="0.15">
      <c r="A1484" s="296">
        <v>3712080</v>
      </c>
      <c r="B1484" s="296" t="s">
        <v>351</v>
      </c>
      <c r="C1484" s="296" t="s">
        <v>356</v>
      </c>
      <c r="D1484" s="296" t="s">
        <v>353</v>
      </c>
      <c r="E1484" s="296" t="s">
        <v>17</v>
      </c>
      <c r="F1484" s="296">
        <v>3</v>
      </c>
      <c r="G1484" s="296" t="s">
        <v>19</v>
      </c>
      <c r="H1484" s="296" t="s">
        <v>20</v>
      </c>
      <c r="I1484" s="296" t="s">
        <v>21</v>
      </c>
      <c r="J1484" s="296"/>
      <c r="K1484" s="296" t="s">
        <v>22</v>
      </c>
      <c r="L1484" s="296">
        <v>38</v>
      </c>
      <c r="M1484" s="296" t="s">
        <v>23</v>
      </c>
      <c r="N1484" s="297">
        <v>1037</v>
      </c>
      <c r="O1484" s="297">
        <v>1030</v>
      </c>
      <c r="P1484" s="392">
        <v>6000</v>
      </c>
      <c r="Q1484" s="296">
        <v>2</v>
      </c>
      <c r="R1484" s="296">
        <v>50</v>
      </c>
      <c r="S1484" s="296" t="s">
        <v>354</v>
      </c>
      <c r="T1484" s="298">
        <v>45068</v>
      </c>
      <c r="U1484" s="298">
        <v>45105</v>
      </c>
      <c r="V1484" s="296" t="s">
        <v>355</v>
      </c>
      <c r="W1484" s="296"/>
      <c r="X1484" s="296"/>
    </row>
    <row r="1485" spans="1:24" ht="13.5" x14ac:dyDescent="0.15">
      <c r="A1485" s="296">
        <v>3712081</v>
      </c>
      <c r="B1485" s="296" t="s">
        <v>351</v>
      </c>
      <c r="C1485" s="296" t="s">
        <v>356</v>
      </c>
      <c r="D1485" s="296" t="s">
        <v>353</v>
      </c>
      <c r="E1485" s="296" t="s">
        <v>377</v>
      </c>
      <c r="F1485" s="296">
        <v>3</v>
      </c>
      <c r="G1485" s="296" t="s">
        <v>19</v>
      </c>
      <c r="H1485" s="296" t="s">
        <v>20</v>
      </c>
      <c r="I1485" s="296" t="s">
        <v>21</v>
      </c>
      <c r="J1485" s="296"/>
      <c r="K1485" s="296" t="s">
        <v>36</v>
      </c>
      <c r="L1485" s="296">
        <v>25</v>
      </c>
      <c r="M1485" s="296" t="s">
        <v>37</v>
      </c>
      <c r="N1485" s="296">
        <v>890</v>
      </c>
      <c r="O1485" s="296">
        <v>890</v>
      </c>
      <c r="P1485" s="392">
        <v>6000</v>
      </c>
      <c r="Q1485" s="296">
        <v>2</v>
      </c>
      <c r="R1485" s="296">
        <v>3</v>
      </c>
      <c r="S1485" s="296" t="s">
        <v>354</v>
      </c>
      <c r="T1485" s="298">
        <v>45068</v>
      </c>
      <c r="U1485" s="298">
        <v>45105</v>
      </c>
      <c r="V1485" s="296" t="s">
        <v>355</v>
      </c>
      <c r="W1485" s="296"/>
      <c r="X1485" s="296"/>
    </row>
    <row r="1486" spans="1:24" ht="13.5" x14ac:dyDescent="0.15">
      <c r="A1486" s="296">
        <v>3712082</v>
      </c>
      <c r="B1486" s="296" t="s">
        <v>351</v>
      </c>
      <c r="C1486" s="296" t="s">
        <v>358</v>
      </c>
      <c r="D1486" s="296" t="s">
        <v>353</v>
      </c>
      <c r="E1486" s="296" t="s">
        <v>61</v>
      </c>
      <c r="F1486" s="296">
        <v>3313</v>
      </c>
      <c r="G1486" s="296" t="s">
        <v>19</v>
      </c>
      <c r="H1486" s="296" t="s">
        <v>20</v>
      </c>
      <c r="I1486" s="296" t="s">
        <v>21</v>
      </c>
      <c r="J1486" s="296"/>
      <c r="K1486" s="296" t="s">
        <v>62</v>
      </c>
      <c r="L1486" s="296">
        <v>38</v>
      </c>
      <c r="M1486" s="296" t="s">
        <v>63</v>
      </c>
      <c r="N1486" s="296">
        <v>750</v>
      </c>
      <c r="O1486" s="296">
        <v>750</v>
      </c>
      <c r="P1486" s="392">
        <v>6000</v>
      </c>
      <c r="Q1486" s="296">
        <v>2</v>
      </c>
      <c r="R1486" s="296">
        <v>20</v>
      </c>
      <c r="S1486" s="296" t="s">
        <v>354</v>
      </c>
      <c r="T1486" s="298">
        <v>45068</v>
      </c>
      <c r="U1486" s="298">
        <v>45105</v>
      </c>
      <c r="V1486" s="296" t="s">
        <v>355</v>
      </c>
      <c r="W1486" s="296"/>
      <c r="X1486" s="296"/>
    </row>
    <row r="1487" spans="1:24" ht="13.5" x14ac:dyDescent="0.15">
      <c r="A1487" s="296">
        <v>3712083</v>
      </c>
      <c r="B1487" s="296" t="s">
        <v>351</v>
      </c>
      <c r="C1487" s="296" t="s">
        <v>358</v>
      </c>
      <c r="D1487" s="296" t="s">
        <v>353</v>
      </c>
      <c r="E1487" s="296" t="s">
        <v>61</v>
      </c>
      <c r="F1487" s="296">
        <v>331</v>
      </c>
      <c r="G1487" s="296" t="s">
        <v>19</v>
      </c>
      <c r="H1487" s="296" t="s">
        <v>20</v>
      </c>
      <c r="I1487" s="296" t="s">
        <v>21</v>
      </c>
      <c r="J1487" s="296"/>
      <c r="K1487" s="296" t="s">
        <v>62</v>
      </c>
      <c r="L1487" s="296">
        <v>38</v>
      </c>
      <c r="M1487" s="296" t="s">
        <v>63</v>
      </c>
      <c r="N1487" s="297">
        <v>1025</v>
      </c>
      <c r="O1487" s="297">
        <v>1020</v>
      </c>
      <c r="P1487" s="392">
        <v>6000</v>
      </c>
      <c r="Q1487" s="296">
        <v>2</v>
      </c>
      <c r="R1487" s="296">
        <v>8</v>
      </c>
      <c r="S1487" s="296" t="s">
        <v>354</v>
      </c>
      <c r="T1487" s="298">
        <v>45068</v>
      </c>
      <c r="U1487" s="298">
        <v>45105</v>
      </c>
      <c r="V1487" s="296" t="s">
        <v>355</v>
      </c>
      <c r="W1487" s="296"/>
      <c r="X1487" s="296"/>
    </row>
    <row r="1488" spans="1:24" ht="13.5" x14ac:dyDescent="0.15">
      <c r="A1488" s="296">
        <v>3712084</v>
      </c>
      <c r="B1488" s="296" t="s">
        <v>351</v>
      </c>
      <c r="C1488" s="296" t="s">
        <v>363</v>
      </c>
      <c r="D1488" s="296" t="s">
        <v>353</v>
      </c>
      <c r="E1488" s="296" t="s">
        <v>65</v>
      </c>
      <c r="F1488" s="296">
        <v>3321</v>
      </c>
      <c r="G1488" s="296" t="s">
        <v>19</v>
      </c>
      <c r="H1488" s="296" t="s">
        <v>20</v>
      </c>
      <c r="I1488" s="296" t="s">
        <v>21</v>
      </c>
      <c r="J1488" s="296"/>
      <c r="K1488" s="296" t="s">
        <v>67</v>
      </c>
      <c r="L1488" s="296">
        <v>38</v>
      </c>
      <c r="M1488" s="296" t="s">
        <v>68</v>
      </c>
      <c r="N1488" s="297">
        <v>1336</v>
      </c>
      <c r="O1488" s="297">
        <v>1325</v>
      </c>
      <c r="P1488" s="392">
        <v>6000</v>
      </c>
      <c r="Q1488" s="296">
        <v>2</v>
      </c>
      <c r="R1488" s="296">
        <v>50</v>
      </c>
      <c r="S1488" s="296" t="s">
        <v>354</v>
      </c>
      <c r="T1488" s="298">
        <v>45068</v>
      </c>
      <c r="U1488" s="298">
        <v>45105</v>
      </c>
      <c r="V1488" s="296" t="s">
        <v>355</v>
      </c>
      <c r="W1488" s="296"/>
      <c r="X1488" s="296"/>
    </row>
    <row r="1489" spans="1:25" ht="13.5" x14ac:dyDescent="0.15">
      <c r="A1489" s="296">
        <v>3712085</v>
      </c>
      <c r="B1489" s="296" t="s">
        <v>351</v>
      </c>
      <c r="C1489" s="296" t="s">
        <v>363</v>
      </c>
      <c r="D1489" s="296" t="s">
        <v>353</v>
      </c>
      <c r="E1489" s="296" t="s">
        <v>65</v>
      </c>
      <c r="F1489" s="296">
        <v>3321</v>
      </c>
      <c r="G1489" s="296" t="s">
        <v>19</v>
      </c>
      <c r="H1489" s="296" t="s">
        <v>20</v>
      </c>
      <c r="I1489" s="296" t="s">
        <v>21</v>
      </c>
      <c r="J1489" s="296"/>
      <c r="K1489" s="296" t="s">
        <v>70</v>
      </c>
      <c r="L1489" s="296">
        <v>38</v>
      </c>
      <c r="M1489" s="296" t="s">
        <v>71</v>
      </c>
      <c r="N1489" s="297">
        <v>1336</v>
      </c>
      <c r="O1489" s="297">
        <v>1325</v>
      </c>
      <c r="P1489" s="392">
        <v>6000</v>
      </c>
      <c r="Q1489" s="296">
        <v>2</v>
      </c>
      <c r="R1489" s="296">
        <v>50</v>
      </c>
      <c r="S1489" s="296" t="s">
        <v>354</v>
      </c>
      <c r="T1489" s="298">
        <v>45068</v>
      </c>
      <c r="U1489" s="298">
        <v>45105</v>
      </c>
      <c r="V1489" s="296" t="s">
        <v>355</v>
      </c>
      <c r="W1489" s="296"/>
      <c r="X1489" s="296"/>
    </row>
    <row r="1490" spans="1:25" ht="13.5" x14ac:dyDescent="0.15">
      <c r="A1490" s="296">
        <v>3712086</v>
      </c>
      <c r="B1490" s="296" t="s">
        <v>351</v>
      </c>
      <c r="C1490" s="296" t="s">
        <v>356</v>
      </c>
      <c r="D1490" s="296" t="s">
        <v>353</v>
      </c>
      <c r="E1490" s="296" t="s">
        <v>668</v>
      </c>
      <c r="F1490" s="296">
        <v>3</v>
      </c>
      <c r="G1490" s="296" t="s">
        <v>19</v>
      </c>
      <c r="H1490" s="296" t="s">
        <v>28</v>
      </c>
      <c r="I1490" s="296" t="s">
        <v>21</v>
      </c>
      <c r="J1490" s="296"/>
      <c r="K1490" s="296" t="s">
        <v>102</v>
      </c>
      <c r="L1490" s="296">
        <v>50</v>
      </c>
      <c r="M1490" s="296" t="s">
        <v>103</v>
      </c>
      <c r="N1490" s="297">
        <v>1050</v>
      </c>
      <c r="O1490" s="297">
        <v>1040</v>
      </c>
      <c r="P1490" s="392">
        <v>6000</v>
      </c>
      <c r="Q1490" s="296">
        <v>2</v>
      </c>
      <c r="R1490" s="296">
        <v>7</v>
      </c>
      <c r="S1490" s="296" t="s">
        <v>354</v>
      </c>
      <c r="T1490" s="298">
        <v>45068</v>
      </c>
      <c r="U1490" s="298">
        <v>45105</v>
      </c>
      <c r="V1490" s="296" t="s">
        <v>355</v>
      </c>
      <c r="W1490" s="296"/>
      <c r="X1490" s="296"/>
    </row>
    <row r="1491" spans="1:25" ht="13.5" x14ac:dyDescent="0.15">
      <c r="A1491" s="296">
        <v>3712087</v>
      </c>
      <c r="B1491" s="296" t="s">
        <v>351</v>
      </c>
      <c r="C1491" s="296" t="s">
        <v>356</v>
      </c>
      <c r="D1491" s="296" t="s">
        <v>353</v>
      </c>
      <c r="E1491" s="296" t="s">
        <v>106</v>
      </c>
      <c r="F1491" s="296">
        <v>3</v>
      </c>
      <c r="G1491" s="296" t="s">
        <v>19</v>
      </c>
      <c r="H1491" s="296" t="s">
        <v>20</v>
      </c>
      <c r="I1491" s="296" t="s">
        <v>21</v>
      </c>
      <c r="J1491" s="296"/>
      <c r="K1491" s="296" t="s">
        <v>107</v>
      </c>
      <c r="L1491" s="296">
        <v>25</v>
      </c>
      <c r="M1491" s="296" t="s">
        <v>367</v>
      </c>
      <c r="N1491" s="297">
        <v>1240</v>
      </c>
      <c r="O1491" s="297">
        <v>1240</v>
      </c>
      <c r="P1491" s="392">
        <v>6000</v>
      </c>
      <c r="Q1491" s="296">
        <v>2</v>
      </c>
      <c r="R1491" s="296">
        <v>30</v>
      </c>
      <c r="S1491" s="296" t="s">
        <v>354</v>
      </c>
      <c r="T1491" s="298">
        <v>45068</v>
      </c>
      <c r="U1491" s="298">
        <v>45105</v>
      </c>
      <c r="V1491" s="296" t="s">
        <v>355</v>
      </c>
      <c r="W1491" s="296"/>
      <c r="X1491" s="296"/>
    </row>
    <row r="1492" spans="1:25" ht="13.5" x14ac:dyDescent="0.15">
      <c r="A1492" s="296">
        <v>3712088</v>
      </c>
      <c r="B1492" s="296" t="s">
        <v>351</v>
      </c>
      <c r="C1492" s="296" t="s">
        <v>356</v>
      </c>
      <c r="D1492" s="296" t="s">
        <v>353</v>
      </c>
      <c r="E1492" s="296" t="s">
        <v>106</v>
      </c>
      <c r="F1492" s="296">
        <v>3</v>
      </c>
      <c r="G1492" s="296" t="s">
        <v>19</v>
      </c>
      <c r="H1492" s="296" t="s">
        <v>20</v>
      </c>
      <c r="I1492" s="296" t="s">
        <v>21</v>
      </c>
      <c r="J1492" s="296"/>
      <c r="K1492" s="296" t="s">
        <v>107</v>
      </c>
      <c r="L1492" s="296">
        <v>25</v>
      </c>
      <c r="M1492" s="296" t="s">
        <v>367</v>
      </c>
      <c r="N1492" s="297">
        <v>1040</v>
      </c>
      <c r="O1492" s="297">
        <v>1040</v>
      </c>
      <c r="P1492" s="392">
        <v>6000</v>
      </c>
      <c r="Q1492" s="296">
        <v>2</v>
      </c>
      <c r="R1492" s="296">
        <v>30</v>
      </c>
      <c r="S1492" s="296" t="s">
        <v>354</v>
      </c>
      <c r="T1492" s="298">
        <v>45068</v>
      </c>
      <c r="U1492" s="298">
        <v>45105</v>
      </c>
      <c r="V1492" s="296" t="s">
        <v>355</v>
      </c>
      <c r="W1492" s="296"/>
      <c r="X1492" s="296"/>
    </row>
    <row r="1493" spans="1:25" ht="13.5" x14ac:dyDescent="0.15">
      <c r="A1493" s="296">
        <v>3712091</v>
      </c>
      <c r="B1493" s="296" t="s">
        <v>351</v>
      </c>
      <c r="C1493" s="296" t="s">
        <v>364</v>
      </c>
      <c r="D1493" s="296" t="s">
        <v>353</v>
      </c>
      <c r="E1493" s="296" t="s">
        <v>162</v>
      </c>
      <c r="F1493" s="296">
        <v>3</v>
      </c>
      <c r="G1493" s="296" t="s">
        <v>19</v>
      </c>
      <c r="H1493" s="296" t="s">
        <v>20</v>
      </c>
      <c r="I1493" s="296" t="s">
        <v>143</v>
      </c>
      <c r="J1493" s="296"/>
      <c r="K1493" s="296" t="s">
        <v>163</v>
      </c>
      <c r="L1493" s="296">
        <v>38</v>
      </c>
      <c r="M1493" s="296" t="s">
        <v>164</v>
      </c>
      <c r="N1493" s="297">
        <v>1320</v>
      </c>
      <c r="O1493" s="297">
        <v>1320</v>
      </c>
      <c r="P1493" s="392">
        <v>6000</v>
      </c>
      <c r="Q1493" s="296">
        <v>2</v>
      </c>
      <c r="R1493" s="296">
        <v>5</v>
      </c>
      <c r="S1493" s="296" t="s">
        <v>354</v>
      </c>
      <c r="T1493" s="298">
        <v>45068</v>
      </c>
      <c r="U1493" s="298">
        <v>45100</v>
      </c>
      <c r="V1493" s="296" t="s">
        <v>355</v>
      </c>
      <c r="W1493" s="296"/>
      <c r="X1493" s="296"/>
    </row>
    <row r="1494" spans="1:25" ht="13.5" x14ac:dyDescent="0.15">
      <c r="A1494" s="296">
        <v>3712092</v>
      </c>
      <c r="B1494" s="296" t="s">
        <v>351</v>
      </c>
      <c r="C1494" s="296" t="s">
        <v>364</v>
      </c>
      <c r="D1494" s="296" t="s">
        <v>353</v>
      </c>
      <c r="E1494" s="296" t="s">
        <v>162</v>
      </c>
      <c r="F1494" s="296">
        <v>3</v>
      </c>
      <c r="G1494" s="296" t="s">
        <v>19</v>
      </c>
      <c r="H1494" s="296" t="s">
        <v>20</v>
      </c>
      <c r="I1494" s="296" t="s">
        <v>143</v>
      </c>
      <c r="J1494" s="296"/>
      <c r="K1494" s="296" t="s">
        <v>163</v>
      </c>
      <c r="L1494" s="296">
        <v>50</v>
      </c>
      <c r="M1494" s="296" t="s">
        <v>164</v>
      </c>
      <c r="N1494" s="297">
        <v>1320</v>
      </c>
      <c r="O1494" s="297">
        <v>1320</v>
      </c>
      <c r="P1494" s="392">
        <v>6000</v>
      </c>
      <c r="Q1494" s="296">
        <v>2</v>
      </c>
      <c r="R1494" s="296">
        <v>2</v>
      </c>
      <c r="S1494" s="296" t="s">
        <v>354</v>
      </c>
      <c r="T1494" s="298">
        <v>45068</v>
      </c>
      <c r="U1494" s="298">
        <v>45100</v>
      </c>
      <c r="V1494" s="296" t="s">
        <v>355</v>
      </c>
      <c r="W1494" s="296"/>
      <c r="X1494" s="296"/>
    </row>
    <row r="1495" spans="1:25" ht="13.5" x14ac:dyDescent="0.15">
      <c r="A1495" s="296">
        <v>3712098</v>
      </c>
      <c r="B1495" s="296" t="s">
        <v>351</v>
      </c>
      <c r="C1495" s="296" t="s">
        <v>434</v>
      </c>
      <c r="D1495" s="296" t="s">
        <v>353</v>
      </c>
      <c r="E1495" s="296" t="s">
        <v>1163</v>
      </c>
      <c r="F1495" s="296">
        <v>3</v>
      </c>
      <c r="G1495" s="296" t="s">
        <v>19</v>
      </c>
      <c r="H1495" s="296" t="s">
        <v>20</v>
      </c>
      <c r="I1495" s="296" t="s">
        <v>132</v>
      </c>
      <c r="J1495" s="296"/>
      <c r="K1495" s="296" t="s">
        <v>139</v>
      </c>
      <c r="L1495" s="296">
        <v>25</v>
      </c>
      <c r="M1495" s="296" t="s">
        <v>140</v>
      </c>
      <c r="N1495" s="297">
        <v>1575</v>
      </c>
      <c r="O1495" s="297">
        <v>1575</v>
      </c>
      <c r="P1495" s="392">
        <v>6000</v>
      </c>
      <c r="Q1495" s="296">
        <v>2</v>
      </c>
      <c r="R1495" s="296">
        <v>3</v>
      </c>
      <c r="S1495" s="296" t="s">
        <v>354</v>
      </c>
      <c r="T1495" s="298">
        <v>45068</v>
      </c>
      <c r="U1495" s="298">
        <v>45100</v>
      </c>
      <c r="V1495" s="296" t="s">
        <v>355</v>
      </c>
      <c r="W1495" s="296"/>
      <c r="X1495" s="296"/>
    </row>
    <row r="1496" spans="1:25" ht="13.5" x14ac:dyDescent="0.15">
      <c r="A1496" s="296">
        <v>3712112</v>
      </c>
      <c r="B1496" s="296" t="s">
        <v>351</v>
      </c>
      <c r="C1496" s="296" t="s">
        <v>352</v>
      </c>
      <c r="D1496" s="296" t="s">
        <v>353</v>
      </c>
      <c r="E1496" s="296" t="s">
        <v>116</v>
      </c>
      <c r="F1496" s="296">
        <v>3</v>
      </c>
      <c r="G1496" s="296" t="s">
        <v>19</v>
      </c>
      <c r="H1496" s="296" t="s">
        <v>20</v>
      </c>
      <c r="I1496" s="296" t="s">
        <v>143</v>
      </c>
      <c r="J1496" s="296"/>
      <c r="K1496" s="296" t="s">
        <v>144</v>
      </c>
      <c r="L1496" s="296">
        <v>75</v>
      </c>
      <c r="M1496" s="296" t="s">
        <v>145</v>
      </c>
      <c r="N1496" s="297">
        <v>1005</v>
      </c>
      <c r="O1496" s="297">
        <v>1000</v>
      </c>
      <c r="P1496" s="392">
        <v>6000</v>
      </c>
      <c r="Q1496" s="296">
        <v>2</v>
      </c>
      <c r="R1496" s="296">
        <v>3</v>
      </c>
      <c r="S1496" s="296" t="s">
        <v>354</v>
      </c>
      <c r="T1496" s="298">
        <v>45068</v>
      </c>
      <c r="U1496" s="298">
        <v>45096</v>
      </c>
      <c r="V1496" s="296" t="s">
        <v>355</v>
      </c>
      <c r="W1496" s="296"/>
      <c r="X1496" s="296"/>
    </row>
    <row r="1497" spans="1:25" ht="13.5" x14ac:dyDescent="0.15">
      <c r="A1497" s="296">
        <v>3712116</v>
      </c>
      <c r="B1497" s="296" t="s">
        <v>351</v>
      </c>
      <c r="C1497" s="296" t="s">
        <v>352</v>
      </c>
      <c r="D1497" s="296" t="s">
        <v>353</v>
      </c>
      <c r="E1497" s="296" t="s">
        <v>116</v>
      </c>
      <c r="F1497" s="296">
        <v>3</v>
      </c>
      <c r="G1497" s="296" t="s">
        <v>19</v>
      </c>
      <c r="H1497" s="296" t="s">
        <v>20</v>
      </c>
      <c r="I1497" s="296" t="s">
        <v>143</v>
      </c>
      <c r="J1497" s="296"/>
      <c r="K1497" s="296" t="s">
        <v>144</v>
      </c>
      <c r="L1497" s="296">
        <v>50</v>
      </c>
      <c r="M1497" s="296" t="s">
        <v>145</v>
      </c>
      <c r="N1497" s="297">
        <v>1005</v>
      </c>
      <c r="O1497" s="297">
        <v>1000</v>
      </c>
      <c r="P1497" s="392">
        <v>6000</v>
      </c>
      <c r="Q1497" s="296">
        <v>2</v>
      </c>
      <c r="R1497" s="296">
        <v>14</v>
      </c>
      <c r="S1497" s="296" t="s">
        <v>354</v>
      </c>
      <c r="T1497" s="298">
        <v>45068</v>
      </c>
      <c r="U1497" s="298">
        <v>45100</v>
      </c>
      <c r="V1497" s="296" t="s">
        <v>355</v>
      </c>
      <c r="W1497" s="296"/>
      <c r="X1497" s="296"/>
    </row>
    <row r="1498" spans="1:25" ht="13.5" x14ac:dyDescent="0.15">
      <c r="A1498" s="296">
        <v>3712127</v>
      </c>
      <c r="B1498" s="296" t="s">
        <v>351</v>
      </c>
      <c r="C1498" s="296" t="s">
        <v>356</v>
      </c>
      <c r="D1498" s="296" t="s">
        <v>353</v>
      </c>
      <c r="E1498" s="296" t="s">
        <v>114</v>
      </c>
      <c r="F1498" s="296">
        <v>3</v>
      </c>
      <c r="G1498" s="296" t="s">
        <v>19</v>
      </c>
      <c r="H1498" s="296" t="s">
        <v>20</v>
      </c>
      <c r="I1498" s="296" t="s">
        <v>21</v>
      </c>
      <c r="J1498" s="296"/>
      <c r="K1498" s="296" t="s">
        <v>112</v>
      </c>
      <c r="L1498" s="296">
        <v>25</v>
      </c>
      <c r="M1498" s="296" t="s">
        <v>357</v>
      </c>
      <c r="N1498" s="296">
        <v>640</v>
      </c>
      <c r="O1498" s="296">
        <v>640</v>
      </c>
      <c r="P1498" s="392">
        <v>6000</v>
      </c>
      <c r="Q1498" s="296">
        <v>2</v>
      </c>
      <c r="R1498" s="296">
        <v>6</v>
      </c>
      <c r="S1498" s="296" t="s">
        <v>354</v>
      </c>
      <c r="T1498" s="298">
        <v>45068</v>
      </c>
      <c r="U1498" s="298">
        <v>45093</v>
      </c>
      <c r="V1498" s="296" t="s">
        <v>355</v>
      </c>
      <c r="W1498" s="296"/>
      <c r="X1498" s="296"/>
    </row>
    <row r="1499" spans="1:25" ht="13.5" x14ac:dyDescent="0.15">
      <c r="A1499" s="296">
        <v>3712127</v>
      </c>
      <c r="B1499" s="296" t="s">
        <v>351</v>
      </c>
      <c r="C1499" s="296" t="s">
        <v>356</v>
      </c>
      <c r="D1499" s="296" t="s">
        <v>353</v>
      </c>
      <c r="E1499" s="296" t="s">
        <v>114</v>
      </c>
      <c r="F1499" s="296">
        <v>3</v>
      </c>
      <c r="G1499" s="296" t="s">
        <v>19</v>
      </c>
      <c r="H1499" s="296" t="s">
        <v>20</v>
      </c>
      <c r="I1499" s="296" t="s">
        <v>21</v>
      </c>
      <c r="J1499" s="296"/>
      <c r="K1499" s="296" t="s">
        <v>112</v>
      </c>
      <c r="L1499" s="296">
        <v>25</v>
      </c>
      <c r="M1499" s="296" t="s">
        <v>357</v>
      </c>
      <c r="N1499" s="296">
        <v>540</v>
      </c>
      <c r="O1499" s="296">
        <v>540</v>
      </c>
      <c r="P1499" s="392">
        <v>6000</v>
      </c>
      <c r="Q1499" s="296">
        <v>2</v>
      </c>
      <c r="R1499" s="296">
        <v>6</v>
      </c>
      <c r="S1499" s="296" t="s">
        <v>354</v>
      </c>
      <c r="T1499" s="298">
        <v>45068</v>
      </c>
      <c r="U1499" s="298">
        <v>45093</v>
      </c>
      <c r="V1499" s="296" t="s">
        <v>355</v>
      </c>
      <c r="W1499" s="296"/>
      <c r="X1499" s="296"/>
    </row>
    <row r="1500" spans="1:25" ht="13.5" x14ac:dyDescent="0.15">
      <c r="A1500" s="296">
        <v>3716206</v>
      </c>
      <c r="B1500" s="296" t="s">
        <v>351</v>
      </c>
      <c r="C1500" s="296" t="s">
        <v>358</v>
      </c>
      <c r="D1500" s="296" t="s">
        <v>353</v>
      </c>
      <c r="E1500" s="296" t="s">
        <v>110</v>
      </c>
      <c r="F1500" s="296">
        <v>331</v>
      </c>
      <c r="G1500" s="296" t="s">
        <v>19</v>
      </c>
      <c r="H1500" s="296" t="s">
        <v>20</v>
      </c>
      <c r="I1500" s="296" t="s">
        <v>21</v>
      </c>
      <c r="J1500" s="296"/>
      <c r="K1500" s="296" t="s">
        <v>112</v>
      </c>
      <c r="L1500" s="296">
        <v>25</v>
      </c>
      <c r="M1500" s="296" t="s">
        <v>357</v>
      </c>
      <c r="N1500" s="296">
        <v>450</v>
      </c>
      <c r="O1500" s="296">
        <v>450</v>
      </c>
      <c r="P1500" s="392">
        <v>6000</v>
      </c>
      <c r="Q1500" s="296">
        <v>2</v>
      </c>
      <c r="R1500" s="296">
        <v>12</v>
      </c>
      <c r="S1500" s="296" t="s">
        <v>354</v>
      </c>
      <c r="T1500" s="298">
        <v>45097</v>
      </c>
      <c r="U1500" s="298">
        <v>45121</v>
      </c>
      <c r="V1500" s="296" t="s">
        <v>355</v>
      </c>
      <c r="W1500" s="296"/>
      <c r="X1500" s="296"/>
      <c r="Y1500" s="252"/>
    </row>
    <row r="1501" spans="1:25" ht="13.5" x14ac:dyDescent="0.15">
      <c r="A1501" s="296">
        <v>3716207</v>
      </c>
      <c r="B1501" s="296" t="s">
        <v>351</v>
      </c>
      <c r="C1501" s="296" t="s">
        <v>356</v>
      </c>
      <c r="D1501" s="296" t="s">
        <v>353</v>
      </c>
      <c r="E1501" s="296" t="s">
        <v>32</v>
      </c>
      <c r="F1501" s="296">
        <v>331</v>
      </c>
      <c r="G1501" s="296" t="s">
        <v>19</v>
      </c>
      <c r="H1501" s="296" t="s">
        <v>20</v>
      </c>
      <c r="I1501" s="296" t="s">
        <v>21</v>
      </c>
      <c r="J1501" s="296"/>
      <c r="K1501" s="296" t="s">
        <v>54</v>
      </c>
      <c r="L1501" s="296">
        <v>38</v>
      </c>
      <c r="M1501" s="296" t="s">
        <v>53</v>
      </c>
      <c r="N1501" s="297">
        <v>1580</v>
      </c>
      <c r="O1501" s="297">
        <v>1580</v>
      </c>
      <c r="P1501" s="392">
        <v>6000</v>
      </c>
      <c r="Q1501" s="296">
        <v>2</v>
      </c>
      <c r="R1501" s="296">
        <v>4</v>
      </c>
      <c r="S1501" s="296" t="s">
        <v>354</v>
      </c>
      <c r="T1501" s="298">
        <v>45097</v>
      </c>
      <c r="U1501" s="298">
        <v>45121</v>
      </c>
      <c r="V1501" s="296" t="s">
        <v>355</v>
      </c>
      <c r="W1501" s="296"/>
      <c r="X1501" s="296"/>
      <c r="Y1501" s="252"/>
    </row>
    <row r="1502" spans="1:25" ht="13.5" x14ac:dyDescent="0.15">
      <c r="A1502" s="296">
        <v>3716208</v>
      </c>
      <c r="B1502" s="296" t="s">
        <v>351</v>
      </c>
      <c r="C1502" s="296" t="s">
        <v>356</v>
      </c>
      <c r="D1502" s="296" t="s">
        <v>353</v>
      </c>
      <c r="E1502" s="296" t="s">
        <v>32</v>
      </c>
      <c r="F1502" s="296">
        <v>331</v>
      </c>
      <c r="G1502" s="296" t="s">
        <v>19</v>
      </c>
      <c r="H1502" s="296" t="s">
        <v>20</v>
      </c>
      <c r="I1502" s="296" t="s">
        <v>21</v>
      </c>
      <c r="J1502" s="296"/>
      <c r="K1502" s="296" t="s">
        <v>54</v>
      </c>
      <c r="L1502" s="296">
        <v>38</v>
      </c>
      <c r="M1502" s="296" t="s">
        <v>53</v>
      </c>
      <c r="N1502" s="297">
        <v>1330</v>
      </c>
      <c r="O1502" s="297">
        <v>1330</v>
      </c>
      <c r="P1502" s="392">
        <v>6000</v>
      </c>
      <c r="Q1502" s="296">
        <v>2</v>
      </c>
      <c r="R1502" s="296">
        <v>16</v>
      </c>
      <c r="S1502" s="296" t="s">
        <v>354</v>
      </c>
      <c r="T1502" s="298">
        <v>45097</v>
      </c>
      <c r="U1502" s="298">
        <v>45121</v>
      </c>
      <c r="V1502" s="296" t="s">
        <v>355</v>
      </c>
      <c r="W1502" s="296"/>
      <c r="X1502" s="296"/>
      <c r="Y1502" s="252"/>
    </row>
    <row r="1503" spans="1:25" ht="13.5" x14ac:dyDescent="0.15">
      <c r="A1503" s="296">
        <v>3716209</v>
      </c>
      <c r="B1503" s="296" t="s">
        <v>351</v>
      </c>
      <c r="C1503" s="296" t="s">
        <v>356</v>
      </c>
      <c r="D1503" s="296" t="s">
        <v>353</v>
      </c>
      <c r="E1503" s="296" t="s">
        <v>668</v>
      </c>
      <c r="F1503" s="296">
        <v>3</v>
      </c>
      <c r="G1503" s="296" t="s">
        <v>19</v>
      </c>
      <c r="H1503" s="296" t="s">
        <v>28</v>
      </c>
      <c r="I1503" s="296" t="s">
        <v>21</v>
      </c>
      <c r="J1503" s="296"/>
      <c r="K1503" s="296" t="s">
        <v>102</v>
      </c>
      <c r="L1503" s="296">
        <v>50</v>
      </c>
      <c r="M1503" s="296" t="s">
        <v>103</v>
      </c>
      <c r="N1503" s="297">
        <v>1050</v>
      </c>
      <c r="O1503" s="297">
        <v>1040</v>
      </c>
      <c r="P1503" s="392">
        <v>6000</v>
      </c>
      <c r="Q1503" s="296">
        <v>2</v>
      </c>
      <c r="R1503" s="296">
        <v>9</v>
      </c>
      <c r="S1503" s="296" t="s">
        <v>354</v>
      </c>
      <c r="T1503" s="298">
        <v>45097</v>
      </c>
      <c r="U1503" s="298">
        <v>45121</v>
      </c>
      <c r="V1503" s="296" t="s">
        <v>355</v>
      </c>
      <c r="W1503" s="296"/>
      <c r="X1503" s="296"/>
      <c r="Y1503" s="252"/>
    </row>
    <row r="1504" spans="1:25" ht="13.5" x14ac:dyDescent="0.15">
      <c r="A1504" s="296">
        <v>3716210</v>
      </c>
      <c r="B1504" s="296" t="s">
        <v>351</v>
      </c>
      <c r="C1504" s="296" t="s">
        <v>358</v>
      </c>
      <c r="D1504" s="296" t="s">
        <v>353</v>
      </c>
      <c r="E1504" s="296" t="s">
        <v>61</v>
      </c>
      <c r="F1504" s="296">
        <v>3313</v>
      </c>
      <c r="G1504" s="296" t="s">
        <v>19</v>
      </c>
      <c r="H1504" s="296" t="s">
        <v>20</v>
      </c>
      <c r="I1504" s="296" t="s">
        <v>21</v>
      </c>
      <c r="J1504" s="296"/>
      <c r="K1504" s="296" t="s">
        <v>62</v>
      </c>
      <c r="L1504" s="296">
        <v>38</v>
      </c>
      <c r="M1504" s="296" t="s">
        <v>63</v>
      </c>
      <c r="N1504" s="296">
        <v>750</v>
      </c>
      <c r="O1504" s="296">
        <v>750</v>
      </c>
      <c r="P1504" s="392">
        <v>6000</v>
      </c>
      <c r="Q1504" s="296">
        <v>2</v>
      </c>
      <c r="R1504" s="296">
        <v>20</v>
      </c>
      <c r="S1504" s="296" t="s">
        <v>354</v>
      </c>
      <c r="T1504" s="298">
        <v>45097</v>
      </c>
      <c r="U1504" s="298">
        <v>45121</v>
      </c>
      <c r="V1504" s="296" t="s">
        <v>355</v>
      </c>
      <c r="W1504" s="296"/>
      <c r="X1504" s="296"/>
      <c r="Y1504" s="252"/>
    </row>
    <row r="1505" spans="1:25" ht="13.5" x14ac:dyDescent="0.15">
      <c r="A1505" s="296">
        <v>3716212</v>
      </c>
      <c r="B1505" s="296" t="s">
        <v>351</v>
      </c>
      <c r="C1505" s="296" t="s">
        <v>363</v>
      </c>
      <c r="D1505" s="296" t="s">
        <v>353</v>
      </c>
      <c r="E1505" s="296" t="s">
        <v>65</v>
      </c>
      <c r="F1505" s="296">
        <v>3321</v>
      </c>
      <c r="G1505" s="296" t="s">
        <v>19</v>
      </c>
      <c r="H1505" s="296" t="s">
        <v>20</v>
      </c>
      <c r="I1505" s="296" t="s">
        <v>21</v>
      </c>
      <c r="J1505" s="296"/>
      <c r="K1505" s="296" t="s">
        <v>67</v>
      </c>
      <c r="L1505" s="296">
        <v>38</v>
      </c>
      <c r="M1505" s="296" t="s">
        <v>68</v>
      </c>
      <c r="N1505" s="297">
        <v>1336</v>
      </c>
      <c r="O1505" s="297">
        <v>1325</v>
      </c>
      <c r="P1505" s="392">
        <v>6000</v>
      </c>
      <c r="Q1505" s="296">
        <v>2</v>
      </c>
      <c r="R1505" s="296">
        <v>45</v>
      </c>
      <c r="S1505" s="296" t="s">
        <v>354</v>
      </c>
      <c r="T1505" s="298">
        <v>45097</v>
      </c>
      <c r="U1505" s="298">
        <v>45121</v>
      </c>
      <c r="V1505" s="296" t="s">
        <v>355</v>
      </c>
      <c r="W1505" s="296"/>
      <c r="X1505" s="296"/>
      <c r="Y1505" s="252"/>
    </row>
    <row r="1506" spans="1:25" ht="13.5" x14ac:dyDescent="0.15">
      <c r="A1506" s="296">
        <v>3716213</v>
      </c>
      <c r="B1506" s="296" t="s">
        <v>351</v>
      </c>
      <c r="C1506" s="296" t="s">
        <v>363</v>
      </c>
      <c r="D1506" s="296" t="s">
        <v>353</v>
      </c>
      <c r="E1506" s="296" t="s">
        <v>65</v>
      </c>
      <c r="F1506" s="296">
        <v>3321</v>
      </c>
      <c r="G1506" s="296" t="s">
        <v>19</v>
      </c>
      <c r="H1506" s="296" t="s">
        <v>20</v>
      </c>
      <c r="I1506" s="296" t="s">
        <v>21</v>
      </c>
      <c r="J1506" s="296"/>
      <c r="K1506" s="296" t="s">
        <v>70</v>
      </c>
      <c r="L1506" s="296">
        <v>38</v>
      </c>
      <c r="M1506" s="296" t="s">
        <v>71</v>
      </c>
      <c r="N1506" s="297">
        <v>1336</v>
      </c>
      <c r="O1506" s="297">
        <v>1325</v>
      </c>
      <c r="P1506" s="392">
        <v>6000</v>
      </c>
      <c r="Q1506" s="296">
        <v>2</v>
      </c>
      <c r="R1506" s="296">
        <v>15</v>
      </c>
      <c r="S1506" s="296" t="s">
        <v>354</v>
      </c>
      <c r="T1506" s="298">
        <v>45097</v>
      </c>
      <c r="U1506" s="298">
        <v>45121</v>
      </c>
      <c r="V1506" s="296" t="s">
        <v>355</v>
      </c>
      <c r="W1506" s="296"/>
      <c r="X1506" s="296"/>
      <c r="Y1506" s="252"/>
    </row>
    <row r="1507" spans="1:25" ht="13.5" x14ac:dyDescent="0.15">
      <c r="A1507" s="296">
        <v>3716214</v>
      </c>
      <c r="B1507" s="296" t="s">
        <v>351</v>
      </c>
      <c r="C1507" s="296" t="s">
        <v>363</v>
      </c>
      <c r="D1507" s="296" t="s">
        <v>353</v>
      </c>
      <c r="E1507" s="296" t="s">
        <v>65</v>
      </c>
      <c r="F1507" s="296">
        <v>3321</v>
      </c>
      <c r="G1507" s="296" t="s">
        <v>19</v>
      </c>
      <c r="H1507" s="296" t="s">
        <v>20</v>
      </c>
      <c r="I1507" s="296" t="s">
        <v>21</v>
      </c>
      <c r="J1507" s="296"/>
      <c r="K1507" s="296" t="s">
        <v>70</v>
      </c>
      <c r="L1507" s="296">
        <v>38</v>
      </c>
      <c r="M1507" s="296" t="s">
        <v>71</v>
      </c>
      <c r="N1507" s="297">
        <v>1336</v>
      </c>
      <c r="O1507" s="297">
        <v>1325</v>
      </c>
      <c r="P1507" s="392">
        <v>6000</v>
      </c>
      <c r="Q1507" s="296">
        <v>2</v>
      </c>
      <c r="R1507" s="296">
        <v>30</v>
      </c>
      <c r="S1507" s="296" t="s">
        <v>354</v>
      </c>
      <c r="T1507" s="298">
        <v>45097</v>
      </c>
      <c r="U1507" s="298">
        <v>45126</v>
      </c>
      <c r="V1507" s="296" t="s">
        <v>355</v>
      </c>
      <c r="W1507" s="296"/>
      <c r="X1507" s="296"/>
      <c r="Y1507" s="252"/>
    </row>
    <row r="1508" spans="1:25" ht="13.5" x14ac:dyDescent="0.15">
      <c r="A1508" s="296">
        <v>3716215</v>
      </c>
      <c r="B1508" s="296" t="s">
        <v>351</v>
      </c>
      <c r="C1508" s="296" t="s">
        <v>356</v>
      </c>
      <c r="D1508" s="296" t="s">
        <v>353</v>
      </c>
      <c r="E1508" s="296" t="s">
        <v>32</v>
      </c>
      <c r="F1508" s="296">
        <v>331</v>
      </c>
      <c r="G1508" s="296" t="s">
        <v>19</v>
      </c>
      <c r="H1508" s="296" t="s">
        <v>20</v>
      </c>
      <c r="I1508" s="296" t="s">
        <v>21</v>
      </c>
      <c r="J1508" s="296"/>
      <c r="K1508" s="296" t="s">
        <v>54</v>
      </c>
      <c r="L1508" s="296">
        <v>38</v>
      </c>
      <c r="M1508" s="296" t="s">
        <v>53</v>
      </c>
      <c r="N1508" s="297">
        <v>1580</v>
      </c>
      <c r="O1508" s="297">
        <v>1580</v>
      </c>
      <c r="P1508" s="392">
        <v>6000</v>
      </c>
      <c r="Q1508" s="296">
        <v>2</v>
      </c>
      <c r="R1508" s="296">
        <v>20</v>
      </c>
      <c r="S1508" s="296" t="s">
        <v>354</v>
      </c>
      <c r="T1508" s="298">
        <v>45097</v>
      </c>
      <c r="U1508" s="298">
        <v>45132</v>
      </c>
      <c r="V1508" s="296" t="s">
        <v>355</v>
      </c>
      <c r="W1508" s="296"/>
      <c r="X1508" s="296"/>
      <c r="Y1508" s="252"/>
    </row>
    <row r="1509" spans="1:25" ht="13.5" x14ac:dyDescent="0.15">
      <c r="A1509" s="296">
        <v>3716216</v>
      </c>
      <c r="B1509" s="296" t="s">
        <v>351</v>
      </c>
      <c r="C1509" s="296" t="s">
        <v>358</v>
      </c>
      <c r="D1509" s="296" t="s">
        <v>353</v>
      </c>
      <c r="E1509" s="296" t="s">
        <v>44</v>
      </c>
      <c r="F1509" s="296">
        <v>3</v>
      </c>
      <c r="G1509" s="296" t="s">
        <v>19</v>
      </c>
      <c r="H1509" s="296" t="s">
        <v>20</v>
      </c>
      <c r="I1509" s="296" t="s">
        <v>21</v>
      </c>
      <c r="J1509" s="296"/>
      <c r="K1509" s="296" t="s">
        <v>47</v>
      </c>
      <c r="L1509" s="296">
        <v>25</v>
      </c>
      <c r="M1509" s="296" t="s">
        <v>48</v>
      </c>
      <c r="N1509" s="296">
        <v>740</v>
      </c>
      <c r="O1509" s="296">
        <v>740</v>
      </c>
      <c r="P1509" s="392">
        <v>6000</v>
      </c>
      <c r="Q1509" s="296">
        <v>1</v>
      </c>
      <c r="R1509" s="296">
        <v>20</v>
      </c>
      <c r="S1509" s="296" t="s">
        <v>354</v>
      </c>
      <c r="T1509" s="298">
        <v>45097</v>
      </c>
      <c r="U1509" s="298">
        <v>45132</v>
      </c>
      <c r="V1509" s="296" t="s">
        <v>355</v>
      </c>
      <c r="W1509" s="296"/>
      <c r="X1509" s="296"/>
      <c r="Y1509" s="252"/>
    </row>
    <row r="1510" spans="1:25" ht="13.5" x14ac:dyDescent="0.15">
      <c r="A1510" s="296">
        <v>3716217</v>
      </c>
      <c r="B1510" s="296" t="s">
        <v>351</v>
      </c>
      <c r="C1510" s="296" t="s">
        <v>356</v>
      </c>
      <c r="D1510" s="296" t="s">
        <v>353</v>
      </c>
      <c r="E1510" s="296" t="s">
        <v>17</v>
      </c>
      <c r="F1510" s="296">
        <v>331</v>
      </c>
      <c r="G1510" s="296" t="s">
        <v>19</v>
      </c>
      <c r="H1510" s="296" t="s">
        <v>20</v>
      </c>
      <c r="I1510" s="296" t="s">
        <v>21</v>
      </c>
      <c r="J1510" s="296"/>
      <c r="K1510" s="296" t="s">
        <v>52</v>
      </c>
      <c r="L1510" s="296">
        <v>38</v>
      </c>
      <c r="M1510" s="296" t="s">
        <v>53</v>
      </c>
      <c r="N1510" s="297">
        <v>1330</v>
      </c>
      <c r="O1510" s="297">
        <v>1330</v>
      </c>
      <c r="P1510" s="392">
        <v>6000</v>
      </c>
      <c r="Q1510" s="296">
        <v>2</v>
      </c>
      <c r="R1510" s="296">
        <v>14</v>
      </c>
      <c r="S1510" s="296" t="s">
        <v>354</v>
      </c>
      <c r="T1510" s="298">
        <v>45097</v>
      </c>
      <c r="U1510" s="298">
        <v>45132</v>
      </c>
      <c r="V1510" s="296" t="s">
        <v>355</v>
      </c>
      <c r="W1510" s="296"/>
      <c r="X1510" s="296"/>
      <c r="Y1510" s="252"/>
    </row>
    <row r="1511" spans="1:25" ht="13.5" x14ac:dyDescent="0.15">
      <c r="A1511" s="296">
        <v>3716218</v>
      </c>
      <c r="B1511" s="296" t="s">
        <v>351</v>
      </c>
      <c r="C1511" s="296" t="s">
        <v>356</v>
      </c>
      <c r="D1511" s="296" t="s">
        <v>353</v>
      </c>
      <c r="E1511" s="296" t="s">
        <v>17</v>
      </c>
      <c r="F1511" s="296">
        <v>331</v>
      </c>
      <c r="G1511" s="296" t="s">
        <v>19</v>
      </c>
      <c r="H1511" s="296" t="s">
        <v>20</v>
      </c>
      <c r="I1511" s="296" t="s">
        <v>21</v>
      </c>
      <c r="J1511" s="296"/>
      <c r="K1511" s="296" t="s">
        <v>52</v>
      </c>
      <c r="L1511" s="296">
        <v>38</v>
      </c>
      <c r="M1511" s="296" t="s">
        <v>53</v>
      </c>
      <c r="N1511" s="297">
        <v>1330</v>
      </c>
      <c r="O1511" s="297">
        <v>1330</v>
      </c>
      <c r="P1511" s="392">
        <v>6000</v>
      </c>
      <c r="Q1511" s="296">
        <v>2</v>
      </c>
      <c r="R1511" s="296">
        <v>1</v>
      </c>
      <c r="S1511" s="296" t="s">
        <v>354</v>
      </c>
      <c r="T1511" s="298">
        <v>45097</v>
      </c>
      <c r="U1511" s="298">
        <v>45132</v>
      </c>
      <c r="V1511" s="296" t="s">
        <v>355</v>
      </c>
      <c r="W1511" s="296"/>
      <c r="X1511" s="296"/>
      <c r="Y1511" s="252"/>
    </row>
    <row r="1512" spans="1:25" ht="13.5" x14ac:dyDescent="0.15">
      <c r="A1512" s="296">
        <v>3716219</v>
      </c>
      <c r="B1512" s="296" t="s">
        <v>351</v>
      </c>
      <c r="C1512" s="296" t="s">
        <v>356</v>
      </c>
      <c r="D1512" s="296" t="s">
        <v>353</v>
      </c>
      <c r="E1512" s="296" t="s">
        <v>32</v>
      </c>
      <c r="F1512" s="296">
        <v>331</v>
      </c>
      <c r="G1512" s="296" t="s">
        <v>19</v>
      </c>
      <c r="H1512" s="296" t="s">
        <v>20</v>
      </c>
      <c r="I1512" s="296" t="s">
        <v>21</v>
      </c>
      <c r="J1512" s="296"/>
      <c r="K1512" s="296" t="s">
        <v>54</v>
      </c>
      <c r="L1512" s="296">
        <v>38</v>
      </c>
      <c r="M1512" s="296" t="s">
        <v>53</v>
      </c>
      <c r="N1512" s="297">
        <v>1330</v>
      </c>
      <c r="O1512" s="297">
        <v>1330</v>
      </c>
      <c r="P1512" s="392">
        <v>6000</v>
      </c>
      <c r="Q1512" s="296">
        <v>2</v>
      </c>
      <c r="R1512" s="296">
        <v>32</v>
      </c>
      <c r="S1512" s="296" t="s">
        <v>354</v>
      </c>
      <c r="T1512" s="298">
        <v>45097</v>
      </c>
      <c r="U1512" s="298">
        <v>45132</v>
      </c>
      <c r="V1512" s="296" t="s">
        <v>355</v>
      </c>
      <c r="W1512" s="296"/>
      <c r="X1512" s="296"/>
      <c r="Y1512" s="252"/>
    </row>
    <row r="1513" spans="1:25" ht="13.5" x14ac:dyDescent="0.15">
      <c r="A1513" s="296">
        <v>3716220</v>
      </c>
      <c r="B1513" s="296" t="s">
        <v>351</v>
      </c>
      <c r="C1513" s="296" t="s">
        <v>356</v>
      </c>
      <c r="D1513" s="296" t="s">
        <v>353</v>
      </c>
      <c r="E1513" s="296" t="s">
        <v>32</v>
      </c>
      <c r="F1513" s="296">
        <v>3</v>
      </c>
      <c r="G1513" s="296" t="s">
        <v>19</v>
      </c>
      <c r="H1513" s="296" t="s">
        <v>20</v>
      </c>
      <c r="I1513" s="296" t="s">
        <v>21</v>
      </c>
      <c r="J1513" s="296"/>
      <c r="K1513" s="296" t="s">
        <v>56</v>
      </c>
      <c r="L1513" s="296">
        <v>75</v>
      </c>
      <c r="M1513" s="296" t="s">
        <v>376</v>
      </c>
      <c r="N1513" s="297">
        <v>1330</v>
      </c>
      <c r="O1513" s="297">
        <v>1330</v>
      </c>
      <c r="P1513" s="392">
        <v>6000</v>
      </c>
      <c r="Q1513" s="296">
        <v>2</v>
      </c>
      <c r="R1513" s="296">
        <v>18</v>
      </c>
      <c r="S1513" s="296" t="s">
        <v>354</v>
      </c>
      <c r="T1513" s="298">
        <v>45097</v>
      </c>
      <c r="U1513" s="298">
        <v>45132</v>
      </c>
      <c r="V1513" s="296" t="s">
        <v>355</v>
      </c>
      <c r="W1513" s="296"/>
      <c r="X1513" s="296"/>
      <c r="Y1513" s="252"/>
    </row>
    <row r="1514" spans="1:25" ht="13.5" x14ac:dyDescent="0.15">
      <c r="A1514" s="296">
        <v>3716221</v>
      </c>
      <c r="B1514" s="296" t="s">
        <v>431</v>
      </c>
      <c r="C1514" s="296" t="s">
        <v>358</v>
      </c>
      <c r="D1514" s="296" t="s">
        <v>353</v>
      </c>
      <c r="E1514" s="296" t="s">
        <v>1162</v>
      </c>
      <c r="F1514" s="296">
        <v>3</v>
      </c>
      <c r="G1514" s="296" t="s">
        <v>265</v>
      </c>
      <c r="H1514" s="296" t="s">
        <v>20</v>
      </c>
      <c r="I1514" s="296" t="s">
        <v>21</v>
      </c>
      <c r="J1514" s="296"/>
      <c r="K1514" s="296" t="s">
        <v>632</v>
      </c>
      <c r="L1514" s="296">
        <v>25</v>
      </c>
      <c r="M1514" s="296" t="s">
        <v>633</v>
      </c>
      <c r="N1514" s="297">
        <v>1100</v>
      </c>
      <c r="O1514" s="297">
        <v>1100</v>
      </c>
      <c r="P1514" s="392">
        <v>6000</v>
      </c>
      <c r="Q1514" s="296">
        <v>2</v>
      </c>
      <c r="R1514" s="296">
        <v>12</v>
      </c>
      <c r="S1514" s="296" t="s">
        <v>354</v>
      </c>
      <c r="T1514" s="298">
        <v>45097</v>
      </c>
      <c r="U1514" s="298">
        <v>45132</v>
      </c>
      <c r="V1514" s="296" t="s">
        <v>355</v>
      </c>
      <c r="W1514" s="296"/>
      <c r="X1514" s="296"/>
      <c r="Y1514" s="252"/>
    </row>
    <row r="1515" spans="1:25" ht="13.5" x14ac:dyDescent="0.15">
      <c r="A1515" s="296">
        <v>3716222</v>
      </c>
      <c r="B1515" s="296" t="s">
        <v>351</v>
      </c>
      <c r="C1515" s="296" t="s">
        <v>364</v>
      </c>
      <c r="D1515" s="296" t="s">
        <v>353</v>
      </c>
      <c r="E1515" s="296" t="s">
        <v>371</v>
      </c>
      <c r="F1515" s="296">
        <v>3</v>
      </c>
      <c r="G1515" s="296" t="s">
        <v>19</v>
      </c>
      <c r="H1515" s="296" t="s">
        <v>28</v>
      </c>
      <c r="I1515" s="296" t="s">
        <v>21</v>
      </c>
      <c r="J1515" s="296"/>
      <c r="K1515" s="296" t="s">
        <v>60</v>
      </c>
      <c r="L1515" s="296">
        <v>75</v>
      </c>
      <c r="M1515" s="296" t="s">
        <v>372</v>
      </c>
      <c r="N1515" s="297">
        <v>1040</v>
      </c>
      <c r="O1515" s="297">
        <v>1040</v>
      </c>
      <c r="P1515" s="392">
        <v>6000</v>
      </c>
      <c r="Q1515" s="296">
        <v>1</v>
      </c>
      <c r="R1515" s="296">
        <v>1</v>
      </c>
      <c r="S1515" s="296" t="s">
        <v>354</v>
      </c>
      <c r="T1515" s="298">
        <v>45097</v>
      </c>
      <c r="U1515" s="298">
        <v>45132</v>
      </c>
      <c r="V1515" s="296" t="s">
        <v>355</v>
      </c>
      <c r="W1515" s="296"/>
      <c r="X1515" s="296"/>
      <c r="Y1515" s="252"/>
    </row>
    <row r="1516" spans="1:25" ht="13.5" x14ac:dyDescent="0.15">
      <c r="A1516" s="296">
        <v>3716223</v>
      </c>
      <c r="B1516" s="296" t="s">
        <v>351</v>
      </c>
      <c r="C1516" s="296" t="s">
        <v>356</v>
      </c>
      <c r="D1516" s="296" t="s">
        <v>353</v>
      </c>
      <c r="E1516" s="296" t="s">
        <v>130</v>
      </c>
      <c r="F1516" s="296">
        <v>331</v>
      </c>
      <c r="G1516" s="296" t="s">
        <v>19</v>
      </c>
      <c r="H1516" s="296" t="s">
        <v>20</v>
      </c>
      <c r="I1516" s="296" t="s">
        <v>21</v>
      </c>
      <c r="J1516" s="296"/>
      <c r="K1516" s="296" t="s">
        <v>435</v>
      </c>
      <c r="L1516" s="296">
        <v>25</v>
      </c>
      <c r="M1516" s="296" t="s">
        <v>436</v>
      </c>
      <c r="N1516" s="297">
        <v>1410</v>
      </c>
      <c r="O1516" s="297">
        <v>1410</v>
      </c>
      <c r="P1516" s="392">
        <v>6000</v>
      </c>
      <c r="Q1516" s="296">
        <v>2</v>
      </c>
      <c r="R1516" s="296">
        <v>2</v>
      </c>
      <c r="S1516" s="296" t="s">
        <v>354</v>
      </c>
      <c r="T1516" s="298">
        <v>45097</v>
      </c>
      <c r="U1516" s="298">
        <v>45132</v>
      </c>
      <c r="V1516" s="296" t="s">
        <v>355</v>
      </c>
      <c r="W1516" s="296"/>
      <c r="X1516" s="296"/>
      <c r="Y1516" s="252"/>
    </row>
    <row r="1517" spans="1:25" ht="13.5" x14ac:dyDescent="0.15">
      <c r="A1517" s="296">
        <v>3716224</v>
      </c>
      <c r="B1517" s="296" t="s">
        <v>351</v>
      </c>
      <c r="C1517" s="296" t="s">
        <v>356</v>
      </c>
      <c r="D1517" s="296" t="s">
        <v>353</v>
      </c>
      <c r="E1517" s="296" t="s">
        <v>130</v>
      </c>
      <c r="F1517" s="296">
        <v>331</v>
      </c>
      <c r="G1517" s="296" t="s">
        <v>19</v>
      </c>
      <c r="H1517" s="296" t="s">
        <v>20</v>
      </c>
      <c r="I1517" s="296" t="s">
        <v>21</v>
      </c>
      <c r="J1517" s="296"/>
      <c r="K1517" s="296" t="s">
        <v>435</v>
      </c>
      <c r="L1517" s="296">
        <v>25</v>
      </c>
      <c r="M1517" s="296" t="s">
        <v>436</v>
      </c>
      <c r="N1517" s="297">
        <v>1410</v>
      </c>
      <c r="O1517" s="297">
        <v>1410</v>
      </c>
      <c r="P1517" s="392">
        <v>6000</v>
      </c>
      <c r="Q1517" s="296">
        <v>2</v>
      </c>
      <c r="R1517" s="296">
        <v>2</v>
      </c>
      <c r="S1517" s="296" t="s">
        <v>354</v>
      </c>
      <c r="T1517" s="298">
        <v>45097</v>
      </c>
      <c r="U1517" s="298">
        <v>45132</v>
      </c>
      <c r="V1517" s="296" t="s">
        <v>355</v>
      </c>
      <c r="W1517" s="296"/>
      <c r="X1517" s="296"/>
      <c r="Y1517" s="252"/>
    </row>
    <row r="1518" spans="1:25" ht="13.5" x14ac:dyDescent="0.15">
      <c r="A1518" s="296">
        <v>3716225</v>
      </c>
      <c r="B1518" s="296" t="s">
        <v>351</v>
      </c>
      <c r="C1518" s="296" t="s">
        <v>352</v>
      </c>
      <c r="D1518" s="296" t="s">
        <v>353</v>
      </c>
      <c r="E1518" s="296" t="s">
        <v>116</v>
      </c>
      <c r="F1518" s="296">
        <v>3</v>
      </c>
      <c r="G1518" s="296" t="s">
        <v>19</v>
      </c>
      <c r="H1518" s="296" t="s">
        <v>20</v>
      </c>
      <c r="I1518" s="296" t="s">
        <v>21</v>
      </c>
      <c r="J1518" s="296"/>
      <c r="K1518" s="296" t="s">
        <v>118</v>
      </c>
      <c r="L1518" s="296">
        <v>38</v>
      </c>
      <c r="M1518" s="296" t="s">
        <v>368</v>
      </c>
      <c r="N1518" s="297">
        <v>1415</v>
      </c>
      <c r="O1518" s="297">
        <v>1410</v>
      </c>
      <c r="P1518" s="392">
        <v>6000</v>
      </c>
      <c r="Q1518" s="296">
        <v>2</v>
      </c>
      <c r="R1518" s="296">
        <v>8</v>
      </c>
      <c r="S1518" s="296" t="s">
        <v>354</v>
      </c>
      <c r="T1518" s="298">
        <v>45097</v>
      </c>
      <c r="U1518" s="298">
        <v>45132</v>
      </c>
      <c r="V1518" s="296" t="s">
        <v>355</v>
      </c>
      <c r="W1518" s="296"/>
      <c r="X1518" s="296"/>
      <c r="Y1518" s="252"/>
    </row>
    <row r="1519" spans="1:25" ht="13.5" x14ac:dyDescent="0.15">
      <c r="A1519" s="296">
        <v>3716226</v>
      </c>
      <c r="B1519" s="296" t="s">
        <v>351</v>
      </c>
      <c r="C1519" s="296" t="s">
        <v>356</v>
      </c>
      <c r="D1519" s="296" t="s">
        <v>353</v>
      </c>
      <c r="E1519" s="296" t="s">
        <v>17</v>
      </c>
      <c r="F1519" s="296">
        <v>3</v>
      </c>
      <c r="G1519" s="296" t="s">
        <v>19</v>
      </c>
      <c r="H1519" s="296" t="s">
        <v>20</v>
      </c>
      <c r="I1519" s="296" t="s">
        <v>21</v>
      </c>
      <c r="J1519" s="296"/>
      <c r="K1519" s="296" t="s">
        <v>104</v>
      </c>
      <c r="L1519" s="296">
        <v>25</v>
      </c>
      <c r="M1519" s="296" t="s">
        <v>375</v>
      </c>
      <c r="N1519" s="297">
        <v>1325</v>
      </c>
      <c r="O1519" s="297">
        <v>1320</v>
      </c>
      <c r="P1519" s="392">
        <v>6000</v>
      </c>
      <c r="Q1519" s="296">
        <v>2</v>
      </c>
      <c r="R1519" s="296">
        <v>2</v>
      </c>
      <c r="S1519" s="296" t="s">
        <v>354</v>
      </c>
      <c r="T1519" s="298">
        <v>45097</v>
      </c>
      <c r="U1519" s="298">
        <v>45132</v>
      </c>
      <c r="V1519" s="296" t="s">
        <v>355</v>
      </c>
      <c r="W1519" s="296"/>
      <c r="X1519" s="296"/>
      <c r="Y1519" s="252"/>
    </row>
    <row r="1520" spans="1:25" ht="13.5" x14ac:dyDescent="0.15">
      <c r="A1520" s="296">
        <v>3716227</v>
      </c>
      <c r="B1520" s="296" t="s">
        <v>351</v>
      </c>
      <c r="C1520" s="296" t="s">
        <v>356</v>
      </c>
      <c r="D1520" s="296" t="s">
        <v>353</v>
      </c>
      <c r="E1520" s="296" t="s">
        <v>106</v>
      </c>
      <c r="F1520" s="296">
        <v>3</v>
      </c>
      <c r="G1520" s="296" t="s">
        <v>19</v>
      </c>
      <c r="H1520" s="296" t="s">
        <v>20</v>
      </c>
      <c r="I1520" s="296" t="s">
        <v>21</v>
      </c>
      <c r="J1520" s="296"/>
      <c r="K1520" s="296" t="s">
        <v>107</v>
      </c>
      <c r="L1520" s="296">
        <v>25</v>
      </c>
      <c r="M1520" s="296" t="s">
        <v>367</v>
      </c>
      <c r="N1520" s="297">
        <v>1240</v>
      </c>
      <c r="O1520" s="297">
        <v>1240</v>
      </c>
      <c r="P1520" s="392">
        <v>6000</v>
      </c>
      <c r="Q1520" s="296">
        <v>2</v>
      </c>
      <c r="R1520" s="296">
        <v>6</v>
      </c>
      <c r="S1520" s="296" t="s">
        <v>354</v>
      </c>
      <c r="T1520" s="298">
        <v>45097</v>
      </c>
      <c r="U1520" s="298">
        <v>45138</v>
      </c>
      <c r="V1520" s="296" t="s">
        <v>355</v>
      </c>
      <c r="W1520" s="296"/>
      <c r="X1520" s="296"/>
      <c r="Y1520" s="252"/>
    </row>
    <row r="1521" spans="1:25" ht="13.5" x14ac:dyDescent="0.15">
      <c r="A1521" s="296">
        <v>3716228</v>
      </c>
      <c r="B1521" s="296" t="s">
        <v>351</v>
      </c>
      <c r="C1521" s="296" t="s">
        <v>356</v>
      </c>
      <c r="D1521" s="296" t="s">
        <v>353</v>
      </c>
      <c r="E1521" s="296" t="s">
        <v>106</v>
      </c>
      <c r="F1521" s="296">
        <v>3</v>
      </c>
      <c r="G1521" s="296" t="s">
        <v>19</v>
      </c>
      <c r="H1521" s="296" t="s">
        <v>20</v>
      </c>
      <c r="I1521" s="296" t="s">
        <v>21</v>
      </c>
      <c r="J1521" s="296"/>
      <c r="K1521" s="296" t="s">
        <v>107</v>
      </c>
      <c r="L1521" s="296">
        <v>38</v>
      </c>
      <c r="M1521" s="296" t="s">
        <v>367</v>
      </c>
      <c r="N1521" s="297">
        <v>1240</v>
      </c>
      <c r="O1521" s="297">
        <v>1240</v>
      </c>
      <c r="P1521" s="392">
        <v>6000</v>
      </c>
      <c r="Q1521" s="296">
        <v>2</v>
      </c>
      <c r="R1521" s="296">
        <v>9</v>
      </c>
      <c r="S1521" s="296" t="s">
        <v>354</v>
      </c>
      <c r="T1521" s="298">
        <v>45097</v>
      </c>
      <c r="U1521" s="298">
        <v>45138</v>
      </c>
      <c r="V1521" s="296" t="s">
        <v>355</v>
      </c>
      <c r="W1521" s="296"/>
      <c r="X1521" s="296"/>
      <c r="Y1521" s="252"/>
    </row>
    <row r="1522" spans="1:25" ht="13.5" x14ac:dyDescent="0.15">
      <c r="A1522" s="296">
        <v>3716229</v>
      </c>
      <c r="B1522" s="296" t="s">
        <v>431</v>
      </c>
      <c r="C1522" s="296" t="s">
        <v>358</v>
      </c>
      <c r="D1522" s="296" t="s">
        <v>353</v>
      </c>
      <c r="E1522" s="296"/>
      <c r="F1522" s="296">
        <v>3</v>
      </c>
      <c r="G1522" s="296" t="s">
        <v>265</v>
      </c>
      <c r="H1522" s="296" t="s">
        <v>20</v>
      </c>
      <c r="I1522" s="296" t="s">
        <v>21</v>
      </c>
      <c r="J1522" s="296"/>
      <c r="K1522" s="296" t="s">
        <v>118</v>
      </c>
      <c r="L1522" s="296">
        <v>25</v>
      </c>
      <c r="M1522" s="296" t="s">
        <v>119</v>
      </c>
      <c r="N1522" s="297">
        <v>1100</v>
      </c>
      <c r="O1522" s="297">
        <v>1100</v>
      </c>
      <c r="P1522" s="392">
        <v>6000</v>
      </c>
      <c r="Q1522" s="296">
        <v>2</v>
      </c>
      <c r="R1522" s="296">
        <v>5</v>
      </c>
      <c r="S1522" s="296" t="s">
        <v>354</v>
      </c>
      <c r="T1522" s="298">
        <v>45097</v>
      </c>
      <c r="U1522" s="298">
        <v>45138</v>
      </c>
      <c r="V1522" s="296" t="s">
        <v>355</v>
      </c>
      <c r="W1522" s="296"/>
      <c r="X1522" s="296"/>
      <c r="Y1522" s="252"/>
    </row>
    <row r="1523" spans="1:25" ht="13.5" x14ac:dyDescent="0.15">
      <c r="A1523" s="296">
        <v>3716230</v>
      </c>
      <c r="B1523" s="296" t="s">
        <v>351</v>
      </c>
      <c r="C1523" s="296" t="s">
        <v>356</v>
      </c>
      <c r="D1523" s="296" t="s">
        <v>353</v>
      </c>
      <c r="E1523" s="296" t="s">
        <v>17</v>
      </c>
      <c r="F1523" s="296">
        <v>3</v>
      </c>
      <c r="G1523" s="296" t="s">
        <v>19</v>
      </c>
      <c r="H1523" s="296" t="s">
        <v>20</v>
      </c>
      <c r="I1523" s="296" t="s">
        <v>21</v>
      </c>
      <c r="J1523" s="296"/>
      <c r="K1523" s="296" t="s">
        <v>104</v>
      </c>
      <c r="L1523" s="296">
        <v>25</v>
      </c>
      <c r="M1523" s="296" t="s">
        <v>375</v>
      </c>
      <c r="N1523" s="297">
        <v>1100</v>
      </c>
      <c r="O1523" s="297">
        <v>1100</v>
      </c>
      <c r="P1523" s="392">
        <v>6000</v>
      </c>
      <c r="Q1523" s="296">
        <v>2</v>
      </c>
      <c r="R1523" s="296">
        <v>2</v>
      </c>
      <c r="S1523" s="296" t="s">
        <v>354</v>
      </c>
      <c r="T1523" s="298">
        <v>45097</v>
      </c>
      <c r="U1523" s="298">
        <v>45138</v>
      </c>
      <c r="V1523" s="296" t="s">
        <v>355</v>
      </c>
      <c r="W1523" s="296"/>
      <c r="X1523" s="296"/>
      <c r="Y1523" s="252"/>
    </row>
    <row r="1524" spans="1:25" ht="13.5" x14ac:dyDescent="0.15">
      <c r="A1524" s="296">
        <v>3716231</v>
      </c>
      <c r="B1524" s="296" t="s">
        <v>351</v>
      </c>
      <c r="C1524" s="296" t="s">
        <v>356</v>
      </c>
      <c r="D1524" s="296" t="s">
        <v>353</v>
      </c>
      <c r="E1524" s="296" t="s">
        <v>17</v>
      </c>
      <c r="F1524" s="296">
        <v>3</v>
      </c>
      <c r="G1524" s="296" t="s">
        <v>19</v>
      </c>
      <c r="H1524" s="296" t="s">
        <v>20</v>
      </c>
      <c r="I1524" s="296" t="s">
        <v>21</v>
      </c>
      <c r="J1524" s="296"/>
      <c r="K1524" s="296" t="s">
        <v>104</v>
      </c>
      <c r="L1524" s="296">
        <v>25</v>
      </c>
      <c r="M1524" s="296" t="s">
        <v>375</v>
      </c>
      <c r="N1524" s="297">
        <v>1050</v>
      </c>
      <c r="O1524" s="297">
        <v>1050</v>
      </c>
      <c r="P1524" s="392">
        <v>6000</v>
      </c>
      <c r="Q1524" s="296">
        <v>2</v>
      </c>
      <c r="R1524" s="296">
        <v>5</v>
      </c>
      <c r="S1524" s="296" t="s">
        <v>354</v>
      </c>
      <c r="T1524" s="298">
        <v>45097</v>
      </c>
      <c r="U1524" s="298">
        <v>45138</v>
      </c>
      <c r="V1524" s="296" t="s">
        <v>355</v>
      </c>
      <c r="W1524" s="296"/>
      <c r="X1524" s="296"/>
      <c r="Y1524" s="252"/>
    </row>
    <row r="1525" spans="1:25" ht="13.5" x14ac:dyDescent="0.15">
      <c r="A1525" s="296">
        <v>3716232</v>
      </c>
      <c r="B1525" s="296" t="s">
        <v>351</v>
      </c>
      <c r="C1525" s="296" t="s">
        <v>356</v>
      </c>
      <c r="D1525" s="296" t="s">
        <v>353</v>
      </c>
      <c r="E1525" s="296" t="s">
        <v>106</v>
      </c>
      <c r="F1525" s="296">
        <v>3</v>
      </c>
      <c r="G1525" s="296" t="s">
        <v>19</v>
      </c>
      <c r="H1525" s="296" t="s">
        <v>20</v>
      </c>
      <c r="I1525" s="296" t="s">
        <v>21</v>
      </c>
      <c r="J1525" s="296"/>
      <c r="K1525" s="296" t="s">
        <v>107</v>
      </c>
      <c r="L1525" s="296">
        <v>25</v>
      </c>
      <c r="M1525" s="296" t="s">
        <v>367</v>
      </c>
      <c r="N1525" s="297">
        <v>1040</v>
      </c>
      <c r="O1525" s="297">
        <v>1040</v>
      </c>
      <c r="P1525" s="392">
        <v>6000</v>
      </c>
      <c r="Q1525" s="296">
        <v>2</v>
      </c>
      <c r="R1525" s="296">
        <v>30</v>
      </c>
      <c r="S1525" s="296" t="s">
        <v>354</v>
      </c>
      <c r="T1525" s="298">
        <v>45097</v>
      </c>
      <c r="U1525" s="298">
        <v>45138</v>
      </c>
      <c r="V1525" s="296" t="s">
        <v>355</v>
      </c>
      <c r="W1525" s="296"/>
      <c r="X1525" s="296"/>
      <c r="Y1525" s="252"/>
    </row>
    <row r="1526" spans="1:25" ht="13.5" x14ac:dyDescent="0.15">
      <c r="A1526" s="296">
        <v>3716233</v>
      </c>
      <c r="B1526" s="296" t="s">
        <v>351</v>
      </c>
      <c r="C1526" s="296" t="s">
        <v>356</v>
      </c>
      <c r="D1526" s="296" t="s">
        <v>353</v>
      </c>
      <c r="E1526" s="296" t="s">
        <v>106</v>
      </c>
      <c r="F1526" s="296">
        <v>3</v>
      </c>
      <c r="G1526" s="296" t="s">
        <v>19</v>
      </c>
      <c r="H1526" s="296" t="s">
        <v>20</v>
      </c>
      <c r="I1526" s="296" t="s">
        <v>21</v>
      </c>
      <c r="J1526" s="296"/>
      <c r="K1526" s="296" t="s">
        <v>107</v>
      </c>
      <c r="L1526" s="296">
        <v>38</v>
      </c>
      <c r="M1526" s="296" t="s">
        <v>367</v>
      </c>
      <c r="N1526" s="297">
        <v>1040</v>
      </c>
      <c r="O1526" s="297">
        <v>1040</v>
      </c>
      <c r="P1526" s="392">
        <v>6000</v>
      </c>
      <c r="Q1526" s="296">
        <v>2</v>
      </c>
      <c r="R1526" s="296">
        <v>2</v>
      </c>
      <c r="S1526" s="296" t="s">
        <v>354</v>
      </c>
      <c r="T1526" s="298">
        <v>45097</v>
      </c>
      <c r="U1526" s="298">
        <v>45138</v>
      </c>
      <c r="V1526" s="296" t="s">
        <v>355</v>
      </c>
      <c r="W1526" s="296"/>
      <c r="X1526" s="296"/>
      <c r="Y1526" s="252"/>
    </row>
    <row r="1527" spans="1:25" ht="13.5" x14ac:dyDescent="0.15">
      <c r="A1527" s="296">
        <v>3716234</v>
      </c>
      <c r="B1527" s="296" t="s">
        <v>351</v>
      </c>
      <c r="C1527" s="296" t="s">
        <v>352</v>
      </c>
      <c r="D1527" s="296" t="s">
        <v>353</v>
      </c>
      <c r="E1527" s="296" t="s">
        <v>116</v>
      </c>
      <c r="F1527" s="296">
        <v>3</v>
      </c>
      <c r="G1527" s="296" t="s">
        <v>19</v>
      </c>
      <c r="H1527" s="296" t="s">
        <v>20</v>
      </c>
      <c r="I1527" s="296" t="s">
        <v>21</v>
      </c>
      <c r="J1527" s="296"/>
      <c r="K1527" s="296" t="s">
        <v>118</v>
      </c>
      <c r="L1527" s="296">
        <v>38</v>
      </c>
      <c r="M1527" s="296" t="s">
        <v>368</v>
      </c>
      <c r="N1527" s="297">
        <v>1005</v>
      </c>
      <c r="O1527" s="297">
        <v>1000</v>
      </c>
      <c r="P1527" s="392">
        <v>6000</v>
      </c>
      <c r="Q1527" s="296">
        <v>2</v>
      </c>
      <c r="R1527" s="296">
        <v>4</v>
      </c>
      <c r="S1527" s="296" t="s">
        <v>354</v>
      </c>
      <c r="T1527" s="298">
        <v>45097</v>
      </c>
      <c r="U1527" s="298">
        <v>45128</v>
      </c>
      <c r="V1527" s="296" t="s">
        <v>355</v>
      </c>
      <c r="W1527" s="296"/>
      <c r="X1527" s="296"/>
      <c r="Y1527" s="252"/>
    </row>
    <row r="1528" spans="1:25" ht="13.5" x14ac:dyDescent="0.15">
      <c r="A1528" s="296">
        <v>3716235</v>
      </c>
      <c r="B1528" s="296" t="s">
        <v>351</v>
      </c>
      <c r="C1528" s="296" t="s">
        <v>356</v>
      </c>
      <c r="D1528" s="296" t="s">
        <v>353</v>
      </c>
      <c r="E1528" s="296" t="s">
        <v>32</v>
      </c>
      <c r="F1528" s="296">
        <v>331</v>
      </c>
      <c r="G1528" s="296" t="s">
        <v>19</v>
      </c>
      <c r="H1528" s="296" t="s">
        <v>20</v>
      </c>
      <c r="I1528" s="296" t="s">
        <v>21</v>
      </c>
      <c r="J1528" s="296"/>
      <c r="K1528" s="296" t="s">
        <v>33</v>
      </c>
      <c r="L1528" s="296">
        <v>38</v>
      </c>
      <c r="M1528" s="296" t="s">
        <v>30</v>
      </c>
      <c r="N1528" s="297">
        <v>1580</v>
      </c>
      <c r="O1528" s="297">
        <v>1580</v>
      </c>
      <c r="P1528" s="392">
        <v>6000</v>
      </c>
      <c r="Q1528" s="296">
        <v>2</v>
      </c>
      <c r="R1528" s="296">
        <v>18</v>
      </c>
      <c r="S1528" s="296" t="s">
        <v>354</v>
      </c>
      <c r="T1528" s="298">
        <v>45097</v>
      </c>
      <c r="U1528" s="298">
        <v>45138</v>
      </c>
      <c r="V1528" s="296" t="s">
        <v>355</v>
      </c>
      <c r="W1528" s="296"/>
      <c r="X1528" s="296"/>
      <c r="Y1528" s="252"/>
    </row>
    <row r="1529" spans="1:25" ht="13.5" x14ac:dyDescent="0.15">
      <c r="A1529" s="296">
        <v>3716236</v>
      </c>
      <c r="B1529" s="296" t="s">
        <v>351</v>
      </c>
      <c r="C1529" s="296" t="s">
        <v>356</v>
      </c>
      <c r="D1529" s="296" t="s">
        <v>353</v>
      </c>
      <c r="E1529" s="296" t="s">
        <v>17</v>
      </c>
      <c r="F1529" s="296">
        <v>3</v>
      </c>
      <c r="G1529" s="296" t="s">
        <v>19</v>
      </c>
      <c r="H1529" s="296" t="s">
        <v>20</v>
      </c>
      <c r="I1529" s="296" t="s">
        <v>21</v>
      </c>
      <c r="J1529" s="296"/>
      <c r="K1529" s="296" t="s">
        <v>22</v>
      </c>
      <c r="L1529" s="296">
        <v>38</v>
      </c>
      <c r="M1529" s="296" t="s">
        <v>23</v>
      </c>
      <c r="N1529" s="297">
        <v>1057</v>
      </c>
      <c r="O1529" s="297">
        <v>1050</v>
      </c>
      <c r="P1529" s="392">
        <v>6000</v>
      </c>
      <c r="Q1529" s="296">
        <v>2</v>
      </c>
      <c r="R1529" s="296">
        <v>4</v>
      </c>
      <c r="S1529" s="296" t="s">
        <v>354</v>
      </c>
      <c r="T1529" s="298">
        <v>45097</v>
      </c>
      <c r="U1529" s="298">
        <v>45138</v>
      </c>
      <c r="V1529" s="296" t="s">
        <v>355</v>
      </c>
      <c r="W1529" s="296"/>
      <c r="X1529" s="296"/>
      <c r="Y1529" s="252"/>
    </row>
    <row r="1530" spans="1:25" ht="13.5" x14ac:dyDescent="0.15">
      <c r="A1530" s="296">
        <v>3716237</v>
      </c>
      <c r="B1530" s="296" t="s">
        <v>351</v>
      </c>
      <c r="C1530" s="296" t="s">
        <v>359</v>
      </c>
      <c r="D1530" s="296" t="s">
        <v>353</v>
      </c>
      <c r="E1530" s="296" t="s">
        <v>40</v>
      </c>
      <c r="F1530" s="296">
        <v>3</v>
      </c>
      <c r="G1530" s="296" t="s">
        <v>19</v>
      </c>
      <c r="H1530" s="296" t="s">
        <v>20</v>
      </c>
      <c r="I1530" s="296" t="s">
        <v>21</v>
      </c>
      <c r="J1530" s="296"/>
      <c r="K1530" s="296" t="s">
        <v>42</v>
      </c>
      <c r="L1530" s="296">
        <v>25</v>
      </c>
      <c r="M1530" s="296" t="s">
        <v>43</v>
      </c>
      <c r="N1530" s="297">
        <v>1045</v>
      </c>
      <c r="O1530" s="297">
        <v>1040</v>
      </c>
      <c r="P1530" s="392">
        <v>6000</v>
      </c>
      <c r="Q1530" s="296">
        <v>2</v>
      </c>
      <c r="R1530" s="296">
        <v>10</v>
      </c>
      <c r="S1530" s="296" t="s">
        <v>354</v>
      </c>
      <c r="T1530" s="298">
        <v>45097</v>
      </c>
      <c r="U1530" s="298">
        <v>45138</v>
      </c>
      <c r="V1530" s="296" t="s">
        <v>355</v>
      </c>
      <c r="W1530" s="296"/>
      <c r="X1530" s="296"/>
      <c r="Y1530" s="252"/>
    </row>
    <row r="1531" spans="1:25" ht="13.5" x14ac:dyDescent="0.15">
      <c r="A1531" s="296">
        <v>3716238</v>
      </c>
      <c r="B1531" s="296" t="s">
        <v>351</v>
      </c>
      <c r="C1531" s="296" t="s">
        <v>356</v>
      </c>
      <c r="D1531" s="296" t="s">
        <v>353</v>
      </c>
      <c r="E1531" s="296" t="s">
        <v>17</v>
      </c>
      <c r="F1531" s="296">
        <v>3</v>
      </c>
      <c r="G1531" s="296" t="s">
        <v>19</v>
      </c>
      <c r="H1531" s="296" t="s">
        <v>20</v>
      </c>
      <c r="I1531" s="296" t="s">
        <v>21</v>
      </c>
      <c r="J1531" s="296"/>
      <c r="K1531" s="296" t="s">
        <v>22</v>
      </c>
      <c r="L1531" s="296">
        <v>38</v>
      </c>
      <c r="M1531" s="296" t="s">
        <v>23</v>
      </c>
      <c r="N1531" s="297">
        <v>1037</v>
      </c>
      <c r="O1531" s="297">
        <v>1030</v>
      </c>
      <c r="P1531" s="392">
        <v>6000</v>
      </c>
      <c r="Q1531" s="296">
        <v>2</v>
      </c>
      <c r="R1531" s="296">
        <v>19</v>
      </c>
      <c r="S1531" s="296" t="s">
        <v>354</v>
      </c>
      <c r="T1531" s="298">
        <v>45097</v>
      </c>
      <c r="U1531" s="298">
        <v>45138</v>
      </c>
      <c r="V1531" s="296" t="s">
        <v>355</v>
      </c>
      <c r="W1531" s="296"/>
      <c r="X1531" s="296"/>
      <c r="Y1531" s="252"/>
    </row>
    <row r="1532" spans="1:25" ht="13.5" x14ac:dyDescent="0.15">
      <c r="A1532" s="296">
        <v>3716239</v>
      </c>
      <c r="B1532" s="296" t="s">
        <v>351</v>
      </c>
      <c r="C1532" s="296" t="s">
        <v>356</v>
      </c>
      <c r="D1532" s="296" t="s">
        <v>353</v>
      </c>
      <c r="E1532" s="296" t="s">
        <v>377</v>
      </c>
      <c r="F1532" s="296">
        <v>3</v>
      </c>
      <c r="G1532" s="296" t="s">
        <v>19</v>
      </c>
      <c r="H1532" s="296" t="s">
        <v>20</v>
      </c>
      <c r="I1532" s="296" t="s">
        <v>21</v>
      </c>
      <c r="J1532" s="296"/>
      <c r="K1532" s="296" t="s">
        <v>36</v>
      </c>
      <c r="L1532" s="296">
        <v>25</v>
      </c>
      <c r="M1532" s="296" t="s">
        <v>37</v>
      </c>
      <c r="N1532" s="296">
        <v>890</v>
      </c>
      <c r="O1532" s="296">
        <v>890</v>
      </c>
      <c r="P1532" s="392">
        <v>6000</v>
      </c>
      <c r="Q1532" s="296">
        <v>2</v>
      </c>
      <c r="R1532" s="296">
        <v>9</v>
      </c>
      <c r="S1532" s="296" t="s">
        <v>354</v>
      </c>
      <c r="T1532" s="298">
        <v>45097</v>
      </c>
      <c r="U1532" s="298">
        <v>45138</v>
      </c>
      <c r="V1532" s="296" t="s">
        <v>355</v>
      </c>
      <c r="W1532" s="296"/>
      <c r="X1532" s="296"/>
      <c r="Y1532" s="252"/>
    </row>
    <row r="1533" spans="1:25" ht="13.5" x14ac:dyDescent="0.15">
      <c r="A1533" s="296">
        <v>3716241</v>
      </c>
      <c r="B1533" s="296" t="s">
        <v>351</v>
      </c>
      <c r="C1533" s="296" t="s">
        <v>352</v>
      </c>
      <c r="D1533" s="296" t="s">
        <v>353</v>
      </c>
      <c r="E1533" s="296" t="s">
        <v>155</v>
      </c>
      <c r="F1533" s="296" t="s">
        <v>158</v>
      </c>
      <c r="G1533" s="296" t="s">
        <v>19</v>
      </c>
      <c r="H1533" s="296" t="s">
        <v>20</v>
      </c>
      <c r="I1533" s="296" t="s">
        <v>143</v>
      </c>
      <c r="J1533" s="296"/>
      <c r="K1533" s="296" t="s">
        <v>156</v>
      </c>
      <c r="L1533" s="296">
        <v>25</v>
      </c>
      <c r="M1533" s="296" t="s">
        <v>157</v>
      </c>
      <c r="N1533" s="297">
        <v>1120</v>
      </c>
      <c r="O1533" s="297">
        <v>1120</v>
      </c>
      <c r="P1533" s="392">
        <v>6000</v>
      </c>
      <c r="Q1533" s="296">
        <v>2</v>
      </c>
      <c r="R1533" s="296">
        <v>5</v>
      </c>
      <c r="S1533" s="296" t="s">
        <v>354</v>
      </c>
      <c r="T1533" s="298">
        <v>45097</v>
      </c>
      <c r="U1533" s="298">
        <v>45122</v>
      </c>
      <c r="V1533" s="296" t="s">
        <v>355</v>
      </c>
      <c r="W1533" s="296"/>
      <c r="X1533" s="296"/>
      <c r="Y1533" s="252"/>
    </row>
    <row r="1534" spans="1:25" ht="13.5" x14ac:dyDescent="0.15">
      <c r="A1534" s="296">
        <v>3716242</v>
      </c>
      <c r="B1534" s="296" t="s">
        <v>351</v>
      </c>
      <c r="C1534" s="296" t="s">
        <v>364</v>
      </c>
      <c r="D1534" s="296" t="s">
        <v>353</v>
      </c>
      <c r="E1534" s="296" t="s">
        <v>162</v>
      </c>
      <c r="F1534" s="296">
        <v>3</v>
      </c>
      <c r="G1534" s="296" t="s">
        <v>19</v>
      </c>
      <c r="H1534" s="296" t="s">
        <v>20</v>
      </c>
      <c r="I1534" s="296" t="s">
        <v>143</v>
      </c>
      <c r="J1534" s="296"/>
      <c r="K1534" s="296" t="s">
        <v>163</v>
      </c>
      <c r="L1534" s="296">
        <v>38</v>
      </c>
      <c r="M1534" s="296" t="s">
        <v>164</v>
      </c>
      <c r="N1534" s="297">
        <v>1320</v>
      </c>
      <c r="O1534" s="297">
        <v>1320</v>
      </c>
      <c r="P1534" s="392">
        <v>6000</v>
      </c>
      <c r="Q1534" s="296">
        <v>2</v>
      </c>
      <c r="R1534" s="296">
        <v>5</v>
      </c>
      <c r="S1534" s="296" t="s">
        <v>354</v>
      </c>
      <c r="T1534" s="298">
        <v>45097</v>
      </c>
      <c r="U1534" s="298">
        <v>45122</v>
      </c>
      <c r="V1534" s="296" t="s">
        <v>355</v>
      </c>
      <c r="W1534" s="296"/>
      <c r="X1534" s="296"/>
      <c r="Y1534" s="252"/>
    </row>
    <row r="1535" spans="1:25" ht="13.5" x14ac:dyDescent="0.15">
      <c r="A1535" s="296">
        <v>3716266</v>
      </c>
      <c r="B1535" s="296" t="s">
        <v>351</v>
      </c>
      <c r="C1535" s="296" t="s">
        <v>352</v>
      </c>
      <c r="D1535" s="296" t="s">
        <v>353</v>
      </c>
      <c r="E1535" s="296" t="s">
        <v>116</v>
      </c>
      <c r="F1535" s="296">
        <v>3</v>
      </c>
      <c r="G1535" s="296" t="s">
        <v>19</v>
      </c>
      <c r="H1535" s="296" t="s">
        <v>20</v>
      </c>
      <c r="I1535" s="296" t="s">
        <v>143</v>
      </c>
      <c r="J1535" s="296"/>
      <c r="K1535" s="296" t="s">
        <v>144</v>
      </c>
      <c r="L1535" s="296">
        <v>75</v>
      </c>
      <c r="M1535" s="296" t="s">
        <v>145</v>
      </c>
      <c r="N1535" s="297">
        <v>1005</v>
      </c>
      <c r="O1535" s="297">
        <v>1000</v>
      </c>
      <c r="P1535" s="392">
        <v>6000</v>
      </c>
      <c r="Q1535" s="296">
        <v>2</v>
      </c>
      <c r="R1535" s="296">
        <v>2</v>
      </c>
      <c r="S1535" s="296" t="s">
        <v>354</v>
      </c>
      <c r="T1535" s="298">
        <v>45097</v>
      </c>
      <c r="U1535" s="298">
        <v>45128</v>
      </c>
      <c r="V1535" s="296" t="s">
        <v>355</v>
      </c>
      <c r="W1535" s="296"/>
      <c r="X1535" s="296"/>
      <c r="Y1535" s="252"/>
    </row>
    <row r="1536" spans="1:25" ht="13.5" x14ac:dyDescent="0.15">
      <c r="A1536" s="296">
        <v>3721156</v>
      </c>
      <c r="B1536" s="296" t="s">
        <v>351</v>
      </c>
      <c r="C1536" s="296" t="s">
        <v>356</v>
      </c>
      <c r="D1536" s="296" t="s">
        <v>353</v>
      </c>
      <c r="E1536" s="296" t="s">
        <v>114</v>
      </c>
      <c r="F1536" s="296">
        <v>331</v>
      </c>
      <c r="G1536" s="296" t="s">
        <v>19</v>
      </c>
      <c r="H1536" s="296" t="s">
        <v>20</v>
      </c>
      <c r="I1536" s="296" t="s">
        <v>21</v>
      </c>
      <c r="J1536" s="296"/>
      <c r="K1536" s="296" t="s">
        <v>112</v>
      </c>
      <c r="L1536" s="296">
        <v>25</v>
      </c>
      <c r="M1536" s="296" t="s">
        <v>357</v>
      </c>
      <c r="N1536" s="296">
        <v>640</v>
      </c>
      <c r="O1536" s="296">
        <v>640</v>
      </c>
      <c r="P1536" s="392">
        <v>6000</v>
      </c>
      <c r="Q1536" s="296">
        <v>2</v>
      </c>
      <c r="R1536" s="296">
        <v>12</v>
      </c>
      <c r="S1536" s="296" t="s">
        <v>354</v>
      </c>
      <c r="T1536" s="298">
        <v>45128</v>
      </c>
      <c r="U1536" s="298">
        <v>45148</v>
      </c>
      <c r="V1536" s="296" t="s">
        <v>355</v>
      </c>
      <c r="W1536" s="296"/>
      <c r="X1536" s="296"/>
    </row>
    <row r="1537" spans="1:24" ht="13.5" x14ac:dyDescent="0.15">
      <c r="A1537" s="296">
        <v>3721157</v>
      </c>
      <c r="B1537" s="296" t="s">
        <v>351</v>
      </c>
      <c r="C1537" s="296" t="s">
        <v>364</v>
      </c>
      <c r="D1537" s="296" t="s">
        <v>353</v>
      </c>
      <c r="E1537" s="296" t="s">
        <v>371</v>
      </c>
      <c r="F1537" s="296">
        <v>331</v>
      </c>
      <c r="G1537" s="296" t="s">
        <v>19</v>
      </c>
      <c r="H1537" s="296" t="s">
        <v>20</v>
      </c>
      <c r="I1537" s="296" t="s">
        <v>21</v>
      </c>
      <c r="J1537" s="296"/>
      <c r="K1537" s="296" t="s">
        <v>118</v>
      </c>
      <c r="L1537" s="296">
        <v>25</v>
      </c>
      <c r="M1537" s="296" t="s">
        <v>119</v>
      </c>
      <c r="N1537" s="297">
        <v>1425</v>
      </c>
      <c r="O1537" s="297">
        <v>1420</v>
      </c>
      <c r="P1537" s="392">
        <v>6000</v>
      </c>
      <c r="Q1537" s="296">
        <v>2</v>
      </c>
      <c r="R1537" s="296">
        <v>7</v>
      </c>
      <c r="S1537" s="296" t="s">
        <v>354</v>
      </c>
      <c r="T1537" s="298">
        <v>45128</v>
      </c>
      <c r="U1537" s="298">
        <v>45148</v>
      </c>
      <c r="V1537" s="296" t="s">
        <v>355</v>
      </c>
      <c r="W1537" s="296"/>
      <c r="X1537" s="296"/>
    </row>
    <row r="1538" spans="1:24" ht="13.5" x14ac:dyDescent="0.15">
      <c r="A1538" s="296">
        <v>3721158</v>
      </c>
      <c r="B1538" s="296" t="s">
        <v>351</v>
      </c>
      <c r="C1538" s="296" t="s">
        <v>352</v>
      </c>
      <c r="D1538" s="296" t="s">
        <v>353</v>
      </c>
      <c r="E1538" s="296" t="s">
        <v>116</v>
      </c>
      <c r="F1538" s="296">
        <v>3</v>
      </c>
      <c r="G1538" s="296" t="s">
        <v>19</v>
      </c>
      <c r="H1538" s="296" t="s">
        <v>20</v>
      </c>
      <c r="I1538" s="296" t="s">
        <v>21</v>
      </c>
      <c r="J1538" s="296"/>
      <c r="K1538" s="296" t="s">
        <v>118</v>
      </c>
      <c r="L1538" s="296">
        <v>38</v>
      </c>
      <c r="M1538" s="296" t="s">
        <v>368</v>
      </c>
      <c r="N1538" s="297">
        <v>1415</v>
      </c>
      <c r="O1538" s="297">
        <v>1410</v>
      </c>
      <c r="P1538" s="392">
        <v>6000</v>
      </c>
      <c r="Q1538" s="296">
        <v>2</v>
      </c>
      <c r="R1538" s="296">
        <v>10</v>
      </c>
      <c r="S1538" s="296" t="s">
        <v>354</v>
      </c>
      <c r="T1538" s="298">
        <v>45128</v>
      </c>
      <c r="U1538" s="298">
        <v>45163</v>
      </c>
      <c r="V1538" s="296" t="s">
        <v>355</v>
      </c>
      <c r="W1538" s="296"/>
      <c r="X1538" s="296"/>
    </row>
    <row r="1539" spans="1:24" ht="13.5" x14ac:dyDescent="0.15">
      <c r="A1539" s="296">
        <v>3721159</v>
      </c>
      <c r="B1539" s="296" t="s">
        <v>351</v>
      </c>
      <c r="C1539" s="296" t="s">
        <v>356</v>
      </c>
      <c r="D1539" s="296" t="s">
        <v>353</v>
      </c>
      <c r="E1539" s="296" t="s">
        <v>115</v>
      </c>
      <c r="F1539" s="296">
        <v>3</v>
      </c>
      <c r="G1539" s="296" t="s">
        <v>19</v>
      </c>
      <c r="H1539" s="296" t="s">
        <v>20</v>
      </c>
      <c r="I1539" s="296" t="s">
        <v>21</v>
      </c>
      <c r="J1539" s="296"/>
      <c r="K1539" s="296" t="s">
        <v>122</v>
      </c>
      <c r="L1539" s="296">
        <v>25</v>
      </c>
      <c r="M1539" s="296" t="s">
        <v>123</v>
      </c>
      <c r="N1539" s="297">
        <v>1325</v>
      </c>
      <c r="O1539" s="297">
        <v>1320</v>
      </c>
      <c r="P1539" s="392">
        <v>6000</v>
      </c>
      <c r="Q1539" s="296">
        <v>2</v>
      </c>
      <c r="R1539" s="296">
        <v>2</v>
      </c>
      <c r="S1539" s="296" t="s">
        <v>354</v>
      </c>
      <c r="T1539" s="298">
        <v>45128</v>
      </c>
      <c r="U1539" s="298">
        <v>45148</v>
      </c>
      <c r="V1539" s="296" t="s">
        <v>355</v>
      </c>
      <c r="W1539" s="296"/>
      <c r="X1539" s="296"/>
    </row>
    <row r="1540" spans="1:24" ht="13.5" x14ac:dyDescent="0.15">
      <c r="A1540" s="296">
        <v>3721160</v>
      </c>
      <c r="B1540" s="296" t="s">
        <v>351</v>
      </c>
      <c r="C1540" s="296" t="s">
        <v>358</v>
      </c>
      <c r="D1540" s="296" t="s">
        <v>353</v>
      </c>
      <c r="E1540" s="296" t="s">
        <v>120</v>
      </c>
      <c r="F1540" s="296">
        <v>3</v>
      </c>
      <c r="G1540" s="296" t="s">
        <v>19</v>
      </c>
      <c r="H1540" s="296" t="s">
        <v>20</v>
      </c>
      <c r="I1540" s="296" t="s">
        <v>21</v>
      </c>
      <c r="J1540" s="296"/>
      <c r="K1540" s="296" t="s">
        <v>118</v>
      </c>
      <c r="L1540" s="296">
        <v>125</v>
      </c>
      <c r="M1540" s="296" t="s">
        <v>121</v>
      </c>
      <c r="N1540" s="297">
        <v>1230</v>
      </c>
      <c r="O1540" s="297">
        <v>1225</v>
      </c>
      <c r="P1540" s="392">
        <v>6000</v>
      </c>
      <c r="Q1540" s="296">
        <v>2</v>
      </c>
      <c r="R1540" s="296">
        <v>2</v>
      </c>
      <c r="S1540" s="296" t="s">
        <v>354</v>
      </c>
      <c r="T1540" s="298">
        <v>45128</v>
      </c>
      <c r="U1540" s="298">
        <v>45148</v>
      </c>
      <c r="V1540" s="296" t="s">
        <v>355</v>
      </c>
      <c r="W1540" s="296"/>
      <c r="X1540" s="296"/>
    </row>
    <row r="1541" spans="1:24" ht="13.5" x14ac:dyDescent="0.15">
      <c r="A1541" s="296">
        <v>3721161</v>
      </c>
      <c r="B1541" s="296" t="s">
        <v>351</v>
      </c>
      <c r="C1541" s="296" t="s">
        <v>356</v>
      </c>
      <c r="D1541" s="296" t="s">
        <v>353</v>
      </c>
      <c r="E1541" s="296" t="s">
        <v>106</v>
      </c>
      <c r="F1541" s="296">
        <v>3</v>
      </c>
      <c r="G1541" s="296" t="s">
        <v>19</v>
      </c>
      <c r="H1541" s="296" t="s">
        <v>20</v>
      </c>
      <c r="I1541" s="296" t="s">
        <v>21</v>
      </c>
      <c r="J1541" s="296"/>
      <c r="K1541" s="296" t="s">
        <v>107</v>
      </c>
      <c r="L1541" s="296">
        <v>25</v>
      </c>
      <c r="M1541" s="296" t="s">
        <v>367</v>
      </c>
      <c r="N1541" s="297">
        <v>1240</v>
      </c>
      <c r="O1541" s="297">
        <v>1240</v>
      </c>
      <c r="P1541" s="392">
        <v>6000</v>
      </c>
      <c r="Q1541" s="296">
        <v>2</v>
      </c>
      <c r="R1541" s="296">
        <v>40</v>
      </c>
      <c r="S1541" s="296" t="s">
        <v>354</v>
      </c>
      <c r="T1541" s="298">
        <v>45128</v>
      </c>
      <c r="U1541" s="298">
        <v>45148</v>
      </c>
      <c r="V1541" s="296" t="s">
        <v>355</v>
      </c>
      <c r="W1541" s="296"/>
      <c r="X1541" s="296"/>
    </row>
    <row r="1542" spans="1:24" ht="13.5" x14ac:dyDescent="0.15">
      <c r="A1542" s="296">
        <v>3721162</v>
      </c>
      <c r="B1542" s="296" t="s">
        <v>351</v>
      </c>
      <c r="C1542" s="296" t="s">
        <v>356</v>
      </c>
      <c r="D1542" s="296" t="s">
        <v>353</v>
      </c>
      <c r="E1542" s="296" t="s">
        <v>106</v>
      </c>
      <c r="F1542" s="296">
        <v>3</v>
      </c>
      <c r="G1542" s="296" t="s">
        <v>19</v>
      </c>
      <c r="H1542" s="296" t="s">
        <v>20</v>
      </c>
      <c r="I1542" s="296" t="s">
        <v>21</v>
      </c>
      <c r="J1542" s="296"/>
      <c r="K1542" s="296" t="s">
        <v>107</v>
      </c>
      <c r="L1542" s="296">
        <v>38</v>
      </c>
      <c r="M1542" s="296" t="s">
        <v>367</v>
      </c>
      <c r="N1542" s="297">
        <v>1240</v>
      </c>
      <c r="O1542" s="297">
        <v>1240</v>
      </c>
      <c r="P1542" s="392">
        <v>6000</v>
      </c>
      <c r="Q1542" s="296">
        <v>2</v>
      </c>
      <c r="R1542" s="296">
        <v>8</v>
      </c>
      <c r="S1542" s="296" t="s">
        <v>354</v>
      </c>
      <c r="T1542" s="298">
        <v>45128</v>
      </c>
      <c r="U1542" s="298">
        <v>45148</v>
      </c>
      <c r="V1542" s="296" t="s">
        <v>355</v>
      </c>
      <c r="W1542" s="296"/>
      <c r="X1542" s="296"/>
    </row>
    <row r="1543" spans="1:24" ht="13.5" x14ac:dyDescent="0.15">
      <c r="A1543" s="296">
        <v>3721163</v>
      </c>
      <c r="B1543" s="296" t="s">
        <v>351</v>
      </c>
      <c r="C1543" s="296" t="s">
        <v>364</v>
      </c>
      <c r="D1543" s="296" t="s">
        <v>353</v>
      </c>
      <c r="E1543" s="296" t="s">
        <v>371</v>
      </c>
      <c r="F1543" s="296">
        <v>330</v>
      </c>
      <c r="G1543" s="296" t="s">
        <v>19</v>
      </c>
      <c r="H1543" s="296" t="s">
        <v>20</v>
      </c>
      <c r="I1543" s="296" t="s">
        <v>21</v>
      </c>
      <c r="J1543" s="296"/>
      <c r="K1543" s="296" t="s">
        <v>118</v>
      </c>
      <c r="L1543" s="296">
        <v>25</v>
      </c>
      <c r="M1543" s="296" t="s">
        <v>119</v>
      </c>
      <c r="N1543" s="297">
        <v>1155</v>
      </c>
      <c r="O1543" s="297">
        <v>1150</v>
      </c>
      <c r="P1543" s="392">
        <v>6000</v>
      </c>
      <c r="Q1543" s="296">
        <v>2</v>
      </c>
      <c r="R1543" s="296">
        <v>3</v>
      </c>
      <c r="S1543" s="296" t="s">
        <v>354</v>
      </c>
      <c r="T1543" s="298">
        <v>45128</v>
      </c>
      <c r="U1543" s="298">
        <v>45148</v>
      </c>
      <c r="V1543" s="296" t="s">
        <v>355</v>
      </c>
      <c r="W1543" s="296"/>
      <c r="X1543" s="296"/>
    </row>
    <row r="1544" spans="1:24" ht="13.5" x14ac:dyDescent="0.15">
      <c r="A1544" s="296">
        <v>3721164</v>
      </c>
      <c r="B1544" s="296" t="s">
        <v>351</v>
      </c>
      <c r="C1544" s="296" t="s">
        <v>356</v>
      </c>
      <c r="D1544" s="296" t="s">
        <v>353</v>
      </c>
      <c r="E1544" s="296" t="s">
        <v>115</v>
      </c>
      <c r="F1544" s="296">
        <v>3</v>
      </c>
      <c r="G1544" s="296" t="s">
        <v>19</v>
      </c>
      <c r="H1544" s="296" t="s">
        <v>20</v>
      </c>
      <c r="I1544" s="296" t="s">
        <v>21</v>
      </c>
      <c r="J1544" s="296"/>
      <c r="K1544" s="296" t="s">
        <v>112</v>
      </c>
      <c r="L1544" s="296">
        <v>38</v>
      </c>
      <c r="M1544" s="296" t="s">
        <v>357</v>
      </c>
      <c r="N1544" s="297">
        <v>1135</v>
      </c>
      <c r="O1544" s="297">
        <v>1130</v>
      </c>
      <c r="P1544" s="392">
        <v>6000</v>
      </c>
      <c r="Q1544" s="296">
        <v>2</v>
      </c>
      <c r="R1544" s="296">
        <v>8</v>
      </c>
      <c r="S1544" s="296" t="s">
        <v>354</v>
      </c>
      <c r="T1544" s="298">
        <v>45128</v>
      </c>
      <c r="U1544" s="298">
        <v>45148</v>
      </c>
      <c r="V1544" s="296" t="s">
        <v>355</v>
      </c>
      <c r="W1544" s="296"/>
      <c r="X1544" s="296"/>
    </row>
    <row r="1545" spans="1:24" ht="13.5" x14ac:dyDescent="0.15">
      <c r="A1545" s="296">
        <v>3721165</v>
      </c>
      <c r="B1545" s="296" t="s">
        <v>431</v>
      </c>
      <c r="C1545" s="296" t="s">
        <v>358</v>
      </c>
      <c r="D1545" s="296" t="s">
        <v>353</v>
      </c>
      <c r="E1545" s="296"/>
      <c r="F1545" s="296">
        <v>3</v>
      </c>
      <c r="G1545" s="296" t="s">
        <v>265</v>
      </c>
      <c r="H1545" s="296" t="s">
        <v>20</v>
      </c>
      <c r="I1545" s="296" t="s">
        <v>21</v>
      </c>
      <c r="J1545" s="296"/>
      <c r="K1545" s="296" t="s">
        <v>118</v>
      </c>
      <c r="L1545" s="296">
        <v>25</v>
      </c>
      <c r="M1545" s="296" t="s">
        <v>119</v>
      </c>
      <c r="N1545" s="297">
        <v>1100</v>
      </c>
      <c r="O1545" s="297">
        <v>1100</v>
      </c>
      <c r="P1545" s="392">
        <v>6000</v>
      </c>
      <c r="Q1545" s="296">
        <v>2</v>
      </c>
      <c r="R1545" s="296">
        <v>10</v>
      </c>
      <c r="S1545" s="296" t="s">
        <v>354</v>
      </c>
      <c r="T1545" s="298">
        <v>45128</v>
      </c>
      <c r="U1545" s="298">
        <v>45148</v>
      </c>
      <c r="V1545" s="296" t="s">
        <v>355</v>
      </c>
      <c r="W1545" s="296"/>
      <c r="X1545" s="296"/>
    </row>
    <row r="1546" spans="1:24" ht="13.5" x14ac:dyDescent="0.15">
      <c r="A1546" s="296">
        <v>3721166</v>
      </c>
      <c r="B1546" s="296" t="s">
        <v>351</v>
      </c>
      <c r="C1546" s="296" t="s">
        <v>358</v>
      </c>
      <c r="D1546" s="296" t="s">
        <v>353</v>
      </c>
      <c r="E1546" s="296" t="s">
        <v>110</v>
      </c>
      <c r="F1546" s="296">
        <v>331</v>
      </c>
      <c r="G1546" s="296" t="s">
        <v>19</v>
      </c>
      <c r="H1546" s="296" t="s">
        <v>20</v>
      </c>
      <c r="I1546" s="296" t="s">
        <v>21</v>
      </c>
      <c r="J1546" s="296"/>
      <c r="K1546" s="296" t="s">
        <v>112</v>
      </c>
      <c r="L1546" s="296">
        <v>25</v>
      </c>
      <c r="M1546" s="296" t="s">
        <v>357</v>
      </c>
      <c r="N1546" s="296">
        <v>450</v>
      </c>
      <c r="O1546" s="296">
        <v>450</v>
      </c>
      <c r="P1546" s="392">
        <v>6000</v>
      </c>
      <c r="Q1546" s="296">
        <v>2</v>
      </c>
      <c r="R1546" s="296">
        <v>12</v>
      </c>
      <c r="S1546" s="296" t="s">
        <v>354</v>
      </c>
      <c r="T1546" s="298">
        <v>45128</v>
      </c>
      <c r="U1546" s="298">
        <v>45148</v>
      </c>
      <c r="V1546" s="296" t="s">
        <v>355</v>
      </c>
      <c r="W1546" s="296"/>
      <c r="X1546" s="296"/>
    </row>
    <row r="1547" spans="1:24" ht="13.5" x14ac:dyDescent="0.15">
      <c r="A1547" s="296">
        <v>3721167</v>
      </c>
      <c r="B1547" s="296" t="s">
        <v>351</v>
      </c>
      <c r="C1547" s="296" t="s">
        <v>363</v>
      </c>
      <c r="D1547" s="296" t="s">
        <v>353</v>
      </c>
      <c r="E1547" s="296" t="s">
        <v>65</v>
      </c>
      <c r="F1547" s="296">
        <v>3321</v>
      </c>
      <c r="G1547" s="296" t="s">
        <v>19</v>
      </c>
      <c r="H1547" s="296" t="s">
        <v>20</v>
      </c>
      <c r="I1547" s="296" t="s">
        <v>21</v>
      </c>
      <c r="J1547" s="296"/>
      <c r="K1547" s="296" t="s">
        <v>67</v>
      </c>
      <c r="L1547" s="296">
        <v>38</v>
      </c>
      <c r="M1547" s="296" t="s">
        <v>68</v>
      </c>
      <c r="N1547" s="297">
        <v>1336</v>
      </c>
      <c r="O1547" s="297">
        <v>1325</v>
      </c>
      <c r="P1547" s="392">
        <v>6000</v>
      </c>
      <c r="Q1547" s="296">
        <v>2</v>
      </c>
      <c r="R1547" s="296">
        <v>20</v>
      </c>
      <c r="S1547" s="296" t="s">
        <v>354</v>
      </c>
      <c r="T1547" s="298">
        <v>45128</v>
      </c>
      <c r="U1547" s="298">
        <v>45147</v>
      </c>
      <c r="V1547" s="296" t="s">
        <v>355</v>
      </c>
      <c r="W1547" s="296"/>
      <c r="X1547" s="296"/>
    </row>
    <row r="1548" spans="1:24" ht="13.5" x14ac:dyDescent="0.15">
      <c r="A1548" s="296">
        <v>3721168</v>
      </c>
      <c r="B1548" s="296" t="s">
        <v>351</v>
      </c>
      <c r="C1548" s="296" t="s">
        <v>363</v>
      </c>
      <c r="D1548" s="296" t="s">
        <v>353</v>
      </c>
      <c r="E1548" s="296" t="s">
        <v>65</v>
      </c>
      <c r="F1548" s="296">
        <v>3321</v>
      </c>
      <c r="G1548" s="296" t="s">
        <v>19</v>
      </c>
      <c r="H1548" s="296" t="s">
        <v>20</v>
      </c>
      <c r="I1548" s="296" t="s">
        <v>21</v>
      </c>
      <c r="J1548" s="296"/>
      <c r="K1548" s="296" t="s">
        <v>70</v>
      </c>
      <c r="L1548" s="296">
        <v>38</v>
      </c>
      <c r="M1548" s="296" t="s">
        <v>71</v>
      </c>
      <c r="N1548" s="297">
        <v>1336</v>
      </c>
      <c r="O1548" s="297">
        <v>1325</v>
      </c>
      <c r="P1548" s="392">
        <v>6000</v>
      </c>
      <c r="Q1548" s="296">
        <v>2</v>
      </c>
      <c r="R1548" s="296">
        <v>20</v>
      </c>
      <c r="S1548" s="296" t="s">
        <v>354</v>
      </c>
      <c r="T1548" s="298">
        <v>45128</v>
      </c>
      <c r="U1548" s="298">
        <v>45147</v>
      </c>
      <c r="V1548" s="296" t="s">
        <v>355</v>
      </c>
      <c r="W1548" s="296"/>
      <c r="X1548" s="296"/>
    </row>
    <row r="1549" spans="1:24" ht="13.5" x14ac:dyDescent="0.15">
      <c r="A1549" s="296">
        <v>3721169</v>
      </c>
      <c r="B1549" s="296" t="s">
        <v>351</v>
      </c>
      <c r="C1549" s="296" t="s">
        <v>358</v>
      </c>
      <c r="D1549" s="296" t="s">
        <v>353</v>
      </c>
      <c r="E1549" s="296" t="s">
        <v>44</v>
      </c>
      <c r="F1549" s="296">
        <v>3</v>
      </c>
      <c r="G1549" s="296" t="s">
        <v>19</v>
      </c>
      <c r="H1549" s="296" t="s">
        <v>20</v>
      </c>
      <c r="I1549" s="296" t="s">
        <v>21</v>
      </c>
      <c r="J1549" s="296"/>
      <c r="K1549" s="296" t="s">
        <v>47</v>
      </c>
      <c r="L1549" s="296">
        <v>25</v>
      </c>
      <c r="M1549" s="296" t="s">
        <v>48</v>
      </c>
      <c r="N1549" s="296">
        <v>740</v>
      </c>
      <c r="O1549" s="296">
        <v>740</v>
      </c>
      <c r="P1549" s="392">
        <v>6000</v>
      </c>
      <c r="Q1549" s="296">
        <v>1</v>
      </c>
      <c r="R1549" s="296">
        <v>20</v>
      </c>
      <c r="S1549" s="296" t="s">
        <v>354</v>
      </c>
      <c r="T1549" s="298">
        <v>45128</v>
      </c>
      <c r="U1549" s="298">
        <v>45155</v>
      </c>
      <c r="V1549" s="296" t="s">
        <v>355</v>
      </c>
      <c r="W1549" s="296"/>
      <c r="X1549" s="296"/>
    </row>
    <row r="1550" spans="1:24" ht="13.5" x14ac:dyDescent="0.15">
      <c r="A1550" s="296">
        <v>3721170</v>
      </c>
      <c r="B1550" s="296" t="s">
        <v>351</v>
      </c>
      <c r="C1550" s="296" t="s">
        <v>356</v>
      </c>
      <c r="D1550" s="296" t="s">
        <v>353</v>
      </c>
      <c r="E1550" s="296" t="s">
        <v>17</v>
      </c>
      <c r="F1550" s="296">
        <v>331</v>
      </c>
      <c r="G1550" s="296" t="s">
        <v>19</v>
      </c>
      <c r="H1550" s="296" t="s">
        <v>20</v>
      </c>
      <c r="I1550" s="296" t="s">
        <v>21</v>
      </c>
      <c r="J1550" s="296"/>
      <c r="K1550" s="296" t="s">
        <v>52</v>
      </c>
      <c r="L1550" s="296">
        <v>38</v>
      </c>
      <c r="M1550" s="296" t="s">
        <v>53</v>
      </c>
      <c r="N1550" s="297">
        <v>1330</v>
      </c>
      <c r="O1550" s="297">
        <v>1330</v>
      </c>
      <c r="P1550" s="392">
        <v>6000</v>
      </c>
      <c r="Q1550" s="296">
        <v>2</v>
      </c>
      <c r="R1550" s="296">
        <v>60</v>
      </c>
      <c r="S1550" s="296" t="s">
        <v>354</v>
      </c>
      <c r="T1550" s="298">
        <v>45128</v>
      </c>
      <c r="U1550" s="298">
        <v>45155</v>
      </c>
      <c r="V1550" s="296" t="s">
        <v>355</v>
      </c>
      <c r="W1550" s="296"/>
      <c r="X1550" s="296"/>
    </row>
    <row r="1551" spans="1:24" ht="13.5" x14ac:dyDescent="0.15">
      <c r="A1551" s="296">
        <v>3721171</v>
      </c>
      <c r="B1551" s="296" t="s">
        <v>351</v>
      </c>
      <c r="C1551" s="296" t="s">
        <v>356</v>
      </c>
      <c r="D1551" s="296" t="s">
        <v>353</v>
      </c>
      <c r="E1551" s="296" t="s">
        <v>32</v>
      </c>
      <c r="F1551" s="296">
        <v>331</v>
      </c>
      <c r="G1551" s="296" t="s">
        <v>19</v>
      </c>
      <c r="H1551" s="296" t="s">
        <v>20</v>
      </c>
      <c r="I1551" s="296" t="s">
        <v>21</v>
      </c>
      <c r="J1551" s="296"/>
      <c r="K1551" s="296" t="s">
        <v>54</v>
      </c>
      <c r="L1551" s="296">
        <v>38</v>
      </c>
      <c r="M1551" s="296" t="s">
        <v>53</v>
      </c>
      <c r="N1551" s="297">
        <v>1330</v>
      </c>
      <c r="O1551" s="297">
        <v>1330</v>
      </c>
      <c r="P1551" s="392">
        <v>6000</v>
      </c>
      <c r="Q1551" s="296">
        <v>2</v>
      </c>
      <c r="R1551" s="296">
        <v>34</v>
      </c>
      <c r="S1551" s="296" t="s">
        <v>354</v>
      </c>
      <c r="T1551" s="298">
        <v>45128</v>
      </c>
      <c r="U1551" s="298">
        <v>45155</v>
      </c>
      <c r="V1551" s="296" t="s">
        <v>355</v>
      </c>
      <c r="W1551" s="296"/>
      <c r="X1551" s="296"/>
    </row>
    <row r="1552" spans="1:24" ht="13.5" x14ac:dyDescent="0.15">
      <c r="A1552" s="296">
        <v>3721172</v>
      </c>
      <c r="B1552" s="296" t="s">
        <v>351</v>
      </c>
      <c r="C1552" s="296" t="s">
        <v>356</v>
      </c>
      <c r="D1552" s="296" t="s">
        <v>353</v>
      </c>
      <c r="E1552" s="296" t="s">
        <v>32</v>
      </c>
      <c r="F1552" s="296">
        <v>331</v>
      </c>
      <c r="G1552" s="296" t="s">
        <v>19</v>
      </c>
      <c r="H1552" s="296" t="s">
        <v>20</v>
      </c>
      <c r="I1552" s="296" t="s">
        <v>21</v>
      </c>
      <c r="J1552" s="296"/>
      <c r="K1552" s="296" t="s">
        <v>54</v>
      </c>
      <c r="L1552" s="296">
        <v>38</v>
      </c>
      <c r="M1552" s="296" t="s">
        <v>53</v>
      </c>
      <c r="N1552" s="297">
        <v>1330</v>
      </c>
      <c r="O1552" s="297">
        <v>1330</v>
      </c>
      <c r="P1552" s="392">
        <v>6000</v>
      </c>
      <c r="Q1552" s="296">
        <v>2</v>
      </c>
      <c r="R1552" s="296">
        <v>6</v>
      </c>
      <c r="S1552" s="296" t="s">
        <v>354</v>
      </c>
      <c r="T1552" s="298">
        <v>45128</v>
      </c>
      <c r="U1552" s="298">
        <v>45162</v>
      </c>
      <c r="V1552" s="296" t="s">
        <v>355</v>
      </c>
      <c r="W1552" s="296"/>
      <c r="X1552" s="296"/>
    </row>
    <row r="1553" spans="1:24" ht="13.5" x14ac:dyDescent="0.15">
      <c r="A1553" s="296">
        <v>3721174</v>
      </c>
      <c r="B1553" s="296" t="s">
        <v>351</v>
      </c>
      <c r="C1553" s="296" t="s">
        <v>356</v>
      </c>
      <c r="D1553" s="296" t="s">
        <v>353</v>
      </c>
      <c r="E1553" s="296" t="s">
        <v>32</v>
      </c>
      <c r="F1553" s="296">
        <v>3</v>
      </c>
      <c r="G1553" s="296" t="s">
        <v>19</v>
      </c>
      <c r="H1553" s="296" t="s">
        <v>20</v>
      </c>
      <c r="I1553" s="296" t="s">
        <v>21</v>
      </c>
      <c r="J1553" s="296"/>
      <c r="K1553" s="296" t="s">
        <v>56</v>
      </c>
      <c r="L1553" s="296">
        <v>75</v>
      </c>
      <c r="M1553" s="296" t="s">
        <v>376</v>
      </c>
      <c r="N1553" s="297">
        <v>1330</v>
      </c>
      <c r="O1553" s="297">
        <v>1330</v>
      </c>
      <c r="P1553" s="392">
        <v>6000</v>
      </c>
      <c r="Q1553" s="296">
        <v>2</v>
      </c>
      <c r="R1553" s="296">
        <v>30</v>
      </c>
      <c r="S1553" s="296" t="s">
        <v>354</v>
      </c>
      <c r="T1553" s="298">
        <v>45128</v>
      </c>
      <c r="U1553" s="298">
        <v>45162</v>
      </c>
      <c r="V1553" s="296" t="s">
        <v>355</v>
      </c>
      <c r="W1553" s="296"/>
      <c r="X1553" s="296"/>
    </row>
    <row r="1554" spans="1:24" ht="13.5" x14ac:dyDescent="0.15">
      <c r="A1554" s="296">
        <v>3721175</v>
      </c>
      <c r="B1554" s="296" t="s">
        <v>351</v>
      </c>
      <c r="C1554" s="296" t="s">
        <v>358</v>
      </c>
      <c r="D1554" s="296" t="s">
        <v>353</v>
      </c>
      <c r="E1554" s="296" t="s">
        <v>369</v>
      </c>
      <c r="F1554" s="296">
        <v>3</v>
      </c>
      <c r="G1554" s="296" t="s">
        <v>19</v>
      </c>
      <c r="H1554" s="296" t="s">
        <v>20</v>
      </c>
      <c r="I1554" s="296" t="s">
        <v>21</v>
      </c>
      <c r="J1554" s="296"/>
      <c r="K1554" s="296" t="s">
        <v>47</v>
      </c>
      <c r="L1554" s="296">
        <v>38</v>
      </c>
      <c r="M1554" s="296" t="s">
        <v>53</v>
      </c>
      <c r="N1554" s="296">
        <v>535</v>
      </c>
      <c r="O1554" s="296">
        <v>535</v>
      </c>
      <c r="P1554" s="392">
        <v>6000</v>
      </c>
      <c r="Q1554" s="296">
        <v>2</v>
      </c>
      <c r="R1554" s="296">
        <v>4</v>
      </c>
      <c r="S1554" s="296" t="s">
        <v>354</v>
      </c>
      <c r="T1554" s="298">
        <v>45128</v>
      </c>
      <c r="U1554" s="298">
        <v>45162</v>
      </c>
      <c r="V1554" s="296" t="s">
        <v>355</v>
      </c>
      <c r="W1554" s="296"/>
      <c r="X1554" s="296"/>
    </row>
    <row r="1555" spans="1:24" ht="13.5" x14ac:dyDescent="0.15">
      <c r="A1555" s="296">
        <v>3721176</v>
      </c>
      <c r="B1555" s="296" t="s">
        <v>351</v>
      </c>
      <c r="C1555" s="296" t="s">
        <v>364</v>
      </c>
      <c r="D1555" s="296" t="s">
        <v>353</v>
      </c>
      <c r="E1555" s="296" t="s">
        <v>371</v>
      </c>
      <c r="F1555" s="296">
        <v>3</v>
      </c>
      <c r="G1555" s="296" t="s">
        <v>19</v>
      </c>
      <c r="H1555" s="296" t="s">
        <v>28</v>
      </c>
      <c r="I1555" s="296" t="s">
        <v>21</v>
      </c>
      <c r="J1555" s="296"/>
      <c r="K1555" s="296" t="s">
        <v>465</v>
      </c>
      <c r="L1555" s="296">
        <v>75</v>
      </c>
      <c r="M1555" s="296" t="s">
        <v>466</v>
      </c>
      <c r="N1555" s="297">
        <v>1040</v>
      </c>
      <c r="O1555" s="297">
        <v>1040</v>
      </c>
      <c r="P1555" s="392">
        <v>6000</v>
      </c>
      <c r="Q1555" s="296">
        <v>1</v>
      </c>
      <c r="R1555" s="296">
        <v>2</v>
      </c>
      <c r="S1555" s="296" t="s">
        <v>354</v>
      </c>
      <c r="T1555" s="298">
        <v>45128</v>
      </c>
      <c r="U1555" s="298">
        <v>45162</v>
      </c>
      <c r="V1555" s="296" t="s">
        <v>355</v>
      </c>
      <c r="W1555" s="296"/>
      <c r="X1555" s="296"/>
    </row>
    <row r="1556" spans="1:24" ht="13.5" x14ac:dyDescent="0.15">
      <c r="A1556" s="296">
        <v>3721177</v>
      </c>
      <c r="B1556" s="296" t="s">
        <v>351</v>
      </c>
      <c r="C1556" s="296" t="s">
        <v>364</v>
      </c>
      <c r="D1556" s="296" t="s">
        <v>353</v>
      </c>
      <c r="E1556" s="296" t="s">
        <v>371</v>
      </c>
      <c r="F1556" s="296">
        <v>3</v>
      </c>
      <c r="G1556" s="296" t="s">
        <v>19</v>
      </c>
      <c r="H1556" s="296" t="s">
        <v>28</v>
      </c>
      <c r="I1556" s="296" t="s">
        <v>21</v>
      </c>
      <c r="J1556" s="296"/>
      <c r="K1556" s="296" t="s">
        <v>60</v>
      </c>
      <c r="L1556" s="296">
        <v>75</v>
      </c>
      <c r="M1556" s="296" t="s">
        <v>372</v>
      </c>
      <c r="N1556" s="297">
        <v>1040</v>
      </c>
      <c r="O1556" s="297">
        <v>1040</v>
      </c>
      <c r="P1556" s="392">
        <v>6000</v>
      </c>
      <c r="Q1556" s="296">
        <v>1</v>
      </c>
      <c r="R1556" s="296">
        <v>2</v>
      </c>
      <c r="S1556" s="296" t="s">
        <v>354</v>
      </c>
      <c r="T1556" s="298">
        <v>45128</v>
      </c>
      <c r="U1556" s="298">
        <v>45162</v>
      </c>
      <c r="V1556" s="296" t="s">
        <v>355</v>
      </c>
      <c r="W1556" s="296"/>
      <c r="X1556" s="296"/>
    </row>
    <row r="1557" spans="1:24" ht="13.5" x14ac:dyDescent="0.15">
      <c r="A1557" s="296">
        <v>3721178</v>
      </c>
      <c r="B1557" s="296" t="s">
        <v>351</v>
      </c>
      <c r="C1557" s="296" t="s">
        <v>352</v>
      </c>
      <c r="D1557" s="296" t="s">
        <v>353</v>
      </c>
      <c r="E1557" s="296" t="s">
        <v>116</v>
      </c>
      <c r="F1557" s="296">
        <v>3</v>
      </c>
      <c r="G1557" s="296" t="s">
        <v>19</v>
      </c>
      <c r="H1557" s="296" t="s">
        <v>20</v>
      </c>
      <c r="I1557" s="296" t="s">
        <v>21</v>
      </c>
      <c r="J1557" s="296"/>
      <c r="K1557" s="296" t="s">
        <v>118</v>
      </c>
      <c r="L1557" s="296">
        <v>38</v>
      </c>
      <c r="M1557" s="296" t="s">
        <v>368</v>
      </c>
      <c r="N1557" s="297">
        <v>1005</v>
      </c>
      <c r="O1557" s="297">
        <v>1000</v>
      </c>
      <c r="P1557" s="392">
        <v>6000</v>
      </c>
      <c r="Q1557" s="296">
        <v>2</v>
      </c>
      <c r="R1557" s="296">
        <v>12</v>
      </c>
      <c r="S1557" s="296" t="s">
        <v>354</v>
      </c>
      <c r="T1557" s="298">
        <v>45128</v>
      </c>
      <c r="U1557" s="298">
        <v>45163</v>
      </c>
      <c r="V1557" s="296" t="s">
        <v>355</v>
      </c>
      <c r="W1557" s="296"/>
      <c r="X1557" s="296"/>
    </row>
    <row r="1558" spans="1:24" ht="13.5" x14ac:dyDescent="0.15">
      <c r="A1558" s="296">
        <v>3721179</v>
      </c>
      <c r="B1558" s="296" t="s">
        <v>351</v>
      </c>
      <c r="C1558" s="296" t="s">
        <v>356</v>
      </c>
      <c r="D1558" s="296" t="s">
        <v>353</v>
      </c>
      <c r="E1558" s="296" t="s">
        <v>106</v>
      </c>
      <c r="F1558" s="296">
        <v>3</v>
      </c>
      <c r="G1558" s="296" t="s">
        <v>19</v>
      </c>
      <c r="H1558" s="296" t="s">
        <v>20</v>
      </c>
      <c r="I1558" s="296" t="s">
        <v>21</v>
      </c>
      <c r="J1558" s="296"/>
      <c r="K1558" s="296" t="s">
        <v>107</v>
      </c>
      <c r="L1558" s="296">
        <v>25</v>
      </c>
      <c r="M1558" s="296" t="s">
        <v>367</v>
      </c>
      <c r="N1558" s="297">
        <v>1040</v>
      </c>
      <c r="O1558" s="297">
        <v>1040</v>
      </c>
      <c r="P1558" s="392">
        <v>6000</v>
      </c>
      <c r="Q1558" s="296">
        <v>2</v>
      </c>
      <c r="R1558" s="296">
        <v>10</v>
      </c>
      <c r="S1558" s="296" t="s">
        <v>354</v>
      </c>
      <c r="T1558" s="298">
        <v>45128</v>
      </c>
      <c r="U1558" s="298">
        <v>45166</v>
      </c>
      <c r="V1558" s="296" t="s">
        <v>355</v>
      </c>
      <c r="W1558" s="296"/>
      <c r="X1558" s="296"/>
    </row>
    <row r="1559" spans="1:24" ht="13.5" x14ac:dyDescent="0.15">
      <c r="A1559" s="296">
        <v>3721180</v>
      </c>
      <c r="B1559" s="296" t="s">
        <v>351</v>
      </c>
      <c r="C1559" s="296" t="s">
        <v>356</v>
      </c>
      <c r="D1559" s="296" t="s">
        <v>353</v>
      </c>
      <c r="E1559" s="296" t="s">
        <v>130</v>
      </c>
      <c r="F1559" s="296">
        <v>331</v>
      </c>
      <c r="G1559" s="296" t="s">
        <v>19</v>
      </c>
      <c r="H1559" s="296" t="s">
        <v>20</v>
      </c>
      <c r="I1559" s="296" t="s">
        <v>21</v>
      </c>
      <c r="J1559" s="296"/>
      <c r="K1559" s="296" t="s">
        <v>435</v>
      </c>
      <c r="L1559" s="296">
        <v>25</v>
      </c>
      <c r="M1559" s="296" t="s">
        <v>436</v>
      </c>
      <c r="N1559" s="297">
        <v>1410</v>
      </c>
      <c r="O1559" s="297">
        <v>1410</v>
      </c>
      <c r="P1559" s="392">
        <v>6000</v>
      </c>
      <c r="Q1559" s="296">
        <v>2</v>
      </c>
      <c r="R1559" s="296">
        <v>10</v>
      </c>
      <c r="S1559" s="296" t="s">
        <v>354</v>
      </c>
      <c r="T1559" s="298">
        <v>45128</v>
      </c>
      <c r="U1559" s="298">
        <v>45166</v>
      </c>
      <c r="V1559" s="296" t="s">
        <v>355</v>
      </c>
      <c r="W1559" s="296"/>
      <c r="X1559" s="296"/>
    </row>
    <row r="1560" spans="1:24" ht="13.5" x14ac:dyDescent="0.15">
      <c r="A1560" s="296">
        <v>3721181</v>
      </c>
      <c r="B1560" s="296" t="s">
        <v>351</v>
      </c>
      <c r="C1560" s="296" t="s">
        <v>356</v>
      </c>
      <c r="D1560" s="296" t="s">
        <v>353</v>
      </c>
      <c r="E1560" s="296" t="s">
        <v>130</v>
      </c>
      <c r="F1560" s="296">
        <v>331</v>
      </c>
      <c r="G1560" s="296" t="s">
        <v>19</v>
      </c>
      <c r="H1560" s="296" t="s">
        <v>20</v>
      </c>
      <c r="I1560" s="296" t="s">
        <v>21</v>
      </c>
      <c r="J1560" s="296"/>
      <c r="K1560" s="296" t="s">
        <v>435</v>
      </c>
      <c r="L1560" s="296">
        <v>25</v>
      </c>
      <c r="M1560" s="296" t="s">
        <v>436</v>
      </c>
      <c r="N1560" s="297">
        <v>1410</v>
      </c>
      <c r="O1560" s="297">
        <v>1410</v>
      </c>
      <c r="P1560" s="392">
        <v>6000</v>
      </c>
      <c r="Q1560" s="296">
        <v>2</v>
      </c>
      <c r="R1560" s="296">
        <v>8</v>
      </c>
      <c r="S1560" s="296" t="s">
        <v>354</v>
      </c>
      <c r="T1560" s="298">
        <v>45128</v>
      </c>
      <c r="U1560" s="298">
        <v>45166</v>
      </c>
      <c r="V1560" s="296" t="s">
        <v>355</v>
      </c>
      <c r="W1560" s="296"/>
      <c r="X1560" s="296"/>
    </row>
    <row r="1561" spans="1:24" ht="13.5" x14ac:dyDescent="0.15">
      <c r="A1561" s="296">
        <v>3721182</v>
      </c>
      <c r="B1561" s="296" t="s">
        <v>351</v>
      </c>
      <c r="C1561" s="296" t="s">
        <v>358</v>
      </c>
      <c r="D1561" s="296" t="s">
        <v>353</v>
      </c>
      <c r="E1561" s="296" t="s">
        <v>61</v>
      </c>
      <c r="F1561" s="296">
        <v>3313</v>
      </c>
      <c r="G1561" s="296" t="s">
        <v>19</v>
      </c>
      <c r="H1561" s="296" t="s">
        <v>20</v>
      </c>
      <c r="I1561" s="296" t="s">
        <v>21</v>
      </c>
      <c r="J1561" s="296"/>
      <c r="K1561" s="296" t="s">
        <v>62</v>
      </c>
      <c r="L1561" s="296">
        <v>38</v>
      </c>
      <c r="M1561" s="296" t="s">
        <v>63</v>
      </c>
      <c r="N1561" s="296">
        <v>750</v>
      </c>
      <c r="O1561" s="296">
        <v>750</v>
      </c>
      <c r="P1561" s="392">
        <v>6000</v>
      </c>
      <c r="Q1561" s="296">
        <v>2</v>
      </c>
      <c r="R1561" s="296">
        <v>40</v>
      </c>
      <c r="S1561" s="296" t="s">
        <v>354</v>
      </c>
      <c r="T1561" s="298">
        <v>45128</v>
      </c>
      <c r="U1561" s="298">
        <v>45163</v>
      </c>
      <c r="V1561" s="296" t="s">
        <v>355</v>
      </c>
      <c r="W1561" s="296"/>
      <c r="X1561" s="296"/>
    </row>
    <row r="1562" spans="1:24" ht="13.5" x14ac:dyDescent="0.15">
      <c r="A1562" s="296">
        <v>3721185</v>
      </c>
      <c r="B1562" s="296" t="s">
        <v>351</v>
      </c>
      <c r="C1562" s="296" t="s">
        <v>363</v>
      </c>
      <c r="D1562" s="296" t="s">
        <v>353</v>
      </c>
      <c r="E1562" s="296" t="s">
        <v>65</v>
      </c>
      <c r="F1562" s="296">
        <v>3321</v>
      </c>
      <c r="G1562" s="296" t="s">
        <v>19</v>
      </c>
      <c r="H1562" s="296" t="s">
        <v>20</v>
      </c>
      <c r="I1562" s="296" t="s">
        <v>21</v>
      </c>
      <c r="J1562" s="296"/>
      <c r="K1562" s="296" t="s">
        <v>67</v>
      </c>
      <c r="L1562" s="296">
        <v>38</v>
      </c>
      <c r="M1562" s="296" t="s">
        <v>68</v>
      </c>
      <c r="N1562" s="297">
        <v>1336</v>
      </c>
      <c r="O1562" s="297">
        <v>1325</v>
      </c>
      <c r="P1562" s="392">
        <v>6000</v>
      </c>
      <c r="Q1562" s="296">
        <v>2</v>
      </c>
      <c r="R1562" s="296">
        <v>32</v>
      </c>
      <c r="S1562" s="296" t="s">
        <v>354</v>
      </c>
      <c r="T1562" s="298">
        <v>45128</v>
      </c>
      <c r="U1562" s="298">
        <v>45163</v>
      </c>
      <c r="V1562" s="296" t="s">
        <v>355</v>
      </c>
      <c r="W1562" s="296"/>
      <c r="X1562" s="296"/>
    </row>
    <row r="1563" spans="1:24" ht="13.5" x14ac:dyDescent="0.15">
      <c r="A1563" s="296">
        <v>3721186</v>
      </c>
      <c r="B1563" s="296" t="s">
        <v>351</v>
      </c>
      <c r="C1563" s="296" t="s">
        <v>363</v>
      </c>
      <c r="D1563" s="296" t="s">
        <v>353</v>
      </c>
      <c r="E1563" s="296" t="s">
        <v>65</v>
      </c>
      <c r="F1563" s="296">
        <v>3321</v>
      </c>
      <c r="G1563" s="296" t="s">
        <v>19</v>
      </c>
      <c r="H1563" s="296" t="s">
        <v>20</v>
      </c>
      <c r="I1563" s="296" t="s">
        <v>21</v>
      </c>
      <c r="J1563" s="296"/>
      <c r="K1563" s="296" t="s">
        <v>70</v>
      </c>
      <c r="L1563" s="296">
        <v>38</v>
      </c>
      <c r="M1563" s="296" t="s">
        <v>71</v>
      </c>
      <c r="N1563" s="297">
        <v>1336</v>
      </c>
      <c r="O1563" s="297">
        <v>1325</v>
      </c>
      <c r="P1563" s="392">
        <v>6000</v>
      </c>
      <c r="Q1563" s="296">
        <v>2</v>
      </c>
      <c r="R1563" s="296">
        <v>32</v>
      </c>
      <c r="S1563" s="296" t="s">
        <v>354</v>
      </c>
      <c r="T1563" s="298">
        <v>45128</v>
      </c>
      <c r="U1563" s="298">
        <v>45163</v>
      </c>
      <c r="V1563" s="296" t="s">
        <v>355</v>
      </c>
      <c r="W1563" s="296"/>
      <c r="X1563" s="296"/>
    </row>
    <row r="1564" spans="1:24" ht="13.5" x14ac:dyDescent="0.15">
      <c r="A1564" s="296">
        <v>3721187</v>
      </c>
      <c r="B1564" s="296" t="s">
        <v>351</v>
      </c>
      <c r="C1564" s="296" t="s">
        <v>356</v>
      </c>
      <c r="D1564" s="296" t="s">
        <v>353</v>
      </c>
      <c r="E1564" s="296" t="s">
        <v>32</v>
      </c>
      <c r="F1564" s="296">
        <v>331</v>
      </c>
      <c r="G1564" s="296" t="s">
        <v>19</v>
      </c>
      <c r="H1564" s="296" t="s">
        <v>20</v>
      </c>
      <c r="I1564" s="296" t="s">
        <v>21</v>
      </c>
      <c r="J1564" s="296"/>
      <c r="K1564" s="296" t="s">
        <v>33</v>
      </c>
      <c r="L1564" s="296">
        <v>38</v>
      </c>
      <c r="M1564" s="296" t="s">
        <v>30</v>
      </c>
      <c r="N1564" s="297">
        <v>1580</v>
      </c>
      <c r="O1564" s="297">
        <v>1580</v>
      </c>
      <c r="P1564" s="392">
        <v>6000</v>
      </c>
      <c r="Q1564" s="296">
        <v>2</v>
      </c>
      <c r="R1564" s="296">
        <v>8</v>
      </c>
      <c r="S1564" s="296" t="s">
        <v>354</v>
      </c>
      <c r="T1564" s="298">
        <v>45128</v>
      </c>
      <c r="U1564" s="298">
        <v>45167</v>
      </c>
      <c r="V1564" s="296" t="s">
        <v>355</v>
      </c>
      <c r="W1564" s="296"/>
      <c r="X1564" s="296"/>
    </row>
    <row r="1565" spans="1:24" ht="13.5" x14ac:dyDescent="0.15">
      <c r="A1565" s="296">
        <v>3721188</v>
      </c>
      <c r="B1565" s="296" t="s">
        <v>351</v>
      </c>
      <c r="C1565" s="296" t="s">
        <v>356</v>
      </c>
      <c r="D1565" s="296" t="s">
        <v>353</v>
      </c>
      <c r="E1565" s="296" t="s">
        <v>17</v>
      </c>
      <c r="F1565" s="296">
        <v>331</v>
      </c>
      <c r="G1565" s="296" t="s">
        <v>19</v>
      </c>
      <c r="H1565" s="296" t="s">
        <v>20</v>
      </c>
      <c r="I1565" s="296" t="s">
        <v>21</v>
      </c>
      <c r="J1565" s="296"/>
      <c r="K1565" s="296" t="s">
        <v>22</v>
      </c>
      <c r="L1565" s="296">
        <v>38</v>
      </c>
      <c r="M1565" s="296" t="s">
        <v>23</v>
      </c>
      <c r="N1565" s="297">
        <v>1367</v>
      </c>
      <c r="O1565" s="297">
        <v>1360</v>
      </c>
      <c r="P1565" s="392">
        <v>6000</v>
      </c>
      <c r="Q1565" s="296">
        <v>2</v>
      </c>
      <c r="R1565" s="296">
        <v>4</v>
      </c>
      <c r="S1565" s="296" t="s">
        <v>354</v>
      </c>
      <c r="T1565" s="298">
        <v>45128</v>
      </c>
      <c r="U1565" s="298">
        <v>45167</v>
      </c>
      <c r="V1565" s="296" t="s">
        <v>355</v>
      </c>
      <c r="W1565" s="296"/>
      <c r="X1565" s="296"/>
    </row>
    <row r="1566" spans="1:24" ht="13.5" x14ac:dyDescent="0.15">
      <c r="A1566" s="296">
        <v>3721189</v>
      </c>
      <c r="B1566" s="296" t="s">
        <v>351</v>
      </c>
      <c r="C1566" s="296" t="s">
        <v>356</v>
      </c>
      <c r="D1566" s="296" t="s">
        <v>353</v>
      </c>
      <c r="E1566" s="296" t="s">
        <v>32</v>
      </c>
      <c r="F1566" s="296">
        <v>331</v>
      </c>
      <c r="G1566" s="296" t="s">
        <v>19</v>
      </c>
      <c r="H1566" s="296" t="s">
        <v>20</v>
      </c>
      <c r="I1566" s="296" t="s">
        <v>21</v>
      </c>
      <c r="J1566" s="296"/>
      <c r="K1566" s="296" t="s">
        <v>33</v>
      </c>
      <c r="L1566" s="296">
        <v>25</v>
      </c>
      <c r="M1566" s="296" t="s">
        <v>30</v>
      </c>
      <c r="N1566" s="297">
        <v>1330</v>
      </c>
      <c r="O1566" s="297">
        <v>1330</v>
      </c>
      <c r="P1566" s="392">
        <v>6000</v>
      </c>
      <c r="Q1566" s="296">
        <v>2</v>
      </c>
      <c r="R1566" s="296">
        <v>20</v>
      </c>
      <c r="S1566" s="296" t="s">
        <v>354</v>
      </c>
      <c r="T1566" s="298">
        <v>45128</v>
      </c>
      <c r="U1566" s="298">
        <v>45167</v>
      </c>
      <c r="V1566" s="296" t="s">
        <v>355</v>
      </c>
      <c r="W1566" s="296"/>
      <c r="X1566" s="296"/>
    </row>
    <row r="1567" spans="1:24" ht="13.5" x14ac:dyDescent="0.15">
      <c r="A1567" s="296">
        <v>3721190</v>
      </c>
      <c r="B1567" s="296" t="s">
        <v>351</v>
      </c>
      <c r="C1567" s="296" t="s">
        <v>356</v>
      </c>
      <c r="D1567" s="296" t="s">
        <v>353</v>
      </c>
      <c r="E1567" s="296" t="s">
        <v>32</v>
      </c>
      <c r="F1567" s="296">
        <v>331</v>
      </c>
      <c r="G1567" s="296" t="s">
        <v>19</v>
      </c>
      <c r="H1567" s="296" t="s">
        <v>20</v>
      </c>
      <c r="I1567" s="296" t="s">
        <v>21</v>
      </c>
      <c r="J1567" s="296"/>
      <c r="K1567" s="296" t="s">
        <v>33</v>
      </c>
      <c r="L1567" s="296">
        <v>38</v>
      </c>
      <c r="M1567" s="296" t="s">
        <v>30</v>
      </c>
      <c r="N1567" s="297">
        <v>1330</v>
      </c>
      <c r="O1567" s="297">
        <v>1330</v>
      </c>
      <c r="P1567" s="392">
        <v>6000</v>
      </c>
      <c r="Q1567" s="296">
        <v>2</v>
      </c>
      <c r="R1567" s="296">
        <v>20</v>
      </c>
      <c r="S1567" s="296" t="s">
        <v>354</v>
      </c>
      <c r="T1567" s="298">
        <v>45128</v>
      </c>
      <c r="U1567" s="298">
        <v>45167</v>
      </c>
      <c r="V1567" s="296" t="s">
        <v>355</v>
      </c>
      <c r="W1567" s="296"/>
      <c r="X1567" s="296"/>
    </row>
    <row r="1568" spans="1:24" ht="13.5" x14ac:dyDescent="0.15">
      <c r="A1568" s="296">
        <v>3721191</v>
      </c>
      <c r="B1568" s="296" t="s">
        <v>351</v>
      </c>
      <c r="C1568" s="296" t="s">
        <v>359</v>
      </c>
      <c r="D1568" s="296" t="s">
        <v>353</v>
      </c>
      <c r="E1568" s="296" t="s">
        <v>40</v>
      </c>
      <c r="F1568" s="296">
        <v>3</v>
      </c>
      <c r="G1568" s="296" t="s">
        <v>19</v>
      </c>
      <c r="H1568" s="296" t="s">
        <v>20</v>
      </c>
      <c r="I1568" s="296" t="s">
        <v>21</v>
      </c>
      <c r="J1568" s="296"/>
      <c r="K1568" s="296" t="s">
        <v>42</v>
      </c>
      <c r="L1568" s="296">
        <v>25</v>
      </c>
      <c r="M1568" s="296" t="s">
        <v>43</v>
      </c>
      <c r="N1568" s="297">
        <v>1085</v>
      </c>
      <c r="O1568" s="297">
        <v>1080</v>
      </c>
      <c r="P1568" s="392">
        <v>6000</v>
      </c>
      <c r="Q1568" s="296">
        <v>2</v>
      </c>
      <c r="R1568" s="296">
        <v>2</v>
      </c>
      <c r="S1568" s="296" t="s">
        <v>354</v>
      </c>
      <c r="T1568" s="298">
        <v>45128</v>
      </c>
      <c r="U1568" s="298">
        <v>45167</v>
      </c>
      <c r="V1568" s="296" t="s">
        <v>355</v>
      </c>
      <c r="W1568" s="296"/>
      <c r="X1568" s="296"/>
    </row>
    <row r="1569" spans="1:24" ht="13.5" x14ac:dyDescent="0.15">
      <c r="A1569" s="296">
        <v>3721192</v>
      </c>
      <c r="B1569" s="296" t="s">
        <v>351</v>
      </c>
      <c r="C1569" s="296" t="s">
        <v>356</v>
      </c>
      <c r="D1569" s="296" t="s">
        <v>353</v>
      </c>
      <c r="E1569" s="296" t="s">
        <v>17</v>
      </c>
      <c r="F1569" s="296">
        <v>3</v>
      </c>
      <c r="G1569" s="296" t="s">
        <v>19</v>
      </c>
      <c r="H1569" s="296" t="s">
        <v>20</v>
      </c>
      <c r="I1569" s="296" t="s">
        <v>21</v>
      </c>
      <c r="J1569" s="296"/>
      <c r="K1569" s="296" t="s">
        <v>22</v>
      </c>
      <c r="L1569" s="296">
        <v>38</v>
      </c>
      <c r="M1569" s="296" t="s">
        <v>23</v>
      </c>
      <c r="N1569" s="297">
        <v>1057</v>
      </c>
      <c r="O1569" s="297">
        <v>1050</v>
      </c>
      <c r="P1569" s="392">
        <v>6000</v>
      </c>
      <c r="Q1569" s="296">
        <v>2</v>
      </c>
      <c r="R1569" s="296">
        <v>7</v>
      </c>
      <c r="S1569" s="296" t="s">
        <v>354</v>
      </c>
      <c r="T1569" s="298">
        <v>45128</v>
      </c>
      <c r="U1569" s="298">
        <v>45167</v>
      </c>
      <c r="V1569" s="296" t="s">
        <v>355</v>
      </c>
      <c r="W1569" s="296"/>
      <c r="X1569" s="296"/>
    </row>
    <row r="1570" spans="1:24" ht="13.5" x14ac:dyDescent="0.15">
      <c r="A1570" s="296">
        <v>3721193</v>
      </c>
      <c r="B1570" s="296" t="s">
        <v>351</v>
      </c>
      <c r="C1570" s="296" t="s">
        <v>359</v>
      </c>
      <c r="D1570" s="296" t="s">
        <v>353</v>
      </c>
      <c r="E1570" s="296" t="s">
        <v>40</v>
      </c>
      <c r="F1570" s="296">
        <v>3</v>
      </c>
      <c r="G1570" s="296" t="s">
        <v>19</v>
      </c>
      <c r="H1570" s="296" t="s">
        <v>20</v>
      </c>
      <c r="I1570" s="296" t="s">
        <v>21</v>
      </c>
      <c r="J1570" s="296"/>
      <c r="K1570" s="296" t="s">
        <v>42</v>
      </c>
      <c r="L1570" s="296">
        <v>25</v>
      </c>
      <c r="M1570" s="296" t="s">
        <v>43</v>
      </c>
      <c r="N1570" s="297">
        <v>1045</v>
      </c>
      <c r="O1570" s="297">
        <v>1040</v>
      </c>
      <c r="P1570" s="392">
        <v>6000</v>
      </c>
      <c r="Q1570" s="296">
        <v>2</v>
      </c>
      <c r="R1570" s="296">
        <v>10</v>
      </c>
      <c r="S1570" s="296" t="s">
        <v>354</v>
      </c>
      <c r="T1570" s="298">
        <v>45128</v>
      </c>
      <c r="U1570" s="298">
        <v>45167</v>
      </c>
      <c r="V1570" s="296" t="s">
        <v>355</v>
      </c>
      <c r="W1570" s="296"/>
      <c r="X1570" s="296"/>
    </row>
    <row r="1571" spans="1:24" ht="13.5" x14ac:dyDescent="0.15">
      <c r="A1571" s="296">
        <v>3721194</v>
      </c>
      <c r="B1571" s="296" t="s">
        <v>351</v>
      </c>
      <c r="C1571" s="296" t="s">
        <v>356</v>
      </c>
      <c r="D1571" s="296" t="s">
        <v>353</v>
      </c>
      <c r="E1571" s="296" t="s">
        <v>17</v>
      </c>
      <c r="F1571" s="296">
        <v>3</v>
      </c>
      <c r="G1571" s="296" t="s">
        <v>19</v>
      </c>
      <c r="H1571" s="296" t="s">
        <v>20</v>
      </c>
      <c r="I1571" s="296" t="s">
        <v>21</v>
      </c>
      <c r="J1571" s="296"/>
      <c r="K1571" s="296" t="s">
        <v>22</v>
      </c>
      <c r="L1571" s="296">
        <v>38</v>
      </c>
      <c r="M1571" s="296" t="s">
        <v>23</v>
      </c>
      <c r="N1571" s="297">
        <v>1037</v>
      </c>
      <c r="O1571" s="297">
        <v>1030</v>
      </c>
      <c r="P1571" s="392">
        <v>6000</v>
      </c>
      <c r="Q1571" s="296">
        <v>2</v>
      </c>
      <c r="R1571" s="296">
        <v>34</v>
      </c>
      <c r="S1571" s="296" t="s">
        <v>354</v>
      </c>
      <c r="T1571" s="298">
        <v>45128</v>
      </c>
      <c r="U1571" s="298">
        <v>45167</v>
      </c>
      <c r="V1571" s="296" t="s">
        <v>355</v>
      </c>
      <c r="W1571" s="296"/>
      <c r="X1571" s="296"/>
    </row>
    <row r="1572" spans="1:24" ht="13.5" x14ac:dyDescent="0.15">
      <c r="A1572" s="296">
        <v>3721195</v>
      </c>
      <c r="B1572" s="296" t="s">
        <v>351</v>
      </c>
      <c r="C1572" s="296" t="s">
        <v>356</v>
      </c>
      <c r="D1572" s="296" t="s">
        <v>353</v>
      </c>
      <c r="E1572" s="296" t="s">
        <v>377</v>
      </c>
      <c r="F1572" s="296">
        <v>3</v>
      </c>
      <c r="G1572" s="296" t="s">
        <v>19</v>
      </c>
      <c r="H1572" s="296" t="s">
        <v>20</v>
      </c>
      <c r="I1572" s="296" t="s">
        <v>21</v>
      </c>
      <c r="J1572" s="296"/>
      <c r="K1572" s="296" t="s">
        <v>36</v>
      </c>
      <c r="L1572" s="296">
        <v>25</v>
      </c>
      <c r="M1572" s="296" t="s">
        <v>37</v>
      </c>
      <c r="N1572" s="296">
        <v>890</v>
      </c>
      <c r="O1572" s="296">
        <v>890</v>
      </c>
      <c r="P1572" s="392">
        <v>6000</v>
      </c>
      <c r="Q1572" s="296">
        <v>2</v>
      </c>
      <c r="R1572" s="296">
        <v>3</v>
      </c>
      <c r="S1572" s="296" t="s">
        <v>354</v>
      </c>
      <c r="T1572" s="298">
        <v>45128</v>
      </c>
      <c r="U1572" s="298">
        <v>45167</v>
      </c>
      <c r="V1572" s="296" t="s">
        <v>355</v>
      </c>
      <c r="W1572" s="296"/>
      <c r="X1572" s="296"/>
    </row>
    <row r="1573" spans="1:24" ht="13.5" x14ac:dyDescent="0.15">
      <c r="A1573" s="296">
        <v>3721196</v>
      </c>
      <c r="B1573" s="296" t="s">
        <v>351</v>
      </c>
      <c r="C1573" s="296" t="s">
        <v>356</v>
      </c>
      <c r="D1573" s="296" t="s">
        <v>353</v>
      </c>
      <c r="E1573" s="296" t="s">
        <v>255</v>
      </c>
      <c r="F1573" s="296">
        <v>3</v>
      </c>
      <c r="G1573" s="296" t="s">
        <v>19</v>
      </c>
      <c r="H1573" s="296" t="s">
        <v>20</v>
      </c>
      <c r="I1573" s="296" t="s">
        <v>256</v>
      </c>
      <c r="J1573" s="296"/>
      <c r="K1573" s="296" t="s">
        <v>257</v>
      </c>
      <c r="L1573" s="296">
        <v>100</v>
      </c>
      <c r="M1573" s="296" t="s">
        <v>258</v>
      </c>
      <c r="N1573" s="297">
        <v>1000</v>
      </c>
      <c r="O1573" s="297">
        <v>1000</v>
      </c>
      <c r="P1573" s="392">
        <v>6000</v>
      </c>
      <c r="Q1573" s="296">
        <v>2</v>
      </c>
      <c r="R1573" s="296">
        <v>6</v>
      </c>
      <c r="S1573" s="296" t="s">
        <v>354</v>
      </c>
      <c r="T1573" s="298">
        <v>45128</v>
      </c>
      <c r="U1573" s="298">
        <v>45158</v>
      </c>
      <c r="V1573" s="296" t="s">
        <v>355</v>
      </c>
      <c r="W1573" s="296"/>
      <c r="X1573" s="296"/>
    </row>
    <row r="1574" spans="1:24" ht="13.5" x14ac:dyDescent="0.15">
      <c r="A1574" s="296">
        <v>3721197</v>
      </c>
      <c r="B1574" s="296" t="s">
        <v>351</v>
      </c>
      <c r="C1574" s="296" t="s">
        <v>356</v>
      </c>
      <c r="D1574" s="296" t="s">
        <v>353</v>
      </c>
      <c r="E1574" s="296" t="s">
        <v>255</v>
      </c>
      <c r="F1574" s="296">
        <v>3</v>
      </c>
      <c r="G1574" s="296" t="s">
        <v>19</v>
      </c>
      <c r="H1574" s="296" t="s">
        <v>20</v>
      </c>
      <c r="I1574" s="296" t="s">
        <v>256</v>
      </c>
      <c r="J1574" s="296"/>
      <c r="K1574" s="296" t="s">
        <v>257</v>
      </c>
      <c r="L1574" s="296">
        <v>125</v>
      </c>
      <c r="M1574" s="296" t="s">
        <v>258</v>
      </c>
      <c r="N1574" s="297">
        <v>1000</v>
      </c>
      <c r="O1574" s="297">
        <v>1000</v>
      </c>
      <c r="P1574" s="392">
        <v>6000</v>
      </c>
      <c r="Q1574" s="296">
        <v>2</v>
      </c>
      <c r="R1574" s="296">
        <v>6</v>
      </c>
      <c r="S1574" s="296" t="s">
        <v>354</v>
      </c>
      <c r="T1574" s="298">
        <v>45128</v>
      </c>
      <c r="U1574" s="298">
        <v>45158</v>
      </c>
      <c r="V1574" s="296" t="s">
        <v>355</v>
      </c>
      <c r="W1574" s="296"/>
      <c r="X1574" s="296"/>
    </row>
    <row r="1575" spans="1:24" ht="13.5" x14ac:dyDescent="0.15">
      <c r="A1575" s="296">
        <v>3721198</v>
      </c>
      <c r="B1575" s="296" t="s">
        <v>351</v>
      </c>
      <c r="C1575" s="296" t="s">
        <v>356</v>
      </c>
      <c r="D1575" s="296" t="s">
        <v>353</v>
      </c>
      <c r="E1575" s="296" t="s">
        <v>255</v>
      </c>
      <c r="F1575" s="296">
        <v>3</v>
      </c>
      <c r="G1575" s="296" t="s">
        <v>19</v>
      </c>
      <c r="H1575" s="296" t="s">
        <v>20</v>
      </c>
      <c r="I1575" s="296" t="s">
        <v>256</v>
      </c>
      <c r="J1575" s="296"/>
      <c r="K1575" s="296" t="s">
        <v>257</v>
      </c>
      <c r="L1575" s="296">
        <v>188</v>
      </c>
      <c r="M1575" s="296" t="s">
        <v>258</v>
      </c>
      <c r="N1575" s="297">
        <v>1000</v>
      </c>
      <c r="O1575" s="297">
        <v>1000</v>
      </c>
      <c r="P1575" s="392">
        <v>6000</v>
      </c>
      <c r="Q1575" s="296">
        <v>2</v>
      </c>
      <c r="R1575" s="296">
        <v>5</v>
      </c>
      <c r="S1575" s="296" t="s">
        <v>354</v>
      </c>
      <c r="T1575" s="298">
        <v>45128</v>
      </c>
      <c r="U1575" s="298">
        <v>45158</v>
      </c>
      <c r="V1575" s="296" t="s">
        <v>355</v>
      </c>
      <c r="W1575" s="296"/>
      <c r="X1575" s="296"/>
    </row>
    <row r="1576" spans="1:24" ht="13.5" x14ac:dyDescent="0.15">
      <c r="A1576" s="296">
        <v>3721202</v>
      </c>
      <c r="B1576" s="296" t="s">
        <v>351</v>
      </c>
      <c r="C1576" s="296" t="s">
        <v>364</v>
      </c>
      <c r="D1576" s="296" t="s">
        <v>353</v>
      </c>
      <c r="E1576" s="296" t="s">
        <v>162</v>
      </c>
      <c r="F1576" s="296">
        <v>3</v>
      </c>
      <c r="G1576" s="296" t="s">
        <v>19</v>
      </c>
      <c r="H1576" s="296" t="s">
        <v>20</v>
      </c>
      <c r="I1576" s="296" t="s">
        <v>143</v>
      </c>
      <c r="J1576" s="296"/>
      <c r="K1576" s="296" t="s">
        <v>163</v>
      </c>
      <c r="L1576" s="296">
        <v>38</v>
      </c>
      <c r="M1576" s="296" t="s">
        <v>164</v>
      </c>
      <c r="N1576" s="297">
        <v>1320</v>
      </c>
      <c r="O1576" s="297">
        <v>1320</v>
      </c>
      <c r="P1576" s="392">
        <v>6000</v>
      </c>
      <c r="Q1576" s="296">
        <v>2</v>
      </c>
      <c r="R1576" s="296">
        <v>15</v>
      </c>
      <c r="S1576" s="296" t="s">
        <v>354</v>
      </c>
      <c r="T1576" s="298">
        <v>45128</v>
      </c>
      <c r="U1576" s="298">
        <v>45148</v>
      </c>
      <c r="V1576" s="296" t="s">
        <v>355</v>
      </c>
      <c r="W1576" s="296"/>
      <c r="X1576" s="296"/>
    </row>
    <row r="1577" spans="1:24" ht="13.5" x14ac:dyDescent="0.15">
      <c r="A1577" s="296">
        <v>3721212</v>
      </c>
      <c r="B1577" s="296" t="s">
        <v>351</v>
      </c>
      <c r="C1577" s="296" t="s">
        <v>352</v>
      </c>
      <c r="D1577" s="296" t="s">
        <v>353</v>
      </c>
      <c r="E1577" s="296" t="s">
        <v>116</v>
      </c>
      <c r="F1577" s="296">
        <v>3</v>
      </c>
      <c r="G1577" s="296" t="s">
        <v>19</v>
      </c>
      <c r="H1577" s="296" t="s">
        <v>20</v>
      </c>
      <c r="I1577" s="296" t="s">
        <v>143</v>
      </c>
      <c r="J1577" s="296"/>
      <c r="K1577" s="296" t="s">
        <v>159</v>
      </c>
      <c r="L1577" s="296">
        <v>25</v>
      </c>
      <c r="M1577" s="296" t="s">
        <v>160</v>
      </c>
      <c r="N1577" s="297">
        <v>1005</v>
      </c>
      <c r="O1577" s="297">
        <v>1000</v>
      </c>
      <c r="P1577" s="392">
        <v>6000</v>
      </c>
      <c r="Q1577" s="296">
        <v>2</v>
      </c>
      <c r="R1577" s="296">
        <v>2</v>
      </c>
      <c r="S1577" s="296" t="s">
        <v>354</v>
      </c>
      <c r="T1577" s="298">
        <v>45128</v>
      </c>
      <c r="U1577" s="298">
        <v>45163</v>
      </c>
      <c r="V1577" s="296" t="s">
        <v>355</v>
      </c>
      <c r="W1577" s="296"/>
      <c r="X1577" s="296"/>
    </row>
    <row r="1578" spans="1:24" ht="13.5" x14ac:dyDescent="0.15">
      <c r="A1578" s="296">
        <v>3721223</v>
      </c>
      <c r="B1578" s="296" t="s">
        <v>351</v>
      </c>
      <c r="C1578" s="296" t="s">
        <v>352</v>
      </c>
      <c r="D1578" s="296" t="s">
        <v>353</v>
      </c>
      <c r="E1578" s="296" t="s">
        <v>116</v>
      </c>
      <c r="F1578" s="296">
        <v>3</v>
      </c>
      <c r="G1578" s="296" t="s">
        <v>19</v>
      </c>
      <c r="H1578" s="296" t="s">
        <v>20</v>
      </c>
      <c r="I1578" s="296" t="s">
        <v>143</v>
      </c>
      <c r="J1578" s="296"/>
      <c r="K1578" s="296" t="s">
        <v>144</v>
      </c>
      <c r="L1578" s="296">
        <v>75</v>
      </c>
      <c r="M1578" s="296" t="s">
        <v>145</v>
      </c>
      <c r="N1578" s="297">
        <v>1005</v>
      </c>
      <c r="O1578" s="297">
        <v>1000</v>
      </c>
      <c r="P1578" s="392">
        <v>6000</v>
      </c>
      <c r="Q1578" s="296">
        <v>2</v>
      </c>
      <c r="R1578" s="296">
        <v>2</v>
      </c>
      <c r="S1578" s="296" t="s">
        <v>354</v>
      </c>
      <c r="T1578" s="298">
        <v>45128</v>
      </c>
      <c r="U1578" s="298">
        <v>45163</v>
      </c>
      <c r="V1578" s="296" t="s">
        <v>355</v>
      </c>
      <c r="W1578" s="296"/>
      <c r="X1578" s="296"/>
    </row>
    <row r="1579" spans="1:24" ht="13.5" x14ac:dyDescent="0.15">
      <c r="A1579" s="296">
        <v>3723585</v>
      </c>
      <c r="B1579" s="296" t="s">
        <v>351</v>
      </c>
      <c r="C1579" s="296" t="s">
        <v>358</v>
      </c>
      <c r="D1579" s="296" t="s">
        <v>353</v>
      </c>
      <c r="E1579" s="296" t="s">
        <v>61</v>
      </c>
      <c r="F1579" s="296">
        <v>331</v>
      </c>
      <c r="G1579" s="296" t="s">
        <v>19</v>
      </c>
      <c r="H1579" s="296" t="s">
        <v>20</v>
      </c>
      <c r="I1579" s="296" t="s">
        <v>21</v>
      </c>
      <c r="J1579" s="296"/>
      <c r="K1579" s="296" t="s">
        <v>62</v>
      </c>
      <c r="L1579" s="296">
        <v>38</v>
      </c>
      <c r="M1579" s="296" t="s">
        <v>63</v>
      </c>
      <c r="N1579" s="297">
        <v>1585</v>
      </c>
      <c r="O1579" s="297">
        <v>1580</v>
      </c>
      <c r="P1579" s="392">
        <v>6000</v>
      </c>
      <c r="Q1579" s="296">
        <v>2</v>
      </c>
      <c r="R1579" s="296">
        <v>3</v>
      </c>
      <c r="S1579" s="296" t="s">
        <v>354</v>
      </c>
      <c r="T1579" s="298">
        <v>45159</v>
      </c>
      <c r="U1579" s="298">
        <v>45177</v>
      </c>
      <c r="V1579" s="296" t="s">
        <v>355</v>
      </c>
      <c r="W1579" s="296"/>
      <c r="X1579" s="296"/>
    </row>
    <row r="1580" spans="1:24" ht="13.5" x14ac:dyDescent="0.15">
      <c r="A1580" s="296">
        <v>3723586</v>
      </c>
      <c r="B1580" s="296" t="s">
        <v>351</v>
      </c>
      <c r="C1580" s="296" t="s">
        <v>358</v>
      </c>
      <c r="D1580" s="296" t="s">
        <v>353</v>
      </c>
      <c r="E1580" s="296" t="s">
        <v>61</v>
      </c>
      <c r="F1580" s="296">
        <v>3313</v>
      </c>
      <c r="G1580" s="296" t="s">
        <v>19</v>
      </c>
      <c r="H1580" s="296" t="s">
        <v>20</v>
      </c>
      <c r="I1580" s="296" t="s">
        <v>21</v>
      </c>
      <c r="J1580" s="296"/>
      <c r="K1580" s="296" t="s">
        <v>62</v>
      </c>
      <c r="L1580" s="296">
        <v>38</v>
      </c>
      <c r="M1580" s="296" t="s">
        <v>63</v>
      </c>
      <c r="N1580" s="296">
        <v>750</v>
      </c>
      <c r="O1580" s="296">
        <v>750</v>
      </c>
      <c r="P1580" s="392">
        <v>6000</v>
      </c>
      <c r="Q1580" s="296">
        <v>2</v>
      </c>
      <c r="R1580" s="296">
        <v>20</v>
      </c>
      <c r="S1580" s="296" t="s">
        <v>354</v>
      </c>
      <c r="T1580" s="298">
        <v>45159</v>
      </c>
      <c r="U1580" s="298">
        <v>45177</v>
      </c>
      <c r="V1580" s="296" t="s">
        <v>355</v>
      </c>
      <c r="W1580" s="296"/>
      <c r="X1580" s="296"/>
    </row>
    <row r="1581" spans="1:24" ht="13.5" x14ac:dyDescent="0.15">
      <c r="A1581" s="296">
        <v>3723587</v>
      </c>
      <c r="B1581" s="296" t="s">
        <v>351</v>
      </c>
      <c r="C1581" s="296" t="s">
        <v>358</v>
      </c>
      <c r="D1581" s="296" t="s">
        <v>353</v>
      </c>
      <c r="E1581" s="296" t="s">
        <v>73</v>
      </c>
      <c r="F1581" s="296">
        <v>331</v>
      </c>
      <c r="G1581" s="296" t="s">
        <v>19</v>
      </c>
      <c r="H1581" s="296" t="s">
        <v>20</v>
      </c>
      <c r="I1581" s="296" t="s">
        <v>21</v>
      </c>
      <c r="J1581" s="296"/>
      <c r="K1581" s="296" t="s">
        <v>74</v>
      </c>
      <c r="L1581" s="296">
        <v>38</v>
      </c>
      <c r="M1581" s="296" t="s">
        <v>365</v>
      </c>
      <c r="N1581" s="296">
        <v>315</v>
      </c>
      <c r="O1581" s="296">
        <v>315</v>
      </c>
      <c r="P1581" s="392">
        <v>6000</v>
      </c>
      <c r="Q1581" s="296">
        <v>2</v>
      </c>
      <c r="R1581" s="296">
        <v>4</v>
      </c>
      <c r="S1581" s="296" t="s">
        <v>354</v>
      </c>
      <c r="T1581" s="298">
        <v>45159</v>
      </c>
      <c r="U1581" s="298">
        <v>45177</v>
      </c>
      <c r="V1581" s="296" t="s">
        <v>355</v>
      </c>
      <c r="W1581" s="296"/>
      <c r="X1581" s="296"/>
    </row>
    <row r="1582" spans="1:24" ht="13.5" x14ac:dyDescent="0.15">
      <c r="A1582" s="296">
        <v>3723587</v>
      </c>
      <c r="B1582" s="296" t="s">
        <v>351</v>
      </c>
      <c r="C1582" s="296" t="s">
        <v>358</v>
      </c>
      <c r="D1582" s="296" t="s">
        <v>353</v>
      </c>
      <c r="E1582" s="296" t="s">
        <v>73</v>
      </c>
      <c r="F1582" s="296">
        <v>331</v>
      </c>
      <c r="G1582" s="296" t="s">
        <v>19</v>
      </c>
      <c r="H1582" s="296" t="s">
        <v>20</v>
      </c>
      <c r="I1582" s="296" t="s">
        <v>21</v>
      </c>
      <c r="J1582" s="296"/>
      <c r="K1582" s="296" t="s">
        <v>74</v>
      </c>
      <c r="L1582" s="296">
        <v>38</v>
      </c>
      <c r="M1582" s="296" t="s">
        <v>365</v>
      </c>
      <c r="N1582" s="296">
        <v>415</v>
      </c>
      <c r="O1582" s="296">
        <v>415</v>
      </c>
      <c r="P1582" s="392">
        <v>6000</v>
      </c>
      <c r="Q1582" s="296">
        <v>2</v>
      </c>
      <c r="R1582" s="296">
        <v>12</v>
      </c>
      <c r="S1582" s="296" t="s">
        <v>354</v>
      </c>
      <c r="T1582" s="298">
        <v>45159</v>
      </c>
      <c r="U1582" s="298">
        <v>45177</v>
      </c>
      <c r="V1582" s="296" t="s">
        <v>355</v>
      </c>
      <c r="W1582" s="296"/>
      <c r="X1582" s="296"/>
    </row>
    <row r="1583" spans="1:24" ht="13.5" x14ac:dyDescent="0.15">
      <c r="A1583" s="296">
        <v>3723588</v>
      </c>
      <c r="B1583" s="296" t="s">
        <v>351</v>
      </c>
      <c r="C1583" s="296" t="s">
        <v>358</v>
      </c>
      <c r="D1583" s="296" t="s">
        <v>353</v>
      </c>
      <c r="E1583" s="296" t="s">
        <v>73</v>
      </c>
      <c r="F1583" s="296">
        <v>331</v>
      </c>
      <c r="G1583" s="296" t="s">
        <v>19</v>
      </c>
      <c r="H1583" s="296" t="s">
        <v>20</v>
      </c>
      <c r="I1583" s="296" t="s">
        <v>21</v>
      </c>
      <c r="J1583" s="296"/>
      <c r="K1583" s="296" t="s">
        <v>74</v>
      </c>
      <c r="L1583" s="296">
        <v>38</v>
      </c>
      <c r="M1583" s="296" t="s">
        <v>365</v>
      </c>
      <c r="N1583" s="296">
        <v>415</v>
      </c>
      <c r="O1583" s="296">
        <v>415</v>
      </c>
      <c r="P1583" s="392">
        <v>6000</v>
      </c>
      <c r="Q1583" s="296">
        <v>2</v>
      </c>
      <c r="R1583" s="296">
        <v>105</v>
      </c>
      <c r="S1583" s="296" t="s">
        <v>354</v>
      </c>
      <c r="T1583" s="298">
        <v>45159</v>
      </c>
      <c r="U1583" s="298">
        <v>45177</v>
      </c>
      <c r="V1583" s="296" t="s">
        <v>355</v>
      </c>
      <c r="W1583" s="296"/>
      <c r="X1583" s="296"/>
    </row>
    <row r="1584" spans="1:24" ht="13.5" x14ac:dyDescent="0.15">
      <c r="A1584" s="296">
        <v>3723589</v>
      </c>
      <c r="B1584" s="296" t="s">
        <v>351</v>
      </c>
      <c r="C1584" s="296" t="s">
        <v>358</v>
      </c>
      <c r="D1584" s="296" t="s">
        <v>353</v>
      </c>
      <c r="E1584" s="296" t="s">
        <v>61</v>
      </c>
      <c r="F1584" s="296">
        <v>331</v>
      </c>
      <c r="G1584" s="296" t="s">
        <v>19</v>
      </c>
      <c r="H1584" s="296" t="s">
        <v>20</v>
      </c>
      <c r="I1584" s="296" t="s">
        <v>21</v>
      </c>
      <c r="J1584" s="296"/>
      <c r="K1584" s="296" t="s">
        <v>62</v>
      </c>
      <c r="L1584" s="296">
        <v>38</v>
      </c>
      <c r="M1584" s="296" t="s">
        <v>63</v>
      </c>
      <c r="N1584" s="297">
        <v>1255</v>
      </c>
      <c r="O1584" s="297">
        <v>1250</v>
      </c>
      <c r="P1584" s="392">
        <v>6000</v>
      </c>
      <c r="Q1584" s="296">
        <v>2</v>
      </c>
      <c r="R1584" s="296">
        <v>32</v>
      </c>
      <c r="S1584" s="296" t="s">
        <v>354</v>
      </c>
      <c r="T1584" s="298">
        <v>45159</v>
      </c>
      <c r="U1584" s="298">
        <v>45177</v>
      </c>
      <c r="V1584" s="296" t="s">
        <v>355</v>
      </c>
      <c r="W1584" s="296"/>
      <c r="X1584" s="296"/>
    </row>
    <row r="1585" spans="1:24" ht="13.5" x14ac:dyDescent="0.15">
      <c r="A1585" s="296">
        <v>3723590</v>
      </c>
      <c r="B1585" s="296" t="s">
        <v>351</v>
      </c>
      <c r="C1585" s="296" t="s">
        <v>363</v>
      </c>
      <c r="D1585" s="296" t="s">
        <v>353</v>
      </c>
      <c r="E1585" s="296" t="s">
        <v>65</v>
      </c>
      <c r="F1585" s="296">
        <v>3321</v>
      </c>
      <c r="G1585" s="296" t="s">
        <v>19</v>
      </c>
      <c r="H1585" s="296" t="s">
        <v>20</v>
      </c>
      <c r="I1585" s="296" t="s">
        <v>21</v>
      </c>
      <c r="J1585" s="296"/>
      <c r="K1585" s="296" t="s">
        <v>67</v>
      </c>
      <c r="L1585" s="296">
        <v>38</v>
      </c>
      <c r="M1585" s="296" t="s">
        <v>68</v>
      </c>
      <c r="N1585" s="297">
        <v>1336</v>
      </c>
      <c r="O1585" s="297">
        <v>1325</v>
      </c>
      <c r="P1585" s="392">
        <v>6000</v>
      </c>
      <c r="Q1585" s="296">
        <v>2</v>
      </c>
      <c r="R1585" s="296">
        <v>52</v>
      </c>
      <c r="S1585" s="296" t="s">
        <v>354</v>
      </c>
      <c r="T1585" s="298">
        <v>45159</v>
      </c>
      <c r="U1585" s="298">
        <v>45177</v>
      </c>
      <c r="V1585" s="296" t="s">
        <v>355</v>
      </c>
      <c r="W1585" s="296"/>
      <c r="X1585" s="296"/>
    </row>
    <row r="1586" spans="1:24" ht="13.5" x14ac:dyDescent="0.15">
      <c r="A1586" s="296">
        <v>3723591</v>
      </c>
      <c r="B1586" s="296" t="s">
        <v>351</v>
      </c>
      <c r="C1586" s="296" t="s">
        <v>363</v>
      </c>
      <c r="D1586" s="296" t="s">
        <v>353</v>
      </c>
      <c r="E1586" s="296" t="s">
        <v>65</v>
      </c>
      <c r="F1586" s="296">
        <v>3321</v>
      </c>
      <c r="G1586" s="296" t="s">
        <v>19</v>
      </c>
      <c r="H1586" s="296" t="s">
        <v>20</v>
      </c>
      <c r="I1586" s="296" t="s">
        <v>21</v>
      </c>
      <c r="J1586" s="296"/>
      <c r="K1586" s="296" t="s">
        <v>70</v>
      </c>
      <c r="L1586" s="296">
        <v>38</v>
      </c>
      <c r="M1586" s="296" t="s">
        <v>71</v>
      </c>
      <c r="N1586" s="297">
        <v>1336</v>
      </c>
      <c r="O1586" s="297">
        <v>1325</v>
      </c>
      <c r="P1586" s="392">
        <v>6000</v>
      </c>
      <c r="Q1586" s="296">
        <v>2</v>
      </c>
      <c r="R1586" s="296">
        <v>12</v>
      </c>
      <c r="S1586" s="296" t="s">
        <v>354</v>
      </c>
      <c r="T1586" s="298">
        <v>45159</v>
      </c>
      <c r="U1586" s="298">
        <v>45177</v>
      </c>
      <c r="V1586" s="296" t="s">
        <v>355</v>
      </c>
      <c r="W1586" s="296"/>
      <c r="X1586" s="296"/>
    </row>
    <row r="1587" spans="1:24" ht="13.5" x14ac:dyDescent="0.15">
      <c r="A1587" s="296">
        <v>3723592</v>
      </c>
      <c r="B1587" s="296" t="s">
        <v>351</v>
      </c>
      <c r="C1587" s="296" t="s">
        <v>363</v>
      </c>
      <c r="D1587" s="296" t="s">
        <v>353</v>
      </c>
      <c r="E1587" s="296" t="s">
        <v>65</v>
      </c>
      <c r="F1587" s="296">
        <v>3321</v>
      </c>
      <c r="G1587" s="296" t="s">
        <v>19</v>
      </c>
      <c r="H1587" s="296" t="s">
        <v>20</v>
      </c>
      <c r="I1587" s="296" t="s">
        <v>21</v>
      </c>
      <c r="J1587" s="296"/>
      <c r="K1587" s="296" t="s">
        <v>70</v>
      </c>
      <c r="L1587" s="296">
        <v>38</v>
      </c>
      <c r="M1587" s="296" t="s">
        <v>71</v>
      </c>
      <c r="N1587" s="297">
        <v>1336</v>
      </c>
      <c r="O1587" s="297">
        <v>1325</v>
      </c>
      <c r="P1587" s="392">
        <v>6000</v>
      </c>
      <c r="Q1587" s="296">
        <v>2</v>
      </c>
      <c r="R1587" s="296">
        <v>40</v>
      </c>
      <c r="S1587" s="296" t="s">
        <v>354</v>
      </c>
      <c r="T1587" s="298">
        <v>45159</v>
      </c>
      <c r="U1587" s="298">
        <v>45182</v>
      </c>
      <c r="V1587" s="296" t="s">
        <v>355</v>
      </c>
      <c r="W1587" s="296"/>
      <c r="X1587" s="296"/>
    </row>
    <row r="1588" spans="1:24" ht="13.5" x14ac:dyDescent="0.15">
      <c r="A1588" s="296">
        <v>3723593</v>
      </c>
      <c r="B1588" s="296" t="s">
        <v>351</v>
      </c>
      <c r="C1588" s="296" t="s">
        <v>358</v>
      </c>
      <c r="D1588" s="296" t="s">
        <v>353</v>
      </c>
      <c r="E1588" s="296" t="s">
        <v>373</v>
      </c>
      <c r="F1588" s="296">
        <v>3</v>
      </c>
      <c r="G1588" s="296" t="s">
        <v>19</v>
      </c>
      <c r="H1588" s="296" t="s">
        <v>20</v>
      </c>
      <c r="I1588" s="296" t="s">
        <v>21</v>
      </c>
      <c r="J1588" s="296"/>
      <c r="K1588" s="296" t="s">
        <v>80</v>
      </c>
      <c r="L1588" s="296">
        <v>31</v>
      </c>
      <c r="M1588" s="296" t="s">
        <v>374</v>
      </c>
      <c r="N1588" s="296">
        <v>440</v>
      </c>
      <c r="O1588" s="296">
        <v>440</v>
      </c>
      <c r="P1588" s="392">
        <v>6000</v>
      </c>
      <c r="Q1588" s="296">
        <v>1</v>
      </c>
      <c r="R1588" s="296">
        <v>42</v>
      </c>
      <c r="S1588" s="296" t="s">
        <v>354</v>
      </c>
      <c r="T1588" s="298">
        <v>45159</v>
      </c>
      <c r="U1588" s="298">
        <v>45184</v>
      </c>
      <c r="V1588" s="296" t="s">
        <v>355</v>
      </c>
      <c r="W1588" s="296"/>
      <c r="X1588" s="296"/>
    </row>
    <row r="1589" spans="1:24" ht="13.5" x14ac:dyDescent="0.15">
      <c r="A1589" s="296">
        <v>3723594</v>
      </c>
      <c r="B1589" s="296" t="s">
        <v>351</v>
      </c>
      <c r="C1589" s="296" t="s">
        <v>358</v>
      </c>
      <c r="D1589" s="296" t="s">
        <v>353</v>
      </c>
      <c r="E1589" s="296" t="s">
        <v>362</v>
      </c>
      <c r="F1589" s="296">
        <v>3</v>
      </c>
      <c r="G1589" s="296" t="s">
        <v>19</v>
      </c>
      <c r="H1589" s="296" t="s">
        <v>20</v>
      </c>
      <c r="I1589" s="296" t="s">
        <v>21</v>
      </c>
      <c r="J1589" s="296"/>
      <c r="K1589" s="296" t="s">
        <v>88</v>
      </c>
      <c r="L1589" s="296">
        <v>125</v>
      </c>
      <c r="M1589" s="296" t="s">
        <v>361</v>
      </c>
      <c r="N1589" s="296">
        <v>150</v>
      </c>
      <c r="O1589" s="296">
        <v>150</v>
      </c>
      <c r="P1589" s="392">
        <v>6000</v>
      </c>
      <c r="Q1589" s="296">
        <v>1</v>
      </c>
      <c r="R1589" s="296">
        <v>128</v>
      </c>
      <c r="S1589" s="296" t="s">
        <v>354</v>
      </c>
      <c r="T1589" s="298">
        <v>45159</v>
      </c>
      <c r="U1589" s="298">
        <v>45184</v>
      </c>
      <c r="V1589" s="296" t="s">
        <v>355</v>
      </c>
      <c r="W1589" s="296"/>
      <c r="X1589" s="296"/>
    </row>
    <row r="1590" spans="1:24" ht="13.5" x14ac:dyDescent="0.15">
      <c r="A1590" s="296">
        <v>3723595</v>
      </c>
      <c r="B1590" s="296" t="s">
        <v>351</v>
      </c>
      <c r="C1590" s="296" t="s">
        <v>358</v>
      </c>
      <c r="D1590" s="296" t="s">
        <v>353</v>
      </c>
      <c r="E1590" s="296" t="s">
        <v>362</v>
      </c>
      <c r="F1590" s="296">
        <v>3</v>
      </c>
      <c r="G1590" s="296" t="s">
        <v>19</v>
      </c>
      <c r="H1590" s="296" t="s">
        <v>20</v>
      </c>
      <c r="I1590" s="296" t="s">
        <v>21</v>
      </c>
      <c r="J1590" s="296"/>
      <c r="K1590" s="296" t="s">
        <v>88</v>
      </c>
      <c r="L1590" s="296">
        <v>188</v>
      </c>
      <c r="M1590" s="296" t="s">
        <v>361</v>
      </c>
      <c r="N1590" s="297">
        <v>1130</v>
      </c>
      <c r="O1590" s="297">
        <v>1130</v>
      </c>
      <c r="P1590" s="392">
        <v>6000</v>
      </c>
      <c r="Q1590" s="296">
        <v>2</v>
      </c>
      <c r="R1590" s="296">
        <v>3</v>
      </c>
      <c r="S1590" s="296" t="s">
        <v>354</v>
      </c>
      <c r="T1590" s="298">
        <v>45159</v>
      </c>
      <c r="U1590" s="298">
        <v>45184</v>
      </c>
      <c r="V1590" s="296" t="s">
        <v>355</v>
      </c>
      <c r="W1590" s="296"/>
      <c r="X1590" s="296"/>
    </row>
    <row r="1591" spans="1:24" ht="13.5" x14ac:dyDescent="0.15">
      <c r="A1591" s="296">
        <v>3723596</v>
      </c>
      <c r="B1591" s="296" t="s">
        <v>351</v>
      </c>
      <c r="C1591" s="296" t="s">
        <v>358</v>
      </c>
      <c r="D1591" s="296" t="s">
        <v>353</v>
      </c>
      <c r="E1591" s="296" t="s">
        <v>362</v>
      </c>
      <c r="F1591" s="296">
        <v>3</v>
      </c>
      <c r="G1591" s="296" t="s">
        <v>19</v>
      </c>
      <c r="H1591" s="296" t="s">
        <v>20</v>
      </c>
      <c r="I1591" s="296" t="s">
        <v>21</v>
      </c>
      <c r="J1591" s="296"/>
      <c r="K1591" s="296" t="s">
        <v>88</v>
      </c>
      <c r="L1591" s="296">
        <v>188</v>
      </c>
      <c r="M1591" s="296" t="s">
        <v>361</v>
      </c>
      <c r="N1591" s="297">
        <v>1130</v>
      </c>
      <c r="O1591" s="297">
        <v>1130</v>
      </c>
      <c r="P1591" s="392">
        <v>6000</v>
      </c>
      <c r="Q1591" s="296">
        <v>2</v>
      </c>
      <c r="R1591" s="296">
        <v>4</v>
      </c>
      <c r="S1591" s="296" t="s">
        <v>354</v>
      </c>
      <c r="T1591" s="298">
        <v>45159</v>
      </c>
      <c r="U1591" s="298">
        <v>45184</v>
      </c>
      <c r="V1591" s="296" t="s">
        <v>355</v>
      </c>
      <c r="W1591" s="296"/>
      <c r="X1591" s="296"/>
    </row>
    <row r="1592" spans="1:24" ht="13.5" x14ac:dyDescent="0.15">
      <c r="A1592" s="296">
        <v>3723597</v>
      </c>
      <c r="B1592" s="296" t="s">
        <v>351</v>
      </c>
      <c r="C1592" s="296" t="s">
        <v>358</v>
      </c>
      <c r="D1592" s="296" t="s">
        <v>353</v>
      </c>
      <c r="E1592" s="296" t="s">
        <v>362</v>
      </c>
      <c r="F1592" s="296">
        <v>3</v>
      </c>
      <c r="G1592" s="296" t="s">
        <v>19</v>
      </c>
      <c r="H1592" s="296" t="s">
        <v>20</v>
      </c>
      <c r="I1592" s="296" t="s">
        <v>21</v>
      </c>
      <c r="J1592" s="296"/>
      <c r="K1592" s="296" t="s">
        <v>88</v>
      </c>
      <c r="L1592" s="296">
        <v>100</v>
      </c>
      <c r="M1592" s="296" t="s">
        <v>361</v>
      </c>
      <c r="N1592" s="296">
        <v>330</v>
      </c>
      <c r="O1592" s="296">
        <v>330</v>
      </c>
      <c r="P1592" s="392">
        <v>6000</v>
      </c>
      <c r="Q1592" s="296">
        <v>1</v>
      </c>
      <c r="R1592" s="296">
        <v>36</v>
      </c>
      <c r="S1592" s="296" t="s">
        <v>354</v>
      </c>
      <c r="T1592" s="298">
        <v>45159</v>
      </c>
      <c r="U1592" s="298">
        <v>45184</v>
      </c>
      <c r="V1592" s="296" t="s">
        <v>355</v>
      </c>
      <c r="W1592" s="296"/>
      <c r="X1592" s="296"/>
    </row>
    <row r="1593" spans="1:24" ht="13.5" x14ac:dyDescent="0.15">
      <c r="A1593" s="296">
        <v>3723598</v>
      </c>
      <c r="B1593" s="296" t="s">
        <v>351</v>
      </c>
      <c r="C1593" s="296" t="s">
        <v>364</v>
      </c>
      <c r="D1593" s="296" t="s">
        <v>353</v>
      </c>
      <c r="E1593" s="296" t="s">
        <v>93</v>
      </c>
      <c r="F1593" s="296">
        <v>331</v>
      </c>
      <c r="G1593" s="296" t="s">
        <v>19</v>
      </c>
      <c r="H1593" s="296" t="s">
        <v>20</v>
      </c>
      <c r="I1593" s="296" t="s">
        <v>21</v>
      </c>
      <c r="J1593" s="296"/>
      <c r="K1593" s="296" t="s">
        <v>88</v>
      </c>
      <c r="L1593" s="296">
        <v>100</v>
      </c>
      <c r="M1593" s="296" t="s">
        <v>361</v>
      </c>
      <c r="N1593" s="296">
        <v>450</v>
      </c>
      <c r="O1593" s="296">
        <v>450</v>
      </c>
      <c r="P1593" s="392">
        <v>6000</v>
      </c>
      <c r="Q1593" s="296">
        <v>2</v>
      </c>
      <c r="R1593" s="296">
        <v>42</v>
      </c>
      <c r="S1593" s="296" t="s">
        <v>354</v>
      </c>
      <c r="T1593" s="298">
        <v>45159</v>
      </c>
      <c r="U1593" s="298">
        <v>45184</v>
      </c>
      <c r="V1593" s="296" t="s">
        <v>355</v>
      </c>
      <c r="W1593" s="296"/>
      <c r="X1593" s="296"/>
    </row>
    <row r="1594" spans="1:24" ht="13.5" x14ac:dyDescent="0.15">
      <c r="A1594" s="296">
        <v>3723599</v>
      </c>
      <c r="B1594" s="296" t="s">
        <v>351</v>
      </c>
      <c r="C1594" s="296" t="s">
        <v>356</v>
      </c>
      <c r="D1594" s="296" t="s">
        <v>353</v>
      </c>
      <c r="E1594" s="296" t="s">
        <v>32</v>
      </c>
      <c r="F1594" s="296">
        <v>331</v>
      </c>
      <c r="G1594" s="296" t="s">
        <v>19</v>
      </c>
      <c r="H1594" s="296" t="s">
        <v>20</v>
      </c>
      <c r="I1594" s="296" t="s">
        <v>21</v>
      </c>
      <c r="J1594" s="296"/>
      <c r="K1594" s="296" t="s">
        <v>54</v>
      </c>
      <c r="L1594" s="296">
        <v>38</v>
      </c>
      <c r="M1594" s="296" t="s">
        <v>53</v>
      </c>
      <c r="N1594" s="297">
        <v>1330</v>
      </c>
      <c r="O1594" s="297">
        <v>1330</v>
      </c>
      <c r="P1594" s="392">
        <v>6000</v>
      </c>
      <c r="Q1594" s="296">
        <v>2</v>
      </c>
      <c r="R1594" s="296">
        <v>10</v>
      </c>
      <c r="S1594" s="296" t="s">
        <v>354</v>
      </c>
      <c r="T1594" s="298">
        <v>45159</v>
      </c>
      <c r="U1594" s="298">
        <v>45191</v>
      </c>
      <c r="V1594" s="296" t="s">
        <v>355</v>
      </c>
      <c r="W1594" s="296"/>
      <c r="X1594" s="296"/>
    </row>
    <row r="1595" spans="1:24" ht="13.5" x14ac:dyDescent="0.15">
      <c r="A1595" s="296">
        <v>3723600</v>
      </c>
      <c r="B1595" s="296" t="s">
        <v>351</v>
      </c>
      <c r="C1595" s="296" t="s">
        <v>356</v>
      </c>
      <c r="D1595" s="296" t="s">
        <v>353</v>
      </c>
      <c r="E1595" s="296" t="s">
        <v>32</v>
      </c>
      <c r="F1595" s="296">
        <v>3</v>
      </c>
      <c r="G1595" s="296" t="s">
        <v>19</v>
      </c>
      <c r="H1595" s="296" t="s">
        <v>20</v>
      </c>
      <c r="I1595" s="296" t="s">
        <v>21</v>
      </c>
      <c r="J1595" s="296"/>
      <c r="K1595" s="296" t="s">
        <v>56</v>
      </c>
      <c r="L1595" s="296">
        <v>75</v>
      </c>
      <c r="M1595" s="296" t="s">
        <v>376</v>
      </c>
      <c r="N1595" s="297">
        <v>1330</v>
      </c>
      <c r="O1595" s="297">
        <v>1330</v>
      </c>
      <c r="P1595" s="392">
        <v>6000</v>
      </c>
      <c r="Q1595" s="296">
        <v>2</v>
      </c>
      <c r="R1595" s="296">
        <v>10</v>
      </c>
      <c r="S1595" s="296" t="s">
        <v>354</v>
      </c>
      <c r="T1595" s="298">
        <v>45159</v>
      </c>
      <c r="U1595" s="298">
        <v>45191</v>
      </c>
      <c r="V1595" s="296" t="s">
        <v>355</v>
      </c>
      <c r="W1595" s="296"/>
      <c r="X1595" s="296"/>
    </row>
    <row r="1596" spans="1:24" ht="13.5" x14ac:dyDescent="0.15">
      <c r="A1596" s="296">
        <v>3723601</v>
      </c>
      <c r="B1596" s="296" t="s">
        <v>351</v>
      </c>
      <c r="C1596" s="296" t="s">
        <v>356</v>
      </c>
      <c r="D1596" s="296" t="s">
        <v>353</v>
      </c>
      <c r="E1596" s="296"/>
      <c r="F1596" s="296">
        <v>3</v>
      </c>
      <c r="G1596" s="296" t="s">
        <v>19</v>
      </c>
      <c r="H1596" s="296" t="s">
        <v>20</v>
      </c>
      <c r="I1596" s="296" t="s">
        <v>21</v>
      </c>
      <c r="J1596" s="296"/>
      <c r="K1596" s="296" t="s">
        <v>632</v>
      </c>
      <c r="L1596" s="296">
        <v>75</v>
      </c>
      <c r="M1596" s="296" t="s">
        <v>633</v>
      </c>
      <c r="N1596" s="297">
        <v>1300</v>
      </c>
      <c r="O1596" s="297">
        <v>1300</v>
      </c>
      <c r="P1596" s="392">
        <v>6000</v>
      </c>
      <c r="Q1596" s="296">
        <v>2</v>
      </c>
      <c r="R1596" s="296">
        <v>5</v>
      </c>
      <c r="S1596" s="296" t="s">
        <v>354</v>
      </c>
      <c r="T1596" s="298">
        <v>45159</v>
      </c>
      <c r="U1596" s="298">
        <v>45191</v>
      </c>
      <c r="V1596" s="296" t="s">
        <v>355</v>
      </c>
      <c r="W1596" s="296"/>
      <c r="X1596" s="296"/>
    </row>
    <row r="1597" spans="1:24" ht="13.5" x14ac:dyDescent="0.15">
      <c r="A1597" s="296">
        <v>3723602</v>
      </c>
      <c r="B1597" s="296" t="s">
        <v>351</v>
      </c>
      <c r="C1597" s="296" t="s">
        <v>364</v>
      </c>
      <c r="D1597" s="296" t="s">
        <v>353</v>
      </c>
      <c r="E1597" s="296" t="s">
        <v>371</v>
      </c>
      <c r="F1597" s="296">
        <v>3</v>
      </c>
      <c r="G1597" s="296" t="s">
        <v>19</v>
      </c>
      <c r="H1597" s="296" t="s">
        <v>28</v>
      </c>
      <c r="I1597" s="296" t="s">
        <v>21</v>
      </c>
      <c r="J1597" s="296"/>
      <c r="K1597" s="296" t="s">
        <v>465</v>
      </c>
      <c r="L1597" s="296">
        <v>75</v>
      </c>
      <c r="M1597" s="296" t="s">
        <v>466</v>
      </c>
      <c r="N1597" s="297">
        <v>1040</v>
      </c>
      <c r="O1597" s="297">
        <v>1040</v>
      </c>
      <c r="P1597" s="392">
        <v>6000</v>
      </c>
      <c r="Q1597" s="296">
        <v>1</v>
      </c>
      <c r="R1597" s="296">
        <v>1</v>
      </c>
      <c r="S1597" s="296" t="s">
        <v>354</v>
      </c>
      <c r="T1597" s="298">
        <v>45159</v>
      </c>
      <c r="U1597" s="298">
        <v>45191</v>
      </c>
      <c r="V1597" s="296" t="s">
        <v>355</v>
      </c>
      <c r="W1597" s="296"/>
      <c r="X1597" s="296"/>
    </row>
    <row r="1598" spans="1:24" ht="13.5" x14ac:dyDescent="0.15">
      <c r="A1598" s="296">
        <v>3723603</v>
      </c>
      <c r="B1598" s="296" t="s">
        <v>351</v>
      </c>
      <c r="C1598" s="296" t="s">
        <v>364</v>
      </c>
      <c r="D1598" s="296" t="s">
        <v>353</v>
      </c>
      <c r="E1598" s="296" t="s">
        <v>371</v>
      </c>
      <c r="F1598" s="296">
        <v>3</v>
      </c>
      <c r="G1598" s="296" t="s">
        <v>19</v>
      </c>
      <c r="H1598" s="296" t="s">
        <v>28</v>
      </c>
      <c r="I1598" s="296" t="s">
        <v>21</v>
      </c>
      <c r="J1598" s="296"/>
      <c r="K1598" s="296" t="s">
        <v>60</v>
      </c>
      <c r="L1598" s="296">
        <v>75</v>
      </c>
      <c r="M1598" s="296" t="s">
        <v>372</v>
      </c>
      <c r="N1598" s="297">
        <v>1040</v>
      </c>
      <c r="O1598" s="297">
        <v>1040</v>
      </c>
      <c r="P1598" s="392">
        <v>6000</v>
      </c>
      <c r="Q1598" s="296">
        <v>1</v>
      </c>
      <c r="R1598" s="296">
        <v>1</v>
      </c>
      <c r="S1598" s="296" t="s">
        <v>354</v>
      </c>
      <c r="T1598" s="298">
        <v>45159</v>
      </c>
      <c r="U1598" s="298">
        <v>45191</v>
      </c>
      <c r="V1598" s="296" t="s">
        <v>355</v>
      </c>
      <c r="W1598" s="296"/>
      <c r="X1598" s="296"/>
    </row>
    <row r="1599" spans="1:24" ht="13.5" x14ac:dyDescent="0.15">
      <c r="A1599" s="296">
        <v>3723604</v>
      </c>
      <c r="B1599" s="296" t="s">
        <v>351</v>
      </c>
      <c r="C1599" s="296" t="s">
        <v>364</v>
      </c>
      <c r="D1599" s="296" t="s">
        <v>353</v>
      </c>
      <c r="E1599" s="296" t="s">
        <v>371</v>
      </c>
      <c r="F1599" s="296">
        <v>331</v>
      </c>
      <c r="G1599" s="296" t="s">
        <v>19</v>
      </c>
      <c r="H1599" s="296" t="s">
        <v>20</v>
      </c>
      <c r="I1599" s="296" t="s">
        <v>21</v>
      </c>
      <c r="J1599" s="296"/>
      <c r="K1599" s="296" t="s">
        <v>118</v>
      </c>
      <c r="L1599" s="296">
        <v>25</v>
      </c>
      <c r="M1599" s="296" t="s">
        <v>119</v>
      </c>
      <c r="N1599" s="297">
        <v>1425</v>
      </c>
      <c r="O1599" s="297">
        <v>1420</v>
      </c>
      <c r="P1599" s="392">
        <v>6000</v>
      </c>
      <c r="Q1599" s="296">
        <v>2</v>
      </c>
      <c r="R1599" s="296">
        <v>10</v>
      </c>
      <c r="S1599" s="296" t="s">
        <v>354</v>
      </c>
      <c r="T1599" s="298">
        <v>45159</v>
      </c>
      <c r="U1599" s="298">
        <v>45191</v>
      </c>
      <c r="V1599" s="296" t="s">
        <v>355</v>
      </c>
      <c r="W1599" s="296"/>
      <c r="X1599" s="296"/>
    </row>
    <row r="1600" spans="1:24" ht="13.5" x14ac:dyDescent="0.15">
      <c r="A1600" s="296">
        <v>3723605</v>
      </c>
      <c r="B1600" s="296" t="s">
        <v>351</v>
      </c>
      <c r="C1600" s="296" t="s">
        <v>356</v>
      </c>
      <c r="D1600" s="296" t="s">
        <v>353</v>
      </c>
      <c r="E1600" s="296" t="s">
        <v>130</v>
      </c>
      <c r="F1600" s="296">
        <v>331</v>
      </c>
      <c r="G1600" s="296" t="s">
        <v>19</v>
      </c>
      <c r="H1600" s="296" t="s">
        <v>20</v>
      </c>
      <c r="I1600" s="296" t="s">
        <v>21</v>
      </c>
      <c r="J1600" s="296"/>
      <c r="K1600" s="296" t="s">
        <v>435</v>
      </c>
      <c r="L1600" s="296">
        <v>25</v>
      </c>
      <c r="M1600" s="296" t="s">
        <v>436</v>
      </c>
      <c r="N1600" s="297">
        <v>1410</v>
      </c>
      <c r="O1600" s="297">
        <v>1410</v>
      </c>
      <c r="P1600" s="392">
        <v>6000</v>
      </c>
      <c r="Q1600" s="296">
        <v>2</v>
      </c>
      <c r="R1600" s="296">
        <v>12</v>
      </c>
      <c r="S1600" s="296" t="s">
        <v>354</v>
      </c>
      <c r="T1600" s="298">
        <v>45159</v>
      </c>
      <c r="U1600" s="298">
        <v>45191</v>
      </c>
      <c r="V1600" s="296" t="s">
        <v>355</v>
      </c>
      <c r="W1600" s="296"/>
      <c r="X1600" s="296"/>
    </row>
    <row r="1601" spans="1:24" ht="13.5" x14ac:dyDescent="0.15">
      <c r="A1601" s="296">
        <v>3723606</v>
      </c>
      <c r="B1601" s="296" t="s">
        <v>351</v>
      </c>
      <c r="C1601" s="296" t="s">
        <v>356</v>
      </c>
      <c r="D1601" s="296" t="s">
        <v>353</v>
      </c>
      <c r="E1601" s="296" t="s">
        <v>130</v>
      </c>
      <c r="F1601" s="296">
        <v>331</v>
      </c>
      <c r="G1601" s="296" t="s">
        <v>19</v>
      </c>
      <c r="H1601" s="296" t="s">
        <v>20</v>
      </c>
      <c r="I1601" s="296" t="s">
        <v>21</v>
      </c>
      <c r="J1601" s="296"/>
      <c r="K1601" s="296" t="s">
        <v>435</v>
      </c>
      <c r="L1601" s="296">
        <v>25</v>
      </c>
      <c r="M1601" s="296" t="s">
        <v>436</v>
      </c>
      <c r="N1601" s="297">
        <v>1410</v>
      </c>
      <c r="O1601" s="297">
        <v>1410</v>
      </c>
      <c r="P1601" s="392">
        <v>6000</v>
      </c>
      <c r="Q1601" s="296">
        <v>2</v>
      </c>
      <c r="R1601" s="296">
        <v>12</v>
      </c>
      <c r="S1601" s="296" t="s">
        <v>354</v>
      </c>
      <c r="T1601" s="298">
        <v>45159</v>
      </c>
      <c r="U1601" s="298">
        <v>45191</v>
      </c>
      <c r="V1601" s="296" t="s">
        <v>355</v>
      </c>
      <c r="W1601" s="296"/>
      <c r="X1601" s="296"/>
    </row>
    <row r="1602" spans="1:24" ht="13.5" x14ac:dyDescent="0.15">
      <c r="A1602" s="296">
        <v>3723607</v>
      </c>
      <c r="B1602" s="296" t="s">
        <v>351</v>
      </c>
      <c r="C1602" s="296" t="s">
        <v>352</v>
      </c>
      <c r="D1602" s="296" t="s">
        <v>353</v>
      </c>
      <c r="E1602" s="296" t="s">
        <v>116</v>
      </c>
      <c r="F1602" s="296">
        <v>3</v>
      </c>
      <c r="G1602" s="296" t="s">
        <v>19</v>
      </c>
      <c r="H1602" s="296" t="s">
        <v>20</v>
      </c>
      <c r="I1602" s="296" t="s">
        <v>21</v>
      </c>
      <c r="J1602" s="296"/>
      <c r="K1602" s="296" t="s">
        <v>118</v>
      </c>
      <c r="L1602" s="296">
        <v>38</v>
      </c>
      <c r="M1602" s="296" t="s">
        <v>368</v>
      </c>
      <c r="N1602" s="297">
        <v>1415</v>
      </c>
      <c r="O1602" s="297">
        <v>1410</v>
      </c>
      <c r="P1602" s="392">
        <v>6000</v>
      </c>
      <c r="Q1602" s="296">
        <v>2</v>
      </c>
      <c r="R1602" s="296">
        <v>8</v>
      </c>
      <c r="S1602" s="296" t="s">
        <v>354</v>
      </c>
      <c r="T1602" s="298">
        <v>45159</v>
      </c>
      <c r="U1602" s="298">
        <v>45191</v>
      </c>
      <c r="V1602" s="296" t="s">
        <v>355</v>
      </c>
      <c r="W1602" s="296"/>
      <c r="X1602" s="296"/>
    </row>
    <row r="1603" spans="1:24" ht="13.5" x14ac:dyDescent="0.15">
      <c r="A1603" s="296">
        <v>3723608</v>
      </c>
      <c r="B1603" s="296" t="s">
        <v>351</v>
      </c>
      <c r="C1603" s="296" t="s">
        <v>356</v>
      </c>
      <c r="D1603" s="296" t="s">
        <v>353</v>
      </c>
      <c r="E1603" s="296" t="s">
        <v>106</v>
      </c>
      <c r="F1603" s="296">
        <v>3</v>
      </c>
      <c r="G1603" s="296" t="s">
        <v>19</v>
      </c>
      <c r="H1603" s="296" t="s">
        <v>20</v>
      </c>
      <c r="I1603" s="296" t="s">
        <v>21</v>
      </c>
      <c r="J1603" s="296"/>
      <c r="K1603" s="296" t="s">
        <v>107</v>
      </c>
      <c r="L1603" s="296">
        <v>25</v>
      </c>
      <c r="M1603" s="296" t="s">
        <v>367</v>
      </c>
      <c r="N1603" s="297">
        <v>1240</v>
      </c>
      <c r="O1603" s="297">
        <v>1240</v>
      </c>
      <c r="P1603" s="392">
        <v>6000</v>
      </c>
      <c r="Q1603" s="296">
        <v>2</v>
      </c>
      <c r="R1603" s="296">
        <v>16</v>
      </c>
      <c r="S1603" s="296" t="s">
        <v>354</v>
      </c>
      <c r="T1603" s="298">
        <v>45159</v>
      </c>
      <c r="U1603" s="298">
        <v>45195</v>
      </c>
      <c r="V1603" s="296" t="s">
        <v>355</v>
      </c>
      <c r="W1603" s="296"/>
      <c r="X1603" s="296"/>
    </row>
    <row r="1604" spans="1:24" ht="13.5" x14ac:dyDescent="0.15">
      <c r="A1604" s="296">
        <v>3723609</v>
      </c>
      <c r="B1604" s="296" t="s">
        <v>351</v>
      </c>
      <c r="C1604" s="296" t="s">
        <v>356</v>
      </c>
      <c r="D1604" s="296" t="s">
        <v>353</v>
      </c>
      <c r="E1604" s="296" t="s">
        <v>106</v>
      </c>
      <c r="F1604" s="296">
        <v>3</v>
      </c>
      <c r="G1604" s="296" t="s">
        <v>19</v>
      </c>
      <c r="H1604" s="296" t="s">
        <v>20</v>
      </c>
      <c r="I1604" s="296" t="s">
        <v>21</v>
      </c>
      <c r="J1604" s="296"/>
      <c r="K1604" s="296" t="s">
        <v>107</v>
      </c>
      <c r="L1604" s="296">
        <v>38</v>
      </c>
      <c r="M1604" s="296" t="s">
        <v>367</v>
      </c>
      <c r="N1604" s="297">
        <v>1240</v>
      </c>
      <c r="O1604" s="297">
        <v>1240</v>
      </c>
      <c r="P1604" s="392">
        <v>6000</v>
      </c>
      <c r="Q1604" s="296">
        <v>2</v>
      </c>
      <c r="R1604" s="296">
        <v>6</v>
      </c>
      <c r="S1604" s="296" t="s">
        <v>354</v>
      </c>
      <c r="T1604" s="298">
        <v>45159</v>
      </c>
      <c r="U1604" s="298">
        <v>45195</v>
      </c>
      <c r="V1604" s="296" t="s">
        <v>355</v>
      </c>
      <c r="W1604" s="296"/>
      <c r="X1604" s="296"/>
    </row>
    <row r="1605" spans="1:24" ht="13.5" x14ac:dyDescent="0.15">
      <c r="A1605" s="296">
        <v>3723610</v>
      </c>
      <c r="B1605" s="296" t="s">
        <v>351</v>
      </c>
      <c r="C1605" s="296" t="s">
        <v>364</v>
      </c>
      <c r="D1605" s="296" t="s">
        <v>353</v>
      </c>
      <c r="E1605" s="296" t="s">
        <v>371</v>
      </c>
      <c r="F1605" s="296">
        <v>330</v>
      </c>
      <c r="G1605" s="296" t="s">
        <v>19</v>
      </c>
      <c r="H1605" s="296" t="s">
        <v>20</v>
      </c>
      <c r="I1605" s="296" t="s">
        <v>21</v>
      </c>
      <c r="J1605" s="296"/>
      <c r="K1605" s="296" t="s">
        <v>118</v>
      </c>
      <c r="L1605" s="296">
        <v>25</v>
      </c>
      <c r="M1605" s="296" t="s">
        <v>119</v>
      </c>
      <c r="N1605" s="297">
        <v>1155</v>
      </c>
      <c r="O1605" s="297">
        <v>1150</v>
      </c>
      <c r="P1605" s="392">
        <v>6000</v>
      </c>
      <c r="Q1605" s="296">
        <v>2</v>
      </c>
      <c r="R1605" s="296">
        <v>3</v>
      </c>
      <c r="S1605" s="296" t="s">
        <v>354</v>
      </c>
      <c r="T1605" s="298">
        <v>45159</v>
      </c>
      <c r="U1605" s="298">
        <v>45195</v>
      </c>
      <c r="V1605" s="296" t="s">
        <v>355</v>
      </c>
      <c r="W1605" s="296"/>
      <c r="X1605" s="296"/>
    </row>
    <row r="1606" spans="1:24" ht="13.5" x14ac:dyDescent="0.15">
      <c r="A1606" s="296">
        <v>3723611</v>
      </c>
      <c r="B1606" s="296" t="s">
        <v>351</v>
      </c>
      <c r="C1606" s="296" t="s">
        <v>754</v>
      </c>
      <c r="D1606" s="296" t="s">
        <v>353</v>
      </c>
      <c r="E1606" s="296" t="s">
        <v>755</v>
      </c>
      <c r="F1606" s="296">
        <v>3</v>
      </c>
      <c r="G1606" s="296" t="s">
        <v>19</v>
      </c>
      <c r="H1606" s="296" t="s">
        <v>20</v>
      </c>
      <c r="I1606" s="296" t="s">
        <v>21</v>
      </c>
      <c r="J1606" s="296"/>
      <c r="K1606" s="296" t="s">
        <v>128</v>
      </c>
      <c r="L1606" s="296">
        <v>25</v>
      </c>
      <c r="M1606" s="296" t="s">
        <v>756</v>
      </c>
      <c r="N1606" s="297">
        <v>1155</v>
      </c>
      <c r="O1606" s="297">
        <v>1150</v>
      </c>
      <c r="P1606" s="392">
        <v>6000</v>
      </c>
      <c r="Q1606" s="296">
        <v>2</v>
      </c>
      <c r="R1606" s="296">
        <v>1</v>
      </c>
      <c r="S1606" s="296" t="s">
        <v>354</v>
      </c>
      <c r="T1606" s="298">
        <v>45159</v>
      </c>
      <c r="U1606" s="298">
        <v>45195</v>
      </c>
      <c r="V1606" s="296" t="s">
        <v>355</v>
      </c>
      <c r="W1606" s="296"/>
      <c r="X1606" s="296"/>
    </row>
    <row r="1607" spans="1:24" ht="13.5" x14ac:dyDescent="0.15">
      <c r="A1607" s="296">
        <v>3723612</v>
      </c>
      <c r="B1607" s="296" t="s">
        <v>351</v>
      </c>
      <c r="C1607" s="296" t="s">
        <v>356</v>
      </c>
      <c r="D1607" s="296" t="s">
        <v>353</v>
      </c>
      <c r="E1607" s="296" t="s">
        <v>115</v>
      </c>
      <c r="F1607" s="296">
        <v>3</v>
      </c>
      <c r="G1607" s="296" t="s">
        <v>19</v>
      </c>
      <c r="H1607" s="296" t="s">
        <v>20</v>
      </c>
      <c r="I1607" s="296" t="s">
        <v>21</v>
      </c>
      <c r="J1607" s="296"/>
      <c r="K1607" s="296" t="s">
        <v>112</v>
      </c>
      <c r="L1607" s="296">
        <v>38</v>
      </c>
      <c r="M1607" s="296" t="s">
        <v>357</v>
      </c>
      <c r="N1607" s="297">
        <v>1135</v>
      </c>
      <c r="O1607" s="297">
        <v>1130</v>
      </c>
      <c r="P1607" s="392">
        <v>6000</v>
      </c>
      <c r="Q1607" s="296">
        <v>2</v>
      </c>
      <c r="R1607" s="296">
        <v>2</v>
      </c>
      <c r="S1607" s="296" t="s">
        <v>354</v>
      </c>
      <c r="T1607" s="298">
        <v>45159</v>
      </c>
      <c r="U1607" s="298">
        <v>45195</v>
      </c>
      <c r="V1607" s="296" t="s">
        <v>355</v>
      </c>
      <c r="W1607" s="296"/>
      <c r="X1607" s="296"/>
    </row>
    <row r="1608" spans="1:24" ht="13.5" x14ac:dyDescent="0.15">
      <c r="A1608" s="296">
        <v>3723613</v>
      </c>
      <c r="B1608" s="296" t="s">
        <v>351</v>
      </c>
      <c r="C1608" s="296" t="s">
        <v>356</v>
      </c>
      <c r="D1608" s="296" t="s">
        <v>353</v>
      </c>
      <c r="E1608" s="296" t="s">
        <v>106</v>
      </c>
      <c r="F1608" s="296">
        <v>3</v>
      </c>
      <c r="G1608" s="296" t="s">
        <v>19</v>
      </c>
      <c r="H1608" s="296" t="s">
        <v>20</v>
      </c>
      <c r="I1608" s="296" t="s">
        <v>21</v>
      </c>
      <c r="J1608" s="296"/>
      <c r="K1608" s="296" t="s">
        <v>107</v>
      </c>
      <c r="L1608" s="296">
        <v>25</v>
      </c>
      <c r="M1608" s="296" t="s">
        <v>367</v>
      </c>
      <c r="N1608" s="297">
        <v>1040</v>
      </c>
      <c r="O1608" s="297">
        <v>1040</v>
      </c>
      <c r="P1608" s="392">
        <v>6000</v>
      </c>
      <c r="Q1608" s="296">
        <v>2</v>
      </c>
      <c r="R1608" s="296">
        <v>14</v>
      </c>
      <c r="S1608" s="296" t="s">
        <v>354</v>
      </c>
      <c r="T1608" s="298">
        <v>45159</v>
      </c>
      <c r="U1608" s="298">
        <v>45195</v>
      </c>
      <c r="V1608" s="296" t="s">
        <v>355</v>
      </c>
      <c r="W1608" s="296"/>
      <c r="X1608" s="296"/>
    </row>
    <row r="1609" spans="1:24" ht="13.5" x14ac:dyDescent="0.15">
      <c r="A1609" s="296">
        <v>3723614</v>
      </c>
      <c r="B1609" s="296" t="s">
        <v>351</v>
      </c>
      <c r="C1609" s="296" t="s">
        <v>356</v>
      </c>
      <c r="D1609" s="296" t="s">
        <v>353</v>
      </c>
      <c r="E1609" s="296" t="s">
        <v>32</v>
      </c>
      <c r="F1609" s="296">
        <v>331</v>
      </c>
      <c r="G1609" s="296" t="s">
        <v>19</v>
      </c>
      <c r="H1609" s="296" t="s">
        <v>20</v>
      </c>
      <c r="I1609" s="296" t="s">
        <v>21</v>
      </c>
      <c r="J1609" s="296"/>
      <c r="K1609" s="296" t="s">
        <v>33</v>
      </c>
      <c r="L1609" s="296">
        <v>38</v>
      </c>
      <c r="M1609" s="296" t="s">
        <v>30</v>
      </c>
      <c r="N1609" s="297">
        <v>1580</v>
      </c>
      <c r="O1609" s="297">
        <v>1580</v>
      </c>
      <c r="P1609" s="392">
        <v>6000</v>
      </c>
      <c r="Q1609" s="296">
        <v>2</v>
      </c>
      <c r="R1609" s="296">
        <v>2</v>
      </c>
      <c r="S1609" s="296" t="s">
        <v>354</v>
      </c>
      <c r="T1609" s="298">
        <v>45159</v>
      </c>
      <c r="U1609" s="298">
        <v>45192</v>
      </c>
      <c r="V1609" s="296" t="s">
        <v>355</v>
      </c>
      <c r="W1609" s="296"/>
      <c r="X1609" s="296"/>
    </row>
    <row r="1610" spans="1:24" ht="13.5" x14ac:dyDescent="0.15">
      <c r="A1610" s="296">
        <v>3723615</v>
      </c>
      <c r="B1610" s="296" t="s">
        <v>351</v>
      </c>
      <c r="C1610" s="296" t="s">
        <v>356</v>
      </c>
      <c r="D1610" s="296" t="s">
        <v>353</v>
      </c>
      <c r="E1610" s="296" t="s">
        <v>17</v>
      </c>
      <c r="F1610" s="296">
        <v>331</v>
      </c>
      <c r="G1610" s="296" t="s">
        <v>19</v>
      </c>
      <c r="H1610" s="296" t="s">
        <v>20</v>
      </c>
      <c r="I1610" s="296" t="s">
        <v>21</v>
      </c>
      <c r="J1610" s="296"/>
      <c r="K1610" s="296" t="s">
        <v>22</v>
      </c>
      <c r="L1610" s="296">
        <v>38</v>
      </c>
      <c r="M1610" s="296" t="s">
        <v>23</v>
      </c>
      <c r="N1610" s="297">
        <v>1367</v>
      </c>
      <c r="O1610" s="297">
        <v>1360</v>
      </c>
      <c r="P1610" s="392">
        <v>6000</v>
      </c>
      <c r="Q1610" s="296">
        <v>2</v>
      </c>
      <c r="R1610" s="296">
        <v>2</v>
      </c>
      <c r="S1610" s="296" t="s">
        <v>354</v>
      </c>
      <c r="T1610" s="298">
        <v>45159</v>
      </c>
      <c r="U1610" s="298">
        <v>45192</v>
      </c>
      <c r="V1610" s="296" t="s">
        <v>355</v>
      </c>
      <c r="W1610" s="296"/>
      <c r="X1610" s="296"/>
    </row>
    <row r="1611" spans="1:24" ht="13.5" x14ac:dyDescent="0.15">
      <c r="A1611" s="296">
        <v>3723616</v>
      </c>
      <c r="B1611" s="296" t="s">
        <v>351</v>
      </c>
      <c r="C1611" s="296" t="s">
        <v>356</v>
      </c>
      <c r="D1611" s="296" t="s">
        <v>353</v>
      </c>
      <c r="E1611" s="296" t="s">
        <v>32</v>
      </c>
      <c r="F1611" s="296">
        <v>331</v>
      </c>
      <c r="G1611" s="296" t="s">
        <v>19</v>
      </c>
      <c r="H1611" s="296" t="s">
        <v>20</v>
      </c>
      <c r="I1611" s="296" t="s">
        <v>21</v>
      </c>
      <c r="J1611" s="296"/>
      <c r="K1611" s="296" t="s">
        <v>33</v>
      </c>
      <c r="L1611" s="296">
        <v>25</v>
      </c>
      <c r="M1611" s="296" t="s">
        <v>30</v>
      </c>
      <c r="N1611" s="297">
        <v>1330</v>
      </c>
      <c r="O1611" s="297">
        <v>1330</v>
      </c>
      <c r="P1611" s="392">
        <v>6000</v>
      </c>
      <c r="Q1611" s="296">
        <v>2</v>
      </c>
      <c r="R1611" s="296">
        <v>10</v>
      </c>
      <c r="S1611" s="296" t="s">
        <v>354</v>
      </c>
      <c r="T1611" s="298">
        <v>45159</v>
      </c>
      <c r="U1611" s="298">
        <v>45192</v>
      </c>
      <c r="V1611" s="296" t="s">
        <v>355</v>
      </c>
      <c r="W1611" s="296"/>
      <c r="X1611" s="296"/>
    </row>
    <row r="1612" spans="1:24" ht="13.5" x14ac:dyDescent="0.15">
      <c r="A1612" s="296">
        <v>3723617</v>
      </c>
      <c r="B1612" s="296" t="s">
        <v>351</v>
      </c>
      <c r="C1612" s="296" t="s">
        <v>356</v>
      </c>
      <c r="D1612" s="296" t="s">
        <v>353</v>
      </c>
      <c r="E1612" s="296" t="s">
        <v>17</v>
      </c>
      <c r="F1612" s="296">
        <v>331</v>
      </c>
      <c r="G1612" s="296" t="s">
        <v>19</v>
      </c>
      <c r="H1612" s="296" t="s">
        <v>20</v>
      </c>
      <c r="I1612" s="296" t="s">
        <v>21</v>
      </c>
      <c r="J1612" s="296"/>
      <c r="K1612" s="296" t="s">
        <v>29</v>
      </c>
      <c r="L1612" s="296">
        <v>38</v>
      </c>
      <c r="M1612" s="296" t="s">
        <v>30</v>
      </c>
      <c r="N1612" s="297">
        <v>1330</v>
      </c>
      <c r="O1612" s="297">
        <v>1330</v>
      </c>
      <c r="P1612" s="392">
        <v>6000</v>
      </c>
      <c r="Q1612" s="296">
        <v>2</v>
      </c>
      <c r="R1612" s="296">
        <v>10</v>
      </c>
      <c r="S1612" s="296" t="s">
        <v>354</v>
      </c>
      <c r="T1612" s="298">
        <v>45159</v>
      </c>
      <c r="U1612" s="298">
        <v>45192</v>
      </c>
      <c r="V1612" s="296" t="s">
        <v>355</v>
      </c>
      <c r="W1612" s="296"/>
      <c r="X1612" s="296"/>
    </row>
    <row r="1613" spans="1:24" ht="13.5" x14ac:dyDescent="0.15">
      <c r="A1613" s="296">
        <v>3723618</v>
      </c>
      <c r="B1613" s="296" t="s">
        <v>351</v>
      </c>
      <c r="C1613" s="296" t="s">
        <v>356</v>
      </c>
      <c r="D1613" s="296" t="s">
        <v>353</v>
      </c>
      <c r="E1613" s="296" t="s">
        <v>17</v>
      </c>
      <c r="F1613" s="296">
        <v>3</v>
      </c>
      <c r="G1613" s="296" t="s">
        <v>19</v>
      </c>
      <c r="H1613" s="296" t="s">
        <v>20</v>
      </c>
      <c r="I1613" s="296" t="s">
        <v>21</v>
      </c>
      <c r="J1613" s="296"/>
      <c r="K1613" s="296" t="s">
        <v>22</v>
      </c>
      <c r="L1613" s="296">
        <v>38</v>
      </c>
      <c r="M1613" s="296" t="s">
        <v>23</v>
      </c>
      <c r="N1613" s="297">
        <v>1057</v>
      </c>
      <c r="O1613" s="297">
        <v>1050</v>
      </c>
      <c r="P1613" s="392">
        <v>6000</v>
      </c>
      <c r="Q1613" s="296">
        <v>2</v>
      </c>
      <c r="R1613" s="296">
        <v>3</v>
      </c>
      <c r="S1613" s="296" t="s">
        <v>354</v>
      </c>
      <c r="T1613" s="298">
        <v>45159</v>
      </c>
      <c r="U1613" s="298">
        <v>45192</v>
      </c>
      <c r="V1613" s="296" t="s">
        <v>355</v>
      </c>
      <c r="W1613" s="296"/>
      <c r="X1613" s="296"/>
    </row>
    <row r="1614" spans="1:24" ht="13.5" x14ac:dyDescent="0.15">
      <c r="A1614" s="296">
        <v>3723619</v>
      </c>
      <c r="B1614" s="296" t="s">
        <v>351</v>
      </c>
      <c r="C1614" s="296" t="s">
        <v>356</v>
      </c>
      <c r="D1614" s="296" t="s">
        <v>353</v>
      </c>
      <c r="E1614" s="296" t="s">
        <v>17</v>
      </c>
      <c r="F1614" s="296">
        <v>3</v>
      </c>
      <c r="G1614" s="296" t="s">
        <v>19</v>
      </c>
      <c r="H1614" s="296" t="s">
        <v>20</v>
      </c>
      <c r="I1614" s="296" t="s">
        <v>21</v>
      </c>
      <c r="J1614" s="296"/>
      <c r="K1614" s="296" t="s">
        <v>22</v>
      </c>
      <c r="L1614" s="296">
        <v>38</v>
      </c>
      <c r="M1614" s="296" t="s">
        <v>23</v>
      </c>
      <c r="N1614" s="297">
        <v>1037</v>
      </c>
      <c r="O1614" s="297">
        <v>1030</v>
      </c>
      <c r="P1614" s="392">
        <v>6000</v>
      </c>
      <c r="Q1614" s="296">
        <v>2</v>
      </c>
      <c r="R1614" s="296">
        <v>20</v>
      </c>
      <c r="S1614" s="296" t="s">
        <v>354</v>
      </c>
      <c r="T1614" s="298">
        <v>45159</v>
      </c>
      <c r="U1614" s="298">
        <v>45192</v>
      </c>
      <c r="V1614" s="296" t="s">
        <v>355</v>
      </c>
      <c r="W1614" s="296"/>
      <c r="X1614" s="296"/>
    </row>
    <row r="1615" spans="1:24" ht="13.5" x14ac:dyDescent="0.15">
      <c r="A1615" s="296">
        <v>3723620</v>
      </c>
      <c r="B1615" s="296" t="s">
        <v>431</v>
      </c>
      <c r="C1615" s="296" t="s">
        <v>356</v>
      </c>
      <c r="D1615" s="296" t="s">
        <v>353</v>
      </c>
      <c r="E1615" s="296" t="s">
        <v>1436</v>
      </c>
      <c r="F1615" s="296">
        <v>3</v>
      </c>
      <c r="G1615" s="296" t="s">
        <v>265</v>
      </c>
      <c r="H1615" s="296" t="s">
        <v>28</v>
      </c>
      <c r="I1615" s="296" t="s">
        <v>132</v>
      </c>
      <c r="J1615" s="296"/>
      <c r="K1615" s="296" t="s">
        <v>1437</v>
      </c>
      <c r="L1615" s="296">
        <v>75</v>
      </c>
      <c r="M1615" s="296" t="s">
        <v>1438</v>
      </c>
      <c r="N1615" s="296">
        <v>685</v>
      </c>
      <c r="O1615" s="296">
        <v>685</v>
      </c>
      <c r="P1615" s="392">
        <v>6000</v>
      </c>
      <c r="Q1615" s="296">
        <v>2</v>
      </c>
      <c r="R1615" s="296">
        <v>72</v>
      </c>
      <c r="S1615" s="296" t="s">
        <v>354</v>
      </c>
      <c r="T1615" s="298">
        <v>45159</v>
      </c>
      <c r="U1615" s="298">
        <v>45184</v>
      </c>
      <c r="V1615" s="296" t="s">
        <v>355</v>
      </c>
      <c r="W1615" s="296"/>
      <c r="X1615" s="296"/>
    </row>
    <row r="1616" spans="1:24" ht="13.5" x14ac:dyDescent="0.15">
      <c r="A1616" s="296">
        <v>3723622</v>
      </c>
      <c r="B1616" s="296" t="s">
        <v>351</v>
      </c>
      <c r="C1616" s="296" t="s">
        <v>364</v>
      </c>
      <c r="D1616" s="296" t="s">
        <v>353</v>
      </c>
      <c r="E1616" s="296" t="s">
        <v>162</v>
      </c>
      <c r="F1616" s="296">
        <v>3</v>
      </c>
      <c r="G1616" s="296" t="s">
        <v>19</v>
      </c>
      <c r="H1616" s="296" t="s">
        <v>20</v>
      </c>
      <c r="I1616" s="296" t="s">
        <v>143</v>
      </c>
      <c r="J1616" s="296"/>
      <c r="K1616" s="296" t="s">
        <v>163</v>
      </c>
      <c r="L1616" s="296">
        <v>38</v>
      </c>
      <c r="M1616" s="296" t="s">
        <v>164</v>
      </c>
      <c r="N1616" s="297">
        <v>1320</v>
      </c>
      <c r="O1616" s="297">
        <v>1320</v>
      </c>
      <c r="P1616" s="392">
        <v>6000</v>
      </c>
      <c r="Q1616" s="296">
        <v>2</v>
      </c>
      <c r="R1616" s="296">
        <v>20</v>
      </c>
      <c r="S1616" s="296" t="s">
        <v>354</v>
      </c>
      <c r="T1616" s="298">
        <v>45159</v>
      </c>
      <c r="U1616" s="298">
        <v>45184</v>
      </c>
      <c r="V1616" s="296" t="s">
        <v>355</v>
      </c>
      <c r="W1616" s="296"/>
      <c r="X1616" s="296"/>
    </row>
    <row r="1617" spans="1:24" ht="13.5" x14ac:dyDescent="0.15">
      <c r="A1617" s="296">
        <v>3723626</v>
      </c>
      <c r="B1617" s="296" t="s">
        <v>351</v>
      </c>
      <c r="C1617" s="296" t="s">
        <v>434</v>
      </c>
      <c r="D1617" s="296" t="s">
        <v>353</v>
      </c>
      <c r="E1617" s="296" t="s">
        <v>1163</v>
      </c>
      <c r="F1617" s="296">
        <v>3</v>
      </c>
      <c r="G1617" s="296" t="s">
        <v>19</v>
      </c>
      <c r="H1617" s="296" t="s">
        <v>20</v>
      </c>
      <c r="I1617" s="296" t="s">
        <v>132</v>
      </c>
      <c r="J1617" s="296"/>
      <c r="K1617" s="296" t="s">
        <v>139</v>
      </c>
      <c r="L1617" s="296">
        <v>25</v>
      </c>
      <c r="M1617" s="296" t="s">
        <v>140</v>
      </c>
      <c r="N1617" s="297">
        <v>1575</v>
      </c>
      <c r="O1617" s="297">
        <v>1575</v>
      </c>
      <c r="P1617" s="392">
        <v>6000</v>
      </c>
      <c r="Q1617" s="296">
        <v>2</v>
      </c>
      <c r="R1617" s="296">
        <v>6</v>
      </c>
      <c r="S1617" s="296" t="s">
        <v>354</v>
      </c>
      <c r="T1617" s="298">
        <v>45159</v>
      </c>
      <c r="U1617" s="298">
        <v>45184</v>
      </c>
      <c r="V1617" s="296" t="s">
        <v>355</v>
      </c>
      <c r="W1617" s="296"/>
      <c r="X1617" s="296"/>
    </row>
    <row r="1618" spans="1:24" ht="13.5" x14ac:dyDescent="0.15">
      <c r="A1618" s="296">
        <v>3725629</v>
      </c>
      <c r="B1618" s="296" t="s">
        <v>1364</v>
      </c>
      <c r="C1618" s="296" t="s">
        <v>358</v>
      </c>
      <c r="D1618" s="296" t="s">
        <v>353</v>
      </c>
      <c r="E1618" s="296" t="s">
        <v>61</v>
      </c>
      <c r="F1618" s="296">
        <v>3</v>
      </c>
      <c r="G1618" s="296" t="s">
        <v>269</v>
      </c>
      <c r="H1618" s="296" t="s">
        <v>20</v>
      </c>
      <c r="I1618" s="296" t="s">
        <v>1078</v>
      </c>
      <c r="J1618" s="296"/>
      <c r="K1618" s="296" t="s">
        <v>1079</v>
      </c>
      <c r="L1618" s="296">
        <v>25</v>
      </c>
      <c r="M1618" s="296" t="s">
        <v>1462</v>
      </c>
      <c r="N1618" s="297">
        <v>1050</v>
      </c>
      <c r="O1618" s="297">
        <v>1050</v>
      </c>
      <c r="P1618" s="392">
        <v>6000</v>
      </c>
      <c r="Q1618" s="296">
        <v>1</v>
      </c>
      <c r="R1618" s="296">
        <v>2</v>
      </c>
      <c r="S1618" s="296" t="s">
        <v>354</v>
      </c>
      <c r="T1618" s="298">
        <v>45169</v>
      </c>
      <c r="U1618" s="298">
        <v>45188</v>
      </c>
      <c r="V1618" s="296" t="s">
        <v>428</v>
      </c>
      <c r="W1618" s="296"/>
      <c r="X1618" s="296"/>
    </row>
    <row r="1619" spans="1:24" ht="13.5" x14ac:dyDescent="0.15">
      <c r="A1619" s="392">
        <v>3727559</v>
      </c>
      <c r="B1619" s="392" t="s">
        <v>1471</v>
      </c>
      <c r="C1619" s="392" t="s">
        <v>1472</v>
      </c>
      <c r="D1619" s="392" t="s">
        <v>1473</v>
      </c>
      <c r="E1619" s="392" t="s">
        <v>1474</v>
      </c>
      <c r="F1619" s="394">
        <v>331</v>
      </c>
      <c r="G1619" s="392" t="s">
        <v>19</v>
      </c>
      <c r="H1619" s="392" t="s">
        <v>20</v>
      </c>
      <c r="I1619" s="392" t="s">
        <v>1552</v>
      </c>
      <c r="J1619" s="392" t="s">
        <v>1475</v>
      </c>
      <c r="K1619" s="392" t="s">
        <v>1556</v>
      </c>
      <c r="L1619" s="392">
        <v>38</v>
      </c>
      <c r="M1619" s="392" t="s">
        <v>1476</v>
      </c>
      <c r="N1619" s="392">
        <v>1585</v>
      </c>
      <c r="O1619" s="392">
        <v>1580</v>
      </c>
      <c r="P1619" s="392">
        <v>4000</v>
      </c>
      <c r="Q1619" s="392">
        <v>2</v>
      </c>
      <c r="R1619" s="392">
        <v>3</v>
      </c>
      <c r="S1619" s="392" t="s">
        <v>1477</v>
      </c>
      <c r="T1619" s="392" t="s">
        <v>1478</v>
      </c>
      <c r="U1619" s="392" t="s">
        <v>1479</v>
      </c>
      <c r="V1619" s="392" t="s">
        <v>1480</v>
      </c>
      <c r="W1619" s="392" t="s">
        <v>1481</v>
      </c>
      <c r="X1619" s="392" t="s">
        <v>1482</v>
      </c>
    </row>
    <row r="1620" spans="1:24" ht="13.5" x14ac:dyDescent="0.15">
      <c r="A1620" s="392">
        <v>3727560</v>
      </c>
      <c r="B1620" s="392" t="s">
        <v>1471</v>
      </c>
      <c r="C1620" s="392" t="s">
        <v>1483</v>
      </c>
      <c r="D1620" s="392" t="s">
        <v>1473</v>
      </c>
      <c r="E1620" s="392" t="s">
        <v>65</v>
      </c>
      <c r="F1620" s="394">
        <v>3321</v>
      </c>
      <c r="G1620" s="392" t="s">
        <v>19</v>
      </c>
      <c r="H1620" s="392" t="s">
        <v>20</v>
      </c>
      <c r="I1620" s="392" t="s">
        <v>1552</v>
      </c>
      <c r="J1620" s="392" t="s">
        <v>1475</v>
      </c>
      <c r="K1620" s="392" t="s">
        <v>1557</v>
      </c>
      <c r="L1620" s="392">
        <v>38</v>
      </c>
      <c r="M1620" s="392" t="s">
        <v>1484</v>
      </c>
      <c r="N1620" s="392">
        <v>1336</v>
      </c>
      <c r="O1620" s="392">
        <v>1325</v>
      </c>
      <c r="P1620" s="392">
        <v>12000</v>
      </c>
      <c r="Q1620" s="392">
        <v>2</v>
      </c>
      <c r="R1620" s="392">
        <v>49</v>
      </c>
      <c r="S1620" s="392" t="s">
        <v>1477</v>
      </c>
      <c r="T1620" s="392" t="s">
        <v>1478</v>
      </c>
      <c r="U1620" s="392" t="s">
        <v>1479</v>
      </c>
      <c r="V1620" s="392" t="s">
        <v>1480</v>
      </c>
      <c r="W1620" s="392" t="s">
        <v>1481</v>
      </c>
      <c r="X1620" s="392" t="s">
        <v>1482</v>
      </c>
    </row>
    <row r="1621" spans="1:24" ht="13.5" x14ac:dyDescent="0.15">
      <c r="A1621" s="392">
        <v>3727561</v>
      </c>
      <c r="B1621" s="392" t="s">
        <v>1471</v>
      </c>
      <c r="C1621" s="392" t="s">
        <v>1483</v>
      </c>
      <c r="D1621" s="392" t="s">
        <v>1473</v>
      </c>
      <c r="E1621" s="392" t="s">
        <v>65</v>
      </c>
      <c r="F1621" s="394">
        <v>3321</v>
      </c>
      <c r="G1621" s="392" t="s">
        <v>19</v>
      </c>
      <c r="H1621" s="392" t="s">
        <v>20</v>
      </c>
      <c r="I1621" s="392" t="s">
        <v>1552</v>
      </c>
      <c r="J1621" s="392" t="s">
        <v>1475</v>
      </c>
      <c r="K1621" s="392" t="s">
        <v>1558</v>
      </c>
      <c r="L1621" s="392">
        <v>38</v>
      </c>
      <c r="M1621" s="392" t="s">
        <v>1485</v>
      </c>
      <c r="N1621" s="392">
        <v>1336</v>
      </c>
      <c r="O1621" s="392">
        <v>1325</v>
      </c>
      <c r="P1621" s="392">
        <v>12000</v>
      </c>
      <c r="Q1621" s="392">
        <v>2</v>
      </c>
      <c r="R1621" s="392">
        <v>16</v>
      </c>
      <c r="S1621" s="392" t="s">
        <v>1477</v>
      </c>
      <c r="T1621" s="392" t="s">
        <v>1478</v>
      </c>
      <c r="U1621" s="392" t="s">
        <v>1479</v>
      </c>
      <c r="V1621" s="392" t="s">
        <v>1480</v>
      </c>
      <c r="W1621" s="392" t="s">
        <v>1481</v>
      </c>
      <c r="X1621" s="392" t="s">
        <v>1482</v>
      </c>
    </row>
    <row r="1622" spans="1:24" ht="13.5" x14ac:dyDescent="0.15">
      <c r="A1622" s="392">
        <v>3727562</v>
      </c>
      <c r="B1622" s="392" t="s">
        <v>1471</v>
      </c>
      <c r="C1622" s="392" t="s">
        <v>1472</v>
      </c>
      <c r="D1622" s="392" t="s">
        <v>1473</v>
      </c>
      <c r="E1622" s="392" t="s">
        <v>1474</v>
      </c>
      <c r="F1622" s="394">
        <v>331</v>
      </c>
      <c r="G1622" s="392" t="s">
        <v>19</v>
      </c>
      <c r="H1622" s="392" t="s">
        <v>20</v>
      </c>
      <c r="I1622" s="392" t="s">
        <v>1552</v>
      </c>
      <c r="J1622" s="392" t="s">
        <v>1475</v>
      </c>
      <c r="K1622" s="392" t="s">
        <v>1556</v>
      </c>
      <c r="L1622" s="392">
        <v>38</v>
      </c>
      <c r="M1622" s="392" t="s">
        <v>1476</v>
      </c>
      <c r="N1622" s="392">
        <v>1255</v>
      </c>
      <c r="O1622" s="392">
        <v>1250</v>
      </c>
      <c r="P1622" s="392">
        <v>6000</v>
      </c>
      <c r="Q1622" s="392">
        <v>2</v>
      </c>
      <c r="R1622" s="392">
        <v>30</v>
      </c>
      <c r="S1622" s="392" t="s">
        <v>1477</v>
      </c>
      <c r="T1622" s="392" t="s">
        <v>1478</v>
      </c>
      <c r="U1622" s="392" t="s">
        <v>1479</v>
      </c>
      <c r="V1622" s="392" t="s">
        <v>1480</v>
      </c>
      <c r="W1622" s="392" t="s">
        <v>1481</v>
      </c>
      <c r="X1622" s="392" t="s">
        <v>1482</v>
      </c>
    </row>
    <row r="1623" spans="1:24" ht="13.5" x14ac:dyDescent="0.15">
      <c r="A1623" s="392">
        <v>3727563</v>
      </c>
      <c r="B1623" s="392" t="s">
        <v>1471</v>
      </c>
      <c r="C1623" s="392" t="s">
        <v>1472</v>
      </c>
      <c r="D1623" s="392" t="s">
        <v>1473</v>
      </c>
      <c r="E1623" s="392" t="s">
        <v>1474</v>
      </c>
      <c r="F1623" s="394">
        <v>3313</v>
      </c>
      <c r="G1623" s="392" t="s">
        <v>19</v>
      </c>
      <c r="H1623" s="392" t="s">
        <v>20</v>
      </c>
      <c r="I1623" s="392" t="s">
        <v>1552</v>
      </c>
      <c r="J1623" s="392" t="s">
        <v>1475</v>
      </c>
      <c r="K1623" s="392" t="s">
        <v>1556</v>
      </c>
      <c r="L1623" s="392">
        <v>38</v>
      </c>
      <c r="M1623" s="392" t="s">
        <v>1476</v>
      </c>
      <c r="N1623" s="392">
        <v>750</v>
      </c>
      <c r="O1623" s="392">
        <v>750</v>
      </c>
      <c r="P1623" s="392">
        <v>6000</v>
      </c>
      <c r="Q1623" s="392">
        <v>2</v>
      </c>
      <c r="R1623" s="392">
        <v>16</v>
      </c>
      <c r="S1623" s="392" t="s">
        <v>1477</v>
      </c>
      <c r="T1623" s="392" t="s">
        <v>1478</v>
      </c>
      <c r="U1623" s="392" t="s">
        <v>1479</v>
      </c>
      <c r="V1623" s="392" t="s">
        <v>1480</v>
      </c>
      <c r="W1623" s="392" t="s">
        <v>1481</v>
      </c>
      <c r="X1623" s="392" t="s">
        <v>1482</v>
      </c>
    </row>
    <row r="1624" spans="1:24" ht="13.5" x14ac:dyDescent="0.15">
      <c r="A1624" s="392">
        <v>3727564</v>
      </c>
      <c r="B1624" s="392" t="s">
        <v>1471</v>
      </c>
      <c r="C1624" s="392" t="s">
        <v>1486</v>
      </c>
      <c r="D1624" s="392" t="s">
        <v>1473</v>
      </c>
      <c r="E1624" s="392" t="s">
        <v>1487</v>
      </c>
      <c r="F1624" s="394">
        <v>331</v>
      </c>
      <c r="G1624" s="392" t="s">
        <v>19</v>
      </c>
      <c r="H1624" s="392" t="s">
        <v>20</v>
      </c>
      <c r="I1624" s="392" t="s">
        <v>1552</v>
      </c>
      <c r="J1624" s="392" t="s">
        <v>1475</v>
      </c>
      <c r="K1624" s="392" t="s">
        <v>1559</v>
      </c>
      <c r="L1624" s="392">
        <v>38</v>
      </c>
      <c r="M1624" s="392" t="s">
        <v>1488</v>
      </c>
      <c r="N1624" s="392">
        <v>1330</v>
      </c>
      <c r="O1624" s="392">
        <v>1330</v>
      </c>
      <c r="P1624" s="392">
        <v>6000</v>
      </c>
      <c r="Q1624" s="392">
        <v>2</v>
      </c>
      <c r="R1624" s="392">
        <v>16</v>
      </c>
      <c r="S1624" s="392" t="s">
        <v>1477</v>
      </c>
      <c r="T1624" s="392" t="s">
        <v>1478</v>
      </c>
      <c r="U1624" s="392" t="s">
        <v>1489</v>
      </c>
      <c r="V1624" s="392" t="s">
        <v>1480</v>
      </c>
      <c r="W1624" s="392" t="s">
        <v>1481</v>
      </c>
      <c r="X1624" s="392" t="s">
        <v>1482</v>
      </c>
    </row>
    <row r="1625" spans="1:24" ht="13.5" x14ac:dyDescent="0.15">
      <c r="A1625" s="392">
        <v>3727565</v>
      </c>
      <c r="B1625" s="392" t="s">
        <v>1471</v>
      </c>
      <c r="C1625" s="392" t="s">
        <v>1486</v>
      </c>
      <c r="D1625" s="392" t="s">
        <v>1473</v>
      </c>
      <c r="E1625" s="392" t="s">
        <v>1487</v>
      </c>
      <c r="F1625" s="394">
        <v>331</v>
      </c>
      <c r="G1625" s="392" t="s">
        <v>19</v>
      </c>
      <c r="H1625" s="392" t="s">
        <v>20</v>
      </c>
      <c r="I1625" s="392" t="s">
        <v>1552</v>
      </c>
      <c r="J1625" s="392" t="s">
        <v>1475</v>
      </c>
      <c r="K1625" s="392" t="s">
        <v>1559</v>
      </c>
      <c r="L1625" s="392">
        <v>38</v>
      </c>
      <c r="M1625" s="392" t="s">
        <v>1488</v>
      </c>
      <c r="N1625" s="392">
        <v>1330</v>
      </c>
      <c r="O1625" s="392">
        <v>1330</v>
      </c>
      <c r="P1625" s="392">
        <v>6000</v>
      </c>
      <c r="Q1625" s="392">
        <v>2</v>
      </c>
      <c r="R1625" s="392">
        <v>22</v>
      </c>
      <c r="S1625" s="392" t="s">
        <v>1477</v>
      </c>
      <c r="T1625" s="392" t="s">
        <v>1478</v>
      </c>
      <c r="U1625" s="392" t="s">
        <v>1490</v>
      </c>
      <c r="V1625" s="392" t="s">
        <v>1480</v>
      </c>
      <c r="W1625" s="392" t="s">
        <v>1481</v>
      </c>
      <c r="X1625" s="392" t="s">
        <v>1482</v>
      </c>
    </row>
    <row r="1626" spans="1:24" ht="13.5" x14ac:dyDescent="0.15">
      <c r="A1626" s="392">
        <v>3727566</v>
      </c>
      <c r="B1626" s="392" t="s">
        <v>1471</v>
      </c>
      <c r="C1626" s="392" t="s">
        <v>1486</v>
      </c>
      <c r="D1626" s="392" t="s">
        <v>1473</v>
      </c>
      <c r="E1626" s="392" t="s">
        <v>1491</v>
      </c>
      <c r="F1626" s="394">
        <v>331</v>
      </c>
      <c r="G1626" s="392" t="s">
        <v>19</v>
      </c>
      <c r="H1626" s="392" t="s">
        <v>20</v>
      </c>
      <c r="I1626" s="392" t="s">
        <v>1552</v>
      </c>
      <c r="J1626" s="392" t="s">
        <v>1475</v>
      </c>
      <c r="K1626" s="392" t="s">
        <v>1560</v>
      </c>
      <c r="L1626" s="392">
        <v>38</v>
      </c>
      <c r="M1626" s="392" t="s">
        <v>1488</v>
      </c>
      <c r="N1626" s="392">
        <v>1330</v>
      </c>
      <c r="O1626" s="392">
        <v>1330</v>
      </c>
      <c r="P1626" s="392">
        <v>6000</v>
      </c>
      <c r="Q1626" s="392">
        <v>2</v>
      </c>
      <c r="R1626" s="392">
        <v>36</v>
      </c>
      <c r="S1626" s="392" t="s">
        <v>1477</v>
      </c>
      <c r="T1626" s="392" t="s">
        <v>1478</v>
      </c>
      <c r="U1626" s="392" t="s">
        <v>1490</v>
      </c>
      <c r="V1626" s="392" t="s">
        <v>1480</v>
      </c>
      <c r="W1626" s="392" t="s">
        <v>1481</v>
      </c>
      <c r="X1626" s="392" t="s">
        <v>1482</v>
      </c>
    </row>
    <row r="1627" spans="1:24" ht="13.5" x14ac:dyDescent="0.15">
      <c r="A1627" s="392">
        <v>3727567</v>
      </c>
      <c r="B1627" s="392" t="s">
        <v>1492</v>
      </c>
      <c r="C1627" s="392" t="s">
        <v>1472</v>
      </c>
      <c r="D1627" s="392" t="s">
        <v>1473</v>
      </c>
      <c r="E1627" s="392" t="s">
        <v>1493</v>
      </c>
      <c r="F1627" s="394">
        <v>3</v>
      </c>
      <c r="G1627" s="392" t="s">
        <v>265</v>
      </c>
      <c r="H1627" s="392" t="s">
        <v>20</v>
      </c>
      <c r="I1627" s="392" t="s">
        <v>1552</v>
      </c>
      <c r="J1627" s="392" t="s">
        <v>1475</v>
      </c>
      <c r="K1627" s="392" t="s">
        <v>1561</v>
      </c>
      <c r="L1627" s="392">
        <v>25</v>
      </c>
      <c r="M1627" s="392" t="s">
        <v>1494</v>
      </c>
      <c r="N1627" s="392">
        <v>1100</v>
      </c>
      <c r="O1627" s="392">
        <v>1100</v>
      </c>
      <c r="P1627" s="392">
        <v>4070</v>
      </c>
      <c r="Q1627" s="392">
        <v>2</v>
      </c>
      <c r="R1627" s="392">
        <v>6</v>
      </c>
      <c r="S1627" s="392" t="s">
        <v>1477</v>
      </c>
      <c r="T1627" s="392" t="s">
        <v>1478</v>
      </c>
      <c r="U1627" s="392" t="s">
        <v>1490</v>
      </c>
      <c r="V1627" s="392" t="s">
        <v>1480</v>
      </c>
      <c r="W1627" s="392" t="s">
        <v>1481</v>
      </c>
      <c r="X1627" s="392" t="s">
        <v>1482</v>
      </c>
    </row>
    <row r="1628" spans="1:24" ht="13.5" x14ac:dyDescent="0.15">
      <c r="A1628" s="392">
        <v>3727568</v>
      </c>
      <c r="B1628" s="392" t="s">
        <v>1471</v>
      </c>
      <c r="C1628" s="392" t="s">
        <v>1495</v>
      </c>
      <c r="D1628" s="392" t="s">
        <v>1473</v>
      </c>
      <c r="E1628" s="392" t="s">
        <v>1496</v>
      </c>
      <c r="F1628" s="394">
        <v>3</v>
      </c>
      <c r="G1628" s="392" t="s">
        <v>19</v>
      </c>
      <c r="H1628" s="392" t="s">
        <v>28</v>
      </c>
      <c r="I1628" s="392" t="s">
        <v>1552</v>
      </c>
      <c r="J1628" s="392" t="s">
        <v>1475</v>
      </c>
      <c r="K1628" s="392" t="s">
        <v>1562</v>
      </c>
      <c r="L1628" s="392">
        <v>75</v>
      </c>
      <c r="M1628" s="392" t="s">
        <v>1497</v>
      </c>
      <c r="N1628" s="392">
        <v>1040</v>
      </c>
      <c r="O1628" s="392">
        <v>1040</v>
      </c>
      <c r="P1628" s="392">
        <v>4000</v>
      </c>
      <c r="Q1628" s="392">
        <v>1</v>
      </c>
      <c r="R1628" s="392">
        <v>1</v>
      </c>
      <c r="S1628" s="392" t="s">
        <v>1477</v>
      </c>
      <c r="T1628" s="392" t="s">
        <v>1478</v>
      </c>
      <c r="U1628" s="392" t="s">
        <v>1490</v>
      </c>
      <c r="V1628" s="392" t="s">
        <v>1480</v>
      </c>
      <c r="W1628" s="392" t="s">
        <v>1481</v>
      </c>
      <c r="X1628" s="392" t="s">
        <v>1482</v>
      </c>
    </row>
    <row r="1629" spans="1:24" ht="13.5" x14ac:dyDescent="0.15">
      <c r="A1629" s="392">
        <v>3727569</v>
      </c>
      <c r="B1629" s="392" t="s">
        <v>1471</v>
      </c>
      <c r="C1629" s="392" t="s">
        <v>1495</v>
      </c>
      <c r="D1629" s="392" t="s">
        <v>1473</v>
      </c>
      <c r="E1629" s="392" t="s">
        <v>1496</v>
      </c>
      <c r="F1629" s="394">
        <v>3</v>
      </c>
      <c r="G1629" s="392" t="s">
        <v>19</v>
      </c>
      <c r="H1629" s="392" t="s">
        <v>28</v>
      </c>
      <c r="I1629" s="392" t="s">
        <v>1552</v>
      </c>
      <c r="J1629" s="392" t="s">
        <v>1475</v>
      </c>
      <c r="K1629" s="392" t="s">
        <v>1563</v>
      </c>
      <c r="L1629" s="392">
        <v>75</v>
      </c>
      <c r="M1629" s="392" t="s">
        <v>1498</v>
      </c>
      <c r="N1629" s="392">
        <v>1040</v>
      </c>
      <c r="O1629" s="392">
        <v>1040</v>
      </c>
      <c r="P1629" s="392">
        <v>4000</v>
      </c>
      <c r="Q1629" s="392">
        <v>1</v>
      </c>
      <c r="R1629" s="392">
        <v>1</v>
      </c>
      <c r="S1629" s="392" t="s">
        <v>1477</v>
      </c>
      <c r="T1629" s="392" t="s">
        <v>1478</v>
      </c>
      <c r="U1629" s="392" t="s">
        <v>1490</v>
      </c>
      <c r="V1629" s="392" t="s">
        <v>1480</v>
      </c>
      <c r="W1629" s="392" t="s">
        <v>1481</v>
      </c>
      <c r="X1629" s="392" t="s">
        <v>1482</v>
      </c>
    </row>
    <row r="1630" spans="1:24" ht="13.5" x14ac:dyDescent="0.15">
      <c r="A1630" s="392">
        <v>3727570</v>
      </c>
      <c r="B1630" s="392" t="s">
        <v>1471</v>
      </c>
      <c r="C1630" s="392" t="s">
        <v>1486</v>
      </c>
      <c r="D1630" s="392" t="s">
        <v>1473</v>
      </c>
      <c r="E1630" s="392" t="s">
        <v>1491</v>
      </c>
      <c r="F1630" s="394">
        <v>331</v>
      </c>
      <c r="G1630" s="392" t="s">
        <v>19</v>
      </c>
      <c r="H1630" s="392" t="s">
        <v>20</v>
      </c>
      <c r="I1630" s="392" t="s">
        <v>1552</v>
      </c>
      <c r="J1630" s="392" t="s">
        <v>1475</v>
      </c>
      <c r="K1630" s="392" t="s">
        <v>1564</v>
      </c>
      <c r="L1630" s="392">
        <v>25</v>
      </c>
      <c r="M1630" s="392" t="s">
        <v>1499</v>
      </c>
      <c r="N1630" s="392">
        <v>1330</v>
      </c>
      <c r="O1630" s="392">
        <v>1330</v>
      </c>
      <c r="P1630" s="392">
        <v>6000</v>
      </c>
      <c r="Q1630" s="392">
        <v>2</v>
      </c>
      <c r="R1630" s="392">
        <v>10</v>
      </c>
      <c r="S1630" s="392" t="s">
        <v>1477</v>
      </c>
      <c r="T1630" s="392" t="s">
        <v>1478</v>
      </c>
      <c r="U1630" s="392" t="s">
        <v>1489</v>
      </c>
      <c r="V1630" s="392" t="s">
        <v>1480</v>
      </c>
      <c r="W1630" s="392" t="s">
        <v>1481</v>
      </c>
      <c r="X1630" s="392" t="s">
        <v>1482</v>
      </c>
    </row>
    <row r="1631" spans="1:24" ht="13.5" x14ac:dyDescent="0.15">
      <c r="A1631" s="392">
        <v>3727571</v>
      </c>
      <c r="B1631" s="392" t="s">
        <v>1471</v>
      </c>
      <c r="C1631" s="392" t="s">
        <v>1500</v>
      </c>
      <c r="D1631" s="392" t="s">
        <v>1473</v>
      </c>
      <c r="E1631" s="392" t="s">
        <v>1501</v>
      </c>
      <c r="F1631" s="394">
        <v>3</v>
      </c>
      <c r="G1631" s="392" t="s">
        <v>19</v>
      </c>
      <c r="H1631" s="392" t="s">
        <v>20</v>
      </c>
      <c r="I1631" s="392" t="s">
        <v>1552</v>
      </c>
      <c r="J1631" s="392" t="s">
        <v>1475</v>
      </c>
      <c r="K1631" s="392" t="s">
        <v>1565</v>
      </c>
      <c r="L1631" s="392">
        <v>25</v>
      </c>
      <c r="M1631" s="392" t="s">
        <v>1502</v>
      </c>
      <c r="N1631" s="392">
        <v>1085</v>
      </c>
      <c r="O1631" s="392">
        <v>1080</v>
      </c>
      <c r="P1631" s="392">
        <v>6000</v>
      </c>
      <c r="Q1631" s="392">
        <v>2</v>
      </c>
      <c r="R1631" s="392">
        <v>6</v>
      </c>
      <c r="S1631" s="392" t="s">
        <v>1477</v>
      </c>
      <c r="T1631" s="392" t="s">
        <v>1478</v>
      </c>
      <c r="U1631" s="392" t="s">
        <v>1489</v>
      </c>
      <c r="V1631" s="392" t="s">
        <v>1480</v>
      </c>
      <c r="W1631" s="392" t="s">
        <v>1481</v>
      </c>
      <c r="X1631" s="392" t="s">
        <v>1482</v>
      </c>
    </row>
    <row r="1632" spans="1:24" ht="13.5" x14ac:dyDescent="0.15">
      <c r="A1632" s="392">
        <v>3727572</v>
      </c>
      <c r="B1632" s="392" t="s">
        <v>1471</v>
      </c>
      <c r="C1632" s="392" t="s">
        <v>1486</v>
      </c>
      <c r="D1632" s="392" t="s">
        <v>1473</v>
      </c>
      <c r="E1632" s="392" t="s">
        <v>1487</v>
      </c>
      <c r="F1632" s="394">
        <v>3</v>
      </c>
      <c r="G1632" s="392" t="s">
        <v>19</v>
      </c>
      <c r="H1632" s="392" t="s">
        <v>20</v>
      </c>
      <c r="I1632" s="392" t="s">
        <v>1552</v>
      </c>
      <c r="J1632" s="392" t="s">
        <v>1475</v>
      </c>
      <c r="K1632" s="392" t="s">
        <v>1566</v>
      </c>
      <c r="L1632" s="392">
        <v>38</v>
      </c>
      <c r="M1632" s="392" t="s">
        <v>1503</v>
      </c>
      <c r="N1632" s="392">
        <v>1037</v>
      </c>
      <c r="O1632" s="392">
        <v>1030</v>
      </c>
      <c r="P1632" s="392">
        <v>6000</v>
      </c>
      <c r="Q1632" s="392">
        <v>2</v>
      </c>
      <c r="R1632" s="392">
        <v>10</v>
      </c>
      <c r="S1632" s="392" t="s">
        <v>1477</v>
      </c>
      <c r="T1632" s="392" t="s">
        <v>1478</v>
      </c>
      <c r="U1632" s="392" t="s">
        <v>1489</v>
      </c>
      <c r="V1632" s="392" t="s">
        <v>1480</v>
      </c>
      <c r="W1632" s="392" t="s">
        <v>1481</v>
      </c>
      <c r="X1632" s="392" t="s">
        <v>1482</v>
      </c>
    </row>
    <row r="1633" spans="1:24" ht="13.5" x14ac:dyDescent="0.15">
      <c r="A1633" s="392">
        <v>3727573</v>
      </c>
      <c r="B1633" s="392" t="s">
        <v>1471</v>
      </c>
      <c r="C1633" s="392" t="s">
        <v>1486</v>
      </c>
      <c r="D1633" s="392" t="s">
        <v>1473</v>
      </c>
      <c r="E1633" s="392" t="s">
        <v>1504</v>
      </c>
      <c r="F1633" s="394">
        <v>331</v>
      </c>
      <c r="G1633" s="392" t="s">
        <v>19</v>
      </c>
      <c r="H1633" s="392" t="s">
        <v>20</v>
      </c>
      <c r="I1633" s="392" t="s">
        <v>1552</v>
      </c>
      <c r="J1633" s="392" t="s">
        <v>1475</v>
      </c>
      <c r="K1633" s="392" t="s">
        <v>1567</v>
      </c>
      <c r="L1633" s="392">
        <v>50</v>
      </c>
      <c r="M1633" s="392" t="s">
        <v>1505</v>
      </c>
      <c r="N1633" s="392">
        <v>1420</v>
      </c>
      <c r="O1633" s="392">
        <v>1180</v>
      </c>
      <c r="P1633" s="392">
        <v>6000</v>
      </c>
      <c r="Q1633" s="392">
        <v>2</v>
      </c>
      <c r="R1633" s="392">
        <v>12</v>
      </c>
      <c r="S1633" s="392" t="s">
        <v>1477</v>
      </c>
      <c r="T1633" s="392" t="s">
        <v>1478</v>
      </c>
      <c r="U1633" s="392" t="s">
        <v>1506</v>
      </c>
      <c r="V1633" s="392" t="s">
        <v>1480</v>
      </c>
      <c r="W1633" s="392" t="s">
        <v>1481</v>
      </c>
      <c r="X1633" s="392" t="s">
        <v>1482</v>
      </c>
    </row>
    <row r="1634" spans="1:24" ht="13.5" x14ac:dyDescent="0.15">
      <c r="A1634" s="392">
        <v>3727574</v>
      </c>
      <c r="B1634" s="392" t="s">
        <v>1471</v>
      </c>
      <c r="C1634" s="392" t="s">
        <v>1495</v>
      </c>
      <c r="D1634" s="392" t="s">
        <v>1473</v>
      </c>
      <c r="E1634" s="392" t="s">
        <v>1496</v>
      </c>
      <c r="F1634" s="394">
        <v>331</v>
      </c>
      <c r="G1634" s="392" t="s">
        <v>19</v>
      </c>
      <c r="H1634" s="392" t="s">
        <v>20</v>
      </c>
      <c r="I1634" s="392" t="s">
        <v>1552</v>
      </c>
      <c r="J1634" s="392" t="s">
        <v>1475</v>
      </c>
      <c r="K1634" s="392" t="s">
        <v>1568</v>
      </c>
      <c r="L1634" s="392">
        <v>25</v>
      </c>
      <c r="M1634" s="392" t="s">
        <v>1507</v>
      </c>
      <c r="N1634" s="392">
        <v>1425</v>
      </c>
      <c r="O1634" s="392">
        <v>1420</v>
      </c>
      <c r="P1634" s="392">
        <v>6000</v>
      </c>
      <c r="Q1634" s="392">
        <v>2</v>
      </c>
      <c r="R1634" s="392">
        <v>7</v>
      </c>
      <c r="S1634" s="392" t="s">
        <v>1477</v>
      </c>
      <c r="T1634" s="392" t="s">
        <v>1478</v>
      </c>
      <c r="U1634" s="392" t="s">
        <v>1506</v>
      </c>
      <c r="V1634" s="392" t="s">
        <v>1480</v>
      </c>
      <c r="W1634" s="392" t="s">
        <v>1481</v>
      </c>
      <c r="X1634" s="392" t="s">
        <v>1482</v>
      </c>
    </row>
    <row r="1635" spans="1:24" ht="13.5" x14ac:dyDescent="0.15">
      <c r="A1635" s="392">
        <v>3727575</v>
      </c>
      <c r="B1635" s="392" t="s">
        <v>1471</v>
      </c>
      <c r="C1635" s="392" t="s">
        <v>1486</v>
      </c>
      <c r="D1635" s="392" t="s">
        <v>1473</v>
      </c>
      <c r="E1635" s="392" t="s">
        <v>1508</v>
      </c>
      <c r="F1635" s="394">
        <v>331</v>
      </c>
      <c r="G1635" s="392" t="s">
        <v>19</v>
      </c>
      <c r="H1635" s="392" t="s">
        <v>20</v>
      </c>
      <c r="I1635" s="392" t="s">
        <v>1552</v>
      </c>
      <c r="J1635" s="392" t="s">
        <v>1475</v>
      </c>
      <c r="K1635" s="392" t="s">
        <v>1569</v>
      </c>
      <c r="L1635" s="392">
        <v>25</v>
      </c>
      <c r="M1635" s="392" t="s">
        <v>1509</v>
      </c>
      <c r="N1635" s="392">
        <v>1410</v>
      </c>
      <c r="O1635" s="392">
        <v>1410</v>
      </c>
      <c r="P1635" s="392">
        <v>6000</v>
      </c>
      <c r="Q1635" s="392">
        <v>2</v>
      </c>
      <c r="R1635" s="392">
        <v>12</v>
      </c>
      <c r="S1635" s="392" t="s">
        <v>1477</v>
      </c>
      <c r="T1635" s="392" t="s">
        <v>1478</v>
      </c>
      <c r="U1635" s="392" t="s">
        <v>1506</v>
      </c>
      <c r="V1635" s="392" t="s">
        <v>1480</v>
      </c>
      <c r="W1635" s="392" t="s">
        <v>1481</v>
      </c>
      <c r="X1635" s="392" t="s">
        <v>1482</v>
      </c>
    </row>
    <row r="1636" spans="1:24" ht="13.5" x14ac:dyDescent="0.15">
      <c r="A1636" s="392">
        <v>3727576</v>
      </c>
      <c r="B1636" s="392" t="s">
        <v>1471</v>
      </c>
      <c r="C1636" s="392" t="s">
        <v>1486</v>
      </c>
      <c r="D1636" s="392" t="s">
        <v>1473</v>
      </c>
      <c r="E1636" s="392" t="s">
        <v>1508</v>
      </c>
      <c r="F1636" s="394">
        <v>331</v>
      </c>
      <c r="G1636" s="392" t="s">
        <v>19</v>
      </c>
      <c r="H1636" s="392" t="s">
        <v>20</v>
      </c>
      <c r="I1636" s="392" t="s">
        <v>1552</v>
      </c>
      <c r="J1636" s="392" t="s">
        <v>1475</v>
      </c>
      <c r="K1636" s="392" t="s">
        <v>1569</v>
      </c>
      <c r="L1636" s="392">
        <v>25</v>
      </c>
      <c r="M1636" s="392" t="s">
        <v>1509</v>
      </c>
      <c r="N1636" s="392">
        <v>1410</v>
      </c>
      <c r="O1636" s="392">
        <v>1410</v>
      </c>
      <c r="P1636" s="392">
        <v>6000</v>
      </c>
      <c r="Q1636" s="392">
        <v>2</v>
      </c>
      <c r="R1636" s="392">
        <v>10</v>
      </c>
      <c r="S1636" s="392" t="s">
        <v>1477</v>
      </c>
      <c r="T1636" s="392" t="s">
        <v>1478</v>
      </c>
      <c r="U1636" s="392" t="s">
        <v>1506</v>
      </c>
      <c r="V1636" s="392" t="s">
        <v>1480</v>
      </c>
      <c r="W1636" s="392" t="s">
        <v>1481</v>
      </c>
      <c r="X1636" s="392" t="s">
        <v>1482</v>
      </c>
    </row>
    <row r="1637" spans="1:24" ht="13.5" x14ac:dyDescent="0.15">
      <c r="A1637" s="392">
        <v>3727577</v>
      </c>
      <c r="B1637" s="392" t="s">
        <v>1471</v>
      </c>
      <c r="C1637" s="392" t="s">
        <v>1510</v>
      </c>
      <c r="D1637" s="392" t="s">
        <v>1473</v>
      </c>
      <c r="E1637" s="392" t="s">
        <v>1511</v>
      </c>
      <c r="F1637" s="394">
        <v>3</v>
      </c>
      <c r="G1637" s="392" t="s">
        <v>19</v>
      </c>
      <c r="H1637" s="392" t="s">
        <v>20</v>
      </c>
      <c r="I1637" s="392" t="s">
        <v>1552</v>
      </c>
      <c r="J1637" s="392" t="s">
        <v>1475</v>
      </c>
      <c r="K1637" s="392" t="s">
        <v>1568</v>
      </c>
      <c r="L1637" s="392">
        <v>38</v>
      </c>
      <c r="M1637" s="392" t="s">
        <v>1512</v>
      </c>
      <c r="N1637" s="392">
        <v>1415</v>
      </c>
      <c r="O1637" s="392">
        <v>1410</v>
      </c>
      <c r="P1637" s="392">
        <v>6000</v>
      </c>
      <c r="Q1637" s="392">
        <v>2</v>
      </c>
      <c r="R1637" s="392">
        <v>8</v>
      </c>
      <c r="S1637" s="392" t="s">
        <v>1477</v>
      </c>
      <c r="T1637" s="392" t="s">
        <v>1478</v>
      </c>
      <c r="U1637" s="392" t="s">
        <v>1513</v>
      </c>
      <c r="V1637" s="392" t="s">
        <v>1480</v>
      </c>
      <c r="W1637" s="392" t="s">
        <v>1481</v>
      </c>
      <c r="X1637" s="392" t="s">
        <v>1482</v>
      </c>
    </row>
    <row r="1638" spans="1:24" ht="13.5" x14ac:dyDescent="0.15">
      <c r="A1638" s="392">
        <v>3727578</v>
      </c>
      <c r="B1638" s="392" t="s">
        <v>1471</v>
      </c>
      <c r="C1638" s="392" t="s">
        <v>1510</v>
      </c>
      <c r="D1638" s="392" t="s">
        <v>1473</v>
      </c>
      <c r="E1638" s="392" t="s">
        <v>1511</v>
      </c>
      <c r="F1638" s="394">
        <v>3</v>
      </c>
      <c r="G1638" s="392" t="s">
        <v>19</v>
      </c>
      <c r="H1638" s="392" t="s">
        <v>20</v>
      </c>
      <c r="I1638" s="392" t="s">
        <v>1552</v>
      </c>
      <c r="J1638" s="392" t="s">
        <v>1475</v>
      </c>
      <c r="K1638" s="392" t="s">
        <v>1568</v>
      </c>
      <c r="L1638" s="392">
        <v>38</v>
      </c>
      <c r="M1638" s="392" t="s">
        <v>1512</v>
      </c>
      <c r="N1638" s="392">
        <v>1415</v>
      </c>
      <c r="O1638" s="392">
        <v>1410</v>
      </c>
      <c r="P1638" s="392">
        <v>6000</v>
      </c>
      <c r="Q1638" s="392">
        <v>2</v>
      </c>
      <c r="R1638" s="392">
        <v>2</v>
      </c>
      <c r="S1638" s="392" t="s">
        <v>1477</v>
      </c>
      <c r="T1638" s="392" t="s">
        <v>1478</v>
      </c>
      <c r="U1638" s="392" t="s">
        <v>1513</v>
      </c>
      <c r="V1638" s="392" t="s">
        <v>1480</v>
      </c>
      <c r="W1638" s="392" t="s">
        <v>1481</v>
      </c>
      <c r="X1638" s="392" t="s">
        <v>1482</v>
      </c>
    </row>
    <row r="1639" spans="1:24" ht="13.5" x14ac:dyDescent="0.15">
      <c r="A1639" s="392">
        <v>3727579</v>
      </c>
      <c r="B1639" s="392" t="s">
        <v>1471</v>
      </c>
      <c r="C1639" s="392" t="s">
        <v>1486</v>
      </c>
      <c r="D1639" s="392" t="s">
        <v>1473</v>
      </c>
      <c r="E1639" s="392" t="s">
        <v>1514</v>
      </c>
      <c r="F1639" s="394">
        <v>3</v>
      </c>
      <c r="G1639" s="392" t="s">
        <v>19</v>
      </c>
      <c r="H1639" s="392" t="s">
        <v>20</v>
      </c>
      <c r="I1639" s="392" t="s">
        <v>1552</v>
      </c>
      <c r="J1639" s="392" t="s">
        <v>1475</v>
      </c>
      <c r="K1639" s="392" t="s">
        <v>1570</v>
      </c>
      <c r="L1639" s="392">
        <v>25</v>
      </c>
      <c r="M1639" s="392" t="s">
        <v>1515</v>
      </c>
      <c r="N1639" s="392">
        <v>1325</v>
      </c>
      <c r="O1639" s="392">
        <v>1320</v>
      </c>
      <c r="P1639" s="392">
        <v>6000</v>
      </c>
      <c r="Q1639" s="392">
        <v>2</v>
      </c>
      <c r="R1639" s="392">
        <v>1</v>
      </c>
      <c r="S1639" s="392" t="s">
        <v>1477</v>
      </c>
      <c r="T1639" s="392" t="s">
        <v>1478</v>
      </c>
      <c r="U1639" s="392" t="s">
        <v>1506</v>
      </c>
      <c r="V1639" s="392" t="s">
        <v>1480</v>
      </c>
      <c r="W1639" s="392" t="s">
        <v>1481</v>
      </c>
      <c r="X1639" s="392" t="s">
        <v>1482</v>
      </c>
    </row>
    <row r="1640" spans="1:24" ht="13.5" x14ac:dyDescent="0.15">
      <c r="A1640" s="392">
        <v>3727580</v>
      </c>
      <c r="B1640" s="392" t="s">
        <v>1471</v>
      </c>
      <c r="C1640" s="392" t="s">
        <v>1486</v>
      </c>
      <c r="D1640" s="392" t="s">
        <v>1473</v>
      </c>
      <c r="E1640" s="392" t="s">
        <v>1516</v>
      </c>
      <c r="F1640" s="394">
        <v>3</v>
      </c>
      <c r="G1640" s="392" t="s">
        <v>19</v>
      </c>
      <c r="H1640" s="392" t="s">
        <v>20</v>
      </c>
      <c r="I1640" s="392" t="s">
        <v>1552</v>
      </c>
      <c r="J1640" s="392" t="s">
        <v>1475</v>
      </c>
      <c r="K1640" s="392" t="s">
        <v>1571</v>
      </c>
      <c r="L1640" s="392">
        <v>38</v>
      </c>
      <c r="M1640" s="392" t="s">
        <v>1517</v>
      </c>
      <c r="N1640" s="392">
        <v>1240</v>
      </c>
      <c r="O1640" s="392">
        <v>1240</v>
      </c>
      <c r="P1640" s="392">
        <v>6000</v>
      </c>
      <c r="Q1640" s="392">
        <v>2</v>
      </c>
      <c r="R1640" s="392">
        <v>4</v>
      </c>
      <c r="S1640" s="392" t="s">
        <v>1477</v>
      </c>
      <c r="T1640" s="392" t="s">
        <v>1478</v>
      </c>
      <c r="U1640" s="392" t="s">
        <v>1506</v>
      </c>
      <c r="V1640" s="392" t="s">
        <v>1480</v>
      </c>
      <c r="W1640" s="392" t="s">
        <v>1481</v>
      </c>
      <c r="X1640" s="392" t="s">
        <v>1482</v>
      </c>
    </row>
    <row r="1641" spans="1:24" ht="13.5" x14ac:dyDescent="0.15">
      <c r="A1641" s="392">
        <v>3727581</v>
      </c>
      <c r="B1641" s="392" t="s">
        <v>1471</v>
      </c>
      <c r="C1641" s="392" t="s">
        <v>1486</v>
      </c>
      <c r="D1641" s="392" t="s">
        <v>1473</v>
      </c>
      <c r="E1641" s="392" t="s">
        <v>1514</v>
      </c>
      <c r="F1641" s="394">
        <v>3</v>
      </c>
      <c r="G1641" s="392" t="s">
        <v>19</v>
      </c>
      <c r="H1641" s="392" t="s">
        <v>20</v>
      </c>
      <c r="I1641" s="392" t="s">
        <v>1552</v>
      </c>
      <c r="J1641" s="392" t="s">
        <v>1475</v>
      </c>
      <c r="K1641" s="392" t="s">
        <v>1567</v>
      </c>
      <c r="L1641" s="392">
        <v>38</v>
      </c>
      <c r="M1641" s="392" t="s">
        <v>1505</v>
      </c>
      <c r="N1641" s="392">
        <v>1135</v>
      </c>
      <c r="O1641" s="392">
        <v>1130</v>
      </c>
      <c r="P1641" s="392">
        <v>6000</v>
      </c>
      <c r="Q1641" s="392">
        <v>2</v>
      </c>
      <c r="R1641" s="392">
        <v>4</v>
      </c>
      <c r="S1641" s="392" t="s">
        <v>1477</v>
      </c>
      <c r="T1641" s="392" t="s">
        <v>1478</v>
      </c>
      <c r="U1641" s="392" t="s">
        <v>1506</v>
      </c>
      <c r="V1641" s="392" t="s">
        <v>1480</v>
      </c>
      <c r="W1641" s="392" t="s">
        <v>1481</v>
      </c>
      <c r="X1641" s="392" t="s">
        <v>1482</v>
      </c>
    </row>
    <row r="1642" spans="1:24" ht="13.5" x14ac:dyDescent="0.15">
      <c r="A1642" s="392">
        <v>3727582</v>
      </c>
      <c r="B1642" s="392" t="s">
        <v>1471</v>
      </c>
      <c r="C1642" s="392" t="s">
        <v>1486</v>
      </c>
      <c r="D1642" s="392" t="s">
        <v>1473</v>
      </c>
      <c r="E1642" s="392" t="s">
        <v>1516</v>
      </c>
      <c r="F1642" s="394">
        <v>3</v>
      </c>
      <c r="G1642" s="392" t="s">
        <v>19</v>
      </c>
      <c r="H1642" s="392" t="s">
        <v>20</v>
      </c>
      <c r="I1642" s="392" t="s">
        <v>1552</v>
      </c>
      <c r="J1642" s="392" t="s">
        <v>1475</v>
      </c>
      <c r="K1642" s="392" t="s">
        <v>1571</v>
      </c>
      <c r="L1642" s="392">
        <v>25</v>
      </c>
      <c r="M1642" s="392" t="s">
        <v>1517</v>
      </c>
      <c r="N1642" s="392">
        <v>1040</v>
      </c>
      <c r="O1642" s="392">
        <v>1040</v>
      </c>
      <c r="P1642" s="392">
        <v>6000</v>
      </c>
      <c r="Q1642" s="392">
        <v>2</v>
      </c>
      <c r="R1642" s="392">
        <v>18</v>
      </c>
      <c r="S1642" s="392" t="s">
        <v>1477</v>
      </c>
      <c r="T1642" s="392" t="s">
        <v>1478</v>
      </c>
      <c r="U1642" s="392" t="s">
        <v>1518</v>
      </c>
      <c r="V1642" s="392" t="s">
        <v>1480</v>
      </c>
      <c r="W1642" s="392" t="s">
        <v>1481</v>
      </c>
      <c r="X1642" s="392" t="s">
        <v>1482</v>
      </c>
    </row>
    <row r="1643" spans="1:24" ht="13.5" x14ac:dyDescent="0.15">
      <c r="A1643" s="392">
        <v>3727583</v>
      </c>
      <c r="B1643" s="392" t="s">
        <v>1471</v>
      </c>
      <c r="C1643" s="392" t="s">
        <v>1510</v>
      </c>
      <c r="D1643" s="392" t="s">
        <v>1473</v>
      </c>
      <c r="E1643" s="392" t="s">
        <v>1511</v>
      </c>
      <c r="F1643" s="394">
        <v>3</v>
      </c>
      <c r="G1643" s="392" t="s">
        <v>19</v>
      </c>
      <c r="H1643" s="392" t="s">
        <v>20</v>
      </c>
      <c r="I1643" s="392" t="s">
        <v>1552</v>
      </c>
      <c r="J1643" s="392" t="s">
        <v>1475</v>
      </c>
      <c r="K1643" s="392" t="s">
        <v>1568</v>
      </c>
      <c r="L1643" s="392">
        <v>38</v>
      </c>
      <c r="M1643" s="392" t="s">
        <v>1512</v>
      </c>
      <c r="N1643" s="392">
        <v>1005</v>
      </c>
      <c r="O1643" s="392">
        <v>1000</v>
      </c>
      <c r="P1643" s="392">
        <v>6000</v>
      </c>
      <c r="Q1643" s="392">
        <v>2</v>
      </c>
      <c r="R1643" s="392">
        <v>5</v>
      </c>
      <c r="S1643" s="392" t="s">
        <v>1477</v>
      </c>
      <c r="T1643" s="392" t="s">
        <v>1478</v>
      </c>
      <c r="U1643" s="392" t="s">
        <v>1513</v>
      </c>
      <c r="V1643" s="392" t="s">
        <v>1480</v>
      </c>
      <c r="W1643" s="392" t="s">
        <v>1481</v>
      </c>
      <c r="X1643" s="392" t="s">
        <v>1482</v>
      </c>
    </row>
    <row r="1644" spans="1:24" ht="13.5" x14ac:dyDescent="0.15">
      <c r="A1644" s="392">
        <v>3727588</v>
      </c>
      <c r="B1644" s="392" t="s">
        <v>1471</v>
      </c>
      <c r="C1644" s="392" t="s">
        <v>1510</v>
      </c>
      <c r="D1644" s="392" t="s">
        <v>1473</v>
      </c>
      <c r="E1644" s="392" t="s">
        <v>1528</v>
      </c>
      <c r="F1644" s="394" t="s">
        <v>1602</v>
      </c>
      <c r="G1644" s="392" t="s">
        <v>19</v>
      </c>
      <c r="H1644" s="392" t="s">
        <v>20</v>
      </c>
      <c r="I1644" s="392" t="s">
        <v>1554</v>
      </c>
      <c r="J1644" s="392" t="s">
        <v>1475</v>
      </c>
      <c r="K1644" s="392" t="s">
        <v>1574</v>
      </c>
      <c r="L1644" s="392">
        <v>25</v>
      </c>
      <c r="M1644" s="392" t="s">
        <v>1529</v>
      </c>
      <c r="N1644" s="392">
        <v>1120</v>
      </c>
      <c r="O1644" s="392">
        <v>1120</v>
      </c>
      <c r="P1644" s="392">
        <v>6000</v>
      </c>
      <c r="Q1644" s="392">
        <v>2</v>
      </c>
      <c r="R1644" s="392">
        <v>1</v>
      </c>
      <c r="S1644" s="392" t="s">
        <v>1477</v>
      </c>
      <c r="T1644" s="392" t="s">
        <v>1478</v>
      </c>
      <c r="U1644" s="392" t="s">
        <v>1526</v>
      </c>
      <c r="V1644" s="392" t="s">
        <v>1480</v>
      </c>
      <c r="W1644" s="392" t="s">
        <v>1481</v>
      </c>
      <c r="X1644" s="392" t="s">
        <v>1482</v>
      </c>
    </row>
    <row r="1645" spans="1:24" ht="13.5" x14ac:dyDescent="0.15">
      <c r="A1645" s="392">
        <v>3727590</v>
      </c>
      <c r="B1645" s="392" t="s">
        <v>1471</v>
      </c>
      <c r="C1645" s="392" t="s">
        <v>1495</v>
      </c>
      <c r="D1645" s="392" t="s">
        <v>1473</v>
      </c>
      <c r="E1645" s="392" t="s">
        <v>162</v>
      </c>
      <c r="F1645" s="394">
        <v>3</v>
      </c>
      <c r="G1645" s="392" t="s">
        <v>19</v>
      </c>
      <c r="H1645" s="392" t="s">
        <v>20</v>
      </c>
      <c r="I1645" s="392" t="s">
        <v>1554</v>
      </c>
      <c r="J1645" s="392" t="s">
        <v>1475</v>
      </c>
      <c r="K1645" s="392" t="s">
        <v>1575</v>
      </c>
      <c r="L1645" s="392">
        <v>38</v>
      </c>
      <c r="M1645" s="392" t="s">
        <v>1531</v>
      </c>
      <c r="N1645" s="392">
        <v>1320</v>
      </c>
      <c r="O1645" s="392">
        <v>1320</v>
      </c>
      <c r="P1645" s="392">
        <v>6000</v>
      </c>
      <c r="Q1645" s="392">
        <v>2</v>
      </c>
      <c r="R1645" s="392">
        <v>18</v>
      </c>
      <c r="S1645" s="392" t="s">
        <v>1477</v>
      </c>
      <c r="T1645" s="392" t="s">
        <v>1478</v>
      </c>
      <c r="U1645" s="392" t="s">
        <v>1526</v>
      </c>
      <c r="V1645" s="392" t="s">
        <v>1480</v>
      </c>
      <c r="W1645" s="392" t="s">
        <v>1481</v>
      </c>
      <c r="X1645" s="392" t="s">
        <v>1482</v>
      </c>
    </row>
    <row r="1646" spans="1:24" ht="13.5" x14ac:dyDescent="0.15">
      <c r="A1646" s="296">
        <v>3731308</v>
      </c>
      <c r="B1646" s="296" t="s">
        <v>1666</v>
      </c>
      <c r="C1646" s="296" t="s">
        <v>1667</v>
      </c>
      <c r="D1646" s="296" t="s">
        <v>1668</v>
      </c>
      <c r="E1646" s="296" t="s">
        <v>1669</v>
      </c>
      <c r="F1646" s="296">
        <v>331</v>
      </c>
      <c r="G1646" s="296" t="s">
        <v>1670</v>
      </c>
      <c r="H1646" s="296" t="s">
        <v>1671</v>
      </c>
      <c r="I1646" s="296" t="s">
        <v>1672</v>
      </c>
      <c r="J1646" s="296"/>
      <c r="K1646" s="296" t="s">
        <v>1673</v>
      </c>
      <c r="L1646" s="296">
        <v>38</v>
      </c>
      <c r="M1646" s="296" t="s">
        <v>1674</v>
      </c>
      <c r="N1646" s="296">
        <v>1580</v>
      </c>
      <c r="O1646" s="296">
        <v>1580</v>
      </c>
      <c r="P1646" s="296">
        <v>6000</v>
      </c>
      <c r="Q1646" s="296">
        <v>2</v>
      </c>
      <c r="R1646" s="296">
        <v>10</v>
      </c>
      <c r="S1646" s="296" t="s">
        <v>354</v>
      </c>
      <c r="T1646" s="296" t="s">
        <v>1675</v>
      </c>
      <c r="U1646" s="296" t="s">
        <v>1539</v>
      </c>
      <c r="V1646" s="296" t="s">
        <v>355</v>
      </c>
      <c r="W1646" s="296" t="s">
        <v>928</v>
      </c>
      <c r="X1646" s="296" t="s">
        <v>928</v>
      </c>
    </row>
    <row r="1647" spans="1:24" ht="13.5" x14ac:dyDescent="0.15">
      <c r="A1647" s="296">
        <v>3731309</v>
      </c>
      <c r="B1647" s="296" t="s">
        <v>1666</v>
      </c>
      <c r="C1647" s="296" t="s">
        <v>1667</v>
      </c>
      <c r="D1647" s="296" t="s">
        <v>353</v>
      </c>
      <c r="E1647" s="296" t="s">
        <v>1676</v>
      </c>
      <c r="F1647" s="296">
        <v>331</v>
      </c>
      <c r="G1647" s="296" t="s">
        <v>1670</v>
      </c>
      <c r="H1647" s="296" t="s">
        <v>1671</v>
      </c>
      <c r="I1647" s="296" t="s">
        <v>21</v>
      </c>
      <c r="J1647" s="296"/>
      <c r="K1647" s="296" t="s">
        <v>52</v>
      </c>
      <c r="L1647" s="296">
        <v>38</v>
      </c>
      <c r="M1647" s="296" t="s">
        <v>53</v>
      </c>
      <c r="N1647" s="296">
        <v>1330</v>
      </c>
      <c r="O1647" s="296">
        <v>1330</v>
      </c>
      <c r="P1647" s="296">
        <v>6000</v>
      </c>
      <c r="Q1647" s="296">
        <v>2</v>
      </c>
      <c r="R1647" s="296">
        <v>20</v>
      </c>
      <c r="S1647" s="296" t="s">
        <v>354</v>
      </c>
      <c r="T1647" s="296" t="s">
        <v>1675</v>
      </c>
      <c r="U1647" s="296" t="s">
        <v>1539</v>
      </c>
      <c r="V1647" s="296" t="s">
        <v>355</v>
      </c>
      <c r="W1647" s="296" t="s">
        <v>928</v>
      </c>
      <c r="X1647" s="296" t="s">
        <v>928</v>
      </c>
    </row>
    <row r="1648" spans="1:24" ht="13.5" x14ac:dyDescent="0.15">
      <c r="A1648" s="296">
        <v>3731310</v>
      </c>
      <c r="B1648" s="296" t="s">
        <v>1666</v>
      </c>
      <c r="C1648" s="296" t="s">
        <v>1667</v>
      </c>
      <c r="D1648" s="296" t="s">
        <v>1668</v>
      </c>
      <c r="E1648" s="296" t="s">
        <v>1669</v>
      </c>
      <c r="F1648" s="296">
        <v>331</v>
      </c>
      <c r="G1648" s="296" t="s">
        <v>19</v>
      </c>
      <c r="H1648" s="296" t="s">
        <v>1671</v>
      </c>
      <c r="I1648" s="296" t="s">
        <v>1672</v>
      </c>
      <c r="J1648" s="296" t="s">
        <v>928</v>
      </c>
      <c r="K1648" s="296" t="s">
        <v>1673</v>
      </c>
      <c r="L1648" s="296">
        <v>38</v>
      </c>
      <c r="M1648" s="296" t="s">
        <v>1674</v>
      </c>
      <c r="N1648" s="296">
        <v>1330</v>
      </c>
      <c r="O1648" s="296">
        <v>1330</v>
      </c>
      <c r="P1648" s="296">
        <v>6000</v>
      </c>
      <c r="Q1648" s="296">
        <v>2</v>
      </c>
      <c r="R1648" s="296">
        <v>16</v>
      </c>
      <c r="S1648" s="296" t="s">
        <v>354</v>
      </c>
      <c r="T1648" s="296" t="s">
        <v>1675</v>
      </c>
      <c r="U1648" s="296" t="s">
        <v>1539</v>
      </c>
      <c r="V1648" s="296" t="s">
        <v>355</v>
      </c>
      <c r="W1648" s="296" t="s">
        <v>928</v>
      </c>
      <c r="X1648" s="296" t="s">
        <v>928</v>
      </c>
    </row>
    <row r="1649" spans="1:24" ht="13.5" x14ac:dyDescent="0.15">
      <c r="A1649" s="296">
        <v>3731311</v>
      </c>
      <c r="B1649" s="296" t="s">
        <v>1666</v>
      </c>
      <c r="C1649" s="296" t="s">
        <v>1667</v>
      </c>
      <c r="D1649" s="296" t="s">
        <v>1668</v>
      </c>
      <c r="E1649" s="296" t="s">
        <v>1669</v>
      </c>
      <c r="F1649" s="296">
        <v>3</v>
      </c>
      <c r="G1649" s="296" t="s">
        <v>1670</v>
      </c>
      <c r="H1649" s="296" t="s">
        <v>20</v>
      </c>
      <c r="I1649" s="296" t="s">
        <v>1672</v>
      </c>
      <c r="J1649" s="296"/>
      <c r="K1649" s="296" t="s">
        <v>1677</v>
      </c>
      <c r="L1649" s="296">
        <v>75</v>
      </c>
      <c r="M1649" s="296" t="s">
        <v>1678</v>
      </c>
      <c r="N1649" s="296">
        <v>1330</v>
      </c>
      <c r="O1649" s="296">
        <v>1330</v>
      </c>
      <c r="P1649" s="296">
        <v>4100</v>
      </c>
      <c r="Q1649" s="296">
        <v>2</v>
      </c>
      <c r="R1649" s="296">
        <v>8</v>
      </c>
      <c r="S1649" s="296" t="s">
        <v>354</v>
      </c>
      <c r="T1649" s="296" t="s">
        <v>1675</v>
      </c>
      <c r="U1649" s="296" t="s">
        <v>1539</v>
      </c>
      <c r="V1649" s="296" t="s">
        <v>355</v>
      </c>
      <c r="W1649" s="296" t="s">
        <v>928</v>
      </c>
      <c r="X1649" s="296" t="s">
        <v>928</v>
      </c>
    </row>
    <row r="1650" spans="1:24" ht="13.5" x14ac:dyDescent="0.15">
      <c r="A1650" s="296">
        <v>3731312</v>
      </c>
      <c r="B1650" s="296" t="s">
        <v>351</v>
      </c>
      <c r="C1650" s="296" t="s">
        <v>1667</v>
      </c>
      <c r="D1650" s="296" t="s">
        <v>1668</v>
      </c>
      <c r="E1650" s="296" t="s">
        <v>1669</v>
      </c>
      <c r="F1650" s="296">
        <v>3</v>
      </c>
      <c r="G1650" s="296" t="s">
        <v>1670</v>
      </c>
      <c r="H1650" s="296" t="s">
        <v>1671</v>
      </c>
      <c r="I1650" s="296" t="s">
        <v>1672</v>
      </c>
      <c r="J1650" s="296" t="s">
        <v>928</v>
      </c>
      <c r="K1650" s="296" t="s">
        <v>1677</v>
      </c>
      <c r="L1650" s="296">
        <v>75</v>
      </c>
      <c r="M1650" s="296" t="s">
        <v>376</v>
      </c>
      <c r="N1650" s="296">
        <v>1330</v>
      </c>
      <c r="O1650" s="296">
        <v>1330</v>
      </c>
      <c r="P1650" s="296">
        <v>4100</v>
      </c>
      <c r="Q1650" s="296">
        <v>2</v>
      </c>
      <c r="R1650" s="296">
        <v>24</v>
      </c>
      <c r="S1650" s="296" t="s">
        <v>354</v>
      </c>
      <c r="T1650" s="296" t="s">
        <v>1675</v>
      </c>
      <c r="U1650" s="296" t="s">
        <v>1679</v>
      </c>
      <c r="V1650" s="296" t="s">
        <v>355</v>
      </c>
      <c r="W1650" s="296" t="s">
        <v>928</v>
      </c>
      <c r="X1650" s="296" t="s">
        <v>928</v>
      </c>
    </row>
    <row r="1651" spans="1:24" ht="13.5" x14ac:dyDescent="0.15">
      <c r="A1651" s="296">
        <v>3731313</v>
      </c>
      <c r="B1651" s="296" t="s">
        <v>1680</v>
      </c>
      <c r="C1651" s="296" t="s">
        <v>1681</v>
      </c>
      <c r="D1651" s="296" t="s">
        <v>1668</v>
      </c>
      <c r="E1651" s="296" t="s">
        <v>1682</v>
      </c>
      <c r="F1651" s="296">
        <v>3</v>
      </c>
      <c r="G1651" s="296" t="s">
        <v>265</v>
      </c>
      <c r="H1651" s="296" t="s">
        <v>1671</v>
      </c>
      <c r="I1651" s="296" t="s">
        <v>21</v>
      </c>
      <c r="J1651" s="296"/>
      <c r="K1651" s="296" t="s">
        <v>726</v>
      </c>
      <c r="L1651" s="296">
        <v>25</v>
      </c>
      <c r="M1651" s="296" t="s">
        <v>1683</v>
      </c>
      <c r="N1651" s="296">
        <v>1100</v>
      </c>
      <c r="O1651" s="296">
        <v>1100</v>
      </c>
      <c r="P1651" s="296">
        <v>4070</v>
      </c>
      <c r="Q1651" s="296">
        <v>2</v>
      </c>
      <c r="R1651" s="296">
        <v>15</v>
      </c>
      <c r="S1651" s="296" t="s">
        <v>354</v>
      </c>
      <c r="T1651" s="296" t="s">
        <v>1675</v>
      </c>
      <c r="U1651" s="296" t="s">
        <v>1679</v>
      </c>
      <c r="V1651" s="296" t="s">
        <v>355</v>
      </c>
      <c r="W1651" s="296" t="s">
        <v>928</v>
      </c>
      <c r="X1651" s="296" t="s">
        <v>928</v>
      </c>
    </row>
    <row r="1652" spans="1:24" ht="13.5" x14ac:dyDescent="0.15">
      <c r="A1652" s="296">
        <v>3731314</v>
      </c>
      <c r="B1652" s="296" t="s">
        <v>1666</v>
      </c>
      <c r="C1652" s="296" t="s">
        <v>1684</v>
      </c>
      <c r="D1652" s="296" t="s">
        <v>1668</v>
      </c>
      <c r="E1652" s="296" t="s">
        <v>1685</v>
      </c>
      <c r="F1652" s="296">
        <v>3</v>
      </c>
      <c r="G1652" s="296" t="s">
        <v>1670</v>
      </c>
      <c r="H1652" s="296" t="s">
        <v>1686</v>
      </c>
      <c r="I1652" s="296" t="s">
        <v>1672</v>
      </c>
      <c r="J1652" s="296"/>
      <c r="K1652" s="296" t="s">
        <v>1687</v>
      </c>
      <c r="L1652" s="296">
        <v>75</v>
      </c>
      <c r="M1652" s="296" t="s">
        <v>1688</v>
      </c>
      <c r="N1652" s="296">
        <v>1040</v>
      </c>
      <c r="O1652" s="296">
        <v>1040</v>
      </c>
      <c r="P1652" s="296">
        <v>4000</v>
      </c>
      <c r="Q1652" s="296">
        <v>1</v>
      </c>
      <c r="R1652" s="296">
        <v>1</v>
      </c>
      <c r="S1652" s="296" t="s">
        <v>354</v>
      </c>
      <c r="T1652" s="296" t="s">
        <v>1675</v>
      </c>
      <c r="U1652" s="296" t="s">
        <v>1679</v>
      </c>
      <c r="V1652" s="296" t="s">
        <v>355</v>
      </c>
      <c r="W1652" s="296" t="s">
        <v>928</v>
      </c>
      <c r="X1652" s="296" t="s">
        <v>928</v>
      </c>
    </row>
    <row r="1653" spans="1:24" ht="13.5" x14ac:dyDescent="0.15">
      <c r="A1653" s="296">
        <v>3731315</v>
      </c>
      <c r="B1653" s="296" t="s">
        <v>1666</v>
      </c>
      <c r="C1653" s="296" t="s">
        <v>1667</v>
      </c>
      <c r="D1653" s="296" t="s">
        <v>1668</v>
      </c>
      <c r="E1653" s="296" t="s">
        <v>32</v>
      </c>
      <c r="F1653" s="296">
        <v>331</v>
      </c>
      <c r="G1653" s="296" t="s">
        <v>1670</v>
      </c>
      <c r="H1653" s="296" t="s">
        <v>1671</v>
      </c>
      <c r="I1653" s="296" t="s">
        <v>21</v>
      </c>
      <c r="J1653" s="296"/>
      <c r="K1653" s="296" t="s">
        <v>33</v>
      </c>
      <c r="L1653" s="296">
        <v>38</v>
      </c>
      <c r="M1653" s="296" t="s">
        <v>1689</v>
      </c>
      <c r="N1653" s="296">
        <v>1580</v>
      </c>
      <c r="O1653" s="296">
        <v>1580</v>
      </c>
      <c r="P1653" s="296">
        <v>6000</v>
      </c>
      <c r="Q1653" s="296">
        <v>2</v>
      </c>
      <c r="R1653" s="296">
        <v>6</v>
      </c>
      <c r="S1653" s="296" t="s">
        <v>354</v>
      </c>
      <c r="T1653" s="296" t="s">
        <v>1675</v>
      </c>
      <c r="U1653" s="296" t="s">
        <v>1690</v>
      </c>
      <c r="V1653" s="296" t="s">
        <v>355</v>
      </c>
      <c r="W1653" s="296" t="s">
        <v>928</v>
      </c>
      <c r="X1653" s="296" t="s">
        <v>928</v>
      </c>
    </row>
    <row r="1654" spans="1:24" ht="13.5" x14ac:dyDescent="0.15">
      <c r="A1654" s="296">
        <v>3731316</v>
      </c>
      <c r="B1654" s="296" t="s">
        <v>351</v>
      </c>
      <c r="C1654" s="296" t="s">
        <v>1667</v>
      </c>
      <c r="D1654" s="296" t="s">
        <v>353</v>
      </c>
      <c r="E1654" s="296" t="s">
        <v>1669</v>
      </c>
      <c r="F1654" s="296">
        <v>331</v>
      </c>
      <c r="G1654" s="296" t="s">
        <v>19</v>
      </c>
      <c r="H1654" s="296" t="s">
        <v>1671</v>
      </c>
      <c r="I1654" s="296" t="s">
        <v>21</v>
      </c>
      <c r="J1654" s="296"/>
      <c r="K1654" s="296" t="s">
        <v>33</v>
      </c>
      <c r="L1654" s="296">
        <v>25</v>
      </c>
      <c r="M1654" s="296" t="s">
        <v>30</v>
      </c>
      <c r="N1654" s="296">
        <v>1330</v>
      </c>
      <c r="O1654" s="296">
        <v>1330</v>
      </c>
      <c r="P1654" s="296">
        <v>6000</v>
      </c>
      <c r="Q1654" s="296">
        <v>2</v>
      </c>
      <c r="R1654" s="296">
        <v>10</v>
      </c>
      <c r="S1654" s="296" t="s">
        <v>354</v>
      </c>
      <c r="T1654" s="296" t="s">
        <v>1675</v>
      </c>
      <c r="U1654" s="296" t="s">
        <v>1690</v>
      </c>
      <c r="V1654" s="296" t="s">
        <v>355</v>
      </c>
      <c r="W1654" s="296" t="s">
        <v>928</v>
      </c>
      <c r="X1654" s="296" t="s">
        <v>928</v>
      </c>
    </row>
    <row r="1655" spans="1:24" ht="13.5" x14ac:dyDescent="0.15">
      <c r="A1655" s="296">
        <v>3731317</v>
      </c>
      <c r="B1655" s="296" t="s">
        <v>351</v>
      </c>
      <c r="C1655" s="296" t="s">
        <v>356</v>
      </c>
      <c r="D1655" s="296" t="s">
        <v>353</v>
      </c>
      <c r="E1655" s="296" t="s">
        <v>32</v>
      </c>
      <c r="F1655" s="296">
        <v>331</v>
      </c>
      <c r="G1655" s="296" t="s">
        <v>1691</v>
      </c>
      <c r="H1655" s="296" t="s">
        <v>1692</v>
      </c>
      <c r="I1655" s="296" t="s">
        <v>1693</v>
      </c>
      <c r="J1655" s="296"/>
      <c r="K1655" s="296" t="s">
        <v>1694</v>
      </c>
      <c r="L1655" s="296">
        <v>38</v>
      </c>
      <c r="M1655" s="296" t="s">
        <v>1695</v>
      </c>
      <c r="N1655" s="296">
        <v>1330</v>
      </c>
      <c r="O1655" s="296">
        <v>1330</v>
      </c>
      <c r="P1655" s="296">
        <v>6000</v>
      </c>
      <c r="Q1655" s="296">
        <v>2</v>
      </c>
      <c r="R1655" s="296">
        <v>26</v>
      </c>
      <c r="S1655" s="296" t="s">
        <v>354</v>
      </c>
      <c r="T1655" s="296" t="s">
        <v>1675</v>
      </c>
      <c r="U1655" s="296" t="s">
        <v>1690</v>
      </c>
      <c r="V1655" s="296" t="s">
        <v>355</v>
      </c>
      <c r="W1655" s="296" t="s">
        <v>928</v>
      </c>
      <c r="X1655" s="296" t="s">
        <v>928</v>
      </c>
    </row>
    <row r="1656" spans="1:24" ht="13.5" x14ac:dyDescent="0.15">
      <c r="A1656" s="296">
        <v>3731318</v>
      </c>
      <c r="B1656" s="296" t="s">
        <v>1696</v>
      </c>
      <c r="C1656" s="296" t="s">
        <v>1697</v>
      </c>
      <c r="D1656" s="296" t="s">
        <v>1698</v>
      </c>
      <c r="E1656" s="296" t="s">
        <v>1699</v>
      </c>
      <c r="F1656" s="296">
        <v>3</v>
      </c>
      <c r="G1656" s="296" t="s">
        <v>1691</v>
      </c>
      <c r="H1656" s="296" t="s">
        <v>20</v>
      </c>
      <c r="I1656" s="296" t="s">
        <v>1693</v>
      </c>
      <c r="J1656" s="296"/>
      <c r="K1656" s="296" t="s">
        <v>1700</v>
      </c>
      <c r="L1656" s="296">
        <v>25</v>
      </c>
      <c r="M1656" s="296" t="s">
        <v>1701</v>
      </c>
      <c r="N1656" s="296">
        <v>1085</v>
      </c>
      <c r="O1656" s="296">
        <v>1080</v>
      </c>
      <c r="P1656" s="296">
        <v>6000</v>
      </c>
      <c r="Q1656" s="296">
        <v>2</v>
      </c>
      <c r="R1656" s="296">
        <v>10</v>
      </c>
      <c r="S1656" s="296" t="s">
        <v>354</v>
      </c>
      <c r="T1656" s="296" t="s">
        <v>1675</v>
      </c>
      <c r="U1656" s="296" t="s">
        <v>1690</v>
      </c>
      <c r="V1656" s="296" t="s">
        <v>355</v>
      </c>
      <c r="W1656" s="296" t="s">
        <v>928</v>
      </c>
      <c r="X1656" s="296" t="s">
        <v>928</v>
      </c>
    </row>
    <row r="1657" spans="1:24" ht="13.5" x14ac:dyDescent="0.15">
      <c r="A1657" s="296">
        <v>3731319</v>
      </c>
      <c r="B1657" s="296" t="s">
        <v>1696</v>
      </c>
      <c r="C1657" s="296" t="s">
        <v>1697</v>
      </c>
      <c r="D1657" s="296" t="s">
        <v>1698</v>
      </c>
      <c r="E1657" s="296" t="s">
        <v>1699</v>
      </c>
      <c r="F1657" s="296">
        <v>3</v>
      </c>
      <c r="G1657" s="296" t="s">
        <v>1691</v>
      </c>
      <c r="H1657" s="296" t="s">
        <v>20</v>
      </c>
      <c r="I1657" s="296" t="s">
        <v>1693</v>
      </c>
      <c r="J1657" s="296"/>
      <c r="K1657" s="296" t="s">
        <v>42</v>
      </c>
      <c r="L1657" s="296">
        <v>25</v>
      </c>
      <c r="M1657" s="296" t="s">
        <v>43</v>
      </c>
      <c r="N1657" s="296">
        <v>1045</v>
      </c>
      <c r="O1657" s="296">
        <v>1040</v>
      </c>
      <c r="P1657" s="296">
        <v>6000</v>
      </c>
      <c r="Q1657" s="296">
        <v>2</v>
      </c>
      <c r="R1657" s="296">
        <v>14</v>
      </c>
      <c r="S1657" s="296" t="s">
        <v>354</v>
      </c>
      <c r="T1657" s="296" t="s">
        <v>1675</v>
      </c>
      <c r="U1657" s="296" t="s">
        <v>1690</v>
      </c>
      <c r="V1657" s="296" t="s">
        <v>355</v>
      </c>
      <c r="W1657" s="296" t="s">
        <v>928</v>
      </c>
      <c r="X1657" s="296" t="s">
        <v>928</v>
      </c>
    </row>
    <row r="1658" spans="1:24" ht="13.5" x14ac:dyDescent="0.15">
      <c r="A1658" s="296">
        <v>3731320</v>
      </c>
      <c r="B1658" s="296" t="s">
        <v>1696</v>
      </c>
      <c r="C1658" s="296" t="s">
        <v>1702</v>
      </c>
      <c r="D1658" s="296" t="s">
        <v>1698</v>
      </c>
      <c r="E1658" s="296" t="s">
        <v>1703</v>
      </c>
      <c r="F1658" s="296">
        <v>3</v>
      </c>
      <c r="G1658" s="296" t="s">
        <v>1691</v>
      </c>
      <c r="H1658" s="296" t="s">
        <v>1704</v>
      </c>
      <c r="I1658" s="296" t="s">
        <v>1693</v>
      </c>
      <c r="J1658" s="296"/>
      <c r="K1658" s="296" t="s">
        <v>1705</v>
      </c>
      <c r="L1658" s="296">
        <v>38</v>
      </c>
      <c r="M1658" s="296" t="s">
        <v>1706</v>
      </c>
      <c r="N1658" s="296">
        <v>1037</v>
      </c>
      <c r="O1658" s="296">
        <v>1030</v>
      </c>
      <c r="P1658" s="296">
        <v>8500</v>
      </c>
      <c r="Q1658" s="296">
        <v>2</v>
      </c>
      <c r="R1658" s="296">
        <v>30</v>
      </c>
      <c r="S1658" s="296" t="s">
        <v>354</v>
      </c>
      <c r="T1658" s="296" t="s">
        <v>1675</v>
      </c>
      <c r="U1658" s="296" t="s">
        <v>1690</v>
      </c>
      <c r="V1658" s="296" t="s">
        <v>355</v>
      </c>
      <c r="W1658" s="296" t="s">
        <v>928</v>
      </c>
      <c r="X1658" s="296" t="s">
        <v>928</v>
      </c>
    </row>
    <row r="1659" spans="1:24" ht="13.5" x14ac:dyDescent="0.15">
      <c r="A1659" s="296">
        <v>3731321</v>
      </c>
      <c r="B1659" s="296" t="s">
        <v>1696</v>
      </c>
      <c r="C1659" s="296" t="s">
        <v>1702</v>
      </c>
      <c r="D1659" s="296" t="s">
        <v>1698</v>
      </c>
      <c r="E1659" s="296" t="s">
        <v>1703</v>
      </c>
      <c r="F1659" s="296">
        <v>3</v>
      </c>
      <c r="G1659" s="296" t="s">
        <v>1691</v>
      </c>
      <c r="H1659" s="296" t="s">
        <v>1692</v>
      </c>
      <c r="I1659" s="296" t="s">
        <v>1693</v>
      </c>
      <c r="J1659" s="296"/>
      <c r="K1659" s="296" t="s">
        <v>1705</v>
      </c>
      <c r="L1659" s="296">
        <v>38</v>
      </c>
      <c r="M1659" s="296" t="s">
        <v>1707</v>
      </c>
      <c r="N1659" s="296">
        <v>1037</v>
      </c>
      <c r="O1659" s="296">
        <v>1030</v>
      </c>
      <c r="P1659" s="296">
        <v>8500</v>
      </c>
      <c r="Q1659" s="296">
        <v>2</v>
      </c>
      <c r="R1659" s="296">
        <v>4</v>
      </c>
      <c r="S1659" s="296" t="s">
        <v>354</v>
      </c>
      <c r="T1659" s="296" t="s">
        <v>1675</v>
      </c>
      <c r="U1659" s="296" t="s">
        <v>1690</v>
      </c>
      <c r="V1659" s="296" t="s">
        <v>355</v>
      </c>
      <c r="W1659" s="296" t="s">
        <v>928</v>
      </c>
      <c r="X1659" s="296" t="s">
        <v>928</v>
      </c>
    </row>
    <row r="1660" spans="1:24" ht="13.5" x14ac:dyDescent="0.15">
      <c r="A1660" s="296">
        <v>3731322</v>
      </c>
      <c r="B1660" s="296" t="s">
        <v>1696</v>
      </c>
      <c r="C1660" s="296" t="s">
        <v>356</v>
      </c>
      <c r="D1660" s="296" t="s">
        <v>1698</v>
      </c>
      <c r="E1660" s="296" t="s">
        <v>1708</v>
      </c>
      <c r="F1660" s="296">
        <v>3</v>
      </c>
      <c r="G1660" s="296" t="s">
        <v>1691</v>
      </c>
      <c r="H1660" s="296" t="s">
        <v>1692</v>
      </c>
      <c r="I1660" s="296" t="s">
        <v>1693</v>
      </c>
      <c r="J1660" s="296"/>
      <c r="K1660" s="296" t="s">
        <v>36</v>
      </c>
      <c r="L1660" s="296">
        <v>25</v>
      </c>
      <c r="M1660" s="296" t="s">
        <v>37</v>
      </c>
      <c r="N1660" s="296">
        <v>890</v>
      </c>
      <c r="O1660" s="296">
        <v>890</v>
      </c>
      <c r="P1660" s="296">
        <v>3800</v>
      </c>
      <c r="Q1660" s="296">
        <v>2</v>
      </c>
      <c r="R1660" s="296">
        <v>12</v>
      </c>
      <c r="S1660" s="296" t="s">
        <v>354</v>
      </c>
      <c r="T1660" s="296" t="s">
        <v>1675</v>
      </c>
      <c r="U1660" s="296" t="s">
        <v>1690</v>
      </c>
      <c r="V1660" s="296" t="s">
        <v>355</v>
      </c>
      <c r="W1660" s="296" t="s">
        <v>928</v>
      </c>
      <c r="X1660" s="296" t="s">
        <v>928</v>
      </c>
    </row>
    <row r="1661" spans="1:24" ht="13.5" x14ac:dyDescent="0.15">
      <c r="A1661" s="296">
        <v>3731323</v>
      </c>
      <c r="B1661" s="296" t="s">
        <v>1696</v>
      </c>
      <c r="C1661" s="296" t="s">
        <v>1709</v>
      </c>
      <c r="D1661" s="296" t="s">
        <v>1698</v>
      </c>
      <c r="E1661" s="296" t="s">
        <v>1710</v>
      </c>
      <c r="F1661" s="296">
        <v>331</v>
      </c>
      <c r="G1661" s="296" t="s">
        <v>19</v>
      </c>
      <c r="H1661" s="296" t="s">
        <v>1692</v>
      </c>
      <c r="I1661" s="296" t="s">
        <v>1693</v>
      </c>
      <c r="J1661" s="296" t="s">
        <v>928</v>
      </c>
      <c r="K1661" s="296" t="s">
        <v>1711</v>
      </c>
      <c r="L1661" s="296">
        <v>25</v>
      </c>
      <c r="M1661" s="296" t="s">
        <v>1712</v>
      </c>
      <c r="N1661" s="296">
        <v>1425</v>
      </c>
      <c r="O1661" s="296">
        <v>1420</v>
      </c>
      <c r="P1661" s="296">
        <v>12400</v>
      </c>
      <c r="Q1661" s="296">
        <v>2</v>
      </c>
      <c r="R1661" s="296">
        <v>8</v>
      </c>
      <c r="S1661" s="296" t="s">
        <v>354</v>
      </c>
      <c r="T1661" s="296" t="s">
        <v>1675</v>
      </c>
      <c r="U1661" s="296" t="s">
        <v>1713</v>
      </c>
      <c r="V1661" s="296" t="s">
        <v>355</v>
      </c>
      <c r="W1661" s="296" t="s">
        <v>928</v>
      </c>
      <c r="X1661" s="296" t="s">
        <v>928</v>
      </c>
    </row>
    <row r="1662" spans="1:24" ht="13.5" x14ac:dyDescent="0.15">
      <c r="A1662" s="296">
        <v>3731324</v>
      </c>
      <c r="B1662" s="296" t="s">
        <v>1696</v>
      </c>
      <c r="C1662" s="296" t="s">
        <v>1702</v>
      </c>
      <c r="D1662" s="296" t="s">
        <v>1698</v>
      </c>
      <c r="E1662" s="296" t="s">
        <v>130</v>
      </c>
      <c r="F1662" s="296">
        <v>331</v>
      </c>
      <c r="G1662" s="296" t="s">
        <v>1691</v>
      </c>
      <c r="H1662" s="296" t="s">
        <v>1692</v>
      </c>
      <c r="I1662" s="296" t="s">
        <v>1693</v>
      </c>
      <c r="J1662" s="296"/>
      <c r="K1662" s="296" t="s">
        <v>435</v>
      </c>
      <c r="L1662" s="296">
        <v>25</v>
      </c>
      <c r="M1662" s="296" t="s">
        <v>1714</v>
      </c>
      <c r="N1662" s="296">
        <v>1410</v>
      </c>
      <c r="O1662" s="296">
        <v>1410</v>
      </c>
      <c r="P1662" s="296">
        <v>6000</v>
      </c>
      <c r="Q1662" s="296">
        <v>2</v>
      </c>
      <c r="R1662" s="296">
        <v>2</v>
      </c>
      <c r="S1662" s="296" t="s">
        <v>354</v>
      </c>
      <c r="T1662" s="296" t="s">
        <v>1675</v>
      </c>
      <c r="U1662" s="296" t="s">
        <v>1713</v>
      </c>
      <c r="V1662" s="296" t="s">
        <v>355</v>
      </c>
      <c r="W1662" s="296" t="s">
        <v>928</v>
      </c>
      <c r="X1662" s="296" t="s">
        <v>928</v>
      </c>
    </row>
    <row r="1663" spans="1:24" ht="13.5" x14ac:dyDescent="0.15">
      <c r="A1663" s="296">
        <v>3731325</v>
      </c>
      <c r="B1663" s="296" t="s">
        <v>1696</v>
      </c>
      <c r="C1663" s="296" t="s">
        <v>1715</v>
      </c>
      <c r="D1663" s="296" t="s">
        <v>1698</v>
      </c>
      <c r="E1663" s="296" t="s">
        <v>1716</v>
      </c>
      <c r="F1663" s="296">
        <v>3</v>
      </c>
      <c r="G1663" s="296" t="s">
        <v>1691</v>
      </c>
      <c r="H1663" s="296" t="s">
        <v>1692</v>
      </c>
      <c r="I1663" s="296" t="s">
        <v>1693</v>
      </c>
      <c r="J1663" s="296"/>
      <c r="K1663" s="296" t="s">
        <v>1711</v>
      </c>
      <c r="L1663" s="296">
        <v>38</v>
      </c>
      <c r="M1663" s="296" t="s">
        <v>368</v>
      </c>
      <c r="N1663" s="296">
        <v>1415</v>
      </c>
      <c r="O1663" s="296">
        <v>1410</v>
      </c>
      <c r="P1663" s="296">
        <v>8000</v>
      </c>
      <c r="Q1663" s="296">
        <v>2</v>
      </c>
      <c r="R1663" s="296">
        <v>10</v>
      </c>
      <c r="S1663" s="296" t="s">
        <v>354</v>
      </c>
      <c r="T1663" s="296" t="s">
        <v>1675</v>
      </c>
      <c r="U1663" s="296" t="s">
        <v>1717</v>
      </c>
      <c r="V1663" s="296" t="s">
        <v>355</v>
      </c>
      <c r="W1663" s="296" t="s">
        <v>928</v>
      </c>
      <c r="X1663" s="296" t="s">
        <v>928</v>
      </c>
    </row>
    <row r="1664" spans="1:24" ht="13.5" x14ac:dyDescent="0.15">
      <c r="A1664" s="296">
        <v>3731326</v>
      </c>
      <c r="B1664" s="296" t="s">
        <v>1696</v>
      </c>
      <c r="C1664" s="296" t="s">
        <v>1702</v>
      </c>
      <c r="D1664" s="296" t="s">
        <v>1698</v>
      </c>
      <c r="E1664" s="296" t="s">
        <v>1718</v>
      </c>
      <c r="F1664" s="296">
        <v>3</v>
      </c>
      <c r="G1664" s="296" t="s">
        <v>1691</v>
      </c>
      <c r="H1664" s="296" t="s">
        <v>1692</v>
      </c>
      <c r="I1664" s="296" t="s">
        <v>1693</v>
      </c>
      <c r="J1664" s="296" t="s">
        <v>928</v>
      </c>
      <c r="K1664" s="296" t="s">
        <v>1719</v>
      </c>
      <c r="L1664" s="296">
        <v>25</v>
      </c>
      <c r="M1664" s="296" t="s">
        <v>1720</v>
      </c>
      <c r="N1664" s="296">
        <v>1240</v>
      </c>
      <c r="O1664" s="296">
        <v>1240</v>
      </c>
      <c r="P1664" s="296">
        <v>6000</v>
      </c>
      <c r="Q1664" s="296">
        <v>2</v>
      </c>
      <c r="R1664" s="296">
        <v>38</v>
      </c>
      <c r="S1664" s="296" t="s">
        <v>354</v>
      </c>
      <c r="T1664" s="296" t="s">
        <v>1675</v>
      </c>
      <c r="U1664" s="296" t="s">
        <v>1721</v>
      </c>
      <c r="V1664" s="296" t="s">
        <v>355</v>
      </c>
      <c r="W1664" s="296" t="s">
        <v>928</v>
      </c>
      <c r="X1664" s="296" t="s">
        <v>928</v>
      </c>
    </row>
    <row r="1665" spans="1:24" ht="13.5" x14ac:dyDescent="0.15">
      <c r="A1665" s="296">
        <v>3731327</v>
      </c>
      <c r="B1665" s="296" t="s">
        <v>351</v>
      </c>
      <c r="C1665" s="296" t="s">
        <v>1702</v>
      </c>
      <c r="D1665" s="296" t="s">
        <v>1698</v>
      </c>
      <c r="E1665" s="296" t="s">
        <v>1718</v>
      </c>
      <c r="F1665" s="296">
        <v>3</v>
      </c>
      <c r="G1665" s="296" t="s">
        <v>1691</v>
      </c>
      <c r="H1665" s="296" t="s">
        <v>20</v>
      </c>
      <c r="I1665" s="296" t="s">
        <v>1693</v>
      </c>
      <c r="J1665" s="296"/>
      <c r="K1665" s="296" t="s">
        <v>1719</v>
      </c>
      <c r="L1665" s="296">
        <v>38</v>
      </c>
      <c r="M1665" s="296" t="s">
        <v>367</v>
      </c>
      <c r="N1665" s="296">
        <v>1240</v>
      </c>
      <c r="O1665" s="296">
        <v>1240</v>
      </c>
      <c r="P1665" s="296">
        <v>6000</v>
      </c>
      <c r="Q1665" s="296">
        <v>2</v>
      </c>
      <c r="R1665" s="296">
        <v>9</v>
      </c>
      <c r="S1665" s="296" t="s">
        <v>354</v>
      </c>
      <c r="T1665" s="296" t="s">
        <v>1675</v>
      </c>
      <c r="U1665" s="296" t="s">
        <v>1721</v>
      </c>
      <c r="V1665" s="296" t="s">
        <v>355</v>
      </c>
      <c r="W1665" s="296" t="s">
        <v>928</v>
      </c>
      <c r="X1665" s="296" t="s">
        <v>928</v>
      </c>
    </row>
    <row r="1666" spans="1:24" ht="13.5" x14ac:dyDescent="0.15">
      <c r="A1666" s="296">
        <v>3731328</v>
      </c>
      <c r="B1666" s="296" t="s">
        <v>1696</v>
      </c>
      <c r="C1666" s="296" t="s">
        <v>1709</v>
      </c>
      <c r="D1666" s="296" t="s">
        <v>1698</v>
      </c>
      <c r="E1666" s="296" t="s">
        <v>371</v>
      </c>
      <c r="F1666" s="296">
        <v>330</v>
      </c>
      <c r="G1666" s="296" t="s">
        <v>1691</v>
      </c>
      <c r="H1666" s="296" t="s">
        <v>1692</v>
      </c>
      <c r="I1666" s="296" t="s">
        <v>1693</v>
      </c>
      <c r="J1666" s="296"/>
      <c r="K1666" s="296" t="s">
        <v>1711</v>
      </c>
      <c r="L1666" s="296">
        <v>25</v>
      </c>
      <c r="M1666" s="296" t="s">
        <v>1712</v>
      </c>
      <c r="N1666" s="296">
        <v>1155</v>
      </c>
      <c r="O1666" s="296">
        <v>1150</v>
      </c>
      <c r="P1666" s="296">
        <v>4200</v>
      </c>
      <c r="Q1666" s="296">
        <v>2</v>
      </c>
      <c r="R1666" s="296">
        <v>3</v>
      </c>
      <c r="S1666" s="296" t="s">
        <v>354</v>
      </c>
      <c r="T1666" s="296" t="s">
        <v>1675</v>
      </c>
      <c r="U1666" s="296" t="s">
        <v>1721</v>
      </c>
      <c r="V1666" s="296" t="s">
        <v>355</v>
      </c>
      <c r="W1666" s="296" t="s">
        <v>928</v>
      </c>
      <c r="X1666" s="296" t="s">
        <v>928</v>
      </c>
    </row>
    <row r="1667" spans="1:24" ht="13.5" x14ac:dyDescent="0.15">
      <c r="A1667" s="296">
        <v>3731329</v>
      </c>
      <c r="B1667" s="296" t="s">
        <v>1696</v>
      </c>
      <c r="C1667" s="296" t="s">
        <v>1702</v>
      </c>
      <c r="D1667" s="296" t="s">
        <v>1698</v>
      </c>
      <c r="E1667" s="296" t="s">
        <v>115</v>
      </c>
      <c r="F1667" s="296">
        <v>3</v>
      </c>
      <c r="G1667" s="296" t="s">
        <v>1691</v>
      </c>
      <c r="H1667" s="296" t="s">
        <v>20</v>
      </c>
      <c r="I1667" s="296" t="s">
        <v>1693</v>
      </c>
      <c r="J1667" s="296"/>
      <c r="K1667" s="296" t="s">
        <v>1722</v>
      </c>
      <c r="L1667" s="296">
        <v>38</v>
      </c>
      <c r="M1667" s="296" t="s">
        <v>1723</v>
      </c>
      <c r="N1667" s="296">
        <v>1135</v>
      </c>
      <c r="O1667" s="296">
        <v>1130</v>
      </c>
      <c r="P1667" s="296">
        <v>6000</v>
      </c>
      <c r="Q1667" s="296">
        <v>2</v>
      </c>
      <c r="R1667" s="296">
        <v>2</v>
      </c>
      <c r="S1667" s="296" t="s">
        <v>354</v>
      </c>
      <c r="T1667" s="296" t="s">
        <v>1675</v>
      </c>
      <c r="U1667" s="296" t="s">
        <v>1721</v>
      </c>
      <c r="V1667" s="296" t="s">
        <v>355</v>
      </c>
      <c r="W1667" s="296" t="s">
        <v>928</v>
      </c>
      <c r="X1667" s="296" t="s">
        <v>928</v>
      </c>
    </row>
    <row r="1668" spans="1:24" ht="13.5" x14ac:dyDescent="0.15">
      <c r="A1668" s="296">
        <v>3731330</v>
      </c>
      <c r="B1668" s="296" t="s">
        <v>1724</v>
      </c>
      <c r="C1668" s="296" t="s">
        <v>1725</v>
      </c>
      <c r="D1668" s="296" t="s">
        <v>1698</v>
      </c>
      <c r="E1668" s="296"/>
      <c r="F1668" s="296">
        <v>3</v>
      </c>
      <c r="G1668" s="296" t="s">
        <v>1726</v>
      </c>
      <c r="H1668" s="296" t="s">
        <v>20</v>
      </c>
      <c r="I1668" s="296" t="s">
        <v>21</v>
      </c>
      <c r="J1668" s="296" t="s">
        <v>928</v>
      </c>
      <c r="K1668" s="296" t="s">
        <v>118</v>
      </c>
      <c r="L1668" s="296">
        <v>25</v>
      </c>
      <c r="M1668" s="296" t="s">
        <v>119</v>
      </c>
      <c r="N1668" s="296">
        <v>1100</v>
      </c>
      <c r="O1668" s="296">
        <v>1100</v>
      </c>
      <c r="P1668" s="296">
        <v>12000</v>
      </c>
      <c r="Q1668" s="296">
        <v>2</v>
      </c>
      <c r="R1668" s="296">
        <v>20</v>
      </c>
      <c r="S1668" s="296" t="s">
        <v>354</v>
      </c>
      <c r="T1668" s="296" t="s">
        <v>1675</v>
      </c>
      <c r="U1668" s="296" t="s">
        <v>1721</v>
      </c>
      <c r="V1668" s="296" t="s">
        <v>355</v>
      </c>
      <c r="W1668" s="296" t="s">
        <v>928</v>
      </c>
      <c r="X1668" s="296" t="s">
        <v>928</v>
      </c>
    </row>
    <row r="1669" spans="1:24" ht="13.5" x14ac:dyDescent="0.15">
      <c r="A1669" s="296">
        <v>3731331</v>
      </c>
      <c r="B1669" s="296" t="s">
        <v>351</v>
      </c>
      <c r="C1669" s="296" t="s">
        <v>356</v>
      </c>
      <c r="D1669" s="296" t="s">
        <v>353</v>
      </c>
      <c r="E1669" s="296" t="s">
        <v>17</v>
      </c>
      <c r="F1669" s="296">
        <v>3</v>
      </c>
      <c r="G1669" s="296" t="s">
        <v>19</v>
      </c>
      <c r="H1669" s="296" t="s">
        <v>20</v>
      </c>
      <c r="I1669" s="296" t="s">
        <v>21</v>
      </c>
      <c r="J1669" s="296" t="s">
        <v>928</v>
      </c>
      <c r="K1669" s="296" t="s">
        <v>104</v>
      </c>
      <c r="L1669" s="296">
        <v>25</v>
      </c>
      <c r="M1669" s="296" t="s">
        <v>375</v>
      </c>
      <c r="N1669" s="296">
        <v>1100</v>
      </c>
      <c r="O1669" s="296">
        <v>1100</v>
      </c>
      <c r="P1669" s="296">
        <v>12000</v>
      </c>
      <c r="Q1669" s="296">
        <v>2</v>
      </c>
      <c r="R1669" s="296">
        <v>3</v>
      </c>
      <c r="S1669" s="296" t="s">
        <v>354</v>
      </c>
      <c r="T1669" s="296" t="s">
        <v>1675</v>
      </c>
      <c r="U1669" s="296" t="s">
        <v>1721</v>
      </c>
      <c r="V1669" s="296" t="s">
        <v>355</v>
      </c>
      <c r="W1669" s="296" t="s">
        <v>928</v>
      </c>
      <c r="X1669" s="296" t="s">
        <v>928</v>
      </c>
    </row>
    <row r="1670" spans="1:24" ht="13.5" x14ac:dyDescent="0.15">
      <c r="A1670" s="296">
        <v>3731332</v>
      </c>
      <c r="B1670" s="296" t="s">
        <v>351</v>
      </c>
      <c r="C1670" s="296" t="s">
        <v>358</v>
      </c>
      <c r="D1670" s="296" t="s">
        <v>353</v>
      </c>
      <c r="E1670" s="296" t="s">
        <v>110</v>
      </c>
      <c r="F1670" s="296">
        <v>331</v>
      </c>
      <c r="G1670" s="296" t="s">
        <v>19</v>
      </c>
      <c r="H1670" s="296" t="s">
        <v>20</v>
      </c>
      <c r="I1670" s="296" t="s">
        <v>21</v>
      </c>
      <c r="J1670" s="296" t="s">
        <v>928</v>
      </c>
      <c r="K1670" s="296" t="s">
        <v>112</v>
      </c>
      <c r="L1670" s="296">
        <v>25</v>
      </c>
      <c r="M1670" s="296" t="s">
        <v>357</v>
      </c>
      <c r="N1670" s="296">
        <v>450</v>
      </c>
      <c r="O1670" s="296">
        <v>450</v>
      </c>
      <c r="P1670" s="296">
        <v>4000</v>
      </c>
      <c r="Q1670" s="296">
        <v>2</v>
      </c>
      <c r="R1670" s="296">
        <v>12</v>
      </c>
      <c r="S1670" s="296" t="s">
        <v>354</v>
      </c>
      <c r="T1670" s="296" t="s">
        <v>1675</v>
      </c>
      <c r="U1670" s="296" t="s">
        <v>1721</v>
      </c>
      <c r="V1670" s="296" t="s">
        <v>355</v>
      </c>
      <c r="W1670" s="296" t="s">
        <v>928</v>
      </c>
      <c r="X1670" s="296" t="s">
        <v>928</v>
      </c>
    </row>
    <row r="1671" spans="1:24" ht="13.5" x14ac:dyDescent="0.15">
      <c r="A1671" s="296">
        <v>3731333</v>
      </c>
      <c r="B1671" s="296" t="s">
        <v>351</v>
      </c>
      <c r="C1671" s="296" t="s">
        <v>356</v>
      </c>
      <c r="D1671" s="296" t="s">
        <v>353</v>
      </c>
      <c r="E1671" s="296" t="s">
        <v>106</v>
      </c>
      <c r="F1671" s="296">
        <v>3</v>
      </c>
      <c r="G1671" s="296" t="s">
        <v>19</v>
      </c>
      <c r="H1671" s="296" t="s">
        <v>20</v>
      </c>
      <c r="I1671" s="296" t="s">
        <v>21</v>
      </c>
      <c r="J1671" s="296" t="s">
        <v>928</v>
      </c>
      <c r="K1671" s="296" t="s">
        <v>107</v>
      </c>
      <c r="L1671" s="296">
        <v>25</v>
      </c>
      <c r="M1671" s="296" t="s">
        <v>367</v>
      </c>
      <c r="N1671" s="296">
        <v>1040</v>
      </c>
      <c r="O1671" s="296">
        <v>1040</v>
      </c>
      <c r="P1671" s="296">
        <v>6000</v>
      </c>
      <c r="Q1671" s="296">
        <v>2</v>
      </c>
      <c r="R1671" s="296">
        <v>34</v>
      </c>
      <c r="S1671" s="296" t="s">
        <v>354</v>
      </c>
      <c r="T1671" s="296" t="s">
        <v>1675</v>
      </c>
      <c r="U1671" s="296" t="s">
        <v>1721</v>
      </c>
      <c r="V1671" s="296" t="s">
        <v>355</v>
      </c>
      <c r="W1671" s="296" t="s">
        <v>928</v>
      </c>
      <c r="X1671" s="296" t="s">
        <v>928</v>
      </c>
    </row>
    <row r="1672" spans="1:24" ht="13.5" x14ac:dyDescent="0.15">
      <c r="A1672" s="296">
        <v>3731334</v>
      </c>
      <c r="B1672" s="296" t="s">
        <v>351</v>
      </c>
      <c r="C1672" s="296" t="s">
        <v>352</v>
      </c>
      <c r="D1672" s="296" t="s">
        <v>353</v>
      </c>
      <c r="E1672" s="296" t="s">
        <v>116</v>
      </c>
      <c r="F1672" s="296">
        <v>3</v>
      </c>
      <c r="G1672" s="296" t="s">
        <v>19</v>
      </c>
      <c r="H1672" s="296" t="s">
        <v>20</v>
      </c>
      <c r="I1672" s="296" t="s">
        <v>21</v>
      </c>
      <c r="J1672" s="296" t="s">
        <v>928</v>
      </c>
      <c r="K1672" s="296" t="s">
        <v>118</v>
      </c>
      <c r="L1672" s="296">
        <v>38</v>
      </c>
      <c r="M1672" s="296" t="s">
        <v>368</v>
      </c>
      <c r="N1672" s="296">
        <v>1005</v>
      </c>
      <c r="O1672" s="296">
        <v>1000</v>
      </c>
      <c r="P1672" s="296">
        <v>8000</v>
      </c>
      <c r="Q1672" s="296">
        <v>2</v>
      </c>
      <c r="R1672" s="296">
        <v>10</v>
      </c>
      <c r="S1672" s="296" t="s">
        <v>354</v>
      </c>
      <c r="T1672" s="296" t="s">
        <v>1675</v>
      </c>
      <c r="U1672" s="296" t="s">
        <v>1717</v>
      </c>
      <c r="V1672" s="296" t="s">
        <v>355</v>
      </c>
      <c r="W1672" s="296" t="s">
        <v>928</v>
      </c>
      <c r="X1672" s="296" t="s">
        <v>928</v>
      </c>
    </row>
    <row r="1673" spans="1:24" ht="13.5" x14ac:dyDescent="0.15">
      <c r="A1673" s="296">
        <v>3731335</v>
      </c>
      <c r="B1673" s="296" t="s">
        <v>351</v>
      </c>
      <c r="C1673" s="296" t="s">
        <v>358</v>
      </c>
      <c r="D1673" s="296" t="s">
        <v>353</v>
      </c>
      <c r="E1673" s="296" t="s">
        <v>61</v>
      </c>
      <c r="F1673" s="296">
        <v>331</v>
      </c>
      <c r="G1673" s="296" t="s">
        <v>19</v>
      </c>
      <c r="H1673" s="296" t="s">
        <v>20</v>
      </c>
      <c r="I1673" s="296" t="s">
        <v>21</v>
      </c>
      <c r="J1673" s="296" t="s">
        <v>928</v>
      </c>
      <c r="K1673" s="296" t="s">
        <v>62</v>
      </c>
      <c r="L1673" s="296">
        <v>38</v>
      </c>
      <c r="M1673" s="296" t="s">
        <v>63</v>
      </c>
      <c r="N1673" s="296">
        <v>1585</v>
      </c>
      <c r="O1673" s="296">
        <v>1580</v>
      </c>
      <c r="P1673" s="296">
        <v>4000</v>
      </c>
      <c r="Q1673" s="296">
        <v>2</v>
      </c>
      <c r="R1673" s="296">
        <v>3</v>
      </c>
      <c r="S1673" s="296" t="s">
        <v>354</v>
      </c>
      <c r="T1673" s="296" t="s">
        <v>1675</v>
      </c>
      <c r="U1673" s="296" t="s">
        <v>1721</v>
      </c>
      <c r="V1673" s="296" t="s">
        <v>355</v>
      </c>
      <c r="W1673" s="296" t="s">
        <v>928</v>
      </c>
      <c r="X1673" s="296" t="s">
        <v>928</v>
      </c>
    </row>
    <row r="1674" spans="1:24" ht="13.5" x14ac:dyDescent="0.15">
      <c r="A1674" s="296">
        <v>3731336</v>
      </c>
      <c r="B1674" s="296" t="s">
        <v>351</v>
      </c>
      <c r="C1674" s="296" t="s">
        <v>363</v>
      </c>
      <c r="D1674" s="296" t="s">
        <v>353</v>
      </c>
      <c r="E1674" s="296" t="s">
        <v>65</v>
      </c>
      <c r="F1674" s="296">
        <v>3321</v>
      </c>
      <c r="G1674" s="296" t="s">
        <v>19</v>
      </c>
      <c r="H1674" s="296" t="s">
        <v>20</v>
      </c>
      <c r="I1674" s="296" t="s">
        <v>21</v>
      </c>
      <c r="J1674" s="296" t="s">
        <v>928</v>
      </c>
      <c r="K1674" s="296" t="s">
        <v>67</v>
      </c>
      <c r="L1674" s="296">
        <v>38</v>
      </c>
      <c r="M1674" s="296" t="s">
        <v>68</v>
      </c>
      <c r="N1674" s="296">
        <v>1336</v>
      </c>
      <c r="O1674" s="296">
        <v>1325</v>
      </c>
      <c r="P1674" s="296">
        <v>12000</v>
      </c>
      <c r="Q1674" s="296">
        <v>2</v>
      </c>
      <c r="R1674" s="296">
        <v>30</v>
      </c>
      <c r="S1674" s="296" t="s">
        <v>354</v>
      </c>
      <c r="T1674" s="296" t="s">
        <v>1675</v>
      </c>
      <c r="U1674" s="296" t="s">
        <v>1727</v>
      </c>
      <c r="V1674" s="296" t="s">
        <v>355</v>
      </c>
      <c r="W1674" s="296" t="s">
        <v>928</v>
      </c>
      <c r="X1674" s="296" t="s">
        <v>928</v>
      </c>
    </row>
    <row r="1675" spans="1:24" ht="13.5" x14ac:dyDescent="0.15">
      <c r="A1675" s="296">
        <v>3731337</v>
      </c>
      <c r="B1675" s="296" t="s">
        <v>351</v>
      </c>
      <c r="C1675" s="296" t="s">
        <v>358</v>
      </c>
      <c r="D1675" s="296" t="s">
        <v>353</v>
      </c>
      <c r="E1675" s="296" t="s">
        <v>73</v>
      </c>
      <c r="F1675" s="296">
        <v>331</v>
      </c>
      <c r="G1675" s="296" t="s">
        <v>19</v>
      </c>
      <c r="H1675" s="296" t="s">
        <v>20</v>
      </c>
      <c r="I1675" s="296" t="s">
        <v>21</v>
      </c>
      <c r="J1675" s="296" t="s">
        <v>928</v>
      </c>
      <c r="K1675" s="296" t="s">
        <v>74</v>
      </c>
      <c r="L1675" s="296">
        <v>38</v>
      </c>
      <c r="M1675" s="296" t="s">
        <v>365</v>
      </c>
      <c r="N1675" s="296">
        <v>415</v>
      </c>
      <c r="O1675" s="296">
        <v>415</v>
      </c>
      <c r="P1675" s="296">
        <v>1950</v>
      </c>
      <c r="Q1675" s="296">
        <v>2</v>
      </c>
      <c r="R1675" s="296">
        <v>18</v>
      </c>
      <c r="S1675" s="296" t="s">
        <v>354</v>
      </c>
      <c r="T1675" s="296" t="s">
        <v>1675</v>
      </c>
      <c r="U1675" s="296" t="s">
        <v>1727</v>
      </c>
      <c r="V1675" s="296" t="s">
        <v>355</v>
      </c>
      <c r="W1675" s="296" t="s">
        <v>928</v>
      </c>
      <c r="X1675" s="296" t="s">
        <v>928</v>
      </c>
    </row>
    <row r="1676" spans="1:24" ht="13.5" x14ac:dyDescent="0.15">
      <c r="A1676" s="296">
        <v>3731338</v>
      </c>
      <c r="B1676" s="296" t="s">
        <v>351</v>
      </c>
      <c r="C1676" s="296" t="s">
        <v>358</v>
      </c>
      <c r="D1676" s="296" t="s">
        <v>353</v>
      </c>
      <c r="E1676" s="296" t="s">
        <v>61</v>
      </c>
      <c r="F1676" s="296">
        <v>331</v>
      </c>
      <c r="G1676" s="296" t="s">
        <v>19</v>
      </c>
      <c r="H1676" s="296" t="s">
        <v>20</v>
      </c>
      <c r="I1676" s="296" t="s">
        <v>21</v>
      </c>
      <c r="J1676" s="296" t="s">
        <v>928</v>
      </c>
      <c r="K1676" s="296" t="s">
        <v>62</v>
      </c>
      <c r="L1676" s="296">
        <v>38</v>
      </c>
      <c r="M1676" s="296" t="s">
        <v>63</v>
      </c>
      <c r="N1676" s="296">
        <v>1255</v>
      </c>
      <c r="O1676" s="296">
        <v>1250</v>
      </c>
      <c r="P1676" s="296">
        <v>6000</v>
      </c>
      <c r="Q1676" s="296">
        <v>2</v>
      </c>
      <c r="R1676" s="296">
        <v>24</v>
      </c>
      <c r="S1676" s="296" t="s">
        <v>354</v>
      </c>
      <c r="T1676" s="296" t="s">
        <v>1675</v>
      </c>
      <c r="U1676" s="296" t="s">
        <v>1727</v>
      </c>
      <c r="V1676" s="296" t="s">
        <v>355</v>
      </c>
      <c r="W1676" s="296" t="s">
        <v>928</v>
      </c>
      <c r="X1676" s="296" t="s">
        <v>928</v>
      </c>
    </row>
    <row r="1677" spans="1:24" ht="13.5" x14ac:dyDescent="0.15">
      <c r="A1677" s="296">
        <v>3731339</v>
      </c>
      <c r="B1677" s="296" t="s">
        <v>351</v>
      </c>
      <c r="C1677" s="296" t="s">
        <v>356</v>
      </c>
      <c r="D1677" s="296" t="s">
        <v>353</v>
      </c>
      <c r="E1677" s="296" t="s">
        <v>17</v>
      </c>
      <c r="F1677" s="296">
        <v>3</v>
      </c>
      <c r="G1677" s="296" t="s">
        <v>19</v>
      </c>
      <c r="H1677" s="296" t="s">
        <v>20</v>
      </c>
      <c r="I1677" s="296" t="s">
        <v>21</v>
      </c>
      <c r="J1677" s="296" t="s">
        <v>928</v>
      </c>
      <c r="K1677" s="296" t="s">
        <v>22</v>
      </c>
      <c r="L1677" s="296">
        <v>38</v>
      </c>
      <c r="M1677" s="296" t="s">
        <v>23</v>
      </c>
      <c r="N1677" s="296">
        <v>1037</v>
      </c>
      <c r="O1677" s="296">
        <v>1030</v>
      </c>
      <c r="P1677" s="296">
        <v>8500</v>
      </c>
      <c r="Q1677" s="296">
        <v>2</v>
      </c>
      <c r="R1677" s="296">
        <v>66</v>
      </c>
      <c r="S1677" s="296" t="s">
        <v>354</v>
      </c>
      <c r="T1677" s="296" t="s">
        <v>1675</v>
      </c>
      <c r="U1677" s="296" t="s">
        <v>1727</v>
      </c>
      <c r="V1677" s="296" t="s">
        <v>355</v>
      </c>
      <c r="W1677" s="296" t="s">
        <v>928</v>
      </c>
      <c r="X1677" s="296" t="s">
        <v>928</v>
      </c>
    </row>
    <row r="1678" spans="1:24" ht="13.5" x14ac:dyDescent="0.15">
      <c r="A1678" s="296">
        <v>3731343</v>
      </c>
      <c r="B1678" s="296" t="s">
        <v>351</v>
      </c>
      <c r="C1678" s="296" t="s">
        <v>352</v>
      </c>
      <c r="D1678" s="296" t="s">
        <v>353</v>
      </c>
      <c r="E1678" s="296" t="s">
        <v>155</v>
      </c>
      <c r="F1678" s="296" t="s">
        <v>158</v>
      </c>
      <c r="G1678" s="296" t="s">
        <v>19</v>
      </c>
      <c r="H1678" s="296" t="s">
        <v>20</v>
      </c>
      <c r="I1678" s="296" t="s">
        <v>143</v>
      </c>
      <c r="J1678" s="296" t="s">
        <v>928</v>
      </c>
      <c r="K1678" s="296" t="s">
        <v>156</v>
      </c>
      <c r="L1678" s="296">
        <v>25</v>
      </c>
      <c r="M1678" s="296" t="s">
        <v>157</v>
      </c>
      <c r="N1678" s="296">
        <v>1120</v>
      </c>
      <c r="O1678" s="296">
        <v>1120</v>
      </c>
      <c r="P1678" s="296">
        <v>12000</v>
      </c>
      <c r="Q1678" s="296">
        <v>2</v>
      </c>
      <c r="R1678" s="296">
        <v>7</v>
      </c>
      <c r="S1678" s="296" t="s">
        <v>354</v>
      </c>
      <c r="T1678" s="296" t="s">
        <v>1675</v>
      </c>
      <c r="U1678" s="296" t="s">
        <v>1728</v>
      </c>
      <c r="V1678" s="296" t="s">
        <v>355</v>
      </c>
      <c r="W1678" s="296" t="s">
        <v>928</v>
      </c>
      <c r="X1678" s="296" t="s">
        <v>928</v>
      </c>
    </row>
    <row r="1679" spans="1:24" ht="13.5" x14ac:dyDescent="0.15">
      <c r="A1679" s="296">
        <v>3731352</v>
      </c>
      <c r="B1679" s="296" t="s">
        <v>351</v>
      </c>
      <c r="C1679" s="296" t="s">
        <v>352</v>
      </c>
      <c r="D1679" s="296" t="s">
        <v>353</v>
      </c>
      <c r="E1679" s="296" t="s">
        <v>116</v>
      </c>
      <c r="F1679" s="296">
        <v>3</v>
      </c>
      <c r="G1679" s="296" t="s">
        <v>19</v>
      </c>
      <c r="H1679" s="296" t="s">
        <v>20</v>
      </c>
      <c r="I1679" s="296" t="s">
        <v>143</v>
      </c>
      <c r="J1679" s="296" t="s">
        <v>928</v>
      </c>
      <c r="K1679" s="296" t="s">
        <v>159</v>
      </c>
      <c r="L1679" s="296">
        <v>25</v>
      </c>
      <c r="M1679" s="296" t="s">
        <v>160</v>
      </c>
      <c r="N1679" s="296">
        <v>1005</v>
      </c>
      <c r="O1679" s="296">
        <v>1000</v>
      </c>
      <c r="P1679" s="296">
        <v>4000</v>
      </c>
      <c r="Q1679" s="296">
        <v>2</v>
      </c>
      <c r="R1679" s="296">
        <v>2</v>
      </c>
      <c r="S1679" s="296" t="s">
        <v>354</v>
      </c>
      <c r="T1679" s="296" t="s">
        <v>1675</v>
      </c>
      <c r="U1679" s="296" t="s">
        <v>1717</v>
      </c>
      <c r="V1679" s="296" t="s">
        <v>355</v>
      </c>
      <c r="W1679" s="296" t="s">
        <v>928</v>
      </c>
      <c r="X1679" s="296" t="s">
        <v>928</v>
      </c>
    </row>
    <row r="1680" spans="1:24" ht="13.5" x14ac:dyDescent="0.15">
      <c r="A1680" s="296">
        <v>3731363</v>
      </c>
      <c r="B1680" s="296" t="s">
        <v>351</v>
      </c>
      <c r="C1680" s="296" t="s">
        <v>352</v>
      </c>
      <c r="D1680" s="296" t="s">
        <v>353</v>
      </c>
      <c r="E1680" s="296" t="s">
        <v>116</v>
      </c>
      <c r="F1680" s="296">
        <v>3</v>
      </c>
      <c r="G1680" s="296" t="s">
        <v>19</v>
      </c>
      <c r="H1680" s="296" t="s">
        <v>20</v>
      </c>
      <c r="I1680" s="296" t="s">
        <v>143</v>
      </c>
      <c r="J1680" s="296" t="s">
        <v>928</v>
      </c>
      <c r="K1680" s="296" t="s">
        <v>144</v>
      </c>
      <c r="L1680" s="296">
        <v>50</v>
      </c>
      <c r="M1680" s="296" t="s">
        <v>145</v>
      </c>
      <c r="N1680" s="296">
        <v>1005</v>
      </c>
      <c r="O1680" s="296">
        <v>1000</v>
      </c>
      <c r="P1680" s="296">
        <v>4000</v>
      </c>
      <c r="Q1680" s="296">
        <v>2</v>
      </c>
      <c r="R1680" s="296">
        <v>3</v>
      </c>
      <c r="S1680" s="296" t="s">
        <v>354</v>
      </c>
      <c r="T1680" s="296" t="s">
        <v>1675</v>
      </c>
      <c r="U1680" s="296" t="s">
        <v>1717</v>
      </c>
      <c r="V1680" s="296" t="s">
        <v>355</v>
      </c>
      <c r="W1680" s="296" t="s">
        <v>928</v>
      </c>
      <c r="X1680" s="296" t="s">
        <v>928</v>
      </c>
    </row>
    <row r="1681" spans="1:24" ht="13.5" x14ac:dyDescent="0.15">
      <c r="A1681" s="296">
        <v>3731364</v>
      </c>
      <c r="B1681" s="296" t="s">
        <v>351</v>
      </c>
      <c r="C1681" s="296" t="s">
        <v>352</v>
      </c>
      <c r="D1681" s="296" t="s">
        <v>353</v>
      </c>
      <c r="E1681" s="296" t="s">
        <v>116</v>
      </c>
      <c r="F1681" s="296">
        <v>3</v>
      </c>
      <c r="G1681" s="296" t="s">
        <v>19</v>
      </c>
      <c r="H1681" s="296" t="s">
        <v>20</v>
      </c>
      <c r="I1681" s="296" t="s">
        <v>143</v>
      </c>
      <c r="J1681" s="296" t="s">
        <v>928</v>
      </c>
      <c r="K1681" s="296" t="s">
        <v>144</v>
      </c>
      <c r="L1681" s="296">
        <v>75</v>
      </c>
      <c r="M1681" s="296" t="s">
        <v>145</v>
      </c>
      <c r="N1681" s="296">
        <v>1005</v>
      </c>
      <c r="O1681" s="296">
        <v>1000</v>
      </c>
      <c r="P1681" s="296">
        <v>3000</v>
      </c>
      <c r="Q1681" s="296">
        <v>2</v>
      </c>
      <c r="R1681" s="296">
        <v>4</v>
      </c>
      <c r="S1681" s="296" t="s">
        <v>354</v>
      </c>
      <c r="T1681" s="296" t="s">
        <v>1675</v>
      </c>
      <c r="U1681" s="296" t="s">
        <v>1717</v>
      </c>
      <c r="V1681" s="296" t="s">
        <v>355</v>
      </c>
      <c r="W1681" s="296" t="s">
        <v>928</v>
      </c>
      <c r="X1681" s="296" t="s">
        <v>928</v>
      </c>
    </row>
    <row r="1682" spans="1:24" ht="13.5" x14ac:dyDescent="0.15">
      <c r="A1682" s="296">
        <v>3731442</v>
      </c>
      <c r="B1682" s="296" t="s">
        <v>351</v>
      </c>
      <c r="C1682" s="296" t="s">
        <v>356</v>
      </c>
      <c r="D1682" s="296" t="s">
        <v>353</v>
      </c>
      <c r="E1682" s="296" t="s">
        <v>17</v>
      </c>
      <c r="F1682" s="296">
        <v>3303</v>
      </c>
      <c r="G1682" s="296" t="s">
        <v>19</v>
      </c>
      <c r="H1682" s="296" t="s">
        <v>20</v>
      </c>
      <c r="I1682" s="296" t="s">
        <v>21</v>
      </c>
      <c r="J1682" s="296" t="s">
        <v>928</v>
      </c>
      <c r="K1682" s="296" t="s">
        <v>52</v>
      </c>
      <c r="L1682" s="296">
        <v>38</v>
      </c>
      <c r="M1682" s="296" t="s">
        <v>53</v>
      </c>
      <c r="N1682" s="296">
        <v>1330</v>
      </c>
      <c r="O1682" s="296">
        <v>1330</v>
      </c>
      <c r="P1682" s="296">
        <v>6000</v>
      </c>
      <c r="Q1682" s="296">
        <v>2</v>
      </c>
      <c r="R1682" s="296">
        <v>1</v>
      </c>
      <c r="S1682" s="296" t="s">
        <v>354</v>
      </c>
      <c r="T1682" s="296" t="s">
        <v>1536</v>
      </c>
      <c r="U1682" s="296" t="s">
        <v>1757</v>
      </c>
      <c r="V1682" s="296" t="s">
        <v>355</v>
      </c>
      <c r="W1682" s="296" t="s">
        <v>928</v>
      </c>
      <c r="X1682" s="296" t="s">
        <v>928</v>
      </c>
    </row>
    <row r="1683" spans="1:24" ht="13.5" x14ac:dyDescent="0.15">
      <c r="A1683" s="296">
        <v>3731819</v>
      </c>
      <c r="B1683" s="296" t="s">
        <v>351</v>
      </c>
      <c r="C1683" s="296" t="s">
        <v>352</v>
      </c>
      <c r="D1683" s="296" t="s">
        <v>353</v>
      </c>
      <c r="E1683" s="296" t="s">
        <v>116</v>
      </c>
      <c r="F1683" s="296">
        <v>3</v>
      </c>
      <c r="G1683" s="296" t="s">
        <v>19</v>
      </c>
      <c r="H1683" s="296" t="s">
        <v>20</v>
      </c>
      <c r="I1683" s="296" t="s">
        <v>143</v>
      </c>
      <c r="J1683" s="296" t="s">
        <v>928</v>
      </c>
      <c r="K1683" s="296" t="s">
        <v>144</v>
      </c>
      <c r="L1683" s="296">
        <v>38</v>
      </c>
      <c r="M1683" s="296" t="s">
        <v>145</v>
      </c>
      <c r="N1683" s="296">
        <v>1005</v>
      </c>
      <c r="O1683" s="296">
        <v>1000</v>
      </c>
      <c r="P1683" s="296">
        <v>4000</v>
      </c>
      <c r="Q1683" s="296">
        <v>2</v>
      </c>
      <c r="R1683" s="296">
        <v>2</v>
      </c>
      <c r="S1683" s="296" t="s">
        <v>354</v>
      </c>
      <c r="T1683" s="296" t="s">
        <v>1536</v>
      </c>
      <c r="U1683" s="296" t="s">
        <v>1756</v>
      </c>
      <c r="V1683" s="296" t="s">
        <v>355</v>
      </c>
      <c r="W1683" s="296" t="s">
        <v>928</v>
      </c>
      <c r="X1683" s="296" t="s">
        <v>928</v>
      </c>
    </row>
    <row r="1684" spans="1:24" ht="13.5" x14ac:dyDescent="0.15">
      <c r="A1684" s="296">
        <v>3732640</v>
      </c>
      <c r="B1684" s="296" t="s">
        <v>351</v>
      </c>
      <c r="C1684" s="296" t="s">
        <v>356</v>
      </c>
      <c r="D1684" s="296" t="s">
        <v>353</v>
      </c>
      <c r="E1684" s="296" t="s">
        <v>377</v>
      </c>
      <c r="F1684" s="296">
        <v>3</v>
      </c>
      <c r="G1684" s="296" t="s">
        <v>19</v>
      </c>
      <c r="H1684" s="296" t="s">
        <v>20</v>
      </c>
      <c r="I1684" s="296" t="s">
        <v>21</v>
      </c>
      <c r="J1684" s="296" t="s">
        <v>928</v>
      </c>
      <c r="K1684" s="296" t="s">
        <v>36</v>
      </c>
      <c r="L1684" s="296">
        <v>25</v>
      </c>
      <c r="M1684" s="296" t="s">
        <v>37</v>
      </c>
      <c r="N1684" s="296">
        <v>890</v>
      </c>
      <c r="O1684" s="296">
        <v>890</v>
      </c>
      <c r="P1684" s="296">
        <v>3800</v>
      </c>
      <c r="Q1684" s="296">
        <v>2</v>
      </c>
      <c r="R1684" s="296">
        <v>6</v>
      </c>
      <c r="S1684" s="296" t="s">
        <v>354</v>
      </c>
      <c r="T1684" s="296" t="s">
        <v>1513</v>
      </c>
      <c r="U1684" s="296" t="s">
        <v>1690</v>
      </c>
      <c r="V1684" s="296" t="s">
        <v>355</v>
      </c>
      <c r="W1684" s="296" t="s">
        <v>928</v>
      </c>
      <c r="X1684" s="296" t="s">
        <v>928</v>
      </c>
    </row>
    <row r="1685" spans="1:24" ht="13.5" x14ac:dyDescent="0.15">
      <c r="A1685" s="296">
        <v>3732641</v>
      </c>
      <c r="B1685" s="296" t="s">
        <v>351</v>
      </c>
      <c r="C1685" s="296" t="s">
        <v>358</v>
      </c>
      <c r="D1685" s="296" t="s">
        <v>353</v>
      </c>
      <c r="E1685" s="296" t="s">
        <v>65</v>
      </c>
      <c r="F1685" s="296">
        <v>3321</v>
      </c>
      <c r="G1685" s="296" t="s">
        <v>19</v>
      </c>
      <c r="H1685" s="296" t="s">
        <v>20</v>
      </c>
      <c r="I1685" s="296" t="s">
        <v>21</v>
      </c>
      <c r="J1685" s="296" t="s">
        <v>928</v>
      </c>
      <c r="K1685" s="296" t="s">
        <v>67</v>
      </c>
      <c r="L1685" s="296">
        <v>38</v>
      </c>
      <c r="M1685" s="296" t="s">
        <v>68</v>
      </c>
      <c r="N1685" s="296">
        <v>1336</v>
      </c>
      <c r="O1685" s="296">
        <v>1325</v>
      </c>
      <c r="P1685" s="296">
        <v>12000</v>
      </c>
      <c r="Q1685" s="296">
        <v>2</v>
      </c>
      <c r="R1685" s="296">
        <v>34</v>
      </c>
      <c r="S1685" s="296" t="s">
        <v>354</v>
      </c>
      <c r="T1685" s="296" t="s">
        <v>1513</v>
      </c>
      <c r="U1685" s="296" t="s">
        <v>1727</v>
      </c>
      <c r="V1685" s="296" t="s">
        <v>355</v>
      </c>
      <c r="W1685" s="296" t="s">
        <v>928</v>
      </c>
      <c r="X1685" s="296" t="s">
        <v>928</v>
      </c>
    </row>
    <row r="1686" spans="1:24" ht="13.5" x14ac:dyDescent="0.15">
      <c r="A1686" s="296">
        <v>3732642</v>
      </c>
      <c r="B1686" s="296" t="s">
        <v>351</v>
      </c>
      <c r="C1686" s="296" t="s">
        <v>352</v>
      </c>
      <c r="D1686" s="296" t="s">
        <v>353</v>
      </c>
      <c r="E1686" s="296" t="s">
        <v>371</v>
      </c>
      <c r="F1686" s="296">
        <v>331</v>
      </c>
      <c r="G1686" s="296" t="s">
        <v>19</v>
      </c>
      <c r="H1686" s="296" t="s">
        <v>20</v>
      </c>
      <c r="I1686" s="296" t="s">
        <v>21</v>
      </c>
      <c r="J1686" s="296" t="s">
        <v>928</v>
      </c>
      <c r="K1686" s="296" t="s">
        <v>118</v>
      </c>
      <c r="L1686" s="296">
        <v>25</v>
      </c>
      <c r="M1686" s="296" t="s">
        <v>119</v>
      </c>
      <c r="N1686" s="296">
        <v>1425</v>
      </c>
      <c r="O1686" s="296">
        <v>1420</v>
      </c>
      <c r="P1686" s="296">
        <v>12400</v>
      </c>
      <c r="Q1686" s="296">
        <v>2</v>
      </c>
      <c r="R1686" s="296">
        <v>8</v>
      </c>
      <c r="S1686" s="296" t="s">
        <v>354</v>
      </c>
      <c r="T1686" s="296" t="s">
        <v>1513</v>
      </c>
      <c r="U1686" s="296" t="s">
        <v>1713</v>
      </c>
      <c r="V1686" s="296" t="s">
        <v>355</v>
      </c>
      <c r="W1686" s="296" t="s">
        <v>928</v>
      </c>
      <c r="X1686" s="296" t="s">
        <v>928</v>
      </c>
    </row>
    <row r="1687" spans="1:24" ht="13.5" x14ac:dyDescent="0.15">
      <c r="A1687" s="296">
        <v>3732643</v>
      </c>
      <c r="B1687" s="296" t="s">
        <v>351</v>
      </c>
      <c r="C1687" s="296" t="s">
        <v>352</v>
      </c>
      <c r="D1687" s="296" t="s">
        <v>353</v>
      </c>
      <c r="E1687" s="296" t="s">
        <v>371</v>
      </c>
      <c r="F1687" s="296">
        <v>330</v>
      </c>
      <c r="G1687" s="296" t="s">
        <v>19</v>
      </c>
      <c r="H1687" s="296" t="s">
        <v>20</v>
      </c>
      <c r="I1687" s="296" t="s">
        <v>21</v>
      </c>
      <c r="J1687" s="296" t="s">
        <v>928</v>
      </c>
      <c r="K1687" s="296" t="s">
        <v>118</v>
      </c>
      <c r="L1687" s="296">
        <v>25</v>
      </c>
      <c r="M1687" s="296" t="s">
        <v>119</v>
      </c>
      <c r="N1687" s="296">
        <v>1155</v>
      </c>
      <c r="O1687" s="296">
        <v>1150</v>
      </c>
      <c r="P1687" s="296">
        <v>4200</v>
      </c>
      <c r="Q1687" s="296">
        <v>2</v>
      </c>
      <c r="R1687" s="296">
        <v>3</v>
      </c>
      <c r="S1687" s="296" t="s">
        <v>354</v>
      </c>
      <c r="T1687" s="296" t="s">
        <v>1513</v>
      </c>
      <c r="U1687" s="296" t="s">
        <v>1721</v>
      </c>
      <c r="V1687" s="296" t="s">
        <v>355</v>
      </c>
      <c r="W1687" s="296" t="s">
        <v>928</v>
      </c>
      <c r="X1687" s="296" t="s">
        <v>928</v>
      </c>
    </row>
    <row r="1688" spans="1:24" ht="13.5" x14ac:dyDescent="0.15">
      <c r="A1688" s="296">
        <v>3732644</v>
      </c>
      <c r="B1688" s="296" t="s">
        <v>351</v>
      </c>
      <c r="C1688" s="296" t="s">
        <v>356</v>
      </c>
      <c r="D1688" s="296" t="s">
        <v>353</v>
      </c>
      <c r="E1688" s="296" t="s">
        <v>377</v>
      </c>
      <c r="F1688" s="296">
        <v>3</v>
      </c>
      <c r="G1688" s="296" t="s">
        <v>19</v>
      </c>
      <c r="H1688" s="296" t="s">
        <v>20</v>
      </c>
      <c r="I1688" s="296" t="s">
        <v>21</v>
      </c>
      <c r="J1688" s="296" t="s">
        <v>928</v>
      </c>
      <c r="K1688" s="296" t="s">
        <v>36</v>
      </c>
      <c r="L1688" s="296">
        <v>25</v>
      </c>
      <c r="M1688" s="296" t="s">
        <v>37</v>
      </c>
      <c r="N1688" s="296">
        <v>890</v>
      </c>
      <c r="O1688" s="296">
        <v>890</v>
      </c>
      <c r="P1688" s="296">
        <v>3800</v>
      </c>
      <c r="Q1688" s="296">
        <v>2</v>
      </c>
      <c r="R1688" s="296">
        <v>6</v>
      </c>
      <c r="S1688" s="296" t="s">
        <v>354</v>
      </c>
      <c r="T1688" s="296" t="s">
        <v>1513</v>
      </c>
      <c r="U1688" s="296" t="s">
        <v>1690</v>
      </c>
      <c r="V1688" s="296" t="s">
        <v>355</v>
      </c>
      <c r="W1688" s="296" t="s">
        <v>928</v>
      </c>
      <c r="X1688" s="296" t="s">
        <v>928</v>
      </c>
    </row>
    <row r="1689" spans="1:24" ht="13.5" x14ac:dyDescent="0.15">
      <c r="A1689" s="296">
        <v>3732647</v>
      </c>
      <c r="B1689" s="296" t="s">
        <v>351</v>
      </c>
      <c r="C1689" s="296" t="s">
        <v>352</v>
      </c>
      <c r="D1689" s="296" t="s">
        <v>353</v>
      </c>
      <c r="E1689" s="296" t="s">
        <v>162</v>
      </c>
      <c r="F1689" s="296">
        <v>3</v>
      </c>
      <c r="G1689" s="296" t="s">
        <v>19</v>
      </c>
      <c r="H1689" s="296" t="s">
        <v>20</v>
      </c>
      <c r="I1689" s="296" t="s">
        <v>143</v>
      </c>
      <c r="J1689" s="296" t="s">
        <v>928</v>
      </c>
      <c r="K1689" s="296" t="s">
        <v>163</v>
      </c>
      <c r="L1689" s="296">
        <v>38</v>
      </c>
      <c r="M1689" s="296" t="s">
        <v>164</v>
      </c>
      <c r="N1689" s="296">
        <v>1320</v>
      </c>
      <c r="O1689" s="296">
        <v>1320</v>
      </c>
      <c r="P1689" s="296">
        <v>4200</v>
      </c>
      <c r="Q1689" s="296">
        <v>2</v>
      </c>
      <c r="R1689" s="296">
        <v>4</v>
      </c>
      <c r="S1689" s="296" t="s">
        <v>354</v>
      </c>
      <c r="T1689" s="296" t="s">
        <v>1513</v>
      </c>
      <c r="U1689" s="296" t="s">
        <v>1728</v>
      </c>
      <c r="V1689" s="296" t="s">
        <v>355</v>
      </c>
      <c r="W1689" s="296" t="s">
        <v>928</v>
      </c>
      <c r="X1689" s="296" t="s">
        <v>928</v>
      </c>
    </row>
    <row r="1690" spans="1:24" ht="13.5" x14ac:dyDescent="0.15">
      <c r="A1690" s="296">
        <v>3733408</v>
      </c>
      <c r="B1690" s="296" t="s">
        <v>351</v>
      </c>
      <c r="C1690" s="296" t="s">
        <v>1796</v>
      </c>
      <c r="D1690" s="296" t="s">
        <v>353</v>
      </c>
      <c r="E1690" s="296" t="s">
        <v>255</v>
      </c>
      <c r="F1690" s="296">
        <v>3</v>
      </c>
      <c r="G1690" s="296" t="s">
        <v>19</v>
      </c>
      <c r="H1690" s="296" t="s">
        <v>20</v>
      </c>
      <c r="I1690" s="296" t="s">
        <v>256</v>
      </c>
      <c r="J1690" s="296" t="s">
        <v>928</v>
      </c>
      <c r="K1690" s="296" t="s">
        <v>257</v>
      </c>
      <c r="L1690" s="296">
        <v>100</v>
      </c>
      <c r="M1690" s="296" t="s">
        <v>258</v>
      </c>
      <c r="N1690" s="296">
        <v>1000</v>
      </c>
      <c r="O1690" s="296">
        <v>1000</v>
      </c>
      <c r="P1690" s="296">
        <v>1000</v>
      </c>
      <c r="Q1690" s="296">
        <v>2</v>
      </c>
      <c r="R1690" s="296">
        <v>4</v>
      </c>
      <c r="S1690" s="296" t="s">
        <v>354</v>
      </c>
      <c r="T1690" s="296" t="s">
        <v>1539</v>
      </c>
      <c r="U1690" s="296" t="s">
        <v>1802</v>
      </c>
      <c r="V1690" s="296" t="s">
        <v>355</v>
      </c>
      <c r="W1690" s="296" t="s">
        <v>928</v>
      </c>
      <c r="X1690" s="296" t="s">
        <v>928</v>
      </c>
    </row>
    <row r="1691" spans="1:24" ht="13.5" x14ac:dyDescent="0.15">
      <c r="A1691" s="296">
        <v>3733409</v>
      </c>
      <c r="B1691" s="296" t="s">
        <v>351</v>
      </c>
      <c r="C1691" s="296" t="s">
        <v>1796</v>
      </c>
      <c r="D1691" s="296" t="s">
        <v>353</v>
      </c>
      <c r="E1691" s="296" t="s">
        <v>255</v>
      </c>
      <c r="F1691" s="296">
        <v>3</v>
      </c>
      <c r="G1691" s="296" t="s">
        <v>19</v>
      </c>
      <c r="H1691" s="296" t="s">
        <v>20</v>
      </c>
      <c r="I1691" s="296" t="s">
        <v>256</v>
      </c>
      <c r="J1691" s="296" t="s">
        <v>928</v>
      </c>
      <c r="K1691" s="296" t="s">
        <v>257</v>
      </c>
      <c r="L1691" s="296">
        <v>125</v>
      </c>
      <c r="M1691" s="296" t="s">
        <v>258</v>
      </c>
      <c r="N1691" s="296">
        <v>1000</v>
      </c>
      <c r="O1691" s="296">
        <v>1000</v>
      </c>
      <c r="P1691" s="296">
        <v>1000</v>
      </c>
      <c r="Q1691" s="296">
        <v>2</v>
      </c>
      <c r="R1691" s="296">
        <v>8</v>
      </c>
      <c r="S1691" s="296" t="s">
        <v>354</v>
      </c>
      <c r="T1691" s="296" t="s">
        <v>1539</v>
      </c>
      <c r="U1691" s="296" t="s">
        <v>1802</v>
      </c>
      <c r="V1691" s="296" t="s">
        <v>355</v>
      </c>
      <c r="W1691" s="296" t="s">
        <v>928</v>
      </c>
      <c r="X1691" s="296" t="s">
        <v>928</v>
      </c>
    </row>
    <row r="1692" spans="1:24" ht="13.5" x14ac:dyDescent="0.15">
      <c r="A1692" s="296">
        <v>3733410</v>
      </c>
      <c r="B1692" s="296" t="s">
        <v>351</v>
      </c>
      <c r="C1692" s="296" t="s">
        <v>1796</v>
      </c>
      <c r="D1692" s="296" t="s">
        <v>353</v>
      </c>
      <c r="E1692" s="296" t="s">
        <v>255</v>
      </c>
      <c r="F1692" s="296">
        <v>3</v>
      </c>
      <c r="G1692" s="296" t="s">
        <v>19</v>
      </c>
      <c r="H1692" s="296" t="s">
        <v>20</v>
      </c>
      <c r="I1692" s="296" t="s">
        <v>256</v>
      </c>
      <c r="J1692" s="296" t="s">
        <v>928</v>
      </c>
      <c r="K1692" s="296" t="s">
        <v>257</v>
      </c>
      <c r="L1692" s="296">
        <v>188</v>
      </c>
      <c r="M1692" s="296" t="s">
        <v>258</v>
      </c>
      <c r="N1692" s="296">
        <v>1000</v>
      </c>
      <c r="O1692" s="296">
        <v>1000</v>
      </c>
      <c r="P1692" s="296">
        <v>1000</v>
      </c>
      <c r="Q1692" s="296">
        <v>2</v>
      </c>
      <c r="R1692" s="296">
        <v>7</v>
      </c>
      <c r="S1692" s="296" t="s">
        <v>354</v>
      </c>
      <c r="T1692" s="296" t="s">
        <v>1539</v>
      </c>
      <c r="U1692" s="296" t="s">
        <v>1802</v>
      </c>
      <c r="V1692" s="296" t="s">
        <v>355</v>
      </c>
      <c r="W1692" s="296" t="s">
        <v>928</v>
      </c>
      <c r="X1692" s="296" t="s">
        <v>928</v>
      </c>
    </row>
    <row r="1693" spans="1:24" ht="13.5" x14ac:dyDescent="0.15">
      <c r="A1693" s="296">
        <v>3733411</v>
      </c>
      <c r="B1693" s="296" t="s">
        <v>432</v>
      </c>
      <c r="C1693" s="296" t="s">
        <v>1803</v>
      </c>
      <c r="D1693" s="296" t="s">
        <v>353</v>
      </c>
      <c r="E1693" s="296" t="s">
        <v>304</v>
      </c>
      <c r="F1693" s="296">
        <v>3301</v>
      </c>
      <c r="G1693" s="296" t="s">
        <v>265</v>
      </c>
      <c r="H1693" s="296" t="s">
        <v>20</v>
      </c>
      <c r="I1693" s="296" t="s">
        <v>256</v>
      </c>
      <c r="J1693" s="296" t="s">
        <v>928</v>
      </c>
      <c r="K1693" s="296" t="s">
        <v>433</v>
      </c>
      <c r="L1693" s="296">
        <v>100</v>
      </c>
      <c r="M1693" s="296" t="s">
        <v>305</v>
      </c>
      <c r="N1693" s="296">
        <v>1050</v>
      </c>
      <c r="O1693" s="296">
        <v>1050</v>
      </c>
      <c r="P1693" s="296">
        <v>2000</v>
      </c>
      <c r="Q1693" s="296">
        <v>2</v>
      </c>
      <c r="R1693" s="296">
        <v>2</v>
      </c>
      <c r="S1693" s="296" t="s">
        <v>354</v>
      </c>
      <c r="T1693" s="296" t="s">
        <v>1539</v>
      </c>
      <c r="U1693" s="296" t="s">
        <v>1802</v>
      </c>
      <c r="V1693" s="296" t="s">
        <v>355</v>
      </c>
      <c r="W1693" s="296" t="s">
        <v>928</v>
      </c>
      <c r="X1693" s="296" t="s">
        <v>928</v>
      </c>
    </row>
    <row r="1694" spans="1:24" ht="13.5" x14ac:dyDescent="0.15">
      <c r="A1694" s="296">
        <v>3733412</v>
      </c>
      <c r="B1694" s="296" t="s">
        <v>351</v>
      </c>
      <c r="C1694" s="296" t="s">
        <v>1796</v>
      </c>
      <c r="D1694" s="296" t="s">
        <v>353</v>
      </c>
      <c r="E1694" s="296" t="s">
        <v>87</v>
      </c>
      <c r="F1694" s="296">
        <v>3</v>
      </c>
      <c r="G1694" s="296" t="s">
        <v>19</v>
      </c>
      <c r="H1694" s="296" t="s">
        <v>20</v>
      </c>
      <c r="I1694" s="296" t="s">
        <v>21</v>
      </c>
      <c r="J1694" s="296" t="s">
        <v>928</v>
      </c>
      <c r="K1694" s="296" t="s">
        <v>88</v>
      </c>
      <c r="L1694" s="296">
        <v>75</v>
      </c>
      <c r="M1694" s="296" t="s">
        <v>361</v>
      </c>
      <c r="N1694" s="296">
        <v>220</v>
      </c>
      <c r="O1694" s="296">
        <v>220</v>
      </c>
      <c r="P1694" s="296">
        <v>1200</v>
      </c>
      <c r="Q1694" s="296">
        <v>1</v>
      </c>
      <c r="R1694" s="296">
        <v>15</v>
      </c>
      <c r="S1694" s="296" t="s">
        <v>354</v>
      </c>
      <c r="T1694" s="296" t="s">
        <v>1539</v>
      </c>
      <c r="U1694" s="296" t="s">
        <v>1802</v>
      </c>
      <c r="V1694" s="296" t="s">
        <v>355</v>
      </c>
      <c r="W1694" s="296" t="s">
        <v>928</v>
      </c>
      <c r="X1694" s="296" t="s">
        <v>928</v>
      </c>
    </row>
    <row r="1695" spans="1:24" ht="13.5" x14ac:dyDescent="0.15">
      <c r="A1695" s="296">
        <v>3733413</v>
      </c>
      <c r="B1695" s="296" t="s">
        <v>351</v>
      </c>
      <c r="C1695" s="296" t="s">
        <v>1796</v>
      </c>
      <c r="D1695" s="296" t="s">
        <v>353</v>
      </c>
      <c r="E1695" s="296" t="s">
        <v>87</v>
      </c>
      <c r="F1695" s="296">
        <v>3</v>
      </c>
      <c r="G1695" s="296" t="s">
        <v>19</v>
      </c>
      <c r="H1695" s="296" t="s">
        <v>20</v>
      </c>
      <c r="I1695" s="296" t="s">
        <v>21</v>
      </c>
      <c r="J1695" s="296" t="s">
        <v>928</v>
      </c>
      <c r="K1695" s="296" t="s">
        <v>88</v>
      </c>
      <c r="L1695" s="296">
        <v>75</v>
      </c>
      <c r="M1695" s="296" t="s">
        <v>361</v>
      </c>
      <c r="N1695" s="296">
        <v>220</v>
      </c>
      <c r="O1695" s="296">
        <v>220</v>
      </c>
      <c r="P1695" s="296">
        <v>1200</v>
      </c>
      <c r="Q1695" s="296">
        <v>1</v>
      </c>
      <c r="R1695" s="296">
        <v>15</v>
      </c>
      <c r="S1695" s="296" t="s">
        <v>354</v>
      </c>
      <c r="T1695" s="296" t="s">
        <v>1539</v>
      </c>
      <c r="U1695" s="296" t="s">
        <v>1802</v>
      </c>
      <c r="V1695" s="296" t="s">
        <v>355</v>
      </c>
      <c r="W1695" s="296" t="s">
        <v>928</v>
      </c>
      <c r="X1695" s="296" t="s">
        <v>928</v>
      </c>
    </row>
    <row r="1696" spans="1:24" ht="13.5" x14ac:dyDescent="0.15">
      <c r="A1696" s="296">
        <v>3733414</v>
      </c>
      <c r="B1696" s="296" t="s">
        <v>351</v>
      </c>
      <c r="C1696" s="296" t="s">
        <v>1803</v>
      </c>
      <c r="D1696" s="296" t="s">
        <v>353</v>
      </c>
      <c r="E1696" s="296" t="s">
        <v>90</v>
      </c>
      <c r="F1696" s="296">
        <v>3</v>
      </c>
      <c r="G1696" s="296" t="s">
        <v>19</v>
      </c>
      <c r="H1696" s="296" t="s">
        <v>20</v>
      </c>
      <c r="I1696" s="296" t="s">
        <v>21</v>
      </c>
      <c r="J1696" s="296" t="s">
        <v>928</v>
      </c>
      <c r="K1696" s="296" t="s">
        <v>88</v>
      </c>
      <c r="L1696" s="296">
        <v>75</v>
      </c>
      <c r="M1696" s="296" t="s">
        <v>361</v>
      </c>
      <c r="N1696" s="296">
        <v>620</v>
      </c>
      <c r="O1696" s="296">
        <v>620</v>
      </c>
      <c r="P1696" s="296">
        <v>400</v>
      </c>
      <c r="Q1696" s="296">
        <v>2</v>
      </c>
      <c r="R1696" s="296">
        <v>20</v>
      </c>
      <c r="S1696" s="296" t="s">
        <v>354</v>
      </c>
      <c r="T1696" s="296" t="s">
        <v>1539</v>
      </c>
      <c r="U1696" s="296" t="s">
        <v>1802</v>
      </c>
      <c r="V1696" s="296" t="s">
        <v>355</v>
      </c>
      <c r="W1696" s="296" t="s">
        <v>928</v>
      </c>
      <c r="X1696" s="296" t="s">
        <v>928</v>
      </c>
    </row>
    <row r="1697" spans="1:24" ht="13.5" x14ac:dyDescent="0.15">
      <c r="A1697" s="296">
        <v>3733415</v>
      </c>
      <c r="B1697" s="296" t="s">
        <v>351</v>
      </c>
      <c r="C1697" s="296" t="s">
        <v>1803</v>
      </c>
      <c r="D1697" s="296" t="s">
        <v>353</v>
      </c>
      <c r="E1697" s="296" t="s">
        <v>373</v>
      </c>
      <c r="F1697" s="296">
        <v>3</v>
      </c>
      <c r="G1697" s="296" t="s">
        <v>19</v>
      </c>
      <c r="H1697" s="296" t="s">
        <v>20</v>
      </c>
      <c r="I1697" s="296" t="s">
        <v>21</v>
      </c>
      <c r="J1697" s="296" t="s">
        <v>928</v>
      </c>
      <c r="K1697" s="296" t="s">
        <v>80</v>
      </c>
      <c r="L1697" s="296">
        <v>31</v>
      </c>
      <c r="M1697" s="296" t="s">
        <v>374</v>
      </c>
      <c r="N1697" s="296">
        <v>440</v>
      </c>
      <c r="O1697" s="296">
        <v>440</v>
      </c>
      <c r="P1697" s="296">
        <v>6500</v>
      </c>
      <c r="Q1697" s="296">
        <v>1</v>
      </c>
      <c r="R1697" s="296">
        <v>24</v>
      </c>
      <c r="S1697" s="296" t="s">
        <v>354</v>
      </c>
      <c r="T1697" s="296" t="s">
        <v>1539</v>
      </c>
      <c r="U1697" s="296" t="s">
        <v>1802</v>
      </c>
      <c r="V1697" s="296" t="s">
        <v>355</v>
      </c>
      <c r="W1697" s="296" t="s">
        <v>928</v>
      </c>
      <c r="X1697" s="296" t="s">
        <v>928</v>
      </c>
    </row>
    <row r="1698" spans="1:24" ht="13.5" x14ac:dyDescent="0.15">
      <c r="A1698" s="296">
        <v>3733416</v>
      </c>
      <c r="B1698" s="296" t="s">
        <v>351</v>
      </c>
      <c r="C1698" s="296" t="s">
        <v>1803</v>
      </c>
      <c r="D1698" s="296" t="s">
        <v>353</v>
      </c>
      <c r="E1698" s="296" t="s">
        <v>95</v>
      </c>
      <c r="F1698" s="296">
        <v>3</v>
      </c>
      <c r="G1698" s="296" t="s">
        <v>19</v>
      </c>
      <c r="H1698" s="296" t="s">
        <v>20</v>
      </c>
      <c r="I1698" s="296" t="s">
        <v>21</v>
      </c>
      <c r="J1698" s="296" t="s">
        <v>928</v>
      </c>
      <c r="K1698" s="296" t="s">
        <v>88</v>
      </c>
      <c r="L1698" s="296">
        <v>188</v>
      </c>
      <c r="M1698" s="296" t="s">
        <v>361</v>
      </c>
      <c r="N1698" s="296">
        <v>1230</v>
      </c>
      <c r="O1698" s="296">
        <v>1220</v>
      </c>
      <c r="P1698" s="296">
        <v>800</v>
      </c>
      <c r="Q1698" s="296">
        <v>2</v>
      </c>
      <c r="R1698" s="296">
        <v>2</v>
      </c>
      <c r="S1698" s="296" t="s">
        <v>354</v>
      </c>
      <c r="T1698" s="296" t="s">
        <v>1539</v>
      </c>
      <c r="U1698" s="296" t="s">
        <v>1802</v>
      </c>
      <c r="V1698" s="296" t="s">
        <v>355</v>
      </c>
      <c r="W1698" s="296" t="s">
        <v>928</v>
      </c>
      <c r="X1698" s="296" t="s">
        <v>928</v>
      </c>
    </row>
    <row r="1699" spans="1:24" ht="13.5" x14ac:dyDescent="0.15">
      <c r="A1699" s="296">
        <v>3733417</v>
      </c>
      <c r="B1699" s="296" t="s">
        <v>351</v>
      </c>
      <c r="C1699" s="296" t="s">
        <v>1803</v>
      </c>
      <c r="D1699" s="296" t="s">
        <v>353</v>
      </c>
      <c r="E1699" s="296" t="s">
        <v>362</v>
      </c>
      <c r="F1699" s="296">
        <v>3</v>
      </c>
      <c r="G1699" s="296" t="s">
        <v>19</v>
      </c>
      <c r="H1699" s="296" t="s">
        <v>20</v>
      </c>
      <c r="I1699" s="296" t="s">
        <v>21</v>
      </c>
      <c r="J1699" s="296" t="s">
        <v>928</v>
      </c>
      <c r="K1699" s="296" t="s">
        <v>88</v>
      </c>
      <c r="L1699" s="296">
        <v>100</v>
      </c>
      <c r="M1699" s="296" t="s">
        <v>361</v>
      </c>
      <c r="N1699" s="296">
        <v>330</v>
      </c>
      <c r="O1699" s="296">
        <v>330</v>
      </c>
      <c r="P1699" s="296">
        <v>550</v>
      </c>
      <c r="Q1699" s="296">
        <v>1</v>
      </c>
      <c r="R1699" s="296">
        <v>60</v>
      </c>
      <c r="S1699" s="296" t="s">
        <v>354</v>
      </c>
      <c r="T1699" s="296" t="s">
        <v>1539</v>
      </c>
      <c r="U1699" s="296" t="s">
        <v>1802</v>
      </c>
      <c r="V1699" s="296" t="s">
        <v>355</v>
      </c>
      <c r="W1699" s="296" t="s">
        <v>928</v>
      </c>
      <c r="X1699" s="296" t="s">
        <v>928</v>
      </c>
    </row>
    <row r="1700" spans="1:24" ht="13.5" x14ac:dyDescent="0.15">
      <c r="A1700" s="296">
        <v>3733418</v>
      </c>
      <c r="B1700" s="296" t="s">
        <v>351</v>
      </c>
      <c r="C1700" s="296" t="s">
        <v>1803</v>
      </c>
      <c r="D1700" s="296" t="s">
        <v>353</v>
      </c>
      <c r="E1700" s="296" t="s">
        <v>362</v>
      </c>
      <c r="F1700" s="296">
        <v>3</v>
      </c>
      <c r="G1700" s="296" t="s">
        <v>19</v>
      </c>
      <c r="H1700" s="296" t="s">
        <v>20</v>
      </c>
      <c r="I1700" s="296" t="s">
        <v>21</v>
      </c>
      <c r="J1700" s="296" t="s">
        <v>928</v>
      </c>
      <c r="K1700" s="296" t="s">
        <v>88</v>
      </c>
      <c r="L1700" s="296">
        <v>188</v>
      </c>
      <c r="M1700" s="296" t="s">
        <v>361</v>
      </c>
      <c r="N1700" s="296">
        <v>1130</v>
      </c>
      <c r="O1700" s="296">
        <v>1130</v>
      </c>
      <c r="P1700" s="296">
        <v>1620</v>
      </c>
      <c r="Q1700" s="296">
        <v>2</v>
      </c>
      <c r="R1700" s="296">
        <v>9</v>
      </c>
      <c r="S1700" s="296" t="s">
        <v>354</v>
      </c>
      <c r="T1700" s="296" t="s">
        <v>1539</v>
      </c>
      <c r="U1700" s="296" t="s">
        <v>1802</v>
      </c>
      <c r="V1700" s="296" t="s">
        <v>355</v>
      </c>
      <c r="W1700" s="296" t="s">
        <v>928</v>
      </c>
      <c r="X1700" s="296" t="s">
        <v>928</v>
      </c>
    </row>
    <row r="1701" spans="1:24" ht="13.5" x14ac:dyDescent="0.15">
      <c r="A1701" s="296">
        <v>3733419</v>
      </c>
      <c r="B1701" s="296" t="s">
        <v>351</v>
      </c>
      <c r="C1701" s="296" t="s">
        <v>1801</v>
      </c>
      <c r="D1701" s="296" t="s">
        <v>353</v>
      </c>
      <c r="E1701" s="296" t="s">
        <v>93</v>
      </c>
      <c r="F1701" s="296">
        <v>331</v>
      </c>
      <c r="G1701" s="296" t="s">
        <v>19</v>
      </c>
      <c r="H1701" s="296" t="s">
        <v>20</v>
      </c>
      <c r="I1701" s="296" t="s">
        <v>21</v>
      </c>
      <c r="J1701" s="296" t="s">
        <v>928</v>
      </c>
      <c r="K1701" s="296" t="s">
        <v>88</v>
      </c>
      <c r="L1701" s="296">
        <v>100</v>
      </c>
      <c r="M1701" s="296" t="s">
        <v>361</v>
      </c>
      <c r="N1701" s="296">
        <v>450</v>
      </c>
      <c r="O1701" s="296">
        <v>450</v>
      </c>
      <c r="P1701" s="296">
        <v>800</v>
      </c>
      <c r="Q1701" s="296">
        <v>2</v>
      </c>
      <c r="R1701" s="296">
        <v>48</v>
      </c>
      <c r="S1701" s="296" t="s">
        <v>354</v>
      </c>
      <c r="T1701" s="296" t="s">
        <v>1539</v>
      </c>
      <c r="U1701" s="296" t="s">
        <v>1802</v>
      </c>
      <c r="V1701" s="296" t="s">
        <v>355</v>
      </c>
      <c r="W1701" s="296" t="s">
        <v>928</v>
      </c>
      <c r="X1701" s="296" t="s">
        <v>928</v>
      </c>
    </row>
    <row r="1702" spans="1:24" ht="13.5" x14ac:dyDescent="0.15">
      <c r="A1702" s="296">
        <v>3734850</v>
      </c>
      <c r="B1702" s="296" t="s">
        <v>427</v>
      </c>
      <c r="C1702" s="296" t="s">
        <v>1803</v>
      </c>
      <c r="D1702" s="296" t="s">
        <v>353</v>
      </c>
      <c r="E1702" s="296" t="s">
        <v>61</v>
      </c>
      <c r="F1702" s="296">
        <v>3</v>
      </c>
      <c r="G1702" s="296" t="s">
        <v>269</v>
      </c>
      <c r="H1702" s="296" t="s">
        <v>20</v>
      </c>
      <c r="I1702" s="296" t="s">
        <v>21</v>
      </c>
      <c r="J1702" s="296" t="s">
        <v>928</v>
      </c>
      <c r="K1702" s="296" t="s">
        <v>292</v>
      </c>
      <c r="L1702" s="296">
        <v>38</v>
      </c>
      <c r="M1702" s="296" t="s">
        <v>293</v>
      </c>
      <c r="N1702" s="296">
        <v>750</v>
      </c>
      <c r="O1702" s="296">
        <v>750</v>
      </c>
      <c r="P1702" s="296">
        <v>6000</v>
      </c>
      <c r="Q1702" s="296">
        <v>2</v>
      </c>
      <c r="R1702" s="296">
        <v>8</v>
      </c>
      <c r="S1702" s="296" t="s">
        <v>354</v>
      </c>
      <c r="T1702" s="296" t="s">
        <v>1808</v>
      </c>
      <c r="U1702" s="296" t="s">
        <v>1808</v>
      </c>
      <c r="V1702" s="296" t="s">
        <v>428</v>
      </c>
      <c r="W1702" s="296" t="s">
        <v>928</v>
      </c>
      <c r="X1702" s="296" t="s">
        <v>928</v>
      </c>
    </row>
    <row r="1703" spans="1:24" ht="13.5" x14ac:dyDescent="0.15">
      <c r="A1703" s="296">
        <v>3734851</v>
      </c>
      <c r="B1703" s="296" t="s">
        <v>427</v>
      </c>
      <c r="C1703" s="296" t="s">
        <v>1803</v>
      </c>
      <c r="D1703" s="296" t="s">
        <v>353</v>
      </c>
      <c r="E1703" s="296" t="s">
        <v>61</v>
      </c>
      <c r="F1703" s="296">
        <v>3</v>
      </c>
      <c r="G1703" s="296" t="s">
        <v>269</v>
      </c>
      <c r="H1703" s="296" t="s">
        <v>20</v>
      </c>
      <c r="I1703" s="296" t="s">
        <v>21</v>
      </c>
      <c r="J1703" s="296" t="s">
        <v>928</v>
      </c>
      <c r="K1703" s="296" t="s">
        <v>292</v>
      </c>
      <c r="L1703" s="296">
        <v>38</v>
      </c>
      <c r="M1703" s="296" t="s">
        <v>293</v>
      </c>
      <c r="N1703" s="296">
        <v>750</v>
      </c>
      <c r="O1703" s="296">
        <v>750</v>
      </c>
      <c r="P1703" s="296">
        <v>6000</v>
      </c>
      <c r="Q1703" s="296">
        <v>2</v>
      </c>
      <c r="R1703" s="296">
        <v>2</v>
      </c>
      <c r="S1703" s="296" t="s">
        <v>354</v>
      </c>
      <c r="T1703" s="296" t="s">
        <v>1808</v>
      </c>
      <c r="U1703" s="296" t="s">
        <v>1808</v>
      </c>
      <c r="V1703" s="296" t="s">
        <v>428</v>
      </c>
      <c r="W1703" s="296" t="s">
        <v>928</v>
      </c>
      <c r="X1703" s="296" t="s">
        <v>928</v>
      </c>
    </row>
    <row r="1704" spans="1:24" ht="13.5" x14ac:dyDescent="0.15">
      <c r="A1704" s="296">
        <v>3734852</v>
      </c>
      <c r="B1704" s="296" t="s">
        <v>427</v>
      </c>
      <c r="C1704" s="296" t="s">
        <v>1803</v>
      </c>
      <c r="D1704" s="296" t="s">
        <v>353</v>
      </c>
      <c r="E1704" s="296" t="s">
        <v>61</v>
      </c>
      <c r="F1704" s="296">
        <v>3</v>
      </c>
      <c r="G1704" s="296" t="s">
        <v>269</v>
      </c>
      <c r="H1704" s="296" t="s">
        <v>20</v>
      </c>
      <c r="I1704" s="296" t="s">
        <v>21</v>
      </c>
      <c r="J1704" s="296" t="s">
        <v>928</v>
      </c>
      <c r="K1704" s="296" t="s">
        <v>292</v>
      </c>
      <c r="L1704" s="296">
        <v>38</v>
      </c>
      <c r="M1704" s="296" t="s">
        <v>293</v>
      </c>
      <c r="N1704" s="296">
        <v>1250</v>
      </c>
      <c r="O1704" s="296">
        <v>1250</v>
      </c>
      <c r="P1704" s="296">
        <v>6000</v>
      </c>
      <c r="Q1704" s="296">
        <v>2</v>
      </c>
      <c r="R1704" s="296">
        <v>15</v>
      </c>
      <c r="S1704" s="296" t="s">
        <v>354</v>
      </c>
      <c r="T1704" s="296" t="s">
        <v>1808</v>
      </c>
      <c r="U1704" s="296" t="s">
        <v>1808</v>
      </c>
      <c r="V1704" s="296" t="s">
        <v>428</v>
      </c>
      <c r="W1704" s="296" t="s">
        <v>928</v>
      </c>
      <c r="X1704" s="296" t="s">
        <v>928</v>
      </c>
    </row>
    <row r="1705" spans="1:24" ht="13.5" x14ac:dyDescent="0.15">
      <c r="A1705" s="296">
        <v>3735069</v>
      </c>
      <c r="B1705" s="296" t="s">
        <v>351</v>
      </c>
      <c r="C1705" s="296" t="s">
        <v>1796</v>
      </c>
      <c r="D1705" s="296" t="s">
        <v>353</v>
      </c>
      <c r="E1705" s="296" t="s">
        <v>32</v>
      </c>
      <c r="F1705" s="296">
        <v>331</v>
      </c>
      <c r="G1705" s="296" t="s">
        <v>19</v>
      </c>
      <c r="H1705" s="296" t="s">
        <v>20</v>
      </c>
      <c r="I1705" s="296" t="s">
        <v>21</v>
      </c>
      <c r="J1705" s="296" t="s">
        <v>928</v>
      </c>
      <c r="K1705" s="296" t="s">
        <v>54</v>
      </c>
      <c r="L1705" s="296">
        <v>38</v>
      </c>
      <c r="M1705" s="296" t="s">
        <v>53</v>
      </c>
      <c r="N1705" s="296">
        <v>1580</v>
      </c>
      <c r="O1705" s="296">
        <v>1580</v>
      </c>
      <c r="P1705" s="296">
        <v>6000</v>
      </c>
      <c r="Q1705" s="296">
        <v>2</v>
      </c>
      <c r="R1705" s="296">
        <v>8</v>
      </c>
      <c r="S1705" s="296" t="s">
        <v>354</v>
      </c>
      <c r="T1705" s="296" t="s">
        <v>1809</v>
      </c>
      <c r="U1705" s="296" t="s">
        <v>1810</v>
      </c>
      <c r="V1705" s="296" t="s">
        <v>355</v>
      </c>
      <c r="W1705" s="296" t="s">
        <v>928</v>
      </c>
      <c r="X1705" s="296" t="s">
        <v>928</v>
      </c>
    </row>
    <row r="1706" spans="1:24" ht="13.5" x14ac:dyDescent="0.15">
      <c r="A1706" s="296">
        <v>3735070</v>
      </c>
      <c r="B1706" s="296" t="s">
        <v>351</v>
      </c>
      <c r="C1706" s="296" t="s">
        <v>1796</v>
      </c>
      <c r="D1706" s="296" t="s">
        <v>353</v>
      </c>
      <c r="E1706" s="296" t="s">
        <v>17</v>
      </c>
      <c r="F1706" s="296">
        <v>331</v>
      </c>
      <c r="G1706" s="296" t="s">
        <v>19</v>
      </c>
      <c r="H1706" s="296" t="s">
        <v>20</v>
      </c>
      <c r="I1706" s="296" t="s">
        <v>21</v>
      </c>
      <c r="J1706" s="296" t="s">
        <v>928</v>
      </c>
      <c r="K1706" s="296" t="s">
        <v>52</v>
      </c>
      <c r="L1706" s="296">
        <v>38</v>
      </c>
      <c r="M1706" s="296" t="s">
        <v>53</v>
      </c>
      <c r="N1706" s="296">
        <v>1330</v>
      </c>
      <c r="O1706" s="296">
        <v>1330</v>
      </c>
      <c r="P1706" s="296">
        <v>6000</v>
      </c>
      <c r="Q1706" s="296">
        <v>2</v>
      </c>
      <c r="R1706" s="296">
        <v>10</v>
      </c>
      <c r="S1706" s="296" t="s">
        <v>354</v>
      </c>
      <c r="T1706" s="296" t="s">
        <v>1809</v>
      </c>
      <c r="U1706" s="296" t="s">
        <v>1810</v>
      </c>
      <c r="V1706" s="296" t="s">
        <v>355</v>
      </c>
      <c r="W1706" s="296" t="s">
        <v>928</v>
      </c>
      <c r="X1706" s="296" t="s">
        <v>928</v>
      </c>
    </row>
    <row r="1707" spans="1:24" ht="13.5" x14ac:dyDescent="0.15">
      <c r="A1707" s="296">
        <v>3735071</v>
      </c>
      <c r="B1707" s="296" t="s">
        <v>351</v>
      </c>
      <c r="C1707" s="296" t="s">
        <v>1796</v>
      </c>
      <c r="D1707" s="296" t="s">
        <v>353</v>
      </c>
      <c r="E1707" s="296" t="s">
        <v>32</v>
      </c>
      <c r="F1707" s="296">
        <v>3</v>
      </c>
      <c r="G1707" s="296" t="s">
        <v>19</v>
      </c>
      <c r="H1707" s="296" t="s">
        <v>20</v>
      </c>
      <c r="I1707" s="296" t="s">
        <v>21</v>
      </c>
      <c r="J1707" s="296" t="s">
        <v>928</v>
      </c>
      <c r="K1707" s="296" t="s">
        <v>56</v>
      </c>
      <c r="L1707" s="296">
        <v>75</v>
      </c>
      <c r="M1707" s="296" t="s">
        <v>376</v>
      </c>
      <c r="N1707" s="296">
        <v>1330</v>
      </c>
      <c r="O1707" s="296">
        <v>1330</v>
      </c>
      <c r="P1707" s="296">
        <v>4100</v>
      </c>
      <c r="Q1707" s="296">
        <v>2</v>
      </c>
      <c r="R1707" s="296">
        <v>13</v>
      </c>
      <c r="S1707" s="296" t="s">
        <v>354</v>
      </c>
      <c r="T1707" s="296" t="s">
        <v>1809</v>
      </c>
      <c r="U1707" s="296" t="s">
        <v>1810</v>
      </c>
      <c r="V1707" s="296" t="s">
        <v>355</v>
      </c>
      <c r="W1707" s="296" t="s">
        <v>928</v>
      </c>
      <c r="X1707" s="296" t="s">
        <v>928</v>
      </c>
    </row>
    <row r="1708" spans="1:24" ht="13.5" x14ac:dyDescent="0.15">
      <c r="A1708" s="296">
        <v>3735072</v>
      </c>
      <c r="B1708" s="296" t="s">
        <v>351</v>
      </c>
      <c r="C1708" s="296" t="s">
        <v>1796</v>
      </c>
      <c r="D1708" s="296" t="s">
        <v>353</v>
      </c>
      <c r="E1708" s="296" t="s">
        <v>32</v>
      </c>
      <c r="F1708" s="296">
        <v>3</v>
      </c>
      <c r="G1708" s="296" t="s">
        <v>19</v>
      </c>
      <c r="H1708" s="296" t="s">
        <v>20</v>
      </c>
      <c r="I1708" s="296" t="s">
        <v>21</v>
      </c>
      <c r="J1708" s="296" t="s">
        <v>928</v>
      </c>
      <c r="K1708" s="296" t="s">
        <v>56</v>
      </c>
      <c r="L1708" s="296">
        <v>75</v>
      </c>
      <c r="M1708" s="296" t="s">
        <v>376</v>
      </c>
      <c r="N1708" s="296">
        <v>1330</v>
      </c>
      <c r="O1708" s="296">
        <v>1330</v>
      </c>
      <c r="P1708" s="296">
        <v>4100</v>
      </c>
      <c r="Q1708" s="296">
        <v>2</v>
      </c>
      <c r="R1708" s="296">
        <v>13</v>
      </c>
      <c r="S1708" s="296" t="s">
        <v>354</v>
      </c>
      <c r="T1708" s="296" t="s">
        <v>1809</v>
      </c>
      <c r="U1708" s="296" t="s">
        <v>1810</v>
      </c>
      <c r="V1708" s="296" t="s">
        <v>355</v>
      </c>
      <c r="W1708" s="296" t="s">
        <v>928</v>
      </c>
      <c r="X1708" s="296" t="s">
        <v>928</v>
      </c>
    </row>
    <row r="1709" spans="1:24" ht="13.5" x14ac:dyDescent="0.15">
      <c r="A1709" s="296">
        <v>3735073</v>
      </c>
      <c r="B1709" s="296" t="s">
        <v>431</v>
      </c>
      <c r="C1709" s="296" t="s">
        <v>1803</v>
      </c>
      <c r="D1709" s="296" t="s">
        <v>353</v>
      </c>
      <c r="E1709" s="296" t="s">
        <v>1682</v>
      </c>
      <c r="F1709" s="296">
        <v>3</v>
      </c>
      <c r="G1709" s="296" t="s">
        <v>265</v>
      </c>
      <c r="H1709" s="296" t="s">
        <v>20</v>
      </c>
      <c r="I1709" s="296" t="s">
        <v>21</v>
      </c>
      <c r="J1709" s="296" t="s">
        <v>928</v>
      </c>
      <c r="K1709" s="296" t="s">
        <v>632</v>
      </c>
      <c r="L1709" s="296">
        <v>25</v>
      </c>
      <c r="M1709" s="296" t="s">
        <v>633</v>
      </c>
      <c r="N1709" s="296">
        <v>1100</v>
      </c>
      <c r="O1709" s="296">
        <v>1100</v>
      </c>
      <c r="P1709" s="296">
        <v>4070</v>
      </c>
      <c r="Q1709" s="296">
        <v>2</v>
      </c>
      <c r="R1709" s="296">
        <v>15</v>
      </c>
      <c r="S1709" s="296" t="s">
        <v>354</v>
      </c>
      <c r="T1709" s="296" t="s">
        <v>1809</v>
      </c>
      <c r="U1709" s="296" t="s">
        <v>1810</v>
      </c>
      <c r="V1709" s="296" t="s">
        <v>355</v>
      </c>
      <c r="W1709" s="296" t="s">
        <v>928</v>
      </c>
      <c r="X1709" s="296" t="s">
        <v>928</v>
      </c>
    </row>
    <row r="1710" spans="1:24" ht="13.5" x14ac:dyDescent="0.15">
      <c r="A1710" s="296">
        <v>3735074</v>
      </c>
      <c r="B1710" s="296" t="s">
        <v>351</v>
      </c>
      <c r="C1710" s="296" t="s">
        <v>1801</v>
      </c>
      <c r="D1710" s="296" t="s">
        <v>353</v>
      </c>
      <c r="E1710" s="296" t="s">
        <v>371</v>
      </c>
      <c r="F1710" s="296">
        <v>3</v>
      </c>
      <c r="G1710" s="296" t="s">
        <v>19</v>
      </c>
      <c r="H1710" s="296" t="s">
        <v>28</v>
      </c>
      <c r="I1710" s="296" t="s">
        <v>21</v>
      </c>
      <c r="J1710" s="296" t="s">
        <v>928</v>
      </c>
      <c r="K1710" s="296" t="s">
        <v>60</v>
      </c>
      <c r="L1710" s="296">
        <v>75</v>
      </c>
      <c r="M1710" s="296" t="s">
        <v>372</v>
      </c>
      <c r="N1710" s="296">
        <v>1040</v>
      </c>
      <c r="O1710" s="296">
        <v>1040</v>
      </c>
      <c r="P1710" s="296">
        <v>4000</v>
      </c>
      <c r="Q1710" s="296">
        <v>1</v>
      </c>
      <c r="R1710" s="296">
        <v>3</v>
      </c>
      <c r="S1710" s="296" t="s">
        <v>354</v>
      </c>
      <c r="T1710" s="296" t="s">
        <v>1809</v>
      </c>
      <c r="U1710" s="296" t="s">
        <v>1811</v>
      </c>
      <c r="V1710" s="296" t="s">
        <v>355</v>
      </c>
      <c r="W1710" s="296" t="s">
        <v>928</v>
      </c>
      <c r="X1710" s="296" t="s">
        <v>928</v>
      </c>
    </row>
    <row r="1711" spans="1:24" ht="13.5" x14ac:dyDescent="0.15">
      <c r="A1711" s="296">
        <v>3735075</v>
      </c>
      <c r="B1711" s="296" t="s">
        <v>351</v>
      </c>
      <c r="C1711" s="296" t="s">
        <v>1801</v>
      </c>
      <c r="D1711" s="296" t="s">
        <v>353</v>
      </c>
      <c r="E1711" s="296" t="s">
        <v>116</v>
      </c>
      <c r="F1711" s="296">
        <v>3</v>
      </c>
      <c r="G1711" s="296" t="s">
        <v>19</v>
      </c>
      <c r="H1711" s="296" t="s">
        <v>20</v>
      </c>
      <c r="I1711" s="296" t="s">
        <v>21</v>
      </c>
      <c r="J1711" s="296" t="s">
        <v>928</v>
      </c>
      <c r="K1711" s="296" t="s">
        <v>118</v>
      </c>
      <c r="L1711" s="296">
        <v>38</v>
      </c>
      <c r="M1711" s="296" t="s">
        <v>368</v>
      </c>
      <c r="N1711" s="296">
        <v>1415</v>
      </c>
      <c r="O1711" s="296">
        <v>1410</v>
      </c>
      <c r="P1711" s="296">
        <v>8000</v>
      </c>
      <c r="Q1711" s="296">
        <v>2</v>
      </c>
      <c r="R1711" s="296">
        <v>3</v>
      </c>
      <c r="S1711" s="296" t="s">
        <v>354</v>
      </c>
      <c r="T1711" s="296" t="s">
        <v>1809</v>
      </c>
      <c r="U1711" s="296" t="s">
        <v>1811</v>
      </c>
      <c r="V1711" s="296" t="s">
        <v>355</v>
      </c>
      <c r="W1711" s="296" t="s">
        <v>928</v>
      </c>
      <c r="X1711" s="296" t="s">
        <v>928</v>
      </c>
    </row>
    <row r="1712" spans="1:24" ht="13.5" x14ac:dyDescent="0.15">
      <c r="A1712" s="296">
        <v>3735076</v>
      </c>
      <c r="B1712" s="296" t="s">
        <v>351</v>
      </c>
      <c r="C1712" s="296" t="s">
        <v>1796</v>
      </c>
      <c r="D1712" s="296" t="s">
        <v>353</v>
      </c>
      <c r="E1712" s="296" t="s">
        <v>17</v>
      </c>
      <c r="F1712" s="296">
        <v>3</v>
      </c>
      <c r="G1712" s="296" t="s">
        <v>19</v>
      </c>
      <c r="H1712" s="296" t="s">
        <v>20</v>
      </c>
      <c r="I1712" s="296" t="s">
        <v>21</v>
      </c>
      <c r="J1712" s="296" t="s">
        <v>928</v>
      </c>
      <c r="K1712" s="296" t="s">
        <v>104</v>
      </c>
      <c r="L1712" s="296">
        <v>25</v>
      </c>
      <c r="M1712" s="296" t="s">
        <v>375</v>
      </c>
      <c r="N1712" s="296">
        <v>1325</v>
      </c>
      <c r="O1712" s="296">
        <v>1320</v>
      </c>
      <c r="P1712" s="296">
        <v>6000</v>
      </c>
      <c r="Q1712" s="296">
        <v>2</v>
      </c>
      <c r="R1712" s="296">
        <v>2</v>
      </c>
      <c r="S1712" s="296" t="s">
        <v>354</v>
      </c>
      <c r="T1712" s="296" t="s">
        <v>1809</v>
      </c>
      <c r="U1712" s="296" t="s">
        <v>1810</v>
      </c>
      <c r="V1712" s="296" t="s">
        <v>355</v>
      </c>
      <c r="W1712" s="296" t="s">
        <v>928</v>
      </c>
      <c r="X1712" s="296" t="s">
        <v>928</v>
      </c>
    </row>
    <row r="1713" spans="1:24" ht="13.5" x14ac:dyDescent="0.15">
      <c r="A1713" s="296">
        <v>3735077</v>
      </c>
      <c r="B1713" s="296" t="s">
        <v>351</v>
      </c>
      <c r="C1713" s="296" t="s">
        <v>1796</v>
      </c>
      <c r="D1713" s="296" t="s">
        <v>353</v>
      </c>
      <c r="E1713" s="296" t="s">
        <v>106</v>
      </c>
      <c r="F1713" s="296">
        <v>3</v>
      </c>
      <c r="G1713" s="296" t="s">
        <v>19</v>
      </c>
      <c r="H1713" s="296" t="s">
        <v>20</v>
      </c>
      <c r="I1713" s="296" t="s">
        <v>21</v>
      </c>
      <c r="J1713" s="296" t="s">
        <v>928</v>
      </c>
      <c r="K1713" s="296" t="s">
        <v>107</v>
      </c>
      <c r="L1713" s="296">
        <v>25</v>
      </c>
      <c r="M1713" s="296" t="s">
        <v>367</v>
      </c>
      <c r="N1713" s="296">
        <v>1240</v>
      </c>
      <c r="O1713" s="296">
        <v>1240</v>
      </c>
      <c r="P1713" s="296">
        <v>6000</v>
      </c>
      <c r="Q1713" s="296">
        <v>2</v>
      </c>
      <c r="R1713" s="296">
        <v>10</v>
      </c>
      <c r="S1713" s="296" t="s">
        <v>354</v>
      </c>
      <c r="T1713" s="296" t="s">
        <v>1809</v>
      </c>
      <c r="U1713" s="296" t="s">
        <v>1810</v>
      </c>
      <c r="V1713" s="296" t="s">
        <v>355</v>
      </c>
      <c r="W1713" s="296" t="s">
        <v>928</v>
      </c>
      <c r="X1713" s="296" t="s">
        <v>928</v>
      </c>
    </row>
    <row r="1714" spans="1:24" ht="13.5" x14ac:dyDescent="0.15">
      <c r="A1714" s="296">
        <v>3735078</v>
      </c>
      <c r="B1714" s="296" t="s">
        <v>351</v>
      </c>
      <c r="C1714" s="296" t="s">
        <v>1796</v>
      </c>
      <c r="D1714" s="296" t="s">
        <v>353</v>
      </c>
      <c r="E1714" s="296" t="s">
        <v>106</v>
      </c>
      <c r="F1714" s="296">
        <v>3</v>
      </c>
      <c r="G1714" s="296" t="s">
        <v>19</v>
      </c>
      <c r="H1714" s="296" t="s">
        <v>20</v>
      </c>
      <c r="I1714" s="296" t="s">
        <v>21</v>
      </c>
      <c r="J1714" s="296" t="s">
        <v>928</v>
      </c>
      <c r="K1714" s="296" t="s">
        <v>107</v>
      </c>
      <c r="L1714" s="296">
        <v>38</v>
      </c>
      <c r="M1714" s="296" t="s">
        <v>367</v>
      </c>
      <c r="N1714" s="296">
        <v>1240</v>
      </c>
      <c r="O1714" s="296">
        <v>1240</v>
      </c>
      <c r="P1714" s="296">
        <v>6000</v>
      </c>
      <c r="Q1714" s="296">
        <v>2</v>
      </c>
      <c r="R1714" s="296">
        <v>10</v>
      </c>
      <c r="S1714" s="296" t="s">
        <v>354</v>
      </c>
      <c r="T1714" s="296" t="s">
        <v>1809</v>
      </c>
      <c r="U1714" s="296" t="s">
        <v>1810</v>
      </c>
      <c r="V1714" s="296" t="s">
        <v>355</v>
      </c>
      <c r="W1714" s="296" t="s">
        <v>928</v>
      </c>
      <c r="X1714" s="296" t="s">
        <v>928</v>
      </c>
    </row>
    <row r="1715" spans="1:24" ht="13.5" x14ac:dyDescent="0.15">
      <c r="A1715" s="296">
        <v>3735079</v>
      </c>
      <c r="B1715" s="296" t="s">
        <v>431</v>
      </c>
      <c r="C1715" s="296" t="s">
        <v>1803</v>
      </c>
      <c r="D1715" s="296" t="s">
        <v>353</v>
      </c>
      <c r="E1715" s="296" t="s">
        <v>928</v>
      </c>
      <c r="F1715" s="296">
        <v>3</v>
      </c>
      <c r="G1715" s="296" t="s">
        <v>265</v>
      </c>
      <c r="H1715" s="296" t="s">
        <v>20</v>
      </c>
      <c r="I1715" s="296" t="s">
        <v>21</v>
      </c>
      <c r="J1715" s="296" t="s">
        <v>928</v>
      </c>
      <c r="K1715" s="296" t="s">
        <v>118</v>
      </c>
      <c r="L1715" s="296">
        <v>25</v>
      </c>
      <c r="M1715" s="296" t="s">
        <v>119</v>
      </c>
      <c r="N1715" s="296">
        <v>1100</v>
      </c>
      <c r="O1715" s="296">
        <v>1100</v>
      </c>
      <c r="P1715" s="296">
        <v>12000</v>
      </c>
      <c r="Q1715" s="296">
        <v>2</v>
      </c>
      <c r="R1715" s="296">
        <v>30</v>
      </c>
      <c r="S1715" s="296" t="s">
        <v>354</v>
      </c>
      <c r="T1715" s="296" t="s">
        <v>1809</v>
      </c>
      <c r="U1715" s="296" t="s">
        <v>1810</v>
      </c>
      <c r="V1715" s="296" t="s">
        <v>355</v>
      </c>
      <c r="W1715" s="296" t="s">
        <v>928</v>
      </c>
      <c r="X1715" s="296" t="s">
        <v>928</v>
      </c>
    </row>
    <row r="1716" spans="1:24" ht="13.5" x14ac:dyDescent="0.15">
      <c r="A1716" s="296">
        <v>3735080</v>
      </c>
      <c r="B1716" s="296" t="s">
        <v>351</v>
      </c>
      <c r="C1716" s="296" t="s">
        <v>1803</v>
      </c>
      <c r="D1716" s="296" t="s">
        <v>353</v>
      </c>
      <c r="E1716" s="296" t="s">
        <v>110</v>
      </c>
      <c r="F1716" s="296">
        <v>331</v>
      </c>
      <c r="G1716" s="296" t="s">
        <v>19</v>
      </c>
      <c r="H1716" s="296" t="s">
        <v>20</v>
      </c>
      <c r="I1716" s="296" t="s">
        <v>21</v>
      </c>
      <c r="J1716" s="296" t="s">
        <v>928</v>
      </c>
      <c r="K1716" s="296" t="s">
        <v>112</v>
      </c>
      <c r="L1716" s="296">
        <v>25</v>
      </c>
      <c r="M1716" s="296" t="s">
        <v>357</v>
      </c>
      <c r="N1716" s="296">
        <v>450</v>
      </c>
      <c r="O1716" s="296">
        <v>450</v>
      </c>
      <c r="P1716" s="296">
        <v>4000</v>
      </c>
      <c r="Q1716" s="296">
        <v>2</v>
      </c>
      <c r="R1716" s="296">
        <v>6</v>
      </c>
      <c r="S1716" s="296" t="s">
        <v>354</v>
      </c>
      <c r="T1716" s="296" t="s">
        <v>1809</v>
      </c>
      <c r="U1716" s="296" t="s">
        <v>1812</v>
      </c>
      <c r="V1716" s="296" t="s">
        <v>355</v>
      </c>
      <c r="W1716" s="296" t="s">
        <v>928</v>
      </c>
      <c r="X1716" s="296" t="s">
        <v>928</v>
      </c>
    </row>
    <row r="1717" spans="1:24" ht="13.5" x14ac:dyDescent="0.15">
      <c r="A1717" s="296">
        <v>3735081</v>
      </c>
      <c r="B1717" s="296" t="s">
        <v>351</v>
      </c>
      <c r="C1717" s="296" t="s">
        <v>1796</v>
      </c>
      <c r="D1717" s="296" t="s">
        <v>353</v>
      </c>
      <c r="E1717" s="296" t="s">
        <v>106</v>
      </c>
      <c r="F1717" s="296">
        <v>3</v>
      </c>
      <c r="G1717" s="296" t="s">
        <v>19</v>
      </c>
      <c r="H1717" s="296" t="s">
        <v>20</v>
      </c>
      <c r="I1717" s="296" t="s">
        <v>21</v>
      </c>
      <c r="J1717" s="296" t="s">
        <v>928</v>
      </c>
      <c r="K1717" s="296" t="s">
        <v>107</v>
      </c>
      <c r="L1717" s="296">
        <v>25</v>
      </c>
      <c r="M1717" s="296" t="s">
        <v>367</v>
      </c>
      <c r="N1717" s="296">
        <v>1040</v>
      </c>
      <c r="O1717" s="296">
        <v>1040</v>
      </c>
      <c r="P1717" s="296">
        <v>6000</v>
      </c>
      <c r="Q1717" s="296">
        <v>2</v>
      </c>
      <c r="R1717" s="296">
        <v>46</v>
      </c>
      <c r="S1717" s="296" t="s">
        <v>354</v>
      </c>
      <c r="T1717" s="296" t="s">
        <v>1809</v>
      </c>
      <c r="U1717" s="296" t="s">
        <v>1810</v>
      </c>
      <c r="V1717" s="296" t="s">
        <v>355</v>
      </c>
      <c r="W1717" s="296" t="s">
        <v>928</v>
      </c>
      <c r="X1717" s="296" t="s">
        <v>928</v>
      </c>
    </row>
    <row r="1718" spans="1:24" ht="13.5" x14ac:dyDescent="0.15">
      <c r="A1718" s="296">
        <v>3735082</v>
      </c>
      <c r="B1718" s="296" t="s">
        <v>351</v>
      </c>
      <c r="C1718" s="296" t="s">
        <v>1801</v>
      </c>
      <c r="D1718" s="296" t="s">
        <v>353</v>
      </c>
      <c r="E1718" s="296" t="s">
        <v>116</v>
      </c>
      <c r="F1718" s="296">
        <v>3</v>
      </c>
      <c r="G1718" s="296" t="s">
        <v>19</v>
      </c>
      <c r="H1718" s="296" t="s">
        <v>20</v>
      </c>
      <c r="I1718" s="296" t="s">
        <v>21</v>
      </c>
      <c r="J1718" s="296" t="s">
        <v>928</v>
      </c>
      <c r="K1718" s="296" t="s">
        <v>118</v>
      </c>
      <c r="L1718" s="296">
        <v>38</v>
      </c>
      <c r="M1718" s="296" t="s">
        <v>368</v>
      </c>
      <c r="N1718" s="296">
        <v>1005</v>
      </c>
      <c r="O1718" s="296">
        <v>1000</v>
      </c>
      <c r="P1718" s="296">
        <v>8000</v>
      </c>
      <c r="Q1718" s="296">
        <v>2</v>
      </c>
      <c r="R1718" s="296">
        <v>2</v>
      </c>
      <c r="S1718" s="296" t="s">
        <v>354</v>
      </c>
      <c r="T1718" s="296" t="s">
        <v>1809</v>
      </c>
      <c r="U1718" s="296" t="s">
        <v>1813</v>
      </c>
      <c r="V1718" s="296" t="s">
        <v>355</v>
      </c>
      <c r="W1718" s="296" t="s">
        <v>928</v>
      </c>
      <c r="X1718" s="296" t="s">
        <v>928</v>
      </c>
    </row>
    <row r="1719" spans="1:24" ht="13.5" x14ac:dyDescent="0.15">
      <c r="A1719" s="296">
        <v>3735083</v>
      </c>
      <c r="B1719" s="296" t="s">
        <v>351</v>
      </c>
      <c r="C1719" s="296" t="s">
        <v>1796</v>
      </c>
      <c r="D1719" s="296" t="s">
        <v>353</v>
      </c>
      <c r="E1719" s="296" t="s">
        <v>32</v>
      </c>
      <c r="F1719" s="296">
        <v>331</v>
      </c>
      <c r="G1719" s="296" t="s">
        <v>19</v>
      </c>
      <c r="H1719" s="296" t="s">
        <v>20</v>
      </c>
      <c r="I1719" s="296" t="s">
        <v>21</v>
      </c>
      <c r="J1719" s="296" t="s">
        <v>928</v>
      </c>
      <c r="K1719" s="296" t="s">
        <v>33</v>
      </c>
      <c r="L1719" s="296">
        <v>38</v>
      </c>
      <c r="M1719" s="296" t="s">
        <v>30</v>
      </c>
      <c r="N1719" s="296">
        <v>1580</v>
      </c>
      <c r="O1719" s="296">
        <v>1580</v>
      </c>
      <c r="P1719" s="296">
        <v>6000</v>
      </c>
      <c r="Q1719" s="296">
        <v>2</v>
      </c>
      <c r="R1719" s="296">
        <v>14</v>
      </c>
      <c r="S1719" s="296" t="s">
        <v>354</v>
      </c>
      <c r="T1719" s="296" t="s">
        <v>1809</v>
      </c>
      <c r="U1719" s="296" t="s">
        <v>1810</v>
      </c>
      <c r="V1719" s="296" t="s">
        <v>355</v>
      </c>
      <c r="W1719" s="296" t="s">
        <v>928</v>
      </c>
      <c r="X1719" s="296" t="s">
        <v>928</v>
      </c>
    </row>
    <row r="1720" spans="1:24" ht="13.5" x14ac:dyDescent="0.15">
      <c r="A1720" s="296">
        <v>3735084</v>
      </c>
      <c r="B1720" s="296" t="s">
        <v>351</v>
      </c>
      <c r="C1720" s="296" t="s">
        <v>1796</v>
      </c>
      <c r="D1720" s="296" t="s">
        <v>353</v>
      </c>
      <c r="E1720" s="296" t="s">
        <v>32</v>
      </c>
      <c r="F1720" s="296">
        <v>331</v>
      </c>
      <c r="G1720" s="296" t="s">
        <v>19</v>
      </c>
      <c r="H1720" s="296" t="s">
        <v>20</v>
      </c>
      <c r="I1720" s="296" t="s">
        <v>21</v>
      </c>
      <c r="J1720" s="296" t="s">
        <v>928</v>
      </c>
      <c r="K1720" s="296" t="s">
        <v>33</v>
      </c>
      <c r="L1720" s="296">
        <v>38</v>
      </c>
      <c r="M1720" s="296" t="s">
        <v>30</v>
      </c>
      <c r="N1720" s="296">
        <v>1330</v>
      </c>
      <c r="O1720" s="296">
        <v>1330</v>
      </c>
      <c r="P1720" s="296">
        <v>6000</v>
      </c>
      <c r="Q1720" s="296">
        <v>2</v>
      </c>
      <c r="R1720" s="296">
        <v>16</v>
      </c>
      <c r="S1720" s="296" t="s">
        <v>354</v>
      </c>
      <c r="T1720" s="296" t="s">
        <v>1809</v>
      </c>
      <c r="U1720" s="296" t="s">
        <v>1810</v>
      </c>
      <c r="V1720" s="296" t="s">
        <v>355</v>
      </c>
      <c r="W1720" s="296" t="s">
        <v>928</v>
      </c>
      <c r="X1720" s="296" t="s">
        <v>928</v>
      </c>
    </row>
    <row r="1721" spans="1:24" ht="13.5" x14ac:dyDescent="0.15">
      <c r="A1721" s="296">
        <v>3735085</v>
      </c>
      <c r="B1721" s="296" t="s">
        <v>351</v>
      </c>
      <c r="C1721" s="296" t="s">
        <v>1796</v>
      </c>
      <c r="D1721" s="296" t="s">
        <v>353</v>
      </c>
      <c r="E1721" s="296" t="s">
        <v>32</v>
      </c>
      <c r="F1721" s="296">
        <v>331</v>
      </c>
      <c r="G1721" s="296" t="s">
        <v>19</v>
      </c>
      <c r="H1721" s="296" t="s">
        <v>20</v>
      </c>
      <c r="I1721" s="296" t="s">
        <v>21</v>
      </c>
      <c r="J1721" s="296" t="s">
        <v>928</v>
      </c>
      <c r="K1721" s="296" t="s">
        <v>33</v>
      </c>
      <c r="L1721" s="296">
        <v>38</v>
      </c>
      <c r="M1721" s="296" t="s">
        <v>30</v>
      </c>
      <c r="N1721" s="296">
        <v>1330</v>
      </c>
      <c r="O1721" s="296">
        <v>1330</v>
      </c>
      <c r="P1721" s="296">
        <v>6000</v>
      </c>
      <c r="Q1721" s="296">
        <v>2</v>
      </c>
      <c r="R1721" s="296">
        <v>14</v>
      </c>
      <c r="S1721" s="296" t="s">
        <v>354</v>
      </c>
      <c r="T1721" s="296" t="s">
        <v>1809</v>
      </c>
      <c r="U1721" s="296" t="s">
        <v>1810</v>
      </c>
      <c r="V1721" s="296" t="s">
        <v>355</v>
      </c>
      <c r="W1721" s="296" t="s">
        <v>928</v>
      </c>
      <c r="X1721" s="296" t="s">
        <v>928</v>
      </c>
    </row>
    <row r="1722" spans="1:24" ht="13.5" x14ac:dyDescent="0.15">
      <c r="A1722" s="296">
        <v>3735086</v>
      </c>
      <c r="B1722" s="296" t="s">
        <v>351</v>
      </c>
      <c r="C1722" s="296" t="s">
        <v>1796</v>
      </c>
      <c r="D1722" s="296" t="s">
        <v>353</v>
      </c>
      <c r="E1722" s="296" t="s">
        <v>17</v>
      </c>
      <c r="F1722" s="296">
        <v>3</v>
      </c>
      <c r="G1722" s="296" t="s">
        <v>19</v>
      </c>
      <c r="H1722" s="296" t="s">
        <v>20</v>
      </c>
      <c r="I1722" s="296" t="s">
        <v>21</v>
      </c>
      <c r="J1722" s="296" t="s">
        <v>928</v>
      </c>
      <c r="K1722" s="296" t="s">
        <v>22</v>
      </c>
      <c r="L1722" s="296">
        <v>38</v>
      </c>
      <c r="M1722" s="296" t="s">
        <v>23</v>
      </c>
      <c r="N1722" s="296">
        <v>1057</v>
      </c>
      <c r="O1722" s="296">
        <v>1050</v>
      </c>
      <c r="P1722" s="296">
        <v>8400</v>
      </c>
      <c r="Q1722" s="296">
        <v>2</v>
      </c>
      <c r="R1722" s="296">
        <v>6</v>
      </c>
      <c r="S1722" s="296" t="s">
        <v>354</v>
      </c>
      <c r="T1722" s="296" t="s">
        <v>1809</v>
      </c>
      <c r="U1722" s="296" t="s">
        <v>1810</v>
      </c>
      <c r="V1722" s="296" t="s">
        <v>355</v>
      </c>
      <c r="W1722" s="296" t="s">
        <v>928</v>
      </c>
      <c r="X1722" s="296" t="s">
        <v>928</v>
      </c>
    </row>
    <row r="1723" spans="1:24" ht="13.5" x14ac:dyDescent="0.15">
      <c r="A1723" s="296">
        <v>3735087</v>
      </c>
      <c r="B1723" s="296" t="s">
        <v>351</v>
      </c>
      <c r="C1723" s="296" t="s">
        <v>1814</v>
      </c>
      <c r="D1723" s="296" t="s">
        <v>353</v>
      </c>
      <c r="E1723" s="296" t="s">
        <v>40</v>
      </c>
      <c r="F1723" s="296">
        <v>3</v>
      </c>
      <c r="G1723" s="296" t="s">
        <v>19</v>
      </c>
      <c r="H1723" s="296" t="s">
        <v>20</v>
      </c>
      <c r="I1723" s="296" t="s">
        <v>21</v>
      </c>
      <c r="J1723" s="296" t="s">
        <v>928</v>
      </c>
      <c r="K1723" s="296" t="s">
        <v>42</v>
      </c>
      <c r="L1723" s="296">
        <v>25</v>
      </c>
      <c r="M1723" s="296" t="s">
        <v>43</v>
      </c>
      <c r="N1723" s="296">
        <v>1045</v>
      </c>
      <c r="O1723" s="296">
        <v>1040</v>
      </c>
      <c r="P1723" s="296">
        <v>6000</v>
      </c>
      <c r="Q1723" s="296">
        <v>2</v>
      </c>
      <c r="R1723" s="296">
        <v>8</v>
      </c>
      <c r="S1723" s="296" t="s">
        <v>354</v>
      </c>
      <c r="T1723" s="296" t="s">
        <v>1809</v>
      </c>
      <c r="U1723" s="296" t="s">
        <v>1810</v>
      </c>
      <c r="V1723" s="296" t="s">
        <v>355</v>
      </c>
      <c r="W1723" s="296" t="s">
        <v>928</v>
      </c>
      <c r="X1723" s="296" t="s">
        <v>928</v>
      </c>
    </row>
    <row r="1724" spans="1:24" ht="13.5" x14ac:dyDescent="0.15">
      <c r="A1724" s="296">
        <v>3735088</v>
      </c>
      <c r="B1724" s="296" t="s">
        <v>351</v>
      </c>
      <c r="C1724" s="296" t="s">
        <v>1796</v>
      </c>
      <c r="D1724" s="296" t="s">
        <v>353</v>
      </c>
      <c r="E1724" s="296" t="s">
        <v>17</v>
      </c>
      <c r="F1724" s="296">
        <v>3</v>
      </c>
      <c r="G1724" s="296" t="s">
        <v>19</v>
      </c>
      <c r="H1724" s="296" t="s">
        <v>20</v>
      </c>
      <c r="I1724" s="296" t="s">
        <v>21</v>
      </c>
      <c r="J1724" s="296" t="s">
        <v>928</v>
      </c>
      <c r="K1724" s="296" t="s">
        <v>22</v>
      </c>
      <c r="L1724" s="296">
        <v>38</v>
      </c>
      <c r="M1724" s="296" t="s">
        <v>23</v>
      </c>
      <c r="N1724" s="296">
        <v>1037</v>
      </c>
      <c r="O1724" s="296">
        <v>1030</v>
      </c>
      <c r="P1724" s="296">
        <v>8500</v>
      </c>
      <c r="Q1724" s="296">
        <v>2</v>
      </c>
      <c r="R1724" s="296">
        <v>40</v>
      </c>
      <c r="S1724" s="296" t="s">
        <v>354</v>
      </c>
      <c r="T1724" s="296" t="s">
        <v>1809</v>
      </c>
      <c r="U1724" s="296" t="s">
        <v>1810</v>
      </c>
      <c r="V1724" s="296" t="s">
        <v>355</v>
      </c>
      <c r="W1724" s="296" t="s">
        <v>928</v>
      </c>
      <c r="X1724" s="296" t="s">
        <v>928</v>
      </c>
    </row>
    <row r="1725" spans="1:24" ht="13.5" x14ac:dyDescent="0.15">
      <c r="A1725" s="296">
        <v>3735089</v>
      </c>
      <c r="B1725" s="296" t="s">
        <v>351</v>
      </c>
      <c r="C1725" s="296" t="s">
        <v>1796</v>
      </c>
      <c r="D1725" s="296" t="s">
        <v>353</v>
      </c>
      <c r="E1725" s="296" t="s">
        <v>17</v>
      </c>
      <c r="F1725" s="296">
        <v>3</v>
      </c>
      <c r="G1725" s="296" t="s">
        <v>19</v>
      </c>
      <c r="H1725" s="296" t="s">
        <v>28</v>
      </c>
      <c r="I1725" s="296" t="s">
        <v>21</v>
      </c>
      <c r="J1725" s="296" t="s">
        <v>928</v>
      </c>
      <c r="K1725" s="296" t="s">
        <v>22</v>
      </c>
      <c r="L1725" s="296">
        <v>38</v>
      </c>
      <c r="M1725" s="296" t="s">
        <v>1815</v>
      </c>
      <c r="N1725" s="296">
        <v>1037</v>
      </c>
      <c r="O1725" s="296">
        <v>1030</v>
      </c>
      <c r="P1725" s="296">
        <v>8500</v>
      </c>
      <c r="Q1725" s="296">
        <v>2</v>
      </c>
      <c r="R1725" s="296">
        <v>20</v>
      </c>
      <c r="S1725" s="296" t="s">
        <v>354</v>
      </c>
      <c r="T1725" s="296" t="s">
        <v>1809</v>
      </c>
      <c r="U1725" s="296" t="s">
        <v>1810</v>
      </c>
      <c r="V1725" s="296" t="s">
        <v>355</v>
      </c>
      <c r="W1725" s="296" t="s">
        <v>928</v>
      </c>
      <c r="X1725" s="296" t="s">
        <v>928</v>
      </c>
    </row>
    <row r="1726" spans="1:24" ht="13.5" x14ac:dyDescent="0.15">
      <c r="A1726" s="296">
        <v>3735090</v>
      </c>
      <c r="B1726" s="296" t="s">
        <v>351</v>
      </c>
      <c r="C1726" s="296" t="s">
        <v>1796</v>
      </c>
      <c r="D1726" s="296" t="s">
        <v>353</v>
      </c>
      <c r="E1726" s="296" t="s">
        <v>377</v>
      </c>
      <c r="F1726" s="296">
        <v>3</v>
      </c>
      <c r="G1726" s="296" t="s">
        <v>19</v>
      </c>
      <c r="H1726" s="296" t="s">
        <v>20</v>
      </c>
      <c r="I1726" s="296" t="s">
        <v>21</v>
      </c>
      <c r="J1726" s="296" t="s">
        <v>928</v>
      </c>
      <c r="K1726" s="296" t="s">
        <v>36</v>
      </c>
      <c r="L1726" s="296">
        <v>25</v>
      </c>
      <c r="M1726" s="296" t="s">
        <v>37</v>
      </c>
      <c r="N1726" s="296">
        <v>890</v>
      </c>
      <c r="O1726" s="296">
        <v>890</v>
      </c>
      <c r="P1726" s="296">
        <v>3800</v>
      </c>
      <c r="Q1726" s="296">
        <v>2</v>
      </c>
      <c r="R1726" s="296">
        <v>9</v>
      </c>
      <c r="S1726" s="296" t="s">
        <v>354</v>
      </c>
      <c r="T1726" s="296" t="s">
        <v>1809</v>
      </c>
      <c r="U1726" s="296" t="s">
        <v>1810</v>
      </c>
      <c r="V1726" s="296" t="s">
        <v>355</v>
      </c>
      <c r="W1726" s="296" t="s">
        <v>928</v>
      </c>
      <c r="X1726" s="296" t="s">
        <v>928</v>
      </c>
    </row>
    <row r="1727" spans="1:24" ht="13.5" x14ac:dyDescent="0.15">
      <c r="A1727" s="296">
        <v>3735091</v>
      </c>
      <c r="B1727" s="296" t="s">
        <v>351</v>
      </c>
      <c r="C1727" s="296" t="s">
        <v>1803</v>
      </c>
      <c r="D1727" s="296" t="s">
        <v>353</v>
      </c>
      <c r="E1727" s="296" t="s">
        <v>61</v>
      </c>
      <c r="F1727" s="296">
        <v>3313</v>
      </c>
      <c r="G1727" s="296" t="s">
        <v>19</v>
      </c>
      <c r="H1727" s="296" t="s">
        <v>20</v>
      </c>
      <c r="I1727" s="296" t="s">
        <v>21</v>
      </c>
      <c r="J1727" s="296" t="s">
        <v>928</v>
      </c>
      <c r="K1727" s="296" t="s">
        <v>62</v>
      </c>
      <c r="L1727" s="296">
        <v>38</v>
      </c>
      <c r="M1727" s="296" t="s">
        <v>63</v>
      </c>
      <c r="N1727" s="296">
        <v>750</v>
      </c>
      <c r="O1727" s="296">
        <v>750</v>
      </c>
      <c r="P1727" s="296">
        <v>6000</v>
      </c>
      <c r="Q1727" s="296">
        <v>2</v>
      </c>
      <c r="R1727" s="296">
        <v>40</v>
      </c>
      <c r="S1727" s="296" t="s">
        <v>354</v>
      </c>
      <c r="T1727" s="296" t="s">
        <v>1809</v>
      </c>
      <c r="U1727" s="296" t="s">
        <v>1810</v>
      </c>
      <c r="V1727" s="296" t="s">
        <v>355</v>
      </c>
      <c r="W1727" s="296" t="s">
        <v>928</v>
      </c>
      <c r="X1727" s="296" t="s">
        <v>928</v>
      </c>
    </row>
    <row r="1728" spans="1:24" ht="13.5" x14ac:dyDescent="0.15">
      <c r="A1728" s="296">
        <v>3735092</v>
      </c>
      <c r="B1728" s="296" t="s">
        <v>351</v>
      </c>
      <c r="C1728" s="296" t="s">
        <v>1803</v>
      </c>
      <c r="D1728" s="296" t="s">
        <v>353</v>
      </c>
      <c r="E1728" s="296" t="s">
        <v>65</v>
      </c>
      <c r="F1728" s="296">
        <v>3321</v>
      </c>
      <c r="G1728" s="296" t="s">
        <v>19</v>
      </c>
      <c r="H1728" s="296" t="s">
        <v>20</v>
      </c>
      <c r="I1728" s="296" t="s">
        <v>21</v>
      </c>
      <c r="J1728" s="296" t="s">
        <v>928</v>
      </c>
      <c r="K1728" s="296" t="s">
        <v>67</v>
      </c>
      <c r="L1728" s="296">
        <v>38</v>
      </c>
      <c r="M1728" s="296" t="s">
        <v>68</v>
      </c>
      <c r="N1728" s="296">
        <v>1336</v>
      </c>
      <c r="O1728" s="296">
        <v>1325</v>
      </c>
      <c r="P1728" s="296">
        <v>12000</v>
      </c>
      <c r="Q1728" s="296">
        <v>2</v>
      </c>
      <c r="R1728" s="296">
        <v>20</v>
      </c>
      <c r="S1728" s="296" t="s">
        <v>354</v>
      </c>
      <c r="T1728" s="296" t="s">
        <v>1809</v>
      </c>
      <c r="U1728" s="296" t="s">
        <v>1810</v>
      </c>
      <c r="V1728" s="296" t="s">
        <v>355</v>
      </c>
      <c r="W1728" s="296" t="s">
        <v>928</v>
      </c>
      <c r="X1728" s="296" t="s">
        <v>928</v>
      </c>
    </row>
    <row r="1729" spans="1:24" ht="13.5" x14ac:dyDescent="0.15">
      <c r="A1729" s="296">
        <v>3735093</v>
      </c>
      <c r="B1729" s="296" t="s">
        <v>351</v>
      </c>
      <c r="C1729" s="296" t="s">
        <v>1803</v>
      </c>
      <c r="D1729" s="296" t="s">
        <v>353</v>
      </c>
      <c r="E1729" s="296" t="s">
        <v>65</v>
      </c>
      <c r="F1729" s="296">
        <v>3321</v>
      </c>
      <c r="G1729" s="296" t="s">
        <v>19</v>
      </c>
      <c r="H1729" s="296" t="s">
        <v>20</v>
      </c>
      <c r="I1729" s="296" t="s">
        <v>21</v>
      </c>
      <c r="J1729" s="296" t="s">
        <v>928</v>
      </c>
      <c r="K1729" s="296" t="s">
        <v>67</v>
      </c>
      <c r="L1729" s="296">
        <v>38</v>
      </c>
      <c r="M1729" s="296" t="s">
        <v>68</v>
      </c>
      <c r="N1729" s="296">
        <v>1336</v>
      </c>
      <c r="O1729" s="296">
        <v>1325</v>
      </c>
      <c r="P1729" s="296">
        <v>12000</v>
      </c>
      <c r="Q1729" s="296">
        <v>2</v>
      </c>
      <c r="R1729" s="296">
        <v>30</v>
      </c>
      <c r="S1729" s="296" t="s">
        <v>354</v>
      </c>
      <c r="T1729" s="296" t="s">
        <v>1809</v>
      </c>
      <c r="U1729" s="296" t="s">
        <v>1810</v>
      </c>
      <c r="V1729" s="296" t="s">
        <v>355</v>
      </c>
      <c r="W1729" s="296" t="s">
        <v>928</v>
      </c>
      <c r="X1729" s="296" t="s">
        <v>928</v>
      </c>
    </row>
    <row r="1730" spans="1:24" ht="13.5" x14ac:dyDescent="0.15">
      <c r="A1730" s="296">
        <v>3735094</v>
      </c>
      <c r="B1730" s="296" t="s">
        <v>351</v>
      </c>
      <c r="C1730" s="296" t="s">
        <v>1803</v>
      </c>
      <c r="D1730" s="296" t="s">
        <v>353</v>
      </c>
      <c r="E1730" s="296" t="s">
        <v>65</v>
      </c>
      <c r="F1730" s="296">
        <v>3321</v>
      </c>
      <c r="G1730" s="296" t="s">
        <v>19</v>
      </c>
      <c r="H1730" s="296" t="s">
        <v>20</v>
      </c>
      <c r="I1730" s="296" t="s">
        <v>21</v>
      </c>
      <c r="J1730" s="296" t="s">
        <v>928</v>
      </c>
      <c r="K1730" s="296" t="s">
        <v>70</v>
      </c>
      <c r="L1730" s="296">
        <v>38</v>
      </c>
      <c r="M1730" s="296" t="s">
        <v>71</v>
      </c>
      <c r="N1730" s="296">
        <v>1336</v>
      </c>
      <c r="O1730" s="296">
        <v>1325</v>
      </c>
      <c r="P1730" s="296">
        <v>12000</v>
      </c>
      <c r="Q1730" s="296">
        <v>2</v>
      </c>
      <c r="R1730" s="296">
        <v>45</v>
      </c>
      <c r="S1730" s="296" t="s">
        <v>354</v>
      </c>
      <c r="T1730" s="296" t="s">
        <v>1809</v>
      </c>
      <c r="U1730" s="296" t="s">
        <v>1810</v>
      </c>
      <c r="V1730" s="296" t="s">
        <v>355</v>
      </c>
      <c r="W1730" s="296" t="s">
        <v>928</v>
      </c>
      <c r="X1730" s="296" t="s">
        <v>928</v>
      </c>
    </row>
    <row r="1731" spans="1:24" ht="13.5" x14ac:dyDescent="0.15">
      <c r="A1731" s="296">
        <v>3735095</v>
      </c>
      <c r="B1731" s="296" t="s">
        <v>351</v>
      </c>
      <c r="C1731" s="296" t="s">
        <v>1803</v>
      </c>
      <c r="D1731" s="296" t="s">
        <v>353</v>
      </c>
      <c r="E1731" s="296" t="s">
        <v>73</v>
      </c>
      <c r="F1731" s="296">
        <v>331</v>
      </c>
      <c r="G1731" s="296" t="s">
        <v>19</v>
      </c>
      <c r="H1731" s="296" t="s">
        <v>20</v>
      </c>
      <c r="I1731" s="296" t="s">
        <v>21</v>
      </c>
      <c r="J1731" s="296" t="s">
        <v>928</v>
      </c>
      <c r="K1731" s="296" t="s">
        <v>74</v>
      </c>
      <c r="L1731" s="296">
        <v>38</v>
      </c>
      <c r="M1731" s="296" t="s">
        <v>365</v>
      </c>
      <c r="N1731" s="296">
        <v>415</v>
      </c>
      <c r="O1731" s="296">
        <v>415</v>
      </c>
      <c r="P1731" s="296">
        <v>1950</v>
      </c>
      <c r="Q1731" s="296">
        <v>2</v>
      </c>
      <c r="R1731" s="296">
        <v>36</v>
      </c>
      <c r="S1731" s="296" t="s">
        <v>354</v>
      </c>
      <c r="T1731" s="296" t="s">
        <v>1809</v>
      </c>
      <c r="U1731" s="296" t="s">
        <v>1811</v>
      </c>
      <c r="V1731" s="296" t="s">
        <v>355</v>
      </c>
      <c r="W1731" s="296" t="s">
        <v>928</v>
      </c>
      <c r="X1731" s="296" t="s">
        <v>928</v>
      </c>
    </row>
    <row r="1732" spans="1:24" ht="13.5" x14ac:dyDescent="0.15">
      <c r="A1732" s="296">
        <v>3735096</v>
      </c>
      <c r="B1732" s="296" t="s">
        <v>351</v>
      </c>
      <c r="C1732" s="296" t="s">
        <v>1803</v>
      </c>
      <c r="D1732" s="296" t="s">
        <v>353</v>
      </c>
      <c r="E1732" s="296" t="s">
        <v>73</v>
      </c>
      <c r="F1732" s="296">
        <v>331</v>
      </c>
      <c r="G1732" s="296" t="s">
        <v>19</v>
      </c>
      <c r="H1732" s="296" t="s">
        <v>20</v>
      </c>
      <c r="I1732" s="296" t="s">
        <v>21</v>
      </c>
      <c r="J1732" s="296" t="s">
        <v>928</v>
      </c>
      <c r="K1732" s="296" t="s">
        <v>74</v>
      </c>
      <c r="L1732" s="296">
        <v>38</v>
      </c>
      <c r="M1732" s="296" t="s">
        <v>365</v>
      </c>
      <c r="N1732" s="296">
        <v>415</v>
      </c>
      <c r="O1732" s="296">
        <v>415</v>
      </c>
      <c r="P1732" s="296">
        <v>1950</v>
      </c>
      <c r="Q1732" s="296">
        <v>2</v>
      </c>
      <c r="R1732" s="296">
        <v>45</v>
      </c>
      <c r="S1732" s="296" t="s">
        <v>354</v>
      </c>
      <c r="T1732" s="296" t="s">
        <v>1809</v>
      </c>
      <c r="U1732" s="296" t="s">
        <v>1811</v>
      </c>
      <c r="V1732" s="296" t="s">
        <v>355</v>
      </c>
      <c r="W1732" s="296" t="s">
        <v>928</v>
      </c>
      <c r="X1732" s="296" t="s">
        <v>928</v>
      </c>
    </row>
    <row r="1733" spans="1:24" ht="13.5" x14ac:dyDescent="0.15">
      <c r="A1733" s="296">
        <v>3735097</v>
      </c>
      <c r="B1733" s="296" t="s">
        <v>351</v>
      </c>
      <c r="C1733" s="296" t="s">
        <v>1803</v>
      </c>
      <c r="D1733" s="296" t="s">
        <v>353</v>
      </c>
      <c r="E1733" s="296" t="s">
        <v>61</v>
      </c>
      <c r="F1733" s="296">
        <v>331</v>
      </c>
      <c r="G1733" s="296" t="s">
        <v>19</v>
      </c>
      <c r="H1733" s="296" t="s">
        <v>20</v>
      </c>
      <c r="I1733" s="296" t="s">
        <v>21</v>
      </c>
      <c r="J1733" s="296" t="s">
        <v>928</v>
      </c>
      <c r="K1733" s="296" t="s">
        <v>62</v>
      </c>
      <c r="L1733" s="296">
        <v>38</v>
      </c>
      <c r="M1733" s="296" t="s">
        <v>63</v>
      </c>
      <c r="N1733" s="296">
        <v>1255</v>
      </c>
      <c r="O1733" s="296">
        <v>1250</v>
      </c>
      <c r="P1733" s="296">
        <v>6000</v>
      </c>
      <c r="Q1733" s="296">
        <v>2</v>
      </c>
      <c r="R1733" s="296">
        <v>18</v>
      </c>
      <c r="S1733" s="296" t="s">
        <v>354</v>
      </c>
      <c r="T1733" s="296" t="s">
        <v>1809</v>
      </c>
      <c r="U1733" s="296" t="s">
        <v>1810</v>
      </c>
      <c r="V1733" s="296" t="s">
        <v>355</v>
      </c>
      <c r="W1733" s="296" t="s">
        <v>928</v>
      </c>
      <c r="X1733" s="296" t="s">
        <v>928</v>
      </c>
    </row>
    <row r="1734" spans="1:24" ht="13.5" x14ac:dyDescent="0.15">
      <c r="A1734" s="296">
        <v>3735098</v>
      </c>
      <c r="B1734" s="296" t="s">
        <v>431</v>
      </c>
      <c r="C1734" s="296" t="s">
        <v>1803</v>
      </c>
      <c r="D1734" s="296" t="s">
        <v>353</v>
      </c>
      <c r="E1734" s="296" t="s">
        <v>378</v>
      </c>
      <c r="F1734" s="296">
        <v>3</v>
      </c>
      <c r="G1734" s="296" t="s">
        <v>265</v>
      </c>
      <c r="H1734" s="296" t="s">
        <v>20</v>
      </c>
      <c r="I1734" s="296" t="s">
        <v>21</v>
      </c>
      <c r="J1734" s="296" t="s">
        <v>928</v>
      </c>
      <c r="K1734" s="296" t="s">
        <v>99</v>
      </c>
      <c r="L1734" s="296">
        <v>25</v>
      </c>
      <c r="M1734" s="296" t="s">
        <v>100</v>
      </c>
      <c r="N1734" s="296">
        <v>500</v>
      </c>
      <c r="O1734" s="296">
        <v>500</v>
      </c>
      <c r="P1734" s="296">
        <v>4000</v>
      </c>
      <c r="Q1734" s="296">
        <v>2</v>
      </c>
      <c r="R1734" s="296">
        <v>108</v>
      </c>
      <c r="S1734" s="296" t="s">
        <v>354</v>
      </c>
      <c r="T1734" s="296" t="s">
        <v>1809</v>
      </c>
      <c r="U1734" s="296" t="s">
        <v>1816</v>
      </c>
      <c r="V1734" s="296" t="s">
        <v>355</v>
      </c>
      <c r="W1734" s="296" t="s">
        <v>928</v>
      </c>
      <c r="X1734" s="296" t="s">
        <v>928</v>
      </c>
    </row>
    <row r="1735" spans="1:24" ht="13.5" x14ac:dyDescent="0.15">
      <c r="A1735" s="296">
        <v>3735100</v>
      </c>
      <c r="B1735" s="296" t="s">
        <v>351</v>
      </c>
      <c r="C1735" s="296" t="s">
        <v>1801</v>
      </c>
      <c r="D1735" s="296" t="s">
        <v>353</v>
      </c>
      <c r="E1735" s="296" t="s">
        <v>162</v>
      </c>
      <c r="F1735" s="296">
        <v>3</v>
      </c>
      <c r="G1735" s="296" t="s">
        <v>19</v>
      </c>
      <c r="H1735" s="296" t="s">
        <v>20</v>
      </c>
      <c r="I1735" s="296" t="s">
        <v>143</v>
      </c>
      <c r="J1735" s="296" t="s">
        <v>928</v>
      </c>
      <c r="K1735" s="296" t="s">
        <v>163</v>
      </c>
      <c r="L1735" s="296">
        <v>38</v>
      </c>
      <c r="M1735" s="296" t="s">
        <v>164</v>
      </c>
      <c r="N1735" s="296">
        <v>1320</v>
      </c>
      <c r="O1735" s="296">
        <v>1320</v>
      </c>
      <c r="P1735" s="296">
        <v>4200</v>
      </c>
      <c r="Q1735" s="296">
        <v>2</v>
      </c>
      <c r="R1735" s="296">
        <v>23</v>
      </c>
      <c r="S1735" s="296" t="s">
        <v>354</v>
      </c>
      <c r="T1735" s="296" t="s">
        <v>1809</v>
      </c>
      <c r="U1735" s="296" t="s">
        <v>1817</v>
      </c>
      <c r="V1735" s="296" t="s">
        <v>355</v>
      </c>
      <c r="W1735" s="296" t="s">
        <v>928</v>
      </c>
      <c r="X1735" s="296" t="s">
        <v>928</v>
      </c>
    </row>
    <row r="1736" spans="1:24" ht="13.5" x14ac:dyDescent="0.15">
      <c r="A1736" s="296">
        <v>3735114</v>
      </c>
      <c r="B1736" s="296" t="s">
        <v>351</v>
      </c>
      <c r="C1736" s="296" t="s">
        <v>1801</v>
      </c>
      <c r="D1736" s="296" t="s">
        <v>353</v>
      </c>
      <c r="E1736" s="296" t="s">
        <v>116</v>
      </c>
      <c r="F1736" s="296">
        <v>3</v>
      </c>
      <c r="G1736" s="296" t="s">
        <v>19</v>
      </c>
      <c r="H1736" s="296" t="s">
        <v>20</v>
      </c>
      <c r="I1736" s="296" t="s">
        <v>143</v>
      </c>
      <c r="J1736" s="296" t="s">
        <v>928</v>
      </c>
      <c r="K1736" s="296" t="s">
        <v>159</v>
      </c>
      <c r="L1736" s="296">
        <v>25</v>
      </c>
      <c r="M1736" s="296" t="s">
        <v>160</v>
      </c>
      <c r="N1736" s="296">
        <v>1005</v>
      </c>
      <c r="O1736" s="296">
        <v>1000</v>
      </c>
      <c r="P1736" s="296">
        <v>4000</v>
      </c>
      <c r="Q1736" s="296">
        <v>2</v>
      </c>
      <c r="R1736" s="296">
        <v>2</v>
      </c>
      <c r="S1736" s="296" t="s">
        <v>354</v>
      </c>
      <c r="T1736" s="296" t="s">
        <v>1809</v>
      </c>
      <c r="U1736" s="296" t="s">
        <v>1819</v>
      </c>
      <c r="V1736" s="296" t="s">
        <v>355</v>
      </c>
      <c r="W1736" s="296" t="s">
        <v>928</v>
      </c>
      <c r="X1736" s="296" t="s">
        <v>928</v>
      </c>
    </row>
    <row r="1737" spans="1:24" ht="13.5" x14ac:dyDescent="0.15">
      <c r="A1737" s="296">
        <v>3735115</v>
      </c>
      <c r="B1737" s="296" t="s">
        <v>351</v>
      </c>
      <c r="C1737" s="296" t="s">
        <v>1801</v>
      </c>
      <c r="D1737" s="296" t="s">
        <v>353</v>
      </c>
      <c r="E1737" s="296" t="s">
        <v>116</v>
      </c>
      <c r="F1737" s="296">
        <v>3</v>
      </c>
      <c r="G1737" s="296" t="s">
        <v>19</v>
      </c>
      <c r="H1737" s="296" t="s">
        <v>20</v>
      </c>
      <c r="I1737" s="296" t="s">
        <v>143</v>
      </c>
      <c r="J1737" s="296" t="s">
        <v>928</v>
      </c>
      <c r="K1737" s="296" t="s">
        <v>159</v>
      </c>
      <c r="L1737" s="296">
        <v>25</v>
      </c>
      <c r="M1737" s="296" t="s">
        <v>160</v>
      </c>
      <c r="N1737" s="296">
        <v>1005</v>
      </c>
      <c r="O1737" s="296">
        <v>1000</v>
      </c>
      <c r="P1737" s="296">
        <v>4000</v>
      </c>
      <c r="Q1737" s="296">
        <v>2</v>
      </c>
      <c r="R1737" s="296">
        <v>4</v>
      </c>
      <c r="S1737" s="296" t="s">
        <v>354</v>
      </c>
      <c r="T1737" s="296" t="s">
        <v>1809</v>
      </c>
      <c r="U1737" s="296" t="s">
        <v>1819</v>
      </c>
      <c r="V1737" s="296" t="s">
        <v>355</v>
      </c>
      <c r="W1737" s="296" t="s">
        <v>928</v>
      </c>
      <c r="X1737" s="296" t="s">
        <v>928</v>
      </c>
    </row>
    <row r="1738" spans="1:24" ht="13.5" x14ac:dyDescent="0.15">
      <c r="A1738" s="296">
        <v>3735126</v>
      </c>
      <c r="B1738" s="296" t="s">
        <v>351</v>
      </c>
      <c r="C1738" s="296" t="s">
        <v>1801</v>
      </c>
      <c r="D1738" s="296" t="s">
        <v>353</v>
      </c>
      <c r="E1738" s="296" t="s">
        <v>116</v>
      </c>
      <c r="F1738" s="296">
        <v>3</v>
      </c>
      <c r="G1738" s="296" t="s">
        <v>19</v>
      </c>
      <c r="H1738" s="296" t="s">
        <v>20</v>
      </c>
      <c r="I1738" s="296" t="s">
        <v>143</v>
      </c>
      <c r="J1738" s="296" t="s">
        <v>928</v>
      </c>
      <c r="K1738" s="296" t="s">
        <v>144</v>
      </c>
      <c r="L1738" s="296">
        <v>75</v>
      </c>
      <c r="M1738" s="296" t="s">
        <v>145</v>
      </c>
      <c r="N1738" s="296">
        <v>1005</v>
      </c>
      <c r="O1738" s="296">
        <v>1000</v>
      </c>
      <c r="P1738" s="296">
        <v>3000</v>
      </c>
      <c r="Q1738" s="296">
        <v>2</v>
      </c>
      <c r="R1738" s="296">
        <v>6</v>
      </c>
      <c r="S1738" s="296" t="s">
        <v>354</v>
      </c>
      <c r="T1738" s="296" t="s">
        <v>1809</v>
      </c>
      <c r="U1738" s="296" t="s">
        <v>1811</v>
      </c>
      <c r="V1738" s="296" t="s">
        <v>355</v>
      </c>
      <c r="W1738" s="296" t="s">
        <v>928</v>
      </c>
      <c r="X1738" s="296" t="s">
        <v>928</v>
      </c>
    </row>
    <row r="1739" spans="1:24" ht="13.5" x14ac:dyDescent="0.15">
      <c r="A1739" s="296">
        <v>3735134</v>
      </c>
      <c r="B1739" s="296" t="s">
        <v>1364</v>
      </c>
      <c r="C1739" s="296" t="s">
        <v>1803</v>
      </c>
      <c r="D1739" s="296" t="s">
        <v>353</v>
      </c>
      <c r="E1739" s="296" t="s">
        <v>61</v>
      </c>
      <c r="F1739" s="296">
        <v>3</v>
      </c>
      <c r="G1739" s="296" t="s">
        <v>269</v>
      </c>
      <c r="H1739" s="296" t="s">
        <v>20</v>
      </c>
      <c r="I1739" s="296" t="s">
        <v>1078</v>
      </c>
      <c r="J1739" s="296" t="s">
        <v>928</v>
      </c>
      <c r="K1739" s="296" t="s">
        <v>1079</v>
      </c>
      <c r="L1739" s="296">
        <v>25</v>
      </c>
      <c r="M1739" s="296" t="s">
        <v>1462</v>
      </c>
      <c r="N1739" s="296">
        <v>1050</v>
      </c>
      <c r="O1739" s="296">
        <v>1050</v>
      </c>
      <c r="P1739" s="296">
        <v>6000</v>
      </c>
      <c r="Q1739" s="296">
        <v>1</v>
      </c>
      <c r="R1739" s="296">
        <v>22</v>
      </c>
      <c r="S1739" s="296" t="s">
        <v>354</v>
      </c>
      <c r="T1739" s="296" t="s">
        <v>1809</v>
      </c>
      <c r="U1739" s="296" t="s">
        <v>1810</v>
      </c>
      <c r="V1739" s="296" t="s">
        <v>428</v>
      </c>
      <c r="W1739" s="296" t="s">
        <v>928</v>
      </c>
      <c r="X1739" s="296" t="s">
        <v>928</v>
      </c>
    </row>
    <row r="1740" spans="1:24" ht="13.5" x14ac:dyDescent="0.15">
      <c r="A1740" s="296">
        <v>3735135</v>
      </c>
      <c r="B1740" s="296" t="s">
        <v>1364</v>
      </c>
      <c r="C1740" s="296" t="s">
        <v>1803</v>
      </c>
      <c r="D1740" s="296" t="s">
        <v>353</v>
      </c>
      <c r="E1740" s="296" t="s">
        <v>61</v>
      </c>
      <c r="F1740" s="296">
        <v>3</v>
      </c>
      <c r="G1740" s="296" t="s">
        <v>269</v>
      </c>
      <c r="H1740" s="296" t="s">
        <v>20</v>
      </c>
      <c r="I1740" s="296" t="s">
        <v>1078</v>
      </c>
      <c r="J1740" s="296" t="s">
        <v>928</v>
      </c>
      <c r="K1740" s="296" t="s">
        <v>1079</v>
      </c>
      <c r="L1740" s="296">
        <v>25</v>
      </c>
      <c r="M1740" s="296" t="s">
        <v>1462</v>
      </c>
      <c r="N1740" s="296">
        <v>1050</v>
      </c>
      <c r="O1740" s="296">
        <v>1050</v>
      </c>
      <c r="P1740" s="296">
        <v>6000</v>
      </c>
      <c r="Q1740" s="296">
        <v>1</v>
      </c>
      <c r="R1740" s="296">
        <v>22</v>
      </c>
      <c r="S1740" s="296" t="s">
        <v>354</v>
      </c>
      <c r="T1740" s="296" t="s">
        <v>1809</v>
      </c>
      <c r="U1740" s="296" t="s">
        <v>1810</v>
      </c>
      <c r="V1740" s="296" t="s">
        <v>428</v>
      </c>
      <c r="W1740" s="296" t="s">
        <v>928</v>
      </c>
      <c r="X1740" s="296" t="s">
        <v>928</v>
      </c>
    </row>
    <row r="1741" spans="1:24" ht="13.5" x14ac:dyDescent="0.15">
      <c r="A1741" s="416">
        <v>3741560</v>
      </c>
      <c r="B1741" s="296" t="s">
        <v>351</v>
      </c>
      <c r="C1741" s="296" t="s">
        <v>1796</v>
      </c>
      <c r="D1741" s="296" t="s">
        <v>353</v>
      </c>
      <c r="E1741" s="296" t="s">
        <v>17</v>
      </c>
      <c r="F1741" s="416">
        <v>331</v>
      </c>
      <c r="G1741" s="296" t="s">
        <v>19</v>
      </c>
      <c r="H1741" s="296" t="s">
        <v>20</v>
      </c>
      <c r="I1741" s="296" t="s">
        <v>21</v>
      </c>
      <c r="J1741" s="296" t="s">
        <v>928</v>
      </c>
      <c r="K1741" s="296" t="s">
        <v>52</v>
      </c>
      <c r="L1741" s="296">
        <v>38</v>
      </c>
      <c r="M1741" s="296" t="s">
        <v>53</v>
      </c>
      <c r="N1741" s="296">
        <v>1330</v>
      </c>
      <c r="O1741" s="296">
        <v>1330</v>
      </c>
      <c r="P1741" s="296">
        <v>6000</v>
      </c>
      <c r="Q1741" s="416">
        <v>2</v>
      </c>
      <c r="R1741" s="296">
        <v>40</v>
      </c>
      <c r="S1741" s="296" t="s">
        <v>354</v>
      </c>
      <c r="T1741" s="296" t="s">
        <v>1946</v>
      </c>
      <c r="U1741" s="296" t="s">
        <v>1947</v>
      </c>
      <c r="V1741" s="296" t="s">
        <v>355</v>
      </c>
      <c r="W1741" s="417"/>
      <c r="X1741" s="417"/>
    </row>
    <row r="1742" spans="1:24" ht="13.5" x14ac:dyDescent="0.15">
      <c r="A1742" s="416">
        <v>3741561</v>
      </c>
      <c r="B1742" s="296" t="s">
        <v>351</v>
      </c>
      <c r="C1742" s="296" t="s">
        <v>1796</v>
      </c>
      <c r="D1742" s="296" t="s">
        <v>353</v>
      </c>
      <c r="E1742" s="296" t="s">
        <v>32</v>
      </c>
      <c r="F1742" s="416">
        <v>331</v>
      </c>
      <c r="G1742" s="296" t="s">
        <v>19</v>
      </c>
      <c r="H1742" s="296" t="s">
        <v>20</v>
      </c>
      <c r="I1742" s="296" t="s">
        <v>21</v>
      </c>
      <c r="J1742" s="296" t="s">
        <v>928</v>
      </c>
      <c r="K1742" s="296" t="s">
        <v>54</v>
      </c>
      <c r="L1742" s="296">
        <v>38</v>
      </c>
      <c r="M1742" s="296" t="s">
        <v>53</v>
      </c>
      <c r="N1742" s="296">
        <v>1330</v>
      </c>
      <c r="O1742" s="296">
        <v>1330</v>
      </c>
      <c r="P1742" s="296">
        <v>6000</v>
      </c>
      <c r="Q1742" s="416">
        <v>2</v>
      </c>
      <c r="R1742" s="296">
        <v>14</v>
      </c>
      <c r="S1742" s="296" t="s">
        <v>354</v>
      </c>
      <c r="T1742" s="296" t="s">
        <v>1946</v>
      </c>
      <c r="U1742" s="296" t="s">
        <v>1947</v>
      </c>
      <c r="V1742" s="296" t="s">
        <v>355</v>
      </c>
      <c r="W1742" s="417"/>
      <c r="X1742" s="417"/>
    </row>
    <row r="1743" spans="1:24" ht="13.5" x14ac:dyDescent="0.15">
      <c r="A1743" s="416">
        <v>3741562</v>
      </c>
      <c r="B1743" s="296" t="s">
        <v>351</v>
      </c>
      <c r="C1743" s="296" t="s">
        <v>1796</v>
      </c>
      <c r="D1743" s="296" t="s">
        <v>353</v>
      </c>
      <c r="E1743" s="296" t="s">
        <v>32</v>
      </c>
      <c r="F1743" s="416">
        <v>3</v>
      </c>
      <c r="G1743" s="296" t="s">
        <v>19</v>
      </c>
      <c r="H1743" s="296" t="s">
        <v>20</v>
      </c>
      <c r="I1743" s="296" t="s">
        <v>21</v>
      </c>
      <c r="J1743" s="296" t="s">
        <v>928</v>
      </c>
      <c r="K1743" s="296" t="s">
        <v>56</v>
      </c>
      <c r="L1743" s="296">
        <v>75</v>
      </c>
      <c r="M1743" s="296" t="s">
        <v>376</v>
      </c>
      <c r="N1743" s="296">
        <v>1330</v>
      </c>
      <c r="O1743" s="296">
        <v>1330</v>
      </c>
      <c r="P1743" s="296">
        <v>4100</v>
      </c>
      <c r="Q1743" s="416">
        <v>2</v>
      </c>
      <c r="R1743" s="296">
        <v>41</v>
      </c>
      <c r="S1743" s="296" t="s">
        <v>354</v>
      </c>
      <c r="T1743" s="296" t="s">
        <v>1946</v>
      </c>
      <c r="U1743" s="296" t="s">
        <v>1947</v>
      </c>
      <c r="V1743" s="296" t="s">
        <v>355</v>
      </c>
      <c r="W1743" s="417"/>
      <c r="X1743" s="417"/>
    </row>
    <row r="1744" spans="1:24" ht="13.5" x14ac:dyDescent="0.15">
      <c r="A1744" s="416">
        <v>3741563</v>
      </c>
      <c r="B1744" s="296" t="s">
        <v>351</v>
      </c>
      <c r="C1744" s="296" t="s">
        <v>1801</v>
      </c>
      <c r="D1744" s="296" t="s">
        <v>353</v>
      </c>
      <c r="E1744" s="296" t="s">
        <v>371</v>
      </c>
      <c r="F1744" s="416">
        <v>3</v>
      </c>
      <c r="G1744" s="296" t="s">
        <v>19</v>
      </c>
      <c r="H1744" s="296" t="s">
        <v>28</v>
      </c>
      <c r="I1744" s="296" t="s">
        <v>21</v>
      </c>
      <c r="J1744" s="296" t="s">
        <v>928</v>
      </c>
      <c r="K1744" s="296" t="s">
        <v>465</v>
      </c>
      <c r="L1744" s="296">
        <v>75</v>
      </c>
      <c r="M1744" s="296" t="s">
        <v>466</v>
      </c>
      <c r="N1744" s="296">
        <v>1040</v>
      </c>
      <c r="O1744" s="296">
        <v>1040</v>
      </c>
      <c r="P1744" s="296">
        <v>4000</v>
      </c>
      <c r="Q1744" s="416">
        <v>1</v>
      </c>
      <c r="R1744" s="296">
        <v>1</v>
      </c>
      <c r="S1744" s="296" t="s">
        <v>354</v>
      </c>
      <c r="T1744" s="296" t="s">
        <v>1946</v>
      </c>
      <c r="U1744" s="296" t="s">
        <v>1947</v>
      </c>
      <c r="V1744" s="296" t="s">
        <v>355</v>
      </c>
      <c r="W1744" s="417"/>
      <c r="X1744" s="417"/>
    </row>
    <row r="1745" spans="1:24" ht="13.5" x14ac:dyDescent="0.15">
      <c r="A1745" s="416">
        <v>3741564</v>
      </c>
      <c r="B1745" s="296" t="s">
        <v>351</v>
      </c>
      <c r="C1745" s="296" t="s">
        <v>1801</v>
      </c>
      <c r="D1745" s="296" t="s">
        <v>353</v>
      </c>
      <c r="E1745" s="296" t="s">
        <v>371</v>
      </c>
      <c r="F1745" s="416">
        <v>3</v>
      </c>
      <c r="G1745" s="296" t="s">
        <v>19</v>
      </c>
      <c r="H1745" s="296" t="s">
        <v>28</v>
      </c>
      <c r="I1745" s="296" t="s">
        <v>21</v>
      </c>
      <c r="J1745" s="296" t="s">
        <v>928</v>
      </c>
      <c r="K1745" s="296" t="s">
        <v>60</v>
      </c>
      <c r="L1745" s="296">
        <v>75</v>
      </c>
      <c r="M1745" s="296" t="s">
        <v>372</v>
      </c>
      <c r="N1745" s="296">
        <v>1040</v>
      </c>
      <c r="O1745" s="296">
        <v>1040</v>
      </c>
      <c r="P1745" s="296">
        <v>4000</v>
      </c>
      <c r="Q1745" s="416">
        <v>1</v>
      </c>
      <c r="R1745" s="296">
        <v>1</v>
      </c>
      <c r="S1745" s="296" t="s">
        <v>354</v>
      </c>
      <c r="T1745" s="296" t="s">
        <v>1946</v>
      </c>
      <c r="U1745" s="296" t="s">
        <v>1947</v>
      </c>
      <c r="V1745" s="296" t="s">
        <v>355</v>
      </c>
      <c r="W1745" s="417"/>
      <c r="X1745" s="417"/>
    </row>
    <row r="1746" spans="1:24" ht="13.5" x14ac:dyDescent="0.15">
      <c r="A1746" s="416">
        <v>3741565</v>
      </c>
      <c r="B1746" s="296" t="s">
        <v>351</v>
      </c>
      <c r="C1746" s="296" t="s">
        <v>1803</v>
      </c>
      <c r="D1746" s="296" t="s">
        <v>353</v>
      </c>
      <c r="E1746" s="296" t="s">
        <v>369</v>
      </c>
      <c r="F1746" s="416">
        <v>331</v>
      </c>
      <c r="G1746" s="296" t="s">
        <v>19</v>
      </c>
      <c r="H1746" s="296" t="s">
        <v>20</v>
      </c>
      <c r="I1746" s="296" t="s">
        <v>21</v>
      </c>
      <c r="J1746" s="296" t="s">
        <v>928</v>
      </c>
      <c r="K1746" s="296" t="s">
        <v>47</v>
      </c>
      <c r="L1746" s="296">
        <v>38</v>
      </c>
      <c r="M1746" s="296" t="s">
        <v>53</v>
      </c>
      <c r="N1746" s="296">
        <v>535</v>
      </c>
      <c r="O1746" s="296">
        <v>535</v>
      </c>
      <c r="P1746" s="296">
        <v>6000</v>
      </c>
      <c r="Q1746" s="416">
        <v>2</v>
      </c>
      <c r="R1746" s="296">
        <v>4</v>
      </c>
      <c r="S1746" s="296" t="s">
        <v>354</v>
      </c>
      <c r="T1746" s="296" t="s">
        <v>1946</v>
      </c>
      <c r="U1746" s="296" t="s">
        <v>1947</v>
      </c>
      <c r="V1746" s="296" t="s">
        <v>355</v>
      </c>
      <c r="W1746" s="417"/>
      <c r="X1746" s="417"/>
    </row>
    <row r="1747" spans="1:24" ht="13.5" x14ac:dyDescent="0.15">
      <c r="A1747" s="416">
        <v>3741566</v>
      </c>
      <c r="B1747" s="296" t="s">
        <v>351</v>
      </c>
      <c r="C1747" s="296" t="s">
        <v>1803</v>
      </c>
      <c r="D1747" s="296" t="s">
        <v>353</v>
      </c>
      <c r="E1747" s="296" t="s">
        <v>362</v>
      </c>
      <c r="F1747" s="416">
        <v>3</v>
      </c>
      <c r="G1747" s="296" t="s">
        <v>19</v>
      </c>
      <c r="H1747" s="296" t="s">
        <v>20</v>
      </c>
      <c r="I1747" s="296" t="s">
        <v>21</v>
      </c>
      <c r="J1747" s="296" t="s">
        <v>928</v>
      </c>
      <c r="K1747" s="296" t="s">
        <v>88</v>
      </c>
      <c r="L1747" s="296">
        <v>188</v>
      </c>
      <c r="M1747" s="296" t="s">
        <v>361</v>
      </c>
      <c r="N1747" s="296">
        <v>1130</v>
      </c>
      <c r="O1747" s="296">
        <v>1130</v>
      </c>
      <c r="P1747" s="296">
        <v>1620</v>
      </c>
      <c r="Q1747" s="416">
        <v>2</v>
      </c>
      <c r="R1747" s="296">
        <v>30</v>
      </c>
      <c r="S1747" s="296" t="s">
        <v>354</v>
      </c>
      <c r="T1747" s="296" t="s">
        <v>1946</v>
      </c>
      <c r="U1747" s="296" t="s">
        <v>1948</v>
      </c>
      <c r="V1747" s="296" t="s">
        <v>355</v>
      </c>
      <c r="W1747" s="417"/>
      <c r="X1747" s="417"/>
    </row>
    <row r="1748" spans="1:24" ht="13.5" x14ac:dyDescent="0.15">
      <c r="A1748" s="416">
        <v>3741567</v>
      </c>
      <c r="B1748" s="296" t="s">
        <v>351</v>
      </c>
      <c r="C1748" s="296" t="s">
        <v>1803</v>
      </c>
      <c r="D1748" s="296" t="s">
        <v>353</v>
      </c>
      <c r="E1748" s="296" t="s">
        <v>373</v>
      </c>
      <c r="F1748" s="416">
        <v>3</v>
      </c>
      <c r="G1748" s="296" t="s">
        <v>19</v>
      </c>
      <c r="H1748" s="296" t="s">
        <v>20</v>
      </c>
      <c r="I1748" s="296" t="s">
        <v>21</v>
      </c>
      <c r="J1748" s="296" t="s">
        <v>928</v>
      </c>
      <c r="K1748" s="296" t="s">
        <v>80</v>
      </c>
      <c r="L1748" s="296">
        <v>31</v>
      </c>
      <c r="M1748" s="296" t="s">
        <v>374</v>
      </c>
      <c r="N1748" s="296">
        <v>440</v>
      </c>
      <c r="O1748" s="296">
        <v>440</v>
      </c>
      <c r="P1748" s="296">
        <v>6500</v>
      </c>
      <c r="Q1748" s="416">
        <v>1</v>
      </c>
      <c r="R1748" s="296">
        <v>30</v>
      </c>
      <c r="S1748" s="296" t="s">
        <v>354</v>
      </c>
      <c r="T1748" s="296" t="s">
        <v>1946</v>
      </c>
      <c r="U1748" s="296" t="s">
        <v>1948</v>
      </c>
      <c r="V1748" s="296" t="s">
        <v>355</v>
      </c>
      <c r="W1748" s="417"/>
      <c r="X1748" s="417"/>
    </row>
    <row r="1749" spans="1:24" ht="13.5" x14ac:dyDescent="0.15">
      <c r="A1749" s="416">
        <v>3741568</v>
      </c>
      <c r="B1749" s="296" t="s">
        <v>351</v>
      </c>
      <c r="C1749" s="296" t="s">
        <v>1796</v>
      </c>
      <c r="D1749" s="296" t="s">
        <v>353</v>
      </c>
      <c r="E1749" s="296" t="s">
        <v>32</v>
      </c>
      <c r="F1749" s="416">
        <v>331</v>
      </c>
      <c r="G1749" s="296" t="s">
        <v>19</v>
      </c>
      <c r="H1749" s="296" t="s">
        <v>20</v>
      </c>
      <c r="I1749" s="296" t="s">
        <v>21</v>
      </c>
      <c r="J1749" s="296" t="s">
        <v>928</v>
      </c>
      <c r="K1749" s="296" t="s">
        <v>33</v>
      </c>
      <c r="L1749" s="296">
        <v>38</v>
      </c>
      <c r="M1749" s="296" t="s">
        <v>30</v>
      </c>
      <c r="N1749" s="296">
        <v>1580</v>
      </c>
      <c r="O1749" s="296">
        <v>1580</v>
      </c>
      <c r="P1749" s="296">
        <v>6000</v>
      </c>
      <c r="Q1749" s="416">
        <v>2</v>
      </c>
      <c r="R1749" s="296">
        <v>4</v>
      </c>
      <c r="S1749" s="296" t="s">
        <v>354</v>
      </c>
      <c r="T1749" s="296" t="s">
        <v>1946</v>
      </c>
      <c r="U1749" s="296" t="s">
        <v>1947</v>
      </c>
      <c r="V1749" s="296" t="s">
        <v>355</v>
      </c>
      <c r="W1749" s="417"/>
      <c r="X1749" s="417"/>
    </row>
    <row r="1750" spans="1:24" ht="13.5" x14ac:dyDescent="0.15">
      <c r="A1750" s="416">
        <v>3741569</v>
      </c>
      <c r="B1750" s="296" t="s">
        <v>351</v>
      </c>
      <c r="C1750" s="296" t="s">
        <v>1796</v>
      </c>
      <c r="D1750" s="296" t="s">
        <v>353</v>
      </c>
      <c r="E1750" s="296" t="s">
        <v>17</v>
      </c>
      <c r="F1750" s="416">
        <v>331</v>
      </c>
      <c r="G1750" s="296" t="s">
        <v>19</v>
      </c>
      <c r="H1750" s="296" t="s">
        <v>20</v>
      </c>
      <c r="I1750" s="296" t="s">
        <v>21</v>
      </c>
      <c r="J1750" s="296" t="s">
        <v>928</v>
      </c>
      <c r="K1750" s="296" t="s">
        <v>29</v>
      </c>
      <c r="L1750" s="296">
        <v>38</v>
      </c>
      <c r="M1750" s="296" t="s">
        <v>30</v>
      </c>
      <c r="N1750" s="296">
        <v>1330</v>
      </c>
      <c r="O1750" s="296">
        <v>1330</v>
      </c>
      <c r="P1750" s="296">
        <v>6000</v>
      </c>
      <c r="Q1750" s="416">
        <v>2</v>
      </c>
      <c r="R1750" s="296">
        <v>10</v>
      </c>
      <c r="S1750" s="296" t="s">
        <v>354</v>
      </c>
      <c r="T1750" s="296" t="s">
        <v>1946</v>
      </c>
      <c r="U1750" s="296" t="s">
        <v>1947</v>
      </c>
      <c r="V1750" s="296" t="s">
        <v>355</v>
      </c>
      <c r="W1750" s="417"/>
      <c r="X1750" s="417"/>
    </row>
    <row r="1751" spans="1:24" ht="13.5" x14ac:dyDescent="0.15">
      <c r="A1751" s="416">
        <v>3741570</v>
      </c>
      <c r="B1751" s="296" t="s">
        <v>351</v>
      </c>
      <c r="C1751" s="296" t="s">
        <v>1796</v>
      </c>
      <c r="D1751" s="296" t="s">
        <v>353</v>
      </c>
      <c r="E1751" s="296" t="s">
        <v>32</v>
      </c>
      <c r="F1751" s="416">
        <v>331</v>
      </c>
      <c r="G1751" s="296" t="s">
        <v>19</v>
      </c>
      <c r="H1751" s="296" t="s">
        <v>20</v>
      </c>
      <c r="I1751" s="296" t="s">
        <v>21</v>
      </c>
      <c r="J1751" s="296" t="s">
        <v>928</v>
      </c>
      <c r="K1751" s="296" t="s">
        <v>33</v>
      </c>
      <c r="L1751" s="296">
        <v>38</v>
      </c>
      <c r="M1751" s="296" t="s">
        <v>30</v>
      </c>
      <c r="N1751" s="296">
        <v>1330</v>
      </c>
      <c r="O1751" s="296">
        <v>1330</v>
      </c>
      <c r="P1751" s="296">
        <v>6000</v>
      </c>
      <c r="Q1751" s="416">
        <v>2</v>
      </c>
      <c r="R1751" s="296">
        <v>10</v>
      </c>
      <c r="S1751" s="296" t="s">
        <v>354</v>
      </c>
      <c r="T1751" s="296" t="s">
        <v>1946</v>
      </c>
      <c r="U1751" s="296" t="s">
        <v>1947</v>
      </c>
      <c r="V1751" s="296" t="s">
        <v>355</v>
      </c>
      <c r="W1751" s="417"/>
      <c r="X1751" s="417"/>
    </row>
    <row r="1752" spans="1:24" ht="13.5" x14ac:dyDescent="0.15">
      <c r="A1752" s="416">
        <v>3741571</v>
      </c>
      <c r="B1752" s="296" t="s">
        <v>351</v>
      </c>
      <c r="C1752" s="296" t="s">
        <v>1814</v>
      </c>
      <c r="D1752" s="296" t="s">
        <v>353</v>
      </c>
      <c r="E1752" s="296" t="s">
        <v>40</v>
      </c>
      <c r="F1752" s="416">
        <v>3</v>
      </c>
      <c r="G1752" s="296" t="s">
        <v>19</v>
      </c>
      <c r="H1752" s="296" t="s">
        <v>20</v>
      </c>
      <c r="I1752" s="296" t="s">
        <v>21</v>
      </c>
      <c r="J1752" s="296" t="s">
        <v>928</v>
      </c>
      <c r="K1752" s="296" t="s">
        <v>42</v>
      </c>
      <c r="L1752" s="296">
        <v>25</v>
      </c>
      <c r="M1752" s="296" t="s">
        <v>43</v>
      </c>
      <c r="N1752" s="296">
        <v>1085</v>
      </c>
      <c r="O1752" s="296">
        <v>1080</v>
      </c>
      <c r="P1752" s="296">
        <v>6000</v>
      </c>
      <c r="Q1752" s="416">
        <v>2</v>
      </c>
      <c r="R1752" s="296">
        <v>6</v>
      </c>
      <c r="S1752" s="296" t="s">
        <v>354</v>
      </c>
      <c r="T1752" s="296" t="s">
        <v>1946</v>
      </c>
      <c r="U1752" s="296" t="s">
        <v>1947</v>
      </c>
      <c r="V1752" s="296" t="s">
        <v>355</v>
      </c>
      <c r="W1752" s="417"/>
      <c r="X1752" s="417"/>
    </row>
    <row r="1753" spans="1:24" ht="13.5" x14ac:dyDescent="0.15">
      <c r="A1753" s="416">
        <v>3741572</v>
      </c>
      <c r="B1753" s="296" t="s">
        <v>351</v>
      </c>
      <c r="C1753" s="296" t="s">
        <v>1796</v>
      </c>
      <c r="D1753" s="296" t="s">
        <v>353</v>
      </c>
      <c r="E1753" s="296" t="s">
        <v>17</v>
      </c>
      <c r="F1753" s="416">
        <v>3</v>
      </c>
      <c r="G1753" s="296" t="s">
        <v>19</v>
      </c>
      <c r="H1753" s="296" t="s">
        <v>20</v>
      </c>
      <c r="I1753" s="296" t="s">
        <v>21</v>
      </c>
      <c r="J1753" s="296" t="s">
        <v>928</v>
      </c>
      <c r="K1753" s="296" t="s">
        <v>22</v>
      </c>
      <c r="L1753" s="296">
        <v>38</v>
      </c>
      <c r="M1753" s="296" t="s">
        <v>23</v>
      </c>
      <c r="N1753" s="296">
        <v>1057</v>
      </c>
      <c r="O1753" s="296">
        <v>1050</v>
      </c>
      <c r="P1753" s="296">
        <v>8400</v>
      </c>
      <c r="Q1753" s="416">
        <v>2</v>
      </c>
      <c r="R1753" s="296">
        <v>6</v>
      </c>
      <c r="S1753" s="296" t="s">
        <v>354</v>
      </c>
      <c r="T1753" s="296" t="s">
        <v>1946</v>
      </c>
      <c r="U1753" s="296" t="s">
        <v>1947</v>
      </c>
      <c r="V1753" s="296" t="s">
        <v>355</v>
      </c>
      <c r="W1753" s="417"/>
      <c r="X1753" s="417"/>
    </row>
    <row r="1754" spans="1:24" ht="13.5" x14ac:dyDescent="0.15">
      <c r="A1754" s="416">
        <v>3741573</v>
      </c>
      <c r="B1754" s="296" t="s">
        <v>351</v>
      </c>
      <c r="C1754" s="296" t="s">
        <v>1814</v>
      </c>
      <c r="D1754" s="296" t="s">
        <v>353</v>
      </c>
      <c r="E1754" s="296" t="s">
        <v>40</v>
      </c>
      <c r="F1754" s="416">
        <v>3</v>
      </c>
      <c r="G1754" s="296" t="s">
        <v>19</v>
      </c>
      <c r="H1754" s="296" t="s">
        <v>20</v>
      </c>
      <c r="I1754" s="296" t="s">
        <v>21</v>
      </c>
      <c r="J1754" s="296" t="s">
        <v>928</v>
      </c>
      <c r="K1754" s="296" t="s">
        <v>42</v>
      </c>
      <c r="L1754" s="296">
        <v>25</v>
      </c>
      <c r="M1754" s="296" t="s">
        <v>43</v>
      </c>
      <c r="N1754" s="296">
        <v>1045</v>
      </c>
      <c r="O1754" s="296">
        <v>1040</v>
      </c>
      <c r="P1754" s="296">
        <v>6000</v>
      </c>
      <c r="Q1754" s="416">
        <v>2</v>
      </c>
      <c r="R1754" s="296">
        <v>6</v>
      </c>
      <c r="S1754" s="296" t="s">
        <v>354</v>
      </c>
      <c r="T1754" s="296" t="s">
        <v>1946</v>
      </c>
      <c r="U1754" s="296" t="s">
        <v>1947</v>
      </c>
      <c r="V1754" s="296" t="s">
        <v>355</v>
      </c>
      <c r="W1754" s="417"/>
      <c r="X1754" s="417"/>
    </row>
    <row r="1755" spans="1:24" ht="13.5" x14ac:dyDescent="0.15">
      <c r="A1755" s="416">
        <v>3741574</v>
      </c>
      <c r="B1755" s="296" t="s">
        <v>351</v>
      </c>
      <c r="C1755" s="296" t="s">
        <v>1796</v>
      </c>
      <c r="D1755" s="296" t="s">
        <v>353</v>
      </c>
      <c r="E1755" s="296" t="s">
        <v>17</v>
      </c>
      <c r="F1755" s="416">
        <v>3</v>
      </c>
      <c r="G1755" s="296" t="s">
        <v>19</v>
      </c>
      <c r="H1755" s="296" t="s">
        <v>20</v>
      </c>
      <c r="I1755" s="296" t="s">
        <v>21</v>
      </c>
      <c r="J1755" s="296" t="s">
        <v>928</v>
      </c>
      <c r="K1755" s="296" t="s">
        <v>22</v>
      </c>
      <c r="L1755" s="296">
        <v>38</v>
      </c>
      <c r="M1755" s="296" t="s">
        <v>23</v>
      </c>
      <c r="N1755" s="296">
        <v>1037</v>
      </c>
      <c r="O1755" s="296">
        <v>1030</v>
      </c>
      <c r="P1755" s="296">
        <v>8500</v>
      </c>
      <c r="Q1755" s="416">
        <v>2</v>
      </c>
      <c r="R1755" s="296">
        <v>62</v>
      </c>
      <c r="S1755" s="296" t="s">
        <v>354</v>
      </c>
      <c r="T1755" s="296" t="s">
        <v>1946</v>
      </c>
      <c r="U1755" s="296" t="s">
        <v>1947</v>
      </c>
      <c r="V1755" s="296" t="s">
        <v>355</v>
      </c>
      <c r="W1755" s="417"/>
      <c r="X1755" s="417"/>
    </row>
    <row r="1756" spans="1:24" ht="13.5" x14ac:dyDescent="0.15">
      <c r="A1756" s="416">
        <v>3741575</v>
      </c>
      <c r="B1756" s="296" t="s">
        <v>351</v>
      </c>
      <c r="C1756" s="296" t="s">
        <v>1796</v>
      </c>
      <c r="D1756" s="296" t="s">
        <v>353</v>
      </c>
      <c r="E1756" s="296" t="s">
        <v>17</v>
      </c>
      <c r="F1756" s="416">
        <v>3</v>
      </c>
      <c r="G1756" s="296" t="s">
        <v>19</v>
      </c>
      <c r="H1756" s="296" t="s">
        <v>28</v>
      </c>
      <c r="I1756" s="296" t="s">
        <v>21</v>
      </c>
      <c r="J1756" s="296" t="s">
        <v>928</v>
      </c>
      <c r="K1756" s="296" t="s">
        <v>22</v>
      </c>
      <c r="L1756" s="296">
        <v>38</v>
      </c>
      <c r="M1756" s="296" t="s">
        <v>1815</v>
      </c>
      <c r="N1756" s="296">
        <v>1037</v>
      </c>
      <c r="O1756" s="296">
        <v>1030</v>
      </c>
      <c r="P1756" s="296">
        <v>8500</v>
      </c>
      <c r="Q1756" s="416">
        <v>2</v>
      </c>
      <c r="R1756" s="296">
        <v>30</v>
      </c>
      <c r="S1756" s="296" t="s">
        <v>354</v>
      </c>
      <c r="T1756" s="296" t="s">
        <v>1946</v>
      </c>
      <c r="U1756" s="296" t="s">
        <v>1947</v>
      </c>
      <c r="V1756" s="296" t="s">
        <v>355</v>
      </c>
      <c r="W1756" s="417"/>
      <c r="X1756" s="417"/>
    </row>
    <row r="1757" spans="1:24" ht="13.5" x14ac:dyDescent="0.15">
      <c r="A1757" s="416">
        <v>3741576</v>
      </c>
      <c r="B1757" s="296" t="s">
        <v>351</v>
      </c>
      <c r="C1757" s="296" t="s">
        <v>1796</v>
      </c>
      <c r="D1757" s="296" t="s">
        <v>353</v>
      </c>
      <c r="E1757" s="296" t="s">
        <v>377</v>
      </c>
      <c r="F1757" s="416">
        <v>3</v>
      </c>
      <c r="G1757" s="296" t="s">
        <v>19</v>
      </c>
      <c r="H1757" s="296" t="s">
        <v>20</v>
      </c>
      <c r="I1757" s="296" t="s">
        <v>21</v>
      </c>
      <c r="J1757" s="296" t="s">
        <v>928</v>
      </c>
      <c r="K1757" s="296" t="s">
        <v>36</v>
      </c>
      <c r="L1757" s="296">
        <v>25</v>
      </c>
      <c r="M1757" s="296" t="s">
        <v>37</v>
      </c>
      <c r="N1757" s="296">
        <v>890</v>
      </c>
      <c r="O1757" s="296">
        <v>890</v>
      </c>
      <c r="P1757" s="296">
        <v>3800</v>
      </c>
      <c r="Q1757" s="416">
        <v>2</v>
      </c>
      <c r="R1757" s="296">
        <v>12</v>
      </c>
      <c r="S1757" s="296" t="s">
        <v>354</v>
      </c>
      <c r="T1757" s="296" t="s">
        <v>1946</v>
      </c>
      <c r="U1757" s="296" t="s">
        <v>1947</v>
      </c>
      <c r="V1757" s="296" t="s">
        <v>355</v>
      </c>
      <c r="W1757" s="417"/>
      <c r="X1757" s="417"/>
    </row>
    <row r="1758" spans="1:24" ht="13.5" x14ac:dyDescent="0.15">
      <c r="A1758" s="416">
        <v>3741577</v>
      </c>
      <c r="B1758" s="296" t="s">
        <v>351</v>
      </c>
      <c r="C1758" s="296" t="s">
        <v>1801</v>
      </c>
      <c r="D1758" s="296" t="s">
        <v>353</v>
      </c>
      <c r="E1758" s="296" t="s">
        <v>371</v>
      </c>
      <c r="F1758" s="416">
        <v>331</v>
      </c>
      <c r="G1758" s="296" t="s">
        <v>19</v>
      </c>
      <c r="H1758" s="296" t="s">
        <v>20</v>
      </c>
      <c r="I1758" s="296" t="s">
        <v>21</v>
      </c>
      <c r="J1758" s="296" t="s">
        <v>928</v>
      </c>
      <c r="K1758" s="296" t="s">
        <v>118</v>
      </c>
      <c r="L1758" s="296">
        <v>25</v>
      </c>
      <c r="M1758" s="296" t="s">
        <v>119</v>
      </c>
      <c r="N1758" s="296">
        <v>1425</v>
      </c>
      <c r="O1758" s="296">
        <v>1420</v>
      </c>
      <c r="P1758" s="296">
        <v>12400</v>
      </c>
      <c r="Q1758" s="416">
        <v>2</v>
      </c>
      <c r="R1758" s="296">
        <v>1</v>
      </c>
      <c r="S1758" s="296" t="s">
        <v>354</v>
      </c>
      <c r="T1758" s="296" t="s">
        <v>1946</v>
      </c>
      <c r="U1758" s="296" t="s">
        <v>1949</v>
      </c>
      <c r="V1758" s="296" t="s">
        <v>355</v>
      </c>
      <c r="W1758" s="417"/>
      <c r="X1758" s="417"/>
    </row>
    <row r="1759" spans="1:24" ht="13.5" x14ac:dyDescent="0.15">
      <c r="A1759" s="416">
        <v>3741578</v>
      </c>
      <c r="B1759" s="296" t="s">
        <v>351</v>
      </c>
      <c r="C1759" s="296" t="s">
        <v>1801</v>
      </c>
      <c r="D1759" s="296" t="s">
        <v>353</v>
      </c>
      <c r="E1759" s="296" t="s">
        <v>116</v>
      </c>
      <c r="F1759" s="416">
        <v>3</v>
      </c>
      <c r="G1759" s="296" t="s">
        <v>19</v>
      </c>
      <c r="H1759" s="296" t="s">
        <v>20</v>
      </c>
      <c r="I1759" s="296" t="s">
        <v>21</v>
      </c>
      <c r="J1759" s="296" t="s">
        <v>928</v>
      </c>
      <c r="K1759" s="296" t="s">
        <v>118</v>
      </c>
      <c r="L1759" s="296">
        <v>38</v>
      </c>
      <c r="M1759" s="296" t="s">
        <v>368</v>
      </c>
      <c r="N1759" s="296">
        <v>1415</v>
      </c>
      <c r="O1759" s="296">
        <v>1410</v>
      </c>
      <c r="P1759" s="296">
        <v>8000</v>
      </c>
      <c r="Q1759" s="416">
        <v>2</v>
      </c>
      <c r="R1759" s="296">
        <v>9</v>
      </c>
      <c r="S1759" s="296" t="s">
        <v>354</v>
      </c>
      <c r="T1759" s="296" t="s">
        <v>1946</v>
      </c>
      <c r="U1759" s="296" t="s">
        <v>1950</v>
      </c>
      <c r="V1759" s="296" t="s">
        <v>355</v>
      </c>
      <c r="W1759" s="417"/>
      <c r="X1759" s="417"/>
    </row>
    <row r="1760" spans="1:24" ht="13.5" x14ac:dyDescent="0.15">
      <c r="A1760" s="416">
        <v>3741579</v>
      </c>
      <c r="B1760" s="296" t="s">
        <v>351</v>
      </c>
      <c r="C1760" s="296" t="s">
        <v>1796</v>
      </c>
      <c r="D1760" s="296" t="s">
        <v>353</v>
      </c>
      <c r="E1760" s="296" t="s">
        <v>106</v>
      </c>
      <c r="F1760" s="416">
        <v>3</v>
      </c>
      <c r="G1760" s="296" t="s">
        <v>19</v>
      </c>
      <c r="H1760" s="296" t="s">
        <v>20</v>
      </c>
      <c r="I1760" s="296" t="s">
        <v>21</v>
      </c>
      <c r="J1760" s="296" t="s">
        <v>928</v>
      </c>
      <c r="K1760" s="296" t="s">
        <v>107</v>
      </c>
      <c r="L1760" s="296">
        <v>25</v>
      </c>
      <c r="M1760" s="296" t="s">
        <v>367</v>
      </c>
      <c r="N1760" s="296">
        <v>1240</v>
      </c>
      <c r="O1760" s="296">
        <v>1240</v>
      </c>
      <c r="P1760" s="296">
        <v>6000</v>
      </c>
      <c r="Q1760" s="416">
        <v>2</v>
      </c>
      <c r="R1760" s="296">
        <v>20</v>
      </c>
      <c r="S1760" s="296" t="s">
        <v>354</v>
      </c>
      <c r="T1760" s="296" t="s">
        <v>1946</v>
      </c>
      <c r="U1760" s="296" t="s">
        <v>1949</v>
      </c>
      <c r="V1760" s="296" t="s">
        <v>355</v>
      </c>
      <c r="W1760" s="417"/>
      <c r="X1760" s="417"/>
    </row>
    <row r="1761" spans="1:24" ht="13.5" x14ac:dyDescent="0.15">
      <c r="A1761" s="416">
        <v>3741580</v>
      </c>
      <c r="B1761" s="296" t="s">
        <v>351</v>
      </c>
      <c r="C1761" s="296" t="s">
        <v>1796</v>
      </c>
      <c r="D1761" s="296" t="s">
        <v>353</v>
      </c>
      <c r="E1761" s="296" t="s">
        <v>106</v>
      </c>
      <c r="F1761" s="416">
        <v>3</v>
      </c>
      <c r="G1761" s="296" t="s">
        <v>19</v>
      </c>
      <c r="H1761" s="296" t="s">
        <v>20</v>
      </c>
      <c r="I1761" s="296" t="s">
        <v>21</v>
      </c>
      <c r="J1761" s="296" t="s">
        <v>928</v>
      </c>
      <c r="K1761" s="296" t="s">
        <v>107</v>
      </c>
      <c r="L1761" s="296">
        <v>25</v>
      </c>
      <c r="M1761" s="296" t="s">
        <v>367</v>
      </c>
      <c r="N1761" s="296">
        <v>1240</v>
      </c>
      <c r="O1761" s="296">
        <v>1240</v>
      </c>
      <c r="P1761" s="296">
        <v>6000</v>
      </c>
      <c r="Q1761" s="416">
        <v>2</v>
      </c>
      <c r="R1761" s="296">
        <v>10</v>
      </c>
      <c r="S1761" s="296" t="s">
        <v>354</v>
      </c>
      <c r="T1761" s="296" t="s">
        <v>1946</v>
      </c>
      <c r="U1761" s="296" t="s">
        <v>1949</v>
      </c>
      <c r="V1761" s="296" t="s">
        <v>355</v>
      </c>
      <c r="W1761" s="417"/>
      <c r="X1761" s="417"/>
    </row>
    <row r="1762" spans="1:24" ht="13.5" x14ac:dyDescent="0.15">
      <c r="A1762" s="416">
        <v>3741581</v>
      </c>
      <c r="B1762" s="296" t="s">
        <v>351</v>
      </c>
      <c r="C1762" s="296" t="s">
        <v>1796</v>
      </c>
      <c r="D1762" s="296" t="s">
        <v>353</v>
      </c>
      <c r="E1762" s="296" t="s">
        <v>106</v>
      </c>
      <c r="F1762" s="416">
        <v>3</v>
      </c>
      <c r="G1762" s="296" t="s">
        <v>19</v>
      </c>
      <c r="H1762" s="296" t="s">
        <v>20</v>
      </c>
      <c r="I1762" s="296" t="s">
        <v>21</v>
      </c>
      <c r="J1762" s="296" t="s">
        <v>928</v>
      </c>
      <c r="K1762" s="296" t="s">
        <v>107</v>
      </c>
      <c r="L1762" s="296">
        <v>38</v>
      </c>
      <c r="M1762" s="296" t="s">
        <v>367</v>
      </c>
      <c r="N1762" s="296">
        <v>1240</v>
      </c>
      <c r="O1762" s="296">
        <v>1240</v>
      </c>
      <c r="P1762" s="296">
        <v>6000</v>
      </c>
      <c r="Q1762" s="416">
        <v>2</v>
      </c>
      <c r="R1762" s="296">
        <v>6</v>
      </c>
      <c r="S1762" s="296" t="s">
        <v>354</v>
      </c>
      <c r="T1762" s="296" t="s">
        <v>1946</v>
      </c>
      <c r="U1762" s="296" t="s">
        <v>1949</v>
      </c>
      <c r="V1762" s="296" t="s">
        <v>355</v>
      </c>
      <c r="W1762" s="417"/>
      <c r="X1762" s="417"/>
    </row>
    <row r="1763" spans="1:24" ht="13.5" x14ac:dyDescent="0.15">
      <c r="A1763" s="416">
        <v>3741582</v>
      </c>
      <c r="B1763" s="296" t="s">
        <v>351</v>
      </c>
      <c r="C1763" s="296" t="s">
        <v>1801</v>
      </c>
      <c r="D1763" s="296" t="s">
        <v>353</v>
      </c>
      <c r="E1763" s="296" t="s">
        <v>371</v>
      </c>
      <c r="F1763" s="416">
        <v>330</v>
      </c>
      <c r="G1763" s="296" t="s">
        <v>19</v>
      </c>
      <c r="H1763" s="296" t="s">
        <v>20</v>
      </c>
      <c r="I1763" s="296" t="s">
        <v>21</v>
      </c>
      <c r="J1763" s="296" t="s">
        <v>928</v>
      </c>
      <c r="K1763" s="296" t="s">
        <v>118</v>
      </c>
      <c r="L1763" s="296">
        <v>25</v>
      </c>
      <c r="M1763" s="296" t="s">
        <v>119</v>
      </c>
      <c r="N1763" s="296">
        <v>1155</v>
      </c>
      <c r="O1763" s="296">
        <v>1150</v>
      </c>
      <c r="P1763" s="296">
        <v>12400</v>
      </c>
      <c r="Q1763" s="416">
        <v>2</v>
      </c>
      <c r="R1763" s="296">
        <v>3</v>
      </c>
      <c r="S1763" s="296" t="s">
        <v>354</v>
      </c>
      <c r="T1763" s="296" t="s">
        <v>1946</v>
      </c>
      <c r="U1763" s="296" t="s">
        <v>1949</v>
      </c>
      <c r="V1763" s="296" t="s">
        <v>355</v>
      </c>
      <c r="W1763" s="417"/>
      <c r="X1763" s="417"/>
    </row>
    <row r="1764" spans="1:24" ht="13.5" x14ac:dyDescent="0.15">
      <c r="A1764" s="416">
        <v>3741583</v>
      </c>
      <c r="B1764" s="296" t="s">
        <v>351</v>
      </c>
      <c r="C1764" s="296" t="s">
        <v>1796</v>
      </c>
      <c r="D1764" s="296" t="s">
        <v>353</v>
      </c>
      <c r="E1764" s="296" t="s">
        <v>115</v>
      </c>
      <c r="F1764" s="416">
        <v>3</v>
      </c>
      <c r="G1764" s="296" t="s">
        <v>19</v>
      </c>
      <c r="H1764" s="296" t="s">
        <v>20</v>
      </c>
      <c r="I1764" s="296" t="s">
        <v>21</v>
      </c>
      <c r="J1764" s="296" t="s">
        <v>928</v>
      </c>
      <c r="K1764" s="296" t="s">
        <v>112</v>
      </c>
      <c r="L1764" s="296">
        <v>38</v>
      </c>
      <c r="M1764" s="296" t="s">
        <v>357</v>
      </c>
      <c r="N1764" s="296">
        <v>1135</v>
      </c>
      <c r="O1764" s="296">
        <v>1130</v>
      </c>
      <c r="P1764" s="296">
        <v>6000</v>
      </c>
      <c r="Q1764" s="416">
        <v>2</v>
      </c>
      <c r="R1764" s="296">
        <v>4</v>
      </c>
      <c r="S1764" s="296" t="s">
        <v>354</v>
      </c>
      <c r="T1764" s="296" t="s">
        <v>1946</v>
      </c>
      <c r="U1764" s="296" t="s">
        <v>1949</v>
      </c>
      <c r="V1764" s="296" t="s">
        <v>355</v>
      </c>
      <c r="W1764" s="417"/>
      <c r="X1764" s="417"/>
    </row>
    <row r="1765" spans="1:24" ht="13.5" x14ac:dyDescent="0.15">
      <c r="A1765" s="416">
        <v>3741584</v>
      </c>
      <c r="B1765" s="296" t="s">
        <v>431</v>
      </c>
      <c r="C1765" s="296" t="s">
        <v>1803</v>
      </c>
      <c r="D1765" s="296" t="s">
        <v>353</v>
      </c>
      <c r="E1765" s="296" t="s">
        <v>928</v>
      </c>
      <c r="F1765" s="416">
        <v>3</v>
      </c>
      <c r="G1765" s="296" t="s">
        <v>265</v>
      </c>
      <c r="H1765" s="296" t="s">
        <v>20</v>
      </c>
      <c r="I1765" s="296" t="s">
        <v>21</v>
      </c>
      <c r="J1765" s="296" t="s">
        <v>928</v>
      </c>
      <c r="K1765" s="296" t="s">
        <v>118</v>
      </c>
      <c r="L1765" s="296">
        <v>25</v>
      </c>
      <c r="M1765" s="296" t="s">
        <v>119</v>
      </c>
      <c r="N1765" s="296">
        <v>1100</v>
      </c>
      <c r="O1765" s="296">
        <v>1100</v>
      </c>
      <c r="P1765" s="296">
        <v>12000</v>
      </c>
      <c r="Q1765" s="416">
        <v>2</v>
      </c>
      <c r="R1765" s="296">
        <v>40</v>
      </c>
      <c r="S1765" s="296" t="s">
        <v>354</v>
      </c>
      <c r="T1765" s="296" t="s">
        <v>1946</v>
      </c>
      <c r="U1765" s="296" t="s">
        <v>1949</v>
      </c>
      <c r="V1765" s="296" t="s">
        <v>355</v>
      </c>
      <c r="W1765" s="417"/>
      <c r="X1765" s="417"/>
    </row>
    <row r="1766" spans="1:24" ht="13.5" x14ac:dyDescent="0.15">
      <c r="A1766" s="416">
        <v>3741585</v>
      </c>
      <c r="B1766" s="296" t="s">
        <v>351</v>
      </c>
      <c r="C1766" s="296" t="s">
        <v>1796</v>
      </c>
      <c r="D1766" s="296" t="s">
        <v>353</v>
      </c>
      <c r="E1766" s="296" t="s">
        <v>106</v>
      </c>
      <c r="F1766" s="416">
        <v>3</v>
      </c>
      <c r="G1766" s="296" t="s">
        <v>19</v>
      </c>
      <c r="H1766" s="296" t="s">
        <v>20</v>
      </c>
      <c r="I1766" s="296" t="s">
        <v>21</v>
      </c>
      <c r="J1766" s="296" t="s">
        <v>928</v>
      </c>
      <c r="K1766" s="296" t="s">
        <v>107</v>
      </c>
      <c r="L1766" s="296">
        <v>25</v>
      </c>
      <c r="M1766" s="296" t="s">
        <v>367</v>
      </c>
      <c r="N1766" s="296">
        <v>1040</v>
      </c>
      <c r="O1766" s="296">
        <v>1040</v>
      </c>
      <c r="P1766" s="296">
        <v>6000</v>
      </c>
      <c r="Q1766" s="416">
        <v>2</v>
      </c>
      <c r="R1766" s="296">
        <v>36</v>
      </c>
      <c r="S1766" s="296" t="s">
        <v>354</v>
      </c>
      <c r="T1766" s="296" t="s">
        <v>1946</v>
      </c>
      <c r="U1766" s="296" t="s">
        <v>1949</v>
      </c>
      <c r="V1766" s="296" t="s">
        <v>355</v>
      </c>
      <c r="W1766" s="417"/>
      <c r="X1766" s="417"/>
    </row>
    <row r="1767" spans="1:24" ht="13.5" x14ac:dyDescent="0.15">
      <c r="A1767" s="416">
        <v>3741586</v>
      </c>
      <c r="B1767" s="296" t="s">
        <v>351</v>
      </c>
      <c r="C1767" s="296" t="s">
        <v>1796</v>
      </c>
      <c r="D1767" s="296" t="s">
        <v>353</v>
      </c>
      <c r="E1767" s="296" t="s">
        <v>106</v>
      </c>
      <c r="F1767" s="416">
        <v>3</v>
      </c>
      <c r="G1767" s="296" t="s">
        <v>19</v>
      </c>
      <c r="H1767" s="296" t="s">
        <v>20</v>
      </c>
      <c r="I1767" s="296" t="s">
        <v>21</v>
      </c>
      <c r="J1767" s="296" t="s">
        <v>928</v>
      </c>
      <c r="K1767" s="296" t="s">
        <v>107</v>
      </c>
      <c r="L1767" s="296">
        <v>38</v>
      </c>
      <c r="M1767" s="296" t="s">
        <v>367</v>
      </c>
      <c r="N1767" s="296">
        <v>1040</v>
      </c>
      <c r="O1767" s="296">
        <v>1040</v>
      </c>
      <c r="P1767" s="296">
        <v>6000</v>
      </c>
      <c r="Q1767" s="416">
        <v>2</v>
      </c>
      <c r="R1767" s="296">
        <v>2</v>
      </c>
      <c r="S1767" s="296" t="s">
        <v>354</v>
      </c>
      <c r="T1767" s="296" t="s">
        <v>1946</v>
      </c>
      <c r="U1767" s="296" t="s">
        <v>1949</v>
      </c>
      <c r="V1767" s="296" t="s">
        <v>355</v>
      </c>
      <c r="W1767" s="417"/>
      <c r="X1767" s="417"/>
    </row>
    <row r="1768" spans="1:24" ht="13.5" x14ac:dyDescent="0.15">
      <c r="A1768" s="416">
        <v>3741587</v>
      </c>
      <c r="B1768" s="296" t="s">
        <v>351</v>
      </c>
      <c r="C1768" s="296" t="s">
        <v>1803</v>
      </c>
      <c r="D1768" s="296" t="s">
        <v>353</v>
      </c>
      <c r="E1768" s="296" t="s">
        <v>110</v>
      </c>
      <c r="F1768" s="416">
        <v>331</v>
      </c>
      <c r="G1768" s="296" t="s">
        <v>19</v>
      </c>
      <c r="H1768" s="296" t="s">
        <v>20</v>
      </c>
      <c r="I1768" s="296" t="s">
        <v>21</v>
      </c>
      <c r="J1768" s="296" t="s">
        <v>928</v>
      </c>
      <c r="K1768" s="296" t="s">
        <v>112</v>
      </c>
      <c r="L1768" s="296">
        <v>25</v>
      </c>
      <c r="M1768" s="296" t="s">
        <v>357</v>
      </c>
      <c r="N1768" s="296">
        <v>450</v>
      </c>
      <c r="O1768" s="296">
        <v>450</v>
      </c>
      <c r="P1768" s="296">
        <v>4000</v>
      </c>
      <c r="Q1768" s="416">
        <v>2</v>
      </c>
      <c r="R1768" s="296">
        <v>6</v>
      </c>
      <c r="S1768" s="296" t="s">
        <v>354</v>
      </c>
      <c r="T1768" s="296" t="s">
        <v>1946</v>
      </c>
      <c r="U1768" s="296" t="s">
        <v>1949</v>
      </c>
      <c r="V1768" s="296" t="s">
        <v>355</v>
      </c>
      <c r="W1768" s="417"/>
      <c r="X1768" s="417"/>
    </row>
    <row r="1769" spans="1:24" ht="13.5" x14ac:dyDescent="0.15">
      <c r="A1769" s="416">
        <v>3741588</v>
      </c>
      <c r="B1769" s="296" t="s">
        <v>351</v>
      </c>
      <c r="C1769" s="296" t="s">
        <v>1803</v>
      </c>
      <c r="D1769" s="296" t="s">
        <v>353</v>
      </c>
      <c r="E1769" s="296" t="s">
        <v>65</v>
      </c>
      <c r="F1769" s="416">
        <v>3321</v>
      </c>
      <c r="G1769" s="296" t="s">
        <v>19</v>
      </c>
      <c r="H1769" s="296" t="s">
        <v>20</v>
      </c>
      <c r="I1769" s="296" t="s">
        <v>21</v>
      </c>
      <c r="J1769" s="296" t="s">
        <v>928</v>
      </c>
      <c r="K1769" s="296" t="s">
        <v>67</v>
      </c>
      <c r="L1769" s="296">
        <v>38</v>
      </c>
      <c r="M1769" s="296" t="s">
        <v>68</v>
      </c>
      <c r="N1769" s="296">
        <v>1336</v>
      </c>
      <c r="O1769" s="296">
        <v>1325</v>
      </c>
      <c r="P1769" s="296">
        <v>12000</v>
      </c>
      <c r="Q1769" s="416">
        <v>2</v>
      </c>
      <c r="R1769" s="296">
        <v>30</v>
      </c>
      <c r="S1769" s="296" t="s">
        <v>354</v>
      </c>
      <c r="T1769" s="296" t="s">
        <v>1946</v>
      </c>
      <c r="U1769" s="296" t="s">
        <v>1951</v>
      </c>
      <c r="V1769" s="296" t="s">
        <v>355</v>
      </c>
      <c r="W1769" s="417"/>
      <c r="X1769" s="417"/>
    </row>
    <row r="1770" spans="1:24" ht="13.5" x14ac:dyDescent="0.15">
      <c r="A1770" s="416">
        <v>3741589</v>
      </c>
      <c r="B1770" s="296" t="s">
        <v>351</v>
      </c>
      <c r="C1770" s="296" t="s">
        <v>1803</v>
      </c>
      <c r="D1770" s="296" t="s">
        <v>353</v>
      </c>
      <c r="E1770" s="296" t="s">
        <v>65</v>
      </c>
      <c r="F1770" s="416">
        <v>3321</v>
      </c>
      <c r="G1770" s="296" t="s">
        <v>19</v>
      </c>
      <c r="H1770" s="296" t="s">
        <v>20</v>
      </c>
      <c r="I1770" s="296" t="s">
        <v>21</v>
      </c>
      <c r="J1770" s="296" t="s">
        <v>928</v>
      </c>
      <c r="K1770" s="296" t="s">
        <v>67</v>
      </c>
      <c r="L1770" s="296">
        <v>38</v>
      </c>
      <c r="M1770" s="296" t="s">
        <v>68</v>
      </c>
      <c r="N1770" s="296">
        <v>1336</v>
      </c>
      <c r="O1770" s="296">
        <v>1325</v>
      </c>
      <c r="P1770" s="296">
        <v>12000</v>
      </c>
      <c r="Q1770" s="416">
        <v>2</v>
      </c>
      <c r="R1770" s="296">
        <v>20</v>
      </c>
      <c r="S1770" s="296" t="s">
        <v>354</v>
      </c>
      <c r="T1770" s="296" t="s">
        <v>1946</v>
      </c>
      <c r="U1770" s="296" t="s">
        <v>1951</v>
      </c>
      <c r="V1770" s="296" t="s">
        <v>355</v>
      </c>
      <c r="W1770" s="417"/>
      <c r="X1770" s="417"/>
    </row>
    <row r="1771" spans="1:24" ht="13.5" x14ac:dyDescent="0.15">
      <c r="A1771" s="416">
        <v>3741590</v>
      </c>
      <c r="B1771" s="296" t="s">
        <v>351</v>
      </c>
      <c r="C1771" s="296" t="s">
        <v>1803</v>
      </c>
      <c r="D1771" s="296" t="s">
        <v>353</v>
      </c>
      <c r="E1771" s="296" t="s">
        <v>65</v>
      </c>
      <c r="F1771" s="416">
        <v>3321</v>
      </c>
      <c r="G1771" s="296" t="s">
        <v>19</v>
      </c>
      <c r="H1771" s="296" t="s">
        <v>20</v>
      </c>
      <c r="I1771" s="296" t="s">
        <v>21</v>
      </c>
      <c r="J1771" s="296" t="s">
        <v>928</v>
      </c>
      <c r="K1771" s="296" t="s">
        <v>70</v>
      </c>
      <c r="L1771" s="296">
        <v>38</v>
      </c>
      <c r="M1771" s="296" t="s">
        <v>71</v>
      </c>
      <c r="N1771" s="296">
        <v>1336</v>
      </c>
      <c r="O1771" s="296">
        <v>1325</v>
      </c>
      <c r="P1771" s="296">
        <v>12000</v>
      </c>
      <c r="Q1771" s="416">
        <v>2</v>
      </c>
      <c r="R1771" s="296">
        <v>35</v>
      </c>
      <c r="S1771" s="296" t="s">
        <v>354</v>
      </c>
      <c r="T1771" s="296" t="s">
        <v>1946</v>
      </c>
      <c r="U1771" s="296" t="s">
        <v>1951</v>
      </c>
      <c r="V1771" s="296" t="s">
        <v>355</v>
      </c>
      <c r="W1771" s="417"/>
      <c r="X1771" s="417"/>
    </row>
    <row r="1772" spans="1:24" ht="13.5" x14ac:dyDescent="0.15">
      <c r="A1772" s="416">
        <v>3741591</v>
      </c>
      <c r="B1772" s="296" t="s">
        <v>351</v>
      </c>
      <c r="C1772" s="296" t="s">
        <v>1803</v>
      </c>
      <c r="D1772" s="296" t="s">
        <v>353</v>
      </c>
      <c r="E1772" s="296" t="s">
        <v>61</v>
      </c>
      <c r="F1772" s="416">
        <v>331</v>
      </c>
      <c r="G1772" s="296" t="s">
        <v>19</v>
      </c>
      <c r="H1772" s="296" t="s">
        <v>20</v>
      </c>
      <c r="I1772" s="296" t="s">
        <v>21</v>
      </c>
      <c r="J1772" s="296" t="s">
        <v>928</v>
      </c>
      <c r="K1772" s="296" t="s">
        <v>62</v>
      </c>
      <c r="L1772" s="296">
        <v>38</v>
      </c>
      <c r="M1772" s="296" t="s">
        <v>63</v>
      </c>
      <c r="N1772" s="296">
        <v>1255</v>
      </c>
      <c r="O1772" s="296">
        <v>1250</v>
      </c>
      <c r="P1772" s="296">
        <v>6000</v>
      </c>
      <c r="Q1772" s="416">
        <v>2</v>
      </c>
      <c r="R1772" s="296">
        <v>10</v>
      </c>
      <c r="S1772" s="296" t="s">
        <v>354</v>
      </c>
      <c r="T1772" s="296" t="s">
        <v>1946</v>
      </c>
      <c r="U1772" s="296" t="s">
        <v>1951</v>
      </c>
      <c r="V1772" s="296" t="s">
        <v>355</v>
      </c>
      <c r="W1772" s="417"/>
      <c r="X1772" s="417"/>
    </row>
    <row r="1773" spans="1:24" ht="13.5" x14ac:dyDescent="0.15">
      <c r="A1773" s="416">
        <v>3741592</v>
      </c>
      <c r="B1773" s="296" t="s">
        <v>351</v>
      </c>
      <c r="C1773" s="296" t="s">
        <v>1803</v>
      </c>
      <c r="D1773" s="296" t="s">
        <v>353</v>
      </c>
      <c r="E1773" s="296" t="s">
        <v>61</v>
      </c>
      <c r="F1773" s="416">
        <v>3313</v>
      </c>
      <c r="G1773" s="296" t="s">
        <v>19</v>
      </c>
      <c r="H1773" s="296" t="s">
        <v>20</v>
      </c>
      <c r="I1773" s="296" t="s">
        <v>21</v>
      </c>
      <c r="J1773" s="296" t="s">
        <v>928</v>
      </c>
      <c r="K1773" s="296" t="s">
        <v>62</v>
      </c>
      <c r="L1773" s="296">
        <v>38</v>
      </c>
      <c r="M1773" s="296" t="s">
        <v>63</v>
      </c>
      <c r="N1773" s="296">
        <v>750</v>
      </c>
      <c r="O1773" s="296">
        <v>750</v>
      </c>
      <c r="P1773" s="296">
        <v>6000</v>
      </c>
      <c r="Q1773" s="416">
        <v>2</v>
      </c>
      <c r="R1773" s="296">
        <v>24</v>
      </c>
      <c r="S1773" s="296" t="s">
        <v>354</v>
      </c>
      <c r="T1773" s="296" t="s">
        <v>1946</v>
      </c>
      <c r="U1773" s="296" t="s">
        <v>1951</v>
      </c>
      <c r="V1773" s="296" t="s">
        <v>355</v>
      </c>
      <c r="W1773" s="417"/>
      <c r="X1773" s="417"/>
    </row>
    <row r="1774" spans="1:24" ht="13.5" x14ac:dyDescent="0.15">
      <c r="A1774" s="416">
        <v>3741593</v>
      </c>
      <c r="B1774" s="296" t="s">
        <v>351</v>
      </c>
      <c r="C1774" s="296" t="s">
        <v>1803</v>
      </c>
      <c r="D1774" s="296" t="s">
        <v>353</v>
      </c>
      <c r="E1774" s="296" t="s">
        <v>73</v>
      </c>
      <c r="F1774" s="416">
        <v>331</v>
      </c>
      <c r="G1774" s="296" t="s">
        <v>19</v>
      </c>
      <c r="H1774" s="296" t="s">
        <v>20</v>
      </c>
      <c r="I1774" s="296" t="s">
        <v>21</v>
      </c>
      <c r="J1774" s="296" t="s">
        <v>928</v>
      </c>
      <c r="K1774" s="296" t="s">
        <v>74</v>
      </c>
      <c r="L1774" s="296">
        <v>38</v>
      </c>
      <c r="M1774" s="296" t="s">
        <v>365</v>
      </c>
      <c r="N1774" s="296">
        <v>415</v>
      </c>
      <c r="O1774" s="296">
        <v>415</v>
      </c>
      <c r="P1774" s="296">
        <v>1950</v>
      </c>
      <c r="Q1774" s="416">
        <v>2</v>
      </c>
      <c r="R1774" s="296">
        <v>36</v>
      </c>
      <c r="S1774" s="296" t="s">
        <v>354</v>
      </c>
      <c r="T1774" s="296" t="s">
        <v>1946</v>
      </c>
      <c r="U1774" s="296" t="s">
        <v>1951</v>
      </c>
      <c r="V1774" s="296" t="s">
        <v>355</v>
      </c>
      <c r="W1774" s="417"/>
      <c r="X1774" s="417"/>
    </row>
    <row r="1775" spans="1:24" ht="13.5" x14ac:dyDescent="0.15">
      <c r="A1775" s="416">
        <v>3741594</v>
      </c>
      <c r="B1775" s="296" t="s">
        <v>431</v>
      </c>
      <c r="C1775" s="296" t="s">
        <v>1803</v>
      </c>
      <c r="D1775" s="296" t="s">
        <v>353</v>
      </c>
      <c r="E1775" s="296" t="s">
        <v>378</v>
      </c>
      <c r="F1775" s="416">
        <v>3</v>
      </c>
      <c r="G1775" s="296" t="s">
        <v>265</v>
      </c>
      <c r="H1775" s="296" t="s">
        <v>20</v>
      </c>
      <c r="I1775" s="296" t="s">
        <v>21</v>
      </c>
      <c r="J1775" s="296" t="s">
        <v>928</v>
      </c>
      <c r="K1775" s="296" t="s">
        <v>99</v>
      </c>
      <c r="L1775" s="296">
        <v>25</v>
      </c>
      <c r="M1775" s="296" t="s">
        <v>100</v>
      </c>
      <c r="N1775" s="296">
        <v>500</v>
      </c>
      <c r="O1775" s="296">
        <v>500</v>
      </c>
      <c r="P1775" s="296">
        <v>4000</v>
      </c>
      <c r="Q1775" s="416">
        <v>2</v>
      </c>
      <c r="R1775" s="296">
        <v>24</v>
      </c>
      <c r="S1775" s="296" t="s">
        <v>354</v>
      </c>
      <c r="T1775" s="296" t="s">
        <v>1946</v>
      </c>
      <c r="U1775" s="296" t="s">
        <v>1951</v>
      </c>
      <c r="V1775" s="296" t="s">
        <v>355</v>
      </c>
      <c r="W1775" s="417"/>
      <c r="X1775" s="417"/>
    </row>
    <row r="1776" spans="1:24" ht="13.5" x14ac:dyDescent="0.15">
      <c r="A1776" s="416">
        <v>3741595</v>
      </c>
      <c r="B1776" s="296" t="s">
        <v>351</v>
      </c>
      <c r="C1776" s="296" t="s">
        <v>1801</v>
      </c>
      <c r="D1776" s="296" t="s">
        <v>353</v>
      </c>
      <c r="E1776" s="296" t="s">
        <v>155</v>
      </c>
      <c r="F1776" s="296" t="s">
        <v>158</v>
      </c>
      <c r="G1776" s="296" t="s">
        <v>19</v>
      </c>
      <c r="H1776" s="296" t="s">
        <v>20</v>
      </c>
      <c r="I1776" s="296" t="s">
        <v>143</v>
      </c>
      <c r="J1776" s="296" t="s">
        <v>928</v>
      </c>
      <c r="K1776" s="296" t="s">
        <v>156</v>
      </c>
      <c r="L1776" s="296">
        <v>25</v>
      </c>
      <c r="M1776" s="296" t="s">
        <v>157</v>
      </c>
      <c r="N1776" s="296">
        <v>1120</v>
      </c>
      <c r="O1776" s="296">
        <v>1120</v>
      </c>
      <c r="P1776" s="296">
        <v>12000</v>
      </c>
      <c r="Q1776" s="416">
        <v>2</v>
      </c>
      <c r="R1776" s="296">
        <v>7</v>
      </c>
      <c r="S1776" s="296" t="s">
        <v>354</v>
      </c>
      <c r="T1776" s="296" t="s">
        <v>1946</v>
      </c>
      <c r="U1776" s="296" t="s">
        <v>1949</v>
      </c>
      <c r="V1776" s="296" t="s">
        <v>355</v>
      </c>
      <c r="W1776" s="417"/>
      <c r="X1776" s="417"/>
    </row>
    <row r="1777" spans="1:24" ht="13.5" x14ac:dyDescent="0.15">
      <c r="A1777" s="416">
        <v>3741596</v>
      </c>
      <c r="B1777" s="296" t="s">
        <v>351</v>
      </c>
      <c r="C1777" s="296" t="s">
        <v>1952</v>
      </c>
      <c r="D1777" s="296" t="s">
        <v>353</v>
      </c>
      <c r="E1777" s="296" t="s">
        <v>162</v>
      </c>
      <c r="F1777" s="416">
        <v>3</v>
      </c>
      <c r="G1777" s="296" t="s">
        <v>19</v>
      </c>
      <c r="H1777" s="296" t="s">
        <v>20</v>
      </c>
      <c r="I1777" s="296" t="s">
        <v>143</v>
      </c>
      <c r="J1777" s="296" t="s">
        <v>928</v>
      </c>
      <c r="K1777" s="296" t="s">
        <v>163</v>
      </c>
      <c r="L1777" s="296">
        <v>38</v>
      </c>
      <c r="M1777" s="296" t="s">
        <v>164</v>
      </c>
      <c r="N1777" s="296">
        <v>1320</v>
      </c>
      <c r="O1777" s="296">
        <v>1320</v>
      </c>
      <c r="P1777" s="296">
        <v>4200</v>
      </c>
      <c r="Q1777" s="416">
        <v>2</v>
      </c>
      <c r="R1777" s="296">
        <v>25</v>
      </c>
      <c r="S1777" s="296" t="s">
        <v>354</v>
      </c>
      <c r="T1777" s="296" t="s">
        <v>1946</v>
      </c>
      <c r="U1777" s="296" t="s">
        <v>1949</v>
      </c>
      <c r="V1777" s="296" t="s">
        <v>355</v>
      </c>
      <c r="W1777" s="417"/>
      <c r="X1777" s="417"/>
    </row>
    <row r="1778" spans="1:24" ht="13.5" x14ac:dyDescent="0.15">
      <c r="A1778" s="416">
        <v>3741597</v>
      </c>
      <c r="B1778" s="296" t="s">
        <v>351</v>
      </c>
      <c r="C1778" s="296" t="s">
        <v>1796</v>
      </c>
      <c r="D1778" s="296" t="s">
        <v>353</v>
      </c>
      <c r="E1778" s="296" t="s">
        <v>255</v>
      </c>
      <c r="F1778" s="416">
        <v>3</v>
      </c>
      <c r="G1778" s="296" t="s">
        <v>19</v>
      </c>
      <c r="H1778" s="296" t="s">
        <v>20</v>
      </c>
      <c r="I1778" s="296" t="s">
        <v>256</v>
      </c>
      <c r="J1778" s="296" t="s">
        <v>928</v>
      </c>
      <c r="K1778" s="296" t="s">
        <v>257</v>
      </c>
      <c r="L1778" s="296">
        <v>100</v>
      </c>
      <c r="M1778" s="296" t="s">
        <v>258</v>
      </c>
      <c r="N1778" s="296">
        <v>1000</v>
      </c>
      <c r="O1778" s="296">
        <v>1000</v>
      </c>
      <c r="P1778" s="296">
        <v>1000</v>
      </c>
      <c r="Q1778" s="416">
        <v>2</v>
      </c>
      <c r="R1778" s="296">
        <v>6</v>
      </c>
      <c r="S1778" s="296" t="s">
        <v>354</v>
      </c>
      <c r="T1778" s="296" t="s">
        <v>1946</v>
      </c>
      <c r="U1778" s="296" t="s">
        <v>1949</v>
      </c>
      <c r="V1778" s="296" t="s">
        <v>355</v>
      </c>
      <c r="W1778" s="417"/>
      <c r="X1778" s="417"/>
    </row>
    <row r="1779" spans="1:24" ht="13.5" x14ac:dyDescent="0.15">
      <c r="A1779" s="416">
        <v>3741598</v>
      </c>
      <c r="B1779" s="296" t="s">
        <v>351</v>
      </c>
      <c r="C1779" s="296" t="s">
        <v>1796</v>
      </c>
      <c r="D1779" s="296" t="s">
        <v>353</v>
      </c>
      <c r="E1779" s="296" t="s">
        <v>255</v>
      </c>
      <c r="F1779" s="416">
        <v>3</v>
      </c>
      <c r="G1779" s="296" t="s">
        <v>19</v>
      </c>
      <c r="H1779" s="296" t="s">
        <v>20</v>
      </c>
      <c r="I1779" s="296" t="s">
        <v>256</v>
      </c>
      <c r="J1779" s="296" t="s">
        <v>928</v>
      </c>
      <c r="K1779" s="296" t="s">
        <v>257</v>
      </c>
      <c r="L1779" s="296">
        <v>125</v>
      </c>
      <c r="M1779" s="296" t="s">
        <v>258</v>
      </c>
      <c r="N1779" s="296">
        <v>1000</v>
      </c>
      <c r="O1779" s="296">
        <v>1000</v>
      </c>
      <c r="P1779" s="296">
        <v>1000</v>
      </c>
      <c r="Q1779" s="416">
        <v>2</v>
      </c>
      <c r="R1779" s="296">
        <v>4</v>
      </c>
      <c r="S1779" s="296" t="s">
        <v>354</v>
      </c>
      <c r="T1779" s="296" t="s">
        <v>1946</v>
      </c>
      <c r="U1779" s="296" t="s">
        <v>1949</v>
      </c>
      <c r="V1779" s="296" t="s">
        <v>355</v>
      </c>
      <c r="W1779" s="417"/>
      <c r="X1779" s="417"/>
    </row>
    <row r="1780" spans="1:24" ht="13.5" x14ac:dyDescent="0.15">
      <c r="A1780" s="416">
        <v>3741599</v>
      </c>
      <c r="B1780" s="296" t="s">
        <v>351</v>
      </c>
      <c r="C1780" s="296" t="s">
        <v>1796</v>
      </c>
      <c r="D1780" s="296" t="s">
        <v>353</v>
      </c>
      <c r="E1780" s="296" t="s">
        <v>255</v>
      </c>
      <c r="F1780" s="416">
        <v>3</v>
      </c>
      <c r="G1780" s="296" t="s">
        <v>19</v>
      </c>
      <c r="H1780" s="296" t="s">
        <v>20</v>
      </c>
      <c r="I1780" s="296" t="s">
        <v>256</v>
      </c>
      <c r="J1780" s="296" t="s">
        <v>928</v>
      </c>
      <c r="K1780" s="296" t="s">
        <v>257</v>
      </c>
      <c r="L1780" s="296">
        <v>188</v>
      </c>
      <c r="M1780" s="296" t="s">
        <v>258</v>
      </c>
      <c r="N1780" s="296">
        <v>1000</v>
      </c>
      <c r="O1780" s="296">
        <v>1000</v>
      </c>
      <c r="P1780" s="296">
        <v>1000</v>
      </c>
      <c r="Q1780" s="416">
        <v>2</v>
      </c>
      <c r="R1780" s="296">
        <v>6</v>
      </c>
      <c r="S1780" s="296" t="s">
        <v>354</v>
      </c>
      <c r="T1780" s="296" t="s">
        <v>1946</v>
      </c>
      <c r="U1780" s="296" t="s">
        <v>1949</v>
      </c>
      <c r="V1780" s="296" t="s">
        <v>355</v>
      </c>
      <c r="W1780" s="417"/>
      <c r="X1780" s="417"/>
    </row>
    <row r="1781" spans="1:24" ht="13.5" x14ac:dyDescent="0.15">
      <c r="A1781" s="416">
        <v>3741609</v>
      </c>
      <c r="B1781" s="296" t="s">
        <v>351</v>
      </c>
      <c r="C1781" s="296" t="s">
        <v>1801</v>
      </c>
      <c r="D1781" s="296" t="s">
        <v>353</v>
      </c>
      <c r="E1781" s="296" t="s">
        <v>116</v>
      </c>
      <c r="F1781" s="416">
        <v>3</v>
      </c>
      <c r="G1781" s="296" t="s">
        <v>19</v>
      </c>
      <c r="H1781" s="296" t="s">
        <v>20</v>
      </c>
      <c r="I1781" s="296" t="s">
        <v>143</v>
      </c>
      <c r="J1781" s="296" t="s">
        <v>928</v>
      </c>
      <c r="K1781" s="296" t="s">
        <v>159</v>
      </c>
      <c r="L1781" s="296">
        <v>25</v>
      </c>
      <c r="M1781" s="296" t="s">
        <v>160</v>
      </c>
      <c r="N1781" s="296">
        <v>1005</v>
      </c>
      <c r="O1781" s="296">
        <v>1000</v>
      </c>
      <c r="P1781" s="296">
        <v>4000</v>
      </c>
      <c r="Q1781" s="416">
        <v>2</v>
      </c>
      <c r="R1781" s="296">
        <v>8</v>
      </c>
      <c r="S1781" s="296" t="s">
        <v>354</v>
      </c>
      <c r="T1781" s="296" t="s">
        <v>1946</v>
      </c>
      <c r="U1781" s="296" t="s">
        <v>1954</v>
      </c>
      <c r="V1781" s="296" t="s">
        <v>355</v>
      </c>
      <c r="W1781" s="417"/>
      <c r="X1781" s="417"/>
    </row>
    <row r="1782" spans="1:24" ht="13.5" x14ac:dyDescent="0.15">
      <c r="A1782" s="416">
        <v>3741620</v>
      </c>
      <c r="B1782" s="296" t="s">
        <v>351</v>
      </c>
      <c r="C1782" s="296" t="s">
        <v>1801</v>
      </c>
      <c r="D1782" s="296" t="s">
        <v>353</v>
      </c>
      <c r="E1782" s="296" t="s">
        <v>116</v>
      </c>
      <c r="F1782" s="416">
        <v>3</v>
      </c>
      <c r="G1782" s="296" t="s">
        <v>19</v>
      </c>
      <c r="H1782" s="296" t="s">
        <v>20</v>
      </c>
      <c r="I1782" s="296" t="s">
        <v>143</v>
      </c>
      <c r="J1782" s="296" t="s">
        <v>928</v>
      </c>
      <c r="K1782" s="296" t="s">
        <v>144</v>
      </c>
      <c r="L1782" s="296">
        <v>75</v>
      </c>
      <c r="M1782" s="296" t="s">
        <v>145</v>
      </c>
      <c r="N1782" s="296">
        <v>1005</v>
      </c>
      <c r="O1782" s="296">
        <v>1000</v>
      </c>
      <c r="P1782" s="296">
        <v>3000</v>
      </c>
      <c r="Q1782" s="416">
        <v>2</v>
      </c>
      <c r="R1782" s="296">
        <v>3</v>
      </c>
      <c r="S1782" s="296" t="s">
        <v>354</v>
      </c>
      <c r="T1782" s="296" t="s">
        <v>1946</v>
      </c>
      <c r="U1782" s="296" t="s">
        <v>1953</v>
      </c>
      <c r="V1782" s="296" t="s">
        <v>355</v>
      </c>
      <c r="W1782" s="417"/>
      <c r="X1782" s="417"/>
    </row>
    <row r="1783" spans="1:24" ht="13.5" x14ac:dyDescent="0.15">
      <c r="A1783" s="416">
        <v>3741624</v>
      </c>
      <c r="B1783" s="296" t="s">
        <v>351</v>
      </c>
      <c r="C1783" s="296" t="s">
        <v>1801</v>
      </c>
      <c r="D1783" s="296" t="s">
        <v>353</v>
      </c>
      <c r="E1783" s="296" t="s">
        <v>116</v>
      </c>
      <c r="F1783" s="416">
        <v>3</v>
      </c>
      <c r="G1783" s="296" t="s">
        <v>19</v>
      </c>
      <c r="H1783" s="296" t="s">
        <v>20</v>
      </c>
      <c r="I1783" s="296" t="s">
        <v>143</v>
      </c>
      <c r="J1783" s="296" t="s">
        <v>928</v>
      </c>
      <c r="K1783" s="296" t="s">
        <v>144</v>
      </c>
      <c r="L1783" s="296">
        <v>50</v>
      </c>
      <c r="M1783" s="296" t="s">
        <v>145</v>
      </c>
      <c r="N1783" s="296">
        <v>1005</v>
      </c>
      <c r="O1783" s="296">
        <v>1000</v>
      </c>
      <c r="P1783" s="296">
        <v>4000</v>
      </c>
      <c r="Q1783" s="416">
        <v>2</v>
      </c>
      <c r="R1783" s="296">
        <v>5</v>
      </c>
      <c r="S1783" s="296" t="s">
        <v>354</v>
      </c>
      <c r="T1783" s="296" t="s">
        <v>1946</v>
      </c>
      <c r="U1783" s="296" t="s">
        <v>1953</v>
      </c>
      <c r="V1783" s="296" t="s">
        <v>355</v>
      </c>
      <c r="W1783" s="417"/>
      <c r="X1783" s="417"/>
    </row>
    <row r="1784" spans="1:24" ht="13.5" x14ac:dyDescent="0.15">
      <c r="A1784" s="296">
        <v>3741630</v>
      </c>
      <c r="B1784" s="296" t="s">
        <v>1364</v>
      </c>
      <c r="C1784" s="296" t="s">
        <v>1803</v>
      </c>
      <c r="D1784" s="296" t="s">
        <v>353</v>
      </c>
      <c r="E1784" s="296" t="s">
        <v>61</v>
      </c>
      <c r="F1784" s="296">
        <v>3</v>
      </c>
      <c r="G1784" s="296" t="s">
        <v>269</v>
      </c>
      <c r="H1784" s="296" t="s">
        <v>20</v>
      </c>
      <c r="I1784" s="296" t="s">
        <v>1078</v>
      </c>
      <c r="J1784" s="296" t="s">
        <v>928</v>
      </c>
      <c r="K1784" s="296" t="s">
        <v>1079</v>
      </c>
      <c r="L1784" s="296">
        <v>25</v>
      </c>
      <c r="M1784" s="296" t="s">
        <v>1462</v>
      </c>
      <c r="N1784" s="296">
        <v>1050</v>
      </c>
      <c r="O1784" s="296">
        <v>1050</v>
      </c>
      <c r="P1784" s="296">
        <v>6000</v>
      </c>
      <c r="Q1784" s="296">
        <v>2</v>
      </c>
      <c r="R1784" s="296">
        <v>20</v>
      </c>
      <c r="S1784" s="296" t="s">
        <v>354</v>
      </c>
      <c r="T1784" s="296" t="s">
        <v>1946</v>
      </c>
      <c r="U1784" s="296" t="s">
        <v>1967</v>
      </c>
      <c r="V1784" s="296" t="s">
        <v>428</v>
      </c>
      <c r="W1784" s="296" t="s">
        <v>928</v>
      </c>
      <c r="X1784" s="296" t="s">
        <v>928</v>
      </c>
    </row>
    <row r="1785" spans="1:24" ht="13.5" x14ac:dyDescent="0.15">
      <c r="A1785" s="296">
        <v>3744843</v>
      </c>
      <c r="B1785" s="296" t="s">
        <v>1364</v>
      </c>
      <c r="C1785" s="296" t="s">
        <v>1803</v>
      </c>
      <c r="D1785" s="296" t="s">
        <v>353</v>
      </c>
      <c r="E1785" s="296" t="s">
        <v>61</v>
      </c>
      <c r="F1785" s="296">
        <v>3</v>
      </c>
      <c r="G1785" s="296" t="s">
        <v>269</v>
      </c>
      <c r="H1785" s="296" t="s">
        <v>20</v>
      </c>
      <c r="I1785" s="296" t="s">
        <v>1078</v>
      </c>
      <c r="J1785" s="296" t="s">
        <v>928</v>
      </c>
      <c r="K1785" s="296" t="s">
        <v>1079</v>
      </c>
      <c r="L1785" s="296">
        <v>25</v>
      </c>
      <c r="M1785" s="296" t="s">
        <v>1462</v>
      </c>
      <c r="N1785" s="296">
        <v>1050</v>
      </c>
      <c r="O1785" s="296">
        <v>1050</v>
      </c>
      <c r="P1785" s="296">
        <v>6000</v>
      </c>
      <c r="Q1785" s="296">
        <v>2</v>
      </c>
      <c r="R1785" s="296">
        <v>20</v>
      </c>
      <c r="S1785" s="296" t="s">
        <v>354</v>
      </c>
      <c r="T1785" s="296" t="s">
        <v>2255</v>
      </c>
      <c r="U1785" s="296" t="s">
        <v>1967</v>
      </c>
      <c r="V1785" s="296" t="s">
        <v>428</v>
      </c>
      <c r="W1785" s="296" t="s">
        <v>928</v>
      </c>
      <c r="X1785" s="296" t="s">
        <v>928</v>
      </c>
    </row>
    <row r="1786" spans="1:24" ht="13.5" x14ac:dyDescent="0.15">
      <c r="A1786" s="416">
        <v>3744887</v>
      </c>
      <c r="B1786" s="296" t="s">
        <v>351</v>
      </c>
      <c r="C1786" s="296" t="s">
        <v>1801</v>
      </c>
      <c r="D1786" s="296" t="s">
        <v>353</v>
      </c>
      <c r="E1786" s="296" t="s">
        <v>116</v>
      </c>
      <c r="F1786" s="416">
        <v>3</v>
      </c>
      <c r="G1786" s="296" t="s">
        <v>19</v>
      </c>
      <c r="H1786" s="296" t="s">
        <v>20</v>
      </c>
      <c r="I1786" s="296" t="s">
        <v>143</v>
      </c>
      <c r="J1786" s="296" t="s">
        <v>928</v>
      </c>
      <c r="K1786" s="296" t="s">
        <v>144</v>
      </c>
      <c r="L1786" s="296">
        <v>75</v>
      </c>
      <c r="M1786" s="296" t="s">
        <v>145</v>
      </c>
      <c r="N1786" s="296">
        <v>1005</v>
      </c>
      <c r="O1786" s="296">
        <v>1000</v>
      </c>
      <c r="P1786" s="296">
        <v>3000</v>
      </c>
      <c r="Q1786" s="416">
        <v>2</v>
      </c>
      <c r="R1786" s="296">
        <v>3</v>
      </c>
      <c r="S1786" s="296" t="s">
        <v>354</v>
      </c>
      <c r="T1786" s="296" t="s">
        <v>2259</v>
      </c>
      <c r="U1786" s="296" t="s">
        <v>2260</v>
      </c>
      <c r="V1786" s="296" t="s">
        <v>355</v>
      </c>
      <c r="W1786" s="417"/>
      <c r="X1786" s="417"/>
    </row>
    <row r="1787" spans="1:24" ht="13.5" x14ac:dyDescent="0.15">
      <c r="A1787" s="416">
        <v>3744887</v>
      </c>
      <c r="B1787" s="296" t="s">
        <v>351</v>
      </c>
      <c r="C1787" s="296" t="s">
        <v>1801</v>
      </c>
      <c r="D1787" s="296" t="s">
        <v>353</v>
      </c>
      <c r="E1787" s="296" t="s">
        <v>116</v>
      </c>
      <c r="F1787" s="416">
        <v>3</v>
      </c>
      <c r="G1787" s="296" t="s">
        <v>19</v>
      </c>
      <c r="H1787" s="296" t="s">
        <v>20</v>
      </c>
      <c r="I1787" s="296" t="s">
        <v>143</v>
      </c>
      <c r="J1787" s="296" t="s">
        <v>928</v>
      </c>
      <c r="K1787" s="296" t="s">
        <v>144</v>
      </c>
      <c r="L1787" s="296">
        <v>75</v>
      </c>
      <c r="M1787" s="296" t="s">
        <v>145</v>
      </c>
      <c r="N1787" s="296">
        <v>1005</v>
      </c>
      <c r="O1787" s="296">
        <v>1000</v>
      </c>
      <c r="P1787" s="296">
        <v>3000</v>
      </c>
      <c r="Q1787" s="416">
        <v>2</v>
      </c>
      <c r="R1787" s="296">
        <v>3</v>
      </c>
      <c r="S1787" s="296" t="s">
        <v>354</v>
      </c>
      <c r="T1787" s="296" t="s">
        <v>2259</v>
      </c>
      <c r="U1787" s="296" t="s">
        <v>2260</v>
      </c>
      <c r="V1787" s="296" t="s">
        <v>355</v>
      </c>
      <c r="W1787" s="417"/>
      <c r="X1787" s="417"/>
    </row>
    <row r="1788" spans="1:24" ht="13.5" x14ac:dyDescent="0.15">
      <c r="A1788" s="296">
        <v>3745641</v>
      </c>
      <c r="B1788" s="296" t="s">
        <v>351</v>
      </c>
      <c r="C1788" s="296" t="s">
        <v>1801</v>
      </c>
      <c r="D1788" s="296" t="s">
        <v>353</v>
      </c>
      <c r="E1788" s="296" t="s">
        <v>155</v>
      </c>
      <c r="F1788" s="296" t="s">
        <v>158</v>
      </c>
      <c r="G1788" s="296" t="s">
        <v>19</v>
      </c>
      <c r="H1788" s="296" t="s">
        <v>20</v>
      </c>
      <c r="I1788" s="296" t="s">
        <v>143</v>
      </c>
      <c r="J1788" s="296" t="s">
        <v>928</v>
      </c>
      <c r="K1788" s="296" t="s">
        <v>156</v>
      </c>
      <c r="L1788" s="296">
        <v>25</v>
      </c>
      <c r="M1788" s="296" t="s">
        <v>157</v>
      </c>
      <c r="N1788" s="296">
        <v>1120</v>
      </c>
      <c r="O1788" s="296">
        <v>1120</v>
      </c>
      <c r="P1788" s="296">
        <v>12000</v>
      </c>
      <c r="Q1788" s="296">
        <v>2</v>
      </c>
      <c r="R1788" s="296">
        <v>23</v>
      </c>
      <c r="S1788" s="296" t="s">
        <v>354</v>
      </c>
      <c r="T1788" s="296" t="s">
        <v>2268</v>
      </c>
      <c r="U1788" s="296" t="s">
        <v>2261</v>
      </c>
      <c r="V1788" s="296" t="s">
        <v>355</v>
      </c>
      <c r="W1788" s="296" t="s">
        <v>928</v>
      </c>
      <c r="X1788" s="296" t="s">
        <v>928</v>
      </c>
    </row>
    <row r="1789" spans="1:24" ht="13.5" x14ac:dyDescent="0.15">
      <c r="A1789" s="296">
        <v>3745642</v>
      </c>
      <c r="B1789" s="296" t="s">
        <v>351</v>
      </c>
      <c r="C1789" s="296" t="s">
        <v>1801</v>
      </c>
      <c r="D1789" s="296" t="s">
        <v>353</v>
      </c>
      <c r="E1789" s="296" t="s">
        <v>155</v>
      </c>
      <c r="F1789" s="296" t="s">
        <v>158</v>
      </c>
      <c r="G1789" s="296" t="s">
        <v>19</v>
      </c>
      <c r="H1789" s="296" t="s">
        <v>20</v>
      </c>
      <c r="I1789" s="296" t="s">
        <v>143</v>
      </c>
      <c r="J1789" s="296" t="s">
        <v>928</v>
      </c>
      <c r="K1789" s="296" t="s">
        <v>156</v>
      </c>
      <c r="L1789" s="296">
        <v>25</v>
      </c>
      <c r="M1789" s="296" t="s">
        <v>157</v>
      </c>
      <c r="N1789" s="296">
        <v>1120</v>
      </c>
      <c r="O1789" s="296">
        <v>1120</v>
      </c>
      <c r="P1789" s="296">
        <v>6000</v>
      </c>
      <c r="Q1789" s="296">
        <v>2</v>
      </c>
      <c r="R1789" s="296">
        <v>1</v>
      </c>
      <c r="S1789" s="296" t="s">
        <v>354</v>
      </c>
      <c r="T1789" s="296" t="s">
        <v>2268</v>
      </c>
      <c r="U1789" s="296" t="s">
        <v>2261</v>
      </c>
      <c r="V1789" s="296" t="s">
        <v>355</v>
      </c>
      <c r="W1789" s="296" t="s">
        <v>928</v>
      </c>
      <c r="X1789" s="296" t="s">
        <v>928</v>
      </c>
    </row>
    <row r="1790" spans="1:24" ht="13.5" x14ac:dyDescent="0.15">
      <c r="A1790" s="296">
        <v>3745643</v>
      </c>
      <c r="B1790" s="296" t="s">
        <v>351</v>
      </c>
      <c r="C1790" s="296" t="s">
        <v>1952</v>
      </c>
      <c r="D1790" s="296" t="s">
        <v>353</v>
      </c>
      <c r="E1790" s="296" t="s">
        <v>162</v>
      </c>
      <c r="F1790" s="296">
        <v>3</v>
      </c>
      <c r="G1790" s="296" t="s">
        <v>19</v>
      </c>
      <c r="H1790" s="296" t="s">
        <v>20</v>
      </c>
      <c r="I1790" s="296" t="s">
        <v>143</v>
      </c>
      <c r="J1790" s="296" t="s">
        <v>928</v>
      </c>
      <c r="K1790" s="296" t="s">
        <v>163</v>
      </c>
      <c r="L1790" s="296">
        <v>38</v>
      </c>
      <c r="M1790" s="296" t="s">
        <v>164</v>
      </c>
      <c r="N1790" s="296">
        <v>1320</v>
      </c>
      <c r="O1790" s="296">
        <v>1320</v>
      </c>
      <c r="P1790" s="296">
        <v>4200</v>
      </c>
      <c r="Q1790" s="296">
        <v>2</v>
      </c>
      <c r="R1790" s="296">
        <v>20</v>
      </c>
      <c r="S1790" s="296" t="s">
        <v>354</v>
      </c>
      <c r="T1790" s="296" t="s">
        <v>2268</v>
      </c>
      <c r="U1790" s="296" t="s">
        <v>2261</v>
      </c>
      <c r="V1790" s="296" t="s">
        <v>355</v>
      </c>
      <c r="W1790" s="296" t="s">
        <v>928</v>
      </c>
      <c r="X1790" s="296" t="s">
        <v>928</v>
      </c>
    </row>
    <row r="1791" spans="1:24" ht="13.5" x14ac:dyDescent="0.15">
      <c r="A1791" s="296">
        <v>3745644</v>
      </c>
      <c r="B1791" s="296" t="s">
        <v>351</v>
      </c>
      <c r="C1791" s="296" t="s">
        <v>1801</v>
      </c>
      <c r="D1791" s="296" t="s">
        <v>353</v>
      </c>
      <c r="E1791" s="296" t="s">
        <v>116</v>
      </c>
      <c r="F1791" s="296">
        <v>3</v>
      </c>
      <c r="G1791" s="296" t="s">
        <v>19</v>
      </c>
      <c r="H1791" s="296" t="s">
        <v>20</v>
      </c>
      <c r="I1791" s="296" t="s">
        <v>143</v>
      </c>
      <c r="J1791" s="296" t="s">
        <v>928</v>
      </c>
      <c r="K1791" s="296" t="s">
        <v>159</v>
      </c>
      <c r="L1791" s="296">
        <v>25</v>
      </c>
      <c r="M1791" s="296" t="s">
        <v>160</v>
      </c>
      <c r="N1791" s="296">
        <v>1005</v>
      </c>
      <c r="O1791" s="296">
        <v>1000</v>
      </c>
      <c r="P1791" s="296">
        <v>4000</v>
      </c>
      <c r="Q1791" s="296">
        <v>2</v>
      </c>
      <c r="R1791" s="296">
        <v>4</v>
      </c>
      <c r="S1791" s="296" t="s">
        <v>354</v>
      </c>
      <c r="T1791" s="296" t="s">
        <v>2268</v>
      </c>
      <c r="U1791" s="296" t="s">
        <v>2261</v>
      </c>
      <c r="V1791" s="296" t="s">
        <v>355</v>
      </c>
      <c r="W1791" s="296" t="s">
        <v>928</v>
      </c>
      <c r="X1791" s="296" t="s">
        <v>928</v>
      </c>
    </row>
    <row r="1792" spans="1:24" ht="13.5" x14ac:dyDescent="0.15">
      <c r="A1792" s="296">
        <v>3746738</v>
      </c>
      <c r="B1792" s="296" t="s">
        <v>351</v>
      </c>
      <c r="C1792" s="296" t="s">
        <v>1803</v>
      </c>
      <c r="D1792" s="296" t="s">
        <v>353</v>
      </c>
      <c r="E1792" s="296" t="s">
        <v>73</v>
      </c>
      <c r="F1792" s="296">
        <v>331</v>
      </c>
      <c r="G1792" s="296" t="s">
        <v>19</v>
      </c>
      <c r="H1792" s="296" t="s">
        <v>20</v>
      </c>
      <c r="I1792" s="296" t="s">
        <v>21</v>
      </c>
      <c r="J1792" s="296" t="s">
        <v>928</v>
      </c>
      <c r="K1792" s="296" t="s">
        <v>74</v>
      </c>
      <c r="L1792" s="296">
        <v>38</v>
      </c>
      <c r="M1792" s="296" t="s">
        <v>365</v>
      </c>
      <c r="N1792" s="296">
        <v>315</v>
      </c>
      <c r="O1792" s="296">
        <v>315</v>
      </c>
      <c r="P1792" s="296">
        <v>1950</v>
      </c>
      <c r="Q1792" s="296">
        <v>2</v>
      </c>
      <c r="R1792" s="296">
        <v>6</v>
      </c>
      <c r="S1792" s="296" t="s">
        <v>354</v>
      </c>
      <c r="T1792" s="296" t="s">
        <v>2282</v>
      </c>
      <c r="U1792" s="296" t="s">
        <v>2283</v>
      </c>
      <c r="V1792" s="296" t="s">
        <v>355</v>
      </c>
      <c r="W1792" s="296" t="s">
        <v>928</v>
      </c>
      <c r="X1792" s="296" t="s">
        <v>928</v>
      </c>
    </row>
    <row r="1793" spans="1:24" ht="13.5" x14ac:dyDescent="0.15">
      <c r="A1793" s="296">
        <v>3746738</v>
      </c>
      <c r="B1793" s="296" t="s">
        <v>351</v>
      </c>
      <c r="C1793" s="296" t="s">
        <v>1803</v>
      </c>
      <c r="D1793" s="296" t="s">
        <v>353</v>
      </c>
      <c r="E1793" s="296" t="s">
        <v>73</v>
      </c>
      <c r="F1793" s="296">
        <v>331</v>
      </c>
      <c r="G1793" s="296" t="s">
        <v>19</v>
      </c>
      <c r="H1793" s="296" t="s">
        <v>20</v>
      </c>
      <c r="I1793" s="296" t="s">
        <v>21</v>
      </c>
      <c r="J1793" s="296" t="s">
        <v>928</v>
      </c>
      <c r="K1793" s="296" t="s">
        <v>74</v>
      </c>
      <c r="L1793" s="296">
        <v>38</v>
      </c>
      <c r="M1793" s="296" t="s">
        <v>365</v>
      </c>
      <c r="N1793" s="296">
        <v>415</v>
      </c>
      <c r="O1793" s="296">
        <v>415</v>
      </c>
      <c r="P1793" s="296">
        <v>1950</v>
      </c>
      <c r="Q1793" s="296">
        <v>2</v>
      </c>
      <c r="R1793" s="296">
        <v>12</v>
      </c>
      <c r="S1793" s="296" t="s">
        <v>354</v>
      </c>
      <c r="T1793" s="296" t="s">
        <v>2282</v>
      </c>
      <c r="U1793" s="296" t="s">
        <v>2283</v>
      </c>
      <c r="V1793" s="296" t="s">
        <v>355</v>
      </c>
      <c r="W1793" s="296" t="s">
        <v>928</v>
      </c>
      <c r="X1793" s="296" t="s">
        <v>928</v>
      </c>
    </row>
    <row r="1794" spans="1:24" ht="13.5" x14ac:dyDescent="0.15">
      <c r="A1794" s="296">
        <v>3750020</v>
      </c>
      <c r="B1794" s="296" t="s">
        <v>351</v>
      </c>
      <c r="C1794" s="296" t="s">
        <v>1796</v>
      </c>
      <c r="D1794" s="296" t="s">
        <v>353</v>
      </c>
      <c r="E1794" s="296" t="s">
        <v>32</v>
      </c>
      <c r="F1794" s="296">
        <v>331</v>
      </c>
      <c r="G1794" s="296" t="s">
        <v>19</v>
      </c>
      <c r="H1794" s="296" t="s">
        <v>20</v>
      </c>
      <c r="I1794" s="296" t="s">
        <v>21</v>
      </c>
      <c r="J1794" s="296" t="s">
        <v>928</v>
      </c>
      <c r="K1794" s="296" t="s">
        <v>54</v>
      </c>
      <c r="L1794" s="296">
        <v>38</v>
      </c>
      <c r="M1794" s="296" t="s">
        <v>53</v>
      </c>
      <c r="N1794" s="296">
        <v>1580</v>
      </c>
      <c r="O1794" s="296">
        <v>1580</v>
      </c>
      <c r="P1794" s="296">
        <v>6000</v>
      </c>
      <c r="Q1794" s="296">
        <v>2</v>
      </c>
      <c r="R1794" s="296">
        <v>16</v>
      </c>
      <c r="S1794" s="296" t="s">
        <v>354</v>
      </c>
      <c r="T1794" s="296" t="s">
        <v>2355</v>
      </c>
      <c r="U1794" s="296" t="s">
        <v>2356</v>
      </c>
      <c r="V1794" s="296" t="s">
        <v>355</v>
      </c>
      <c r="W1794" s="296" t="s">
        <v>928</v>
      </c>
      <c r="X1794" s="296" t="s">
        <v>928</v>
      </c>
    </row>
    <row r="1795" spans="1:24" ht="13.5" x14ac:dyDescent="0.15">
      <c r="A1795" s="296">
        <v>3750021</v>
      </c>
      <c r="B1795" s="296" t="s">
        <v>351</v>
      </c>
      <c r="C1795" s="296" t="s">
        <v>1796</v>
      </c>
      <c r="D1795" s="296" t="s">
        <v>353</v>
      </c>
      <c r="E1795" s="296" t="s">
        <v>32</v>
      </c>
      <c r="F1795" s="296">
        <v>331</v>
      </c>
      <c r="G1795" s="296" t="s">
        <v>19</v>
      </c>
      <c r="H1795" s="296" t="s">
        <v>20</v>
      </c>
      <c r="I1795" s="296" t="s">
        <v>21</v>
      </c>
      <c r="J1795" s="296" t="s">
        <v>928</v>
      </c>
      <c r="K1795" s="296" t="s">
        <v>54</v>
      </c>
      <c r="L1795" s="296">
        <v>38</v>
      </c>
      <c r="M1795" s="296" t="s">
        <v>53</v>
      </c>
      <c r="N1795" s="296">
        <v>1330</v>
      </c>
      <c r="O1795" s="296">
        <v>1330</v>
      </c>
      <c r="P1795" s="296">
        <v>6000</v>
      </c>
      <c r="Q1795" s="296">
        <v>2</v>
      </c>
      <c r="R1795" s="296">
        <v>20</v>
      </c>
      <c r="S1795" s="296" t="s">
        <v>354</v>
      </c>
      <c r="T1795" s="296" t="s">
        <v>2355</v>
      </c>
      <c r="U1795" s="296" t="s">
        <v>2356</v>
      </c>
      <c r="V1795" s="296" t="s">
        <v>355</v>
      </c>
      <c r="W1795" s="296" t="s">
        <v>928</v>
      </c>
      <c r="X1795" s="296" t="s">
        <v>928</v>
      </c>
    </row>
    <row r="1796" spans="1:24" ht="13.5" x14ac:dyDescent="0.15">
      <c r="A1796" s="296">
        <v>3750022</v>
      </c>
      <c r="B1796" s="296" t="s">
        <v>351</v>
      </c>
      <c r="C1796" s="296" t="s">
        <v>1796</v>
      </c>
      <c r="D1796" s="296" t="s">
        <v>353</v>
      </c>
      <c r="E1796" s="296" t="s">
        <v>17</v>
      </c>
      <c r="F1796" s="296">
        <v>331</v>
      </c>
      <c r="G1796" s="296" t="s">
        <v>19</v>
      </c>
      <c r="H1796" s="296" t="s">
        <v>20</v>
      </c>
      <c r="I1796" s="296" t="s">
        <v>21</v>
      </c>
      <c r="J1796" s="296" t="s">
        <v>928</v>
      </c>
      <c r="K1796" s="296" t="s">
        <v>52</v>
      </c>
      <c r="L1796" s="296">
        <v>38</v>
      </c>
      <c r="M1796" s="296" t="s">
        <v>53</v>
      </c>
      <c r="N1796" s="296">
        <v>1330</v>
      </c>
      <c r="O1796" s="296">
        <v>1330</v>
      </c>
      <c r="P1796" s="296">
        <v>6000</v>
      </c>
      <c r="Q1796" s="296">
        <v>2</v>
      </c>
      <c r="R1796" s="296">
        <v>52</v>
      </c>
      <c r="S1796" s="296" t="s">
        <v>354</v>
      </c>
      <c r="T1796" s="296" t="s">
        <v>2355</v>
      </c>
      <c r="U1796" s="296" t="s">
        <v>2356</v>
      </c>
      <c r="V1796" s="296" t="s">
        <v>355</v>
      </c>
      <c r="W1796" s="296" t="s">
        <v>928</v>
      </c>
      <c r="X1796" s="296" t="s">
        <v>928</v>
      </c>
    </row>
    <row r="1797" spans="1:24" ht="13.5" x14ac:dyDescent="0.15">
      <c r="A1797" s="296">
        <v>3750023</v>
      </c>
      <c r="B1797" s="296" t="s">
        <v>351</v>
      </c>
      <c r="C1797" s="296" t="s">
        <v>1796</v>
      </c>
      <c r="D1797" s="296" t="s">
        <v>353</v>
      </c>
      <c r="E1797" s="296" t="s">
        <v>32</v>
      </c>
      <c r="F1797" s="296">
        <v>3</v>
      </c>
      <c r="G1797" s="296" t="s">
        <v>19</v>
      </c>
      <c r="H1797" s="296" t="s">
        <v>20</v>
      </c>
      <c r="I1797" s="296" t="s">
        <v>21</v>
      </c>
      <c r="J1797" s="296" t="s">
        <v>928</v>
      </c>
      <c r="K1797" s="296" t="s">
        <v>56</v>
      </c>
      <c r="L1797" s="296">
        <v>75</v>
      </c>
      <c r="M1797" s="296" t="s">
        <v>376</v>
      </c>
      <c r="N1797" s="296">
        <v>1330</v>
      </c>
      <c r="O1797" s="296">
        <v>1330</v>
      </c>
      <c r="P1797" s="296">
        <v>4100</v>
      </c>
      <c r="Q1797" s="296">
        <v>2</v>
      </c>
      <c r="R1797" s="296">
        <v>24</v>
      </c>
      <c r="S1797" s="296" t="s">
        <v>354</v>
      </c>
      <c r="T1797" s="296" t="s">
        <v>2355</v>
      </c>
      <c r="U1797" s="296" t="s">
        <v>2356</v>
      </c>
      <c r="V1797" s="296" t="s">
        <v>355</v>
      </c>
      <c r="W1797" s="296" t="s">
        <v>928</v>
      </c>
      <c r="X1797" s="296" t="s">
        <v>928</v>
      </c>
    </row>
    <row r="1798" spans="1:24" ht="13.5" x14ac:dyDescent="0.15">
      <c r="A1798" s="296">
        <v>3750024</v>
      </c>
      <c r="B1798" s="296" t="s">
        <v>351</v>
      </c>
      <c r="C1798" s="296" t="s">
        <v>1803</v>
      </c>
      <c r="D1798" s="296" t="s">
        <v>353</v>
      </c>
      <c r="E1798" s="296" t="s">
        <v>369</v>
      </c>
      <c r="F1798" s="296">
        <v>331</v>
      </c>
      <c r="G1798" s="296" t="s">
        <v>19</v>
      </c>
      <c r="H1798" s="296" t="s">
        <v>20</v>
      </c>
      <c r="I1798" s="296" t="s">
        <v>21</v>
      </c>
      <c r="J1798" s="296" t="s">
        <v>928</v>
      </c>
      <c r="K1798" s="296" t="s">
        <v>47</v>
      </c>
      <c r="L1798" s="296">
        <v>38</v>
      </c>
      <c r="M1798" s="296" t="s">
        <v>53</v>
      </c>
      <c r="N1798" s="296">
        <v>535</v>
      </c>
      <c r="O1798" s="296">
        <v>535</v>
      </c>
      <c r="P1798" s="296">
        <v>6000</v>
      </c>
      <c r="Q1798" s="296">
        <v>2</v>
      </c>
      <c r="R1798" s="296">
        <v>8</v>
      </c>
      <c r="S1798" s="296" t="s">
        <v>354</v>
      </c>
      <c r="T1798" s="296" t="s">
        <v>2355</v>
      </c>
      <c r="U1798" s="296" t="s">
        <v>2356</v>
      </c>
      <c r="V1798" s="296" t="s">
        <v>355</v>
      </c>
      <c r="W1798" s="296" t="s">
        <v>928</v>
      </c>
      <c r="X1798" s="296" t="s">
        <v>928</v>
      </c>
    </row>
    <row r="1799" spans="1:24" ht="13.5" x14ac:dyDescent="0.15">
      <c r="A1799" s="296">
        <v>3750025</v>
      </c>
      <c r="B1799" s="296" t="s">
        <v>431</v>
      </c>
      <c r="C1799" s="296" t="s">
        <v>1803</v>
      </c>
      <c r="D1799" s="296" t="s">
        <v>353</v>
      </c>
      <c r="E1799" s="296" t="s">
        <v>1162</v>
      </c>
      <c r="F1799" s="296">
        <v>3</v>
      </c>
      <c r="G1799" s="296" t="s">
        <v>265</v>
      </c>
      <c r="H1799" s="296" t="s">
        <v>20</v>
      </c>
      <c r="I1799" s="296" t="s">
        <v>21</v>
      </c>
      <c r="J1799" s="296" t="s">
        <v>928</v>
      </c>
      <c r="K1799" s="296" t="s">
        <v>632</v>
      </c>
      <c r="L1799" s="296">
        <v>25</v>
      </c>
      <c r="M1799" s="296" t="s">
        <v>633</v>
      </c>
      <c r="N1799" s="296">
        <v>1100</v>
      </c>
      <c r="O1799" s="296">
        <v>1100</v>
      </c>
      <c r="P1799" s="296">
        <v>4070</v>
      </c>
      <c r="Q1799" s="296">
        <v>2</v>
      </c>
      <c r="R1799" s="296">
        <v>6</v>
      </c>
      <c r="S1799" s="296" t="s">
        <v>354</v>
      </c>
      <c r="T1799" s="296" t="s">
        <v>2355</v>
      </c>
      <c r="U1799" s="296" t="s">
        <v>2356</v>
      </c>
      <c r="V1799" s="296" t="s">
        <v>355</v>
      </c>
      <c r="W1799" s="296" t="s">
        <v>928</v>
      </c>
      <c r="X1799" s="296" t="s">
        <v>928</v>
      </c>
    </row>
    <row r="1800" spans="1:24" ht="13.5" x14ac:dyDescent="0.15">
      <c r="A1800" s="296">
        <v>3750026</v>
      </c>
      <c r="B1800" s="296" t="s">
        <v>431</v>
      </c>
      <c r="C1800" s="296" t="s">
        <v>1803</v>
      </c>
      <c r="D1800" s="296" t="s">
        <v>353</v>
      </c>
      <c r="E1800" s="296" t="s">
        <v>1162</v>
      </c>
      <c r="F1800" s="296">
        <v>3</v>
      </c>
      <c r="G1800" s="296" t="s">
        <v>265</v>
      </c>
      <c r="H1800" s="296" t="s">
        <v>20</v>
      </c>
      <c r="I1800" s="296" t="s">
        <v>21</v>
      </c>
      <c r="J1800" s="296" t="s">
        <v>928</v>
      </c>
      <c r="K1800" s="296" t="s">
        <v>632</v>
      </c>
      <c r="L1800" s="296">
        <v>25</v>
      </c>
      <c r="M1800" s="296" t="s">
        <v>633</v>
      </c>
      <c r="N1800" s="296">
        <v>1100</v>
      </c>
      <c r="O1800" s="296">
        <v>1100</v>
      </c>
      <c r="P1800" s="296">
        <v>4070</v>
      </c>
      <c r="Q1800" s="296">
        <v>2</v>
      </c>
      <c r="R1800" s="296">
        <v>6</v>
      </c>
      <c r="S1800" s="296" t="s">
        <v>354</v>
      </c>
      <c r="T1800" s="296" t="s">
        <v>2355</v>
      </c>
      <c r="U1800" s="296" t="s">
        <v>2356</v>
      </c>
      <c r="V1800" s="296" t="s">
        <v>355</v>
      </c>
      <c r="W1800" s="296" t="s">
        <v>928</v>
      </c>
      <c r="X1800" s="296" t="s">
        <v>928</v>
      </c>
    </row>
    <row r="1801" spans="1:24" ht="13.5" x14ac:dyDescent="0.15">
      <c r="A1801" s="296">
        <v>3750027</v>
      </c>
      <c r="B1801" s="296" t="s">
        <v>351</v>
      </c>
      <c r="C1801" s="296" t="s">
        <v>1801</v>
      </c>
      <c r="D1801" s="296" t="s">
        <v>353</v>
      </c>
      <c r="E1801" s="296" t="s">
        <v>371</v>
      </c>
      <c r="F1801" s="296">
        <v>3</v>
      </c>
      <c r="G1801" s="296" t="s">
        <v>19</v>
      </c>
      <c r="H1801" s="296" t="s">
        <v>28</v>
      </c>
      <c r="I1801" s="296" t="s">
        <v>21</v>
      </c>
      <c r="J1801" s="296" t="s">
        <v>928</v>
      </c>
      <c r="K1801" s="296" t="s">
        <v>60</v>
      </c>
      <c r="L1801" s="296">
        <v>75</v>
      </c>
      <c r="M1801" s="296" t="s">
        <v>372</v>
      </c>
      <c r="N1801" s="296">
        <v>1040</v>
      </c>
      <c r="O1801" s="296">
        <v>1040</v>
      </c>
      <c r="P1801" s="296">
        <v>4000</v>
      </c>
      <c r="Q1801" s="296">
        <v>1</v>
      </c>
      <c r="R1801" s="296">
        <v>1</v>
      </c>
      <c r="S1801" s="296" t="s">
        <v>354</v>
      </c>
      <c r="T1801" s="296" t="s">
        <v>2355</v>
      </c>
      <c r="U1801" s="296" t="s">
        <v>2357</v>
      </c>
      <c r="V1801" s="296" t="s">
        <v>355</v>
      </c>
      <c r="W1801" s="296" t="s">
        <v>928</v>
      </c>
      <c r="X1801" s="296" t="s">
        <v>928</v>
      </c>
    </row>
    <row r="1802" spans="1:24" ht="13.5" x14ac:dyDescent="0.15">
      <c r="A1802" s="296">
        <v>3750028</v>
      </c>
      <c r="B1802" s="296" t="s">
        <v>351</v>
      </c>
      <c r="C1802" s="296" t="s">
        <v>1796</v>
      </c>
      <c r="D1802" s="296" t="s">
        <v>353</v>
      </c>
      <c r="E1802" s="296" t="s">
        <v>32</v>
      </c>
      <c r="F1802" s="296">
        <v>331</v>
      </c>
      <c r="G1802" s="296" t="s">
        <v>19</v>
      </c>
      <c r="H1802" s="296" t="s">
        <v>20</v>
      </c>
      <c r="I1802" s="296" t="s">
        <v>21</v>
      </c>
      <c r="J1802" s="296" t="s">
        <v>928</v>
      </c>
      <c r="K1802" s="296" t="s">
        <v>33</v>
      </c>
      <c r="L1802" s="296">
        <v>38</v>
      </c>
      <c r="M1802" s="296" t="s">
        <v>30</v>
      </c>
      <c r="N1802" s="296">
        <v>1580</v>
      </c>
      <c r="O1802" s="296">
        <v>1580</v>
      </c>
      <c r="P1802" s="296">
        <v>6000</v>
      </c>
      <c r="Q1802" s="296">
        <v>2</v>
      </c>
      <c r="R1802" s="296">
        <v>14</v>
      </c>
      <c r="S1802" s="296" t="s">
        <v>354</v>
      </c>
      <c r="T1802" s="296" t="s">
        <v>2355</v>
      </c>
      <c r="U1802" s="296" t="s">
        <v>2356</v>
      </c>
      <c r="V1802" s="296" t="s">
        <v>355</v>
      </c>
      <c r="W1802" s="296" t="s">
        <v>928</v>
      </c>
      <c r="X1802" s="296" t="s">
        <v>928</v>
      </c>
    </row>
    <row r="1803" spans="1:24" ht="13.5" x14ac:dyDescent="0.15">
      <c r="A1803" s="296">
        <v>3750029</v>
      </c>
      <c r="B1803" s="296" t="s">
        <v>351</v>
      </c>
      <c r="C1803" s="296" t="s">
        <v>1796</v>
      </c>
      <c r="D1803" s="296" t="s">
        <v>353</v>
      </c>
      <c r="E1803" s="296" t="s">
        <v>32</v>
      </c>
      <c r="F1803" s="296">
        <v>331</v>
      </c>
      <c r="G1803" s="296" t="s">
        <v>19</v>
      </c>
      <c r="H1803" s="296" t="s">
        <v>20</v>
      </c>
      <c r="I1803" s="296" t="s">
        <v>21</v>
      </c>
      <c r="J1803" s="296" t="s">
        <v>928</v>
      </c>
      <c r="K1803" s="296" t="s">
        <v>33</v>
      </c>
      <c r="L1803" s="296">
        <v>38</v>
      </c>
      <c r="M1803" s="296" t="s">
        <v>30</v>
      </c>
      <c r="N1803" s="296">
        <v>1330</v>
      </c>
      <c r="O1803" s="296">
        <v>1330</v>
      </c>
      <c r="P1803" s="296">
        <v>6000</v>
      </c>
      <c r="Q1803" s="296">
        <v>2</v>
      </c>
      <c r="R1803" s="296">
        <v>44</v>
      </c>
      <c r="S1803" s="296" t="s">
        <v>354</v>
      </c>
      <c r="T1803" s="296" t="s">
        <v>2355</v>
      </c>
      <c r="U1803" s="296" t="s">
        <v>2356</v>
      </c>
      <c r="V1803" s="296" t="s">
        <v>355</v>
      </c>
      <c r="W1803" s="296" t="s">
        <v>928</v>
      </c>
      <c r="X1803" s="296" t="s">
        <v>928</v>
      </c>
    </row>
    <row r="1804" spans="1:24" ht="13.5" x14ac:dyDescent="0.15">
      <c r="A1804" s="296">
        <v>3750030</v>
      </c>
      <c r="B1804" s="296" t="s">
        <v>351</v>
      </c>
      <c r="C1804" s="296" t="s">
        <v>1796</v>
      </c>
      <c r="D1804" s="296" t="s">
        <v>353</v>
      </c>
      <c r="E1804" s="296" t="s">
        <v>32</v>
      </c>
      <c r="F1804" s="296">
        <v>331</v>
      </c>
      <c r="G1804" s="296" t="s">
        <v>19</v>
      </c>
      <c r="H1804" s="296" t="s">
        <v>20</v>
      </c>
      <c r="I1804" s="296" t="s">
        <v>21</v>
      </c>
      <c r="J1804" s="296" t="s">
        <v>928</v>
      </c>
      <c r="K1804" s="296" t="s">
        <v>33</v>
      </c>
      <c r="L1804" s="296">
        <v>25</v>
      </c>
      <c r="M1804" s="296" t="s">
        <v>30</v>
      </c>
      <c r="N1804" s="296">
        <v>1330</v>
      </c>
      <c r="O1804" s="296">
        <v>1330</v>
      </c>
      <c r="P1804" s="296">
        <v>6000</v>
      </c>
      <c r="Q1804" s="296">
        <v>2</v>
      </c>
      <c r="R1804" s="296">
        <v>8</v>
      </c>
      <c r="S1804" s="296" t="s">
        <v>354</v>
      </c>
      <c r="T1804" s="296" t="s">
        <v>2355</v>
      </c>
      <c r="U1804" s="296" t="s">
        <v>2356</v>
      </c>
      <c r="V1804" s="296" t="s">
        <v>355</v>
      </c>
      <c r="W1804" s="296" t="s">
        <v>928</v>
      </c>
      <c r="X1804" s="296" t="s">
        <v>928</v>
      </c>
    </row>
    <row r="1805" spans="1:24" ht="13.5" x14ac:dyDescent="0.15">
      <c r="A1805" s="296">
        <v>3750031</v>
      </c>
      <c r="B1805" s="296" t="s">
        <v>351</v>
      </c>
      <c r="C1805" s="296" t="s">
        <v>1814</v>
      </c>
      <c r="D1805" s="296" t="s">
        <v>353</v>
      </c>
      <c r="E1805" s="296" t="s">
        <v>40</v>
      </c>
      <c r="F1805" s="296">
        <v>3</v>
      </c>
      <c r="G1805" s="296" t="s">
        <v>19</v>
      </c>
      <c r="H1805" s="296" t="s">
        <v>20</v>
      </c>
      <c r="I1805" s="296" t="s">
        <v>21</v>
      </c>
      <c r="J1805" s="296" t="s">
        <v>928</v>
      </c>
      <c r="K1805" s="296" t="s">
        <v>42</v>
      </c>
      <c r="L1805" s="296">
        <v>25</v>
      </c>
      <c r="M1805" s="296" t="s">
        <v>43</v>
      </c>
      <c r="N1805" s="296">
        <v>1085</v>
      </c>
      <c r="O1805" s="296">
        <v>1080</v>
      </c>
      <c r="P1805" s="296">
        <v>6000</v>
      </c>
      <c r="Q1805" s="296">
        <v>2</v>
      </c>
      <c r="R1805" s="296">
        <v>8</v>
      </c>
      <c r="S1805" s="296" t="s">
        <v>354</v>
      </c>
      <c r="T1805" s="296" t="s">
        <v>2355</v>
      </c>
      <c r="U1805" s="296" t="s">
        <v>2357</v>
      </c>
      <c r="V1805" s="296" t="s">
        <v>355</v>
      </c>
      <c r="W1805" s="296" t="s">
        <v>928</v>
      </c>
      <c r="X1805" s="296" t="s">
        <v>928</v>
      </c>
    </row>
    <row r="1806" spans="1:24" ht="13.5" x14ac:dyDescent="0.15">
      <c r="A1806" s="296">
        <v>3750032</v>
      </c>
      <c r="B1806" s="296" t="s">
        <v>351</v>
      </c>
      <c r="C1806" s="296" t="s">
        <v>1796</v>
      </c>
      <c r="D1806" s="296" t="s">
        <v>353</v>
      </c>
      <c r="E1806" s="296" t="s">
        <v>17</v>
      </c>
      <c r="F1806" s="296">
        <v>3</v>
      </c>
      <c r="G1806" s="296" t="s">
        <v>19</v>
      </c>
      <c r="H1806" s="296" t="s">
        <v>20</v>
      </c>
      <c r="I1806" s="296" t="s">
        <v>21</v>
      </c>
      <c r="J1806" s="296" t="s">
        <v>928</v>
      </c>
      <c r="K1806" s="296" t="s">
        <v>22</v>
      </c>
      <c r="L1806" s="296">
        <v>38</v>
      </c>
      <c r="M1806" s="296" t="s">
        <v>23</v>
      </c>
      <c r="N1806" s="296">
        <v>1057</v>
      </c>
      <c r="O1806" s="296">
        <v>1050</v>
      </c>
      <c r="P1806" s="296">
        <v>8400</v>
      </c>
      <c r="Q1806" s="296">
        <v>2</v>
      </c>
      <c r="R1806" s="296">
        <v>4</v>
      </c>
      <c r="S1806" s="296" t="s">
        <v>354</v>
      </c>
      <c r="T1806" s="296" t="s">
        <v>2355</v>
      </c>
      <c r="U1806" s="296" t="s">
        <v>2357</v>
      </c>
      <c r="V1806" s="296" t="s">
        <v>355</v>
      </c>
      <c r="W1806" s="296" t="s">
        <v>928</v>
      </c>
      <c r="X1806" s="296" t="s">
        <v>928</v>
      </c>
    </row>
    <row r="1807" spans="1:24" ht="13.5" x14ac:dyDescent="0.15">
      <c r="A1807" s="296">
        <v>3750033</v>
      </c>
      <c r="B1807" s="296" t="s">
        <v>351</v>
      </c>
      <c r="C1807" s="296" t="s">
        <v>1814</v>
      </c>
      <c r="D1807" s="296" t="s">
        <v>353</v>
      </c>
      <c r="E1807" s="296" t="s">
        <v>40</v>
      </c>
      <c r="F1807" s="296">
        <v>3</v>
      </c>
      <c r="G1807" s="296" t="s">
        <v>19</v>
      </c>
      <c r="H1807" s="296" t="s">
        <v>20</v>
      </c>
      <c r="I1807" s="296" t="s">
        <v>21</v>
      </c>
      <c r="J1807" s="296" t="s">
        <v>928</v>
      </c>
      <c r="K1807" s="296" t="s">
        <v>42</v>
      </c>
      <c r="L1807" s="296">
        <v>25</v>
      </c>
      <c r="M1807" s="296" t="s">
        <v>43</v>
      </c>
      <c r="N1807" s="296">
        <v>1045</v>
      </c>
      <c r="O1807" s="296">
        <v>1040</v>
      </c>
      <c r="P1807" s="296">
        <v>6000</v>
      </c>
      <c r="Q1807" s="296">
        <v>2</v>
      </c>
      <c r="R1807" s="296">
        <v>8</v>
      </c>
      <c r="S1807" s="296" t="s">
        <v>354</v>
      </c>
      <c r="T1807" s="296" t="s">
        <v>2355</v>
      </c>
      <c r="U1807" s="296" t="s">
        <v>2357</v>
      </c>
      <c r="V1807" s="296" t="s">
        <v>355</v>
      </c>
      <c r="W1807" s="296" t="s">
        <v>928</v>
      </c>
      <c r="X1807" s="296" t="s">
        <v>928</v>
      </c>
    </row>
    <row r="1808" spans="1:24" ht="13.5" x14ac:dyDescent="0.15">
      <c r="A1808" s="296">
        <v>3750035</v>
      </c>
      <c r="B1808" s="296" t="s">
        <v>351</v>
      </c>
      <c r="C1808" s="296" t="s">
        <v>1796</v>
      </c>
      <c r="D1808" s="296" t="s">
        <v>353</v>
      </c>
      <c r="E1808" s="296" t="s">
        <v>17</v>
      </c>
      <c r="F1808" s="296">
        <v>3</v>
      </c>
      <c r="G1808" s="296" t="s">
        <v>19</v>
      </c>
      <c r="H1808" s="296" t="s">
        <v>20</v>
      </c>
      <c r="I1808" s="296" t="s">
        <v>21</v>
      </c>
      <c r="J1808" s="296" t="s">
        <v>928</v>
      </c>
      <c r="K1808" s="296" t="s">
        <v>104</v>
      </c>
      <c r="L1808" s="296">
        <v>25</v>
      </c>
      <c r="M1808" s="296" t="s">
        <v>375</v>
      </c>
      <c r="N1808" s="296">
        <v>1325</v>
      </c>
      <c r="O1808" s="296">
        <v>1320</v>
      </c>
      <c r="P1808" s="296">
        <v>6000</v>
      </c>
      <c r="Q1808" s="296">
        <v>2</v>
      </c>
      <c r="R1808" s="296">
        <v>8</v>
      </c>
      <c r="S1808" s="296" t="s">
        <v>354</v>
      </c>
      <c r="T1808" s="296" t="s">
        <v>2355</v>
      </c>
      <c r="U1808" s="296" t="s">
        <v>2357</v>
      </c>
      <c r="V1808" s="296" t="s">
        <v>355</v>
      </c>
      <c r="W1808" s="296" t="s">
        <v>928</v>
      </c>
      <c r="X1808" s="296" t="s">
        <v>928</v>
      </c>
    </row>
    <row r="1809" spans="1:24" ht="13.5" x14ac:dyDescent="0.15">
      <c r="A1809" s="296">
        <v>3750036</v>
      </c>
      <c r="B1809" s="296" t="s">
        <v>351</v>
      </c>
      <c r="C1809" s="296" t="s">
        <v>1796</v>
      </c>
      <c r="D1809" s="296" t="s">
        <v>353</v>
      </c>
      <c r="E1809" s="296" t="s">
        <v>106</v>
      </c>
      <c r="F1809" s="296">
        <v>3</v>
      </c>
      <c r="G1809" s="296" t="s">
        <v>19</v>
      </c>
      <c r="H1809" s="296" t="s">
        <v>20</v>
      </c>
      <c r="I1809" s="296" t="s">
        <v>21</v>
      </c>
      <c r="J1809" s="296" t="s">
        <v>928</v>
      </c>
      <c r="K1809" s="296" t="s">
        <v>107</v>
      </c>
      <c r="L1809" s="296">
        <v>38</v>
      </c>
      <c r="M1809" s="296" t="s">
        <v>367</v>
      </c>
      <c r="N1809" s="296">
        <v>1240</v>
      </c>
      <c r="O1809" s="296">
        <v>1240</v>
      </c>
      <c r="P1809" s="296">
        <v>6000</v>
      </c>
      <c r="Q1809" s="296">
        <v>2</v>
      </c>
      <c r="R1809" s="296">
        <v>6</v>
      </c>
      <c r="S1809" s="296" t="s">
        <v>354</v>
      </c>
      <c r="T1809" s="296" t="s">
        <v>2355</v>
      </c>
      <c r="U1809" s="296" t="s">
        <v>2357</v>
      </c>
      <c r="V1809" s="296" t="s">
        <v>355</v>
      </c>
      <c r="W1809" s="296" t="s">
        <v>928</v>
      </c>
      <c r="X1809" s="296" t="s">
        <v>928</v>
      </c>
    </row>
    <row r="1810" spans="1:24" ht="13.5" x14ac:dyDescent="0.15">
      <c r="A1810" s="296">
        <v>3750037</v>
      </c>
      <c r="B1810" s="296" t="s">
        <v>351</v>
      </c>
      <c r="C1810" s="296" t="s">
        <v>1796</v>
      </c>
      <c r="D1810" s="296" t="s">
        <v>353</v>
      </c>
      <c r="E1810" s="296" t="s">
        <v>755</v>
      </c>
      <c r="F1810" s="296">
        <v>3</v>
      </c>
      <c r="G1810" s="296" t="s">
        <v>19</v>
      </c>
      <c r="H1810" s="296" t="s">
        <v>20</v>
      </c>
      <c r="I1810" s="296" t="s">
        <v>21</v>
      </c>
      <c r="J1810" s="296" t="s">
        <v>928</v>
      </c>
      <c r="K1810" s="296" t="s">
        <v>128</v>
      </c>
      <c r="L1810" s="296">
        <v>25</v>
      </c>
      <c r="M1810" s="296" t="s">
        <v>756</v>
      </c>
      <c r="N1810" s="296">
        <v>1155</v>
      </c>
      <c r="O1810" s="296">
        <v>1150</v>
      </c>
      <c r="P1810" s="296">
        <v>12400</v>
      </c>
      <c r="Q1810" s="296">
        <v>2</v>
      </c>
      <c r="R1810" s="296">
        <v>4</v>
      </c>
      <c r="S1810" s="296" t="s">
        <v>354</v>
      </c>
      <c r="T1810" s="296" t="s">
        <v>2355</v>
      </c>
      <c r="U1810" s="296" t="s">
        <v>2357</v>
      </c>
      <c r="V1810" s="296" t="s">
        <v>355</v>
      </c>
      <c r="W1810" s="296" t="s">
        <v>928</v>
      </c>
      <c r="X1810" s="296" t="s">
        <v>928</v>
      </c>
    </row>
    <row r="1811" spans="1:24" ht="13.5" x14ac:dyDescent="0.15">
      <c r="A1811" s="296">
        <v>3750038</v>
      </c>
      <c r="B1811" s="296" t="s">
        <v>351</v>
      </c>
      <c r="C1811" s="296" t="s">
        <v>1796</v>
      </c>
      <c r="D1811" s="296" t="s">
        <v>353</v>
      </c>
      <c r="E1811" s="296" t="s">
        <v>115</v>
      </c>
      <c r="F1811" s="296">
        <v>3</v>
      </c>
      <c r="G1811" s="296" t="s">
        <v>19</v>
      </c>
      <c r="H1811" s="296" t="s">
        <v>20</v>
      </c>
      <c r="I1811" s="296" t="s">
        <v>21</v>
      </c>
      <c r="J1811" s="296" t="s">
        <v>928</v>
      </c>
      <c r="K1811" s="296" t="s">
        <v>112</v>
      </c>
      <c r="L1811" s="296">
        <v>38</v>
      </c>
      <c r="M1811" s="296" t="s">
        <v>357</v>
      </c>
      <c r="N1811" s="296">
        <v>1135</v>
      </c>
      <c r="O1811" s="296">
        <v>1130</v>
      </c>
      <c r="P1811" s="296">
        <v>6000</v>
      </c>
      <c r="Q1811" s="296">
        <v>2</v>
      </c>
      <c r="R1811" s="296">
        <v>4</v>
      </c>
      <c r="S1811" s="296" t="s">
        <v>354</v>
      </c>
      <c r="T1811" s="296" t="s">
        <v>2355</v>
      </c>
      <c r="U1811" s="296" t="s">
        <v>2357</v>
      </c>
      <c r="V1811" s="296" t="s">
        <v>355</v>
      </c>
      <c r="W1811" s="296" t="s">
        <v>928</v>
      </c>
      <c r="X1811" s="296" t="s">
        <v>928</v>
      </c>
    </row>
    <row r="1812" spans="1:24" ht="13.5" x14ac:dyDescent="0.15">
      <c r="A1812" s="296">
        <v>3750039</v>
      </c>
      <c r="B1812" s="296" t="s">
        <v>431</v>
      </c>
      <c r="C1812" s="296" t="s">
        <v>1803</v>
      </c>
      <c r="D1812" s="296" t="s">
        <v>353</v>
      </c>
      <c r="E1812" s="296" t="s">
        <v>928</v>
      </c>
      <c r="F1812" s="296">
        <v>3</v>
      </c>
      <c r="G1812" s="296" t="s">
        <v>265</v>
      </c>
      <c r="H1812" s="296" t="s">
        <v>20</v>
      </c>
      <c r="I1812" s="296" t="s">
        <v>21</v>
      </c>
      <c r="J1812" s="296" t="s">
        <v>928</v>
      </c>
      <c r="K1812" s="296" t="s">
        <v>118</v>
      </c>
      <c r="L1812" s="296">
        <v>25</v>
      </c>
      <c r="M1812" s="296" t="s">
        <v>119</v>
      </c>
      <c r="N1812" s="296">
        <v>1100</v>
      </c>
      <c r="O1812" s="296">
        <v>1100</v>
      </c>
      <c r="P1812" s="296">
        <v>12000</v>
      </c>
      <c r="Q1812" s="296">
        <v>2</v>
      </c>
      <c r="R1812" s="296">
        <v>30</v>
      </c>
      <c r="S1812" s="296" t="s">
        <v>354</v>
      </c>
      <c r="T1812" s="296" t="s">
        <v>2355</v>
      </c>
      <c r="U1812" s="296" t="s">
        <v>2357</v>
      </c>
      <c r="V1812" s="296" t="s">
        <v>355</v>
      </c>
      <c r="W1812" s="296" t="s">
        <v>928</v>
      </c>
      <c r="X1812" s="296" t="s">
        <v>928</v>
      </c>
    </row>
    <row r="1813" spans="1:24" ht="13.5" x14ac:dyDescent="0.15">
      <c r="A1813" s="296">
        <v>3750040</v>
      </c>
      <c r="B1813" s="296" t="s">
        <v>351</v>
      </c>
      <c r="C1813" s="296" t="s">
        <v>1796</v>
      </c>
      <c r="D1813" s="296" t="s">
        <v>353</v>
      </c>
      <c r="E1813" s="296" t="s">
        <v>17</v>
      </c>
      <c r="F1813" s="296">
        <v>3</v>
      </c>
      <c r="G1813" s="296" t="s">
        <v>19</v>
      </c>
      <c r="H1813" s="296" t="s">
        <v>20</v>
      </c>
      <c r="I1813" s="296" t="s">
        <v>21</v>
      </c>
      <c r="J1813" s="296" t="s">
        <v>928</v>
      </c>
      <c r="K1813" s="296" t="s">
        <v>104</v>
      </c>
      <c r="L1813" s="296">
        <v>25</v>
      </c>
      <c r="M1813" s="296" t="s">
        <v>375</v>
      </c>
      <c r="N1813" s="296">
        <v>1100</v>
      </c>
      <c r="O1813" s="296">
        <v>1100</v>
      </c>
      <c r="P1813" s="296">
        <v>12000</v>
      </c>
      <c r="Q1813" s="296">
        <v>2</v>
      </c>
      <c r="R1813" s="296">
        <v>8</v>
      </c>
      <c r="S1813" s="296" t="s">
        <v>354</v>
      </c>
      <c r="T1813" s="296" t="s">
        <v>2355</v>
      </c>
      <c r="U1813" s="296" t="s">
        <v>2357</v>
      </c>
      <c r="V1813" s="296" t="s">
        <v>355</v>
      </c>
      <c r="W1813" s="296" t="s">
        <v>928</v>
      </c>
      <c r="X1813" s="296" t="s">
        <v>928</v>
      </c>
    </row>
    <row r="1814" spans="1:24" ht="13.5" x14ac:dyDescent="0.15">
      <c r="A1814" s="296">
        <v>3750041</v>
      </c>
      <c r="B1814" s="296" t="s">
        <v>351</v>
      </c>
      <c r="C1814" s="296" t="s">
        <v>1803</v>
      </c>
      <c r="D1814" s="296" t="s">
        <v>353</v>
      </c>
      <c r="E1814" s="296" t="s">
        <v>110</v>
      </c>
      <c r="F1814" s="296">
        <v>331</v>
      </c>
      <c r="G1814" s="296" t="s">
        <v>19</v>
      </c>
      <c r="H1814" s="296" t="s">
        <v>20</v>
      </c>
      <c r="I1814" s="296" t="s">
        <v>21</v>
      </c>
      <c r="J1814" s="296" t="s">
        <v>928</v>
      </c>
      <c r="K1814" s="296" t="s">
        <v>112</v>
      </c>
      <c r="L1814" s="296">
        <v>25</v>
      </c>
      <c r="M1814" s="296" t="s">
        <v>357</v>
      </c>
      <c r="N1814" s="296">
        <v>450</v>
      </c>
      <c r="O1814" s="296">
        <v>450</v>
      </c>
      <c r="P1814" s="296">
        <v>4000</v>
      </c>
      <c r="Q1814" s="296">
        <v>2</v>
      </c>
      <c r="R1814" s="296">
        <v>6</v>
      </c>
      <c r="S1814" s="296" t="s">
        <v>354</v>
      </c>
      <c r="T1814" s="296" t="s">
        <v>2355</v>
      </c>
      <c r="U1814" s="296" t="s">
        <v>2357</v>
      </c>
      <c r="V1814" s="296" t="s">
        <v>355</v>
      </c>
      <c r="W1814" s="296" t="s">
        <v>928</v>
      </c>
      <c r="X1814" s="296" t="s">
        <v>928</v>
      </c>
    </row>
    <row r="1815" spans="1:24" ht="13.5" x14ac:dyDescent="0.15">
      <c r="A1815" s="296">
        <v>3750042</v>
      </c>
      <c r="B1815" s="296" t="s">
        <v>351</v>
      </c>
      <c r="C1815" s="296" t="s">
        <v>1803</v>
      </c>
      <c r="D1815" s="296" t="s">
        <v>353</v>
      </c>
      <c r="E1815" s="296" t="s">
        <v>110</v>
      </c>
      <c r="F1815" s="296">
        <v>331</v>
      </c>
      <c r="G1815" s="296" t="s">
        <v>19</v>
      </c>
      <c r="H1815" s="296" t="s">
        <v>20</v>
      </c>
      <c r="I1815" s="296" t="s">
        <v>21</v>
      </c>
      <c r="J1815" s="296" t="s">
        <v>928</v>
      </c>
      <c r="K1815" s="296" t="s">
        <v>112</v>
      </c>
      <c r="L1815" s="296">
        <v>25</v>
      </c>
      <c r="M1815" s="296" t="s">
        <v>357</v>
      </c>
      <c r="N1815" s="296">
        <v>450</v>
      </c>
      <c r="O1815" s="296">
        <v>450</v>
      </c>
      <c r="P1815" s="296">
        <v>4000</v>
      </c>
      <c r="Q1815" s="296">
        <v>2</v>
      </c>
      <c r="R1815" s="296">
        <v>6</v>
      </c>
      <c r="S1815" s="296" t="s">
        <v>354</v>
      </c>
      <c r="T1815" s="296" t="s">
        <v>2355</v>
      </c>
      <c r="U1815" s="296" t="s">
        <v>2357</v>
      </c>
      <c r="V1815" s="296" t="s">
        <v>355</v>
      </c>
      <c r="W1815" s="296" t="s">
        <v>928</v>
      </c>
      <c r="X1815" s="296" t="s">
        <v>928</v>
      </c>
    </row>
    <row r="1816" spans="1:24" ht="13.5" x14ac:dyDescent="0.15">
      <c r="A1816" s="296">
        <v>3750043</v>
      </c>
      <c r="B1816" s="296" t="s">
        <v>351</v>
      </c>
      <c r="C1816" s="296" t="s">
        <v>1796</v>
      </c>
      <c r="D1816" s="296" t="s">
        <v>353</v>
      </c>
      <c r="E1816" s="296" t="s">
        <v>106</v>
      </c>
      <c r="F1816" s="296">
        <v>3</v>
      </c>
      <c r="G1816" s="296" t="s">
        <v>19</v>
      </c>
      <c r="H1816" s="296" t="s">
        <v>20</v>
      </c>
      <c r="I1816" s="296" t="s">
        <v>21</v>
      </c>
      <c r="J1816" s="296" t="s">
        <v>928</v>
      </c>
      <c r="K1816" s="296" t="s">
        <v>107</v>
      </c>
      <c r="L1816" s="296">
        <v>38</v>
      </c>
      <c r="M1816" s="296" t="s">
        <v>367</v>
      </c>
      <c r="N1816" s="296">
        <v>1040</v>
      </c>
      <c r="O1816" s="296">
        <v>1040</v>
      </c>
      <c r="P1816" s="296">
        <v>6000</v>
      </c>
      <c r="Q1816" s="296">
        <v>2</v>
      </c>
      <c r="R1816" s="296">
        <v>1</v>
      </c>
      <c r="S1816" s="296" t="s">
        <v>354</v>
      </c>
      <c r="T1816" s="296" t="s">
        <v>2355</v>
      </c>
      <c r="U1816" s="296" t="s">
        <v>2357</v>
      </c>
      <c r="V1816" s="296" t="s">
        <v>355</v>
      </c>
      <c r="W1816" s="296" t="s">
        <v>928</v>
      </c>
      <c r="X1816" s="296" t="s">
        <v>928</v>
      </c>
    </row>
    <row r="1817" spans="1:24" ht="13.5" x14ac:dyDescent="0.15">
      <c r="A1817" s="296">
        <v>3750044</v>
      </c>
      <c r="B1817" s="296" t="s">
        <v>351</v>
      </c>
      <c r="C1817" s="296" t="s">
        <v>1796</v>
      </c>
      <c r="D1817" s="296" t="s">
        <v>353</v>
      </c>
      <c r="E1817" s="296" t="s">
        <v>106</v>
      </c>
      <c r="F1817" s="296">
        <v>3</v>
      </c>
      <c r="G1817" s="296" t="s">
        <v>19</v>
      </c>
      <c r="H1817" s="296" t="s">
        <v>20</v>
      </c>
      <c r="I1817" s="296" t="s">
        <v>21</v>
      </c>
      <c r="J1817" s="296" t="s">
        <v>928</v>
      </c>
      <c r="K1817" s="296" t="s">
        <v>107</v>
      </c>
      <c r="L1817" s="296">
        <v>25</v>
      </c>
      <c r="M1817" s="296" t="s">
        <v>367</v>
      </c>
      <c r="N1817" s="296">
        <v>1040</v>
      </c>
      <c r="O1817" s="296">
        <v>1040</v>
      </c>
      <c r="P1817" s="296">
        <v>6000</v>
      </c>
      <c r="Q1817" s="296">
        <v>2</v>
      </c>
      <c r="R1817" s="296">
        <v>30</v>
      </c>
      <c r="S1817" s="296" t="s">
        <v>354</v>
      </c>
      <c r="T1817" s="296" t="s">
        <v>2355</v>
      </c>
      <c r="U1817" s="296" t="s">
        <v>2357</v>
      </c>
      <c r="V1817" s="296" t="s">
        <v>355</v>
      </c>
      <c r="W1817" s="296" t="s">
        <v>928</v>
      </c>
      <c r="X1817" s="296" t="s">
        <v>928</v>
      </c>
    </row>
    <row r="1818" spans="1:24" ht="13.5" x14ac:dyDescent="0.15">
      <c r="A1818" s="296">
        <v>3750045</v>
      </c>
      <c r="B1818" s="296" t="s">
        <v>351</v>
      </c>
      <c r="C1818" s="296" t="s">
        <v>1801</v>
      </c>
      <c r="D1818" s="296" t="s">
        <v>353</v>
      </c>
      <c r="E1818" s="296" t="s">
        <v>116</v>
      </c>
      <c r="F1818" s="296">
        <v>3</v>
      </c>
      <c r="G1818" s="296" t="s">
        <v>19</v>
      </c>
      <c r="H1818" s="296" t="s">
        <v>20</v>
      </c>
      <c r="I1818" s="296" t="s">
        <v>21</v>
      </c>
      <c r="J1818" s="296" t="s">
        <v>928</v>
      </c>
      <c r="K1818" s="296" t="s">
        <v>118</v>
      </c>
      <c r="L1818" s="296">
        <v>38</v>
      </c>
      <c r="M1818" s="296" t="s">
        <v>368</v>
      </c>
      <c r="N1818" s="296">
        <v>1005</v>
      </c>
      <c r="O1818" s="296">
        <v>1000</v>
      </c>
      <c r="P1818" s="296">
        <v>8000</v>
      </c>
      <c r="Q1818" s="296">
        <v>2</v>
      </c>
      <c r="R1818" s="296">
        <v>5</v>
      </c>
      <c r="S1818" s="296" t="s">
        <v>354</v>
      </c>
      <c r="T1818" s="296" t="s">
        <v>2355</v>
      </c>
      <c r="U1818" s="296" t="s">
        <v>2358</v>
      </c>
      <c r="V1818" s="296" t="s">
        <v>355</v>
      </c>
      <c r="W1818" s="296" t="s">
        <v>928</v>
      </c>
      <c r="X1818" s="296" t="s">
        <v>928</v>
      </c>
    </row>
    <row r="1819" spans="1:24" ht="13.5" x14ac:dyDescent="0.15">
      <c r="A1819" s="296">
        <v>3750046</v>
      </c>
      <c r="B1819" s="296" t="s">
        <v>351</v>
      </c>
      <c r="C1819" s="296" t="s">
        <v>1796</v>
      </c>
      <c r="D1819" s="296" t="s">
        <v>353</v>
      </c>
      <c r="E1819" s="296" t="s">
        <v>17</v>
      </c>
      <c r="F1819" s="296">
        <v>3</v>
      </c>
      <c r="G1819" s="296" t="s">
        <v>19</v>
      </c>
      <c r="H1819" s="296" t="s">
        <v>20</v>
      </c>
      <c r="I1819" s="296" t="s">
        <v>21</v>
      </c>
      <c r="J1819" s="296" t="s">
        <v>928</v>
      </c>
      <c r="K1819" s="296" t="s">
        <v>22</v>
      </c>
      <c r="L1819" s="296">
        <v>38</v>
      </c>
      <c r="M1819" s="296" t="s">
        <v>23</v>
      </c>
      <c r="N1819" s="296">
        <v>1037</v>
      </c>
      <c r="O1819" s="296">
        <v>1030</v>
      </c>
      <c r="P1819" s="296">
        <v>8500</v>
      </c>
      <c r="Q1819" s="296">
        <v>2</v>
      </c>
      <c r="R1819" s="296">
        <v>46</v>
      </c>
      <c r="S1819" s="296" t="s">
        <v>354</v>
      </c>
      <c r="T1819" s="296" t="s">
        <v>2355</v>
      </c>
      <c r="U1819" s="296" t="s">
        <v>2359</v>
      </c>
      <c r="V1819" s="296" t="s">
        <v>355</v>
      </c>
      <c r="W1819" s="296" t="s">
        <v>928</v>
      </c>
      <c r="X1819" s="296" t="s">
        <v>928</v>
      </c>
    </row>
    <row r="1820" spans="1:24" ht="13.5" x14ac:dyDescent="0.15">
      <c r="A1820" s="296">
        <v>3750047</v>
      </c>
      <c r="B1820" s="296" t="s">
        <v>351</v>
      </c>
      <c r="C1820" s="296" t="s">
        <v>1796</v>
      </c>
      <c r="D1820" s="296" t="s">
        <v>353</v>
      </c>
      <c r="E1820" s="296" t="s">
        <v>17</v>
      </c>
      <c r="F1820" s="296">
        <v>3</v>
      </c>
      <c r="G1820" s="296" t="s">
        <v>19</v>
      </c>
      <c r="H1820" s="296" t="s">
        <v>20</v>
      </c>
      <c r="I1820" s="296" t="s">
        <v>21</v>
      </c>
      <c r="J1820" s="296" t="s">
        <v>928</v>
      </c>
      <c r="K1820" s="296" t="s">
        <v>22</v>
      </c>
      <c r="L1820" s="296">
        <v>38</v>
      </c>
      <c r="M1820" s="296" t="s">
        <v>23</v>
      </c>
      <c r="N1820" s="296">
        <v>1037</v>
      </c>
      <c r="O1820" s="296">
        <v>1030</v>
      </c>
      <c r="P1820" s="296">
        <v>8500</v>
      </c>
      <c r="Q1820" s="296">
        <v>2</v>
      </c>
      <c r="R1820" s="296">
        <v>64</v>
      </c>
      <c r="S1820" s="296" t="s">
        <v>354</v>
      </c>
      <c r="T1820" s="296" t="s">
        <v>2355</v>
      </c>
      <c r="U1820" s="296" t="s">
        <v>2359</v>
      </c>
      <c r="V1820" s="296" t="s">
        <v>355</v>
      </c>
      <c r="W1820" s="296" t="s">
        <v>928</v>
      </c>
      <c r="X1820" s="296" t="s">
        <v>928</v>
      </c>
    </row>
    <row r="1821" spans="1:24" ht="13.5" x14ac:dyDescent="0.15">
      <c r="A1821" s="296">
        <v>3750048</v>
      </c>
      <c r="B1821" s="296" t="s">
        <v>351</v>
      </c>
      <c r="C1821" s="296" t="s">
        <v>1803</v>
      </c>
      <c r="D1821" s="296" t="s">
        <v>353</v>
      </c>
      <c r="E1821" s="296" t="s">
        <v>61</v>
      </c>
      <c r="F1821" s="296">
        <v>3313</v>
      </c>
      <c r="G1821" s="296" t="s">
        <v>19</v>
      </c>
      <c r="H1821" s="296" t="s">
        <v>20</v>
      </c>
      <c r="I1821" s="296" t="s">
        <v>21</v>
      </c>
      <c r="J1821" s="296" t="s">
        <v>928</v>
      </c>
      <c r="K1821" s="296" t="s">
        <v>62</v>
      </c>
      <c r="L1821" s="296">
        <v>38</v>
      </c>
      <c r="M1821" s="296" t="s">
        <v>63</v>
      </c>
      <c r="N1821" s="296">
        <v>750</v>
      </c>
      <c r="O1821" s="296">
        <v>750</v>
      </c>
      <c r="P1821" s="296">
        <v>6000</v>
      </c>
      <c r="Q1821" s="296">
        <v>2</v>
      </c>
      <c r="R1821" s="296">
        <v>20</v>
      </c>
      <c r="S1821" s="296" t="s">
        <v>354</v>
      </c>
      <c r="T1821" s="296" t="s">
        <v>2355</v>
      </c>
      <c r="U1821" s="296" t="s">
        <v>2360</v>
      </c>
      <c r="V1821" s="296" t="s">
        <v>355</v>
      </c>
      <c r="W1821" s="296" t="s">
        <v>928</v>
      </c>
      <c r="X1821" s="296" t="s">
        <v>928</v>
      </c>
    </row>
    <row r="1822" spans="1:24" ht="13.5" x14ac:dyDescent="0.15">
      <c r="A1822" s="296">
        <v>3750049</v>
      </c>
      <c r="B1822" s="296" t="s">
        <v>351</v>
      </c>
      <c r="C1822" s="296" t="s">
        <v>1803</v>
      </c>
      <c r="D1822" s="296" t="s">
        <v>353</v>
      </c>
      <c r="E1822" s="296" t="s">
        <v>61</v>
      </c>
      <c r="F1822" s="296">
        <v>331</v>
      </c>
      <c r="G1822" s="296" t="s">
        <v>19</v>
      </c>
      <c r="H1822" s="296" t="s">
        <v>20</v>
      </c>
      <c r="I1822" s="296" t="s">
        <v>21</v>
      </c>
      <c r="J1822" s="296" t="s">
        <v>928</v>
      </c>
      <c r="K1822" s="296" t="s">
        <v>62</v>
      </c>
      <c r="L1822" s="296">
        <v>38</v>
      </c>
      <c r="M1822" s="296" t="s">
        <v>63</v>
      </c>
      <c r="N1822" s="296">
        <v>1255</v>
      </c>
      <c r="O1822" s="296">
        <v>1250</v>
      </c>
      <c r="P1822" s="296">
        <v>6000</v>
      </c>
      <c r="Q1822" s="296">
        <v>2</v>
      </c>
      <c r="R1822" s="296">
        <v>10</v>
      </c>
      <c r="S1822" s="296" t="s">
        <v>354</v>
      </c>
      <c r="T1822" s="296" t="s">
        <v>2355</v>
      </c>
      <c r="U1822" s="296" t="s">
        <v>2360</v>
      </c>
      <c r="V1822" s="296" t="s">
        <v>355</v>
      </c>
      <c r="W1822" s="296" t="s">
        <v>928</v>
      </c>
      <c r="X1822" s="296" t="s">
        <v>928</v>
      </c>
    </row>
    <row r="1823" spans="1:24" ht="13.5" x14ac:dyDescent="0.15">
      <c r="A1823" s="296">
        <v>3750050</v>
      </c>
      <c r="B1823" s="296" t="s">
        <v>351</v>
      </c>
      <c r="C1823" s="296" t="s">
        <v>1803</v>
      </c>
      <c r="D1823" s="296" t="s">
        <v>353</v>
      </c>
      <c r="E1823" s="296" t="s">
        <v>65</v>
      </c>
      <c r="F1823" s="296">
        <v>3321</v>
      </c>
      <c r="G1823" s="296" t="s">
        <v>19</v>
      </c>
      <c r="H1823" s="296" t="s">
        <v>20</v>
      </c>
      <c r="I1823" s="296" t="s">
        <v>21</v>
      </c>
      <c r="J1823" s="296" t="s">
        <v>928</v>
      </c>
      <c r="K1823" s="296" t="s">
        <v>67</v>
      </c>
      <c r="L1823" s="296">
        <v>38</v>
      </c>
      <c r="M1823" s="296" t="s">
        <v>68</v>
      </c>
      <c r="N1823" s="296">
        <v>1336</v>
      </c>
      <c r="O1823" s="296">
        <v>1325</v>
      </c>
      <c r="P1823" s="296">
        <v>12000</v>
      </c>
      <c r="Q1823" s="296">
        <v>2</v>
      </c>
      <c r="R1823" s="296">
        <v>21</v>
      </c>
      <c r="S1823" s="296" t="s">
        <v>354</v>
      </c>
      <c r="T1823" s="296" t="s">
        <v>2355</v>
      </c>
      <c r="U1823" s="296" t="s">
        <v>2360</v>
      </c>
      <c r="V1823" s="296" t="s">
        <v>355</v>
      </c>
      <c r="W1823" s="296" t="s">
        <v>928</v>
      </c>
      <c r="X1823" s="296" t="s">
        <v>928</v>
      </c>
    </row>
    <row r="1824" spans="1:24" ht="13.5" x14ac:dyDescent="0.15">
      <c r="A1824" s="296">
        <v>3750051</v>
      </c>
      <c r="B1824" s="296" t="s">
        <v>351</v>
      </c>
      <c r="C1824" s="296" t="s">
        <v>1803</v>
      </c>
      <c r="D1824" s="296" t="s">
        <v>353</v>
      </c>
      <c r="E1824" s="296" t="s">
        <v>65</v>
      </c>
      <c r="F1824" s="296">
        <v>3321</v>
      </c>
      <c r="G1824" s="296" t="s">
        <v>19</v>
      </c>
      <c r="H1824" s="296" t="s">
        <v>20</v>
      </c>
      <c r="I1824" s="296" t="s">
        <v>21</v>
      </c>
      <c r="J1824" s="296" t="s">
        <v>928</v>
      </c>
      <c r="K1824" s="296" t="s">
        <v>67</v>
      </c>
      <c r="L1824" s="296">
        <v>38</v>
      </c>
      <c r="M1824" s="296" t="s">
        <v>68</v>
      </c>
      <c r="N1824" s="296">
        <v>1336</v>
      </c>
      <c r="O1824" s="296">
        <v>1325</v>
      </c>
      <c r="P1824" s="296">
        <v>12000</v>
      </c>
      <c r="Q1824" s="296">
        <v>2</v>
      </c>
      <c r="R1824" s="296">
        <v>24</v>
      </c>
      <c r="S1824" s="296" t="s">
        <v>354</v>
      </c>
      <c r="T1824" s="296" t="s">
        <v>2355</v>
      </c>
      <c r="U1824" s="296" t="s">
        <v>2360</v>
      </c>
      <c r="V1824" s="296" t="s">
        <v>355</v>
      </c>
      <c r="W1824" s="296" t="s">
        <v>928</v>
      </c>
      <c r="X1824" s="296" t="s">
        <v>928</v>
      </c>
    </row>
    <row r="1825" spans="1:24" ht="13.5" x14ac:dyDescent="0.15">
      <c r="A1825" s="296">
        <v>3750052</v>
      </c>
      <c r="B1825" s="296" t="s">
        <v>351</v>
      </c>
      <c r="C1825" s="296" t="s">
        <v>1803</v>
      </c>
      <c r="D1825" s="296" t="s">
        <v>353</v>
      </c>
      <c r="E1825" s="296" t="s">
        <v>65</v>
      </c>
      <c r="F1825" s="296">
        <v>3321</v>
      </c>
      <c r="G1825" s="296" t="s">
        <v>19</v>
      </c>
      <c r="H1825" s="296" t="s">
        <v>20</v>
      </c>
      <c r="I1825" s="296" t="s">
        <v>21</v>
      </c>
      <c r="J1825" s="296" t="s">
        <v>928</v>
      </c>
      <c r="K1825" s="296" t="s">
        <v>70</v>
      </c>
      <c r="L1825" s="296">
        <v>38</v>
      </c>
      <c r="M1825" s="296" t="s">
        <v>71</v>
      </c>
      <c r="N1825" s="296">
        <v>1336</v>
      </c>
      <c r="O1825" s="296">
        <v>1325</v>
      </c>
      <c r="P1825" s="296">
        <v>12000</v>
      </c>
      <c r="Q1825" s="296">
        <v>2</v>
      </c>
      <c r="R1825" s="296">
        <v>35</v>
      </c>
      <c r="S1825" s="296" t="s">
        <v>354</v>
      </c>
      <c r="T1825" s="296" t="s">
        <v>2355</v>
      </c>
      <c r="U1825" s="296" t="s">
        <v>2360</v>
      </c>
      <c r="V1825" s="296" t="s">
        <v>355</v>
      </c>
      <c r="W1825" s="296" t="s">
        <v>928</v>
      </c>
      <c r="X1825" s="296" t="s">
        <v>928</v>
      </c>
    </row>
    <row r="1826" spans="1:24" ht="13.5" x14ac:dyDescent="0.15">
      <c r="A1826" s="296">
        <v>3750053</v>
      </c>
      <c r="B1826" s="296" t="s">
        <v>351</v>
      </c>
      <c r="C1826" s="296" t="s">
        <v>1803</v>
      </c>
      <c r="D1826" s="296" t="s">
        <v>353</v>
      </c>
      <c r="E1826" s="296" t="s">
        <v>73</v>
      </c>
      <c r="F1826" s="296">
        <v>331</v>
      </c>
      <c r="G1826" s="296" t="s">
        <v>19</v>
      </c>
      <c r="H1826" s="296" t="s">
        <v>20</v>
      </c>
      <c r="I1826" s="296" t="s">
        <v>21</v>
      </c>
      <c r="J1826" s="296" t="s">
        <v>928</v>
      </c>
      <c r="K1826" s="296" t="s">
        <v>74</v>
      </c>
      <c r="L1826" s="296">
        <v>38</v>
      </c>
      <c r="M1826" s="296" t="s">
        <v>365</v>
      </c>
      <c r="N1826" s="296">
        <v>415</v>
      </c>
      <c r="O1826" s="296">
        <v>415</v>
      </c>
      <c r="P1826" s="296">
        <v>1950</v>
      </c>
      <c r="Q1826" s="296">
        <v>2</v>
      </c>
      <c r="R1826" s="296">
        <v>72</v>
      </c>
      <c r="S1826" s="296" t="s">
        <v>354</v>
      </c>
      <c r="T1826" s="296" t="s">
        <v>2355</v>
      </c>
      <c r="U1826" s="296" t="s">
        <v>2360</v>
      </c>
      <c r="V1826" s="296" t="s">
        <v>355</v>
      </c>
      <c r="W1826" s="296" t="s">
        <v>928</v>
      </c>
      <c r="X1826" s="296" t="s">
        <v>928</v>
      </c>
    </row>
    <row r="1827" spans="1:24" ht="13.5" x14ac:dyDescent="0.15">
      <c r="A1827" s="296">
        <v>3750054</v>
      </c>
      <c r="B1827" s="296" t="s">
        <v>351</v>
      </c>
      <c r="C1827" s="296" t="s">
        <v>1796</v>
      </c>
      <c r="D1827" s="296" t="s">
        <v>353</v>
      </c>
      <c r="E1827" s="296" t="s">
        <v>668</v>
      </c>
      <c r="F1827" s="296">
        <v>3</v>
      </c>
      <c r="G1827" s="296" t="s">
        <v>19</v>
      </c>
      <c r="H1827" s="296" t="s">
        <v>28</v>
      </c>
      <c r="I1827" s="296" t="s">
        <v>21</v>
      </c>
      <c r="J1827" s="296" t="s">
        <v>928</v>
      </c>
      <c r="K1827" s="296" t="s">
        <v>102</v>
      </c>
      <c r="L1827" s="296">
        <v>50</v>
      </c>
      <c r="M1827" s="296" t="s">
        <v>103</v>
      </c>
      <c r="N1827" s="296">
        <v>1050</v>
      </c>
      <c r="O1827" s="296">
        <v>1040</v>
      </c>
      <c r="P1827" s="296">
        <v>4000</v>
      </c>
      <c r="Q1827" s="296">
        <v>2</v>
      </c>
      <c r="R1827" s="296">
        <v>10</v>
      </c>
      <c r="S1827" s="296" t="s">
        <v>354</v>
      </c>
      <c r="T1827" s="296" t="s">
        <v>2355</v>
      </c>
      <c r="U1827" s="296" t="s">
        <v>2361</v>
      </c>
      <c r="V1827" s="296" t="s">
        <v>355</v>
      </c>
      <c r="W1827" s="296" t="s">
        <v>928</v>
      </c>
      <c r="X1827" s="296" t="s">
        <v>928</v>
      </c>
    </row>
    <row r="1828" spans="1:24" ht="13.5" x14ac:dyDescent="0.15">
      <c r="A1828" s="296">
        <v>3750055</v>
      </c>
      <c r="B1828" s="296" t="s">
        <v>431</v>
      </c>
      <c r="C1828" s="296" t="s">
        <v>1796</v>
      </c>
      <c r="D1828" s="296" t="s">
        <v>353</v>
      </c>
      <c r="E1828" s="296" t="s">
        <v>1436</v>
      </c>
      <c r="F1828" s="296">
        <v>3</v>
      </c>
      <c r="G1828" s="296" t="s">
        <v>265</v>
      </c>
      <c r="H1828" s="296" t="s">
        <v>28</v>
      </c>
      <c r="I1828" s="296" t="s">
        <v>132</v>
      </c>
      <c r="J1828" s="296" t="s">
        <v>928</v>
      </c>
      <c r="K1828" s="296" t="s">
        <v>1521</v>
      </c>
      <c r="L1828" s="296">
        <v>75</v>
      </c>
      <c r="M1828" s="296" t="s">
        <v>1438</v>
      </c>
      <c r="N1828" s="296">
        <v>1400</v>
      </c>
      <c r="O1828" s="296">
        <v>1400</v>
      </c>
      <c r="P1828" s="296">
        <v>4200</v>
      </c>
      <c r="Q1828" s="296">
        <v>2</v>
      </c>
      <c r="R1828" s="296">
        <v>22</v>
      </c>
      <c r="S1828" s="296" t="s">
        <v>354</v>
      </c>
      <c r="T1828" s="296" t="s">
        <v>2355</v>
      </c>
      <c r="U1828" s="296" t="s">
        <v>2362</v>
      </c>
      <c r="V1828" s="296" t="s">
        <v>355</v>
      </c>
      <c r="W1828" s="296" t="s">
        <v>928</v>
      </c>
      <c r="X1828" s="296" t="s">
        <v>928</v>
      </c>
    </row>
    <row r="1829" spans="1:24" ht="13.5" x14ac:dyDescent="0.15">
      <c r="A1829" s="296">
        <v>3750077</v>
      </c>
      <c r="B1829" s="296" t="s">
        <v>351</v>
      </c>
      <c r="C1829" s="296" t="s">
        <v>1801</v>
      </c>
      <c r="D1829" s="296" t="s">
        <v>353</v>
      </c>
      <c r="E1829" s="296" t="s">
        <v>116</v>
      </c>
      <c r="F1829" s="296">
        <v>3</v>
      </c>
      <c r="G1829" s="296" t="s">
        <v>19</v>
      </c>
      <c r="H1829" s="296" t="s">
        <v>20</v>
      </c>
      <c r="I1829" s="296" t="s">
        <v>143</v>
      </c>
      <c r="J1829" s="296" t="s">
        <v>928</v>
      </c>
      <c r="K1829" s="296" t="s">
        <v>144</v>
      </c>
      <c r="L1829" s="296">
        <v>38</v>
      </c>
      <c r="M1829" s="296" t="s">
        <v>145</v>
      </c>
      <c r="N1829" s="296">
        <v>1005</v>
      </c>
      <c r="O1829" s="296">
        <v>1000</v>
      </c>
      <c r="P1829" s="296">
        <v>4000</v>
      </c>
      <c r="Q1829" s="296">
        <v>2</v>
      </c>
      <c r="R1829" s="296">
        <v>1</v>
      </c>
      <c r="S1829" s="296" t="s">
        <v>354</v>
      </c>
      <c r="T1829" s="296" t="s">
        <v>2355</v>
      </c>
      <c r="U1829" s="296" t="s">
        <v>2363</v>
      </c>
      <c r="V1829" s="296" t="s">
        <v>355</v>
      </c>
      <c r="W1829" s="296" t="s">
        <v>928</v>
      </c>
      <c r="X1829" s="296" t="s">
        <v>928</v>
      </c>
    </row>
    <row r="1830" spans="1:24" ht="13.5" x14ac:dyDescent="0.15">
      <c r="A1830" s="296">
        <v>3750078</v>
      </c>
      <c r="B1830" s="296" t="s">
        <v>351</v>
      </c>
      <c r="C1830" s="296" t="s">
        <v>1801</v>
      </c>
      <c r="D1830" s="296" t="s">
        <v>353</v>
      </c>
      <c r="E1830" s="296" t="s">
        <v>116</v>
      </c>
      <c r="F1830" s="296">
        <v>3</v>
      </c>
      <c r="G1830" s="296" t="s">
        <v>19</v>
      </c>
      <c r="H1830" s="296" t="s">
        <v>20</v>
      </c>
      <c r="I1830" s="296" t="s">
        <v>143</v>
      </c>
      <c r="J1830" s="296" t="s">
        <v>928</v>
      </c>
      <c r="K1830" s="296" t="s">
        <v>144</v>
      </c>
      <c r="L1830" s="296">
        <v>50</v>
      </c>
      <c r="M1830" s="296" t="s">
        <v>145</v>
      </c>
      <c r="N1830" s="296">
        <v>1005</v>
      </c>
      <c r="O1830" s="296">
        <v>1000</v>
      </c>
      <c r="P1830" s="296">
        <v>4000</v>
      </c>
      <c r="Q1830" s="296">
        <v>2</v>
      </c>
      <c r="R1830" s="296">
        <v>3</v>
      </c>
      <c r="S1830" s="296" t="s">
        <v>354</v>
      </c>
      <c r="T1830" s="296" t="s">
        <v>2355</v>
      </c>
      <c r="U1830" s="296" t="s">
        <v>2363</v>
      </c>
      <c r="V1830" s="296" t="s">
        <v>355</v>
      </c>
      <c r="W1830" s="296" t="s">
        <v>928</v>
      </c>
      <c r="X1830" s="296" t="s">
        <v>928</v>
      </c>
    </row>
    <row r="1831" spans="1:24" ht="13.5" x14ac:dyDescent="0.15">
      <c r="A1831" s="296">
        <v>3750079</v>
      </c>
      <c r="B1831" s="296" t="s">
        <v>351</v>
      </c>
      <c r="C1831" s="296" t="s">
        <v>1801</v>
      </c>
      <c r="D1831" s="296" t="s">
        <v>353</v>
      </c>
      <c r="E1831" s="296" t="s">
        <v>116</v>
      </c>
      <c r="F1831" s="296">
        <v>3</v>
      </c>
      <c r="G1831" s="296" t="s">
        <v>19</v>
      </c>
      <c r="H1831" s="296" t="s">
        <v>20</v>
      </c>
      <c r="I1831" s="296" t="s">
        <v>143</v>
      </c>
      <c r="J1831" s="296" t="s">
        <v>928</v>
      </c>
      <c r="K1831" s="296" t="s">
        <v>144</v>
      </c>
      <c r="L1831" s="296">
        <v>75</v>
      </c>
      <c r="M1831" s="296" t="s">
        <v>145</v>
      </c>
      <c r="N1831" s="296">
        <v>1005</v>
      </c>
      <c r="O1831" s="296">
        <v>1000</v>
      </c>
      <c r="P1831" s="296">
        <v>3000</v>
      </c>
      <c r="Q1831" s="296">
        <v>2</v>
      </c>
      <c r="R1831" s="296">
        <v>3</v>
      </c>
      <c r="S1831" s="296" t="s">
        <v>354</v>
      </c>
      <c r="T1831" s="296" t="s">
        <v>2355</v>
      </c>
      <c r="U1831" s="296" t="s">
        <v>2363</v>
      </c>
      <c r="V1831" s="296" t="s">
        <v>355</v>
      </c>
      <c r="W1831" s="296" t="s">
        <v>928</v>
      </c>
      <c r="X1831" s="296" t="s">
        <v>928</v>
      </c>
    </row>
    <row r="1832" spans="1:24" ht="13.5" x14ac:dyDescent="0.15">
      <c r="A1832" s="296">
        <v>3752262</v>
      </c>
      <c r="B1832" s="296" t="s">
        <v>351</v>
      </c>
      <c r="C1832" s="296" t="s">
        <v>1796</v>
      </c>
      <c r="D1832" s="296" t="s">
        <v>353</v>
      </c>
      <c r="E1832" s="296" t="s">
        <v>17</v>
      </c>
      <c r="F1832" s="296">
        <v>331</v>
      </c>
      <c r="G1832" s="296" t="s">
        <v>19</v>
      </c>
      <c r="H1832" s="296" t="s">
        <v>20</v>
      </c>
      <c r="I1832" s="296" t="s">
        <v>21</v>
      </c>
      <c r="J1832" s="296" t="s">
        <v>928</v>
      </c>
      <c r="K1832" s="296" t="s">
        <v>52</v>
      </c>
      <c r="L1832" s="296">
        <v>38</v>
      </c>
      <c r="M1832" s="296" t="s">
        <v>53</v>
      </c>
      <c r="N1832" s="296">
        <v>1330</v>
      </c>
      <c r="O1832" s="296">
        <v>1330</v>
      </c>
      <c r="P1832" s="296">
        <v>6000</v>
      </c>
      <c r="Q1832" s="296">
        <v>2</v>
      </c>
      <c r="R1832" s="296">
        <v>52</v>
      </c>
      <c r="S1832" s="296" t="s">
        <v>354</v>
      </c>
      <c r="T1832" s="296" t="s">
        <v>2738</v>
      </c>
      <c r="U1832" s="296" t="s">
        <v>2356</v>
      </c>
      <c r="V1832" s="296" t="s">
        <v>355</v>
      </c>
      <c r="W1832" s="296" t="s">
        <v>928</v>
      </c>
      <c r="X1832" s="296" t="s">
        <v>928</v>
      </c>
    </row>
    <row r="1833" spans="1:24" ht="13.5" x14ac:dyDescent="0.15">
      <c r="A1833" s="296">
        <v>3754041</v>
      </c>
      <c r="B1833" s="296" t="s">
        <v>351</v>
      </c>
      <c r="C1833" s="296" t="s">
        <v>1796</v>
      </c>
      <c r="D1833" s="296" t="s">
        <v>353</v>
      </c>
      <c r="E1833" s="296" t="s">
        <v>32</v>
      </c>
      <c r="F1833" s="296">
        <v>331</v>
      </c>
      <c r="G1833" s="296" t="s">
        <v>19</v>
      </c>
      <c r="H1833" s="296" t="s">
        <v>20</v>
      </c>
      <c r="I1833" s="296" t="s">
        <v>21</v>
      </c>
      <c r="J1833" s="296" t="s">
        <v>928</v>
      </c>
      <c r="K1833" s="296" t="s">
        <v>54</v>
      </c>
      <c r="L1833" s="296">
        <v>38</v>
      </c>
      <c r="M1833" s="296" t="s">
        <v>53</v>
      </c>
      <c r="N1833" s="296">
        <v>1580</v>
      </c>
      <c r="O1833" s="296">
        <v>1580</v>
      </c>
      <c r="P1833" s="296">
        <v>6000</v>
      </c>
      <c r="Q1833" s="296">
        <v>2</v>
      </c>
      <c r="R1833" s="296">
        <v>12</v>
      </c>
      <c r="S1833" s="296" t="s">
        <v>354</v>
      </c>
      <c r="T1833" s="296" t="s">
        <v>2363</v>
      </c>
      <c r="U1833" s="296" t="s">
        <v>2752</v>
      </c>
      <c r="V1833" s="296" t="s">
        <v>355</v>
      </c>
      <c r="W1833" s="296" t="s">
        <v>928</v>
      </c>
      <c r="X1833" s="417"/>
    </row>
    <row r="1834" spans="1:24" ht="13.5" x14ac:dyDescent="0.15">
      <c r="A1834" s="296">
        <v>3754042</v>
      </c>
      <c r="B1834" s="296" t="s">
        <v>431</v>
      </c>
      <c r="C1834" s="296" t="s">
        <v>1803</v>
      </c>
      <c r="D1834" s="296" t="s">
        <v>353</v>
      </c>
      <c r="E1834" s="296" t="s">
        <v>1682</v>
      </c>
      <c r="F1834" s="296">
        <v>3</v>
      </c>
      <c r="G1834" s="296" t="s">
        <v>265</v>
      </c>
      <c r="H1834" s="296" t="s">
        <v>20</v>
      </c>
      <c r="I1834" s="296" t="s">
        <v>21</v>
      </c>
      <c r="J1834" s="296" t="s">
        <v>928</v>
      </c>
      <c r="K1834" s="296" t="s">
        <v>632</v>
      </c>
      <c r="L1834" s="296">
        <v>25</v>
      </c>
      <c r="M1834" s="296" t="s">
        <v>633</v>
      </c>
      <c r="N1834" s="296">
        <v>1100</v>
      </c>
      <c r="O1834" s="296">
        <v>1100</v>
      </c>
      <c r="P1834" s="296">
        <v>4070</v>
      </c>
      <c r="Q1834" s="296">
        <v>2</v>
      </c>
      <c r="R1834" s="296">
        <v>24</v>
      </c>
      <c r="S1834" s="296" t="s">
        <v>354</v>
      </c>
      <c r="T1834" s="296" t="s">
        <v>2363</v>
      </c>
      <c r="U1834" s="296" t="s">
        <v>2752</v>
      </c>
      <c r="V1834" s="296" t="s">
        <v>355</v>
      </c>
      <c r="W1834" s="296" t="s">
        <v>928</v>
      </c>
      <c r="X1834" s="417"/>
    </row>
    <row r="1835" spans="1:24" ht="13.5" x14ac:dyDescent="0.15">
      <c r="A1835" s="296">
        <v>3754043</v>
      </c>
      <c r="B1835" s="296" t="s">
        <v>351</v>
      </c>
      <c r="C1835" s="296" t="s">
        <v>1796</v>
      </c>
      <c r="D1835" s="296" t="s">
        <v>353</v>
      </c>
      <c r="E1835" s="296" t="s">
        <v>32</v>
      </c>
      <c r="F1835" s="296">
        <v>331</v>
      </c>
      <c r="G1835" s="296" t="s">
        <v>19</v>
      </c>
      <c r="H1835" s="296" t="s">
        <v>20</v>
      </c>
      <c r="I1835" s="296" t="s">
        <v>21</v>
      </c>
      <c r="J1835" s="296" t="s">
        <v>928</v>
      </c>
      <c r="K1835" s="296" t="s">
        <v>54</v>
      </c>
      <c r="L1835" s="296">
        <v>38</v>
      </c>
      <c r="M1835" s="296" t="s">
        <v>53</v>
      </c>
      <c r="N1835" s="296">
        <v>1330</v>
      </c>
      <c r="O1835" s="296">
        <v>1330</v>
      </c>
      <c r="P1835" s="296">
        <v>6000</v>
      </c>
      <c r="Q1835" s="296">
        <v>2</v>
      </c>
      <c r="R1835" s="296">
        <v>18</v>
      </c>
      <c r="S1835" s="296" t="s">
        <v>354</v>
      </c>
      <c r="T1835" s="296" t="s">
        <v>2363</v>
      </c>
      <c r="U1835" s="296" t="s">
        <v>2752</v>
      </c>
      <c r="V1835" s="296" t="s">
        <v>355</v>
      </c>
      <c r="W1835" s="296" t="s">
        <v>928</v>
      </c>
      <c r="X1835" s="417"/>
    </row>
    <row r="1836" spans="1:24" ht="13.5" x14ac:dyDescent="0.15">
      <c r="A1836" s="296">
        <v>3754044</v>
      </c>
      <c r="B1836" s="296" t="s">
        <v>351</v>
      </c>
      <c r="C1836" s="296" t="s">
        <v>1796</v>
      </c>
      <c r="D1836" s="296" t="s">
        <v>353</v>
      </c>
      <c r="E1836" s="296" t="s">
        <v>32</v>
      </c>
      <c r="F1836" s="296">
        <v>3</v>
      </c>
      <c r="G1836" s="296" t="s">
        <v>19</v>
      </c>
      <c r="H1836" s="296" t="s">
        <v>20</v>
      </c>
      <c r="I1836" s="296" t="s">
        <v>21</v>
      </c>
      <c r="J1836" s="296" t="s">
        <v>928</v>
      </c>
      <c r="K1836" s="296" t="s">
        <v>56</v>
      </c>
      <c r="L1836" s="296">
        <v>75</v>
      </c>
      <c r="M1836" s="296" t="s">
        <v>376</v>
      </c>
      <c r="N1836" s="296">
        <v>1330</v>
      </c>
      <c r="O1836" s="296">
        <v>1330</v>
      </c>
      <c r="P1836" s="296">
        <v>4100</v>
      </c>
      <c r="Q1836" s="296">
        <v>2</v>
      </c>
      <c r="R1836" s="296">
        <v>28</v>
      </c>
      <c r="S1836" s="296" t="s">
        <v>354</v>
      </c>
      <c r="T1836" s="296" t="s">
        <v>2363</v>
      </c>
      <c r="U1836" s="296" t="s">
        <v>2752</v>
      </c>
      <c r="V1836" s="296" t="s">
        <v>355</v>
      </c>
      <c r="W1836" s="296" t="s">
        <v>928</v>
      </c>
      <c r="X1836" s="417"/>
    </row>
    <row r="1837" spans="1:24" ht="13.5" x14ac:dyDescent="0.15">
      <c r="A1837" s="296">
        <v>3754045</v>
      </c>
      <c r="B1837" s="296" t="s">
        <v>351</v>
      </c>
      <c r="C1837" s="296" t="s">
        <v>1803</v>
      </c>
      <c r="D1837" s="296" t="s">
        <v>353</v>
      </c>
      <c r="E1837" s="296" t="s">
        <v>369</v>
      </c>
      <c r="F1837" s="296">
        <v>331</v>
      </c>
      <c r="G1837" s="296" t="s">
        <v>19</v>
      </c>
      <c r="H1837" s="296" t="s">
        <v>20</v>
      </c>
      <c r="I1837" s="296" t="s">
        <v>21</v>
      </c>
      <c r="J1837" s="296" t="s">
        <v>928</v>
      </c>
      <c r="K1837" s="296" t="s">
        <v>47</v>
      </c>
      <c r="L1837" s="296">
        <v>38</v>
      </c>
      <c r="M1837" s="296" t="s">
        <v>53</v>
      </c>
      <c r="N1837" s="296">
        <v>535</v>
      </c>
      <c r="O1837" s="296">
        <v>535</v>
      </c>
      <c r="P1837" s="296">
        <v>6000</v>
      </c>
      <c r="Q1837" s="296">
        <v>2</v>
      </c>
      <c r="R1837" s="296">
        <v>4</v>
      </c>
      <c r="S1837" s="296" t="s">
        <v>354</v>
      </c>
      <c r="T1837" s="296" t="s">
        <v>2363</v>
      </c>
      <c r="U1837" s="296" t="s">
        <v>2753</v>
      </c>
      <c r="V1837" s="296" t="s">
        <v>355</v>
      </c>
      <c r="W1837" s="296" t="s">
        <v>928</v>
      </c>
      <c r="X1837" s="417"/>
    </row>
    <row r="1838" spans="1:24" ht="13.5" x14ac:dyDescent="0.15">
      <c r="A1838" s="296">
        <v>3754046</v>
      </c>
      <c r="B1838" s="296" t="s">
        <v>431</v>
      </c>
      <c r="C1838" s="296" t="s">
        <v>1803</v>
      </c>
      <c r="D1838" s="296" t="s">
        <v>353</v>
      </c>
      <c r="E1838" s="296" t="s">
        <v>1682</v>
      </c>
      <c r="F1838" s="296">
        <v>3</v>
      </c>
      <c r="G1838" s="296" t="s">
        <v>265</v>
      </c>
      <c r="H1838" s="296" t="s">
        <v>20</v>
      </c>
      <c r="I1838" s="296" t="s">
        <v>21</v>
      </c>
      <c r="J1838" s="296" t="s">
        <v>928</v>
      </c>
      <c r="K1838" s="296" t="s">
        <v>632</v>
      </c>
      <c r="L1838" s="296">
        <v>25</v>
      </c>
      <c r="M1838" s="296" t="s">
        <v>633</v>
      </c>
      <c r="N1838" s="296">
        <v>1100</v>
      </c>
      <c r="O1838" s="296">
        <v>1100</v>
      </c>
      <c r="P1838" s="296">
        <v>4070</v>
      </c>
      <c r="Q1838" s="296">
        <v>2</v>
      </c>
      <c r="R1838" s="296">
        <v>6</v>
      </c>
      <c r="S1838" s="296" t="s">
        <v>354</v>
      </c>
      <c r="T1838" s="296" t="s">
        <v>2363</v>
      </c>
      <c r="U1838" s="296" t="s">
        <v>2753</v>
      </c>
      <c r="V1838" s="296" t="s">
        <v>355</v>
      </c>
      <c r="W1838" s="296" t="s">
        <v>928</v>
      </c>
      <c r="X1838" s="417"/>
    </row>
    <row r="1839" spans="1:24" ht="13.5" x14ac:dyDescent="0.15">
      <c r="A1839" s="296">
        <v>3754047</v>
      </c>
      <c r="B1839" s="296" t="s">
        <v>351</v>
      </c>
      <c r="C1839" s="296" t="s">
        <v>1801</v>
      </c>
      <c r="D1839" s="296" t="s">
        <v>353</v>
      </c>
      <c r="E1839" s="296" t="s">
        <v>371</v>
      </c>
      <c r="F1839" s="296">
        <v>3</v>
      </c>
      <c r="G1839" s="296" t="s">
        <v>19</v>
      </c>
      <c r="H1839" s="296" t="s">
        <v>28</v>
      </c>
      <c r="I1839" s="296" t="s">
        <v>21</v>
      </c>
      <c r="J1839" s="296" t="s">
        <v>928</v>
      </c>
      <c r="K1839" s="296" t="s">
        <v>60</v>
      </c>
      <c r="L1839" s="296">
        <v>75</v>
      </c>
      <c r="M1839" s="296" t="s">
        <v>372</v>
      </c>
      <c r="N1839" s="296">
        <v>1040</v>
      </c>
      <c r="O1839" s="296">
        <v>1040</v>
      </c>
      <c r="P1839" s="296">
        <v>4000</v>
      </c>
      <c r="Q1839" s="296">
        <v>1</v>
      </c>
      <c r="R1839" s="296">
        <v>2</v>
      </c>
      <c r="S1839" s="296" t="s">
        <v>354</v>
      </c>
      <c r="T1839" s="296" t="s">
        <v>2363</v>
      </c>
      <c r="U1839" s="296" t="s">
        <v>2753</v>
      </c>
      <c r="V1839" s="296" t="s">
        <v>355</v>
      </c>
      <c r="W1839" s="296" t="s">
        <v>928</v>
      </c>
      <c r="X1839" s="417"/>
    </row>
    <row r="1840" spans="1:24" ht="13.5" x14ac:dyDescent="0.15">
      <c r="A1840" s="296">
        <v>3754048</v>
      </c>
      <c r="B1840" s="296" t="s">
        <v>351</v>
      </c>
      <c r="C1840" s="296" t="s">
        <v>1796</v>
      </c>
      <c r="D1840" s="296" t="s">
        <v>353</v>
      </c>
      <c r="E1840" s="296" t="s">
        <v>114</v>
      </c>
      <c r="F1840" s="296">
        <v>331</v>
      </c>
      <c r="G1840" s="296" t="s">
        <v>19</v>
      </c>
      <c r="H1840" s="296" t="s">
        <v>20</v>
      </c>
      <c r="I1840" s="296" t="s">
        <v>21</v>
      </c>
      <c r="J1840" s="296" t="s">
        <v>928</v>
      </c>
      <c r="K1840" s="296" t="s">
        <v>112</v>
      </c>
      <c r="L1840" s="296">
        <v>25</v>
      </c>
      <c r="M1840" s="296" t="s">
        <v>357</v>
      </c>
      <c r="N1840" s="296">
        <v>640</v>
      </c>
      <c r="O1840" s="296">
        <v>640</v>
      </c>
      <c r="P1840" s="296">
        <v>2000</v>
      </c>
      <c r="Q1840" s="296">
        <v>2</v>
      </c>
      <c r="R1840" s="296">
        <v>12</v>
      </c>
      <c r="S1840" s="296" t="s">
        <v>354</v>
      </c>
      <c r="T1840" s="296" t="s">
        <v>2363</v>
      </c>
      <c r="U1840" s="296" t="s">
        <v>2753</v>
      </c>
      <c r="V1840" s="296" t="s">
        <v>355</v>
      </c>
      <c r="W1840" s="296" t="s">
        <v>928</v>
      </c>
      <c r="X1840" s="417"/>
    </row>
    <row r="1841" spans="1:24" ht="13.5" x14ac:dyDescent="0.15">
      <c r="A1841" s="296">
        <v>3754049</v>
      </c>
      <c r="B1841" s="296" t="s">
        <v>351</v>
      </c>
      <c r="C1841" s="296" t="s">
        <v>1796</v>
      </c>
      <c r="D1841" s="296" t="s">
        <v>353</v>
      </c>
      <c r="E1841" s="296" t="s">
        <v>114</v>
      </c>
      <c r="F1841" s="296">
        <v>331</v>
      </c>
      <c r="G1841" s="296" t="s">
        <v>19</v>
      </c>
      <c r="H1841" s="296" t="s">
        <v>20</v>
      </c>
      <c r="I1841" s="296" t="s">
        <v>21</v>
      </c>
      <c r="J1841" s="296" t="s">
        <v>928</v>
      </c>
      <c r="K1841" s="296" t="s">
        <v>112</v>
      </c>
      <c r="L1841" s="296">
        <v>25</v>
      </c>
      <c r="M1841" s="296" t="s">
        <v>357</v>
      </c>
      <c r="N1841" s="296">
        <v>640</v>
      </c>
      <c r="O1841" s="296">
        <v>540</v>
      </c>
      <c r="P1841" s="296">
        <v>2000</v>
      </c>
      <c r="Q1841" s="296">
        <v>2</v>
      </c>
      <c r="R1841" s="296">
        <v>6</v>
      </c>
      <c r="S1841" s="296" t="s">
        <v>354</v>
      </c>
      <c r="T1841" s="296" t="s">
        <v>2363</v>
      </c>
      <c r="U1841" s="296" t="s">
        <v>2753</v>
      </c>
      <c r="V1841" s="296" t="s">
        <v>355</v>
      </c>
      <c r="W1841" s="296" t="s">
        <v>928</v>
      </c>
      <c r="X1841" s="417"/>
    </row>
    <row r="1842" spans="1:24" ht="13.5" x14ac:dyDescent="0.15">
      <c r="A1842" s="296">
        <v>3754050</v>
      </c>
      <c r="B1842" s="296" t="s">
        <v>351</v>
      </c>
      <c r="C1842" s="296" t="s">
        <v>1796</v>
      </c>
      <c r="D1842" s="296" t="s">
        <v>353</v>
      </c>
      <c r="E1842" s="296" t="s">
        <v>114</v>
      </c>
      <c r="F1842" s="296">
        <v>331</v>
      </c>
      <c r="G1842" s="296" t="s">
        <v>19</v>
      </c>
      <c r="H1842" s="296" t="s">
        <v>20</v>
      </c>
      <c r="I1842" s="296" t="s">
        <v>21</v>
      </c>
      <c r="J1842" s="296" t="s">
        <v>928</v>
      </c>
      <c r="K1842" s="296" t="s">
        <v>112</v>
      </c>
      <c r="L1842" s="296">
        <v>25</v>
      </c>
      <c r="M1842" s="296" t="s">
        <v>357</v>
      </c>
      <c r="N1842" s="296">
        <v>780</v>
      </c>
      <c r="O1842" s="296">
        <v>780</v>
      </c>
      <c r="P1842" s="296">
        <v>2000</v>
      </c>
      <c r="Q1842" s="296">
        <v>2</v>
      </c>
      <c r="R1842" s="296">
        <v>6</v>
      </c>
      <c r="S1842" s="296" t="s">
        <v>354</v>
      </c>
      <c r="T1842" s="296" t="s">
        <v>2363</v>
      </c>
      <c r="U1842" s="296" t="s">
        <v>2753</v>
      </c>
      <c r="V1842" s="296" t="s">
        <v>355</v>
      </c>
      <c r="W1842" s="296" t="s">
        <v>928</v>
      </c>
      <c r="X1842" s="417"/>
    </row>
    <row r="1843" spans="1:24" ht="13.5" x14ac:dyDescent="0.15">
      <c r="A1843" s="296">
        <v>3754051</v>
      </c>
      <c r="B1843" s="296" t="s">
        <v>351</v>
      </c>
      <c r="C1843" s="296" t="s">
        <v>1796</v>
      </c>
      <c r="D1843" s="296" t="s">
        <v>353</v>
      </c>
      <c r="E1843" s="296" t="s">
        <v>130</v>
      </c>
      <c r="F1843" s="296">
        <v>330</v>
      </c>
      <c r="G1843" s="296" t="s">
        <v>19</v>
      </c>
      <c r="H1843" s="296" t="s">
        <v>20</v>
      </c>
      <c r="I1843" s="296" t="s">
        <v>21</v>
      </c>
      <c r="J1843" s="296" t="s">
        <v>928</v>
      </c>
      <c r="K1843" s="296" t="s">
        <v>2337</v>
      </c>
      <c r="L1843" s="296">
        <v>25</v>
      </c>
      <c r="M1843" s="296" t="s">
        <v>2338</v>
      </c>
      <c r="N1843" s="296">
        <v>1420</v>
      </c>
      <c r="O1843" s="296">
        <v>1420</v>
      </c>
      <c r="P1843" s="296">
        <v>12400</v>
      </c>
      <c r="Q1843" s="296">
        <v>2</v>
      </c>
      <c r="R1843" s="296">
        <v>10</v>
      </c>
      <c r="S1843" s="296" t="s">
        <v>354</v>
      </c>
      <c r="T1843" s="296" t="s">
        <v>2363</v>
      </c>
      <c r="U1843" s="296" t="s">
        <v>2753</v>
      </c>
      <c r="V1843" s="296" t="s">
        <v>355</v>
      </c>
      <c r="W1843" s="296" t="s">
        <v>928</v>
      </c>
      <c r="X1843" s="417"/>
    </row>
    <row r="1844" spans="1:24" ht="13.5" x14ac:dyDescent="0.15">
      <c r="A1844" s="296">
        <v>3754052</v>
      </c>
      <c r="B1844" s="296" t="s">
        <v>351</v>
      </c>
      <c r="C1844" s="296" t="s">
        <v>1796</v>
      </c>
      <c r="D1844" s="296" t="s">
        <v>353</v>
      </c>
      <c r="E1844" s="296" t="s">
        <v>130</v>
      </c>
      <c r="F1844" s="296">
        <v>331</v>
      </c>
      <c r="G1844" s="296" t="s">
        <v>19</v>
      </c>
      <c r="H1844" s="296" t="s">
        <v>20</v>
      </c>
      <c r="I1844" s="296" t="s">
        <v>21</v>
      </c>
      <c r="J1844" s="296" t="s">
        <v>928</v>
      </c>
      <c r="K1844" s="296" t="s">
        <v>435</v>
      </c>
      <c r="L1844" s="296">
        <v>25</v>
      </c>
      <c r="M1844" s="296" t="s">
        <v>436</v>
      </c>
      <c r="N1844" s="296">
        <v>1420</v>
      </c>
      <c r="O1844" s="296">
        <v>1420</v>
      </c>
      <c r="P1844" s="296">
        <v>6000</v>
      </c>
      <c r="Q1844" s="296">
        <v>2</v>
      </c>
      <c r="R1844" s="296">
        <v>10</v>
      </c>
      <c r="S1844" s="296" t="s">
        <v>354</v>
      </c>
      <c r="T1844" s="296" t="s">
        <v>2363</v>
      </c>
      <c r="U1844" s="296" t="s">
        <v>2753</v>
      </c>
      <c r="V1844" s="296" t="s">
        <v>355</v>
      </c>
      <c r="W1844" s="296" t="s">
        <v>928</v>
      </c>
      <c r="X1844" s="417"/>
    </row>
    <row r="1845" spans="1:24" ht="13.5" x14ac:dyDescent="0.15">
      <c r="A1845" s="296">
        <v>3754053</v>
      </c>
      <c r="B1845" s="296" t="s">
        <v>351</v>
      </c>
      <c r="C1845" s="296" t="s">
        <v>1801</v>
      </c>
      <c r="D1845" s="296" t="s">
        <v>353</v>
      </c>
      <c r="E1845" s="296" t="s">
        <v>116</v>
      </c>
      <c r="F1845" s="296">
        <v>3</v>
      </c>
      <c r="G1845" s="296" t="s">
        <v>19</v>
      </c>
      <c r="H1845" s="296" t="s">
        <v>20</v>
      </c>
      <c r="I1845" s="296" t="s">
        <v>21</v>
      </c>
      <c r="J1845" s="296" t="s">
        <v>928</v>
      </c>
      <c r="K1845" s="296" t="s">
        <v>118</v>
      </c>
      <c r="L1845" s="296">
        <v>38</v>
      </c>
      <c r="M1845" s="296" t="s">
        <v>368</v>
      </c>
      <c r="N1845" s="296">
        <v>1415</v>
      </c>
      <c r="O1845" s="296">
        <v>1410</v>
      </c>
      <c r="P1845" s="296">
        <v>8000</v>
      </c>
      <c r="Q1845" s="296">
        <v>2</v>
      </c>
      <c r="R1845" s="296">
        <v>10</v>
      </c>
      <c r="S1845" s="296" t="s">
        <v>354</v>
      </c>
      <c r="T1845" s="296" t="s">
        <v>2363</v>
      </c>
      <c r="U1845" s="296" t="s">
        <v>2754</v>
      </c>
      <c r="V1845" s="296" t="s">
        <v>355</v>
      </c>
      <c r="W1845" s="296" t="s">
        <v>928</v>
      </c>
      <c r="X1845" s="417"/>
    </row>
    <row r="1846" spans="1:24" ht="13.5" x14ac:dyDescent="0.15">
      <c r="A1846" s="296">
        <v>3754054</v>
      </c>
      <c r="B1846" s="296" t="s">
        <v>351</v>
      </c>
      <c r="C1846" s="296" t="s">
        <v>1796</v>
      </c>
      <c r="D1846" s="296" t="s">
        <v>353</v>
      </c>
      <c r="E1846" s="296" t="s">
        <v>17</v>
      </c>
      <c r="F1846" s="296">
        <v>3</v>
      </c>
      <c r="G1846" s="296" t="s">
        <v>19</v>
      </c>
      <c r="H1846" s="296" t="s">
        <v>20</v>
      </c>
      <c r="I1846" s="296" t="s">
        <v>21</v>
      </c>
      <c r="J1846" s="296" t="s">
        <v>928</v>
      </c>
      <c r="K1846" s="296" t="s">
        <v>104</v>
      </c>
      <c r="L1846" s="296">
        <v>25</v>
      </c>
      <c r="M1846" s="296" t="s">
        <v>375</v>
      </c>
      <c r="N1846" s="296">
        <v>1325</v>
      </c>
      <c r="O1846" s="296">
        <v>1320</v>
      </c>
      <c r="P1846" s="296">
        <v>6000</v>
      </c>
      <c r="Q1846" s="296">
        <v>2</v>
      </c>
      <c r="R1846" s="296">
        <v>6</v>
      </c>
      <c r="S1846" s="296" t="s">
        <v>354</v>
      </c>
      <c r="T1846" s="296" t="s">
        <v>2363</v>
      </c>
      <c r="U1846" s="296" t="s">
        <v>2753</v>
      </c>
      <c r="V1846" s="296" t="s">
        <v>355</v>
      </c>
      <c r="W1846" s="296" t="s">
        <v>928</v>
      </c>
      <c r="X1846" s="417"/>
    </row>
    <row r="1847" spans="1:24" ht="13.5" x14ac:dyDescent="0.15">
      <c r="A1847" s="296">
        <v>3754055</v>
      </c>
      <c r="B1847" s="296" t="s">
        <v>351</v>
      </c>
      <c r="C1847" s="296" t="s">
        <v>1796</v>
      </c>
      <c r="D1847" s="296" t="s">
        <v>353</v>
      </c>
      <c r="E1847" s="296" t="s">
        <v>106</v>
      </c>
      <c r="F1847" s="296">
        <v>3</v>
      </c>
      <c r="G1847" s="296" t="s">
        <v>19</v>
      </c>
      <c r="H1847" s="296" t="s">
        <v>20</v>
      </c>
      <c r="I1847" s="296" t="s">
        <v>21</v>
      </c>
      <c r="J1847" s="296" t="s">
        <v>928</v>
      </c>
      <c r="K1847" s="296" t="s">
        <v>107</v>
      </c>
      <c r="L1847" s="296">
        <v>25</v>
      </c>
      <c r="M1847" s="296" t="s">
        <v>367</v>
      </c>
      <c r="N1847" s="296">
        <v>1240</v>
      </c>
      <c r="O1847" s="296">
        <v>1240</v>
      </c>
      <c r="P1847" s="296">
        <v>6000</v>
      </c>
      <c r="Q1847" s="296">
        <v>2</v>
      </c>
      <c r="R1847" s="296">
        <v>20</v>
      </c>
      <c r="S1847" s="296" t="s">
        <v>354</v>
      </c>
      <c r="T1847" s="296" t="s">
        <v>2363</v>
      </c>
      <c r="U1847" s="296" t="s">
        <v>2753</v>
      </c>
      <c r="V1847" s="296" t="s">
        <v>355</v>
      </c>
      <c r="W1847" s="296" t="s">
        <v>928</v>
      </c>
      <c r="X1847" s="417"/>
    </row>
    <row r="1848" spans="1:24" ht="13.5" x14ac:dyDescent="0.15">
      <c r="A1848" s="296">
        <v>3754056</v>
      </c>
      <c r="B1848" s="296" t="s">
        <v>351</v>
      </c>
      <c r="C1848" s="296" t="s">
        <v>1796</v>
      </c>
      <c r="D1848" s="296" t="s">
        <v>353</v>
      </c>
      <c r="E1848" s="296" t="s">
        <v>106</v>
      </c>
      <c r="F1848" s="296">
        <v>3</v>
      </c>
      <c r="G1848" s="296" t="s">
        <v>19</v>
      </c>
      <c r="H1848" s="296" t="s">
        <v>20</v>
      </c>
      <c r="I1848" s="296" t="s">
        <v>21</v>
      </c>
      <c r="J1848" s="296" t="s">
        <v>928</v>
      </c>
      <c r="K1848" s="296" t="s">
        <v>107</v>
      </c>
      <c r="L1848" s="296">
        <v>38</v>
      </c>
      <c r="M1848" s="296" t="s">
        <v>367</v>
      </c>
      <c r="N1848" s="296">
        <v>1240</v>
      </c>
      <c r="O1848" s="296">
        <v>1240</v>
      </c>
      <c r="P1848" s="296">
        <v>6000</v>
      </c>
      <c r="Q1848" s="296">
        <v>2</v>
      </c>
      <c r="R1848" s="296">
        <v>10</v>
      </c>
      <c r="S1848" s="296" t="s">
        <v>354</v>
      </c>
      <c r="T1848" s="296" t="s">
        <v>2363</v>
      </c>
      <c r="U1848" s="296" t="s">
        <v>2753</v>
      </c>
      <c r="V1848" s="296" t="s">
        <v>355</v>
      </c>
      <c r="W1848" s="296" t="s">
        <v>928</v>
      </c>
      <c r="X1848" s="417"/>
    </row>
    <row r="1849" spans="1:24" ht="13.5" x14ac:dyDescent="0.15">
      <c r="A1849" s="296">
        <v>3754057</v>
      </c>
      <c r="B1849" s="296" t="s">
        <v>351</v>
      </c>
      <c r="C1849" s="296" t="s">
        <v>1803</v>
      </c>
      <c r="D1849" s="296" t="s">
        <v>353</v>
      </c>
      <c r="E1849" s="296" t="s">
        <v>120</v>
      </c>
      <c r="F1849" s="296">
        <v>3</v>
      </c>
      <c r="G1849" s="296" t="s">
        <v>19</v>
      </c>
      <c r="H1849" s="296" t="s">
        <v>20</v>
      </c>
      <c r="I1849" s="296" t="s">
        <v>21</v>
      </c>
      <c r="J1849" s="296" t="s">
        <v>928</v>
      </c>
      <c r="K1849" s="296" t="s">
        <v>118</v>
      </c>
      <c r="L1849" s="296">
        <v>125</v>
      </c>
      <c r="M1849" s="296" t="s">
        <v>121</v>
      </c>
      <c r="N1849" s="296">
        <v>1230</v>
      </c>
      <c r="O1849" s="296">
        <v>1225</v>
      </c>
      <c r="P1849" s="296">
        <v>1800</v>
      </c>
      <c r="Q1849" s="296">
        <v>2</v>
      </c>
      <c r="R1849" s="296">
        <v>2</v>
      </c>
      <c r="S1849" s="296" t="s">
        <v>354</v>
      </c>
      <c r="T1849" s="296" t="s">
        <v>2363</v>
      </c>
      <c r="U1849" s="296" t="s">
        <v>2753</v>
      </c>
      <c r="V1849" s="296" t="s">
        <v>355</v>
      </c>
      <c r="W1849" s="296" t="s">
        <v>928</v>
      </c>
      <c r="X1849" s="417"/>
    </row>
    <row r="1850" spans="1:24" ht="13.5" x14ac:dyDescent="0.15">
      <c r="A1850" s="296">
        <v>3754058</v>
      </c>
      <c r="B1850" s="296" t="s">
        <v>351</v>
      </c>
      <c r="C1850" s="296" t="s">
        <v>1803</v>
      </c>
      <c r="D1850" s="296" t="s">
        <v>353</v>
      </c>
      <c r="E1850" s="296" t="s">
        <v>2755</v>
      </c>
      <c r="F1850" s="296">
        <v>3</v>
      </c>
      <c r="G1850" s="296" t="s">
        <v>19</v>
      </c>
      <c r="H1850" s="296" t="s">
        <v>20</v>
      </c>
      <c r="I1850" s="296" t="s">
        <v>21</v>
      </c>
      <c r="J1850" s="296" t="s">
        <v>928</v>
      </c>
      <c r="K1850" s="296" t="s">
        <v>118</v>
      </c>
      <c r="L1850" s="296">
        <v>25</v>
      </c>
      <c r="M1850" s="296" t="s">
        <v>119</v>
      </c>
      <c r="N1850" s="296">
        <v>1100</v>
      </c>
      <c r="O1850" s="296">
        <v>1100</v>
      </c>
      <c r="P1850" s="296">
        <v>12000</v>
      </c>
      <c r="Q1850" s="296">
        <v>2</v>
      </c>
      <c r="R1850" s="296">
        <v>30</v>
      </c>
      <c r="S1850" s="296" t="s">
        <v>354</v>
      </c>
      <c r="T1850" s="296" t="s">
        <v>2363</v>
      </c>
      <c r="U1850" s="296" t="s">
        <v>2753</v>
      </c>
      <c r="V1850" s="296" t="s">
        <v>355</v>
      </c>
      <c r="W1850" s="296" t="s">
        <v>928</v>
      </c>
      <c r="X1850" s="417"/>
    </row>
    <row r="1851" spans="1:24" ht="13.5" x14ac:dyDescent="0.15">
      <c r="A1851" s="296">
        <v>3754059</v>
      </c>
      <c r="B1851" s="296" t="s">
        <v>351</v>
      </c>
      <c r="C1851" s="296" t="s">
        <v>1803</v>
      </c>
      <c r="D1851" s="296" t="s">
        <v>353</v>
      </c>
      <c r="E1851" s="296" t="s">
        <v>110</v>
      </c>
      <c r="F1851" s="296">
        <v>331</v>
      </c>
      <c r="G1851" s="296" t="s">
        <v>19</v>
      </c>
      <c r="H1851" s="296" t="s">
        <v>20</v>
      </c>
      <c r="I1851" s="296" t="s">
        <v>21</v>
      </c>
      <c r="J1851" s="296" t="s">
        <v>928</v>
      </c>
      <c r="K1851" s="296" t="s">
        <v>112</v>
      </c>
      <c r="L1851" s="296">
        <v>25</v>
      </c>
      <c r="M1851" s="296" t="s">
        <v>357</v>
      </c>
      <c r="N1851" s="296">
        <v>450</v>
      </c>
      <c r="O1851" s="296">
        <v>450</v>
      </c>
      <c r="P1851" s="296">
        <v>4000</v>
      </c>
      <c r="Q1851" s="296">
        <v>2</v>
      </c>
      <c r="R1851" s="296">
        <v>12</v>
      </c>
      <c r="S1851" s="296" t="s">
        <v>354</v>
      </c>
      <c r="T1851" s="296" t="s">
        <v>2363</v>
      </c>
      <c r="U1851" s="296" t="s">
        <v>2753</v>
      </c>
      <c r="V1851" s="296" t="s">
        <v>355</v>
      </c>
      <c r="W1851" s="296" t="s">
        <v>928</v>
      </c>
      <c r="X1851" s="417"/>
    </row>
    <row r="1852" spans="1:24" ht="13.5" x14ac:dyDescent="0.15">
      <c r="A1852" s="296">
        <v>3754060</v>
      </c>
      <c r="B1852" s="296" t="s">
        <v>351</v>
      </c>
      <c r="C1852" s="296" t="s">
        <v>1796</v>
      </c>
      <c r="D1852" s="296" t="s">
        <v>353</v>
      </c>
      <c r="E1852" s="296" t="s">
        <v>17</v>
      </c>
      <c r="F1852" s="296">
        <v>3</v>
      </c>
      <c r="G1852" s="296" t="s">
        <v>19</v>
      </c>
      <c r="H1852" s="296" t="s">
        <v>20</v>
      </c>
      <c r="I1852" s="296" t="s">
        <v>21</v>
      </c>
      <c r="J1852" s="296" t="s">
        <v>928</v>
      </c>
      <c r="K1852" s="296" t="s">
        <v>104</v>
      </c>
      <c r="L1852" s="296">
        <v>25</v>
      </c>
      <c r="M1852" s="296" t="s">
        <v>375</v>
      </c>
      <c r="N1852" s="296">
        <v>1050</v>
      </c>
      <c r="O1852" s="296">
        <v>1050</v>
      </c>
      <c r="P1852" s="296">
        <v>12000</v>
      </c>
      <c r="Q1852" s="296">
        <v>2</v>
      </c>
      <c r="R1852" s="296">
        <v>8</v>
      </c>
      <c r="S1852" s="296" t="s">
        <v>354</v>
      </c>
      <c r="T1852" s="296" t="s">
        <v>2363</v>
      </c>
      <c r="U1852" s="296" t="s">
        <v>2753</v>
      </c>
      <c r="V1852" s="296" t="s">
        <v>355</v>
      </c>
      <c r="W1852" s="296" t="s">
        <v>928</v>
      </c>
      <c r="X1852" s="417"/>
    </row>
    <row r="1853" spans="1:24" ht="13.5" x14ac:dyDescent="0.15">
      <c r="A1853" s="296">
        <v>3754061</v>
      </c>
      <c r="B1853" s="296" t="s">
        <v>351</v>
      </c>
      <c r="C1853" s="296" t="s">
        <v>1796</v>
      </c>
      <c r="D1853" s="296" t="s">
        <v>353</v>
      </c>
      <c r="E1853" s="296" t="s">
        <v>106</v>
      </c>
      <c r="F1853" s="296">
        <v>3</v>
      </c>
      <c r="G1853" s="296" t="s">
        <v>19</v>
      </c>
      <c r="H1853" s="296" t="s">
        <v>20</v>
      </c>
      <c r="I1853" s="296" t="s">
        <v>21</v>
      </c>
      <c r="J1853" s="296" t="s">
        <v>928</v>
      </c>
      <c r="K1853" s="296" t="s">
        <v>107</v>
      </c>
      <c r="L1853" s="296">
        <v>25</v>
      </c>
      <c r="M1853" s="296" t="s">
        <v>367</v>
      </c>
      <c r="N1853" s="296">
        <v>1040</v>
      </c>
      <c r="O1853" s="296">
        <v>1040</v>
      </c>
      <c r="P1853" s="296">
        <v>6000</v>
      </c>
      <c r="Q1853" s="296">
        <v>2</v>
      </c>
      <c r="R1853" s="296">
        <v>18</v>
      </c>
      <c r="S1853" s="296" t="s">
        <v>354</v>
      </c>
      <c r="T1853" s="296" t="s">
        <v>2363</v>
      </c>
      <c r="U1853" s="296" t="s">
        <v>2753</v>
      </c>
      <c r="V1853" s="296" t="s">
        <v>355</v>
      </c>
      <c r="W1853" s="296" t="s">
        <v>928</v>
      </c>
      <c r="X1853" s="417"/>
    </row>
    <row r="1854" spans="1:24" ht="13.5" x14ac:dyDescent="0.15">
      <c r="A1854" s="296">
        <v>3754062</v>
      </c>
      <c r="B1854" s="296" t="s">
        <v>351</v>
      </c>
      <c r="C1854" s="296" t="s">
        <v>1796</v>
      </c>
      <c r="D1854" s="296" t="s">
        <v>353</v>
      </c>
      <c r="E1854" s="296" t="s">
        <v>106</v>
      </c>
      <c r="F1854" s="296">
        <v>3</v>
      </c>
      <c r="G1854" s="296" t="s">
        <v>19</v>
      </c>
      <c r="H1854" s="296" t="s">
        <v>20</v>
      </c>
      <c r="I1854" s="296" t="s">
        <v>21</v>
      </c>
      <c r="J1854" s="296" t="s">
        <v>928</v>
      </c>
      <c r="K1854" s="296" t="s">
        <v>107</v>
      </c>
      <c r="L1854" s="296">
        <v>38</v>
      </c>
      <c r="M1854" s="296" t="s">
        <v>367</v>
      </c>
      <c r="N1854" s="296">
        <v>1040</v>
      </c>
      <c r="O1854" s="296">
        <v>1040</v>
      </c>
      <c r="P1854" s="296">
        <v>6000</v>
      </c>
      <c r="Q1854" s="296">
        <v>2</v>
      </c>
      <c r="R1854" s="296">
        <v>2</v>
      </c>
      <c r="S1854" s="296" t="s">
        <v>354</v>
      </c>
      <c r="T1854" s="296" t="s">
        <v>2363</v>
      </c>
      <c r="U1854" s="296" t="s">
        <v>2753</v>
      </c>
      <c r="V1854" s="296" t="s">
        <v>355</v>
      </c>
      <c r="W1854" s="296" t="s">
        <v>928</v>
      </c>
      <c r="X1854" s="417"/>
    </row>
    <row r="1855" spans="1:24" ht="13.5" x14ac:dyDescent="0.15">
      <c r="A1855" s="296">
        <v>3754063</v>
      </c>
      <c r="B1855" s="296" t="s">
        <v>351</v>
      </c>
      <c r="C1855" s="296" t="s">
        <v>1801</v>
      </c>
      <c r="D1855" s="296" t="s">
        <v>353</v>
      </c>
      <c r="E1855" s="296" t="s">
        <v>116</v>
      </c>
      <c r="F1855" s="296">
        <v>3</v>
      </c>
      <c r="G1855" s="296" t="s">
        <v>19</v>
      </c>
      <c r="H1855" s="296" t="s">
        <v>20</v>
      </c>
      <c r="I1855" s="296" t="s">
        <v>21</v>
      </c>
      <c r="J1855" s="296" t="s">
        <v>928</v>
      </c>
      <c r="K1855" s="296" t="s">
        <v>118</v>
      </c>
      <c r="L1855" s="296">
        <v>38</v>
      </c>
      <c r="M1855" s="296" t="s">
        <v>368</v>
      </c>
      <c r="N1855" s="296">
        <v>1005</v>
      </c>
      <c r="O1855" s="296">
        <v>1000</v>
      </c>
      <c r="P1855" s="296">
        <v>8000</v>
      </c>
      <c r="Q1855" s="296">
        <v>2</v>
      </c>
      <c r="R1855" s="296">
        <v>10</v>
      </c>
      <c r="S1855" s="296" t="s">
        <v>354</v>
      </c>
      <c r="T1855" s="296" t="s">
        <v>2363</v>
      </c>
      <c r="U1855" s="296" t="s">
        <v>2756</v>
      </c>
      <c r="V1855" s="296" t="s">
        <v>355</v>
      </c>
      <c r="W1855" s="296" t="s">
        <v>928</v>
      </c>
      <c r="X1855" s="417"/>
    </row>
    <row r="1856" spans="1:24" ht="13.5" x14ac:dyDescent="0.15">
      <c r="A1856" s="296">
        <v>3754064</v>
      </c>
      <c r="B1856" s="296" t="s">
        <v>351</v>
      </c>
      <c r="C1856" s="296" t="s">
        <v>1796</v>
      </c>
      <c r="D1856" s="296" t="s">
        <v>353</v>
      </c>
      <c r="E1856" s="296" t="s">
        <v>32</v>
      </c>
      <c r="F1856" s="296">
        <v>331</v>
      </c>
      <c r="G1856" s="296" t="s">
        <v>19</v>
      </c>
      <c r="H1856" s="296" t="s">
        <v>20</v>
      </c>
      <c r="I1856" s="296" t="s">
        <v>21</v>
      </c>
      <c r="J1856" s="296" t="s">
        <v>928</v>
      </c>
      <c r="K1856" s="296" t="s">
        <v>33</v>
      </c>
      <c r="L1856" s="296">
        <v>38</v>
      </c>
      <c r="M1856" s="296" t="s">
        <v>30</v>
      </c>
      <c r="N1856" s="296">
        <v>1580</v>
      </c>
      <c r="O1856" s="296">
        <v>1580</v>
      </c>
      <c r="P1856" s="296">
        <v>6000</v>
      </c>
      <c r="Q1856" s="296">
        <v>2</v>
      </c>
      <c r="R1856" s="296">
        <v>8</v>
      </c>
      <c r="S1856" s="296" t="s">
        <v>354</v>
      </c>
      <c r="T1856" s="296" t="s">
        <v>2363</v>
      </c>
      <c r="U1856" s="296" t="s">
        <v>2757</v>
      </c>
      <c r="V1856" s="296" t="s">
        <v>355</v>
      </c>
      <c r="W1856" s="296" t="s">
        <v>928</v>
      </c>
      <c r="X1856" s="417"/>
    </row>
    <row r="1857" spans="1:24" ht="13.5" x14ac:dyDescent="0.15">
      <c r="A1857" s="296">
        <v>3754065</v>
      </c>
      <c r="B1857" s="296" t="s">
        <v>351</v>
      </c>
      <c r="C1857" s="296" t="s">
        <v>1796</v>
      </c>
      <c r="D1857" s="296" t="s">
        <v>353</v>
      </c>
      <c r="E1857" s="296" t="s">
        <v>17</v>
      </c>
      <c r="F1857" s="296">
        <v>331</v>
      </c>
      <c r="G1857" s="296" t="s">
        <v>19</v>
      </c>
      <c r="H1857" s="296" t="s">
        <v>20</v>
      </c>
      <c r="I1857" s="296" t="s">
        <v>21</v>
      </c>
      <c r="J1857" s="296" t="s">
        <v>928</v>
      </c>
      <c r="K1857" s="296" t="s">
        <v>29</v>
      </c>
      <c r="L1857" s="296">
        <v>38</v>
      </c>
      <c r="M1857" s="296" t="s">
        <v>30</v>
      </c>
      <c r="N1857" s="296">
        <v>1330</v>
      </c>
      <c r="O1857" s="296">
        <v>1330</v>
      </c>
      <c r="P1857" s="296">
        <v>6000</v>
      </c>
      <c r="Q1857" s="296">
        <v>2</v>
      </c>
      <c r="R1857" s="296">
        <v>6</v>
      </c>
      <c r="S1857" s="296" t="s">
        <v>354</v>
      </c>
      <c r="T1857" s="296" t="s">
        <v>2363</v>
      </c>
      <c r="U1857" s="296" t="s">
        <v>2757</v>
      </c>
      <c r="V1857" s="296" t="s">
        <v>355</v>
      </c>
      <c r="W1857" s="296" t="s">
        <v>928</v>
      </c>
      <c r="X1857" s="417"/>
    </row>
    <row r="1858" spans="1:24" ht="13.5" x14ac:dyDescent="0.15">
      <c r="A1858" s="296">
        <v>3754066</v>
      </c>
      <c r="B1858" s="296" t="s">
        <v>351</v>
      </c>
      <c r="C1858" s="296" t="s">
        <v>1796</v>
      </c>
      <c r="D1858" s="296" t="s">
        <v>353</v>
      </c>
      <c r="E1858" s="296" t="s">
        <v>32</v>
      </c>
      <c r="F1858" s="296">
        <v>331</v>
      </c>
      <c r="G1858" s="296" t="s">
        <v>19</v>
      </c>
      <c r="H1858" s="296" t="s">
        <v>20</v>
      </c>
      <c r="I1858" s="296" t="s">
        <v>21</v>
      </c>
      <c r="J1858" s="296" t="s">
        <v>928</v>
      </c>
      <c r="K1858" s="296" t="s">
        <v>33</v>
      </c>
      <c r="L1858" s="296">
        <v>25</v>
      </c>
      <c r="M1858" s="296" t="s">
        <v>30</v>
      </c>
      <c r="N1858" s="296">
        <v>1330</v>
      </c>
      <c r="O1858" s="296">
        <v>1330</v>
      </c>
      <c r="P1858" s="296">
        <v>6000</v>
      </c>
      <c r="Q1858" s="296">
        <v>2</v>
      </c>
      <c r="R1858" s="296">
        <v>16</v>
      </c>
      <c r="S1858" s="296" t="s">
        <v>354</v>
      </c>
      <c r="T1858" s="296" t="s">
        <v>2363</v>
      </c>
      <c r="U1858" s="296" t="s">
        <v>2757</v>
      </c>
      <c r="V1858" s="296" t="s">
        <v>355</v>
      </c>
      <c r="W1858" s="296" t="s">
        <v>928</v>
      </c>
      <c r="X1858" s="417"/>
    </row>
    <row r="1859" spans="1:24" ht="13.5" x14ac:dyDescent="0.15">
      <c r="A1859" s="296">
        <v>3754067</v>
      </c>
      <c r="B1859" s="296" t="s">
        <v>351</v>
      </c>
      <c r="C1859" s="296" t="s">
        <v>1796</v>
      </c>
      <c r="D1859" s="296" t="s">
        <v>353</v>
      </c>
      <c r="E1859" s="296" t="s">
        <v>17</v>
      </c>
      <c r="F1859" s="296">
        <v>3</v>
      </c>
      <c r="G1859" s="296" t="s">
        <v>19</v>
      </c>
      <c r="H1859" s="296" t="s">
        <v>20</v>
      </c>
      <c r="I1859" s="296" t="s">
        <v>21</v>
      </c>
      <c r="J1859" s="296" t="s">
        <v>928</v>
      </c>
      <c r="K1859" s="296" t="s">
        <v>22</v>
      </c>
      <c r="L1859" s="296">
        <v>38</v>
      </c>
      <c r="M1859" s="296" t="s">
        <v>23</v>
      </c>
      <c r="N1859" s="296">
        <v>1057</v>
      </c>
      <c r="O1859" s="296">
        <v>1050</v>
      </c>
      <c r="P1859" s="296">
        <v>8400</v>
      </c>
      <c r="Q1859" s="296">
        <v>2</v>
      </c>
      <c r="R1859" s="296">
        <v>5</v>
      </c>
      <c r="S1859" s="296" t="s">
        <v>354</v>
      </c>
      <c r="T1859" s="296" t="s">
        <v>2363</v>
      </c>
      <c r="U1859" s="296" t="s">
        <v>2757</v>
      </c>
      <c r="V1859" s="296" t="s">
        <v>355</v>
      </c>
      <c r="W1859" s="296" t="s">
        <v>928</v>
      </c>
      <c r="X1859" s="417"/>
    </row>
    <row r="1860" spans="1:24" ht="13.5" x14ac:dyDescent="0.15">
      <c r="A1860" s="296">
        <v>3754068</v>
      </c>
      <c r="B1860" s="296" t="s">
        <v>351</v>
      </c>
      <c r="C1860" s="296" t="s">
        <v>1814</v>
      </c>
      <c r="D1860" s="296" t="s">
        <v>353</v>
      </c>
      <c r="E1860" s="296" t="s">
        <v>40</v>
      </c>
      <c r="F1860" s="296">
        <v>3</v>
      </c>
      <c r="G1860" s="296" t="s">
        <v>19</v>
      </c>
      <c r="H1860" s="296" t="s">
        <v>20</v>
      </c>
      <c r="I1860" s="296" t="s">
        <v>21</v>
      </c>
      <c r="J1860" s="296" t="s">
        <v>928</v>
      </c>
      <c r="K1860" s="296" t="s">
        <v>42</v>
      </c>
      <c r="L1860" s="296">
        <v>25</v>
      </c>
      <c r="M1860" s="296" t="s">
        <v>43</v>
      </c>
      <c r="N1860" s="296">
        <v>1045</v>
      </c>
      <c r="O1860" s="296">
        <v>1040</v>
      </c>
      <c r="P1860" s="296">
        <v>6000</v>
      </c>
      <c r="Q1860" s="296">
        <v>2</v>
      </c>
      <c r="R1860" s="296">
        <v>6</v>
      </c>
      <c r="S1860" s="296" t="s">
        <v>354</v>
      </c>
      <c r="T1860" s="296" t="s">
        <v>2363</v>
      </c>
      <c r="U1860" s="296" t="s">
        <v>2753</v>
      </c>
      <c r="V1860" s="296" t="s">
        <v>355</v>
      </c>
      <c r="W1860" s="296" t="s">
        <v>928</v>
      </c>
      <c r="X1860" s="417"/>
    </row>
    <row r="1861" spans="1:24" ht="13.5" x14ac:dyDescent="0.15">
      <c r="A1861" s="296">
        <v>3754069</v>
      </c>
      <c r="B1861" s="296" t="s">
        <v>351</v>
      </c>
      <c r="C1861" s="296" t="s">
        <v>1796</v>
      </c>
      <c r="D1861" s="296" t="s">
        <v>353</v>
      </c>
      <c r="E1861" s="296" t="s">
        <v>17</v>
      </c>
      <c r="F1861" s="296">
        <v>3</v>
      </c>
      <c r="G1861" s="296" t="s">
        <v>19</v>
      </c>
      <c r="H1861" s="296" t="s">
        <v>20</v>
      </c>
      <c r="I1861" s="296" t="s">
        <v>21</v>
      </c>
      <c r="J1861" s="296" t="s">
        <v>928</v>
      </c>
      <c r="K1861" s="296" t="s">
        <v>22</v>
      </c>
      <c r="L1861" s="296">
        <v>38</v>
      </c>
      <c r="M1861" s="296" t="s">
        <v>23</v>
      </c>
      <c r="N1861" s="296">
        <v>1037</v>
      </c>
      <c r="O1861" s="296">
        <v>1030</v>
      </c>
      <c r="P1861" s="296">
        <v>8500</v>
      </c>
      <c r="Q1861" s="296">
        <v>2</v>
      </c>
      <c r="R1861" s="296">
        <v>65</v>
      </c>
      <c r="S1861" s="296" t="s">
        <v>354</v>
      </c>
      <c r="T1861" s="296" t="s">
        <v>2363</v>
      </c>
      <c r="U1861" s="296" t="s">
        <v>2753</v>
      </c>
      <c r="V1861" s="296" t="s">
        <v>355</v>
      </c>
      <c r="W1861" s="296" t="s">
        <v>928</v>
      </c>
      <c r="X1861" s="417"/>
    </row>
    <row r="1862" spans="1:24" ht="13.5" x14ac:dyDescent="0.15">
      <c r="A1862" s="296">
        <v>3754070</v>
      </c>
      <c r="B1862" s="296" t="s">
        <v>351</v>
      </c>
      <c r="C1862" s="296" t="s">
        <v>1803</v>
      </c>
      <c r="D1862" s="296" t="s">
        <v>353</v>
      </c>
      <c r="E1862" s="296" t="s">
        <v>61</v>
      </c>
      <c r="F1862" s="296">
        <v>3313</v>
      </c>
      <c r="G1862" s="296" t="s">
        <v>19</v>
      </c>
      <c r="H1862" s="296" t="s">
        <v>20</v>
      </c>
      <c r="I1862" s="296" t="s">
        <v>21</v>
      </c>
      <c r="J1862" s="296" t="s">
        <v>928</v>
      </c>
      <c r="K1862" s="296" t="s">
        <v>62</v>
      </c>
      <c r="L1862" s="296">
        <v>38</v>
      </c>
      <c r="M1862" s="296" t="s">
        <v>63</v>
      </c>
      <c r="N1862" s="296">
        <v>750</v>
      </c>
      <c r="O1862" s="296">
        <v>750</v>
      </c>
      <c r="P1862" s="296">
        <v>6000</v>
      </c>
      <c r="Q1862" s="296">
        <v>2</v>
      </c>
      <c r="R1862" s="296">
        <v>4</v>
      </c>
      <c r="S1862" s="296" t="s">
        <v>354</v>
      </c>
      <c r="T1862" s="296" t="s">
        <v>2363</v>
      </c>
      <c r="U1862" s="296" t="s">
        <v>2753</v>
      </c>
      <c r="V1862" s="296" t="s">
        <v>355</v>
      </c>
      <c r="W1862" s="296" t="s">
        <v>928</v>
      </c>
      <c r="X1862" s="417"/>
    </row>
    <row r="1863" spans="1:24" ht="13.5" x14ac:dyDescent="0.15">
      <c r="A1863" s="296">
        <v>3754071</v>
      </c>
      <c r="B1863" s="296" t="s">
        <v>351</v>
      </c>
      <c r="C1863" s="296" t="s">
        <v>1803</v>
      </c>
      <c r="D1863" s="296" t="s">
        <v>353</v>
      </c>
      <c r="E1863" s="296" t="s">
        <v>61</v>
      </c>
      <c r="F1863" s="296">
        <v>331</v>
      </c>
      <c r="G1863" s="296" t="s">
        <v>19</v>
      </c>
      <c r="H1863" s="296" t="s">
        <v>20</v>
      </c>
      <c r="I1863" s="296" t="s">
        <v>21</v>
      </c>
      <c r="J1863" s="296" t="s">
        <v>928</v>
      </c>
      <c r="K1863" s="296" t="s">
        <v>62</v>
      </c>
      <c r="L1863" s="296">
        <v>38</v>
      </c>
      <c r="M1863" s="296" t="s">
        <v>63</v>
      </c>
      <c r="N1863" s="296">
        <v>1255</v>
      </c>
      <c r="O1863" s="296">
        <v>1250</v>
      </c>
      <c r="P1863" s="296">
        <v>6000</v>
      </c>
      <c r="Q1863" s="296">
        <v>2</v>
      </c>
      <c r="R1863" s="296">
        <v>8</v>
      </c>
      <c r="S1863" s="296" t="s">
        <v>354</v>
      </c>
      <c r="T1863" s="296" t="s">
        <v>2363</v>
      </c>
      <c r="U1863" s="296" t="s">
        <v>2753</v>
      </c>
      <c r="V1863" s="296" t="s">
        <v>355</v>
      </c>
      <c r="W1863" s="296" t="s">
        <v>928</v>
      </c>
      <c r="X1863" s="417"/>
    </row>
    <row r="1864" spans="1:24" ht="13.5" x14ac:dyDescent="0.15">
      <c r="A1864" s="296">
        <v>3754072</v>
      </c>
      <c r="B1864" s="296" t="s">
        <v>351</v>
      </c>
      <c r="C1864" s="296" t="s">
        <v>1803</v>
      </c>
      <c r="D1864" s="296" t="s">
        <v>353</v>
      </c>
      <c r="E1864" s="296" t="s">
        <v>65</v>
      </c>
      <c r="F1864" s="296">
        <v>3321</v>
      </c>
      <c r="G1864" s="296" t="s">
        <v>19</v>
      </c>
      <c r="H1864" s="296" t="s">
        <v>20</v>
      </c>
      <c r="I1864" s="296" t="s">
        <v>21</v>
      </c>
      <c r="J1864" s="296" t="s">
        <v>928</v>
      </c>
      <c r="K1864" s="296" t="s">
        <v>67</v>
      </c>
      <c r="L1864" s="296">
        <v>38</v>
      </c>
      <c r="M1864" s="296" t="s">
        <v>68</v>
      </c>
      <c r="N1864" s="296">
        <v>1336</v>
      </c>
      <c r="O1864" s="296">
        <v>1325</v>
      </c>
      <c r="P1864" s="296">
        <v>12000</v>
      </c>
      <c r="Q1864" s="296">
        <v>2</v>
      </c>
      <c r="R1864" s="296">
        <v>68</v>
      </c>
      <c r="S1864" s="296" t="s">
        <v>354</v>
      </c>
      <c r="T1864" s="296" t="s">
        <v>2363</v>
      </c>
      <c r="U1864" s="296" t="s">
        <v>2753</v>
      </c>
      <c r="V1864" s="296" t="s">
        <v>355</v>
      </c>
      <c r="W1864" s="296" t="s">
        <v>928</v>
      </c>
      <c r="X1864" s="417"/>
    </row>
    <row r="1865" spans="1:24" ht="13.5" x14ac:dyDescent="0.15">
      <c r="A1865" s="296">
        <v>3754073</v>
      </c>
      <c r="B1865" s="296" t="s">
        <v>351</v>
      </c>
      <c r="C1865" s="296" t="s">
        <v>1803</v>
      </c>
      <c r="D1865" s="296" t="s">
        <v>353</v>
      </c>
      <c r="E1865" s="296" t="s">
        <v>65</v>
      </c>
      <c r="F1865" s="296">
        <v>3321</v>
      </c>
      <c r="G1865" s="296" t="s">
        <v>19</v>
      </c>
      <c r="H1865" s="296" t="s">
        <v>20</v>
      </c>
      <c r="I1865" s="296" t="s">
        <v>21</v>
      </c>
      <c r="J1865" s="296" t="s">
        <v>928</v>
      </c>
      <c r="K1865" s="296" t="s">
        <v>70</v>
      </c>
      <c r="L1865" s="296">
        <v>38</v>
      </c>
      <c r="M1865" s="296" t="s">
        <v>71</v>
      </c>
      <c r="N1865" s="296">
        <v>1336</v>
      </c>
      <c r="O1865" s="296">
        <v>1325</v>
      </c>
      <c r="P1865" s="296">
        <v>12000</v>
      </c>
      <c r="Q1865" s="296">
        <v>2</v>
      </c>
      <c r="R1865" s="296">
        <v>42</v>
      </c>
      <c r="S1865" s="296" t="s">
        <v>354</v>
      </c>
      <c r="T1865" s="296" t="s">
        <v>2363</v>
      </c>
      <c r="U1865" s="296" t="s">
        <v>2753</v>
      </c>
      <c r="V1865" s="296" t="s">
        <v>355</v>
      </c>
      <c r="W1865" s="296" t="s">
        <v>928</v>
      </c>
      <c r="X1865" s="417"/>
    </row>
    <row r="1866" spans="1:24" ht="13.5" x14ac:dyDescent="0.15">
      <c r="A1866" s="296">
        <v>3754074</v>
      </c>
      <c r="B1866" s="296" t="s">
        <v>351</v>
      </c>
      <c r="C1866" s="296" t="s">
        <v>1803</v>
      </c>
      <c r="D1866" s="296" t="s">
        <v>353</v>
      </c>
      <c r="E1866" s="296" t="s">
        <v>73</v>
      </c>
      <c r="F1866" s="296">
        <v>331</v>
      </c>
      <c r="G1866" s="296" t="s">
        <v>19</v>
      </c>
      <c r="H1866" s="296" t="s">
        <v>20</v>
      </c>
      <c r="I1866" s="296" t="s">
        <v>21</v>
      </c>
      <c r="J1866" s="296" t="s">
        <v>928</v>
      </c>
      <c r="K1866" s="296" t="s">
        <v>74</v>
      </c>
      <c r="L1866" s="296">
        <v>38</v>
      </c>
      <c r="M1866" s="296" t="s">
        <v>365</v>
      </c>
      <c r="N1866" s="296">
        <v>315</v>
      </c>
      <c r="O1866" s="296">
        <v>315</v>
      </c>
      <c r="P1866" s="296">
        <v>1950</v>
      </c>
      <c r="Q1866" s="296">
        <v>2</v>
      </c>
      <c r="R1866" s="296">
        <v>3</v>
      </c>
      <c r="S1866" s="296" t="s">
        <v>354</v>
      </c>
      <c r="T1866" s="296" t="s">
        <v>2363</v>
      </c>
      <c r="U1866" s="296" t="s">
        <v>2753</v>
      </c>
      <c r="V1866" s="296" t="s">
        <v>355</v>
      </c>
      <c r="W1866" s="296" t="s">
        <v>928</v>
      </c>
      <c r="X1866" s="417"/>
    </row>
    <row r="1867" spans="1:24" ht="13.5" x14ac:dyDescent="0.15">
      <c r="A1867" s="296">
        <v>3754075</v>
      </c>
      <c r="B1867" s="296" t="s">
        <v>351</v>
      </c>
      <c r="C1867" s="296" t="s">
        <v>1803</v>
      </c>
      <c r="D1867" s="296" t="s">
        <v>353</v>
      </c>
      <c r="E1867" s="296" t="s">
        <v>73</v>
      </c>
      <c r="F1867" s="296">
        <v>331</v>
      </c>
      <c r="G1867" s="296" t="s">
        <v>19</v>
      </c>
      <c r="H1867" s="296" t="s">
        <v>20</v>
      </c>
      <c r="I1867" s="296" t="s">
        <v>21</v>
      </c>
      <c r="J1867" s="296" t="s">
        <v>928</v>
      </c>
      <c r="K1867" s="296" t="s">
        <v>74</v>
      </c>
      <c r="L1867" s="296">
        <v>38</v>
      </c>
      <c r="M1867" s="296" t="s">
        <v>365</v>
      </c>
      <c r="N1867" s="296">
        <v>415</v>
      </c>
      <c r="O1867" s="296">
        <v>415</v>
      </c>
      <c r="P1867" s="296">
        <v>1950</v>
      </c>
      <c r="Q1867" s="296">
        <v>2</v>
      </c>
      <c r="R1867" s="296">
        <v>87</v>
      </c>
      <c r="S1867" s="296" t="s">
        <v>354</v>
      </c>
      <c r="T1867" s="296" t="s">
        <v>2363</v>
      </c>
      <c r="U1867" s="296" t="s">
        <v>2753</v>
      </c>
      <c r="V1867" s="296" t="s">
        <v>355</v>
      </c>
      <c r="W1867" s="296" t="s">
        <v>928</v>
      </c>
      <c r="X1867" s="417"/>
    </row>
    <row r="1868" spans="1:24" ht="13.5" x14ac:dyDescent="0.15">
      <c r="A1868" s="296">
        <v>3754076</v>
      </c>
      <c r="B1868" s="296" t="s">
        <v>351</v>
      </c>
      <c r="C1868" s="296" t="s">
        <v>1803</v>
      </c>
      <c r="D1868" s="296" t="s">
        <v>353</v>
      </c>
      <c r="E1868" s="296" t="s">
        <v>61</v>
      </c>
      <c r="F1868" s="296">
        <v>331</v>
      </c>
      <c r="G1868" s="296" t="s">
        <v>19</v>
      </c>
      <c r="H1868" s="296" t="s">
        <v>20</v>
      </c>
      <c r="I1868" s="296" t="s">
        <v>21</v>
      </c>
      <c r="J1868" s="296" t="s">
        <v>928</v>
      </c>
      <c r="K1868" s="296" t="s">
        <v>62</v>
      </c>
      <c r="L1868" s="296">
        <v>38</v>
      </c>
      <c r="M1868" s="296" t="s">
        <v>63</v>
      </c>
      <c r="N1868" s="296">
        <v>1255</v>
      </c>
      <c r="O1868" s="296">
        <v>1250</v>
      </c>
      <c r="P1868" s="296">
        <v>6000</v>
      </c>
      <c r="Q1868" s="296">
        <v>2</v>
      </c>
      <c r="R1868" s="296">
        <v>2</v>
      </c>
      <c r="S1868" s="296" t="s">
        <v>354</v>
      </c>
      <c r="T1868" s="296" t="s">
        <v>2363</v>
      </c>
      <c r="U1868" s="296" t="s">
        <v>2753</v>
      </c>
      <c r="V1868" s="296" t="s">
        <v>355</v>
      </c>
      <c r="W1868" s="296" t="s">
        <v>928</v>
      </c>
      <c r="X1868" s="417"/>
    </row>
    <row r="1869" spans="1:24" ht="13.5" x14ac:dyDescent="0.15">
      <c r="A1869" s="296">
        <v>3754077</v>
      </c>
      <c r="B1869" s="296" t="s">
        <v>351</v>
      </c>
      <c r="C1869" s="296" t="s">
        <v>1796</v>
      </c>
      <c r="D1869" s="296" t="s">
        <v>353</v>
      </c>
      <c r="E1869" s="296" t="s">
        <v>668</v>
      </c>
      <c r="F1869" s="296">
        <v>3</v>
      </c>
      <c r="G1869" s="296" t="s">
        <v>19</v>
      </c>
      <c r="H1869" s="296" t="s">
        <v>28</v>
      </c>
      <c r="I1869" s="296" t="s">
        <v>21</v>
      </c>
      <c r="J1869" s="296" t="s">
        <v>928</v>
      </c>
      <c r="K1869" s="296" t="s">
        <v>102</v>
      </c>
      <c r="L1869" s="296">
        <v>50</v>
      </c>
      <c r="M1869" s="296" t="s">
        <v>103</v>
      </c>
      <c r="N1869" s="296">
        <v>1050</v>
      </c>
      <c r="O1869" s="296">
        <v>1040</v>
      </c>
      <c r="P1869" s="296">
        <v>4000</v>
      </c>
      <c r="Q1869" s="296">
        <v>2</v>
      </c>
      <c r="R1869" s="296">
        <v>10</v>
      </c>
      <c r="S1869" s="296" t="s">
        <v>354</v>
      </c>
      <c r="T1869" s="296" t="s">
        <v>2363</v>
      </c>
      <c r="U1869" s="296" t="s">
        <v>2753</v>
      </c>
      <c r="V1869" s="296" t="s">
        <v>355</v>
      </c>
      <c r="W1869" s="296" t="s">
        <v>928</v>
      </c>
      <c r="X1869" s="417"/>
    </row>
    <row r="1870" spans="1:24" ht="13.5" x14ac:dyDescent="0.15">
      <c r="A1870" s="296">
        <v>3754096</v>
      </c>
      <c r="B1870" s="296" t="s">
        <v>351</v>
      </c>
      <c r="C1870" s="296" t="s">
        <v>1801</v>
      </c>
      <c r="D1870" s="296" t="s">
        <v>353</v>
      </c>
      <c r="E1870" s="296" t="s">
        <v>116</v>
      </c>
      <c r="F1870" s="296">
        <v>3</v>
      </c>
      <c r="G1870" s="296" t="s">
        <v>19</v>
      </c>
      <c r="H1870" s="296" t="s">
        <v>20</v>
      </c>
      <c r="I1870" s="296" t="s">
        <v>143</v>
      </c>
      <c r="J1870" s="296" t="s">
        <v>928</v>
      </c>
      <c r="K1870" s="296" t="s">
        <v>144</v>
      </c>
      <c r="L1870" s="296">
        <v>50</v>
      </c>
      <c r="M1870" s="296" t="s">
        <v>145</v>
      </c>
      <c r="N1870" s="296">
        <v>1005</v>
      </c>
      <c r="O1870" s="296">
        <v>1000</v>
      </c>
      <c r="P1870" s="296">
        <v>4000</v>
      </c>
      <c r="Q1870" s="296">
        <v>2</v>
      </c>
      <c r="R1870" s="296">
        <v>9</v>
      </c>
      <c r="S1870" s="296" t="s">
        <v>354</v>
      </c>
      <c r="T1870" s="296" t="s">
        <v>2363</v>
      </c>
      <c r="U1870" s="296" t="s">
        <v>2757</v>
      </c>
      <c r="V1870" s="296" t="s">
        <v>355</v>
      </c>
      <c r="W1870" s="296" t="s">
        <v>928</v>
      </c>
      <c r="X1870" s="417"/>
    </row>
    <row r="1871" spans="1:24" x14ac:dyDescent="0.15">
      <c r="A1871" s="417">
        <v>3758013</v>
      </c>
      <c r="B1871" s="417" t="s">
        <v>351</v>
      </c>
      <c r="C1871" s="417" t="s">
        <v>1796</v>
      </c>
      <c r="D1871" s="417" t="s">
        <v>353</v>
      </c>
      <c r="E1871" s="417" t="s">
        <v>32</v>
      </c>
      <c r="F1871" s="417">
        <v>331</v>
      </c>
      <c r="G1871" s="417" t="s">
        <v>19</v>
      </c>
      <c r="H1871" s="417" t="s">
        <v>20</v>
      </c>
      <c r="I1871" s="417" t="s">
        <v>21</v>
      </c>
      <c r="J1871" s="417" t="s">
        <v>928</v>
      </c>
      <c r="K1871" s="417" t="s">
        <v>54</v>
      </c>
      <c r="L1871" s="417">
        <v>38</v>
      </c>
      <c r="M1871" s="417" t="s">
        <v>53</v>
      </c>
      <c r="N1871" s="436">
        <v>1580</v>
      </c>
      <c r="O1871" s="436">
        <v>1580</v>
      </c>
      <c r="P1871" s="436">
        <v>6000</v>
      </c>
      <c r="Q1871" s="417">
        <v>2</v>
      </c>
      <c r="R1871" s="417">
        <v>4</v>
      </c>
      <c r="S1871" s="417" t="s">
        <v>354</v>
      </c>
      <c r="T1871" s="437" t="s">
        <v>2752</v>
      </c>
      <c r="U1871" s="437" t="s">
        <v>2853</v>
      </c>
      <c r="V1871" s="417" t="s">
        <v>355</v>
      </c>
      <c r="W1871" s="417" t="s">
        <v>928</v>
      </c>
      <c r="X1871" s="417" t="s">
        <v>928</v>
      </c>
    </row>
    <row r="1872" spans="1:24" x14ac:dyDescent="0.15">
      <c r="A1872" s="417">
        <v>3758014</v>
      </c>
      <c r="B1872" s="417" t="s">
        <v>351</v>
      </c>
      <c r="C1872" s="417" t="s">
        <v>1796</v>
      </c>
      <c r="D1872" s="417" t="s">
        <v>353</v>
      </c>
      <c r="E1872" s="417" t="s">
        <v>17</v>
      </c>
      <c r="F1872" s="417">
        <v>331</v>
      </c>
      <c r="G1872" s="417" t="s">
        <v>19</v>
      </c>
      <c r="H1872" s="417" t="s">
        <v>20</v>
      </c>
      <c r="I1872" s="417" t="s">
        <v>21</v>
      </c>
      <c r="J1872" s="417" t="s">
        <v>928</v>
      </c>
      <c r="K1872" s="417" t="s">
        <v>52</v>
      </c>
      <c r="L1872" s="417">
        <v>38</v>
      </c>
      <c r="M1872" s="417" t="s">
        <v>53</v>
      </c>
      <c r="N1872" s="436">
        <v>1330</v>
      </c>
      <c r="O1872" s="436">
        <v>1330</v>
      </c>
      <c r="P1872" s="436">
        <v>6000</v>
      </c>
      <c r="Q1872" s="417">
        <v>2</v>
      </c>
      <c r="R1872" s="417">
        <v>18</v>
      </c>
      <c r="S1872" s="417" t="s">
        <v>354</v>
      </c>
      <c r="T1872" s="437" t="s">
        <v>2752</v>
      </c>
      <c r="U1872" s="437" t="s">
        <v>2853</v>
      </c>
      <c r="V1872" s="417" t="s">
        <v>355</v>
      </c>
      <c r="W1872" s="417" t="s">
        <v>928</v>
      </c>
      <c r="X1872" s="417" t="s">
        <v>928</v>
      </c>
    </row>
    <row r="1873" spans="1:24" x14ac:dyDescent="0.15">
      <c r="A1873" s="417">
        <v>3758015</v>
      </c>
      <c r="B1873" s="417" t="s">
        <v>351</v>
      </c>
      <c r="C1873" s="417" t="s">
        <v>1796</v>
      </c>
      <c r="D1873" s="417" t="s">
        <v>353</v>
      </c>
      <c r="E1873" s="417" t="s">
        <v>32</v>
      </c>
      <c r="F1873" s="417">
        <v>331</v>
      </c>
      <c r="G1873" s="417" t="s">
        <v>19</v>
      </c>
      <c r="H1873" s="417" t="s">
        <v>20</v>
      </c>
      <c r="I1873" s="417" t="s">
        <v>21</v>
      </c>
      <c r="J1873" s="417" t="s">
        <v>928</v>
      </c>
      <c r="K1873" s="417" t="s">
        <v>54</v>
      </c>
      <c r="L1873" s="417">
        <v>38</v>
      </c>
      <c r="M1873" s="417" t="s">
        <v>53</v>
      </c>
      <c r="N1873" s="436">
        <v>1330</v>
      </c>
      <c r="O1873" s="436">
        <v>1330</v>
      </c>
      <c r="P1873" s="436">
        <v>6000</v>
      </c>
      <c r="Q1873" s="417">
        <v>2</v>
      </c>
      <c r="R1873" s="417">
        <v>34</v>
      </c>
      <c r="S1873" s="417" t="s">
        <v>354</v>
      </c>
      <c r="T1873" s="437" t="s">
        <v>2752</v>
      </c>
      <c r="U1873" s="437" t="s">
        <v>2853</v>
      </c>
      <c r="V1873" s="417" t="s">
        <v>355</v>
      </c>
      <c r="W1873" s="417" t="s">
        <v>928</v>
      </c>
      <c r="X1873" s="417" t="s">
        <v>928</v>
      </c>
    </row>
    <row r="1874" spans="1:24" x14ac:dyDescent="0.15">
      <c r="A1874" s="417">
        <v>3758016</v>
      </c>
      <c r="B1874" s="417" t="s">
        <v>351</v>
      </c>
      <c r="C1874" s="417" t="s">
        <v>1796</v>
      </c>
      <c r="D1874" s="417" t="s">
        <v>353</v>
      </c>
      <c r="E1874" s="417" t="s">
        <v>32</v>
      </c>
      <c r="F1874" s="417">
        <v>3</v>
      </c>
      <c r="G1874" s="417" t="s">
        <v>19</v>
      </c>
      <c r="H1874" s="417" t="s">
        <v>20</v>
      </c>
      <c r="I1874" s="417" t="s">
        <v>21</v>
      </c>
      <c r="J1874" s="417" t="s">
        <v>928</v>
      </c>
      <c r="K1874" s="417" t="s">
        <v>56</v>
      </c>
      <c r="L1874" s="417">
        <v>75</v>
      </c>
      <c r="M1874" s="417" t="s">
        <v>376</v>
      </c>
      <c r="N1874" s="436">
        <v>1330</v>
      </c>
      <c r="O1874" s="436">
        <v>1330</v>
      </c>
      <c r="P1874" s="436">
        <v>4100</v>
      </c>
      <c r="Q1874" s="417">
        <v>2</v>
      </c>
      <c r="R1874" s="417">
        <v>48</v>
      </c>
      <c r="S1874" s="417" t="s">
        <v>354</v>
      </c>
      <c r="T1874" s="437" t="s">
        <v>2752</v>
      </c>
      <c r="U1874" s="437" t="s">
        <v>2853</v>
      </c>
      <c r="V1874" s="417" t="s">
        <v>355</v>
      </c>
      <c r="W1874" s="417" t="s">
        <v>928</v>
      </c>
      <c r="X1874" s="417" t="s">
        <v>928</v>
      </c>
    </row>
    <row r="1875" spans="1:24" x14ac:dyDescent="0.15">
      <c r="A1875" s="417">
        <v>3758017</v>
      </c>
      <c r="B1875" s="417" t="s">
        <v>431</v>
      </c>
      <c r="C1875" s="417" t="s">
        <v>1803</v>
      </c>
      <c r="D1875" s="417" t="s">
        <v>353</v>
      </c>
      <c r="E1875" s="417" t="s">
        <v>1682</v>
      </c>
      <c r="F1875" s="417">
        <v>3</v>
      </c>
      <c r="G1875" s="417" t="s">
        <v>265</v>
      </c>
      <c r="H1875" s="417" t="s">
        <v>20</v>
      </c>
      <c r="I1875" s="417" t="s">
        <v>21</v>
      </c>
      <c r="J1875" s="417" t="s">
        <v>928</v>
      </c>
      <c r="K1875" s="417" t="s">
        <v>632</v>
      </c>
      <c r="L1875" s="417">
        <v>25</v>
      </c>
      <c r="M1875" s="417" t="s">
        <v>633</v>
      </c>
      <c r="N1875" s="436">
        <v>1100</v>
      </c>
      <c r="O1875" s="436">
        <v>1100</v>
      </c>
      <c r="P1875" s="436">
        <v>4070</v>
      </c>
      <c r="Q1875" s="417">
        <v>2</v>
      </c>
      <c r="R1875" s="417">
        <v>24</v>
      </c>
      <c r="S1875" s="417" t="s">
        <v>354</v>
      </c>
      <c r="T1875" s="437" t="s">
        <v>2752</v>
      </c>
      <c r="U1875" s="437" t="s">
        <v>2853</v>
      </c>
      <c r="V1875" s="417" t="s">
        <v>355</v>
      </c>
      <c r="W1875" s="417" t="s">
        <v>928</v>
      </c>
      <c r="X1875" s="417" t="s">
        <v>928</v>
      </c>
    </row>
    <row r="1876" spans="1:24" x14ac:dyDescent="0.15">
      <c r="A1876" s="417">
        <v>3758018</v>
      </c>
      <c r="B1876" s="417" t="s">
        <v>351</v>
      </c>
      <c r="C1876" s="417" t="s">
        <v>1801</v>
      </c>
      <c r="D1876" s="417" t="s">
        <v>353</v>
      </c>
      <c r="E1876" s="417" t="s">
        <v>371</v>
      </c>
      <c r="F1876" s="417">
        <v>3</v>
      </c>
      <c r="G1876" s="417" t="s">
        <v>19</v>
      </c>
      <c r="H1876" s="417" t="s">
        <v>28</v>
      </c>
      <c r="I1876" s="417" t="s">
        <v>21</v>
      </c>
      <c r="J1876" s="417" t="s">
        <v>928</v>
      </c>
      <c r="K1876" s="417" t="s">
        <v>465</v>
      </c>
      <c r="L1876" s="417">
        <v>75</v>
      </c>
      <c r="M1876" s="417" t="s">
        <v>466</v>
      </c>
      <c r="N1876" s="436">
        <v>1040</v>
      </c>
      <c r="O1876" s="436">
        <v>1040</v>
      </c>
      <c r="P1876" s="436">
        <v>4000</v>
      </c>
      <c r="Q1876" s="417">
        <v>1</v>
      </c>
      <c r="R1876" s="417">
        <v>1</v>
      </c>
      <c r="S1876" s="417" t="s">
        <v>354</v>
      </c>
      <c r="T1876" s="437" t="s">
        <v>2752</v>
      </c>
      <c r="U1876" s="437" t="s">
        <v>2854</v>
      </c>
      <c r="V1876" s="417" t="s">
        <v>355</v>
      </c>
      <c r="W1876" s="417" t="s">
        <v>928</v>
      </c>
      <c r="X1876" s="417" t="s">
        <v>928</v>
      </c>
    </row>
    <row r="1877" spans="1:24" x14ac:dyDescent="0.15">
      <c r="A1877" s="417">
        <v>3758019</v>
      </c>
      <c r="B1877" s="417" t="s">
        <v>351</v>
      </c>
      <c r="C1877" s="417" t="s">
        <v>1801</v>
      </c>
      <c r="D1877" s="417" t="s">
        <v>353</v>
      </c>
      <c r="E1877" s="417" t="s">
        <v>371</v>
      </c>
      <c r="F1877" s="417">
        <v>3</v>
      </c>
      <c r="G1877" s="417" t="s">
        <v>19</v>
      </c>
      <c r="H1877" s="417" t="s">
        <v>28</v>
      </c>
      <c r="I1877" s="417" t="s">
        <v>21</v>
      </c>
      <c r="J1877" s="417" t="s">
        <v>928</v>
      </c>
      <c r="K1877" s="417" t="s">
        <v>60</v>
      </c>
      <c r="L1877" s="417">
        <v>75</v>
      </c>
      <c r="M1877" s="417" t="s">
        <v>372</v>
      </c>
      <c r="N1877" s="436">
        <v>1040</v>
      </c>
      <c r="O1877" s="436">
        <v>1040</v>
      </c>
      <c r="P1877" s="436">
        <v>4000</v>
      </c>
      <c r="Q1877" s="417">
        <v>1</v>
      </c>
      <c r="R1877" s="417">
        <v>1</v>
      </c>
      <c r="S1877" s="417" t="s">
        <v>354</v>
      </c>
      <c r="T1877" s="437" t="s">
        <v>2752</v>
      </c>
      <c r="U1877" s="437" t="s">
        <v>2854</v>
      </c>
      <c r="V1877" s="417" t="s">
        <v>355</v>
      </c>
      <c r="W1877" s="417" t="s">
        <v>928</v>
      </c>
      <c r="X1877" s="417" t="s">
        <v>928</v>
      </c>
    </row>
    <row r="1878" spans="1:24" x14ac:dyDescent="0.15">
      <c r="A1878" s="417">
        <v>3758020</v>
      </c>
      <c r="B1878" s="417" t="s">
        <v>351</v>
      </c>
      <c r="C1878" s="417" t="s">
        <v>1803</v>
      </c>
      <c r="D1878" s="417" t="s">
        <v>353</v>
      </c>
      <c r="E1878" s="417" t="s">
        <v>373</v>
      </c>
      <c r="F1878" s="417">
        <v>3</v>
      </c>
      <c r="G1878" s="417" t="s">
        <v>19</v>
      </c>
      <c r="H1878" s="417" t="s">
        <v>20</v>
      </c>
      <c r="I1878" s="417" t="s">
        <v>21</v>
      </c>
      <c r="J1878" s="417" t="s">
        <v>928</v>
      </c>
      <c r="K1878" s="417" t="s">
        <v>80</v>
      </c>
      <c r="L1878" s="417">
        <v>31</v>
      </c>
      <c r="M1878" s="417" t="s">
        <v>374</v>
      </c>
      <c r="N1878" s="436">
        <v>440</v>
      </c>
      <c r="O1878" s="436">
        <v>440</v>
      </c>
      <c r="P1878" s="436">
        <v>6500</v>
      </c>
      <c r="Q1878" s="417">
        <v>1</v>
      </c>
      <c r="R1878" s="417">
        <v>60</v>
      </c>
      <c r="S1878" s="417" t="s">
        <v>354</v>
      </c>
      <c r="T1878" s="437" t="s">
        <v>2752</v>
      </c>
      <c r="U1878" s="437" t="s">
        <v>2853</v>
      </c>
      <c r="V1878" s="417" t="s">
        <v>355</v>
      </c>
      <c r="W1878" s="417" t="s">
        <v>928</v>
      </c>
      <c r="X1878" s="417" t="s">
        <v>928</v>
      </c>
    </row>
    <row r="1879" spans="1:24" x14ac:dyDescent="0.15">
      <c r="A1879" s="417">
        <v>3758022</v>
      </c>
      <c r="B1879" s="417" t="s">
        <v>351</v>
      </c>
      <c r="C1879" s="417" t="s">
        <v>1796</v>
      </c>
      <c r="D1879" s="417" t="s">
        <v>353</v>
      </c>
      <c r="E1879" s="417" t="s">
        <v>2855</v>
      </c>
      <c r="F1879" s="417">
        <v>3</v>
      </c>
      <c r="G1879" s="417" t="s">
        <v>19</v>
      </c>
      <c r="H1879" s="417" t="s">
        <v>20</v>
      </c>
      <c r="I1879" s="417" t="s">
        <v>21</v>
      </c>
      <c r="J1879" s="417" t="s">
        <v>928</v>
      </c>
      <c r="K1879" s="417" t="s">
        <v>88</v>
      </c>
      <c r="L1879" s="417">
        <v>125</v>
      </c>
      <c r="M1879" s="417" t="s">
        <v>361</v>
      </c>
      <c r="N1879" s="436">
        <v>200</v>
      </c>
      <c r="O1879" s="436">
        <v>200</v>
      </c>
      <c r="P1879" s="436">
        <v>400</v>
      </c>
      <c r="Q1879" s="417">
        <v>1</v>
      </c>
      <c r="R1879" s="417">
        <v>24</v>
      </c>
      <c r="S1879" s="417" t="s">
        <v>354</v>
      </c>
      <c r="T1879" s="437" t="s">
        <v>2752</v>
      </c>
      <c r="U1879" s="437" t="s">
        <v>2853</v>
      </c>
      <c r="V1879" s="417" t="s">
        <v>355</v>
      </c>
      <c r="W1879" s="417" t="s">
        <v>928</v>
      </c>
      <c r="X1879" s="417" t="s">
        <v>928</v>
      </c>
    </row>
    <row r="1880" spans="1:24" x14ac:dyDescent="0.15">
      <c r="A1880" s="417">
        <v>3758023</v>
      </c>
      <c r="B1880" s="417" t="s">
        <v>351</v>
      </c>
      <c r="C1880" s="417" t="s">
        <v>1803</v>
      </c>
      <c r="D1880" s="417" t="s">
        <v>353</v>
      </c>
      <c r="E1880" s="417" t="s">
        <v>362</v>
      </c>
      <c r="F1880" s="417">
        <v>3</v>
      </c>
      <c r="G1880" s="417" t="s">
        <v>19</v>
      </c>
      <c r="H1880" s="417" t="s">
        <v>20</v>
      </c>
      <c r="I1880" s="417" t="s">
        <v>21</v>
      </c>
      <c r="J1880" s="417" t="s">
        <v>928</v>
      </c>
      <c r="K1880" s="417" t="s">
        <v>88</v>
      </c>
      <c r="L1880" s="417">
        <v>125</v>
      </c>
      <c r="M1880" s="417" t="s">
        <v>361</v>
      </c>
      <c r="N1880" s="436">
        <v>150</v>
      </c>
      <c r="O1880" s="436">
        <v>150</v>
      </c>
      <c r="P1880" s="436">
        <v>200</v>
      </c>
      <c r="Q1880" s="417">
        <v>1</v>
      </c>
      <c r="R1880" s="417">
        <v>64</v>
      </c>
      <c r="S1880" s="417" t="s">
        <v>354</v>
      </c>
      <c r="T1880" s="437" t="s">
        <v>2752</v>
      </c>
      <c r="U1880" s="437" t="s">
        <v>2853</v>
      </c>
      <c r="V1880" s="417" t="s">
        <v>355</v>
      </c>
      <c r="W1880" s="417" t="s">
        <v>928</v>
      </c>
      <c r="X1880" s="417" t="s">
        <v>928</v>
      </c>
    </row>
    <row r="1881" spans="1:24" x14ac:dyDescent="0.15">
      <c r="A1881" s="417">
        <v>3758024</v>
      </c>
      <c r="B1881" s="417" t="s">
        <v>351</v>
      </c>
      <c r="C1881" s="417" t="s">
        <v>1803</v>
      </c>
      <c r="D1881" s="417" t="s">
        <v>353</v>
      </c>
      <c r="E1881" s="417" t="s">
        <v>95</v>
      </c>
      <c r="F1881" s="417" t="s">
        <v>96</v>
      </c>
      <c r="G1881" s="417" t="s">
        <v>19</v>
      </c>
      <c r="H1881" s="417" t="s">
        <v>20</v>
      </c>
      <c r="I1881" s="417" t="s">
        <v>21</v>
      </c>
      <c r="J1881" s="417" t="s">
        <v>928</v>
      </c>
      <c r="K1881" s="417" t="s">
        <v>88</v>
      </c>
      <c r="L1881" s="417">
        <v>188</v>
      </c>
      <c r="M1881" s="417" t="s">
        <v>361</v>
      </c>
      <c r="N1881" s="436">
        <v>360</v>
      </c>
      <c r="O1881" s="436">
        <v>360</v>
      </c>
      <c r="P1881" s="436">
        <v>250</v>
      </c>
      <c r="Q1881" s="417">
        <v>2</v>
      </c>
      <c r="R1881" s="417">
        <v>90</v>
      </c>
      <c r="S1881" s="417" t="s">
        <v>354</v>
      </c>
      <c r="T1881" s="437" t="s">
        <v>2752</v>
      </c>
      <c r="U1881" s="437" t="s">
        <v>2853</v>
      </c>
      <c r="V1881" s="417" t="s">
        <v>355</v>
      </c>
      <c r="W1881" s="417" t="s">
        <v>928</v>
      </c>
      <c r="X1881" s="417" t="s">
        <v>928</v>
      </c>
    </row>
    <row r="1882" spans="1:24" x14ac:dyDescent="0.15">
      <c r="A1882" s="417">
        <v>3758025</v>
      </c>
      <c r="B1882" s="417" t="s">
        <v>351</v>
      </c>
      <c r="C1882" s="417" t="s">
        <v>1803</v>
      </c>
      <c r="D1882" s="417" t="s">
        <v>353</v>
      </c>
      <c r="E1882" s="417" t="s">
        <v>95</v>
      </c>
      <c r="F1882" s="417">
        <v>3</v>
      </c>
      <c r="G1882" s="417" t="s">
        <v>19</v>
      </c>
      <c r="H1882" s="417" t="s">
        <v>20</v>
      </c>
      <c r="I1882" s="417" t="s">
        <v>21</v>
      </c>
      <c r="J1882" s="417" t="s">
        <v>928</v>
      </c>
      <c r="K1882" s="417" t="s">
        <v>88</v>
      </c>
      <c r="L1882" s="417">
        <v>188</v>
      </c>
      <c r="M1882" s="417" t="s">
        <v>361</v>
      </c>
      <c r="N1882" s="436">
        <v>1230</v>
      </c>
      <c r="O1882" s="436">
        <v>1220</v>
      </c>
      <c r="P1882" s="436">
        <v>800</v>
      </c>
      <c r="Q1882" s="417">
        <v>2</v>
      </c>
      <c r="R1882" s="417">
        <v>12</v>
      </c>
      <c r="S1882" s="417" t="s">
        <v>354</v>
      </c>
      <c r="T1882" s="437" t="s">
        <v>2752</v>
      </c>
      <c r="U1882" s="437" t="s">
        <v>2853</v>
      </c>
      <c r="V1882" s="417" t="s">
        <v>355</v>
      </c>
      <c r="W1882" s="417" t="s">
        <v>928</v>
      </c>
      <c r="X1882" s="417" t="s">
        <v>928</v>
      </c>
    </row>
    <row r="1883" spans="1:24" x14ac:dyDescent="0.15">
      <c r="A1883" s="417">
        <v>3758026</v>
      </c>
      <c r="B1883" s="417" t="s">
        <v>351</v>
      </c>
      <c r="C1883" s="417" t="s">
        <v>1803</v>
      </c>
      <c r="D1883" s="417" t="s">
        <v>353</v>
      </c>
      <c r="E1883" s="417" t="s">
        <v>362</v>
      </c>
      <c r="F1883" s="417">
        <v>3</v>
      </c>
      <c r="G1883" s="417" t="s">
        <v>19</v>
      </c>
      <c r="H1883" s="417" t="s">
        <v>20</v>
      </c>
      <c r="I1883" s="417" t="s">
        <v>21</v>
      </c>
      <c r="J1883" s="417" t="s">
        <v>928</v>
      </c>
      <c r="K1883" s="417" t="s">
        <v>88</v>
      </c>
      <c r="L1883" s="417">
        <v>188</v>
      </c>
      <c r="M1883" s="417" t="s">
        <v>361</v>
      </c>
      <c r="N1883" s="436">
        <v>1130</v>
      </c>
      <c r="O1883" s="436">
        <v>1130</v>
      </c>
      <c r="P1883" s="436">
        <v>1620</v>
      </c>
      <c r="Q1883" s="417">
        <v>2</v>
      </c>
      <c r="R1883" s="417">
        <v>22</v>
      </c>
      <c r="S1883" s="417" t="s">
        <v>354</v>
      </c>
      <c r="T1883" s="437" t="s">
        <v>2752</v>
      </c>
      <c r="U1883" s="437" t="s">
        <v>2853</v>
      </c>
      <c r="V1883" s="417" t="s">
        <v>355</v>
      </c>
      <c r="W1883" s="417" t="s">
        <v>928</v>
      </c>
      <c r="X1883" s="417" t="s">
        <v>928</v>
      </c>
    </row>
    <row r="1884" spans="1:24" x14ac:dyDescent="0.15">
      <c r="A1884" s="417">
        <v>3758027</v>
      </c>
      <c r="B1884" s="417" t="s">
        <v>351</v>
      </c>
      <c r="C1884" s="417" t="s">
        <v>1801</v>
      </c>
      <c r="D1884" s="417" t="s">
        <v>353</v>
      </c>
      <c r="E1884" s="417" t="s">
        <v>371</v>
      </c>
      <c r="F1884" s="417">
        <v>3</v>
      </c>
      <c r="G1884" s="417" t="s">
        <v>19</v>
      </c>
      <c r="H1884" s="417" t="s">
        <v>20</v>
      </c>
      <c r="I1884" s="417" t="s">
        <v>21</v>
      </c>
      <c r="J1884" s="417" t="s">
        <v>928</v>
      </c>
      <c r="K1884" s="417" t="s">
        <v>88</v>
      </c>
      <c r="L1884" s="417">
        <v>75</v>
      </c>
      <c r="M1884" s="417" t="s">
        <v>361</v>
      </c>
      <c r="N1884" s="436">
        <v>1040</v>
      </c>
      <c r="O1884" s="436">
        <v>1040</v>
      </c>
      <c r="P1884" s="436">
        <v>4000</v>
      </c>
      <c r="Q1884" s="417">
        <v>1</v>
      </c>
      <c r="R1884" s="417">
        <v>1</v>
      </c>
      <c r="S1884" s="417" t="s">
        <v>354</v>
      </c>
      <c r="T1884" s="437" t="s">
        <v>2752</v>
      </c>
      <c r="U1884" s="437" t="s">
        <v>2853</v>
      </c>
      <c r="V1884" s="417" t="s">
        <v>355</v>
      </c>
      <c r="W1884" s="417" t="s">
        <v>928</v>
      </c>
      <c r="X1884" s="417" t="s">
        <v>928</v>
      </c>
    </row>
    <row r="1885" spans="1:24" x14ac:dyDescent="0.15">
      <c r="A1885" s="417">
        <v>3758028</v>
      </c>
      <c r="B1885" s="417" t="s">
        <v>351</v>
      </c>
      <c r="C1885" s="417" t="s">
        <v>1801</v>
      </c>
      <c r="D1885" s="417" t="s">
        <v>353</v>
      </c>
      <c r="E1885" s="417" t="s">
        <v>93</v>
      </c>
      <c r="F1885" s="417">
        <v>331</v>
      </c>
      <c r="G1885" s="417" t="s">
        <v>19</v>
      </c>
      <c r="H1885" s="417" t="s">
        <v>20</v>
      </c>
      <c r="I1885" s="417" t="s">
        <v>21</v>
      </c>
      <c r="J1885" s="417" t="s">
        <v>928</v>
      </c>
      <c r="K1885" s="417" t="s">
        <v>88</v>
      </c>
      <c r="L1885" s="417">
        <v>100</v>
      </c>
      <c r="M1885" s="417" t="s">
        <v>361</v>
      </c>
      <c r="N1885" s="436">
        <v>450</v>
      </c>
      <c r="O1885" s="436">
        <v>450</v>
      </c>
      <c r="P1885" s="436">
        <v>800</v>
      </c>
      <c r="Q1885" s="417">
        <v>2</v>
      </c>
      <c r="R1885" s="417">
        <v>54</v>
      </c>
      <c r="S1885" s="417" t="s">
        <v>354</v>
      </c>
      <c r="T1885" s="437" t="s">
        <v>2752</v>
      </c>
      <c r="U1885" s="437" t="s">
        <v>2853</v>
      </c>
      <c r="V1885" s="417" t="s">
        <v>355</v>
      </c>
      <c r="W1885" s="417" t="s">
        <v>928</v>
      </c>
      <c r="X1885" s="417" t="s">
        <v>928</v>
      </c>
    </row>
    <row r="1886" spans="1:24" x14ac:dyDescent="0.15">
      <c r="A1886" s="417">
        <v>3758029</v>
      </c>
      <c r="B1886" s="417" t="s">
        <v>351</v>
      </c>
      <c r="C1886" s="417" t="s">
        <v>1796</v>
      </c>
      <c r="D1886" s="417" t="s">
        <v>353</v>
      </c>
      <c r="E1886" s="417" t="s">
        <v>114</v>
      </c>
      <c r="F1886" s="417">
        <v>331</v>
      </c>
      <c r="G1886" s="417" t="s">
        <v>19</v>
      </c>
      <c r="H1886" s="417" t="s">
        <v>20</v>
      </c>
      <c r="I1886" s="417" t="s">
        <v>21</v>
      </c>
      <c r="J1886" s="417" t="s">
        <v>928</v>
      </c>
      <c r="K1886" s="417" t="s">
        <v>112</v>
      </c>
      <c r="L1886" s="417">
        <v>25</v>
      </c>
      <c r="M1886" s="417" t="s">
        <v>357</v>
      </c>
      <c r="N1886" s="436">
        <v>640</v>
      </c>
      <c r="O1886" s="436">
        <v>640</v>
      </c>
      <c r="P1886" s="436">
        <v>2000</v>
      </c>
      <c r="Q1886" s="417">
        <v>2</v>
      </c>
      <c r="R1886" s="417">
        <v>16</v>
      </c>
      <c r="S1886" s="417" t="s">
        <v>354</v>
      </c>
      <c r="T1886" s="437" t="s">
        <v>2752</v>
      </c>
      <c r="U1886" s="437" t="s">
        <v>2856</v>
      </c>
      <c r="V1886" s="417" t="s">
        <v>355</v>
      </c>
      <c r="W1886" s="417" t="s">
        <v>928</v>
      </c>
      <c r="X1886" s="417" t="s">
        <v>928</v>
      </c>
    </row>
    <row r="1887" spans="1:24" x14ac:dyDescent="0.15">
      <c r="A1887" s="417">
        <v>3758030</v>
      </c>
      <c r="B1887" s="417" t="s">
        <v>351</v>
      </c>
      <c r="C1887" s="417" t="s">
        <v>1796</v>
      </c>
      <c r="D1887" s="417" t="s">
        <v>353</v>
      </c>
      <c r="E1887" s="417" t="s">
        <v>114</v>
      </c>
      <c r="F1887" s="417">
        <v>331</v>
      </c>
      <c r="G1887" s="417" t="s">
        <v>19</v>
      </c>
      <c r="H1887" s="417" t="s">
        <v>20</v>
      </c>
      <c r="I1887" s="417" t="s">
        <v>21</v>
      </c>
      <c r="J1887" s="417" t="s">
        <v>928</v>
      </c>
      <c r="K1887" s="417" t="s">
        <v>112</v>
      </c>
      <c r="L1887" s="417">
        <v>25</v>
      </c>
      <c r="M1887" s="417" t="s">
        <v>357</v>
      </c>
      <c r="N1887" s="436">
        <v>540</v>
      </c>
      <c r="O1887" s="436">
        <v>540</v>
      </c>
      <c r="P1887" s="436">
        <v>2000</v>
      </c>
      <c r="Q1887" s="417">
        <v>2</v>
      </c>
      <c r="R1887" s="417">
        <v>8</v>
      </c>
      <c r="S1887" s="417" t="s">
        <v>354</v>
      </c>
      <c r="T1887" s="437" t="s">
        <v>2752</v>
      </c>
      <c r="U1887" s="437" t="s">
        <v>2856</v>
      </c>
      <c r="V1887" s="417" t="s">
        <v>355</v>
      </c>
      <c r="W1887" s="417" t="s">
        <v>928</v>
      </c>
      <c r="X1887" s="417" t="s">
        <v>928</v>
      </c>
    </row>
    <row r="1888" spans="1:24" x14ac:dyDescent="0.15">
      <c r="A1888" s="417">
        <v>3758030</v>
      </c>
      <c r="B1888" s="417" t="s">
        <v>351</v>
      </c>
      <c r="C1888" s="417" t="s">
        <v>1796</v>
      </c>
      <c r="D1888" s="417" t="s">
        <v>353</v>
      </c>
      <c r="E1888" s="417" t="s">
        <v>114</v>
      </c>
      <c r="F1888" s="417">
        <v>331</v>
      </c>
      <c r="G1888" s="417" t="s">
        <v>19</v>
      </c>
      <c r="H1888" s="417" t="s">
        <v>20</v>
      </c>
      <c r="I1888" s="417" t="s">
        <v>21</v>
      </c>
      <c r="J1888" s="417" t="s">
        <v>928</v>
      </c>
      <c r="K1888" s="417" t="s">
        <v>112</v>
      </c>
      <c r="L1888" s="417">
        <v>25</v>
      </c>
      <c r="M1888" s="417" t="s">
        <v>357</v>
      </c>
      <c r="N1888" s="436">
        <v>780</v>
      </c>
      <c r="O1888" s="436">
        <v>780</v>
      </c>
      <c r="P1888" s="436">
        <v>2000</v>
      </c>
      <c r="Q1888" s="417">
        <v>2</v>
      </c>
      <c r="R1888" s="417">
        <v>8</v>
      </c>
      <c r="S1888" s="417" t="s">
        <v>354</v>
      </c>
      <c r="T1888" s="437" t="s">
        <v>2752</v>
      </c>
      <c r="U1888" s="437" t="s">
        <v>2856</v>
      </c>
      <c r="V1888" s="417" t="s">
        <v>355</v>
      </c>
      <c r="W1888" s="417" t="s">
        <v>928</v>
      </c>
      <c r="X1888" s="417" t="s">
        <v>928</v>
      </c>
    </row>
    <row r="1889" spans="1:24" x14ac:dyDescent="0.15">
      <c r="A1889" s="417">
        <v>3758031</v>
      </c>
      <c r="B1889" s="417" t="s">
        <v>351</v>
      </c>
      <c r="C1889" s="417" t="s">
        <v>1801</v>
      </c>
      <c r="D1889" s="417" t="s">
        <v>353</v>
      </c>
      <c r="E1889" s="417" t="s">
        <v>116</v>
      </c>
      <c r="F1889" s="417">
        <v>3</v>
      </c>
      <c r="G1889" s="417" t="s">
        <v>19</v>
      </c>
      <c r="H1889" s="417" t="s">
        <v>20</v>
      </c>
      <c r="I1889" s="417" t="s">
        <v>21</v>
      </c>
      <c r="J1889" s="417" t="s">
        <v>928</v>
      </c>
      <c r="K1889" s="417" t="s">
        <v>118</v>
      </c>
      <c r="L1889" s="417">
        <v>38</v>
      </c>
      <c r="M1889" s="417" t="s">
        <v>368</v>
      </c>
      <c r="N1889" s="436">
        <v>1415</v>
      </c>
      <c r="O1889" s="436">
        <v>1410</v>
      </c>
      <c r="P1889" s="436">
        <v>8000</v>
      </c>
      <c r="Q1889" s="417">
        <v>2</v>
      </c>
      <c r="R1889" s="417">
        <v>8</v>
      </c>
      <c r="S1889" s="417" t="s">
        <v>354</v>
      </c>
      <c r="T1889" s="437" t="s">
        <v>2752</v>
      </c>
      <c r="U1889" s="437" t="s">
        <v>2857</v>
      </c>
      <c r="V1889" s="417" t="s">
        <v>355</v>
      </c>
      <c r="W1889" s="417" t="s">
        <v>928</v>
      </c>
      <c r="X1889" s="417" t="s">
        <v>928</v>
      </c>
    </row>
    <row r="1890" spans="1:24" x14ac:dyDescent="0.15">
      <c r="A1890" s="417">
        <v>3758032</v>
      </c>
      <c r="B1890" s="417" t="s">
        <v>351</v>
      </c>
      <c r="C1890" s="417" t="s">
        <v>1796</v>
      </c>
      <c r="D1890" s="417" t="s">
        <v>353</v>
      </c>
      <c r="E1890" s="417" t="s">
        <v>17</v>
      </c>
      <c r="F1890" s="417">
        <v>3</v>
      </c>
      <c r="G1890" s="417" t="s">
        <v>19</v>
      </c>
      <c r="H1890" s="417" t="s">
        <v>20</v>
      </c>
      <c r="I1890" s="417" t="s">
        <v>21</v>
      </c>
      <c r="J1890" s="417" t="s">
        <v>928</v>
      </c>
      <c r="K1890" s="417" t="s">
        <v>104</v>
      </c>
      <c r="L1890" s="417">
        <v>25</v>
      </c>
      <c r="M1890" s="417" t="s">
        <v>375</v>
      </c>
      <c r="N1890" s="436">
        <v>1325</v>
      </c>
      <c r="O1890" s="436">
        <v>1320</v>
      </c>
      <c r="P1890" s="436">
        <v>6000</v>
      </c>
      <c r="Q1890" s="417">
        <v>2</v>
      </c>
      <c r="R1890" s="417">
        <v>16</v>
      </c>
      <c r="S1890" s="417" t="s">
        <v>354</v>
      </c>
      <c r="T1890" s="437" t="s">
        <v>2752</v>
      </c>
      <c r="U1890" s="437" t="s">
        <v>2856</v>
      </c>
      <c r="V1890" s="417" t="s">
        <v>355</v>
      </c>
      <c r="W1890" s="417" t="s">
        <v>928</v>
      </c>
      <c r="X1890" s="417" t="s">
        <v>928</v>
      </c>
    </row>
    <row r="1891" spans="1:24" x14ac:dyDescent="0.15">
      <c r="A1891" s="417">
        <v>3758033</v>
      </c>
      <c r="B1891" s="417" t="s">
        <v>351</v>
      </c>
      <c r="C1891" s="417" t="s">
        <v>1796</v>
      </c>
      <c r="D1891" s="417" t="s">
        <v>353</v>
      </c>
      <c r="E1891" s="417" t="s">
        <v>106</v>
      </c>
      <c r="F1891" s="417">
        <v>3</v>
      </c>
      <c r="G1891" s="417" t="s">
        <v>19</v>
      </c>
      <c r="H1891" s="417" t="s">
        <v>20</v>
      </c>
      <c r="I1891" s="417" t="s">
        <v>21</v>
      </c>
      <c r="J1891" s="417" t="s">
        <v>928</v>
      </c>
      <c r="K1891" s="417" t="s">
        <v>107</v>
      </c>
      <c r="L1891" s="417">
        <v>25</v>
      </c>
      <c r="M1891" s="417" t="s">
        <v>367</v>
      </c>
      <c r="N1891" s="436">
        <v>1240</v>
      </c>
      <c r="O1891" s="436">
        <v>1240</v>
      </c>
      <c r="P1891" s="436">
        <v>6000</v>
      </c>
      <c r="Q1891" s="417">
        <v>2</v>
      </c>
      <c r="R1891" s="417">
        <v>36</v>
      </c>
      <c r="S1891" s="417" t="s">
        <v>354</v>
      </c>
      <c r="T1891" s="437" t="s">
        <v>2752</v>
      </c>
      <c r="U1891" s="437" t="s">
        <v>2856</v>
      </c>
      <c r="V1891" s="417" t="s">
        <v>355</v>
      </c>
      <c r="W1891" s="417" t="s">
        <v>928</v>
      </c>
      <c r="X1891" s="417" t="s">
        <v>928</v>
      </c>
    </row>
    <row r="1892" spans="1:24" x14ac:dyDescent="0.15">
      <c r="A1892" s="417">
        <v>3758034</v>
      </c>
      <c r="B1892" s="417" t="s">
        <v>351</v>
      </c>
      <c r="C1892" s="417" t="s">
        <v>1796</v>
      </c>
      <c r="D1892" s="417" t="s">
        <v>353</v>
      </c>
      <c r="E1892" s="417" t="s">
        <v>106</v>
      </c>
      <c r="F1892" s="417">
        <v>3</v>
      </c>
      <c r="G1892" s="417" t="s">
        <v>19</v>
      </c>
      <c r="H1892" s="417" t="s">
        <v>20</v>
      </c>
      <c r="I1892" s="417" t="s">
        <v>21</v>
      </c>
      <c r="J1892" s="417" t="s">
        <v>928</v>
      </c>
      <c r="K1892" s="417" t="s">
        <v>107</v>
      </c>
      <c r="L1892" s="417">
        <v>38</v>
      </c>
      <c r="M1892" s="417" t="s">
        <v>367</v>
      </c>
      <c r="N1892" s="436">
        <v>1240</v>
      </c>
      <c r="O1892" s="436">
        <v>1240</v>
      </c>
      <c r="P1892" s="436">
        <v>6000</v>
      </c>
      <c r="Q1892" s="417">
        <v>2</v>
      </c>
      <c r="R1892" s="417">
        <v>10</v>
      </c>
      <c r="S1892" s="417" t="s">
        <v>354</v>
      </c>
      <c r="T1892" s="437" t="s">
        <v>2752</v>
      </c>
      <c r="U1892" s="437" t="s">
        <v>2856</v>
      </c>
      <c r="V1892" s="417" t="s">
        <v>355</v>
      </c>
      <c r="W1892" s="417" t="s">
        <v>928</v>
      </c>
      <c r="X1892" s="417" t="s">
        <v>928</v>
      </c>
    </row>
    <row r="1893" spans="1:24" x14ac:dyDescent="0.15">
      <c r="A1893" s="417">
        <v>3758035</v>
      </c>
      <c r="B1893" s="417" t="s">
        <v>351</v>
      </c>
      <c r="C1893" s="417" t="s">
        <v>1796</v>
      </c>
      <c r="D1893" s="417" t="s">
        <v>353</v>
      </c>
      <c r="E1893" s="417" t="s">
        <v>17</v>
      </c>
      <c r="F1893" s="417">
        <v>3</v>
      </c>
      <c r="G1893" s="417" t="s">
        <v>19</v>
      </c>
      <c r="H1893" s="417" t="s">
        <v>20</v>
      </c>
      <c r="I1893" s="417" t="s">
        <v>21</v>
      </c>
      <c r="J1893" s="417" t="s">
        <v>928</v>
      </c>
      <c r="K1893" s="417" t="s">
        <v>104</v>
      </c>
      <c r="L1893" s="417">
        <v>25</v>
      </c>
      <c r="M1893" s="417" t="s">
        <v>375</v>
      </c>
      <c r="N1893" s="436">
        <v>1050</v>
      </c>
      <c r="O1893" s="436">
        <v>1050</v>
      </c>
      <c r="P1893" s="436">
        <v>12000</v>
      </c>
      <c r="Q1893" s="417">
        <v>2</v>
      </c>
      <c r="R1893" s="417">
        <v>15</v>
      </c>
      <c r="S1893" s="417" t="s">
        <v>354</v>
      </c>
      <c r="T1893" s="437" t="s">
        <v>2752</v>
      </c>
      <c r="U1893" s="437" t="s">
        <v>2856</v>
      </c>
      <c r="V1893" s="417" t="s">
        <v>355</v>
      </c>
      <c r="W1893" s="417" t="s">
        <v>928</v>
      </c>
      <c r="X1893" s="417" t="s">
        <v>928</v>
      </c>
    </row>
    <row r="1894" spans="1:24" x14ac:dyDescent="0.15">
      <c r="A1894" s="417">
        <v>3758036</v>
      </c>
      <c r="B1894" s="417" t="s">
        <v>351</v>
      </c>
      <c r="C1894" s="417" t="s">
        <v>1796</v>
      </c>
      <c r="D1894" s="417" t="s">
        <v>353</v>
      </c>
      <c r="E1894" s="417" t="s">
        <v>106</v>
      </c>
      <c r="F1894" s="417">
        <v>3</v>
      </c>
      <c r="G1894" s="417" t="s">
        <v>19</v>
      </c>
      <c r="H1894" s="417" t="s">
        <v>20</v>
      </c>
      <c r="I1894" s="417" t="s">
        <v>21</v>
      </c>
      <c r="J1894" s="417" t="s">
        <v>928</v>
      </c>
      <c r="K1894" s="417" t="s">
        <v>107</v>
      </c>
      <c r="L1894" s="417">
        <v>25</v>
      </c>
      <c r="M1894" s="417" t="s">
        <v>367</v>
      </c>
      <c r="N1894" s="436">
        <v>1040</v>
      </c>
      <c r="O1894" s="436">
        <v>1040</v>
      </c>
      <c r="P1894" s="436">
        <v>6000</v>
      </c>
      <c r="Q1894" s="417">
        <v>2</v>
      </c>
      <c r="R1894" s="417">
        <v>82</v>
      </c>
      <c r="S1894" s="417" t="s">
        <v>354</v>
      </c>
      <c r="T1894" s="437" t="s">
        <v>2752</v>
      </c>
      <c r="U1894" s="437" t="s">
        <v>2856</v>
      </c>
      <c r="V1894" s="417" t="s">
        <v>355</v>
      </c>
      <c r="W1894" s="417" t="s">
        <v>928</v>
      </c>
      <c r="X1894" s="417" t="s">
        <v>928</v>
      </c>
    </row>
    <row r="1895" spans="1:24" x14ac:dyDescent="0.15">
      <c r="A1895" s="417">
        <v>3758037</v>
      </c>
      <c r="B1895" s="417" t="s">
        <v>351</v>
      </c>
      <c r="C1895" s="417" t="s">
        <v>1796</v>
      </c>
      <c r="D1895" s="417" t="s">
        <v>353</v>
      </c>
      <c r="E1895" s="417" t="s">
        <v>106</v>
      </c>
      <c r="F1895" s="417">
        <v>3</v>
      </c>
      <c r="G1895" s="417" t="s">
        <v>19</v>
      </c>
      <c r="H1895" s="417" t="s">
        <v>20</v>
      </c>
      <c r="I1895" s="417" t="s">
        <v>21</v>
      </c>
      <c r="J1895" s="417" t="s">
        <v>928</v>
      </c>
      <c r="K1895" s="417" t="s">
        <v>107</v>
      </c>
      <c r="L1895" s="417">
        <v>38</v>
      </c>
      <c r="M1895" s="417" t="s">
        <v>367</v>
      </c>
      <c r="N1895" s="436">
        <v>1040</v>
      </c>
      <c r="O1895" s="436">
        <v>1040</v>
      </c>
      <c r="P1895" s="436">
        <v>6000</v>
      </c>
      <c r="Q1895" s="417">
        <v>2</v>
      </c>
      <c r="R1895" s="417">
        <v>2</v>
      </c>
      <c r="S1895" s="417" t="s">
        <v>354</v>
      </c>
      <c r="T1895" s="437" t="s">
        <v>2752</v>
      </c>
      <c r="U1895" s="437" t="s">
        <v>2856</v>
      </c>
      <c r="V1895" s="417" t="s">
        <v>355</v>
      </c>
      <c r="W1895" s="417" t="s">
        <v>928</v>
      </c>
      <c r="X1895" s="417" t="s">
        <v>928</v>
      </c>
    </row>
    <row r="1896" spans="1:24" x14ac:dyDescent="0.15">
      <c r="A1896" s="417">
        <v>3758038</v>
      </c>
      <c r="B1896" s="417" t="s">
        <v>351</v>
      </c>
      <c r="C1896" s="417" t="s">
        <v>1796</v>
      </c>
      <c r="D1896" s="417" t="s">
        <v>353</v>
      </c>
      <c r="E1896" s="417" t="s">
        <v>32</v>
      </c>
      <c r="F1896" s="417">
        <v>331</v>
      </c>
      <c r="G1896" s="417" t="s">
        <v>19</v>
      </c>
      <c r="H1896" s="417" t="s">
        <v>20</v>
      </c>
      <c r="I1896" s="417" t="s">
        <v>21</v>
      </c>
      <c r="J1896" s="417" t="s">
        <v>928</v>
      </c>
      <c r="K1896" s="417" t="s">
        <v>33</v>
      </c>
      <c r="L1896" s="417">
        <v>38</v>
      </c>
      <c r="M1896" s="417" t="s">
        <v>30</v>
      </c>
      <c r="N1896" s="436">
        <v>1580</v>
      </c>
      <c r="O1896" s="436">
        <v>1580</v>
      </c>
      <c r="P1896" s="436">
        <v>6000</v>
      </c>
      <c r="Q1896" s="417">
        <v>2</v>
      </c>
      <c r="R1896" s="417">
        <v>4</v>
      </c>
      <c r="S1896" s="417" t="s">
        <v>354</v>
      </c>
      <c r="T1896" s="437" t="s">
        <v>2752</v>
      </c>
      <c r="U1896" s="437" t="s">
        <v>2856</v>
      </c>
      <c r="V1896" s="417" t="s">
        <v>355</v>
      </c>
      <c r="W1896" s="417" t="s">
        <v>928</v>
      </c>
      <c r="X1896" s="417" t="s">
        <v>928</v>
      </c>
    </row>
    <row r="1897" spans="1:24" x14ac:dyDescent="0.15">
      <c r="A1897" s="417">
        <v>3758039</v>
      </c>
      <c r="B1897" s="417" t="s">
        <v>351</v>
      </c>
      <c r="C1897" s="417" t="s">
        <v>1796</v>
      </c>
      <c r="D1897" s="417" t="s">
        <v>353</v>
      </c>
      <c r="E1897" s="417" t="s">
        <v>32</v>
      </c>
      <c r="F1897" s="417">
        <v>331</v>
      </c>
      <c r="G1897" s="417" t="s">
        <v>19</v>
      </c>
      <c r="H1897" s="417" t="s">
        <v>20</v>
      </c>
      <c r="I1897" s="417" t="s">
        <v>21</v>
      </c>
      <c r="J1897" s="417" t="s">
        <v>928</v>
      </c>
      <c r="K1897" s="417" t="s">
        <v>33</v>
      </c>
      <c r="L1897" s="417">
        <v>25</v>
      </c>
      <c r="M1897" s="417" t="s">
        <v>30</v>
      </c>
      <c r="N1897" s="436">
        <v>1330</v>
      </c>
      <c r="O1897" s="436">
        <v>1330</v>
      </c>
      <c r="P1897" s="436">
        <v>6000</v>
      </c>
      <c r="Q1897" s="417">
        <v>2</v>
      </c>
      <c r="R1897" s="417">
        <v>24</v>
      </c>
      <c r="S1897" s="417" t="s">
        <v>354</v>
      </c>
      <c r="T1897" s="437" t="s">
        <v>2752</v>
      </c>
      <c r="U1897" s="437" t="s">
        <v>2856</v>
      </c>
      <c r="V1897" s="417" t="s">
        <v>355</v>
      </c>
      <c r="W1897" s="417" t="s">
        <v>928</v>
      </c>
      <c r="X1897" s="417" t="s">
        <v>928</v>
      </c>
    </row>
    <row r="1898" spans="1:24" x14ac:dyDescent="0.15">
      <c r="A1898" s="417">
        <v>3758040</v>
      </c>
      <c r="B1898" s="417" t="s">
        <v>351</v>
      </c>
      <c r="C1898" s="417" t="s">
        <v>1796</v>
      </c>
      <c r="D1898" s="417" t="s">
        <v>353</v>
      </c>
      <c r="E1898" s="417" t="s">
        <v>17</v>
      </c>
      <c r="F1898" s="417">
        <v>331</v>
      </c>
      <c r="G1898" s="417" t="s">
        <v>19</v>
      </c>
      <c r="H1898" s="417" t="s">
        <v>20</v>
      </c>
      <c r="I1898" s="417" t="s">
        <v>21</v>
      </c>
      <c r="J1898" s="417" t="s">
        <v>928</v>
      </c>
      <c r="K1898" s="417" t="s">
        <v>29</v>
      </c>
      <c r="L1898" s="417">
        <v>38</v>
      </c>
      <c r="M1898" s="417" t="s">
        <v>30</v>
      </c>
      <c r="N1898" s="436">
        <v>1330</v>
      </c>
      <c r="O1898" s="436">
        <v>1330</v>
      </c>
      <c r="P1898" s="436">
        <v>6000</v>
      </c>
      <c r="Q1898" s="417">
        <v>2</v>
      </c>
      <c r="R1898" s="417">
        <v>8</v>
      </c>
      <c r="S1898" s="417" t="s">
        <v>354</v>
      </c>
      <c r="T1898" s="437" t="s">
        <v>2752</v>
      </c>
      <c r="U1898" s="437" t="s">
        <v>2856</v>
      </c>
      <c r="V1898" s="417" t="s">
        <v>355</v>
      </c>
      <c r="W1898" s="417" t="s">
        <v>928</v>
      </c>
      <c r="X1898" s="417" t="s">
        <v>928</v>
      </c>
    </row>
    <row r="1899" spans="1:24" x14ac:dyDescent="0.15">
      <c r="A1899" s="417">
        <v>3758041</v>
      </c>
      <c r="B1899" s="417" t="s">
        <v>351</v>
      </c>
      <c r="C1899" s="417" t="s">
        <v>1796</v>
      </c>
      <c r="D1899" s="417" t="s">
        <v>353</v>
      </c>
      <c r="E1899" s="417" t="s">
        <v>32</v>
      </c>
      <c r="F1899" s="417">
        <v>331</v>
      </c>
      <c r="G1899" s="417" t="s">
        <v>19</v>
      </c>
      <c r="H1899" s="417" t="s">
        <v>20</v>
      </c>
      <c r="I1899" s="417" t="s">
        <v>21</v>
      </c>
      <c r="J1899" s="417" t="s">
        <v>928</v>
      </c>
      <c r="K1899" s="417" t="s">
        <v>33</v>
      </c>
      <c r="L1899" s="417">
        <v>38</v>
      </c>
      <c r="M1899" s="417" t="s">
        <v>30</v>
      </c>
      <c r="N1899" s="436">
        <v>1330</v>
      </c>
      <c r="O1899" s="436">
        <v>1330</v>
      </c>
      <c r="P1899" s="436">
        <v>6000</v>
      </c>
      <c r="Q1899" s="417">
        <v>2</v>
      </c>
      <c r="R1899" s="417">
        <v>24</v>
      </c>
      <c r="S1899" s="417" t="s">
        <v>354</v>
      </c>
      <c r="T1899" s="437" t="s">
        <v>2752</v>
      </c>
      <c r="U1899" s="437" t="s">
        <v>2856</v>
      </c>
      <c r="V1899" s="417" t="s">
        <v>355</v>
      </c>
      <c r="W1899" s="417" t="s">
        <v>928</v>
      </c>
      <c r="X1899" s="417" t="s">
        <v>928</v>
      </c>
    </row>
    <row r="1900" spans="1:24" x14ac:dyDescent="0.15">
      <c r="A1900" s="417">
        <v>3758042</v>
      </c>
      <c r="B1900" s="417" t="s">
        <v>351</v>
      </c>
      <c r="C1900" s="417" t="s">
        <v>1814</v>
      </c>
      <c r="D1900" s="417" t="s">
        <v>353</v>
      </c>
      <c r="E1900" s="417" t="s">
        <v>40</v>
      </c>
      <c r="F1900" s="417">
        <v>3</v>
      </c>
      <c r="G1900" s="417" t="s">
        <v>19</v>
      </c>
      <c r="H1900" s="417" t="s">
        <v>20</v>
      </c>
      <c r="I1900" s="417" t="s">
        <v>21</v>
      </c>
      <c r="J1900" s="417" t="s">
        <v>928</v>
      </c>
      <c r="K1900" s="417" t="s">
        <v>42</v>
      </c>
      <c r="L1900" s="417">
        <v>25</v>
      </c>
      <c r="M1900" s="417" t="s">
        <v>43</v>
      </c>
      <c r="N1900" s="436">
        <v>1085</v>
      </c>
      <c r="O1900" s="436">
        <v>1080</v>
      </c>
      <c r="P1900" s="436">
        <v>6000</v>
      </c>
      <c r="Q1900" s="417">
        <v>2</v>
      </c>
      <c r="R1900" s="417">
        <v>4</v>
      </c>
      <c r="S1900" s="417" t="s">
        <v>354</v>
      </c>
      <c r="T1900" s="437" t="s">
        <v>2752</v>
      </c>
      <c r="U1900" s="437" t="s">
        <v>2854</v>
      </c>
      <c r="V1900" s="417" t="s">
        <v>355</v>
      </c>
      <c r="W1900" s="417" t="s">
        <v>928</v>
      </c>
      <c r="X1900" s="417" t="s">
        <v>928</v>
      </c>
    </row>
    <row r="1901" spans="1:24" x14ac:dyDescent="0.15">
      <c r="A1901" s="417">
        <v>3758043</v>
      </c>
      <c r="B1901" s="417" t="s">
        <v>351</v>
      </c>
      <c r="C1901" s="417" t="s">
        <v>1796</v>
      </c>
      <c r="D1901" s="417" t="s">
        <v>353</v>
      </c>
      <c r="E1901" s="417" t="s">
        <v>17</v>
      </c>
      <c r="F1901" s="417">
        <v>3</v>
      </c>
      <c r="G1901" s="417" t="s">
        <v>19</v>
      </c>
      <c r="H1901" s="417" t="s">
        <v>20</v>
      </c>
      <c r="I1901" s="417" t="s">
        <v>21</v>
      </c>
      <c r="J1901" s="417" t="s">
        <v>928</v>
      </c>
      <c r="K1901" s="417" t="s">
        <v>22</v>
      </c>
      <c r="L1901" s="417">
        <v>38</v>
      </c>
      <c r="M1901" s="417" t="s">
        <v>23</v>
      </c>
      <c r="N1901" s="436">
        <v>1057</v>
      </c>
      <c r="O1901" s="436">
        <v>1050</v>
      </c>
      <c r="P1901" s="436">
        <v>8400</v>
      </c>
      <c r="Q1901" s="417">
        <v>2</v>
      </c>
      <c r="R1901" s="417">
        <v>1</v>
      </c>
      <c r="S1901" s="417" t="s">
        <v>354</v>
      </c>
      <c r="T1901" s="437" t="s">
        <v>2752</v>
      </c>
      <c r="U1901" s="437" t="s">
        <v>2854</v>
      </c>
      <c r="V1901" s="417" t="s">
        <v>355</v>
      </c>
      <c r="W1901" s="417" t="s">
        <v>928</v>
      </c>
      <c r="X1901" s="417" t="s">
        <v>928</v>
      </c>
    </row>
    <row r="1902" spans="1:24" x14ac:dyDescent="0.15">
      <c r="A1902" s="417">
        <v>3758044</v>
      </c>
      <c r="B1902" s="417" t="s">
        <v>351</v>
      </c>
      <c r="C1902" s="417" t="s">
        <v>1814</v>
      </c>
      <c r="D1902" s="417" t="s">
        <v>353</v>
      </c>
      <c r="E1902" s="417" t="s">
        <v>40</v>
      </c>
      <c r="F1902" s="417">
        <v>3</v>
      </c>
      <c r="G1902" s="417" t="s">
        <v>19</v>
      </c>
      <c r="H1902" s="417" t="s">
        <v>20</v>
      </c>
      <c r="I1902" s="417" t="s">
        <v>21</v>
      </c>
      <c r="J1902" s="417" t="s">
        <v>928</v>
      </c>
      <c r="K1902" s="417" t="s">
        <v>42</v>
      </c>
      <c r="L1902" s="417">
        <v>25</v>
      </c>
      <c r="M1902" s="417" t="s">
        <v>43</v>
      </c>
      <c r="N1902" s="436">
        <v>1045</v>
      </c>
      <c r="O1902" s="436">
        <v>1040</v>
      </c>
      <c r="P1902" s="436">
        <v>6000</v>
      </c>
      <c r="Q1902" s="417">
        <v>2</v>
      </c>
      <c r="R1902" s="417">
        <v>8</v>
      </c>
      <c r="S1902" s="417" t="s">
        <v>354</v>
      </c>
      <c r="T1902" s="437" t="s">
        <v>2752</v>
      </c>
      <c r="U1902" s="437" t="s">
        <v>2854</v>
      </c>
      <c r="V1902" s="417" t="s">
        <v>355</v>
      </c>
      <c r="W1902" s="417" t="s">
        <v>928</v>
      </c>
      <c r="X1902" s="417" t="s">
        <v>928</v>
      </c>
    </row>
    <row r="1903" spans="1:24" x14ac:dyDescent="0.15">
      <c r="A1903" s="417">
        <v>3758045</v>
      </c>
      <c r="B1903" s="417" t="s">
        <v>351</v>
      </c>
      <c r="C1903" s="417" t="s">
        <v>1796</v>
      </c>
      <c r="D1903" s="417" t="s">
        <v>353</v>
      </c>
      <c r="E1903" s="417" t="s">
        <v>17</v>
      </c>
      <c r="F1903" s="417">
        <v>3</v>
      </c>
      <c r="G1903" s="417" t="s">
        <v>19</v>
      </c>
      <c r="H1903" s="417" t="s">
        <v>20</v>
      </c>
      <c r="I1903" s="417" t="s">
        <v>21</v>
      </c>
      <c r="J1903" s="417" t="s">
        <v>928</v>
      </c>
      <c r="K1903" s="417" t="s">
        <v>22</v>
      </c>
      <c r="L1903" s="417">
        <v>38</v>
      </c>
      <c r="M1903" s="417" t="s">
        <v>23</v>
      </c>
      <c r="N1903" s="436">
        <v>1037</v>
      </c>
      <c r="O1903" s="436">
        <v>1030</v>
      </c>
      <c r="P1903" s="436">
        <v>8500</v>
      </c>
      <c r="Q1903" s="417">
        <v>2</v>
      </c>
      <c r="R1903" s="417">
        <v>75</v>
      </c>
      <c r="S1903" s="417" t="s">
        <v>354</v>
      </c>
      <c r="T1903" s="437" t="s">
        <v>2752</v>
      </c>
      <c r="U1903" s="437" t="s">
        <v>2854</v>
      </c>
      <c r="V1903" s="417" t="s">
        <v>355</v>
      </c>
      <c r="W1903" s="417" t="s">
        <v>928</v>
      </c>
      <c r="X1903" s="417" t="s">
        <v>928</v>
      </c>
    </row>
    <row r="1904" spans="1:24" x14ac:dyDescent="0.15">
      <c r="A1904" s="417">
        <v>3758046</v>
      </c>
      <c r="B1904" s="417" t="s">
        <v>431</v>
      </c>
      <c r="C1904" s="417" t="s">
        <v>1803</v>
      </c>
      <c r="D1904" s="417" t="s">
        <v>353</v>
      </c>
      <c r="E1904" s="417" t="s">
        <v>61</v>
      </c>
      <c r="F1904" s="417">
        <v>3</v>
      </c>
      <c r="G1904" s="417" t="s">
        <v>265</v>
      </c>
      <c r="H1904" s="417" t="s">
        <v>20</v>
      </c>
      <c r="I1904" s="417" t="s">
        <v>21</v>
      </c>
      <c r="J1904" s="417" t="s">
        <v>928</v>
      </c>
      <c r="K1904" s="417" t="s">
        <v>292</v>
      </c>
      <c r="L1904" s="417">
        <v>38</v>
      </c>
      <c r="M1904" s="417" t="s">
        <v>293</v>
      </c>
      <c r="N1904" s="436">
        <v>750</v>
      </c>
      <c r="O1904" s="436">
        <v>750</v>
      </c>
      <c r="P1904" s="436">
        <v>6000</v>
      </c>
      <c r="Q1904" s="417">
        <v>2</v>
      </c>
      <c r="R1904" s="417">
        <v>12</v>
      </c>
      <c r="S1904" s="417" t="s">
        <v>354</v>
      </c>
      <c r="T1904" s="437" t="s">
        <v>2752</v>
      </c>
      <c r="U1904" s="437" t="s">
        <v>2854</v>
      </c>
      <c r="V1904" s="417" t="s">
        <v>355</v>
      </c>
      <c r="W1904" s="417" t="s">
        <v>928</v>
      </c>
      <c r="X1904" s="417" t="s">
        <v>928</v>
      </c>
    </row>
    <row r="1905" spans="1:24" x14ac:dyDescent="0.15">
      <c r="A1905" s="417">
        <v>3758047</v>
      </c>
      <c r="B1905" s="417" t="s">
        <v>351</v>
      </c>
      <c r="C1905" s="417" t="s">
        <v>1803</v>
      </c>
      <c r="D1905" s="417" t="s">
        <v>353</v>
      </c>
      <c r="E1905" s="417" t="s">
        <v>61</v>
      </c>
      <c r="F1905" s="417">
        <v>3313</v>
      </c>
      <c r="G1905" s="417" t="s">
        <v>19</v>
      </c>
      <c r="H1905" s="417" t="s">
        <v>20</v>
      </c>
      <c r="I1905" s="417" t="s">
        <v>21</v>
      </c>
      <c r="J1905" s="417" t="s">
        <v>928</v>
      </c>
      <c r="K1905" s="417" t="s">
        <v>62</v>
      </c>
      <c r="L1905" s="417">
        <v>38</v>
      </c>
      <c r="M1905" s="417" t="s">
        <v>63</v>
      </c>
      <c r="N1905" s="436">
        <v>750</v>
      </c>
      <c r="O1905" s="436">
        <v>750</v>
      </c>
      <c r="P1905" s="436">
        <v>6000</v>
      </c>
      <c r="Q1905" s="417">
        <v>2</v>
      </c>
      <c r="R1905" s="417">
        <v>36</v>
      </c>
      <c r="S1905" s="417" t="s">
        <v>354</v>
      </c>
      <c r="T1905" s="437" t="s">
        <v>2752</v>
      </c>
      <c r="U1905" s="437" t="s">
        <v>2854</v>
      </c>
      <c r="V1905" s="417" t="s">
        <v>355</v>
      </c>
      <c r="W1905" s="417" t="s">
        <v>928</v>
      </c>
      <c r="X1905" s="417" t="s">
        <v>928</v>
      </c>
    </row>
    <row r="1906" spans="1:24" x14ac:dyDescent="0.15">
      <c r="A1906" s="417">
        <v>3758048</v>
      </c>
      <c r="B1906" s="417" t="s">
        <v>351</v>
      </c>
      <c r="C1906" s="417" t="s">
        <v>1803</v>
      </c>
      <c r="D1906" s="417" t="s">
        <v>353</v>
      </c>
      <c r="E1906" s="417" t="s">
        <v>65</v>
      </c>
      <c r="F1906" s="417">
        <v>3321</v>
      </c>
      <c r="G1906" s="417" t="s">
        <v>19</v>
      </c>
      <c r="H1906" s="417" t="s">
        <v>20</v>
      </c>
      <c r="I1906" s="417" t="s">
        <v>21</v>
      </c>
      <c r="J1906" s="417" t="s">
        <v>928</v>
      </c>
      <c r="K1906" s="417" t="s">
        <v>67</v>
      </c>
      <c r="L1906" s="417">
        <v>38</v>
      </c>
      <c r="M1906" s="417" t="s">
        <v>68</v>
      </c>
      <c r="N1906" s="436">
        <v>1336</v>
      </c>
      <c r="O1906" s="436">
        <v>1325</v>
      </c>
      <c r="P1906" s="436">
        <v>12000</v>
      </c>
      <c r="Q1906" s="417">
        <v>2</v>
      </c>
      <c r="R1906" s="417">
        <v>65</v>
      </c>
      <c r="S1906" s="417" t="s">
        <v>354</v>
      </c>
      <c r="T1906" s="437" t="s">
        <v>2752</v>
      </c>
      <c r="U1906" s="437" t="s">
        <v>2854</v>
      </c>
      <c r="V1906" s="417" t="s">
        <v>355</v>
      </c>
      <c r="W1906" s="417" t="s">
        <v>928</v>
      </c>
      <c r="X1906" s="417" t="s">
        <v>928</v>
      </c>
    </row>
    <row r="1907" spans="1:24" x14ac:dyDescent="0.15">
      <c r="A1907" s="417">
        <v>3758049</v>
      </c>
      <c r="B1907" s="417" t="s">
        <v>351</v>
      </c>
      <c r="C1907" s="417" t="s">
        <v>1803</v>
      </c>
      <c r="D1907" s="417" t="s">
        <v>353</v>
      </c>
      <c r="E1907" s="417" t="s">
        <v>65</v>
      </c>
      <c r="F1907" s="417">
        <v>3321</v>
      </c>
      <c r="G1907" s="417" t="s">
        <v>19</v>
      </c>
      <c r="H1907" s="417" t="s">
        <v>20</v>
      </c>
      <c r="I1907" s="417" t="s">
        <v>21</v>
      </c>
      <c r="J1907" s="417" t="s">
        <v>928</v>
      </c>
      <c r="K1907" s="417" t="s">
        <v>70</v>
      </c>
      <c r="L1907" s="417">
        <v>38</v>
      </c>
      <c r="M1907" s="417" t="s">
        <v>71</v>
      </c>
      <c r="N1907" s="436">
        <v>1336</v>
      </c>
      <c r="O1907" s="436">
        <v>1325</v>
      </c>
      <c r="P1907" s="436">
        <v>12000</v>
      </c>
      <c r="Q1907" s="417">
        <v>2</v>
      </c>
      <c r="R1907" s="417">
        <v>42</v>
      </c>
      <c r="S1907" s="417" t="s">
        <v>354</v>
      </c>
      <c r="T1907" s="437" t="s">
        <v>2752</v>
      </c>
      <c r="U1907" s="437" t="s">
        <v>2854</v>
      </c>
      <c r="V1907" s="417" t="s">
        <v>355</v>
      </c>
      <c r="W1907" s="417" t="s">
        <v>928</v>
      </c>
      <c r="X1907" s="417" t="s">
        <v>928</v>
      </c>
    </row>
    <row r="1908" spans="1:24" x14ac:dyDescent="0.15">
      <c r="A1908" s="417">
        <v>3758050</v>
      </c>
      <c r="B1908" s="417" t="s">
        <v>351</v>
      </c>
      <c r="C1908" s="417" t="s">
        <v>1803</v>
      </c>
      <c r="D1908" s="417" t="s">
        <v>353</v>
      </c>
      <c r="E1908" s="417" t="s">
        <v>73</v>
      </c>
      <c r="F1908" s="417">
        <v>331</v>
      </c>
      <c r="G1908" s="417" t="s">
        <v>19</v>
      </c>
      <c r="H1908" s="417" t="s">
        <v>20</v>
      </c>
      <c r="I1908" s="417" t="s">
        <v>21</v>
      </c>
      <c r="J1908" s="417" t="s">
        <v>928</v>
      </c>
      <c r="K1908" s="417" t="s">
        <v>74</v>
      </c>
      <c r="L1908" s="417">
        <v>38</v>
      </c>
      <c r="M1908" s="417" t="s">
        <v>365</v>
      </c>
      <c r="N1908" s="436">
        <v>415</v>
      </c>
      <c r="O1908" s="436">
        <v>415</v>
      </c>
      <c r="P1908" s="436">
        <v>1950</v>
      </c>
      <c r="Q1908" s="417">
        <v>2</v>
      </c>
      <c r="R1908" s="417">
        <v>36</v>
      </c>
      <c r="S1908" s="417" t="s">
        <v>354</v>
      </c>
      <c r="T1908" s="437" t="s">
        <v>2752</v>
      </c>
      <c r="U1908" s="437" t="s">
        <v>2854</v>
      </c>
      <c r="V1908" s="417" t="s">
        <v>355</v>
      </c>
      <c r="W1908" s="417" t="s">
        <v>928</v>
      </c>
      <c r="X1908" s="417" t="s">
        <v>928</v>
      </c>
    </row>
    <row r="1909" spans="1:24" x14ac:dyDescent="0.15">
      <c r="A1909" s="417">
        <v>3758051</v>
      </c>
      <c r="B1909" s="417" t="s">
        <v>431</v>
      </c>
      <c r="C1909" s="417" t="s">
        <v>1803</v>
      </c>
      <c r="D1909" s="417" t="s">
        <v>353</v>
      </c>
      <c r="E1909" s="417" t="s">
        <v>61</v>
      </c>
      <c r="F1909" s="417">
        <v>3</v>
      </c>
      <c r="G1909" s="417" t="s">
        <v>265</v>
      </c>
      <c r="H1909" s="417" t="s">
        <v>20</v>
      </c>
      <c r="I1909" s="417" t="s">
        <v>21</v>
      </c>
      <c r="J1909" s="417" t="s">
        <v>928</v>
      </c>
      <c r="K1909" s="417" t="s">
        <v>292</v>
      </c>
      <c r="L1909" s="417">
        <v>38</v>
      </c>
      <c r="M1909" s="417" t="s">
        <v>293</v>
      </c>
      <c r="N1909" s="436">
        <v>1255</v>
      </c>
      <c r="O1909" s="436">
        <v>1250</v>
      </c>
      <c r="P1909" s="436">
        <v>6000</v>
      </c>
      <c r="Q1909" s="417">
        <v>2</v>
      </c>
      <c r="R1909" s="417">
        <v>21</v>
      </c>
      <c r="S1909" s="417" t="s">
        <v>354</v>
      </c>
      <c r="T1909" s="437" t="s">
        <v>2752</v>
      </c>
      <c r="U1909" s="437" t="s">
        <v>2858</v>
      </c>
      <c r="V1909" s="417" t="s">
        <v>355</v>
      </c>
      <c r="W1909" s="417" t="s">
        <v>928</v>
      </c>
      <c r="X1909" s="417" t="s">
        <v>928</v>
      </c>
    </row>
    <row r="1910" spans="1:24" x14ac:dyDescent="0.15">
      <c r="A1910" s="417">
        <v>3758052</v>
      </c>
      <c r="B1910" s="417" t="s">
        <v>351</v>
      </c>
      <c r="C1910" s="417" t="s">
        <v>1803</v>
      </c>
      <c r="D1910" s="417" t="s">
        <v>353</v>
      </c>
      <c r="E1910" s="417" t="s">
        <v>61</v>
      </c>
      <c r="F1910" s="417">
        <v>331</v>
      </c>
      <c r="G1910" s="417" t="s">
        <v>19</v>
      </c>
      <c r="H1910" s="417" t="s">
        <v>20</v>
      </c>
      <c r="I1910" s="417" t="s">
        <v>21</v>
      </c>
      <c r="J1910" s="417" t="s">
        <v>928</v>
      </c>
      <c r="K1910" s="417" t="s">
        <v>62</v>
      </c>
      <c r="L1910" s="417">
        <v>38</v>
      </c>
      <c r="M1910" s="417" t="s">
        <v>63</v>
      </c>
      <c r="N1910" s="436">
        <v>1255</v>
      </c>
      <c r="O1910" s="436">
        <v>1250</v>
      </c>
      <c r="P1910" s="436">
        <v>6000</v>
      </c>
      <c r="Q1910" s="417">
        <v>2</v>
      </c>
      <c r="R1910" s="417">
        <v>24</v>
      </c>
      <c r="S1910" s="417" t="s">
        <v>354</v>
      </c>
      <c r="T1910" s="437" t="s">
        <v>2752</v>
      </c>
      <c r="U1910" s="437" t="s">
        <v>2858</v>
      </c>
      <c r="V1910" s="417" t="s">
        <v>355</v>
      </c>
      <c r="W1910" s="417" t="s">
        <v>928</v>
      </c>
      <c r="X1910" s="417" t="s">
        <v>928</v>
      </c>
    </row>
    <row r="1911" spans="1:24" x14ac:dyDescent="0.15">
      <c r="A1911" s="417">
        <v>3758053</v>
      </c>
      <c r="B1911" s="417" t="s">
        <v>431</v>
      </c>
      <c r="C1911" s="417" t="s">
        <v>1796</v>
      </c>
      <c r="D1911" s="417" t="s">
        <v>353</v>
      </c>
      <c r="E1911" s="417" t="s">
        <v>1436</v>
      </c>
      <c r="F1911" s="417">
        <v>3</v>
      </c>
      <c r="G1911" s="417" t="s">
        <v>265</v>
      </c>
      <c r="H1911" s="417" t="s">
        <v>28</v>
      </c>
      <c r="I1911" s="417" t="s">
        <v>132</v>
      </c>
      <c r="J1911" s="417" t="s">
        <v>928</v>
      </c>
      <c r="K1911" s="417" t="s">
        <v>1521</v>
      </c>
      <c r="L1911" s="417">
        <v>75</v>
      </c>
      <c r="M1911" s="417" t="s">
        <v>1438</v>
      </c>
      <c r="N1911" s="436">
        <v>1400</v>
      </c>
      <c r="O1911" s="436">
        <v>1400</v>
      </c>
      <c r="P1911" s="436">
        <v>4200</v>
      </c>
      <c r="Q1911" s="417">
        <v>2</v>
      </c>
      <c r="R1911" s="417">
        <v>22</v>
      </c>
      <c r="S1911" s="417" t="s">
        <v>354</v>
      </c>
      <c r="T1911" s="437" t="s">
        <v>2752</v>
      </c>
      <c r="U1911" s="437" t="s">
        <v>2854</v>
      </c>
      <c r="V1911" s="417" t="s">
        <v>355</v>
      </c>
      <c r="W1911" s="417" t="s">
        <v>928</v>
      </c>
      <c r="X1911" s="417" t="s">
        <v>928</v>
      </c>
    </row>
    <row r="1912" spans="1:24" x14ac:dyDescent="0.15">
      <c r="A1912" s="417">
        <v>3758054</v>
      </c>
      <c r="B1912" s="417" t="s">
        <v>351</v>
      </c>
      <c r="C1912" s="417" t="s">
        <v>1796</v>
      </c>
      <c r="D1912" s="417" t="s">
        <v>353</v>
      </c>
      <c r="E1912" s="417" t="s">
        <v>255</v>
      </c>
      <c r="F1912" s="417">
        <v>3</v>
      </c>
      <c r="G1912" s="417" t="s">
        <v>19</v>
      </c>
      <c r="H1912" s="417" t="s">
        <v>20</v>
      </c>
      <c r="I1912" s="417" t="s">
        <v>256</v>
      </c>
      <c r="J1912" s="417" t="s">
        <v>928</v>
      </c>
      <c r="K1912" s="417" t="s">
        <v>257</v>
      </c>
      <c r="L1912" s="417">
        <v>100</v>
      </c>
      <c r="M1912" s="417" t="s">
        <v>258</v>
      </c>
      <c r="N1912" s="436">
        <v>1000</v>
      </c>
      <c r="O1912" s="436">
        <v>1000</v>
      </c>
      <c r="P1912" s="436">
        <v>1000</v>
      </c>
      <c r="Q1912" s="417">
        <v>2</v>
      </c>
      <c r="R1912" s="417">
        <v>8</v>
      </c>
      <c r="S1912" s="417" t="s">
        <v>354</v>
      </c>
      <c r="T1912" s="437" t="s">
        <v>2752</v>
      </c>
      <c r="U1912" s="437" t="s">
        <v>2854</v>
      </c>
      <c r="V1912" s="417" t="s">
        <v>355</v>
      </c>
      <c r="W1912" s="417" t="s">
        <v>928</v>
      </c>
      <c r="X1912" s="417" t="s">
        <v>928</v>
      </c>
    </row>
    <row r="1913" spans="1:24" x14ac:dyDescent="0.15">
      <c r="A1913" s="417">
        <v>3758055</v>
      </c>
      <c r="B1913" s="417" t="s">
        <v>351</v>
      </c>
      <c r="C1913" s="417" t="s">
        <v>1796</v>
      </c>
      <c r="D1913" s="417" t="s">
        <v>353</v>
      </c>
      <c r="E1913" s="417" t="s">
        <v>255</v>
      </c>
      <c r="F1913" s="417">
        <v>3</v>
      </c>
      <c r="G1913" s="417" t="s">
        <v>19</v>
      </c>
      <c r="H1913" s="417" t="s">
        <v>20</v>
      </c>
      <c r="I1913" s="417" t="s">
        <v>256</v>
      </c>
      <c r="J1913" s="417" t="s">
        <v>928</v>
      </c>
      <c r="K1913" s="417" t="s">
        <v>257</v>
      </c>
      <c r="L1913" s="417">
        <v>125</v>
      </c>
      <c r="M1913" s="417" t="s">
        <v>258</v>
      </c>
      <c r="N1913" s="436">
        <v>1000</v>
      </c>
      <c r="O1913" s="436">
        <v>1000</v>
      </c>
      <c r="P1913" s="436">
        <v>1000</v>
      </c>
      <c r="Q1913" s="417">
        <v>2</v>
      </c>
      <c r="R1913" s="417">
        <v>6</v>
      </c>
      <c r="S1913" s="417" t="s">
        <v>354</v>
      </c>
      <c r="T1913" s="437" t="s">
        <v>2752</v>
      </c>
      <c r="U1913" s="437" t="s">
        <v>2854</v>
      </c>
      <c r="V1913" s="417" t="s">
        <v>355</v>
      </c>
      <c r="W1913" s="417" t="s">
        <v>928</v>
      </c>
      <c r="X1913" s="417" t="s">
        <v>928</v>
      </c>
    </row>
    <row r="1914" spans="1:24" x14ac:dyDescent="0.15">
      <c r="A1914" s="417">
        <v>3758056</v>
      </c>
      <c r="B1914" s="417" t="s">
        <v>351</v>
      </c>
      <c r="C1914" s="417" t="s">
        <v>1796</v>
      </c>
      <c r="D1914" s="417" t="s">
        <v>353</v>
      </c>
      <c r="E1914" s="417" t="s">
        <v>255</v>
      </c>
      <c r="F1914" s="417">
        <v>3</v>
      </c>
      <c r="G1914" s="417" t="s">
        <v>19</v>
      </c>
      <c r="H1914" s="417" t="s">
        <v>20</v>
      </c>
      <c r="I1914" s="417" t="s">
        <v>256</v>
      </c>
      <c r="J1914" s="417" t="s">
        <v>928</v>
      </c>
      <c r="K1914" s="417" t="s">
        <v>257</v>
      </c>
      <c r="L1914" s="417">
        <v>188</v>
      </c>
      <c r="M1914" s="417" t="s">
        <v>258</v>
      </c>
      <c r="N1914" s="436">
        <v>1000</v>
      </c>
      <c r="O1914" s="436">
        <v>1000</v>
      </c>
      <c r="P1914" s="436">
        <v>1000</v>
      </c>
      <c r="Q1914" s="417">
        <v>2</v>
      </c>
      <c r="R1914" s="417">
        <v>7</v>
      </c>
      <c r="S1914" s="417" t="s">
        <v>354</v>
      </c>
      <c r="T1914" s="437" t="s">
        <v>2752</v>
      </c>
      <c r="U1914" s="437" t="s">
        <v>2854</v>
      </c>
      <c r="V1914" s="417" t="s">
        <v>355</v>
      </c>
      <c r="W1914" s="417" t="s">
        <v>928</v>
      </c>
      <c r="X1914" s="417" t="s">
        <v>928</v>
      </c>
    </row>
    <row r="1915" spans="1:24" x14ac:dyDescent="0.15">
      <c r="A1915" s="417">
        <v>3758057</v>
      </c>
      <c r="B1915" s="417" t="s">
        <v>351</v>
      </c>
      <c r="C1915" s="417" t="s">
        <v>1952</v>
      </c>
      <c r="D1915" s="417" t="s">
        <v>353</v>
      </c>
      <c r="E1915" s="417" t="s">
        <v>162</v>
      </c>
      <c r="F1915" s="417">
        <v>3</v>
      </c>
      <c r="G1915" s="417" t="s">
        <v>19</v>
      </c>
      <c r="H1915" s="417" t="s">
        <v>20</v>
      </c>
      <c r="I1915" s="417" t="s">
        <v>143</v>
      </c>
      <c r="J1915" s="417" t="s">
        <v>928</v>
      </c>
      <c r="K1915" s="417" t="s">
        <v>163</v>
      </c>
      <c r="L1915" s="417">
        <v>38</v>
      </c>
      <c r="M1915" s="417" t="s">
        <v>164</v>
      </c>
      <c r="N1915" s="436">
        <v>1320</v>
      </c>
      <c r="O1915" s="436">
        <v>1320</v>
      </c>
      <c r="P1915" s="436">
        <v>4200</v>
      </c>
      <c r="Q1915" s="417">
        <v>2</v>
      </c>
      <c r="R1915" s="417">
        <v>10</v>
      </c>
      <c r="S1915" s="417" t="s">
        <v>354</v>
      </c>
      <c r="T1915" s="437" t="s">
        <v>2752</v>
      </c>
      <c r="U1915" s="437" t="s">
        <v>2854</v>
      </c>
      <c r="V1915" s="417" t="s">
        <v>355</v>
      </c>
      <c r="W1915" s="417" t="s">
        <v>928</v>
      </c>
      <c r="X1915" s="417" t="s">
        <v>928</v>
      </c>
    </row>
    <row r="1916" spans="1:24" x14ac:dyDescent="0.15">
      <c r="A1916" s="417">
        <v>3758074</v>
      </c>
      <c r="B1916" s="417" t="s">
        <v>351</v>
      </c>
      <c r="C1916" s="417" t="s">
        <v>1801</v>
      </c>
      <c r="D1916" s="417" t="s">
        <v>353</v>
      </c>
      <c r="E1916" s="417" t="s">
        <v>116</v>
      </c>
      <c r="F1916" s="417">
        <v>3</v>
      </c>
      <c r="G1916" s="417" t="s">
        <v>19</v>
      </c>
      <c r="H1916" s="417" t="s">
        <v>20</v>
      </c>
      <c r="I1916" s="417" t="s">
        <v>143</v>
      </c>
      <c r="J1916" s="417" t="s">
        <v>928</v>
      </c>
      <c r="K1916" s="417" t="s">
        <v>144</v>
      </c>
      <c r="L1916" s="417">
        <v>50</v>
      </c>
      <c r="M1916" s="417" t="s">
        <v>145</v>
      </c>
      <c r="N1916" s="436">
        <v>1005</v>
      </c>
      <c r="O1916" s="436">
        <v>1000</v>
      </c>
      <c r="P1916" s="436">
        <v>4000</v>
      </c>
      <c r="Q1916" s="417">
        <v>2</v>
      </c>
      <c r="R1916" s="417">
        <v>2</v>
      </c>
      <c r="S1916" s="417" t="s">
        <v>354</v>
      </c>
      <c r="T1916" s="437" t="s">
        <v>2752</v>
      </c>
      <c r="U1916" s="437" t="s">
        <v>2860</v>
      </c>
      <c r="V1916" s="417" t="s">
        <v>355</v>
      </c>
      <c r="W1916" s="417" t="s">
        <v>928</v>
      </c>
      <c r="X1916" s="417" t="s">
        <v>928</v>
      </c>
    </row>
    <row r="1917" spans="1:24" ht="13.5" x14ac:dyDescent="0.15">
      <c r="A1917" s="296">
        <v>3762683</v>
      </c>
      <c r="B1917" s="296" t="s">
        <v>351</v>
      </c>
      <c r="C1917" s="296" t="s">
        <v>1796</v>
      </c>
      <c r="D1917" s="296" t="s">
        <v>353</v>
      </c>
      <c r="E1917" s="296" t="s">
        <v>32</v>
      </c>
      <c r="F1917" s="296">
        <v>331</v>
      </c>
      <c r="G1917" s="296" t="s">
        <v>19</v>
      </c>
      <c r="H1917" s="296" t="s">
        <v>20</v>
      </c>
      <c r="I1917" s="296" t="s">
        <v>21</v>
      </c>
      <c r="J1917" s="296" t="s">
        <v>928</v>
      </c>
      <c r="K1917" s="296" t="s">
        <v>54</v>
      </c>
      <c r="L1917" s="296">
        <v>38</v>
      </c>
      <c r="M1917" s="296" t="s">
        <v>53</v>
      </c>
      <c r="N1917" s="296">
        <v>1580</v>
      </c>
      <c r="O1917" s="296">
        <v>1580</v>
      </c>
      <c r="P1917" s="296">
        <v>6000</v>
      </c>
      <c r="Q1917" s="296">
        <v>2</v>
      </c>
      <c r="R1917" s="296">
        <v>6</v>
      </c>
      <c r="S1917" s="296" t="s">
        <v>354</v>
      </c>
      <c r="T1917" s="296" t="s">
        <v>2862</v>
      </c>
      <c r="U1917" s="296" t="s">
        <v>2922</v>
      </c>
      <c r="V1917" s="296" t="s">
        <v>355</v>
      </c>
      <c r="W1917" s="296" t="s">
        <v>928</v>
      </c>
      <c r="X1917" s="296" t="s">
        <v>928</v>
      </c>
    </row>
    <row r="1918" spans="1:24" ht="13.5" x14ac:dyDescent="0.15">
      <c r="A1918" s="296">
        <v>3762684</v>
      </c>
      <c r="B1918" s="296" t="s">
        <v>351</v>
      </c>
      <c r="C1918" s="296" t="s">
        <v>1796</v>
      </c>
      <c r="D1918" s="296" t="s">
        <v>353</v>
      </c>
      <c r="E1918" s="296" t="s">
        <v>17</v>
      </c>
      <c r="F1918" s="296">
        <v>331</v>
      </c>
      <c r="G1918" s="296" t="s">
        <v>19</v>
      </c>
      <c r="H1918" s="296" t="s">
        <v>20</v>
      </c>
      <c r="I1918" s="296" t="s">
        <v>21</v>
      </c>
      <c r="J1918" s="296" t="s">
        <v>928</v>
      </c>
      <c r="K1918" s="296" t="s">
        <v>52</v>
      </c>
      <c r="L1918" s="296">
        <v>38</v>
      </c>
      <c r="M1918" s="296" t="s">
        <v>53</v>
      </c>
      <c r="N1918" s="296">
        <v>1330</v>
      </c>
      <c r="O1918" s="296">
        <v>1330</v>
      </c>
      <c r="P1918" s="296">
        <v>6000</v>
      </c>
      <c r="Q1918" s="296">
        <v>2</v>
      </c>
      <c r="R1918" s="296">
        <v>36</v>
      </c>
      <c r="S1918" s="296" t="s">
        <v>354</v>
      </c>
      <c r="T1918" s="296" t="s">
        <v>2862</v>
      </c>
      <c r="U1918" s="296" t="s">
        <v>2922</v>
      </c>
      <c r="V1918" s="296" t="s">
        <v>355</v>
      </c>
      <c r="W1918" s="296" t="s">
        <v>928</v>
      </c>
      <c r="X1918" s="296" t="s">
        <v>928</v>
      </c>
    </row>
    <row r="1919" spans="1:24" ht="13.5" x14ac:dyDescent="0.15">
      <c r="A1919" s="296">
        <v>3762685</v>
      </c>
      <c r="B1919" s="296" t="s">
        <v>351</v>
      </c>
      <c r="C1919" s="296" t="s">
        <v>1796</v>
      </c>
      <c r="D1919" s="296" t="s">
        <v>353</v>
      </c>
      <c r="E1919" s="296" t="s">
        <v>17</v>
      </c>
      <c r="F1919" s="296">
        <v>331</v>
      </c>
      <c r="G1919" s="296" t="s">
        <v>19</v>
      </c>
      <c r="H1919" s="296" t="s">
        <v>20</v>
      </c>
      <c r="I1919" s="296" t="s">
        <v>21</v>
      </c>
      <c r="J1919" s="296" t="s">
        <v>928</v>
      </c>
      <c r="K1919" s="296" t="s">
        <v>52</v>
      </c>
      <c r="L1919" s="296">
        <v>38</v>
      </c>
      <c r="M1919" s="296" t="s">
        <v>53</v>
      </c>
      <c r="N1919" s="296">
        <v>1330</v>
      </c>
      <c r="O1919" s="296">
        <v>1330</v>
      </c>
      <c r="P1919" s="296">
        <v>6000</v>
      </c>
      <c r="Q1919" s="296">
        <v>2</v>
      </c>
      <c r="R1919" s="296">
        <v>8</v>
      </c>
      <c r="S1919" s="296" t="s">
        <v>354</v>
      </c>
      <c r="T1919" s="296" t="s">
        <v>2862</v>
      </c>
      <c r="U1919" s="296" t="s">
        <v>2922</v>
      </c>
      <c r="V1919" s="296" t="s">
        <v>355</v>
      </c>
      <c r="W1919" s="296" t="s">
        <v>928</v>
      </c>
      <c r="X1919" s="296" t="s">
        <v>928</v>
      </c>
    </row>
    <row r="1920" spans="1:24" ht="13.5" x14ac:dyDescent="0.15">
      <c r="A1920" s="296">
        <v>3762686</v>
      </c>
      <c r="B1920" s="296" t="s">
        <v>351</v>
      </c>
      <c r="C1920" s="296" t="s">
        <v>1796</v>
      </c>
      <c r="D1920" s="296" t="s">
        <v>353</v>
      </c>
      <c r="E1920" s="296" t="s">
        <v>32</v>
      </c>
      <c r="F1920" s="296">
        <v>331</v>
      </c>
      <c r="G1920" s="296" t="s">
        <v>19</v>
      </c>
      <c r="H1920" s="296" t="s">
        <v>20</v>
      </c>
      <c r="I1920" s="296" t="s">
        <v>21</v>
      </c>
      <c r="J1920" s="296" t="s">
        <v>928</v>
      </c>
      <c r="K1920" s="296" t="s">
        <v>54</v>
      </c>
      <c r="L1920" s="296">
        <v>38</v>
      </c>
      <c r="M1920" s="296" t="s">
        <v>53</v>
      </c>
      <c r="N1920" s="296">
        <v>1330</v>
      </c>
      <c r="O1920" s="296">
        <v>1330</v>
      </c>
      <c r="P1920" s="296">
        <v>6000</v>
      </c>
      <c r="Q1920" s="296">
        <v>2</v>
      </c>
      <c r="R1920" s="296">
        <v>38</v>
      </c>
      <c r="S1920" s="296" t="s">
        <v>354</v>
      </c>
      <c r="T1920" s="296" t="s">
        <v>2862</v>
      </c>
      <c r="U1920" s="296" t="s">
        <v>2922</v>
      </c>
      <c r="V1920" s="296" t="s">
        <v>355</v>
      </c>
      <c r="W1920" s="296" t="s">
        <v>928</v>
      </c>
      <c r="X1920" s="296" t="s">
        <v>928</v>
      </c>
    </row>
    <row r="1921" spans="1:24" ht="13.5" x14ac:dyDescent="0.15">
      <c r="A1921" s="296">
        <v>3762687</v>
      </c>
      <c r="B1921" s="296" t="s">
        <v>351</v>
      </c>
      <c r="C1921" s="296" t="s">
        <v>1796</v>
      </c>
      <c r="D1921" s="296" t="s">
        <v>353</v>
      </c>
      <c r="E1921" s="296" t="s">
        <v>32</v>
      </c>
      <c r="F1921" s="296">
        <v>3</v>
      </c>
      <c r="G1921" s="296" t="s">
        <v>19</v>
      </c>
      <c r="H1921" s="296" t="s">
        <v>20</v>
      </c>
      <c r="I1921" s="296" t="s">
        <v>21</v>
      </c>
      <c r="J1921" s="296" t="s">
        <v>928</v>
      </c>
      <c r="K1921" s="296" t="s">
        <v>56</v>
      </c>
      <c r="L1921" s="296">
        <v>75</v>
      </c>
      <c r="M1921" s="296" t="s">
        <v>376</v>
      </c>
      <c r="N1921" s="296">
        <v>1330</v>
      </c>
      <c r="O1921" s="296">
        <v>1330</v>
      </c>
      <c r="P1921" s="296">
        <v>4100</v>
      </c>
      <c r="Q1921" s="296">
        <v>2</v>
      </c>
      <c r="R1921" s="296">
        <v>48</v>
      </c>
      <c r="S1921" s="296" t="s">
        <v>354</v>
      </c>
      <c r="T1921" s="296" t="s">
        <v>2862</v>
      </c>
      <c r="U1921" s="296" t="s">
        <v>2922</v>
      </c>
      <c r="V1921" s="296" t="s">
        <v>355</v>
      </c>
      <c r="W1921" s="296" t="s">
        <v>928</v>
      </c>
      <c r="X1921" s="296" t="s">
        <v>928</v>
      </c>
    </row>
    <row r="1922" spans="1:24" ht="13.5" x14ac:dyDescent="0.15">
      <c r="A1922" s="296">
        <v>3762688</v>
      </c>
      <c r="B1922" s="296" t="s">
        <v>351</v>
      </c>
      <c r="C1922" s="296" t="s">
        <v>1803</v>
      </c>
      <c r="D1922" s="296" t="s">
        <v>353</v>
      </c>
      <c r="E1922" s="296" t="s">
        <v>369</v>
      </c>
      <c r="F1922" s="296">
        <v>331</v>
      </c>
      <c r="G1922" s="296" t="s">
        <v>19</v>
      </c>
      <c r="H1922" s="296" t="s">
        <v>20</v>
      </c>
      <c r="I1922" s="296" t="s">
        <v>21</v>
      </c>
      <c r="J1922" s="296" t="s">
        <v>928</v>
      </c>
      <c r="K1922" s="296" t="s">
        <v>47</v>
      </c>
      <c r="L1922" s="296">
        <v>38</v>
      </c>
      <c r="M1922" s="296" t="s">
        <v>53</v>
      </c>
      <c r="N1922" s="296">
        <v>535</v>
      </c>
      <c r="O1922" s="296">
        <v>535</v>
      </c>
      <c r="P1922" s="296">
        <v>2000</v>
      </c>
      <c r="Q1922" s="296">
        <v>2</v>
      </c>
      <c r="R1922" s="296">
        <v>12</v>
      </c>
      <c r="S1922" s="296" t="s">
        <v>354</v>
      </c>
      <c r="T1922" s="296" t="s">
        <v>2862</v>
      </c>
      <c r="U1922" s="296" t="s">
        <v>2923</v>
      </c>
      <c r="V1922" s="296" t="s">
        <v>355</v>
      </c>
      <c r="W1922" s="296" t="s">
        <v>928</v>
      </c>
      <c r="X1922" s="296" t="s">
        <v>928</v>
      </c>
    </row>
    <row r="1923" spans="1:24" ht="13.5" x14ac:dyDescent="0.15">
      <c r="A1923" s="296">
        <v>3762689</v>
      </c>
      <c r="B1923" s="296" t="s">
        <v>431</v>
      </c>
      <c r="C1923" s="296" t="s">
        <v>1803</v>
      </c>
      <c r="D1923" s="296" t="s">
        <v>353</v>
      </c>
      <c r="E1923" s="296" t="s">
        <v>1682</v>
      </c>
      <c r="F1923" s="296">
        <v>3</v>
      </c>
      <c r="G1923" s="296" t="s">
        <v>265</v>
      </c>
      <c r="H1923" s="296" t="s">
        <v>20</v>
      </c>
      <c r="I1923" s="296" t="s">
        <v>21</v>
      </c>
      <c r="J1923" s="296" t="s">
        <v>928</v>
      </c>
      <c r="K1923" s="296" t="s">
        <v>632</v>
      </c>
      <c r="L1923" s="296">
        <v>25</v>
      </c>
      <c r="M1923" s="296" t="s">
        <v>633</v>
      </c>
      <c r="N1923" s="296">
        <v>1100</v>
      </c>
      <c r="O1923" s="296">
        <v>1100</v>
      </c>
      <c r="P1923" s="296">
        <v>4070</v>
      </c>
      <c r="Q1923" s="296">
        <v>2</v>
      </c>
      <c r="R1923" s="296">
        <v>12</v>
      </c>
      <c r="S1923" s="296" t="s">
        <v>354</v>
      </c>
      <c r="T1923" s="296" t="s">
        <v>2862</v>
      </c>
      <c r="U1923" s="296" t="s">
        <v>2923</v>
      </c>
      <c r="V1923" s="296" t="s">
        <v>355</v>
      </c>
      <c r="W1923" s="296" t="s">
        <v>928</v>
      </c>
      <c r="X1923" s="296" t="s">
        <v>928</v>
      </c>
    </row>
    <row r="1924" spans="1:24" ht="13.5" x14ac:dyDescent="0.15">
      <c r="A1924" s="296">
        <v>3762690</v>
      </c>
      <c r="B1924" s="296" t="s">
        <v>351</v>
      </c>
      <c r="C1924" s="296" t="s">
        <v>1801</v>
      </c>
      <c r="D1924" s="296" t="s">
        <v>353</v>
      </c>
      <c r="E1924" s="296" t="s">
        <v>371</v>
      </c>
      <c r="F1924" s="296">
        <v>3</v>
      </c>
      <c r="G1924" s="296" t="s">
        <v>19</v>
      </c>
      <c r="H1924" s="296" t="s">
        <v>28</v>
      </c>
      <c r="I1924" s="296" t="s">
        <v>21</v>
      </c>
      <c r="J1924" s="296" t="s">
        <v>928</v>
      </c>
      <c r="K1924" s="296" t="s">
        <v>60</v>
      </c>
      <c r="L1924" s="296">
        <v>75</v>
      </c>
      <c r="M1924" s="296" t="s">
        <v>372</v>
      </c>
      <c r="N1924" s="296">
        <v>1040</v>
      </c>
      <c r="O1924" s="296">
        <v>1040</v>
      </c>
      <c r="P1924" s="296">
        <v>4000</v>
      </c>
      <c r="Q1924" s="296">
        <v>1</v>
      </c>
      <c r="R1924" s="296">
        <v>2</v>
      </c>
      <c r="S1924" s="296" t="s">
        <v>354</v>
      </c>
      <c r="T1924" s="296" t="s">
        <v>2862</v>
      </c>
      <c r="U1924" s="296" t="s">
        <v>2923</v>
      </c>
      <c r="V1924" s="296" t="s">
        <v>355</v>
      </c>
      <c r="W1924" s="296" t="s">
        <v>928</v>
      </c>
      <c r="X1924" s="296" t="s">
        <v>928</v>
      </c>
    </row>
    <row r="1925" spans="1:24" ht="13.5" x14ac:dyDescent="0.15">
      <c r="A1925" s="296">
        <v>3762691</v>
      </c>
      <c r="B1925" s="296" t="s">
        <v>351</v>
      </c>
      <c r="C1925" s="296" t="s">
        <v>1796</v>
      </c>
      <c r="D1925" s="296" t="s">
        <v>353</v>
      </c>
      <c r="E1925" s="296" t="s">
        <v>114</v>
      </c>
      <c r="F1925" s="296">
        <v>331</v>
      </c>
      <c r="G1925" s="296" t="s">
        <v>19</v>
      </c>
      <c r="H1925" s="296" t="s">
        <v>20</v>
      </c>
      <c r="I1925" s="296" t="s">
        <v>21</v>
      </c>
      <c r="J1925" s="296" t="s">
        <v>928</v>
      </c>
      <c r="K1925" s="296" t="s">
        <v>112</v>
      </c>
      <c r="L1925" s="296">
        <v>25</v>
      </c>
      <c r="M1925" s="296" t="s">
        <v>357</v>
      </c>
      <c r="N1925" s="296">
        <v>640</v>
      </c>
      <c r="O1925" s="296">
        <v>640</v>
      </c>
      <c r="P1925" s="296">
        <v>2000</v>
      </c>
      <c r="Q1925" s="296">
        <v>2</v>
      </c>
      <c r="R1925" s="296">
        <v>12</v>
      </c>
      <c r="S1925" s="296" t="s">
        <v>354</v>
      </c>
      <c r="T1925" s="296" t="s">
        <v>2862</v>
      </c>
      <c r="U1925" s="296" t="s">
        <v>2923</v>
      </c>
      <c r="V1925" s="296" t="s">
        <v>355</v>
      </c>
      <c r="W1925" s="296" t="s">
        <v>928</v>
      </c>
      <c r="X1925" s="296" t="s">
        <v>928</v>
      </c>
    </row>
    <row r="1926" spans="1:24" ht="13.5" x14ac:dyDescent="0.15">
      <c r="A1926" s="296">
        <v>3762692</v>
      </c>
      <c r="B1926" s="296" t="s">
        <v>351</v>
      </c>
      <c r="C1926" s="296" t="s">
        <v>1801</v>
      </c>
      <c r="D1926" s="296" t="s">
        <v>353</v>
      </c>
      <c r="E1926" s="296" t="s">
        <v>116</v>
      </c>
      <c r="F1926" s="296">
        <v>3</v>
      </c>
      <c r="G1926" s="296" t="s">
        <v>19</v>
      </c>
      <c r="H1926" s="296" t="s">
        <v>20</v>
      </c>
      <c r="I1926" s="296" t="s">
        <v>21</v>
      </c>
      <c r="J1926" s="296" t="s">
        <v>928</v>
      </c>
      <c r="K1926" s="296" t="s">
        <v>118</v>
      </c>
      <c r="L1926" s="296">
        <v>38</v>
      </c>
      <c r="M1926" s="296" t="s">
        <v>368</v>
      </c>
      <c r="N1926" s="296">
        <v>1415</v>
      </c>
      <c r="O1926" s="296">
        <v>1410</v>
      </c>
      <c r="P1926" s="296">
        <v>8000</v>
      </c>
      <c r="Q1926" s="296">
        <v>2</v>
      </c>
      <c r="R1926" s="296">
        <v>8</v>
      </c>
      <c r="S1926" s="296" t="s">
        <v>354</v>
      </c>
      <c r="T1926" s="296" t="s">
        <v>2862</v>
      </c>
      <c r="U1926" s="296" t="s">
        <v>2924</v>
      </c>
      <c r="V1926" s="296" t="s">
        <v>355</v>
      </c>
      <c r="W1926" s="296" t="s">
        <v>928</v>
      </c>
      <c r="X1926" s="296" t="s">
        <v>928</v>
      </c>
    </row>
    <row r="1927" spans="1:24" ht="13.5" x14ac:dyDescent="0.15">
      <c r="A1927" s="296">
        <v>3762693</v>
      </c>
      <c r="B1927" s="296" t="s">
        <v>351</v>
      </c>
      <c r="C1927" s="296" t="s">
        <v>1796</v>
      </c>
      <c r="D1927" s="296" t="s">
        <v>353</v>
      </c>
      <c r="E1927" s="296" t="s">
        <v>106</v>
      </c>
      <c r="F1927" s="296">
        <v>3</v>
      </c>
      <c r="G1927" s="296" t="s">
        <v>19</v>
      </c>
      <c r="H1927" s="296" t="s">
        <v>20</v>
      </c>
      <c r="I1927" s="296" t="s">
        <v>21</v>
      </c>
      <c r="J1927" s="296" t="s">
        <v>928</v>
      </c>
      <c r="K1927" s="296" t="s">
        <v>107</v>
      </c>
      <c r="L1927" s="296">
        <v>25</v>
      </c>
      <c r="M1927" s="296" t="s">
        <v>367</v>
      </c>
      <c r="N1927" s="296">
        <v>1240</v>
      </c>
      <c r="O1927" s="296">
        <v>1240</v>
      </c>
      <c r="P1927" s="296">
        <v>6000</v>
      </c>
      <c r="Q1927" s="296">
        <v>2</v>
      </c>
      <c r="R1927" s="296">
        <v>40</v>
      </c>
      <c r="S1927" s="296" t="s">
        <v>354</v>
      </c>
      <c r="T1927" s="296" t="s">
        <v>2862</v>
      </c>
      <c r="U1927" s="296" t="s">
        <v>2925</v>
      </c>
      <c r="V1927" s="296" t="s">
        <v>355</v>
      </c>
      <c r="W1927" s="296" t="s">
        <v>928</v>
      </c>
      <c r="X1927" s="296" t="s">
        <v>928</v>
      </c>
    </row>
    <row r="1928" spans="1:24" ht="13.5" x14ac:dyDescent="0.15">
      <c r="A1928" s="296">
        <v>3762694</v>
      </c>
      <c r="B1928" s="296" t="s">
        <v>351</v>
      </c>
      <c r="C1928" s="296" t="s">
        <v>1796</v>
      </c>
      <c r="D1928" s="296" t="s">
        <v>353</v>
      </c>
      <c r="E1928" s="296" t="s">
        <v>106</v>
      </c>
      <c r="F1928" s="296">
        <v>3</v>
      </c>
      <c r="G1928" s="296" t="s">
        <v>19</v>
      </c>
      <c r="H1928" s="296" t="s">
        <v>20</v>
      </c>
      <c r="I1928" s="296" t="s">
        <v>21</v>
      </c>
      <c r="J1928" s="296" t="s">
        <v>928</v>
      </c>
      <c r="K1928" s="296" t="s">
        <v>107</v>
      </c>
      <c r="L1928" s="296">
        <v>38</v>
      </c>
      <c r="M1928" s="296" t="s">
        <v>367</v>
      </c>
      <c r="N1928" s="296">
        <v>1240</v>
      </c>
      <c r="O1928" s="296">
        <v>1240</v>
      </c>
      <c r="P1928" s="296">
        <v>6000</v>
      </c>
      <c r="Q1928" s="296">
        <v>2</v>
      </c>
      <c r="R1928" s="296">
        <v>9</v>
      </c>
      <c r="S1928" s="296" t="s">
        <v>354</v>
      </c>
      <c r="T1928" s="296" t="s">
        <v>2862</v>
      </c>
      <c r="U1928" s="296" t="s">
        <v>2925</v>
      </c>
      <c r="V1928" s="296" t="s">
        <v>355</v>
      </c>
      <c r="W1928" s="296" t="s">
        <v>928</v>
      </c>
      <c r="X1928" s="296" t="s">
        <v>928</v>
      </c>
    </row>
    <row r="1929" spans="1:24" ht="13.5" x14ac:dyDescent="0.15">
      <c r="A1929" s="296">
        <v>3762695</v>
      </c>
      <c r="B1929" s="296" t="s">
        <v>351</v>
      </c>
      <c r="C1929" s="296" t="s">
        <v>1803</v>
      </c>
      <c r="D1929" s="296" t="s">
        <v>353</v>
      </c>
      <c r="E1929" s="296" t="s">
        <v>120</v>
      </c>
      <c r="F1929" s="296">
        <v>3</v>
      </c>
      <c r="G1929" s="296" t="s">
        <v>19</v>
      </c>
      <c r="H1929" s="296" t="s">
        <v>20</v>
      </c>
      <c r="I1929" s="296" t="s">
        <v>21</v>
      </c>
      <c r="J1929" s="296" t="s">
        <v>928</v>
      </c>
      <c r="K1929" s="296" t="s">
        <v>118</v>
      </c>
      <c r="L1929" s="296">
        <v>125</v>
      </c>
      <c r="M1929" s="296" t="s">
        <v>121</v>
      </c>
      <c r="N1929" s="296">
        <v>1230</v>
      </c>
      <c r="O1929" s="296">
        <v>1225</v>
      </c>
      <c r="P1929" s="296">
        <v>1800</v>
      </c>
      <c r="Q1929" s="296">
        <v>2</v>
      </c>
      <c r="R1929" s="296">
        <v>2</v>
      </c>
      <c r="S1929" s="296" t="s">
        <v>354</v>
      </c>
      <c r="T1929" s="296" t="s">
        <v>2862</v>
      </c>
      <c r="U1929" s="296" t="s">
        <v>2923</v>
      </c>
      <c r="V1929" s="296" t="s">
        <v>355</v>
      </c>
      <c r="W1929" s="296" t="s">
        <v>928</v>
      </c>
      <c r="X1929" s="296" t="s">
        <v>928</v>
      </c>
    </row>
    <row r="1930" spans="1:24" ht="13.5" x14ac:dyDescent="0.15">
      <c r="A1930" s="296">
        <v>3762696</v>
      </c>
      <c r="B1930" s="296" t="s">
        <v>351</v>
      </c>
      <c r="C1930" s="296" t="s">
        <v>1796</v>
      </c>
      <c r="D1930" s="296" t="s">
        <v>353</v>
      </c>
      <c r="E1930" s="296" t="s">
        <v>755</v>
      </c>
      <c r="F1930" s="296">
        <v>3</v>
      </c>
      <c r="G1930" s="296" t="s">
        <v>19</v>
      </c>
      <c r="H1930" s="296" t="s">
        <v>20</v>
      </c>
      <c r="I1930" s="296" t="s">
        <v>21</v>
      </c>
      <c r="J1930" s="296" t="s">
        <v>928</v>
      </c>
      <c r="K1930" s="296" t="s">
        <v>128</v>
      </c>
      <c r="L1930" s="296">
        <v>25</v>
      </c>
      <c r="M1930" s="296" t="s">
        <v>756</v>
      </c>
      <c r="N1930" s="296">
        <v>1155</v>
      </c>
      <c r="O1930" s="296">
        <v>1150</v>
      </c>
      <c r="P1930" s="296">
        <v>12400</v>
      </c>
      <c r="Q1930" s="296">
        <v>2</v>
      </c>
      <c r="R1930" s="296">
        <v>2</v>
      </c>
      <c r="S1930" s="296" t="s">
        <v>354</v>
      </c>
      <c r="T1930" s="296" t="s">
        <v>2862</v>
      </c>
      <c r="U1930" s="296" t="s">
        <v>2923</v>
      </c>
      <c r="V1930" s="296" t="s">
        <v>355</v>
      </c>
      <c r="W1930" s="296" t="s">
        <v>928</v>
      </c>
      <c r="X1930" s="296" t="s">
        <v>928</v>
      </c>
    </row>
    <row r="1931" spans="1:24" ht="13.5" x14ac:dyDescent="0.15">
      <c r="A1931" s="296">
        <v>3762697</v>
      </c>
      <c r="B1931" s="296" t="s">
        <v>351</v>
      </c>
      <c r="C1931" s="296" t="s">
        <v>1803</v>
      </c>
      <c r="D1931" s="296" t="s">
        <v>353</v>
      </c>
      <c r="E1931" s="296" t="s">
        <v>2755</v>
      </c>
      <c r="F1931" s="296">
        <v>3</v>
      </c>
      <c r="G1931" s="296" t="s">
        <v>19</v>
      </c>
      <c r="H1931" s="296" t="s">
        <v>20</v>
      </c>
      <c r="I1931" s="296" t="s">
        <v>21</v>
      </c>
      <c r="J1931" s="296" t="s">
        <v>928</v>
      </c>
      <c r="K1931" s="296" t="s">
        <v>118</v>
      </c>
      <c r="L1931" s="296">
        <v>25</v>
      </c>
      <c r="M1931" s="296" t="s">
        <v>119</v>
      </c>
      <c r="N1931" s="296">
        <v>1100</v>
      </c>
      <c r="O1931" s="296">
        <v>1100</v>
      </c>
      <c r="P1931" s="296">
        <v>12000</v>
      </c>
      <c r="Q1931" s="296">
        <v>2</v>
      </c>
      <c r="R1931" s="296">
        <v>11</v>
      </c>
      <c r="S1931" s="296" t="s">
        <v>354</v>
      </c>
      <c r="T1931" s="296" t="s">
        <v>2862</v>
      </c>
      <c r="U1931" s="296" t="s">
        <v>2923</v>
      </c>
      <c r="V1931" s="296" t="s">
        <v>355</v>
      </c>
      <c r="W1931" s="296" t="s">
        <v>928</v>
      </c>
      <c r="X1931" s="296" t="s">
        <v>928</v>
      </c>
    </row>
    <row r="1932" spans="1:24" ht="13.5" x14ac:dyDescent="0.15">
      <c r="A1932" s="296">
        <v>3762698</v>
      </c>
      <c r="B1932" s="296" t="s">
        <v>351</v>
      </c>
      <c r="C1932" s="296" t="s">
        <v>1796</v>
      </c>
      <c r="D1932" s="296" t="s">
        <v>353</v>
      </c>
      <c r="E1932" s="296" t="s">
        <v>106</v>
      </c>
      <c r="F1932" s="296">
        <v>3</v>
      </c>
      <c r="G1932" s="296" t="s">
        <v>19</v>
      </c>
      <c r="H1932" s="296" t="s">
        <v>20</v>
      </c>
      <c r="I1932" s="296" t="s">
        <v>21</v>
      </c>
      <c r="J1932" s="296" t="s">
        <v>928</v>
      </c>
      <c r="K1932" s="296" t="s">
        <v>107</v>
      </c>
      <c r="L1932" s="296">
        <v>25</v>
      </c>
      <c r="M1932" s="296" t="s">
        <v>367</v>
      </c>
      <c r="N1932" s="296">
        <v>1040</v>
      </c>
      <c r="O1932" s="296">
        <v>1040</v>
      </c>
      <c r="P1932" s="296">
        <v>6000</v>
      </c>
      <c r="Q1932" s="296">
        <v>2</v>
      </c>
      <c r="R1932" s="296">
        <v>44</v>
      </c>
      <c r="S1932" s="296" t="s">
        <v>354</v>
      </c>
      <c r="T1932" s="296" t="s">
        <v>2862</v>
      </c>
      <c r="U1932" s="296" t="s">
        <v>2925</v>
      </c>
      <c r="V1932" s="296" t="s">
        <v>355</v>
      </c>
      <c r="W1932" s="296" t="s">
        <v>928</v>
      </c>
      <c r="X1932" s="296" t="s">
        <v>928</v>
      </c>
    </row>
    <row r="1933" spans="1:24" ht="13.5" x14ac:dyDescent="0.15">
      <c r="A1933" s="296">
        <v>3762699</v>
      </c>
      <c r="B1933" s="296" t="s">
        <v>351</v>
      </c>
      <c r="C1933" s="296" t="s">
        <v>1801</v>
      </c>
      <c r="D1933" s="296" t="s">
        <v>353</v>
      </c>
      <c r="E1933" s="296" t="s">
        <v>116</v>
      </c>
      <c r="F1933" s="296">
        <v>3</v>
      </c>
      <c r="G1933" s="296" t="s">
        <v>19</v>
      </c>
      <c r="H1933" s="296" t="s">
        <v>20</v>
      </c>
      <c r="I1933" s="296" t="s">
        <v>21</v>
      </c>
      <c r="J1933" s="296" t="s">
        <v>928</v>
      </c>
      <c r="K1933" s="296" t="s">
        <v>118</v>
      </c>
      <c r="L1933" s="296">
        <v>38</v>
      </c>
      <c r="M1933" s="296" t="s">
        <v>368</v>
      </c>
      <c r="N1933" s="296">
        <v>1005</v>
      </c>
      <c r="O1933" s="296">
        <v>1000</v>
      </c>
      <c r="P1933" s="296">
        <v>8000</v>
      </c>
      <c r="Q1933" s="296">
        <v>2</v>
      </c>
      <c r="R1933" s="296">
        <v>7</v>
      </c>
      <c r="S1933" s="296" t="s">
        <v>354</v>
      </c>
      <c r="T1933" s="296" t="s">
        <v>2862</v>
      </c>
      <c r="U1933" s="296" t="s">
        <v>2926</v>
      </c>
      <c r="V1933" s="296" t="s">
        <v>355</v>
      </c>
      <c r="W1933" s="296" t="s">
        <v>928</v>
      </c>
      <c r="X1933" s="296" t="s">
        <v>928</v>
      </c>
    </row>
    <row r="1934" spans="1:24" ht="13.5" x14ac:dyDescent="0.15">
      <c r="A1934" s="296">
        <v>3762700</v>
      </c>
      <c r="B1934" s="296" t="s">
        <v>351</v>
      </c>
      <c r="C1934" s="296" t="s">
        <v>1796</v>
      </c>
      <c r="D1934" s="296" t="s">
        <v>353</v>
      </c>
      <c r="E1934" s="296" t="s">
        <v>32</v>
      </c>
      <c r="F1934" s="296">
        <v>331</v>
      </c>
      <c r="G1934" s="296" t="s">
        <v>19</v>
      </c>
      <c r="H1934" s="296" t="s">
        <v>20</v>
      </c>
      <c r="I1934" s="296" t="s">
        <v>21</v>
      </c>
      <c r="J1934" s="296" t="s">
        <v>928</v>
      </c>
      <c r="K1934" s="296" t="s">
        <v>33</v>
      </c>
      <c r="L1934" s="296">
        <v>38</v>
      </c>
      <c r="M1934" s="296" t="s">
        <v>30</v>
      </c>
      <c r="N1934" s="296">
        <v>1580</v>
      </c>
      <c r="O1934" s="296">
        <v>1580</v>
      </c>
      <c r="P1934" s="296">
        <v>6000</v>
      </c>
      <c r="Q1934" s="296">
        <v>2</v>
      </c>
      <c r="R1934" s="296">
        <v>4</v>
      </c>
      <c r="S1934" s="296" t="s">
        <v>354</v>
      </c>
      <c r="T1934" s="296" t="s">
        <v>2862</v>
      </c>
      <c r="U1934" s="296" t="s">
        <v>2926</v>
      </c>
      <c r="V1934" s="296" t="s">
        <v>355</v>
      </c>
      <c r="W1934" s="296" t="s">
        <v>928</v>
      </c>
      <c r="X1934" s="296" t="s">
        <v>928</v>
      </c>
    </row>
    <row r="1935" spans="1:24" ht="13.5" x14ac:dyDescent="0.15">
      <c r="A1935" s="296">
        <v>3762701</v>
      </c>
      <c r="B1935" s="296" t="s">
        <v>351</v>
      </c>
      <c r="C1935" s="296" t="s">
        <v>1796</v>
      </c>
      <c r="D1935" s="296" t="s">
        <v>353</v>
      </c>
      <c r="E1935" s="296" t="s">
        <v>32</v>
      </c>
      <c r="F1935" s="296">
        <v>331</v>
      </c>
      <c r="G1935" s="296" t="s">
        <v>19</v>
      </c>
      <c r="H1935" s="296" t="s">
        <v>20</v>
      </c>
      <c r="I1935" s="296" t="s">
        <v>21</v>
      </c>
      <c r="J1935" s="296" t="s">
        <v>928</v>
      </c>
      <c r="K1935" s="296" t="s">
        <v>33</v>
      </c>
      <c r="L1935" s="296">
        <v>25</v>
      </c>
      <c r="M1935" s="296" t="s">
        <v>30</v>
      </c>
      <c r="N1935" s="296">
        <v>1330</v>
      </c>
      <c r="O1935" s="296">
        <v>1330</v>
      </c>
      <c r="P1935" s="296">
        <v>6000</v>
      </c>
      <c r="Q1935" s="296">
        <v>2</v>
      </c>
      <c r="R1935" s="296">
        <v>12</v>
      </c>
      <c r="S1935" s="296" t="s">
        <v>354</v>
      </c>
      <c r="T1935" s="296" t="s">
        <v>2862</v>
      </c>
      <c r="U1935" s="296" t="s">
        <v>2926</v>
      </c>
      <c r="V1935" s="296" t="s">
        <v>355</v>
      </c>
      <c r="W1935" s="296" t="s">
        <v>928</v>
      </c>
      <c r="X1935" s="296" t="s">
        <v>928</v>
      </c>
    </row>
    <row r="1936" spans="1:24" ht="13.5" x14ac:dyDescent="0.15">
      <c r="A1936" s="296">
        <v>3762702</v>
      </c>
      <c r="B1936" s="296" t="s">
        <v>351</v>
      </c>
      <c r="C1936" s="296" t="s">
        <v>1796</v>
      </c>
      <c r="D1936" s="296" t="s">
        <v>353</v>
      </c>
      <c r="E1936" s="296" t="s">
        <v>17</v>
      </c>
      <c r="F1936" s="296">
        <v>331</v>
      </c>
      <c r="G1936" s="296" t="s">
        <v>19</v>
      </c>
      <c r="H1936" s="296" t="s">
        <v>20</v>
      </c>
      <c r="I1936" s="296" t="s">
        <v>21</v>
      </c>
      <c r="J1936" s="296" t="s">
        <v>928</v>
      </c>
      <c r="K1936" s="296" t="s">
        <v>29</v>
      </c>
      <c r="L1936" s="296">
        <v>38</v>
      </c>
      <c r="M1936" s="296" t="s">
        <v>30</v>
      </c>
      <c r="N1936" s="296">
        <v>1330</v>
      </c>
      <c r="O1936" s="296">
        <v>1330</v>
      </c>
      <c r="P1936" s="296">
        <v>6000</v>
      </c>
      <c r="Q1936" s="296">
        <v>2</v>
      </c>
      <c r="R1936" s="296">
        <v>4</v>
      </c>
      <c r="S1936" s="296" t="s">
        <v>354</v>
      </c>
      <c r="T1936" s="296" t="s">
        <v>2862</v>
      </c>
      <c r="U1936" s="296" t="s">
        <v>2926</v>
      </c>
      <c r="V1936" s="296" t="s">
        <v>355</v>
      </c>
      <c r="W1936" s="296" t="s">
        <v>928</v>
      </c>
      <c r="X1936" s="296" t="s">
        <v>928</v>
      </c>
    </row>
    <row r="1937" spans="1:24" ht="13.5" x14ac:dyDescent="0.15">
      <c r="A1937" s="296">
        <v>3762703</v>
      </c>
      <c r="B1937" s="296" t="s">
        <v>351</v>
      </c>
      <c r="C1937" s="296" t="s">
        <v>1796</v>
      </c>
      <c r="D1937" s="296" t="s">
        <v>353</v>
      </c>
      <c r="E1937" s="296" t="s">
        <v>32</v>
      </c>
      <c r="F1937" s="296">
        <v>331</v>
      </c>
      <c r="G1937" s="296" t="s">
        <v>19</v>
      </c>
      <c r="H1937" s="296" t="s">
        <v>20</v>
      </c>
      <c r="I1937" s="296" t="s">
        <v>21</v>
      </c>
      <c r="J1937" s="296" t="s">
        <v>928</v>
      </c>
      <c r="K1937" s="296" t="s">
        <v>33</v>
      </c>
      <c r="L1937" s="296">
        <v>38</v>
      </c>
      <c r="M1937" s="296" t="s">
        <v>30</v>
      </c>
      <c r="N1937" s="296">
        <v>1330</v>
      </c>
      <c r="O1937" s="296">
        <v>1330</v>
      </c>
      <c r="P1937" s="296">
        <v>6000</v>
      </c>
      <c r="Q1937" s="296">
        <v>2</v>
      </c>
      <c r="R1937" s="296">
        <v>54</v>
      </c>
      <c r="S1937" s="296" t="s">
        <v>354</v>
      </c>
      <c r="T1937" s="296" t="s">
        <v>2862</v>
      </c>
      <c r="U1937" s="296" t="s">
        <v>2926</v>
      </c>
      <c r="V1937" s="296" t="s">
        <v>355</v>
      </c>
      <c r="W1937" s="296" t="s">
        <v>928</v>
      </c>
      <c r="X1937" s="296" t="s">
        <v>928</v>
      </c>
    </row>
    <row r="1938" spans="1:24" ht="13.5" x14ac:dyDescent="0.15">
      <c r="A1938" s="296">
        <v>3762704</v>
      </c>
      <c r="B1938" s="296" t="s">
        <v>351</v>
      </c>
      <c r="C1938" s="296" t="s">
        <v>1814</v>
      </c>
      <c r="D1938" s="296" t="s">
        <v>353</v>
      </c>
      <c r="E1938" s="296" t="s">
        <v>40</v>
      </c>
      <c r="F1938" s="296">
        <v>3</v>
      </c>
      <c r="G1938" s="296" t="s">
        <v>19</v>
      </c>
      <c r="H1938" s="296" t="s">
        <v>20</v>
      </c>
      <c r="I1938" s="296" t="s">
        <v>21</v>
      </c>
      <c r="J1938" s="296" t="s">
        <v>928</v>
      </c>
      <c r="K1938" s="296" t="s">
        <v>42</v>
      </c>
      <c r="L1938" s="296">
        <v>25</v>
      </c>
      <c r="M1938" s="296" t="s">
        <v>43</v>
      </c>
      <c r="N1938" s="296">
        <v>1085</v>
      </c>
      <c r="O1938" s="296">
        <v>1080</v>
      </c>
      <c r="P1938" s="296">
        <v>6000</v>
      </c>
      <c r="Q1938" s="296">
        <v>2</v>
      </c>
      <c r="R1938" s="296">
        <v>4</v>
      </c>
      <c r="S1938" s="296" t="s">
        <v>354</v>
      </c>
      <c r="T1938" s="296" t="s">
        <v>2862</v>
      </c>
      <c r="U1938" s="296" t="s">
        <v>2923</v>
      </c>
      <c r="V1938" s="296" t="s">
        <v>355</v>
      </c>
      <c r="W1938" s="296" t="s">
        <v>928</v>
      </c>
      <c r="X1938" s="296" t="s">
        <v>928</v>
      </c>
    </row>
    <row r="1939" spans="1:24" ht="13.5" x14ac:dyDescent="0.15">
      <c r="A1939" s="296">
        <v>3762705</v>
      </c>
      <c r="B1939" s="296" t="s">
        <v>351</v>
      </c>
      <c r="C1939" s="296" t="s">
        <v>1796</v>
      </c>
      <c r="D1939" s="296" t="s">
        <v>353</v>
      </c>
      <c r="E1939" s="296" t="s">
        <v>17</v>
      </c>
      <c r="F1939" s="296">
        <v>3</v>
      </c>
      <c r="G1939" s="296" t="s">
        <v>19</v>
      </c>
      <c r="H1939" s="296" t="s">
        <v>20</v>
      </c>
      <c r="I1939" s="296" t="s">
        <v>21</v>
      </c>
      <c r="J1939" s="296" t="s">
        <v>928</v>
      </c>
      <c r="K1939" s="296" t="s">
        <v>22</v>
      </c>
      <c r="L1939" s="296">
        <v>38</v>
      </c>
      <c r="M1939" s="296" t="s">
        <v>23</v>
      </c>
      <c r="N1939" s="296">
        <v>1057</v>
      </c>
      <c r="O1939" s="296">
        <v>1050</v>
      </c>
      <c r="P1939" s="296">
        <v>8400</v>
      </c>
      <c r="Q1939" s="296">
        <v>2</v>
      </c>
      <c r="R1939" s="296">
        <v>2</v>
      </c>
      <c r="S1939" s="296" t="s">
        <v>354</v>
      </c>
      <c r="T1939" s="296" t="s">
        <v>2862</v>
      </c>
      <c r="U1939" s="296" t="s">
        <v>2926</v>
      </c>
      <c r="V1939" s="296" t="s">
        <v>355</v>
      </c>
      <c r="W1939" s="296" t="s">
        <v>928</v>
      </c>
      <c r="X1939" s="296" t="s">
        <v>928</v>
      </c>
    </row>
    <row r="1940" spans="1:24" ht="13.5" x14ac:dyDescent="0.15">
      <c r="A1940" s="296">
        <v>3762706</v>
      </c>
      <c r="B1940" s="296" t="s">
        <v>351</v>
      </c>
      <c r="C1940" s="296" t="s">
        <v>1814</v>
      </c>
      <c r="D1940" s="296" t="s">
        <v>353</v>
      </c>
      <c r="E1940" s="296" t="s">
        <v>40</v>
      </c>
      <c r="F1940" s="296">
        <v>3</v>
      </c>
      <c r="G1940" s="296" t="s">
        <v>19</v>
      </c>
      <c r="H1940" s="296" t="s">
        <v>20</v>
      </c>
      <c r="I1940" s="296" t="s">
        <v>21</v>
      </c>
      <c r="J1940" s="296" t="s">
        <v>928</v>
      </c>
      <c r="K1940" s="296" t="s">
        <v>42</v>
      </c>
      <c r="L1940" s="296">
        <v>25</v>
      </c>
      <c r="M1940" s="296" t="s">
        <v>43</v>
      </c>
      <c r="N1940" s="296">
        <v>1045</v>
      </c>
      <c r="O1940" s="296">
        <v>1040</v>
      </c>
      <c r="P1940" s="296">
        <v>6000</v>
      </c>
      <c r="Q1940" s="296">
        <v>2</v>
      </c>
      <c r="R1940" s="296">
        <v>12</v>
      </c>
      <c r="S1940" s="296" t="s">
        <v>354</v>
      </c>
      <c r="T1940" s="296" t="s">
        <v>2862</v>
      </c>
      <c r="U1940" s="296" t="s">
        <v>2923</v>
      </c>
      <c r="V1940" s="296" t="s">
        <v>355</v>
      </c>
      <c r="W1940" s="296" t="s">
        <v>928</v>
      </c>
      <c r="X1940" s="296" t="s">
        <v>928</v>
      </c>
    </row>
    <row r="1941" spans="1:24" ht="13.5" x14ac:dyDescent="0.15">
      <c r="A1941" s="296">
        <v>3762707</v>
      </c>
      <c r="B1941" s="296" t="s">
        <v>351</v>
      </c>
      <c r="C1941" s="296" t="s">
        <v>1796</v>
      </c>
      <c r="D1941" s="296" t="s">
        <v>353</v>
      </c>
      <c r="E1941" s="296" t="s">
        <v>17</v>
      </c>
      <c r="F1941" s="296">
        <v>3</v>
      </c>
      <c r="G1941" s="296" t="s">
        <v>19</v>
      </c>
      <c r="H1941" s="296" t="s">
        <v>20</v>
      </c>
      <c r="I1941" s="296" t="s">
        <v>21</v>
      </c>
      <c r="J1941" s="296" t="s">
        <v>928</v>
      </c>
      <c r="K1941" s="296" t="s">
        <v>22</v>
      </c>
      <c r="L1941" s="296">
        <v>38</v>
      </c>
      <c r="M1941" s="296" t="s">
        <v>23</v>
      </c>
      <c r="N1941" s="296">
        <v>1037</v>
      </c>
      <c r="O1941" s="296">
        <v>1030</v>
      </c>
      <c r="P1941" s="296">
        <v>8500</v>
      </c>
      <c r="Q1941" s="296">
        <v>2</v>
      </c>
      <c r="R1941" s="296">
        <v>70</v>
      </c>
      <c r="S1941" s="296" t="s">
        <v>354</v>
      </c>
      <c r="T1941" s="296" t="s">
        <v>2862</v>
      </c>
      <c r="U1941" s="296" t="s">
        <v>2926</v>
      </c>
      <c r="V1941" s="296" t="s">
        <v>355</v>
      </c>
      <c r="W1941" s="296" t="s">
        <v>928</v>
      </c>
      <c r="X1941" s="296" t="s">
        <v>928</v>
      </c>
    </row>
    <row r="1942" spans="1:24" ht="13.5" x14ac:dyDescent="0.15">
      <c r="A1942" s="296">
        <v>3762708</v>
      </c>
      <c r="B1942" s="296" t="s">
        <v>351</v>
      </c>
      <c r="C1942" s="296" t="s">
        <v>1796</v>
      </c>
      <c r="D1942" s="296" t="s">
        <v>353</v>
      </c>
      <c r="E1942" s="296" t="s">
        <v>377</v>
      </c>
      <c r="F1942" s="296">
        <v>3</v>
      </c>
      <c r="G1942" s="296" t="s">
        <v>19</v>
      </c>
      <c r="H1942" s="296" t="s">
        <v>20</v>
      </c>
      <c r="I1942" s="296" t="s">
        <v>21</v>
      </c>
      <c r="J1942" s="296" t="s">
        <v>928</v>
      </c>
      <c r="K1942" s="296" t="s">
        <v>36</v>
      </c>
      <c r="L1942" s="296">
        <v>25</v>
      </c>
      <c r="M1942" s="296" t="s">
        <v>37</v>
      </c>
      <c r="N1942" s="296">
        <v>890</v>
      </c>
      <c r="O1942" s="296">
        <v>890</v>
      </c>
      <c r="P1942" s="296">
        <v>3800</v>
      </c>
      <c r="Q1942" s="296">
        <v>2</v>
      </c>
      <c r="R1942" s="296">
        <v>21</v>
      </c>
      <c r="S1942" s="296" t="s">
        <v>354</v>
      </c>
      <c r="T1942" s="296" t="s">
        <v>2862</v>
      </c>
      <c r="U1942" s="296" t="s">
        <v>2923</v>
      </c>
      <c r="V1942" s="296" t="s">
        <v>355</v>
      </c>
      <c r="W1942" s="296" t="s">
        <v>928</v>
      </c>
      <c r="X1942" s="296" t="s">
        <v>928</v>
      </c>
    </row>
    <row r="1943" spans="1:24" ht="13.5" x14ac:dyDescent="0.15">
      <c r="A1943" s="296">
        <v>3762709</v>
      </c>
      <c r="B1943" s="296" t="s">
        <v>351</v>
      </c>
      <c r="C1943" s="296" t="s">
        <v>1803</v>
      </c>
      <c r="D1943" s="296" t="s">
        <v>353</v>
      </c>
      <c r="E1943" s="296" t="s">
        <v>65</v>
      </c>
      <c r="F1943" s="296">
        <v>3321</v>
      </c>
      <c r="G1943" s="296" t="s">
        <v>19</v>
      </c>
      <c r="H1943" s="296" t="s">
        <v>20</v>
      </c>
      <c r="I1943" s="296" t="s">
        <v>21</v>
      </c>
      <c r="J1943" s="296" t="s">
        <v>928</v>
      </c>
      <c r="K1943" s="296" t="s">
        <v>67</v>
      </c>
      <c r="L1943" s="296">
        <v>38</v>
      </c>
      <c r="M1943" s="296" t="s">
        <v>68</v>
      </c>
      <c r="N1943" s="296">
        <v>1336</v>
      </c>
      <c r="O1943" s="296">
        <v>1325</v>
      </c>
      <c r="P1943" s="296">
        <v>12000</v>
      </c>
      <c r="Q1943" s="296">
        <v>2</v>
      </c>
      <c r="R1943" s="296">
        <v>110</v>
      </c>
      <c r="S1943" s="296" t="s">
        <v>354</v>
      </c>
      <c r="T1943" s="296" t="s">
        <v>2862</v>
      </c>
      <c r="U1943" s="296" t="s">
        <v>2927</v>
      </c>
      <c r="V1943" s="296" t="s">
        <v>355</v>
      </c>
      <c r="W1943" s="296" t="s">
        <v>928</v>
      </c>
      <c r="X1943" s="296" t="s">
        <v>928</v>
      </c>
    </row>
    <row r="1944" spans="1:24" ht="13.5" x14ac:dyDescent="0.15">
      <c r="A1944" s="296">
        <v>3762710</v>
      </c>
      <c r="B1944" s="296" t="s">
        <v>351</v>
      </c>
      <c r="C1944" s="296" t="s">
        <v>1803</v>
      </c>
      <c r="D1944" s="296" t="s">
        <v>353</v>
      </c>
      <c r="E1944" s="296" t="s">
        <v>65</v>
      </c>
      <c r="F1944" s="296">
        <v>3321</v>
      </c>
      <c r="G1944" s="296" t="s">
        <v>19</v>
      </c>
      <c r="H1944" s="296" t="s">
        <v>20</v>
      </c>
      <c r="I1944" s="296" t="s">
        <v>21</v>
      </c>
      <c r="J1944" s="296" t="s">
        <v>928</v>
      </c>
      <c r="K1944" s="296" t="s">
        <v>70</v>
      </c>
      <c r="L1944" s="296">
        <v>38</v>
      </c>
      <c r="M1944" s="296" t="s">
        <v>71</v>
      </c>
      <c r="N1944" s="296">
        <v>1336</v>
      </c>
      <c r="O1944" s="296">
        <v>1325</v>
      </c>
      <c r="P1944" s="296">
        <v>12000</v>
      </c>
      <c r="Q1944" s="296">
        <v>2</v>
      </c>
      <c r="R1944" s="296">
        <v>60</v>
      </c>
      <c r="S1944" s="296" t="s">
        <v>354</v>
      </c>
      <c r="T1944" s="296" t="s">
        <v>2862</v>
      </c>
      <c r="U1944" s="296" t="s">
        <v>2927</v>
      </c>
      <c r="V1944" s="296" t="s">
        <v>355</v>
      </c>
      <c r="W1944" s="296" t="s">
        <v>928</v>
      </c>
      <c r="X1944" s="296" t="s">
        <v>928</v>
      </c>
    </row>
    <row r="1945" spans="1:24" ht="13.5" x14ac:dyDescent="0.15">
      <c r="A1945" s="296">
        <v>3762711</v>
      </c>
      <c r="B1945" s="296" t="s">
        <v>351</v>
      </c>
      <c r="C1945" s="296" t="s">
        <v>1803</v>
      </c>
      <c r="D1945" s="296" t="s">
        <v>353</v>
      </c>
      <c r="E1945" s="296" t="s">
        <v>61</v>
      </c>
      <c r="F1945" s="296">
        <v>3313</v>
      </c>
      <c r="G1945" s="296" t="s">
        <v>19</v>
      </c>
      <c r="H1945" s="296" t="s">
        <v>20</v>
      </c>
      <c r="I1945" s="296" t="s">
        <v>21</v>
      </c>
      <c r="J1945" s="296" t="s">
        <v>928</v>
      </c>
      <c r="K1945" s="296" t="s">
        <v>62</v>
      </c>
      <c r="L1945" s="296">
        <v>38</v>
      </c>
      <c r="M1945" s="296" t="s">
        <v>63</v>
      </c>
      <c r="N1945" s="296">
        <v>750</v>
      </c>
      <c r="O1945" s="296">
        <v>750</v>
      </c>
      <c r="P1945" s="296">
        <v>6000</v>
      </c>
      <c r="Q1945" s="296">
        <v>2</v>
      </c>
      <c r="R1945" s="296">
        <v>56</v>
      </c>
      <c r="S1945" s="296" t="s">
        <v>354</v>
      </c>
      <c r="T1945" s="296" t="s">
        <v>2862</v>
      </c>
      <c r="U1945" s="296" t="s">
        <v>2928</v>
      </c>
      <c r="V1945" s="296" t="s">
        <v>355</v>
      </c>
      <c r="W1945" s="296" t="s">
        <v>928</v>
      </c>
      <c r="X1945" s="296" t="s">
        <v>928</v>
      </c>
    </row>
    <row r="1946" spans="1:24" ht="13.5" x14ac:dyDescent="0.15">
      <c r="A1946" s="296">
        <v>3762712</v>
      </c>
      <c r="B1946" s="296" t="s">
        <v>351</v>
      </c>
      <c r="C1946" s="296" t="s">
        <v>1803</v>
      </c>
      <c r="D1946" s="296" t="s">
        <v>353</v>
      </c>
      <c r="E1946" s="296" t="s">
        <v>73</v>
      </c>
      <c r="F1946" s="296">
        <v>331</v>
      </c>
      <c r="G1946" s="296" t="s">
        <v>19</v>
      </c>
      <c r="H1946" s="296" t="s">
        <v>20</v>
      </c>
      <c r="I1946" s="296" t="s">
        <v>21</v>
      </c>
      <c r="J1946" s="296" t="s">
        <v>928</v>
      </c>
      <c r="K1946" s="296" t="s">
        <v>74</v>
      </c>
      <c r="L1946" s="296">
        <v>38</v>
      </c>
      <c r="M1946" s="296" t="s">
        <v>365</v>
      </c>
      <c r="N1946" s="296">
        <v>315</v>
      </c>
      <c r="O1946" s="296">
        <v>315</v>
      </c>
      <c r="P1946" s="296">
        <v>1950</v>
      </c>
      <c r="Q1946" s="296">
        <v>2</v>
      </c>
      <c r="R1946" s="296">
        <v>6</v>
      </c>
      <c r="S1946" s="296" t="s">
        <v>354</v>
      </c>
      <c r="T1946" s="296" t="s">
        <v>2862</v>
      </c>
      <c r="U1946" s="296" t="s">
        <v>2928</v>
      </c>
      <c r="V1946" s="296" t="s">
        <v>355</v>
      </c>
      <c r="W1946" s="296" t="s">
        <v>928</v>
      </c>
      <c r="X1946" s="296" t="s">
        <v>928</v>
      </c>
    </row>
    <row r="1947" spans="1:24" ht="13.5" x14ac:dyDescent="0.15">
      <c r="A1947" s="296">
        <v>3762712</v>
      </c>
      <c r="B1947" s="296" t="s">
        <v>351</v>
      </c>
      <c r="C1947" s="296" t="s">
        <v>1803</v>
      </c>
      <c r="D1947" s="296" t="s">
        <v>353</v>
      </c>
      <c r="E1947" s="296" t="s">
        <v>73</v>
      </c>
      <c r="F1947" s="296">
        <v>331</v>
      </c>
      <c r="G1947" s="296" t="s">
        <v>19</v>
      </c>
      <c r="H1947" s="296" t="s">
        <v>20</v>
      </c>
      <c r="I1947" s="296" t="s">
        <v>21</v>
      </c>
      <c r="J1947" s="296" t="s">
        <v>928</v>
      </c>
      <c r="K1947" s="296" t="s">
        <v>74</v>
      </c>
      <c r="L1947" s="296">
        <v>38</v>
      </c>
      <c r="M1947" s="296" t="s">
        <v>365</v>
      </c>
      <c r="N1947" s="296">
        <v>415</v>
      </c>
      <c r="O1947" s="296">
        <v>415</v>
      </c>
      <c r="P1947" s="296">
        <v>1950</v>
      </c>
      <c r="Q1947" s="296">
        <v>2</v>
      </c>
      <c r="R1947" s="296">
        <v>12</v>
      </c>
      <c r="S1947" s="296" t="s">
        <v>354</v>
      </c>
      <c r="T1947" s="296" t="s">
        <v>2862</v>
      </c>
      <c r="U1947" s="296" t="s">
        <v>2928</v>
      </c>
      <c r="V1947" s="296" t="s">
        <v>355</v>
      </c>
      <c r="W1947" s="296" t="s">
        <v>928</v>
      </c>
      <c r="X1947" s="296" t="s">
        <v>928</v>
      </c>
    </row>
    <row r="1948" spans="1:24" ht="13.5" x14ac:dyDescent="0.15">
      <c r="A1948" s="296">
        <v>3762713</v>
      </c>
      <c r="B1948" s="296" t="s">
        <v>351</v>
      </c>
      <c r="C1948" s="296" t="s">
        <v>1803</v>
      </c>
      <c r="D1948" s="296" t="s">
        <v>353</v>
      </c>
      <c r="E1948" s="296" t="s">
        <v>73</v>
      </c>
      <c r="F1948" s="296">
        <v>331</v>
      </c>
      <c r="G1948" s="296" t="s">
        <v>19</v>
      </c>
      <c r="H1948" s="296" t="s">
        <v>20</v>
      </c>
      <c r="I1948" s="296" t="s">
        <v>21</v>
      </c>
      <c r="J1948" s="296" t="s">
        <v>928</v>
      </c>
      <c r="K1948" s="296" t="s">
        <v>74</v>
      </c>
      <c r="L1948" s="296">
        <v>38</v>
      </c>
      <c r="M1948" s="296" t="s">
        <v>365</v>
      </c>
      <c r="N1948" s="296">
        <v>415</v>
      </c>
      <c r="O1948" s="296">
        <v>415</v>
      </c>
      <c r="P1948" s="296">
        <v>1950</v>
      </c>
      <c r="Q1948" s="296">
        <v>2</v>
      </c>
      <c r="R1948" s="296">
        <v>90</v>
      </c>
      <c r="S1948" s="296" t="s">
        <v>354</v>
      </c>
      <c r="T1948" s="296" t="s">
        <v>2862</v>
      </c>
      <c r="U1948" s="296" t="s">
        <v>2928</v>
      </c>
      <c r="V1948" s="296" t="s">
        <v>355</v>
      </c>
      <c r="W1948" s="296" t="s">
        <v>928</v>
      </c>
      <c r="X1948" s="296" t="s">
        <v>928</v>
      </c>
    </row>
    <row r="1949" spans="1:24" ht="13.5" x14ac:dyDescent="0.15">
      <c r="A1949" s="296">
        <v>3762714</v>
      </c>
      <c r="B1949" s="296" t="s">
        <v>351</v>
      </c>
      <c r="C1949" s="296" t="s">
        <v>1803</v>
      </c>
      <c r="D1949" s="296" t="s">
        <v>353</v>
      </c>
      <c r="E1949" s="296" t="s">
        <v>61</v>
      </c>
      <c r="F1949" s="296">
        <v>331</v>
      </c>
      <c r="G1949" s="296" t="s">
        <v>19</v>
      </c>
      <c r="H1949" s="296" t="s">
        <v>20</v>
      </c>
      <c r="I1949" s="296" t="s">
        <v>21</v>
      </c>
      <c r="J1949" s="296" t="s">
        <v>928</v>
      </c>
      <c r="K1949" s="296" t="s">
        <v>62</v>
      </c>
      <c r="L1949" s="296">
        <v>38</v>
      </c>
      <c r="M1949" s="296" t="s">
        <v>63</v>
      </c>
      <c r="N1949" s="296">
        <v>1255</v>
      </c>
      <c r="O1949" s="296">
        <v>1250</v>
      </c>
      <c r="P1949" s="296">
        <v>6000</v>
      </c>
      <c r="Q1949" s="296">
        <v>2</v>
      </c>
      <c r="R1949" s="296">
        <v>50</v>
      </c>
      <c r="S1949" s="296" t="s">
        <v>354</v>
      </c>
      <c r="T1949" s="296" t="s">
        <v>2862</v>
      </c>
      <c r="U1949" s="296" t="s">
        <v>2928</v>
      </c>
      <c r="V1949" s="296" t="s">
        <v>355</v>
      </c>
      <c r="W1949" s="296" t="s">
        <v>928</v>
      </c>
      <c r="X1949" s="296" t="s">
        <v>928</v>
      </c>
    </row>
    <row r="1950" spans="1:24" ht="13.5" x14ac:dyDescent="0.15">
      <c r="A1950" s="296">
        <v>3762715</v>
      </c>
      <c r="B1950" s="296" t="s">
        <v>351</v>
      </c>
      <c r="C1950" s="296" t="s">
        <v>1796</v>
      </c>
      <c r="D1950" s="296" t="s">
        <v>353</v>
      </c>
      <c r="E1950" s="296" t="s">
        <v>668</v>
      </c>
      <c r="F1950" s="296">
        <v>3</v>
      </c>
      <c r="G1950" s="296" t="s">
        <v>19</v>
      </c>
      <c r="H1950" s="296" t="s">
        <v>28</v>
      </c>
      <c r="I1950" s="296" t="s">
        <v>21</v>
      </c>
      <c r="J1950" s="296" t="s">
        <v>928</v>
      </c>
      <c r="K1950" s="296" t="s">
        <v>102</v>
      </c>
      <c r="L1950" s="296">
        <v>50</v>
      </c>
      <c r="M1950" s="296" t="s">
        <v>103</v>
      </c>
      <c r="N1950" s="296">
        <v>1050</v>
      </c>
      <c r="O1950" s="296">
        <v>1040</v>
      </c>
      <c r="P1950" s="296">
        <v>4000</v>
      </c>
      <c r="Q1950" s="296">
        <v>2</v>
      </c>
      <c r="R1950" s="296">
        <v>5</v>
      </c>
      <c r="S1950" s="296" t="s">
        <v>354</v>
      </c>
      <c r="T1950" s="296" t="s">
        <v>2862</v>
      </c>
      <c r="U1950" s="296" t="s">
        <v>2929</v>
      </c>
      <c r="V1950" s="296" t="s">
        <v>355</v>
      </c>
      <c r="W1950" s="296" t="s">
        <v>928</v>
      </c>
      <c r="X1950" s="296" t="s">
        <v>928</v>
      </c>
    </row>
    <row r="1951" spans="1:24" ht="13.5" x14ac:dyDescent="0.15">
      <c r="A1951" s="296">
        <v>3762716</v>
      </c>
      <c r="B1951" s="296" t="s">
        <v>431</v>
      </c>
      <c r="C1951" s="296" t="s">
        <v>1803</v>
      </c>
      <c r="D1951" s="296" t="s">
        <v>353</v>
      </c>
      <c r="E1951" s="296" t="s">
        <v>378</v>
      </c>
      <c r="F1951" s="296">
        <v>3</v>
      </c>
      <c r="G1951" s="296" t="s">
        <v>265</v>
      </c>
      <c r="H1951" s="296" t="s">
        <v>20</v>
      </c>
      <c r="I1951" s="296" t="s">
        <v>21</v>
      </c>
      <c r="J1951" s="296" t="s">
        <v>928</v>
      </c>
      <c r="K1951" s="296" t="s">
        <v>99</v>
      </c>
      <c r="L1951" s="296">
        <v>25</v>
      </c>
      <c r="M1951" s="296" t="s">
        <v>100</v>
      </c>
      <c r="N1951" s="296">
        <v>500</v>
      </c>
      <c r="O1951" s="296">
        <v>500</v>
      </c>
      <c r="P1951" s="296">
        <v>4000</v>
      </c>
      <c r="Q1951" s="296">
        <v>2</v>
      </c>
      <c r="R1951" s="296">
        <v>12</v>
      </c>
      <c r="S1951" s="296" t="s">
        <v>354</v>
      </c>
      <c r="T1951" s="296" t="s">
        <v>2862</v>
      </c>
      <c r="U1951" s="296" t="s">
        <v>2929</v>
      </c>
      <c r="V1951" s="296" t="s">
        <v>355</v>
      </c>
      <c r="W1951" s="296" t="s">
        <v>928</v>
      </c>
      <c r="X1951" s="296" t="s">
        <v>928</v>
      </c>
    </row>
    <row r="1952" spans="1:24" ht="13.5" x14ac:dyDescent="0.15">
      <c r="A1952" s="296">
        <v>3762719</v>
      </c>
      <c r="B1952" s="296" t="s">
        <v>351</v>
      </c>
      <c r="C1952" s="296" t="s">
        <v>1952</v>
      </c>
      <c r="D1952" s="296" t="s">
        <v>353</v>
      </c>
      <c r="E1952" s="296" t="s">
        <v>162</v>
      </c>
      <c r="F1952" s="296">
        <v>3</v>
      </c>
      <c r="G1952" s="296" t="s">
        <v>19</v>
      </c>
      <c r="H1952" s="296" t="s">
        <v>20</v>
      </c>
      <c r="I1952" s="296" t="s">
        <v>143</v>
      </c>
      <c r="J1952" s="296" t="s">
        <v>928</v>
      </c>
      <c r="K1952" s="296" t="s">
        <v>163</v>
      </c>
      <c r="L1952" s="296">
        <v>38</v>
      </c>
      <c r="M1952" s="296" t="s">
        <v>164</v>
      </c>
      <c r="N1952" s="296">
        <v>1320</v>
      </c>
      <c r="O1952" s="296">
        <v>1320</v>
      </c>
      <c r="P1952" s="296">
        <v>4200</v>
      </c>
      <c r="Q1952" s="296">
        <v>2</v>
      </c>
      <c r="R1952" s="296">
        <v>10</v>
      </c>
      <c r="S1952" s="296" t="s">
        <v>354</v>
      </c>
      <c r="T1952" s="296" t="s">
        <v>2862</v>
      </c>
      <c r="U1952" s="296" t="s">
        <v>2923</v>
      </c>
      <c r="V1952" s="296" t="s">
        <v>355</v>
      </c>
      <c r="W1952" s="296" t="s">
        <v>928</v>
      </c>
      <c r="X1952" s="296" t="s">
        <v>928</v>
      </c>
    </row>
    <row r="1953" spans="1:24" ht="13.5" x14ac:dyDescent="0.15">
      <c r="A1953" s="296">
        <v>3762720</v>
      </c>
      <c r="B1953" s="296" t="s">
        <v>351</v>
      </c>
      <c r="C1953" s="296" t="s">
        <v>1801</v>
      </c>
      <c r="D1953" s="296" t="s">
        <v>353</v>
      </c>
      <c r="E1953" s="296" t="s">
        <v>116</v>
      </c>
      <c r="F1953" s="296">
        <v>3</v>
      </c>
      <c r="G1953" s="296" t="s">
        <v>19</v>
      </c>
      <c r="H1953" s="296" t="s">
        <v>20</v>
      </c>
      <c r="I1953" s="296" t="s">
        <v>143</v>
      </c>
      <c r="J1953" s="296" t="s">
        <v>928</v>
      </c>
      <c r="K1953" s="296" t="s">
        <v>159</v>
      </c>
      <c r="L1953" s="296">
        <v>25</v>
      </c>
      <c r="M1953" s="296" t="s">
        <v>160</v>
      </c>
      <c r="N1953" s="296">
        <v>1005</v>
      </c>
      <c r="O1953" s="296">
        <v>1000</v>
      </c>
      <c r="P1953" s="296">
        <v>4000</v>
      </c>
      <c r="Q1953" s="296">
        <v>2</v>
      </c>
      <c r="R1953" s="296">
        <v>3</v>
      </c>
      <c r="S1953" s="296" t="s">
        <v>354</v>
      </c>
      <c r="T1953" s="296" t="s">
        <v>2862</v>
      </c>
      <c r="U1953" s="296" t="s">
        <v>2924</v>
      </c>
      <c r="V1953" s="296" t="s">
        <v>355</v>
      </c>
      <c r="W1953" s="296" t="s">
        <v>928</v>
      </c>
      <c r="X1953" s="296" t="s">
        <v>928</v>
      </c>
    </row>
    <row r="1954" spans="1:24" ht="13.5" x14ac:dyDescent="0.15">
      <c r="A1954" s="296">
        <v>3762721</v>
      </c>
      <c r="B1954" s="296" t="s">
        <v>351</v>
      </c>
      <c r="C1954" s="296" t="s">
        <v>1801</v>
      </c>
      <c r="D1954" s="296" t="s">
        <v>353</v>
      </c>
      <c r="E1954" s="296" t="s">
        <v>116</v>
      </c>
      <c r="F1954" s="296">
        <v>3</v>
      </c>
      <c r="G1954" s="296" t="s">
        <v>19</v>
      </c>
      <c r="H1954" s="296" t="s">
        <v>20</v>
      </c>
      <c r="I1954" s="296" t="s">
        <v>143</v>
      </c>
      <c r="J1954" s="296" t="s">
        <v>928</v>
      </c>
      <c r="K1954" s="296" t="s">
        <v>144</v>
      </c>
      <c r="L1954" s="296">
        <v>50</v>
      </c>
      <c r="M1954" s="296" t="s">
        <v>145</v>
      </c>
      <c r="N1954" s="296">
        <v>1002</v>
      </c>
      <c r="O1954" s="296">
        <v>1000</v>
      </c>
      <c r="P1954" s="296">
        <v>4000</v>
      </c>
      <c r="Q1954" s="296">
        <v>2</v>
      </c>
      <c r="R1954" s="296">
        <v>6</v>
      </c>
      <c r="S1954" s="296" t="s">
        <v>354</v>
      </c>
      <c r="T1954" s="296" t="s">
        <v>2862</v>
      </c>
      <c r="U1954" s="296" t="s">
        <v>2924</v>
      </c>
      <c r="V1954" s="296" t="s">
        <v>355</v>
      </c>
      <c r="W1954" s="296" t="s">
        <v>928</v>
      </c>
      <c r="X1954" s="296" t="s">
        <v>928</v>
      </c>
    </row>
    <row r="1955" spans="1:24" ht="13.5" x14ac:dyDescent="0.15">
      <c r="A1955" s="296">
        <v>3762722</v>
      </c>
      <c r="B1955" s="296" t="s">
        <v>351</v>
      </c>
      <c r="C1955" s="296" t="s">
        <v>1801</v>
      </c>
      <c r="D1955" s="296" t="s">
        <v>353</v>
      </c>
      <c r="E1955" s="296" t="s">
        <v>116</v>
      </c>
      <c r="F1955" s="296">
        <v>3</v>
      </c>
      <c r="G1955" s="296" t="s">
        <v>19</v>
      </c>
      <c r="H1955" s="296" t="s">
        <v>20</v>
      </c>
      <c r="I1955" s="296" t="s">
        <v>143</v>
      </c>
      <c r="J1955" s="296" t="s">
        <v>928</v>
      </c>
      <c r="K1955" s="296" t="s">
        <v>144</v>
      </c>
      <c r="L1955" s="296">
        <v>75</v>
      </c>
      <c r="M1955" s="296" t="s">
        <v>145</v>
      </c>
      <c r="N1955" s="296">
        <v>1002</v>
      </c>
      <c r="O1955" s="296">
        <v>1000</v>
      </c>
      <c r="P1955" s="296">
        <v>3000</v>
      </c>
      <c r="Q1955" s="296">
        <v>2</v>
      </c>
      <c r="R1955" s="296">
        <v>3</v>
      </c>
      <c r="S1955" s="296" t="s">
        <v>354</v>
      </c>
      <c r="T1955" s="296" t="s">
        <v>2862</v>
      </c>
      <c r="U1955" s="296" t="s">
        <v>2924</v>
      </c>
      <c r="V1955" s="296" t="s">
        <v>355</v>
      </c>
      <c r="W1955" s="296" t="s">
        <v>928</v>
      </c>
      <c r="X1955" s="296" t="s">
        <v>928</v>
      </c>
    </row>
    <row r="1956" spans="1:24" ht="13.5" x14ac:dyDescent="0.15">
      <c r="A1956" s="296">
        <v>3762759</v>
      </c>
      <c r="B1956" s="296" t="s">
        <v>427</v>
      </c>
      <c r="C1956" s="296" t="s">
        <v>1796</v>
      </c>
      <c r="D1956" s="296" t="s">
        <v>353</v>
      </c>
      <c r="E1956" s="296" t="s">
        <v>928</v>
      </c>
      <c r="F1956" s="296">
        <v>3</v>
      </c>
      <c r="G1956" s="296" t="s">
        <v>269</v>
      </c>
      <c r="H1956" s="296" t="s">
        <v>20</v>
      </c>
      <c r="I1956" s="296" t="s">
        <v>132</v>
      </c>
      <c r="J1956" s="296" t="s">
        <v>928</v>
      </c>
      <c r="K1956" s="296">
        <v>27114</v>
      </c>
      <c r="L1956" s="296">
        <v>50</v>
      </c>
      <c r="M1956" s="296" t="s">
        <v>2933</v>
      </c>
      <c r="N1956" s="296">
        <v>1475</v>
      </c>
      <c r="O1956" s="296">
        <v>1475</v>
      </c>
      <c r="P1956" s="296">
        <v>4000</v>
      </c>
      <c r="Q1956" s="296">
        <v>2</v>
      </c>
      <c r="R1956" s="296">
        <v>1</v>
      </c>
      <c r="S1956" s="296" t="s">
        <v>354</v>
      </c>
      <c r="T1956" s="296" t="s">
        <v>2862</v>
      </c>
      <c r="U1956" s="296" t="s">
        <v>2854</v>
      </c>
      <c r="V1956" s="296" t="s">
        <v>428</v>
      </c>
      <c r="W1956" s="296" t="s">
        <v>928</v>
      </c>
      <c r="X1956" s="296" t="s">
        <v>928</v>
      </c>
    </row>
    <row r="1957" spans="1:24" ht="13.5" x14ac:dyDescent="0.15">
      <c r="A1957" s="296">
        <v>3765540</v>
      </c>
      <c r="B1957" s="296" t="s">
        <v>431</v>
      </c>
      <c r="C1957" s="296" t="s">
        <v>1796</v>
      </c>
      <c r="D1957" s="296" t="s">
        <v>353</v>
      </c>
      <c r="E1957" s="296" t="s">
        <v>1436</v>
      </c>
      <c r="F1957" s="296">
        <v>3</v>
      </c>
      <c r="G1957" s="296" t="s">
        <v>265</v>
      </c>
      <c r="H1957" s="296" t="s">
        <v>28</v>
      </c>
      <c r="I1957" s="296" t="s">
        <v>132</v>
      </c>
      <c r="J1957" s="296" t="s">
        <v>928</v>
      </c>
      <c r="K1957" s="296" t="s">
        <v>2983</v>
      </c>
      <c r="L1957" s="296">
        <v>50</v>
      </c>
      <c r="M1957" s="296" t="s">
        <v>1438</v>
      </c>
      <c r="N1957" s="296">
        <v>1300</v>
      </c>
      <c r="O1957" s="296">
        <v>1300</v>
      </c>
      <c r="P1957" s="296">
        <v>4000</v>
      </c>
      <c r="Q1957" s="296">
        <v>2</v>
      </c>
      <c r="R1957" s="296">
        <v>2</v>
      </c>
      <c r="S1957" s="296" t="s">
        <v>354</v>
      </c>
      <c r="T1957" s="296" t="s">
        <v>2982</v>
      </c>
      <c r="U1957" s="296" t="s">
        <v>2982</v>
      </c>
      <c r="V1957" s="296" t="s">
        <v>355</v>
      </c>
      <c r="W1957" s="296" t="s">
        <v>928</v>
      </c>
      <c r="X1957" s="296" t="s">
        <v>928</v>
      </c>
    </row>
    <row r="1958" spans="1:24" ht="13.5" x14ac:dyDescent="0.15">
      <c r="A1958" s="296">
        <v>3766719</v>
      </c>
      <c r="B1958" s="296" t="s">
        <v>351</v>
      </c>
      <c r="C1958" s="296" t="s">
        <v>1796</v>
      </c>
      <c r="D1958" s="296" t="s">
        <v>353</v>
      </c>
      <c r="E1958" s="296" t="s">
        <v>32</v>
      </c>
      <c r="F1958" s="296">
        <v>331</v>
      </c>
      <c r="G1958" s="296" t="s">
        <v>19</v>
      </c>
      <c r="H1958" s="296" t="s">
        <v>20</v>
      </c>
      <c r="I1958" s="296" t="s">
        <v>21</v>
      </c>
      <c r="J1958" s="296" t="s">
        <v>928</v>
      </c>
      <c r="K1958" s="296" t="s">
        <v>54</v>
      </c>
      <c r="L1958" s="296">
        <v>38</v>
      </c>
      <c r="M1958" s="296" t="s">
        <v>53</v>
      </c>
      <c r="N1958" s="296">
        <v>1580</v>
      </c>
      <c r="O1958" s="296">
        <v>1580</v>
      </c>
      <c r="P1958" s="296">
        <v>6000</v>
      </c>
      <c r="Q1958" s="296">
        <v>2</v>
      </c>
      <c r="R1958" s="296">
        <v>8</v>
      </c>
      <c r="S1958" s="296" t="s">
        <v>354</v>
      </c>
      <c r="T1958" s="296" t="s">
        <v>2925</v>
      </c>
      <c r="U1958" s="296" t="s">
        <v>2998</v>
      </c>
      <c r="V1958" s="296" t="s">
        <v>355</v>
      </c>
      <c r="W1958" s="296" t="s">
        <v>928</v>
      </c>
      <c r="X1958" s="296" t="s">
        <v>928</v>
      </c>
    </row>
    <row r="1959" spans="1:24" ht="13.5" x14ac:dyDescent="0.15">
      <c r="A1959" s="296">
        <v>3766720</v>
      </c>
      <c r="B1959" s="296" t="s">
        <v>351</v>
      </c>
      <c r="C1959" s="296" t="s">
        <v>1796</v>
      </c>
      <c r="D1959" s="296" t="s">
        <v>353</v>
      </c>
      <c r="E1959" s="296" t="s">
        <v>17</v>
      </c>
      <c r="F1959" s="296">
        <v>331</v>
      </c>
      <c r="G1959" s="296" t="s">
        <v>19</v>
      </c>
      <c r="H1959" s="296" t="s">
        <v>20</v>
      </c>
      <c r="I1959" s="296" t="s">
        <v>21</v>
      </c>
      <c r="J1959" s="296" t="s">
        <v>928</v>
      </c>
      <c r="K1959" s="296" t="s">
        <v>52</v>
      </c>
      <c r="L1959" s="296">
        <v>38</v>
      </c>
      <c r="M1959" s="296" t="s">
        <v>53</v>
      </c>
      <c r="N1959" s="296">
        <v>1330</v>
      </c>
      <c r="O1959" s="296">
        <v>1330</v>
      </c>
      <c r="P1959" s="296">
        <v>6000</v>
      </c>
      <c r="Q1959" s="296">
        <v>2</v>
      </c>
      <c r="R1959" s="296">
        <v>34</v>
      </c>
      <c r="S1959" s="296" t="s">
        <v>354</v>
      </c>
      <c r="T1959" s="296" t="s">
        <v>2925</v>
      </c>
      <c r="U1959" s="296" t="s">
        <v>2998</v>
      </c>
      <c r="V1959" s="296" t="s">
        <v>355</v>
      </c>
      <c r="W1959" s="296" t="s">
        <v>928</v>
      </c>
      <c r="X1959" s="296" t="s">
        <v>928</v>
      </c>
    </row>
    <row r="1960" spans="1:24" ht="13.5" x14ac:dyDescent="0.15">
      <c r="A1960" s="296">
        <v>3766721</v>
      </c>
      <c r="B1960" s="296" t="s">
        <v>351</v>
      </c>
      <c r="C1960" s="296" t="s">
        <v>1796</v>
      </c>
      <c r="D1960" s="296" t="s">
        <v>353</v>
      </c>
      <c r="E1960" s="296" t="s">
        <v>32</v>
      </c>
      <c r="F1960" s="296">
        <v>331</v>
      </c>
      <c r="G1960" s="296" t="s">
        <v>19</v>
      </c>
      <c r="H1960" s="296" t="s">
        <v>20</v>
      </c>
      <c r="I1960" s="296" t="s">
        <v>21</v>
      </c>
      <c r="J1960" s="296" t="s">
        <v>928</v>
      </c>
      <c r="K1960" s="296" t="s">
        <v>54</v>
      </c>
      <c r="L1960" s="296">
        <v>38</v>
      </c>
      <c r="M1960" s="296" t="s">
        <v>53</v>
      </c>
      <c r="N1960" s="296">
        <v>1330</v>
      </c>
      <c r="O1960" s="296">
        <v>1330</v>
      </c>
      <c r="P1960" s="296">
        <v>6000</v>
      </c>
      <c r="Q1960" s="296">
        <v>2</v>
      </c>
      <c r="R1960" s="296">
        <v>16</v>
      </c>
      <c r="S1960" s="296" t="s">
        <v>354</v>
      </c>
      <c r="T1960" s="296" t="s">
        <v>2925</v>
      </c>
      <c r="U1960" s="296" t="s">
        <v>2998</v>
      </c>
      <c r="V1960" s="296" t="s">
        <v>355</v>
      </c>
      <c r="W1960" s="296" t="s">
        <v>928</v>
      </c>
      <c r="X1960" s="296" t="s">
        <v>928</v>
      </c>
    </row>
    <row r="1961" spans="1:24" ht="13.5" x14ac:dyDescent="0.15">
      <c r="A1961" s="296">
        <v>3766723</v>
      </c>
      <c r="B1961" s="296" t="s">
        <v>351</v>
      </c>
      <c r="C1961" s="296" t="s">
        <v>1803</v>
      </c>
      <c r="D1961" s="296" t="s">
        <v>353</v>
      </c>
      <c r="E1961" s="296" t="s">
        <v>369</v>
      </c>
      <c r="F1961" s="296">
        <v>331</v>
      </c>
      <c r="G1961" s="296" t="s">
        <v>19</v>
      </c>
      <c r="H1961" s="296" t="s">
        <v>20</v>
      </c>
      <c r="I1961" s="296" t="s">
        <v>21</v>
      </c>
      <c r="J1961" s="296" t="s">
        <v>928</v>
      </c>
      <c r="K1961" s="296" t="s">
        <v>47</v>
      </c>
      <c r="L1961" s="296">
        <v>38</v>
      </c>
      <c r="M1961" s="296" t="s">
        <v>53</v>
      </c>
      <c r="N1961" s="296">
        <v>535</v>
      </c>
      <c r="O1961" s="296">
        <v>535</v>
      </c>
      <c r="P1961" s="296">
        <v>6000</v>
      </c>
      <c r="Q1961" s="296">
        <v>2</v>
      </c>
      <c r="R1961" s="296">
        <v>4</v>
      </c>
      <c r="S1961" s="296" t="s">
        <v>354</v>
      </c>
      <c r="T1961" s="296" t="s">
        <v>2925</v>
      </c>
      <c r="U1961" s="296" t="s">
        <v>2998</v>
      </c>
      <c r="V1961" s="296" t="s">
        <v>355</v>
      </c>
      <c r="W1961" s="296" t="s">
        <v>928</v>
      </c>
      <c r="X1961" s="296" t="s">
        <v>928</v>
      </c>
    </row>
    <row r="1962" spans="1:24" ht="13.5" x14ac:dyDescent="0.15">
      <c r="A1962" s="296">
        <v>3766724</v>
      </c>
      <c r="B1962" s="296" t="s">
        <v>431</v>
      </c>
      <c r="C1962" s="296" t="s">
        <v>1803</v>
      </c>
      <c r="D1962" s="296" t="s">
        <v>353</v>
      </c>
      <c r="E1962" s="296" t="s">
        <v>1682</v>
      </c>
      <c r="F1962" s="296">
        <v>3</v>
      </c>
      <c r="G1962" s="296" t="s">
        <v>265</v>
      </c>
      <c r="H1962" s="296" t="s">
        <v>20</v>
      </c>
      <c r="I1962" s="296" t="s">
        <v>21</v>
      </c>
      <c r="J1962" s="296" t="s">
        <v>928</v>
      </c>
      <c r="K1962" s="296" t="s">
        <v>632</v>
      </c>
      <c r="L1962" s="296">
        <v>25</v>
      </c>
      <c r="M1962" s="296" t="s">
        <v>633</v>
      </c>
      <c r="N1962" s="296">
        <v>1100</v>
      </c>
      <c r="O1962" s="296">
        <v>1100</v>
      </c>
      <c r="P1962" s="296">
        <v>4070</v>
      </c>
      <c r="Q1962" s="296">
        <v>2</v>
      </c>
      <c r="R1962" s="296">
        <v>12</v>
      </c>
      <c r="S1962" s="296" t="s">
        <v>354</v>
      </c>
      <c r="T1962" s="296" t="s">
        <v>2925</v>
      </c>
      <c r="U1962" s="296" t="s">
        <v>2998</v>
      </c>
      <c r="V1962" s="296" t="s">
        <v>355</v>
      </c>
      <c r="W1962" s="296" t="s">
        <v>928</v>
      </c>
      <c r="X1962" s="296" t="s">
        <v>928</v>
      </c>
    </row>
    <row r="1963" spans="1:24" ht="13.5" x14ac:dyDescent="0.15">
      <c r="A1963" s="296">
        <v>3766725</v>
      </c>
      <c r="B1963" s="296" t="s">
        <v>351</v>
      </c>
      <c r="C1963" s="296" t="s">
        <v>1801</v>
      </c>
      <c r="D1963" s="296" t="s">
        <v>353</v>
      </c>
      <c r="E1963" s="296" t="s">
        <v>371</v>
      </c>
      <c r="F1963" s="296">
        <v>3</v>
      </c>
      <c r="G1963" s="296" t="s">
        <v>19</v>
      </c>
      <c r="H1963" s="296" t="s">
        <v>28</v>
      </c>
      <c r="I1963" s="296" t="s">
        <v>21</v>
      </c>
      <c r="J1963" s="296" t="s">
        <v>928</v>
      </c>
      <c r="K1963" s="296" t="s">
        <v>465</v>
      </c>
      <c r="L1963" s="296">
        <v>75</v>
      </c>
      <c r="M1963" s="296" t="s">
        <v>466</v>
      </c>
      <c r="N1963" s="296">
        <v>1040</v>
      </c>
      <c r="O1963" s="296">
        <v>1040</v>
      </c>
      <c r="P1963" s="296">
        <v>4000</v>
      </c>
      <c r="Q1963" s="296">
        <v>1</v>
      </c>
      <c r="R1963" s="296">
        <v>2</v>
      </c>
      <c r="S1963" s="296" t="s">
        <v>354</v>
      </c>
      <c r="T1963" s="296" t="s">
        <v>2925</v>
      </c>
      <c r="U1963" s="296" t="s">
        <v>2998</v>
      </c>
      <c r="V1963" s="296" t="s">
        <v>355</v>
      </c>
      <c r="W1963" s="296" t="s">
        <v>928</v>
      </c>
      <c r="X1963" s="296" t="s">
        <v>928</v>
      </c>
    </row>
    <row r="1964" spans="1:24" ht="13.5" x14ac:dyDescent="0.15">
      <c r="A1964" s="296">
        <v>3766726</v>
      </c>
      <c r="B1964" s="296" t="s">
        <v>351</v>
      </c>
      <c r="C1964" s="296" t="s">
        <v>1801</v>
      </c>
      <c r="D1964" s="296" t="s">
        <v>353</v>
      </c>
      <c r="E1964" s="296" t="s">
        <v>371</v>
      </c>
      <c r="F1964" s="296">
        <v>3</v>
      </c>
      <c r="G1964" s="296" t="s">
        <v>19</v>
      </c>
      <c r="H1964" s="296" t="s">
        <v>28</v>
      </c>
      <c r="I1964" s="296" t="s">
        <v>21</v>
      </c>
      <c r="J1964" s="296" t="s">
        <v>928</v>
      </c>
      <c r="K1964" s="296" t="s">
        <v>60</v>
      </c>
      <c r="L1964" s="296">
        <v>75</v>
      </c>
      <c r="M1964" s="296" t="s">
        <v>372</v>
      </c>
      <c r="N1964" s="296">
        <v>1040</v>
      </c>
      <c r="O1964" s="296">
        <v>1040</v>
      </c>
      <c r="P1964" s="296">
        <v>4000</v>
      </c>
      <c r="Q1964" s="296">
        <v>1</v>
      </c>
      <c r="R1964" s="296">
        <v>1</v>
      </c>
      <c r="S1964" s="296" t="s">
        <v>354</v>
      </c>
      <c r="T1964" s="296" t="s">
        <v>2925</v>
      </c>
      <c r="U1964" s="296" t="s">
        <v>2998</v>
      </c>
      <c r="V1964" s="296" t="s">
        <v>355</v>
      </c>
      <c r="W1964" s="296" t="s">
        <v>928</v>
      </c>
      <c r="X1964" s="296" t="s">
        <v>928</v>
      </c>
    </row>
    <row r="1965" spans="1:24" ht="13.5" x14ac:dyDescent="0.15">
      <c r="A1965" s="296">
        <v>3766727</v>
      </c>
      <c r="B1965" s="296" t="s">
        <v>351</v>
      </c>
      <c r="C1965" s="296" t="s">
        <v>1796</v>
      </c>
      <c r="D1965" s="296" t="s">
        <v>353</v>
      </c>
      <c r="E1965" s="296" t="s">
        <v>32</v>
      </c>
      <c r="F1965" s="296">
        <v>331</v>
      </c>
      <c r="G1965" s="296" t="s">
        <v>19</v>
      </c>
      <c r="H1965" s="296" t="s">
        <v>20</v>
      </c>
      <c r="I1965" s="296" t="s">
        <v>21</v>
      </c>
      <c r="J1965" s="296" t="s">
        <v>928</v>
      </c>
      <c r="K1965" s="296" t="s">
        <v>33</v>
      </c>
      <c r="L1965" s="296">
        <v>38</v>
      </c>
      <c r="M1965" s="296" t="s">
        <v>30</v>
      </c>
      <c r="N1965" s="296">
        <v>1580</v>
      </c>
      <c r="O1965" s="296">
        <v>1580</v>
      </c>
      <c r="P1965" s="296">
        <v>6000</v>
      </c>
      <c r="Q1965" s="296">
        <v>2</v>
      </c>
      <c r="R1965" s="296">
        <v>6</v>
      </c>
      <c r="S1965" s="296" t="s">
        <v>354</v>
      </c>
      <c r="T1965" s="296" t="s">
        <v>2925</v>
      </c>
      <c r="U1965" s="296" t="s">
        <v>2999</v>
      </c>
      <c r="V1965" s="296" t="s">
        <v>355</v>
      </c>
      <c r="W1965" s="296" t="s">
        <v>928</v>
      </c>
      <c r="X1965" s="296" t="s">
        <v>928</v>
      </c>
    </row>
    <row r="1966" spans="1:24" ht="13.5" x14ac:dyDescent="0.15">
      <c r="A1966" s="296">
        <v>3766728</v>
      </c>
      <c r="B1966" s="296" t="s">
        <v>351</v>
      </c>
      <c r="C1966" s="296" t="s">
        <v>1796</v>
      </c>
      <c r="D1966" s="296" t="s">
        <v>353</v>
      </c>
      <c r="E1966" s="296" t="s">
        <v>32</v>
      </c>
      <c r="F1966" s="296">
        <v>331</v>
      </c>
      <c r="G1966" s="296" t="s">
        <v>19</v>
      </c>
      <c r="H1966" s="296" t="s">
        <v>20</v>
      </c>
      <c r="I1966" s="296" t="s">
        <v>21</v>
      </c>
      <c r="J1966" s="296" t="s">
        <v>928</v>
      </c>
      <c r="K1966" s="296" t="s">
        <v>33</v>
      </c>
      <c r="L1966" s="296">
        <v>25</v>
      </c>
      <c r="M1966" s="296" t="s">
        <v>30</v>
      </c>
      <c r="N1966" s="296">
        <v>1330</v>
      </c>
      <c r="O1966" s="296">
        <v>1330</v>
      </c>
      <c r="P1966" s="296">
        <v>6000</v>
      </c>
      <c r="Q1966" s="296">
        <v>2</v>
      </c>
      <c r="R1966" s="296">
        <v>12</v>
      </c>
      <c r="S1966" s="296" t="s">
        <v>354</v>
      </c>
      <c r="T1966" s="296" t="s">
        <v>2925</v>
      </c>
      <c r="U1966" s="296" t="s">
        <v>2999</v>
      </c>
      <c r="V1966" s="296" t="s">
        <v>355</v>
      </c>
      <c r="W1966" s="296" t="s">
        <v>928</v>
      </c>
      <c r="X1966" s="296" t="s">
        <v>928</v>
      </c>
    </row>
    <row r="1967" spans="1:24" ht="13.5" x14ac:dyDescent="0.15">
      <c r="A1967" s="296">
        <v>3766729</v>
      </c>
      <c r="B1967" s="296" t="s">
        <v>351</v>
      </c>
      <c r="C1967" s="296" t="s">
        <v>1796</v>
      </c>
      <c r="D1967" s="296" t="s">
        <v>353</v>
      </c>
      <c r="E1967" s="296" t="s">
        <v>32</v>
      </c>
      <c r="F1967" s="296">
        <v>331</v>
      </c>
      <c r="G1967" s="296" t="s">
        <v>19</v>
      </c>
      <c r="H1967" s="296" t="s">
        <v>20</v>
      </c>
      <c r="I1967" s="296" t="s">
        <v>21</v>
      </c>
      <c r="J1967" s="296" t="s">
        <v>928</v>
      </c>
      <c r="K1967" s="296" t="s">
        <v>33</v>
      </c>
      <c r="L1967" s="296">
        <v>38</v>
      </c>
      <c r="M1967" s="296" t="s">
        <v>30</v>
      </c>
      <c r="N1967" s="296">
        <v>1330</v>
      </c>
      <c r="O1967" s="296">
        <v>1330</v>
      </c>
      <c r="P1967" s="296">
        <v>3900</v>
      </c>
      <c r="Q1967" s="296">
        <v>2</v>
      </c>
      <c r="R1967" s="296">
        <v>39</v>
      </c>
      <c r="S1967" s="296" t="s">
        <v>354</v>
      </c>
      <c r="T1967" s="296" t="s">
        <v>2925</v>
      </c>
      <c r="U1967" s="296" t="s">
        <v>2999</v>
      </c>
      <c r="V1967" s="296" t="s">
        <v>355</v>
      </c>
      <c r="W1967" s="296" t="s">
        <v>928</v>
      </c>
      <c r="X1967" s="296" t="s">
        <v>928</v>
      </c>
    </row>
    <row r="1968" spans="1:24" ht="13.5" x14ac:dyDescent="0.15">
      <c r="A1968" s="296">
        <v>3766730</v>
      </c>
      <c r="B1968" s="296" t="s">
        <v>351</v>
      </c>
      <c r="C1968" s="296" t="s">
        <v>1814</v>
      </c>
      <c r="D1968" s="296" t="s">
        <v>353</v>
      </c>
      <c r="E1968" s="296" t="s">
        <v>40</v>
      </c>
      <c r="F1968" s="296">
        <v>3</v>
      </c>
      <c r="G1968" s="296" t="s">
        <v>19</v>
      </c>
      <c r="H1968" s="296" t="s">
        <v>20</v>
      </c>
      <c r="I1968" s="296" t="s">
        <v>21</v>
      </c>
      <c r="J1968" s="296" t="s">
        <v>928</v>
      </c>
      <c r="K1968" s="296" t="s">
        <v>42</v>
      </c>
      <c r="L1968" s="296">
        <v>25</v>
      </c>
      <c r="M1968" s="296" t="s">
        <v>43</v>
      </c>
      <c r="N1968" s="296">
        <v>1045</v>
      </c>
      <c r="O1968" s="296">
        <v>1040</v>
      </c>
      <c r="P1968" s="296">
        <v>6000</v>
      </c>
      <c r="Q1968" s="296">
        <v>2</v>
      </c>
      <c r="R1968" s="296">
        <v>4</v>
      </c>
      <c r="S1968" s="296" t="s">
        <v>354</v>
      </c>
      <c r="T1968" s="296" t="s">
        <v>2925</v>
      </c>
      <c r="U1968" s="296" t="s">
        <v>2999</v>
      </c>
      <c r="V1968" s="296" t="s">
        <v>355</v>
      </c>
      <c r="W1968" s="296" t="s">
        <v>928</v>
      </c>
      <c r="X1968" s="296" t="s">
        <v>928</v>
      </c>
    </row>
    <row r="1969" spans="1:24" ht="13.5" x14ac:dyDescent="0.15">
      <c r="A1969" s="296">
        <v>3766731</v>
      </c>
      <c r="B1969" s="296" t="s">
        <v>351</v>
      </c>
      <c r="C1969" s="296" t="s">
        <v>1796</v>
      </c>
      <c r="D1969" s="296" t="s">
        <v>353</v>
      </c>
      <c r="E1969" s="296" t="s">
        <v>17</v>
      </c>
      <c r="F1969" s="296">
        <v>3</v>
      </c>
      <c r="G1969" s="296" t="s">
        <v>19</v>
      </c>
      <c r="H1969" s="296" t="s">
        <v>20</v>
      </c>
      <c r="I1969" s="296" t="s">
        <v>21</v>
      </c>
      <c r="J1969" s="296" t="s">
        <v>928</v>
      </c>
      <c r="K1969" s="296" t="s">
        <v>22</v>
      </c>
      <c r="L1969" s="296">
        <v>38</v>
      </c>
      <c r="M1969" s="296" t="s">
        <v>23</v>
      </c>
      <c r="N1969" s="296">
        <v>1037</v>
      </c>
      <c r="O1969" s="296">
        <v>1030</v>
      </c>
      <c r="P1969" s="296">
        <v>8500</v>
      </c>
      <c r="Q1969" s="296">
        <v>2</v>
      </c>
      <c r="R1969" s="296">
        <v>40</v>
      </c>
      <c r="S1969" s="296" t="s">
        <v>354</v>
      </c>
      <c r="T1969" s="296" t="s">
        <v>2925</v>
      </c>
      <c r="U1969" s="296" t="s">
        <v>2999</v>
      </c>
      <c r="V1969" s="296" t="s">
        <v>355</v>
      </c>
      <c r="W1969" s="296" t="s">
        <v>928</v>
      </c>
      <c r="X1969" s="296" t="s">
        <v>928</v>
      </c>
    </row>
    <row r="1970" spans="1:24" ht="13.5" x14ac:dyDescent="0.15">
      <c r="A1970" s="296">
        <v>3766732</v>
      </c>
      <c r="B1970" s="296" t="s">
        <v>351</v>
      </c>
      <c r="C1970" s="296" t="s">
        <v>1796</v>
      </c>
      <c r="D1970" s="296" t="s">
        <v>353</v>
      </c>
      <c r="E1970" s="296" t="s">
        <v>377</v>
      </c>
      <c r="F1970" s="296">
        <v>3</v>
      </c>
      <c r="G1970" s="296" t="s">
        <v>19</v>
      </c>
      <c r="H1970" s="296" t="s">
        <v>20</v>
      </c>
      <c r="I1970" s="296" t="s">
        <v>21</v>
      </c>
      <c r="J1970" s="296" t="s">
        <v>928</v>
      </c>
      <c r="K1970" s="296" t="s">
        <v>36</v>
      </c>
      <c r="L1970" s="296">
        <v>25</v>
      </c>
      <c r="M1970" s="296" t="s">
        <v>37</v>
      </c>
      <c r="N1970" s="296">
        <v>890</v>
      </c>
      <c r="O1970" s="296">
        <v>890</v>
      </c>
      <c r="P1970" s="296">
        <v>3800</v>
      </c>
      <c r="Q1970" s="296">
        <v>2</v>
      </c>
      <c r="R1970" s="296">
        <v>15</v>
      </c>
      <c r="S1970" s="296" t="s">
        <v>354</v>
      </c>
      <c r="T1970" s="296" t="s">
        <v>2925</v>
      </c>
      <c r="U1970" s="296" t="s">
        <v>2999</v>
      </c>
      <c r="V1970" s="296" t="s">
        <v>355</v>
      </c>
      <c r="W1970" s="296" t="s">
        <v>928</v>
      </c>
      <c r="X1970" s="296" t="s">
        <v>928</v>
      </c>
    </row>
    <row r="1971" spans="1:24" ht="13.5" x14ac:dyDescent="0.15">
      <c r="A1971" s="296">
        <v>3766733</v>
      </c>
      <c r="B1971" s="296" t="s">
        <v>351</v>
      </c>
      <c r="C1971" s="296" t="s">
        <v>1801</v>
      </c>
      <c r="D1971" s="296" t="s">
        <v>353</v>
      </c>
      <c r="E1971" s="296" t="s">
        <v>116</v>
      </c>
      <c r="F1971" s="296">
        <v>3</v>
      </c>
      <c r="G1971" s="296" t="s">
        <v>19</v>
      </c>
      <c r="H1971" s="296" t="s">
        <v>20</v>
      </c>
      <c r="I1971" s="296" t="s">
        <v>21</v>
      </c>
      <c r="J1971" s="296" t="s">
        <v>928</v>
      </c>
      <c r="K1971" s="296" t="s">
        <v>118</v>
      </c>
      <c r="L1971" s="296">
        <v>38</v>
      </c>
      <c r="M1971" s="296" t="s">
        <v>368</v>
      </c>
      <c r="N1971" s="296">
        <v>1415</v>
      </c>
      <c r="O1971" s="296">
        <v>1410</v>
      </c>
      <c r="P1971" s="296">
        <v>8000</v>
      </c>
      <c r="Q1971" s="296">
        <v>2</v>
      </c>
      <c r="R1971" s="296">
        <v>8</v>
      </c>
      <c r="S1971" s="296" t="s">
        <v>354</v>
      </c>
      <c r="T1971" s="296" t="s">
        <v>2925</v>
      </c>
      <c r="U1971" s="296" t="s">
        <v>3000</v>
      </c>
      <c r="V1971" s="296" t="s">
        <v>355</v>
      </c>
      <c r="W1971" s="296" t="s">
        <v>928</v>
      </c>
      <c r="X1971" s="296" t="s">
        <v>928</v>
      </c>
    </row>
    <row r="1972" spans="1:24" ht="13.5" x14ac:dyDescent="0.15">
      <c r="A1972" s="296">
        <v>3766734</v>
      </c>
      <c r="B1972" s="296" t="s">
        <v>351</v>
      </c>
      <c r="C1972" s="296" t="s">
        <v>1796</v>
      </c>
      <c r="D1972" s="296" t="s">
        <v>353</v>
      </c>
      <c r="E1972" s="296" t="s">
        <v>114</v>
      </c>
      <c r="F1972" s="296">
        <v>331</v>
      </c>
      <c r="G1972" s="296" t="s">
        <v>19</v>
      </c>
      <c r="H1972" s="296" t="s">
        <v>20</v>
      </c>
      <c r="I1972" s="296" t="s">
        <v>21</v>
      </c>
      <c r="J1972" s="296" t="s">
        <v>928</v>
      </c>
      <c r="K1972" s="296" t="s">
        <v>112</v>
      </c>
      <c r="L1972" s="296">
        <v>25</v>
      </c>
      <c r="M1972" s="296" t="s">
        <v>357</v>
      </c>
      <c r="N1972" s="296">
        <v>640</v>
      </c>
      <c r="O1972" s="296">
        <v>640</v>
      </c>
      <c r="P1972" s="296">
        <v>2000</v>
      </c>
      <c r="Q1972" s="296">
        <v>2</v>
      </c>
      <c r="R1972" s="296">
        <v>12</v>
      </c>
      <c r="S1972" s="296" t="s">
        <v>354</v>
      </c>
      <c r="T1972" s="296" t="s">
        <v>2925</v>
      </c>
      <c r="U1972" s="296" t="s">
        <v>3000</v>
      </c>
      <c r="V1972" s="296" t="s">
        <v>355</v>
      </c>
      <c r="W1972" s="296" t="s">
        <v>928</v>
      </c>
      <c r="X1972" s="296" t="s">
        <v>928</v>
      </c>
    </row>
    <row r="1973" spans="1:24" ht="13.5" x14ac:dyDescent="0.15">
      <c r="A1973" s="296">
        <v>3766735</v>
      </c>
      <c r="B1973" s="296" t="s">
        <v>351</v>
      </c>
      <c r="C1973" s="296" t="s">
        <v>1803</v>
      </c>
      <c r="D1973" s="296" t="s">
        <v>353</v>
      </c>
      <c r="E1973" s="296" t="s">
        <v>120</v>
      </c>
      <c r="F1973" s="296">
        <v>3</v>
      </c>
      <c r="G1973" s="296" t="s">
        <v>19</v>
      </c>
      <c r="H1973" s="296" t="s">
        <v>20</v>
      </c>
      <c r="I1973" s="296" t="s">
        <v>21</v>
      </c>
      <c r="J1973" s="296" t="s">
        <v>928</v>
      </c>
      <c r="K1973" s="296" t="s">
        <v>118</v>
      </c>
      <c r="L1973" s="296">
        <v>125</v>
      </c>
      <c r="M1973" s="296" t="s">
        <v>121</v>
      </c>
      <c r="N1973" s="296">
        <v>1230</v>
      </c>
      <c r="O1973" s="296">
        <v>1225</v>
      </c>
      <c r="P1973" s="296">
        <v>1800</v>
      </c>
      <c r="Q1973" s="296">
        <v>2</v>
      </c>
      <c r="R1973" s="296">
        <v>2</v>
      </c>
      <c r="S1973" s="296" t="s">
        <v>354</v>
      </c>
      <c r="T1973" s="296" t="s">
        <v>2925</v>
      </c>
      <c r="U1973" s="296" t="s">
        <v>3000</v>
      </c>
      <c r="V1973" s="296" t="s">
        <v>355</v>
      </c>
      <c r="W1973" s="296" t="s">
        <v>928</v>
      </c>
      <c r="X1973" s="296" t="s">
        <v>928</v>
      </c>
    </row>
    <row r="1974" spans="1:24" ht="13.5" x14ac:dyDescent="0.15">
      <c r="A1974" s="296">
        <v>3766736</v>
      </c>
      <c r="B1974" s="296" t="s">
        <v>351</v>
      </c>
      <c r="C1974" s="296" t="s">
        <v>1803</v>
      </c>
      <c r="D1974" s="296" t="s">
        <v>353</v>
      </c>
      <c r="E1974" s="296" t="s">
        <v>110</v>
      </c>
      <c r="F1974" s="296">
        <v>331</v>
      </c>
      <c r="G1974" s="296" t="s">
        <v>19</v>
      </c>
      <c r="H1974" s="296" t="s">
        <v>20</v>
      </c>
      <c r="I1974" s="296" t="s">
        <v>21</v>
      </c>
      <c r="J1974" s="296" t="s">
        <v>928</v>
      </c>
      <c r="K1974" s="296" t="s">
        <v>112</v>
      </c>
      <c r="L1974" s="296">
        <v>25</v>
      </c>
      <c r="M1974" s="296" t="s">
        <v>357</v>
      </c>
      <c r="N1974" s="296">
        <v>450</v>
      </c>
      <c r="O1974" s="296">
        <v>450</v>
      </c>
      <c r="P1974" s="296">
        <v>4000</v>
      </c>
      <c r="Q1974" s="296">
        <v>2</v>
      </c>
      <c r="R1974" s="296">
        <v>12</v>
      </c>
      <c r="S1974" s="296" t="s">
        <v>354</v>
      </c>
      <c r="T1974" s="296" t="s">
        <v>2925</v>
      </c>
      <c r="U1974" s="296" t="s">
        <v>3000</v>
      </c>
      <c r="V1974" s="296" t="s">
        <v>355</v>
      </c>
      <c r="W1974" s="296" t="s">
        <v>928</v>
      </c>
      <c r="X1974" s="296" t="s">
        <v>928</v>
      </c>
    </row>
    <row r="1975" spans="1:24" ht="13.5" x14ac:dyDescent="0.15">
      <c r="A1975" s="296">
        <v>3766737</v>
      </c>
      <c r="B1975" s="296" t="s">
        <v>351</v>
      </c>
      <c r="C1975" s="296" t="s">
        <v>1801</v>
      </c>
      <c r="D1975" s="296" t="s">
        <v>353</v>
      </c>
      <c r="E1975" s="296" t="s">
        <v>116</v>
      </c>
      <c r="F1975" s="296">
        <v>3</v>
      </c>
      <c r="G1975" s="296" t="s">
        <v>19</v>
      </c>
      <c r="H1975" s="296" t="s">
        <v>20</v>
      </c>
      <c r="I1975" s="296" t="s">
        <v>21</v>
      </c>
      <c r="J1975" s="296" t="s">
        <v>928</v>
      </c>
      <c r="K1975" s="296" t="s">
        <v>118</v>
      </c>
      <c r="L1975" s="296">
        <v>38</v>
      </c>
      <c r="M1975" s="296" t="s">
        <v>368</v>
      </c>
      <c r="N1975" s="296">
        <v>1005</v>
      </c>
      <c r="O1975" s="296">
        <v>1000</v>
      </c>
      <c r="P1975" s="296">
        <v>8000</v>
      </c>
      <c r="Q1975" s="296">
        <v>2</v>
      </c>
      <c r="R1975" s="296">
        <v>5</v>
      </c>
      <c r="S1975" s="296" t="s">
        <v>354</v>
      </c>
      <c r="T1975" s="296" t="s">
        <v>2925</v>
      </c>
      <c r="U1975" s="296" t="s">
        <v>3000</v>
      </c>
      <c r="V1975" s="296" t="s">
        <v>355</v>
      </c>
      <c r="W1975" s="296" t="s">
        <v>928</v>
      </c>
      <c r="X1975" s="296" t="s">
        <v>928</v>
      </c>
    </row>
    <row r="1976" spans="1:24" ht="13.5" x14ac:dyDescent="0.15">
      <c r="A1976" s="296">
        <v>3766738</v>
      </c>
      <c r="B1976" s="296" t="s">
        <v>351</v>
      </c>
      <c r="C1976" s="296" t="s">
        <v>1796</v>
      </c>
      <c r="D1976" s="296" t="s">
        <v>353</v>
      </c>
      <c r="E1976" s="296" t="s">
        <v>1436</v>
      </c>
      <c r="F1976" s="296">
        <v>3</v>
      </c>
      <c r="G1976" s="296" t="s">
        <v>19</v>
      </c>
      <c r="H1976" s="296" t="s">
        <v>28</v>
      </c>
      <c r="I1976" s="296" t="s">
        <v>132</v>
      </c>
      <c r="J1976" s="296" t="s">
        <v>928</v>
      </c>
      <c r="K1976" s="296" t="s">
        <v>1521</v>
      </c>
      <c r="L1976" s="296">
        <v>75</v>
      </c>
      <c r="M1976" s="296" t="s">
        <v>1438</v>
      </c>
      <c r="N1976" s="296">
        <v>1400</v>
      </c>
      <c r="O1976" s="296">
        <v>1400</v>
      </c>
      <c r="P1976" s="296">
        <v>4200</v>
      </c>
      <c r="Q1976" s="296">
        <v>2</v>
      </c>
      <c r="R1976" s="296">
        <v>22</v>
      </c>
      <c r="S1976" s="296" t="s">
        <v>354</v>
      </c>
      <c r="T1976" s="296" t="s">
        <v>2925</v>
      </c>
      <c r="U1976" s="296" t="s">
        <v>3001</v>
      </c>
      <c r="V1976" s="296" t="s">
        <v>355</v>
      </c>
      <c r="W1976" s="296" t="s">
        <v>928</v>
      </c>
      <c r="X1976" s="296" t="s">
        <v>928</v>
      </c>
    </row>
    <row r="1977" spans="1:24" ht="13.5" x14ac:dyDescent="0.15">
      <c r="A1977" s="296">
        <v>3766739</v>
      </c>
      <c r="B1977" s="296" t="s">
        <v>431</v>
      </c>
      <c r="C1977" s="296" t="s">
        <v>1796</v>
      </c>
      <c r="D1977" s="296" t="s">
        <v>353</v>
      </c>
      <c r="E1977" s="296" t="s">
        <v>1436</v>
      </c>
      <c r="F1977" s="296">
        <v>3</v>
      </c>
      <c r="G1977" s="296" t="s">
        <v>265</v>
      </c>
      <c r="H1977" s="296" t="s">
        <v>28</v>
      </c>
      <c r="I1977" s="296" t="s">
        <v>132</v>
      </c>
      <c r="J1977" s="296" t="s">
        <v>928</v>
      </c>
      <c r="K1977" s="296" t="s">
        <v>2983</v>
      </c>
      <c r="L1977" s="296">
        <v>50</v>
      </c>
      <c r="M1977" s="296" t="s">
        <v>1438</v>
      </c>
      <c r="N1977" s="296">
        <v>1300</v>
      </c>
      <c r="O1977" s="296">
        <v>1300</v>
      </c>
      <c r="P1977" s="296">
        <v>4000</v>
      </c>
      <c r="Q1977" s="296">
        <v>2</v>
      </c>
      <c r="R1977" s="296">
        <v>27</v>
      </c>
      <c r="S1977" s="296" t="s">
        <v>354</v>
      </c>
      <c r="T1977" s="296" t="s">
        <v>2925</v>
      </c>
      <c r="U1977" s="296" t="s">
        <v>3001</v>
      </c>
      <c r="V1977" s="296" t="s">
        <v>355</v>
      </c>
      <c r="W1977" s="296" t="s">
        <v>928</v>
      </c>
      <c r="X1977" s="296" t="s">
        <v>928</v>
      </c>
    </row>
    <row r="1978" spans="1:24" ht="13.5" x14ac:dyDescent="0.15">
      <c r="A1978" s="296">
        <v>3766740</v>
      </c>
      <c r="B1978" s="296" t="s">
        <v>431</v>
      </c>
      <c r="C1978" s="296" t="s">
        <v>1796</v>
      </c>
      <c r="D1978" s="296" t="s">
        <v>353</v>
      </c>
      <c r="E1978" s="296" t="s">
        <v>1436</v>
      </c>
      <c r="F1978" s="296">
        <v>3</v>
      </c>
      <c r="G1978" s="296" t="s">
        <v>265</v>
      </c>
      <c r="H1978" s="296" t="s">
        <v>28</v>
      </c>
      <c r="I1978" s="296" t="s">
        <v>132</v>
      </c>
      <c r="J1978" s="296" t="s">
        <v>928</v>
      </c>
      <c r="K1978" s="296" t="s">
        <v>2983</v>
      </c>
      <c r="L1978" s="296">
        <v>50</v>
      </c>
      <c r="M1978" s="296" t="s">
        <v>1438</v>
      </c>
      <c r="N1978" s="296">
        <v>1300</v>
      </c>
      <c r="O1978" s="296">
        <v>1300</v>
      </c>
      <c r="P1978" s="296">
        <v>4100</v>
      </c>
      <c r="Q1978" s="296">
        <v>2</v>
      </c>
      <c r="R1978" s="296">
        <v>3</v>
      </c>
      <c r="S1978" s="296" t="s">
        <v>354</v>
      </c>
      <c r="T1978" s="296" t="s">
        <v>2925</v>
      </c>
      <c r="U1978" s="296" t="s">
        <v>3001</v>
      </c>
      <c r="V1978" s="296" t="s">
        <v>355</v>
      </c>
      <c r="W1978" s="296" t="s">
        <v>928</v>
      </c>
      <c r="X1978" s="296" t="s">
        <v>928</v>
      </c>
    </row>
    <row r="1979" spans="1:24" ht="13.5" x14ac:dyDescent="0.15">
      <c r="A1979" s="296">
        <v>3766741</v>
      </c>
      <c r="B1979" s="296" t="s">
        <v>351</v>
      </c>
      <c r="C1979" s="296" t="s">
        <v>1952</v>
      </c>
      <c r="D1979" s="296" t="s">
        <v>353</v>
      </c>
      <c r="E1979" s="296" t="s">
        <v>162</v>
      </c>
      <c r="F1979" s="296">
        <v>3</v>
      </c>
      <c r="G1979" s="296" t="s">
        <v>19</v>
      </c>
      <c r="H1979" s="296" t="s">
        <v>20</v>
      </c>
      <c r="I1979" s="296" t="s">
        <v>143</v>
      </c>
      <c r="J1979" s="296" t="s">
        <v>928</v>
      </c>
      <c r="K1979" s="296" t="s">
        <v>163</v>
      </c>
      <c r="L1979" s="296">
        <v>38</v>
      </c>
      <c r="M1979" s="296" t="s">
        <v>164</v>
      </c>
      <c r="N1979" s="296">
        <v>1320</v>
      </c>
      <c r="O1979" s="296">
        <v>1320</v>
      </c>
      <c r="P1979" s="296">
        <v>4200</v>
      </c>
      <c r="Q1979" s="296">
        <v>2</v>
      </c>
      <c r="R1979" s="296">
        <v>10</v>
      </c>
      <c r="S1979" s="296" t="s">
        <v>354</v>
      </c>
      <c r="T1979" s="296" t="s">
        <v>2925</v>
      </c>
      <c r="U1979" s="296" t="s">
        <v>2999</v>
      </c>
      <c r="V1979" s="296" t="s">
        <v>355</v>
      </c>
      <c r="W1979" s="296" t="s">
        <v>928</v>
      </c>
      <c r="X1979" s="296" t="s">
        <v>928</v>
      </c>
    </row>
    <row r="1980" spans="1:24" ht="13.5" x14ac:dyDescent="0.15">
      <c r="A1980" s="296">
        <v>3766771</v>
      </c>
      <c r="B1980" s="296" t="s">
        <v>351</v>
      </c>
      <c r="C1980" s="296" t="s">
        <v>1796</v>
      </c>
      <c r="D1980" s="296" t="s">
        <v>353</v>
      </c>
      <c r="E1980" s="296" t="s">
        <v>32</v>
      </c>
      <c r="F1980" s="296">
        <v>3</v>
      </c>
      <c r="G1980" s="296" t="s">
        <v>19</v>
      </c>
      <c r="H1980" s="296" t="s">
        <v>20</v>
      </c>
      <c r="I1980" s="296" t="s">
        <v>21</v>
      </c>
      <c r="J1980" s="296" t="s">
        <v>928</v>
      </c>
      <c r="K1980" s="296" t="s">
        <v>56</v>
      </c>
      <c r="L1980" s="296">
        <v>75</v>
      </c>
      <c r="M1980" s="296" t="s">
        <v>376</v>
      </c>
      <c r="N1980" s="296">
        <v>1330</v>
      </c>
      <c r="O1980" s="296">
        <v>1330</v>
      </c>
      <c r="P1980" s="296">
        <v>3900</v>
      </c>
      <c r="Q1980" s="296">
        <v>2</v>
      </c>
      <c r="R1980" s="296">
        <v>80</v>
      </c>
      <c r="S1980" s="296" t="s">
        <v>354</v>
      </c>
      <c r="T1980" s="296" t="s">
        <v>2925</v>
      </c>
      <c r="U1980" s="296" t="s">
        <v>2998</v>
      </c>
      <c r="V1980" s="296" t="s">
        <v>355</v>
      </c>
      <c r="W1980" s="296" t="s">
        <v>928</v>
      </c>
      <c r="X1980" s="296" t="s">
        <v>928</v>
      </c>
    </row>
    <row r="1981" spans="1:24" ht="13.5" x14ac:dyDescent="0.15">
      <c r="A1981" s="296">
        <v>3767086</v>
      </c>
      <c r="B1981" s="296" t="s">
        <v>351</v>
      </c>
      <c r="C1981" s="296" t="s">
        <v>1796</v>
      </c>
      <c r="D1981" s="296" t="s">
        <v>353</v>
      </c>
      <c r="E1981" s="296" t="s">
        <v>17</v>
      </c>
      <c r="F1981" s="296">
        <v>331</v>
      </c>
      <c r="G1981" s="296" t="s">
        <v>19</v>
      </c>
      <c r="H1981" s="296" t="s">
        <v>20</v>
      </c>
      <c r="I1981" s="296" t="s">
        <v>21</v>
      </c>
      <c r="J1981" s="296" t="s">
        <v>928</v>
      </c>
      <c r="K1981" s="296" t="s">
        <v>29</v>
      </c>
      <c r="L1981" s="296">
        <v>38</v>
      </c>
      <c r="M1981" s="296" t="s">
        <v>30</v>
      </c>
      <c r="N1981" s="296">
        <v>1330</v>
      </c>
      <c r="O1981" s="296">
        <v>1330</v>
      </c>
      <c r="P1981" s="296">
        <v>6000</v>
      </c>
      <c r="Q1981" s="296">
        <v>2</v>
      </c>
      <c r="R1981" s="296">
        <v>10</v>
      </c>
      <c r="S1981" s="296" t="s">
        <v>354</v>
      </c>
      <c r="T1981" s="296" t="s">
        <v>3013</v>
      </c>
      <c r="U1981" s="296" t="s">
        <v>2999</v>
      </c>
      <c r="V1981" s="296" t="s">
        <v>355</v>
      </c>
      <c r="W1981" s="296" t="s">
        <v>928</v>
      </c>
      <c r="X1981" s="296" t="s">
        <v>928</v>
      </c>
    </row>
    <row r="1982" spans="1:24" ht="13.5" x14ac:dyDescent="0.15">
      <c r="A1982" s="296">
        <v>3768141</v>
      </c>
      <c r="B1982" s="296" t="s">
        <v>351</v>
      </c>
      <c r="C1982" s="296" t="s">
        <v>1952</v>
      </c>
      <c r="D1982" s="296" t="s">
        <v>353</v>
      </c>
      <c r="E1982" s="296" t="s">
        <v>162</v>
      </c>
      <c r="F1982" s="296">
        <v>3</v>
      </c>
      <c r="G1982" s="296" t="s">
        <v>19</v>
      </c>
      <c r="H1982" s="296" t="s">
        <v>20</v>
      </c>
      <c r="I1982" s="296" t="s">
        <v>143</v>
      </c>
      <c r="J1982" s="296" t="s">
        <v>928</v>
      </c>
      <c r="K1982" s="296" t="s">
        <v>163</v>
      </c>
      <c r="L1982" s="296">
        <v>38</v>
      </c>
      <c r="M1982" s="296" t="s">
        <v>164</v>
      </c>
      <c r="N1982" s="296">
        <v>1320</v>
      </c>
      <c r="O1982" s="296">
        <v>1320</v>
      </c>
      <c r="P1982" s="296">
        <v>3700</v>
      </c>
      <c r="Q1982" s="296">
        <v>2</v>
      </c>
      <c r="R1982" s="296">
        <v>10</v>
      </c>
      <c r="S1982" s="296" t="s">
        <v>354</v>
      </c>
      <c r="T1982" s="296" t="s">
        <v>2923</v>
      </c>
      <c r="U1982" s="296" t="s">
        <v>2999</v>
      </c>
      <c r="V1982" s="296" t="s">
        <v>355</v>
      </c>
      <c r="W1982" s="296" t="s">
        <v>928</v>
      </c>
      <c r="X1982" s="296" t="s">
        <v>928</v>
      </c>
    </row>
    <row r="1983" spans="1:24" ht="13.5" x14ac:dyDescent="0.15">
      <c r="A1983" s="296">
        <v>3770518</v>
      </c>
      <c r="B1983" s="296" t="s">
        <v>351</v>
      </c>
      <c r="C1983" s="296" t="s">
        <v>1803</v>
      </c>
      <c r="D1983" s="296" t="s">
        <v>353</v>
      </c>
      <c r="E1983" s="296" t="s">
        <v>373</v>
      </c>
      <c r="F1983" s="296">
        <v>3</v>
      </c>
      <c r="G1983" s="296" t="s">
        <v>19</v>
      </c>
      <c r="H1983" s="296" t="s">
        <v>20</v>
      </c>
      <c r="I1983" s="296" t="s">
        <v>21</v>
      </c>
      <c r="J1983" s="296" t="s">
        <v>928</v>
      </c>
      <c r="K1983" s="296" t="s">
        <v>80</v>
      </c>
      <c r="L1983" s="296">
        <v>31</v>
      </c>
      <c r="M1983" s="296" t="s">
        <v>374</v>
      </c>
      <c r="N1983" s="296">
        <v>440</v>
      </c>
      <c r="O1983" s="296">
        <v>440</v>
      </c>
      <c r="P1983" s="296">
        <v>6500</v>
      </c>
      <c r="Q1983" s="296">
        <v>1</v>
      </c>
      <c r="R1983" s="296">
        <v>60</v>
      </c>
      <c r="S1983" s="296" t="s">
        <v>354</v>
      </c>
      <c r="T1983" s="296" t="s">
        <v>3103</v>
      </c>
      <c r="U1983" s="296" t="s">
        <v>3104</v>
      </c>
      <c r="V1983" s="296" t="s">
        <v>355</v>
      </c>
      <c r="W1983" s="296" t="s">
        <v>928</v>
      </c>
      <c r="X1983" s="296" t="s">
        <v>928</v>
      </c>
    </row>
    <row r="1984" spans="1:24" ht="13.5" x14ac:dyDescent="0.15">
      <c r="A1984" s="296">
        <v>3770519</v>
      </c>
      <c r="B1984" s="296" t="s">
        <v>351</v>
      </c>
      <c r="C1984" s="296" t="s">
        <v>1796</v>
      </c>
      <c r="D1984" s="296" t="s">
        <v>353</v>
      </c>
      <c r="E1984" s="296" t="s">
        <v>83</v>
      </c>
      <c r="F1984" s="296" t="s">
        <v>86</v>
      </c>
      <c r="G1984" s="296" t="s">
        <v>19</v>
      </c>
      <c r="H1984" s="296" t="s">
        <v>20</v>
      </c>
      <c r="I1984" s="296" t="s">
        <v>21</v>
      </c>
      <c r="J1984" s="296" t="s">
        <v>928</v>
      </c>
      <c r="K1984" s="296" t="s">
        <v>84</v>
      </c>
      <c r="L1984" s="296">
        <v>38</v>
      </c>
      <c r="M1984" s="296" t="s">
        <v>85</v>
      </c>
      <c r="N1984" s="296">
        <v>1265</v>
      </c>
      <c r="O1984" s="296">
        <v>1265</v>
      </c>
      <c r="P1984" s="296">
        <v>4000</v>
      </c>
      <c r="Q1984" s="296">
        <v>2</v>
      </c>
      <c r="R1984" s="296">
        <v>12</v>
      </c>
      <c r="S1984" s="296" t="s">
        <v>354</v>
      </c>
      <c r="T1984" s="296" t="s">
        <v>3103</v>
      </c>
      <c r="U1984" s="296" t="s">
        <v>3104</v>
      </c>
      <c r="V1984" s="296" t="s">
        <v>355</v>
      </c>
      <c r="W1984" s="296" t="s">
        <v>928</v>
      </c>
      <c r="X1984" s="296" t="s">
        <v>928</v>
      </c>
    </row>
    <row r="1985" spans="1:24" ht="13.5" x14ac:dyDescent="0.15">
      <c r="A1985" s="296">
        <v>3770520</v>
      </c>
      <c r="B1985" s="296" t="s">
        <v>351</v>
      </c>
      <c r="C1985" s="296" t="s">
        <v>1796</v>
      </c>
      <c r="D1985" s="296" t="s">
        <v>353</v>
      </c>
      <c r="E1985" s="296" t="s">
        <v>2855</v>
      </c>
      <c r="F1985" s="296">
        <v>3</v>
      </c>
      <c r="G1985" s="296" t="s">
        <v>19</v>
      </c>
      <c r="H1985" s="296" t="s">
        <v>20</v>
      </c>
      <c r="I1985" s="296" t="s">
        <v>21</v>
      </c>
      <c r="J1985" s="296" t="s">
        <v>928</v>
      </c>
      <c r="K1985" s="296" t="s">
        <v>88</v>
      </c>
      <c r="L1985" s="296">
        <v>125</v>
      </c>
      <c r="M1985" s="296" t="s">
        <v>361</v>
      </c>
      <c r="N1985" s="296">
        <v>200</v>
      </c>
      <c r="O1985" s="296">
        <v>200</v>
      </c>
      <c r="P1985" s="296">
        <v>400</v>
      </c>
      <c r="Q1985" s="296">
        <v>1</v>
      </c>
      <c r="R1985" s="296">
        <v>24</v>
      </c>
      <c r="S1985" s="296" t="s">
        <v>354</v>
      </c>
      <c r="T1985" s="296" t="s">
        <v>3103</v>
      </c>
      <c r="U1985" s="296" t="s">
        <v>3104</v>
      </c>
      <c r="V1985" s="296" t="s">
        <v>355</v>
      </c>
      <c r="W1985" s="296" t="s">
        <v>928</v>
      </c>
      <c r="X1985" s="296" t="s">
        <v>928</v>
      </c>
    </row>
    <row r="1986" spans="1:24" ht="13.5" x14ac:dyDescent="0.15">
      <c r="A1986" s="296">
        <v>3770521</v>
      </c>
      <c r="B1986" s="296" t="s">
        <v>351</v>
      </c>
      <c r="C1986" s="296" t="s">
        <v>1803</v>
      </c>
      <c r="D1986" s="296" t="s">
        <v>353</v>
      </c>
      <c r="E1986" s="296" t="s">
        <v>95</v>
      </c>
      <c r="F1986" s="296" t="s">
        <v>96</v>
      </c>
      <c r="G1986" s="296" t="s">
        <v>19</v>
      </c>
      <c r="H1986" s="296" t="s">
        <v>20</v>
      </c>
      <c r="I1986" s="296" t="s">
        <v>21</v>
      </c>
      <c r="J1986" s="296" t="s">
        <v>928</v>
      </c>
      <c r="K1986" s="296" t="s">
        <v>88</v>
      </c>
      <c r="L1986" s="296">
        <v>188</v>
      </c>
      <c r="M1986" s="296" t="s">
        <v>361</v>
      </c>
      <c r="N1986" s="296">
        <v>360</v>
      </c>
      <c r="O1986" s="296">
        <v>360</v>
      </c>
      <c r="P1986" s="296">
        <v>250</v>
      </c>
      <c r="Q1986" s="296">
        <v>1</v>
      </c>
      <c r="R1986" s="296">
        <v>72</v>
      </c>
      <c r="S1986" s="296" t="s">
        <v>354</v>
      </c>
      <c r="T1986" s="296" t="s">
        <v>3103</v>
      </c>
      <c r="U1986" s="296" t="s">
        <v>3104</v>
      </c>
      <c r="V1986" s="296" t="s">
        <v>355</v>
      </c>
      <c r="W1986" s="296" t="s">
        <v>928</v>
      </c>
      <c r="X1986" s="296" t="s">
        <v>928</v>
      </c>
    </row>
    <row r="1987" spans="1:24" ht="13.5" x14ac:dyDescent="0.15">
      <c r="A1987" s="296">
        <v>3770522</v>
      </c>
      <c r="B1987" s="296" t="s">
        <v>351</v>
      </c>
      <c r="C1987" s="296" t="s">
        <v>1803</v>
      </c>
      <c r="D1987" s="296" t="s">
        <v>353</v>
      </c>
      <c r="E1987" s="296" t="s">
        <v>95</v>
      </c>
      <c r="F1987" s="296">
        <v>3</v>
      </c>
      <c r="G1987" s="296" t="s">
        <v>19</v>
      </c>
      <c r="H1987" s="296" t="s">
        <v>20</v>
      </c>
      <c r="I1987" s="296" t="s">
        <v>21</v>
      </c>
      <c r="J1987" s="296" t="s">
        <v>928</v>
      </c>
      <c r="K1987" s="296" t="s">
        <v>88</v>
      </c>
      <c r="L1987" s="296">
        <v>188</v>
      </c>
      <c r="M1987" s="296" t="s">
        <v>361</v>
      </c>
      <c r="N1987" s="296">
        <v>1230</v>
      </c>
      <c r="O1987" s="296">
        <v>1220</v>
      </c>
      <c r="P1987" s="296">
        <v>800</v>
      </c>
      <c r="Q1987" s="296">
        <v>2</v>
      </c>
      <c r="R1987" s="296">
        <v>10</v>
      </c>
      <c r="S1987" s="296" t="s">
        <v>354</v>
      </c>
      <c r="T1987" s="296" t="s">
        <v>3103</v>
      </c>
      <c r="U1987" s="296" t="s">
        <v>3104</v>
      </c>
      <c r="V1987" s="296" t="s">
        <v>355</v>
      </c>
      <c r="W1987" s="296" t="s">
        <v>928</v>
      </c>
      <c r="X1987" s="296" t="s">
        <v>928</v>
      </c>
    </row>
    <row r="1988" spans="1:24" ht="13.5" x14ac:dyDescent="0.15">
      <c r="A1988" s="296">
        <v>3770523</v>
      </c>
      <c r="B1988" s="296" t="s">
        <v>351</v>
      </c>
      <c r="C1988" s="296" t="s">
        <v>1803</v>
      </c>
      <c r="D1988" s="296" t="s">
        <v>353</v>
      </c>
      <c r="E1988" s="296" t="s">
        <v>362</v>
      </c>
      <c r="F1988" s="296">
        <v>3</v>
      </c>
      <c r="G1988" s="296" t="s">
        <v>19</v>
      </c>
      <c r="H1988" s="296" t="s">
        <v>20</v>
      </c>
      <c r="I1988" s="296" t="s">
        <v>21</v>
      </c>
      <c r="J1988" s="296" t="s">
        <v>928</v>
      </c>
      <c r="K1988" s="296" t="s">
        <v>88</v>
      </c>
      <c r="L1988" s="296">
        <v>188</v>
      </c>
      <c r="M1988" s="296" t="s">
        <v>361</v>
      </c>
      <c r="N1988" s="296">
        <v>1130</v>
      </c>
      <c r="O1988" s="296">
        <v>1130</v>
      </c>
      <c r="P1988" s="296">
        <v>1620</v>
      </c>
      <c r="Q1988" s="296">
        <v>2</v>
      </c>
      <c r="R1988" s="296">
        <v>6</v>
      </c>
      <c r="S1988" s="296" t="s">
        <v>354</v>
      </c>
      <c r="T1988" s="296" t="s">
        <v>3103</v>
      </c>
      <c r="U1988" s="296" t="s">
        <v>3104</v>
      </c>
      <c r="V1988" s="296" t="s">
        <v>355</v>
      </c>
      <c r="W1988" s="296" t="s">
        <v>928</v>
      </c>
      <c r="X1988" s="296" t="s">
        <v>928</v>
      </c>
    </row>
    <row r="1989" spans="1:24" ht="13.5" x14ac:dyDescent="0.15">
      <c r="A1989" s="296">
        <v>3770524</v>
      </c>
      <c r="B1989" s="296" t="s">
        <v>351</v>
      </c>
      <c r="C1989" s="296" t="s">
        <v>1803</v>
      </c>
      <c r="D1989" s="296" t="s">
        <v>353</v>
      </c>
      <c r="E1989" s="296" t="s">
        <v>362</v>
      </c>
      <c r="F1989" s="296">
        <v>3</v>
      </c>
      <c r="G1989" s="296" t="s">
        <v>19</v>
      </c>
      <c r="H1989" s="296" t="s">
        <v>20</v>
      </c>
      <c r="I1989" s="296" t="s">
        <v>21</v>
      </c>
      <c r="J1989" s="296" t="s">
        <v>928</v>
      </c>
      <c r="K1989" s="296" t="s">
        <v>88</v>
      </c>
      <c r="L1989" s="296">
        <v>100</v>
      </c>
      <c r="M1989" s="296" t="s">
        <v>361</v>
      </c>
      <c r="N1989" s="296">
        <v>330</v>
      </c>
      <c r="O1989" s="296">
        <v>330</v>
      </c>
      <c r="P1989" s="296">
        <v>550</v>
      </c>
      <c r="Q1989" s="296">
        <v>1</v>
      </c>
      <c r="R1989" s="296">
        <v>60</v>
      </c>
      <c r="S1989" s="296" t="s">
        <v>354</v>
      </c>
      <c r="T1989" s="296" t="s">
        <v>3103</v>
      </c>
      <c r="U1989" s="296" t="s">
        <v>3104</v>
      </c>
      <c r="V1989" s="296" t="s">
        <v>355</v>
      </c>
      <c r="W1989" s="296" t="s">
        <v>928</v>
      </c>
      <c r="X1989" s="296" t="s">
        <v>928</v>
      </c>
    </row>
    <row r="1990" spans="1:24" ht="13.5" x14ac:dyDescent="0.15">
      <c r="A1990" s="296">
        <v>3770525</v>
      </c>
      <c r="B1990" s="296" t="s">
        <v>351</v>
      </c>
      <c r="C1990" s="296" t="s">
        <v>1801</v>
      </c>
      <c r="D1990" s="296" t="s">
        <v>353</v>
      </c>
      <c r="E1990" s="296" t="s">
        <v>93</v>
      </c>
      <c r="F1990" s="296">
        <v>331</v>
      </c>
      <c r="G1990" s="296" t="s">
        <v>19</v>
      </c>
      <c r="H1990" s="296" t="s">
        <v>20</v>
      </c>
      <c r="I1990" s="296" t="s">
        <v>21</v>
      </c>
      <c r="J1990" s="296" t="s">
        <v>928</v>
      </c>
      <c r="K1990" s="296" t="s">
        <v>88</v>
      </c>
      <c r="L1990" s="296">
        <v>100</v>
      </c>
      <c r="M1990" s="296" t="s">
        <v>361</v>
      </c>
      <c r="N1990" s="296">
        <v>450</v>
      </c>
      <c r="O1990" s="296">
        <v>450</v>
      </c>
      <c r="P1990" s="296">
        <v>800</v>
      </c>
      <c r="Q1990" s="296">
        <v>2</v>
      </c>
      <c r="R1990" s="296">
        <v>36</v>
      </c>
      <c r="S1990" s="296" t="s">
        <v>354</v>
      </c>
      <c r="T1990" s="296" t="s">
        <v>3103</v>
      </c>
      <c r="U1990" s="296" t="s">
        <v>3104</v>
      </c>
      <c r="V1990" s="296" t="s">
        <v>355</v>
      </c>
      <c r="W1990" s="296" t="s">
        <v>928</v>
      </c>
      <c r="X1990" s="296" t="s">
        <v>928</v>
      </c>
    </row>
    <row r="1991" spans="1:24" ht="13.5" x14ac:dyDescent="0.15">
      <c r="A1991" s="296">
        <v>3770526</v>
      </c>
      <c r="B1991" s="296" t="s">
        <v>351</v>
      </c>
      <c r="C1991" s="296" t="s">
        <v>1796</v>
      </c>
      <c r="D1991" s="296" t="s">
        <v>353</v>
      </c>
      <c r="E1991" s="296" t="s">
        <v>130</v>
      </c>
      <c r="F1991" s="296">
        <v>330</v>
      </c>
      <c r="G1991" s="296" t="s">
        <v>19</v>
      </c>
      <c r="H1991" s="296" t="s">
        <v>20</v>
      </c>
      <c r="I1991" s="296" t="s">
        <v>21</v>
      </c>
      <c r="J1991" s="296" t="s">
        <v>928</v>
      </c>
      <c r="K1991" s="296" t="s">
        <v>2337</v>
      </c>
      <c r="L1991" s="296">
        <v>25</v>
      </c>
      <c r="M1991" s="296" t="s">
        <v>2338</v>
      </c>
      <c r="N1991" s="296">
        <v>1420</v>
      </c>
      <c r="O1991" s="296">
        <v>1420</v>
      </c>
      <c r="P1991" s="296">
        <v>12400</v>
      </c>
      <c r="Q1991" s="296">
        <v>2</v>
      </c>
      <c r="R1991" s="296">
        <v>3</v>
      </c>
      <c r="S1991" s="296" t="s">
        <v>354</v>
      </c>
      <c r="T1991" s="296" t="s">
        <v>3103</v>
      </c>
      <c r="U1991" s="296" t="s">
        <v>3105</v>
      </c>
      <c r="V1991" s="296" t="s">
        <v>355</v>
      </c>
      <c r="W1991" s="296" t="s">
        <v>928</v>
      </c>
      <c r="X1991" s="296" t="s">
        <v>928</v>
      </c>
    </row>
    <row r="1992" spans="1:24" ht="13.5" x14ac:dyDescent="0.15">
      <c r="A1992" s="296">
        <v>3770527</v>
      </c>
      <c r="B1992" s="296" t="s">
        <v>351</v>
      </c>
      <c r="C1992" s="296" t="s">
        <v>1796</v>
      </c>
      <c r="D1992" s="296" t="s">
        <v>353</v>
      </c>
      <c r="E1992" s="296" t="s">
        <v>114</v>
      </c>
      <c r="F1992" s="296">
        <v>331</v>
      </c>
      <c r="G1992" s="296" t="s">
        <v>19</v>
      </c>
      <c r="H1992" s="296" t="s">
        <v>20</v>
      </c>
      <c r="I1992" s="296" t="s">
        <v>21</v>
      </c>
      <c r="J1992" s="296" t="s">
        <v>928</v>
      </c>
      <c r="K1992" s="296" t="s">
        <v>112</v>
      </c>
      <c r="L1992" s="296">
        <v>25</v>
      </c>
      <c r="M1992" s="296" t="s">
        <v>357</v>
      </c>
      <c r="N1992" s="296">
        <v>640</v>
      </c>
      <c r="O1992" s="296">
        <v>640</v>
      </c>
      <c r="P1992" s="296">
        <v>2000</v>
      </c>
      <c r="Q1992" s="296">
        <v>2</v>
      </c>
      <c r="R1992" s="296">
        <v>12</v>
      </c>
      <c r="S1992" s="296" t="s">
        <v>354</v>
      </c>
      <c r="T1992" s="296" t="s">
        <v>3103</v>
      </c>
      <c r="U1992" s="296" t="s">
        <v>3105</v>
      </c>
      <c r="V1992" s="296" t="s">
        <v>355</v>
      </c>
      <c r="W1992" s="296" t="s">
        <v>928</v>
      </c>
      <c r="X1992" s="296" t="s">
        <v>928</v>
      </c>
    </row>
    <row r="1993" spans="1:24" ht="13.5" x14ac:dyDescent="0.15">
      <c r="A1993" s="296">
        <v>3770528</v>
      </c>
      <c r="B1993" s="296" t="s">
        <v>351</v>
      </c>
      <c r="C1993" s="296" t="s">
        <v>1796</v>
      </c>
      <c r="D1993" s="296" t="s">
        <v>353</v>
      </c>
      <c r="E1993" s="296" t="s">
        <v>17</v>
      </c>
      <c r="F1993" s="296">
        <v>3</v>
      </c>
      <c r="G1993" s="296" t="s">
        <v>19</v>
      </c>
      <c r="H1993" s="296" t="s">
        <v>20</v>
      </c>
      <c r="I1993" s="296" t="s">
        <v>21</v>
      </c>
      <c r="J1993" s="296" t="s">
        <v>928</v>
      </c>
      <c r="K1993" s="296" t="s">
        <v>104</v>
      </c>
      <c r="L1993" s="296">
        <v>25</v>
      </c>
      <c r="M1993" s="296" t="s">
        <v>375</v>
      </c>
      <c r="N1993" s="296">
        <v>1325</v>
      </c>
      <c r="O1993" s="296">
        <v>1320</v>
      </c>
      <c r="P1993" s="296">
        <v>6000</v>
      </c>
      <c r="Q1993" s="296">
        <v>2</v>
      </c>
      <c r="R1993" s="296">
        <v>8</v>
      </c>
      <c r="S1993" s="296" t="s">
        <v>354</v>
      </c>
      <c r="T1993" s="296" t="s">
        <v>3103</v>
      </c>
      <c r="U1993" s="296" t="s">
        <v>3105</v>
      </c>
      <c r="V1993" s="296" t="s">
        <v>355</v>
      </c>
      <c r="W1993" s="296" t="s">
        <v>928</v>
      </c>
      <c r="X1993" s="296" t="s">
        <v>928</v>
      </c>
    </row>
    <row r="1994" spans="1:24" ht="13.5" x14ac:dyDescent="0.15">
      <c r="A1994" s="296">
        <v>3770529</v>
      </c>
      <c r="B1994" s="296" t="s">
        <v>351</v>
      </c>
      <c r="C1994" s="296" t="s">
        <v>1796</v>
      </c>
      <c r="D1994" s="296" t="s">
        <v>353</v>
      </c>
      <c r="E1994" s="296" t="s">
        <v>106</v>
      </c>
      <c r="F1994" s="296">
        <v>3</v>
      </c>
      <c r="G1994" s="296" t="s">
        <v>19</v>
      </c>
      <c r="H1994" s="296" t="s">
        <v>20</v>
      </c>
      <c r="I1994" s="296" t="s">
        <v>21</v>
      </c>
      <c r="J1994" s="296" t="s">
        <v>928</v>
      </c>
      <c r="K1994" s="296" t="s">
        <v>107</v>
      </c>
      <c r="L1994" s="296">
        <v>38</v>
      </c>
      <c r="M1994" s="296" t="s">
        <v>367</v>
      </c>
      <c r="N1994" s="296">
        <v>1240</v>
      </c>
      <c r="O1994" s="296">
        <v>1240</v>
      </c>
      <c r="P1994" s="296">
        <v>5800</v>
      </c>
      <c r="Q1994" s="296">
        <v>2</v>
      </c>
      <c r="R1994" s="296">
        <v>5</v>
      </c>
      <c r="S1994" s="296" t="s">
        <v>354</v>
      </c>
      <c r="T1994" s="296" t="s">
        <v>3103</v>
      </c>
      <c r="U1994" s="296" t="s">
        <v>3105</v>
      </c>
      <c r="V1994" s="296" t="s">
        <v>355</v>
      </c>
      <c r="W1994" s="296" t="s">
        <v>928</v>
      </c>
      <c r="X1994" s="296" t="s">
        <v>928</v>
      </c>
    </row>
    <row r="1995" spans="1:24" ht="13.5" x14ac:dyDescent="0.15">
      <c r="A1995" s="296">
        <v>3770530</v>
      </c>
      <c r="B1995" s="296" t="s">
        <v>351</v>
      </c>
      <c r="C1995" s="296" t="s">
        <v>1796</v>
      </c>
      <c r="D1995" s="296" t="s">
        <v>353</v>
      </c>
      <c r="E1995" s="296" t="s">
        <v>106</v>
      </c>
      <c r="F1995" s="296">
        <v>3</v>
      </c>
      <c r="G1995" s="296" t="s">
        <v>19</v>
      </c>
      <c r="H1995" s="296" t="s">
        <v>20</v>
      </c>
      <c r="I1995" s="296" t="s">
        <v>21</v>
      </c>
      <c r="J1995" s="296" t="s">
        <v>928</v>
      </c>
      <c r="K1995" s="296" t="s">
        <v>107</v>
      </c>
      <c r="L1995" s="296">
        <v>38</v>
      </c>
      <c r="M1995" s="296" t="s">
        <v>367</v>
      </c>
      <c r="N1995" s="296">
        <v>1240</v>
      </c>
      <c r="O1995" s="296">
        <v>1240</v>
      </c>
      <c r="P1995" s="296">
        <v>3600</v>
      </c>
      <c r="Q1995" s="296">
        <v>2</v>
      </c>
      <c r="R1995" s="296">
        <v>14</v>
      </c>
      <c r="S1995" s="296" t="s">
        <v>354</v>
      </c>
      <c r="T1995" s="296" t="s">
        <v>3103</v>
      </c>
      <c r="U1995" s="296" t="s">
        <v>3105</v>
      </c>
      <c r="V1995" s="296" t="s">
        <v>355</v>
      </c>
      <c r="W1995" s="296" t="s">
        <v>928</v>
      </c>
      <c r="X1995" s="296" t="s">
        <v>928</v>
      </c>
    </row>
    <row r="1996" spans="1:24" ht="13.5" x14ac:dyDescent="0.15">
      <c r="A1996" s="296">
        <v>3770531</v>
      </c>
      <c r="B1996" s="296" t="s">
        <v>351</v>
      </c>
      <c r="C1996" s="296" t="s">
        <v>1803</v>
      </c>
      <c r="D1996" s="296" t="s">
        <v>353</v>
      </c>
      <c r="E1996" s="296" t="s">
        <v>2755</v>
      </c>
      <c r="F1996" s="296">
        <v>3</v>
      </c>
      <c r="G1996" s="296" t="s">
        <v>19</v>
      </c>
      <c r="H1996" s="296" t="s">
        <v>20</v>
      </c>
      <c r="I1996" s="296" t="s">
        <v>21</v>
      </c>
      <c r="J1996" s="296" t="s">
        <v>928</v>
      </c>
      <c r="K1996" s="296" t="s">
        <v>118</v>
      </c>
      <c r="L1996" s="296">
        <v>25</v>
      </c>
      <c r="M1996" s="296" t="s">
        <v>119</v>
      </c>
      <c r="N1996" s="296">
        <v>1100</v>
      </c>
      <c r="O1996" s="296">
        <v>1100</v>
      </c>
      <c r="P1996" s="296">
        <v>12000</v>
      </c>
      <c r="Q1996" s="296">
        <v>2</v>
      </c>
      <c r="R1996" s="296">
        <v>3</v>
      </c>
      <c r="S1996" s="296" t="s">
        <v>354</v>
      </c>
      <c r="T1996" s="296" t="s">
        <v>3103</v>
      </c>
      <c r="U1996" s="296" t="s">
        <v>3105</v>
      </c>
      <c r="V1996" s="296" t="s">
        <v>355</v>
      </c>
      <c r="W1996" s="296" t="s">
        <v>928</v>
      </c>
      <c r="X1996" s="296" t="s">
        <v>928</v>
      </c>
    </row>
    <row r="1997" spans="1:24" ht="13.5" x14ac:dyDescent="0.15">
      <c r="A1997" s="296">
        <v>3770532</v>
      </c>
      <c r="B1997" s="296" t="s">
        <v>351</v>
      </c>
      <c r="C1997" s="296" t="s">
        <v>1796</v>
      </c>
      <c r="D1997" s="296" t="s">
        <v>353</v>
      </c>
      <c r="E1997" s="296" t="s">
        <v>17</v>
      </c>
      <c r="F1997" s="296">
        <v>3</v>
      </c>
      <c r="G1997" s="296" t="s">
        <v>19</v>
      </c>
      <c r="H1997" s="296" t="s">
        <v>20</v>
      </c>
      <c r="I1997" s="296" t="s">
        <v>21</v>
      </c>
      <c r="J1997" s="296" t="s">
        <v>928</v>
      </c>
      <c r="K1997" s="296" t="s">
        <v>104</v>
      </c>
      <c r="L1997" s="296">
        <v>25</v>
      </c>
      <c r="M1997" s="296" t="s">
        <v>375</v>
      </c>
      <c r="N1997" s="296">
        <v>1100</v>
      </c>
      <c r="O1997" s="296">
        <v>1100</v>
      </c>
      <c r="P1997" s="296">
        <v>12000</v>
      </c>
      <c r="Q1997" s="296">
        <v>2</v>
      </c>
      <c r="R1997" s="296">
        <v>4</v>
      </c>
      <c r="S1997" s="296" t="s">
        <v>354</v>
      </c>
      <c r="T1997" s="296" t="s">
        <v>3103</v>
      </c>
      <c r="U1997" s="296" t="s">
        <v>3105</v>
      </c>
      <c r="V1997" s="296" t="s">
        <v>355</v>
      </c>
      <c r="W1997" s="296" t="s">
        <v>928</v>
      </c>
      <c r="X1997" s="296" t="s">
        <v>928</v>
      </c>
    </row>
    <row r="1998" spans="1:24" ht="13.5" x14ac:dyDescent="0.15">
      <c r="A1998" s="296">
        <v>3770533</v>
      </c>
      <c r="B1998" s="296" t="s">
        <v>351</v>
      </c>
      <c r="C1998" s="296" t="s">
        <v>1796</v>
      </c>
      <c r="D1998" s="296" t="s">
        <v>353</v>
      </c>
      <c r="E1998" s="296" t="s">
        <v>17</v>
      </c>
      <c r="F1998" s="296">
        <v>3</v>
      </c>
      <c r="G1998" s="296" t="s">
        <v>19</v>
      </c>
      <c r="H1998" s="296" t="s">
        <v>20</v>
      </c>
      <c r="I1998" s="296" t="s">
        <v>21</v>
      </c>
      <c r="J1998" s="296" t="s">
        <v>928</v>
      </c>
      <c r="K1998" s="296" t="s">
        <v>104</v>
      </c>
      <c r="L1998" s="296">
        <v>25</v>
      </c>
      <c r="M1998" s="296" t="s">
        <v>375</v>
      </c>
      <c r="N1998" s="296">
        <v>1050</v>
      </c>
      <c r="O1998" s="296">
        <v>1050</v>
      </c>
      <c r="P1998" s="296">
        <v>12000</v>
      </c>
      <c r="Q1998" s="296">
        <v>2</v>
      </c>
      <c r="R1998" s="296">
        <v>12</v>
      </c>
      <c r="S1998" s="296" t="s">
        <v>354</v>
      </c>
      <c r="T1998" s="296" t="s">
        <v>3103</v>
      </c>
      <c r="U1998" s="296" t="s">
        <v>3105</v>
      </c>
      <c r="V1998" s="296" t="s">
        <v>355</v>
      </c>
      <c r="W1998" s="296" t="s">
        <v>928</v>
      </c>
      <c r="X1998" s="296" t="s">
        <v>928</v>
      </c>
    </row>
    <row r="1999" spans="1:24" ht="13.5" x14ac:dyDescent="0.15">
      <c r="A1999" s="296">
        <v>3770534</v>
      </c>
      <c r="B1999" s="296" t="s">
        <v>351</v>
      </c>
      <c r="C1999" s="296" t="s">
        <v>1803</v>
      </c>
      <c r="D1999" s="296" t="s">
        <v>353</v>
      </c>
      <c r="E1999" s="296" t="s">
        <v>110</v>
      </c>
      <c r="F1999" s="296">
        <v>331</v>
      </c>
      <c r="G1999" s="296" t="s">
        <v>19</v>
      </c>
      <c r="H1999" s="296" t="s">
        <v>20</v>
      </c>
      <c r="I1999" s="296" t="s">
        <v>21</v>
      </c>
      <c r="J1999" s="296" t="s">
        <v>928</v>
      </c>
      <c r="K1999" s="296" t="s">
        <v>112</v>
      </c>
      <c r="L1999" s="296">
        <v>25</v>
      </c>
      <c r="M1999" s="296" t="s">
        <v>357</v>
      </c>
      <c r="N1999" s="296">
        <v>450</v>
      </c>
      <c r="O1999" s="296">
        <v>450</v>
      </c>
      <c r="P1999" s="296">
        <v>4000</v>
      </c>
      <c r="Q1999" s="296">
        <v>2</v>
      </c>
      <c r="R1999" s="296">
        <v>6</v>
      </c>
      <c r="S1999" s="296" t="s">
        <v>354</v>
      </c>
      <c r="T1999" s="296" t="s">
        <v>3103</v>
      </c>
      <c r="U1999" s="296" t="s">
        <v>3105</v>
      </c>
      <c r="V1999" s="296" t="s">
        <v>355</v>
      </c>
      <c r="W1999" s="296" t="s">
        <v>928</v>
      </c>
      <c r="X1999" s="296" t="s">
        <v>928</v>
      </c>
    </row>
    <row r="2000" spans="1:24" ht="13.5" x14ac:dyDescent="0.15">
      <c r="A2000" s="296">
        <v>3770535</v>
      </c>
      <c r="B2000" s="296" t="s">
        <v>351</v>
      </c>
      <c r="C2000" s="296" t="s">
        <v>1796</v>
      </c>
      <c r="D2000" s="296" t="s">
        <v>353</v>
      </c>
      <c r="E2000" s="296" t="s">
        <v>106</v>
      </c>
      <c r="F2000" s="296">
        <v>3</v>
      </c>
      <c r="G2000" s="296" t="s">
        <v>19</v>
      </c>
      <c r="H2000" s="296" t="s">
        <v>20</v>
      </c>
      <c r="I2000" s="296" t="s">
        <v>21</v>
      </c>
      <c r="J2000" s="296" t="s">
        <v>928</v>
      </c>
      <c r="K2000" s="296" t="s">
        <v>107</v>
      </c>
      <c r="L2000" s="296">
        <v>25</v>
      </c>
      <c r="M2000" s="296" t="s">
        <v>367</v>
      </c>
      <c r="N2000" s="296">
        <v>1040</v>
      </c>
      <c r="O2000" s="296">
        <v>1040</v>
      </c>
      <c r="P2000" s="296">
        <v>6000</v>
      </c>
      <c r="Q2000" s="296">
        <v>2</v>
      </c>
      <c r="R2000" s="296">
        <v>48</v>
      </c>
      <c r="S2000" s="296" t="s">
        <v>354</v>
      </c>
      <c r="T2000" s="296" t="s">
        <v>3103</v>
      </c>
      <c r="U2000" s="296" t="s">
        <v>3105</v>
      </c>
      <c r="V2000" s="296" t="s">
        <v>355</v>
      </c>
      <c r="W2000" s="296" t="s">
        <v>928</v>
      </c>
      <c r="X2000" s="296" t="s">
        <v>928</v>
      </c>
    </row>
    <row r="2001" spans="1:24" ht="13.5" x14ac:dyDescent="0.15">
      <c r="A2001" s="296">
        <v>3770536</v>
      </c>
      <c r="B2001" s="296" t="s">
        <v>351</v>
      </c>
      <c r="C2001" s="296" t="s">
        <v>1796</v>
      </c>
      <c r="D2001" s="296" t="s">
        <v>353</v>
      </c>
      <c r="E2001" s="296" t="s">
        <v>17</v>
      </c>
      <c r="F2001" s="296">
        <v>331</v>
      </c>
      <c r="G2001" s="296" t="s">
        <v>19</v>
      </c>
      <c r="H2001" s="296" t="s">
        <v>20</v>
      </c>
      <c r="I2001" s="296" t="s">
        <v>21</v>
      </c>
      <c r="J2001" s="296" t="s">
        <v>928</v>
      </c>
      <c r="K2001" s="296" t="s">
        <v>52</v>
      </c>
      <c r="L2001" s="296">
        <v>38</v>
      </c>
      <c r="M2001" s="296" t="s">
        <v>53</v>
      </c>
      <c r="N2001" s="296">
        <v>1330</v>
      </c>
      <c r="O2001" s="296">
        <v>1330</v>
      </c>
      <c r="P2001" s="296">
        <v>6000</v>
      </c>
      <c r="Q2001" s="296">
        <v>2</v>
      </c>
      <c r="R2001" s="296">
        <v>40</v>
      </c>
      <c r="S2001" s="296" t="s">
        <v>354</v>
      </c>
      <c r="T2001" s="296" t="s">
        <v>3103</v>
      </c>
      <c r="U2001" s="296" t="s">
        <v>3106</v>
      </c>
      <c r="V2001" s="296" t="s">
        <v>355</v>
      </c>
      <c r="W2001" s="296" t="s">
        <v>928</v>
      </c>
      <c r="X2001" s="296" t="s">
        <v>928</v>
      </c>
    </row>
    <row r="2002" spans="1:24" ht="13.5" x14ac:dyDescent="0.15">
      <c r="A2002" s="296">
        <v>3770537</v>
      </c>
      <c r="B2002" s="296" t="s">
        <v>351</v>
      </c>
      <c r="C2002" s="296" t="s">
        <v>1796</v>
      </c>
      <c r="D2002" s="296" t="s">
        <v>353</v>
      </c>
      <c r="E2002" s="296" t="s">
        <v>32</v>
      </c>
      <c r="F2002" s="296">
        <v>331</v>
      </c>
      <c r="G2002" s="296" t="s">
        <v>19</v>
      </c>
      <c r="H2002" s="296" t="s">
        <v>20</v>
      </c>
      <c r="I2002" s="296" t="s">
        <v>21</v>
      </c>
      <c r="J2002" s="296" t="s">
        <v>928</v>
      </c>
      <c r="K2002" s="296" t="s">
        <v>54</v>
      </c>
      <c r="L2002" s="296">
        <v>38</v>
      </c>
      <c r="M2002" s="296" t="s">
        <v>53</v>
      </c>
      <c r="N2002" s="296">
        <v>1330</v>
      </c>
      <c r="O2002" s="296">
        <v>1330</v>
      </c>
      <c r="P2002" s="296">
        <v>6000</v>
      </c>
      <c r="Q2002" s="296">
        <v>2</v>
      </c>
      <c r="R2002" s="296">
        <v>22</v>
      </c>
      <c r="S2002" s="296" t="s">
        <v>354</v>
      </c>
      <c r="T2002" s="296" t="s">
        <v>3103</v>
      </c>
      <c r="U2002" s="296" t="s">
        <v>3106</v>
      </c>
      <c r="V2002" s="296" t="s">
        <v>355</v>
      </c>
      <c r="W2002" s="296" t="s">
        <v>928</v>
      </c>
      <c r="X2002" s="296" t="s">
        <v>928</v>
      </c>
    </row>
    <row r="2003" spans="1:24" ht="13.5" x14ac:dyDescent="0.15">
      <c r="A2003" s="296">
        <v>3770538</v>
      </c>
      <c r="B2003" s="296" t="s">
        <v>431</v>
      </c>
      <c r="C2003" s="296" t="s">
        <v>1803</v>
      </c>
      <c r="D2003" s="296" t="s">
        <v>353</v>
      </c>
      <c r="E2003" s="296" t="s">
        <v>1682</v>
      </c>
      <c r="F2003" s="296">
        <v>3</v>
      </c>
      <c r="G2003" s="296" t="s">
        <v>265</v>
      </c>
      <c r="H2003" s="296" t="s">
        <v>20</v>
      </c>
      <c r="I2003" s="296" t="s">
        <v>21</v>
      </c>
      <c r="J2003" s="296" t="s">
        <v>928</v>
      </c>
      <c r="K2003" s="296" t="s">
        <v>632</v>
      </c>
      <c r="L2003" s="296">
        <v>25</v>
      </c>
      <c r="M2003" s="296" t="s">
        <v>633</v>
      </c>
      <c r="N2003" s="296">
        <v>1100</v>
      </c>
      <c r="O2003" s="296">
        <v>1100</v>
      </c>
      <c r="P2003" s="296">
        <v>4070</v>
      </c>
      <c r="Q2003" s="296">
        <v>2</v>
      </c>
      <c r="R2003" s="296">
        <v>27</v>
      </c>
      <c r="S2003" s="296" t="s">
        <v>354</v>
      </c>
      <c r="T2003" s="296" t="s">
        <v>3103</v>
      </c>
      <c r="U2003" s="296" t="s">
        <v>3106</v>
      </c>
      <c r="V2003" s="296" t="s">
        <v>355</v>
      </c>
      <c r="W2003" s="296" t="s">
        <v>928</v>
      </c>
      <c r="X2003" s="296" t="s">
        <v>928</v>
      </c>
    </row>
    <row r="2004" spans="1:24" ht="13.5" x14ac:dyDescent="0.15">
      <c r="A2004" s="296">
        <v>3770539</v>
      </c>
      <c r="B2004" s="296" t="s">
        <v>351</v>
      </c>
      <c r="C2004" s="296" t="s">
        <v>1801</v>
      </c>
      <c r="D2004" s="296" t="s">
        <v>353</v>
      </c>
      <c r="E2004" s="296" t="s">
        <v>371</v>
      </c>
      <c r="F2004" s="296">
        <v>3</v>
      </c>
      <c r="G2004" s="296" t="s">
        <v>19</v>
      </c>
      <c r="H2004" s="296" t="s">
        <v>28</v>
      </c>
      <c r="I2004" s="296" t="s">
        <v>21</v>
      </c>
      <c r="J2004" s="296" t="s">
        <v>928</v>
      </c>
      <c r="K2004" s="296" t="s">
        <v>60</v>
      </c>
      <c r="L2004" s="296">
        <v>75</v>
      </c>
      <c r="M2004" s="296" t="s">
        <v>372</v>
      </c>
      <c r="N2004" s="296">
        <v>1040</v>
      </c>
      <c r="O2004" s="296">
        <v>1040</v>
      </c>
      <c r="P2004" s="296">
        <v>4000</v>
      </c>
      <c r="Q2004" s="296">
        <v>1</v>
      </c>
      <c r="R2004" s="296">
        <v>2</v>
      </c>
      <c r="S2004" s="296" t="s">
        <v>354</v>
      </c>
      <c r="T2004" s="296" t="s">
        <v>3103</v>
      </c>
      <c r="U2004" s="296" t="s">
        <v>3106</v>
      </c>
      <c r="V2004" s="296" t="s">
        <v>355</v>
      </c>
      <c r="W2004" s="296" t="s">
        <v>928</v>
      </c>
      <c r="X2004" s="296" t="s">
        <v>928</v>
      </c>
    </row>
    <row r="2005" spans="1:24" ht="13.5" x14ac:dyDescent="0.15">
      <c r="A2005" s="296">
        <v>3770540</v>
      </c>
      <c r="B2005" s="296" t="s">
        <v>351</v>
      </c>
      <c r="C2005" s="296" t="s">
        <v>1803</v>
      </c>
      <c r="D2005" s="296" t="s">
        <v>353</v>
      </c>
      <c r="E2005" s="296" t="s">
        <v>369</v>
      </c>
      <c r="F2005" s="296">
        <v>331</v>
      </c>
      <c r="G2005" s="296" t="s">
        <v>19</v>
      </c>
      <c r="H2005" s="296" t="s">
        <v>20</v>
      </c>
      <c r="I2005" s="296" t="s">
        <v>21</v>
      </c>
      <c r="J2005" s="296" t="s">
        <v>928</v>
      </c>
      <c r="K2005" s="296" t="s">
        <v>47</v>
      </c>
      <c r="L2005" s="296">
        <v>38</v>
      </c>
      <c r="M2005" s="296" t="s">
        <v>53</v>
      </c>
      <c r="N2005" s="296">
        <v>535</v>
      </c>
      <c r="O2005" s="296">
        <v>535</v>
      </c>
      <c r="P2005" s="296">
        <v>6000</v>
      </c>
      <c r="Q2005" s="296">
        <v>2</v>
      </c>
      <c r="R2005" s="296">
        <v>4</v>
      </c>
      <c r="S2005" s="296" t="s">
        <v>354</v>
      </c>
      <c r="T2005" s="296" t="s">
        <v>3103</v>
      </c>
      <c r="U2005" s="296" t="s">
        <v>3106</v>
      </c>
      <c r="V2005" s="296" t="s">
        <v>355</v>
      </c>
      <c r="W2005" s="296" t="s">
        <v>928</v>
      </c>
      <c r="X2005" s="296" t="s">
        <v>928</v>
      </c>
    </row>
    <row r="2006" spans="1:24" ht="13.5" x14ac:dyDescent="0.15">
      <c r="A2006" s="296">
        <v>3770541</v>
      </c>
      <c r="B2006" s="296" t="s">
        <v>351</v>
      </c>
      <c r="C2006" s="296" t="s">
        <v>1796</v>
      </c>
      <c r="D2006" s="296" t="s">
        <v>353</v>
      </c>
      <c r="E2006" s="296" t="s">
        <v>32</v>
      </c>
      <c r="F2006" s="296">
        <v>331</v>
      </c>
      <c r="G2006" s="296" t="s">
        <v>19</v>
      </c>
      <c r="H2006" s="296" t="s">
        <v>20</v>
      </c>
      <c r="I2006" s="296" t="s">
        <v>21</v>
      </c>
      <c r="J2006" s="296" t="s">
        <v>928</v>
      </c>
      <c r="K2006" s="296" t="s">
        <v>33</v>
      </c>
      <c r="L2006" s="296">
        <v>25</v>
      </c>
      <c r="M2006" s="296" t="s">
        <v>30</v>
      </c>
      <c r="N2006" s="296">
        <v>1330</v>
      </c>
      <c r="O2006" s="296">
        <v>1330</v>
      </c>
      <c r="P2006" s="296">
        <v>6000</v>
      </c>
      <c r="Q2006" s="296">
        <v>2</v>
      </c>
      <c r="R2006" s="296">
        <v>8</v>
      </c>
      <c r="S2006" s="296" t="s">
        <v>354</v>
      </c>
      <c r="T2006" s="296" t="s">
        <v>3103</v>
      </c>
      <c r="U2006" s="296" t="s">
        <v>3106</v>
      </c>
      <c r="V2006" s="296" t="s">
        <v>355</v>
      </c>
      <c r="W2006" s="296" t="s">
        <v>928</v>
      </c>
      <c r="X2006" s="296" t="s">
        <v>928</v>
      </c>
    </row>
    <row r="2007" spans="1:24" ht="13.5" x14ac:dyDescent="0.15">
      <c r="A2007" s="296">
        <v>3770542</v>
      </c>
      <c r="B2007" s="296" t="s">
        <v>351</v>
      </c>
      <c r="C2007" s="296" t="s">
        <v>1796</v>
      </c>
      <c r="D2007" s="296" t="s">
        <v>353</v>
      </c>
      <c r="E2007" s="296" t="s">
        <v>32</v>
      </c>
      <c r="F2007" s="296">
        <v>330</v>
      </c>
      <c r="G2007" s="296" t="s">
        <v>19</v>
      </c>
      <c r="H2007" s="296" t="s">
        <v>20</v>
      </c>
      <c r="I2007" s="296" t="s">
        <v>21</v>
      </c>
      <c r="J2007" s="296" t="s">
        <v>928</v>
      </c>
      <c r="K2007" s="296" t="s">
        <v>33</v>
      </c>
      <c r="L2007" s="296">
        <v>38</v>
      </c>
      <c r="M2007" s="296" t="s">
        <v>30</v>
      </c>
      <c r="N2007" s="296">
        <v>1330</v>
      </c>
      <c r="O2007" s="296">
        <v>1330</v>
      </c>
      <c r="P2007" s="296">
        <v>3900</v>
      </c>
      <c r="Q2007" s="296">
        <v>2</v>
      </c>
      <c r="R2007" s="296">
        <v>21</v>
      </c>
      <c r="S2007" s="296" t="s">
        <v>354</v>
      </c>
      <c r="T2007" s="296" t="s">
        <v>3103</v>
      </c>
      <c r="U2007" s="296" t="s">
        <v>3106</v>
      </c>
      <c r="V2007" s="296" t="s">
        <v>355</v>
      </c>
      <c r="W2007" s="296" t="s">
        <v>928</v>
      </c>
      <c r="X2007" s="296" t="s">
        <v>928</v>
      </c>
    </row>
    <row r="2008" spans="1:24" ht="13.5" x14ac:dyDescent="0.15">
      <c r="A2008" s="296">
        <v>3770543</v>
      </c>
      <c r="B2008" s="296" t="s">
        <v>351</v>
      </c>
      <c r="C2008" s="296" t="s">
        <v>1796</v>
      </c>
      <c r="D2008" s="296" t="s">
        <v>353</v>
      </c>
      <c r="E2008" s="296" t="s">
        <v>17</v>
      </c>
      <c r="F2008" s="296">
        <v>3</v>
      </c>
      <c r="G2008" s="296" t="s">
        <v>19</v>
      </c>
      <c r="H2008" s="296" t="s">
        <v>20</v>
      </c>
      <c r="I2008" s="296" t="s">
        <v>21</v>
      </c>
      <c r="J2008" s="296" t="s">
        <v>928</v>
      </c>
      <c r="K2008" s="296" t="s">
        <v>22</v>
      </c>
      <c r="L2008" s="296">
        <v>38</v>
      </c>
      <c r="M2008" s="296" t="s">
        <v>23</v>
      </c>
      <c r="N2008" s="296">
        <v>1057</v>
      </c>
      <c r="O2008" s="296">
        <v>1050</v>
      </c>
      <c r="P2008" s="296">
        <v>8400</v>
      </c>
      <c r="Q2008" s="296">
        <v>2</v>
      </c>
      <c r="R2008" s="296">
        <v>6</v>
      </c>
      <c r="S2008" s="296" t="s">
        <v>354</v>
      </c>
      <c r="T2008" s="296" t="s">
        <v>3103</v>
      </c>
      <c r="U2008" s="296" t="s">
        <v>3106</v>
      </c>
      <c r="V2008" s="296" t="s">
        <v>355</v>
      </c>
      <c r="W2008" s="296" t="s">
        <v>928</v>
      </c>
      <c r="X2008" s="296" t="s">
        <v>928</v>
      </c>
    </row>
    <row r="2009" spans="1:24" ht="13.5" x14ac:dyDescent="0.15">
      <c r="A2009" s="296">
        <v>3770544</v>
      </c>
      <c r="B2009" s="296" t="s">
        <v>351</v>
      </c>
      <c r="C2009" s="296" t="s">
        <v>1796</v>
      </c>
      <c r="D2009" s="296" t="s">
        <v>353</v>
      </c>
      <c r="E2009" s="296" t="s">
        <v>17</v>
      </c>
      <c r="F2009" s="296">
        <v>3</v>
      </c>
      <c r="G2009" s="296" t="s">
        <v>19</v>
      </c>
      <c r="H2009" s="296" t="s">
        <v>20</v>
      </c>
      <c r="I2009" s="296" t="s">
        <v>21</v>
      </c>
      <c r="J2009" s="296" t="s">
        <v>928</v>
      </c>
      <c r="K2009" s="296" t="s">
        <v>22</v>
      </c>
      <c r="L2009" s="296">
        <v>38</v>
      </c>
      <c r="M2009" s="296" t="s">
        <v>23</v>
      </c>
      <c r="N2009" s="296">
        <v>1037</v>
      </c>
      <c r="O2009" s="296">
        <v>1030</v>
      </c>
      <c r="P2009" s="296">
        <v>8500</v>
      </c>
      <c r="Q2009" s="296">
        <v>2</v>
      </c>
      <c r="R2009" s="296">
        <v>50</v>
      </c>
      <c r="S2009" s="296" t="s">
        <v>354</v>
      </c>
      <c r="T2009" s="296" t="s">
        <v>3103</v>
      </c>
      <c r="U2009" s="296" t="s">
        <v>3106</v>
      </c>
      <c r="V2009" s="296" t="s">
        <v>355</v>
      </c>
      <c r="W2009" s="296" t="s">
        <v>928</v>
      </c>
      <c r="X2009" s="296" t="s">
        <v>928</v>
      </c>
    </row>
    <row r="2010" spans="1:24" ht="13.5" x14ac:dyDescent="0.15">
      <c r="A2010" s="296">
        <v>3770545</v>
      </c>
      <c r="B2010" s="296" t="s">
        <v>351</v>
      </c>
      <c r="C2010" s="296" t="s">
        <v>1814</v>
      </c>
      <c r="D2010" s="296" t="s">
        <v>353</v>
      </c>
      <c r="E2010" s="296" t="s">
        <v>40</v>
      </c>
      <c r="F2010" s="296">
        <v>3</v>
      </c>
      <c r="G2010" s="296" t="s">
        <v>19</v>
      </c>
      <c r="H2010" s="296" t="s">
        <v>20</v>
      </c>
      <c r="I2010" s="296" t="s">
        <v>21</v>
      </c>
      <c r="J2010" s="296" t="s">
        <v>928</v>
      </c>
      <c r="K2010" s="296" t="s">
        <v>42</v>
      </c>
      <c r="L2010" s="296">
        <v>25</v>
      </c>
      <c r="M2010" s="296" t="s">
        <v>43</v>
      </c>
      <c r="N2010" s="296">
        <v>1085</v>
      </c>
      <c r="O2010" s="296">
        <v>1080</v>
      </c>
      <c r="P2010" s="296">
        <v>6000</v>
      </c>
      <c r="Q2010" s="296">
        <v>2</v>
      </c>
      <c r="R2010" s="296">
        <v>4</v>
      </c>
      <c r="S2010" s="296" t="s">
        <v>354</v>
      </c>
      <c r="T2010" s="296" t="s">
        <v>3103</v>
      </c>
      <c r="U2010" s="296" t="s">
        <v>3106</v>
      </c>
      <c r="V2010" s="296" t="s">
        <v>355</v>
      </c>
      <c r="W2010" s="296" t="s">
        <v>928</v>
      </c>
      <c r="X2010" s="296" t="s">
        <v>928</v>
      </c>
    </row>
    <row r="2011" spans="1:24" ht="13.5" x14ac:dyDescent="0.15">
      <c r="A2011" s="296">
        <v>3770546</v>
      </c>
      <c r="B2011" s="296" t="s">
        <v>351</v>
      </c>
      <c r="C2011" s="296" t="s">
        <v>1814</v>
      </c>
      <c r="D2011" s="296" t="s">
        <v>353</v>
      </c>
      <c r="E2011" s="296" t="s">
        <v>40</v>
      </c>
      <c r="F2011" s="296">
        <v>3</v>
      </c>
      <c r="G2011" s="296" t="s">
        <v>19</v>
      </c>
      <c r="H2011" s="296" t="s">
        <v>20</v>
      </c>
      <c r="I2011" s="296" t="s">
        <v>21</v>
      </c>
      <c r="J2011" s="296" t="s">
        <v>928</v>
      </c>
      <c r="K2011" s="296" t="s">
        <v>42</v>
      </c>
      <c r="L2011" s="296">
        <v>25</v>
      </c>
      <c r="M2011" s="296" t="s">
        <v>43</v>
      </c>
      <c r="N2011" s="296">
        <v>1045</v>
      </c>
      <c r="O2011" s="296">
        <v>1040</v>
      </c>
      <c r="P2011" s="296">
        <v>6000</v>
      </c>
      <c r="Q2011" s="296">
        <v>2</v>
      </c>
      <c r="R2011" s="296">
        <v>4</v>
      </c>
      <c r="S2011" s="296" t="s">
        <v>354</v>
      </c>
      <c r="T2011" s="296" t="s">
        <v>3103</v>
      </c>
      <c r="U2011" s="296" t="s">
        <v>3106</v>
      </c>
      <c r="V2011" s="296" t="s">
        <v>355</v>
      </c>
      <c r="W2011" s="296" t="s">
        <v>928</v>
      </c>
      <c r="X2011" s="296" t="s">
        <v>928</v>
      </c>
    </row>
    <row r="2012" spans="1:24" ht="13.5" x14ac:dyDescent="0.15">
      <c r="A2012" s="296">
        <v>3770547</v>
      </c>
      <c r="B2012" s="296" t="s">
        <v>351</v>
      </c>
      <c r="C2012" s="296" t="s">
        <v>1796</v>
      </c>
      <c r="D2012" s="296" t="s">
        <v>353</v>
      </c>
      <c r="E2012" s="296" t="s">
        <v>377</v>
      </c>
      <c r="F2012" s="296">
        <v>3</v>
      </c>
      <c r="G2012" s="296" t="s">
        <v>19</v>
      </c>
      <c r="H2012" s="296" t="s">
        <v>20</v>
      </c>
      <c r="I2012" s="296" t="s">
        <v>21</v>
      </c>
      <c r="J2012" s="296" t="s">
        <v>928</v>
      </c>
      <c r="K2012" s="296" t="s">
        <v>36</v>
      </c>
      <c r="L2012" s="296">
        <v>25</v>
      </c>
      <c r="M2012" s="296" t="s">
        <v>37</v>
      </c>
      <c r="N2012" s="296">
        <v>890</v>
      </c>
      <c r="O2012" s="296">
        <v>890</v>
      </c>
      <c r="P2012" s="296">
        <v>3800</v>
      </c>
      <c r="Q2012" s="296">
        <v>2</v>
      </c>
      <c r="R2012" s="296">
        <v>12</v>
      </c>
      <c r="S2012" s="296" t="s">
        <v>354</v>
      </c>
      <c r="T2012" s="296" t="s">
        <v>3103</v>
      </c>
      <c r="U2012" s="296" t="s">
        <v>3106</v>
      </c>
      <c r="V2012" s="296" t="s">
        <v>355</v>
      </c>
      <c r="W2012" s="296" t="s">
        <v>928</v>
      </c>
      <c r="X2012" s="296" t="s">
        <v>928</v>
      </c>
    </row>
    <row r="2013" spans="1:24" ht="13.5" x14ac:dyDescent="0.15">
      <c r="A2013" s="296">
        <v>3770548</v>
      </c>
      <c r="B2013" s="296" t="s">
        <v>351</v>
      </c>
      <c r="C2013" s="296" t="s">
        <v>1801</v>
      </c>
      <c r="D2013" s="296" t="s">
        <v>353</v>
      </c>
      <c r="E2013" s="296" t="s">
        <v>116</v>
      </c>
      <c r="F2013" s="296">
        <v>3</v>
      </c>
      <c r="G2013" s="296" t="s">
        <v>19</v>
      </c>
      <c r="H2013" s="296" t="s">
        <v>20</v>
      </c>
      <c r="I2013" s="296" t="s">
        <v>21</v>
      </c>
      <c r="J2013" s="296" t="s">
        <v>928</v>
      </c>
      <c r="K2013" s="296" t="s">
        <v>118</v>
      </c>
      <c r="L2013" s="296">
        <v>38</v>
      </c>
      <c r="M2013" s="296" t="s">
        <v>368</v>
      </c>
      <c r="N2013" s="296">
        <v>1415</v>
      </c>
      <c r="O2013" s="296">
        <v>1410</v>
      </c>
      <c r="P2013" s="296">
        <v>8000</v>
      </c>
      <c r="Q2013" s="296">
        <v>2</v>
      </c>
      <c r="R2013" s="296">
        <v>8</v>
      </c>
      <c r="S2013" s="296" t="s">
        <v>354</v>
      </c>
      <c r="T2013" s="296" t="s">
        <v>3103</v>
      </c>
      <c r="U2013" s="296" t="s">
        <v>3107</v>
      </c>
      <c r="V2013" s="296" t="s">
        <v>355</v>
      </c>
      <c r="W2013" s="296" t="s">
        <v>928</v>
      </c>
      <c r="X2013" s="296" t="s">
        <v>928</v>
      </c>
    </row>
    <row r="2014" spans="1:24" ht="13.5" x14ac:dyDescent="0.15">
      <c r="A2014" s="296">
        <v>3770549</v>
      </c>
      <c r="B2014" s="296" t="s">
        <v>351</v>
      </c>
      <c r="C2014" s="296" t="s">
        <v>1796</v>
      </c>
      <c r="D2014" s="296" t="s">
        <v>353</v>
      </c>
      <c r="E2014" s="296" t="s">
        <v>106</v>
      </c>
      <c r="F2014" s="296">
        <v>3</v>
      </c>
      <c r="G2014" s="296" t="s">
        <v>19</v>
      </c>
      <c r="H2014" s="296" t="s">
        <v>20</v>
      </c>
      <c r="I2014" s="296" t="s">
        <v>21</v>
      </c>
      <c r="J2014" s="296" t="s">
        <v>928</v>
      </c>
      <c r="K2014" s="296" t="s">
        <v>107</v>
      </c>
      <c r="L2014" s="296">
        <v>25</v>
      </c>
      <c r="M2014" s="296" t="s">
        <v>367</v>
      </c>
      <c r="N2014" s="296">
        <v>1240</v>
      </c>
      <c r="O2014" s="296">
        <v>1240</v>
      </c>
      <c r="P2014" s="296">
        <v>6000</v>
      </c>
      <c r="Q2014" s="296">
        <v>2</v>
      </c>
      <c r="R2014" s="296">
        <v>38</v>
      </c>
      <c r="S2014" s="296" t="s">
        <v>354</v>
      </c>
      <c r="T2014" s="296" t="s">
        <v>3103</v>
      </c>
      <c r="U2014" s="296" t="s">
        <v>3107</v>
      </c>
      <c r="V2014" s="296" t="s">
        <v>355</v>
      </c>
      <c r="W2014" s="296" t="s">
        <v>928</v>
      </c>
      <c r="X2014" s="296" t="s">
        <v>928</v>
      </c>
    </row>
    <row r="2015" spans="1:24" ht="13.5" x14ac:dyDescent="0.15">
      <c r="A2015" s="296">
        <v>3770550</v>
      </c>
      <c r="B2015" s="296" t="s">
        <v>351</v>
      </c>
      <c r="C2015" s="296" t="s">
        <v>1796</v>
      </c>
      <c r="D2015" s="296" t="s">
        <v>353</v>
      </c>
      <c r="E2015" s="296" t="s">
        <v>106</v>
      </c>
      <c r="F2015" s="296">
        <v>3</v>
      </c>
      <c r="G2015" s="296" t="s">
        <v>19</v>
      </c>
      <c r="H2015" s="296" t="s">
        <v>20</v>
      </c>
      <c r="I2015" s="296" t="s">
        <v>21</v>
      </c>
      <c r="J2015" s="296" t="s">
        <v>928</v>
      </c>
      <c r="K2015" s="296" t="s">
        <v>107</v>
      </c>
      <c r="L2015" s="296">
        <v>38</v>
      </c>
      <c r="M2015" s="296" t="s">
        <v>367</v>
      </c>
      <c r="N2015" s="296">
        <v>1240</v>
      </c>
      <c r="O2015" s="296">
        <v>1240</v>
      </c>
      <c r="P2015" s="296">
        <v>6000</v>
      </c>
      <c r="Q2015" s="296">
        <v>2</v>
      </c>
      <c r="R2015" s="296">
        <v>15</v>
      </c>
      <c r="S2015" s="296" t="s">
        <v>354</v>
      </c>
      <c r="T2015" s="296" t="s">
        <v>3103</v>
      </c>
      <c r="U2015" s="296" t="s">
        <v>3107</v>
      </c>
      <c r="V2015" s="296" t="s">
        <v>355</v>
      </c>
      <c r="W2015" s="296" t="s">
        <v>928</v>
      </c>
      <c r="X2015" s="296" t="s">
        <v>928</v>
      </c>
    </row>
    <row r="2016" spans="1:24" ht="13.5" x14ac:dyDescent="0.15">
      <c r="A2016" s="296">
        <v>3770551</v>
      </c>
      <c r="B2016" s="296" t="s">
        <v>351</v>
      </c>
      <c r="C2016" s="296" t="s">
        <v>1796</v>
      </c>
      <c r="D2016" s="296" t="s">
        <v>353</v>
      </c>
      <c r="E2016" s="296" t="s">
        <v>115</v>
      </c>
      <c r="F2016" s="296">
        <v>3</v>
      </c>
      <c r="G2016" s="296" t="s">
        <v>19</v>
      </c>
      <c r="H2016" s="296" t="s">
        <v>20</v>
      </c>
      <c r="I2016" s="296" t="s">
        <v>21</v>
      </c>
      <c r="J2016" s="296" t="s">
        <v>928</v>
      </c>
      <c r="K2016" s="296" t="s">
        <v>112</v>
      </c>
      <c r="L2016" s="296">
        <v>38</v>
      </c>
      <c r="M2016" s="296" t="s">
        <v>357</v>
      </c>
      <c r="N2016" s="296">
        <v>1135</v>
      </c>
      <c r="O2016" s="296">
        <v>1130</v>
      </c>
      <c r="P2016" s="296">
        <v>6000</v>
      </c>
      <c r="Q2016" s="296">
        <v>2</v>
      </c>
      <c r="R2016" s="296">
        <v>4</v>
      </c>
      <c r="S2016" s="296" t="s">
        <v>354</v>
      </c>
      <c r="T2016" s="296" t="s">
        <v>3103</v>
      </c>
      <c r="U2016" s="296" t="s">
        <v>3107</v>
      </c>
      <c r="V2016" s="296" t="s">
        <v>355</v>
      </c>
      <c r="W2016" s="296" t="s">
        <v>928</v>
      </c>
      <c r="X2016" s="296" t="s">
        <v>928</v>
      </c>
    </row>
    <row r="2017" spans="1:24" ht="13.5" x14ac:dyDescent="0.15">
      <c r="A2017" s="296">
        <v>3770552</v>
      </c>
      <c r="B2017" s="296" t="s">
        <v>351</v>
      </c>
      <c r="C2017" s="296" t="s">
        <v>1803</v>
      </c>
      <c r="D2017" s="296" t="s">
        <v>353</v>
      </c>
      <c r="E2017" s="296" t="s">
        <v>2755</v>
      </c>
      <c r="F2017" s="296">
        <v>3</v>
      </c>
      <c r="G2017" s="296" t="s">
        <v>19</v>
      </c>
      <c r="H2017" s="296" t="s">
        <v>20</v>
      </c>
      <c r="I2017" s="296" t="s">
        <v>21</v>
      </c>
      <c r="J2017" s="296" t="s">
        <v>928</v>
      </c>
      <c r="K2017" s="296" t="s">
        <v>118</v>
      </c>
      <c r="L2017" s="296">
        <v>25</v>
      </c>
      <c r="M2017" s="296" t="s">
        <v>119</v>
      </c>
      <c r="N2017" s="296">
        <v>1100</v>
      </c>
      <c r="O2017" s="296">
        <v>1100</v>
      </c>
      <c r="P2017" s="296">
        <v>12000</v>
      </c>
      <c r="Q2017" s="296">
        <v>2</v>
      </c>
      <c r="R2017" s="296">
        <v>27</v>
      </c>
      <c r="S2017" s="296" t="s">
        <v>354</v>
      </c>
      <c r="T2017" s="296" t="s">
        <v>3103</v>
      </c>
      <c r="U2017" s="296" t="s">
        <v>3107</v>
      </c>
      <c r="V2017" s="296" t="s">
        <v>355</v>
      </c>
      <c r="W2017" s="296" t="s">
        <v>928</v>
      </c>
      <c r="X2017" s="296" t="s">
        <v>928</v>
      </c>
    </row>
    <row r="2018" spans="1:24" ht="13.5" x14ac:dyDescent="0.15">
      <c r="A2018" s="296">
        <v>3770553</v>
      </c>
      <c r="B2018" s="296" t="s">
        <v>351</v>
      </c>
      <c r="C2018" s="296" t="s">
        <v>1796</v>
      </c>
      <c r="D2018" s="296" t="s">
        <v>353</v>
      </c>
      <c r="E2018" s="296" t="s">
        <v>106</v>
      </c>
      <c r="F2018" s="296">
        <v>3</v>
      </c>
      <c r="G2018" s="296" t="s">
        <v>19</v>
      </c>
      <c r="H2018" s="296" t="s">
        <v>20</v>
      </c>
      <c r="I2018" s="296" t="s">
        <v>21</v>
      </c>
      <c r="J2018" s="296" t="s">
        <v>928</v>
      </c>
      <c r="K2018" s="296" t="s">
        <v>107</v>
      </c>
      <c r="L2018" s="296">
        <v>25</v>
      </c>
      <c r="M2018" s="296" t="s">
        <v>367</v>
      </c>
      <c r="N2018" s="296">
        <v>1040</v>
      </c>
      <c r="O2018" s="296">
        <v>1040</v>
      </c>
      <c r="P2018" s="296">
        <v>6000</v>
      </c>
      <c r="Q2018" s="296">
        <v>2</v>
      </c>
      <c r="R2018" s="296">
        <v>48</v>
      </c>
      <c r="S2018" s="296" t="s">
        <v>354</v>
      </c>
      <c r="T2018" s="296" t="s">
        <v>3103</v>
      </c>
      <c r="U2018" s="296" t="s">
        <v>3107</v>
      </c>
      <c r="V2018" s="296" t="s">
        <v>355</v>
      </c>
      <c r="W2018" s="296" t="s">
        <v>928</v>
      </c>
      <c r="X2018" s="296" t="s">
        <v>928</v>
      </c>
    </row>
    <row r="2019" spans="1:24" ht="13.5" x14ac:dyDescent="0.15">
      <c r="A2019" s="296">
        <v>3770554</v>
      </c>
      <c r="B2019" s="296" t="s">
        <v>351</v>
      </c>
      <c r="C2019" s="296" t="s">
        <v>1796</v>
      </c>
      <c r="D2019" s="296" t="s">
        <v>353</v>
      </c>
      <c r="E2019" s="296" t="s">
        <v>106</v>
      </c>
      <c r="F2019" s="296">
        <v>3</v>
      </c>
      <c r="G2019" s="296" t="s">
        <v>19</v>
      </c>
      <c r="H2019" s="296" t="s">
        <v>20</v>
      </c>
      <c r="I2019" s="296" t="s">
        <v>21</v>
      </c>
      <c r="J2019" s="296" t="s">
        <v>928</v>
      </c>
      <c r="K2019" s="296" t="s">
        <v>107</v>
      </c>
      <c r="L2019" s="296">
        <v>38</v>
      </c>
      <c r="M2019" s="296" t="s">
        <v>367</v>
      </c>
      <c r="N2019" s="296">
        <v>1040</v>
      </c>
      <c r="O2019" s="296">
        <v>1040</v>
      </c>
      <c r="P2019" s="296">
        <v>6000</v>
      </c>
      <c r="Q2019" s="296">
        <v>2</v>
      </c>
      <c r="R2019" s="296">
        <v>1</v>
      </c>
      <c r="S2019" s="296" t="s">
        <v>354</v>
      </c>
      <c r="T2019" s="296" t="s">
        <v>3103</v>
      </c>
      <c r="U2019" s="296" t="s">
        <v>3107</v>
      </c>
      <c r="V2019" s="296" t="s">
        <v>355</v>
      </c>
      <c r="W2019" s="296" t="s">
        <v>928</v>
      </c>
      <c r="X2019" s="296" t="s">
        <v>928</v>
      </c>
    </row>
    <row r="2020" spans="1:24" ht="13.5" x14ac:dyDescent="0.15">
      <c r="A2020" s="296">
        <v>3770555</v>
      </c>
      <c r="B2020" s="296" t="s">
        <v>351</v>
      </c>
      <c r="C2020" s="296" t="s">
        <v>1801</v>
      </c>
      <c r="D2020" s="296" t="s">
        <v>353</v>
      </c>
      <c r="E2020" s="296" t="s">
        <v>116</v>
      </c>
      <c r="F2020" s="296">
        <v>3</v>
      </c>
      <c r="G2020" s="296" t="s">
        <v>19</v>
      </c>
      <c r="H2020" s="296" t="s">
        <v>20</v>
      </c>
      <c r="I2020" s="296" t="s">
        <v>21</v>
      </c>
      <c r="J2020" s="296" t="s">
        <v>928</v>
      </c>
      <c r="K2020" s="296" t="s">
        <v>118</v>
      </c>
      <c r="L2020" s="296">
        <v>38</v>
      </c>
      <c r="M2020" s="296" t="s">
        <v>368</v>
      </c>
      <c r="N2020" s="296">
        <v>1005</v>
      </c>
      <c r="O2020" s="296">
        <v>1000</v>
      </c>
      <c r="P2020" s="296">
        <v>8000</v>
      </c>
      <c r="Q2020" s="296">
        <v>2</v>
      </c>
      <c r="R2020" s="296">
        <v>5</v>
      </c>
      <c r="S2020" s="296" t="s">
        <v>354</v>
      </c>
      <c r="T2020" s="296" t="s">
        <v>3103</v>
      </c>
      <c r="U2020" s="296" t="s">
        <v>3107</v>
      </c>
      <c r="V2020" s="296" t="s">
        <v>355</v>
      </c>
      <c r="W2020" s="296" t="s">
        <v>928</v>
      </c>
      <c r="X2020" s="296" t="s">
        <v>928</v>
      </c>
    </row>
    <row r="2021" spans="1:24" ht="13.5" x14ac:dyDescent="0.15">
      <c r="A2021" s="296">
        <v>3770556</v>
      </c>
      <c r="B2021" s="296" t="s">
        <v>351</v>
      </c>
      <c r="C2021" s="296" t="s">
        <v>1803</v>
      </c>
      <c r="D2021" s="296" t="s">
        <v>353</v>
      </c>
      <c r="E2021" s="296" t="s">
        <v>65</v>
      </c>
      <c r="F2021" s="296">
        <v>3321</v>
      </c>
      <c r="G2021" s="296" t="s">
        <v>19</v>
      </c>
      <c r="H2021" s="296" t="s">
        <v>20</v>
      </c>
      <c r="I2021" s="296" t="s">
        <v>21</v>
      </c>
      <c r="J2021" s="296" t="s">
        <v>928</v>
      </c>
      <c r="K2021" s="296" t="s">
        <v>67</v>
      </c>
      <c r="L2021" s="296">
        <v>38</v>
      </c>
      <c r="M2021" s="296" t="s">
        <v>68</v>
      </c>
      <c r="N2021" s="296">
        <v>1336</v>
      </c>
      <c r="O2021" s="296">
        <v>1325</v>
      </c>
      <c r="P2021" s="296">
        <v>12000</v>
      </c>
      <c r="Q2021" s="296">
        <v>2</v>
      </c>
      <c r="R2021" s="296">
        <v>40</v>
      </c>
      <c r="S2021" s="296" t="s">
        <v>354</v>
      </c>
      <c r="T2021" s="296" t="s">
        <v>3103</v>
      </c>
      <c r="U2021" s="296" t="s">
        <v>3108</v>
      </c>
      <c r="V2021" s="296" t="s">
        <v>355</v>
      </c>
      <c r="W2021" s="296" t="s">
        <v>928</v>
      </c>
      <c r="X2021" s="296" t="s">
        <v>928</v>
      </c>
    </row>
    <row r="2022" spans="1:24" ht="13.5" x14ac:dyDescent="0.15">
      <c r="A2022" s="296">
        <v>3770557</v>
      </c>
      <c r="B2022" s="296" t="s">
        <v>351</v>
      </c>
      <c r="C2022" s="296" t="s">
        <v>1803</v>
      </c>
      <c r="D2022" s="296" t="s">
        <v>353</v>
      </c>
      <c r="E2022" s="296" t="s">
        <v>65</v>
      </c>
      <c r="F2022" s="296">
        <v>3321</v>
      </c>
      <c r="G2022" s="296" t="s">
        <v>19</v>
      </c>
      <c r="H2022" s="296" t="s">
        <v>20</v>
      </c>
      <c r="I2022" s="296" t="s">
        <v>21</v>
      </c>
      <c r="J2022" s="296" t="s">
        <v>928</v>
      </c>
      <c r="K2022" s="296" t="s">
        <v>70</v>
      </c>
      <c r="L2022" s="296">
        <v>38</v>
      </c>
      <c r="M2022" s="296" t="s">
        <v>71</v>
      </c>
      <c r="N2022" s="296">
        <v>1336</v>
      </c>
      <c r="O2022" s="296">
        <v>1325</v>
      </c>
      <c r="P2022" s="296">
        <v>12000</v>
      </c>
      <c r="Q2022" s="296">
        <v>2</v>
      </c>
      <c r="R2022" s="296">
        <v>60</v>
      </c>
      <c r="S2022" s="296" t="s">
        <v>354</v>
      </c>
      <c r="T2022" s="296" t="s">
        <v>3103</v>
      </c>
      <c r="U2022" s="296" t="s">
        <v>3108</v>
      </c>
      <c r="V2022" s="296" t="s">
        <v>355</v>
      </c>
      <c r="W2022" s="296" t="s">
        <v>928</v>
      </c>
      <c r="X2022" s="296" t="s">
        <v>928</v>
      </c>
    </row>
    <row r="2023" spans="1:24" ht="13.5" x14ac:dyDescent="0.15">
      <c r="A2023" s="296">
        <v>3770558</v>
      </c>
      <c r="B2023" s="296" t="s">
        <v>431</v>
      </c>
      <c r="C2023" s="296" t="s">
        <v>1803</v>
      </c>
      <c r="D2023" s="296" t="s">
        <v>353</v>
      </c>
      <c r="E2023" s="296" t="s">
        <v>61</v>
      </c>
      <c r="F2023" s="296">
        <v>3</v>
      </c>
      <c r="G2023" s="296" t="s">
        <v>265</v>
      </c>
      <c r="H2023" s="296" t="s">
        <v>20</v>
      </c>
      <c r="I2023" s="296" t="s">
        <v>21</v>
      </c>
      <c r="J2023" s="296" t="s">
        <v>928</v>
      </c>
      <c r="K2023" s="296" t="s">
        <v>292</v>
      </c>
      <c r="L2023" s="296">
        <v>38</v>
      </c>
      <c r="M2023" s="296" t="s">
        <v>293</v>
      </c>
      <c r="N2023" s="296">
        <v>750</v>
      </c>
      <c r="O2023" s="296">
        <v>750</v>
      </c>
      <c r="P2023" s="296">
        <v>6000</v>
      </c>
      <c r="Q2023" s="296">
        <v>2</v>
      </c>
      <c r="R2023" s="296">
        <v>20</v>
      </c>
      <c r="S2023" s="296" t="s">
        <v>354</v>
      </c>
      <c r="T2023" s="296" t="s">
        <v>3103</v>
      </c>
      <c r="U2023" s="296" t="s">
        <v>3108</v>
      </c>
      <c r="V2023" s="296" t="s">
        <v>355</v>
      </c>
      <c r="W2023" s="296" t="s">
        <v>928</v>
      </c>
      <c r="X2023" s="296" t="s">
        <v>928</v>
      </c>
    </row>
    <row r="2024" spans="1:24" ht="13.5" x14ac:dyDescent="0.15">
      <c r="A2024" s="296">
        <v>3770559</v>
      </c>
      <c r="B2024" s="296" t="s">
        <v>351</v>
      </c>
      <c r="C2024" s="296" t="s">
        <v>1803</v>
      </c>
      <c r="D2024" s="296" t="s">
        <v>353</v>
      </c>
      <c r="E2024" s="296" t="s">
        <v>61</v>
      </c>
      <c r="F2024" s="296">
        <v>3313</v>
      </c>
      <c r="G2024" s="296" t="s">
        <v>19</v>
      </c>
      <c r="H2024" s="296" t="s">
        <v>20</v>
      </c>
      <c r="I2024" s="296" t="s">
        <v>21</v>
      </c>
      <c r="J2024" s="296" t="s">
        <v>928</v>
      </c>
      <c r="K2024" s="296" t="s">
        <v>62</v>
      </c>
      <c r="L2024" s="296">
        <v>38</v>
      </c>
      <c r="M2024" s="296" t="s">
        <v>63</v>
      </c>
      <c r="N2024" s="296">
        <v>750</v>
      </c>
      <c r="O2024" s="296">
        <v>750</v>
      </c>
      <c r="P2024" s="296">
        <v>6000</v>
      </c>
      <c r="Q2024" s="296">
        <v>2</v>
      </c>
      <c r="R2024" s="296">
        <v>52</v>
      </c>
      <c r="S2024" s="296" t="s">
        <v>354</v>
      </c>
      <c r="T2024" s="296" t="s">
        <v>3103</v>
      </c>
      <c r="U2024" s="296" t="s">
        <v>3108</v>
      </c>
      <c r="V2024" s="296" t="s">
        <v>355</v>
      </c>
      <c r="W2024" s="296" t="s">
        <v>928</v>
      </c>
      <c r="X2024" s="296" t="s">
        <v>928</v>
      </c>
    </row>
    <row r="2025" spans="1:24" ht="13.5" x14ac:dyDescent="0.15">
      <c r="A2025" s="296">
        <v>3770560</v>
      </c>
      <c r="B2025" s="296" t="s">
        <v>351</v>
      </c>
      <c r="C2025" s="296" t="s">
        <v>1803</v>
      </c>
      <c r="D2025" s="296" t="s">
        <v>353</v>
      </c>
      <c r="E2025" s="296" t="s">
        <v>73</v>
      </c>
      <c r="F2025" s="296">
        <v>331</v>
      </c>
      <c r="G2025" s="296" t="s">
        <v>19</v>
      </c>
      <c r="H2025" s="296" t="s">
        <v>20</v>
      </c>
      <c r="I2025" s="296" t="s">
        <v>21</v>
      </c>
      <c r="J2025" s="296" t="s">
        <v>928</v>
      </c>
      <c r="K2025" s="296" t="s">
        <v>74</v>
      </c>
      <c r="L2025" s="296">
        <v>38</v>
      </c>
      <c r="M2025" s="296" t="s">
        <v>365</v>
      </c>
      <c r="N2025" s="296">
        <v>315</v>
      </c>
      <c r="O2025" s="296">
        <v>315</v>
      </c>
      <c r="P2025" s="296">
        <v>1950</v>
      </c>
      <c r="Q2025" s="296">
        <v>2</v>
      </c>
      <c r="R2025" s="296">
        <v>12</v>
      </c>
      <c r="S2025" s="296" t="s">
        <v>354</v>
      </c>
      <c r="T2025" s="296" t="s">
        <v>3103</v>
      </c>
      <c r="U2025" s="296" t="s">
        <v>3108</v>
      </c>
      <c r="V2025" s="296" t="s">
        <v>355</v>
      </c>
      <c r="W2025" s="296" t="s">
        <v>928</v>
      </c>
      <c r="X2025" s="296" t="s">
        <v>928</v>
      </c>
    </row>
    <row r="2026" spans="1:24" ht="13.5" x14ac:dyDescent="0.15">
      <c r="A2026" s="296">
        <v>3770561</v>
      </c>
      <c r="B2026" s="296" t="s">
        <v>351</v>
      </c>
      <c r="C2026" s="296" t="s">
        <v>1803</v>
      </c>
      <c r="D2026" s="296" t="s">
        <v>353</v>
      </c>
      <c r="E2026" s="296" t="s">
        <v>73</v>
      </c>
      <c r="F2026" s="296">
        <v>331</v>
      </c>
      <c r="G2026" s="296" t="s">
        <v>19</v>
      </c>
      <c r="H2026" s="296" t="s">
        <v>20</v>
      </c>
      <c r="I2026" s="296" t="s">
        <v>21</v>
      </c>
      <c r="J2026" s="296" t="s">
        <v>928</v>
      </c>
      <c r="K2026" s="296" t="s">
        <v>74</v>
      </c>
      <c r="L2026" s="296">
        <v>38</v>
      </c>
      <c r="M2026" s="296" t="s">
        <v>365</v>
      </c>
      <c r="N2026" s="296">
        <v>415</v>
      </c>
      <c r="O2026" s="296">
        <v>415</v>
      </c>
      <c r="P2026" s="296">
        <v>1950</v>
      </c>
      <c r="Q2026" s="296">
        <v>2</v>
      </c>
      <c r="R2026" s="296">
        <v>24</v>
      </c>
      <c r="S2026" s="296" t="s">
        <v>354</v>
      </c>
      <c r="T2026" s="296" t="s">
        <v>3103</v>
      </c>
      <c r="U2026" s="296" t="s">
        <v>3108</v>
      </c>
      <c r="V2026" s="296" t="s">
        <v>355</v>
      </c>
      <c r="W2026" s="296" t="s">
        <v>928</v>
      </c>
      <c r="X2026" s="296" t="s">
        <v>928</v>
      </c>
    </row>
    <row r="2027" spans="1:24" ht="13.5" x14ac:dyDescent="0.15">
      <c r="A2027" s="296">
        <v>3770562</v>
      </c>
      <c r="B2027" s="296" t="s">
        <v>351</v>
      </c>
      <c r="C2027" s="296" t="s">
        <v>1803</v>
      </c>
      <c r="D2027" s="296" t="s">
        <v>353</v>
      </c>
      <c r="E2027" s="296" t="s">
        <v>73</v>
      </c>
      <c r="F2027" s="296">
        <v>331</v>
      </c>
      <c r="G2027" s="296" t="s">
        <v>19</v>
      </c>
      <c r="H2027" s="296" t="s">
        <v>20</v>
      </c>
      <c r="I2027" s="296" t="s">
        <v>21</v>
      </c>
      <c r="J2027" s="296" t="s">
        <v>928</v>
      </c>
      <c r="K2027" s="296" t="s">
        <v>74</v>
      </c>
      <c r="L2027" s="296">
        <v>38</v>
      </c>
      <c r="M2027" s="296" t="s">
        <v>365</v>
      </c>
      <c r="N2027" s="296">
        <v>415</v>
      </c>
      <c r="O2027" s="296">
        <v>415</v>
      </c>
      <c r="P2027" s="296">
        <v>1950</v>
      </c>
      <c r="Q2027" s="296">
        <v>2</v>
      </c>
      <c r="R2027" s="296">
        <v>18</v>
      </c>
      <c r="S2027" s="296" t="s">
        <v>354</v>
      </c>
      <c r="T2027" s="296" t="s">
        <v>3103</v>
      </c>
      <c r="U2027" s="296" t="s">
        <v>3108</v>
      </c>
      <c r="V2027" s="296" t="s">
        <v>355</v>
      </c>
      <c r="W2027" s="296" t="s">
        <v>928</v>
      </c>
      <c r="X2027" s="296" t="s">
        <v>928</v>
      </c>
    </row>
    <row r="2028" spans="1:24" ht="13.5" x14ac:dyDescent="0.15">
      <c r="A2028" s="296">
        <v>3770563</v>
      </c>
      <c r="B2028" s="296" t="s">
        <v>431</v>
      </c>
      <c r="C2028" s="296" t="s">
        <v>1803</v>
      </c>
      <c r="D2028" s="296" t="s">
        <v>353</v>
      </c>
      <c r="E2028" s="296" t="s">
        <v>61</v>
      </c>
      <c r="F2028" s="296">
        <v>3</v>
      </c>
      <c r="G2028" s="296" t="s">
        <v>265</v>
      </c>
      <c r="H2028" s="296" t="s">
        <v>20</v>
      </c>
      <c r="I2028" s="296" t="s">
        <v>21</v>
      </c>
      <c r="J2028" s="296" t="s">
        <v>928</v>
      </c>
      <c r="K2028" s="296" t="s">
        <v>292</v>
      </c>
      <c r="L2028" s="296">
        <v>38</v>
      </c>
      <c r="M2028" s="296" t="s">
        <v>293</v>
      </c>
      <c r="N2028" s="296">
        <v>1255</v>
      </c>
      <c r="O2028" s="296">
        <v>1250</v>
      </c>
      <c r="P2028" s="296">
        <v>6000</v>
      </c>
      <c r="Q2028" s="296">
        <v>2</v>
      </c>
      <c r="R2028" s="296">
        <v>9</v>
      </c>
      <c r="S2028" s="296" t="s">
        <v>354</v>
      </c>
      <c r="T2028" s="296" t="s">
        <v>3103</v>
      </c>
      <c r="U2028" s="296" t="s">
        <v>3108</v>
      </c>
      <c r="V2028" s="296" t="s">
        <v>355</v>
      </c>
      <c r="W2028" s="296" t="s">
        <v>928</v>
      </c>
      <c r="X2028" s="296" t="s">
        <v>928</v>
      </c>
    </row>
    <row r="2029" spans="1:24" ht="13.5" x14ac:dyDescent="0.15">
      <c r="A2029" s="296">
        <v>3770564</v>
      </c>
      <c r="B2029" s="296" t="s">
        <v>351</v>
      </c>
      <c r="C2029" s="296" t="s">
        <v>1803</v>
      </c>
      <c r="D2029" s="296" t="s">
        <v>353</v>
      </c>
      <c r="E2029" s="296" t="s">
        <v>61</v>
      </c>
      <c r="F2029" s="296">
        <v>331</v>
      </c>
      <c r="G2029" s="296" t="s">
        <v>19</v>
      </c>
      <c r="H2029" s="296" t="s">
        <v>20</v>
      </c>
      <c r="I2029" s="296" t="s">
        <v>21</v>
      </c>
      <c r="J2029" s="296" t="s">
        <v>928</v>
      </c>
      <c r="K2029" s="296" t="s">
        <v>62</v>
      </c>
      <c r="L2029" s="296">
        <v>38</v>
      </c>
      <c r="M2029" s="296" t="s">
        <v>63</v>
      </c>
      <c r="N2029" s="296">
        <v>1255</v>
      </c>
      <c r="O2029" s="296">
        <v>1250</v>
      </c>
      <c r="P2029" s="296">
        <v>6000</v>
      </c>
      <c r="Q2029" s="296">
        <v>2</v>
      </c>
      <c r="R2029" s="296">
        <v>32</v>
      </c>
      <c r="S2029" s="296" t="s">
        <v>354</v>
      </c>
      <c r="T2029" s="296" t="s">
        <v>3103</v>
      </c>
      <c r="U2029" s="296" t="s">
        <v>3108</v>
      </c>
      <c r="V2029" s="296" t="s">
        <v>355</v>
      </c>
      <c r="W2029" s="296" t="s">
        <v>928</v>
      </c>
      <c r="X2029" s="296" t="s">
        <v>928</v>
      </c>
    </row>
    <row r="2030" spans="1:24" ht="13.5" x14ac:dyDescent="0.15">
      <c r="A2030" s="296">
        <v>3770565</v>
      </c>
      <c r="B2030" s="296" t="s">
        <v>431</v>
      </c>
      <c r="C2030" s="296" t="s">
        <v>1803</v>
      </c>
      <c r="D2030" s="296" t="s">
        <v>353</v>
      </c>
      <c r="E2030" s="296" t="s">
        <v>378</v>
      </c>
      <c r="F2030" s="296">
        <v>3</v>
      </c>
      <c r="G2030" s="296" t="s">
        <v>265</v>
      </c>
      <c r="H2030" s="296" t="s">
        <v>20</v>
      </c>
      <c r="I2030" s="296" t="s">
        <v>21</v>
      </c>
      <c r="J2030" s="296" t="s">
        <v>928</v>
      </c>
      <c r="K2030" s="296" t="s">
        <v>99</v>
      </c>
      <c r="L2030" s="296">
        <v>25</v>
      </c>
      <c r="M2030" s="296" t="s">
        <v>100</v>
      </c>
      <c r="N2030" s="296">
        <v>500</v>
      </c>
      <c r="O2030" s="296">
        <v>500</v>
      </c>
      <c r="P2030" s="296">
        <v>4000</v>
      </c>
      <c r="Q2030" s="296">
        <v>2</v>
      </c>
      <c r="R2030" s="296">
        <v>18</v>
      </c>
      <c r="S2030" s="296" t="s">
        <v>354</v>
      </c>
      <c r="T2030" s="296" t="s">
        <v>3103</v>
      </c>
      <c r="U2030" s="296" t="s">
        <v>3109</v>
      </c>
      <c r="V2030" s="296" t="s">
        <v>355</v>
      </c>
      <c r="W2030" s="296" t="s">
        <v>928</v>
      </c>
      <c r="X2030" s="296" t="s">
        <v>928</v>
      </c>
    </row>
    <row r="2031" spans="1:24" ht="13.5" x14ac:dyDescent="0.15">
      <c r="A2031" s="296">
        <v>3770566</v>
      </c>
      <c r="B2031" s="296" t="s">
        <v>431</v>
      </c>
      <c r="C2031" s="296" t="s">
        <v>1796</v>
      </c>
      <c r="D2031" s="296" t="s">
        <v>353</v>
      </c>
      <c r="E2031" s="296" t="s">
        <v>1436</v>
      </c>
      <c r="F2031" s="296">
        <v>3</v>
      </c>
      <c r="G2031" s="296" t="s">
        <v>265</v>
      </c>
      <c r="H2031" s="296" t="s">
        <v>28</v>
      </c>
      <c r="I2031" s="296" t="s">
        <v>132</v>
      </c>
      <c r="J2031" s="296" t="s">
        <v>928</v>
      </c>
      <c r="K2031" s="296" t="s">
        <v>1521</v>
      </c>
      <c r="L2031" s="296">
        <v>75</v>
      </c>
      <c r="M2031" s="296" t="s">
        <v>1438</v>
      </c>
      <c r="N2031" s="296">
        <v>1400</v>
      </c>
      <c r="O2031" s="296">
        <v>1400</v>
      </c>
      <c r="P2031" s="296">
        <v>4200</v>
      </c>
      <c r="Q2031" s="296">
        <v>2</v>
      </c>
      <c r="R2031" s="296">
        <v>22</v>
      </c>
      <c r="S2031" s="296" t="s">
        <v>354</v>
      </c>
      <c r="T2031" s="296" t="s">
        <v>3103</v>
      </c>
      <c r="U2031" s="296" t="s">
        <v>3109</v>
      </c>
      <c r="V2031" s="296" t="s">
        <v>355</v>
      </c>
      <c r="W2031" s="296" t="s">
        <v>928</v>
      </c>
      <c r="X2031" s="296" t="s">
        <v>928</v>
      </c>
    </row>
    <row r="2032" spans="1:24" ht="13.5" x14ac:dyDescent="0.15">
      <c r="A2032" s="296">
        <v>3770567</v>
      </c>
      <c r="B2032" s="296" t="s">
        <v>431</v>
      </c>
      <c r="C2032" s="296" t="s">
        <v>1796</v>
      </c>
      <c r="D2032" s="296" t="s">
        <v>353</v>
      </c>
      <c r="E2032" s="296" t="s">
        <v>1436</v>
      </c>
      <c r="F2032" s="296">
        <v>3</v>
      </c>
      <c r="G2032" s="296" t="s">
        <v>265</v>
      </c>
      <c r="H2032" s="296" t="s">
        <v>28</v>
      </c>
      <c r="I2032" s="296" t="s">
        <v>132</v>
      </c>
      <c r="J2032" s="296" t="s">
        <v>928</v>
      </c>
      <c r="K2032" s="296" t="s">
        <v>2983</v>
      </c>
      <c r="L2032" s="296">
        <v>50</v>
      </c>
      <c r="M2032" s="296" t="s">
        <v>1438</v>
      </c>
      <c r="N2032" s="296">
        <v>1300</v>
      </c>
      <c r="O2032" s="296">
        <v>1300</v>
      </c>
      <c r="P2032" s="296">
        <v>4000</v>
      </c>
      <c r="Q2032" s="296">
        <v>2</v>
      </c>
      <c r="R2032" s="296">
        <v>60</v>
      </c>
      <c r="S2032" s="296" t="s">
        <v>354</v>
      </c>
      <c r="T2032" s="296" t="s">
        <v>3103</v>
      </c>
      <c r="U2032" s="296" t="s">
        <v>3109</v>
      </c>
      <c r="V2032" s="296" t="s">
        <v>355</v>
      </c>
      <c r="W2032" s="296" t="s">
        <v>928</v>
      </c>
      <c r="X2032" s="296" t="s">
        <v>928</v>
      </c>
    </row>
    <row r="2033" spans="1:24" ht="13.5" x14ac:dyDescent="0.15">
      <c r="A2033" s="296">
        <v>3770568</v>
      </c>
      <c r="B2033" s="296" t="s">
        <v>351</v>
      </c>
      <c r="C2033" s="296" t="s">
        <v>1796</v>
      </c>
      <c r="D2033" s="296" t="s">
        <v>353</v>
      </c>
      <c r="E2033" s="296" t="s">
        <v>255</v>
      </c>
      <c r="F2033" s="296">
        <v>3</v>
      </c>
      <c r="G2033" s="296" t="s">
        <v>19</v>
      </c>
      <c r="H2033" s="296" t="s">
        <v>20</v>
      </c>
      <c r="I2033" s="296" t="s">
        <v>256</v>
      </c>
      <c r="J2033" s="296" t="s">
        <v>928</v>
      </c>
      <c r="K2033" s="296" t="s">
        <v>257</v>
      </c>
      <c r="L2033" s="296">
        <v>100</v>
      </c>
      <c r="M2033" s="296" t="s">
        <v>258</v>
      </c>
      <c r="N2033" s="296">
        <v>1000</v>
      </c>
      <c r="O2033" s="296">
        <v>1000</v>
      </c>
      <c r="P2033" s="296">
        <v>1000</v>
      </c>
      <c r="Q2033" s="296">
        <v>2</v>
      </c>
      <c r="R2033" s="296">
        <v>4</v>
      </c>
      <c r="S2033" s="296" t="s">
        <v>354</v>
      </c>
      <c r="T2033" s="296" t="s">
        <v>3103</v>
      </c>
      <c r="U2033" s="296" t="s">
        <v>3106</v>
      </c>
      <c r="V2033" s="296" t="s">
        <v>355</v>
      </c>
      <c r="W2033" s="296" t="s">
        <v>928</v>
      </c>
      <c r="X2033" s="296" t="s">
        <v>928</v>
      </c>
    </row>
    <row r="2034" spans="1:24" ht="13.5" x14ac:dyDescent="0.15">
      <c r="A2034" s="296">
        <v>3770569</v>
      </c>
      <c r="B2034" s="296" t="s">
        <v>351</v>
      </c>
      <c r="C2034" s="296" t="s">
        <v>1796</v>
      </c>
      <c r="D2034" s="296" t="s">
        <v>353</v>
      </c>
      <c r="E2034" s="296" t="s">
        <v>255</v>
      </c>
      <c r="F2034" s="296">
        <v>3</v>
      </c>
      <c r="G2034" s="296" t="s">
        <v>19</v>
      </c>
      <c r="H2034" s="296" t="s">
        <v>20</v>
      </c>
      <c r="I2034" s="296" t="s">
        <v>256</v>
      </c>
      <c r="J2034" s="296" t="s">
        <v>928</v>
      </c>
      <c r="K2034" s="296" t="s">
        <v>257</v>
      </c>
      <c r="L2034" s="296">
        <v>125</v>
      </c>
      <c r="M2034" s="296" t="s">
        <v>258</v>
      </c>
      <c r="N2034" s="296">
        <v>1000</v>
      </c>
      <c r="O2034" s="296">
        <v>1000</v>
      </c>
      <c r="P2034" s="296">
        <v>1000</v>
      </c>
      <c r="Q2034" s="296">
        <v>2</v>
      </c>
      <c r="R2034" s="296">
        <v>4</v>
      </c>
      <c r="S2034" s="296" t="s">
        <v>354</v>
      </c>
      <c r="T2034" s="296" t="s">
        <v>3103</v>
      </c>
      <c r="U2034" s="296" t="s">
        <v>3106</v>
      </c>
      <c r="V2034" s="296" t="s">
        <v>355</v>
      </c>
      <c r="W2034" s="296" t="s">
        <v>928</v>
      </c>
      <c r="X2034" s="296" t="s">
        <v>928</v>
      </c>
    </row>
    <row r="2035" spans="1:24" ht="13.5" x14ac:dyDescent="0.15">
      <c r="A2035" s="296">
        <v>3770570</v>
      </c>
      <c r="B2035" s="296" t="s">
        <v>351</v>
      </c>
      <c r="C2035" s="296" t="s">
        <v>1796</v>
      </c>
      <c r="D2035" s="296" t="s">
        <v>353</v>
      </c>
      <c r="E2035" s="296" t="s">
        <v>255</v>
      </c>
      <c r="F2035" s="296">
        <v>3</v>
      </c>
      <c r="G2035" s="296" t="s">
        <v>19</v>
      </c>
      <c r="H2035" s="296" t="s">
        <v>20</v>
      </c>
      <c r="I2035" s="296" t="s">
        <v>256</v>
      </c>
      <c r="J2035" s="296" t="s">
        <v>928</v>
      </c>
      <c r="K2035" s="296" t="s">
        <v>257</v>
      </c>
      <c r="L2035" s="296">
        <v>188</v>
      </c>
      <c r="M2035" s="296" t="s">
        <v>258</v>
      </c>
      <c r="N2035" s="296">
        <v>1000</v>
      </c>
      <c r="O2035" s="296">
        <v>1000</v>
      </c>
      <c r="P2035" s="296">
        <v>1000</v>
      </c>
      <c r="Q2035" s="296">
        <v>2</v>
      </c>
      <c r="R2035" s="296">
        <v>2</v>
      </c>
      <c r="S2035" s="296" t="s">
        <v>354</v>
      </c>
      <c r="T2035" s="296" t="s">
        <v>3103</v>
      </c>
      <c r="U2035" s="296" t="s">
        <v>3106</v>
      </c>
      <c r="V2035" s="296" t="s">
        <v>355</v>
      </c>
      <c r="W2035" s="296" t="s">
        <v>928</v>
      </c>
      <c r="X2035" s="296" t="s">
        <v>928</v>
      </c>
    </row>
    <row r="2036" spans="1:24" ht="13.5" x14ac:dyDescent="0.15">
      <c r="A2036" s="296">
        <v>3770591</v>
      </c>
      <c r="B2036" s="296" t="s">
        <v>351</v>
      </c>
      <c r="C2036" s="296" t="s">
        <v>1801</v>
      </c>
      <c r="D2036" s="296" t="s">
        <v>353</v>
      </c>
      <c r="E2036" s="296" t="s">
        <v>116</v>
      </c>
      <c r="F2036" s="296">
        <v>3</v>
      </c>
      <c r="G2036" s="296" t="s">
        <v>19</v>
      </c>
      <c r="H2036" s="296" t="s">
        <v>20</v>
      </c>
      <c r="I2036" s="296" t="s">
        <v>143</v>
      </c>
      <c r="J2036" s="296" t="s">
        <v>928</v>
      </c>
      <c r="K2036" s="296" t="s">
        <v>144</v>
      </c>
      <c r="L2036" s="296">
        <v>50</v>
      </c>
      <c r="M2036" s="296" t="s">
        <v>145</v>
      </c>
      <c r="N2036" s="296">
        <v>1005</v>
      </c>
      <c r="O2036" s="296">
        <v>1000</v>
      </c>
      <c r="P2036" s="296">
        <v>4000</v>
      </c>
      <c r="Q2036" s="296">
        <v>2</v>
      </c>
      <c r="R2036" s="296">
        <v>8</v>
      </c>
      <c r="S2036" s="296" t="s">
        <v>354</v>
      </c>
      <c r="T2036" s="296" t="s">
        <v>3103</v>
      </c>
      <c r="U2036" s="296" t="s">
        <v>3112</v>
      </c>
      <c r="V2036" s="296" t="s">
        <v>355</v>
      </c>
      <c r="W2036" s="296" t="s">
        <v>928</v>
      </c>
      <c r="X2036" s="296" t="s">
        <v>928</v>
      </c>
    </row>
    <row r="2037" spans="1:24" ht="13.5" x14ac:dyDescent="0.15">
      <c r="A2037" s="296">
        <v>3770592</v>
      </c>
      <c r="B2037" s="296" t="s">
        <v>351</v>
      </c>
      <c r="C2037" s="296" t="s">
        <v>1801</v>
      </c>
      <c r="D2037" s="296" t="s">
        <v>353</v>
      </c>
      <c r="E2037" s="296" t="s">
        <v>116</v>
      </c>
      <c r="F2037" s="296">
        <v>3</v>
      </c>
      <c r="G2037" s="296" t="s">
        <v>19</v>
      </c>
      <c r="H2037" s="296" t="s">
        <v>20</v>
      </c>
      <c r="I2037" s="296" t="s">
        <v>143</v>
      </c>
      <c r="J2037" s="296" t="s">
        <v>928</v>
      </c>
      <c r="K2037" s="296" t="s">
        <v>144</v>
      </c>
      <c r="L2037" s="296">
        <v>75</v>
      </c>
      <c r="M2037" s="296" t="s">
        <v>145</v>
      </c>
      <c r="N2037" s="296">
        <v>1005</v>
      </c>
      <c r="O2037" s="296">
        <v>1000</v>
      </c>
      <c r="P2037" s="296">
        <v>3000</v>
      </c>
      <c r="Q2037" s="296">
        <v>2</v>
      </c>
      <c r="R2037" s="296">
        <v>3</v>
      </c>
      <c r="S2037" s="296" t="s">
        <v>354</v>
      </c>
      <c r="T2037" s="296" t="s">
        <v>3103</v>
      </c>
      <c r="U2037" s="296" t="s">
        <v>3112</v>
      </c>
      <c r="V2037" s="296" t="s">
        <v>355</v>
      </c>
      <c r="W2037" s="296" t="s">
        <v>928</v>
      </c>
      <c r="X2037" s="296" t="s">
        <v>928</v>
      </c>
    </row>
    <row r="2038" spans="1:24" ht="13.5" x14ac:dyDescent="0.15">
      <c r="A2038" s="296">
        <v>3774180</v>
      </c>
      <c r="B2038" s="296" t="s">
        <v>351</v>
      </c>
      <c r="C2038" s="296" t="s">
        <v>1796</v>
      </c>
      <c r="D2038" s="296" t="s">
        <v>353</v>
      </c>
      <c r="E2038" s="296" t="s">
        <v>32</v>
      </c>
      <c r="F2038" s="296">
        <v>3</v>
      </c>
      <c r="G2038" s="296" t="s">
        <v>19</v>
      </c>
      <c r="H2038" s="296" t="s">
        <v>20</v>
      </c>
      <c r="I2038" s="296" t="s">
        <v>21</v>
      </c>
      <c r="J2038" s="296" t="s">
        <v>928</v>
      </c>
      <c r="K2038" s="296" t="s">
        <v>56</v>
      </c>
      <c r="L2038" s="296">
        <v>75</v>
      </c>
      <c r="M2038" s="296" t="s">
        <v>376</v>
      </c>
      <c r="N2038" s="296">
        <v>1330</v>
      </c>
      <c r="O2038" s="296">
        <v>1330</v>
      </c>
      <c r="P2038" s="296">
        <v>3900</v>
      </c>
      <c r="Q2038" s="296">
        <v>2</v>
      </c>
      <c r="R2038" s="296">
        <v>40</v>
      </c>
      <c r="S2038" s="296" t="s">
        <v>354</v>
      </c>
      <c r="T2038" s="296" t="s">
        <v>3163</v>
      </c>
      <c r="U2038" s="296" t="s">
        <v>3164</v>
      </c>
      <c r="V2038" s="296" t="s">
        <v>355</v>
      </c>
      <c r="W2038" s="296" t="s">
        <v>928</v>
      </c>
      <c r="X2038" s="296" t="s">
        <v>928</v>
      </c>
    </row>
    <row r="2039" spans="1:24" ht="13.5" x14ac:dyDescent="0.15">
      <c r="A2039" s="296">
        <v>3778881</v>
      </c>
      <c r="B2039" s="296" t="s">
        <v>351</v>
      </c>
      <c r="C2039" s="296" t="s">
        <v>1796</v>
      </c>
      <c r="D2039" s="296" t="s">
        <v>353</v>
      </c>
      <c r="E2039" s="296" t="s">
        <v>32</v>
      </c>
      <c r="F2039" s="296">
        <v>3</v>
      </c>
      <c r="G2039" s="296" t="s">
        <v>19</v>
      </c>
      <c r="H2039" s="296" t="s">
        <v>20</v>
      </c>
      <c r="I2039" s="296" t="s">
        <v>21</v>
      </c>
      <c r="J2039" s="296" t="s">
        <v>928</v>
      </c>
      <c r="K2039" s="296" t="s">
        <v>56</v>
      </c>
      <c r="L2039" s="296">
        <v>75</v>
      </c>
      <c r="M2039" s="296" t="s">
        <v>376</v>
      </c>
      <c r="N2039" s="296">
        <v>1330</v>
      </c>
      <c r="O2039" s="296">
        <v>1330</v>
      </c>
      <c r="P2039" s="296">
        <v>3900</v>
      </c>
      <c r="Q2039" s="296">
        <v>2</v>
      </c>
      <c r="R2039" s="296">
        <v>36</v>
      </c>
      <c r="S2039" s="296" t="s">
        <v>354</v>
      </c>
      <c r="T2039" s="296" t="s">
        <v>3182</v>
      </c>
      <c r="U2039" s="296" t="s">
        <v>3183</v>
      </c>
      <c r="V2039" s="296" t="s">
        <v>355</v>
      </c>
      <c r="W2039" s="417"/>
      <c r="X2039" s="417"/>
    </row>
    <row r="2040" spans="1:24" ht="13.5" x14ac:dyDescent="0.15">
      <c r="A2040" s="296">
        <v>3778882</v>
      </c>
      <c r="B2040" s="296" t="s">
        <v>351</v>
      </c>
      <c r="C2040" s="296" t="s">
        <v>1796</v>
      </c>
      <c r="D2040" s="296" t="s">
        <v>353</v>
      </c>
      <c r="E2040" s="296" t="s">
        <v>17</v>
      </c>
      <c r="F2040" s="296">
        <v>331</v>
      </c>
      <c r="G2040" s="296" t="s">
        <v>19</v>
      </c>
      <c r="H2040" s="296" t="s">
        <v>20</v>
      </c>
      <c r="I2040" s="296" t="s">
        <v>21</v>
      </c>
      <c r="J2040" s="296" t="s">
        <v>928</v>
      </c>
      <c r="K2040" s="296" t="s">
        <v>52</v>
      </c>
      <c r="L2040" s="296">
        <v>38</v>
      </c>
      <c r="M2040" s="296" t="s">
        <v>53</v>
      </c>
      <c r="N2040" s="296">
        <v>1330</v>
      </c>
      <c r="O2040" s="296">
        <v>1330</v>
      </c>
      <c r="P2040" s="296">
        <v>6000</v>
      </c>
      <c r="Q2040" s="296">
        <v>2</v>
      </c>
      <c r="R2040" s="296">
        <v>60</v>
      </c>
      <c r="S2040" s="296" t="s">
        <v>354</v>
      </c>
      <c r="T2040" s="296" t="s">
        <v>3182</v>
      </c>
      <c r="U2040" s="296" t="s">
        <v>3183</v>
      </c>
      <c r="V2040" s="296" t="s">
        <v>355</v>
      </c>
      <c r="W2040" s="417"/>
      <c r="X2040" s="417"/>
    </row>
    <row r="2041" spans="1:24" ht="13.5" x14ac:dyDescent="0.15">
      <c r="A2041" s="296">
        <v>3778883</v>
      </c>
      <c r="B2041" s="296" t="s">
        <v>431</v>
      </c>
      <c r="C2041" s="296" t="s">
        <v>1796</v>
      </c>
      <c r="D2041" s="296" t="s">
        <v>353</v>
      </c>
      <c r="E2041" s="296" t="s">
        <v>928</v>
      </c>
      <c r="F2041" s="296">
        <v>3</v>
      </c>
      <c r="G2041" s="296" t="s">
        <v>265</v>
      </c>
      <c r="H2041" s="296" t="s">
        <v>20</v>
      </c>
      <c r="I2041" s="296" t="s">
        <v>21</v>
      </c>
      <c r="J2041" s="296" t="s">
        <v>928</v>
      </c>
      <c r="K2041" s="296" t="s">
        <v>632</v>
      </c>
      <c r="L2041" s="296">
        <v>75</v>
      </c>
      <c r="M2041" s="296" t="s">
        <v>633</v>
      </c>
      <c r="N2041" s="296">
        <v>1300</v>
      </c>
      <c r="O2041" s="296">
        <v>1300</v>
      </c>
      <c r="P2041" s="296">
        <v>4300</v>
      </c>
      <c r="Q2041" s="296">
        <v>2</v>
      </c>
      <c r="R2041" s="296">
        <v>3</v>
      </c>
      <c r="S2041" s="296" t="s">
        <v>354</v>
      </c>
      <c r="T2041" s="296" t="s">
        <v>3182</v>
      </c>
      <c r="U2041" s="296" t="s">
        <v>3184</v>
      </c>
      <c r="V2041" s="296" t="s">
        <v>355</v>
      </c>
      <c r="W2041" s="417"/>
      <c r="X2041" s="417"/>
    </row>
    <row r="2042" spans="1:24" ht="13.5" x14ac:dyDescent="0.15">
      <c r="A2042" s="296">
        <v>3778884</v>
      </c>
      <c r="B2042" s="296" t="s">
        <v>351</v>
      </c>
      <c r="C2042" s="296" t="s">
        <v>1801</v>
      </c>
      <c r="D2042" s="296" t="s">
        <v>353</v>
      </c>
      <c r="E2042" s="296" t="s">
        <v>371</v>
      </c>
      <c r="F2042" s="296">
        <v>3</v>
      </c>
      <c r="G2042" s="296" t="s">
        <v>19</v>
      </c>
      <c r="H2042" s="296" t="s">
        <v>28</v>
      </c>
      <c r="I2042" s="296" t="s">
        <v>21</v>
      </c>
      <c r="J2042" s="296" t="s">
        <v>928</v>
      </c>
      <c r="K2042" s="296" t="s">
        <v>465</v>
      </c>
      <c r="L2042" s="296">
        <v>75</v>
      </c>
      <c r="M2042" s="296" t="s">
        <v>466</v>
      </c>
      <c r="N2042" s="296">
        <v>1040</v>
      </c>
      <c r="O2042" s="296">
        <v>1040</v>
      </c>
      <c r="P2042" s="296">
        <v>4000</v>
      </c>
      <c r="Q2042" s="296">
        <v>1</v>
      </c>
      <c r="R2042" s="296">
        <v>1</v>
      </c>
      <c r="S2042" s="296" t="s">
        <v>354</v>
      </c>
      <c r="T2042" s="296" t="s">
        <v>3182</v>
      </c>
      <c r="U2042" s="296" t="s">
        <v>3184</v>
      </c>
      <c r="V2042" s="296" t="s">
        <v>355</v>
      </c>
      <c r="W2042" s="417"/>
      <c r="X2042" s="417"/>
    </row>
    <row r="2043" spans="1:24" ht="13.5" x14ac:dyDescent="0.15">
      <c r="A2043" s="296">
        <v>3778885</v>
      </c>
      <c r="B2043" s="296" t="s">
        <v>351</v>
      </c>
      <c r="C2043" s="296" t="s">
        <v>1801</v>
      </c>
      <c r="D2043" s="296" t="s">
        <v>353</v>
      </c>
      <c r="E2043" s="296" t="s">
        <v>371</v>
      </c>
      <c r="F2043" s="296">
        <v>3</v>
      </c>
      <c r="G2043" s="296" t="s">
        <v>19</v>
      </c>
      <c r="H2043" s="296" t="s">
        <v>28</v>
      </c>
      <c r="I2043" s="296" t="s">
        <v>21</v>
      </c>
      <c r="J2043" s="296" t="s">
        <v>928</v>
      </c>
      <c r="K2043" s="296" t="s">
        <v>60</v>
      </c>
      <c r="L2043" s="296">
        <v>75</v>
      </c>
      <c r="M2043" s="296" t="s">
        <v>372</v>
      </c>
      <c r="N2043" s="296">
        <v>1040</v>
      </c>
      <c r="O2043" s="296">
        <v>1040</v>
      </c>
      <c r="P2043" s="296">
        <v>4000</v>
      </c>
      <c r="Q2043" s="296">
        <v>1</v>
      </c>
      <c r="R2043" s="296">
        <v>2</v>
      </c>
      <c r="S2043" s="296" t="s">
        <v>354</v>
      </c>
      <c r="T2043" s="296" t="s">
        <v>3182</v>
      </c>
      <c r="U2043" s="296" t="s">
        <v>3184</v>
      </c>
      <c r="V2043" s="296" t="s">
        <v>355</v>
      </c>
      <c r="W2043" s="417"/>
      <c r="X2043" s="417"/>
    </row>
    <row r="2044" spans="1:24" ht="13.5" x14ac:dyDescent="0.15">
      <c r="A2044" s="296">
        <v>3778886</v>
      </c>
      <c r="B2044" s="296" t="s">
        <v>351</v>
      </c>
      <c r="C2044" s="296" t="s">
        <v>1796</v>
      </c>
      <c r="D2044" s="296" t="s">
        <v>353</v>
      </c>
      <c r="E2044" s="296" t="s">
        <v>130</v>
      </c>
      <c r="F2044" s="296">
        <v>330</v>
      </c>
      <c r="G2044" s="296" t="s">
        <v>19</v>
      </c>
      <c r="H2044" s="296" t="s">
        <v>20</v>
      </c>
      <c r="I2044" s="296" t="s">
        <v>21</v>
      </c>
      <c r="J2044" s="296" t="s">
        <v>928</v>
      </c>
      <c r="K2044" s="296" t="s">
        <v>2337</v>
      </c>
      <c r="L2044" s="296">
        <v>25</v>
      </c>
      <c r="M2044" s="296" t="s">
        <v>2338</v>
      </c>
      <c r="N2044" s="296">
        <v>1420</v>
      </c>
      <c r="O2044" s="296">
        <v>1420</v>
      </c>
      <c r="P2044" s="296">
        <v>12400</v>
      </c>
      <c r="Q2044" s="296">
        <v>2</v>
      </c>
      <c r="R2044" s="296">
        <v>9</v>
      </c>
      <c r="S2044" s="296" t="s">
        <v>354</v>
      </c>
      <c r="T2044" s="296" t="s">
        <v>3182</v>
      </c>
      <c r="U2044" s="296" t="s">
        <v>3184</v>
      </c>
      <c r="V2044" s="296" t="s">
        <v>355</v>
      </c>
      <c r="W2044" s="417"/>
      <c r="X2044" s="417"/>
    </row>
    <row r="2045" spans="1:24" ht="13.5" x14ac:dyDescent="0.15">
      <c r="A2045" s="296">
        <v>3778887</v>
      </c>
      <c r="B2045" s="296" t="s">
        <v>351</v>
      </c>
      <c r="C2045" s="296" t="s">
        <v>1796</v>
      </c>
      <c r="D2045" s="296" t="s">
        <v>353</v>
      </c>
      <c r="E2045" s="296" t="s">
        <v>130</v>
      </c>
      <c r="F2045" s="296">
        <v>330</v>
      </c>
      <c r="G2045" s="296" t="s">
        <v>19</v>
      </c>
      <c r="H2045" s="296" t="s">
        <v>20</v>
      </c>
      <c r="I2045" s="296" t="s">
        <v>21</v>
      </c>
      <c r="J2045" s="296" t="s">
        <v>928</v>
      </c>
      <c r="K2045" s="296" t="s">
        <v>2337</v>
      </c>
      <c r="L2045" s="296">
        <v>25</v>
      </c>
      <c r="M2045" s="296" t="s">
        <v>2338</v>
      </c>
      <c r="N2045" s="296">
        <v>1420</v>
      </c>
      <c r="O2045" s="296">
        <v>1420</v>
      </c>
      <c r="P2045" s="296">
        <v>6000</v>
      </c>
      <c r="Q2045" s="296">
        <v>2</v>
      </c>
      <c r="R2045" s="296">
        <v>8</v>
      </c>
      <c r="S2045" s="296" t="s">
        <v>354</v>
      </c>
      <c r="T2045" s="296" t="s">
        <v>3182</v>
      </c>
      <c r="U2045" s="296" t="s">
        <v>3184</v>
      </c>
      <c r="V2045" s="296" t="s">
        <v>355</v>
      </c>
      <c r="W2045" s="417"/>
      <c r="X2045" s="417"/>
    </row>
    <row r="2046" spans="1:24" ht="13.5" x14ac:dyDescent="0.15">
      <c r="A2046" s="296">
        <v>3778888</v>
      </c>
      <c r="B2046" s="296" t="s">
        <v>351</v>
      </c>
      <c r="C2046" s="296" t="s">
        <v>1801</v>
      </c>
      <c r="D2046" s="296" t="s">
        <v>353</v>
      </c>
      <c r="E2046" s="296" t="s">
        <v>116</v>
      </c>
      <c r="F2046" s="296">
        <v>3</v>
      </c>
      <c r="G2046" s="296" t="s">
        <v>19</v>
      </c>
      <c r="H2046" s="296" t="s">
        <v>20</v>
      </c>
      <c r="I2046" s="296" t="s">
        <v>21</v>
      </c>
      <c r="J2046" s="296" t="s">
        <v>928</v>
      </c>
      <c r="K2046" s="296" t="s">
        <v>118</v>
      </c>
      <c r="L2046" s="296">
        <v>38</v>
      </c>
      <c r="M2046" s="296" t="s">
        <v>368</v>
      </c>
      <c r="N2046" s="296">
        <v>1415</v>
      </c>
      <c r="O2046" s="296">
        <v>1410</v>
      </c>
      <c r="P2046" s="296">
        <v>8000</v>
      </c>
      <c r="Q2046" s="296">
        <v>2</v>
      </c>
      <c r="R2046" s="296">
        <v>8</v>
      </c>
      <c r="S2046" s="296" t="s">
        <v>354</v>
      </c>
      <c r="T2046" s="296" t="s">
        <v>3182</v>
      </c>
      <c r="U2046" s="296" t="s">
        <v>3185</v>
      </c>
      <c r="V2046" s="296" t="s">
        <v>355</v>
      </c>
      <c r="W2046" s="417"/>
      <c r="X2046" s="417"/>
    </row>
    <row r="2047" spans="1:24" ht="13.5" x14ac:dyDescent="0.15">
      <c r="A2047" s="296">
        <v>3778889</v>
      </c>
      <c r="B2047" s="296" t="s">
        <v>351</v>
      </c>
      <c r="C2047" s="296" t="s">
        <v>1796</v>
      </c>
      <c r="D2047" s="296" t="s">
        <v>353</v>
      </c>
      <c r="E2047" s="296" t="s">
        <v>17</v>
      </c>
      <c r="F2047" s="296">
        <v>3</v>
      </c>
      <c r="G2047" s="296" t="s">
        <v>19</v>
      </c>
      <c r="H2047" s="296" t="s">
        <v>20</v>
      </c>
      <c r="I2047" s="296" t="s">
        <v>21</v>
      </c>
      <c r="J2047" s="296" t="s">
        <v>928</v>
      </c>
      <c r="K2047" s="296" t="s">
        <v>104</v>
      </c>
      <c r="L2047" s="296">
        <v>25</v>
      </c>
      <c r="M2047" s="296" t="s">
        <v>375</v>
      </c>
      <c r="N2047" s="296">
        <v>1325</v>
      </c>
      <c r="O2047" s="296">
        <v>1320</v>
      </c>
      <c r="P2047" s="296">
        <v>6000</v>
      </c>
      <c r="Q2047" s="296">
        <v>2</v>
      </c>
      <c r="R2047" s="296">
        <v>4</v>
      </c>
      <c r="S2047" s="296" t="s">
        <v>354</v>
      </c>
      <c r="T2047" s="296" t="s">
        <v>3182</v>
      </c>
      <c r="U2047" s="296" t="s">
        <v>3184</v>
      </c>
      <c r="V2047" s="296" t="s">
        <v>355</v>
      </c>
      <c r="W2047" s="417"/>
      <c r="X2047" s="417"/>
    </row>
    <row r="2048" spans="1:24" ht="13.5" x14ac:dyDescent="0.15">
      <c r="A2048" s="296">
        <v>3778890</v>
      </c>
      <c r="B2048" s="296" t="s">
        <v>351</v>
      </c>
      <c r="C2048" s="296" t="s">
        <v>1796</v>
      </c>
      <c r="D2048" s="296" t="s">
        <v>353</v>
      </c>
      <c r="E2048" s="296" t="s">
        <v>106</v>
      </c>
      <c r="F2048" s="296">
        <v>3</v>
      </c>
      <c r="G2048" s="296" t="s">
        <v>19</v>
      </c>
      <c r="H2048" s="296" t="s">
        <v>20</v>
      </c>
      <c r="I2048" s="296" t="s">
        <v>21</v>
      </c>
      <c r="J2048" s="296" t="s">
        <v>928</v>
      </c>
      <c r="K2048" s="296" t="s">
        <v>107</v>
      </c>
      <c r="L2048" s="296">
        <v>25</v>
      </c>
      <c r="M2048" s="296" t="s">
        <v>367</v>
      </c>
      <c r="N2048" s="296">
        <v>1240</v>
      </c>
      <c r="O2048" s="296">
        <v>1240</v>
      </c>
      <c r="P2048" s="296">
        <v>6000</v>
      </c>
      <c r="Q2048" s="296">
        <v>2</v>
      </c>
      <c r="R2048" s="296">
        <v>48</v>
      </c>
      <c r="S2048" s="296" t="s">
        <v>354</v>
      </c>
      <c r="T2048" s="296" t="s">
        <v>3182</v>
      </c>
      <c r="U2048" s="296" t="s">
        <v>3184</v>
      </c>
      <c r="V2048" s="296" t="s">
        <v>355</v>
      </c>
      <c r="W2048" s="417"/>
      <c r="X2048" s="417"/>
    </row>
    <row r="2049" spans="1:24" ht="13.5" x14ac:dyDescent="0.15">
      <c r="A2049" s="296">
        <v>3778891</v>
      </c>
      <c r="B2049" s="296" t="s">
        <v>351</v>
      </c>
      <c r="C2049" s="296" t="s">
        <v>1796</v>
      </c>
      <c r="D2049" s="296" t="s">
        <v>353</v>
      </c>
      <c r="E2049" s="296" t="s">
        <v>106</v>
      </c>
      <c r="F2049" s="296">
        <v>3</v>
      </c>
      <c r="G2049" s="296" t="s">
        <v>19</v>
      </c>
      <c r="H2049" s="296" t="s">
        <v>20</v>
      </c>
      <c r="I2049" s="296" t="s">
        <v>21</v>
      </c>
      <c r="J2049" s="296" t="s">
        <v>928</v>
      </c>
      <c r="K2049" s="296" t="s">
        <v>107</v>
      </c>
      <c r="L2049" s="296">
        <v>38</v>
      </c>
      <c r="M2049" s="296" t="s">
        <v>367</v>
      </c>
      <c r="N2049" s="296">
        <v>1240</v>
      </c>
      <c r="O2049" s="296">
        <v>1240</v>
      </c>
      <c r="P2049" s="296">
        <v>6000</v>
      </c>
      <c r="Q2049" s="296">
        <v>2</v>
      </c>
      <c r="R2049" s="296">
        <v>10</v>
      </c>
      <c r="S2049" s="296" t="s">
        <v>354</v>
      </c>
      <c r="T2049" s="296" t="s">
        <v>3182</v>
      </c>
      <c r="U2049" s="296" t="s">
        <v>3184</v>
      </c>
      <c r="V2049" s="296" t="s">
        <v>355</v>
      </c>
      <c r="W2049" s="417"/>
      <c r="X2049" s="417"/>
    </row>
    <row r="2050" spans="1:24" ht="13.5" x14ac:dyDescent="0.15">
      <c r="A2050" s="296">
        <v>3778892</v>
      </c>
      <c r="B2050" s="296" t="s">
        <v>351</v>
      </c>
      <c r="C2050" s="296" t="s">
        <v>1803</v>
      </c>
      <c r="D2050" s="296" t="s">
        <v>353</v>
      </c>
      <c r="E2050" s="296" t="s">
        <v>928</v>
      </c>
      <c r="F2050" s="296">
        <v>3</v>
      </c>
      <c r="G2050" s="296" t="s">
        <v>19</v>
      </c>
      <c r="H2050" s="296" t="s">
        <v>20</v>
      </c>
      <c r="I2050" s="296" t="s">
        <v>21</v>
      </c>
      <c r="J2050" s="296" t="s">
        <v>928</v>
      </c>
      <c r="K2050" s="296" t="s">
        <v>118</v>
      </c>
      <c r="L2050" s="296">
        <v>25</v>
      </c>
      <c r="M2050" s="296" t="s">
        <v>119</v>
      </c>
      <c r="N2050" s="296">
        <v>1100</v>
      </c>
      <c r="O2050" s="296">
        <v>1100</v>
      </c>
      <c r="P2050" s="296">
        <v>12000</v>
      </c>
      <c r="Q2050" s="296">
        <v>2</v>
      </c>
      <c r="R2050" s="296">
        <v>25</v>
      </c>
      <c r="S2050" s="296" t="s">
        <v>354</v>
      </c>
      <c r="T2050" s="296" t="s">
        <v>3182</v>
      </c>
      <c r="U2050" s="296" t="s">
        <v>3184</v>
      </c>
      <c r="V2050" s="296" t="s">
        <v>355</v>
      </c>
      <c r="W2050" s="417"/>
      <c r="X2050" s="417"/>
    </row>
    <row r="2051" spans="1:24" ht="13.5" x14ac:dyDescent="0.15">
      <c r="A2051" s="296">
        <v>3778893</v>
      </c>
      <c r="B2051" s="296" t="s">
        <v>351</v>
      </c>
      <c r="C2051" s="296" t="s">
        <v>1796</v>
      </c>
      <c r="D2051" s="296" t="s">
        <v>353</v>
      </c>
      <c r="E2051" s="296" t="s">
        <v>17</v>
      </c>
      <c r="F2051" s="296">
        <v>3</v>
      </c>
      <c r="G2051" s="296" t="s">
        <v>19</v>
      </c>
      <c r="H2051" s="296" t="s">
        <v>20</v>
      </c>
      <c r="I2051" s="296" t="s">
        <v>21</v>
      </c>
      <c r="J2051" s="296" t="s">
        <v>928</v>
      </c>
      <c r="K2051" s="296" t="s">
        <v>104</v>
      </c>
      <c r="L2051" s="296">
        <v>25</v>
      </c>
      <c r="M2051" s="296" t="s">
        <v>375</v>
      </c>
      <c r="N2051" s="296">
        <v>1100</v>
      </c>
      <c r="O2051" s="296">
        <v>1100</v>
      </c>
      <c r="P2051" s="296">
        <v>12000</v>
      </c>
      <c r="Q2051" s="296">
        <v>2</v>
      </c>
      <c r="R2051" s="296">
        <v>6</v>
      </c>
      <c r="S2051" s="296" t="s">
        <v>354</v>
      </c>
      <c r="T2051" s="296" t="s">
        <v>3182</v>
      </c>
      <c r="U2051" s="296" t="s">
        <v>3184</v>
      </c>
      <c r="V2051" s="296" t="s">
        <v>355</v>
      </c>
      <c r="W2051" s="417"/>
      <c r="X2051" s="417"/>
    </row>
    <row r="2052" spans="1:24" ht="13.5" x14ac:dyDescent="0.15">
      <c r="A2052" s="296">
        <v>3778894</v>
      </c>
      <c r="B2052" s="296" t="s">
        <v>351</v>
      </c>
      <c r="C2052" s="296" t="s">
        <v>1796</v>
      </c>
      <c r="D2052" s="296" t="s">
        <v>353</v>
      </c>
      <c r="E2052" s="296" t="s">
        <v>17</v>
      </c>
      <c r="F2052" s="296">
        <v>3</v>
      </c>
      <c r="G2052" s="296" t="s">
        <v>19</v>
      </c>
      <c r="H2052" s="296" t="s">
        <v>20</v>
      </c>
      <c r="I2052" s="296" t="s">
        <v>21</v>
      </c>
      <c r="J2052" s="296" t="s">
        <v>928</v>
      </c>
      <c r="K2052" s="296" t="s">
        <v>104</v>
      </c>
      <c r="L2052" s="296">
        <v>25</v>
      </c>
      <c r="M2052" s="296" t="s">
        <v>375</v>
      </c>
      <c r="N2052" s="296">
        <v>1050</v>
      </c>
      <c r="O2052" s="296">
        <v>1050</v>
      </c>
      <c r="P2052" s="296">
        <v>12000</v>
      </c>
      <c r="Q2052" s="296">
        <v>2</v>
      </c>
      <c r="R2052" s="296">
        <v>6</v>
      </c>
      <c r="S2052" s="296" t="s">
        <v>354</v>
      </c>
      <c r="T2052" s="296" t="s">
        <v>3182</v>
      </c>
      <c r="U2052" s="296" t="s">
        <v>3184</v>
      </c>
      <c r="V2052" s="296" t="s">
        <v>355</v>
      </c>
      <c r="W2052" s="417"/>
      <c r="X2052" s="417"/>
    </row>
    <row r="2053" spans="1:24" ht="13.5" x14ac:dyDescent="0.15">
      <c r="A2053" s="296">
        <v>3778895</v>
      </c>
      <c r="B2053" s="296" t="s">
        <v>351</v>
      </c>
      <c r="C2053" s="296" t="s">
        <v>1803</v>
      </c>
      <c r="D2053" s="296" t="s">
        <v>353</v>
      </c>
      <c r="E2053" s="296" t="s">
        <v>110</v>
      </c>
      <c r="F2053" s="296">
        <v>331</v>
      </c>
      <c r="G2053" s="296" t="s">
        <v>19</v>
      </c>
      <c r="H2053" s="296" t="s">
        <v>20</v>
      </c>
      <c r="I2053" s="296" t="s">
        <v>21</v>
      </c>
      <c r="J2053" s="296" t="s">
        <v>928</v>
      </c>
      <c r="K2053" s="296" t="s">
        <v>112</v>
      </c>
      <c r="L2053" s="296">
        <v>25</v>
      </c>
      <c r="M2053" s="296" t="s">
        <v>357</v>
      </c>
      <c r="N2053" s="296">
        <v>450</v>
      </c>
      <c r="O2053" s="296">
        <v>450</v>
      </c>
      <c r="P2053" s="296">
        <v>4000</v>
      </c>
      <c r="Q2053" s="296">
        <v>2</v>
      </c>
      <c r="R2053" s="296">
        <v>6</v>
      </c>
      <c r="S2053" s="296" t="s">
        <v>354</v>
      </c>
      <c r="T2053" s="296" t="s">
        <v>3182</v>
      </c>
      <c r="U2053" s="296" t="s">
        <v>3184</v>
      </c>
      <c r="V2053" s="296" t="s">
        <v>355</v>
      </c>
      <c r="W2053" s="417"/>
      <c r="X2053" s="417"/>
    </row>
    <row r="2054" spans="1:24" ht="13.5" x14ac:dyDescent="0.15">
      <c r="A2054" s="296">
        <v>3778896</v>
      </c>
      <c r="B2054" s="296" t="s">
        <v>351</v>
      </c>
      <c r="C2054" s="296" t="s">
        <v>1796</v>
      </c>
      <c r="D2054" s="296" t="s">
        <v>353</v>
      </c>
      <c r="E2054" s="296" t="s">
        <v>106</v>
      </c>
      <c r="F2054" s="296">
        <v>3</v>
      </c>
      <c r="G2054" s="296" t="s">
        <v>19</v>
      </c>
      <c r="H2054" s="296" t="s">
        <v>20</v>
      </c>
      <c r="I2054" s="296" t="s">
        <v>21</v>
      </c>
      <c r="J2054" s="296" t="s">
        <v>928</v>
      </c>
      <c r="K2054" s="296" t="s">
        <v>107</v>
      </c>
      <c r="L2054" s="296">
        <v>25</v>
      </c>
      <c r="M2054" s="296" t="s">
        <v>367</v>
      </c>
      <c r="N2054" s="296">
        <v>1040</v>
      </c>
      <c r="O2054" s="296">
        <v>1040</v>
      </c>
      <c r="P2054" s="296">
        <v>6000</v>
      </c>
      <c r="Q2054" s="296">
        <v>2</v>
      </c>
      <c r="R2054" s="296">
        <v>18</v>
      </c>
      <c r="S2054" s="296" t="s">
        <v>354</v>
      </c>
      <c r="T2054" s="296" t="s">
        <v>3182</v>
      </c>
      <c r="U2054" s="296" t="s">
        <v>3184</v>
      </c>
      <c r="V2054" s="296" t="s">
        <v>355</v>
      </c>
      <c r="W2054" s="417"/>
      <c r="X2054" s="417"/>
    </row>
    <row r="2055" spans="1:24" ht="13.5" x14ac:dyDescent="0.15">
      <c r="A2055" s="296">
        <v>3778897</v>
      </c>
      <c r="B2055" s="296" t="s">
        <v>351</v>
      </c>
      <c r="C2055" s="296" t="s">
        <v>1796</v>
      </c>
      <c r="D2055" s="296" t="s">
        <v>353</v>
      </c>
      <c r="E2055" s="296" t="s">
        <v>106</v>
      </c>
      <c r="F2055" s="296">
        <v>3</v>
      </c>
      <c r="G2055" s="296" t="s">
        <v>19</v>
      </c>
      <c r="H2055" s="296" t="s">
        <v>20</v>
      </c>
      <c r="I2055" s="296" t="s">
        <v>21</v>
      </c>
      <c r="J2055" s="296" t="s">
        <v>928</v>
      </c>
      <c r="K2055" s="296" t="s">
        <v>107</v>
      </c>
      <c r="L2055" s="296">
        <v>38</v>
      </c>
      <c r="M2055" s="296" t="s">
        <v>367</v>
      </c>
      <c r="N2055" s="296">
        <v>1040</v>
      </c>
      <c r="O2055" s="296">
        <v>1040</v>
      </c>
      <c r="P2055" s="296">
        <v>6000</v>
      </c>
      <c r="Q2055" s="296">
        <v>2</v>
      </c>
      <c r="R2055" s="296">
        <v>2</v>
      </c>
      <c r="S2055" s="296" t="s">
        <v>354</v>
      </c>
      <c r="T2055" s="296" t="s">
        <v>3182</v>
      </c>
      <c r="U2055" s="296" t="s">
        <v>3184</v>
      </c>
      <c r="V2055" s="296" t="s">
        <v>355</v>
      </c>
      <c r="W2055" s="417"/>
      <c r="X2055" s="417"/>
    </row>
    <row r="2056" spans="1:24" ht="13.5" x14ac:dyDescent="0.15">
      <c r="A2056" s="296">
        <v>3778898</v>
      </c>
      <c r="B2056" s="296" t="s">
        <v>351</v>
      </c>
      <c r="C2056" s="296" t="s">
        <v>1801</v>
      </c>
      <c r="D2056" s="296" t="s">
        <v>353</v>
      </c>
      <c r="E2056" s="296" t="s">
        <v>116</v>
      </c>
      <c r="F2056" s="296">
        <v>3</v>
      </c>
      <c r="G2056" s="296" t="s">
        <v>19</v>
      </c>
      <c r="H2056" s="296" t="s">
        <v>20</v>
      </c>
      <c r="I2056" s="296" t="s">
        <v>21</v>
      </c>
      <c r="J2056" s="296" t="s">
        <v>928</v>
      </c>
      <c r="K2056" s="296" t="s">
        <v>118</v>
      </c>
      <c r="L2056" s="296">
        <v>38</v>
      </c>
      <c r="M2056" s="296" t="s">
        <v>368</v>
      </c>
      <c r="N2056" s="296">
        <v>1005</v>
      </c>
      <c r="O2056" s="296">
        <v>1000</v>
      </c>
      <c r="P2056" s="296">
        <v>8000</v>
      </c>
      <c r="Q2056" s="296">
        <v>2</v>
      </c>
      <c r="R2056" s="296">
        <v>5</v>
      </c>
      <c r="S2056" s="296" t="s">
        <v>354</v>
      </c>
      <c r="T2056" s="296" t="s">
        <v>3182</v>
      </c>
      <c r="U2056" s="296" t="s">
        <v>3185</v>
      </c>
      <c r="V2056" s="296" t="s">
        <v>355</v>
      </c>
      <c r="W2056" s="417"/>
      <c r="X2056" s="417"/>
    </row>
    <row r="2057" spans="1:24" ht="13.5" x14ac:dyDescent="0.15">
      <c r="A2057" s="296">
        <v>3778899</v>
      </c>
      <c r="B2057" s="296" t="s">
        <v>351</v>
      </c>
      <c r="C2057" s="296" t="s">
        <v>1796</v>
      </c>
      <c r="D2057" s="296" t="s">
        <v>353</v>
      </c>
      <c r="E2057" s="296" t="s">
        <v>32</v>
      </c>
      <c r="F2057" s="296">
        <v>331</v>
      </c>
      <c r="G2057" s="296" t="s">
        <v>19</v>
      </c>
      <c r="H2057" s="296" t="s">
        <v>20</v>
      </c>
      <c r="I2057" s="296" t="s">
        <v>21</v>
      </c>
      <c r="J2057" s="296" t="s">
        <v>928</v>
      </c>
      <c r="K2057" s="296" t="s">
        <v>33</v>
      </c>
      <c r="L2057" s="296">
        <v>25</v>
      </c>
      <c r="M2057" s="296" t="s">
        <v>30</v>
      </c>
      <c r="N2057" s="296">
        <v>1330</v>
      </c>
      <c r="O2057" s="296">
        <v>1330</v>
      </c>
      <c r="P2057" s="296">
        <v>6000</v>
      </c>
      <c r="Q2057" s="296">
        <v>2</v>
      </c>
      <c r="R2057" s="296">
        <v>8</v>
      </c>
      <c r="S2057" s="296" t="s">
        <v>354</v>
      </c>
      <c r="T2057" s="296" t="s">
        <v>3182</v>
      </c>
      <c r="U2057" s="296" t="s">
        <v>3186</v>
      </c>
      <c r="V2057" s="296" t="s">
        <v>355</v>
      </c>
      <c r="W2057" s="417"/>
      <c r="X2057" s="417"/>
    </row>
    <row r="2058" spans="1:24" ht="13.5" x14ac:dyDescent="0.15">
      <c r="A2058" s="296">
        <v>3778900</v>
      </c>
      <c r="B2058" s="296" t="s">
        <v>351</v>
      </c>
      <c r="C2058" s="296" t="s">
        <v>1796</v>
      </c>
      <c r="D2058" s="296" t="s">
        <v>353</v>
      </c>
      <c r="E2058" s="296" t="s">
        <v>32</v>
      </c>
      <c r="F2058" s="296">
        <v>330</v>
      </c>
      <c r="G2058" s="296" t="s">
        <v>19</v>
      </c>
      <c r="H2058" s="296" t="s">
        <v>20</v>
      </c>
      <c r="I2058" s="296" t="s">
        <v>21</v>
      </c>
      <c r="J2058" s="296" t="s">
        <v>928</v>
      </c>
      <c r="K2058" s="296" t="s">
        <v>33</v>
      </c>
      <c r="L2058" s="296">
        <v>38</v>
      </c>
      <c r="M2058" s="296" t="s">
        <v>30</v>
      </c>
      <c r="N2058" s="296">
        <v>1330</v>
      </c>
      <c r="O2058" s="296">
        <v>1330</v>
      </c>
      <c r="P2058" s="296">
        <v>3900</v>
      </c>
      <c r="Q2058" s="296">
        <v>2</v>
      </c>
      <c r="R2058" s="296">
        <v>6</v>
      </c>
      <c r="S2058" s="296" t="s">
        <v>354</v>
      </c>
      <c r="T2058" s="296" t="s">
        <v>3182</v>
      </c>
      <c r="U2058" s="296" t="s">
        <v>3186</v>
      </c>
      <c r="V2058" s="296" t="s">
        <v>355</v>
      </c>
      <c r="W2058" s="417"/>
      <c r="X2058" s="417"/>
    </row>
    <row r="2059" spans="1:24" ht="13.5" x14ac:dyDescent="0.15">
      <c r="A2059" s="296">
        <v>3778901</v>
      </c>
      <c r="B2059" s="296" t="s">
        <v>351</v>
      </c>
      <c r="C2059" s="296" t="s">
        <v>1796</v>
      </c>
      <c r="D2059" s="296" t="s">
        <v>353</v>
      </c>
      <c r="E2059" s="296" t="s">
        <v>17</v>
      </c>
      <c r="F2059" s="296">
        <v>331</v>
      </c>
      <c r="G2059" s="296" t="s">
        <v>19</v>
      </c>
      <c r="H2059" s="296" t="s">
        <v>20</v>
      </c>
      <c r="I2059" s="296" t="s">
        <v>21</v>
      </c>
      <c r="J2059" s="296" t="s">
        <v>928</v>
      </c>
      <c r="K2059" s="296" t="s">
        <v>29</v>
      </c>
      <c r="L2059" s="296">
        <v>38</v>
      </c>
      <c r="M2059" s="296" t="s">
        <v>30</v>
      </c>
      <c r="N2059" s="296">
        <v>1330</v>
      </c>
      <c r="O2059" s="296">
        <v>1330</v>
      </c>
      <c r="P2059" s="296">
        <v>6000</v>
      </c>
      <c r="Q2059" s="296">
        <v>2</v>
      </c>
      <c r="R2059" s="296">
        <v>20</v>
      </c>
      <c r="S2059" s="296" t="s">
        <v>354</v>
      </c>
      <c r="T2059" s="296" t="s">
        <v>3182</v>
      </c>
      <c r="U2059" s="296" t="s">
        <v>3186</v>
      </c>
      <c r="V2059" s="296" t="s">
        <v>355</v>
      </c>
      <c r="W2059" s="417"/>
      <c r="X2059" s="417"/>
    </row>
    <row r="2060" spans="1:24" ht="13.5" x14ac:dyDescent="0.15">
      <c r="A2060" s="296">
        <v>3778902</v>
      </c>
      <c r="B2060" s="296" t="s">
        <v>351</v>
      </c>
      <c r="C2060" s="296" t="s">
        <v>1796</v>
      </c>
      <c r="D2060" s="296" t="s">
        <v>353</v>
      </c>
      <c r="E2060" s="296" t="s">
        <v>17</v>
      </c>
      <c r="F2060" s="296">
        <v>3</v>
      </c>
      <c r="G2060" s="296" t="s">
        <v>19</v>
      </c>
      <c r="H2060" s="296" t="s">
        <v>20</v>
      </c>
      <c r="I2060" s="296" t="s">
        <v>21</v>
      </c>
      <c r="J2060" s="296" t="s">
        <v>928</v>
      </c>
      <c r="K2060" s="296" t="s">
        <v>22</v>
      </c>
      <c r="L2060" s="296">
        <v>38</v>
      </c>
      <c r="M2060" s="296" t="s">
        <v>23</v>
      </c>
      <c r="N2060" s="296">
        <v>1057</v>
      </c>
      <c r="O2060" s="296">
        <v>1050</v>
      </c>
      <c r="P2060" s="296">
        <v>8400</v>
      </c>
      <c r="Q2060" s="296">
        <v>2</v>
      </c>
      <c r="R2060" s="296">
        <v>5</v>
      </c>
      <c r="S2060" s="296" t="s">
        <v>354</v>
      </c>
      <c r="T2060" s="296" t="s">
        <v>3182</v>
      </c>
      <c r="U2060" s="296" t="s">
        <v>3186</v>
      </c>
      <c r="V2060" s="296" t="s">
        <v>355</v>
      </c>
      <c r="W2060" s="417"/>
      <c r="X2060" s="417"/>
    </row>
    <row r="2061" spans="1:24" ht="13.5" x14ac:dyDescent="0.15">
      <c r="A2061" s="296">
        <v>3778903</v>
      </c>
      <c r="B2061" s="296" t="s">
        <v>351</v>
      </c>
      <c r="C2061" s="296" t="s">
        <v>1814</v>
      </c>
      <c r="D2061" s="296" t="s">
        <v>353</v>
      </c>
      <c r="E2061" s="296" t="s">
        <v>40</v>
      </c>
      <c r="F2061" s="296">
        <v>3</v>
      </c>
      <c r="G2061" s="296" t="s">
        <v>19</v>
      </c>
      <c r="H2061" s="296" t="s">
        <v>20</v>
      </c>
      <c r="I2061" s="296" t="s">
        <v>21</v>
      </c>
      <c r="J2061" s="296" t="s">
        <v>928</v>
      </c>
      <c r="K2061" s="296" t="s">
        <v>42</v>
      </c>
      <c r="L2061" s="296">
        <v>25</v>
      </c>
      <c r="M2061" s="296" t="s">
        <v>43</v>
      </c>
      <c r="N2061" s="296">
        <v>1045</v>
      </c>
      <c r="O2061" s="296">
        <v>1040</v>
      </c>
      <c r="P2061" s="296">
        <v>6000</v>
      </c>
      <c r="Q2061" s="296">
        <v>2</v>
      </c>
      <c r="R2061" s="296">
        <v>6</v>
      </c>
      <c r="S2061" s="296" t="s">
        <v>354</v>
      </c>
      <c r="T2061" s="296" t="s">
        <v>3182</v>
      </c>
      <c r="U2061" s="296" t="s">
        <v>3186</v>
      </c>
      <c r="V2061" s="296" t="s">
        <v>355</v>
      </c>
      <c r="W2061" s="417"/>
      <c r="X2061" s="417"/>
    </row>
    <row r="2062" spans="1:24" ht="13.5" x14ac:dyDescent="0.15">
      <c r="A2062" s="296">
        <v>3778904</v>
      </c>
      <c r="B2062" s="296" t="s">
        <v>351</v>
      </c>
      <c r="C2062" s="296" t="s">
        <v>1796</v>
      </c>
      <c r="D2062" s="296" t="s">
        <v>353</v>
      </c>
      <c r="E2062" s="296" t="s">
        <v>17</v>
      </c>
      <c r="F2062" s="296">
        <v>3</v>
      </c>
      <c r="G2062" s="296" t="s">
        <v>19</v>
      </c>
      <c r="H2062" s="296" t="s">
        <v>20</v>
      </c>
      <c r="I2062" s="296" t="s">
        <v>21</v>
      </c>
      <c r="J2062" s="296" t="s">
        <v>928</v>
      </c>
      <c r="K2062" s="296" t="s">
        <v>22</v>
      </c>
      <c r="L2062" s="296">
        <v>38</v>
      </c>
      <c r="M2062" s="296" t="s">
        <v>23</v>
      </c>
      <c r="N2062" s="296">
        <v>1037</v>
      </c>
      <c r="O2062" s="296">
        <v>1030</v>
      </c>
      <c r="P2062" s="296">
        <v>8500</v>
      </c>
      <c r="Q2062" s="296">
        <v>2</v>
      </c>
      <c r="R2062" s="296">
        <v>70</v>
      </c>
      <c r="S2062" s="296" t="s">
        <v>354</v>
      </c>
      <c r="T2062" s="296" t="s">
        <v>3182</v>
      </c>
      <c r="U2062" s="296" t="s">
        <v>3186</v>
      </c>
      <c r="V2062" s="296" t="s">
        <v>355</v>
      </c>
      <c r="W2062" s="417"/>
      <c r="X2062" s="417"/>
    </row>
    <row r="2063" spans="1:24" ht="13.5" x14ac:dyDescent="0.15">
      <c r="A2063" s="296">
        <v>3778905</v>
      </c>
      <c r="B2063" s="296" t="s">
        <v>351</v>
      </c>
      <c r="C2063" s="296" t="s">
        <v>1803</v>
      </c>
      <c r="D2063" s="296" t="s">
        <v>353</v>
      </c>
      <c r="E2063" s="296" t="s">
        <v>65</v>
      </c>
      <c r="F2063" s="296">
        <v>3321</v>
      </c>
      <c r="G2063" s="296" t="s">
        <v>19</v>
      </c>
      <c r="H2063" s="296" t="s">
        <v>20</v>
      </c>
      <c r="I2063" s="296" t="s">
        <v>21</v>
      </c>
      <c r="J2063" s="296" t="s">
        <v>928</v>
      </c>
      <c r="K2063" s="296" t="s">
        <v>67</v>
      </c>
      <c r="L2063" s="296">
        <v>38</v>
      </c>
      <c r="M2063" s="296" t="s">
        <v>68</v>
      </c>
      <c r="N2063" s="296">
        <v>1336</v>
      </c>
      <c r="O2063" s="296">
        <v>1325</v>
      </c>
      <c r="P2063" s="296">
        <v>12000</v>
      </c>
      <c r="Q2063" s="296">
        <v>2</v>
      </c>
      <c r="R2063" s="296">
        <v>42</v>
      </c>
      <c r="S2063" s="296" t="s">
        <v>354</v>
      </c>
      <c r="T2063" s="296" t="s">
        <v>3182</v>
      </c>
      <c r="U2063" s="296" t="s">
        <v>3187</v>
      </c>
      <c r="V2063" s="296" t="s">
        <v>355</v>
      </c>
      <c r="W2063" s="417"/>
      <c r="X2063" s="417"/>
    </row>
    <row r="2064" spans="1:24" ht="13.5" x14ac:dyDescent="0.15">
      <c r="A2064" s="296">
        <v>3778906</v>
      </c>
      <c r="B2064" s="296" t="s">
        <v>351</v>
      </c>
      <c r="C2064" s="296" t="s">
        <v>1803</v>
      </c>
      <c r="D2064" s="296" t="s">
        <v>353</v>
      </c>
      <c r="E2064" s="296" t="s">
        <v>65</v>
      </c>
      <c r="F2064" s="296">
        <v>3321</v>
      </c>
      <c r="G2064" s="296" t="s">
        <v>19</v>
      </c>
      <c r="H2064" s="296" t="s">
        <v>20</v>
      </c>
      <c r="I2064" s="296" t="s">
        <v>21</v>
      </c>
      <c r="J2064" s="296" t="s">
        <v>928</v>
      </c>
      <c r="K2064" s="296" t="s">
        <v>70</v>
      </c>
      <c r="L2064" s="296">
        <v>38</v>
      </c>
      <c r="M2064" s="296" t="s">
        <v>71</v>
      </c>
      <c r="N2064" s="296">
        <v>1336</v>
      </c>
      <c r="O2064" s="296">
        <v>1325</v>
      </c>
      <c r="P2064" s="296">
        <v>12000</v>
      </c>
      <c r="Q2064" s="296">
        <v>2</v>
      </c>
      <c r="R2064" s="296">
        <v>44</v>
      </c>
      <c r="S2064" s="296" t="s">
        <v>354</v>
      </c>
      <c r="T2064" s="296" t="s">
        <v>3182</v>
      </c>
      <c r="U2064" s="296" t="s">
        <v>3187</v>
      </c>
      <c r="V2064" s="296" t="s">
        <v>355</v>
      </c>
      <c r="W2064" s="417"/>
      <c r="X2064" s="417"/>
    </row>
    <row r="2065" spans="1:24" ht="13.5" x14ac:dyDescent="0.15">
      <c r="A2065" s="296">
        <v>3778907</v>
      </c>
      <c r="B2065" s="296" t="s">
        <v>431</v>
      </c>
      <c r="C2065" s="296" t="s">
        <v>1803</v>
      </c>
      <c r="D2065" s="296" t="s">
        <v>353</v>
      </c>
      <c r="E2065" s="296" t="s">
        <v>61</v>
      </c>
      <c r="F2065" s="296">
        <v>3</v>
      </c>
      <c r="G2065" s="296" t="s">
        <v>265</v>
      </c>
      <c r="H2065" s="296" t="s">
        <v>20</v>
      </c>
      <c r="I2065" s="296" t="s">
        <v>21</v>
      </c>
      <c r="J2065" s="296" t="s">
        <v>928</v>
      </c>
      <c r="K2065" s="296" t="s">
        <v>292</v>
      </c>
      <c r="L2065" s="296">
        <v>38</v>
      </c>
      <c r="M2065" s="296" t="s">
        <v>293</v>
      </c>
      <c r="N2065" s="296">
        <v>750</v>
      </c>
      <c r="O2065" s="296">
        <v>750</v>
      </c>
      <c r="P2065" s="296">
        <v>6000</v>
      </c>
      <c r="Q2065" s="296">
        <v>2</v>
      </c>
      <c r="R2065" s="296">
        <v>22</v>
      </c>
      <c r="S2065" s="296" t="s">
        <v>354</v>
      </c>
      <c r="T2065" s="296" t="s">
        <v>3182</v>
      </c>
      <c r="U2065" s="296" t="s">
        <v>3187</v>
      </c>
      <c r="V2065" s="296" t="s">
        <v>355</v>
      </c>
      <c r="W2065" s="417"/>
      <c r="X2065" s="417"/>
    </row>
    <row r="2066" spans="1:24" ht="13.5" x14ac:dyDescent="0.15">
      <c r="A2066" s="296">
        <v>3778908</v>
      </c>
      <c r="B2066" s="296" t="s">
        <v>351</v>
      </c>
      <c r="C2066" s="296" t="s">
        <v>1803</v>
      </c>
      <c r="D2066" s="296" t="s">
        <v>353</v>
      </c>
      <c r="E2066" s="296" t="s">
        <v>61</v>
      </c>
      <c r="F2066" s="296">
        <v>3313</v>
      </c>
      <c r="G2066" s="296" t="s">
        <v>19</v>
      </c>
      <c r="H2066" s="296" t="s">
        <v>20</v>
      </c>
      <c r="I2066" s="296" t="s">
        <v>21</v>
      </c>
      <c r="J2066" s="296" t="s">
        <v>928</v>
      </c>
      <c r="K2066" s="296" t="s">
        <v>62</v>
      </c>
      <c r="L2066" s="296">
        <v>38</v>
      </c>
      <c r="M2066" s="296" t="s">
        <v>63</v>
      </c>
      <c r="N2066" s="296">
        <v>750</v>
      </c>
      <c r="O2066" s="296">
        <v>750</v>
      </c>
      <c r="P2066" s="296">
        <v>6000</v>
      </c>
      <c r="Q2066" s="296">
        <v>2</v>
      </c>
      <c r="R2066" s="296">
        <v>20</v>
      </c>
      <c r="S2066" s="296" t="s">
        <v>354</v>
      </c>
      <c r="T2066" s="296" t="s">
        <v>3182</v>
      </c>
      <c r="U2066" s="296" t="s">
        <v>3187</v>
      </c>
      <c r="V2066" s="296" t="s">
        <v>355</v>
      </c>
      <c r="W2066" s="417"/>
      <c r="X2066" s="417"/>
    </row>
    <row r="2067" spans="1:24" ht="13.5" x14ac:dyDescent="0.15">
      <c r="A2067" s="296">
        <v>3778909</v>
      </c>
      <c r="B2067" s="296" t="s">
        <v>351</v>
      </c>
      <c r="C2067" s="296" t="s">
        <v>1803</v>
      </c>
      <c r="D2067" s="296" t="s">
        <v>353</v>
      </c>
      <c r="E2067" s="296" t="s">
        <v>73</v>
      </c>
      <c r="F2067" s="296">
        <v>331</v>
      </c>
      <c r="G2067" s="296" t="s">
        <v>19</v>
      </c>
      <c r="H2067" s="296" t="s">
        <v>20</v>
      </c>
      <c r="I2067" s="296" t="s">
        <v>21</v>
      </c>
      <c r="J2067" s="296" t="s">
        <v>928</v>
      </c>
      <c r="K2067" s="296" t="s">
        <v>74</v>
      </c>
      <c r="L2067" s="296">
        <v>38</v>
      </c>
      <c r="M2067" s="296" t="s">
        <v>365</v>
      </c>
      <c r="N2067" s="296">
        <v>315</v>
      </c>
      <c r="O2067" s="296">
        <v>315</v>
      </c>
      <c r="P2067" s="296">
        <v>1950</v>
      </c>
      <c r="Q2067" s="296">
        <v>2</v>
      </c>
      <c r="R2067" s="296">
        <v>9</v>
      </c>
      <c r="S2067" s="296" t="s">
        <v>354</v>
      </c>
      <c r="T2067" s="296" t="s">
        <v>3182</v>
      </c>
      <c r="U2067" s="296" t="s">
        <v>3187</v>
      </c>
      <c r="V2067" s="296" t="s">
        <v>355</v>
      </c>
      <c r="W2067" s="417"/>
      <c r="X2067" s="417"/>
    </row>
    <row r="2068" spans="1:24" ht="13.5" x14ac:dyDescent="0.15">
      <c r="A2068" s="296">
        <v>3778909</v>
      </c>
      <c r="B2068" s="296" t="s">
        <v>351</v>
      </c>
      <c r="C2068" s="296" t="s">
        <v>1803</v>
      </c>
      <c r="D2068" s="296" t="s">
        <v>353</v>
      </c>
      <c r="E2068" s="296" t="s">
        <v>73</v>
      </c>
      <c r="F2068" s="296">
        <v>331</v>
      </c>
      <c r="G2068" s="296" t="s">
        <v>19</v>
      </c>
      <c r="H2068" s="296" t="s">
        <v>20</v>
      </c>
      <c r="I2068" s="296" t="s">
        <v>21</v>
      </c>
      <c r="J2068" s="296" t="s">
        <v>928</v>
      </c>
      <c r="K2068" s="296" t="s">
        <v>74</v>
      </c>
      <c r="L2068" s="296">
        <v>38</v>
      </c>
      <c r="M2068" s="296" t="s">
        <v>365</v>
      </c>
      <c r="N2068" s="296">
        <v>415</v>
      </c>
      <c r="O2068" s="296">
        <v>415</v>
      </c>
      <c r="P2068" s="296">
        <v>1950</v>
      </c>
      <c r="Q2068" s="296">
        <v>2</v>
      </c>
      <c r="R2068" s="296">
        <v>9</v>
      </c>
      <c r="S2068" s="296" t="s">
        <v>354</v>
      </c>
      <c r="T2068" s="296" t="s">
        <v>3182</v>
      </c>
      <c r="U2068" s="296" t="s">
        <v>3187</v>
      </c>
      <c r="V2068" s="296" t="s">
        <v>355</v>
      </c>
      <c r="W2068" s="417"/>
      <c r="X2068" s="417"/>
    </row>
    <row r="2069" spans="1:24" ht="13.5" x14ac:dyDescent="0.15">
      <c r="A2069" s="296">
        <v>3778910</v>
      </c>
      <c r="B2069" s="296" t="s">
        <v>351</v>
      </c>
      <c r="C2069" s="296" t="s">
        <v>1803</v>
      </c>
      <c r="D2069" s="296" t="s">
        <v>353</v>
      </c>
      <c r="E2069" s="296" t="s">
        <v>73</v>
      </c>
      <c r="F2069" s="296">
        <v>331</v>
      </c>
      <c r="G2069" s="296" t="s">
        <v>19</v>
      </c>
      <c r="H2069" s="296" t="s">
        <v>20</v>
      </c>
      <c r="I2069" s="296" t="s">
        <v>21</v>
      </c>
      <c r="J2069" s="296" t="s">
        <v>928</v>
      </c>
      <c r="K2069" s="296" t="s">
        <v>74</v>
      </c>
      <c r="L2069" s="296">
        <v>38</v>
      </c>
      <c r="M2069" s="296" t="s">
        <v>365</v>
      </c>
      <c r="N2069" s="296">
        <v>415</v>
      </c>
      <c r="O2069" s="296">
        <v>415</v>
      </c>
      <c r="P2069" s="296">
        <v>1950</v>
      </c>
      <c r="Q2069" s="296">
        <v>2</v>
      </c>
      <c r="R2069" s="296">
        <v>36</v>
      </c>
      <c r="S2069" s="296" t="s">
        <v>354</v>
      </c>
      <c r="T2069" s="296" t="s">
        <v>3182</v>
      </c>
      <c r="U2069" s="296" t="s">
        <v>3187</v>
      </c>
      <c r="V2069" s="296" t="s">
        <v>355</v>
      </c>
      <c r="W2069" s="417"/>
      <c r="X2069" s="417"/>
    </row>
    <row r="2070" spans="1:24" ht="13.5" x14ac:dyDescent="0.15">
      <c r="A2070" s="296">
        <v>3778911</v>
      </c>
      <c r="B2070" s="296" t="s">
        <v>431</v>
      </c>
      <c r="C2070" s="296" t="s">
        <v>1803</v>
      </c>
      <c r="D2070" s="296" t="s">
        <v>353</v>
      </c>
      <c r="E2070" s="296" t="s">
        <v>61</v>
      </c>
      <c r="F2070" s="296">
        <v>3</v>
      </c>
      <c r="G2070" s="296" t="s">
        <v>265</v>
      </c>
      <c r="H2070" s="296" t="s">
        <v>20</v>
      </c>
      <c r="I2070" s="296" t="s">
        <v>21</v>
      </c>
      <c r="J2070" s="296" t="s">
        <v>928</v>
      </c>
      <c r="K2070" s="296" t="s">
        <v>292</v>
      </c>
      <c r="L2070" s="296">
        <v>38</v>
      </c>
      <c r="M2070" s="296" t="s">
        <v>293</v>
      </c>
      <c r="N2070" s="296">
        <v>1255</v>
      </c>
      <c r="O2070" s="296">
        <v>1250</v>
      </c>
      <c r="P2070" s="296">
        <v>6000</v>
      </c>
      <c r="Q2070" s="296">
        <v>2</v>
      </c>
      <c r="R2070" s="296">
        <v>13</v>
      </c>
      <c r="S2070" s="296" t="s">
        <v>354</v>
      </c>
      <c r="T2070" s="296" t="s">
        <v>3182</v>
      </c>
      <c r="U2070" s="296" t="s">
        <v>3187</v>
      </c>
      <c r="V2070" s="296" t="s">
        <v>355</v>
      </c>
      <c r="W2070" s="417"/>
      <c r="X2070" s="417"/>
    </row>
    <row r="2071" spans="1:24" ht="13.5" x14ac:dyDescent="0.15">
      <c r="A2071" s="296">
        <v>3778912</v>
      </c>
      <c r="B2071" s="296" t="s">
        <v>351</v>
      </c>
      <c r="C2071" s="296" t="s">
        <v>1803</v>
      </c>
      <c r="D2071" s="296" t="s">
        <v>353</v>
      </c>
      <c r="E2071" s="296" t="s">
        <v>61</v>
      </c>
      <c r="F2071" s="296">
        <v>331</v>
      </c>
      <c r="G2071" s="296" t="s">
        <v>19</v>
      </c>
      <c r="H2071" s="296" t="s">
        <v>20</v>
      </c>
      <c r="I2071" s="296" t="s">
        <v>21</v>
      </c>
      <c r="J2071" s="296" t="s">
        <v>928</v>
      </c>
      <c r="K2071" s="296" t="s">
        <v>62</v>
      </c>
      <c r="L2071" s="296">
        <v>38</v>
      </c>
      <c r="M2071" s="296" t="s">
        <v>63</v>
      </c>
      <c r="N2071" s="296">
        <v>1255</v>
      </c>
      <c r="O2071" s="296">
        <v>1250</v>
      </c>
      <c r="P2071" s="296">
        <v>6000</v>
      </c>
      <c r="Q2071" s="296">
        <v>2</v>
      </c>
      <c r="R2071" s="296">
        <v>18</v>
      </c>
      <c r="S2071" s="296" t="s">
        <v>354</v>
      </c>
      <c r="T2071" s="296" t="s">
        <v>3182</v>
      </c>
      <c r="U2071" s="296" t="s">
        <v>3187</v>
      </c>
      <c r="V2071" s="296" t="s">
        <v>355</v>
      </c>
      <c r="W2071" s="417"/>
      <c r="X2071" s="417"/>
    </row>
    <row r="2072" spans="1:24" ht="13.5" x14ac:dyDescent="0.15">
      <c r="A2072" s="296">
        <v>3778913</v>
      </c>
      <c r="B2072" s="296" t="s">
        <v>351</v>
      </c>
      <c r="C2072" s="296" t="s">
        <v>1796</v>
      </c>
      <c r="D2072" s="296" t="s">
        <v>353</v>
      </c>
      <c r="E2072" s="296" t="s">
        <v>668</v>
      </c>
      <c r="F2072" s="296">
        <v>3</v>
      </c>
      <c r="G2072" s="296" t="s">
        <v>19</v>
      </c>
      <c r="H2072" s="296" t="s">
        <v>28</v>
      </c>
      <c r="I2072" s="296" t="s">
        <v>21</v>
      </c>
      <c r="J2072" s="296" t="s">
        <v>928</v>
      </c>
      <c r="K2072" s="296" t="s">
        <v>102</v>
      </c>
      <c r="L2072" s="296">
        <v>50</v>
      </c>
      <c r="M2072" s="296" t="s">
        <v>103</v>
      </c>
      <c r="N2072" s="296">
        <v>1050</v>
      </c>
      <c r="O2072" s="296">
        <v>1040</v>
      </c>
      <c r="P2072" s="296">
        <v>4000</v>
      </c>
      <c r="Q2072" s="296">
        <v>2</v>
      </c>
      <c r="R2072" s="296">
        <v>5</v>
      </c>
      <c r="S2072" s="296" t="s">
        <v>354</v>
      </c>
      <c r="T2072" s="296" t="s">
        <v>3182</v>
      </c>
      <c r="U2072" s="296" t="s">
        <v>3188</v>
      </c>
      <c r="V2072" s="296" t="s">
        <v>355</v>
      </c>
      <c r="W2072" s="417"/>
      <c r="X2072" s="417"/>
    </row>
    <row r="2073" spans="1:24" ht="13.5" x14ac:dyDescent="0.15">
      <c r="A2073" s="296">
        <v>3778915</v>
      </c>
      <c r="B2073" s="296" t="s">
        <v>431</v>
      </c>
      <c r="C2073" s="296" t="s">
        <v>1796</v>
      </c>
      <c r="D2073" s="296" t="s">
        <v>353</v>
      </c>
      <c r="E2073" s="296" t="s">
        <v>1436</v>
      </c>
      <c r="F2073" s="296">
        <v>3</v>
      </c>
      <c r="G2073" s="296" t="s">
        <v>265</v>
      </c>
      <c r="H2073" s="296" t="s">
        <v>28</v>
      </c>
      <c r="I2073" s="296" t="s">
        <v>132</v>
      </c>
      <c r="J2073" s="296" t="s">
        <v>928</v>
      </c>
      <c r="K2073" s="296" t="s">
        <v>1521</v>
      </c>
      <c r="L2073" s="296">
        <v>75</v>
      </c>
      <c r="M2073" s="296" t="s">
        <v>1438</v>
      </c>
      <c r="N2073" s="296">
        <v>1400</v>
      </c>
      <c r="O2073" s="296">
        <v>1400</v>
      </c>
      <c r="P2073" s="296">
        <v>4200</v>
      </c>
      <c r="Q2073" s="296">
        <v>2</v>
      </c>
      <c r="R2073" s="296">
        <v>22</v>
      </c>
      <c r="S2073" s="296" t="s">
        <v>354</v>
      </c>
      <c r="T2073" s="296" t="s">
        <v>3182</v>
      </c>
      <c r="U2073" s="296" t="s">
        <v>3186</v>
      </c>
      <c r="V2073" s="296" t="s">
        <v>355</v>
      </c>
      <c r="W2073" s="417"/>
      <c r="X2073" s="417"/>
    </row>
    <row r="2074" spans="1:24" ht="13.5" x14ac:dyDescent="0.15">
      <c r="A2074" s="296">
        <v>3778918</v>
      </c>
      <c r="B2074" s="296" t="s">
        <v>351</v>
      </c>
      <c r="C2074" s="296" t="s">
        <v>1801</v>
      </c>
      <c r="D2074" s="296" t="s">
        <v>353</v>
      </c>
      <c r="E2074" s="296" t="s">
        <v>116</v>
      </c>
      <c r="F2074" s="296">
        <v>3</v>
      </c>
      <c r="G2074" s="296" t="s">
        <v>19</v>
      </c>
      <c r="H2074" s="296" t="s">
        <v>20</v>
      </c>
      <c r="I2074" s="296" t="s">
        <v>143</v>
      </c>
      <c r="J2074" s="296" t="s">
        <v>928</v>
      </c>
      <c r="K2074" s="296" t="s">
        <v>159</v>
      </c>
      <c r="L2074" s="296">
        <v>25</v>
      </c>
      <c r="M2074" s="296" t="s">
        <v>160</v>
      </c>
      <c r="N2074" s="296">
        <v>1005</v>
      </c>
      <c r="O2074" s="296">
        <v>1000</v>
      </c>
      <c r="P2074" s="296">
        <v>4000</v>
      </c>
      <c r="Q2074" s="296">
        <v>2</v>
      </c>
      <c r="R2074" s="296">
        <v>2</v>
      </c>
      <c r="S2074" s="296" t="s">
        <v>354</v>
      </c>
      <c r="T2074" s="296" t="s">
        <v>3182</v>
      </c>
      <c r="U2074" s="296" t="s">
        <v>3185</v>
      </c>
      <c r="V2074" s="296" t="s">
        <v>355</v>
      </c>
      <c r="W2074" s="417"/>
      <c r="X2074" s="417"/>
    </row>
    <row r="2075" spans="1:24" ht="13.5" x14ac:dyDescent="0.15">
      <c r="A2075" s="296">
        <v>3778919</v>
      </c>
      <c r="B2075" s="296" t="s">
        <v>351</v>
      </c>
      <c r="C2075" s="296" t="s">
        <v>1801</v>
      </c>
      <c r="D2075" s="296" t="s">
        <v>353</v>
      </c>
      <c r="E2075" s="296" t="s">
        <v>116</v>
      </c>
      <c r="F2075" s="296">
        <v>3</v>
      </c>
      <c r="G2075" s="296" t="s">
        <v>19</v>
      </c>
      <c r="H2075" s="296" t="s">
        <v>20</v>
      </c>
      <c r="I2075" s="296" t="s">
        <v>143</v>
      </c>
      <c r="J2075" s="296" t="s">
        <v>928</v>
      </c>
      <c r="K2075" s="296" t="s">
        <v>144</v>
      </c>
      <c r="L2075" s="296">
        <v>38</v>
      </c>
      <c r="M2075" s="296" t="s">
        <v>145</v>
      </c>
      <c r="N2075" s="296">
        <v>1005</v>
      </c>
      <c r="O2075" s="296">
        <v>1000</v>
      </c>
      <c r="P2075" s="296">
        <v>4000</v>
      </c>
      <c r="Q2075" s="296">
        <v>2</v>
      </c>
      <c r="R2075" s="296">
        <v>1</v>
      </c>
      <c r="S2075" s="296" t="s">
        <v>354</v>
      </c>
      <c r="T2075" s="296" t="s">
        <v>3182</v>
      </c>
      <c r="U2075" s="296" t="s">
        <v>3185</v>
      </c>
      <c r="V2075" s="296" t="s">
        <v>355</v>
      </c>
      <c r="W2075" s="417"/>
      <c r="X2075" s="417"/>
    </row>
    <row r="2076" spans="1:24" ht="13.5" x14ac:dyDescent="0.15">
      <c r="A2076" s="296">
        <v>3778920</v>
      </c>
      <c r="B2076" s="296" t="s">
        <v>351</v>
      </c>
      <c r="C2076" s="296" t="s">
        <v>1801</v>
      </c>
      <c r="D2076" s="296" t="s">
        <v>353</v>
      </c>
      <c r="E2076" s="296" t="s">
        <v>116</v>
      </c>
      <c r="F2076" s="296">
        <v>3</v>
      </c>
      <c r="G2076" s="296" t="s">
        <v>19</v>
      </c>
      <c r="H2076" s="296" t="s">
        <v>20</v>
      </c>
      <c r="I2076" s="296" t="s">
        <v>143</v>
      </c>
      <c r="J2076" s="296" t="s">
        <v>928</v>
      </c>
      <c r="K2076" s="296" t="s">
        <v>144</v>
      </c>
      <c r="L2076" s="296">
        <v>50</v>
      </c>
      <c r="M2076" s="296" t="s">
        <v>145</v>
      </c>
      <c r="N2076" s="296">
        <v>1002</v>
      </c>
      <c r="O2076" s="296">
        <v>1000</v>
      </c>
      <c r="P2076" s="296">
        <v>4000</v>
      </c>
      <c r="Q2076" s="296">
        <v>2</v>
      </c>
      <c r="R2076" s="296">
        <v>9</v>
      </c>
      <c r="S2076" s="296" t="s">
        <v>354</v>
      </c>
      <c r="T2076" s="296" t="s">
        <v>3182</v>
      </c>
      <c r="U2076" s="296" t="s">
        <v>3185</v>
      </c>
      <c r="V2076" s="296" t="s">
        <v>355</v>
      </c>
      <c r="W2076" s="417"/>
      <c r="X2076" s="417"/>
    </row>
    <row r="2077" spans="1:24" ht="13.5" x14ac:dyDescent="0.15">
      <c r="A2077" s="296">
        <v>3778921</v>
      </c>
      <c r="B2077" s="296" t="s">
        <v>351</v>
      </c>
      <c r="C2077" s="296" t="s">
        <v>1801</v>
      </c>
      <c r="D2077" s="296" t="s">
        <v>353</v>
      </c>
      <c r="E2077" s="296" t="s">
        <v>116</v>
      </c>
      <c r="F2077" s="296">
        <v>3</v>
      </c>
      <c r="G2077" s="296" t="s">
        <v>19</v>
      </c>
      <c r="H2077" s="296" t="s">
        <v>20</v>
      </c>
      <c r="I2077" s="296" t="s">
        <v>143</v>
      </c>
      <c r="J2077" s="296" t="s">
        <v>928</v>
      </c>
      <c r="K2077" s="296" t="s">
        <v>144</v>
      </c>
      <c r="L2077" s="296">
        <v>75</v>
      </c>
      <c r="M2077" s="296" t="s">
        <v>145</v>
      </c>
      <c r="N2077" s="296">
        <v>1002</v>
      </c>
      <c r="O2077" s="296">
        <v>1000</v>
      </c>
      <c r="P2077" s="296">
        <v>3000</v>
      </c>
      <c r="Q2077" s="296">
        <v>2</v>
      </c>
      <c r="R2077" s="296">
        <v>3</v>
      </c>
      <c r="S2077" s="296" t="s">
        <v>354</v>
      </c>
      <c r="T2077" s="296" t="s">
        <v>3182</v>
      </c>
      <c r="U2077" s="296" t="s">
        <v>3185</v>
      </c>
      <c r="V2077" s="296" t="s">
        <v>355</v>
      </c>
      <c r="W2077" s="417"/>
      <c r="X2077" s="417"/>
    </row>
    <row r="2078" spans="1:24" ht="13.5" x14ac:dyDescent="0.15">
      <c r="A2078" s="296">
        <v>3779992</v>
      </c>
      <c r="B2078" s="296" t="s">
        <v>351</v>
      </c>
      <c r="C2078" s="296" t="s">
        <v>1801</v>
      </c>
      <c r="D2078" s="296" t="s">
        <v>353</v>
      </c>
      <c r="E2078" s="296" t="s">
        <v>371</v>
      </c>
      <c r="F2078" s="296">
        <v>3</v>
      </c>
      <c r="G2078" s="296" t="s">
        <v>19</v>
      </c>
      <c r="H2078" s="296" t="s">
        <v>28</v>
      </c>
      <c r="I2078" s="296" t="s">
        <v>21</v>
      </c>
      <c r="J2078" s="296" t="s">
        <v>928</v>
      </c>
      <c r="K2078" s="296" t="s">
        <v>465</v>
      </c>
      <c r="L2078" s="296">
        <v>75</v>
      </c>
      <c r="M2078" s="296" t="s">
        <v>466</v>
      </c>
      <c r="N2078" s="296">
        <v>1040</v>
      </c>
      <c r="O2078" s="296">
        <v>1040</v>
      </c>
      <c r="P2078" s="296">
        <v>4000</v>
      </c>
      <c r="Q2078" s="296">
        <v>1</v>
      </c>
      <c r="R2078" s="296">
        <v>1</v>
      </c>
      <c r="S2078" s="296" t="s">
        <v>354</v>
      </c>
      <c r="T2078" s="296" t="s">
        <v>3111</v>
      </c>
      <c r="U2078" s="296" t="s">
        <v>3184</v>
      </c>
      <c r="V2078" s="296" t="s">
        <v>355</v>
      </c>
      <c r="W2078" s="296" t="s">
        <v>928</v>
      </c>
      <c r="X2078" s="296" t="s">
        <v>928</v>
      </c>
    </row>
    <row r="2079" spans="1:24" ht="13.5" x14ac:dyDescent="0.15">
      <c r="A2079" s="296">
        <v>3779993</v>
      </c>
      <c r="B2079" s="296" t="s">
        <v>351</v>
      </c>
      <c r="C2079" s="296" t="s">
        <v>1801</v>
      </c>
      <c r="D2079" s="296" t="s">
        <v>353</v>
      </c>
      <c r="E2079" s="296" t="s">
        <v>371</v>
      </c>
      <c r="F2079" s="296">
        <v>3</v>
      </c>
      <c r="G2079" s="296" t="s">
        <v>19</v>
      </c>
      <c r="H2079" s="296" t="s">
        <v>28</v>
      </c>
      <c r="I2079" s="296" t="s">
        <v>21</v>
      </c>
      <c r="J2079" s="296" t="s">
        <v>928</v>
      </c>
      <c r="K2079" s="296" t="s">
        <v>60</v>
      </c>
      <c r="L2079" s="296">
        <v>75</v>
      </c>
      <c r="M2079" s="296" t="s">
        <v>372</v>
      </c>
      <c r="N2079" s="296">
        <v>1040</v>
      </c>
      <c r="O2079" s="296">
        <v>1040</v>
      </c>
      <c r="P2079" s="296">
        <v>4000</v>
      </c>
      <c r="Q2079" s="296">
        <v>1</v>
      </c>
      <c r="R2079" s="296">
        <v>2</v>
      </c>
      <c r="S2079" s="296" t="s">
        <v>354</v>
      </c>
      <c r="T2079" s="296" t="s">
        <v>3111</v>
      </c>
      <c r="U2079" s="296" t="s">
        <v>3184</v>
      </c>
      <c r="V2079" s="296" t="s">
        <v>355</v>
      </c>
      <c r="W2079" s="296" t="s">
        <v>928</v>
      </c>
      <c r="X2079" s="296" t="s">
        <v>928</v>
      </c>
    </row>
    <row r="2080" spans="1:24" ht="13.5" x14ac:dyDescent="0.15">
      <c r="A2080" s="296">
        <v>3779994</v>
      </c>
      <c r="B2080" s="296" t="s">
        <v>351</v>
      </c>
      <c r="C2080" s="296" t="s">
        <v>1803</v>
      </c>
      <c r="D2080" s="296" t="s">
        <v>353</v>
      </c>
      <c r="E2080" s="296" t="s">
        <v>3247</v>
      </c>
      <c r="F2080" s="296">
        <v>3</v>
      </c>
      <c r="G2080" s="296" t="s">
        <v>19</v>
      </c>
      <c r="H2080" s="296" t="s">
        <v>20</v>
      </c>
      <c r="I2080" s="296" t="s">
        <v>21</v>
      </c>
      <c r="J2080" s="296" t="s">
        <v>928</v>
      </c>
      <c r="K2080" s="296" t="s">
        <v>118</v>
      </c>
      <c r="L2080" s="296">
        <v>25</v>
      </c>
      <c r="M2080" s="296" t="s">
        <v>119</v>
      </c>
      <c r="N2080" s="296">
        <v>1100</v>
      </c>
      <c r="O2080" s="296">
        <v>1100</v>
      </c>
      <c r="P2080" s="296">
        <v>12000</v>
      </c>
      <c r="Q2080" s="296">
        <v>2</v>
      </c>
      <c r="R2080" s="296">
        <v>25</v>
      </c>
      <c r="S2080" s="296" t="s">
        <v>354</v>
      </c>
      <c r="T2080" s="296" t="s">
        <v>3111</v>
      </c>
      <c r="U2080" s="296" t="s">
        <v>3184</v>
      </c>
      <c r="V2080" s="296" t="s">
        <v>355</v>
      </c>
      <c r="W2080" s="296" t="s">
        <v>928</v>
      </c>
      <c r="X2080" s="296" t="s">
        <v>928</v>
      </c>
    </row>
    <row r="2081" spans="1:24" ht="13.5" x14ac:dyDescent="0.15">
      <c r="A2081" s="296">
        <v>3783762</v>
      </c>
      <c r="B2081" s="296" t="s">
        <v>351</v>
      </c>
      <c r="C2081" s="296" t="s">
        <v>1796</v>
      </c>
      <c r="D2081" s="296" t="s">
        <v>353</v>
      </c>
      <c r="E2081" s="296" t="s">
        <v>17</v>
      </c>
      <c r="F2081" s="296">
        <v>331</v>
      </c>
      <c r="G2081" s="296" t="s">
        <v>19</v>
      </c>
      <c r="H2081" s="296" t="s">
        <v>20</v>
      </c>
      <c r="I2081" s="296" t="s">
        <v>21</v>
      </c>
      <c r="J2081" s="296" t="s">
        <v>928</v>
      </c>
      <c r="K2081" s="296" t="s">
        <v>52</v>
      </c>
      <c r="L2081" s="296">
        <v>38</v>
      </c>
      <c r="M2081" s="296" t="s">
        <v>53</v>
      </c>
      <c r="N2081" s="296">
        <v>1330</v>
      </c>
      <c r="O2081" s="296">
        <v>1330</v>
      </c>
      <c r="P2081" s="296">
        <v>6000</v>
      </c>
      <c r="Q2081" s="296">
        <v>2</v>
      </c>
      <c r="R2081" s="296">
        <v>8</v>
      </c>
      <c r="S2081" s="296" t="s">
        <v>354</v>
      </c>
      <c r="T2081" s="296" t="s">
        <v>3183</v>
      </c>
      <c r="U2081" s="296" t="s">
        <v>3283</v>
      </c>
      <c r="V2081" s="296" t="s">
        <v>355</v>
      </c>
      <c r="W2081" s="296" t="s">
        <v>928</v>
      </c>
      <c r="X2081" s="296" t="s">
        <v>928</v>
      </c>
    </row>
    <row r="2082" spans="1:24" ht="13.5" x14ac:dyDescent="0.15">
      <c r="A2082" s="296">
        <v>3783763</v>
      </c>
      <c r="B2082" s="296" t="s">
        <v>351</v>
      </c>
      <c r="C2082" s="296" t="s">
        <v>1796</v>
      </c>
      <c r="D2082" s="296" t="s">
        <v>353</v>
      </c>
      <c r="E2082" s="296" t="s">
        <v>17</v>
      </c>
      <c r="F2082" s="296">
        <v>331</v>
      </c>
      <c r="G2082" s="296" t="s">
        <v>19</v>
      </c>
      <c r="H2082" s="296" t="s">
        <v>20</v>
      </c>
      <c r="I2082" s="296" t="s">
        <v>21</v>
      </c>
      <c r="J2082" s="296" t="s">
        <v>928</v>
      </c>
      <c r="K2082" s="296" t="s">
        <v>52</v>
      </c>
      <c r="L2082" s="296">
        <v>38</v>
      </c>
      <c r="M2082" s="296" t="s">
        <v>53</v>
      </c>
      <c r="N2082" s="296">
        <v>1330</v>
      </c>
      <c r="O2082" s="296">
        <v>1330</v>
      </c>
      <c r="P2082" s="296">
        <v>6000</v>
      </c>
      <c r="Q2082" s="296">
        <v>2</v>
      </c>
      <c r="R2082" s="296">
        <v>20</v>
      </c>
      <c r="S2082" s="296" t="s">
        <v>354</v>
      </c>
      <c r="T2082" s="296" t="s">
        <v>3183</v>
      </c>
      <c r="U2082" s="296" t="s">
        <v>3283</v>
      </c>
      <c r="V2082" s="296" t="s">
        <v>355</v>
      </c>
      <c r="W2082" s="296" t="s">
        <v>928</v>
      </c>
      <c r="X2082" s="296" t="s">
        <v>928</v>
      </c>
    </row>
    <row r="2083" spans="1:24" ht="13.5" x14ac:dyDescent="0.15">
      <c r="A2083" s="296">
        <v>3783764</v>
      </c>
      <c r="B2083" s="296" t="s">
        <v>351</v>
      </c>
      <c r="C2083" s="296" t="s">
        <v>1796</v>
      </c>
      <c r="D2083" s="296" t="s">
        <v>353</v>
      </c>
      <c r="E2083" s="296" t="s">
        <v>928</v>
      </c>
      <c r="F2083" s="296">
        <v>3</v>
      </c>
      <c r="G2083" s="296" t="s">
        <v>19</v>
      </c>
      <c r="H2083" s="296" t="s">
        <v>20</v>
      </c>
      <c r="I2083" s="296" t="s">
        <v>21</v>
      </c>
      <c r="J2083" s="296" t="s">
        <v>928</v>
      </c>
      <c r="K2083" s="296" t="s">
        <v>632</v>
      </c>
      <c r="L2083" s="296">
        <v>75</v>
      </c>
      <c r="M2083" s="296" t="s">
        <v>633</v>
      </c>
      <c r="N2083" s="296">
        <v>1300</v>
      </c>
      <c r="O2083" s="296">
        <v>1300</v>
      </c>
      <c r="P2083" s="296">
        <v>4300</v>
      </c>
      <c r="Q2083" s="296">
        <v>2</v>
      </c>
      <c r="R2083" s="296">
        <v>8</v>
      </c>
      <c r="S2083" s="296" t="s">
        <v>354</v>
      </c>
      <c r="T2083" s="296" t="s">
        <v>3183</v>
      </c>
      <c r="U2083" s="296" t="s">
        <v>3283</v>
      </c>
      <c r="V2083" s="296" t="s">
        <v>355</v>
      </c>
      <c r="W2083" s="296" t="s">
        <v>928</v>
      </c>
      <c r="X2083" s="296" t="s">
        <v>928</v>
      </c>
    </row>
    <row r="2084" spans="1:24" ht="13.5" x14ac:dyDescent="0.15">
      <c r="A2084" s="296">
        <v>3783765</v>
      </c>
      <c r="B2084" s="296" t="s">
        <v>351</v>
      </c>
      <c r="C2084" s="296" t="s">
        <v>1796</v>
      </c>
      <c r="D2084" s="296" t="s">
        <v>353</v>
      </c>
      <c r="E2084" s="296" t="s">
        <v>32</v>
      </c>
      <c r="F2084" s="296">
        <v>331</v>
      </c>
      <c r="G2084" s="296" t="s">
        <v>19</v>
      </c>
      <c r="H2084" s="296" t="s">
        <v>20</v>
      </c>
      <c r="I2084" s="296" t="s">
        <v>21</v>
      </c>
      <c r="J2084" s="296" t="s">
        <v>928</v>
      </c>
      <c r="K2084" s="296" t="s">
        <v>54</v>
      </c>
      <c r="L2084" s="296">
        <v>38</v>
      </c>
      <c r="M2084" s="296" t="s">
        <v>53</v>
      </c>
      <c r="N2084" s="296">
        <v>1330</v>
      </c>
      <c r="O2084" s="296">
        <v>1330</v>
      </c>
      <c r="P2084" s="296">
        <v>6000</v>
      </c>
      <c r="Q2084" s="296">
        <v>2</v>
      </c>
      <c r="R2084" s="296">
        <v>8</v>
      </c>
      <c r="S2084" s="296" t="s">
        <v>354</v>
      </c>
      <c r="T2084" s="296" t="s">
        <v>3183</v>
      </c>
      <c r="U2084" s="296" t="s">
        <v>3284</v>
      </c>
      <c r="V2084" s="296" t="s">
        <v>355</v>
      </c>
      <c r="W2084" s="296" t="s">
        <v>928</v>
      </c>
      <c r="X2084" s="296" t="s">
        <v>928</v>
      </c>
    </row>
    <row r="2085" spans="1:24" ht="13.5" x14ac:dyDescent="0.15">
      <c r="A2085" s="296">
        <v>3783766</v>
      </c>
      <c r="B2085" s="296" t="s">
        <v>351</v>
      </c>
      <c r="C2085" s="296" t="s">
        <v>1801</v>
      </c>
      <c r="D2085" s="296" t="s">
        <v>353</v>
      </c>
      <c r="E2085" s="296" t="s">
        <v>371</v>
      </c>
      <c r="F2085" s="296">
        <v>3</v>
      </c>
      <c r="G2085" s="296" t="s">
        <v>19</v>
      </c>
      <c r="H2085" s="296" t="s">
        <v>28</v>
      </c>
      <c r="I2085" s="296" t="s">
        <v>21</v>
      </c>
      <c r="J2085" s="296" t="s">
        <v>928</v>
      </c>
      <c r="K2085" s="296" t="s">
        <v>465</v>
      </c>
      <c r="L2085" s="296">
        <v>75</v>
      </c>
      <c r="M2085" s="296" t="s">
        <v>466</v>
      </c>
      <c r="N2085" s="296">
        <v>1040</v>
      </c>
      <c r="O2085" s="296">
        <v>1040</v>
      </c>
      <c r="P2085" s="296">
        <v>4000</v>
      </c>
      <c r="Q2085" s="296">
        <v>1</v>
      </c>
      <c r="R2085" s="296">
        <v>2</v>
      </c>
      <c r="S2085" s="296" t="s">
        <v>354</v>
      </c>
      <c r="T2085" s="296" t="s">
        <v>3183</v>
      </c>
      <c r="U2085" s="296" t="s">
        <v>3284</v>
      </c>
      <c r="V2085" s="296" t="s">
        <v>355</v>
      </c>
      <c r="W2085" s="296" t="s">
        <v>928</v>
      </c>
      <c r="X2085" s="296" t="s">
        <v>928</v>
      </c>
    </row>
    <row r="2086" spans="1:24" ht="13.5" x14ac:dyDescent="0.15">
      <c r="A2086" s="296">
        <v>3783767</v>
      </c>
      <c r="B2086" s="296" t="s">
        <v>351</v>
      </c>
      <c r="C2086" s="296" t="s">
        <v>1801</v>
      </c>
      <c r="D2086" s="296" t="s">
        <v>353</v>
      </c>
      <c r="E2086" s="296" t="s">
        <v>371</v>
      </c>
      <c r="F2086" s="296">
        <v>3</v>
      </c>
      <c r="G2086" s="296" t="s">
        <v>19</v>
      </c>
      <c r="H2086" s="296" t="s">
        <v>28</v>
      </c>
      <c r="I2086" s="296" t="s">
        <v>21</v>
      </c>
      <c r="J2086" s="296" t="s">
        <v>928</v>
      </c>
      <c r="K2086" s="296" t="s">
        <v>60</v>
      </c>
      <c r="L2086" s="296">
        <v>75</v>
      </c>
      <c r="M2086" s="296" t="s">
        <v>372</v>
      </c>
      <c r="N2086" s="296">
        <v>1040</v>
      </c>
      <c r="O2086" s="296">
        <v>1040</v>
      </c>
      <c r="P2086" s="296">
        <v>4000</v>
      </c>
      <c r="Q2086" s="296">
        <v>1</v>
      </c>
      <c r="R2086" s="296">
        <v>5</v>
      </c>
      <c r="S2086" s="296" t="s">
        <v>354</v>
      </c>
      <c r="T2086" s="296" t="s">
        <v>3183</v>
      </c>
      <c r="U2086" s="296" t="s">
        <v>3284</v>
      </c>
      <c r="V2086" s="296" t="s">
        <v>355</v>
      </c>
      <c r="W2086" s="296" t="s">
        <v>928</v>
      </c>
      <c r="X2086" s="296" t="s">
        <v>928</v>
      </c>
    </row>
    <row r="2087" spans="1:24" ht="13.5" x14ac:dyDescent="0.15">
      <c r="A2087" s="296">
        <v>3783768</v>
      </c>
      <c r="B2087" s="296" t="s">
        <v>351</v>
      </c>
      <c r="C2087" s="296" t="s">
        <v>1796</v>
      </c>
      <c r="D2087" s="296" t="s">
        <v>353</v>
      </c>
      <c r="E2087" s="296" t="s">
        <v>130</v>
      </c>
      <c r="F2087" s="296">
        <v>330</v>
      </c>
      <c r="G2087" s="296" t="s">
        <v>19</v>
      </c>
      <c r="H2087" s="296" t="s">
        <v>20</v>
      </c>
      <c r="I2087" s="296" t="s">
        <v>21</v>
      </c>
      <c r="J2087" s="296" t="s">
        <v>928</v>
      </c>
      <c r="K2087" s="296" t="s">
        <v>2337</v>
      </c>
      <c r="L2087" s="296">
        <v>25</v>
      </c>
      <c r="M2087" s="296" t="s">
        <v>2338</v>
      </c>
      <c r="N2087" s="296">
        <v>1420</v>
      </c>
      <c r="O2087" s="296">
        <v>1420</v>
      </c>
      <c r="P2087" s="296">
        <v>12400</v>
      </c>
      <c r="Q2087" s="296">
        <v>2</v>
      </c>
      <c r="R2087" s="296">
        <v>3</v>
      </c>
      <c r="S2087" s="296" t="s">
        <v>354</v>
      </c>
      <c r="T2087" s="296" t="s">
        <v>3183</v>
      </c>
      <c r="U2087" s="296" t="s">
        <v>3285</v>
      </c>
      <c r="V2087" s="296" t="s">
        <v>355</v>
      </c>
      <c r="W2087" s="296" t="s">
        <v>928</v>
      </c>
      <c r="X2087" s="296" t="s">
        <v>928</v>
      </c>
    </row>
    <row r="2088" spans="1:24" ht="13.5" x14ac:dyDescent="0.15">
      <c r="A2088" s="296">
        <v>3783769</v>
      </c>
      <c r="B2088" s="296" t="s">
        <v>351</v>
      </c>
      <c r="C2088" s="296" t="s">
        <v>1801</v>
      </c>
      <c r="D2088" s="296" t="s">
        <v>353</v>
      </c>
      <c r="E2088" s="296" t="s">
        <v>116</v>
      </c>
      <c r="F2088" s="296">
        <v>3</v>
      </c>
      <c r="G2088" s="296" t="s">
        <v>19</v>
      </c>
      <c r="H2088" s="296" t="s">
        <v>20</v>
      </c>
      <c r="I2088" s="296" t="s">
        <v>21</v>
      </c>
      <c r="J2088" s="296" t="s">
        <v>928</v>
      </c>
      <c r="K2088" s="296" t="s">
        <v>118</v>
      </c>
      <c r="L2088" s="296">
        <v>38</v>
      </c>
      <c r="M2088" s="296" t="s">
        <v>368</v>
      </c>
      <c r="N2088" s="296">
        <v>1415</v>
      </c>
      <c r="O2088" s="296">
        <v>1410</v>
      </c>
      <c r="P2088" s="296">
        <v>8000</v>
      </c>
      <c r="Q2088" s="296">
        <v>2</v>
      </c>
      <c r="R2088" s="296">
        <v>10</v>
      </c>
      <c r="S2088" s="296" t="s">
        <v>354</v>
      </c>
      <c r="T2088" s="296" t="s">
        <v>3183</v>
      </c>
      <c r="U2088" s="296" t="s">
        <v>3286</v>
      </c>
      <c r="V2088" s="296" t="s">
        <v>355</v>
      </c>
      <c r="W2088" s="296" t="s">
        <v>928</v>
      </c>
      <c r="X2088" s="296" t="s">
        <v>928</v>
      </c>
    </row>
    <row r="2089" spans="1:24" ht="13.5" x14ac:dyDescent="0.15">
      <c r="A2089" s="296">
        <v>3783770</v>
      </c>
      <c r="B2089" s="296" t="s">
        <v>351</v>
      </c>
      <c r="C2089" s="296" t="s">
        <v>1796</v>
      </c>
      <c r="D2089" s="296" t="s">
        <v>353</v>
      </c>
      <c r="E2089" s="296" t="s">
        <v>755</v>
      </c>
      <c r="F2089" s="296">
        <v>3</v>
      </c>
      <c r="G2089" s="296" t="s">
        <v>19</v>
      </c>
      <c r="H2089" s="296" t="s">
        <v>20</v>
      </c>
      <c r="I2089" s="296" t="s">
        <v>21</v>
      </c>
      <c r="J2089" s="296" t="s">
        <v>928</v>
      </c>
      <c r="K2089" s="296" t="s">
        <v>128</v>
      </c>
      <c r="L2089" s="296">
        <v>25</v>
      </c>
      <c r="M2089" s="296" t="s">
        <v>756</v>
      </c>
      <c r="N2089" s="296">
        <v>1155</v>
      </c>
      <c r="O2089" s="296">
        <v>1150</v>
      </c>
      <c r="P2089" s="296">
        <v>12400</v>
      </c>
      <c r="Q2089" s="296">
        <v>2</v>
      </c>
      <c r="R2089" s="296">
        <v>2</v>
      </c>
      <c r="S2089" s="296" t="s">
        <v>354</v>
      </c>
      <c r="T2089" s="296" t="s">
        <v>3183</v>
      </c>
      <c r="U2089" s="296" t="s">
        <v>3285</v>
      </c>
      <c r="V2089" s="296" t="s">
        <v>355</v>
      </c>
      <c r="W2089" s="296" t="s">
        <v>928</v>
      </c>
      <c r="X2089" s="296" t="s">
        <v>928</v>
      </c>
    </row>
    <row r="2090" spans="1:24" ht="13.5" x14ac:dyDescent="0.15">
      <c r="A2090" s="296">
        <v>3783771</v>
      </c>
      <c r="B2090" s="296" t="s">
        <v>351</v>
      </c>
      <c r="C2090" s="296" t="s">
        <v>1803</v>
      </c>
      <c r="D2090" s="296" t="s">
        <v>353</v>
      </c>
      <c r="E2090" s="296" t="s">
        <v>928</v>
      </c>
      <c r="F2090" s="296">
        <v>3</v>
      </c>
      <c r="G2090" s="296" t="s">
        <v>19</v>
      </c>
      <c r="H2090" s="296" t="s">
        <v>20</v>
      </c>
      <c r="I2090" s="296" t="s">
        <v>21</v>
      </c>
      <c r="J2090" s="296" t="s">
        <v>928</v>
      </c>
      <c r="K2090" s="296" t="s">
        <v>118</v>
      </c>
      <c r="L2090" s="296">
        <v>25</v>
      </c>
      <c r="M2090" s="296" t="s">
        <v>119</v>
      </c>
      <c r="N2090" s="296">
        <v>1100</v>
      </c>
      <c r="O2090" s="296">
        <v>1100</v>
      </c>
      <c r="P2090" s="296">
        <v>12000</v>
      </c>
      <c r="Q2090" s="296">
        <v>2</v>
      </c>
      <c r="R2090" s="296">
        <v>30</v>
      </c>
      <c r="S2090" s="296" t="s">
        <v>354</v>
      </c>
      <c r="T2090" s="296" t="s">
        <v>3183</v>
      </c>
      <c r="U2090" s="296" t="s">
        <v>3285</v>
      </c>
      <c r="V2090" s="296" t="s">
        <v>355</v>
      </c>
      <c r="W2090" s="296" t="s">
        <v>928</v>
      </c>
      <c r="X2090" s="296" t="s">
        <v>928</v>
      </c>
    </row>
    <row r="2091" spans="1:24" ht="13.5" x14ac:dyDescent="0.15">
      <c r="A2091" s="296">
        <v>3783772</v>
      </c>
      <c r="B2091" s="296" t="s">
        <v>351</v>
      </c>
      <c r="C2091" s="296" t="s">
        <v>1796</v>
      </c>
      <c r="D2091" s="296" t="s">
        <v>353</v>
      </c>
      <c r="E2091" s="296" t="s">
        <v>17</v>
      </c>
      <c r="F2091" s="296">
        <v>3</v>
      </c>
      <c r="G2091" s="296" t="s">
        <v>19</v>
      </c>
      <c r="H2091" s="296" t="s">
        <v>20</v>
      </c>
      <c r="I2091" s="296" t="s">
        <v>21</v>
      </c>
      <c r="J2091" s="296" t="s">
        <v>928</v>
      </c>
      <c r="K2091" s="296" t="s">
        <v>104</v>
      </c>
      <c r="L2091" s="296">
        <v>25</v>
      </c>
      <c r="M2091" s="296" t="s">
        <v>375</v>
      </c>
      <c r="N2091" s="296">
        <v>1100</v>
      </c>
      <c r="O2091" s="296">
        <v>1100</v>
      </c>
      <c r="P2091" s="296">
        <v>12000</v>
      </c>
      <c r="Q2091" s="296">
        <v>2</v>
      </c>
      <c r="R2091" s="296">
        <v>6</v>
      </c>
      <c r="S2091" s="296" t="s">
        <v>354</v>
      </c>
      <c r="T2091" s="296" t="s">
        <v>3183</v>
      </c>
      <c r="U2091" s="296" t="s">
        <v>3285</v>
      </c>
      <c r="V2091" s="296" t="s">
        <v>355</v>
      </c>
      <c r="W2091" s="296" t="s">
        <v>928</v>
      </c>
      <c r="X2091" s="296" t="s">
        <v>928</v>
      </c>
    </row>
    <row r="2092" spans="1:24" ht="13.5" x14ac:dyDescent="0.15">
      <c r="A2092" s="296">
        <v>3783773</v>
      </c>
      <c r="B2092" s="296" t="s">
        <v>351</v>
      </c>
      <c r="C2092" s="296" t="s">
        <v>1796</v>
      </c>
      <c r="D2092" s="296" t="s">
        <v>353</v>
      </c>
      <c r="E2092" s="296" t="s">
        <v>17</v>
      </c>
      <c r="F2092" s="296">
        <v>3</v>
      </c>
      <c r="G2092" s="296" t="s">
        <v>19</v>
      </c>
      <c r="H2092" s="296" t="s">
        <v>20</v>
      </c>
      <c r="I2092" s="296" t="s">
        <v>21</v>
      </c>
      <c r="J2092" s="296" t="s">
        <v>928</v>
      </c>
      <c r="K2092" s="296" t="s">
        <v>104</v>
      </c>
      <c r="L2092" s="296">
        <v>25</v>
      </c>
      <c r="M2092" s="296" t="s">
        <v>375</v>
      </c>
      <c r="N2092" s="296">
        <v>1050</v>
      </c>
      <c r="O2092" s="296">
        <v>1050</v>
      </c>
      <c r="P2092" s="296">
        <v>12000</v>
      </c>
      <c r="Q2092" s="296">
        <v>2</v>
      </c>
      <c r="R2092" s="296">
        <v>6</v>
      </c>
      <c r="S2092" s="296" t="s">
        <v>354</v>
      </c>
      <c r="T2092" s="296" t="s">
        <v>3183</v>
      </c>
      <c r="U2092" s="296" t="s">
        <v>3285</v>
      </c>
      <c r="V2092" s="296" t="s">
        <v>355</v>
      </c>
      <c r="W2092" s="296" t="s">
        <v>928</v>
      </c>
      <c r="X2092" s="296" t="s">
        <v>928</v>
      </c>
    </row>
    <row r="2093" spans="1:24" ht="13.5" x14ac:dyDescent="0.15">
      <c r="A2093" s="296">
        <v>3783774</v>
      </c>
      <c r="B2093" s="296" t="s">
        <v>351</v>
      </c>
      <c r="C2093" s="296" t="s">
        <v>1803</v>
      </c>
      <c r="D2093" s="296" t="s">
        <v>353</v>
      </c>
      <c r="E2093" s="296" t="s">
        <v>110</v>
      </c>
      <c r="F2093" s="296">
        <v>331</v>
      </c>
      <c r="G2093" s="296" t="s">
        <v>19</v>
      </c>
      <c r="H2093" s="296" t="s">
        <v>20</v>
      </c>
      <c r="I2093" s="296" t="s">
        <v>21</v>
      </c>
      <c r="J2093" s="296" t="s">
        <v>928</v>
      </c>
      <c r="K2093" s="296" t="s">
        <v>112</v>
      </c>
      <c r="L2093" s="296">
        <v>25</v>
      </c>
      <c r="M2093" s="296" t="s">
        <v>357</v>
      </c>
      <c r="N2093" s="296">
        <v>450</v>
      </c>
      <c r="O2093" s="296">
        <v>450</v>
      </c>
      <c r="P2093" s="296">
        <v>4000</v>
      </c>
      <c r="Q2093" s="296">
        <v>2</v>
      </c>
      <c r="R2093" s="296">
        <v>6</v>
      </c>
      <c r="S2093" s="296" t="s">
        <v>354</v>
      </c>
      <c r="T2093" s="296" t="s">
        <v>3183</v>
      </c>
      <c r="U2093" s="296" t="s">
        <v>3285</v>
      </c>
      <c r="V2093" s="296" t="s">
        <v>355</v>
      </c>
      <c r="W2093" s="296" t="s">
        <v>928</v>
      </c>
      <c r="X2093" s="296" t="s">
        <v>928</v>
      </c>
    </row>
    <row r="2094" spans="1:24" ht="13.5" x14ac:dyDescent="0.15">
      <c r="A2094" s="296">
        <v>3783775</v>
      </c>
      <c r="B2094" s="296" t="s">
        <v>351</v>
      </c>
      <c r="C2094" s="296" t="s">
        <v>1801</v>
      </c>
      <c r="D2094" s="296" t="s">
        <v>353</v>
      </c>
      <c r="E2094" s="296" t="s">
        <v>116</v>
      </c>
      <c r="F2094" s="296">
        <v>3</v>
      </c>
      <c r="G2094" s="296" t="s">
        <v>19</v>
      </c>
      <c r="H2094" s="296" t="s">
        <v>20</v>
      </c>
      <c r="I2094" s="296" t="s">
        <v>21</v>
      </c>
      <c r="J2094" s="296" t="s">
        <v>928</v>
      </c>
      <c r="K2094" s="296" t="s">
        <v>118</v>
      </c>
      <c r="L2094" s="296">
        <v>38</v>
      </c>
      <c r="M2094" s="296" t="s">
        <v>368</v>
      </c>
      <c r="N2094" s="296">
        <v>1005</v>
      </c>
      <c r="O2094" s="296">
        <v>1000</v>
      </c>
      <c r="P2094" s="296">
        <v>8000</v>
      </c>
      <c r="Q2094" s="296">
        <v>2</v>
      </c>
      <c r="R2094" s="296">
        <v>5</v>
      </c>
      <c r="S2094" s="296" t="s">
        <v>354</v>
      </c>
      <c r="T2094" s="296" t="s">
        <v>3183</v>
      </c>
      <c r="U2094" s="296" t="s">
        <v>3287</v>
      </c>
      <c r="V2094" s="296" t="s">
        <v>355</v>
      </c>
      <c r="W2094" s="296" t="s">
        <v>928</v>
      </c>
      <c r="X2094" s="296" t="s">
        <v>928</v>
      </c>
    </row>
    <row r="2095" spans="1:24" ht="13.5" x14ac:dyDescent="0.15">
      <c r="A2095" s="296">
        <v>3783776</v>
      </c>
      <c r="B2095" s="296" t="s">
        <v>351</v>
      </c>
      <c r="C2095" s="296" t="s">
        <v>1796</v>
      </c>
      <c r="D2095" s="296" t="s">
        <v>353</v>
      </c>
      <c r="E2095" s="296" t="s">
        <v>32</v>
      </c>
      <c r="F2095" s="296">
        <v>331</v>
      </c>
      <c r="G2095" s="296" t="s">
        <v>19</v>
      </c>
      <c r="H2095" s="296" t="s">
        <v>20</v>
      </c>
      <c r="I2095" s="296" t="s">
        <v>21</v>
      </c>
      <c r="J2095" s="296" t="s">
        <v>928</v>
      </c>
      <c r="K2095" s="296" t="s">
        <v>33</v>
      </c>
      <c r="L2095" s="296">
        <v>25</v>
      </c>
      <c r="M2095" s="296" t="s">
        <v>30</v>
      </c>
      <c r="N2095" s="296">
        <v>1330</v>
      </c>
      <c r="O2095" s="296">
        <v>1330</v>
      </c>
      <c r="P2095" s="296">
        <v>6000</v>
      </c>
      <c r="Q2095" s="296">
        <v>2</v>
      </c>
      <c r="R2095" s="296">
        <v>8</v>
      </c>
      <c r="S2095" s="296" t="s">
        <v>354</v>
      </c>
      <c r="T2095" s="296" t="s">
        <v>3183</v>
      </c>
      <c r="U2095" s="296" t="s">
        <v>3285</v>
      </c>
      <c r="V2095" s="296" t="s">
        <v>355</v>
      </c>
      <c r="W2095" s="296" t="s">
        <v>928</v>
      </c>
      <c r="X2095" s="296" t="s">
        <v>928</v>
      </c>
    </row>
    <row r="2096" spans="1:24" ht="13.5" x14ac:dyDescent="0.15">
      <c r="A2096" s="296">
        <v>3783777</v>
      </c>
      <c r="B2096" s="296" t="s">
        <v>351</v>
      </c>
      <c r="C2096" s="296" t="s">
        <v>1796</v>
      </c>
      <c r="D2096" s="296" t="s">
        <v>353</v>
      </c>
      <c r="E2096" s="296" t="s">
        <v>32</v>
      </c>
      <c r="F2096" s="296">
        <v>330</v>
      </c>
      <c r="G2096" s="296" t="s">
        <v>19</v>
      </c>
      <c r="H2096" s="296" t="s">
        <v>20</v>
      </c>
      <c r="I2096" s="296" t="s">
        <v>21</v>
      </c>
      <c r="J2096" s="296" t="s">
        <v>928</v>
      </c>
      <c r="K2096" s="296" t="s">
        <v>33</v>
      </c>
      <c r="L2096" s="296">
        <v>38</v>
      </c>
      <c r="M2096" s="296" t="s">
        <v>30</v>
      </c>
      <c r="N2096" s="296">
        <v>1330</v>
      </c>
      <c r="O2096" s="296">
        <v>1330</v>
      </c>
      <c r="P2096" s="296">
        <v>3900</v>
      </c>
      <c r="Q2096" s="296">
        <v>2</v>
      </c>
      <c r="R2096" s="296">
        <v>36</v>
      </c>
      <c r="S2096" s="296" t="s">
        <v>354</v>
      </c>
      <c r="T2096" s="296" t="s">
        <v>3183</v>
      </c>
      <c r="U2096" s="296" t="s">
        <v>3285</v>
      </c>
      <c r="V2096" s="296" t="s">
        <v>355</v>
      </c>
      <c r="W2096" s="296" t="s">
        <v>928</v>
      </c>
      <c r="X2096" s="296" t="s">
        <v>928</v>
      </c>
    </row>
    <row r="2097" spans="1:24" ht="13.5" x14ac:dyDescent="0.15">
      <c r="A2097" s="296">
        <v>3783778</v>
      </c>
      <c r="B2097" s="296" t="s">
        <v>351</v>
      </c>
      <c r="C2097" s="296" t="s">
        <v>1796</v>
      </c>
      <c r="D2097" s="296" t="s">
        <v>353</v>
      </c>
      <c r="E2097" s="296" t="s">
        <v>17</v>
      </c>
      <c r="F2097" s="296">
        <v>3</v>
      </c>
      <c r="G2097" s="296" t="s">
        <v>19</v>
      </c>
      <c r="H2097" s="296" t="s">
        <v>20</v>
      </c>
      <c r="I2097" s="296" t="s">
        <v>21</v>
      </c>
      <c r="J2097" s="296" t="s">
        <v>928</v>
      </c>
      <c r="K2097" s="296" t="s">
        <v>22</v>
      </c>
      <c r="L2097" s="296">
        <v>38</v>
      </c>
      <c r="M2097" s="296" t="s">
        <v>23</v>
      </c>
      <c r="N2097" s="296">
        <v>1037</v>
      </c>
      <c r="O2097" s="296">
        <v>1030</v>
      </c>
      <c r="P2097" s="296">
        <v>8500</v>
      </c>
      <c r="Q2097" s="296">
        <v>2</v>
      </c>
      <c r="R2097" s="296">
        <v>85</v>
      </c>
      <c r="S2097" s="296" t="s">
        <v>354</v>
      </c>
      <c r="T2097" s="296" t="s">
        <v>3183</v>
      </c>
      <c r="U2097" s="296" t="s">
        <v>3285</v>
      </c>
      <c r="V2097" s="296" t="s">
        <v>355</v>
      </c>
      <c r="W2097" s="296" t="s">
        <v>928</v>
      </c>
      <c r="X2097" s="296" t="s">
        <v>928</v>
      </c>
    </row>
    <row r="2098" spans="1:24" ht="13.5" x14ac:dyDescent="0.15">
      <c r="A2098" s="296">
        <v>3783779</v>
      </c>
      <c r="B2098" s="296" t="s">
        <v>351</v>
      </c>
      <c r="C2098" s="296" t="s">
        <v>1814</v>
      </c>
      <c r="D2098" s="296" t="s">
        <v>353</v>
      </c>
      <c r="E2098" s="296" t="s">
        <v>40</v>
      </c>
      <c r="F2098" s="296">
        <v>3</v>
      </c>
      <c r="G2098" s="296" t="s">
        <v>19</v>
      </c>
      <c r="H2098" s="296" t="s">
        <v>20</v>
      </c>
      <c r="I2098" s="296" t="s">
        <v>21</v>
      </c>
      <c r="J2098" s="296" t="s">
        <v>928</v>
      </c>
      <c r="K2098" s="296" t="s">
        <v>42</v>
      </c>
      <c r="L2098" s="296">
        <v>25</v>
      </c>
      <c r="M2098" s="296" t="s">
        <v>43</v>
      </c>
      <c r="N2098" s="296">
        <v>1045</v>
      </c>
      <c r="O2098" s="296">
        <v>1040</v>
      </c>
      <c r="P2098" s="296">
        <v>6000</v>
      </c>
      <c r="Q2098" s="296">
        <v>2</v>
      </c>
      <c r="R2098" s="296">
        <v>20</v>
      </c>
      <c r="S2098" s="296" t="s">
        <v>354</v>
      </c>
      <c r="T2098" s="296" t="s">
        <v>3183</v>
      </c>
      <c r="U2098" s="296" t="s">
        <v>3285</v>
      </c>
      <c r="V2098" s="296" t="s">
        <v>355</v>
      </c>
      <c r="W2098" s="296" t="s">
        <v>928</v>
      </c>
      <c r="X2098" s="296" t="s">
        <v>928</v>
      </c>
    </row>
    <row r="2099" spans="1:24" ht="13.5" x14ac:dyDescent="0.15">
      <c r="A2099" s="296">
        <v>3783780</v>
      </c>
      <c r="B2099" s="296" t="s">
        <v>351</v>
      </c>
      <c r="C2099" s="296" t="s">
        <v>1803</v>
      </c>
      <c r="D2099" s="296" t="s">
        <v>353</v>
      </c>
      <c r="E2099" s="296" t="s">
        <v>65</v>
      </c>
      <c r="F2099" s="296">
        <v>3321</v>
      </c>
      <c r="G2099" s="296" t="s">
        <v>19</v>
      </c>
      <c r="H2099" s="296" t="s">
        <v>20</v>
      </c>
      <c r="I2099" s="296" t="s">
        <v>21</v>
      </c>
      <c r="J2099" s="296" t="s">
        <v>928</v>
      </c>
      <c r="K2099" s="296" t="s">
        <v>67</v>
      </c>
      <c r="L2099" s="296">
        <v>38</v>
      </c>
      <c r="M2099" s="296" t="s">
        <v>68</v>
      </c>
      <c r="N2099" s="296">
        <v>1336</v>
      </c>
      <c r="O2099" s="296">
        <v>1325</v>
      </c>
      <c r="P2099" s="296">
        <v>12000</v>
      </c>
      <c r="Q2099" s="296">
        <v>2</v>
      </c>
      <c r="R2099" s="296">
        <v>42</v>
      </c>
      <c r="S2099" s="296" t="s">
        <v>354</v>
      </c>
      <c r="T2099" s="296" t="s">
        <v>3183</v>
      </c>
      <c r="U2099" s="296" t="s">
        <v>3285</v>
      </c>
      <c r="V2099" s="296" t="s">
        <v>355</v>
      </c>
      <c r="W2099" s="296" t="s">
        <v>928</v>
      </c>
      <c r="X2099" s="296" t="s">
        <v>928</v>
      </c>
    </row>
    <row r="2100" spans="1:24" ht="13.5" x14ac:dyDescent="0.15">
      <c r="A2100" s="296">
        <v>3783781</v>
      </c>
      <c r="B2100" s="296" t="s">
        <v>351</v>
      </c>
      <c r="C2100" s="296" t="s">
        <v>1803</v>
      </c>
      <c r="D2100" s="296" t="s">
        <v>353</v>
      </c>
      <c r="E2100" s="296" t="s">
        <v>65</v>
      </c>
      <c r="F2100" s="296">
        <v>3321</v>
      </c>
      <c r="G2100" s="296" t="s">
        <v>19</v>
      </c>
      <c r="H2100" s="296" t="s">
        <v>20</v>
      </c>
      <c r="I2100" s="296" t="s">
        <v>21</v>
      </c>
      <c r="J2100" s="296" t="s">
        <v>928</v>
      </c>
      <c r="K2100" s="296" t="s">
        <v>70</v>
      </c>
      <c r="L2100" s="296">
        <v>38</v>
      </c>
      <c r="M2100" s="296" t="s">
        <v>71</v>
      </c>
      <c r="N2100" s="296">
        <v>1336</v>
      </c>
      <c r="O2100" s="296">
        <v>1325</v>
      </c>
      <c r="P2100" s="296">
        <v>12000</v>
      </c>
      <c r="Q2100" s="296">
        <v>2</v>
      </c>
      <c r="R2100" s="296">
        <v>48</v>
      </c>
      <c r="S2100" s="296" t="s">
        <v>354</v>
      </c>
      <c r="T2100" s="296" t="s">
        <v>3183</v>
      </c>
      <c r="U2100" s="296" t="s">
        <v>3285</v>
      </c>
      <c r="V2100" s="296" t="s">
        <v>355</v>
      </c>
      <c r="W2100" s="296" t="s">
        <v>928</v>
      </c>
      <c r="X2100" s="296" t="s">
        <v>928</v>
      </c>
    </row>
    <row r="2101" spans="1:24" ht="13.5" x14ac:dyDescent="0.15">
      <c r="A2101" s="296">
        <v>3783782</v>
      </c>
      <c r="B2101" s="296" t="s">
        <v>431</v>
      </c>
      <c r="C2101" s="296" t="s">
        <v>1803</v>
      </c>
      <c r="D2101" s="296" t="s">
        <v>353</v>
      </c>
      <c r="E2101" s="296" t="s">
        <v>61</v>
      </c>
      <c r="F2101" s="296">
        <v>3</v>
      </c>
      <c r="G2101" s="296" t="s">
        <v>265</v>
      </c>
      <c r="H2101" s="296" t="s">
        <v>20</v>
      </c>
      <c r="I2101" s="296" t="s">
        <v>21</v>
      </c>
      <c r="J2101" s="296" t="s">
        <v>928</v>
      </c>
      <c r="K2101" s="296" t="s">
        <v>292</v>
      </c>
      <c r="L2101" s="296">
        <v>38</v>
      </c>
      <c r="M2101" s="296" t="s">
        <v>293</v>
      </c>
      <c r="N2101" s="296">
        <v>750</v>
      </c>
      <c r="O2101" s="296">
        <v>750</v>
      </c>
      <c r="P2101" s="296">
        <v>6000</v>
      </c>
      <c r="Q2101" s="296">
        <v>2</v>
      </c>
      <c r="R2101" s="296">
        <v>14</v>
      </c>
      <c r="S2101" s="296" t="s">
        <v>354</v>
      </c>
      <c r="T2101" s="296" t="s">
        <v>3183</v>
      </c>
      <c r="U2101" s="296" t="s">
        <v>3285</v>
      </c>
      <c r="V2101" s="296" t="s">
        <v>355</v>
      </c>
      <c r="W2101" s="296" t="s">
        <v>928</v>
      </c>
      <c r="X2101" s="296" t="s">
        <v>928</v>
      </c>
    </row>
    <row r="2102" spans="1:24" ht="13.5" x14ac:dyDescent="0.15">
      <c r="A2102" s="296">
        <v>3783783</v>
      </c>
      <c r="B2102" s="296" t="s">
        <v>351</v>
      </c>
      <c r="C2102" s="296" t="s">
        <v>1803</v>
      </c>
      <c r="D2102" s="296" t="s">
        <v>353</v>
      </c>
      <c r="E2102" s="296" t="s">
        <v>61</v>
      </c>
      <c r="F2102" s="296">
        <v>3313</v>
      </c>
      <c r="G2102" s="296" t="s">
        <v>19</v>
      </c>
      <c r="H2102" s="296" t="s">
        <v>20</v>
      </c>
      <c r="I2102" s="296" t="s">
        <v>21</v>
      </c>
      <c r="J2102" s="296" t="s">
        <v>928</v>
      </c>
      <c r="K2102" s="296" t="s">
        <v>62</v>
      </c>
      <c r="L2102" s="296">
        <v>38</v>
      </c>
      <c r="M2102" s="296" t="s">
        <v>63</v>
      </c>
      <c r="N2102" s="296">
        <v>750</v>
      </c>
      <c r="O2102" s="296">
        <v>750</v>
      </c>
      <c r="P2102" s="296">
        <v>6000</v>
      </c>
      <c r="Q2102" s="296">
        <v>2</v>
      </c>
      <c r="R2102" s="296">
        <v>12</v>
      </c>
      <c r="S2102" s="296" t="s">
        <v>354</v>
      </c>
      <c r="T2102" s="296" t="s">
        <v>3183</v>
      </c>
      <c r="U2102" s="296" t="s">
        <v>3285</v>
      </c>
      <c r="V2102" s="296" t="s">
        <v>355</v>
      </c>
      <c r="W2102" s="296" t="s">
        <v>928</v>
      </c>
      <c r="X2102" s="296" t="s">
        <v>928</v>
      </c>
    </row>
    <row r="2103" spans="1:24" ht="13.5" x14ac:dyDescent="0.15">
      <c r="A2103" s="296">
        <v>3783784</v>
      </c>
      <c r="B2103" s="296" t="s">
        <v>351</v>
      </c>
      <c r="C2103" s="296" t="s">
        <v>1803</v>
      </c>
      <c r="D2103" s="296" t="s">
        <v>353</v>
      </c>
      <c r="E2103" s="296" t="s">
        <v>73</v>
      </c>
      <c r="F2103" s="296">
        <v>331</v>
      </c>
      <c r="G2103" s="296" t="s">
        <v>19</v>
      </c>
      <c r="H2103" s="296" t="s">
        <v>20</v>
      </c>
      <c r="I2103" s="296" t="s">
        <v>21</v>
      </c>
      <c r="J2103" s="296" t="s">
        <v>928</v>
      </c>
      <c r="K2103" s="296" t="s">
        <v>74</v>
      </c>
      <c r="L2103" s="296">
        <v>38</v>
      </c>
      <c r="M2103" s="296" t="s">
        <v>365</v>
      </c>
      <c r="N2103" s="296">
        <v>315</v>
      </c>
      <c r="O2103" s="296">
        <v>315</v>
      </c>
      <c r="P2103" s="296">
        <v>1950</v>
      </c>
      <c r="Q2103" s="296">
        <v>2</v>
      </c>
      <c r="R2103" s="296">
        <v>8</v>
      </c>
      <c r="S2103" s="296" t="s">
        <v>354</v>
      </c>
      <c r="T2103" s="296" t="s">
        <v>3183</v>
      </c>
      <c r="U2103" s="296" t="s">
        <v>3285</v>
      </c>
      <c r="V2103" s="296" t="s">
        <v>355</v>
      </c>
      <c r="W2103" s="296" t="s">
        <v>928</v>
      </c>
      <c r="X2103" s="296" t="s">
        <v>928</v>
      </c>
    </row>
    <row r="2104" spans="1:24" ht="13.5" x14ac:dyDescent="0.15">
      <c r="A2104" s="296">
        <v>3783784</v>
      </c>
      <c r="B2104" s="296" t="s">
        <v>351</v>
      </c>
      <c r="C2104" s="296" t="s">
        <v>1803</v>
      </c>
      <c r="D2104" s="296" t="s">
        <v>353</v>
      </c>
      <c r="E2104" s="296" t="s">
        <v>73</v>
      </c>
      <c r="F2104" s="296">
        <v>331</v>
      </c>
      <c r="G2104" s="296" t="s">
        <v>19</v>
      </c>
      <c r="H2104" s="296" t="s">
        <v>20</v>
      </c>
      <c r="I2104" s="296" t="s">
        <v>21</v>
      </c>
      <c r="J2104" s="296" t="s">
        <v>928</v>
      </c>
      <c r="K2104" s="296" t="s">
        <v>74</v>
      </c>
      <c r="L2104" s="296">
        <v>38</v>
      </c>
      <c r="M2104" s="296" t="s">
        <v>365</v>
      </c>
      <c r="N2104" s="296">
        <v>415</v>
      </c>
      <c r="O2104" s="296">
        <v>415</v>
      </c>
      <c r="P2104" s="296">
        <v>1950</v>
      </c>
      <c r="Q2104" s="296">
        <v>2</v>
      </c>
      <c r="R2104" s="296">
        <v>12</v>
      </c>
      <c r="S2104" s="296" t="s">
        <v>354</v>
      </c>
      <c r="T2104" s="296" t="s">
        <v>3183</v>
      </c>
      <c r="U2104" s="296" t="s">
        <v>3285</v>
      </c>
      <c r="V2104" s="296" t="s">
        <v>355</v>
      </c>
      <c r="W2104" s="296" t="s">
        <v>928</v>
      </c>
      <c r="X2104" s="296" t="s">
        <v>928</v>
      </c>
    </row>
    <row r="2105" spans="1:24" ht="13.5" x14ac:dyDescent="0.15">
      <c r="A2105" s="296">
        <v>3783785</v>
      </c>
      <c r="B2105" s="296" t="s">
        <v>351</v>
      </c>
      <c r="C2105" s="296" t="s">
        <v>1803</v>
      </c>
      <c r="D2105" s="296" t="s">
        <v>353</v>
      </c>
      <c r="E2105" s="296" t="s">
        <v>73</v>
      </c>
      <c r="F2105" s="296">
        <v>331</v>
      </c>
      <c r="G2105" s="296" t="s">
        <v>19</v>
      </c>
      <c r="H2105" s="296" t="s">
        <v>20</v>
      </c>
      <c r="I2105" s="296" t="s">
        <v>21</v>
      </c>
      <c r="J2105" s="296" t="s">
        <v>928</v>
      </c>
      <c r="K2105" s="296" t="s">
        <v>74</v>
      </c>
      <c r="L2105" s="296">
        <v>38</v>
      </c>
      <c r="M2105" s="296" t="s">
        <v>365</v>
      </c>
      <c r="N2105" s="296">
        <v>415</v>
      </c>
      <c r="O2105" s="296">
        <v>415</v>
      </c>
      <c r="P2105" s="296">
        <v>1950</v>
      </c>
      <c r="Q2105" s="296">
        <v>2</v>
      </c>
      <c r="R2105" s="296">
        <v>90</v>
      </c>
      <c r="S2105" s="296" t="s">
        <v>354</v>
      </c>
      <c r="T2105" s="296" t="s">
        <v>3183</v>
      </c>
      <c r="U2105" s="296" t="s">
        <v>3285</v>
      </c>
      <c r="V2105" s="296" t="s">
        <v>355</v>
      </c>
      <c r="W2105" s="296" t="s">
        <v>928</v>
      </c>
      <c r="X2105" s="296" t="s">
        <v>928</v>
      </c>
    </row>
    <row r="2106" spans="1:24" ht="13.5" x14ac:dyDescent="0.15">
      <c r="A2106" s="296">
        <v>3783786</v>
      </c>
      <c r="B2106" s="296" t="s">
        <v>431</v>
      </c>
      <c r="C2106" s="296" t="s">
        <v>1803</v>
      </c>
      <c r="D2106" s="296" t="s">
        <v>353</v>
      </c>
      <c r="E2106" s="296" t="s">
        <v>61</v>
      </c>
      <c r="F2106" s="296">
        <v>3</v>
      </c>
      <c r="G2106" s="296" t="s">
        <v>265</v>
      </c>
      <c r="H2106" s="296" t="s">
        <v>20</v>
      </c>
      <c r="I2106" s="296" t="s">
        <v>21</v>
      </c>
      <c r="J2106" s="296" t="s">
        <v>928</v>
      </c>
      <c r="K2106" s="296" t="s">
        <v>292</v>
      </c>
      <c r="L2106" s="296">
        <v>38</v>
      </c>
      <c r="M2106" s="296" t="s">
        <v>293</v>
      </c>
      <c r="N2106" s="296">
        <v>1255</v>
      </c>
      <c r="O2106" s="296">
        <v>1250</v>
      </c>
      <c r="P2106" s="296">
        <v>6000</v>
      </c>
      <c r="Q2106" s="296">
        <v>2</v>
      </c>
      <c r="R2106" s="296">
        <v>5</v>
      </c>
      <c r="S2106" s="296" t="s">
        <v>354</v>
      </c>
      <c r="T2106" s="296" t="s">
        <v>3183</v>
      </c>
      <c r="U2106" s="296" t="s">
        <v>3285</v>
      </c>
      <c r="V2106" s="296" t="s">
        <v>355</v>
      </c>
      <c r="W2106" s="296" t="s">
        <v>928</v>
      </c>
      <c r="X2106" s="296" t="s">
        <v>928</v>
      </c>
    </row>
    <row r="2107" spans="1:24" ht="13.5" x14ac:dyDescent="0.15">
      <c r="A2107" s="296">
        <v>3783787</v>
      </c>
      <c r="B2107" s="296" t="s">
        <v>351</v>
      </c>
      <c r="C2107" s="296" t="s">
        <v>1803</v>
      </c>
      <c r="D2107" s="296" t="s">
        <v>353</v>
      </c>
      <c r="E2107" s="296" t="s">
        <v>61</v>
      </c>
      <c r="F2107" s="296">
        <v>331</v>
      </c>
      <c r="G2107" s="296" t="s">
        <v>19</v>
      </c>
      <c r="H2107" s="296" t="s">
        <v>20</v>
      </c>
      <c r="I2107" s="296" t="s">
        <v>21</v>
      </c>
      <c r="J2107" s="296" t="s">
        <v>928</v>
      </c>
      <c r="K2107" s="296" t="s">
        <v>62</v>
      </c>
      <c r="L2107" s="296">
        <v>38</v>
      </c>
      <c r="M2107" s="296" t="s">
        <v>63</v>
      </c>
      <c r="N2107" s="296">
        <v>1025</v>
      </c>
      <c r="O2107" s="296">
        <v>1020</v>
      </c>
      <c r="P2107" s="296">
        <v>6000</v>
      </c>
      <c r="Q2107" s="296">
        <v>2</v>
      </c>
      <c r="R2107" s="296">
        <v>4</v>
      </c>
      <c r="S2107" s="296" t="s">
        <v>354</v>
      </c>
      <c r="T2107" s="296" t="s">
        <v>3183</v>
      </c>
      <c r="U2107" s="296" t="s">
        <v>3285</v>
      </c>
      <c r="V2107" s="296" t="s">
        <v>355</v>
      </c>
      <c r="W2107" s="296" t="s">
        <v>928</v>
      </c>
      <c r="X2107" s="296" t="s">
        <v>928</v>
      </c>
    </row>
    <row r="2108" spans="1:24" ht="13.5" x14ac:dyDescent="0.15">
      <c r="A2108" s="296">
        <v>3783788</v>
      </c>
      <c r="B2108" s="296" t="s">
        <v>351</v>
      </c>
      <c r="C2108" s="296" t="s">
        <v>1796</v>
      </c>
      <c r="D2108" s="296" t="s">
        <v>353</v>
      </c>
      <c r="E2108" s="296" t="s">
        <v>106</v>
      </c>
      <c r="F2108" s="296">
        <v>3</v>
      </c>
      <c r="G2108" s="296" t="s">
        <v>19</v>
      </c>
      <c r="H2108" s="296" t="s">
        <v>20</v>
      </c>
      <c r="I2108" s="296" t="s">
        <v>21</v>
      </c>
      <c r="J2108" s="296" t="s">
        <v>928</v>
      </c>
      <c r="K2108" s="296" t="s">
        <v>107</v>
      </c>
      <c r="L2108" s="296">
        <v>25</v>
      </c>
      <c r="M2108" s="296" t="s">
        <v>367</v>
      </c>
      <c r="N2108" s="296">
        <v>1240</v>
      </c>
      <c r="O2108" s="296">
        <v>1240</v>
      </c>
      <c r="P2108" s="296">
        <v>6000</v>
      </c>
      <c r="Q2108" s="296">
        <v>2</v>
      </c>
      <c r="R2108" s="296">
        <v>8</v>
      </c>
      <c r="S2108" s="296" t="s">
        <v>354</v>
      </c>
      <c r="T2108" s="296" t="s">
        <v>3183</v>
      </c>
      <c r="U2108" s="296" t="s">
        <v>3288</v>
      </c>
      <c r="V2108" s="296" t="s">
        <v>355</v>
      </c>
      <c r="W2108" s="296" t="s">
        <v>928</v>
      </c>
      <c r="X2108" s="296" t="s">
        <v>928</v>
      </c>
    </row>
    <row r="2109" spans="1:24" ht="13.5" x14ac:dyDescent="0.15">
      <c r="A2109" s="296">
        <v>3783789</v>
      </c>
      <c r="B2109" s="296" t="s">
        <v>351</v>
      </c>
      <c r="C2109" s="296" t="s">
        <v>1796</v>
      </c>
      <c r="D2109" s="296" t="s">
        <v>353</v>
      </c>
      <c r="E2109" s="296" t="s">
        <v>106</v>
      </c>
      <c r="F2109" s="296">
        <v>3</v>
      </c>
      <c r="G2109" s="296" t="s">
        <v>19</v>
      </c>
      <c r="H2109" s="296" t="s">
        <v>20</v>
      </c>
      <c r="I2109" s="296" t="s">
        <v>21</v>
      </c>
      <c r="J2109" s="296" t="s">
        <v>928</v>
      </c>
      <c r="K2109" s="296" t="s">
        <v>107</v>
      </c>
      <c r="L2109" s="296">
        <v>38</v>
      </c>
      <c r="M2109" s="296" t="s">
        <v>367</v>
      </c>
      <c r="N2109" s="296">
        <v>1240</v>
      </c>
      <c r="O2109" s="296">
        <v>1240</v>
      </c>
      <c r="P2109" s="296">
        <v>6000</v>
      </c>
      <c r="Q2109" s="296">
        <v>2</v>
      </c>
      <c r="R2109" s="296">
        <v>10</v>
      </c>
      <c r="S2109" s="296" t="s">
        <v>354</v>
      </c>
      <c r="T2109" s="296" t="s">
        <v>3183</v>
      </c>
      <c r="U2109" s="296" t="s">
        <v>3288</v>
      </c>
      <c r="V2109" s="296" t="s">
        <v>355</v>
      </c>
      <c r="W2109" s="296" t="s">
        <v>928</v>
      </c>
      <c r="X2109" s="296" t="s">
        <v>928</v>
      </c>
    </row>
    <row r="2110" spans="1:24" ht="13.5" x14ac:dyDescent="0.15">
      <c r="A2110" s="296">
        <v>3783790</v>
      </c>
      <c r="B2110" s="296" t="s">
        <v>351</v>
      </c>
      <c r="C2110" s="296" t="s">
        <v>1796</v>
      </c>
      <c r="D2110" s="296" t="s">
        <v>353</v>
      </c>
      <c r="E2110" s="296" t="s">
        <v>106</v>
      </c>
      <c r="F2110" s="296">
        <v>3</v>
      </c>
      <c r="G2110" s="296" t="s">
        <v>19</v>
      </c>
      <c r="H2110" s="296" t="s">
        <v>20</v>
      </c>
      <c r="I2110" s="296" t="s">
        <v>21</v>
      </c>
      <c r="J2110" s="296" t="s">
        <v>928</v>
      </c>
      <c r="K2110" s="296" t="s">
        <v>107</v>
      </c>
      <c r="L2110" s="296">
        <v>25</v>
      </c>
      <c r="M2110" s="296" t="s">
        <v>367</v>
      </c>
      <c r="N2110" s="296">
        <v>1040</v>
      </c>
      <c r="O2110" s="296">
        <v>1040</v>
      </c>
      <c r="P2110" s="296">
        <v>6000</v>
      </c>
      <c r="Q2110" s="296">
        <v>2</v>
      </c>
      <c r="R2110" s="296">
        <v>66</v>
      </c>
      <c r="S2110" s="296" t="s">
        <v>354</v>
      </c>
      <c r="T2110" s="296" t="s">
        <v>3183</v>
      </c>
      <c r="U2110" s="296" t="s">
        <v>3288</v>
      </c>
      <c r="V2110" s="296" t="s">
        <v>355</v>
      </c>
      <c r="W2110" s="296" t="s">
        <v>928</v>
      </c>
      <c r="X2110" s="296" t="s">
        <v>928</v>
      </c>
    </row>
    <row r="2111" spans="1:24" ht="13.5" x14ac:dyDescent="0.15">
      <c r="A2111" s="296">
        <v>3783791</v>
      </c>
      <c r="B2111" s="296" t="s">
        <v>431</v>
      </c>
      <c r="C2111" s="296" t="s">
        <v>1803</v>
      </c>
      <c r="D2111" s="296" t="s">
        <v>353</v>
      </c>
      <c r="E2111" s="296" t="s">
        <v>378</v>
      </c>
      <c r="F2111" s="296">
        <v>3</v>
      </c>
      <c r="G2111" s="296" t="s">
        <v>265</v>
      </c>
      <c r="H2111" s="296" t="s">
        <v>20</v>
      </c>
      <c r="I2111" s="296" t="s">
        <v>21</v>
      </c>
      <c r="J2111" s="296" t="s">
        <v>928</v>
      </c>
      <c r="K2111" s="296" t="s">
        <v>99</v>
      </c>
      <c r="L2111" s="296">
        <v>25</v>
      </c>
      <c r="M2111" s="296" t="s">
        <v>100</v>
      </c>
      <c r="N2111" s="296">
        <v>500</v>
      </c>
      <c r="O2111" s="296">
        <v>500</v>
      </c>
      <c r="P2111" s="296">
        <v>4000</v>
      </c>
      <c r="Q2111" s="296">
        <v>2</v>
      </c>
      <c r="R2111" s="296">
        <v>18</v>
      </c>
      <c r="S2111" s="296" t="s">
        <v>354</v>
      </c>
      <c r="T2111" s="296" t="s">
        <v>3183</v>
      </c>
      <c r="U2111" s="296" t="s">
        <v>3288</v>
      </c>
      <c r="V2111" s="296" t="s">
        <v>355</v>
      </c>
      <c r="W2111" s="296" t="s">
        <v>928</v>
      </c>
      <c r="X2111" s="296" t="s">
        <v>928</v>
      </c>
    </row>
    <row r="2112" spans="1:24" ht="13.5" x14ac:dyDescent="0.15">
      <c r="A2112" s="296">
        <v>3783792</v>
      </c>
      <c r="B2112" s="296" t="s">
        <v>432</v>
      </c>
      <c r="C2112" s="296" t="s">
        <v>1803</v>
      </c>
      <c r="D2112" s="296" t="s">
        <v>353</v>
      </c>
      <c r="E2112" s="296" t="s">
        <v>304</v>
      </c>
      <c r="F2112" s="296">
        <v>3301</v>
      </c>
      <c r="G2112" s="296" t="s">
        <v>265</v>
      </c>
      <c r="H2112" s="296" t="s">
        <v>20</v>
      </c>
      <c r="I2112" s="296" t="s">
        <v>256</v>
      </c>
      <c r="J2112" s="296" t="s">
        <v>928</v>
      </c>
      <c r="K2112" s="296" t="s">
        <v>433</v>
      </c>
      <c r="L2112" s="296">
        <v>100</v>
      </c>
      <c r="M2112" s="296" t="s">
        <v>305</v>
      </c>
      <c r="N2112" s="296">
        <v>1150</v>
      </c>
      <c r="O2112" s="296">
        <v>1150</v>
      </c>
      <c r="P2112" s="296">
        <v>2000</v>
      </c>
      <c r="Q2112" s="296">
        <v>2</v>
      </c>
      <c r="R2112" s="296">
        <v>2</v>
      </c>
      <c r="S2112" s="296" t="s">
        <v>354</v>
      </c>
      <c r="T2112" s="296" t="s">
        <v>3183</v>
      </c>
      <c r="U2112" s="296" t="s">
        <v>3285</v>
      </c>
      <c r="V2112" s="296" t="s">
        <v>355</v>
      </c>
      <c r="W2112" s="296" t="s">
        <v>928</v>
      </c>
      <c r="X2112" s="296" t="s">
        <v>928</v>
      </c>
    </row>
    <row r="2113" spans="1:24" ht="13.5" x14ac:dyDescent="0.15">
      <c r="A2113" s="296">
        <v>3783793</v>
      </c>
      <c r="B2113" s="296" t="s">
        <v>351</v>
      </c>
      <c r="C2113" s="296" t="s">
        <v>1801</v>
      </c>
      <c r="D2113" s="296" t="s">
        <v>353</v>
      </c>
      <c r="E2113" s="296" t="s">
        <v>116</v>
      </c>
      <c r="F2113" s="296">
        <v>3</v>
      </c>
      <c r="G2113" s="296" t="s">
        <v>19</v>
      </c>
      <c r="H2113" s="296" t="s">
        <v>20</v>
      </c>
      <c r="I2113" s="296" t="s">
        <v>143</v>
      </c>
      <c r="J2113" s="296" t="s">
        <v>928</v>
      </c>
      <c r="K2113" s="296" t="s">
        <v>159</v>
      </c>
      <c r="L2113" s="296">
        <v>25</v>
      </c>
      <c r="M2113" s="296" t="s">
        <v>160</v>
      </c>
      <c r="N2113" s="296">
        <v>1005</v>
      </c>
      <c r="O2113" s="296">
        <v>1000</v>
      </c>
      <c r="P2113" s="296">
        <v>4000</v>
      </c>
      <c r="Q2113" s="296">
        <v>2</v>
      </c>
      <c r="R2113" s="296">
        <v>3</v>
      </c>
      <c r="S2113" s="296" t="s">
        <v>354</v>
      </c>
      <c r="T2113" s="296" t="s">
        <v>3183</v>
      </c>
      <c r="U2113" s="296" t="s">
        <v>3289</v>
      </c>
      <c r="V2113" s="296" t="s">
        <v>355</v>
      </c>
      <c r="W2113" s="296" t="s">
        <v>928</v>
      </c>
      <c r="X2113" s="296" t="s">
        <v>928</v>
      </c>
    </row>
    <row r="2114" spans="1:24" ht="13.5" x14ac:dyDescent="0.15">
      <c r="A2114" s="296">
        <v>3783794</v>
      </c>
      <c r="B2114" s="296" t="s">
        <v>351</v>
      </c>
      <c r="C2114" s="296" t="s">
        <v>1801</v>
      </c>
      <c r="D2114" s="296" t="s">
        <v>353</v>
      </c>
      <c r="E2114" s="296" t="s">
        <v>116</v>
      </c>
      <c r="F2114" s="296">
        <v>3</v>
      </c>
      <c r="G2114" s="296" t="s">
        <v>19</v>
      </c>
      <c r="H2114" s="296" t="s">
        <v>20</v>
      </c>
      <c r="I2114" s="296" t="s">
        <v>143</v>
      </c>
      <c r="J2114" s="296" t="s">
        <v>928</v>
      </c>
      <c r="K2114" s="296" t="s">
        <v>144</v>
      </c>
      <c r="L2114" s="296">
        <v>50</v>
      </c>
      <c r="M2114" s="296" t="s">
        <v>145</v>
      </c>
      <c r="N2114" s="296">
        <v>1002</v>
      </c>
      <c r="O2114" s="296">
        <v>1000</v>
      </c>
      <c r="P2114" s="296">
        <v>4000</v>
      </c>
      <c r="Q2114" s="296">
        <v>2</v>
      </c>
      <c r="R2114" s="296">
        <v>3</v>
      </c>
      <c r="S2114" s="296" t="s">
        <v>354</v>
      </c>
      <c r="T2114" s="296" t="s">
        <v>3183</v>
      </c>
      <c r="U2114" s="296" t="s">
        <v>3286</v>
      </c>
      <c r="V2114" s="296" t="s">
        <v>355</v>
      </c>
      <c r="W2114" s="296" t="s">
        <v>928</v>
      </c>
      <c r="X2114" s="296" t="s">
        <v>928</v>
      </c>
    </row>
    <row r="2115" spans="1:24" ht="13.5" x14ac:dyDescent="0.15">
      <c r="A2115" s="296">
        <v>3783795</v>
      </c>
      <c r="B2115" s="296" t="s">
        <v>351</v>
      </c>
      <c r="C2115" s="296" t="s">
        <v>1801</v>
      </c>
      <c r="D2115" s="296" t="s">
        <v>353</v>
      </c>
      <c r="E2115" s="296" t="s">
        <v>116</v>
      </c>
      <c r="F2115" s="296">
        <v>3</v>
      </c>
      <c r="G2115" s="296" t="s">
        <v>19</v>
      </c>
      <c r="H2115" s="296" t="s">
        <v>20</v>
      </c>
      <c r="I2115" s="296" t="s">
        <v>143</v>
      </c>
      <c r="J2115" s="296" t="s">
        <v>928</v>
      </c>
      <c r="K2115" s="296" t="s">
        <v>144</v>
      </c>
      <c r="L2115" s="296">
        <v>75</v>
      </c>
      <c r="M2115" s="296" t="s">
        <v>145</v>
      </c>
      <c r="N2115" s="296">
        <v>1002</v>
      </c>
      <c r="O2115" s="296">
        <v>1000</v>
      </c>
      <c r="P2115" s="296">
        <v>3000</v>
      </c>
      <c r="Q2115" s="296">
        <v>2</v>
      </c>
      <c r="R2115" s="296">
        <v>1</v>
      </c>
      <c r="S2115" s="296" t="s">
        <v>354</v>
      </c>
      <c r="T2115" s="296" t="s">
        <v>3183</v>
      </c>
      <c r="U2115" s="296" t="s">
        <v>3286</v>
      </c>
      <c r="V2115" s="296" t="s">
        <v>355</v>
      </c>
      <c r="W2115" s="296" t="s">
        <v>928</v>
      </c>
      <c r="X2115" s="296" t="s">
        <v>928</v>
      </c>
    </row>
    <row r="2116" spans="1:24" ht="13.5" x14ac:dyDescent="0.15">
      <c r="A2116" s="296">
        <v>3784723</v>
      </c>
      <c r="B2116" s="296" t="s">
        <v>351</v>
      </c>
      <c r="C2116" s="296" t="s">
        <v>1803</v>
      </c>
      <c r="D2116" s="296" t="s">
        <v>353</v>
      </c>
      <c r="E2116" s="296" t="s">
        <v>928</v>
      </c>
      <c r="F2116" s="296">
        <v>3</v>
      </c>
      <c r="G2116" s="296" t="s">
        <v>19</v>
      </c>
      <c r="H2116" s="296" t="s">
        <v>20</v>
      </c>
      <c r="I2116" s="296" t="s">
        <v>21</v>
      </c>
      <c r="J2116" s="296" t="s">
        <v>928</v>
      </c>
      <c r="K2116" s="296" t="s">
        <v>118</v>
      </c>
      <c r="L2116" s="296">
        <v>25</v>
      </c>
      <c r="M2116" s="296" t="s">
        <v>119</v>
      </c>
      <c r="N2116" s="296">
        <v>1100</v>
      </c>
      <c r="O2116" s="296">
        <v>1100</v>
      </c>
      <c r="P2116" s="296">
        <v>12000</v>
      </c>
      <c r="Q2116" s="296">
        <v>2</v>
      </c>
      <c r="R2116" s="296">
        <v>14</v>
      </c>
      <c r="S2116" s="296" t="s">
        <v>354</v>
      </c>
      <c r="T2116" s="296" t="s">
        <v>3324</v>
      </c>
      <c r="U2116" s="296" t="s">
        <v>3285</v>
      </c>
      <c r="V2116" s="296" t="s">
        <v>355</v>
      </c>
      <c r="W2116" s="296" t="s">
        <v>928</v>
      </c>
      <c r="X2116" s="296" t="s">
        <v>928</v>
      </c>
    </row>
    <row r="2117" spans="1:24" ht="13.5" x14ac:dyDescent="0.15">
      <c r="A2117" s="296">
        <v>3784724</v>
      </c>
      <c r="B2117" s="296" t="s">
        <v>432</v>
      </c>
      <c r="C2117" s="296" t="s">
        <v>1803</v>
      </c>
      <c r="D2117" s="296" t="s">
        <v>353</v>
      </c>
      <c r="E2117" s="296" t="s">
        <v>304</v>
      </c>
      <c r="F2117" s="296">
        <v>3301</v>
      </c>
      <c r="G2117" s="296" t="s">
        <v>265</v>
      </c>
      <c r="H2117" s="296" t="s">
        <v>20</v>
      </c>
      <c r="I2117" s="296" t="s">
        <v>256</v>
      </c>
      <c r="J2117" s="296" t="s">
        <v>928</v>
      </c>
      <c r="K2117" s="296" t="s">
        <v>433</v>
      </c>
      <c r="L2117" s="296">
        <v>100</v>
      </c>
      <c r="M2117" s="296" t="s">
        <v>305</v>
      </c>
      <c r="N2117" s="296">
        <v>1050</v>
      </c>
      <c r="O2117" s="296">
        <v>1050</v>
      </c>
      <c r="P2117" s="296">
        <v>2000</v>
      </c>
      <c r="Q2117" s="296">
        <v>2</v>
      </c>
      <c r="R2117" s="296">
        <v>2</v>
      </c>
      <c r="S2117" s="296" t="s">
        <v>354</v>
      </c>
      <c r="T2117" s="296" t="s">
        <v>3324</v>
      </c>
      <c r="U2117" s="296" t="s">
        <v>3285</v>
      </c>
      <c r="V2117" s="296" t="s">
        <v>355</v>
      </c>
      <c r="W2117" s="296" t="s">
        <v>928</v>
      </c>
      <c r="X2117" s="296" t="s">
        <v>928</v>
      </c>
    </row>
    <row r="2118" spans="1:24" ht="13.5" x14ac:dyDescent="0.15">
      <c r="A2118" s="296">
        <v>3786989</v>
      </c>
      <c r="B2118" s="296" t="s">
        <v>351</v>
      </c>
      <c r="C2118" s="296" t="s">
        <v>1796</v>
      </c>
      <c r="D2118" s="296" t="s">
        <v>353</v>
      </c>
      <c r="E2118" s="296" t="s">
        <v>32</v>
      </c>
      <c r="F2118" s="296">
        <v>3</v>
      </c>
      <c r="G2118" s="296" t="s">
        <v>19</v>
      </c>
      <c r="H2118" s="296" t="s">
        <v>20</v>
      </c>
      <c r="I2118" s="296" t="s">
        <v>21</v>
      </c>
      <c r="J2118" s="296" t="s">
        <v>928</v>
      </c>
      <c r="K2118" s="296" t="s">
        <v>56</v>
      </c>
      <c r="L2118" s="296">
        <v>75</v>
      </c>
      <c r="M2118" s="296" t="s">
        <v>376</v>
      </c>
      <c r="N2118" s="296">
        <v>1330</v>
      </c>
      <c r="O2118" s="296">
        <v>1330</v>
      </c>
      <c r="P2118" s="296">
        <v>3900</v>
      </c>
      <c r="Q2118" s="296">
        <v>2</v>
      </c>
      <c r="R2118" s="296">
        <v>19</v>
      </c>
      <c r="S2118" s="296" t="s">
        <v>354</v>
      </c>
      <c r="T2118" s="296" t="s">
        <v>3184</v>
      </c>
      <c r="U2118" s="296" t="s">
        <v>3289</v>
      </c>
      <c r="V2118" s="296" t="s">
        <v>355</v>
      </c>
      <c r="W2118" s="296" t="s">
        <v>928</v>
      </c>
      <c r="X2118" s="296" t="s">
        <v>928</v>
      </c>
    </row>
    <row r="2119" spans="1:24" ht="13.5" x14ac:dyDescent="0.15">
      <c r="A2119" s="296">
        <v>3790211</v>
      </c>
      <c r="B2119" s="296" t="s">
        <v>351</v>
      </c>
      <c r="C2119" s="296" t="s">
        <v>1796</v>
      </c>
      <c r="D2119" s="296" t="s">
        <v>353</v>
      </c>
      <c r="E2119" s="296" t="s">
        <v>17</v>
      </c>
      <c r="F2119" s="296">
        <v>331</v>
      </c>
      <c r="G2119" s="296" t="s">
        <v>19</v>
      </c>
      <c r="H2119" s="296" t="s">
        <v>20</v>
      </c>
      <c r="I2119" s="296" t="s">
        <v>21</v>
      </c>
      <c r="J2119" s="296" t="s">
        <v>928</v>
      </c>
      <c r="K2119" s="296" t="s">
        <v>52</v>
      </c>
      <c r="L2119" s="296">
        <v>38</v>
      </c>
      <c r="M2119" s="296" t="s">
        <v>53</v>
      </c>
      <c r="N2119" s="296">
        <v>1330</v>
      </c>
      <c r="O2119" s="296">
        <v>1330</v>
      </c>
      <c r="P2119" s="296">
        <v>6000</v>
      </c>
      <c r="Q2119" s="296">
        <v>2</v>
      </c>
      <c r="R2119" s="296">
        <v>64</v>
      </c>
      <c r="S2119" s="296" t="s">
        <v>354</v>
      </c>
      <c r="T2119" s="296" t="s">
        <v>3388</v>
      </c>
      <c r="U2119" s="296" t="s">
        <v>3389</v>
      </c>
      <c r="V2119" s="296" t="s">
        <v>355</v>
      </c>
      <c r="W2119" s="296" t="s">
        <v>928</v>
      </c>
      <c r="X2119" s="296" t="s">
        <v>928</v>
      </c>
    </row>
    <row r="2120" spans="1:24" ht="13.5" x14ac:dyDescent="0.15">
      <c r="A2120" s="296">
        <v>3790212</v>
      </c>
      <c r="B2120" s="296" t="s">
        <v>351</v>
      </c>
      <c r="C2120" s="296" t="s">
        <v>1796</v>
      </c>
      <c r="D2120" s="296" t="s">
        <v>353</v>
      </c>
      <c r="E2120" s="296" t="s">
        <v>32</v>
      </c>
      <c r="F2120" s="296">
        <v>331</v>
      </c>
      <c r="G2120" s="296" t="s">
        <v>19</v>
      </c>
      <c r="H2120" s="296" t="s">
        <v>20</v>
      </c>
      <c r="I2120" s="296" t="s">
        <v>21</v>
      </c>
      <c r="J2120" s="296" t="s">
        <v>928</v>
      </c>
      <c r="K2120" s="296" t="s">
        <v>54</v>
      </c>
      <c r="L2120" s="296">
        <v>38</v>
      </c>
      <c r="M2120" s="296" t="s">
        <v>53</v>
      </c>
      <c r="N2120" s="296">
        <v>1330</v>
      </c>
      <c r="O2120" s="296">
        <v>1330</v>
      </c>
      <c r="P2120" s="296">
        <v>6000</v>
      </c>
      <c r="Q2120" s="296">
        <v>2</v>
      </c>
      <c r="R2120" s="296">
        <v>28</v>
      </c>
      <c r="S2120" s="296" t="s">
        <v>354</v>
      </c>
      <c r="T2120" s="296" t="s">
        <v>3388</v>
      </c>
      <c r="U2120" s="296" t="s">
        <v>3389</v>
      </c>
      <c r="V2120" s="296" t="s">
        <v>355</v>
      </c>
      <c r="W2120" s="296" t="s">
        <v>928</v>
      </c>
      <c r="X2120" s="296" t="s">
        <v>928</v>
      </c>
    </row>
    <row r="2121" spans="1:24" ht="13.5" x14ac:dyDescent="0.15">
      <c r="A2121" s="296">
        <v>3790213</v>
      </c>
      <c r="B2121" s="296" t="s">
        <v>351</v>
      </c>
      <c r="C2121" s="296" t="s">
        <v>1796</v>
      </c>
      <c r="D2121" s="296" t="s">
        <v>353</v>
      </c>
      <c r="E2121" s="296" t="s">
        <v>32</v>
      </c>
      <c r="F2121" s="296">
        <v>3</v>
      </c>
      <c r="G2121" s="296" t="s">
        <v>19</v>
      </c>
      <c r="H2121" s="296" t="s">
        <v>20</v>
      </c>
      <c r="I2121" s="296" t="s">
        <v>21</v>
      </c>
      <c r="J2121" s="296" t="s">
        <v>928</v>
      </c>
      <c r="K2121" s="296" t="s">
        <v>56</v>
      </c>
      <c r="L2121" s="296">
        <v>75</v>
      </c>
      <c r="M2121" s="296" t="s">
        <v>376</v>
      </c>
      <c r="N2121" s="296">
        <v>1330</v>
      </c>
      <c r="O2121" s="296">
        <v>1330</v>
      </c>
      <c r="P2121" s="296">
        <v>3900</v>
      </c>
      <c r="Q2121" s="296">
        <v>2</v>
      </c>
      <c r="R2121" s="296">
        <v>40</v>
      </c>
      <c r="S2121" s="296" t="s">
        <v>354</v>
      </c>
      <c r="T2121" s="296" t="s">
        <v>3388</v>
      </c>
      <c r="U2121" s="296" t="s">
        <v>3389</v>
      </c>
      <c r="V2121" s="296" t="s">
        <v>355</v>
      </c>
      <c r="W2121" s="296" t="s">
        <v>928</v>
      </c>
      <c r="X2121" s="296" t="s">
        <v>928</v>
      </c>
    </row>
    <row r="2122" spans="1:24" ht="13.5" x14ac:dyDescent="0.15">
      <c r="A2122" s="296">
        <v>3790214</v>
      </c>
      <c r="B2122" s="296" t="s">
        <v>351</v>
      </c>
      <c r="C2122" s="296" t="s">
        <v>1796</v>
      </c>
      <c r="D2122" s="296" t="s">
        <v>353</v>
      </c>
      <c r="E2122" s="296" t="s">
        <v>3390</v>
      </c>
      <c r="F2122" s="296">
        <v>3</v>
      </c>
      <c r="G2122" s="296" t="s">
        <v>19</v>
      </c>
      <c r="H2122" s="296" t="s">
        <v>20</v>
      </c>
      <c r="I2122" s="296" t="s">
        <v>21</v>
      </c>
      <c r="J2122" s="296" t="s">
        <v>928</v>
      </c>
      <c r="K2122" s="296" t="s">
        <v>632</v>
      </c>
      <c r="L2122" s="296">
        <v>75</v>
      </c>
      <c r="M2122" s="296" t="s">
        <v>633</v>
      </c>
      <c r="N2122" s="296">
        <v>1300</v>
      </c>
      <c r="O2122" s="296">
        <v>1300</v>
      </c>
      <c r="P2122" s="296">
        <v>4300</v>
      </c>
      <c r="Q2122" s="296">
        <v>2</v>
      </c>
      <c r="R2122" s="296">
        <v>2</v>
      </c>
      <c r="S2122" s="296" t="s">
        <v>354</v>
      </c>
      <c r="T2122" s="296" t="s">
        <v>3388</v>
      </c>
      <c r="U2122" s="296" t="s">
        <v>3389</v>
      </c>
      <c r="V2122" s="296" t="s">
        <v>355</v>
      </c>
      <c r="W2122" s="296" t="s">
        <v>928</v>
      </c>
      <c r="X2122" s="296" t="s">
        <v>928</v>
      </c>
    </row>
    <row r="2123" spans="1:24" ht="13.5" x14ac:dyDescent="0.15">
      <c r="A2123" s="296">
        <v>3790215</v>
      </c>
      <c r="B2123" s="296" t="s">
        <v>351</v>
      </c>
      <c r="C2123" s="296" t="s">
        <v>1803</v>
      </c>
      <c r="D2123" s="296" t="s">
        <v>353</v>
      </c>
      <c r="E2123" s="296" t="s">
        <v>369</v>
      </c>
      <c r="F2123" s="296">
        <v>331</v>
      </c>
      <c r="G2123" s="296" t="s">
        <v>19</v>
      </c>
      <c r="H2123" s="296" t="s">
        <v>20</v>
      </c>
      <c r="I2123" s="296" t="s">
        <v>21</v>
      </c>
      <c r="J2123" s="296" t="s">
        <v>928</v>
      </c>
      <c r="K2123" s="296" t="s">
        <v>47</v>
      </c>
      <c r="L2123" s="296">
        <v>38</v>
      </c>
      <c r="M2123" s="296" t="s">
        <v>53</v>
      </c>
      <c r="N2123" s="296">
        <v>535</v>
      </c>
      <c r="O2123" s="296">
        <v>535</v>
      </c>
      <c r="P2123" s="296">
        <v>6000</v>
      </c>
      <c r="Q2123" s="296">
        <v>2</v>
      </c>
      <c r="R2123" s="296">
        <v>4</v>
      </c>
      <c r="S2123" s="296" t="s">
        <v>354</v>
      </c>
      <c r="T2123" s="296" t="s">
        <v>3388</v>
      </c>
      <c r="U2123" s="296" t="s">
        <v>3391</v>
      </c>
      <c r="V2123" s="296" t="s">
        <v>355</v>
      </c>
      <c r="W2123" s="296" t="s">
        <v>928</v>
      </c>
      <c r="X2123" s="296" t="s">
        <v>928</v>
      </c>
    </row>
    <row r="2124" spans="1:24" ht="13.5" x14ac:dyDescent="0.15">
      <c r="A2124" s="296">
        <v>3790216</v>
      </c>
      <c r="B2124" s="296" t="s">
        <v>431</v>
      </c>
      <c r="C2124" s="296" t="s">
        <v>1803</v>
      </c>
      <c r="D2124" s="296" t="s">
        <v>353</v>
      </c>
      <c r="E2124" s="296" t="s">
        <v>1682</v>
      </c>
      <c r="F2124" s="296">
        <v>3</v>
      </c>
      <c r="G2124" s="296" t="s">
        <v>265</v>
      </c>
      <c r="H2124" s="296" t="s">
        <v>20</v>
      </c>
      <c r="I2124" s="296" t="s">
        <v>21</v>
      </c>
      <c r="J2124" s="296" t="s">
        <v>928</v>
      </c>
      <c r="K2124" s="296" t="s">
        <v>632</v>
      </c>
      <c r="L2124" s="296">
        <v>25</v>
      </c>
      <c r="M2124" s="296" t="s">
        <v>633</v>
      </c>
      <c r="N2124" s="296">
        <v>1100</v>
      </c>
      <c r="O2124" s="296">
        <v>1100</v>
      </c>
      <c r="P2124" s="296">
        <v>4070</v>
      </c>
      <c r="Q2124" s="296">
        <v>2</v>
      </c>
      <c r="R2124" s="296">
        <v>42</v>
      </c>
      <c r="S2124" s="296" t="s">
        <v>354</v>
      </c>
      <c r="T2124" s="296" t="s">
        <v>3388</v>
      </c>
      <c r="U2124" s="296" t="s">
        <v>3391</v>
      </c>
      <c r="V2124" s="296" t="s">
        <v>355</v>
      </c>
      <c r="W2124" s="296" t="s">
        <v>928</v>
      </c>
      <c r="X2124" s="296" t="s">
        <v>928</v>
      </c>
    </row>
    <row r="2125" spans="1:24" ht="13.5" x14ac:dyDescent="0.15">
      <c r="A2125" s="296">
        <v>3790217</v>
      </c>
      <c r="B2125" s="296" t="s">
        <v>351</v>
      </c>
      <c r="C2125" s="296" t="s">
        <v>1801</v>
      </c>
      <c r="D2125" s="296" t="s">
        <v>353</v>
      </c>
      <c r="E2125" s="296" t="s">
        <v>371</v>
      </c>
      <c r="F2125" s="296">
        <v>3</v>
      </c>
      <c r="G2125" s="296" t="s">
        <v>19</v>
      </c>
      <c r="H2125" s="296" t="s">
        <v>28</v>
      </c>
      <c r="I2125" s="296" t="s">
        <v>21</v>
      </c>
      <c r="J2125" s="296" t="s">
        <v>928</v>
      </c>
      <c r="K2125" s="296" t="s">
        <v>60</v>
      </c>
      <c r="L2125" s="296">
        <v>75</v>
      </c>
      <c r="M2125" s="296" t="s">
        <v>372</v>
      </c>
      <c r="N2125" s="296">
        <v>1040</v>
      </c>
      <c r="O2125" s="296">
        <v>1040</v>
      </c>
      <c r="P2125" s="296">
        <v>4000</v>
      </c>
      <c r="Q2125" s="296">
        <v>1</v>
      </c>
      <c r="R2125" s="296">
        <v>4</v>
      </c>
      <c r="S2125" s="296" t="s">
        <v>354</v>
      </c>
      <c r="T2125" s="296" t="s">
        <v>3388</v>
      </c>
      <c r="U2125" s="296" t="s">
        <v>3391</v>
      </c>
      <c r="V2125" s="296" t="s">
        <v>355</v>
      </c>
      <c r="W2125" s="296" t="s">
        <v>928</v>
      </c>
      <c r="X2125" s="296" t="s">
        <v>928</v>
      </c>
    </row>
    <row r="2126" spans="1:24" ht="13.5" x14ac:dyDescent="0.15">
      <c r="A2126" s="296">
        <v>3790218</v>
      </c>
      <c r="B2126" s="296" t="s">
        <v>351</v>
      </c>
      <c r="C2126" s="296" t="s">
        <v>1796</v>
      </c>
      <c r="D2126" s="296" t="s">
        <v>353</v>
      </c>
      <c r="E2126" s="296" t="s">
        <v>130</v>
      </c>
      <c r="F2126" s="296">
        <v>330</v>
      </c>
      <c r="G2126" s="296" t="s">
        <v>19</v>
      </c>
      <c r="H2126" s="296" t="s">
        <v>20</v>
      </c>
      <c r="I2126" s="296" t="s">
        <v>21</v>
      </c>
      <c r="J2126" s="296" t="s">
        <v>928</v>
      </c>
      <c r="K2126" s="296" t="s">
        <v>2337</v>
      </c>
      <c r="L2126" s="296">
        <v>25</v>
      </c>
      <c r="M2126" s="296" t="s">
        <v>2338</v>
      </c>
      <c r="N2126" s="296">
        <v>1420</v>
      </c>
      <c r="O2126" s="296">
        <v>1420</v>
      </c>
      <c r="P2126" s="296">
        <v>12400</v>
      </c>
      <c r="Q2126" s="296">
        <v>2</v>
      </c>
      <c r="R2126" s="296">
        <v>18</v>
      </c>
      <c r="S2126" s="296" t="s">
        <v>354</v>
      </c>
      <c r="T2126" s="296" t="s">
        <v>3388</v>
      </c>
      <c r="U2126" s="296" t="s">
        <v>3391</v>
      </c>
      <c r="V2126" s="296" t="s">
        <v>355</v>
      </c>
      <c r="W2126" s="296" t="s">
        <v>928</v>
      </c>
      <c r="X2126" s="296" t="s">
        <v>928</v>
      </c>
    </row>
    <row r="2127" spans="1:24" ht="13.5" x14ac:dyDescent="0.15">
      <c r="A2127" s="296">
        <v>3790219</v>
      </c>
      <c r="B2127" s="296" t="s">
        <v>351</v>
      </c>
      <c r="C2127" s="296" t="s">
        <v>1796</v>
      </c>
      <c r="D2127" s="296" t="s">
        <v>353</v>
      </c>
      <c r="E2127" s="296" t="s">
        <v>130</v>
      </c>
      <c r="F2127" s="296">
        <v>330</v>
      </c>
      <c r="G2127" s="296" t="s">
        <v>19</v>
      </c>
      <c r="H2127" s="296" t="s">
        <v>20</v>
      </c>
      <c r="I2127" s="296" t="s">
        <v>21</v>
      </c>
      <c r="J2127" s="296" t="s">
        <v>928</v>
      </c>
      <c r="K2127" s="296" t="s">
        <v>2337</v>
      </c>
      <c r="L2127" s="296">
        <v>25</v>
      </c>
      <c r="M2127" s="296" t="s">
        <v>2338</v>
      </c>
      <c r="N2127" s="296">
        <v>1420</v>
      </c>
      <c r="O2127" s="296">
        <v>1420</v>
      </c>
      <c r="P2127" s="296">
        <v>6000</v>
      </c>
      <c r="Q2127" s="296">
        <v>2</v>
      </c>
      <c r="R2127" s="296">
        <v>4</v>
      </c>
      <c r="S2127" s="296" t="s">
        <v>354</v>
      </c>
      <c r="T2127" s="296" t="s">
        <v>3388</v>
      </c>
      <c r="U2127" s="296" t="s">
        <v>3391</v>
      </c>
      <c r="V2127" s="296" t="s">
        <v>355</v>
      </c>
      <c r="W2127" s="296" t="s">
        <v>928</v>
      </c>
      <c r="X2127" s="296" t="s">
        <v>928</v>
      </c>
    </row>
    <row r="2128" spans="1:24" ht="13.5" x14ac:dyDescent="0.15">
      <c r="A2128" s="296">
        <v>3790220</v>
      </c>
      <c r="B2128" s="296" t="s">
        <v>351</v>
      </c>
      <c r="C2128" s="296" t="s">
        <v>1801</v>
      </c>
      <c r="D2128" s="296" t="s">
        <v>353</v>
      </c>
      <c r="E2128" s="296" t="s">
        <v>116</v>
      </c>
      <c r="F2128" s="296">
        <v>3</v>
      </c>
      <c r="G2128" s="296" t="s">
        <v>19</v>
      </c>
      <c r="H2128" s="296" t="s">
        <v>20</v>
      </c>
      <c r="I2128" s="296" t="s">
        <v>21</v>
      </c>
      <c r="J2128" s="296" t="s">
        <v>928</v>
      </c>
      <c r="K2128" s="296" t="s">
        <v>118</v>
      </c>
      <c r="L2128" s="296">
        <v>38</v>
      </c>
      <c r="M2128" s="296" t="s">
        <v>368</v>
      </c>
      <c r="N2128" s="296">
        <v>1415</v>
      </c>
      <c r="O2128" s="296">
        <v>1410</v>
      </c>
      <c r="P2128" s="296">
        <v>8000</v>
      </c>
      <c r="Q2128" s="296">
        <v>2</v>
      </c>
      <c r="R2128" s="296">
        <v>4</v>
      </c>
      <c r="S2128" s="296" t="s">
        <v>354</v>
      </c>
      <c r="T2128" s="296" t="s">
        <v>3388</v>
      </c>
      <c r="U2128" s="296" t="s">
        <v>3392</v>
      </c>
      <c r="V2128" s="296" t="s">
        <v>355</v>
      </c>
      <c r="W2128" s="296" t="s">
        <v>928</v>
      </c>
      <c r="X2128" s="296" t="s">
        <v>928</v>
      </c>
    </row>
    <row r="2129" spans="1:24" ht="13.5" x14ac:dyDescent="0.15">
      <c r="A2129" s="296">
        <v>3790221</v>
      </c>
      <c r="B2129" s="296" t="s">
        <v>351</v>
      </c>
      <c r="C2129" s="296" t="s">
        <v>1796</v>
      </c>
      <c r="D2129" s="296" t="s">
        <v>353</v>
      </c>
      <c r="E2129" s="296" t="s">
        <v>106</v>
      </c>
      <c r="F2129" s="296">
        <v>3</v>
      </c>
      <c r="G2129" s="296" t="s">
        <v>19</v>
      </c>
      <c r="H2129" s="296" t="s">
        <v>20</v>
      </c>
      <c r="I2129" s="296" t="s">
        <v>21</v>
      </c>
      <c r="J2129" s="296" t="s">
        <v>928</v>
      </c>
      <c r="K2129" s="296" t="s">
        <v>107</v>
      </c>
      <c r="L2129" s="296">
        <v>25</v>
      </c>
      <c r="M2129" s="296" t="s">
        <v>367</v>
      </c>
      <c r="N2129" s="296">
        <v>1240</v>
      </c>
      <c r="O2129" s="296">
        <v>1240</v>
      </c>
      <c r="P2129" s="296">
        <v>6000</v>
      </c>
      <c r="Q2129" s="296">
        <v>2</v>
      </c>
      <c r="R2129" s="296">
        <v>14</v>
      </c>
      <c r="S2129" s="296" t="s">
        <v>354</v>
      </c>
      <c r="T2129" s="296" t="s">
        <v>3388</v>
      </c>
      <c r="U2129" s="296" t="s">
        <v>3391</v>
      </c>
      <c r="V2129" s="296" t="s">
        <v>355</v>
      </c>
      <c r="W2129" s="296" t="s">
        <v>928</v>
      </c>
      <c r="X2129" s="296" t="s">
        <v>928</v>
      </c>
    </row>
    <row r="2130" spans="1:24" ht="13.5" x14ac:dyDescent="0.15">
      <c r="A2130" s="296">
        <v>3790222</v>
      </c>
      <c r="B2130" s="296" t="s">
        <v>351</v>
      </c>
      <c r="C2130" s="296" t="s">
        <v>1796</v>
      </c>
      <c r="D2130" s="296" t="s">
        <v>353</v>
      </c>
      <c r="E2130" s="296" t="s">
        <v>106</v>
      </c>
      <c r="F2130" s="296">
        <v>3</v>
      </c>
      <c r="G2130" s="296" t="s">
        <v>19</v>
      </c>
      <c r="H2130" s="296" t="s">
        <v>20</v>
      </c>
      <c r="I2130" s="296" t="s">
        <v>21</v>
      </c>
      <c r="J2130" s="296" t="s">
        <v>928</v>
      </c>
      <c r="K2130" s="296" t="s">
        <v>107</v>
      </c>
      <c r="L2130" s="296">
        <v>38</v>
      </c>
      <c r="M2130" s="296" t="s">
        <v>367</v>
      </c>
      <c r="N2130" s="296">
        <v>1240</v>
      </c>
      <c r="O2130" s="296">
        <v>1240</v>
      </c>
      <c r="P2130" s="296">
        <v>6000</v>
      </c>
      <c r="Q2130" s="296">
        <v>2</v>
      </c>
      <c r="R2130" s="296">
        <v>12</v>
      </c>
      <c r="S2130" s="296" t="s">
        <v>354</v>
      </c>
      <c r="T2130" s="296" t="s">
        <v>3388</v>
      </c>
      <c r="U2130" s="296" t="s">
        <v>3391</v>
      </c>
      <c r="V2130" s="296" t="s">
        <v>355</v>
      </c>
      <c r="W2130" s="296" t="s">
        <v>928</v>
      </c>
      <c r="X2130" s="296" t="s">
        <v>928</v>
      </c>
    </row>
    <row r="2131" spans="1:24" ht="13.5" x14ac:dyDescent="0.15">
      <c r="A2131" s="296">
        <v>3790223</v>
      </c>
      <c r="B2131" s="296" t="s">
        <v>351</v>
      </c>
      <c r="C2131" s="296" t="s">
        <v>1803</v>
      </c>
      <c r="D2131" s="296" t="s">
        <v>353</v>
      </c>
      <c r="E2131" s="296" t="s">
        <v>120</v>
      </c>
      <c r="F2131" s="296">
        <v>3</v>
      </c>
      <c r="G2131" s="296" t="s">
        <v>19</v>
      </c>
      <c r="H2131" s="296" t="s">
        <v>20</v>
      </c>
      <c r="I2131" s="296" t="s">
        <v>21</v>
      </c>
      <c r="J2131" s="296" t="s">
        <v>928</v>
      </c>
      <c r="K2131" s="296" t="s">
        <v>118</v>
      </c>
      <c r="L2131" s="296">
        <v>125</v>
      </c>
      <c r="M2131" s="296" t="s">
        <v>121</v>
      </c>
      <c r="N2131" s="296">
        <v>1230</v>
      </c>
      <c r="O2131" s="296">
        <v>1225</v>
      </c>
      <c r="P2131" s="296">
        <v>1800</v>
      </c>
      <c r="Q2131" s="296">
        <v>2</v>
      </c>
      <c r="R2131" s="296">
        <v>2</v>
      </c>
      <c r="S2131" s="296" t="s">
        <v>354</v>
      </c>
      <c r="T2131" s="296" t="s">
        <v>3388</v>
      </c>
      <c r="U2131" s="296" t="s">
        <v>3391</v>
      </c>
      <c r="V2131" s="296" t="s">
        <v>355</v>
      </c>
      <c r="W2131" s="296" t="s">
        <v>928</v>
      </c>
      <c r="X2131" s="296" t="s">
        <v>928</v>
      </c>
    </row>
    <row r="2132" spans="1:24" ht="13.5" x14ac:dyDescent="0.15">
      <c r="A2132" s="296">
        <v>3790224</v>
      </c>
      <c r="B2132" s="296" t="s">
        <v>351</v>
      </c>
      <c r="C2132" s="296" t="s">
        <v>1796</v>
      </c>
      <c r="D2132" s="296" t="s">
        <v>353</v>
      </c>
      <c r="E2132" s="296" t="s">
        <v>17</v>
      </c>
      <c r="F2132" s="296">
        <v>3</v>
      </c>
      <c r="G2132" s="296" t="s">
        <v>19</v>
      </c>
      <c r="H2132" s="296" t="s">
        <v>20</v>
      </c>
      <c r="I2132" s="296" t="s">
        <v>21</v>
      </c>
      <c r="J2132" s="296" t="s">
        <v>928</v>
      </c>
      <c r="K2132" s="296" t="s">
        <v>104</v>
      </c>
      <c r="L2132" s="296">
        <v>25</v>
      </c>
      <c r="M2132" s="296" t="s">
        <v>375</v>
      </c>
      <c r="N2132" s="296">
        <v>1100</v>
      </c>
      <c r="O2132" s="296">
        <v>1100</v>
      </c>
      <c r="P2132" s="296">
        <v>12000</v>
      </c>
      <c r="Q2132" s="296">
        <v>2</v>
      </c>
      <c r="R2132" s="296">
        <v>6</v>
      </c>
      <c r="S2132" s="296" t="s">
        <v>354</v>
      </c>
      <c r="T2132" s="296" t="s">
        <v>3388</v>
      </c>
      <c r="U2132" s="296" t="s">
        <v>3391</v>
      </c>
      <c r="V2132" s="296" t="s">
        <v>355</v>
      </c>
      <c r="W2132" s="296" t="s">
        <v>928</v>
      </c>
      <c r="X2132" s="296" t="s">
        <v>928</v>
      </c>
    </row>
    <row r="2133" spans="1:24" ht="13.5" x14ac:dyDescent="0.15">
      <c r="A2133" s="296">
        <v>3790225</v>
      </c>
      <c r="B2133" s="296" t="s">
        <v>351</v>
      </c>
      <c r="C2133" s="296" t="s">
        <v>1796</v>
      </c>
      <c r="D2133" s="296" t="s">
        <v>353</v>
      </c>
      <c r="E2133" s="296" t="s">
        <v>17</v>
      </c>
      <c r="F2133" s="296">
        <v>3</v>
      </c>
      <c r="G2133" s="296" t="s">
        <v>19</v>
      </c>
      <c r="H2133" s="296" t="s">
        <v>20</v>
      </c>
      <c r="I2133" s="296" t="s">
        <v>21</v>
      </c>
      <c r="J2133" s="296" t="s">
        <v>928</v>
      </c>
      <c r="K2133" s="296" t="s">
        <v>104</v>
      </c>
      <c r="L2133" s="296">
        <v>25</v>
      </c>
      <c r="M2133" s="296" t="s">
        <v>375</v>
      </c>
      <c r="N2133" s="296">
        <v>1050</v>
      </c>
      <c r="O2133" s="296">
        <v>1050</v>
      </c>
      <c r="P2133" s="296">
        <v>12000</v>
      </c>
      <c r="Q2133" s="296">
        <v>2</v>
      </c>
      <c r="R2133" s="296">
        <v>6</v>
      </c>
      <c r="S2133" s="296" t="s">
        <v>354</v>
      </c>
      <c r="T2133" s="296" t="s">
        <v>3388</v>
      </c>
      <c r="U2133" s="296" t="s">
        <v>3391</v>
      </c>
      <c r="V2133" s="296" t="s">
        <v>355</v>
      </c>
      <c r="W2133" s="296" t="s">
        <v>928</v>
      </c>
      <c r="X2133" s="296" t="s">
        <v>928</v>
      </c>
    </row>
    <row r="2134" spans="1:24" ht="13.5" x14ac:dyDescent="0.15">
      <c r="A2134" s="296">
        <v>3790226</v>
      </c>
      <c r="B2134" s="296" t="s">
        <v>351</v>
      </c>
      <c r="C2134" s="296" t="s">
        <v>1803</v>
      </c>
      <c r="D2134" s="296" t="s">
        <v>353</v>
      </c>
      <c r="E2134" s="296" t="s">
        <v>110</v>
      </c>
      <c r="F2134" s="296">
        <v>331</v>
      </c>
      <c r="G2134" s="296" t="s">
        <v>19</v>
      </c>
      <c r="H2134" s="296" t="s">
        <v>20</v>
      </c>
      <c r="I2134" s="296" t="s">
        <v>21</v>
      </c>
      <c r="J2134" s="296" t="s">
        <v>928</v>
      </c>
      <c r="K2134" s="296" t="s">
        <v>112</v>
      </c>
      <c r="L2134" s="296">
        <v>25</v>
      </c>
      <c r="M2134" s="296" t="s">
        <v>357</v>
      </c>
      <c r="N2134" s="296">
        <v>450</v>
      </c>
      <c r="O2134" s="296">
        <v>450</v>
      </c>
      <c r="P2134" s="296">
        <v>4000</v>
      </c>
      <c r="Q2134" s="296">
        <v>2</v>
      </c>
      <c r="R2134" s="296">
        <v>6</v>
      </c>
      <c r="S2134" s="296" t="s">
        <v>354</v>
      </c>
      <c r="T2134" s="296" t="s">
        <v>3388</v>
      </c>
      <c r="U2134" s="296" t="s">
        <v>3391</v>
      </c>
      <c r="V2134" s="296" t="s">
        <v>355</v>
      </c>
      <c r="W2134" s="296" t="s">
        <v>928</v>
      </c>
      <c r="X2134" s="296" t="s">
        <v>928</v>
      </c>
    </row>
    <row r="2135" spans="1:24" ht="13.5" x14ac:dyDescent="0.15">
      <c r="A2135" s="296">
        <v>3790227</v>
      </c>
      <c r="B2135" s="296" t="s">
        <v>351</v>
      </c>
      <c r="C2135" s="296" t="s">
        <v>1796</v>
      </c>
      <c r="D2135" s="296" t="s">
        <v>353</v>
      </c>
      <c r="E2135" s="296" t="s">
        <v>106</v>
      </c>
      <c r="F2135" s="296">
        <v>3</v>
      </c>
      <c r="G2135" s="296" t="s">
        <v>19</v>
      </c>
      <c r="H2135" s="296" t="s">
        <v>20</v>
      </c>
      <c r="I2135" s="296" t="s">
        <v>21</v>
      </c>
      <c r="J2135" s="296" t="s">
        <v>928</v>
      </c>
      <c r="K2135" s="296" t="s">
        <v>107</v>
      </c>
      <c r="L2135" s="296">
        <v>25</v>
      </c>
      <c r="M2135" s="296" t="s">
        <v>367</v>
      </c>
      <c r="N2135" s="296">
        <v>1040</v>
      </c>
      <c r="O2135" s="296">
        <v>1040</v>
      </c>
      <c r="P2135" s="296">
        <v>6000</v>
      </c>
      <c r="Q2135" s="296">
        <v>2</v>
      </c>
      <c r="R2135" s="296">
        <v>36</v>
      </c>
      <c r="S2135" s="296" t="s">
        <v>354</v>
      </c>
      <c r="T2135" s="296" t="s">
        <v>3388</v>
      </c>
      <c r="U2135" s="296" t="s">
        <v>3391</v>
      </c>
      <c r="V2135" s="296" t="s">
        <v>355</v>
      </c>
      <c r="W2135" s="296" t="s">
        <v>928</v>
      </c>
      <c r="X2135" s="296" t="s">
        <v>928</v>
      </c>
    </row>
    <row r="2136" spans="1:24" ht="13.5" x14ac:dyDescent="0.15">
      <c r="A2136" s="296">
        <v>3790228</v>
      </c>
      <c r="B2136" s="296" t="s">
        <v>351</v>
      </c>
      <c r="C2136" s="296" t="s">
        <v>1801</v>
      </c>
      <c r="D2136" s="296" t="s">
        <v>353</v>
      </c>
      <c r="E2136" s="296" t="s">
        <v>116</v>
      </c>
      <c r="F2136" s="296">
        <v>3</v>
      </c>
      <c r="G2136" s="296" t="s">
        <v>19</v>
      </c>
      <c r="H2136" s="296" t="s">
        <v>20</v>
      </c>
      <c r="I2136" s="296" t="s">
        <v>21</v>
      </c>
      <c r="J2136" s="296" t="s">
        <v>928</v>
      </c>
      <c r="K2136" s="296" t="s">
        <v>118</v>
      </c>
      <c r="L2136" s="296">
        <v>38</v>
      </c>
      <c r="M2136" s="296" t="s">
        <v>368</v>
      </c>
      <c r="N2136" s="296">
        <v>1005</v>
      </c>
      <c r="O2136" s="296">
        <v>1000</v>
      </c>
      <c r="P2136" s="296">
        <v>8000</v>
      </c>
      <c r="Q2136" s="296">
        <v>2</v>
      </c>
      <c r="R2136" s="296">
        <v>5</v>
      </c>
      <c r="S2136" s="296" t="s">
        <v>354</v>
      </c>
      <c r="T2136" s="296" t="s">
        <v>3388</v>
      </c>
      <c r="U2136" s="296" t="s">
        <v>3392</v>
      </c>
      <c r="V2136" s="296" t="s">
        <v>355</v>
      </c>
      <c r="W2136" s="296" t="s">
        <v>928</v>
      </c>
      <c r="X2136" s="296" t="s">
        <v>928</v>
      </c>
    </row>
    <row r="2137" spans="1:24" ht="13.5" x14ac:dyDescent="0.15">
      <c r="A2137" s="296">
        <v>3790229</v>
      </c>
      <c r="B2137" s="296" t="s">
        <v>351</v>
      </c>
      <c r="C2137" s="296" t="s">
        <v>1796</v>
      </c>
      <c r="D2137" s="296" t="s">
        <v>353</v>
      </c>
      <c r="E2137" s="296" t="s">
        <v>32</v>
      </c>
      <c r="F2137" s="296">
        <v>331</v>
      </c>
      <c r="G2137" s="296" t="s">
        <v>19</v>
      </c>
      <c r="H2137" s="296" t="s">
        <v>20</v>
      </c>
      <c r="I2137" s="296" t="s">
        <v>21</v>
      </c>
      <c r="J2137" s="296" t="s">
        <v>928</v>
      </c>
      <c r="K2137" s="296" t="s">
        <v>33</v>
      </c>
      <c r="L2137" s="296">
        <v>25</v>
      </c>
      <c r="M2137" s="296" t="s">
        <v>30</v>
      </c>
      <c r="N2137" s="296">
        <v>1330</v>
      </c>
      <c r="O2137" s="296">
        <v>1330</v>
      </c>
      <c r="P2137" s="296">
        <v>6000</v>
      </c>
      <c r="Q2137" s="296">
        <v>2</v>
      </c>
      <c r="R2137" s="296">
        <v>24</v>
      </c>
      <c r="S2137" s="296" t="s">
        <v>354</v>
      </c>
      <c r="T2137" s="296" t="s">
        <v>3388</v>
      </c>
      <c r="U2137" s="296" t="s">
        <v>3391</v>
      </c>
      <c r="V2137" s="296" t="s">
        <v>355</v>
      </c>
      <c r="W2137" s="296" t="s">
        <v>928</v>
      </c>
      <c r="X2137" s="296" t="s">
        <v>928</v>
      </c>
    </row>
    <row r="2138" spans="1:24" ht="13.5" x14ac:dyDescent="0.15">
      <c r="A2138" s="296">
        <v>3790230</v>
      </c>
      <c r="B2138" s="296" t="s">
        <v>351</v>
      </c>
      <c r="C2138" s="296" t="s">
        <v>1796</v>
      </c>
      <c r="D2138" s="296" t="s">
        <v>353</v>
      </c>
      <c r="E2138" s="296" t="s">
        <v>32</v>
      </c>
      <c r="F2138" s="296">
        <v>330</v>
      </c>
      <c r="G2138" s="296" t="s">
        <v>19</v>
      </c>
      <c r="H2138" s="296" t="s">
        <v>20</v>
      </c>
      <c r="I2138" s="296" t="s">
        <v>21</v>
      </c>
      <c r="J2138" s="296" t="s">
        <v>928</v>
      </c>
      <c r="K2138" s="296" t="s">
        <v>33</v>
      </c>
      <c r="L2138" s="296">
        <v>38</v>
      </c>
      <c r="M2138" s="296" t="s">
        <v>30</v>
      </c>
      <c r="N2138" s="296">
        <v>1330</v>
      </c>
      <c r="O2138" s="296">
        <v>1330</v>
      </c>
      <c r="P2138" s="296">
        <v>3900</v>
      </c>
      <c r="Q2138" s="296">
        <v>2</v>
      </c>
      <c r="R2138" s="296">
        <v>3</v>
      </c>
      <c r="S2138" s="296" t="s">
        <v>354</v>
      </c>
      <c r="T2138" s="296" t="s">
        <v>3388</v>
      </c>
      <c r="U2138" s="296" t="s">
        <v>3391</v>
      </c>
      <c r="V2138" s="296" t="s">
        <v>355</v>
      </c>
      <c r="W2138" s="296" t="s">
        <v>928</v>
      </c>
      <c r="X2138" s="296" t="s">
        <v>928</v>
      </c>
    </row>
    <row r="2139" spans="1:24" ht="13.5" x14ac:dyDescent="0.15">
      <c r="A2139" s="296">
        <v>3790231</v>
      </c>
      <c r="B2139" s="296" t="s">
        <v>351</v>
      </c>
      <c r="C2139" s="296" t="s">
        <v>1796</v>
      </c>
      <c r="D2139" s="296" t="s">
        <v>353</v>
      </c>
      <c r="E2139" s="296" t="s">
        <v>17</v>
      </c>
      <c r="F2139" s="296">
        <v>331</v>
      </c>
      <c r="G2139" s="296" t="s">
        <v>19</v>
      </c>
      <c r="H2139" s="296" t="s">
        <v>20</v>
      </c>
      <c r="I2139" s="296" t="s">
        <v>21</v>
      </c>
      <c r="J2139" s="296" t="s">
        <v>928</v>
      </c>
      <c r="K2139" s="296" t="s">
        <v>29</v>
      </c>
      <c r="L2139" s="296">
        <v>38</v>
      </c>
      <c r="M2139" s="296" t="s">
        <v>30</v>
      </c>
      <c r="N2139" s="296">
        <v>1330</v>
      </c>
      <c r="O2139" s="296">
        <v>1330</v>
      </c>
      <c r="P2139" s="296">
        <v>6000</v>
      </c>
      <c r="Q2139" s="296">
        <v>2</v>
      </c>
      <c r="R2139" s="296">
        <v>8</v>
      </c>
      <c r="S2139" s="296" t="s">
        <v>354</v>
      </c>
      <c r="T2139" s="296" t="s">
        <v>3388</v>
      </c>
      <c r="U2139" s="296" t="s">
        <v>3391</v>
      </c>
      <c r="V2139" s="296" t="s">
        <v>355</v>
      </c>
      <c r="W2139" s="296" t="s">
        <v>928</v>
      </c>
      <c r="X2139" s="296" t="s">
        <v>928</v>
      </c>
    </row>
    <row r="2140" spans="1:24" ht="13.5" x14ac:dyDescent="0.15">
      <c r="A2140" s="296">
        <v>3790232</v>
      </c>
      <c r="B2140" s="296" t="s">
        <v>351</v>
      </c>
      <c r="C2140" s="296" t="s">
        <v>1814</v>
      </c>
      <c r="D2140" s="296" t="s">
        <v>353</v>
      </c>
      <c r="E2140" s="296" t="s">
        <v>40</v>
      </c>
      <c r="F2140" s="296">
        <v>3</v>
      </c>
      <c r="G2140" s="296" t="s">
        <v>19</v>
      </c>
      <c r="H2140" s="296" t="s">
        <v>20</v>
      </c>
      <c r="I2140" s="296" t="s">
        <v>21</v>
      </c>
      <c r="J2140" s="296" t="s">
        <v>928</v>
      </c>
      <c r="K2140" s="296" t="s">
        <v>42</v>
      </c>
      <c r="L2140" s="296">
        <v>25</v>
      </c>
      <c r="M2140" s="296" t="s">
        <v>43</v>
      </c>
      <c r="N2140" s="296">
        <v>1045</v>
      </c>
      <c r="O2140" s="296">
        <v>1040</v>
      </c>
      <c r="P2140" s="296">
        <v>6000</v>
      </c>
      <c r="Q2140" s="296">
        <v>2</v>
      </c>
      <c r="R2140" s="296">
        <v>12</v>
      </c>
      <c r="S2140" s="296" t="s">
        <v>354</v>
      </c>
      <c r="T2140" s="296" t="s">
        <v>3388</v>
      </c>
      <c r="U2140" s="296" t="s">
        <v>3391</v>
      </c>
      <c r="V2140" s="296" t="s">
        <v>355</v>
      </c>
      <c r="W2140" s="296" t="s">
        <v>928</v>
      </c>
      <c r="X2140" s="296" t="s">
        <v>928</v>
      </c>
    </row>
    <row r="2141" spans="1:24" ht="13.5" x14ac:dyDescent="0.15">
      <c r="A2141" s="296">
        <v>3790233</v>
      </c>
      <c r="B2141" s="296" t="s">
        <v>351</v>
      </c>
      <c r="C2141" s="296" t="s">
        <v>1796</v>
      </c>
      <c r="D2141" s="296" t="s">
        <v>353</v>
      </c>
      <c r="E2141" s="296" t="s">
        <v>377</v>
      </c>
      <c r="F2141" s="296">
        <v>3</v>
      </c>
      <c r="G2141" s="296" t="s">
        <v>19</v>
      </c>
      <c r="H2141" s="296" t="s">
        <v>20</v>
      </c>
      <c r="I2141" s="296" t="s">
        <v>21</v>
      </c>
      <c r="J2141" s="296" t="s">
        <v>928</v>
      </c>
      <c r="K2141" s="296" t="s">
        <v>36</v>
      </c>
      <c r="L2141" s="296">
        <v>25</v>
      </c>
      <c r="M2141" s="296" t="s">
        <v>37</v>
      </c>
      <c r="N2141" s="296">
        <v>890</v>
      </c>
      <c r="O2141" s="296">
        <v>890</v>
      </c>
      <c r="P2141" s="296">
        <v>3800</v>
      </c>
      <c r="Q2141" s="296">
        <v>2</v>
      </c>
      <c r="R2141" s="296">
        <v>18</v>
      </c>
      <c r="S2141" s="296" t="s">
        <v>354</v>
      </c>
      <c r="T2141" s="296" t="s">
        <v>3388</v>
      </c>
      <c r="U2141" s="296" t="s">
        <v>3391</v>
      </c>
      <c r="V2141" s="296" t="s">
        <v>355</v>
      </c>
      <c r="W2141" s="296" t="s">
        <v>928</v>
      </c>
      <c r="X2141" s="296" t="s">
        <v>928</v>
      </c>
    </row>
    <row r="2142" spans="1:24" ht="13.5" x14ac:dyDescent="0.15">
      <c r="A2142" s="296">
        <v>3790234</v>
      </c>
      <c r="B2142" s="296" t="s">
        <v>431</v>
      </c>
      <c r="C2142" s="296" t="s">
        <v>1803</v>
      </c>
      <c r="D2142" s="296" t="s">
        <v>353</v>
      </c>
      <c r="E2142" s="296" t="s">
        <v>61</v>
      </c>
      <c r="F2142" s="296">
        <v>3</v>
      </c>
      <c r="G2142" s="296" t="s">
        <v>265</v>
      </c>
      <c r="H2142" s="296" t="s">
        <v>20</v>
      </c>
      <c r="I2142" s="296" t="s">
        <v>21</v>
      </c>
      <c r="J2142" s="296" t="s">
        <v>928</v>
      </c>
      <c r="K2142" s="296" t="s">
        <v>292</v>
      </c>
      <c r="L2142" s="296">
        <v>38</v>
      </c>
      <c r="M2142" s="296" t="s">
        <v>293</v>
      </c>
      <c r="N2142" s="296">
        <v>750</v>
      </c>
      <c r="O2142" s="296">
        <v>750</v>
      </c>
      <c r="P2142" s="296">
        <v>6000</v>
      </c>
      <c r="Q2142" s="296">
        <v>2</v>
      </c>
      <c r="R2142" s="296">
        <v>10</v>
      </c>
      <c r="S2142" s="296" t="s">
        <v>354</v>
      </c>
      <c r="T2142" s="296" t="s">
        <v>3388</v>
      </c>
      <c r="U2142" s="296" t="s">
        <v>3391</v>
      </c>
      <c r="V2142" s="296" t="s">
        <v>355</v>
      </c>
      <c r="W2142" s="296" t="s">
        <v>928</v>
      </c>
      <c r="X2142" s="296" t="s">
        <v>928</v>
      </c>
    </row>
    <row r="2143" spans="1:24" ht="13.5" x14ac:dyDescent="0.15">
      <c r="A2143" s="296">
        <v>3790235</v>
      </c>
      <c r="B2143" s="296" t="s">
        <v>351</v>
      </c>
      <c r="C2143" s="296" t="s">
        <v>1803</v>
      </c>
      <c r="D2143" s="296" t="s">
        <v>353</v>
      </c>
      <c r="E2143" s="296" t="s">
        <v>73</v>
      </c>
      <c r="F2143" s="296">
        <v>331</v>
      </c>
      <c r="G2143" s="296" t="s">
        <v>19</v>
      </c>
      <c r="H2143" s="296" t="s">
        <v>20</v>
      </c>
      <c r="I2143" s="296" t="s">
        <v>21</v>
      </c>
      <c r="J2143" s="296" t="s">
        <v>928</v>
      </c>
      <c r="K2143" s="296" t="s">
        <v>74</v>
      </c>
      <c r="L2143" s="296">
        <v>38</v>
      </c>
      <c r="M2143" s="296" t="s">
        <v>365</v>
      </c>
      <c r="N2143" s="296">
        <v>415</v>
      </c>
      <c r="O2143" s="296">
        <v>415</v>
      </c>
      <c r="P2143" s="296">
        <v>1950</v>
      </c>
      <c r="Q2143" s="296">
        <v>2</v>
      </c>
      <c r="R2143" s="296">
        <v>90</v>
      </c>
      <c r="S2143" s="296" t="s">
        <v>354</v>
      </c>
      <c r="T2143" s="296" t="s">
        <v>3388</v>
      </c>
      <c r="U2143" s="296" t="s">
        <v>3391</v>
      </c>
      <c r="V2143" s="296" t="s">
        <v>355</v>
      </c>
      <c r="W2143" s="296" t="s">
        <v>928</v>
      </c>
      <c r="X2143" s="296" t="s">
        <v>928</v>
      </c>
    </row>
    <row r="2144" spans="1:24" ht="13.5" x14ac:dyDescent="0.15">
      <c r="A2144" s="296">
        <v>3790236</v>
      </c>
      <c r="B2144" s="296" t="s">
        <v>431</v>
      </c>
      <c r="C2144" s="296" t="s">
        <v>1803</v>
      </c>
      <c r="D2144" s="296" t="s">
        <v>353</v>
      </c>
      <c r="E2144" s="296" t="s">
        <v>61</v>
      </c>
      <c r="F2144" s="296">
        <v>3</v>
      </c>
      <c r="G2144" s="296" t="s">
        <v>265</v>
      </c>
      <c r="H2144" s="296" t="s">
        <v>20</v>
      </c>
      <c r="I2144" s="296" t="s">
        <v>21</v>
      </c>
      <c r="J2144" s="296" t="s">
        <v>928</v>
      </c>
      <c r="K2144" s="296" t="s">
        <v>292</v>
      </c>
      <c r="L2144" s="296">
        <v>38</v>
      </c>
      <c r="M2144" s="296" t="s">
        <v>293</v>
      </c>
      <c r="N2144" s="296">
        <v>1255</v>
      </c>
      <c r="O2144" s="296">
        <v>1250</v>
      </c>
      <c r="P2144" s="296">
        <v>6000</v>
      </c>
      <c r="Q2144" s="296">
        <v>2</v>
      </c>
      <c r="R2144" s="296">
        <v>34</v>
      </c>
      <c r="S2144" s="296" t="s">
        <v>354</v>
      </c>
      <c r="T2144" s="296" t="s">
        <v>3388</v>
      </c>
      <c r="U2144" s="296" t="s">
        <v>3391</v>
      </c>
      <c r="V2144" s="296" t="s">
        <v>355</v>
      </c>
      <c r="W2144" s="296" t="s">
        <v>928</v>
      </c>
      <c r="X2144" s="296" t="s">
        <v>928</v>
      </c>
    </row>
    <row r="2145" spans="1:24" ht="13.5" x14ac:dyDescent="0.15">
      <c r="A2145" s="296">
        <v>3790237</v>
      </c>
      <c r="B2145" s="296" t="s">
        <v>351</v>
      </c>
      <c r="C2145" s="296" t="s">
        <v>1803</v>
      </c>
      <c r="D2145" s="296" t="s">
        <v>353</v>
      </c>
      <c r="E2145" s="296" t="s">
        <v>61</v>
      </c>
      <c r="F2145" s="296">
        <v>331</v>
      </c>
      <c r="G2145" s="296" t="s">
        <v>19</v>
      </c>
      <c r="H2145" s="296" t="s">
        <v>20</v>
      </c>
      <c r="I2145" s="296" t="s">
        <v>21</v>
      </c>
      <c r="J2145" s="296" t="s">
        <v>928</v>
      </c>
      <c r="K2145" s="296" t="s">
        <v>62</v>
      </c>
      <c r="L2145" s="296">
        <v>38</v>
      </c>
      <c r="M2145" s="296" t="s">
        <v>63</v>
      </c>
      <c r="N2145" s="296">
        <v>1255</v>
      </c>
      <c r="O2145" s="296">
        <v>1250</v>
      </c>
      <c r="P2145" s="296">
        <v>6000</v>
      </c>
      <c r="Q2145" s="296">
        <v>2</v>
      </c>
      <c r="R2145" s="296">
        <v>6</v>
      </c>
      <c r="S2145" s="296" t="s">
        <v>354</v>
      </c>
      <c r="T2145" s="296" t="s">
        <v>3388</v>
      </c>
      <c r="U2145" s="296" t="s">
        <v>3391</v>
      </c>
      <c r="V2145" s="296" t="s">
        <v>355</v>
      </c>
      <c r="W2145" s="296" t="s">
        <v>928</v>
      </c>
      <c r="X2145" s="296" t="s">
        <v>928</v>
      </c>
    </row>
    <row r="2146" spans="1:24" ht="13.5" x14ac:dyDescent="0.15">
      <c r="A2146" s="296">
        <v>3790238</v>
      </c>
      <c r="B2146" s="296" t="s">
        <v>351</v>
      </c>
      <c r="C2146" s="296" t="s">
        <v>1803</v>
      </c>
      <c r="D2146" s="296" t="s">
        <v>353</v>
      </c>
      <c r="E2146" s="296" t="s">
        <v>65</v>
      </c>
      <c r="F2146" s="296">
        <v>3321</v>
      </c>
      <c r="G2146" s="296" t="s">
        <v>19</v>
      </c>
      <c r="H2146" s="296" t="s">
        <v>20</v>
      </c>
      <c r="I2146" s="296" t="s">
        <v>21</v>
      </c>
      <c r="J2146" s="296" t="s">
        <v>928</v>
      </c>
      <c r="K2146" s="296" t="s">
        <v>67</v>
      </c>
      <c r="L2146" s="296">
        <v>38</v>
      </c>
      <c r="M2146" s="296" t="s">
        <v>68</v>
      </c>
      <c r="N2146" s="296">
        <v>1336</v>
      </c>
      <c r="O2146" s="296">
        <v>1325</v>
      </c>
      <c r="P2146" s="296">
        <v>12000</v>
      </c>
      <c r="Q2146" s="296">
        <v>2</v>
      </c>
      <c r="R2146" s="296">
        <v>68</v>
      </c>
      <c r="S2146" s="296" t="s">
        <v>354</v>
      </c>
      <c r="T2146" s="296" t="s">
        <v>3388</v>
      </c>
      <c r="U2146" s="296" t="s">
        <v>3391</v>
      </c>
      <c r="V2146" s="296" t="s">
        <v>355</v>
      </c>
      <c r="W2146" s="296" t="s">
        <v>928</v>
      </c>
      <c r="X2146" s="296" t="s">
        <v>928</v>
      </c>
    </row>
    <row r="2147" spans="1:24" ht="13.5" x14ac:dyDescent="0.15">
      <c r="A2147" s="296">
        <v>3790239</v>
      </c>
      <c r="B2147" s="296" t="s">
        <v>351</v>
      </c>
      <c r="C2147" s="296" t="s">
        <v>1803</v>
      </c>
      <c r="D2147" s="296" t="s">
        <v>353</v>
      </c>
      <c r="E2147" s="296" t="s">
        <v>65</v>
      </c>
      <c r="F2147" s="296">
        <v>3321</v>
      </c>
      <c r="G2147" s="296" t="s">
        <v>19</v>
      </c>
      <c r="H2147" s="296" t="s">
        <v>20</v>
      </c>
      <c r="I2147" s="296" t="s">
        <v>21</v>
      </c>
      <c r="J2147" s="296" t="s">
        <v>928</v>
      </c>
      <c r="K2147" s="296" t="s">
        <v>70</v>
      </c>
      <c r="L2147" s="296">
        <v>38</v>
      </c>
      <c r="M2147" s="296" t="s">
        <v>71</v>
      </c>
      <c r="N2147" s="296">
        <v>1336</v>
      </c>
      <c r="O2147" s="296">
        <v>1325</v>
      </c>
      <c r="P2147" s="296">
        <v>12000</v>
      </c>
      <c r="Q2147" s="296">
        <v>2</v>
      </c>
      <c r="R2147" s="296">
        <v>44</v>
      </c>
      <c r="S2147" s="296" t="s">
        <v>354</v>
      </c>
      <c r="T2147" s="296" t="s">
        <v>3388</v>
      </c>
      <c r="U2147" s="296" t="s">
        <v>3391</v>
      </c>
      <c r="V2147" s="296" t="s">
        <v>355</v>
      </c>
      <c r="W2147" s="296" t="s">
        <v>928</v>
      </c>
      <c r="X2147" s="296" t="s">
        <v>928</v>
      </c>
    </row>
    <row r="2148" spans="1:24" ht="13.5" x14ac:dyDescent="0.15">
      <c r="A2148" s="296">
        <v>3790241</v>
      </c>
      <c r="B2148" s="296" t="s">
        <v>431</v>
      </c>
      <c r="C2148" s="296" t="s">
        <v>1796</v>
      </c>
      <c r="D2148" s="296" t="s">
        <v>353</v>
      </c>
      <c r="E2148" s="296" t="s">
        <v>1436</v>
      </c>
      <c r="F2148" s="296">
        <v>3</v>
      </c>
      <c r="G2148" s="296" t="s">
        <v>265</v>
      </c>
      <c r="H2148" s="296" t="s">
        <v>28</v>
      </c>
      <c r="I2148" s="296" t="s">
        <v>132</v>
      </c>
      <c r="J2148" s="296" t="s">
        <v>928</v>
      </c>
      <c r="K2148" s="296" t="s">
        <v>3394</v>
      </c>
      <c r="L2148" s="296">
        <v>75</v>
      </c>
      <c r="M2148" s="296" t="s">
        <v>1438</v>
      </c>
      <c r="N2148" s="296">
        <v>1300</v>
      </c>
      <c r="O2148" s="296">
        <v>1300</v>
      </c>
      <c r="P2148" s="296">
        <v>4400</v>
      </c>
      <c r="Q2148" s="296">
        <v>2</v>
      </c>
      <c r="R2148" s="296">
        <v>16</v>
      </c>
      <c r="S2148" s="296" t="s">
        <v>354</v>
      </c>
      <c r="T2148" s="296" t="s">
        <v>3388</v>
      </c>
      <c r="U2148" s="296" t="s">
        <v>3393</v>
      </c>
      <c r="V2148" s="296" t="s">
        <v>355</v>
      </c>
      <c r="W2148" s="296" t="s">
        <v>928</v>
      </c>
      <c r="X2148" s="296" t="s">
        <v>928</v>
      </c>
    </row>
    <row r="2149" spans="1:24" ht="13.5" x14ac:dyDescent="0.15">
      <c r="A2149" s="296">
        <v>3790242</v>
      </c>
      <c r="B2149" s="296" t="s">
        <v>351</v>
      </c>
      <c r="C2149" s="296" t="s">
        <v>1801</v>
      </c>
      <c r="D2149" s="296" t="s">
        <v>353</v>
      </c>
      <c r="E2149" s="296" t="s">
        <v>155</v>
      </c>
      <c r="F2149" s="296" t="s">
        <v>158</v>
      </c>
      <c r="G2149" s="296" t="s">
        <v>19</v>
      </c>
      <c r="H2149" s="296" t="s">
        <v>20</v>
      </c>
      <c r="I2149" s="296" t="s">
        <v>143</v>
      </c>
      <c r="J2149" s="296" t="s">
        <v>928</v>
      </c>
      <c r="K2149" s="296" t="s">
        <v>156</v>
      </c>
      <c r="L2149" s="296">
        <v>25</v>
      </c>
      <c r="M2149" s="296" t="s">
        <v>157</v>
      </c>
      <c r="N2149" s="296">
        <v>1120</v>
      </c>
      <c r="O2149" s="296">
        <v>1120</v>
      </c>
      <c r="P2149" s="296">
        <v>12000</v>
      </c>
      <c r="Q2149" s="296">
        <v>2</v>
      </c>
      <c r="R2149" s="296">
        <v>7</v>
      </c>
      <c r="S2149" s="296" t="s">
        <v>354</v>
      </c>
      <c r="T2149" s="296" t="s">
        <v>3388</v>
      </c>
      <c r="U2149" s="296" t="s">
        <v>3391</v>
      </c>
      <c r="V2149" s="296" t="s">
        <v>355</v>
      </c>
      <c r="W2149" s="296" t="s">
        <v>928</v>
      </c>
      <c r="X2149" s="296" t="s">
        <v>928</v>
      </c>
    </row>
    <row r="2150" spans="1:24" ht="13.5" x14ac:dyDescent="0.15">
      <c r="A2150" s="296">
        <v>3790243</v>
      </c>
      <c r="B2150" s="296" t="s">
        <v>351</v>
      </c>
      <c r="C2150" s="296" t="s">
        <v>1801</v>
      </c>
      <c r="D2150" s="296" t="s">
        <v>353</v>
      </c>
      <c r="E2150" s="296" t="s">
        <v>116</v>
      </c>
      <c r="F2150" s="296">
        <v>3</v>
      </c>
      <c r="G2150" s="296" t="s">
        <v>19</v>
      </c>
      <c r="H2150" s="296" t="s">
        <v>20</v>
      </c>
      <c r="I2150" s="296" t="s">
        <v>143</v>
      </c>
      <c r="J2150" s="296" t="s">
        <v>928</v>
      </c>
      <c r="K2150" s="296" t="s">
        <v>159</v>
      </c>
      <c r="L2150" s="296">
        <v>25</v>
      </c>
      <c r="M2150" s="296" t="s">
        <v>160</v>
      </c>
      <c r="N2150" s="296">
        <v>1005</v>
      </c>
      <c r="O2150" s="296">
        <v>1000</v>
      </c>
      <c r="P2150" s="296">
        <v>4000</v>
      </c>
      <c r="Q2150" s="296">
        <v>2</v>
      </c>
      <c r="R2150" s="296">
        <v>3</v>
      </c>
      <c r="S2150" s="296" t="s">
        <v>354</v>
      </c>
      <c r="T2150" s="296" t="s">
        <v>3388</v>
      </c>
      <c r="U2150" s="296" t="s">
        <v>3395</v>
      </c>
      <c r="V2150" s="296" t="s">
        <v>355</v>
      </c>
      <c r="W2150" s="296" t="s">
        <v>928</v>
      </c>
      <c r="X2150" s="296" t="s">
        <v>928</v>
      </c>
    </row>
    <row r="2151" spans="1:24" ht="13.5" x14ac:dyDescent="0.15">
      <c r="A2151" s="296">
        <v>3790244</v>
      </c>
      <c r="B2151" s="296" t="s">
        <v>351</v>
      </c>
      <c r="C2151" s="296" t="s">
        <v>1801</v>
      </c>
      <c r="D2151" s="296" t="s">
        <v>353</v>
      </c>
      <c r="E2151" s="296" t="s">
        <v>116</v>
      </c>
      <c r="F2151" s="296">
        <v>3</v>
      </c>
      <c r="G2151" s="296" t="s">
        <v>19</v>
      </c>
      <c r="H2151" s="296" t="s">
        <v>20</v>
      </c>
      <c r="I2151" s="296" t="s">
        <v>143</v>
      </c>
      <c r="J2151" s="296" t="s">
        <v>928</v>
      </c>
      <c r="K2151" s="296" t="s">
        <v>144</v>
      </c>
      <c r="L2151" s="296">
        <v>50</v>
      </c>
      <c r="M2151" s="296" t="s">
        <v>145</v>
      </c>
      <c r="N2151" s="296">
        <v>1005</v>
      </c>
      <c r="O2151" s="296">
        <v>1000</v>
      </c>
      <c r="P2151" s="296">
        <v>4000</v>
      </c>
      <c r="Q2151" s="296">
        <v>2</v>
      </c>
      <c r="R2151" s="296">
        <v>3</v>
      </c>
      <c r="S2151" s="296" t="s">
        <v>354</v>
      </c>
      <c r="T2151" s="296" t="s">
        <v>3388</v>
      </c>
      <c r="U2151" s="296" t="s">
        <v>3392</v>
      </c>
      <c r="V2151" s="296" t="s">
        <v>355</v>
      </c>
      <c r="W2151" s="296" t="s">
        <v>928</v>
      </c>
      <c r="X2151" s="296" t="s">
        <v>928</v>
      </c>
    </row>
    <row r="2152" spans="1:24" ht="13.5" x14ac:dyDescent="0.15">
      <c r="A2152" s="392" t="s">
        <v>1519</v>
      </c>
      <c r="B2152" s="392" t="s">
        <v>1492</v>
      </c>
      <c r="C2152" s="392" t="s">
        <v>1486</v>
      </c>
      <c r="D2152" s="392" t="s">
        <v>1473</v>
      </c>
      <c r="E2152" s="392" t="s">
        <v>1520</v>
      </c>
      <c r="F2152" s="394">
        <v>3</v>
      </c>
      <c r="G2152" s="392" t="s">
        <v>265</v>
      </c>
      <c r="H2152" s="392" t="s">
        <v>28</v>
      </c>
      <c r="I2152" s="392" t="s">
        <v>132</v>
      </c>
      <c r="J2152" s="392" t="s">
        <v>1475</v>
      </c>
      <c r="K2152" s="392" t="s">
        <v>1521</v>
      </c>
      <c r="L2152" s="392">
        <v>75</v>
      </c>
      <c r="M2152" s="392" t="s">
        <v>1522</v>
      </c>
      <c r="N2152" s="392">
        <v>1400</v>
      </c>
      <c r="O2152" s="392">
        <v>1400</v>
      </c>
      <c r="P2152" s="392">
        <v>6000</v>
      </c>
      <c r="Q2152" s="392">
        <v>2</v>
      </c>
      <c r="R2152" s="392">
        <v>22</v>
      </c>
      <c r="S2152" s="392" t="s">
        <v>1477</v>
      </c>
      <c r="T2152" s="392" t="s">
        <v>1478</v>
      </c>
      <c r="U2152" s="392" t="s">
        <v>1513</v>
      </c>
      <c r="V2152" s="392" t="s">
        <v>1480</v>
      </c>
      <c r="W2152" s="392" t="s">
        <v>1481</v>
      </c>
      <c r="X2152" s="392" t="s">
        <v>1482</v>
      </c>
    </row>
    <row r="2153" spans="1:24" ht="13.5" x14ac:dyDescent="0.15">
      <c r="A2153" s="392" t="s">
        <v>1523</v>
      </c>
      <c r="B2153" s="392" t="s">
        <v>1492</v>
      </c>
      <c r="C2153" s="392" t="s">
        <v>1486</v>
      </c>
      <c r="D2153" s="392" t="s">
        <v>1473</v>
      </c>
      <c r="E2153" s="392" t="s">
        <v>1520</v>
      </c>
      <c r="F2153" s="394">
        <v>3</v>
      </c>
      <c r="G2153" s="392" t="s">
        <v>265</v>
      </c>
      <c r="H2153" s="392" t="s">
        <v>28</v>
      </c>
      <c r="I2153" s="392" t="s">
        <v>132</v>
      </c>
      <c r="J2153" s="392" t="s">
        <v>1475</v>
      </c>
      <c r="K2153" s="392" t="s">
        <v>1437</v>
      </c>
      <c r="L2153" s="392">
        <v>75</v>
      </c>
      <c r="M2153" s="392" t="s">
        <v>1522</v>
      </c>
      <c r="N2153" s="392">
        <v>685</v>
      </c>
      <c r="O2153" s="392">
        <v>685</v>
      </c>
      <c r="P2153" s="392">
        <v>6000</v>
      </c>
      <c r="Q2153" s="392">
        <v>2</v>
      </c>
      <c r="R2153" s="392">
        <v>36</v>
      </c>
      <c r="S2153" s="392" t="s">
        <v>1477</v>
      </c>
      <c r="T2153" s="392" t="s">
        <v>1478</v>
      </c>
      <c r="U2153" s="392" t="s">
        <v>1513</v>
      </c>
      <c r="V2153" s="392" t="s">
        <v>1480</v>
      </c>
      <c r="W2153" s="392" t="s">
        <v>1481</v>
      </c>
      <c r="X2153" s="392" t="s">
        <v>1482</v>
      </c>
    </row>
  </sheetData>
  <autoFilter ref="A2:X760" xr:uid="{00000000-0009-0000-0000-000001000000}"/>
  <sortState xmlns:xlrd2="http://schemas.microsoft.com/office/spreadsheetml/2017/richdata2" ref="A3:Y2153">
    <sortCondition ref="Y2"/>
  </sortState>
  <phoneticPr fontId="20"/>
  <conditionalFormatting sqref="A443:X552 J564:O576 J553:X563 A553:I576 Q564:X768 P564:P1170 A577:O768">
    <cfRule type="expression" dxfId="11" priority="28">
      <formula>IF($Z443="","",$Z443&gt;$R443)</formula>
    </cfRule>
    <cfRule type="expression" dxfId="10" priority="29">
      <formula>IF($Z443="","",$Z443&lt;$R443)</formula>
    </cfRule>
    <cfRule type="expression" dxfId="9" priority="30">
      <formula>IF($Z443="","",$R443=$Z443)</formula>
    </cfRule>
  </conditionalFormatting>
  <conditionalFormatting sqref="A291:X413 A415:X442 W414:X414">
    <cfRule type="expression" dxfId="8" priority="7">
      <formula>IF($Z291="","",$Z291&gt;$R291)</formula>
    </cfRule>
    <cfRule type="expression" dxfId="7" priority="8">
      <formula>IF($Z291="","",$R291=$Z291)</formula>
    </cfRule>
    <cfRule type="expression" dxfId="6" priority="9">
      <formula>IF($Z291="","",$Z291&lt;$R291)</formula>
    </cfRule>
  </conditionalFormatting>
  <conditionalFormatting sqref="A3:X290">
    <cfRule type="expression" dxfId="5" priority="4">
      <formula>IF($Z3="","",$Z3&gt;$R3)</formula>
    </cfRule>
    <cfRule type="expression" dxfId="4" priority="5">
      <formula>IF($Z3="","",$R3=$Z3)</formula>
    </cfRule>
    <cfRule type="expression" dxfId="3" priority="6">
      <formula>IF($Z3="","",$Z3&lt;$R3)</formula>
    </cfRule>
  </conditionalFormatting>
  <conditionalFormatting sqref="A414:V414">
    <cfRule type="expression" dxfId="2" priority="1">
      <formula>IF($Z414="","",$Z414&gt;$R414)</formula>
    </cfRule>
    <cfRule type="expression" dxfId="1" priority="2">
      <formula>IF($Z414="","",$R414=$Z414)</formula>
    </cfRule>
    <cfRule type="expression" dxfId="0" priority="3">
      <formula>IF($Z414="","",$Z414&lt;$R414)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S2893"/>
  <sheetViews>
    <sheetView showZeros="0" tabSelected="1" zoomScale="60" zoomScaleNormal="60" zoomScaleSheetLayoutView="40" workbookViewId="0">
      <pane xSplit="16" ySplit="4" topLeftCell="Q2816" activePane="bottomRight" state="frozen"/>
      <selection activeCell="AH1917" sqref="AH1917"/>
      <selection pane="topRight" activeCell="AH1917" sqref="AH1917"/>
      <selection pane="bottomLeft" activeCell="AH1917" sqref="AH1917"/>
      <selection pane="bottomRight" activeCell="E2829" sqref="E2829"/>
    </sheetView>
  </sheetViews>
  <sheetFormatPr defaultColWidth="0.125" defaultRowHeight="21" x14ac:dyDescent="0.2"/>
  <cols>
    <col min="1" max="1" width="9" style="3" customWidth="1"/>
    <col min="2" max="2" width="5.25" style="3" customWidth="1"/>
    <col min="3" max="3" width="6.875" style="4" hidden="1" customWidth="1"/>
    <col min="4" max="4" width="12.875" style="3" bestFit="1" customWidth="1"/>
    <col min="5" max="5" width="15.75" style="3" customWidth="1"/>
    <col min="6" max="6" width="31.75" style="5" hidden="1" customWidth="1"/>
    <col min="7" max="7" width="7.375" style="6" customWidth="1"/>
    <col min="8" max="8" width="13.875" style="6" customWidth="1"/>
    <col min="9" max="9" width="64.875" style="3" customWidth="1"/>
    <col min="10" max="10" width="18.125" style="208" customWidth="1"/>
    <col min="11" max="11" width="7" style="3" bestFit="1" customWidth="1"/>
    <col min="12" max="12" width="20.125" style="3" customWidth="1"/>
    <col min="13" max="13" width="9.75" style="7" customWidth="1"/>
    <col min="14" max="14" width="11.125" style="7" bestFit="1" customWidth="1"/>
    <col min="15" max="16" width="7" style="3" bestFit="1" customWidth="1"/>
    <col min="17" max="17" width="10.75" style="1" bestFit="1" customWidth="1"/>
    <col min="18" max="18" width="9.75" style="22" bestFit="1" customWidth="1"/>
    <col min="19" max="19" width="12.25" style="238" bestFit="1" customWidth="1"/>
    <col min="20" max="20" width="11.125" style="238" customWidth="1"/>
    <col min="21" max="21" width="7" style="8" bestFit="1" customWidth="1"/>
    <col min="22" max="22" width="7" style="8" customWidth="1"/>
    <col min="23" max="23" width="14.125" style="24" bestFit="1" customWidth="1"/>
    <col min="24" max="24" width="10.75" style="24" bestFit="1" customWidth="1"/>
    <col min="25" max="25" width="4.75" style="8" bestFit="1" customWidth="1"/>
    <col min="26" max="26" width="30.75" style="24" bestFit="1" customWidth="1"/>
    <col min="27" max="27" width="9.625" style="1" bestFit="1" customWidth="1"/>
    <col min="28" max="30" width="18.625" style="1" customWidth="1"/>
    <col min="31" max="31" width="15.125" style="1" customWidth="1"/>
    <col min="32" max="33" width="16.75" style="1" customWidth="1"/>
    <col min="34" max="34" width="15.875" style="1" customWidth="1"/>
    <col min="35" max="35" width="12.625" style="12" bestFit="1" customWidth="1"/>
    <col min="36" max="37" width="9.75" style="12" customWidth="1"/>
    <col min="38" max="38" width="14.5" style="12" customWidth="1"/>
    <col min="39" max="43" width="12.875" style="13" hidden="1" customWidth="1"/>
    <col min="44" max="44" width="12.875" style="14" hidden="1" customWidth="1"/>
    <col min="45" max="45" width="12.875" style="15" hidden="1" customWidth="1"/>
    <col min="46" max="46" width="15.375" style="1" customWidth="1"/>
    <col min="47" max="16384" width="0.125" style="1"/>
  </cols>
  <sheetData>
    <row r="1" spans="1:45" ht="29.25" thickBot="1" x14ac:dyDescent="0.35">
      <c r="A1" s="2"/>
      <c r="F1" s="59" t="s">
        <v>379</v>
      </c>
      <c r="Q1" s="51"/>
      <c r="R1" s="3"/>
      <c r="S1" s="237"/>
      <c r="T1" s="237"/>
      <c r="W1" s="6"/>
      <c r="X1" s="6"/>
      <c r="Z1" s="6"/>
      <c r="AA1" s="9"/>
      <c r="AB1" s="10" t="s">
        <v>380</v>
      </c>
      <c r="AC1" s="10" t="s">
        <v>381</v>
      </c>
      <c r="AD1" s="11" t="s">
        <v>382</v>
      </c>
      <c r="AE1" s="51"/>
    </row>
    <row r="2" spans="1:45" ht="112.5" customHeight="1" thickBot="1" x14ac:dyDescent="0.35">
      <c r="A2" s="16" t="s">
        <v>383</v>
      </c>
      <c r="I2" s="17" t="s">
        <v>384</v>
      </c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Z2" s="6"/>
      <c r="AA2" s="18"/>
      <c r="AB2" s="19"/>
      <c r="AC2" s="19"/>
      <c r="AD2" s="20"/>
      <c r="AE2" s="52"/>
      <c r="AH2" s="21"/>
      <c r="AM2" s="13" t="s">
        <v>385</v>
      </c>
      <c r="AN2" s="13" t="s">
        <v>386</v>
      </c>
      <c r="AO2" s="13" t="s">
        <v>387</v>
      </c>
      <c r="AP2" s="13" t="s">
        <v>388</v>
      </c>
      <c r="AQ2" s="13" t="s">
        <v>389</v>
      </c>
      <c r="AR2" s="14" t="s">
        <v>390</v>
      </c>
      <c r="AS2" s="15" t="s">
        <v>391</v>
      </c>
    </row>
    <row r="3" spans="1:45" ht="18" customHeight="1" thickBot="1" x14ac:dyDescent="0.25"/>
    <row r="4" spans="1:45" ht="52.5" thickBot="1" x14ac:dyDescent="0.25">
      <c r="A4" s="184" t="s">
        <v>392</v>
      </c>
      <c r="B4" s="185" t="s">
        <v>393</v>
      </c>
      <c r="C4" s="186" t="s">
        <v>394</v>
      </c>
      <c r="D4" s="168" t="s">
        <v>395</v>
      </c>
      <c r="E4" s="168" t="s">
        <v>396</v>
      </c>
      <c r="F4" s="169" t="s">
        <v>397</v>
      </c>
      <c r="G4" s="170" t="s">
        <v>456</v>
      </c>
      <c r="H4" s="165" t="s">
        <v>399</v>
      </c>
      <c r="I4" s="171" t="s">
        <v>400</v>
      </c>
      <c r="J4" s="209"/>
      <c r="K4" s="165" t="s">
        <v>401</v>
      </c>
      <c r="L4" s="166" t="s">
        <v>402</v>
      </c>
      <c r="M4" s="176" t="s">
        <v>403</v>
      </c>
      <c r="N4" s="158" t="s">
        <v>404</v>
      </c>
      <c r="O4" s="159" t="s">
        <v>455</v>
      </c>
      <c r="P4" s="160" t="s">
        <v>454</v>
      </c>
      <c r="Q4" s="161" t="s">
        <v>481</v>
      </c>
      <c r="R4" s="162" t="s">
        <v>406</v>
      </c>
      <c r="S4" s="163" t="s">
        <v>407</v>
      </c>
      <c r="T4" s="239" t="s">
        <v>408</v>
      </c>
      <c r="U4" s="164" t="s">
        <v>409</v>
      </c>
      <c r="V4" s="164" t="s">
        <v>488</v>
      </c>
      <c r="W4" s="165" t="s">
        <v>410</v>
      </c>
      <c r="X4" s="166" t="s">
        <v>411</v>
      </c>
      <c r="Y4" s="164" t="s">
        <v>412</v>
      </c>
      <c r="Z4" s="165" t="s">
        <v>413</v>
      </c>
      <c r="AA4" s="161" t="s">
        <v>482</v>
      </c>
      <c r="AB4" s="171" t="s">
        <v>414</v>
      </c>
      <c r="AC4" s="187"/>
      <c r="AD4" s="188"/>
      <c r="AE4" s="53"/>
      <c r="AF4" s="25" t="s">
        <v>415</v>
      </c>
      <c r="AG4" s="215"/>
      <c r="AH4" s="44" t="s">
        <v>416</v>
      </c>
      <c r="AI4" s="26"/>
      <c r="AJ4" s="26"/>
      <c r="AK4" s="26"/>
      <c r="AL4" s="26"/>
      <c r="AM4" s="27"/>
      <c r="AN4" s="27"/>
      <c r="AO4" s="27"/>
      <c r="AP4" s="27"/>
      <c r="AQ4" s="27"/>
      <c r="AR4" s="28"/>
      <c r="AS4" s="29"/>
    </row>
    <row r="5" spans="1:45" s="17" customFormat="1" ht="30.95" hidden="1" customHeight="1" x14ac:dyDescent="0.2">
      <c r="A5" s="37" t="s">
        <v>740</v>
      </c>
      <c r="B5" s="38" t="s">
        <v>748</v>
      </c>
      <c r="C5" s="45"/>
      <c r="D5" s="31"/>
      <c r="E5" s="31"/>
      <c r="F5" s="268" t="str">
        <f>IF(D5="","",VLOOKUP(D5,契約台帳!$A$3:$K$4986,6,FALSE)&amp;VLOOKUP(D5,契約台帳!$A$3:$K$4986,7,FALSE)&amp;VLOOKUP(D5,契約台帳!$A$3:$K$4986,8,FALSE)&amp;VLOOKUP(D5,契約台帳!$A$3:$K$4986,9,FALSE)&amp;VLOOKUP(D5,契約台帳!$A$3:$K$4986,11,FALSE))</f>
        <v/>
      </c>
      <c r="G5" s="269" t="str">
        <f>IF(D5="","",VLOOKUP(F5,製品マスタ!$G$5:$H$5002,2,FALSE))</f>
        <v/>
      </c>
      <c r="H5" s="269" t="str">
        <f>IF(D5="","",VLOOKUP(F5,製品マスタ!$G$5:$K$5002,5,FALSE))</f>
        <v/>
      </c>
      <c r="I5" s="270" t="str">
        <f>IF(D5="","",VLOOKUP(F5,製品マスタ!$G$5:$L$5002,6,FALSE))</f>
        <v/>
      </c>
      <c r="J5" s="210" t="s">
        <v>448</v>
      </c>
      <c r="K5" s="270" t="str">
        <f>IF(D5="","",VLOOKUP(D5,契約台帳!$A$3:$L$4986,12,FALSE))</f>
        <v/>
      </c>
      <c r="L5" s="270" t="str">
        <f>IF(D5="","",INDEX(製品マスタ!$Q$5:$Q$5002,MATCH('S4'!F5&amp;'S4'!K5,製品マスタ!$AO$5:$AO$5002,0)))</f>
        <v/>
      </c>
      <c r="M5" s="39"/>
      <c r="N5" s="39"/>
      <c r="O5" s="156"/>
      <c r="P5" s="47"/>
      <c r="Q5" s="57"/>
      <c r="R5" s="271" t="str">
        <f ca="1">IF(D5="","",IF(OFFSET(D5,-1,0)&lt;&gt;"","",IF(OR(J5="リード付け",J5="巻足し",J5="巻返しリード付け"),M5,VLOOKUP(D5,契約台帳!$A$3:$N$4986,14,FALSE))))</f>
        <v/>
      </c>
      <c r="S5" s="272" t="str">
        <f ca="1">IF(D5="","",IF(OFFSET(D5,-1,0)&lt;&gt;"","",IF(OR(J5="リード付け",J5="巻足し",J5="巻返しリード付け"),M5,VLOOKUP(D5,契約台帳!$A$3:$O$4986,15,FALSE))))</f>
        <v/>
      </c>
      <c r="T5" s="273" t="str">
        <f ca="1">IF(D5="","",IF(J5="リード付け",N5,IF(J5="巻返しリード付け",N5,IF(J5="巻足し",N5*P5+OFFSET(N5,1,0)*OFFSET(P5,1,0),VLOOKUP(D5,契約台帳!$A$3:$P$4986,16,FALSE)))))</f>
        <v/>
      </c>
      <c r="U5" s="40"/>
      <c r="V5" s="274" t="str">
        <f ca="1">IF(D5="","",IF(OFFSET(D5,-2,0)=D5,"",VLOOKUP(D5,契約台帳!$A$3:$R$4986,18,FALSE)))</f>
        <v/>
      </c>
      <c r="W5" s="269" t="str">
        <f>IF(D5="","",IF(T5="","",IF(OR(J5="巻足し",J5="巻返しリード付け"),"",IF(J5="巻返し",VLOOKUP(F5&amp;K5&amp;M5,製品マスタ!$M$5:$AD$5002,18,FALSE),IF(OR(J5="リード付け",J5="巻返しリード付け"),"原反コア",IF(J5="スリット",VLOOKUP(F5&amp;K5&amp;R5,製品マスタ!$N$5:$AD$5002,17,FALSE),""))))))</f>
        <v/>
      </c>
      <c r="X5" s="269" t="str">
        <f>IF(D5="","",IF(T5="","",IF(J5="巻足し","",IF(J5="巻返し",VLOOKUP(F5&amp;K5&amp;M5,製品マスタ!$M$5:$AE$5002,19,FALSE),IF(OR(J5="リード付け",J5="巻返しリード付け"),"",IF(J5="スリット",VLOOKUP(F5&amp;K5&amp;R5,製品マスタ!$N$5:$AE$5002,18,FALSE),""))))))</f>
        <v/>
      </c>
      <c r="Y5" s="275" t="str">
        <f>IF(D5="","",IF(T5="","",VLOOKUP(D5,契約台帳!$A$3:$Q$4986,17,FALSE)))</f>
        <v/>
      </c>
      <c r="Z5" s="269" t="str">
        <f>IF(D5="","",IF(T5="","",VLOOKUP(D5,契約台帳!$A$3:$E$4986,5,FALSE)))</f>
        <v/>
      </c>
      <c r="AA5" s="57"/>
      <c r="AB5" s="207" t="str">
        <f>IFERROR((VLOOKUP(F5&amp;K5&amp;M5,製品マスタ!$M$5:$AM$5002,27,FALSE)),"")</f>
        <v/>
      </c>
      <c r="AC5" s="33"/>
      <c r="AD5" s="189"/>
      <c r="AE5" s="54"/>
      <c r="AF5" s="55"/>
      <c r="AG5" s="43"/>
      <c r="AH5" s="47"/>
      <c r="AI5" s="30"/>
      <c r="AJ5" s="30"/>
      <c r="AK5" s="30"/>
      <c r="AL5" s="30"/>
      <c r="AM5" s="13"/>
      <c r="AN5" s="13"/>
      <c r="AO5" s="13"/>
      <c r="AP5" s="13"/>
      <c r="AQ5" s="13"/>
      <c r="AR5" s="14"/>
      <c r="AS5" s="15"/>
    </row>
    <row r="6" spans="1:45" s="17" customFormat="1" ht="30.95" hidden="1" customHeight="1" x14ac:dyDescent="0.2">
      <c r="A6" s="37"/>
      <c r="B6" s="38"/>
      <c r="C6" s="45"/>
      <c r="D6" s="31"/>
      <c r="E6" s="31"/>
      <c r="F6" s="268" t="str">
        <f>IF(D6="","",VLOOKUP(D6,契約台帳!$A$3:$K$4986,6,FALSE)&amp;VLOOKUP(D6,契約台帳!$A$3:$K$4986,7,FALSE)&amp;VLOOKUP(D6,契約台帳!$A$3:$K$4986,8,FALSE)&amp;VLOOKUP(D6,契約台帳!$A$3:$K$4986,9,FALSE)&amp;VLOOKUP(D6,契約台帳!$A$3:$K$4986,11,FALSE))</f>
        <v/>
      </c>
      <c r="G6" s="269" t="str">
        <f>IF(D6="","",VLOOKUP(F6,製品マスタ!$G$5:$H$5002,2,FALSE))</f>
        <v/>
      </c>
      <c r="H6" s="269" t="str">
        <f>IF(D6="","",VLOOKUP(F6,製品マスタ!$G$5:$K$5002,5,FALSE))</f>
        <v/>
      </c>
      <c r="I6" s="270" t="str">
        <f>IF(D6="","",VLOOKUP(F6,製品マスタ!$G$5:$L$5002,6,FALSE))</f>
        <v/>
      </c>
      <c r="J6" s="210"/>
      <c r="K6" s="270" t="str">
        <f>IF(D6="","",VLOOKUP(D6,契約台帳!$A$3:$L$4986,12,FALSE))</f>
        <v/>
      </c>
      <c r="L6" s="270" t="str">
        <f>IF(D6="","",INDEX(製品マスタ!$Q$5:$Q$5002,MATCH('S4'!F6&amp;'S4'!K6,製品マスタ!$AO$5:$AO$5002,0)))</f>
        <v/>
      </c>
      <c r="M6" s="39"/>
      <c r="N6" s="39"/>
      <c r="O6" s="156"/>
      <c r="P6" s="47"/>
      <c r="Q6" s="57"/>
      <c r="R6" s="271" t="str">
        <f ca="1">IF(D6="","",IF(OFFSET(D6,-1,0)&lt;&gt;"","",IF(OR(J6="リード付け",J6="巻足し",J6="巻返しリード付け"),M6,VLOOKUP(D6,契約台帳!$A$3:$N$4986,14,FALSE))))</f>
        <v/>
      </c>
      <c r="S6" s="272" t="str">
        <f ca="1">IF(D6="","",IF(OFFSET(D6,-1,0)&lt;&gt;"","",IF(OR(J6="リード付け",J6="巻足し",J6="巻返しリード付け"),M6,VLOOKUP(D6,契約台帳!$A$3:$O$4986,15,FALSE))))</f>
        <v/>
      </c>
      <c r="T6" s="273" t="str">
        <f ca="1">IF(D6="","",IF(J6="リード付け",N6,IF(J6="巻返しリード付け",N6,IF(J6="巻足し",N6*P6+OFFSET(N6,1,0)*OFFSET(P6,1,0),VLOOKUP(D6,契約台帳!$A$3:$P$4986,16,FALSE)))))</f>
        <v/>
      </c>
      <c r="U6" s="40"/>
      <c r="V6" s="274" t="str">
        <f ca="1">IF(D6="","",IF(OFFSET(D6,-2,0)=D6,"",VLOOKUP(D6,契約台帳!$A$3:$R$4986,18,FALSE)))</f>
        <v/>
      </c>
      <c r="W6" s="269" t="str">
        <f>IF(D6="","",IF(T6="","",IF(OR(J6="巻足し",J6="巻返しリード付け"),"",IF(J6="巻返し",VLOOKUP(F6&amp;K6&amp;M6,製品マスタ!$M$5:$AD$5002,18,FALSE),IF(OR(J6="リード付け",J6="巻返しリード付け"),"原反コア",IF(J6="スリット",VLOOKUP(F6&amp;K6&amp;R6,製品マスタ!$N$5:$AD$5002,17,FALSE),""))))))</f>
        <v/>
      </c>
      <c r="X6" s="269" t="str">
        <f>IF(D6="","",IF(T6="","",IF(J6="巻足し","",IF(J6="巻返し",VLOOKUP(F6&amp;K6&amp;M6,製品マスタ!$M$5:$AE$5002,19,FALSE),IF(OR(J6="リード付け",J6="巻返しリード付け"),"",IF(J6="スリット",VLOOKUP(F6&amp;K6&amp;R6,製品マスタ!$N$5:$AE$5002,18,FALSE),""))))))</f>
        <v/>
      </c>
      <c r="Y6" s="275" t="str">
        <f>IF(D6="","",IF(T6="","",VLOOKUP(D6,契約台帳!$A$3:$Q$4986,17,FALSE)))</f>
        <v/>
      </c>
      <c r="Z6" s="269" t="str">
        <f>IF(D6="","",IF(T6="","",VLOOKUP(D6,契約台帳!$A$3:$E$4986,5,FALSE)))</f>
        <v/>
      </c>
      <c r="AA6" s="57"/>
      <c r="AB6" s="207" t="str">
        <f>IFERROR((VLOOKUP(F6&amp;K6&amp;M6,製品マスタ!$M$5:$AM$5002,27,FALSE)),"")</f>
        <v/>
      </c>
      <c r="AC6" s="33"/>
      <c r="AD6" s="189"/>
      <c r="AE6" s="54"/>
      <c r="AF6" s="55"/>
      <c r="AG6" s="43"/>
      <c r="AH6" s="47"/>
      <c r="AI6" s="30"/>
      <c r="AJ6" s="30"/>
      <c r="AK6" s="30"/>
      <c r="AL6" s="30"/>
      <c r="AM6" s="13"/>
      <c r="AN6" s="13"/>
      <c r="AO6" s="13"/>
      <c r="AP6" s="13"/>
      <c r="AQ6" s="13"/>
      <c r="AR6" s="14"/>
      <c r="AS6" s="15"/>
    </row>
    <row r="7" spans="1:45" s="17" customFormat="1" ht="30.95" hidden="1" customHeight="1" x14ac:dyDescent="0.2">
      <c r="A7" s="37" t="s">
        <v>741</v>
      </c>
      <c r="B7" s="38" t="s">
        <v>749</v>
      </c>
      <c r="C7" s="45"/>
      <c r="D7" s="31"/>
      <c r="E7" s="31"/>
      <c r="F7" s="268" t="str">
        <f>IF(D7="","",VLOOKUP(D7,契約台帳!$A$3:$K$4986,6,FALSE)&amp;VLOOKUP(D7,契約台帳!$A$3:$K$4986,7,FALSE)&amp;VLOOKUP(D7,契約台帳!$A$3:$K$4986,8,FALSE)&amp;VLOOKUP(D7,契約台帳!$A$3:$K$4986,9,FALSE)&amp;VLOOKUP(D7,契約台帳!$A$3:$K$4986,11,FALSE))</f>
        <v/>
      </c>
      <c r="G7" s="269" t="str">
        <f>IF(D7="","",VLOOKUP(F7,製品マスタ!$G$5:$H$5002,2,FALSE))</f>
        <v/>
      </c>
      <c r="H7" s="269" t="str">
        <f>IF(D7="","",VLOOKUP(F7,製品マスタ!$G$5:$K$5002,5,FALSE))</f>
        <v/>
      </c>
      <c r="I7" s="270" t="str">
        <f>IF(D7="","",VLOOKUP(F7,製品マスタ!$G$5:$L$5002,6,FALSE))</f>
        <v/>
      </c>
      <c r="J7" s="210" t="s">
        <v>448</v>
      </c>
      <c r="K7" s="270" t="str">
        <f>IF(D7="","",VLOOKUP(D7,契約台帳!$A$3:$L$4986,12,FALSE))</f>
        <v/>
      </c>
      <c r="L7" s="270" t="str">
        <f>IF(D7="","",INDEX(製品マスタ!$Q$5:$Q$5002,MATCH('S4'!F7&amp;'S4'!K7,製品マスタ!$AO$5:$AO$5002,0)))</f>
        <v/>
      </c>
      <c r="M7" s="39"/>
      <c r="N7" s="39"/>
      <c r="O7" s="156"/>
      <c r="P7" s="47"/>
      <c r="Q7" s="57"/>
      <c r="R7" s="271" t="str">
        <f ca="1">IF(D7="","",IF(OFFSET(D7,-1,0)&lt;&gt;"","",IF(OR(J7="リード付け",J7="巻足し",J7="巻返しリード付け"),M7,VLOOKUP(D7,契約台帳!$A$3:$N$4986,14,FALSE))))</f>
        <v/>
      </c>
      <c r="S7" s="272" t="str">
        <f ca="1">IF(D7="","",IF(OFFSET(D7,-1,0)&lt;&gt;"","",IF(OR(J7="リード付け",J7="巻足し",J7="巻返しリード付け"),M7,VLOOKUP(D7,契約台帳!$A$3:$O$4986,15,FALSE))))</f>
        <v/>
      </c>
      <c r="T7" s="273" t="str">
        <f ca="1">IF(D7="","",IF(J7="リード付け",N7,IF(J7="巻返しリード付け",N7,IF(J7="巻足し",N7*P7+OFFSET(N7,1,0)*OFFSET(P7,1,0),VLOOKUP(D7,契約台帳!$A$3:$P$4986,16,FALSE)))))</f>
        <v/>
      </c>
      <c r="U7" s="40"/>
      <c r="V7" s="274" t="str">
        <f ca="1">IF(D7="","",IF(OFFSET(D7,-2,0)=D7,"",VLOOKUP(D7,契約台帳!$A$3:$R$4986,18,FALSE)))</f>
        <v/>
      </c>
      <c r="W7" s="269" t="str">
        <f>IF(D7="","",IF(T7="","",IF(OR(J7="巻足し",J7="巻返しリード付け"),"",IF(J7="巻返し",VLOOKUP(F7&amp;K7&amp;M7,製品マスタ!$M$5:$AD$5002,18,FALSE),IF(OR(J7="リード付け",J7="巻返しリード付け"),"原反コア",IF(J7="スリット",VLOOKUP(F7&amp;K7&amp;R7,製品マスタ!$N$5:$AD$5002,17,FALSE),""))))))</f>
        <v/>
      </c>
      <c r="X7" s="269" t="str">
        <f>IF(D7="","",IF(T7="","",IF(J7="巻足し","",IF(J7="巻返し",VLOOKUP(F7&amp;K7&amp;M7,製品マスタ!$M$5:$AE$5002,19,FALSE),IF(OR(J7="リード付け",J7="巻返しリード付け"),"",IF(J7="スリット",VLOOKUP(F7&amp;K7&amp;R7,製品マスタ!$N$5:$AE$5002,18,FALSE),""))))))</f>
        <v/>
      </c>
      <c r="Y7" s="275" t="str">
        <f>IF(D7="","",IF(T7="","",VLOOKUP(D7,契約台帳!$A$3:$Q$4986,17,FALSE)))</f>
        <v/>
      </c>
      <c r="Z7" s="269" t="str">
        <f>IF(D7="","",IF(T7="","",VLOOKUP(D7,契約台帳!$A$3:$E$4986,5,FALSE)))</f>
        <v/>
      </c>
      <c r="AA7" s="57"/>
      <c r="AB7" s="207" t="str">
        <f>IFERROR((VLOOKUP(F7&amp;K7&amp;M7,製品マスタ!$M$5:$AM$5002,27,FALSE)),"")</f>
        <v/>
      </c>
      <c r="AC7" s="33"/>
      <c r="AD7" s="189"/>
      <c r="AE7" s="54"/>
      <c r="AF7" s="55"/>
      <c r="AG7" s="43"/>
      <c r="AH7" s="47"/>
      <c r="AI7" s="30"/>
      <c r="AJ7" s="30"/>
      <c r="AK7" s="30"/>
      <c r="AL7" s="30"/>
      <c r="AM7" s="13"/>
      <c r="AN7" s="13"/>
      <c r="AO7" s="13"/>
      <c r="AP7" s="13"/>
      <c r="AQ7" s="13"/>
      <c r="AR7" s="14"/>
      <c r="AS7" s="15"/>
    </row>
    <row r="8" spans="1:45" s="17" customFormat="1" ht="30.95" hidden="1" customHeight="1" x14ac:dyDescent="0.2">
      <c r="A8" s="37"/>
      <c r="B8" s="38"/>
      <c r="C8" s="45"/>
      <c r="D8" s="31"/>
      <c r="E8" s="31"/>
      <c r="F8" s="268" t="str">
        <f>IF(D8="","",VLOOKUP(D8,契約台帳!$A$3:$K$4986,6,FALSE)&amp;VLOOKUP(D8,契約台帳!$A$3:$K$4986,7,FALSE)&amp;VLOOKUP(D8,契約台帳!$A$3:$K$4986,8,FALSE)&amp;VLOOKUP(D8,契約台帳!$A$3:$K$4986,9,FALSE)&amp;VLOOKUP(D8,契約台帳!$A$3:$K$4986,11,FALSE))</f>
        <v/>
      </c>
      <c r="G8" s="269" t="str">
        <f>IF(D8="","",VLOOKUP(F8,製品マスタ!$G$5:$H$5002,2,FALSE))</f>
        <v/>
      </c>
      <c r="H8" s="269" t="str">
        <f>IF(D8="","",VLOOKUP(F8,製品マスタ!$G$5:$K$5002,5,FALSE))</f>
        <v/>
      </c>
      <c r="I8" s="270" t="str">
        <f>IF(D8="","",VLOOKUP(F8,製品マスタ!$G$5:$L$5002,6,FALSE))</f>
        <v/>
      </c>
      <c r="J8" s="210"/>
      <c r="K8" s="270" t="str">
        <f>IF(D8="","",VLOOKUP(D8,契約台帳!$A$3:$L$4986,12,FALSE))</f>
        <v/>
      </c>
      <c r="L8" s="270" t="str">
        <f>IF(D8="","",INDEX(製品マスタ!$Q$5:$Q$5002,MATCH('S4'!F8&amp;'S4'!K8,製品マスタ!$AO$5:$AO$5002,0)))</f>
        <v/>
      </c>
      <c r="M8" s="39"/>
      <c r="N8" s="39"/>
      <c r="O8" s="156"/>
      <c r="P8" s="47"/>
      <c r="Q8" s="57"/>
      <c r="R8" s="271" t="str">
        <f ca="1">IF(D8="","",IF(OFFSET(D8,-1,0)&lt;&gt;"","",IF(OR(J8="リード付け",J8="巻足し",J8="巻返しリード付け"),M8,VLOOKUP(D8,契約台帳!$A$3:$N$4986,14,FALSE))))</f>
        <v/>
      </c>
      <c r="S8" s="272" t="str">
        <f ca="1">IF(D8="","",IF(OFFSET(D8,-1,0)&lt;&gt;"","",IF(OR(J8="リード付け",J8="巻足し",J8="巻返しリード付け"),M8,VLOOKUP(D8,契約台帳!$A$3:$O$4986,15,FALSE))))</f>
        <v/>
      </c>
      <c r="T8" s="273" t="str">
        <f ca="1">IF(D8="","",IF(J8="リード付け",N8,IF(J8="巻返しリード付け",N8,IF(J8="巻足し",N8*P8+OFFSET(N8,1,0)*OFFSET(P8,1,0),VLOOKUP(D8,契約台帳!$A$3:$P$4986,16,FALSE)))))</f>
        <v/>
      </c>
      <c r="U8" s="40"/>
      <c r="V8" s="274" t="str">
        <f ca="1">IF(D8="","",IF(OFFSET(D8,-2,0)=D8,"",VLOOKUP(D8,契約台帳!$A$3:$R$4986,18,FALSE)))</f>
        <v/>
      </c>
      <c r="W8" s="269" t="str">
        <f>IF(D8="","",IF(T8="","",IF(OR(J8="巻足し",J8="巻返しリード付け"),"",IF(J8="巻返し",VLOOKUP(F8&amp;K8&amp;M8,製品マスタ!$M$5:$AD$5002,18,FALSE),IF(OR(J8="リード付け",J8="巻返しリード付け"),"原反コア",IF(J8="スリット",VLOOKUP(F8&amp;K8&amp;R8,製品マスタ!$N$5:$AD$5002,17,FALSE),""))))))</f>
        <v/>
      </c>
      <c r="X8" s="269" t="str">
        <f>IF(D8="","",IF(T8="","",IF(J8="巻足し","",IF(J8="巻返し",VLOOKUP(F8&amp;K8&amp;M8,製品マスタ!$M$5:$AE$5002,19,FALSE),IF(OR(J8="リード付け",J8="巻返しリード付け"),"",IF(J8="スリット",VLOOKUP(F8&amp;K8&amp;R8,製品マスタ!$N$5:$AE$5002,18,FALSE),""))))))</f>
        <v/>
      </c>
      <c r="Y8" s="275" t="str">
        <f>IF(D8="","",IF(T8="","",VLOOKUP(D8,契約台帳!$A$3:$Q$4986,17,FALSE)))</f>
        <v/>
      </c>
      <c r="Z8" s="269" t="str">
        <f>IF(D8="","",IF(T8="","",VLOOKUP(D8,契約台帳!$A$3:$E$4986,5,FALSE)))</f>
        <v/>
      </c>
      <c r="AA8" s="57"/>
      <c r="AB8" s="207" t="str">
        <f>IFERROR((VLOOKUP(F8&amp;K8&amp;M8,製品マスタ!$M$5:$AM$5002,27,FALSE)),"")</f>
        <v/>
      </c>
      <c r="AC8" s="33"/>
      <c r="AD8" s="189"/>
      <c r="AE8" s="54"/>
      <c r="AF8" s="55"/>
      <c r="AG8" s="43"/>
      <c r="AH8" s="47"/>
      <c r="AI8" s="30"/>
      <c r="AJ8" s="30"/>
      <c r="AK8" s="30"/>
      <c r="AL8" s="30"/>
      <c r="AM8" s="13"/>
      <c r="AN8" s="13"/>
      <c r="AO8" s="13"/>
      <c r="AP8" s="13"/>
      <c r="AQ8" s="13"/>
      <c r="AR8" s="14"/>
      <c r="AS8" s="15"/>
    </row>
    <row r="9" spans="1:45" s="17" customFormat="1" ht="30.95" hidden="1" customHeight="1" x14ac:dyDescent="0.2">
      <c r="A9" s="37" t="s">
        <v>742</v>
      </c>
      <c r="B9" s="38" t="s">
        <v>750</v>
      </c>
      <c r="C9" s="45"/>
      <c r="D9" s="31"/>
      <c r="E9" s="31"/>
      <c r="F9" s="268" t="str">
        <f>IF(D9="","",VLOOKUP(D9,契約台帳!$A$3:$K$4986,6,FALSE)&amp;VLOOKUP(D9,契約台帳!$A$3:$K$4986,7,FALSE)&amp;VLOOKUP(D9,契約台帳!$A$3:$K$4986,8,FALSE)&amp;VLOOKUP(D9,契約台帳!$A$3:$K$4986,9,FALSE)&amp;VLOOKUP(D9,契約台帳!$A$3:$K$4986,11,FALSE))</f>
        <v/>
      </c>
      <c r="G9" s="269" t="str">
        <f>IF(D9="","",VLOOKUP(F9,製品マスタ!$G$5:$H$5002,2,FALSE))</f>
        <v/>
      </c>
      <c r="H9" s="269" t="str">
        <f>IF(D9="","",VLOOKUP(F9,製品マスタ!$G$5:$K$5002,5,FALSE))</f>
        <v/>
      </c>
      <c r="I9" s="270" t="str">
        <f>IF(D9="","",VLOOKUP(F9,製品マスタ!$G$5:$L$5002,6,FALSE))</f>
        <v/>
      </c>
      <c r="J9" s="210" t="s">
        <v>448</v>
      </c>
      <c r="K9" s="270" t="str">
        <f>IF(D9="","",VLOOKUP(D9,契約台帳!$A$3:$L$4986,12,FALSE))</f>
        <v/>
      </c>
      <c r="L9" s="270" t="str">
        <f>IF(D9="","",INDEX(製品マスタ!$Q$5:$Q$5002,MATCH('S4'!F9&amp;'S4'!K9,製品マスタ!$AO$5:$AO$5002,0)))</f>
        <v/>
      </c>
      <c r="M9" s="39"/>
      <c r="N9" s="39"/>
      <c r="O9" s="156"/>
      <c r="P9" s="47"/>
      <c r="Q9" s="57"/>
      <c r="R9" s="271" t="str">
        <f ca="1">IF(D9="","",IF(OFFSET(D9,-1,0)&lt;&gt;"","",IF(OR(J9="リード付け",J9="巻足し",J9="巻返しリード付け"),M9,VLOOKUP(D9,契約台帳!$A$3:$N$4986,14,FALSE))))</f>
        <v/>
      </c>
      <c r="S9" s="272" t="str">
        <f ca="1">IF(D9="","",IF(OFFSET(D9,-1,0)&lt;&gt;"","",IF(OR(J9="リード付け",J9="巻足し",J9="巻返しリード付け"),M9,VLOOKUP(D9,契約台帳!$A$3:$O$4986,15,FALSE))))</f>
        <v/>
      </c>
      <c r="T9" s="273" t="str">
        <f ca="1">IF(D9="","",IF(J9="リード付け",N9,IF(J9="巻返しリード付け",N9,IF(J9="巻足し",N9*P9+OFFSET(N9,1,0)*OFFSET(P9,1,0),VLOOKUP(D9,契約台帳!$A$3:$P$4986,16,FALSE)))))</f>
        <v/>
      </c>
      <c r="U9" s="40"/>
      <c r="V9" s="274" t="str">
        <f ca="1">IF(D9="","",IF(OFFSET(D9,-2,0)=D9,"",VLOOKUP(D9,契約台帳!$A$3:$R$4986,18,FALSE)))</f>
        <v/>
      </c>
      <c r="W9" s="269" t="str">
        <f>IF(D9="","",IF(T9="","",IF(OR(J9="巻足し",J9="巻返しリード付け"),"",IF(J9="巻返し",VLOOKUP(F9&amp;K9&amp;M9,製品マスタ!$M$5:$AD$5002,18,FALSE),IF(OR(J9="リード付け",J9="巻返しリード付け"),"原反コア",IF(J9="スリット",VLOOKUP(F9&amp;K9&amp;R9,製品マスタ!$N$5:$AD$5002,17,FALSE),""))))))</f>
        <v/>
      </c>
      <c r="X9" s="269" t="str">
        <f>IF(D9="","",IF(T9="","",IF(J9="巻足し","",IF(J9="巻返し",VLOOKUP(F9&amp;K9&amp;M9,製品マスタ!$M$5:$AE$5002,19,FALSE),IF(OR(J9="リード付け",J9="巻返しリード付け"),"",IF(J9="スリット",VLOOKUP(F9&amp;K9&amp;R9,製品マスタ!$N$5:$AE$5002,18,FALSE),""))))))</f>
        <v/>
      </c>
      <c r="Y9" s="275" t="str">
        <f>IF(D9="","",IF(T9="","",VLOOKUP(D9,契約台帳!$A$3:$Q$4986,17,FALSE)))</f>
        <v/>
      </c>
      <c r="Z9" s="269" t="str">
        <f>IF(D9="","",IF(T9="","",VLOOKUP(D9,契約台帳!$A$3:$E$4986,5,FALSE)))</f>
        <v/>
      </c>
      <c r="AA9" s="57"/>
      <c r="AB9" s="207" t="str">
        <f>IFERROR((VLOOKUP(F9&amp;K9&amp;M9,製品マスタ!$M$5:$AM$5002,27,FALSE)),"")</f>
        <v/>
      </c>
      <c r="AC9" s="33"/>
      <c r="AD9" s="189"/>
      <c r="AE9" s="54"/>
      <c r="AF9" s="55"/>
      <c r="AG9" s="43"/>
      <c r="AH9" s="47"/>
      <c r="AI9" s="30"/>
      <c r="AJ9" s="30"/>
      <c r="AK9" s="30"/>
      <c r="AL9" s="30"/>
      <c r="AM9" s="13"/>
      <c r="AN9" s="13"/>
      <c r="AO9" s="13"/>
      <c r="AP9" s="13"/>
      <c r="AQ9" s="13"/>
      <c r="AR9" s="14"/>
      <c r="AS9" s="15"/>
    </row>
    <row r="10" spans="1:45" s="17" customFormat="1" ht="30.95" hidden="1" customHeight="1" x14ac:dyDescent="0.2">
      <c r="A10" s="37"/>
      <c r="B10" s="38"/>
      <c r="C10" s="45"/>
      <c r="D10" s="31"/>
      <c r="E10" s="31"/>
      <c r="F10" s="268" t="str">
        <f>IF(D10="","",VLOOKUP(D10,契約台帳!$A$3:$K$4986,6,FALSE)&amp;VLOOKUP(D10,契約台帳!$A$3:$K$4986,7,FALSE)&amp;VLOOKUP(D10,契約台帳!$A$3:$K$4986,8,FALSE)&amp;VLOOKUP(D10,契約台帳!$A$3:$K$4986,9,FALSE)&amp;VLOOKUP(D10,契約台帳!$A$3:$K$4986,11,FALSE))</f>
        <v/>
      </c>
      <c r="G10" s="269" t="str">
        <f>IF(D10="","",VLOOKUP(F10,製品マスタ!$G$5:$H$5002,2,FALSE))</f>
        <v/>
      </c>
      <c r="H10" s="269" t="str">
        <f>IF(D10="","",VLOOKUP(F10,製品マスタ!$G$5:$K$5002,5,FALSE))</f>
        <v/>
      </c>
      <c r="I10" s="270" t="str">
        <f>IF(D10="","",VLOOKUP(F10,製品マスタ!$G$5:$L$5002,6,FALSE))</f>
        <v/>
      </c>
      <c r="J10" s="210"/>
      <c r="K10" s="270" t="str">
        <f>IF(D10="","",VLOOKUP(D10,契約台帳!$A$3:$L$4986,12,FALSE))</f>
        <v/>
      </c>
      <c r="L10" s="270" t="str">
        <f>IF(D10="","",INDEX(製品マスタ!$Q$5:$Q$5002,MATCH('S4'!F10&amp;'S4'!K10,製品マスタ!$AO$5:$AO$5002,0)))</f>
        <v/>
      </c>
      <c r="M10" s="39"/>
      <c r="N10" s="39"/>
      <c r="O10" s="156"/>
      <c r="P10" s="47"/>
      <c r="Q10" s="57"/>
      <c r="R10" s="271" t="str">
        <f ca="1">IF(D10="","",IF(OFFSET(D10,-1,0)&lt;&gt;"","",IF(OR(J10="リード付け",J10="巻足し",J10="巻返しリード付け"),M10,VLOOKUP(D10,契約台帳!$A$3:$N$4986,14,FALSE))))</f>
        <v/>
      </c>
      <c r="S10" s="272" t="str">
        <f ca="1">IF(D10="","",IF(OFFSET(D10,-1,0)&lt;&gt;"","",IF(OR(J10="リード付け",J10="巻足し",J10="巻返しリード付け"),M10,VLOOKUP(D10,契約台帳!$A$3:$O$4986,15,FALSE))))</f>
        <v/>
      </c>
      <c r="T10" s="273" t="str">
        <f ca="1">IF(D10="","",IF(J10="リード付け",N10,IF(J10="巻返しリード付け",N10,IF(J10="巻足し",N10*P10+OFFSET(N10,1,0)*OFFSET(P10,1,0),VLOOKUP(D10,契約台帳!$A$3:$P$4986,16,FALSE)))))</f>
        <v/>
      </c>
      <c r="U10" s="40"/>
      <c r="V10" s="274" t="str">
        <f ca="1">IF(D10="","",IF(OFFSET(D10,-2,0)=D10,"",VLOOKUP(D10,契約台帳!$A$3:$R$4986,18,FALSE)))</f>
        <v/>
      </c>
      <c r="W10" s="269" t="str">
        <f>IF(D10="","",IF(T10="","",IF(OR(J10="巻足し",J10="巻返しリード付け"),"",IF(J10="巻返し",VLOOKUP(F10&amp;K10&amp;M10,製品マスタ!$M$5:$AD$5002,18,FALSE),IF(OR(J10="リード付け",J10="巻返しリード付け"),"原反コア",IF(J10="スリット",VLOOKUP(F10&amp;K10&amp;R10,製品マスタ!$N$5:$AD$5002,17,FALSE),""))))))</f>
        <v/>
      </c>
      <c r="X10" s="269" t="str">
        <f>IF(D10="","",IF(T10="","",IF(J10="巻足し","",IF(J10="巻返し",VLOOKUP(F10&amp;K10&amp;M10,製品マスタ!$M$5:$AE$5002,19,FALSE),IF(OR(J10="リード付け",J10="巻返しリード付け"),"",IF(J10="スリット",VLOOKUP(F10&amp;K10&amp;R10,製品マスタ!$N$5:$AE$5002,18,FALSE),""))))))</f>
        <v/>
      </c>
      <c r="Y10" s="275" t="str">
        <f>IF(D10="","",IF(T10="","",VLOOKUP(D10,契約台帳!$A$3:$Q$4986,17,FALSE)))</f>
        <v/>
      </c>
      <c r="Z10" s="269" t="str">
        <f>IF(D10="","",IF(T10="","",VLOOKUP(D10,契約台帳!$A$3:$E$4986,5,FALSE)))</f>
        <v/>
      </c>
      <c r="AA10" s="57"/>
      <c r="AB10" s="207" t="str">
        <f>IFERROR((VLOOKUP(F10&amp;K10&amp;M10,製品マスタ!$M$5:$AM$5002,27,FALSE)),"")</f>
        <v/>
      </c>
      <c r="AC10" s="33"/>
      <c r="AD10" s="189"/>
      <c r="AE10" s="54"/>
      <c r="AF10" s="55"/>
      <c r="AG10" s="43"/>
      <c r="AH10" s="47"/>
      <c r="AI10" s="30"/>
      <c r="AJ10" s="30"/>
      <c r="AK10" s="30"/>
      <c r="AL10" s="30"/>
      <c r="AM10" s="13"/>
      <c r="AN10" s="13"/>
      <c r="AO10" s="13"/>
      <c r="AP10" s="13"/>
      <c r="AQ10" s="13"/>
      <c r="AR10" s="14"/>
      <c r="AS10" s="15"/>
    </row>
    <row r="11" spans="1:45" s="17" customFormat="1" ht="30.95" hidden="1" customHeight="1" x14ac:dyDescent="0.2">
      <c r="A11" s="37" t="s">
        <v>743</v>
      </c>
      <c r="B11" s="38" t="s">
        <v>738</v>
      </c>
      <c r="C11" s="45"/>
      <c r="D11" s="31"/>
      <c r="E11" s="31"/>
      <c r="F11" s="268" t="str">
        <f>IF(D11="","",VLOOKUP(D11,契約台帳!$A$3:$K$4986,6,FALSE)&amp;VLOOKUP(D11,契約台帳!$A$3:$K$4986,7,FALSE)&amp;VLOOKUP(D11,契約台帳!$A$3:$K$4986,8,FALSE)&amp;VLOOKUP(D11,契約台帳!$A$3:$K$4986,9,FALSE)&amp;VLOOKUP(D11,契約台帳!$A$3:$K$4986,11,FALSE))</f>
        <v/>
      </c>
      <c r="G11" s="269" t="str">
        <f>IF(D11="","",VLOOKUP(F11,製品マスタ!$G$5:$H$5002,2,FALSE))</f>
        <v/>
      </c>
      <c r="H11" s="269" t="str">
        <f>IF(D11="","",VLOOKUP(F11,製品マスタ!$G$5:$K$5002,5,FALSE))</f>
        <v/>
      </c>
      <c r="I11" s="270" t="str">
        <f>IF(D11="","",VLOOKUP(F11,製品マスタ!$G$5:$L$5002,6,FALSE))</f>
        <v/>
      </c>
      <c r="J11" s="210" t="s">
        <v>448</v>
      </c>
      <c r="K11" s="270" t="str">
        <f>IF(D11="","",VLOOKUP(D11,契約台帳!$A$3:$L$4986,12,FALSE))</f>
        <v/>
      </c>
      <c r="L11" s="270" t="str">
        <f>IF(D11="","",INDEX(製品マスタ!$Q$5:$Q$5002,MATCH('S4'!F11&amp;'S4'!K11,製品マスタ!$AO$5:$AO$5002,0)))</f>
        <v/>
      </c>
      <c r="M11" s="39"/>
      <c r="N11" s="39"/>
      <c r="O11" s="156"/>
      <c r="P11" s="47"/>
      <c r="Q11" s="57"/>
      <c r="R11" s="271" t="str">
        <f ca="1">IF(D11="","",IF(OFFSET(D11,-1,0)&lt;&gt;"","",IF(OR(J11="リード付け",J11="巻足し",J11="巻返しリード付け"),M11,VLOOKUP(D11,契約台帳!$A$3:$N$4986,14,FALSE))))</f>
        <v/>
      </c>
      <c r="S11" s="272" t="str">
        <f ca="1">IF(D11="","",IF(OFFSET(D11,-1,0)&lt;&gt;"","",IF(OR(J11="リード付け",J11="巻足し",J11="巻返しリード付け"),M11,VLOOKUP(D11,契約台帳!$A$3:$O$4986,15,FALSE))))</f>
        <v/>
      </c>
      <c r="T11" s="273" t="str">
        <f ca="1">IF(D11="","",IF(J11="リード付け",N11,IF(J11="巻返しリード付け",N11,IF(J11="巻足し",N11*P11+OFFSET(N11,1,0)*OFFSET(P11,1,0),VLOOKUP(D11,契約台帳!$A$3:$P$4986,16,FALSE)))))</f>
        <v/>
      </c>
      <c r="U11" s="40"/>
      <c r="V11" s="274" t="str">
        <f ca="1">IF(D11="","",IF(OFFSET(D11,-2,0)=D11,"",VLOOKUP(D11,契約台帳!$A$3:$R$4986,18,FALSE)))</f>
        <v/>
      </c>
      <c r="W11" s="269" t="str">
        <f>IF(D11="","",IF(T11="","",IF(OR(J11="巻足し",J11="巻返しリード付け"),"",IF(J11="巻返し",VLOOKUP(F11&amp;K11&amp;M11,製品マスタ!$M$5:$AD$5002,18,FALSE),IF(OR(J11="リード付け",J11="巻返しリード付け"),"原反コア",IF(J11="スリット",VLOOKUP(F11&amp;K11&amp;R11,製品マスタ!$N$5:$AD$5002,17,FALSE),""))))))</f>
        <v/>
      </c>
      <c r="X11" s="269" t="str">
        <f>IF(D11="","",IF(T11="","",IF(J11="巻足し","",IF(J11="巻返し",VLOOKUP(F11&amp;K11&amp;M11,製品マスタ!$M$5:$AE$5002,19,FALSE),IF(OR(J11="リード付け",J11="巻返しリード付け"),"",IF(J11="スリット",VLOOKUP(F11&amp;K11&amp;R11,製品マスタ!$N$5:$AE$5002,18,FALSE),""))))))</f>
        <v/>
      </c>
      <c r="Y11" s="275" t="str">
        <f>IF(D11="","",IF(T11="","",VLOOKUP(D11,契約台帳!$A$3:$Q$4986,17,FALSE)))</f>
        <v/>
      </c>
      <c r="Z11" s="269" t="str">
        <f>IF(D11="","",IF(T11="","",VLOOKUP(D11,契約台帳!$A$3:$E$4986,5,FALSE)))</f>
        <v/>
      </c>
      <c r="AA11" s="57"/>
      <c r="AB11" s="207" t="str">
        <f>IFERROR((VLOOKUP(F11&amp;K11&amp;M11,製品マスタ!$M$5:$AM$5002,27,FALSE)),"")</f>
        <v/>
      </c>
      <c r="AC11" s="33"/>
      <c r="AD11" s="189"/>
      <c r="AE11" s="54"/>
      <c r="AF11" s="55"/>
      <c r="AG11" s="43"/>
      <c r="AH11" s="47"/>
      <c r="AI11" s="30"/>
      <c r="AJ11" s="30"/>
      <c r="AK11" s="30"/>
      <c r="AL11" s="30"/>
      <c r="AM11" s="13"/>
      <c r="AN11" s="13"/>
      <c r="AO11" s="13"/>
      <c r="AP11" s="13"/>
      <c r="AQ11" s="13"/>
      <c r="AR11" s="14"/>
      <c r="AS11" s="15"/>
    </row>
    <row r="12" spans="1:45" s="17" customFormat="1" ht="30.95" hidden="1" customHeight="1" x14ac:dyDescent="0.2">
      <c r="A12" s="37"/>
      <c r="B12" s="38"/>
      <c r="C12" s="45"/>
      <c r="D12" s="31"/>
      <c r="E12" s="31"/>
      <c r="F12" s="268" t="str">
        <f>IF(D12="","",VLOOKUP(D12,契約台帳!$A$3:$K$4986,6,FALSE)&amp;VLOOKUP(D12,契約台帳!$A$3:$K$4986,7,FALSE)&amp;VLOOKUP(D12,契約台帳!$A$3:$K$4986,8,FALSE)&amp;VLOOKUP(D12,契約台帳!$A$3:$K$4986,9,FALSE)&amp;VLOOKUP(D12,契約台帳!$A$3:$K$4986,11,FALSE))</f>
        <v/>
      </c>
      <c r="G12" s="269" t="str">
        <f>IF(D12="","",VLOOKUP(F12,製品マスタ!$G$5:$H$5002,2,FALSE))</f>
        <v/>
      </c>
      <c r="H12" s="269" t="str">
        <f>IF(D12="","",VLOOKUP(F12,製品マスタ!$G$5:$K$5002,5,FALSE))</f>
        <v/>
      </c>
      <c r="I12" s="270" t="str">
        <f>IF(D12="","",VLOOKUP(F12,製品マスタ!$G$5:$L$5002,6,FALSE))</f>
        <v/>
      </c>
      <c r="J12" s="210"/>
      <c r="K12" s="270" t="str">
        <f>IF(D12="","",VLOOKUP(D12,契約台帳!$A$3:$L$4986,12,FALSE))</f>
        <v/>
      </c>
      <c r="L12" s="270" t="str">
        <f>IF(D12="","",INDEX(製品マスタ!$Q$5:$Q$5002,MATCH('S4'!F12&amp;'S4'!K12,製品マスタ!$AO$5:$AO$5002,0)))</f>
        <v/>
      </c>
      <c r="M12" s="39"/>
      <c r="N12" s="39"/>
      <c r="O12" s="156"/>
      <c r="P12" s="47"/>
      <c r="Q12" s="57"/>
      <c r="R12" s="271" t="str">
        <f ca="1">IF(D12="","",IF(OFFSET(D12,-1,0)&lt;&gt;"","",IF(OR(J12="リード付け",J12="巻足し",J12="巻返しリード付け"),M12,VLOOKUP(D12,契約台帳!$A$3:$N$4986,14,FALSE))))</f>
        <v/>
      </c>
      <c r="S12" s="272" t="str">
        <f ca="1">IF(D12="","",IF(OFFSET(D12,-1,0)&lt;&gt;"","",IF(OR(J12="リード付け",J12="巻足し",J12="巻返しリード付け"),M12,VLOOKUP(D12,契約台帳!$A$3:$O$4986,15,FALSE))))</f>
        <v/>
      </c>
      <c r="T12" s="273" t="str">
        <f ca="1">IF(D12="","",IF(J12="リード付け",N12,IF(J12="巻返しリード付け",N12,IF(J12="巻足し",N12*P12+OFFSET(N12,1,0)*OFFSET(P12,1,0),VLOOKUP(D12,契約台帳!$A$3:$P$4986,16,FALSE)))))</f>
        <v/>
      </c>
      <c r="U12" s="40"/>
      <c r="V12" s="274" t="str">
        <f ca="1">IF(D12="","",IF(OFFSET(D12,-2,0)=D12,"",VLOOKUP(D12,契約台帳!$A$3:$R$4986,18,FALSE)))</f>
        <v/>
      </c>
      <c r="W12" s="269" t="str">
        <f>IF(D12="","",IF(T12="","",IF(OR(J12="巻足し",J12="巻返しリード付け"),"",IF(J12="巻返し",VLOOKUP(F12&amp;K12&amp;M12,製品マスタ!$M$5:$AD$5002,18,FALSE),IF(OR(J12="リード付け",J12="巻返しリード付け"),"原反コア",IF(J12="スリット",VLOOKUP(F12&amp;K12&amp;R12,製品マスタ!$N$5:$AD$5002,17,FALSE),""))))))</f>
        <v/>
      </c>
      <c r="X12" s="269" t="str">
        <f>IF(D12="","",IF(T12="","",IF(J12="巻足し","",IF(J12="巻返し",VLOOKUP(F12&amp;K12&amp;M12,製品マスタ!$M$5:$AE$5002,19,FALSE),IF(OR(J12="リード付け",J12="巻返しリード付け"),"",IF(J12="スリット",VLOOKUP(F12&amp;K12&amp;R12,製品マスタ!$N$5:$AE$5002,18,FALSE),""))))))</f>
        <v/>
      </c>
      <c r="Y12" s="275" t="str">
        <f>IF(D12="","",IF(T12="","",VLOOKUP(D12,契約台帳!$A$3:$Q$4986,17,FALSE)))</f>
        <v/>
      </c>
      <c r="Z12" s="269" t="str">
        <f>IF(D12="","",IF(T12="","",VLOOKUP(D12,契約台帳!$A$3:$E$4986,5,FALSE)))</f>
        <v/>
      </c>
      <c r="AA12" s="57"/>
      <c r="AB12" s="207" t="str">
        <f>IFERROR((VLOOKUP(F12&amp;K12&amp;M12,製品マスタ!$M$5:$AM$5002,27,FALSE)),"")</f>
        <v/>
      </c>
      <c r="AC12" s="33"/>
      <c r="AD12" s="189"/>
      <c r="AE12" s="54"/>
      <c r="AF12" s="55"/>
      <c r="AG12" s="43"/>
      <c r="AH12" s="47"/>
      <c r="AI12" s="30"/>
      <c r="AJ12" s="30"/>
      <c r="AK12" s="30"/>
      <c r="AL12" s="30"/>
      <c r="AM12" s="13"/>
      <c r="AN12" s="13"/>
      <c r="AO12" s="13"/>
      <c r="AP12" s="13"/>
      <c r="AQ12" s="13"/>
      <c r="AR12" s="14"/>
      <c r="AS12" s="15"/>
    </row>
    <row r="13" spans="1:45" s="17" customFormat="1" ht="30.95" hidden="1" customHeight="1" x14ac:dyDescent="0.2">
      <c r="A13" s="37" t="s">
        <v>744</v>
      </c>
      <c r="B13" s="38" t="s">
        <v>745</v>
      </c>
      <c r="C13" s="45"/>
      <c r="D13" s="31"/>
      <c r="E13" s="31"/>
      <c r="F13" s="268" t="str">
        <f>IF(D13="","",VLOOKUP(D13,契約台帳!$A$3:$K$4986,6,FALSE)&amp;VLOOKUP(D13,契約台帳!$A$3:$K$4986,7,FALSE)&amp;VLOOKUP(D13,契約台帳!$A$3:$K$4986,8,FALSE)&amp;VLOOKUP(D13,契約台帳!$A$3:$K$4986,9,FALSE)&amp;VLOOKUP(D13,契約台帳!$A$3:$K$4986,11,FALSE))</f>
        <v/>
      </c>
      <c r="G13" s="269" t="str">
        <f>IF(D13="","",VLOOKUP(F13,製品マスタ!$G$5:$H$5002,2,FALSE))</f>
        <v/>
      </c>
      <c r="H13" s="269" t="str">
        <f>IF(D13="","",VLOOKUP(F13,製品マスタ!$G$5:$K$5002,5,FALSE))</f>
        <v/>
      </c>
      <c r="I13" s="270" t="str">
        <f>IF(D13="","",VLOOKUP(F13,製品マスタ!$G$5:$L$5002,6,FALSE))</f>
        <v/>
      </c>
      <c r="J13" s="210" t="s">
        <v>751</v>
      </c>
      <c r="K13" s="270" t="str">
        <f>IF(D13="","",VLOOKUP(D13,契約台帳!$A$3:$L$4986,12,FALSE))</f>
        <v/>
      </c>
      <c r="L13" s="270" t="str">
        <f>IF(D13="","",INDEX(製品マスタ!$Q$5:$Q$5002,MATCH('S4'!F13&amp;'S4'!K13,製品マスタ!$AO$5:$AO$5002,0)))</f>
        <v/>
      </c>
      <c r="M13" s="39"/>
      <c r="N13" s="39"/>
      <c r="O13" s="156"/>
      <c r="P13" s="47"/>
      <c r="Q13" s="57"/>
      <c r="R13" s="271" t="str">
        <f ca="1">IF(D13="","",IF(OFFSET(D13,-1,0)&lt;&gt;"","",IF(OR(J13="リード付け",J13="巻足し",J13="巻返しリード付け"),M13,VLOOKUP(D13,契約台帳!$A$3:$N$4986,14,FALSE))))</f>
        <v/>
      </c>
      <c r="S13" s="272" t="str">
        <f ca="1">IF(D13="","",IF(OFFSET(D13,-1,0)&lt;&gt;"","",IF(OR(J13="リード付け",J13="巻足し",J13="巻返しリード付け"),M13,VLOOKUP(D13,契約台帳!$A$3:$O$4986,15,FALSE))))</f>
        <v/>
      </c>
      <c r="T13" s="273" t="str">
        <f ca="1">IF(D13="","",IF(J13="リード付け",N13,IF(J13="巻返しリード付け",N13,IF(J13="巻足し",N13*P13+OFFSET(N13,1,0)*OFFSET(P13,1,0),VLOOKUP(D13,契約台帳!$A$3:$P$4986,16,FALSE)))))</f>
        <v/>
      </c>
      <c r="U13" s="40"/>
      <c r="V13" s="274" t="str">
        <f ca="1">IF(D13="","",IF(OFFSET(D13,-2,0)=D13,"",VLOOKUP(D13,契約台帳!$A$3:$R$4986,18,FALSE)))</f>
        <v/>
      </c>
      <c r="W13" s="269" t="str">
        <f>IF(D13="","",IF(T13="","",IF(OR(J13="巻足し",J13="巻返しリード付け"),"",IF(J13="巻返し",VLOOKUP(F13&amp;K13&amp;M13,製品マスタ!$M$5:$AD$5002,18,FALSE),IF(OR(J13="リード付け",J13="巻返しリード付け"),"原反コア",IF(J13="スリット",VLOOKUP(F13&amp;K13&amp;R13,製品マスタ!$N$5:$AD$5002,17,FALSE),""))))))</f>
        <v/>
      </c>
      <c r="X13" s="269" t="str">
        <f>IF(D13="","",IF(T13="","",IF(J13="巻足し","",IF(J13="巻返し",VLOOKUP(F13&amp;K13&amp;M13,製品マスタ!$M$5:$AE$5002,19,FALSE),IF(OR(J13="リード付け",J13="巻返しリード付け"),"",IF(J13="スリット",VLOOKUP(F13&amp;K13&amp;R13,製品マスタ!$N$5:$AE$5002,18,FALSE),""))))))</f>
        <v/>
      </c>
      <c r="Y13" s="275" t="str">
        <f>IF(D13="","",IF(T13="","",VLOOKUP(D13,契約台帳!$A$3:$Q$4986,17,FALSE)))</f>
        <v/>
      </c>
      <c r="Z13" s="269" t="str">
        <f>IF(D13="","",IF(T13="","",VLOOKUP(D13,契約台帳!$A$3:$E$4986,5,FALSE)))</f>
        <v/>
      </c>
      <c r="AA13" s="57"/>
      <c r="AB13" s="207" t="str">
        <f>IFERROR((VLOOKUP(F13&amp;K13&amp;M13,製品マスタ!$M$5:$AM$5002,27,FALSE)),"")</f>
        <v/>
      </c>
      <c r="AC13" s="33"/>
      <c r="AD13" s="189"/>
      <c r="AE13" s="54"/>
      <c r="AF13" s="55"/>
      <c r="AG13" s="43"/>
      <c r="AH13" s="47"/>
      <c r="AI13" s="30"/>
      <c r="AJ13" s="30"/>
      <c r="AK13" s="30"/>
      <c r="AL13" s="30"/>
      <c r="AM13" s="13"/>
      <c r="AN13" s="13"/>
      <c r="AO13" s="13"/>
      <c r="AP13" s="13"/>
      <c r="AQ13" s="13"/>
      <c r="AR13" s="14"/>
      <c r="AS13" s="15"/>
    </row>
    <row r="14" spans="1:45" s="17" customFormat="1" ht="30.95" hidden="1" customHeight="1" x14ac:dyDescent="0.2">
      <c r="A14" s="37"/>
      <c r="B14" s="38"/>
      <c r="C14" s="45"/>
      <c r="D14" s="31"/>
      <c r="E14" s="31"/>
      <c r="F14" s="268" t="str">
        <f>IF(D14="","",VLOOKUP(D14,契約台帳!$A$3:$K$4986,6,FALSE)&amp;VLOOKUP(D14,契約台帳!$A$3:$K$4986,7,FALSE)&amp;VLOOKUP(D14,契約台帳!$A$3:$K$4986,8,FALSE)&amp;VLOOKUP(D14,契約台帳!$A$3:$K$4986,9,FALSE)&amp;VLOOKUP(D14,契約台帳!$A$3:$K$4986,11,FALSE))</f>
        <v/>
      </c>
      <c r="G14" s="269" t="str">
        <f>IF(D14="","",VLOOKUP(F14,製品マスタ!$G$5:$H$5002,2,FALSE))</f>
        <v/>
      </c>
      <c r="H14" s="269" t="str">
        <f>IF(D14="","",VLOOKUP(F14,製品マスタ!$G$5:$K$5002,5,FALSE))</f>
        <v/>
      </c>
      <c r="I14" s="270" t="str">
        <f>IF(D14="","",VLOOKUP(F14,製品マスタ!$G$5:$L$5002,6,FALSE))</f>
        <v/>
      </c>
      <c r="J14" s="210"/>
      <c r="K14" s="270" t="str">
        <f>IF(D14="","",VLOOKUP(D14,契約台帳!$A$3:$L$4986,12,FALSE))</f>
        <v/>
      </c>
      <c r="L14" s="270" t="str">
        <f>IF(D14="","",INDEX(製品マスタ!$Q$5:$Q$5002,MATCH('S4'!F14&amp;'S4'!K14,製品マスタ!$AO$5:$AO$5002,0)))</f>
        <v/>
      </c>
      <c r="M14" s="39"/>
      <c r="N14" s="39"/>
      <c r="O14" s="156"/>
      <c r="P14" s="47"/>
      <c r="Q14" s="57"/>
      <c r="R14" s="271" t="str">
        <f ca="1">IF(D14="","",IF(OFFSET(D14,-1,0)&lt;&gt;"","",IF(OR(J14="リード付け",J14="巻足し",J14="巻返しリード付け"),M14,VLOOKUP(D14,契約台帳!$A$3:$N$4986,14,FALSE))))</f>
        <v/>
      </c>
      <c r="S14" s="272" t="str">
        <f ca="1">IF(D14="","",IF(OFFSET(D14,-1,0)&lt;&gt;"","",IF(OR(J14="リード付け",J14="巻足し",J14="巻返しリード付け"),M14,VLOOKUP(D14,契約台帳!$A$3:$O$4986,15,FALSE))))</f>
        <v/>
      </c>
      <c r="T14" s="273" t="str">
        <f ca="1">IF(D14="","",IF(J14="リード付け",N14,IF(J14="巻返しリード付け",N14,IF(J14="巻足し",N14*P14+OFFSET(N14,1,0)*OFFSET(P14,1,0),VLOOKUP(D14,契約台帳!$A$3:$P$4986,16,FALSE)))))</f>
        <v/>
      </c>
      <c r="U14" s="40"/>
      <c r="V14" s="274" t="str">
        <f ca="1">IF(D14="","",IF(OFFSET(D14,-2,0)=D14,"",VLOOKUP(D14,契約台帳!$A$3:$R$4986,18,FALSE)))</f>
        <v/>
      </c>
      <c r="W14" s="269" t="str">
        <f>IF(D14="","",IF(T14="","",IF(OR(J14="巻足し",J14="巻返しリード付け"),"",IF(J14="巻返し",VLOOKUP(F14&amp;K14&amp;M14,製品マスタ!$M$5:$AD$5002,18,FALSE),IF(OR(J14="リード付け",J14="巻返しリード付け"),"原反コア",IF(J14="スリット",VLOOKUP(F14&amp;K14&amp;R14,製品マスタ!$N$5:$AD$5002,17,FALSE),""))))))</f>
        <v/>
      </c>
      <c r="X14" s="269" t="str">
        <f>IF(D14="","",IF(T14="","",IF(J14="巻足し","",IF(J14="巻返し",VLOOKUP(F14&amp;K14&amp;M14,製品マスタ!$M$5:$AE$5002,19,FALSE),IF(OR(J14="リード付け",J14="巻返しリード付け"),"",IF(J14="スリット",VLOOKUP(F14&amp;K14&amp;R14,製品マスタ!$N$5:$AE$5002,18,FALSE),""))))))</f>
        <v/>
      </c>
      <c r="Y14" s="275" t="str">
        <f>IF(D14="","",IF(T14="","",VLOOKUP(D14,契約台帳!$A$3:$Q$4986,17,FALSE)))</f>
        <v/>
      </c>
      <c r="Z14" s="269" t="str">
        <f>IF(D14="","",IF(T14="","",VLOOKUP(D14,契約台帳!$A$3:$E$4986,5,FALSE)))</f>
        <v/>
      </c>
      <c r="AA14" s="57"/>
      <c r="AB14" s="207" t="str">
        <f>IFERROR((VLOOKUP(F14&amp;K14&amp;M14,製品マスタ!$M$5:$AM$5002,27,FALSE)),"")</f>
        <v/>
      </c>
      <c r="AC14" s="33"/>
      <c r="AD14" s="189"/>
      <c r="AE14" s="54"/>
      <c r="AF14" s="55"/>
      <c r="AG14" s="43"/>
      <c r="AH14" s="47"/>
      <c r="AI14" s="30"/>
      <c r="AJ14" s="30"/>
      <c r="AK14" s="30"/>
      <c r="AL14" s="30"/>
      <c r="AM14" s="13"/>
      <c r="AN14" s="13"/>
      <c r="AO14" s="13"/>
      <c r="AP14" s="13"/>
      <c r="AQ14" s="13"/>
      <c r="AR14" s="14"/>
      <c r="AS14" s="15"/>
    </row>
    <row r="15" spans="1:45" s="17" customFormat="1" ht="30.95" hidden="1" customHeight="1" x14ac:dyDescent="0.2">
      <c r="A15" s="37" t="s">
        <v>752</v>
      </c>
      <c r="B15" s="38"/>
      <c r="C15" s="45"/>
      <c r="D15" s="31">
        <v>3694098</v>
      </c>
      <c r="E15" s="279">
        <v>4161761</v>
      </c>
      <c r="F15" s="268" t="str">
        <f>IF(D15="","",VLOOKUP(D15,契約台帳!$A$3:$K$4986,6,FALSE)&amp;VLOOKUP(D15,契約台帳!$A$3:$K$4986,7,FALSE)&amp;VLOOKUP(D15,契約台帳!$A$3:$K$4986,8,FALSE)&amp;VLOOKUP(D15,契約台帳!$A$3:$K$4986,9,FALSE)&amp;VLOOKUP(D15,契約台帳!$A$3:$K$4986,11,FALSE))</f>
        <v>3HSNMCLBEYK</v>
      </c>
      <c r="G15" s="269" t="str">
        <f>IF(D15="","",VLOOKUP(F15,製品マスタ!$G$5:$H$5002,2,FALSE))</f>
        <v>S</v>
      </c>
      <c r="H15" s="269" t="str">
        <f>IF(D15="","",VLOOKUP(F15,製品マスタ!$G$5:$K$5002,5,FALSE))</f>
        <v>EYK</v>
      </c>
      <c r="I15" s="270" t="str">
        <f>IF(D15="","",VLOOKUP(F15,製品マスタ!$G$5:$L$5002,6,FALSE))</f>
        <v>メタルミー　ＥＹＫ</v>
      </c>
      <c r="J15" s="210" t="s">
        <v>736</v>
      </c>
      <c r="K15" s="270">
        <f>IF(D15="","",VLOOKUP(D15,契約台帳!$A$3:$L$4986,12,FALSE))</f>
        <v>50</v>
      </c>
      <c r="L15" s="270" t="str">
        <f>IF(D15="","",INDEX(製品マスタ!$Q$5:$Q$5002,MATCH('S4'!F15&amp;'S4'!K15,製品マスタ!$AO$5:$AO$5002,0)))</f>
        <v>T62M</v>
      </c>
      <c r="M15" s="39">
        <v>1195</v>
      </c>
      <c r="N15" s="39">
        <v>6100</v>
      </c>
      <c r="O15" s="156">
        <v>8</v>
      </c>
      <c r="P15" s="47">
        <v>2</v>
      </c>
      <c r="Q15" s="213">
        <v>44921</v>
      </c>
      <c r="R15" s="271">
        <f ca="1">IF(D15="","",IF(OFFSET(D15,-1,0)&lt;&gt;"","",IF(OR(J15="リード付け",J15="巻足し",J15="巻返しリード付け"),M15,VLOOKUP(D15,契約台帳!$A$3:$N$4986,14,FALSE))))</f>
        <v>1195</v>
      </c>
      <c r="S15" s="272">
        <f ca="1">IF(D15="","",IF(OFFSET(D15,-1,0)&lt;&gt;"","",IF(OR(J15="リード付け",J15="巻足し",J15="巻返しリード付け"),M15,VLOOKUP(D15,契約台帳!$A$3:$O$4986,15,FALSE))))</f>
        <v>1195</v>
      </c>
      <c r="T15" s="273">
        <f ca="1">IF(D15="","",IF(J15="リード付け",N15,IF(J15="巻返しリード付け",N15,IF(J15="巻足し",N15*P15+OFFSET(N15,1,0)*OFFSET(P15,1,0),VLOOKUP(D15,契約台帳!$A$3:$P$4986,16,FALSE)))))</f>
        <v>12200</v>
      </c>
      <c r="U15" s="40">
        <v>4</v>
      </c>
      <c r="V15" s="274">
        <f ca="1">IF(D15="","",IF(OFFSET(D15,-2,0)=D15,"",VLOOKUP(D15,契約台帳!$A$3:$R$4986,18,FALSE)))</f>
        <v>8</v>
      </c>
      <c r="W15" s="269" t="str">
        <f ca="1">IF(D15="","",IF(T15="","",IF(OR(J15="巻足し",J15="巻返しリード付け"),"",IF(J15="巻返し",VLOOKUP(F15&amp;K15&amp;M15,製品マスタ!$M$5:$AD$5002,18,FALSE),IF(OR(J15="リード付け",J15="巻返しリード付け"),"原反コア",IF(J15="スリット",VLOOKUP(F15&amp;K15&amp;R15,製品マスタ!$N$5:$AD$5002,17,FALSE),""))))))</f>
        <v/>
      </c>
      <c r="X15" s="269" t="str">
        <f ca="1">IF(D15="","",IF(T15="","",IF(J15="巻足し","",IF(J15="巻返し",VLOOKUP(F15&amp;K15&amp;M15,製品マスタ!$M$5:$AE$5002,19,FALSE),IF(OR(J15="リード付け",J15="巻返しリード付け"),"",IF(J15="スリット",VLOOKUP(F15&amp;K15&amp;R15,製品マスタ!$N$5:$AE$5002,18,FALSE),""))))))</f>
        <v/>
      </c>
      <c r="Y15" s="275">
        <f ca="1">IF(D15="","",IF(T15="","",VLOOKUP(D15,契約台帳!$A$3:$Q$4986,17,FALSE)))</f>
        <v>2</v>
      </c>
      <c r="Z15" s="269" t="str">
        <f ca="1">IF(D15="","",IF(T15="","",VLOOKUP(D15,契約台帳!$A$3:$E$4986,5,FALSE)))</f>
        <v>大阪シーリング印刷㈱</v>
      </c>
      <c r="AA15" s="57"/>
      <c r="AB15" s="207" t="str">
        <f>IFERROR((VLOOKUP(F15&amp;K15&amp;M15,製品マスタ!$M$5:$AM$5002,27,FALSE)),"")</f>
        <v>原反ケース再利用</v>
      </c>
      <c r="AC15" s="33"/>
      <c r="AD15" s="189"/>
      <c r="AE15" s="54"/>
      <c r="AF15" s="55"/>
      <c r="AG15" s="43"/>
      <c r="AH15" s="47"/>
      <c r="AI15" s="30"/>
      <c r="AJ15" s="30"/>
      <c r="AK15" s="30"/>
      <c r="AL15" s="30"/>
      <c r="AM15" s="13"/>
      <c r="AN15" s="13"/>
      <c r="AO15" s="13"/>
      <c r="AP15" s="13"/>
      <c r="AQ15" s="13"/>
      <c r="AR15" s="14"/>
      <c r="AS15" s="15"/>
    </row>
    <row r="16" spans="1:45" s="17" customFormat="1" ht="30.95" hidden="1" customHeight="1" x14ac:dyDescent="0.2">
      <c r="A16" s="37"/>
      <c r="B16" s="38"/>
      <c r="C16" s="45"/>
      <c r="D16" s="31"/>
      <c r="E16" s="279"/>
      <c r="F16" s="268" t="str">
        <f>IF(D16="","",VLOOKUP(D16,契約台帳!$A$3:$K$4986,6,FALSE)&amp;VLOOKUP(D16,契約台帳!$A$3:$K$4986,7,FALSE)&amp;VLOOKUP(D16,契約台帳!$A$3:$K$4986,8,FALSE)&amp;VLOOKUP(D16,契約台帳!$A$3:$K$4986,9,FALSE)&amp;VLOOKUP(D16,契約台帳!$A$3:$K$4986,11,FALSE))</f>
        <v/>
      </c>
      <c r="G16" s="269" t="str">
        <f>IF(D16="","",VLOOKUP(F16,製品マスタ!$G$5:$H$5002,2,FALSE))</f>
        <v/>
      </c>
      <c r="H16" s="269" t="str">
        <f>IF(D16="","",VLOOKUP(F16,製品マスタ!$G$5:$K$5002,5,FALSE))</f>
        <v/>
      </c>
      <c r="I16" s="270" t="str">
        <f>IF(D16="","",VLOOKUP(F16,製品マスタ!$G$5:$L$5002,6,FALSE))</f>
        <v/>
      </c>
      <c r="J16" s="210"/>
      <c r="K16" s="270" t="str">
        <f>IF(D16="","",VLOOKUP(D16,契約台帳!$A$3:$L$4986,12,FALSE))</f>
        <v/>
      </c>
      <c r="L16" s="270" t="str">
        <f>IF(D16="","",INDEX(製品マスタ!$Q$5:$Q$5002,MATCH('S4'!F16&amp;'S4'!K16,製品マスタ!$AO$5:$AO$5002,0)))</f>
        <v/>
      </c>
      <c r="M16" s="39"/>
      <c r="N16" s="39"/>
      <c r="O16" s="156"/>
      <c r="P16" s="47"/>
      <c r="Q16" s="57"/>
      <c r="R16" s="271" t="str">
        <f ca="1">IF(D16="","",IF(OFFSET(D16,-1,0)&lt;&gt;"","",IF(OR(J16="リード付け",J16="巻足し",J16="巻返しリード付け"),M16,VLOOKUP(D16,契約台帳!$A$3:$N$4986,14,FALSE))))</f>
        <v/>
      </c>
      <c r="S16" s="272" t="str">
        <f ca="1">IF(D16="","",IF(OFFSET(D16,-1,0)&lt;&gt;"","",IF(OR(J16="リード付け",J16="巻足し",J16="巻返しリード付け"),M16,VLOOKUP(D16,契約台帳!$A$3:$O$4986,15,FALSE))))</f>
        <v/>
      </c>
      <c r="T16" s="273" t="str">
        <f ca="1">IF(D16="","",IF(J16="リード付け",N16,IF(J16="巻返しリード付け",N16,IF(J16="巻足し",N16*P16+OFFSET(N16,1,0)*OFFSET(P16,1,0),VLOOKUP(D16,契約台帳!$A$3:$P$4986,16,FALSE)))))</f>
        <v/>
      </c>
      <c r="U16" s="40"/>
      <c r="V16" s="274" t="str">
        <f ca="1">IF(D16="","",IF(OFFSET(D16,-2,0)=D16,"",VLOOKUP(D16,契約台帳!$A$3:$R$4986,18,FALSE)))</f>
        <v/>
      </c>
      <c r="W16" s="269" t="str">
        <f>IF(D16="","",IF(T16="","",IF(OR(J16="巻足し",J16="巻返しリード付け"),"",IF(J16="巻返し",VLOOKUP(F16&amp;K16&amp;M16,製品マスタ!$M$5:$AD$5002,18,FALSE),IF(OR(J16="リード付け",J16="巻返しリード付け"),"原反コア",IF(J16="スリット",VLOOKUP(F16&amp;K16&amp;R16,製品マスタ!$N$5:$AD$5002,17,FALSE),""))))))</f>
        <v/>
      </c>
      <c r="X16" s="269" t="str">
        <f>IF(D16="","",IF(T16="","",IF(J16="巻足し","",IF(J16="巻返し",VLOOKUP(F16&amp;K16&amp;M16,製品マスタ!$M$5:$AE$5002,19,FALSE),IF(OR(J16="リード付け",J16="巻返しリード付け"),"",IF(J16="スリット",VLOOKUP(F16&amp;K16&amp;R16,製品マスタ!$N$5:$AE$5002,18,FALSE),""))))))</f>
        <v/>
      </c>
      <c r="Y16" s="275" t="str">
        <f>IF(D16="","",IF(T16="","",VLOOKUP(D16,契約台帳!$A$3:$Q$4986,17,FALSE)))</f>
        <v/>
      </c>
      <c r="Z16" s="269" t="str">
        <f>IF(D16="","",IF(T16="","",VLOOKUP(D16,契約台帳!$A$3:$E$4986,5,FALSE)))</f>
        <v/>
      </c>
      <c r="AA16" s="57"/>
      <c r="AB16" s="207" t="str">
        <f>IFERROR((VLOOKUP(F16&amp;K16&amp;M16,製品マスタ!$M$5:$AM$5002,27,FALSE)),"")</f>
        <v/>
      </c>
      <c r="AC16" s="33"/>
      <c r="AD16" s="189"/>
      <c r="AE16" s="54"/>
      <c r="AF16" s="55"/>
      <c r="AG16" s="43"/>
      <c r="AH16" s="47"/>
      <c r="AI16" s="30"/>
      <c r="AJ16" s="30"/>
      <c r="AK16" s="30"/>
      <c r="AL16" s="30"/>
      <c r="AM16" s="13"/>
      <c r="AN16" s="13"/>
      <c r="AO16" s="13"/>
      <c r="AP16" s="13"/>
      <c r="AQ16" s="13"/>
      <c r="AR16" s="14"/>
      <c r="AS16" s="15"/>
    </row>
    <row r="17" spans="1:45" s="17" customFormat="1" ht="30.95" hidden="1" customHeight="1" x14ac:dyDescent="0.2">
      <c r="A17" s="37"/>
      <c r="B17" s="38"/>
      <c r="C17" s="45"/>
      <c r="D17" s="31">
        <v>3694113</v>
      </c>
      <c r="E17" s="279">
        <v>4161785</v>
      </c>
      <c r="F17" s="268" t="str">
        <f>IF(D17="","",VLOOKUP(D17,契約台帳!$A$3:$K$4986,6,FALSE)&amp;VLOOKUP(D17,契約台帳!$A$3:$K$4986,7,FALSE)&amp;VLOOKUP(D17,契約台帳!$A$3:$K$4986,8,FALSE)&amp;VLOOKUP(D17,契約台帳!$A$3:$K$4986,9,FALSE)&amp;VLOOKUP(D17,契約台帳!$A$3:$K$4986,11,FALSE))</f>
        <v>3SNMCLBNGTVB</v>
      </c>
      <c r="G17" s="269" t="str">
        <f>IF(D17="","",VLOOKUP(F17,製品マスタ!$G$5:$H$5002,2,FALSE))</f>
        <v>S</v>
      </c>
      <c r="H17" s="269" t="str">
        <f>IF(D17="","",VLOOKUP(F17,製品マスタ!$G$5:$K$5002,5,FALSE))</f>
        <v>NGTVB</v>
      </c>
      <c r="I17" s="270" t="str">
        <f>IF(D17="","",VLOOKUP(F17,製品マスタ!$G$5:$L$5002,6,FALSE))</f>
        <v>メタルミー　ネーマー　銀艶ＶＢ</v>
      </c>
      <c r="J17" s="210" t="s">
        <v>485</v>
      </c>
      <c r="K17" s="270">
        <f>IF(D17="","",VLOOKUP(D17,契約台帳!$A$3:$L$4986,12,FALSE))</f>
        <v>50</v>
      </c>
      <c r="L17" s="270" t="str">
        <f>IF(D17="","",INDEX(製品マスタ!$Q$5:$Q$5002,MATCH('S4'!F17&amp;'S4'!K17,製品マスタ!$AO$5:$AO$5002,0)))</f>
        <v>T62M</v>
      </c>
      <c r="M17" s="39">
        <v>1160</v>
      </c>
      <c r="N17" s="39">
        <v>6200</v>
      </c>
      <c r="O17" s="156">
        <v>1</v>
      </c>
      <c r="P17" s="47">
        <v>1</v>
      </c>
      <c r="Q17" s="213">
        <v>44921</v>
      </c>
      <c r="R17" s="271">
        <f ca="1">IF(D17="","",IF(OFFSET(D17,-1,0)&lt;&gt;"","",IF(OR(J17="リード付け",J17="巻足し",J17="巻返しリード付け"),M17,VLOOKUP(D17,契約台帳!$A$3:$N$4986,14,FALSE))))</f>
        <v>1160</v>
      </c>
      <c r="S17" s="272">
        <f ca="1">IF(D17="","",IF(OFFSET(D17,-1,0)&lt;&gt;"","",IF(OR(J17="リード付け",J17="巻足し",J17="巻返しリード付け"),M17,VLOOKUP(D17,契約台帳!$A$3:$O$4986,15,FALSE))))</f>
        <v>1160</v>
      </c>
      <c r="T17" s="273">
        <f ca="1">IF(D17="","",IF(J17="リード付け",N17,IF(J17="巻返しリード付け",N17,IF(J17="巻足し",N17*P17+OFFSET(N17,1,0)*OFFSET(P17,1,0),VLOOKUP(D17,契約台帳!$A$3:$P$4986,16,FALSE)))))</f>
        <v>6200</v>
      </c>
      <c r="U17" s="40">
        <v>1</v>
      </c>
      <c r="V17" s="274">
        <f ca="1">IF(D17="","",IF(OFFSET(D17,-2,0)=D17,"",VLOOKUP(D17,契約台帳!$A$3:$R$4986,18,FALSE)))</f>
        <v>1</v>
      </c>
      <c r="W17" s="269" t="str">
        <f ca="1">IF(D17="","",IF(T17="","",IF(OR(J17="巻足し",J17="巻返しリード付け"),"",IF(J17="巻返し",VLOOKUP(F17&amp;K17&amp;M17,製品マスタ!$M$5:$AD$5002,18,FALSE),IF(OR(J17="リード付け",J17="巻返しリード付け"),"原反コア",IF(J17="スリット",VLOOKUP(F17&amp;K17&amp;R17,製品マスタ!$N$5:$AD$5002,17,FALSE),""))))))</f>
        <v/>
      </c>
      <c r="X17" s="269" t="str">
        <f ca="1">IF(D17="","",IF(T17="","",IF(J17="巻足し","",IF(J17="巻返し",VLOOKUP(F17&amp;K17&amp;M17,製品マスタ!$M$5:$AE$5002,19,FALSE),IF(OR(J17="リード付け",J17="巻返しリード付け"),"",IF(J17="スリット",VLOOKUP(F17&amp;K17&amp;R17,製品マスタ!$N$5:$AE$5002,18,FALSE),""))))))</f>
        <v/>
      </c>
      <c r="Y17" s="275">
        <f ca="1">IF(D17="","",IF(T17="","",VLOOKUP(D17,契約台帳!$A$3:$Q$4986,17,FALSE)))</f>
        <v>2</v>
      </c>
      <c r="Z17" s="269" t="str">
        <f ca="1">IF(D17="","",IF(T17="","",VLOOKUP(D17,契約台帳!$A$3:$E$4986,5,FALSE)))</f>
        <v>リンテック㈱</v>
      </c>
      <c r="AA17" s="57"/>
      <c r="AB17" s="207" t="str">
        <f>IFERROR((VLOOKUP(F17&amp;K17&amp;M17,製品マスタ!$M$5:$AM$5002,27,FALSE)),"")</f>
        <v/>
      </c>
      <c r="AC17" s="33"/>
      <c r="AD17" s="189"/>
      <c r="AE17" s="54"/>
      <c r="AF17" s="55"/>
      <c r="AG17" s="43"/>
      <c r="AH17" s="47"/>
      <c r="AI17" s="30"/>
      <c r="AJ17" s="30"/>
      <c r="AK17" s="30"/>
      <c r="AL17" s="30"/>
      <c r="AM17" s="13"/>
      <c r="AN17" s="13"/>
      <c r="AO17" s="13"/>
      <c r="AP17" s="13"/>
      <c r="AQ17" s="13"/>
      <c r="AR17" s="14"/>
      <c r="AS17" s="15"/>
    </row>
    <row r="18" spans="1:45" s="17" customFormat="1" ht="30.95" hidden="1" customHeight="1" x14ac:dyDescent="0.2">
      <c r="A18" s="37"/>
      <c r="B18" s="38"/>
      <c r="C18" s="45"/>
      <c r="D18" s="31"/>
      <c r="E18" s="279"/>
      <c r="F18" s="268" t="str">
        <f>IF(D18="","",VLOOKUP(D18,契約台帳!$A$3:$K$4986,6,FALSE)&amp;VLOOKUP(D18,契約台帳!$A$3:$K$4986,7,FALSE)&amp;VLOOKUP(D18,契約台帳!$A$3:$K$4986,8,FALSE)&amp;VLOOKUP(D18,契約台帳!$A$3:$K$4986,9,FALSE)&amp;VLOOKUP(D18,契約台帳!$A$3:$K$4986,11,FALSE))</f>
        <v/>
      </c>
      <c r="G18" s="269" t="str">
        <f>IF(D18="","",VLOOKUP(F18,製品マスタ!$G$5:$H$5002,2,FALSE))</f>
        <v/>
      </c>
      <c r="H18" s="269" t="str">
        <f>IF(D18="","",VLOOKUP(F18,製品マスタ!$G$5:$K$5002,5,FALSE))</f>
        <v/>
      </c>
      <c r="I18" s="270" t="str">
        <f>IF(D18="","",VLOOKUP(F18,製品マスタ!$G$5:$L$5002,6,FALSE))</f>
        <v/>
      </c>
      <c r="J18" s="210"/>
      <c r="K18" s="270" t="str">
        <f>IF(D18="","",VLOOKUP(D18,契約台帳!$A$3:$L$4986,12,FALSE))</f>
        <v/>
      </c>
      <c r="L18" s="270" t="str">
        <f>IF(D18="","",INDEX(製品マスタ!$Q$5:$Q$5002,MATCH('S4'!F18&amp;'S4'!K18,製品マスタ!$AO$5:$AO$5002,0)))</f>
        <v/>
      </c>
      <c r="M18" s="39"/>
      <c r="N18" s="39"/>
      <c r="O18" s="156"/>
      <c r="P18" s="47"/>
      <c r="Q18" s="57"/>
      <c r="R18" s="271" t="str">
        <f ca="1">IF(D18="","",IF(OFFSET(D18,-1,0)&lt;&gt;"","",IF(OR(J18="リード付け",J18="巻足し",J18="巻返しリード付け"),M18,VLOOKUP(D18,契約台帳!$A$3:$N$4986,14,FALSE))))</f>
        <v/>
      </c>
      <c r="S18" s="272" t="str">
        <f ca="1">IF(D18="","",IF(OFFSET(D18,-1,0)&lt;&gt;"","",IF(OR(J18="リード付け",J18="巻足し",J18="巻返しリード付け"),M18,VLOOKUP(D18,契約台帳!$A$3:$O$4986,15,FALSE))))</f>
        <v/>
      </c>
      <c r="T18" s="273" t="str">
        <f ca="1">IF(D18="","",IF(J18="リード付け",N18,IF(J18="巻返しリード付け",N18,IF(J18="巻足し",N18*P18+OFFSET(N18,1,0)*OFFSET(P18,1,0),VLOOKUP(D18,契約台帳!$A$3:$P$4986,16,FALSE)))))</f>
        <v/>
      </c>
      <c r="U18" s="40"/>
      <c r="V18" s="274" t="str">
        <f ca="1">IF(D18="","",IF(OFFSET(D18,-2,0)=D18,"",VLOOKUP(D18,契約台帳!$A$3:$R$4986,18,FALSE)))</f>
        <v/>
      </c>
      <c r="W18" s="269" t="str">
        <f>IF(D18="","",IF(T18="","",IF(OR(J18="巻足し",J18="巻返しリード付け"),"",IF(J18="巻返し",VLOOKUP(F18&amp;K18&amp;M18,製品マスタ!$M$5:$AD$5002,18,FALSE),IF(OR(J18="リード付け",J18="巻返しリード付け"),"原反コア",IF(J18="スリット",VLOOKUP(F18&amp;K18&amp;R18,製品マスタ!$N$5:$AD$5002,17,FALSE),""))))))</f>
        <v/>
      </c>
      <c r="X18" s="269" t="str">
        <f>IF(D18="","",IF(T18="","",IF(J18="巻足し","",IF(J18="巻返し",VLOOKUP(F18&amp;K18&amp;M18,製品マスタ!$M$5:$AE$5002,19,FALSE),IF(OR(J18="リード付け",J18="巻返しリード付け"),"",IF(J18="スリット",VLOOKUP(F18&amp;K18&amp;R18,製品マスタ!$N$5:$AE$5002,18,FALSE),""))))))</f>
        <v/>
      </c>
      <c r="Y18" s="275" t="str">
        <f>IF(D18="","",IF(T18="","",VLOOKUP(D18,契約台帳!$A$3:$Q$4986,17,FALSE)))</f>
        <v/>
      </c>
      <c r="Z18" s="269" t="str">
        <f>IF(D18="","",IF(T18="","",VLOOKUP(D18,契約台帳!$A$3:$E$4986,5,FALSE)))</f>
        <v/>
      </c>
      <c r="AA18" s="57"/>
      <c r="AB18" s="207" t="str">
        <f>IFERROR((VLOOKUP(F18&amp;K18&amp;M18,製品マスタ!$M$5:$AM$5002,27,FALSE)),"")</f>
        <v/>
      </c>
      <c r="AC18" s="33"/>
      <c r="AD18" s="189"/>
      <c r="AE18" s="54"/>
      <c r="AF18" s="55"/>
      <c r="AG18" s="43"/>
      <c r="AH18" s="47"/>
      <c r="AI18" s="30"/>
      <c r="AJ18" s="30"/>
      <c r="AK18" s="30"/>
      <c r="AL18" s="30"/>
      <c r="AM18" s="13"/>
      <c r="AN18" s="13"/>
      <c r="AO18" s="13"/>
      <c r="AP18" s="13"/>
      <c r="AQ18" s="13"/>
      <c r="AR18" s="14"/>
      <c r="AS18" s="15"/>
    </row>
    <row r="19" spans="1:45" s="17" customFormat="1" ht="30.95" hidden="1" customHeight="1" x14ac:dyDescent="0.2">
      <c r="A19" s="37"/>
      <c r="B19" s="38"/>
      <c r="C19" s="45"/>
      <c r="D19" s="31">
        <v>3694099</v>
      </c>
      <c r="E19" s="279">
        <v>4161764</v>
      </c>
      <c r="F19" s="268" t="str">
        <f>IF(D19="","",VLOOKUP(D19,契約台帳!$A$3:$K$4986,6,FALSE)&amp;VLOOKUP(D19,契約台帳!$A$3:$K$4986,7,FALSE)&amp;VLOOKUP(D19,契約台帳!$A$3:$K$4986,8,FALSE)&amp;VLOOKUP(D19,契約台帳!$A$3:$K$4986,9,FALSE)&amp;VLOOKUP(D19,契約台帳!$A$3:$K$4986,11,FALSE))</f>
        <v>3SNMCLBEYK</v>
      </c>
      <c r="G19" s="269" t="str">
        <f>IF(D19="","",VLOOKUP(F19,製品マスタ!$G$5:$H$5002,2,FALSE))</f>
        <v>S</v>
      </c>
      <c r="H19" s="269" t="str">
        <f>IF(D19="","",VLOOKUP(F19,製品マスタ!$G$5:$K$5002,5,FALSE))</f>
        <v>EYK</v>
      </c>
      <c r="I19" s="270" t="str">
        <f>IF(D19="","",VLOOKUP(F19,製品マスタ!$G$5:$L$5002,6,FALSE))</f>
        <v>メタルミー　ＥＹＫ</v>
      </c>
      <c r="J19" s="210" t="s">
        <v>736</v>
      </c>
      <c r="K19" s="270">
        <f>IF(D19="","",VLOOKUP(D19,契約台帳!$A$3:$L$4986,12,FALSE))</f>
        <v>50</v>
      </c>
      <c r="L19" s="270" t="str">
        <f>IF(D19="","",INDEX(製品マスタ!$Q$5:$Q$5002,MATCH('S4'!F19&amp;'S4'!K19,製品マスタ!$AO$5:$AO$5002,0)))</f>
        <v>T62M</v>
      </c>
      <c r="M19" s="39">
        <v>1125</v>
      </c>
      <c r="N19" s="39">
        <v>6100</v>
      </c>
      <c r="O19" s="156">
        <v>2</v>
      </c>
      <c r="P19" s="47">
        <v>2</v>
      </c>
      <c r="Q19" s="213">
        <v>44921</v>
      </c>
      <c r="R19" s="271">
        <f ca="1">IF(D19="","",IF(OFFSET(D19,-1,0)&lt;&gt;"","",IF(OR(J19="リード付け",J19="巻足し",J19="巻返しリード付け"),M19,VLOOKUP(D19,契約台帳!$A$3:$N$4986,14,FALSE))))</f>
        <v>1125</v>
      </c>
      <c r="S19" s="272">
        <f ca="1">IF(D19="","",IF(OFFSET(D19,-1,0)&lt;&gt;"","",IF(OR(J19="リード付け",J19="巻足し",J19="巻返しリード付け"),M19,VLOOKUP(D19,契約台帳!$A$3:$O$4986,15,FALSE))))</f>
        <v>1125</v>
      </c>
      <c r="T19" s="273">
        <f ca="1">IF(D19="","",IF(J19="リード付け",N19,IF(J19="巻返しリード付け",N19,IF(J19="巻足し",N19*P19+OFFSET(N19,1,0)*OFFSET(P19,1,0),VLOOKUP(D19,契約台帳!$A$3:$P$4986,16,FALSE)))))</f>
        <v>12200</v>
      </c>
      <c r="U19" s="40">
        <v>1</v>
      </c>
      <c r="V19" s="274">
        <f ca="1">IF(D19="","",IF(OFFSET(D19,-2,0)=D19,"",VLOOKUP(D19,契約台帳!$A$3:$R$4986,18,FALSE)))</f>
        <v>2</v>
      </c>
      <c r="W19" s="269" t="str">
        <f ca="1">IF(D19="","",IF(T19="","",IF(OR(J19="巻足し",J19="巻返しリード付け"),"",IF(J19="巻返し",VLOOKUP(F19&amp;K19&amp;M19,製品マスタ!$M$5:$AD$5002,18,FALSE),IF(OR(J19="リード付け",J19="巻返しリード付け"),"原反コア",IF(J19="スリット",VLOOKUP(F19&amp;K19&amp;R19,製品マスタ!$N$5:$AD$5002,17,FALSE),""))))))</f>
        <v/>
      </c>
      <c r="X19" s="269" t="str">
        <f ca="1">IF(D19="","",IF(T19="","",IF(J19="巻足し","",IF(J19="巻返し",VLOOKUP(F19&amp;K19&amp;M19,製品マスタ!$M$5:$AE$5002,19,FALSE),IF(OR(J19="リード付け",J19="巻返しリード付け"),"",IF(J19="スリット",VLOOKUP(F19&amp;K19&amp;R19,製品マスタ!$N$5:$AE$5002,18,FALSE),""))))))</f>
        <v/>
      </c>
      <c r="Y19" s="275">
        <f ca="1">IF(D19="","",IF(T19="","",VLOOKUP(D19,契約台帳!$A$3:$Q$4986,17,FALSE)))</f>
        <v>2</v>
      </c>
      <c r="Z19" s="269" t="str">
        <f ca="1">IF(D19="","",IF(T19="","",VLOOKUP(D19,契約台帳!$A$3:$E$4986,5,FALSE)))</f>
        <v>新タック化成㈱</v>
      </c>
      <c r="AA19" s="57"/>
      <c r="AB19" s="207" t="str">
        <f>IFERROR((VLOOKUP(F19&amp;K19&amp;M19,製品マスタ!$M$5:$AM$5002,27,FALSE)),"")</f>
        <v>原反ケース再利用</v>
      </c>
      <c r="AC19" s="33"/>
      <c r="AD19" s="189"/>
      <c r="AE19" s="54"/>
      <c r="AF19" s="55"/>
      <c r="AG19" s="43"/>
      <c r="AH19" s="47"/>
      <c r="AI19" s="30"/>
      <c r="AJ19" s="30"/>
      <c r="AK19" s="30"/>
      <c r="AL19" s="30"/>
      <c r="AM19" s="13"/>
      <c r="AN19" s="13"/>
      <c r="AO19" s="13"/>
      <c r="AP19" s="13"/>
      <c r="AQ19" s="13"/>
      <c r="AR19" s="14"/>
      <c r="AS19" s="15"/>
    </row>
    <row r="20" spans="1:45" s="17" customFormat="1" ht="30.95" hidden="1" customHeight="1" x14ac:dyDescent="0.2">
      <c r="A20" s="37"/>
      <c r="B20" s="38"/>
      <c r="C20" s="45"/>
      <c r="D20" s="31"/>
      <c r="E20" s="279"/>
      <c r="F20" s="268" t="str">
        <f>IF(D20="","",VLOOKUP(D20,契約台帳!$A$3:$K$4986,6,FALSE)&amp;VLOOKUP(D20,契約台帳!$A$3:$K$4986,7,FALSE)&amp;VLOOKUP(D20,契約台帳!$A$3:$K$4986,8,FALSE)&amp;VLOOKUP(D20,契約台帳!$A$3:$K$4986,9,FALSE)&amp;VLOOKUP(D20,契約台帳!$A$3:$K$4986,11,FALSE))</f>
        <v/>
      </c>
      <c r="G20" s="269" t="str">
        <f>IF(D20="","",VLOOKUP(F20,製品マスタ!$G$5:$H$5002,2,FALSE))</f>
        <v/>
      </c>
      <c r="H20" s="269" t="str">
        <f>IF(D20="","",VLOOKUP(F20,製品マスタ!$G$5:$K$5002,5,FALSE))</f>
        <v/>
      </c>
      <c r="I20" s="270" t="str">
        <f>IF(D20="","",VLOOKUP(F20,製品マスタ!$G$5:$L$5002,6,FALSE))</f>
        <v/>
      </c>
      <c r="J20" s="210"/>
      <c r="K20" s="270" t="str">
        <f>IF(D20="","",VLOOKUP(D20,契約台帳!$A$3:$L$4986,12,FALSE))</f>
        <v/>
      </c>
      <c r="L20" s="270" t="str">
        <f>IF(D20="","",INDEX(製品マスタ!$Q$5:$Q$5002,MATCH('S4'!F20&amp;'S4'!K20,製品マスタ!$AO$5:$AO$5002,0)))</f>
        <v/>
      </c>
      <c r="M20" s="39"/>
      <c r="N20" s="39"/>
      <c r="O20" s="156"/>
      <c r="P20" s="47"/>
      <c r="Q20" s="57"/>
      <c r="R20" s="271" t="str">
        <f ca="1">IF(D20="","",IF(OFFSET(D20,-1,0)&lt;&gt;"","",IF(OR(J20="リード付け",J20="巻足し",J20="巻返しリード付け"),M20,VLOOKUP(D20,契約台帳!$A$3:$N$4986,14,FALSE))))</f>
        <v/>
      </c>
      <c r="S20" s="272" t="str">
        <f ca="1">IF(D20="","",IF(OFFSET(D20,-1,0)&lt;&gt;"","",IF(OR(J20="リード付け",J20="巻足し",J20="巻返しリード付け"),M20,VLOOKUP(D20,契約台帳!$A$3:$O$4986,15,FALSE))))</f>
        <v/>
      </c>
      <c r="T20" s="273" t="str">
        <f ca="1">IF(D20="","",IF(J20="リード付け",N20,IF(J20="巻返しリード付け",N20,IF(J20="巻足し",N20*P20+OFFSET(N20,1,0)*OFFSET(P20,1,0),VLOOKUP(D20,契約台帳!$A$3:$P$4986,16,FALSE)))))</f>
        <v/>
      </c>
      <c r="U20" s="40"/>
      <c r="V20" s="274" t="str">
        <f ca="1">IF(D20="","",IF(OFFSET(D20,-2,0)=D20,"",VLOOKUP(D20,契約台帳!$A$3:$R$4986,18,FALSE)))</f>
        <v/>
      </c>
      <c r="W20" s="269" t="str">
        <f>IF(D20="","",IF(T20="","",IF(OR(J20="巻足し",J20="巻返しリード付け"),"",IF(J20="巻返し",VLOOKUP(F20&amp;K20&amp;M20,製品マスタ!$M$5:$AD$5002,18,FALSE),IF(OR(J20="リード付け",J20="巻返しリード付け"),"原反コア",IF(J20="スリット",VLOOKUP(F20&amp;K20&amp;R20,製品マスタ!$N$5:$AD$5002,17,FALSE),""))))))</f>
        <v/>
      </c>
      <c r="X20" s="269" t="str">
        <f>IF(D20="","",IF(T20="","",IF(J20="巻足し","",IF(J20="巻返し",VLOOKUP(F20&amp;K20&amp;M20,製品マスタ!$M$5:$AE$5002,19,FALSE),IF(OR(J20="リード付け",J20="巻返しリード付け"),"",IF(J20="スリット",VLOOKUP(F20&amp;K20&amp;R20,製品マスタ!$N$5:$AE$5002,18,FALSE),""))))))</f>
        <v/>
      </c>
      <c r="Y20" s="275" t="str">
        <f>IF(D20="","",IF(T20="","",VLOOKUP(D20,契約台帳!$A$3:$Q$4986,17,FALSE)))</f>
        <v/>
      </c>
      <c r="Z20" s="269" t="str">
        <f>IF(D20="","",IF(T20="","",VLOOKUP(D20,契約台帳!$A$3:$E$4986,5,FALSE)))</f>
        <v/>
      </c>
      <c r="AA20" s="57"/>
      <c r="AB20" s="207" t="str">
        <f>IFERROR((VLOOKUP(F20&amp;K20&amp;M20,製品マスタ!$M$5:$AM$5002,27,FALSE)),"")</f>
        <v/>
      </c>
      <c r="AC20" s="33"/>
      <c r="AD20" s="189"/>
      <c r="AE20" s="54"/>
      <c r="AF20" s="55"/>
      <c r="AG20" s="43"/>
      <c r="AH20" s="47"/>
      <c r="AI20" s="30"/>
      <c r="AJ20" s="30"/>
      <c r="AK20" s="30"/>
      <c r="AL20" s="30"/>
      <c r="AM20" s="13"/>
      <c r="AN20" s="13"/>
      <c r="AO20" s="13"/>
      <c r="AP20" s="13"/>
      <c r="AQ20" s="13"/>
      <c r="AR20" s="14"/>
      <c r="AS20" s="15"/>
    </row>
    <row r="21" spans="1:45" s="17" customFormat="1" ht="30.95" hidden="1" customHeight="1" x14ac:dyDescent="0.2">
      <c r="A21" s="37" t="s">
        <v>757</v>
      </c>
      <c r="B21" s="38" t="s">
        <v>746</v>
      </c>
      <c r="C21" s="45"/>
      <c r="D21" s="31">
        <v>3694103</v>
      </c>
      <c r="E21" s="279">
        <v>4161768</v>
      </c>
      <c r="F21" s="268" t="str">
        <f>IF(D21="","",VLOOKUP(D21,契約台帳!$A$3:$K$4986,6,FALSE)&amp;VLOOKUP(D21,契約台帳!$A$3:$K$4986,7,FALSE)&amp;VLOOKUP(D21,契約台帳!$A$3:$K$4986,8,FALSE)&amp;VLOOKUP(D21,契約台帳!$A$3:$K$4986,9,FALSE)&amp;VLOOKUP(D21,契約台帳!$A$3:$K$4986,11,FALSE))</f>
        <v>3SNMLBMNGKKBF</v>
      </c>
      <c r="G21" s="269" t="str">
        <f>IF(D21="","",VLOOKUP(F21,製品マスタ!$G$5:$H$5002,2,FALSE))</f>
        <v>S</v>
      </c>
      <c r="H21" s="269" t="str">
        <f>IF(D21="","",VLOOKUP(F21,製品マスタ!$G$5:$K$5002,5,FALSE))</f>
        <v>MNGKKBF</v>
      </c>
      <c r="I21" s="270" t="str">
        <f>IF(D21="","",VLOOKUP(F21,製品マスタ!$G$5:$L$5002,6,FALSE))</f>
        <v>メタルミー　ネーマー銀消改　Ｂ</v>
      </c>
      <c r="J21" s="210" t="s">
        <v>736</v>
      </c>
      <c r="K21" s="270">
        <f>IF(D21="","",VLOOKUP(D21,契約台帳!$A$3:$L$4986,12,FALSE))</f>
        <v>25</v>
      </c>
      <c r="L21" s="270" t="str">
        <f>IF(D21="","",INDEX(製品マスタ!$Q$5:$Q$5002,MATCH('S4'!F21&amp;'S4'!K21,製品マスタ!$AO$5:$AO$5002,0)))</f>
        <v>FMATS99</v>
      </c>
      <c r="M21" s="39">
        <v>1120</v>
      </c>
      <c r="N21" s="39">
        <v>4000</v>
      </c>
      <c r="O21" s="156">
        <v>9</v>
      </c>
      <c r="P21" s="47">
        <v>3</v>
      </c>
      <c r="Q21" s="213">
        <v>45287</v>
      </c>
      <c r="R21" s="271">
        <f ca="1">IF(D21="","",IF(OFFSET(D21,-1,0)&lt;&gt;"","",IF(OR(J21="リード付け",J21="巻足し",J21="巻返しリード付け"),M21,VLOOKUP(D21,契約台帳!$A$3:$N$4986,14,FALSE))))</f>
        <v>1120</v>
      </c>
      <c r="S21" s="272">
        <f ca="1">IF(D21="","",IF(OFFSET(D21,-1,0)&lt;&gt;"","",IF(OR(J21="リード付け",J21="巻足し",J21="巻返しリード付け"),M21,VLOOKUP(D21,契約台帳!$A$3:$O$4986,15,FALSE))))</f>
        <v>1120</v>
      </c>
      <c r="T21" s="273">
        <f ca="1">IF(D21="","",IF(J21="リード付け",N21,IF(J21="巻返しリード付け",N21,IF(J21="巻足し",N21*P21+OFFSET(N21,1,0)*OFFSET(P21,1,0),VLOOKUP(D21,契約台帳!$A$3:$P$4986,16,FALSE)))))</f>
        <v>12000</v>
      </c>
      <c r="U21" s="40">
        <v>3</v>
      </c>
      <c r="V21" s="274">
        <f ca="1">IF(D21="","",IF(OFFSET(D21,-2,0)=D21,"",VLOOKUP(D21,契約台帳!$A$3:$R$4986,18,FALSE)))</f>
        <v>9</v>
      </c>
      <c r="W21" s="269" t="str">
        <f ca="1">IF(D21="","",IF(T21="","",IF(OR(J21="巻足し",J21="巻返しリード付け"),"",IF(J21="巻返し",VLOOKUP(F21&amp;K21&amp;M21,製品マスタ!$M$5:$AD$5002,18,FALSE),IF(OR(J21="リード付け",J21="巻返しリード付け"),"原反コア",IF(J21="スリット",VLOOKUP(F21&amp;K21&amp;R21,製品マスタ!$N$5:$AD$5002,17,FALSE),""))))))</f>
        <v/>
      </c>
      <c r="X21" s="269" t="str">
        <f ca="1">IF(D21="","",IF(T21="","",IF(J21="巻足し","",IF(J21="巻返し",VLOOKUP(F21&amp;K21&amp;M21,製品マスタ!$M$5:$AE$5002,19,FALSE),IF(OR(J21="リード付け",J21="巻返しリード付け"),"",IF(J21="スリット",VLOOKUP(F21&amp;K21&amp;R21,製品マスタ!$N$5:$AE$5002,18,FALSE),""))))))</f>
        <v/>
      </c>
      <c r="Y21" s="275">
        <f ca="1">IF(D21="","",IF(T21="","",VLOOKUP(D21,契約台帳!$A$3:$Q$4986,17,FALSE)))</f>
        <v>2</v>
      </c>
      <c r="Z21" s="269" t="str">
        <f ca="1">IF(D21="","",IF(T21="","",VLOOKUP(D21,契約台帳!$A$3:$E$4986,5,FALSE)))</f>
        <v>リンテック㈱</v>
      </c>
      <c r="AA21" s="57"/>
      <c r="AB21" s="207">
        <f>IFERROR((VLOOKUP(F21&amp;K21&amp;M21,製品マスタ!$M$5:$AM$5002,27,FALSE)),"")</f>
        <v>0</v>
      </c>
      <c r="AC21" s="33"/>
      <c r="AD21" s="189"/>
      <c r="AE21" s="54"/>
      <c r="AF21" s="55"/>
      <c r="AG21" s="43"/>
      <c r="AH21" s="47"/>
      <c r="AI21" s="30"/>
      <c r="AJ21" s="30"/>
      <c r="AK21" s="30"/>
      <c r="AL21" s="30"/>
      <c r="AM21" s="13"/>
      <c r="AN21" s="13"/>
      <c r="AO21" s="13"/>
      <c r="AP21" s="13"/>
      <c r="AQ21" s="13"/>
      <c r="AR21" s="14"/>
      <c r="AS21" s="15"/>
    </row>
    <row r="22" spans="1:45" s="17" customFormat="1" ht="30.95" hidden="1" customHeight="1" x14ac:dyDescent="0.2">
      <c r="A22" s="37"/>
      <c r="B22" s="38"/>
      <c r="C22" s="45"/>
      <c r="D22" s="31"/>
      <c r="E22" s="279"/>
      <c r="F22" s="268" t="str">
        <f>IF(D22="","",VLOOKUP(D22,契約台帳!$A$3:$K$4986,6,FALSE)&amp;VLOOKUP(D22,契約台帳!$A$3:$K$4986,7,FALSE)&amp;VLOOKUP(D22,契約台帳!$A$3:$K$4986,8,FALSE)&amp;VLOOKUP(D22,契約台帳!$A$3:$K$4986,9,FALSE)&amp;VLOOKUP(D22,契約台帳!$A$3:$K$4986,11,FALSE))</f>
        <v/>
      </c>
      <c r="G22" s="269" t="str">
        <f>IF(D22="","",VLOOKUP(F22,製品マスタ!$G$5:$H$5002,2,FALSE))</f>
        <v/>
      </c>
      <c r="H22" s="269" t="str">
        <f>IF(D22="","",VLOOKUP(F22,製品マスタ!$G$5:$K$5002,5,FALSE))</f>
        <v/>
      </c>
      <c r="I22" s="270" t="str">
        <f>IF(D22="","",VLOOKUP(F22,製品マスタ!$G$5:$L$5002,6,FALSE))</f>
        <v/>
      </c>
      <c r="J22" s="210"/>
      <c r="K22" s="270" t="str">
        <f>IF(D22="","",VLOOKUP(D22,契約台帳!$A$3:$L$4986,12,FALSE))</f>
        <v/>
      </c>
      <c r="L22" s="270" t="str">
        <f>IF(D22="","",INDEX(製品マスタ!$Q$5:$Q$5002,MATCH('S4'!F22&amp;'S4'!K22,製品マスタ!$AO$5:$AO$5002,0)))</f>
        <v/>
      </c>
      <c r="M22" s="39"/>
      <c r="N22" s="39"/>
      <c r="O22" s="156"/>
      <c r="P22" s="47"/>
      <c r="Q22" s="57"/>
      <c r="R22" s="271" t="str">
        <f ca="1">IF(D22="","",IF(OFFSET(D22,-1,0)&lt;&gt;"","",IF(OR(J22="リード付け",J22="巻足し",J22="巻返しリード付け"),M22,VLOOKUP(D22,契約台帳!$A$3:$N$4986,14,FALSE))))</f>
        <v/>
      </c>
      <c r="S22" s="272" t="str">
        <f ca="1">IF(D22="","",IF(OFFSET(D22,-1,0)&lt;&gt;"","",IF(OR(J22="リード付け",J22="巻足し",J22="巻返しリード付け"),M22,VLOOKUP(D22,契約台帳!$A$3:$O$4986,15,FALSE))))</f>
        <v/>
      </c>
      <c r="T22" s="273" t="str">
        <f ca="1">IF(D22="","",IF(J22="リード付け",N22,IF(J22="巻返しリード付け",N22,IF(J22="巻足し",N22*P22+OFFSET(N22,1,0)*OFFSET(P22,1,0),VLOOKUP(D22,契約台帳!$A$3:$P$4986,16,FALSE)))))</f>
        <v/>
      </c>
      <c r="U22" s="40"/>
      <c r="V22" s="274" t="str">
        <f ca="1">IF(D22="","",IF(OFFSET(D22,-2,0)=D22,"",VLOOKUP(D22,契約台帳!$A$3:$R$4986,18,FALSE)))</f>
        <v/>
      </c>
      <c r="W22" s="269" t="str">
        <f>IF(D22="","",IF(T22="","",IF(OR(J22="巻足し",J22="巻返しリード付け"),"",IF(J22="巻返し",VLOOKUP(F22&amp;K22&amp;M22,製品マスタ!$M$5:$AD$5002,18,FALSE),IF(OR(J22="リード付け",J22="巻返しリード付け"),"原反コア",IF(J22="スリット",VLOOKUP(F22&amp;K22&amp;R22,製品マスタ!$N$5:$AD$5002,17,FALSE),""))))))</f>
        <v/>
      </c>
      <c r="X22" s="269" t="str">
        <f>IF(D22="","",IF(T22="","",IF(J22="巻足し","",IF(J22="巻返し",VLOOKUP(F22&amp;K22&amp;M22,製品マスタ!$M$5:$AE$5002,19,FALSE),IF(OR(J22="リード付け",J22="巻返しリード付け"),"",IF(J22="スリット",VLOOKUP(F22&amp;K22&amp;R22,製品マスタ!$N$5:$AE$5002,18,FALSE),""))))))</f>
        <v/>
      </c>
      <c r="Y22" s="275" t="str">
        <f>IF(D22="","",IF(T22="","",VLOOKUP(D22,契約台帳!$A$3:$Q$4986,17,FALSE)))</f>
        <v/>
      </c>
      <c r="Z22" s="269" t="str">
        <f>IF(D22="","",IF(T22="","",VLOOKUP(D22,契約台帳!$A$3:$E$4986,5,FALSE)))</f>
        <v/>
      </c>
      <c r="AA22" s="57"/>
      <c r="AB22" s="207" t="str">
        <f>IFERROR((VLOOKUP(F22&amp;K22&amp;M22,製品マスタ!$M$5:$AM$5002,27,FALSE)),"")</f>
        <v/>
      </c>
      <c r="AC22" s="33"/>
      <c r="AD22" s="189"/>
      <c r="AE22" s="54"/>
      <c r="AF22" s="55"/>
      <c r="AG22" s="43"/>
      <c r="AH22" s="47"/>
      <c r="AI22" s="30"/>
      <c r="AJ22" s="30"/>
      <c r="AK22" s="30"/>
      <c r="AL22" s="30"/>
      <c r="AM22" s="13"/>
      <c r="AN22" s="13"/>
      <c r="AO22" s="13"/>
      <c r="AP22" s="13"/>
      <c r="AQ22" s="13"/>
      <c r="AR22" s="14"/>
      <c r="AS22" s="15"/>
    </row>
    <row r="23" spans="1:45" s="17" customFormat="1" ht="30.95" hidden="1" customHeight="1" x14ac:dyDescent="0.2">
      <c r="A23" s="37"/>
      <c r="B23" s="38"/>
      <c r="C23" s="45"/>
      <c r="D23" s="31">
        <v>3694106</v>
      </c>
      <c r="E23" s="279">
        <v>4161766</v>
      </c>
      <c r="F23" s="268" t="str">
        <f>IF(D23="","",VLOOKUP(D23,契約台帳!$A$3:$K$4986,6,FALSE)&amp;VLOOKUP(D23,契約台帳!$A$3:$K$4986,7,FALSE)&amp;VLOOKUP(D23,契約台帳!$A$3:$K$4986,8,FALSE)&amp;VLOOKUP(D23,契約台帳!$A$3:$K$4986,9,FALSE)&amp;VLOOKUP(D23,契約台帳!$A$3:$K$4986,11,FALSE))</f>
        <v>3SNMLBMNGKBF</v>
      </c>
      <c r="G23" s="269" t="str">
        <f>IF(D23="","",VLOOKUP(F23,製品マスタ!$G$5:$H$5002,2,FALSE))</f>
        <v>S</v>
      </c>
      <c r="H23" s="269" t="str">
        <f>IF(D23="","",VLOOKUP(F23,製品マスタ!$G$5:$K$5002,5,FALSE))</f>
        <v>MNGKBF</v>
      </c>
      <c r="I23" s="270" t="str">
        <f>IF(D23="","",VLOOKUP(F23,製品マスタ!$G$5:$L$5002,6,FALSE))</f>
        <v>メタルミー　ネーマー銀消　Ｂ</v>
      </c>
      <c r="J23" s="210" t="s">
        <v>736</v>
      </c>
      <c r="K23" s="270">
        <f>IF(D23="","",VLOOKUP(D23,契約台帳!$A$3:$L$4986,12,FALSE))</f>
        <v>50</v>
      </c>
      <c r="L23" s="270" t="str">
        <f>IF(D23="","",INDEX(製品マスタ!$Q$5:$Q$5002,MATCH('S4'!F23&amp;'S4'!K23,製品マスタ!$AO$5:$AO$5002,0)))</f>
        <v>MAT</v>
      </c>
      <c r="M23" s="39">
        <v>1050</v>
      </c>
      <c r="N23" s="39">
        <v>4100</v>
      </c>
      <c r="O23" s="156">
        <v>3</v>
      </c>
      <c r="P23" s="47">
        <v>3</v>
      </c>
      <c r="Q23" s="213">
        <v>45287</v>
      </c>
      <c r="R23" s="271">
        <f ca="1">IF(D23="","",IF(OFFSET(D23,-1,0)&lt;&gt;"","",IF(OR(J23="リード付け",J23="巻足し",J23="巻返しリード付け"),M23,VLOOKUP(D23,契約台帳!$A$3:$N$4986,14,FALSE))))</f>
        <v>1050</v>
      </c>
      <c r="S23" s="272">
        <f ca="1">IF(D23="","",IF(OFFSET(D23,-1,0)&lt;&gt;"","",IF(OR(J23="リード付け",J23="巻足し",J23="巻返しリード付け"),M23,VLOOKUP(D23,契約台帳!$A$3:$O$4986,15,FALSE))))</f>
        <v>1050</v>
      </c>
      <c r="T23" s="273">
        <f ca="1">IF(D23="","",IF(J23="リード付け",N23,IF(J23="巻返しリード付け",N23,IF(J23="巻足し",N23*P23+OFFSET(N23,1,0)*OFFSET(P23,1,0),VLOOKUP(D23,契約台帳!$A$3:$P$4986,16,FALSE)))))</f>
        <v>12300</v>
      </c>
      <c r="U23" s="40">
        <v>1</v>
      </c>
      <c r="V23" s="274">
        <f ca="1">IF(D23="","",IF(OFFSET(D23,-2,0)=D23,"",VLOOKUP(D23,契約台帳!$A$3:$R$4986,18,FALSE)))</f>
        <v>3</v>
      </c>
      <c r="W23" s="269" t="str">
        <f ca="1">IF(D23="","",IF(T23="","",IF(OR(J23="巻足し",J23="巻返しリード付け"),"",IF(J23="巻返し",VLOOKUP(F23&amp;K23&amp;M23,製品マスタ!$M$5:$AD$5002,18,FALSE),IF(OR(J23="リード付け",J23="巻返しリード付け"),"原反コア",IF(J23="スリット",VLOOKUP(F23&amp;K23&amp;R23,製品マスタ!$N$5:$AD$5002,17,FALSE),""))))))</f>
        <v/>
      </c>
      <c r="X23" s="269" t="str">
        <f ca="1">IF(D23="","",IF(T23="","",IF(J23="巻足し","",IF(J23="巻返し",VLOOKUP(F23&amp;K23&amp;M23,製品マスタ!$M$5:$AE$5002,19,FALSE),IF(OR(J23="リード付け",J23="巻返しリード付け"),"",IF(J23="スリット",VLOOKUP(F23&amp;K23&amp;R23,製品マスタ!$N$5:$AE$5002,18,FALSE),""))))))</f>
        <v/>
      </c>
      <c r="Y23" s="275">
        <f ca="1">IF(D23="","",IF(T23="","",VLOOKUP(D23,契約台帳!$A$3:$Q$4986,17,FALSE)))</f>
        <v>2</v>
      </c>
      <c r="Z23" s="269" t="str">
        <f ca="1">IF(D23="","",IF(T23="","",VLOOKUP(D23,契約台帳!$A$3:$E$4986,5,FALSE)))</f>
        <v>リンテック㈱</v>
      </c>
      <c r="AA23" s="57"/>
      <c r="AB23" s="207">
        <f>IFERROR((VLOOKUP(F23&amp;K23&amp;M23,製品マスタ!$M$5:$AM$5002,27,FALSE)),"")</f>
        <v>0</v>
      </c>
      <c r="AC23" s="33"/>
      <c r="AD23" s="189"/>
      <c r="AE23" s="54"/>
      <c r="AF23" s="55"/>
      <c r="AG23" s="43"/>
      <c r="AH23" s="47"/>
      <c r="AI23" s="30"/>
      <c r="AJ23" s="30"/>
      <c r="AK23" s="30"/>
      <c r="AL23" s="30"/>
      <c r="AM23" s="13"/>
      <c r="AN23" s="13"/>
      <c r="AO23" s="13"/>
      <c r="AP23" s="13"/>
      <c r="AQ23" s="13"/>
      <c r="AR23" s="14"/>
      <c r="AS23" s="15"/>
    </row>
    <row r="24" spans="1:45" s="17" customFormat="1" ht="30.95" hidden="1" customHeight="1" x14ac:dyDescent="0.2">
      <c r="A24" s="37"/>
      <c r="B24" s="38"/>
      <c r="C24" s="45"/>
      <c r="D24" s="31"/>
      <c r="E24" s="279"/>
      <c r="F24" s="268" t="str">
        <f>IF(D24="","",VLOOKUP(D24,契約台帳!$A$3:$K$4986,6,FALSE)&amp;VLOOKUP(D24,契約台帳!$A$3:$K$4986,7,FALSE)&amp;VLOOKUP(D24,契約台帳!$A$3:$K$4986,8,FALSE)&amp;VLOOKUP(D24,契約台帳!$A$3:$K$4986,9,FALSE)&amp;VLOOKUP(D24,契約台帳!$A$3:$K$4986,11,FALSE))</f>
        <v/>
      </c>
      <c r="G24" s="269" t="str">
        <f>IF(D24="","",VLOOKUP(F24,製品マスタ!$G$5:$H$5002,2,FALSE))</f>
        <v/>
      </c>
      <c r="H24" s="269" t="str">
        <f>IF(D24="","",VLOOKUP(F24,製品マスタ!$G$5:$K$5002,5,FALSE))</f>
        <v/>
      </c>
      <c r="I24" s="270" t="str">
        <f>IF(D24="","",VLOOKUP(F24,製品マスタ!$G$5:$L$5002,6,FALSE))</f>
        <v/>
      </c>
      <c r="J24" s="210"/>
      <c r="K24" s="270" t="str">
        <f>IF(D24="","",VLOOKUP(D24,契約台帳!$A$3:$L$4986,12,FALSE))</f>
        <v/>
      </c>
      <c r="L24" s="270" t="str">
        <f>IF(D24="","",INDEX(製品マスタ!$Q$5:$Q$5002,MATCH('S4'!F24&amp;'S4'!K24,製品マスタ!$AO$5:$AO$5002,0)))</f>
        <v/>
      </c>
      <c r="M24" s="39"/>
      <c r="N24" s="39"/>
      <c r="O24" s="156"/>
      <c r="P24" s="47"/>
      <c r="Q24" s="57"/>
      <c r="R24" s="271" t="str">
        <f ca="1">IF(D24="","",IF(OFFSET(D24,-1,0)&lt;&gt;"","",IF(OR(J24="リード付け",J24="巻足し",J24="巻返しリード付け"),M24,VLOOKUP(D24,契約台帳!$A$3:$N$4986,14,FALSE))))</f>
        <v/>
      </c>
      <c r="S24" s="272" t="str">
        <f ca="1">IF(D24="","",IF(OFFSET(D24,-1,0)&lt;&gt;"","",IF(OR(J24="リード付け",J24="巻足し",J24="巻返しリード付け"),M24,VLOOKUP(D24,契約台帳!$A$3:$O$4986,15,FALSE))))</f>
        <v/>
      </c>
      <c r="T24" s="273" t="str">
        <f ca="1">IF(D24="","",IF(J24="リード付け",N24,IF(J24="巻返しリード付け",N24,IF(J24="巻足し",N24*P24+OFFSET(N24,1,0)*OFFSET(P24,1,0),VLOOKUP(D24,契約台帳!$A$3:$P$4986,16,FALSE)))))</f>
        <v/>
      </c>
      <c r="U24" s="40"/>
      <c r="V24" s="274" t="str">
        <f ca="1">IF(D24="","",IF(OFFSET(D24,-2,0)=D24,"",VLOOKUP(D24,契約台帳!$A$3:$R$4986,18,FALSE)))</f>
        <v/>
      </c>
      <c r="W24" s="269" t="str">
        <f>IF(D24="","",IF(T24="","",IF(OR(J24="巻足し",J24="巻返しリード付け"),"",IF(J24="巻返し",VLOOKUP(F24&amp;K24&amp;M24,製品マスタ!$M$5:$AD$5002,18,FALSE),IF(OR(J24="リード付け",J24="巻返しリード付け"),"原反コア",IF(J24="スリット",VLOOKUP(F24&amp;K24&amp;R24,製品マスタ!$N$5:$AD$5002,17,FALSE),""))))))</f>
        <v/>
      </c>
      <c r="X24" s="269" t="str">
        <f>IF(D24="","",IF(T24="","",IF(J24="巻足し","",IF(J24="巻返し",VLOOKUP(F24&amp;K24&amp;M24,製品マスタ!$M$5:$AE$5002,19,FALSE),IF(OR(J24="リード付け",J24="巻返しリード付け"),"",IF(J24="スリット",VLOOKUP(F24&amp;K24&amp;R24,製品マスタ!$N$5:$AE$5002,18,FALSE),""))))))</f>
        <v/>
      </c>
      <c r="Y24" s="275" t="str">
        <f>IF(D24="","",IF(T24="","",VLOOKUP(D24,契約台帳!$A$3:$Q$4986,17,FALSE)))</f>
        <v/>
      </c>
      <c r="Z24" s="269" t="str">
        <f>IF(D24="","",IF(T24="","",VLOOKUP(D24,契約台帳!$A$3:$E$4986,5,FALSE)))</f>
        <v/>
      </c>
      <c r="AA24" s="57"/>
      <c r="AB24" s="207" t="str">
        <f>IFERROR((VLOOKUP(F24&amp;K24&amp;M24,製品マスタ!$M$5:$AM$5002,27,FALSE)),"")</f>
        <v/>
      </c>
      <c r="AC24" s="33"/>
      <c r="AD24" s="189"/>
      <c r="AE24" s="54"/>
      <c r="AF24" s="55"/>
      <c r="AG24" s="43"/>
      <c r="AH24" s="47"/>
      <c r="AI24" s="30"/>
      <c r="AJ24" s="30"/>
      <c r="AK24" s="30"/>
      <c r="AL24" s="30"/>
      <c r="AM24" s="13"/>
      <c r="AN24" s="13"/>
      <c r="AO24" s="13"/>
      <c r="AP24" s="13"/>
      <c r="AQ24" s="13"/>
      <c r="AR24" s="14"/>
      <c r="AS24" s="15"/>
    </row>
    <row r="25" spans="1:45" s="17" customFormat="1" ht="30.95" hidden="1" customHeight="1" x14ac:dyDescent="0.2">
      <c r="A25" s="37"/>
      <c r="B25" s="38"/>
      <c r="C25" s="45"/>
      <c r="D25" s="31">
        <v>3694105</v>
      </c>
      <c r="E25" s="279">
        <v>4161765</v>
      </c>
      <c r="F25" s="268" t="str">
        <f>IF(D25="","",VLOOKUP(D25,契約台帳!$A$3:$K$4986,6,FALSE)&amp;VLOOKUP(D25,契約台帳!$A$3:$K$4986,7,FALSE)&amp;VLOOKUP(D25,契約台帳!$A$3:$K$4986,8,FALSE)&amp;VLOOKUP(D25,契約台帳!$A$3:$K$4986,9,FALSE)&amp;VLOOKUP(D25,契約台帳!$A$3:$K$4986,11,FALSE))</f>
        <v>3SNMLBMNGKBF</v>
      </c>
      <c r="G25" s="269" t="str">
        <f>IF(D25="","",VLOOKUP(F25,製品マスタ!$G$5:$H$5002,2,FALSE))</f>
        <v>S</v>
      </c>
      <c r="H25" s="269" t="str">
        <f>IF(D25="","",VLOOKUP(F25,製品マスタ!$G$5:$K$5002,5,FALSE))</f>
        <v>MNGKBF</v>
      </c>
      <c r="I25" s="270" t="str">
        <f>IF(D25="","",VLOOKUP(F25,製品マスタ!$G$5:$L$5002,6,FALSE))</f>
        <v>メタルミー　ネーマー銀消　Ｂ</v>
      </c>
      <c r="J25" s="210" t="s">
        <v>736</v>
      </c>
      <c r="K25" s="270">
        <f>IF(D25="","",VLOOKUP(D25,契約台帳!$A$3:$L$4986,12,FALSE))</f>
        <v>38</v>
      </c>
      <c r="L25" s="270" t="str">
        <f>IF(D25="","",INDEX(製品マスタ!$Q$5:$Q$5002,MATCH('S4'!F25&amp;'S4'!K25,製品マスタ!$AO$5:$AO$5002,0)))</f>
        <v>LUMIMAT</v>
      </c>
      <c r="M25" s="39">
        <v>1005</v>
      </c>
      <c r="N25" s="39">
        <v>4100</v>
      </c>
      <c r="O25" s="156">
        <v>3</v>
      </c>
      <c r="P25" s="47">
        <v>3</v>
      </c>
      <c r="Q25" s="213">
        <v>45287</v>
      </c>
      <c r="R25" s="271">
        <f ca="1">IF(D25="","",IF(OFFSET(D25,-1,0)&lt;&gt;"","",IF(OR(J25="リード付け",J25="巻足し",J25="巻返しリード付け"),M25,VLOOKUP(D25,契約台帳!$A$3:$N$4986,14,FALSE))))</f>
        <v>1005</v>
      </c>
      <c r="S25" s="272">
        <f ca="1">IF(D25="","",IF(OFFSET(D25,-1,0)&lt;&gt;"","",IF(OR(J25="リード付け",J25="巻足し",J25="巻返しリード付け"),M25,VLOOKUP(D25,契約台帳!$A$3:$O$4986,15,FALSE))))</f>
        <v>1005</v>
      </c>
      <c r="T25" s="273">
        <f ca="1">IF(D25="","",IF(J25="リード付け",N25,IF(J25="巻返しリード付け",N25,IF(J25="巻足し",N25*P25+OFFSET(N25,1,0)*OFFSET(P25,1,0),VLOOKUP(D25,契約台帳!$A$3:$P$4986,16,FALSE)))))</f>
        <v>12300</v>
      </c>
      <c r="U25" s="40">
        <v>1</v>
      </c>
      <c r="V25" s="274">
        <f ca="1">IF(D25="","",IF(OFFSET(D25,-2,0)=D25,"",VLOOKUP(D25,契約台帳!$A$3:$R$4986,18,FALSE)))</f>
        <v>3</v>
      </c>
      <c r="W25" s="269" t="str">
        <f ca="1">IF(D25="","",IF(T25="","",IF(OR(J25="巻足し",J25="巻返しリード付け"),"",IF(J25="巻返し",VLOOKUP(F25&amp;K25&amp;M25,製品マスタ!$M$5:$AD$5002,18,FALSE),IF(OR(J25="リード付け",J25="巻返しリード付け"),"原反コア",IF(J25="スリット",VLOOKUP(F25&amp;K25&amp;R25,製品マスタ!$N$5:$AD$5002,17,FALSE),""))))))</f>
        <v/>
      </c>
      <c r="X25" s="269" t="str">
        <f ca="1">IF(D25="","",IF(T25="","",IF(J25="巻足し","",IF(J25="巻返し",VLOOKUP(F25&amp;K25&amp;M25,製品マスタ!$M$5:$AE$5002,19,FALSE),IF(OR(J25="リード付け",J25="巻返しリード付け"),"",IF(J25="スリット",VLOOKUP(F25&amp;K25&amp;R25,製品マスタ!$N$5:$AE$5002,18,FALSE),""))))))</f>
        <v/>
      </c>
      <c r="Y25" s="275">
        <f ca="1">IF(D25="","",IF(T25="","",VLOOKUP(D25,契約台帳!$A$3:$Q$4986,17,FALSE)))</f>
        <v>2</v>
      </c>
      <c r="Z25" s="269" t="str">
        <f ca="1">IF(D25="","",IF(T25="","",VLOOKUP(D25,契約台帳!$A$3:$E$4986,5,FALSE)))</f>
        <v>リンテック㈱</v>
      </c>
      <c r="AA25" s="57"/>
      <c r="AB25" s="207">
        <f>IFERROR((VLOOKUP(F25&amp;K25&amp;M25,製品マスタ!$M$5:$AM$5002,27,FALSE)),"")</f>
        <v>0</v>
      </c>
      <c r="AC25" s="33"/>
      <c r="AD25" s="189"/>
      <c r="AE25" s="54"/>
      <c r="AF25" s="55"/>
      <c r="AG25" s="43"/>
      <c r="AH25" s="47"/>
      <c r="AI25" s="30"/>
      <c r="AJ25" s="30"/>
      <c r="AK25" s="30"/>
      <c r="AL25" s="30"/>
      <c r="AM25" s="13"/>
      <c r="AN25" s="13"/>
      <c r="AO25" s="13"/>
      <c r="AP25" s="13"/>
      <c r="AQ25" s="13"/>
      <c r="AR25" s="14"/>
      <c r="AS25" s="15"/>
    </row>
    <row r="26" spans="1:45" s="17" customFormat="1" ht="30.95" hidden="1" customHeight="1" x14ac:dyDescent="0.2">
      <c r="A26" s="37"/>
      <c r="B26" s="38"/>
      <c r="C26" s="45"/>
      <c r="D26" s="31"/>
      <c r="E26" s="279"/>
      <c r="F26" s="268" t="str">
        <f>IF(D26="","",VLOOKUP(D26,契約台帳!$A$3:$K$4986,6,FALSE)&amp;VLOOKUP(D26,契約台帳!$A$3:$K$4986,7,FALSE)&amp;VLOOKUP(D26,契約台帳!$A$3:$K$4986,8,FALSE)&amp;VLOOKUP(D26,契約台帳!$A$3:$K$4986,9,FALSE)&amp;VLOOKUP(D26,契約台帳!$A$3:$K$4986,11,FALSE))</f>
        <v/>
      </c>
      <c r="G26" s="269" t="str">
        <f>IF(D26="","",VLOOKUP(F26,製品マスタ!$G$5:$H$5002,2,FALSE))</f>
        <v/>
      </c>
      <c r="H26" s="269" t="str">
        <f>IF(D26="","",VLOOKUP(F26,製品マスタ!$G$5:$K$5002,5,FALSE))</f>
        <v/>
      </c>
      <c r="I26" s="270" t="str">
        <f>IF(D26="","",VLOOKUP(F26,製品マスタ!$G$5:$L$5002,6,FALSE))</f>
        <v/>
      </c>
      <c r="J26" s="210"/>
      <c r="K26" s="270" t="str">
        <f>IF(D26="","",VLOOKUP(D26,契約台帳!$A$3:$L$4986,12,FALSE))</f>
        <v/>
      </c>
      <c r="L26" s="270" t="str">
        <f>IF(D26="","",INDEX(製品マスタ!$Q$5:$Q$5002,MATCH('S4'!F26&amp;'S4'!K26,製品マスタ!$AO$5:$AO$5002,0)))</f>
        <v/>
      </c>
      <c r="M26" s="39"/>
      <c r="N26" s="39"/>
      <c r="O26" s="156"/>
      <c r="P26" s="47"/>
      <c r="Q26" s="57"/>
      <c r="R26" s="271" t="str">
        <f ca="1">IF(D26="","",IF(OFFSET(D26,-1,0)&lt;&gt;"","",IF(OR(J26="リード付け",J26="巻足し",J26="巻返しリード付け"),M26,VLOOKUP(D26,契約台帳!$A$3:$N$4986,14,FALSE))))</f>
        <v/>
      </c>
      <c r="S26" s="272" t="str">
        <f ca="1">IF(D26="","",IF(OFFSET(D26,-1,0)&lt;&gt;"","",IF(OR(J26="リード付け",J26="巻足し",J26="巻返しリード付け"),M26,VLOOKUP(D26,契約台帳!$A$3:$O$4986,15,FALSE))))</f>
        <v/>
      </c>
      <c r="T26" s="273" t="str">
        <f ca="1">IF(D26="","",IF(J26="リード付け",N26,IF(J26="巻返しリード付け",N26,IF(J26="巻足し",N26*P26+OFFSET(N26,1,0)*OFFSET(P26,1,0),VLOOKUP(D26,契約台帳!$A$3:$P$4986,16,FALSE)))))</f>
        <v/>
      </c>
      <c r="U26" s="40"/>
      <c r="V26" s="274" t="str">
        <f ca="1">IF(D26="","",IF(OFFSET(D26,-2,0)=D26,"",VLOOKUP(D26,契約台帳!$A$3:$R$4986,18,FALSE)))</f>
        <v/>
      </c>
      <c r="W26" s="269" t="str">
        <f>IF(D26="","",IF(T26="","",IF(OR(J26="巻足し",J26="巻返しリード付け"),"",IF(J26="巻返し",VLOOKUP(F26&amp;K26&amp;M26,製品マスタ!$M$5:$AD$5002,18,FALSE),IF(OR(J26="リード付け",J26="巻返しリード付け"),"原反コア",IF(J26="スリット",VLOOKUP(F26&amp;K26&amp;R26,製品マスタ!$N$5:$AD$5002,17,FALSE),""))))))</f>
        <v/>
      </c>
      <c r="X26" s="269" t="str">
        <f>IF(D26="","",IF(T26="","",IF(J26="巻足し","",IF(J26="巻返し",VLOOKUP(F26&amp;K26&amp;M26,製品マスタ!$M$5:$AE$5002,19,FALSE),IF(OR(J26="リード付け",J26="巻返しリード付け"),"",IF(J26="スリット",VLOOKUP(F26&amp;K26&amp;R26,製品マスタ!$N$5:$AE$5002,18,FALSE),""))))))</f>
        <v/>
      </c>
      <c r="Y26" s="275" t="str">
        <f>IF(D26="","",IF(T26="","",VLOOKUP(D26,契約台帳!$A$3:$Q$4986,17,FALSE)))</f>
        <v/>
      </c>
      <c r="Z26" s="269" t="str">
        <f>IF(D26="","",IF(T26="","",VLOOKUP(D26,契約台帳!$A$3:$E$4986,5,FALSE)))</f>
        <v/>
      </c>
      <c r="AA26" s="57"/>
      <c r="AB26" s="207" t="str">
        <f>IFERROR((VLOOKUP(F26&amp;K26&amp;M26,製品マスタ!$M$5:$AM$5002,27,FALSE)),"")</f>
        <v/>
      </c>
      <c r="AC26" s="33"/>
      <c r="AD26" s="189"/>
      <c r="AE26" s="54"/>
      <c r="AF26" s="55"/>
      <c r="AG26" s="43"/>
      <c r="AH26" s="47"/>
      <c r="AI26" s="30"/>
      <c r="AJ26" s="30"/>
      <c r="AK26" s="30"/>
      <c r="AL26" s="30"/>
      <c r="AM26" s="13"/>
      <c r="AN26" s="13"/>
      <c r="AO26" s="13"/>
      <c r="AP26" s="13"/>
      <c r="AQ26" s="13"/>
      <c r="AR26" s="14"/>
      <c r="AS26" s="15"/>
    </row>
    <row r="27" spans="1:45" s="17" customFormat="1" ht="30.95" hidden="1" customHeight="1" x14ac:dyDescent="0.2">
      <c r="A27" s="37"/>
      <c r="B27" s="38"/>
      <c r="C27" s="45"/>
      <c r="D27" s="31">
        <v>3694111</v>
      </c>
      <c r="E27" s="279">
        <v>4161771</v>
      </c>
      <c r="F27" s="268" t="str">
        <f>IF(D27="","",VLOOKUP(D27,契約台帳!$A$3:$K$4986,6,FALSE)&amp;VLOOKUP(D27,契約台帳!$A$3:$K$4986,7,FALSE)&amp;VLOOKUP(D27,契約台帳!$A$3:$K$4986,8,FALSE)&amp;VLOOKUP(D27,契約台帳!$A$3:$K$4986,9,FALSE)&amp;VLOOKUP(D27,契約台帳!$A$3:$K$4986,11,FALSE))</f>
        <v>3SNMLBMNGTBF</v>
      </c>
      <c r="G27" s="269" t="str">
        <f>IF(D27="","",VLOOKUP(F27,製品マスタ!$G$5:$H$5002,2,FALSE))</f>
        <v>S</v>
      </c>
      <c r="H27" s="269" t="str">
        <f>IF(D27="","",VLOOKUP(F27,製品マスタ!$G$5:$K$5002,5,FALSE))</f>
        <v>MNGTBF</v>
      </c>
      <c r="I27" s="270" t="str">
        <f>IF(D27="","",VLOOKUP(F27,製品マスタ!$G$5:$L$5002,6,FALSE))</f>
        <v>メタルミー　ネーマー　銀艶　Ｂ</v>
      </c>
      <c r="J27" s="210" t="s">
        <v>736</v>
      </c>
      <c r="K27" s="270">
        <f>IF(D27="","",VLOOKUP(D27,契約台帳!$A$3:$L$4986,12,FALSE))</f>
        <v>50</v>
      </c>
      <c r="L27" s="270" t="str">
        <f>IF(D27="","",INDEX(製品マスタ!$Q$5:$Q$5002,MATCH('S4'!F27&amp;'S4'!K27,製品マスタ!$AO$5:$AO$5002,0)))</f>
        <v>T62</v>
      </c>
      <c r="M27" s="39">
        <v>1120</v>
      </c>
      <c r="N27" s="39">
        <v>5000</v>
      </c>
      <c r="O27" s="156">
        <v>4</v>
      </c>
      <c r="P27" s="47">
        <v>2</v>
      </c>
      <c r="Q27" s="213">
        <v>44566</v>
      </c>
      <c r="R27" s="271">
        <f ca="1">IF(D27="","",IF(OFFSET(D27,-1,0)&lt;&gt;"","",IF(OR(J27="リード付け",J27="巻足し",J27="巻返しリード付け"),M27,VLOOKUP(D27,契約台帳!$A$3:$N$4986,14,FALSE))))</f>
        <v>1120</v>
      </c>
      <c r="S27" s="272">
        <f ca="1">IF(D27="","",IF(OFFSET(D27,-1,0)&lt;&gt;"","",IF(OR(J27="リード付け",J27="巻足し",J27="巻返しリード付け"),M27,VLOOKUP(D27,契約台帳!$A$3:$O$4986,15,FALSE))))</f>
        <v>1120</v>
      </c>
      <c r="T27" s="273">
        <f ca="1">IF(D27="","",IF(J27="リード付け",N27,IF(J27="巻返しリード付け",N27,IF(J27="巻足し",N27*P27+OFFSET(N27,1,0)*OFFSET(P27,1,0),VLOOKUP(D27,契約台帳!$A$3:$P$4986,16,FALSE)))))</f>
        <v>10000</v>
      </c>
      <c r="U27" s="40">
        <v>2</v>
      </c>
      <c r="V27" s="274">
        <f ca="1">IF(D27="","",IF(OFFSET(D27,-2,0)=D27,"",VLOOKUP(D27,契約台帳!$A$3:$R$4986,18,FALSE)))</f>
        <v>12</v>
      </c>
      <c r="W27" s="269" t="str">
        <f ca="1">IF(D27="","",IF(T27="","",IF(OR(J27="巻足し",J27="巻返しリード付け"),"",IF(J27="巻返し",VLOOKUP(F27&amp;K27&amp;M27,製品マスタ!$M$5:$AD$5002,18,FALSE),IF(OR(J27="リード付け",J27="巻返しリード付け"),"原反コア",IF(J27="スリット",VLOOKUP(F27&amp;K27&amp;R27,製品マスタ!$N$5:$AD$5002,17,FALSE),""))))))</f>
        <v/>
      </c>
      <c r="X27" s="269" t="str">
        <f ca="1">IF(D27="","",IF(T27="","",IF(J27="巻足し","",IF(J27="巻返し",VLOOKUP(F27&amp;K27&amp;M27,製品マスタ!$M$5:$AE$5002,19,FALSE),IF(OR(J27="リード付け",J27="巻返しリード付け"),"",IF(J27="スリット",VLOOKUP(F27&amp;K27&amp;R27,製品マスタ!$N$5:$AE$5002,18,FALSE),""))))))</f>
        <v/>
      </c>
      <c r="Y27" s="275">
        <f ca="1">IF(D27="","",IF(T27="","",VLOOKUP(D27,契約台帳!$A$3:$Q$4986,17,FALSE)))</f>
        <v>2</v>
      </c>
      <c r="Z27" s="269" t="str">
        <f ca="1">IF(D27="","",IF(T27="","",VLOOKUP(D27,契約台帳!$A$3:$E$4986,5,FALSE)))</f>
        <v>リンテック㈱</v>
      </c>
      <c r="AA27" s="57"/>
      <c r="AB27" s="207" t="str">
        <f>IFERROR((VLOOKUP(F27&amp;K27&amp;M27,製品マスタ!$M$5:$AM$5002,27,FALSE)),"")</f>
        <v>原反ケース再利用</v>
      </c>
      <c r="AC27" s="33"/>
      <c r="AD27" s="189"/>
      <c r="AE27" s="54"/>
      <c r="AF27" s="55"/>
      <c r="AG27" s="43"/>
      <c r="AH27" s="47"/>
      <c r="AI27" s="30"/>
      <c r="AJ27" s="30"/>
      <c r="AK27" s="30"/>
      <c r="AL27" s="30"/>
      <c r="AM27" s="13"/>
      <c r="AN27" s="13"/>
      <c r="AO27" s="13"/>
      <c r="AP27" s="13"/>
      <c r="AQ27" s="13"/>
      <c r="AR27" s="14"/>
      <c r="AS27" s="15"/>
    </row>
    <row r="28" spans="1:45" s="17" customFormat="1" ht="30.95" hidden="1" customHeight="1" x14ac:dyDescent="0.2">
      <c r="A28" s="37"/>
      <c r="B28" s="38"/>
      <c r="C28" s="45"/>
      <c r="D28" s="31"/>
      <c r="E28" s="279"/>
      <c r="F28" s="268" t="str">
        <f>IF(D28="","",VLOOKUP(D28,契約台帳!$A$3:$K$4986,6,FALSE)&amp;VLOOKUP(D28,契約台帳!$A$3:$K$4986,7,FALSE)&amp;VLOOKUP(D28,契約台帳!$A$3:$K$4986,8,FALSE)&amp;VLOOKUP(D28,契約台帳!$A$3:$K$4986,9,FALSE)&amp;VLOOKUP(D28,契約台帳!$A$3:$K$4986,11,FALSE))</f>
        <v/>
      </c>
      <c r="G28" s="269" t="str">
        <f>IF(D28="","",VLOOKUP(F28,製品マスタ!$G$5:$H$5002,2,FALSE))</f>
        <v/>
      </c>
      <c r="H28" s="269" t="str">
        <f>IF(D28="","",VLOOKUP(F28,製品マスタ!$G$5:$K$5002,5,FALSE))</f>
        <v/>
      </c>
      <c r="I28" s="270" t="str">
        <f>IF(D28="","",VLOOKUP(F28,製品マスタ!$G$5:$L$5002,6,FALSE))</f>
        <v/>
      </c>
      <c r="J28" s="210"/>
      <c r="K28" s="270" t="str">
        <f>IF(D28="","",VLOOKUP(D28,契約台帳!$A$3:$L$4986,12,FALSE))</f>
        <v/>
      </c>
      <c r="L28" s="270" t="str">
        <f>IF(D28="","",INDEX(製品マスタ!$Q$5:$Q$5002,MATCH('S4'!F28&amp;'S4'!K28,製品マスタ!$AO$5:$AO$5002,0)))</f>
        <v/>
      </c>
      <c r="M28" s="39"/>
      <c r="N28" s="39"/>
      <c r="O28" s="156"/>
      <c r="P28" s="47"/>
      <c r="Q28" s="57"/>
      <c r="R28" s="271" t="str">
        <f ca="1">IF(D28="","",IF(OFFSET(D28,-1,0)&lt;&gt;"","",IF(OR(J28="リード付け",J28="巻足し",J28="巻返しリード付け"),M28,VLOOKUP(D28,契約台帳!$A$3:$N$4986,14,FALSE))))</f>
        <v/>
      </c>
      <c r="S28" s="272" t="str">
        <f ca="1">IF(D28="","",IF(OFFSET(D28,-1,0)&lt;&gt;"","",IF(OR(J28="リード付け",J28="巻足し",J28="巻返しリード付け"),M28,VLOOKUP(D28,契約台帳!$A$3:$O$4986,15,FALSE))))</f>
        <v/>
      </c>
      <c r="T28" s="273" t="str">
        <f ca="1">IF(D28="","",IF(J28="リード付け",N28,IF(J28="巻返しリード付け",N28,IF(J28="巻足し",N28*P28+OFFSET(N28,1,0)*OFFSET(P28,1,0),VLOOKUP(D28,契約台帳!$A$3:$P$4986,16,FALSE)))))</f>
        <v/>
      </c>
      <c r="U28" s="40"/>
      <c r="V28" s="274" t="str">
        <f ca="1">IF(D28="","",IF(OFFSET(D28,-2,0)=D28,"",VLOOKUP(D28,契約台帳!$A$3:$R$4986,18,FALSE)))</f>
        <v/>
      </c>
      <c r="W28" s="269" t="str">
        <f>IF(D28="","",IF(T28="","",IF(OR(J28="巻足し",J28="巻返しリード付け"),"",IF(J28="巻返し",VLOOKUP(F28&amp;K28&amp;M28,製品マスタ!$M$5:$AD$5002,18,FALSE),IF(OR(J28="リード付け",J28="巻返しリード付け"),"原反コア",IF(J28="スリット",VLOOKUP(F28&amp;K28&amp;R28,製品マスタ!$N$5:$AD$5002,17,FALSE),""))))))</f>
        <v/>
      </c>
      <c r="X28" s="269" t="str">
        <f>IF(D28="","",IF(T28="","",IF(J28="巻足し","",IF(J28="巻返し",VLOOKUP(F28&amp;K28&amp;M28,製品マスタ!$M$5:$AE$5002,19,FALSE),IF(OR(J28="リード付け",J28="巻返しリード付け"),"",IF(J28="スリット",VLOOKUP(F28&amp;K28&amp;R28,製品マスタ!$N$5:$AE$5002,18,FALSE),""))))))</f>
        <v/>
      </c>
      <c r="Y28" s="275" t="str">
        <f>IF(D28="","",IF(T28="","",VLOOKUP(D28,契約台帳!$A$3:$Q$4986,17,FALSE)))</f>
        <v/>
      </c>
      <c r="Z28" s="269" t="str">
        <f>IF(D28="","",IF(T28="","",VLOOKUP(D28,契約台帳!$A$3:$E$4986,5,FALSE)))</f>
        <v/>
      </c>
      <c r="AA28" s="57"/>
      <c r="AB28" s="207" t="str">
        <f>IFERROR((VLOOKUP(F28&amp;K28&amp;M28,製品マスタ!$M$5:$AM$5002,27,FALSE)),"")</f>
        <v/>
      </c>
      <c r="AC28" s="33"/>
      <c r="AD28" s="189"/>
      <c r="AE28" s="54"/>
      <c r="AF28" s="55"/>
      <c r="AG28" s="43"/>
      <c r="AH28" s="47"/>
      <c r="AI28" s="30"/>
      <c r="AJ28" s="30"/>
      <c r="AK28" s="30"/>
      <c r="AL28" s="30"/>
      <c r="AM28" s="13"/>
      <c r="AN28" s="13"/>
      <c r="AO28" s="13"/>
      <c r="AP28" s="13"/>
      <c r="AQ28" s="13"/>
      <c r="AR28" s="14"/>
      <c r="AS28" s="15"/>
    </row>
    <row r="29" spans="1:45" s="17" customFormat="1" ht="30.95" hidden="1" customHeight="1" x14ac:dyDescent="0.2">
      <c r="A29" s="37" t="s">
        <v>758</v>
      </c>
      <c r="B29" s="38" t="s">
        <v>747</v>
      </c>
      <c r="C29" s="45"/>
      <c r="D29" s="31">
        <v>3694111</v>
      </c>
      <c r="E29" s="279">
        <v>4161771</v>
      </c>
      <c r="F29" s="268" t="str">
        <f>IF(D29="","",VLOOKUP(D29,契約台帳!$A$3:$K$4986,6,FALSE)&amp;VLOOKUP(D29,契約台帳!$A$3:$K$4986,7,FALSE)&amp;VLOOKUP(D29,契約台帳!$A$3:$K$4986,8,FALSE)&amp;VLOOKUP(D29,契約台帳!$A$3:$K$4986,9,FALSE)&amp;VLOOKUP(D29,契約台帳!$A$3:$K$4986,11,FALSE))</f>
        <v>3SNMLBMNGTBF</v>
      </c>
      <c r="G29" s="269" t="str">
        <f>IF(D29="","",VLOOKUP(F29,製品マスタ!$G$5:$H$5002,2,FALSE))</f>
        <v>S</v>
      </c>
      <c r="H29" s="269" t="str">
        <f>IF(D29="","",VLOOKUP(F29,製品マスタ!$G$5:$K$5002,5,FALSE))</f>
        <v>MNGTBF</v>
      </c>
      <c r="I29" s="270" t="str">
        <f>IF(D29="","",VLOOKUP(F29,製品マスタ!$G$5:$L$5002,6,FALSE))</f>
        <v>メタルミー　ネーマー　銀艶　Ｂ</v>
      </c>
      <c r="J29" s="210" t="s">
        <v>736</v>
      </c>
      <c r="K29" s="270">
        <f>IF(D29="","",VLOOKUP(D29,契約台帳!$A$3:$L$4986,12,FALSE))</f>
        <v>50</v>
      </c>
      <c r="L29" s="270" t="str">
        <f>IF(D29="","",INDEX(製品マスタ!$Q$5:$Q$5002,MATCH('S4'!F29&amp;'S4'!K29,製品マスタ!$AO$5:$AO$5002,0)))</f>
        <v>T62</v>
      </c>
      <c r="M29" s="39">
        <v>1120</v>
      </c>
      <c r="N29" s="39">
        <v>5000</v>
      </c>
      <c r="O29" s="156">
        <v>8</v>
      </c>
      <c r="P29" s="47">
        <v>2</v>
      </c>
      <c r="Q29" s="213">
        <v>44566</v>
      </c>
      <c r="R29" s="271">
        <f ca="1">IF(D29="","",IF(OFFSET(D29,-1,0)&lt;&gt;"","",IF(OR(J29="リード付け",J29="巻足し",J29="巻返しリード付け"),M29,VLOOKUP(D29,契約台帳!$A$3:$N$4986,14,FALSE))))</f>
        <v>1120</v>
      </c>
      <c r="S29" s="272">
        <f ca="1">IF(D29="","",IF(OFFSET(D29,-1,0)&lt;&gt;"","",IF(OR(J29="リード付け",J29="巻足し",J29="巻返しリード付け"),M29,VLOOKUP(D29,契約台帳!$A$3:$O$4986,15,FALSE))))</f>
        <v>1120</v>
      </c>
      <c r="T29" s="273">
        <f ca="1">IF(D29="","",IF(J29="リード付け",N29,IF(J29="巻返しリード付け",N29,IF(J29="巻足し",N29*P29+OFFSET(N29,1,0)*OFFSET(P29,1,0),VLOOKUP(D29,契約台帳!$A$3:$P$4986,16,FALSE)))))</f>
        <v>10000</v>
      </c>
      <c r="U29" s="40">
        <v>4</v>
      </c>
      <c r="V29" s="274" t="str">
        <f ca="1">IF(D29="","",IF(OFFSET(D29,-2,0)=D29,"",VLOOKUP(D29,契約台帳!$A$3:$R$4986,18,FALSE)))</f>
        <v/>
      </c>
      <c r="W29" s="269" t="str">
        <f ca="1">IF(D29="","",IF(T29="","",IF(OR(J29="巻足し",J29="巻返しリード付け"),"",IF(J29="巻返し",VLOOKUP(F29&amp;K29&amp;M29,製品マスタ!$M$5:$AD$5002,18,FALSE),IF(OR(J29="リード付け",J29="巻返しリード付け"),"原反コア",IF(J29="スリット",VLOOKUP(F29&amp;K29&amp;R29,製品マスタ!$N$5:$AD$5002,17,FALSE),""))))))</f>
        <v/>
      </c>
      <c r="X29" s="269" t="str">
        <f ca="1">IF(D29="","",IF(T29="","",IF(J29="巻足し","",IF(J29="巻返し",VLOOKUP(F29&amp;K29&amp;M29,製品マスタ!$M$5:$AE$5002,19,FALSE),IF(OR(J29="リード付け",J29="巻返しリード付け"),"",IF(J29="スリット",VLOOKUP(F29&amp;K29&amp;R29,製品マスタ!$N$5:$AE$5002,18,FALSE),""))))))</f>
        <v/>
      </c>
      <c r="Y29" s="275">
        <f ca="1">IF(D29="","",IF(T29="","",VLOOKUP(D29,契約台帳!$A$3:$Q$4986,17,FALSE)))</f>
        <v>2</v>
      </c>
      <c r="Z29" s="269" t="str">
        <f ca="1">IF(D29="","",IF(T29="","",VLOOKUP(D29,契約台帳!$A$3:$E$4986,5,FALSE)))</f>
        <v>リンテック㈱</v>
      </c>
      <c r="AA29" s="57"/>
      <c r="AB29" s="207" t="str">
        <f>IFERROR((VLOOKUP(F29&amp;K29&amp;M29,製品マスタ!$M$5:$AM$5002,27,FALSE)),"")</f>
        <v>原反ケース再利用</v>
      </c>
      <c r="AC29" s="33"/>
      <c r="AD29" s="189"/>
      <c r="AE29" s="54"/>
      <c r="AF29" s="55"/>
      <c r="AG29" s="43"/>
      <c r="AH29" s="47"/>
      <c r="AI29" s="30"/>
      <c r="AJ29" s="30"/>
      <c r="AK29" s="30"/>
      <c r="AL29" s="30"/>
      <c r="AM29" s="13"/>
      <c r="AN29" s="13"/>
      <c r="AO29" s="13"/>
      <c r="AP29" s="13"/>
      <c r="AQ29" s="13"/>
      <c r="AR29" s="14"/>
      <c r="AS29" s="15"/>
    </row>
    <row r="30" spans="1:45" s="17" customFormat="1" ht="30.95" hidden="1" customHeight="1" x14ac:dyDescent="0.2">
      <c r="A30" s="37"/>
      <c r="B30" s="38"/>
      <c r="C30" s="45"/>
      <c r="D30" s="31"/>
      <c r="E30" s="31"/>
      <c r="F30" s="268" t="str">
        <f>IF(D30="","",VLOOKUP(D30,契約台帳!$A$3:$K$4986,6,FALSE)&amp;VLOOKUP(D30,契約台帳!$A$3:$K$4986,7,FALSE)&amp;VLOOKUP(D30,契約台帳!$A$3:$K$4986,8,FALSE)&amp;VLOOKUP(D30,契約台帳!$A$3:$K$4986,9,FALSE)&amp;VLOOKUP(D30,契約台帳!$A$3:$K$4986,11,FALSE))</f>
        <v/>
      </c>
      <c r="G30" s="269" t="str">
        <f>IF(D30="","",VLOOKUP(F30,製品マスタ!$G$5:$H$5002,2,FALSE))</f>
        <v/>
      </c>
      <c r="H30" s="269" t="str">
        <f>IF(D30="","",VLOOKUP(F30,製品マスタ!$G$5:$K$5002,5,FALSE))</f>
        <v/>
      </c>
      <c r="I30" s="270" t="str">
        <f>IF(D30="","",VLOOKUP(F30,製品マスタ!$G$5:$L$5002,6,FALSE))</f>
        <v/>
      </c>
      <c r="J30" s="210"/>
      <c r="K30" s="270" t="str">
        <f>IF(D30="","",VLOOKUP(D30,契約台帳!$A$3:$L$4986,12,FALSE))</f>
        <v/>
      </c>
      <c r="L30" s="270" t="str">
        <f>IF(D30="","",INDEX(製品マスタ!$Q$5:$Q$5002,MATCH('S4'!F30&amp;'S4'!K30,製品マスタ!$AO$5:$AO$5002,0)))</f>
        <v/>
      </c>
      <c r="M30" s="39"/>
      <c r="N30" s="39"/>
      <c r="O30" s="156"/>
      <c r="P30" s="47"/>
      <c r="Q30" s="57"/>
      <c r="R30" s="271" t="str">
        <f ca="1">IF(D30="","",IF(OFFSET(D30,-1,0)&lt;&gt;"","",IF(OR(J30="リード付け",J30="巻足し",J30="巻返しリード付け"),M30,VLOOKUP(D30,契約台帳!$A$3:$N$4986,14,FALSE))))</f>
        <v/>
      </c>
      <c r="S30" s="272" t="str">
        <f ca="1">IF(D30="","",IF(OFFSET(D30,-1,0)&lt;&gt;"","",IF(OR(J30="リード付け",J30="巻足し",J30="巻返しリード付け"),M30,VLOOKUP(D30,契約台帳!$A$3:$O$4986,15,FALSE))))</f>
        <v/>
      </c>
      <c r="T30" s="273" t="str">
        <f ca="1">IF(D30="","",IF(J30="リード付け",N30,IF(J30="巻返しリード付け",N30,IF(J30="巻足し",N30*P30+OFFSET(N30,1,0)*OFFSET(P30,1,0),VLOOKUP(D30,契約台帳!$A$3:$P$4986,16,FALSE)))))</f>
        <v/>
      </c>
      <c r="U30" s="40"/>
      <c r="V30" s="274" t="str">
        <f ca="1">IF(D30="","",IF(OFFSET(D30,-2,0)=D30,"",VLOOKUP(D30,契約台帳!$A$3:$R$4986,18,FALSE)))</f>
        <v/>
      </c>
      <c r="W30" s="269" t="str">
        <f>IF(D30="","",IF(T30="","",IF(OR(J30="巻足し",J30="巻返しリード付け"),"",IF(J30="巻返し",VLOOKUP(F30&amp;K30&amp;M30,製品マスタ!$M$5:$AD$5002,18,FALSE),IF(OR(J30="リード付け",J30="巻返しリード付け"),"原反コア",IF(J30="スリット",VLOOKUP(F30&amp;K30&amp;R30,製品マスタ!$N$5:$AD$5002,17,FALSE),""))))))</f>
        <v/>
      </c>
      <c r="X30" s="269" t="str">
        <f>IF(D30="","",IF(T30="","",IF(J30="巻足し","",IF(J30="巻返し",VLOOKUP(F30&amp;K30&amp;M30,製品マスタ!$M$5:$AE$5002,19,FALSE),IF(OR(J30="リード付け",J30="巻返しリード付け"),"",IF(J30="スリット",VLOOKUP(F30&amp;K30&amp;R30,製品マスタ!$N$5:$AE$5002,18,FALSE),""))))))</f>
        <v/>
      </c>
      <c r="Y30" s="275" t="str">
        <f>IF(D30="","",IF(T30="","",VLOOKUP(D30,契約台帳!$A$3:$Q$4986,17,FALSE)))</f>
        <v/>
      </c>
      <c r="Z30" s="269" t="str">
        <f>IF(D30="","",IF(T30="","",VLOOKUP(D30,契約台帳!$A$3:$E$4986,5,FALSE)))</f>
        <v/>
      </c>
      <c r="AA30" s="57"/>
      <c r="AB30" s="207" t="str">
        <f>IFERROR((VLOOKUP(F30&amp;K30&amp;M30,製品マスタ!$M$5:$AM$5002,27,FALSE)),"")</f>
        <v/>
      </c>
      <c r="AC30" s="33"/>
      <c r="AD30" s="189"/>
      <c r="AE30" s="54"/>
      <c r="AF30" s="55"/>
      <c r="AG30" s="43"/>
      <c r="AH30" s="47"/>
      <c r="AI30" s="30"/>
      <c r="AJ30" s="30"/>
      <c r="AK30" s="30"/>
      <c r="AL30" s="30"/>
      <c r="AM30" s="13"/>
      <c r="AN30" s="13"/>
      <c r="AO30" s="13"/>
      <c r="AP30" s="13"/>
      <c r="AQ30" s="13"/>
      <c r="AR30" s="14"/>
      <c r="AS30" s="15"/>
    </row>
    <row r="31" spans="1:45" s="17" customFormat="1" ht="30.95" hidden="1" customHeight="1" x14ac:dyDescent="0.2">
      <c r="A31" s="37"/>
      <c r="B31" s="38"/>
      <c r="C31" s="45"/>
      <c r="D31" s="31">
        <v>3694120</v>
      </c>
      <c r="E31" s="31">
        <v>4161787</v>
      </c>
      <c r="F31" s="268" t="str">
        <f>IF(D31="","",VLOOKUP(D31,契約台帳!$A$3:$K$4986,6,FALSE)&amp;VLOOKUP(D31,契約台帳!$A$3:$K$4986,7,FALSE)&amp;VLOOKUP(D31,契約台帳!$A$3:$K$4986,8,FALSE)&amp;VLOOKUP(D31,契約台帳!$A$3:$K$4986,9,FALSE)&amp;VLOOKUP(D31,契約台帳!$A$3:$K$4986,11,FALSE))</f>
        <v>3SNMLBMNQR66F</v>
      </c>
      <c r="G31" s="269" t="str">
        <f>IF(D31="","",VLOOKUP(F31,製品マスタ!$G$5:$H$5002,2,FALSE))</f>
        <v>S</v>
      </c>
      <c r="H31" s="269" t="str">
        <f>IF(D31="","",VLOOKUP(F31,製品マスタ!$G$5:$K$5002,5,FALSE))</f>
        <v>MNQR66F</v>
      </c>
      <c r="I31" s="270" t="str">
        <f>IF(D31="","",VLOOKUP(F31,製品マスタ!$G$5:$L$5002,6,FALSE))</f>
        <v>ＱＲ６６蒸着品</v>
      </c>
      <c r="J31" s="210" t="s">
        <v>736</v>
      </c>
      <c r="K31" s="270">
        <f>IF(D31="","",VLOOKUP(D31,契約台帳!$A$3:$L$4986,12,FALSE))</f>
        <v>25</v>
      </c>
      <c r="L31" s="270" t="str">
        <f>IF(D31="","",INDEX(製品マスタ!$Q$5:$Q$5002,MATCH('S4'!F31&amp;'S4'!K31,製品マスタ!$AO$5:$AO$5002,0)))</f>
        <v>E315</v>
      </c>
      <c r="M31" s="39">
        <v>1100</v>
      </c>
      <c r="N31" s="39">
        <v>6000</v>
      </c>
      <c r="O31" s="156">
        <v>8</v>
      </c>
      <c r="P31" s="47">
        <v>4</v>
      </c>
      <c r="Q31" s="213">
        <v>44566</v>
      </c>
      <c r="R31" s="271">
        <f ca="1">IF(D31="","",IF(OFFSET(D31,-1,0)&lt;&gt;"","",IF(OR(J31="リード付け",J31="巻足し",J31="巻返しリード付け"),M31,VLOOKUP(D31,契約台帳!$A$3:$N$4986,14,FALSE))))</f>
        <v>1100</v>
      </c>
      <c r="S31" s="272">
        <f ca="1">IF(D31="","",IF(OFFSET(D31,-1,0)&lt;&gt;"","",IF(OR(J31="リード付け",J31="巻足し",J31="巻返しリード付け"),M31,VLOOKUP(D31,契約台帳!$A$3:$O$4986,15,FALSE))))</f>
        <v>1100</v>
      </c>
      <c r="T31" s="273">
        <f ca="1">IF(D31="","",IF(J31="リード付け",N31,IF(J31="巻返しリード付け",N31,IF(J31="巻足し",N31*P31+OFFSET(N31,1,0)*OFFSET(P31,1,0),VLOOKUP(D31,契約台帳!$A$3:$P$4986,16,FALSE)))))</f>
        <v>24000</v>
      </c>
      <c r="U31" s="40">
        <v>2</v>
      </c>
      <c r="V31" s="274">
        <f ca="1">IF(D31="","",IF(OFFSET(D31,-2,0)=D31,"",VLOOKUP(D31,契約台帳!$A$3:$R$4986,18,FALSE)))</f>
        <v>20</v>
      </c>
      <c r="W31" s="269" t="str">
        <f ca="1">IF(D31="","",IF(T31="","",IF(OR(J31="巻足し",J31="巻返しリード付け"),"",IF(J31="巻返し",VLOOKUP(F31&amp;K31&amp;M31,製品マスタ!$M$5:$AD$5002,18,FALSE),IF(OR(J31="リード付け",J31="巻返しリード付け"),"原反コア",IF(J31="スリット",VLOOKUP(F31&amp;K31&amp;R31,製品マスタ!$N$5:$AD$5002,17,FALSE),""))))))</f>
        <v/>
      </c>
      <c r="X31" s="269" t="str">
        <f ca="1">IF(D31="","",IF(T31="","",IF(J31="巻足し","",IF(J31="巻返し",VLOOKUP(F31&amp;K31&amp;M31,製品マスタ!$M$5:$AE$5002,19,FALSE),IF(OR(J31="リード付け",J31="巻返しリード付け"),"",IF(J31="スリット",VLOOKUP(F31&amp;K31&amp;R31,製品マスタ!$N$5:$AE$5002,18,FALSE),""))))))</f>
        <v/>
      </c>
      <c r="Y31" s="275">
        <f ca="1">IF(D31="","",IF(T31="","",VLOOKUP(D31,契約台帳!$A$3:$Q$4986,17,FALSE)))</f>
        <v>2</v>
      </c>
      <c r="Z31" s="269" t="str">
        <f ca="1">IF(D31="","",IF(T31="","",VLOOKUP(D31,契約台帳!$A$3:$E$4986,5,FALSE)))</f>
        <v>リンテック㈱</v>
      </c>
      <c r="AA31" s="57"/>
      <c r="AB31" s="207" t="str">
        <f>IFERROR((VLOOKUP(F31&amp;K31&amp;M31,製品マスタ!$M$5:$AM$5002,27,FALSE)),"")</f>
        <v>原反ケース再利用</v>
      </c>
      <c r="AC31" s="33"/>
      <c r="AD31" s="189"/>
      <c r="AE31" s="54"/>
      <c r="AF31" s="55"/>
      <c r="AG31" s="43"/>
      <c r="AH31" s="47"/>
      <c r="AI31" s="30"/>
      <c r="AJ31" s="30"/>
      <c r="AK31" s="30"/>
      <c r="AL31" s="30"/>
      <c r="AM31" s="13"/>
      <c r="AN31" s="13"/>
      <c r="AO31" s="13"/>
      <c r="AP31" s="13"/>
      <c r="AQ31" s="13"/>
      <c r="AR31" s="14"/>
      <c r="AS31" s="15"/>
    </row>
    <row r="32" spans="1:45" s="17" customFormat="1" ht="30.95" hidden="1" customHeight="1" x14ac:dyDescent="0.2">
      <c r="A32" s="37"/>
      <c r="B32" s="38"/>
      <c r="C32" s="45"/>
      <c r="D32" s="31"/>
      <c r="E32" s="31"/>
      <c r="F32" s="268" t="str">
        <f>IF(D32="","",VLOOKUP(D32,契約台帳!$A$3:$K$4986,6,FALSE)&amp;VLOOKUP(D32,契約台帳!$A$3:$K$4986,7,FALSE)&amp;VLOOKUP(D32,契約台帳!$A$3:$K$4986,8,FALSE)&amp;VLOOKUP(D32,契約台帳!$A$3:$K$4986,9,FALSE)&amp;VLOOKUP(D32,契約台帳!$A$3:$K$4986,11,FALSE))</f>
        <v/>
      </c>
      <c r="G32" s="269" t="str">
        <f>IF(D32="","",VLOOKUP(F32,製品マスタ!$G$5:$H$5002,2,FALSE))</f>
        <v/>
      </c>
      <c r="H32" s="269" t="str">
        <f>IF(D32="","",VLOOKUP(F32,製品マスタ!$G$5:$K$5002,5,FALSE))</f>
        <v/>
      </c>
      <c r="I32" s="270" t="str">
        <f>IF(D32="","",VLOOKUP(F32,製品マスタ!$G$5:$L$5002,6,FALSE))</f>
        <v/>
      </c>
      <c r="J32" s="210"/>
      <c r="K32" s="270" t="str">
        <f>IF(D32="","",VLOOKUP(D32,契約台帳!$A$3:$L$4986,12,FALSE))</f>
        <v/>
      </c>
      <c r="L32" s="270" t="str">
        <f>IF(D32="","",INDEX(製品マスタ!$Q$5:$Q$5002,MATCH('S4'!F32&amp;'S4'!K32,製品マスタ!$AO$5:$AO$5002,0)))</f>
        <v/>
      </c>
      <c r="M32" s="39"/>
      <c r="N32" s="39"/>
      <c r="O32" s="156"/>
      <c r="P32" s="47"/>
      <c r="Q32" s="57"/>
      <c r="R32" s="271" t="str">
        <f ca="1">IF(D32="","",IF(OFFSET(D32,-1,0)&lt;&gt;"","",IF(OR(J32="リード付け",J32="巻足し",J32="巻返しリード付け"),M32,VLOOKUP(D32,契約台帳!$A$3:$N$4986,14,FALSE))))</f>
        <v/>
      </c>
      <c r="S32" s="272" t="str">
        <f ca="1">IF(D32="","",IF(OFFSET(D32,-1,0)&lt;&gt;"","",IF(OR(J32="リード付け",J32="巻足し",J32="巻返しリード付け"),M32,VLOOKUP(D32,契約台帳!$A$3:$O$4986,15,FALSE))))</f>
        <v/>
      </c>
      <c r="T32" s="273" t="str">
        <f ca="1">IF(D32="","",IF(J32="リード付け",N32,IF(J32="巻返しリード付け",N32,IF(J32="巻足し",N32*P32+OFFSET(N32,1,0)*OFFSET(P32,1,0),VLOOKUP(D32,契約台帳!$A$3:$P$4986,16,FALSE)))))</f>
        <v/>
      </c>
      <c r="U32" s="40"/>
      <c r="V32" s="274" t="str">
        <f ca="1">IF(D32="","",IF(OFFSET(D32,-2,0)=D32,"",VLOOKUP(D32,契約台帳!$A$3:$R$4986,18,FALSE)))</f>
        <v/>
      </c>
      <c r="W32" s="269" t="str">
        <f>IF(D32="","",IF(T32="","",IF(OR(J32="巻足し",J32="巻返しリード付け"),"",IF(J32="巻返し",VLOOKUP(F32&amp;K32&amp;M32,製品マスタ!$M$5:$AD$5002,18,FALSE),IF(OR(J32="リード付け",J32="巻返しリード付け"),"原反コア",IF(J32="スリット",VLOOKUP(F32&amp;K32&amp;R32,製品マスタ!$N$5:$AD$5002,17,FALSE),""))))))</f>
        <v/>
      </c>
      <c r="X32" s="269" t="str">
        <f>IF(D32="","",IF(T32="","",IF(J32="巻足し","",IF(J32="巻返し",VLOOKUP(F32&amp;K32&amp;M32,製品マスタ!$M$5:$AE$5002,19,FALSE),IF(OR(J32="リード付け",J32="巻返しリード付け"),"",IF(J32="スリット",VLOOKUP(F32&amp;K32&amp;R32,製品マスタ!$N$5:$AE$5002,18,FALSE),""))))))</f>
        <v/>
      </c>
      <c r="Y32" s="275" t="str">
        <f>IF(D32="","",IF(T32="","",VLOOKUP(D32,契約台帳!$A$3:$Q$4986,17,FALSE)))</f>
        <v/>
      </c>
      <c r="Z32" s="269" t="str">
        <f>IF(D32="","",IF(T32="","",VLOOKUP(D32,契約台帳!$A$3:$E$4986,5,FALSE)))</f>
        <v/>
      </c>
      <c r="AA32" s="57"/>
      <c r="AB32" s="207" t="str">
        <f>IFERROR((VLOOKUP(F32&amp;K32&amp;M32,製品マスタ!$M$5:$AM$5002,27,FALSE)),"")</f>
        <v/>
      </c>
      <c r="AC32" s="33"/>
      <c r="AD32" s="189"/>
      <c r="AE32" s="54"/>
      <c r="AF32" s="55"/>
      <c r="AG32" s="43"/>
      <c r="AH32" s="47"/>
      <c r="AI32" s="30"/>
      <c r="AJ32" s="30"/>
      <c r="AK32" s="30"/>
      <c r="AL32" s="30"/>
      <c r="AM32" s="13"/>
      <c r="AN32" s="13"/>
      <c r="AO32" s="13"/>
      <c r="AP32" s="13"/>
      <c r="AQ32" s="13"/>
      <c r="AR32" s="14"/>
      <c r="AS32" s="15"/>
    </row>
    <row r="33" spans="1:45" s="17" customFormat="1" ht="30.95" hidden="1" customHeight="1" x14ac:dyDescent="0.2">
      <c r="A33" s="37" t="s">
        <v>759</v>
      </c>
      <c r="B33" s="38" t="s">
        <v>748</v>
      </c>
      <c r="C33" s="45"/>
      <c r="D33" s="31"/>
      <c r="E33" s="31"/>
      <c r="F33" s="268" t="str">
        <f>IF(D33="","",VLOOKUP(D33,契約台帳!$A$3:$K$4986,6,FALSE)&amp;VLOOKUP(D33,契約台帳!$A$3:$K$4986,7,FALSE)&amp;VLOOKUP(D33,契約台帳!$A$3:$K$4986,8,FALSE)&amp;VLOOKUP(D33,契約台帳!$A$3:$K$4986,9,FALSE)&amp;VLOOKUP(D33,契約台帳!$A$3:$K$4986,11,FALSE))</f>
        <v/>
      </c>
      <c r="G33" s="269" t="str">
        <f>IF(D33="","",VLOOKUP(F33,製品マスタ!$G$5:$H$5002,2,FALSE))</f>
        <v/>
      </c>
      <c r="H33" s="269" t="str">
        <f>IF(D33="","",VLOOKUP(F33,製品マスタ!$G$5:$K$5002,5,FALSE))</f>
        <v/>
      </c>
      <c r="I33" s="270" t="str">
        <f>IF(D33="","",VLOOKUP(F33,製品マスタ!$G$5:$L$5002,6,FALSE))</f>
        <v/>
      </c>
      <c r="J33" s="210" t="s">
        <v>448</v>
      </c>
      <c r="K33" s="270" t="str">
        <f>IF(D33="","",VLOOKUP(D33,契約台帳!$A$3:$L$4986,12,FALSE))</f>
        <v/>
      </c>
      <c r="L33" s="270" t="str">
        <f>IF(D33="","",INDEX(製品マスタ!$Q$5:$Q$5002,MATCH('S4'!F33&amp;'S4'!K33,製品マスタ!$AO$5:$AO$5002,0)))</f>
        <v/>
      </c>
      <c r="M33" s="39"/>
      <c r="N33" s="39"/>
      <c r="O33" s="156"/>
      <c r="P33" s="47"/>
      <c r="Q33" s="57"/>
      <c r="R33" s="271" t="str">
        <f ca="1">IF(D33="","",IF(OFFSET(D33,-1,0)&lt;&gt;"","",IF(OR(J33="リード付け",J33="巻足し",J33="巻返しリード付け"),M33,VLOOKUP(D33,契約台帳!$A$3:$N$4986,14,FALSE))))</f>
        <v/>
      </c>
      <c r="S33" s="272" t="str">
        <f ca="1">IF(D33="","",IF(OFFSET(D33,-1,0)&lt;&gt;"","",IF(OR(J33="リード付け",J33="巻足し",J33="巻返しリード付け"),M33,VLOOKUP(D33,契約台帳!$A$3:$O$4986,15,FALSE))))</f>
        <v/>
      </c>
      <c r="T33" s="273" t="str">
        <f ca="1">IF(D33="","",IF(J33="リード付け",N33,IF(J33="巻返しリード付け",N33,IF(J33="巻足し",N33*P33+OFFSET(N33,1,0)*OFFSET(P33,1,0),VLOOKUP(D33,契約台帳!$A$3:$P$4986,16,FALSE)))))</f>
        <v/>
      </c>
      <c r="U33" s="40"/>
      <c r="V33" s="274" t="str">
        <f ca="1">IF(D33="","",IF(OFFSET(D33,-2,0)=D33,"",VLOOKUP(D33,契約台帳!$A$3:$R$4986,18,FALSE)))</f>
        <v/>
      </c>
      <c r="W33" s="269" t="str">
        <f>IF(D33="","",IF(T33="","",IF(OR(J33="巻足し",J33="巻返しリード付け"),"",IF(J33="巻返し",VLOOKUP(F33&amp;K33&amp;M33,製品マスタ!$M$5:$AD$5002,18,FALSE),IF(OR(J33="リード付け",J33="巻返しリード付け"),"原反コア",IF(J33="スリット",VLOOKUP(F33&amp;K33&amp;R33,製品マスタ!$N$5:$AD$5002,17,FALSE),""))))))</f>
        <v/>
      </c>
      <c r="X33" s="269" t="str">
        <f>IF(D33="","",IF(T33="","",IF(J33="巻足し","",IF(J33="巻返し",VLOOKUP(F33&amp;K33&amp;M33,製品マスタ!$M$5:$AE$5002,19,FALSE),IF(OR(J33="リード付け",J33="巻返しリード付け"),"",IF(J33="スリット",VLOOKUP(F33&amp;K33&amp;R33,製品マスタ!$N$5:$AE$5002,18,FALSE),""))))))</f>
        <v/>
      </c>
      <c r="Y33" s="275" t="str">
        <f>IF(D33="","",IF(T33="","",VLOOKUP(D33,契約台帳!$A$3:$Q$4986,17,FALSE)))</f>
        <v/>
      </c>
      <c r="Z33" s="269" t="str">
        <f>IF(D33="","",IF(T33="","",VLOOKUP(D33,契約台帳!$A$3:$E$4986,5,FALSE)))</f>
        <v/>
      </c>
      <c r="AA33" s="57"/>
      <c r="AB33" s="207" t="str">
        <f>IFERROR((VLOOKUP(F33&amp;K33&amp;M33,製品マスタ!$M$5:$AM$5002,27,FALSE)),"")</f>
        <v/>
      </c>
      <c r="AC33" s="33"/>
      <c r="AD33" s="189"/>
      <c r="AE33" s="54"/>
      <c r="AF33" s="55"/>
      <c r="AG33" s="43"/>
      <c r="AH33" s="47"/>
      <c r="AI33" s="30"/>
      <c r="AJ33" s="30"/>
      <c r="AK33" s="30"/>
      <c r="AL33" s="30"/>
      <c r="AM33" s="13"/>
      <c r="AN33" s="13"/>
      <c r="AO33" s="13"/>
      <c r="AP33" s="13"/>
      <c r="AQ33" s="13"/>
      <c r="AR33" s="14"/>
      <c r="AS33" s="15"/>
    </row>
    <row r="34" spans="1:45" s="17" customFormat="1" ht="30.95" hidden="1" customHeight="1" x14ac:dyDescent="0.2">
      <c r="A34" s="37"/>
      <c r="B34" s="38"/>
      <c r="C34" s="45"/>
      <c r="D34" s="31"/>
      <c r="E34" s="31"/>
      <c r="F34" s="268" t="str">
        <f>IF(D34="","",VLOOKUP(D34,契約台帳!$A$3:$K$4986,6,FALSE)&amp;VLOOKUP(D34,契約台帳!$A$3:$K$4986,7,FALSE)&amp;VLOOKUP(D34,契約台帳!$A$3:$K$4986,8,FALSE)&amp;VLOOKUP(D34,契約台帳!$A$3:$K$4986,9,FALSE)&amp;VLOOKUP(D34,契約台帳!$A$3:$K$4986,11,FALSE))</f>
        <v/>
      </c>
      <c r="G34" s="269" t="str">
        <f>IF(D34="","",VLOOKUP(F34,製品マスタ!$G$5:$H$5002,2,FALSE))</f>
        <v/>
      </c>
      <c r="H34" s="269" t="str">
        <f>IF(D34="","",VLOOKUP(F34,製品マスタ!$G$5:$K$5002,5,FALSE))</f>
        <v/>
      </c>
      <c r="I34" s="270" t="str">
        <f>IF(D34="","",VLOOKUP(F34,製品マスタ!$G$5:$L$5002,6,FALSE))</f>
        <v/>
      </c>
      <c r="J34" s="210"/>
      <c r="K34" s="270" t="str">
        <f>IF(D34="","",VLOOKUP(D34,契約台帳!$A$3:$L$4986,12,FALSE))</f>
        <v/>
      </c>
      <c r="L34" s="270" t="str">
        <f>IF(D34="","",INDEX(製品マスタ!$Q$5:$Q$5002,MATCH('S4'!F34&amp;'S4'!K34,製品マスタ!$AO$5:$AO$5002,0)))</f>
        <v/>
      </c>
      <c r="M34" s="39"/>
      <c r="N34" s="39"/>
      <c r="O34" s="156"/>
      <c r="P34" s="47"/>
      <c r="Q34" s="57"/>
      <c r="R34" s="271" t="str">
        <f ca="1">IF(D34="","",IF(OFFSET(D34,-1,0)&lt;&gt;"","",IF(OR(J34="リード付け",J34="巻足し",J34="巻返しリード付け"),M34,VLOOKUP(D34,契約台帳!$A$3:$N$4986,14,FALSE))))</f>
        <v/>
      </c>
      <c r="S34" s="272" t="str">
        <f ca="1">IF(D34="","",IF(OFFSET(D34,-1,0)&lt;&gt;"","",IF(OR(J34="リード付け",J34="巻足し",J34="巻返しリード付け"),M34,VLOOKUP(D34,契約台帳!$A$3:$O$4986,15,FALSE))))</f>
        <v/>
      </c>
      <c r="T34" s="273" t="str">
        <f ca="1">IF(D34="","",IF(J34="リード付け",N34,IF(J34="巻返しリード付け",N34,IF(J34="巻足し",N34*P34+OFFSET(N34,1,0)*OFFSET(P34,1,0),VLOOKUP(D34,契約台帳!$A$3:$P$4986,16,FALSE)))))</f>
        <v/>
      </c>
      <c r="U34" s="40"/>
      <c r="V34" s="274" t="str">
        <f ca="1">IF(D34="","",IF(OFFSET(D34,-2,0)=D34,"",VLOOKUP(D34,契約台帳!$A$3:$R$4986,18,FALSE)))</f>
        <v/>
      </c>
      <c r="W34" s="269" t="str">
        <f>IF(D34="","",IF(T34="","",IF(OR(J34="巻足し",J34="巻返しリード付け"),"",IF(J34="巻返し",VLOOKUP(F34&amp;K34&amp;M34,製品マスタ!$M$5:$AD$5002,18,FALSE),IF(OR(J34="リード付け",J34="巻返しリード付け"),"原反コア",IF(J34="スリット",VLOOKUP(F34&amp;K34&amp;R34,製品マスタ!$N$5:$AD$5002,17,FALSE),""))))))</f>
        <v/>
      </c>
      <c r="X34" s="269" t="str">
        <f>IF(D34="","",IF(T34="","",IF(J34="巻足し","",IF(J34="巻返し",VLOOKUP(F34&amp;K34&amp;M34,製品マスタ!$M$5:$AE$5002,19,FALSE),IF(OR(J34="リード付け",J34="巻返しリード付け"),"",IF(J34="スリット",VLOOKUP(F34&amp;K34&amp;R34,製品マスタ!$N$5:$AE$5002,18,FALSE),""))))))</f>
        <v/>
      </c>
      <c r="Y34" s="275" t="str">
        <f>IF(D34="","",IF(T34="","",VLOOKUP(D34,契約台帳!$A$3:$Q$4986,17,FALSE)))</f>
        <v/>
      </c>
      <c r="Z34" s="269" t="str">
        <f>IF(D34="","",IF(T34="","",VLOOKUP(D34,契約台帳!$A$3:$E$4986,5,FALSE)))</f>
        <v/>
      </c>
      <c r="AA34" s="57"/>
      <c r="AB34" s="207" t="str">
        <f>IFERROR((VLOOKUP(F34&amp;K34&amp;M34,製品マスタ!$M$5:$AM$5002,27,FALSE)),"")</f>
        <v/>
      </c>
      <c r="AC34" s="33"/>
      <c r="AD34" s="189"/>
      <c r="AE34" s="54"/>
      <c r="AF34" s="55"/>
      <c r="AG34" s="43"/>
      <c r="AH34" s="47"/>
      <c r="AI34" s="30"/>
      <c r="AJ34" s="30"/>
      <c r="AK34" s="30"/>
      <c r="AL34" s="30"/>
      <c r="AM34" s="13"/>
      <c r="AN34" s="13"/>
      <c r="AO34" s="13"/>
      <c r="AP34" s="13"/>
      <c r="AQ34" s="13"/>
      <c r="AR34" s="14"/>
      <c r="AS34" s="15"/>
    </row>
    <row r="35" spans="1:45" s="17" customFormat="1" ht="30.95" hidden="1" customHeight="1" x14ac:dyDescent="0.2">
      <c r="A35" s="37" t="s">
        <v>760</v>
      </c>
      <c r="B35" s="38" t="s">
        <v>749</v>
      </c>
      <c r="C35" s="45"/>
      <c r="D35" s="31"/>
      <c r="E35" s="31"/>
      <c r="F35" s="268" t="str">
        <f>IF(D35="","",VLOOKUP(D35,契約台帳!$A$3:$K$4986,6,FALSE)&amp;VLOOKUP(D35,契約台帳!$A$3:$K$4986,7,FALSE)&amp;VLOOKUP(D35,契約台帳!$A$3:$K$4986,8,FALSE)&amp;VLOOKUP(D35,契約台帳!$A$3:$K$4986,9,FALSE)&amp;VLOOKUP(D35,契約台帳!$A$3:$K$4986,11,FALSE))</f>
        <v/>
      </c>
      <c r="G35" s="269" t="str">
        <f>IF(D35="","",VLOOKUP(F35,製品マスタ!$G$5:$H$5002,2,FALSE))</f>
        <v/>
      </c>
      <c r="H35" s="269" t="str">
        <f>IF(D35="","",VLOOKUP(F35,製品マスタ!$G$5:$K$5002,5,FALSE))</f>
        <v/>
      </c>
      <c r="I35" s="270" t="str">
        <f>IF(D35="","",VLOOKUP(F35,製品マスタ!$G$5:$L$5002,6,FALSE))</f>
        <v/>
      </c>
      <c r="J35" s="210" t="s">
        <v>448</v>
      </c>
      <c r="K35" s="270" t="str">
        <f>IF(D35="","",VLOOKUP(D35,契約台帳!$A$3:$L$4986,12,FALSE))</f>
        <v/>
      </c>
      <c r="L35" s="270" t="str">
        <f>IF(D35="","",INDEX(製品マスタ!$Q$5:$Q$5002,MATCH('S4'!F35&amp;'S4'!K35,製品マスタ!$AO$5:$AO$5002,0)))</f>
        <v/>
      </c>
      <c r="M35" s="39"/>
      <c r="N35" s="39"/>
      <c r="O35" s="156"/>
      <c r="P35" s="47"/>
      <c r="Q35" s="57"/>
      <c r="R35" s="271" t="str">
        <f ca="1">IF(D35="","",IF(OFFSET(D35,-1,0)&lt;&gt;"","",IF(OR(J35="リード付け",J35="巻足し",J35="巻返しリード付け"),M35,VLOOKUP(D35,契約台帳!$A$3:$N$4986,14,FALSE))))</f>
        <v/>
      </c>
      <c r="S35" s="272" t="str">
        <f ca="1">IF(D35="","",IF(OFFSET(D35,-1,0)&lt;&gt;"","",IF(OR(J35="リード付け",J35="巻足し",J35="巻返しリード付け"),M35,VLOOKUP(D35,契約台帳!$A$3:$O$4986,15,FALSE))))</f>
        <v/>
      </c>
      <c r="T35" s="273" t="str">
        <f ca="1">IF(D35="","",IF(J35="リード付け",N35,IF(J35="巻返しリード付け",N35,IF(J35="巻足し",N35*P35+OFFSET(N35,1,0)*OFFSET(P35,1,0),VLOOKUP(D35,契約台帳!$A$3:$P$4986,16,FALSE)))))</f>
        <v/>
      </c>
      <c r="U35" s="40"/>
      <c r="V35" s="274" t="str">
        <f ca="1">IF(D35="","",IF(OFFSET(D35,-2,0)=D35,"",VLOOKUP(D35,契約台帳!$A$3:$R$4986,18,FALSE)))</f>
        <v/>
      </c>
      <c r="W35" s="269" t="str">
        <f>IF(D35="","",IF(T35="","",IF(OR(J35="巻足し",J35="巻返しリード付け"),"",IF(J35="巻返し",VLOOKUP(F35&amp;K35&amp;M35,製品マスタ!$M$5:$AD$5002,18,FALSE),IF(OR(J35="リード付け",J35="巻返しリード付け"),"原反コア",IF(J35="スリット",VLOOKUP(F35&amp;K35&amp;R35,製品マスタ!$N$5:$AD$5002,17,FALSE),""))))))</f>
        <v/>
      </c>
      <c r="X35" s="269" t="str">
        <f>IF(D35="","",IF(T35="","",IF(J35="巻足し","",IF(J35="巻返し",VLOOKUP(F35&amp;K35&amp;M35,製品マスタ!$M$5:$AE$5002,19,FALSE),IF(OR(J35="リード付け",J35="巻返しリード付け"),"",IF(J35="スリット",VLOOKUP(F35&amp;K35&amp;R35,製品マスタ!$N$5:$AE$5002,18,FALSE),""))))))</f>
        <v/>
      </c>
      <c r="Y35" s="275" t="str">
        <f>IF(D35="","",IF(T35="","",VLOOKUP(D35,契約台帳!$A$3:$Q$4986,17,FALSE)))</f>
        <v/>
      </c>
      <c r="Z35" s="269" t="str">
        <f>IF(D35="","",IF(T35="","",VLOOKUP(D35,契約台帳!$A$3:$E$4986,5,FALSE)))</f>
        <v/>
      </c>
      <c r="AA35" s="57"/>
      <c r="AB35" s="207" t="str">
        <f>IFERROR((VLOOKUP(F35&amp;K35&amp;M35,製品マスタ!$M$5:$AM$5002,27,FALSE)),"")</f>
        <v/>
      </c>
      <c r="AC35" s="33"/>
      <c r="AD35" s="189"/>
      <c r="AE35" s="54"/>
      <c r="AF35" s="55"/>
      <c r="AG35" s="43"/>
      <c r="AH35" s="47"/>
      <c r="AI35" s="30"/>
      <c r="AJ35" s="30"/>
      <c r="AK35" s="30"/>
      <c r="AL35" s="30"/>
      <c r="AM35" s="13"/>
      <c r="AN35" s="13"/>
      <c r="AO35" s="13"/>
      <c r="AP35" s="13"/>
      <c r="AQ35" s="13"/>
      <c r="AR35" s="14"/>
      <c r="AS35" s="15"/>
    </row>
    <row r="36" spans="1:45" s="17" customFormat="1" ht="30.95" hidden="1" customHeight="1" x14ac:dyDescent="0.2">
      <c r="A36" s="37"/>
      <c r="B36" s="38"/>
      <c r="C36" s="45"/>
      <c r="D36" s="31"/>
      <c r="E36" s="31"/>
      <c r="F36" s="268" t="str">
        <f>IF(D36="","",VLOOKUP(D36,契約台帳!$A$3:$K$4986,6,FALSE)&amp;VLOOKUP(D36,契約台帳!$A$3:$K$4986,7,FALSE)&amp;VLOOKUP(D36,契約台帳!$A$3:$K$4986,8,FALSE)&amp;VLOOKUP(D36,契約台帳!$A$3:$K$4986,9,FALSE)&amp;VLOOKUP(D36,契約台帳!$A$3:$K$4986,11,FALSE))</f>
        <v/>
      </c>
      <c r="G36" s="269" t="str">
        <f>IF(D36="","",VLOOKUP(F36,製品マスタ!$G$5:$H$5002,2,FALSE))</f>
        <v/>
      </c>
      <c r="H36" s="269" t="str">
        <f>IF(D36="","",VLOOKUP(F36,製品マスタ!$G$5:$K$5002,5,FALSE))</f>
        <v/>
      </c>
      <c r="I36" s="270" t="str">
        <f>IF(D36="","",VLOOKUP(F36,製品マスタ!$G$5:$L$5002,6,FALSE))</f>
        <v/>
      </c>
      <c r="J36" s="210"/>
      <c r="K36" s="270" t="str">
        <f>IF(D36="","",VLOOKUP(D36,契約台帳!$A$3:$L$4986,12,FALSE))</f>
        <v/>
      </c>
      <c r="L36" s="270" t="str">
        <f>IF(D36="","",INDEX(製品マスタ!$Q$5:$Q$5002,MATCH('S4'!F36&amp;'S4'!K36,製品マスタ!$AO$5:$AO$5002,0)))</f>
        <v/>
      </c>
      <c r="M36" s="39"/>
      <c r="N36" s="39"/>
      <c r="O36" s="156"/>
      <c r="P36" s="47"/>
      <c r="Q36" s="57"/>
      <c r="R36" s="271" t="str">
        <f ca="1">IF(D36="","",IF(OFFSET(D36,-1,0)&lt;&gt;"","",IF(OR(J36="リード付け",J36="巻足し",J36="巻返しリード付け"),M36,VLOOKUP(D36,契約台帳!$A$3:$N$4986,14,FALSE))))</f>
        <v/>
      </c>
      <c r="S36" s="272" t="str">
        <f ca="1">IF(D36="","",IF(OFFSET(D36,-1,0)&lt;&gt;"","",IF(OR(J36="リード付け",J36="巻足し",J36="巻返しリード付け"),M36,VLOOKUP(D36,契約台帳!$A$3:$O$4986,15,FALSE))))</f>
        <v/>
      </c>
      <c r="T36" s="273" t="str">
        <f ca="1">IF(D36="","",IF(J36="リード付け",N36,IF(J36="巻返しリード付け",N36,IF(J36="巻足し",N36*P36+OFFSET(N36,1,0)*OFFSET(P36,1,0),VLOOKUP(D36,契約台帳!$A$3:$P$4986,16,FALSE)))))</f>
        <v/>
      </c>
      <c r="U36" s="40"/>
      <c r="V36" s="274" t="str">
        <f ca="1">IF(D36="","",IF(OFFSET(D36,-2,0)=D36,"",VLOOKUP(D36,契約台帳!$A$3:$R$4986,18,FALSE)))</f>
        <v/>
      </c>
      <c r="W36" s="269" t="str">
        <f>IF(D36="","",IF(T36="","",IF(OR(J36="巻足し",J36="巻返しリード付け"),"",IF(J36="巻返し",VLOOKUP(F36&amp;K36&amp;M36,製品マスタ!$M$5:$AD$5002,18,FALSE),IF(OR(J36="リード付け",J36="巻返しリード付け"),"原反コア",IF(J36="スリット",VLOOKUP(F36&amp;K36&amp;R36,製品マスタ!$N$5:$AD$5002,17,FALSE),""))))))</f>
        <v/>
      </c>
      <c r="X36" s="269" t="str">
        <f>IF(D36="","",IF(T36="","",IF(J36="巻足し","",IF(J36="巻返し",VLOOKUP(F36&amp;K36&amp;M36,製品マスタ!$M$5:$AE$5002,19,FALSE),IF(OR(J36="リード付け",J36="巻返しリード付け"),"",IF(J36="スリット",VLOOKUP(F36&amp;K36&amp;R36,製品マスタ!$N$5:$AE$5002,18,FALSE),""))))))</f>
        <v/>
      </c>
      <c r="Y36" s="275" t="str">
        <f>IF(D36="","",IF(T36="","",VLOOKUP(D36,契約台帳!$A$3:$Q$4986,17,FALSE)))</f>
        <v/>
      </c>
      <c r="Z36" s="269" t="str">
        <f>IF(D36="","",IF(T36="","",VLOOKUP(D36,契約台帳!$A$3:$E$4986,5,FALSE)))</f>
        <v/>
      </c>
      <c r="AA36" s="57"/>
      <c r="AB36" s="207" t="str">
        <f>IFERROR((VLOOKUP(F36&amp;K36&amp;M36,製品マスタ!$M$5:$AM$5002,27,FALSE)),"")</f>
        <v/>
      </c>
      <c r="AC36" s="33"/>
      <c r="AD36" s="189"/>
      <c r="AE36" s="54"/>
      <c r="AF36" s="55"/>
      <c r="AG36" s="43"/>
      <c r="AH36" s="47"/>
      <c r="AI36" s="30"/>
      <c r="AJ36" s="30"/>
      <c r="AK36" s="30"/>
      <c r="AL36" s="30"/>
      <c r="AM36" s="13"/>
      <c r="AN36" s="13"/>
      <c r="AO36" s="13"/>
      <c r="AP36" s="13"/>
      <c r="AQ36" s="13"/>
      <c r="AR36" s="14"/>
      <c r="AS36" s="15"/>
    </row>
    <row r="37" spans="1:45" s="17" customFormat="1" ht="30.95" hidden="1" customHeight="1" x14ac:dyDescent="0.2">
      <c r="A37" s="37" t="s">
        <v>761</v>
      </c>
      <c r="B37" s="38" t="s">
        <v>750</v>
      </c>
      <c r="C37" s="45"/>
      <c r="D37" s="31">
        <v>3694120</v>
      </c>
      <c r="E37" s="31">
        <v>4161787</v>
      </c>
      <c r="F37" s="268" t="str">
        <f>IF(D37="","",VLOOKUP(D37,契約台帳!$A$3:$K$4986,6,FALSE)&amp;VLOOKUP(D37,契約台帳!$A$3:$K$4986,7,FALSE)&amp;VLOOKUP(D37,契約台帳!$A$3:$K$4986,8,FALSE)&amp;VLOOKUP(D37,契約台帳!$A$3:$K$4986,9,FALSE)&amp;VLOOKUP(D37,契約台帳!$A$3:$K$4986,11,FALSE))</f>
        <v>3SNMLBMNQR66F</v>
      </c>
      <c r="G37" s="269" t="str">
        <f>IF(D37="","",VLOOKUP(F37,製品マスタ!$G$5:$H$5002,2,FALSE))</f>
        <v>S</v>
      </c>
      <c r="H37" s="269" t="str">
        <f>IF(D37="","",VLOOKUP(F37,製品マスタ!$G$5:$K$5002,5,FALSE))</f>
        <v>MNQR66F</v>
      </c>
      <c r="I37" s="270" t="str">
        <f>IF(D37="","",VLOOKUP(F37,製品マスタ!$G$5:$L$5002,6,FALSE))</f>
        <v>ＱＲ６６蒸着品</v>
      </c>
      <c r="J37" s="210" t="s">
        <v>736</v>
      </c>
      <c r="K37" s="270">
        <f>IF(D37="","",VLOOKUP(D37,契約台帳!$A$3:$L$4986,12,FALSE))</f>
        <v>25</v>
      </c>
      <c r="L37" s="270" t="str">
        <f>IF(D37="","",INDEX(製品マスタ!$Q$5:$Q$5002,MATCH('S4'!F37&amp;'S4'!K37,製品マスタ!$AO$5:$AO$5002,0)))</f>
        <v>E315</v>
      </c>
      <c r="M37" s="39">
        <v>1100</v>
      </c>
      <c r="N37" s="39">
        <v>6000</v>
      </c>
      <c r="O37" s="156">
        <v>12</v>
      </c>
      <c r="P37" s="47">
        <v>3</v>
      </c>
      <c r="Q37" s="213">
        <v>44566</v>
      </c>
      <c r="R37" s="271">
        <f ca="1">IF(D37="","",IF(OFFSET(D37,-1,0)&lt;&gt;"","",IF(OR(J37="リード付け",J37="巻足し",J37="巻返しリード付け"),M37,VLOOKUP(D37,契約台帳!$A$3:$N$4986,14,FALSE))))</f>
        <v>1100</v>
      </c>
      <c r="S37" s="272">
        <f ca="1">IF(D37="","",IF(OFFSET(D37,-1,0)&lt;&gt;"","",IF(OR(J37="リード付け",J37="巻足し",J37="巻返しリード付け"),M37,VLOOKUP(D37,契約台帳!$A$3:$O$4986,15,FALSE))))</f>
        <v>1100</v>
      </c>
      <c r="T37" s="273">
        <f ca="1">IF(D37="","",IF(J37="リード付け",N37,IF(J37="巻返しリード付け",N37,IF(J37="巻足し",N37*P37+OFFSET(N37,1,0)*OFFSET(P37,1,0),VLOOKUP(D37,契約台帳!$A$3:$P$4986,16,FALSE)))))</f>
        <v>18000</v>
      </c>
      <c r="U37" s="40">
        <v>4</v>
      </c>
      <c r="V37" s="274">
        <f ca="1">IF(D37="","",IF(OFFSET(D37,-2,0)=D37,"",VLOOKUP(D37,契約台帳!$A$3:$R$4986,18,FALSE)))</f>
        <v>20</v>
      </c>
      <c r="W37" s="269" t="str">
        <f ca="1">IF(D37="","",IF(T37="","",IF(OR(J37="巻足し",J37="巻返しリード付け"),"",IF(J37="巻返し",VLOOKUP(F37&amp;K37&amp;M37,製品マスタ!$M$5:$AD$5002,18,FALSE),IF(OR(J37="リード付け",J37="巻返しリード付け"),"原反コア",IF(J37="スリット",VLOOKUP(F37&amp;K37&amp;R37,製品マスタ!$N$5:$AD$5002,17,FALSE),""))))))</f>
        <v/>
      </c>
      <c r="X37" s="269" t="str">
        <f ca="1">IF(D37="","",IF(T37="","",IF(J37="巻足し","",IF(J37="巻返し",VLOOKUP(F37&amp;K37&amp;M37,製品マスタ!$M$5:$AE$5002,19,FALSE),IF(OR(J37="リード付け",J37="巻返しリード付け"),"",IF(J37="スリット",VLOOKUP(F37&amp;K37&amp;R37,製品マスタ!$N$5:$AE$5002,18,FALSE),""))))))</f>
        <v/>
      </c>
      <c r="Y37" s="275">
        <f ca="1">IF(D37="","",IF(T37="","",VLOOKUP(D37,契約台帳!$A$3:$Q$4986,17,FALSE)))</f>
        <v>2</v>
      </c>
      <c r="Z37" s="269" t="str">
        <f ca="1">IF(D37="","",IF(T37="","",VLOOKUP(D37,契約台帳!$A$3:$E$4986,5,FALSE)))</f>
        <v>リンテック㈱</v>
      </c>
      <c r="AA37" s="57"/>
      <c r="AB37" s="207" t="str">
        <f>IFERROR((VLOOKUP(F37&amp;K37&amp;M37,製品マスタ!$M$5:$AM$5002,27,FALSE)),"")</f>
        <v>原反ケース再利用</v>
      </c>
      <c r="AC37" s="33"/>
      <c r="AD37" s="189"/>
      <c r="AE37" s="54"/>
      <c r="AF37" s="55"/>
      <c r="AG37" s="43"/>
      <c r="AH37" s="47"/>
      <c r="AI37" s="30"/>
      <c r="AJ37" s="30"/>
      <c r="AK37" s="30"/>
      <c r="AL37" s="30"/>
      <c r="AM37" s="13"/>
      <c r="AN37" s="13"/>
      <c r="AO37" s="13"/>
      <c r="AP37" s="13"/>
      <c r="AQ37" s="13"/>
      <c r="AR37" s="14"/>
      <c r="AS37" s="15"/>
    </row>
    <row r="38" spans="1:45" s="17" customFormat="1" ht="30.95" hidden="1" customHeight="1" x14ac:dyDescent="0.2">
      <c r="A38" s="37"/>
      <c r="B38" s="38"/>
      <c r="C38" s="45"/>
      <c r="D38" s="31"/>
      <c r="E38" s="31"/>
      <c r="F38" s="268" t="str">
        <f>IF(D38="","",VLOOKUP(D38,契約台帳!$A$3:$K$4986,6,FALSE)&amp;VLOOKUP(D38,契約台帳!$A$3:$K$4986,7,FALSE)&amp;VLOOKUP(D38,契約台帳!$A$3:$K$4986,8,FALSE)&amp;VLOOKUP(D38,契約台帳!$A$3:$K$4986,9,FALSE)&amp;VLOOKUP(D38,契約台帳!$A$3:$K$4986,11,FALSE))</f>
        <v/>
      </c>
      <c r="G38" s="269" t="str">
        <f>IF(D38="","",VLOOKUP(F38,製品マスタ!$G$5:$H$5002,2,FALSE))</f>
        <v/>
      </c>
      <c r="H38" s="269" t="str">
        <f>IF(D38="","",VLOOKUP(F38,製品マスタ!$G$5:$K$5002,5,FALSE))</f>
        <v/>
      </c>
      <c r="I38" s="270" t="str">
        <f>IF(D38="","",VLOOKUP(F38,製品マスタ!$G$5:$L$5002,6,FALSE))</f>
        <v/>
      </c>
      <c r="J38" s="210"/>
      <c r="K38" s="270" t="str">
        <f>IF(D38="","",VLOOKUP(D38,契約台帳!$A$3:$L$4986,12,FALSE))</f>
        <v/>
      </c>
      <c r="L38" s="270" t="str">
        <f>IF(D38="","",INDEX(製品マスタ!$Q$5:$Q$5002,MATCH('S4'!F38&amp;'S4'!K38,製品マスタ!$AO$5:$AO$5002,0)))</f>
        <v/>
      </c>
      <c r="M38" s="39"/>
      <c r="N38" s="39"/>
      <c r="O38" s="156"/>
      <c r="P38" s="47"/>
      <c r="Q38" s="57"/>
      <c r="R38" s="271" t="str">
        <f ca="1">IF(D38="","",IF(OFFSET(D38,-1,0)&lt;&gt;"","",IF(OR(J38="リード付け",J38="巻足し",J38="巻返しリード付け"),M38,VLOOKUP(D38,契約台帳!$A$3:$N$4986,14,FALSE))))</f>
        <v/>
      </c>
      <c r="S38" s="272" t="str">
        <f ca="1">IF(D38="","",IF(OFFSET(D38,-1,0)&lt;&gt;"","",IF(OR(J38="リード付け",J38="巻足し",J38="巻返しリード付け"),M38,VLOOKUP(D38,契約台帳!$A$3:$O$4986,15,FALSE))))</f>
        <v/>
      </c>
      <c r="T38" s="273" t="str">
        <f ca="1">IF(D38="","",IF(J38="リード付け",N38,IF(J38="巻返しリード付け",N38,IF(J38="巻足し",N38*P38+OFFSET(N38,1,0)*OFFSET(P38,1,0),VLOOKUP(D38,契約台帳!$A$3:$P$4986,16,FALSE)))))</f>
        <v/>
      </c>
      <c r="U38" s="40"/>
      <c r="V38" s="274" t="str">
        <f ca="1">IF(D38="","",IF(OFFSET(D38,-2,0)=D38,"",VLOOKUP(D38,契約台帳!$A$3:$R$4986,18,FALSE)))</f>
        <v/>
      </c>
      <c r="W38" s="269" t="str">
        <f>IF(D38="","",IF(T38="","",IF(OR(J38="巻足し",J38="巻返しリード付け"),"",IF(J38="巻返し",VLOOKUP(F38&amp;K38&amp;M38,製品マスタ!$M$5:$AD$5002,18,FALSE),IF(OR(J38="リード付け",J38="巻返しリード付け"),"原反コア",IF(J38="スリット",VLOOKUP(F38&amp;K38&amp;R38,製品マスタ!$N$5:$AD$5002,17,FALSE),""))))))</f>
        <v/>
      </c>
      <c r="X38" s="269" t="str">
        <f>IF(D38="","",IF(T38="","",IF(J38="巻足し","",IF(J38="巻返し",VLOOKUP(F38&amp;K38&amp;M38,製品マスタ!$M$5:$AE$5002,19,FALSE),IF(OR(J38="リード付け",J38="巻返しリード付け"),"",IF(J38="スリット",VLOOKUP(F38&amp;K38&amp;R38,製品マスタ!$N$5:$AE$5002,18,FALSE),""))))))</f>
        <v/>
      </c>
      <c r="Y38" s="275" t="str">
        <f>IF(D38="","",IF(T38="","",VLOOKUP(D38,契約台帳!$A$3:$Q$4986,17,FALSE)))</f>
        <v/>
      </c>
      <c r="Z38" s="269" t="str">
        <f>IF(D38="","",IF(T38="","",VLOOKUP(D38,契約台帳!$A$3:$E$4986,5,FALSE)))</f>
        <v/>
      </c>
      <c r="AA38" s="57"/>
      <c r="AB38" s="207" t="str">
        <f>IFERROR((VLOOKUP(F38&amp;K38&amp;M38,製品マスタ!$M$5:$AM$5002,27,FALSE)),"")</f>
        <v/>
      </c>
      <c r="AC38" s="33"/>
      <c r="AD38" s="189"/>
      <c r="AE38" s="54"/>
      <c r="AF38" s="55"/>
      <c r="AG38" s="43"/>
      <c r="AH38" s="47"/>
      <c r="AI38" s="30"/>
      <c r="AJ38" s="30"/>
      <c r="AK38" s="30"/>
      <c r="AL38" s="30"/>
      <c r="AM38" s="13"/>
      <c r="AN38" s="13"/>
      <c r="AO38" s="13"/>
      <c r="AP38" s="13"/>
      <c r="AQ38" s="13"/>
      <c r="AR38" s="14"/>
      <c r="AS38" s="15"/>
    </row>
    <row r="39" spans="1:45" s="17" customFormat="1" ht="30.95" hidden="1" customHeight="1" x14ac:dyDescent="0.2">
      <c r="A39" s="37"/>
      <c r="B39" s="38"/>
      <c r="C39" s="45"/>
      <c r="D39" s="31">
        <v>3694119</v>
      </c>
      <c r="E39" s="31">
        <v>4161786</v>
      </c>
      <c r="F39" s="268" t="str">
        <f>IF(D39="","",VLOOKUP(D39,契約台帳!$A$3:$K$4986,6,FALSE)&amp;VLOOKUP(D39,契約台帳!$A$3:$K$4986,7,FALSE)&amp;VLOOKUP(D39,契約台帳!$A$3:$K$4986,8,FALSE)&amp;VLOOKUP(D39,契約台帳!$A$3:$K$4986,9,FALSE)&amp;VLOOKUP(D39,契約台帳!$A$3:$K$4986,11,FALSE))</f>
        <v>3SNMLBMNQR66F</v>
      </c>
      <c r="G39" s="269" t="str">
        <f>IF(D39="","",VLOOKUP(F39,製品マスタ!$G$5:$H$5002,2,FALSE))</f>
        <v>S</v>
      </c>
      <c r="H39" s="269" t="str">
        <f>IF(D39="","",VLOOKUP(F39,製品マスタ!$G$5:$K$5002,5,FALSE))</f>
        <v>MNQR66F</v>
      </c>
      <c r="I39" s="270" t="str">
        <f>IF(D39="","",VLOOKUP(F39,製品マスタ!$G$5:$L$5002,6,FALSE))</f>
        <v>ＱＲ６６蒸着品</v>
      </c>
      <c r="J39" s="210" t="s">
        <v>736</v>
      </c>
      <c r="K39" s="270">
        <f>IF(D39="","",VLOOKUP(D39,契約台帳!$A$3:$L$4986,12,FALSE))</f>
        <v>25</v>
      </c>
      <c r="L39" s="270" t="str">
        <f>IF(D39="","",INDEX(製品マスタ!$Q$5:$Q$5002,MATCH('S4'!F39&amp;'S4'!K39,製品マスタ!$AO$5:$AO$5002,0)))</f>
        <v>E315</v>
      </c>
      <c r="M39" s="39">
        <v>1000</v>
      </c>
      <c r="N39" s="39">
        <v>6000</v>
      </c>
      <c r="O39" s="156">
        <v>3</v>
      </c>
      <c r="P39" s="47">
        <v>3</v>
      </c>
      <c r="Q39" s="213">
        <v>44566</v>
      </c>
      <c r="R39" s="271">
        <f ca="1">IF(D39="","",IF(OFFSET(D39,-1,0)&lt;&gt;"","",IF(OR(J39="リード付け",J39="巻足し",J39="巻返しリード付け"),M39,VLOOKUP(D39,契約台帳!$A$3:$N$4986,14,FALSE))))</f>
        <v>1000</v>
      </c>
      <c r="S39" s="272">
        <f ca="1">IF(D39="","",IF(OFFSET(D39,-1,0)&lt;&gt;"","",IF(OR(J39="リード付け",J39="巻足し",J39="巻返しリード付け"),M39,VLOOKUP(D39,契約台帳!$A$3:$O$4986,15,FALSE))))</f>
        <v>1000</v>
      </c>
      <c r="T39" s="273">
        <f ca="1">IF(D39="","",IF(J39="リード付け",N39,IF(J39="巻返しリード付け",N39,IF(J39="巻足し",N39*P39+OFFSET(N39,1,0)*OFFSET(P39,1,0),VLOOKUP(D39,契約台帳!$A$3:$P$4986,16,FALSE)))))</f>
        <v>18000</v>
      </c>
      <c r="U39" s="40">
        <v>1</v>
      </c>
      <c r="V39" s="274">
        <f ca="1">IF(D39="","",IF(OFFSET(D39,-2,0)=D39,"",VLOOKUP(D39,契約台帳!$A$3:$R$4986,18,FALSE)))</f>
        <v>8</v>
      </c>
      <c r="W39" s="269" t="str">
        <f ca="1">IF(D39="","",IF(T39="","",IF(OR(J39="巻足し",J39="巻返しリード付け"),"",IF(J39="巻返し",VLOOKUP(F39&amp;K39&amp;M39,製品マスタ!$M$5:$AD$5002,18,FALSE),IF(OR(J39="リード付け",J39="巻返しリード付け"),"原反コア",IF(J39="スリット",VLOOKUP(F39&amp;K39&amp;R39,製品マスタ!$N$5:$AD$5002,17,FALSE),""))))))</f>
        <v/>
      </c>
      <c r="X39" s="269" t="str">
        <f ca="1">IF(D39="","",IF(T39="","",IF(J39="巻足し","",IF(J39="巻返し",VLOOKUP(F39&amp;K39&amp;M39,製品マスタ!$M$5:$AE$5002,19,FALSE),IF(OR(J39="リード付け",J39="巻返しリード付け"),"",IF(J39="スリット",VLOOKUP(F39&amp;K39&amp;R39,製品マスタ!$N$5:$AE$5002,18,FALSE),""))))))</f>
        <v/>
      </c>
      <c r="Y39" s="275">
        <f ca="1">IF(D39="","",IF(T39="","",VLOOKUP(D39,契約台帳!$A$3:$Q$4986,17,FALSE)))</f>
        <v>2</v>
      </c>
      <c r="Z39" s="269" t="str">
        <f ca="1">IF(D39="","",IF(T39="","",VLOOKUP(D39,契約台帳!$A$3:$E$4986,5,FALSE)))</f>
        <v>リンテック㈱</v>
      </c>
      <c r="AA39" s="57"/>
      <c r="AB39" s="207" t="str">
        <f>IFERROR((VLOOKUP(F39&amp;K39&amp;M39,製品マスタ!$M$5:$AM$5002,27,FALSE)),"")</f>
        <v>原反ケース再利用</v>
      </c>
      <c r="AC39" s="33"/>
      <c r="AD39" s="189"/>
      <c r="AE39" s="54"/>
      <c r="AF39" s="55"/>
      <c r="AG39" s="43"/>
      <c r="AH39" s="47"/>
      <c r="AI39" s="30"/>
      <c r="AJ39" s="30"/>
      <c r="AK39" s="30"/>
      <c r="AL39" s="30"/>
      <c r="AM39" s="13"/>
      <c r="AN39" s="13"/>
      <c r="AO39" s="13"/>
      <c r="AP39" s="13"/>
      <c r="AQ39" s="13"/>
      <c r="AR39" s="14"/>
      <c r="AS39" s="15"/>
    </row>
    <row r="40" spans="1:45" s="17" customFormat="1" ht="30.95" hidden="1" customHeight="1" x14ac:dyDescent="0.2">
      <c r="A40" s="37"/>
      <c r="B40" s="38"/>
      <c r="C40" s="45"/>
      <c r="D40" s="31"/>
      <c r="E40" s="31"/>
      <c r="F40" s="268" t="str">
        <f>IF(D40="","",VLOOKUP(D40,契約台帳!$A$3:$K$4986,6,FALSE)&amp;VLOOKUP(D40,契約台帳!$A$3:$K$4986,7,FALSE)&amp;VLOOKUP(D40,契約台帳!$A$3:$K$4986,8,FALSE)&amp;VLOOKUP(D40,契約台帳!$A$3:$K$4986,9,FALSE)&amp;VLOOKUP(D40,契約台帳!$A$3:$K$4986,11,FALSE))</f>
        <v/>
      </c>
      <c r="G40" s="269" t="str">
        <f>IF(D40="","",VLOOKUP(F40,製品マスタ!$G$5:$H$5002,2,FALSE))</f>
        <v/>
      </c>
      <c r="H40" s="269" t="str">
        <f>IF(D40="","",VLOOKUP(F40,製品マスタ!$G$5:$K$5002,5,FALSE))</f>
        <v/>
      </c>
      <c r="I40" s="270" t="str">
        <f>IF(D40="","",VLOOKUP(F40,製品マスタ!$G$5:$L$5002,6,FALSE))</f>
        <v/>
      </c>
      <c r="J40" s="210"/>
      <c r="K40" s="270" t="str">
        <f>IF(D40="","",VLOOKUP(D40,契約台帳!$A$3:$L$4986,12,FALSE))</f>
        <v/>
      </c>
      <c r="L40" s="270" t="str">
        <f>IF(D40="","",INDEX(製品マスタ!$Q$5:$Q$5002,MATCH('S4'!F40&amp;'S4'!K40,製品マスタ!$AO$5:$AO$5002,0)))</f>
        <v/>
      </c>
      <c r="M40" s="39"/>
      <c r="N40" s="39"/>
      <c r="O40" s="156"/>
      <c r="P40" s="47"/>
      <c r="Q40" s="57"/>
      <c r="R40" s="271" t="str">
        <f ca="1">IF(D40="","",IF(OFFSET(D40,-1,0)&lt;&gt;"","",IF(OR(J40="リード付け",J40="巻足し",J40="巻返しリード付け"),M40,VLOOKUP(D40,契約台帳!$A$3:$N$4986,14,FALSE))))</f>
        <v/>
      </c>
      <c r="S40" s="272" t="str">
        <f ca="1">IF(D40="","",IF(OFFSET(D40,-1,0)&lt;&gt;"","",IF(OR(J40="リード付け",J40="巻足し",J40="巻返しリード付け"),M40,VLOOKUP(D40,契約台帳!$A$3:$O$4986,15,FALSE))))</f>
        <v/>
      </c>
      <c r="T40" s="273" t="str">
        <f ca="1">IF(D40="","",IF(J40="リード付け",N40,IF(J40="巻返しリード付け",N40,IF(J40="巻足し",N40*P40+OFFSET(N40,1,0)*OFFSET(P40,1,0),VLOOKUP(D40,契約台帳!$A$3:$P$4986,16,FALSE)))))</f>
        <v/>
      </c>
      <c r="U40" s="40"/>
      <c r="V40" s="274" t="str">
        <f ca="1">IF(D40="","",IF(OFFSET(D40,-2,0)=D40,"",VLOOKUP(D40,契約台帳!$A$3:$R$4986,18,FALSE)))</f>
        <v/>
      </c>
      <c r="W40" s="269" t="str">
        <f>IF(D40="","",IF(T40="","",IF(OR(J40="巻足し",J40="巻返しリード付け"),"",IF(J40="巻返し",VLOOKUP(F40&amp;K40&amp;M40,製品マスタ!$M$5:$AD$5002,18,FALSE),IF(OR(J40="リード付け",J40="巻返しリード付け"),"原反コア",IF(J40="スリット",VLOOKUP(F40&amp;K40&amp;R40,製品マスタ!$N$5:$AD$5002,17,FALSE),""))))))</f>
        <v/>
      </c>
      <c r="X40" s="269" t="str">
        <f>IF(D40="","",IF(T40="","",IF(J40="巻足し","",IF(J40="巻返し",VLOOKUP(F40&amp;K40&amp;M40,製品マスタ!$M$5:$AE$5002,19,FALSE),IF(OR(J40="リード付け",J40="巻返しリード付け"),"",IF(J40="スリット",VLOOKUP(F40&amp;K40&amp;R40,製品マスタ!$N$5:$AE$5002,18,FALSE),""))))))</f>
        <v/>
      </c>
      <c r="Y40" s="275" t="str">
        <f>IF(D40="","",IF(T40="","",VLOOKUP(D40,契約台帳!$A$3:$Q$4986,17,FALSE)))</f>
        <v/>
      </c>
      <c r="Z40" s="269" t="str">
        <f>IF(D40="","",IF(T40="","",VLOOKUP(D40,契約台帳!$A$3:$E$4986,5,FALSE)))</f>
        <v/>
      </c>
      <c r="AA40" s="57"/>
      <c r="AB40" s="207" t="str">
        <f>IFERROR((VLOOKUP(F40&amp;K40&amp;M40,製品マスタ!$M$5:$AM$5002,27,FALSE)),"")</f>
        <v/>
      </c>
      <c r="AC40" s="33"/>
      <c r="AD40" s="189"/>
      <c r="AE40" s="54"/>
      <c r="AF40" s="55"/>
      <c r="AG40" s="43"/>
      <c r="AH40" s="47"/>
      <c r="AI40" s="30"/>
      <c r="AJ40" s="30"/>
      <c r="AK40" s="30"/>
      <c r="AL40" s="30"/>
      <c r="AM40" s="13"/>
      <c r="AN40" s="13"/>
      <c r="AO40" s="13"/>
      <c r="AP40" s="13"/>
      <c r="AQ40" s="13"/>
      <c r="AR40" s="14"/>
      <c r="AS40" s="15"/>
    </row>
    <row r="41" spans="1:45" s="17" customFormat="1" ht="30.95" hidden="1" customHeight="1" x14ac:dyDescent="0.2">
      <c r="A41" s="37" t="s">
        <v>762</v>
      </c>
      <c r="B41" s="38" t="s">
        <v>738</v>
      </c>
      <c r="C41" s="45"/>
      <c r="D41" s="31">
        <v>3694119</v>
      </c>
      <c r="E41" s="31">
        <v>4161786</v>
      </c>
      <c r="F41" s="268" t="str">
        <f>IF(D41="","",VLOOKUP(D41,契約台帳!$A$3:$K$4986,6,FALSE)&amp;VLOOKUP(D41,契約台帳!$A$3:$K$4986,7,FALSE)&amp;VLOOKUP(D41,契約台帳!$A$3:$K$4986,8,FALSE)&amp;VLOOKUP(D41,契約台帳!$A$3:$K$4986,9,FALSE)&amp;VLOOKUP(D41,契約台帳!$A$3:$K$4986,11,FALSE))</f>
        <v>3SNMLBMNQR66F</v>
      </c>
      <c r="G41" s="269" t="str">
        <f>IF(D41="","",VLOOKUP(F41,製品マスタ!$G$5:$H$5002,2,FALSE))</f>
        <v>S</v>
      </c>
      <c r="H41" s="269" t="str">
        <f>IF(D41="","",VLOOKUP(F41,製品マスタ!$G$5:$K$5002,5,FALSE))</f>
        <v>MNQR66F</v>
      </c>
      <c r="I41" s="270" t="str">
        <f>IF(D41="","",VLOOKUP(F41,製品マスタ!$G$5:$L$5002,6,FALSE))</f>
        <v>ＱＲ６６蒸着品</v>
      </c>
      <c r="J41" s="210" t="s">
        <v>736</v>
      </c>
      <c r="K41" s="270">
        <f>IF(D41="","",VLOOKUP(D41,契約台帳!$A$3:$L$4986,12,FALSE))</f>
        <v>25</v>
      </c>
      <c r="L41" s="270" t="str">
        <f>IF(D41="","",INDEX(製品マスタ!$Q$5:$Q$5002,MATCH('S4'!F41&amp;'S4'!K41,製品マスタ!$AO$5:$AO$5002,0)))</f>
        <v>E315</v>
      </c>
      <c r="M41" s="39">
        <v>1000</v>
      </c>
      <c r="N41" s="39">
        <v>6000</v>
      </c>
      <c r="O41" s="156">
        <v>4</v>
      </c>
      <c r="P41" s="47">
        <v>2</v>
      </c>
      <c r="Q41" s="213">
        <v>44566</v>
      </c>
      <c r="R41" s="271">
        <f ca="1">IF(D41="","",IF(OFFSET(D41,-1,0)&lt;&gt;"","",IF(OR(J41="リード付け",J41="巻足し",J41="巻返しリード付け"),M41,VLOOKUP(D41,契約台帳!$A$3:$N$4986,14,FALSE))))</f>
        <v>1000</v>
      </c>
      <c r="S41" s="272">
        <f ca="1">IF(D41="","",IF(OFFSET(D41,-1,0)&lt;&gt;"","",IF(OR(J41="リード付け",J41="巻足し",J41="巻返しリード付け"),M41,VLOOKUP(D41,契約台帳!$A$3:$O$4986,15,FALSE))))</f>
        <v>1000</v>
      </c>
      <c r="T41" s="273">
        <f ca="1">IF(D41="","",IF(J41="リード付け",N41,IF(J41="巻返しリード付け",N41,IF(J41="巻足し",N41*P41+OFFSET(N41,1,0)*OFFSET(P41,1,0),VLOOKUP(D41,契約台帳!$A$3:$P$4986,16,FALSE)))))</f>
        <v>12000</v>
      </c>
      <c r="U41" s="40">
        <v>2</v>
      </c>
      <c r="V41" s="274" t="str">
        <f ca="1">IF(D41="","",IF(OFFSET(D41,-2,0)=D41,"",VLOOKUP(D41,契約台帳!$A$3:$R$4986,18,FALSE)))</f>
        <v/>
      </c>
      <c r="W41" s="269" t="str">
        <f ca="1">IF(D41="","",IF(T41="","",IF(OR(J41="巻足し",J41="巻返しリード付け"),"",IF(J41="巻返し",VLOOKUP(F41&amp;K41&amp;M41,製品マスタ!$M$5:$AD$5002,18,FALSE),IF(OR(J41="リード付け",J41="巻返しリード付け"),"原反コア",IF(J41="スリット",VLOOKUP(F41&amp;K41&amp;R41,製品マスタ!$N$5:$AD$5002,17,FALSE),""))))))</f>
        <v/>
      </c>
      <c r="X41" s="269" t="str">
        <f ca="1">IF(D41="","",IF(T41="","",IF(J41="巻足し","",IF(J41="巻返し",VLOOKUP(F41&amp;K41&amp;M41,製品マスタ!$M$5:$AE$5002,19,FALSE),IF(OR(J41="リード付け",J41="巻返しリード付け"),"",IF(J41="スリット",VLOOKUP(F41&amp;K41&amp;R41,製品マスタ!$N$5:$AE$5002,18,FALSE),""))))))</f>
        <v/>
      </c>
      <c r="Y41" s="275">
        <f ca="1">IF(D41="","",IF(T41="","",VLOOKUP(D41,契約台帳!$A$3:$Q$4986,17,FALSE)))</f>
        <v>2</v>
      </c>
      <c r="Z41" s="269" t="str">
        <f ca="1">IF(D41="","",IF(T41="","",VLOOKUP(D41,契約台帳!$A$3:$E$4986,5,FALSE)))</f>
        <v>リンテック㈱</v>
      </c>
      <c r="AA41" s="57"/>
      <c r="AB41" s="207" t="str">
        <f>IFERROR((VLOOKUP(F41&amp;K41&amp;M41,製品マスタ!$M$5:$AM$5002,27,FALSE)),"")</f>
        <v>原反ケース再利用</v>
      </c>
      <c r="AC41" s="33"/>
      <c r="AD41" s="189"/>
      <c r="AE41" s="54"/>
      <c r="AF41" s="55"/>
      <c r="AG41" s="43"/>
      <c r="AH41" s="47"/>
      <c r="AI41" s="30"/>
      <c r="AJ41" s="30"/>
      <c r="AK41" s="30"/>
      <c r="AL41" s="30"/>
      <c r="AM41" s="13"/>
      <c r="AN41" s="13"/>
      <c r="AO41" s="13"/>
      <c r="AP41" s="13"/>
      <c r="AQ41" s="13"/>
      <c r="AR41" s="14"/>
      <c r="AS41" s="15"/>
    </row>
    <row r="42" spans="1:45" s="17" customFormat="1" ht="30.95" hidden="1" customHeight="1" x14ac:dyDescent="0.2">
      <c r="A42" s="37"/>
      <c r="B42" s="38"/>
      <c r="C42" s="45"/>
      <c r="D42" s="31"/>
      <c r="E42" s="31"/>
      <c r="F42" s="268" t="str">
        <f>IF(D42="","",VLOOKUP(D42,契約台帳!$A$3:$K$4986,6,FALSE)&amp;VLOOKUP(D42,契約台帳!$A$3:$K$4986,7,FALSE)&amp;VLOOKUP(D42,契約台帳!$A$3:$K$4986,8,FALSE)&amp;VLOOKUP(D42,契約台帳!$A$3:$K$4986,9,FALSE)&amp;VLOOKUP(D42,契約台帳!$A$3:$K$4986,11,FALSE))</f>
        <v/>
      </c>
      <c r="G42" s="269" t="str">
        <f>IF(D42="","",VLOOKUP(F42,製品マスタ!$G$5:$H$5002,2,FALSE))</f>
        <v/>
      </c>
      <c r="H42" s="269" t="str">
        <f>IF(D42="","",VLOOKUP(F42,製品マスタ!$G$5:$K$5002,5,FALSE))</f>
        <v/>
      </c>
      <c r="I42" s="270" t="str">
        <f>IF(D42="","",VLOOKUP(F42,製品マスタ!$G$5:$L$5002,6,FALSE))</f>
        <v/>
      </c>
      <c r="J42" s="210"/>
      <c r="K42" s="270" t="str">
        <f>IF(D42="","",VLOOKUP(D42,契約台帳!$A$3:$L$4986,12,FALSE))</f>
        <v/>
      </c>
      <c r="L42" s="270" t="str">
        <f>IF(D42="","",INDEX(製品マスタ!$Q$5:$Q$5002,MATCH('S4'!F42&amp;'S4'!K42,製品マスタ!$AO$5:$AO$5002,0)))</f>
        <v/>
      </c>
      <c r="M42" s="39"/>
      <c r="N42" s="39"/>
      <c r="O42" s="156"/>
      <c r="P42" s="47"/>
      <c r="Q42" s="57"/>
      <c r="R42" s="271" t="str">
        <f ca="1">IF(D42="","",IF(OFFSET(D42,-1,0)&lt;&gt;"","",IF(OR(J42="リード付け",J42="巻足し",J42="巻返しリード付け"),M42,VLOOKUP(D42,契約台帳!$A$3:$N$4986,14,FALSE))))</f>
        <v/>
      </c>
      <c r="S42" s="272" t="str">
        <f ca="1">IF(D42="","",IF(OFFSET(D42,-1,0)&lt;&gt;"","",IF(OR(J42="リード付け",J42="巻足し",J42="巻返しリード付け"),M42,VLOOKUP(D42,契約台帳!$A$3:$O$4986,15,FALSE))))</f>
        <v/>
      </c>
      <c r="T42" s="273" t="str">
        <f ca="1">IF(D42="","",IF(J42="リード付け",N42,IF(J42="巻返しリード付け",N42,IF(J42="巻足し",N42*P42+OFFSET(N42,1,0)*OFFSET(P42,1,0),VLOOKUP(D42,契約台帳!$A$3:$P$4986,16,FALSE)))))</f>
        <v/>
      </c>
      <c r="U42" s="40"/>
      <c r="V42" s="274" t="str">
        <f ca="1">IF(D42="","",IF(OFFSET(D42,-2,0)=D42,"",VLOOKUP(D42,契約台帳!$A$3:$R$4986,18,FALSE)))</f>
        <v/>
      </c>
      <c r="W42" s="269" t="str">
        <f>IF(D42="","",IF(T42="","",IF(OR(J42="巻足し",J42="巻返しリード付け"),"",IF(J42="巻返し",VLOOKUP(F42&amp;K42&amp;M42,製品マスタ!$M$5:$AD$5002,18,FALSE),IF(OR(J42="リード付け",J42="巻返しリード付け"),"原反コア",IF(J42="スリット",VLOOKUP(F42&amp;K42&amp;R42,製品マスタ!$N$5:$AD$5002,17,FALSE),""))))))</f>
        <v/>
      </c>
      <c r="X42" s="269" t="str">
        <f>IF(D42="","",IF(T42="","",IF(J42="巻足し","",IF(J42="巻返し",VLOOKUP(F42&amp;K42&amp;M42,製品マスタ!$M$5:$AE$5002,19,FALSE),IF(OR(J42="リード付け",J42="巻返しリード付け"),"",IF(J42="スリット",VLOOKUP(F42&amp;K42&amp;R42,製品マスタ!$N$5:$AE$5002,18,FALSE),""))))))</f>
        <v/>
      </c>
      <c r="Y42" s="275" t="str">
        <f>IF(D42="","",IF(T42="","",VLOOKUP(D42,契約台帳!$A$3:$Q$4986,17,FALSE)))</f>
        <v/>
      </c>
      <c r="Z42" s="269" t="str">
        <f>IF(D42="","",IF(T42="","",VLOOKUP(D42,契約台帳!$A$3:$E$4986,5,FALSE)))</f>
        <v/>
      </c>
      <c r="AA42" s="57"/>
      <c r="AB42" s="207" t="str">
        <f>IFERROR((VLOOKUP(F42&amp;K42&amp;M42,製品マスタ!$M$5:$AM$5002,27,FALSE)),"")</f>
        <v/>
      </c>
      <c r="AC42" s="33"/>
      <c r="AD42" s="189"/>
      <c r="AE42" s="54"/>
      <c r="AF42" s="55"/>
      <c r="AG42" s="43"/>
      <c r="AH42" s="47"/>
      <c r="AI42" s="30"/>
      <c r="AJ42" s="30"/>
      <c r="AK42" s="30"/>
      <c r="AL42" s="30"/>
      <c r="AM42" s="13"/>
      <c r="AN42" s="13"/>
      <c r="AO42" s="13"/>
      <c r="AP42" s="13"/>
      <c r="AQ42" s="13"/>
      <c r="AR42" s="14"/>
      <c r="AS42" s="15"/>
    </row>
    <row r="43" spans="1:45" s="17" customFormat="1" ht="30.95" hidden="1" customHeight="1" x14ac:dyDescent="0.2">
      <c r="A43" s="37"/>
      <c r="B43" s="38"/>
      <c r="C43" s="45"/>
      <c r="D43" s="31">
        <v>3694114</v>
      </c>
      <c r="E43" s="31">
        <v>4161772</v>
      </c>
      <c r="F43" s="268" t="str">
        <f>IF(D43="","",VLOOKUP(D43,契約台帳!$A$3:$K$4986,6,FALSE)&amp;VLOOKUP(D43,契約台帳!$A$3:$K$4986,7,FALSE)&amp;VLOOKUP(D43,契約台帳!$A$3:$K$4986,8,FALSE)&amp;VLOOKUP(D43,契約台帳!$A$3:$K$4986,9,FALSE)&amp;VLOOKUP(D43,契約台帳!$A$3:$K$4986,11,FALSE))</f>
        <v>3SNMLBMNNGKBF</v>
      </c>
      <c r="G43" s="269" t="str">
        <f>IF(D43="","",VLOOKUP(F43,製品マスタ!$G$5:$H$5002,2,FALSE))</f>
        <v>S</v>
      </c>
      <c r="H43" s="269" t="str">
        <f>IF(D43="","",VLOOKUP(F43,製品マスタ!$G$5:$K$5002,5,FALSE))</f>
        <v>MNNGKBF</v>
      </c>
      <c r="I43" s="270" t="str">
        <f>IF(D43="","",VLOOKUP(F43,製品マスタ!$G$5:$L$5002,6,FALSE))</f>
        <v>メタルミー　ニューネーマー銀消　Ｂ</v>
      </c>
      <c r="J43" s="210" t="s">
        <v>736</v>
      </c>
      <c r="K43" s="270">
        <f>IF(D43="","",VLOOKUP(D43,契約台帳!$A$3:$L$4986,12,FALSE))</f>
        <v>25</v>
      </c>
      <c r="L43" s="270" t="str">
        <f>IF(D43="","",INDEX(製品マスタ!$Q$5:$Q$5002,MATCH('S4'!F43&amp;'S4'!K43,製品マスタ!$AO$5:$AO$5002,0)))</f>
        <v>X44C</v>
      </c>
      <c r="M43" s="39">
        <v>1005</v>
      </c>
      <c r="N43" s="39">
        <v>8000</v>
      </c>
      <c r="O43" s="156">
        <v>2</v>
      </c>
      <c r="P43" s="47">
        <v>2</v>
      </c>
      <c r="Q43" s="213">
        <v>44567</v>
      </c>
      <c r="R43" s="271">
        <f ca="1">IF(D43="","",IF(OFFSET(D43,-1,0)&lt;&gt;"","",IF(OR(J43="リード付け",J43="巻足し",J43="巻返しリード付け"),M43,VLOOKUP(D43,契約台帳!$A$3:$N$4986,14,FALSE))))</f>
        <v>1005</v>
      </c>
      <c r="S43" s="272">
        <f ca="1">IF(D43="","",IF(OFFSET(D43,-1,0)&lt;&gt;"","",IF(OR(J43="リード付け",J43="巻足し",J43="巻返しリード付け"),M43,VLOOKUP(D43,契約台帳!$A$3:$O$4986,15,FALSE))))</f>
        <v>1005</v>
      </c>
      <c r="T43" s="273">
        <f ca="1">IF(D43="","",IF(J43="リード付け",N43,IF(J43="巻返しリード付け",N43,IF(J43="巻足し",N43*P43+OFFSET(N43,1,0)*OFFSET(P43,1,0),VLOOKUP(D43,契約台帳!$A$3:$P$4986,16,FALSE)))))</f>
        <v>16000</v>
      </c>
      <c r="U43" s="40">
        <v>1</v>
      </c>
      <c r="V43" s="274">
        <f ca="1">IF(D43="","",IF(OFFSET(D43,-2,0)=D43,"",VLOOKUP(D43,契約台帳!$A$3:$R$4986,18,FALSE)))</f>
        <v>4</v>
      </c>
      <c r="W43" s="269" t="str">
        <f ca="1">IF(D43="","",IF(T43="","",IF(OR(J43="巻足し",J43="巻返しリード付け"),"",IF(J43="巻返し",VLOOKUP(F43&amp;K43&amp;M43,製品マスタ!$M$5:$AD$5002,18,FALSE),IF(OR(J43="リード付け",J43="巻返しリード付け"),"原反コア",IF(J43="スリット",VLOOKUP(F43&amp;K43&amp;R43,製品マスタ!$N$5:$AD$5002,17,FALSE),""))))))</f>
        <v/>
      </c>
      <c r="X43" s="269" t="str">
        <f ca="1">IF(D43="","",IF(T43="","",IF(J43="巻足し","",IF(J43="巻返し",VLOOKUP(F43&amp;K43&amp;M43,製品マスタ!$M$5:$AE$5002,19,FALSE),IF(OR(J43="リード付け",J43="巻返しリード付け"),"",IF(J43="スリット",VLOOKUP(F43&amp;K43&amp;R43,製品マスタ!$N$5:$AE$5002,18,FALSE),""))))))</f>
        <v/>
      </c>
      <c r="Y43" s="275">
        <f ca="1">IF(D43="","",IF(T43="","",VLOOKUP(D43,契約台帳!$A$3:$Q$4986,17,FALSE)))</f>
        <v>2</v>
      </c>
      <c r="Z43" s="269" t="str">
        <f ca="1">IF(D43="","",IF(T43="","",VLOOKUP(D43,契約台帳!$A$3:$E$4986,5,FALSE)))</f>
        <v>リンテック㈱</v>
      </c>
      <c r="AA43" s="57"/>
      <c r="AB43" s="207">
        <f>IFERROR((VLOOKUP(F43&amp;K43&amp;M43,製品マスタ!$M$5:$AM$5002,27,FALSE)),"")</f>
        <v>0</v>
      </c>
      <c r="AC43" s="33"/>
      <c r="AD43" s="189"/>
      <c r="AE43" s="54"/>
      <c r="AF43" s="55"/>
      <c r="AG43" s="43"/>
      <c r="AH43" s="47"/>
      <c r="AI43" s="30"/>
      <c r="AJ43" s="30"/>
      <c r="AK43" s="30"/>
      <c r="AL43" s="30"/>
      <c r="AM43" s="13"/>
      <c r="AN43" s="13"/>
      <c r="AO43" s="13"/>
      <c r="AP43" s="13"/>
      <c r="AQ43" s="13"/>
      <c r="AR43" s="14"/>
      <c r="AS43" s="15"/>
    </row>
    <row r="44" spans="1:45" s="17" customFormat="1" ht="30.95" hidden="1" customHeight="1" x14ac:dyDescent="0.2">
      <c r="A44" s="37"/>
      <c r="B44" s="38"/>
      <c r="C44" s="45"/>
      <c r="D44" s="31"/>
      <c r="E44" s="31"/>
      <c r="F44" s="268" t="str">
        <f>IF(D44="","",VLOOKUP(D44,契約台帳!$A$3:$K$4986,6,FALSE)&amp;VLOOKUP(D44,契約台帳!$A$3:$K$4986,7,FALSE)&amp;VLOOKUP(D44,契約台帳!$A$3:$K$4986,8,FALSE)&amp;VLOOKUP(D44,契約台帳!$A$3:$K$4986,9,FALSE)&amp;VLOOKUP(D44,契約台帳!$A$3:$K$4986,11,FALSE))</f>
        <v/>
      </c>
      <c r="G44" s="269" t="str">
        <f>IF(D44="","",VLOOKUP(F44,製品マスタ!$G$5:$H$5002,2,FALSE))</f>
        <v/>
      </c>
      <c r="H44" s="269" t="str">
        <f>IF(D44="","",VLOOKUP(F44,製品マスタ!$G$5:$K$5002,5,FALSE))</f>
        <v/>
      </c>
      <c r="I44" s="270" t="str">
        <f>IF(D44="","",VLOOKUP(F44,製品マスタ!$G$5:$L$5002,6,FALSE))</f>
        <v/>
      </c>
      <c r="J44" s="210"/>
      <c r="K44" s="270" t="str">
        <f>IF(D44="","",VLOOKUP(D44,契約台帳!$A$3:$L$4986,12,FALSE))</f>
        <v/>
      </c>
      <c r="L44" s="270" t="str">
        <f>IF(D44="","",INDEX(製品マスタ!$Q$5:$Q$5002,MATCH('S4'!F44&amp;'S4'!K44,製品マスタ!$AO$5:$AO$5002,0)))</f>
        <v/>
      </c>
      <c r="M44" s="39"/>
      <c r="N44" s="39"/>
      <c r="O44" s="156"/>
      <c r="P44" s="47"/>
      <c r="Q44" s="57"/>
      <c r="R44" s="271" t="str">
        <f ca="1">IF(D44="","",IF(OFFSET(D44,-1,0)&lt;&gt;"","",IF(OR(J44="リード付け",J44="巻足し",J44="巻返しリード付け"),M44,VLOOKUP(D44,契約台帳!$A$3:$N$4986,14,FALSE))))</f>
        <v/>
      </c>
      <c r="S44" s="272" t="str">
        <f ca="1">IF(D44="","",IF(OFFSET(D44,-1,0)&lt;&gt;"","",IF(OR(J44="リード付け",J44="巻足し",J44="巻返しリード付け"),M44,VLOOKUP(D44,契約台帳!$A$3:$O$4986,15,FALSE))))</f>
        <v/>
      </c>
      <c r="T44" s="273" t="str">
        <f ca="1">IF(D44="","",IF(J44="リード付け",N44,IF(J44="巻返しリード付け",N44,IF(J44="巻足し",N44*P44+OFFSET(N44,1,0)*OFFSET(P44,1,0),VLOOKUP(D44,契約台帳!$A$3:$P$4986,16,FALSE)))))</f>
        <v/>
      </c>
      <c r="U44" s="40"/>
      <c r="V44" s="274" t="str">
        <f ca="1">IF(D44="","",IF(OFFSET(D44,-2,0)=D44,"",VLOOKUP(D44,契約台帳!$A$3:$R$4986,18,FALSE)))</f>
        <v/>
      </c>
      <c r="W44" s="269" t="str">
        <f>IF(D44="","",IF(T44="","",IF(OR(J44="巻足し",J44="巻返しリード付け"),"",IF(J44="巻返し",VLOOKUP(F44&amp;K44&amp;M44,製品マスタ!$M$5:$AD$5002,18,FALSE),IF(OR(J44="リード付け",J44="巻返しリード付け"),"原反コア",IF(J44="スリット",VLOOKUP(F44&amp;K44&amp;R44,製品マスタ!$N$5:$AD$5002,17,FALSE),""))))))</f>
        <v/>
      </c>
      <c r="X44" s="269" t="str">
        <f>IF(D44="","",IF(T44="","",IF(J44="巻足し","",IF(J44="巻返し",VLOOKUP(F44&amp;K44&amp;M44,製品マスタ!$M$5:$AE$5002,19,FALSE),IF(OR(J44="リード付け",J44="巻返しリード付け"),"",IF(J44="スリット",VLOOKUP(F44&amp;K44&amp;R44,製品マスタ!$N$5:$AE$5002,18,FALSE),""))))))</f>
        <v/>
      </c>
      <c r="Y44" s="275" t="str">
        <f>IF(D44="","",IF(T44="","",VLOOKUP(D44,契約台帳!$A$3:$Q$4986,17,FALSE)))</f>
        <v/>
      </c>
      <c r="Z44" s="269" t="str">
        <f>IF(D44="","",IF(T44="","",VLOOKUP(D44,契約台帳!$A$3:$E$4986,5,FALSE)))</f>
        <v/>
      </c>
      <c r="AA44" s="57"/>
      <c r="AB44" s="207" t="str">
        <f>IFERROR((VLOOKUP(F44&amp;K44&amp;M44,製品マスタ!$M$5:$AM$5002,27,FALSE)),"")</f>
        <v/>
      </c>
      <c r="AC44" s="33"/>
      <c r="AD44" s="189"/>
      <c r="AE44" s="54"/>
      <c r="AF44" s="55"/>
      <c r="AG44" s="43"/>
      <c r="AH44" s="47"/>
      <c r="AI44" s="30"/>
      <c r="AJ44" s="30"/>
      <c r="AK44" s="30"/>
      <c r="AL44" s="30"/>
      <c r="AM44" s="13"/>
      <c r="AN44" s="13"/>
      <c r="AO44" s="13"/>
      <c r="AP44" s="13"/>
      <c r="AQ44" s="13"/>
      <c r="AR44" s="14"/>
      <c r="AS44" s="15"/>
    </row>
    <row r="45" spans="1:45" s="17" customFormat="1" ht="30.95" hidden="1" customHeight="1" x14ac:dyDescent="0.2">
      <c r="A45" s="37"/>
      <c r="B45" s="38"/>
      <c r="C45" s="45"/>
      <c r="D45" s="31">
        <v>3694115</v>
      </c>
      <c r="E45" s="31">
        <v>4161773</v>
      </c>
      <c r="F45" s="268" t="str">
        <f>IF(D45="","",VLOOKUP(D45,契約台帳!$A$3:$K$4986,6,FALSE)&amp;VLOOKUP(D45,契約台帳!$A$3:$K$4986,7,FALSE)&amp;VLOOKUP(D45,契約台帳!$A$3:$K$4986,8,FALSE)&amp;VLOOKUP(D45,契約台帳!$A$3:$K$4986,9,FALSE)&amp;VLOOKUP(D45,契約台帳!$A$3:$K$4986,11,FALSE))</f>
        <v>3SNMLBMNNGKBF</v>
      </c>
      <c r="G45" s="269" t="str">
        <f>IF(D45="","",VLOOKUP(F45,製品マスタ!$G$5:$H$5002,2,FALSE))</f>
        <v>S</v>
      </c>
      <c r="H45" s="269" t="str">
        <f>IF(D45="","",VLOOKUP(F45,製品マスタ!$G$5:$K$5002,5,FALSE))</f>
        <v>MNNGKBF</v>
      </c>
      <c r="I45" s="270" t="str">
        <f>IF(D45="","",VLOOKUP(F45,製品マスタ!$G$5:$L$5002,6,FALSE))</f>
        <v>メタルミー　ニューネーマー銀消　Ｂ</v>
      </c>
      <c r="J45" s="210" t="s">
        <v>736</v>
      </c>
      <c r="K45" s="270">
        <f>IF(D45="","",VLOOKUP(D45,契約台帳!$A$3:$L$4986,12,FALSE))</f>
        <v>50</v>
      </c>
      <c r="L45" s="270" t="str">
        <f>IF(D45="","",INDEX(製品マスタ!$Q$5:$Q$5002,MATCH('S4'!F45&amp;'S4'!K45,製品マスタ!$AO$5:$AO$5002,0)))</f>
        <v>X44</v>
      </c>
      <c r="M45" s="39">
        <v>1000</v>
      </c>
      <c r="N45" s="39">
        <v>4000</v>
      </c>
      <c r="O45" s="156">
        <v>12</v>
      </c>
      <c r="P45" s="47">
        <v>3</v>
      </c>
      <c r="Q45" s="213">
        <v>44567</v>
      </c>
      <c r="R45" s="271">
        <f ca="1">IF(D45="","",IF(OFFSET(D45,-1,0)&lt;&gt;"","",IF(OR(J45="リード付け",J45="巻足し",J45="巻返しリード付け"),M45,VLOOKUP(D45,契約台帳!$A$3:$N$4986,14,FALSE))))</f>
        <v>1000</v>
      </c>
      <c r="S45" s="272">
        <f ca="1">IF(D45="","",IF(OFFSET(D45,-1,0)&lt;&gt;"","",IF(OR(J45="リード付け",J45="巻足し",J45="巻返しリード付け"),M45,VLOOKUP(D45,契約台帳!$A$3:$O$4986,15,FALSE))))</f>
        <v>1000</v>
      </c>
      <c r="T45" s="273">
        <f ca="1">IF(D45="","",IF(J45="リード付け",N45,IF(J45="巻返しリード付け",N45,IF(J45="巻足し",N45*P45+OFFSET(N45,1,0)*OFFSET(P45,1,0),VLOOKUP(D45,契約台帳!$A$3:$P$4986,16,FALSE)))))</f>
        <v>12000</v>
      </c>
      <c r="U45" s="40">
        <v>4</v>
      </c>
      <c r="V45" s="274">
        <f ca="1">IF(D45="","",IF(OFFSET(D45,-2,0)=D45,"",VLOOKUP(D45,契約台帳!$A$3:$R$4986,18,FALSE)))</f>
        <v>21</v>
      </c>
      <c r="W45" s="269" t="str">
        <f ca="1">IF(D45="","",IF(T45="","",IF(OR(J45="巻足し",J45="巻返しリード付け"),"",IF(J45="巻返し",VLOOKUP(F45&amp;K45&amp;M45,製品マスタ!$M$5:$AD$5002,18,FALSE),IF(OR(J45="リード付け",J45="巻返しリード付け"),"原反コア",IF(J45="スリット",VLOOKUP(F45&amp;K45&amp;R45,製品マスタ!$N$5:$AD$5002,17,FALSE),""))))))</f>
        <v/>
      </c>
      <c r="X45" s="269" t="str">
        <f ca="1">IF(D45="","",IF(T45="","",IF(J45="巻足し","",IF(J45="巻返し",VLOOKUP(F45&amp;K45&amp;M45,製品マスタ!$M$5:$AE$5002,19,FALSE),IF(OR(J45="リード付け",J45="巻返しリード付け"),"",IF(J45="スリット",VLOOKUP(F45&amp;K45&amp;R45,製品マスタ!$N$5:$AE$5002,18,FALSE),""))))))</f>
        <v/>
      </c>
      <c r="Y45" s="275">
        <f ca="1">IF(D45="","",IF(T45="","",VLOOKUP(D45,契約台帳!$A$3:$Q$4986,17,FALSE)))</f>
        <v>2</v>
      </c>
      <c r="Z45" s="269" t="str">
        <f ca="1">IF(D45="","",IF(T45="","",VLOOKUP(D45,契約台帳!$A$3:$E$4986,5,FALSE)))</f>
        <v>リンテック㈱</v>
      </c>
      <c r="AA45" s="57"/>
      <c r="AB45" s="207" t="str">
        <f>IFERROR((VLOOKUP(F45&amp;K45&amp;M45,製品マスタ!$M$5:$AM$5002,27,FALSE)),"")</f>
        <v>原反ケース再利用</v>
      </c>
      <c r="AC45" s="33"/>
      <c r="AD45" s="189"/>
      <c r="AE45" s="54"/>
      <c r="AF45" s="55"/>
      <c r="AG45" s="43"/>
      <c r="AH45" s="47"/>
      <c r="AI45" s="30"/>
      <c r="AJ45" s="30"/>
      <c r="AK45" s="30"/>
      <c r="AL45" s="30"/>
      <c r="AM45" s="13"/>
      <c r="AN45" s="13"/>
      <c r="AO45" s="13"/>
      <c r="AP45" s="13"/>
      <c r="AQ45" s="13"/>
      <c r="AR45" s="14"/>
      <c r="AS45" s="15"/>
    </row>
    <row r="46" spans="1:45" s="17" customFormat="1" ht="30.95" hidden="1" customHeight="1" x14ac:dyDescent="0.2">
      <c r="A46" s="37"/>
      <c r="B46" s="38"/>
      <c r="C46" s="45"/>
      <c r="D46" s="31"/>
      <c r="E46" s="31"/>
      <c r="F46" s="268" t="str">
        <f>IF(D46="","",VLOOKUP(D46,契約台帳!$A$3:$K$4986,6,FALSE)&amp;VLOOKUP(D46,契約台帳!$A$3:$K$4986,7,FALSE)&amp;VLOOKUP(D46,契約台帳!$A$3:$K$4986,8,FALSE)&amp;VLOOKUP(D46,契約台帳!$A$3:$K$4986,9,FALSE)&amp;VLOOKUP(D46,契約台帳!$A$3:$K$4986,11,FALSE))</f>
        <v/>
      </c>
      <c r="G46" s="269" t="str">
        <f>IF(D46="","",VLOOKUP(F46,製品マスタ!$G$5:$H$5002,2,FALSE))</f>
        <v/>
      </c>
      <c r="H46" s="269" t="str">
        <f>IF(D46="","",VLOOKUP(F46,製品マスタ!$G$5:$K$5002,5,FALSE))</f>
        <v/>
      </c>
      <c r="I46" s="270" t="str">
        <f>IF(D46="","",VLOOKUP(F46,製品マスタ!$G$5:$L$5002,6,FALSE))</f>
        <v/>
      </c>
      <c r="J46" s="210"/>
      <c r="K46" s="270" t="str">
        <f>IF(D46="","",VLOOKUP(D46,契約台帳!$A$3:$L$4986,12,FALSE))</f>
        <v/>
      </c>
      <c r="L46" s="270" t="str">
        <f>IF(D46="","",INDEX(製品マスタ!$Q$5:$Q$5002,MATCH('S4'!F46&amp;'S4'!K46,製品マスタ!$AO$5:$AO$5002,0)))</f>
        <v/>
      </c>
      <c r="M46" s="39"/>
      <c r="N46" s="39"/>
      <c r="O46" s="156"/>
      <c r="P46" s="47"/>
      <c r="Q46" s="57"/>
      <c r="R46" s="271" t="str">
        <f ca="1">IF(D46="","",IF(OFFSET(D46,-1,0)&lt;&gt;"","",IF(OR(J46="リード付け",J46="巻足し",J46="巻返しリード付け"),M46,VLOOKUP(D46,契約台帳!$A$3:$N$4986,14,FALSE))))</f>
        <v/>
      </c>
      <c r="S46" s="272" t="str">
        <f ca="1">IF(D46="","",IF(OFFSET(D46,-1,0)&lt;&gt;"","",IF(OR(J46="リード付け",J46="巻足し",J46="巻返しリード付け"),M46,VLOOKUP(D46,契約台帳!$A$3:$O$4986,15,FALSE))))</f>
        <v/>
      </c>
      <c r="T46" s="273" t="str">
        <f ca="1">IF(D46="","",IF(J46="リード付け",N46,IF(J46="巻返しリード付け",N46,IF(J46="巻足し",N46*P46+OFFSET(N46,1,0)*OFFSET(P46,1,0),VLOOKUP(D46,契約台帳!$A$3:$P$4986,16,FALSE)))))</f>
        <v/>
      </c>
      <c r="U46" s="40"/>
      <c r="V46" s="274" t="str">
        <f ca="1">IF(D46="","",IF(OFFSET(D46,-2,0)=D46,"",VLOOKUP(D46,契約台帳!$A$3:$R$4986,18,FALSE)))</f>
        <v/>
      </c>
      <c r="W46" s="269" t="str">
        <f>IF(D46="","",IF(T46="","",IF(OR(J46="巻足し",J46="巻返しリード付け"),"",IF(J46="巻返し",VLOOKUP(F46&amp;K46&amp;M46,製品マスタ!$M$5:$AD$5002,18,FALSE),IF(OR(J46="リード付け",J46="巻返しリード付け"),"原反コア",IF(J46="スリット",VLOOKUP(F46&amp;K46&amp;R46,製品マスタ!$N$5:$AD$5002,17,FALSE),""))))))</f>
        <v/>
      </c>
      <c r="X46" s="269" t="str">
        <f>IF(D46="","",IF(T46="","",IF(J46="巻足し","",IF(J46="巻返し",VLOOKUP(F46&amp;K46&amp;M46,製品マスタ!$M$5:$AE$5002,19,FALSE),IF(OR(J46="リード付け",J46="巻返しリード付け"),"",IF(J46="スリット",VLOOKUP(F46&amp;K46&amp;R46,製品マスタ!$N$5:$AE$5002,18,FALSE),""))))))</f>
        <v/>
      </c>
      <c r="Y46" s="275" t="str">
        <f>IF(D46="","",IF(T46="","",VLOOKUP(D46,契約台帳!$A$3:$Q$4986,17,FALSE)))</f>
        <v/>
      </c>
      <c r="Z46" s="269" t="str">
        <f>IF(D46="","",IF(T46="","",VLOOKUP(D46,契約台帳!$A$3:$E$4986,5,FALSE)))</f>
        <v/>
      </c>
      <c r="AA46" s="57"/>
      <c r="AB46" s="207" t="str">
        <f>IFERROR((VLOOKUP(F46&amp;K46&amp;M46,製品マスタ!$M$5:$AM$5002,27,FALSE)),"")</f>
        <v/>
      </c>
      <c r="AC46" s="33"/>
      <c r="AD46" s="189"/>
      <c r="AE46" s="54"/>
      <c r="AF46" s="55"/>
      <c r="AG46" s="43"/>
      <c r="AH46" s="47"/>
      <c r="AI46" s="30"/>
      <c r="AJ46" s="30"/>
      <c r="AK46" s="30"/>
      <c r="AL46" s="30"/>
      <c r="AM46" s="13"/>
      <c r="AN46" s="13"/>
      <c r="AO46" s="13"/>
      <c r="AP46" s="13"/>
      <c r="AQ46" s="13"/>
      <c r="AR46" s="14"/>
      <c r="AS46" s="15"/>
    </row>
    <row r="47" spans="1:45" s="17" customFormat="1" ht="30.95" hidden="1" customHeight="1" x14ac:dyDescent="0.2">
      <c r="A47" s="37" t="s">
        <v>763</v>
      </c>
      <c r="B47" s="38" t="s">
        <v>745</v>
      </c>
      <c r="C47" s="45"/>
      <c r="D47" s="31">
        <v>3694115</v>
      </c>
      <c r="E47" s="31">
        <v>4161773</v>
      </c>
      <c r="F47" s="268" t="str">
        <f>IF(D47="","",VLOOKUP(D47,契約台帳!$A$3:$K$4986,6,FALSE)&amp;VLOOKUP(D47,契約台帳!$A$3:$K$4986,7,FALSE)&amp;VLOOKUP(D47,契約台帳!$A$3:$K$4986,8,FALSE)&amp;VLOOKUP(D47,契約台帳!$A$3:$K$4986,9,FALSE)&amp;VLOOKUP(D47,契約台帳!$A$3:$K$4986,11,FALSE))</f>
        <v>3SNMLBMNNGKBF</v>
      </c>
      <c r="G47" s="269" t="str">
        <f>IF(D47="","",VLOOKUP(F47,製品マスタ!$G$5:$H$5002,2,FALSE))</f>
        <v>S</v>
      </c>
      <c r="H47" s="269" t="str">
        <f>IF(D47="","",VLOOKUP(F47,製品マスタ!$G$5:$K$5002,5,FALSE))</f>
        <v>MNNGKBF</v>
      </c>
      <c r="I47" s="270" t="str">
        <f>IF(D47="","",VLOOKUP(F47,製品マスタ!$G$5:$L$5002,6,FALSE))</f>
        <v>メタルミー　ニューネーマー銀消　Ｂ</v>
      </c>
      <c r="J47" s="210" t="s">
        <v>736</v>
      </c>
      <c r="K47" s="270">
        <f>IF(D47="","",VLOOKUP(D47,契約台帳!$A$3:$L$4986,12,FALSE))</f>
        <v>50</v>
      </c>
      <c r="L47" s="270" t="str">
        <f>IF(D47="","",INDEX(製品マスタ!$Q$5:$Q$5002,MATCH('S4'!F47&amp;'S4'!K47,製品マスタ!$AO$5:$AO$5002,0)))</f>
        <v>X44</v>
      </c>
      <c r="M47" s="39">
        <v>1000</v>
      </c>
      <c r="N47" s="39">
        <v>4000</v>
      </c>
      <c r="O47" s="156">
        <v>9</v>
      </c>
      <c r="P47" s="47">
        <v>3</v>
      </c>
      <c r="Q47" s="213">
        <v>44567</v>
      </c>
      <c r="R47" s="271">
        <f ca="1">IF(D47="","",IF(OFFSET(D47,-1,0)&lt;&gt;"","",IF(OR(J47="リード付け",J47="巻足し",J47="巻返しリード付け"),M47,VLOOKUP(D47,契約台帳!$A$3:$N$4986,14,FALSE))))</f>
        <v>1000</v>
      </c>
      <c r="S47" s="272">
        <f ca="1">IF(D47="","",IF(OFFSET(D47,-1,0)&lt;&gt;"","",IF(OR(J47="リード付け",J47="巻足し",J47="巻返しリード付け"),M47,VLOOKUP(D47,契約台帳!$A$3:$O$4986,15,FALSE))))</f>
        <v>1000</v>
      </c>
      <c r="T47" s="273">
        <f ca="1">IF(D47="","",IF(J47="リード付け",N47,IF(J47="巻返しリード付け",N47,IF(J47="巻足し",N47*P47+OFFSET(N47,1,0)*OFFSET(P47,1,0),VLOOKUP(D47,契約台帳!$A$3:$P$4986,16,FALSE)))))</f>
        <v>12000</v>
      </c>
      <c r="U47" s="40">
        <v>3</v>
      </c>
      <c r="V47" s="274" t="str">
        <f ca="1">IF(D47="","",IF(OFFSET(D47,-2,0)=D47,"",VLOOKUP(D47,契約台帳!$A$3:$R$4986,18,FALSE)))</f>
        <v/>
      </c>
      <c r="W47" s="269" t="str">
        <f ca="1">IF(D47="","",IF(T47="","",IF(OR(J47="巻足し",J47="巻返しリード付け"),"",IF(J47="巻返し",VLOOKUP(F47&amp;K47&amp;M47,製品マスタ!$M$5:$AD$5002,18,FALSE),IF(OR(J47="リード付け",J47="巻返しリード付け"),"原反コア",IF(J47="スリット",VLOOKUP(F47&amp;K47&amp;R47,製品マスタ!$N$5:$AD$5002,17,FALSE),""))))))</f>
        <v/>
      </c>
      <c r="X47" s="269" t="str">
        <f ca="1">IF(D47="","",IF(T47="","",IF(J47="巻足し","",IF(J47="巻返し",VLOOKUP(F47&amp;K47&amp;M47,製品マスタ!$M$5:$AE$5002,19,FALSE),IF(OR(J47="リード付け",J47="巻返しリード付け"),"",IF(J47="スリット",VLOOKUP(F47&amp;K47&amp;R47,製品マスタ!$N$5:$AE$5002,18,FALSE),""))))))</f>
        <v/>
      </c>
      <c r="Y47" s="275">
        <f ca="1">IF(D47="","",IF(T47="","",VLOOKUP(D47,契約台帳!$A$3:$Q$4986,17,FALSE)))</f>
        <v>2</v>
      </c>
      <c r="Z47" s="269" t="str">
        <f ca="1">IF(D47="","",IF(T47="","",VLOOKUP(D47,契約台帳!$A$3:$E$4986,5,FALSE)))</f>
        <v>リンテック㈱</v>
      </c>
      <c r="AA47" s="57"/>
      <c r="AB47" s="207" t="str">
        <f>IFERROR((VLOOKUP(F47&amp;K47&amp;M47,製品マスタ!$M$5:$AM$5002,27,FALSE)),"")</f>
        <v>原反ケース再利用</v>
      </c>
      <c r="AC47" s="33"/>
      <c r="AD47" s="189"/>
      <c r="AE47" s="54"/>
      <c r="AF47" s="55"/>
      <c r="AG47" s="43"/>
      <c r="AH47" s="47"/>
      <c r="AI47" s="30"/>
      <c r="AJ47" s="30"/>
      <c r="AK47" s="30"/>
      <c r="AL47" s="30"/>
      <c r="AM47" s="13"/>
      <c r="AN47" s="13"/>
      <c r="AO47" s="13"/>
      <c r="AP47" s="13"/>
      <c r="AQ47" s="13"/>
      <c r="AR47" s="14"/>
      <c r="AS47" s="15"/>
    </row>
    <row r="48" spans="1:45" s="17" customFormat="1" ht="30.95" hidden="1" customHeight="1" x14ac:dyDescent="0.2">
      <c r="A48" s="37"/>
      <c r="B48" s="38"/>
      <c r="C48" s="45"/>
      <c r="D48" s="31"/>
      <c r="E48" s="31"/>
      <c r="F48" s="268" t="str">
        <f>IF(D48="","",VLOOKUP(D48,契約台帳!$A$3:$K$4986,6,FALSE)&amp;VLOOKUP(D48,契約台帳!$A$3:$K$4986,7,FALSE)&amp;VLOOKUP(D48,契約台帳!$A$3:$K$4986,8,FALSE)&amp;VLOOKUP(D48,契約台帳!$A$3:$K$4986,9,FALSE)&amp;VLOOKUP(D48,契約台帳!$A$3:$K$4986,11,FALSE))</f>
        <v/>
      </c>
      <c r="G48" s="269" t="str">
        <f>IF(D48="","",VLOOKUP(F48,製品マスタ!$G$5:$H$5002,2,FALSE))</f>
        <v/>
      </c>
      <c r="H48" s="269" t="str">
        <f>IF(D48="","",VLOOKUP(F48,製品マスタ!$G$5:$K$5002,5,FALSE))</f>
        <v/>
      </c>
      <c r="I48" s="270" t="str">
        <f>IF(D48="","",VLOOKUP(F48,製品マスタ!$G$5:$L$5002,6,FALSE))</f>
        <v/>
      </c>
      <c r="J48" s="210"/>
      <c r="K48" s="270" t="str">
        <f>IF(D48="","",VLOOKUP(D48,契約台帳!$A$3:$L$4986,12,FALSE))</f>
        <v/>
      </c>
      <c r="L48" s="270" t="str">
        <f>IF(D48="","",INDEX(製品マスタ!$Q$5:$Q$5002,MATCH('S4'!F48&amp;'S4'!K48,製品マスタ!$AO$5:$AO$5002,0)))</f>
        <v/>
      </c>
      <c r="M48" s="39"/>
      <c r="N48" s="39"/>
      <c r="O48" s="156"/>
      <c r="P48" s="47"/>
      <c r="Q48" s="57"/>
      <c r="R48" s="271" t="str">
        <f ca="1">IF(D48="","",IF(OFFSET(D48,-1,0)&lt;&gt;"","",IF(OR(J48="リード付け",J48="巻足し",J48="巻返しリード付け"),M48,VLOOKUP(D48,契約台帳!$A$3:$N$4986,14,FALSE))))</f>
        <v/>
      </c>
      <c r="S48" s="272" t="str">
        <f ca="1">IF(D48="","",IF(OFFSET(D48,-1,0)&lt;&gt;"","",IF(OR(J48="リード付け",J48="巻足し",J48="巻返しリード付け"),M48,VLOOKUP(D48,契約台帳!$A$3:$O$4986,15,FALSE))))</f>
        <v/>
      </c>
      <c r="T48" s="273" t="str">
        <f ca="1">IF(D48="","",IF(J48="リード付け",N48,IF(J48="巻返しリード付け",N48,IF(J48="巻足し",N48*P48+OFFSET(N48,1,0)*OFFSET(P48,1,0),VLOOKUP(D48,契約台帳!$A$3:$P$4986,16,FALSE)))))</f>
        <v/>
      </c>
      <c r="U48" s="40"/>
      <c r="V48" s="274" t="str">
        <f ca="1">IF(D48="","",IF(OFFSET(D48,-2,0)=D48,"",VLOOKUP(D48,契約台帳!$A$3:$R$4986,18,FALSE)))</f>
        <v/>
      </c>
      <c r="W48" s="269" t="str">
        <f>IF(D48="","",IF(T48="","",IF(OR(J48="巻足し",J48="巻返しリード付け"),"",IF(J48="巻返し",VLOOKUP(F48&amp;K48&amp;M48,製品マスタ!$M$5:$AD$5002,18,FALSE),IF(OR(J48="リード付け",J48="巻返しリード付け"),"原反コア",IF(J48="スリット",VLOOKUP(F48&amp;K48&amp;R48,製品マスタ!$N$5:$AD$5002,17,FALSE),""))))))</f>
        <v/>
      </c>
      <c r="X48" s="269" t="str">
        <f>IF(D48="","",IF(T48="","",IF(J48="巻足し","",IF(J48="巻返し",VLOOKUP(F48&amp;K48&amp;M48,製品マスタ!$M$5:$AE$5002,19,FALSE),IF(OR(J48="リード付け",J48="巻返しリード付け"),"",IF(J48="スリット",VLOOKUP(F48&amp;K48&amp;R48,製品マスタ!$N$5:$AE$5002,18,FALSE),""))))))</f>
        <v/>
      </c>
      <c r="Y48" s="275" t="str">
        <f>IF(D48="","",IF(T48="","",VLOOKUP(D48,契約台帳!$A$3:$Q$4986,17,FALSE)))</f>
        <v/>
      </c>
      <c r="Z48" s="269" t="str">
        <f>IF(D48="","",IF(T48="","",VLOOKUP(D48,契約台帳!$A$3:$E$4986,5,FALSE)))</f>
        <v/>
      </c>
      <c r="AA48" s="57"/>
      <c r="AB48" s="207" t="str">
        <f>IFERROR((VLOOKUP(F48&amp;K48&amp;M48,製品マスタ!$M$5:$AM$5002,27,FALSE)),"")</f>
        <v/>
      </c>
      <c r="AC48" s="33"/>
      <c r="AD48" s="189"/>
      <c r="AE48" s="54"/>
      <c r="AF48" s="55"/>
      <c r="AG48" s="43"/>
      <c r="AH48" s="47"/>
      <c r="AI48" s="30"/>
      <c r="AJ48" s="30"/>
      <c r="AK48" s="30"/>
      <c r="AL48" s="30"/>
      <c r="AM48" s="13"/>
      <c r="AN48" s="13"/>
      <c r="AO48" s="13"/>
      <c r="AP48" s="13"/>
      <c r="AQ48" s="13"/>
      <c r="AR48" s="14"/>
      <c r="AS48" s="15"/>
    </row>
    <row r="49" spans="1:45" s="17" customFormat="1" ht="30.95" hidden="1" customHeight="1" x14ac:dyDescent="0.2">
      <c r="A49" s="37"/>
      <c r="B49" s="38"/>
      <c r="C49" s="45"/>
      <c r="D49" s="31">
        <v>3694112</v>
      </c>
      <c r="E49" s="31">
        <v>4161784</v>
      </c>
      <c r="F49" s="268" t="str">
        <f>IF(D49="","",VLOOKUP(D49,契約台帳!$A$3:$K$4986,6,FALSE)&amp;VLOOKUP(D49,契約台帳!$A$3:$K$4986,7,FALSE)&amp;VLOOKUP(D49,契約台帳!$A$3:$K$4986,8,FALSE)&amp;VLOOKUP(D49,契約台帳!$A$3:$K$4986,9,FALSE)&amp;VLOOKUP(D49,契約台帳!$A$3:$K$4986,11,FALSE))</f>
        <v>3SNMCLBNGTVB</v>
      </c>
      <c r="G49" s="269" t="str">
        <f>IF(D49="","",VLOOKUP(F49,製品マスタ!$G$5:$H$5002,2,FALSE))</f>
        <v>S</v>
      </c>
      <c r="H49" s="269" t="str">
        <f>IF(D49="","",VLOOKUP(F49,製品マスタ!$G$5:$K$5002,5,FALSE))</f>
        <v>NGTVB</v>
      </c>
      <c r="I49" s="270" t="str">
        <f>IF(D49="","",VLOOKUP(F49,製品マスタ!$G$5:$L$5002,6,FALSE))</f>
        <v>メタルミー　ネーマー　銀艶ＶＢ</v>
      </c>
      <c r="J49" s="210" t="s">
        <v>574</v>
      </c>
      <c r="K49" s="270">
        <f>IF(D49="","",VLOOKUP(D49,契約台帳!$A$3:$L$4986,12,FALSE))</f>
        <v>50</v>
      </c>
      <c r="L49" s="270" t="str">
        <f>IF(D49="","",INDEX(製品マスタ!$Q$5:$Q$5002,MATCH('S4'!F49&amp;'S4'!K49,製品マスタ!$AO$5:$AO$5002,0)))</f>
        <v>T62M</v>
      </c>
      <c r="M49" s="39">
        <v>1040</v>
      </c>
      <c r="N49" s="39">
        <v>6000</v>
      </c>
      <c r="O49" s="156">
        <v>1</v>
      </c>
      <c r="P49" s="47">
        <v>1</v>
      </c>
      <c r="Q49" s="213">
        <v>44567</v>
      </c>
      <c r="R49" s="271">
        <f ca="1">IF(D49="","",IF(OFFSET(D49,-1,0)&lt;&gt;"","",IF(OR(J49="リード付け",J49="巻足し",J49="巻返しリード付け"),M49,VLOOKUP(D49,契約台帳!$A$3:$N$4986,14,FALSE))))</f>
        <v>1040</v>
      </c>
      <c r="S49" s="272">
        <f ca="1">IF(D49="","",IF(OFFSET(D49,-1,0)&lt;&gt;"","",IF(OR(J49="リード付け",J49="巻足し",J49="巻返しリード付け"),M49,VLOOKUP(D49,契約台帳!$A$3:$O$4986,15,FALSE))))</f>
        <v>1040</v>
      </c>
      <c r="T49" s="273">
        <f ca="1">IF(D49="","",IF(J49="リード付け",N49,IF(J49="巻返しリード付け",N49,IF(J49="巻足し",N49*P49+OFFSET(N49,1,0)*OFFSET(P49,1,0),VLOOKUP(D49,契約台帳!$A$3:$P$4986,16,FALSE)))))</f>
        <v>6000</v>
      </c>
      <c r="U49" s="40">
        <v>1</v>
      </c>
      <c r="V49" s="274">
        <f ca="1">IF(D49="","",IF(OFFSET(D49,-2,0)=D49,"",VLOOKUP(D49,契約台帳!$A$3:$R$4986,18,FALSE)))</f>
        <v>2</v>
      </c>
      <c r="W49" s="269" t="str">
        <f ca="1">IF(D49="","",IF(T49="","",IF(OR(J49="巻足し",J49="巻返しリード付け"),"",IF(J49="巻返し",VLOOKUP(F49&amp;K49&amp;M49,製品マスタ!$M$5:$AD$5002,18,FALSE),IF(OR(J49="リード付け",J49="巻返しリード付け"),"原反コア",IF(J49="スリット",VLOOKUP(F49&amp;K49&amp;R49,製品マスタ!$N$5:$AD$5002,17,FALSE),""))))))</f>
        <v/>
      </c>
      <c r="X49" s="269" t="str">
        <f ca="1">IF(D49="","",IF(T49="","",IF(J49="巻足し","",IF(J49="巻返し",VLOOKUP(F49&amp;K49&amp;M49,製品マスタ!$M$5:$AE$5002,19,FALSE),IF(OR(J49="リード付け",J49="巻返しリード付け"),"",IF(J49="スリット",VLOOKUP(F49&amp;K49&amp;R49,製品マスタ!$N$5:$AE$5002,18,FALSE),""))))))</f>
        <v/>
      </c>
      <c r="Y49" s="275">
        <f ca="1">IF(D49="","",IF(T49="","",VLOOKUP(D49,契約台帳!$A$3:$Q$4986,17,FALSE)))</f>
        <v>2</v>
      </c>
      <c r="Z49" s="269" t="str">
        <f ca="1">IF(D49="","",IF(T49="","",VLOOKUP(D49,契約台帳!$A$3:$E$4986,5,FALSE)))</f>
        <v>リンテック㈱</v>
      </c>
      <c r="AA49" s="57"/>
      <c r="AB49" s="207">
        <f>IFERROR((VLOOKUP(F49&amp;K49&amp;M49,製品マスタ!$M$5:$AM$5002,27,FALSE)),"")</f>
        <v>0</v>
      </c>
      <c r="AC49" s="33"/>
      <c r="AD49" s="189"/>
      <c r="AE49" s="54"/>
      <c r="AF49" s="55"/>
      <c r="AG49" s="43"/>
      <c r="AH49" s="47"/>
      <c r="AI49" s="30"/>
      <c r="AJ49" s="30"/>
      <c r="AK49" s="30"/>
      <c r="AL49" s="30"/>
      <c r="AM49" s="13"/>
      <c r="AN49" s="13"/>
      <c r="AO49" s="13"/>
      <c r="AP49" s="13"/>
      <c r="AQ49" s="13"/>
      <c r="AR49" s="14"/>
      <c r="AS49" s="15"/>
    </row>
    <row r="50" spans="1:45" s="17" customFormat="1" ht="30.95" hidden="1" customHeight="1" x14ac:dyDescent="0.2">
      <c r="A50" s="37"/>
      <c r="B50" s="38"/>
      <c r="C50" s="45"/>
      <c r="D50" s="31"/>
      <c r="E50" s="31"/>
      <c r="F50" s="268" t="str">
        <f>IF(D50="","",VLOOKUP(D50,契約台帳!$A$3:$K$4986,6,FALSE)&amp;VLOOKUP(D50,契約台帳!$A$3:$K$4986,7,FALSE)&amp;VLOOKUP(D50,契約台帳!$A$3:$K$4986,8,FALSE)&amp;VLOOKUP(D50,契約台帳!$A$3:$K$4986,9,FALSE)&amp;VLOOKUP(D50,契約台帳!$A$3:$K$4986,11,FALSE))</f>
        <v/>
      </c>
      <c r="G50" s="269" t="str">
        <f>IF(D50="","",VLOOKUP(F50,製品マスタ!$G$5:$H$5002,2,FALSE))</f>
        <v/>
      </c>
      <c r="H50" s="269" t="str">
        <f>IF(D50="","",VLOOKUP(F50,製品マスタ!$G$5:$K$5002,5,FALSE))</f>
        <v/>
      </c>
      <c r="I50" s="270" t="str">
        <f>IF(D50="","",VLOOKUP(F50,製品マスタ!$G$5:$L$5002,6,FALSE))</f>
        <v/>
      </c>
      <c r="J50" s="210"/>
      <c r="K50" s="270" t="str">
        <f>IF(D50="","",VLOOKUP(D50,契約台帳!$A$3:$L$4986,12,FALSE))</f>
        <v/>
      </c>
      <c r="L50" s="270" t="str">
        <f>IF(D50="","",INDEX(製品マスタ!$Q$5:$Q$5002,MATCH('S4'!F50&amp;'S4'!K50,製品マスタ!$AO$5:$AO$5002,0)))</f>
        <v/>
      </c>
      <c r="M50" s="39"/>
      <c r="N50" s="39"/>
      <c r="O50" s="156"/>
      <c r="P50" s="47"/>
      <c r="Q50" s="57"/>
      <c r="R50" s="271" t="str">
        <f ca="1">IF(D50="","",IF(OFFSET(D50,-1,0)&lt;&gt;"","",IF(OR(J50="リード付け",J50="巻足し",J50="巻返しリード付け"),M50,VLOOKUP(D50,契約台帳!$A$3:$N$4986,14,FALSE))))</f>
        <v/>
      </c>
      <c r="S50" s="272" t="str">
        <f ca="1">IF(D50="","",IF(OFFSET(D50,-1,0)&lt;&gt;"","",IF(OR(J50="リード付け",J50="巻足し",J50="巻返しリード付け"),M50,VLOOKUP(D50,契約台帳!$A$3:$O$4986,15,FALSE))))</f>
        <v/>
      </c>
      <c r="T50" s="273" t="str">
        <f ca="1">IF(D50="","",IF(J50="リード付け",N50,IF(J50="巻返しリード付け",N50,IF(J50="巻足し",N50*P50+OFFSET(N50,1,0)*OFFSET(P50,1,0),VLOOKUP(D50,契約台帳!$A$3:$P$4986,16,FALSE)))))</f>
        <v/>
      </c>
      <c r="U50" s="40"/>
      <c r="V50" s="274" t="str">
        <f ca="1">IF(D50="","",IF(OFFSET(D50,-2,0)=D50,"",VLOOKUP(D50,契約台帳!$A$3:$R$4986,18,FALSE)))</f>
        <v/>
      </c>
      <c r="W50" s="269" t="str">
        <f>IF(D50="","",IF(T50="","",IF(OR(J50="巻足し",J50="巻返しリード付け"),"",IF(J50="巻返し",VLOOKUP(F50&amp;K50&amp;M50,製品マスタ!$M$5:$AD$5002,18,FALSE),IF(OR(J50="リード付け",J50="巻返しリード付け"),"原反コア",IF(J50="スリット",VLOOKUP(F50&amp;K50&amp;R50,製品マスタ!$N$5:$AD$5002,17,FALSE),""))))))</f>
        <v/>
      </c>
      <c r="X50" s="269" t="str">
        <f>IF(D50="","",IF(T50="","",IF(J50="巻足し","",IF(J50="巻返し",VLOOKUP(F50&amp;K50&amp;M50,製品マスタ!$M$5:$AE$5002,19,FALSE),IF(OR(J50="リード付け",J50="巻返しリード付け"),"",IF(J50="スリット",VLOOKUP(F50&amp;K50&amp;R50,製品マスタ!$N$5:$AE$5002,18,FALSE),""))))))</f>
        <v/>
      </c>
      <c r="Y50" s="275" t="str">
        <f>IF(D50="","",IF(T50="","",VLOOKUP(D50,契約台帳!$A$3:$Q$4986,17,FALSE)))</f>
        <v/>
      </c>
      <c r="Z50" s="269" t="str">
        <f>IF(D50="","",IF(T50="","",VLOOKUP(D50,契約台帳!$A$3:$E$4986,5,FALSE)))</f>
        <v/>
      </c>
      <c r="AA50" s="57"/>
      <c r="AB50" s="207" t="str">
        <f>IFERROR((VLOOKUP(F50&amp;K50&amp;M50,製品マスタ!$M$5:$AM$5002,27,FALSE)),"")</f>
        <v/>
      </c>
      <c r="AC50" s="33"/>
      <c r="AD50" s="189"/>
      <c r="AE50" s="54"/>
      <c r="AF50" s="55"/>
      <c r="AG50" s="43"/>
      <c r="AH50" s="47"/>
      <c r="AI50" s="30"/>
      <c r="AJ50" s="30"/>
      <c r="AK50" s="30"/>
      <c r="AL50" s="30"/>
      <c r="AM50" s="13"/>
      <c r="AN50" s="13"/>
      <c r="AO50" s="13"/>
      <c r="AP50" s="13"/>
      <c r="AQ50" s="13"/>
      <c r="AR50" s="14"/>
      <c r="AS50" s="15"/>
    </row>
    <row r="51" spans="1:45" s="17" customFormat="1" ht="30.95" hidden="1" customHeight="1" x14ac:dyDescent="0.2">
      <c r="A51" s="37"/>
      <c r="B51" s="38"/>
      <c r="C51" s="45"/>
      <c r="D51" s="31">
        <v>3694109</v>
      </c>
      <c r="E51" s="31">
        <v>4161782</v>
      </c>
      <c r="F51" s="268" t="str">
        <f>IF(D51="","",VLOOKUP(D51,契約台帳!$A$3:$K$4986,6,FALSE)&amp;VLOOKUP(D51,契約台帳!$A$3:$K$4986,7,FALSE)&amp;VLOOKUP(D51,契約台帳!$A$3:$K$4986,8,FALSE)&amp;VLOOKUP(D51,契約台帳!$A$3:$K$4986,9,FALSE)&amp;VLOOKUP(D51,契約台帳!$A$3:$K$4986,11,FALSE))</f>
        <v>3SNMCLBNGKEYKB</v>
      </c>
      <c r="G51" s="269" t="str">
        <f>IF(D51="","",VLOOKUP(F51,製品マスタ!$G$5:$H$5002,2,FALSE))</f>
        <v>S</v>
      </c>
      <c r="H51" s="269" t="str">
        <f>IF(D51="","",VLOOKUP(F51,製品マスタ!$G$5:$K$5002,5,FALSE))</f>
        <v>NGKEYKB</v>
      </c>
      <c r="I51" s="270" t="str">
        <f>IF(D51="","",VLOOKUP(F51,製品マスタ!$G$5:$L$5002,6,FALSE))</f>
        <v>メタルミー　ネーマー銀消ＥＹＫ　Ｂ</v>
      </c>
      <c r="J51" s="210" t="s">
        <v>574</v>
      </c>
      <c r="K51" s="270">
        <f>IF(D51="","",VLOOKUP(D51,契約台帳!$A$3:$L$4986,12,FALSE))</f>
        <v>16</v>
      </c>
      <c r="L51" s="270" t="str">
        <f>IF(D51="","",INDEX(製品マスタ!$Q$5:$Q$5002,MATCH('S4'!F51&amp;'S4'!K51,製品マスタ!$AO$5:$AO$5002,0)))</f>
        <v>LUMIMAT</v>
      </c>
      <c r="M51" s="39">
        <v>1005</v>
      </c>
      <c r="N51" s="39">
        <v>3200</v>
      </c>
      <c r="O51" s="156">
        <v>1</v>
      </c>
      <c r="P51" s="47">
        <v>1</v>
      </c>
      <c r="Q51" s="213">
        <v>44571</v>
      </c>
      <c r="R51" s="271">
        <f ca="1">IF(D51="","",IF(OFFSET(D51,-1,0)&lt;&gt;"","",IF(OR(J51="リード付け",J51="巻足し",J51="巻返しリード付け"),M51,VLOOKUP(D51,契約台帳!$A$3:$N$4986,14,FALSE))))</f>
        <v>1005</v>
      </c>
      <c r="S51" s="272">
        <f ca="1">IF(D51="","",IF(OFFSET(D51,-1,0)&lt;&gt;"","",IF(OR(J51="リード付け",J51="巻足し",J51="巻返しリード付け"),M51,VLOOKUP(D51,契約台帳!$A$3:$O$4986,15,FALSE))))</f>
        <v>1005</v>
      </c>
      <c r="T51" s="273">
        <f ca="1">IF(D51="","",IF(J51="リード付け",N51,IF(J51="巻返しリード付け",N51,IF(J51="巻足し",N51*P51+OFFSET(N51,1,0)*OFFSET(P51,1,0),VLOOKUP(D51,契約台帳!$A$3:$P$4986,16,FALSE)))))</f>
        <v>3200</v>
      </c>
      <c r="U51" s="40">
        <v>1</v>
      </c>
      <c r="V51" s="274">
        <f ca="1">IF(D51="","",IF(OFFSET(D51,-2,0)=D51,"",VLOOKUP(D51,契約台帳!$A$3:$R$4986,18,FALSE)))</f>
        <v>1</v>
      </c>
      <c r="W51" s="269" t="str">
        <f ca="1">IF(D51="","",IF(T51="","",IF(OR(J51="巻足し",J51="巻返しリード付け"),"",IF(J51="巻返し",VLOOKUP(F51&amp;K51&amp;M51,製品マスタ!$M$5:$AD$5002,18,FALSE),IF(OR(J51="リード付け",J51="巻返しリード付け"),"原反コア",IF(J51="スリット",VLOOKUP(F51&amp;K51&amp;R51,製品マスタ!$N$5:$AD$5002,17,FALSE),""))))))</f>
        <v/>
      </c>
      <c r="X51" s="269" t="str">
        <f ca="1">IF(D51="","",IF(T51="","",IF(J51="巻足し","",IF(J51="巻返し",VLOOKUP(F51&amp;K51&amp;M51,製品マスタ!$M$5:$AE$5002,19,FALSE),IF(OR(J51="リード付け",J51="巻返しリード付け"),"",IF(J51="スリット",VLOOKUP(F51&amp;K51&amp;R51,製品マスタ!$N$5:$AE$5002,18,FALSE),""))))))</f>
        <v/>
      </c>
      <c r="Y51" s="275">
        <f ca="1">IF(D51="","",IF(T51="","",VLOOKUP(D51,契約台帳!$A$3:$Q$4986,17,FALSE)))</f>
        <v>2</v>
      </c>
      <c r="Z51" s="269" t="str">
        <f ca="1">IF(D51="","",IF(T51="","",VLOOKUP(D51,契約台帳!$A$3:$E$4986,5,FALSE)))</f>
        <v>リンテック㈱</v>
      </c>
      <c r="AA51" s="57"/>
      <c r="AB51" s="207">
        <f>IFERROR((VLOOKUP(F51&amp;K51&amp;M51,製品マスタ!$M$5:$AM$5002,27,FALSE)),"")</f>
        <v>0</v>
      </c>
      <c r="AC51" s="33"/>
      <c r="AD51" s="189"/>
      <c r="AE51" s="54"/>
      <c r="AF51" s="55"/>
      <c r="AG51" s="43"/>
      <c r="AH51" s="47"/>
      <c r="AI51" s="30"/>
      <c r="AJ51" s="30"/>
      <c r="AK51" s="30"/>
      <c r="AL51" s="30"/>
      <c r="AM51" s="13"/>
      <c r="AN51" s="13"/>
      <c r="AO51" s="13"/>
      <c r="AP51" s="13"/>
      <c r="AQ51" s="13"/>
      <c r="AR51" s="14"/>
      <c r="AS51" s="15"/>
    </row>
    <row r="52" spans="1:45" s="17" customFormat="1" ht="30.95" hidden="1" customHeight="1" x14ac:dyDescent="0.2">
      <c r="A52" s="37"/>
      <c r="B52" s="38"/>
      <c r="C52" s="45"/>
      <c r="D52" s="31"/>
      <c r="E52" s="31"/>
      <c r="F52" s="268" t="str">
        <f>IF(D52="","",VLOOKUP(D52,契約台帳!$A$3:$K$4986,6,FALSE)&amp;VLOOKUP(D52,契約台帳!$A$3:$K$4986,7,FALSE)&amp;VLOOKUP(D52,契約台帳!$A$3:$K$4986,8,FALSE)&amp;VLOOKUP(D52,契約台帳!$A$3:$K$4986,9,FALSE)&amp;VLOOKUP(D52,契約台帳!$A$3:$K$4986,11,FALSE))</f>
        <v/>
      </c>
      <c r="G52" s="269" t="str">
        <f>IF(D52="","",VLOOKUP(F52,製品マスタ!$G$5:$H$5002,2,FALSE))</f>
        <v/>
      </c>
      <c r="H52" s="269" t="str">
        <f>IF(D52="","",VLOOKUP(F52,製品マスタ!$G$5:$K$5002,5,FALSE))</f>
        <v/>
      </c>
      <c r="I52" s="270" t="str">
        <f>IF(D52="","",VLOOKUP(F52,製品マスタ!$G$5:$L$5002,6,FALSE))</f>
        <v/>
      </c>
      <c r="J52" s="210"/>
      <c r="K52" s="270" t="str">
        <f>IF(D52="","",VLOOKUP(D52,契約台帳!$A$3:$L$4986,12,FALSE))</f>
        <v/>
      </c>
      <c r="L52" s="270" t="str">
        <f>IF(D52="","",INDEX(製品マスタ!$Q$5:$Q$5002,MATCH('S4'!F52&amp;'S4'!K52,製品マスタ!$AO$5:$AO$5002,0)))</f>
        <v/>
      </c>
      <c r="M52" s="39"/>
      <c r="N52" s="39"/>
      <c r="O52" s="156"/>
      <c r="P52" s="47"/>
      <c r="Q52" s="57"/>
      <c r="R52" s="271" t="str">
        <f ca="1">IF(D52="","",IF(OFFSET(D52,-1,0)&lt;&gt;"","",IF(OR(J52="リード付け",J52="巻足し",J52="巻返しリード付け"),M52,VLOOKUP(D52,契約台帳!$A$3:$N$4986,14,FALSE))))</f>
        <v/>
      </c>
      <c r="S52" s="272" t="str">
        <f ca="1">IF(D52="","",IF(OFFSET(D52,-1,0)&lt;&gt;"","",IF(OR(J52="リード付け",J52="巻足し",J52="巻返しリード付け"),M52,VLOOKUP(D52,契約台帳!$A$3:$O$4986,15,FALSE))))</f>
        <v/>
      </c>
      <c r="T52" s="273" t="str">
        <f ca="1">IF(D52="","",IF(J52="リード付け",N52,IF(J52="巻返しリード付け",N52,IF(J52="巻足し",N52*P52+OFFSET(N52,1,0)*OFFSET(P52,1,0),VLOOKUP(D52,契約台帳!$A$3:$P$4986,16,FALSE)))))</f>
        <v/>
      </c>
      <c r="U52" s="40"/>
      <c r="V52" s="274" t="str">
        <f ca="1">IF(D52="","",IF(OFFSET(D52,-2,0)=D52,"",VLOOKUP(D52,契約台帳!$A$3:$R$4986,18,FALSE)))</f>
        <v/>
      </c>
      <c r="W52" s="269" t="str">
        <f>IF(D52="","",IF(T52="","",IF(OR(J52="巻足し",J52="巻返しリード付け"),"",IF(J52="巻返し",VLOOKUP(F52&amp;K52&amp;M52,製品マスタ!$M$5:$AD$5002,18,FALSE),IF(OR(J52="リード付け",J52="巻返しリード付け"),"原反コア",IF(J52="スリット",VLOOKUP(F52&amp;K52&amp;R52,製品マスタ!$N$5:$AD$5002,17,FALSE),""))))))</f>
        <v/>
      </c>
      <c r="X52" s="269" t="str">
        <f>IF(D52="","",IF(T52="","",IF(J52="巻足し","",IF(J52="巻返し",VLOOKUP(F52&amp;K52&amp;M52,製品マスタ!$M$5:$AE$5002,19,FALSE),IF(OR(J52="リード付け",J52="巻返しリード付け"),"",IF(J52="スリット",VLOOKUP(F52&amp;K52&amp;R52,製品マスタ!$N$5:$AE$5002,18,FALSE),""))))))</f>
        <v/>
      </c>
      <c r="Y52" s="275" t="str">
        <f>IF(D52="","",IF(T52="","",VLOOKUP(D52,契約台帳!$A$3:$Q$4986,17,FALSE)))</f>
        <v/>
      </c>
      <c r="Z52" s="269" t="str">
        <f>IF(D52="","",IF(T52="","",VLOOKUP(D52,契約台帳!$A$3:$E$4986,5,FALSE)))</f>
        <v/>
      </c>
      <c r="AA52" s="57"/>
      <c r="AB52" s="207" t="str">
        <f>IFERROR((VLOOKUP(F52&amp;K52&amp;M52,製品マスタ!$M$5:$AM$5002,27,FALSE)),"")</f>
        <v/>
      </c>
      <c r="AC52" s="33"/>
      <c r="AD52" s="189"/>
      <c r="AE52" s="54"/>
      <c r="AF52" s="55"/>
      <c r="AG52" s="43"/>
      <c r="AH52" s="47"/>
      <c r="AI52" s="30"/>
      <c r="AJ52" s="30"/>
      <c r="AK52" s="30"/>
      <c r="AL52" s="30"/>
      <c r="AM52" s="13"/>
      <c r="AN52" s="13"/>
      <c r="AO52" s="13"/>
      <c r="AP52" s="13"/>
      <c r="AQ52" s="13"/>
      <c r="AR52" s="14"/>
      <c r="AS52" s="15"/>
    </row>
    <row r="53" spans="1:45" s="17" customFormat="1" ht="30.95" hidden="1" customHeight="1" x14ac:dyDescent="0.2">
      <c r="A53" s="37"/>
      <c r="B53" s="38"/>
      <c r="C53" s="45"/>
      <c r="D53" s="31">
        <v>3694107</v>
      </c>
      <c r="E53" s="31">
        <v>4161783</v>
      </c>
      <c r="F53" s="268" t="str">
        <f>IF(D53="","",VLOOKUP(D53,契約台帳!$A$3:$K$4986,6,FALSE)&amp;VLOOKUP(D53,契約台帳!$A$3:$K$4986,7,FALSE)&amp;VLOOKUP(D53,契約台帳!$A$3:$K$4986,8,FALSE)&amp;VLOOKUP(D53,契約台帳!$A$3:$K$4986,9,FALSE)&amp;VLOOKUP(D53,契約台帳!$A$3:$K$4986,11,FALSE))</f>
        <v>3SNMCLBNGKVB</v>
      </c>
      <c r="G53" s="269" t="str">
        <f>IF(D53="","",VLOOKUP(F53,製品マスタ!$G$5:$H$5002,2,FALSE))</f>
        <v>S</v>
      </c>
      <c r="H53" s="269" t="str">
        <f>IF(D53="","",VLOOKUP(F53,製品マスタ!$G$5:$K$5002,5,FALSE))</f>
        <v>NGKVB</v>
      </c>
      <c r="I53" s="270" t="str">
        <f>IF(D53="","",VLOOKUP(F53,製品マスタ!$G$5:$L$5002,6,FALSE))</f>
        <v>メタルミー　ネーマー銀消　ＶＢ</v>
      </c>
      <c r="J53" s="210" t="s">
        <v>736</v>
      </c>
      <c r="K53" s="270">
        <f>IF(D53="","",VLOOKUP(D53,契約台帳!$A$3:$L$4986,12,FALSE))</f>
        <v>50</v>
      </c>
      <c r="L53" s="270" t="str">
        <f>IF(D53="","",INDEX(製品マスタ!$Q$5:$Q$5002,MATCH('S4'!F53&amp;'S4'!K53,製品マスタ!$AO$5:$AO$5002,0)))</f>
        <v>MAT</v>
      </c>
      <c r="M53" s="39">
        <v>1005</v>
      </c>
      <c r="N53" s="39">
        <v>4100</v>
      </c>
      <c r="O53" s="156">
        <v>3</v>
      </c>
      <c r="P53" s="47">
        <v>3</v>
      </c>
      <c r="Q53" s="213">
        <v>44572</v>
      </c>
      <c r="R53" s="271">
        <f ca="1">IF(D53="","",IF(OFFSET(D53,-1,0)&lt;&gt;"","",IF(OR(J53="リード付け",J53="巻足し",J53="巻返しリード付け"),M53,VLOOKUP(D53,契約台帳!$A$3:$N$4986,14,FALSE))))</f>
        <v>1005</v>
      </c>
      <c r="S53" s="272">
        <f ca="1">IF(D53="","",IF(OFFSET(D53,-1,0)&lt;&gt;"","",IF(OR(J53="リード付け",J53="巻足し",J53="巻返しリード付け"),M53,VLOOKUP(D53,契約台帳!$A$3:$O$4986,15,FALSE))))</f>
        <v>1005</v>
      </c>
      <c r="T53" s="273">
        <f ca="1">IF(D53="","",IF(J53="リード付け",N53,IF(J53="巻返しリード付け",N53,IF(J53="巻足し",N53*P53+OFFSET(N53,1,0)*OFFSET(P53,1,0),VLOOKUP(D53,契約台帳!$A$3:$P$4986,16,FALSE)))))</f>
        <v>12300</v>
      </c>
      <c r="U53" s="40">
        <v>1</v>
      </c>
      <c r="V53" s="274">
        <f ca="1">IF(D53="","",IF(OFFSET(D53,-2,0)=D53,"",VLOOKUP(D53,契約台帳!$A$3:$R$4986,18,FALSE)))</f>
        <v>3</v>
      </c>
      <c r="W53" s="269" t="str">
        <f ca="1">IF(D53="","",IF(T53="","",IF(OR(J53="巻足し",J53="巻返しリード付け"),"",IF(J53="巻返し",VLOOKUP(F53&amp;K53&amp;M53,製品マスタ!$M$5:$AD$5002,18,FALSE),IF(OR(J53="リード付け",J53="巻返しリード付け"),"原反コア",IF(J53="スリット",VLOOKUP(F53&amp;K53&amp;R53,製品マスタ!$N$5:$AD$5002,17,FALSE),""))))))</f>
        <v/>
      </c>
      <c r="X53" s="269" t="str">
        <f ca="1">IF(D53="","",IF(T53="","",IF(J53="巻足し","",IF(J53="巻返し",VLOOKUP(F53&amp;K53&amp;M53,製品マスタ!$M$5:$AE$5002,19,FALSE),IF(OR(J53="リード付け",J53="巻返しリード付け"),"",IF(J53="スリット",VLOOKUP(F53&amp;K53&amp;R53,製品マスタ!$N$5:$AE$5002,18,FALSE),""))))))</f>
        <v/>
      </c>
      <c r="Y53" s="275">
        <f ca="1">IF(D53="","",IF(T53="","",VLOOKUP(D53,契約台帳!$A$3:$Q$4986,17,FALSE)))</f>
        <v>2</v>
      </c>
      <c r="Z53" s="269" t="str">
        <f ca="1">IF(D53="","",IF(T53="","",VLOOKUP(D53,契約台帳!$A$3:$E$4986,5,FALSE)))</f>
        <v>リンテック㈱</v>
      </c>
      <c r="AA53" s="57"/>
      <c r="AB53" s="207">
        <f>IFERROR((VLOOKUP(F53&amp;K53&amp;M53,製品マスタ!$M$5:$AM$5002,27,FALSE)),"")</f>
        <v>0</v>
      </c>
      <c r="AC53" s="33"/>
      <c r="AD53" s="189"/>
      <c r="AE53" s="54"/>
      <c r="AF53" s="55"/>
      <c r="AG53" s="43"/>
      <c r="AH53" s="47"/>
      <c r="AI53" s="30"/>
      <c r="AJ53" s="30"/>
      <c r="AK53" s="30"/>
      <c r="AL53" s="30"/>
      <c r="AM53" s="13"/>
      <c r="AN53" s="13"/>
      <c r="AO53" s="13"/>
      <c r="AP53" s="13"/>
      <c r="AQ53" s="13"/>
      <c r="AR53" s="14"/>
      <c r="AS53" s="15"/>
    </row>
    <row r="54" spans="1:45" s="17" customFormat="1" ht="30.95" hidden="1" customHeight="1" x14ac:dyDescent="0.2">
      <c r="A54" s="37"/>
      <c r="B54" s="38"/>
      <c r="C54" s="45"/>
      <c r="D54" s="31"/>
      <c r="E54" s="31"/>
      <c r="F54" s="268" t="str">
        <f>IF(D54="","",VLOOKUP(D54,契約台帳!$A$3:$K$4986,6,FALSE)&amp;VLOOKUP(D54,契約台帳!$A$3:$K$4986,7,FALSE)&amp;VLOOKUP(D54,契約台帳!$A$3:$K$4986,8,FALSE)&amp;VLOOKUP(D54,契約台帳!$A$3:$K$4986,9,FALSE)&amp;VLOOKUP(D54,契約台帳!$A$3:$K$4986,11,FALSE))</f>
        <v/>
      </c>
      <c r="G54" s="269" t="str">
        <f>IF(D54="","",VLOOKUP(F54,製品マスタ!$G$5:$H$5002,2,FALSE))</f>
        <v/>
      </c>
      <c r="H54" s="269" t="str">
        <f>IF(D54="","",VLOOKUP(F54,製品マスタ!$G$5:$K$5002,5,FALSE))</f>
        <v/>
      </c>
      <c r="I54" s="270" t="str">
        <f>IF(D54="","",VLOOKUP(F54,製品マスタ!$G$5:$L$5002,6,FALSE))</f>
        <v/>
      </c>
      <c r="J54" s="210"/>
      <c r="K54" s="270" t="str">
        <f>IF(D54="","",VLOOKUP(D54,契約台帳!$A$3:$L$4986,12,FALSE))</f>
        <v/>
      </c>
      <c r="L54" s="270" t="str">
        <f>IF(D54="","",INDEX(製品マスタ!$Q$5:$Q$5002,MATCH('S4'!F54&amp;'S4'!K54,製品マスタ!$AO$5:$AO$5002,0)))</f>
        <v/>
      </c>
      <c r="M54" s="39"/>
      <c r="N54" s="39"/>
      <c r="O54" s="156"/>
      <c r="P54" s="47"/>
      <c r="Q54" s="57"/>
      <c r="R54" s="271" t="str">
        <f ca="1">IF(D54="","",IF(OFFSET(D54,-1,0)&lt;&gt;"","",IF(OR(J54="リード付け",J54="巻足し",J54="巻返しリード付け"),M54,VLOOKUP(D54,契約台帳!$A$3:$N$4986,14,FALSE))))</f>
        <v/>
      </c>
      <c r="S54" s="272" t="str">
        <f ca="1">IF(D54="","",IF(OFFSET(D54,-1,0)&lt;&gt;"","",IF(OR(J54="リード付け",J54="巻足し",J54="巻返しリード付け"),M54,VLOOKUP(D54,契約台帳!$A$3:$O$4986,15,FALSE))))</f>
        <v/>
      </c>
      <c r="T54" s="273" t="str">
        <f ca="1">IF(D54="","",IF(J54="リード付け",N54,IF(J54="巻返しリード付け",N54,IF(J54="巻足し",N54*P54+OFFSET(N54,1,0)*OFFSET(P54,1,0),VLOOKUP(D54,契約台帳!$A$3:$P$4986,16,FALSE)))))</f>
        <v/>
      </c>
      <c r="U54" s="40"/>
      <c r="V54" s="274" t="str">
        <f ca="1">IF(D54="","",IF(OFFSET(D54,-2,0)=D54,"",VLOOKUP(D54,契約台帳!$A$3:$R$4986,18,FALSE)))</f>
        <v/>
      </c>
      <c r="W54" s="269" t="str">
        <f>IF(D54="","",IF(T54="","",IF(OR(J54="巻足し",J54="巻返しリード付け"),"",IF(J54="巻返し",VLOOKUP(F54&amp;K54&amp;M54,製品マスタ!$M$5:$AD$5002,18,FALSE),IF(OR(J54="リード付け",J54="巻返しリード付け"),"原反コア",IF(J54="スリット",VLOOKUP(F54&amp;K54&amp;R54,製品マスタ!$N$5:$AD$5002,17,FALSE),""))))))</f>
        <v/>
      </c>
      <c r="X54" s="269" t="str">
        <f>IF(D54="","",IF(T54="","",IF(J54="巻足し","",IF(J54="巻返し",VLOOKUP(F54&amp;K54&amp;M54,製品マスタ!$M$5:$AE$5002,19,FALSE),IF(OR(J54="リード付け",J54="巻返しリード付け"),"",IF(J54="スリット",VLOOKUP(F54&amp;K54&amp;R54,製品マスタ!$N$5:$AE$5002,18,FALSE),""))))))</f>
        <v/>
      </c>
      <c r="Y54" s="275" t="str">
        <f>IF(D54="","",IF(T54="","",VLOOKUP(D54,契約台帳!$A$3:$Q$4986,17,FALSE)))</f>
        <v/>
      </c>
      <c r="Z54" s="269" t="str">
        <f>IF(D54="","",IF(T54="","",VLOOKUP(D54,契約台帳!$A$3:$E$4986,5,FALSE)))</f>
        <v/>
      </c>
      <c r="AA54" s="57"/>
      <c r="AB54" s="207" t="str">
        <f>IFERROR((VLOOKUP(F54&amp;K54&amp;M54,製品マスタ!$M$5:$AM$5002,27,FALSE)),"")</f>
        <v/>
      </c>
      <c r="AC54" s="33"/>
      <c r="AD54" s="189"/>
      <c r="AE54" s="54"/>
      <c r="AF54" s="55"/>
      <c r="AG54" s="43"/>
      <c r="AH54" s="47"/>
      <c r="AI54" s="30"/>
      <c r="AJ54" s="30"/>
      <c r="AK54" s="30"/>
      <c r="AL54" s="30"/>
      <c r="AM54" s="13"/>
      <c r="AN54" s="13"/>
      <c r="AO54" s="13"/>
      <c r="AP54" s="13"/>
      <c r="AQ54" s="13"/>
      <c r="AR54" s="14"/>
      <c r="AS54" s="15"/>
    </row>
    <row r="55" spans="1:45" s="17" customFormat="1" ht="30.95" hidden="1" customHeight="1" x14ac:dyDescent="0.2">
      <c r="A55" s="37"/>
      <c r="B55" s="38"/>
      <c r="C55" s="45"/>
      <c r="D55" s="31">
        <v>3694121</v>
      </c>
      <c r="E55" s="31">
        <v>4161762</v>
      </c>
      <c r="F55" s="268" t="str">
        <f>IF(D55="","",VLOOKUP(D55,契約台帳!$A$3:$K$4986,6,FALSE)&amp;VLOOKUP(D55,契約台帳!$A$3:$K$4986,7,FALSE)&amp;VLOOKUP(D55,契約台帳!$A$3:$K$4986,8,FALSE)&amp;VLOOKUP(D55,契約台帳!$A$3:$K$4986,9,FALSE)&amp;VLOOKUP(D55,契約台帳!$A$3:$K$4986,11,FALSE))</f>
        <v>3SNMCLBHLGTV</v>
      </c>
      <c r="G55" s="269" t="str">
        <f>IF(D55="","",VLOOKUP(F55,製品マスタ!$G$5:$H$5002,2,FALSE))</f>
        <v>S</v>
      </c>
      <c r="H55" s="269" t="str">
        <f>IF(D55="","",VLOOKUP(F55,製品マスタ!$G$5:$K$5002,5,FALSE))</f>
        <v>HLGTV</v>
      </c>
      <c r="I55" s="270" t="str">
        <f>IF(D55="","",VLOOKUP(F55,製品マスタ!$G$5:$L$5002,6,FALSE))</f>
        <v>メタルミー　ヘヤライン　銀艶Ｖ</v>
      </c>
      <c r="J55" s="210" t="s">
        <v>574</v>
      </c>
      <c r="K55" s="270">
        <f>IF(D55="","",VLOOKUP(D55,契約台帳!$A$3:$L$4986,12,FALSE))</f>
        <v>25</v>
      </c>
      <c r="L55" s="270" t="str">
        <f>IF(D55="","",INDEX(製品マスタ!$Q$5:$Q$5002,MATCH('S4'!F55&amp;'S4'!K55,製品マスタ!$AO$5:$AO$5002,0)))</f>
        <v>BRIGHT</v>
      </c>
      <c r="M55" s="39">
        <v>1005</v>
      </c>
      <c r="N55" s="39">
        <v>8000</v>
      </c>
      <c r="O55" s="156">
        <v>1</v>
      </c>
      <c r="P55" s="47">
        <v>1</v>
      </c>
      <c r="Q55" s="213">
        <v>44571</v>
      </c>
      <c r="R55" s="271">
        <f ca="1">IF(D55="","",IF(OFFSET(D55,-1,0)&lt;&gt;"","",IF(OR(J55="リード付け",J55="巻足し",J55="巻返しリード付け"),M55,VLOOKUP(D55,契約台帳!$A$3:$N$4986,14,FALSE))))</f>
        <v>1005</v>
      </c>
      <c r="S55" s="272">
        <f ca="1">IF(D55="","",IF(OFFSET(D55,-1,0)&lt;&gt;"","",IF(OR(J55="リード付け",J55="巻足し",J55="巻返しリード付け"),M55,VLOOKUP(D55,契約台帳!$A$3:$O$4986,15,FALSE))))</f>
        <v>1005</v>
      </c>
      <c r="T55" s="273">
        <f ca="1">IF(D55="","",IF(J55="リード付け",N55,IF(J55="巻返しリード付け",N55,IF(J55="巻足し",N55*P55+OFFSET(N55,1,0)*OFFSET(P55,1,0),VLOOKUP(D55,契約台帳!$A$3:$P$4986,16,FALSE)))))</f>
        <v>8000</v>
      </c>
      <c r="U55" s="40">
        <v>1</v>
      </c>
      <c r="V55" s="274">
        <f ca="1">IF(D55="","",IF(OFFSET(D55,-2,0)=D55,"",VLOOKUP(D55,契約台帳!$A$3:$R$4986,18,FALSE)))</f>
        <v>1</v>
      </c>
      <c r="W55" s="269" t="str">
        <f ca="1">IF(D55="","",IF(T55="","",IF(OR(J55="巻足し",J55="巻返しリード付け"),"",IF(J55="巻返し",VLOOKUP(F55&amp;K55&amp;M55,製品マスタ!$M$5:$AD$5002,18,FALSE),IF(OR(J55="リード付け",J55="巻返しリード付け"),"原反コア",IF(J55="スリット",VLOOKUP(F55&amp;K55&amp;R55,製品マスタ!$N$5:$AD$5002,17,FALSE),""))))))</f>
        <v/>
      </c>
      <c r="X55" s="269" t="str">
        <f ca="1">IF(D55="","",IF(T55="","",IF(J55="巻足し","",IF(J55="巻返し",VLOOKUP(F55&amp;K55&amp;M55,製品マスタ!$M$5:$AE$5002,19,FALSE),IF(OR(J55="リード付け",J55="巻返しリード付け"),"",IF(J55="スリット",VLOOKUP(F55&amp;K55&amp;R55,製品マスタ!$N$5:$AE$5002,18,FALSE),""))))))</f>
        <v/>
      </c>
      <c r="Y55" s="275">
        <f ca="1">IF(D55="","",IF(T55="","",VLOOKUP(D55,契約台帳!$A$3:$Q$4986,17,FALSE)))</f>
        <v>2</v>
      </c>
      <c r="Z55" s="269" t="str">
        <f ca="1">IF(D55="","",IF(T55="","",VLOOKUP(D55,契約台帳!$A$3:$E$4986,5,FALSE)))</f>
        <v>リンテック㈱</v>
      </c>
      <c r="AA55" s="57"/>
      <c r="AB55" s="207">
        <f>IFERROR((VLOOKUP(F55&amp;K55&amp;M55,製品マスタ!$M$5:$AM$5002,27,FALSE)),"")</f>
        <v>0</v>
      </c>
      <c r="AC55" s="33"/>
      <c r="AD55" s="189"/>
      <c r="AE55" s="54"/>
      <c r="AF55" s="55"/>
      <c r="AG55" s="43"/>
      <c r="AH55" s="47"/>
      <c r="AI55" s="30"/>
      <c r="AJ55" s="30"/>
      <c r="AK55" s="30"/>
      <c r="AL55" s="30"/>
      <c r="AM55" s="13"/>
      <c r="AN55" s="13"/>
      <c r="AO55" s="13"/>
      <c r="AP55" s="13"/>
      <c r="AQ55" s="13"/>
      <c r="AR55" s="14"/>
      <c r="AS55" s="15"/>
    </row>
    <row r="56" spans="1:45" s="17" customFormat="1" ht="30.95" hidden="1" customHeight="1" x14ac:dyDescent="0.2">
      <c r="A56" s="37"/>
      <c r="B56" s="38"/>
      <c r="C56" s="45"/>
      <c r="D56" s="31"/>
      <c r="E56" s="31"/>
      <c r="F56" s="268" t="str">
        <f>IF(D56="","",VLOOKUP(D56,契約台帳!$A$3:$K$4986,6,FALSE)&amp;VLOOKUP(D56,契約台帳!$A$3:$K$4986,7,FALSE)&amp;VLOOKUP(D56,契約台帳!$A$3:$K$4986,8,FALSE)&amp;VLOOKUP(D56,契約台帳!$A$3:$K$4986,9,FALSE)&amp;VLOOKUP(D56,契約台帳!$A$3:$K$4986,11,FALSE))</f>
        <v/>
      </c>
      <c r="G56" s="269" t="str">
        <f>IF(D56="","",VLOOKUP(F56,製品マスタ!$G$5:$H$5002,2,FALSE))</f>
        <v/>
      </c>
      <c r="H56" s="269" t="str">
        <f>IF(D56="","",VLOOKUP(F56,製品マスタ!$G$5:$K$5002,5,FALSE))</f>
        <v/>
      </c>
      <c r="I56" s="270" t="str">
        <f>IF(D56="","",VLOOKUP(F56,製品マスタ!$G$5:$L$5002,6,FALSE))</f>
        <v/>
      </c>
      <c r="J56" s="210"/>
      <c r="K56" s="270" t="str">
        <f>IF(D56="","",VLOOKUP(D56,契約台帳!$A$3:$L$4986,12,FALSE))</f>
        <v/>
      </c>
      <c r="L56" s="270" t="str">
        <f>IF(D56="","",INDEX(製品マスタ!$Q$5:$Q$5002,MATCH('S4'!F56&amp;'S4'!K56,製品マスタ!$AO$5:$AO$5002,0)))</f>
        <v/>
      </c>
      <c r="M56" s="39"/>
      <c r="N56" s="39"/>
      <c r="O56" s="156"/>
      <c r="P56" s="47"/>
      <c r="Q56" s="57"/>
      <c r="R56" s="271" t="str">
        <f ca="1">IF(D56="","",IF(OFFSET(D56,-1,0)&lt;&gt;"","",IF(OR(J56="リード付け",J56="巻足し",J56="巻返しリード付け"),M56,VLOOKUP(D56,契約台帳!$A$3:$N$4986,14,FALSE))))</f>
        <v/>
      </c>
      <c r="S56" s="272" t="str">
        <f ca="1">IF(D56="","",IF(OFFSET(D56,-1,0)&lt;&gt;"","",IF(OR(J56="リード付け",J56="巻足し",J56="巻返しリード付け"),M56,VLOOKUP(D56,契約台帳!$A$3:$O$4986,15,FALSE))))</f>
        <v/>
      </c>
      <c r="T56" s="273" t="str">
        <f ca="1">IF(D56="","",IF(J56="リード付け",N56,IF(J56="巻返しリード付け",N56,IF(J56="巻足し",N56*P56+OFFSET(N56,1,0)*OFFSET(P56,1,0),VLOOKUP(D56,契約台帳!$A$3:$P$4986,16,FALSE)))))</f>
        <v/>
      </c>
      <c r="U56" s="40"/>
      <c r="V56" s="274" t="str">
        <f ca="1">IF(D56="","",IF(OFFSET(D56,-2,0)=D56,"",VLOOKUP(D56,契約台帳!$A$3:$R$4986,18,FALSE)))</f>
        <v/>
      </c>
      <c r="W56" s="269" t="str">
        <f>IF(D56="","",IF(T56="","",IF(OR(J56="巻足し",J56="巻返しリード付け"),"",IF(J56="巻返し",VLOOKUP(F56&amp;K56&amp;M56,製品マスタ!$M$5:$AD$5002,18,FALSE),IF(OR(J56="リード付け",J56="巻返しリード付け"),"原反コア",IF(J56="スリット",VLOOKUP(F56&amp;K56&amp;R56,製品マスタ!$N$5:$AD$5002,17,FALSE),""))))))</f>
        <v/>
      </c>
      <c r="X56" s="269" t="str">
        <f>IF(D56="","",IF(T56="","",IF(J56="巻足し","",IF(J56="巻返し",VLOOKUP(F56&amp;K56&amp;M56,製品マスタ!$M$5:$AE$5002,19,FALSE),IF(OR(J56="リード付け",J56="巻返しリード付け"),"",IF(J56="スリット",VLOOKUP(F56&amp;K56&amp;R56,製品マスタ!$N$5:$AE$5002,18,FALSE),""))))))</f>
        <v/>
      </c>
      <c r="Y56" s="275" t="str">
        <f>IF(D56="","",IF(T56="","",VLOOKUP(D56,契約台帳!$A$3:$Q$4986,17,FALSE)))</f>
        <v/>
      </c>
      <c r="Z56" s="269" t="str">
        <f>IF(D56="","",IF(T56="","",VLOOKUP(D56,契約台帳!$A$3:$E$4986,5,FALSE)))</f>
        <v/>
      </c>
      <c r="AA56" s="57"/>
      <c r="AB56" s="207" t="str">
        <f>IFERROR((VLOOKUP(F56&amp;K56&amp;M56,製品マスタ!$M$5:$AM$5002,27,FALSE)),"")</f>
        <v/>
      </c>
      <c r="AC56" s="33"/>
      <c r="AD56" s="189"/>
      <c r="AE56" s="54"/>
      <c r="AF56" s="55"/>
      <c r="AG56" s="43"/>
      <c r="AH56" s="47"/>
      <c r="AI56" s="30"/>
      <c r="AJ56" s="30"/>
      <c r="AK56" s="30"/>
      <c r="AL56" s="30"/>
      <c r="AM56" s="13"/>
      <c r="AN56" s="13"/>
      <c r="AO56" s="13"/>
      <c r="AP56" s="13"/>
      <c r="AQ56" s="13"/>
      <c r="AR56" s="14"/>
      <c r="AS56" s="15"/>
    </row>
    <row r="57" spans="1:45" s="17" customFormat="1" ht="30.95" hidden="1" customHeight="1" x14ac:dyDescent="0.2">
      <c r="A57" s="37"/>
      <c r="B57" s="38"/>
      <c r="C57" s="45"/>
      <c r="D57" s="31">
        <v>3694122</v>
      </c>
      <c r="E57" s="31">
        <v>4161763</v>
      </c>
      <c r="F57" s="268" t="str">
        <f>IF(D57="","",VLOOKUP(D57,契約台帳!$A$3:$K$4986,6,FALSE)&amp;VLOOKUP(D57,契約台帳!$A$3:$K$4986,7,FALSE)&amp;VLOOKUP(D57,契約台帳!$A$3:$K$4986,8,FALSE)&amp;VLOOKUP(D57,契約台帳!$A$3:$K$4986,9,FALSE)&amp;VLOOKUP(D57,契約台帳!$A$3:$K$4986,11,FALSE))</f>
        <v>3SNMCLBHLGTV</v>
      </c>
      <c r="G57" s="269" t="str">
        <f>IF(D57="","",VLOOKUP(F57,製品マスタ!$G$5:$H$5002,2,FALSE))</f>
        <v>S</v>
      </c>
      <c r="H57" s="269" t="str">
        <f>IF(D57="","",VLOOKUP(F57,製品マスタ!$G$5:$K$5002,5,FALSE))</f>
        <v>HLGTV</v>
      </c>
      <c r="I57" s="270" t="str">
        <f>IF(D57="","",VLOOKUP(F57,製品マスタ!$G$5:$L$5002,6,FALSE))</f>
        <v>メタルミー　ヘヤライン　銀艶Ｖ</v>
      </c>
      <c r="J57" s="210" t="s">
        <v>736</v>
      </c>
      <c r="K57" s="270">
        <f>IF(D57="","",VLOOKUP(D57,契約台帳!$A$3:$L$4986,12,FALSE))</f>
        <v>50</v>
      </c>
      <c r="L57" s="270" t="str">
        <f>IF(D57="","",INDEX(製品マスタ!$Q$5:$Q$5002,MATCH('S4'!F57&amp;'S4'!K57,製品マスタ!$AO$5:$AO$5002,0)))</f>
        <v>BRIGHT</v>
      </c>
      <c r="M57" s="39">
        <v>1005</v>
      </c>
      <c r="N57" s="39">
        <v>4100</v>
      </c>
      <c r="O57" s="156">
        <v>3</v>
      </c>
      <c r="P57" s="47">
        <v>3</v>
      </c>
      <c r="Q57" s="213">
        <v>44572</v>
      </c>
      <c r="R57" s="271">
        <f ca="1">IF(D57="","",IF(OFFSET(D57,-1,0)&lt;&gt;"","",IF(OR(J57="リード付け",J57="巻足し",J57="巻返しリード付け"),M57,VLOOKUP(D57,契約台帳!$A$3:$N$4986,14,FALSE))))</f>
        <v>1005</v>
      </c>
      <c r="S57" s="272">
        <f ca="1">IF(D57="","",IF(OFFSET(D57,-1,0)&lt;&gt;"","",IF(OR(J57="リード付け",J57="巻足し",J57="巻返しリード付け"),M57,VLOOKUP(D57,契約台帳!$A$3:$O$4986,15,FALSE))))</f>
        <v>1005</v>
      </c>
      <c r="T57" s="273">
        <f ca="1">IF(D57="","",IF(J57="リード付け",N57,IF(J57="巻返しリード付け",N57,IF(J57="巻足し",N57*P57+OFFSET(N57,1,0)*OFFSET(P57,1,0),VLOOKUP(D57,契約台帳!$A$3:$P$4986,16,FALSE)))))</f>
        <v>12300</v>
      </c>
      <c r="U57" s="40">
        <v>1</v>
      </c>
      <c r="V57" s="274">
        <f ca="1">IF(D57="","",IF(OFFSET(D57,-2,0)=D57,"",VLOOKUP(D57,契約台帳!$A$3:$R$4986,18,FALSE)))</f>
        <v>9</v>
      </c>
      <c r="W57" s="269" t="str">
        <f ca="1">IF(D57="","",IF(T57="","",IF(OR(J57="巻足し",J57="巻返しリード付け"),"",IF(J57="巻返し",VLOOKUP(F57&amp;K57&amp;M57,製品マスタ!$M$5:$AD$5002,18,FALSE),IF(OR(J57="リード付け",J57="巻返しリード付け"),"原反コア",IF(J57="スリット",VLOOKUP(F57&amp;K57&amp;R57,製品マスタ!$N$5:$AD$5002,17,FALSE),""))))))</f>
        <v/>
      </c>
      <c r="X57" s="269" t="str">
        <f ca="1">IF(D57="","",IF(T57="","",IF(J57="巻足し","",IF(J57="巻返し",VLOOKUP(F57&amp;K57&amp;M57,製品マスタ!$M$5:$AE$5002,19,FALSE),IF(OR(J57="リード付け",J57="巻返しリード付け"),"",IF(J57="スリット",VLOOKUP(F57&amp;K57&amp;R57,製品マスタ!$N$5:$AE$5002,18,FALSE),""))))))</f>
        <v/>
      </c>
      <c r="Y57" s="275">
        <f ca="1">IF(D57="","",IF(T57="","",VLOOKUP(D57,契約台帳!$A$3:$Q$4986,17,FALSE)))</f>
        <v>2</v>
      </c>
      <c r="Z57" s="269" t="str">
        <f ca="1">IF(D57="","",IF(T57="","",VLOOKUP(D57,契約台帳!$A$3:$E$4986,5,FALSE)))</f>
        <v>リンテック㈱</v>
      </c>
      <c r="AA57" s="57"/>
      <c r="AB57" s="207">
        <f>IFERROR((VLOOKUP(F57&amp;K57&amp;M57,製品マスタ!$M$5:$AM$5002,27,FALSE)),"")</f>
        <v>0</v>
      </c>
      <c r="AC57" s="33"/>
      <c r="AD57" s="189"/>
      <c r="AE57" s="54"/>
      <c r="AF57" s="55"/>
      <c r="AG57" s="43"/>
      <c r="AH57" s="47"/>
      <c r="AI57" s="30"/>
      <c r="AJ57" s="30"/>
      <c r="AK57" s="30"/>
      <c r="AL57" s="30"/>
      <c r="AM57" s="13"/>
      <c r="AN57" s="13"/>
      <c r="AO57" s="13"/>
      <c r="AP57" s="13"/>
      <c r="AQ57" s="13"/>
      <c r="AR57" s="14"/>
      <c r="AS57" s="15"/>
    </row>
    <row r="58" spans="1:45" s="17" customFormat="1" ht="30.95" hidden="1" customHeight="1" x14ac:dyDescent="0.2">
      <c r="A58" s="37"/>
      <c r="B58" s="38"/>
      <c r="C58" s="45"/>
      <c r="D58" s="31"/>
      <c r="E58" s="31"/>
      <c r="F58" s="268" t="str">
        <f>IF(D58="","",VLOOKUP(D58,契約台帳!$A$3:$K$4986,6,FALSE)&amp;VLOOKUP(D58,契約台帳!$A$3:$K$4986,7,FALSE)&amp;VLOOKUP(D58,契約台帳!$A$3:$K$4986,8,FALSE)&amp;VLOOKUP(D58,契約台帳!$A$3:$K$4986,9,FALSE)&amp;VLOOKUP(D58,契約台帳!$A$3:$K$4986,11,FALSE))</f>
        <v/>
      </c>
      <c r="G58" s="269" t="str">
        <f>IF(D58="","",VLOOKUP(F58,製品マスタ!$G$5:$H$5002,2,FALSE))</f>
        <v/>
      </c>
      <c r="H58" s="269" t="str">
        <f>IF(D58="","",VLOOKUP(F58,製品マスタ!$G$5:$K$5002,5,FALSE))</f>
        <v/>
      </c>
      <c r="I58" s="270" t="str">
        <f>IF(D58="","",VLOOKUP(F58,製品マスタ!$G$5:$L$5002,6,FALSE))</f>
        <v/>
      </c>
      <c r="J58" s="210"/>
      <c r="K58" s="270" t="str">
        <f>IF(D58="","",VLOOKUP(D58,契約台帳!$A$3:$L$4986,12,FALSE))</f>
        <v/>
      </c>
      <c r="L58" s="270" t="str">
        <f>IF(D58="","",INDEX(製品マスタ!$Q$5:$Q$5002,MATCH('S4'!F58&amp;'S4'!K58,製品マスタ!$AO$5:$AO$5002,0)))</f>
        <v/>
      </c>
      <c r="M58" s="39"/>
      <c r="N58" s="39"/>
      <c r="O58" s="156"/>
      <c r="P58" s="47"/>
      <c r="Q58" s="57"/>
      <c r="R58" s="271" t="str">
        <f ca="1">IF(D58="","",IF(OFFSET(D58,-1,0)&lt;&gt;"","",IF(OR(J58="リード付け",J58="巻足し",J58="巻返しリード付け"),M58,VLOOKUP(D58,契約台帳!$A$3:$N$4986,14,FALSE))))</f>
        <v/>
      </c>
      <c r="S58" s="272" t="str">
        <f ca="1">IF(D58="","",IF(OFFSET(D58,-1,0)&lt;&gt;"","",IF(OR(J58="リード付け",J58="巻足し",J58="巻返しリード付け"),M58,VLOOKUP(D58,契約台帳!$A$3:$O$4986,15,FALSE))))</f>
        <v/>
      </c>
      <c r="T58" s="273" t="str">
        <f ca="1">IF(D58="","",IF(J58="リード付け",N58,IF(J58="巻返しリード付け",N58,IF(J58="巻足し",N58*P58+OFFSET(N58,1,0)*OFFSET(P58,1,0),VLOOKUP(D58,契約台帳!$A$3:$P$4986,16,FALSE)))))</f>
        <v/>
      </c>
      <c r="U58" s="40"/>
      <c r="V58" s="274" t="str">
        <f ca="1">IF(D58="","",IF(OFFSET(D58,-2,0)=D58,"",VLOOKUP(D58,契約台帳!$A$3:$R$4986,18,FALSE)))</f>
        <v/>
      </c>
      <c r="W58" s="269" t="str">
        <f>IF(D58="","",IF(T58="","",IF(OR(J58="巻足し",J58="巻返しリード付け"),"",IF(J58="巻返し",VLOOKUP(F58&amp;K58&amp;M58,製品マスタ!$M$5:$AD$5002,18,FALSE),IF(OR(J58="リード付け",J58="巻返しリード付け"),"原反コア",IF(J58="スリット",VLOOKUP(F58&amp;K58&amp;R58,製品マスタ!$N$5:$AD$5002,17,FALSE),""))))))</f>
        <v/>
      </c>
      <c r="X58" s="269" t="str">
        <f>IF(D58="","",IF(T58="","",IF(J58="巻足し","",IF(J58="巻返し",VLOOKUP(F58&amp;K58&amp;M58,製品マスタ!$M$5:$AE$5002,19,FALSE),IF(OR(J58="リード付け",J58="巻返しリード付け"),"",IF(J58="スリット",VLOOKUP(F58&amp;K58&amp;R58,製品マスタ!$N$5:$AE$5002,18,FALSE),""))))))</f>
        <v/>
      </c>
      <c r="Y58" s="275" t="str">
        <f>IF(D58="","",IF(T58="","",VLOOKUP(D58,契約台帳!$A$3:$Q$4986,17,FALSE)))</f>
        <v/>
      </c>
      <c r="Z58" s="269" t="str">
        <f>IF(D58="","",IF(T58="","",VLOOKUP(D58,契約台帳!$A$3:$E$4986,5,FALSE)))</f>
        <v/>
      </c>
      <c r="AA58" s="57"/>
      <c r="AB58" s="207" t="str">
        <f>IFERROR((VLOOKUP(F58&amp;K58&amp;M58,製品マスタ!$M$5:$AM$5002,27,FALSE)),"")</f>
        <v/>
      </c>
      <c r="AC58" s="33"/>
      <c r="AD58" s="189"/>
      <c r="AE58" s="54"/>
      <c r="AF58" s="55"/>
      <c r="AG58" s="43"/>
      <c r="AH58" s="47"/>
      <c r="AI58" s="30"/>
      <c r="AJ58" s="30"/>
      <c r="AK58" s="30"/>
      <c r="AL58" s="30"/>
      <c r="AM58" s="13"/>
      <c r="AN58" s="13"/>
      <c r="AO58" s="13"/>
      <c r="AP58" s="13"/>
      <c r="AQ58" s="13"/>
      <c r="AR58" s="14"/>
      <c r="AS58" s="15"/>
    </row>
    <row r="59" spans="1:45" s="17" customFormat="1" ht="30.95" hidden="1" customHeight="1" x14ac:dyDescent="0.2">
      <c r="A59" s="37" t="s">
        <v>764</v>
      </c>
      <c r="B59" s="38" t="s">
        <v>746</v>
      </c>
      <c r="C59" s="45"/>
      <c r="D59" s="31">
        <v>3694122</v>
      </c>
      <c r="E59" s="31">
        <v>4161763</v>
      </c>
      <c r="F59" s="268" t="str">
        <f>IF(D59="","",VLOOKUP(D59,契約台帳!$A$3:$K$4986,6,FALSE)&amp;VLOOKUP(D59,契約台帳!$A$3:$K$4986,7,FALSE)&amp;VLOOKUP(D59,契約台帳!$A$3:$K$4986,8,FALSE)&amp;VLOOKUP(D59,契約台帳!$A$3:$K$4986,9,FALSE)&amp;VLOOKUP(D59,契約台帳!$A$3:$K$4986,11,FALSE))</f>
        <v>3SNMCLBHLGTV</v>
      </c>
      <c r="G59" s="269" t="str">
        <f>IF(D59="","",VLOOKUP(F59,製品マスタ!$G$5:$H$5002,2,FALSE))</f>
        <v>S</v>
      </c>
      <c r="H59" s="269" t="str">
        <f>IF(D59="","",VLOOKUP(F59,製品マスタ!$G$5:$K$5002,5,FALSE))</f>
        <v>HLGTV</v>
      </c>
      <c r="I59" s="270" t="str">
        <f>IF(D59="","",VLOOKUP(F59,製品マスタ!$G$5:$L$5002,6,FALSE))</f>
        <v>メタルミー　ヘヤライン　銀艶Ｖ</v>
      </c>
      <c r="J59" s="210" t="s">
        <v>736</v>
      </c>
      <c r="K59" s="270">
        <f>IF(D59="","",VLOOKUP(D59,契約台帳!$A$3:$L$4986,12,FALSE))</f>
        <v>50</v>
      </c>
      <c r="L59" s="270" t="str">
        <f>IF(D59="","",INDEX(製品マスタ!$Q$5:$Q$5002,MATCH('S4'!F59&amp;'S4'!K59,製品マスタ!$AO$5:$AO$5002,0)))</f>
        <v>BRIGHT</v>
      </c>
      <c r="M59" s="39">
        <v>1005</v>
      </c>
      <c r="N59" s="39">
        <v>4100</v>
      </c>
      <c r="O59" s="156">
        <v>6</v>
      </c>
      <c r="P59" s="47">
        <v>3</v>
      </c>
      <c r="Q59" s="213">
        <v>44572</v>
      </c>
      <c r="R59" s="271">
        <f ca="1">IF(D59="","",IF(OFFSET(D59,-1,0)&lt;&gt;"","",IF(OR(J59="リード付け",J59="巻足し",J59="巻返しリード付け"),M59,VLOOKUP(D59,契約台帳!$A$3:$N$4986,14,FALSE))))</f>
        <v>1005</v>
      </c>
      <c r="S59" s="272">
        <f ca="1">IF(D59="","",IF(OFFSET(D59,-1,0)&lt;&gt;"","",IF(OR(J59="リード付け",J59="巻足し",J59="巻返しリード付け"),M59,VLOOKUP(D59,契約台帳!$A$3:$O$4986,15,FALSE))))</f>
        <v>1005</v>
      </c>
      <c r="T59" s="273">
        <f ca="1">IF(D59="","",IF(J59="リード付け",N59,IF(J59="巻返しリード付け",N59,IF(J59="巻足し",N59*P59+OFFSET(N59,1,0)*OFFSET(P59,1,0),VLOOKUP(D59,契約台帳!$A$3:$P$4986,16,FALSE)))))</f>
        <v>12300</v>
      </c>
      <c r="U59" s="40">
        <v>2</v>
      </c>
      <c r="V59" s="274" t="str">
        <f ca="1">IF(D59="","",IF(OFFSET(D59,-2,0)=D59,"",VLOOKUP(D59,契約台帳!$A$3:$R$4986,18,FALSE)))</f>
        <v/>
      </c>
      <c r="W59" s="269" t="str">
        <f ca="1">IF(D59="","",IF(T59="","",IF(OR(J59="巻足し",J59="巻返しリード付け"),"",IF(J59="巻返し",VLOOKUP(F59&amp;K59&amp;M59,製品マスタ!$M$5:$AD$5002,18,FALSE),IF(OR(J59="リード付け",J59="巻返しリード付け"),"原反コア",IF(J59="スリット",VLOOKUP(F59&amp;K59&amp;R59,製品マスタ!$N$5:$AD$5002,17,FALSE),""))))))</f>
        <v/>
      </c>
      <c r="X59" s="269" t="str">
        <f ca="1">IF(D59="","",IF(T59="","",IF(J59="巻足し","",IF(J59="巻返し",VLOOKUP(F59&amp;K59&amp;M59,製品マスタ!$M$5:$AE$5002,19,FALSE),IF(OR(J59="リード付け",J59="巻返しリード付け"),"",IF(J59="スリット",VLOOKUP(F59&amp;K59&amp;R59,製品マスタ!$N$5:$AE$5002,18,FALSE),""))))))</f>
        <v/>
      </c>
      <c r="Y59" s="275">
        <f ca="1">IF(D59="","",IF(T59="","",VLOOKUP(D59,契約台帳!$A$3:$Q$4986,17,FALSE)))</f>
        <v>2</v>
      </c>
      <c r="Z59" s="269" t="str">
        <f ca="1">IF(D59="","",IF(T59="","",VLOOKUP(D59,契約台帳!$A$3:$E$4986,5,FALSE)))</f>
        <v>リンテック㈱</v>
      </c>
      <c r="AA59" s="57"/>
      <c r="AB59" s="207">
        <f>IFERROR((VLOOKUP(F59&amp;K59&amp;M59,製品マスタ!$M$5:$AM$5002,27,FALSE)),"")</f>
        <v>0</v>
      </c>
      <c r="AC59" s="33"/>
      <c r="AD59" s="189"/>
      <c r="AE59" s="54"/>
      <c r="AF59" s="55"/>
      <c r="AG59" s="43"/>
      <c r="AH59" s="47"/>
      <c r="AI59" s="30"/>
      <c r="AJ59" s="30"/>
      <c r="AK59" s="30"/>
      <c r="AL59" s="30"/>
      <c r="AM59" s="13"/>
      <c r="AN59" s="13"/>
      <c r="AO59" s="13"/>
      <c r="AP59" s="13"/>
      <c r="AQ59" s="13"/>
      <c r="AR59" s="14"/>
      <c r="AS59" s="15"/>
    </row>
    <row r="60" spans="1:45" s="17" customFormat="1" ht="30.95" hidden="1" customHeight="1" x14ac:dyDescent="0.2">
      <c r="A60" s="37"/>
      <c r="B60" s="38"/>
      <c r="C60" s="45"/>
      <c r="D60" s="31"/>
      <c r="E60" s="31"/>
      <c r="F60" s="268" t="str">
        <f>IF(D60="","",VLOOKUP(D60,契約台帳!$A$3:$K$4986,6,FALSE)&amp;VLOOKUP(D60,契約台帳!$A$3:$K$4986,7,FALSE)&amp;VLOOKUP(D60,契約台帳!$A$3:$K$4986,8,FALSE)&amp;VLOOKUP(D60,契約台帳!$A$3:$K$4986,9,FALSE)&amp;VLOOKUP(D60,契約台帳!$A$3:$K$4986,11,FALSE))</f>
        <v/>
      </c>
      <c r="G60" s="269" t="str">
        <f>IF(D60="","",VLOOKUP(F60,製品マスタ!$G$5:$H$5002,2,FALSE))</f>
        <v/>
      </c>
      <c r="H60" s="269" t="str">
        <f>IF(D60="","",VLOOKUP(F60,製品マスタ!$G$5:$K$5002,5,FALSE))</f>
        <v/>
      </c>
      <c r="I60" s="270" t="str">
        <f>IF(D60="","",VLOOKUP(F60,製品マスタ!$G$5:$L$5002,6,FALSE))</f>
        <v/>
      </c>
      <c r="J60" s="210"/>
      <c r="K60" s="270" t="str">
        <f>IF(D60="","",VLOOKUP(D60,契約台帳!$A$3:$L$4986,12,FALSE))</f>
        <v/>
      </c>
      <c r="L60" s="270" t="str">
        <f>IF(D60="","",INDEX(製品マスタ!$Q$5:$Q$5002,MATCH('S4'!F60&amp;'S4'!K60,製品マスタ!$AO$5:$AO$5002,0)))</f>
        <v/>
      </c>
      <c r="M60" s="39"/>
      <c r="N60" s="39"/>
      <c r="O60" s="156"/>
      <c r="P60" s="47"/>
      <c r="Q60" s="57"/>
      <c r="R60" s="271" t="str">
        <f ca="1">IF(D60="","",IF(OFFSET(D60,-1,0)&lt;&gt;"","",IF(OR(J60="リード付け",J60="巻足し",J60="巻返しリード付け"),M60,VLOOKUP(D60,契約台帳!$A$3:$N$4986,14,FALSE))))</f>
        <v/>
      </c>
      <c r="S60" s="272" t="str">
        <f ca="1">IF(D60="","",IF(OFFSET(D60,-1,0)&lt;&gt;"","",IF(OR(J60="リード付け",J60="巻足し",J60="巻返しリード付け"),M60,VLOOKUP(D60,契約台帳!$A$3:$O$4986,15,FALSE))))</f>
        <v/>
      </c>
      <c r="T60" s="273" t="str">
        <f ca="1">IF(D60="","",IF(J60="リード付け",N60,IF(J60="巻返しリード付け",N60,IF(J60="巻足し",N60*P60+OFFSET(N60,1,0)*OFFSET(P60,1,0),VLOOKUP(D60,契約台帳!$A$3:$P$4986,16,FALSE)))))</f>
        <v/>
      </c>
      <c r="U60" s="40"/>
      <c r="V60" s="274" t="str">
        <f ca="1">IF(D60="","",IF(OFFSET(D60,-2,0)=D60,"",VLOOKUP(D60,契約台帳!$A$3:$R$4986,18,FALSE)))</f>
        <v/>
      </c>
      <c r="W60" s="269" t="str">
        <f>IF(D60="","",IF(T60="","",IF(OR(J60="巻足し",J60="巻返しリード付け"),"",IF(J60="巻返し",VLOOKUP(F60&amp;K60&amp;M60,製品マスタ!$M$5:$AD$5002,18,FALSE),IF(OR(J60="リード付け",J60="巻返しリード付け"),"原反コア",IF(J60="スリット",VLOOKUP(F60&amp;K60&amp;R60,製品マスタ!$N$5:$AD$5002,17,FALSE),""))))))</f>
        <v/>
      </c>
      <c r="X60" s="269" t="str">
        <f>IF(D60="","",IF(T60="","",IF(J60="巻足し","",IF(J60="巻返し",VLOOKUP(F60&amp;K60&amp;M60,製品マスタ!$M$5:$AE$5002,19,FALSE),IF(OR(J60="リード付け",J60="巻返しリード付け"),"",IF(J60="スリット",VLOOKUP(F60&amp;K60&amp;R60,製品マスタ!$N$5:$AE$5002,18,FALSE),""))))))</f>
        <v/>
      </c>
      <c r="Y60" s="275" t="str">
        <f>IF(D60="","",IF(T60="","",VLOOKUP(D60,契約台帳!$A$3:$Q$4986,17,FALSE)))</f>
        <v/>
      </c>
      <c r="Z60" s="269" t="str">
        <f>IF(D60="","",IF(T60="","",VLOOKUP(D60,契約台帳!$A$3:$E$4986,5,FALSE)))</f>
        <v/>
      </c>
      <c r="AA60" s="57"/>
      <c r="AB60" s="207" t="str">
        <f>IFERROR((VLOOKUP(F60&amp;K60&amp;M60,製品マスタ!$M$5:$AM$5002,27,FALSE)),"")</f>
        <v/>
      </c>
      <c r="AC60" s="33"/>
      <c r="AD60" s="189"/>
      <c r="AE60" s="54"/>
      <c r="AF60" s="55"/>
      <c r="AG60" s="43"/>
      <c r="AH60" s="47"/>
      <c r="AI60" s="30"/>
      <c r="AJ60" s="30"/>
      <c r="AK60" s="30"/>
      <c r="AL60" s="30"/>
      <c r="AM60" s="13"/>
      <c r="AN60" s="13"/>
      <c r="AO60" s="13"/>
      <c r="AP60" s="13"/>
      <c r="AQ60" s="13"/>
      <c r="AR60" s="14"/>
      <c r="AS60" s="15"/>
    </row>
    <row r="61" spans="1:45" s="17" customFormat="1" ht="30.95" hidden="1" customHeight="1" x14ac:dyDescent="0.2">
      <c r="A61" s="37"/>
      <c r="B61" s="38"/>
      <c r="C61" s="45"/>
      <c r="D61" s="31">
        <v>3694116</v>
      </c>
      <c r="E61" s="31">
        <v>4161759</v>
      </c>
      <c r="F61" s="268" t="str">
        <f>IF(D61="","",VLOOKUP(D61,契約台帳!$A$3:$K$4986,6,FALSE)&amp;VLOOKUP(D61,契約台帳!$A$3:$K$4986,7,FALSE)&amp;VLOOKUP(D61,契約台帳!$A$3:$K$4986,8,FALSE)&amp;VLOOKUP(D61,契約台帳!$A$3:$K$4986,9,FALSE)&amp;VLOOKUP(D61,契約台帳!$A$3:$K$4986,11,FALSE))</f>
        <v>33SSNMCLBTEKKFV</v>
      </c>
      <c r="G61" s="269" t="str">
        <f>IF(D61="","",VLOOKUP(F61,製品マスタ!$G$5:$H$5002,2,FALSE))</f>
        <v>S</v>
      </c>
      <c r="H61" s="269" t="str">
        <f>IF(D61="","",VLOOKUP(F61,製品マスタ!$G$5:$K$5002,5,FALSE))</f>
        <v>TEKKFV</v>
      </c>
      <c r="I61" s="270" t="str">
        <f>IF(D61="","",VLOOKUP(F61,製品マスタ!$G$5:$L$5002,6,FALSE))</f>
        <v>メタルミー　ＴＥＳ消開封　Ｖ</v>
      </c>
      <c r="J61" s="210" t="s">
        <v>736</v>
      </c>
      <c r="K61" s="270">
        <f>IF(D61="","",VLOOKUP(D61,契約台帳!$A$3:$L$4986,12,FALSE))</f>
        <v>50</v>
      </c>
      <c r="L61" s="270" t="str">
        <f>IF(D61="","",INDEX(製品マスタ!$Q$5:$Q$5002,MATCH('S4'!F61&amp;'S4'!K61,製品マスタ!$AO$5:$AO$5002,0)))</f>
        <v>X44SEPA</v>
      </c>
      <c r="M61" s="39">
        <v>1005</v>
      </c>
      <c r="N61" s="39">
        <v>4000</v>
      </c>
      <c r="O61" s="156">
        <v>3</v>
      </c>
      <c r="P61" s="47">
        <v>3</v>
      </c>
      <c r="Q61" s="213">
        <v>44573</v>
      </c>
      <c r="R61" s="271">
        <f ca="1">IF(D61="","",IF(OFFSET(D61,-1,0)&lt;&gt;"","",IF(OR(J61="リード付け",J61="巻足し",J61="巻返しリード付け"),M61,VLOOKUP(D61,契約台帳!$A$3:$N$4986,14,FALSE))))</f>
        <v>1005</v>
      </c>
      <c r="S61" s="272">
        <f ca="1">IF(D61="","",IF(OFFSET(D61,-1,0)&lt;&gt;"","",IF(OR(J61="リード付け",J61="巻足し",J61="巻返しリード付け"),M61,VLOOKUP(D61,契約台帳!$A$3:$O$4986,15,FALSE))))</f>
        <v>1005</v>
      </c>
      <c r="T61" s="273">
        <f ca="1">IF(D61="","",IF(J61="リード付け",N61,IF(J61="巻返しリード付け",N61,IF(J61="巻足し",N61*P61+OFFSET(N61,1,0)*OFFSET(P61,1,0),VLOOKUP(D61,契約台帳!$A$3:$P$4986,16,FALSE)))))</f>
        <v>12000</v>
      </c>
      <c r="U61" s="40">
        <v>1</v>
      </c>
      <c r="V61" s="274">
        <f ca="1">IF(D61="","",IF(OFFSET(D61,-2,0)=D61,"",VLOOKUP(D61,契約台帳!$A$3:$R$4986,18,FALSE)))</f>
        <v>3</v>
      </c>
      <c r="W61" s="269" t="str">
        <f ca="1">IF(D61="","",IF(T61="","",IF(OR(J61="巻足し",J61="巻返しリード付け"),"",IF(J61="巻返し",VLOOKUP(F61&amp;K61&amp;M61,製品マスタ!$M$5:$AD$5002,18,FALSE),IF(OR(J61="リード付け",J61="巻返しリード付け"),"原反コア",IF(J61="スリット",VLOOKUP(F61&amp;K61&amp;R61,製品マスタ!$N$5:$AD$5002,17,FALSE),""))))))</f>
        <v/>
      </c>
      <c r="X61" s="269" t="str">
        <f ca="1">IF(D61="","",IF(T61="","",IF(J61="巻足し","",IF(J61="巻返し",VLOOKUP(F61&amp;K61&amp;M61,製品マスタ!$M$5:$AE$5002,19,FALSE),IF(OR(J61="リード付け",J61="巻返しリード付け"),"",IF(J61="スリット",VLOOKUP(F61&amp;K61&amp;R61,製品マスタ!$N$5:$AE$5002,18,FALSE),""))))))</f>
        <v/>
      </c>
      <c r="Y61" s="275">
        <f ca="1">IF(D61="","",IF(T61="","",VLOOKUP(D61,契約台帳!$A$3:$Q$4986,17,FALSE)))</f>
        <v>2</v>
      </c>
      <c r="Z61" s="269" t="str">
        <f ca="1">IF(D61="","",IF(T61="","",VLOOKUP(D61,契約台帳!$A$3:$E$4986,5,FALSE)))</f>
        <v>リンテック㈱</v>
      </c>
      <c r="AA61" s="57"/>
      <c r="AB61" s="207">
        <f>IFERROR((VLOOKUP(F61&amp;K61&amp;M61,製品マスタ!$M$5:$AM$5002,27,FALSE)),"")</f>
        <v>0</v>
      </c>
      <c r="AC61" s="33"/>
      <c r="AD61" s="189"/>
      <c r="AE61" s="54"/>
      <c r="AF61" s="55"/>
      <c r="AG61" s="43"/>
      <c r="AH61" s="47"/>
      <c r="AI61" s="30"/>
      <c r="AJ61" s="30"/>
      <c r="AK61" s="30"/>
      <c r="AL61" s="30"/>
      <c r="AM61" s="13"/>
      <c r="AN61" s="13"/>
      <c r="AO61" s="13"/>
      <c r="AP61" s="13"/>
      <c r="AQ61" s="13"/>
      <c r="AR61" s="14"/>
      <c r="AS61" s="15"/>
    </row>
    <row r="62" spans="1:45" s="17" customFormat="1" ht="30.95" hidden="1" customHeight="1" x14ac:dyDescent="0.2">
      <c r="A62" s="37"/>
      <c r="B62" s="38"/>
      <c r="C62" s="45"/>
      <c r="D62" s="31"/>
      <c r="E62" s="31"/>
      <c r="F62" s="268" t="str">
        <f>IF(D62="","",VLOOKUP(D62,契約台帳!$A$3:$K$4986,6,FALSE)&amp;VLOOKUP(D62,契約台帳!$A$3:$K$4986,7,FALSE)&amp;VLOOKUP(D62,契約台帳!$A$3:$K$4986,8,FALSE)&amp;VLOOKUP(D62,契約台帳!$A$3:$K$4986,9,FALSE)&amp;VLOOKUP(D62,契約台帳!$A$3:$K$4986,11,FALSE))</f>
        <v/>
      </c>
      <c r="G62" s="269" t="str">
        <f>IF(D62="","",VLOOKUP(F62,製品マスタ!$G$5:$H$5002,2,FALSE))</f>
        <v/>
      </c>
      <c r="H62" s="269" t="str">
        <f>IF(D62="","",VLOOKUP(F62,製品マスタ!$G$5:$K$5002,5,FALSE))</f>
        <v/>
      </c>
      <c r="I62" s="270" t="str">
        <f>IF(D62="","",VLOOKUP(F62,製品マスタ!$G$5:$L$5002,6,FALSE))</f>
        <v/>
      </c>
      <c r="J62" s="210"/>
      <c r="K62" s="270" t="str">
        <f>IF(D62="","",VLOOKUP(D62,契約台帳!$A$3:$L$4986,12,FALSE))</f>
        <v/>
      </c>
      <c r="L62" s="270" t="str">
        <f>IF(D62="","",INDEX(製品マスタ!$Q$5:$Q$5002,MATCH('S4'!F62&amp;'S4'!K62,製品マスタ!$AO$5:$AO$5002,0)))</f>
        <v/>
      </c>
      <c r="M62" s="39"/>
      <c r="N62" s="39"/>
      <c r="O62" s="156"/>
      <c r="P62" s="47"/>
      <c r="Q62" s="57"/>
      <c r="R62" s="271" t="str">
        <f ca="1">IF(D62="","",IF(OFFSET(D62,-1,0)&lt;&gt;"","",IF(OR(J62="リード付け",J62="巻足し",J62="巻返しリード付け"),M62,VLOOKUP(D62,契約台帳!$A$3:$N$4986,14,FALSE))))</f>
        <v/>
      </c>
      <c r="S62" s="272" t="str">
        <f ca="1">IF(D62="","",IF(OFFSET(D62,-1,0)&lt;&gt;"","",IF(OR(J62="リード付け",J62="巻足し",J62="巻返しリード付け"),M62,VLOOKUP(D62,契約台帳!$A$3:$O$4986,15,FALSE))))</f>
        <v/>
      </c>
      <c r="T62" s="273" t="str">
        <f ca="1">IF(D62="","",IF(J62="リード付け",N62,IF(J62="巻返しリード付け",N62,IF(J62="巻足し",N62*P62+OFFSET(N62,1,0)*OFFSET(P62,1,0),VLOOKUP(D62,契約台帳!$A$3:$P$4986,16,FALSE)))))</f>
        <v/>
      </c>
      <c r="U62" s="40"/>
      <c r="V62" s="274" t="str">
        <f ca="1">IF(D62="","",IF(OFFSET(D62,-2,0)=D62,"",VLOOKUP(D62,契約台帳!$A$3:$R$4986,18,FALSE)))</f>
        <v/>
      </c>
      <c r="W62" s="269" t="str">
        <f>IF(D62="","",IF(T62="","",IF(OR(J62="巻足し",J62="巻返しリード付け"),"",IF(J62="巻返し",VLOOKUP(F62&amp;K62&amp;M62,製品マスタ!$M$5:$AD$5002,18,FALSE),IF(OR(J62="リード付け",J62="巻返しリード付け"),"原反コア",IF(J62="スリット",VLOOKUP(F62&amp;K62&amp;R62,製品マスタ!$N$5:$AD$5002,17,FALSE),""))))))</f>
        <v/>
      </c>
      <c r="X62" s="269" t="str">
        <f>IF(D62="","",IF(T62="","",IF(J62="巻足し","",IF(J62="巻返し",VLOOKUP(F62&amp;K62&amp;M62,製品マスタ!$M$5:$AE$5002,19,FALSE),IF(OR(J62="リード付け",J62="巻返しリード付け"),"",IF(J62="スリット",VLOOKUP(F62&amp;K62&amp;R62,製品マスタ!$N$5:$AE$5002,18,FALSE),""))))))</f>
        <v/>
      </c>
      <c r="Y62" s="275" t="str">
        <f>IF(D62="","",IF(T62="","",VLOOKUP(D62,契約台帳!$A$3:$Q$4986,17,FALSE)))</f>
        <v/>
      </c>
      <c r="Z62" s="269" t="str">
        <f>IF(D62="","",IF(T62="","",VLOOKUP(D62,契約台帳!$A$3:$E$4986,5,FALSE)))</f>
        <v/>
      </c>
      <c r="AA62" s="57"/>
      <c r="AB62" s="207" t="str">
        <f>IFERROR((VLOOKUP(F62&amp;K62&amp;M62,製品マスタ!$M$5:$AM$5002,27,FALSE)),"")</f>
        <v/>
      </c>
      <c r="AC62" s="33"/>
      <c r="AD62" s="189"/>
      <c r="AE62" s="54"/>
      <c r="AF62" s="55"/>
      <c r="AG62" s="43"/>
      <c r="AH62" s="47"/>
      <c r="AI62" s="30"/>
      <c r="AJ62" s="30"/>
      <c r="AK62" s="30"/>
      <c r="AL62" s="30"/>
      <c r="AM62" s="13"/>
      <c r="AN62" s="13"/>
      <c r="AO62" s="13"/>
      <c r="AP62" s="13"/>
      <c r="AQ62" s="13"/>
      <c r="AR62" s="14"/>
      <c r="AS62" s="15"/>
    </row>
    <row r="63" spans="1:45" s="17" customFormat="1" ht="30.95" hidden="1" customHeight="1" x14ac:dyDescent="0.2">
      <c r="A63" s="37"/>
      <c r="B63" s="38"/>
      <c r="C63" s="45"/>
      <c r="D63" s="31">
        <v>3694117</v>
      </c>
      <c r="E63" s="31">
        <v>4161760</v>
      </c>
      <c r="F63" s="268" t="str">
        <f>IF(D63="","",VLOOKUP(D63,契約台帳!$A$3:$K$4986,6,FALSE)&amp;VLOOKUP(D63,契約台帳!$A$3:$K$4986,7,FALSE)&amp;VLOOKUP(D63,契約台帳!$A$3:$K$4986,8,FALSE)&amp;VLOOKUP(D63,契約台帳!$A$3:$K$4986,9,FALSE)&amp;VLOOKUP(D63,契約台帳!$A$3:$K$4986,11,FALSE))</f>
        <v>33SSNMCLBTEKV0V</v>
      </c>
      <c r="G63" s="269" t="str">
        <f>IF(D63="","",VLOOKUP(F63,製品マスタ!$G$5:$H$5002,2,FALSE))</f>
        <v>S</v>
      </c>
      <c r="H63" s="269" t="str">
        <f>IF(D63="","",VLOOKUP(F63,製品マスタ!$G$5:$K$5002,5,FALSE))</f>
        <v>TEKV0V</v>
      </c>
      <c r="I63" s="270" t="str">
        <f>IF(D63="","",VLOOKUP(F63,製品マスタ!$G$5:$L$5002,6,FALSE))</f>
        <v>メタルミー　ＴＥ－Ｓ消　ＶＯＩＤ　Ｖ</v>
      </c>
      <c r="J63" s="210" t="s">
        <v>736</v>
      </c>
      <c r="K63" s="270">
        <f>IF(D63="","",VLOOKUP(D63,契約台帳!$A$3:$L$4986,12,FALSE))</f>
        <v>50</v>
      </c>
      <c r="L63" s="270" t="str">
        <f>IF(D63="","",INDEX(製品マスタ!$Q$5:$Q$5002,MATCH('S4'!F63&amp;'S4'!K63,製品マスタ!$AO$5:$AO$5002,0)))</f>
        <v>X44SEPA</v>
      </c>
      <c r="M63" s="39">
        <v>1005</v>
      </c>
      <c r="N63" s="39">
        <v>4000</v>
      </c>
      <c r="O63" s="156">
        <v>3</v>
      </c>
      <c r="P63" s="47">
        <v>3</v>
      </c>
      <c r="Q63" s="213">
        <v>44573</v>
      </c>
      <c r="R63" s="271">
        <f ca="1">IF(D63="","",IF(OFFSET(D63,-1,0)&lt;&gt;"","",IF(OR(J63="リード付け",J63="巻足し",J63="巻返しリード付け"),M63,VLOOKUP(D63,契約台帳!$A$3:$N$4986,14,FALSE))))</f>
        <v>1005</v>
      </c>
      <c r="S63" s="272">
        <f ca="1">IF(D63="","",IF(OFFSET(D63,-1,0)&lt;&gt;"","",IF(OR(J63="リード付け",J63="巻足し",J63="巻返しリード付け"),M63,VLOOKUP(D63,契約台帳!$A$3:$O$4986,15,FALSE))))</f>
        <v>1005</v>
      </c>
      <c r="T63" s="273">
        <f ca="1">IF(D63="","",IF(J63="リード付け",N63,IF(J63="巻返しリード付け",N63,IF(J63="巻足し",N63*P63+OFFSET(N63,1,0)*OFFSET(P63,1,0),VLOOKUP(D63,契約台帳!$A$3:$P$4986,16,FALSE)))))</f>
        <v>12000</v>
      </c>
      <c r="U63" s="40">
        <v>1</v>
      </c>
      <c r="V63" s="274">
        <f ca="1">IF(D63="","",IF(OFFSET(D63,-2,0)=D63,"",VLOOKUP(D63,契約台帳!$A$3:$R$4986,18,FALSE)))</f>
        <v>3</v>
      </c>
      <c r="W63" s="269" t="str">
        <f ca="1">IF(D63="","",IF(T63="","",IF(OR(J63="巻足し",J63="巻返しリード付け"),"",IF(J63="巻返し",VLOOKUP(F63&amp;K63&amp;M63,製品マスタ!$M$5:$AD$5002,18,FALSE),IF(OR(J63="リード付け",J63="巻返しリード付け"),"原反コア",IF(J63="スリット",VLOOKUP(F63&amp;K63&amp;R63,製品マスタ!$N$5:$AD$5002,17,FALSE),""))))))</f>
        <v/>
      </c>
      <c r="X63" s="269" t="str">
        <f ca="1">IF(D63="","",IF(T63="","",IF(J63="巻足し","",IF(J63="巻返し",VLOOKUP(F63&amp;K63&amp;M63,製品マスタ!$M$5:$AE$5002,19,FALSE),IF(OR(J63="リード付け",J63="巻返しリード付け"),"",IF(J63="スリット",VLOOKUP(F63&amp;K63&amp;R63,製品マスタ!$N$5:$AE$5002,18,FALSE),""))))))</f>
        <v/>
      </c>
      <c r="Y63" s="275">
        <f ca="1">IF(D63="","",IF(T63="","",VLOOKUP(D63,契約台帳!$A$3:$Q$4986,17,FALSE)))</f>
        <v>2</v>
      </c>
      <c r="Z63" s="269" t="str">
        <f ca="1">IF(D63="","",IF(T63="","",VLOOKUP(D63,契約台帳!$A$3:$E$4986,5,FALSE)))</f>
        <v>リンテック㈱</v>
      </c>
      <c r="AA63" s="57"/>
      <c r="AB63" s="207">
        <f>IFERROR((VLOOKUP(F63&amp;K63&amp;M63,製品マスタ!$M$5:$AM$5002,27,FALSE)),"")</f>
        <v>0</v>
      </c>
      <c r="AC63" s="33"/>
      <c r="AD63" s="189"/>
      <c r="AE63" s="54"/>
      <c r="AF63" s="55"/>
      <c r="AG63" s="43"/>
      <c r="AH63" s="47"/>
      <c r="AI63" s="30"/>
      <c r="AJ63" s="30"/>
      <c r="AK63" s="30"/>
      <c r="AL63" s="30"/>
      <c r="AM63" s="13"/>
      <c r="AN63" s="13"/>
      <c r="AO63" s="13"/>
      <c r="AP63" s="13"/>
      <c r="AQ63" s="13"/>
      <c r="AR63" s="14"/>
      <c r="AS63" s="15"/>
    </row>
    <row r="64" spans="1:45" s="17" customFormat="1" ht="30.95" hidden="1" customHeight="1" x14ac:dyDescent="0.2">
      <c r="A64" s="37"/>
      <c r="B64" s="38"/>
      <c r="C64" s="45"/>
      <c r="D64" s="31"/>
      <c r="E64" s="31"/>
      <c r="F64" s="268" t="str">
        <f>IF(D64="","",VLOOKUP(D64,契約台帳!$A$3:$K$4986,6,FALSE)&amp;VLOOKUP(D64,契約台帳!$A$3:$K$4986,7,FALSE)&amp;VLOOKUP(D64,契約台帳!$A$3:$K$4986,8,FALSE)&amp;VLOOKUP(D64,契約台帳!$A$3:$K$4986,9,FALSE)&amp;VLOOKUP(D64,契約台帳!$A$3:$K$4986,11,FALSE))</f>
        <v/>
      </c>
      <c r="G64" s="269" t="str">
        <f>IF(D64="","",VLOOKUP(F64,製品マスタ!$G$5:$H$5002,2,FALSE))</f>
        <v/>
      </c>
      <c r="H64" s="269" t="str">
        <f>IF(D64="","",VLOOKUP(F64,製品マスタ!$G$5:$K$5002,5,FALSE))</f>
        <v/>
      </c>
      <c r="I64" s="270" t="str">
        <f>IF(D64="","",VLOOKUP(F64,製品マスタ!$G$5:$L$5002,6,FALSE))</f>
        <v/>
      </c>
      <c r="J64" s="210"/>
      <c r="K64" s="270" t="str">
        <f>IF(D64="","",VLOOKUP(D64,契約台帳!$A$3:$L$4986,12,FALSE))</f>
        <v/>
      </c>
      <c r="L64" s="270" t="str">
        <f>IF(D64="","",INDEX(製品マスタ!$Q$5:$Q$5002,MATCH('S4'!F64&amp;'S4'!K64,製品マスタ!$AO$5:$AO$5002,0)))</f>
        <v/>
      </c>
      <c r="M64" s="39"/>
      <c r="N64" s="39"/>
      <c r="O64" s="156"/>
      <c r="P64" s="47"/>
      <c r="Q64" s="57"/>
      <c r="R64" s="271" t="str">
        <f ca="1">IF(D64="","",IF(OFFSET(D64,-1,0)&lt;&gt;"","",IF(OR(J64="リード付け",J64="巻足し",J64="巻返しリード付け"),M64,VLOOKUP(D64,契約台帳!$A$3:$N$4986,14,FALSE))))</f>
        <v/>
      </c>
      <c r="S64" s="272" t="str">
        <f ca="1">IF(D64="","",IF(OFFSET(D64,-1,0)&lt;&gt;"","",IF(OR(J64="リード付け",J64="巻足し",J64="巻返しリード付け"),M64,VLOOKUP(D64,契約台帳!$A$3:$O$4986,15,FALSE))))</f>
        <v/>
      </c>
      <c r="T64" s="273" t="str">
        <f ca="1">IF(D64="","",IF(J64="リード付け",N64,IF(J64="巻返しリード付け",N64,IF(J64="巻足し",N64*P64+OFFSET(N64,1,0)*OFFSET(P64,1,0),VLOOKUP(D64,契約台帳!$A$3:$P$4986,16,FALSE)))))</f>
        <v/>
      </c>
      <c r="U64" s="40"/>
      <c r="V64" s="274" t="str">
        <f ca="1">IF(D64="","",IF(OFFSET(D64,-2,0)=D64,"",VLOOKUP(D64,契約台帳!$A$3:$R$4986,18,FALSE)))</f>
        <v/>
      </c>
      <c r="W64" s="269" t="str">
        <f>IF(D64="","",IF(T64="","",IF(OR(J64="巻足し",J64="巻返しリード付け"),"",IF(J64="巻返し",VLOOKUP(F64&amp;K64&amp;M64,製品マスタ!$M$5:$AD$5002,18,FALSE),IF(OR(J64="リード付け",J64="巻返しリード付け"),"原反コア",IF(J64="スリット",VLOOKUP(F64&amp;K64&amp;R64,製品マスタ!$N$5:$AD$5002,17,FALSE),""))))))</f>
        <v/>
      </c>
      <c r="X64" s="269" t="str">
        <f>IF(D64="","",IF(T64="","",IF(J64="巻足し","",IF(J64="巻返し",VLOOKUP(F64&amp;K64&amp;M64,製品マスタ!$M$5:$AE$5002,19,FALSE),IF(OR(J64="リード付け",J64="巻返しリード付け"),"",IF(J64="スリット",VLOOKUP(F64&amp;K64&amp;R64,製品マスタ!$N$5:$AE$5002,18,FALSE),""))))))</f>
        <v/>
      </c>
      <c r="Y64" s="275" t="str">
        <f>IF(D64="","",IF(T64="","",VLOOKUP(D64,契約台帳!$A$3:$Q$4986,17,FALSE)))</f>
        <v/>
      </c>
      <c r="Z64" s="269" t="str">
        <f>IF(D64="","",IF(T64="","",VLOOKUP(D64,契約台帳!$A$3:$E$4986,5,FALSE)))</f>
        <v/>
      </c>
      <c r="AA64" s="57"/>
      <c r="AB64" s="207" t="str">
        <f>IFERROR((VLOOKUP(F64&amp;K64&amp;M64,製品マスタ!$M$5:$AM$5002,27,FALSE)),"")</f>
        <v/>
      </c>
      <c r="AC64" s="33"/>
      <c r="AD64" s="189"/>
      <c r="AE64" s="54"/>
      <c r="AF64" s="55"/>
      <c r="AG64" s="43"/>
      <c r="AH64" s="47"/>
      <c r="AI64" s="30"/>
      <c r="AJ64" s="30"/>
      <c r="AK64" s="30"/>
      <c r="AL64" s="30"/>
      <c r="AM64" s="13"/>
      <c r="AN64" s="13"/>
      <c r="AO64" s="13"/>
      <c r="AP64" s="13"/>
      <c r="AQ64" s="13"/>
      <c r="AR64" s="14"/>
      <c r="AS64" s="15"/>
    </row>
    <row r="65" spans="1:45" s="17" customFormat="1" ht="30.95" hidden="1" customHeight="1" x14ac:dyDescent="0.2">
      <c r="A65" s="37"/>
      <c r="B65" s="38"/>
      <c r="C65" s="45"/>
      <c r="D65" s="31">
        <v>3694127</v>
      </c>
      <c r="E65" s="31">
        <v>4161779</v>
      </c>
      <c r="F65" s="268" t="str">
        <f>IF(D65="","",VLOOKUP(D65,契約台帳!$A$3:$K$4986,6,FALSE)&amp;VLOOKUP(D65,契約台帳!$A$3:$K$4986,7,FALSE)&amp;VLOOKUP(D65,契約台帳!$A$3:$K$4986,8,FALSE)&amp;VLOOKUP(D65,契約台帳!$A$3:$K$4986,9,FALSE)&amp;VLOOKUP(D65,契約台帳!$A$3:$K$4986,11,FALSE))</f>
        <v>3SYMLBMSNMBF</v>
      </c>
      <c r="G65" s="269" t="str">
        <f>IF(D65="","",VLOOKUP(F65,製品マスタ!$G$5:$H$5002,2,FALSE))</f>
        <v>S</v>
      </c>
      <c r="H65" s="269" t="str">
        <f>IF(D65="","",VLOOKUP(F65,製品マスタ!$G$5:$K$5002,5,FALSE))</f>
        <v>MSNMBF</v>
      </c>
      <c r="I65" s="270" t="str">
        <f>IF(D65="","",VLOOKUP(F65,製品マスタ!$G$5:$L$5002,6,FALSE))</f>
        <v>ＭＥＴＡＬＵＭＹ　ＳＩＬＶＥＲ　Ｎ－ＭＡＴＴＥ　Ｘ４４Ｍ　Ｂ</v>
      </c>
      <c r="J65" s="210" t="s">
        <v>736</v>
      </c>
      <c r="K65" s="270">
        <f>IF(D65="","",VLOOKUP(D65,契約台帳!$A$3:$L$4986,12,FALSE))</f>
        <v>50</v>
      </c>
      <c r="L65" s="270" t="str">
        <f>IF(D65="","",INDEX(製品マスタ!$Q$5:$Q$5002,MATCH('S4'!F65&amp;'S4'!K65,製品マスタ!$AO$5:$AO$5002,0)))</f>
        <v>X44</v>
      </c>
      <c r="M65" s="39">
        <v>1120</v>
      </c>
      <c r="N65" s="39">
        <v>4000</v>
      </c>
      <c r="O65" s="156">
        <v>4</v>
      </c>
      <c r="P65" s="47">
        <v>2</v>
      </c>
      <c r="Q65" s="213">
        <v>44567</v>
      </c>
      <c r="R65" s="271">
        <f ca="1">IF(D65="","",IF(OFFSET(D65,-1,0)&lt;&gt;"","",IF(OR(J65="リード付け",J65="巻足し",J65="巻返しリード付け"),M65,VLOOKUP(D65,契約台帳!$A$3:$N$4986,14,FALSE))))</f>
        <v>1120</v>
      </c>
      <c r="S65" s="272">
        <f ca="1">IF(D65="","",IF(OFFSET(D65,-1,0)&lt;&gt;"","",IF(OR(J65="リード付け",J65="巻足し",J65="巻返しリード付け"),M65,VLOOKUP(D65,契約台帳!$A$3:$O$4986,15,FALSE))))</f>
        <v>1120</v>
      </c>
      <c r="T65" s="273">
        <f ca="1">IF(D65="","",IF(J65="リード付け",N65,IF(J65="巻返しリード付け",N65,IF(J65="巻足し",N65*P65+OFFSET(N65,1,0)*OFFSET(P65,1,0),VLOOKUP(D65,契約台帳!$A$3:$P$4986,16,FALSE)))))</f>
        <v>8000</v>
      </c>
      <c r="U65" s="40">
        <v>2</v>
      </c>
      <c r="V65" s="274">
        <f ca="1">IF(D65="","",IF(OFFSET(D65,-2,0)=D65,"",VLOOKUP(D65,契約台帳!$A$3:$R$4986,18,FALSE)))</f>
        <v>4</v>
      </c>
      <c r="W65" s="269" t="str">
        <f ca="1">IF(D65="","",IF(T65="","",IF(OR(J65="巻足し",J65="巻返しリード付け"),"",IF(J65="巻返し",VLOOKUP(F65&amp;K65&amp;M65,製品マスタ!$M$5:$AD$5002,18,FALSE),IF(OR(J65="リード付け",J65="巻返しリード付け"),"原反コア",IF(J65="スリット",VLOOKUP(F65&amp;K65&amp;R65,製品マスタ!$N$5:$AD$5002,17,FALSE),""))))))</f>
        <v/>
      </c>
      <c r="X65" s="269" t="str">
        <f ca="1">IF(D65="","",IF(T65="","",IF(J65="巻足し","",IF(J65="巻返し",VLOOKUP(F65&amp;K65&amp;M65,製品マスタ!$M$5:$AE$5002,19,FALSE),IF(OR(J65="リード付け",J65="巻返しリード付け"),"",IF(J65="スリット",VLOOKUP(F65&amp;K65&amp;R65,製品マスタ!$N$5:$AE$5002,18,FALSE),""))))))</f>
        <v/>
      </c>
      <c r="Y65" s="275">
        <f ca="1">IF(D65="","",IF(T65="","",VLOOKUP(D65,契約台帳!$A$3:$Q$4986,17,FALSE)))</f>
        <v>2</v>
      </c>
      <c r="Z65" s="269" t="str">
        <f ca="1">IF(D65="","",IF(T65="","",VLOOKUP(D65,契約台帳!$A$3:$E$4986,5,FALSE)))</f>
        <v>リンテック㈱</v>
      </c>
      <c r="AA65" s="57"/>
      <c r="AB65" s="207">
        <f>IFERROR((VLOOKUP(F65&amp;K65&amp;M65,製品マスタ!$M$5:$AM$5002,27,FALSE)),"")</f>
        <v>0</v>
      </c>
      <c r="AC65" s="33"/>
      <c r="AD65" s="189"/>
      <c r="AE65" s="54"/>
      <c r="AF65" s="55"/>
      <c r="AG65" s="43"/>
      <c r="AH65" s="47"/>
      <c r="AI65" s="30"/>
      <c r="AJ65" s="30"/>
      <c r="AK65" s="30"/>
      <c r="AL65" s="30"/>
      <c r="AM65" s="13"/>
      <c r="AN65" s="13"/>
      <c r="AO65" s="13"/>
      <c r="AP65" s="13"/>
      <c r="AQ65" s="13"/>
      <c r="AR65" s="14"/>
      <c r="AS65" s="15"/>
    </row>
    <row r="66" spans="1:45" s="17" customFormat="1" ht="30.95" hidden="1" customHeight="1" x14ac:dyDescent="0.2">
      <c r="A66" s="37"/>
      <c r="B66" s="38"/>
      <c r="C66" s="45"/>
      <c r="D66" s="31"/>
      <c r="E66" s="31"/>
      <c r="F66" s="268" t="str">
        <f>IF(D66="","",VLOOKUP(D66,契約台帳!$A$3:$K$4986,6,FALSE)&amp;VLOOKUP(D66,契約台帳!$A$3:$K$4986,7,FALSE)&amp;VLOOKUP(D66,契約台帳!$A$3:$K$4986,8,FALSE)&amp;VLOOKUP(D66,契約台帳!$A$3:$K$4986,9,FALSE)&amp;VLOOKUP(D66,契約台帳!$A$3:$K$4986,11,FALSE))</f>
        <v/>
      </c>
      <c r="G66" s="269" t="str">
        <f>IF(D66="","",VLOOKUP(F66,製品マスタ!$G$5:$H$5002,2,FALSE))</f>
        <v/>
      </c>
      <c r="H66" s="269" t="str">
        <f>IF(D66="","",VLOOKUP(F66,製品マスタ!$G$5:$K$5002,5,FALSE))</f>
        <v/>
      </c>
      <c r="I66" s="270" t="str">
        <f>IF(D66="","",VLOOKUP(F66,製品マスタ!$G$5:$L$5002,6,FALSE))</f>
        <v/>
      </c>
      <c r="J66" s="210"/>
      <c r="K66" s="270" t="str">
        <f>IF(D66="","",VLOOKUP(D66,契約台帳!$A$3:$L$4986,12,FALSE))</f>
        <v/>
      </c>
      <c r="L66" s="270" t="str">
        <f>IF(D66="","",INDEX(製品マスタ!$Q$5:$Q$5002,MATCH('S4'!F66&amp;'S4'!K66,製品マスタ!$AO$5:$AO$5002,0)))</f>
        <v/>
      </c>
      <c r="M66" s="39"/>
      <c r="N66" s="39"/>
      <c r="O66" s="156"/>
      <c r="P66" s="47"/>
      <c r="Q66" s="57"/>
      <c r="R66" s="271" t="str">
        <f ca="1">IF(D66="","",IF(OFFSET(D66,-1,0)&lt;&gt;"","",IF(OR(J66="リード付け",J66="巻足し",J66="巻返しリード付け"),M66,VLOOKUP(D66,契約台帳!$A$3:$N$4986,14,FALSE))))</f>
        <v/>
      </c>
      <c r="S66" s="272" t="str">
        <f ca="1">IF(D66="","",IF(OFFSET(D66,-1,0)&lt;&gt;"","",IF(OR(J66="リード付け",J66="巻足し",J66="巻返しリード付け"),M66,VLOOKUP(D66,契約台帳!$A$3:$O$4986,15,FALSE))))</f>
        <v/>
      </c>
      <c r="T66" s="273" t="str">
        <f ca="1">IF(D66="","",IF(J66="リード付け",N66,IF(J66="巻返しリード付け",N66,IF(J66="巻足し",N66*P66+OFFSET(N66,1,0)*OFFSET(P66,1,0),VLOOKUP(D66,契約台帳!$A$3:$P$4986,16,FALSE)))))</f>
        <v/>
      </c>
      <c r="U66" s="40"/>
      <c r="V66" s="274" t="str">
        <f ca="1">IF(D66="","",IF(OFFSET(D66,-2,0)=D66,"",VLOOKUP(D66,契約台帳!$A$3:$R$4986,18,FALSE)))</f>
        <v/>
      </c>
      <c r="W66" s="269" t="str">
        <f>IF(D66="","",IF(T66="","",IF(OR(J66="巻足し",J66="巻返しリード付け"),"",IF(J66="巻返し",VLOOKUP(F66&amp;K66&amp;M66,製品マスタ!$M$5:$AD$5002,18,FALSE),IF(OR(J66="リード付け",J66="巻返しリード付け"),"原反コア",IF(J66="スリット",VLOOKUP(F66&amp;K66&amp;R66,製品マスタ!$N$5:$AD$5002,17,FALSE),""))))))</f>
        <v/>
      </c>
      <c r="X66" s="269" t="str">
        <f>IF(D66="","",IF(T66="","",IF(J66="巻足し","",IF(J66="巻返し",VLOOKUP(F66&amp;K66&amp;M66,製品マスタ!$M$5:$AE$5002,19,FALSE),IF(OR(J66="リード付け",J66="巻返しリード付け"),"",IF(J66="スリット",VLOOKUP(F66&amp;K66&amp;R66,製品マスタ!$N$5:$AE$5002,18,FALSE),""))))))</f>
        <v/>
      </c>
      <c r="Y66" s="275" t="str">
        <f>IF(D66="","",IF(T66="","",VLOOKUP(D66,契約台帳!$A$3:$Q$4986,17,FALSE)))</f>
        <v/>
      </c>
      <c r="Z66" s="269" t="str">
        <f>IF(D66="","",IF(T66="","",VLOOKUP(D66,契約台帳!$A$3:$E$4986,5,FALSE)))</f>
        <v/>
      </c>
      <c r="AA66" s="57"/>
      <c r="AB66" s="207" t="str">
        <f>IFERROR((VLOOKUP(F66&amp;K66&amp;M66,製品マスタ!$M$5:$AM$5002,27,FALSE)),"")</f>
        <v/>
      </c>
      <c r="AC66" s="33"/>
      <c r="AD66" s="189"/>
      <c r="AE66" s="54"/>
      <c r="AF66" s="55"/>
      <c r="AG66" s="43"/>
      <c r="AH66" s="47"/>
      <c r="AI66" s="30"/>
      <c r="AJ66" s="30"/>
      <c r="AK66" s="30"/>
      <c r="AL66" s="30"/>
      <c r="AM66" s="13"/>
      <c r="AN66" s="13"/>
      <c r="AO66" s="13"/>
      <c r="AP66" s="13"/>
      <c r="AQ66" s="13"/>
      <c r="AR66" s="14"/>
      <c r="AS66" s="15"/>
    </row>
    <row r="67" spans="1:45" s="17" customFormat="1" ht="30.95" hidden="1" customHeight="1" x14ac:dyDescent="0.2">
      <c r="A67" s="37"/>
      <c r="B67" s="38"/>
      <c r="C67" s="45"/>
      <c r="D67" s="31">
        <v>3691105</v>
      </c>
      <c r="E67" s="31">
        <v>4161755</v>
      </c>
      <c r="F67" s="268" t="str">
        <f>IF(D67="","",VLOOKUP(D67,契約台帳!$A$3:$K$4986,6,FALSE)&amp;VLOOKUP(D67,契約台帳!$A$3:$K$4986,7,FALSE)&amp;VLOOKUP(D67,契約台帳!$A$3:$K$4986,8,FALSE)&amp;VLOOKUP(D67,契約台帳!$A$3:$K$4986,9,FALSE)&amp;VLOOKUP(D67,契約台帳!$A$3:$K$4986,11,FALSE))</f>
        <v>3SNMCLBMSNEYK</v>
      </c>
      <c r="G67" s="269" t="str">
        <f>IF(D67="","",VLOOKUP(F67,製品マスタ!$G$5:$H$5002,2,FALSE))</f>
        <v>S</v>
      </c>
      <c r="H67" s="269" t="str">
        <f>IF(D67="","",VLOOKUP(F67,製品マスタ!$G$5:$K$5002,5,FALSE))</f>
        <v>MSNEYK</v>
      </c>
      <c r="I67" s="270" t="str">
        <f>IF(D67="","",VLOOKUP(F67,製品マスタ!$G$5:$L$5002,6,FALSE))</f>
        <v>ＭＳＮ　ＥＹＫ</v>
      </c>
      <c r="J67" s="210" t="s">
        <v>736</v>
      </c>
      <c r="K67" s="270">
        <f>IF(D67="","",VLOOKUP(D67,契約台帳!$A$3:$L$4986,12,FALSE))</f>
        <v>25</v>
      </c>
      <c r="L67" s="270" t="str">
        <f>IF(D67="","",INDEX(製品マスタ!$Q$5:$Q$5002,MATCH('S4'!F67&amp;'S4'!K67,製品マスタ!$AO$5:$AO$5002,0)))</f>
        <v>N-MAT</v>
      </c>
      <c r="M67" s="39">
        <v>1120</v>
      </c>
      <c r="N67" s="39">
        <v>4000</v>
      </c>
      <c r="O67" s="156">
        <v>2</v>
      </c>
      <c r="P67" s="47">
        <v>2</v>
      </c>
      <c r="Q67" s="213">
        <v>44574</v>
      </c>
      <c r="R67" s="271">
        <f ca="1">IF(D67="","",IF(OFFSET(D67,-1,0)&lt;&gt;"","",IF(OR(J67="リード付け",J67="巻足し",J67="巻返しリード付け"),M67,VLOOKUP(D67,契約台帳!$A$3:$N$4986,14,FALSE))))</f>
        <v>1120</v>
      </c>
      <c r="S67" s="272">
        <f ca="1">IF(D67="","",IF(OFFSET(D67,-1,0)&lt;&gt;"","",IF(OR(J67="リード付け",J67="巻足し",J67="巻返しリード付け"),M67,VLOOKUP(D67,契約台帳!$A$3:$O$4986,15,FALSE))))</f>
        <v>1120</v>
      </c>
      <c r="T67" s="273">
        <f ca="1">IF(D67="","",IF(J67="リード付け",N67,IF(J67="巻返しリード付け",N67,IF(J67="巻足し",N67*P67+OFFSET(N67,1,0)*OFFSET(P67,1,0),VLOOKUP(D67,契約台帳!$A$3:$P$4986,16,FALSE)))))</f>
        <v>8000</v>
      </c>
      <c r="U67" s="40">
        <v>1</v>
      </c>
      <c r="V67" s="274">
        <f ca="1">IF(D67="","",IF(OFFSET(D67,-2,0)=D67,"",VLOOKUP(D67,契約台帳!$A$3:$R$4986,18,FALSE)))</f>
        <v>2</v>
      </c>
      <c r="W67" s="269" t="str">
        <f ca="1">IF(D67="","",IF(T67="","",IF(OR(J67="巻足し",J67="巻返しリード付け"),"",IF(J67="巻返し",VLOOKUP(F67&amp;K67&amp;M67,製品マスタ!$M$5:$AD$5002,18,FALSE),IF(OR(J67="リード付け",J67="巻返しリード付け"),"原反コア",IF(J67="スリット",VLOOKUP(F67&amp;K67&amp;R67,製品マスタ!$N$5:$AD$5002,17,FALSE),""))))))</f>
        <v/>
      </c>
      <c r="X67" s="269" t="str">
        <f ca="1">IF(D67="","",IF(T67="","",IF(J67="巻足し","",IF(J67="巻返し",VLOOKUP(F67&amp;K67&amp;M67,製品マスタ!$M$5:$AE$5002,19,FALSE),IF(OR(J67="リード付け",J67="巻返しリード付け"),"",IF(J67="スリット",VLOOKUP(F67&amp;K67&amp;R67,製品マスタ!$N$5:$AE$5002,18,FALSE),""))))))</f>
        <v/>
      </c>
      <c r="Y67" s="275">
        <f ca="1">IF(D67="","",IF(T67="","",VLOOKUP(D67,契約台帳!$A$3:$Q$4986,17,FALSE)))</f>
        <v>2</v>
      </c>
      <c r="Z67" s="269" t="str">
        <f ca="1">IF(D67="","",IF(T67="","",VLOOKUP(D67,契約台帳!$A$3:$E$4986,5,FALSE)))</f>
        <v>新タック化成㈱</v>
      </c>
      <c r="AA67" s="57"/>
      <c r="AB67" s="207">
        <f>IFERROR((VLOOKUP(F67&amp;K67&amp;M67,製品マスタ!$M$5:$AM$5002,27,FALSE)),"")</f>
        <v>0</v>
      </c>
      <c r="AC67" s="33"/>
      <c r="AD67" s="189"/>
      <c r="AE67" s="54"/>
      <c r="AF67" s="55"/>
      <c r="AG67" s="43"/>
      <c r="AH67" s="47"/>
      <c r="AI67" s="30"/>
      <c r="AJ67" s="30"/>
      <c r="AK67" s="30"/>
      <c r="AL67" s="30"/>
      <c r="AM67" s="13"/>
      <c r="AN67" s="13"/>
      <c r="AO67" s="13"/>
      <c r="AP67" s="13"/>
      <c r="AQ67" s="13"/>
      <c r="AR67" s="14"/>
      <c r="AS67" s="15"/>
    </row>
    <row r="68" spans="1:45" s="17" customFormat="1" ht="30.95" hidden="1" customHeight="1" x14ac:dyDescent="0.2">
      <c r="A68" s="37"/>
      <c r="B68" s="38"/>
      <c r="C68" s="45"/>
      <c r="D68" s="31"/>
      <c r="E68" s="31"/>
      <c r="F68" s="268" t="str">
        <f>IF(D68="","",VLOOKUP(D68,契約台帳!$A$3:$K$4986,6,FALSE)&amp;VLOOKUP(D68,契約台帳!$A$3:$K$4986,7,FALSE)&amp;VLOOKUP(D68,契約台帳!$A$3:$K$4986,8,FALSE)&amp;VLOOKUP(D68,契約台帳!$A$3:$K$4986,9,FALSE)&amp;VLOOKUP(D68,契約台帳!$A$3:$K$4986,11,FALSE))</f>
        <v/>
      </c>
      <c r="G68" s="269" t="str">
        <f>IF(D68="","",VLOOKUP(F68,製品マスタ!$G$5:$H$5002,2,FALSE))</f>
        <v/>
      </c>
      <c r="H68" s="269" t="str">
        <f>IF(D68="","",VLOOKUP(F68,製品マスタ!$G$5:$K$5002,5,FALSE))</f>
        <v/>
      </c>
      <c r="I68" s="270" t="str">
        <f>IF(D68="","",VLOOKUP(F68,製品マスタ!$G$5:$L$5002,6,FALSE))</f>
        <v/>
      </c>
      <c r="J68" s="210"/>
      <c r="K68" s="270" t="str">
        <f>IF(D68="","",VLOOKUP(D68,契約台帳!$A$3:$L$4986,12,FALSE))</f>
        <v/>
      </c>
      <c r="L68" s="270" t="str">
        <f>IF(D68="","",INDEX(製品マスタ!$Q$5:$Q$5002,MATCH('S4'!F68&amp;'S4'!K68,製品マスタ!$AO$5:$AO$5002,0)))</f>
        <v/>
      </c>
      <c r="M68" s="39"/>
      <c r="N68" s="39"/>
      <c r="O68" s="156"/>
      <c r="P68" s="47"/>
      <c r="Q68" s="57"/>
      <c r="R68" s="271" t="str">
        <f ca="1">IF(D68="","",IF(OFFSET(D68,-1,0)&lt;&gt;"","",IF(OR(J68="リード付け",J68="巻足し",J68="巻返しリード付け"),M68,VLOOKUP(D68,契約台帳!$A$3:$N$4986,14,FALSE))))</f>
        <v/>
      </c>
      <c r="S68" s="272" t="str">
        <f ca="1">IF(D68="","",IF(OFFSET(D68,-1,0)&lt;&gt;"","",IF(OR(J68="リード付け",J68="巻足し",J68="巻返しリード付け"),M68,VLOOKUP(D68,契約台帳!$A$3:$O$4986,15,FALSE))))</f>
        <v/>
      </c>
      <c r="T68" s="273" t="str">
        <f ca="1">IF(D68="","",IF(J68="リード付け",N68,IF(J68="巻返しリード付け",N68,IF(J68="巻足し",N68*P68+OFFSET(N68,1,0)*OFFSET(P68,1,0),VLOOKUP(D68,契約台帳!$A$3:$P$4986,16,FALSE)))))</f>
        <v/>
      </c>
      <c r="U68" s="40"/>
      <c r="V68" s="274" t="str">
        <f ca="1">IF(D68="","",IF(OFFSET(D68,-2,0)=D68,"",VLOOKUP(D68,契約台帳!$A$3:$R$4986,18,FALSE)))</f>
        <v/>
      </c>
      <c r="W68" s="269" t="str">
        <f>IF(D68="","",IF(T68="","",IF(OR(J68="巻足し",J68="巻返しリード付け"),"",IF(J68="巻返し",VLOOKUP(F68&amp;K68&amp;M68,製品マスタ!$M$5:$AD$5002,18,FALSE),IF(OR(J68="リード付け",J68="巻返しリード付け"),"原反コア",IF(J68="スリット",VLOOKUP(F68&amp;K68&amp;R68,製品マスタ!$N$5:$AD$5002,17,FALSE),""))))))</f>
        <v/>
      </c>
      <c r="X68" s="269" t="str">
        <f>IF(D68="","",IF(T68="","",IF(J68="巻足し","",IF(J68="巻返し",VLOOKUP(F68&amp;K68&amp;M68,製品マスタ!$M$5:$AE$5002,19,FALSE),IF(OR(J68="リード付け",J68="巻返しリード付け"),"",IF(J68="スリット",VLOOKUP(F68&amp;K68&amp;R68,製品マスタ!$N$5:$AE$5002,18,FALSE),""))))))</f>
        <v/>
      </c>
      <c r="Y68" s="275" t="str">
        <f>IF(D68="","",IF(T68="","",VLOOKUP(D68,契約台帳!$A$3:$Q$4986,17,FALSE)))</f>
        <v/>
      </c>
      <c r="Z68" s="269" t="str">
        <f>IF(D68="","",IF(T68="","",VLOOKUP(D68,契約台帳!$A$3:$E$4986,5,FALSE)))</f>
        <v/>
      </c>
      <c r="AA68" s="57"/>
      <c r="AB68" s="207" t="str">
        <f>IFERROR((VLOOKUP(F68&amp;K68&amp;M68,製品マスタ!$M$5:$AM$5002,27,FALSE)),"")</f>
        <v/>
      </c>
      <c r="AC68" s="33"/>
      <c r="AD68" s="189"/>
      <c r="AE68" s="54"/>
      <c r="AF68" s="55"/>
      <c r="AG68" s="43"/>
      <c r="AH68" s="47"/>
      <c r="AI68" s="30"/>
      <c r="AJ68" s="30"/>
      <c r="AK68" s="30"/>
      <c r="AL68" s="30"/>
      <c r="AM68" s="13"/>
      <c r="AN68" s="13"/>
      <c r="AO68" s="13"/>
      <c r="AP68" s="13"/>
      <c r="AQ68" s="13"/>
      <c r="AR68" s="14"/>
      <c r="AS68" s="15"/>
    </row>
    <row r="69" spans="1:45" s="17" customFormat="1" ht="30.95" hidden="1" customHeight="1" x14ac:dyDescent="0.2">
      <c r="A69" s="37" t="s">
        <v>765</v>
      </c>
      <c r="B69" s="38" t="s">
        <v>747</v>
      </c>
      <c r="C69" s="45"/>
      <c r="D69" s="31">
        <v>3691106</v>
      </c>
      <c r="E69" s="31">
        <v>4161758</v>
      </c>
      <c r="F69" s="268" t="str">
        <f>IF(D69="","",VLOOKUP(D69,契約台帳!$A$3:$K$4986,6,FALSE)&amp;VLOOKUP(D69,契約台帳!$A$3:$K$4986,7,FALSE)&amp;VLOOKUP(D69,契約台帳!$A$3:$K$4986,8,FALSE)&amp;VLOOKUP(D69,契約台帳!$A$3:$K$4986,9,FALSE)&amp;VLOOKUP(D69,契約台帳!$A$3:$K$4986,11,FALSE))</f>
        <v>3SNMCLBMSNEYK</v>
      </c>
      <c r="G69" s="269" t="str">
        <f>IF(D69="","",VLOOKUP(F69,製品マスタ!$G$5:$H$5002,2,FALSE))</f>
        <v>S</v>
      </c>
      <c r="H69" s="269" t="str">
        <f>IF(D69="","",VLOOKUP(F69,製品マスタ!$G$5:$K$5002,5,FALSE))</f>
        <v>MSNEYK</v>
      </c>
      <c r="I69" s="270" t="str">
        <f>IF(D69="","",VLOOKUP(F69,製品マスタ!$G$5:$L$5002,6,FALSE))</f>
        <v>ＭＳＮ　ＥＹＫ</v>
      </c>
      <c r="J69" s="210" t="s">
        <v>736</v>
      </c>
      <c r="K69" s="270">
        <f>IF(D69="","",VLOOKUP(D69,契約台帳!$A$3:$L$4986,12,FALSE))</f>
        <v>50</v>
      </c>
      <c r="L69" s="270" t="str">
        <f>IF(D69="","",INDEX(製品マスタ!$Q$5:$Q$5002,MATCH('S4'!F69&amp;'S4'!K69,製品マスタ!$AO$5:$AO$5002,0)))</f>
        <v>N-MAT</v>
      </c>
      <c r="M69" s="39">
        <v>1120</v>
      </c>
      <c r="N69" s="39">
        <v>4000</v>
      </c>
      <c r="O69" s="156">
        <v>6</v>
      </c>
      <c r="P69" s="47">
        <v>3</v>
      </c>
      <c r="Q69" s="213">
        <v>44574</v>
      </c>
      <c r="R69" s="271">
        <f ca="1">IF(D69="","",IF(OFFSET(D69,-1,0)&lt;&gt;"","",IF(OR(J69="リード付け",J69="巻足し",J69="巻返しリード付け"),M69,VLOOKUP(D69,契約台帳!$A$3:$N$4986,14,FALSE))))</f>
        <v>1120</v>
      </c>
      <c r="S69" s="272">
        <f ca="1">IF(D69="","",IF(OFFSET(D69,-1,0)&lt;&gt;"","",IF(OR(J69="リード付け",J69="巻足し",J69="巻返しリード付け"),M69,VLOOKUP(D69,契約台帳!$A$3:$O$4986,15,FALSE))))</f>
        <v>1120</v>
      </c>
      <c r="T69" s="273">
        <f ca="1">IF(D69="","",IF(J69="リード付け",N69,IF(J69="巻返しリード付け",N69,IF(J69="巻足し",N69*P69+OFFSET(N69,1,0)*OFFSET(P69,1,0),VLOOKUP(D69,契約台帳!$A$3:$P$4986,16,FALSE)))))</f>
        <v>12000</v>
      </c>
      <c r="U69" s="40">
        <v>2</v>
      </c>
      <c r="V69" s="274">
        <f ca="1">IF(D69="","",IF(OFFSET(D69,-2,0)=D69,"",VLOOKUP(D69,契約台帳!$A$3:$R$4986,18,FALSE)))</f>
        <v>8</v>
      </c>
      <c r="W69" s="269" t="str">
        <f ca="1">IF(D69="","",IF(T69="","",IF(OR(J69="巻足し",J69="巻返しリード付け"),"",IF(J69="巻返し",VLOOKUP(F69&amp;K69&amp;M69,製品マスタ!$M$5:$AD$5002,18,FALSE),IF(OR(J69="リード付け",J69="巻返しリード付け"),"原反コア",IF(J69="スリット",VLOOKUP(F69&amp;K69&amp;R69,製品マスタ!$N$5:$AD$5002,17,FALSE),""))))))</f>
        <v/>
      </c>
      <c r="X69" s="269" t="str">
        <f ca="1">IF(D69="","",IF(T69="","",IF(J69="巻足し","",IF(J69="巻返し",VLOOKUP(F69&amp;K69&amp;M69,製品マスタ!$M$5:$AE$5002,19,FALSE),IF(OR(J69="リード付け",J69="巻返しリード付け"),"",IF(J69="スリット",VLOOKUP(F69&amp;K69&amp;R69,製品マスタ!$N$5:$AE$5002,18,FALSE),""))))))</f>
        <v/>
      </c>
      <c r="Y69" s="275">
        <f ca="1">IF(D69="","",IF(T69="","",VLOOKUP(D69,契約台帳!$A$3:$Q$4986,17,FALSE)))</f>
        <v>2</v>
      </c>
      <c r="Z69" s="269" t="str">
        <f ca="1">IF(D69="","",IF(T69="","",VLOOKUP(D69,契約台帳!$A$3:$E$4986,5,FALSE)))</f>
        <v>新タック化成㈱</v>
      </c>
      <c r="AA69" s="57"/>
      <c r="AB69" s="207" t="str">
        <f>IFERROR((VLOOKUP(F69&amp;K69&amp;M69,製品マスタ!$M$5:$AM$5002,27,FALSE)),"")</f>
        <v>原反ケース再利用</v>
      </c>
      <c r="AC69" s="33"/>
      <c r="AD69" s="189"/>
      <c r="AE69" s="54"/>
      <c r="AF69" s="55"/>
      <c r="AG69" s="43"/>
      <c r="AH69" s="47"/>
      <c r="AI69" s="30"/>
      <c r="AJ69" s="30"/>
      <c r="AK69" s="30"/>
      <c r="AL69" s="30"/>
      <c r="AM69" s="13"/>
      <c r="AN69" s="13"/>
      <c r="AO69" s="13"/>
      <c r="AP69" s="13"/>
      <c r="AQ69" s="13"/>
      <c r="AR69" s="14"/>
      <c r="AS69" s="15"/>
    </row>
    <row r="70" spans="1:45" s="17" customFormat="1" ht="30.95" hidden="1" customHeight="1" x14ac:dyDescent="0.2">
      <c r="A70" s="37"/>
      <c r="B70" s="38"/>
      <c r="C70" s="45"/>
      <c r="D70" s="31"/>
      <c r="E70" s="31"/>
      <c r="F70" s="268" t="str">
        <f>IF(D70="","",VLOOKUP(D70,契約台帳!$A$3:$K$4986,6,FALSE)&amp;VLOOKUP(D70,契約台帳!$A$3:$K$4986,7,FALSE)&amp;VLOOKUP(D70,契約台帳!$A$3:$K$4986,8,FALSE)&amp;VLOOKUP(D70,契約台帳!$A$3:$K$4986,9,FALSE)&amp;VLOOKUP(D70,契約台帳!$A$3:$K$4986,11,FALSE))</f>
        <v/>
      </c>
      <c r="G70" s="269" t="str">
        <f>IF(D70="","",VLOOKUP(F70,製品マスタ!$G$5:$H$5002,2,FALSE))</f>
        <v/>
      </c>
      <c r="H70" s="269" t="str">
        <f>IF(D70="","",VLOOKUP(F70,製品マスタ!$G$5:$K$5002,5,FALSE))</f>
        <v/>
      </c>
      <c r="I70" s="270" t="str">
        <f>IF(D70="","",VLOOKUP(F70,製品マスタ!$G$5:$L$5002,6,FALSE))</f>
        <v/>
      </c>
      <c r="J70" s="210"/>
      <c r="K70" s="270" t="str">
        <f>IF(D70="","",VLOOKUP(D70,契約台帳!$A$3:$L$4986,12,FALSE))</f>
        <v/>
      </c>
      <c r="L70" s="270" t="str">
        <f>IF(D70="","",INDEX(製品マスタ!$Q$5:$Q$5002,MATCH('S4'!F70&amp;'S4'!K70,製品マスタ!$AO$5:$AO$5002,0)))</f>
        <v/>
      </c>
      <c r="M70" s="39"/>
      <c r="N70" s="39"/>
      <c r="O70" s="156"/>
      <c r="P70" s="47"/>
      <c r="Q70" s="57"/>
      <c r="R70" s="271" t="str">
        <f ca="1">IF(D70="","",IF(OFFSET(D70,-1,0)&lt;&gt;"","",IF(OR(J70="リード付け",J70="巻足し",J70="巻返しリード付け"),M70,VLOOKUP(D70,契約台帳!$A$3:$N$4986,14,FALSE))))</f>
        <v/>
      </c>
      <c r="S70" s="272" t="str">
        <f ca="1">IF(D70="","",IF(OFFSET(D70,-1,0)&lt;&gt;"","",IF(OR(J70="リード付け",J70="巻足し",J70="巻返しリード付け"),M70,VLOOKUP(D70,契約台帳!$A$3:$O$4986,15,FALSE))))</f>
        <v/>
      </c>
      <c r="T70" s="273" t="str">
        <f ca="1">IF(D70="","",IF(J70="リード付け",N70,IF(J70="巻返しリード付け",N70,IF(J70="巻足し",N70*P70+OFFSET(N70,1,0)*OFFSET(P70,1,0),VLOOKUP(D70,契約台帳!$A$3:$P$4986,16,FALSE)))))</f>
        <v/>
      </c>
      <c r="U70" s="40"/>
      <c r="V70" s="274" t="str">
        <f ca="1">IF(D70="","",IF(OFFSET(D70,-2,0)=D70,"",VLOOKUP(D70,契約台帳!$A$3:$R$4986,18,FALSE)))</f>
        <v/>
      </c>
      <c r="W70" s="269" t="str">
        <f>IF(D70="","",IF(T70="","",IF(OR(J70="巻足し",J70="巻返しリード付け"),"",IF(J70="巻返し",VLOOKUP(F70&amp;K70&amp;M70,製品マスタ!$M$5:$AD$5002,18,FALSE),IF(OR(J70="リード付け",J70="巻返しリード付け"),"原反コア",IF(J70="スリット",VLOOKUP(F70&amp;K70&amp;R70,製品マスタ!$N$5:$AD$5002,17,FALSE),""))))))</f>
        <v/>
      </c>
      <c r="X70" s="269" t="str">
        <f>IF(D70="","",IF(T70="","",IF(J70="巻足し","",IF(J70="巻返し",VLOOKUP(F70&amp;K70&amp;M70,製品マスタ!$M$5:$AE$5002,19,FALSE),IF(OR(J70="リード付け",J70="巻返しリード付け"),"",IF(J70="スリット",VLOOKUP(F70&amp;K70&amp;R70,製品マスタ!$N$5:$AE$5002,18,FALSE),""))))))</f>
        <v/>
      </c>
      <c r="Y70" s="275" t="str">
        <f>IF(D70="","",IF(T70="","",VLOOKUP(D70,契約台帳!$A$3:$Q$4986,17,FALSE)))</f>
        <v/>
      </c>
      <c r="Z70" s="269" t="str">
        <f>IF(D70="","",IF(T70="","",VLOOKUP(D70,契約台帳!$A$3:$E$4986,5,FALSE)))</f>
        <v/>
      </c>
      <c r="AA70" s="57"/>
      <c r="AB70" s="207" t="str">
        <f>IFERROR((VLOOKUP(F70&amp;K70&amp;M70,製品マスタ!$M$5:$AM$5002,27,FALSE)),"")</f>
        <v/>
      </c>
      <c r="AC70" s="33"/>
      <c r="AD70" s="189"/>
      <c r="AE70" s="54"/>
      <c r="AF70" s="55"/>
      <c r="AG70" s="43"/>
      <c r="AH70" s="47"/>
      <c r="AI70" s="30"/>
      <c r="AJ70" s="30"/>
      <c r="AK70" s="30"/>
      <c r="AL70" s="30"/>
      <c r="AM70" s="13"/>
      <c r="AN70" s="13"/>
      <c r="AO70" s="13"/>
      <c r="AP70" s="13"/>
      <c r="AQ70" s="13"/>
      <c r="AR70" s="14"/>
      <c r="AS70" s="15"/>
    </row>
    <row r="71" spans="1:45" s="17" customFormat="1" ht="30.95" hidden="1" customHeight="1" x14ac:dyDescent="0.2">
      <c r="A71" s="37"/>
      <c r="B71" s="38"/>
      <c r="C71" s="45"/>
      <c r="D71" s="31">
        <v>3691106</v>
      </c>
      <c r="E71" s="31">
        <v>4161758</v>
      </c>
      <c r="F71" s="268" t="str">
        <f>IF(D71="","",VLOOKUP(D71,契約台帳!$A$3:$K$4986,6,FALSE)&amp;VLOOKUP(D71,契約台帳!$A$3:$K$4986,7,FALSE)&amp;VLOOKUP(D71,契約台帳!$A$3:$K$4986,8,FALSE)&amp;VLOOKUP(D71,契約台帳!$A$3:$K$4986,9,FALSE)&amp;VLOOKUP(D71,契約台帳!$A$3:$K$4986,11,FALSE))</f>
        <v>3SNMCLBMSNEYK</v>
      </c>
      <c r="G71" s="269" t="str">
        <f>IF(D71="","",VLOOKUP(F71,製品マスタ!$G$5:$H$5002,2,FALSE))</f>
        <v>S</v>
      </c>
      <c r="H71" s="269" t="str">
        <f>IF(D71="","",VLOOKUP(F71,製品マスタ!$G$5:$K$5002,5,FALSE))</f>
        <v>MSNEYK</v>
      </c>
      <c r="I71" s="270" t="str">
        <f>IF(D71="","",VLOOKUP(F71,製品マスタ!$G$5:$L$5002,6,FALSE))</f>
        <v>ＭＳＮ　ＥＹＫ</v>
      </c>
      <c r="J71" s="210" t="s">
        <v>736</v>
      </c>
      <c r="K71" s="270">
        <f>IF(D71="","",VLOOKUP(D71,契約台帳!$A$3:$L$4986,12,FALSE))</f>
        <v>50</v>
      </c>
      <c r="L71" s="270" t="str">
        <f>IF(D71="","",INDEX(製品マスタ!$Q$5:$Q$5002,MATCH('S4'!F71&amp;'S4'!K71,製品マスタ!$AO$5:$AO$5002,0)))</f>
        <v>N-MAT</v>
      </c>
      <c r="M71" s="39">
        <v>1120</v>
      </c>
      <c r="N71" s="39">
        <v>4000</v>
      </c>
      <c r="O71" s="156">
        <v>2</v>
      </c>
      <c r="P71" s="47">
        <v>2</v>
      </c>
      <c r="Q71" s="213">
        <v>44574</v>
      </c>
      <c r="R71" s="271">
        <f ca="1">IF(D71="","",IF(OFFSET(D71,-1,0)&lt;&gt;"","",IF(OR(J71="リード付け",J71="巻足し",J71="巻返しリード付け"),M71,VLOOKUP(D71,契約台帳!$A$3:$N$4986,14,FALSE))))</f>
        <v>1120</v>
      </c>
      <c r="S71" s="272">
        <f ca="1">IF(D71="","",IF(OFFSET(D71,-1,0)&lt;&gt;"","",IF(OR(J71="リード付け",J71="巻足し",J71="巻返しリード付け"),M71,VLOOKUP(D71,契約台帳!$A$3:$O$4986,15,FALSE))))</f>
        <v>1120</v>
      </c>
      <c r="T71" s="273">
        <f ca="1">IF(D71="","",IF(J71="リード付け",N71,IF(J71="巻返しリード付け",N71,IF(J71="巻足し",N71*P71+OFFSET(N71,1,0)*OFFSET(P71,1,0),VLOOKUP(D71,契約台帳!$A$3:$P$4986,16,FALSE)))))</f>
        <v>8000</v>
      </c>
      <c r="U71" s="40">
        <v>1</v>
      </c>
      <c r="V71" s="274" t="str">
        <f ca="1">IF(D71="","",IF(OFFSET(D71,-2,0)=D71,"",VLOOKUP(D71,契約台帳!$A$3:$R$4986,18,FALSE)))</f>
        <v/>
      </c>
      <c r="W71" s="269" t="str">
        <f ca="1">IF(D71="","",IF(T71="","",IF(OR(J71="巻足し",J71="巻返しリード付け"),"",IF(J71="巻返し",VLOOKUP(F71&amp;K71&amp;M71,製品マスタ!$M$5:$AD$5002,18,FALSE),IF(OR(J71="リード付け",J71="巻返しリード付け"),"原反コア",IF(J71="スリット",VLOOKUP(F71&amp;K71&amp;R71,製品マスタ!$N$5:$AD$5002,17,FALSE),""))))))</f>
        <v/>
      </c>
      <c r="X71" s="269" t="str">
        <f ca="1">IF(D71="","",IF(T71="","",IF(J71="巻足し","",IF(J71="巻返し",VLOOKUP(F71&amp;K71&amp;M71,製品マスタ!$M$5:$AE$5002,19,FALSE),IF(OR(J71="リード付け",J71="巻返しリード付け"),"",IF(J71="スリット",VLOOKUP(F71&amp;K71&amp;R71,製品マスタ!$N$5:$AE$5002,18,FALSE),""))))))</f>
        <v/>
      </c>
      <c r="Y71" s="275">
        <f ca="1">IF(D71="","",IF(T71="","",VLOOKUP(D71,契約台帳!$A$3:$Q$4986,17,FALSE)))</f>
        <v>2</v>
      </c>
      <c r="Z71" s="269" t="str">
        <f ca="1">IF(D71="","",IF(T71="","",VLOOKUP(D71,契約台帳!$A$3:$E$4986,5,FALSE)))</f>
        <v>新タック化成㈱</v>
      </c>
      <c r="AA71" s="57"/>
      <c r="AB71" s="207" t="str">
        <f>IFERROR((VLOOKUP(F71&amp;K71&amp;M71,製品マスタ!$M$5:$AM$5002,27,FALSE)),"")</f>
        <v>原反ケース再利用</v>
      </c>
      <c r="AC71" s="33"/>
      <c r="AD71" s="189"/>
      <c r="AE71" s="54"/>
      <c r="AF71" s="55"/>
      <c r="AG71" s="43"/>
      <c r="AH71" s="47"/>
      <c r="AI71" s="30"/>
      <c r="AJ71" s="30"/>
      <c r="AK71" s="30"/>
      <c r="AL71" s="30"/>
      <c r="AM71" s="13"/>
      <c r="AN71" s="13"/>
      <c r="AO71" s="13"/>
      <c r="AP71" s="13"/>
      <c r="AQ71" s="13"/>
      <c r="AR71" s="14"/>
      <c r="AS71" s="15"/>
    </row>
    <row r="72" spans="1:45" s="17" customFormat="1" ht="30.95" hidden="1" customHeight="1" x14ac:dyDescent="0.2">
      <c r="A72" s="37"/>
      <c r="B72" s="38"/>
      <c r="C72" s="45"/>
      <c r="D72" s="31"/>
      <c r="E72" s="31"/>
      <c r="F72" s="268" t="str">
        <f>IF(D72="","",VLOOKUP(D72,契約台帳!$A$3:$K$4986,6,FALSE)&amp;VLOOKUP(D72,契約台帳!$A$3:$K$4986,7,FALSE)&amp;VLOOKUP(D72,契約台帳!$A$3:$K$4986,8,FALSE)&amp;VLOOKUP(D72,契約台帳!$A$3:$K$4986,9,FALSE)&amp;VLOOKUP(D72,契約台帳!$A$3:$K$4986,11,FALSE))</f>
        <v/>
      </c>
      <c r="G72" s="269" t="str">
        <f>IF(D72="","",VLOOKUP(F72,製品マスタ!$G$5:$H$5002,2,FALSE))</f>
        <v/>
      </c>
      <c r="H72" s="269" t="str">
        <f>IF(D72="","",VLOOKUP(F72,製品マスタ!$G$5:$K$5002,5,FALSE))</f>
        <v/>
      </c>
      <c r="I72" s="270" t="str">
        <f>IF(D72="","",VLOOKUP(F72,製品マスタ!$G$5:$L$5002,6,FALSE))</f>
        <v/>
      </c>
      <c r="J72" s="210"/>
      <c r="K72" s="270" t="str">
        <f>IF(D72="","",VLOOKUP(D72,契約台帳!$A$3:$L$4986,12,FALSE))</f>
        <v/>
      </c>
      <c r="L72" s="270" t="str">
        <f>IF(D72="","",INDEX(製品マスタ!$Q$5:$Q$5002,MATCH('S4'!F72&amp;'S4'!K72,製品マスタ!$AO$5:$AO$5002,0)))</f>
        <v/>
      </c>
      <c r="M72" s="39"/>
      <c r="N72" s="39"/>
      <c r="O72" s="156"/>
      <c r="P72" s="47"/>
      <c r="Q72" s="57"/>
      <c r="R72" s="271" t="str">
        <f ca="1">IF(D72="","",IF(OFFSET(D72,-1,0)&lt;&gt;"","",IF(OR(J72="リード付け",J72="巻足し",J72="巻返しリード付け"),M72,VLOOKUP(D72,契約台帳!$A$3:$N$4986,14,FALSE))))</f>
        <v/>
      </c>
      <c r="S72" s="272" t="str">
        <f ca="1">IF(D72="","",IF(OFFSET(D72,-1,0)&lt;&gt;"","",IF(OR(J72="リード付け",J72="巻足し",J72="巻返しリード付け"),M72,VLOOKUP(D72,契約台帳!$A$3:$O$4986,15,FALSE))))</f>
        <v/>
      </c>
      <c r="T72" s="273" t="str">
        <f ca="1">IF(D72="","",IF(J72="リード付け",N72,IF(J72="巻返しリード付け",N72,IF(J72="巻足し",N72*P72+OFFSET(N72,1,0)*OFFSET(P72,1,0),VLOOKUP(D72,契約台帳!$A$3:$P$4986,16,FALSE)))))</f>
        <v/>
      </c>
      <c r="U72" s="40"/>
      <c r="V72" s="274" t="str">
        <f ca="1">IF(D72="","",IF(OFFSET(D72,-2,0)=D72,"",VLOOKUP(D72,契約台帳!$A$3:$R$4986,18,FALSE)))</f>
        <v/>
      </c>
      <c r="W72" s="269" t="str">
        <f>IF(D72="","",IF(T72="","",IF(OR(J72="巻足し",J72="巻返しリード付け"),"",IF(J72="巻返し",VLOOKUP(F72&amp;K72&amp;M72,製品マスタ!$M$5:$AD$5002,18,FALSE),IF(OR(J72="リード付け",J72="巻返しリード付け"),"原反コア",IF(J72="スリット",VLOOKUP(F72&amp;K72&amp;R72,製品マスタ!$N$5:$AD$5002,17,FALSE),""))))))</f>
        <v/>
      </c>
      <c r="X72" s="269" t="str">
        <f>IF(D72="","",IF(T72="","",IF(J72="巻足し","",IF(J72="巻返し",VLOOKUP(F72&amp;K72&amp;M72,製品マスタ!$M$5:$AE$5002,19,FALSE),IF(OR(J72="リード付け",J72="巻返しリード付け"),"",IF(J72="スリット",VLOOKUP(F72&amp;K72&amp;R72,製品マスタ!$N$5:$AE$5002,18,FALSE),""))))))</f>
        <v/>
      </c>
      <c r="Y72" s="275" t="str">
        <f>IF(D72="","",IF(T72="","",VLOOKUP(D72,契約台帳!$A$3:$Q$4986,17,FALSE)))</f>
        <v/>
      </c>
      <c r="Z72" s="269" t="str">
        <f>IF(D72="","",IF(T72="","",VLOOKUP(D72,契約台帳!$A$3:$E$4986,5,FALSE)))</f>
        <v/>
      </c>
      <c r="AA72" s="57"/>
      <c r="AB72" s="207" t="str">
        <f>IFERROR((VLOOKUP(F72&amp;K72&amp;M72,製品マスタ!$M$5:$AM$5002,27,FALSE)),"")</f>
        <v/>
      </c>
      <c r="AC72" s="33"/>
      <c r="AD72" s="189"/>
      <c r="AE72" s="54"/>
      <c r="AF72" s="55"/>
      <c r="AG72" s="43"/>
      <c r="AH72" s="47"/>
      <c r="AI72" s="30"/>
      <c r="AJ72" s="30"/>
      <c r="AK72" s="30"/>
      <c r="AL72" s="30"/>
      <c r="AM72" s="13"/>
      <c r="AN72" s="13"/>
      <c r="AO72" s="13"/>
      <c r="AP72" s="13"/>
      <c r="AQ72" s="13"/>
      <c r="AR72" s="14"/>
      <c r="AS72" s="15"/>
    </row>
    <row r="73" spans="1:45" s="17" customFormat="1" ht="30.95" hidden="1" customHeight="1" x14ac:dyDescent="0.2">
      <c r="A73" s="37"/>
      <c r="B73" s="38"/>
      <c r="C73" s="45"/>
      <c r="D73" s="31">
        <v>3694126</v>
      </c>
      <c r="E73" s="31">
        <v>4161780</v>
      </c>
      <c r="F73" s="268" t="str">
        <f>IF(D73="","",VLOOKUP(D73,契約台帳!$A$3:$K$4986,6,FALSE)&amp;VLOOKUP(D73,契約台帳!$A$3:$K$4986,7,FALSE)&amp;VLOOKUP(D73,契約台帳!$A$3:$K$4986,8,FALSE)&amp;VLOOKUP(D73,契約台帳!$A$3:$K$4986,9,FALSE)&amp;VLOOKUP(D73,契約台帳!$A$3:$K$4986,11,FALSE))</f>
        <v>3SYMLBMSSMBF</v>
      </c>
      <c r="G73" s="269" t="str">
        <f>IF(D73="","",VLOOKUP(F73,製品マスタ!$G$5:$H$5002,2,FALSE))</f>
        <v>S</v>
      </c>
      <c r="H73" s="269" t="str">
        <f>IF(D73="","",VLOOKUP(F73,製品マスタ!$G$5:$K$5002,5,FALSE))</f>
        <v>MSSMBF</v>
      </c>
      <c r="I73" s="270" t="str">
        <f>IF(D73="","",VLOOKUP(F73,製品マスタ!$G$5:$L$5002,6,FALSE))</f>
        <v>ＭＥＴＡＬＵＭＹ　ＳＩＬＶＥＲ　Ｓ－ＭＡＴＴＥ　Ｓ２８ＭＭ　Ｂ</v>
      </c>
      <c r="J73" s="210" t="s">
        <v>736</v>
      </c>
      <c r="K73" s="270">
        <f>IF(D73="","",VLOOKUP(D73,契約台帳!$A$3:$L$4986,12,FALSE))</f>
        <v>50</v>
      </c>
      <c r="L73" s="270" t="e">
        <f>IF(D73="","",INDEX(製品マスタ!$Q$5:$Q$5002,MATCH('S4'!F73&amp;'S4'!K73,製品マスタ!$AO$5:$AO$5002,0)))</f>
        <v>#N/A</v>
      </c>
      <c r="M73" s="39">
        <v>1120</v>
      </c>
      <c r="N73" s="39">
        <v>4000</v>
      </c>
      <c r="O73" s="156">
        <v>4</v>
      </c>
      <c r="P73" s="47">
        <v>2</v>
      </c>
      <c r="Q73" s="213">
        <v>44573</v>
      </c>
      <c r="R73" s="271">
        <f ca="1">IF(D73="","",IF(OFFSET(D73,-1,0)&lt;&gt;"","",IF(OR(J73="リード付け",J73="巻足し",J73="巻返しリード付け"),M73,VLOOKUP(D73,契約台帳!$A$3:$N$4986,14,FALSE))))</f>
        <v>1120</v>
      </c>
      <c r="S73" s="272">
        <f ca="1">IF(D73="","",IF(OFFSET(D73,-1,0)&lt;&gt;"","",IF(OR(J73="リード付け",J73="巻足し",J73="巻返しリード付け"),M73,VLOOKUP(D73,契約台帳!$A$3:$O$4986,15,FALSE))))</f>
        <v>1120</v>
      </c>
      <c r="T73" s="273">
        <f ca="1">IF(D73="","",IF(J73="リード付け",N73,IF(J73="巻返しリード付け",N73,IF(J73="巻足し",N73*P73+OFFSET(N73,1,0)*OFFSET(P73,1,0),VLOOKUP(D73,契約台帳!$A$3:$P$4986,16,FALSE)))))</f>
        <v>8000</v>
      </c>
      <c r="U73" s="40">
        <v>2</v>
      </c>
      <c r="V73" s="274">
        <f ca="1">IF(D73="","",IF(OFFSET(D73,-2,0)=D73,"",VLOOKUP(D73,契約台帳!$A$3:$R$4986,18,FALSE)))</f>
        <v>4</v>
      </c>
      <c r="W73" s="269" t="str">
        <f ca="1">IF(D73="","",IF(T73="","",IF(OR(J73="巻足し",J73="巻返しリード付け"),"",IF(J73="巻返し",VLOOKUP(F73&amp;K73&amp;M73,製品マスタ!$M$5:$AD$5002,18,FALSE),IF(OR(J73="リード付け",J73="巻返しリード付け"),"原反コア",IF(J73="スリット",VLOOKUP(F73&amp;K73&amp;R73,製品マスタ!$N$5:$AD$5002,17,FALSE),""))))))</f>
        <v/>
      </c>
      <c r="X73" s="269" t="str">
        <f ca="1">IF(D73="","",IF(T73="","",IF(J73="巻足し","",IF(J73="巻返し",VLOOKUP(F73&amp;K73&amp;M73,製品マスタ!$M$5:$AE$5002,19,FALSE),IF(OR(J73="リード付け",J73="巻返しリード付け"),"",IF(J73="スリット",VLOOKUP(F73&amp;K73&amp;R73,製品マスタ!$N$5:$AE$5002,18,FALSE),""))))))</f>
        <v/>
      </c>
      <c r="Y73" s="275">
        <f ca="1">IF(D73="","",IF(T73="","",VLOOKUP(D73,契約台帳!$A$3:$Q$4986,17,FALSE)))</f>
        <v>2</v>
      </c>
      <c r="Z73" s="269" t="str">
        <f ca="1">IF(D73="","",IF(T73="","",VLOOKUP(D73,契約台帳!$A$3:$E$4986,5,FALSE)))</f>
        <v>リンテック㈱</v>
      </c>
      <c r="AA73" s="57"/>
      <c r="AB73" s="207" t="str">
        <f>IFERROR((VLOOKUP(F73&amp;K73&amp;M73,製品マスタ!$M$5:$AM$5002,27,FALSE)),"")</f>
        <v/>
      </c>
      <c r="AC73" s="33"/>
      <c r="AD73" s="189"/>
      <c r="AE73" s="54"/>
      <c r="AF73" s="55"/>
      <c r="AG73" s="43"/>
      <c r="AH73" s="47"/>
      <c r="AI73" s="30"/>
      <c r="AJ73" s="30"/>
      <c r="AK73" s="30"/>
      <c r="AL73" s="30"/>
      <c r="AM73" s="13"/>
      <c r="AN73" s="13"/>
      <c r="AO73" s="13"/>
      <c r="AP73" s="13"/>
      <c r="AQ73" s="13"/>
      <c r="AR73" s="14"/>
      <c r="AS73" s="15"/>
    </row>
    <row r="74" spans="1:45" s="17" customFormat="1" ht="30.95" hidden="1" customHeight="1" x14ac:dyDescent="0.2">
      <c r="A74" s="37"/>
      <c r="B74" s="38"/>
      <c r="C74" s="45"/>
      <c r="D74" s="31"/>
      <c r="E74" s="31"/>
      <c r="F74" s="268" t="str">
        <f>IF(D74="","",VLOOKUP(D74,契約台帳!$A$3:$K$4986,6,FALSE)&amp;VLOOKUP(D74,契約台帳!$A$3:$K$4986,7,FALSE)&amp;VLOOKUP(D74,契約台帳!$A$3:$K$4986,8,FALSE)&amp;VLOOKUP(D74,契約台帳!$A$3:$K$4986,9,FALSE)&amp;VLOOKUP(D74,契約台帳!$A$3:$K$4986,11,FALSE))</f>
        <v/>
      </c>
      <c r="G74" s="269" t="str">
        <f>IF(D74="","",VLOOKUP(F74,製品マスタ!$G$5:$H$5002,2,FALSE))</f>
        <v/>
      </c>
      <c r="H74" s="269" t="str">
        <f>IF(D74="","",VLOOKUP(F74,製品マスタ!$G$5:$K$5002,5,FALSE))</f>
        <v/>
      </c>
      <c r="I74" s="270" t="str">
        <f>IF(D74="","",VLOOKUP(F74,製品マスタ!$G$5:$L$5002,6,FALSE))</f>
        <v/>
      </c>
      <c r="J74" s="210"/>
      <c r="K74" s="270" t="str">
        <f>IF(D74="","",VLOOKUP(D74,契約台帳!$A$3:$L$4986,12,FALSE))</f>
        <v/>
      </c>
      <c r="L74" s="270" t="str">
        <f>IF(D74="","",INDEX(製品マスタ!$Q$5:$Q$5002,MATCH('S4'!F74&amp;'S4'!K74,製品マスタ!$AO$5:$AO$5002,0)))</f>
        <v/>
      </c>
      <c r="M74" s="39"/>
      <c r="N74" s="39"/>
      <c r="O74" s="156"/>
      <c r="P74" s="47"/>
      <c r="Q74" s="57"/>
      <c r="R74" s="271" t="str">
        <f ca="1">IF(D74="","",IF(OFFSET(D74,-1,0)&lt;&gt;"","",IF(OR(J74="リード付け",J74="巻足し",J74="巻返しリード付け"),M74,VLOOKUP(D74,契約台帳!$A$3:$N$4986,14,FALSE))))</f>
        <v/>
      </c>
      <c r="S74" s="272" t="str">
        <f ca="1">IF(D74="","",IF(OFFSET(D74,-1,0)&lt;&gt;"","",IF(OR(J74="リード付け",J74="巻足し",J74="巻返しリード付け"),M74,VLOOKUP(D74,契約台帳!$A$3:$O$4986,15,FALSE))))</f>
        <v/>
      </c>
      <c r="T74" s="273" t="str">
        <f ca="1">IF(D74="","",IF(J74="リード付け",N74,IF(J74="巻返しリード付け",N74,IF(J74="巻足し",N74*P74+OFFSET(N74,1,0)*OFFSET(P74,1,0),VLOOKUP(D74,契約台帳!$A$3:$P$4986,16,FALSE)))))</f>
        <v/>
      </c>
      <c r="U74" s="40"/>
      <c r="V74" s="274" t="str">
        <f ca="1">IF(D74="","",IF(OFFSET(D74,-2,0)=D74,"",VLOOKUP(D74,契約台帳!$A$3:$R$4986,18,FALSE)))</f>
        <v/>
      </c>
      <c r="W74" s="269" t="str">
        <f>IF(D74="","",IF(T74="","",IF(OR(J74="巻足し",J74="巻返しリード付け"),"",IF(J74="巻返し",VLOOKUP(F74&amp;K74&amp;M74,製品マスタ!$M$5:$AD$5002,18,FALSE),IF(OR(J74="リード付け",J74="巻返しリード付け"),"原反コア",IF(J74="スリット",VLOOKUP(F74&amp;K74&amp;R74,製品マスタ!$N$5:$AD$5002,17,FALSE),""))))))</f>
        <v/>
      </c>
      <c r="X74" s="269" t="str">
        <f>IF(D74="","",IF(T74="","",IF(J74="巻足し","",IF(J74="巻返し",VLOOKUP(F74&amp;K74&amp;M74,製品マスタ!$M$5:$AE$5002,19,FALSE),IF(OR(J74="リード付け",J74="巻返しリード付け"),"",IF(J74="スリット",VLOOKUP(F74&amp;K74&amp;R74,製品マスタ!$N$5:$AE$5002,18,FALSE),""))))))</f>
        <v/>
      </c>
      <c r="Y74" s="275" t="str">
        <f>IF(D74="","",IF(T74="","",VLOOKUP(D74,契約台帳!$A$3:$Q$4986,17,FALSE)))</f>
        <v/>
      </c>
      <c r="Z74" s="269" t="str">
        <f>IF(D74="","",IF(T74="","",VLOOKUP(D74,契約台帳!$A$3:$E$4986,5,FALSE)))</f>
        <v/>
      </c>
      <c r="AA74" s="57"/>
      <c r="AB74" s="207" t="str">
        <f>IFERROR((VLOOKUP(F74&amp;K74&amp;M74,製品マスタ!$M$5:$AM$5002,27,FALSE)),"")</f>
        <v/>
      </c>
      <c r="AC74" s="33"/>
      <c r="AD74" s="189"/>
      <c r="AE74" s="54"/>
      <c r="AF74" s="55"/>
      <c r="AG74" s="43"/>
      <c r="AH74" s="47"/>
      <c r="AI74" s="30"/>
      <c r="AJ74" s="30"/>
      <c r="AK74" s="30"/>
      <c r="AL74" s="30"/>
      <c r="AM74" s="13"/>
      <c r="AN74" s="13"/>
      <c r="AO74" s="13"/>
      <c r="AP74" s="13"/>
      <c r="AQ74" s="13"/>
      <c r="AR74" s="14"/>
      <c r="AS74" s="15"/>
    </row>
    <row r="75" spans="1:45" s="17" customFormat="1" ht="30.95" hidden="1" customHeight="1" x14ac:dyDescent="0.2">
      <c r="A75" s="37"/>
      <c r="B75" s="38"/>
      <c r="C75" s="45"/>
      <c r="D75" s="31">
        <v>3694125</v>
      </c>
      <c r="E75" s="31">
        <v>4161781</v>
      </c>
      <c r="F75" s="268" t="str">
        <f>IF(D75="","",VLOOKUP(D75,契約台帳!$A$3:$K$4986,6,FALSE)&amp;VLOOKUP(D75,契約台帳!$A$3:$K$4986,7,FALSE)&amp;VLOOKUP(D75,契約台帳!$A$3:$K$4986,8,FALSE)&amp;VLOOKUP(D75,契約台帳!$A$3:$K$4986,9,FALSE)&amp;VLOOKUP(D75,契約台帳!$A$3:$K$4986,11,FALSE))</f>
        <v>3SYMLBMSSMBZF</v>
      </c>
      <c r="G75" s="269" t="str">
        <f>IF(D75="","",VLOOKUP(F75,製品マスタ!$G$5:$H$5002,2,FALSE))</f>
        <v>S</v>
      </c>
      <c r="H75" s="269" t="str">
        <f>IF(D75="","",VLOOKUP(F75,製品マスタ!$G$5:$K$5002,5,FALSE))</f>
        <v>MSSMBZF</v>
      </c>
      <c r="I75" s="270" t="str">
        <f>IF(D75="","",VLOOKUP(F75,製品マスタ!$G$5:$L$5002,6,FALSE))</f>
        <v>ＭＥＴＡＬＵＭＹ　ＳＩＬＶＥＲ　Ｓ－ＭＡＴＴＥ　Ｂ</v>
      </c>
      <c r="J75" s="210" t="s">
        <v>736</v>
      </c>
      <c r="K75" s="270">
        <f>IF(D75="","",VLOOKUP(D75,契約台帳!$A$3:$L$4986,12,FALSE))</f>
        <v>50</v>
      </c>
      <c r="L75" s="270" t="str">
        <f>IF(D75="","",INDEX(製品マスタ!$Q$5:$Q$5002,MATCH('S4'!F75&amp;'S4'!K75,製品マスタ!$AO$5:$AO$5002,0)))</f>
        <v>LI-MAT</v>
      </c>
      <c r="M75" s="39">
        <v>1120</v>
      </c>
      <c r="N75" s="39">
        <v>4000</v>
      </c>
      <c r="O75" s="156">
        <v>2</v>
      </c>
      <c r="P75" s="47">
        <v>2</v>
      </c>
      <c r="Q75" s="213">
        <v>44573</v>
      </c>
      <c r="R75" s="271">
        <f ca="1">IF(D75="","",IF(OFFSET(D75,-1,0)&lt;&gt;"","",IF(OR(J75="リード付け",J75="巻足し",J75="巻返しリード付け"),M75,VLOOKUP(D75,契約台帳!$A$3:$N$4986,14,FALSE))))</f>
        <v>1120</v>
      </c>
      <c r="S75" s="272">
        <f ca="1">IF(D75="","",IF(OFFSET(D75,-1,0)&lt;&gt;"","",IF(OR(J75="リード付け",J75="巻足し",J75="巻返しリード付け"),M75,VLOOKUP(D75,契約台帳!$A$3:$O$4986,15,FALSE))))</f>
        <v>1120</v>
      </c>
      <c r="T75" s="273">
        <f ca="1">IF(D75="","",IF(J75="リード付け",N75,IF(J75="巻返しリード付け",N75,IF(J75="巻足し",N75*P75+OFFSET(N75,1,0)*OFFSET(P75,1,0),VLOOKUP(D75,契約台帳!$A$3:$P$4986,16,FALSE)))))</f>
        <v>8000</v>
      </c>
      <c r="U75" s="40">
        <v>1</v>
      </c>
      <c r="V75" s="274">
        <f ca="1">IF(D75="","",IF(OFFSET(D75,-2,0)=D75,"",VLOOKUP(D75,契約台帳!$A$3:$R$4986,18,FALSE)))</f>
        <v>2</v>
      </c>
      <c r="W75" s="269" t="str">
        <f ca="1">IF(D75="","",IF(T75="","",IF(OR(J75="巻足し",J75="巻返しリード付け"),"",IF(J75="巻返し",VLOOKUP(F75&amp;K75&amp;M75,製品マスタ!$M$5:$AD$5002,18,FALSE),IF(OR(J75="リード付け",J75="巻返しリード付け"),"原反コア",IF(J75="スリット",VLOOKUP(F75&amp;K75&amp;R75,製品マスタ!$N$5:$AD$5002,17,FALSE),""))))))</f>
        <v/>
      </c>
      <c r="X75" s="269" t="str">
        <f ca="1">IF(D75="","",IF(T75="","",IF(J75="巻足し","",IF(J75="巻返し",VLOOKUP(F75&amp;K75&amp;M75,製品マスタ!$M$5:$AE$5002,19,FALSE),IF(OR(J75="リード付け",J75="巻返しリード付け"),"",IF(J75="スリット",VLOOKUP(F75&amp;K75&amp;R75,製品マスタ!$N$5:$AE$5002,18,FALSE),""))))))</f>
        <v/>
      </c>
      <c r="Y75" s="275">
        <f ca="1">IF(D75="","",IF(T75="","",VLOOKUP(D75,契約台帳!$A$3:$Q$4986,17,FALSE)))</f>
        <v>2</v>
      </c>
      <c r="Z75" s="269" t="str">
        <f ca="1">IF(D75="","",IF(T75="","",VLOOKUP(D75,契約台帳!$A$3:$E$4986,5,FALSE)))</f>
        <v>リンテック㈱</v>
      </c>
      <c r="AA75" s="57"/>
      <c r="AB75" s="207">
        <f>IFERROR((VLOOKUP(F75&amp;K75&amp;M75,製品マスタ!$M$5:$AM$5002,27,FALSE)),"")</f>
        <v>0</v>
      </c>
      <c r="AC75" s="33"/>
      <c r="AD75" s="189"/>
      <c r="AE75" s="54"/>
      <c r="AF75" s="55"/>
      <c r="AG75" s="43"/>
      <c r="AH75" s="47"/>
      <c r="AI75" s="30"/>
      <c r="AJ75" s="30"/>
      <c r="AK75" s="30"/>
      <c r="AL75" s="30"/>
      <c r="AM75" s="13"/>
      <c r="AN75" s="13"/>
      <c r="AO75" s="13"/>
      <c r="AP75" s="13"/>
      <c r="AQ75" s="13"/>
      <c r="AR75" s="14"/>
      <c r="AS75" s="15"/>
    </row>
    <row r="76" spans="1:45" s="17" customFormat="1" ht="30.95" hidden="1" customHeight="1" x14ac:dyDescent="0.2">
      <c r="A76" s="37"/>
      <c r="B76" s="38"/>
      <c r="C76" s="45"/>
      <c r="D76" s="31"/>
      <c r="E76" s="31"/>
      <c r="F76" s="268" t="str">
        <f>IF(D76="","",VLOOKUP(D76,契約台帳!$A$3:$K$4986,6,FALSE)&amp;VLOOKUP(D76,契約台帳!$A$3:$K$4986,7,FALSE)&amp;VLOOKUP(D76,契約台帳!$A$3:$K$4986,8,FALSE)&amp;VLOOKUP(D76,契約台帳!$A$3:$K$4986,9,FALSE)&amp;VLOOKUP(D76,契約台帳!$A$3:$K$4986,11,FALSE))</f>
        <v/>
      </c>
      <c r="G76" s="269" t="str">
        <f>IF(D76="","",VLOOKUP(F76,製品マスタ!$G$5:$H$5002,2,FALSE))</f>
        <v/>
      </c>
      <c r="H76" s="269" t="str">
        <f>IF(D76="","",VLOOKUP(F76,製品マスタ!$G$5:$K$5002,5,FALSE))</f>
        <v/>
      </c>
      <c r="I76" s="270" t="str">
        <f>IF(D76="","",VLOOKUP(F76,製品マスタ!$G$5:$L$5002,6,FALSE))</f>
        <v/>
      </c>
      <c r="J76" s="210"/>
      <c r="K76" s="270" t="str">
        <f>IF(D76="","",VLOOKUP(D76,契約台帳!$A$3:$L$4986,12,FALSE))</f>
        <v/>
      </c>
      <c r="L76" s="270" t="str">
        <f>IF(D76="","",INDEX(製品マスタ!$Q$5:$Q$5002,MATCH('S4'!F76&amp;'S4'!K76,製品マスタ!$AO$5:$AO$5002,0)))</f>
        <v/>
      </c>
      <c r="M76" s="39"/>
      <c r="N76" s="39"/>
      <c r="O76" s="156"/>
      <c r="P76" s="47"/>
      <c r="Q76" s="57"/>
      <c r="R76" s="271" t="str">
        <f ca="1">IF(D76="","",IF(OFFSET(D76,-1,0)&lt;&gt;"","",IF(OR(J76="リード付け",J76="巻足し",J76="巻返しリード付け"),M76,VLOOKUP(D76,契約台帳!$A$3:$N$4986,14,FALSE))))</f>
        <v/>
      </c>
      <c r="S76" s="272" t="str">
        <f ca="1">IF(D76="","",IF(OFFSET(D76,-1,0)&lt;&gt;"","",IF(OR(J76="リード付け",J76="巻足し",J76="巻返しリード付け"),M76,VLOOKUP(D76,契約台帳!$A$3:$O$4986,15,FALSE))))</f>
        <v/>
      </c>
      <c r="T76" s="273" t="str">
        <f ca="1">IF(D76="","",IF(J76="リード付け",N76,IF(J76="巻返しリード付け",N76,IF(J76="巻足し",N76*P76+OFFSET(N76,1,0)*OFFSET(P76,1,0),VLOOKUP(D76,契約台帳!$A$3:$P$4986,16,FALSE)))))</f>
        <v/>
      </c>
      <c r="U76" s="40"/>
      <c r="V76" s="274" t="str">
        <f ca="1">IF(D76="","",IF(OFFSET(D76,-2,0)=D76,"",VLOOKUP(D76,契約台帳!$A$3:$R$4986,18,FALSE)))</f>
        <v/>
      </c>
      <c r="W76" s="269" t="str">
        <f>IF(D76="","",IF(T76="","",IF(OR(J76="巻足し",J76="巻返しリード付け"),"",IF(J76="巻返し",VLOOKUP(F76&amp;K76&amp;M76,製品マスタ!$M$5:$AD$5002,18,FALSE),IF(OR(J76="リード付け",J76="巻返しリード付け"),"原反コア",IF(J76="スリット",VLOOKUP(F76&amp;K76&amp;R76,製品マスタ!$N$5:$AD$5002,17,FALSE),""))))))</f>
        <v/>
      </c>
      <c r="X76" s="269" t="str">
        <f>IF(D76="","",IF(T76="","",IF(J76="巻足し","",IF(J76="巻返し",VLOOKUP(F76&amp;K76&amp;M76,製品マスタ!$M$5:$AE$5002,19,FALSE),IF(OR(J76="リード付け",J76="巻返しリード付け"),"",IF(J76="スリット",VLOOKUP(F76&amp;K76&amp;R76,製品マスタ!$N$5:$AE$5002,18,FALSE),""))))))</f>
        <v/>
      </c>
      <c r="Y76" s="275" t="str">
        <f>IF(D76="","",IF(T76="","",VLOOKUP(D76,契約台帳!$A$3:$Q$4986,17,FALSE)))</f>
        <v/>
      </c>
      <c r="Z76" s="269" t="str">
        <f>IF(D76="","",IF(T76="","",VLOOKUP(D76,契約台帳!$A$3:$E$4986,5,FALSE)))</f>
        <v/>
      </c>
      <c r="AA76" s="57"/>
      <c r="AB76" s="207" t="str">
        <f>IFERROR((VLOOKUP(F76&amp;K76&amp;M76,製品マスタ!$M$5:$AM$5002,27,FALSE)),"")</f>
        <v/>
      </c>
      <c r="AC76" s="33"/>
      <c r="AD76" s="189"/>
      <c r="AE76" s="54"/>
      <c r="AF76" s="55"/>
      <c r="AG76" s="43"/>
      <c r="AH76" s="47"/>
      <c r="AI76" s="30"/>
      <c r="AJ76" s="30"/>
      <c r="AK76" s="30"/>
      <c r="AL76" s="30"/>
      <c r="AM76" s="13"/>
      <c r="AN76" s="13"/>
      <c r="AO76" s="13"/>
      <c r="AP76" s="13"/>
      <c r="AQ76" s="13"/>
      <c r="AR76" s="14"/>
      <c r="AS76" s="15"/>
    </row>
    <row r="77" spans="1:45" s="17" customFormat="1" ht="30.95" hidden="1" customHeight="1" x14ac:dyDescent="0.2">
      <c r="A77" s="37"/>
      <c r="B77" s="38"/>
      <c r="C77" s="45"/>
      <c r="D77" s="31">
        <v>3694104</v>
      </c>
      <c r="E77" s="31">
        <v>4161769</v>
      </c>
      <c r="F77" s="268" t="str">
        <f>IF(D77="","",VLOOKUP(D77,契約台帳!$A$3:$K$4986,6,FALSE)&amp;VLOOKUP(D77,契約台帳!$A$3:$K$4986,7,FALSE)&amp;VLOOKUP(D77,契約台帳!$A$3:$K$4986,8,FALSE)&amp;VLOOKUP(D77,契約台帳!$A$3:$K$4986,9,FALSE)&amp;VLOOKUP(D77,契約台帳!$A$3:$K$4986,11,FALSE))</f>
        <v>3SNMLBMNGKKBF</v>
      </c>
      <c r="G77" s="269" t="str">
        <f>IF(D77="","",VLOOKUP(F77,製品マスタ!$G$5:$H$5002,2,FALSE))</f>
        <v>S</v>
      </c>
      <c r="H77" s="269" t="str">
        <f>IF(D77="","",VLOOKUP(F77,製品マスタ!$G$5:$K$5002,5,FALSE))</f>
        <v>MNGKKBF</v>
      </c>
      <c r="I77" s="270" t="str">
        <f>IF(D77="","",VLOOKUP(F77,製品マスタ!$G$5:$L$5002,6,FALSE))</f>
        <v>メタルミー　ネーマー銀消改　Ｂ</v>
      </c>
      <c r="J77" s="210" t="s">
        <v>736</v>
      </c>
      <c r="K77" s="270">
        <f>IF(D77="","",VLOOKUP(D77,契約台帳!$A$3:$L$4986,12,FALSE))</f>
        <v>50</v>
      </c>
      <c r="L77" s="270" t="str">
        <f>IF(D77="","",INDEX(製品マスタ!$Q$5:$Q$5002,MATCH('S4'!F77&amp;'S4'!K77,製品マスタ!$AO$5:$AO$5002,0)))</f>
        <v>S99-MAT</v>
      </c>
      <c r="M77" s="39">
        <v>1120</v>
      </c>
      <c r="N77" s="39">
        <v>4000</v>
      </c>
      <c r="O77" s="156">
        <v>3</v>
      </c>
      <c r="P77" s="47">
        <v>3</v>
      </c>
      <c r="Q77" s="213">
        <v>44573</v>
      </c>
      <c r="R77" s="271">
        <f ca="1">IF(D77="","",IF(OFFSET(D77,-1,0)&lt;&gt;"","",IF(OR(J77="リード付け",J77="巻足し",J77="巻返しリード付け"),M77,VLOOKUP(D77,契約台帳!$A$3:$N$4986,14,FALSE))))</f>
        <v>1120</v>
      </c>
      <c r="S77" s="272">
        <f ca="1">IF(D77="","",IF(OFFSET(D77,-1,0)&lt;&gt;"","",IF(OR(J77="リード付け",J77="巻足し",J77="巻返しリード付け"),M77,VLOOKUP(D77,契約台帳!$A$3:$O$4986,15,FALSE))))</f>
        <v>1120</v>
      </c>
      <c r="T77" s="273">
        <f ca="1">IF(D77="","",IF(J77="リード付け",N77,IF(J77="巻返しリード付け",N77,IF(J77="巻足し",N77*P77+OFFSET(N77,1,0)*OFFSET(P77,1,0),VLOOKUP(D77,契約台帳!$A$3:$P$4986,16,FALSE)))))</f>
        <v>12000</v>
      </c>
      <c r="U77" s="40">
        <v>1</v>
      </c>
      <c r="V77" s="274">
        <f ca="1">IF(D77="","",IF(OFFSET(D77,-2,0)=D77,"",VLOOKUP(D77,契約台帳!$A$3:$R$4986,18,FALSE)))</f>
        <v>24</v>
      </c>
      <c r="W77" s="269" t="str">
        <f ca="1">IF(D77="","",IF(T77="","",IF(OR(J77="巻足し",J77="巻返しリード付け"),"",IF(J77="巻返し",VLOOKUP(F77&amp;K77&amp;M77,製品マスタ!$M$5:$AD$5002,18,FALSE),IF(OR(J77="リード付け",J77="巻返しリード付け"),"原反コア",IF(J77="スリット",VLOOKUP(F77&amp;K77&amp;R77,製品マスタ!$N$5:$AD$5002,17,FALSE),""))))))</f>
        <v/>
      </c>
      <c r="X77" s="269" t="str">
        <f ca="1">IF(D77="","",IF(T77="","",IF(J77="巻足し","",IF(J77="巻返し",VLOOKUP(F77&amp;K77&amp;M77,製品マスタ!$M$5:$AE$5002,19,FALSE),IF(OR(J77="リード付け",J77="巻返しリード付け"),"",IF(J77="スリット",VLOOKUP(F77&amp;K77&amp;R77,製品マスタ!$N$5:$AE$5002,18,FALSE),""))))))</f>
        <v/>
      </c>
      <c r="Y77" s="275">
        <f ca="1">IF(D77="","",IF(T77="","",VLOOKUP(D77,契約台帳!$A$3:$Q$4986,17,FALSE)))</f>
        <v>2</v>
      </c>
      <c r="Z77" s="269" t="str">
        <f ca="1">IF(D77="","",IF(T77="","",VLOOKUP(D77,契約台帳!$A$3:$E$4986,5,FALSE)))</f>
        <v>リンテック㈱</v>
      </c>
      <c r="AA77" s="57"/>
      <c r="AB77" s="207">
        <f>IFERROR((VLOOKUP(F77&amp;K77&amp;M77,製品マスタ!$M$5:$AM$5002,27,FALSE)),"")</f>
        <v>0</v>
      </c>
      <c r="AC77" s="33"/>
      <c r="AD77" s="189"/>
      <c r="AE77" s="54"/>
      <c r="AF77" s="55"/>
      <c r="AG77" s="43"/>
      <c r="AH77" s="47"/>
      <c r="AI77" s="30"/>
      <c r="AJ77" s="30"/>
      <c r="AK77" s="30"/>
      <c r="AL77" s="30"/>
      <c r="AM77" s="13"/>
      <c r="AN77" s="13"/>
      <c r="AO77" s="13"/>
      <c r="AP77" s="13"/>
      <c r="AQ77" s="13"/>
      <c r="AR77" s="14"/>
      <c r="AS77" s="15"/>
    </row>
    <row r="78" spans="1:45" s="17" customFormat="1" ht="30.95" hidden="1" customHeight="1" x14ac:dyDescent="0.2">
      <c r="A78" s="37"/>
      <c r="B78" s="38"/>
      <c r="C78" s="45"/>
      <c r="D78" s="31"/>
      <c r="E78" s="31"/>
      <c r="F78" s="268" t="str">
        <f>IF(D78="","",VLOOKUP(D78,契約台帳!$A$3:$K$4986,6,FALSE)&amp;VLOOKUP(D78,契約台帳!$A$3:$K$4986,7,FALSE)&amp;VLOOKUP(D78,契約台帳!$A$3:$K$4986,8,FALSE)&amp;VLOOKUP(D78,契約台帳!$A$3:$K$4986,9,FALSE)&amp;VLOOKUP(D78,契約台帳!$A$3:$K$4986,11,FALSE))</f>
        <v/>
      </c>
      <c r="G78" s="269" t="str">
        <f>IF(D78="","",VLOOKUP(F78,製品マスタ!$G$5:$H$5002,2,FALSE))</f>
        <v/>
      </c>
      <c r="H78" s="269" t="str">
        <f>IF(D78="","",VLOOKUP(F78,製品マスタ!$G$5:$K$5002,5,FALSE))</f>
        <v/>
      </c>
      <c r="I78" s="270" t="str">
        <f>IF(D78="","",VLOOKUP(F78,製品マスタ!$G$5:$L$5002,6,FALSE))</f>
        <v/>
      </c>
      <c r="J78" s="210"/>
      <c r="K78" s="270" t="str">
        <f>IF(D78="","",VLOOKUP(D78,契約台帳!$A$3:$L$4986,12,FALSE))</f>
        <v/>
      </c>
      <c r="L78" s="270" t="str">
        <f>IF(D78="","",INDEX(製品マスタ!$Q$5:$Q$5002,MATCH('S4'!F78&amp;'S4'!K78,製品マスタ!$AO$5:$AO$5002,0)))</f>
        <v/>
      </c>
      <c r="M78" s="39"/>
      <c r="N78" s="39"/>
      <c r="O78" s="156"/>
      <c r="P78" s="47"/>
      <c r="Q78" s="57"/>
      <c r="R78" s="271" t="str">
        <f ca="1">IF(D78="","",IF(OFFSET(D78,-1,0)&lt;&gt;"","",IF(OR(J78="リード付け",J78="巻足し",J78="巻返しリード付け"),M78,VLOOKUP(D78,契約台帳!$A$3:$N$4986,14,FALSE))))</f>
        <v/>
      </c>
      <c r="S78" s="272" t="str">
        <f ca="1">IF(D78="","",IF(OFFSET(D78,-1,0)&lt;&gt;"","",IF(OR(J78="リード付け",J78="巻足し",J78="巻返しリード付け"),M78,VLOOKUP(D78,契約台帳!$A$3:$O$4986,15,FALSE))))</f>
        <v/>
      </c>
      <c r="T78" s="273" t="str">
        <f ca="1">IF(D78="","",IF(J78="リード付け",N78,IF(J78="巻返しリード付け",N78,IF(J78="巻足し",N78*P78+OFFSET(N78,1,0)*OFFSET(P78,1,0),VLOOKUP(D78,契約台帳!$A$3:$P$4986,16,FALSE)))))</f>
        <v/>
      </c>
      <c r="U78" s="40"/>
      <c r="V78" s="274" t="str">
        <f ca="1">IF(D78="","",IF(OFFSET(D78,-2,0)=D78,"",VLOOKUP(D78,契約台帳!$A$3:$R$4986,18,FALSE)))</f>
        <v/>
      </c>
      <c r="W78" s="269" t="str">
        <f>IF(D78="","",IF(T78="","",IF(OR(J78="巻足し",J78="巻返しリード付け"),"",IF(J78="巻返し",VLOOKUP(F78&amp;K78&amp;M78,製品マスタ!$M$5:$AD$5002,18,FALSE),IF(OR(J78="リード付け",J78="巻返しリード付け"),"原反コア",IF(J78="スリット",VLOOKUP(F78&amp;K78&amp;R78,製品マスタ!$N$5:$AD$5002,17,FALSE),""))))))</f>
        <v/>
      </c>
      <c r="X78" s="269" t="str">
        <f>IF(D78="","",IF(T78="","",IF(J78="巻足し","",IF(J78="巻返し",VLOOKUP(F78&amp;K78&amp;M78,製品マスタ!$M$5:$AE$5002,19,FALSE),IF(OR(J78="リード付け",J78="巻返しリード付け"),"",IF(J78="スリット",VLOOKUP(F78&amp;K78&amp;R78,製品マスタ!$N$5:$AE$5002,18,FALSE),""))))))</f>
        <v/>
      </c>
      <c r="Y78" s="275" t="str">
        <f>IF(D78="","",IF(T78="","",VLOOKUP(D78,契約台帳!$A$3:$Q$4986,17,FALSE)))</f>
        <v/>
      </c>
      <c r="Z78" s="269" t="str">
        <f>IF(D78="","",IF(T78="","",VLOOKUP(D78,契約台帳!$A$3:$E$4986,5,FALSE)))</f>
        <v/>
      </c>
      <c r="AA78" s="57"/>
      <c r="AB78" s="207" t="str">
        <f>IFERROR((VLOOKUP(F78&amp;K78&amp;M78,製品マスタ!$M$5:$AM$5002,27,FALSE)),"")</f>
        <v/>
      </c>
      <c r="AC78" s="33"/>
      <c r="AD78" s="189"/>
      <c r="AE78" s="54"/>
      <c r="AF78" s="55"/>
      <c r="AG78" s="43"/>
      <c r="AH78" s="47"/>
      <c r="AI78" s="30"/>
      <c r="AJ78" s="30"/>
      <c r="AK78" s="30"/>
      <c r="AL78" s="30"/>
      <c r="AM78" s="13"/>
      <c r="AN78" s="13"/>
      <c r="AO78" s="13"/>
      <c r="AP78" s="13"/>
      <c r="AQ78" s="13"/>
      <c r="AR78" s="14"/>
      <c r="AS78" s="15"/>
    </row>
    <row r="79" spans="1:45" s="17" customFormat="1" ht="30.95" hidden="1" customHeight="1" x14ac:dyDescent="0.2">
      <c r="A79" s="37" t="s">
        <v>766</v>
      </c>
      <c r="B79" s="38" t="s">
        <v>748</v>
      </c>
      <c r="C79" s="45"/>
      <c r="D79" s="31"/>
      <c r="E79" s="31"/>
      <c r="F79" s="268" t="str">
        <f>IF(D79="","",VLOOKUP(D79,契約台帳!$A$3:$K$4986,6,FALSE)&amp;VLOOKUP(D79,契約台帳!$A$3:$K$4986,7,FALSE)&amp;VLOOKUP(D79,契約台帳!$A$3:$K$4986,8,FALSE)&amp;VLOOKUP(D79,契約台帳!$A$3:$K$4986,9,FALSE)&amp;VLOOKUP(D79,契約台帳!$A$3:$K$4986,11,FALSE))</f>
        <v/>
      </c>
      <c r="G79" s="269" t="str">
        <f>IF(D79="","",VLOOKUP(F79,製品マスタ!$G$5:$H$5002,2,FALSE))</f>
        <v/>
      </c>
      <c r="H79" s="269" t="str">
        <f>IF(D79="","",VLOOKUP(F79,製品マスタ!$G$5:$K$5002,5,FALSE))</f>
        <v/>
      </c>
      <c r="I79" s="270" t="str">
        <f>IF(D79="","",VLOOKUP(F79,製品マスタ!$G$5:$L$5002,6,FALSE))</f>
        <v/>
      </c>
      <c r="J79" s="210" t="s">
        <v>448</v>
      </c>
      <c r="K79" s="270" t="str">
        <f>IF(D79="","",VLOOKUP(D79,契約台帳!$A$3:$L$4986,12,FALSE))</f>
        <v/>
      </c>
      <c r="L79" s="270" t="str">
        <f>IF(D79="","",INDEX(製品マスタ!$Q$5:$Q$5002,MATCH('S4'!F79&amp;'S4'!K79,製品マスタ!$AO$5:$AO$5002,0)))</f>
        <v/>
      </c>
      <c r="M79" s="39"/>
      <c r="N79" s="39"/>
      <c r="O79" s="156"/>
      <c r="P79" s="47"/>
      <c r="Q79" s="57"/>
      <c r="R79" s="271" t="str">
        <f ca="1">IF(D79="","",IF(OFFSET(D79,-1,0)&lt;&gt;"","",IF(OR(J79="リード付け",J79="巻足し",J79="巻返しリード付け"),M79,VLOOKUP(D79,契約台帳!$A$3:$N$4986,14,FALSE))))</f>
        <v/>
      </c>
      <c r="S79" s="272" t="str">
        <f ca="1">IF(D79="","",IF(OFFSET(D79,-1,0)&lt;&gt;"","",IF(OR(J79="リード付け",J79="巻足し",J79="巻返しリード付け"),M79,VLOOKUP(D79,契約台帳!$A$3:$O$4986,15,FALSE))))</f>
        <v/>
      </c>
      <c r="T79" s="273" t="str">
        <f ca="1">IF(D79="","",IF(J79="リード付け",N79,IF(J79="巻返しリード付け",N79,IF(J79="巻足し",N79*P79+OFFSET(N79,1,0)*OFFSET(P79,1,0),VLOOKUP(D79,契約台帳!$A$3:$P$4986,16,FALSE)))))</f>
        <v/>
      </c>
      <c r="U79" s="40"/>
      <c r="V79" s="274" t="str">
        <f ca="1">IF(D79="","",IF(OFFSET(D79,-2,0)=D79,"",VLOOKUP(D79,契約台帳!$A$3:$R$4986,18,FALSE)))</f>
        <v/>
      </c>
      <c r="W79" s="269" t="str">
        <f>IF(D79="","",IF(T79="","",IF(OR(J79="巻足し",J79="巻返しリード付け"),"",IF(J79="巻返し",VLOOKUP(F79&amp;K79&amp;M79,製品マスタ!$M$5:$AD$5002,18,FALSE),IF(OR(J79="リード付け",J79="巻返しリード付け"),"原反コア",IF(J79="スリット",VLOOKUP(F79&amp;K79&amp;R79,製品マスタ!$N$5:$AD$5002,17,FALSE),""))))))</f>
        <v/>
      </c>
      <c r="X79" s="269" t="str">
        <f>IF(D79="","",IF(T79="","",IF(J79="巻足し","",IF(J79="巻返し",VLOOKUP(F79&amp;K79&amp;M79,製品マスタ!$M$5:$AE$5002,19,FALSE),IF(OR(J79="リード付け",J79="巻返しリード付け"),"",IF(J79="スリット",VLOOKUP(F79&amp;K79&amp;R79,製品マスタ!$N$5:$AE$5002,18,FALSE),""))))))</f>
        <v/>
      </c>
      <c r="Y79" s="275" t="str">
        <f>IF(D79="","",IF(T79="","",VLOOKUP(D79,契約台帳!$A$3:$Q$4986,17,FALSE)))</f>
        <v/>
      </c>
      <c r="Z79" s="269" t="str">
        <f>IF(D79="","",IF(T79="","",VLOOKUP(D79,契約台帳!$A$3:$E$4986,5,FALSE)))</f>
        <v/>
      </c>
      <c r="AA79" s="57"/>
      <c r="AB79" s="207" t="str">
        <f>IFERROR((VLOOKUP(F79&amp;K79&amp;M79,製品マスタ!$M$5:$AM$5002,27,FALSE)),"")</f>
        <v/>
      </c>
      <c r="AC79" s="33"/>
      <c r="AD79" s="189"/>
      <c r="AE79" s="54"/>
      <c r="AF79" s="55"/>
      <c r="AG79" s="43"/>
      <c r="AH79" s="47"/>
      <c r="AI79" s="30"/>
      <c r="AJ79" s="30"/>
      <c r="AK79" s="30"/>
      <c r="AL79" s="30"/>
      <c r="AM79" s="13"/>
      <c r="AN79" s="13"/>
      <c r="AO79" s="13"/>
      <c r="AP79" s="13"/>
      <c r="AQ79" s="13"/>
      <c r="AR79" s="14"/>
      <c r="AS79" s="15"/>
    </row>
    <row r="80" spans="1:45" s="17" customFormat="1" ht="30.95" hidden="1" customHeight="1" x14ac:dyDescent="0.2">
      <c r="A80" s="37"/>
      <c r="B80" s="38"/>
      <c r="C80" s="45"/>
      <c r="D80" s="31"/>
      <c r="E80" s="31"/>
      <c r="F80" s="268" t="str">
        <f>IF(D80="","",VLOOKUP(D80,契約台帳!$A$3:$K$4986,6,FALSE)&amp;VLOOKUP(D80,契約台帳!$A$3:$K$4986,7,FALSE)&amp;VLOOKUP(D80,契約台帳!$A$3:$K$4986,8,FALSE)&amp;VLOOKUP(D80,契約台帳!$A$3:$K$4986,9,FALSE)&amp;VLOOKUP(D80,契約台帳!$A$3:$K$4986,11,FALSE))</f>
        <v/>
      </c>
      <c r="G80" s="269" t="str">
        <f>IF(D80="","",VLOOKUP(F80,製品マスタ!$G$5:$H$5002,2,FALSE))</f>
        <v/>
      </c>
      <c r="H80" s="269" t="str">
        <f>IF(D80="","",VLOOKUP(F80,製品マスタ!$G$5:$K$5002,5,FALSE))</f>
        <v/>
      </c>
      <c r="I80" s="270" t="str">
        <f>IF(D80="","",VLOOKUP(F80,製品マスタ!$G$5:$L$5002,6,FALSE))</f>
        <v/>
      </c>
      <c r="J80" s="210"/>
      <c r="K80" s="270" t="str">
        <f>IF(D80="","",VLOOKUP(D80,契約台帳!$A$3:$L$4986,12,FALSE))</f>
        <v/>
      </c>
      <c r="L80" s="270" t="str">
        <f>IF(D80="","",INDEX(製品マスタ!$Q$5:$Q$5002,MATCH('S4'!F80&amp;'S4'!K80,製品マスタ!$AO$5:$AO$5002,0)))</f>
        <v/>
      </c>
      <c r="M80" s="39"/>
      <c r="N80" s="39"/>
      <c r="O80" s="156"/>
      <c r="P80" s="47"/>
      <c r="Q80" s="57"/>
      <c r="R80" s="271" t="str">
        <f ca="1">IF(D80="","",IF(OFFSET(D80,-1,0)&lt;&gt;"","",IF(OR(J80="リード付け",J80="巻足し",J80="巻返しリード付け"),M80,VLOOKUP(D80,契約台帳!$A$3:$N$4986,14,FALSE))))</f>
        <v/>
      </c>
      <c r="S80" s="272" t="str">
        <f ca="1">IF(D80="","",IF(OFFSET(D80,-1,0)&lt;&gt;"","",IF(OR(J80="リード付け",J80="巻足し",J80="巻返しリード付け"),M80,VLOOKUP(D80,契約台帳!$A$3:$O$4986,15,FALSE))))</f>
        <v/>
      </c>
      <c r="T80" s="273" t="str">
        <f ca="1">IF(D80="","",IF(J80="リード付け",N80,IF(J80="巻返しリード付け",N80,IF(J80="巻足し",N80*P80+OFFSET(N80,1,0)*OFFSET(P80,1,0),VLOOKUP(D80,契約台帳!$A$3:$P$4986,16,FALSE)))))</f>
        <v/>
      </c>
      <c r="U80" s="40"/>
      <c r="V80" s="274" t="str">
        <f ca="1">IF(D80="","",IF(OFFSET(D80,-2,0)=D80,"",VLOOKUP(D80,契約台帳!$A$3:$R$4986,18,FALSE)))</f>
        <v/>
      </c>
      <c r="W80" s="269" t="str">
        <f>IF(D80="","",IF(T80="","",IF(OR(J80="巻足し",J80="巻返しリード付け"),"",IF(J80="巻返し",VLOOKUP(F80&amp;K80&amp;M80,製品マスタ!$M$5:$AD$5002,18,FALSE),IF(OR(J80="リード付け",J80="巻返しリード付け"),"原反コア",IF(J80="スリット",VLOOKUP(F80&amp;K80&amp;R80,製品マスタ!$N$5:$AD$5002,17,FALSE),""))))))</f>
        <v/>
      </c>
      <c r="X80" s="269" t="str">
        <f>IF(D80="","",IF(T80="","",IF(J80="巻足し","",IF(J80="巻返し",VLOOKUP(F80&amp;K80&amp;M80,製品マスタ!$M$5:$AE$5002,19,FALSE),IF(OR(J80="リード付け",J80="巻返しリード付け"),"",IF(J80="スリット",VLOOKUP(F80&amp;K80&amp;R80,製品マスタ!$N$5:$AE$5002,18,FALSE),""))))))</f>
        <v/>
      </c>
      <c r="Y80" s="275" t="str">
        <f>IF(D80="","",IF(T80="","",VLOOKUP(D80,契約台帳!$A$3:$Q$4986,17,FALSE)))</f>
        <v/>
      </c>
      <c r="Z80" s="269" t="str">
        <f>IF(D80="","",IF(T80="","",VLOOKUP(D80,契約台帳!$A$3:$E$4986,5,FALSE)))</f>
        <v/>
      </c>
      <c r="AA80" s="57"/>
      <c r="AB80" s="207" t="str">
        <f>IFERROR((VLOOKUP(F80&amp;K80&amp;M80,製品マスタ!$M$5:$AM$5002,27,FALSE)),"")</f>
        <v/>
      </c>
      <c r="AC80" s="33"/>
      <c r="AD80" s="189"/>
      <c r="AE80" s="54"/>
      <c r="AF80" s="55"/>
      <c r="AG80" s="43"/>
      <c r="AH80" s="47"/>
      <c r="AI80" s="30"/>
      <c r="AJ80" s="30"/>
      <c r="AK80" s="30"/>
      <c r="AL80" s="30"/>
      <c r="AM80" s="13"/>
      <c r="AN80" s="13"/>
      <c r="AO80" s="13"/>
      <c r="AP80" s="13"/>
      <c r="AQ80" s="13"/>
      <c r="AR80" s="14"/>
      <c r="AS80" s="15"/>
    </row>
    <row r="81" spans="1:45" s="17" customFormat="1" ht="30.95" hidden="1" customHeight="1" x14ac:dyDescent="0.2">
      <c r="A81" s="37" t="s">
        <v>767</v>
      </c>
      <c r="B81" s="38" t="s">
        <v>749</v>
      </c>
      <c r="C81" s="45"/>
      <c r="D81" s="31">
        <v>3694104</v>
      </c>
      <c r="E81" s="31">
        <v>4161769</v>
      </c>
      <c r="F81" s="268" t="str">
        <f>IF(D81="","",VLOOKUP(D81,契約台帳!$A$3:$K$4986,6,FALSE)&amp;VLOOKUP(D81,契約台帳!$A$3:$K$4986,7,FALSE)&amp;VLOOKUP(D81,契約台帳!$A$3:$K$4986,8,FALSE)&amp;VLOOKUP(D81,契約台帳!$A$3:$K$4986,9,FALSE)&amp;VLOOKUP(D81,契約台帳!$A$3:$K$4986,11,FALSE))</f>
        <v>3SNMLBMNGKKBF</v>
      </c>
      <c r="G81" s="269" t="str">
        <f>IF(D81="","",VLOOKUP(F81,製品マスタ!$G$5:$H$5002,2,FALSE))</f>
        <v>S</v>
      </c>
      <c r="H81" s="269" t="str">
        <f>IF(D81="","",VLOOKUP(F81,製品マスタ!$G$5:$K$5002,5,FALSE))</f>
        <v>MNGKKBF</v>
      </c>
      <c r="I81" s="270" t="str">
        <f>IF(D81="","",VLOOKUP(F81,製品マスタ!$G$5:$L$5002,6,FALSE))</f>
        <v>メタルミー　ネーマー銀消改　Ｂ</v>
      </c>
      <c r="J81" s="210" t="s">
        <v>736</v>
      </c>
      <c r="K81" s="270">
        <f>IF(D81="","",VLOOKUP(D81,契約台帳!$A$3:$L$4986,12,FALSE))</f>
        <v>50</v>
      </c>
      <c r="L81" s="270" t="str">
        <f>IF(D81="","",INDEX(製品マスタ!$Q$5:$Q$5002,MATCH('S4'!F81&amp;'S4'!K81,製品マスタ!$AO$5:$AO$5002,0)))</f>
        <v>S99-MAT</v>
      </c>
      <c r="M81" s="39">
        <v>1120</v>
      </c>
      <c r="N81" s="39">
        <v>4000</v>
      </c>
      <c r="O81" s="156">
        <v>21</v>
      </c>
      <c r="P81" s="47">
        <v>3</v>
      </c>
      <c r="Q81" s="213">
        <v>44573</v>
      </c>
      <c r="R81" s="271">
        <f ca="1">IF(D81="","",IF(OFFSET(D81,-1,0)&lt;&gt;"","",IF(OR(J81="リード付け",J81="巻足し",J81="巻返しリード付け"),M81,VLOOKUP(D81,契約台帳!$A$3:$N$4986,14,FALSE))))</f>
        <v>1120</v>
      </c>
      <c r="S81" s="272">
        <f ca="1">IF(D81="","",IF(OFFSET(D81,-1,0)&lt;&gt;"","",IF(OR(J81="リード付け",J81="巻足し",J81="巻返しリード付け"),M81,VLOOKUP(D81,契約台帳!$A$3:$O$4986,15,FALSE))))</f>
        <v>1120</v>
      </c>
      <c r="T81" s="273">
        <f ca="1">IF(D81="","",IF(J81="リード付け",N81,IF(J81="巻返しリード付け",N81,IF(J81="巻足し",N81*P81+OFFSET(N81,1,0)*OFFSET(P81,1,0),VLOOKUP(D81,契約台帳!$A$3:$P$4986,16,FALSE)))))</f>
        <v>12000</v>
      </c>
      <c r="U81" s="40">
        <v>7</v>
      </c>
      <c r="V81" s="274">
        <f ca="1">IF(D81="","",IF(OFFSET(D81,-2,0)=D81,"",VLOOKUP(D81,契約台帳!$A$3:$R$4986,18,FALSE)))</f>
        <v>24</v>
      </c>
      <c r="W81" s="269" t="str">
        <f ca="1">IF(D81="","",IF(T81="","",IF(OR(J81="巻足し",J81="巻返しリード付け"),"",IF(J81="巻返し",VLOOKUP(F81&amp;K81&amp;M81,製品マスタ!$M$5:$AD$5002,18,FALSE),IF(OR(J81="リード付け",J81="巻返しリード付け"),"原反コア",IF(J81="スリット",VLOOKUP(F81&amp;K81&amp;R81,製品マスタ!$N$5:$AD$5002,17,FALSE),""))))))</f>
        <v/>
      </c>
      <c r="X81" s="269" t="str">
        <f ca="1">IF(D81="","",IF(T81="","",IF(J81="巻足し","",IF(J81="巻返し",VLOOKUP(F81&amp;K81&amp;M81,製品マスタ!$M$5:$AE$5002,19,FALSE),IF(OR(J81="リード付け",J81="巻返しリード付け"),"",IF(J81="スリット",VLOOKUP(F81&amp;K81&amp;R81,製品マスタ!$N$5:$AE$5002,18,FALSE),""))))))</f>
        <v/>
      </c>
      <c r="Y81" s="275">
        <f ca="1">IF(D81="","",IF(T81="","",VLOOKUP(D81,契約台帳!$A$3:$Q$4986,17,FALSE)))</f>
        <v>2</v>
      </c>
      <c r="Z81" s="269" t="str">
        <f ca="1">IF(D81="","",IF(T81="","",VLOOKUP(D81,契約台帳!$A$3:$E$4986,5,FALSE)))</f>
        <v>リンテック㈱</v>
      </c>
      <c r="AA81" s="57"/>
      <c r="AB81" s="207">
        <f>IFERROR((VLOOKUP(F81&amp;K81&amp;M81,製品マスタ!$M$5:$AM$5002,27,FALSE)),"")</f>
        <v>0</v>
      </c>
      <c r="AC81" s="33"/>
      <c r="AD81" s="189"/>
      <c r="AE81" s="54"/>
      <c r="AF81" s="55"/>
      <c r="AG81" s="43"/>
      <c r="AH81" s="47"/>
      <c r="AI81" s="30"/>
      <c r="AJ81" s="30"/>
      <c r="AK81" s="30"/>
      <c r="AL81" s="30"/>
      <c r="AM81" s="13"/>
      <c r="AN81" s="13"/>
      <c r="AO81" s="13"/>
      <c r="AP81" s="13"/>
      <c r="AQ81" s="13"/>
      <c r="AR81" s="14"/>
      <c r="AS81" s="15"/>
    </row>
    <row r="82" spans="1:45" s="17" customFormat="1" ht="30.95" hidden="1" customHeight="1" x14ac:dyDescent="0.2">
      <c r="A82" s="37"/>
      <c r="B82" s="38"/>
      <c r="C82" s="45"/>
      <c r="D82" s="31"/>
      <c r="E82" s="31"/>
      <c r="F82" s="268" t="str">
        <f>IF(D82="","",VLOOKUP(D82,契約台帳!$A$3:$K$4986,6,FALSE)&amp;VLOOKUP(D82,契約台帳!$A$3:$K$4986,7,FALSE)&amp;VLOOKUP(D82,契約台帳!$A$3:$K$4986,8,FALSE)&amp;VLOOKUP(D82,契約台帳!$A$3:$K$4986,9,FALSE)&amp;VLOOKUP(D82,契約台帳!$A$3:$K$4986,11,FALSE))</f>
        <v/>
      </c>
      <c r="G82" s="269" t="str">
        <f>IF(D82="","",VLOOKUP(F82,製品マスタ!$G$5:$H$5002,2,FALSE))</f>
        <v/>
      </c>
      <c r="H82" s="269" t="str">
        <f>IF(D82="","",VLOOKUP(F82,製品マスタ!$G$5:$K$5002,5,FALSE))</f>
        <v/>
      </c>
      <c r="I82" s="270" t="str">
        <f>IF(D82="","",VLOOKUP(F82,製品マスタ!$G$5:$L$5002,6,FALSE))</f>
        <v/>
      </c>
      <c r="J82" s="210"/>
      <c r="K82" s="270" t="str">
        <f>IF(D82="","",VLOOKUP(D82,契約台帳!$A$3:$L$4986,12,FALSE))</f>
        <v/>
      </c>
      <c r="L82" s="270" t="str">
        <f>IF(D82="","",INDEX(製品マスタ!$Q$5:$Q$5002,MATCH('S4'!F82&amp;'S4'!K82,製品マスタ!$AO$5:$AO$5002,0)))</f>
        <v/>
      </c>
      <c r="M82" s="39"/>
      <c r="N82" s="39"/>
      <c r="O82" s="156"/>
      <c r="P82" s="47"/>
      <c r="Q82" s="57"/>
      <c r="R82" s="271" t="str">
        <f ca="1">IF(D82="","",IF(OFFSET(D82,-1,0)&lt;&gt;"","",IF(OR(J82="リード付け",J82="巻足し",J82="巻返しリード付け"),M82,VLOOKUP(D82,契約台帳!$A$3:$N$4986,14,FALSE))))</f>
        <v/>
      </c>
      <c r="S82" s="272" t="str">
        <f ca="1">IF(D82="","",IF(OFFSET(D82,-1,0)&lt;&gt;"","",IF(OR(J82="リード付け",J82="巻足し",J82="巻返しリード付け"),M82,VLOOKUP(D82,契約台帳!$A$3:$O$4986,15,FALSE))))</f>
        <v/>
      </c>
      <c r="T82" s="273" t="str">
        <f ca="1">IF(D82="","",IF(J82="リード付け",N82,IF(J82="巻返しリード付け",N82,IF(J82="巻足し",N82*P82+OFFSET(N82,1,0)*OFFSET(P82,1,0),VLOOKUP(D82,契約台帳!$A$3:$P$4986,16,FALSE)))))</f>
        <v/>
      </c>
      <c r="U82" s="40"/>
      <c r="V82" s="274" t="str">
        <f ca="1">IF(D82="","",IF(OFFSET(D82,-2,0)=D82,"",VLOOKUP(D82,契約台帳!$A$3:$R$4986,18,FALSE)))</f>
        <v/>
      </c>
      <c r="W82" s="269" t="str">
        <f>IF(D82="","",IF(T82="","",IF(OR(J82="巻足し",J82="巻返しリード付け"),"",IF(J82="巻返し",VLOOKUP(F82&amp;K82&amp;M82,製品マスタ!$M$5:$AD$5002,18,FALSE),IF(OR(J82="リード付け",J82="巻返しリード付け"),"原反コア",IF(J82="スリット",VLOOKUP(F82&amp;K82&amp;R82,製品マスタ!$N$5:$AD$5002,17,FALSE),""))))))</f>
        <v/>
      </c>
      <c r="X82" s="269" t="str">
        <f>IF(D82="","",IF(T82="","",IF(J82="巻足し","",IF(J82="巻返し",VLOOKUP(F82&amp;K82&amp;M82,製品マスタ!$M$5:$AE$5002,19,FALSE),IF(OR(J82="リード付け",J82="巻返しリード付け"),"",IF(J82="スリット",VLOOKUP(F82&amp;K82&amp;R82,製品マスタ!$N$5:$AE$5002,18,FALSE),""))))))</f>
        <v/>
      </c>
      <c r="Y82" s="275" t="str">
        <f>IF(D82="","",IF(T82="","",VLOOKUP(D82,契約台帳!$A$3:$Q$4986,17,FALSE)))</f>
        <v/>
      </c>
      <c r="Z82" s="269" t="str">
        <f>IF(D82="","",IF(T82="","",VLOOKUP(D82,契約台帳!$A$3:$E$4986,5,FALSE)))</f>
        <v/>
      </c>
      <c r="AA82" s="57"/>
      <c r="AB82" s="207" t="str">
        <f>IFERROR((VLOOKUP(F82&amp;K82&amp;M82,製品マスタ!$M$5:$AM$5002,27,FALSE)),"")</f>
        <v/>
      </c>
      <c r="AC82" s="33"/>
      <c r="AD82" s="189"/>
      <c r="AE82" s="54"/>
      <c r="AF82" s="55"/>
      <c r="AG82" s="43"/>
      <c r="AH82" s="47"/>
      <c r="AI82" s="30"/>
      <c r="AJ82" s="30"/>
      <c r="AK82" s="30"/>
      <c r="AL82" s="30"/>
      <c r="AM82" s="13"/>
      <c r="AN82" s="13"/>
      <c r="AO82" s="13"/>
      <c r="AP82" s="13"/>
      <c r="AQ82" s="13"/>
      <c r="AR82" s="14"/>
      <c r="AS82" s="15"/>
    </row>
    <row r="83" spans="1:45" s="17" customFormat="1" ht="30.95" hidden="1" customHeight="1" x14ac:dyDescent="0.2">
      <c r="A83" s="37" t="s">
        <v>768</v>
      </c>
      <c r="B83" s="38" t="s">
        <v>750</v>
      </c>
      <c r="C83" s="45"/>
      <c r="D83" s="31">
        <v>3694102</v>
      </c>
      <c r="E83" s="31">
        <v>4161767</v>
      </c>
      <c r="F83" s="268" t="str">
        <f>IF(D83="","",VLOOKUP(D83,契約台帳!$A$3:$K$4986,6,FALSE)&amp;VLOOKUP(D83,契約台帳!$A$3:$K$4986,7,FALSE)&amp;VLOOKUP(D83,契約台帳!$A$3:$K$4986,8,FALSE)&amp;VLOOKUP(D83,契約台帳!$A$3:$K$4986,9,FALSE)&amp;VLOOKUP(D83,契約台帳!$A$3:$K$4986,11,FALSE))</f>
        <v>3SNMLBMNGKKBF</v>
      </c>
      <c r="G83" s="269" t="str">
        <f>IF(D83="","",VLOOKUP(F83,製品マスタ!$G$5:$H$5002,2,FALSE))</f>
        <v>S</v>
      </c>
      <c r="H83" s="269" t="str">
        <f>IF(D83="","",VLOOKUP(F83,製品マスタ!$G$5:$K$5002,5,FALSE))</f>
        <v>MNGKKBF</v>
      </c>
      <c r="I83" s="270" t="str">
        <f>IF(D83="","",VLOOKUP(F83,製品マスタ!$G$5:$L$5002,6,FALSE))</f>
        <v>メタルミー　ネーマー銀消改　Ｂ</v>
      </c>
      <c r="J83" s="210" t="s">
        <v>736</v>
      </c>
      <c r="K83" s="270">
        <f>IF(D83="","",VLOOKUP(D83,契約台帳!$A$3:$L$4986,12,FALSE))</f>
        <v>25</v>
      </c>
      <c r="L83" s="270" t="str">
        <f>IF(D83="","",INDEX(製品マスタ!$Q$5:$Q$5002,MATCH('S4'!F83&amp;'S4'!K83,製品マスタ!$AO$5:$AO$5002,0)))</f>
        <v>FMATS99</v>
      </c>
      <c r="M83" s="39">
        <v>1000</v>
      </c>
      <c r="N83" s="39">
        <v>4000</v>
      </c>
      <c r="O83" s="156">
        <v>3</v>
      </c>
      <c r="P83" s="47">
        <v>3</v>
      </c>
      <c r="Q83" s="213">
        <v>44571</v>
      </c>
      <c r="R83" s="271">
        <f ca="1">IF(D83="","",IF(OFFSET(D83,-1,0)&lt;&gt;"","",IF(OR(J83="リード付け",J83="巻足し",J83="巻返しリード付け"),M83,VLOOKUP(D83,契約台帳!$A$3:$N$4986,14,FALSE))))</f>
        <v>1000</v>
      </c>
      <c r="S83" s="272">
        <f ca="1">IF(D83="","",IF(OFFSET(D83,-1,0)&lt;&gt;"","",IF(OR(J83="リード付け",J83="巻足し",J83="巻返しリード付け"),M83,VLOOKUP(D83,契約台帳!$A$3:$O$4986,15,FALSE))))</f>
        <v>1000</v>
      </c>
      <c r="T83" s="273">
        <f ca="1">IF(D83="","",IF(J83="リード付け",N83,IF(J83="巻返しリード付け",N83,IF(J83="巻足し",N83*P83+OFFSET(N83,1,0)*OFFSET(P83,1,0),VLOOKUP(D83,契約台帳!$A$3:$P$4986,16,FALSE)))))</f>
        <v>12000</v>
      </c>
      <c r="U83" s="40">
        <v>1</v>
      </c>
      <c r="V83" s="274">
        <f ca="1">IF(D83="","",IF(OFFSET(D83,-2,0)=D83,"",VLOOKUP(D83,契約台帳!$A$3:$R$4986,18,FALSE)))</f>
        <v>3</v>
      </c>
      <c r="W83" s="269" t="str">
        <f ca="1">IF(D83="","",IF(T83="","",IF(OR(J83="巻足し",J83="巻返しリード付け"),"",IF(J83="巻返し",VLOOKUP(F83&amp;K83&amp;M83,製品マスタ!$M$5:$AD$5002,18,FALSE),IF(OR(J83="リード付け",J83="巻返しリード付け"),"原反コア",IF(J83="スリット",VLOOKUP(F83&amp;K83&amp;R83,製品マスタ!$N$5:$AD$5002,17,FALSE),""))))))</f>
        <v/>
      </c>
      <c r="X83" s="269" t="str">
        <f ca="1">IF(D83="","",IF(T83="","",IF(J83="巻足し","",IF(J83="巻返し",VLOOKUP(F83&amp;K83&amp;M83,製品マスタ!$M$5:$AE$5002,19,FALSE),IF(OR(J83="リード付け",J83="巻返しリード付け"),"",IF(J83="スリット",VLOOKUP(F83&amp;K83&amp;R83,製品マスタ!$N$5:$AE$5002,18,FALSE),""))))))</f>
        <v/>
      </c>
      <c r="Y83" s="275">
        <f ca="1">IF(D83="","",IF(T83="","",VLOOKUP(D83,契約台帳!$A$3:$Q$4986,17,FALSE)))</f>
        <v>2</v>
      </c>
      <c r="Z83" s="269" t="str">
        <f ca="1">IF(D83="","",IF(T83="","",VLOOKUP(D83,契約台帳!$A$3:$E$4986,5,FALSE)))</f>
        <v>リンテック㈱</v>
      </c>
      <c r="AA83" s="57"/>
      <c r="AB83" s="207">
        <f>IFERROR((VLOOKUP(F83&amp;K83&amp;M83,製品マスタ!$M$5:$AM$5002,27,FALSE)),"")</f>
        <v>0</v>
      </c>
      <c r="AC83" s="33"/>
      <c r="AD83" s="189"/>
      <c r="AE83" s="54"/>
      <c r="AF83" s="55"/>
      <c r="AG83" s="43"/>
      <c r="AH83" s="47"/>
      <c r="AI83" s="30"/>
      <c r="AJ83" s="30"/>
      <c r="AK83" s="30"/>
      <c r="AL83" s="30"/>
      <c r="AM83" s="13"/>
      <c r="AN83" s="13"/>
      <c r="AO83" s="13"/>
      <c r="AP83" s="13"/>
      <c r="AQ83" s="13"/>
      <c r="AR83" s="14"/>
      <c r="AS83" s="15"/>
    </row>
    <row r="84" spans="1:45" s="17" customFormat="1" ht="30.95" hidden="1" customHeight="1" x14ac:dyDescent="0.2">
      <c r="A84" s="37"/>
      <c r="B84" s="38"/>
      <c r="C84" s="45"/>
      <c r="D84" s="31"/>
      <c r="E84" s="31"/>
      <c r="F84" s="268" t="str">
        <f>IF(D84="","",VLOOKUP(D84,契約台帳!$A$3:$K$4986,6,FALSE)&amp;VLOOKUP(D84,契約台帳!$A$3:$K$4986,7,FALSE)&amp;VLOOKUP(D84,契約台帳!$A$3:$K$4986,8,FALSE)&amp;VLOOKUP(D84,契約台帳!$A$3:$K$4986,9,FALSE)&amp;VLOOKUP(D84,契約台帳!$A$3:$K$4986,11,FALSE))</f>
        <v/>
      </c>
      <c r="G84" s="269" t="str">
        <f>IF(D84="","",VLOOKUP(F84,製品マスタ!$G$5:$H$5002,2,FALSE))</f>
        <v/>
      </c>
      <c r="H84" s="269" t="str">
        <f>IF(D84="","",VLOOKUP(F84,製品マスタ!$G$5:$K$5002,5,FALSE))</f>
        <v/>
      </c>
      <c r="I84" s="270" t="str">
        <f>IF(D84="","",VLOOKUP(F84,製品マスタ!$G$5:$L$5002,6,FALSE))</f>
        <v/>
      </c>
      <c r="J84" s="210"/>
      <c r="K84" s="270" t="str">
        <f>IF(D84="","",VLOOKUP(D84,契約台帳!$A$3:$L$4986,12,FALSE))</f>
        <v/>
      </c>
      <c r="L84" s="270" t="str">
        <f>IF(D84="","",INDEX(製品マスタ!$Q$5:$Q$5002,MATCH('S4'!F84&amp;'S4'!K84,製品マスタ!$AO$5:$AO$5002,0)))</f>
        <v/>
      </c>
      <c r="M84" s="39"/>
      <c r="N84" s="39"/>
      <c r="O84" s="156"/>
      <c r="P84" s="47"/>
      <c r="Q84" s="57"/>
      <c r="R84" s="271" t="str">
        <f ca="1">IF(D84="","",IF(OFFSET(D84,-1,0)&lt;&gt;"","",IF(OR(J84="リード付け",J84="巻足し",J84="巻返しリード付け"),M84,VLOOKUP(D84,契約台帳!$A$3:$N$4986,14,FALSE))))</f>
        <v/>
      </c>
      <c r="S84" s="272" t="str">
        <f ca="1">IF(D84="","",IF(OFFSET(D84,-1,0)&lt;&gt;"","",IF(OR(J84="リード付け",J84="巻足し",J84="巻返しリード付け"),M84,VLOOKUP(D84,契約台帳!$A$3:$O$4986,15,FALSE))))</f>
        <v/>
      </c>
      <c r="T84" s="273" t="str">
        <f ca="1">IF(D84="","",IF(J84="リード付け",N84,IF(J84="巻返しリード付け",N84,IF(J84="巻足し",N84*P84+OFFSET(N84,1,0)*OFFSET(P84,1,0),VLOOKUP(D84,契約台帳!$A$3:$P$4986,16,FALSE)))))</f>
        <v/>
      </c>
      <c r="U84" s="40"/>
      <c r="V84" s="274" t="str">
        <f ca="1">IF(D84="","",IF(OFFSET(D84,-2,0)=D84,"",VLOOKUP(D84,契約台帳!$A$3:$R$4986,18,FALSE)))</f>
        <v/>
      </c>
      <c r="W84" s="269" t="str">
        <f>IF(D84="","",IF(T84="","",IF(OR(J84="巻足し",J84="巻返しリード付け"),"",IF(J84="巻返し",VLOOKUP(F84&amp;K84&amp;M84,製品マスタ!$M$5:$AD$5002,18,FALSE),IF(OR(J84="リード付け",J84="巻返しリード付け"),"原反コア",IF(J84="スリット",VLOOKUP(F84&amp;K84&amp;R84,製品マスタ!$N$5:$AD$5002,17,FALSE),""))))))</f>
        <v/>
      </c>
      <c r="X84" s="269" t="str">
        <f>IF(D84="","",IF(T84="","",IF(J84="巻足し","",IF(J84="巻返し",VLOOKUP(F84&amp;K84&amp;M84,製品マスタ!$M$5:$AE$5002,19,FALSE),IF(OR(J84="リード付け",J84="巻返しリード付け"),"",IF(J84="スリット",VLOOKUP(F84&amp;K84&amp;R84,製品マスタ!$N$5:$AE$5002,18,FALSE),""))))))</f>
        <v/>
      </c>
      <c r="Y84" s="275" t="str">
        <f>IF(D84="","",IF(T84="","",VLOOKUP(D84,契約台帳!$A$3:$Q$4986,17,FALSE)))</f>
        <v/>
      </c>
      <c r="Z84" s="269" t="str">
        <f>IF(D84="","",IF(T84="","",VLOOKUP(D84,契約台帳!$A$3:$E$4986,5,FALSE)))</f>
        <v/>
      </c>
      <c r="AA84" s="57"/>
      <c r="AB84" s="207" t="str">
        <f>IFERROR((VLOOKUP(F84&amp;K84&amp;M84,製品マスタ!$M$5:$AM$5002,27,FALSE)),"")</f>
        <v/>
      </c>
      <c r="AC84" s="33"/>
      <c r="AD84" s="189"/>
      <c r="AE84" s="54"/>
      <c r="AF84" s="55"/>
      <c r="AG84" s="43"/>
      <c r="AH84" s="47"/>
      <c r="AI84" s="30"/>
      <c r="AJ84" s="30"/>
      <c r="AK84" s="30"/>
      <c r="AL84" s="30"/>
      <c r="AM84" s="13"/>
      <c r="AN84" s="13"/>
      <c r="AO84" s="13"/>
      <c r="AP84" s="13"/>
      <c r="AQ84" s="13"/>
      <c r="AR84" s="14"/>
      <c r="AS84" s="15"/>
    </row>
    <row r="85" spans="1:45" s="17" customFormat="1" ht="30.95" hidden="1" customHeight="1" x14ac:dyDescent="0.2">
      <c r="A85" s="37"/>
      <c r="B85" s="38"/>
      <c r="C85" s="45"/>
      <c r="D85" s="31">
        <v>3694123</v>
      </c>
      <c r="E85" s="31">
        <v>4140874</v>
      </c>
      <c r="F85" s="268" t="str">
        <f>IF(D85="","",VLOOKUP(D85,契約台帳!$A$3:$K$4986,6,FALSE)&amp;VLOOKUP(D85,契約台帳!$A$3:$K$4986,7,FALSE)&amp;VLOOKUP(D85,契約台帳!$A$3:$K$4986,8,FALSE)&amp;VLOOKUP(D85,契約台帳!$A$3:$K$4986,9,FALSE)&amp;VLOOKUP(D85,契約台帳!$A$3:$K$4986,11,FALSE))</f>
        <v>3SNCLBLMEYK</v>
      </c>
      <c r="G85" s="269" t="str">
        <f>IF(D85="","",VLOOKUP(F85,製品マスタ!$G$5:$H$5002,2,FALSE))</f>
        <v>S</v>
      </c>
      <c r="H85" s="269" t="str">
        <f>IF(D85="","",VLOOKUP(F85,製品マスタ!$G$5:$K$5002,5,FALSE))</f>
        <v>LMEYK</v>
      </c>
      <c r="I85" s="270" t="str">
        <f>IF(D85="","",VLOOKUP(F85,製品マスタ!$G$5:$L$5002,6,FALSE))</f>
        <v>ルミマットＥＹＫ</v>
      </c>
      <c r="J85" s="210" t="s">
        <v>801</v>
      </c>
      <c r="K85" s="270">
        <f>IF(D85="","",VLOOKUP(D85,契約台帳!$A$3:$L$4986,12,FALSE))</f>
        <v>38</v>
      </c>
      <c r="L85" s="270" t="str">
        <f>IF(D85="","",INDEX(製品マスタ!$Q$5:$Q$5002,MATCH('S4'!F85&amp;'S4'!K85,製品マスタ!$AO$5:$AO$5002,0)))</f>
        <v>LUMIMAT</v>
      </c>
      <c r="M85" s="39">
        <v>1005</v>
      </c>
      <c r="N85" s="39">
        <v>8000</v>
      </c>
      <c r="O85" s="156">
        <v>1</v>
      </c>
      <c r="P85" s="47"/>
      <c r="Q85" s="57"/>
      <c r="R85" s="271">
        <f ca="1">IF(D85="","",IF(OFFSET(D85,-1,0)&lt;&gt;"","",IF(OR(J85="リード付け",J85="巻足し",J85="巻返しリード付け"),M85,VLOOKUP(D85,契約台帳!$A$3:$N$4986,14,FALSE))))</f>
        <v>1005</v>
      </c>
      <c r="S85" s="272">
        <f ca="1">IF(D85="","",IF(OFFSET(D85,-1,0)&lt;&gt;"","",IF(OR(J85="リード付け",J85="巻足し",J85="巻返しリード付け"),M85,VLOOKUP(D85,契約台帳!$A$3:$O$4986,15,FALSE))))</f>
        <v>1000</v>
      </c>
      <c r="T85" s="273">
        <f ca="1">IF(D85="","",IF(J85="リード付け",N85,IF(J85="巻返しリード付け",N85,IF(J85="巻足し",N85*P85+OFFSET(N85,1,0)*OFFSET(P85,1,0),VLOOKUP(D85,契約台帳!$A$3:$P$4986,16,FALSE)))))</f>
        <v>4000</v>
      </c>
      <c r="U85" s="40">
        <v>2</v>
      </c>
      <c r="V85" s="274">
        <f ca="1">IF(D85="","",IF(OFFSET(D85,-2,0)=D85,"",VLOOKUP(D85,契約台帳!$A$3:$R$4986,18,FALSE)))</f>
        <v>2</v>
      </c>
      <c r="W85" s="269" t="str">
        <f ca="1">IF(D85="","",IF(T85="","",IF(OR(J85="巻足し",J85="巻返しリード付け"),"",IF(J85="巻返し",VLOOKUP(F85&amp;K85&amp;M85,製品マスタ!$M$5:$AD$5002,18,FALSE),IF(OR(J85="リード付け",J85="巻返しリード付け"),"原反コア",IF(J85="スリット",VLOOKUP(F85&amp;K85&amp;R85,製品マスタ!$N$5:$AD$5002,17,FALSE),""))))))</f>
        <v>3ｲﾝﾁSｺｱ</v>
      </c>
      <c r="X85" s="269">
        <f ca="1">IF(D85="","",IF(T85="","",IF(J85="巻足し","",IF(J85="巻返し",VLOOKUP(F85&amp;K85&amp;M85,製品マスタ!$M$5:$AE$5002,19,FALSE),IF(OR(J85="リード付け",J85="巻返しリード付け"),"",IF(J85="スリット",VLOOKUP(F85&amp;K85&amp;R85,製品マスタ!$N$5:$AE$5002,18,FALSE),""))))))</f>
        <v>1015</v>
      </c>
      <c r="Y85" s="275">
        <f ca="1">IF(D85="","",IF(T85="","",VLOOKUP(D85,契約台帳!$A$3:$Q$4986,17,FALSE)))</f>
        <v>2</v>
      </c>
      <c r="Z85" s="269" t="str">
        <f ca="1">IF(D85="","",IF(T85="","",VLOOKUP(D85,契約台帳!$A$3:$E$4986,5,FALSE)))</f>
        <v>リンテック㈱</v>
      </c>
      <c r="AA85" s="57">
        <v>44946</v>
      </c>
      <c r="AB85" s="207">
        <f>IFERROR((VLOOKUP(F85&amp;K85&amp;M85,製品マスタ!$M$5:$AM$5002,27,FALSE)),"")</f>
        <v>0</v>
      </c>
      <c r="AC85" s="33"/>
      <c r="AD85" s="189"/>
      <c r="AE85" s="54"/>
      <c r="AF85" s="55"/>
      <c r="AG85" s="43"/>
      <c r="AH85" s="47"/>
      <c r="AI85" s="30"/>
      <c r="AJ85" s="30"/>
      <c r="AK85" s="30"/>
      <c r="AL85" s="30"/>
      <c r="AM85" s="13"/>
      <c r="AN85" s="13"/>
      <c r="AO85" s="13"/>
      <c r="AP85" s="13"/>
      <c r="AQ85" s="13"/>
      <c r="AR85" s="14"/>
      <c r="AS85" s="15"/>
    </row>
    <row r="86" spans="1:45" s="17" customFormat="1" ht="30.95" hidden="1" customHeight="1" x14ac:dyDescent="0.2">
      <c r="A86" s="37"/>
      <c r="B86" s="38"/>
      <c r="C86" s="45"/>
      <c r="D86" s="31"/>
      <c r="E86" s="31"/>
      <c r="F86" s="268" t="str">
        <f>IF(D86="","",VLOOKUP(D86,契約台帳!$A$3:$K$4986,6,FALSE)&amp;VLOOKUP(D86,契約台帳!$A$3:$K$4986,7,FALSE)&amp;VLOOKUP(D86,契約台帳!$A$3:$K$4986,8,FALSE)&amp;VLOOKUP(D86,契約台帳!$A$3:$K$4986,9,FALSE)&amp;VLOOKUP(D86,契約台帳!$A$3:$K$4986,11,FALSE))</f>
        <v/>
      </c>
      <c r="G86" s="269" t="str">
        <f>IF(D86="","",VLOOKUP(F86,製品マスタ!$G$5:$H$5002,2,FALSE))</f>
        <v/>
      </c>
      <c r="H86" s="269" t="str">
        <f>IF(D86="","",VLOOKUP(F86,製品マスタ!$G$5:$K$5002,5,FALSE))</f>
        <v/>
      </c>
      <c r="I86" s="270" t="str">
        <f>IF(D86="","",VLOOKUP(F86,製品マスタ!$G$5:$L$5002,6,FALSE))</f>
        <v/>
      </c>
      <c r="J86" s="210"/>
      <c r="K86" s="270" t="str">
        <f>IF(D86="","",VLOOKUP(D86,契約台帳!$A$3:$L$4986,12,FALSE))</f>
        <v/>
      </c>
      <c r="L86" s="270" t="str">
        <f>IF(D86="","",INDEX(製品マスタ!$Q$5:$Q$5002,MATCH('S4'!F86&amp;'S4'!K86,製品マスタ!$AO$5:$AO$5002,0)))</f>
        <v/>
      </c>
      <c r="M86" s="39"/>
      <c r="N86" s="39"/>
      <c r="O86" s="156"/>
      <c r="P86" s="47"/>
      <c r="Q86" s="57"/>
      <c r="R86" s="271" t="str">
        <f ca="1">IF(D86="","",IF(OFFSET(D86,-1,0)&lt;&gt;"","",IF(OR(J86="リード付け",J86="巻足し",J86="巻返しリード付け"),M86,VLOOKUP(D86,契約台帳!$A$3:$N$4986,14,FALSE))))</f>
        <v/>
      </c>
      <c r="S86" s="272" t="str">
        <f ca="1">IF(D86="","",IF(OFFSET(D86,-1,0)&lt;&gt;"","",IF(OR(J86="リード付け",J86="巻足し",J86="巻返しリード付け"),M86,VLOOKUP(D86,契約台帳!$A$3:$O$4986,15,FALSE))))</f>
        <v/>
      </c>
      <c r="T86" s="273" t="str">
        <f ca="1">IF(D86="","",IF(J86="リード付け",N86,IF(J86="巻返しリード付け",N86,IF(J86="巻足し",N86*P86+OFFSET(N86,1,0)*OFFSET(P86,1,0),VLOOKUP(D86,契約台帳!$A$3:$P$4986,16,FALSE)))))</f>
        <v/>
      </c>
      <c r="U86" s="40"/>
      <c r="V86" s="274" t="str">
        <f ca="1">IF(D86="","",IF(OFFSET(D86,-2,0)=D86,"",VLOOKUP(D86,契約台帳!$A$3:$R$4986,18,FALSE)))</f>
        <v/>
      </c>
      <c r="W86" s="269" t="str">
        <f>IF(D86="","",IF(T86="","",IF(OR(J86="巻足し",J86="巻返しリード付け"),"",IF(J86="巻返し",VLOOKUP(F86&amp;K86&amp;M86,製品マスタ!$M$5:$AD$5002,18,FALSE),IF(OR(J86="リード付け",J86="巻返しリード付け"),"原反コア",IF(J86="スリット",VLOOKUP(F86&amp;K86&amp;R86,製品マスタ!$N$5:$AD$5002,17,FALSE),""))))))</f>
        <v/>
      </c>
      <c r="X86" s="269" t="str">
        <f>IF(D86="","",IF(T86="","",IF(J86="巻足し","",IF(J86="巻返し",VLOOKUP(F86&amp;K86&amp;M86,製品マスタ!$M$5:$AE$5002,19,FALSE),IF(OR(J86="リード付け",J86="巻返しリード付け"),"",IF(J86="スリット",VLOOKUP(F86&amp;K86&amp;R86,製品マスタ!$N$5:$AE$5002,18,FALSE),""))))))</f>
        <v/>
      </c>
      <c r="Y86" s="275" t="str">
        <f>IF(D86="","",IF(T86="","",VLOOKUP(D86,契約台帳!$A$3:$Q$4986,17,FALSE)))</f>
        <v/>
      </c>
      <c r="Z86" s="269" t="str">
        <f>IF(D86="","",IF(T86="","",VLOOKUP(D86,契約台帳!$A$3:$E$4986,5,FALSE)))</f>
        <v/>
      </c>
      <c r="AA86" s="57"/>
      <c r="AB86" s="207" t="str">
        <f>IFERROR((VLOOKUP(F86&amp;K86&amp;M86,製品マスタ!$M$5:$AM$5002,27,FALSE)),"")</f>
        <v/>
      </c>
      <c r="AC86" s="33"/>
      <c r="AD86" s="189"/>
      <c r="AE86" s="54"/>
      <c r="AF86" s="55"/>
      <c r="AG86" s="43"/>
      <c r="AH86" s="47"/>
      <c r="AI86" s="30"/>
      <c r="AJ86" s="30"/>
      <c r="AK86" s="30"/>
      <c r="AL86" s="30"/>
      <c r="AM86" s="13"/>
      <c r="AN86" s="13"/>
      <c r="AO86" s="13"/>
      <c r="AP86" s="13"/>
      <c r="AQ86" s="13"/>
      <c r="AR86" s="14"/>
      <c r="AS86" s="15"/>
    </row>
    <row r="87" spans="1:45" s="17" customFormat="1" ht="30.95" hidden="1" customHeight="1" x14ac:dyDescent="0.2">
      <c r="A87" s="37"/>
      <c r="B87" s="38"/>
      <c r="C87" s="45"/>
      <c r="D87" s="31">
        <v>3694124</v>
      </c>
      <c r="E87" s="31">
        <v>4140875</v>
      </c>
      <c r="F87" s="268" t="str">
        <f>IF(D87="","",VLOOKUP(D87,契約台帳!$A$3:$K$4986,6,FALSE)&amp;VLOOKUP(D87,契約台帳!$A$3:$K$4986,7,FALSE)&amp;VLOOKUP(D87,契約台帳!$A$3:$K$4986,8,FALSE)&amp;VLOOKUP(D87,契約台帳!$A$3:$K$4986,9,FALSE)&amp;VLOOKUP(D87,契約台帳!$A$3:$K$4986,11,FALSE))</f>
        <v>3SNCLBLMEYK</v>
      </c>
      <c r="G87" s="269" t="str">
        <f>IF(D87="","",VLOOKUP(F87,製品マスタ!$G$5:$H$5002,2,FALSE))</f>
        <v>S</v>
      </c>
      <c r="H87" s="269" t="str">
        <f>IF(D87="","",VLOOKUP(F87,製品マスタ!$G$5:$K$5002,5,FALSE))</f>
        <v>LMEYK</v>
      </c>
      <c r="I87" s="270" t="str">
        <f>IF(D87="","",VLOOKUP(F87,製品マスタ!$G$5:$L$5002,6,FALSE))</f>
        <v>ルミマットＥＹＫ</v>
      </c>
      <c r="J87" s="210" t="s">
        <v>801</v>
      </c>
      <c r="K87" s="270">
        <f>IF(D87="","",VLOOKUP(D87,契約台帳!$A$3:$L$4986,12,FALSE))</f>
        <v>38</v>
      </c>
      <c r="L87" s="270" t="str">
        <f>IF(D87="","",INDEX(製品マスタ!$Q$5:$Q$5002,MATCH('S4'!F87&amp;'S4'!K87,製品マスタ!$AO$5:$AO$5002,0)))</f>
        <v>LUMIMAT</v>
      </c>
      <c r="M87" s="39">
        <v>1005</v>
      </c>
      <c r="N87" s="39">
        <v>4000</v>
      </c>
      <c r="O87" s="156">
        <v>2</v>
      </c>
      <c r="P87" s="47"/>
      <c r="Q87" s="57"/>
      <c r="R87" s="271">
        <f ca="1">IF(D87="","",IF(OFFSET(D87,-1,0)&lt;&gt;"","",IF(OR(J87="リード付け",J87="巻足し",J87="巻返しリード付け"),M87,VLOOKUP(D87,契約台帳!$A$3:$N$4986,14,FALSE))))</f>
        <v>1005</v>
      </c>
      <c r="S87" s="272">
        <f ca="1">IF(D87="","",IF(OFFSET(D87,-1,0)&lt;&gt;"","",IF(OR(J87="リード付け",J87="巻足し",J87="巻返しリード付け"),M87,VLOOKUP(D87,契約台帳!$A$3:$O$4986,15,FALSE))))</f>
        <v>1000</v>
      </c>
      <c r="T87" s="273">
        <f ca="1">IF(D87="","",IF(J87="リード付け",N87,IF(J87="巻返しリード付け",N87,IF(J87="巻足し",N87*P87+OFFSET(N87,1,0)*OFFSET(P87,1,0),VLOOKUP(D87,契約台帳!$A$3:$P$4986,16,FALSE)))))</f>
        <v>4000</v>
      </c>
      <c r="U87" s="40">
        <v>2</v>
      </c>
      <c r="V87" s="274">
        <f ca="1">IF(D87="","",IF(OFFSET(D87,-2,0)=D87,"",VLOOKUP(D87,契約台帳!$A$3:$R$4986,18,FALSE)))</f>
        <v>2</v>
      </c>
      <c r="W87" s="269" t="str">
        <f ca="1">IF(D87="","",IF(T87="","",IF(OR(J87="巻足し",J87="巻返しリード付け"),"",IF(J87="巻返し",VLOOKUP(F87&amp;K87&amp;M87,製品マスタ!$M$5:$AD$5002,18,FALSE),IF(OR(J87="リード付け",J87="巻返しリード付け"),"原反コア",IF(J87="スリット",VLOOKUP(F87&amp;K87&amp;R87,製品マスタ!$N$5:$AD$5002,17,FALSE),""))))))</f>
        <v>3ｲﾝﾁSｺｱ</v>
      </c>
      <c r="X87" s="269">
        <f ca="1">IF(D87="","",IF(T87="","",IF(J87="巻足し","",IF(J87="巻返し",VLOOKUP(F87&amp;K87&amp;M87,製品マスタ!$M$5:$AE$5002,19,FALSE),IF(OR(J87="リード付け",J87="巻返しリード付け"),"",IF(J87="スリット",VLOOKUP(F87&amp;K87&amp;R87,製品マスタ!$N$5:$AE$5002,18,FALSE),""))))))</f>
        <v>1015</v>
      </c>
      <c r="Y87" s="275">
        <f ca="1">IF(D87="","",IF(T87="","",VLOOKUP(D87,契約台帳!$A$3:$Q$4986,17,FALSE)))</f>
        <v>2</v>
      </c>
      <c r="Z87" s="269" t="str">
        <f ca="1">IF(D87="","",IF(T87="","",VLOOKUP(D87,契約台帳!$A$3:$E$4986,5,FALSE)))</f>
        <v>リンテック㈱</v>
      </c>
      <c r="AA87" s="57">
        <v>44946</v>
      </c>
      <c r="AB87" s="207">
        <f>IFERROR((VLOOKUP(F87&amp;K87&amp;M87,製品マスタ!$M$5:$AM$5002,27,FALSE)),"")</f>
        <v>0</v>
      </c>
      <c r="AC87" s="33"/>
      <c r="AD87" s="189"/>
      <c r="AE87" s="54"/>
      <c r="AF87" s="55"/>
      <c r="AG87" s="43"/>
      <c r="AH87" s="47"/>
      <c r="AI87" s="30"/>
      <c r="AJ87" s="30"/>
      <c r="AK87" s="30"/>
      <c r="AL87" s="30"/>
      <c r="AM87" s="13"/>
      <c r="AN87" s="13"/>
      <c r="AO87" s="13"/>
      <c r="AP87" s="13"/>
      <c r="AQ87" s="13"/>
      <c r="AR87" s="14"/>
      <c r="AS87" s="15"/>
    </row>
    <row r="88" spans="1:45" s="17" customFormat="1" ht="30.95" hidden="1" customHeight="1" x14ac:dyDescent="0.2">
      <c r="A88" s="37"/>
      <c r="B88" s="38"/>
      <c r="C88" s="45"/>
      <c r="D88" s="31"/>
      <c r="E88" s="31"/>
      <c r="F88" s="268" t="str">
        <f>IF(D88="","",VLOOKUP(D88,契約台帳!$A$3:$K$4986,6,FALSE)&amp;VLOOKUP(D88,契約台帳!$A$3:$K$4986,7,FALSE)&amp;VLOOKUP(D88,契約台帳!$A$3:$K$4986,8,FALSE)&amp;VLOOKUP(D88,契約台帳!$A$3:$K$4986,9,FALSE)&amp;VLOOKUP(D88,契約台帳!$A$3:$K$4986,11,FALSE))</f>
        <v/>
      </c>
      <c r="G88" s="269" t="str">
        <f>IF(D88="","",VLOOKUP(F88,製品マスタ!$G$5:$H$5002,2,FALSE))</f>
        <v/>
      </c>
      <c r="H88" s="269" t="str">
        <f>IF(D88="","",VLOOKUP(F88,製品マスタ!$G$5:$K$5002,5,FALSE))</f>
        <v/>
      </c>
      <c r="I88" s="270" t="str">
        <f>IF(D88="","",VLOOKUP(F88,製品マスタ!$G$5:$L$5002,6,FALSE))</f>
        <v/>
      </c>
      <c r="J88" s="210"/>
      <c r="K88" s="270" t="str">
        <f>IF(D88="","",VLOOKUP(D88,契約台帳!$A$3:$L$4986,12,FALSE))</f>
        <v/>
      </c>
      <c r="L88" s="270" t="str">
        <f>IF(D88="","",INDEX(製品マスタ!$Q$5:$Q$5002,MATCH('S4'!F88&amp;'S4'!K88,製品マスタ!$AO$5:$AO$5002,0)))</f>
        <v/>
      </c>
      <c r="M88" s="39"/>
      <c r="N88" s="39"/>
      <c r="O88" s="156"/>
      <c r="P88" s="47"/>
      <c r="Q88" s="57"/>
      <c r="R88" s="271" t="str">
        <f ca="1">IF(D88="","",IF(OFFSET(D88,-1,0)&lt;&gt;"","",IF(OR(J88="リード付け",J88="巻足し",J88="巻返しリード付け"),M88,VLOOKUP(D88,契約台帳!$A$3:$N$4986,14,FALSE))))</f>
        <v/>
      </c>
      <c r="S88" s="272" t="str">
        <f ca="1">IF(D88="","",IF(OFFSET(D88,-1,0)&lt;&gt;"","",IF(OR(J88="リード付け",J88="巻足し",J88="巻返しリード付け"),M88,VLOOKUP(D88,契約台帳!$A$3:$O$4986,15,FALSE))))</f>
        <v/>
      </c>
      <c r="T88" s="273" t="str">
        <f ca="1">IF(D88="","",IF(J88="リード付け",N88,IF(J88="巻返しリード付け",N88,IF(J88="巻足し",N88*P88+OFFSET(N88,1,0)*OFFSET(P88,1,0),VLOOKUP(D88,契約台帳!$A$3:$P$4986,16,FALSE)))))</f>
        <v/>
      </c>
      <c r="U88" s="40"/>
      <c r="V88" s="274" t="str">
        <f ca="1">IF(D88="","",IF(OFFSET(D88,-2,0)=D88,"",VLOOKUP(D88,契約台帳!$A$3:$R$4986,18,FALSE)))</f>
        <v/>
      </c>
      <c r="W88" s="269" t="str">
        <f>IF(D88="","",IF(T88="","",IF(OR(J88="巻足し",J88="巻返しリード付け"),"",IF(J88="巻返し",VLOOKUP(F88&amp;K88&amp;M88,製品マスタ!$M$5:$AD$5002,18,FALSE),IF(OR(J88="リード付け",J88="巻返しリード付け"),"原反コア",IF(J88="スリット",VLOOKUP(F88&amp;K88&amp;R88,製品マスタ!$N$5:$AD$5002,17,FALSE),""))))))</f>
        <v/>
      </c>
      <c r="X88" s="269" t="str">
        <f>IF(D88="","",IF(T88="","",IF(J88="巻足し","",IF(J88="巻返し",VLOOKUP(F88&amp;K88&amp;M88,製品マスタ!$M$5:$AE$5002,19,FALSE),IF(OR(J88="リード付け",J88="巻返しリード付け"),"",IF(J88="スリット",VLOOKUP(F88&amp;K88&amp;R88,製品マスタ!$N$5:$AE$5002,18,FALSE),""))))))</f>
        <v/>
      </c>
      <c r="Y88" s="275" t="str">
        <f>IF(D88="","",IF(T88="","",VLOOKUP(D88,契約台帳!$A$3:$Q$4986,17,FALSE)))</f>
        <v/>
      </c>
      <c r="Z88" s="269" t="str">
        <f>IF(D88="","",IF(T88="","",VLOOKUP(D88,契約台帳!$A$3:$E$4986,5,FALSE)))</f>
        <v/>
      </c>
      <c r="AA88" s="57"/>
      <c r="AB88" s="207" t="str">
        <f>IFERROR((VLOOKUP(F88&amp;K88&amp;M88,製品マスタ!$M$5:$AM$5002,27,FALSE)),"")</f>
        <v/>
      </c>
      <c r="AC88" s="33"/>
      <c r="AD88" s="189"/>
      <c r="AE88" s="54"/>
      <c r="AF88" s="55"/>
      <c r="AG88" s="43"/>
      <c r="AH88" s="47"/>
      <c r="AI88" s="30"/>
      <c r="AJ88" s="30"/>
      <c r="AK88" s="30"/>
      <c r="AL88" s="30"/>
      <c r="AM88" s="13"/>
      <c r="AN88" s="13"/>
      <c r="AO88" s="13"/>
      <c r="AP88" s="13"/>
      <c r="AQ88" s="13"/>
      <c r="AR88" s="14"/>
      <c r="AS88" s="15"/>
    </row>
    <row r="89" spans="1:45" s="17" customFormat="1" ht="30.95" hidden="1" customHeight="1" x14ac:dyDescent="0.2">
      <c r="A89" s="37"/>
      <c r="B89" s="38"/>
      <c r="C89" s="45"/>
      <c r="D89" s="31">
        <v>3694109</v>
      </c>
      <c r="E89" s="31">
        <v>4140870</v>
      </c>
      <c r="F89" s="268" t="str">
        <f>IF(D89="","",VLOOKUP(D89,契約台帳!$A$3:$K$4986,6,FALSE)&amp;VLOOKUP(D89,契約台帳!$A$3:$K$4986,7,FALSE)&amp;VLOOKUP(D89,契約台帳!$A$3:$K$4986,8,FALSE)&amp;VLOOKUP(D89,契約台帳!$A$3:$K$4986,9,FALSE)&amp;VLOOKUP(D89,契約台帳!$A$3:$K$4986,11,FALSE))</f>
        <v>3SNMCLBNGKEYKB</v>
      </c>
      <c r="G89" s="269" t="str">
        <f>IF(D89="","",VLOOKUP(F89,製品マスタ!$G$5:$H$5002,2,FALSE))</f>
        <v>S</v>
      </c>
      <c r="H89" s="269" t="str">
        <f>IF(D89="","",VLOOKUP(F89,製品マスタ!$G$5:$K$5002,5,FALSE))</f>
        <v>NGKEYKB</v>
      </c>
      <c r="I89" s="270" t="str">
        <f>IF(D89="","",VLOOKUP(F89,製品マスタ!$G$5:$L$5002,6,FALSE))</f>
        <v>メタルミー　ネーマー銀消ＥＹＫ　Ｂ</v>
      </c>
      <c r="J89" s="210" t="s">
        <v>801</v>
      </c>
      <c r="K89" s="270">
        <f>IF(D89="","",VLOOKUP(D89,契約台帳!$A$3:$L$4986,12,FALSE))</f>
        <v>16</v>
      </c>
      <c r="L89" s="270" t="str">
        <f>IF(D89="","",INDEX(製品マスタ!$Q$5:$Q$5002,MATCH('S4'!F89&amp;'S4'!K89,製品マスタ!$AO$5:$AO$5002,0)))</f>
        <v>LUMIMAT</v>
      </c>
      <c r="M89" s="39">
        <v>1005</v>
      </c>
      <c r="N89" s="39">
        <v>3200</v>
      </c>
      <c r="O89" s="156">
        <v>1</v>
      </c>
      <c r="P89" s="47"/>
      <c r="Q89" s="57"/>
      <c r="R89" s="271">
        <f ca="1">IF(D89="","",IF(OFFSET(D89,-1,0)&lt;&gt;"","",IF(OR(J89="リード付け",J89="巻足し",J89="巻返しリード付け"),M89,VLOOKUP(D89,契約台帳!$A$3:$N$4986,14,FALSE))))</f>
        <v>1005</v>
      </c>
      <c r="S89" s="272">
        <f ca="1">IF(D89="","",IF(OFFSET(D89,-1,0)&lt;&gt;"","",IF(OR(J89="リード付け",J89="巻足し",J89="巻返しリード付け"),M89,VLOOKUP(D89,契約台帳!$A$3:$O$4986,15,FALSE))))</f>
        <v>1000</v>
      </c>
      <c r="T89" s="273">
        <f ca="1">IF(D89="","",IF(J89="リード付け",N89,IF(J89="巻返しリード付け",N89,IF(J89="巻足し",N89*P89+OFFSET(N89,1,0)*OFFSET(P89,1,0),VLOOKUP(D89,契約台帳!$A$3:$P$4986,16,FALSE)))))</f>
        <v>3200</v>
      </c>
      <c r="U89" s="40">
        <v>1</v>
      </c>
      <c r="V89" s="274">
        <f ca="1">IF(D89="","",IF(OFFSET(D89,-2,0)=D89,"",VLOOKUP(D89,契約台帳!$A$3:$R$4986,18,FALSE)))</f>
        <v>1</v>
      </c>
      <c r="W89" s="269" t="str">
        <f ca="1">IF(D89="","",IF(T89="","",IF(OR(J89="巻足し",J89="巻返しリード付け"),"",IF(J89="巻返し",VLOOKUP(F89&amp;K89&amp;M89,製品マスタ!$M$5:$AD$5002,18,FALSE),IF(OR(J89="リード付け",J89="巻返しリード付け"),"原反コア",IF(J89="スリット",VLOOKUP(F89&amp;K89&amp;R89,製品マスタ!$N$5:$AD$5002,17,FALSE),""))))))</f>
        <v>6ｲﾝﾁMｺｱ</v>
      </c>
      <c r="X89" s="269">
        <f ca="1">IF(D89="","",IF(T89="","",IF(J89="巻足し","",IF(J89="巻返し",VLOOKUP(F89&amp;K89&amp;M89,製品マスタ!$M$5:$AE$5002,19,FALSE),IF(OR(J89="リード付け",J89="巻返しリード付け"),"",IF(J89="スリット",VLOOKUP(F89&amp;K89&amp;R89,製品マスタ!$N$5:$AE$5002,18,FALSE),""))))))</f>
        <v>1015</v>
      </c>
      <c r="Y89" s="275">
        <f ca="1">IF(D89="","",IF(T89="","",VLOOKUP(D89,契約台帳!$A$3:$Q$4986,17,FALSE)))</f>
        <v>2</v>
      </c>
      <c r="Z89" s="269" t="str">
        <f ca="1">IF(D89="","",IF(T89="","",VLOOKUP(D89,契約台帳!$A$3:$E$4986,5,FALSE)))</f>
        <v>リンテック㈱</v>
      </c>
      <c r="AA89" s="57">
        <v>44946</v>
      </c>
      <c r="AB89" s="207">
        <f>IFERROR((VLOOKUP(F89&amp;K89&amp;M89,製品マスタ!$M$5:$AM$5002,27,FALSE)),"")</f>
        <v>0</v>
      </c>
      <c r="AC89" s="33"/>
      <c r="AD89" s="189"/>
      <c r="AE89" s="54"/>
      <c r="AF89" s="55"/>
      <c r="AG89" s="43"/>
      <c r="AH89" s="47"/>
      <c r="AI89" s="30"/>
      <c r="AJ89" s="30"/>
      <c r="AK89" s="30"/>
      <c r="AL89" s="30"/>
      <c r="AM89" s="13"/>
      <c r="AN89" s="13"/>
      <c r="AO89" s="13"/>
      <c r="AP89" s="13"/>
      <c r="AQ89" s="13"/>
      <c r="AR89" s="14"/>
      <c r="AS89" s="15"/>
    </row>
    <row r="90" spans="1:45" s="17" customFormat="1" ht="30.95" hidden="1" customHeight="1" x14ac:dyDescent="0.2">
      <c r="A90" s="37"/>
      <c r="B90" s="38"/>
      <c r="C90" s="45"/>
      <c r="D90" s="31"/>
      <c r="E90" s="31"/>
      <c r="F90" s="268" t="str">
        <f>IF(D90="","",VLOOKUP(D90,契約台帳!$A$3:$K$4986,6,FALSE)&amp;VLOOKUP(D90,契約台帳!$A$3:$K$4986,7,FALSE)&amp;VLOOKUP(D90,契約台帳!$A$3:$K$4986,8,FALSE)&amp;VLOOKUP(D90,契約台帳!$A$3:$K$4986,9,FALSE)&amp;VLOOKUP(D90,契約台帳!$A$3:$K$4986,11,FALSE))</f>
        <v/>
      </c>
      <c r="G90" s="269" t="str">
        <f>IF(D90="","",VLOOKUP(F90,製品マスタ!$G$5:$H$5002,2,FALSE))</f>
        <v/>
      </c>
      <c r="H90" s="269" t="str">
        <f>IF(D90="","",VLOOKUP(F90,製品マスタ!$G$5:$K$5002,5,FALSE))</f>
        <v/>
      </c>
      <c r="I90" s="270" t="str">
        <f>IF(D90="","",VLOOKUP(F90,製品マスタ!$G$5:$L$5002,6,FALSE))</f>
        <v/>
      </c>
      <c r="J90" s="210"/>
      <c r="K90" s="270" t="str">
        <f>IF(D90="","",VLOOKUP(D90,契約台帳!$A$3:$L$4986,12,FALSE))</f>
        <v/>
      </c>
      <c r="L90" s="270" t="str">
        <f>IF(D90="","",INDEX(製品マスタ!$Q$5:$Q$5002,MATCH('S4'!F90&amp;'S4'!K90,製品マスタ!$AO$5:$AO$5002,0)))</f>
        <v/>
      </c>
      <c r="M90" s="39"/>
      <c r="N90" s="39"/>
      <c r="O90" s="156"/>
      <c r="P90" s="47"/>
      <c r="Q90" s="57"/>
      <c r="R90" s="271" t="str">
        <f ca="1">IF(D90="","",IF(OFFSET(D90,-1,0)&lt;&gt;"","",IF(OR(J90="リード付け",J90="巻足し",J90="巻返しリード付け"),M90,VLOOKUP(D90,契約台帳!$A$3:$N$4986,14,FALSE))))</f>
        <v/>
      </c>
      <c r="S90" s="272" t="str">
        <f ca="1">IF(D90="","",IF(OFFSET(D90,-1,0)&lt;&gt;"","",IF(OR(J90="リード付け",J90="巻足し",J90="巻返しリード付け"),M90,VLOOKUP(D90,契約台帳!$A$3:$O$4986,15,FALSE))))</f>
        <v/>
      </c>
      <c r="T90" s="273" t="str">
        <f ca="1">IF(D90="","",IF(J90="リード付け",N90,IF(J90="巻返しリード付け",N90,IF(J90="巻足し",N90*P90+OFFSET(N90,1,0)*OFFSET(P90,1,0),VLOOKUP(D90,契約台帳!$A$3:$P$4986,16,FALSE)))))</f>
        <v/>
      </c>
      <c r="U90" s="40"/>
      <c r="V90" s="274" t="str">
        <f ca="1">IF(D90="","",IF(OFFSET(D90,-2,0)=D90,"",VLOOKUP(D90,契約台帳!$A$3:$R$4986,18,FALSE)))</f>
        <v/>
      </c>
      <c r="W90" s="269" t="str">
        <f>IF(D90="","",IF(T90="","",IF(OR(J90="巻足し",J90="巻返しリード付け"),"",IF(J90="巻返し",VLOOKUP(F90&amp;K90&amp;M90,製品マスタ!$M$5:$AD$5002,18,FALSE),IF(OR(J90="リード付け",J90="巻返しリード付け"),"原反コア",IF(J90="スリット",VLOOKUP(F90&amp;K90&amp;R90,製品マスタ!$N$5:$AD$5002,17,FALSE),""))))))</f>
        <v/>
      </c>
      <c r="X90" s="269" t="str">
        <f>IF(D90="","",IF(T90="","",IF(J90="巻足し","",IF(J90="巻返し",VLOOKUP(F90&amp;K90&amp;M90,製品マスタ!$M$5:$AE$5002,19,FALSE),IF(OR(J90="リード付け",J90="巻返しリード付け"),"",IF(J90="スリット",VLOOKUP(F90&amp;K90&amp;R90,製品マスタ!$N$5:$AE$5002,18,FALSE),""))))))</f>
        <v/>
      </c>
      <c r="Y90" s="275" t="str">
        <f>IF(D90="","",IF(T90="","",VLOOKUP(D90,契約台帳!$A$3:$Q$4986,17,FALSE)))</f>
        <v/>
      </c>
      <c r="Z90" s="269" t="str">
        <f>IF(D90="","",IF(T90="","",VLOOKUP(D90,契約台帳!$A$3:$E$4986,5,FALSE)))</f>
        <v/>
      </c>
      <c r="AA90" s="57"/>
      <c r="AB90" s="207" t="str">
        <f>IFERROR((VLOOKUP(F90&amp;K90&amp;M90,製品マスタ!$M$5:$AM$5002,27,FALSE)),"")</f>
        <v/>
      </c>
      <c r="AC90" s="33"/>
      <c r="AD90" s="189"/>
      <c r="AE90" s="54"/>
      <c r="AF90" s="55"/>
      <c r="AG90" s="43"/>
      <c r="AH90" s="47"/>
      <c r="AI90" s="30"/>
      <c r="AJ90" s="30"/>
      <c r="AK90" s="30"/>
      <c r="AL90" s="30"/>
      <c r="AM90" s="13"/>
      <c r="AN90" s="13"/>
      <c r="AO90" s="13"/>
      <c r="AP90" s="13"/>
      <c r="AQ90" s="13"/>
      <c r="AR90" s="14"/>
      <c r="AS90" s="15"/>
    </row>
    <row r="91" spans="1:45" s="17" customFormat="1" ht="30.95" hidden="1" customHeight="1" x14ac:dyDescent="0.2">
      <c r="A91" s="37"/>
      <c r="B91" s="38"/>
      <c r="C91" s="45"/>
      <c r="D91" s="31">
        <v>3694098</v>
      </c>
      <c r="E91" s="31">
        <v>4140862</v>
      </c>
      <c r="F91" s="268" t="str">
        <f>IF(D91="","",VLOOKUP(D91,契約台帳!$A$3:$K$4986,6,FALSE)&amp;VLOOKUP(D91,契約台帳!$A$3:$K$4986,7,FALSE)&amp;VLOOKUP(D91,契約台帳!$A$3:$K$4986,8,FALSE)&amp;VLOOKUP(D91,契約台帳!$A$3:$K$4986,9,FALSE)&amp;VLOOKUP(D91,契約台帳!$A$3:$K$4986,11,FALSE))</f>
        <v>3HSNMCLBEYK</v>
      </c>
      <c r="G91" s="269" t="str">
        <f>IF(D91="","",VLOOKUP(F91,製品マスタ!$G$5:$H$5002,2,FALSE))</f>
        <v>S</v>
      </c>
      <c r="H91" s="269" t="str">
        <f>IF(D91="","",VLOOKUP(F91,製品マスタ!$G$5:$K$5002,5,FALSE))</f>
        <v>EYK</v>
      </c>
      <c r="I91" s="270" t="str">
        <f>IF(D91="","",VLOOKUP(F91,製品マスタ!$G$5:$L$5002,6,FALSE))</f>
        <v>メタルミー　ＥＹＫ</v>
      </c>
      <c r="J91" s="210" t="s">
        <v>801</v>
      </c>
      <c r="K91" s="270">
        <f>IF(D91="","",VLOOKUP(D91,契約台帳!$A$3:$L$4986,12,FALSE))</f>
        <v>50</v>
      </c>
      <c r="L91" s="270" t="str">
        <f>IF(D91="","",INDEX(製品マスタ!$Q$5:$Q$5002,MATCH('S4'!F91&amp;'S4'!K91,製品マスタ!$AO$5:$AO$5002,0)))</f>
        <v>T62M</v>
      </c>
      <c r="M91" s="39">
        <v>1195</v>
      </c>
      <c r="N91" s="39">
        <v>12200</v>
      </c>
      <c r="O91" s="156">
        <v>3</v>
      </c>
      <c r="P91" s="47">
        <v>2</v>
      </c>
      <c r="Q91" s="57"/>
      <c r="R91" s="271">
        <f ca="1">IF(D91="","",IF(OFFSET(D91,-1,0)&lt;&gt;"","",IF(OR(J91="リード付け",J91="巻足し",J91="巻返しリード付け"),M91,VLOOKUP(D91,契約台帳!$A$3:$N$4986,14,FALSE))))</f>
        <v>1190</v>
      </c>
      <c r="S91" s="272">
        <f ca="1">IF(D91="","",IF(OFFSET(D91,-1,0)&lt;&gt;"","",IF(OR(J91="リード付け",J91="巻足し",J91="巻返しリード付け"),M91,VLOOKUP(D91,契約台帳!$A$3:$O$4986,15,FALSE))))</f>
        <v>1190</v>
      </c>
      <c r="T91" s="273">
        <f ca="1">IF(D91="","",IF(J91="リード付け",N91,IF(J91="巻返しリード付け",N91,IF(J91="巻足し",N91*P91+OFFSET(N91,1,0)*OFFSET(P91,1,0),VLOOKUP(D91,契約台帳!$A$3:$P$4986,16,FALSE)))))</f>
        <v>6000</v>
      </c>
      <c r="U91" s="40">
        <v>6</v>
      </c>
      <c r="V91" s="274">
        <f ca="1">IF(D91="","",IF(OFFSET(D91,-2,0)=D91,"",VLOOKUP(D91,契約台帳!$A$3:$R$4986,18,FALSE)))</f>
        <v>8</v>
      </c>
      <c r="W91" s="269" t="str">
        <f ca="1">IF(D91="","",IF(T91="","",IF(OR(J91="巻足し",J91="巻返しリード付け"),"",IF(J91="巻返し",VLOOKUP(F91&amp;K91&amp;M91,製品マスタ!$M$5:$AD$5002,18,FALSE),IF(OR(J91="リード付け",J91="巻返しリード付け"),"原反コア",IF(J91="スリット",VLOOKUP(F91&amp;K91&amp;R91,製品マスタ!$N$5:$AD$5002,17,FALSE),""))))))</f>
        <v>6ｲﾝﾁMｺｱ</v>
      </c>
      <c r="X91" s="269">
        <f ca="1">IF(D91="","",IF(T91="","",IF(J91="巻足し","",IF(J91="巻返し",VLOOKUP(F91&amp;K91&amp;M91,製品マスタ!$M$5:$AE$5002,19,FALSE),IF(OR(J91="リード付け",J91="巻返しリード付け"),"",IF(J91="スリット",VLOOKUP(F91&amp;K91&amp;R91,製品マスタ!$N$5:$AE$5002,18,FALSE),""))))))</f>
        <v>1220</v>
      </c>
      <c r="Y91" s="275">
        <f ca="1">IF(D91="","",IF(T91="","",VLOOKUP(D91,契約台帳!$A$3:$Q$4986,17,FALSE)))</f>
        <v>2</v>
      </c>
      <c r="Z91" s="269" t="str">
        <f ca="1">IF(D91="","",IF(T91="","",VLOOKUP(D91,契約台帳!$A$3:$E$4986,5,FALSE)))</f>
        <v>大阪シーリング印刷㈱</v>
      </c>
      <c r="AA91" s="57">
        <v>44946</v>
      </c>
      <c r="AB91" s="207" t="str">
        <f>IFERROR((VLOOKUP(F91&amp;K91&amp;M91,製品マスタ!$M$5:$AM$5002,27,FALSE)),"")</f>
        <v>原反ケース再利用</v>
      </c>
      <c r="AC91" s="33"/>
      <c r="AD91" s="189"/>
      <c r="AE91" s="54"/>
      <c r="AF91" s="55"/>
      <c r="AG91" s="43"/>
      <c r="AH91" s="47"/>
      <c r="AI91" s="30"/>
      <c r="AJ91" s="30"/>
      <c r="AK91" s="30"/>
      <c r="AL91" s="30"/>
      <c r="AM91" s="13"/>
      <c r="AN91" s="13"/>
      <c r="AO91" s="13"/>
      <c r="AP91" s="13"/>
      <c r="AQ91" s="13"/>
      <c r="AR91" s="14"/>
      <c r="AS91" s="15"/>
    </row>
    <row r="92" spans="1:45" s="17" customFormat="1" ht="30.95" hidden="1" customHeight="1" x14ac:dyDescent="0.2">
      <c r="A92" s="37"/>
      <c r="B92" s="38"/>
      <c r="C92" s="45"/>
      <c r="D92" s="31"/>
      <c r="E92" s="31"/>
      <c r="F92" s="268" t="str">
        <f>IF(D92="","",VLOOKUP(D92,契約台帳!$A$3:$K$4986,6,FALSE)&amp;VLOOKUP(D92,契約台帳!$A$3:$K$4986,7,FALSE)&amp;VLOOKUP(D92,契約台帳!$A$3:$K$4986,8,FALSE)&amp;VLOOKUP(D92,契約台帳!$A$3:$K$4986,9,FALSE)&amp;VLOOKUP(D92,契約台帳!$A$3:$K$4986,11,FALSE))</f>
        <v/>
      </c>
      <c r="G92" s="269" t="str">
        <f>IF(D92="","",VLOOKUP(F92,製品マスタ!$G$5:$H$5002,2,FALSE))</f>
        <v/>
      </c>
      <c r="H92" s="269" t="str">
        <f>IF(D92="","",VLOOKUP(F92,製品マスタ!$G$5:$K$5002,5,FALSE))</f>
        <v/>
      </c>
      <c r="I92" s="270" t="str">
        <f>IF(D92="","",VLOOKUP(F92,製品マスタ!$G$5:$L$5002,6,FALSE))</f>
        <v/>
      </c>
      <c r="J92" s="210"/>
      <c r="K92" s="270" t="str">
        <f>IF(D92="","",VLOOKUP(D92,契約台帳!$A$3:$L$4986,12,FALSE))</f>
        <v/>
      </c>
      <c r="L92" s="270" t="str">
        <f>IF(D92="","",INDEX(製品マスタ!$Q$5:$Q$5002,MATCH('S4'!F92&amp;'S4'!K92,製品マスタ!$AO$5:$AO$5002,0)))</f>
        <v/>
      </c>
      <c r="M92" s="39"/>
      <c r="N92" s="39"/>
      <c r="O92" s="156"/>
      <c r="P92" s="47"/>
      <c r="Q92" s="57"/>
      <c r="R92" s="271" t="str">
        <f ca="1">IF(D92="","",IF(OFFSET(D92,-1,0)&lt;&gt;"","",IF(OR(J92="リード付け",J92="巻足し",J92="巻返しリード付け"),M92,VLOOKUP(D92,契約台帳!$A$3:$N$4986,14,FALSE))))</f>
        <v/>
      </c>
      <c r="S92" s="272" t="str">
        <f ca="1">IF(D92="","",IF(OFFSET(D92,-1,0)&lt;&gt;"","",IF(OR(J92="リード付け",J92="巻足し",J92="巻返しリード付け"),M92,VLOOKUP(D92,契約台帳!$A$3:$O$4986,15,FALSE))))</f>
        <v/>
      </c>
      <c r="T92" s="273" t="str">
        <f ca="1">IF(D92="","",IF(J92="リード付け",N92,IF(J92="巻返しリード付け",N92,IF(J92="巻足し",N92*P92+OFFSET(N92,1,0)*OFFSET(P92,1,0),VLOOKUP(D92,契約台帳!$A$3:$P$4986,16,FALSE)))))</f>
        <v/>
      </c>
      <c r="U92" s="40"/>
      <c r="V92" s="274" t="str">
        <f ca="1">IF(D92="","",IF(OFFSET(D92,-2,0)=D92,"",VLOOKUP(D92,契約台帳!$A$3:$R$4986,18,FALSE)))</f>
        <v/>
      </c>
      <c r="W92" s="269" t="str">
        <f>IF(D92="","",IF(T92="","",IF(OR(J92="巻足し",J92="巻返しリード付け"),"",IF(J92="巻返し",VLOOKUP(F92&amp;K92&amp;M92,製品マスタ!$M$5:$AD$5002,18,FALSE),IF(OR(J92="リード付け",J92="巻返しリード付け"),"原反コア",IF(J92="スリット",VLOOKUP(F92&amp;K92&amp;R92,製品マスタ!$N$5:$AD$5002,17,FALSE),""))))))</f>
        <v/>
      </c>
      <c r="X92" s="269" t="str">
        <f>IF(D92="","",IF(T92="","",IF(J92="巻足し","",IF(J92="巻返し",VLOOKUP(F92&amp;K92&amp;M92,製品マスタ!$M$5:$AE$5002,19,FALSE),IF(OR(J92="リード付け",J92="巻返しリード付け"),"",IF(J92="スリット",VLOOKUP(F92&amp;K92&amp;R92,製品マスタ!$N$5:$AE$5002,18,FALSE),""))))))</f>
        <v/>
      </c>
      <c r="Y92" s="275" t="str">
        <f>IF(D92="","",IF(T92="","",VLOOKUP(D92,契約台帳!$A$3:$Q$4986,17,FALSE)))</f>
        <v/>
      </c>
      <c r="Z92" s="269" t="str">
        <f>IF(D92="","",IF(T92="","",VLOOKUP(D92,契約台帳!$A$3:$E$4986,5,FALSE)))</f>
        <v/>
      </c>
      <c r="AA92" s="57"/>
      <c r="AB92" s="207" t="str">
        <f>IFERROR((VLOOKUP(F92&amp;K92&amp;M92,製品マスタ!$M$5:$AM$5002,27,FALSE)),"")</f>
        <v/>
      </c>
      <c r="AC92" s="33"/>
      <c r="AD92" s="189"/>
      <c r="AE92" s="54"/>
      <c r="AF92" s="55"/>
      <c r="AG92" s="43"/>
      <c r="AH92" s="47"/>
      <c r="AI92" s="30"/>
      <c r="AJ92" s="30"/>
      <c r="AK92" s="30"/>
      <c r="AL92" s="30"/>
      <c r="AM92" s="13"/>
      <c r="AN92" s="13"/>
      <c r="AO92" s="13"/>
      <c r="AP92" s="13"/>
      <c r="AQ92" s="13"/>
      <c r="AR92" s="14"/>
      <c r="AS92" s="15"/>
    </row>
    <row r="93" spans="1:45" s="17" customFormat="1" ht="30.95" hidden="1" customHeight="1" x14ac:dyDescent="0.2">
      <c r="A93" s="37" t="s">
        <v>802</v>
      </c>
      <c r="B93" s="38" t="s">
        <v>803</v>
      </c>
      <c r="C93" s="45"/>
      <c r="D93" s="31">
        <v>3694098</v>
      </c>
      <c r="E93" s="31">
        <v>4140862</v>
      </c>
      <c r="F93" s="268" t="str">
        <f>IF(D93="","",VLOOKUP(D93,契約台帳!$A$3:$K$4986,6,FALSE)&amp;VLOOKUP(D93,契約台帳!$A$3:$K$4986,7,FALSE)&amp;VLOOKUP(D93,契約台帳!$A$3:$K$4986,8,FALSE)&amp;VLOOKUP(D93,契約台帳!$A$3:$K$4986,9,FALSE)&amp;VLOOKUP(D93,契約台帳!$A$3:$K$4986,11,FALSE))</f>
        <v>3HSNMCLBEYK</v>
      </c>
      <c r="G93" s="269" t="str">
        <f>IF(D93="","",VLOOKUP(F93,製品マスタ!$G$5:$H$5002,2,FALSE))</f>
        <v>S</v>
      </c>
      <c r="H93" s="269" t="str">
        <f>IF(D93="","",VLOOKUP(F93,製品マスタ!$G$5:$K$5002,5,FALSE))</f>
        <v>EYK</v>
      </c>
      <c r="I93" s="270" t="str">
        <f>IF(D93="","",VLOOKUP(F93,製品マスタ!$G$5:$L$5002,6,FALSE))</f>
        <v>メタルミー　ＥＹＫ</v>
      </c>
      <c r="J93" s="210" t="s">
        <v>801</v>
      </c>
      <c r="K93" s="270">
        <f>IF(D93="","",VLOOKUP(D93,契約台帳!$A$3:$L$4986,12,FALSE))</f>
        <v>50</v>
      </c>
      <c r="L93" s="270" t="str">
        <f>IF(D93="","",INDEX(製品マスタ!$Q$5:$Q$5002,MATCH('S4'!F93&amp;'S4'!K93,製品マスタ!$AO$5:$AO$5002,0)))</f>
        <v>T62M</v>
      </c>
      <c r="M93" s="39">
        <v>1195</v>
      </c>
      <c r="N93" s="39">
        <v>12200</v>
      </c>
      <c r="O93" s="156">
        <v>1</v>
      </c>
      <c r="P93" s="47">
        <v>2</v>
      </c>
      <c r="Q93" s="57"/>
      <c r="R93" s="271">
        <f ca="1">IF(D93="","",IF(OFFSET(D93,-1,0)&lt;&gt;"","",IF(OR(J93="リード付け",J93="巻足し",J93="巻返しリード付け"),M93,VLOOKUP(D93,契約台帳!$A$3:$N$4986,14,FALSE))))</f>
        <v>1190</v>
      </c>
      <c r="S93" s="272">
        <f ca="1">IF(D93="","",IF(OFFSET(D93,-1,0)&lt;&gt;"","",IF(OR(J93="リード付け",J93="巻足し",J93="巻返しリード付け"),M93,VLOOKUP(D93,契約台帳!$A$3:$O$4986,15,FALSE))))</f>
        <v>1190</v>
      </c>
      <c r="T93" s="273">
        <f ca="1">IF(D93="","",IF(J93="リード付け",N93,IF(J93="巻返しリード付け",N93,IF(J93="巻足し",N93*P93+OFFSET(N93,1,0)*OFFSET(P93,1,0),VLOOKUP(D93,契約台帳!$A$3:$P$4986,16,FALSE)))))</f>
        <v>6000</v>
      </c>
      <c r="U93" s="40">
        <v>2</v>
      </c>
      <c r="V93" s="274" t="str">
        <f ca="1">IF(D93="","",IF(OFFSET(D93,-2,0)=D93,"",VLOOKUP(D93,契約台帳!$A$3:$R$4986,18,FALSE)))</f>
        <v/>
      </c>
      <c r="W93" s="269" t="str">
        <f ca="1">IF(D93="","",IF(T93="","",IF(OR(J93="巻足し",J93="巻返しリード付け"),"",IF(J93="巻返し",VLOOKUP(F93&amp;K93&amp;M93,製品マスタ!$M$5:$AD$5002,18,FALSE),IF(OR(J93="リード付け",J93="巻返しリード付け"),"原反コア",IF(J93="スリット",VLOOKUP(F93&amp;K93&amp;R93,製品マスタ!$N$5:$AD$5002,17,FALSE),""))))))</f>
        <v>6ｲﾝﾁMｺｱ</v>
      </c>
      <c r="X93" s="269">
        <f ca="1">IF(D93="","",IF(T93="","",IF(J93="巻足し","",IF(J93="巻返し",VLOOKUP(F93&amp;K93&amp;M93,製品マスタ!$M$5:$AE$5002,19,FALSE),IF(OR(J93="リード付け",J93="巻返しリード付け"),"",IF(J93="スリット",VLOOKUP(F93&amp;K93&amp;R93,製品マスタ!$N$5:$AE$5002,18,FALSE),""))))))</f>
        <v>1220</v>
      </c>
      <c r="Y93" s="275">
        <f ca="1">IF(D93="","",IF(T93="","",VLOOKUP(D93,契約台帳!$A$3:$Q$4986,17,FALSE)))</f>
        <v>2</v>
      </c>
      <c r="Z93" s="269" t="str">
        <f ca="1">IF(D93="","",IF(T93="","",VLOOKUP(D93,契約台帳!$A$3:$E$4986,5,FALSE)))</f>
        <v>大阪シーリング印刷㈱</v>
      </c>
      <c r="AA93" s="57">
        <v>44949</v>
      </c>
      <c r="AB93" s="207" t="str">
        <f>IFERROR((VLOOKUP(F93&amp;K93&amp;M93,製品マスタ!$M$5:$AM$5002,27,FALSE)),"")</f>
        <v>原反ケース再利用</v>
      </c>
      <c r="AC93" s="33"/>
      <c r="AD93" s="189"/>
      <c r="AE93" s="54"/>
      <c r="AF93" s="55"/>
      <c r="AG93" s="43"/>
      <c r="AH93" s="47"/>
      <c r="AI93" s="30"/>
      <c r="AJ93" s="30"/>
      <c r="AK93" s="30"/>
      <c r="AL93" s="30"/>
      <c r="AM93" s="13"/>
      <c r="AN93" s="13"/>
      <c r="AO93" s="13"/>
      <c r="AP93" s="13"/>
      <c r="AQ93" s="13"/>
      <c r="AR93" s="14"/>
      <c r="AS93" s="15"/>
    </row>
    <row r="94" spans="1:45" s="17" customFormat="1" ht="30.95" hidden="1" customHeight="1" x14ac:dyDescent="0.2">
      <c r="A94" s="37"/>
      <c r="B94" s="38"/>
      <c r="C94" s="45"/>
      <c r="D94" s="31"/>
      <c r="E94" s="31"/>
      <c r="F94" s="268" t="str">
        <f>IF(D94="","",VLOOKUP(D94,契約台帳!$A$3:$K$4986,6,FALSE)&amp;VLOOKUP(D94,契約台帳!$A$3:$K$4986,7,FALSE)&amp;VLOOKUP(D94,契約台帳!$A$3:$K$4986,8,FALSE)&amp;VLOOKUP(D94,契約台帳!$A$3:$K$4986,9,FALSE)&amp;VLOOKUP(D94,契約台帳!$A$3:$K$4986,11,FALSE))</f>
        <v/>
      </c>
      <c r="G94" s="269" t="str">
        <f>IF(D94="","",VLOOKUP(F94,製品マスタ!$G$5:$H$5002,2,FALSE))</f>
        <v/>
      </c>
      <c r="H94" s="269" t="str">
        <f>IF(D94="","",VLOOKUP(F94,製品マスタ!$G$5:$K$5002,5,FALSE))</f>
        <v/>
      </c>
      <c r="I94" s="270" t="str">
        <f>IF(D94="","",VLOOKUP(F94,製品マスタ!$G$5:$L$5002,6,FALSE))</f>
        <v/>
      </c>
      <c r="J94" s="210"/>
      <c r="K94" s="270" t="str">
        <f>IF(D94="","",VLOOKUP(D94,契約台帳!$A$3:$L$4986,12,FALSE))</f>
        <v/>
      </c>
      <c r="L94" s="270" t="str">
        <f>IF(D94="","",INDEX(製品マスタ!$Q$5:$Q$5002,MATCH('S4'!F94&amp;'S4'!K94,製品マスタ!$AO$5:$AO$5002,0)))</f>
        <v/>
      </c>
      <c r="M94" s="39"/>
      <c r="N94" s="39"/>
      <c r="O94" s="156"/>
      <c r="P94" s="47"/>
      <c r="Q94" s="57"/>
      <c r="R94" s="271" t="str">
        <f ca="1">IF(D94="","",IF(OFFSET(D94,-1,0)&lt;&gt;"","",IF(OR(J94="リード付け",J94="巻足し",J94="巻返しリード付け"),M94,VLOOKUP(D94,契約台帳!$A$3:$N$4986,14,FALSE))))</f>
        <v/>
      </c>
      <c r="S94" s="272" t="str">
        <f ca="1">IF(D94="","",IF(OFFSET(D94,-1,0)&lt;&gt;"","",IF(OR(J94="リード付け",J94="巻足し",J94="巻返しリード付け"),M94,VLOOKUP(D94,契約台帳!$A$3:$O$4986,15,FALSE))))</f>
        <v/>
      </c>
      <c r="T94" s="273" t="str">
        <f ca="1">IF(D94="","",IF(J94="リード付け",N94,IF(J94="巻返しリード付け",N94,IF(J94="巻足し",N94*P94+OFFSET(N94,1,0)*OFFSET(P94,1,0),VLOOKUP(D94,契約台帳!$A$3:$P$4986,16,FALSE)))))</f>
        <v/>
      </c>
      <c r="U94" s="40"/>
      <c r="V94" s="274" t="str">
        <f ca="1">IF(D94="","",IF(OFFSET(D94,-2,0)=D94,"",VLOOKUP(D94,契約台帳!$A$3:$R$4986,18,FALSE)))</f>
        <v/>
      </c>
      <c r="W94" s="269" t="str">
        <f>IF(D94="","",IF(T94="","",IF(OR(J94="巻足し",J94="巻返しリード付け"),"",IF(J94="巻返し",VLOOKUP(F94&amp;K94&amp;M94,製品マスタ!$M$5:$AD$5002,18,FALSE),IF(OR(J94="リード付け",J94="巻返しリード付け"),"原反コア",IF(J94="スリット",VLOOKUP(F94&amp;K94&amp;R94,製品マスタ!$N$5:$AD$5002,17,FALSE),""))))))</f>
        <v/>
      </c>
      <c r="X94" s="269" t="str">
        <f>IF(D94="","",IF(T94="","",IF(J94="巻足し","",IF(J94="巻返し",VLOOKUP(F94&amp;K94&amp;M94,製品マスタ!$M$5:$AE$5002,19,FALSE),IF(OR(J94="リード付け",J94="巻返しリード付け"),"",IF(J94="スリット",VLOOKUP(F94&amp;K94&amp;R94,製品マスタ!$N$5:$AE$5002,18,FALSE),""))))))</f>
        <v/>
      </c>
      <c r="Y94" s="275" t="str">
        <f>IF(D94="","",IF(T94="","",VLOOKUP(D94,契約台帳!$A$3:$Q$4986,17,FALSE)))</f>
        <v/>
      </c>
      <c r="Z94" s="269" t="str">
        <f>IF(D94="","",IF(T94="","",VLOOKUP(D94,契約台帳!$A$3:$E$4986,5,FALSE)))</f>
        <v/>
      </c>
      <c r="AA94" s="57"/>
      <c r="AB94" s="207" t="str">
        <f>IFERROR((VLOOKUP(F94&amp;K94&amp;M94,製品マスタ!$M$5:$AM$5002,27,FALSE)),"")</f>
        <v/>
      </c>
      <c r="AC94" s="33"/>
      <c r="AD94" s="189"/>
      <c r="AE94" s="54"/>
      <c r="AF94" s="55"/>
      <c r="AG94" s="43"/>
      <c r="AH94" s="47"/>
      <c r="AI94" s="30"/>
      <c r="AJ94" s="30"/>
      <c r="AK94" s="30"/>
      <c r="AL94" s="30"/>
      <c r="AM94" s="13"/>
      <c r="AN94" s="13"/>
      <c r="AO94" s="13"/>
      <c r="AP94" s="13"/>
      <c r="AQ94" s="13"/>
      <c r="AR94" s="14"/>
      <c r="AS94" s="15"/>
    </row>
    <row r="95" spans="1:45" s="17" customFormat="1" ht="30.95" hidden="1" customHeight="1" x14ac:dyDescent="0.2">
      <c r="A95" s="37"/>
      <c r="B95" s="38"/>
      <c r="C95" s="45"/>
      <c r="D95" s="31">
        <v>3694099</v>
      </c>
      <c r="E95" s="31">
        <v>4140865</v>
      </c>
      <c r="F95" s="268" t="str">
        <f>IF(D95="","",VLOOKUP(D95,契約台帳!$A$3:$K$4986,6,FALSE)&amp;VLOOKUP(D95,契約台帳!$A$3:$K$4986,7,FALSE)&amp;VLOOKUP(D95,契約台帳!$A$3:$K$4986,8,FALSE)&amp;VLOOKUP(D95,契約台帳!$A$3:$K$4986,9,FALSE)&amp;VLOOKUP(D95,契約台帳!$A$3:$K$4986,11,FALSE))</f>
        <v>3SNMCLBEYK</v>
      </c>
      <c r="G95" s="269" t="str">
        <f>IF(D95="","",VLOOKUP(F95,製品マスタ!$G$5:$H$5002,2,FALSE))</f>
        <v>S</v>
      </c>
      <c r="H95" s="269" t="str">
        <f>IF(D95="","",VLOOKUP(F95,製品マスタ!$G$5:$K$5002,5,FALSE))</f>
        <v>EYK</v>
      </c>
      <c r="I95" s="270" t="str">
        <f>IF(D95="","",VLOOKUP(F95,製品マスタ!$G$5:$L$5002,6,FALSE))</f>
        <v>メタルミー　ＥＹＫ</v>
      </c>
      <c r="J95" s="210" t="s">
        <v>801</v>
      </c>
      <c r="K95" s="270">
        <f>IF(D95="","",VLOOKUP(D95,契約台帳!$A$3:$L$4986,12,FALSE))</f>
        <v>50</v>
      </c>
      <c r="L95" s="270" t="str">
        <f>IF(D95="","",INDEX(製品マスタ!$Q$5:$Q$5002,MATCH('S4'!F95&amp;'S4'!K95,製品マスタ!$AO$5:$AO$5002,0)))</f>
        <v>T62M</v>
      </c>
      <c r="M95" s="39">
        <v>1125</v>
      </c>
      <c r="N95" s="39">
        <v>12200</v>
      </c>
      <c r="O95" s="156">
        <v>1</v>
      </c>
      <c r="P95" s="47">
        <v>2</v>
      </c>
      <c r="Q95" s="57"/>
      <c r="R95" s="271">
        <f ca="1">IF(D95="","",IF(OFFSET(D95,-1,0)&lt;&gt;"","",IF(OR(J95="リード付け",J95="巻足し",J95="巻返しリード付け"),M95,VLOOKUP(D95,契約台帳!$A$3:$N$4986,14,FALSE))))</f>
        <v>1120</v>
      </c>
      <c r="S95" s="272">
        <f ca="1">IF(D95="","",IF(OFFSET(D95,-1,0)&lt;&gt;"","",IF(OR(J95="リード付け",J95="巻足し",J95="巻返しリード付け"),M95,VLOOKUP(D95,契約台帳!$A$3:$O$4986,15,FALSE))))</f>
        <v>1120</v>
      </c>
      <c r="T95" s="273">
        <f ca="1">IF(D95="","",IF(J95="リード付け",N95,IF(J95="巻返しリード付け",N95,IF(J95="巻足し",N95*P95+OFFSET(N95,1,0)*OFFSET(P95,1,0),VLOOKUP(D95,契約台帳!$A$3:$P$4986,16,FALSE)))))</f>
        <v>6000</v>
      </c>
      <c r="U95" s="40">
        <v>2</v>
      </c>
      <c r="V95" s="274">
        <f ca="1">IF(D95="","",IF(OFFSET(D95,-2,0)=D95,"",VLOOKUP(D95,契約台帳!$A$3:$R$4986,18,FALSE)))</f>
        <v>2</v>
      </c>
      <c r="W95" s="269" t="str">
        <f ca="1">IF(D95="","",IF(T95="","",IF(OR(J95="巻足し",J95="巻返しリード付け"),"",IF(J95="巻返し",VLOOKUP(F95&amp;K95&amp;M95,製品マスタ!$M$5:$AD$5002,18,FALSE),IF(OR(J95="リード付け",J95="巻返しリード付け"),"原反コア",IF(J95="スリット",VLOOKUP(F95&amp;K95&amp;R95,製品マスタ!$N$5:$AD$5002,17,FALSE),""))))))</f>
        <v>6ｲﾝﾁMｺｱ</v>
      </c>
      <c r="X95" s="269">
        <f ca="1">IF(D95="","",IF(T95="","",IF(J95="巻足し","",IF(J95="巻返し",VLOOKUP(F95&amp;K95&amp;M95,製品マスタ!$M$5:$AE$5002,19,FALSE),IF(OR(J95="リード付け",J95="巻返しリード付け"),"",IF(J95="スリット",VLOOKUP(F95&amp;K95&amp;R95,製品マスタ!$N$5:$AE$5002,18,FALSE),""))))))</f>
        <v>1140</v>
      </c>
      <c r="Y95" s="275">
        <f ca="1">IF(D95="","",IF(T95="","",VLOOKUP(D95,契約台帳!$A$3:$Q$4986,17,FALSE)))</f>
        <v>2</v>
      </c>
      <c r="Z95" s="269" t="str">
        <f ca="1">IF(D95="","",IF(T95="","",VLOOKUP(D95,契約台帳!$A$3:$E$4986,5,FALSE)))</f>
        <v>新タック化成㈱</v>
      </c>
      <c r="AA95" s="57">
        <v>44949</v>
      </c>
      <c r="AB95" s="207" t="str">
        <f>IFERROR((VLOOKUP(F95&amp;K95&amp;M95,製品マスタ!$M$5:$AM$5002,27,FALSE)),"")</f>
        <v>原反ケース再利用</v>
      </c>
      <c r="AC95" s="33"/>
      <c r="AD95" s="189"/>
      <c r="AE95" s="54"/>
      <c r="AF95" s="55"/>
      <c r="AG95" s="43"/>
      <c r="AH95" s="47"/>
      <c r="AI95" s="30"/>
      <c r="AJ95" s="30"/>
      <c r="AK95" s="30"/>
      <c r="AL95" s="30"/>
      <c r="AM95" s="13"/>
      <c r="AN95" s="13"/>
      <c r="AO95" s="13"/>
      <c r="AP95" s="13"/>
      <c r="AQ95" s="13"/>
      <c r="AR95" s="14"/>
      <c r="AS95" s="15"/>
    </row>
    <row r="96" spans="1:45" s="17" customFormat="1" ht="30.95" hidden="1" customHeight="1" x14ac:dyDescent="0.2">
      <c r="A96" s="37"/>
      <c r="B96" s="38"/>
      <c r="C96" s="45"/>
      <c r="D96" s="31"/>
      <c r="E96" s="31"/>
      <c r="F96" s="268" t="str">
        <f>IF(D96="","",VLOOKUP(D96,契約台帳!$A$3:$K$4986,6,FALSE)&amp;VLOOKUP(D96,契約台帳!$A$3:$K$4986,7,FALSE)&amp;VLOOKUP(D96,契約台帳!$A$3:$K$4986,8,FALSE)&amp;VLOOKUP(D96,契約台帳!$A$3:$K$4986,9,FALSE)&amp;VLOOKUP(D96,契約台帳!$A$3:$K$4986,11,FALSE))</f>
        <v/>
      </c>
      <c r="G96" s="269" t="str">
        <f>IF(D96="","",VLOOKUP(F96,製品マスタ!$G$5:$H$5002,2,FALSE))</f>
        <v/>
      </c>
      <c r="H96" s="269" t="str">
        <f>IF(D96="","",VLOOKUP(F96,製品マスタ!$G$5:$K$5002,5,FALSE))</f>
        <v/>
      </c>
      <c r="I96" s="270" t="str">
        <f>IF(D96="","",VLOOKUP(F96,製品マスタ!$G$5:$L$5002,6,FALSE))</f>
        <v/>
      </c>
      <c r="J96" s="210"/>
      <c r="K96" s="270" t="str">
        <f>IF(D96="","",VLOOKUP(D96,契約台帳!$A$3:$L$4986,12,FALSE))</f>
        <v/>
      </c>
      <c r="L96" s="270" t="str">
        <f>IF(D96="","",INDEX(製品マスタ!$Q$5:$Q$5002,MATCH('S4'!F96&amp;'S4'!K96,製品マスタ!$AO$5:$AO$5002,0)))</f>
        <v/>
      </c>
      <c r="M96" s="39"/>
      <c r="N96" s="39"/>
      <c r="O96" s="156"/>
      <c r="P96" s="47"/>
      <c r="Q96" s="57"/>
      <c r="R96" s="271" t="str">
        <f ca="1">IF(D96="","",IF(OFFSET(D96,-1,0)&lt;&gt;"","",IF(OR(J96="リード付け",J96="巻足し",J96="巻返しリード付け"),M96,VLOOKUP(D96,契約台帳!$A$3:$N$4986,14,FALSE))))</f>
        <v/>
      </c>
      <c r="S96" s="272" t="str">
        <f ca="1">IF(D96="","",IF(OFFSET(D96,-1,0)&lt;&gt;"","",IF(OR(J96="リード付け",J96="巻足し",J96="巻返しリード付け"),M96,VLOOKUP(D96,契約台帳!$A$3:$O$4986,15,FALSE))))</f>
        <v/>
      </c>
      <c r="T96" s="273" t="str">
        <f ca="1">IF(D96="","",IF(J96="リード付け",N96,IF(J96="巻返しリード付け",N96,IF(J96="巻足し",N96*P96+OFFSET(N96,1,0)*OFFSET(P96,1,0),VLOOKUP(D96,契約台帳!$A$3:$P$4986,16,FALSE)))))</f>
        <v/>
      </c>
      <c r="U96" s="40"/>
      <c r="V96" s="274" t="str">
        <f ca="1">IF(D96="","",IF(OFFSET(D96,-2,0)=D96,"",VLOOKUP(D96,契約台帳!$A$3:$R$4986,18,FALSE)))</f>
        <v/>
      </c>
      <c r="W96" s="269" t="str">
        <f>IF(D96="","",IF(T96="","",IF(OR(J96="巻足し",J96="巻返しリード付け"),"",IF(J96="巻返し",VLOOKUP(F96&amp;K96&amp;M96,製品マスタ!$M$5:$AD$5002,18,FALSE),IF(OR(J96="リード付け",J96="巻返しリード付け"),"原反コア",IF(J96="スリット",VLOOKUP(F96&amp;K96&amp;R96,製品マスタ!$N$5:$AD$5002,17,FALSE),""))))))</f>
        <v/>
      </c>
      <c r="X96" s="269" t="str">
        <f>IF(D96="","",IF(T96="","",IF(J96="巻足し","",IF(J96="巻返し",VLOOKUP(F96&amp;K96&amp;M96,製品マスタ!$M$5:$AE$5002,19,FALSE),IF(OR(J96="リード付け",J96="巻返しリード付け"),"",IF(J96="スリット",VLOOKUP(F96&amp;K96&amp;R96,製品マスタ!$N$5:$AE$5002,18,FALSE),""))))))</f>
        <v/>
      </c>
      <c r="Y96" s="275" t="str">
        <f>IF(D96="","",IF(T96="","",VLOOKUP(D96,契約台帳!$A$3:$Q$4986,17,FALSE)))</f>
        <v/>
      </c>
      <c r="Z96" s="269" t="str">
        <f>IF(D96="","",IF(T96="","",VLOOKUP(D96,契約台帳!$A$3:$E$4986,5,FALSE)))</f>
        <v/>
      </c>
      <c r="AA96" s="57"/>
      <c r="AB96" s="207" t="str">
        <f>IFERROR((VLOOKUP(F96&amp;K96&amp;M96,製品マスタ!$M$5:$AM$5002,27,FALSE)),"")</f>
        <v/>
      </c>
      <c r="AC96" s="33"/>
      <c r="AD96" s="189"/>
      <c r="AE96" s="54"/>
      <c r="AF96" s="55"/>
      <c r="AG96" s="43"/>
      <c r="AH96" s="47"/>
      <c r="AI96" s="30"/>
      <c r="AJ96" s="30"/>
      <c r="AK96" s="30"/>
      <c r="AL96" s="30"/>
      <c r="AM96" s="13"/>
      <c r="AN96" s="13"/>
      <c r="AO96" s="13"/>
      <c r="AP96" s="13"/>
      <c r="AQ96" s="13"/>
      <c r="AR96" s="14"/>
      <c r="AS96" s="15"/>
    </row>
    <row r="97" spans="1:45" s="17" customFormat="1" ht="30.95" hidden="1" customHeight="1" x14ac:dyDescent="0.2">
      <c r="A97" s="37"/>
      <c r="B97" s="38"/>
      <c r="C97" s="45"/>
      <c r="D97" s="31">
        <v>3694100</v>
      </c>
      <c r="E97" s="31">
        <v>4140869</v>
      </c>
      <c r="F97" s="268" t="str">
        <f>IF(D97="","",VLOOKUP(D97,契約台帳!$A$3:$K$4986,6,FALSE)&amp;VLOOKUP(D97,契約台帳!$A$3:$K$4986,7,FALSE)&amp;VLOOKUP(D97,契約台帳!$A$3:$K$4986,8,FALSE)&amp;VLOOKUP(D97,契約台帳!$A$3:$K$4986,9,FALSE)&amp;VLOOKUP(D97,契約台帳!$A$3:$K$4986,11,FALSE))</f>
        <v>3SNMCLBMSNEYK</v>
      </c>
      <c r="G97" s="269" t="str">
        <f>IF(D97="","",VLOOKUP(F97,製品マスタ!$G$5:$H$5002,2,FALSE))</f>
        <v>S</v>
      </c>
      <c r="H97" s="269" t="str">
        <f>IF(D97="","",VLOOKUP(F97,製品マスタ!$G$5:$K$5002,5,FALSE))</f>
        <v>MSNEYK</v>
      </c>
      <c r="I97" s="270" t="str">
        <f>IF(D97="","",VLOOKUP(F97,製品マスタ!$G$5:$L$5002,6,FALSE))</f>
        <v>ＭＳＮ　ＥＹＫ</v>
      </c>
      <c r="J97" s="210" t="s">
        <v>801</v>
      </c>
      <c r="K97" s="270">
        <f>IF(D97="","",VLOOKUP(D97,契約台帳!$A$3:$L$4986,12,FALSE))</f>
        <v>50</v>
      </c>
      <c r="L97" s="270" t="str">
        <f>IF(D97="","",INDEX(製品マスタ!$Q$5:$Q$5002,MATCH('S4'!F97&amp;'S4'!K97,製品マスタ!$AO$5:$AO$5002,0)))</f>
        <v>N-MAT</v>
      </c>
      <c r="M97" s="39">
        <v>1200</v>
      </c>
      <c r="N97" s="39">
        <v>12000</v>
      </c>
      <c r="O97" s="156">
        <v>2</v>
      </c>
      <c r="P97" s="47">
        <v>2</v>
      </c>
      <c r="Q97" s="57"/>
      <c r="R97" s="271">
        <f ca="1">IF(D97="","",IF(OFFSET(D97,-1,0)&lt;&gt;"","",IF(OR(J97="リード付け",J97="巻足し",J97="巻返しリード付け"),M97,VLOOKUP(D97,契約台帳!$A$3:$N$4986,14,FALSE))))</f>
        <v>1200</v>
      </c>
      <c r="S97" s="272">
        <f ca="1">IF(D97="","",IF(OFFSET(D97,-1,0)&lt;&gt;"","",IF(OR(J97="リード付け",J97="巻足し",J97="巻返しリード付け"),M97,VLOOKUP(D97,契約台帳!$A$3:$O$4986,15,FALSE))))</f>
        <v>1190</v>
      </c>
      <c r="T97" s="273">
        <f ca="1">IF(D97="","",IF(J97="リード付け",N97,IF(J97="巻返しリード付け",N97,IF(J97="巻足し",N97*P97+OFFSET(N97,1,0)*OFFSET(P97,1,0),VLOOKUP(D97,契約台帳!$A$3:$P$4986,16,FALSE)))))</f>
        <v>6000</v>
      </c>
      <c r="U97" s="40">
        <v>4</v>
      </c>
      <c r="V97" s="274">
        <f ca="1">IF(D97="","",IF(OFFSET(D97,-2,0)=D97,"",VLOOKUP(D97,契約台帳!$A$3:$R$4986,18,FALSE)))</f>
        <v>4</v>
      </c>
      <c r="W97" s="269" t="str">
        <f ca="1">IF(D97="","",IF(T97="","",IF(OR(J97="巻足し",J97="巻返しリード付け"),"",IF(J97="巻返し",VLOOKUP(F97&amp;K97&amp;M97,製品マスタ!$M$5:$AD$5002,18,FALSE),IF(OR(J97="リード付け",J97="巻返しリード付け"),"原反コア",IF(J97="スリット",VLOOKUP(F97&amp;K97&amp;R97,製品マスタ!$N$5:$AD$5002,17,FALSE),""))))))</f>
        <v>6ｲﾝﾁMｺｱ</v>
      </c>
      <c r="X97" s="269">
        <f ca="1">IF(D97="","",IF(T97="","",IF(J97="巻足し","",IF(J97="巻返し",VLOOKUP(F97&amp;K97&amp;M97,製品マスタ!$M$5:$AE$5002,19,FALSE),IF(OR(J97="リード付け",J97="巻返しリード付け"),"",IF(J97="スリット",VLOOKUP(F97&amp;K97&amp;R97,製品マスタ!$N$5:$AE$5002,18,FALSE),""))))))</f>
        <v>1220</v>
      </c>
      <c r="Y97" s="275">
        <f ca="1">IF(D97="","",IF(T97="","",VLOOKUP(D97,契約台帳!$A$3:$Q$4986,17,FALSE)))</f>
        <v>2</v>
      </c>
      <c r="Z97" s="269" t="str">
        <f ca="1">IF(D97="","",IF(T97="","",VLOOKUP(D97,契約台帳!$A$3:$E$4986,5,FALSE)))</f>
        <v>大阪シーリング印刷㈱</v>
      </c>
      <c r="AA97" s="57">
        <v>44949</v>
      </c>
      <c r="AB97" s="207" t="str">
        <f>IFERROR((VLOOKUP(F97&amp;K97&amp;M97,製品マスタ!$M$5:$AM$5002,27,FALSE)),"")</f>
        <v>原反ケース再利用</v>
      </c>
      <c r="AC97" s="33"/>
      <c r="AD97" s="189"/>
      <c r="AE97" s="54"/>
      <c r="AF97" s="55"/>
      <c r="AG97" s="43"/>
      <c r="AH97" s="47"/>
      <c r="AI97" s="30"/>
      <c r="AJ97" s="30"/>
      <c r="AK97" s="30"/>
      <c r="AL97" s="30"/>
      <c r="AM97" s="13"/>
      <c r="AN97" s="13"/>
      <c r="AO97" s="13"/>
      <c r="AP97" s="13"/>
      <c r="AQ97" s="13"/>
      <c r="AR97" s="14"/>
      <c r="AS97" s="15"/>
    </row>
    <row r="98" spans="1:45" s="17" customFormat="1" ht="30.95" hidden="1" customHeight="1" x14ac:dyDescent="0.2">
      <c r="A98" s="37"/>
      <c r="B98" s="38"/>
      <c r="C98" s="45"/>
      <c r="D98" s="31"/>
      <c r="E98" s="31"/>
      <c r="F98" s="268" t="str">
        <f>IF(D98="","",VLOOKUP(D98,契約台帳!$A$3:$K$4986,6,FALSE)&amp;VLOOKUP(D98,契約台帳!$A$3:$K$4986,7,FALSE)&amp;VLOOKUP(D98,契約台帳!$A$3:$K$4986,8,FALSE)&amp;VLOOKUP(D98,契約台帳!$A$3:$K$4986,9,FALSE)&amp;VLOOKUP(D98,契約台帳!$A$3:$K$4986,11,FALSE))</f>
        <v/>
      </c>
      <c r="G98" s="269" t="str">
        <f>IF(D98="","",VLOOKUP(F98,製品マスタ!$G$5:$H$5002,2,FALSE))</f>
        <v/>
      </c>
      <c r="H98" s="269" t="str">
        <f>IF(D98="","",VLOOKUP(F98,製品マスタ!$G$5:$K$5002,5,FALSE))</f>
        <v/>
      </c>
      <c r="I98" s="270" t="str">
        <f>IF(D98="","",VLOOKUP(F98,製品マスタ!$G$5:$L$5002,6,FALSE))</f>
        <v/>
      </c>
      <c r="J98" s="210"/>
      <c r="K98" s="270" t="str">
        <f>IF(D98="","",VLOOKUP(D98,契約台帳!$A$3:$L$4986,12,FALSE))</f>
        <v/>
      </c>
      <c r="L98" s="270" t="str">
        <f>IF(D98="","",INDEX(製品マスタ!$Q$5:$Q$5002,MATCH('S4'!F98&amp;'S4'!K98,製品マスタ!$AO$5:$AO$5002,0)))</f>
        <v/>
      </c>
      <c r="M98" s="39"/>
      <c r="N98" s="39"/>
      <c r="O98" s="156"/>
      <c r="P98" s="47"/>
      <c r="Q98" s="57"/>
      <c r="R98" s="271" t="str">
        <f ca="1">IF(D98="","",IF(OFFSET(D98,-1,0)&lt;&gt;"","",IF(OR(J98="リード付け",J98="巻足し",J98="巻返しリード付け"),M98,VLOOKUP(D98,契約台帳!$A$3:$N$4986,14,FALSE))))</f>
        <v/>
      </c>
      <c r="S98" s="272" t="str">
        <f ca="1">IF(D98="","",IF(OFFSET(D98,-1,0)&lt;&gt;"","",IF(OR(J98="リード付け",J98="巻足し",J98="巻返しリード付け"),M98,VLOOKUP(D98,契約台帳!$A$3:$O$4986,15,FALSE))))</f>
        <v/>
      </c>
      <c r="T98" s="273" t="str">
        <f ca="1">IF(D98="","",IF(J98="リード付け",N98,IF(J98="巻返しリード付け",N98,IF(J98="巻足し",N98*P98+OFFSET(N98,1,0)*OFFSET(P98,1,0),VLOOKUP(D98,契約台帳!$A$3:$P$4986,16,FALSE)))))</f>
        <v/>
      </c>
      <c r="U98" s="40"/>
      <c r="V98" s="274" t="str">
        <f ca="1">IF(D98="","",IF(OFFSET(D98,-2,0)=D98,"",VLOOKUP(D98,契約台帳!$A$3:$R$4986,18,FALSE)))</f>
        <v/>
      </c>
      <c r="W98" s="269" t="str">
        <f>IF(D98="","",IF(T98="","",IF(OR(J98="巻足し",J98="巻返しリード付け"),"",IF(J98="巻返し",VLOOKUP(F98&amp;K98&amp;M98,製品マスタ!$M$5:$AD$5002,18,FALSE),IF(OR(J98="リード付け",J98="巻返しリード付け"),"原反コア",IF(J98="スリット",VLOOKUP(F98&amp;K98&amp;R98,製品マスタ!$N$5:$AD$5002,17,FALSE),""))))))</f>
        <v/>
      </c>
      <c r="X98" s="269" t="str">
        <f>IF(D98="","",IF(T98="","",IF(J98="巻足し","",IF(J98="巻返し",VLOOKUP(F98&amp;K98&amp;M98,製品マスタ!$M$5:$AE$5002,19,FALSE),IF(OR(J98="リード付け",J98="巻返しリード付け"),"",IF(J98="スリット",VLOOKUP(F98&amp;K98&amp;R98,製品マスタ!$N$5:$AE$5002,18,FALSE),""))))))</f>
        <v/>
      </c>
      <c r="Y98" s="275" t="str">
        <f>IF(D98="","",IF(T98="","",VLOOKUP(D98,契約台帳!$A$3:$Q$4986,17,FALSE)))</f>
        <v/>
      </c>
      <c r="Z98" s="269" t="str">
        <f>IF(D98="","",IF(T98="","",VLOOKUP(D98,契約台帳!$A$3:$E$4986,5,FALSE)))</f>
        <v/>
      </c>
      <c r="AA98" s="57"/>
      <c r="AB98" s="207" t="str">
        <f>IFERROR((VLOOKUP(F98&amp;K98&amp;M98,製品マスタ!$M$5:$AM$5002,27,FALSE)),"")</f>
        <v/>
      </c>
      <c r="AC98" s="33"/>
      <c r="AD98" s="189"/>
      <c r="AE98" s="54"/>
      <c r="AF98" s="55"/>
      <c r="AG98" s="43"/>
      <c r="AH98" s="47"/>
      <c r="AI98" s="30"/>
      <c r="AJ98" s="30"/>
      <c r="AK98" s="30"/>
      <c r="AL98" s="30"/>
      <c r="AM98" s="13"/>
      <c r="AN98" s="13"/>
      <c r="AO98" s="13"/>
      <c r="AP98" s="13"/>
      <c r="AQ98" s="13"/>
      <c r="AR98" s="14"/>
      <c r="AS98" s="15"/>
    </row>
    <row r="99" spans="1:45" s="17" customFormat="1" ht="30.95" hidden="1" customHeight="1" x14ac:dyDescent="0.2">
      <c r="A99" s="37"/>
      <c r="B99" s="38"/>
      <c r="C99" s="45"/>
      <c r="D99" s="31">
        <v>3691104</v>
      </c>
      <c r="E99" s="31">
        <v>4140853</v>
      </c>
      <c r="F99" s="268" t="str">
        <f>IF(D99="","",VLOOKUP(D99,契約台帳!$A$3:$K$4986,6,FALSE)&amp;VLOOKUP(D99,契約台帳!$A$3:$K$4986,7,FALSE)&amp;VLOOKUP(D99,契約台帳!$A$3:$K$4986,8,FALSE)&amp;VLOOKUP(D99,契約台帳!$A$3:$K$4986,9,FALSE)&amp;VLOOKUP(D99,契約台帳!$A$3:$K$4986,11,FALSE))</f>
        <v>3SNMCLBMSNEYK</v>
      </c>
      <c r="G99" s="269" t="str">
        <f>IF(D99="","",VLOOKUP(F99,製品マスタ!$G$5:$H$5002,2,FALSE))</f>
        <v>S</v>
      </c>
      <c r="H99" s="269" t="str">
        <f>IF(D99="","",VLOOKUP(F99,製品マスタ!$G$5:$K$5002,5,FALSE))</f>
        <v>MSNEYK</v>
      </c>
      <c r="I99" s="270" t="str">
        <f>IF(D99="","",VLOOKUP(F99,製品マスタ!$G$5:$L$5002,6,FALSE))</f>
        <v>ＭＳＮ　ＥＹＫ</v>
      </c>
      <c r="J99" s="210" t="s">
        <v>447</v>
      </c>
      <c r="K99" s="270">
        <f>IF(D99="","",VLOOKUP(D99,契約台帳!$A$3:$L$4986,12,FALSE))</f>
        <v>50</v>
      </c>
      <c r="L99" s="270" t="str">
        <f>IF(D99="","",INDEX(製品マスタ!$Q$5:$Q$5002,MATCH('S4'!F99&amp;'S4'!K99,製品マスタ!$AO$5:$AO$5002,0)))</f>
        <v>N-MAT</v>
      </c>
      <c r="M99" s="39">
        <v>1120</v>
      </c>
      <c r="N99" s="39">
        <v>12000</v>
      </c>
      <c r="O99" s="156">
        <v>2</v>
      </c>
      <c r="P99" s="47">
        <v>3</v>
      </c>
      <c r="Q99" s="57"/>
      <c r="R99" s="271">
        <f ca="1">IF(D99="","",IF(OFFSET(D99,-1,0)&lt;&gt;"","",IF(OR(J99="リード付け",J99="巻足し",J99="巻返しリード付け"),M99,VLOOKUP(D99,契約台帳!$A$3:$N$4986,14,FALSE))))</f>
        <v>1120</v>
      </c>
      <c r="S99" s="272">
        <f ca="1">IF(D99="","",IF(OFFSET(D99,-1,0)&lt;&gt;"","",IF(OR(J99="リード付け",J99="巻足し",J99="巻返しリード付け"),M99,VLOOKUP(D99,契約台帳!$A$3:$O$4986,15,FALSE))))</f>
        <v>1120</v>
      </c>
      <c r="T99" s="273">
        <f ca="1">IF(D99="","",IF(J99="リード付け",N99,IF(J99="巻返しリード付け",N99,IF(J99="巻足し",N99*P99+OFFSET(N99,1,0)*OFFSET(P99,1,0),VLOOKUP(D99,契約台帳!$A$3:$P$4986,16,FALSE)))))</f>
        <v>4000</v>
      </c>
      <c r="U99" s="40">
        <v>6</v>
      </c>
      <c r="V99" s="274">
        <f ca="1">IF(D99="","",IF(OFFSET(D99,-2,0)=D99,"",VLOOKUP(D99,契約台帳!$A$3:$R$4986,18,FALSE)))</f>
        <v>8</v>
      </c>
      <c r="W99" s="269" t="str">
        <f ca="1">IF(D99="","",IF(T99="","",IF(OR(J99="巻足し",J99="巻返しリード付け"),"",IF(J99="巻返し",VLOOKUP(F99&amp;K99&amp;M99,製品マスタ!$M$5:$AD$5002,18,FALSE),IF(OR(J99="リード付け",J99="巻返しリード付け"),"原反コア",IF(J99="スリット",VLOOKUP(F99&amp;K99&amp;R99,製品マスタ!$N$5:$AD$5002,17,FALSE),""))))))</f>
        <v>6ｲﾝﾁMｺｱ</v>
      </c>
      <c r="X99" s="269">
        <f ca="1">IF(D99="","",IF(T99="","",IF(J99="巻足し","",IF(J99="巻返し",VLOOKUP(F99&amp;K99&amp;M99,製品マスタ!$M$5:$AE$5002,19,FALSE),IF(OR(J99="リード付け",J99="巻返しリード付け"),"",IF(J99="スリット",VLOOKUP(F99&amp;K99&amp;R99,製品マスタ!$N$5:$AE$5002,18,FALSE),""))))))</f>
        <v>1140</v>
      </c>
      <c r="Y99" s="275">
        <f ca="1">IF(D99="","",IF(T99="","",VLOOKUP(D99,契約台帳!$A$3:$Q$4986,17,FALSE)))</f>
        <v>2</v>
      </c>
      <c r="Z99" s="269" t="str">
        <f ca="1">IF(D99="","",IF(T99="","",VLOOKUP(D99,契約台帳!$A$3:$E$4986,5,FALSE)))</f>
        <v>新タック化成㈱</v>
      </c>
      <c r="AA99" s="57">
        <v>44949</v>
      </c>
      <c r="AB99" s="207" t="str">
        <f>IFERROR((VLOOKUP(F99&amp;K99&amp;M99,製品マスタ!$M$5:$AM$5002,27,FALSE)),"")</f>
        <v>原反ケース再利用</v>
      </c>
      <c r="AC99" s="33"/>
      <c r="AD99" s="189"/>
      <c r="AE99" s="54"/>
      <c r="AF99" s="55"/>
      <c r="AG99" s="43"/>
      <c r="AH99" s="47"/>
      <c r="AI99" s="30"/>
      <c r="AJ99" s="30"/>
      <c r="AK99" s="30"/>
      <c r="AL99" s="30"/>
      <c r="AM99" s="13"/>
      <c r="AN99" s="13"/>
      <c r="AO99" s="13"/>
      <c r="AP99" s="13"/>
      <c r="AQ99" s="13"/>
      <c r="AR99" s="14"/>
      <c r="AS99" s="15"/>
    </row>
    <row r="100" spans="1:45" s="17" customFormat="1" ht="30.95" hidden="1" customHeight="1" x14ac:dyDescent="0.2">
      <c r="A100" s="37"/>
      <c r="B100" s="38"/>
      <c r="C100" s="45"/>
      <c r="D100" s="31"/>
      <c r="E100" s="31"/>
      <c r="F100" s="268" t="str">
        <f>IF(D100="","",VLOOKUP(D100,契約台帳!$A$3:$K$4986,6,FALSE)&amp;VLOOKUP(D100,契約台帳!$A$3:$K$4986,7,FALSE)&amp;VLOOKUP(D100,契約台帳!$A$3:$K$4986,8,FALSE)&amp;VLOOKUP(D100,契約台帳!$A$3:$K$4986,9,FALSE)&amp;VLOOKUP(D100,契約台帳!$A$3:$K$4986,11,FALSE))</f>
        <v/>
      </c>
      <c r="G100" s="269" t="str">
        <f>IF(D100="","",VLOOKUP(F100,製品マスタ!$G$5:$H$5002,2,FALSE))</f>
        <v/>
      </c>
      <c r="H100" s="269" t="str">
        <f>IF(D100="","",VLOOKUP(F100,製品マスタ!$G$5:$K$5002,5,FALSE))</f>
        <v/>
      </c>
      <c r="I100" s="270" t="str">
        <f>IF(D100="","",VLOOKUP(F100,製品マスタ!$G$5:$L$5002,6,FALSE))</f>
        <v/>
      </c>
      <c r="J100" s="210"/>
      <c r="K100" s="270" t="str">
        <f>IF(D100="","",VLOOKUP(D100,契約台帳!$A$3:$L$4986,12,FALSE))</f>
        <v/>
      </c>
      <c r="L100" s="270" t="str">
        <f>IF(D100="","",INDEX(製品マスタ!$Q$5:$Q$5002,MATCH('S4'!F100&amp;'S4'!K100,製品マスタ!$AO$5:$AO$5002,0)))</f>
        <v/>
      </c>
      <c r="M100" s="39"/>
      <c r="N100" s="39"/>
      <c r="O100" s="156"/>
      <c r="P100" s="47"/>
      <c r="Q100" s="57"/>
      <c r="R100" s="271" t="str">
        <f ca="1">IF(D100="","",IF(OFFSET(D100,-1,0)&lt;&gt;"","",IF(OR(J100="リード付け",J100="巻足し",J100="巻返しリード付け"),M100,VLOOKUP(D100,契約台帳!$A$3:$N$4986,14,FALSE))))</f>
        <v/>
      </c>
      <c r="S100" s="272" t="str">
        <f ca="1">IF(D100="","",IF(OFFSET(D100,-1,0)&lt;&gt;"","",IF(OR(J100="リード付け",J100="巻足し",J100="巻返しリード付け"),M100,VLOOKUP(D100,契約台帳!$A$3:$O$4986,15,FALSE))))</f>
        <v/>
      </c>
      <c r="T100" s="273" t="str">
        <f ca="1">IF(D100="","",IF(J100="リード付け",N100,IF(J100="巻返しリード付け",N100,IF(J100="巻足し",N100*P100+OFFSET(N100,1,0)*OFFSET(P100,1,0),VLOOKUP(D100,契約台帳!$A$3:$P$4986,16,FALSE)))))</f>
        <v/>
      </c>
      <c r="U100" s="40"/>
      <c r="V100" s="274" t="str">
        <f ca="1">IF(D100="","",IF(OFFSET(D100,-2,0)=D100,"",VLOOKUP(D100,契約台帳!$A$3:$R$4986,18,FALSE)))</f>
        <v/>
      </c>
      <c r="W100" s="269" t="str">
        <f>IF(D100="","",IF(T100="","",IF(OR(J100="巻足し",J100="巻返しリード付け"),"",IF(J100="巻返し",VLOOKUP(F100&amp;K100&amp;M100,製品マスタ!$M$5:$AD$5002,18,FALSE),IF(OR(J100="リード付け",J100="巻返しリード付け"),"原反コア",IF(J100="スリット",VLOOKUP(F100&amp;K100&amp;R100,製品マスタ!$N$5:$AD$5002,17,FALSE),""))))))</f>
        <v/>
      </c>
      <c r="X100" s="269" t="str">
        <f>IF(D100="","",IF(T100="","",IF(J100="巻足し","",IF(J100="巻返し",VLOOKUP(F100&amp;K100&amp;M100,製品マスタ!$M$5:$AE$5002,19,FALSE),IF(OR(J100="リード付け",J100="巻返しリード付け"),"",IF(J100="スリット",VLOOKUP(F100&amp;K100&amp;R100,製品マスタ!$N$5:$AE$5002,18,FALSE),""))))))</f>
        <v/>
      </c>
      <c r="Y100" s="275" t="str">
        <f>IF(D100="","",IF(T100="","",VLOOKUP(D100,契約台帳!$A$3:$Q$4986,17,FALSE)))</f>
        <v/>
      </c>
      <c r="Z100" s="269" t="str">
        <f>IF(D100="","",IF(T100="","",VLOOKUP(D100,契約台帳!$A$3:$E$4986,5,FALSE)))</f>
        <v/>
      </c>
      <c r="AA100" s="57"/>
      <c r="AB100" s="207" t="str">
        <f>IFERROR((VLOOKUP(F100&amp;K100&amp;M100,製品マスタ!$M$5:$AM$5002,27,FALSE)),"")</f>
        <v/>
      </c>
      <c r="AC100" s="33"/>
      <c r="AD100" s="189"/>
      <c r="AE100" s="54"/>
      <c r="AF100" s="55"/>
      <c r="AG100" s="43"/>
      <c r="AH100" s="47"/>
      <c r="AI100" s="30"/>
      <c r="AJ100" s="30"/>
      <c r="AK100" s="30"/>
      <c r="AL100" s="30"/>
      <c r="AM100" s="13"/>
      <c r="AN100" s="13"/>
      <c r="AO100" s="13"/>
      <c r="AP100" s="13"/>
      <c r="AQ100" s="13"/>
      <c r="AR100" s="14"/>
      <c r="AS100" s="15"/>
    </row>
    <row r="101" spans="1:45" s="17" customFormat="1" ht="30.95" hidden="1" customHeight="1" x14ac:dyDescent="0.2">
      <c r="A101" s="37"/>
      <c r="B101" s="38"/>
      <c r="C101" s="45"/>
      <c r="D101" s="31">
        <v>3691104</v>
      </c>
      <c r="E101" s="31">
        <v>4140853</v>
      </c>
      <c r="F101" s="268" t="str">
        <f>IF(D101="","",VLOOKUP(D101,契約台帳!$A$3:$K$4986,6,FALSE)&amp;VLOOKUP(D101,契約台帳!$A$3:$K$4986,7,FALSE)&amp;VLOOKUP(D101,契約台帳!$A$3:$K$4986,8,FALSE)&amp;VLOOKUP(D101,契約台帳!$A$3:$K$4986,9,FALSE)&amp;VLOOKUP(D101,契約台帳!$A$3:$K$4986,11,FALSE))</f>
        <v>3SNMCLBMSNEYK</v>
      </c>
      <c r="G101" s="269" t="str">
        <f>IF(D101="","",VLOOKUP(F101,製品マスタ!$G$5:$H$5002,2,FALSE))</f>
        <v>S</v>
      </c>
      <c r="H101" s="269" t="str">
        <f>IF(D101="","",VLOOKUP(F101,製品マスタ!$G$5:$K$5002,5,FALSE))</f>
        <v>MSNEYK</v>
      </c>
      <c r="I101" s="270" t="str">
        <f>IF(D101="","",VLOOKUP(F101,製品マスタ!$G$5:$L$5002,6,FALSE))</f>
        <v>ＭＳＮ　ＥＹＫ</v>
      </c>
      <c r="J101" s="210" t="s">
        <v>447</v>
      </c>
      <c r="K101" s="270">
        <f>IF(D101="","",VLOOKUP(D101,契約台帳!$A$3:$L$4986,12,FALSE))</f>
        <v>50</v>
      </c>
      <c r="L101" s="270" t="str">
        <f>IF(D101="","",INDEX(製品マスタ!$Q$5:$Q$5002,MATCH('S4'!F101&amp;'S4'!K101,製品マスタ!$AO$5:$AO$5002,0)))</f>
        <v>N-MAT</v>
      </c>
      <c r="M101" s="39">
        <v>1120</v>
      </c>
      <c r="N101" s="39">
        <v>8000</v>
      </c>
      <c r="O101" s="156">
        <v>1</v>
      </c>
      <c r="P101" s="47">
        <v>2</v>
      </c>
      <c r="Q101" s="57"/>
      <c r="R101" s="271">
        <f ca="1">IF(D101="","",IF(OFFSET(D101,-1,0)&lt;&gt;"","",IF(OR(J101="リード付け",J101="巻足し",J101="巻返しリード付け"),M101,VLOOKUP(D101,契約台帳!$A$3:$N$4986,14,FALSE))))</f>
        <v>1120</v>
      </c>
      <c r="S101" s="272">
        <f ca="1">IF(D101="","",IF(OFFSET(D101,-1,0)&lt;&gt;"","",IF(OR(J101="リード付け",J101="巻足し",J101="巻返しリード付け"),M101,VLOOKUP(D101,契約台帳!$A$3:$O$4986,15,FALSE))))</f>
        <v>1120</v>
      </c>
      <c r="T101" s="273">
        <f ca="1">IF(D101="","",IF(J101="リード付け",N101,IF(J101="巻返しリード付け",N101,IF(J101="巻足し",N101*P101+OFFSET(N101,1,0)*OFFSET(P101,1,0),VLOOKUP(D101,契約台帳!$A$3:$P$4986,16,FALSE)))))</f>
        <v>4000</v>
      </c>
      <c r="U101" s="40">
        <v>2</v>
      </c>
      <c r="V101" s="274" t="str">
        <f ca="1">IF(D101="","",IF(OFFSET(D101,-2,0)=D101,"",VLOOKUP(D101,契約台帳!$A$3:$R$4986,18,FALSE)))</f>
        <v/>
      </c>
      <c r="W101" s="269" t="str">
        <f ca="1">IF(D101="","",IF(T101="","",IF(OR(J101="巻足し",J101="巻返しリード付け"),"",IF(J101="巻返し",VLOOKUP(F101&amp;K101&amp;M101,製品マスタ!$M$5:$AD$5002,18,FALSE),IF(OR(J101="リード付け",J101="巻返しリード付け"),"原反コア",IF(J101="スリット",VLOOKUP(F101&amp;K101&amp;R101,製品マスタ!$N$5:$AD$5002,17,FALSE),""))))))</f>
        <v>6ｲﾝﾁMｺｱ</v>
      </c>
      <c r="X101" s="269">
        <f ca="1">IF(D101="","",IF(T101="","",IF(J101="巻足し","",IF(J101="巻返し",VLOOKUP(F101&amp;K101&amp;M101,製品マスタ!$M$5:$AE$5002,19,FALSE),IF(OR(J101="リード付け",J101="巻返しリード付け"),"",IF(J101="スリット",VLOOKUP(F101&amp;K101&amp;R101,製品マスタ!$N$5:$AE$5002,18,FALSE),""))))))</f>
        <v>1140</v>
      </c>
      <c r="Y101" s="275">
        <f ca="1">IF(D101="","",IF(T101="","",VLOOKUP(D101,契約台帳!$A$3:$Q$4986,17,FALSE)))</f>
        <v>2</v>
      </c>
      <c r="Z101" s="269" t="str">
        <f ca="1">IF(D101="","",IF(T101="","",VLOOKUP(D101,契約台帳!$A$3:$E$4986,5,FALSE)))</f>
        <v>新タック化成㈱</v>
      </c>
      <c r="AA101" s="57">
        <v>44949</v>
      </c>
      <c r="AB101" s="207" t="str">
        <f>IFERROR((VLOOKUP(F101&amp;K101&amp;M101,製品マスタ!$M$5:$AM$5002,27,FALSE)),"")</f>
        <v>原反ケース再利用</v>
      </c>
      <c r="AC101" s="33"/>
      <c r="AD101" s="189"/>
      <c r="AE101" s="54"/>
      <c r="AF101" s="55"/>
      <c r="AG101" s="43"/>
      <c r="AH101" s="47"/>
      <c r="AI101" s="30"/>
      <c r="AJ101" s="30"/>
      <c r="AK101" s="30"/>
      <c r="AL101" s="30"/>
      <c r="AM101" s="13"/>
      <c r="AN101" s="13"/>
      <c r="AO101" s="13"/>
      <c r="AP101" s="13"/>
      <c r="AQ101" s="13"/>
      <c r="AR101" s="14"/>
      <c r="AS101" s="15"/>
    </row>
    <row r="102" spans="1:45" s="17" customFormat="1" ht="30.95" hidden="1" customHeight="1" x14ac:dyDescent="0.2">
      <c r="A102" s="37"/>
      <c r="B102" s="38"/>
      <c r="C102" s="45"/>
      <c r="D102" s="31"/>
      <c r="E102" s="31"/>
      <c r="F102" s="268" t="str">
        <f>IF(D102="","",VLOOKUP(D102,契約台帳!$A$3:$K$4986,6,FALSE)&amp;VLOOKUP(D102,契約台帳!$A$3:$K$4986,7,FALSE)&amp;VLOOKUP(D102,契約台帳!$A$3:$K$4986,8,FALSE)&amp;VLOOKUP(D102,契約台帳!$A$3:$K$4986,9,FALSE)&amp;VLOOKUP(D102,契約台帳!$A$3:$K$4986,11,FALSE))</f>
        <v/>
      </c>
      <c r="G102" s="269" t="str">
        <f>IF(D102="","",VLOOKUP(F102,製品マスタ!$G$5:$H$5002,2,FALSE))</f>
        <v/>
      </c>
      <c r="H102" s="269" t="str">
        <f>IF(D102="","",VLOOKUP(F102,製品マスタ!$G$5:$K$5002,5,FALSE))</f>
        <v/>
      </c>
      <c r="I102" s="270" t="str">
        <f>IF(D102="","",VLOOKUP(F102,製品マスタ!$G$5:$L$5002,6,FALSE))</f>
        <v/>
      </c>
      <c r="J102" s="210"/>
      <c r="K102" s="270" t="str">
        <f>IF(D102="","",VLOOKUP(D102,契約台帳!$A$3:$L$4986,12,FALSE))</f>
        <v/>
      </c>
      <c r="L102" s="270" t="str">
        <f>IF(D102="","",INDEX(製品マスタ!$Q$5:$Q$5002,MATCH('S4'!F102&amp;'S4'!K102,製品マスタ!$AO$5:$AO$5002,0)))</f>
        <v/>
      </c>
      <c r="M102" s="39"/>
      <c r="N102" s="39"/>
      <c r="O102" s="156"/>
      <c r="P102" s="47"/>
      <c r="Q102" s="57"/>
      <c r="R102" s="271" t="str">
        <f ca="1">IF(D102="","",IF(OFFSET(D102,-1,0)&lt;&gt;"","",IF(OR(J102="リード付け",J102="巻足し",J102="巻返しリード付け"),M102,VLOOKUP(D102,契約台帳!$A$3:$N$4986,14,FALSE))))</f>
        <v/>
      </c>
      <c r="S102" s="272" t="str">
        <f ca="1">IF(D102="","",IF(OFFSET(D102,-1,0)&lt;&gt;"","",IF(OR(J102="リード付け",J102="巻足し",J102="巻返しリード付け"),M102,VLOOKUP(D102,契約台帳!$A$3:$O$4986,15,FALSE))))</f>
        <v/>
      </c>
      <c r="T102" s="273" t="str">
        <f ca="1">IF(D102="","",IF(J102="リード付け",N102,IF(J102="巻返しリード付け",N102,IF(J102="巻足し",N102*P102+OFFSET(N102,1,0)*OFFSET(P102,1,0),VLOOKUP(D102,契約台帳!$A$3:$P$4986,16,FALSE)))))</f>
        <v/>
      </c>
      <c r="U102" s="40"/>
      <c r="V102" s="274" t="str">
        <f ca="1">IF(D102="","",IF(OFFSET(D102,-2,0)=D102,"",VLOOKUP(D102,契約台帳!$A$3:$R$4986,18,FALSE)))</f>
        <v/>
      </c>
      <c r="W102" s="269" t="str">
        <f>IF(D102="","",IF(T102="","",IF(OR(J102="巻足し",J102="巻返しリード付け"),"",IF(J102="巻返し",VLOOKUP(F102&amp;K102&amp;M102,製品マスタ!$M$5:$AD$5002,18,FALSE),IF(OR(J102="リード付け",J102="巻返しリード付け"),"原反コア",IF(J102="スリット",VLOOKUP(F102&amp;K102&amp;R102,製品マスタ!$N$5:$AD$5002,17,FALSE),""))))))</f>
        <v/>
      </c>
      <c r="X102" s="269" t="str">
        <f>IF(D102="","",IF(T102="","",IF(J102="巻足し","",IF(J102="巻返し",VLOOKUP(F102&amp;K102&amp;M102,製品マスタ!$M$5:$AE$5002,19,FALSE),IF(OR(J102="リード付け",J102="巻返しリード付け"),"",IF(J102="スリット",VLOOKUP(F102&amp;K102&amp;R102,製品マスタ!$N$5:$AE$5002,18,FALSE),""))))))</f>
        <v/>
      </c>
      <c r="Y102" s="275" t="str">
        <f>IF(D102="","",IF(T102="","",VLOOKUP(D102,契約台帳!$A$3:$Q$4986,17,FALSE)))</f>
        <v/>
      </c>
      <c r="Z102" s="269" t="str">
        <f>IF(D102="","",IF(T102="","",VLOOKUP(D102,契約台帳!$A$3:$E$4986,5,FALSE)))</f>
        <v/>
      </c>
      <c r="AA102" s="57"/>
      <c r="AB102" s="207" t="str">
        <f>IFERROR((VLOOKUP(F102&amp;K102&amp;M102,製品マスタ!$M$5:$AM$5002,27,FALSE)),"")</f>
        <v/>
      </c>
      <c r="AC102" s="33"/>
      <c r="AD102" s="189"/>
      <c r="AE102" s="54"/>
      <c r="AF102" s="55"/>
      <c r="AG102" s="43"/>
      <c r="AH102" s="47"/>
      <c r="AI102" s="30"/>
      <c r="AJ102" s="30"/>
      <c r="AK102" s="30"/>
      <c r="AL102" s="30"/>
      <c r="AM102" s="13"/>
      <c r="AN102" s="13"/>
      <c r="AO102" s="13"/>
      <c r="AP102" s="13"/>
      <c r="AQ102" s="13"/>
      <c r="AR102" s="14"/>
      <c r="AS102" s="15"/>
    </row>
    <row r="103" spans="1:45" s="17" customFormat="1" ht="30.95" hidden="1" customHeight="1" x14ac:dyDescent="0.2">
      <c r="A103" s="37" t="s">
        <v>791</v>
      </c>
      <c r="B103" s="38" t="s">
        <v>443</v>
      </c>
      <c r="C103" s="45"/>
      <c r="D103" s="31">
        <v>3691106</v>
      </c>
      <c r="E103" s="31">
        <v>4140854</v>
      </c>
      <c r="F103" s="268" t="str">
        <f>IF(D103="","",VLOOKUP(D103,契約台帳!$A$3:$K$4986,6,FALSE)&amp;VLOOKUP(D103,契約台帳!$A$3:$K$4986,7,FALSE)&amp;VLOOKUP(D103,契約台帳!$A$3:$K$4986,8,FALSE)&amp;VLOOKUP(D103,契約台帳!$A$3:$K$4986,9,FALSE)&amp;VLOOKUP(D103,契約台帳!$A$3:$K$4986,11,FALSE))</f>
        <v>3SNMCLBMSNEYK</v>
      </c>
      <c r="G103" s="269" t="str">
        <f>IF(D103="","",VLOOKUP(F103,製品マスタ!$G$5:$H$5002,2,FALSE))</f>
        <v>S</v>
      </c>
      <c r="H103" s="269" t="str">
        <f>IF(D103="","",VLOOKUP(F103,製品マスタ!$G$5:$K$5002,5,FALSE))</f>
        <v>MSNEYK</v>
      </c>
      <c r="I103" s="270" t="str">
        <f>IF(D103="","",VLOOKUP(F103,製品マスタ!$G$5:$L$5002,6,FALSE))</f>
        <v>ＭＳＮ　ＥＹＫ</v>
      </c>
      <c r="J103" s="210" t="s">
        <v>447</v>
      </c>
      <c r="K103" s="270">
        <f>IF(D103="","",VLOOKUP(D103,契約台帳!$A$3:$L$4986,12,FALSE))</f>
        <v>50</v>
      </c>
      <c r="L103" s="270" t="str">
        <f>IF(D103="","",INDEX(製品マスタ!$Q$5:$Q$5002,MATCH('S4'!F103&amp;'S4'!K103,製品マスタ!$AO$5:$AO$5002,0)))</f>
        <v>N-MAT</v>
      </c>
      <c r="M103" s="39">
        <v>1120</v>
      </c>
      <c r="N103" s="39">
        <v>12000</v>
      </c>
      <c r="O103" s="156">
        <v>2</v>
      </c>
      <c r="P103" s="47">
        <v>3</v>
      </c>
      <c r="Q103" s="57"/>
      <c r="R103" s="271">
        <f ca="1">IF(D103="","",IF(OFFSET(D103,-1,0)&lt;&gt;"","",IF(OR(J103="リード付け",J103="巻足し",J103="巻返しリード付け"),M103,VLOOKUP(D103,契約台帳!$A$3:$N$4986,14,FALSE))))</f>
        <v>1120</v>
      </c>
      <c r="S103" s="272">
        <f ca="1">IF(D103="","",IF(OFFSET(D103,-1,0)&lt;&gt;"","",IF(OR(J103="リード付け",J103="巻足し",J103="巻返しリード付け"),M103,VLOOKUP(D103,契約台帳!$A$3:$O$4986,15,FALSE))))</f>
        <v>1120</v>
      </c>
      <c r="T103" s="273">
        <f ca="1">IF(D103="","",IF(J103="リード付け",N103,IF(J103="巻返しリード付け",N103,IF(J103="巻足し",N103*P103+OFFSET(N103,1,0)*OFFSET(P103,1,0),VLOOKUP(D103,契約台帳!$A$3:$P$4986,16,FALSE)))))</f>
        <v>4000</v>
      </c>
      <c r="U103" s="40">
        <v>6</v>
      </c>
      <c r="V103" s="274">
        <f ca="1">IF(D103="","",IF(OFFSET(D103,-2,0)=D103,"",VLOOKUP(D103,契約台帳!$A$3:$R$4986,18,FALSE)))</f>
        <v>8</v>
      </c>
      <c r="W103" s="269" t="str">
        <f ca="1">IF(D103="","",IF(T103="","",IF(OR(J103="巻足し",J103="巻返しリード付け"),"",IF(J103="巻返し",VLOOKUP(F103&amp;K103&amp;M103,製品マスタ!$M$5:$AD$5002,18,FALSE),IF(OR(J103="リード付け",J103="巻返しリード付け"),"原反コア",IF(J103="スリット",VLOOKUP(F103&amp;K103&amp;R103,製品マスタ!$N$5:$AD$5002,17,FALSE),""))))))</f>
        <v>6ｲﾝﾁMｺｱ</v>
      </c>
      <c r="X103" s="269">
        <f ca="1">IF(D103="","",IF(T103="","",IF(J103="巻足し","",IF(J103="巻返し",VLOOKUP(F103&amp;K103&amp;M103,製品マスタ!$M$5:$AE$5002,19,FALSE),IF(OR(J103="リード付け",J103="巻返しリード付け"),"",IF(J103="スリット",VLOOKUP(F103&amp;K103&amp;R103,製品マスタ!$N$5:$AE$5002,18,FALSE),""))))))</f>
        <v>1140</v>
      </c>
      <c r="Y103" s="275">
        <f ca="1">IF(D103="","",IF(T103="","",VLOOKUP(D103,契約台帳!$A$3:$Q$4986,17,FALSE)))</f>
        <v>2</v>
      </c>
      <c r="Z103" s="269" t="str">
        <f ca="1">IF(D103="","",IF(T103="","",VLOOKUP(D103,契約台帳!$A$3:$E$4986,5,FALSE)))</f>
        <v>新タック化成㈱</v>
      </c>
      <c r="AA103" s="57">
        <v>44950</v>
      </c>
      <c r="AB103" s="207" t="str">
        <f>IFERROR((VLOOKUP(F103&amp;K103&amp;M103,製品マスタ!$M$5:$AM$5002,27,FALSE)),"")</f>
        <v>原反ケース再利用</v>
      </c>
      <c r="AC103" s="33"/>
      <c r="AD103" s="189"/>
      <c r="AE103" s="54"/>
      <c r="AF103" s="55"/>
      <c r="AG103" s="43"/>
      <c r="AH103" s="47"/>
      <c r="AI103" s="30"/>
      <c r="AJ103" s="30"/>
      <c r="AK103" s="30"/>
      <c r="AL103" s="30"/>
      <c r="AM103" s="13"/>
      <c r="AN103" s="13"/>
      <c r="AO103" s="13"/>
      <c r="AP103" s="13"/>
      <c r="AQ103" s="13"/>
      <c r="AR103" s="14"/>
      <c r="AS103" s="15"/>
    </row>
    <row r="104" spans="1:45" s="17" customFormat="1" ht="30.95" hidden="1" customHeight="1" x14ac:dyDescent="0.2">
      <c r="A104" s="37"/>
      <c r="B104" s="38"/>
      <c r="C104" s="45"/>
      <c r="D104" s="31"/>
      <c r="E104" s="31"/>
      <c r="F104" s="268" t="str">
        <f>IF(D104="","",VLOOKUP(D104,契約台帳!$A$3:$K$4986,6,FALSE)&amp;VLOOKUP(D104,契約台帳!$A$3:$K$4986,7,FALSE)&amp;VLOOKUP(D104,契約台帳!$A$3:$K$4986,8,FALSE)&amp;VLOOKUP(D104,契約台帳!$A$3:$K$4986,9,FALSE)&amp;VLOOKUP(D104,契約台帳!$A$3:$K$4986,11,FALSE))</f>
        <v/>
      </c>
      <c r="G104" s="269" t="str">
        <f>IF(D104="","",VLOOKUP(F104,製品マスタ!$G$5:$H$5002,2,FALSE))</f>
        <v/>
      </c>
      <c r="H104" s="269" t="str">
        <f>IF(D104="","",VLOOKUP(F104,製品マスタ!$G$5:$K$5002,5,FALSE))</f>
        <v/>
      </c>
      <c r="I104" s="270" t="str">
        <f>IF(D104="","",VLOOKUP(F104,製品マスタ!$G$5:$L$5002,6,FALSE))</f>
        <v/>
      </c>
      <c r="J104" s="210"/>
      <c r="K104" s="270" t="str">
        <f>IF(D104="","",VLOOKUP(D104,契約台帳!$A$3:$L$4986,12,FALSE))</f>
        <v/>
      </c>
      <c r="L104" s="270" t="str">
        <f>IF(D104="","",INDEX(製品マスタ!$Q$5:$Q$5002,MATCH('S4'!F104&amp;'S4'!K104,製品マスタ!$AO$5:$AO$5002,0)))</f>
        <v/>
      </c>
      <c r="M104" s="39"/>
      <c r="N104" s="39"/>
      <c r="O104" s="156"/>
      <c r="P104" s="47"/>
      <c r="Q104" s="57"/>
      <c r="R104" s="271" t="str">
        <f ca="1">IF(D104="","",IF(OFFSET(D104,-1,0)&lt;&gt;"","",IF(OR(J104="リード付け",J104="巻足し",J104="巻返しリード付け"),M104,VLOOKUP(D104,契約台帳!$A$3:$N$4986,14,FALSE))))</f>
        <v/>
      </c>
      <c r="S104" s="272" t="str">
        <f ca="1">IF(D104="","",IF(OFFSET(D104,-1,0)&lt;&gt;"","",IF(OR(J104="リード付け",J104="巻足し",J104="巻返しリード付け"),M104,VLOOKUP(D104,契約台帳!$A$3:$O$4986,15,FALSE))))</f>
        <v/>
      </c>
      <c r="T104" s="273" t="str">
        <f ca="1">IF(D104="","",IF(J104="リード付け",N104,IF(J104="巻返しリード付け",N104,IF(J104="巻足し",N104*P104+OFFSET(N104,1,0)*OFFSET(P104,1,0),VLOOKUP(D104,契約台帳!$A$3:$P$4986,16,FALSE)))))</f>
        <v/>
      </c>
      <c r="U104" s="40"/>
      <c r="V104" s="274" t="str">
        <f ca="1">IF(D104="","",IF(OFFSET(D104,-2,0)=D104,"",VLOOKUP(D104,契約台帳!$A$3:$R$4986,18,FALSE)))</f>
        <v/>
      </c>
      <c r="W104" s="269" t="str">
        <f>IF(D104="","",IF(T104="","",IF(OR(J104="巻足し",J104="巻返しリード付け"),"",IF(J104="巻返し",VLOOKUP(F104&amp;K104&amp;M104,製品マスタ!$M$5:$AD$5002,18,FALSE),IF(OR(J104="リード付け",J104="巻返しリード付け"),"原反コア",IF(J104="スリット",VLOOKUP(F104&amp;K104&amp;R104,製品マスタ!$N$5:$AD$5002,17,FALSE),""))))))</f>
        <v/>
      </c>
      <c r="X104" s="269" t="str">
        <f>IF(D104="","",IF(T104="","",IF(J104="巻足し","",IF(J104="巻返し",VLOOKUP(F104&amp;K104&amp;M104,製品マスタ!$M$5:$AE$5002,19,FALSE),IF(OR(J104="リード付け",J104="巻返しリード付け"),"",IF(J104="スリット",VLOOKUP(F104&amp;K104&amp;R104,製品マスタ!$N$5:$AE$5002,18,FALSE),""))))))</f>
        <v/>
      </c>
      <c r="Y104" s="275" t="str">
        <f>IF(D104="","",IF(T104="","",VLOOKUP(D104,契約台帳!$A$3:$Q$4986,17,FALSE)))</f>
        <v/>
      </c>
      <c r="Z104" s="269" t="str">
        <f>IF(D104="","",IF(T104="","",VLOOKUP(D104,契約台帳!$A$3:$E$4986,5,FALSE)))</f>
        <v/>
      </c>
      <c r="AA104" s="57"/>
      <c r="AB104" s="207" t="str">
        <f>IFERROR((VLOOKUP(F104&amp;K104&amp;M104,製品マスタ!$M$5:$AM$5002,27,FALSE)),"")</f>
        <v/>
      </c>
      <c r="AC104" s="33"/>
      <c r="AD104" s="189"/>
      <c r="AE104" s="54"/>
      <c r="AF104" s="55"/>
      <c r="AG104" s="43"/>
      <c r="AH104" s="47"/>
      <c r="AI104" s="30"/>
      <c r="AJ104" s="30"/>
      <c r="AK104" s="30"/>
      <c r="AL104" s="30"/>
      <c r="AM104" s="13"/>
      <c r="AN104" s="13"/>
      <c r="AO104" s="13"/>
      <c r="AP104" s="13"/>
      <c r="AQ104" s="13"/>
      <c r="AR104" s="14"/>
      <c r="AS104" s="15"/>
    </row>
    <row r="105" spans="1:45" s="17" customFormat="1" ht="30.95" hidden="1" customHeight="1" x14ac:dyDescent="0.2">
      <c r="A105" s="37"/>
      <c r="B105" s="38"/>
      <c r="C105" s="45"/>
      <c r="D105" s="31">
        <v>3691106</v>
      </c>
      <c r="E105" s="31">
        <v>4140854</v>
      </c>
      <c r="F105" s="268" t="str">
        <f>IF(D105="","",VLOOKUP(D105,契約台帳!$A$3:$K$4986,6,FALSE)&amp;VLOOKUP(D105,契約台帳!$A$3:$K$4986,7,FALSE)&amp;VLOOKUP(D105,契約台帳!$A$3:$K$4986,8,FALSE)&amp;VLOOKUP(D105,契約台帳!$A$3:$K$4986,9,FALSE)&amp;VLOOKUP(D105,契約台帳!$A$3:$K$4986,11,FALSE))</f>
        <v>3SNMCLBMSNEYK</v>
      </c>
      <c r="G105" s="269" t="str">
        <f>IF(D105="","",VLOOKUP(F105,製品マスタ!$G$5:$H$5002,2,FALSE))</f>
        <v>S</v>
      </c>
      <c r="H105" s="269" t="str">
        <f>IF(D105="","",VLOOKUP(F105,製品マスタ!$G$5:$K$5002,5,FALSE))</f>
        <v>MSNEYK</v>
      </c>
      <c r="I105" s="270" t="str">
        <f>IF(D105="","",VLOOKUP(F105,製品マスタ!$G$5:$L$5002,6,FALSE))</f>
        <v>ＭＳＮ　ＥＹＫ</v>
      </c>
      <c r="J105" s="210" t="s">
        <v>447</v>
      </c>
      <c r="K105" s="270">
        <f>IF(D105="","",VLOOKUP(D105,契約台帳!$A$3:$L$4986,12,FALSE))</f>
        <v>50</v>
      </c>
      <c r="L105" s="270" t="str">
        <f>IF(D105="","",INDEX(製品マスタ!$Q$5:$Q$5002,MATCH('S4'!F105&amp;'S4'!K105,製品マスタ!$AO$5:$AO$5002,0)))</f>
        <v>N-MAT</v>
      </c>
      <c r="M105" s="39">
        <v>1120</v>
      </c>
      <c r="N105" s="39">
        <v>8000</v>
      </c>
      <c r="O105" s="156">
        <v>1</v>
      </c>
      <c r="P105" s="47">
        <v>2</v>
      </c>
      <c r="Q105" s="57"/>
      <c r="R105" s="271">
        <f ca="1">IF(D105="","",IF(OFFSET(D105,-1,0)&lt;&gt;"","",IF(OR(J105="リード付け",J105="巻足し",J105="巻返しリード付け"),M105,VLOOKUP(D105,契約台帳!$A$3:$N$4986,14,FALSE))))</f>
        <v>1120</v>
      </c>
      <c r="S105" s="272">
        <f ca="1">IF(D105="","",IF(OFFSET(D105,-1,0)&lt;&gt;"","",IF(OR(J105="リード付け",J105="巻足し",J105="巻返しリード付け"),M105,VLOOKUP(D105,契約台帳!$A$3:$O$4986,15,FALSE))))</f>
        <v>1120</v>
      </c>
      <c r="T105" s="273">
        <f ca="1">IF(D105="","",IF(J105="リード付け",N105,IF(J105="巻返しリード付け",N105,IF(J105="巻足し",N105*P105+OFFSET(N105,1,0)*OFFSET(P105,1,0),VLOOKUP(D105,契約台帳!$A$3:$P$4986,16,FALSE)))))</f>
        <v>4000</v>
      </c>
      <c r="U105" s="40">
        <v>2</v>
      </c>
      <c r="V105" s="274" t="str">
        <f ca="1">IF(D105="","",IF(OFFSET(D105,-2,0)=D105,"",VLOOKUP(D105,契約台帳!$A$3:$R$4986,18,FALSE)))</f>
        <v/>
      </c>
      <c r="W105" s="269" t="str">
        <f ca="1">IF(D105="","",IF(T105="","",IF(OR(J105="巻足し",J105="巻返しリード付け"),"",IF(J105="巻返し",VLOOKUP(F105&amp;K105&amp;M105,製品マスタ!$M$5:$AD$5002,18,FALSE),IF(OR(J105="リード付け",J105="巻返しリード付け"),"原反コア",IF(J105="スリット",VLOOKUP(F105&amp;K105&amp;R105,製品マスタ!$N$5:$AD$5002,17,FALSE),""))))))</f>
        <v>6ｲﾝﾁMｺｱ</v>
      </c>
      <c r="X105" s="269">
        <f ca="1">IF(D105="","",IF(T105="","",IF(J105="巻足し","",IF(J105="巻返し",VLOOKUP(F105&amp;K105&amp;M105,製品マスタ!$M$5:$AE$5002,19,FALSE),IF(OR(J105="リード付け",J105="巻返しリード付け"),"",IF(J105="スリット",VLOOKUP(F105&amp;K105&amp;R105,製品マスタ!$N$5:$AE$5002,18,FALSE),""))))))</f>
        <v>1140</v>
      </c>
      <c r="Y105" s="275">
        <f ca="1">IF(D105="","",IF(T105="","",VLOOKUP(D105,契約台帳!$A$3:$Q$4986,17,FALSE)))</f>
        <v>2</v>
      </c>
      <c r="Z105" s="269" t="str">
        <f ca="1">IF(D105="","",IF(T105="","",VLOOKUP(D105,契約台帳!$A$3:$E$4986,5,FALSE)))</f>
        <v>新タック化成㈱</v>
      </c>
      <c r="AA105" s="57">
        <v>44950</v>
      </c>
      <c r="AB105" s="207" t="str">
        <f>IFERROR((VLOOKUP(F105&amp;K105&amp;M105,製品マスタ!$M$5:$AM$5002,27,FALSE)),"")</f>
        <v>原反ケース再利用</v>
      </c>
      <c r="AC105" s="33"/>
      <c r="AD105" s="189"/>
      <c r="AE105" s="54"/>
      <c r="AF105" s="55"/>
      <c r="AG105" s="43"/>
      <c r="AH105" s="47"/>
      <c r="AI105" s="30"/>
      <c r="AJ105" s="30"/>
      <c r="AK105" s="30"/>
      <c r="AL105" s="30"/>
      <c r="AM105" s="13"/>
      <c r="AN105" s="13"/>
      <c r="AO105" s="13"/>
      <c r="AP105" s="13"/>
      <c r="AQ105" s="13"/>
      <c r="AR105" s="14"/>
      <c r="AS105" s="15"/>
    </row>
    <row r="106" spans="1:45" s="17" customFormat="1" ht="30.95" hidden="1" customHeight="1" x14ac:dyDescent="0.2">
      <c r="A106" s="37"/>
      <c r="B106" s="38"/>
      <c r="C106" s="45"/>
      <c r="D106" s="31"/>
      <c r="E106" s="31"/>
      <c r="F106" s="268" t="str">
        <f>IF(D106="","",VLOOKUP(D106,契約台帳!$A$3:$K$4986,6,FALSE)&amp;VLOOKUP(D106,契約台帳!$A$3:$K$4986,7,FALSE)&amp;VLOOKUP(D106,契約台帳!$A$3:$K$4986,8,FALSE)&amp;VLOOKUP(D106,契約台帳!$A$3:$K$4986,9,FALSE)&amp;VLOOKUP(D106,契約台帳!$A$3:$K$4986,11,FALSE))</f>
        <v/>
      </c>
      <c r="G106" s="269" t="str">
        <f>IF(D106="","",VLOOKUP(F106,製品マスタ!$G$5:$H$5002,2,FALSE))</f>
        <v/>
      </c>
      <c r="H106" s="269" t="str">
        <f>IF(D106="","",VLOOKUP(F106,製品マスタ!$G$5:$K$5002,5,FALSE))</f>
        <v/>
      </c>
      <c r="I106" s="270" t="str">
        <f>IF(D106="","",VLOOKUP(F106,製品マスタ!$G$5:$L$5002,6,FALSE))</f>
        <v/>
      </c>
      <c r="J106" s="210"/>
      <c r="K106" s="270" t="str">
        <f>IF(D106="","",VLOOKUP(D106,契約台帳!$A$3:$L$4986,12,FALSE))</f>
        <v/>
      </c>
      <c r="L106" s="270" t="str">
        <f>IF(D106="","",INDEX(製品マスタ!$Q$5:$Q$5002,MATCH('S4'!F106&amp;'S4'!K106,製品マスタ!$AO$5:$AO$5002,0)))</f>
        <v/>
      </c>
      <c r="M106" s="39"/>
      <c r="N106" s="39"/>
      <c r="O106" s="156"/>
      <c r="P106" s="47"/>
      <c r="Q106" s="57"/>
      <c r="R106" s="271" t="str">
        <f ca="1">IF(D106="","",IF(OFFSET(D106,-1,0)&lt;&gt;"","",IF(OR(J106="リード付け",J106="巻足し",J106="巻返しリード付け"),M106,VLOOKUP(D106,契約台帳!$A$3:$N$4986,14,FALSE))))</f>
        <v/>
      </c>
      <c r="S106" s="272" t="str">
        <f ca="1">IF(D106="","",IF(OFFSET(D106,-1,0)&lt;&gt;"","",IF(OR(J106="リード付け",J106="巻足し",J106="巻返しリード付け"),M106,VLOOKUP(D106,契約台帳!$A$3:$O$4986,15,FALSE))))</f>
        <v/>
      </c>
      <c r="T106" s="273" t="str">
        <f ca="1">IF(D106="","",IF(J106="リード付け",N106,IF(J106="巻返しリード付け",N106,IF(J106="巻足し",N106*P106+OFFSET(N106,1,0)*OFFSET(P106,1,0),VLOOKUP(D106,契約台帳!$A$3:$P$4986,16,FALSE)))))</f>
        <v/>
      </c>
      <c r="U106" s="40"/>
      <c r="V106" s="274" t="str">
        <f ca="1">IF(D106="","",IF(OFFSET(D106,-2,0)=D106,"",VLOOKUP(D106,契約台帳!$A$3:$R$4986,18,FALSE)))</f>
        <v/>
      </c>
      <c r="W106" s="269" t="str">
        <f>IF(D106="","",IF(T106="","",IF(OR(J106="巻足し",J106="巻返しリード付け"),"",IF(J106="巻返し",VLOOKUP(F106&amp;K106&amp;M106,製品マスタ!$M$5:$AD$5002,18,FALSE),IF(OR(J106="リード付け",J106="巻返しリード付け"),"原反コア",IF(J106="スリット",VLOOKUP(F106&amp;K106&amp;R106,製品マスタ!$N$5:$AD$5002,17,FALSE),""))))))</f>
        <v/>
      </c>
      <c r="X106" s="269" t="str">
        <f>IF(D106="","",IF(T106="","",IF(J106="巻足し","",IF(J106="巻返し",VLOOKUP(F106&amp;K106&amp;M106,製品マスタ!$M$5:$AE$5002,19,FALSE),IF(OR(J106="リード付け",J106="巻返しリード付け"),"",IF(J106="スリット",VLOOKUP(F106&amp;K106&amp;R106,製品マスタ!$N$5:$AE$5002,18,FALSE),""))))))</f>
        <v/>
      </c>
      <c r="Y106" s="275" t="str">
        <f>IF(D106="","",IF(T106="","",VLOOKUP(D106,契約台帳!$A$3:$Q$4986,17,FALSE)))</f>
        <v/>
      </c>
      <c r="Z106" s="269" t="str">
        <f>IF(D106="","",IF(T106="","",VLOOKUP(D106,契約台帳!$A$3:$E$4986,5,FALSE)))</f>
        <v/>
      </c>
      <c r="AA106" s="57"/>
      <c r="AB106" s="207" t="str">
        <f>IFERROR((VLOOKUP(F106&amp;K106&amp;M106,製品マスタ!$M$5:$AM$5002,27,FALSE)),"")</f>
        <v/>
      </c>
      <c r="AC106" s="33"/>
      <c r="AD106" s="189"/>
      <c r="AE106" s="54"/>
      <c r="AF106" s="55"/>
      <c r="AG106" s="43"/>
      <c r="AH106" s="47"/>
      <c r="AI106" s="30"/>
      <c r="AJ106" s="30"/>
      <c r="AK106" s="30"/>
      <c r="AL106" s="30"/>
      <c r="AM106" s="13"/>
      <c r="AN106" s="13"/>
      <c r="AO106" s="13"/>
      <c r="AP106" s="13"/>
      <c r="AQ106" s="13"/>
      <c r="AR106" s="14"/>
      <c r="AS106" s="15"/>
    </row>
    <row r="107" spans="1:45" s="17" customFormat="1" ht="30.95" hidden="1" customHeight="1" x14ac:dyDescent="0.2">
      <c r="A107" s="37"/>
      <c r="B107" s="38"/>
      <c r="C107" s="45"/>
      <c r="D107" s="31">
        <v>3691103</v>
      </c>
      <c r="E107" s="31">
        <v>4140850</v>
      </c>
      <c r="F107" s="268" t="str">
        <f>IF(D107="","",VLOOKUP(D107,契約台帳!$A$3:$K$4986,6,FALSE)&amp;VLOOKUP(D107,契約台帳!$A$3:$K$4986,7,FALSE)&amp;VLOOKUP(D107,契約台帳!$A$3:$K$4986,8,FALSE)&amp;VLOOKUP(D107,契約台帳!$A$3:$K$4986,9,FALSE)&amp;VLOOKUP(D107,契約台帳!$A$3:$K$4986,11,FALSE))</f>
        <v>3SNMCLBMSNEYK</v>
      </c>
      <c r="G107" s="269" t="str">
        <f>IF(D107="","",VLOOKUP(F107,製品マスタ!$G$5:$H$5002,2,FALSE))</f>
        <v>S</v>
      </c>
      <c r="H107" s="269" t="str">
        <f>IF(D107="","",VLOOKUP(F107,製品マスタ!$G$5:$K$5002,5,FALSE))</f>
        <v>MSNEYK</v>
      </c>
      <c r="I107" s="270" t="str">
        <f>IF(D107="","",VLOOKUP(F107,製品マスタ!$G$5:$L$5002,6,FALSE))</f>
        <v>ＭＳＮ　ＥＹＫ</v>
      </c>
      <c r="J107" s="210" t="s">
        <v>447</v>
      </c>
      <c r="K107" s="270">
        <f>IF(D107="","",VLOOKUP(D107,契約台帳!$A$3:$L$4986,12,FALSE))</f>
        <v>25</v>
      </c>
      <c r="L107" s="270" t="str">
        <f>IF(D107="","",INDEX(製品マスタ!$Q$5:$Q$5002,MATCH('S4'!F107&amp;'S4'!K107,製品マスタ!$AO$5:$AO$5002,0)))</f>
        <v>N-MAT</v>
      </c>
      <c r="M107" s="39">
        <v>1120</v>
      </c>
      <c r="N107" s="39">
        <v>8000</v>
      </c>
      <c r="O107" s="156">
        <v>1</v>
      </c>
      <c r="P107" s="47">
        <v>2</v>
      </c>
      <c r="Q107" s="57"/>
      <c r="R107" s="271">
        <f ca="1">IF(D107="","",IF(OFFSET(D107,-1,0)&lt;&gt;"","",IF(OR(J107="リード付け",J107="巻足し",J107="巻返しリード付け"),M107,VLOOKUP(D107,契約台帳!$A$3:$N$4986,14,FALSE))))</f>
        <v>1120</v>
      </c>
      <c r="S107" s="272">
        <f ca="1">IF(D107="","",IF(OFFSET(D107,-1,0)&lt;&gt;"","",IF(OR(J107="リード付け",J107="巻足し",J107="巻返しリード付け"),M107,VLOOKUP(D107,契約台帳!$A$3:$O$4986,15,FALSE))))</f>
        <v>1120</v>
      </c>
      <c r="T107" s="273">
        <f ca="1">IF(D107="","",IF(J107="リード付け",N107,IF(J107="巻返しリード付け",N107,IF(J107="巻足し",N107*P107+OFFSET(N107,1,0)*OFFSET(P107,1,0),VLOOKUP(D107,契約台帳!$A$3:$P$4986,16,FALSE)))))</f>
        <v>4000</v>
      </c>
      <c r="U107" s="40">
        <v>2</v>
      </c>
      <c r="V107" s="274">
        <f ca="1">IF(D107="","",IF(OFFSET(D107,-2,0)=D107,"",VLOOKUP(D107,契約台帳!$A$3:$R$4986,18,FALSE)))</f>
        <v>2</v>
      </c>
      <c r="W107" s="269" t="str">
        <f ca="1">IF(D107="","",IF(T107="","",IF(OR(J107="巻足し",J107="巻返しリード付け"),"",IF(J107="巻返し",VLOOKUP(F107&amp;K107&amp;M107,製品マスタ!$M$5:$AD$5002,18,FALSE),IF(OR(J107="リード付け",J107="巻返しリード付け"),"原反コア",IF(J107="スリット",VLOOKUP(F107&amp;K107&amp;R107,製品マスタ!$N$5:$AD$5002,17,FALSE),""))))))</f>
        <v>6ｲﾝﾁMｺｱ</v>
      </c>
      <c r="X107" s="269">
        <f ca="1">IF(D107="","",IF(T107="","",IF(J107="巻足し","",IF(J107="巻返し",VLOOKUP(F107&amp;K107&amp;M107,製品マスタ!$M$5:$AE$5002,19,FALSE),IF(OR(J107="リード付け",J107="巻返しリード付け"),"",IF(J107="スリット",VLOOKUP(F107&amp;K107&amp;R107,製品マスタ!$N$5:$AE$5002,18,FALSE),""))))))</f>
        <v>1140</v>
      </c>
      <c r="Y107" s="275">
        <f ca="1">IF(D107="","",IF(T107="","",VLOOKUP(D107,契約台帳!$A$3:$Q$4986,17,FALSE)))</f>
        <v>2</v>
      </c>
      <c r="Z107" s="269" t="str">
        <f ca="1">IF(D107="","",IF(T107="","",VLOOKUP(D107,契約台帳!$A$3:$E$4986,5,FALSE)))</f>
        <v>新タック化成㈱</v>
      </c>
      <c r="AA107" s="57">
        <v>44950</v>
      </c>
      <c r="AB107" s="207">
        <f>IFERROR((VLOOKUP(F107&amp;K107&amp;M107,製品マスタ!$M$5:$AM$5002,27,FALSE)),"")</f>
        <v>0</v>
      </c>
      <c r="AC107" s="33"/>
      <c r="AD107" s="189"/>
      <c r="AE107" s="54"/>
      <c r="AF107" s="55"/>
      <c r="AG107" s="43"/>
      <c r="AH107" s="47"/>
      <c r="AI107" s="30"/>
      <c r="AJ107" s="30"/>
      <c r="AK107" s="30"/>
      <c r="AL107" s="30"/>
      <c r="AM107" s="13"/>
      <c r="AN107" s="13"/>
      <c r="AO107" s="13"/>
      <c r="AP107" s="13"/>
      <c r="AQ107" s="13"/>
      <c r="AR107" s="14"/>
      <c r="AS107" s="15"/>
    </row>
    <row r="108" spans="1:45" s="17" customFormat="1" ht="30.95" hidden="1" customHeight="1" x14ac:dyDescent="0.2">
      <c r="A108" s="37"/>
      <c r="B108" s="38"/>
      <c r="C108" s="45"/>
      <c r="D108" s="31"/>
      <c r="E108" s="31"/>
      <c r="F108" s="268" t="str">
        <f>IF(D108="","",VLOOKUP(D108,契約台帳!$A$3:$K$4986,6,FALSE)&amp;VLOOKUP(D108,契約台帳!$A$3:$K$4986,7,FALSE)&amp;VLOOKUP(D108,契約台帳!$A$3:$K$4986,8,FALSE)&amp;VLOOKUP(D108,契約台帳!$A$3:$K$4986,9,FALSE)&amp;VLOOKUP(D108,契約台帳!$A$3:$K$4986,11,FALSE))</f>
        <v/>
      </c>
      <c r="G108" s="269" t="str">
        <f>IF(D108="","",VLOOKUP(F108,製品マスタ!$G$5:$H$5002,2,FALSE))</f>
        <v/>
      </c>
      <c r="H108" s="269" t="str">
        <f>IF(D108="","",VLOOKUP(F108,製品マスタ!$G$5:$K$5002,5,FALSE))</f>
        <v/>
      </c>
      <c r="I108" s="270" t="str">
        <f>IF(D108="","",VLOOKUP(F108,製品マスタ!$G$5:$L$5002,6,FALSE))</f>
        <v/>
      </c>
      <c r="J108" s="210"/>
      <c r="K108" s="270" t="str">
        <f>IF(D108="","",VLOOKUP(D108,契約台帳!$A$3:$L$4986,12,FALSE))</f>
        <v/>
      </c>
      <c r="L108" s="270" t="str">
        <f>IF(D108="","",INDEX(製品マスタ!$Q$5:$Q$5002,MATCH('S4'!F108&amp;'S4'!K108,製品マスタ!$AO$5:$AO$5002,0)))</f>
        <v/>
      </c>
      <c r="M108" s="39"/>
      <c r="N108" s="39"/>
      <c r="O108" s="156"/>
      <c r="P108" s="47"/>
      <c r="Q108" s="57"/>
      <c r="R108" s="271" t="str">
        <f ca="1">IF(D108="","",IF(OFFSET(D108,-1,0)&lt;&gt;"","",IF(OR(J108="リード付け",J108="巻足し",J108="巻返しリード付け"),M108,VLOOKUP(D108,契約台帳!$A$3:$N$4986,14,FALSE))))</f>
        <v/>
      </c>
      <c r="S108" s="272" t="str">
        <f ca="1">IF(D108="","",IF(OFFSET(D108,-1,0)&lt;&gt;"","",IF(OR(J108="リード付け",J108="巻足し",J108="巻返しリード付け"),M108,VLOOKUP(D108,契約台帳!$A$3:$O$4986,15,FALSE))))</f>
        <v/>
      </c>
      <c r="T108" s="273" t="str">
        <f ca="1">IF(D108="","",IF(J108="リード付け",N108,IF(J108="巻返しリード付け",N108,IF(J108="巻足し",N108*P108+OFFSET(N108,1,0)*OFFSET(P108,1,0),VLOOKUP(D108,契約台帳!$A$3:$P$4986,16,FALSE)))))</f>
        <v/>
      </c>
      <c r="U108" s="40"/>
      <c r="V108" s="274" t="str">
        <f ca="1">IF(D108="","",IF(OFFSET(D108,-2,0)=D108,"",VLOOKUP(D108,契約台帳!$A$3:$R$4986,18,FALSE)))</f>
        <v/>
      </c>
      <c r="W108" s="269" t="str">
        <f>IF(D108="","",IF(T108="","",IF(OR(J108="巻足し",J108="巻返しリード付け"),"",IF(J108="巻返し",VLOOKUP(F108&amp;K108&amp;M108,製品マスタ!$M$5:$AD$5002,18,FALSE),IF(OR(J108="リード付け",J108="巻返しリード付け"),"原反コア",IF(J108="スリット",VLOOKUP(F108&amp;K108&amp;R108,製品マスタ!$N$5:$AD$5002,17,FALSE),""))))))</f>
        <v/>
      </c>
      <c r="X108" s="269" t="str">
        <f>IF(D108="","",IF(T108="","",IF(J108="巻足し","",IF(J108="巻返し",VLOOKUP(F108&amp;K108&amp;M108,製品マスタ!$M$5:$AE$5002,19,FALSE),IF(OR(J108="リード付け",J108="巻返しリード付け"),"",IF(J108="スリット",VLOOKUP(F108&amp;K108&amp;R108,製品マスタ!$N$5:$AE$5002,18,FALSE),""))))))</f>
        <v/>
      </c>
      <c r="Y108" s="275" t="str">
        <f>IF(D108="","",IF(T108="","",VLOOKUP(D108,契約台帳!$A$3:$Q$4986,17,FALSE)))</f>
        <v/>
      </c>
      <c r="Z108" s="269" t="str">
        <f>IF(D108="","",IF(T108="","",VLOOKUP(D108,契約台帳!$A$3:$E$4986,5,FALSE)))</f>
        <v/>
      </c>
      <c r="AA108" s="57"/>
      <c r="AB108" s="207" t="str">
        <f>IFERROR((VLOOKUP(F108&amp;K108&amp;M108,製品マスタ!$M$5:$AM$5002,27,FALSE)),"")</f>
        <v/>
      </c>
      <c r="AC108" s="33"/>
      <c r="AD108" s="189"/>
      <c r="AE108" s="54"/>
      <c r="AF108" s="55"/>
      <c r="AG108" s="43"/>
      <c r="AH108" s="47"/>
      <c r="AI108" s="30"/>
      <c r="AJ108" s="30"/>
      <c r="AK108" s="30"/>
      <c r="AL108" s="30"/>
      <c r="AM108" s="13"/>
      <c r="AN108" s="13"/>
      <c r="AO108" s="13"/>
      <c r="AP108" s="13"/>
      <c r="AQ108" s="13"/>
      <c r="AR108" s="14"/>
      <c r="AS108" s="15"/>
    </row>
    <row r="109" spans="1:45" s="17" customFormat="1" ht="30.95" hidden="1" customHeight="1" x14ac:dyDescent="0.2">
      <c r="A109" s="37"/>
      <c r="B109" s="38"/>
      <c r="C109" s="45"/>
      <c r="D109" s="31">
        <v>3691105</v>
      </c>
      <c r="E109" s="31">
        <v>4140851</v>
      </c>
      <c r="F109" s="268" t="str">
        <f>IF(D109="","",VLOOKUP(D109,契約台帳!$A$3:$K$4986,6,FALSE)&amp;VLOOKUP(D109,契約台帳!$A$3:$K$4986,7,FALSE)&amp;VLOOKUP(D109,契約台帳!$A$3:$K$4986,8,FALSE)&amp;VLOOKUP(D109,契約台帳!$A$3:$K$4986,9,FALSE)&amp;VLOOKUP(D109,契約台帳!$A$3:$K$4986,11,FALSE))</f>
        <v>3SNMCLBMSNEYK</v>
      </c>
      <c r="G109" s="269" t="str">
        <f>IF(D109="","",VLOOKUP(F109,製品マスタ!$G$5:$H$5002,2,FALSE))</f>
        <v>S</v>
      </c>
      <c r="H109" s="269" t="str">
        <f>IF(D109="","",VLOOKUP(F109,製品マスタ!$G$5:$K$5002,5,FALSE))</f>
        <v>MSNEYK</v>
      </c>
      <c r="I109" s="270" t="str">
        <f>IF(D109="","",VLOOKUP(F109,製品マスタ!$G$5:$L$5002,6,FALSE))</f>
        <v>ＭＳＮ　ＥＹＫ</v>
      </c>
      <c r="J109" s="210" t="s">
        <v>447</v>
      </c>
      <c r="K109" s="270">
        <f>IF(D109="","",VLOOKUP(D109,契約台帳!$A$3:$L$4986,12,FALSE))</f>
        <v>25</v>
      </c>
      <c r="L109" s="270" t="str">
        <f>IF(D109="","",INDEX(製品マスタ!$Q$5:$Q$5002,MATCH('S4'!F109&amp;'S4'!K109,製品マスタ!$AO$5:$AO$5002,0)))</f>
        <v>N-MAT</v>
      </c>
      <c r="M109" s="39">
        <v>1120</v>
      </c>
      <c r="N109" s="39">
        <v>8000</v>
      </c>
      <c r="O109" s="156">
        <v>1</v>
      </c>
      <c r="P109" s="47">
        <v>2</v>
      </c>
      <c r="Q109" s="57"/>
      <c r="R109" s="271">
        <f ca="1">IF(D109="","",IF(OFFSET(D109,-1,0)&lt;&gt;"","",IF(OR(J109="リード付け",J109="巻足し",J109="巻返しリード付け"),M109,VLOOKUP(D109,契約台帳!$A$3:$N$4986,14,FALSE))))</f>
        <v>1120</v>
      </c>
      <c r="S109" s="272">
        <f ca="1">IF(D109="","",IF(OFFSET(D109,-1,0)&lt;&gt;"","",IF(OR(J109="リード付け",J109="巻足し",J109="巻返しリード付け"),M109,VLOOKUP(D109,契約台帳!$A$3:$O$4986,15,FALSE))))</f>
        <v>1120</v>
      </c>
      <c r="T109" s="273">
        <f ca="1">IF(D109="","",IF(J109="リード付け",N109,IF(J109="巻返しリード付け",N109,IF(J109="巻足し",N109*P109+OFFSET(N109,1,0)*OFFSET(P109,1,0),VLOOKUP(D109,契約台帳!$A$3:$P$4986,16,FALSE)))))</f>
        <v>4000</v>
      </c>
      <c r="U109" s="40">
        <v>2</v>
      </c>
      <c r="V109" s="274">
        <f ca="1">IF(D109="","",IF(OFFSET(D109,-2,0)=D109,"",VLOOKUP(D109,契約台帳!$A$3:$R$4986,18,FALSE)))</f>
        <v>2</v>
      </c>
      <c r="W109" s="269" t="str">
        <f ca="1">IF(D109="","",IF(T109="","",IF(OR(J109="巻足し",J109="巻返しリード付け"),"",IF(J109="巻返し",VLOOKUP(F109&amp;K109&amp;M109,製品マスタ!$M$5:$AD$5002,18,FALSE),IF(OR(J109="リード付け",J109="巻返しリード付け"),"原反コア",IF(J109="スリット",VLOOKUP(F109&amp;K109&amp;R109,製品マスタ!$N$5:$AD$5002,17,FALSE),""))))))</f>
        <v>6ｲﾝﾁMｺｱ</v>
      </c>
      <c r="X109" s="269">
        <f ca="1">IF(D109="","",IF(T109="","",IF(J109="巻足し","",IF(J109="巻返し",VLOOKUP(F109&amp;K109&amp;M109,製品マスタ!$M$5:$AE$5002,19,FALSE),IF(OR(J109="リード付け",J109="巻返しリード付け"),"",IF(J109="スリット",VLOOKUP(F109&amp;K109&amp;R109,製品マスタ!$N$5:$AE$5002,18,FALSE),""))))))</f>
        <v>1140</v>
      </c>
      <c r="Y109" s="275">
        <f ca="1">IF(D109="","",IF(T109="","",VLOOKUP(D109,契約台帳!$A$3:$Q$4986,17,FALSE)))</f>
        <v>2</v>
      </c>
      <c r="Z109" s="269" t="str">
        <f ca="1">IF(D109="","",IF(T109="","",VLOOKUP(D109,契約台帳!$A$3:$E$4986,5,FALSE)))</f>
        <v>新タック化成㈱</v>
      </c>
      <c r="AA109" s="57">
        <v>44950</v>
      </c>
      <c r="AB109" s="207">
        <f>IFERROR((VLOOKUP(F109&amp;K109&amp;M109,製品マスタ!$M$5:$AM$5002,27,FALSE)),"")</f>
        <v>0</v>
      </c>
      <c r="AC109" s="33"/>
      <c r="AD109" s="189"/>
      <c r="AE109" s="54"/>
      <c r="AF109" s="55"/>
      <c r="AG109" s="43"/>
      <c r="AH109" s="47"/>
      <c r="AI109" s="30"/>
      <c r="AJ109" s="30"/>
      <c r="AK109" s="30"/>
      <c r="AL109" s="30"/>
      <c r="AM109" s="13"/>
      <c r="AN109" s="13"/>
      <c r="AO109" s="13"/>
      <c r="AP109" s="13"/>
      <c r="AQ109" s="13"/>
      <c r="AR109" s="14"/>
      <c r="AS109" s="15"/>
    </row>
    <row r="110" spans="1:45" s="17" customFormat="1" ht="30.95" hidden="1" customHeight="1" x14ac:dyDescent="0.2">
      <c r="A110" s="37"/>
      <c r="B110" s="38"/>
      <c r="C110" s="45"/>
      <c r="D110" s="31"/>
      <c r="E110" s="31"/>
      <c r="F110" s="268" t="str">
        <f>IF(D110="","",VLOOKUP(D110,契約台帳!$A$3:$K$4986,6,FALSE)&amp;VLOOKUP(D110,契約台帳!$A$3:$K$4986,7,FALSE)&amp;VLOOKUP(D110,契約台帳!$A$3:$K$4986,8,FALSE)&amp;VLOOKUP(D110,契約台帳!$A$3:$K$4986,9,FALSE)&amp;VLOOKUP(D110,契約台帳!$A$3:$K$4986,11,FALSE))</f>
        <v/>
      </c>
      <c r="G110" s="269" t="str">
        <f>IF(D110="","",VLOOKUP(F110,製品マスタ!$G$5:$H$5002,2,FALSE))</f>
        <v/>
      </c>
      <c r="H110" s="269" t="str">
        <f>IF(D110="","",VLOOKUP(F110,製品マスタ!$G$5:$K$5002,5,FALSE))</f>
        <v/>
      </c>
      <c r="I110" s="270" t="str">
        <f>IF(D110="","",VLOOKUP(F110,製品マスタ!$G$5:$L$5002,6,FALSE))</f>
        <v/>
      </c>
      <c r="J110" s="210"/>
      <c r="K110" s="270" t="str">
        <f>IF(D110="","",VLOOKUP(D110,契約台帳!$A$3:$L$4986,12,FALSE))</f>
        <v/>
      </c>
      <c r="L110" s="270" t="str">
        <f>IF(D110="","",INDEX(製品マスタ!$Q$5:$Q$5002,MATCH('S4'!F110&amp;'S4'!K110,製品マスタ!$AO$5:$AO$5002,0)))</f>
        <v/>
      </c>
      <c r="M110" s="39"/>
      <c r="N110" s="39"/>
      <c r="O110" s="156"/>
      <c r="P110" s="47"/>
      <c r="Q110" s="57"/>
      <c r="R110" s="271" t="str">
        <f ca="1">IF(D110="","",IF(OFFSET(D110,-1,0)&lt;&gt;"","",IF(OR(J110="リード付け",J110="巻足し",J110="巻返しリード付け"),M110,VLOOKUP(D110,契約台帳!$A$3:$N$4986,14,FALSE))))</f>
        <v/>
      </c>
      <c r="S110" s="272" t="str">
        <f ca="1">IF(D110="","",IF(OFFSET(D110,-1,0)&lt;&gt;"","",IF(OR(J110="リード付け",J110="巻足し",J110="巻返しリード付け"),M110,VLOOKUP(D110,契約台帳!$A$3:$O$4986,15,FALSE))))</f>
        <v/>
      </c>
      <c r="T110" s="273" t="str">
        <f ca="1">IF(D110="","",IF(J110="リード付け",N110,IF(J110="巻返しリード付け",N110,IF(J110="巻足し",N110*P110+OFFSET(N110,1,0)*OFFSET(P110,1,0),VLOOKUP(D110,契約台帳!$A$3:$P$4986,16,FALSE)))))</f>
        <v/>
      </c>
      <c r="U110" s="40"/>
      <c r="V110" s="274" t="str">
        <f ca="1">IF(D110="","",IF(OFFSET(D110,-2,0)=D110,"",VLOOKUP(D110,契約台帳!$A$3:$R$4986,18,FALSE)))</f>
        <v/>
      </c>
      <c r="W110" s="269" t="str">
        <f>IF(D110="","",IF(T110="","",IF(OR(J110="巻足し",J110="巻返しリード付け"),"",IF(J110="巻返し",VLOOKUP(F110&amp;K110&amp;M110,製品マスタ!$M$5:$AD$5002,18,FALSE),IF(OR(J110="リード付け",J110="巻返しリード付け"),"原反コア",IF(J110="スリット",VLOOKUP(F110&amp;K110&amp;R110,製品マスタ!$N$5:$AD$5002,17,FALSE),""))))))</f>
        <v/>
      </c>
      <c r="X110" s="269" t="str">
        <f>IF(D110="","",IF(T110="","",IF(J110="巻足し","",IF(J110="巻返し",VLOOKUP(F110&amp;K110&amp;M110,製品マスタ!$M$5:$AE$5002,19,FALSE),IF(OR(J110="リード付け",J110="巻返しリード付け"),"",IF(J110="スリット",VLOOKUP(F110&amp;K110&amp;R110,製品マスタ!$N$5:$AE$5002,18,FALSE),""))))))</f>
        <v/>
      </c>
      <c r="Y110" s="275" t="str">
        <f>IF(D110="","",IF(T110="","",VLOOKUP(D110,契約台帳!$A$3:$Q$4986,17,FALSE)))</f>
        <v/>
      </c>
      <c r="Z110" s="269" t="str">
        <f>IF(D110="","",IF(T110="","",VLOOKUP(D110,契約台帳!$A$3:$E$4986,5,FALSE)))</f>
        <v/>
      </c>
      <c r="AA110" s="57"/>
      <c r="AB110" s="207" t="str">
        <f>IFERROR((VLOOKUP(F110&amp;K110&amp;M110,製品マスタ!$M$5:$AM$5002,27,FALSE)),"")</f>
        <v/>
      </c>
      <c r="AC110" s="33"/>
      <c r="AD110" s="189"/>
      <c r="AE110" s="54"/>
      <c r="AF110" s="55"/>
      <c r="AG110" s="43"/>
      <c r="AH110" s="47"/>
      <c r="AI110" s="30"/>
      <c r="AJ110" s="30"/>
      <c r="AK110" s="30"/>
      <c r="AL110" s="30"/>
      <c r="AM110" s="13"/>
      <c r="AN110" s="13"/>
      <c r="AO110" s="13"/>
      <c r="AP110" s="13"/>
      <c r="AQ110" s="13"/>
      <c r="AR110" s="14"/>
      <c r="AS110" s="15"/>
    </row>
    <row r="111" spans="1:45" s="17" customFormat="1" ht="30.95" hidden="1" customHeight="1" x14ac:dyDescent="0.2">
      <c r="A111" s="37" t="s">
        <v>804</v>
      </c>
      <c r="B111" s="38" t="s">
        <v>805</v>
      </c>
      <c r="C111" s="45"/>
      <c r="D111" s="31"/>
      <c r="E111" s="31"/>
      <c r="F111" s="268" t="str">
        <f>IF(D111="","",VLOOKUP(D111,契約台帳!$A$3:$K$4986,6,FALSE)&amp;VLOOKUP(D111,契約台帳!$A$3:$K$4986,7,FALSE)&amp;VLOOKUP(D111,契約台帳!$A$3:$K$4986,8,FALSE)&amp;VLOOKUP(D111,契約台帳!$A$3:$K$4986,9,FALSE)&amp;VLOOKUP(D111,契約台帳!$A$3:$K$4986,11,FALSE))</f>
        <v/>
      </c>
      <c r="G111" s="269" t="str">
        <f>IF(D111="","",VLOOKUP(F111,製品マスタ!$G$5:$H$5002,2,FALSE))</f>
        <v/>
      </c>
      <c r="H111" s="269" t="str">
        <f>IF(D111="","",VLOOKUP(F111,製品マスタ!$G$5:$K$5002,5,FALSE))</f>
        <v/>
      </c>
      <c r="I111" s="270" t="str">
        <f>IF(D111="","",VLOOKUP(F111,製品マスタ!$G$5:$L$5002,6,FALSE))</f>
        <v/>
      </c>
      <c r="J111" s="210"/>
      <c r="K111" s="270" t="str">
        <f>IF(D111="","",VLOOKUP(D111,契約台帳!$A$3:$L$4986,12,FALSE))</f>
        <v/>
      </c>
      <c r="L111" s="270" t="str">
        <f>IF(D111="","",INDEX(製品マスタ!$Q$5:$Q$5002,MATCH('S4'!F111&amp;'S4'!K111,製品マスタ!$AO$5:$AO$5002,0)))</f>
        <v/>
      </c>
      <c r="M111" s="39"/>
      <c r="N111" s="39"/>
      <c r="O111" s="156"/>
      <c r="P111" s="47"/>
      <c r="Q111" s="57"/>
      <c r="R111" s="271" t="str">
        <f ca="1">IF(D111="","",IF(OFFSET(D111,-1,0)&lt;&gt;"","",IF(OR(J111="リード付け",J111="巻足し",J111="巻返しリード付け"),M111,VLOOKUP(D111,契約台帳!$A$3:$N$4986,14,FALSE))))</f>
        <v/>
      </c>
      <c r="S111" s="272" t="str">
        <f ca="1">IF(D111="","",IF(OFFSET(D111,-1,0)&lt;&gt;"","",IF(OR(J111="リード付け",J111="巻足し",J111="巻返しリード付け"),M111,VLOOKUP(D111,契約台帳!$A$3:$O$4986,15,FALSE))))</f>
        <v/>
      </c>
      <c r="T111" s="273" t="str">
        <f ca="1">IF(D111="","",IF(J111="リード付け",N111,IF(J111="巻返しリード付け",N111,IF(J111="巻足し",N111*P111+OFFSET(N111,1,0)*OFFSET(P111,1,0),VLOOKUP(D111,契約台帳!$A$3:$P$4986,16,FALSE)))))</f>
        <v/>
      </c>
      <c r="U111" s="40"/>
      <c r="V111" s="274" t="str">
        <f ca="1">IF(D111="","",IF(OFFSET(D111,-2,0)=D111,"",VLOOKUP(D111,契約台帳!$A$3:$R$4986,18,FALSE)))</f>
        <v/>
      </c>
      <c r="W111" s="269" t="str">
        <f>IF(D111="","",IF(T111="","",IF(OR(J111="巻足し",J111="巻返しリード付け"),"",IF(J111="巻返し",VLOOKUP(F111&amp;K111&amp;M111,製品マスタ!$M$5:$AD$5002,18,FALSE),IF(OR(J111="リード付け",J111="巻返しリード付け"),"原反コア",IF(J111="スリット",VLOOKUP(F111&amp;K111&amp;R111,製品マスタ!$N$5:$AD$5002,17,FALSE),""))))))</f>
        <v/>
      </c>
      <c r="X111" s="269" t="str">
        <f>IF(D111="","",IF(T111="","",IF(J111="巻足し","",IF(J111="巻返し",VLOOKUP(F111&amp;K111&amp;M111,製品マスタ!$M$5:$AE$5002,19,FALSE),IF(OR(J111="リード付け",J111="巻返しリード付け"),"",IF(J111="スリット",VLOOKUP(F111&amp;K111&amp;R111,製品マスタ!$N$5:$AE$5002,18,FALSE),""))))))</f>
        <v/>
      </c>
      <c r="Y111" s="275" t="str">
        <f>IF(D111="","",IF(T111="","",VLOOKUP(D111,契約台帳!$A$3:$Q$4986,17,FALSE)))</f>
        <v/>
      </c>
      <c r="Z111" s="269" t="str">
        <f>IF(D111="","",IF(T111="","",VLOOKUP(D111,契約台帳!$A$3:$E$4986,5,FALSE)))</f>
        <v/>
      </c>
      <c r="AA111" s="57"/>
      <c r="AB111" s="207" t="str">
        <f>IFERROR((VLOOKUP(F111&amp;K111&amp;M111,製品マスタ!$M$5:$AM$5002,27,FALSE)),"")</f>
        <v/>
      </c>
      <c r="AC111" s="33"/>
      <c r="AD111" s="189"/>
      <c r="AE111" s="54"/>
      <c r="AF111" s="55"/>
      <c r="AG111" s="43"/>
      <c r="AH111" s="47"/>
      <c r="AI111" s="30"/>
      <c r="AJ111" s="30"/>
      <c r="AK111" s="30"/>
      <c r="AL111" s="30"/>
      <c r="AM111" s="13"/>
      <c r="AN111" s="13"/>
      <c r="AO111" s="13"/>
      <c r="AP111" s="13"/>
      <c r="AQ111" s="13"/>
      <c r="AR111" s="14"/>
      <c r="AS111" s="15"/>
    </row>
    <row r="112" spans="1:45" s="17" customFormat="1" ht="30.95" hidden="1" customHeight="1" x14ac:dyDescent="0.2">
      <c r="A112" s="37"/>
      <c r="B112" s="38"/>
      <c r="C112" s="45"/>
      <c r="D112" s="31"/>
      <c r="E112" s="31"/>
      <c r="F112" s="268" t="str">
        <f>IF(D112="","",VLOOKUP(D112,契約台帳!$A$3:$K$4986,6,FALSE)&amp;VLOOKUP(D112,契約台帳!$A$3:$K$4986,7,FALSE)&amp;VLOOKUP(D112,契約台帳!$A$3:$K$4986,8,FALSE)&amp;VLOOKUP(D112,契約台帳!$A$3:$K$4986,9,FALSE)&amp;VLOOKUP(D112,契約台帳!$A$3:$K$4986,11,FALSE))</f>
        <v/>
      </c>
      <c r="G112" s="269" t="str">
        <f>IF(D112="","",VLOOKUP(F112,製品マスタ!$G$5:$H$5002,2,FALSE))</f>
        <v/>
      </c>
      <c r="H112" s="269" t="str">
        <f>IF(D112="","",VLOOKUP(F112,製品マスタ!$G$5:$K$5002,5,FALSE))</f>
        <v/>
      </c>
      <c r="I112" s="270" t="str">
        <f>IF(D112="","",VLOOKUP(F112,製品マスタ!$G$5:$L$5002,6,FALSE))</f>
        <v/>
      </c>
      <c r="J112" s="210"/>
      <c r="K112" s="270" t="str">
        <f>IF(D112="","",VLOOKUP(D112,契約台帳!$A$3:$L$4986,12,FALSE))</f>
        <v/>
      </c>
      <c r="L112" s="270" t="str">
        <f>IF(D112="","",INDEX(製品マスタ!$Q$5:$Q$5002,MATCH('S4'!F112&amp;'S4'!K112,製品マスタ!$AO$5:$AO$5002,0)))</f>
        <v/>
      </c>
      <c r="M112" s="39"/>
      <c r="N112" s="39"/>
      <c r="O112" s="156"/>
      <c r="P112" s="47"/>
      <c r="Q112" s="57"/>
      <c r="R112" s="271" t="str">
        <f ca="1">IF(D112="","",IF(OFFSET(D112,-1,0)&lt;&gt;"","",IF(OR(J112="リード付け",J112="巻足し",J112="巻返しリード付け"),M112,VLOOKUP(D112,契約台帳!$A$3:$N$4986,14,FALSE))))</f>
        <v/>
      </c>
      <c r="S112" s="272" t="str">
        <f ca="1">IF(D112="","",IF(OFFSET(D112,-1,0)&lt;&gt;"","",IF(OR(J112="リード付け",J112="巻足し",J112="巻返しリード付け"),M112,VLOOKUP(D112,契約台帳!$A$3:$O$4986,15,FALSE))))</f>
        <v/>
      </c>
      <c r="T112" s="273" t="str">
        <f ca="1">IF(D112="","",IF(J112="リード付け",N112,IF(J112="巻返しリード付け",N112,IF(J112="巻足し",N112*P112+OFFSET(N112,1,0)*OFFSET(P112,1,0),VLOOKUP(D112,契約台帳!$A$3:$P$4986,16,FALSE)))))</f>
        <v/>
      </c>
      <c r="U112" s="40"/>
      <c r="V112" s="274" t="str">
        <f ca="1">IF(D112="","",IF(OFFSET(D112,-2,0)=D112,"",VLOOKUP(D112,契約台帳!$A$3:$R$4986,18,FALSE)))</f>
        <v/>
      </c>
      <c r="W112" s="269" t="str">
        <f>IF(D112="","",IF(T112="","",IF(OR(J112="巻足し",J112="巻返しリード付け"),"",IF(J112="巻返し",VLOOKUP(F112&amp;K112&amp;M112,製品マスタ!$M$5:$AD$5002,18,FALSE),IF(OR(J112="リード付け",J112="巻返しリード付け"),"原反コア",IF(J112="スリット",VLOOKUP(F112&amp;K112&amp;R112,製品マスタ!$N$5:$AD$5002,17,FALSE),""))))))</f>
        <v/>
      </c>
      <c r="X112" s="269" t="str">
        <f>IF(D112="","",IF(T112="","",IF(J112="巻足し","",IF(J112="巻返し",VLOOKUP(F112&amp;K112&amp;M112,製品マスタ!$M$5:$AE$5002,19,FALSE),IF(OR(J112="リード付け",J112="巻返しリード付け"),"",IF(J112="スリット",VLOOKUP(F112&amp;K112&amp;R112,製品マスタ!$N$5:$AE$5002,18,FALSE),""))))))</f>
        <v/>
      </c>
      <c r="Y112" s="275" t="str">
        <f>IF(D112="","",IF(T112="","",VLOOKUP(D112,契約台帳!$A$3:$Q$4986,17,FALSE)))</f>
        <v/>
      </c>
      <c r="Z112" s="269" t="str">
        <f>IF(D112="","",IF(T112="","",VLOOKUP(D112,契約台帳!$A$3:$E$4986,5,FALSE)))</f>
        <v/>
      </c>
      <c r="AA112" s="57"/>
      <c r="AB112" s="207" t="str">
        <f>IFERROR((VLOOKUP(F112&amp;K112&amp;M112,製品マスタ!$M$5:$AM$5002,27,FALSE)),"")</f>
        <v/>
      </c>
      <c r="AC112" s="33"/>
      <c r="AD112" s="189"/>
      <c r="AE112" s="54"/>
      <c r="AF112" s="55"/>
      <c r="AG112" s="43"/>
      <c r="AH112" s="47"/>
      <c r="AI112" s="30"/>
      <c r="AJ112" s="30"/>
      <c r="AK112" s="30"/>
      <c r="AL112" s="30"/>
      <c r="AM112" s="13"/>
      <c r="AN112" s="13"/>
      <c r="AO112" s="13"/>
      <c r="AP112" s="13"/>
      <c r="AQ112" s="13"/>
      <c r="AR112" s="14"/>
      <c r="AS112" s="15"/>
    </row>
    <row r="113" spans="1:45" s="17" customFormat="1" ht="30.95" hidden="1" customHeight="1" x14ac:dyDescent="0.2">
      <c r="A113" s="37"/>
      <c r="B113" s="38"/>
      <c r="C113" s="45"/>
      <c r="D113" s="31">
        <v>3694112</v>
      </c>
      <c r="E113" s="31">
        <v>4140872</v>
      </c>
      <c r="F113" s="268" t="str">
        <f>IF(D113="","",VLOOKUP(D113,契約台帳!$A$3:$K$4986,6,FALSE)&amp;VLOOKUP(D113,契約台帳!$A$3:$K$4986,7,FALSE)&amp;VLOOKUP(D113,契約台帳!$A$3:$K$4986,8,FALSE)&amp;VLOOKUP(D113,契約台帳!$A$3:$K$4986,9,FALSE)&amp;VLOOKUP(D113,契約台帳!$A$3:$K$4986,11,FALSE))</f>
        <v>3SNMCLBNGTVB</v>
      </c>
      <c r="G113" s="269" t="str">
        <f>IF(D113="","",VLOOKUP(F113,製品マスタ!$G$5:$H$5002,2,FALSE))</f>
        <v>S</v>
      </c>
      <c r="H113" s="269" t="str">
        <f>IF(D113="","",VLOOKUP(F113,製品マスタ!$G$5:$K$5002,5,FALSE))</f>
        <v>NGTVB</v>
      </c>
      <c r="I113" s="270" t="str">
        <f>IF(D113="","",VLOOKUP(F113,製品マスタ!$G$5:$L$5002,6,FALSE))</f>
        <v>メタルミー　ネーマー　銀艶ＶＢ</v>
      </c>
      <c r="J113" s="210" t="s">
        <v>463</v>
      </c>
      <c r="K113" s="270">
        <f>IF(D113="","",VLOOKUP(D113,契約台帳!$A$3:$L$4986,12,FALSE))</f>
        <v>50</v>
      </c>
      <c r="L113" s="270" t="str">
        <f>IF(D113="","",INDEX(製品マスタ!$Q$5:$Q$5002,MATCH('S4'!F113&amp;'S4'!K113,製品マスタ!$AO$5:$AO$5002,0)))</f>
        <v>T62M</v>
      </c>
      <c r="M113" s="39">
        <v>1040</v>
      </c>
      <c r="N113" s="39">
        <v>6000</v>
      </c>
      <c r="O113" s="156">
        <v>1</v>
      </c>
      <c r="P113" s="47"/>
      <c r="Q113" s="57"/>
      <c r="R113" s="271">
        <f ca="1">IF(D113="","",IF(OFFSET(D113,-1,0)&lt;&gt;"","",IF(OR(J113="リード付け",J113="巻足し",J113="巻返しリード付け"),M113,VLOOKUP(D113,契約台帳!$A$3:$N$4986,14,FALSE))))</f>
        <v>1000</v>
      </c>
      <c r="S113" s="272">
        <f ca="1">IF(D113="","",IF(OFFSET(D113,-1,0)&lt;&gt;"","",IF(OR(J113="リード付け",J113="巻足し",J113="巻返しリード付け"),M113,VLOOKUP(D113,契約台帳!$A$3:$O$4986,15,FALSE))))</f>
        <v>1000</v>
      </c>
      <c r="T113" s="273">
        <f ca="1">IF(D113="","",IF(J113="リード付け",N113,IF(J113="巻返しリード付け",N113,IF(J113="巻足し",N113*P113+OFFSET(N113,1,0)*OFFSET(P113,1,0),VLOOKUP(D113,契約台帳!$A$3:$P$4986,16,FALSE)))))</f>
        <v>3000</v>
      </c>
      <c r="U113" s="40">
        <v>2</v>
      </c>
      <c r="V113" s="274">
        <f ca="1">IF(D113="","",IF(OFFSET(D113,-2,0)=D113,"",VLOOKUP(D113,契約台帳!$A$3:$R$4986,18,FALSE)))</f>
        <v>2</v>
      </c>
      <c r="W113" s="269" t="str">
        <f ca="1">IF(D113="","",IF(T113="","",IF(OR(J113="巻足し",J113="巻返しリード付け"),"",IF(J113="巻返し",VLOOKUP(F113&amp;K113&amp;M113,製品マスタ!$M$5:$AD$5002,18,FALSE),IF(OR(J113="リード付け",J113="巻返しリード付け"),"原反コア",IF(J113="スリット",VLOOKUP(F113&amp;K113&amp;R113,製品マスタ!$N$5:$AD$5002,17,FALSE),""))))))</f>
        <v>6ｲﾝﾁMｺｱ</v>
      </c>
      <c r="X113" s="269">
        <f ca="1">IF(D113="","",IF(T113="","",IF(J113="巻足し","",IF(J113="巻返し",VLOOKUP(F113&amp;K113&amp;M113,製品マスタ!$M$5:$AE$5002,19,FALSE),IF(OR(J113="リード付け",J113="巻返しリード付け"),"",IF(J113="スリット",VLOOKUP(F113&amp;K113&amp;R113,製品マスタ!$N$5:$AE$5002,18,FALSE),""))))))</f>
        <v>1015</v>
      </c>
      <c r="Y113" s="275">
        <f ca="1">IF(D113="","",IF(T113="","",VLOOKUP(D113,契約台帳!$A$3:$Q$4986,17,FALSE)))</f>
        <v>2</v>
      </c>
      <c r="Z113" s="269" t="str">
        <f ca="1">IF(D113="","",IF(T113="","",VLOOKUP(D113,契約台帳!$A$3:$E$4986,5,FALSE)))</f>
        <v>リンテック㈱</v>
      </c>
      <c r="AA113" s="57">
        <v>44951</v>
      </c>
      <c r="AB113" s="207">
        <f>IFERROR((VLOOKUP(F113&amp;K113&amp;M113,製品マスタ!$M$5:$AM$5002,27,FALSE)),"")</f>
        <v>0</v>
      </c>
      <c r="AC113" s="33"/>
      <c r="AD113" s="189"/>
      <c r="AE113" s="54"/>
      <c r="AF113" s="55"/>
      <c r="AG113" s="43"/>
      <c r="AH113" s="47"/>
      <c r="AI113" s="30"/>
      <c r="AJ113" s="30"/>
      <c r="AK113" s="30"/>
      <c r="AL113" s="30"/>
      <c r="AM113" s="13"/>
      <c r="AN113" s="13"/>
      <c r="AO113" s="13"/>
      <c r="AP113" s="13"/>
      <c r="AQ113" s="13"/>
      <c r="AR113" s="14"/>
      <c r="AS113" s="15"/>
    </row>
    <row r="114" spans="1:45" s="17" customFormat="1" ht="30.95" hidden="1" customHeight="1" x14ac:dyDescent="0.2">
      <c r="A114" s="37"/>
      <c r="B114" s="38"/>
      <c r="C114" s="45"/>
      <c r="D114" s="31"/>
      <c r="E114" s="31"/>
      <c r="F114" s="268" t="str">
        <f>IF(D114="","",VLOOKUP(D114,契約台帳!$A$3:$K$4986,6,FALSE)&amp;VLOOKUP(D114,契約台帳!$A$3:$K$4986,7,FALSE)&amp;VLOOKUP(D114,契約台帳!$A$3:$K$4986,8,FALSE)&amp;VLOOKUP(D114,契約台帳!$A$3:$K$4986,9,FALSE)&amp;VLOOKUP(D114,契約台帳!$A$3:$K$4986,11,FALSE))</f>
        <v/>
      </c>
      <c r="G114" s="269" t="str">
        <f>IF(D114="","",VLOOKUP(F114,製品マスタ!$G$5:$H$5002,2,FALSE))</f>
        <v/>
      </c>
      <c r="H114" s="269" t="str">
        <f>IF(D114="","",VLOOKUP(F114,製品マスタ!$G$5:$K$5002,5,FALSE))</f>
        <v/>
      </c>
      <c r="I114" s="270" t="str">
        <f>IF(D114="","",VLOOKUP(F114,製品マスタ!$G$5:$L$5002,6,FALSE))</f>
        <v/>
      </c>
      <c r="J114" s="210"/>
      <c r="K114" s="270" t="str">
        <f>IF(D114="","",VLOOKUP(D114,契約台帳!$A$3:$L$4986,12,FALSE))</f>
        <v/>
      </c>
      <c r="L114" s="270" t="str">
        <f>IF(D114="","",INDEX(製品マスタ!$Q$5:$Q$5002,MATCH('S4'!F114&amp;'S4'!K114,製品マスタ!$AO$5:$AO$5002,0)))</f>
        <v/>
      </c>
      <c r="M114" s="39"/>
      <c r="N114" s="39"/>
      <c r="O114" s="156"/>
      <c r="P114" s="47"/>
      <c r="Q114" s="57"/>
      <c r="R114" s="271" t="str">
        <f ca="1">IF(D114="","",IF(OFFSET(D114,-1,0)&lt;&gt;"","",IF(OR(J114="リード付け",J114="巻足し",J114="巻返しリード付け"),M114,VLOOKUP(D114,契約台帳!$A$3:$N$4986,14,FALSE))))</f>
        <v/>
      </c>
      <c r="S114" s="272" t="str">
        <f ca="1">IF(D114="","",IF(OFFSET(D114,-1,0)&lt;&gt;"","",IF(OR(J114="リード付け",J114="巻足し",J114="巻返しリード付け"),M114,VLOOKUP(D114,契約台帳!$A$3:$O$4986,15,FALSE))))</f>
        <v/>
      </c>
      <c r="T114" s="273" t="str">
        <f ca="1">IF(D114="","",IF(J114="リード付け",N114,IF(J114="巻返しリード付け",N114,IF(J114="巻足し",N114*P114+OFFSET(N114,1,0)*OFFSET(P114,1,0),VLOOKUP(D114,契約台帳!$A$3:$P$4986,16,FALSE)))))</f>
        <v/>
      </c>
      <c r="U114" s="40"/>
      <c r="V114" s="274" t="str">
        <f ca="1">IF(D114="","",IF(OFFSET(D114,-2,0)=D114,"",VLOOKUP(D114,契約台帳!$A$3:$R$4986,18,FALSE)))</f>
        <v/>
      </c>
      <c r="W114" s="269" t="str">
        <f>IF(D114="","",IF(T114="","",IF(OR(J114="巻足し",J114="巻返しリード付け"),"",IF(J114="巻返し",VLOOKUP(F114&amp;K114&amp;M114,製品マスタ!$M$5:$AD$5002,18,FALSE),IF(OR(J114="リード付け",J114="巻返しリード付け"),"原反コア",IF(J114="スリット",VLOOKUP(F114&amp;K114&amp;R114,製品マスタ!$N$5:$AD$5002,17,FALSE),""))))))</f>
        <v/>
      </c>
      <c r="X114" s="269" t="str">
        <f>IF(D114="","",IF(T114="","",IF(J114="巻足し","",IF(J114="巻返し",VLOOKUP(F114&amp;K114&amp;M114,製品マスタ!$M$5:$AE$5002,19,FALSE),IF(OR(J114="リード付け",J114="巻返しリード付け"),"",IF(J114="スリット",VLOOKUP(F114&amp;K114&amp;R114,製品マスタ!$N$5:$AE$5002,18,FALSE),""))))))</f>
        <v/>
      </c>
      <c r="Y114" s="275" t="str">
        <f>IF(D114="","",IF(T114="","",VLOOKUP(D114,契約台帳!$A$3:$Q$4986,17,FALSE)))</f>
        <v/>
      </c>
      <c r="Z114" s="269" t="str">
        <f>IF(D114="","",IF(T114="","",VLOOKUP(D114,契約台帳!$A$3:$E$4986,5,FALSE)))</f>
        <v/>
      </c>
      <c r="AA114" s="57"/>
      <c r="AB114" s="207" t="str">
        <f>IFERROR((VLOOKUP(F114&amp;K114&amp;M114,製品マスタ!$M$5:$AM$5002,27,FALSE)),"")</f>
        <v/>
      </c>
      <c r="AC114" s="33"/>
      <c r="AD114" s="189"/>
      <c r="AE114" s="54"/>
      <c r="AF114" s="55"/>
      <c r="AG114" s="43"/>
      <c r="AH114" s="47"/>
      <c r="AI114" s="30"/>
      <c r="AJ114" s="30"/>
      <c r="AK114" s="30"/>
      <c r="AL114" s="30"/>
      <c r="AM114" s="13"/>
      <c r="AN114" s="13"/>
      <c r="AO114" s="13"/>
      <c r="AP114" s="13"/>
      <c r="AQ114" s="13"/>
      <c r="AR114" s="14"/>
      <c r="AS114" s="15"/>
    </row>
    <row r="115" spans="1:45" s="17" customFormat="1" ht="30.95" hidden="1" customHeight="1" x14ac:dyDescent="0.2">
      <c r="A115" s="37"/>
      <c r="B115" s="38"/>
      <c r="C115" s="45"/>
      <c r="D115" s="31">
        <v>3694107</v>
      </c>
      <c r="E115" s="31">
        <v>4140871</v>
      </c>
      <c r="F115" s="268" t="str">
        <f>IF(D115="","",VLOOKUP(D115,契約台帳!$A$3:$K$4986,6,FALSE)&amp;VLOOKUP(D115,契約台帳!$A$3:$K$4986,7,FALSE)&amp;VLOOKUP(D115,契約台帳!$A$3:$K$4986,8,FALSE)&amp;VLOOKUP(D115,契約台帳!$A$3:$K$4986,9,FALSE)&amp;VLOOKUP(D115,契約台帳!$A$3:$K$4986,11,FALSE))</f>
        <v>3SNMCLBNGKVB</v>
      </c>
      <c r="G115" s="269" t="str">
        <f>IF(D115="","",VLOOKUP(F115,製品マスタ!$G$5:$H$5002,2,FALSE))</f>
        <v>S</v>
      </c>
      <c r="H115" s="269" t="str">
        <f>IF(D115="","",VLOOKUP(F115,製品マスタ!$G$5:$K$5002,5,FALSE))</f>
        <v>NGKVB</v>
      </c>
      <c r="I115" s="270" t="str">
        <f>IF(D115="","",VLOOKUP(F115,製品マスタ!$G$5:$L$5002,6,FALSE))</f>
        <v>メタルミー　ネーマー銀消　ＶＢ</v>
      </c>
      <c r="J115" s="210" t="s">
        <v>801</v>
      </c>
      <c r="K115" s="270">
        <f>IF(D115="","",VLOOKUP(D115,契約台帳!$A$3:$L$4986,12,FALSE))</f>
        <v>50</v>
      </c>
      <c r="L115" s="270" t="str">
        <f>IF(D115="","",INDEX(製品マスタ!$Q$5:$Q$5002,MATCH('S4'!F115&amp;'S4'!K115,製品マスタ!$AO$5:$AO$5002,0)))</f>
        <v>MAT</v>
      </c>
      <c r="M115" s="39">
        <v>1005</v>
      </c>
      <c r="N115" s="39">
        <v>12300</v>
      </c>
      <c r="O115" s="156">
        <v>1</v>
      </c>
      <c r="P115" s="47">
        <v>3</v>
      </c>
      <c r="Q115" s="57"/>
      <c r="R115" s="271">
        <f ca="1">IF(D115="","",IF(OFFSET(D115,-1,0)&lt;&gt;"","",IF(OR(J115="リード付け",J115="巻足し",J115="巻返しリード付け"),M115,VLOOKUP(D115,契約台帳!$A$3:$N$4986,14,FALSE))))</f>
        <v>1005</v>
      </c>
      <c r="S115" s="272">
        <f ca="1">IF(D115="","",IF(OFFSET(D115,-1,0)&lt;&gt;"","",IF(OR(J115="リード付け",J115="巻足し",J115="巻返しリード付け"),M115,VLOOKUP(D115,契約台帳!$A$3:$O$4986,15,FALSE))))</f>
        <v>1000</v>
      </c>
      <c r="T115" s="273">
        <f ca="1">IF(D115="","",IF(J115="リード付け",N115,IF(J115="巻返しリード付け",N115,IF(J115="巻足し",N115*P115+OFFSET(N115,1,0)*OFFSET(P115,1,0),VLOOKUP(D115,契約台帳!$A$3:$P$4986,16,FALSE)))))</f>
        <v>4000</v>
      </c>
      <c r="U115" s="40">
        <v>3</v>
      </c>
      <c r="V115" s="274">
        <f ca="1">IF(D115="","",IF(OFFSET(D115,-2,0)=D115,"",VLOOKUP(D115,契約台帳!$A$3:$R$4986,18,FALSE)))</f>
        <v>3</v>
      </c>
      <c r="W115" s="269" t="str">
        <f ca="1">IF(D115="","",IF(T115="","",IF(OR(J115="巻足し",J115="巻返しリード付け"),"",IF(J115="巻返し",VLOOKUP(F115&amp;K115&amp;M115,製品マスタ!$M$5:$AD$5002,18,FALSE),IF(OR(J115="リード付け",J115="巻返しリード付け"),"原反コア",IF(J115="スリット",VLOOKUP(F115&amp;K115&amp;R115,製品マスタ!$N$5:$AD$5002,17,FALSE),""))))))</f>
        <v>6ｲﾝﾁMｺｱ</v>
      </c>
      <c r="X115" s="269">
        <f ca="1">IF(D115="","",IF(T115="","",IF(J115="巻足し","",IF(J115="巻返し",VLOOKUP(F115&amp;K115&amp;M115,製品マスタ!$M$5:$AE$5002,19,FALSE),IF(OR(J115="リード付け",J115="巻返しリード付け"),"",IF(J115="スリット",VLOOKUP(F115&amp;K115&amp;R115,製品マスタ!$N$5:$AE$5002,18,FALSE),""))))))</f>
        <v>1015</v>
      </c>
      <c r="Y115" s="275">
        <f ca="1">IF(D115="","",IF(T115="","",VLOOKUP(D115,契約台帳!$A$3:$Q$4986,17,FALSE)))</f>
        <v>2</v>
      </c>
      <c r="Z115" s="269" t="str">
        <f ca="1">IF(D115="","",IF(T115="","",VLOOKUP(D115,契約台帳!$A$3:$E$4986,5,FALSE)))</f>
        <v>リンテック㈱</v>
      </c>
      <c r="AA115" s="57">
        <v>44951</v>
      </c>
      <c r="AB115" s="207">
        <f>IFERROR((VLOOKUP(F115&amp;K115&amp;M115,製品マスタ!$M$5:$AM$5002,27,FALSE)),"")</f>
        <v>0</v>
      </c>
      <c r="AC115" s="33"/>
      <c r="AD115" s="189"/>
      <c r="AE115" s="54"/>
      <c r="AF115" s="55"/>
      <c r="AG115" s="43"/>
      <c r="AH115" s="47"/>
      <c r="AI115" s="30"/>
      <c r="AJ115" s="30"/>
      <c r="AK115" s="30"/>
      <c r="AL115" s="30"/>
      <c r="AM115" s="13"/>
      <c r="AN115" s="13"/>
      <c r="AO115" s="13"/>
      <c r="AP115" s="13"/>
      <c r="AQ115" s="13"/>
      <c r="AR115" s="14"/>
      <c r="AS115" s="15"/>
    </row>
    <row r="116" spans="1:45" s="17" customFormat="1" ht="30.95" hidden="1" customHeight="1" x14ac:dyDescent="0.2">
      <c r="A116" s="37"/>
      <c r="B116" s="38"/>
      <c r="C116" s="45"/>
      <c r="D116" s="31"/>
      <c r="E116" s="31"/>
      <c r="F116" s="268" t="str">
        <f>IF(D116="","",VLOOKUP(D116,契約台帳!$A$3:$K$4986,6,FALSE)&amp;VLOOKUP(D116,契約台帳!$A$3:$K$4986,7,FALSE)&amp;VLOOKUP(D116,契約台帳!$A$3:$K$4986,8,FALSE)&amp;VLOOKUP(D116,契約台帳!$A$3:$K$4986,9,FALSE)&amp;VLOOKUP(D116,契約台帳!$A$3:$K$4986,11,FALSE))</f>
        <v/>
      </c>
      <c r="G116" s="269" t="str">
        <f>IF(D116="","",VLOOKUP(F116,製品マスタ!$G$5:$H$5002,2,FALSE))</f>
        <v/>
      </c>
      <c r="H116" s="269" t="str">
        <f>IF(D116="","",VLOOKUP(F116,製品マスタ!$G$5:$K$5002,5,FALSE))</f>
        <v/>
      </c>
      <c r="I116" s="270" t="str">
        <f>IF(D116="","",VLOOKUP(F116,製品マスタ!$G$5:$L$5002,6,FALSE))</f>
        <v/>
      </c>
      <c r="J116" s="210"/>
      <c r="K116" s="270" t="str">
        <f>IF(D116="","",VLOOKUP(D116,契約台帳!$A$3:$L$4986,12,FALSE))</f>
        <v/>
      </c>
      <c r="L116" s="270" t="str">
        <f>IF(D116="","",INDEX(製品マスタ!$Q$5:$Q$5002,MATCH('S4'!F116&amp;'S4'!K116,製品マスタ!$AO$5:$AO$5002,0)))</f>
        <v/>
      </c>
      <c r="M116" s="39"/>
      <c r="N116" s="39"/>
      <c r="O116" s="156"/>
      <c r="P116" s="47"/>
      <c r="Q116" s="57"/>
      <c r="R116" s="271" t="str">
        <f ca="1">IF(D116="","",IF(OFFSET(D116,-1,0)&lt;&gt;"","",IF(OR(J116="リード付け",J116="巻足し",J116="巻返しリード付け"),M116,VLOOKUP(D116,契約台帳!$A$3:$N$4986,14,FALSE))))</f>
        <v/>
      </c>
      <c r="S116" s="272" t="str">
        <f ca="1">IF(D116="","",IF(OFFSET(D116,-1,0)&lt;&gt;"","",IF(OR(J116="リード付け",J116="巻足し",J116="巻返しリード付け"),M116,VLOOKUP(D116,契約台帳!$A$3:$O$4986,15,FALSE))))</f>
        <v/>
      </c>
      <c r="T116" s="273" t="str">
        <f ca="1">IF(D116="","",IF(J116="リード付け",N116,IF(J116="巻返しリード付け",N116,IF(J116="巻足し",N116*P116+OFFSET(N116,1,0)*OFFSET(P116,1,0),VLOOKUP(D116,契約台帳!$A$3:$P$4986,16,FALSE)))))</f>
        <v/>
      </c>
      <c r="U116" s="40"/>
      <c r="V116" s="274" t="str">
        <f ca="1">IF(D116="","",IF(OFFSET(D116,-2,0)=D116,"",VLOOKUP(D116,契約台帳!$A$3:$R$4986,18,FALSE)))</f>
        <v/>
      </c>
      <c r="W116" s="269" t="str">
        <f>IF(D116="","",IF(T116="","",IF(OR(J116="巻足し",J116="巻返しリード付け"),"",IF(J116="巻返し",VLOOKUP(F116&amp;K116&amp;M116,製品マスタ!$M$5:$AD$5002,18,FALSE),IF(OR(J116="リード付け",J116="巻返しリード付け"),"原反コア",IF(J116="スリット",VLOOKUP(F116&amp;K116&amp;R116,製品マスタ!$N$5:$AD$5002,17,FALSE),""))))))</f>
        <v/>
      </c>
      <c r="X116" s="269" t="str">
        <f>IF(D116="","",IF(T116="","",IF(J116="巻足し","",IF(J116="巻返し",VLOOKUP(F116&amp;K116&amp;M116,製品マスタ!$M$5:$AE$5002,19,FALSE),IF(OR(J116="リード付け",J116="巻返しリード付け"),"",IF(J116="スリット",VLOOKUP(F116&amp;K116&amp;R116,製品マスタ!$N$5:$AE$5002,18,FALSE),""))))))</f>
        <v/>
      </c>
      <c r="Y116" s="275" t="str">
        <f>IF(D116="","",IF(T116="","",VLOOKUP(D116,契約台帳!$A$3:$Q$4986,17,FALSE)))</f>
        <v/>
      </c>
      <c r="Z116" s="269" t="str">
        <f>IF(D116="","",IF(T116="","",VLOOKUP(D116,契約台帳!$A$3:$E$4986,5,FALSE)))</f>
        <v/>
      </c>
      <c r="AA116" s="57"/>
      <c r="AB116" s="207" t="str">
        <f>IFERROR((VLOOKUP(F116&amp;K116&amp;M116,製品マスタ!$M$5:$AM$5002,27,FALSE)),"")</f>
        <v/>
      </c>
      <c r="AC116" s="33"/>
      <c r="AD116" s="189"/>
      <c r="AE116" s="54"/>
      <c r="AF116" s="55"/>
      <c r="AG116" s="43"/>
      <c r="AH116" s="47"/>
      <c r="AI116" s="30"/>
      <c r="AJ116" s="30"/>
      <c r="AK116" s="30"/>
      <c r="AL116" s="30"/>
      <c r="AM116" s="13"/>
      <c r="AN116" s="13"/>
      <c r="AO116" s="13"/>
      <c r="AP116" s="13"/>
      <c r="AQ116" s="13"/>
      <c r="AR116" s="14"/>
      <c r="AS116" s="15"/>
    </row>
    <row r="117" spans="1:45" s="17" customFormat="1" ht="30.95" hidden="1" customHeight="1" x14ac:dyDescent="0.2">
      <c r="A117" s="37"/>
      <c r="B117" s="38"/>
      <c r="C117" s="45"/>
      <c r="D117" s="31">
        <v>3694116</v>
      </c>
      <c r="E117" s="31">
        <v>4140860</v>
      </c>
      <c r="F117" s="268" t="str">
        <f>IF(D117="","",VLOOKUP(D117,契約台帳!$A$3:$K$4986,6,FALSE)&amp;VLOOKUP(D117,契約台帳!$A$3:$K$4986,7,FALSE)&amp;VLOOKUP(D117,契約台帳!$A$3:$K$4986,8,FALSE)&amp;VLOOKUP(D117,契約台帳!$A$3:$K$4986,9,FALSE)&amp;VLOOKUP(D117,契約台帳!$A$3:$K$4986,11,FALSE))</f>
        <v>33SSNMCLBTEKKFV</v>
      </c>
      <c r="G117" s="269" t="str">
        <f>IF(D117="","",VLOOKUP(F117,製品マスタ!$G$5:$H$5002,2,FALSE))</f>
        <v>S</v>
      </c>
      <c r="H117" s="269" t="str">
        <f>IF(D117="","",VLOOKUP(F117,製品マスタ!$G$5:$K$5002,5,FALSE))</f>
        <v>TEKKFV</v>
      </c>
      <c r="I117" s="270" t="str">
        <f>IF(D117="","",VLOOKUP(F117,製品マスタ!$G$5:$L$5002,6,FALSE))</f>
        <v>メタルミー　ＴＥＳ消開封　Ｖ</v>
      </c>
      <c r="J117" s="210" t="s">
        <v>801</v>
      </c>
      <c r="K117" s="270">
        <f>IF(D117="","",VLOOKUP(D117,契約台帳!$A$3:$L$4986,12,FALSE))</f>
        <v>50</v>
      </c>
      <c r="L117" s="270" t="str">
        <f>IF(D117="","",INDEX(製品マスタ!$Q$5:$Q$5002,MATCH('S4'!F117&amp;'S4'!K117,製品マスタ!$AO$5:$AO$5002,0)))</f>
        <v>X44SEPA</v>
      </c>
      <c r="M117" s="39">
        <v>1005</v>
      </c>
      <c r="N117" s="39">
        <v>12000</v>
      </c>
      <c r="O117" s="156">
        <v>1</v>
      </c>
      <c r="P117" s="47">
        <v>3</v>
      </c>
      <c r="Q117" s="57"/>
      <c r="R117" s="271">
        <f ca="1">IF(D117="","",IF(OFFSET(D117,-1,0)&lt;&gt;"","",IF(OR(J117="リード付け",J117="巻足し",J117="巻返しリード付け"),M117,VLOOKUP(D117,契約台帳!$A$3:$N$4986,14,FALSE))))</f>
        <v>1005</v>
      </c>
      <c r="S117" s="272">
        <f ca="1">IF(D117="","",IF(OFFSET(D117,-1,0)&lt;&gt;"","",IF(OR(J117="リード付け",J117="巻足し",J117="巻返しリード付け"),M117,VLOOKUP(D117,契約台帳!$A$3:$O$4986,15,FALSE))))</f>
        <v>1000</v>
      </c>
      <c r="T117" s="273">
        <f ca="1">IF(D117="","",IF(J117="リード付け",N117,IF(J117="巻返しリード付け",N117,IF(J117="巻足し",N117*P117+OFFSET(N117,1,0)*OFFSET(P117,1,0),VLOOKUP(D117,契約台帳!$A$3:$P$4986,16,FALSE)))))</f>
        <v>4000</v>
      </c>
      <c r="U117" s="40">
        <v>3</v>
      </c>
      <c r="V117" s="274">
        <f ca="1">IF(D117="","",IF(OFFSET(D117,-2,0)=D117,"",VLOOKUP(D117,契約台帳!$A$3:$R$4986,18,FALSE)))</f>
        <v>3</v>
      </c>
      <c r="W117" s="269" t="str">
        <f ca="1">IF(D117="","",IF(T117="","",IF(OR(J117="巻足し",J117="巻返しリード付け"),"",IF(J117="巻返し",VLOOKUP(F117&amp;K117&amp;M117,製品マスタ!$M$5:$AD$5002,18,FALSE),IF(OR(J117="リード付け",J117="巻返しリード付け"),"原反コア",IF(J117="スリット",VLOOKUP(F117&amp;K117&amp;R117,製品マスタ!$N$5:$AD$5002,17,FALSE),""))))))</f>
        <v>6ｲﾝﾁSｺｱ</v>
      </c>
      <c r="X117" s="269">
        <f ca="1">IF(D117="","",IF(T117="","",IF(J117="巻足し","",IF(J117="巻返し",VLOOKUP(F117&amp;K117&amp;M117,製品マスタ!$M$5:$AE$5002,19,FALSE),IF(OR(J117="リード付け",J117="巻返しリード付け"),"",IF(J117="スリット",VLOOKUP(F117&amp;K117&amp;R117,製品マスタ!$N$5:$AE$5002,18,FALSE),""))))))</f>
        <v>1015</v>
      </c>
      <c r="Y117" s="275">
        <f ca="1">IF(D117="","",IF(T117="","",VLOOKUP(D117,契約台帳!$A$3:$Q$4986,17,FALSE)))</f>
        <v>2</v>
      </c>
      <c r="Z117" s="269" t="str">
        <f ca="1">IF(D117="","",IF(T117="","",VLOOKUP(D117,契約台帳!$A$3:$E$4986,5,FALSE)))</f>
        <v>リンテック㈱</v>
      </c>
      <c r="AA117" s="57">
        <v>44951</v>
      </c>
      <c r="AB117" s="207">
        <f>IFERROR((VLOOKUP(F117&amp;K117&amp;M117,製品マスタ!$M$5:$AM$5002,27,FALSE)),"")</f>
        <v>0</v>
      </c>
      <c r="AC117" s="33"/>
      <c r="AD117" s="189"/>
      <c r="AE117" s="54"/>
      <c r="AF117" s="55"/>
      <c r="AG117" s="43"/>
      <c r="AH117" s="47"/>
      <c r="AI117" s="30"/>
      <c r="AJ117" s="30"/>
      <c r="AK117" s="30"/>
      <c r="AL117" s="30"/>
      <c r="AM117" s="13"/>
      <c r="AN117" s="13"/>
      <c r="AO117" s="13"/>
      <c r="AP117" s="13"/>
      <c r="AQ117" s="13"/>
      <c r="AR117" s="14"/>
      <c r="AS117" s="15"/>
    </row>
    <row r="118" spans="1:45" s="17" customFormat="1" ht="30.95" hidden="1" customHeight="1" x14ac:dyDescent="0.2">
      <c r="A118" s="37"/>
      <c r="B118" s="38"/>
      <c r="C118" s="45"/>
      <c r="D118" s="31"/>
      <c r="E118" s="31"/>
      <c r="F118" s="268" t="str">
        <f>IF(D118="","",VLOOKUP(D118,契約台帳!$A$3:$K$4986,6,FALSE)&amp;VLOOKUP(D118,契約台帳!$A$3:$K$4986,7,FALSE)&amp;VLOOKUP(D118,契約台帳!$A$3:$K$4986,8,FALSE)&amp;VLOOKUP(D118,契約台帳!$A$3:$K$4986,9,FALSE)&amp;VLOOKUP(D118,契約台帳!$A$3:$K$4986,11,FALSE))</f>
        <v/>
      </c>
      <c r="G118" s="269" t="str">
        <f>IF(D118="","",VLOOKUP(F118,製品マスタ!$G$5:$H$5002,2,FALSE))</f>
        <v/>
      </c>
      <c r="H118" s="269" t="str">
        <f>IF(D118="","",VLOOKUP(F118,製品マスタ!$G$5:$K$5002,5,FALSE))</f>
        <v/>
      </c>
      <c r="I118" s="270" t="str">
        <f>IF(D118="","",VLOOKUP(F118,製品マスタ!$G$5:$L$5002,6,FALSE))</f>
        <v/>
      </c>
      <c r="J118" s="210"/>
      <c r="K118" s="270" t="str">
        <f>IF(D118="","",VLOOKUP(D118,契約台帳!$A$3:$L$4986,12,FALSE))</f>
        <v/>
      </c>
      <c r="L118" s="270" t="str">
        <f>IF(D118="","",INDEX(製品マスタ!$Q$5:$Q$5002,MATCH('S4'!F118&amp;'S4'!K118,製品マスタ!$AO$5:$AO$5002,0)))</f>
        <v/>
      </c>
      <c r="M118" s="39"/>
      <c r="N118" s="39"/>
      <c r="O118" s="156"/>
      <c r="P118" s="47"/>
      <c r="Q118" s="57"/>
      <c r="R118" s="271" t="str">
        <f ca="1">IF(D118="","",IF(OFFSET(D118,-1,0)&lt;&gt;"","",IF(OR(J118="リード付け",J118="巻足し",J118="巻返しリード付け"),M118,VLOOKUP(D118,契約台帳!$A$3:$N$4986,14,FALSE))))</f>
        <v/>
      </c>
      <c r="S118" s="272" t="str">
        <f ca="1">IF(D118="","",IF(OFFSET(D118,-1,0)&lt;&gt;"","",IF(OR(J118="リード付け",J118="巻足し",J118="巻返しリード付け"),M118,VLOOKUP(D118,契約台帳!$A$3:$O$4986,15,FALSE))))</f>
        <v/>
      </c>
      <c r="T118" s="273" t="str">
        <f ca="1">IF(D118="","",IF(J118="リード付け",N118,IF(J118="巻返しリード付け",N118,IF(J118="巻足し",N118*P118+OFFSET(N118,1,0)*OFFSET(P118,1,0),VLOOKUP(D118,契約台帳!$A$3:$P$4986,16,FALSE)))))</f>
        <v/>
      </c>
      <c r="U118" s="40"/>
      <c r="V118" s="274" t="str">
        <f ca="1">IF(D118="","",IF(OFFSET(D118,-2,0)=D118,"",VLOOKUP(D118,契約台帳!$A$3:$R$4986,18,FALSE)))</f>
        <v/>
      </c>
      <c r="W118" s="269" t="str">
        <f>IF(D118="","",IF(T118="","",IF(OR(J118="巻足し",J118="巻返しリード付け"),"",IF(J118="巻返し",VLOOKUP(F118&amp;K118&amp;M118,製品マスタ!$M$5:$AD$5002,18,FALSE),IF(OR(J118="リード付け",J118="巻返しリード付け"),"原反コア",IF(J118="スリット",VLOOKUP(F118&amp;K118&amp;R118,製品マスタ!$N$5:$AD$5002,17,FALSE),""))))))</f>
        <v/>
      </c>
      <c r="X118" s="269" t="str">
        <f>IF(D118="","",IF(T118="","",IF(J118="巻足し","",IF(J118="巻返し",VLOOKUP(F118&amp;K118&amp;M118,製品マスタ!$M$5:$AE$5002,19,FALSE),IF(OR(J118="リード付け",J118="巻返しリード付け"),"",IF(J118="スリット",VLOOKUP(F118&amp;K118&amp;R118,製品マスタ!$N$5:$AE$5002,18,FALSE),""))))))</f>
        <v/>
      </c>
      <c r="Y118" s="275" t="str">
        <f>IF(D118="","",IF(T118="","",VLOOKUP(D118,契約台帳!$A$3:$Q$4986,17,FALSE)))</f>
        <v/>
      </c>
      <c r="Z118" s="269" t="str">
        <f>IF(D118="","",IF(T118="","",VLOOKUP(D118,契約台帳!$A$3:$E$4986,5,FALSE)))</f>
        <v/>
      </c>
      <c r="AA118" s="57"/>
      <c r="AB118" s="207" t="str">
        <f>IFERROR((VLOOKUP(F118&amp;K118&amp;M118,製品マスタ!$M$5:$AM$5002,27,FALSE)),"")</f>
        <v/>
      </c>
      <c r="AC118" s="33"/>
      <c r="AD118" s="189"/>
      <c r="AE118" s="54"/>
      <c r="AF118" s="55"/>
      <c r="AG118" s="43"/>
      <c r="AH118" s="47"/>
      <c r="AI118" s="30"/>
      <c r="AJ118" s="30"/>
      <c r="AK118" s="30"/>
      <c r="AL118" s="30"/>
      <c r="AM118" s="13"/>
      <c r="AN118" s="13"/>
      <c r="AO118" s="13"/>
      <c r="AP118" s="13"/>
      <c r="AQ118" s="13"/>
      <c r="AR118" s="14"/>
      <c r="AS118" s="15"/>
    </row>
    <row r="119" spans="1:45" s="17" customFormat="1" ht="30.95" hidden="1" customHeight="1" x14ac:dyDescent="0.2">
      <c r="A119" s="37"/>
      <c r="B119" s="38"/>
      <c r="C119" s="45"/>
      <c r="D119" s="31">
        <v>3694117</v>
      </c>
      <c r="E119" s="31">
        <v>4140861</v>
      </c>
      <c r="F119" s="268" t="str">
        <f>IF(D119="","",VLOOKUP(D119,契約台帳!$A$3:$K$4986,6,FALSE)&amp;VLOOKUP(D119,契約台帳!$A$3:$K$4986,7,FALSE)&amp;VLOOKUP(D119,契約台帳!$A$3:$K$4986,8,FALSE)&amp;VLOOKUP(D119,契約台帳!$A$3:$K$4986,9,FALSE)&amp;VLOOKUP(D119,契約台帳!$A$3:$K$4986,11,FALSE))</f>
        <v>33SSNMCLBTEKV0V</v>
      </c>
      <c r="G119" s="269" t="str">
        <f>IF(D119="","",VLOOKUP(F119,製品マスタ!$G$5:$H$5002,2,FALSE))</f>
        <v>S</v>
      </c>
      <c r="H119" s="269" t="str">
        <f>IF(D119="","",VLOOKUP(F119,製品マスタ!$G$5:$K$5002,5,FALSE))</f>
        <v>TEKV0V</v>
      </c>
      <c r="I119" s="270" t="str">
        <f>IF(D119="","",VLOOKUP(F119,製品マスタ!$G$5:$L$5002,6,FALSE))</f>
        <v>メタルミー　ＴＥ－Ｓ消　ＶＯＩＤ　Ｖ</v>
      </c>
      <c r="J119" s="210" t="s">
        <v>801</v>
      </c>
      <c r="K119" s="270">
        <f>IF(D119="","",VLOOKUP(D119,契約台帳!$A$3:$L$4986,12,FALSE))</f>
        <v>50</v>
      </c>
      <c r="L119" s="270" t="str">
        <f>IF(D119="","",INDEX(製品マスタ!$Q$5:$Q$5002,MATCH('S4'!F119&amp;'S4'!K119,製品マスタ!$AO$5:$AO$5002,0)))</f>
        <v>X44SEPA</v>
      </c>
      <c r="M119" s="39">
        <v>1005</v>
      </c>
      <c r="N119" s="39">
        <v>12000</v>
      </c>
      <c r="O119" s="156">
        <v>1</v>
      </c>
      <c r="P119" s="47">
        <v>3</v>
      </c>
      <c r="Q119" s="57"/>
      <c r="R119" s="271">
        <f ca="1">IF(D119="","",IF(OFFSET(D119,-1,0)&lt;&gt;"","",IF(OR(J119="リード付け",J119="巻足し",J119="巻返しリード付け"),M119,VLOOKUP(D119,契約台帳!$A$3:$N$4986,14,FALSE))))</f>
        <v>1005</v>
      </c>
      <c r="S119" s="272">
        <f ca="1">IF(D119="","",IF(OFFSET(D119,-1,0)&lt;&gt;"","",IF(OR(J119="リード付け",J119="巻足し",J119="巻返しリード付け"),M119,VLOOKUP(D119,契約台帳!$A$3:$O$4986,15,FALSE))))</f>
        <v>1000</v>
      </c>
      <c r="T119" s="273">
        <f ca="1">IF(D119="","",IF(J119="リード付け",N119,IF(J119="巻返しリード付け",N119,IF(J119="巻足し",N119*P119+OFFSET(N119,1,0)*OFFSET(P119,1,0),VLOOKUP(D119,契約台帳!$A$3:$P$4986,16,FALSE)))))</f>
        <v>4000</v>
      </c>
      <c r="U119" s="40">
        <v>3</v>
      </c>
      <c r="V119" s="274">
        <f ca="1">IF(D119="","",IF(OFFSET(D119,-2,0)=D119,"",VLOOKUP(D119,契約台帳!$A$3:$R$4986,18,FALSE)))</f>
        <v>3</v>
      </c>
      <c r="W119" s="269" t="str">
        <f ca="1">IF(D119="","",IF(T119="","",IF(OR(J119="巻足し",J119="巻返しリード付け"),"",IF(J119="巻返し",VLOOKUP(F119&amp;K119&amp;M119,製品マスタ!$M$5:$AD$5002,18,FALSE),IF(OR(J119="リード付け",J119="巻返しリード付け"),"原反コア",IF(J119="スリット",VLOOKUP(F119&amp;K119&amp;R119,製品マスタ!$N$5:$AD$5002,17,FALSE),""))))))</f>
        <v>6ｲﾝﾁSｺｱ</v>
      </c>
      <c r="X119" s="269">
        <f ca="1">IF(D119="","",IF(T119="","",IF(J119="巻足し","",IF(J119="巻返し",VLOOKUP(F119&amp;K119&amp;M119,製品マスタ!$M$5:$AE$5002,19,FALSE),IF(OR(J119="リード付け",J119="巻返しリード付け"),"",IF(J119="スリット",VLOOKUP(F119&amp;K119&amp;R119,製品マスタ!$N$5:$AE$5002,18,FALSE),""))))))</f>
        <v>1015</v>
      </c>
      <c r="Y119" s="275">
        <f ca="1">IF(D119="","",IF(T119="","",VLOOKUP(D119,契約台帳!$A$3:$Q$4986,17,FALSE)))</f>
        <v>2</v>
      </c>
      <c r="Z119" s="269" t="str">
        <f ca="1">IF(D119="","",IF(T119="","",VLOOKUP(D119,契約台帳!$A$3:$E$4986,5,FALSE)))</f>
        <v>リンテック㈱</v>
      </c>
      <c r="AA119" s="57">
        <v>44951</v>
      </c>
      <c r="AB119" s="207">
        <f>IFERROR((VLOOKUP(F119&amp;K119&amp;M119,製品マスタ!$M$5:$AM$5002,27,FALSE)),"")</f>
        <v>0</v>
      </c>
      <c r="AC119" s="33"/>
      <c r="AD119" s="189"/>
      <c r="AE119" s="54"/>
      <c r="AF119" s="55"/>
      <c r="AG119" s="43"/>
      <c r="AH119" s="47"/>
      <c r="AI119" s="30"/>
      <c r="AJ119" s="30"/>
      <c r="AK119" s="30"/>
      <c r="AL119" s="30"/>
      <c r="AM119" s="13"/>
      <c r="AN119" s="13"/>
      <c r="AO119" s="13"/>
      <c r="AP119" s="13"/>
      <c r="AQ119" s="13"/>
      <c r="AR119" s="14"/>
      <c r="AS119" s="15"/>
    </row>
    <row r="120" spans="1:45" s="17" customFormat="1" ht="30.95" hidden="1" customHeight="1" x14ac:dyDescent="0.2">
      <c r="A120" s="37"/>
      <c r="B120" s="38"/>
      <c r="C120" s="45"/>
      <c r="D120" s="31"/>
      <c r="E120" s="31"/>
      <c r="F120" s="268" t="str">
        <f>IF(D120="","",VLOOKUP(D120,契約台帳!$A$3:$K$4986,6,FALSE)&amp;VLOOKUP(D120,契約台帳!$A$3:$K$4986,7,FALSE)&amp;VLOOKUP(D120,契約台帳!$A$3:$K$4986,8,FALSE)&amp;VLOOKUP(D120,契約台帳!$A$3:$K$4986,9,FALSE)&amp;VLOOKUP(D120,契約台帳!$A$3:$K$4986,11,FALSE))</f>
        <v/>
      </c>
      <c r="G120" s="269" t="str">
        <f>IF(D120="","",VLOOKUP(F120,製品マスタ!$G$5:$H$5002,2,FALSE))</f>
        <v/>
      </c>
      <c r="H120" s="269" t="str">
        <f>IF(D120="","",VLOOKUP(F120,製品マスタ!$G$5:$K$5002,5,FALSE))</f>
        <v/>
      </c>
      <c r="I120" s="270" t="str">
        <f>IF(D120="","",VLOOKUP(F120,製品マスタ!$G$5:$L$5002,6,FALSE))</f>
        <v/>
      </c>
      <c r="J120" s="210"/>
      <c r="K120" s="270" t="str">
        <f>IF(D120="","",VLOOKUP(D120,契約台帳!$A$3:$L$4986,12,FALSE))</f>
        <v/>
      </c>
      <c r="L120" s="270" t="str">
        <f>IF(D120="","",INDEX(製品マスタ!$Q$5:$Q$5002,MATCH('S4'!F120&amp;'S4'!K120,製品マスタ!$AO$5:$AO$5002,0)))</f>
        <v/>
      </c>
      <c r="M120" s="39"/>
      <c r="N120" s="39"/>
      <c r="O120" s="156"/>
      <c r="P120" s="47"/>
      <c r="Q120" s="57"/>
      <c r="R120" s="271" t="str">
        <f ca="1">IF(D120="","",IF(OFFSET(D120,-1,0)&lt;&gt;"","",IF(OR(J120="リード付け",J120="巻足し",J120="巻返しリード付け"),M120,VLOOKUP(D120,契約台帳!$A$3:$N$4986,14,FALSE))))</f>
        <v/>
      </c>
      <c r="S120" s="272" t="str">
        <f ca="1">IF(D120="","",IF(OFFSET(D120,-1,0)&lt;&gt;"","",IF(OR(J120="リード付け",J120="巻足し",J120="巻返しリード付け"),M120,VLOOKUP(D120,契約台帳!$A$3:$O$4986,15,FALSE))))</f>
        <v/>
      </c>
      <c r="T120" s="273" t="str">
        <f ca="1">IF(D120="","",IF(J120="リード付け",N120,IF(J120="巻返しリード付け",N120,IF(J120="巻足し",N120*P120+OFFSET(N120,1,0)*OFFSET(P120,1,0),VLOOKUP(D120,契約台帳!$A$3:$P$4986,16,FALSE)))))</f>
        <v/>
      </c>
      <c r="U120" s="40"/>
      <c r="V120" s="274" t="str">
        <f ca="1">IF(D120="","",IF(OFFSET(D120,-2,0)=D120,"",VLOOKUP(D120,契約台帳!$A$3:$R$4986,18,FALSE)))</f>
        <v/>
      </c>
      <c r="W120" s="269" t="str">
        <f>IF(D120="","",IF(T120="","",IF(OR(J120="巻足し",J120="巻返しリード付け"),"",IF(J120="巻返し",VLOOKUP(F120&amp;K120&amp;M120,製品マスタ!$M$5:$AD$5002,18,FALSE),IF(OR(J120="リード付け",J120="巻返しリード付け"),"原反コア",IF(J120="スリット",VLOOKUP(F120&amp;K120&amp;R120,製品マスタ!$N$5:$AD$5002,17,FALSE),""))))))</f>
        <v/>
      </c>
      <c r="X120" s="269" t="str">
        <f>IF(D120="","",IF(T120="","",IF(J120="巻足し","",IF(J120="巻返し",VLOOKUP(F120&amp;K120&amp;M120,製品マスタ!$M$5:$AE$5002,19,FALSE),IF(OR(J120="リード付け",J120="巻返しリード付け"),"",IF(J120="スリット",VLOOKUP(F120&amp;K120&amp;R120,製品マスタ!$N$5:$AE$5002,18,FALSE),""))))))</f>
        <v/>
      </c>
      <c r="Y120" s="275" t="str">
        <f>IF(D120="","",IF(T120="","",VLOOKUP(D120,契約台帳!$A$3:$Q$4986,17,FALSE)))</f>
        <v/>
      </c>
      <c r="Z120" s="269" t="str">
        <f>IF(D120="","",IF(T120="","",VLOOKUP(D120,契約台帳!$A$3:$E$4986,5,FALSE)))</f>
        <v/>
      </c>
      <c r="AA120" s="57"/>
      <c r="AB120" s="207" t="str">
        <f>IFERROR((VLOOKUP(F120&amp;K120&amp;M120,製品マスタ!$M$5:$AM$5002,27,FALSE)),"")</f>
        <v/>
      </c>
      <c r="AC120" s="33"/>
      <c r="AD120" s="189"/>
      <c r="AE120" s="54"/>
      <c r="AF120" s="55"/>
      <c r="AG120" s="43"/>
      <c r="AH120" s="47"/>
      <c r="AI120" s="30"/>
      <c r="AJ120" s="30"/>
      <c r="AK120" s="30"/>
      <c r="AL120" s="30"/>
      <c r="AM120" s="13"/>
      <c r="AN120" s="13"/>
      <c r="AO120" s="13"/>
      <c r="AP120" s="13"/>
      <c r="AQ120" s="13"/>
      <c r="AR120" s="14"/>
      <c r="AS120" s="15"/>
    </row>
    <row r="121" spans="1:45" s="17" customFormat="1" ht="30.95" hidden="1" customHeight="1" x14ac:dyDescent="0.2">
      <c r="A121" s="37"/>
      <c r="B121" s="38"/>
      <c r="C121" s="45"/>
      <c r="D121" s="31">
        <v>3694121</v>
      </c>
      <c r="E121" s="31">
        <v>4140863</v>
      </c>
      <c r="F121" s="268" t="str">
        <f>IF(D121="","",VLOOKUP(D121,契約台帳!$A$3:$K$4986,6,FALSE)&amp;VLOOKUP(D121,契約台帳!$A$3:$K$4986,7,FALSE)&amp;VLOOKUP(D121,契約台帳!$A$3:$K$4986,8,FALSE)&amp;VLOOKUP(D121,契約台帳!$A$3:$K$4986,9,FALSE)&amp;VLOOKUP(D121,契約台帳!$A$3:$K$4986,11,FALSE))</f>
        <v>3SNMCLBHLGTV</v>
      </c>
      <c r="G121" s="269" t="str">
        <f>IF(D121="","",VLOOKUP(F121,製品マスタ!$G$5:$H$5002,2,FALSE))</f>
        <v>S</v>
      </c>
      <c r="H121" s="269" t="str">
        <f>IF(D121="","",VLOOKUP(F121,製品マスタ!$G$5:$K$5002,5,FALSE))</f>
        <v>HLGTV</v>
      </c>
      <c r="I121" s="270" t="str">
        <f>IF(D121="","",VLOOKUP(F121,製品マスタ!$G$5:$L$5002,6,FALSE))</f>
        <v>メタルミー　ヘヤライン　銀艶Ｖ</v>
      </c>
      <c r="J121" s="210" t="s">
        <v>801</v>
      </c>
      <c r="K121" s="270">
        <f>IF(D121="","",VLOOKUP(D121,契約台帳!$A$3:$L$4986,12,FALSE))</f>
        <v>25</v>
      </c>
      <c r="L121" s="270" t="str">
        <f>IF(D121="","",INDEX(製品マスタ!$Q$5:$Q$5002,MATCH('S4'!F121&amp;'S4'!K121,製品マスタ!$AO$5:$AO$5002,0)))</f>
        <v>BRIGHT</v>
      </c>
      <c r="M121" s="39">
        <v>1005</v>
      </c>
      <c r="N121" s="39">
        <v>8000</v>
      </c>
      <c r="O121" s="156">
        <v>1</v>
      </c>
      <c r="P121" s="47"/>
      <c r="Q121" s="57"/>
      <c r="R121" s="271">
        <f ca="1">IF(D121="","",IF(OFFSET(D121,-1,0)&lt;&gt;"","",IF(OR(J121="リード付け",J121="巻足し",J121="巻返しリード付け"),M121,VLOOKUP(D121,契約台帳!$A$3:$N$4986,14,FALSE))))</f>
        <v>1005</v>
      </c>
      <c r="S121" s="272">
        <f ca="1">IF(D121="","",IF(OFFSET(D121,-1,0)&lt;&gt;"","",IF(OR(J121="リード付け",J121="巻足し",J121="巻返しリード付け"),M121,VLOOKUP(D121,契約台帳!$A$3:$O$4986,15,FALSE))))</f>
        <v>1000</v>
      </c>
      <c r="T121" s="273">
        <f ca="1">IF(D121="","",IF(J121="リード付け",N121,IF(J121="巻返しリード付け",N121,IF(J121="巻足し",N121*P121+OFFSET(N121,1,0)*OFFSET(P121,1,0),VLOOKUP(D121,契約台帳!$A$3:$P$4986,16,FALSE)))))</f>
        <v>2000</v>
      </c>
      <c r="U121" s="40">
        <v>1</v>
      </c>
      <c r="V121" s="274">
        <f ca="1">IF(D121="","",IF(OFFSET(D121,-2,0)=D121,"",VLOOKUP(D121,契約台帳!$A$3:$R$4986,18,FALSE)))</f>
        <v>1</v>
      </c>
      <c r="W121" s="269" t="str">
        <f ca="1">IF(D121="","",IF(T121="","",IF(OR(J121="巻足し",J121="巻返しリード付け"),"",IF(J121="巻返し",VLOOKUP(F121&amp;K121&amp;M121,製品マスタ!$M$5:$AD$5002,18,FALSE),IF(OR(J121="リード付け",J121="巻返しリード付け"),"原反コア",IF(J121="スリット",VLOOKUP(F121&amp;K121&amp;R121,製品マスタ!$N$5:$AD$5002,17,FALSE),""))))))</f>
        <v>6ｲﾝﾁSｺｱ</v>
      </c>
      <c r="X121" s="269">
        <f ca="1">IF(D121="","",IF(T121="","",IF(J121="巻足し","",IF(J121="巻返し",VLOOKUP(F121&amp;K121&amp;M121,製品マスタ!$M$5:$AE$5002,19,FALSE),IF(OR(J121="リード付け",J121="巻返しリード付け"),"",IF(J121="スリット",VLOOKUP(F121&amp;K121&amp;R121,製品マスタ!$N$5:$AE$5002,18,FALSE),""))))))</f>
        <v>1015</v>
      </c>
      <c r="Y121" s="275">
        <f ca="1">IF(D121="","",IF(T121="","",VLOOKUP(D121,契約台帳!$A$3:$Q$4986,17,FALSE)))</f>
        <v>2</v>
      </c>
      <c r="Z121" s="269" t="str">
        <f ca="1">IF(D121="","",IF(T121="","",VLOOKUP(D121,契約台帳!$A$3:$E$4986,5,FALSE)))</f>
        <v>リンテック㈱</v>
      </c>
      <c r="AA121" s="57">
        <v>44951</v>
      </c>
      <c r="AB121" s="207">
        <f>IFERROR((VLOOKUP(F121&amp;K121&amp;M121,製品マスタ!$M$5:$AM$5002,27,FALSE)),"")</f>
        <v>0</v>
      </c>
      <c r="AC121" s="33"/>
      <c r="AD121" s="189"/>
      <c r="AE121" s="54"/>
      <c r="AF121" s="55"/>
      <c r="AG121" s="43"/>
      <c r="AH121" s="47"/>
      <c r="AI121" s="30"/>
      <c r="AJ121" s="30"/>
      <c r="AK121" s="30"/>
      <c r="AL121" s="30"/>
      <c r="AM121" s="13"/>
      <c r="AN121" s="13"/>
      <c r="AO121" s="13"/>
      <c r="AP121" s="13"/>
      <c r="AQ121" s="13"/>
      <c r="AR121" s="14"/>
      <c r="AS121" s="15"/>
    </row>
    <row r="122" spans="1:45" s="17" customFormat="1" ht="30.95" hidden="1" customHeight="1" x14ac:dyDescent="0.2">
      <c r="A122" s="37"/>
      <c r="B122" s="38"/>
      <c r="C122" s="45"/>
      <c r="D122" s="31"/>
      <c r="E122" s="31"/>
      <c r="F122" s="268" t="str">
        <f>IF(D122="","",VLOOKUP(D122,契約台帳!$A$3:$K$4986,6,FALSE)&amp;VLOOKUP(D122,契約台帳!$A$3:$K$4986,7,FALSE)&amp;VLOOKUP(D122,契約台帳!$A$3:$K$4986,8,FALSE)&amp;VLOOKUP(D122,契約台帳!$A$3:$K$4986,9,FALSE)&amp;VLOOKUP(D122,契約台帳!$A$3:$K$4986,11,FALSE))</f>
        <v/>
      </c>
      <c r="G122" s="269" t="str">
        <f>IF(D122="","",VLOOKUP(F122,製品マスタ!$G$5:$H$5002,2,FALSE))</f>
        <v/>
      </c>
      <c r="H122" s="269" t="str">
        <f>IF(D122="","",VLOOKUP(F122,製品マスタ!$G$5:$K$5002,5,FALSE))</f>
        <v/>
      </c>
      <c r="I122" s="270" t="str">
        <f>IF(D122="","",VLOOKUP(F122,製品マスタ!$G$5:$L$5002,6,FALSE))</f>
        <v/>
      </c>
      <c r="J122" s="210"/>
      <c r="K122" s="270" t="str">
        <f>IF(D122="","",VLOOKUP(D122,契約台帳!$A$3:$L$4986,12,FALSE))</f>
        <v/>
      </c>
      <c r="L122" s="270" t="str">
        <f>IF(D122="","",INDEX(製品マスタ!$Q$5:$Q$5002,MATCH('S4'!F122&amp;'S4'!K122,製品マスタ!$AO$5:$AO$5002,0)))</f>
        <v/>
      </c>
      <c r="M122" s="39"/>
      <c r="N122" s="39"/>
      <c r="O122" s="156"/>
      <c r="P122" s="47"/>
      <c r="Q122" s="57"/>
      <c r="R122" s="271">
        <v>1005</v>
      </c>
      <c r="S122" s="272">
        <v>1000</v>
      </c>
      <c r="T122" s="273">
        <v>6000</v>
      </c>
      <c r="U122" s="40">
        <v>1</v>
      </c>
      <c r="V122" s="274">
        <v>1</v>
      </c>
      <c r="W122" s="269" t="s">
        <v>806</v>
      </c>
      <c r="X122" s="269">
        <v>1015</v>
      </c>
      <c r="Y122" s="275">
        <v>2</v>
      </c>
      <c r="Z122" s="269" t="s">
        <v>116</v>
      </c>
      <c r="AA122" s="57">
        <v>44951</v>
      </c>
      <c r="AB122" s="207" t="str">
        <f>IFERROR((VLOOKUP(F122&amp;K122&amp;M122,製品マスタ!$M$5:$AM$5002,27,FALSE)),"")</f>
        <v/>
      </c>
      <c r="AC122" s="33"/>
      <c r="AD122" s="189"/>
      <c r="AE122" s="54"/>
      <c r="AF122" s="55"/>
      <c r="AG122" s="43"/>
      <c r="AH122" s="47"/>
      <c r="AI122" s="30"/>
      <c r="AJ122" s="30"/>
      <c r="AK122" s="30"/>
      <c r="AL122" s="30"/>
      <c r="AM122" s="13"/>
      <c r="AN122" s="13"/>
      <c r="AO122" s="13"/>
      <c r="AP122" s="13"/>
      <c r="AQ122" s="13"/>
      <c r="AR122" s="14"/>
      <c r="AS122" s="15"/>
    </row>
    <row r="123" spans="1:45" s="17" customFormat="1" ht="30.95" hidden="1" customHeight="1" x14ac:dyDescent="0.2">
      <c r="A123" s="37"/>
      <c r="B123" s="38"/>
      <c r="C123" s="45"/>
      <c r="D123" s="31"/>
      <c r="E123" s="31"/>
      <c r="F123" s="268" t="str">
        <f>IF(D123="","",VLOOKUP(D123,契約台帳!$A$3:$K$4986,6,FALSE)&amp;VLOOKUP(D123,契約台帳!$A$3:$K$4986,7,FALSE)&amp;VLOOKUP(D123,契約台帳!$A$3:$K$4986,8,FALSE)&amp;VLOOKUP(D123,契約台帳!$A$3:$K$4986,9,FALSE)&amp;VLOOKUP(D123,契約台帳!$A$3:$K$4986,11,FALSE))</f>
        <v/>
      </c>
      <c r="G123" s="269" t="str">
        <f>IF(D123="","",VLOOKUP(F123,製品マスタ!$G$5:$H$5002,2,FALSE))</f>
        <v/>
      </c>
      <c r="H123" s="269" t="str">
        <f>IF(D123="","",VLOOKUP(F123,製品マスタ!$G$5:$K$5002,5,FALSE))</f>
        <v/>
      </c>
      <c r="I123" s="270" t="str">
        <f>IF(D123="","",VLOOKUP(F123,製品マスタ!$G$5:$L$5002,6,FALSE))</f>
        <v/>
      </c>
      <c r="J123" s="210"/>
      <c r="K123" s="270" t="str">
        <f>IF(D123="","",VLOOKUP(D123,契約台帳!$A$3:$L$4986,12,FALSE))</f>
        <v/>
      </c>
      <c r="L123" s="270" t="str">
        <f>IF(D123="","",INDEX(製品マスタ!$Q$5:$Q$5002,MATCH('S4'!F123&amp;'S4'!K123,製品マスタ!$AO$5:$AO$5002,0)))</f>
        <v/>
      </c>
      <c r="M123" s="39"/>
      <c r="N123" s="39"/>
      <c r="O123" s="156"/>
      <c r="P123" s="47"/>
      <c r="Q123" s="57"/>
      <c r="R123" s="271" t="str">
        <f ca="1">IF(D123="","",IF(OFFSET(D123,-1,0)&lt;&gt;"","",IF(OR(J123="リード付け",J123="巻足し",J123="巻返しリード付け"),M123,VLOOKUP(D123,契約台帳!$A$3:$N$4986,14,FALSE))))</f>
        <v/>
      </c>
      <c r="S123" s="272" t="str">
        <f ca="1">IF(D123="","",IF(OFFSET(D123,-1,0)&lt;&gt;"","",IF(OR(J123="リード付け",J123="巻足し",J123="巻返しリード付け"),M123,VLOOKUP(D123,契約台帳!$A$3:$O$4986,15,FALSE))))</f>
        <v/>
      </c>
      <c r="T123" s="273" t="str">
        <f ca="1">IF(D123="","",IF(J123="リード付け",N123,IF(J123="巻返しリード付け",N123,IF(J123="巻足し",N123*P123+OFFSET(N123,1,0)*OFFSET(P123,1,0),VLOOKUP(D123,契約台帳!$A$3:$P$4986,16,FALSE)))))</f>
        <v/>
      </c>
      <c r="U123" s="40"/>
      <c r="V123" s="274" t="str">
        <f ca="1">IF(D123="","",IF(OFFSET(D123,-2,0)=D123,"",VLOOKUP(D123,契約台帳!$A$3:$R$4986,18,FALSE)))</f>
        <v/>
      </c>
      <c r="W123" s="269" t="str">
        <f>IF(D123="","",IF(T123="","",IF(OR(J123="巻足し",J123="巻返しリード付け"),"",IF(J123="巻返し",VLOOKUP(F123&amp;K123&amp;M123,製品マスタ!$M$5:$AD$5002,18,FALSE),IF(OR(J123="リード付け",J123="巻返しリード付け"),"原反コア",IF(J123="スリット",VLOOKUP(F123&amp;K123&amp;R123,製品マスタ!$N$5:$AD$5002,17,FALSE),""))))))</f>
        <v/>
      </c>
      <c r="X123" s="269" t="str">
        <f>IF(D123="","",IF(T123="","",IF(J123="巻足し","",IF(J123="巻返し",VLOOKUP(F123&amp;K123&amp;M123,製品マスタ!$M$5:$AE$5002,19,FALSE),IF(OR(J123="リード付け",J123="巻返しリード付け"),"",IF(J123="スリット",VLOOKUP(F123&amp;K123&amp;R123,製品マスタ!$N$5:$AE$5002,18,FALSE),""))))))</f>
        <v/>
      </c>
      <c r="Y123" s="275" t="str">
        <f>IF(D123="","",IF(T123="","",VLOOKUP(D123,契約台帳!$A$3:$Q$4986,17,FALSE)))</f>
        <v/>
      </c>
      <c r="Z123" s="269" t="str">
        <f>IF(D123="","",IF(T123="","",VLOOKUP(D123,契約台帳!$A$3:$E$4986,5,FALSE)))</f>
        <v/>
      </c>
      <c r="AA123" s="57"/>
      <c r="AB123" s="207" t="str">
        <f>IFERROR((VLOOKUP(F123&amp;K123&amp;M123,製品マスタ!$M$5:$AM$5002,27,FALSE)),"")</f>
        <v/>
      </c>
      <c r="AC123" s="33"/>
      <c r="AD123" s="189"/>
      <c r="AE123" s="54"/>
      <c r="AF123" s="55"/>
      <c r="AG123" s="43"/>
      <c r="AH123" s="47"/>
      <c r="AI123" s="30"/>
      <c r="AJ123" s="30"/>
      <c r="AK123" s="30"/>
      <c r="AL123" s="30"/>
      <c r="AM123" s="13"/>
      <c r="AN123" s="13"/>
      <c r="AO123" s="13"/>
      <c r="AP123" s="13"/>
      <c r="AQ123" s="13"/>
      <c r="AR123" s="14"/>
      <c r="AS123" s="15"/>
    </row>
    <row r="124" spans="1:45" s="17" customFormat="1" ht="30.95" hidden="1" customHeight="1" x14ac:dyDescent="0.2">
      <c r="A124" s="37"/>
      <c r="B124" s="38"/>
      <c r="C124" s="45"/>
      <c r="D124" s="31">
        <v>3694122</v>
      </c>
      <c r="E124" s="31">
        <v>4140864</v>
      </c>
      <c r="F124" s="268" t="str">
        <f>IF(D124="","",VLOOKUP(D124,契約台帳!$A$3:$K$4986,6,FALSE)&amp;VLOOKUP(D124,契約台帳!$A$3:$K$4986,7,FALSE)&amp;VLOOKUP(D124,契約台帳!$A$3:$K$4986,8,FALSE)&amp;VLOOKUP(D124,契約台帳!$A$3:$K$4986,9,FALSE)&amp;VLOOKUP(D124,契約台帳!$A$3:$K$4986,11,FALSE))</f>
        <v>3SNMCLBHLGTV</v>
      </c>
      <c r="G124" s="269" t="str">
        <f>IF(D124="","",VLOOKUP(F124,製品マスタ!$G$5:$H$5002,2,FALSE))</f>
        <v>S</v>
      </c>
      <c r="H124" s="269" t="str">
        <f>IF(D124="","",VLOOKUP(F124,製品マスタ!$G$5:$K$5002,5,FALSE))</f>
        <v>HLGTV</v>
      </c>
      <c r="I124" s="270" t="str">
        <f>IF(D124="","",VLOOKUP(F124,製品マスタ!$G$5:$L$5002,6,FALSE))</f>
        <v>メタルミー　ヘヤライン　銀艶Ｖ</v>
      </c>
      <c r="J124" s="210" t="s">
        <v>801</v>
      </c>
      <c r="K124" s="270">
        <f>IF(D124="","",VLOOKUP(D124,契約台帳!$A$3:$L$4986,12,FALSE))</f>
        <v>50</v>
      </c>
      <c r="L124" s="270" t="str">
        <f>IF(D124="","",INDEX(製品マスタ!$Q$5:$Q$5002,MATCH('S4'!F124&amp;'S4'!K124,製品マスタ!$AO$5:$AO$5002,0)))</f>
        <v>BRIGHT</v>
      </c>
      <c r="M124" s="39">
        <v>1005</v>
      </c>
      <c r="N124" s="39">
        <v>12300</v>
      </c>
      <c r="O124" s="156">
        <v>1</v>
      </c>
      <c r="P124" s="47">
        <v>3</v>
      </c>
      <c r="Q124" s="57"/>
      <c r="R124" s="271">
        <f ca="1">IF(D124="","",IF(OFFSET(D124,-1,0)&lt;&gt;"","",IF(OR(J124="リード付け",J124="巻足し",J124="巻返しリード付け"),M124,VLOOKUP(D124,契約台帳!$A$3:$N$4986,14,FALSE))))</f>
        <v>1005</v>
      </c>
      <c r="S124" s="272">
        <f ca="1">IF(D124="","",IF(OFFSET(D124,-1,0)&lt;&gt;"","",IF(OR(J124="リード付け",J124="巻足し",J124="巻返しリード付け"),M124,VLOOKUP(D124,契約台帳!$A$3:$O$4986,15,FALSE))))</f>
        <v>1000</v>
      </c>
      <c r="T124" s="273">
        <f ca="1">IF(D124="","",IF(J124="リード付け",N124,IF(J124="巻返しリード付け",N124,IF(J124="巻足し",N124*P124+OFFSET(N124,1,0)*OFFSET(P124,1,0),VLOOKUP(D124,契約台帳!$A$3:$P$4986,16,FALSE)))))</f>
        <v>4000</v>
      </c>
      <c r="U124" s="40">
        <v>3</v>
      </c>
      <c r="V124" s="274">
        <f ca="1">IF(D124="","",IF(OFFSET(D124,-2,0)=D124,"",VLOOKUP(D124,契約台帳!$A$3:$R$4986,18,FALSE)))</f>
        <v>9</v>
      </c>
      <c r="W124" s="269" t="str">
        <f ca="1">IF(D124="","",IF(T124="","",IF(OR(J124="巻足し",J124="巻返しリード付け"),"",IF(J124="巻返し",VLOOKUP(F124&amp;K124&amp;M124,製品マスタ!$M$5:$AD$5002,18,FALSE),IF(OR(J124="リード付け",J124="巻返しリード付け"),"原反コア",IF(J124="スリット",VLOOKUP(F124&amp;K124&amp;R124,製品マスタ!$N$5:$AD$5002,17,FALSE),""))))))</f>
        <v>6ｲﾝﾁSｺｱ</v>
      </c>
      <c r="X124" s="269">
        <f ca="1">IF(D124="","",IF(T124="","",IF(J124="巻足し","",IF(J124="巻返し",VLOOKUP(F124&amp;K124&amp;M124,製品マスタ!$M$5:$AE$5002,19,FALSE),IF(OR(J124="リード付け",J124="巻返しリード付け"),"",IF(J124="スリット",VLOOKUP(F124&amp;K124&amp;R124,製品マスタ!$N$5:$AE$5002,18,FALSE),""))))))</f>
        <v>1015</v>
      </c>
      <c r="Y124" s="275">
        <f ca="1">IF(D124="","",IF(T124="","",VLOOKUP(D124,契約台帳!$A$3:$Q$4986,17,FALSE)))</f>
        <v>2</v>
      </c>
      <c r="Z124" s="269" t="str">
        <f ca="1">IF(D124="","",IF(T124="","",VLOOKUP(D124,契約台帳!$A$3:$E$4986,5,FALSE)))</f>
        <v>リンテック㈱</v>
      </c>
      <c r="AA124" s="57">
        <v>44951</v>
      </c>
      <c r="AB124" s="207">
        <f>IFERROR((VLOOKUP(F124&amp;K124&amp;M124,製品マスタ!$M$5:$AM$5002,27,FALSE)),"")</f>
        <v>0</v>
      </c>
      <c r="AC124" s="33"/>
      <c r="AD124" s="189"/>
      <c r="AE124" s="54"/>
      <c r="AF124" s="55"/>
      <c r="AG124" s="43"/>
      <c r="AH124" s="47"/>
      <c r="AI124" s="30"/>
      <c r="AJ124" s="30"/>
      <c r="AK124" s="30"/>
      <c r="AL124" s="30"/>
      <c r="AM124" s="13"/>
      <c r="AN124" s="13"/>
      <c r="AO124" s="13"/>
      <c r="AP124" s="13"/>
      <c r="AQ124" s="13"/>
      <c r="AR124" s="14"/>
      <c r="AS124" s="15"/>
    </row>
    <row r="125" spans="1:45" s="17" customFormat="1" ht="30.95" hidden="1" customHeight="1" x14ac:dyDescent="0.2">
      <c r="A125" s="37"/>
      <c r="B125" s="38"/>
      <c r="C125" s="45"/>
      <c r="D125" s="31"/>
      <c r="E125" s="31"/>
      <c r="F125" s="268" t="str">
        <f>IF(D125="","",VLOOKUP(D125,契約台帳!$A$3:$K$4986,6,FALSE)&amp;VLOOKUP(D125,契約台帳!$A$3:$K$4986,7,FALSE)&amp;VLOOKUP(D125,契約台帳!$A$3:$K$4986,8,FALSE)&amp;VLOOKUP(D125,契約台帳!$A$3:$K$4986,9,FALSE)&amp;VLOOKUP(D125,契約台帳!$A$3:$K$4986,11,FALSE))</f>
        <v/>
      </c>
      <c r="G125" s="269" t="str">
        <f>IF(D125="","",VLOOKUP(F125,製品マスタ!$G$5:$H$5002,2,FALSE))</f>
        <v/>
      </c>
      <c r="H125" s="269" t="str">
        <f>IF(D125="","",VLOOKUP(F125,製品マスタ!$G$5:$K$5002,5,FALSE))</f>
        <v/>
      </c>
      <c r="I125" s="270" t="str">
        <f>IF(D125="","",VLOOKUP(F125,製品マスタ!$G$5:$L$5002,6,FALSE))</f>
        <v/>
      </c>
      <c r="J125" s="210"/>
      <c r="K125" s="270" t="str">
        <f>IF(D125="","",VLOOKUP(D125,契約台帳!$A$3:$L$4986,12,FALSE))</f>
        <v/>
      </c>
      <c r="L125" s="270" t="str">
        <f>IF(D125="","",INDEX(製品マスタ!$Q$5:$Q$5002,MATCH('S4'!F125&amp;'S4'!K125,製品マスタ!$AO$5:$AO$5002,0)))</f>
        <v/>
      </c>
      <c r="M125" s="39"/>
      <c r="N125" s="39"/>
      <c r="O125" s="156"/>
      <c r="P125" s="47"/>
      <c r="Q125" s="57"/>
      <c r="R125" s="271" t="str">
        <f ca="1">IF(D125="","",IF(OFFSET(D125,-1,0)&lt;&gt;"","",IF(OR(J125="リード付け",J125="巻足し",J125="巻返しリード付け"),M125,VLOOKUP(D125,契約台帳!$A$3:$N$4986,14,FALSE))))</f>
        <v/>
      </c>
      <c r="S125" s="272" t="str">
        <f ca="1">IF(D125="","",IF(OFFSET(D125,-1,0)&lt;&gt;"","",IF(OR(J125="リード付け",J125="巻足し",J125="巻返しリード付け"),M125,VLOOKUP(D125,契約台帳!$A$3:$O$4986,15,FALSE))))</f>
        <v/>
      </c>
      <c r="T125" s="273" t="str">
        <f ca="1">IF(D125="","",IF(J125="リード付け",N125,IF(J125="巻返しリード付け",N125,IF(J125="巻足し",N125*P125+OFFSET(N125,1,0)*OFFSET(P125,1,0),VLOOKUP(D125,契約台帳!$A$3:$P$4986,16,FALSE)))))</f>
        <v/>
      </c>
      <c r="U125" s="40"/>
      <c r="V125" s="274" t="str">
        <f ca="1">IF(D125="","",IF(OFFSET(D125,-2,0)=D125,"",VLOOKUP(D125,契約台帳!$A$3:$R$4986,18,FALSE)))</f>
        <v/>
      </c>
      <c r="W125" s="269" t="str">
        <f>IF(D125="","",IF(T125="","",IF(OR(J125="巻足し",J125="巻返しリード付け"),"",IF(J125="巻返し",VLOOKUP(F125&amp;K125&amp;M125,製品マスタ!$M$5:$AD$5002,18,FALSE),IF(OR(J125="リード付け",J125="巻返しリード付け"),"原反コア",IF(J125="スリット",VLOOKUP(F125&amp;K125&amp;R125,製品マスタ!$N$5:$AD$5002,17,FALSE),""))))))</f>
        <v/>
      </c>
      <c r="X125" s="269" t="str">
        <f>IF(D125="","",IF(T125="","",IF(J125="巻足し","",IF(J125="巻返し",VLOOKUP(F125&amp;K125&amp;M125,製品マスタ!$M$5:$AE$5002,19,FALSE),IF(OR(J125="リード付け",J125="巻返しリード付け"),"",IF(J125="スリット",VLOOKUP(F125&amp;K125&amp;R125,製品マスタ!$N$5:$AE$5002,18,FALSE),""))))))</f>
        <v/>
      </c>
      <c r="Y125" s="275" t="str">
        <f>IF(D125="","",IF(T125="","",VLOOKUP(D125,契約台帳!$A$3:$Q$4986,17,FALSE)))</f>
        <v/>
      </c>
      <c r="Z125" s="269" t="str">
        <f>IF(D125="","",IF(T125="","",VLOOKUP(D125,契約台帳!$A$3:$E$4986,5,FALSE)))</f>
        <v/>
      </c>
      <c r="AA125" s="57"/>
      <c r="AB125" s="207" t="str">
        <f>IFERROR((VLOOKUP(F125&amp;K125&amp;M125,製品マスタ!$M$5:$AM$5002,27,FALSE)),"")</f>
        <v/>
      </c>
      <c r="AC125" s="33"/>
      <c r="AD125" s="189"/>
      <c r="AE125" s="54"/>
      <c r="AF125" s="55"/>
      <c r="AG125" s="43"/>
      <c r="AH125" s="47"/>
      <c r="AI125" s="30"/>
      <c r="AJ125" s="30"/>
      <c r="AK125" s="30"/>
      <c r="AL125" s="30"/>
      <c r="AM125" s="13"/>
      <c r="AN125" s="13"/>
      <c r="AO125" s="13"/>
      <c r="AP125" s="13"/>
      <c r="AQ125" s="13"/>
      <c r="AR125" s="14"/>
      <c r="AS125" s="15"/>
    </row>
    <row r="126" spans="1:45" s="17" customFormat="1" ht="30.95" hidden="1" customHeight="1" x14ac:dyDescent="0.2">
      <c r="A126" s="37" t="s">
        <v>807</v>
      </c>
      <c r="B126" s="38" t="s">
        <v>810</v>
      </c>
      <c r="C126" s="45"/>
      <c r="D126" s="31"/>
      <c r="E126" s="31"/>
      <c r="F126" s="268" t="str">
        <f>IF(D126="","",VLOOKUP(D126,契約台帳!$A$3:$K$4986,6,FALSE)&amp;VLOOKUP(D126,契約台帳!$A$3:$K$4986,7,FALSE)&amp;VLOOKUP(D126,契約台帳!$A$3:$K$4986,8,FALSE)&amp;VLOOKUP(D126,契約台帳!$A$3:$K$4986,9,FALSE)&amp;VLOOKUP(D126,契約台帳!$A$3:$K$4986,11,FALSE))</f>
        <v/>
      </c>
      <c r="G126" s="269" t="str">
        <f>IF(D126="","",VLOOKUP(F126,製品マスタ!$G$5:$H$5002,2,FALSE))</f>
        <v/>
      </c>
      <c r="H126" s="269" t="str">
        <f>IF(D126="","",VLOOKUP(F126,製品マスタ!$G$5:$K$5002,5,FALSE))</f>
        <v/>
      </c>
      <c r="I126" s="270" t="str">
        <f>IF(D126="","",VLOOKUP(F126,製品マスタ!$G$5:$L$5002,6,FALSE))</f>
        <v/>
      </c>
      <c r="J126" s="210" t="s">
        <v>448</v>
      </c>
      <c r="K126" s="270" t="str">
        <f>IF(D126="","",VLOOKUP(D126,契約台帳!$A$3:$L$4986,12,FALSE))</f>
        <v/>
      </c>
      <c r="L126" s="270" t="str">
        <f>IF(D126="","",INDEX(製品マスタ!$Q$5:$Q$5002,MATCH('S4'!F126&amp;'S4'!K126,製品マスタ!$AO$5:$AO$5002,0)))</f>
        <v/>
      </c>
      <c r="M126" s="39"/>
      <c r="N126" s="39"/>
      <c r="O126" s="156"/>
      <c r="P126" s="47"/>
      <c r="Q126" s="57"/>
      <c r="R126" s="271" t="str">
        <f ca="1">IF(D126="","",IF(OFFSET(D126,-1,0)&lt;&gt;"","",IF(OR(J126="リード付け",J126="巻足し",J126="巻返しリード付け"),M126,VLOOKUP(D126,契約台帳!$A$3:$N$4986,14,FALSE))))</f>
        <v/>
      </c>
      <c r="S126" s="272" t="str">
        <f ca="1">IF(D126="","",IF(OFFSET(D126,-1,0)&lt;&gt;"","",IF(OR(J126="リード付け",J126="巻足し",J126="巻返しリード付け"),M126,VLOOKUP(D126,契約台帳!$A$3:$O$4986,15,FALSE))))</f>
        <v/>
      </c>
      <c r="T126" s="273" t="str">
        <f ca="1">IF(D126="","",IF(J126="リード付け",N126,IF(J126="巻返しリード付け",N126,IF(J126="巻足し",N126*P126+OFFSET(N126,1,0)*OFFSET(P126,1,0),VLOOKUP(D126,契約台帳!$A$3:$P$4986,16,FALSE)))))</f>
        <v/>
      </c>
      <c r="U126" s="40"/>
      <c r="V126" s="274" t="str">
        <f ca="1">IF(D126="","",IF(OFFSET(D126,-2,0)=D126,"",VLOOKUP(D126,契約台帳!$A$3:$R$4986,18,FALSE)))</f>
        <v/>
      </c>
      <c r="W126" s="269" t="str">
        <f>IF(D126="","",IF(T126="","",IF(OR(J126="巻足し",J126="巻返しリード付け"),"",IF(J126="巻返し",VLOOKUP(F126&amp;K126&amp;M126,製品マスタ!$M$5:$AD$5002,18,FALSE),IF(OR(J126="リード付け",J126="巻返しリード付け"),"原反コア",IF(J126="スリット",VLOOKUP(F126&amp;K126&amp;R126,製品マスタ!$N$5:$AD$5002,17,FALSE),""))))))</f>
        <v/>
      </c>
      <c r="X126" s="269" t="str">
        <f>IF(D126="","",IF(T126="","",IF(J126="巻足し","",IF(J126="巻返し",VLOOKUP(F126&amp;K126&amp;M126,製品マスタ!$M$5:$AE$5002,19,FALSE),IF(OR(J126="リード付け",J126="巻返しリード付け"),"",IF(J126="スリット",VLOOKUP(F126&amp;K126&amp;R126,製品マスタ!$N$5:$AE$5002,18,FALSE),""))))))</f>
        <v/>
      </c>
      <c r="Y126" s="275" t="str">
        <f>IF(D126="","",IF(T126="","",VLOOKUP(D126,契約台帳!$A$3:$Q$4986,17,FALSE)))</f>
        <v/>
      </c>
      <c r="Z126" s="269" t="str">
        <f>IF(D126="","",IF(T126="","",VLOOKUP(D126,契約台帳!$A$3:$E$4986,5,FALSE)))</f>
        <v/>
      </c>
      <c r="AA126" s="57"/>
      <c r="AB126" s="207" t="str">
        <f>IFERROR((VLOOKUP(F126&amp;K126&amp;M126,製品マスタ!$M$5:$AM$5002,27,FALSE)),"")</f>
        <v/>
      </c>
      <c r="AC126" s="33"/>
      <c r="AD126" s="189"/>
      <c r="AE126" s="54"/>
      <c r="AF126" s="55"/>
      <c r="AG126" s="43"/>
      <c r="AH126" s="47"/>
      <c r="AI126" s="30"/>
      <c r="AJ126" s="30"/>
      <c r="AK126" s="30"/>
      <c r="AL126" s="30"/>
      <c r="AM126" s="13"/>
      <c r="AN126" s="13"/>
      <c r="AO126" s="13"/>
      <c r="AP126" s="13"/>
      <c r="AQ126" s="13"/>
      <c r="AR126" s="14"/>
      <c r="AS126" s="15"/>
    </row>
    <row r="127" spans="1:45" s="17" customFormat="1" ht="30.95" hidden="1" customHeight="1" x14ac:dyDescent="0.2">
      <c r="A127" s="37"/>
      <c r="B127" s="38"/>
      <c r="C127" s="45"/>
      <c r="D127" s="31"/>
      <c r="E127" s="31"/>
      <c r="F127" s="268" t="str">
        <f>IF(D127="","",VLOOKUP(D127,契約台帳!$A$3:$K$4986,6,FALSE)&amp;VLOOKUP(D127,契約台帳!$A$3:$K$4986,7,FALSE)&amp;VLOOKUP(D127,契約台帳!$A$3:$K$4986,8,FALSE)&amp;VLOOKUP(D127,契約台帳!$A$3:$K$4986,9,FALSE)&amp;VLOOKUP(D127,契約台帳!$A$3:$K$4986,11,FALSE))</f>
        <v/>
      </c>
      <c r="G127" s="269" t="str">
        <f>IF(D127="","",VLOOKUP(F127,製品マスタ!$G$5:$H$5002,2,FALSE))</f>
        <v/>
      </c>
      <c r="H127" s="269" t="str">
        <f>IF(D127="","",VLOOKUP(F127,製品マスタ!$G$5:$K$5002,5,FALSE))</f>
        <v/>
      </c>
      <c r="I127" s="270" t="str">
        <f>IF(D127="","",VLOOKUP(F127,製品マスタ!$G$5:$L$5002,6,FALSE))</f>
        <v/>
      </c>
      <c r="J127" s="210"/>
      <c r="K127" s="270" t="str">
        <f>IF(D127="","",VLOOKUP(D127,契約台帳!$A$3:$L$4986,12,FALSE))</f>
        <v/>
      </c>
      <c r="L127" s="270" t="str">
        <f>IF(D127="","",INDEX(製品マスタ!$Q$5:$Q$5002,MATCH('S4'!F127&amp;'S4'!K127,製品マスタ!$AO$5:$AO$5002,0)))</f>
        <v/>
      </c>
      <c r="M127" s="39"/>
      <c r="N127" s="39"/>
      <c r="O127" s="156"/>
      <c r="P127" s="47"/>
      <c r="Q127" s="57"/>
      <c r="R127" s="271" t="str">
        <f ca="1">IF(D127="","",IF(OFFSET(D127,-1,0)&lt;&gt;"","",IF(OR(J127="リード付け",J127="巻足し",J127="巻返しリード付け"),M127,VLOOKUP(D127,契約台帳!$A$3:$N$4986,14,FALSE))))</f>
        <v/>
      </c>
      <c r="S127" s="272" t="str">
        <f ca="1">IF(D127="","",IF(OFFSET(D127,-1,0)&lt;&gt;"","",IF(OR(J127="リード付け",J127="巻足し",J127="巻返しリード付け"),M127,VLOOKUP(D127,契約台帳!$A$3:$O$4986,15,FALSE))))</f>
        <v/>
      </c>
      <c r="T127" s="273" t="str">
        <f ca="1">IF(D127="","",IF(J127="リード付け",N127,IF(J127="巻返しリード付け",N127,IF(J127="巻足し",N127*P127+OFFSET(N127,1,0)*OFFSET(P127,1,0),VLOOKUP(D127,契約台帳!$A$3:$P$4986,16,FALSE)))))</f>
        <v/>
      </c>
      <c r="U127" s="40"/>
      <c r="V127" s="274" t="str">
        <f ca="1">IF(D127="","",IF(OFFSET(D127,-2,0)=D127,"",VLOOKUP(D127,契約台帳!$A$3:$R$4986,18,FALSE)))</f>
        <v/>
      </c>
      <c r="W127" s="269" t="str">
        <f>IF(D127="","",IF(T127="","",IF(OR(J127="巻足し",J127="巻返しリード付け"),"",IF(J127="巻返し",VLOOKUP(F127&amp;K127&amp;M127,製品マスタ!$M$5:$AD$5002,18,FALSE),IF(OR(J127="リード付け",J127="巻返しリード付け"),"原反コア",IF(J127="スリット",VLOOKUP(F127&amp;K127&amp;R127,製品マスタ!$N$5:$AD$5002,17,FALSE),""))))))</f>
        <v/>
      </c>
      <c r="X127" s="269" t="str">
        <f>IF(D127="","",IF(T127="","",IF(J127="巻足し","",IF(J127="巻返し",VLOOKUP(F127&amp;K127&amp;M127,製品マスタ!$M$5:$AE$5002,19,FALSE),IF(OR(J127="リード付け",J127="巻返しリード付け"),"",IF(J127="スリット",VLOOKUP(F127&amp;K127&amp;R127,製品マスタ!$N$5:$AE$5002,18,FALSE),""))))))</f>
        <v/>
      </c>
      <c r="Y127" s="275" t="str">
        <f>IF(D127="","",IF(T127="","",VLOOKUP(D127,契約台帳!$A$3:$Q$4986,17,FALSE)))</f>
        <v/>
      </c>
      <c r="Z127" s="269" t="str">
        <f>IF(D127="","",IF(T127="","",VLOOKUP(D127,契約台帳!$A$3:$E$4986,5,FALSE)))</f>
        <v/>
      </c>
      <c r="AA127" s="57"/>
      <c r="AB127" s="207" t="str">
        <f>IFERROR((VLOOKUP(F127&amp;K127&amp;M127,製品マスタ!$M$5:$AM$5002,27,FALSE)),"")</f>
        <v/>
      </c>
      <c r="AC127" s="33"/>
      <c r="AD127" s="189"/>
      <c r="AE127" s="54"/>
      <c r="AF127" s="55"/>
      <c r="AG127" s="43"/>
      <c r="AH127" s="47"/>
      <c r="AI127" s="30"/>
      <c r="AJ127" s="30"/>
      <c r="AK127" s="30"/>
      <c r="AL127" s="30"/>
      <c r="AM127" s="13"/>
      <c r="AN127" s="13"/>
      <c r="AO127" s="13"/>
      <c r="AP127" s="13"/>
      <c r="AQ127" s="13"/>
      <c r="AR127" s="14"/>
      <c r="AS127" s="15"/>
    </row>
    <row r="128" spans="1:45" s="17" customFormat="1" ht="30.95" hidden="1" customHeight="1" x14ac:dyDescent="0.2">
      <c r="A128" s="37" t="s">
        <v>808</v>
      </c>
      <c r="B128" s="38" t="s">
        <v>811</v>
      </c>
      <c r="C128" s="45"/>
      <c r="D128" s="31"/>
      <c r="E128" s="31"/>
      <c r="F128" s="268" t="str">
        <f>IF(D128="","",VLOOKUP(D128,契約台帳!$A$3:$K$4986,6,FALSE)&amp;VLOOKUP(D128,契約台帳!$A$3:$K$4986,7,FALSE)&amp;VLOOKUP(D128,契約台帳!$A$3:$K$4986,8,FALSE)&amp;VLOOKUP(D128,契約台帳!$A$3:$K$4986,9,FALSE)&amp;VLOOKUP(D128,契約台帳!$A$3:$K$4986,11,FALSE))</f>
        <v/>
      </c>
      <c r="G128" s="269" t="str">
        <f>IF(D128="","",VLOOKUP(F128,製品マスタ!$G$5:$H$5002,2,FALSE))</f>
        <v/>
      </c>
      <c r="H128" s="269" t="str">
        <f>IF(D128="","",VLOOKUP(F128,製品マスタ!$G$5:$K$5002,5,FALSE))</f>
        <v/>
      </c>
      <c r="I128" s="270" t="str">
        <f>IF(D128="","",VLOOKUP(F128,製品マスタ!$G$5:$L$5002,6,FALSE))</f>
        <v/>
      </c>
      <c r="J128" s="210" t="s">
        <v>448</v>
      </c>
      <c r="K128" s="270" t="str">
        <f>IF(D128="","",VLOOKUP(D128,契約台帳!$A$3:$L$4986,12,FALSE))</f>
        <v/>
      </c>
      <c r="L128" s="270" t="str">
        <f>IF(D128="","",INDEX(製品マスタ!$Q$5:$Q$5002,MATCH('S4'!F128&amp;'S4'!K128,製品マスタ!$AO$5:$AO$5002,0)))</f>
        <v/>
      </c>
      <c r="M128" s="39"/>
      <c r="N128" s="39"/>
      <c r="O128" s="156"/>
      <c r="P128" s="47"/>
      <c r="Q128" s="57"/>
      <c r="R128" s="271" t="str">
        <f ca="1">IF(D128="","",IF(OFFSET(D128,-1,0)&lt;&gt;"","",IF(OR(J128="リード付け",J128="巻足し",J128="巻返しリード付け"),M128,VLOOKUP(D128,契約台帳!$A$3:$N$4986,14,FALSE))))</f>
        <v/>
      </c>
      <c r="S128" s="272" t="str">
        <f ca="1">IF(D128="","",IF(OFFSET(D128,-1,0)&lt;&gt;"","",IF(OR(J128="リード付け",J128="巻足し",J128="巻返しリード付け"),M128,VLOOKUP(D128,契約台帳!$A$3:$O$4986,15,FALSE))))</f>
        <v/>
      </c>
      <c r="T128" s="273" t="str">
        <f ca="1">IF(D128="","",IF(J128="リード付け",N128,IF(J128="巻返しリード付け",N128,IF(J128="巻足し",N128*P128+OFFSET(N128,1,0)*OFFSET(P128,1,0),VLOOKUP(D128,契約台帳!$A$3:$P$4986,16,FALSE)))))</f>
        <v/>
      </c>
      <c r="U128" s="40"/>
      <c r="V128" s="274" t="str">
        <f ca="1">IF(D128="","",IF(OFFSET(D128,-2,0)=D128,"",VLOOKUP(D128,契約台帳!$A$3:$R$4986,18,FALSE)))</f>
        <v/>
      </c>
      <c r="W128" s="269" t="str">
        <f>IF(D128="","",IF(T128="","",IF(OR(J128="巻足し",J128="巻返しリード付け"),"",IF(J128="巻返し",VLOOKUP(F128&amp;K128&amp;M128,製品マスタ!$M$5:$AD$5002,18,FALSE),IF(OR(J128="リード付け",J128="巻返しリード付け"),"原反コア",IF(J128="スリット",VLOOKUP(F128&amp;K128&amp;R128,製品マスタ!$N$5:$AD$5002,17,FALSE),""))))))</f>
        <v/>
      </c>
      <c r="X128" s="269" t="str">
        <f>IF(D128="","",IF(T128="","",IF(J128="巻足し","",IF(J128="巻返し",VLOOKUP(F128&amp;K128&amp;M128,製品マスタ!$M$5:$AE$5002,19,FALSE),IF(OR(J128="リード付け",J128="巻返しリード付け"),"",IF(J128="スリット",VLOOKUP(F128&amp;K128&amp;R128,製品マスタ!$N$5:$AE$5002,18,FALSE),""))))))</f>
        <v/>
      </c>
      <c r="Y128" s="275" t="str">
        <f>IF(D128="","",IF(T128="","",VLOOKUP(D128,契約台帳!$A$3:$Q$4986,17,FALSE)))</f>
        <v/>
      </c>
      <c r="Z128" s="269" t="str">
        <f>IF(D128="","",IF(T128="","",VLOOKUP(D128,契約台帳!$A$3:$E$4986,5,FALSE)))</f>
        <v/>
      </c>
      <c r="AA128" s="57"/>
      <c r="AB128" s="207" t="str">
        <f>IFERROR((VLOOKUP(F128&amp;K128&amp;M128,製品マスタ!$M$5:$AM$5002,27,FALSE)),"")</f>
        <v/>
      </c>
      <c r="AC128" s="33"/>
      <c r="AD128" s="189"/>
      <c r="AE128" s="54"/>
      <c r="AF128" s="55"/>
      <c r="AG128" s="43"/>
      <c r="AH128" s="47"/>
      <c r="AI128" s="30"/>
      <c r="AJ128" s="30"/>
      <c r="AK128" s="30"/>
      <c r="AL128" s="30"/>
      <c r="AM128" s="13"/>
      <c r="AN128" s="13"/>
      <c r="AO128" s="13"/>
      <c r="AP128" s="13"/>
      <c r="AQ128" s="13"/>
      <c r="AR128" s="14"/>
      <c r="AS128" s="15"/>
    </row>
    <row r="129" spans="1:45" s="17" customFormat="1" ht="30.95" hidden="1" customHeight="1" x14ac:dyDescent="0.2">
      <c r="A129" s="37"/>
      <c r="B129" s="38"/>
      <c r="C129" s="45"/>
      <c r="D129" s="31"/>
      <c r="E129" s="31"/>
      <c r="F129" s="268" t="str">
        <f>IF(D129="","",VLOOKUP(D129,契約台帳!$A$3:$K$4986,6,FALSE)&amp;VLOOKUP(D129,契約台帳!$A$3:$K$4986,7,FALSE)&amp;VLOOKUP(D129,契約台帳!$A$3:$K$4986,8,FALSE)&amp;VLOOKUP(D129,契約台帳!$A$3:$K$4986,9,FALSE)&amp;VLOOKUP(D129,契約台帳!$A$3:$K$4986,11,FALSE))</f>
        <v/>
      </c>
      <c r="G129" s="269" t="str">
        <f>IF(D129="","",VLOOKUP(F129,製品マスタ!$G$5:$H$5002,2,FALSE))</f>
        <v/>
      </c>
      <c r="H129" s="269" t="str">
        <f>IF(D129="","",VLOOKUP(F129,製品マスタ!$G$5:$K$5002,5,FALSE))</f>
        <v/>
      </c>
      <c r="I129" s="270" t="str">
        <f>IF(D129="","",VLOOKUP(F129,製品マスタ!$G$5:$L$5002,6,FALSE))</f>
        <v/>
      </c>
      <c r="J129" s="210"/>
      <c r="K129" s="270" t="str">
        <f>IF(D129="","",VLOOKUP(D129,契約台帳!$A$3:$L$4986,12,FALSE))</f>
        <v/>
      </c>
      <c r="L129" s="270" t="str">
        <f>IF(D129="","",INDEX(製品マスタ!$Q$5:$Q$5002,MATCH('S4'!F129&amp;'S4'!K129,製品マスタ!$AO$5:$AO$5002,0)))</f>
        <v/>
      </c>
      <c r="M129" s="39"/>
      <c r="N129" s="39"/>
      <c r="O129" s="156"/>
      <c r="P129" s="47"/>
      <c r="Q129" s="57"/>
      <c r="R129" s="271" t="str">
        <f ca="1">IF(D129="","",IF(OFFSET(D129,-1,0)&lt;&gt;"","",IF(OR(J129="リード付け",J129="巻足し",J129="巻返しリード付け"),M129,VLOOKUP(D129,契約台帳!$A$3:$N$4986,14,FALSE))))</f>
        <v/>
      </c>
      <c r="S129" s="272" t="str">
        <f ca="1">IF(D129="","",IF(OFFSET(D129,-1,0)&lt;&gt;"","",IF(OR(J129="リード付け",J129="巻足し",J129="巻返しリード付け"),M129,VLOOKUP(D129,契約台帳!$A$3:$O$4986,15,FALSE))))</f>
        <v/>
      </c>
      <c r="T129" s="273" t="str">
        <f ca="1">IF(D129="","",IF(J129="リード付け",N129,IF(J129="巻返しリード付け",N129,IF(J129="巻足し",N129*P129+OFFSET(N129,1,0)*OFFSET(P129,1,0),VLOOKUP(D129,契約台帳!$A$3:$P$4986,16,FALSE)))))</f>
        <v/>
      </c>
      <c r="U129" s="40"/>
      <c r="V129" s="274" t="str">
        <f ca="1">IF(D129="","",IF(OFFSET(D129,-2,0)=D129,"",VLOOKUP(D129,契約台帳!$A$3:$R$4986,18,FALSE)))</f>
        <v/>
      </c>
      <c r="W129" s="269" t="str">
        <f>IF(D129="","",IF(T129="","",IF(OR(J129="巻足し",J129="巻返しリード付け"),"",IF(J129="巻返し",VLOOKUP(F129&amp;K129&amp;M129,製品マスタ!$M$5:$AD$5002,18,FALSE),IF(OR(J129="リード付け",J129="巻返しリード付け"),"原反コア",IF(J129="スリット",VLOOKUP(F129&amp;K129&amp;R129,製品マスタ!$N$5:$AD$5002,17,FALSE),""))))))</f>
        <v/>
      </c>
      <c r="X129" s="269" t="str">
        <f>IF(D129="","",IF(T129="","",IF(J129="巻足し","",IF(J129="巻返し",VLOOKUP(F129&amp;K129&amp;M129,製品マスタ!$M$5:$AE$5002,19,FALSE),IF(OR(J129="リード付け",J129="巻返しリード付け"),"",IF(J129="スリット",VLOOKUP(F129&amp;K129&amp;R129,製品マスタ!$N$5:$AE$5002,18,FALSE),""))))))</f>
        <v/>
      </c>
      <c r="Y129" s="275" t="str">
        <f>IF(D129="","",IF(T129="","",VLOOKUP(D129,契約台帳!$A$3:$Q$4986,17,FALSE)))</f>
        <v/>
      </c>
      <c r="Z129" s="269" t="str">
        <f>IF(D129="","",IF(T129="","",VLOOKUP(D129,契約台帳!$A$3:$E$4986,5,FALSE)))</f>
        <v/>
      </c>
      <c r="AA129" s="57"/>
      <c r="AB129" s="207" t="str">
        <f>IFERROR((VLOOKUP(F129&amp;K129&amp;M129,製品マスタ!$M$5:$AM$5002,27,FALSE)),"")</f>
        <v/>
      </c>
      <c r="AC129" s="33"/>
      <c r="AD129" s="189"/>
      <c r="AE129" s="54"/>
      <c r="AF129" s="55"/>
      <c r="AG129" s="43"/>
      <c r="AH129" s="47"/>
      <c r="AI129" s="30"/>
      <c r="AJ129" s="30"/>
      <c r="AK129" s="30"/>
      <c r="AL129" s="30"/>
      <c r="AM129" s="13"/>
      <c r="AN129" s="13"/>
      <c r="AO129" s="13"/>
      <c r="AP129" s="13"/>
      <c r="AQ129" s="13"/>
      <c r="AR129" s="14"/>
      <c r="AS129" s="15"/>
    </row>
    <row r="130" spans="1:45" s="17" customFormat="1" ht="30.95" hidden="1" customHeight="1" x14ac:dyDescent="0.2">
      <c r="A130" s="37" t="s">
        <v>809</v>
      </c>
      <c r="B130" s="38" t="s">
        <v>812</v>
      </c>
      <c r="C130" s="45"/>
      <c r="D130" s="31">
        <v>3694122</v>
      </c>
      <c r="E130" s="31">
        <v>4140864</v>
      </c>
      <c r="F130" s="268" t="str">
        <f>IF(D130="","",VLOOKUP(D130,契約台帳!$A$3:$K$4986,6,FALSE)&amp;VLOOKUP(D130,契約台帳!$A$3:$K$4986,7,FALSE)&amp;VLOOKUP(D130,契約台帳!$A$3:$K$4986,8,FALSE)&amp;VLOOKUP(D130,契約台帳!$A$3:$K$4986,9,FALSE)&amp;VLOOKUP(D130,契約台帳!$A$3:$K$4986,11,FALSE))</f>
        <v>3SNMCLBHLGTV</v>
      </c>
      <c r="G130" s="269" t="str">
        <f>IF(D130="","",VLOOKUP(F130,製品マスタ!$G$5:$H$5002,2,FALSE))</f>
        <v>S</v>
      </c>
      <c r="H130" s="269" t="str">
        <f>IF(D130="","",VLOOKUP(F130,製品マスタ!$G$5:$K$5002,5,FALSE))</f>
        <v>HLGTV</v>
      </c>
      <c r="I130" s="270" t="str">
        <f>IF(D130="","",VLOOKUP(F130,製品マスタ!$G$5:$L$5002,6,FALSE))</f>
        <v>メタルミー　ヘヤライン　銀艶Ｖ</v>
      </c>
      <c r="J130" s="210" t="s">
        <v>801</v>
      </c>
      <c r="K130" s="270">
        <f>IF(D130="","",VLOOKUP(D130,契約台帳!$A$3:$L$4986,12,FALSE))</f>
        <v>50</v>
      </c>
      <c r="L130" s="270" t="str">
        <f>IF(D130="","",INDEX(製品マスタ!$Q$5:$Q$5002,MATCH('S4'!F130&amp;'S4'!K130,製品マスタ!$AO$5:$AO$5002,0)))</f>
        <v>BRIGHT</v>
      </c>
      <c r="M130" s="39">
        <v>1005</v>
      </c>
      <c r="N130" s="39">
        <v>12300</v>
      </c>
      <c r="O130" s="156">
        <v>2</v>
      </c>
      <c r="P130" s="47">
        <v>3</v>
      </c>
      <c r="Q130" s="57"/>
      <c r="R130" s="271">
        <f ca="1">IF(D130="","",IF(OFFSET(D130,-1,0)&lt;&gt;"","",IF(OR(J130="リード付け",J130="巻足し",J130="巻返しリード付け"),M130,VLOOKUP(D130,契約台帳!$A$3:$N$4986,14,FALSE))))</f>
        <v>1005</v>
      </c>
      <c r="S130" s="272">
        <f ca="1">IF(D130="","",IF(OFFSET(D130,-1,0)&lt;&gt;"","",IF(OR(J130="リード付け",J130="巻足し",J130="巻返しリード付け"),M130,VLOOKUP(D130,契約台帳!$A$3:$O$4986,15,FALSE))))</f>
        <v>1000</v>
      </c>
      <c r="T130" s="273">
        <f ca="1">IF(D130="","",IF(J130="リード付け",N130,IF(J130="巻返しリード付け",N130,IF(J130="巻足し",N130*P130+OFFSET(N130,1,0)*OFFSET(P130,1,0),VLOOKUP(D130,契約台帳!$A$3:$P$4986,16,FALSE)))))</f>
        <v>4000</v>
      </c>
      <c r="U130" s="40">
        <v>6</v>
      </c>
      <c r="V130" s="274">
        <f ca="1">IF(D130="","",IF(OFFSET(D130,-2,0)=D130,"",VLOOKUP(D130,契約台帳!$A$3:$R$4986,18,FALSE)))</f>
        <v>9</v>
      </c>
      <c r="W130" s="269" t="str">
        <f ca="1">IF(D130="","",IF(T130="","",IF(OR(J130="巻足し",J130="巻返しリード付け"),"",IF(J130="巻返し",VLOOKUP(F130&amp;K130&amp;M130,製品マスタ!$M$5:$AD$5002,18,FALSE),IF(OR(J130="リード付け",J130="巻返しリード付け"),"原反コア",IF(J130="スリット",VLOOKUP(F130&amp;K130&amp;R130,製品マスタ!$N$5:$AD$5002,17,FALSE),""))))))</f>
        <v>6ｲﾝﾁSｺｱ</v>
      </c>
      <c r="X130" s="269">
        <f ca="1">IF(D130="","",IF(T130="","",IF(J130="巻足し","",IF(J130="巻返し",VLOOKUP(F130&amp;K130&amp;M130,製品マスタ!$M$5:$AE$5002,19,FALSE),IF(OR(J130="リード付け",J130="巻返しリード付け"),"",IF(J130="スリット",VLOOKUP(F130&amp;K130&amp;R130,製品マスタ!$N$5:$AE$5002,18,FALSE),""))))))</f>
        <v>1015</v>
      </c>
      <c r="Y130" s="275">
        <f ca="1">IF(D130="","",IF(T130="","",VLOOKUP(D130,契約台帳!$A$3:$Q$4986,17,FALSE)))</f>
        <v>2</v>
      </c>
      <c r="Z130" s="269" t="str">
        <f ca="1">IF(D130="","",IF(T130="","",VLOOKUP(D130,契約台帳!$A$3:$E$4986,5,FALSE)))</f>
        <v>リンテック㈱</v>
      </c>
      <c r="AA130" s="57">
        <v>44952</v>
      </c>
      <c r="AB130" s="207">
        <f>IFERROR((VLOOKUP(F130&amp;K130&amp;M130,製品マスタ!$M$5:$AM$5002,27,FALSE)),"")</f>
        <v>0</v>
      </c>
      <c r="AC130" s="33"/>
      <c r="AD130" s="189"/>
      <c r="AE130" s="54"/>
      <c r="AF130" s="55"/>
      <c r="AG130" s="43"/>
      <c r="AH130" s="47"/>
      <c r="AI130" s="30"/>
      <c r="AJ130" s="30"/>
      <c r="AK130" s="30"/>
      <c r="AL130" s="30"/>
      <c r="AM130" s="13"/>
      <c r="AN130" s="13"/>
      <c r="AO130" s="13"/>
      <c r="AP130" s="13"/>
      <c r="AQ130" s="13"/>
      <c r="AR130" s="14"/>
      <c r="AS130" s="15"/>
    </row>
    <row r="131" spans="1:45" s="17" customFormat="1" ht="30.95" hidden="1" customHeight="1" x14ac:dyDescent="0.2">
      <c r="A131" s="37"/>
      <c r="B131" s="38"/>
      <c r="C131" s="45"/>
      <c r="D131" s="31"/>
      <c r="E131" s="31"/>
      <c r="F131" s="268" t="str">
        <f>IF(D131="","",VLOOKUP(D131,契約台帳!$A$3:$K$4986,6,FALSE)&amp;VLOOKUP(D131,契約台帳!$A$3:$K$4986,7,FALSE)&amp;VLOOKUP(D131,契約台帳!$A$3:$K$4986,8,FALSE)&amp;VLOOKUP(D131,契約台帳!$A$3:$K$4986,9,FALSE)&amp;VLOOKUP(D131,契約台帳!$A$3:$K$4986,11,FALSE))</f>
        <v/>
      </c>
      <c r="G131" s="269" t="str">
        <f>IF(D131="","",VLOOKUP(F131,製品マスタ!$G$5:$H$5002,2,FALSE))</f>
        <v/>
      </c>
      <c r="H131" s="269" t="str">
        <f>IF(D131="","",VLOOKUP(F131,製品マスタ!$G$5:$K$5002,5,FALSE))</f>
        <v/>
      </c>
      <c r="I131" s="270" t="str">
        <f>IF(D131="","",VLOOKUP(F131,製品マスタ!$G$5:$L$5002,6,FALSE))</f>
        <v/>
      </c>
      <c r="J131" s="210"/>
      <c r="K131" s="270" t="str">
        <f>IF(D131="","",VLOOKUP(D131,契約台帳!$A$3:$L$4986,12,FALSE))</f>
        <v/>
      </c>
      <c r="L131" s="270" t="str">
        <f>IF(D131="","",INDEX(製品マスタ!$Q$5:$Q$5002,MATCH('S4'!F131&amp;'S4'!K131,製品マスタ!$AO$5:$AO$5002,0)))</f>
        <v/>
      </c>
      <c r="M131" s="39"/>
      <c r="N131" s="39"/>
      <c r="O131" s="156"/>
      <c r="P131" s="47"/>
      <c r="Q131" s="57"/>
      <c r="R131" s="271" t="str">
        <f ca="1">IF(D131="","",IF(OFFSET(D131,-1,0)&lt;&gt;"","",IF(OR(J131="リード付け",J131="巻足し",J131="巻返しリード付け"),M131,VLOOKUP(D131,契約台帳!$A$3:$N$4986,14,FALSE))))</f>
        <v/>
      </c>
      <c r="S131" s="272" t="str">
        <f ca="1">IF(D131="","",IF(OFFSET(D131,-1,0)&lt;&gt;"","",IF(OR(J131="リード付け",J131="巻足し",J131="巻返しリード付け"),M131,VLOOKUP(D131,契約台帳!$A$3:$O$4986,15,FALSE))))</f>
        <v/>
      </c>
      <c r="T131" s="273" t="str">
        <f ca="1">IF(D131="","",IF(J131="リード付け",N131,IF(J131="巻返しリード付け",N131,IF(J131="巻足し",N131*P131+OFFSET(N131,1,0)*OFFSET(P131,1,0),VLOOKUP(D131,契約台帳!$A$3:$P$4986,16,FALSE)))))</f>
        <v/>
      </c>
      <c r="U131" s="40"/>
      <c r="V131" s="274" t="str">
        <f ca="1">IF(D131="","",IF(OFFSET(D131,-2,0)=D131,"",VLOOKUP(D131,契約台帳!$A$3:$R$4986,18,FALSE)))</f>
        <v/>
      </c>
      <c r="W131" s="269" t="str">
        <f>IF(D131="","",IF(T131="","",IF(OR(J131="巻足し",J131="巻返しリード付け"),"",IF(J131="巻返し",VLOOKUP(F131&amp;K131&amp;M131,製品マスタ!$M$5:$AD$5002,18,FALSE),IF(OR(J131="リード付け",J131="巻返しリード付け"),"原反コア",IF(J131="スリット",VLOOKUP(F131&amp;K131&amp;R131,製品マスタ!$N$5:$AD$5002,17,FALSE),""))))))</f>
        <v/>
      </c>
      <c r="X131" s="269" t="str">
        <f>IF(D131="","",IF(T131="","",IF(J131="巻足し","",IF(J131="巻返し",VLOOKUP(F131&amp;K131&amp;M131,製品マスタ!$M$5:$AE$5002,19,FALSE),IF(OR(J131="リード付け",J131="巻返しリード付け"),"",IF(J131="スリット",VLOOKUP(F131&amp;K131&amp;R131,製品マスタ!$N$5:$AE$5002,18,FALSE),""))))))</f>
        <v/>
      </c>
      <c r="Y131" s="275" t="str">
        <f>IF(D131="","",IF(T131="","",VLOOKUP(D131,契約台帳!$A$3:$Q$4986,17,FALSE)))</f>
        <v/>
      </c>
      <c r="Z131" s="269" t="str">
        <f>IF(D131="","",IF(T131="","",VLOOKUP(D131,契約台帳!$A$3:$E$4986,5,FALSE)))</f>
        <v/>
      </c>
      <c r="AA131" s="57"/>
      <c r="AB131" s="207" t="str">
        <f>IFERROR((VLOOKUP(F131&amp;K131&amp;M131,製品マスタ!$M$5:$AM$5002,27,FALSE)),"")</f>
        <v/>
      </c>
      <c r="AC131" s="33"/>
      <c r="AD131" s="189"/>
      <c r="AE131" s="54"/>
      <c r="AF131" s="55"/>
      <c r="AG131" s="43"/>
      <c r="AH131" s="47"/>
      <c r="AI131" s="30"/>
      <c r="AJ131" s="30"/>
      <c r="AK131" s="30"/>
      <c r="AL131" s="30"/>
      <c r="AM131" s="13"/>
      <c r="AN131" s="13"/>
      <c r="AO131" s="13"/>
      <c r="AP131" s="13"/>
      <c r="AQ131" s="13"/>
      <c r="AR131" s="14"/>
      <c r="AS131" s="15"/>
    </row>
    <row r="132" spans="1:45" s="17" customFormat="1" ht="30.95" hidden="1" customHeight="1" x14ac:dyDescent="0.2">
      <c r="A132" s="37"/>
      <c r="B132" s="38"/>
      <c r="C132" s="45"/>
      <c r="D132" s="31">
        <v>3694127</v>
      </c>
      <c r="E132" s="31">
        <v>4151263</v>
      </c>
      <c r="F132" s="268" t="str">
        <f>IF(D132="","",VLOOKUP(D132,契約台帳!$A$3:$K$4986,6,FALSE)&amp;VLOOKUP(D132,契約台帳!$A$3:$K$4986,7,FALSE)&amp;VLOOKUP(D132,契約台帳!$A$3:$K$4986,8,FALSE)&amp;VLOOKUP(D132,契約台帳!$A$3:$K$4986,9,FALSE)&amp;VLOOKUP(D132,契約台帳!$A$3:$K$4986,11,FALSE))</f>
        <v>3SYMLBMSNMBF</v>
      </c>
      <c r="G132" s="269" t="str">
        <f>IF(D132="","",VLOOKUP(F132,製品マスタ!$G$5:$H$5002,2,FALSE))</f>
        <v>S</v>
      </c>
      <c r="H132" s="269" t="str">
        <f>IF(D132="","",VLOOKUP(F132,製品マスタ!$G$5:$K$5002,5,FALSE))</f>
        <v>MSNMBF</v>
      </c>
      <c r="I132" s="270" t="str">
        <f>IF(D132="","",VLOOKUP(F132,製品マスタ!$G$5:$L$5002,6,FALSE))</f>
        <v>ＭＥＴＡＬＵＭＹ　ＳＩＬＶＥＲ　Ｎ－ＭＡＴＴＥ　Ｘ４４Ｍ　Ｂ</v>
      </c>
      <c r="J132" s="210" t="s">
        <v>801</v>
      </c>
      <c r="K132" s="270">
        <f>IF(D132="","",VLOOKUP(D132,契約台帳!$A$3:$L$4986,12,FALSE))</f>
        <v>50</v>
      </c>
      <c r="L132" s="270" t="str">
        <f>IF(D132="","",INDEX(製品マスタ!$Q$5:$Q$5002,MATCH('S4'!F132&amp;'S4'!K132,製品マスタ!$AO$5:$AO$5002,0)))</f>
        <v>X44</v>
      </c>
      <c r="M132" s="39">
        <v>1120</v>
      </c>
      <c r="N132" s="39">
        <v>8000</v>
      </c>
      <c r="O132" s="156">
        <v>2</v>
      </c>
      <c r="P132" s="47">
        <v>2</v>
      </c>
      <c r="Q132" s="213">
        <v>44948</v>
      </c>
      <c r="R132" s="271">
        <f ca="1">IF(D132="","",IF(OFFSET(D132,-1,0)&lt;&gt;"","",IF(OR(J132="リード付け",J132="巻足し",J132="巻返しリード付け"),M132,VLOOKUP(D132,契約台帳!$A$3:$N$4986,14,FALSE))))</f>
        <v>1120</v>
      </c>
      <c r="S132" s="272">
        <f ca="1">IF(D132="","",IF(OFFSET(D132,-1,0)&lt;&gt;"","",IF(OR(J132="リード付け",J132="巻足し",J132="巻返しリード付け"),M132,VLOOKUP(D132,契約台帳!$A$3:$O$4986,15,FALSE))))</f>
        <v>1120</v>
      </c>
      <c r="T132" s="273">
        <f ca="1">IF(D132="","",IF(J132="リード付け",N132,IF(J132="巻返しリード付け",N132,IF(J132="巻足し",N132*P132+OFFSET(N132,1,0)*OFFSET(P132,1,0),VLOOKUP(D132,契約台帳!$A$3:$P$4986,16,FALSE)))))</f>
        <v>4000</v>
      </c>
      <c r="U132" s="40">
        <v>4</v>
      </c>
      <c r="V132" s="274">
        <f ca="1">IF(D132="","",IF(OFFSET(D132,-2,0)=D132,"",VLOOKUP(D132,契約台帳!$A$3:$R$4986,18,FALSE)))</f>
        <v>4</v>
      </c>
      <c r="W132" s="269" t="str">
        <f ca="1">IF(D132="","",IF(T132="","",IF(OR(J132="巻足し",J132="巻返しリード付け"),"",IF(J132="巻返し",VLOOKUP(F132&amp;K132&amp;M132,製品マスタ!$M$5:$AD$5002,18,FALSE),IF(OR(J132="リード付け",J132="巻返しリード付け"),"原反コア",IF(J132="スリット",VLOOKUP(F132&amp;K132&amp;R132,製品マスタ!$N$5:$AD$5002,17,FALSE),""))))))</f>
        <v>6ｲﾝﾁMｺｱ</v>
      </c>
      <c r="X132" s="269">
        <f ca="1">IF(D132="","",IF(T132="","",IF(J132="巻足し","",IF(J132="巻返し",VLOOKUP(F132&amp;K132&amp;M132,製品マスタ!$M$5:$AE$5002,19,FALSE),IF(OR(J132="リード付け",J132="巻返しリード付け"),"",IF(J132="スリット",VLOOKUP(F132&amp;K132&amp;R132,製品マスタ!$N$5:$AE$5002,18,FALSE),""))))))</f>
        <v>1125</v>
      </c>
      <c r="Y132" s="275">
        <f ca="1">IF(D132="","",IF(T132="","",VLOOKUP(D132,契約台帳!$A$3:$Q$4986,17,FALSE)))</f>
        <v>2</v>
      </c>
      <c r="Z132" s="269" t="str">
        <f ca="1">IF(D132="","",IF(T132="","",VLOOKUP(D132,契約台帳!$A$3:$E$4986,5,FALSE)))</f>
        <v>リンテック㈱</v>
      </c>
      <c r="AA132" s="57">
        <v>44952</v>
      </c>
      <c r="AB132" s="207" t="s">
        <v>814</v>
      </c>
      <c r="AC132" s="33"/>
      <c r="AD132" s="189"/>
      <c r="AE132" s="54" t="str">
        <f>IF(F132="","",+F132&amp;K132)</f>
        <v>3SYMLBMSNMBF50</v>
      </c>
      <c r="AF132" s="55">
        <f>+M132*N132*O132/1000</f>
        <v>17920</v>
      </c>
      <c r="AG132" s="43"/>
      <c r="AH132" s="47">
        <f>IF(AE132="","",VLOOKUP(AE132,原価マスタ!$A$2:$AJ$1693,13,FALSE))</f>
        <v>98.8</v>
      </c>
      <c r="AI132" s="214">
        <f>IF(AH132="","",+AF132*AH132/100)</f>
        <v>17704.96</v>
      </c>
      <c r="AJ132" s="30"/>
      <c r="AK132" s="30"/>
      <c r="AL132" s="30"/>
      <c r="AM132" s="13"/>
      <c r="AN132" s="13"/>
      <c r="AO132" s="13"/>
      <c r="AP132" s="13"/>
      <c r="AQ132" s="13"/>
      <c r="AR132" s="14"/>
      <c r="AS132" s="15"/>
    </row>
    <row r="133" spans="1:45" s="17" customFormat="1" ht="30.95" hidden="1" customHeight="1" x14ac:dyDescent="0.2">
      <c r="A133" s="37"/>
      <c r="B133" s="38"/>
      <c r="C133" s="45"/>
      <c r="D133" s="31"/>
      <c r="E133" s="31"/>
      <c r="F133" s="268" t="str">
        <f>IF(D133="","",VLOOKUP(D133,契約台帳!$A$3:$K$4986,6,FALSE)&amp;VLOOKUP(D133,契約台帳!$A$3:$K$4986,7,FALSE)&amp;VLOOKUP(D133,契約台帳!$A$3:$K$4986,8,FALSE)&amp;VLOOKUP(D133,契約台帳!$A$3:$K$4986,9,FALSE)&amp;VLOOKUP(D133,契約台帳!$A$3:$K$4986,11,FALSE))</f>
        <v/>
      </c>
      <c r="G133" s="269" t="str">
        <f>IF(D133="","",VLOOKUP(F133,製品マスタ!$G$5:$H$5002,2,FALSE))</f>
        <v/>
      </c>
      <c r="H133" s="269" t="str">
        <f>IF(D133="","",VLOOKUP(F133,製品マスタ!$G$5:$K$5002,5,FALSE))</f>
        <v/>
      </c>
      <c r="I133" s="270" t="str">
        <f>IF(D133="","",VLOOKUP(F133,製品マスタ!$G$5:$L$5002,6,FALSE))</f>
        <v/>
      </c>
      <c r="J133" s="210"/>
      <c r="K133" s="270" t="str">
        <f>IF(D133="","",VLOOKUP(D133,契約台帳!$A$3:$L$4986,12,FALSE))</f>
        <v/>
      </c>
      <c r="L133" s="270" t="str">
        <f>IF(D133="","",INDEX(製品マスタ!$Q$5:$Q$5002,MATCH('S4'!F133&amp;'S4'!K133,製品マスタ!$AO$5:$AO$5002,0)))</f>
        <v/>
      </c>
      <c r="M133" s="39"/>
      <c r="N133" s="39"/>
      <c r="O133" s="156"/>
      <c r="P133" s="47"/>
      <c r="Q133" s="57"/>
      <c r="R133" s="271" t="str">
        <f ca="1">IF(D133="","",IF(OFFSET(D133,-1,0)&lt;&gt;"","",IF(OR(J133="リード付け",J133="巻足し",J133="巻返しリード付け"),M133,VLOOKUP(D133,契約台帳!$A$3:$N$4986,14,FALSE))))</f>
        <v/>
      </c>
      <c r="S133" s="272" t="str">
        <f ca="1">IF(D133="","",IF(OFFSET(D133,-1,0)&lt;&gt;"","",IF(OR(J133="リード付け",J133="巻足し",J133="巻返しリード付け"),M133,VLOOKUP(D133,契約台帳!$A$3:$O$4986,15,FALSE))))</f>
        <v/>
      </c>
      <c r="T133" s="273" t="str">
        <f ca="1">IF(D133="","",IF(J133="リード付け",N133,IF(J133="巻返しリード付け",N133,IF(J133="巻足し",N133*P133+OFFSET(N133,1,0)*OFFSET(P133,1,0),VLOOKUP(D133,契約台帳!$A$3:$P$4986,16,FALSE)))))</f>
        <v/>
      </c>
      <c r="U133" s="40"/>
      <c r="V133" s="274" t="str">
        <f ca="1">IF(D133="","",IF(OFFSET(D133,-2,0)=D133,"",VLOOKUP(D133,契約台帳!$A$3:$R$4986,18,FALSE)))</f>
        <v/>
      </c>
      <c r="W133" s="269" t="str">
        <f>IF(D133="","",IF(T133="","",IF(OR(J133="巻足し",J133="巻返しリード付け"),"",IF(J133="巻返し",VLOOKUP(F133&amp;K133&amp;M133,製品マスタ!$M$5:$AD$5002,18,FALSE),IF(OR(J133="リード付け",J133="巻返しリード付け"),"原反コア",IF(J133="スリット",VLOOKUP(F133&amp;K133&amp;R133,製品マスタ!$N$5:$AD$5002,17,FALSE),""))))))</f>
        <v/>
      </c>
      <c r="X133" s="269" t="str">
        <f>IF(D133="","",IF(T133="","",IF(J133="巻足し","",IF(J133="巻返し",VLOOKUP(F133&amp;K133&amp;M133,製品マスタ!$M$5:$AE$5002,19,FALSE),IF(OR(J133="リード付け",J133="巻返しリード付け"),"",IF(J133="スリット",VLOOKUP(F133&amp;K133&amp;R133,製品マスタ!$N$5:$AE$5002,18,FALSE),""))))))</f>
        <v/>
      </c>
      <c r="Y133" s="275" t="str">
        <f>IF(D133="","",IF(T133="","",VLOOKUP(D133,契約台帳!$A$3:$Q$4986,17,FALSE)))</f>
        <v/>
      </c>
      <c r="Z133" s="269" t="str">
        <f>IF(D133="","",IF(T133="","",VLOOKUP(D133,契約台帳!$A$3:$E$4986,5,FALSE)))</f>
        <v/>
      </c>
      <c r="AA133" s="57"/>
      <c r="AB133" s="207" t="str">
        <f>IFERROR((VLOOKUP(F133&amp;K133&amp;M133,製品マスタ!$M$5:$AM$5002,27,FALSE)),"")</f>
        <v/>
      </c>
      <c r="AC133" s="33"/>
      <c r="AD133" s="189"/>
      <c r="AE133" s="54"/>
      <c r="AF133" s="55"/>
      <c r="AG133" s="43"/>
      <c r="AH133" s="47"/>
      <c r="AI133" s="214"/>
      <c r="AJ133" s="30"/>
      <c r="AK133" s="30"/>
      <c r="AL133" s="30"/>
      <c r="AM133" s="13"/>
      <c r="AN133" s="13"/>
      <c r="AO133" s="13"/>
      <c r="AP133" s="13"/>
      <c r="AQ133" s="13"/>
      <c r="AR133" s="14"/>
      <c r="AS133" s="15"/>
    </row>
    <row r="134" spans="1:45" s="17" customFormat="1" ht="30.95" hidden="1" customHeight="1" x14ac:dyDescent="0.2">
      <c r="A134" s="37"/>
      <c r="B134" s="38"/>
      <c r="C134" s="45"/>
      <c r="D134" s="31">
        <v>3694126</v>
      </c>
      <c r="E134" s="31">
        <v>4151264</v>
      </c>
      <c r="F134" s="268" t="str">
        <f>IF(D134="","",VLOOKUP(D134,契約台帳!$A$3:$K$4986,6,FALSE)&amp;VLOOKUP(D134,契約台帳!$A$3:$K$4986,7,FALSE)&amp;VLOOKUP(D134,契約台帳!$A$3:$K$4986,8,FALSE)&amp;VLOOKUP(D134,契約台帳!$A$3:$K$4986,9,FALSE)&amp;VLOOKUP(D134,契約台帳!$A$3:$K$4986,11,FALSE))</f>
        <v>3SYMLBMSSMBF</v>
      </c>
      <c r="G134" s="269" t="str">
        <f>IF(D134="","",VLOOKUP(F134,製品マスタ!$G$5:$H$5002,2,FALSE))</f>
        <v>S</v>
      </c>
      <c r="H134" s="269" t="str">
        <f>IF(D134="","",VLOOKUP(F134,製品マスタ!$G$5:$K$5002,5,FALSE))</f>
        <v>MSSMBF</v>
      </c>
      <c r="I134" s="270" t="str">
        <f>IF(D134="","",VLOOKUP(F134,製品マスタ!$G$5:$L$5002,6,FALSE))</f>
        <v>ＭＥＴＡＬＵＭＹ　ＳＩＬＶＥＲ　Ｓ－ＭＡＴＴＥ　Ｓ２８ＭＭ　Ｂ</v>
      </c>
      <c r="J134" s="210" t="s">
        <v>801</v>
      </c>
      <c r="K134" s="270">
        <f>IF(D134="","",VLOOKUP(D134,契約台帳!$A$3:$L$4986,12,FALSE))</f>
        <v>50</v>
      </c>
      <c r="L134" s="270" t="e">
        <f>IF(D134="","",INDEX(製品マスタ!$Q$5:$Q$5002,MATCH('S4'!F134&amp;'S4'!K134,製品マスタ!$AO$5:$AO$5002,0)))</f>
        <v>#N/A</v>
      </c>
      <c r="M134" s="39">
        <v>1120</v>
      </c>
      <c r="N134" s="39">
        <v>8000</v>
      </c>
      <c r="O134" s="156">
        <v>2</v>
      </c>
      <c r="P134" s="47">
        <v>2</v>
      </c>
      <c r="Q134" s="213">
        <v>44949</v>
      </c>
      <c r="R134" s="271">
        <f ca="1">IF(D134="","",IF(OFFSET(D134,-1,0)&lt;&gt;"","",IF(OR(J134="リード付け",J134="巻足し",J134="巻返しリード付け"),M134,VLOOKUP(D134,契約台帳!$A$3:$N$4986,14,FALSE))))</f>
        <v>1120</v>
      </c>
      <c r="S134" s="272">
        <f ca="1">IF(D134="","",IF(OFFSET(D134,-1,0)&lt;&gt;"","",IF(OR(J134="リード付け",J134="巻足し",J134="巻返しリード付け"),M134,VLOOKUP(D134,契約台帳!$A$3:$O$4986,15,FALSE))))</f>
        <v>1120</v>
      </c>
      <c r="T134" s="273">
        <f ca="1">IF(D134="","",IF(J134="リード付け",N134,IF(J134="巻返しリード付け",N134,IF(J134="巻足し",N134*P134+OFFSET(N134,1,0)*OFFSET(P134,1,0),VLOOKUP(D134,契約台帳!$A$3:$P$4986,16,FALSE)))))</f>
        <v>4000</v>
      </c>
      <c r="U134" s="40">
        <v>4</v>
      </c>
      <c r="V134" s="274">
        <f ca="1">IF(D134="","",IF(OFFSET(D134,-2,0)=D134,"",VLOOKUP(D134,契約台帳!$A$3:$R$4986,18,FALSE)))</f>
        <v>4</v>
      </c>
      <c r="W134" s="269" t="e">
        <f ca="1">IF(D134="","",IF(T134="","",IF(OR(J134="巻足し",J134="巻返しリード付け"),"",IF(J134="巻返し",VLOOKUP(F134&amp;K134&amp;M134,製品マスタ!$M$5:$AD$5002,18,FALSE),IF(OR(J134="リード付け",J134="巻返しリード付け"),"原反コア",IF(J134="スリット",VLOOKUP(F134&amp;K134&amp;R134,製品マスタ!$N$5:$AD$5002,17,FALSE),""))))))</f>
        <v>#N/A</v>
      </c>
      <c r="X134" s="269" t="e">
        <f ca="1">IF(D134="","",IF(T134="","",IF(J134="巻足し","",IF(J134="巻返し",VLOOKUP(F134&amp;K134&amp;M134,製品マスタ!$M$5:$AE$5002,19,FALSE),IF(OR(J134="リード付け",J134="巻返しリード付け"),"",IF(J134="スリット",VLOOKUP(F134&amp;K134&amp;R134,製品マスタ!$N$5:$AE$5002,18,FALSE),""))))))</f>
        <v>#N/A</v>
      </c>
      <c r="Y134" s="275">
        <f ca="1">IF(D134="","",IF(T134="","",VLOOKUP(D134,契約台帳!$A$3:$Q$4986,17,FALSE)))</f>
        <v>2</v>
      </c>
      <c r="Z134" s="269" t="str">
        <f ca="1">IF(D134="","",IF(T134="","",VLOOKUP(D134,契約台帳!$A$3:$E$4986,5,FALSE)))</f>
        <v>リンテック㈱</v>
      </c>
      <c r="AA134" s="57">
        <v>44952</v>
      </c>
      <c r="AB134" s="207" t="s">
        <v>814</v>
      </c>
      <c r="AC134" s="33"/>
      <c r="AD134" s="189"/>
      <c r="AE134" s="54" t="str">
        <f>IF(F134="","",+F134&amp;K134)</f>
        <v>3SYMLBMSSMBF50</v>
      </c>
      <c r="AF134" s="55">
        <f>+M134*N134*O134/1000</f>
        <v>17920</v>
      </c>
      <c r="AG134" s="43"/>
      <c r="AH134" s="47">
        <f>IF(AE134="","",VLOOKUP(AE134,原価マスタ!$A$2:$AJ$1693,13,FALSE))</f>
        <v>98</v>
      </c>
      <c r="AI134" s="214">
        <f>IF(AH134="","",+AF134*AH134/100)</f>
        <v>17561.599999999999</v>
      </c>
      <c r="AJ134" s="30"/>
      <c r="AK134" s="30"/>
      <c r="AL134" s="30"/>
      <c r="AM134" s="13"/>
      <c r="AN134" s="13"/>
      <c r="AO134" s="13"/>
      <c r="AP134" s="13"/>
      <c r="AQ134" s="13"/>
      <c r="AR134" s="14"/>
      <c r="AS134" s="15"/>
    </row>
    <row r="135" spans="1:45" s="17" customFormat="1" ht="30.95" hidden="1" customHeight="1" x14ac:dyDescent="0.2">
      <c r="A135" s="37"/>
      <c r="B135" s="38"/>
      <c r="C135" s="45"/>
      <c r="D135" s="31"/>
      <c r="E135" s="31"/>
      <c r="F135" s="268" t="str">
        <f>IF(D135="","",VLOOKUP(D135,契約台帳!$A$3:$K$4986,6,FALSE)&amp;VLOOKUP(D135,契約台帳!$A$3:$K$4986,7,FALSE)&amp;VLOOKUP(D135,契約台帳!$A$3:$K$4986,8,FALSE)&amp;VLOOKUP(D135,契約台帳!$A$3:$K$4986,9,FALSE)&amp;VLOOKUP(D135,契約台帳!$A$3:$K$4986,11,FALSE))</f>
        <v/>
      </c>
      <c r="G135" s="269" t="str">
        <f>IF(D135="","",VLOOKUP(F135,製品マスタ!$G$5:$H$5002,2,FALSE))</f>
        <v/>
      </c>
      <c r="H135" s="269" t="str">
        <f>IF(D135="","",VLOOKUP(F135,製品マスタ!$G$5:$K$5002,5,FALSE))</f>
        <v/>
      </c>
      <c r="I135" s="270" t="str">
        <f>IF(D135="","",VLOOKUP(F135,製品マスタ!$G$5:$L$5002,6,FALSE))</f>
        <v/>
      </c>
      <c r="J135" s="210"/>
      <c r="K135" s="270" t="str">
        <f>IF(D135="","",VLOOKUP(D135,契約台帳!$A$3:$L$4986,12,FALSE))</f>
        <v/>
      </c>
      <c r="L135" s="270" t="str">
        <f>IF(D135="","",INDEX(製品マスタ!$Q$5:$Q$5002,MATCH('S4'!F135&amp;'S4'!K135,製品マスタ!$AO$5:$AO$5002,0)))</f>
        <v/>
      </c>
      <c r="M135" s="39"/>
      <c r="N135" s="39"/>
      <c r="O135" s="156"/>
      <c r="P135" s="47"/>
      <c r="Q135" s="57"/>
      <c r="R135" s="271" t="str">
        <f ca="1">IF(D135="","",IF(OFFSET(D135,-1,0)&lt;&gt;"","",IF(OR(J135="リード付け",J135="巻足し",J135="巻返しリード付け"),M135,VLOOKUP(D135,契約台帳!$A$3:$N$4986,14,FALSE))))</f>
        <v/>
      </c>
      <c r="S135" s="272" t="str">
        <f ca="1">IF(D135="","",IF(OFFSET(D135,-1,0)&lt;&gt;"","",IF(OR(J135="リード付け",J135="巻足し",J135="巻返しリード付け"),M135,VLOOKUP(D135,契約台帳!$A$3:$O$4986,15,FALSE))))</f>
        <v/>
      </c>
      <c r="T135" s="273" t="str">
        <f ca="1">IF(D135="","",IF(J135="リード付け",N135,IF(J135="巻返しリード付け",N135,IF(J135="巻足し",N135*P135+OFFSET(N135,1,0)*OFFSET(P135,1,0),VLOOKUP(D135,契約台帳!$A$3:$P$4986,16,FALSE)))))</f>
        <v/>
      </c>
      <c r="U135" s="40"/>
      <c r="V135" s="274" t="str">
        <f ca="1">IF(D135="","",IF(OFFSET(D135,-2,0)=D135,"",VLOOKUP(D135,契約台帳!$A$3:$R$4986,18,FALSE)))</f>
        <v/>
      </c>
      <c r="W135" s="269" t="str">
        <f>IF(D135="","",IF(T135="","",IF(OR(J135="巻足し",J135="巻返しリード付け"),"",IF(J135="巻返し",VLOOKUP(F135&amp;K135&amp;M135,製品マスタ!$M$5:$AD$5002,18,FALSE),IF(OR(J135="リード付け",J135="巻返しリード付け"),"原反コア",IF(J135="スリット",VLOOKUP(F135&amp;K135&amp;R135,製品マスタ!$N$5:$AD$5002,17,FALSE),""))))))</f>
        <v/>
      </c>
      <c r="X135" s="269" t="str">
        <f>IF(D135="","",IF(T135="","",IF(J135="巻足し","",IF(J135="巻返し",VLOOKUP(F135&amp;K135&amp;M135,製品マスタ!$M$5:$AE$5002,19,FALSE),IF(OR(J135="リード付け",J135="巻返しリード付け"),"",IF(J135="スリット",VLOOKUP(F135&amp;K135&amp;R135,製品マスタ!$N$5:$AE$5002,18,FALSE),""))))))</f>
        <v/>
      </c>
      <c r="Y135" s="275" t="str">
        <f>IF(D135="","",IF(T135="","",VLOOKUP(D135,契約台帳!$A$3:$Q$4986,17,FALSE)))</f>
        <v/>
      </c>
      <c r="Z135" s="269" t="str">
        <f>IF(D135="","",IF(T135="","",VLOOKUP(D135,契約台帳!$A$3:$E$4986,5,FALSE)))</f>
        <v/>
      </c>
      <c r="AA135" s="57"/>
      <c r="AB135" s="207" t="str">
        <f>IFERROR((VLOOKUP(F135&amp;K135&amp;M135,製品マスタ!$M$5:$AM$5002,27,FALSE)),"")</f>
        <v/>
      </c>
      <c r="AC135" s="33"/>
      <c r="AD135" s="189"/>
      <c r="AE135" s="54"/>
      <c r="AF135" s="55"/>
      <c r="AG135" s="43"/>
      <c r="AH135" s="47"/>
      <c r="AI135" s="214"/>
      <c r="AJ135" s="30"/>
      <c r="AK135" s="30"/>
      <c r="AL135" s="30"/>
      <c r="AM135" s="13"/>
      <c r="AN135" s="13"/>
      <c r="AO135" s="13"/>
      <c r="AP135" s="13"/>
      <c r="AQ135" s="13"/>
      <c r="AR135" s="14"/>
      <c r="AS135" s="15"/>
    </row>
    <row r="136" spans="1:45" s="17" customFormat="1" ht="30.95" hidden="1" customHeight="1" x14ac:dyDescent="0.2">
      <c r="A136" s="37" t="s">
        <v>815</v>
      </c>
      <c r="B136" s="38" t="s">
        <v>816</v>
      </c>
      <c r="C136" s="45"/>
      <c r="D136" s="31">
        <v>3694125</v>
      </c>
      <c r="E136" s="31">
        <v>4151265</v>
      </c>
      <c r="F136" s="268" t="str">
        <f>IF(D136="","",VLOOKUP(D136,契約台帳!$A$3:$K$4986,6,FALSE)&amp;VLOOKUP(D136,契約台帳!$A$3:$K$4986,7,FALSE)&amp;VLOOKUP(D136,契約台帳!$A$3:$K$4986,8,FALSE)&amp;VLOOKUP(D136,契約台帳!$A$3:$K$4986,9,FALSE)&amp;VLOOKUP(D136,契約台帳!$A$3:$K$4986,11,FALSE))</f>
        <v>3SYMLBMSSMBZF</v>
      </c>
      <c r="G136" s="269" t="str">
        <f>IF(D136="","",VLOOKUP(F136,製品マスタ!$G$5:$H$5002,2,FALSE))</f>
        <v>S</v>
      </c>
      <c r="H136" s="269" t="str">
        <f>IF(D136="","",VLOOKUP(F136,製品マスタ!$G$5:$K$5002,5,FALSE))</f>
        <v>MSSMBZF</v>
      </c>
      <c r="I136" s="270" t="str">
        <f>IF(D136="","",VLOOKUP(F136,製品マスタ!$G$5:$L$5002,6,FALSE))</f>
        <v>ＭＥＴＡＬＵＭＹ　ＳＩＬＶＥＲ　Ｓ－ＭＡＴＴＥ　Ｂ</v>
      </c>
      <c r="J136" s="210" t="s">
        <v>801</v>
      </c>
      <c r="K136" s="270">
        <f>IF(D136="","",VLOOKUP(D136,契約台帳!$A$3:$L$4986,12,FALSE))</f>
        <v>50</v>
      </c>
      <c r="L136" s="270" t="str">
        <f>IF(D136="","",INDEX(製品マスタ!$Q$5:$Q$5002,MATCH('S4'!F136&amp;'S4'!K136,製品マスタ!$AO$5:$AO$5002,0)))</f>
        <v>LI-MAT</v>
      </c>
      <c r="M136" s="39">
        <v>1120</v>
      </c>
      <c r="N136" s="39">
        <v>8000</v>
      </c>
      <c r="O136" s="156">
        <v>1</v>
      </c>
      <c r="P136" s="47">
        <v>2</v>
      </c>
      <c r="Q136" s="213">
        <v>44949</v>
      </c>
      <c r="R136" s="271">
        <f ca="1">IF(D136="","",IF(OFFSET(D136,-1,0)&lt;&gt;"","",IF(OR(J136="リード付け",J136="巻足し",J136="巻返しリード付け"),M136,VLOOKUP(D136,契約台帳!$A$3:$N$4986,14,FALSE))))</f>
        <v>1120</v>
      </c>
      <c r="S136" s="272">
        <f ca="1">IF(D136="","",IF(OFFSET(D136,-1,0)&lt;&gt;"","",IF(OR(J136="リード付け",J136="巻足し",J136="巻返しリード付け"),M136,VLOOKUP(D136,契約台帳!$A$3:$O$4986,15,FALSE))))</f>
        <v>1120</v>
      </c>
      <c r="T136" s="273">
        <f ca="1">IF(D136="","",IF(J136="リード付け",N136,IF(J136="巻返しリード付け",N136,IF(J136="巻足し",N136*P136+OFFSET(N136,1,0)*OFFSET(P136,1,0),VLOOKUP(D136,契約台帳!$A$3:$P$4986,16,FALSE)))))</f>
        <v>4000</v>
      </c>
      <c r="U136" s="40">
        <v>2</v>
      </c>
      <c r="V136" s="274">
        <f ca="1">IF(D136="","",IF(OFFSET(D136,-2,0)=D136,"",VLOOKUP(D136,契約台帳!$A$3:$R$4986,18,FALSE)))</f>
        <v>2</v>
      </c>
      <c r="W136" s="269" t="str">
        <f ca="1">IF(D136="","",IF(T136="","",IF(OR(J136="巻足し",J136="巻返しリード付け"),"",IF(J136="巻返し",VLOOKUP(F136&amp;K136&amp;M136,製品マスタ!$M$5:$AD$5002,18,FALSE),IF(OR(J136="リード付け",J136="巻返しリード付け"),"原反コア",IF(J136="スリット",VLOOKUP(F136&amp;K136&amp;R136,製品マスタ!$N$5:$AD$5002,17,FALSE),""))))))</f>
        <v>6ｲﾝﾁSｺｱ</v>
      </c>
      <c r="X136" s="269">
        <f ca="1">IF(D136="","",IF(T136="","",IF(J136="巻足し","",IF(J136="巻返し",VLOOKUP(F136&amp;K136&amp;M136,製品マスタ!$M$5:$AE$5002,19,FALSE),IF(OR(J136="リード付け",J136="巻返しリード付け"),"",IF(J136="スリット",VLOOKUP(F136&amp;K136&amp;R136,製品マスタ!$N$5:$AE$5002,18,FALSE),""))))))</f>
        <v>1125</v>
      </c>
      <c r="Y136" s="275">
        <f ca="1">IF(D136="","",IF(T136="","",VLOOKUP(D136,契約台帳!$A$3:$Q$4986,17,FALSE)))</f>
        <v>2</v>
      </c>
      <c r="Z136" s="269" t="str">
        <f ca="1">IF(D136="","",IF(T136="","",VLOOKUP(D136,契約台帳!$A$3:$E$4986,5,FALSE)))</f>
        <v>リンテック㈱</v>
      </c>
      <c r="AA136" s="57">
        <v>44953</v>
      </c>
      <c r="AB136" s="207" t="s">
        <v>814</v>
      </c>
      <c r="AC136" s="33"/>
      <c r="AD136" s="189"/>
      <c r="AE136" s="54" t="s">
        <v>825</v>
      </c>
      <c r="AF136" s="55">
        <f>+M136*N136*O136/1000</f>
        <v>8960</v>
      </c>
      <c r="AG136" s="43"/>
      <c r="AH136" s="47">
        <f>IF(AE136="","",VLOOKUP(AE136,原価マスタ!$A$2:$AJ$1693,13,FALSE))</f>
        <v>98.8</v>
      </c>
      <c r="AI136" s="214">
        <f>IF(AH136="","",+AF136*AH136/100)</f>
        <v>8852.48</v>
      </c>
      <c r="AJ136" s="30"/>
      <c r="AK136" s="30"/>
      <c r="AL136" s="30"/>
      <c r="AM136" s="13"/>
      <c r="AN136" s="13"/>
      <c r="AO136" s="13"/>
      <c r="AP136" s="13"/>
      <c r="AQ136" s="13"/>
      <c r="AR136" s="14"/>
      <c r="AS136" s="15"/>
    </row>
    <row r="137" spans="1:45" s="17" customFormat="1" ht="30.95" hidden="1" customHeight="1" x14ac:dyDescent="0.2">
      <c r="A137" s="37"/>
      <c r="B137" s="38"/>
      <c r="C137" s="45"/>
      <c r="D137" s="31"/>
      <c r="E137" s="31"/>
      <c r="F137" s="268" t="str">
        <f>IF(D137="","",VLOOKUP(D137,契約台帳!$A$3:$K$4986,6,FALSE)&amp;VLOOKUP(D137,契約台帳!$A$3:$K$4986,7,FALSE)&amp;VLOOKUP(D137,契約台帳!$A$3:$K$4986,8,FALSE)&amp;VLOOKUP(D137,契約台帳!$A$3:$K$4986,9,FALSE)&amp;VLOOKUP(D137,契約台帳!$A$3:$K$4986,11,FALSE))</f>
        <v/>
      </c>
      <c r="G137" s="269" t="str">
        <f>IF(D137="","",VLOOKUP(F137,製品マスタ!$G$5:$H$5002,2,FALSE))</f>
        <v/>
      </c>
      <c r="H137" s="269" t="str">
        <f>IF(D137="","",VLOOKUP(F137,製品マスタ!$G$5:$K$5002,5,FALSE))</f>
        <v/>
      </c>
      <c r="I137" s="270" t="str">
        <f>IF(D137="","",VLOOKUP(F137,製品マスタ!$G$5:$L$5002,6,FALSE))</f>
        <v/>
      </c>
      <c r="J137" s="210"/>
      <c r="K137" s="270" t="str">
        <f>IF(D137="","",VLOOKUP(D137,契約台帳!$A$3:$L$4986,12,FALSE))</f>
        <v/>
      </c>
      <c r="L137" s="270" t="str">
        <f>IF(D137="","",INDEX(製品マスタ!$Q$5:$Q$5002,MATCH('S4'!F137&amp;'S4'!K137,製品マスタ!$AO$5:$AO$5002,0)))</f>
        <v/>
      </c>
      <c r="M137" s="39"/>
      <c r="N137" s="39"/>
      <c r="O137" s="156"/>
      <c r="P137" s="47"/>
      <c r="Q137" s="57"/>
      <c r="R137" s="271" t="str">
        <f ca="1">IF(D137="","",IF(OFFSET(D137,-1,0)&lt;&gt;"","",IF(OR(J137="リード付け",J137="巻足し",J137="巻返しリード付け"),M137,VLOOKUP(D137,契約台帳!$A$3:$N$4986,14,FALSE))))</f>
        <v/>
      </c>
      <c r="S137" s="272" t="str">
        <f ca="1">IF(D137="","",IF(OFFSET(D137,-1,0)&lt;&gt;"","",IF(OR(J137="リード付け",J137="巻足し",J137="巻返しリード付け"),M137,VLOOKUP(D137,契約台帳!$A$3:$O$4986,15,FALSE))))</f>
        <v/>
      </c>
      <c r="T137" s="273" t="str">
        <f ca="1">IF(D137="","",IF(J137="リード付け",N137,IF(J137="巻返しリード付け",N137,IF(J137="巻足し",N137*P137+OFFSET(N137,1,0)*OFFSET(P137,1,0),VLOOKUP(D137,契約台帳!$A$3:$P$4986,16,FALSE)))))</f>
        <v/>
      </c>
      <c r="U137" s="40"/>
      <c r="V137" s="274" t="str">
        <f ca="1">IF(D137="","",IF(OFFSET(D137,-2,0)=D137,"",VLOOKUP(D137,契約台帳!$A$3:$R$4986,18,FALSE)))</f>
        <v/>
      </c>
      <c r="W137" s="269" t="str">
        <f>IF(D137="","",IF(T137="","",IF(OR(J137="巻足し",J137="巻返しリード付け"),"",IF(J137="巻返し",VLOOKUP(F137&amp;K137&amp;M137,製品マスタ!$M$5:$AD$5002,18,FALSE),IF(OR(J137="リード付け",J137="巻返しリード付け"),"原反コア",IF(J137="スリット",VLOOKUP(F137&amp;K137&amp;R137,製品マスタ!$N$5:$AD$5002,17,FALSE),""))))))</f>
        <v/>
      </c>
      <c r="X137" s="269" t="str">
        <f>IF(D137="","",IF(T137="","",IF(J137="巻足し","",IF(J137="巻返し",VLOOKUP(F137&amp;K137&amp;M137,製品マスタ!$M$5:$AE$5002,19,FALSE),IF(OR(J137="リード付け",J137="巻返しリード付け"),"",IF(J137="スリット",VLOOKUP(F137&amp;K137&amp;R137,製品マスタ!$N$5:$AE$5002,18,FALSE),""))))))</f>
        <v/>
      </c>
      <c r="Y137" s="275" t="str">
        <f>IF(D137="","",IF(T137="","",VLOOKUP(D137,契約台帳!$A$3:$Q$4986,17,FALSE)))</f>
        <v/>
      </c>
      <c r="Z137" s="269" t="str">
        <f>IF(D137="","",IF(T137="","",VLOOKUP(D137,契約台帳!$A$3:$E$4986,5,FALSE)))</f>
        <v/>
      </c>
      <c r="AA137" s="57"/>
      <c r="AB137" s="207" t="str">
        <f>IFERROR((VLOOKUP(F137&amp;K137&amp;M137,製品マスタ!$M$5:$AM$5002,27,FALSE)),"")</f>
        <v/>
      </c>
      <c r="AC137" s="33"/>
      <c r="AD137" s="189"/>
      <c r="AE137" s="54"/>
      <c r="AF137" s="55"/>
      <c r="AG137" s="43"/>
      <c r="AH137" s="47"/>
      <c r="AI137" s="30"/>
      <c r="AJ137" s="30"/>
      <c r="AK137" s="30"/>
      <c r="AL137" s="30"/>
      <c r="AM137" s="13"/>
      <c r="AN137" s="13"/>
      <c r="AO137" s="13"/>
      <c r="AP137" s="13"/>
      <c r="AQ137" s="13"/>
      <c r="AR137" s="14"/>
      <c r="AS137" s="15"/>
    </row>
    <row r="138" spans="1:45" s="233" customFormat="1" ht="30.95" hidden="1" customHeight="1" x14ac:dyDescent="0.2">
      <c r="A138" s="217"/>
      <c r="B138" s="218"/>
      <c r="C138" s="280"/>
      <c r="D138" s="219"/>
      <c r="E138" s="219"/>
      <c r="F138" s="281"/>
      <c r="G138" s="282"/>
      <c r="H138" s="282"/>
      <c r="I138" s="283"/>
      <c r="J138" s="289"/>
      <c r="K138" s="283"/>
      <c r="L138" s="283"/>
      <c r="M138" s="221"/>
      <c r="N138" s="221"/>
      <c r="O138" s="290"/>
      <c r="P138" s="222"/>
      <c r="Q138" s="213"/>
      <c r="R138" s="291"/>
      <c r="S138" s="292"/>
      <c r="T138" s="293"/>
      <c r="U138" s="224"/>
      <c r="V138" s="294"/>
      <c r="W138" s="282"/>
      <c r="X138" s="282"/>
      <c r="Y138" s="287"/>
      <c r="Z138" s="282"/>
      <c r="AA138" s="213"/>
      <c r="AB138" s="288"/>
      <c r="AC138" s="225"/>
      <c r="AD138" s="226"/>
      <c r="AE138" s="227"/>
      <c r="AF138" s="228"/>
      <c r="AG138" s="223"/>
      <c r="AH138" s="222"/>
      <c r="AI138" s="295">
        <f>SUM(AI132:AI136)</f>
        <v>44119.039999999994</v>
      </c>
      <c r="AJ138" s="229"/>
      <c r="AK138" s="229"/>
      <c r="AL138" s="229"/>
      <c r="AM138" s="230"/>
      <c r="AN138" s="230"/>
      <c r="AO138" s="230"/>
      <c r="AP138" s="230"/>
      <c r="AQ138" s="230"/>
      <c r="AR138" s="231"/>
      <c r="AS138" s="232"/>
    </row>
    <row r="139" spans="1:45" s="17" customFormat="1" ht="30.95" hidden="1" customHeight="1" x14ac:dyDescent="0.2">
      <c r="A139" s="37"/>
      <c r="B139" s="38"/>
      <c r="C139" s="45"/>
      <c r="D139" s="31"/>
      <c r="E139" s="31"/>
      <c r="F139" s="268"/>
      <c r="G139" s="269"/>
      <c r="H139" s="269"/>
      <c r="I139" s="270"/>
      <c r="J139" s="210"/>
      <c r="K139" s="270"/>
      <c r="L139" s="270"/>
      <c r="M139" s="39"/>
      <c r="N139" s="39"/>
      <c r="O139" s="156"/>
      <c r="P139" s="47"/>
      <c r="Q139" s="57"/>
      <c r="R139" s="271"/>
      <c r="S139" s="272"/>
      <c r="T139" s="273"/>
      <c r="U139" s="40"/>
      <c r="V139" s="274"/>
      <c r="W139" s="269"/>
      <c r="X139" s="269"/>
      <c r="Y139" s="275"/>
      <c r="Z139" s="269"/>
      <c r="AA139" s="57"/>
      <c r="AB139" s="207"/>
      <c r="AC139" s="33"/>
      <c r="AD139" s="189"/>
      <c r="AE139" s="54"/>
      <c r="AF139" s="55"/>
      <c r="AG139" s="43"/>
      <c r="AH139" s="47"/>
      <c r="AI139" s="30"/>
      <c r="AJ139" s="30"/>
      <c r="AK139" s="30"/>
      <c r="AL139" s="30"/>
      <c r="AM139" s="13"/>
      <c r="AN139" s="13"/>
      <c r="AO139" s="13"/>
      <c r="AP139" s="13"/>
      <c r="AQ139" s="13"/>
      <c r="AR139" s="14"/>
      <c r="AS139" s="15"/>
    </row>
    <row r="140" spans="1:45" s="17" customFormat="1" ht="30.95" hidden="1" customHeight="1" x14ac:dyDescent="0.2">
      <c r="A140" s="37"/>
      <c r="B140" s="38"/>
      <c r="C140" s="45"/>
      <c r="D140" s="31">
        <v>3694104</v>
      </c>
      <c r="E140" s="31">
        <v>4151257</v>
      </c>
      <c r="F140" s="268" t="str">
        <f>IF(D140="","",VLOOKUP(D140,契約台帳!$A$3:$K$4986,6,FALSE)&amp;VLOOKUP(D140,契約台帳!$A$3:$K$4986,7,FALSE)&amp;VLOOKUP(D140,契約台帳!$A$3:$K$4986,8,FALSE)&amp;VLOOKUP(D140,契約台帳!$A$3:$K$4986,9,FALSE)&amp;VLOOKUP(D140,契約台帳!$A$3:$K$4986,11,FALSE))</f>
        <v>3SNMLBMNGKKBF</v>
      </c>
      <c r="G140" s="269" t="str">
        <f>IF(D140="","",VLOOKUP(F140,製品マスタ!$G$5:$H$5002,2,FALSE))</f>
        <v>S</v>
      </c>
      <c r="H140" s="269" t="str">
        <f>IF(D140="","",VLOOKUP(F140,製品マスタ!$G$5:$K$5002,5,FALSE))</f>
        <v>MNGKKBF</v>
      </c>
      <c r="I140" s="270" t="str">
        <f>IF(D140="","",VLOOKUP(F140,製品マスタ!$G$5:$L$5002,6,FALSE))</f>
        <v>メタルミー　ネーマー銀消改　Ｂ</v>
      </c>
      <c r="J140" s="210" t="s">
        <v>801</v>
      </c>
      <c r="K140" s="270">
        <f>IF(D140="","",VLOOKUP(D140,契約台帳!$A$3:$L$4986,12,FALSE))</f>
        <v>50</v>
      </c>
      <c r="L140" s="270" t="str">
        <f>IF(D140="","",INDEX(製品マスタ!$Q$5:$Q$5002,MATCH('S4'!F140&amp;'S4'!K140,製品マスタ!$AO$5:$AO$5002,0)))</f>
        <v>S99-MAT</v>
      </c>
      <c r="M140" s="39">
        <v>1120</v>
      </c>
      <c r="N140" s="39">
        <v>12000</v>
      </c>
      <c r="O140" s="156">
        <v>4</v>
      </c>
      <c r="P140" s="47">
        <v>3</v>
      </c>
      <c r="Q140" s="213">
        <v>44949</v>
      </c>
      <c r="R140" s="271">
        <f ca="1">IF(D140="","",IF(OFFSET(D140,-1,0)&lt;&gt;"","",IF(OR(J140="リード付け",J140="巻足し",J140="巻返しリード付け"),M140,VLOOKUP(D140,契約台帳!$A$3:$N$4986,14,FALSE))))</f>
        <v>1120</v>
      </c>
      <c r="S140" s="272">
        <f ca="1">IF(D140="","",IF(OFFSET(D140,-1,0)&lt;&gt;"","",IF(OR(J140="リード付け",J140="巻足し",J140="巻返しリード付け"),M140,VLOOKUP(D140,契約台帳!$A$3:$O$4986,15,FALSE))))</f>
        <v>1120</v>
      </c>
      <c r="T140" s="273">
        <f ca="1">IF(D140="","",IF(J140="リード付け",N140,IF(J140="巻返しリード付け",N140,IF(J140="巻足し",N140*P140+OFFSET(N140,1,0)*OFFSET(P140,1,0),VLOOKUP(D140,契約台帳!$A$3:$P$4986,16,FALSE)))))</f>
        <v>4000</v>
      </c>
      <c r="U140" s="40">
        <v>12</v>
      </c>
      <c r="V140" s="274">
        <f ca="1">IF(D140="","",IF(OFFSET(D140,-2,0)=D140,"",VLOOKUP(D140,契約台帳!$A$3:$R$4986,18,FALSE)))</f>
        <v>24</v>
      </c>
      <c r="W140" s="269" t="str">
        <f ca="1">IF(D140="","",IF(T140="","",IF(OR(J140="巻足し",J140="巻返しリード付け"),"",IF(J140="巻返し",VLOOKUP(F140&amp;K140&amp;M140,製品マスタ!$M$5:$AD$5002,18,FALSE),IF(OR(J140="リード付け",J140="巻返しリード付け"),"原反コア",IF(J140="スリット",VLOOKUP(F140&amp;K140&amp;R140,製品マスタ!$N$5:$AD$5002,17,FALSE),""))))))</f>
        <v>6ｲﾝﾁSｺｱ</v>
      </c>
      <c r="X140" s="269">
        <f ca="1">IF(D140="","",IF(T140="","",IF(J140="巻足し","",IF(J140="巻返し",VLOOKUP(F140&amp;K140&amp;M140,製品マスタ!$M$5:$AE$5002,19,FALSE),IF(OR(J140="リード付け",J140="巻返しリード付け"),"",IF(J140="スリット",VLOOKUP(F140&amp;K140&amp;R140,製品マスタ!$N$5:$AE$5002,18,FALSE),""))))))</f>
        <v>1125</v>
      </c>
      <c r="Y140" s="275">
        <f ca="1">IF(D140="","",IF(T140="","",VLOOKUP(D140,契約台帳!$A$3:$Q$4986,17,FALSE)))</f>
        <v>2</v>
      </c>
      <c r="Z140" s="269" t="str">
        <f ca="1">IF(D140="","",IF(T140="","",VLOOKUP(D140,契約台帳!$A$3:$E$4986,5,FALSE)))</f>
        <v>リンテック㈱</v>
      </c>
      <c r="AA140" s="57"/>
      <c r="AB140" s="207" t="s">
        <v>814</v>
      </c>
      <c r="AC140" s="33"/>
      <c r="AD140" s="189"/>
      <c r="AE140" s="54" t="str">
        <f>IF(F140="","",+F140&amp;K140)</f>
        <v>3SNMLBMNGKKBF50</v>
      </c>
      <c r="AF140" s="55">
        <f>+M140*N140*O140/1000</f>
        <v>53760</v>
      </c>
      <c r="AG140" s="43"/>
      <c r="AH140" s="47">
        <f>IF(AE140="","",VLOOKUP(AE140,原価マスタ!$A$2:$AJ$1693,13,FALSE))</f>
        <v>99</v>
      </c>
      <c r="AI140" s="214">
        <f>IF(AH140="","",+AF140*AH140/100)</f>
        <v>53222.400000000001</v>
      </c>
      <c r="AJ140" s="30"/>
      <c r="AK140" s="30"/>
      <c r="AL140" s="30"/>
      <c r="AM140" s="13"/>
      <c r="AN140" s="13"/>
      <c r="AO140" s="13"/>
      <c r="AP140" s="13"/>
      <c r="AQ140" s="13"/>
      <c r="AR140" s="14"/>
      <c r="AS140" s="15"/>
    </row>
    <row r="141" spans="1:45" s="17" customFormat="1" ht="30.95" hidden="1" customHeight="1" x14ac:dyDescent="0.2">
      <c r="A141" s="37"/>
      <c r="B141" s="38"/>
      <c r="C141" s="45"/>
      <c r="D141" s="31"/>
      <c r="E141" s="31"/>
      <c r="F141" s="268" t="str">
        <f>IF(D141="","",VLOOKUP(D141,契約台帳!$A$3:$K$4986,6,FALSE)&amp;VLOOKUP(D141,契約台帳!$A$3:$K$4986,7,FALSE)&amp;VLOOKUP(D141,契約台帳!$A$3:$K$4986,8,FALSE)&amp;VLOOKUP(D141,契約台帳!$A$3:$K$4986,9,FALSE)&amp;VLOOKUP(D141,契約台帳!$A$3:$K$4986,11,FALSE))</f>
        <v/>
      </c>
      <c r="G141" s="269" t="str">
        <f>IF(D141="","",VLOOKUP(F141,製品マスタ!$G$5:$H$5002,2,FALSE))</f>
        <v/>
      </c>
      <c r="H141" s="269" t="str">
        <f>IF(D141="","",VLOOKUP(F141,製品マスタ!$G$5:$K$5002,5,FALSE))</f>
        <v/>
      </c>
      <c r="I141" s="270" t="str">
        <f>IF(D141="","",VLOOKUP(F141,製品マスタ!$G$5:$L$5002,6,FALSE))</f>
        <v/>
      </c>
      <c r="J141" s="210"/>
      <c r="K141" s="270" t="str">
        <f>IF(D141="","",VLOOKUP(D141,契約台帳!$A$3:$L$4986,12,FALSE))</f>
        <v/>
      </c>
      <c r="L141" s="270" t="str">
        <f>IF(D141="","",INDEX(製品マスタ!$Q$5:$Q$5002,MATCH('S4'!F141&amp;'S4'!K141,製品マスタ!$AO$5:$AO$5002,0)))</f>
        <v/>
      </c>
      <c r="M141" s="39"/>
      <c r="N141" s="39"/>
      <c r="O141" s="156"/>
      <c r="P141" s="47"/>
      <c r="Q141" s="57"/>
      <c r="R141" s="271" t="str">
        <f ca="1">IF(D141="","",IF(OFFSET(D141,-1,0)&lt;&gt;"","",IF(OR(J141="リード付け",J141="巻足し",J141="巻返しリード付け"),M141,VLOOKUP(D141,契約台帳!$A$3:$N$4986,14,FALSE))))</f>
        <v/>
      </c>
      <c r="S141" s="272" t="str">
        <f ca="1">IF(D141="","",IF(OFFSET(D141,-1,0)&lt;&gt;"","",IF(OR(J141="リード付け",J141="巻足し",J141="巻返しリード付け"),M141,VLOOKUP(D141,契約台帳!$A$3:$O$4986,15,FALSE))))</f>
        <v/>
      </c>
      <c r="T141" s="273" t="str">
        <f ca="1">IF(D141="","",IF(J141="リード付け",N141,IF(J141="巻返しリード付け",N141,IF(J141="巻足し",N141*P141+OFFSET(N141,1,0)*OFFSET(P141,1,0),VLOOKUP(D141,契約台帳!$A$3:$P$4986,16,FALSE)))))</f>
        <v/>
      </c>
      <c r="U141" s="40"/>
      <c r="V141" s="274" t="str">
        <f ca="1">IF(D141="","",IF(OFFSET(D141,-2,0)=D141,"",VLOOKUP(D141,契約台帳!$A$3:$R$4986,18,FALSE)))</f>
        <v/>
      </c>
      <c r="W141" s="269" t="str">
        <f>IF(D141="","",IF(T141="","",IF(OR(J141="巻足し",J141="巻返しリード付け"),"",IF(J141="巻返し",VLOOKUP(F141&amp;K141&amp;M141,製品マスタ!$M$5:$AD$5002,18,FALSE),IF(OR(J141="リード付け",J141="巻返しリード付け"),"原反コア",IF(J141="スリット",VLOOKUP(F141&amp;K141&amp;R141,製品マスタ!$N$5:$AD$5002,17,FALSE),""))))))</f>
        <v/>
      </c>
      <c r="X141" s="269" t="str">
        <f>IF(D141="","",IF(T141="","",IF(J141="巻足し","",IF(J141="巻返し",VLOOKUP(F141&amp;K141&amp;M141,製品マスタ!$M$5:$AE$5002,19,FALSE),IF(OR(J141="リード付け",J141="巻返しリード付け"),"",IF(J141="スリット",VLOOKUP(F141&amp;K141&amp;R141,製品マスタ!$N$5:$AE$5002,18,FALSE),""))))))</f>
        <v/>
      </c>
      <c r="Y141" s="275" t="str">
        <f>IF(D141="","",IF(T141="","",VLOOKUP(D141,契約台帳!$A$3:$Q$4986,17,FALSE)))</f>
        <v/>
      </c>
      <c r="Z141" s="269" t="str">
        <f>IF(D141="","",IF(T141="","",VLOOKUP(D141,契約台帳!$A$3:$E$4986,5,FALSE)))</f>
        <v/>
      </c>
      <c r="AA141" s="57"/>
      <c r="AB141" s="207" t="str">
        <f>IFERROR((VLOOKUP(F141&amp;K141&amp;M141,製品マスタ!$M$5:$AM$5002,27,FALSE)),"")</f>
        <v/>
      </c>
      <c r="AC141" s="33"/>
      <c r="AD141" s="189"/>
      <c r="AE141" s="54"/>
      <c r="AF141" s="55"/>
      <c r="AG141" s="43"/>
      <c r="AH141" s="47"/>
      <c r="AI141" s="214"/>
      <c r="AJ141" s="30"/>
      <c r="AK141" s="30"/>
      <c r="AL141" s="30"/>
      <c r="AM141" s="13"/>
      <c r="AN141" s="13"/>
      <c r="AO141" s="13"/>
      <c r="AP141" s="13"/>
      <c r="AQ141" s="13"/>
      <c r="AR141" s="14"/>
      <c r="AS141" s="15"/>
    </row>
    <row r="142" spans="1:45" s="17" customFormat="1" ht="30.95" hidden="1" customHeight="1" x14ac:dyDescent="0.2">
      <c r="A142" s="37" t="s">
        <v>817</v>
      </c>
      <c r="B142" s="38" t="s">
        <v>803</v>
      </c>
      <c r="C142" s="45"/>
      <c r="D142" s="31">
        <v>3694104</v>
      </c>
      <c r="E142" s="31">
        <v>4151257</v>
      </c>
      <c r="F142" s="268" t="str">
        <f>IF(D142="","",VLOOKUP(D142,契約台帳!$A$3:$K$4986,6,FALSE)&amp;VLOOKUP(D142,契約台帳!$A$3:$K$4986,7,FALSE)&amp;VLOOKUP(D142,契約台帳!$A$3:$K$4986,8,FALSE)&amp;VLOOKUP(D142,契約台帳!$A$3:$K$4986,9,FALSE)&amp;VLOOKUP(D142,契約台帳!$A$3:$K$4986,11,FALSE))</f>
        <v>3SNMLBMNGKKBF</v>
      </c>
      <c r="G142" s="269" t="str">
        <f>IF(D142="","",VLOOKUP(F142,製品マスタ!$G$5:$H$5002,2,FALSE))</f>
        <v>S</v>
      </c>
      <c r="H142" s="269" t="str">
        <f>IF(D142="","",VLOOKUP(F142,製品マスタ!$G$5:$K$5002,5,FALSE))</f>
        <v>MNGKKBF</v>
      </c>
      <c r="I142" s="270" t="str">
        <f>IF(D142="","",VLOOKUP(F142,製品マスタ!$G$5:$L$5002,6,FALSE))</f>
        <v>メタルミー　ネーマー銀消改　Ｂ</v>
      </c>
      <c r="J142" s="210" t="s">
        <v>801</v>
      </c>
      <c r="K142" s="270">
        <f>IF(D142="","",VLOOKUP(D142,契約台帳!$A$3:$L$4986,12,FALSE))</f>
        <v>50</v>
      </c>
      <c r="L142" s="270" t="str">
        <f>IF(D142="","",INDEX(製品マスタ!$Q$5:$Q$5002,MATCH('S4'!F142&amp;'S4'!K142,製品マスタ!$AO$5:$AO$5002,0)))</f>
        <v>S99-MAT</v>
      </c>
      <c r="M142" s="39">
        <v>1120</v>
      </c>
      <c r="N142" s="39">
        <v>12000</v>
      </c>
      <c r="O142" s="156">
        <v>4</v>
      </c>
      <c r="P142" s="47">
        <v>3</v>
      </c>
      <c r="Q142" s="213">
        <v>44949</v>
      </c>
      <c r="R142" s="271">
        <f ca="1">IF(D142="","",IF(OFFSET(D142,-1,0)&lt;&gt;"","",IF(OR(J142="リード付け",J142="巻足し",J142="巻返しリード付け"),M142,VLOOKUP(D142,契約台帳!$A$3:$N$4986,14,FALSE))))</f>
        <v>1120</v>
      </c>
      <c r="S142" s="272">
        <f ca="1">IF(D142="","",IF(OFFSET(D142,-1,0)&lt;&gt;"","",IF(OR(J142="リード付け",J142="巻足し",J142="巻返しリード付け"),M142,VLOOKUP(D142,契約台帳!$A$3:$O$4986,15,FALSE))))</f>
        <v>1120</v>
      </c>
      <c r="T142" s="273">
        <f ca="1">IF(D142="","",IF(J142="リード付け",N142,IF(J142="巻返しリード付け",N142,IF(J142="巻足し",N142*P142+OFFSET(N142,1,0)*OFFSET(P142,1,0),VLOOKUP(D142,契約台帳!$A$3:$P$4986,16,FALSE)))))</f>
        <v>4000</v>
      </c>
      <c r="U142" s="40">
        <v>12</v>
      </c>
      <c r="V142" s="274" t="str">
        <f ca="1">IF(D142="","",IF(OFFSET(D142,-2,0)=D142,"",VLOOKUP(D142,契約台帳!$A$3:$R$4986,18,FALSE)))</f>
        <v/>
      </c>
      <c r="W142" s="269" t="str">
        <f ca="1">IF(D142="","",IF(T142="","",IF(OR(J142="巻足し",J142="巻返しリード付け"),"",IF(J142="巻返し",VLOOKUP(F142&amp;K142&amp;M142,製品マスタ!$M$5:$AD$5002,18,FALSE),IF(OR(J142="リード付け",J142="巻返しリード付け"),"原反コア",IF(J142="スリット",VLOOKUP(F142&amp;K142&amp;R142,製品マスタ!$N$5:$AD$5002,17,FALSE),""))))))</f>
        <v>6ｲﾝﾁSｺｱ</v>
      </c>
      <c r="X142" s="269">
        <f ca="1">IF(D142="","",IF(T142="","",IF(J142="巻足し","",IF(J142="巻返し",VLOOKUP(F142&amp;K142&amp;M142,製品マスタ!$M$5:$AE$5002,19,FALSE),IF(OR(J142="リード付け",J142="巻返しリード付け"),"",IF(J142="スリット",VLOOKUP(F142&amp;K142&amp;R142,製品マスタ!$N$5:$AE$5002,18,FALSE),""))))))</f>
        <v>1125</v>
      </c>
      <c r="Y142" s="275">
        <f ca="1">IF(D142="","",IF(T142="","",VLOOKUP(D142,契約台帳!$A$3:$Q$4986,17,FALSE)))</f>
        <v>2</v>
      </c>
      <c r="Z142" s="269" t="str">
        <f ca="1">IF(D142="","",IF(T142="","",VLOOKUP(D142,契約台帳!$A$3:$E$4986,5,FALSE)))</f>
        <v>リンテック㈱</v>
      </c>
      <c r="AA142" s="57"/>
      <c r="AB142" s="207" t="s">
        <v>814</v>
      </c>
      <c r="AC142" s="33"/>
      <c r="AD142" s="189"/>
      <c r="AE142" s="54" t="str">
        <f>IF(F142="","",+F142&amp;K142)</f>
        <v>3SNMLBMNGKKBF50</v>
      </c>
      <c r="AF142" s="55">
        <f>+M142*N142*O142/1000</f>
        <v>53760</v>
      </c>
      <c r="AG142" s="43"/>
      <c r="AH142" s="47">
        <f>IF(AE142="","",VLOOKUP(AE142,原価マスタ!$A$2:$AJ$1693,13,FALSE))</f>
        <v>99</v>
      </c>
      <c r="AI142" s="214">
        <f>IF(AH142="","",+AF142*AH142/100)</f>
        <v>53222.400000000001</v>
      </c>
      <c r="AJ142" s="30"/>
      <c r="AK142" s="30"/>
      <c r="AL142" s="30"/>
      <c r="AM142" s="13"/>
      <c r="AN142" s="13"/>
      <c r="AO142" s="13"/>
      <c r="AP142" s="13"/>
      <c r="AQ142" s="13"/>
      <c r="AR142" s="14"/>
      <c r="AS142" s="15"/>
    </row>
    <row r="143" spans="1:45" s="17" customFormat="1" ht="30.95" hidden="1" customHeight="1" x14ac:dyDescent="0.2">
      <c r="A143" s="37"/>
      <c r="B143" s="38"/>
      <c r="C143" s="45"/>
      <c r="D143" s="31"/>
      <c r="E143" s="31"/>
      <c r="F143" s="268" t="str">
        <f>IF(D143="","",VLOOKUP(D143,契約台帳!$A$3:$K$4986,6,FALSE)&amp;VLOOKUP(D143,契約台帳!$A$3:$K$4986,7,FALSE)&amp;VLOOKUP(D143,契約台帳!$A$3:$K$4986,8,FALSE)&amp;VLOOKUP(D143,契約台帳!$A$3:$K$4986,9,FALSE)&amp;VLOOKUP(D143,契約台帳!$A$3:$K$4986,11,FALSE))</f>
        <v/>
      </c>
      <c r="G143" s="269" t="str">
        <f>IF(D143="","",VLOOKUP(F143,製品マスタ!$G$5:$H$5002,2,FALSE))</f>
        <v/>
      </c>
      <c r="H143" s="269" t="str">
        <f>IF(D143="","",VLOOKUP(F143,製品マスタ!$G$5:$K$5002,5,FALSE))</f>
        <v/>
      </c>
      <c r="I143" s="270" t="str">
        <f>IF(D143="","",VLOOKUP(F143,製品マスタ!$G$5:$L$5002,6,FALSE))</f>
        <v/>
      </c>
      <c r="J143" s="210"/>
      <c r="K143" s="270" t="str">
        <f>IF(D143="","",VLOOKUP(D143,契約台帳!$A$3:$L$4986,12,FALSE))</f>
        <v/>
      </c>
      <c r="L143" s="270" t="str">
        <f>IF(D143="","",INDEX(製品マスタ!$Q$5:$Q$5002,MATCH('S4'!F143&amp;'S4'!K143,製品マスタ!$AO$5:$AO$5002,0)))</f>
        <v/>
      </c>
      <c r="M143" s="39"/>
      <c r="N143" s="39"/>
      <c r="O143" s="156"/>
      <c r="P143" s="47"/>
      <c r="Q143" s="57"/>
      <c r="R143" s="271" t="str">
        <f ca="1">IF(D143="","",IF(OFFSET(D143,-1,0)&lt;&gt;"","",IF(OR(J143="リード付け",J143="巻足し",J143="巻返しリード付け"),M143,VLOOKUP(D143,契約台帳!$A$3:$N$4986,14,FALSE))))</f>
        <v/>
      </c>
      <c r="S143" s="272" t="str">
        <f ca="1">IF(D143="","",IF(OFFSET(D143,-1,0)&lt;&gt;"","",IF(OR(J143="リード付け",J143="巻足し",J143="巻返しリード付け"),M143,VLOOKUP(D143,契約台帳!$A$3:$O$4986,15,FALSE))))</f>
        <v/>
      </c>
      <c r="T143" s="273" t="str">
        <f ca="1">IF(D143="","",IF(J143="リード付け",N143,IF(J143="巻返しリード付け",N143,IF(J143="巻足し",N143*P143+OFFSET(N143,1,0)*OFFSET(P143,1,0),VLOOKUP(D143,契約台帳!$A$3:$P$4986,16,FALSE)))))</f>
        <v/>
      </c>
      <c r="U143" s="40"/>
      <c r="V143" s="274" t="str">
        <f ca="1">IF(D143="","",IF(OFFSET(D143,-2,0)=D143,"",VLOOKUP(D143,契約台帳!$A$3:$R$4986,18,FALSE)))</f>
        <v/>
      </c>
      <c r="W143" s="269" t="str">
        <f>IF(D143="","",IF(T143="","",IF(OR(J143="巻足し",J143="巻返しリード付け"),"",IF(J143="巻返し",VLOOKUP(F143&amp;K143&amp;M143,製品マスタ!$M$5:$AD$5002,18,FALSE),IF(OR(J143="リード付け",J143="巻返しリード付け"),"原反コア",IF(J143="スリット",VLOOKUP(F143&amp;K143&amp;R143,製品マスタ!$N$5:$AD$5002,17,FALSE),""))))))</f>
        <v/>
      </c>
      <c r="X143" s="269" t="str">
        <f>IF(D143="","",IF(T143="","",IF(J143="巻足し","",IF(J143="巻返し",VLOOKUP(F143&amp;K143&amp;M143,製品マスタ!$M$5:$AE$5002,19,FALSE),IF(OR(J143="リード付け",J143="巻返しリード付け"),"",IF(J143="スリット",VLOOKUP(F143&amp;K143&amp;R143,製品マスタ!$N$5:$AE$5002,18,FALSE),""))))))</f>
        <v/>
      </c>
      <c r="Y143" s="275" t="str">
        <f>IF(D143="","",IF(T143="","",VLOOKUP(D143,契約台帳!$A$3:$Q$4986,17,FALSE)))</f>
        <v/>
      </c>
      <c r="Z143" s="269" t="str">
        <f>IF(D143="","",IF(T143="","",VLOOKUP(D143,契約台帳!$A$3:$E$4986,5,FALSE)))</f>
        <v/>
      </c>
      <c r="AA143" s="57"/>
      <c r="AB143" s="207" t="str">
        <f>IFERROR((VLOOKUP(F143&amp;K143&amp;M143,製品マスタ!$M$5:$AM$5002,27,FALSE)),"")</f>
        <v/>
      </c>
      <c r="AC143" s="33"/>
      <c r="AD143" s="189"/>
      <c r="AE143" s="54"/>
      <c r="AF143" s="55"/>
      <c r="AG143" s="43"/>
      <c r="AH143" s="47"/>
      <c r="AI143" s="30"/>
      <c r="AJ143" s="30"/>
      <c r="AK143" s="30"/>
      <c r="AL143" s="30"/>
      <c r="AM143" s="13"/>
      <c r="AN143" s="13"/>
      <c r="AO143" s="13"/>
      <c r="AP143" s="13"/>
      <c r="AQ143" s="13"/>
      <c r="AR143" s="14"/>
      <c r="AS143" s="15"/>
    </row>
    <row r="144" spans="1:45" s="17" customFormat="1" ht="30.95" hidden="1" customHeight="1" x14ac:dyDescent="0.2">
      <c r="A144" s="37"/>
      <c r="B144" s="38"/>
      <c r="C144" s="45"/>
      <c r="D144" s="31"/>
      <c r="E144" s="31"/>
      <c r="F144" s="268" t="str">
        <f>IF(D144="","",VLOOKUP(D144,契約台帳!$A$3:$K$4986,6,FALSE)&amp;VLOOKUP(D144,契約台帳!$A$3:$K$4986,7,FALSE)&amp;VLOOKUP(D144,契約台帳!$A$3:$K$4986,8,FALSE)&amp;VLOOKUP(D144,契約台帳!$A$3:$K$4986,9,FALSE)&amp;VLOOKUP(D144,契約台帳!$A$3:$K$4986,11,FALSE))</f>
        <v/>
      </c>
      <c r="G144" s="269" t="s">
        <v>19</v>
      </c>
      <c r="H144" s="269" t="s">
        <v>187</v>
      </c>
      <c r="I144" s="270" t="s">
        <v>188</v>
      </c>
      <c r="J144" s="210" t="s">
        <v>828</v>
      </c>
      <c r="K144" s="270">
        <v>50</v>
      </c>
      <c r="L144" s="270" t="s">
        <v>189</v>
      </c>
      <c r="M144" s="39">
        <v>1160</v>
      </c>
      <c r="N144" s="39">
        <v>6200</v>
      </c>
      <c r="O144" s="156">
        <v>1</v>
      </c>
      <c r="P144" s="47">
        <v>1</v>
      </c>
      <c r="Q144" s="57"/>
      <c r="R144" s="271">
        <v>1120</v>
      </c>
      <c r="S144" s="272">
        <v>1120</v>
      </c>
      <c r="T144" s="273">
        <v>6000</v>
      </c>
      <c r="U144" s="40">
        <v>1</v>
      </c>
      <c r="V144" s="274">
        <v>1</v>
      </c>
      <c r="W144" s="269" t="s">
        <v>829</v>
      </c>
      <c r="X144" s="269">
        <v>1140</v>
      </c>
      <c r="Y144" s="275">
        <v>2</v>
      </c>
      <c r="Z144" s="269" t="s">
        <v>116</v>
      </c>
      <c r="AA144" s="57"/>
      <c r="AB144" s="207" t="str">
        <f>IFERROR((VLOOKUP(F144&amp;K144&amp;M144,製品マスタ!$M$5:$AM$5002,27,FALSE)),"")</f>
        <v/>
      </c>
      <c r="AC144" s="33"/>
      <c r="AD144" s="189"/>
      <c r="AE144" s="54"/>
      <c r="AF144" s="55"/>
      <c r="AG144" s="43"/>
      <c r="AH144" s="47"/>
      <c r="AI144" s="30"/>
      <c r="AJ144" s="30"/>
      <c r="AK144" s="30"/>
      <c r="AL144" s="30"/>
      <c r="AM144" s="13"/>
      <c r="AN144" s="13"/>
      <c r="AO144" s="13"/>
      <c r="AP144" s="13"/>
      <c r="AQ144" s="13"/>
      <c r="AR144" s="14"/>
      <c r="AS144" s="15"/>
    </row>
    <row r="145" spans="1:45" s="17" customFormat="1" ht="30.95" hidden="1" customHeight="1" x14ac:dyDescent="0.2">
      <c r="A145" s="37"/>
      <c r="B145" s="38"/>
      <c r="C145" s="45"/>
      <c r="D145" s="31"/>
      <c r="E145" s="31"/>
      <c r="F145" s="268" t="str">
        <f>IF(D145="","",VLOOKUP(D145,契約台帳!$A$3:$K$4986,6,FALSE)&amp;VLOOKUP(D145,契約台帳!$A$3:$K$4986,7,FALSE)&amp;VLOOKUP(D145,契約台帳!$A$3:$K$4986,8,FALSE)&amp;VLOOKUP(D145,契約台帳!$A$3:$K$4986,9,FALSE)&amp;VLOOKUP(D145,契約台帳!$A$3:$K$4986,11,FALSE))</f>
        <v/>
      </c>
      <c r="G145" s="269" t="str">
        <f>IF(D145="","",VLOOKUP(F145,製品マスタ!$G$5:$H$5002,2,FALSE))</f>
        <v/>
      </c>
      <c r="H145" s="269" t="str">
        <f>IF(D145="","",VLOOKUP(F145,製品マスタ!$G$5:$K$5002,5,FALSE))</f>
        <v/>
      </c>
      <c r="I145" s="270" t="str">
        <f>IF(D145="","",VLOOKUP(F145,製品マスタ!$G$5:$L$5002,6,FALSE))</f>
        <v/>
      </c>
      <c r="J145" s="210"/>
      <c r="K145" s="270" t="str">
        <f>IF(D145="","",VLOOKUP(D145,契約台帳!$A$3:$L$4986,12,FALSE))</f>
        <v/>
      </c>
      <c r="L145" s="270" t="str">
        <f>IF(D145="","",INDEX(製品マスタ!$Q$5:$Q$5002,MATCH('S4'!F145&amp;'S4'!K145,製品マスタ!$AO$5:$AO$5002,0)))</f>
        <v/>
      </c>
      <c r="M145" s="39"/>
      <c r="N145" s="39"/>
      <c r="O145" s="156"/>
      <c r="P145" s="47"/>
      <c r="Q145" s="57"/>
      <c r="R145" s="271" t="str">
        <f ca="1">IF(D145="","",IF(OFFSET(D145,-1,0)&lt;&gt;"","",IF(OR(J145="リード付け",J145="巻足し",J145="巻返しリード付け"),M145,VLOOKUP(D145,契約台帳!$A$3:$N$4986,14,FALSE))))</f>
        <v/>
      </c>
      <c r="S145" s="272" t="str">
        <f ca="1">IF(D145="","",IF(OFFSET(D145,-1,0)&lt;&gt;"","",IF(OR(J145="リード付け",J145="巻足し",J145="巻返しリード付け"),M145,VLOOKUP(D145,契約台帳!$A$3:$O$4986,15,FALSE))))</f>
        <v/>
      </c>
      <c r="T145" s="273" t="str">
        <f ca="1">IF(D145="","",IF(J145="リード付け",N145,IF(J145="巻返しリード付け",N145,IF(J145="巻足し",N145*P145+OFFSET(N145,1,0)*OFFSET(P145,1,0),VLOOKUP(D145,契約台帳!$A$3:$P$4986,16,FALSE)))))</f>
        <v/>
      </c>
      <c r="U145" s="40"/>
      <c r="V145" s="274" t="str">
        <f ca="1">IF(D145="","",IF(OFFSET(D145,-2,0)=D145,"",VLOOKUP(D145,契約台帳!$A$3:$R$4986,18,FALSE)))</f>
        <v/>
      </c>
      <c r="W145" s="269" t="str">
        <f>IF(D145="","",IF(T145="","",IF(OR(J145="巻足し",J145="巻返しリード付け"),"",IF(J145="巻返し",VLOOKUP(F145&amp;K145&amp;M145,製品マスタ!$M$5:$AD$5002,18,FALSE),IF(OR(J145="リード付け",J145="巻返しリード付け"),"原反コア",IF(J145="スリット",VLOOKUP(F145&amp;K145&amp;R145,製品マスタ!$N$5:$AD$5002,17,FALSE),""))))))</f>
        <v/>
      </c>
      <c r="X145" s="269" t="str">
        <f>IF(D145="","",IF(T145="","",IF(J145="巻足し","",IF(J145="巻返し",VLOOKUP(F145&amp;K145&amp;M145,製品マスタ!$M$5:$AE$5002,19,FALSE),IF(OR(J145="リード付け",J145="巻返しリード付け"),"",IF(J145="スリット",VLOOKUP(F145&amp;K145&amp;R145,製品マスタ!$N$5:$AE$5002,18,FALSE),""))))))</f>
        <v/>
      </c>
      <c r="Y145" s="275" t="str">
        <f>IF(D145="","",IF(T145="","",VLOOKUP(D145,契約台帳!$A$3:$Q$4986,17,FALSE)))</f>
        <v/>
      </c>
      <c r="Z145" s="269" t="str">
        <f>IF(D145="","",IF(T145="","",VLOOKUP(D145,契約台帳!$A$3:$E$4986,5,FALSE)))</f>
        <v/>
      </c>
      <c r="AA145" s="57"/>
      <c r="AB145" s="207" t="str">
        <f>IFERROR((VLOOKUP(F145&amp;K145&amp;M145,製品マスタ!$M$5:$AM$5002,27,FALSE)),"")</f>
        <v/>
      </c>
      <c r="AC145" s="33"/>
      <c r="AD145" s="189"/>
      <c r="AE145" s="54"/>
      <c r="AF145" s="55"/>
      <c r="AG145" s="43"/>
      <c r="AH145" s="47"/>
      <c r="AI145" s="30"/>
      <c r="AJ145" s="30"/>
      <c r="AK145" s="30"/>
      <c r="AL145" s="30"/>
      <c r="AM145" s="13"/>
      <c r="AN145" s="13"/>
      <c r="AO145" s="13"/>
      <c r="AP145" s="13"/>
      <c r="AQ145" s="13"/>
      <c r="AR145" s="14"/>
      <c r="AS145" s="15"/>
    </row>
    <row r="146" spans="1:45" s="17" customFormat="1" ht="30.95" hidden="1" customHeight="1" x14ac:dyDescent="0.2">
      <c r="A146" s="37"/>
      <c r="B146" s="38"/>
      <c r="C146" s="45"/>
      <c r="D146" s="31"/>
      <c r="E146" s="31"/>
      <c r="F146" s="268" t="str">
        <f>IF(D146="","",VLOOKUP(D146,契約台帳!$A$3:$K$4986,6,FALSE)&amp;VLOOKUP(D146,契約台帳!$A$3:$K$4986,7,FALSE)&amp;VLOOKUP(D146,契約台帳!$A$3:$K$4986,8,FALSE)&amp;VLOOKUP(D146,契約台帳!$A$3:$K$4986,9,FALSE)&amp;VLOOKUP(D146,契約台帳!$A$3:$K$4986,11,FALSE))</f>
        <v/>
      </c>
      <c r="G146" s="269" t="str">
        <f>IF(D146="","",VLOOKUP(F146,製品マスタ!$G$5:$H$5002,2,FALSE))</f>
        <v/>
      </c>
      <c r="H146" s="269" t="str">
        <f>IF(D146="","",VLOOKUP(F146,製品マスタ!$G$5:$K$5002,5,FALSE))</f>
        <v/>
      </c>
      <c r="I146" s="270" t="str">
        <f>IF(D146="","",VLOOKUP(F146,製品マスタ!$G$5:$L$5002,6,FALSE))</f>
        <v/>
      </c>
      <c r="J146" s="210" t="s">
        <v>655</v>
      </c>
      <c r="K146" s="270" t="str">
        <f>IF(D146="","",VLOOKUP(D146,契約台帳!$A$3:$L$4986,12,FALSE))</f>
        <v/>
      </c>
      <c r="L146" s="270" t="str">
        <f>IF(D146="","",INDEX(製品マスタ!$Q$5:$Q$5002,MATCH('S4'!F146&amp;'S4'!K146,製品マスタ!$AO$5:$AO$5002,0)))</f>
        <v/>
      </c>
      <c r="M146" s="39"/>
      <c r="N146" s="39"/>
      <c r="O146" s="156"/>
      <c r="P146" s="47"/>
      <c r="Q146" s="57"/>
      <c r="R146" s="271" t="str">
        <f ca="1">IF(D146="","",IF(OFFSET(D146,-1,0)&lt;&gt;"","",IF(OR(J146="リード付け",J146="巻足し",J146="巻返しリード付け"),M146,VLOOKUP(D146,契約台帳!$A$3:$N$4986,14,FALSE))))</f>
        <v/>
      </c>
      <c r="S146" s="272" t="str">
        <f ca="1">IF(D146="","",IF(OFFSET(D146,-1,0)&lt;&gt;"","",IF(OR(J146="リード付け",J146="巻足し",J146="巻返しリード付け"),M146,VLOOKUP(D146,契約台帳!$A$3:$O$4986,15,FALSE))))</f>
        <v/>
      </c>
      <c r="T146" s="273" t="str">
        <f ca="1">IF(D146="","",IF(J146="リード付け",N146,IF(J146="巻返しリード付け",N146,IF(J146="巻足し",N146*P146+OFFSET(N146,1,0)*OFFSET(P146,1,0),VLOOKUP(D146,契約台帳!$A$3:$P$4986,16,FALSE)))))</f>
        <v/>
      </c>
      <c r="U146" s="40"/>
      <c r="V146" s="274" t="str">
        <f ca="1">IF(D146="","",IF(OFFSET(D146,-2,0)=D146,"",VLOOKUP(D146,契約台帳!$A$3:$R$4986,18,FALSE)))</f>
        <v/>
      </c>
      <c r="W146" s="269" t="str">
        <f>IF(D146="","",IF(T146="","",IF(OR(J146="巻足し",J146="巻返しリード付け"),"",IF(J146="巻返し",VLOOKUP(F146&amp;K146&amp;M146,製品マスタ!$M$5:$AD$5002,18,FALSE),IF(OR(J146="リード付け",J146="巻返しリード付け"),"原反コア",IF(J146="スリット",VLOOKUP(F146&amp;K146&amp;R146,製品マスタ!$N$5:$AD$5002,17,FALSE),""))))))</f>
        <v/>
      </c>
      <c r="X146" s="269" t="str">
        <f>IF(D146="","",IF(T146="","",IF(J146="巻足し","",IF(J146="巻返し",VLOOKUP(F146&amp;K146&amp;M146,製品マスタ!$M$5:$AE$5002,19,FALSE),IF(OR(J146="リード付け",J146="巻返しリード付け"),"",IF(J146="スリット",VLOOKUP(F146&amp;K146&amp;R146,製品マスタ!$N$5:$AE$5002,18,FALSE),""))))))</f>
        <v/>
      </c>
      <c r="Y146" s="275" t="str">
        <f>IF(D146="","",IF(T146="","",VLOOKUP(D146,契約台帳!$A$3:$Q$4986,17,FALSE)))</f>
        <v/>
      </c>
      <c r="Z146" s="269" t="str">
        <f>IF(D146="","",IF(T146="","",VLOOKUP(D146,契約台帳!$A$3:$E$4986,5,FALSE)))</f>
        <v/>
      </c>
      <c r="AA146" s="57"/>
      <c r="AB146" s="207" t="str">
        <f>IFERROR((VLOOKUP(F146&amp;K146&amp;M146,製品マスタ!$M$5:$AM$5002,27,FALSE)),"")</f>
        <v/>
      </c>
      <c r="AC146" s="33"/>
      <c r="AD146" s="189"/>
      <c r="AE146" s="54"/>
      <c r="AF146" s="55"/>
      <c r="AG146" s="43"/>
      <c r="AH146" s="47"/>
      <c r="AI146" s="30"/>
      <c r="AJ146" s="30"/>
      <c r="AK146" s="30"/>
      <c r="AL146" s="30"/>
      <c r="AM146" s="13"/>
      <c r="AN146" s="13"/>
      <c r="AO146" s="13"/>
      <c r="AP146" s="13"/>
      <c r="AQ146" s="13"/>
      <c r="AR146" s="14"/>
      <c r="AS146" s="15"/>
    </row>
    <row r="147" spans="1:45" s="17" customFormat="1" ht="30.95" hidden="1" customHeight="1" x14ac:dyDescent="0.2">
      <c r="A147" s="37"/>
      <c r="B147" s="38"/>
      <c r="C147" s="45"/>
      <c r="D147" s="31"/>
      <c r="E147" s="31"/>
      <c r="F147" s="268" t="str">
        <f>IF(D147="","",VLOOKUP(D147,契約台帳!$A$3:$K$4986,6,FALSE)&amp;VLOOKUP(D147,契約台帳!$A$3:$K$4986,7,FALSE)&amp;VLOOKUP(D147,契約台帳!$A$3:$K$4986,8,FALSE)&amp;VLOOKUP(D147,契約台帳!$A$3:$K$4986,9,FALSE)&amp;VLOOKUP(D147,契約台帳!$A$3:$K$4986,11,FALSE))</f>
        <v/>
      </c>
      <c r="G147" s="269" t="str">
        <f>IF(D147="","",VLOOKUP(F147,製品マスタ!$G$5:$H$5002,2,FALSE))</f>
        <v/>
      </c>
      <c r="H147" s="269" t="str">
        <f>IF(D147="","",VLOOKUP(F147,製品マスタ!$G$5:$K$5002,5,FALSE))</f>
        <v/>
      </c>
      <c r="I147" s="270" t="str">
        <f>IF(D147="","",VLOOKUP(F147,製品マスタ!$G$5:$L$5002,6,FALSE))</f>
        <v/>
      </c>
      <c r="J147" s="210"/>
      <c r="K147" s="270" t="str">
        <f>IF(D147="","",VLOOKUP(D147,契約台帳!$A$3:$L$4986,12,FALSE))</f>
        <v/>
      </c>
      <c r="L147" s="270" t="str">
        <f>IF(D147="","",INDEX(製品マスタ!$Q$5:$Q$5002,MATCH('S4'!F147&amp;'S4'!K147,製品マスタ!$AO$5:$AO$5002,0)))</f>
        <v/>
      </c>
      <c r="M147" s="39"/>
      <c r="N147" s="39"/>
      <c r="O147" s="156"/>
      <c r="P147" s="47"/>
      <c r="Q147" s="57"/>
      <c r="R147" s="271" t="str">
        <f ca="1">IF(D147="","",IF(OFFSET(D147,-1,0)&lt;&gt;"","",IF(OR(J147="リード付け",J147="巻足し",J147="巻返しリード付け"),M147,VLOOKUP(D147,契約台帳!$A$3:$N$4986,14,FALSE))))</f>
        <v/>
      </c>
      <c r="S147" s="272" t="str">
        <f ca="1">IF(D147="","",IF(OFFSET(D147,-1,0)&lt;&gt;"","",IF(OR(J147="リード付け",J147="巻足し",J147="巻返しリード付け"),M147,VLOOKUP(D147,契約台帳!$A$3:$O$4986,15,FALSE))))</f>
        <v/>
      </c>
      <c r="T147" s="273" t="str">
        <f ca="1">IF(D147="","",IF(J147="リード付け",N147,IF(J147="巻返しリード付け",N147,IF(J147="巻足し",N147*P147+OFFSET(N147,1,0)*OFFSET(P147,1,0),VLOOKUP(D147,契約台帳!$A$3:$P$4986,16,FALSE)))))</f>
        <v/>
      </c>
      <c r="U147" s="40"/>
      <c r="V147" s="274" t="str">
        <f ca="1">IF(D147="","",IF(OFFSET(D147,-2,0)=D147,"",VLOOKUP(D147,契約台帳!$A$3:$R$4986,18,FALSE)))</f>
        <v/>
      </c>
      <c r="W147" s="269" t="str">
        <f>IF(D147="","",IF(T147="","",IF(OR(J147="巻足し",J147="巻返しリード付け"),"",IF(J147="巻返し",VLOOKUP(F147&amp;K147&amp;M147,製品マスタ!$M$5:$AD$5002,18,FALSE),IF(OR(J147="リード付け",J147="巻返しリード付け"),"原反コア",IF(J147="スリット",VLOOKUP(F147&amp;K147&amp;R147,製品マスタ!$N$5:$AD$5002,17,FALSE),""))))))</f>
        <v/>
      </c>
      <c r="X147" s="269" t="str">
        <f>IF(D147="","",IF(T147="","",IF(J147="巻足し","",IF(J147="巻返し",VLOOKUP(F147&amp;K147&amp;M147,製品マスタ!$M$5:$AE$5002,19,FALSE),IF(OR(J147="リード付け",J147="巻返しリード付け"),"",IF(J147="スリット",VLOOKUP(F147&amp;K147&amp;R147,製品マスタ!$N$5:$AE$5002,18,FALSE),""))))))</f>
        <v/>
      </c>
      <c r="Y147" s="275" t="str">
        <f>IF(D147="","",IF(T147="","",VLOOKUP(D147,契約台帳!$A$3:$Q$4986,17,FALSE)))</f>
        <v/>
      </c>
      <c r="Z147" s="269" t="str">
        <f>IF(D147="","",IF(T147="","",VLOOKUP(D147,契約台帳!$A$3:$E$4986,5,FALSE)))</f>
        <v/>
      </c>
      <c r="AA147" s="57"/>
      <c r="AB147" s="207" t="str">
        <f>IFERROR((VLOOKUP(F147&amp;K147&amp;M147,製品マスタ!$M$5:$AM$5002,27,FALSE)),"")</f>
        <v/>
      </c>
      <c r="AC147" s="33"/>
      <c r="AD147" s="189"/>
      <c r="AE147" s="54"/>
      <c r="AF147" s="55"/>
      <c r="AG147" s="43"/>
      <c r="AH147" s="47"/>
      <c r="AI147" s="30"/>
      <c r="AJ147" s="30"/>
      <c r="AK147" s="30"/>
      <c r="AL147" s="30"/>
      <c r="AM147" s="13"/>
      <c r="AN147" s="13"/>
      <c r="AO147" s="13"/>
      <c r="AP147" s="13"/>
      <c r="AQ147" s="13"/>
      <c r="AR147" s="14"/>
      <c r="AS147" s="15"/>
    </row>
    <row r="148" spans="1:45" s="17" customFormat="1" ht="30.95" hidden="1" customHeight="1" x14ac:dyDescent="0.2">
      <c r="A148" s="37"/>
      <c r="B148" s="38"/>
      <c r="C148" s="45"/>
      <c r="D148" s="31"/>
      <c r="E148" s="31"/>
      <c r="F148" s="268" t="str">
        <f>IF(D148="","",VLOOKUP(D148,契約台帳!$A$3:$K$4986,6,FALSE)&amp;VLOOKUP(D148,契約台帳!$A$3:$K$4986,7,FALSE)&amp;VLOOKUP(D148,契約台帳!$A$3:$K$4986,8,FALSE)&amp;VLOOKUP(D148,契約台帳!$A$3:$K$4986,9,FALSE)&amp;VLOOKUP(D148,契約台帳!$A$3:$K$4986,11,FALSE))</f>
        <v/>
      </c>
      <c r="G148" s="269" t="str">
        <f>IF(D148="","",VLOOKUP(F148,製品マスタ!$G$5:$H$5002,2,FALSE))</f>
        <v/>
      </c>
      <c r="H148" s="269" t="str">
        <f>IF(D148="","",VLOOKUP(F148,製品マスタ!$G$5:$K$5002,5,FALSE))</f>
        <v/>
      </c>
      <c r="I148" s="270" t="str">
        <f>IF(D148="","",VLOOKUP(F148,製品マスタ!$G$5:$L$5002,6,FALSE))</f>
        <v/>
      </c>
      <c r="J148" s="210" t="s">
        <v>824</v>
      </c>
      <c r="K148" s="270" t="str">
        <f>IF(D148="","",VLOOKUP(D148,契約台帳!$A$3:$L$4986,12,FALSE))</f>
        <v/>
      </c>
      <c r="L148" s="270" t="str">
        <f>IF(D148="","",INDEX(製品マスタ!$Q$5:$Q$5002,MATCH('S4'!F148&amp;'S4'!K148,製品マスタ!$AO$5:$AO$5002,0)))</f>
        <v/>
      </c>
      <c r="M148" s="39"/>
      <c r="N148" s="39"/>
      <c r="O148" s="156"/>
      <c r="P148" s="47"/>
      <c r="Q148" s="57"/>
      <c r="R148" s="271" t="str">
        <f ca="1">IF(D148="","",IF(OFFSET(D148,-1,0)&lt;&gt;"","",IF(OR(J148="リード付け",J148="巻足し",J148="巻返しリード付け"),M148,VLOOKUP(D148,契約台帳!$A$3:$N$4986,14,FALSE))))</f>
        <v/>
      </c>
      <c r="S148" s="272" t="str">
        <f ca="1">IF(D148="","",IF(OFFSET(D148,-1,0)&lt;&gt;"","",IF(OR(J148="リード付け",J148="巻足し",J148="巻返しリード付け"),M148,VLOOKUP(D148,契約台帳!$A$3:$O$4986,15,FALSE))))</f>
        <v/>
      </c>
      <c r="T148" s="273" t="str">
        <f ca="1">IF(D148="","",IF(J148="リード付け",N148,IF(J148="巻返しリード付け",N148,IF(J148="巻足し",N148*P148+OFFSET(N148,1,0)*OFFSET(P148,1,0),VLOOKUP(D148,契約台帳!$A$3:$P$4986,16,FALSE)))))</f>
        <v/>
      </c>
      <c r="U148" s="40"/>
      <c r="V148" s="274" t="str">
        <f ca="1">IF(D148="","",IF(OFFSET(D148,-2,0)=D148,"",VLOOKUP(D148,契約台帳!$A$3:$R$4986,18,FALSE)))</f>
        <v/>
      </c>
      <c r="W148" s="269" t="str">
        <f>IF(D148="","",IF(T148="","",IF(OR(J148="巻足し",J148="巻返しリード付け"),"",IF(J148="巻返し",VLOOKUP(F148&amp;K148&amp;M148,製品マスタ!$M$5:$AD$5002,18,FALSE),IF(OR(J148="リード付け",J148="巻返しリード付け"),"原反コア",IF(J148="スリット",VLOOKUP(F148&amp;K148&amp;R148,製品マスタ!$N$5:$AD$5002,17,FALSE),""))))))</f>
        <v/>
      </c>
      <c r="X148" s="269" t="str">
        <f>IF(D148="","",IF(T148="","",IF(J148="巻足し","",IF(J148="巻返し",VLOOKUP(F148&amp;K148&amp;M148,製品マスタ!$M$5:$AE$5002,19,FALSE),IF(OR(J148="リード付け",J148="巻返しリード付け"),"",IF(J148="スリット",VLOOKUP(F148&amp;K148&amp;R148,製品マスタ!$N$5:$AE$5002,18,FALSE),""))))))</f>
        <v/>
      </c>
      <c r="Y148" s="275" t="str">
        <f>IF(D148="","",IF(T148="","",VLOOKUP(D148,契約台帳!$A$3:$Q$4986,17,FALSE)))</f>
        <v/>
      </c>
      <c r="Z148" s="269" t="str">
        <f>IF(D148="","",IF(T148="","",VLOOKUP(D148,契約台帳!$A$3:$E$4986,5,FALSE)))</f>
        <v/>
      </c>
      <c r="AA148" s="57"/>
      <c r="AB148" s="207" t="str">
        <f>IFERROR((VLOOKUP(F148&amp;K148&amp;M148,製品マスタ!$M$5:$AM$5002,27,FALSE)),"")</f>
        <v/>
      </c>
      <c r="AC148" s="33"/>
      <c r="AD148" s="189"/>
      <c r="AE148" s="54"/>
      <c r="AF148" s="55"/>
      <c r="AG148" s="43"/>
      <c r="AH148" s="47"/>
      <c r="AI148" s="30"/>
      <c r="AJ148" s="30"/>
      <c r="AK148" s="30"/>
      <c r="AL148" s="30"/>
      <c r="AM148" s="13"/>
      <c r="AN148" s="13"/>
      <c r="AO148" s="13"/>
      <c r="AP148" s="13"/>
      <c r="AQ148" s="13"/>
      <c r="AR148" s="14"/>
      <c r="AS148" s="15"/>
    </row>
    <row r="149" spans="1:45" s="17" customFormat="1" ht="30.95" hidden="1" customHeight="1" x14ac:dyDescent="0.2">
      <c r="A149" s="37"/>
      <c r="B149" s="38"/>
      <c r="C149" s="45"/>
      <c r="D149" s="31"/>
      <c r="E149" s="31"/>
      <c r="F149" s="268" t="str">
        <f>IF(D149="","",VLOOKUP(D149,契約台帳!$A$3:$K$4986,6,FALSE)&amp;VLOOKUP(D149,契約台帳!$A$3:$K$4986,7,FALSE)&amp;VLOOKUP(D149,契約台帳!$A$3:$K$4986,8,FALSE)&amp;VLOOKUP(D149,契約台帳!$A$3:$K$4986,9,FALSE)&amp;VLOOKUP(D149,契約台帳!$A$3:$K$4986,11,FALSE))</f>
        <v/>
      </c>
      <c r="G149" s="269" t="str">
        <f>IF(D149="","",VLOOKUP(F149,製品マスタ!$G$5:$H$5002,2,FALSE))</f>
        <v/>
      </c>
      <c r="H149" s="269" t="str">
        <f>IF(D149="","",VLOOKUP(F149,製品マスタ!$G$5:$K$5002,5,FALSE))</f>
        <v/>
      </c>
      <c r="I149" s="270" t="str">
        <f>IF(D149="","",VLOOKUP(F149,製品マスタ!$G$5:$L$5002,6,FALSE))</f>
        <v/>
      </c>
      <c r="J149" s="210"/>
      <c r="K149" s="270" t="str">
        <f>IF(D149="","",VLOOKUP(D149,契約台帳!$A$3:$L$4986,12,FALSE))</f>
        <v/>
      </c>
      <c r="L149" s="270" t="str">
        <f>IF(D149="","",INDEX(製品マスタ!$Q$5:$Q$5002,MATCH('S4'!F149&amp;'S4'!K149,製品マスタ!$AO$5:$AO$5002,0)))</f>
        <v/>
      </c>
      <c r="M149" s="39"/>
      <c r="N149" s="39"/>
      <c r="O149" s="156"/>
      <c r="P149" s="47"/>
      <c r="Q149" s="57"/>
      <c r="R149" s="271" t="str">
        <f ca="1">IF(D149="","",IF(OFFSET(D149,-1,0)&lt;&gt;"","",IF(OR(J149="リード付け",J149="巻足し",J149="巻返しリード付け"),M149,VLOOKUP(D149,契約台帳!$A$3:$N$4986,14,FALSE))))</f>
        <v/>
      </c>
      <c r="S149" s="272" t="str">
        <f ca="1">IF(D149="","",IF(OFFSET(D149,-1,0)&lt;&gt;"","",IF(OR(J149="リード付け",J149="巻足し",J149="巻返しリード付け"),M149,VLOOKUP(D149,契約台帳!$A$3:$O$4986,15,FALSE))))</f>
        <v/>
      </c>
      <c r="T149" s="273" t="str">
        <f ca="1">IF(D149="","",IF(J149="リード付け",N149,IF(J149="巻返しリード付け",N149,IF(J149="巻足し",N149*P149+OFFSET(N149,1,0)*OFFSET(P149,1,0),VLOOKUP(D149,契約台帳!$A$3:$P$4986,16,FALSE)))))</f>
        <v/>
      </c>
      <c r="U149" s="40"/>
      <c r="V149" s="274" t="str">
        <f ca="1">IF(D149="","",IF(OFFSET(D149,-2,0)=D149,"",VLOOKUP(D149,契約台帳!$A$3:$R$4986,18,FALSE)))</f>
        <v/>
      </c>
      <c r="W149" s="269" t="str">
        <f>IF(D149="","",IF(T149="","",IF(OR(J149="巻足し",J149="巻返しリード付け"),"",IF(J149="巻返し",VLOOKUP(F149&amp;K149&amp;M149,製品マスタ!$M$5:$AD$5002,18,FALSE),IF(OR(J149="リード付け",J149="巻返しリード付け"),"原反コア",IF(J149="スリット",VLOOKUP(F149&amp;K149&amp;R149,製品マスタ!$N$5:$AD$5002,17,FALSE),""))))))</f>
        <v/>
      </c>
      <c r="X149" s="269" t="str">
        <f>IF(D149="","",IF(T149="","",IF(J149="巻足し","",IF(J149="巻返し",VLOOKUP(F149&amp;K149&amp;M149,製品マスタ!$M$5:$AE$5002,19,FALSE),IF(OR(J149="リード付け",J149="巻返しリード付け"),"",IF(J149="スリット",VLOOKUP(F149&amp;K149&amp;R149,製品マスタ!$N$5:$AE$5002,18,FALSE),""))))))</f>
        <v/>
      </c>
      <c r="Y149" s="275" t="str">
        <f>IF(D149="","",IF(T149="","",VLOOKUP(D149,契約台帳!$A$3:$Q$4986,17,FALSE)))</f>
        <v/>
      </c>
      <c r="Z149" s="269" t="str">
        <f>IF(D149="","",IF(T149="","",VLOOKUP(D149,契約台帳!$A$3:$E$4986,5,FALSE)))</f>
        <v/>
      </c>
      <c r="AA149" s="57"/>
      <c r="AB149" s="207" t="str">
        <f>IFERROR((VLOOKUP(F149&amp;K149&amp;M149,製品マスタ!$M$5:$AM$5002,27,FALSE)),"")</f>
        <v/>
      </c>
      <c r="AC149" s="33"/>
      <c r="AD149" s="189"/>
      <c r="AE149" s="54"/>
      <c r="AF149" s="55"/>
      <c r="AG149" s="43"/>
      <c r="AH149" s="47"/>
      <c r="AI149" s="30"/>
      <c r="AJ149" s="30"/>
      <c r="AK149" s="30"/>
      <c r="AL149" s="30"/>
      <c r="AM149" s="13"/>
      <c r="AN149" s="13"/>
      <c r="AO149" s="13"/>
      <c r="AP149" s="13"/>
      <c r="AQ149" s="13"/>
      <c r="AR149" s="14"/>
      <c r="AS149" s="15"/>
    </row>
    <row r="150" spans="1:45" s="17" customFormat="1" ht="30.95" hidden="1" customHeight="1" x14ac:dyDescent="0.2">
      <c r="A150" s="37" t="s">
        <v>798</v>
      </c>
      <c r="B150" s="38" t="s">
        <v>443</v>
      </c>
      <c r="C150" s="45"/>
      <c r="D150" s="31"/>
      <c r="E150" s="31"/>
      <c r="F150" s="268" t="str">
        <f>IF(D150="","",VLOOKUP(D150,契約台帳!$A$3:$K$4986,6,FALSE)&amp;VLOOKUP(D150,契約台帳!$A$3:$K$4986,7,FALSE)&amp;VLOOKUP(D150,契約台帳!$A$3:$K$4986,8,FALSE)&amp;VLOOKUP(D150,契約台帳!$A$3:$K$4986,9,FALSE)&amp;VLOOKUP(D150,契約台帳!$A$3:$K$4986,11,FALSE))</f>
        <v/>
      </c>
      <c r="G150" s="269" t="str">
        <f>IF(D150="","",VLOOKUP(F150,製品マスタ!$G$5:$H$5002,2,FALSE))</f>
        <v/>
      </c>
      <c r="H150" s="269" t="str">
        <f>IF(D150="","",VLOOKUP(F150,製品マスタ!$G$5:$K$5002,5,FALSE))</f>
        <v/>
      </c>
      <c r="I150" s="270" t="str">
        <f>IF(D150="","",VLOOKUP(F150,製品マスタ!$G$5:$L$5002,6,FALSE))</f>
        <v/>
      </c>
      <c r="J150" s="210" t="s">
        <v>665</v>
      </c>
      <c r="K150" s="270" t="str">
        <f>IF(D150="","",VLOOKUP(D150,契約台帳!$A$3:$L$4986,12,FALSE))</f>
        <v/>
      </c>
      <c r="L150" s="270" t="str">
        <f>IF(D150="","",INDEX(製品マスタ!$Q$5:$Q$5002,MATCH('S4'!F150&amp;'S4'!K150,製品マスタ!$AO$5:$AO$5002,0)))</f>
        <v/>
      </c>
      <c r="M150" s="39"/>
      <c r="N150" s="39"/>
      <c r="O150" s="156"/>
      <c r="P150" s="47"/>
      <c r="Q150" s="57"/>
      <c r="R150" s="271" t="str">
        <f ca="1">IF(D150="","",IF(OFFSET(D150,-1,0)&lt;&gt;"","",IF(OR(J150="リード付け",J150="巻足し",J150="巻返しリード付け"),M150,VLOOKUP(D150,契約台帳!$A$3:$N$4986,14,FALSE))))</f>
        <v/>
      </c>
      <c r="S150" s="272" t="str">
        <f ca="1">IF(D150="","",IF(OFFSET(D150,-1,0)&lt;&gt;"","",IF(OR(J150="リード付け",J150="巻足し",J150="巻返しリード付け"),M150,VLOOKUP(D150,契約台帳!$A$3:$O$4986,15,FALSE))))</f>
        <v/>
      </c>
      <c r="T150" s="273" t="str">
        <f ca="1">IF(D150="","",IF(J150="リード付け",N150,IF(J150="巻返しリード付け",N150,IF(J150="巻足し",N150*P150+OFFSET(N150,1,0)*OFFSET(P150,1,0),VLOOKUP(D150,契約台帳!$A$3:$P$4986,16,FALSE)))))</f>
        <v/>
      </c>
      <c r="U150" s="40"/>
      <c r="V150" s="274" t="str">
        <f ca="1">IF(D150="","",IF(OFFSET(D150,-2,0)=D150,"",VLOOKUP(D150,契約台帳!$A$3:$R$4986,18,FALSE)))</f>
        <v/>
      </c>
      <c r="W150" s="269" t="str">
        <f>IF(D150="","",IF(T150="","",IF(OR(J150="巻足し",J150="巻返しリード付け"),"",IF(J150="巻返し",VLOOKUP(F150&amp;K150&amp;M150,製品マスタ!$M$5:$AD$5002,18,FALSE),IF(OR(J150="リード付け",J150="巻返しリード付け"),"原反コア",IF(J150="スリット",VLOOKUP(F150&amp;K150&amp;R150,製品マスタ!$N$5:$AD$5002,17,FALSE),""))))))</f>
        <v/>
      </c>
      <c r="X150" s="269" t="str">
        <f>IF(D150="","",IF(T150="","",IF(J150="巻足し","",IF(J150="巻返し",VLOOKUP(F150&amp;K150&amp;M150,製品マスタ!$M$5:$AE$5002,19,FALSE),IF(OR(J150="リード付け",J150="巻返しリード付け"),"",IF(J150="スリット",VLOOKUP(F150&amp;K150&amp;R150,製品マスタ!$N$5:$AE$5002,18,FALSE),""))))))</f>
        <v/>
      </c>
      <c r="Y150" s="275" t="str">
        <f>IF(D150="","",IF(T150="","",VLOOKUP(D150,契約台帳!$A$3:$Q$4986,17,FALSE)))</f>
        <v/>
      </c>
      <c r="Z150" s="269" t="str">
        <f>IF(D150="","",IF(T150="","",VLOOKUP(D150,契約台帳!$A$3:$E$4986,5,FALSE)))</f>
        <v/>
      </c>
      <c r="AA150" s="57"/>
      <c r="AB150" s="207" t="str">
        <f>IFERROR((VLOOKUP(F150&amp;K150&amp;M150,製品マスタ!$M$5:$AM$5002,27,FALSE)),"")</f>
        <v/>
      </c>
      <c r="AC150" s="33"/>
      <c r="AD150" s="189"/>
      <c r="AE150" s="54"/>
      <c r="AF150" s="55"/>
      <c r="AG150" s="43"/>
      <c r="AH150" s="47"/>
      <c r="AI150" s="30"/>
      <c r="AJ150" s="30"/>
      <c r="AK150" s="30"/>
      <c r="AL150" s="30"/>
      <c r="AM150" s="13"/>
      <c r="AN150" s="13"/>
      <c r="AO150" s="13"/>
      <c r="AP150" s="13"/>
      <c r="AQ150" s="13"/>
      <c r="AR150" s="14"/>
      <c r="AS150" s="15"/>
    </row>
    <row r="151" spans="1:45" s="17" customFormat="1" ht="30.95" hidden="1" customHeight="1" x14ac:dyDescent="0.2">
      <c r="A151" s="37"/>
      <c r="B151" s="38"/>
      <c r="C151" s="45"/>
      <c r="D151" s="31"/>
      <c r="E151" s="31"/>
      <c r="F151" s="268" t="str">
        <f>IF(D151="","",VLOOKUP(D151,契約台帳!$A$3:$K$4986,6,FALSE)&amp;VLOOKUP(D151,契約台帳!$A$3:$K$4986,7,FALSE)&amp;VLOOKUP(D151,契約台帳!$A$3:$K$4986,8,FALSE)&amp;VLOOKUP(D151,契約台帳!$A$3:$K$4986,9,FALSE)&amp;VLOOKUP(D151,契約台帳!$A$3:$K$4986,11,FALSE))</f>
        <v/>
      </c>
      <c r="G151" s="269" t="str">
        <f>IF(D151="","",VLOOKUP(F151,製品マスタ!$G$5:$H$5002,2,FALSE))</f>
        <v/>
      </c>
      <c r="H151" s="269" t="str">
        <f>IF(D151="","",VLOOKUP(F151,製品マスタ!$G$5:$K$5002,5,FALSE))</f>
        <v/>
      </c>
      <c r="I151" s="270" t="str">
        <f>IF(D151="","",VLOOKUP(F151,製品マスタ!$G$5:$L$5002,6,FALSE))</f>
        <v/>
      </c>
      <c r="J151" s="210"/>
      <c r="K151" s="270" t="str">
        <f>IF(D151="","",VLOOKUP(D151,契約台帳!$A$3:$L$4986,12,FALSE))</f>
        <v/>
      </c>
      <c r="L151" s="270" t="str">
        <f>IF(D151="","",INDEX(製品マスタ!$Q$5:$Q$5002,MATCH('S4'!F151&amp;'S4'!K151,製品マスタ!$AO$5:$AO$5002,0)))</f>
        <v/>
      </c>
      <c r="M151" s="39"/>
      <c r="N151" s="39"/>
      <c r="O151" s="156"/>
      <c r="P151" s="47"/>
      <c r="Q151" s="57"/>
      <c r="R151" s="271" t="str">
        <f ca="1">IF(D151="","",IF(OFFSET(D151,-1,0)&lt;&gt;"","",IF(OR(J151="リード付け",J151="巻足し",J151="巻返しリード付け"),M151,VLOOKUP(D151,契約台帳!$A$3:$N$4986,14,FALSE))))</f>
        <v/>
      </c>
      <c r="S151" s="272" t="str">
        <f ca="1">IF(D151="","",IF(OFFSET(D151,-1,0)&lt;&gt;"","",IF(OR(J151="リード付け",J151="巻足し",J151="巻返しリード付け"),M151,VLOOKUP(D151,契約台帳!$A$3:$O$4986,15,FALSE))))</f>
        <v/>
      </c>
      <c r="T151" s="273" t="str">
        <f ca="1">IF(D151="","",IF(J151="リード付け",N151,IF(J151="巻返しリード付け",N151,IF(J151="巻足し",N151*P151+OFFSET(N151,1,0)*OFFSET(P151,1,0),VLOOKUP(D151,契約台帳!$A$3:$P$4986,16,FALSE)))))</f>
        <v/>
      </c>
      <c r="U151" s="40"/>
      <c r="V151" s="274" t="str">
        <f ca="1">IF(D151="","",IF(OFFSET(D151,-2,0)=D151,"",VLOOKUP(D151,契約台帳!$A$3:$R$4986,18,FALSE)))</f>
        <v/>
      </c>
      <c r="W151" s="269" t="str">
        <f>IF(D151="","",IF(T151="","",IF(OR(J151="巻足し",J151="巻返しリード付け"),"",IF(J151="巻返し",VLOOKUP(F151&amp;K151&amp;M151,製品マスタ!$M$5:$AD$5002,18,FALSE),IF(OR(J151="リード付け",J151="巻返しリード付け"),"原反コア",IF(J151="スリット",VLOOKUP(F151&amp;K151&amp;R151,製品マスタ!$N$5:$AD$5002,17,FALSE),""))))))</f>
        <v/>
      </c>
      <c r="X151" s="269" t="str">
        <f>IF(D151="","",IF(T151="","",IF(J151="巻足し","",IF(J151="巻返し",VLOOKUP(F151&amp;K151&amp;M151,製品マスタ!$M$5:$AE$5002,19,FALSE),IF(OR(J151="リード付け",J151="巻返しリード付け"),"",IF(J151="スリット",VLOOKUP(F151&amp;K151&amp;R151,製品マスタ!$N$5:$AE$5002,18,FALSE),""))))))</f>
        <v/>
      </c>
      <c r="Y151" s="275" t="str">
        <f>IF(D151="","",IF(T151="","",VLOOKUP(D151,契約台帳!$A$3:$Q$4986,17,FALSE)))</f>
        <v/>
      </c>
      <c r="Z151" s="269" t="str">
        <f>IF(D151="","",IF(T151="","",VLOOKUP(D151,契約台帳!$A$3:$E$4986,5,FALSE)))</f>
        <v/>
      </c>
      <c r="AA151" s="57"/>
      <c r="AB151" s="207" t="str">
        <f>IFERROR((VLOOKUP(F151&amp;K151&amp;M151,製品マスタ!$M$5:$AM$5002,27,FALSE)),"")</f>
        <v/>
      </c>
      <c r="AC151" s="33"/>
      <c r="AD151" s="189"/>
      <c r="AE151" s="54"/>
      <c r="AF151" s="55"/>
      <c r="AG151" s="43"/>
      <c r="AH151" s="47"/>
      <c r="AI151" s="30"/>
      <c r="AJ151" s="30"/>
      <c r="AK151" s="30"/>
      <c r="AL151" s="30"/>
      <c r="AM151" s="13"/>
      <c r="AN151" s="13"/>
      <c r="AO151" s="13"/>
      <c r="AP151" s="13"/>
      <c r="AQ151" s="13"/>
      <c r="AR151" s="14"/>
      <c r="AS151" s="15"/>
    </row>
    <row r="152" spans="1:45" s="17" customFormat="1" ht="30.95" hidden="1" customHeight="1" x14ac:dyDescent="0.2">
      <c r="A152" s="37"/>
      <c r="B152" s="38"/>
      <c r="C152" s="45"/>
      <c r="D152" s="31">
        <v>3697653</v>
      </c>
      <c r="E152" s="31">
        <v>4161793</v>
      </c>
      <c r="F152" s="268" t="str">
        <f>IF(D152="","",VLOOKUP(D152,契約台帳!$A$3:$K$4986,6,FALSE)&amp;VLOOKUP(D152,契約台帳!$A$3:$K$4986,7,FALSE)&amp;VLOOKUP(D152,契約台帳!$A$3:$K$4986,8,FALSE)&amp;VLOOKUP(D152,契約台帳!$A$3:$K$4986,9,FALSE)&amp;VLOOKUP(D152,契約台帳!$A$3:$K$4986,11,FALSE))</f>
        <v>3HSNMCLBEYK</v>
      </c>
      <c r="G152" s="269" t="str">
        <f>IF(D152="","",VLOOKUP(F152,製品マスタ!$G$5:$H$5002,2,FALSE))</f>
        <v>S</v>
      </c>
      <c r="H152" s="269" t="str">
        <f>IF(D152="","",VLOOKUP(F152,製品マスタ!$G$5:$K$5002,5,FALSE))</f>
        <v>EYK</v>
      </c>
      <c r="I152" s="270" t="str">
        <f>IF(D152="","",VLOOKUP(F152,製品マスタ!$G$5:$L$5002,6,FALSE))</f>
        <v>メタルミー　ＥＹＫ</v>
      </c>
      <c r="J152" s="210" t="s">
        <v>832</v>
      </c>
      <c r="K152" s="270">
        <f>IF(D152="","",VLOOKUP(D152,契約台帳!$A$3:$L$4986,12,FALSE))</f>
        <v>50</v>
      </c>
      <c r="L152" s="270" t="str">
        <f>IF(D152="","",INDEX(製品マスタ!$Q$5:$Q$5002,MATCH('S4'!F152&amp;'S4'!K152,製品マスタ!$AO$5:$AO$5002,0)))</f>
        <v>T62M</v>
      </c>
      <c r="M152" s="39">
        <v>1195</v>
      </c>
      <c r="N152" s="39">
        <v>6100</v>
      </c>
      <c r="O152" s="156">
        <v>6</v>
      </c>
      <c r="P152" s="47">
        <v>2</v>
      </c>
      <c r="Q152" s="213">
        <v>44952</v>
      </c>
      <c r="R152" s="271">
        <f ca="1">IF(D152="","",IF(OFFSET(D152,-1,0)&lt;&gt;"","",IF(OR(J152="リード付け",J152="巻足し",J152="巻返しリード付け"),M152,VLOOKUP(D152,契約台帳!$A$3:$N$4986,14,FALSE))))</f>
        <v>1195</v>
      </c>
      <c r="S152" s="272">
        <f ca="1">IF(D152="","",IF(OFFSET(D152,-1,0)&lt;&gt;"","",IF(OR(J152="リード付け",J152="巻足し",J152="巻返しリード付け"),M152,VLOOKUP(D152,契約台帳!$A$3:$O$4986,15,FALSE))))</f>
        <v>1195</v>
      </c>
      <c r="T152" s="273">
        <f ca="1">IF(D152="","",IF(J152="リード付け",N152,IF(J152="巻返しリード付け",N152,IF(J152="巻足し",N152*P152+OFFSET(N152,1,0)*OFFSET(P152,1,0),VLOOKUP(D152,契約台帳!$A$3:$P$4986,16,FALSE)))))</f>
        <v>12200</v>
      </c>
      <c r="U152" s="40">
        <v>3</v>
      </c>
      <c r="V152" s="274">
        <f ca="1">IF(D152="","",IF(OFFSET(D152,-2,0)=D152,"",VLOOKUP(D152,契約台帳!$A$3:$R$4986,18,FALSE)))</f>
        <v>6</v>
      </c>
      <c r="W152" s="269" t="str">
        <f ca="1">IF(D152="","",IF(T152="","",IF(OR(J152="巻足し",J152="巻返しリード付け"),"",IF(J152="巻返し",VLOOKUP(F152&amp;K152&amp;M152,製品マスタ!$M$5:$AD$5002,18,FALSE),IF(OR(J152="リード付け",J152="巻返しリード付け"),"原反コア",IF(J152="スリット",VLOOKUP(F152&amp;K152&amp;R152,製品マスタ!$N$5:$AD$5002,17,FALSE),""))))))</f>
        <v/>
      </c>
      <c r="X152" s="269" t="str">
        <f ca="1">IF(D152="","",IF(T152="","",IF(J152="巻足し","",IF(J152="巻返し",VLOOKUP(F152&amp;K152&amp;M152,製品マスタ!$M$5:$AE$5002,19,FALSE),IF(OR(J152="リード付け",J152="巻返しリード付け"),"",IF(J152="スリット",VLOOKUP(F152&amp;K152&amp;R152,製品マスタ!$N$5:$AE$5002,18,FALSE),""))))))</f>
        <v/>
      </c>
      <c r="Y152" s="275">
        <f ca="1">IF(D152="","",IF(T152="","",VLOOKUP(D152,契約台帳!$A$3:$Q$4986,17,FALSE)))</f>
        <v>2</v>
      </c>
      <c r="Z152" s="269" t="str">
        <f ca="1">IF(D152="","",IF(T152="","",VLOOKUP(D152,契約台帳!$A$3:$E$4986,5,FALSE)))</f>
        <v>大阪シーリング印刷㈱</v>
      </c>
      <c r="AA152" s="57"/>
      <c r="AB152" s="207" t="str">
        <f>IFERROR((VLOOKUP(F152&amp;K152&amp;M152,製品マスタ!$M$5:$AM$5002,27,FALSE)),"")</f>
        <v>原反ケース再利用</v>
      </c>
      <c r="AC152" s="33"/>
      <c r="AD152" s="189"/>
      <c r="AE152" s="54"/>
      <c r="AF152" s="55"/>
      <c r="AG152" s="43"/>
      <c r="AH152" s="47"/>
      <c r="AI152" s="30"/>
      <c r="AJ152" s="30"/>
      <c r="AK152" s="30"/>
      <c r="AL152" s="30"/>
      <c r="AM152" s="13"/>
      <c r="AN152" s="13"/>
      <c r="AO152" s="13"/>
      <c r="AP152" s="13"/>
      <c r="AQ152" s="13"/>
      <c r="AR152" s="14"/>
      <c r="AS152" s="15"/>
    </row>
    <row r="153" spans="1:45" s="17" customFormat="1" ht="30.95" hidden="1" customHeight="1" x14ac:dyDescent="0.2">
      <c r="A153" s="37"/>
      <c r="B153" s="38"/>
      <c r="C153" s="45"/>
      <c r="D153" s="31"/>
      <c r="E153" s="31"/>
      <c r="F153" s="268" t="str">
        <f>IF(D153="","",VLOOKUP(D153,契約台帳!$A$3:$K$4986,6,FALSE)&amp;VLOOKUP(D153,契約台帳!$A$3:$K$4986,7,FALSE)&amp;VLOOKUP(D153,契約台帳!$A$3:$K$4986,8,FALSE)&amp;VLOOKUP(D153,契約台帳!$A$3:$K$4986,9,FALSE)&amp;VLOOKUP(D153,契約台帳!$A$3:$K$4986,11,FALSE))</f>
        <v/>
      </c>
      <c r="G153" s="269" t="str">
        <f>IF(D153="","",VLOOKUP(F153,製品マスタ!$G$5:$H$5002,2,FALSE))</f>
        <v/>
      </c>
      <c r="H153" s="269" t="str">
        <f>IF(D153="","",VLOOKUP(F153,製品マスタ!$G$5:$K$5002,5,FALSE))</f>
        <v/>
      </c>
      <c r="I153" s="270" t="str">
        <f>IF(D153="","",VLOOKUP(F153,製品マスタ!$G$5:$L$5002,6,FALSE))</f>
        <v/>
      </c>
      <c r="J153" s="210"/>
      <c r="K153" s="270" t="str">
        <f>IF(D153="","",VLOOKUP(D153,契約台帳!$A$3:$L$4986,12,FALSE))</f>
        <v/>
      </c>
      <c r="L153" s="270" t="str">
        <f>IF(D153="","",INDEX(製品マスタ!$Q$5:$Q$5002,MATCH('S4'!F153&amp;'S4'!K153,製品マスタ!$AO$5:$AO$5002,0)))</f>
        <v/>
      </c>
      <c r="M153" s="39"/>
      <c r="N153" s="39"/>
      <c r="O153" s="156"/>
      <c r="P153" s="47"/>
      <c r="Q153" s="57"/>
      <c r="R153" s="271" t="str">
        <f ca="1">IF(D153="","",IF(OFFSET(D153,-1,0)&lt;&gt;"","",IF(OR(J153="リード付け",J153="巻足し",J153="巻返しリード付け"),M153,VLOOKUP(D153,契約台帳!$A$3:$N$4986,14,FALSE))))</f>
        <v/>
      </c>
      <c r="S153" s="272" t="str">
        <f ca="1">IF(D153="","",IF(OFFSET(D153,-1,0)&lt;&gt;"","",IF(OR(J153="リード付け",J153="巻足し",J153="巻返しリード付け"),M153,VLOOKUP(D153,契約台帳!$A$3:$O$4986,15,FALSE))))</f>
        <v/>
      </c>
      <c r="T153" s="273" t="str">
        <f ca="1">IF(D153="","",IF(J153="リード付け",N153,IF(J153="巻返しリード付け",N153,IF(J153="巻足し",N153*P153+OFFSET(N153,1,0)*OFFSET(P153,1,0),VLOOKUP(D153,契約台帳!$A$3:$P$4986,16,FALSE)))))</f>
        <v/>
      </c>
      <c r="U153" s="40"/>
      <c r="V153" s="274" t="str">
        <f ca="1">IF(D153="","",IF(OFFSET(D153,-2,0)=D153,"",VLOOKUP(D153,契約台帳!$A$3:$R$4986,18,FALSE)))</f>
        <v/>
      </c>
      <c r="W153" s="269" t="str">
        <f>IF(D153="","",IF(T153="","",IF(OR(J153="巻足し",J153="巻返しリード付け"),"",IF(J153="巻返し",VLOOKUP(F153&amp;K153&amp;M153,製品マスタ!$M$5:$AD$5002,18,FALSE),IF(OR(J153="リード付け",J153="巻返しリード付け"),"原反コア",IF(J153="スリット",VLOOKUP(F153&amp;K153&amp;R153,製品マスタ!$N$5:$AD$5002,17,FALSE),""))))))</f>
        <v/>
      </c>
      <c r="X153" s="269" t="str">
        <f>IF(D153="","",IF(T153="","",IF(J153="巻足し","",IF(J153="巻返し",VLOOKUP(F153&amp;K153&amp;M153,製品マスタ!$M$5:$AE$5002,19,FALSE),IF(OR(J153="リード付け",J153="巻返しリード付け"),"",IF(J153="スリット",VLOOKUP(F153&amp;K153&amp;R153,製品マスタ!$N$5:$AE$5002,18,FALSE),""))))))</f>
        <v/>
      </c>
      <c r="Y153" s="275" t="str">
        <f>IF(D153="","",IF(T153="","",VLOOKUP(D153,契約台帳!$A$3:$Q$4986,17,FALSE)))</f>
        <v/>
      </c>
      <c r="Z153" s="269" t="str">
        <f>IF(D153="","",IF(T153="","",VLOOKUP(D153,契約台帳!$A$3:$E$4986,5,FALSE)))</f>
        <v/>
      </c>
      <c r="AA153" s="57"/>
      <c r="AB153" s="207" t="str">
        <f>IFERROR((VLOOKUP(F153&amp;K153&amp;M153,製品マスタ!$M$5:$AM$5002,27,FALSE)),"")</f>
        <v/>
      </c>
      <c r="AC153" s="33"/>
      <c r="AD153" s="189"/>
      <c r="AE153" s="54"/>
      <c r="AF153" s="55"/>
      <c r="AG153" s="43"/>
      <c r="AH153" s="47"/>
      <c r="AI153" s="30"/>
      <c r="AJ153" s="30"/>
      <c r="AK153" s="30"/>
      <c r="AL153" s="30"/>
      <c r="AM153" s="13"/>
      <c r="AN153" s="13"/>
      <c r="AO153" s="13"/>
      <c r="AP153" s="13"/>
      <c r="AQ153" s="13"/>
      <c r="AR153" s="14"/>
      <c r="AS153" s="15"/>
    </row>
    <row r="154" spans="1:45" s="17" customFormat="1" ht="30.95" hidden="1" customHeight="1" x14ac:dyDescent="0.2">
      <c r="A154" s="37" t="s">
        <v>857</v>
      </c>
      <c r="B154" s="38" t="s">
        <v>858</v>
      </c>
      <c r="C154" s="45"/>
      <c r="D154" s="31">
        <v>3697656</v>
      </c>
      <c r="E154" s="31">
        <v>4161820</v>
      </c>
      <c r="F154" s="268" t="str">
        <f>IF(D154="","",VLOOKUP(D154,契約台帳!$A$3:$K$4986,6,FALSE)&amp;VLOOKUP(D154,契約台帳!$A$3:$K$4986,7,FALSE)&amp;VLOOKUP(D154,契約台帳!$A$3:$K$4986,8,FALSE)&amp;VLOOKUP(D154,契約台帳!$A$3:$K$4986,9,FALSE)&amp;VLOOKUP(D154,契約台帳!$A$3:$K$4986,11,FALSE))</f>
        <v>3SNMCLBEYK</v>
      </c>
      <c r="G154" s="269" t="str">
        <f>IF(D154="","",VLOOKUP(F154,製品マスタ!$G$5:$H$5002,2,FALSE))</f>
        <v>S</v>
      </c>
      <c r="H154" s="269" t="str">
        <f>IF(D154="","",VLOOKUP(F154,製品マスタ!$G$5:$K$5002,5,FALSE))</f>
        <v>EYK</v>
      </c>
      <c r="I154" s="270" t="str">
        <f>IF(D154="","",VLOOKUP(F154,製品マスタ!$G$5:$L$5002,6,FALSE))</f>
        <v>メタルミー　ＥＹＫ</v>
      </c>
      <c r="J154" s="210" t="s">
        <v>832</v>
      </c>
      <c r="K154" s="270">
        <f>IF(D154="","",VLOOKUP(D154,契約台帳!$A$3:$L$4986,12,FALSE))</f>
        <v>50</v>
      </c>
      <c r="L154" s="270" t="str">
        <f>IF(D154="","",INDEX(製品マスタ!$Q$5:$Q$5002,MATCH('S4'!F154&amp;'S4'!K154,製品マスタ!$AO$5:$AO$5002,0)))</f>
        <v>T62M</v>
      </c>
      <c r="M154" s="39">
        <v>1125</v>
      </c>
      <c r="N154" s="39">
        <v>6100</v>
      </c>
      <c r="O154" s="156">
        <v>4</v>
      </c>
      <c r="P154" s="47">
        <v>2</v>
      </c>
      <c r="Q154" s="213">
        <v>44952</v>
      </c>
      <c r="R154" s="271">
        <f ca="1">IF(D154="","",IF(OFFSET(D154,-1,0)&lt;&gt;"","",IF(OR(J154="リード付け",J154="巻足し",J154="巻返しリード付け"),M154,VLOOKUP(D154,契約台帳!$A$3:$N$4986,14,FALSE))))</f>
        <v>1125</v>
      </c>
      <c r="S154" s="272">
        <f ca="1">IF(D154="","",IF(OFFSET(D154,-1,0)&lt;&gt;"","",IF(OR(J154="リード付け",J154="巻足し",J154="巻返しリード付け"),M154,VLOOKUP(D154,契約台帳!$A$3:$O$4986,15,FALSE))))</f>
        <v>1125</v>
      </c>
      <c r="T154" s="273">
        <f ca="1">IF(D154="","",IF(J154="リード付け",N154,IF(J154="巻返しリード付け",N154,IF(J154="巻足し",N154*P154+OFFSET(N154,1,0)*OFFSET(P154,1,0),VLOOKUP(D154,契約台帳!$A$3:$P$4986,16,FALSE)))))</f>
        <v>12200</v>
      </c>
      <c r="U154" s="40">
        <v>2</v>
      </c>
      <c r="V154" s="274">
        <f ca="1">IF(D154="","",IF(OFFSET(D154,-2,0)=D154,"",VLOOKUP(D154,契約台帳!$A$3:$R$4986,18,FALSE)))</f>
        <v>4</v>
      </c>
      <c r="W154" s="269" t="str">
        <f ca="1">IF(D154="","",IF(T154="","",IF(OR(J154="巻足し",J154="巻返しリード付け"),"",IF(J154="巻返し",VLOOKUP(F154&amp;K154&amp;M154,製品マスタ!$M$5:$AD$5002,18,FALSE),IF(OR(J154="リード付け",J154="巻返しリード付け"),"原反コア",IF(J154="スリット",VLOOKUP(F154&amp;K154&amp;R154,製品マスタ!$N$5:$AD$5002,17,FALSE),""))))))</f>
        <v/>
      </c>
      <c r="X154" s="269" t="str">
        <f ca="1">IF(D154="","",IF(T154="","",IF(J154="巻足し","",IF(J154="巻返し",VLOOKUP(F154&amp;K154&amp;M154,製品マスタ!$M$5:$AE$5002,19,FALSE),IF(OR(J154="リード付け",J154="巻返しリード付け"),"",IF(J154="スリット",VLOOKUP(F154&amp;K154&amp;R154,製品マスタ!$N$5:$AE$5002,18,FALSE),""))))))</f>
        <v/>
      </c>
      <c r="Y154" s="275">
        <f ca="1">IF(D154="","",IF(T154="","",VLOOKUP(D154,契約台帳!$A$3:$Q$4986,17,FALSE)))</f>
        <v>2</v>
      </c>
      <c r="Z154" s="269" t="str">
        <f ca="1">IF(D154="","",IF(T154="","",VLOOKUP(D154,契約台帳!$A$3:$E$4986,5,FALSE)))</f>
        <v>新タック化成㈱</v>
      </c>
      <c r="AA154" s="57"/>
      <c r="AB154" s="207" t="str">
        <f>IFERROR((VLOOKUP(F154&amp;K154&amp;M154,製品マスタ!$M$5:$AM$5002,27,FALSE)),"")</f>
        <v>原反ケース再利用</v>
      </c>
      <c r="AC154" s="33"/>
      <c r="AD154" s="189"/>
      <c r="AE154" s="54"/>
      <c r="AF154" s="55"/>
      <c r="AG154" s="43"/>
      <c r="AH154" s="47"/>
      <c r="AI154" s="30"/>
      <c r="AJ154" s="30"/>
      <c r="AK154" s="30"/>
      <c r="AL154" s="30"/>
      <c r="AM154" s="13"/>
      <c r="AN154" s="13"/>
      <c r="AO154" s="13"/>
      <c r="AP154" s="13"/>
      <c r="AQ154" s="13"/>
      <c r="AR154" s="14"/>
      <c r="AS154" s="15"/>
    </row>
    <row r="155" spans="1:45" s="17" customFormat="1" ht="30.95" hidden="1" customHeight="1" x14ac:dyDescent="0.2">
      <c r="A155" s="37"/>
      <c r="B155" s="38"/>
      <c r="C155" s="45"/>
      <c r="D155" s="31"/>
      <c r="E155" s="31"/>
      <c r="F155" s="268" t="str">
        <f>IF(D155="","",VLOOKUP(D155,契約台帳!$A$3:$K$4986,6,FALSE)&amp;VLOOKUP(D155,契約台帳!$A$3:$K$4986,7,FALSE)&amp;VLOOKUP(D155,契約台帳!$A$3:$K$4986,8,FALSE)&amp;VLOOKUP(D155,契約台帳!$A$3:$K$4986,9,FALSE)&amp;VLOOKUP(D155,契約台帳!$A$3:$K$4986,11,FALSE))</f>
        <v/>
      </c>
      <c r="G155" s="269" t="str">
        <f>IF(D155="","",VLOOKUP(F155,製品マスタ!$G$5:$H$5002,2,FALSE))</f>
        <v/>
      </c>
      <c r="H155" s="269" t="str">
        <f>IF(D155="","",VLOOKUP(F155,製品マスタ!$G$5:$K$5002,5,FALSE))</f>
        <v/>
      </c>
      <c r="I155" s="270" t="str">
        <f>IF(D155="","",VLOOKUP(F155,製品マスタ!$G$5:$L$5002,6,FALSE))</f>
        <v/>
      </c>
      <c r="J155" s="210"/>
      <c r="K155" s="270" t="str">
        <f>IF(D155="","",VLOOKUP(D155,契約台帳!$A$3:$L$4986,12,FALSE))</f>
        <v/>
      </c>
      <c r="L155" s="270" t="str">
        <f>IF(D155="","",INDEX(製品マスタ!$Q$5:$Q$5002,MATCH('S4'!F155&amp;'S4'!K155,製品マスタ!$AO$5:$AO$5002,0)))</f>
        <v/>
      </c>
      <c r="M155" s="39"/>
      <c r="N155" s="39"/>
      <c r="O155" s="156"/>
      <c r="P155" s="47"/>
      <c r="Q155" s="57"/>
      <c r="R155" s="271" t="str">
        <f ca="1">IF(D155="","",IF(OFFSET(D155,-1,0)&lt;&gt;"","",IF(OR(J155="リード付け",J155="巻足し",J155="巻返しリード付け"),M155,VLOOKUP(D155,契約台帳!$A$3:$N$4986,14,FALSE))))</f>
        <v/>
      </c>
      <c r="S155" s="272" t="str">
        <f ca="1">IF(D155="","",IF(OFFSET(D155,-1,0)&lt;&gt;"","",IF(OR(J155="リード付け",J155="巻足し",J155="巻返しリード付け"),M155,VLOOKUP(D155,契約台帳!$A$3:$O$4986,15,FALSE))))</f>
        <v/>
      </c>
      <c r="T155" s="273" t="str">
        <f ca="1">IF(D155="","",IF(J155="リード付け",N155,IF(J155="巻返しリード付け",N155,IF(J155="巻足し",N155*P155+OFFSET(N155,1,0)*OFFSET(P155,1,0),VLOOKUP(D155,契約台帳!$A$3:$P$4986,16,FALSE)))))</f>
        <v/>
      </c>
      <c r="U155" s="40"/>
      <c r="V155" s="274" t="str">
        <f ca="1">IF(D155="","",IF(OFFSET(D155,-2,0)=D155,"",VLOOKUP(D155,契約台帳!$A$3:$R$4986,18,FALSE)))</f>
        <v/>
      </c>
      <c r="W155" s="269" t="str">
        <f>IF(D155="","",IF(T155="","",IF(OR(J155="巻足し",J155="巻返しリード付け"),"",IF(J155="巻返し",VLOOKUP(F155&amp;K155&amp;M155,製品マスタ!$M$5:$AD$5002,18,FALSE),IF(OR(J155="リード付け",J155="巻返しリード付け"),"原反コア",IF(J155="スリット",VLOOKUP(F155&amp;K155&amp;R155,製品マスタ!$N$5:$AD$5002,17,FALSE),""))))))</f>
        <v/>
      </c>
      <c r="X155" s="269" t="str">
        <f>IF(D155="","",IF(T155="","",IF(J155="巻足し","",IF(J155="巻返し",VLOOKUP(F155&amp;K155&amp;M155,製品マスタ!$M$5:$AE$5002,19,FALSE),IF(OR(J155="リード付け",J155="巻返しリード付け"),"",IF(J155="スリット",VLOOKUP(F155&amp;K155&amp;R155,製品マスタ!$N$5:$AE$5002,18,FALSE),""))))))</f>
        <v/>
      </c>
      <c r="Y155" s="275" t="str">
        <f>IF(D155="","",IF(T155="","",VLOOKUP(D155,契約台帳!$A$3:$Q$4986,17,FALSE)))</f>
        <v/>
      </c>
      <c r="Z155" s="269" t="str">
        <f>IF(D155="","",IF(T155="","",VLOOKUP(D155,契約台帳!$A$3:$E$4986,5,FALSE)))</f>
        <v/>
      </c>
      <c r="AA155" s="57"/>
      <c r="AB155" s="207" t="str">
        <f>IFERROR((VLOOKUP(F155&amp;K155&amp;M155,製品マスタ!$M$5:$AM$5002,27,FALSE)),"")</f>
        <v/>
      </c>
      <c r="AC155" s="33"/>
      <c r="AD155" s="189"/>
      <c r="AE155" s="54"/>
      <c r="AF155" s="55"/>
      <c r="AG155" s="43"/>
      <c r="AH155" s="47"/>
      <c r="AI155" s="30"/>
      <c r="AJ155" s="30"/>
      <c r="AK155" s="30"/>
      <c r="AL155" s="30"/>
      <c r="AM155" s="13"/>
      <c r="AN155" s="13"/>
      <c r="AO155" s="13"/>
      <c r="AP155" s="13"/>
      <c r="AQ155" s="13"/>
      <c r="AR155" s="14"/>
      <c r="AS155" s="15"/>
    </row>
    <row r="156" spans="1:45" s="17" customFormat="1" ht="30.95" hidden="1" customHeight="1" x14ac:dyDescent="0.2">
      <c r="A156" s="37"/>
      <c r="B156" s="38"/>
      <c r="C156" s="45"/>
      <c r="D156" s="31">
        <v>3697664</v>
      </c>
      <c r="E156" s="31">
        <v>4161806</v>
      </c>
      <c r="F156" s="268" t="str">
        <f>IF(D156="","",VLOOKUP(D156,契約台帳!$A$3:$K$4986,6,FALSE)&amp;VLOOKUP(D156,契約台帳!$A$3:$K$4986,7,FALSE)&amp;VLOOKUP(D156,契約台帳!$A$3:$K$4986,8,FALSE)&amp;VLOOKUP(D156,契約台帳!$A$3:$K$4986,9,FALSE)&amp;VLOOKUP(D156,契約台帳!$A$3:$K$4986,11,FALSE))</f>
        <v>3SNMLBMNGTBF</v>
      </c>
      <c r="G156" s="269" t="str">
        <f>IF(D156="","",VLOOKUP(F156,製品マスタ!$G$5:$H$5002,2,FALSE))</f>
        <v>S</v>
      </c>
      <c r="H156" s="269" t="str">
        <f>IF(D156="","",VLOOKUP(F156,製品マスタ!$G$5:$K$5002,5,FALSE))</f>
        <v>MNGTBF</v>
      </c>
      <c r="I156" s="270" t="str">
        <f>IF(D156="","",VLOOKUP(F156,製品マスタ!$G$5:$L$5002,6,FALSE))</f>
        <v>メタルミー　ネーマー　銀艶　Ｂ</v>
      </c>
      <c r="J156" s="210" t="s">
        <v>832</v>
      </c>
      <c r="K156" s="270">
        <f>IF(D156="","",VLOOKUP(D156,契約台帳!$A$3:$L$4986,12,FALSE))</f>
        <v>50</v>
      </c>
      <c r="L156" s="270" t="str">
        <f>IF(D156="","",INDEX(製品マスタ!$Q$5:$Q$5002,MATCH('S4'!F156&amp;'S4'!K156,製品マスタ!$AO$5:$AO$5002,0)))</f>
        <v>T62</v>
      </c>
      <c r="M156" s="39">
        <v>1120</v>
      </c>
      <c r="N156" s="39">
        <v>5000</v>
      </c>
      <c r="O156" s="156">
        <v>12</v>
      </c>
      <c r="P156" s="47">
        <v>2</v>
      </c>
      <c r="Q156" s="213">
        <v>44952</v>
      </c>
      <c r="R156" s="271">
        <f ca="1">IF(D156="","",IF(OFFSET(D156,-1,0)&lt;&gt;"","",IF(OR(J156="リード付け",J156="巻足し",J156="巻返しリード付け"),M156,VLOOKUP(D156,契約台帳!$A$3:$N$4986,14,FALSE))))</f>
        <v>1120</v>
      </c>
      <c r="S156" s="272">
        <f ca="1">IF(D156="","",IF(OFFSET(D156,-1,0)&lt;&gt;"","",IF(OR(J156="リード付け",J156="巻足し",J156="巻返しリード付け"),M156,VLOOKUP(D156,契約台帳!$A$3:$O$4986,15,FALSE))))</f>
        <v>1120</v>
      </c>
      <c r="T156" s="273">
        <f ca="1">IF(D156="","",IF(J156="リード付け",N156,IF(J156="巻返しリード付け",N156,IF(J156="巻足し",N156*P156+OFFSET(N156,1,0)*OFFSET(P156,1,0),VLOOKUP(D156,契約台帳!$A$3:$P$4986,16,FALSE)))))</f>
        <v>10000</v>
      </c>
      <c r="U156" s="40">
        <v>6</v>
      </c>
      <c r="V156" s="274">
        <f ca="1">IF(D156="","",IF(OFFSET(D156,-2,0)=D156,"",VLOOKUP(D156,契約台帳!$A$3:$R$4986,18,FALSE)))</f>
        <v>12</v>
      </c>
      <c r="W156" s="269" t="str">
        <f ca="1">IF(D156="","",IF(T156="","",IF(OR(J156="巻足し",J156="巻返しリード付け"),"",IF(J156="巻返し",VLOOKUP(F156&amp;K156&amp;M156,製品マスタ!$M$5:$AD$5002,18,FALSE),IF(OR(J156="リード付け",J156="巻返しリード付け"),"原反コア",IF(J156="スリット",VLOOKUP(F156&amp;K156&amp;R156,製品マスタ!$N$5:$AD$5002,17,FALSE),""))))))</f>
        <v/>
      </c>
      <c r="X156" s="269" t="str">
        <f ca="1">IF(D156="","",IF(T156="","",IF(J156="巻足し","",IF(J156="巻返し",VLOOKUP(F156&amp;K156&amp;M156,製品マスタ!$M$5:$AE$5002,19,FALSE),IF(OR(J156="リード付け",J156="巻返しリード付け"),"",IF(J156="スリット",VLOOKUP(F156&amp;K156&amp;R156,製品マスタ!$N$5:$AE$5002,18,FALSE),""))))))</f>
        <v/>
      </c>
      <c r="Y156" s="275">
        <f ca="1">IF(D156="","",IF(T156="","",VLOOKUP(D156,契約台帳!$A$3:$Q$4986,17,FALSE)))</f>
        <v>2</v>
      </c>
      <c r="Z156" s="269" t="str">
        <f ca="1">IF(D156="","",IF(T156="","",VLOOKUP(D156,契約台帳!$A$3:$E$4986,5,FALSE)))</f>
        <v>リンテック㈱</v>
      </c>
      <c r="AA156" s="57"/>
      <c r="AB156" s="207" t="str">
        <f>IFERROR((VLOOKUP(F156&amp;K156&amp;M156,製品マスタ!$M$5:$AM$5002,27,FALSE)),"")</f>
        <v>原反ケース再利用</v>
      </c>
      <c r="AC156" s="33"/>
      <c r="AD156" s="189"/>
      <c r="AE156" s="54"/>
      <c r="AF156" s="55"/>
      <c r="AG156" s="43"/>
      <c r="AH156" s="47"/>
      <c r="AI156" s="30"/>
      <c r="AJ156" s="30"/>
      <c r="AK156" s="30"/>
      <c r="AL156" s="30"/>
      <c r="AM156" s="13"/>
      <c r="AN156" s="13"/>
      <c r="AO156" s="13"/>
      <c r="AP156" s="13"/>
      <c r="AQ156" s="13"/>
      <c r="AR156" s="14"/>
      <c r="AS156" s="15"/>
    </row>
    <row r="157" spans="1:45" s="17" customFormat="1" ht="30.95" hidden="1" customHeight="1" x14ac:dyDescent="0.2">
      <c r="A157" s="37"/>
      <c r="B157" s="38"/>
      <c r="C157" s="45"/>
      <c r="D157" s="31"/>
      <c r="E157" s="31"/>
      <c r="F157" s="268" t="str">
        <f>IF(D157="","",VLOOKUP(D157,契約台帳!$A$3:$K$4986,6,FALSE)&amp;VLOOKUP(D157,契約台帳!$A$3:$K$4986,7,FALSE)&amp;VLOOKUP(D157,契約台帳!$A$3:$K$4986,8,FALSE)&amp;VLOOKUP(D157,契約台帳!$A$3:$K$4986,9,FALSE)&amp;VLOOKUP(D157,契約台帳!$A$3:$K$4986,11,FALSE))</f>
        <v/>
      </c>
      <c r="G157" s="269" t="str">
        <f>IF(D157="","",VLOOKUP(F157,製品マスタ!$G$5:$H$5002,2,FALSE))</f>
        <v/>
      </c>
      <c r="H157" s="269" t="str">
        <f>IF(D157="","",VLOOKUP(F157,製品マスタ!$G$5:$K$5002,5,FALSE))</f>
        <v/>
      </c>
      <c r="I157" s="270" t="str">
        <f>IF(D157="","",VLOOKUP(F157,製品マスタ!$G$5:$L$5002,6,FALSE))</f>
        <v/>
      </c>
      <c r="J157" s="210"/>
      <c r="K157" s="270" t="str">
        <f>IF(D157="","",VLOOKUP(D157,契約台帳!$A$3:$L$4986,12,FALSE))</f>
        <v/>
      </c>
      <c r="L157" s="270" t="str">
        <f>IF(D157="","",INDEX(製品マスタ!$Q$5:$Q$5002,MATCH('S4'!F157&amp;'S4'!K157,製品マスタ!$AO$5:$AO$5002,0)))</f>
        <v/>
      </c>
      <c r="M157" s="39"/>
      <c r="N157" s="39"/>
      <c r="O157" s="156"/>
      <c r="P157" s="47"/>
      <c r="Q157" s="57"/>
      <c r="R157" s="271" t="str">
        <f ca="1">IF(D157="","",IF(OFFSET(D157,-1,0)&lt;&gt;"","",IF(OR(J157="リード付け",J157="巻足し",J157="巻返しリード付け"),M157,VLOOKUP(D157,契約台帳!$A$3:$N$4986,14,FALSE))))</f>
        <v/>
      </c>
      <c r="S157" s="272" t="str">
        <f ca="1">IF(D157="","",IF(OFFSET(D157,-1,0)&lt;&gt;"","",IF(OR(J157="リード付け",J157="巻足し",J157="巻返しリード付け"),M157,VLOOKUP(D157,契約台帳!$A$3:$O$4986,15,FALSE))))</f>
        <v/>
      </c>
      <c r="T157" s="273" t="str">
        <f ca="1">IF(D157="","",IF(J157="リード付け",N157,IF(J157="巻返しリード付け",N157,IF(J157="巻足し",N157*P157+OFFSET(N157,1,0)*OFFSET(P157,1,0),VLOOKUP(D157,契約台帳!$A$3:$P$4986,16,FALSE)))))</f>
        <v/>
      </c>
      <c r="U157" s="40"/>
      <c r="V157" s="274" t="str">
        <f ca="1">IF(D157="","",IF(OFFSET(D157,-2,0)=D157,"",VLOOKUP(D157,契約台帳!$A$3:$R$4986,18,FALSE)))</f>
        <v/>
      </c>
      <c r="W157" s="269" t="str">
        <f>IF(D157="","",IF(T157="","",IF(OR(J157="巻足し",J157="巻返しリード付け"),"",IF(J157="巻返し",VLOOKUP(F157&amp;K157&amp;M157,製品マスタ!$M$5:$AD$5002,18,FALSE),IF(OR(J157="リード付け",J157="巻返しリード付け"),"原反コア",IF(J157="スリット",VLOOKUP(F157&amp;K157&amp;R157,製品マスタ!$N$5:$AD$5002,17,FALSE),""))))))</f>
        <v/>
      </c>
      <c r="X157" s="269" t="str">
        <f>IF(D157="","",IF(T157="","",IF(J157="巻足し","",IF(J157="巻返し",VLOOKUP(F157&amp;K157&amp;M157,製品マスタ!$M$5:$AE$5002,19,FALSE),IF(OR(J157="リード付け",J157="巻返しリード付け"),"",IF(J157="スリット",VLOOKUP(F157&amp;K157&amp;R157,製品マスタ!$N$5:$AE$5002,18,FALSE),""))))))</f>
        <v/>
      </c>
      <c r="Y157" s="275" t="str">
        <f>IF(D157="","",IF(T157="","",VLOOKUP(D157,契約台帳!$A$3:$Q$4986,17,FALSE)))</f>
        <v/>
      </c>
      <c r="Z157" s="269" t="str">
        <f>IF(D157="","",IF(T157="","",VLOOKUP(D157,契約台帳!$A$3:$E$4986,5,FALSE)))</f>
        <v/>
      </c>
      <c r="AA157" s="57"/>
      <c r="AB157" s="207" t="str">
        <f>IFERROR((VLOOKUP(F157&amp;K157&amp;M157,製品マスタ!$M$5:$AM$5002,27,FALSE)),"")</f>
        <v/>
      </c>
      <c r="AC157" s="33"/>
      <c r="AD157" s="189"/>
      <c r="AE157" s="54"/>
      <c r="AF157" s="55"/>
      <c r="AG157" s="43"/>
      <c r="AH157" s="47"/>
      <c r="AI157" s="30"/>
      <c r="AJ157" s="30"/>
      <c r="AK157" s="30"/>
      <c r="AL157" s="30"/>
      <c r="AM157" s="13"/>
      <c r="AN157" s="13"/>
      <c r="AO157" s="13"/>
      <c r="AP157" s="13"/>
      <c r="AQ157" s="13"/>
      <c r="AR157" s="14"/>
      <c r="AS157" s="15"/>
    </row>
    <row r="158" spans="1:45" s="17" customFormat="1" ht="30.95" hidden="1" customHeight="1" x14ac:dyDescent="0.2">
      <c r="A158" s="37" t="s">
        <v>859</v>
      </c>
      <c r="B158" s="38" t="s">
        <v>860</v>
      </c>
      <c r="C158" s="45"/>
      <c r="D158" s="31">
        <v>3697665</v>
      </c>
      <c r="E158" s="31">
        <v>4161807</v>
      </c>
      <c r="F158" s="268" t="str">
        <f>IF(D158="","",VLOOKUP(D158,契約台帳!$A$3:$K$4986,6,FALSE)&amp;VLOOKUP(D158,契約台帳!$A$3:$K$4986,7,FALSE)&amp;VLOOKUP(D158,契約台帳!$A$3:$K$4986,8,FALSE)&amp;VLOOKUP(D158,契約台帳!$A$3:$K$4986,9,FALSE)&amp;VLOOKUP(D158,契約台帳!$A$3:$K$4986,11,FALSE))</f>
        <v>3SNMLBMNGTBF</v>
      </c>
      <c r="G158" s="269" t="str">
        <f>IF(D158="","",VLOOKUP(F158,製品マスタ!$G$5:$H$5002,2,FALSE))</f>
        <v>S</v>
      </c>
      <c r="H158" s="269" t="str">
        <f>IF(D158="","",VLOOKUP(F158,製品マスタ!$G$5:$K$5002,5,FALSE))</f>
        <v>MNGTBF</v>
      </c>
      <c r="I158" s="270" t="str">
        <f>IF(D158="","",VLOOKUP(F158,製品マスタ!$G$5:$L$5002,6,FALSE))</f>
        <v>メタルミー　ネーマー　銀艶　Ｂ</v>
      </c>
      <c r="J158" s="210" t="s">
        <v>832</v>
      </c>
      <c r="K158" s="270">
        <f>IF(D158="","",VLOOKUP(D158,契約台帳!$A$3:$L$4986,12,FALSE))</f>
        <v>50</v>
      </c>
      <c r="L158" s="270" t="str">
        <f>IF(D158="","",INDEX(製品マスタ!$Q$5:$Q$5002,MATCH('S4'!F158&amp;'S4'!K158,製品マスタ!$AO$5:$AO$5002,0)))</f>
        <v>T62</v>
      </c>
      <c r="M158" s="39">
        <v>1120</v>
      </c>
      <c r="N158" s="39">
        <v>5000</v>
      </c>
      <c r="O158" s="156">
        <v>8</v>
      </c>
      <c r="P158" s="47">
        <v>2</v>
      </c>
      <c r="Q158" s="213">
        <v>44952</v>
      </c>
      <c r="R158" s="271">
        <f ca="1">IF(D158="","",IF(OFFSET(D158,-1,0)&lt;&gt;"","",IF(OR(J158="リード付け",J158="巻足し",J158="巻返しリード付け"),M158,VLOOKUP(D158,契約台帳!$A$3:$N$4986,14,FALSE))))</f>
        <v>1120</v>
      </c>
      <c r="S158" s="272">
        <f ca="1">IF(D158="","",IF(OFFSET(D158,-1,0)&lt;&gt;"","",IF(OR(J158="リード付け",J158="巻足し",J158="巻返しリード付け"),M158,VLOOKUP(D158,契約台帳!$A$3:$O$4986,15,FALSE))))</f>
        <v>1120</v>
      </c>
      <c r="T158" s="273">
        <f ca="1">IF(D158="","",IF(J158="リード付け",N158,IF(J158="巻返しリード付け",N158,IF(J158="巻足し",N158*P158+OFFSET(N158,1,0)*OFFSET(P158,1,0),VLOOKUP(D158,契約台帳!$A$3:$P$4986,16,FALSE)))))</f>
        <v>10000</v>
      </c>
      <c r="U158" s="40">
        <v>4</v>
      </c>
      <c r="V158" s="274">
        <f ca="1">IF(D158="","",IF(OFFSET(D158,-2,0)=D158,"",VLOOKUP(D158,契約台帳!$A$3:$R$4986,18,FALSE)))</f>
        <v>12</v>
      </c>
      <c r="W158" s="269" t="str">
        <f ca="1">IF(D158="","",IF(T158="","",IF(OR(J158="巻足し",J158="巻返しリード付け"),"",IF(J158="巻返し",VLOOKUP(F158&amp;K158&amp;M158,製品マスタ!$M$5:$AD$5002,18,FALSE),IF(OR(J158="リード付け",J158="巻返しリード付け"),"原反コア",IF(J158="スリット",VLOOKUP(F158&amp;K158&amp;R158,製品マスタ!$N$5:$AD$5002,17,FALSE),""))))))</f>
        <v/>
      </c>
      <c r="X158" s="269" t="str">
        <f ca="1">IF(D158="","",IF(T158="","",IF(J158="巻足し","",IF(J158="巻返し",VLOOKUP(F158&amp;K158&amp;M158,製品マスタ!$M$5:$AE$5002,19,FALSE),IF(OR(J158="リード付け",J158="巻返しリード付け"),"",IF(J158="スリット",VLOOKUP(F158&amp;K158&amp;R158,製品マスタ!$N$5:$AE$5002,18,FALSE),""))))))</f>
        <v/>
      </c>
      <c r="Y158" s="275">
        <f ca="1">IF(D158="","",IF(T158="","",VLOOKUP(D158,契約台帳!$A$3:$Q$4986,17,FALSE)))</f>
        <v>2</v>
      </c>
      <c r="Z158" s="269" t="str">
        <f ca="1">IF(D158="","",IF(T158="","",VLOOKUP(D158,契約台帳!$A$3:$E$4986,5,FALSE)))</f>
        <v>リンテック㈱</v>
      </c>
      <c r="AA158" s="57"/>
      <c r="AB158" s="207" t="str">
        <f>IFERROR((VLOOKUP(F158&amp;K158&amp;M158,製品マスタ!$M$5:$AM$5002,27,FALSE)),"")</f>
        <v>原反ケース再利用</v>
      </c>
      <c r="AC158" s="33"/>
      <c r="AD158" s="189"/>
      <c r="AE158" s="54"/>
      <c r="AF158" s="55"/>
      <c r="AG158" s="43"/>
      <c r="AH158" s="47"/>
      <c r="AI158" s="30"/>
      <c r="AJ158" s="30"/>
      <c r="AK158" s="30"/>
      <c r="AL158" s="30"/>
      <c r="AM158" s="13"/>
      <c r="AN158" s="13"/>
      <c r="AO158" s="13"/>
      <c r="AP158" s="13"/>
      <c r="AQ158" s="13"/>
      <c r="AR158" s="14"/>
      <c r="AS158" s="15"/>
    </row>
    <row r="159" spans="1:45" s="17" customFormat="1" ht="30.95" hidden="1" customHeight="1" x14ac:dyDescent="0.2">
      <c r="A159" s="37"/>
      <c r="B159" s="38"/>
      <c r="C159" s="45"/>
      <c r="D159" s="31"/>
      <c r="E159" s="31"/>
      <c r="F159" s="268" t="str">
        <f>IF(D159="","",VLOOKUP(D159,契約台帳!$A$3:$K$4986,6,FALSE)&amp;VLOOKUP(D159,契約台帳!$A$3:$K$4986,7,FALSE)&amp;VLOOKUP(D159,契約台帳!$A$3:$K$4986,8,FALSE)&amp;VLOOKUP(D159,契約台帳!$A$3:$K$4986,9,FALSE)&amp;VLOOKUP(D159,契約台帳!$A$3:$K$4986,11,FALSE))</f>
        <v/>
      </c>
      <c r="G159" s="269" t="str">
        <f>IF(D159="","",VLOOKUP(F159,製品マスタ!$G$5:$H$5002,2,FALSE))</f>
        <v/>
      </c>
      <c r="H159" s="269" t="str">
        <f>IF(D159="","",VLOOKUP(F159,製品マスタ!$G$5:$K$5002,5,FALSE))</f>
        <v/>
      </c>
      <c r="I159" s="270" t="str">
        <f>IF(D159="","",VLOOKUP(F159,製品マスタ!$G$5:$L$5002,6,FALSE))</f>
        <v/>
      </c>
      <c r="J159" s="210"/>
      <c r="K159" s="270" t="str">
        <f>IF(D159="","",VLOOKUP(D159,契約台帳!$A$3:$L$4986,12,FALSE))</f>
        <v/>
      </c>
      <c r="L159" s="270" t="str">
        <f>IF(D159="","",INDEX(製品マスタ!$Q$5:$Q$5002,MATCH('S4'!F159&amp;'S4'!K159,製品マスタ!$AO$5:$AO$5002,0)))</f>
        <v/>
      </c>
      <c r="M159" s="39"/>
      <c r="N159" s="39"/>
      <c r="O159" s="156"/>
      <c r="P159" s="47"/>
      <c r="Q159" s="57"/>
      <c r="R159" s="271" t="str">
        <f ca="1">IF(D159="","",IF(OFFSET(D159,-1,0)&lt;&gt;"","",IF(OR(J159="リード付け",J159="巻足し",J159="巻返しリード付け"),M159,VLOOKUP(D159,契約台帳!$A$3:$N$4986,14,FALSE))))</f>
        <v/>
      </c>
      <c r="S159" s="272" t="str">
        <f ca="1">IF(D159="","",IF(OFFSET(D159,-1,0)&lt;&gt;"","",IF(OR(J159="リード付け",J159="巻足し",J159="巻返しリード付け"),M159,VLOOKUP(D159,契約台帳!$A$3:$O$4986,15,FALSE))))</f>
        <v/>
      </c>
      <c r="T159" s="273" t="str">
        <f ca="1">IF(D159="","",IF(J159="リード付け",N159,IF(J159="巻返しリード付け",N159,IF(J159="巻足し",N159*P159+OFFSET(N159,1,0)*OFFSET(P159,1,0),VLOOKUP(D159,契約台帳!$A$3:$P$4986,16,FALSE)))))</f>
        <v/>
      </c>
      <c r="U159" s="40"/>
      <c r="V159" s="274" t="str">
        <f ca="1">IF(D159="","",IF(OFFSET(D159,-2,0)=D159,"",VLOOKUP(D159,契約台帳!$A$3:$R$4986,18,FALSE)))</f>
        <v/>
      </c>
      <c r="W159" s="269" t="str">
        <f>IF(D159="","",IF(T159="","",IF(OR(J159="巻足し",J159="巻返しリード付け"),"",IF(J159="巻返し",VLOOKUP(F159&amp;K159&amp;M159,製品マスタ!$M$5:$AD$5002,18,FALSE),IF(OR(J159="リード付け",J159="巻返しリード付け"),"原反コア",IF(J159="スリット",VLOOKUP(F159&amp;K159&amp;R159,製品マスタ!$N$5:$AD$5002,17,FALSE),""))))))</f>
        <v/>
      </c>
      <c r="X159" s="269" t="str">
        <f>IF(D159="","",IF(T159="","",IF(J159="巻足し","",IF(J159="巻返し",VLOOKUP(F159&amp;K159&amp;M159,製品マスタ!$M$5:$AE$5002,19,FALSE),IF(OR(J159="リード付け",J159="巻返しリード付け"),"",IF(J159="スリット",VLOOKUP(F159&amp;K159&amp;R159,製品マスタ!$N$5:$AE$5002,18,FALSE),""))))))</f>
        <v/>
      </c>
      <c r="Y159" s="275" t="str">
        <f>IF(D159="","",IF(T159="","",VLOOKUP(D159,契約台帳!$A$3:$Q$4986,17,FALSE)))</f>
        <v/>
      </c>
      <c r="Z159" s="269" t="str">
        <f>IF(D159="","",IF(T159="","",VLOOKUP(D159,契約台帳!$A$3:$E$4986,5,FALSE)))</f>
        <v/>
      </c>
      <c r="AA159" s="57"/>
      <c r="AB159" s="207" t="str">
        <f>IFERROR((VLOOKUP(F159&amp;K159&amp;M159,製品マスタ!$M$5:$AM$5002,27,FALSE)),"")</f>
        <v/>
      </c>
      <c r="AC159" s="33"/>
      <c r="AD159" s="189"/>
      <c r="AE159" s="54"/>
      <c r="AF159" s="55"/>
      <c r="AG159" s="43"/>
      <c r="AH159" s="47"/>
      <c r="AI159" s="30"/>
      <c r="AJ159" s="30"/>
      <c r="AK159" s="30"/>
      <c r="AL159" s="30"/>
      <c r="AM159" s="13"/>
      <c r="AN159" s="13"/>
      <c r="AO159" s="13"/>
      <c r="AP159" s="13"/>
      <c r="AQ159" s="13"/>
      <c r="AR159" s="14"/>
      <c r="AS159" s="15"/>
    </row>
    <row r="160" spans="1:45" s="17" customFormat="1" ht="30.95" hidden="1" customHeight="1" x14ac:dyDescent="0.2">
      <c r="A160" s="37" t="s">
        <v>834</v>
      </c>
      <c r="B160" s="38" t="s">
        <v>835</v>
      </c>
      <c r="C160" s="45"/>
      <c r="D160" s="31"/>
      <c r="E160" s="31"/>
      <c r="F160" s="268" t="str">
        <f>IF(D160="","",VLOOKUP(D160,契約台帳!$A$3:$K$4986,6,FALSE)&amp;VLOOKUP(D160,契約台帳!$A$3:$K$4986,7,FALSE)&amp;VLOOKUP(D160,契約台帳!$A$3:$K$4986,8,FALSE)&amp;VLOOKUP(D160,契約台帳!$A$3:$K$4986,9,FALSE)&amp;VLOOKUP(D160,契約台帳!$A$3:$K$4986,11,FALSE))</f>
        <v/>
      </c>
      <c r="G160" s="269" t="str">
        <f>IF(D160="","",VLOOKUP(F160,製品マスタ!$G$5:$H$5002,2,FALSE))</f>
        <v/>
      </c>
      <c r="H160" s="269" t="str">
        <f>IF(D160="","",VLOOKUP(F160,製品マスタ!$G$5:$K$5002,5,FALSE))</f>
        <v/>
      </c>
      <c r="I160" s="270" t="str">
        <f>IF(D160="","",VLOOKUP(F160,製品マスタ!$G$5:$L$5002,6,FALSE))</f>
        <v/>
      </c>
      <c r="J160" s="210" t="s">
        <v>836</v>
      </c>
      <c r="K160" s="270" t="str">
        <f>IF(D160="","",VLOOKUP(D160,契約台帳!$A$3:$L$4986,12,FALSE))</f>
        <v/>
      </c>
      <c r="L160" s="270" t="str">
        <f>IF(D160="","",INDEX(製品マスタ!$Q$5:$Q$5002,MATCH('S4'!F160&amp;'S4'!K160,製品マスタ!$AO$5:$AO$5002,0)))</f>
        <v/>
      </c>
      <c r="M160" s="39"/>
      <c r="N160" s="39"/>
      <c r="O160" s="156"/>
      <c r="P160" s="47"/>
      <c r="Q160" s="57"/>
      <c r="R160" s="271" t="str">
        <f ca="1">IF(D160="","",IF(OFFSET(D160,-1,0)&lt;&gt;"","",IF(OR(J160="リード付け",J160="巻足し",J160="巻返しリード付け"),M160,VLOOKUP(D160,契約台帳!$A$3:$N$4986,14,FALSE))))</f>
        <v/>
      </c>
      <c r="S160" s="272" t="str">
        <f ca="1">IF(D160="","",IF(OFFSET(D160,-1,0)&lt;&gt;"","",IF(OR(J160="リード付け",J160="巻足し",J160="巻返しリード付け"),M160,VLOOKUP(D160,契約台帳!$A$3:$O$4986,15,FALSE))))</f>
        <v/>
      </c>
      <c r="T160" s="273" t="str">
        <f ca="1">IF(D160="","",IF(J160="リード付け",N160,IF(J160="巻返しリード付け",N160,IF(J160="巻足し",N160*P160+OFFSET(N160,1,0)*OFFSET(P160,1,0),VLOOKUP(D160,契約台帳!$A$3:$P$4986,16,FALSE)))))</f>
        <v/>
      </c>
      <c r="U160" s="40"/>
      <c r="V160" s="274" t="str">
        <f ca="1">IF(D160="","",IF(OFFSET(D160,-2,0)=D160,"",VLOOKUP(D160,契約台帳!$A$3:$R$4986,18,FALSE)))</f>
        <v/>
      </c>
      <c r="W160" s="269" t="str">
        <f>IF(D160="","",IF(T160="","",IF(OR(J160="巻足し",J160="巻返しリード付け"),"",IF(J160="巻返し",VLOOKUP(F160&amp;K160&amp;M160,製品マスタ!$M$5:$AD$5002,18,FALSE),IF(OR(J160="リード付け",J160="巻返しリード付け"),"原反コア",IF(J160="スリット",VLOOKUP(F160&amp;K160&amp;R160,製品マスタ!$N$5:$AD$5002,17,FALSE),""))))))</f>
        <v/>
      </c>
      <c r="X160" s="269" t="str">
        <f>IF(D160="","",IF(T160="","",IF(J160="巻足し","",IF(J160="巻返し",VLOOKUP(F160&amp;K160&amp;M160,製品マスタ!$M$5:$AE$5002,19,FALSE),IF(OR(J160="リード付け",J160="巻返しリード付け"),"",IF(J160="スリット",VLOOKUP(F160&amp;K160&amp;R160,製品マスタ!$N$5:$AE$5002,18,FALSE),""))))))</f>
        <v/>
      </c>
      <c r="Y160" s="275" t="str">
        <f>IF(D160="","",IF(T160="","",VLOOKUP(D160,契約台帳!$A$3:$Q$4986,17,FALSE)))</f>
        <v/>
      </c>
      <c r="Z160" s="269" t="str">
        <f>IF(D160="","",IF(T160="","",VLOOKUP(D160,契約台帳!$A$3:$E$4986,5,FALSE)))</f>
        <v/>
      </c>
      <c r="AA160" s="57"/>
      <c r="AB160" s="207" t="str">
        <f>IFERROR((VLOOKUP(F160&amp;K160&amp;M160,製品マスタ!$M$5:$AM$5002,27,FALSE)),"")</f>
        <v/>
      </c>
      <c r="AC160" s="33"/>
      <c r="AD160" s="189"/>
      <c r="AE160" s="54"/>
      <c r="AF160" s="55"/>
      <c r="AG160" s="43"/>
      <c r="AH160" s="47"/>
      <c r="AI160" s="30"/>
      <c r="AJ160" s="30"/>
      <c r="AK160" s="30"/>
      <c r="AL160" s="30"/>
      <c r="AM160" s="13"/>
      <c r="AN160" s="13"/>
      <c r="AO160" s="13"/>
      <c r="AP160" s="13"/>
      <c r="AQ160" s="13"/>
      <c r="AR160" s="14"/>
      <c r="AS160" s="15"/>
    </row>
    <row r="161" spans="1:45" s="17" customFormat="1" ht="30.95" hidden="1" customHeight="1" x14ac:dyDescent="0.2">
      <c r="A161" s="37"/>
      <c r="B161" s="38"/>
      <c r="C161" s="45"/>
      <c r="D161" s="31"/>
      <c r="E161" s="31"/>
      <c r="F161" s="268" t="str">
        <f>IF(D161="","",VLOOKUP(D161,契約台帳!$A$3:$K$4986,6,FALSE)&amp;VLOOKUP(D161,契約台帳!$A$3:$K$4986,7,FALSE)&amp;VLOOKUP(D161,契約台帳!$A$3:$K$4986,8,FALSE)&amp;VLOOKUP(D161,契約台帳!$A$3:$K$4986,9,FALSE)&amp;VLOOKUP(D161,契約台帳!$A$3:$K$4986,11,FALSE))</f>
        <v/>
      </c>
      <c r="G161" s="269" t="str">
        <f>IF(D161="","",VLOOKUP(F161,製品マスタ!$G$5:$H$5002,2,FALSE))</f>
        <v/>
      </c>
      <c r="H161" s="269" t="str">
        <f>IF(D161="","",VLOOKUP(F161,製品マスタ!$G$5:$K$5002,5,FALSE))</f>
        <v/>
      </c>
      <c r="I161" s="270" t="str">
        <f>IF(D161="","",VLOOKUP(F161,製品マスタ!$G$5:$L$5002,6,FALSE))</f>
        <v/>
      </c>
      <c r="J161" s="210"/>
      <c r="K161" s="270" t="str">
        <f>IF(D161="","",VLOOKUP(D161,契約台帳!$A$3:$L$4986,12,FALSE))</f>
        <v/>
      </c>
      <c r="L161" s="270" t="str">
        <f>IF(D161="","",INDEX(製品マスタ!$Q$5:$Q$5002,MATCH('S4'!F161&amp;'S4'!K161,製品マスタ!$AO$5:$AO$5002,0)))</f>
        <v/>
      </c>
      <c r="M161" s="39"/>
      <c r="N161" s="39"/>
      <c r="O161" s="156"/>
      <c r="P161" s="47"/>
      <c r="Q161" s="57"/>
      <c r="R161" s="271" t="str">
        <f ca="1">IF(D161="","",IF(OFFSET(D161,-1,0)&lt;&gt;"","",IF(OR(J161="リード付け",J161="巻足し",J161="巻返しリード付け"),M161,VLOOKUP(D161,契約台帳!$A$3:$N$4986,14,FALSE))))</f>
        <v/>
      </c>
      <c r="S161" s="272" t="str">
        <f ca="1">IF(D161="","",IF(OFFSET(D161,-1,0)&lt;&gt;"","",IF(OR(J161="リード付け",J161="巻足し",J161="巻返しリード付け"),M161,VLOOKUP(D161,契約台帳!$A$3:$O$4986,15,FALSE))))</f>
        <v/>
      </c>
      <c r="T161" s="273" t="str">
        <f ca="1">IF(D161="","",IF(J161="リード付け",N161,IF(J161="巻返しリード付け",N161,IF(J161="巻足し",N161*P161+OFFSET(N161,1,0)*OFFSET(P161,1,0),VLOOKUP(D161,契約台帳!$A$3:$P$4986,16,FALSE)))))</f>
        <v/>
      </c>
      <c r="U161" s="40"/>
      <c r="V161" s="274" t="str">
        <f ca="1">IF(D161="","",IF(OFFSET(D161,-2,0)=D161,"",VLOOKUP(D161,契約台帳!$A$3:$R$4986,18,FALSE)))</f>
        <v/>
      </c>
      <c r="W161" s="269" t="str">
        <f>IF(D161="","",IF(T161="","",IF(OR(J161="巻足し",J161="巻返しリード付け"),"",IF(J161="巻返し",VLOOKUP(F161&amp;K161&amp;M161,製品マスタ!$M$5:$AD$5002,18,FALSE),IF(OR(J161="リード付け",J161="巻返しリード付け"),"原反コア",IF(J161="スリット",VLOOKUP(F161&amp;K161&amp;R161,製品マスタ!$N$5:$AD$5002,17,FALSE),""))))))</f>
        <v/>
      </c>
      <c r="X161" s="269" t="str">
        <f>IF(D161="","",IF(T161="","",IF(J161="巻足し","",IF(J161="巻返し",VLOOKUP(F161&amp;K161&amp;M161,製品マスタ!$M$5:$AE$5002,19,FALSE),IF(OR(J161="リード付け",J161="巻返しリード付け"),"",IF(J161="スリット",VLOOKUP(F161&amp;K161&amp;R161,製品マスタ!$N$5:$AE$5002,18,FALSE),""))))))</f>
        <v/>
      </c>
      <c r="Y161" s="275" t="str">
        <f>IF(D161="","",IF(T161="","",VLOOKUP(D161,契約台帳!$A$3:$Q$4986,17,FALSE)))</f>
        <v/>
      </c>
      <c r="Z161" s="269" t="str">
        <f>IF(D161="","",IF(T161="","",VLOOKUP(D161,契約台帳!$A$3:$E$4986,5,FALSE)))</f>
        <v/>
      </c>
      <c r="AA161" s="57"/>
      <c r="AB161" s="207" t="str">
        <f>IFERROR((VLOOKUP(F161&amp;K161&amp;M161,製品マスタ!$M$5:$AM$5002,27,FALSE)),"")</f>
        <v/>
      </c>
      <c r="AC161" s="33"/>
      <c r="AD161" s="189"/>
      <c r="AE161" s="54"/>
      <c r="AF161" s="55"/>
      <c r="AG161" s="43"/>
      <c r="AH161" s="47"/>
      <c r="AI161" s="30"/>
      <c r="AJ161" s="30"/>
      <c r="AK161" s="30"/>
      <c r="AL161" s="30"/>
      <c r="AM161" s="13"/>
      <c r="AN161" s="13"/>
      <c r="AO161" s="13"/>
      <c r="AP161" s="13"/>
      <c r="AQ161" s="13"/>
      <c r="AR161" s="14"/>
      <c r="AS161" s="15"/>
    </row>
    <row r="162" spans="1:45" s="17" customFormat="1" ht="30.95" hidden="1" customHeight="1" x14ac:dyDescent="0.2">
      <c r="A162" s="37" t="s">
        <v>837</v>
      </c>
      <c r="B162" s="38" t="s">
        <v>838</v>
      </c>
      <c r="C162" s="45"/>
      <c r="D162" s="31">
        <v>3697665</v>
      </c>
      <c r="E162" s="31">
        <v>4161807</v>
      </c>
      <c r="F162" s="268" t="str">
        <f>IF(D162="","",VLOOKUP(D162,契約台帳!$A$3:$K$4986,6,FALSE)&amp;VLOOKUP(D162,契約台帳!$A$3:$K$4986,7,FALSE)&amp;VLOOKUP(D162,契約台帳!$A$3:$K$4986,8,FALSE)&amp;VLOOKUP(D162,契約台帳!$A$3:$K$4986,9,FALSE)&amp;VLOOKUP(D162,契約台帳!$A$3:$K$4986,11,FALSE))</f>
        <v>3SNMLBMNGTBF</v>
      </c>
      <c r="G162" s="269" t="str">
        <f>IF(D162="","",VLOOKUP(F162,製品マスタ!$G$5:$H$5002,2,FALSE))</f>
        <v>S</v>
      </c>
      <c r="H162" s="269" t="str">
        <f>IF(D162="","",VLOOKUP(F162,製品マスタ!$G$5:$K$5002,5,FALSE))</f>
        <v>MNGTBF</v>
      </c>
      <c r="I162" s="270" t="str">
        <f>IF(D162="","",VLOOKUP(F162,製品マスタ!$G$5:$L$5002,6,FALSE))</f>
        <v>メタルミー　ネーマー　銀艶　Ｂ</v>
      </c>
      <c r="J162" s="210" t="s">
        <v>832</v>
      </c>
      <c r="K162" s="270">
        <f>IF(D162="","",VLOOKUP(D162,契約台帳!$A$3:$L$4986,12,FALSE))</f>
        <v>50</v>
      </c>
      <c r="L162" s="270" t="str">
        <f>IF(D162="","",INDEX(製品マスタ!$Q$5:$Q$5002,MATCH('S4'!F162&amp;'S4'!K162,製品マスタ!$AO$5:$AO$5002,0)))</f>
        <v>T62</v>
      </c>
      <c r="M162" s="39">
        <v>1120</v>
      </c>
      <c r="N162" s="39">
        <v>5000</v>
      </c>
      <c r="O162" s="156">
        <v>4</v>
      </c>
      <c r="P162" s="47">
        <v>2</v>
      </c>
      <c r="Q162" s="213">
        <v>44952</v>
      </c>
      <c r="R162" s="271">
        <f ca="1">IF(D162="","",IF(OFFSET(D162,-1,0)&lt;&gt;"","",IF(OR(J162="リード付け",J162="巻足し",J162="巻返しリード付け"),M162,VLOOKUP(D162,契約台帳!$A$3:$N$4986,14,FALSE))))</f>
        <v>1120</v>
      </c>
      <c r="S162" s="272">
        <f ca="1">IF(D162="","",IF(OFFSET(D162,-1,0)&lt;&gt;"","",IF(OR(J162="リード付け",J162="巻足し",J162="巻返しリード付け"),M162,VLOOKUP(D162,契約台帳!$A$3:$O$4986,15,FALSE))))</f>
        <v>1120</v>
      </c>
      <c r="T162" s="273">
        <f ca="1">IF(D162="","",IF(J162="リード付け",N162,IF(J162="巻返しリード付け",N162,IF(J162="巻足し",N162*P162+OFFSET(N162,1,0)*OFFSET(P162,1,0),VLOOKUP(D162,契約台帳!$A$3:$P$4986,16,FALSE)))))</f>
        <v>10000</v>
      </c>
      <c r="U162" s="40">
        <v>2</v>
      </c>
      <c r="V162" s="274">
        <f ca="1">IF(D162="","",IF(OFFSET(D162,-2,0)=D162,"",VLOOKUP(D162,契約台帳!$A$3:$R$4986,18,FALSE)))</f>
        <v>12</v>
      </c>
      <c r="W162" s="269" t="str">
        <f ca="1">IF(D162="","",IF(T162="","",IF(OR(J162="巻足し",J162="巻返しリード付け"),"",IF(J162="巻返し",VLOOKUP(F162&amp;K162&amp;M162,製品マスタ!$M$5:$AD$5002,18,FALSE),IF(OR(J162="リード付け",J162="巻返しリード付け"),"原反コア",IF(J162="スリット",VLOOKUP(F162&amp;K162&amp;R162,製品マスタ!$N$5:$AD$5002,17,FALSE),""))))))</f>
        <v/>
      </c>
      <c r="X162" s="269" t="str">
        <f ca="1">IF(D162="","",IF(T162="","",IF(J162="巻足し","",IF(J162="巻返し",VLOOKUP(F162&amp;K162&amp;M162,製品マスタ!$M$5:$AE$5002,19,FALSE),IF(OR(J162="リード付け",J162="巻返しリード付け"),"",IF(J162="スリット",VLOOKUP(F162&amp;K162&amp;R162,製品マスタ!$N$5:$AE$5002,18,FALSE),""))))))</f>
        <v/>
      </c>
      <c r="Y162" s="275">
        <f ca="1">IF(D162="","",IF(T162="","",VLOOKUP(D162,契約台帳!$A$3:$Q$4986,17,FALSE)))</f>
        <v>2</v>
      </c>
      <c r="Z162" s="269" t="str">
        <f ca="1">IF(D162="","",IF(T162="","",VLOOKUP(D162,契約台帳!$A$3:$E$4986,5,FALSE)))</f>
        <v>リンテック㈱</v>
      </c>
      <c r="AA162" s="57"/>
      <c r="AB162" s="207" t="str">
        <f>IFERROR((VLOOKUP(F162&amp;K162&amp;M162,製品マスタ!$M$5:$AM$5002,27,FALSE)),"")</f>
        <v>原反ケース再利用</v>
      </c>
      <c r="AC162" s="33"/>
      <c r="AD162" s="189"/>
      <c r="AE162" s="54"/>
      <c r="AF162" s="55"/>
      <c r="AG162" s="43"/>
      <c r="AH162" s="47"/>
      <c r="AI162" s="30"/>
      <c r="AJ162" s="30"/>
      <c r="AK162" s="30"/>
      <c r="AL162" s="30"/>
      <c r="AM162" s="13"/>
      <c r="AN162" s="13"/>
      <c r="AO162" s="13"/>
      <c r="AP162" s="13"/>
      <c r="AQ162" s="13"/>
      <c r="AR162" s="14"/>
      <c r="AS162" s="15"/>
    </row>
    <row r="163" spans="1:45" s="17" customFormat="1" ht="30.95" hidden="1" customHeight="1" x14ac:dyDescent="0.2">
      <c r="A163" s="37"/>
      <c r="B163" s="38"/>
      <c r="C163" s="45"/>
      <c r="D163" s="31"/>
      <c r="E163" s="31"/>
      <c r="F163" s="268" t="str">
        <f>IF(D163="","",VLOOKUP(D163,契約台帳!$A$3:$K$4986,6,FALSE)&amp;VLOOKUP(D163,契約台帳!$A$3:$K$4986,7,FALSE)&amp;VLOOKUP(D163,契約台帳!$A$3:$K$4986,8,FALSE)&amp;VLOOKUP(D163,契約台帳!$A$3:$K$4986,9,FALSE)&amp;VLOOKUP(D163,契約台帳!$A$3:$K$4986,11,FALSE))</f>
        <v/>
      </c>
      <c r="G163" s="269" t="str">
        <f>IF(D163="","",VLOOKUP(F163,製品マスタ!$G$5:$H$5002,2,FALSE))</f>
        <v/>
      </c>
      <c r="H163" s="269" t="str">
        <f>IF(D163="","",VLOOKUP(F163,製品マスタ!$G$5:$K$5002,5,FALSE))</f>
        <v/>
      </c>
      <c r="I163" s="270" t="str">
        <f>IF(D163="","",VLOOKUP(F163,製品マスタ!$G$5:$L$5002,6,FALSE))</f>
        <v/>
      </c>
      <c r="J163" s="210"/>
      <c r="K163" s="270" t="str">
        <f>IF(D163="","",VLOOKUP(D163,契約台帳!$A$3:$L$4986,12,FALSE))</f>
        <v/>
      </c>
      <c r="L163" s="270" t="str">
        <f>IF(D163="","",INDEX(製品マスタ!$Q$5:$Q$5002,MATCH('S4'!F163&amp;'S4'!K163,製品マスタ!$AO$5:$AO$5002,0)))</f>
        <v/>
      </c>
      <c r="M163" s="39"/>
      <c r="N163" s="39"/>
      <c r="O163" s="156"/>
      <c r="P163" s="47"/>
      <c r="Q163" s="57"/>
      <c r="R163" s="271" t="str">
        <f ca="1">IF(D163="","",IF(OFFSET(D163,-1,0)&lt;&gt;"","",IF(OR(J163="リード付け",J163="巻足し",J163="巻返しリード付け"),M163,VLOOKUP(D163,契約台帳!$A$3:$N$4986,14,FALSE))))</f>
        <v/>
      </c>
      <c r="S163" s="272" t="str">
        <f ca="1">IF(D163="","",IF(OFFSET(D163,-1,0)&lt;&gt;"","",IF(OR(J163="リード付け",J163="巻足し",J163="巻返しリード付け"),M163,VLOOKUP(D163,契約台帳!$A$3:$O$4986,15,FALSE))))</f>
        <v/>
      </c>
      <c r="T163" s="273" t="str">
        <f ca="1">IF(D163="","",IF(J163="リード付け",N163,IF(J163="巻返しリード付け",N163,IF(J163="巻足し",N163*P163+OFFSET(N163,1,0)*OFFSET(P163,1,0),VLOOKUP(D163,契約台帳!$A$3:$P$4986,16,FALSE)))))</f>
        <v/>
      </c>
      <c r="U163" s="40"/>
      <c r="V163" s="274" t="str">
        <f ca="1">IF(D163="","",IF(OFFSET(D163,-2,0)=D163,"",VLOOKUP(D163,契約台帳!$A$3:$R$4986,18,FALSE)))</f>
        <v/>
      </c>
      <c r="W163" s="269" t="str">
        <f>IF(D163="","",IF(T163="","",IF(OR(J163="巻足し",J163="巻返しリード付け"),"",IF(J163="巻返し",VLOOKUP(F163&amp;K163&amp;M163,製品マスタ!$M$5:$AD$5002,18,FALSE),IF(OR(J163="リード付け",J163="巻返しリード付け"),"原反コア",IF(J163="スリット",VLOOKUP(F163&amp;K163&amp;R163,製品マスタ!$N$5:$AD$5002,17,FALSE),""))))))</f>
        <v/>
      </c>
      <c r="X163" s="269" t="str">
        <f>IF(D163="","",IF(T163="","",IF(J163="巻足し","",IF(J163="巻返し",VLOOKUP(F163&amp;K163&amp;M163,製品マスタ!$M$5:$AE$5002,19,FALSE),IF(OR(J163="リード付け",J163="巻返しリード付け"),"",IF(J163="スリット",VLOOKUP(F163&amp;K163&amp;R163,製品マスタ!$N$5:$AE$5002,18,FALSE),""))))))</f>
        <v/>
      </c>
      <c r="Y163" s="275" t="str">
        <f>IF(D163="","",IF(T163="","",VLOOKUP(D163,契約台帳!$A$3:$Q$4986,17,FALSE)))</f>
        <v/>
      </c>
      <c r="Z163" s="269" t="str">
        <f>IF(D163="","",IF(T163="","",VLOOKUP(D163,契約台帳!$A$3:$E$4986,5,FALSE)))</f>
        <v/>
      </c>
      <c r="AA163" s="57"/>
      <c r="AB163" s="207" t="str">
        <f>IFERROR((VLOOKUP(F163&amp;K163&amp;M163,製品マスタ!$M$5:$AM$5002,27,FALSE)),"")</f>
        <v/>
      </c>
      <c r="AC163" s="33"/>
      <c r="AD163" s="189"/>
      <c r="AE163" s="54"/>
      <c r="AF163" s="55"/>
      <c r="AG163" s="43"/>
      <c r="AH163" s="47"/>
      <c r="AI163" s="30"/>
      <c r="AJ163" s="30"/>
      <c r="AK163" s="30"/>
      <c r="AL163" s="30"/>
      <c r="AM163" s="13"/>
      <c r="AN163" s="13"/>
      <c r="AO163" s="13"/>
      <c r="AP163" s="13"/>
      <c r="AQ163" s="13"/>
      <c r="AR163" s="14"/>
      <c r="AS163" s="15"/>
    </row>
    <row r="164" spans="1:45" s="17" customFormat="1" ht="30.95" hidden="1" customHeight="1" x14ac:dyDescent="0.2">
      <c r="A164" s="37"/>
      <c r="B164" s="38"/>
      <c r="C164" s="45"/>
      <c r="D164" s="31">
        <v>3697666</v>
      </c>
      <c r="E164" s="31">
        <v>4161808</v>
      </c>
      <c r="F164" s="268" t="str">
        <f>IF(D164="","",VLOOKUP(D164,契約台帳!$A$3:$K$4986,6,FALSE)&amp;VLOOKUP(D164,契約台帳!$A$3:$K$4986,7,FALSE)&amp;VLOOKUP(D164,契約台帳!$A$3:$K$4986,8,FALSE)&amp;VLOOKUP(D164,契約台帳!$A$3:$K$4986,9,FALSE)&amp;VLOOKUP(D164,契約台帳!$A$3:$K$4986,11,FALSE))</f>
        <v>3SNMLBMNGTBF</v>
      </c>
      <c r="G164" s="269" t="str">
        <f>IF(D164="","",VLOOKUP(F164,製品マスタ!$G$5:$H$5002,2,FALSE))</f>
        <v>S</v>
      </c>
      <c r="H164" s="269" t="str">
        <f>IF(D164="","",VLOOKUP(F164,製品マスタ!$G$5:$K$5002,5,FALSE))</f>
        <v>MNGTBF</v>
      </c>
      <c r="I164" s="270" t="str">
        <f>IF(D164="","",VLOOKUP(F164,製品マスタ!$G$5:$L$5002,6,FALSE))</f>
        <v>メタルミー　ネーマー　銀艶　Ｂ</v>
      </c>
      <c r="J164" s="210" t="s">
        <v>832</v>
      </c>
      <c r="K164" s="270">
        <f>IF(D164="","",VLOOKUP(D164,契約台帳!$A$3:$L$4986,12,FALSE))</f>
        <v>50</v>
      </c>
      <c r="L164" s="270" t="str">
        <f>IF(D164="","",INDEX(製品マスタ!$Q$5:$Q$5002,MATCH('S4'!F164&amp;'S4'!K164,製品マスタ!$AO$5:$AO$5002,0)))</f>
        <v>T62</v>
      </c>
      <c r="M164" s="39">
        <v>1120</v>
      </c>
      <c r="N164" s="39">
        <v>5000</v>
      </c>
      <c r="O164" s="156">
        <v>14</v>
      </c>
      <c r="P164" s="47">
        <v>2</v>
      </c>
      <c r="Q164" s="213">
        <v>44953</v>
      </c>
      <c r="R164" s="271">
        <f ca="1">IF(D164="","",IF(OFFSET(D164,-1,0)&lt;&gt;"","",IF(OR(J164="リード付け",J164="巻足し",J164="巻返しリード付け"),M164,VLOOKUP(D164,契約台帳!$A$3:$N$4986,14,FALSE))))</f>
        <v>1120</v>
      </c>
      <c r="S164" s="272">
        <f ca="1">IF(D164="","",IF(OFFSET(D164,-1,0)&lt;&gt;"","",IF(OR(J164="リード付け",J164="巻足し",J164="巻返しリード付け"),M164,VLOOKUP(D164,契約台帳!$A$3:$O$4986,15,FALSE))))</f>
        <v>1120</v>
      </c>
      <c r="T164" s="273">
        <f ca="1">IF(D164="","",IF(J164="リード付け",N164,IF(J164="巻返しリード付け",N164,IF(J164="巻足し",N164*P164+OFFSET(N164,1,0)*OFFSET(P164,1,0),VLOOKUP(D164,契約台帳!$A$3:$P$4986,16,FALSE)))))</f>
        <v>10000</v>
      </c>
      <c r="U164" s="40">
        <v>7</v>
      </c>
      <c r="V164" s="274">
        <f ca="1">IF(D164="","",IF(OFFSET(D164,-2,0)=D164,"",VLOOKUP(D164,契約台帳!$A$3:$R$4986,18,FALSE)))</f>
        <v>14</v>
      </c>
      <c r="W164" s="269" t="str">
        <f ca="1">IF(D164="","",IF(T164="","",IF(OR(J164="巻足し",J164="巻返しリード付け"),"",IF(J164="巻返し",VLOOKUP(F164&amp;K164&amp;M164,製品マスタ!$M$5:$AD$5002,18,FALSE),IF(OR(J164="リード付け",J164="巻返しリード付け"),"原反コア",IF(J164="スリット",VLOOKUP(F164&amp;K164&amp;R164,製品マスタ!$N$5:$AD$5002,17,FALSE),""))))))</f>
        <v/>
      </c>
      <c r="X164" s="269" t="str">
        <f ca="1">IF(D164="","",IF(T164="","",IF(J164="巻足し","",IF(J164="巻返し",VLOOKUP(F164&amp;K164&amp;M164,製品マスタ!$M$5:$AE$5002,19,FALSE),IF(OR(J164="リード付け",J164="巻返しリード付け"),"",IF(J164="スリット",VLOOKUP(F164&amp;K164&amp;R164,製品マスタ!$N$5:$AE$5002,18,FALSE),""))))))</f>
        <v/>
      </c>
      <c r="Y164" s="275">
        <f ca="1">IF(D164="","",IF(T164="","",VLOOKUP(D164,契約台帳!$A$3:$Q$4986,17,FALSE)))</f>
        <v>2</v>
      </c>
      <c r="Z164" s="269" t="str">
        <f ca="1">IF(D164="","",IF(T164="","",VLOOKUP(D164,契約台帳!$A$3:$E$4986,5,FALSE)))</f>
        <v>リンテック㈱</v>
      </c>
      <c r="AA164" s="57"/>
      <c r="AB164" s="207" t="str">
        <f>IFERROR((VLOOKUP(F164&amp;K164&amp;M164,製品マスタ!$M$5:$AM$5002,27,FALSE)),"")</f>
        <v>原反ケース再利用</v>
      </c>
      <c r="AC164" s="33"/>
      <c r="AD164" s="189"/>
      <c r="AE164" s="54"/>
      <c r="AF164" s="55"/>
      <c r="AG164" s="43"/>
      <c r="AH164" s="47"/>
      <c r="AI164" s="30"/>
      <c r="AJ164" s="30"/>
      <c r="AK164" s="30"/>
      <c r="AL164" s="30"/>
      <c r="AM164" s="13"/>
      <c r="AN164" s="13"/>
      <c r="AO164" s="13"/>
      <c r="AP164" s="13"/>
      <c r="AQ164" s="13"/>
      <c r="AR164" s="14"/>
      <c r="AS164" s="15"/>
    </row>
    <row r="165" spans="1:45" s="17" customFormat="1" ht="30.95" hidden="1" customHeight="1" x14ac:dyDescent="0.2">
      <c r="A165" s="37"/>
      <c r="B165" s="38"/>
      <c r="C165" s="45"/>
      <c r="D165" s="31"/>
      <c r="E165" s="31"/>
      <c r="F165" s="268" t="str">
        <f>IF(D165="","",VLOOKUP(D165,契約台帳!$A$3:$K$4986,6,FALSE)&amp;VLOOKUP(D165,契約台帳!$A$3:$K$4986,7,FALSE)&amp;VLOOKUP(D165,契約台帳!$A$3:$K$4986,8,FALSE)&amp;VLOOKUP(D165,契約台帳!$A$3:$K$4986,9,FALSE)&amp;VLOOKUP(D165,契約台帳!$A$3:$K$4986,11,FALSE))</f>
        <v/>
      </c>
      <c r="G165" s="269" t="str">
        <f>IF(D165="","",VLOOKUP(F165,製品マスタ!$G$5:$H$5002,2,FALSE))</f>
        <v/>
      </c>
      <c r="H165" s="269" t="str">
        <f>IF(D165="","",VLOOKUP(F165,製品マスタ!$G$5:$K$5002,5,FALSE))</f>
        <v/>
      </c>
      <c r="I165" s="270" t="str">
        <f>IF(D165="","",VLOOKUP(F165,製品マスタ!$G$5:$L$5002,6,FALSE))</f>
        <v/>
      </c>
      <c r="J165" s="210"/>
      <c r="K165" s="270" t="str">
        <f>IF(D165="","",VLOOKUP(D165,契約台帳!$A$3:$L$4986,12,FALSE))</f>
        <v/>
      </c>
      <c r="L165" s="270" t="str">
        <f>IF(D165="","",INDEX(製品マスタ!$Q$5:$Q$5002,MATCH('S4'!F165&amp;'S4'!K165,製品マスタ!$AO$5:$AO$5002,0)))</f>
        <v/>
      </c>
      <c r="M165" s="39"/>
      <c r="N165" s="39"/>
      <c r="O165" s="156"/>
      <c r="P165" s="47"/>
      <c r="Q165" s="57"/>
      <c r="R165" s="271" t="str">
        <f ca="1">IF(D165="","",IF(OFFSET(D165,-1,0)&lt;&gt;"","",IF(OR(J165="リード付け",J165="巻足し",J165="巻返しリード付け"),M165,VLOOKUP(D165,契約台帳!$A$3:$N$4986,14,FALSE))))</f>
        <v/>
      </c>
      <c r="S165" s="272" t="str">
        <f ca="1">IF(D165="","",IF(OFFSET(D165,-1,0)&lt;&gt;"","",IF(OR(J165="リード付け",J165="巻足し",J165="巻返しリード付け"),M165,VLOOKUP(D165,契約台帳!$A$3:$O$4986,15,FALSE))))</f>
        <v/>
      </c>
      <c r="T165" s="273" t="str">
        <f ca="1">IF(D165="","",IF(J165="リード付け",N165,IF(J165="巻返しリード付け",N165,IF(J165="巻足し",N165*P165+OFFSET(N165,1,0)*OFFSET(P165,1,0),VLOOKUP(D165,契約台帳!$A$3:$P$4986,16,FALSE)))))</f>
        <v/>
      </c>
      <c r="U165" s="40"/>
      <c r="V165" s="274" t="str">
        <f ca="1">IF(D165="","",IF(OFFSET(D165,-2,0)=D165,"",VLOOKUP(D165,契約台帳!$A$3:$R$4986,18,FALSE)))</f>
        <v/>
      </c>
      <c r="W165" s="269" t="str">
        <f>IF(D165="","",IF(T165="","",IF(OR(J165="巻足し",J165="巻返しリード付け"),"",IF(J165="巻返し",VLOOKUP(F165&amp;K165&amp;M165,製品マスタ!$M$5:$AD$5002,18,FALSE),IF(OR(J165="リード付け",J165="巻返しリード付け"),"原反コア",IF(J165="スリット",VLOOKUP(F165&amp;K165&amp;R165,製品マスタ!$N$5:$AD$5002,17,FALSE),""))))))</f>
        <v/>
      </c>
      <c r="X165" s="269" t="str">
        <f>IF(D165="","",IF(T165="","",IF(J165="巻足し","",IF(J165="巻返し",VLOOKUP(F165&amp;K165&amp;M165,製品マスタ!$M$5:$AE$5002,19,FALSE),IF(OR(J165="リード付け",J165="巻返しリード付け"),"",IF(J165="スリット",VLOOKUP(F165&amp;K165&amp;R165,製品マスタ!$N$5:$AE$5002,18,FALSE),""))))))</f>
        <v/>
      </c>
      <c r="Y165" s="275" t="str">
        <f>IF(D165="","",IF(T165="","",VLOOKUP(D165,契約台帳!$A$3:$Q$4986,17,FALSE)))</f>
        <v/>
      </c>
      <c r="Z165" s="269" t="str">
        <f>IF(D165="","",IF(T165="","",VLOOKUP(D165,契約台帳!$A$3:$E$4986,5,FALSE)))</f>
        <v/>
      </c>
      <c r="AA165" s="57"/>
      <c r="AB165" s="207" t="str">
        <f>IFERROR((VLOOKUP(F165&amp;K165&amp;M165,製品マスタ!$M$5:$AM$5002,27,FALSE)),"")</f>
        <v/>
      </c>
      <c r="AC165" s="33"/>
      <c r="AD165" s="189"/>
      <c r="AE165" s="54"/>
      <c r="AF165" s="55"/>
      <c r="AG165" s="43"/>
      <c r="AH165" s="47"/>
      <c r="AI165" s="30"/>
      <c r="AJ165" s="30"/>
      <c r="AK165" s="30"/>
      <c r="AL165" s="30"/>
      <c r="AM165" s="13"/>
      <c r="AN165" s="13"/>
      <c r="AO165" s="13"/>
      <c r="AP165" s="13"/>
      <c r="AQ165" s="13"/>
      <c r="AR165" s="14"/>
      <c r="AS165" s="15"/>
    </row>
    <row r="166" spans="1:45" s="17" customFormat="1" ht="30.95" hidden="1" customHeight="1" x14ac:dyDescent="0.2">
      <c r="A166" s="37" t="s">
        <v>839</v>
      </c>
      <c r="B166" s="38" t="s">
        <v>840</v>
      </c>
      <c r="C166" s="45"/>
      <c r="D166" s="31">
        <v>3697667</v>
      </c>
      <c r="E166" s="31">
        <v>4161809</v>
      </c>
      <c r="F166" s="268" t="str">
        <f>IF(D166="","",VLOOKUP(D166,契約台帳!$A$3:$K$4986,6,FALSE)&amp;VLOOKUP(D166,契約台帳!$A$3:$K$4986,7,FALSE)&amp;VLOOKUP(D166,契約台帳!$A$3:$K$4986,8,FALSE)&amp;VLOOKUP(D166,契約台帳!$A$3:$K$4986,9,FALSE)&amp;VLOOKUP(D166,契約台帳!$A$3:$K$4986,11,FALSE))</f>
        <v>3SNMLBMNGTBF</v>
      </c>
      <c r="G166" s="269" t="str">
        <f>IF(D166="","",VLOOKUP(F166,製品マスタ!$G$5:$H$5002,2,FALSE))</f>
        <v>S</v>
      </c>
      <c r="H166" s="269" t="str">
        <f>IF(D166="","",VLOOKUP(F166,製品マスタ!$G$5:$K$5002,5,FALSE))</f>
        <v>MNGTBF</v>
      </c>
      <c r="I166" s="270" t="str">
        <f>IF(D166="","",VLOOKUP(F166,製品マスタ!$G$5:$L$5002,6,FALSE))</f>
        <v>メタルミー　ネーマー　銀艶　Ｂ</v>
      </c>
      <c r="J166" s="210" t="s">
        <v>832</v>
      </c>
      <c r="K166" s="270">
        <f>IF(D166="","",VLOOKUP(D166,契約台帳!$A$3:$L$4986,12,FALSE))</f>
        <v>50</v>
      </c>
      <c r="L166" s="270" t="str">
        <f>IF(D166="","",INDEX(製品マスタ!$Q$5:$Q$5002,MATCH('S4'!F166&amp;'S4'!K166,製品マスタ!$AO$5:$AO$5002,0)))</f>
        <v>T62</v>
      </c>
      <c r="M166" s="39">
        <v>1120</v>
      </c>
      <c r="N166" s="39">
        <v>5000</v>
      </c>
      <c r="O166" s="156">
        <v>14</v>
      </c>
      <c r="P166" s="47">
        <v>2</v>
      </c>
      <c r="Q166" s="213">
        <v>44953</v>
      </c>
      <c r="R166" s="271">
        <f ca="1">IF(D166="","",IF(OFFSET(D166,-1,0)&lt;&gt;"","",IF(OR(J166="リード付け",J166="巻足し",J166="巻返しリード付け"),M166,VLOOKUP(D166,契約台帳!$A$3:$N$4986,14,FALSE))))</f>
        <v>1120</v>
      </c>
      <c r="S166" s="272">
        <f ca="1">IF(D166="","",IF(OFFSET(D166,-1,0)&lt;&gt;"","",IF(OR(J166="リード付け",J166="巻足し",J166="巻返しリード付け"),M166,VLOOKUP(D166,契約台帳!$A$3:$O$4986,15,FALSE))))</f>
        <v>1120</v>
      </c>
      <c r="T166" s="273">
        <f ca="1">IF(D166="","",IF(J166="リード付け",N166,IF(J166="巻返しリード付け",N166,IF(J166="巻足し",N166*P166+OFFSET(N166,1,0)*OFFSET(P166,1,0),VLOOKUP(D166,契約台帳!$A$3:$P$4986,16,FALSE)))))</f>
        <v>10000</v>
      </c>
      <c r="U166" s="40">
        <v>7</v>
      </c>
      <c r="V166" s="274">
        <f ca="1">IF(D166="","",IF(OFFSET(D166,-2,0)=D166,"",VLOOKUP(D166,契約台帳!$A$3:$R$4986,18,FALSE)))</f>
        <v>14</v>
      </c>
      <c r="W166" s="269" t="str">
        <f ca="1">IF(D166="","",IF(T166="","",IF(OR(J166="巻足し",J166="巻返しリード付け"),"",IF(J166="巻返し",VLOOKUP(F166&amp;K166&amp;M166,製品マスタ!$M$5:$AD$5002,18,FALSE),IF(OR(J166="リード付け",J166="巻返しリード付け"),"原反コア",IF(J166="スリット",VLOOKUP(F166&amp;K166&amp;R166,製品マスタ!$N$5:$AD$5002,17,FALSE),""))))))</f>
        <v/>
      </c>
      <c r="X166" s="269" t="str">
        <f ca="1">IF(D166="","",IF(T166="","",IF(J166="巻足し","",IF(J166="巻返し",VLOOKUP(F166&amp;K166&amp;M166,製品マスタ!$M$5:$AE$5002,19,FALSE),IF(OR(J166="リード付け",J166="巻返しリード付け"),"",IF(J166="スリット",VLOOKUP(F166&amp;K166&amp;R166,製品マスタ!$N$5:$AE$5002,18,FALSE),""))))))</f>
        <v/>
      </c>
      <c r="Y166" s="275">
        <f ca="1">IF(D166="","",IF(T166="","",VLOOKUP(D166,契約台帳!$A$3:$Q$4986,17,FALSE)))</f>
        <v>2</v>
      </c>
      <c r="Z166" s="269" t="str">
        <f ca="1">IF(D166="","",IF(T166="","",VLOOKUP(D166,契約台帳!$A$3:$E$4986,5,FALSE)))</f>
        <v>リンテック㈱</v>
      </c>
      <c r="AA166" s="57"/>
      <c r="AB166" s="207" t="str">
        <f>IFERROR((VLOOKUP(F166&amp;K166&amp;M166,製品マスタ!$M$5:$AM$5002,27,FALSE)),"")</f>
        <v>原反ケース再利用</v>
      </c>
      <c r="AC166" s="33"/>
      <c r="AD166" s="189"/>
      <c r="AE166" s="54"/>
      <c r="AF166" s="55"/>
      <c r="AG166" s="43"/>
      <c r="AH166" s="47"/>
      <c r="AI166" s="30"/>
      <c r="AJ166" s="30"/>
      <c r="AK166" s="30"/>
      <c r="AL166" s="30"/>
      <c r="AM166" s="13"/>
      <c r="AN166" s="13"/>
      <c r="AO166" s="13"/>
      <c r="AP166" s="13"/>
      <c r="AQ166" s="13"/>
      <c r="AR166" s="14"/>
      <c r="AS166" s="15"/>
    </row>
    <row r="167" spans="1:45" s="17" customFormat="1" ht="30.95" hidden="1" customHeight="1" x14ac:dyDescent="0.2">
      <c r="A167" s="37"/>
      <c r="B167" s="38"/>
      <c r="C167" s="45"/>
      <c r="D167" s="31"/>
      <c r="E167" s="31"/>
      <c r="F167" s="268" t="str">
        <f>IF(D167="","",VLOOKUP(D167,契約台帳!$A$3:$K$4986,6,FALSE)&amp;VLOOKUP(D167,契約台帳!$A$3:$K$4986,7,FALSE)&amp;VLOOKUP(D167,契約台帳!$A$3:$K$4986,8,FALSE)&amp;VLOOKUP(D167,契約台帳!$A$3:$K$4986,9,FALSE)&amp;VLOOKUP(D167,契約台帳!$A$3:$K$4986,11,FALSE))</f>
        <v/>
      </c>
      <c r="G167" s="269" t="str">
        <f>IF(D167="","",VLOOKUP(F167,製品マスタ!$G$5:$H$5002,2,FALSE))</f>
        <v/>
      </c>
      <c r="H167" s="269" t="str">
        <f>IF(D167="","",VLOOKUP(F167,製品マスタ!$G$5:$K$5002,5,FALSE))</f>
        <v/>
      </c>
      <c r="I167" s="270" t="str">
        <f>IF(D167="","",VLOOKUP(F167,製品マスタ!$G$5:$L$5002,6,FALSE))</f>
        <v/>
      </c>
      <c r="J167" s="210"/>
      <c r="K167" s="270" t="str">
        <f>IF(D167="","",VLOOKUP(D167,契約台帳!$A$3:$L$4986,12,FALSE))</f>
        <v/>
      </c>
      <c r="L167" s="270" t="str">
        <f>IF(D167="","",INDEX(製品マスタ!$Q$5:$Q$5002,MATCH('S4'!F167&amp;'S4'!K167,製品マスタ!$AO$5:$AO$5002,0)))</f>
        <v/>
      </c>
      <c r="M167" s="39"/>
      <c r="N167" s="39"/>
      <c r="O167" s="156"/>
      <c r="P167" s="47"/>
      <c r="Q167" s="57"/>
      <c r="R167" s="271" t="str">
        <f ca="1">IF(D167="","",IF(OFFSET(D167,-1,0)&lt;&gt;"","",IF(OR(J167="リード付け",J167="巻足し",J167="巻返しリード付け"),M167,VLOOKUP(D167,契約台帳!$A$3:$N$4986,14,FALSE))))</f>
        <v/>
      </c>
      <c r="S167" s="272" t="str">
        <f ca="1">IF(D167="","",IF(OFFSET(D167,-1,0)&lt;&gt;"","",IF(OR(J167="リード付け",J167="巻足し",J167="巻返しリード付け"),M167,VLOOKUP(D167,契約台帳!$A$3:$O$4986,15,FALSE))))</f>
        <v/>
      </c>
      <c r="T167" s="273" t="str">
        <f ca="1">IF(D167="","",IF(J167="リード付け",N167,IF(J167="巻返しリード付け",N167,IF(J167="巻足し",N167*P167+OFFSET(N167,1,0)*OFFSET(P167,1,0),VLOOKUP(D167,契約台帳!$A$3:$P$4986,16,FALSE)))))</f>
        <v/>
      </c>
      <c r="U167" s="40"/>
      <c r="V167" s="274" t="str">
        <f ca="1">IF(D167="","",IF(OFFSET(D167,-2,0)=D167,"",VLOOKUP(D167,契約台帳!$A$3:$R$4986,18,FALSE)))</f>
        <v/>
      </c>
      <c r="W167" s="269" t="str">
        <f>IF(D167="","",IF(T167="","",IF(OR(J167="巻足し",J167="巻返しリード付け"),"",IF(J167="巻返し",VLOOKUP(F167&amp;K167&amp;M167,製品マスタ!$M$5:$AD$5002,18,FALSE),IF(OR(J167="リード付け",J167="巻返しリード付け"),"原反コア",IF(J167="スリット",VLOOKUP(F167&amp;K167&amp;R167,製品マスタ!$N$5:$AD$5002,17,FALSE),""))))))</f>
        <v/>
      </c>
      <c r="X167" s="269" t="str">
        <f>IF(D167="","",IF(T167="","",IF(J167="巻足し","",IF(J167="巻返し",VLOOKUP(F167&amp;K167&amp;M167,製品マスタ!$M$5:$AE$5002,19,FALSE),IF(OR(J167="リード付け",J167="巻返しリード付け"),"",IF(J167="スリット",VLOOKUP(F167&amp;K167&amp;R167,製品マスタ!$N$5:$AE$5002,18,FALSE),""))))))</f>
        <v/>
      </c>
      <c r="Y167" s="275" t="str">
        <f>IF(D167="","",IF(T167="","",VLOOKUP(D167,契約台帳!$A$3:$Q$4986,17,FALSE)))</f>
        <v/>
      </c>
      <c r="Z167" s="269" t="str">
        <f>IF(D167="","",IF(T167="","",VLOOKUP(D167,契約台帳!$A$3:$E$4986,5,FALSE)))</f>
        <v/>
      </c>
      <c r="AA167" s="57"/>
      <c r="AB167" s="207" t="str">
        <f>IFERROR((VLOOKUP(F167&amp;K167&amp;M167,製品マスタ!$M$5:$AM$5002,27,FALSE)),"")</f>
        <v/>
      </c>
      <c r="AC167" s="33"/>
      <c r="AD167" s="189"/>
      <c r="AE167" s="54"/>
      <c r="AF167" s="55"/>
      <c r="AG167" s="43"/>
      <c r="AH167" s="47"/>
      <c r="AI167" s="30"/>
      <c r="AJ167" s="30"/>
      <c r="AK167" s="30"/>
      <c r="AL167" s="30"/>
      <c r="AM167" s="13"/>
      <c r="AN167" s="13"/>
      <c r="AO167" s="13"/>
      <c r="AP167" s="13"/>
      <c r="AQ167" s="13"/>
      <c r="AR167" s="14"/>
      <c r="AS167" s="15"/>
    </row>
    <row r="168" spans="1:45" s="17" customFormat="1" ht="30.95" hidden="1" customHeight="1" x14ac:dyDescent="0.2">
      <c r="A168" s="37"/>
      <c r="B168" s="38"/>
      <c r="C168" s="45"/>
      <c r="D168" s="31">
        <v>3697668</v>
      </c>
      <c r="E168" s="31">
        <v>4161810</v>
      </c>
      <c r="F168" s="268" t="str">
        <f>IF(D168="","",VLOOKUP(D168,契約台帳!$A$3:$K$4986,6,FALSE)&amp;VLOOKUP(D168,契約台帳!$A$3:$K$4986,7,FALSE)&amp;VLOOKUP(D168,契約台帳!$A$3:$K$4986,8,FALSE)&amp;VLOOKUP(D168,契約台帳!$A$3:$K$4986,9,FALSE)&amp;VLOOKUP(D168,契約台帳!$A$3:$K$4986,11,FALSE))</f>
        <v>3SNMLBMNGTBF</v>
      </c>
      <c r="G168" s="269" t="str">
        <f>IF(D168="","",VLOOKUP(F168,製品マスタ!$G$5:$H$5002,2,FALSE))</f>
        <v>S</v>
      </c>
      <c r="H168" s="269" t="str">
        <f>IF(D168="","",VLOOKUP(F168,製品マスタ!$G$5:$K$5002,5,FALSE))</f>
        <v>MNGTBF</v>
      </c>
      <c r="I168" s="270" t="str">
        <f>IF(D168="","",VLOOKUP(F168,製品マスタ!$G$5:$L$5002,6,FALSE))</f>
        <v>メタルミー　ネーマー　銀艶　Ｂ</v>
      </c>
      <c r="J168" s="210" t="s">
        <v>832</v>
      </c>
      <c r="K168" s="270">
        <f>IF(D168="","",VLOOKUP(D168,契約台帳!$A$3:$L$4986,12,FALSE))</f>
        <v>50</v>
      </c>
      <c r="L168" s="270" t="str">
        <f>IF(D168="","",INDEX(製品マスタ!$Q$5:$Q$5002,MATCH('S4'!F168&amp;'S4'!K168,製品マスタ!$AO$5:$AO$5002,0)))</f>
        <v>T62</v>
      </c>
      <c r="M168" s="39">
        <v>1120</v>
      </c>
      <c r="N168" s="39">
        <v>5000</v>
      </c>
      <c r="O168" s="156">
        <v>6</v>
      </c>
      <c r="P168" s="47">
        <v>2</v>
      </c>
      <c r="Q168" s="213">
        <v>44953</v>
      </c>
      <c r="R168" s="271">
        <f ca="1">IF(D168="","",IF(OFFSET(D168,-1,0)&lt;&gt;"","",IF(OR(J168="リード付け",J168="巻足し",J168="巻返しリード付け"),M168,VLOOKUP(D168,契約台帳!$A$3:$N$4986,14,FALSE))))</f>
        <v>1120</v>
      </c>
      <c r="S168" s="272">
        <f ca="1">IF(D168="","",IF(OFFSET(D168,-1,0)&lt;&gt;"","",IF(OR(J168="リード付け",J168="巻足し",J168="巻返しリード付け"),M168,VLOOKUP(D168,契約台帳!$A$3:$O$4986,15,FALSE))))</f>
        <v>1120</v>
      </c>
      <c r="T168" s="273">
        <f ca="1">IF(D168="","",IF(J168="リード付け",N168,IF(J168="巻返しリード付け",N168,IF(J168="巻足し",N168*P168+OFFSET(N168,1,0)*OFFSET(P168,1,0),VLOOKUP(D168,契約台帳!$A$3:$P$4986,16,FALSE)))))</f>
        <v>10000</v>
      </c>
      <c r="U168" s="40">
        <v>3</v>
      </c>
      <c r="V168" s="274">
        <f ca="1">IF(D168="","",IF(OFFSET(D168,-2,0)=D168,"",VLOOKUP(D168,契約台帳!$A$3:$R$4986,18,FALSE)))</f>
        <v>12</v>
      </c>
      <c r="W168" s="269" t="str">
        <f ca="1">IF(D168="","",IF(T168="","",IF(OR(J168="巻足し",J168="巻返しリード付け"),"",IF(J168="巻返し",VLOOKUP(F168&amp;K168&amp;M168,製品マスタ!$M$5:$AD$5002,18,FALSE),IF(OR(J168="リード付け",J168="巻返しリード付け"),"原反コア",IF(J168="スリット",VLOOKUP(F168&amp;K168&amp;R168,製品マスタ!$N$5:$AD$5002,17,FALSE),""))))))</f>
        <v/>
      </c>
      <c r="X168" s="269" t="str">
        <f ca="1">IF(D168="","",IF(T168="","",IF(J168="巻足し","",IF(J168="巻返し",VLOOKUP(F168&amp;K168&amp;M168,製品マスタ!$M$5:$AE$5002,19,FALSE),IF(OR(J168="リード付け",J168="巻返しリード付け"),"",IF(J168="スリット",VLOOKUP(F168&amp;K168&amp;R168,製品マスタ!$N$5:$AE$5002,18,FALSE),""))))))</f>
        <v/>
      </c>
      <c r="Y168" s="275">
        <f ca="1">IF(D168="","",IF(T168="","",VLOOKUP(D168,契約台帳!$A$3:$Q$4986,17,FALSE)))</f>
        <v>2</v>
      </c>
      <c r="Z168" s="269" t="str">
        <f ca="1">IF(D168="","",IF(T168="","",VLOOKUP(D168,契約台帳!$A$3:$E$4986,5,FALSE)))</f>
        <v>リンテック㈱</v>
      </c>
      <c r="AA168" s="57"/>
      <c r="AB168" s="207" t="str">
        <f>IFERROR((VLOOKUP(F168&amp;K168&amp;M168,製品マスタ!$M$5:$AM$5002,27,FALSE)),"")</f>
        <v>原反ケース再利用</v>
      </c>
      <c r="AC168" s="33"/>
      <c r="AD168" s="189"/>
      <c r="AE168" s="54"/>
      <c r="AF168" s="55"/>
      <c r="AG168" s="43"/>
      <c r="AH168" s="47"/>
      <c r="AI168" s="30"/>
      <c r="AJ168" s="30"/>
      <c r="AK168" s="30"/>
      <c r="AL168" s="30"/>
      <c r="AM168" s="13"/>
      <c r="AN168" s="13"/>
      <c r="AO168" s="13"/>
      <c r="AP168" s="13"/>
      <c r="AQ168" s="13"/>
      <c r="AR168" s="14"/>
      <c r="AS168" s="15"/>
    </row>
    <row r="169" spans="1:45" s="17" customFormat="1" ht="30.95" hidden="1" customHeight="1" x14ac:dyDescent="0.2">
      <c r="A169" s="37"/>
      <c r="B169" s="38"/>
      <c r="C169" s="45"/>
      <c r="D169" s="31"/>
      <c r="E169" s="31"/>
      <c r="F169" s="268" t="str">
        <f>IF(D169="","",VLOOKUP(D169,契約台帳!$A$3:$K$4986,6,FALSE)&amp;VLOOKUP(D169,契約台帳!$A$3:$K$4986,7,FALSE)&amp;VLOOKUP(D169,契約台帳!$A$3:$K$4986,8,FALSE)&amp;VLOOKUP(D169,契約台帳!$A$3:$K$4986,9,FALSE)&amp;VLOOKUP(D169,契約台帳!$A$3:$K$4986,11,FALSE))</f>
        <v/>
      </c>
      <c r="G169" s="269" t="str">
        <f>IF(D169="","",VLOOKUP(F169,製品マスタ!$G$5:$H$5002,2,FALSE))</f>
        <v/>
      </c>
      <c r="H169" s="269" t="str">
        <f>IF(D169="","",VLOOKUP(F169,製品マスタ!$G$5:$K$5002,5,FALSE))</f>
        <v/>
      </c>
      <c r="I169" s="270" t="str">
        <f>IF(D169="","",VLOOKUP(F169,製品マスタ!$G$5:$L$5002,6,FALSE))</f>
        <v/>
      </c>
      <c r="J169" s="210"/>
      <c r="K169" s="270" t="str">
        <f>IF(D169="","",VLOOKUP(D169,契約台帳!$A$3:$L$4986,12,FALSE))</f>
        <v/>
      </c>
      <c r="L169" s="270" t="str">
        <f>IF(D169="","",INDEX(製品マスタ!$Q$5:$Q$5002,MATCH('S4'!F169&amp;'S4'!K169,製品マスタ!$AO$5:$AO$5002,0)))</f>
        <v/>
      </c>
      <c r="M169" s="39"/>
      <c r="N169" s="39"/>
      <c r="O169" s="156"/>
      <c r="P169" s="47"/>
      <c r="Q169" s="57"/>
      <c r="R169" s="271" t="str">
        <f ca="1">IF(D169="","",IF(OFFSET(D169,-1,0)&lt;&gt;"","",IF(OR(J169="リード付け",J169="巻足し",J169="巻返しリード付け"),M169,VLOOKUP(D169,契約台帳!$A$3:$N$4986,14,FALSE))))</f>
        <v/>
      </c>
      <c r="S169" s="272" t="str">
        <f ca="1">IF(D169="","",IF(OFFSET(D169,-1,0)&lt;&gt;"","",IF(OR(J169="リード付け",J169="巻足し",J169="巻返しリード付け"),M169,VLOOKUP(D169,契約台帳!$A$3:$O$4986,15,FALSE))))</f>
        <v/>
      </c>
      <c r="T169" s="273" t="str">
        <f ca="1">IF(D169="","",IF(J169="リード付け",N169,IF(J169="巻返しリード付け",N169,IF(J169="巻足し",N169*P169+OFFSET(N169,1,0)*OFFSET(P169,1,0),VLOOKUP(D169,契約台帳!$A$3:$P$4986,16,FALSE)))))</f>
        <v/>
      </c>
      <c r="U169" s="40"/>
      <c r="V169" s="274" t="str">
        <f ca="1">IF(D169="","",IF(OFFSET(D169,-2,0)=D169,"",VLOOKUP(D169,契約台帳!$A$3:$R$4986,18,FALSE)))</f>
        <v/>
      </c>
      <c r="W169" s="269" t="str">
        <f>IF(D169="","",IF(T169="","",IF(OR(J169="巻足し",J169="巻返しリード付け"),"",IF(J169="巻返し",VLOOKUP(F169&amp;K169&amp;M169,製品マスタ!$M$5:$AD$5002,18,FALSE),IF(OR(J169="リード付け",J169="巻返しリード付け"),"原反コア",IF(J169="スリット",VLOOKUP(F169&amp;K169&amp;R169,製品マスタ!$N$5:$AD$5002,17,FALSE),""))))))</f>
        <v/>
      </c>
      <c r="X169" s="269" t="str">
        <f>IF(D169="","",IF(T169="","",IF(J169="巻足し","",IF(J169="巻返し",VLOOKUP(F169&amp;K169&amp;M169,製品マスタ!$M$5:$AE$5002,19,FALSE),IF(OR(J169="リード付け",J169="巻返しリード付け"),"",IF(J169="スリット",VLOOKUP(F169&amp;K169&amp;R169,製品マスタ!$N$5:$AE$5002,18,FALSE),""))))))</f>
        <v/>
      </c>
      <c r="Y169" s="275" t="str">
        <f>IF(D169="","",IF(T169="","",VLOOKUP(D169,契約台帳!$A$3:$Q$4986,17,FALSE)))</f>
        <v/>
      </c>
      <c r="Z169" s="269" t="str">
        <f>IF(D169="","",IF(T169="","",VLOOKUP(D169,契約台帳!$A$3:$E$4986,5,FALSE)))</f>
        <v/>
      </c>
      <c r="AA169" s="57"/>
      <c r="AB169" s="207" t="str">
        <f>IFERROR((VLOOKUP(F169&amp;K169&amp;M169,製品マスタ!$M$5:$AM$5002,27,FALSE)),"")</f>
        <v/>
      </c>
      <c r="AC169" s="33"/>
      <c r="AD169" s="189"/>
      <c r="AE169" s="54"/>
      <c r="AF169" s="55"/>
      <c r="AG169" s="43"/>
      <c r="AH169" s="47"/>
      <c r="AI169" s="30"/>
      <c r="AJ169" s="30"/>
      <c r="AK169" s="30"/>
      <c r="AL169" s="30"/>
      <c r="AM169" s="13"/>
      <c r="AN169" s="13"/>
      <c r="AO169" s="13"/>
      <c r="AP169" s="13"/>
      <c r="AQ169" s="13"/>
      <c r="AR169" s="14"/>
      <c r="AS169" s="15"/>
    </row>
    <row r="170" spans="1:45" s="17" customFormat="1" ht="30.95" hidden="1" customHeight="1" x14ac:dyDescent="0.2">
      <c r="A170" s="37" t="s">
        <v>841</v>
      </c>
      <c r="B170" s="38" t="s">
        <v>842</v>
      </c>
      <c r="C170" s="45"/>
      <c r="D170" s="31">
        <v>3697668</v>
      </c>
      <c r="E170" s="31">
        <v>4161810</v>
      </c>
      <c r="F170" s="268" t="str">
        <f>IF(D170="","",VLOOKUP(D170,契約台帳!$A$3:$K$4986,6,FALSE)&amp;VLOOKUP(D170,契約台帳!$A$3:$K$4986,7,FALSE)&amp;VLOOKUP(D170,契約台帳!$A$3:$K$4986,8,FALSE)&amp;VLOOKUP(D170,契約台帳!$A$3:$K$4986,9,FALSE)&amp;VLOOKUP(D170,契約台帳!$A$3:$K$4986,11,FALSE))</f>
        <v>3SNMLBMNGTBF</v>
      </c>
      <c r="G170" s="269" t="str">
        <f>IF(D170="","",VLOOKUP(F170,製品マスタ!$G$5:$H$5002,2,FALSE))</f>
        <v>S</v>
      </c>
      <c r="H170" s="269" t="str">
        <f>IF(D170="","",VLOOKUP(F170,製品マスタ!$G$5:$K$5002,5,FALSE))</f>
        <v>MNGTBF</v>
      </c>
      <c r="I170" s="270" t="str">
        <f>IF(D170="","",VLOOKUP(F170,製品マスタ!$G$5:$L$5002,6,FALSE))</f>
        <v>メタルミー　ネーマー　銀艶　Ｂ</v>
      </c>
      <c r="J170" s="210" t="s">
        <v>832</v>
      </c>
      <c r="K170" s="270">
        <f>IF(D170="","",VLOOKUP(D170,契約台帳!$A$3:$L$4986,12,FALSE))</f>
        <v>50</v>
      </c>
      <c r="L170" s="270" t="str">
        <f>IF(D170="","",INDEX(製品マスタ!$Q$5:$Q$5002,MATCH('S4'!F170&amp;'S4'!K170,製品マスタ!$AO$5:$AO$5002,0)))</f>
        <v>T62</v>
      </c>
      <c r="M170" s="39">
        <v>1120</v>
      </c>
      <c r="N170" s="39">
        <v>5000</v>
      </c>
      <c r="O170" s="156">
        <v>6</v>
      </c>
      <c r="P170" s="47">
        <v>2</v>
      </c>
      <c r="Q170" s="213">
        <v>44953</v>
      </c>
      <c r="R170" s="271">
        <f ca="1">IF(D170="","",IF(OFFSET(D170,-1,0)&lt;&gt;"","",IF(OR(J170="リード付け",J170="巻足し",J170="巻返しリード付け"),M170,VLOOKUP(D170,契約台帳!$A$3:$N$4986,14,FALSE))))</f>
        <v>1120</v>
      </c>
      <c r="S170" s="272">
        <f ca="1">IF(D170="","",IF(OFFSET(D170,-1,0)&lt;&gt;"","",IF(OR(J170="リード付け",J170="巻足し",J170="巻返しリード付け"),M170,VLOOKUP(D170,契約台帳!$A$3:$O$4986,15,FALSE))))</f>
        <v>1120</v>
      </c>
      <c r="T170" s="273">
        <f ca="1">IF(D170="","",IF(J170="リード付け",N170,IF(J170="巻返しリード付け",N170,IF(J170="巻足し",N170*P170+OFFSET(N170,1,0)*OFFSET(P170,1,0),VLOOKUP(D170,契約台帳!$A$3:$P$4986,16,FALSE)))))</f>
        <v>10000</v>
      </c>
      <c r="U170" s="40">
        <v>3</v>
      </c>
      <c r="V170" s="274" t="str">
        <f ca="1">IF(D170="","",IF(OFFSET(D170,-2,0)=D170,"",VLOOKUP(D170,契約台帳!$A$3:$R$4986,18,FALSE)))</f>
        <v/>
      </c>
      <c r="W170" s="269" t="str">
        <f ca="1">IF(D170="","",IF(T170="","",IF(OR(J170="巻足し",J170="巻返しリード付け"),"",IF(J170="巻返し",VLOOKUP(F170&amp;K170&amp;M170,製品マスタ!$M$5:$AD$5002,18,FALSE),IF(OR(J170="リード付け",J170="巻返しリード付け"),"原反コア",IF(J170="スリット",VLOOKUP(F170&amp;K170&amp;R170,製品マスタ!$N$5:$AD$5002,17,FALSE),""))))))</f>
        <v/>
      </c>
      <c r="X170" s="269" t="str">
        <f ca="1">IF(D170="","",IF(T170="","",IF(J170="巻足し","",IF(J170="巻返し",VLOOKUP(F170&amp;K170&amp;M170,製品マスタ!$M$5:$AE$5002,19,FALSE),IF(OR(J170="リード付け",J170="巻返しリード付け"),"",IF(J170="スリット",VLOOKUP(F170&amp;K170&amp;R170,製品マスタ!$N$5:$AE$5002,18,FALSE),""))))))</f>
        <v/>
      </c>
      <c r="Y170" s="275">
        <f ca="1">IF(D170="","",IF(T170="","",VLOOKUP(D170,契約台帳!$A$3:$Q$4986,17,FALSE)))</f>
        <v>2</v>
      </c>
      <c r="Z170" s="269" t="str">
        <f ca="1">IF(D170="","",IF(T170="","",VLOOKUP(D170,契約台帳!$A$3:$E$4986,5,FALSE)))</f>
        <v>リンテック㈱</v>
      </c>
      <c r="AA170" s="57"/>
      <c r="AB170" s="207" t="str">
        <f>IFERROR((VLOOKUP(F170&amp;K170&amp;M170,製品マスタ!$M$5:$AM$5002,27,FALSE)),"")</f>
        <v>原反ケース再利用</v>
      </c>
      <c r="AC170" s="33"/>
      <c r="AD170" s="189"/>
      <c r="AE170" s="54"/>
      <c r="AF170" s="55"/>
      <c r="AG170" s="43"/>
      <c r="AH170" s="47"/>
      <c r="AI170" s="30"/>
      <c r="AJ170" s="30"/>
      <c r="AK170" s="30"/>
      <c r="AL170" s="30"/>
      <c r="AM170" s="13"/>
      <c r="AN170" s="13"/>
      <c r="AO170" s="13"/>
      <c r="AP170" s="13"/>
      <c r="AQ170" s="13"/>
      <c r="AR170" s="14"/>
      <c r="AS170" s="15"/>
    </row>
    <row r="171" spans="1:45" s="17" customFormat="1" ht="30.95" hidden="1" customHeight="1" x14ac:dyDescent="0.2">
      <c r="A171" s="37"/>
      <c r="B171" s="38"/>
      <c r="C171" s="45"/>
      <c r="D171" s="31"/>
      <c r="E171" s="31"/>
      <c r="F171" s="268" t="str">
        <f>IF(D171="","",VLOOKUP(D171,契約台帳!$A$3:$K$4986,6,FALSE)&amp;VLOOKUP(D171,契約台帳!$A$3:$K$4986,7,FALSE)&amp;VLOOKUP(D171,契約台帳!$A$3:$K$4986,8,FALSE)&amp;VLOOKUP(D171,契約台帳!$A$3:$K$4986,9,FALSE)&amp;VLOOKUP(D171,契約台帳!$A$3:$K$4986,11,FALSE))</f>
        <v/>
      </c>
      <c r="G171" s="269" t="str">
        <f>IF(D171="","",VLOOKUP(F171,製品マスタ!$G$5:$H$5002,2,FALSE))</f>
        <v/>
      </c>
      <c r="H171" s="269" t="str">
        <f>IF(D171="","",VLOOKUP(F171,製品マスタ!$G$5:$K$5002,5,FALSE))</f>
        <v/>
      </c>
      <c r="I171" s="270" t="str">
        <f>IF(D171="","",VLOOKUP(F171,製品マスタ!$G$5:$L$5002,6,FALSE))</f>
        <v/>
      </c>
      <c r="J171" s="210"/>
      <c r="K171" s="270" t="str">
        <f>IF(D171="","",VLOOKUP(D171,契約台帳!$A$3:$L$4986,12,FALSE))</f>
        <v/>
      </c>
      <c r="L171" s="270" t="str">
        <f>IF(D171="","",INDEX(製品マスタ!$Q$5:$Q$5002,MATCH('S4'!F171&amp;'S4'!K171,製品マスタ!$AO$5:$AO$5002,0)))</f>
        <v/>
      </c>
      <c r="M171" s="39"/>
      <c r="N171" s="39"/>
      <c r="O171" s="156"/>
      <c r="P171" s="47"/>
      <c r="Q171" s="57"/>
      <c r="R171" s="271" t="str">
        <f ca="1">IF(D171="","",IF(OFFSET(D171,-1,0)&lt;&gt;"","",IF(OR(J171="リード付け",J171="巻足し",J171="巻返しリード付け"),M171,VLOOKUP(D171,契約台帳!$A$3:$N$4986,14,FALSE))))</f>
        <v/>
      </c>
      <c r="S171" s="272" t="str">
        <f ca="1">IF(D171="","",IF(OFFSET(D171,-1,0)&lt;&gt;"","",IF(OR(J171="リード付け",J171="巻足し",J171="巻返しリード付け"),M171,VLOOKUP(D171,契約台帳!$A$3:$O$4986,15,FALSE))))</f>
        <v/>
      </c>
      <c r="T171" s="273" t="str">
        <f ca="1">IF(D171="","",IF(J171="リード付け",N171,IF(J171="巻返しリード付け",N171,IF(J171="巻足し",N171*P171+OFFSET(N171,1,0)*OFFSET(P171,1,0),VLOOKUP(D171,契約台帳!$A$3:$P$4986,16,FALSE)))))</f>
        <v/>
      </c>
      <c r="U171" s="40"/>
      <c r="V171" s="274" t="str">
        <f ca="1">IF(D171="","",IF(OFFSET(D171,-2,0)=D171,"",VLOOKUP(D171,契約台帳!$A$3:$R$4986,18,FALSE)))</f>
        <v/>
      </c>
      <c r="W171" s="269" t="str">
        <f>IF(D171="","",IF(T171="","",IF(OR(J171="巻足し",J171="巻返しリード付け"),"",IF(J171="巻返し",VLOOKUP(F171&amp;K171&amp;M171,製品マスタ!$M$5:$AD$5002,18,FALSE),IF(OR(J171="リード付け",J171="巻返しリード付け"),"原反コア",IF(J171="スリット",VLOOKUP(F171&amp;K171&amp;R171,製品マスタ!$N$5:$AD$5002,17,FALSE),""))))))</f>
        <v/>
      </c>
      <c r="X171" s="269" t="str">
        <f>IF(D171="","",IF(T171="","",IF(J171="巻足し","",IF(J171="巻返し",VLOOKUP(F171&amp;K171&amp;M171,製品マスタ!$M$5:$AE$5002,19,FALSE),IF(OR(J171="リード付け",J171="巻返しリード付け"),"",IF(J171="スリット",VLOOKUP(F171&amp;K171&amp;R171,製品マスタ!$N$5:$AE$5002,18,FALSE),""))))))</f>
        <v/>
      </c>
      <c r="Y171" s="275" t="str">
        <f>IF(D171="","",IF(T171="","",VLOOKUP(D171,契約台帳!$A$3:$Q$4986,17,FALSE)))</f>
        <v/>
      </c>
      <c r="Z171" s="269" t="str">
        <f>IF(D171="","",IF(T171="","",VLOOKUP(D171,契約台帳!$A$3:$E$4986,5,FALSE)))</f>
        <v/>
      </c>
      <c r="AA171" s="57"/>
      <c r="AB171" s="207" t="str">
        <f>IFERROR((VLOOKUP(F171&amp;K171&amp;M171,製品マスタ!$M$5:$AM$5002,27,FALSE)),"")</f>
        <v/>
      </c>
      <c r="AC171" s="33"/>
      <c r="AD171" s="189"/>
      <c r="AE171" s="54"/>
      <c r="AF171" s="55"/>
      <c r="AG171" s="43"/>
      <c r="AH171" s="47"/>
      <c r="AI171" s="30"/>
      <c r="AJ171" s="30"/>
      <c r="AK171" s="30"/>
      <c r="AL171" s="30"/>
      <c r="AM171" s="13"/>
      <c r="AN171" s="13"/>
      <c r="AO171" s="13"/>
      <c r="AP171" s="13"/>
      <c r="AQ171" s="13"/>
      <c r="AR171" s="14"/>
      <c r="AS171" s="15"/>
    </row>
    <row r="172" spans="1:45" s="17" customFormat="1" ht="30.95" hidden="1" customHeight="1" x14ac:dyDescent="0.2">
      <c r="A172" s="37"/>
      <c r="B172" s="38"/>
      <c r="C172" s="45"/>
      <c r="D172" s="31">
        <v>3697676</v>
      </c>
      <c r="E172" s="31">
        <v>4161827</v>
      </c>
      <c r="F172" s="268" t="str">
        <f>IF(D172="","",VLOOKUP(D172,契約台帳!$A$3:$K$4986,6,FALSE)&amp;VLOOKUP(D172,契約台帳!$A$3:$K$4986,7,FALSE)&amp;VLOOKUP(D172,契約台帳!$A$3:$K$4986,8,FALSE)&amp;VLOOKUP(D172,契約台帳!$A$3:$K$4986,9,FALSE)&amp;VLOOKUP(D172,契約台帳!$A$3:$K$4986,11,FALSE))</f>
        <v>3SNMLBMNQR66F</v>
      </c>
      <c r="G172" s="269" t="str">
        <f>IF(D172="","",VLOOKUP(F172,製品マスタ!$G$5:$H$5002,2,FALSE))</f>
        <v>S</v>
      </c>
      <c r="H172" s="269" t="str">
        <f>IF(D172="","",VLOOKUP(F172,製品マスタ!$G$5:$K$5002,5,FALSE))</f>
        <v>MNQR66F</v>
      </c>
      <c r="I172" s="270" t="str">
        <f>IF(D172="","",VLOOKUP(F172,製品マスタ!$G$5:$L$5002,6,FALSE))</f>
        <v>ＱＲ６６蒸着品</v>
      </c>
      <c r="J172" s="210" t="s">
        <v>832</v>
      </c>
      <c r="K172" s="270">
        <f>IF(D172="","",VLOOKUP(D172,契約台帳!$A$3:$L$4986,12,FALSE))</f>
        <v>25</v>
      </c>
      <c r="L172" s="270" t="str">
        <f>IF(D172="","",INDEX(製品マスタ!$Q$5:$Q$5002,MATCH('S4'!F172&amp;'S4'!K172,製品マスタ!$AO$5:$AO$5002,0)))</f>
        <v>E315</v>
      </c>
      <c r="M172" s="39">
        <v>1100</v>
      </c>
      <c r="N172" s="39">
        <v>6000</v>
      </c>
      <c r="O172" s="156">
        <v>12</v>
      </c>
      <c r="P172" s="47">
        <v>4</v>
      </c>
      <c r="Q172" s="213">
        <v>44956</v>
      </c>
      <c r="R172" s="271">
        <f ca="1">IF(D172="","",IF(OFFSET(D172,-1,0)&lt;&gt;"","",IF(OR(J172="リード付け",J172="巻足し",J172="巻返しリード付け"),M172,VLOOKUP(D172,契約台帳!$A$3:$N$4986,14,FALSE))))</f>
        <v>1100</v>
      </c>
      <c r="S172" s="272">
        <f ca="1">IF(D172="","",IF(OFFSET(D172,-1,0)&lt;&gt;"","",IF(OR(J172="リード付け",J172="巻足し",J172="巻返しリード付け"),M172,VLOOKUP(D172,契約台帳!$A$3:$O$4986,15,FALSE))))</f>
        <v>1100</v>
      </c>
      <c r="T172" s="273">
        <f ca="1">IF(D172="","",IF(J172="リード付け",N172,IF(J172="巻返しリード付け",N172,IF(J172="巻足し",N172*P172+OFFSET(N172,1,0)*OFFSET(P172,1,0),VLOOKUP(D172,契約台帳!$A$3:$P$4986,16,FALSE)))))</f>
        <v>24000</v>
      </c>
      <c r="U172" s="40">
        <v>3</v>
      </c>
      <c r="V172" s="274">
        <f ca="1">IF(D172="","",IF(OFFSET(D172,-2,0)=D172,"",VLOOKUP(D172,契約台帳!$A$3:$R$4986,18,FALSE)))</f>
        <v>20</v>
      </c>
      <c r="W172" s="269" t="str">
        <f ca="1">IF(D172="","",IF(T172="","",IF(OR(J172="巻足し",J172="巻返しリード付け"),"",IF(J172="巻返し",VLOOKUP(F172&amp;K172&amp;M172,製品マスタ!$M$5:$AD$5002,18,FALSE),IF(OR(J172="リード付け",J172="巻返しリード付け"),"原反コア",IF(J172="スリット",VLOOKUP(F172&amp;K172&amp;R172,製品マスタ!$N$5:$AD$5002,17,FALSE),""))))))</f>
        <v/>
      </c>
      <c r="X172" s="269" t="str">
        <f ca="1">IF(D172="","",IF(T172="","",IF(J172="巻足し","",IF(J172="巻返し",VLOOKUP(F172&amp;K172&amp;M172,製品マスタ!$M$5:$AE$5002,19,FALSE),IF(OR(J172="リード付け",J172="巻返しリード付け"),"",IF(J172="スリット",VLOOKUP(F172&amp;K172&amp;R172,製品マスタ!$N$5:$AE$5002,18,FALSE),""))))))</f>
        <v/>
      </c>
      <c r="Y172" s="275">
        <f ca="1">IF(D172="","",IF(T172="","",VLOOKUP(D172,契約台帳!$A$3:$Q$4986,17,FALSE)))</f>
        <v>2</v>
      </c>
      <c r="Z172" s="269" t="str">
        <f ca="1">IF(D172="","",IF(T172="","",VLOOKUP(D172,契約台帳!$A$3:$E$4986,5,FALSE)))</f>
        <v>リンテック㈱</v>
      </c>
      <c r="AA172" s="57"/>
      <c r="AB172" s="207" t="str">
        <f>IFERROR((VLOOKUP(F172&amp;K172&amp;M172,製品マスタ!$M$5:$AM$5002,27,FALSE)),"")</f>
        <v>原反ケース再利用</v>
      </c>
      <c r="AC172" s="33"/>
      <c r="AD172" s="189"/>
      <c r="AE172" s="54"/>
      <c r="AF172" s="55"/>
      <c r="AG172" s="43"/>
      <c r="AH172" s="47"/>
      <c r="AI172" s="30"/>
      <c r="AJ172" s="30"/>
      <c r="AK172" s="30"/>
      <c r="AL172" s="30"/>
      <c r="AM172" s="13"/>
      <c r="AN172" s="13"/>
      <c r="AO172" s="13"/>
      <c r="AP172" s="13"/>
      <c r="AQ172" s="13"/>
      <c r="AR172" s="14"/>
      <c r="AS172" s="15"/>
    </row>
    <row r="173" spans="1:45" s="17" customFormat="1" ht="30.95" hidden="1" customHeight="1" x14ac:dyDescent="0.2">
      <c r="A173" s="37"/>
      <c r="B173" s="38"/>
      <c r="C173" s="45"/>
      <c r="D173" s="31"/>
      <c r="E173" s="31"/>
      <c r="F173" s="268" t="str">
        <f>IF(D173="","",VLOOKUP(D173,契約台帳!$A$3:$K$4986,6,FALSE)&amp;VLOOKUP(D173,契約台帳!$A$3:$K$4986,7,FALSE)&amp;VLOOKUP(D173,契約台帳!$A$3:$K$4986,8,FALSE)&amp;VLOOKUP(D173,契約台帳!$A$3:$K$4986,9,FALSE)&amp;VLOOKUP(D173,契約台帳!$A$3:$K$4986,11,FALSE))</f>
        <v/>
      </c>
      <c r="G173" s="269" t="str">
        <f>IF(D173="","",VLOOKUP(F173,製品マスタ!$G$5:$H$5002,2,FALSE))</f>
        <v/>
      </c>
      <c r="H173" s="269" t="str">
        <f>IF(D173="","",VLOOKUP(F173,製品マスタ!$G$5:$K$5002,5,FALSE))</f>
        <v/>
      </c>
      <c r="I173" s="270" t="str">
        <f>IF(D173="","",VLOOKUP(F173,製品マスタ!$G$5:$L$5002,6,FALSE))</f>
        <v/>
      </c>
      <c r="J173" s="210"/>
      <c r="K173" s="270" t="str">
        <f>IF(D173="","",VLOOKUP(D173,契約台帳!$A$3:$L$4986,12,FALSE))</f>
        <v/>
      </c>
      <c r="L173" s="270" t="str">
        <f>IF(D173="","",INDEX(製品マスタ!$Q$5:$Q$5002,MATCH('S4'!F173&amp;'S4'!K173,製品マスタ!$AO$5:$AO$5002,0)))</f>
        <v/>
      </c>
      <c r="M173" s="39"/>
      <c r="N173" s="39"/>
      <c r="O173" s="156"/>
      <c r="P173" s="47"/>
      <c r="Q173" s="57"/>
      <c r="R173" s="271" t="str">
        <f ca="1">IF(D173="","",IF(OFFSET(D173,-1,0)&lt;&gt;"","",IF(OR(J173="リード付け",J173="巻足し",J173="巻返しリード付け"),M173,VLOOKUP(D173,契約台帳!$A$3:$N$4986,14,FALSE))))</f>
        <v/>
      </c>
      <c r="S173" s="272" t="str">
        <f ca="1">IF(D173="","",IF(OFFSET(D173,-1,0)&lt;&gt;"","",IF(OR(J173="リード付け",J173="巻足し",J173="巻返しリード付け"),M173,VLOOKUP(D173,契約台帳!$A$3:$O$4986,15,FALSE))))</f>
        <v/>
      </c>
      <c r="T173" s="273" t="str">
        <f ca="1">IF(D173="","",IF(J173="リード付け",N173,IF(J173="巻返しリード付け",N173,IF(J173="巻足し",N173*P173+OFFSET(N173,1,0)*OFFSET(P173,1,0),VLOOKUP(D173,契約台帳!$A$3:$P$4986,16,FALSE)))))</f>
        <v/>
      </c>
      <c r="U173" s="40"/>
      <c r="V173" s="274" t="str">
        <f ca="1">IF(D173="","",IF(OFFSET(D173,-2,0)=D173,"",VLOOKUP(D173,契約台帳!$A$3:$R$4986,18,FALSE)))</f>
        <v/>
      </c>
      <c r="W173" s="269" t="str">
        <f>IF(D173="","",IF(T173="","",IF(OR(J173="巻足し",J173="巻返しリード付け"),"",IF(J173="巻返し",VLOOKUP(F173&amp;K173&amp;M173,製品マスタ!$M$5:$AD$5002,18,FALSE),IF(OR(J173="リード付け",J173="巻返しリード付け"),"原反コア",IF(J173="スリット",VLOOKUP(F173&amp;K173&amp;R173,製品マスタ!$N$5:$AD$5002,17,FALSE),""))))))</f>
        <v/>
      </c>
      <c r="X173" s="269" t="str">
        <f>IF(D173="","",IF(T173="","",IF(J173="巻足し","",IF(J173="巻返し",VLOOKUP(F173&amp;K173&amp;M173,製品マスタ!$M$5:$AE$5002,19,FALSE),IF(OR(J173="リード付け",J173="巻返しリード付け"),"",IF(J173="スリット",VLOOKUP(F173&amp;K173&amp;R173,製品マスタ!$N$5:$AE$5002,18,FALSE),""))))))</f>
        <v/>
      </c>
      <c r="Y173" s="275" t="str">
        <f>IF(D173="","",IF(T173="","",VLOOKUP(D173,契約台帳!$A$3:$Q$4986,17,FALSE)))</f>
        <v/>
      </c>
      <c r="Z173" s="269" t="str">
        <f>IF(D173="","",IF(T173="","",VLOOKUP(D173,契約台帳!$A$3:$E$4986,5,FALSE)))</f>
        <v/>
      </c>
      <c r="AA173" s="57"/>
      <c r="AB173" s="207" t="str">
        <f>IFERROR((VLOOKUP(F173&amp;K173&amp;M173,製品マスタ!$M$5:$AM$5002,27,FALSE)),"")</f>
        <v/>
      </c>
      <c r="AC173" s="33"/>
      <c r="AD173" s="189"/>
      <c r="AE173" s="54"/>
      <c r="AF173" s="55"/>
      <c r="AG173" s="43"/>
      <c r="AH173" s="47"/>
      <c r="AI173" s="30"/>
      <c r="AJ173" s="30"/>
      <c r="AK173" s="30"/>
      <c r="AL173" s="30"/>
      <c r="AM173" s="13"/>
      <c r="AN173" s="13"/>
      <c r="AO173" s="13"/>
      <c r="AP173" s="13"/>
      <c r="AQ173" s="13"/>
      <c r="AR173" s="14"/>
      <c r="AS173" s="15"/>
    </row>
    <row r="174" spans="1:45" s="17" customFormat="1" ht="30.95" hidden="1" customHeight="1" x14ac:dyDescent="0.2">
      <c r="A174" s="37" t="s">
        <v>843</v>
      </c>
      <c r="B174" s="38" t="s">
        <v>844</v>
      </c>
      <c r="C174" s="45"/>
      <c r="D174" s="31">
        <v>3697676</v>
      </c>
      <c r="E174" s="31">
        <v>4161827</v>
      </c>
      <c r="F174" s="268" t="str">
        <f>IF(D174="","",VLOOKUP(D174,契約台帳!$A$3:$K$4986,6,FALSE)&amp;VLOOKUP(D174,契約台帳!$A$3:$K$4986,7,FALSE)&amp;VLOOKUP(D174,契約台帳!$A$3:$K$4986,8,FALSE)&amp;VLOOKUP(D174,契約台帳!$A$3:$K$4986,9,FALSE)&amp;VLOOKUP(D174,契約台帳!$A$3:$K$4986,11,FALSE))</f>
        <v>3SNMLBMNQR66F</v>
      </c>
      <c r="G174" s="269" t="str">
        <f>IF(D174="","",VLOOKUP(F174,製品マスタ!$G$5:$H$5002,2,FALSE))</f>
        <v>S</v>
      </c>
      <c r="H174" s="269" t="str">
        <f>IF(D174="","",VLOOKUP(F174,製品マスタ!$G$5:$K$5002,5,FALSE))</f>
        <v>MNQR66F</v>
      </c>
      <c r="I174" s="270" t="str">
        <f>IF(D174="","",VLOOKUP(F174,製品マスタ!$G$5:$L$5002,6,FALSE))</f>
        <v>ＱＲ６６蒸着品</v>
      </c>
      <c r="J174" s="210" t="s">
        <v>832</v>
      </c>
      <c r="K174" s="270">
        <f>IF(D174="","",VLOOKUP(D174,契約台帳!$A$3:$L$4986,12,FALSE))</f>
        <v>25</v>
      </c>
      <c r="L174" s="270" t="str">
        <f>IF(D174="","",INDEX(製品マスタ!$Q$5:$Q$5002,MATCH('S4'!F174&amp;'S4'!K174,製品マスタ!$AO$5:$AO$5002,0)))</f>
        <v>E315</v>
      </c>
      <c r="M174" s="39">
        <v>1100</v>
      </c>
      <c r="N174" s="39">
        <v>6000</v>
      </c>
      <c r="O174" s="156">
        <v>8</v>
      </c>
      <c r="P174" s="47">
        <v>4</v>
      </c>
      <c r="Q174" s="213">
        <v>44956</v>
      </c>
      <c r="R174" s="271">
        <f ca="1">IF(D174="","",IF(OFFSET(D174,-1,0)&lt;&gt;"","",IF(OR(J174="リード付け",J174="巻足し",J174="巻返しリード付け"),M174,VLOOKUP(D174,契約台帳!$A$3:$N$4986,14,FALSE))))</f>
        <v>1100</v>
      </c>
      <c r="S174" s="272">
        <f ca="1">IF(D174="","",IF(OFFSET(D174,-1,0)&lt;&gt;"","",IF(OR(J174="リード付け",J174="巻足し",J174="巻返しリード付け"),M174,VLOOKUP(D174,契約台帳!$A$3:$O$4986,15,FALSE))))</f>
        <v>1100</v>
      </c>
      <c r="T174" s="273">
        <f ca="1">IF(D174="","",IF(J174="リード付け",N174,IF(J174="巻返しリード付け",N174,IF(J174="巻足し",N174*P174+OFFSET(N174,1,0)*OFFSET(P174,1,0),VLOOKUP(D174,契約台帳!$A$3:$P$4986,16,FALSE)))))</f>
        <v>24000</v>
      </c>
      <c r="U174" s="40">
        <v>2</v>
      </c>
      <c r="V174" s="274" t="str">
        <f ca="1">IF(D174="","",IF(OFFSET(D174,-2,0)=D174,"",VLOOKUP(D174,契約台帳!$A$3:$R$4986,18,FALSE)))</f>
        <v/>
      </c>
      <c r="W174" s="269" t="str">
        <f ca="1">IF(D174="","",IF(T174="","",IF(OR(J174="巻足し",J174="巻返しリード付け"),"",IF(J174="巻返し",VLOOKUP(F174&amp;K174&amp;M174,製品マスタ!$M$5:$AD$5002,18,FALSE),IF(OR(J174="リード付け",J174="巻返しリード付け"),"原反コア",IF(J174="スリット",VLOOKUP(F174&amp;K174&amp;R174,製品マスタ!$N$5:$AD$5002,17,FALSE),""))))))</f>
        <v/>
      </c>
      <c r="X174" s="269" t="str">
        <f ca="1">IF(D174="","",IF(T174="","",IF(J174="巻足し","",IF(J174="巻返し",VLOOKUP(F174&amp;K174&amp;M174,製品マスタ!$M$5:$AE$5002,19,FALSE),IF(OR(J174="リード付け",J174="巻返しリード付け"),"",IF(J174="スリット",VLOOKUP(F174&amp;K174&amp;R174,製品マスタ!$N$5:$AE$5002,18,FALSE),""))))))</f>
        <v/>
      </c>
      <c r="Y174" s="275">
        <f ca="1">IF(D174="","",IF(T174="","",VLOOKUP(D174,契約台帳!$A$3:$Q$4986,17,FALSE)))</f>
        <v>2</v>
      </c>
      <c r="Z174" s="269" t="str">
        <f ca="1">IF(D174="","",IF(T174="","",VLOOKUP(D174,契約台帳!$A$3:$E$4986,5,FALSE)))</f>
        <v>リンテック㈱</v>
      </c>
      <c r="AA174" s="57"/>
      <c r="AB174" s="207" t="str">
        <f>IFERROR((VLOOKUP(F174&amp;K174&amp;M174,製品マスタ!$M$5:$AM$5002,27,FALSE)),"")</f>
        <v>原反ケース再利用</v>
      </c>
      <c r="AC174" s="33"/>
      <c r="AD174" s="189"/>
      <c r="AE174" s="54"/>
      <c r="AF174" s="55"/>
      <c r="AG174" s="43"/>
      <c r="AH174" s="47"/>
      <c r="AI174" s="30"/>
      <c r="AJ174" s="30"/>
      <c r="AK174" s="30"/>
      <c r="AL174" s="30"/>
      <c r="AM174" s="13"/>
      <c r="AN174" s="13"/>
      <c r="AO174" s="13"/>
      <c r="AP174" s="13"/>
      <c r="AQ174" s="13"/>
      <c r="AR174" s="14"/>
      <c r="AS174" s="15"/>
    </row>
    <row r="175" spans="1:45" s="17" customFormat="1" ht="30.95" hidden="1" customHeight="1" x14ac:dyDescent="0.2">
      <c r="A175" s="37"/>
      <c r="B175" s="38"/>
      <c r="C175" s="45"/>
      <c r="D175" s="31"/>
      <c r="E175" s="31"/>
      <c r="F175" s="268" t="str">
        <f>IF(D175="","",VLOOKUP(D175,契約台帳!$A$3:$K$4986,6,FALSE)&amp;VLOOKUP(D175,契約台帳!$A$3:$K$4986,7,FALSE)&amp;VLOOKUP(D175,契約台帳!$A$3:$K$4986,8,FALSE)&amp;VLOOKUP(D175,契約台帳!$A$3:$K$4986,9,FALSE)&amp;VLOOKUP(D175,契約台帳!$A$3:$K$4986,11,FALSE))</f>
        <v/>
      </c>
      <c r="G175" s="269" t="str">
        <f>IF(D175="","",VLOOKUP(F175,製品マスタ!$G$5:$H$5002,2,FALSE))</f>
        <v/>
      </c>
      <c r="H175" s="269" t="str">
        <f>IF(D175="","",VLOOKUP(F175,製品マスタ!$G$5:$K$5002,5,FALSE))</f>
        <v/>
      </c>
      <c r="I175" s="270" t="str">
        <f>IF(D175="","",VLOOKUP(F175,製品マスタ!$G$5:$L$5002,6,FALSE))</f>
        <v/>
      </c>
      <c r="J175" s="210"/>
      <c r="K175" s="270" t="str">
        <f>IF(D175="","",VLOOKUP(D175,契約台帳!$A$3:$L$4986,12,FALSE))</f>
        <v/>
      </c>
      <c r="L175" s="270" t="str">
        <f>IF(D175="","",INDEX(製品マスタ!$Q$5:$Q$5002,MATCH('S4'!F175&amp;'S4'!K175,製品マスタ!$AO$5:$AO$5002,0)))</f>
        <v/>
      </c>
      <c r="M175" s="39"/>
      <c r="N175" s="39"/>
      <c r="O175" s="156"/>
      <c r="P175" s="47"/>
      <c r="Q175" s="57"/>
      <c r="R175" s="271" t="str">
        <f ca="1">IF(D175="","",IF(OFFSET(D175,-1,0)&lt;&gt;"","",IF(OR(J175="リード付け",J175="巻足し",J175="巻返しリード付け"),M175,VLOOKUP(D175,契約台帳!$A$3:$N$4986,14,FALSE))))</f>
        <v/>
      </c>
      <c r="S175" s="272" t="str">
        <f ca="1">IF(D175="","",IF(OFFSET(D175,-1,0)&lt;&gt;"","",IF(OR(J175="リード付け",J175="巻足し",J175="巻返しリード付け"),M175,VLOOKUP(D175,契約台帳!$A$3:$O$4986,15,FALSE))))</f>
        <v/>
      </c>
      <c r="T175" s="273" t="str">
        <f ca="1">IF(D175="","",IF(J175="リード付け",N175,IF(J175="巻返しリード付け",N175,IF(J175="巻足し",N175*P175+OFFSET(N175,1,0)*OFFSET(P175,1,0),VLOOKUP(D175,契約台帳!$A$3:$P$4986,16,FALSE)))))</f>
        <v/>
      </c>
      <c r="U175" s="40"/>
      <c r="V175" s="274" t="str">
        <f ca="1">IF(D175="","",IF(OFFSET(D175,-2,0)=D175,"",VLOOKUP(D175,契約台帳!$A$3:$R$4986,18,FALSE)))</f>
        <v/>
      </c>
      <c r="W175" s="269" t="str">
        <f>IF(D175="","",IF(T175="","",IF(OR(J175="巻足し",J175="巻返しリード付け"),"",IF(J175="巻返し",VLOOKUP(F175&amp;K175&amp;M175,製品マスタ!$M$5:$AD$5002,18,FALSE),IF(OR(J175="リード付け",J175="巻返しリード付け"),"原反コア",IF(J175="スリット",VLOOKUP(F175&amp;K175&amp;R175,製品マスタ!$N$5:$AD$5002,17,FALSE),""))))))</f>
        <v/>
      </c>
      <c r="X175" s="269" t="str">
        <f>IF(D175="","",IF(T175="","",IF(J175="巻足し","",IF(J175="巻返し",VLOOKUP(F175&amp;K175&amp;M175,製品マスタ!$M$5:$AE$5002,19,FALSE),IF(OR(J175="リード付け",J175="巻返しリード付け"),"",IF(J175="スリット",VLOOKUP(F175&amp;K175&amp;R175,製品マスタ!$N$5:$AE$5002,18,FALSE),""))))))</f>
        <v/>
      </c>
      <c r="Y175" s="275" t="str">
        <f>IF(D175="","",IF(T175="","",VLOOKUP(D175,契約台帳!$A$3:$Q$4986,17,FALSE)))</f>
        <v/>
      </c>
      <c r="Z175" s="269" t="str">
        <f>IF(D175="","",IF(T175="","",VLOOKUP(D175,契約台帳!$A$3:$E$4986,5,FALSE)))</f>
        <v/>
      </c>
      <c r="AA175" s="57"/>
      <c r="AB175" s="207" t="str">
        <f>IFERROR((VLOOKUP(F175&amp;K175&amp;M175,製品マスタ!$M$5:$AM$5002,27,FALSE)),"")</f>
        <v/>
      </c>
      <c r="AC175" s="33"/>
      <c r="AD175" s="189"/>
      <c r="AE175" s="54"/>
      <c r="AF175" s="55"/>
      <c r="AG175" s="43"/>
      <c r="AH175" s="47"/>
      <c r="AI175" s="30"/>
      <c r="AJ175" s="30"/>
      <c r="AK175" s="30"/>
      <c r="AL175" s="30"/>
      <c r="AM175" s="13"/>
      <c r="AN175" s="13"/>
      <c r="AO175" s="13"/>
      <c r="AP175" s="13"/>
      <c r="AQ175" s="13"/>
      <c r="AR175" s="14"/>
      <c r="AS175" s="15"/>
    </row>
    <row r="176" spans="1:45" s="17" customFormat="1" ht="30.95" hidden="1" customHeight="1" x14ac:dyDescent="0.2">
      <c r="A176" s="37"/>
      <c r="B176" s="38"/>
      <c r="C176" s="45"/>
      <c r="D176" s="31">
        <v>3698435</v>
      </c>
      <c r="E176" s="31">
        <v>4161829</v>
      </c>
      <c r="F176" s="268" t="str">
        <f>IF(D176="","",VLOOKUP(D176,契約台帳!$A$3:$K$4986,6,FALSE)&amp;VLOOKUP(D176,契約台帳!$A$3:$K$4986,7,FALSE)&amp;VLOOKUP(D176,契約台帳!$A$3:$K$4986,8,FALSE)&amp;VLOOKUP(D176,契約台帳!$A$3:$K$4986,9,FALSE)&amp;VLOOKUP(D176,契約台帳!$A$3:$K$4986,11,FALSE))</f>
        <v>3SNMLBMDMSJF</v>
      </c>
      <c r="G176" s="269" t="str">
        <f>IF(D176="","",VLOOKUP(F176,製品マスタ!$G$5:$H$5002,2,FALSE))</f>
        <v>S</v>
      </c>
      <c r="H176" s="269" t="str">
        <f>IF(D176="","",VLOOKUP(F176,製品マスタ!$G$5:$K$5002,5,FALSE))</f>
        <v>MDMSJF</v>
      </c>
      <c r="I176" s="270" t="str">
        <f>IF(D176="","",VLOOKUP(F176,製品マスタ!$G$5:$L$5002,6,FALSE))</f>
        <v>ＤＭＳ蒸着（Ｘ－４４）</v>
      </c>
      <c r="J176" s="210" t="s">
        <v>832</v>
      </c>
      <c r="K176" s="270">
        <f>IF(D176="","",VLOOKUP(D176,契約台帳!$A$3:$L$4986,12,FALSE))</f>
        <v>50</v>
      </c>
      <c r="L176" s="270" t="str">
        <f>IF(D176="","",INDEX(製品マスタ!$Q$5:$Q$5002,MATCH('S4'!F176&amp;'S4'!K176,製品マスタ!$AO$5:$AO$5002,0)))</f>
        <v>X44</v>
      </c>
      <c r="M176" s="39">
        <v>1100</v>
      </c>
      <c r="N176" s="39">
        <v>4000</v>
      </c>
      <c r="O176" s="156">
        <v>2</v>
      </c>
      <c r="P176" s="47">
        <v>2</v>
      </c>
      <c r="Q176" s="213">
        <v>44956</v>
      </c>
      <c r="R176" s="271">
        <f ca="1">IF(D176="","",IF(OFFSET(D176,-1,0)&lt;&gt;"","",IF(OR(J176="リード付け",J176="巻足し",J176="巻返しリード付け"),M176,VLOOKUP(D176,契約台帳!$A$3:$N$4986,14,FALSE))))</f>
        <v>1100</v>
      </c>
      <c r="S176" s="272">
        <f ca="1">IF(D176="","",IF(OFFSET(D176,-1,0)&lt;&gt;"","",IF(OR(J176="リード付け",J176="巻足し",J176="巻返しリード付け"),M176,VLOOKUP(D176,契約台帳!$A$3:$O$4986,15,FALSE))))</f>
        <v>1100</v>
      </c>
      <c r="T176" s="273">
        <f ca="1">IF(D176="","",IF(J176="リード付け",N176,IF(J176="巻返しリード付け",N176,IF(J176="巻足し",N176*P176+OFFSET(N176,1,0)*OFFSET(P176,1,0),VLOOKUP(D176,契約台帳!$A$3:$P$4986,16,FALSE)))))</f>
        <v>8000</v>
      </c>
      <c r="U176" s="40">
        <v>1</v>
      </c>
      <c r="V176" s="274">
        <f ca="1">IF(D176="","",IF(OFFSET(D176,-2,0)=D176,"",VLOOKUP(D176,契約台帳!$A$3:$R$4986,18,FALSE)))</f>
        <v>2</v>
      </c>
      <c r="W176" s="269" t="str">
        <f ca="1">IF(D176="","",IF(T176="","",IF(OR(J176="巻足し",J176="巻返しリード付け"),"",IF(J176="巻返し",VLOOKUP(F176&amp;K176&amp;M176,製品マスタ!$M$5:$AD$5002,18,FALSE),IF(OR(J176="リード付け",J176="巻返しリード付け"),"原反コア",IF(J176="スリット",VLOOKUP(F176&amp;K176&amp;R176,製品マスタ!$N$5:$AD$5002,17,FALSE),""))))))</f>
        <v/>
      </c>
      <c r="X176" s="269" t="str">
        <f ca="1">IF(D176="","",IF(T176="","",IF(J176="巻足し","",IF(J176="巻返し",VLOOKUP(F176&amp;K176&amp;M176,製品マスタ!$M$5:$AE$5002,19,FALSE),IF(OR(J176="リード付け",J176="巻返しリード付け"),"",IF(J176="スリット",VLOOKUP(F176&amp;K176&amp;R176,製品マスタ!$N$5:$AE$5002,18,FALSE),""))))))</f>
        <v/>
      </c>
      <c r="Y176" s="275">
        <f ca="1">IF(D176="","",IF(T176="","",VLOOKUP(D176,契約台帳!$A$3:$Q$4986,17,FALSE)))</f>
        <v>2</v>
      </c>
      <c r="Z176" s="269" t="str">
        <f ca="1">IF(D176="","",IF(T176="","",VLOOKUP(D176,契約台帳!$A$3:$E$4986,5,FALSE)))</f>
        <v>五洋紙工㈱</v>
      </c>
      <c r="AA176" s="57"/>
      <c r="AB176" s="207" t="str">
        <f>IFERROR((VLOOKUP(F176&amp;K176&amp;M176,製品マスタ!$M$5:$AM$5002,27,FALSE)),"")</f>
        <v/>
      </c>
      <c r="AC176" s="33"/>
      <c r="AD176" s="189"/>
      <c r="AE176" s="54"/>
      <c r="AF176" s="55"/>
      <c r="AG176" s="43"/>
      <c r="AH176" s="47"/>
      <c r="AI176" s="30"/>
      <c r="AJ176" s="30"/>
      <c r="AK176" s="30"/>
      <c r="AL176" s="30"/>
      <c r="AM176" s="13"/>
      <c r="AN176" s="13"/>
      <c r="AO176" s="13"/>
      <c r="AP176" s="13"/>
      <c r="AQ176" s="13"/>
      <c r="AR176" s="14"/>
      <c r="AS176" s="15"/>
    </row>
    <row r="177" spans="1:45" s="17" customFormat="1" ht="30.95" hidden="1" customHeight="1" x14ac:dyDescent="0.2">
      <c r="A177" s="37"/>
      <c r="B177" s="38"/>
      <c r="C177" s="45"/>
      <c r="D177" s="31"/>
      <c r="E177" s="31"/>
      <c r="F177" s="268" t="str">
        <f>IF(D177="","",VLOOKUP(D177,契約台帳!$A$3:$K$4986,6,FALSE)&amp;VLOOKUP(D177,契約台帳!$A$3:$K$4986,7,FALSE)&amp;VLOOKUP(D177,契約台帳!$A$3:$K$4986,8,FALSE)&amp;VLOOKUP(D177,契約台帳!$A$3:$K$4986,9,FALSE)&amp;VLOOKUP(D177,契約台帳!$A$3:$K$4986,11,FALSE))</f>
        <v/>
      </c>
      <c r="G177" s="269" t="str">
        <f>IF(D177="","",VLOOKUP(F177,製品マスタ!$G$5:$H$5002,2,FALSE))</f>
        <v/>
      </c>
      <c r="H177" s="269" t="str">
        <f>IF(D177="","",VLOOKUP(F177,製品マスタ!$G$5:$K$5002,5,FALSE))</f>
        <v/>
      </c>
      <c r="I177" s="270" t="str">
        <f>IF(D177="","",VLOOKUP(F177,製品マスタ!$G$5:$L$5002,6,FALSE))</f>
        <v/>
      </c>
      <c r="J177" s="210"/>
      <c r="K177" s="270" t="str">
        <f>IF(D177="","",VLOOKUP(D177,契約台帳!$A$3:$L$4986,12,FALSE))</f>
        <v/>
      </c>
      <c r="L177" s="270" t="str">
        <f>IF(D177="","",INDEX(製品マスタ!$Q$5:$Q$5002,MATCH('S4'!F177&amp;'S4'!K177,製品マスタ!$AO$5:$AO$5002,0)))</f>
        <v/>
      </c>
      <c r="M177" s="39"/>
      <c r="N177" s="39"/>
      <c r="O177" s="156"/>
      <c r="P177" s="47"/>
      <c r="Q177" s="57"/>
      <c r="R177" s="271" t="str">
        <f ca="1">IF(D177="","",IF(OFFSET(D177,-1,0)&lt;&gt;"","",IF(OR(J177="リード付け",J177="巻足し",J177="巻返しリード付け"),M177,VLOOKUP(D177,契約台帳!$A$3:$N$4986,14,FALSE))))</f>
        <v/>
      </c>
      <c r="S177" s="272" t="str">
        <f ca="1">IF(D177="","",IF(OFFSET(D177,-1,0)&lt;&gt;"","",IF(OR(J177="リード付け",J177="巻足し",J177="巻返しリード付け"),M177,VLOOKUP(D177,契約台帳!$A$3:$O$4986,15,FALSE))))</f>
        <v/>
      </c>
      <c r="T177" s="273" t="str">
        <f ca="1">IF(D177="","",IF(J177="リード付け",N177,IF(J177="巻返しリード付け",N177,IF(J177="巻足し",N177*P177+OFFSET(N177,1,0)*OFFSET(P177,1,0),VLOOKUP(D177,契約台帳!$A$3:$P$4986,16,FALSE)))))</f>
        <v/>
      </c>
      <c r="U177" s="40"/>
      <c r="V177" s="274" t="str">
        <f ca="1">IF(D177="","",IF(OFFSET(D177,-2,0)=D177,"",VLOOKUP(D177,契約台帳!$A$3:$R$4986,18,FALSE)))</f>
        <v/>
      </c>
      <c r="W177" s="269" t="str">
        <f>IF(D177="","",IF(T177="","",IF(OR(J177="巻足し",J177="巻返しリード付け"),"",IF(J177="巻返し",VLOOKUP(F177&amp;K177&amp;M177,製品マスタ!$M$5:$AD$5002,18,FALSE),IF(OR(J177="リード付け",J177="巻返しリード付け"),"原反コア",IF(J177="スリット",VLOOKUP(F177&amp;K177&amp;R177,製品マスタ!$N$5:$AD$5002,17,FALSE),""))))))</f>
        <v/>
      </c>
      <c r="X177" s="269" t="str">
        <f>IF(D177="","",IF(T177="","",IF(J177="巻足し","",IF(J177="巻返し",VLOOKUP(F177&amp;K177&amp;M177,製品マスタ!$M$5:$AE$5002,19,FALSE),IF(OR(J177="リード付け",J177="巻返しリード付け"),"",IF(J177="スリット",VLOOKUP(F177&amp;K177&amp;R177,製品マスタ!$N$5:$AE$5002,18,FALSE),""))))))</f>
        <v/>
      </c>
      <c r="Y177" s="275" t="str">
        <f>IF(D177="","",IF(T177="","",VLOOKUP(D177,契約台帳!$A$3:$Q$4986,17,FALSE)))</f>
        <v/>
      </c>
      <c r="Z177" s="269" t="str">
        <f>IF(D177="","",IF(T177="","",VLOOKUP(D177,契約台帳!$A$3:$E$4986,5,FALSE)))</f>
        <v/>
      </c>
      <c r="AA177" s="57"/>
      <c r="AB177" s="207" t="str">
        <f>IFERROR((VLOOKUP(F177&amp;K177&amp;M177,製品マスタ!$M$5:$AM$5002,27,FALSE)),"")</f>
        <v/>
      </c>
      <c r="AC177" s="33"/>
      <c r="AD177" s="189"/>
      <c r="AE177" s="54"/>
      <c r="AF177" s="55"/>
      <c r="AG177" s="43"/>
      <c r="AH177" s="47"/>
      <c r="AI177" s="30"/>
      <c r="AJ177" s="30"/>
      <c r="AK177" s="30"/>
      <c r="AL177" s="30"/>
      <c r="AM177" s="13"/>
      <c r="AN177" s="13"/>
      <c r="AO177" s="13"/>
      <c r="AP177" s="13"/>
      <c r="AQ177" s="13"/>
      <c r="AR177" s="14"/>
      <c r="AS177" s="15"/>
    </row>
    <row r="178" spans="1:45" s="17" customFormat="1" ht="30.95" hidden="1" customHeight="1" x14ac:dyDescent="0.2">
      <c r="A178" s="37"/>
      <c r="B178" s="38"/>
      <c r="C178" s="45"/>
      <c r="D178" s="31">
        <v>3697669</v>
      </c>
      <c r="E178" s="31">
        <v>4161830</v>
      </c>
      <c r="F178" s="268" t="str">
        <f>IF(D178="","",VLOOKUP(D178,契約台帳!$A$3:$K$4986,6,FALSE)&amp;VLOOKUP(D178,契約台帳!$A$3:$K$4986,7,FALSE)&amp;VLOOKUP(D178,契約台帳!$A$3:$K$4986,8,FALSE)&amp;VLOOKUP(D178,契約台帳!$A$3:$K$4986,9,FALSE)&amp;VLOOKUP(D178,契約台帳!$A$3:$K$4986,11,FALSE))</f>
        <v>3SNMLBMNNGKBF</v>
      </c>
      <c r="G178" s="269" t="str">
        <f>IF(D178="","",VLOOKUP(F178,製品マスタ!$G$5:$H$5002,2,FALSE))</f>
        <v>S</v>
      </c>
      <c r="H178" s="269" t="str">
        <f>IF(D178="","",VLOOKUP(F178,製品マスタ!$G$5:$K$5002,5,FALSE))</f>
        <v>MNNGKBF</v>
      </c>
      <c r="I178" s="270" t="str">
        <f>IF(D178="","",VLOOKUP(F178,製品マスタ!$G$5:$L$5002,6,FALSE))</f>
        <v>メタルミー　ニューネーマー銀消　Ｂ</v>
      </c>
      <c r="J178" s="210" t="s">
        <v>832</v>
      </c>
      <c r="K178" s="270">
        <f>IF(D178="","",VLOOKUP(D178,契約台帳!$A$3:$L$4986,12,FALSE))</f>
        <v>25</v>
      </c>
      <c r="L178" s="270" t="str">
        <f>IF(D178="","",INDEX(製品マスタ!$Q$5:$Q$5002,MATCH('S4'!F178&amp;'S4'!K178,製品マスタ!$AO$5:$AO$5002,0)))</f>
        <v>X44C</v>
      </c>
      <c r="M178" s="39">
        <v>1005</v>
      </c>
      <c r="N178" s="39">
        <v>8000</v>
      </c>
      <c r="O178" s="156">
        <v>2</v>
      </c>
      <c r="P178" s="47">
        <v>2</v>
      </c>
      <c r="Q178" s="213">
        <v>44956</v>
      </c>
      <c r="R178" s="271">
        <f ca="1">IF(D178="","",IF(OFFSET(D178,-1,0)&lt;&gt;"","",IF(OR(J178="リード付け",J178="巻足し",J178="巻返しリード付け"),M178,VLOOKUP(D178,契約台帳!$A$3:$N$4986,14,FALSE))))</f>
        <v>1005</v>
      </c>
      <c r="S178" s="272">
        <f ca="1">IF(D178="","",IF(OFFSET(D178,-1,0)&lt;&gt;"","",IF(OR(J178="リード付け",J178="巻足し",J178="巻返しリード付け"),M178,VLOOKUP(D178,契約台帳!$A$3:$O$4986,15,FALSE))))</f>
        <v>1005</v>
      </c>
      <c r="T178" s="273">
        <f ca="1">IF(D178="","",IF(J178="リード付け",N178,IF(J178="巻返しリード付け",N178,IF(J178="巻足し",N178*P178+OFFSET(N178,1,0)*OFFSET(P178,1,0),VLOOKUP(D178,契約台帳!$A$3:$P$4986,16,FALSE)))))</f>
        <v>16000</v>
      </c>
      <c r="U178" s="40">
        <v>1</v>
      </c>
      <c r="V178" s="274">
        <f ca="1">IF(D178="","",IF(OFFSET(D178,-2,0)=D178,"",VLOOKUP(D178,契約台帳!$A$3:$R$4986,18,FALSE)))</f>
        <v>4</v>
      </c>
      <c r="W178" s="269" t="str">
        <f ca="1">IF(D178="","",IF(T178="","",IF(OR(J178="巻足し",J178="巻返しリード付け"),"",IF(J178="巻返し",VLOOKUP(F178&amp;K178&amp;M178,製品マスタ!$M$5:$AD$5002,18,FALSE),IF(OR(J178="リード付け",J178="巻返しリード付け"),"原反コア",IF(J178="スリット",VLOOKUP(F178&amp;K178&amp;R178,製品マスタ!$N$5:$AD$5002,17,FALSE),""))))))</f>
        <v/>
      </c>
      <c r="X178" s="269" t="str">
        <f ca="1">IF(D178="","",IF(T178="","",IF(J178="巻足し","",IF(J178="巻返し",VLOOKUP(F178&amp;K178&amp;M178,製品マスタ!$M$5:$AE$5002,19,FALSE),IF(OR(J178="リード付け",J178="巻返しリード付け"),"",IF(J178="スリット",VLOOKUP(F178&amp;K178&amp;R178,製品マスタ!$N$5:$AE$5002,18,FALSE),""))))))</f>
        <v/>
      </c>
      <c r="Y178" s="275">
        <f ca="1">IF(D178="","",IF(T178="","",VLOOKUP(D178,契約台帳!$A$3:$Q$4986,17,FALSE)))</f>
        <v>2</v>
      </c>
      <c r="Z178" s="269" t="str">
        <f ca="1">IF(D178="","",IF(T178="","",VLOOKUP(D178,契約台帳!$A$3:$E$4986,5,FALSE)))</f>
        <v>リンテック㈱</v>
      </c>
      <c r="AA178" s="57"/>
      <c r="AB178" s="207">
        <f>IFERROR((VLOOKUP(F178&amp;K178&amp;M178,製品マスタ!$M$5:$AM$5002,27,FALSE)),"")</f>
        <v>0</v>
      </c>
      <c r="AC178" s="33"/>
      <c r="AD178" s="189"/>
      <c r="AE178" s="54"/>
      <c r="AF178" s="55"/>
      <c r="AG178" s="43"/>
      <c r="AH178" s="47"/>
      <c r="AI178" s="30"/>
      <c r="AJ178" s="30"/>
      <c r="AK178" s="30"/>
      <c r="AL178" s="30"/>
      <c r="AM178" s="13"/>
      <c r="AN178" s="13"/>
      <c r="AO178" s="13"/>
      <c r="AP178" s="13"/>
      <c r="AQ178" s="13"/>
      <c r="AR178" s="14"/>
      <c r="AS178" s="15"/>
    </row>
    <row r="179" spans="1:45" s="17" customFormat="1" ht="30.95" hidden="1" customHeight="1" x14ac:dyDescent="0.2">
      <c r="A179" s="37"/>
      <c r="B179" s="38"/>
      <c r="C179" s="45"/>
      <c r="D179" s="31"/>
      <c r="E179" s="31"/>
      <c r="F179" s="268" t="str">
        <f>IF(D179="","",VLOOKUP(D179,契約台帳!$A$3:$K$4986,6,FALSE)&amp;VLOOKUP(D179,契約台帳!$A$3:$K$4986,7,FALSE)&amp;VLOOKUP(D179,契約台帳!$A$3:$K$4986,8,FALSE)&amp;VLOOKUP(D179,契約台帳!$A$3:$K$4986,9,FALSE)&amp;VLOOKUP(D179,契約台帳!$A$3:$K$4986,11,FALSE))</f>
        <v/>
      </c>
      <c r="G179" s="269" t="str">
        <f>IF(D179="","",VLOOKUP(F179,製品マスタ!$G$5:$H$5002,2,FALSE))</f>
        <v/>
      </c>
      <c r="H179" s="269" t="str">
        <f>IF(D179="","",VLOOKUP(F179,製品マスタ!$G$5:$K$5002,5,FALSE))</f>
        <v/>
      </c>
      <c r="I179" s="270" t="str">
        <f>IF(D179="","",VLOOKUP(F179,製品マスタ!$G$5:$L$5002,6,FALSE))</f>
        <v/>
      </c>
      <c r="J179" s="210"/>
      <c r="K179" s="270" t="str">
        <f>IF(D179="","",VLOOKUP(D179,契約台帳!$A$3:$L$4986,12,FALSE))</f>
        <v/>
      </c>
      <c r="L179" s="270" t="str">
        <f>IF(D179="","",INDEX(製品マスタ!$Q$5:$Q$5002,MATCH('S4'!F179&amp;'S4'!K179,製品マスタ!$AO$5:$AO$5002,0)))</f>
        <v/>
      </c>
      <c r="M179" s="39"/>
      <c r="N179" s="39"/>
      <c r="O179" s="156"/>
      <c r="P179" s="47"/>
      <c r="Q179" s="57"/>
      <c r="R179" s="271" t="str">
        <f ca="1">IF(D179="","",IF(OFFSET(D179,-1,0)&lt;&gt;"","",IF(OR(J179="リード付け",J179="巻足し",J179="巻返しリード付け"),M179,VLOOKUP(D179,契約台帳!$A$3:$N$4986,14,FALSE))))</f>
        <v/>
      </c>
      <c r="S179" s="272" t="str">
        <f ca="1">IF(D179="","",IF(OFFSET(D179,-1,0)&lt;&gt;"","",IF(OR(J179="リード付け",J179="巻足し",J179="巻返しリード付け"),M179,VLOOKUP(D179,契約台帳!$A$3:$O$4986,15,FALSE))))</f>
        <v/>
      </c>
      <c r="T179" s="273" t="str">
        <f ca="1">IF(D179="","",IF(J179="リード付け",N179,IF(J179="巻返しリード付け",N179,IF(J179="巻足し",N179*P179+OFFSET(N179,1,0)*OFFSET(P179,1,0),VLOOKUP(D179,契約台帳!$A$3:$P$4986,16,FALSE)))))</f>
        <v/>
      </c>
      <c r="U179" s="40"/>
      <c r="V179" s="274" t="str">
        <f ca="1">IF(D179="","",IF(OFFSET(D179,-2,0)=D179,"",VLOOKUP(D179,契約台帳!$A$3:$R$4986,18,FALSE)))</f>
        <v/>
      </c>
      <c r="W179" s="269" t="str">
        <f>IF(D179="","",IF(T179="","",IF(OR(J179="巻足し",J179="巻返しリード付け"),"",IF(J179="巻返し",VLOOKUP(F179&amp;K179&amp;M179,製品マスタ!$M$5:$AD$5002,18,FALSE),IF(OR(J179="リード付け",J179="巻返しリード付け"),"原反コア",IF(J179="スリット",VLOOKUP(F179&amp;K179&amp;R179,製品マスタ!$N$5:$AD$5002,17,FALSE),""))))))</f>
        <v/>
      </c>
      <c r="X179" s="269" t="str">
        <f>IF(D179="","",IF(T179="","",IF(J179="巻足し","",IF(J179="巻返し",VLOOKUP(F179&amp;K179&amp;M179,製品マスタ!$M$5:$AE$5002,19,FALSE),IF(OR(J179="リード付け",J179="巻返しリード付け"),"",IF(J179="スリット",VLOOKUP(F179&amp;K179&amp;R179,製品マスタ!$N$5:$AE$5002,18,FALSE),""))))))</f>
        <v/>
      </c>
      <c r="Y179" s="275" t="str">
        <f>IF(D179="","",IF(T179="","",VLOOKUP(D179,契約台帳!$A$3:$Q$4986,17,FALSE)))</f>
        <v/>
      </c>
      <c r="Z179" s="269" t="str">
        <f>IF(D179="","",IF(T179="","",VLOOKUP(D179,契約台帳!$A$3:$E$4986,5,FALSE)))</f>
        <v/>
      </c>
      <c r="AA179" s="57"/>
      <c r="AB179" s="207" t="str">
        <f>IFERROR((VLOOKUP(F179&amp;K179&amp;M179,製品マスタ!$M$5:$AM$5002,27,FALSE)),"")</f>
        <v/>
      </c>
      <c r="AC179" s="33"/>
      <c r="AD179" s="189"/>
      <c r="AE179" s="54"/>
      <c r="AF179" s="55"/>
      <c r="AG179" s="43"/>
      <c r="AH179" s="47"/>
      <c r="AI179" s="30"/>
      <c r="AJ179" s="30"/>
      <c r="AK179" s="30"/>
      <c r="AL179" s="30"/>
      <c r="AM179" s="13"/>
      <c r="AN179" s="13"/>
      <c r="AO179" s="13"/>
      <c r="AP179" s="13"/>
      <c r="AQ179" s="13"/>
      <c r="AR179" s="14"/>
      <c r="AS179" s="15"/>
    </row>
    <row r="180" spans="1:45" s="17" customFormat="1" ht="30.95" hidden="1" customHeight="1" x14ac:dyDescent="0.2">
      <c r="A180" s="37" t="s">
        <v>845</v>
      </c>
      <c r="B180" s="38" t="s">
        <v>846</v>
      </c>
      <c r="C180" s="45"/>
      <c r="D180" s="31">
        <v>3697674</v>
      </c>
      <c r="E180" s="31">
        <v>4161794</v>
      </c>
      <c r="F180" s="268" t="str">
        <f>IF(D180="","",VLOOKUP(D180,契約台帳!$A$3:$K$4986,6,FALSE)&amp;VLOOKUP(D180,契約台帳!$A$3:$K$4986,7,FALSE)&amp;VLOOKUP(D180,契約台帳!$A$3:$K$4986,8,FALSE)&amp;VLOOKUP(D180,契約台帳!$A$3:$K$4986,9,FALSE)&amp;VLOOKUP(D180,契約台帳!$A$3:$K$4986,11,FALSE))</f>
        <v>3SNMCLBDMSV</v>
      </c>
      <c r="G180" s="269" t="str">
        <f>IF(D180="","",VLOOKUP(F180,製品マスタ!$G$5:$H$5002,2,FALSE))</f>
        <v>S</v>
      </c>
      <c r="H180" s="269" t="str">
        <f>IF(D180="","",VLOOKUP(F180,製品マスタ!$G$5:$K$5002,5,FALSE))</f>
        <v>DMSV</v>
      </c>
      <c r="I180" s="270" t="str">
        <f>IF(D180="","",VLOOKUP(F180,製品マスタ!$G$5:$L$5002,6,FALSE))</f>
        <v>ＤＭＳ　Ｖ</v>
      </c>
      <c r="J180" s="210" t="s">
        <v>832</v>
      </c>
      <c r="K180" s="270">
        <f>IF(D180="","",VLOOKUP(D180,契約台帳!$A$3:$L$4986,12,FALSE))</f>
        <v>50</v>
      </c>
      <c r="L180" s="270" t="str">
        <f>IF(D180="","",INDEX(製品マスタ!$Q$5:$Q$5002,MATCH('S4'!F180&amp;'S4'!K180,製品マスタ!$AO$5:$AO$5002,0)))</f>
        <v>X44</v>
      </c>
      <c r="M180" s="39">
        <v>1005</v>
      </c>
      <c r="N180" s="39">
        <v>4000</v>
      </c>
      <c r="O180" s="156">
        <v>1</v>
      </c>
      <c r="P180" s="47">
        <v>2</v>
      </c>
      <c r="Q180" s="213">
        <v>44956</v>
      </c>
      <c r="R180" s="271">
        <f ca="1">IF(D180="","",IF(OFFSET(D180,-1,0)&lt;&gt;"","",IF(OR(J180="リード付け",J180="巻足し",J180="巻返しリード付け"),M180,VLOOKUP(D180,契約台帳!$A$3:$N$4986,14,FALSE))))</f>
        <v>1005</v>
      </c>
      <c r="S180" s="272">
        <f ca="1">IF(D180="","",IF(OFFSET(D180,-1,0)&lt;&gt;"","",IF(OR(J180="リード付け",J180="巻足し",J180="巻返しリード付け"),M180,VLOOKUP(D180,契約台帳!$A$3:$O$4986,15,FALSE))))</f>
        <v>1005</v>
      </c>
      <c r="T180" s="273">
        <f ca="1">IF(D180="","",IF(J180="リード付け",N180,IF(J180="巻返しリード付け",N180,IF(J180="巻足し",N180*P180+OFFSET(N180,1,0)*OFFSET(P180,1,0),VLOOKUP(D180,契約台帳!$A$3:$P$4986,16,FALSE)))))</f>
        <v>8000</v>
      </c>
      <c r="U180" s="40"/>
      <c r="V180" s="274">
        <f ca="1">IF(D180="","",IF(OFFSET(D180,-2,0)=D180,"",VLOOKUP(D180,契約台帳!$A$3:$R$4986,18,FALSE)))</f>
        <v>2</v>
      </c>
      <c r="W180" s="269" t="str">
        <f ca="1">IF(D180="","",IF(T180="","",IF(OR(J180="巻足し",J180="巻返しリード付け"),"",IF(J180="巻返し",VLOOKUP(F180&amp;K180&amp;M180,製品マスタ!$M$5:$AD$5002,18,FALSE),IF(OR(J180="リード付け",J180="巻返しリード付け"),"原反コア",IF(J180="スリット",VLOOKUP(F180&amp;K180&amp;R180,製品マスタ!$N$5:$AD$5002,17,FALSE),""))))))</f>
        <v/>
      </c>
      <c r="X180" s="269" t="str">
        <f ca="1">IF(D180="","",IF(T180="","",IF(J180="巻足し","",IF(J180="巻返し",VLOOKUP(F180&amp;K180&amp;M180,製品マスタ!$M$5:$AE$5002,19,FALSE),IF(OR(J180="リード付け",J180="巻返しリード付け"),"",IF(J180="スリット",VLOOKUP(F180&amp;K180&amp;R180,製品マスタ!$N$5:$AE$5002,18,FALSE),""))))))</f>
        <v/>
      </c>
      <c r="Y180" s="275">
        <f ca="1">IF(D180="","",IF(T180="","",VLOOKUP(D180,契約台帳!$A$3:$Q$4986,17,FALSE)))</f>
        <v>2</v>
      </c>
      <c r="Z180" s="269" t="str">
        <f ca="1">IF(D180="","",IF(T180="","",VLOOKUP(D180,契約台帳!$A$3:$E$4986,5,FALSE)))</f>
        <v>リンテック㈱</v>
      </c>
      <c r="AA180" s="57"/>
      <c r="AB180" s="207">
        <f>IFERROR((VLOOKUP(F180&amp;K180&amp;M180,製品マスタ!$M$5:$AM$5002,27,FALSE)),"")</f>
        <v>0</v>
      </c>
      <c r="AC180" s="33"/>
      <c r="AD180" s="189"/>
      <c r="AE180" s="54"/>
      <c r="AF180" s="55"/>
      <c r="AG180" s="43"/>
      <c r="AH180" s="47"/>
      <c r="AI180" s="30"/>
      <c r="AJ180" s="30"/>
      <c r="AK180" s="30"/>
      <c r="AL180" s="30"/>
      <c r="AM180" s="13"/>
      <c r="AN180" s="13"/>
      <c r="AO180" s="13"/>
      <c r="AP180" s="13"/>
      <c r="AQ180" s="13"/>
      <c r="AR180" s="14"/>
      <c r="AS180" s="15"/>
    </row>
    <row r="181" spans="1:45" s="17" customFormat="1" ht="30.95" hidden="1" customHeight="1" x14ac:dyDescent="0.2">
      <c r="A181" s="37"/>
      <c r="B181" s="38"/>
      <c r="C181" s="45"/>
      <c r="D181" s="31">
        <v>3697675</v>
      </c>
      <c r="E181" s="31"/>
      <c r="F181" s="268" t="str">
        <f>IF(D181="","",VLOOKUP(D181,契約台帳!$A$3:$K$4986,6,FALSE)&amp;VLOOKUP(D181,契約台帳!$A$3:$K$4986,7,FALSE)&amp;VLOOKUP(D181,契約台帳!$A$3:$K$4986,8,FALSE)&amp;VLOOKUP(D181,契約台帳!$A$3:$K$4986,9,FALSE)&amp;VLOOKUP(D181,契約台帳!$A$3:$K$4986,11,FALSE))</f>
        <v>3SNMCLBDMSV</v>
      </c>
      <c r="G181" s="269" t="str">
        <f>IF(D181="","",VLOOKUP(F181,製品マスタ!$G$5:$H$5002,2,FALSE))</f>
        <v>S</v>
      </c>
      <c r="H181" s="269" t="str">
        <f>IF(D181="","",VLOOKUP(F181,製品マスタ!$G$5:$K$5002,5,FALSE))</f>
        <v>DMSV</v>
      </c>
      <c r="I181" s="270" t="str">
        <f>IF(D181="","",VLOOKUP(F181,製品マスタ!$G$5:$L$5002,6,FALSE))</f>
        <v>ＤＭＳ　Ｖ</v>
      </c>
      <c r="J181" s="210" t="s">
        <v>832</v>
      </c>
      <c r="K181" s="270">
        <f>IF(D181="","",VLOOKUP(D181,契約台帳!$A$3:$L$4986,12,FALSE))</f>
        <v>50</v>
      </c>
      <c r="L181" s="270" t="str">
        <f>IF(D181="","",INDEX(製品マスタ!$Q$5:$Q$5002,MATCH('S4'!F181&amp;'S4'!K181,製品マスタ!$AO$5:$AO$5002,0)))</f>
        <v>X44</v>
      </c>
      <c r="M181" s="39">
        <v>1005</v>
      </c>
      <c r="N181" s="39">
        <v>4000</v>
      </c>
      <c r="O181" s="156">
        <v>1</v>
      </c>
      <c r="P181" s="47"/>
      <c r="Q181" s="213">
        <v>44956</v>
      </c>
      <c r="R181" s="271" t="str">
        <f ca="1">IF(D181="","",IF(OFFSET(D181,-1,0)&lt;&gt;"","",IF(OR(J181="リード付け",J181="巻足し",J181="巻返しリード付け"),M181,VLOOKUP(D181,契約台帳!$A$3:$N$4986,14,FALSE))))</f>
        <v/>
      </c>
      <c r="S181" s="272" t="str">
        <f ca="1">IF(D181="","",IF(OFFSET(D181,-1,0)&lt;&gt;"","",IF(OR(J181="リード付け",J181="巻足し",J181="巻返しリード付け"),M181,VLOOKUP(D181,契約台帳!$A$3:$O$4986,15,FALSE))))</f>
        <v/>
      </c>
      <c r="T181" s="273">
        <f ca="1">IF(D181="","",IF(J181="リード付け",N181,IF(J181="巻返しリード付け",N181,IF(J181="巻足し",N181*P181+OFFSET(N181,1,0)*OFFSET(P181,1,0),VLOOKUP(D181,契約台帳!$A$3:$P$4986,16,FALSE)))))</f>
        <v>0</v>
      </c>
      <c r="U181" s="40"/>
      <c r="V181" s="274">
        <f ca="1">IF(D181="","",IF(OFFSET(D181,-2,0)=D181,"",VLOOKUP(D181,契約台帳!$A$3:$R$4986,18,FALSE)))</f>
        <v>2</v>
      </c>
      <c r="W181" s="269" t="str">
        <f ca="1">IF(D181="","",IF(T181="","",IF(OR(J181="巻足し",J181="巻返しリード付け"),"",IF(J181="巻返し",VLOOKUP(F181&amp;K181&amp;M181,製品マスタ!$M$5:$AD$5002,18,FALSE),IF(OR(J181="リード付け",J181="巻返しリード付け"),"原反コア",IF(J181="スリット",VLOOKUP(F181&amp;K181&amp;R181,製品マスタ!$N$5:$AD$5002,17,FALSE),""))))))</f>
        <v/>
      </c>
      <c r="X181" s="269" t="str">
        <f ca="1">IF(D181="","",IF(T181="","",IF(J181="巻足し","",IF(J181="巻返し",VLOOKUP(F181&amp;K181&amp;M181,製品マスタ!$M$5:$AE$5002,19,FALSE),IF(OR(J181="リード付け",J181="巻返しリード付け"),"",IF(J181="スリット",VLOOKUP(F181&amp;K181&amp;R181,製品マスタ!$N$5:$AE$5002,18,FALSE),""))))))</f>
        <v/>
      </c>
      <c r="Y181" s="275">
        <f ca="1">IF(D181="","",IF(T181="","",VLOOKUP(D181,契約台帳!$A$3:$Q$4986,17,FALSE)))</f>
        <v>2</v>
      </c>
      <c r="Z181" s="269" t="str">
        <f ca="1">IF(D181="","",IF(T181="","",VLOOKUP(D181,契約台帳!$A$3:$E$4986,5,FALSE)))</f>
        <v>リンテック㈱</v>
      </c>
      <c r="AA181" s="57"/>
      <c r="AB181" s="207">
        <f>IFERROR((VLOOKUP(F181&amp;K181&amp;M181,製品マスタ!$M$5:$AM$5002,27,FALSE)),"")</f>
        <v>0</v>
      </c>
      <c r="AC181" s="33"/>
      <c r="AD181" s="189"/>
      <c r="AE181" s="54"/>
      <c r="AF181" s="55"/>
      <c r="AG181" s="43"/>
      <c r="AH181" s="47"/>
      <c r="AI181" s="30"/>
      <c r="AJ181" s="30"/>
      <c r="AK181" s="30"/>
      <c r="AL181" s="30"/>
      <c r="AM181" s="13"/>
      <c r="AN181" s="13"/>
      <c r="AO181" s="13"/>
      <c r="AP181" s="13"/>
      <c r="AQ181" s="13"/>
      <c r="AR181" s="14"/>
      <c r="AS181" s="15"/>
    </row>
    <row r="182" spans="1:45" s="17" customFormat="1" ht="30.95" hidden="1" customHeight="1" x14ac:dyDescent="0.2">
      <c r="A182" s="37"/>
      <c r="B182" s="38"/>
      <c r="C182" s="45"/>
      <c r="D182" s="31"/>
      <c r="E182" s="31"/>
      <c r="F182" s="268" t="str">
        <f>IF(D182="","",VLOOKUP(D182,契約台帳!$A$3:$K$4986,6,FALSE)&amp;VLOOKUP(D182,契約台帳!$A$3:$K$4986,7,FALSE)&amp;VLOOKUP(D182,契約台帳!$A$3:$K$4986,8,FALSE)&amp;VLOOKUP(D182,契約台帳!$A$3:$K$4986,9,FALSE)&amp;VLOOKUP(D182,契約台帳!$A$3:$K$4986,11,FALSE))</f>
        <v/>
      </c>
      <c r="G182" s="269" t="str">
        <f>IF(D182="","",VLOOKUP(F182,製品マスタ!$G$5:$H$5002,2,FALSE))</f>
        <v/>
      </c>
      <c r="H182" s="269" t="str">
        <f>IF(D182="","",VLOOKUP(F182,製品マスタ!$G$5:$K$5002,5,FALSE))</f>
        <v/>
      </c>
      <c r="I182" s="270" t="str">
        <f>IF(D182="","",VLOOKUP(F182,製品マスタ!$G$5:$L$5002,6,FALSE))</f>
        <v/>
      </c>
      <c r="J182" s="210"/>
      <c r="K182" s="270" t="str">
        <f>IF(D182="","",VLOOKUP(D182,契約台帳!$A$3:$L$4986,12,FALSE))</f>
        <v/>
      </c>
      <c r="L182" s="270" t="str">
        <f>IF(D182="","",INDEX(製品マスタ!$Q$5:$Q$5002,MATCH('S4'!F182&amp;'S4'!K182,製品マスタ!$AO$5:$AO$5002,0)))</f>
        <v/>
      </c>
      <c r="M182" s="39"/>
      <c r="N182" s="39"/>
      <c r="O182" s="156"/>
      <c r="P182" s="47"/>
      <c r="Q182" s="57"/>
      <c r="R182" s="271" t="str">
        <f ca="1">IF(D182="","",IF(OFFSET(D182,-1,0)&lt;&gt;"","",IF(OR(J182="リード付け",J182="巻足し",J182="巻返しリード付け"),M182,VLOOKUP(D182,契約台帳!$A$3:$N$4986,14,FALSE))))</f>
        <v/>
      </c>
      <c r="S182" s="272" t="str">
        <f ca="1">IF(D182="","",IF(OFFSET(D182,-1,0)&lt;&gt;"","",IF(OR(J182="リード付け",J182="巻足し",J182="巻返しリード付け"),M182,VLOOKUP(D182,契約台帳!$A$3:$O$4986,15,FALSE))))</f>
        <v/>
      </c>
      <c r="T182" s="273" t="str">
        <f ca="1">IF(D182="","",IF(J182="リード付け",N182,IF(J182="巻返しリード付け",N182,IF(J182="巻足し",N182*P182+OFFSET(N182,1,0)*OFFSET(P182,1,0),VLOOKUP(D182,契約台帳!$A$3:$P$4986,16,FALSE)))))</f>
        <v/>
      </c>
      <c r="U182" s="40"/>
      <c r="V182" s="274" t="str">
        <f ca="1">IF(D182="","",IF(OFFSET(D182,-2,0)=D182,"",VLOOKUP(D182,契約台帳!$A$3:$R$4986,18,FALSE)))</f>
        <v/>
      </c>
      <c r="W182" s="269" t="str">
        <f>IF(D182="","",IF(T182="","",IF(OR(J182="巻足し",J182="巻返しリード付け"),"",IF(J182="巻返し",VLOOKUP(F182&amp;K182&amp;M182,製品マスタ!$M$5:$AD$5002,18,FALSE),IF(OR(J182="リード付け",J182="巻返しリード付け"),"原反コア",IF(J182="スリット",VLOOKUP(F182&amp;K182&amp;R182,製品マスタ!$N$5:$AD$5002,17,FALSE),""))))))</f>
        <v/>
      </c>
      <c r="X182" s="269" t="str">
        <f>IF(D182="","",IF(T182="","",IF(J182="巻足し","",IF(J182="巻返し",VLOOKUP(F182&amp;K182&amp;M182,製品マスタ!$M$5:$AE$5002,19,FALSE),IF(OR(J182="リード付け",J182="巻返しリード付け"),"",IF(J182="スリット",VLOOKUP(F182&amp;K182&amp;R182,製品マスタ!$N$5:$AE$5002,18,FALSE),""))))))</f>
        <v/>
      </c>
      <c r="Y182" s="275" t="str">
        <f>IF(D182="","",IF(T182="","",VLOOKUP(D182,契約台帳!$A$3:$Q$4986,17,FALSE)))</f>
        <v/>
      </c>
      <c r="Z182" s="269" t="str">
        <f>IF(D182="","",IF(T182="","",VLOOKUP(D182,契約台帳!$A$3:$E$4986,5,FALSE)))</f>
        <v/>
      </c>
      <c r="AA182" s="57"/>
      <c r="AB182" s="207" t="str">
        <f>IFERROR((VLOOKUP(F182&amp;K182&amp;M182,製品マスタ!$M$5:$AM$5002,27,FALSE)),"")</f>
        <v/>
      </c>
      <c r="AC182" s="33"/>
      <c r="AD182" s="189"/>
      <c r="AE182" s="54"/>
      <c r="AF182" s="55"/>
      <c r="AG182" s="43"/>
      <c r="AH182" s="47"/>
      <c r="AI182" s="30"/>
      <c r="AJ182" s="30"/>
      <c r="AK182" s="30"/>
      <c r="AL182" s="30"/>
      <c r="AM182" s="13"/>
      <c r="AN182" s="13"/>
      <c r="AO182" s="13"/>
      <c r="AP182" s="13"/>
      <c r="AQ182" s="13"/>
      <c r="AR182" s="14"/>
      <c r="AS182" s="15"/>
    </row>
    <row r="183" spans="1:45" s="17" customFormat="1" ht="30.95" hidden="1" customHeight="1" x14ac:dyDescent="0.2">
      <c r="A183" s="37"/>
      <c r="B183" s="38"/>
      <c r="C183" s="45"/>
      <c r="D183" s="31">
        <v>3697670</v>
      </c>
      <c r="E183" s="31">
        <v>4161812</v>
      </c>
      <c r="F183" s="268" t="str">
        <f>IF(D183="","",VLOOKUP(D183,契約台帳!$A$3:$K$4986,6,FALSE)&amp;VLOOKUP(D183,契約台帳!$A$3:$K$4986,7,FALSE)&amp;VLOOKUP(D183,契約台帳!$A$3:$K$4986,8,FALSE)&amp;VLOOKUP(D183,契約台帳!$A$3:$K$4986,9,FALSE)&amp;VLOOKUP(D183,契約台帳!$A$3:$K$4986,11,FALSE))</f>
        <v>3SNMLBMNNGKBF</v>
      </c>
      <c r="G183" s="269" t="str">
        <f>IF(D183="","",VLOOKUP(F183,製品マスタ!$G$5:$H$5002,2,FALSE))</f>
        <v>S</v>
      </c>
      <c r="H183" s="269" t="str">
        <f>IF(D183="","",VLOOKUP(F183,製品マスタ!$G$5:$K$5002,5,FALSE))</f>
        <v>MNNGKBF</v>
      </c>
      <c r="I183" s="270" t="str">
        <f>IF(D183="","",VLOOKUP(F183,製品マスタ!$G$5:$L$5002,6,FALSE))</f>
        <v>メタルミー　ニューネーマー銀消　Ｂ</v>
      </c>
      <c r="J183" s="210" t="s">
        <v>832</v>
      </c>
      <c r="K183" s="270">
        <f>IF(D183="","",VLOOKUP(D183,契約台帳!$A$3:$L$4986,12,FALSE))</f>
        <v>50</v>
      </c>
      <c r="L183" s="270" t="str">
        <f>IF(D183="","",INDEX(製品マスタ!$Q$5:$Q$5002,MATCH('S4'!F183&amp;'S4'!K183,製品マスタ!$AO$5:$AO$5002,0)))</f>
        <v>X44</v>
      </c>
      <c r="M183" s="39">
        <v>1000</v>
      </c>
      <c r="N183" s="39">
        <v>4000</v>
      </c>
      <c r="O183" s="156">
        <v>15</v>
      </c>
      <c r="P183" s="47">
        <v>3</v>
      </c>
      <c r="Q183" s="213">
        <v>44958</v>
      </c>
      <c r="R183" s="271">
        <f ca="1">IF(D183="","",IF(OFFSET(D183,-1,0)&lt;&gt;"","",IF(OR(J183="リード付け",J183="巻足し",J183="巻返しリード付け"),M183,VLOOKUP(D183,契約台帳!$A$3:$N$4986,14,FALSE))))</f>
        <v>1000</v>
      </c>
      <c r="S183" s="272">
        <f ca="1">IF(D183="","",IF(OFFSET(D183,-1,0)&lt;&gt;"","",IF(OR(J183="リード付け",J183="巻足し",J183="巻返しリード付け"),M183,VLOOKUP(D183,契約台帳!$A$3:$O$4986,15,FALSE))))</f>
        <v>1000</v>
      </c>
      <c r="T183" s="273">
        <f ca="1">IF(D183="","",IF(J183="リード付け",N183,IF(J183="巻返しリード付け",N183,IF(J183="巻足し",N183*P183+OFFSET(N183,1,0)*OFFSET(P183,1,0),VLOOKUP(D183,契約台帳!$A$3:$P$4986,16,FALSE)))))</f>
        <v>12000</v>
      </c>
      <c r="U183" s="40">
        <v>5</v>
      </c>
      <c r="V183" s="274">
        <f ca="1">IF(D183="","",IF(OFFSET(D183,-2,0)=D183,"",VLOOKUP(D183,契約台帳!$A$3:$R$4986,18,FALSE)))</f>
        <v>15</v>
      </c>
      <c r="W183" s="269" t="str">
        <f ca="1">IF(D183="","",IF(T183="","",IF(OR(J183="巻足し",J183="巻返しリード付け"),"",IF(J183="巻返し",VLOOKUP(F183&amp;K183&amp;M183,製品マスタ!$M$5:$AD$5002,18,FALSE),IF(OR(J183="リード付け",J183="巻返しリード付け"),"原反コア",IF(J183="スリット",VLOOKUP(F183&amp;K183&amp;R183,製品マスタ!$N$5:$AD$5002,17,FALSE),""))))))</f>
        <v/>
      </c>
      <c r="X183" s="269" t="str">
        <f ca="1">IF(D183="","",IF(T183="","",IF(J183="巻足し","",IF(J183="巻返し",VLOOKUP(F183&amp;K183&amp;M183,製品マスタ!$M$5:$AE$5002,19,FALSE),IF(OR(J183="リード付け",J183="巻返しリード付け"),"",IF(J183="スリット",VLOOKUP(F183&amp;K183&amp;R183,製品マスタ!$N$5:$AE$5002,18,FALSE),""))))))</f>
        <v/>
      </c>
      <c r="Y183" s="275">
        <f ca="1">IF(D183="","",IF(T183="","",VLOOKUP(D183,契約台帳!$A$3:$Q$4986,17,FALSE)))</f>
        <v>2</v>
      </c>
      <c r="Z183" s="269" t="str">
        <f ca="1">IF(D183="","",IF(T183="","",VLOOKUP(D183,契約台帳!$A$3:$E$4986,5,FALSE)))</f>
        <v>リンテック㈱</v>
      </c>
      <c r="AA183" s="57"/>
      <c r="AB183" s="207" t="str">
        <f>IFERROR((VLOOKUP(F183&amp;K183&amp;M183,製品マスタ!$M$5:$AM$5002,27,FALSE)),"")</f>
        <v>原反ケース再利用</v>
      </c>
      <c r="AC183" s="33"/>
      <c r="AD183" s="189"/>
      <c r="AE183" s="54"/>
      <c r="AF183" s="55"/>
      <c r="AG183" s="43"/>
      <c r="AH183" s="47"/>
      <c r="AI183" s="30"/>
      <c r="AJ183" s="30"/>
      <c r="AK183" s="30"/>
      <c r="AL183" s="30"/>
      <c r="AM183" s="13"/>
      <c r="AN183" s="13"/>
      <c r="AO183" s="13"/>
      <c r="AP183" s="13"/>
      <c r="AQ183" s="13"/>
      <c r="AR183" s="14"/>
      <c r="AS183" s="15"/>
    </row>
    <row r="184" spans="1:45" s="17" customFormat="1" ht="30.95" hidden="1" customHeight="1" x14ac:dyDescent="0.2">
      <c r="A184" s="37"/>
      <c r="B184" s="38"/>
      <c r="C184" s="45"/>
      <c r="D184" s="31"/>
      <c r="E184" s="31"/>
      <c r="F184" s="268" t="str">
        <f>IF(D184="","",VLOOKUP(D184,契約台帳!$A$3:$K$4986,6,FALSE)&amp;VLOOKUP(D184,契約台帳!$A$3:$K$4986,7,FALSE)&amp;VLOOKUP(D184,契約台帳!$A$3:$K$4986,8,FALSE)&amp;VLOOKUP(D184,契約台帳!$A$3:$K$4986,9,FALSE)&amp;VLOOKUP(D184,契約台帳!$A$3:$K$4986,11,FALSE))</f>
        <v/>
      </c>
      <c r="G184" s="269" t="str">
        <f>IF(D184="","",VLOOKUP(F184,製品マスタ!$G$5:$H$5002,2,FALSE))</f>
        <v/>
      </c>
      <c r="H184" s="269" t="str">
        <f>IF(D184="","",VLOOKUP(F184,製品マスタ!$G$5:$K$5002,5,FALSE))</f>
        <v/>
      </c>
      <c r="I184" s="270" t="str">
        <f>IF(D184="","",VLOOKUP(F184,製品マスタ!$G$5:$L$5002,6,FALSE))</f>
        <v/>
      </c>
      <c r="J184" s="210"/>
      <c r="K184" s="270" t="str">
        <f>IF(D184="","",VLOOKUP(D184,契約台帳!$A$3:$L$4986,12,FALSE))</f>
        <v/>
      </c>
      <c r="L184" s="270" t="str">
        <f>IF(D184="","",INDEX(製品マスタ!$Q$5:$Q$5002,MATCH('S4'!F184&amp;'S4'!K184,製品マスタ!$AO$5:$AO$5002,0)))</f>
        <v/>
      </c>
      <c r="M184" s="39"/>
      <c r="N184" s="39"/>
      <c r="O184" s="156"/>
      <c r="P184" s="47"/>
      <c r="Q184" s="57"/>
      <c r="R184" s="271" t="str">
        <f ca="1">IF(D184="","",IF(OFFSET(D184,-1,0)&lt;&gt;"","",IF(OR(J184="リード付け",J184="巻足し",J184="巻返しリード付け"),M184,VLOOKUP(D184,契約台帳!$A$3:$N$4986,14,FALSE))))</f>
        <v/>
      </c>
      <c r="S184" s="272" t="str">
        <f ca="1">IF(D184="","",IF(OFFSET(D184,-1,0)&lt;&gt;"","",IF(OR(J184="リード付け",J184="巻足し",J184="巻返しリード付け"),M184,VLOOKUP(D184,契約台帳!$A$3:$O$4986,15,FALSE))))</f>
        <v/>
      </c>
      <c r="T184" s="273" t="str">
        <f ca="1">IF(D184="","",IF(J184="リード付け",N184,IF(J184="巻返しリード付け",N184,IF(J184="巻足し",N184*P184+OFFSET(N184,1,0)*OFFSET(P184,1,0),VLOOKUP(D184,契約台帳!$A$3:$P$4986,16,FALSE)))))</f>
        <v/>
      </c>
      <c r="U184" s="40"/>
      <c r="V184" s="274" t="str">
        <f ca="1">IF(D184="","",IF(OFFSET(D184,-2,0)=D184,"",VLOOKUP(D184,契約台帳!$A$3:$R$4986,18,FALSE)))</f>
        <v/>
      </c>
      <c r="W184" s="269" t="str">
        <f>IF(D184="","",IF(T184="","",IF(OR(J184="巻足し",J184="巻返しリード付け"),"",IF(J184="巻返し",VLOOKUP(F184&amp;K184&amp;M184,製品マスタ!$M$5:$AD$5002,18,FALSE),IF(OR(J184="リード付け",J184="巻返しリード付け"),"原反コア",IF(J184="スリット",VLOOKUP(F184&amp;K184&amp;R184,製品マスタ!$N$5:$AD$5002,17,FALSE),""))))))</f>
        <v/>
      </c>
      <c r="X184" s="269" t="str">
        <f>IF(D184="","",IF(T184="","",IF(J184="巻足し","",IF(J184="巻返し",VLOOKUP(F184&amp;K184&amp;M184,製品マスタ!$M$5:$AE$5002,19,FALSE),IF(OR(J184="リード付け",J184="巻返しリード付け"),"",IF(J184="スリット",VLOOKUP(F184&amp;K184&amp;R184,製品マスタ!$N$5:$AE$5002,18,FALSE),""))))))</f>
        <v/>
      </c>
      <c r="Y184" s="275" t="str">
        <f>IF(D184="","",IF(T184="","",VLOOKUP(D184,契約台帳!$A$3:$Q$4986,17,FALSE)))</f>
        <v/>
      </c>
      <c r="Z184" s="269" t="str">
        <f>IF(D184="","",IF(T184="","",VLOOKUP(D184,契約台帳!$A$3:$E$4986,5,FALSE)))</f>
        <v/>
      </c>
      <c r="AA184" s="57"/>
      <c r="AB184" s="207" t="str">
        <f>IFERROR((VLOOKUP(F184&amp;K184&amp;M184,製品マスタ!$M$5:$AM$5002,27,FALSE)),"")</f>
        <v/>
      </c>
      <c r="AC184" s="33"/>
      <c r="AD184" s="189"/>
      <c r="AE184" s="54"/>
      <c r="AF184" s="55"/>
      <c r="AG184" s="43"/>
      <c r="AH184" s="47"/>
      <c r="AI184" s="30"/>
      <c r="AJ184" s="30"/>
      <c r="AK184" s="30"/>
      <c r="AL184" s="30"/>
      <c r="AM184" s="13"/>
      <c r="AN184" s="13"/>
      <c r="AO184" s="13"/>
      <c r="AP184" s="13"/>
      <c r="AQ184" s="13"/>
      <c r="AR184" s="14"/>
      <c r="AS184" s="15"/>
    </row>
    <row r="185" spans="1:45" s="17" customFormat="1" ht="30.95" hidden="1" customHeight="1" x14ac:dyDescent="0.2">
      <c r="A185" s="37"/>
      <c r="B185" s="38"/>
      <c r="C185" s="45"/>
      <c r="D185" s="31">
        <v>3697677</v>
      </c>
      <c r="E185" s="31">
        <v>4161796</v>
      </c>
      <c r="F185" s="268" t="str">
        <f>IF(D185="","",VLOOKUP(D185,契約台帳!$A$3:$K$4986,6,FALSE)&amp;VLOOKUP(D185,契約台帳!$A$3:$K$4986,7,FALSE)&amp;VLOOKUP(D185,契約台帳!$A$3:$K$4986,8,FALSE)&amp;VLOOKUP(D185,契約台帳!$A$3:$K$4986,9,FALSE)&amp;VLOOKUP(D185,契約台帳!$A$3:$K$4986,11,FALSE))</f>
        <v>3SNMCLBHLGKJV</v>
      </c>
      <c r="G185" s="269" t="str">
        <f>IF(D185="","",VLOOKUP(F185,製品マスタ!$G$5:$H$5002,2,FALSE))</f>
        <v>S</v>
      </c>
      <c r="H185" s="269" t="str">
        <f>IF(D185="","",VLOOKUP(F185,製品マスタ!$G$5:$K$5002,5,FALSE))</f>
        <v>HLGKJV</v>
      </c>
      <c r="I185" s="270" t="str">
        <f>IF(D185="","",VLOOKUP(F185,製品マスタ!$G$5:$L$5002,6,FALSE))</f>
        <v>メタルミー　ヘヤライン　銀消Ｖ</v>
      </c>
      <c r="J185" s="210" t="s">
        <v>832</v>
      </c>
      <c r="K185" s="270">
        <f>IF(D185="","",VLOOKUP(D185,契約台帳!$A$3:$L$4986,12,FALSE))</f>
        <v>50</v>
      </c>
      <c r="L185" s="270" t="str">
        <f>IF(D185="","",INDEX(製品マスタ!$Q$5:$Q$5002,MATCH('S4'!F185&amp;'S4'!K185,製品マスタ!$AO$5:$AO$5002,0)))</f>
        <v>HL-MAT</v>
      </c>
      <c r="M185" s="39">
        <v>1005</v>
      </c>
      <c r="N185" s="39">
        <v>4000</v>
      </c>
      <c r="O185" s="156">
        <v>1</v>
      </c>
      <c r="P185" s="47">
        <v>2</v>
      </c>
      <c r="Q185" s="213">
        <v>44956</v>
      </c>
      <c r="R185" s="271">
        <f ca="1">IF(D185="","",IF(OFFSET(D185,-1,0)&lt;&gt;"","",IF(OR(J185="リード付け",J185="巻足し",J185="巻返しリード付け"),M185,VLOOKUP(D185,契約台帳!$A$3:$N$4986,14,FALSE))))</f>
        <v>1005</v>
      </c>
      <c r="S185" s="272">
        <f ca="1">IF(D185="","",IF(OFFSET(D185,-1,0)&lt;&gt;"","",IF(OR(J185="リード付け",J185="巻足し",J185="巻返しリード付け"),M185,VLOOKUP(D185,契約台帳!$A$3:$O$4986,15,FALSE))))</f>
        <v>1005</v>
      </c>
      <c r="T185" s="273">
        <f ca="1">IF(D185="","",IF(J185="リード付け",N185,IF(J185="巻返しリード付け",N185,IF(J185="巻足し",N185*P185+OFFSET(N185,1,0)*OFFSET(P185,1,0),VLOOKUP(D185,契約台帳!$A$3:$P$4986,16,FALSE)))))</f>
        <v>8000</v>
      </c>
      <c r="U185" s="40">
        <v>1</v>
      </c>
      <c r="V185" s="274">
        <f ca="1">IF(D185="","",IF(OFFSET(D185,-2,0)=D185,"",VLOOKUP(D185,契約台帳!$A$3:$R$4986,18,FALSE)))</f>
        <v>2</v>
      </c>
      <c r="W185" s="269" t="str">
        <f ca="1">IF(D185="","",IF(T185="","",IF(OR(J185="巻足し",J185="巻返しリード付け"),"",IF(J185="巻返し",VLOOKUP(F185&amp;K185&amp;M185,製品マスタ!$M$5:$AD$5002,18,FALSE),IF(OR(J185="リード付け",J185="巻返しリード付け"),"原反コア",IF(J185="スリット",VLOOKUP(F185&amp;K185&amp;R185,製品マスタ!$N$5:$AD$5002,17,FALSE),""))))))</f>
        <v/>
      </c>
      <c r="X185" s="269" t="str">
        <f ca="1">IF(D185="","",IF(T185="","",IF(J185="巻足し","",IF(J185="巻返し",VLOOKUP(F185&amp;K185&amp;M185,製品マスタ!$M$5:$AE$5002,19,FALSE),IF(OR(J185="リード付け",J185="巻返しリード付け"),"",IF(J185="スリット",VLOOKUP(F185&amp;K185&amp;R185,製品マスタ!$N$5:$AE$5002,18,FALSE),""))))))</f>
        <v/>
      </c>
      <c r="Y185" s="275">
        <f ca="1">IF(D185="","",IF(T185="","",VLOOKUP(D185,契約台帳!$A$3:$Q$4986,17,FALSE)))</f>
        <v>2</v>
      </c>
      <c r="Z185" s="269" t="str">
        <f ca="1">IF(D185="","",IF(T185="","",VLOOKUP(D185,契約台帳!$A$3:$E$4986,5,FALSE)))</f>
        <v>リンテック㈱</v>
      </c>
      <c r="AA185" s="57"/>
      <c r="AB185" s="207">
        <f>IFERROR((VLOOKUP(F185&amp;K185&amp;M185,製品マスタ!$M$5:$AM$5002,27,FALSE)),"")</f>
        <v>0</v>
      </c>
      <c r="AC185" s="33"/>
      <c r="AD185" s="189"/>
      <c r="AE185" s="54"/>
      <c r="AF185" s="55"/>
      <c r="AG185" s="43"/>
      <c r="AH185" s="47"/>
      <c r="AI185" s="30"/>
      <c r="AJ185" s="30"/>
      <c r="AK185" s="30"/>
      <c r="AL185" s="30"/>
      <c r="AM185" s="13"/>
      <c r="AN185" s="13"/>
      <c r="AO185" s="13"/>
      <c r="AP185" s="13"/>
      <c r="AQ185" s="13"/>
      <c r="AR185" s="14"/>
      <c r="AS185" s="15"/>
    </row>
    <row r="186" spans="1:45" s="17" customFormat="1" ht="30.95" hidden="1" customHeight="1" x14ac:dyDescent="0.2">
      <c r="A186" s="37"/>
      <c r="B186" s="38"/>
      <c r="C186" s="45"/>
      <c r="D186" s="31">
        <v>3697678</v>
      </c>
      <c r="E186" s="31"/>
      <c r="F186" s="268" t="str">
        <f>IF(D186="","",VLOOKUP(D186,契約台帳!$A$3:$K$4986,6,FALSE)&amp;VLOOKUP(D186,契約台帳!$A$3:$K$4986,7,FALSE)&amp;VLOOKUP(D186,契約台帳!$A$3:$K$4986,8,FALSE)&amp;VLOOKUP(D186,契約台帳!$A$3:$K$4986,9,FALSE)&amp;VLOOKUP(D186,契約台帳!$A$3:$K$4986,11,FALSE))</f>
        <v>3TNMCLBHLGKJV</v>
      </c>
      <c r="G186" s="269" t="str">
        <f>IF(D186="","",VLOOKUP(F186,製品マスタ!$G$5:$H$5002,2,FALSE))</f>
        <v>T</v>
      </c>
      <c r="H186" s="269" t="str">
        <f>IF(D186="","",VLOOKUP(F186,製品マスタ!$G$5:$K$5002,5,FALSE))</f>
        <v>HLGKJV</v>
      </c>
      <c r="I186" s="270" t="str">
        <f>IF(D186="","",VLOOKUP(F186,製品マスタ!$G$5:$L$5002,6,FALSE))</f>
        <v>メタルミー　ヘヤライン　銀消Ｖ</v>
      </c>
      <c r="J186" s="210" t="s">
        <v>832</v>
      </c>
      <c r="K186" s="270">
        <f>IF(D186="","",VLOOKUP(D186,契約台帳!$A$3:$L$4986,12,FALSE))</f>
        <v>50</v>
      </c>
      <c r="L186" s="270" t="str">
        <f>IF(D186="","",INDEX(製品マスタ!$Q$5:$Q$5002,MATCH('S4'!F186&amp;'S4'!K186,製品マスタ!$AO$5:$AO$5002,0)))</f>
        <v>HL-MAT</v>
      </c>
      <c r="M186" s="39">
        <v>1005</v>
      </c>
      <c r="N186" s="39">
        <v>4000</v>
      </c>
      <c r="O186" s="156">
        <v>1</v>
      </c>
      <c r="P186" s="47"/>
      <c r="Q186" s="213">
        <v>44956</v>
      </c>
      <c r="R186" s="271" t="str">
        <f ca="1">IF(D186="","",IF(OFFSET(D186,-1,0)&lt;&gt;"","",IF(OR(J186="リード付け",J186="巻足し",J186="巻返しリード付け"),M186,VLOOKUP(D186,契約台帳!$A$3:$N$4986,14,FALSE))))</f>
        <v/>
      </c>
      <c r="S186" s="272" t="str">
        <f ca="1">IF(D186="","",IF(OFFSET(D186,-1,0)&lt;&gt;"","",IF(OR(J186="リード付け",J186="巻足し",J186="巻返しリード付け"),M186,VLOOKUP(D186,契約台帳!$A$3:$O$4986,15,FALSE))))</f>
        <v/>
      </c>
      <c r="T186" s="273">
        <f ca="1">IF(D186="","",IF(J186="リード付け",N186,IF(J186="巻返しリード付け",N186,IF(J186="巻足し",N186*P186+OFFSET(N186,1,0)*OFFSET(P186,1,0),VLOOKUP(D186,契約台帳!$A$3:$P$4986,16,FALSE)))))</f>
        <v>0</v>
      </c>
      <c r="U186" s="40"/>
      <c r="V186" s="274">
        <f ca="1">IF(D186="","",IF(OFFSET(D186,-2,0)=D186,"",VLOOKUP(D186,契約台帳!$A$3:$R$4986,18,FALSE)))</f>
        <v>1</v>
      </c>
      <c r="W186" s="269" t="str">
        <f ca="1">IF(D186="","",IF(T186="","",IF(OR(J186="巻足し",J186="巻返しリード付け"),"",IF(J186="巻返し",VLOOKUP(F186&amp;K186&amp;M186,製品マスタ!$M$5:$AD$5002,18,FALSE),IF(OR(J186="リード付け",J186="巻返しリード付け"),"原反コア",IF(J186="スリット",VLOOKUP(F186&amp;K186&amp;R186,製品マスタ!$N$5:$AD$5002,17,FALSE),""))))))</f>
        <v/>
      </c>
      <c r="X186" s="269" t="str">
        <f ca="1">IF(D186="","",IF(T186="","",IF(J186="巻足し","",IF(J186="巻返し",VLOOKUP(F186&amp;K186&amp;M186,製品マスタ!$M$5:$AE$5002,19,FALSE),IF(OR(J186="リード付け",J186="巻返しリード付け"),"",IF(J186="スリット",VLOOKUP(F186&amp;K186&amp;R186,製品マスタ!$N$5:$AE$5002,18,FALSE),""))))))</f>
        <v/>
      </c>
      <c r="Y186" s="275">
        <f ca="1">IF(D186="","",IF(T186="","",VLOOKUP(D186,契約台帳!$A$3:$Q$4986,17,FALSE)))</f>
        <v>2</v>
      </c>
      <c r="Z186" s="269" t="str">
        <f ca="1">IF(D186="","",IF(T186="","",VLOOKUP(D186,契約台帳!$A$3:$E$4986,5,FALSE)))</f>
        <v>リンテック㈱</v>
      </c>
      <c r="AA186" s="57"/>
      <c r="AB186" s="207">
        <f>IFERROR((VLOOKUP(F186&amp;K186&amp;M186,製品マスタ!$M$5:$AM$5002,27,FALSE)),"")</f>
        <v>0</v>
      </c>
      <c r="AC186" s="33"/>
      <c r="AD186" s="189"/>
      <c r="AE186" s="54"/>
      <c r="AF186" s="55"/>
      <c r="AG186" s="43"/>
      <c r="AH186" s="47"/>
      <c r="AI186" s="30"/>
      <c r="AJ186" s="30"/>
      <c r="AK186" s="30"/>
      <c r="AL186" s="30"/>
      <c r="AM186" s="13"/>
      <c r="AN186" s="13"/>
      <c r="AO186" s="13"/>
      <c r="AP186" s="13"/>
      <c r="AQ186" s="13"/>
      <c r="AR186" s="14"/>
      <c r="AS186" s="15"/>
    </row>
    <row r="187" spans="1:45" s="17" customFormat="1" ht="30.95" hidden="1" customHeight="1" x14ac:dyDescent="0.2">
      <c r="A187" s="37"/>
      <c r="B187" s="38"/>
      <c r="C187" s="45"/>
      <c r="D187" s="31"/>
      <c r="E187" s="31"/>
      <c r="F187" s="268" t="str">
        <f>IF(D187="","",VLOOKUP(D187,契約台帳!$A$3:$K$4986,6,FALSE)&amp;VLOOKUP(D187,契約台帳!$A$3:$K$4986,7,FALSE)&amp;VLOOKUP(D187,契約台帳!$A$3:$K$4986,8,FALSE)&amp;VLOOKUP(D187,契約台帳!$A$3:$K$4986,9,FALSE)&amp;VLOOKUP(D187,契約台帳!$A$3:$K$4986,11,FALSE))</f>
        <v/>
      </c>
      <c r="G187" s="269" t="str">
        <f>IF(D187="","",VLOOKUP(F187,製品マスタ!$G$5:$H$5002,2,FALSE))</f>
        <v/>
      </c>
      <c r="H187" s="269" t="str">
        <f>IF(D187="","",VLOOKUP(F187,製品マスタ!$G$5:$K$5002,5,FALSE))</f>
        <v/>
      </c>
      <c r="I187" s="270" t="str">
        <f>IF(D187="","",VLOOKUP(F187,製品マスタ!$G$5:$L$5002,6,FALSE))</f>
        <v/>
      </c>
      <c r="J187" s="210"/>
      <c r="K187" s="270" t="str">
        <f>IF(D187="","",VLOOKUP(D187,契約台帳!$A$3:$L$4986,12,FALSE))</f>
        <v/>
      </c>
      <c r="L187" s="270" t="str">
        <f>IF(D187="","",INDEX(製品マスタ!$Q$5:$Q$5002,MATCH('S4'!F187&amp;'S4'!K187,製品マスタ!$AO$5:$AO$5002,0)))</f>
        <v/>
      </c>
      <c r="M187" s="39"/>
      <c r="N187" s="39"/>
      <c r="O187" s="156"/>
      <c r="P187" s="47"/>
      <c r="Q187" s="57"/>
      <c r="R187" s="271" t="str">
        <f ca="1">IF(D187="","",IF(OFFSET(D187,-1,0)&lt;&gt;"","",IF(OR(J187="リード付け",J187="巻足し",J187="巻返しリード付け"),M187,VLOOKUP(D187,契約台帳!$A$3:$N$4986,14,FALSE))))</f>
        <v/>
      </c>
      <c r="S187" s="272" t="str">
        <f ca="1">IF(D187="","",IF(OFFSET(D187,-1,0)&lt;&gt;"","",IF(OR(J187="リード付け",J187="巻足し",J187="巻返しリード付け"),M187,VLOOKUP(D187,契約台帳!$A$3:$O$4986,15,FALSE))))</f>
        <v/>
      </c>
      <c r="T187" s="273" t="str">
        <f ca="1">IF(D187="","",IF(J187="リード付け",N187,IF(J187="巻返しリード付け",N187,IF(J187="巻足し",N187*P187+OFFSET(N187,1,0)*OFFSET(P187,1,0),VLOOKUP(D187,契約台帳!$A$3:$P$4986,16,FALSE)))))</f>
        <v/>
      </c>
      <c r="U187" s="40"/>
      <c r="V187" s="274" t="str">
        <f ca="1">IF(D187="","",IF(OFFSET(D187,-2,0)=D187,"",VLOOKUP(D187,契約台帳!$A$3:$R$4986,18,FALSE)))</f>
        <v/>
      </c>
      <c r="W187" s="269" t="str">
        <f>IF(D187="","",IF(T187="","",IF(OR(J187="巻足し",J187="巻返しリード付け"),"",IF(J187="巻返し",VLOOKUP(F187&amp;K187&amp;M187,製品マスタ!$M$5:$AD$5002,18,FALSE),IF(OR(J187="リード付け",J187="巻返しリード付け"),"原反コア",IF(J187="スリット",VLOOKUP(F187&amp;K187&amp;R187,製品マスタ!$N$5:$AD$5002,17,FALSE),""))))))</f>
        <v/>
      </c>
      <c r="X187" s="269" t="str">
        <f>IF(D187="","",IF(T187="","",IF(J187="巻足し","",IF(J187="巻返し",VLOOKUP(F187&amp;K187&amp;M187,製品マスタ!$M$5:$AE$5002,19,FALSE),IF(OR(J187="リード付け",J187="巻返しリード付け"),"",IF(J187="スリット",VLOOKUP(F187&amp;K187&amp;R187,製品マスタ!$N$5:$AE$5002,18,FALSE),""))))))</f>
        <v/>
      </c>
      <c r="Y187" s="275" t="str">
        <f>IF(D187="","",IF(T187="","",VLOOKUP(D187,契約台帳!$A$3:$Q$4986,17,FALSE)))</f>
        <v/>
      </c>
      <c r="Z187" s="269" t="str">
        <f>IF(D187="","",IF(T187="","",VLOOKUP(D187,契約台帳!$A$3:$E$4986,5,FALSE)))</f>
        <v/>
      </c>
      <c r="AA187" s="57"/>
      <c r="AB187" s="207" t="str">
        <f>IFERROR((VLOOKUP(F187&amp;K187&amp;M187,製品マスタ!$M$5:$AM$5002,27,FALSE)),"")</f>
        <v/>
      </c>
      <c r="AC187" s="33"/>
      <c r="AD187" s="189"/>
      <c r="AE187" s="54"/>
      <c r="AF187" s="55"/>
      <c r="AG187" s="43"/>
      <c r="AH187" s="47"/>
      <c r="AI187" s="30"/>
      <c r="AJ187" s="30"/>
      <c r="AK187" s="30"/>
      <c r="AL187" s="30"/>
      <c r="AM187" s="13"/>
      <c r="AN187" s="13"/>
      <c r="AO187" s="13"/>
      <c r="AP187" s="13"/>
      <c r="AQ187" s="13"/>
      <c r="AR187" s="14"/>
      <c r="AS187" s="15"/>
    </row>
    <row r="188" spans="1:45" s="17" customFormat="1" ht="30.95" hidden="1" customHeight="1" x14ac:dyDescent="0.2">
      <c r="A188" s="37" t="s">
        <v>847</v>
      </c>
      <c r="B188" s="38" t="s">
        <v>833</v>
      </c>
      <c r="C188" s="45"/>
      <c r="D188" s="31"/>
      <c r="E188" s="31"/>
      <c r="F188" s="268" t="str">
        <f>IF(D188="","",VLOOKUP(D188,契約台帳!$A$3:$K$4986,6,FALSE)&amp;VLOOKUP(D188,契約台帳!$A$3:$K$4986,7,FALSE)&amp;VLOOKUP(D188,契約台帳!$A$3:$K$4986,8,FALSE)&amp;VLOOKUP(D188,契約台帳!$A$3:$K$4986,9,FALSE)&amp;VLOOKUP(D188,契約台帳!$A$3:$K$4986,11,FALSE))</f>
        <v/>
      </c>
      <c r="G188" s="269" t="str">
        <f>IF(D188="","",VLOOKUP(F188,製品マスタ!$G$5:$H$5002,2,FALSE))</f>
        <v/>
      </c>
      <c r="H188" s="269" t="str">
        <f>IF(D188="","",VLOOKUP(F188,製品マスタ!$G$5:$K$5002,5,FALSE))</f>
        <v/>
      </c>
      <c r="I188" s="270" t="str">
        <f>IF(D188="","",VLOOKUP(F188,製品マスタ!$G$5:$L$5002,6,FALSE))</f>
        <v/>
      </c>
      <c r="J188" s="210" t="s">
        <v>836</v>
      </c>
      <c r="K188" s="270" t="str">
        <f>IF(D188="","",VLOOKUP(D188,契約台帳!$A$3:$L$4986,12,FALSE))</f>
        <v/>
      </c>
      <c r="L188" s="270" t="str">
        <f>IF(D188="","",INDEX(製品マスタ!$Q$5:$Q$5002,MATCH('S4'!F188&amp;'S4'!K188,製品マスタ!$AO$5:$AO$5002,0)))</f>
        <v/>
      </c>
      <c r="M188" s="39"/>
      <c r="N188" s="39"/>
      <c r="O188" s="156"/>
      <c r="P188" s="47"/>
      <c r="Q188" s="57"/>
      <c r="R188" s="271" t="str">
        <f ca="1">IF(D188="","",IF(OFFSET(D188,-1,0)&lt;&gt;"","",IF(OR(J188="リード付け",J188="巻足し",J188="巻返しリード付け"),M188,VLOOKUP(D188,契約台帳!$A$3:$N$4986,14,FALSE))))</f>
        <v/>
      </c>
      <c r="S188" s="272" t="str">
        <f ca="1">IF(D188="","",IF(OFFSET(D188,-1,0)&lt;&gt;"","",IF(OR(J188="リード付け",J188="巻足し",J188="巻返しリード付け"),M188,VLOOKUP(D188,契約台帳!$A$3:$O$4986,15,FALSE))))</f>
        <v/>
      </c>
      <c r="T188" s="273" t="str">
        <f ca="1">IF(D188="","",IF(J188="リード付け",N188,IF(J188="巻返しリード付け",N188,IF(J188="巻足し",N188*P188+OFFSET(N188,1,0)*OFFSET(P188,1,0),VLOOKUP(D188,契約台帳!$A$3:$P$4986,16,FALSE)))))</f>
        <v/>
      </c>
      <c r="U188" s="40"/>
      <c r="V188" s="274" t="str">
        <f ca="1">IF(D188="","",IF(OFFSET(D188,-2,0)=D188,"",VLOOKUP(D188,契約台帳!$A$3:$R$4986,18,FALSE)))</f>
        <v/>
      </c>
      <c r="W188" s="269" t="str">
        <f>IF(D188="","",IF(T188="","",IF(OR(J188="巻足し",J188="巻返しリード付け"),"",IF(J188="巻返し",VLOOKUP(F188&amp;K188&amp;M188,製品マスタ!$M$5:$AD$5002,18,FALSE),IF(OR(J188="リード付け",J188="巻返しリード付け"),"原反コア",IF(J188="スリット",VLOOKUP(F188&amp;K188&amp;R188,製品マスタ!$N$5:$AD$5002,17,FALSE),""))))))</f>
        <v/>
      </c>
      <c r="X188" s="269" t="str">
        <f>IF(D188="","",IF(T188="","",IF(J188="巻足し","",IF(J188="巻返し",VLOOKUP(F188&amp;K188&amp;M188,製品マスタ!$M$5:$AE$5002,19,FALSE),IF(OR(J188="リード付け",J188="巻返しリード付け"),"",IF(J188="スリット",VLOOKUP(F188&amp;K188&amp;R188,製品マスタ!$N$5:$AE$5002,18,FALSE),""))))))</f>
        <v/>
      </c>
      <c r="Y188" s="275" t="str">
        <f>IF(D188="","",IF(T188="","",VLOOKUP(D188,契約台帳!$A$3:$Q$4986,17,FALSE)))</f>
        <v/>
      </c>
      <c r="Z188" s="269" t="str">
        <f>IF(D188="","",IF(T188="","",VLOOKUP(D188,契約台帳!$A$3:$E$4986,5,FALSE)))</f>
        <v/>
      </c>
      <c r="AA188" s="57"/>
      <c r="AB188" s="207" t="str">
        <f>IFERROR((VLOOKUP(F188&amp;K188&amp;M188,製品マスタ!$M$5:$AM$5002,27,FALSE)),"")</f>
        <v/>
      </c>
      <c r="AC188" s="33"/>
      <c r="AD188" s="189"/>
      <c r="AE188" s="54"/>
      <c r="AF188" s="55"/>
      <c r="AG188" s="43"/>
      <c r="AH188" s="47"/>
      <c r="AI188" s="30"/>
      <c r="AJ188" s="30"/>
      <c r="AK188" s="30"/>
      <c r="AL188" s="30"/>
      <c r="AM188" s="13"/>
      <c r="AN188" s="13"/>
      <c r="AO188" s="13"/>
      <c r="AP188" s="13"/>
      <c r="AQ188" s="13"/>
      <c r="AR188" s="14"/>
      <c r="AS188" s="15"/>
    </row>
    <row r="189" spans="1:45" s="17" customFormat="1" ht="30.95" hidden="1" customHeight="1" x14ac:dyDescent="0.2">
      <c r="A189" s="37"/>
      <c r="B189" s="38"/>
      <c r="C189" s="45"/>
      <c r="D189" s="31"/>
      <c r="E189" s="31"/>
      <c r="F189" s="268" t="str">
        <f>IF(D189="","",VLOOKUP(D189,契約台帳!$A$3:$K$4986,6,FALSE)&amp;VLOOKUP(D189,契約台帳!$A$3:$K$4986,7,FALSE)&amp;VLOOKUP(D189,契約台帳!$A$3:$K$4986,8,FALSE)&amp;VLOOKUP(D189,契約台帳!$A$3:$K$4986,9,FALSE)&amp;VLOOKUP(D189,契約台帳!$A$3:$K$4986,11,FALSE))</f>
        <v/>
      </c>
      <c r="G189" s="269" t="str">
        <f>IF(D189="","",VLOOKUP(F189,製品マスタ!$G$5:$H$5002,2,FALSE))</f>
        <v/>
      </c>
      <c r="H189" s="269" t="str">
        <f>IF(D189="","",VLOOKUP(F189,製品マスタ!$G$5:$K$5002,5,FALSE))</f>
        <v/>
      </c>
      <c r="I189" s="270" t="str">
        <f>IF(D189="","",VLOOKUP(F189,製品マスタ!$G$5:$L$5002,6,FALSE))</f>
        <v/>
      </c>
      <c r="J189" s="210"/>
      <c r="K189" s="270" t="str">
        <f>IF(D189="","",VLOOKUP(D189,契約台帳!$A$3:$L$4986,12,FALSE))</f>
        <v/>
      </c>
      <c r="L189" s="270" t="str">
        <f>IF(D189="","",INDEX(製品マスタ!$Q$5:$Q$5002,MATCH('S4'!F189&amp;'S4'!K189,製品マスタ!$AO$5:$AO$5002,0)))</f>
        <v/>
      </c>
      <c r="M189" s="39"/>
      <c r="N189" s="39"/>
      <c r="O189" s="156"/>
      <c r="P189" s="47"/>
      <c r="Q189" s="57"/>
      <c r="R189" s="271" t="str">
        <f ca="1">IF(D189="","",IF(OFFSET(D189,-1,0)&lt;&gt;"","",IF(OR(J189="リード付け",J189="巻足し",J189="巻返しリード付け"),M189,VLOOKUP(D189,契約台帳!$A$3:$N$4986,14,FALSE))))</f>
        <v/>
      </c>
      <c r="S189" s="272" t="str">
        <f ca="1">IF(D189="","",IF(OFFSET(D189,-1,0)&lt;&gt;"","",IF(OR(J189="リード付け",J189="巻足し",J189="巻返しリード付け"),M189,VLOOKUP(D189,契約台帳!$A$3:$O$4986,15,FALSE))))</f>
        <v/>
      </c>
      <c r="T189" s="273" t="str">
        <f ca="1">IF(D189="","",IF(J189="リード付け",N189,IF(J189="巻返しリード付け",N189,IF(J189="巻足し",N189*P189+OFFSET(N189,1,0)*OFFSET(P189,1,0),VLOOKUP(D189,契約台帳!$A$3:$P$4986,16,FALSE)))))</f>
        <v/>
      </c>
      <c r="U189" s="40"/>
      <c r="V189" s="274" t="str">
        <f ca="1">IF(D189="","",IF(OFFSET(D189,-2,0)=D189,"",VLOOKUP(D189,契約台帳!$A$3:$R$4986,18,FALSE)))</f>
        <v/>
      </c>
      <c r="W189" s="269" t="str">
        <f>IF(D189="","",IF(T189="","",IF(OR(J189="巻足し",J189="巻返しリード付け"),"",IF(J189="巻返し",VLOOKUP(F189&amp;K189&amp;M189,製品マスタ!$M$5:$AD$5002,18,FALSE),IF(OR(J189="リード付け",J189="巻返しリード付け"),"原反コア",IF(J189="スリット",VLOOKUP(F189&amp;K189&amp;R189,製品マスタ!$N$5:$AD$5002,17,FALSE),""))))))</f>
        <v/>
      </c>
      <c r="X189" s="269" t="str">
        <f>IF(D189="","",IF(T189="","",IF(J189="巻足し","",IF(J189="巻返し",VLOOKUP(F189&amp;K189&amp;M189,製品マスタ!$M$5:$AE$5002,19,FALSE),IF(OR(J189="リード付け",J189="巻返しリード付け"),"",IF(J189="スリット",VLOOKUP(F189&amp;K189&amp;R189,製品マスタ!$N$5:$AE$5002,18,FALSE),""))))))</f>
        <v/>
      </c>
      <c r="Y189" s="275" t="str">
        <f>IF(D189="","",IF(T189="","",VLOOKUP(D189,契約台帳!$A$3:$Q$4986,17,FALSE)))</f>
        <v/>
      </c>
      <c r="Z189" s="269" t="str">
        <f>IF(D189="","",IF(T189="","",VLOOKUP(D189,契約台帳!$A$3:$E$4986,5,FALSE)))</f>
        <v/>
      </c>
      <c r="AA189" s="57"/>
      <c r="AB189" s="207" t="str">
        <f>IFERROR((VLOOKUP(F189&amp;K189&amp;M189,製品マスタ!$M$5:$AM$5002,27,FALSE)),"")</f>
        <v/>
      </c>
      <c r="AC189" s="33"/>
      <c r="AD189" s="189"/>
      <c r="AE189" s="54"/>
      <c r="AF189" s="55"/>
      <c r="AG189" s="43"/>
      <c r="AH189" s="47"/>
      <c r="AI189" s="30"/>
      <c r="AJ189" s="30"/>
      <c r="AK189" s="30"/>
      <c r="AL189" s="30"/>
      <c r="AM189" s="13"/>
      <c r="AN189" s="13"/>
      <c r="AO189" s="13"/>
      <c r="AP189" s="13"/>
      <c r="AQ189" s="13"/>
      <c r="AR189" s="14"/>
      <c r="AS189" s="15"/>
    </row>
    <row r="190" spans="1:45" s="17" customFormat="1" ht="30.95" hidden="1" customHeight="1" x14ac:dyDescent="0.2">
      <c r="A190" s="37" t="s">
        <v>848</v>
      </c>
      <c r="B190" s="38" t="s">
        <v>835</v>
      </c>
      <c r="C190" s="45"/>
      <c r="D190" s="31"/>
      <c r="E190" s="31"/>
      <c r="F190" s="268" t="str">
        <f>IF(D190="","",VLOOKUP(D190,契約台帳!$A$3:$K$4986,6,FALSE)&amp;VLOOKUP(D190,契約台帳!$A$3:$K$4986,7,FALSE)&amp;VLOOKUP(D190,契約台帳!$A$3:$K$4986,8,FALSE)&amp;VLOOKUP(D190,契約台帳!$A$3:$K$4986,9,FALSE)&amp;VLOOKUP(D190,契約台帳!$A$3:$K$4986,11,FALSE))</f>
        <v/>
      </c>
      <c r="G190" s="269" t="str">
        <f>IF(D190="","",VLOOKUP(F190,製品マスタ!$G$5:$H$5002,2,FALSE))</f>
        <v/>
      </c>
      <c r="H190" s="269" t="str">
        <f>IF(D190="","",VLOOKUP(F190,製品マスタ!$G$5:$K$5002,5,FALSE))</f>
        <v/>
      </c>
      <c r="I190" s="270" t="str">
        <f>IF(D190="","",VLOOKUP(F190,製品マスタ!$G$5:$L$5002,6,FALSE))</f>
        <v/>
      </c>
      <c r="J190" s="210" t="s">
        <v>836</v>
      </c>
      <c r="K190" s="270" t="str">
        <f>IF(D190="","",VLOOKUP(D190,契約台帳!$A$3:$L$4986,12,FALSE))</f>
        <v/>
      </c>
      <c r="L190" s="270" t="str">
        <f>IF(D190="","",INDEX(製品マスタ!$Q$5:$Q$5002,MATCH('S4'!F190&amp;'S4'!K190,製品マスタ!$AO$5:$AO$5002,0)))</f>
        <v/>
      </c>
      <c r="M190" s="39"/>
      <c r="N190" s="39"/>
      <c r="O190" s="156"/>
      <c r="P190" s="47"/>
      <c r="Q190" s="57"/>
      <c r="R190" s="271" t="str">
        <f ca="1">IF(D190="","",IF(OFFSET(D190,-1,0)&lt;&gt;"","",IF(OR(J190="リード付け",J190="巻足し",J190="巻返しリード付け"),M190,VLOOKUP(D190,契約台帳!$A$3:$N$4986,14,FALSE))))</f>
        <v/>
      </c>
      <c r="S190" s="272" t="str">
        <f ca="1">IF(D190="","",IF(OFFSET(D190,-1,0)&lt;&gt;"","",IF(OR(J190="リード付け",J190="巻足し",J190="巻返しリード付け"),M190,VLOOKUP(D190,契約台帳!$A$3:$O$4986,15,FALSE))))</f>
        <v/>
      </c>
      <c r="T190" s="273" t="str">
        <f ca="1">IF(D190="","",IF(J190="リード付け",N190,IF(J190="巻返しリード付け",N190,IF(J190="巻足し",N190*P190+OFFSET(N190,1,0)*OFFSET(P190,1,0),VLOOKUP(D190,契約台帳!$A$3:$P$4986,16,FALSE)))))</f>
        <v/>
      </c>
      <c r="U190" s="40"/>
      <c r="V190" s="274" t="str">
        <f ca="1">IF(D190="","",IF(OFFSET(D190,-2,0)=D190,"",VLOOKUP(D190,契約台帳!$A$3:$R$4986,18,FALSE)))</f>
        <v/>
      </c>
      <c r="W190" s="269" t="str">
        <f>IF(D190="","",IF(T190="","",IF(OR(J190="巻足し",J190="巻返しリード付け"),"",IF(J190="巻返し",VLOOKUP(F190&amp;K190&amp;M190,製品マスタ!$M$5:$AD$5002,18,FALSE),IF(OR(J190="リード付け",J190="巻返しリード付け"),"原反コア",IF(J190="スリット",VLOOKUP(F190&amp;K190&amp;R190,製品マスタ!$N$5:$AD$5002,17,FALSE),""))))))</f>
        <v/>
      </c>
      <c r="X190" s="269" t="str">
        <f>IF(D190="","",IF(T190="","",IF(J190="巻足し","",IF(J190="巻返し",VLOOKUP(F190&amp;K190&amp;M190,製品マスタ!$M$5:$AE$5002,19,FALSE),IF(OR(J190="リード付け",J190="巻返しリード付け"),"",IF(J190="スリット",VLOOKUP(F190&amp;K190&amp;R190,製品マスタ!$N$5:$AE$5002,18,FALSE),""))))))</f>
        <v/>
      </c>
      <c r="Y190" s="275" t="str">
        <f>IF(D190="","",IF(T190="","",VLOOKUP(D190,契約台帳!$A$3:$Q$4986,17,FALSE)))</f>
        <v/>
      </c>
      <c r="Z190" s="269" t="str">
        <f>IF(D190="","",IF(T190="","",VLOOKUP(D190,契約台帳!$A$3:$E$4986,5,FALSE)))</f>
        <v/>
      </c>
      <c r="AA190" s="57"/>
      <c r="AB190" s="207" t="str">
        <f>IFERROR((VLOOKUP(F190&amp;K190&amp;M190,製品マスタ!$M$5:$AM$5002,27,FALSE)),"")</f>
        <v/>
      </c>
      <c r="AC190" s="33"/>
      <c r="AD190" s="189"/>
      <c r="AE190" s="54"/>
      <c r="AF190" s="55"/>
      <c r="AG190" s="43"/>
      <c r="AH190" s="47"/>
      <c r="AI190" s="30"/>
      <c r="AJ190" s="30"/>
      <c r="AK190" s="30"/>
      <c r="AL190" s="30"/>
      <c r="AM190" s="13"/>
      <c r="AN190" s="13"/>
      <c r="AO190" s="13"/>
      <c r="AP190" s="13"/>
      <c r="AQ190" s="13"/>
      <c r="AR190" s="14"/>
      <c r="AS190" s="15"/>
    </row>
    <row r="191" spans="1:45" s="17" customFormat="1" ht="30.95" hidden="1" customHeight="1" x14ac:dyDescent="0.2">
      <c r="A191" s="37"/>
      <c r="B191" s="38"/>
      <c r="C191" s="45"/>
      <c r="D191" s="31"/>
      <c r="E191" s="31"/>
      <c r="F191" s="268" t="str">
        <f>IF(D191="","",VLOOKUP(D191,契約台帳!$A$3:$K$4986,6,FALSE)&amp;VLOOKUP(D191,契約台帳!$A$3:$K$4986,7,FALSE)&amp;VLOOKUP(D191,契約台帳!$A$3:$K$4986,8,FALSE)&amp;VLOOKUP(D191,契約台帳!$A$3:$K$4986,9,FALSE)&amp;VLOOKUP(D191,契約台帳!$A$3:$K$4986,11,FALSE))</f>
        <v/>
      </c>
      <c r="G191" s="269" t="str">
        <f>IF(D191="","",VLOOKUP(F191,製品マスタ!$G$5:$H$5002,2,FALSE))</f>
        <v/>
      </c>
      <c r="H191" s="269" t="str">
        <f>IF(D191="","",VLOOKUP(F191,製品マスタ!$G$5:$K$5002,5,FALSE))</f>
        <v/>
      </c>
      <c r="I191" s="270" t="str">
        <f>IF(D191="","",VLOOKUP(F191,製品マスタ!$G$5:$L$5002,6,FALSE))</f>
        <v/>
      </c>
      <c r="J191" s="210"/>
      <c r="K191" s="270" t="str">
        <f>IF(D191="","",VLOOKUP(D191,契約台帳!$A$3:$L$4986,12,FALSE))</f>
        <v/>
      </c>
      <c r="L191" s="270" t="str">
        <f>IF(D191="","",INDEX(製品マスタ!$Q$5:$Q$5002,MATCH('S4'!F191&amp;'S4'!K191,製品マスタ!$AO$5:$AO$5002,0)))</f>
        <v/>
      </c>
      <c r="M191" s="39"/>
      <c r="N191" s="39"/>
      <c r="O191" s="156"/>
      <c r="P191" s="47"/>
      <c r="Q191" s="57"/>
      <c r="R191" s="271" t="str">
        <f ca="1">IF(D191="","",IF(OFFSET(D191,-1,0)&lt;&gt;"","",IF(OR(J191="リード付け",J191="巻足し",J191="巻返しリード付け"),M191,VLOOKUP(D191,契約台帳!$A$3:$N$4986,14,FALSE))))</f>
        <v/>
      </c>
      <c r="S191" s="272" t="str">
        <f ca="1">IF(D191="","",IF(OFFSET(D191,-1,0)&lt;&gt;"","",IF(OR(J191="リード付け",J191="巻足し",J191="巻返しリード付け"),M191,VLOOKUP(D191,契約台帳!$A$3:$O$4986,15,FALSE))))</f>
        <v/>
      </c>
      <c r="T191" s="273" t="str">
        <f ca="1">IF(D191="","",IF(J191="リード付け",N191,IF(J191="巻返しリード付け",N191,IF(J191="巻足し",N191*P191+OFFSET(N191,1,0)*OFFSET(P191,1,0),VLOOKUP(D191,契約台帳!$A$3:$P$4986,16,FALSE)))))</f>
        <v/>
      </c>
      <c r="U191" s="40"/>
      <c r="V191" s="274" t="str">
        <f ca="1">IF(D191="","",IF(OFFSET(D191,-2,0)=D191,"",VLOOKUP(D191,契約台帳!$A$3:$R$4986,18,FALSE)))</f>
        <v/>
      </c>
      <c r="W191" s="269" t="str">
        <f>IF(D191="","",IF(T191="","",IF(OR(J191="巻足し",J191="巻返しリード付け"),"",IF(J191="巻返し",VLOOKUP(F191&amp;K191&amp;M191,製品マスタ!$M$5:$AD$5002,18,FALSE),IF(OR(J191="リード付け",J191="巻返しリード付け"),"原反コア",IF(J191="スリット",VLOOKUP(F191&amp;K191&amp;R191,製品マスタ!$N$5:$AD$5002,17,FALSE),""))))))</f>
        <v/>
      </c>
      <c r="X191" s="269" t="str">
        <f>IF(D191="","",IF(T191="","",IF(J191="巻足し","",IF(J191="巻返し",VLOOKUP(F191&amp;K191&amp;M191,製品マスタ!$M$5:$AE$5002,19,FALSE),IF(OR(J191="リード付け",J191="巻返しリード付け"),"",IF(J191="スリット",VLOOKUP(F191&amp;K191&amp;R191,製品マスタ!$N$5:$AE$5002,18,FALSE),""))))))</f>
        <v/>
      </c>
      <c r="Y191" s="275" t="str">
        <f>IF(D191="","",IF(T191="","",VLOOKUP(D191,契約台帳!$A$3:$Q$4986,17,FALSE)))</f>
        <v/>
      </c>
      <c r="Z191" s="269" t="str">
        <f>IF(D191="","",IF(T191="","",VLOOKUP(D191,契約台帳!$A$3:$E$4986,5,FALSE)))</f>
        <v/>
      </c>
      <c r="AA191" s="57"/>
      <c r="AB191" s="207" t="str">
        <f>IFERROR((VLOOKUP(F191&amp;K191&amp;M191,製品マスタ!$M$5:$AM$5002,27,FALSE)),"")</f>
        <v/>
      </c>
      <c r="AC191" s="33"/>
      <c r="AD191" s="189"/>
      <c r="AE191" s="54"/>
      <c r="AF191" s="55"/>
      <c r="AG191" s="43"/>
      <c r="AH191" s="47"/>
      <c r="AI191" s="30"/>
      <c r="AJ191" s="30"/>
      <c r="AK191" s="30"/>
      <c r="AL191" s="30"/>
      <c r="AM191" s="13"/>
      <c r="AN191" s="13"/>
      <c r="AO191" s="13"/>
      <c r="AP191" s="13"/>
      <c r="AQ191" s="13"/>
      <c r="AR191" s="14"/>
      <c r="AS191" s="15"/>
    </row>
    <row r="192" spans="1:45" s="17" customFormat="1" ht="30.95" hidden="1" customHeight="1" x14ac:dyDescent="0.2">
      <c r="A192" s="37" t="s">
        <v>849</v>
      </c>
      <c r="B192" s="38" t="s">
        <v>838</v>
      </c>
      <c r="C192" s="45"/>
      <c r="D192" s="31">
        <v>3697659</v>
      </c>
      <c r="E192" s="31">
        <v>4161801</v>
      </c>
      <c r="F192" s="268" t="str">
        <f>IF(D192="","",VLOOKUP(D192,契約台帳!$A$3:$K$4986,6,FALSE)&amp;VLOOKUP(D192,契約台帳!$A$3:$K$4986,7,FALSE)&amp;VLOOKUP(D192,契約台帳!$A$3:$K$4986,8,FALSE)&amp;VLOOKUP(D192,契約台帳!$A$3:$K$4986,9,FALSE)&amp;VLOOKUP(D192,契約台帳!$A$3:$K$4986,11,FALSE))</f>
        <v>3SNMLBMNGKBF</v>
      </c>
      <c r="G192" s="269" t="str">
        <f>IF(D192="","",VLOOKUP(F192,製品マスタ!$G$5:$H$5002,2,FALSE))</f>
        <v>S</v>
      </c>
      <c r="H192" s="269" t="str">
        <f>IF(D192="","",VLOOKUP(F192,製品マスタ!$G$5:$K$5002,5,FALSE))</f>
        <v>MNGKBF</v>
      </c>
      <c r="I192" s="270" t="str">
        <f>IF(D192="","",VLOOKUP(F192,製品マスタ!$G$5:$L$5002,6,FALSE))</f>
        <v>メタルミー　ネーマー銀消　Ｂ</v>
      </c>
      <c r="J192" s="210" t="s">
        <v>574</v>
      </c>
      <c r="K192" s="270">
        <f>IF(D192="","",VLOOKUP(D192,契約台帳!$A$3:$L$4986,12,FALSE))</f>
        <v>50</v>
      </c>
      <c r="L192" s="270" t="str">
        <f>IF(D192="","",INDEX(製品マスタ!$Q$5:$Q$5002,MATCH('S4'!F192&amp;'S4'!K192,製品マスタ!$AO$5:$AO$5002,0)))</f>
        <v>MAT</v>
      </c>
      <c r="M192" s="39">
        <v>1170</v>
      </c>
      <c r="N192" s="39">
        <v>4000</v>
      </c>
      <c r="O192" s="156">
        <v>1</v>
      </c>
      <c r="P192" s="47">
        <v>1</v>
      </c>
      <c r="Q192" s="213">
        <v>44960</v>
      </c>
      <c r="R192" s="271">
        <f ca="1">IF(D192="","",IF(OFFSET(D192,-1,0)&lt;&gt;"","",IF(OR(J192="リード付け",J192="巻足し",J192="巻返しリード付け"),M192,VLOOKUP(D192,契約台帳!$A$3:$N$4986,14,FALSE))))</f>
        <v>1170</v>
      </c>
      <c r="S192" s="272">
        <f ca="1">IF(D192="","",IF(OFFSET(D192,-1,0)&lt;&gt;"","",IF(OR(J192="リード付け",J192="巻足し",J192="巻返しリード付け"),M192,VLOOKUP(D192,契約台帳!$A$3:$O$4986,15,FALSE))))</f>
        <v>1170</v>
      </c>
      <c r="T192" s="273">
        <f ca="1">IF(D192="","",IF(J192="リード付け",N192,IF(J192="巻返しリード付け",N192,IF(J192="巻足し",N192*P192+OFFSET(N192,1,0)*OFFSET(P192,1,0),VLOOKUP(D192,契約台帳!$A$3:$P$4986,16,FALSE)))))</f>
        <v>4000</v>
      </c>
      <c r="U192" s="40">
        <v>1</v>
      </c>
      <c r="V192" s="274">
        <f ca="1">IF(D192="","",IF(OFFSET(D192,-2,0)=D192,"",VLOOKUP(D192,契約台帳!$A$3:$R$4986,18,FALSE)))</f>
        <v>1</v>
      </c>
      <c r="W192" s="269" t="str">
        <f ca="1">IF(D192="","",IF(T192="","",IF(OR(J192="巻足し",J192="巻返しリード付け"),"",IF(J192="巻返し",VLOOKUP(F192&amp;K192&amp;M192,製品マスタ!$M$5:$AD$5002,18,FALSE),IF(OR(J192="リード付け",J192="巻返しリード付け"),"原反コア",IF(J192="スリット",VLOOKUP(F192&amp;K192&amp;R192,製品マスタ!$N$5:$AD$5002,17,FALSE),""))))))</f>
        <v/>
      </c>
      <c r="X192" s="269" t="str">
        <f ca="1">IF(D192="","",IF(T192="","",IF(J192="巻足し","",IF(J192="巻返し",VLOOKUP(F192&amp;K192&amp;M192,製品マスタ!$M$5:$AE$5002,19,FALSE),IF(OR(J192="リード付け",J192="巻返しリード付け"),"",IF(J192="スリット",VLOOKUP(F192&amp;K192&amp;R192,製品マスタ!$N$5:$AE$5002,18,FALSE),""))))))</f>
        <v/>
      </c>
      <c r="Y192" s="275">
        <f ca="1">IF(D192="","",IF(T192="","",VLOOKUP(D192,契約台帳!$A$3:$Q$4986,17,FALSE)))</f>
        <v>2</v>
      </c>
      <c r="Z192" s="269" t="str">
        <f ca="1">IF(D192="","",IF(T192="","",VLOOKUP(D192,契約台帳!$A$3:$E$4986,5,FALSE)))</f>
        <v>リンテック㈱</v>
      </c>
      <c r="AA192" s="57"/>
      <c r="AB192" s="207">
        <f>IFERROR((VLOOKUP(F192&amp;K192&amp;M192,製品マスタ!$M$5:$AM$5002,27,FALSE)),"")</f>
        <v>0</v>
      </c>
      <c r="AC192" s="33"/>
      <c r="AD192" s="189"/>
      <c r="AE192" s="54"/>
      <c r="AF192" s="55"/>
      <c r="AG192" s="43"/>
      <c r="AH192" s="47"/>
      <c r="AI192" s="30"/>
      <c r="AJ192" s="30"/>
      <c r="AK192" s="30"/>
      <c r="AL192" s="30"/>
      <c r="AM192" s="13"/>
      <c r="AN192" s="13"/>
      <c r="AO192" s="13"/>
      <c r="AP192" s="13"/>
      <c r="AQ192" s="13"/>
      <c r="AR192" s="14"/>
      <c r="AS192" s="15"/>
    </row>
    <row r="193" spans="1:45" s="17" customFormat="1" ht="30.95" hidden="1" customHeight="1" x14ac:dyDescent="0.2">
      <c r="A193" s="37"/>
      <c r="B193" s="38"/>
      <c r="C193" s="45"/>
      <c r="D193" s="31"/>
      <c r="E193" s="31"/>
      <c r="F193" s="268" t="str">
        <f>IF(D193="","",VLOOKUP(D193,契約台帳!$A$3:$K$4986,6,FALSE)&amp;VLOOKUP(D193,契約台帳!$A$3:$K$4986,7,FALSE)&amp;VLOOKUP(D193,契約台帳!$A$3:$K$4986,8,FALSE)&amp;VLOOKUP(D193,契約台帳!$A$3:$K$4986,9,FALSE)&amp;VLOOKUP(D193,契約台帳!$A$3:$K$4986,11,FALSE))</f>
        <v/>
      </c>
      <c r="G193" s="269" t="str">
        <f>IF(D193="","",VLOOKUP(F193,製品マスタ!$G$5:$H$5002,2,FALSE))</f>
        <v/>
      </c>
      <c r="H193" s="269" t="str">
        <f>IF(D193="","",VLOOKUP(F193,製品マスタ!$G$5:$K$5002,5,FALSE))</f>
        <v/>
      </c>
      <c r="I193" s="270" t="str">
        <f>IF(D193="","",VLOOKUP(F193,製品マスタ!$G$5:$L$5002,6,FALSE))</f>
        <v/>
      </c>
      <c r="J193" s="210"/>
      <c r="K193" s="270" t="str">
        <f>IF(D193="","",VLOOKUP(D193,契約台帳!$A$3:$L$4986,12,FALSE))</f>
        <v/>
      </c>
      <c r="L193" s="270" t="str">
        <f>IF(D193="","",INDEX(製品マスタ!$Q$5:$Q$5002,MATCH('S4'!F193&amp;'S4'!K193,製品マスタ!$AO$5:$AO$5002,0)))</f>
        <v/>
      </c>
      <c r="M193" s="39"/>
      <c r="N193" s="39"/>
      <c r="O193" s="156"/>
      <c r="P193" s="47"/>
      <c r="Q193" s="57"/>
      <c r="R193" s="271" t="str">
        <f ca="1">IF(D193="","",IF(OFFSET(D193,-1,0)&lt;&gt;"","",IF(OR(J193="リード付け",J193="巻足し",J193="巻返しリード付け"),M193,VLOOKUP(D193,契約台帳!$A$3:$N$4986,14,FALSE))))</f>
        <v/>
      </c>
      <c r="S193" s="272" t="str">
        <f ca="1">IF(D193="","",IF(OFFSET(D193,-1,0)&lt;&gt;"","",IF(OR(J193="リード付け",J193="巻足し",J193="巻返しリード付け"),M193,VLOOKUP(D193,契約台帳!$A$3:$O$4986,15,FALSE))))</f>
        <v/>
      </c>
      <c r="T193" s="273" t="str">
        <f ca="1">IF(D193="","",IF(J193="リード付け",N193,IF(J193="巻返しリード付け",N193,IF(J193="巻足し",N193*P193+OFFSET(N193,1,0)*OFFSET(P193,1,0),VLOOKUP(D193,契約台帳!$A$3:$P$4986,16,FALSE)))))</f>
        <v/>
      </c>
      <c r="U193" s="40"/>
      <c r="V193" s="274" t="str">
        <f ca="1">IF(D193="","",IF(OFFSET(D193,-2,0)=D193,"",VLOOKUP(D193,契約台帳!$A$3:$R$4986,18,FALSE)))</f>
        <v/>
      </c>
      <c r="W193" s="269" t="str">
        <f>IF(D193="","",IF(T193="","",IF(OR(J193="巻足し",J193="巻返しリード付け"),"",IF(J193="巻返し",VLOOKUP(F193&amp;K193&amp;M193,製品マスタ!$M$5:$AD$5002,18,FALSE),IF(OR(J193="リード付け",J193="巻返しリード付け"),"原反コア",IF(J193="スリット",VLOOKUP(F193&amp;K193&amp;R193,製品マスタ!$N$5:$AD$5002,17,FALSE),""))))))</f>
        <v/>
      </c>
      <c r="X193" s="269" t="str">
        <f>IF(D193="","",IF(T193="","",IF(J193="巻足し","",IF(J193="巻返し",VLOOKUP(F193&amp;K193&amp;M193,製品マスタ!$M$5:$AE$5002,19,FALSE),IF(OR(J193="リード付け",J193="巻返しリード付け"),"",IF(J193="スリット",VLOOKUP(F193&amp;K193&amp;R193,製品マスタ!$N$5:$AE$5002,18,FALSE),""))))))</f>
        <v/>
      </c>
      <c r="Y193" s="275" t="str">
        <f>IF(D193="","",IF(T193="","",VLOOKUP(D193,契約台帳!$A$3:$Q$4986,17,FALSE)))</f>
        <v/>
      </c>
      <c r="Z193" s="269" t="str">
        <f>IF(D193="","",IF(T193="","",VLOOKUP(D193,契約台帳!$A$3:$E$4986,5,FALSE)))</f>
        <v/>
      </c>
      <c r="AA193" s="57"/>
      <c r="AB193" s="207" t="str">
        <f>IFERROR((VLOOKUP(F193&amp;K193&amp;M193,製品マスタ!$M$5:$AM$5002,27,FALSE)),"")</f>
        <v/>
      </c>
      <c r="AC193" s="33"/>
      <c r="AD193" s="189"/>
      <c r="AE193" s="54"/>
      <c r="AF193" s="55"/>
      <c r="AG193" s="43"/>
      <c r="AH193" s="47"/>
      <c r="AI193" s="30"/>
      <c r="AJ193" s="30"/>
      <c r="AK193" s="30"/>
      <c r="AL193" s="30"/>
      <c r="AM193" s="13"/>
      <c r="AN193" s="13"/>
      <c r="AO193" s="13"/>
      <c r="AP193" s="13"/>
      <c r="AQ193" s="13"/>
      <c r="AR193" s="14"/>
      <c r="AS193" s="15"/>
    </row>
    <row r="194" spans="1:45" s="17" customFormat="1" ht="30.95" hidden="1" customHeight="1" x14ac:dyDescent="0.2">
      <c r="A194" s="37"/>
      <c r="B194" s="38"/>
      <c r="C194" s="45"/>
      <c r="D194" s="31">
        <v>3697657</v>
      </c>
      <c r="E194" s="31">
        <v>4161802</v>
      </c>
      <c r="F194" s="268" t="str">
        <f>IF(D194="","",VLOOKUP(D194,契約台帳!$A$3:$K$4986,6,FALSE)&amp;VLOOKUP(D194,契約台帳!$A$3:$K$4986,7,FALSE)&amp;VLOOKUP(D194,契約台帳!$A$3:$K$4986,8,FALSE)&amp;VLOOKUP(D194,契約台帳!$A$3:$K$4986,9,FALSE)&amp;VLOOKUP(D194,契約台帳!$A$3:$K$4986,11,FALSE))</f>
        <v>3SYMLBMNGKKBF</v>
      </c>
      <c r="G194" s="269" t="str">
        <f>IF(D194="","",VLOOKUP(F194,製品マスタ!$G$5:$H$5002,2,FALSE))</f>
        <v>S</v>
      </c>
      <c r="H194" s="269" t="str">
        <f>IF(D194="","",VLOOKUP(F194,製品マスタ!$G$5:$K$5002,5,FALSE))</f>
        <v>MNGKKBF</v>
      </c>
      <c r="I194" s="270" t="str">
        <f>IF(D194="","",VLOOKUP(F194,製品マスタ!$G$5:$L$5002,6,FALSE))</f>
        <v>メタルミー　ネーマー銀消改　Ｂ</v>
      </c>
      <c r="J194" s="210" t="s">
        <v>469</v>
      </c>
      <c r="K194" s="270">
        <f>IF(D194="","",VLOOKUP(D194,契約台帳!$A$3:$L$4986,12,FALSE))</f>
        <v>25</v>
      </c>
      <c r="L194" s="270" t="str">
        <f>IF(D194="","",INDEX(製品マスタ!$Q$5:$Q$5002,MATCH('S4'!F194&amp;'S4'!K194,製品マスタ!$AO$5:$AO$5002,0)))</f>
        <v>FMATS99</v>
      </c>
      <c r="M194" s="39">
        <v>1120</v>
      </c>
      <c r="N194" s="39">
        <v>4000</v>
      </c>
      <c r="O194" s="156">
        <v>4</v>
      </c>
      <c r="P194" s="47">
        <v>2</v>
      </c>
      <c r="Q194" s="213">
        <v>44956</v>
      </c>
      <c r="R194" s="271">
        <f ca="1">IF(D194="","",IF(OFFSET(D194,-1,0)&lt;&gt;"","",IF(OR(J194="リード付け",J194="巻足し",J194="巻返しリード付け"),M194,VLOOKUP(D194,契約台帳!$A$3:$N$4986,14,FALSE))))</f>
        <v>1120</v>
      </c>
      <c r="S194" s="272">
        <f ca="1">IF(D194="","",IF(OFFSET(D194,-1,0)&lt;&gt;"","",IF(OR(J194="リード付け",J194="巻足し",J194="巻返しリード付け"),M194,VLOOKUP(D194,契約台帳!$A$3:$O$4986,15,FALSE))))</f>
        <v>1120</v>
      </c>
      <c r="T194" s="273">
        <f ca="1">IF(D194="","",IF(J194="リード付け",N194,IF(J194="巻返しリード付け",N194,IF(J194="巻足し",N194*P194+OFFSET(N194,1,0)*OFFSET(P194,1,0),VLOOKUP(D194,契約台帳!$A$3:$P$4986,16,FALSE)))))</f>
        <v>8000</v>
      </c>
      <c r="U194" s="40">
        <v>2</v>
      </c>
      <c r="V194" s="274">
        <f ca="1">IF(D194="","",IF(OFFSET(D194,-2,0)=D194,"",VLOOKUP(D194,契約台帳!$A$3:$R$4986,18,FALSE)))</f>
        <v>4</v>
      </c>
      <c r="W194" s="269" t="str">
        <f ca="1">IF(D194="","",IF(T194="","",IF(OR(J194="巻足し",J194="巻返しリード付け"),"",IF(J194="巻返し",VLOOKUP(F194&amp;K194&amp;M194,製品マスタ!$M$5:$AD$5002,18,FALSE),IF(OR(J194="リード付け",J194="巻返しリード付け"),"原反コア",IF(J194="スリット",VLOOKUP(F194&amp;K194&amp;R194,製品マスタ!$N$5:$AD$5002,17,FALSE),""))))))</f>
        <v/>
      </c>
      <c r="X194" s="269" t="str">
        <f ca="1">IF(D194="","",IF(T194="","",IF(J194="巻足し","",IF(J194="巻返し",VLOOKUP(F194&amp;K194&amp;M194,製品マスタ!$M$5:$AE$5002,19,FALSE),IF(OR(J194="リード付け",J194="巻返しリード付け"),"",IF(J194="スリット",VLOOKUP(F194&amp;K194&amp;R194,製品マスタ!$N$5:$AE$5002,18,FALSE),""))))))</f>
        <v/>
      </c>
      <c r="Y194" s="275">
        <f ca="1">IF(D194="","",IF(T194="","",VLOOKUP(D194,契約台帳!$A$3:$Q$4986,17,FALSE)))</f>
        <v>2</v>
      </c>
      <c r="Z194" s="269" t="str">
        <f ca="1">IF(D194="","",IF(T194="","",VLOOKUP(D194,契約台帳!$A$3:$E$4986,5,FALSE)))</f>
        <v>リンテック㈱</v>
      </c>
      <c r="AA194" s="57"/>
      <c r="AB194" s="207">
        <f>IFERROR((VLOOKUP(F194&amp;K194&amp;M194,製品マスタ!$M$5:$AM$5002,27,FALSE)),"")</f>
        <v>0</v>
      </c>
      <c r="AC194" s="33"/>
      <c r="AD194" s="189"/>
      <c r="AE194" s="54"/>
      <c r="AF194" s="55"/>
      <c r="AG194" s="43"/>
      <c r="AH194" s="47"/>
      <c r="AI194" s="30"/>
      <c r="AJ194" s="30"/>
      <c r="AK194" s="30"/>
      <c r="AL194" s="30"/>
      <c r="AM194" s="13"/>
      <c r="AN194" s="13"/>
      <c r="AO194" s="13"/>
      <c r="AP194" s="13"/>
      <c r="AQ194" s="13"/>
      <c r="AR194" s="14"/>
      <c r="AS194" s="15"/>
    </row>
    <row r="195" spans="1:45" s="17" customFormat="1" ht="30.95" hidden="1" customHeight="1" x14ac:dyDescent="0.2">
      <c r="A195" s="37"/>
      <c r="B195" s="38"/>
      <c r="C195" s="45"/>
      <c r="D195" s="31"/>
      <c r="E195" s="31"/>
      <c r="F195" s="268" t="str">
        <f>IF(D195="","",VLOOKUP(D195,契約台帳!$A$3:$K$4986,6,FALSE)&amp;VLOOKUP(D195,契約台帳!$A$3:$K$4986,7,FALSE)&amp;VLOOKUP(D195,契約台帳!$A$3:$K$4986,8,FALSE)&amp;VLOOKUP(D195,契約台帳!$A$3:$K$4986,9,FALSE)&amp;VLOOKUP(D195,契約台帳!$A$3:$K$4986,11,FALSE))</f>
        <v/>
      </c>
      <c r="G195" s="269" t="str">
        <f>IF(D195="","",VLOOKUP(F195,製品マスタ!$G$5:$H$5002,2,FALSE))</f>
        <v/>
      </c>
      <c r="H195" s="269" t="str">
        <f>IF(D195="","",VLOOKUP(F195,製品マスタ!$G$5:$K$5002,5,FALSE))</f>
        <v/>
      </c>
      <c r="I195" s="270" t="str">
        <f>IF(D195="","",VLOOKUP(F195,製品マスタ!$G$5:$L$5002,6,FALSE))</f>
        <v/>
      </c>
      <c r="J195" s="210"/>
      <c r="K195" s="270" t="str">
        <f>IF(D195="","",VLOOKUP(D195,契約台帳!$A$3:$L$4986,12,FALSE))</f>
        <v/>
      </c>
      <c r="L195" s="270" t="str">
        <f>IF(D195="","",INDEX(製品マスタ!$Q$5:$Q$5002,MATCH('S4'!F195&amp;'S4'!K195,製品マスタ!$AO$5:$AO$5002,0)))</f>
        <v/>
      </c>
      <c r="M195" s="39"/>
      <c r="N195" s="39"/>
      <c r="O195" s="156"/>
      <c r="P195" s="47"/>
      <c r="Q195" s="57"/>
      <c r="R195" s="271" t="str">
        <f ca="1">IF(D195="","",IF(OFFSET(D195,-1,0)&lt;&gt;"","",IF(OR(J195="リード付け",J195="巻足し",J195="巻返しリード付け"),M195,VLOOKUP(D195,契約台帳!$A$3:$N$4986,14,FALSE))))</f>
        <v/>
      </c>
      <c r="S195" s="272" t="str">
        <f ca="1">IF(D195="","",IF(OFFSET(D195,-1,0)&lt;&gt;"","",IF(OR(J195="リード付け",J195="巻足し",J195="巻返しリード付け"),M195,VLOOKUP(D195,契約台帳!$A$3:$O$4986,15,FALSE))))</f>
        <v/>
      </c>
      <c r="T195" s="273" t="str">
        <f ca="1">IF(D195="","",IF(J195="リード付け",N195,IF(J195="巻返しリード付け",N195,IF(J195="巻足し",N195*P195+OFFSET(N195,1,0)*OFFSET(P195,1,0),VLOOKUP(D195,契約台帳!$A$3:$P$4986,16,FALSE)))))</f>
        <v/>
      </c>
      <c r="U195" s="40"/>
      <c r="V195" s="274" t="str">
        <f ca="1">IF(D195="","",IF(OFFSET(D195,-2,0)=D195,"",VLOOKUP(D195,契約台帳!$A$3:$R$4986,18,FALSE)))</f>
        <v/>
      </c>
      <c r="W195" s="269" t="str">
        <f>IF(D195="","",IF(T195="","",IF(OR(J195="巻足し",J195="巻返しリード付け"),"",IF(J195="巻返し",VLOOKUP(F195&amp;K195&amp;M195,製品マスタ!$M$5:$AD$5002,18,FALSE),IF(OR(J195="リード付け",J195="巻返しリード付け"),"原反コア",IF(J195="スリット",VLOOKUP(F195&amp;K195&amp;R195,製品マスタ!$N$5:$AD$5002,17,FALSE),""))))))</f>
        <v/>
      </c>
      <c r="X195" s="269" t="str">
        <f>IF(D195="","",IF(T195="","",IF(J195="巻足し","",IF(J195="巻返し",VLOOKUP(F195&amp;K195&amp;M195,製品マスタ!$M$5:$AE$5002,19,FALSE),IF(OR(J195="リード付け",J195="巻返しリード付け"),"",IF(J195="スリット",VLOOKUP(F195&amp;K195&amp;R195,製品マスタ!$N$5:$AE$5002,18,FALSE),""))))))</f>
        <v/>
      </c>
      <c r="Y195" s="275" t="str">
        <f>IF(D195="","",IF(T195="","",VLOOKUP(D195,契約台帳!$A$3:$Q$4986,17,FALSE)))</f>
        <v/>
      </c>
      <c r="Z195" s="269" t="str">
        <f>IF(D195="","",IF(T195="","",VLOOKUP(D195,契約台帳!$A$3:$E$4986,5,FALSE)))</f>
        <v/>
      </c>
      <c r="AA195" s="57"/>
      <c r="AB195" s="207" t="str">
        <f>IFERROR((VLOOKUP(F195&amp;K195&amp;M195,製品マスタ!$M$5:$AM$5002,27,FALSE)),"")</f>
        <v/>
      </c>
      <c r="AC195" s="33"/>
      <c r="AD195" s="189"/>
      <c r="AE195" s="54"/>
      <c r="AF195" s="55"/>
      <c r="AG195" s="43"/>
      <c r="AH195" s="47"/>
      <c r="AI195" s="30"/>
      <c r="AJ195" s="30"/>
      <c r="AK195" s="30"/>
      <c r="AL195" s="30"/>
      <c r="AM195" s="13"/>
      <c r="AN195" s="13"/>
      <c r="AO195" s="13"/>
      <c r="AP195" s="13"/>
      <c r="AQ195" s="13"/>
      <c r="AR195" s="14"/>
      <c r="AS195" s="15"/>
    </row>
    <row r="196" spans="1:45" s="17" customFormat="1" ht="30.95" hidden="1" customHeight="1" x14ac:dyDescent="0.2">
      <c r="A196" s="37"/>
      <c r="B196" s="38"/>
      <c r="C196" s="45"/>
      <c r="D196" s="31">
        <v>3697683</v>
      </c>
      <c r="E196" s="31">
        <v>4161814</v>
      </c>
      <c r="F196" s="268" t="str">
        <f>IF(D196="","",VLOOKUP(D196,契約台帳!$A$3:$K$4986,6,FALSE)&amp;VLOOKUP(D196,契約台帳!$A$3:$K$4986,7,FALSE)&amp;VLOOKUP(D196,契約台帳!$A$3:$K$4986,8,FALSE)&amp;VLOOKUP(D196,契約台帳!$A$3:$K$4986,9,FALSE)&amp;VLOOKUP(D196,契約台帳!$A$3:$K$4986,11,FALSE))</f>
        <v>3SYMLBMSNMBF</v>
      </c>
      <c r="G196" s="269" t="str">
        <f>IF(D196="","",VLOOKUP(F196,製品マスタ!$G$5:$H$5002,2,FALSE))</f>
        <v>S</v>
      </c>
      <c r="H196" s="269" t="str">
        <f>IF(D196="","",VLOOKUP(F196,製品マスタ!$G$5:$K$5002,5,FALSE))</f>
        <v>MSNMBF</v>
      </c>
      <c r="I196" s="270" t="str">
        <f>IF(D196="","",VLOOKUP(F196,製品マスタ!$G$5:$L$5002,6,FALSE))</f>
        <v>ＭＥＴＡＬＵＭＹ　ＳＩＬＶＥＲ　Ｎ－ＭＡＴＴＥ　Ｘ４４Ｍ　Ｂ</v>
      </c>
      <c r="J196" s="210" t="s">
        <v>832</v>
      </c>
      <c r="K196" s="270">
        <f>IF(D196="","",VLOOKUP(D196,契約台帳!$A$3:$L$4986,12,FALSE))</f>
        <v>50</v>
      </c>
      <c r="L196" s="270" t="str">
        <f>IF(D196="","",INDEX(製品マスタ!$Q$5:$Q$5002,MATCH('S4'!F196&amp;'S4'!K196,製品マスタ!$AO$5:$AO$5002,0)))</f>
        <v>X44</v>
      </c>
      <c r="M196" s="39">
        <v>1120</v>
      </c>
      <c r="N196" s="39">
        <v>4000</v>
      </c>
      <c r="O196" s="156">
        <v>3</v>
      </c>
      <c r="P196" s="47">
        <v>3</v>
      </c>
      <c r="Q196" s="213">
        <v>44958</v>
      </c>
      <c r="R196" s="271">
        <f ca="1">IF(D196="","",IF(OFFSET(D196,-1,0)&lt;&gt;"","",IF(OR(J196="リード付け",J196="巻足し",J196="巻返しリード付け"),M196,VLOOKUP(D196,契約台帳!$A$3:$N$4986,14,FALSE))))</f>
        <v>1120</v>
      </c>
      <c r="S196" s="272">
        <f ca="1">IF(D196="","",IF(OFFSET(D196,-1,0)&lt;&gt;"","",IF(OR(J196="リード付け",J196="巻足し",J196="巻返しリード付け"),M196,VLOOKUP(D196,契約台帳!$A$3:$O$4986,15,FALSE))))</f>
        <v>1120</v>
      </c>
      <c r="T196" s="273">
        <f ca="1">IF(D196="","",IF(J196="リード付け",N196,IF(J196="巻返しリード付け",N196,IF(J196="巻足し",N196*P196+OFFSET(N196,1,0)*OFFSET(P196,1,0),VLOOKUP(D196,契約台帳!$A$3:$P$4986,16,FALSE)))))</f>
        <v>12000</v>
      </c>
      <c r="U196" s="40">
        <v>1</v>
      </c>
      <c r="V196" s="274">
        <f ca="1">IF(D196="","",IF(OFFSET(D196,-2,0)=D196,"",VLOOKUP(D196,契約台帳!$A$3:$R$4986,18,FALSE)))</f>
        <v>4</v>
      </c>
      <c r="W196" s="269" t="str">
        <f ca="1">IF(D196="","",IF(T196="","",IF(OR(J196="巻足し",J196="巻返しリード付け"),"",IF(J196="巻返し",VLOOKUP(F196&amp;K196&amp;M196,製品マスタ!$M$5:$AD$5002,18,FALSE),IF(OR(J196="リード付け",J196="巻返しリード付け"),"原反コア",IF(J196="スリット",VLOOKUP(F196&amp;K196&amp;R196,製品マスタ!$N$5:$AD$5002,17,FALSE),""))))))</f>
        <v/>
      </c>
      <c r="X196" s="269" t="str">
        <f ca="1">IF(D196="","",IF(T196="","",IF(J196="巻足し","",IF(J196="巻返し",VLOOKUP(F196&amp;K196&amp;M196,製品マスタ!$M$5:$AE$5002,19,FALSE),IF(OR(J196="リード付け",J196="巻返しリード付け"),"",IF(J196="スリット",VLOOKUP(F196&amp;K196&amp;R196,製品マスタ!$N$5:$AE$5002,18,FALSE),""))))))</f>
        <v/>
      </c>
      <c r="Y196" s="275">
        <f ca="1">IF(D196="","",IF(T196="","",VLOOKUP(D196,契約台帳!$A$3:$Q$4986,17,FALSE)))</f>
        <v>2</v>
      </c>
      <c r="Z196" s="269" t="str">
        <f ca="1">IF(D196="","",IF(T196="","",VLOOKUP(D196,契約台帳!$A$3:$E$4986,5,FALSE)))</f>
        <v>リンテック㈱</v>
      </c>
      <c r="AA196" s="57"/>
      <c r="AB196" s="207">
        <f>IFERROR((VLOOKUP(F196&amp;K196&amp;M196,製品マスタ!$M$5:$AM$5002,27,FALSE)),"")</f>
        <v>0</v>
      </c>
      <c r="AC196" s="33"/>
      <c r="AD196" s="189"/>
      <c r="AE196" s="54"/>
      <c r="AF196" s="55"/>
      <c r="AG196" s="43"/>
      <c r="AH196" s="47"/>
      <c r="AI196" s="30"/>
      <c r="AJ196" s="30"/>
      <c r="AK196" s="30"/>
      <c r="AL196" s="30"/>
      <c r="AM196" s="13"/>
      <c r="AN196" s="13"/>
      <c r="AO196" s="13"/>
      <c r="AP196" s="13"/>
      <c r="AQ196" s="13"/>
      <c r="AR196" s="14"/>
      <c r="AS196" s="15"/>
    </row>
    <row r="197" spans="1:45" s="17" customFormat="1" ht="30.95" hidden="1" customHeight="1" x14ac:dyDescent="0.2">
      <c r="A197" s="37"/>
      <c r="B197" s="38"/>
      <c r="C197" s="45"/>
      <c r="D197" s="31"/>
      <c r="E197" s="31"/>
      <c r="F197" s="268" t="str">
        <f>IF(D197="","",VLOOKUP(D197,契約台帳!$A$3:$K$4986,6,FALSE)&amp;VLOOKUP(D197,契約台帳!$A$3:$K$4986,7,FALSE)&amp;VLOOKUP(D197,契約台帳!$A$3:$K$4986,8,FALSE)&amp;VLOOKUP(D197,契約台帳!$A$3:$K$4986,9,FALSE)&amp;VLOOKUP(D197,契約台帳!$A$3:$K$4986,11,FALSE))</f>
        <v/>
      </c>
      <c r="G197" s="269" t="str">
        <f>IF(D197="","",VLOOKUP(F197,製品マスタ!$G$5:$H$5002,2,FALSE))</f>
        <v/>
      </c>
      <c r="H197" s="269" t="str">
        <f>IF(D197="","",VLOOKUP(F197,製品マスタ!$G$5:$K$5002,5,FALSE))</f>
        <v/>
      </c>
      <c r="I197" s="270" t="str">
        <f>IF(D197="","",VLOOKUP(F197,製品マスタ!$G$5:$L$5002,6,FALSE))</f>
        <v/>
      </c>
      <c r="J197" s="210"/>
      <c r="K197" s="270" t="str">
        <f>IF(D197="","",VLOOKUP(D197,契約台帳!$A$3:$L$4986,12,FALSE))</f>
        <v/>
      </c>
      <c r="L197" s="270" t="str">
        <f>IF(D197="","",INDEX(製品マスタ!$Q$5:$Q$5002,MATCH('S4'!F197&amp;'S4'!K197,製品マスタ!$AO$5:$AO$5002,0)))</f>
        <v/>
      </c>
      <c r="M197" s="39"/>
      <c r="N197" s="39"/>
      <c r="O197" s="156"/>
      <c r="P197" s="47"/>
      <c r="Q197" s="57"/>
      <c r="R197" s="271" t="str">
        <f ca="1">IF(D197="","",IF(OFFSET(D197,-1,0)&lt;&gt;"","",IF(OR(J197="リード付け",J197="巻足し",J197="巻返しリード付け"),M197,VLOOKUP(D197,契約台帳!$A$3:$N$4986,14,FALSE))))</f>
        <v/>
      </c>
      <c r="S197" s="272" t="str">
        <f ca="1">IF(D197="","",IF(OFFSET(D197,-1,0)&lt;&gt;"","",IF(OR(J197="リード付け",J197="巻足し",J197="巻返しリード付け"),M197,VLOOKUP(D197,契約台帳!$A$3:$O$4986,15,FALSE))))</f>
        <v/>
      </c>
      <c r="T197" s="273" t="str">
        <f ca="1">IF(D197="","",IF(J197="リード付け",N197,IF(J197="巻返しリード付け",N197,IF(J197="巻足し",N197*P197+OFFSET(N197,1,0)*OFFSET(P197,1,0),VLOOKUP(D197,契約台帳!$A$3:$P$4986,16,FALSE)))))</f>
        <v/>
      </c>
      <c r="U197" s="40"/>
      <c r="V197" s="274" t="str">
        <f ca="1">IF(D197="","",IF(OFFSET(D197,-2,0)=D197,"",VLOOKUP(D197,契約台帳!$A$3:$R$4986,18,FALSE)))</f>
        <v/>
      </c>
      <c r="W197" s="269" t="str">
        <f>IF(D197="","",IF(T197="","",IF(OR(J197="巻足し",J197="巻返しリード付け"),"",IF(J197="巻返し",VLOOKUP(F197&amp;K197&amp;M197,製品マスタ!$M$5:$AD$5002,18,FALSE),IF(OR(J197="リード付け",J197="巻返しリード付け"),"原反コア",IF(J197="スリット",VLOOKUP(F197&amp;K197&amp;R197,製品マスタ!$N$5:$AD$5002,17,FALSE),""))))))</f>
        <v/>
      </c>
      <c r="X197" s="269" t="str">
        <f>IF(D197="","",IF(T197="","",IF(J197="巻足し","",IF(J197="巻返し",VLOOKUP(F197&amp;K197&amp;M197,製品マスタ!$M$5:$AE$5002,19,FALSE),IF(OR(J197="リード付け",J197="巻返しリード付け"),"",IF(J197="スリット",VLOOKUP(F197&amp;K197&amp;R197,製品マスタ!$N$5:$AE$5002,18,FALSE),""))))))</f>
        <v/>
      </c>
      <c r="Y197" s="275" t="str">
        <f>IF(D197="","",IF(T197="","",VLOOKUP(D197,契約台帳!$A$3:$Q$4986,17,FALSE)))</f>
        <v/>
      </c>
      <c r="Z197" s="269" t="str">
        <f>IF(D197="","",IF(T197="","",VLOOKUP(D197,契約台帳!$A$3:$E$4986,5,FALSE)))</f>
        <v/>
      </c>
      <c r="AA197" s="57"/>
      <c r="AB197" s="207" t="str">
        <f>IFERROR((VLOOKUP(F197&amp;K197&amp;M197,製品マスタ!$M$5:$AM$5002,27,FALSE)),"")</f>
        <v/>
      </c>
      <c r="AC197" s="33"/>
      <c r="AD197" s="189"/>
      <c r="AE197" s="54"/>
      <c r="AF197" s="55"/>
      <c r="AG197" s="43"/>
      <c r="AH197" s="47"/>
      <c r="AI197" s="30"/>
      <c r="AJ197" s="30"/>
      <c r="AK197" s="30"/>
      <c r="AL197" s="30"/>
      <c r="AM197" s="13"/>
      <c r="AN197" s="13"/>
      <c r="AO197" s="13"/>
      <c r="AP197" s="13"/>
      <c r="AQ197" s="13"/>
      <c r="AR197" s="14"/>
      <c r="AS197" s="15"/>
    </row>
    <row r="198" spans="1:45" s="17" customFormat="1" ht="30.95" hidden="1" customHeight="1" x14ac:dyDescent="0.2">
      <c r="A198" s="37"/>
      <c r="B198" s="38"/>
      <c r="C198" s="45"/>
      <c r="D198" s="31">
        <v>3697683</v>
      </c>
      <c r="E198" s="31">
        <v>4161814</v>
      </c>
      <c r="F198" s="268" t="str">
        <f>IF(D198="","",VLOOKUP(D198,契約台帳!$A$3:$K$4986,6,FALSE)&amp;VLOOKUP(D198,契約台帳!$A$3:$K$4986,7,FALSE)&amp;VLOOKUP(D198,契約台帳!$A$3:$K$4986,8,FALSE)&amp;VLOOKUP(D198,契約台帳!$A$3:$K$4986,9,FALSE)&amp;VLOOKUP(D198,契約台帳!$A$3:$K$4986,11,FALSE))</f>
        <v>3SYMLBMSNMBF</v>
      </c>
      <c r="G198" s="269" t="str">
        <f>IF(D198="","",VLOOKUP(F198,製品マスタ!$G$5:$H$5002,2,FALSE))</f>
        <v>S</v>
      </c>
      <c r="H198" s="269" t="str">
        <f>IF(D198="","",VLOOKUP(F198,製品マスタ!$G$5:$K$5002,5,FALSE))</f>
        <v>MSNMBF</v>
      </c>
      <c r="I198" s="270" t="str">
        <f>IF(D198="","",VLOOKUP(F198,製品マスタ!$G$5:$L$5002,6,FALSE))</f>
        <v>ＭＥＴＡＬＵＭＹ　ＳＩＬＶＥＲ　Ｎ－ＭＡＴＴＥ　Ｘ４４Ｍ　Ｂ</v>
      </c>
      <c r="J198" s="210" t="s">
        <v>469</v>
      </c>
      <c r="K198" s="270">
        <f>IF(D198="","",VLOOKUP(D198,契約台帳!$A$3:$L$4986,12,FALSE))</f>
        <v>50</v>
      </c>
      <c r="L198" s="270" t="str">
        <f>IF(D198="","",INDEX(製品マスタ!$Q$5:$Q$5002,MATCH('S4'!F198&amp;'S4'!K198,製品マスタ!$AO$5:$AO$5002,0)))</f>
        <v>X44</v>
      </c>
      <c r="M198" s="39">
        <v>1120</v>
      </c>
      <c r="N198" s="39">
        <v>4000</v>
      </c>
      <c r="O198" s="156">
        <v>1</v>
      </c>
      <c r="P198" s="47">
        <v>3</v>
      </c>
      <c r="Q198" s="213">
        <v>44958</v>
      </c>
      <c r="R198" s="271">
        <f ca="1">IF(D198="","",IF(OFFSET(D198,-1,0)&lt;&gt;"","",IF(OR(J198="リード付け",J198="巻足し",J198="巻返しリード付け"),M198,VLOOKUP(D198,契約台帳!$A$3:$N$4986,14,FALSE))))</f>
        <v>1120</v>
      </c>
      <c r="S198" s="272">
        <f ca="1">IF(D198="","",IF(OFFSET(D198,-1,0)&lt;&gt;"","",IF(OR(J198="リード付け",J198="巻足し",J198="巻返しリード付け"),M198,VLOOKUP(D198,契約台帳!$A$3:$O$4986,15,FALSE))))</f>
        <v>1120</v>
      </c>
      <c r="T198" s="273">
        <f ca="1">IF(D198="","",IF(J198="リード付け",N198,IF(J198="巻返しリード付け",N198,IF(J198="巻足し",N198*P198+OFFSET(N198,1,0)*OFFSET(P198,1,0),VLOOKUP(D198,契約台帳!$A$3:$P$4986,16,FALSE)))))</f>
        <v>12000</v>
      </c>
      <c r="U198" s="40">
        <v>1</v>
      </c>
      <c r="V198" s="274" t="str">
        <f ca="1">IF(D198="","",IF(OFFSET(D198,-2,0)=D198,"",VLOOKUP(D198,契約台帳!$A$3:$R$4986,18,FALSE)))</f>
        <v/>
      </c>
      <c r="W198" s="269" t="str">
        <f ca="1">IF(D198="","",IF(T198="","",IF(OR(J198="巻足し",J198="巻返しリード付け"),"",IF(J198="巻返し",VLOOKUP(F198&amp;K198&amp;M198,製品マスタ!$M$5:$AD$5002,18,FALSE),IF(OR(J198="リード付け",J198="巻返しリード付け"),"原反コア",IF(J198="スリット",VLOOKUP(F198&amp;K198&amp;R198,製品マスタ!$N$5:$AD$5002,17,FALSE),""))))))</f>
        <v/>
      </c>
      <c r="X198" s="269" t="str">
        <f ca="1">IF(D198="","",IF(T198="","",IF(J198="巻足し","",IF(J198="巻返し",VLOOKUP(F198&amp;K198&amp;M198,製品マスタ!$M$5:$AE$5002,19,FALSE),IF(OR(J198="リード付け",J198="巻返しリード付け"),"",IF(J198="スリット",VLOOKUP(F198&amp;K198&amp;R198,製品マスタ!$N$5:$AE$5002,18,FALSE),""))))))</f>
        <v/>
      </c>
      <c r="Y198" s="275">
        <f ca="1">IF(D198="","",IF(T198="","",VLOOKUP(D198,契約台帳!$A$3:$Q$4986,17,FALSE)))</f>
        <v>2</v>
      </c>
      <c r="Z198" s="269" t="str">
        <f ca="1">IF(D198="","",IF(T198="","",VLOOKUP(D198,契約台帳!$A$3:$E$4986,5,FALSE)))</f>
        <v>リンテック㈱</v>
      </c>
      <c r="AA198" s="57"/>
      <c r="AB198" s="207">
        <f>IFERROR((VLOOKUP(F198&amp;K198&amp;M198,製品マスタ!$M$5:$AM$5002,27,FALSE)),"")</f>
        <v>0</v>
      </c>
      <c r="AC198" s="33"/>
      <c r="AD198" s="189"/>
      <c r="AE198" s="54"/>
      <c r="AF198" s="55"/>
      <c r="AG198" s="43"/>
      <c r="AH198" s="47"/>
      <c r="AI198" s="30"/>
      <c r="AJ198" s="30"/>
      <c r="AK198" s="30"/>
      <c r="AL198" s="30"/>
      <c r="AM198" s="13"/>
      <c r="AN198" s="13"/>
      <c r="AO198" s="13"/>
      <c r="AP198" s="13"/>
      <c r="AQ198" s="13"/>
      <c r="AR198" s="14"/>
      <c r="AS198" s="15"/>
    </row>
    <row r="199" spans="1:45" s="17" customFormat="1" ht="30.95" hidden="1" customHeight="1" x14ac:dyDescent="0.2">
      <c r="A199" s="37"/>
      <c r="B199" s="38"/>
      <c r="C199" s="45"/>
      <c r="D199" s="31">
        <v>3697684</v>
      </c>
      <c r="E199" s="31"/>
      <c r="F199" s="268" t="str">
        <f>IF(D199="","",VLOOKUP(D199,契約台帳!$A$3:$K$4986,6,FALSE)&amp;VLOOKUP(D199,契約台帳!$A$3:$K$4986,7,FALSE)&amp;VLOOKUP(D199,契約台帳!$A$3:$K$4986,8,FALSE)&amp;VLOOKUP(D199,契約台帳!$A$3:$K$4986,9,FALSE)&amp;VLOOKUP(D199,契約台帳!$A$3:$K$4986,11,FALSE))</f>
        <v>3SYMLBMSNMBF</v>
      </c>
      <c r="G199" s="269" t="str">
        <f>IF(D199="","",VLOOKUP(F199,製品マスタ!$G$5:$H$5002,2,FALSE))</f>
        <v>S</v>
      </c>
      <c r="H199" s="269" t="str">
        <f>IF(D199="","",VLOOKUP(F199,製品マスタ!$G$5:$K$5002,5,FALSE))</f>
        <v>MSNMBF</v>
      </c>
      <c r="I199" s="270" t="str">
        <f>IF(D199="","",VLOOKUP(F199,製品マスタ!$G$5:$L$5002,6,FALSE))</f>
        <v>ＭＥＴＡＬＵＭＹ　ＳＩＬＶＥＲ　Ｎ－ＭＡＴＴＥ　Ｘ４４Ｍ　Ｂ</v>
      </c>
      <c r="J199" s="210" t="s">
        <v>469</v>
      </c>
      <c r="K199" s="270">
        <f>IF(D199="","",VLOOKUP(D199,契約台帳!$A$3:$L$4986,12,FALSE))</f>
        <v>50</v>
      </c>
      <c r="L199" s="270" t="str">
        <f>IF(D199="","",INDEX(製品マスタ!$Q$5:$Q$5002,MATCH('S4'!F199&amp;'S4'!K199,製品マスタ!$AO$5:$AO$5002,0)))</f>
        <v>X44</v>
      </c>
      <c r="M199" s="39">
        <v>1120</v>
      </c>
      <c r="N199" s="39">
        <v>4000</v>
      </c>
      <c r="O199" s="156">
        <v>2</v>
      </c>
      <c r="P199" s="47"/>
      <c r="Q199" s="213">
        <v>44958</v>
      </c>
      <c r="R199" s="271" t="str">
        <f ca="1">IF(D199="","",IF(OFFSET(D199,-1,0)&lt;&gt;"","",IF(OR(J199="リード付け",J199="巻足し",J199="巻返しリード付け"),M199,VLOOKUP(D199,契約台帳!$A$3:$N$4986,14,FALSE))))</f>
        <v/>
      </c>
      <c r="S199" s="272" t="str">
        <f ca="1">IF(D199="","",IF(OFFSET(D199,-1,0)&lt;&gt;"","",IF(OR(J199="リード付け",J199="巻足し",J199="巻返しリード付け"),M199,VLOOKUP(D199,契約台帳!$A$3:$O$4986,15,FALSE))))</f>
        <v/>
      </c>
      <c r="T199" s="273"/>
      <c r="U199" s="40"/>
      <c r="V199" s="274">
        <f ca="1">IF(D199="","",IF(OFFSET(D199,-2,0)=D199,"",VLOOKUP(D199,契約台帳!$A$3:$R$4986,18,FALSE)))</f>
        <v>4</v>
      </c>
      <c r="W199" s="269" t="str">
        <f>IF(D199="","",IF(T199="","",IF(OR(J199="巻足し",J199="巻返しリード付け"),"",IF(J199="巻返し",VLOOKUP(F199&amp;K199&amp;M199,製品マスタ!$M$5:$AD$5002,18,FALSE),IF(OR(J199="リード付け",J199="巻返しリード付け"),"原反コア",IF(J199="スリット",VLOOKUP(F199&amp;K199&amp;R199,製品マスタ!$N$5:$AD$5002,17,FALSE),""))))))</f>
        <v/>
      </c>
      <c r="X199" s="269" t="str">
        <f>IF(D199="","",IF(T199="","",IF(J199="巻足し","",IF(J199="巻返し",VLOOKUP(F199&amp;K199&amp;M199,製品マスタ!$M$5:$AE$5002,19,FALSE),IF(OR(J199="リード付け",J199="巻返しリード付け"),"",IF(J199="スリット",VLOOKUP(F199&amp;K199&amp;R199,製品マスタ!$N$5:$AE$5002,18,FALSE),""))))))</f>
        <v/>
      </c>
      <c r="Y199" s="275" t="str">
        <f>IF(D199="","",IF(T199="","",VLOOKUP(D199,契約台帳!$A$3:$Q$4986,17,FALSE)))</f>
        <v/>
      </c>
      <c r="Z199" s="269" t="str">
        <f>IF(D199="","",IF(T199="","",VLOOKUP(D199,契約台帳!$A$3:$E$4986,5,FALSE)))</f>
        <v/>
      </c>
      <c r="AA199" s="57"/>
      <c r="AB199" s="207">
        <f>IFERROR((VLOOKUP(F199&amp;K199&amp;M199,製品マスタ!$M$5:$AM$5002,27,FALSE)),"")</f>
        <v>0</v>
      </c>
      <c r="AC199" s="33"/>
      <c r="AD199" s="189"/>
      <c r="AE199" s="54"/>
      <c r="AF199" s="55"/>
      <c r="AG199" s="43"/>
      <c r="AH199" s="47"/>
      <c r="AI199" s="30"/>
      <c r="AJ199" s="30"/>
      <c r="AK199" s="30"/>
      <c r="AL199" s="30"/>
      <c r="AM199" s="13"/>
      <c r="AN199" s="13"/>
      <c r="AO199" s="13"/>
      <c r="AP199" s="13"/>
      <c r="AQ199" s="13"/>
      <c r="AR199" s="14"/>
      <c r="AS199" s="15"/>
    </row>
    <row r="200" spans="1:45" s="17" customFormat="1" ht="30.95" hidden="1" customHeight="1" x14ac:dyDescent="0.2">
      <c r="A200" s="37"/>
      <c r="B200" s="38"/>
      <c r="C200" s="45"/>
      <c r="D200" s="31"/>
      <c r="E200" s="31"/>
      <c r="F200" s="268"/>
      <c r="G200" s="269"/>
      <c r="H200" s="269"/>
      <c r="I200" s="270"/>
      <c r="J200" s="210"/>
      <c r="K200" s="270"/>
      <c r="L200" s="270"/>
      <c r="M200" s="39"/>
      <c r="N200" s="39"/>
      <c r="O200" s="156"/>
      <c r="P200" s="47"/>
      <c r="Q200" s="57"/>
      <c r="R200" s="271"/>
      <c r="S200" s="272"/>
      <c r="T200" s="273"/>
      <c r="U200" s="40"/>
      <c r="V200" s="274"/>
      <c r="W200" s="269"/>
      <c r="X200" s="269"/>
      <c r="Y200" s="275"/>
      <c r="Z200" s="269"/>
      <c r="AA200" s="57"/>
      <c r="AB200" s="207"/>
      <c r="AC200" s="33"/>
      <c r="AD200" s="189"/>
      <c r="AE200" s="54"/>
      <c r="AF200" s="55"/>
      <c r="AG200" s="43"/>
      <c r="AH200" s="47"/>
      <c r="AI200" s="30"/>
      <c r="AJ200" s="30"/>
      <c r="AK200" s="30"/>
      <c r="AL200" s="30"/>
      <c r="AM200" s="13"/>
      <c r="AN200" s="13"/>
      <c r="AO200" s="13"/>
      <c r="AP200" s="13"/>
      <c r="AQ200" s="13"/>
      <c r="AR200" s="14"/>
      <c r="AS200" s="15"/>
    </row>
    <row r="201" spans="1:45" s="17" customFormat="1" ht="30.95" hidden="1" customHeight="1" x14ac:dyDescent="0.2">
      <c r="A201" s="37"/>
      <c r="B201" s="38"/>
      <c r="C201" s="45"/>
      <c r="D201" s="31">
        <v>3697684</v>
      </c>
      <c r="E201" s="31">
        <v>4161815</v>
      </c>
      <c r="F201" s="268" t="str">
        <f>IF(D201="","",VLOOKUP(D201,契約台帳!$A$3:$K$4986,6,FALSE)&amp;VLOOKUP(D201,契約台帳!$A$3:$K$4986,7,FALSE)&amp;VLOOKUP(D201,契約台帳!$A$3:$K$4986,8,FALSE)&amp;VLOOKUP(D201,契約台帳!$A$3:$K$4986,9,FALSE)&amp;VLOOKUP(D201,契約台帳!$A$3:$K$4986,11,FALSE))</f>
        <v>3SYMLBMSNMBF</v>
      </c>
      <c r="G201" s="269" t="str">
        <f>IF(D201="","",VLOOKUP(F201,製品マスタ!$G$5:$H$5002,2,FALSE))</f>
        <v>S</v>
      </c>
      <c r="H201" s="269" t="str">
        <f>IF(D201="","",VLOOKUP(F201,製品マスタ!$G$5:$K$5002,5,FALSE))</f>
        <v>MSNMBF</v>
      </c>
      <c r="I201" s="270" t="str">
        <f>IF(D201="","",VLOOKUP(F201,製品マスタ!$G$5:$L$5002,6,FALSE))</f>
        <v>ＭＥＴＡＬＵＭＹ　ＳＩＬＶＥＲ　Ｎ－ＭＡＴＴＥ　Ｘ４４Ｍ　Ｂ</v>
      </c>
      <c r="J201" s="210" t="s">
        <v>832</v>
      </c>
      <c r="K201" s="270">
        <f>IF(D201="","",VLOOKUP(D201,契約台帳!$A$3:$L$4986,12,FALSE))</f>
        <v>50</v>
      </c>
      <c r="L201" s="270" t="str">
        <f>IF(D201="","",INDEX(製品マスタ!$Q$5:$Q$5002,MATCH('S4'!F201&amp;'S4'!K201,製品マスタ!$AO$5:$AO$5002,0)))</f>
        <v>X44</v>
      </c>
      <c r="M201" s="39">
        <v>1120</v>
      </c>
      <c r="N201" s="39">
        <v>4000</v>
      </c>
      <c r="O201" s="156">
        <v>2</v>
      </c>
      <c r="P201" s="47">
        <v>2</v>
      </c>
      <c r="Q201" s="213">
        <v>44958</v>
      </c>
      <c r="R201" s="271">
        <f ca="1">IF(D201="","",IF(OFFSET(D201,-1,0)&lt;&gt;"","",IF(OR(J201="リード付け",J201="巻足し",J201="巻返しリード付け"),M201,VLOOKUP(D201,契約台帳!$A$3:$N$4986,14,FALSE))))</f>
        <v>1120</v>
      </c>
      <c r="S201" s="272">
        <f ca="1">IF(D201="","",IF(OFFSET(D201,-1,0)&lt;&gt;"","",IF(OR(J201="リード付け",J201="巻足し",J201="巻返しリード付け"),M201,VLOOKUP(D201,契約台帳!$A$3:$O$4986,15,FALSE))))</f>
        <v>1120</v>
      </c>
      <c r="T201" s="273">
        <f ca="1">IF(D201="","",IF(J201="リード付け",N201,IF(J201="巻返しリード付け",N201,IF(J201="巻足し",N201*P201+OFFSET(N201,1,0)*OFFSET(P201,1,0),VLOOKUP(D201,契約台帳!$A$3:$P$4986,16,FALSE)))))</f>
        <v>8000</v>
      </c>
      <c r="U201" s="40">
        <v>1</v>
      </c>
      <c r="V201" s="274" t="str">
        <f ca="1">IF(D201="","",IF(OFFSET(D201,-2,0)=D201,"",VLOOKUP(D201,契約台帳!$A$3:$R$4986,18,FALSE)))</f>
        <v/>
      </c>
      <c r="W201" s="269" t="str">
        <f ca="1">IF(D201="","",IF(T201="","",IF(OR(J201="巻足し",J201="巻返しリード付け"),"",IF(J201="巻返し",VLOOKUP(F201&amp;K201&amp;M201,製品マスタ!$M$5:$AD$5002,18,FALSE),IF(OR(J201="リード付け",J201="巻返しリード付け"),"原反コア",IF(J201="スリット",VLOOKUP(F201&amp;K201&amp;R201,製品マスタ!$N$5:$AD$5002,17,FALSE),""))))))</f>
        <v/>
      </c>
      <c r="X201" s="269" t="str">
        <f ca="1">IF(D201="","",IF(T201="","",IF(J201="巻足し","",IF(J201="巻返し",VLOOKUP(F201&amp;K201&amp;M201,製品マスタ!$M$5:$AE$5002,19,FALSE),IF(OR(J201="リード付け",J201="巻返しリード付け"),"",IF(J201="スリット",VLOOKUP(F201&amp;K201&amp;R201,製品マスタ!$N$5:$AE$5002,18,FALSE),""))))))</f>
        <v/>
      </c>
      <c r="Y201" s="275">
        <f ca="1">IF(D201="","",IF(T201="","",VLOOKUP(D201,契約台帳!$A$3:$Q$4986,17,FALSE)))</f>
        <v>2</v>
      </c>
      <c r="Z201" s="269" t="str">
        <f ca="1">IF(D201="","",IF(T201="","",VLOOKUP(D201,契約台帳!$A$3:$E$4986,5,FALSE)))</f>
        <v>リンテック㈱</v>
      </c>
      <c r="AA201" s="57"/>
      <c r="AB201" s="207">
        <f>IFERROR((VLOOKUP(F201&amp;K201&amp;M201,製品マスタ!$M$5:$AM$5002,27,FALSE)),"")</f>
        <v>0</v>
      </c>
      <c r="AC201" s="33"/>
      <c r="AD201" s="189"/>
      <c r="AE201" s="54"/>
      <c r="AF201" s="55"/>
      <c r="AG201" s="43"/>
      <c r="AH201" s="47"/>
      <c r="AI201" s="30"/>
      <c r="AJ201" s="30"/>
      <c r="AK201" s="30"/>
      <c r="AL201" s="30"/>
      <c r="AM201" s="13"/>
      <c r="AN201" s="13"/>
      <c r="AO201" s="13"/>
      <c r="AP201" s="13"/>
      <c r="AQ201" s="13"/>
      <c r="AR201" s="14"/>
      <c r="AS201" s="15"/>
    </row>
    <row r="202" spans="1:45" s="17" customFormat="1" ht="30.95" hidden="1" customHeight="1" x14ac:dyDescent="0.2">
      <c r="A202" s="37"/>
      <c r="B202" s="38"/>
      <c r="C202" s="45"/>
      <c r="D202" s="31"/>
      <c r="E202" s="31"/>
      <c r="F202" s="268" t="str">
        <f>IF(D202="","",VLOOKUP(D202,契約台帳!$A$3:$K$4986,6,FALSE)&amp;VLOOKUP(D202,契約台帳!$A$3:$K$4986,7,FALSE)&amp;VLOOKUP(D202,契約台帳!$A$3:$K$4986,8,FALSE)&amp;VLOOKUP(D202,契約台帳!$A$3:$K$4986,9,FALSE)&amp;VLOOKUP(D202,契約台帳!$A$3:$K$4986,11,FALSE))</f>
        <v/>
      </c>
      <c r="G202" s="269" t="str">
        <f>IF(D202="","",VLOOKUP(F202,製品マスタ!$G$5:$H$5002,2,FALSE))</f>
        <v/>
      </c>
      <c r="H202" s="269" t="str">
        <f>IF(D202="","",VLOOKUP(F202,製品マスタ!$G$5:$K$5002,5,FALSE))</f>
        <v/>
      </c>
      <c r="I202" s="270" t="str">
        <f>IF(D202="","",VLOOKUP(F202,製品マスタ!$G$5:$L$5002,6,FALSE))</f>
        <v/>
      </c>
      <c r="J202" s="210"/>
      <c r="K202" s="270" t="str">
        <f>IF(D202="","",VLOOKUP(D202,契約台帳!$A$3:$L$4986,12,FALSE))</f>
        <v/>
      </c>
      <c r="L202" s="270" t="str">
        <f>IF(D202="","",INDEX(製品マスタ!$Q$5:$Q$5002,MATCH('S4'!F202&amp;'S4'!K202,製品マスタ!$AO$5:$AO$5002,0)))</f>
        <v/>
      </c>
      <c r="M202" s="39"/>
      <c r="N202" s="39"/>
      <c r="O202" s="156"/>
      <c r="P202" s="47"/>
      <c r="Q202" s="57"/>
      <c r="R202" s="271" t="str">
        <f ca="1">IF(D202="","",IF(OFFSET(D202,-1,0)&lt;&gt;"","",IF(OR(J202="リード付け",J202="巻足し",J202="巻返しリード付け"),M202,VLOOKUP(D202,契約台帳!$A$3:$N$4986,14,FALSE))))</f>
        <v/>
      </c>
      <c r="S202" s="272" t="str">
        <f ca="1">IF(D202="","",IF(OFFSET(D202,-1,0)&lt;&gt;"","",IF(OR(J202="リード付け",J202="巻足し",J202="巻返しリード付け"),M202,VLOOKUP(D202,契約台帳!$A$3:$O$4986,15,FALSE))))</f>
        <v/>
      </c>
      <c r="T202" s="273" t="str">
        <f ca="1">IF(D202="","",IF(J202="リード付け",N202,IF(J202="巻返しリード付け",N202,IF(J202="巻足し",N202*P202+OFFSET(N202,1,0)*OFFSET(P202,1,0),VLOOKUP(D202,契約台帳!$A$3:$P$4986,16,FALSE)))))</f>
        <v/>
      </c>
      <c r="U202" s="40"/>
      <c r="V202" s="274" t="str">
        <f ca="1">IF(D202="","",IF(OFFSET(D202,-2,0)=D202,"",VLOOKUP(D202,契約台帳!$A$3:$R$4986,18,FALSE)))</f>
        <v/>
      </c>
      <c r="W202" s="269" t="str">
        <f>IF(D202="","",IF(T202="","",IF(OR(J202="巻足し",J202="巻返しリード付け"),"",IF(J202="巻返し",VLOOKUP(F202&amp;K202&amp;M202,製品マスタ!$M$5:$AD$5002,18,FALSE),IF(OR(J202="リード付け",J202="巻返しリード付け"),"原反コア",IF(J202="スリット",VLOOKUP(F202&amp;K202&amp;R202,製品マスタ!$N$5:$AD$5002,17,FALSE),""))))))</f>
        <v/>
      </c>
      <c r="X202" s="269" t="str">
        <f>IF(D202="","",IF(T202="","",IF(J202="巻足し","",IF(J202="巻返し",VLOOKUP(F202&amp;K202&amp;M202,製品マスタ!$M$5:$AE$5002,19,FALSE),IF(OR(J202="リード付け",J202="巻返しリード付け"),"",IF(J202="スリット",VLOOKUP(F202&amp;K202&amp;R202,製品マスタ!$N$5:$AE$5002,18,FALSE),""))))))</f>
        <v/>
      </c>
      <c r="Y202" s="275" t="str">
        <f>IF(D202="","",IF(T202="","",VLOOKUP(D202,契約台帳!$A$3:$Q$4986,17,FALSE)))</f>
        <v/>
      </c>
      <c r="Z202" s="269" t="str">
        <f>IF(D202="","",IF(T202="","",VLOOKUP(D202,契約台帳!$A$3:$E$4986,5,FALSE)))</f>
        <v/>
      </c>
      <c r="AA202" s="57"/>
      <c r="AB202" s="207" t="str">
        <f>IFERROR((VLOOKUP(F202&amp;K202&amp;M202,製品マスタ!$M$5:$AM$5002,27,FALSE)),"")</f>
        <v/>
      </c>
      <c r="AC202" s="33"/>
      <c r="AD202" s="189"/>
      <c r="AE202" s="54"/>
      <c r="AF202" s="55"/>
      <c r="AG202" s="43"/>
      <c r="AH202" s="47"/>
      <c r="AI202" s="30"/>
      <c r="AJ202" s="30"/>
      <c r="AK202" s="30"/>
      <c r="AL202" s="30"/>
      <c r="AM202" s="13"/>
      <c r="AN202" s="13"/>
      <c r="AO202" s="13"/>
      <c r="AP202" s="13"/>
      <c r="AQ202" s="13"/>
      <c r="AR202" s="14"/>
      <c r="AS202" s="15"/>
    </row>
    <row r="203" spans="1:45" s="17" customFormat="1" ht="30.95" hidden="1" customHeight="1" x14ac:dyDescent="0.2">
      <c r="A203" s="37"/>
      <c r="B203" s="38"/>
      <c r="C203" s="45"/>
      <c r="D203" s="31">
        <v>3697682</v>
      </c>
      <c r="E203" s="31">
        <v>4161816</v>
      </c>
      <c r="F203" s="268" t="str">
        <f>IF(D203="","",VLOOKUP(D203,契約台帳!$A$3:$K$4986,6,FALSE)&amp;VLOOKUP(D203,契約台帳!$A$3:$K$4986,7,FALSE)&amp;VLOOKUP(D203,契約台帳!$A$3:$K$4986,8,FALSE)&amp;VLOOKUP(D203,契約台帳!$A$3:$K$4986,9,FALSE)&amp;VLOOKUP(D203,契約台帳!$A$3:$K$4986,11,FALSE))</f>
        <v>3SYMLBMSSMBF</v>
      </c>
      <c r="G203" s="269" t="str">
        <f>IF(D203="","",VLOOKUP(F203,製品マスタ!$G$5:$H$5002,2,FALSE))</f>
        <v>S</v>
      </c>
      <c r="H203" s="269" t="str">
        <f>IF(D203="","",VLOOKUP(F203,製品マスタ!$G$5:$K$5002,5,FALSE))</f>
        <v>MSSMBF</v>
      </c>
      <c r="I203" s="270" t="str">
        <f>IF(D203="","",VLOOKUP(F203,製品マスタ!$G$5:$L$5002,6,FALSE))</f>
        <v>ＭＥＴＡＬＵＭＹ　ＳＩＬＶＥＲ　Ｓ－ＭＡＴＴＥ　Ｓ２８ＭＭ　Ｂ</v>
      </c>
      <c r="J203" s="210" t="s">
        <v>832</v>
      </c>
      <c r="K203" s="270">
        <f>IF(D203="","",VLOOKUP(D203,契約台帳!$A$3:$L$4986,12,FALSE))</f>
        <v>50</v>
      </c>
      <c r="L203" s="270" t="e">
        <f>IF(D203="","",INDEX(製品マスタ!$Q$5:$Q$5002,MATCH('S4'!F203&amp;'S4'!K203,製品マスタ!$AO$5:$AO$5002,0)))</f>
        <v>#N/A</v>
      </c>
      <c r="M203" s="39">
        <v>1120</v>
      </c>
      <c r="N203" s="39">
        <v>4000</v>
      </c>
      <c r="O203" s="156">
        <v>4</v>
      </c>
      <c r="P203" s="47">
        <v>2</v>
      </c>
      <c r="Q203" s="213">
        <v>44958</v>
      </c>
      <c r="R203" s="271">
        <f ca="1">IF(D203="","",IF(OFFSET(D203,-1,0)&lt;&gt;"","",IF(OR(J203="リード付け",J203="巻足し",J203="巻返しリード付け"),M203,VLOOKUP(D203,契約台帳!$A$3:$N$4986,14,FALSE))))</f>
        <v>1120</v>
      </c>
      <c r="S203" s="272">
        <f ca="1">IF(D203="","",IF(OFFSET(D203,-1,0)&lt;&gt;"","",IF(OR(J203="リード付け",J203="巻足し",J203="巻返しリード付け"),M203,VLOOKUP(D203,契約台帳!$A$3:$O$4986,15,FALSE))))</f>
        <v>1120</v>
      </c>
      <c r="T203" s="273">
        <f ca="1">IF(D203="","",IF(J203="リード付け",N203,IF(J203="巻返しリード付け",N203,IF(J203="巻足し",N203*P203+OFFSET(N203,1,0)*OFFSET(P203,1,0),VLOOKUP(D203,契約台帳!$A$3:$P$4986,16,FALSE)))))</f>
        <v>8000</v>
      </c>
      <c r="U203" s="40">
        <v>2</v>
      </c>
      <c r="V203" s="274">
        <f ca="1">IF(D203="","",IF(OFFSET(D203,-2,0)=D203,"",VLOOKUP(D203,契約台帳!$A$3:$R$4986,18,FALSE)))</f>
        <v>4</v>
      </c>
      <c r="W203" s="269" t="str">
        <f ca="1">IF(D203="","",IF(T203="","",IF(OR(J203="巻足し",J203="巻返しリード付け"),"",IF(J203="巻返し",VLOOKUP(F203&amp;K203&amp;M203,製品マスタ!$M$5:$AD$5002,18,FALSE),IF(OR(J203="リード付け",J203="巻返しリード付け"),"原反コア",IF(J203="スリット",VLOOKUP(F203&amp;K203&amp;R203,製品マスタ!$N$5:$AD$5002,17,FALSE),""))))))</f>
        <v/>
      </c>
      <c r="X203" s="269" t="str">
        <f ca="1">IF(D203="","",IF(T203="","",IF(J203="巻足し","",IF(J203="巻返し",VLOOKUP(F203&amp;K203&amp;M203,製品マスタ!$M$5:$AE$5002,19,FALSE),IF(OR(J203="リード付け",J203="巻返しリード付け"),"",IF(J203="スリット",VLOOKUP(F203&amp;K203&amp;R203,製品マスタ!$N$5:$AE$5002,18,FALSE),""))))))</f>
        <v/>
      </c>
      <c r="Y203" s="275">
        <f ca="1">IF(D203="","",IF(T203="","",VLOOKUP(D203,契約台帳!$A$3:$Q$4986,17,FALSE)))</f>
        <v>2</v>
      </c>
      <c r="Z203" s="269" t="str">
        <f ca="1">IF(D203="","",IF(T203="","",VLOOKUP(D203,契約台帳!$A$3:$E$4986,5,FALSE)))</f>
        <v>リンテック㈱</v>
      </c>
      <c r="AA203" s="57"/>
      <c r="AB203" s="207" t="str">
        <f>IFERROR((VLOOKUP(F203&amp;K203&amp;M203,製品マスタ!$M$5:$AM$5002,27,FALSE)),"")</f>
        <v/>
      </c>
      <c r="AC203" s="33"/>
      <c r="AD203" s="189"/>
      <c r="AE203" s="54"/>
      <c r="AF203" s="55"/>
      <c r="AG203" s="43"/>
      <c r="AH203" s="47"/>
      <c r="AI203" s="30"/>
      <c r="AJ203" s="30"/>
      <c r="AK203" s="30"/>
      <c r="AL203" s="30"/>
      <c r="AM203" s="13"/>
      <c r="AN203" s="13"/>
      <c r="AO203" s="13"/>
      <c r="AP203" s="13"/>
      <c r="AQ203" s="13"/>
      <c r="AR203" s="14"/>
      <c r="AS203" s="15"/>
    </row>
    <row r="204" spans="1:45" s="17" customFormat="1" ht="30.95" hidden="1" customHeight="1" x14ac:dyDescent="0.2">
      <c r="A204" s="37"/>
      <c r="B204" s="38"/>
      <c r="C204" s="45"/>
      <c r="D204" s="31"/>
      <c r="E204" s="31"/>
      <c r="F204" s="268" t="str">
        <f>IF(D204="","",VLOOKUP(D204,契約台帳!$A$3:$K$4986,6,FALSE)&amp;VLOOKUP(D204,契約台帳!$A$3:$K$4986,7,FALSE)&amp;VLOOKUP(D204,契約台帳!$A$3:$K$4986,8,FALSE)&amp;VLOOKUP(D204,契約台帳!$A$3:$K$4986,9,FALSE)&amp;VLOOKUP(D204,契約台帳!$A$3:$K$4986,11,FALSE))</f>
        <v/>
      </c>
      <c r="G204" s="269" t="str">
        <f>IF(D204="","",VLOOKUP(F204,製品マスタ!$G$5:$H$5002,2,FALSE))</f>
        <v/>
      </c>
      <c r="H204" s="269" t="str">
        <f>IF(D204="","",VLOOKUP(F204,製品マスタ!$G$5:$K$5002,5,FALSE))</f>
        <v/>
      </c>
      <c r="I204" s="270" t="str">
        <f>IF(D204="","",VLOOKUP(F204,製品マスタ!$G$5:$L$5002,6,FALSE))</f>
        <v/>
      </c>
      <c r="J204" s="210"/>
      <c r="K204" s="270" t="str">
        <f>IF(D204="","",VLOOKUP(D204,契約台帳!$A$3:$L$4986,12,FALSE))</f>
        <v/>
      </c>
      <c r="L204" s="270" t="str">
        <f>IF(D204="","",INDEX(製品マスタ!$Q$5:$Q$5002,MATCH('S4'!F204&amp;'S4'!K204,製品マスタ!$AO$5:$AO$5002,0)))</f>
        <v/>
      </c>
      <c r="M204" s="39"/>
      <c r="N204" s="39"/>
      <c r="O204" s="156"/>
      <c r="P204" s="47"/>
      <c r="Q204" s="57"/>
      <c r="R204" s="271" t="str">
        <f ca="1">IF(D204="","",IF(OFFSET(D204,-1,0)&lt;&gt;"","",IF(OR(J204="リード付け",J204="巻足し",J204="巻返しリード付け"),M204,VLOOKUP(D204,契約台帳!$A$3:$N$4986,14,FALSE))))</f>
        <v/>
      </c>
      <c r="S204" s="272" t="str">
        <f ca="1">IF(D204="","",IF(OFFSET(D204,-1,0)&lt;&gt;"","",IF(OR(J204="リード付け",J204="巻足し",J204="巻返しリード付け"),M204,VLOOKUP(D204,契約台帳!$A$3:$O$4986,15,FALSE))))</f>
        <v/>
      </c>
      <c r="T204" s="273" t="str">
        <f ca="1">IF(D204="","",IF(J204="リード付け",N204,IF(J204="巻返しリード付け",N204,IF(J204="巻足し",N204*P204+OFFSET(N204,1,0)*OFFSET(P204,1,0),VLOOKUP(D204,契約台帳!$A$3:$P$4986,16,FALSE)))))</f>
        <v/>
      </c>
      <c r="U204" s="40"/>
      <c r="V204" s="274" t="str">
        <f ca="1">IF(D204="","",IF(OFFSET(D204,-2,0)=D204,"",VLOOKUP(D204,契約台帳!$A$3:$R$4986,18,FALSE)))</f>
        <v/>
      </c>
      <c r="W204" s="269" t="str">
        <f>IF(D204="","",IF(T204="","",IF(OR(J204="巻足し",J204="巻返しリード付け"),"",IF(J204="巻返し",VLOOKUP(F204&amp;K204&amp;M204,製品マスタ!$M$5:$AD$5002,18,FALSE),IF(OR(J204="リード付け",J204="巻返しリード付け"),"原反コア",IF(J204="スリット",VLOOKUP(F204&amp;K204&amp;R204,製品マスタ!$N$5:$AD$5002,17,FALSE),""))))))</f>
        <v/>
      </c>
      <c r="X204" s="269" t="str">
        <f>IF(D204="","",IF(T204="","",IF(J204="巻足し","",IF(J204="巻返し",VLOOKUP(F204&amp;K204&amp;M204,製品マスタ!$M$5:$AE$5002,19,FALSE),IF(OR(J204="リード付け",J204="巻返しリード付け"),"",IF(J204="スリット",VLOOKUP(F204&amp;K204&amp;R204,製品マスタ!$N$5:$AE$5002,18,FALSE),""))))))</f>
        <v/>
      </c>
      <c r="Y204" s="275" t="str">
        <f>IF(D204="","",IF(T204="","",VLOOKUP(D204,契約台帳!$A$3:$Q$4986,17,FALSE)))</f>
        <v/>
      </c>
      <c r="Z204" s="269" t="str">
        <f>IF(D204="","",IF(T204="","",VLOOKUP(D204,契約台帳!$A$3:$E$4986,5,FALSE)))</f>
        <v/>
      </c>
      <c r="AA204" s="57"/>
      <c r="AB204" s="207" t="str">
        <f>IFERROR((VLOOKUP(F204&amp;K204&amp;M204,製品マスタ!$M$5:$AM$5002,27,FALSE)),"")</f>
        <v/>
      </c>
      <c r="AC204" s="33"/>
      <c r="AD204" s="189"/>
      <c r="AE204" s="54"/>
      <c r="AF204" s="55"/>
      <c r="AG204" s="43"/>
      <c r="AH204" s="47"/>
      <c r="AI204" s="30"/>
      <c r="AJ204" s="30"/>
      <c r="AK204" s="30"/>
      <c r="AL204" s="30"/>
      <c r="AM204" s="13"/>
      <c r="AN204" s="13"/>
      <c r="AO204" s="13"/>
      <c r="AP204" s="13"/>
      <c r="AQ204" s="13"/>
      <c r="AR204" s="14"/>
      <c r="AS204" s="15"/>
    </row>
    <row r="205" spans="1:45" s="17" customFormat="1" ht="30.95" hidden="1" customHeight="1" x14ac:dyDescent="0.2">
      <c r="A205" s="37"/>
      <c r="B205" s="38"/>
      <c r="C205" s="45"/>
      <c r="D205" s="31">
        <v>3697660</v>
      </c>
      <c r="E205" s="31">
        <v>4161818</v>
      </c>
      <c r="F205" s="268" t="str">
        <f>IF(D205="","",VLOOKUP(D205,契約台帳!$A$3:$K$4986,6,FALSE)&amp;VLOOKUP(D205,契約台帳!$A$3:$K$4986,7,FALSE)&amp;VLOOKUP(D205,契約台帳!$A$3:$K$4986,8,FALSE)&amp;VLOOKUP(D205,契約台帳!$A$3:$K$4986,9,FALSE)&amp;VLOOKUP(D205,契約台帳!$A$3:$K$4986,11,FALSE))</f>
        <v>3SNMCLBNGKVB</v>
      </c>
      <c r="G205" s="269" t="str">
        <f>IF(D205="","",VLOOKUP(F205,製品マスタ!$G$5:$H$5002,2,FALSE))</f>
        <v>S</v>
      </c>
      <c r="H205" s="269" t="str">
        <f>IF(D205="","",VLOOKUP(F205,製品マスタ!$G$5:$K$5002,5,FALSE))</f>
        <v>NGKVB</v>
      </c>
      <c r="I205" s="270" t="str">
        <f>IF(D205="","",VLOOKUP(F205,製品マスタ!$G$5:$L$5002,6,FALSE))</f>
        <v>メタルミー　ネーマー銀消　ＶＢ</v>
      </c>
      <c r="J205" s="210" t="s">
        <v>469</v>
      </c>
      <c r="K205" s="270">
        <f>IF(D205="","",VLOOKUP(D205,契約台帳!$A$3:$L$4986,12,FALSE))</f>
        <v>50</v>
      </c>
      <c r="L205" s="270" t="str">
        <f>IF(D205="","",INDEX(製品マスタ!$Q$5:$Q$5002,MATCH('S4'!F205&amp;'S4'!K205,製品マスタ!$AO$5:$AO$5002,0)))</f>
        <v>MAT</v>
      </c>
      <c r="M205" s="39">
        <v>1005</v>
      </c>
      <c r="N205" s="39">
        <v>4100</v>
      </c>
      <c r="O205" s="156">
        <v>3</v>
      </c>
      <c r="P205" s="47">
        <v>3</v>
      </c>
      <c r="Q205" s="213">
        <v>44960</v>
      </c>
      <c r="R205" s="271">
        <f ca="1">IF(D205="","",IF(OFFSET(D205,-1,0)&lt;&gt;"","",IF(OR(J205="リード付け",J205="巻足し",J205="巻返しリード付け"),M205,VLOOKUP(D205,契約台帳!$A$3:$N$4986,14,FALSE))))</f>
        <v>1005</v>
      </c>
      <c r="S205" s="272">
        <f ca="1">IF(D205="","",IF(OFFSET(D205,-1,0)&lt;&gt;"","",IF(OR(J205="リード付け",J205="巻足し",J205="巻返しリード付け"),M205,VLOOKUP(D205,契約台帳!$A$3:$O$4986,15,FALSE))))</f>
        <v>1005</v>
      </c>
      <c r="T205" s="273">
        <f ca="1">IF(D205="","",IF(J205="リード付け",N205,IF(J205="巻返しリード付け",N205,IF(J205="巻足し",N205*P205+OFFSET(N205,1,0)*OFFSET(P205,1,0),VLOOKUP(D205,契約台帳!$A$3:$P$4986,16,FALSE)))))</f>
        <v>12300</v>
      </c>
      <c r="U205" s="40">
        <v>1</v>
      </c>
      <c r="V205" s="274">
        <f ca="1">IF(D205="","",IF(OFFSET(D205,-2,0)=D205,"",VLOOKUP(D205,契約台帳!$A$3:$R$4986,18,FALSE)))</f>
        <v>3</v>
      </c>
      <c r="W205" s="269" t="str">
        <f ca="1">IF(D205="","",IF(T205="","",IF(OR(J205="巻足し",J205="巻返しリード付け"),"",IF(J205="巻返し",VLOOKUP(F205&amp;K205&amp;M205,製品マスタ!$M$5:$AD$5002,18,FALSE),IF(OR(J205="リード付け",J205="巻返しリード付け"),"原反コア",IF(J205="スリット",VLOOKUP(F205&amp;K205&amp;R205,製品マスタ!$N$5:$AD$5002,17,FALSE),""))))))</f>
        <v/>
      </c>
      <c r="X205" s="269" t="str">
        <f ca="1">IF(D205="","",IF(T205="","",IF(J205="巻足し","",IF(J205="巻返し",VLOOKUP(F205&amp;K205&amp;M205,製品マスタ!$M$5:$AE$5002,19,FALSE),IF(OR(J205="リード付け",J205="巻返しリード付け"),"",IF(J205="スリット",VLOOKUP(F205&amp;K205&amp;R205,製品マスタ!$N$5:$AE$5002,18,FALSE),""))))))</f>
        <v/>
      </c>
      <c r="Y205" s="275">
        <f ca="1">IF(D205="","",IF(T205="","",VLOOKUP(D205,契約台帳!$A$3:$Q$4986,17,FALSE)))</f>
        <v>2</v>
      </c>
      <c r="Z205" s="269" t="str">
        <f ca="1">IF(D205="","",IF(T205="","",VLOOKUP(D205,契約台帳!$A$3:$E$4986,5,FALSE)))</f>
        <v>リンテック㈱</v>
      </c>
      <c r="AA205" s="57"/>
      <c r="AB205" s="207">
        <f>IFERROR((VLOOKUP(F205&amp;K205&amp;M205,製品マスタ!$M$5:$AM$5002,27,FALSE)),"")</f>
        <v>0</v>
      </c>
      <c r="AC205" s="33"/>
      <c r="AD205" s="189"/>
      <c r="AE205" s="54"/>
      <c r="AF205" s="55"/>
      <c r="AG205" s="43"/>
      <c r="AH205" s="47"/>
      <c r="AI205" s="30"/>
      <c r="AJ205" s="30"/>
      <c r="AK205" s="30"/>
      <c r="AL205" s="30"/>
      <c r="AM205" s="13"/>
      <c r="AN205" s="13"/>
      <c r="AO205" s="13"/>
      <c r="AP205" s="13"/>
      <c r="AQ205" s="13"/>
      <c r="AR205" s="14"/>
      <c r="AS205" s="15"/>
    </row>
    <row r="206" spans="1:45" s="17" customFormat="1" ht="30.95" hidden="1" customHeight="1" x14ac:dyDescent="0.2">
      <c r="A206" s="37"/>
      <c r="B206" s="38"/>
      <c r="C206" s="45"/>
      <c r="D206" s="31"/>
      <c r="E206" s="31"/>
      <c r="F206" s="268" t="str">
        <f>IF(D206="","",VLOOKUP(D206,契約台帳!$A$3:$K$4986,6,FALSE)&amp;VLOOKUP(D206,契約台帳!$A$3:$K$4986,7,FALSE)&amp;VLOOKUP(D206,契約台帳!$A$3:$K$4986,8,FALSE)&amp;VLOOKUP(D206,契約台帳!$A$3:$K$4986,9,FALSE)&amp;VLOOKUP(D206,契約台帳!$A$3:$K$4986,11,FALSE))</f>
        <v/>
      </c>
      <c r="G206" s="269" t="str">
        <f>IF(D206="","",VLOOKUP(F206,製品マスタ!$G$5:$H$5002,2,FALSE))</f>
        <v/>
      </c>
      <c r="H206" s="269" t="str">
        <f>IF(D206="","",VLOOKUP(F206,製品マスタ!$G$5:$K$5002,5,FALSE))</f>
        <v/>
      </c>
      <c r="I206" s="270" t="str">
        <f>IF(D206="","",VLOOKUP(F206,製品マスタ!$G$5:$L$5002,6,FALSE))</f>
        <v/>
      </c>
      <c r="J206" s="210"/>
      <c r="K206" s="270" t="str">
        <f>IF(D206="","",VLOOKUP(D206,契約台帳!$A$3:$L$4986,12,FALSE))</f>
        <v/>
      </c>
      <c r="L206" s="270" t="str">
        <f>IF(D206="","",INDEX(製品マスタ!$Q$5:$Q$5002,MATCH('S4'!F206&amp;'S4'!K206,製品マスタ!$AO$5:$AO$5002,0)))</f>
        <v/>
      </c>
      <c r="M206" s="39"/>
      <c r="N206" s="39"/>
      <c r="O206" s="156"/>
      <c r="P206" s="47"/>
      <c r="Q206" s="57"/>
      <c r="R206" s="271" t="str">
        <f ca="1">IF(D206="","",IF(OFFSET(D206,-1,0)&lt;&gt;"","",IF(OR(J206="リード付け",J206="巻足し",J206="巻返しリード付け"),M206,VLOOKUP(D206,契約台帳!$A$3:$N$4986,14,FALSE))))</f>
        <v/>
      </c>
      <c r="S206" s="272" t="str">
        <f ca="1">IF(D206="","",IF(OFFSET(D206,-1,0)&lt;&gt;"","",IF(OR(J206="リード付け",J206="巻足し",J206="巻返しリード付け"),M206,VLOOKUP(D206,契約台帳!$A$3:$O$4986,15,FALSE))))</f>
        <v/>
      </c>
      <c r="T206" s="273" t="str">
        <f ca="1">IF(D206="","",IF(J206="リード付け",N206,IF(J206="巻返しリード付け",N206,IF(J206="巻足し",N206*P206+OFFSET(N206,1,0)*OFFSET(P206,1,0),VLOOKUP(D206,契約台帳!$A$3:$P$4986,16,FALSE)))))</f>
        <v/>
      </c>
      <c r="U206" s="40"/>
      <c r="V206" s="274" t="str">
        <f ca="1">IF(D206="","",IF(OFFSET(D206,-2,0)=D206,"",VLOOKUP(D206,契約台帳!$A$3:$R$4986,18,FALSE)))</f>
        <v/>
      </c>
      <c r="W206" s="269" t="str">
        <f>IF(D206="","",IF(T206="","",IF(OR(J206="巻足し",J206="巻返しリード付け"),"",IF(J206="巻返し",VLOOKUP(F206&amp;K206&amp;M206,製品マスタ!$M$5:$AD$5002,18,FALSE),IF(OR(J206="リード付け",J206="巻返しリード付け"),"原反コア",IF(J206="スリット",VLOOKUP(F206&amp;K206&amp;R206,製品マスタ!$N$5:$AD$5002,17,FALSE),""))))))</f>
        <v/>
      </c>
      <c r="X206" s="269" t="str">
        <f>IF(D206="","",IF(T206="","",IF(J206="巻足し","",IF(J206="巻返し",VLOOKUP(F206&amp;K206&amp;M206,製品マスタ!$M$5:$AE$5002,19,FALSE),IF(OR(J206="リード付け",J206="巻返しリード付け"),"",IF(J206="スリット",VLOOKUP(F206&amp;K206&amp;R206,製品マスタ!$N$5:$AE$5002,18,FALSE),""))))))</f>
        <v/>
      </c>
      <c r="Y206" s="275" t="str">
        <f>IF(D206="","",IF(T206="","",VLOOKUP(D206,契約台帳!$A$3:$Q$4986,17,FALSE)))</f>
        <v/>
      </c>
      <c r="Z206" s="269" t="str">
        <f>IF(D206="","",IF(T206="","",VLOOKUP(D206,契約台帳!$A$3:$E$4986,5,FALSE)))</f>
        <v/>
      </c>
      <c r="AA206" s="57"/>
      <c r="AB206" s="207" t="str">
        <f>IFERROR((VLOOKUP(F206&amp;K206&amp;M206,製品マスタ!$M$5:$AM$5002,27,FALSE)),"")</f>
        <v/>
      </c>
      <c r="AC206" s="33"/>
      <c r="AD206" s="189"/>
      <c r="AE206" s="54"/>
      <c r="AF206" s="55"/>
      <c r="AG206" s="43"/>
      <c r="AH206" s="47"/>
      <c r="AI206" s="30"/>
      <c r="AJ206" s="30"/>
      <c r="AK206" s="30"/>
      <c r="AL206" s="30"/>
      <c r="AM206" s="13"/>
      <c r="AN206" s="13"/>
      <c r="AO206" s="13"/>
      <c r="AP206" s="13"/>
      <c r="AQ206" s="13"/>
      <c r="AR206" s="14"/>
      <c r="AS206" s="15"/>
    </row>
    <row r="207" spans="1:45" s="17" customFormat="1" ht="30.95" hidden="1" customHeight="1" x14ac:dyDescent="0.2">
      <c r="A207" s="37" t="s">
        <v>851</v>
      </c>
      <c r="B207" s="38" t="s">
        <v>840</v>
      </c>
      <c r="C207" s="45"/>
      <c r="D207" s="31"/>
      <c r="E207" s="31"/>
      <c r="F207" s="268" t="str">
        <f>IF(D207="","",VLOOKUP(D207,契約台帳!$A$3:$K$4986,6,FALSE)&amp;VLOOKUP(D207,契約台帳!$A$3:$K$4986,7,FALSE)&amp;VLOOKUP(D207,契約台帳!$A$3:$K$4986,8,FALSE)&amp;VLOOKUP(D207,契約台帳!$A$3:$K$4986,9,FALSE)&amp;VLOOKUP(D207,契約台帳!$A$3:$K$4986,11,FALSE))</f>
        <v/>
      </c>
      <c r="G207" s="269" t="str">
        <f>IF(D207="","",VLOOKUP(F207,製品マスタ!$G$5:$H$5002,2,FALSE))</f>
        <v/>
      </c>
      <c r="H207" s="269" t="str">
        <f>IF(D207="","",VLOOKUP(F207,製品マスタ!$G$5:$K$5002,5,FALSE))</f>
        <v/>
      </c>
      <c r="I207" s="270" t="str">
        <f>IF(D207="","",VLOOKUP(F207,製品マスタ!$G$5:$L$5002,6,FALSE))</f>
        <v/>
      </c>
      <c r="J207" s="210"/>
      <c r="K207" s="270" t="str">
        <f>IF(D207="","",VLOOKUP(D207,契約台帳!$A$3:$L$4986,12,FALSE))</f>
        <v/>
      </c>
      <c r="L207" s="270" t="str">
        <f>IF(D207="","",INDEX(製品マスタ!$Q$5:$Q$5002,MATCH('S4'!F207&amp;'S4'!K207,製品マスタ!$AO$5:$AO$5002,0)))</f>
        <v/>
      </c>
      <c r="M207" s="39"/>
      <c r="N207" s="39"/>
      <c r="O207" s="156"/>
      <c r="P207" s="47"/>
      <c r="Q207" s="57"/>
      <c r="R207" s="271" t="str">
        <f ca="1">IF(D207="","",IF(OFFSET(D207,-1,0)&lt;&gt;"","",IF(OR(J207="リード付け",J207="巻足し",J207="巻返しリード付け"),M207,VLOOKUP(D207,契約台帳!$A$3:$N$4986,14,FALSE))))</f>
        <v/>
      </c>
      <c r="S207" s="272" t="str">
        <f ca="1">IF(D207="","",IF(OFFSET(D207,-1,0)&lt;&gt;"","",IF(OR(J207="リード付け",J207="巻足し",J207="巻返しリード付け"),M207,VLOOKUP(D207,契約台帳!$A$3:$O$4986,15,FALSE))))</f>
        <v/>
      </c>
      <c r="T207" s="273" t="str">
        <f ca="1">IF(D207="","",IF(J207="リード付け",N207,IF(J207="巻返しリード付け",N207,IF(J207="巻足し",N207*P207+OFFSET(N207,1,0)*OFFSET(P207,1,0),VLOOKUP(D207,契約台帳!$A$3:$P$4986,16,FALSE)))))</f>
        <v/>
      </c>
      <c r="U207" s="40"/>
      <c r="V207" s="274" t="str">
        <f ca="1">IF(D207="","",IF(OFFSET(D207,-2,0)=D207,"",VLOOKUP(D207,契約台帳!$A$3:$R$4986,18,FALSE)))</f>
        <v/>
      </c>
      <c r="W207" s="269" t="str">
        <f>IF(D207="","",IF(T207="","",IF(OR(J207="巻足し",J207="巻返しリード付け"),"",IF(J207="巻返し",VLOOKUP(F207&amp;K207&amp;M207,製品マスタ!$M$5:$AD$5002,18,FALSE),IF(OR(J207="リード付け",J207="巻返しリード付け"),"原反コア",IF(J207="スリット",VLOOKUP(F207&amp;K207&amp;R207,製品マスタ!$N$5:$AD$5002,17,FALSE),""))))))</f>
        <v/>
      </c>
      <c r="X207" s="269" t="str">
        <f>IF(D207="","",IF(T207="","",IF(J207="巻足し","",IF(J207="巻返し",VLOOKUP(F207&amp;K207&amp;M207,製品マスタ!$M$5:$AE$5002,19,FALSE),IF(OR(J207="リード付け",J207="巻返しリード付け"),"",IF(J207="スリット",VLOOKUP(F207&amp;K207&amp;R207,製品マスタ!$N$5:$AE$5002,18,FALSE),""))))))</f>
        <v/>
      </c>
      <c r="Y207" s="275" t="str">
        <f>IF(D207="","",IF(T207="","",VLOOKUP(D207,契約台帳!$A$3:$Q$4986,17,FALSE)))</f>
        <v/>
      </c>
      <c r="Z207" s="269" t="str">
        <f>IF(D207="","",IF(T207="","",VLOOKUP(D207,契約台帳!$A$3:$E$4986,5,FALSE)))</f>
        <v/>
      </c>
      <c r="AA207" s="57"/>
      <c r="AB207" s="207" t="str">
        <f>IFERROR((VLOOKUP(F207&amp;K207&amp;M207,製品マスタ!$M$5:$AM$5002,27,FALSE)),"")</f>
        <v/>
      </c>
      <c r="AC207" s="33"/>
      <c r="AD207" s="189"/>
      <c r="AE207" s="54"/>
      <c r="AF207" s="55"/>
      <c r="AG207" s="43"/>
      <c r="AH207" s="47"/>
      <c r="AI207" s="30"/>
      <c r="AJ207" s="30"/>
      <c r="AK207" s="30"/>
      <c r="AL207" s="30"/>
      <c r="AM207" s="13"/>
      <c r="AN207" s="13"/>
      <c r="AO207" s="13"/>
      <c r="AP207" s="13"/>
      <c r="AQ207" s="13"/>
      <c r="AR207" s="14"/>
      <c r="AS207" s="15"/>
    </row>
    <row r="208" spans="1:45" s="17" customFormat="1" ht="30.95" hidden="1" customHeight="1" x14ac:dyDescent="0.2">
      <c r="A208" s="37"/>
      <c r="B208" s="38"/>
      <c r="C208" s="45"/>
      <c r="D208" s="31"/>
      <c r="E208" s="31"/>
      <c r="F208" s="268" t="str">
        <f>IF(D208="","",VLOOKUP(D208,契約台帳!$A$3:$K$4986,6,FALSE)&amp;VLOOKUP(D208,契約台帳!$A$3:$K$4986,7,FALSE)&amp;VLOOKUP(D208,契約台帳!$A$3:$K$4986,8,FALSE)&amp;VLOOKUP(D208,契約台帳!$A$3:$K$4986,9,FALSE)&amp;VLOOKUP(D208,契約台帳!$A$3:$K$4986,11,FALSE))</f>
        <v/>
      </c>
      <c r="G208" s="269" t="str">
        <f>IF(D208="","",VLOOKUP(F208,製品マスタ!$G$5:$H$5002,2,FALSE))</f>
        <v/>
      </c>
      <c r="H208" s="269" t="str">
        <f>IF(D208="","",VLOOKUP(F208,製品マスタ!$G$5:$K$5002,5,FALSE))</f>
        <v/>
      </c>
      <c r="I208" s="270" t="str">
        <f>IF(D208="","",VLOOKUP(F208,製品マスタ!$G$5:$L$5002,6,FALSE))</f>
        <v/>
      </c>
      <c r="J208" s="210"/>
      <c r="K208" s="270" t="str">
        <f>IF(D208="","",VLOOKUP(D208,契約台帳!$A$3:$L$4986,12,FALSE))</f>
        <v/>
      </c>
      <c r="L208" s="270" t="str">
        <f>IF(D208="","",INDEX(製品マスタ!$Q$5:$Q$5002,MATCH('S4'!F208&amp;'S4'!K208,製品マスタ!$AO$5:$AO$5002,0)))</f>
        <v/>
      </c>
      <c r="M208" s="39"/>
      <c r="N208" s="39"/>
      <c r="O208" s="156"/>
      <c r="P208" s="47"/>
      <c r="Q208" s="57"/>
      <c r="R208" s="271" t="str">
        <f ca="1">IF(D208="","",IF(OFFSET(D208,-1,0)&lt;&gt;"","",IF(OR(J208="リード付け",J208="巻足し",J208="巻返しリード付け"),M208,VLOOKUP(D208,契約台帳!$A$3:$N$4986,14,FALSE))))</f>
        <v/>
      </c>
      <c r="S208" s="272" t="str">
        <f ca="1">IF(D208="","",IF(OFFSET(D208,-1,0)&lt;&gt;"","",IF(OR(J208="リード付け",J208="巻足し",J208="巻返しリード付け"),M208,VLOOKUP(D208,契約台帳!$A$3:$O$4986,15,FALSE))))</f>
        <v/>
      </c>
      <c r="T208" s="273" t="str">
        <f ca="1">IF(D208="","",IF(J208="リード付け",N208,IF(J208="巻返しリード付け",N208,IF(J208="巻足し",N208*P208+OFFSET(N208,1,0)*OFFSET(P208,1,0),VLOOKUP(D208,契約台帳!$A$3:$P$4986,16,FALSE)))))</f>
        <v/>
      </c>
      <c r="U208" s="40"/>
      <c r="V208" s="274" t="str">
        <f ca="1">IF(D208="","",IF(OFFSET(D208,-2,0)=D208,"",VLOOKUP(D208,契約台帳!$A$3:$R$4986,18,FALSE)))</f>
        <v/>
      </c>
      <c r="W208" s="269" t="str">
        <f>IF(D208="","",IF(T208="","",IF(OR(J208="巻足し",J208="巻返しリード付け"),"",IF(J208="巻返し",VLOOKUP(F208&amp;K208&amp;M208,製品マスタ!$M$5:$AD$5002,18,FALSE),IF(OR(J208="リード付け",J208="巻返しリード付け"),"原反コア",IF(J208="スリット",VLOOKUP(F208&amp;K208&amp;R208,製品マスタ!$N$5:$AD$5002,17,FALSE),""))))))</f>
        <v/>
      </c>
      <c r="X208" s="269" t="str">
        <f>IF(D208="","",IF(T208="","",IF(J208="巻足し","",IF(J208="巻返し",VLOOKUP(F208&amp;K208&amp;M208,製品マスタ!$M$5:$AE$5002,19,FALSE),IF(OR(J208="リード付け",J208="巻返しリード付け"),"",IF(J208="スリット",VLOOKUP(F208&amp;K208&amp;R208,製品マスタ!$N$5:$AE$5002,18,FALSE),""))))))</f>
        <v/>
      </c>
      <c r="Y208" s="275" t="str">
        <f>IF(D208="","",IF(T208="","",VLOOKUP(D208,契約台帳!$A$3:$Q$4986,17,FALSE)))</f>
        <v/>
      </c>
      <c r="Z208" s="269" t="str">
        <f>IF(D208="","",IF(T208="","",VLOOKUP(D208,契約台帳!$A$3:$E$4986,5,FALSE)))</f>
        <v/>
      </c>
      <c r="AA208" s="57"/>
      <c r="AB208" s="207" t="str">
        <f>IFERROR((VLOOKUP(F208&amp;K208&amp;M208,製品マスタ!$M$5:$AM$5002,27,FALSE)),"")</f>
        <v/>
      </c>
      <c r="AC208" s="33"/>
      <c r="AD208" s="189"/>
      <c r="AE208" s="54"/>
      <c r="AF208" s="55"/>
      <c r="AG208" s="43"/>
      <c r="AH208" s="47"/>
      <c r="AI208" s="30"/>
      <c r="AJ208" s="30"/>
      <c r="AK208" s="30"/>
      <c r="AL208" s="30"/>
      <c r="AM208" s="13"/>
      <c r="AN208" s="13"/>
      <c r="AO208" s="13"/>
      <c r="AP208" s="13"/>
      <c r="AQ208" s="13"/>
      <c r="AR208" s="14"/>
      <c r="AS208" s="15"/>
    </row>
    <row r="209" spans="1:45" s="17" customFormat="1" ht="30.95" hidden="1" customHeight="1" x14ac:dyDescent="0.2">
      <c r="A209" s="37" t="s">
        <v>852</v>
      </c>
      <c r="B209" s="38" t="s">
        <v>442</v>
      </c>
      <c r="C209" s="45"/>
      <c r="D209" s="31">
        <v>3697658</v>
      </c>
      <c r="E209" s="31">
        <v>4161803</v>
      </c>
      <c r="F209" s="268" t="str">
        <f>IF(D209="","",VLOOKUP(D209,契約台帳!$A$3:$K$4986,6,FALSE)&amp;VLOOKUP(D209,契約台帳!$A$3:$K$4986,7,FALSE)&amp;VLOOKUP(D209,契約台帳!$A$3:$K$4986,8,FALSE)&amp;VLOOKUP(D209,契約台帳!$A$3:$K$4986,9,FALSE)&amp;VLOOKUP(D209,契約台帳!$A$3:$K$4986,11,FALSE))</f>
        <v>3SNMLBMNGKKBF</v>
      </c>
      <c r="G209" s="269" t="str">
        <f>IF(D209="","",VLOOKUP(F209,製品マスタ!$G$5:$H$5002,2,FALSE))</f>
        <v>S</v>
      </c>
      <c r="H209" s="269" t="str">
        <f>IF(D209="","",VLOOKUP(F209,製品マスタ!$G$5:$K$5002,5,FALSE))</f>
        <v>MNGKKBF</v>
      </c>
      <c r="I209" s="270" t="str">
        <f>IF(D209="","",VLOOKUP(F209,製品マスタ!$G$5:$L$5002,6,FALSE))</f>
        <v>メタルミー　ネーマー銀消改　Ｂ</v>
      </c>
      <c r="J209" s="210" t="s">
        <v>832</v>
      </c>
      <c r="K209" s="270">
        <f>IF(D209="","",VLOOKUP(D209,契約台帳!$A$3:$L$4986,12,FALSE))</f>
        <v>50</v>
      </c>
      <c r="L209" s="270" t="str">
        <f>IF(D209="","",INDEX(製品マスタ!$Q$5:$Q$5002,MATCH('S4'!F209&amp;'S4'!K209,製品マスタ!$AO$5:$AO$5002,0)))</f>
        <v>S99-MAT</v>
      </c>
      <c r="M209" s="39">
        <v>1120</v>
      </c>
      <c r="N209" s="39">
        <v>4000</v>
      </c>
      <c r="O209" s="156">
        <v>15</v>
      </c>
      <c r="P209" s="47">
        <v>3</v>
      </c>
      <c r="Q209" s="57">
        <v>44965</v>
      </c>
      <c r="R209" s="271">
        <f ca="1">IF(D209="","",IF(OFFSET(D209,-1,0)&lt;&gt;"","",IF(OR(J209="リード付け",J209="巻足し",J209="巻返しリード付け"),M209,VLOOKUP(D209,契約台帳!$A$3:$N$4986,14,FALSE))))</f>
        <v>1120</v>
      </c>
      <c r="S209" s="272">
        <f ca="1">IF(D209="","",IF(OFFSET(D209,-1,0)&lt;&gt;"","",IF(OR(J209="リード付け",J209="巻足し",J209="巻返しリード付け"),M209,VLOOKUP(D209,契約台帳!$A$3:$O$4986,15,FALSE))))</f>
        <v>1120</v>
      </c>
      <c r="T209" s="273">
        <f ca="1">IF(D209="","",IF(J209="リード付け",N209,IF(J209="巻返しリード付け",N209,IF(J209="巻足し",N209*P209+OFFSET(N209,1,0)*OFFSET(P209,1,0),VLOOKUP(D209,契約台帳!$A$3:$P$4986,16,FALSE)))))</f>
        <v>12000</v>
      </c>
      <c r="U209" s="40">
        <v>5</v>
      </c>
      <c r="V209" s="274">
        <f ca="1">IF(D209="","",IF(OFFSET(D209,-2,0)=D209,"",VLOOKUP(D209,契約台帳!$A$3:$R$4986,18,FALSE)))</f>
        <v>15</v>
      </c>
      <c r="W209" s="269" t="str">
        <f ca="1">IF(D209="","",IF(T209="","",IF(OR(J209="巻足し",J209="巻返しリード付け"),"",IF(J209="巻返し",VLOOKUP(F209&amp;K209&amp;M209,製品マスタ!$M$5:$AD$5002,18,FALSE),IF(OR(J209="リード付け",J209="巻返しリード付け"),"原反コア",IF(J209="スリット",VLOOKUP(F209&amp;K209&amp;R209,製品マスタ!$N$5:$AD$5002,17,FALSE),""))))))</f>
        <v/>
      </c>
      <c r="X209" s="269" t="str">
        <f ca="1">IF(D209="","",IF(T209="","",IF(J209="巻足し","",IF(J209="巻返し",VLOOKUP(F209&amp;K209&amp;M209,製品マスタ!$M$5:$AE$5002,19,FALSE),IF(OR(J209="リード付け",J209="巻返しリード付け"),"",IF(J209="スリット",VLOOKUP(F209&amp;K209&amp;R209,製品マスタ!$N$5:$AE$5002,18,FALSE),""))))))</f>
        <v/>
      </c>
      <c r="Y209" s="275">
        <f ca="1">IF(D209="","",IF(T209="","",VLOOKUP(D209,契約台帳!$A$3:$Q$4986,17,FALSE)))</f>
        <v>2</v>
      </c>
      <c r="Z209" s="269" t="str">
        <f ca="1">IF(D209="","",IF(T209="","",VLOOKUP(D209,契約台帳!$A$3:$E$4986,5,FALSE)))</f>
        <v>リンテック㈱</v>
      </c>
      <c r="AA209" s="57"/>
      <c r="AB209" s="207">
        <f>IFERROR((VLOOKUP(F209&amp;K209&amp;M209,製品マスタ!$M$5:$AM$5002,27,FALSE)),"")</f>
        <v>0</v>
      </c>
      <c r="AC209" s="33"/>
      <c r="AD209" s="189"/>
      <c r="AE209" s="54"/>
      <c r="AF209" s="55"/>
      <c r="AG209" s="43"/>
      <c r="AH209" s="47"/>
      <c r="AI209" s="30"/>
      <c r="AJ209" s="30"/>
      <c r="AK209" s="30"/>
      <c r="AL209" s="30"/>
      <c r="AM209" s="13"/>
      <c r="AN209" s="13"/>
      <c r="AO209" s="13"/>
      <c r="AP209" s="13"/>
      <c r="AQ209" s="13"/>
      <c r="AR209" s="14"/>
      <c r="AS209" s="15"/>
    </row>
    <row r="210" spans="1:45" s="17" customFormat="1" ht="30.95" hidden="1" customHeight="1" x14ac:dyDescent="0.2">
      <c r="A210" s="37"/>
      <c r="B210" s="38"/>
      <c r="C210" s="45"/>
      <c r="D210" s="31"/>
      <c r="E210" s="31"/>
      <c r="F210" s="268" t="str">
        <f>IF(D210="","",VLOOKUP(D210,契約台帳!$A$3:$K$4986,6,FALSE)&amp;VLOOKUP(D210,契約台帳!$A$3:$K$4986,7,FALSE)&amp;VLOOKUP(D210,契約台帳!$A$3:$K$4986,8,FALSE)&amp;VLOOKUP(D210,契約台帳!$A$3:$K$4986,9,FALSE)&amp;VLOOKUP(D210,契約台帳!$A$3:$K$4986,11,FALSE))</f>
        <v/>
      </c>
      <c r="G210" s="269" t="str">
        <f>IF(D210="","",VLOOKUP(F210,製品マスタ!$G$5:$H$5002,2,FALSE))</f>
        <v/>
      </c>
      <c r="H210" s="269" t="str">
        <f>IF(D210="","",VLOOKUP(F210,製品マスタ!$G$5:$K$5002,5,FALSE))</f>
        <v/>
      </c>
      <c r="I210" s="270" t="str">
        <f>IF(D210="","",VLOOKUP(F210,製品マスタ!$G$5:$L$5002,6,FALSE))</f>
        <v/>
      </c>
      <c r="J210" s="210"/>
      <c r="K210" s="270" t="str">
        <f>IF(D210="","",VLOOKUP(D210,契約台帳!$A$3:$L$4986,12,FALSE))</f>
        <v/>
      </c>
      <c r="L210" s="270" t="str">
        <f>IF(D210="","",INDEX(製品マスタ!$Q$5:$Q$5002,MATCH('S4'!F210&amp;'S4'!K210,製品マスタ!$AO$5:$AO$5002,0)))</f>
        <v/>
      </c>
      <c r="M210" s="39"/>
      <c r="N210" s="39"/>
      <c r="O210" s="156"/>
      <c r="P210" s="47"/>
      <c r="Q210" s="57"/>
      <c r="R210" s="271" t="str">
        <f ca="1">IF(D210="","",IF(OFFSET(D210,-1,0)&lt;&gt;"","",IF(OR(J210="リード付け",J210="巻足し",J210="巻返しリード付け"),M210,VLOOKUP(D210,契約台帳!$A$3:$N$4986,14,FALSE))))</f>
        <v/>
      </c>
      <c r="S210" s="272" t="str">
        <f ca="1">IF(D210="","",IF(OFFSET(D210,-1,0)&lt;&gt;"","",IF(OR(J210="リード付け",J210="巻足し",J210="巻返しリード付け"),M210,VLOOKUP(D210,契約台帳!$A$3:$O$4986,15,FALSE))))</f>
        <v/>
      </c>
      <c r="T210" s="273" t="str">
        <f ca="1">IF(D210="","",IF(J210="リード付け",N210,IF(J210="巻返しリード付け",N210,IF(J210="巻足し",N210*P210+OFFSET(N210,1,0)*OFFSET(P210,1,0),VLOOKUP(D210,契約台帳!$A$3:$P$4986,16,FALSE)))))</f>
        <v/>
      </c>
      <c r="U210" s="40"/>
      <c r="V210" s="274" t="str">
        <f ca="1">IF(D210="","",IF(OFFSET(D210,-2,0)=D210,"",VLOOKUP(D210,契約台帳!$A$3:$R$4986,18,FALSE)))</f>
        <v/>
      </c>
      <c r="W210" s="269" t="str">
        <f>IF(D210="","",IF(T210="","",IF(OR(J210="巻足し",J210="巻返しリード付け"),"",IF(J210="巻返し",VLOOKUP(F210&amp;K210&amp;M210,製品マスタ!$M$5:$AD$5002,18,FALSE),IF(OR(J210="リード付け",J210="巻返しリード付け"),"原反コア",IF(J210="スリット",VLOOKUP(F210&amp;K210&amp;R210,製品マスタ!$N$5:$AD$5002,17,FALSE),""))))))</f>
        <v/>
      </c>
      <c r="X210" s="269" t="str">
        <f>IF(D210="","",IF(T210="","",IF(J210="巻足し","",IF(J210="巻返し",VLOOKUP(F210&amp;K210&amp;M210,製品マスタ!$M$5:$AE$5002,19,FALSE),IF(OR(J210="リード付け",J210="巻返しリード付け"),"",IF(J210="スリット",VLOOKUP(F210&amp;K210&amp;R210,製品マスタ!$N$5:$AE$5002,18,FALSE),""))))))</f>
        <v/>
      </c>
      <c r="Y210" s="275" t="str">
        <f>IF(D210="","",IF(T210="","",VLOOKUP(D210,契約台帳!$A$3:$Q$4986,17,FALSE)))</f>
        <v/>
      </c>
      <c r="Z210" s="269" t="str">
        <f>IF(D210="","",IF(T210="","",VLOOKUP(D210,契約台帳!$A$3:$E$4986,5,FALSE)))</f>
        <v/>
      </c>
      <c r="AA210" s="57"/>
      <c r="AB210" s="207" t="str">
        <f>IFERROR((VLOOKUP(F210&amp;K210&amp;M210,製品マスタ!$M$5:$AM$5002,27,FALSE)),"")</f>
        <v/>
      </c>
      <c r="AC210" s="33"/>
      <c r="AD210" s="189"/>
      <c r="AE210" s="54"/>
      <c r="AF210" s="55"/>
      <c r="AG210" s="43"/>
      <c r="AH210" s="47"/>
      <c r="AI210" s="30"/>
      <c r="AJ210" s="30"/>
      <c r="AK210" s="30"/>
      <c r="AL210" s="30"/>
      <c r="AM210" s="13"/>
      <c r="AN210" s="13"/>
      <c r="AO210" s="13"/>
      <c r="AP210" s="13"/>
      <c r="AQ210" s="13"/>
      <c r="AR210" s="14"/>
      <c r="AS210" s="15"/>
    </row>
    <row r="211" spans="1:45" s="17" customFormat="1" ht="30.95" hidden="1" customHeight="1" x14ac:dyDescent="0.2">
      <c r="A211" s="37" t="s">
        <v>853</v>
      </c>
      <c r="B211" s="38" t="s">
        <v>443</v>
      </c>
      <c r="C211" s="45"/>
      <c r="D211" s="31">
        <v>3697679</v>
      </c>
      <c r="E211" s="31">
        <v>4161797</v>
      </c>
      <c r="F211" s="268" t="str">
        <f>IF(D211="","",VLOOKUP(D211,契約台帳!$A$3:$K$4986,6,FALSE)&amp;VLOOKUP(D211,契約台帳!$A$3:$K$4986,7,FALSE)&amp;VLOOKUP(D211,契約台帳!$A$3:$K$4986,8,FALSE)&amp;VLOOKUP(D211,契約台帳!$A$3:$K$4986,9,FALSE)&amp;VLOOKUP(D211,契約台帳!$A$3:$K$4986,11,FALSE))</f>
        <v>3SNMCLBHLGTV</v>
      </c>
      <c r="G211" s="269" t="str">
        <f>IF(D211="","",VLOOKUP(F211,製品マスタ!$G$5:$H$5002,2,FALSE))</f>
        <v>S</v>
      </c>
      <c r="H211" s="269" t="str">
        <f>IF(D211="","",VLOOKUP(F211,製品マスタ!$G$5:$K$5002,5,FALSE))</f>
        <v>HLGTV</v>
      </c>
      <c r="I211" s="270" t="str">
        <f>IF(D211="","",VLOOKUP(F211,製品マスタ!$G$5:$L$5002,6,FALSE))</f>
        <v>メタルミー　ヘヤライン　銀艶Ｖ</v>
      </c>
      <c r="J211" s="210" t="s">
        <v>832</v>
      </c>
      <c r="K211" s="270">
        <f>IF(D211="","",VLOOKUP(D211,契約台帳!$A$3:$L$4986,12,FALSE))</f>
        <v>50</v>
      </c>
      <c r="L211" s="270" t="str">
        <f>IF(D211="","",INDEX(製品マスタ!$Q$5:$Q$5002,MATCH('S4'!F211&amp;'S4'!K211,製品マスタ!$AO$5:$AO$5002,0)))</f>
        <v>BRIGHT</v>
      </c>
      <c r="M211" s="39">
        <v>1005</v>
      </c>
      <c r="N211" s="39">
        <v>4000</v>
      </c>
      <c r="O211" s="156">
        <v>9</v>
      </c>
      <c r="P211" s="47">
        <v>3</v>
      </c>
      <c r="Q211" s="57">
        <v>44965</v>
      </c>
      <c r="R211" s="271">
        <f ca="1">IF(D211="","",IF(OFFSET(D211,-1,0)&lt;&gt;"","",IF(OR(J211="リード付け",J211="巻足し",J211="巻返しリード付け"),M211,VLOOKUP(D211,契約台帳!$A$3:$N$4986,14,FALSE))))</f>
        <v>1005</v>
      </c>
      <c r="S211" s="272">
        <f ca="1">IF(D211="","",IF(OFFSET(D211,-1,0)&lt;&gt;"","",IF(OR(J211="リード付け",J211="巻足し",J211="巻返しリード付け"),M211,VLOOKUP(D211,契約台帳!$A$3:$O$4986,15,FALSE))))</f>
        <v>1005</v>
      </c>
      <c r="T211" s="273">
        <f ca="1">IF(D211="","",IF(J211="リード付け",N211,IF(J211="巻返しリード付け",N211,IF(J211="巻足し",N211*P211+OFFSET(N211,1,0)*OFFSET(P211,1,0),VLOOKUP(D211,契約台帳!$A$3:$P$4986,16,FALSE)))))</f>
        <v>12000</v>
      </c>
      <c r="U211" s="40">
        <v>3</v>
      </c>
      <c r="V211" s="274">
        <f ca="1">IF(D211="","",IF(OFFSET(D211,-2,0)=D211,"",VLOOKUP(D211,契約台帳!$A$3:$R$4986,18,FALSE)))</f>
        <v>9</v>
      </c>
      <c r="W211" s="269" t="str">
        <f ca="1">IF(D211="","",IF(T211="","",IF(OR(J211="巻足し",J211="巻返しリード付け"),"",IF(J211="巻返し",VLOOKUP(F211&amp;K211&amp;M211,製品マスタ!$M$5:$AD$5002,18,FALSE),IF(OR(J211="リード付け",J211="巻返しリード付け"),"原反コア",IF(J211="スリット",VLOOKUP(F211&amp;K211&amp;R211,製品マスタ!$N$5:$AD$5002,17,FALSE),""))))))</f>
        <v/>
      </c>
      <c r="X211" s="269" t="str">
        <f ca="1">IF(D211="","",IF(T211="","",IF(J211="巻足し","",IF(J211="巻返し",VLOOKUP(F211&amp;K211&amp;M211,製品マスタ!$M$5:$AE$5002,19,FALSE),IF(OR(J211="リード付け",J211="巻返しリード付け"),"",IF(J211="スリット",VLOOKUP(F211&amp;K211&amp;R211,製品マスタ!$N$5:$AE$5002,18,FALSE),""))))))</f>
        <v/>
      </c>
      <c r="Y211" s="275">
        <f ca="1">IF(D211="","",IF(T211="","",VLOOKUP(D211,契約台帳!$A$3:$Q$4986,17,FALSE)))</f>
        <v>2</v>
      </c>
      <c r="Z211" s="269" t="str">
        <f ca="1">IF(D211="","",IF(T211="","",VLOOKUP(D211,契約台帳!$A$3:$E$4986,5,FALSE)))</f>
        <v>リンテック㈱</v>
      </c>
      <c r="AA211" s="57"/>
      <c r="AB211" s="207">
        <f>IFERROR((VLOOKUP(F211&amp;K211&amp;M211,製品マスタ!$M$5:$AM$5002,27,FALSE)),"")</f>
        <v>0</v>
      </c>
      <c r="AC211" s="33"/>
      <c r="AD211" s="189"/>
      <c r="AE211" s="54"/>
      <c r="AF211" s="55"/>
      <c r="AG211" s="43"/>
      <c r="AH211" s="47"/>
      <c r="AI211" s="30"/>
      <c r="AJ211" s="30"/>
      <c r="AK211" s="30"/>
      <c r="AL211" s="30"/>
      <c r="AM211" s="13"/>
      <c r="AN211" s="13"/>
      <c r="AO211" s="13"/>
      <c r="AP211" s="13"/>
      <c r="AQ211" s="13"/>
      <c r="AR211" s="14"/>
      <c r="AS211" s="15"/>
    </row>
    <row r="212" spans="1:45" s="17" customFormat="1" ht="30.95" hidden="1" customHeight="1" x14ac:dyDescent="0.2">
      <c r="A212" s="37"/>
      <c r="B212" s="38"/>
      <c r="C212" s="45"/>
      <c r="D212" s="31"/>
      <c r="E212" s="31"/>
      <c r="F212" s="268" t="str">
        <f>IF(D212="","",VLOOKUP(D212,契約台帳!$A$3:$K$4986,6,FALSE)&amp;VLOOKUP(D212,契約台帳!$A$3:$K$4986,7,FALSE)&amp;VLOOKUP(D212,契約台帳!$A$3:$K$4986,8,FALSE)&amp;VLOOKUP(D212,契約台帳!$A$3:$K$4986,9,FALSE)&amp;VLOOKUP(D212,契約台帳!$A$3:$K$4986,11,FALSE))</f>
        <v/>
      </c>
      <c r="G212" s="269" t="str">
        <f>IF(D212="","",VLOOKUP(F212,製品マスタ!$G$5:$H$5002,2,FALSE))</f>
        <v/>
      </c>
      <c r="H212" s="269" t="str">
        <f>IF(D212="","",VLOOKUP(F212,製品マスタ!$G$5:$K$5002,5,FALSE))</f>
        <v/>
      </c>
      <c r="I212" s="270" t="str">
        <f>IF(D212="","",VLOOKUP(F212,製品マスタ!$G$5:$L$5002,6,FALSE))</f>
        <v/>
      </c>
      <c r="J212" s="210"/>
      <c r="K212" s="270" t="str">
        <f>IF(D212="","",VLOOKUP(D212,契約台帳!$A$3:$L$4986,12,FALSE))</f>
        <v/>
      </c>
      <c r="L212" s="270" t="str">
        <f>IF(D212="","",INDEX(製品マスタ!$Q$5:$Q$5002,MATCH('S4'!F212&amp;'S4'!K212,製品マスタ!$AO$5:$AO$5002,0)))</f>
        <v/>
      </c>
      <c r="M212" s="39"/>
      <c r="N212" s="39"/>
      <c r="O212" s="156"/>
      <c r="P212" s="47"/>
      <c r="Q212" s="57"/>
      <c r="R212" s="271" t="str">
        <f ca="1">IF(D212="","",IF(OFFSET(D212,-1,0)&lt;&gt;"","",IF(OR(J212="リード付け",J212="巻足し",J212="巻返しリード付け"),M212,VLOOKUP(D212,契約台帳!$A$3:$N$4986,14,FALSE))))</f>
        <v/>
      </c>
      <c r="S212" s="272" t="str">
        <f ca="1">IF(D212="","",IF(OFFSET(D212,-1,0)&lt;&gt;"","",IF(OR(J212="リード付け",J212="巻足し",J212="巻返しリード付け"),M212,VLOOKUP(D212,契約台帳!$A$3:$O$4986,15,FALSE))))</f>
        <v/>
      </c>
      <c r="T212" s="273" t="str">
        <f ca="1">IF(D212="","",IF(J212="リード付け",N212,IF(J212="巻返しリード付け",N212,IF(J212="巻足し",N212*P212+OFFSET(N212,1,0)*OFFSET(P212,1,0),VLOOKUP(D212,契約台帳!$A$3:$P$4986,16,FALSE)))))</f>
        <v/>
      </c>
      <c r="U212" s="40"/>
      <c r="V212" s="274" t="str">
        <f ca="1">IF(D212="","",IF(OFFSET(D212,-2,0)=D212,"",VLOOKUP(D212,契約台帳!$A$3:$R$4986,18,FALSE)))</f>
        <v/>
      </c>
      <c r="W212" s="269" t="str">
        <f>IF(D212="","",IF(T212="","",IF(OR(J212="巻足し",J212="巻返しリード付け"),"",IF(J212="巻返し",VLOOKUP(F212&amp;K212&amp;M212,製品マスタ!$M$5:$AD$5002,18,FALSE),IF(OR(J212="リード付け",J212="巻返しリード付け"),"原反コア",IF(J212="スリット",VLOOKUP(F212&amp;K212&amp;R212,製品マスタ!$N$5:$AD$5002,17,FALSE),""))))))</f>
        <v/>
      </c>
      <c r="X212" s="269" t="str">
        <f>IF(D212="","",IF(T212="","",IF(J212="巻足し","",IF(J212="巻返し",VLOOKUP(F212&amp;K212&amp;M212,製品マスタ!$M$5:$AE$5002,19,FALSE),IF(OR(J212="リード付け",J212="巻返しリード付け"),"",IF(J212="スリット",VLOOKUP(F212&amp;K212&amp;R212,製品マスタ!$N$5:$AE$5002,18,FALSE),""))))))</f>
        <v/>
      </c>
      <c r="Y212" s="275" t="str">
        <f>IF(D212="","",IF(T212="","",VLOOKUP(D212,契約台帳!$A$3:$Q$4986,17,FALSE)))</f>
        <v/>
      </c>
      <c r="Z212" s="269" t="str">
        <f>IF(D212="","",IF(T212="","",VLOOKUP(D212,契約台帳!$A$3:$E$4986,5,FALSE)))</f>
        <v/>
      </c>
      <c r="AA212" s="57"/>
      <c r="AB212" s="207" t="str">
        <f>IFERROR((VLOOKUP(F212&amp;K212&amp;M212,製品マスタ!$M$5:$AM$5002,27,FALSE)),"")</f>
        <v/>
      </c>
      <c r="AC212" s="33"/>
      <c r="AD212" s="189"/>
      <c r="AE212" s="54"/>
      <c r="AF212" s="55"/>
      <c r="AG212" s="43"/>
      <c r="AH212" s="47"/>
      <c r="AI212" s="30"/>
      <c r="AJ212" s="30"/>
      <c r="AK212" s="30"/>
      <c r="AL212" s="30"/>
      <c r="AM212" s="13"/>
      <c r="AN212" s="13"/>
      <c r="AO212" s="13"/>
      <c r="AP212" s="13"/>
      <c r="AQ212" s="13"/>
      <c r="AR212" s="14"/>
      <c r="AS212" s="15"/>
    </row>
    <row r="213" spans="1:45" s="17" customFormat="1" ht="30.95" hidden="1" customHeight="1" x14ac:dyDescent="0.2">
      <c r="A213" s="37" t="s">
        <v>871</v>
      </c>
      <c r="B213" s="38" t="s">
        <v>872</v>
      </c>
      <c r="C213" s="45"/>
      <c r="D213" s="31">
        <v>3697673</v>
      </c>
      <c r="E213" s="31">
        <v>4161792</v>
      </c>
      <c r="F213" s="268" t="str">
        <f>IF(D213="","",VLOOKUP(D213,契約台帳!$A$3:$K$4986,6,FALSE)&amp;VLOOKUP(D213,契約台帳!$A$3:$K$4986,7,FALSE)&amp;VLOOKUP(D213,契約台帳!$A$3:$K$4986,8,FALSE)&amp;VLOOKUP(D213,契約台帳!$A$3:$K$4986,9,FALSE)&amp;VLOOKUP(D213,契約台帳!$A$3:$K$4986,11,FALSE))</f>
        <v>33SSNMCLBTETKFV</v>
      </c>
      <c r="G213" s="269" t="str">
        <f>IF(D213="","",VLOOKUP(F213,製品マスタ!$G$5:$H$5002,2,FALSE))</f>
        <v>S</v>
      </c>
      <c r="H213" s="269" t="str">
        <f>IF(D213="","",VLOOKUP(F213,製品マスタ!$G$5:$K$5002,5,FALSE))</f>
        <v>TETKFV</v>
      </c>
      <c r="I213" s="270" t="str">
        <f>IF(D213="","",VLOOKUP(F213,製品マスタ!$G$5:$L$5002,6,FALSE))</f>
        <v>メタルミー　ＴＥＳ艶開封　Ｖ</v>
      </c>
      <c r="J213" s="210" t="s">
        <v>832</v>
      </c>
      <c r="K213" s="270">
        <f>IF(D213="","",VLOOKUP(D213,契約台帳!$A$3:$L$4986,12,FALSE))</f>
        <v>50</v>
      </c>
      <c r="L213" s="270" t="str">
        <f>IF(D213="","",INDEX(製品マスタ!$Q$5:$Q$5002,MATCH('S4'!F213&amp;'S4'!K213,製品マスタ!$AO$5:$AO$5002,0)))</f>
        <v>S28SEPA</v>
      </c>
      <c r="M213" s="39">
        <v>1005</v>
      </c>
      <c r="N213" s="39">
        <v>4100</v>
      </c>
      <c r="O213" s="156">
        <v>3</v>
      </c>
      <c r="P213" s="47">
        <v>3</v>
      </c>
      <c r="Q213" s="57">
        <v>44967</v>
      </c>
      <c r="R213" s="271">
        <f ca="1">IF(D213="","",IF(OFFSET(D213,-1,0)&lt;&gt;"","",IF(OR(J213="リード付け",J213="巻足し",J213="巻返しリード付け"),M213,VLOOKUP(D213,契約台帳!$A$3:$N$4986,14,FALSE))))</f>
        <v>1005</v>
      </c>
      <c r="S213" s="272">
        <f ca="1">IF(D213="","",IF(OFFSET(D213,-1,0)&lt;&gt;"","",IF(OR(J213="リード付け",J213="巻足し",J213="巻返しリード付け"),M213,VLOOKUP(D213,契約台帳!$A$3:$O$4986,15,FALSE))))</f>
        <v>1005</v>
      </c>
      <c r="T213" s="273">
        <f ca="1">IF(D213="","",IF(J213="リード付け",N213,IF(J213="巻返しリード付け",N213,IF(J213="巻足し",N213*P213+OFFSET(N213,1,0)*OFFSET(P213,1,0),VLOOKUP(D213,契約台帳!$A$3:$P$4986,16,FALSE)))))</f>
        <v>12300</v>
      </c>
      <c r="U213" s="40">
        <v>1</v>
      </c>
      <c r="V213" s="274">
        <f ca="1">IF(D213="","",IF(OFFSET(D213,-2,0)=D213,"",VLOOKUP(D213,契約台帳!$A$3:$R$4986,18,FALSE)))</f>
        <v>3</v>
      </c>
      <c r="W213" s="269" t="str">
        <f ca="1">IF(D213="","",IF(T213="","",IF(OR(J213="巻足し",J213="巻返しリード付け"),"",IF(J213="巻返し",VLOOKUP(F213&amp;K213&amp;M213,製品マスタ!$M$5:$AD$5002,18,FALSE),IF(OR(J213="リード付け",J213="巻返しリード付け"),"原反コア",IF(J213="スリット",VLOOKUP(F213&amp;K213&amp;R213,製品マスタ!$N$5:$AD$5002,17,FALSE),""))))))</f>
        <v/>
      </c>
      <c r="X213" s="269" t="str">
        <f ca="1">IF(D213="","",IF(T213="","",IF(J213="巻足し","",IF(J213="巻返し",VLOOKUP(F213&amp;K213&amp;M213,製品マスタ!$M$5:$AE$5002,19,FALSE),IF(OR(J213="リード付け",J213="巻返しリード付け"),"",IF(J213="スリット",VLOOKUP(F213&amp;K213&amp;R213,製品マスタ!$N$5:$AE$5002,18,FALSE),""))))))</f>
        <v/>
      </c>
      <c r="Y213" s="275">
        <f ca="1">IF(D213="","",IF(T213="","",VLOOKUP(D213,契約台帳!$A$3:$Q$4986,17,FALSE)))</f>
        <v>2</v>
      </c>
      <c r="Z213" s="269" t="str">
        <f ca="1">IF(D213="","",IF(T213="","",VLOOKUP(D213,契約台帳!$A$3:$E$4986,5,FALSE)))</f>
        <v>リンテック㈱</v>
      </c>
      <c r="AA213" s="57"/>
      <c r="AB213" s="207">
        <f>IFERROR((VLOOKUP(F213&amp;K213&amp;M213,製品マスタ!$M$5:$AM$5002,27,FALSE)),"")</f>
        <v>0</v>
      </c>
      <c r="AC213" s="33"/>
      <c r="AD213" s="189"/>
      <c r="AE213" s="54"/>
      <c r="AF213" s="55"/>
      <c r="AG213" s="43"/>
      <c r="AH213" s="47"/>
      <c r="AI213" s="30"/>
      <c r="AJ213" s="30"/>
      <c r="AK213" s="30"/>
      <c r="AL213" s="30"/>
      <c r="AM213" s="13"/>
      <c r="AN213" s="13"/>
      <c r="AO213" s="13"/>
      <c r="AP213" s="13"/>
      <c r="AQ213" s="13"/>
      <c r="AR213" s="14"/>
      <c r="AS213" s="15"/>
    </row>
    <row r="214" spans="1:45" s="17" customFormat="1" ht="30.95" hidden="1" customHeight="1" x14ac:dyDescent="0.2">
      <c r="A214" s="37"/>
      <c r="B214" s="38"/>
      <c r="C214" s="45"/>
      <c r="D214" s="31"/>
      <c r="E214" s="31"/>
      <c r="F214" s="268" t="str">
        <f>IF(D214="","",VLOOKUP(D214,契約台帳!$A$3:$K$4986,6,FALSE)&amp;VLOOKUP(D214,契約台帳!$A$3:$K$4986,7,FALSE)&amp;VLOOKUP(D214,契約台帳!$A$3:$K$4986,8,FALSE)&amp;VLOOKUP(D214,契約台帳!$A$3:$K$4986,9,FALSE)&amp;VLOOKUP(D214,契約台帳!$A$3:$K$4986,11,FALSE))</f>
        <v/>
      </c>
      <c r="G214" s="269" t="str">
        <f>IF(D214="","",VLOOKUP(F214,製品マスタ!$G$5:$H$5002,2,FALSE))</f>
        <v/>
      </c>
      <c r="H214" s="269" t="str">
        <f>IF(D214="","",VLOOKUP(F214,製品マスタ!$G$5:$K$5002,5,FALSE))</f>
        <v/>
      </c>
      <c r="I214" s="270" t="str">
        <f>IF(D214="","",VLOOKUP(F214,製品マスタ!$G$5:$L$5002,6,FALSE))</f>
        <v/>
      </c>
      <c r="J214" s="210"/>
      <c r="K214" s="270" t="str">
        <f>IF(D214="","",VLOOKUP(D214,契約台帳!$A$3:$L$4986,12,FALSE))</f>
        <v/>
      </c>
      <c r="L214" s="270" t="str">
        <f>IF(D214="","",INDEX(製品マスタ!$Q$5:$Q$5002,MATCH('S4'!F214&amp;'S4'!K214,製品マスタ!$AO$5:$AO$5002,0)))</f>
        <v/>
      </c>
      <c r="M214" s="39"/>
      <c r="N214" s="39"/>
      <c r="O214" s="156"/>
      <c r="P214" s="47"/>
      <c r="Q214" s="57"/>
      <c r="R214" s="271" t="str">
        <f ca="1">IF(D214="","",IF(OFFSET(D214,-1,0)&lt;&gt;"","",IF(OR(J214="リード付け",J214="巻足し",J214="巻返しリード付け"),M214,VLOOKUP(D214,契約台帳!$A$3:$N$4986,14,FALSE))))</f>
        <v/>
      </c>
      <c r="S214" s="272" t="str">
        <f ca="1">IF(D214="","",IF(OFFSET(D214,-1,0)&lt;&gt;"","",IF(OR(J214="リード付け",J214="巻足し",J214="巻返しリード付け"),M214,VLOOKUP(D214,契約台帳!$A$3:$O$4986,15,FALSE))))</f>
        <v/>
      </c>
      <c r="T214" s="273" t="str">
        <f ca="1">IF(D214="","",IF(J214="リード付け",N214,IF(J214="巻返しリード付け",N214,IF(J214="巻足し",N214*P214+OFFSET(N214,1,0)*OFFSET(P214,1,0),VLOOKUP(D214,契約台帳!$A$3:$P$4986,16,FALSE)))))</f>
        <v/>
      </c>
      <c r="U214" s="40"/>
      <c r="V214" s="274" t="str">
        <f ca="1">IF(D214="","",IF(OFFSET(D214,-2,0)=D214,"",VLOOKUP(D214,契約台帳!$A$3:$R$4986,18,FALSE)))</f>
        <v/>
      </c>
      <c r="W214" s="269" t="str">
        <f>IF(D214="","",IF(T214="","",IF(OR(J214="巻足し",J214="巻返しリード付け"),"",IF(J214="巻返し",VLOOKUP(F214&amp;K214&amp;M214,製品マスタ!$M$5:$AD$5002,18,FALSE),IF(OR(J214="リード付け",J214="巻返しリード付け"),"原反コア",IF(J214="スリット",VLOOKUP(F214&amp;K214&amp;R214,製品マスタ!$N$5:$AD$5002,17,FALSE),""))))))</f>
        <v/>
      </c>
      <c r="X214" s="269" t="str">
        <f>IF(D214="","",IF(T214="","",IF(J214="巻足し","",IF(J214="巻返し",VLOOKUP(F214&amp;K214&amp;M214,製品マスタ!$M$5:$AE$5002,19,FALSE),IF(OR(J214="リード付け",J214="巻返しリード付け"),"",IF(J214="スリット",VLOOKUP(F214&amp;K214&amp;R214,製品マスタ!$N$5:$AE$5002,18,FALSE),""))))))</f>
        <v/>
      </c>
      <c r="Y214" s="275" t="str">
        <f>IF(D214="","",IF(T214="","",VLOOKUP(D214,契約台帳!$A$3:$Q$4986,17,FALSE)))</f>
        <v/>
      </c>
      <c r="Z214" s="269" t="str">
        <f>IF(D214="","",IF(T214="","",VLOOKUP(D214,契約台帳!$A$3:$E$4986,5,FALSE)))</f>
        <v/>
      </c>
      <c r="AA214" s="57"/>
      <c r="AB214" s="207" t="str">
        <f>IFERROR((VLOOKUP(F214&amp;K214&amp;M214,製品マスタ!$M$5:$AM$5002,27,FALSE)),"")</f>
        <v/>
      </c>
      <c r="AC214" s="33"/>
      <c r="AD214" s="189"/>
      <c r="AE214" s="54"/>
      <c r="AF214" s="55"/>
      <c r="AG214" s="43"/>
      <c r="AH214" s="47"/>
      <c r="AI214" s="30"/>
      <c r="AJ214" s="30"/>
      <c r="AK214" s="30"/>
      <c r="AL214" s="30"/>
      <c r="AM214" s="13"/>
      <c r="AN214" s="13"/>
      <c r="AO214" s="13"/>
      <c r="AP214" s="13"/>
      <c r="AQ214" s="13"/>
      <c r="AR214" s="14"/>
      <c r="AS214" s="15"/>
    </row>
    <row r="215" spans="1:45" s="17" customFormat="1" ht="30.95" hidden="1" customHeight="1" x14ac:dyDescent="0.2">
      <c r="A215" s="37"/>
      <c r="B215" s="38"/>
      <c r="C215" s="45"/>
      <c r="D215" s="31">
        <v>3697671</v>
      </c>
      <c r="E215" s="31">
        <v>4161790</v>
      </c>
      <c r="F215" s="268" t="str">
        <f>IF(D215="","",VLOOKUP(D215,契約台帳!$A$3:$K$4986,6,FALSE)&amp;VLOOKUP(D215,契約台帳!$A$3:$K$4986,7,FALSE)&amp;VLOOKUP(D215,契約台帳!$A$3:$K$4986,8,FALSE)&amp;VLOOKUP(D215,契約台帳!$A$3:$K$4986,9,FALSE)&amp;VLOOKUP(D215,契約台帳!$A$3:$K$4986,11,FALSE))</f>
        <v>33SSNMCLBTEKKFV</v>
      </c>
      <c r="G215" s="269" t="str">
        <f>IF(D215="","",VLOOKUP(F215,製品マスタ!$G$5:$H$5002,2,FALSE))</f>
        <v>S</v>
      </c>
      <c r="H215" s="269" t="str">
        <f>IF(D215="","",VLOOKUP(F215,製品マスタ!$G$5:$K$5002,5,FALSE))</f>
        <v>TEKKFV</v>
      </c>
      <c r="I215" s="270" t="str">
        <f>IF(D215="","",VLOOKUP(F215,製品マスタ!$G$5:$L$5002,6,FALSE))</f>
        <v>メタルミー　ＴＥＳ消開封　Ｖ</v>
      </c>
      <c r="J215" s="210" t="s">
        <v>832</v>
      </c>
      <c r="K215" s="270">
        <f>IF(D215="","",VLOOKUP(D215,契約台帳!$A$3:$L$4986,12,FALSE))</f>
        <v>50</v>
      </c>
      <c r="L215" s="270" t="str">
        <f>IF(D215="","",INDEX(製品マスタ!$Q$5:$Q$5002,MATCH('S4'!F215&amp;'S4'!K215,製品マスタ!$AO$5:$AO$5002,0)))</f>
        <v>X44SEPA</v>
      </c>
      <c r="M215" s="39">
        <v>1005</v>
      </c>
      <c r="N215" s="39">
        <v>4000</v>
      </c>
      <c r="O215" s="156">
        <v>3</v>
      </c>
      <c r="P215" s="47">
        <v>3</v>
      </c>
      <c r="Q215" s="57">
        <v>44967</v>
      </c>
      <c r="R215" s="271">
        <f ca="1">IF(D215="","",IF(OFFSET(D215,-1,0)&lt;&gt;"","",IF(OR(J215="リード付け",J215="巻足し",J215="巻返しリード付け"),M215,VLOOKUP(D215,契約台帳!$A$3:$N$4986,14,FALSE))))</f>
        <v>1005</v>
      </c>
      <c r="S215" s="272">
        <f ca="1">IF(D215="","",IF(OFFSET(D215,-1,0)&lt;&gt;"","",IF(OR(J215="リード付け",J215="巻足し",J215="巻返しリード付け"),M215,VLOOKUP(D215,契約台帳!$A$3:$O$4986,15,FALSE))))</f>
        <v>1005</v>
      </c>
      <c r="T215" s="273">
        <f ca="1">IF(D215="","",IF(J215="リード付け",N215,IF(J215="巻返しリード付け",N215,IF(J215="巻足し",N215*P215+OFFSET(N215,1,0)*OFFSET(P215,1,0),VLOOKUP(D215,契約台帳!$A$3:$P$4986,16,FALSE)))))</f>
        <v>12000</v>
      </c>
      <c r="U215" s="40">
        <v>1</v>
      </c>
      <c r="V215" s="274">
        <f ca="1">IF(D215="","",IF(OFFSET(D215,-2,0)=D215,"",VLOOKUP(D215,契約台帳!$A$3:$R$4986,18,FALSE)))</f>
        <v>3</v>
      </c>
      <c r="W215" s="269" t="str">
        <f ca="1">IF(D215="","",IF(T215="","",IF(OR(J215="巻足し",J215="巻返しリード付け"),"",IF(J215="巻返し",VLOOKUP(F215&amp;K215&amp;M215,製品マスタ!$M$5:$AD$5002,18,FALSE),IF(OR(J215="リード付け",J215="巻返しリード付け"),"原反コア",IF(J215="スリット",VLOOKUP(F215&amp;K215&amp;R215,製品マスタ!$N$5:$AD$5002,17,FALSE),""))))))</f>
        <v/>
      </c>
      <c r="X215" s="269" t="str">
        <f ca="1">IF(D215="","",IF(T215="","",IF(J215="巻足し","",IF(J215="巻返し",VLOOKUP(F215&amp;K215&amp;M215,製品マスタ!$M$5:$AE$5002,19,FALSE),IF(OR(J215="リード付け",J215="巻返しリード付け"),"",IF(J215="スリット",VLOOKUP(F215&amp;K215&amp;R215,製品マスタ!$N$5:$AE$5002,18,FALSE),""))))))</f>
        <v/>
      </c>
      <c r="Y215" s="275">
        <f ca="1">IF(D215="","",IF(T215="","",VLOOKUP(D215,契約台帳!$A$3:$Q$4986,17,FALSE)))</f>
        <v>2</v>
      </c>
      <c r="Z215" s="269" t="str">
        <f ca="1">IF(D215="","",IF(T215="","",VLOOKUP(D215,契約台帳!$A$3:$E$4986,5,FALSE)))</f>
        <v>リンテック㈱</v>
      </c>
      <c r="AA215" s="57"/>
      <c r="AB215" s="207">
        <f>IFERROR((VLOOKUP(F215&amp;K215&amp;M215,製品マスタ!$M$5:$AM$5002,27,FALSE)),"")</f>
        <v>0</v>
      </c>
      <c r="AC215" s="33"/>
      <c r="AD215" s="189"/>
      <c r="AE215" s="54"/>
      <c r="AF215" s="55"/>
      <c r="AG215" s="43"/>
      <c r="AH215" s="47"/>
      <c r="AI215" s="30"/>
      <c r="AJ215" s="30"/>
      <c r="AK215" s="30"/>
      <c r="AL215" s="30"/>
      <c r="AM215" s="13"/>
      <c r="AN215" s="13"/>
      <c r="AO215" s="13"/>
      <c r="AP215" s="13"/>
      <c r="AQ215" s="13"/>
      <c r="AR215" s="14"/>
      <c r="AS215" s="15"/>
    </row>
    <row r="216" spans="1:45" s="17" customFormat="1" ht="30.95" hidden="1" customHeight="1" x14ac:dyDescent="0.2">
      <c r="A216" s="37"/>
      <c r="B216" s="38"/>
      <c r="C216" s="45"/>
      <c r="D216" s="31"/>
      <c r="E216" s="31"/>
      <c r="F216" s="268" t="str">
        <f>IF(D216="","",VLOOKUP(D216,契約台帳!$A$3:$K$4986,6,FALSE)&amp;VLOOKUP(D216,契約台帳!$A$3:$K$4986,7,FALSE)&amp;VLOOKUP(D216,契約台帳!$A$3:$K$4986,8,FALSE)&amp;VLOOKUP(D216,契約台帳!$A$3:$K$4986,9,FALSE)&amp;VLOOKUP(D216,契約台帳!$A$3:$K$4986,11,FALSE))</f>
        <v/>
      </c>
      <c r="G216" s="269" t="str">
        <f>IF(D216="","",VLOOKUP(F216,製品マスタ!$G$5:$H$5002,2,FALSE))</f>
        <v/>
      </c>
      <c r="H216" s="269" t="str">
        <f>IF(D216="","",VLOOKUP(F216,製品マスタ!$G$5:$K$5002,5,FALSE))</f>
        <v/>
      </c>
      <c r="I216" s="270" t="str">
        <f>IF(D216="","",VLOOKUP(F216,製品マスタ!$G$5:$L$5002,6,FALSE))</f>
        <v/>
      </c>
      <c r="J216" s="210"/>
      <c r="K216" s="270" t="str">
        <f>IF(D216="","",VLOOKUP(D216,契約台帳!$A$3:$L$4986,12,FALSE))</f>
        <v/>
      </c>
      <c r="L216" s="270" t="str">
        <f>IF(D216="","",INDEX(製品マスタ!$Q$5:$Q$5002,MATCH('S4'!F216&amp;'S4'!K216,製品マスタ!$AO$5:$AO$5002,0)))</f>
        <v/>
      </c>
      <c r="M216" s="39"/>
      <c r="N216" s="39"/>
      <c r="O216" s="156"/>
      <c r="P216" s="47"/>
      <c r="Q216" s="57"/>
      <c r="R216" s="271" t="str">
        <f ca="1">IF(D216="","",IF(OFFSET(D216,-1,0)&lt;&gt;"","",IF(OR(J216="リード付け",J216="巻足し",J216="巻返しリード付け"),M216,VLOOKUP(D216,契約台帳!$A$3:$N$4986,14,FALSE))))</f>
        <v/>
      </c>
      <c r="S216" s="272" t="str">
        <f ca="1">IF(D216="","",IF(OFFSET(D216,-1,0)&lt;&gt;"","",IF(OR(J216="リード付け",J216="巻足し",J216="巻返しリード付け"),M216,VLOOKUP(D216,契約台帳!$A$3:$O$4986,15,FALSE))))</f>
        <v/>
      </c>
      <c r="T216" s="273" t="str">
        <f ca="1">IF(D216="","",IF(J216="リード付け",N216,IF(J216="巻返しリード付け",N216,IF(J216="巻足し",N216*P216+OFFSET(N216,1,0)*OFFSET(P216,1,0),VLOOKUP(D216,契約台帳!$A$3:$P$4986,16,FALSE)))))</f>
        <v/>
      </c>
      <c r="U216" s="40"/>
      <c r="V216" s="274" t="str">
        <f ca="1">IF(D216="","",IF(OFFSET(D216,-2,0)=D216,"",VLOOKUP(D216,契約台帳!$A$3:$R$4986,18,FALSE)))</f>
        <v/>
      </c>
      <c r="W216" s="269" t="str">
        <f>IF(D216="","",IF(T216="","",IF(OR(J216="巻足し",J216="巻返しリード付け"),"",IF(J216="巻返し",VLOOKUP(F216&amp;K216&amp;M216,製品マスタ!$M$5:$AD$5002,18,FALSE),IF(OR(J216="リード付け",J216="巻返しリード付け"),"原反コア",IF(J216="スリット",VLOOKUP(F216&amp;K216&amp;R216,製品マスタ!$N$5:$AD$5002,17,FALSE),""))))))</f>
        <v/>
      </c>
      <c r="X216" s="269" t="str">
        <f>IF(D216="","",IF(T216="","",IF(J216="巻足し","",IF(J216="巻返し",VLOOKUP(F216&amp;K216&amp;M216,製品マスタ!$M$5:$AE$5002,19,FALSE),IF(OR(J216="リード付け",J216="巻返しリード付け"),"",IF(J216="スリット",VLOOKUP(F216&amp;K216&amp;R216,製品マスタ!$N$5:$AE$5002,18,FALSE),""))))))</f>
        <v/>
      </c>
      <c r="Y216" s="275" t="str">
        <f>IF(D216="","",IF(T216="","",VLOOKUP(D216,契約台帳!$A$3:$Q$4986,17,FALSE)))</f>
        <v/>
      </c>
      <c r="Z216" s="269" t="str">
        <f>IF(D216="","",IF(T216="","",VLOOKUP(D216,契約台帳!$A$3:$E$4986,5,FALSE)))</f>
        <v/>
      </c>
      <c r="AA216" s="57"/>
      <c r="AB216" s="207" t="str">
        <f>IFERROR((VLOOKUP(F216&amp;K216&amp;M216,製品マスタ!$M$5:$AM$5002,27,FALSE)),"")</f>
        <v/>
      </c>
      <c r="AC216" s="33"/>
      <c r="AD216" s="189"/>
      <c r="AE216" s="54"/>
      <c r="AF216" s="55"/>
      <c r="AG216" s="43"/>
      <c r="AH216" s="47"/>
      <c r="AI216" s="30"/>
      <c r="AJ216" s="30"/>
      <c r="AK216" s="30"/>
      <c r="AL216" s="30"/>
      <c r="AM216" s="13"/>
      <c r="AN216" s="13"/>
      <c r="AO216" s="13"/>
      <c r="AP216" s="13"/>
      <c r="AQ216" s="13"/>
      <c r="AR216" s="14"/>
      <c r="AS216" s="15"/>
    </row>
    <row r="217" spans="1:45" s="17" customFormat="1" ht="30.95" hidden="1" customHeight="1" x14ac:dyDescent="0.2">
      <c r="A217" s="37"/>
      <c r="B217" s="38"/>
      <c r="C217" s="45"/>
      <c r="D217" s="31">
        <v>3697672</v>
      </c>
      <c r="E217" s="31">
        <v>4161791</v>
      </c>
      <c r="F217" s="268" t="str">
        <f>IF(D217="","",VLOOKUP(D217,契約台帳!$A$3:$K$4986,6,FALSE)&amp;VLOOKUP(D217,契約台帳!$A$3:$K$4986,7,FALSE)&amp;VLOOKUP(D217,契約台帳!$A$3:$K$4986,8,FALSE)&amp;VLOOKUP(D217,契約台帳!$A$3:$K$4986,9,FALSE)&amp;VLOOKUP(D217,契約台帳!$A$3:$K$4986,11,FALSE))</f>
        <v>33SSNMCLBTEKV0V</v>
      </c>
      <c r="G217" s="269" t="str">
        <f>IF(D217="","",VLOOKUP(F217,製品マスタ!$G$5:$H$5002,2,FALSE))</f>
        <v>S</v>
      </c>
      <c r="H217" s="269" t="str">
        <f>IF(D217="","",VLOOKUP(F217,製品マスタ!$G$5:$K$5002,5,FALSE))</f>
        <v>TEKV0V</v>
      </c>
      <c r="I217" s="270" t="str">
        <f>IF(D217="","",VLOOKUP(F217,製品マスタ!$G$5:$L$5002,6,FALSE))</f>
        <v>メタルミー　ＴＥ－Ｓ消　ＶＯＩＤ　Ｖ</v>
      </c>
      <c r="J217" s="210" t="s">
        <v>832</v>
      </c>
      <c r="K217" s="270">
        <f>IF(D217="","",VLOOKUP(D217,契約台帳!$A$3:$L$4986,12,FALSE))</f>
        <v>50</v>
      </c>
      <c r="L217" s="270" t="str">
        <f>IF(D217="","",INDEX(製品マスタ!$Q$5:$Q$5002,MATCH('S4'!F217&amp;'S4'!K217,製品マスタ!$AO$5:$AO$5002,0)))</f>
        <v>X44SEPA</v>
      </c>
      <c r="M217" s="39">
        <v>1005</v>
      </c>
      <c r="N217" s="39">
        <v>4000</v>
      </c>
      <c r="O217" s="156">
        <v>3</v>
      </c>
      <c r="P217" s="47">
        <v>3</v>
      </c>
      <c r="Q217" s="57">
        <v>44967</v>
      </c>
      <c r="R217" s="271">
        <f ca="1">IF(D217="","",IF(OFFSET(D217,-1,0)&lt;&gt;"","",IF(OR(J217="リード付け",J217="巻足し",J217="巻返しリード付け"),M217,VLOOKUP(D217,契約台帳!$A$3:$N$4986,14,FALSE))))</f>
        <v>1005</v>
      </c>
      <c r="S217" s="272">
        <f ca="1">IF(D217="","",IF(OFFSET(D217,-1,0)&lt;&gt;"","",IF(OR(J217="リード付け",J217="巻足し",J217="巻返しリード付け"),M217,VLOOKUP(D217,契約台帳!$A$3:$O$4986,15,FALSE))))</f>
        <v>1005</v>
      </c>
      <c r="T217" s="273">
        <f ca="1">IF(D217="","",IF(J217="リード付け",N217,IF(J217="巻返しリード付け",N217,IF(J217="巻足し",N217*P217+OFFSET(N217,1,0)*OFFSET(P217,1,0),VLOOKUP(D217,契約台帳!$A$3:$P$4986,16,FALSE)))))</f>
        <v>12000</v>
      </c>
      <c r="U217" s="40">
        <v>1</v>
      </c>
      <c r="V217" s="274">
        <f ca="1">IF(D217="","",IF(OFFSET(D217,-2,0)=D217,"",VLOOKUP(D217,契約台帳!$A$3:$R$4986,18,FALSE)))</f>
        <v>6</v>
      </c>
      <c r="W217" s="269" t="str">
        <f ca="1">IF(D217="","",IF(T217="","",IF(OR(J217="巻足し",J217="巻返しリード付け"),"",IF(J217="巻返し",VLOOKUP(F217&amp;K217&amp;M217,製品マスタ!$M$5:$AD$5002,18,FALSE),IF(OR(J217="リード付け",J217="巻返しリード付け"),"原反コア",IF(J217="スリット",VLOOKUP(F217&amp;K217&amp;R217,製品マスタ!$N$5:$AD$5002,17,FALSE),""))))))</f>
        <v/>
      </c>
      <c r="X217" s="269" t="str">
        <f ca="1">IF(D217="","",IF(T217="","",IF(J217="巻足し","",IF(J217="巻返し",VLOOKUP(F217&amp;K217&amp;M217,製品マスタ!$M$5:$AE$5002,19,FALSE),IF(OR(J217="リード付け",J217="巻返しリード付け"),"",IF(J217="スリット",VLOOKUP(F217&amp;K217&amp;R217,製品マスタ!$N$5:$AE$5002,18,FALSE),""))))))</f>
        <v/>
      </c>
      <c r="Y217" s="275">
        <f ca="1">IF(D217="","",IF(T217="","",VLOOKUP(D217,契約台帳!$A$3:$Q$4986,17,FALSE)))</f>
        <v>2</v>
      </c>
      <c r="Z217" s="269" t="str">
        <f ca="1">IF(D217="","",IF(T217="","",VLOOKUP(D217,契約台帳!$A$3:$E$4986,5,FALSE)))</f>
        <v>リンテック㈱</v>
      </c>
      <c r="AA217" s="57"/>
      <c r="AB217" s="207">
        <f>IFERROR((VLOOKUP(F217&amp;K217&amp;M217,製品マスタ!$M$5:$AM$5002,27,FALSE)),"")</f>
        <v>0</v>
      </c>
      <c r="AC217" s="33"/>
      <c r="AD217" s="189"/>
      <c r="AE217" s="54"/>
      <c r="AF217" s="55"/>
      <c r="AG217" s="43"/>
      <c r="AH217" s="47"/>
      <c r="AI217" s="30"/>
      <c r="AJ217" s="30"/>
      <c r="AK217" s="30"/>
      <c r="AL217" s="30"/>
      <c r="AM217" s="13"/>
      <c r="AN217" s="13"/>
      <c r="AO217" s="13"/>
      <c r="AP217" s="13"/>
      <c r="AQ217" s="13"/>
      <c r="AR217" s="14"/>
      <c r="AS217" s="15"/>
    </row>
    <row r="218" spans="1:45" s="17" customFormat="1" ht="30.95" hidden="1" customHeight="1" x14ac:dyDescent="0.2">
      <c r="A218" s="37"/>
      <c r="B218" s="38"/>
      <c r="C218" s="45"/>
      <c r="D218" s="31"/>
      <c r="E218" s="31"/>
      <c r="F218" s="268" t="str">
        <f>IF(D218="","",VLOOKUP(D218,契約台帳!$A$3:$K$4986,6,FALSE)&amp;VLOOKUP(D218,契約台帳!$A$3:$K$4986,7,FALSE)&amp;VLOOKUP(D218,契約台帳!$A$3:$K$4986,8,FALSE)&amp;VLOOKUP(D218,契約台帳!$A$3:$K$4986,9,FALSE)&amp;VLOOKUP(D218,契約台帳!$A$3:$K$4986,11,FALSE))</f>
        <v/>
      </c>
      <c r="G218" s="269" t="str">
        <f>IF(D218="","",VLOOKUP(F218,製品マスタ!$G$5:$H$5002,2,FALSE))</f>
        <v/>
      </c>
      <c r="H218" s="269" t="str">
        <f>IF(D218="","",VLOOKUP(F218,製品マスタ!$G$5:$K$5002,5,FALSE))</f>
        <v/>
      </c>
      <c r="I218" s="270" t="str">
        <f>IF(D218="","",VLOOKUP(F218,製品マスタ!$G$5:$L$5002,6,FALSE))</f>
        <v/>
      </c>
      <c r="J218" s="210"/>
      <c r="K218" s="270" t="str">
        <f>IF(D218="","",VLOOKUP(D218,契約台帳!$A$3:$L$4986,12,FALSE))</f>
        <v/>
      </c>
      <c r="L218" s="270" t="str">
        <f>IF(D218="","",INDEX(製品マスタ!$Q$5:$Q$5002,MATCH('S4'!F218&amp;'S4'!K218,製品マスタ!$AO$5:$AO$5002,0)))</f>
        <v/>
      </c>
      <c r="M218" s="39"/>
      <c r="N218" s="39"/>
      <c r="O218" s="156"/>
      <c r="P218" s="47"/>
      <c r="Q218" s="57"/>
      <c r="R218" s="271" t="str">
        <f ca="1">IF(D218="","",IF(OFFSET(D218,-1,0)&lt;&gt;"","",IF(OR(J218="リード付け",J218="巻足し",J218="巻返しリード付け"),M218,VLOOKUP(D218,契約台帳!$A$3:$N$4986,14,FALSE))))</f>
        <v/>
      </c>
      <c r="S218" s="272" t="str">
        <f ca="1">IF(D218="","",IF(OFFSET(D218,-1,0)&lt;&gt;"","",IF(OR(J218="リード付け",J218="巻足し",J218="巻返しリード付け"),M218,VLOOKUP(D218,契約台帳!$A$3:$O$4986,15,FALSE))))</f>
        <v/>
      </c>
      <c r="T218" s="273" t="str">
        <f ca="1">IF(D218="","",IF(J218="リード付け",N218,IF(J218="巻返しリード付け",N218,IF(J218="巻足し",N218*P218+OFFSET(N218,1,0)*OFFSET(P218,1,0),VLOOKUP(D218,契約台帳!$A$3:$P$4986,16,FALSE)))))</f>
        <v/>
      </c>
      <c r="U218" s="40"/>
      <c r="V218" s="274" t="str">
        <f ca="1">IF(D218="","",IF(OFFSET(D218,-2,0)=D218,"",VLOOKUP(D218,契約台帳!$A$3:$R$4986,18,FALSE)))</f>
        <v/>
      </c>
      <c r="W218" s="269" t="str">
        <f>IF(D218="","",IF(T218="","",IF(OR(J218="巻足し",J218="巻返しリード付け"),"",IF(J218="巻返し",VLOOKUP(F218&amp;K218&amp;M218,製品マスタ!$M$5:$AD$5002,18,FALSE),IF(OR(J218="リード付け",J218="巻返しリード付け"),"原反コア",IF(J218="スリット",VLOOKUP(F218&amp;K218&amp;R218,製品マスタ!$N$5:$AD$5002,17,FALSE),""))))))</f>
        <v/>
      </c>
      <c r="X218" s="269" t="str">
        <f>IF(D218="","",IF(T218="","",IF(J218="巻足し","",IF(J218="巻返し",VLOOKUP(F218&amp;K218&amp;M218,製品マスタ!$M$5:$AE$5002,19,FALSE),IF(OR(J218="リード付け",J218="巻返しリード付け"),"",IF(J218="スリット",VLOOKUP(F218&amp;K218&amp;R218,製品マスタ!$N$5:$AE$5002,18,FALSE),""))))))</f>
        <v/>
      </c>
      <c r="Y218" s="275" t="str">
        <f>IF(D218="","",IF(T218="","",VLOOKUP(D218,契約台帳!$A$3:$Q$4986,17,FALSE)))</f>
        <v/>
      </c>
      <c r="Z218" s="269" t="str">
        <f>IF(D218="","",IF(T218="","",VLOOKUP(D218,契約台帳!$A$3:$E$4986,5,FALSE)))</f>
        <v/>
      </c>
      <c r="AA218" s="57"/>
      <c r="AB218" s="207" t="str">
        <f>IFERROR((VLOOKUP(F218&amp;K218&amp;M218,製品マスタ!$M$5:$AM$5002,27,FALSE)),"")</f>
        <v/>
      </c>
      <c r="AC218" s="33"/>
      <c r="AD218" s="189"/>
      <c r="AE218" s="54"/>
      <c r="AF218" s="55"/>
      <c r="AG218" s="43"/>
      <c r="AH218" s="47"/>
      <c r="AI218" s="30"/>
      <c r="AJ218" s="30"/>
      <c r="AK218" s="30"/>
      <c r="AL218" s="30"/>
      <c r="AM218" s="13"/>
      <c r="AN218" s="13"/>
      <c r="AO218" s="13"/>
      <c r="AP218" s="13"/>
      <c r="AQ218" s="13"/>
      <c r="AR218" s="14"/>
      <c r="AS218" s="15"/>
    </row>
    <row r="219" spans="1:45" s="17" customFormat="1" ht="30.95" hidden="1" customHeight="1" x14ac:dyDescent="0.2">
      <c r="A219" s="37"/>
      <c r="B219" s="38"/>
      <c r="C219" s="45"/>
      <c r="D219" s="31">
        <v>3697672</v>
      </c>
      <c r="E219" s="31">
        <v>4161791</v>
      </c>
      <c r="F219" s="268" t="str">
        <f>IF(D219="","",VLOOKUP(D219,契約台帳!$A$3:$K$4986,6,FALSE)&amp;VLOOKUP(D219,契約台帳!$A$3:$K$4986,7,FALSE)&amp;VLOOKUP(D219,契約台帳!$A$3:$K$4986,8,FALSE)&amp;VLOOKUP(D219,契約台帳!$A$3:$K$4986,9,FALSE)&amp;VLOOKUP(D219,契約台帳!$A$3:$K$4986,11,FALSE))</f>
        <v>33SSNMCLBTEKV0V</v>
      </c>
      <c r="G219" s="269" t="str">
        <f>IF(D219="","",VLOOKUP(F219,製品マスタ!$G$5:$H$5002,2,FALSE))</f>
        <v>S</v>
      </c>
      <c r="H219" s="269" t="str">
        <f>IF(D219="","",VLOOKUP(F219,製品マスタ!$G$5:$K$5002,5,FALSE))</f>
        <v>TEKV0V</v>
      </c>
      <c r="I219" s="270" t="str">
        <f>IF(D219="","",VLOOKUP(F219,製品マスタ!$G$5:$L$5002,6,FALSE))</f>
        <v>メタルミー　ＴＥ－Ｓ消　ＶＯＩＤ　Ｖ</v>
      </c>
      <c r="J219" s="210" t="s">
        <v>469</v>
      </c>
      <c r="K219" s="270">
        <f>IF(D219="","",VLOOKUP(D219,契約台帳!$A$3:$L$4986,12,FALSE))</f>
        <v>50</v>
      </c>
      <c r="L219" s="270" t="str">
        <f>IF(D219="","",INDEX(製品マスタ!$Q$5:$Q$5002,MATCH('S4'!F219&amp;'S4'!K219,製品マスタ!$AO$5:$AO$5002,0)))</f>
        <v>X44SEPA</v>
      </c>
      <c r="M219" s="39">
        <v>1005</v>
      </c>
      <c r="N219" s="39">
        <v>4000</v>
      </c>
      <c r="O219" s="156">
        <v>3</v>
      </c>
      <c r="P219" s="47">
        <v>3</v>
      </c>
      <c r="Q219" s="57">
        <v>44967</v>
      </c>
      <c r="R219" s="271">
        <f ca="1">IF(D219="","",IF(OFFSET(D219,-1,0)&lt;&gt;"","",IF(OR(J219="リード付け",J219="巻足し",J219="巻返しリード付け"),M219,VLOOKUP(D219,契約台帳!$A$3:$N$4986,14,FALSE))))</f>
        <v>1005</v>
      </c>
      <c r="S219" s="272">
        <f ca="1">IF(D219="","",IF(OFFSET(D219,-1,0)&lt;&gt;"","",IF(OR(J219="リード付け",J219="巻足し",J219="巻返しリード付け"),M219,VLOOKUP(D219,契約台帳!$A$3:$O$4986,15,FALSE))))</f>
        <v>1005</v>
      </c>
      <c r="T219" s="273">
        <f ca="1">IF(D219="","",IF(J219="リード付け",N219,IF(J219="巻返しリード付け",N219,IF(J219="巻足し",N219*P219+OFFSET(N219,1,0)*OFFSET(P219,1,0),VLOOKUP(D219,契約台帳!$A$3:$P$4986,16,FALSE)))))</f>
        <v>12000</v>
      </c>
      <c r="U219" s="40">
        <v>1</v>
      </c>
      <c r="V219" s="274" t="str">
        <f ca="1">IF(D219="","",IF(OFFSET(D219,-2,0)=D219,"",VLOOKUP(D219,契約台帳!$A$3:$R$4986,18,FALSE)))</f>
        <v/>
      </c>
      <c r="W219" s="269" t="str">
        <f ca="1">IF(D219="","",IF(T219="","",IF(OR(J219="巻足し",J219="巻返しリード付け"),"",IF(J219="巻返し",VLOOKUP(F219&amp;K219&amp;M219,製品マスタ!$M$5:$AD$5002,18,FALSE),IF(OR(J219="リード付け",J219="巻返しリード付け"),"原反コア",IF(J219="スリット",VLOOKUP(F219&amp;K219&amp;R219,製品マスタ!$N$5:$AD$5002,17,FALSE),""))))))</f>
        <v/>
      </c>
      <c r="X219" s="269" t="str">
        <f ca="1">IF(D219="","",IF(T219="","",IF(J219="巻足し","",IF(J219="巻返し",VLOOKUP(F219&amp;K219&amp;M219,製品マスタ!$M$5:$AE$5002,19,FALSE),IF(OR(J219="リード付け",J219="巻返しリード付け"),"",IF(J219="スリット",VLOOKUP(F219&amp;K219&amp;R219,製品マスタ!$N$5:$AE$5002,18,FALSE),""))))))</f>
        <v/>
      </c>
      <c r="Y219" s="275">
        <f ca="1">IF(D219="","",IF(T219="","",VLOOKUP(D219,契約台帳!$A$3:$Q$4986,17,FALSE)))</f>
        <v>2</v>
      </c>
      <c r="Z219" s="269" t="str">
        <f ca="1">IF(D219="","",IF(T219="","",VLOOKUP(D219,契約台帳!$A$3:$E$4986,5,FALSE)))</f>
        <v>リンテック㈱</v>
      </c>
      <c r="AA219" s="57"/>
      <c r="AB219" s="207">
        <f>IFERROR((VLOOKUP(F219&amp;K219&amp;M219,製品マスタ!$M$5:$AM$5002,27,FALSE)),"")</f>
        <v>0</v>
      </c>
      <c r="AC219" s="33"/>
      <c r="AD219" s="189"/>
      <c r="AE219" s="54"/>
      <c r="AF219" s="55"/>
      <c r="AG219" s="43"/>
      <c r="AH219" s="47"/>
      <c r="AI219" s="30"/>
      <c r="AJ219" s="30"/>
      <c r="AK219" s="30"/>
      <c r="AL219" s="30"/>
      <c r="AM219" s="13"/>
      <c r="AN219" s="13"/>
      <c r="AO219" s="13"/>
      <c r="AP219" s="13"/>
      <c r="AQ219" s="13"/>
      <c r="AR219" s="14"/>
      <c r="AS219" s="15"/>
    </row>
    <row r="220" spans="1:45" s="17" customFormat="1" ht="30.95" hidden="1" customHeight="1" x14ac:dyDescent="0.2">
      <c r="A220" s="37"/>
      <c r="B220" s="38"/>
      <c r="C220" s="45"/>
      <c r="D220" s="31"/>
      <c r="E220" s="31"/>
      <c r="F220" s="268" t="str">
        <f>IF(D220="","",VLOOKUP(D220,契約台帳!$A$3:$K$4986,6,FALSE)&amp;VLOOKUP(D220,契約台帳!$A$3:$K$4986,7,FALSE)&amp;VLOOKUP(D220,契約台帳!$A$3:$K$4986,8,FALSE)&amp;VLOOKUP(D220,契約台帳!$A$3:$K$4986,9,FALSE)&amp;VLOOKUP(D220,契約台帳!$A$3:$K$4986,11,FALSE))</f>
        <v/>
      </c>
      <c r="G220" s="269" t="str">
        <f>IF(D220="","",VLOOKUP(F220,製品マスタ!$G$5:$H$5002,2,FALSE))</f>
        <v/>
      </c>
      <c r="H220" s="269" t="str">
        <f>IF(D220="","",VLOOKUP(F220,製品マスタ!$G$5:$K$5002,5,FALSE))</f>
        <v/>
      </c>
      <c r="I220" s="270" t="str">
        <f>IF(D220="","",VLOOKUP(F220,製品マスタ!$G$5:$L$5002,6,FALSE))</f>
        <v/>
      </c>
      <c r="J220" s="210"/>
      <c r="K220" s="270" t="str">
        <f>IF(D220="","",VLOOKUP(D220,契約台帳!$A$3:$L$4986,12,FALSE))</f>
        <v/>
      </c>
      <c r="L220" s="270" t="str">
        <f>IF(D220="","",INDEX(製品マスタ!$Q$5:$Q$5002,MATCH('S4'!F220&amp;'S4'!K220,製品マスタ!$AO$5:$AO$5002,0)))</f>
        <v/>
      </c>
      <c r="M220" s="39"/>
      <c r="N220" s="39"/>
      <c r="O220" s="156"/>
      <c r="P220" s="47"/>
      <c r="Q220" s="57"/>
      <c r="R220" s="271" t="str">
        <f ca="1">IF(D220="","",IF(OFFSET(D220,-1,0)&lt;&gt;"","",IF(OR(J220="リード付け",J220="巻足し",J220="巻返しリード付け"),M220,VLOOKUP(D220,契約台帳!$A$3:$N$4986,14,FALSE))))</f>
        <v/>
      </c>
      <c r="S220" s="272" t="str">
        <f ca="1">IF(D220="","",IF(OFFSET(D220,-1,0)&lt;&gt;"","",IF(OR(J220="リード付け",J220="巻足し",J220="巻返しリード付け"),M220,VLOOKUP(D220,契約台帳!$A$3:$O$4986,15,FALSE))))</f>
        <v/>
      </c>
      <c r="T220" s="273" t="str">
        <f ca="1">IF(D220="","",IF(J220="リード付け",N220,IF(J220="巻返しリード付け",N220,IF(J220="巻足し",N220*P220+OFFSET(N220,1,0)*OFFSET(P220,1,0),VLOOKUP(D220,契約台帳!$A$3:$P$4986,16,FALSE)))))</f>
        <v/>
      </c>
      <c r="U220" s="40"/>
      <c r="V220" s="274" t="str">
        <f ca="1">IF(D220="","",IF(OFFSET(D220,-2,0)=D220,"",VLOOKUP(D220,契約台帳!$A$3:$R$4986,18,FALSE)))</f>
        <v/>
      </c>
      <c r="W220" s="269" t="str">
        <f>IF(D220="","",IF(T220="","",IF(OR(J220="巻足し",J220="巻返しリード付け"),"",IF(J220="巻返し",VLOOKUP(F220&amp;K220&amp;M220,製品マスタ!$M$5:$AD$5002,18,FALSE),IF(OR(J220="リード付け",J220="巻返しリード付け"),"原反コア",IF(J220="スリット",VLOOKUP(F220&amp;K220&amp;R220,製品マスタ!$N$5:$AD$5002,17,FALSE),""))))))</f>
        <v/>
      </c>
      <c r="X220" s="269" t="str">
        <f>IF(D220="","",IF(T220="","",IF(J220="巻足し","",IF(J220="巻返し",VLOOKUP(F220&amp;K220&amp;M220,製品マスタ!$M$5:$AE$5002,19,FALSE),IF(OR(J220="リード付け",J220="巻返しリード付け"),"",IF(J220="スリット",VLOOKUP(F220&amp;K220&amp;R220,製品マスタ!$N$5:$AE$5002,18,FALSE),""))))))</f>
        <v/>
      </c>
      <c r="Y220" s="275" t="str">
        <f>IF(D220="","",IF(T220="","",VLOOKUP(D220,契約台帳!$A$3:$Q$4986,17,FALSE)))</f>
        <v/>
      </c>
      <c r="Z220" s="269" t="str">
        <f>IF(D220="","",IF(T220="","",VLOOKUP(D220,契約台帳!$A$3:$E$4986,5,FALSE)))</f>
        <v/>
      </c>
      <c r="AA220" s="57"/>
      <c r="AB220" s="207" t="str">
        <f>IFERROR((VLOOKUP(F220&amp;K220&amp;M220,製品マスタ!$M$5:$AM$5002,27,FALSE)),"")</f>
        <v/>
      </c>
      <c r="AC220" s="33"/>
      <c r="AD220" s="189"/>
      <c r="AE220" s="54"/>
      <c r="AF220" s="55"/>
      <c r="AG220" s="43"/>
      <c r="AH220" s="47"/>
      <c r="AI220" s="30"/>
      <c r="AJ220" s="30"/>
      <c r="AK220" s="30"/>
      <c r="AL220" s="30"/>
      <c r="AM220" s="13"/>
      <c r="AN220" s="13"/>
      <c r="AO220" s="13"/>
      <c r="AP220" s="13"/>
      <c r="AQ220" s="13"/>
      <c r="AR220" s="14"/>
      <c r="AS220" s="15"/>
    </row>
    <row r="221" spans="1:45" s="17" customFormat="1" ht="30.95" hidden="1" customHeight="1" x14ac:dyDescent="0.2">
      <c r="A221" s="37" t="s">
        <v>854</v>
      </c>
      <c r="B221" s="38" t="s">
        <v>833</v>
      </c>
      <c r="C221" s="45"/>
      <c r="D221" s="31"/>
      <c r="E221" s="31"/>
      <c r="F221" s="268" t="str">
        <f>IF(D221="","",VLOOKUP(D221,契約台帳!$A$3:$K$4986,6,FALSE)&amp;VLOOKUP(D221,契約台帳!$A$3:$K$4986,7,FALSE)&amp;VLOOKUP(D221,契約台帳!$A$3:$K$4986,8,FALSE)&amp;VLOOKUP(D221,契約台帳!$A$3:$K$4986,9,FALSE)&amp;VLOOKUP(D221,契約台帳!$A$3:$K$4986,11,FALSE))</f>
        <v/>
      </c>
      <c r="G221" s="269" t="str">
        <f>IF(D221="","",VLOOKUP(F221,製品マスタ!$G$5:$H$5002,2,FALSE))</f>
        <v/>
      </c>
      <c r="H221" s="269" t="str">
        <f>IF(D221="","",VLOOKUP(F221,製品マスタ!$G$5:$K$5002,5,FALSE))</f>
        <v/>
      </c>
      <c r="I221" s="270" t="str">
        <f>IF(D221="","",VLOOKUP(F221,製品マスタ!$G$5:$L$5002,6,FALSE))</f>
        <v/>
      </c>
      <c r="J221" s="210" t="s">
        <v>836</v>
      </c>
      <c r="K221" s="270" t="str">
        <f>IF(D221="","",VLOOKUP(D221,契約台帳!$A$3:$L$4986,12,FALSE))</f>
        <v/>
      </c>
      <c r="L221" s="270" t="str">
        <f>IF(D221="","",INDEX(製品マスタ!$Q$5:$Q$5002,MATCH('S4'!F221&amp;'S4'!K221,製品マスタ!$AO$5:$AO$5002,0)))</f>
        <v/>
      </c>
      <c r="M221" s="39"/>
      <c r="N221" s="39"/>
      <c r="O221" s="156"/>
      <c r="P221" s="47"/>
      <c r="Q221" s="57"/>
      <c r="R221" s="271" t="str">
        <f ca="1">IF(D221="","",IF(OFFSET(D221,-1,0)&lt;&gt;"","",IF(OR(J221="リード付け",J221="巻足し",J221="巻返しリード付け"),M221,VLOOKUP(D221,契約台帳!$A$3:$N$4986,14,FALSE))))</f>
        <v/>
      </c>
      <c r="S221" s="272" t="str">
        <f ca="1">IF(D221="","",IF(OFFSET(D221,-1,0)&lt;&gt;"","",IF(OR(J221="リード付け",J221="巻足し",J221="巻返しリード付け"),M221,VLOOKUP(D221,契約台帳!$A$3:$O$4986,15,FALSE))))</f>
        <v/>
      </c>
      <c r="T221" s="273" t="str">
        <f ca="1">IF(D221="","",IF(J221="リード付け",N221,IF(J221="巻返しリード付け",N221,IF(J221="巻足し",N221*P221+OFFSET(N221,1,0)*OFFSET(P221,1,0),VLOOKUP(D221,契約台帳!$A$3:$P$4986,16,FALSE)))))</f>
        <v/>
      </c>
      <c r="U221" s="40"/>
      <c r="V221" s="274" t="str">
        <f ca="1">IF(D221="","",IF(OFFSET(D221,-2,0)=D221,"",VLOOKUP(D221,契約台帳!$A$3:$R$4986,18,FALSE)))</f>
        <v/>
      </c>
      <c r="W221" s="269" t="str">
        <f>IF(D221="","",IF(T221="","",IF(OR(J221="巻足し",J221="巻返しリード付け"),"",IF(J221="巻返し",VLOOKUP(F221&amp;K221&amp;M221,製品マスタ!$M$5:$AD$5002,18,FALSE),IF(OR(J221="リード付け",J221="巻返しリード付け"),"原反コア",IF(J221="スリット",VLOOKUP(F221&amp;K221&amp;R221,製品マスタ!$N$5:$AD$5002,17,FALSE),""))))))</f>
        <v/>
      </c>
      <c r="X221" s="269" t="str">
        <f>IF(D221="","",IF(T221="","",IF(J221="巻足し","",IF(J221="巻返し",VLOOKUP(F221&amp;K221&amp;M221,製品マスタ!$M$5:$AE$5002,19,FALSE),IF(OR(J221="リード付け",J221="巻返しリード付け"),"",IF(J221="スリット",VLOOKUP(F221&amp;K221&amp;R221,製品マスタ!$N$5:$AE$5002,18,FALSE),""))))))</f>
        <v/>
      </c>
      <c r="Y221" s="275" t="str">
        <f>IF(D221="","",IF(T221="","",VLOOKUP(D221,契約台帳!$A$3:$Q$4986,17,FALSE)))</f>
        <v/>
      </c>
      <c r="Z221" s="269" t="str">
        <f>IF(D221="","",IF(T221="","",VLOOKUP(D221,契約台帳!$A$3:$E$4986,5,FALSE)))</f>
        <v/>
      </c>
      <c r="AA221" s="57"/>
      <c r="AB221" s="207" t="str">
        <f>IFERROR((VLOOKUP(F221&amp;K221&amp;M221,製品マスタ!$M$5:$AM$5002,27,FALSE)),"")</f>
        <v/>
      </c>
      <c r="AC221" s="33"/>
      <c r="AD221" s="189"/>
      <c r="AE221" s="54"/>
      <c r="AF221" s="55"/>
      <c r="AG221" s="43"/>
      <c r="AH221" s="47"/>
      <c r="AI221" s="30"/>
      <c r="AJ221" s="30"/>
      <c r="AK221" s="30"/>
      <c r="AL221" s="30"/>
      <c r="AM221" s="13"/>
      <c r="AN221" s="13"/>
      <c r="AO221" s="13"/>
      <c r="AP221" s="13"/>
      <c r="AQ221" s="13"/>
      <c r="AR221" s="14"/>
      <c r="AS221" s="15"/>
    </row>
    <row r="222" spans="1:45" s="17" customFormat="1" ht="30.95" hidden="1" customHeight="1" x14ac:dyDescent="0.2">
      <c r="A222" s="37"/>
      <c r="B222" s="38"/>
      <c r="C222" s="45"/>
      <c r="D222" s="31"/>
      <c r="E222" s="31"/>
      <c r="F222" s="268" t="str">
        <f>IF(D222="","",VLOOKUP(D222,契約台帳!$A$3:$K$4986,6,FALSE)&amp;VLOOKUP(D222,契約台帳!$A$3:$K$4986,7,FALSE)&amp;VLOOKUP(D222,契約台帳!$A$3:$K$4986,8,FALSE)&amp;VLOOKUP(D222,契約台帳!$A$3:$K$4986,9,FALSE)&amp;VLOOKUP(D222,契約台帳!$A$3:$K$4986,11,FALSE))</f>
        <v/>
      </c>
      <c r="G222" s="269" t="str">
        <f>IF(D222="","",VLOOKUP(F222,製品マスタ!$G$5:$H$5002,2,FALSE))</f>
        <v/>
      </c>
      <c r="H222" s="269" t="str">
        <f>IF(D222="","",VLOOKUP(F222,製品マスタ!$G$5:$K$5002,5,FALSE))</f>
        <v/>
      </c>
      <c r="I222" s="270" t="str">
        <f>IF(D222="","",VLOOKUP(F222,製品マスタ!$G$5:$L$5002,6,FALSE))</f>
        <v/>
      </c>
      <c r="J222" s="210"/>
      <c r="K222" s="270" t="str">
        <f>IF(D222="","",VLOOKUP(D222,契約台帳!$A$3:$L$4986,12,FALSE))</f>
        <v/>
      </c>
      <c r="L222" s="270" t="str">
        <f>IF(D222="","",INDEX(製品マスタ!$Q$5:$Q$5002,MATCH('S4'!F222&amp;'S4'!K222,製品マスタ!$AO$5:$AO$5002,0)))</f>
        <v/>
      </c>
      <c r="M222" s="39"/>
      <c r="N222" s="39"/>
      <c r="O222" s="156"/>
      <c r="P222" s="47"/>
      <c r="Q222" s="57"/>
      <c r="R222" s="271" t="str">
        <f ca="1">IF(D222="","",IF(OFFSET(D222,-1,0)&lt;&gt;"","",IF(OR(J222="リード付け",J222="巻足し",J222="巻返しリード付け"),M222,VLOOKUP(D222,契約台帳!$A$3:$N$4986,14,FALSE))))</f>
        <v/>
      </c>
      <c r="S222" s="272" t="str">
        <f ca="1">IF(D222="","",IF(OFFSET(D222,-1,0)&lt;&gt;"","",IF(OR(J222="リード付け",J222="巻足し",J222="巻返しリード付け"),M222,VLOOKUP(D222,契約台帳!$A$3:$O$4986,15,FALSE))))</f>
        <v/>
      </c>
      <c r="T222" s="273" t="str">
        <f ca="1">IF(D222="","",IF(J222="リード付け",N222,IF(J222="巻返しリード付け",N222,IF(J222="巻足し",N222*P222+OFFSET(N222,1,0)*OFFSET(P222,1,0),VLOOKUP(D222,契約台帳!$A$3:$P$4986,16,FALSE)))))</f>
        <v/>
      </c>
      <c r="U222" s="40"/>
      <c r="V222" s="274" t="str">
        <f ca="1">IF(D222="","",IF(OFFSET(D222,-2,0)=D222,"",VLOOKUP(D222,契約台帳!$A$3:$R$4986,18,FALSE)))</f>
        <v/>
      </c>
      <c r="W222" s="269" t="str">
        <f>IF(D222="","",IF(T222="","",IF(OR(J222="巻足し",J222="巻返しリード付け"),"",IF(J222="巻返し",VLOOKUP(F222&amp;K222&amp;M222,製品マスタ!$M$5:$AD$5002,18,FALSE),IF(OR(J222="リード付け",J222="巻返しリード付け"),"原反コア",IF(J222="スリット",VLOOKUP(F222&amp;K222&amp;R222,製品マスタ!$N$5:$AD$5002,17,FALSE),""))))))</f>
        <v/>
      </c>
      <c r="X222" s="269" t="str">
        <f>IF(D222="","",IF(T222="","",IF(J222="巻足し","",IF(J222="巻返し",VLOOKUP(F222&amp;K222&amp;M222,製品マスタ!$M$5:$AE$5002,19,FALSE),IF(OR(J222="リード付け",J222="巻返しリード付け"),"",IF(J222="スリット",VLOOKUP(F222&amp;K222&amp;R222,製品マスタ!$N$5:$AE$5002,18,FALSE),""))))))</f>
        <v/>
      </c>
      <c r="Y222" s="275" t="str">
        <f>IF(D222="","",IF(T222="","",VLOOKUP(D222,契約台帳!$A$3:$Q$4986,17,FALSE)))</f>
        <v/>
      </c>
      <c r="Z222" s="269" t="str">
        <f>IF(D222="","",IF(T222="","",VLOOKUP(D222,契約台帳!$A$3:$E$4986,5,FALSE)))</f>
        <v/>
      </c>
      <c r="AA222" s="57"/>
      <c r="AB222" s="207" t="str">
        <f>IFERROR((VLOOKUP(F222&amp;K222&amp;M222,製品マスタ!$M$5:$AM$5002,27,FALSE)),"")</f>
        <v/>
      </c>
      <c r="AC222" s="33"/>
      <c r="AD222" s="189"/>
      <c r="AE222" s="54"/>
      <c r="AF222" s="55"/>
      <c r="AG222" s="43"/>
      <c r="AH222" s="47"/>
      <c r="AI222" s="30"/>
      <c r="AJ222" s="30"/>
      <c r="AK222" s="30"/>
      <c r="AL222" s="30"/>
      <c r="AM222" s="13"/>
      <c r="AN222" s="13"/>
      <c r="AO222" s="13"/>
      <c r="AP222" s="13"/>
      <c r="AQ222" s="13"/>
      <c r="AR222" s="14"/>
      <c r="AS222" s="15"/>
    </row>
    <row r="223" spans="1:45" s="17" customFormat="1" ht="30.95" hidden="1" customHeight="1" x14ac:dyDescent="0.2">
      <c r="A223" s="37" t="s">
        <v>855</v>
      </c>
      <c r="B223" s="38" t="s">
        <v>835</v>
      </c>
      <c r="C223" s="45"/>
      <c r="D223" s="31"/>
      <c r="E223" s="31"/>
      <c r="F223" s="268" t="str">
        <f>IF(D223="","",VLOOKUP(D223,契約台帳!$A$3:$K$4986,6,FALSE)&amp;VLOOKUP(D223,契約台帳!$A$3:$K$4986,7,FALSE)&amp;VLOOKUP(D223,契約台帳!$A$3:$K$4986,8,FALSE)&amp;VLOOKUP(D223,契約台帳!$A$3:$K$4986,9,FALSE)&amp;VLOOKUP(D223,契約台帳!$A$3:$K$4986,11,FALSE))</f>
        <v/>
      </c>
      <c r="G223" s="269" t="str">
        <f>IF(D223="","",VLOOKUP(F223,製品マスタ!$G$5:$H$5002,2,FALSE))</f>
        <v/>
      </c>
      <c r="H223" s="269" t="str">
        <f>IF(D223="","",VLOOKUP(F223,製品マスタ!$G$5:$K$5002,5,FALSE))</f>
        <v/>
      </c>
      <c r="I223" s="270" t="str">
        <f>IF(D223="","",VLOOKUP(F223,製品マスタ!$G$5:$L$5002,6,FALSE))</f>
        <v/>
      </c>
      <c r="J223" s="210" t="s">
        <v>836</v>
      </c>
      <c r="K223" s="270" t="str">
        <f>IF(D223="","",VLOOKUP(D223,契約台帳!$A$3:$L$4986,12,FALSE))</f>
        <v/>
      </c>
      <c r="L223" s="270" t="str">
        <f>IF(D223="","",INDEX(製品マスタ!$Q$5:$Q$5002,MATCH('S4'!F223&amp;'S4'!K223,製品マスタ!$AO$5:$AO$5002,0)))</f>
        <v/>
      </c>
      <c r="M223" s="39"/>
      <c r="N223" s="39"/>
      <c r="O223" s="156"/>
      <c r="P223" s="47"/>
      <c r="Q223" s="57"/>
      <c r="R223" s="271" t="str">
        <f ca="1">IF(D223="","",IF(OFFSET(D223,-1,0)&lt;&gt;"","",IF(OR(J223="リード付け",J223="巻足し",J223="巻返しリード付け"),M223,VLOOKUP(D223,契約台帳!$A$3:$N$4986,14,FALSE))))</f>
        <v/>
      </c>
      <c r="S223" s="272" t="str">
        <f ca="1">IF(D223="","",IF(OFFSET(D223,-1,0)&lt;&gt;"","",IF(OR(J223="リード付け",J223="巻足し",J223="巻返しリード付け"),M223,VLOOKUP(D223,契約台帳!$A$3:$O$4986,15,FALSE))))</f>
        <v/>
      </c>
      <c r="T223" s="273" t="str">
        <f ca="1">IF(D223="","",IF(J223="リード付け",N223,IF(J223="巻返しリード付け",N223,IF(J223="巻足し",N223*P223+OFFSET(N223,1,0)*OFFSET(P223,1,0),VLOOKUP(D223,契約台帳!$A$3:$P$4986,16,FALSE)))))</f>
        <v/>
      </c>
      <c r="U223" s="40"/>
      <c r="V223" s="274" t="str">
        <f ca="1">IF(D223="","",IF(OFFSET(D223,-2,0)=D223,"",VLOOKUP(D223,契約台帳!$A$3:$R$4986,18,FALSE)))</f>
        <v/>
      </c>
      <c r="W223" s="269" t="str">
        <f>IF(D223="","",IF(T223="","",IF(OR(J223="巻足し",J223="巻返しリード付け"),"",IF(J223="巻返し",VLOOKUP(F223&amp;K223&amp;M223,製品マスタ!$M$5:$AD$5002,18,FALSE),IF(OR(J223="リード付け",J223="巻返しリード付け"),"原反コア",IF(J223="スリット",VLOOKUP(F223&amp;K223&amp;R223,製品マスタ!$N$5:$AD$5002,17,FALSE),""))))))</f>
        <v/>
      </c>
      <c r="X223" s="269" t="str">
        <f>IF(D223="","",IF(T223="","",IF(J223="巻足し","",IF(J223="巻返し",VLOOKUP(F223&amp;K223&amp;M223,製品マスタ!$M$5:$AE$5002,19,FALSE),IF(OR(J223="リード付け",J223="巻返しリード付け"),"",IF(J223="スリット",VLOOKUP(F223&amp;K223&amp;R223,製品マスタ!$N$5:$AE$5002,18,FALSE),""))))))</f>
        <v/>
      </c>
      <c r="Y223" s="275" t="str">
        <f>IF(D223="","",IF(T223="","",VLOOKUP(D223,契約台帳!$A$3:$Q$4986,17,FALSE)))</f>
        <v/>
      </c>
      <c r="Z223" s="269" t="str">
        <f>IF(D223="","",IF(T223="","",VLOOKUP(D223,契約台帳!$A$3:$E$4986,5,FALSE)))</f>
        <v/>
      </c>
      <c r="AA223" s="57"/>
      <c r="AB223" s="207" t="str">
        <f>IFERROR((VLOOKUP(F223&amp;K223&amp;M223,製品マスタ!$M$5:$AM$5002,27,FALSE)),"")</f>
        <v/>
      </c>
      <c r="AC223" s="33"/>
      <c r="AD223" s="189"/>
      <c r="AE223" s="54"/>
      <c r="AF223" s="55"/>
      <c r="AG223" s="43"/>
      <c r="AH223" s="47"/>
      <c r="AI223" s="30"/>
      <c r="AJ223" s="30"/>
      <c r="AK223" s="30"/>
      <c r="AL223" s="30"/>
      <c r="AM223" s="13"/>
      <c r="AN223" s="13"/>
      <c r="AO223" s="13"/>
      <c r="AP223" s="13"/>
      <c r="AQ223" s="13"/>
      <c r="AR223" s="14"/>
      <c r="AS223" s="15"/>
    </row>
    <row r="224" spans="1:45" s="17" customFormat="1" ht="30.95" hidden="1" customHeight="1" x14ac:dyDescent="0.2">
      <c r="A224" s="37"/>
      <c r="B224" s="38"/>
      <c r="C224" s="45"/>
      <c r="D224" s="31"/>
      <c r="E224" s="31"/>
      <c r="F224" s="268" t="str">
        <f>IF(D224="","",VLOOKUP(D224,契約台帳!$A$3:$K$4986,6,FALSE)&amp;VLOOKUP(D224,契約台帳!$A$3:$K$4986,7,FALSE)&amp;VLOOKUP(D224,契約台帳!$A$3:$K$4986,8,FALSE)&amp;VLOOKUP(D224,契約台帳!$A$3:$K$4986,9,FALSE)&amp;VLOOKUP(D224,契約台帳!$A$3:$K$4986,11,FALSE))</f>
        <v/>
      </c>
      <c r="G224" s="269" t="str">
        <f>IF(D224="","",VLOOKUP(F224,製品マスタ!$G$5:$H$5002,2,FALSE))</f>
        <v/>
      </c>
      <c r="H224" s="269" t="str">
        <f>IF(D224="","",VLOOKUP(F224,製品マスタ!$G$5:$K$5002,5,FALSE))</f>
        <v/>
      </c>
      <c r="I224" s="270" t="str">
        <f>IF(D224="","",VLOOKUP(F224,製品マスタ!$G$5:$L$5002,6,FALSE))</f>
        <v/>
      </c>
      <c r="J224" s="210"/>
      <c r="K224" s="270" t="str">
        <f>IF(D224="","",VLOOKUP(D224,契約台帳!$A$3:$L$4986,12,FALSE))</f>
        <v/>
      </c>
      <c r="L224" s="270" t="str">
        <f>IF(D224="","",INDEX(製品マスタ!$Q$5:$Q$5002,MATCH('S4'!F224&amp;'S4'!K224,製品マスタ!$AO$5:$AO$5002,0)))</f>
        <v/>
      </c>
      <c r="M224" s="39"/>
      <c r="N224" s="39"/>
      <c r="O224" s="156"/>
      <c r="P224" s="47"/>
      <c r="Q224" s="57"/>
      <c r="R224" s="271" t="str">
        <f ca="1">IF(D224="","",IF(OFFSET(D224,-1,0)&lt;&gt;"","",IF(OR(J224="リード付け",J224="巻足し",J224="巻返しリード付け"),M224,VLOOKUP(D224,契約台帳!$A$3:$N$4986,14,FALSE))))</f>
        <v/>
      </c>
      <c r="S224" s="272" t="str">
        <f ca="1">IF(D224="","",IF(OFFSET(D224,-1,0)&lt;&gt;"","",IF(OR(J224="リード付け",J224="巻足し",J224="巻返しリード付け"),M224,VLOOKUP(D224,契約台帳!$A$3:$O$4986,15,FALSE))))</f>
        <v/>
      </c>
      <c r="T224" s="273" t="str">
        <f ca="1">IF(D224="","",IF(J224="リード付け",N224,IF(J224="巻返しリード付け",N224,IF(J224="巻足し",N224*P224+OFFSET(N224,1,0)*OFFSET(P224,1,0),VLOOKUP(D224,契約台帳!$A$3:$P$4986,16,FALSE)))))</f>
        <v/>
      </c>
      <c r="U224" s="40"/>
      <c r="V224" s="274" t="str">
        <f ca="1">IF(D224="","",IF(OFFSET(D224,-2,0)=D224,"",VLOOKUP(D224,契約台帳!$A$3:$R$4986,18,FALSE)))</f>
        <v/>
      </c>
      <c r="W224" s="269" t="str">
        <f>IF(D224="","",IF(T224="","",IF(OR(J224="巻足し",J224="巻返しリード付け"),"",IF(J224="巻返し",VLOOKUP(F224&amp;K224&amp;M224,製品マスタ!$M$5:$AD$5002,18,FALSE),IF(OR(J224="リード付け",J224="巻返しリード付け"),"原反コア",IF(J224="スリット",VLOOKUP(F224&amp;K224&amp;R224,製品マスタ!$N$5:$AD$5002,17,FALSE),""))))))</f>
        <v/>
      </c>
      <c r="X224" s="269" t="str">
        <f>IF(D224="","",IF(T224="","",IF(J224="巻足し","",IF(J224="巻返し",VLOOKUP(F224&amp;K224&amp;M224,製品マスタ!$M$5:$AE$5002,19,FALSE),IF(OR(J224="リード付け",J224="巻返しリード付け"),"",IF(J224="スリット",VLOOKUP(F224&amp;K224&amp;R224,製品マスタ!$N$5:$AE$5002,18,FALSE),""))))))</f>
        <v/>
      </c>
      <c r="Y224" s="275" t="str">
        <f>IF(D224="","",IF(T224="","",VLOOKUP(D224,契約台帳!$A$3:$Q$4986,17,FALSE)))</f>
        <v/>
      </c>
      <c r="Z224" s="269" t="str">
        <f>IF(D224="","",IF(T224="","",VLOOKUP(D224,契約台帳!$A$3:$E$4986,5,FALSE)))</f>
        <v/>
      </c>
      <c r="AA224" s="57"/>
      <c r="AB224" s="207" t="str">
        <f>IFERROR((VLOOKUP(F224&amp;K224&amp;M224,製品マスタ!$M$5:$AM$5002,27,FALSE)),"")</f>
        <v/>
      </c>
      <c r="AC224" s="33"/>
      <c r="AD224" s="189"/>
      <c r="AE224" s="54"/>
      <c r="AF224" s="55"/>
      <c r="AG224" s="43"/>
      <c r="AH224" s="47"/>
      <c r="AI224" s="30"/>
      <c r="AJ224" s="30"/>
      <c r="AK224" s="30"/>
      <c r="AL224" s="30"/>
      <c r="AM224" s="13"/>
      <c r="AN224" s="13"/>
      <c r="AO224" s="13"/>
      <c r="AP224" s="13"/>
      <c r="AQ224" s="13"/>
      <c r="AR224" s="14"/>
      <c r="AS224" s="15"/>
    </row>
    <row r="225" spans="1:45" s="17" customFormat="1" ht="30.95" hidden="1" customHeight="1" x14ac:dyDescent="0.2">
      <c r="A225" s="37" t="s">
        <v>856</v>
      </c>
      <c r="B225" s="38" t="s">
        <v>462</v>
      </c>
      <c r="C225" s="45"/>
      <c r="D225" s="31">
        <v>3697680</v>
      </c>
      <c r="E225" s="31">
        <v>4161798</v>
      </c>
      <c r="F225" s="268" t="str">
        <f>IF(D225="","",VLOOKUP(D225,契約台帳!$A$3:$K$4986,6,FALSE)&amp;VLOOKUP(D225,契約台帳!$A$3:$K$4986,7,FALSE)&amp;VLOOKUP(D225,契約台帳!$A$3:$K$4986,8,FALSE)&amp;VLOOKUP(D225,契約台帳!$A$3:$K$4986,9,FALSE)&amp;VLOOKUP(D225,契約台帳!$A$3:$K$4986,11,FALSE))</f>
        <v>3SNMCLBHLGTV</v>
      </c>
      <c r="G225" s="269" t="str">
        <f>IF(D225="","",VLOOKUP(F225,製品マスタ!$G$5:$H$5002,2,FALSE))</f>
        <v>S</v>
      </c>
      <c r="H225" s="269" t="str">
        <f>IF(D225="","",VLOOKUP(F225,製品マスタ!$G$5:$K$5002,5,FALSE))</f>
        <v>HLGTV</v>
      </c>
      <c r="I225" s="270" t="str">
        <f>IF(D225="","",VLOOKUP(F225,製品マスタ!$G$5:$L$5002,6,FALSE))</f>
        <v>メタルミー　ヘヤライン　銀艶Ｖ</v>
      </c>
      <c r="J225" s="210" t="s">
        <v>832</v>
      </c>
      <c r="K225" s="270">
        <f>IF(D225="","",VLOOKUP(D225,契約台帳!$A$3:$L$4986,12,FALSE))</f>
        <v>50</v>
      </c>
      <c r="L225" s="270" t="str">
        <f>IF(D225="","",INDEX(製品マスタ!$Q$5:$Q$5002,MATCH('S4'!F225&amp;'S4'!K225,製品マスタ!$AO$5:$AO$5002,0)))</f>
        <v>BRIGHT</v>
      </c>
      <c r="M225" s="39">
        <v>1125</v>
      </c>
      <c r="N225" s="39">
        <v>4100</v>
      </c>
      <c r="O225" s="156">
        <v>6</v>
      </c>
      <c r="P225" s="47">
        <v>3</v>
      </c>
      <c r="Q225" s="57">
        <v>44967</v>
      </c>
      <c r="R225" s="271">
        <f ca="1">IF(D225="","",IF(OFFSET(D225,-1,0)&lt;&gt;"","",IF(OR(J225="リード付け",J225="巻足し",J225="巻返しリード付け"),M225,VLOOKUP(D225,契約台帳!$A$3:$N$4986,14,FALSE))))</f>
        <v>1125</v>
      </c>
      <c r="S225" s="272">
        <f ca="1">IF(D225="","",IF(OFFSET(D225,-1,0)&lt;&gt;"","",IF(OR(J225="リード付け",J225="巻足し",J225="巻返しリード付け"),M225,VLOOKUP(D225,契約台帳!$A$3:$O$4986,15,FALSE))))</f>
        <v>1125</v>
      </c>
      <c r="T225" s="273">
        <f ca="1">IF(D225="","",IF(J225="リード付け",N225,IF(J225="巻返しリード付け",N225,IF(J225="巻足し",N225*P225+OFFSET(N225,1,0)*OFFSET(P225,1,0),VLOOKUP(D225,契約台帳!$A$3:$P$4986,16,FALSE)))))</f>
        <v>12300</v>
      </c>
      <c r="U225" s="40">
        <v>2</v>
      </c>
      <c r="V225" s="274">
        <f ca="1">IF(D225="","",IF(OFFSET(D225,-2,0)=D225,"",VLOOKUP(D225,契約台帳!$A$3:$R$4986,18,FALSE)))</f>
        <v>10</v>
      </c>
      <c r="W225" s="269" t="str">
        <f ca="1">IF(D225="","",IF(T225="","",IF(OR(J225="巻足し",J225="巻返しリード付け"),"",IF(J225="巻返し",VLOOKUP(F225&amp;K225&amp;M225,製品マスタ!$M$5:$AD$5002,18,FALSE),IF(OR(J225="リード付け",J225="巻返しリード付け"),"原反コア",IF(J225="スリット",VLOOKUP(F225&amp;K225&amp;R225,製品マスタ!$N$5:$AD$5002,17,FALSE),""))))))</f>
        <v/>
      </c>
      <c r="X225" s="269" t="str">
        <f ca="1">IF(D225="","",IF(T225="","",IF(J225="巻足し","",IF(J225="巻返し",VLOOKUP(F225&amp;K225&amp;M225,製品マスタ!$M$5:$AE$5002,19,FALSE),IF(OR(J225="リード付け",J225="巻返しリード付け"),"",IF(J225="スリット",VLOOKUP(F225&amp;K225&amp;R225,製品マスタ!$N$5:$AE$5002,18,FALSE),""))))))</f>
        <v/>
      </c>
      <c r="Y225" s="275">
        <f ca="1">IF(D225="","",IF(T225="","",VLOOKUP(D225,契約台帳!$A$3:$Q$4986,17,FALSE)))</f>
        <v>2</v>
      </c>
      <c r="Z225" s="269" t="str">
        <f ca="1">IF(D225="","",IF(T225="","",VLOOKUP(D225,契約台帳!$A$3:$E$4986,5,FALSE)))</f>
        <v>リンテック㈱</v>
      </c>
      <c r="AA225" s="57"/>
      <c r="AB225" s="207">
        <f>IFERROR((VLOOKUP(F225&amp;K225&amp;M225,製品マスタ!$M$5:$AM$5002,27,FALSE)),"")</f>
        <v>0</v>
      </c>
      <c r="AC225" s="33"/>
      <c r="AD225" s="189"/>
      <c r="AE225" s="54"/>
      <c r="AF225" s="55"/>
      <c r="AG225" s="43"/>
      <c r="AH225" s="47"/>
      <c r="AI225" s="30"/>
      <c r="AJ225" s="30"/>
      <c r="AK225" s="30"/>
      <c r="AL225" s="30"/>
      <c r="AM225" s="13"/>
      <c r="AN225" s="13"/>
      <c r="AO225" s="13"/>
      <c r="AP225" s="13"/>
      <c r="AQ225" s="13"/>
      <c r="AR225" s="14"/>
      <c r="AS225" s="15"/>
    </row>
    <row r="226" spans="1:45" s="17" customFormat="1" ht="30.95" hidden="1" customHeight="1" x14ac:dyDescent="0.2">
      <c r="A226" s="37"/>
      <c r="B226" s="38"/>
      <c r="C226" s="45"/>
      <c r="D226" s="31"/>
      <c r="E226" s="31"/>
      <c r="F226" s="268" t="str">
        <f>IF(D226="","",VLOOKUP(D226,契約台帳!$A$3:$K$4986,6,FALSE)&amp;VLOOKUP(D226,契約台帳!$A$3:$K$4986,7,FALSE)&amp;VLOOKUP(D226,契約台帳!$A$3:$K$4986,8,FALSE)&amp;VLOOKUP(D226,契約台帳!$A$3:$K$4986,9,FALSE)&amp;VLOOKUP(D226,契約台帳!$A$3:$K$4986,11,FALSE))</f>
        <v/>
      </c>
      <c r="G226" s="269" t="str">
        <f>IF(D226="","",VLOOKUP(F226,製品マスタ!$G$5:$H$5002,2,FALSE))</f>
        <v/>
      </c>
      <c r="H226" s="269" t="str">
        <f>IF(D226="","",VLOOKUP(F226,製品マスタ!$G$5:$K$5002,5,FALSE))</f>
        <v/>
      </c>
      <c r="I226" s="270" t="str">
        <f>IF(D226="","",VLOOKUP(F226,製品マスタ!$G$5:$L$5002,6,FALSE))</f>
        <v/>
      </c>
      <c r="J226" s="210"/>
      <c r="K226" s="270" t="str">
        <f>IF(D226="","",VLOOKUP(D226,契約台帳!$A$3:$L$4986,12,FALSE))</f>
        <v/>
      </c>
      <c r="L226" s="270" t="str">
        <f>IF(D226="","",INDEX(製品マスタ!$Q$5:$Q$5002,MATCH('S4'!F226&amp;'S4'!K226,製品マスタ!$AO$5:$AO$5002,0)))</f>
        <v/>
      </c>
      <c r="M226" s="39"/>
      <c r="N226" s="39"/>
      <c r="O226" s="156"/>
      <c r="P226" s="47"/>
      <c r="Q226" s="57"/>
      <c r="R226" s="271" t="str">
        <f ca="1">IF(D226="","",IF(OFFSET(D226,-1,0)&lt;&gt;"","",IF(OR(J226="リード付け",J226="巻足し",J226="巻返しリード付け"),M226,VLOOKUP(D226,契約台帳!$A$3:$N$4986,14,FALSE))))</f>
        <v/>
      </c>
      <c r="S226" s="272" t="str">
        <f ca="1">IF(D226="","",IF(OFFSET(D226,-1,0)&lt;&gt;"","",IF(OR(J226="リード付け",J226="巻足し",J226="巻返しリード付け"),M226,VLOOKUP(D226,契約台帳!$A$3:$O$4986,15,FALSE))))</f>
        <v/>
      </c>
      <c r="T226" s="273" t="str">
        <f ca="1">IF(D226="","",IF(J226="リード付け",N226,IF(J226="巻返しリード付け",N226,IF(J226="巻足し",N226*P226+OFFSET(N226,1,0)*OFFSET(P226,1,0),VLOOKUP(D226,契約台帳!$A$3:$P$4986,16,FALSE)))))</f>
        <v/>
      </c>
      <c r="U226" s="40"/>
      <c r="V226" s="274" t="str">
        <f ca="1">IF(D226="","",IF(OFFSET(D226,-2,0)=D226,"",VLOOKUP(D226,契約台帳!$A$3:$R$4986,18,FALSE)))</f>
        <v/>
      </c>
      <c r="W226" s="269" t="str">
        <f>IF(D226="","",IF(T226="","",IF(OR(J226="巻足し",J226="巻返しリード付け"),"",IF(J226="巻返し",VLOOKUP(F226&amp;K226&amp;M226,製品マスタ!$M$5:$AD$5002,18,FALSE),IF(OR(J226="リード付け",J226="巻返しリード付け"),"原反コア",IF(J226="スリット",VLOOKUP(F226&amp;K226&amp;R226,製品マスタ!$N$5:$AD$5002,17,FALSE),""))))))</f>
        <v/>
      </c>
      <c r="X226" s="269" t="str">
        <f>IF(D226="","",IF(T226="","",IF(J226="巻足し","",IF(J226="巻返し",VLOOKUP(F226&amp;K226&amp;M226,製品マスタ!$M$5:$AE$5002,19,FALSE),IF(OR(J226="リード付け",J226="巻返しリード付け"),"",IF(J226="スリット",VLOOKUP(F226&amp;K226&amp;R226,製品マスタ!$N$5:$AE$5002,18,FALSE),""))))))</f>
        <v/>
      </c>
      <c r="Y226" s="275" t="str">
        <f>IF(D226="","",IF(T226="","",VLOOKUP(D226,契約台帳!$A$3:$Q$4986,17,FALSE)))</f>
        <v/>
      </c>
      <c r="Z226" s="269" t="str">
        <f>IF(D226="","",IF(T226="","",VLOOKUP(D226,契約台帳!$A$3:$E$4986,5,FALSE)))</f>
        <v/>
      </c>
      <c r="AA226" s="57"/>
      <c r="AB226" s="207" t="str">
        <f>IFERROR((VLOOKUP(F226&amp;K226&amp;M226,製品マスタ!$M$5:$AM$5002,27,FALSE)),"")</f>
        <v/>
      </c>
      <c r="AC226" s="33"/>
      <c r="AD226" s="189"/>
      <c r="AE226" s="54"/>
      <c r="AF226" s="55"/>
      <c r="AG226" s="43"/>
      <c r="AH226" s="47"/>
      <c r="AI226" s="30"/>
      <c r="AJ226" s="30"/>
      <c r="AK226" s="30"/>
      <c r="AL226" s="30"/>
      <c r="AM226" s="13"/>
      <c r="AN226" s="13"/>
      <c r="AO226" s="13"/>
      <c r="AP226" s="13"/>
      <c r="AQ226" s="13"/>
      <c r="AR226" s="14"/>
      <c r="AS226" s="15"/>
    </row>
    <row r="227" spans="1:45" s="17" customFormat="1" ht="30.95" hidden="1" customHeight="1" x14ac:dyDescent="0.2">
      <c r="A227" s="37"/>
      <c r="B227" s="38"/>
      <c r="C227" s="45"/>
      <c r="D227" s="31">
        <v>3697680</v>
      </c>
      <c r="E227" s="31">
        <v>4161798</v>
      </c>
      <c r="F227" s="268" t="str">
        <f>IF(D227="","",VLOOKUP(D227,契約台帳!$A$3:$K$4986,6,FALSE)&amp;VLOOKUP(D227,契約台帳!$A$3:$K$4986,7,FALSE)&amp;VLOOKUP(D227,契約台帳!$A$3:$K$4986,8,FALSE)&amp;VLOOKUP(D227,契約台帳!$A$3:$K$4986,9,FALSE)&amp;VLOOKUP(D227,契約台帳!$A$3:$K$4986,11,FALSE))</f>
        <v>3SNMCLBHLGTV</v>
      </c>
      <c r="G227" s="269" t="str">
        <f>IF(D227="","",VLOOKUP(F227,製品マスタ!$G$5:$H$5002,2,FALSE))</f>
        <v>S</v>
      </c>
      <c r="H227" s="269" t="str">
        <f>IF(D227="","",VLOOKUP(F227,製品マスタ!$G$5:$K$5002,5,FALSE))</f>
        <v>HLGTV</v>
      </c>
      <c r="I227" s="270" t="str">
        <f>IF(D227="","",VLOOKUP(F227,製品マスタ!$G$5:$L$5002,6,FALSE))</f>
        <v>メタルミー　ヘヤライン　銀艶Ｖ</v>
      </c>
      <c r="J227" s="210" t="s">
        <v>832</v>
      </c>
      <c r="K227" s="270">
        <f>IF(D227="","",VLOOKUP(D227,契約台帳!$A$3:$L$4986,12,FALSE))</f>
        <v>50</v>
      </c>
      <c r="L227" s="270" t="str">
        <f>IF(D227="","",INDEX(製品マスタ!$Q$5:$Q$5002,MATCH('S4'!F227&amp;'S4'!K227,製品マスタ!$AO$5:$AO$5002,0)))</f>
        <v>BRIGHT</v>
      </c>
      <c r="M227" s="39">
        <v>1125</v>
      </c>
      <c r="N227" s="39">
        <v>4100</v>
      </c>
      <c r="O227" s="156">
        <v>4</v>
      </c>
      <c r="P227" s="47">
        <v>2</v>
      </c>
      <c r="Q227" s="57">
        <v>44967</v>
      </c>
      <c r="R227" s="271">
        <f ca="1">IF(D227="","",IF(OFFSET(D227,-1,0)&lt;&gt;"","",IF(OR(J227="リード付け",J227="巻足し",J227="巻返しリード付け"),M227,VLOOKUP(D227,契約台帳!$A$3:$N$4986,14,FALSE))))</f>
        <v>1125</v>
      </c>
      <c r="S227" s="272">
        <f ca="1">IF(D227="","",IF(OFFSET(D227,-1,0)&lt;&gt;"","",IF(OR(J227="リード付け",J227="巻足し",J227="巻返しリード付け"),M227,VLOOKUP(D227,契約台帳!$A$3:$O$4986,15,FALSE))))</f>
        <v>1125</v>
      </c>
      <c r="T227" s="273">
        <f ca="1">IF(D227="","",IF(J227="リード付け",N227,IF(J227="巻返しリード付け",N227,IF(J227="巻足し",N227*P227+OFFSET(N227,1,0)*OFFSET(P227,1,0),VLOOKUP(D227,契約台帳!$A$3:$P$4986,16,FALSE)))))</f>
        <v>8200</v>
      </c>
      <c r="U227" s="40">
        <v>2</v>
      </c>
      <c r="V227" s="274" t="str">
        <f ca="1">IF(D227="","",IF(OFFSET(D227,-2,0)=D227,"",VLOOKUP(D227,契約台帳!$A$3:$R$4986,18,FALSE)))</f>
        <v/>
      </c>
      <c r="W227" s="269" t="str">
        <f ca="1">IF(D227="","",IF(T227="","",IF(OR(J227="巻足し",J227="巻返しリード付け"),"",IF(J227="巻返し",VLOOKUP(F227&amp;K227&amp;M227,製品マスタ!$M$5:$AD$5002,18,FALSE),IF(OR(J227="リード付け",J227="巻返しリード付け"),"原反コア",IF(J227="スリット",VLOOKUP(F227&amp;K227&amp;R227,製品マスタ!$N$5:$AD$5002,17,FALSE),""))))))</f>
        <v/>
      </c>
      <c r="X227" s="269" t="str">
        <f ca="1">IF(D227="","",IF(T227="","",IF(J227="巻足し","",IF(J227="巻返し",VLOOKUP(F227&amp;K227&amp;M227,製品マスタ!$M$5:$AE$5002,19,FALSE),IF(OR(J227="リード付け",J227="巻返しリード付け"),"",IF(J227="スリット",VLOOKUP(F227&amp;K227&amp;R227,製品マスタ!$N$5:$AE$5002,18,FALSE),""))))))</f>
        <v/>
      </c>
      <c r="Y227" s="275">
        <f ca="1">IF(D227="","",IF(T227="","",VLOOKUP(D227,契約台帳!$A$3:$Q$4986,17,FALSE)))</f>
        <v>2</v>
      </c>
      <c r="Z227" s="269" t="str">
        <f ca="1">IF(D227="","",IF(T227="","",VLOOKUP(D227,契約台帳!$A$3:$E$4986,5,FALSE)))</f>
        <v>リンテック㈱</v>
      </c>
      <c r="AA227" s="57"/>
      <c r="AB227" s="207">
        <f>IFERROR((VLOOKUP(F227&amp;K227&amp;M227,製品マスタ!$M$5:$AM$5002,27,FALSE)),"")</f>
        <v>0</v>
      </c>
      <c r="AC227" s="33"/>
      <c r="AD227" s="189"/>
      <c r="AE227" s="54"/>
      <c r="AF227" s="55"/>
      <c r="AG227" s="43"/>
      <c r="AH227" s="47"/>
      <c r="AI227" s="30"/>
      <c r="AJ227" s="30"/>
      <c r="AK227" s="30"/>
      <c r="AL227" s="30"/>
      <c r="AM227" s="13"/>
      <c r="AN227" s="13"/>
      <c r="AO227" s="13"/>
      <c r="AP227" s="13"/>
      <c r="AQ227" s="13"/>
      <c r="AR227" s="14"/>
      <c r="AS227" s="15"/>
    </row>
    <row r="228" spans="1:45" s="17" customFormat="1" ht="30.95" hidden="1" customHeight="1" x14ac:dyDescent="0.2">
      <c r="A228" s="37"/>
      <c r="B228" s="38"/>
      <c r="C228" s="45"/>
      <c r="D228" s="31"/>
      <c r="E228" s="31"/>
      <c r="F228" s="268" t="str">
        <f>IF(D228="","",VLOOKUP(D228,契約台帳!$A$3:$K$4986,6,FALSE)&amp;VLOOKUP(D228,契約台帳!$A$3:$K$4986,7,FALSE)&amp;VLOOKUP(D228,契約台帳!$A$3:$K$4986,8,FALSE)&amp;VLOOKUP(D228,契約台帳!$A$3:$K$4986,9,FALSE)&amp;VLOOKUP(D228,契約台帳!$A$3:$K$4986,11,FALSE))</f>
        <v/>
      </c>
      <c r="G228" s="269" t="str">
        <f>IF(D228="","",VLOOKUP(F228,製品マスタ!$G$5:$H$5002,2,FALSE))</f>
        <v/>
      </c>
      <c r="H228" s="269" t="str">
        <f>IF(D228="","",VLOOKUP(F228,製品マスタ!$G$5:$K$5002,5,FALSE))</f>
        <v/>
      </c>
      <c r="I228" s="270" t="str">
        <f>IF(D228="","",VLOOKUP(F228,製品マスタ!$G$5:$L$5002,6,FALSE))</f>
        <v/>
      </c>
      <c r="J228" s="210"/>
      <c r="K228" s="270" t="str">
        <f>IF(D228="","",VLOOKUP(D228,契約台帳!$A$3:$L$4986,12,FALSE))</f>
        <v/>
      </c>
      <c r="L228" s="270" t="str">
        <f>IF(D228="","",INDEX(製品マスタ!$Q$5:$Q$5002,MATCH('S4'!F228&amp;'S4'!K228,製品マスタ!$AO$5:$AO$5002,0)))</f>
        <v/>
      </c>
      <c r="M228" s="39"/>
      <c r="N228" s="39"/>
      <c r="O228" s="156"/>
      <c r="P228" s="47"/>
      <c r="Q228" s="57"/>
      <c r="R228" s="271" t="str">
        <f ca="1">IF(D228="","",IF(OFFSET(D228,-1,0)&lt;&gt;"","",IF(OR(J228="リード付け",J228="巻足し",J228="巻返しリード付け"),M228,VLOOKUP(D228,契約台帳!$A$3:$N$4986,14,FALSE))))</f>
        <v/>
      </c>
      <c r="S228" s="272" t="str">
        <f ca="1">IF(D228="","",IF(OFFSET(D228,-1,0)&lt;&gt;"","",IF(OR(J228="リード付け",J228="巻足し",J228="巻返しリード付け"),M228,VLOOKUP(D228,契約台帳!$A$3:$O$4986,15,FALSE))))</f>
        <v/>
      </c>
      <c r="T228" s="273" t="str">
        <f ca="1">IF(D228="","",IF(J228="リード付け",N228,IF(J228="巻返しリード付け",N228,IF(J228="巻足し",N228*P228+OFFSET(N228,1,0)*OFFSET(P228,1,0),VLOOKUP(D228,契約台帳!$A$3:$P$4986,16,FALSE)))))</f>
        <v/>
      </c>
      <c r="U228" s="40"/>
      <c r="V228" s="274" t="str">
        <f ca="1">IF(D228="","",IF(OFFSET(D228,-2,0)=D228,"",VLOOKUP(D228,契約台帳!$A$3:$R$4986,18,FALSE)))</f>
        <v/>
      </c>
      <c r="W228" s="269" t="str">
        <f>IF(D228="","",IF(T228="","",IF(OR(J228="巻足し",J228="巻返しリード付け"),"",IF(J228="巻返し",VLOOKUP(F228&amp;K228&amp;M228,製品マスタ!$M$5:$AD$5002,18,FALSE),IF(OR(J228="リード付け",J228="巻返しリード付け"),"原反コア",IF(J228="スリット",VLOOKUP(F228&amp;K228&amp;R228,製品マスタ!$N$5:$AD$5002,17,FALSE),""))))))</f>
        <v/>
      </c>
      <c r="X228" s="269" t="str">
        <f>IF(D228="","",IF(T228="","",IF(J228="巻足し","",IF(J228="巻返し",VLOOKUP(F228&amp;K228&amp;M228,製品マスタ!$M$5:$AE$5002,19,FALSE),IF(OR(J228="リード付け",J228="巻返しリード付け"),"",IF(J228="スリット",VLOOKUP(F228&amp;K228&amp;R228,製品マスタ!$N$5:$AE$5002,18,FALSE),""))))))</f>
        <v/>
      </c>
      <c r="Y228" s="275" t="str">
        <f>IF(D228="","",IF(T228="","",VLOOKUP(D228,契約台帳!$A$3:$Q$4986,17,FALSE)))</f>
        <v/>
      </c>
      <c r="Z228" s="269" t="str">
        <f>IF(D228="","",IF(T228="","",VLOOKUP(D228,契約台帳!$A$3:$E$4986,5,FALSE)))</f>
        <v/>
      </c>
      <c r="AA228" s="57"/>
      <c r="AB228" s="207" t="str">
        <f>IFERROR((VLOOKUP(F228&amp;K228&amp;M228,製品マスタ!$M$5:$AM$5002,27,FALSE)),"")</f>
        <v/>
      </c>
      <c r="AC228" s="33"/>
      <c r="AD228" s="189"/>
      <c r="AE228" s="54"/>
      <c r="AF228" s="55"/>
      <c r="AG228" s="43"/>
      <c r="AH228" s="47"/>
      <c r="AI228" s="30"/>
      <c r="AJ228" s="30"/>
      <c r="AK228" s="30"/>
      <c r="AL228" s="30"/>
      <c r="AM228" s="13"/>
      <c r="AN228" s="13"/>
      <c r="AO228" s="13"/>
      <c r="AP228" s="13"/>
      <c r="AQ228" s="13"/>
      <c r="AR228" s="14"/>
      <c r="AS228" s="15"/>
    </row>
    <row r="229" spans="1:45" s="17" customFormat="1" ht="30.95" hidden="1" customHeight="1" x14ac:dyDescent="0.2">
      <c r="A229" s="37"/>
      <c r="B229" s="38"/>
      <c r="C229" s="45"/>
      <c r="D229" s="31">
        <v>3697655</v>
      </c>
      <c r="E229" s="31">
        <v>4140896</v>
      </c>
      <c r="F229" s="268" t="str">
        <f>IF(D229="","",VLOOKUP(D229,契約台帳!$A$3:$K$4986,6,FALSE)&amp;VLOOKUP(D229,契約台帳!$A$3:$K$4986,7,FALSE)&amp;VLOOKUP(D229,契約台帳!$A$3:$K$4986,8,FALSE)&amp;VLOOKUP(D229,契約台帳!$A$3:$K$4986,9,FALSE)&amp;VLOOKUP(D229,契約台帳!$A$3:$K$4986,11,FALSE))</f>
        <v>3SNCLBLEYK</v>
      </c>
      <c r="G229" s="269" t="str">
        <f>IF(D229="","",VLOOKUP(F229,製品マスタ!$G$5:$H$5002,2,FALSE))</f>
        <v>S</v>
      </c>
      <c r="H229" s="269" t="str">
        <f>IF(D229="","",VLOOKUP(F229,製品マスタ!$G$5:$K$5002,5,FALSE))</f>
        <v>LEYK</v>
      </c>
      <c r="I229" s="270" t="str">
        <f>IF(D229="","",VLOOKUP(F229,製品マスタ!$G$5:$L$5002,6,FALSE))</f>
        <v>ルミラー　ＥＹＫ</v>
      </c>
      <c r="J229" s="210" t="s">
        <v>907</v>
      </c>
      <c r="K229" s="270">
        <f>IF(D229="","",VLOOKUP(D229,契約台帳!$A$3:$L$4986,12,FALSE))</f>
        <v>50</v>
      </c>
      <c r="L229" s="270" t="str">
        <f>IF(D229="","",INDEX(製品マスタ!$Q$5:$Q$5002,MATCH('S4'!F229&amp;'S4'!K229,製品マスタ!$AO$5:$AO$5002,0)))</f>
        <v>T62M</v>
      </c>
      <c r="M229" s="39">
        <v>1125</v>
      </c>
      <c r="N229" s="39">
        <v>6000</v>
      </c>
      <c r="O229" s="156">
        <v>6</v>
      </c>
      <c r="P229" s="47">
        <v>6</v>
      </c>
      <c r="Q229" s="57">
        <v>44970</v>
      </c>
      <c r="R229" s="271">
        <f ca="1">IF(D229="","",IF(OFFSET(D229,-1,0)&lt;&gt;"","",IF(OR(J229="リード付け",J229="巻足し",J229="巻返しリード付け"),M229,VLOOKUP(D229,契約台帳!$A$3:$N$4986,14,FALSE))))</f>
        <v>1120</v>
      </c>
      <c r="S229" s="272">
        <f ca="1">IF(D229="","",IF(OFFSET(D229,-1,0)&lt;&gt;"","",IF(OR(J229="リード付け",J229="巻足し",J229="巻返しリード付け"),M229,VLOOKUP(D229,契約台帳!$A$3:$O$4986,15,FALSE))))</f>
        <v>1120</v>
      </c>
      <c r="T229" s="273">
        <f ca="1">IF(D229="","",IF(J229="リード付け",N229,IF(J229="巻返しリード付け",N229,IF(J229="巻足し",N229*P229+OFFSET(N229,1,0)*OFFSET(P229,1,0),VLOOKUP(D229,契約台帳!$A$3:$P$4986,16,FALSE)))))</f>
        <v>6000</v>
      </c>
      <c r="U229" s="40">
        <v>6</v>
      </c>
      <c r="V229" s="274">
        <f ca="1">IF(D229="","",IF(OFFSET(D229,-2,0)=D229,"",VLOOKUP(D229,契約台帳!$A$3:$R$4986,18,FALSE)))</f>
        <v>6</v>
      </c>
      <c r="W229" s="269" t="str">
        <f ca="1">IF(D229="","",IF(T229="","",IF(OR(J229="巻足し",J229="巻返しリード付け"),"",IF(J229="巻返し",VLOOKUP(F229&amp;K229&amp;M229,製品マスタ!$M$5:$AD$5002,18,FALSE),IF(OR(J229="リード付け",J229="巻返しリード付け"),"原反コア",IF(J229="スリット",VLOOKUP(F229&amp;K229&amp;R229,製品マスタ!$N$5:$AD$5002,17,FALSE),""))))))</f>
        <v>6ｲﾝﾁMｺｱ</v>
      </c>
      <c r="X229" s="269">
        <f ca="1">IF(D229="","",IF(T229="","",IF(J229="巻足し","",IF(J229="巻返し",VLOOKUP(F229&amp;K229&amp;M229,製品マスタ!$M$5:$AE$5002,19,FALSE),IF(OR(J229="リード付け",J229="巻返しリード付け"),"",IF(J229="スリット",VLOOKUP(F229&amp;K229&amp;R229,製品マスタ!$N$5:$AE$5002,18,FALSE),""))))))</f>
        <v>1140</v>
      </c>
      <c r="Y229" s="275">
        <f ca="1">IF(D229="","",IF(T229="","",VLOOKUP(D229,契約台帳!$A$3:$Q$4986,17,FALSE)))</f>
        <v>2</v>
      </c>
      <c r="Z229" s="269" t="str">
        <f ca="1">IF(D229="","",IF(T229="","",VLOOKUP(D229,契約台帳!$A$3:$E$4986,5,FALSE)))</f>
        <v>新タック化成㈱</v>
      </c>
      <c r="AA229" s="57"/>
      <c r="AB229" s="303" t="str">
        <f>IFERROR((VLOOKUP(F229&amp;K229&amp;M229,製品マスタ!$M$5:$AM$5002,27,FALSE)),"")</f>
        <v>原反ケース再利用</v>
      </c>
      <c r="AC229" s="33"/>
      <c r="AD229" s="189"/>
      <c r="AE229" s="54"/>
      <c r="AF229" s="55"/>
      <c r="AG229" s="43"/>
      <c r="AH229" s="47"/>
      <c r="AI229" s="30"/>
      <c r="AJ229" s="30"/>
      <c r="AK229" s="30"/>
      <c r="AL229" s="30"/>
      <c r="AM229" s="13"/>
      <c r="AN229" s="13"/>
      <c r="AO229" s="13"/>
      <c r="AP229" s="13"/>
      <c r="AQ229" s="13"/>
      <c r="AR229" s="14"/>
      <c r="AS229" s="15"/>
    </row>
    <row r="230" spans="1:45" s="17" customFormat="1" ht="30.95" hidden="1" customHeight="1" x14ac:dyDescent="0.2">
      <c r="A230" s="37"/>
      <c r="B230" s="38"/>
      <c r="C230" s="45"/>
      <c r="D230" s="31"/>
      <c r="E230" s="31"/>
      <c r="F230" s="268"/>
      <c r="G230" s="269"/>
      <c r="H230" s="269"/>
      <c r="I230" s="270"/>
      <c r="J230" s="210"/>
      <c r="K230" s="270"/>
      <c r="L230" s="270"/>
      <c r="M230" s="39"/>
      <c r="N230" s="39"/>
      <c r="O230" s="156"/>
      <c r="P230" s="47"/>
      <c r="Q230" s="57"/>
      <c r="R230" s="271"/>
      <c r="S230" s="272"/>
      <c r="T230" s="273"/>
      <c r="U230" s="40"/>
      <c r="V230" s="274"/>
      <c r="W230" s="269"/>
      <c r="X230" s="269"/>
      <c r="Y230" s="275"/>
      <c r="Z230" s="269"/>
      <c r="AA230" s="57"/>
      <c r="AB230" s="207"/>
      <c r="AC230" s="33"/>
      <c r="AD230" s="189"/>
      <c r="AE230" s="54"/>
      <c r="AF230" s="55"/>
      <c r="AG230" s="43"/>
      <c r="AH230" s="47"/>
      <c r="AI230" s="30"/>
      <c r="AJ230" s="30"/>
      <c r="AK230" s="30"/>
      <c r="AL230" s="30"/>
      <c r="AM230" s="13"/>
      <c r="AN230" s="13"/>
      <c r="AO230" s="13"/>
      <c r="AP230" s="13"/>
      <c r="AQ230" s="13"/>
      <c r="AR230" s="14"/>
      <c r="AS230" s="15"/>
    </row>
    <row r="231" spans="1:45" s="17" customFormat="1" ht="30.95" hidden="1" customHeight="1" x14ac:dyDescent="0.2">
      <c r="A231" s="37" t="s">
        <v>873</v>
      </c>
      <c r="B231" s="38" t="s">
        <v>688</v>
      </c>
      <c r="C231" s="45"/>
      <c r="D231" s="31">
        <v>3697681</v>
      </c>
      <c r="E231" s="31">
        <v>4140895</v>
      </c>
      <c r="F231" s="268" t="str">
        <f>IF(D231="","",VLOOKUP(D231,契約台帳!$A$3:$K$4986,6,FALSE)&amp;VLOOKUP(D231,契約台帳!$A$3:$K$4986,7,FALSE)&amp;VLOOKUP(D231,契約台帳!$A$3:$K$4986,8,FALSE)&amp;VLOOKUP(D231,契約台帳!$A$3:$K$4986,9,FALSE)&amp;VLOOKUP(D231,契約台帳!$A$3:$K$4986,11,FALSE))</f>
        <v>3SNCLBLMEYK</v>
      </c>
      <c r="G231" s="269" t="str">
        <f>IF(D231="","",VLOOKUP(F231,製品マスタ!$G$5:$H$5002,2,FALSE))</f>
        <v>S</v>
      </c>
      <c r="H231" s="269" t="str">
        <f>IF(D231="","",VLOOKUP(F231,製品マスタ!$G$5:$K$5002,5,FALSE))</f>
        <v>LMEYK</v>
      </c>
      <c r="I231" s="270" t="str">
        <f>IF(D231="","",VLOOKUP(F231,製品マスタ!$G$5:$L$5002,6,FALSE))</f>
        <v>ルミマットＥＹＫ</v>
      </c>
      <c r="J231" s="210" t="s">
        <v>907</v>
      </c>
      <c r="K231" s="270">
        <f>IF(D231="","",VLOOKUP(D231,契約台帳!$A$3:$L$4986,12,FALSE))</f>
        <v>38</v>
      </c>
      <c r="L231" s="270" t="str">
        <f>IF(D231="","",INDEX(製品マスタ!$Q$5:$Q$5002,MATCH('S4'!F231&amp;'S4'!K231,製品マスタ!$AO$5:$AO$5002,0)))</f>
        <v>LUMIMAT</v>
      </c>
      <c r="M231" s="39">
        <v>1005</v>
      </c>
      <c r="N231" s="39">
        <v>8000</v>
      </c>
      <c r="O231" s="156">
        <v>4</v>
      </c>
      <c r="P231" s="47">
        <v>4</v>
      </c>
      <c r="Q231" s="57">
        <v>44970</v>
      </c>
      <c r="R231" s="271">
        <f ca="1">IF(D231="","",IF(OFFSET(D231,-1,0)&lt;&gt;"","",IF(OR(J231="リード付け",J231="巻足し",J231="巻返しリード付け"),M231,VLOOKUP(D231,契約台帳!$A$3:$N$4986,14,FALSE))))</f>
        <v>1005</v>
      </c>
      <c r="S231" s="272">
        <f ca="1">IF(D231="","",IF(OFFSET(D231,-1,0)&lt;&gt;"","",IF(OR(J231="リード付け",J231="巻足し",J231="巻返しリード付け"),M231,VLOOKUP(D231,契約台帳!$A$3:$O$4986,15,FALSE))))</f>
        <v>1000</v>
      </c>
      <c r="T231" s="273">
        <f ca="1">IF(D231="","",IF(J231="リード付け",N231,IF(J231="巻返しリード付け",N231,IF(J231="巻足し",N231*P231+OFFSET(N231,1,0)*OFFSET(P231,1,0),VLOOKUP(D231,契約台帳!$A$3:$P$4986,16,FALSE)))))</f>
        <v>4000</v>
      </c>
      <c r="U231" s="40">
        <v>8</v>
      </c>
      <c r="V231" s="274">
        <f ca="1">IF(D231="","",IF(OFFSET(D231,-2,0)=D231,"",VLOOKUP(D231,契約台帳!$A$3:$R$4986,18,FALSE)))</f>
        <v>8</v>
      </c>
      <c r="W231" s="269" t="str">
        <f ca="1">IF(D231="","",IF(T231="","",IF(OR(J231="巻足し",J231="巻返しリード付け"),"",IF(J231="巻返し",VLOOKUP(F231&amp;K231&amp;M231,製品マスタ!$M$5:$AD$5002,18,FALSE),IF(OR(J231="リード付け",J231="巻返しリード付け"),"原反コア",IF(J231="スリット",VLOOKUP(F231&amp;K231&amp;R231,製品マスタ!$N$5:$AD$5002,17,FALSE),""))))))</f>
        <v>3ｲﾝﾁSｺｱ</v>
      </c>
      <c r="X231" s="269">
        <f ca="1">IF(D231="","",IF(T231="","",IF(J231="巻足し","",IF(J231="巻返し",VLOOKUP(F231&amp;K231&amp;M231,製品マスタ!$M$5:$AE$5002,19,FALSE),IF(OR(J231="リード付け",J231="巻返しリード付け"),"",IF(J231="スリット",VLOOKUP(F231&amp;K231&amp;R231,製品マスタ!$N$5:$AE$5002,18,FALSE),""))))))</f>
        <v>1015</v>
      </c>
      <c r="Y231" s="275">
        <f ca="1">IF(D231="","",IF(T231="","",VLOOKUP(D231,契約台帳!$A$3:$Q$4986,17,FALSE)))</f>
        <v>2</v>
      </c>
      <c r="Z231" s="269" t="str">
        <f ca="1">IF(D231="","",IF(T231="","",VLOOKUP(D231,契約台帳!$A$3:$E$4986,5,FALSE)))</f>
        <v>リンテック㈱</v>
      </c>
      <c r="AA231" s="57"/>
      <c r="AB231" s="207">
        <f>IFERROR((VLOOKUP(F231&amp;K231&amp;M231,製品マスタ!$M$5:$AM$5002,27,FALSE)),"")</f>
        <v>0</v>
      </c>
      <c r="AC231" s="33"/>
      <c r="AD231" s="189"/>
      <c r="AE231" s="54"/>
      <c r="AF231" s="55"/>
      <c r="AG231" s="43"/>
      <c r="AH231" s="47"/>
      <c r="AI231" s="30"/>
      <c r="AJ231" s="30"/>
      <c r="AK231" s="30"/>
      <c r="AL231" s="30"/>
      <c r="AM231" s="13"/>
      <c r="AN231" s="13"/>
      <c r="AO231" s="13"/>
      <c r="AP231" s="13"/>
      <c r="AQ231" s="13"/>
      <c r="AR231" s="14"/>
      <c r="AS231" s="15"/>
    </row>
    <row r="232" spans="1:45" s="17" customFormat="1" ht="30.95" hidden="1" customHeight="1" x14ac:dyDescent="0.2">
      <c r="A232" s="37"/>
      <c r="B232" s="38"/>
      <c r="C232" s="45"/>
      <c r="D232" s="31"/>
      <c r="E232" s="31"/>
      <c r="F232" s="268" t="str">
        <f>IF(D232="","",VLOOKUP(D232,契約台帳!$A$3:$K$4986,6,FALSE)&amp;VLOOKUP(D232,契約台帳!$A$3:$K$4986,7,FALSE)&amp;VLOOKUP(D232,契約台帳!$A$3:$K$4986,8,FALSE)&amp;VLOOKUP(D232,契約台帳!$A$3:$K$4986,9,FALSE)&amp;VLOOKUP(D232,契約台帳!$A$3:$K$4986,11,FALSE))</f>
        <v/>
      </c>
      <c r="G232" s="269" t="str">
        <f>IF(D232="","",VLOOKUP(F232,製品マスタ!$G$5:$H$5002,2,FALSE))</f>
        <v/>
      </c>
      <c r="H232" s="269" t="str">
        <f>IF(D232="","",VLOOKUP(F232,製品マスタ!$G$5:$K$5002,5,FALSE))</f>
        <v/>
      </c>
      <c r="I232" s="270" t="str">
        <f>IF(D232="","",VLOOKUP(F232,製品マスタ!$G$5:$L$5002,6,FALSE))</f>
        <v/>
      </c>
      <c r="J232" s="210"/>
      <c r="K232" s="270" t="str">
        <f>IF(D232="","",VLOOKUP(D232,契約台帳!$A$3:$L$4986,12,FALSE))</f>
        <v/>
      </c>
      <c r="L232" s="270" t="str">
        <f>IF(D232="","",INDEX(製品マスタ!$Q$5:$Q$5002,MATCH('S4'!F232&amp;'S4'!K232,製品マスタ!$AO$5:$AO$5002,0)))</f>
        <v/>
      </c>
      <c r="M232" s="39"/>
      <c r="N232" s="39"/>
      <c r="O232" s="156"/>
      <c r="P232" s="47"/>
      <c r="Q232" s="57"/>
      <c r="R232" s="271" t="str">
        <f ca="1">IF(D232="","",IF(OFFSET(D232,-1,0)&lt;&gt;"","",IF(OR(J232="リード付け",J232="巻足し",J232="巻返しリード付け"),M232,VLOOKUP(D232,契約台帳!$A$3:$N$4986,14,FALSE))))</f>
        <v/>
      </c>
      <c r="S232" s="272" t="str">
        <f ca="1">IF(D232="","",IF(OFFSET(D232,-1,0)&lt;&gt;"","",IF(OR(J232="リード付け",J232="巻足し",J232="巻返しリード付け"),M232,VLOOKUP(D232,契約台帳!$A$3:$O$4986,15,FALSE))))</f>
        <v/>
      </c>
      <c r="T232" s="273" t="str">
        <f ca="1">IF(D232="","",IF(J232="リード付け",N232,IF(J232="巻返しリード付け",N232,IF(J232="巻足し",N232*P232+OFFSET(N232,1,0)*OFFSET(P232,1,0),VLOOKUP(D232,契約台帳!$A$3:$P$4986,16,FALSE)))))</f>
        <v/>
      </c>
      <c r="U232" s="40"/>
      <c r="V232" s="274" t="str">
        <f ca="1">IF(D232="","",IF(OFFSET(D232,-2,0)=D232,"",VLOOKUP(D232,契約台帳!$A$3:$R$4986,18,FALSE)))</f>
        <v/>
      </c>
      <c r="W232" s="269" t="str">
        <f>IF(D232="","",IF(T232="","",IF(OR(J232="巻足し",J232="巻返しリード付け"),"",IF(J232="巻返し",VLOOKUP(F232&amp;K232&amp;M232,製品マスタ!$M$5:$AD$5002,18,FALSE),IF(OR(J232="リード付け",J232="巻返しリード付け"),"原反コア",IF(J232="スリット",VLOOKUP(F232&amp;K232&amp;R232,製品マスタ!$N$5:$AD$5002,17,FALSE),""))))))</f>
        <v/>
      </c>
      <c r="X232" s="269" t="str">
        <f>IF(D232="","",IF(T232="","",IF(J232="巻足し","",IF(J232="巻返し",VLOOKUP(F232&amp;K232&amp;M232,製品マスタ!$M$5:$AE$5002,19,FALSE),IF(OR(J232="リード付け",J232="巻返しリード付け"),"",IF(J232="スリット",VLOOKUP(F232&amp;K232&amp;R232,製品マスタ!$N$5:$AE$5002,18,FALSE),""))))))</f>
        <v/>
      </c>
      <c r="Y232" s="275" t="str">
        <f>IF(D232="","",IF(T232="","",VLOOKUP(D232,契約台帳!$A$3:$Q$4986,17,FALSE)))</f>
        <v/>
      </c>
      <c r="Z232" s="269" t="str">
        <f>IF(D232="","",IF(T232="","",VLOOKUP(D232,契約台帳!$A$3:$E$4986,5,FALSE)))</f>
        <v/>
      </c>
      <c r="AA232" s="57"/>
      <c r="AB232" s="207" t="str">
        <f>IFERROR((VLOOKUP(F232&amp;K232&amp;M232,製品マスタ!$M$5:$AM$5002,27,FALSE)),"")</f>
        <v/>
      </c>
      <c r="AC232" s="33"/>
      <c r="AD232" s="189"/>
      <c r="AE232" s="54"/>
      <c r="AF232" s="55"/>
      <c r="AG232" s="43"/>
      <c r="AH232" s="47"/>
      <c r="AI232" s="30"/>
      <c r="AJ232" s="30"/>
      <c r="AK232" s="30"/>
      <c r="AL232" s="30"/>
      <c r="AM232" s="13"/>
      <c r="AN232" s="13"/>
      <c r="AO232" s="13"/>
      <c r="AP232" s="13"/>
      <c r="AQ232" s="13"/>
      <c r="AR232" s="14"/>
      <c r="AS232" s="15"/>
    </row>
    <row r="233" spans="1:45" s="17" customFormat="1" ht="30.95" hidden="1" customHeight="1" x14ac:dyDescent="0.2">
      <c r="A233" s="37"/>
      <c r="B233" s="38"/>
      <c r="C233" s="45"/>
      <c r="D233" s="31">
        <v>3697653</v>
      </c>
      <c r="E233" s="31">
        <v>4140880</v>
      </c>
      <c r="F233" s="268" t="str">
        <f>IF(D233="","",VLOOKUP(D233,契約台帳!$A$3:$K$4986,6,FALSE)&amp;VLOOKUP(D233,契約台帳!$A$3:$K$4986,7,FALSE)&amp;VLOOKUP(D233,契約台帳!$A$3:$K$4986,8,FALSE)&amp;VLOOKUP(D233,契約台帳!$A$3:$K$4986,9,FALSE)&amp;VLOOKUP(D233,契約台帳!$A$3:$K$4986,11,FALSE))</f>
        <v>3HSNMCLBEYK</v>
      </c>
      <c r="G233" s="269" t="str">
        <f>IF(D233="","",VLOOKUP(F233,製品マスタ!$G$5:$H$5002,2,FALSE))</f>
        <v>S</v>
      </c>
      <c r="H233" s="269" t="str">
        <f>IF(D233="","",VLOOKUP(F233,製品マスタ!$G$5:$K$5002,5,FALSE))</f>
        <v>EYK</v>
      </c>
      <c r="I233" s="270" t="str">
        <f>IF(D233="","",VLOOKUP(F233,製品マスタ!$G$5:$L$5002,6,FALSE))</f>
        <v>メタルミー　ＥＹＫ</v>
      </c>
      <c r="J233" s="210" t="s">
        <v>907</v>
      </c>
      <c r="K233" s="270">
        <f>IF(D233="","",VLOOKUP(D233,契約台帳!$A$3:$L$4986,12,FALSE))</f>
        <v>50</v>
      </c>
      <c r="L233" s="270" t="str">
        <f>IF(D233="","",INDEX(製品マスタ!$Q$5:$Q$5002,MATCH('S4'!F233&amp;'S4'!K233,製品マスタ!$AO$5:$AO$5002,0)))</f>
        <v>T62M</v>
      </c>
      <c r="M233" s="39">
        <v>1195</v>
      </c>
      <c r="N233" s="39">
        <v>12200</v>
      </c>
      <c r="O233" s="156">
        <v>3</v>
      </c>
      <c r="P233" s="47">
        <v>3</v>
      </c>
      <c r="Q233" s="57">
        <v>44971</v>
      </c>
      <c r="R233" s="271">
        <f ca="1">IF(D233="","",IF(OFFSET(D233,-1,0)&lt;&gt;"","",IF(OR(J233="リード付け",J233="巻足し",J233="巻返しリード付け"),M233,VLOOKUP(D233,契約台帳!$A$3:$N$4986,14,FALSE))))</f>
        <v>1190</v>
      </c>
      <c r="S233" s="272">
        <f ca="1">IF(D233="","",IF(OFFSET(D233,-1,0)&lt;&gt;"","",IF(OR(J233="リード付け",J233="巻足し",J233="巻返しリード付け"),M233,VLOOKUP(D233,契約台帳!$A$3:$O$4986,15,FALSE))))</f>
        <v>1190</v>
      </c>
      <c r="T233" s="273">
        <f ca="1">IF(D233="","",IF(J233="リード付け",N233,IF(J233="巻返しリード付け",N233,IF(J233="巻足し",N233*P233+OFFSET(N233,1,0)*OFFSET(P233,1,0),VLOOKUP(D233,契約台帳!$A$3:$P$4986,16,FALSE)))))</f>
        <v>6000</v>
      </c>
      <c r="U233" s="40">
        <v>6</v>
      </c>
      <c r="V233" s="274">
        <f ca="1">IF(D233="","",IF(OFFSET(D233,-2,0)=D233,"",VLOOKUP(D233,契約台帳!$A$3:$R$4986,18,FALSE)))</f>
        <v>6</v>
      </c>
      <c r="W233" s="269" t="str">
        <f ca="1">IF(D233="","",IF(T233="","",IF(OR(J233="巻足し",J233="巻返しリード付け"),"",IF(J233="巻返し",VLOOKUP(F233&amp;K233&amp;M233,製品マスタ!$M$5:$AD$5002,18,FALSE),IF(OR(J233="リード付け",J233="巻返しリード付け"),"原反コア",IF(J233="スリット",VLOOKUP(F233&amp;K233&amp;R233,製品マスタ!$N$5:$AD$5002,17,FALSE),""))))))</f>
        <v>6ｲﾝﾁMｺｱ</v>
      </c>
      <c r="X233" s="269">
        <f ca="1">IF(D233="","",IF(T233="","",IF(J233="巻足し","",IF(J233="巻返し",VLOOKUP(F233&amp;K233&amp;M233,製品マスタ!$M$5:$AE$5002,19,FALSE),IF(OR(J233="リード付け",J233="巻返しリード付け"),"",IF(J233="スリット",VLOOKUP(F233&amp;K233&amp;R233,製品マスタ!$N$5:$AE$5002,18,FALSE),""))))))</f>
        <v>1220</v>
      </c>
      <c r="Y233" s="275">
        <f ca="1">IF(D233="","",IF(T233="","",VLOOKUP(D233,契約台帳!$A$3:$Q$4986,17,FALSE)))</f>
        <v>2</v>
      </c>
      <c r="Z233" s="269" t="str">
        <f ca="1">IF(D233="","",IF(T233="","",VLOOKUP(D233,契約台帳!$A$3:$E$4986,5,FALSE)))</f>
        <v>大阪シーリング印刷㈱</v>
      </c>
      <c r="AA233" s="57"/>
      <c r="AB233" s="207" t="str">
        <f>IFERROR((VLOOKUP(F233&amp;K233&amp;M233,製品マスタ!$M$5:$AM$5002,27,FALSE)),"")</f>
        <v>原反ケース再利用</v>
      </c>
      <c r="AC233" s="33"/>
      <c r="AD233" s="189"/>
      <c r="AE233" s="54"/>
      <c r="AF233" s="55"/>
      <c r="AG233" s="43"/>
      <c r="AH233" s="47"/>
      <c r="AI233" s="30"/>
      <c r="AJ233" s="30"/>
      <c r="AK233" s="30"/>
      <c r="AL233" s="30"/>
      <c r="AM233" s="13"/>
      <c r="AN233" s="13"/>
      <c r="AO233" s="13"/>
      <c r="AP233" s="13"/>
      <c r="AQ233" s="13"/>
      <c r="AR233" s="14"/>
      <c r="AS233" s="15"/>
    </row>
    <row r="234" spans="1:45" s="17" customFormat="1" ht="30.95" hidden="1" customHeight="1" x14ac:dyDescent="0.2">
      <c r="A234" s="37"/>
      <c r="B234" s="38"/>
      <c r="C234" s="45"/>
      <c r="D234" s="31"/>
      <c r="E234" s="31"/>
      <c r="F234" s="268" t="str">
        <f>IF(D234="","",VLOOKUP(D234,契約台帳!$A$3:$K$4986,6,FALSE)&amp;VLOOKUP(D234,契約台帳!$A$3:$K$4986,7,FALSE)&amp;VLOOKUP(D234,契約台帳!$A$3:$K$4986,8,FALSE)&amp;VLOOKUP(D234,契約台帳!$A$3:$K$4986,9,FALSE)&amp;VLOOKUP(D234,契約台帳!$A$3:$K$4986,11,FALSE))</f>
        <v/>
      </c>
      <c r="G234" s="269" t="str">
        <f>IF(D234="","",VLOOKUP(F234,製品マスタ!$G$5:$H$5002,2,FALSE))</f>
        <v/>
      </c>
      <c r="H234" s="269" t="str">
        <f>IF(D234="","",VLOOKUP(F234,製品マスタ!$G$5:$K$5002,5,FALSE))</f>
        <v/>
      </c>
      <c r="I234" s="270" t="str">
        <f>IF(D234="","",VLOOKUP(F234,製品マスタ!$G$5:$L$5002,6,FALSE))</f>
        <v/>
      </c>
      <c r="J234" s="210"/>
      <c r="K234" s="270" t="str">
        <f>IF(D234="","",VLOOKUP(D234,契約台帳!$A$3:$L$4986,12,FALSE))</f>
        <v/>
      </c>
      <c r="L234" s="270" t="str">
        <f>IF(D234="","",INDEX(製品マスタ!$Q$5:$Q$5002,MATCH('S4'!F234&amp;'S4'!K234,製品マスタ!$AO$5:$AO$5002,0)))</f>
        <v/>
      </c>
      <c r="M234" s="39"/>
      <c r="N234" s="39"/>
      <c r="O234" s="156"/>
      <c r="P234" s="47"/>
      <c r="Q234" s="57"/>
      <c r="R234" s="271" t="str">
        <f ca="1">IF(D234="","",IF(OFFSET(D234,-1,0)&lt;&gt;"","",IF(OR(J234="リード付け",J234="巻足し",J234="巻返しリード付け"),M234,VLOOKUP(D234,契約台帳!$A$3:$N$4986,14,FALSE))))</f>
        <v/>
      </c>
      <c r="S234" s="272" t="str">
        <f ca="1">IF(D234="","",IF(OFFSET(D234,-1,0)&lt;&gt;"","",IF(OR(J234="リード付け",J234="巻足し",J234="巻返しリード付け"),M234,VLOOKUP(D234,契約台帳!$A$3:$O$4986,15,FALSE))))</f>
        <v/>
      </c>
      <c r="T234" s="273" t="str">
        <f ca="1">IF(D234="","",IF(J234="リード付け",N234,IF(J234="巻返しリード付け",N234,IF(J234="巻足し",N234*P234+OFFSET(N234,1,0)*OFFSET(P234,1,0),VLOOKUP(D234,契約台帳!$A$3:$P$4986,16,FALSE)))))</f>
        <v/>
      </c>
      <c r="U234" s="40"/>
      <c r="V234" s="274" t="str">
        <f ca="1">IF(D234="","",IF(OFFSET(D234,-2,0)=D234,"",VLOOKUP(D234,契約台帳!$A$3:$R$4986,18,FALSE)))</f>
        <v/>
      </c>
      <c r="W234" s="269" t="str">
        <f>IF(D234="","",IF(T234="","",IF(OR(J234="巻足し",J234="巻返しリード付け"),"",IF(J234="巻返し",VLOOKUP(F234&amp;K234&amp;M234,製品マスタ!$M$5:$AD$5002,18,FALSE),IF(OR(J234="リード付け",J234="巻返しリード付け"),"原反コア",IF(J234="スリット",VLOOKUP(F234&amp;K234&amp;R234,製品マスタ!$N$5:$AD$5002,17,FALSE),""))))))</f>
        <v/>
      </c>
      <c r="X234" s="269" t="str">
        <f>IF(D234="","",IF(T234="","",IF(J234="巻足し","",IF(J234="巻返し",VLOOKUP(F234&amp;K234&amp;M234,製品マスタ!$M$5:$AE$5002,19,FALSE),IF(OR(J234="リード付け",J234="巻返しリード付け"),"",IF(J234="スリット",VLOOKUP(F234&amp;K234&amp;R234,製品マスタ!$N$5:$AE$5002,18,FALSE),""))))))</f>
        <v/>
      </c>
      <c r="Y234" s="275" t="str">
        <f>IF(D234="","",IF(T234="","",VLOOKUP(D234,契約台帳!$A$3:$Q$4986,17,FALSE)))</f>
        <v/>
      </c>
      <c r="Z234" s="269" t="str">
        <f>IF(D234="","",IF(T234="","",VLOOKUP(D234,契約台帳!$A$3:$E$4986,5,FALSE)))</f>
        <v/>
      </c>
      <c r="AA234" s="57"/>
      <c r="AB234" s="207" t="str">
        <f>IFERROR((VLOOKUP(F234&amp;K234&amp;M234,製品マスタ!$M$5:$AM$5002,27,FALSE)),"")</f>
        <v/>
      </c>
      <c r="AC234" s="33"/>
      <c r="AD234" s="189"/>
      <c r="AE234" s="54"/>
      <c r="AF234" s="55"/>
      <c r="AG234" s="43"/>
      <c r="AH234" s="47"/>
      <c r="AI234" s="30"/>
      <c r="AJ234" s="30"/>
      <c r="AK234" s="30"/>
      <c r="AL234" s="30"/>
      <c r="AM234" s="13"/>
      <c r="AN234" s="13"/>
      <c r="AO234" s="13"/>
      <c r="AP234" s="13"/>
      <c r="AQ234" s="13"/>
      <c r="AR234" s="14"/>
      <c r="AS234" s="15"/>
    </row>
    <row r="235" spans="1:45" s="17" customFormat="1" ht="30.95" hidden="1" customHeight="1" x14ac:dyDescent="0.2">
      <c r="A235" s="37" t="s">
        <v>908</v>
      </c>
      <c r="B235" s="38" t="s">
        <v>909</v>
      </c>
      <c r="C235" s="45"/>
      <c r="D235" s="31">
        <v>3697656</v>
      </c>
      <c r="E235" s="31">
        <v>4140891</v>
      </c>
      <c r="F235" s="268" t="str">
        <f>IF(D235="","",VLOOKUP(D235,契約台帳!$A$3:$K$4986,6,FALSE)&amp;VLOOKUP(D235,契約台帳!$A$3:$K$4986,7,FALSE)&amp;VLOOKUP(D235,契約台帳!$A$3:$K$4986,8,FALSE)&amp;VLOOKUP(D235,契約台帳!$A$3:$K$4986,9,FALSE)&amp;VLOOKUP(D235,契約台帳!$A$3:$K$4986,11,FALSE))</f>
        <v>3SNMCLBEYK</v>
      </c>
      <c r="G235" s="269" t="str">
        <f>IF(D235="","",VLOOKUP(F235,製品マスタ!$G$5:$H$5002,2,FALSE))</f>
        <v>S</v>
      </c>
      <c r="H235" s="269" t="str">
        <f>IF(D235="","",VLOOKUP(F235,製品マスタ!$G$5:$K$5002,5,FALSE))</f>
        <v>EYK</v>
      </c>
      <c r="I235" s="270" t="str">
        <f>IF(D235="","",VLOOKUP(F235,製品マスタ!$G$5:$L$5002,6,FALSE))</f>
        <v>メタルミー　ＥＹＫ</v>
      </c>
      <c r="J235" s="210" t="s">
        <v>907</v>
      </c>
      <c r="K235" s="270">
        <f>IF(D235="","",VLOOKUP(D235,契約台帳!$A$3:$L$4986,12,FALSE))</f>
        <v>50</v>
      </c>
      <c r="L235" s="270" t="str">
        <f>IF(D235="","",INDEX(製品マスタ!$Q$5:$Q$5002,MATCH('S4'!F235&amp;'S4'!K235,製品マスタ!$AO$5:$AO$5002,0)))</f>
        <v>T62M</v>
      </c>
      <c r="M235" s="39">
        <v>1125</v>
      </c>
      <c r="N235" s="39">
        <v>12200</v>
      </c>
      <c r="O235" s="156">
        <v>2</v>
      </c>
      <c r="P235" s="47">
        <v>2</v>
      </c>
      <c r="Q235" s="57">
        <v>44971</v>
      </c>
      <c r="R235" s="271">
        <f ca="1">IF(D235="","",IF(OFFSET(D235,-1,0)&lt;&gt;"","",IF(OR(J235="リード付け",J235="巻足し",J235="巻返しリード付け"),M235,VLOOKUP(D235,契約台帳!$A$3:$N$4986,14,FALSE))))</f>
        <v>1120</v>
      </c>
      <c r="S235" s="272">
        <f ca="1">IF(D235="","",IF(OFFSET(D235,-1,0)&lt;&gt;"","",IF(OR(J235="リード付け",J235="巻足し",J235="巻返しリード付け"),M235,VLOOKUP(D235,契約台帳!$A$3:$O$4986,15,FALSE))))</f>
        <v>1120</v>
      </c>
      <c r="T235" s="273">
        <f ca="1">IF(D235="","",IF(J235="リード付け",N235,IF(J235="巻返しリード付け",N235,IF(J235="巻足し",N235*P235+OFFSET(N235,1,0)*OFFSET(P235,1,0),VLOOKUP(D235,契約台帳!$A$3:$P$4986,16,FALSE)))))</f>
        <v>6000</v>
      </c>
      <c r="U235" s="40">
        <v>4</v>
      </c>
      <c r="V235" s="274">
        <f ca="1">IF(D235="","",IF(OFFSET(D235,-2,0)=D235,"",VLOOKUP(D235,契約台帳!$A$3:$R$4986,18,FALSE)))</f>
        <v>4</v>
      </c>
      <c r="W235" s="269" t="str">
        <f ca="1">IF(D235="","",IF(T235="","",IF(OR(J235="巻足し",J235="巻返しリード付け"),"",IF(J235="巻返し",VLOOKUP(F235&amp;K235&amp;M235,製品マスタ!$M$5:$AD$5002,18,FALSE),IF(OR(J235="リード付け",J235="巻返しリード付け"),"原反コア",IF(J235="スリット",VLOOKUP(F235&amp;K235&amp;R235,製品マスタ!$N$5:$AD$5002,17,FALSE),""))))))</f>
        <v>6ｲﾝﾁMｺｱ</v>
      </c>
      <c r="X235" s="269">
        <f ca="1">IF(D235="","",IF(T235="","",IF(J235="巻足し","",IF(J235="巻返し",VLOOKUP(F235&amp;K235&amp;M235,製品マスタ!$M$5:$AE$5002,19,FALSE),IF(OR(J235="リード付け",J235="巻返しリード付け"),"",IF(J235="スリット",VLOOKUP(F235&amp;K235&amp;R235,製品マスタ!$N$5:$AE$5002,18,FALSE),""))))))</f>
        <v>1140</v>
      </c>
      <c r="Y235" s="275">
        <f ca="1">IF(D235="","",IF(T235="","",VLOOKUP(D235,契約台帳!$A$3:$Q$4986,17,FALSE)))</f>
        <v>2</v>
      </c>
      <c r="Z235" s="269" t="str">
        <f ca="1">IF(D235="","",IF(T235="","",VLOOKUP(D235,契約台帳!$A$3:$E$4986,5,FALSE)))</f>
        <v>新タック化成㈱</v>
      </c>
      <c r="AA235" s="57"/>
      <c r="AB235" s="207" t="str">
        <f>IFERROR((VLOOKUP(F235&amp;K235&amp;M235,製品マスタ!$M$5:$AM$5002,27,FALSE)),"")</f>
        <v>原反ケース再利用</v>
      </c>
      <c r="AC235" s="33"/>
      <c r="AD235" s="189"/>
      <c r="AE235" s="54"/>
      <c r="AF235" s="55"/>
      <c r="AG235" s="43"/>
      <c r="AH235" s="47"/>
      <c r="AI235" s="30"/>
      <c r="AJ235" s="30"/>
      <c r="AK235" s="30"/>
      <c r="AL235" s="30"/>
      <c r="AM235" s="13"/>
      <c r="AN235" s="13"/>
      <c r="AO235" s="13"/>
      <c r="AP235" s="13"/>
      <c r="AQ235" s="13"/>
      <c r="AR235" s="14"/>
      <c r="AS235" s="15"/>
    </row>
    <row r="236" spans="1:45" s="17" customFormat="1" ht="30.95" hidden="1" customHeight="1" x14ac:dyDescent="0.2">
      <c r="A236" s="37"/>
      <c r="B236" s="38"/>
      <c r="C236" s="45"/>
      <c r="D236" s="31"/>
      <c r="E236" s="31"/>
      <c r="F236" s="268" t="str">
        <f>IF(D236="","",VLOOKUP(D236,契約台帳!$A$3:$K$4986,6,FALSE)&amp;VLOOKUP(D236,契約台帳!$A$3:$K$4986,7,FALSE)&amp;VLOOKUP(D236,契約台帳!$A$3:$K$4986,8,FALSE)&amp;VLOOKUP(D236,契約台帳!$A$3:$K$4986,9,FALSE)&amp;VLOOKUP(D236,契約台帳!$A$3:$K$4986,11,FALSE))</f>
        <v/>
      </c>
      <c r="G236" s="269" t="str">
        <f>IF(D236="","",VLOOKUP(F236,製品マスタ!$G$5:$H$5002,2,FALSE))</f>
        <v/>
      </c>
      <c r="H236" s="269" t="str">
        <f>IF(D236="","",VLOOKUP(F236,製品マスタ!$G$5:$K$5002,5,FALSE))</f>
        <v/>
      </c>
      <c r="I236" s="270" t="str">
        <f>IF(D236="","",VLOOKUP(F236,製品マスタ!$G$5:$L$5002,6,FALSE))</f>
        <v/>
      </c>
      <c r="J236" s="210"/>
      <c r="K236" s="270" t="str">
        <f>IF(D236="","",VLOOKUP(D236,契約台帳!$A$3:$L$4986,12,FALSE))</f>
        <v/>
      </c>
      <c r="L236" s="270" t="str">
        <f>IF(D236="","",INDEX(製品マスタ!$Q$5:$Q$5002,MATCH('S4'!F236&amp;'S4'!K236,製品マスタ!$AO$5:$AO$5002,0)))</f>
        <v/>
      </c>
      <c r="M236" s="39"/>
      <c r="N236" s="39"/>
      <c r="O236" s="156"/>
      <c r="P236" s="47"/>
      <c r="Q236" s="57"/>
      <c r="R236" s="271" t="str">
        <f ca="1">IF(D236="","",IF(OFFSET(D236,-1,0)&lt;&gt;"","",IF(OR(J236="リード付け",J236="巻足し",J236="巻返しリード付け"),M236,VLOOKUP(D236,契約台帳!$A$3:$N$4986,14,FALSE))))</f>
        <v/>
      </c>
      <c r="S236" s="272" t="str">
        <f ca="1">IF(D236="","",IF(OFFSET(D236,-1,0)&lt;&gt;"","",IF(OR(J236="リード付け",J236="巻足し",J236="巻返しリード付け"),M236,VLOOKUP(D236,契約台帳!$A$3:$O$4986,15,FALSE))))</f>
        <v/>
      </c>
      <c r="T236" s="273" t="str">
        <f ca="1">IF(D236="","",IF(J236="リード付け",N236,IF(J236="巻返しリード付け",N236,IF(J236="巻足し",N236*P236+OFFSET(N236,1,0)*OFFSET(P236,1,0),VLOOKUP(D236,契約台帳!$A$3:$P$4986,16,FALSE)))))</f>
        <v/>
      </c>
      <c r="U236" s="40"/>
      <c r="V236" s="274" t="str">
        <f ca="1">IF(D236="","",IF(OFFSET(D236,-2,0)=D236,"",VLOOKUP(D236,契約台帳!$A$3:$R$4986,18,FALSE)))</f>
        <v/>
      </c>
      <c r="W236" s="269" t="str">
        <f>IF(D236="","",IF(T236="","",IF(OR(J236="巻足し",J236="巻返しリード付け"),"",IF(J236="巻返し",VLOOKUP(F236&amp;K236&amp;M236,製品マスタ!$M$5:$AD$5002,18,FALSE),IF(OR(J236="リード付け",J236="巻返しリード付け"),"原反コア",IF(J236="スリット",VLOOKUP(F236&amp;K236&amp;R236,製品マスタ!$N$5:$AD$5002,17,FALSE),""))))))</f>
        <v/>
      </c>
      <c r="X236" s="269" t="str">
        <f>IF(D236="","",IF(T236="","",IF(J236="巻足し","",IF(J236="巻返し",VLOOKUP(F236&amp;K236&amp;M236,製品マスタ!$M$5:$AE$5002,19,FALSE),IF(OR(J236="リード付け",J236="巻返しリード付け"),"",IF(J236="スリット",VLOOKUP(F236&amp;K236&amp;R236,製品マスタ!$N$5:$AE$5002,18,FALSE),""))))))</f>
        <v/>
      </c>
      <c r="Y236" s="275" t="str">
        <f>IF(D236="","",IF(T236="","",VLOOKUP(D236,契約台帳!$A$3:$Q$4986,17,FALSE)))</f>
        <v/>
      </c>
      <c r="Z236" s="269" t="str">
        <f>IF(D236="","",IF(T236="","",VLOOKUP(D236,契約台帳!$A$3:$E$4986,5,FALSE)))</f>
        <v/>
      </c>
      <c r="AA236" s="57"/>
      <c r="AB236" s="207" t="str">
        <f>IFERROR((VLOOKUP(F236&amp;K236&amp;M236,製品マスタ!$M$5:$AM$5002,27,FALSE)),"")</f>
        <v/>
      </c>
      <c r="AC236" s="33"/>
      <c r="AD236" s="189"/>
      <c r="AE236" s="54"/>
      <c r="AF236" s="55"/>
      <c r="AG236" s="43"/>
      <c r="AH236" s="47"/>
      <c r="AI236" s="30"/>
      <c r="AJ236" s="30"/>
      <c r="AK236" s="30"/>
      <c r="AL236" s="30"/>
      <c r="AM236" s="13"/>
      <c r="AN236" s="13"/>
      <c r="AO236" s="13"/>
      <c r="AP236" s="13"/>
      <c r="AQ236" s="13"/>
      <c r="AR236" s="14"/>
      <c r="AS236" s="15"/>
    </row>
    <row r="237" spans="1:45" s="17" customFormat="1" ht="30.95" hidden="1" customHeight="1" x14ac:dyDescent="0.2">
      <c r="A237" s="37" t="s">
        <v>910</v>
      </c>
      <c r="B237" s="38" t="s">
        <v>911</v>
      </c>
      <c r="C237" s="45"/>
      <c r="D237" s="31">
        <v>3697674</v>
      </c>
      <c r="E237" s="31">
        <v>4140881</v>
      </c>
      <c r="F237" s="268" t="str">
        <f>IF(D237="","",VLOOKUP(D237,契約台帳!$A$3:$K$4986,6,FALSE)&amp;VLOOKUP(D237,契約台帳!$A$3:$K$4986,7,FALSE)&amp;VLOOKUP(D237,契約台帳!$A$3:$K$4986,8,FALSE)&amp;VLOOKUP(D237,契約台帳!$A$3:$K$4986,9,FALSE)&amp;VLOOKUP(D237,契約台帳!$A$3:$K$4986,11,FALSE))</f>
        <v>3SNMCLBDMSV</v>
      </c>
      <c r="G237" s="269" t="str">
        <f>IF(D237="","",VLOOKUP(F237,製品マスタ!$G$5:$H$5002,2,FALSE))</f>
        <v>S</v>
      </c>
      <c r="H237" s="269" t="str">
        <f>IF(D237="","",VLOOKUP(F237,製品マスタ!$G$5:$K$5002,5,FALSE))</f>
        <v>DMSV</v>
      </c>
      <c r="I237" s="270" t="str">
        <f>IF(D237="","",VLOOKUP(F237,製品マスタ!$G$5:$L$5002,6,FALSE))</f>
        <v>ＤＭＳ　Ｖ</v>
      </c>
      <c r="J237" s="210" t="s">
        <v>907</v>
      </c>
      <c r="K237" s="270">
        <f>IF(D237="","",VLOOKUP(D237,契約台帳!$A$3:$L$4986,12,FALSE))</f>
        <v>50</v>
      </c>
      <c r="L237" s="270" t="str">
        <f>IF(D237="","",INDEX(製品マスタ!$Q$5:$Q$5002,MATCH('S4'!F237&amp;'S4'!K237,製品マスタ!$AO$5:$AO$5002,0)))</f>
        <v>X44</v>
      </c>
      <c r="M237" s="39">
        <v>1005</v>
      </c>
      <c r="N237" s="39">
        <v>8000</v>
      </c>
      <c r="O237" s="156">
        <v>1</v>
      </c>
      <c r="P237" s="47">
        <v>1</v>
      </c>
      <c r="Q237" s="57">
        <v>44973</v>
      </c>
      <c r="R237" s="271">
        <f ca="1">IF(D237="","",IF(OFFSET(D237,-1,0)&lt;&gt;"","",IF(OR(J237="リード付け",J237="巻足し",J237="巻返しリード付け"),M237,VLOOKUP(D237,契約台帳!$A$3:$N$4986,14,FALSE))))</f>
        <v>1005</v>
      </c>
      <c r="S237" s="272">
        <f ca="1">IF(D237="","",IF(OFFSET(D237,-1,0)&lt;&gt;"","",IF(OR(J237="リード付け",J237="巻足し",J237="巻返しリード付け"),M237,VLOOKUP(D237,契約台帳!$A$3:$O$4986,15,FALSE))))</f>
        <v>1000</v>
      </c>
      <c r="T237" s="273">
        <f ca="1">IF(D237="","",IF(J237="リード付け",N237,IF(J237="巻返しリード付け",N237,IF(J237="巻足し",N237*P237+OFFSET(N237,1,0)*OFFSET(P237,1,0),VLOOKUP(D237,契約台帳!$A$3:$P$4986,16,FALSE)))))</f>
        <v>2000</v>
      </c>
      <c r="U237" s="40">
        <v>2</v>
      </c>
      <c r="V237" s="274">
        <f ca="1">IF(D237="","",IF(OFFSET(D237,-2,0)=D237,"",VLOOKUP(D237,契約台帳!$A$3:$R$4986,18,FALSE)))</f>
        <v>2</v>
      </c>
      <c r="W237" s="269" t="str">
        <f ca="1">IF(D237="","",IF(T237="","",IF(OR(J237="巻足し",J237="巻返しリード付け"),"",IF(J237="巻返し",VLOOKUP(F237&amp;K237&amp;M237,製品マスタ!$M$5:$AD$5002,18,FALSE),IF(OR(J237="リード付け",J237="巻返しリード付け"),"原反コア",IF(J237="スリット",VLOOKUP(F237&amp;K237&amp;R237,製品マスタ!$N$5:$AD$5002,17,FALSE),""))))))</f>
        <v>6ｲﾝﾁMｺｱ</v>
      </c>
      <c r="X237" s="269">
        <f ca="1">IF(D237="","",IF(T237="","",IF(J237="巻足し","",IF(J237="巻返し",VLOOKUP(F237&amp;K237&amp;M237,製品マスタ!$M$5:$AE$5002,19,FALSE),IF(OR(J237="リード付け",J237="巻返しリード付け"),"",IF(J237="スリット",VLOOKUP(F237&amp;K237&amp;R237,製品マスタ!$N$5:$AE$5002,18,FALSE),""))))))</f>
        <v>1020</v>
      </c>
      <c r="Y237" s="275">
        <f ca="1">IF(D237="","",IF(T237="","",VLOOKUP(D237,契約台帳!$A$3:$Q$4986,17,FALSE)))</f>
        <v>2</v>
      </c>
      <c r="Z237" s="269" t="str">
        <f ca="1">IF(D237="","",IF(T237="","",VLOOKUP(D237,契約台帳!$A$3:$E$4986,5,FALSE)))</f>
        <v>リンテック㈱</v>
      </c>
      <c r="AA237" s="57"/>
      <c r="AB237" s="207">
        <f>IFERROR((VLOOKUP(F237&amp;K237&amp;M237,製品マスタ!$M$5:$AM$5002,27,FALSE)),"")</f>
        <v>0</v>
      </c>
      <c r="AC237" s="33"/>
      <c r="AD237" s="189"/>
      <c r="AE237" s="54"/>
      <c r="AF237" s="55"/>
      <c r="AG237" s="43"/>
      <c r="AH237" s="47"/>
      <c r="AI237" s="30"/>
      <c r="AJ237" s="30"/>
      <c r="AK237" s="30"/>
      <c r="AL237" s="30"/>
      <c r="AM237" s="13"/>
      <c r="AN237" s="13"/>
      <c r="AO237" s="13"/>
      <c r="AP237" s="13"/>
      <c r="AQ237" s="13"/>
      <c r="AR237" s="14"/>
      <c r="AS237" s="15"/>
    </row>
    <row r="238" spans="1:45" s="17" customFormat="1" ht="30.95" hidden="1" customHeight="1" x14ac:dyDescent="0.2">
      <c r="A238" s="37"/>
      <c r="B238" s="38"/>
      <c r="C238" s="45"/>
      <c r="D238" s="31">
        <v>3697675</v>
      </c>
      <c r="E238" s="31"/>
      <c r="F238" s="268" t="str">
        <f>IF(D238="","",VLOOKUP(D238,契約台帳!$A$3:$K$4986,6,FALSE)&amp;VLOOKUP(D238,契約台帳!$A$3:$K$4986,7,FALSE)&amp;VLOOKUP(D238,契約台帳!$A$3:$K$4986,8,FALSE)&amp;VLOOKUP(D238,契約台帳!$A$3:$K$4986,9,FALSE)&amp;VLOOKUP(D238,契約台帳!$A$3:$K$4986,11,FALSE))</f>
        <v>3SNMCLBDMSV</v>
      </c>
      <c r="G238" s="269" t="str">
        <f>IF(D238="","",VLOOKUP(F238,製品マスタ!$G$5:$H$5002,2,FALSE))</f>
        <v>S</v>
      </c>
      <c r="H238" s="269" t="str">
        <f>IF(D238="","",VLOOKUP(F238,製品マスタ!$G$5:$K$5002,5,FALSE))</f>
        <v>DMSV</v>
      </c>
      <c r="I238" s="270" t="str">
        <f>IF(D238="","",VLOOKUP(F238,製品マスタ!$G$5:$L$5002,6,FALSE))</f>
        <v>ＤＭＳ　Ｖ</v>
      </c>
      <c r="J238" s="210" t="s">
        <v>907</v>
      </c>
      <c r="K238" s="270">
        <f>IF(D238="","",VLOOKUP(D238,契約台帳!$A$3:$L$4986,12,FALSE))</f>
        <v>50</v>
      </c>
      <c r="L238" s="270" t="str">
        <f>IF(D238="","",INDEX(製品マスタ!$Q$5:$Q$5002,MATCH('S4'!F238&amp;'S4'!K238,製品マスタ!$AO$5:$AO$5002,0)))</f>
        <v>X44</v>
      </c>
      <c r="M238" s="39"/>
      <c r="N238" s="39"/>
      <c r="O238" s="156"/>
      <c r="P238" s="47"/>
      <c r="Q238" s="57"/>
      <c r="R238" s="271">
        <v>1005</v>
      </c>
      <c r="S238" s="272">
        <v>1000</v>
      </c>
      <c r="T238" s="273">
        <f ca="1">IF(D238="","",IF(J238="リード付け",N238,IF(J238="巻返しリード付け",N238,IF(J238="巻足し",N238*P238+OFFSET(N238,1,0)*OFFSET(P238,1,0),VLOOKUP(D238,契約台帳!$A$3:$P$4986,16,FALSE)))))</f>
        <v>2000</v>
      </c>
      <c r="U238" s="40">
        <v>2</v>
      </c>
      <c r="V238" s="274">
        <f ca="1">IF(D238="","",IF(OFFSET(D238,-2,0)=D238,"",VLOOKUP(D238,契約台帳!$A$3:$R$4986,18,FALSE)))</f>
        <v>2</v>
      </c>
      <c r="W238" s="269" t="s">
        <v>829</v>
      </c>
      <c r="X238" s="269">
        <v>1020</v>
      </c>
      <c r="Y238" s="275">
        <f ca="1">IF(D238="","",IF(T238="","",VLOOKUP(D238,契約台帳!$A$3:$Q$4986,17,FALSE)))</f>
        <v>2</v>
      </c>
      <c r="Z238" s="269" t="str">
        <f ca="1">IF(D238="","",IF(T238="","",VLOOKUP(D238,契約台帳!$A$3:$E$4986,5,FALSE)))</f>
        <v>リンテック㈱</v>
      </c>
      <c r="AA238" s="57"/>
      <c r="AB238" s="207" t="str">
        <f>IFERROR((VLOOKUP(F238&amp;K238&amp;M238,製品マスタ!$M$5:$AM$5002,27,FALSE)),"")</f>
        <v/>
      </c>
      <c r="AC238" s="33"/>
      <c r="AD238" s="189"/>
      <c r="AE238" s="54"/>
      <c r="AF238" s="55"/>
      <c r="AG238" s="43"/>
      <c r="AH238" s="47"/>
      <c r="AI238" s="30"/>
      <c r="AJ238" s="30"/>
      <c r="AK238" s="30"/>
      <c r="AL238" s="30"/>
      <c r="AM238" s="13"/>
      <c r="AN238" s="13"/>
      <c r="AO238" s="13"/>
      <c r="AP238" s="13"/>
      <c r="AQ238" s="13"/>
      <c r="AR238" s="14"/>
      <c r="AS238" s="15"/>
    </row>
    <row r="239" spans="1:45" s="17" customFormat="1" ht="30.95" hidden="1" customHeight="1" x14ac:dyDescent="0.2">
      <c r="A239" s="37"/>
      <c r="B239" s="38"/>
      <c r="C239" s="45"/>
      <c r="D239" s="31"/>
      <c r="E239" s="31"/>
      <c r="F239" s="268" t="str">
        <f>IF(D239="","",VLOOKUP(D239,契約台帳!$A$3:$K$4986,6,FALSE)&amp;VLOOKUP(D239,契約台帳!$A$3:$K$4986,7,FALSE)&amp;VLOOKUP(D239,契約台帳!$A$3:$K$4986,8,FALSE)&amp;VLOOKUP(D239,契約台帳!$A$3:$K$4986,9,FALSE)&amp;VLOOKUP(D239,契約台帳!$A$3:$K$4986,11,FALSE))</f>
        <v/>
      </c>
      <c r="G239" s="269" t="str">
        <f>IF(D239="","",VLOOKUP(F239,製品マスタ!$G$5:$H$5002,2,FALSE))</f>
        <v/>
      </c>
      <c r="H239" s="269" t="str">
        <f>IF(D239="","",VLOOKUP(F239,製品マスタ!$G$5:$K$5002,5,FALSE))</f>
        <v/>
      </c>
      <c r="I239" s="270" t="str">
        <f>IF(D239="","",VLOOKUP(F239,製品マスタ!$G$5:$L$5002,6,FALSE))</f>
        <v/>
      </c>
      <c r="J239" s="210"/>
      <c r="K239" s="270" t="str">
        <f>IF(D239="","",VLOOKUP(D239,契約台帳!$A$3:$L$4986,12,FALSE))</f>
        <v/>
      </c>
      <c r="L239" s="270" t="str">
        <f>IF(D239="","",INDEX(製品マスタ!$Q$5:$Q$5002,MATCH('S4'!F239&amp;'S4'!K239,製品マスタ!$AO$5:$AO$5002,0)))</f>
        <v/>
      </c>
      <c r="M239" s="39"/>
      <c r="N239" s="39"/>
      <c r="O239" s="156"/>
      <c r="P239" s="47"/>
      <c r="Q239" s="57"/>
      <c r="R239" s="271" t="str">
        <f ca="1">IF(D239="","",IF(OFFSET(D239,-1,0)&lt;&gt;"","",IF(OR(J239="リード付け",J239="巻足し",J239="巻返しリード付け"),M239,VLOOKUP(D239,契約台帳!$A$3:$N$4986,14,FALSE))))</f>
        <v/>
      </c>
      <c r="S239" s="272" t="str">
        <f ca="1">IF(D239="","",IF(OFFSET(D239,-1,0)&lt;&gt;"","",IF(OR(J239="リード付け",J239="巻足し",J239="巻返しリード付け"),M239,VLOOKUP(D239,契約台帳!$A$3:$O$4986,15,FALSE))))</f>
        <v/>
      </c>
      <c r="T239" s="273" t="str">
        <f ca="1">IF(D239="","",IF(J239="リード付け",N239,IF(J239="巻返しリード付け",N239,IF(J239="巻足し",N239*P239+OFFSET(N239,1,0)*OFFSET(P239,1,0),VLOOKUP(D239,契約台帳!$A$3:$P$4986,16,FALSE)))))</f>
        <v/>
      </c>
      <c r="U239" s="40"/>
      <c r="V239" s="274" t="str">
        <f ca="1">IF(D239="","",IF(OFFSET(D239,-2,0)=D239,"",VLOOKUP(D239,契約台帳!$A$3:$R$4986,18,FALSE)))</f>
        <v/>
      </c>
      <c r="W239" s="269" t="str">
        <f>IF(D239="","",IF(T239="","",IF(OR(J239="巻足し",J239="巻返しリード付け"),"",IF(J239="巻返し",VLOOKUP(F239&amp;K239&amp;M239,製品マスタ!$M$5:$AD$5002,18,FALSE),IF(OR(J239="リード付け",J239="巻返しリード付け"),"原反コア",IF(J239="スリット",VLOOKUP(F239&amp;K239&amp;R239,製品マスタ!$N$5:$AD$5002,17,FALSE),""))))))</f>
        <v/>
      </c>
      <c r="X239" s="269" t="str">
        <f>IF(D239="","",IF(T239="","",IF(J239="巻足し","",IF(J239="巻返し",VLOOKUP(F239&amp;K239&amp;M239,製品マスタ!$M$5:$AE$5002,19,FALSE),IF(OR(J239="リード付け",J239="巻返しリード付け"),"",IF(J239="スリット",VLOOKUP(F239&amp;K239&amp;R239,製品マスタ!$N$5:$AE$5002,18,FALSE),""))))))</f>
        <v/>
      </c>
      <c r="Y239" s="275" t="str">
        <f>IF(D239="","",IF(T239="","",VLOOKUP(D239,契約台帳!$A$3:$Q$4986,17,FALSE)))</f>
        <v/>
      </c>
      <c r="Z239" s="269" t="str">
        <f>IF(D239="","",IF(T239="","",VLOOKUP(D239,契約台帳!$A$3:$E$4986,5,FALSE)))</f>
        <v/>
      </c>
      <c r="AA239" s="57"/>
      <c r="AB239" s="207" t="str">
        <f>IFERROR((VLOOKUP(F239&amp;K239&amp;M239,製品マスタ!$M$5:$AM$5002,27,FALSE)),"")</f>
        <v/>
      </c>
      <c r="AC239" s="33"/>
      <c r="AD239" s="189"/>
      <c r="AE239" s="54"/>
      <c r="AF239" s="55"/>
      <c r="AG239" s="43"/>
      <c r="AH239" s="47"/>
      <c r="AI239" s="30"/>
      <c r="AJ239" s="30"/>
      <c r="AK239" s="30"/>
      <c r="AL239" s="30"/>
      <c r="AM239" s="13"/>
      <c r="AN239" s="13"/>
      <c r="AO239" s="13"/>
      <c r="AP239" s="13"/>
      <c r="AQ239" s="13"/>
      <c r="AR239" s="14"/>
      <c r="AS239" s="15"/>
    </row>
    <row r="240" spans="1:45" s="17" customFormat="1" ht="30.95" hidden="1" customHeight="1" x14ac:dyDescent="0.2">
      <c r="A240" s="37"/>
      <c r="B240" s="38"/>
      <c r="C240" s="45"/>
      <c r="D240" s="31">
        <v>3697673</v>
      </c>
      <c r="E240" s="31">
        <v>4140879</v>
      </c>
      <c r="F240" s="268" t="str">
        <f>IF(D240="","",VLOOKUP(D240,契約台帳!$A$3:$K$4986,6,FALSE)&amp;VLOOKUP(D240,契約台帳!$A$3:$K$4986,7,FALSE)&amp;VLOOKUP(D240,契約台帳!$A$3:$K$4986,8,FALSE)&amp;VLOOKUP(D240,契約台帳!$A$3:$K$4986,9,FALSE)&amp;VLOOKUP(D240,契約台帳!$A$3:$K$4986,11,FALSE))</f>
        <v>33SSNMCLBTETKFV</v>
      </c>
      <c r="G240" s="269" t="str">
        <f>IF(D240="","",VLOOKUP(F240,製品マスタ!$G$5:$H$5002,2,FALSE))</f>
        <v>S</v>
      </c>
      <c r="H240" s="269" t="str">
        <f>IF(D240="","",VLOOKUP(F240,製品マスタ!$G$5:$K$5002,5,FALSE))</f>
        <v>TETKFV</v>
      </c>
      <c r="I240" s="270" t="str">
        <f>IF(D240="","",VLOOKUP(F240,製品マスタ!$G$5:$L$5002,6,FALSE))</f>
        <v>メタルミー　ＴＥＳ艶開封　Ｖ</v>
      </c>
      <c r="J240" s="210" t="s">
        <v>907</v>
      </c>
      <c r="K240" s="270">
        <f>IF(D240="","",VLOOKUP(D240,契約台帳!$A$3:$L$4986,12,FALSE))</f>
        <v>50</v>
      </c>
      <c r="L240" s="270" t="str">
        <f>IF(D240="","",INDEX(製品マスタ!$Q$5:$Q$5002,MATCH('S4'!F240&amp;'S4'!K240,製品マスタ!$AO$5:$AO$5002,0)))</f>
        <v>S28SEPA</v>
      </c>
      <c r="M240" s="39">
        <v>1005</v>
      </c>
      <c r="N240" s="39">
        <v>12300</v>
      </c>
      <c r="O240" s="156">
        <v>1</v>
      </c>
      <c r="P240" s="47">
        <v>1</v>
      </c>
      <c r="Q240" s="57">
        <v>44973</v>
      </c>
      <c r="R240" s="271">
        <f ca="1">IF(D240="","",IF(OFFSET(D240,-1,0)&lt;&gt;"","",IF(OR(J240="リード付け",J240="巻足し",J240="巻返しリード付け"),M240,VLOOKUP(D240,契約台帳!$A$3:$N$4986,14,FALSE))))</f>
        <v>1005</v>
      </c>
      <c r="S240" s="272">
        <f ca="1">IF(D240="","",IF(OFFSET(D240,-1,0)&lt;&gt;"","",IF(OR(J240="リード付け",J240="巻足し",J240="巻返しリード付け"),M240,VLOOKUP(D240,契約台帳!$A$3:$O$4986,15,FALSE))))</f>
        <v>1000</v>
      </c>
      <c r="T240" s="273">
        <f ca="1">IF(D240="","",IF(J240="リード付け",N240,IF(J240="巻返しリード付け",N240,IF(J240="巻足し",N240*P240+OFFSET(N240,1,0)*OFFSET(P240,1,0),VLOOKUP(D240,契約台帳!$A$3:$P$4986,16,FALSE)))))</f>
        <v>4000</v>
      </c>
      <c r="U240" s="40">
        <v>3</v>
      </c>
      <c r="V240" s="274">
        <f ca="1">IF(D240="","",IF(OFFSET(D240,-2,0)=D240,"",VLOOKUP(D240,契約台帳!$A$3:$R$4986,18,FALSE)))</f>
        <v>3</v>
      </c>
      <c r="W240" s="269" t="str">
        <f ca="1">IF(D240="","",IF(T240="","",IF(OR(J240="巻足し",J240="巻返しリード付け"),"",IF(J240="巻返し",VLOOKUP(F240&amp;K240&amp;M240,製品マスタ!$M$5:$AD$5002,18,FALSE),IF(OR(J240="リード付け",J240="巻返しリード付け"),"原反コア",IF(J240="スリット",VLOOKUP(F240&amp;K240&amp;R240,製品マスタ!$N$5:$AD$5002,17,FALSE),""))))))</f>
        <v>6ｲﾝﾁSｺｱ</v>
      </c>
      <c r="X240" s="269">
        <f ca="1">IF(D240="","",IF(T240="","",IF(J240="巻足し","",IF(J240="巻返し",VLOOKUP(F240&amp;K240&amp;M240,製品マスタ!$M$5:$AE$5002,19,FALSE),IF(OR(J240="リード付け",J240="巻返しリード付け"),"",IF(J240="スリット",VLOOKUP(F240&amp;K240&amp;R240,製品マスタ!$N$5:$AE$5002,18,FALSE),""))))))</f>
        <v>1015</v>
      </c>
      <c r="Y240" s="275">
        <f ca="1">IF(D240="","",IF(T240="","",VLOOKUP(D240,契約台帳!$A$3:$Q$4986,17,FALSE)))</f>
        <v>2</v>
      </c>
      <c r="Z240" s="269" t="str">
        <f ca="1">IF(D240="","",IF(T240="","",VLOOKUP(D240,契約台帳!$A$3:$E$4986,5,FALSE)))</f>
        <v>リンテック㈱</v>
      </c>
      <c r="AA240" s="57"/>
      <c r="AB240" s="207">
        <f>IFERROR((VLOOKUP(F240&amp;K240&amp;M240,製品マスタ!$M$5:$AM$5002,27,FALSE)),"")</f>
        <v>0</v>
      </c>
      <c r="AC240" s="33"/>
      <c r="AD240" s="189"/>
      <c r="AE240" s="54"/>
      <c r="AF240" s="55"/>
      <c r="AG240" s="43"/>
      <c r="AH240" s="47"/>
      <c r="AI240" s="30"/>
      <c r="AJ240" s="30"/>
      <c r="AK240" s="30"/>
      <c r="AL240" s="30"/>
      <c r="AM240" s="13"/>
      <c r="AN240" s="13"/>
      <c r="AO240" s="13"/>
      <c r="AP240" s="13"/>
      <c r="AQ240" s="13"/>
      <c r="AR240" s="14"/>
      <c r="AS240" s="15"/>
    </row>
    <row r="241" spans="1:45" s="17" customFormat="1" ht="30.95" hidden="1" customHeight="1" x14ac:dyDescent="0.2">
      <c r="A241" s="37"/>
      <c r="B241" s="38"/>
      <c r="C241" s="45"/>
      <c r="D241" s="31"/>
      <c r="E241" s="31"/>
      <c r="F241" s="268" t="str">
        <f>IF(D241="","",VLOOKUP(D241,契約台帳!$A$3:$K$4986,6,FALSE)&amp;VLOOKUP(D241,契約台帳!$A$3:$K$4986,7,FALSE)&amp;VLOOKUP(D241,契約台帳!$A$3:$K$4986,8,FALSE)&amp;VLOOKUP(D241,契約台帳!$A$3:$K$4986,9,FALSE)&amp;VLOOKUP(D241,契約台帳!$A$3:$K$4986,11,FALSE))</f>
        <v/>
      </c>
      <c r="G241" s="269" t="str">
        <f>IF(D241="","",VLOOKUP(F241,製品マスタ!$G$5:$H$5002,2,FALSE))</f>
        <v/>
      </c>
      <c r="H241" s="269" t="str">
        <f>IF(D241="","",VLOOKUP(F241,製品マスタ!$G$5:$K$5002,5,FALSE))</f>
        <v/>
      </c>
      <c r="I241" s="270" t="str">
        <f>IF(D241="","",VLOOKUP(F241,製品マスタ!$G$5:$L$5002,6,FALSE))</f>
        <v/>
      </c>
      <c r="J241" s="210"/>
      <c r="K241" s="270" t="str">
        <f>IF(D241="","",VLOOKUP(D241,契約台帳!$A$3:$L$4986,12,FALSE))</f>
        <v/>
      </c>
      <c r="L241" s="270" t="str">
        <f>IF(D241="","",INDEX(製品マスタ!$Q$5:$Q$5002,MATCH('S4'!F241&amp;'S4'!K241,製品マスタ!$AO$5:$AO$5002,0)))</f>
        <v/>
      </c>
      <c r="M241" s="39"/>
      <c r="N241" s="39"/>
      <c r="O241" s="156"/>
      <c r="P241" s="47"/>
      <c r="Q241" s="57"/>
      <c r="R241" s="271" t="str">
        <f ca="1">IF(D241="","",IF(OFFSET(D241,-1,0)&lt;&gt;"","",IF(OR(J241="リード付け",J241="巻足し",J241="巻返しリード付け"),M241,VLOOKUP(D241,契約台帳!$A$3:$N$4986,14,FALSE))))</f>
        <v/>
      </c>
      <c r="S241" s="272" t="str">
        <f ca="1">IF(D241="","",IF(OFFSET(D241,-1,0)&lt;&gt;"","",IF(OR(J241="リード付け",J241="巻足し",J241="巻返しリード付け"),M241,VLOOKUP(D241,契約台帳!$A$3:$O$4986,15,FALSE))))</f>
        <v/>
      </c>
      <c r="T241" s="273" t="str">
        <f ca="1">IF(D241="","",IF(J241="リード付け",N241,IF(J241="巻返しリード付け",N241,IF(J241="巻足し",N241*P241+OFFSET(N241,1,0)*OFFSET(P241,1,0),VLOOKUP(D241,契約台帳!$A$3:$P$4986,16,FALSE)))))</f>
        <v/>
      </c>
      <c r="U241" s="40"/>
      <c r="V241" s="274" t="str">
        <f ca="1">IF(D241="","",IF(OFFSET(D241,-2,0)=D241,"",VLOOKUP(D241,契約台帳!$A$3:$R$4986,18,FALSE)))</f>
        <v/>
      </c>
      <c r="W241" s="269" t="str">
        <f>IF(D241="","",IF(T241="","",IF(OR(J241="巻足し",J241="巻返しリード付け"),"",IF(J241="巻返し",VLOOKUP(F241&amp;K241&amp;M241,製品マスタ!$M$5:$AD$5002,18,FALSE),IF(OR(J241="リード付け",J241="巻返しリード付け"),"原反コア",IF(J241="スリット",VLOOKUP(F241&amp;K241&amp;R241,製品マスタ!$N$5:$AD$5002,17,FALSE),""))))))</f>
        <v/>
      </c>
      <c r="X241" s="269" t="str">
        <f>IF(D241="","",IF(T241="","",IF(J241="巻足し","",IF(J241="巻返し",VLOOKUP(F241&amp;K241&amp;M241,製品マスタ!$M$5:$AE$5002,19,FALSE),IF(OR(J241="リード付け",J241="巻返しリード付け"),"",IF(J241="スリット",VLOOKUP(F241&amp;K241&amp;R241,製品マスタ!$N$5:$AE$5002,18,FALSE),""))))))</f>
        <v/>
      </c>
      <c r="Y241" s="275" t="str">
        <f>IF(D241="","",IF(T241="","",VLOOKUP(D241,契約台帳!$A$3:$Q$4986,17,FALSE)))</f>
        <v/>
      </c>
      <c r="Z241" s="269" t="str">
        <f>IF(D241="","",IF(T241="","",VLOOKUP(D241,契約台帳!$A$3:$E$4986,5,FALSE)))</f>
        <v/>
      </c>
      <c r="AA241" s="57"/>
      <c r="AB241" s="207" t="str">
        <f>IFERROR((VLOOKUP(F241&amp;K241&amp;M241,製品マスタ!$M$5:$AM$5002,27,FALSE)),"")</f>
        <v/>
      </c>
      <c r="AC241" s="33"/>
      <c r="AD241" s="189"/>
      <c r="AE241" s="54"/>
      <c r="AF241" s="55"/>
      <c r="AG241" s="43"/>
      <c r="AH241" s="47"/>
      <c r="AI241" s="30"/>
      <c r="AJ241" s="30"/>
      <c r="AK241" s="30"/>
      <c r="AL241" s="30"/>
      <c r="AM241" s="13"/>
      <c r="AN241" s="13"/>
      <c r="AO241" s="13"/>
      <c r="AP241" s="13"/>
      <c r="AQ241" s="13"/>
      <c r="AR241" s="14"/>
      <c r="AS241" s="15"/>
    </row>
    <row r="242" spans="1:45" s="17" customFormat="1" ht="30.95" hidden="1" customHeight="1" x14ac:dyDescent="0.2">
      <c r="A242" s="37"/>
      <c r="B242" s="38"/>
      <c r="C242" s="45"/>
      <c r="D242" s="31">
        <v>3697660</v>
      </c>
      <c r="E242" s="31">
        <v>4140889</v>
      </c>
      <c r="F242" s="268" t="str">
        <f>IF(D242="","",VLOOKUP(D242,契約台帳!$A$3:$K$4986,6,FALSE)&amp;VLOOKUP(D242,契約台帳!$A$3:$K$4986,7,FALSE)&amp;VLOOKUP(D242,契約台帳!$A$3:$K$4986,8,FALSE)&amp;VLOOKUP(D242,契約台帳!$A$3:$K$4986,9,FALSE)&amp;VLOOKUP(D242,契約台帳!$A$3:$K$4986,11,FALSE))</f>
        <v>3SNMCLBNGKVB</v>
      </c>
      <c r="G242" s="269" t="str">
        <f>IF(D242="","",VLOOKUP(F242,製品マスタ!$G$5:$H$5002,2,FALSE))</f>
        <v>S</v>
      </c>
      <c r="H242" s="269" t="str">
        <f>IF(D242="","",VLOOKUP(F242,製品マスタ!$G$5:$K$5002,5,FALSE))</f>
        <v>NGKVB</v>
      </c>
      <c r="I242" s="270" t="str">
        <f>IF(D242="","",VLOOKUP(F242,製品マスタ!$G$5:$L$5002,6,FALSE))</f>
        <v>メタルミー　ネーマー銀消　ＶＢ</v>
      </c>
      <c r="J242" s="210" t="s">
        <v>907</v>
      </c>
      <c r="K242" s="270">
        <f>IF(D242="","",VLOOKUP(D242,契約台帳!$A$3:$L$4986,12,FALSE))</f>
        <v>50</v>
      </c>
      <c r="L242" s="270" t="str">
        <f>IF(D242="","",INDEX(製品マスタ!$Q$5:$Q$5002,MATCH('S4'!F242&amp;'S4'!K242,製品マスタ!$AO$5:$AO$5002,0)))</f>
        <v>MAT</v>
      </c>
      <c r="M242" s="39">
        <v>1005</v>
      </c>
      <c r="N242" s="39">
        <v>12300</v>
      </c>
      <c r="O242" s="156">
        <v>1</v>
      </c>
      <c r="P242" s="47">
        <v>1</v>
      </c>
      <c r="Q242" s="57">
        <v>44973</v>
      </c>
      <c r="R242" s="271">
        <f ca="1">IF(D242="","",IF(OFFSET(D242,-1,0)&lt;&gt;"","",IF(OR(J242="リード付け",J242="巻足し",J242="巻返しリード付け"),M242,VLOOKUP(D242,契約台帳!$A$3:$N$4986,14,FALSE))))</f>
        <v>1005</v>
      </c>
      <c r="S242" s="272">
        <f ca="1">IF(D242="","",IF(OFFSET(D242,-1,0)&lt;&gt;"","",IF(OR(J242="リード付け",J242="巻足し",J242="巻返しリード付け"),M242,VLOOKUP(D242,契約台帳!$A$3:$O$4986,15,FALSE))))</f>
        <v>1000</v>
      </c>
      <c r="T242" s="273">
        <f ca="1">IF(D242="","",IF(J242="リード付け",N242,IF(J242="巻返しリード付け",N242,IF(J242="巻足し",N242*P242+OFFSET(N242,1,0)*OFFSET(P242,1,0),VLOOKUP(D242,契約台帳!$A$3:$P$4986,16,FALSE)))))</f>
        <v>4000</v>
      </c>
      <c r="U242" s="40">
        <v>3</v>
      </c>
      <c r="V242" s="274">
        <f ca="1">IF(D242="","",IF(OFFSET(D242,-2,0)=D242,"",VLOOKUP(D242,契約台帳!$A$3:$R$4986,18,FALSE)))</f>
        <v>3</v>
      </c>
      <c r="W242" s="269" t="str">
        <f ca="1">IF(D242="","",IF(T242="","",IF(OR(J242="巻足し",J242="巻返しリード付け"),"",IF(J242="巻返し",VLOOKUP(F242&amp;K242&amp;M242,製品マスタ!$M$5:$AD$5002,18,FALSE),IF(OR(J242="リード付け",J242="巻返しリード付け"),"原反コア",IF(J242="スリット",VLOOKUP(F242&amp;K242&amp;R242,製品マスタ!$N$5:$AD$5002,17,FALSE),""))))))</f>
        <v>6ｲﾝﾁMｺｱ</v>
      </c>
      <c r="X242" s="269">
        <f ca="1">IF(D242="","",IF(T242="","",IF(J242="巻足し","",IF(J242="巻返し",VLOOKUP(F242&amp;K242&amp;M242,製品マスタ!$M$5:$AE$5002,19,FALSE),IF(OR(J242="リード付け",J242="巻返しリード付け"),"",IF(J242="スリット",VLOOKUP(F242&amp;K242&amp;R242,製品マスタ!$N$5:$AE$5002,18,FALSE),""))))))</f>
        <v>1015</v>
      </c>
      <c r="Y242" s="275">
        <f ca="1">IF(D242="","",IF(T242="","",VLOOKUP(D242,契約台帳!$A$3:$Q$4986,17,FALSE)))</f>
        <v>2</v>
      </c>
      <c r="Z242" s="269" t="str">
        <f ca="1">IF(D242="","",IF(T242="","",VLOOKUP(D242,契約台帳!$A$3:$E$4986,5,FALSE)))</f>
        <v>リンテック㈱</v>
      </c>
      <c r="AA242" s="57"/>
      <c r="AB242" s="207">
        <f>IFERROR((VLOOKUP(F242&amp;K242&amp;M242,製品マスタ!$M$5:$AM$5002,27,FALSE)),"")</f>
        <v>0</v>
      </c>
      <c r="AC242" s="33"/>
      <c r="AD242" s="189"/>
      <c r="AE242" s="54"/>
      <c r="AF242" s="55"/>
      <c r="AG242" s="43"/>
      <c r="AH242" s="47"/>
      <c r="AI242" s="30"/>
      <c r="AJ242" s="30"/>
      <c r="AK242" s="30"/>
      <c r="AL242" s="30"/>
      <c r="AM242" s="13"/>
      <c r="AN242" s="13"/>
      <c r="AO242" s="13"/>
      <c r="AP242" s="13"/>
      <c r="AQ242" s="13"/>
      <c r="AR242" s="14"/>
      <c r="AS242" s="15"/>
    </row>
    <row r="243" spans="1:45" s="17" customFormat="1" ht="30.95" hidden="1" customHeight="1" x14ac:dyDescent="0.2">
      <c r="A243" s="37"/>
      <c r="B243" s="38"/>
      <c r="C243" s="45"/>
      <c r="D243" s="31"/>
      <c r="E243" s="31"/>
      <c r="F243" s="268" t="str">
        <f>IF(D243="","",VLOOKUP(D243,契約台帳!$A$3:$K$4986,6,FALSE)&amp;VLOOKUP(D243,契約台帳!$A$3:$K$4986,7,FALSE)&amp;VLOOKUP(D243,契約台帳!$A$3:$K$4986,8,FALSE)&amp;VLOOKUP(D243,契約台帳!$A$3:$K$4986,9,FALSE)&amp;VLOOKUP(D243,契約台帳!$A$3:$K$4986,11,FALSE))</f>
        <v/>
      </c>
      <c r="G243" s="269" t="str">
        <f>IF(D243="","",VLOOKUP(F243,製品マスタ!$G$5:$H$5002,2,FALSE))</f>
        <v/>
      </c>
      <c r="H243" s="269" t="str">
        <f>IF(D243="","",VLOOKUP(F243,製品マスタ!$G$5:$K$5002,5,FALSE))</f>
        <v/>
      </c>
      <c r="I243" s="270" t="str">
        <f>IF(D243="","",VLOOKUP(F243,製品マスタ!$G$5:$L$5002,6,FALSE))</f>
        <v/>
      </c>
      <c r="J243" s="210"/>
      <c r="K243" s="270" t="str">
        <f>IF(D243="","",VLOOKUP(D243,契約台帳!$A$3:$L$4986,12,FALSE))</f>
        <v/>
      </c>
      <c r="L243" s="270" t="str">
        <f>IF(D243="","",INDEX(製品マスタ!$Q$5:$Q$5002,MATCH('S4'!F243&amp;'S4'!K243,製品マスタ!$AO$5:$AO$5002,0)))</f>
        <v/>
      </c>
      <c r="M243" s="39"/>
      <c r="N243" s="39"/>
      <c r="O243" s="156"/>
      <c r="P243" s="47"/>
      <c r="Q243" s="57"/>
      <c r="R243" s="271" t="str">
        <f ca="1">IF(D243="","",IF(OFFSET(D243,-1,0)&lt;&gt;"","",IF(OR(J243="リード付け",J243="巻足し",J243="巻返しリード付け"),M243,VLOOKUP(D243,契約台帳!$A$3:$N$4986,14,FALSE))))</f>
        <v/>
      </c>
      <c r="S243" s="272" t="str">
        <f ca="1">IF(D243="","",IF(OFFSET(D243,-1,0)&lt;&gt;"","",IF(OR(J243="リード付け",J243="巻足し",J243="巻返しリード付け"),M243,VLOOKUP(D243,契約台帳!$A$3:$O$4986,15,FALSE))))</f>
        <v/>
      </c>
      <c r="T243" s="273" t="str">
        <f ca="1">IF(D243="","",IF(J243="リード付け",N243,IF(J243="巻返しリード付け",N243,IF(J243="巻足し",N243*P243+OFFSET(N243,1,0)*OFFSET(P243,1,0),VLOOKUP(D243,契約台帳!$A$3:$P$4986,16,FALSE)))))</f>
        <v/>
      </c>
      <c r="U243" s="40"/>
      <c r="V243" s="274" t="str">
        <f ca="1">IF(D243="","",IF(OFFSET(D243,-2,0)=D243,"",VLOOKUP(D243,契約台帳!$A$3:$R$4986,18,FALSE)))</f>
        <v/>
      </c>
      <c r="W243" s="269" t="str">
        <f>IF(D243="","",IF(T243="","",IF(OR(J243="巻足し",J243="巻返しリード付け"),"",IF(J243="巻返し",VLOOKUP(F243&amp;K243&amp;M243,製品マスタ!$M$5:$AD$5002,18,FALSE),IF(OR(J243="リード付け",J243="巻返しリード付け"),"原反コア",IF(J243="スリット",VLOOKUP(F243&amp;K243&amp;R243,製品マスタ!$N$5:$AD$5002,17,FALSE),""))))))</f>
        <v/>
      </c>
      <c r="X243" s="269" t="str">
        <f>IF(D243="","",IF(T243="","",IF(J243="巻足し","",IF(J243="巻返し",VLOOKUP(F243&amp;K243&amp;M243,製品マスタ!$M$5:$AE$5002,19,FALSE),IF(OR(J243="リード付け",J243="巻返しリード付け"),"",IF(J243="スリット",VLOOKUP(F243&amp;K243&amp;R243,製品マスタ!$N$5:$AE$5002,18,FALSE),""))))))</f>
        <v/>
      </c>
      <c r="Y243" s="275" t="str">
        <f>IF(D243="","",IF(T243="","",VLOOKUP(D243,契約台帳!$A$3:$Q$4986,17,FALSE)))</f>
        <v/>
      </c>
      <c r="Z243" s="269" t="str">
        <f>IF(D243="","",IF(T243="","",VLOOKUP(D243,契約台帳!$A$3:$E$4986,5,FALSE)))</f>
        <v/>
      </c>
      <c r="AA243" s="57"/>
      <c r="AB243" s="207" t="str">
        <f>IFERROR((VLOOKUP(F243&amp;K243&amp;M243,製品マスタ!$M$5:$AM$5002,27,FALSE)),"")</f>
        <v/>
      </c>
      <c r="AC243" s="33"/>
      <c r="AD243" s="189"/>
      <c r="AE243" s="54"/>
      <c r="AF243" s="55"/>
      <c r="AG243" s="43"/>
      <c r="AH243" s="47"/>
      <c r="AI243" s="30"/>
      <c r="AJ243" s="30"/>
      <c r="AK243" s="30"/>
      <c r="AL243" s="30"/>
      <c r="AM243" s="13"/>
      <c r="AN243" s="13"/>
      <c r="AO243" s="13"/>
      <c r="AP243" s="13"/>
      <c r="AQ243" s="13"/>
      <c r="AR243" s="14"/>
      <c r="AS243" s="15"/>
    </row>
    <row r="244" spans="1:45" s="17" customFormat="1" ht="30.95" hidden="1" customHeight="1" x14ac:dyDescent="0.2">
      <c r="A244" s="37"/>
      <c r="B244" s="38"/>
      <c r="C244" s="45"/>
      <c r="D244" s="31">
        <v>3697671</v>
      </c>
      <c r="E244" s="31">
        <v>4140877</v>
      </c>
      <c r="F244" s="268" t="str">
        <f>IF(D244="","",VLOOKUP(D244,契約台帳!$A$3:$K$4986,6,FALSE)&amp;VLOOKUP(D244,契約台帳!$A$3:$K$4986,7,FALSE)&amp;VLOOKUP(D244,契約台帳!$A$3:$K$4986,8,FALSE)&amp;VLOOKUP(D244,契約台帳!$A$3:$K$4986,9,FALSE)&amp;VLOOKUP(D244,契約台帳!$A$3:$K$4986,11,FALSE))</f>
        <v>33SSNMCLBTEKKFV</v>
      </c>
      <c r="G244" s="269" t="str">
        <f>IF(D244="","",VLOOKUP(F244,製品マスタ!$G$5:$H$5002,2,FALSE))</f>
        <v>S</v>
      </c>
      <c r="H244" s="269" t="str">
        <f>IF(D244="","",VLOOKUP(F244,製品マスタ!$G$5:$K$5002,5,FALSE))</f>
        <v>TEKKFV</v>
      </c>
      <c r="I244" s="270" t="str">
        <f>IF(D244="","",VLOOKUP(F244,製品マスタ!$G$5:$L$5002,6,FALSE))</f>
        <v>メタルミー　ＴＥＳ消開封　Ｖ</v>
      </c>
      <c r="J244" s="210" t="s">
        <v>907</v>
      </c>
      <c r="K244" s="270">
        <f>IF(D244="","",VLOOKUP(D244,契約台帳!$A$3:$L$4986,12,FALSE))</f>
        <v>50</v>
      </c>
      <c r="L244" s="270" t="str">
        <f>IF(D244="","",INDEX(製品マスタ!$Q$5:$Q$5002,MATCH('S4'!F244&amp;'S4'!K244,製品マスタ!$AO$5:$AO$5002,0)))</f>
        <v>X44SEPA</v>
      </c>
      <c r="M244" s="39">
        <v>1005</v>
      </c>
      <c r="N244" s="39">
        <v>12000</v>
      </c>
      <c r="O244" s="156">
        <v>1</v>
      </c>
      <c r="P244" s="47">
        <v>1</v>
      </c>
      <c r="Q244" s="57">
        <v>44973</v>
      </c>
      <c r="R244" s="271">
        <f ca="1">IF(D244="","",IF(OFFSET(D244,-1,0)&lt;&gt;"","",IF(OR(J244="リード付け",J244="巻足し",J244="巻返しリード付け"),M244,VLOOKUP(D244,契約台帳!$A$3:$N$4986,14,FALSE))))</f>
        <v>1005</v>
      </c>
      <c r="S244" s="272">
        <f ca="1">IF(D244="","",IF(OFFSET(D244,-1,0)&lt;&gt;"","",IF(OR(J244="リード付け",J244="巻足し",J244="巻返しリード付け"),M244,VLOOKUP(D244,契約台帳!$A$3:$O$4986,15,FALSE))))</f>
        <v>1000</v>
      </c>
      <c r="T244" s="273">
        <f ca="1">IF(D244="","",IF(J244="リード付け",N244,IF(J244="巻返しリード付け",N244,IF(J244="巻足し",N244*P244+OFFSET(N244,1,0)*OFFSET(P244,1,0),VLOOKUP(D244,契約台帳!$A$3:$P$4986,16,FALSE)))))</f>
        <v>4000</v>
      </c>
      <c r="U244" s="40">
        <v>3</v>
      </c>
      <c r="V244" s="274">
        <f ca="1">IF(D244="","",IF(OFFSET(D244,-2,0)=D244,"",VLOOKUP(D244,契約台帳!$A$3:$R$4986,18,FALSE)))</f>
        <v>3</v>
      </c>
      <c r="W244" s="269" t="str">
        <f ca="1">IF(D244="","",IF(T244="","",IF(OR(J244="巻足し",J244="巻返しリード付け"),"",IF(J244="巻返し",VLOOKUP(F244&amp;K244&amp;M244,製品マスタ!$M$5:$AD$5002,18,FALSE),IF(OR(J244="リード付け",J244="巻返しリード付け"),"原反コア",IF(J244="スリット",VLOOKUP(F244&amp;K244&amp;R244,製品マスタ!$N$5:$AD$5002,17,FALSE),""))))))</f>
        <v>6ｲﾝﾁSｺｱ</v>
      </c>
      <c r="X244" s="269">
        <f ca="1">IF(D244="","",IF(T244="","",IF(J244="巻足し","",IF(J244="巻返し",VLOOKUP(F244&amp;K244&amp;M244,製品マスタ!$M$5:$AE$5002,19,FALSE),IF(OR(J244="リード付け",J244="巻返しリード付け"),"",IF(J244="スリット",VLOOKUP(F244&amp;K244&amp;R244,製品マスタ!$N$5:$AE$5002,18,FALSE),""))))))</f>
        <v>1015</v>
      </c>
      <c r="Y244" s="275">
        <f ca="1">IF(D244="","",IF(T244="","",VLOOKUP(D244,契約台帳!$A$3:$Q$4986,17,FALSE)))</f>
        <v>2</v>
      </c>
      <c r="Z244" s="269" t="str">
        <f ca="1">IF(D244="","",IF(T244="","",VLOOKUP(D244,契約台帳!$A$3:$E$4986,5,FALSE)))</f>
        <v>リンテック㈱</v>
      </c>
      <c r="AA244" s="57"/>
      <c r="AB244" s="207">
        <f>IFERROR((VLOOKUP(F244&amp;K244&amp;M244,製品マスタ!$M$5:$AM$5002,27,FALSE)),"")</f>
        <v>0</v>
      </c>
      <c r="AC244" s="33"/>
      <c r="AD244" s="189"/>
      <c r="AE244" s="54"/>
      <c r="AF244" s="55"/>
      <c r="AG244" s="43"/>
      <c r="AH244" s="47"/>
      <c r="AI244" s="30"/>
      <c r="AJ244" s="30"/>
      <c r="AK244" s="30"/>
      <c r="AL244" s="30"/>
      <c r="AM244" s="13"/>
      <c r="AN244" s="13"/>
      <c r="AO244" s="13"/>
      <c r="AP244" s="13"/>
      <c r="AQ244" s="13"/>
      <c r="AR244" s="14"/>
      <c r="AS244" s="15"/>
    </row>
    <row r="245" spans="1:45" s="17" customFormat="1" ht="30.95" hidden="1" customHeight="1" x14ac:dyDescent="0.2">
      <c r="A245" s="37"/>
      <c r="B245" s="38"/>
      <c r="C245" s="45"/>
      <c r="D245" s="31"/>
      <c r="E245" s="31"/>
      <c r="F245" s="268" t="str">
        <f>IF(D245="","",VLOOKUP(D245,契約台帳!$A$3:$K$4986,6,FALSE)&amp;VLOOKUP(D245,契約台帳!$A$3:$K$4986,7,FALSE)&amp;VLOOKUP(D245,契約台帳!$A$3:$K$4986,8,FALSE)&amp;VLOOKUP(D245,契約台帳!$A$3:$K$4986,9,FALSE)&amp;VLOOKUP(D245,契約台帳!$A$3:$K$4986,11,FALSE))</f>
        <v/>
      </c>
      <c r="G245" s="269" t="str">
        <f>IF(D245="","",VLOOKUP(F245,製品マスタ!$G$5:$H$5002,2,FALSE))</f>
        <v/>
      </c>
      <c r="H245" s="269" t="str">
        <f>IF(D245="","",VLOOKUP(F245,製品マスタ!$G$5:$K$5002,5,FALSE))</f>
        <v/>
      </c>
      <c r="I245" s="270" t="str">
        <f>IF(D245="","",VLOOKUP(F245,製品マスタ!$G$5:$L$5002,6,FALSE))</f>
        <v/>
      </c>
      <c r="J245" s="210"/>
      <c r="K245" s="270" t="str">
        <f>IF(D245="","",VLOOKUP(D245,契約台帳!$A$3:$L$4986,12,FALSE))</f>
        <v/>
      </c>
      <c r="L245" s="270" t="str">
        <f>IF(D245="","",INDEX(製品マスタ!$Q$5:$Q$5002,MATCH('S4'!F245&amp;'S4'!K245,製品マスタ!$AO$5:$AO$5002,0)))</f>
        <v/>
      </c>
      <c r="M245" s="39"/>
      <c r="N245" s="39"/>
      <c r="O245" s="156"/>
      <c r="P245" s="47"/>
      <c r="Q245" s="57"/>
      <c r="R245" s="271" t="str">
        <f ca="1">IF(D245="","",IF(OFFSET(D245,-1,0)&lt;&gt;"","",IF(OR(J245="リード付け",J245="巻足し",J245="巻返しリード付け"),M245,VLOOKUP(D245,契約台帳!$A$3:$N$4986,14,FALSE))))</f>
        <v/>
      </c>
      <c r="S245" s="272" t="str">
        <f ca="1">IF(D245="","",IF(OFFSET(D245,-1,0)&lt;&gt;"","",IF(OR(J245="リード付け",J245="巻足し",J245="巻返しリード付け"),M245,VLOOKUP(D245,契約台帳!$A$3:$O$4986,15,FALSE))))</f>
        <v/>
      </c>
      <c r="T245" s="273" t="str">
        <f ca="1">IF(D245="","",IF(J245="リード付け",N245,IF(J245="巻返しリード付け",N245,IF(J245="巻足し",N245*P245+OFFSET(N245,1,0)*OFFSET(P245,1,0),VLOOKUP(D245,契約台帳!$A$3:$P$4986,16,FALSE)))))</f>
        <v/>
      </c>
      <c r="U245" s="40"/>
      <c r="V245" s="274" t="str">
        <f ca="1">IF(D245="","",IF(OFFSET(D245,-2,0)=D245,"",VLOOKUP(D245,契約台帳!$A$3:$R$4986,18,FALSE)))</f>
        <v/>
      </c>
      <c r="W245" s="269" t="str">
        <f>IF(D245="","",IF(T245="","",IF(OR(J245="巻足し",J245="巻返しリード付け"),"",IF(J245="巻返し",VLOOKUP(F245&amp;K245&amp;M245,製品マスタ!$M$5:$AD$5002,18,FALSE),IF(OR(J245="リード付け",J245="巻返しリード付け"),"原反コア",IF(J245="スリット",VLOOKUP(F245&amp;K245&amp;R245,製品マスタ!$N$5:$AD$5002,17,FALSE),""))))))</f>
        <v/>
      </c>
      <c r="X245" s="269" t="str">
        <f>IF(D245="","",IF(T245="","",IF(J245="巻足し","",IF(J245="巻返し",VLOOKUP(F245&amp;K245&amp;M245,製品マスタ!$M$5:$AE$5002,19,FALSE),IF(OR(J245="リード付け",J245="巻返しリード付け"),"",IF(J245="スリット",VLOOKUP(F245&amp;K245&amp;R245,製品マスタ!$N$5:$AE$5002,18,FALSE),""))))))</f>
        <v/>
      </c>
      <c r="Y245" s="275" t="str">
        <f>IF(D245="","",IF(T245="","",VLOOKUP(D245,契約台帳!$A$3:$Q$4986,17,FALSE)))</f>
        <v/>
      </c>
      <c r="Z245" s="269" t="str">
        <f>IF(D245="","",IF(T245="","",VLOOKUP(D245,契約台帳!$A$3:$E$4986,5,FALSE)))</f>
        <v/>
      </c>
      <c r="AA245" s="57"/>
      <c r="AB245" s="207" t="str">
        <f>IFERROR((VLOOKUP(F245&amp;K245&amp;M245,製品マスタ!$M$5:$AM$5002,27,FALSE)),"")</f>
        <v/>
      </c>
      <c r="AC245" s="33"/>
      <c r="AD245" s="189"/>
      <c r="AE245" s="54"/>
      <c r="AF245" s="55"/>
      <c r="AG245" s="43"/>
      <c r="AH245" s="47"/>
      <c r="AI245" s="30"/>
      <c r="AJ245" s="30"/>
      <c r="AK245" s="30"/>
      <c r="AL245" s="30"/>
      <c r="AM245" s="13"/>
      <c r="AN245" s="13"/>
      <c r="AO245" s="13"/>
      <c r="AP245" s="13"/>
      <c r="AQ245" s="13"/>
      <c r="AR245" s="14"/>
      <c r="AS245" s="15"/>
    </row>
    <row r="246" spans="1:45" s="17" customFormat="1" ht="30.95" hidden="1" customHeight="1" x14ac:dyDescent="0.2">
      <c r="A246" s="37" t="s">
        <v>912</v>
      </c>
      <c r="B246" s="38" t="s">
        <v>913</v>
      </c>
      <c r="C246" s="45"/>
      <c r="D246" s="31">
        <v>3697672</v>
      </c>
      <c r="E246" s="31">
        <v>4140878</v>
      </c>
      <c r="F246" s="268" t="str">
        <f>IF(D246="","",VLOOKUP(D246,契約台帳!$A$3:$K$4986,6,FALSE)&amp;VLOOKUP(D246,契約台帳!$A$3:$K$4986,7,FALSE)&amp;VLOOKUP(D246,契約台帳!$A$3:$K$4986,8,FALSE)&amp;VLOOKUP(D246,契約台帳!$A$3:$K$4986,9,FALSE)&amp;VLOOKUP(D246,契約台帳!$A$3:$K$4986,11,FALSE))</f>
        <v>33SSNMCLBTEKV0V</v>
      </c>
      <c r="G246" s="269" t="str">
        <f>IF(D246="","",VLOOKUP(F246,製品マスタ!$G$5:$H$5002,2,FALSE))</f>
        <v>S</v>
      </c>
      <c r="H246" s="269" t="str">
        <f>IF(D246="","",VLOOKUP(F246,製品マスタ!$G$5:$K$5002,5,FALSE))</f>
        <v>TEKV0V</v>
      </c>
      <c r="I246" s="270" t="str">
        <f>IF(D246="","",VLOOKUP(F246,製品マスタ!$G$5:$L$5002,6,FALSE))</f>
        <v>メタルミー　ＴＥ－Ｓ消　ＶＯＩＤ　Ｖ</v>
      </c>
      <c r="J246" s="210" t="s">
        <v>907</v>
      </c>
      <c r="K246" s="270">
        <f>IF(D246="","",VLOOKUP(D246,契約台帳!$A$3:$L$4986,12,FALSE))</f>
        <v>50</v>
      </c>
      <c r="L246" s="270" t="str">
        <f>IF(D246="","",INDEX(製品マスタ!$Q$5:$Q$5002,MATCH('S4'!F246&amp;'S4'!K246,製品マスタ!$AO$5:$AO$5002,0)))</f>
        <v>X44SEPA</v>
      </c>
      <c r="M246" s="39">
        <v>1005</v>
      </c>
      <c r="N246" s="39">
        <v>12000</v>
      </c>
      <c r="O246" s="156">
        <v>2</v>
      </c>
      <c r="P246" s="47">
        <v>2</v>
      </c>
      <c r="Q246" s="57">
        <v>44973</v>
      </c>
      <c r="R246" s="271">
        <f ca="1">IF(D246="","",IF(OFFSET(D246,-1,0)&lt;&gt;"","",IF(OR(J246="リード付け",J246="巻足し",J246="巻返しリード付け"),M246,VLOOKUP(D246,契約台帳!$A$3:$N$4986,14,FALSE))))</f>
        <v>1005</v>
      </c>
      <c r="S246" s="272">
        <f ca="1">IF(D246="","",IF(OFFSET(D246,-1,0)&lt;&gt;"","",IF(OR(J246="リード付け",J246="巻足し",J246="巻返しリード付け"),M246,VLOOKUP(D246,契約台帳!$A$3:$O$4986,15,FALSE))))</f>
        <v>1000</v>
      </c>
      <c r="T246" s="273">
        <f ca="1">IF(D246="","",IF(J246="リード付け",N246,IF(J246="巻返しリード付け",N246,IF(J246="巻足し",N246*P246+OFFSET(N246,1,0)*OFFSET(P246,1,0),VLOOKUP(D246,契約台帳!$A$3:$P$4986,16,FALSE)))))</f>
        <v>4000</v>
      </c>
      <c r="U246" s="40">
        <v>6</v>
      </c>
      <c r="V246" s="274">
        <f ca="1">IF(D246="","",IF(OFFSET(D246,-2,0)=D246,"",VLOOKUP(D246,契約台帳!$A$3:$R$4986,18,FALSE)))</f>
        <v>6</v>
      </c>
      <c r="W246" s="269" t="str">
        <f ca="1">IF(D246="","",IF(T246="","",IF(OR(J246="巻足し",J246="巻返しリード付け"),"",IF(J246="巻返し",VLOOKUP(F246&amp;K246&amp;M246,製品マスタ!$M$5:$AD$5002,18,FALSE),IF(OR(J246="リード付け",J246="巻返しリード付け"),"原反コア",IF(J246="スリット",VLOOKUP(F246&amp;K246&amp;R246,製品マスタ!$N$5:$AD$5002,17,FALSE),""))))))</f>
        <v>6ｲﾝﾁSｺｱ</v>
      </c>
      <c r="X246" s="269">
        <f ca="1">IF(D246="","",IF(T246="","",IF(J246="巻足し","",IF(J246="巻返し",VLOOKUP(F246&amp;K246&amp;M246,製品マスタ!$M$5:$AE$5002,19,FALSE),IF(OR(J246="リード付け",J246="巻返しリード付け"),"",IF(J246="スリット",VLOOKUP(F246&amp;K246&amp;R246,製品マスタ!$N$5:$AE$5002,18,FALSE),""))))))</f>
        <v>1015</v>
      </c>
      <c r="Y246" s="275">
        <f ca="1">IF(D246="","",IF(T246="","",VLOOKUP(D246,契約台帳!$A$3:$Q$4986,17,FALSE)))</f>
        <v>2</v>
      </c>
      <c r="Z246" s="269" t="str">
        <f ca="1">IF(D246="","",IF(T246="","",VLOOKUP(D246,契約台帳!$A$3:$E$4986,5,FALSE)))</f>
        <v>リンテック㈱</v>
      </c>
      <c r="AA246" s="57"/>
      <c r="AB246" s="207">
        <f>IFERROR((VLOOKUP(F246&amp;K246&amp;M246,製品マスタ!$M$5:$AM$5002,27,FALSE)),"")</f>
        <v>0</v>
      </c>
      <c r="AC246" s="33"/>
      <c r="AD246" s="189"/>
      <c r="AE246" s="54"/>
      <c r="AF246" s="55"/>
      <c r="AG246" s="43"/>
      <c r="AH246" s="47"/>
      <c r="AI246" s="30"/>
      <c r="AJ246" s="30"/>
      <c r="AK246" s="30"/>
      <c r="AL246" s="30"/>
      <c r="AM246" s="13"/>
      <c r="AN246" s="13"/>
      <c r="AO246" s="13"/>
      <c r="AP246" s="13"/>
      <c r="AQ246" s="13"/>
      <c r="AR246" s="14"/>
      <c r="AS246" s="15"/>
    </row>
    <row r="247" spans="1:45" s="17" customFormat="1" ht="30.95" hidden="1" customHeight="1" x14ac:dyDescent="0.2">
      <c r="A247" s="37"/>
      <c r="B247" s="38"/>
      <c r="C247" s="45"/>
      <c r="D247" s="31"/>
      <c r="E247" s="31"/>
      <c r="F247" s="268" t="str">
        <f>IF(D247="","",VLOOKUP(D247,契約台帳!$A$3:$K$4986,6,FALSE)&amp;VLOOKUP(D247,契約台帳!$A$3:$K$4986,7,FALSE)&amp;VLOOKUP(D247,契約台帳!$A$3:$K$4986,8,FALSE)&amp;VLOOKUP(D247,契約台帳!$A$3:$K$4986,9,FALSE)&amp;VLOOKUP(D247,契約台帳!$A$3:$K$4986,11,FALSE))</f>
        <v/>
      </c>
      <c r="G247" s="269" t="str">
        <f>IF(D247="","",VLOOKUP(F247,製品マスタ!$G$5:$H$5002,2,FALSE))</f>
        <v/>
      </c>
      <c r="H247" s="269" t="str">
        <f>IF(D247="","",VLOOKUP(F247,製品マスタ!$G$5:$K$5002,5,FALSE))</f>
        <v/>
      </c>
      <c r="I247" s="270" t="str">
        <f>IF(D247="","",VLOOKUP(F247,製品マスタ!$G$5:$L$5002,6,FALSE))</f>
        <v/>
      </c>
      <c r="J247" s="210"/>
      <c r="K247" s="270" t="str">
        <f>IF(D247="","",VLOOKUP(D247,契約台帳!$A$3:$L$4986,12,FALSE))</f>
        <v/>
      </c>
      <c r="L247" s="270" t="str">
        <f>IF(D247="","",INDEX(製品マスタ!$Q$5:$Q$5002,MATCH('S4'!F247&amp;'S4'!K247,製品マスタ!$AO$5:$AO$5002,0)))</f>
        <v/>
      </c>
      <c r="M247" s="39"/>
      <c r="N247" s="39"/>
      <c r="O247" s="156"/>
      <c r="P247" s="47"/>
      <c r="Q247" s="57"/>
      <c r="R247" s="271" t="str">
        <f ca="1">IF(D247="","",IF(OFFSET(D247,-1,0)&lt;&gt;"","",IF(OR(J247="リード付け",J247="巻足し",J247="巻返しリード付け"),M247,VLOOKUP(D247,契約台帳!$A$3:$N$4986,14,FALSE))))</f>
        <v/>
      </c>
      <c r="S247" s="272" t="str">
        <f ca="1">IF(D247="","",IF(OFFSET(D247,-1,0)&lt;&gt;"","",IF(OR(J247="リード付け",J247="巻足し",J247="巻返しリード付け"),M247,VLOOKUP(D247,契約台帳!$A$3:$O$4986,15,FALSE))))</f>
        <v/>
      </c>
      <c r="T247" s="273" t="str">
        <f ca="1">IF(D247="","",IF(J247="リード付け",N247,IF(J247="巻返しリード付け",N247,IF(J247="巻足し",N247*P247+OFFSET(N247,1,0)*OFFSET(P247,1,0),VLOOKUP(D247,契約台帳!$A$3:$P$4986,16,FALSE)))))</f>
        <v/>
      </c>
      <c r="U247" s="40"/>
      <c r="V247" s="274" t="str">
        <f ca="1">IF(D247="","",IF(OFFSET(D247,-2,0)=D247,"",VLOOKUP(D247,契約台帳!$A$3:$R$4986,18,FALSE)))</f>
        <v/>
      </c>
      <c r="W247" s="269" t="str">
        <f>IF(D247="","",IF(T247="","",IF(OR(J247="巻足し",J247="巻返しリード付け"),"",IF(J247="巻返し",VLOOKUP(F247&amp;K247&amp;M247,製品マスタ!$M$5:$AD$5002,18,FALSE),IF(OR(J247="リード付け",J247="巻返しリード付け"),"原反コア",IF(J247="スリット",VLOOKUP(F247&amp;K247&amp;R247,製品マスタ!$N$5:$AD$5002,17,FALSE),""))))))</f>
        <v/>
      </c>
      <c r="X247" s="269" t="str">
        <f>IF(D247="","",IF(T247="","",IF(J247="巻足し","",IF(J247="巻返し",VLOOKUP(F247&amp;K247&amp;M247,製品マスタ!$M$5:$AE$5002,19,FALSE),IF(OR(J247="リード付け",J247="巻返しリード付け"),"",IF(J247="スリット",VLOOKUP(F247&amp;K247&amp;R247,製品マスタ!$N$5:$AE$5002,18,FALSE),""))))))</f>
        <v/>
      </c>
      <c r="Y247" s="275" t="str">
        <f>IF(D247="","",IF(T247="","",VLOOKUP(D247,契約台帳!$A$3:$Q$4986,17,FALSE)))</f>
        <v/>
      </c>
      <c r="Z247" s="269" t="str">
        <f>IF(D247="","",IF(T247="","",VLOOKUP(D247,契約台帳!$A$3:$E$4986,5,FALSE)))</f>
        <v/>
      </c>
      <c r="AA247" s="57"/>
      <c r="AB247" s="207" t="str">
        <f>IFERROR((VLOOKUP(F247&amp;K247&amp;M247,製品マスタ!$M$5:$AM$5002,27,FALSE)),"")</f>
        <v/>
      </c>
      <c r="AC247" s="33"/>
      <c r="AD247" s="189"/>
      <c r="AE247" s="54"/>
      <c r="AF247" s="55"/>
      <c r="AG247" s="43"/>
      <c r="AH247" s="47"/>
      <c r="AI247" s="30"/>
      <c r="AJ247" s="30"/>
      <c r="AK247" s="30"/>
      <c r="AL247" s="30"/>
      <c r="AM247" s="13"/>
      <c r="AN247" s="13"/>
      <c r="AO247" s="13"/>
      <c r="AP247" s="13"/>
      <c r="AQ247" s="13"/>
      <c r="AR247" s="14"/>
      <c r="AS247" s="15"/>
    </row>
    <row r="248" spans="1:45" s="17" customFormat="1" ht="30.95" hidden="1" customHeight="1" x14ac:dyDescent="0.2">
      <c r="A248" s="37"/>
      <c r="B248" s="38"/>
      <c r="C248" s="45"/>
      <c r="D248" s="31">
        <v>3697679</v>
      </c>
      <c r="E248" s="31">
        <v>4140884</v>
      </c>
      <c r="F248" s="268" t="str">
        <f>IF(D248="","",VLOOKUP(D248,契約台帳!$A$3:$K$4986,6,FALSE)&amp;VLOOKUP(D248,契約台帳!$A$3:$K$4986,7,FALSE)&amp;VLOOKUP(D248,契約台帳!$A$3:$K$4986,8,FALSE)&amp;VLOOKUP(D248,契約台帳!$A$3:$K$4986,9,FALSE)&amp;VLOOKUP(D248,契約台帳!$A$3:$K$4986,11,FALSE))</f>
        <v>3SNMCLBHLGTV</v>
      </c>
      <c r="G248" s="269" t="str">
        <f>IF(D248="","",VLOOKUP(F248,製品マスタ!$G$5:$H$5002,2,FALSE))</f>
        <v>S</v>
      </c>
      <c r="H248" s="269" t="str">
        <f>IF(D248="","",VLOOKUP(F248,製品マスタ!$G$5:$K$5002,5,FALSE))</f>
        <v>HLGTV</v>
      </c>
      <c r="I248" s="270" t="str">
        <f>IF(D248="","",VLOOKUP(F248,製品マスタ!$G$5:$L$5002,6,FALSE))</f>
        <v>メタルミー　ヘヤライン　銀艶Ｖ</v>
      </c>
      <c r="J248" s="210" t="s">
        <v>447</v>
      </c>
      <c r="K248" s="270">
        <f>IF(D248="","",VLOOKUP(D248,契約台帳!$A$3:$L$4986,12,FALSE))</f>
        <v>50</v>
      </c>
      <c r="L248" s="270" t="str">
        <f>IF(D248="","",INDEX(製品マスタ!$Q$5:$Q$5002,MATCH('S4'!F248&amp;'S4'!K248,製品マスタ!$AO$5:$AO$5002,0)))</f>
        <v>BRIGHT</v>
      </c>
      <c r="M248" s="39">
        <v>1005</v>
      </c>
      <c r="N248" s="39">
        <v>12300</v>
      </c>
      <c r="O248" s="156">
        <v>3</v>
      </c>
      <c r="P248" s="47">
        <v>3</v>
      </c>
      <c r="Q248" s="57">
        <v>44974</v>
      </c>
      <c r="R248" s="271">
        <f ca="1">IF(D248="","",IF(OFFSET(D248,-1,0)&lt;&gt;"","",IF(OR(J248="リード付け",J248="巻足し",J248="巻返しリード付け"),M248,VLOOKUP(D248,契約台帳!$A$3:$N$4986,14,FALSE))))</f>
        <v>1005</v>
      </c>
      <c r="S248" s="272">
        <f ca="1">IF(D248="","",IF(OFFSET(D248,-1,0)&lt;&gt;"","",IF(OR(J248="リード付け",J248="巻足し",J248="巻返しリード付け"),M248,VLOOKUP(D248,契約台帳!$A$3:$O$4986,15,FALSE))))</f>
        <v>1000</v>
      </c>
      <c r="T248" s="273">
        <f ca="1">IF(D248="","",IF(J248="リード付け",N248,IF(J248="巻返しリード付け",N248,IF(J248="巻足し",N248*P248+OFFSET(N248,1,0)*OFFSET(P248,1,0),VLOOKUP(D248,契約台帳!$A$3:$P$4986,16,FALSE)))))</f>
        <v>4000</v>
      </c>
      <c r="U248" s="40">
        <v>9</v>
      </c>
      <c r="V248" s="274">
        <f ca="1">IF(D248="","",IF(OFFSET(D248,-2,0)=D248,"",VLOOKUP(D248,契約台帳!$A$3:$R$4986,18,FALSE)))</f>
        <v>9</v>
      </c>
      <c r="W248" s="269" t="str">
        <f ca="1">IF(D248="","",IF(T248="","",IF(OR(J248="巻足し",J248="巻返しリード付け"),"",IF(J248="巻返し",VLOOKUP(F248&amp;K248&amp;M248,製品マスタ!$M$5:$AD$5002,18,FALSE),IF(OR(J248="リード付け",J248="巻返しリード付け"),"原反コア",IF(J248="スリット",VLOOKUP(F248&amp;K248&amp;R248,製品マスタ!$N$5:$AD$5002,17,FALSE),""))))))</f>
        <v>6ｲﾝﾁSｺｱ</v>
      </c>
      <c r="X248" s="269">
        <f ca="1">IF(D248="","",IF(T248="","",IF(J248="巻足し","",IF(J248="巻返し",VLOOKUP(F248&amp;K248&amp;M248,製品マスタ!$M$5:$AE$5002,19,FALSE),IF(OR(J248="リード付け",J248="巻返しリード付け"),"",IF(J248="スリット",VLOOKUP(F248&amp;K248&amp;R248,製品マスタ!$N$5:$AE$5002,18,FALSE),""))))))</f>
        <v>1015</v>
      </c>
      <c r="Y248" s="275">
        <f ca="1">IF(D248="","",IF(T248="","",VLOOKUP(D248,契約台帳!$A$3:$Q$4986,17,FALSE)))</f>
        <v>2</v>
      </c>
      <c r="Z248" s="269" t="str">
        <f ca="1">IF(D248="","",IF(T248="","",VLOOKUP(D248,契約台帳!$A$3:$E$4986,5,FALSE)))</f>
        <v>リンテック㈱</v>
      </c>
      <c r="AA248" s="57"/>
      <c r="AB248" s="207">
        <f>IFERROR((VLOOKUP(F248&amp;K248&amp;M248,製品マスタ!$M$5:$AM$5002,27,FALSE)),"")</f>
        <v>0</v>
      </c>
      <c r="AC248" s="33"/>
      <c r="AD248" s="189"/>
      <c r="AE248" s="54"/>
      <c r="AF248" s="55"/>
      <c r="AG248" s="43"/>
      <c r="AH248" s="47"/>
      <c r="AI248" s="30"/>
      <c r="AJ248" s="30"/>
      <c r="AK248" s="30"/>
      <c r="AL248" s="30"/>
      <c r="AM248" s="13"/>
      <c r="AN248" s="13"/>
      <c r="AO248" s="13"/>
      <c r="AP248" s="13"/>
      <c r="AQ248" s="13"/>
      <c r="AR248" s="14"/>
      <c r="AS248" s="15"/>
    </row>
    <row r="249" spans="1:45" s="17" customFormat="1" ht="30.95" hidden="1" customHeight="1" x14ac:dyDescent="0.2">
      <c r="A249" s="37"/>
      <c r="B249" s="38"/>
      <c r="C249" s="45"/>
      <c r="D249" s="31"/>
      <c r="E249" s="31"/>
      <c r="F249" s="268" t="str">
        <f>IF(D249="","",VLOOKUP(D249,契約台帳!$A$3:$K$4986,6,FALSE)&amp;VLOOKUP(D249,契約台帳!$A$3:$K$4986,7,FALSE)&amp;VLOOKUP(D249,契約台帳!$A$3:$K$4986,8,FALSE)&amp;VLOOKUP(D249,契約台帳!$A$3:$K$4986,9,FALSE)&amp;VLOOKUP(D249,契約台帳!$A$3:$K$4986,11,FALSE))</f>
        <v/>
      </c>
      <c r="G249" s="269" t="str">
        <f>IF(D249="","",VLOOKUP(F249,製品マスタ!$G$5:$H$5002,2,FALSE))</f>
        <v/>
      </c>
      <c r="H249" s="269" t="str">
        <f>IF(D249="","",VLOOKUP(F249,製品マスタ!$G$5:$K$5002,5,FALSE))</f>
        <v/>
      </c>
      <c r="I249" s="270" t="str">
        <f>IF(D249="","",VLOOKUP(F249,製品マスタ!$G$5:$L$5002,6,FALSE))</f>
        <v/>
      </c>
      <c r="J249" s="210"/>
      <c r="K249" s="270" t="str">
        <f>IF(D249="","",VLOOKUP(D249,契約台帳!$A$3:$L$4986,12,FALSE))</f>
        <v/>
      </c>
      <c r="L249" s="270" t="str">
        <f>IF(D249="","",INDEX(製品マスタ!$Q$5:$Q$5002,MATCH('S4'!F249&amp;'S4'!K249,製品マスタ!$AO$5:$AO$5002,0)))</f>
        <v/>
      </c>
      <c r="M249" s="39"/>
      <c r="N249" s="39"/>
      <c r="O249" s="156"/>
      <c r="P249" s="47"/>
      <c r="Q249" s="57"/>
      <c r="R249" s="271" t="str">
        <f ca="1">IF(D249="","",IF(OFFSET(D249,-1,0)&lt;&gt;"","",IF(OR(J249="リード付け",J249="巻足し",J249="巻返しリード付け"),M249,VLOOKUP(D249,契約台帳!$A$3:$N$4986,14,FALSE))))</f>
        <v/>
      </c>
      <c r="S249" s="272" t="str">
        <f ca="1">IF(D249="","",IF(OFFSET(D249,-1,0)&lt;&gt;"","",IF(OR(J249="リード付け",J249="巻足し",J249="巻返しリード付け"),M249,VLOOKUP(D249,契約台帳!$A$3:$O$4986,15,FALSE))))</f>
        <v/>
      </c>
      <c r="T249" s="273" t="str">
        <f ca="1">IF(D249="","",IF(J249="リード付け",N249,IF(J249="巻返しリード付け",N249,IF(J249="巻足し",N249*P249+OFFSET(N249,1,0)*OFFSET(P249,1,0),VLOOKUP(D249,契約台帳!$A$3:$P$4986,16,FALSE)))))</f>
        <v/>
      </c>
      <c r="U249" s="40"/>
      <c r="V249" s="274" t="str">
        <f ca="1">IF(D249="","",IF(OFFSET(D249,-2,0)=D249,"",VLOOKUP(D249,契約台帳!$A$3:$R$4986,18,FALSE)))</f>
        <v/>
      </c>
      <c r="W249" s="269" t="str">
        <f>IF(D249="","",IF(T249="","",IF(OR(J249="巻足し",J249="巻返しリード付け"),"",IF(J249="巻返し",VLOOKUP(F249&amp;K249&amp;M249,製品マスタ!$M$5:$AD$5002,18,FALSE),IF(OR(J249="リード付け",J249="巻返しリード付け"),"原反コア",IF(J249="スリット",VLOOKUP(F249&amp;K249&amp;R249,製品マスタ!$N$5:$AD$5002,17,FALSE),""))))))</f>
        <v/>
      </c>
      <c r="X249" s="269" t="str">
        <f>IF(D249="","",IF(T249="","",IF(J249="巻足し","",IF(J249="巻返し",VLOOKUP(F249&amp;K249&amp;M249,製品マスタ!$M$5:$AE$5002,19,FALSE),IF(OR(J249="リード付け",J249="巻返しリード付け"),"",IF(J249="スリット",VLOOKUP(F249&amp;K249&amp;R249,製品マスタ!$N$5:$AE$5002,18,FALSE),""))))))</f>
        <v/>
      </c>
      <c r="Y249" s="275" t="str">
        <f>IF(D249="","",IF(T249="","",VLOOKUP(D249,契約台帳!$A$3:$Q$4986,17,FALSE)))</f>
        <v/>
      </c>
      <c r="Z249" s="269" t="str">
        <f>IF(D249="","",IF(T249="","",VLOOKUP(D249,契約台帳!$A$3:$E$4986,5,FALSE)))</f>
        <v/>
      </c>
      <c r="AA249" s="57"/>
      <c r="AB249" s="207" t="str">
        <f>IFERROR((VLOOKUP(F249&amp;K249&amp;M249,製品マスタ!$M$5:$AM$5002,27,FALSE)),"")</f>
        <v/>
      </c>
      <c r="AC249" s="33"/>
      <c r="AD249" s="189"/>
      <c r="AE249" s="54"/>
      <c r="AF249" s="55"/>
      <c r="AG249" s="43"/>
      <c r="AH249" s="47"/>
      <c r="AI249" s="30"/>
      <c r="AJ249" s="30"/>
      <c r="AK249" s="30"/>
      <c r="AL249" s="30"/>
      <c r="AM249" s="13"/>
      <c r="AN249" s="13"/>
      <c r="AO249" s="13"/>
      <c r="AP249" s="13"/>
      <c r="AQ249" s="13"/>
      <c r="AR249" s="14"/>
      <c r="AS249" s="15"/>
    </row>
    <row r="250" spans="1:45" s="17" customFormat="1" ht="30.95" hidden="1" customHeight="1" x14ac:dyDescent="0.2">
      <c r="A250" s="37"/>
      <c r="B250" s="38"/>
      <c r="C250" s="45"/>
      <c r="D250" s="31">
        <v>3697677</v>
      </c>
      <c r="E250" s="31">
        <v>4140883</v>
      </c>
      <c r="F250" s="268" t="str">
        <f>IF(D250="","",VLOOKUP(D250,契約台帳!$A$3:$K$4986,6,FALSE)&amp;VLOOKUP(D250,契約台帳!$A$3:$K$4986,7,FALSE)&amp;VLOOKUP(D250,契約台帳!$A$3:$K$4986,8,FALSE)&amp;VLOOKUP(D250,契約台帳!$A$3:$K$4986,9,FALSE)&amp;VLOOKUP(D250,契約台帳!$A$3:$K$4986,11,FALSE))</f>
        <v>3SNMCLBHLGKJV</v>
      </c>
      <c r="G250" s="269" t="str">
        <f>IF(D250="","",VLOOKUP(F250,製品マスタ!$G$5:$H$5002,2,FALSE))</f>
        <v>S</v>
      </c>
      <c r="H250" s="269" t="str">
        <f>IF(D250="","",VLOOKUP(F250,製品マスタ!$G$5:$K$5002,5,FALSE))</f>
        <v>HLGKJV</v>
      </c>
      <c r="I250" s="270" t="str">
        <f>IF(D250="","",VLOOKUP(F250,製品マスタ!$G$5:$L$5002,6,FALSE))</f>
        <v>メタルミー　ヘヤライン　銀消Ｖ</v>
      </c>
      <c r="J250" s="210" t="s">
        <v>447</v>
      </c>
      <c r="K250" s="270">
        <f>IF(D250="","",VLOOKUP(D250,契約台帳!$A$3:$L$4986,12,FALSE))</f>
        <v>50</v>
      </c>
      <c r="L250" s="270" t="str">
        <f>IF(D250="","",INDEX(製品マスタ!$Q$5:$Q$5002,MATCH('S4'!F250&amp;'S4'!K250,製品マスタ!$AO$5:$AO$5002,0)))</f>
        <v>HL-MAT</v>
      </c>
      <c r="M250" s="39">
        <v>1005</v>
      </c>
      <c r="N250" s="39">
        <v>8000</v>
      </c>
      <c r="O250" s="156">
        <v>1</v>
      </c>
      <c r="P250" s="47">
        <v>1</v>
      </c>
      <c r="Q250" s="57">
        <v>44974</v>
      </c>
      <c r="R250" s="271">
        <f ca="1">IF(D250="","",IF(OFFSET(D250,-1,0)&lt;&gt;"","",IF(OR(J250="リード付け",J250="巻足し",J250="巻返しリード付け"),M250,VLOOKUP(D250,契約台帳!$A$3:$N$4986,14,FALSE))))</f>
        <v>1005</v>
      </c>
      <c r="S250" s="272">
        <f ca="1">IF(D250="","",IF(OFFSET(D250,-1,0)&lt;&gt;"","",IF(OR(J250="リード付け",J250="巻足し",J250="巻返しリード付け"),M250,VLOOKUP(D250,契約台帳!$A$3:$O$4986,15,FALSE))))</f>
        <v>1000</v>
      </c>
      <c r="T250" s="273">
        <f ca="1">IF(D250="","",IF(J250="リード付け",N250,IF(J250="巻返しリード付け",N250,IF(J250="巻足し",N250*P250+OFFSET(N250,1,0)*OFFSET(P250,1,0),VLOOKUP(D250,契約台帳!$A$3:$P$4986,16,FALSE)))))</f>
        <v>2000</v>
      </c>
      <c r="U250" s="40">
        <v>2</v>
      </c>
      <c r="V250" s="274">
        <f ca="1">IF(D250="","",IF(OFFSET(D250,-2,0)=D250,"",VLOOKUP(D250,契約台帳!$A$3:$R$4986,18,FALSE)))</f>
        <v>2</v>
      </c>
      <c r="W250" s="269" t="str">
        <f ca="1">IF(D250="","",IF(T250="","",IF(OR(J250="巻足し",J250="巻返しリード付け"),"",IF(J250="巻返し",VLOOKUP(F250&amp;K250&amp;M250,製品マスタ!$M$5:$AD$5002,18,FALSE),IF(OR(J250="リード付け",J250="巻返しリード付け"),"原反コア",IF(J250="スリット",VLOOKUP(F250&amp;K250&amp;R250,製品マスタ!$N$5:$AD$5002,17,FALSE),""))))))</f>
        <v>6ｲﾝﾁSｺｱ</v>
      </c>
      <c r="X250" s="269">
        <f ca="1">IF(D250="","",IF(T250="","",IF(J250="巻足し","",IF(J250="巻返し",VLOOKUP(F250&amp;K250&amp;M250,製品マスタ!$M$5:$AE$5002,19,FALSE),IF(OR(J250="リード付け",J250="巻返しリード付け"),"",IF(J250="スリット",VLOOKUP(F250&amp;K250&amp;R250,製品マスタ!$N$5:$AE$5002,18,FALSE),""))))))</f>
        <v>1015</v>
      </c>
      <c r="Y250" s="275">
        <f ca="1">IF(D250="","",IF(T250="","",VLOOKUP(D250,契約台帳!$A$3:$Q$4986,17,FALSE)))</f>
        <v>2</v>
      </c>
      <c r="Z250" s="269" t="str">
        <f ca="1">IF(D250="","",IF(T250="","",VLOOKUP(D250,契約台帳!$A$3:$E$4986,5,FALSE)))</f>
        <v>リンテック㈱</v>
      </c>
      <c r="AA250" s="57"/>
      <c r="AB250" s="207">
        <f>IFERROR((VLOOKUP(F250&amp;K250&amp;M250,製品マスタ!$M$5:$AM$5002,27,FALSE)),"")</f>
        <v>0</v>
      </c>
      <c r="AC250" s="33"/>
      <c r="AD250" s="189"/>
      <c r="AE250" s="54"/>
      <c r="AF250" s="55"/>
      <c r="AG250" s="43"/>
      <c r="AH250" s="47"/>
      <c r="AI250" s="30"/>
      <c r="AJ250" s="30"/>
      <c r="AK250" s="30"/>
      <c r="AL250" s="30"/>
      <c r="AM250" s="13"/>
      <c r="AN250" s="13"/>
      <c r="AO250" s="13"/>
      <c r="AP250" s="13"/>
      <c r="AQ250" s="13"/>
      <c r="AR250" s="14"/>
      <c r="AS250" s="15"/>
    </row>
    <row r="251" spans="1:45" s="17" customFormat="1" ht="30.95" hidden="1" customHeight="1" x14ac:dyDescent="0.2">
      <c r="A251" s="37"/>
      <c r="B251" s="38"/>
      <c r="C251" s="45"/>
      <c r="D251" s="31">
        <v>3697678</v>
      </c>
      <c r="E251" s="31"/>
      <c r="F251" s="268" t="str">
        <f>IF(D251="","",VLOOKUP(D251,契約台帳!$A$3:$K$4986,6,FALSE)&amp;VLOOKUP(D251,契約台帳!$A$3:$K$4986,7,FALSE)&amp;VLOOKUP(D251,契約台帳!$A$3:$K$4986,8,FALSE)&amp;VLOOKUP(D251,契約台帳!$A$3:$K$4986,9,FALSE)&amp;VLOOKUP(D251,契約台帳!$A$3:$K$4986,11,FALSE))</f>
        <v>3TNMCLBHLGKJV</v>
      </c>
      <c r="G251" s="269" t="str">
        <f>IF(D251="","",VLOOKUP(F251,製品マスタ!$G$5:$H$5002,2,FALSE))</f>
        <v>T</v>
      </c>
      <c r="H251" s="269" t="str">
        <f>IF(D251="","",VLOOKUP(F251,製品マスタ!$G$5:$K$5002,5,FALSE))</f>
        <v>HLGKJV</v>
      </c>
      <c r="I251" s="270" t="str">
        <f>IF(D251="","",VLOOKUP(F251,製品マスタ!$G$5:$L$5002,6,FALSE))</f>
        <v>メタルミー　ヘヤライン　銀消Ｖ</v>
      </c>
      <c r="J251" s="210" t="s">
        <v>447</v>
      </c>
      <c r="K251" s="270">
        <f>IF(D251="","",VLOOKUP(D251,契約台帳!$A$3:$L$4986,12,FALSE))</f>
        <v>50</v>
      </c>
      <c r="L251" s="270" t="str">
        <f>IF(D251="","",INDEX(製品マスタ!$Q$5:$Q$5002,MATCH('S4'!F251&amp;'S4'!K251,製品マスタ!$AO$5:$AO$5002,0)))</f>
        <v>HL-MAT</v>
      </c>
      <c r="M251" s="39"/>
      <c r="N251" s="39"/>
      <c r="O251" s="156"/>
      <c r="P251" s="47"/>
      <c r="Q251" s="57"/>
      <c r="R251" s="271">
        <v>1005</v>
      </c>
      <c r="S251" s="272">
        <v>1000</v>
      </c>
      <c r="T251" s="273">
        <f ca="1">IF(D251="","",IF(J251="リード付け",N251,IF(J251="巻返しリード付け",N251,IF(J251="巻足し",N251*P251+OFFSET(N251,1,0)*OFFSET(P251,1,0),VLOOKUP(D251,契約台帳!$A$3:$P$4986,16,FALSE)))))</f>
        <v>4000</v>
      </c>
      <c r="U251" s="40">
        <v>1</v>
      </c>
      <c r="V251" s="274">
        <f ca="1">IF(D251="","",IF(OFFSET(D251,-2,0)=D251,"",VLOOKUP(D251,契約台帳!$A$3:$R$4986,18,FALSE)))</f>
        <v>1</v>
      </c>
      <c r="W251" s="269" t="s">
        <v>806</v>
      </c>
      <c r="X251" s="269">
        <v>1015</v>
      </c>
      <c r="Y251" s="275">
        <f ca="1">IF(D251="","",IF(T251="","",VLOOKUP(D251,契約台帳!$A$3:$Q$4986,17,FALSE)))</f>
        <v>2</v>
      </c>
      <c r="Z251" s="269" t="str">
        <f ca="1">IF(D251="","",IF(T251="","",VLOOKUP(D251,契約台帳!$A$3:$E$4986,5,FALSE)))</f>
        <v>リンテック㈱</v>
      </c>
      <c r="AA251" s="57"/>
      <c r="AB251" s="207" t="s">
        <v>774</v>
      </c>
      <c r="AC251" s="33"/>
      <c r="AD251" s="189"/>
      <c r="AE251" s="54"/>
      <c r="AF251" s="55"/>
      <c r="AG251" s="43"/>
      <c r="AH251" s="47"/>
      <c r="AI251" s="30"/>
      <c r="AJ251" s="30"/>
      <c r="AK251" s="30"/>
      <c r="AL251" s="30"/>
      <c r="AM251" s="13"/>
      <c r="AN251" s="13"/>
      <c r="AO251" s="13"/>
      <c r="AP251" s="13"/>
      <c r="AQ251" s="13"/>
      <c r="AR251" s="14"/>
      <c r="AS251" s="15"/>
    </row>
    <row r="252" spans="1:45" s="17" customFormat="1" ht="30.95" hidden="1" customHeight="1" x14ac:dyDescent="0.2">
      <c r="A252" s="37"/>
      <c r="B252" s="38"/>
      <c r="C252" s="45"/>
      <c r="D252" s="31"/>
      <c r="E252" s="31"/>
      <c r="F252" s="268" t="str">
        <f>IF(D252="","",VLOOKUP(D252,契約台帳!$A$3:$K$4986,6,FALSE)&amp;VLOOKUP(D252,契約台帳!$A$3:$K$4986,7,FALSE)&amp;VLOOKUP(D252,契約台帳!$A$3:$K$4986,8,FALSE)&amp;VLOOKUP(D252,契約台帳!$A$3:$K$4986,9,FALSE)&amp;VLOOKUP(D252,契約台帳!$A$3:$K$4986,11,FALSE))</f>
        <v/>
      </c>
      <c r="G252" s="269" t="str">
        <f>IF(D252="","",VLOOKUP(F252,製品マスタ!$G$5:$H$5002,2,FALSE))</f>
        <v/>
      </c>
      <c r="H252" s="269" t="str">
        <f>IF(D252="","",VLOOKUP(F252,製品マスタ!$G$5:$K$5002,5,FALSE))</f>
        <v/>
      </c>
      <c r="I252" s="270" t="str">
        <f>IF(D252="","",VLOOKUP(F252,製品マスタ!$G$5:$L$5002,6,FALSE))</f>
        <v/>
      </c>
      <c r="J252" s="210"/>
      <c r="K252" s="270" t="str">
        <f>IF(D252="","",VLOOKUP(D252,契約台帳!$A$3:$L$4986,12,FALSE))</f>
        <v/>
      </c>
      <c r="L252" s="270" t="str">
        <f>IF(D252="","",INDEX(製品マスタ!$Q$5:$Q$5002,MATCH('S4'!F252&amp;'S4'!K252,製品マスタ!$AO$5:$AO$5002,0)))</f>
        <v/>
      </c>
      <c r="M252" s="39"/>
      <c r="N252" s="39"/>
      <c r="O252" s="156"/>
      <c r="P252" s="47"/>
      <c r="Q252" s="57"/>
      <c r="R252" s="271" t="str">
        <f ca="1">IF(D252="","",IF(OFFSET(D252,-1,0)&lt;&gt;"","",IF(OR(J252="リード付け",J252="巻足し",J252="巻返しリード付け"),M252,VLOOKUP(D252,契約台帳!$A$3:$N$4986,14,FALSE))))</f>
        <v/>
      </c>
      <c r="S252" s="272" t="str">
        <f ca="1">IF(D252="","",IF(OFFSET(D252,-1,0)&lt;&gt;"","",IF(OR(J252="リード付け",J252="巻足し",J252="巻返しリード付け"),M252,VLOOKUP(D252,契約台帳!$A$3:$O$4986,15,FALSE))))</f>
        <v/>
      </c>
      <c r="T252" s="273" t="str">
        <f ca="1">IF(D252="","",IF(J252="リード付け",N252,IF(J252="巻返しリード付け",N252,IF(J252="巻足し",N252*P252+OFFSET(N252,1,0)*OFFSET(P252,1,0),VLOOKUP(D252,契約台帳!$A$3:$P$4986,16,FALSE)))))</f>
        <v/>
      </c>
      <c r="U252" s="40"/>
      <c r="V252" s="274" t="str">
        <f ca="1">IF(D252="","",IF(OFFSET(D252,-2,0)=D252,"",VLOOKUP(D252,契約台帳!$A$3:$R$4986,18,FALSE)))</f>
        <v/>
      </c>
      <c r="W252" s="269" t="str">
        <f>IF(D252="","",IF(T252="","",IF(OR(J252="巻足し",J252="巻返しリード付け"),"",IF(J252="巻返し",VLOOKUP(F252&amp;K252&amp;M252,製品マスタ!$M$5:$AD$5002,18,FALSE),IF(OR(J252="リード付け",J252="巻返しリード付け"),"原反コア",IF(J252="スリット",VLOOKUP(F252&amp;K252&amp;R252,製品マスタ!$N$5:$AD$5002,17,FALSE),""))))))</f>
        <v/>
      </c>
      <c r="X252" s="269" t="str">
        <f>IF(D252="","",IF(T252="","",IF(J252="巻足し","",IF(J252="巻返し",VLOOKUP(F252&amp;K252&amp;M252,製品マスタ!$M$5:$AE$5002,19,FALSE),IF(OR(J252="リード付け",J252="巻返しリード付け"),"",IF(J252="スリット",VLOOKUP(F252&amp;K252&amp;R252,製品マスタ!$N$5:$AE$5002,18,FALSE),""))))))</f>
        <v/>
      </c>
      <c r="Y252" s="275" t="str">
        <f>IF(D252="","",IF(T252="","",VLOOKUP(D252,契約台帳!$A$3:$Q$4986,17,FALSE)))</f>
        <v/>
      </c>
      <c r="Z252" s="269" t="str">
        <f>IF(D252="","",IF(T252="","",VLOOKUP(D252,契約台帳!$A$3:$E$4986,5,FALSE)))</f>
        <v/>
      </c>
      <c r="AA252" s="57"/>
      <c r="AB252" s="207" t="str">
        <f>IFERROR((VLOOKUP(F252&amp;K252&amp;M252,製品マスタ!$M$5:$AM$5002,27,FALSE)),"")</f>
        <v/>
      </c>
      <c r="AC252" s="33"/>
      <c r="AD252" s="189"/>
      <c r="AE252" s="54"/>
      <c r="AF252" s="55"/>
      <c r="AG252" s="43"/>
      <c r="AH252" s="47"/>
      <c r="AI252" s="30"/>
      <c r="AJ252" s="30"/>
      <c r="AK252" s="30"/>
      <c r="AL252" s="30"/>
      <c r="AM252" s="13"/>
      <c r="AN252" s="13"/>
      <c r="AO252" s="13"/>
      <c r="AP252" s="13"/>
      <c r="AQ252" s="13"/>
      <c r="AR252" s="14"/>
      <c r="AS252" s="15"/>
    </row>
    <row r="253" spans="1:45" s="17" customFormat="1" ht="30.95" hidden="1" customHeight="1" x14ac:dyDescent="0.2">
      <c r="A253" s="37" t="s">
        <v>885</v>
      </c>
      <c r="B253" s="38" t="s">
        <v>445</v>
      </c>
      <c r="C253" s="45"/>
      <c r="D253" s="31"/>
      <c r="E253" s="31"/>
      <c r="F253" s="268" t="str">
        <f>IF(D253="","",VLOOKUP(D253,契約台帳!$A$3:$K$4986,6,FALSE)&amp;VLOOKUP(D253,契約台帳!$A$3:$K$4986,7,FALSE)&amp;VLOOKUP(D253,契約台帳!$A$3:$K$4986,8,FALSE)&amp;VLOOKUP(D253,契約台帳!$A$3:$K$4986,9,FALSE)&amp;VLOOKUP(D253,契約台帳!$A$3:$K$4986,11,FALSE))</f>
        <v/>
      </c>
      <c r="G253" s="269" t="str">
        <f>IF(D253="","",VLOOKUP(F253,製品マスタ!$G$5:$H$5002,2,FALSE))</f>
        <v/>
      </c>
      <c r="H253" s="269" t="str">
        <f>IF(D253="","",VLOOKUP(F253,製品マスタ!$G$5:$K$5002,5,FALSE))</f>
        <v/>
      </c>
      <c r="I253" s="270" t="str">
        <f>IF(D253="","",VLOOKUP(F253,製品マスタ!$G$5:$L$5002,6,FALSE))</f>
        <v/>
      </c>
      <c r="J253" s="210" t="s">
        <v>448</v>
      </c>
      <c r="K253" s="270" t="str">
        <f>IF(D253="","",VLOOKUP(D253,契約台帳!$A$3:$L$4986,12,FALSE))</f>
        <v/>
      </c>
      <c r="L253" s="270" t="str">
        <f>IF(D253="","",INDEX(製品マスタ!$Q$5:$Q$5002,MATCH('S4'!F253&amp;'S4'!K253,製品マスタ!$AO$5:$AO$5002,0)))</f>
        <v/>
      </c>
      <c r="M253" s="39"/>
      <c r="N253" s="39"/>
      <c r="O253" s="156"/>
      <c r="P253" s="47"/>
      <c r="Q253" s="57"/>
      <c r="R253" s="271" t="str">
        <f ca="1">IF(D253="","",IF(OFFSET(D253,-1,0)&lt;&gt;"","",IF(OR(J253="リード付け",J253="巻足し",J253="巻返しリード付け"),M253,VLOOKUP(D253,契約台帳!$A$3:$N$4986,14,FALSE))))</f>
        <v/>
      </c>
      <c r="S253" s="272" t="str">
        <f ca="1">IF(D253="","",IF(OFFSET(D253,-1,0)&lt;&gt;"","",IF(OR(J253="リード付け",J253="巻足し",J253="巻返しリード付け"),M253,VLOOKUP(D253,契約台帳!$A$3:$O$4986,15,FALSE))))</f>
        <v/>
      </c>
      <c r="T253" s="273" t="str">
        <f ca="1">IF(D253="","",IF(J253="リード付け",N253,IF(J253="巻返しリード付け",N253,IF(J253="巻足し",N253*P253+OFFSET(N253,1,0)*OFFSET(P253,1,0),VLOOKUP(D253,契約台帳!$A$3:$P$4986,16,FALSE)))))</f>
        <v/>
      </c>
      <c r="U253" s="40"/>
      <c r="V253" s="274" t="str">
        <f ca="1">IF(D253="","",IF(OFFSET(D253,-2,0)=D253,"",VLOOKUP(D253,契約台帳!$A$3:$R$4986,18,FALSE)))</f>
        <v/>
      </c>
      <c r="W253" s="269" t="str">
        <f>IF(D253="","",IF(T253="","",IF(OR(J253="巻足し",J253="巻返しリード付け"),"",IF(J253="巻返し",VLOOKUP(F253&amp;K253&amp;M253,製品マスタ!$M$5:$AD$5002,18,FALSE),IF(OR(J253="リード付け",J253="巻返しリード付け"),"原反コア",IF(J253="スリット",VLOOKUP(F253&amp;K253&amp;R253,製品マスタ!$N$5:$AD$5002,17,FALSE),""))))))</f>
        <v/>
      </c>
      <c r="X253" s="269" t="str">
        <f>IF(D253="","",IF(T253="","",IF(J253="巻足し","",IF(J253="巻返し",VLOOKUP(F253&amp;K253&amp;M253,製品マスタ!$M$5:$AE$5002,19,FALSE),IF(OR(J253="リード付け",J253="巻返しリード付け"),"",IF(J253="スリット",VLOOKUP(F253&amp;K253&amp;R253,製品マスタ!$N$5:$AE$5002,18,FALSE),""))))))</f>
        <v/>
      </c>
      <c r="Y253" s="275" t="str">
        <f>IF(D253="","",IF(T253="","",VLOOKUP(D253,契約台帳!$A$3:$Q$4986,17,FALSE)))</f>
        <v/>
      </c>
      <c r="Z253" s="269" t="str">
        <f>IF(D253="","",IF(T253="","",VLOOKUP(D253,契約台帳!$A$3:$E$4986,5,FALSE)))</f>
        <v/>
      </c>
      <c r="AA253" s="57"/>
      <c r="AB253" s="207" t="str">
        <f>IFERROR((VLOOKUP(F253&amp;K253&amp;M253,製品マスタ!$M$5:$AM$5002,27,FALSE)),"")</f>
        <v/>
      </c>
      <c r="AC253" s="33"/>
      <c r="AD253" s="189"/>
      <c r="AE253" s="54"/>
      <c r="AF253" s="55"/>
      <c r="AG253" s="43"/>
      <c r="AH253" s="47"/>
      <c r="AI253" s="30"/>
      <c r="AJ253" s="30"/>
      <c r="AK253" s="30"/>
      <c r="AL253" s="30"/>
      <c r="AM253" s="13"/>
      <c r="AN253" s="13"/>
      <c r="AO253" s="13"/>
      <c r="AP253" s="13"/>
      <c r="AQ253" s="13"/>
      <c r="AR253" s="14"/>
      <c r="AS253" s="15"/>
    </row>
    <row r="254" spans="1:45" s="17" customFormat="1" ht="30.95" hidden="1" customHeight="1" x14ac:dyDescent="0.2">
      <c r="A254" s="37"/>
      <c r="B254" s="38"/>
      <c r="C254" s="45"/>
      <c r="D254" s="31"/>
      <c r="E254" s="31"/>
      <c r="F254" s="268" t="str">
        <f>IF(D254="","",VLOOKUP(D254,契約台帳!$A$3:$K$4986,6,FALSE)&amp;VLOOKUP(D254,契約台帳!$A$3:$K$4986,7,FALSE)&amp;VLOOKUP(D254,契約台帳!$A$3:$K$4986,8,FALSE)&amp;VLOOKUP(D254,契約台帳!$A$3:$K$4986,9,FALSE)&amp;VLOOKUP(D254,契約台帳!$A$3:$K$4986,11,FALSE))</f>
        <v/>
      </c>
      <c r="G254" s="269" t="str">
        <f>IF(D254="","",VLOOKUP(F254,製品マスタ!$G$5:$H$5002,2,FALSE))</f>
        <v/>
      </c>
      <c r="H254" s="269" t="str">
        <f>IF(D254="","",VLOOKUP(F254,製品マスタ!$G$5:$K$5002,5,FALSE))</f>
        <v/>
      </c>
      <c r="I254" s="270" t="str">
        <f>IF(D254="","",VLOOKUP(F254,製品マスタ!$G$5:$L$5002,6,FALSE))</f>
        <v/>
      </c>
      <c r="J254" s="210"/>
      <c r="K254" s="270" t="str">
        <f>IF(D254="","",VLOOKUP(D254,契約台帳!$A$3:$L$4986,12,FALSE))</f>
        <v/>
      </c>
      <c r="L254" s="270" t="str">
        <f>IF(D254="","",INDEX(製品マスタ!$Q$5:$Q$5002,MATCH('S4'!F254&amp;'S4'!K254,製品マスタ!$AO$5:$AO$5002,0)))</f>
        <v/>
      </c>
      <c r="M254" s="39"/>
      <c r="N254" s="39"/>
      <c r="O254" s="156"/>
      <c r="P254" s="47"/>
      <c r="Q254" s="57"/>
      <c r="R254" s="271" t="str">
        <f ca="1">IF(D254="","",IF(OFFSET(D254,-1,0)&lt;&gt;"","",IF(OR(J254="リード付け",J254="巻足し",J254="巻返しリード付け"),M254,VLOOKUP(D254,契約台帳!$A$3:$N$4986,14,FALSE))))</f>
        <v/>
      </c>
      <c r="S254" s="272" t="str">
        <f ca="1">IF(D254="","",IF(OFFSET(D254,-1,0)&lt;&gt;"","",IF(OR(J254="リード付け",J254="巻足し",J254="巻返しリード付け"),M254,VLOOKUP(D254,契約台帳!$A$3:$O$4986,15,FALSE))))</f>
        <v/>
      </c>
      <c r="T254" s="273" t="str">
        <f ca="1">IF(D254="","",IF(J254="リード付け",N254,IF(J254="巻返しリード付け",N254,IF(J254="巻足し",N254*P254+OFFSET(N254,1,0)*OFFSET(P254,1,0),VLOOKUP(D254,契約台帳!$A$3:$P$4986,16,FALSE)))))</f>
        <v/>
      </c>
      <c r="U254" s="40"/>
      <c r="V254" s="274" t="str">
        <f ca="1">IF(D254="","",IF(OFFSET(D254,-2,0)=D254,"",VLOOKUP(D254,契約台帳!$A$3:$R$4986,18,FALSE)))</f>
        <v/>
      </c>
      <c r="W254" s="269" t="str">
        <f>IF(D254="","",IF(T254="","",IF(OR(J254="巻足し",J254="巻返しリード付け"),"",IF(J254="巻返し",VLOOKUP(F254&amp;K254&amp;M254,製品マスタ!$M$5:$AD$5002,18,FALSE),IF(OR(J254="リード付け",J254="巻返しリード付け"),"原反コア",IF(J254="スリット",VLOOKUP(F254&amp;K254&amp;R254,製品マスタ!$N$5:$AD$5002,17,FALSE),""))))))</f>
        <v/>
      </c>
      <c r="X254" s="269" t="str">
        <f>IF(D254="","",IF(T254="","",IF(J254="巻足し","",IF(J254="巻返し",VLOOKUP(F254&amp;K254&amp;M254,製品マスタ!$M$5:$AE$5002,19,FALSE),IF(OR(J254="リード付け",J254="巻返しリード付け"),"",IF(J254="スリット",VLOOKUP(F254&amp;K254&amp;R254,製品マスタ!$N$5:$AE$5002,18,FALSE),""))))))</f>
        <v/>
      </c>
      <c r="Y254" s="275" t="str">
        <f>IF(D254="","",IF(T254="","",VLOOKUP(D254,契約台帳!$A$3:$Q$4986,17,FALSE)))</f>
        <v/>
      </c>
      <c r="Z254" s="269" t="str">
        <f>IF(D254="","",IF(T254="","",VLOOKUP(D254,契約台帳!$A$3:$E$4986,5,FALSE)))</f>
        <v/>
      </c>
      <c r="AA254" s="57"/>
      <c r="AB254" s="207" t="str">
        <f>IFERROR((VLOOKUP(F254&amp;K254&amp;M254,製品マスタ!$M$5:$AM$5002,27,FALSE)),"")</f>
        <v/>
      </c>
      <c r="AC254" s="33"/>
      <c r="AD254" s="189"/>
      <c r="AE254" s="54"/>
      <c r="AF254" s="55"/>
      <c r="AG254" s="43"/>
      <c r="AH254" s="47"/>
      <c r="AI254" s="30"/>
      <c r="AJ254" s="30"/>
      <c r="AK254" s="30"/>
      <c r="AL254" s="30"/>
      <c r="AM254" s="13"/>
      <c r="AN254" s="13"/>
      <c r="AO254" s="13"/>
      <c r="AP254" s="13"/>
      <c r="AQ254" s="13"/>
      <c r="AR254" s="14"/>
      <c r="AS254" s="15"/>
    </row>
    <row r="255" spans="1:45" s="17" customFormat="1" ht="30.95" hidden="1" customHeight="1" x14ac:dyDescent="0.2">
      <c r="A255" s="37" t="s">
        <v>886</v>
      </c>
      <c r="B255" s="38" t="s">
        <v>446</v>
      </c>
      <c r="C255" s="45"/>
      <c r="D255" s="31"/>
      <c r="E255" s="31"/>
      <c r="F255" s="268" t="str">
        <f>IF(D255="","",VLOOKUP(D255,契約台帳!$A$3:$K$4986,6,FALSE)&amp;VLOOKUP(D255,契約台帳!$A$3:$K$4986,7,FALSE)&amp;VLOOKUP(D255,契約台帳!$A$3:$K$4986,8,FALSE)&amp;VLOOKUP(D255,契約台帳!$A$3:$K$4986,9,FALSE)&amp;VLOOKUP(D255,契約台帳!$A$3:$K$4986,11,FALSE))</f>
        <v/>
      </c>
      <c r="G255" s="269" t="str">
        <f>IF(D255="","",VLOOKUP(F255,製品マスタ!$G$5:$H$5002,2,FALSE))</f>
        <v/>
      </c>
      <c r="H255" s="269" t="str">
        <f>IF(D255="","",VLOOKUP(F255,製品マスタ!$G$5:$K$5002,5,FALSE))</f>
        <v/>
      </c>
      <c r="I255" s="270" t="str">
        <f>IF(D255="","",VLOOKUP(F255,製品マスタ!$G$5:$L$5002,6,FALSE))</f>
        <v/>
      </c>
      <c r="J255" s="210" t="s">
        <v>448</v>
      </c>
      <c r="K255" s="270" t="str">
        <f>IF(D255="","",VLOOKUP(D255,契約台帳!$A$3:$L$4986,12,FALSE))</f>
        <v/>
      </c>
      <c r="L255" s="270" t="str">
        <f>IF(D255="","",INDEX(製品マスタ!$Q$5:$Q$5002,MATCH('S4'!F255&amp;'S4'!K255,製品マスタ!$AO$5:$AO$5002,0)))</f>
        <v/>
      </c>
      <c r="M255" s="39"/>
      <c r="N255" s="39"/>
      <c r="O255" s="156"/>
      <c r="P255" s="47"/>
      <c r="Q255" s="57"/>
      <c r="R255" s="271" t="str">
        <f ca="1">IF(D255="","",IF(OFFSET(D255,-1,0)&lt;&gt;"","",IF(OR(J255="リード付け",J255="巻足し",J255="巻返しリード付け"),M255,VLOOKUP(D255,契約台帳!$A$3:$N$4986,14,FALSE))))</f>
        <v/>
      </c>
      <c r="S255" s="272" t="str">
        <f ca="1">IF(D255="","",IF(OFFSET(D255,-1,0)&lt;&gt;"","",IF(OR(J255="リード付け",J255="巻足し",J255="巻返しリード付け"),M255,VLOOKUP(D255,契約台帳!$A$3:$O$4986,15,FALSE))))</f>
        <v/>
      </c>
      <c r="T255" s="273" t="str">
        <f ca="1">IF(D255="","",IF(J255="リード付け",N255,IF(J255="巻返しリード付け",N255,IF(J255="巻足し",N255*P255+OFFSET(N255,1,0)*OFFSET(P255,1,0),VLOOKUP(D255,契約台帳!$A$3:$P$4986,16,FALSE)))))</f>
        <v/>
      </c>
      <c r="U255" s="40"/>
      <c r="V255" s="274" t="str">
        <f ca="1">IF(D255="","",IF(OFFSET(D255,-2,0)=D255,"",VLOOKUP(D255,契約台帳!$A$3:$R$4986,18,FALSE)))</f>
        <v/>
      </c>
      <c r="W255" s="269" t="str">
        <f>IF(D255="","",IF(T255="","",IF(OR(J255="巻足し",J255="巻返しリード付け"),"",IF(J255="巻返し",VLOOKUP(F255&amp;K255&amp;M255,製品マスタ!$M$5:$AD$5002,18,FALSE),IF(OR(J255="リード付け",J255="巻返しリード付け"),"原反コア",IF(J255="スリット",VLOOKUP(F255&amp;K255&amp;R255,製品マスタ!$N$5:$AD$5002,17,FALSE),""))))))</f>
        <v/>
      </c>
      <c r="X255" s="269" t="str">
        <f>IF(D255="","",IF(T255="","",IF(J255="巻足し","",IF(J255="巻返し",VLOOKUP(F255&amp;K255&amp;M255,製品マスタ!$M$5:$AE$5002,19,FALSE),IF(OR(J255="リード付け",J255="巻返しリード付け"),"",IF(J255="スリット",VLOOKUP(F255&amp;K255&amp;R255,製品マスタ!$N$5:$AE$5002,18,FALSE),""))))))</f>
        <v/>
      </c>
      <c r="Y255" s="275" t="str">
        <f>IF(D255="","",IF(T255="","",VLOOKUP(D255,契約台帳!$A$3:$Q$4986,17,FALSE)))</f>
        <v/>
      </c>
      <c r="Z255" s="269" t="str">
        <f>IF(D255="","",IF(T255="","",VLOOKUP(D255,契約台帳!$A$3:$E$4986,5,FALSE)))</f>
        <v/>
      </c>
      <c r="AA255" s="57"/>
      <c r="AB255" s="207" t="str">
        <f>IFERROR((VLOOKUP(F255&amp;K255&amp;M255,製品マスタ!$M$5:$AM$5002,27,FALSE)),"")</f>
        <v/>
      </c>
      <c r="AC255" s="33"/>
      <c r="AD255" s="189"/>
      <c r="AE255" s="54"/>
      <c r="AF255" s="55"/>
      <c r="AG255" s="43"/>
      <c r="AH255" s="47"/>
      <c r="AI255" s="30"/>
      <c r="AJ255" s="30"/>
      <c r="AK255" s="30"/>
      <c r="AL255" s="30"/>
      <c r="AM255" s="13"/>
      <c r="AN255" s="13"/>
      <c r="AO255" s="13"/>
      <c r="AP255" s="13"/>
      <c r="AQ255" s="13"/>
      <c r="AR255" s="14"/>
      <c r="AS255" s="15"/>
    </row>
    <row r="256" spans="1:45" s="17" customFormat="1" ht="30.95" hidden="1" customHeight="1" x14ac:dyDescent="0.2">
      <c r="A256" s="37"/>
      <c r="B256" s="38"/>
      <c r="C256" s="45"/>
      <c r="D256" s="31"/>
      <c r="E256" s="31"/>
      <c r="F256" s="268"/>
      <c r="G256" s="269"/>
      <c r="H256" s="269"/>
      <c r="I256" s="270"/>
      <c r="J256" s="210"/>
      <c r="K256" s="270"/>
      <c r="L256" s="270"/>
      <c r="M256" s="39"/>
      <c r="N256" s="39"/>
      <c r="O256" s="156"/>
      <c r="P256" s="47"/>
      <c r="Q256" s="57"/>
      <c r="R256" s="271"/>
      <c r="S256" s="272"/>
      <c r="T256" s="273"/>
      <c r="U256" s="40"/>
      <c r="V256" s="274"/>
      <c r="W256" s="269"/>
      <c r="X256" s="269"/>
      <c r="Y256" s="275"/>
      <c r="Z256" s="269"/>
      <c r="AA256" s="57"/>
      <c r="AB256" s="207"/>
      <c r="AC256" s="33"/>
      <c r="AD256" s="189"/>
      <c r="AE256" s="54"/>
      <c r="AF256" s="55"/>
      <c r="AG256" s="43"/>
      <c r="AH256" s="47"/>
      <c r="AI256" s="30"/>
      <c r="AJ256" s="30"/>
      <c r="AK256" s="30"/>
      <c r="AL256" s="30"/>
      <c r="AM256" s="13"/>
      <c r="AN256" s="13"/>
      <c r="AO256" s="13"/>
      <c r="AP256" s="13"/>
      <c r="AQ256" s="13"/>
      <c r="AR256" s="14"/>
      <c r="AS256" s="15"/>
    </row>
    <row r="257" spans="1:45" s="17" customFormat="1" ht="30.95" hidden="1" customHeight="1" x14ac:dyDescent="0.2">
      <c r="A257" s="37" t="s">
        <v>901</v>
      </c>
      <c r="B257" s="38" t="s">
        <v>462</v>
      </c>
      <c r="C257" s="45"/>
      <c r="D257" s="31">
        <v>3697680</v>
      </c>
      <c r="E257" s="31">
        <v>4140885</v>
      </c>
      <c r="F257" s="268" t="str">
        <f>IF(D257="","",VLOOKUP(D257,契約台帳!$A$3:$K$4986,6,FALSE)&amp;VLOOKUP(D257,契約台帳!$A$3:$K$4986,7,FALSE)&amp;VLOOKUP(D257,契約台帳!$A$3:$K$4986,8,FALSE)&amp;VLOOKUP(D257,契約台帳!$A$3:$K$4986,9,FALSE)&amp;VLOOKUP(D257,契約台帳!$A$3:$K$4986,11,FALSE))</f>
        <v>3SNMCLBHLGTV</v>
      </c>
      <c r="G257" s="269" t="str">
        <f>IF(D257="","",VLOOKUP(F257,製品マスタ!$G$5:$H$5002,2,FALSE))</f>
        <v>S</v>
      </c>
      <c r="H257" s="269" t="str">
        <f>IF(D257="","",VLOOKUP(F257,製品マスタ!$G$5:$K$5002,5,FALSE))</f>
        <v>HLGTV</v>
      </c>
      <c r="I257" s="270" t="str">
        <f>IF(D257="","",VLOOKUP(F257,製品マスタ!$G$5:$L$5002,6,FALSE))</f>
        <v>メタルミー　ヘヤライン　銀艶Ｖ</v>
      </c>
      <c r="J257" s="210" t="s">
        <v>907</v>
      </c>
      <c r="K257" s="270">
        <f>IF(D257="","",VLOOKUP(D257,契約台帳!$A$3:$L$4986,12,FALSE))</f>
        <v>50</v>
      </c>
      <c r="L257" s="270" t="str">
        <f>IF(D257="","",INDEX(製品マスタ!$Q$5:$Q$5002,MATCH('S4'!F257&amp;'S4'!K257,製品マスタ!$AO$5:$AO$5002,0)))</f>
        <v>BRIGHT</v>
      </c>
      <c r="M257" s="39">
        <v>1125</v>
      </c>
      <c r="N257" s="39">
        <v>12300</v>
      </c>
      <c r="O257" s="156">
        <v>2</v>
      </c>
      <c r="P257" s="47">
        <v>2</v>
      </c>
      <c r="Q257" s="57">
        <v>44974</v>
      </c>
      <c r="R257" s="271">
        <f ca="1">IF(D257="","",IF(OFFSET(D257,-1,0)&lt;&gt;"","",IF(OR(J257="リード付け",J257="巻足し",J257="巻返しリード付け"),M257,VLOOKUP(D257,契約台帳!$A$3:$N$4986,14,FALSE))))</f>
        <v>1125</v>
      </c>
      <c r="S257" s="272">
        <f ca="1">IF(D257="","",IF(OFFSET(D257,-1,0)&lt;&gt;"","",IF(OR(J257="リード付け",J257="巻足し",J257="巻返しリード付け"),M257,VLOOKUP(D257,契約台帳!$A$3:$O$4986,15,FALSE))))</f>
        <v>1120</v>
      </c>
      <c r="T257" s="273">
        <f ca="1">IF(D257="","",IF(J257="リード付け",N257,IF(J257="巻返しリード付け",N257,IF(J257="巻足し",N257*P257+OFFSET(N257,1,0)*OFFSET(P257,1,0),VLOOKUP(D257,契約台帳!$A$3:$P$4986,16,FALSE)))))</f>
        <v>4000</v>
      </c>
      <c r="U257" s="40">
        <v>6</v>
      </c>
      <c r="V257" s="274">
        <f ca="1">IF(D257="","",IF(OFFSET(D257,-2,0)=D257,"",VLOOKUP(D257,契約台帳!$A$3:$R$4986,18,FALSE)))</f>
        <v>10</v>
      </c>
      <c r="W257" s="269" t="str">
        <f ca="1">IF(D257="","",IF(T257="","",IF(OR(J257="巻足し",J257="巻返しリード付け"),"",IF(J257="巻返し",VLOOKUP(F257&amp;K257&amp;M257,製品マスタ!$M$5:$AD$5002,18,FALSE),IF(OR(J257="リード付け",J257="巻返しリード付け"),"原反コア",IF(J257="スリット",VLOOKUP(F257&amp;K257&amp;R257,製品マスタ!$N$5:$AD$5002,17,FALSE),""))))))</f>
        <v>6ｲﾝﾁSｺｱ</v>
      </c>
      <c r="X257" s="269">
        <f ca="1">IF(D257="","",IF(T257="","",IF(J257="巻足し","",IF(J257="巻返し",VLOOKUP(F257&amp;K257&amp;M257,製品マスタ!$M$5:$AE$5002,19,FALSE),IF(OR(J257="リード付け",J257="巻返しリード付け"),"",IF(J257="スリット",VLOOKUP(F257&amp;K257&amp;R257,製品マスタ!$N$5:$AE$5002,18,FALSE),""))))))</f>
        <v>1140</v>
      </c>
      <c r="Y257" s="275">
        <f ca="1">IF(D257="","",IF(T257="","",VLOOKUP(D257,契約台帳!$A$3:$Q$4986,17,FALSE)))</f>
        <v>2</v>
      </c>
      <c r="Z257" s="269" t="str">
        <f ca="1">IF(D257="","",IF(T257="","",VLOOKUP(D257,契約台帳!$A$3:$E$4986,5,FALSE)))</f>
        <v>リンテック㈱</v>
      </c>
      <c r="AA257" s="57"/>
      <c r="AB257" s="207">
        <f>IFERROR((VLOOKUP(F257&amp;K257&amp;M257,製品マスタ!$M$5:$AM$5002,27,FALSE)),"")</f>
        <v>0</v>
      </c>
      <c r="AC257" s="33"/>
      <c r="AD257" s="189"/>
      <c r="AE257" s="54"/>
      <c r="AF257" s="55"/>
      <c r="AG257" s="43"/>
      <c r="AH257" s="47"/>
      <c r="AI257" s="30"/>
      <c r="AJ257" s="30"/>
      <c r="AK257" s="30"/>
      <c r="AL257" s="30"/>
      <c r="AM257" s="13"/>
      <c r="AN257" s="13"/>
      <c r="AO257" s="13"/>
      <c r="AP257" s="13"/>
      <c r="AQ257" s="13"/>
      <c r="AR257" s="14"/>
      <c r="AS257" s="15"/>
    </row>
    <row r="258" spans="1:45" s="17" customFormat="1" ht="30.95" hidden="1" customHeight="1" x14ac:dyDescent="0.2">
      <c r="A258" s="37"/>
      <c r="B258" s="38"/>
      <c r="C258" s="45"/>
      <c r="D258" s="31"/>
      <c r="E258" s="31"/>
      <c r="F258" s="268" t="str">
        <f>IF(D258="","",VLOOKUP(D258,契約台帳!$A$3:$K$4986,6,FALSE)&amp;VLOOKUP(D258,契約台帳!$A$3:$K$4986,7,FALSE)&amp;VLOOKUP(D258,契約台帳!$A$3:$K$4986,8,FALSE)&amp;VLOOKUP(D258,契約台帳!$A$3:$K$4986,9,FALSE)&amp;VLOOKUP(D258,契約台帳!$A$3:$K$4986,11,FALSE))</f>
        <v/>
      </c>
      <c r="G258" s="269" t="str">
        <f>IF(D258="","",VLOOKUP(F258,製品マスタ!$G$5:$H$5002,2,FALSE))</f>
        <v/>
      </c>
      <c r="H258" s="269" t="str">
        <f>IF(D258="","",VLOOKUP(F258,製品マスタ!$G$5:$K$5002,5,FALSE))</f>
        <v/>
      </c>
      <c r="I258" s="270" t="str">
        <f>IF(D258="","",VLOOKUP(F258,製品マスタ!$G$5:$L$5002,6,FALSE))</f>
        <v/>
      </c>
      <c r="J258" s="210"/>
      <c r="K258" s="270" t="str">
        <f>IF(D258="","",VLOOKUP(D258,契約台帳!$A$3:$L$4986,12,FALSE))</f>
        <v/>
      </c>
      <c r="L258" s="270" t="str">
        <f>IF(D258="","",INDEX(製品マスタ!$Q$5:$Q$5002,MATCH('S4'!F258&amp;'S4'!K258,製品マスタ!$AO$5:$AO$5002,0)))</f>
        <v/>
      </c>
      <c r="M258" s="39"/>
      <c r="N258" s="39"/>
      <c r="O258" s="156"/>
      <c r="P258" s="47"/>
      <c r="Q258" s="57"/>
      <c r="R258" s="271" t="str">
        <f ca="1">IF(D258="","",IF(OFFSET(D258,-1,0)&lt;&gt;"","",IF(OR(J258="リード付け",J258="巻足し",J258="巻返しリード付け"),M258,VLOOKUP(D258,契約台帳!$A$3:$N$4986,14,FALSE))))</f>
        <v/>
      </c>
      <c r="S258" s="272" t="str">
        <f ca="1">IF(D258="","",IF(OFFSET(D258,-1,0)&lt;&gt;"","",IF(OR(J258="リード付け",J258="巻足し",J258="巻返しリード付け"),M258,VLOOKUP(D258,契約台帳!$A$3:$O$4986,15,FALSE))))</f>
        <v/>
      </c>
      <c r="T258" s="273" t="str">
        <f ca="1">IF(D258="","",IF(J258="リード付け",N258,IF(J258="巻返しリード付け",N258,IF(J258="巻足し",N258*P258+OFFSET(N258,1,0)*OFFSET(P258,1,0),VLOOKUP(D258,契約台帳!$A$3:$P$4986,16,FALSE)))))</f>
        <v/>
      </c>
      <c r="U258" s="40"/>
      <c r="V258" s="274" t="str">
        <f ca="1">IF(D258="","",IF(OFFSET(D258,-2,0)=D258,"",VLOOKUP(D258,契約台帳!$A$3:$R$4986,18,FALSE)))</f>
        <v/>
      </c>
      <c r="W258" s="269" t="str">
        <f>IF(D258="","",IF(T258="","",IF(OR(J258="巻足し",J258="巻返しリード付け"),"",IF(J258="巻返し",VLOOKUP(F258&amp;K258&amp;M258,製品マスタ!$M$5:$AD$5002,18,FALSE),IF(OR(J258="リード付け",J258="巻返しリード付け"),"原反コア",IF(J258="スリット",VLOOKUP(F258&amp;K258&amp;R258,製品マスタ!$N$5:$AD$5002,17,FALSE),""))))))</f>
        <v/>
      </c>
      <c r="X258" s="269" t="str">
        <f>IF(D258="","",IF(T258="","",IF(J258="巻足し","",IF(J258="巻返し",VLOOKUP(F258&amp;K258&amp;M258,製品マスタ!$M$5:$AE$5002,19,FALSE),IF(OR(J258="リード付け",J258="巻返しリード付け"),"",IF(J258="スリット",VLOOKUP(F258&amp;K258&amp;R258,製品マスタ!$N$5:$AE$5002,18,FALSE),""))))))</f>
        <v/>
      </c>
      <c r="Y258" s="275" t="str">
        <f>IF(D258="","",IF(T258="","",VLOOKUP(D258,契約台帳!$A$3:$Q$4986,17,FALSE)))</f>
        <v/>
      </c>
      <c r="Z258" s="269" t="str">
        <f>IF(D258="","",IF(T258="","",VLOOKUP(D258,契約台帳!$A$3:$E$4986,5,FALSE)))</f>
        <v/>
      </c>
      <c r="AA258" s="57"/>
      <c r="AB258" s="207" t="str">
        <f>IFERROR((VLOOKUP(F258&amp;K258&amp;M258,製品マスタ!$M$5:$AM$5002,27,FALSE)),"")</f>
        <v/>
      </c>
      <c r="AC258" s="33"/>
      <c r="AD258" s="189"/>
      <c r="AE258" s="54"/>
      <c r="AF258" s="55"/>
      <c r="AG258" s="43"/>
      <c r="AH258" s="47"/>
      <c r="AI258" s="30"/>
      <c r="AJ258" s="30"/>
      <c r="AK258" s="30"/>
      <c r="AL258" s="30"/>
      <c r="AM258" s="13"/>
      <c r="AN258" s="13"/>
      <c r="AO258" s="13"/>
      <c r="AP258" s="13"/>
      <c r="AQ258" s="13"/>
      <c r="AR258" s="14"/>
      <c r="AS258" s="15"/>
    </row>
    <row r="259" spans="1:45" s="17" customFormat="1" ht="30.95" hidden="1" customHeight="1" x14ac:dyDescent="0.2">
      <c r="A259" s="37"/>
      <c r="B259" s="38"/>
      <c r="C259" s="45"/>
      <c r="D259" s="31">
        <v>3697680</v>
      </c>
      <c r="E259" s="31">
        <v>4140885</v>
      </c>
      <c r="F259" s="268" t="str">
        <f>IF(D259="","",VLOOKUP(D259,契約台帳!$A$3:$K$4986,6,FALSE)&amp;VLOOKUP(D259,契約台帳!$A$3:$K$4986,7,FALSE)&amp;VLOOKUP(D259,契約台帳!$A$3:$K$4986,8,FALSE)&amp;VLOOKUP(D259,契約台帳!$A$3:$K$4986,9,FALSE)&amp;VLOOKUP(D259,契約台帳!$A$3:$K$4986,11,FALSE))</f>
        <v>3SNMCLBHLGTV</v>
      </c>
      <c r="G259" s="269" t="str">
        <f>IF(D259="","",VLOOKUP(F259,製品マスタ!$G$5:$H$5002,2,FALSE))</f>
        <v>S</v>
      </c>
      <c r="H259" s="269" t="str">
        <f>IF(D259="","",VLOOKUP(F259,製品マスタ!$G$5:$K$5002,5,FALSE))</f>
        <v>HLGTV</v>
      </c>
      <c r="I259" s="270" t="str">
        <f>IF(D259="","",VLOOKUP(F259,製品マスタ!$G$5:$L$5002,6,FALSE))</f>
        <v>メタルミー　ヘヤライン　銀艶Ｖ</v>
      </c>
      <c r="J259" s="210" t="s">
        <v>907</v>
      </c>
      <c r="K259" s="270">
        <f>IF(D259="","",VLOOKUP(D259,契約台帳!$A$3:$L$4986,12,FALSE))</f>
        <v>50</v>
      </c>
      <c r="L259" s="270" t="str">
        <f>IF(D259="","",INDEX(製品マスタ!$Q$5:$Q$5002,MATCH('S4'!F259&amp;'S4'!K259,製品マスタ!$AO$5:$AO$5002,0)))</f>
        <v>BRIGHT</v>
      </c>
      <c r="M259" s="39">
        <v>1125</v>
      </c>
      <c r="N259" s="39">
        <v>8200</v>
      </c>
      <c r="O259" s="156">
        <v>2</v>
      </c>
      <c r="P259" s="47">
        <v>2</v>
      </c>
      <c r="Q259" s="57">
        <v>44974</v>
      </c>
      <c r="R259" s="271">
        <f ca="1">IF(D259="","",IF(OFFSET(D259,-1,0)&lt;&gt;"","",IF(OR(J259="リード付け",J259="巻足し",J259="巻返しリード付け"),M259,VLOOKUP(D259,契約台帳!$A$3:$N$4986,14,FALSE))))</f>
        <v>1125</v>
      </c>
      <c r="S259" s="272">
        <f ca="1">IF(D259="","",IF(OFFSET(D259,-1,0)&lt;&gt;"","",IF(OR(J259="リード付け",J259="巻足し",J259="巻返しリード付け"),M259,VLOOKUP(D259,契約台帳!$A$3:$O$4986,15,FALSE))))</f>
        <v>1120</v>
      </c>
      <c r="T259" s="273">
        <f ca="1">IF(D259="","",IF(J259="リード付け",N259,IF(J259="巻返しリード付け",N259,IF(J259="巻足し",N259*P259+OFFSET(N259,1,0)*OFFSET(P259,1,0),VLOOKUP(D259,契約台帳!$A$3:$P$4986,16,FALSE)))))</f>
        <v>4000</v>
      </c>
      <c r="U259" s="40">
        <v>4</v>
      </c>
      <c r="V259" s="274" t="str">
        <f ca="1">IF(D259="","",IF(OFFSET(D259,-2,0)=D259,"",VLOOKUP(D259,契約台帳!$A$3:$R$4986,18,FALSE)))</f>
        <v/>
      </c>
      <c r="W259" s="269" t="str">
        <f ca="1">IF(D259="","",IF(T259="","",IF(OR(J259="巻足し",J259="巻返しリード付け"),"",IF(J259="巻返し",VLOOKUP(F259&amp;K259&amp;M259,製品マスタ!$M$5:$AD$5002,18,FALSE),IF(OR(J259="リード付け",J259="巻返しリード付け"),"原反コア",IF(J259="スリット",VLOOKUP(F259&amp;K259&amp;R259,製品マスタ!$N$5:$AD$5002,17,FALSE),""))))))</f>
        <v>6ｲﾝﾁSｺｱ</v>
      </c>
      <c r="X259" s="269">
        <f ca="1">IF(D259="","",IF(T259="","",IF(J259="巻足し","",IF(J259="巻返し",VLOOKUP(F259&amp;K259&amp;M259,製品マスタ!$M$5:$AE$5002,19,FALSE),IF(OR(J259="リード付け",J259="巻返しリード付け"),"",IF(J259="スリット",VLOOKUP(F259&amp;K259&amp;R259,製品マスタ!$N$5:$AE$5002,18,FALSE),""))))))</f>
        <v>1140</v>
      </c>
      <c r="Y259" s="275">
        <f ca="1">IF(D259="","",IF(T259="","",VLOOKUP(D259,契約台帳!$A$3:$Q$4986,17,FALSE)))</f>
        <v>2</v>
      </c>
      <c r="Z259" s="269" t="str">
        <f ca="1">IF(D259="","",IF(T259="","",VLOOKUP(D259,契約台帳!$A$3:$E$4986,5,FALSE)))</f>
        <v>リンテック㈱</v>
      </c>
      <c r="AA259" s="57"/>
      <c r="AB259" s="207">
        <f>IFERROR((VLOOKUP(F259&amp;K259&amp;M259,製品マスタ!$M$5:$AM$5002,27,FALSE)),"")</f>
        <v>0</v>
      </c>
      <c r="AC259" s="33"/>
      <c r="AD259" s="189"/>
      <c r="AE259" s="54"/>
      <c r="AF259" s="55"/>
      <c r="AG259" s="43"/>
      <c r="AH259" s="47"/>
      <c r="AI259" s="30"/>
      <c r="AJ259" s="30"/>
      <c r="AK259" s="30"/>
      <c r="AL259" s="30"/>
      <c r="AM259" s="13"/>
      <c r="AN259" s="13"/>
      <c r="AO259" s="13"/>
      <c r="AP259" s="13"/>
      <c r="AQ259" s="13"/>
      <c r="AR259" s="14"/>
      <c r="AS259" s="15"/>
    </row>
    <row r="260" spans="1:45" s="17" customFormat="1" ht="30.95" hidden="1" customHeight="1" x14ac:dyDescent="0.2">
      <c r="A260" s="37"/>
      <c r="B260" s="38"/>
      <c r="C260" s="45"/>
      <c r="D260" s="31"/>
      <c r="E260" s="31"/>
      <c r="F260" s="268" t="str">
        <f>IF(D260="","",VLOOKUP(D260,契約台帳!$A$3:$K$4986,6,FALSE)&amp;VLOOKUP(D260,契約台帳!$A$3:$K$4986,7,FALSE)&amp;VLOOKUP(D260,契約台帳!$A$3:$K$4986,8,FALSE)&amp;VLOOKUP(D260,契約台帳!$A$3:$K$4986,9,FALSE)&amp;VLOOKUP(D260,契約台帳!$A$3:$K$4986,11,FALSE))</f>
        <v/>
      </c>
      <c r="G260" s="269" t="str">
        <f>IF(D260="","",VLOOKUP(F260,製品マスタ!$G$5:$H$5002,2,FALSE))</f>
        <v/>
      </c>
      <c r="H260" s="269" t="str">
        <f>IF(D260="","",VLOOKUP(F260,製品マスタ!$G$5:$K$5002,5,FALSE))</f>
        <v/>
      </c>
      <c r="I260" s="270" t="str">
        <f>IF(D260="","",VLOOKUP(F260,製品マスタ!$G$5:$L$5002,6,FALSE))</f>
        <v/>
      </c>
      <c r="J260" s="210"/>
      <c r="K260" s="270" t="str">
        <f>IF(D260="","",VLOOKUP(D260,契約台帳!$A$3:$L$4986,12,FALSE))</f>
        <v/>
      </c>
      <c r="L260" s="270" t="str">
        <f>IF(D260="","",INDEX(製品マスタ!$Q$5:$Q$5002,MATCH('S4'!F260&amp;'S4'!K260,製品マスタ!$AO$5:$AO$5002,0)))</f>
        <v/>
      </c>
      <c r="M260" s="39"/>
      <c r="N260" s="39"/>
      <c r="O260" s="156"/>
      <c r="P260" s="47"/>
      <c r="Q260" s="57"/>
      <c r="R260" s="271" t="str">
        <f ca="1">IF(D260="","",IF(OFFSET(D260,-1,0)&lt;&gt;"","",IF(OR(J260="リード付け",J260="巻足し",J260="巻返しリード付け"),M260,VLOOKUP(D260,契約台帳!$A$3:$N$4986,14,FALSE))))</f>
        <v/>
      </c>
      <c r="S260" s="272" t="str">
        <f ca="1">IF(D260="","",IF(OFFSET(D260,-1,0)&lt;&gt;"","",IF(OR(J260="リード付け",J260="巻足し",J260="巻返しリード付け"),M260,VLOOKUP(D260,契約台帳!$A$3:$O$4986,15,FALSE))))</f>
        <v/>
      </c>
      <c r="T260" s="273" t="str">
        <f ca="1">IF(D260="","",IF(J260="リード付け",N260,IF(J260="巻返しリード付け",N260,IF(J260="巻足し",N260*P260+OFFSET(N260,1,0)*OFFSET(P260,1,0),VLOOKUP(D260,契約台帳!$A$3:$P$4986,16,FALSE)))))</f>
        <v/>
      </c>
      <c r="U260" s="40"/>
      <c r="V260" s="274" t="str">
        <f ca="1">IF(D260="","",IF(OFFSET(D260,-2,0)=D260,"",VLOOKUP(D260,契約台帳!$A$3:$R$4986,18,FALSE)))</f>
        <v/>
      </c>
      <c r="W260" s="269" t="str">
        <f>IF(D260="","",IF(T260="","",IF(OR(J260="巻足し",J260="巻返しリード付け"),"",IF(J260="巻返し",VLOOKUP(F260&amp;K260&amp;M260,製品マスタ!$M$5:$AD$5002,18,FALSE),IF(OR(J260="リード付け",J260="巻返しリード付け"),"原反コア",IF(J260="スリット",VLOOKUP(F260&amp;K260&amp;R260,製品マスタ!$N$5:$AD$5002,17,FALSE),""))))))</f>
        <v/>
      </c>
      <c r="X260" s="269" t="str">
        <f>IF(D260="","",IF(T260="","",IF(J260="巻足し","",IF(J260="巻返し",VLOOKUP(F260&amp;K260&amp;M260,製品マスタ!$M$5:$AE$5002,19,FALSE),IF(OR(J260="リード付け",J260="巻返しリード付け"),"",IF(J260="スリット",VLOOKUP(F260&amp;K260&amp;R260,製品マスタ!$N$5:$AE$5002,18,FALSE),""))))))</f>
        <v/>
      </c>
      <c r="Y260" s="275" t="str">
        <f>IF(D260="","",IF(T260="","",VLOOKUP(D260,契約台帳!$A$3:$Q$4986,17,FALSE)))</f>
        <v/>
      </c>
      <c r="Z260" s="269" t="str">
        <f>IF(D260="","",IF(T260="","",VLOOKUP(D260,契約台帳!$A$3:$E$4986,5,FALSE)))</f>
        <v/>
      </c>
      <c r="AA260" s="57"/>
      <c r="AB260" s="207" t="str">
        <f>IFERROR((VLOOKUP(F260&amp;K260&amp;M260,製品マスタ!$M$5:$AM$5002,27,FALSE)),"")</f>
        <v/>
      </c>
      <c r="AC260" s="33"/>
      <c r="AD260" s="189"/>
      <c r="AE260" s="54"/>
      <c r="AF260" s="55"/>
      <c r="AG260" s="43"/>
      <c r="AH260" s="47"/>
      <c r="AI260" s="30"/>
      <c r="AJ260" s="30"/>
      <c r="AK260" s="30"/>
      <c r="AL260" s="30"/>
      <c r="AM260" s="13"/>
      <c r="AN260" s="13"/>
      <c r="AO260" s="13"/>
      <c r="AP260" s="13"/>
      <c r="AQ260" s="13"/>
      <c r="AR260" s="14"/>
      <c r="AS260" s="15"/>
    </row>
    <row r="261" spans="1:45" s="17" customFormat="1" ht="30.95" hidden="1" customHeight="1" x14ac:dyDescent="0.2">
      <c r="A261" s="37" t="s">
        <v>915</v>
      </c>
      <c r="B261" s="38" t="s">
        <v>916</v>
      </c>
      <c r="C261" s="45"/>
      <c r="D261" s="31">
        <v>3697670</v>
      </c>
      <c r="E261" s="31">
        <v>4151285</v>
      </c>
      <c r="F261" s="268" t="str">
        <f>IF(D261="","",VLOOKUP(D261,契約台帳!$A$3:$K$4986,6,FALSE)&amp;VLOOKUP(D261,契約台帳!$A$3:$K$4986,7,FALSE)&amp;VLOOKUP(D261,契約台帳!$A$3:$K$4986,8,FALSE)&amp;VLOOKUP(D261,契約台帳!$A$3:$K$4986,9,FALSE)&amp;VLOOKUP(D261,契約台帳!$A$3:$K$4986,11,FALSE))</f>
        <v>3SNMLBMNNGKBF</v>
      </c>
      <c r="G261" s="269" t="str">
        <f>IF(D261="","",VLOOKUP(F261,製品マスタ!$G$5:$H$5002,2,FALSE))</f>
        <v>S</v>
      </c>
      <c r="H261" s="269" t="str">
        <f>IF(D261="","",VLOOKUP(F261,製品マスタ!$G$5:$K$5002,5,FALSE))</f>
        <v>MNNGKBF</v>
      </c>
      <c r="I261" s="270" t="str">
        <f>IF(D261="","",VLOOKUP(F261,製品マスタ!$G$5:$L$5002,6,FALSE))</f>
        <v>メタルミー　ニューネーマー銀消　Ｂ</v>
      </c>
      <c r="J261" s="210" t="s">
        <v>447</v>
      </c>
      <c r="K261" s="270">
        <f>IF(D261="","",VLOOKUP(D261,契約台帳!$A$3:$L$4986,12,FALSE))</f>
        <v>50</v>
      </c>
      <c r="L261" s="270" t="str">
        <f>IF(D261="","",INDEX(製品マスタ!$Q$5:$Q$5002,MATCH('S4'!F261&amp;'S4'!K261,製品マスタ!$AO$5:$AO$5002,0)))</f>
        <v>X44</v>
      </c>
      <c r="M261" s="39">
        <v>1000</v>
      </c>
      <c r="N261" s="39">
        <v>12000</v>
      </c>
      <c r="O261" s="156">
        <v>5</v>
      </c>
      <c r="P261" s="47">
        <v>5</v>
      </c>
      <c r="Q261" s="57">
        <v>44975</v>
      </c>
      <c r="R261" s="271">
        <f ca="1">IF(D261="","",IF(OFFSET(D261,-1,0)&lt;&gt;"","",IF(OR(J261="リード付け",J261="巻足し",J261="巻返しリード付け"),M261,VLOOKUP(D261,契約台帳!$A$3:$N$4986,14,FALSE))))</f>
        <v>1000</v>
      </c>
      <c r="S261" s="272">
        <f ca="1">IF(D261="","",IF(OFFSET(D261,-1,0)&lt;&gt;"","",IF(OR(J261="リード付け",J261="巻足し",J261="巻返しリード付け"),M261,VLOOKUP(D261,契約台帳!$A$3:$O$4986,15,FALSE))))</f>
        <v>1000</v>
      </c>
      <c r="T261" s="273">
        <f ca="1">IF(D261="","",IF(J261="リード付け",N261,IF(J261="巻返しリード付け",N261,IF(J261="巻足し",N261*P261+OFFSET(N261,1,0)*OFFSET(P261,1,0),VLOOKUP(D261,契約台帳!$A$3:$P$4986,16,FALSE)))))</f>
        <v>4000</v>
      </c>
      <c r="U261" s="40">
        <v>15</v>
      </c>
      <c r="V261" s="274">
        <f ca="1">IF(D261="","",IF(OFFSET(D261,-2,0)=D261,"",VLOOKUP(D261,契約台帳!$A$3:$R$4986,18,FALSE)))</f>
        <v>15</v>
      </c>
      <c r="W261" s="269" t="str">
        <f ca="1">IF(D261="","",IF(T261="","",IF(OR(J261="巻足し",J261="巻返しリード付け"),"",IF(J261="巻返し",VLOOKUP(F261&amp;K261&amp;M261,製品マスタ!$M$5:$AD$5002,18,FALSE),IF(OR(J261="リード付け",J261="巻返しリード付け"),"原反コア",IF(J261="スリット",VLOOKUP(F261&amp;K261&amp;R261,製品マスタ!$N$5:$AD$5002,17,FALSE),""))))))</f>
        <v>6ｲﾝﾁSｺｱ</v>
      </c>
      <c r="X261" s="269">
        <f ca="1">IF(D261="","",IF(T261="","",IF(J261="巻足し","",IF(J261="巻返し",VLOOKUP(F261&amp;K261&amp;M261,製品マスタ!$M$5:$AE$5002,19,FALSE),IF(OR(J261="リード付け",J261="巻返しリード付け"),"",IF(J261="スリット",VLOOKUP(F261&amp;K261&amp;R261,製品マスタ!$N$5:$AE$5002,18,FALSE),""))))))</f>
        <v>1005</v>
      </c>
      <c r="Y261" s="275">
        <f ca="1">IF(D261="","",IF(T261="","",VLOOKUP(D261,契約台帳!$A$3:$Q$4986,17,FALSE)))</f>
        <v>2</v>
      </c>
      <c r="Z261" s="269" t="str">
        <f ca="1">IF(D261="","",IF(T261="","",VLOOKUP(D261,契約台帳!$A$3:$E$4986,5,FALSE)))</f>
        <v>リンテック㈱</v>
      </c>
      <c r="AA261" s="57"/>
      <c r="AB261" s="207" t="str">
        <f>IFERROR((VLOOKUP(F261&amp;K261&amp;M261,製品マスタ!$M$5:$AM$5002,27,FALSE)),"")</f>
        <v>原反ケース再利用</v>
      </c>
      <c r="AC261" s="33"/>
      <c r="AD261" s="189"/>
      <c r="AE261" s="54" t="str">
        <f>IF(F261="","",+F261&amp;K261)</f>
        <v>3SNMLBMNNGKBF50</v>
      </c>
      <c r="AF261" s="55">
        <f>+M261*N261*O261/1000</f>
        <v>60000</v>
      </c>
      <c r="AG261" s="43">
        <f>IF(AE261="","",VLOOKUP(AE261,原価マスタ!$A$2:$AJ$1693,13,FALSE))</f>
        <v>99</v>
      </c>
      <c r="AH261" s="47">
        <f>IF(AG261="","",+AF261*AG261/100)</f>
        <v>59400</v>
      </c>
      <c r="AI261" s="30"/>
      <c r="AJ261" s="30"/>
      <c r="AK261" s="30"/>
      <c r="AL261" s="30"/>
      <c r="AM261" s="13"/>
      <c r="AN261" s="13"/>
      <c r="AO261" s="13"/>
      <c r="AP261" s="13"/>
      <c r="AQ261" s="13"/>
      <c r="AR261" s="14"/>
      <c r="AS261" s="15"/>
    </row>
    <row r="262" spans="1:45" s="17" customFormat="1" ht="30.95" hidden="1" customHeight="1" x14ac:dyDescent="0.2">
      <c r="A262" s="37"/>
      <c r="B262" s="38"/>
      <c r="C262" s="45"/>
      <c r="D262" s="31"/>
      <c r="E262" s="31"/>
      <c r="F262" s="268" t="str">
        <f>IF(D262="","",VLOOKUP(D262,契約台帳!$A$3:$K$4986,6,FALSE)&amp;VLOOKUP(D262,契約台帳!$A$3:$K$4986,7,FALSE)&amp;VLOOKUP(D262,契約台帳!$A$3:$K$4986,8,FALSE)&amp;VLOOKUP(D262,契約台帳!$A$3:$K$4986,9,FALSE)&amp;VLOOKUP(D262,契約台帳!$A$3:$K$4986,11,FALSE))</f>
        <v/>
      </c>
      <c r="G262" s="269" t="str">
        <f>IF(D262="","",VLOOKUP(F262,製品マスタ!$G$5:$H$5002,2,FALSE))</f>
        <v/>
      </c>
      <c r="H262" s="269" t="str">
        <f>IF(D262="","",VLOOKUP(F262,製品マスタ!$G$5:$K$5002,5,FALSE))</f>
        <v/>
      </c>
      <c r="I262" s="304" t="s">
        <v>931</v>
      </c>
      <c r="J262" s="210"/>
      <c r="K262" s="270" t="str">
        <f>IF(D262="","",VLOOKUP(D262,契約台帳!$A$3:$L$4986,12,FALSE))</f>
        <v/>
      </c>
      <c r="L262" s="270" t="str">
        <f>IF(D262="","",INDEX(製品マスタ!$Q$5:$Q$5002,MATCH('S4'!F262&amp;'S4'!K262,製品マスタ!$AO$5:$AO$5002,0)))</f>
        <v/>
      </c>
      <c r="M262" s="39"/>
      <c r="N262" s="39"/>
      <c r="O262" s="156"/>
      <c r="P262" s="47"/>
      <c r="Q262" s="57"/>
      <c r="R262" s="271" t="str">
        <f ca="1">IF(D262="","",IF(OFFSET(D262,-1,0)&lt;&gt;"","",IF(OR(J262="リード付け",J262="巻足し",J262="巻返しリード付け"),M262,VLOOKUP(D262,契約台帳!$A$3:$N$4986,14,FALSE))))</f>
        <v/>
      </c>
      <c r="S262" s="272" t="str">
        <f ca="1">IF(D262="","",IF(OFFSET(D262,-1,0)&lt;&gt;"","",IF(OR(J262="リード付け",J262="巻足し",J262="巻返しリード付け"),M262,VLOOKUP(D262,契約台帳!$A$3:$O$4986,15,FALSE))))</f>
        <v/>
      </c>
      <c r="T262" s="273" t="str">
        <f ca="1">IF(D262="","",IF(J262="リード付け",N262,IF(J262="巻返しリード付け",N262,IF(J262="巻足し",N262*P262+OFFSET(N262,1,0)*OFFSET(P262,1,0),VLOOKUP(D262,契約台帳!$A$3:$P$4986,16,FALSE)))))</f>
        <v/>
      </c>
      <c r="U262" s="40"/>
      <c r="V262" s="274" t="str">
        <f ca="1">IF(D262="","",IF(OFFSET(D262,-2,0)=D262,"",VLOOKUP(D262,契約台帳!$A$3:$R$4986,18,FALSE)))</f>
        <v/>
      </c>
      <c r="W262" s="269" t="str">
        <f>IF(D262="","",IF(T262="","",IF(OR(J262="巻足し",J262="巻返しリード付け"),"",IF(J262="巻返し",VLOOKUP(F262&amp;K262&amp;M262,製品マスタ!$M$5:$AD$5002,18,FALSE),IF(OR(J262="リード付け",J262="巻返しリード付け"),"原反コア",IF(J262="スリット",VLOOKUP(F262&amp;K262&amp;R262,製品マスタ!$N$5:$AD$5002,17,FALSE),""))))))</f>
        <v/>
      </c>
      <c r="X262" s="269" t="str">
        <f>IF(D262="","",IF(T262="","",IF(J262="巻足し","",IF(J262="巻返し",VLOOKUP(F262&amp;K262&amp;M262,製品マスタ!$M$5:$AE$5002,19,FALSE),IF(OR(J262="リード付け",J262="巻返しリード付け"),"",IF(J262="スリット",VLOOKUP(F262&amp;K262&amp;R262,製品マスタ!$N$5:$AE$5002,18,FALSE),""))))))</f>
        <v/>
      </c>
      <c r="Y262" s="275" t="str">
        <f>IF(D262="","",IF(T262="","",VLOOKUP(D262,契約台帳!$A$3:$Q$4986,17,FALSE)))</f>
        <v/>
      </c>
      <c r="Z262" s="269" t="str">
        <f>IF(D262="","",IF(T262="","",VLOOKUP(D262,契約台帳!$A$3:$E$4986,5,FALSE)))</f>
        <v/>
      </c>
      <c r="AA262" s="57"/>
      <c r="AB262" s="207" t="str">
        <f>IFERROR((VLOOKUP(F262&amp;K262&amp;M262,製品マスタ!$M$5:$AM$5002,27,FALSE)),"")</f>
        <v/>
      </c>
      <c r="AC262" s="33"/>
      <c r="AD262" s="189"/>
      <c r="AE262" s="54"/>
      <c r="AF262" s="55"/>
      <c r="AG262" s="43"/>
      <c r="AH262" s="47"/>
      <c r="AI262" s="30"/>
      <c r="AJ262" s="30"/>
      <c r="AK262" s="30"/>
      <c r="AL262" s="30"/>
      <c r="AM262" s="13"/>
      <c r="AN262" s="13"/>
      <c r="AO262" s="13"/>
      <c r="AP262" s="13"/>
      <c r="AQ262" s="13"/>
      <c r="AR262" s="14"/>
      <c r="AS262" s="15"/>
    </row>
    <row r="263" spans="1:45" s="17" customFormat="1" ht="30.95" hidden="1" customHeight="1" x14ac:dyDescent="0.2">
      <c r="A263" s="37" t="s">
        <v>902</v>
      </c>
      <c r="B263" s="38" t="s">
        <v>442</v>
      </c>
      <c r="C263" s="45"/>
      <c r="D263" s="31"/>
      <c r="E263" s="31"/>
      <c r="F263" s="268"/>
      <c r="G263" s="269"/>
      <c r="H263" s="269"/>
      <c r="I263" s="304"/>
      <c r="J263" s="210" t="s">
        <v>665</v>
      </c>
      <c r="K263" s="270"/>
      <c r="L263" s="270"/>
      <c r="M263" s="39"/>
      <c r="N263" s="39"/>
      <c r="O263" s="156"/>
      <c r="P263" s="47"/>
      <c r="Q263" s="57"/>
      <c r="R263" s="271"/>
      <c r="S263" s="272"/>
      <c r="T263" s="273"/>
      <c r="U263" s="40"/>
      <c r="V263" s="274"/>
      <c r="W263" s="269"/>
      <c r="X263" s="269"/>
      <c r="Y263" s="275"/>
      <c r="Z263" s="269"/>
      <c r="AA263" s="57"/>
      <c r="AB263" s="207"/>
      <c r="AC263" s="33"/>
      <c r="AD263" s="189"/>
      <c r="AE263" s="54"/>
      <c r="AF263" s="55"/>
      <c r="AG263" s="43"/>
      <c r="AH263" s="47"/>
      <c r="AI263" s="30"/>
      <c r="AJ263" s="30"/>
      <c r="AK263" s="30"/>
      <c r="AL263" s="30"/>
      <c r="AM263" s="13"/>
      <c r="AN263" s="13"/>
      <c r="AO263" s="13"/>
      <c r="AP263" s="13"/>
      <c r="AQ263" s="13"/>
      <c r="AR263" s="14"/>
      <c r="AS263" s="15"/>
    </row>
    <row r="264" spans="1:45" s="17" customFormat="1" ht="30.95" hidden="1" customHeight="1" x14ac:dyDescent="0.2">
      <c r="A264" s="37"/>
      <c r="B264" s="38"/>
      <c r="C264" s="45"/>
      <c r="D264" s="31"/>
      <c r="E264" s="31"/>
      <c r="F264" s="268"/>
      <c r="G264" s="269"/>
      <c r="H264" s="269"/>
      <c r="I264" s="304"/>
      <c r="J264" s="210"/>
      <c r="K264" s="270"/>
      <c r="L264" s="270"/>
      <c r="M264" s="39"/>
      <c r="N264" s="39"/>
      <c r="O264" s="156"/>
      <c r="P264" s="47"/>
      <c r="Q264" s="57"/>
      <c r="R264" s="271"/>
      <c r="S264" s="272"/>
      <c r="T264" s="273"/>
      <c r="U264" s="40"/>
      <c r="V264" s="274"/>
      <c r="W264" s="269"/>
      <c r="X264" s="269"/>
      <c r="Y264" s="275"/>
      <c r="Z264" s="269"/>
      <c r="AA264" s="57"/>
      <c r="AB264" s="207"/>
      <c r="AC264" s="33"/>
      <c r="AD264" s="189"/>
      <c r="AE264" s="54"/>
      <c r="AF264" s="55"/>
      <c r="AG264" s="43"/>
      <c r="AH264" s="47"/>
      <c r="AI264" s="30"/>
      <c r="AJ264" s="30"/>
      <c r="AK264" s="30"/>
      <c r="AL264" s="30"/>
      <c r="AM264" s="13"/>
      <c r="AN264" s="13"/>
      <c r="AO264" s="13"/>
      <c r="AP264" s="13"/>
      <c r="AQ264" s="13"/>
      <c r="AR264" s="14"/>
      <c r="AS264" s="15"/>
    </row>
    <row r="265" spans="1:45" s="17" customFormat="1" ht="30.95" hidden="1" customHeight="1" x14ac:dyDescent="0.2">
      <c r="A265" s="37"/>
      <c r="B265" s="38"/>
      <c r="C265" s="45"/>
      <c r="D265" s="31">
        <v>3698028</v>
      </c>
      <c r="E265" s="31">
        <v>4161826</v>
      </c>
      <c r="F265" s="268" t="str">
        <f>IF(D265="","",VLOOKUP(D265,契約台帳!$A$3:$K$4986,6,FALSE)&amp;VLOOKUP(D265,契約台帳!$A$3:$K$4986,7,FALSE)&amp;VLOOKUP(D265,契約台帳!$A$3:$K$4986,8,FALSE)&amp;VLOOKUP(D265,契約台帳!$A$3:$K$4986,9,FALSE)&amp;VLOOKUP(D265,契約台帳!$A$3:$K$4986,11,FALSE))</f>
        <v>3SNMCLBMSNEYK</v>
      </c>
      <c r="G265" s="269" t="str">
        <f>IF(D265="","",VLOOKUP(F265,製品マスタ!$G$5:$H$5002,2,FALSE))</f>
        <v>S</v>
      </c>
      <c r="H265" s="269" t="str">
        <f>IF(D265="","",VLOOKUP(F265,製品マスタ!$G$5:$K$5002,5,FALSE))</f>
        <v>MSNEYK</v>
      </c>
      <c r="I265" s="270" t="str">
        <f>IF(D265="","",VLOOKUP(F265,製品マスタ!$G$5:$L$5002,6,FALSE))</f>
        <v>ＭＳＮ　ＥＹＫ</v>
      </c>
      <c r="J265" s="210" t="s">
        <v>469</v>
      </c>
      <c r="K265" s="270">
        <f>IF(D265="","",VLOOKUP(D265,契約台帳!$A$3:$L$4986,12,FALSE))</f>
        <v>50</v>
      </c>
      <c r="L265" s="270" t="str">
        <f>IF(D265="","",INDEX(製品マスタ!$Q$5:$Q$5002,MATCH('S4'!F265&amp;'S4'!K265,製品マスタ!$AO$5:$AO$5002,0)))</f>
        <v>N-MAT</v>
      </c>
      <c r="M265" s="39">
        <v>1120</v>
      </c>
      <c r="N265" s="39">
        <v>4000</v>
      </c>
      <c r="O265" s="156">
        <v>6</v>
      </c>
      <c r="P265" s="47">
        <v>3</v>
      </c>
      <c r="Q265" s="213">
        <v>44967</v>
      </c>
      <c r="R265" s="271">
        <f ca="1">IF(D265="","",IF(OFFSET(D265,-1,0)&lt;&gt;"","",IF(OR(J265="リード付け",J265="巻足し",J265="巻返しリード付け"),M265,VLOOKUP(D265,契約台帳!$A$3:$N$4986,14,FALSE))))</f>
        <v>1120</v>
      </c>
      <c r="S265" s="272">
        <f ca="1">IF(D265="","",IF(OFFSET(D265,-1,0)&lt;&gt;"","",IF(OR(J265="リード付け",J265="巻足し",J265="巻返しリード付け"),M265,VLOOKUP(D265,契約台帳!$A$3:$O$4986,15,FALSE))))</f>
        <v>1120</v>
      </c>
      <c r="T265" s="273">
        <f ca="1">IF(D265="","",IF(J265="リード付け",N265,IF(J265="巻返しリード付け",N265,IF(J265="巻足し",N265*P265+OFFSET(N265,1,0)*OFFSET(P265,1,0),VLOOKUP(D265,契約台帳!$A$3:$P$4986,16,FALSE)))))</f>
        <v>12000</v>
      </c>
      <c r="U265" s="40">
        <v>2</v>
      </c>
      <c r="V265" s="274">
        <f ca="1">IF(D265="","",IF(OFFSET(D265,-2,0)=D265,"",VLOOKUP(D265,契約台帳!$A$3:$R$4986,18,FALSE)))</f>
        <v>8</v>
      </c>
      <c r="W265" s="269" t="str">
        <f ca="1">IF(D265="","",IF(T265="","",IF(OR(J265="巻足し",J265="巻返しリード付け"),"",IF(J265="巻返し",VLOOKUP(F265&amp;K265&amp;M265,製品マスタ!$M$5:$AD$5002,18,FALSE),IF(OR(J265="リード付け",J265="巻返しリード付け"),"原反コア",IF(J265="スリット",VLOOKUP(F265&amp;K265&amp;R265,製品マスタ!$N$5:$AD$5002,17,FALSE),""))))))</f>
        <v/>
      </c>
      <c r="X265" s="269" t="str">
        <f ca="1">IF(D265="","",IF(T265="","",IF(J265="巻足し","",IF(J265="巻返し",VLOOKUP(F265&amp;K265&amp;M265,製品マスタ!$M$5:$AE$5002,19,FALSE),IF(OR(J265="リード付け",J265="巻返しリード付け"),"",IF(J265="スリット",VLOOKUP(F265&amp;K265&amp;R265,製品マスタ!$N$5:$AE$5002,18,FALSE),""))))))</f>
        <v/>
      </c>
      <c r="Y265" s="275">
        <f ca="1">IF(D265="","",IF(T265="","",VLOOKUP(D265,契約台帳!$A$3:$Q$4986,17,FALSE)))</f>
        <v>2</v>
      </c>
      <c r="Z265" s="269" t="str">
        <f ca="1">IF(D265="","",IF(T265="","",VLOOKUP(D265,契約台帳!$A$3:$E$4986,5,FALSE)))</f>
        <v>新タック化成㈱</v>
      </c>
      <c r="AA265" s="57"/>
      <c r="AB265" s="207" t="str">
        <f>IFERROR((VLOOKUP(F265&amp;K265&amp;M265,製品マスタ!$M$5:$AM$5002,27,FALSE)),"")</f>
        <v>原反ケース再利用</v>
      </c>
      <c r="AC265" s="33"/>
      <c r="AD265" s="189"/>
      <c r="AE265" s="54"/>
      <c r="AF265" s="55"/>
      <c r="AG265" s="43"/>
      <c r="AH265" s="47"/>
      <c r="AI265" s="30"/>
      <c r="AJ265" s="30"/>
      <c r="AK265" s="30"/>
      <c r="AL265" s="30"/>
      <c r="AM265" s="13"/>
      <c r="AN265" s="13"/>
      <c r="AO265" s="13"/>
      <c r="AP265" s="13"/>
      <c r="AQ265" s="13"/>
      <c r="AR265" s="14"/>
      <c r="AS265" s="15"/>
    </row>
    <row r="266" spans="1:45" s="17" customFormat="1" ht="30.95" hidden="1" customHeight="1" x14ac:dyDescent="0.2">
      <c r="A266" s="37"/>
      <c r="B266" s="38"/>
      <c r="C266" s="45"/>
      <c r="D266" s="31"/>
      <c r="E266" s="31"/>
      <c r="F266" s="268" t="str">
        <f>IF(D266="","",VLOOKUP(D266,契約台帳!$A$3:$K$4986,6,FALSE)&amp;VLOOKUP(D266,契約台帳!$A$3:$K$4986,7,FALSE)&amp;VLOOKUP(D266,契約台帳!$A$3:$K$4986,8,FALSE)&amp;VLOOKUP(D266,契約台帳!$A$3:$K$4986,9,FALSE)&amp;VLOOKUP(D266,契約台帳!$A$3:$K$4986,11,FALSE))</f>
        <v/>
      </c>
      <c r="G266" s="269" t="str">
        <f>IF(D266="","",VLOOKUP(F266,製品マスタ!$G$5:$H$5002,2,FALSE))</f>
        <v/>
      </c>
      <c r="H266" s="269" t="str">
        <f>IF(D266="","",VLOOKUP(F266,製品マスタ!$G$5:$K$5002,5,FALSE))</f>
        <v/>
      </c>
      <c r="I266" s="270" t="str">
        <f>IF(D266="","",VLOOKUP(F266,製品マスタ!$G$5:$L$5002,6,FALSE))</f>
        <v/>
      </c>
      <c r="J266" s="210"/>
      <c r="K266" s="270" t="str">
        <f>IF(D266="","",VLOOKUP(D266,契約台帳!$A$3:$L$4986,12,FALSE))</f>
        <v/>
      </c>
      <c r="L266" s="270" t="str">
        <f>IF(D266="","",INDEX(製品マスタ!$Q$5:$Q$5002,MATCH('S4'!F266&amp;'S4'!K266,製品マスタ!$AO$5:$AO$5002,0)))</f>
        <v/>
      </c>
      <c r="M266" s="39"/>
      <c r="N266" s="39"/>
      <c r="O266" s="156"/>
      <c r="P266" s="47"/>
      <c r="Q266" s="57"/>
      <c r="R266" s="271" t="str">
        <f ca="1">IF(D266="","",IF(OFFSET(D266,-1,0)&lt;&gt;"","",IF(OR(J266="リード付け",J266="巻足し",J266="巻返しリード付け"),M266,VLOOKUP(D266,契約台帳!$A$3:$N$4986,14,FALSE))))</f>
        <v/>
      </c>
      <c r="S266" s="272" t="str">
        <f ca="1">IF(D266="","",IF(OFFSET(D266,-1,0)&lt;&gt;"","",IF(OR(J266="リード付け",J266="巻足し",J266="巻返しリード付け"),M266,VLOOKUP(D266,契約台帳!$A$3:$O$4986,15,FALSE))))</f>
        <v/>
      </c>
      <c r="T266" s="273" t="str">
        <f ca="1">IF(D266="","",IF(J266="リード付け",N266,IF(J266="巻返しリード付け",N266,IF(J266="巻足し",N266*P266+OFFSET(N266,1,0)*OFFSET(P266,1,0),VLOOKUP(D266,契約台帳!$A$3:$P$4986,16,FALSE)))))</f>
        <v/>
      </c>
      <c r="U266" s="40"/>
      <c r="V266" s="274" t="str">
        <f ca="1">IF(D266="","",IF(OFFSET(D266,-2,0)=D266,"",VLOOKUP(D266,契約台帳!$A$3:$R$4986,18,FALSE)))</f>
        <v/>
      </c>
      <c r="W266" s="269" t="str">
        <f>IF(D266="","",IF(T266="","",IF(OR(J266="巻足し",J266="巻返しリード付け"),"",IF(J266="巻返し",VLOOKUP(F266&amp;K266&amp;M266,製品マスタ!$M$5:$AD$5002,18,FALSE),IF(OR(J266="リード付け",J266="巻返しリード付け"),"原反コア",IF(J266="スリット",VLOOKUP(F266&amp;K266&amp;R266,製品マスタ!$N$5:$AD$5002,17,FALSE),""))))))</f>
        <v/>
      </c>
      <c r="X266" s="269" t="str">
        <f>IF(D266="","",IF(T266="","",IF(J266="巻足し","",IF(J266="巻返し",VLOOKUP(F266&amp;K266&amp;M266,製品マスタ!$M$5:$AE$5002,19,FALSE),IF(OR(J266="リード付け",J266="巻返しリード付け"),"",IF(J266="スリット",VLOOKUP(F266&amp;K266&amp;R266,製品マスタ!$N$5:$AE$5002,18,FALSE),""))))))</f>
        <v/>
      </c>
      <c r="Y266" s="275" t="str">
        <f>IF(D266="","",IF(T266="","",VLOOKUP(D266,契約台帳!$A$3:$Q$4986,17,FALSE)))</f>
        <v/>
      </c>
      <c r="Z266" s="269" t="str">
        <f>IF(D266="","",IF(T266="","",VLOOKUP(D266,契約台帳!$A$3:$E$4986,5,FALSE)))</f>
        <v/>
      </c>
      <c r="AA266" s="57"/>
      <c r="AB266" s="207" t="str">
        <f>IFERROR((VLOOKUP(F266&amp;K266&amp;M266,製品マスタ!$M$5:$AM$5002,27,FALSE)),"")</f>
        <v/>
      </c>
      <c r="AC266" s="33"/>
      <c r="AD266" s="189"/>
      <c r="AE266" s="54"/>
      <c r="AF266" s="55"/>
      <c r="AG266" s="43"/>
      <c r="AH266" s="47"/>
      <c r="AI266" s="30"/>
      <c r="AJ266" s="30"/>
      <c r="AK266" s="30"/>
      <c r="AL266" s="30"/>
      <c r="AM266" s="13"/>
      <c r="AN266" s="13"/>
      <c r="AO266" s="13"/>
      <c r="AP266" s="13"/>
      <c r="AQ266" s="13"/>
      <c r="AR266" s="14"/>
      <c r="AS266" s="15"/>
    </row>
    <row r="267" spans="1:45" s="17" customFormat="1" ht="30.95" hidden="1" customHeight="1" x14ac:dyDescent="0.2">
      <c r="A267" s="37"/>
      <c r="B267" s="38"/>
      <c r="C267" s="45"/>
      <c r="D267" s="31">
        <v>3698028</v>
      </c>
      <c r="E267" s="31">
        <v>4161826</v>
      </c>
      <c r="F267" s="268" t="str">
        <f>IF(D267="","",VLOOKUP(D267,契約台帳!$A$3:$K$4986,6,FALSE)&amp;VLOOKUP(D267,契約台帳!$A$3:$K$4986,7,FALSE)&amp;VLOOKUP(D267,契約台帳!$A$3:$K$4986,8,FALSE)&amp;VLOOKUP(D267,契約台帳!$A$3:$K$4986,9,FALSE)&amp;VLOOKUP(D267,契約台帳!$A$3:$K$4986,11,FALSE))</f>
        <v>3SNMCLBMSNEYK</v>
      </c>
      <c r="G267" s="269" t="str">
        <f>IF(D267="","",VLOOKUP(F267,製品マスタ!$G$5:$H$5002,2,FALSE))</f>
        <v>S</v>
      </c>
      <c r="H267" s="269" t="str">
        <f>IF(D267="","",VLOOKUP(F267,製品マスタ!$G$5:$K$5002,5,FALSE))</f>
        <v>MSNEYK</v>
      </c>
      <c r="I267" s="270" t="str">
        <f>IF(D267="","",VLOOKUP(F267,製品マスタ!$G$5:$L$5002,6,FALSE))</f>
        <v>ＭＳＮ　ＥＹＫ</v>
      </c>
      <c r="J267" s="210" t="s">
        <v>469</v>
      </c>
      <c r="K267" s="270">
        <f>IF(D267="","",VLOOKUP(D267,契約台帳!$A$3:$L$4986,12,FALSE))</f>
        <v>50</v>
      </c>
      <c r="L267" s="270" t="str">
        <f>IF(D267="","",INDEX(製品マスタ!$Q$5:$Q$5002,MATCH('S4'!F267&amp;'S4'!K267,製品マスタ!$AO$5:$AO$5002,0)))</f>
        <v>N-MAT</v>
      </c>
      <c r="M267" s="39">
        <v>1120</v>
      </c>
      <c r="N267" s="39">
        <v>4000</v>
      </c>
      <c r="O267" s="156">
        <v>2</v>
      </c>
      <c r="P267" s="47">
        <v>2</v>
      </c>
      <c r="Q267" s="213">
        <v>44967</v>
      </c>
      <c r="R267" s="271">
        <f ca="1">IF(D267="","",IF(OFFSET(D267,-1,0)&lt;&gt;"","",IF(OR(J267="リード付け",J267="巻足し",J267="巻返しリード付け"),M267,VLOOKUP(D267,契約台帳!$A$3:$N$4986,14,FALSE))))</f>
        <v>1120</v>
      </c>
      <c r="S267" s="272">
        <f ca="1">IF(D267="","",IF(OFFSET(D267,-1,0)&lt;&gt;"","",IF(OR(J267="リード付け",J267="巻足し",J267="巻返しリード付け"),M267,VLOOKUP(D267,契約台帳!$A$3:$O$4986,15,FALSE))))</f>
        <v>1120</v>
      </c>
      <c r="T267" s="273">
        <f ca="1">IF(D267="","",IF(J267="リード付け",N267,IF(J267="巻返しリード付け",N267,IF(J267="巻足し",N267*P267+OFFSET(N267,1,0)*OFFSET(P267,1,0),VLOOKUP(D267,契約台帳!$A$3:$P$4986,16,FALSE)))))</f>
        <v>8000</v>
      </c>
      <c r="U267" s="40">
        <v>1</v>
      </c>
      <c r="V267" s="274" t="str">
        <f ca="1">IF(D267="","",IF(OFFSET(D267,-2,0)=D267,"",VLOOKUP(D267,契約台帳!$A$3:$R$4986,18,FALSE)))</f>
        <v/>
      </c>
      <c r="W267" s="269" t="str">
        <f ca="1">IF(D267="","",IF(T267="","",IF(OR(J267="巻足し",J267="巻返しリード付け"),"",IF(J267="巻返し",VLOOKUP(F267&amp;K267&amp;M267,製品マスタ!$M$5:$AD$5002,18,FALSE),IF(OR(J267="リード付け",J267="巻返しリード付け"),"原反コア",IF(J267="スリット",VLOOKUP(F267&amp;K267&amp;R267,製品マスタ!$N$5:$AD$5002,17,FALSE),""))))))</f>
        <v/>
      </c>
      <c r="X267" s="269" t="str">
        <f ca="1">IF(D267="","",IF(T267="","",IF(J267="巻足し","",IF(J267="巻返し",VLOOKUP(F267&amp;K267&amp;M267,製品マスタ!$M$5:$AE$5002,19,FALSE),IF(OR(J267="リード付け",J267="巻返しリード付け"),"",IF(J267="スリット",VLOOKUP(F267&amp;K267&amp;R267,製品マスタ!$N$5:$AE$5002,18,FALSE),""))))))</f>
        <v/>
      </c>
      <c r="Y267" s="275">
        <f ca="1">IF(D267="","",IF(T267="","",VLOOKUP(D267,契約台帳!$A$3:$Q$4986,17,FALSE)))</f>
        <v>2</v>
      </c>
      <c r="Z267" s="269" t="str">
        <f ca="1">IF(D267="","",IF(T267="","",VLOOKUP(D267,契約台帳!$A$3:$E$4986,5,FALSE)))</f>
        <v>新タック化成㈱</v>
      </c>
      <c r="AA267" s="57"/>
      <c r="AB267" s="207" t="str">
        <f>IFERROR((VLOOKUP(F267&amp;K267&amp;M267,製品マスタ!$M$5:$AM$5002,27,FALSE)),"")</f>
        <v>原反ケース再利用</v>
      </c>
      <c r="AC267" s="33"/>
      <c r="AD267" s="189"/>
      <c r="AE267" s="54"/>
      <c r="AF267" s="55"/>
      <c r="AG267" s="43"/>
      <c r="AH267" s="47"/>
      <c r="AI267" s="30"/>
      <c r="AJ267" s="30"/>
      <c r="AK267" s="30"/>
      <c r="AL267" s="30"/>
      <c r="AM267" s="13"/>
      <c r="AN267" s="13"/>
      <c r="AO267" s="13"/>
      <c r="AP267" s="13"/>
      <c r="AQ267" s="13"/>
      <c r="AR267" s="14"/>
      <c r="AS267" s="15"/>
    </row>
    <row r="268" spans="1:45" s="17" customFormat="1" ht="30.95" hidden="1" customHeight="1" x14ac:dyDescent="0.2">
      <c r="A268" s="37"/>
      <c r="B268" s="38"/>
      <c r="C268" s="45"/>
      <c r="D268" s="31"/>
      <c r="E268" s="31"/>
      <c r="F268" s="268"/>
      <c r="G268" s="269"/>
      <c r="H268" s="269"/>
      <c r="I268" s="270"/>
      <c r="J268" s="210"/>
      <c r="K268" s="270"/>
      <c r="L268" s="270"/>
      <c r="M268" s="39"/>
      <c r="N268" s="39"/>
      <c r="O268" s="156"/>
      <c r="P268" s="47"/>
      <c r="Q268" s="57"/>
      <c r="R268" s="271"/>
      <c r="S268" s="272"/>
      <c r="T268" s="273"/>
      <c r="U268" s="40"/>
      <c r="V268" s="274"/>
      <c r="W268" s="269"/>
      <c r="X268" s="269"/>
      <c r="Y268" s="275"/>
      <c r="Z268" s="269"/>
      <c r="AA268" s="57"/>
      <c r="AB268" s="207"/>
      <c r="AC268" s="33"/>
      <c r="AD268" s="189"/>
      <c r="AE268" s="54"/>
      <c r="AF268" s="55"/>
      <c r="AG268" s="43"/>
      <c r="AH268" s="47"/>
      <c r="AI268" s="30"/>
      <c r="AJ268" s="30"/>
      <c r="AK268" s="30"/>
      <c r="AL268" s="30"/>
      <c r="AM268" s="13"/>
      <c r="AN268" s="13"/>
      <c r="AO268" s="13"/>
      <c r="AP268" s="13"/>
      <c r="AQ268" s="13"/>
      <c r="AR268" s="14"/>
      <c r="AS268" s="15"/>
    </row>
    <row r="269" spans="1:45" s="17" customFormat="1" ht="30.95" hidden="1" customHeight="1" x14ac:dyDescent="0.2">
      <c r="A269" s="37" t="s">
        <v>917</v>
      </c>
      <c r="B269" s="38" t="s">
        <v>911</v>
      </c>
      <c r="C269" s="45"/>
      <c r="D269" s="31"/>
      <c r="E269" s="31"/>
      <c r="F269" s="268" t="str">
        <f>IF(D269="","",VLOOKUP(D269,契約台帳!$A$3:$K$4986,6,FALSE)&amp;VLOOKUP(D269,契約台帳!$A$3:$K$4986,7,FALSE)&amp;VLOOKUP(D269,契約台帳!$A$3:$K$4986,8,FALSE)&amp;VLOOKUP(D269,契約台帳!$A$3:$K$4986,9,FALSE)&amp;VLOOKUP(D269,契約台帳!$A$3:$K$4986,11,FALSE))</f>
        <v/>
      </c>
      <c r="G269" s="269" t="str">
        <f>IF(D269="","",VLOOKUP(F269,製品マスタ!$G$5:$H$5002,2,FALSE))</f>
        <v/>
      </c>
      <c r="H269" s="269" t="str">
        <f>IF(D269="","",VLOOKUP(F269,製品マスタ!$G$5:$K$5002,5,FALSE))</f>
        <v/>
      </c>
      <c r="I269" s="270" t="str">
        <f>IF(D269="","",VLOOKUP(F269,製品マスタ!$G$5:$L$5002,6,FALSE))</f>
        <v/>
      </c>
      <c r="J269" s="210" t="s">
        <v>448</v>
      </c>
      <c r="K269" s="270" t="str">
        <f>IF(D269="","",VLOOKUP(D269,契約台帳!$A$3:$L$4986,12,FALSE))</f>
        <v/>
      </c>
      <c r="L269" s="270" t="str">
        <f>IF(D269="","",INDEX(製品マスタ!$Q$5:$Q$5002,MATCH('S4'!F269&amp;'S4'!K269,製品マスタ!$AO$5:$AO$5002,0)))</f>
        <v/>
      </c>
      <c r="M269" s="39"/>
      <c r="N269" s="39"/>
      <c r="O269" s="156"/>
      <c r="P269" s="47"/>
      <c r="Q269" s="57"/>
      <c r="R269" s="271" t="str">
        <f ca="1">IF(D269="","",IF(OFFSET(D269,-1,0)&lt;&gt;"","",IF(OR(J269="リード付け",J269="巻足し",J269="巻返しリード付け"),M269,VLOOKUP(D269,契約台帳!$A$3:$N$4986,14,FALSE))))</f>
        <v/>
      </c>
      <c r="S269" s="272" t="str">
        <f ca="1">IF(D269="","",IF(OFFSET(D269,-1,0)&lt;&gt;"","",IF(OR(J269="リード付け",J269="巻足し",J269="巻返しリード付け"),M269,VLOOKUP(D269,契約台帳!$A$3:$O$4986,15,FALSE))))</f>
        <v/>
      </c>
      <c r="T269" s="273" t="str">
        <f ca="1">IF(D269="","",IF(J269="リード付け",N269,IF(J269="巻返しリード付け",N269,IF(J269="巻足し",N269*P269+OFFSET(N269,1,0)*OFFSET(P269,1,0),VLOOKUP(D269,契約台帳!$A$3:$P$4986,16,FALSE)))))</f>
        <v/>
      </c>
      <c r="U269" s="40"/>
      <c r="V269" s="274" t="str">
        <f ca="1">IF(D269="","",IF(OFFSET(D269,-2,0)=D269,"",VLOOKUP(D269,契約台帳!$A$3:$R$4986,18,FALSE)))</f>
        <v/>
      </c>
      <c r="W269" s="269" t="str">
        <f>IF(D269="","",IF(T269="","",IF(OR(J269="巻足し",J269="巻返しリード付け"),"",IF(J269="巻返し",VLOOKUP(F269&amp;K269&amp;M269,製品マスタ!$M$5:$AD$5002,18,FALSE),IF(OR(J269="リード付け",J269="巻返しリード付け"),"原反コア",IF(J269="スリット",VLOOKUP(F269&amp;K269&amp;R269,製品マスタ!$N$5:$AD$5002,17,FALSE),""))))))</f>
        <v/>
      </c>
      <c r="X269" s="269" t="str">
        <f>IF(D269="","",IF(T269="","",IF(J269="巻足し","",IF(J269="巻返し",VLOOKUP(F269&amp;K269&amp;M269,製品マスタ!$M$5:$AE$5002,19,FALSE),IF(OR(J269="リード付け",J269="巻返しリード付け"),"",IF(J269="スリット",VLOOKUP(F269&amp;K269&amp;R269,製品マスタ!$N$5:$AE$5002,18,FALSE),""))))))</f>
        <v/>
      </c>
      <c r="Y269" s="275" t="str">
        <f>IF(D269="","",IF(T269="","",VLOOKUP(D269,契約台帳!$A$3:$Q$4986,17,FALSE)))</f>
        <v/>
      </c>
      <c r="Z269" s="269" t="str">
        <f>IF(D269="","",IF(T269="","",VLOOKUP(D269,契約台帳!$A$3:$E$4986,5,FALSE)))</f>
        <v/>
      </c>
      <c r="AA269" s="57"/>
      <c r="AB269" s="207" t="str">
        <f>IFERROR((VLOOKUP(F269&amp;K269&amp;M269,製品マスタ!$M$5:$AM$5002,27,FALSE)),"")</f>
        <v/>
      </c>
      <c r="AC269" s="33"/>
      <c r="AD269" s="189"/>
      <c r="AE269" s="54"/>
      <c r="AF269" s="55"/>
      <c r="AG269" s="43"/>
      <c r="AH269" s="47"/>
      <c r="AI269" s="30"/>
      <c r="AJ269" s="30"/>
      <c r="AK269" s="30"/>
      <c r="AL269" s="30"/>
      <c r="AM269" s="13"/>
      <c r="AN269" s="13"/>
      <c r="AO269" s="13"/>
      <c r="AP269" s="13"/>
      <c r="AQ269" s="13"/>
      <c r="AR269" s="14"/>
      <c r="AS269" s="15"/>
    </row>
    <row r="270" spans="1:45" s="17" customFormat="1" ht="30.95" hidden="1" customHeight="1" x14ac:dyDescent="0.2">
      <c r="A270" s="37"/>
      <c r="B270" s="38"/>
      <c r="C270" s="45"/>
      <c r="D270" s="31"/>
      <c r="E270" s="31"/>
      <c r="F270" s="268" t="str">
        <f>IF(D270="","",VLOOKUP(D270,契約台帳!$A$3:$K$4986,6,FALSE)&amp;VLOOKUP(D270,契約台帳!$A$3:$K$4986,7,FALSE)&amp;VLOOKUP(D270,契約台帳!$A$3:$K$4986,8,FALSE)&amp;VLOOKUP(D270,契約台帳!$A$3:$K$4986,9,FALSE)&amp;VLOOKUP(D270,契約台帳!$A$3:$K$4986,11,FALSE))</f>
        <v/>
      </c>
      <c r="G270" s="269" t="str">
        <f>IF(D270="","",VLOOKUP(F270,製品マスタ!$G$5:$H$5002,2,FALSE))</f>
        <v/>
      </c>
      <c r="H270" s="269" t="str">
        <f>IF(D270="","",VLOOKUP(F270,製品マスタ!$G$5:$K$5002,5,FALSE))</f>
        <v/>
      </c>
      <c r="I270" s="270" t="str">
        <f>IF(D270="","",VLOOKUP(F270,製品マスタ!$G$5:$L$5002,6,FALSE))</f>
        <v/>
      </c>
      <c r="J270" s="210"/>
      <c r="K270" s="270" t="str">
        <f>IF(D270="","",VLOOKUP(D270,契約台帳!$A$3:$L$4986,12,FALSE))</f>
        <v/>
      </c>
      <c r="L270" s="270" t="str">
        <f>IF(D270="","",INDEX(製品マスタ!$Q$5:$Q$5002,MATCH('S4'!F270&amp;'S4'!K270,製品マスタ!$AO$5:$AO$5002,0)))</f>
        <v/>
      </c>
      <c r="M270" s="39"/>
      <c r="N270" s="39"/>
      <c r="O270" s="156"/>
      <c r="P270" s="47"/>
      <c r="Q270" s="57"/>
      <c r="R270" s="271" t="str">
        <f ca="1">IF(D270="","",IF(OFFSET(D270,-1,0)&lt;&gt;"","",IF(OR(J270="リード付け",J270="巻足し",J270="巻返しリード付け"),M270,VLOOKUP(D270,契約台帳!$A$3:$N$4986,14,FALSE))))</f>
        <v/>
      </c>
      <c r="S270" s="272" t="str">
        <f ca="1">IF(D270="","",IF(OFFSET(D270,-1,0)&lt;&gt;"","",IF(OR(J270="リード付け",J270="巻足し",J270="巻返しリード付け"),M270,VLOOKUP(D270,契約台帳!$A$3:$O$4986,15,FALSE))))</f>
        <v/>
      </c>
      <c r="T270" s="273" t="str">
        <f ca="1">IF(D270="","",IF(J270="リード付け",N270,IF(J270="巻返しリード付け",N270,IF(J270="巻足し",N270*P270+OFFSET(N270,1,0)*OFFSET(P270,1,0),VLOOKUP(D270,契約台帳!$A$3:$P$4986,16,FALSE)))))</f>
        <v/>
      </c>
      <c r="U270" s="40"/>
      <c r="V270" s="274" t="str">
        <f ca="1">IF(D270="","",IF(OFFSET(D270,-2,0)=D270,"",VLOOKUP(D270,契約台帳!$A$3:$R$4986,18,FALSE)))</f>
        <v/>
      </c>
      <c r="W270" s="269" t="str">
        <f>IF(D270="","",IF(T270="","",IF(OR(J270="巻足し",J270="巻返しリード付け"),"",IF(J270="巻返し",VLOOKUP(F270&amp;K270&amp;M270,製品マスタ!$M$5:$AD$5002,18,FALSE),IF(OR(J270="リード付け",J270="巻返しリード付け"),"原反コア",IF(J270="スリット",VLOOKUP(F270&amp;K270&amp;R270,製品マスタ!$N$5:$AD$5002,17,FALSE),""))))))</f>
        <v/>
      </c>
      <c r="X270" s="269" t="str">
        <f>IF(D270="","",IF(T270="","",IF(J270="巻足し","",IF(J270="巻返し",VLOOKUP(F270&amp;K270&amp;M270,製品マスタ!$M$5:$AE$5002,19,FALSE),IF(OR(J270="リード付け",J270="巻返しリード付け"),"",IF(J270="スリット",VLOOKUP(F270&amp;K270&amp;R270,製品マスタ!$N$5:$AE$5002,18,FALSE),""))))))</f>
        <v/>
      </c>
      <c r="Y270" s="275" t="str">
        <f>IF(D270="","",IF(T270="","",VLOOKUP(D270,契約台帳!$A$3:$Q$4986,17,FALSE)))</f>
        <v/>
      </c>
      <c r="Z270" s="269" t="str">
        <f>IF(D270="","",IF(T270="","",VLOOKUP(D270,契約台帳!$A$3:$E$4986,5,FALSE)))</f>
        <v/>
      </c>
      <c r="AA270" s="57"/>
      <c r="AB270" s="207" t="str">
        <f>IFERROR((VLOOKUP(F270&amp;K270&amp;M270,製品マスタ!$M$5:$AM$5002,27,FALSE)),"")</f>
        <v/>
      </c>
      <c r="AC270" s="33"/>
      <c r="AD270" s="189"/>
      <c r="AE270" s="54"/>
      <c r="AF270" s="55"/>
      <c r="AG270" s="43"/>
      <c r="AH270" s="47"/>
      <c r="AI270" s="30"/>
      <c r="AJ270" s="30"/>
      <c r="AK270" s="30"/>
      <c r="AL270" s="30"/>
      <c r="AM270" s="13"/>
      <c r="AN270" s="13"/>
      <c r="AO270" s="13"/>
      <c r="AP270" s="13"/>
      <c r="AQ270" s="13"/>
      <c r="AR270" s="14"/>
      <c r="AS270" s="15"/>
    </row>
    <row r="271" spans="1:45" s="17" customFormat="1" ht="30.95" hidden="1" customHeight="1" x14ac:dyDescent="0.2">
      <c r="A271" s="37" t="s">
        <v>918</v>
      </c>
      <c r="B271" s="38" t="s">
        <v>913</v>
      </c>
      <c r="C271" s="45"/>
      <c r="D271" s="31"/>
      <c r="E271" s="31"/>
      <c r="F271" s="268" t="str">
        <f>IF(D271="","",VLOOKUP(D271,契約台帳!$A$3:$K$4986,6,FALSE)&amp;VLOOKUP(D271,契約台帳!$A$3:$K$4986,7,FALSE)&amp;VLOOKUP(D271,契約台帳!$A$3:$K$4986,8,FALSE)&amp;VLOOKUP(D271,契約台帳!$A$3:$K$4986,9,FALSE)&amp;VLOOKUP(D271,契約台帳!$A$3:$K$4986,11,FALSE))</f>
        <v/>
      </c>
      <c r="G271" s="269" t="str">
        <f>IF(D271="","",VLOOKUP(F271,製品マスタ!$G$5:$H$5002,2,FALSE))</f>
        <v/>
      </c>
      <c r="H271" s="269" t="str">
        <f>IF(D271="","",VLOOKUP(F271,製品マスタ!$G$5:$K$5002,5,FALSE))</f>
        <v/>
      </c>
      <c r="I271" s="270" t="str">
        <f>IF(D271="","",VLOOKUP(F271,製品マスタ!$G$5:$L$5002,6,FALSE))</f>
        <v/>
      </c>
      <c r="J271" s="210" t="s">
        <v>919</v>
      </c>
      <c r="K271" s="270" t="str">
        <f>IF(D271="","",VLOOKUP(D271,契約台帳!$A$3:$L$4986,12,FALSE))</f>
        <v/>
      </c>
      <c r="L271" s="270" t="str">
        <f>IF(D271="","",INDEX(製品マスタ!$Q$5:$Q$5002,MATCH('S4'!F271&amp;'S4'!K271,製品マスタ!$AO$5:$AO$5002,0)))</f>
        <v/>
      </c>
      <c r="M271" s="39"/>
      <c r="N271" s="39"/>
      <c r="O271" s="156"/>
      <c r="P271" s="47"/>
      <c r="Q271" s="57"/>
      <c r="R271" s="271" t="str">
        <f ca="1">IF(D271="","",IF(OFFSET(D271,-1,0)&lt;&gt;"","",IF(OR(J271="リード付け",J271="巻足し",J271="巻返しリード付け"),M271,VLOOKUP(D271,契約台帳!$A$3:$N$4986,14,FALSE))))</f>
        <v/>
      </c>
      <c r="S271" s="272" t="str">
        <f ca="1">IF(D271="","",IF(OFFSET(D271,-1,0)&lt;&gt;"","",IF(OR(J271="リード付け",J271="巻足し",J271="巻返しリード付け"),M271,VLOOKUP(D271,契約台帳!$A$3:$O$4986,15,FALSE))))</f>
        <v/>
      </c>
      <c r="T271" s="273" t="str">
        <f ca="1">IF(D271="","",IF(J271="リード付け",N271,IF(J271="巻返しリード付け",N271,IF(J271="巻足し",N271*P271+OFFSET(N271,1,0)*OFFSET(P271,1,0),VLOOKUP(D271,契約台帳!$A$3:$P$4986,16,FALSE)))))</f>
        <v/>
      </c>
      <c r="U271" s="40"/>
      <c r="V271" s="274" t="str">
        <f ca="1">IF(D271="","",IF(OFFSET(D271,-2,0)=D271,"",VLOOKUP(D271,契約台帳!$A$3:$R$4986,18,FALSE)))</f>
        <v/>
      </c>
      <c r="W271" s="269" t="str">
        <f>IF(D271="","",IF(T271="","",IF(OR(J271="巻足し",J271="巻返しリード付け"),"",IF(J271="巻返し",VLOOKUP(F271&amp;K271&amp;M271,製品マスタ!$M$5:$AD$5002,18,FALSE),IF(OR(J271="リード付け",J271="巻返しリード付け"),"原反コア",IF(J271="スリット",VLOOKUP(F271&amp;K271&amp;R271,製品マスタ!$N$5:$AD$5002,17,FALSE),""))))))</f>
        <v/>
      </c>
      <c r="X271" s="269" t="str">
        <f>IF(D271="","",IF(T271="","",IF(J271="巻足し","",IF(J271="巻返し",VLOOKUP(F271&amp;K271&amp;M271,製品マスタ!$M$5:$AE$5002,19,FALSE),IF(OR(J271="リード付け",J271="巻返しリード付け"),"",IF(J271="スリット",VLOOKUP(F271&amp;K271&amp;R271,製品マスタ!$N$5:$AE$5002,18,FALSE),""))))))</f>
        <v/>
      </c>
      <c r="Y271" s="275" t="str">
        <f>IF(D271="","",IF(T271="","",VLOOKUP(D271,契約台帳!$A$3:$Q$4986,17,FALSE)))</f>
        <v/>
      </c>
      <c r="Z271" s="269" t="str">
        <f>IF(D271="","",IF(T271="","",VLOOKUP(D271,契約台帳!$A$3:$E$4986,5,FALSE)))</f>
        <v/>
      </c>
      <c r="AA271" s="57"/>
      <c r="AB271" s="207" t="str">
        <f>IFERROR((VLOOKUP(F271&amp;K271&amp;M271,製品マスタ!$M$5:$AM$5002,27,FALSE)),"")</f>
        <v/>
      </c>
      <c r="AC271" s="33"/>
      <c r="AD271" s="189"/>
      <c r="AE271" s="54"/>
      <c r="AF271" s="55"/>
      <c r="AG271" s="43"/>
      <c r="AH271" s="47"/>
      <c r="AI271" s="30"/>
      <c r="AJ271" s="30"/>
      <c r="AK271" s="30"/>
      <c r="AL271" s="30"/>
      <c r="AM271" s="13"/>
      <c r="AN271" s="13"/>
      <c r="AO271" s="13"/>
      <c r="AP271" s="13"/>
      <c r="AQ271" s="13"/>
      <c r="AR271" s="14"/>
      <c r="AS271" s="15"/>
    </row>
    <row r="272" spans="1:45" s="17" customFormat="1" ht="30.95" hidden="1" customHeight="1" x14ac:dyDescent="0.2">
      <c r="A272" s="37"/>
      <c r="B272" s="38"/>
      <c r="C272" s="45"/>
      <c r="D272" s="31"/>
      <c r="E272" s="31"/>
      <c r="F272" s="268" t="str">
        <f>IF(D272="","",VLOOKUP(D272,契約台帳!$A$3:$K$4986,6,FALSE)&amp;VLOOKUP(D272,契約台帳!$A$3:$K$4986,7,FALSE)&amp;VLOOKUP(D272,契約台帳!$A$3:$K$4986,8,FALSE)&amp;VLOOKUP(D272,契約台帳!$A$3:$K$4986,9,FALSE)&amp;VLOOKUP(D272,契約台帳!$A$3:$K$4986,11,FALSE))</f>
        <v/>
      </c>
      <c r="G272" s="269" t="str">
        <f>IF(D272="","",VLOOKUP(F272,製品マスタ!$G$5:$H$5002,2,FALSE))</f>
        <v/>
      </c>
      <c r="H272" s="269" t="str">
        <f>IF(D272="","",VLOOKUP(F272,製品マスタ!$G$5:$K$5002,5,FALSE))</f>
        <v/>
      </c>
      <c r="I272" s="270" t="str">
        <f>IF(D272="","",VLOOKUP(F272,製品マスタ!$G$5:$L$5002,6,FALSE))</f>
        <v/>
      </c>
      <c r="J272" s="210"/>
      <c r="K272" s="270" t="str">
        <f>IF(D272="","",VLOOKUP(D272,契約台帳!$A$3:$L$4986,12,FALSE))</f>
        <v/>
      </c>
      <c r="L272" s="270" t="str">
        <f>IF(D272="","",INDEX(製品マスタ!$Q$5:$Q$5002,MATCH('S4'!F272&amp;'S4'!K272,製品マスタ!$AO$5:$AO$5002,0)))</f>
        <v/>
      </c>
      <c r="M272" s="39"/>
      <c r="N272" s="39"/>
      <c r="O272" s="156"/>
      <c r="P272" s="47"/>
      <c r="Q272" s="57"/>
      <c r="R272" s="271" t="str">
        <f ca="1">IF(D272="","",IF(OFFSET(D272,-1,0)&lt;&gt;"","",IF(OR(J272="リード付け",J272="巻足し",J272="巻返しリード付け"),M272,VLOOKUP(D272,契約台帳!$A$3:$N$4986,14,FALSE))))</f>
        <v/>
      </c>
      <c r="S272" s="272" t="str">
        <f ca="1">IF(D272="","",IF(OFFSET(D272,-1,0)&lt;&gt;"","",IF(OR(J272="リード付け",J272="巻足し",J272="巻返しリード付け"),M272,VLOOKUP(D272,契約台帳!$A$3:$O$4986,15,FALSE))))</f>
        <v/>
      </c>
      <c r="T272" s="273" t="str">
        <f ca="1">IF(D272="","",IF(J272="リード付け",N272,IF(J272="巻返しリード付け",N272,IF(J272="巻足し",N272*P272+OFFSET(N272,1,0)*OFFSET(P272,1,0),VLOOKUP(D272,契約台帳!$A$3:$P$4986,16,FALSE)))))</f>
        <v/>
      </c>
      <c r="U272" s="40"/>
      <c r="V272" s="274" t="str">
        <f ca="1">IF(D272="","",IF(OFFSET(D272,-2,0)=D272,"",VLOOKUP(D272,契約台帳!$A$3:$R$4986,18,FALSE)))</f>
        <v/>
      </c>
      <c r="W272" s="269" t="str">
        <f>IF(D272="","",IF(T272="","",IF(OR(J272="巻足し",J272="巻返しリード付け"),"",IF(J272="巻返し",VLOOKUP(F272&amp;K272&amp;M272,製品マスタ!$M$5:$AD$5002,18,FALSE),IF(OR(J272="リード付け",J272="巻返しリード付け"),"原反コア",IF(J272="スリット",VLOOKUP(F272&amp;K272&amp;R272,製品マスタ!$N$5:$AD$5002,17,FALSE),""))))))</f>
        <v/>
      </c>
      <c r="X272" s="269" t="str">
        <f>IF(D272="","",IF(T272="","",IF(J272="巻足し","",IF(J272="巻返し",VLOOKUP(F272&amp;K272&amp;M272,製品マスタ!$M$5:$AE$5002,19,FALSE),IF(OR(J272="リード付け",J272="巻返しリード付け"),"",IF(J272="スリット",VLOOKUP(F272&amp;K272&amp;R272,製品マスタ!$N$5:$AE$5002,18,FALSE),""))))))</f>
        <v/>
      </c>
      <c r="Y272" s="275" t="str">
        <f>IF(D272="","",IF(T272="","",VLOOKUP(D272,契約台帳!$A$3:$Q$4986,17,FALSE)))</f>
        <v/>
      </c>
      <c r="Z272" s="269" t="str">
        <f>IF(D272="","",IF(T272="","",VLOOKUP(D272,契約台帳!$A$3:$E$4986,5,FALSE)))</f>
        <v/>
      </c>
      <c r="AA272" s="57"/>
      <c r="AB272" s="207" t="str">
        <f>IFERROR((VLOOKUP(F272&amp;K272&amp;M272,製品マスタ!$M$5:$AM$5002,27,FALSE)),"")</f>
        <v/>
      </c>
      <c r="AC272" s="33"/>
      <c r="AD272" s="189"/>
      <c r="AE272" s="54"/>
      <c r="AF272" s="55"/>
      <c r="AG272" s="43"/>
      <c r="AH272" s="47"/>
      <c r="AI272" s="30"/>
      <c r="AJ272" s="30"/>
      <c r="AK272" s="30"/>
      <c r="AL272" s="30"/>
      <c r="AM272" s="13"/>
      <c r="AN272" s="13"/>
      <c r="AO272" s="13"/>
      <c r="AP272" s="13"/>
      <c r="AQ272" s="13"/>
      <c r="AR272" s="14"/>
      <c r="AS272" s="15"/>
    </row>
    <row r="273" spans="1:45" s="233" customFormat="1" ht="30.95" hidden="1" customHeight="1" x14ac:dyDescent="0.2">
      <c r="A273" s="217"/>
      <c r="B273" s="218"/>
      <c r="C273" s="280"/>
      <c r="D273" s="219"/>
      <c r="E273" s="219"/>
      <c r="F273" s="281"/>
      <c r="G273" s="282"/>
      <c r="H273" s="282"/>
      <c r="I273" s="283"/>
      <c r="J273" s="289"/>
      <c r="K273" s="283"/>
      <c r="L273" s="283"/>
      <c r="M273" s="221"/>
      <c r="N273" s="221"/>
      <c r="O273" s="290"/>
      <c r="P273" s="222"/>
      <c r="Q273" s="213"/>
      <c r="R273" s="291"/>
      <c r="S273" s="292"/>
      <c r="T273" s="293"/>
      <c r="U273" s="224"/>
      <c r="V273" s="294"/>
      <c r="W273" s="282"/>
      <c r="X273" s="282"/>
      <c r="Y273" s="287"/>
      <c r="Z273" s="282"/>
      <c r="AA273" s="213"/>
      <c r="AB273" s="288"/>
      <c r="AC273" s="225"/>
      <c r="AD273" s="226"/>
      <c r="AE273" s="227"/>
      <c r="AF273" s="228"/>
      <c r="AG273" s="223"/>
      <c r="AH273" s="234">
        <f>SUM(AH261)</f>
        <v>59400</v>
      </c>
      <c r="AI273" s="229"/>
      <c r="AJ273" s="229"/>
      <c r="AK273" s="229"/>
      <c r="AL273" s="229"/>
      <c r="AM273" s="230"/>
      <c r="AN273" s="230"/>
      <c r="AO273" s="230"/>
      <c r="AP273" s="230"/>
      <c r="AQ273" s="230"/>
      <c r="AR273" s="231"/>
      <c r="AS273" s="232"/>
    </row>
    <row r="274" spans="1:45" s="17" customFormat="1" ht="30.95" hidden="1" customHeight="1" x14ac:dyDescent="0.2">
      <c r="A274" s="37"/>
      <c r="B274" s="38"/>
      <c r="C274" s="45"/>
      <c r="D274" s="31"/>
      <c r="E274" s="31"/>
      <c r="F274" s="268"/>
      <c r="G274" s="269"/>
      <c r="H274" s="269"/>
      <c r="I274" s="270"/>
      <c r="J274" s="210"/>
      <c r="K274" s="270"/>
      <c r="L274" s="270"/>
      <c r="M274" s="39"/>
      <c r="N274" s="39"/>
      <c r="O274" s="156"/>
      <c r="P274" s="47"/>
      <c r="Q274" s="57"/>
      <c r="R274" s="271"/>
      <c r="S274" s="272"/>
      <c r="T274" s="273"/>
      <c r="U274" s="40"/>
      <c r="V274" s="274"/>
      <c r="W274" s="269"/>
      <c r="X274" s="269"/>
      <c r="Y274" s="275"/>
      <c r="Z274" s="269"/>
      <c r="AA274" s="57"/>
      <c r="AB274" s="207"/>
      <c r="AC274" s="33"/>
      <c r="AD274" s="189"/>
      <c r="AE274" s="54"/>
      <c r="AF274" s="55"/>
      <c r="AG274" s="43"/>
      <c r="AH274" s="47"/>
      <c r="AI274" s="30"/>
      <c r="AJ274" s="30"/>
      <c r="AK274" s="30"/>
      <c r="AL274" s="30"/>
      <c r="AM274" s="13"/>
      <c r="AN274" s="13"/>
      <c r="AO274" s="13"/>
      <c r="AP274" s="13"/>
      <c r="AQ274" s="13"/>
      <c r="AR274" s="14"/>
      <c r="AS274" s="15"/>
    </row>
    <row r="275" spans="1:45" s="17" customFormat="1" ht="30.95" hidden="1" customHeight="1" x14ac:dyDescent="0.2">
      <c r="A275" s="37" t="s">
        <v>920</v>
      </c>
      <c r="B275" s="38" t="s">
        <v>921</v>
      </c>
      <c r="C275" s="45"/>
      <c r="D275" s="31"/>
      <c r="E275" s="31"/>
      <c r="F275" s="268" t="str">
        <f>IF(D275="","",VLOOKUP(D275,契約台帳!$A$3:$K$4986,6,FALSE)&amp;VLOOKUP(D275,契約台帳!$A$3:$K$4986,7,FALSE)&amp;VLOOKUP(D275,契約台帳!$A$3:$K$4986,8,FALSE)&amp;VLOOKUP(D275,契約台帳!$A$3:$K$4986,9,FALSE)&amp;VLOOKUP(D275,契約台帳!$A$3:$K$4986,11,FALSE))</f>
        <v/>
      </c>
      <c r="G275" s="269" t="str">
        <f>IF(D275="","",VLOOKUP(F275,製品マスタ!$G$5:$H$5002,2,FALSE))</f>
        <v/>
      </c>
      <c r="H275" s="269" t="str">
        <f>IF(D275="","",VLOOKUP(F275,製品マスタ!$G$5:$K$5002,5,FALSE))</f>
        <v/>
      </c>
      <c r="I275" s="270" t="str">
        <f>IF(D275="","",VLOOKUP(F275,製品マスタ!$G$5:$L$5002,6,FALSE))</f>
        <v/>
      </c>
      <c r="J275" s="210" t="s">
        <v>448</v>
      </c>
      <c r="K275" s="270" t="str">
        <f>IF(D275="","",VLOOKUP(D275,契約台帳!$A$3:$L$4986,12,FALSE))</f>
        <v/>
      </c>
      <c r="L275" s="270" t="str">
        <f>IF(D275="","",INDEX(製品マスタ!$Q$5:$Q$5002,MATCH('S4'!F275&amp;'S4'!K275,製品マスタ!$AO$5:$AO$5002,0)))</f>
        <v/>
      </c>
      <c r="M275" s="39"/>
      <c r="N275" s="39"/>
      <c r="O275" s="156"/>
      <c r="P275" s="47"/>
      <c r="Q275" s="57"/>
      <c r="R275" s="271" t="str">
        <f ca="1">IF(D275="","",IF(OFFSET(D275,-1,0)&lt;&gt;"","",IF(OR(J275="リード付け",J275="巻足し",J275="巻返しリード付け"),M275,VLOOKUP(D275,契約台帳!$A$3:$N$4986,14,FALSE))))</f>
        <v/>
      </c>
      <c r="S275" s="272" t="str">
        <f ca="1">IF(D275="","",IF(OFFSET(D275,-1,0)&lt;&gt;"","",IF(OR(J275="リード付け",J275="巻足し",J275="巻返しリード付け"),M275,VLOOKUP(D275,契約台帳!$A$3:$O$4986,15,FALSE))))</f>
        <v/>
      </c>
      <c r="T275" s="273" t="str">
        <f ca="1">IF(D275="","",IF(J275="リード付け",N275,IF(J275="巻返しリード付け",N275,IF(J275="巻足し",N275*P275+OFFSET(N275,1,0)*OFFSET(P275,1,0),VLOOKUP(D275,契約台帳!$A$3:$P$4986,16,FALSE)))))</f>
        <v/>
      </c>
      <c r="U275" s="40"/>
      <c r="V275" s="274" t="str">
        <f ca="1">IF(D275="","",IF(OFFSET(D275,-2,0)=D275,"",VLOOKUP(D275,契約台帳!$A$3:$R$4986,18,FALSE)))</f>
        <v/>
      </c>
      <c r="W275" s="269" t="str">
        <f>IF(D275="","",IF(T275="","",IF(OR(J275="巻足し",J275="巻返しリード付け"),"",IF(J275="巻返し",VLOOKUP(F275&amp;K275&amp;M275,製品マスタ!$M$5:$AD$5002,18,FALSE),IF(OR(J275="リード付け",J275="巻返しリード付け"),"原反コア",IF(J275="スリット",VLOOKUP(F275&amp;K275&amp;R275,製品マスタ!$N$5:$AD$5002,17,FALSE),""))))))</f>
        <v/>
      </c>
      <c r="X275" s="269" t="str">
        <f>IF(D275="","",IF(T275="","",IF(J275="巻足し","",IF(J275="巻返し",VLOOKUP(F275&amp;K275&amp;M275,製品マスタ!$M$5:$AE$5002,19,FALSE),IF(OR(J275="リード付け",J275="巻返しリード付け"),"",IF(J275="スリット",VLOOKUP(F275&amp;K275&amp;R275,製品マスタ!$N$5:$AE$5002,18,FALSE),""))))))</f>
        <v/>
      </c>
      <c r="Y275" s="275" t="str">
        <f>IF(D275="","",IF(T275="","",VLOOKUP(D275,契約台帳!$A$3:$Q$4986,17,FALSE)))</f>
        <v/>
      </c>
      <c r="Z275" s="269" t="str">
        <f>IF(D275="","",IF(T275="","",VLOOKUP(D275,契約台帳!$A$3:$E$4986,5,FALSE)))</f>
        <v/>
      </c>
      <c r="AA275" s="57"/>
      <c r="AB275" s="207" t="str">
        <f>IFERROR((VLOOKUP(F275&amp;K275&amp;M275,製品マスタ!$M$5:$AM$5002,27,FALSE)),"")</f>
        <v/>
      </c>
      <c r="AC275" s="33"/>
      <c r="AD275" s="189"/>
      <c r="AE275" s="54"/>
      <c r="AF275" s="55"/>
      <c r="AG275" s="43"/>
      <c r="AH275" s="47"/>
      <c r="AI275" s="30"/>
      <c r="AJ275" s="30"/>
      <c r="AK275" s="30"/>
      <c r="AL275" s="30"/>
      <c r="AM275" s="13"/>
      <c r="AN275" s="13"/>
      <c r="AO275" s="13"/>
      <c r="AP275" s="13"/>
      <c r="AQ275" s="13"/>
      <c r="AR275" s="14"/>
      <c r="AS275" s="15"/>
    </row>
    <row r="276" spans="1:45" s="17" customFormat="1" ht="30.95" hidden="1" customHeight="1" x14ac:dyDescent="0.2">
      <c r="A276" s="37"/>
      <c r="B276" s="38"/>
      <c r="C276" s="45"/>
      <c r="D276" s="31"/>
      <c r="E276" s="31"/>
      <c r="F276" s="268" t="str">
        <f>IF(D276="","",VLOOKUP(D276,契約台帳!$A$3:$K$4986,6,FALSE)&amp;VLOOKUP(D276,契約台帳!$A$3:$K$4986,7,FALSE)&amp;VLOOKUP(D276,契約台帳!$A$3:$K$4986,8,FALSE)&amp;VLOOKUP(D276,契約台帳!$A$3:$K$4986,9,FALSE)&amp;VLOOKUP(D276,契約台帳!$A$3:$K$4986,11,FALSE))</f>
        <v/>
      </c>
      <c r="G276" s="269" t="str">
        <f>IF(D276="","",VLOOKUP(F276,製品マスタ!$G$5:$H$5002,2,FALSE))</f>
        <v/>
      </c>
      <c r="H276" s="269" t="str">
        <f>IF(D276="","",VLOOKUP(F276,製品マスタ!$G$5:$K$5002,5,FALSE))</f>
        <v/>
      </c>
      <c r="I276" s="270" t="str">
        <f>IF(D276="","",VLOOKUP(F276,製品マスタ!$G$5:$L$5002,6,FALSE))</f>
        <v/>
      </c>
      <c r="J276" s="210"/>
      <c r="K276" s="270" t="str">
        <f>IF(D276="","",VLOOKUP(D276,契約台帳!$A$3:$L$4986,12,FALSE))</f>
        <v/>
      </c>
      <c r="L276" s="270" t="str">
        <f>IF(D276="","",INDEX(製品マスタ!$Q$5:$Q$5002,MATCH('S4'!F276&amp;'S4'!K276,製品マスタ!$AO$5:$AO$5002,0)))</f>
        <v/>
      </c>
      <c r="M276" s="39"/>
      <c r="N276" s="39"/>
      <c r="O276" s="156"/>
      <c r="P276" s="47"/>
      <c r="Q276" s="57"/>
      <c r="R276" s="271" t="str">
        <f ca="1">IF(D276="","",IF(OFFSET(D276,-1,0)&lt;&gt;"","",IF(OR(J276="リード付け",J276="巻足し",J276="巻返しリード付け"),M276,VLOOKUP(D276,契約台帳!$A$3:$N$4986,14,FALSE))))</f>
        <v/>
      </c>
      <c r="S276" s="272" t="str">
        <f ca="1">IF(D276="","",IF(OFFSET(D276,-1,0)&lt;&gt;"","",IF(OR(J276="リード付け",J276="巻足し",J276="巻返しリード付け"),M276,VLOOKUP(D276,契約台帳!$A$3:$O$4986,15,FALSE))))</f>
        <v/>
      </c>
      <c r="T276" s="273" t="str">
        <f ca="1">IF(D276="","",IF(J276="リード付け",N276,IF(J276="巻返しリード付け",N276,IF(J276="巻足し",N276*P276+OFFSET(N276,1,0)*OFFSET(P276,1,0),VLOOKUP(D276,契約台帳!$A$3:$P$4986,16,FALSE)))))</f>
        <v/>
      </c>
      <c r="U276" s="40"/>
      <c r="V276" s="274" t="str">
        <f ca="1">IF(D276="","",IF(OFFSET(D276,-2,0)=D276,"",VLOOKUP(D276,契約台帳!$A$3:$R$4986,18,FALSE)))</f>
        <v/>
      </c>
      <c r="W276" s="269" t="str">
        <f>IF(D276="","",IF(T276="","",IF(OR(J276="巻足し",J276="巻返しリード付け"),"",IF(J276="巻返し",VLOOKUP(F276&amp;K276&amp;M276,製品マスタ!$M$5:$AD$5002,18,FALSE),IF(OR(J276="リード付け",J276="巻返しリード付け"),"原反コア",IF(J276="スリット",VLOOKUP(F276&amp;K276&amp;R276,製品マスタ!$N$5:$AD$5002,17,FALSE),""))))))</f>
        <v/>
      </c>
      <c r="X276" s="269" t="str">
        <f>IF(D276="","",IF(T276="","",IF(J276="巻足し","",IF(J276="巻返し",VLOOKUP(F276&amp;K276&amp;M276,製品マスタ!$M$5:$AE$5002,19,FALSE),IF(OR(J276="リード付け",J276="巻返しリード付け"),"",IF(J276="スリット",VLOOKUP(F276&amp;K276&amp;R276,製品マスタ!$N$5:$AE$5002,18,FALSE),""))))))</f>
        <v/>
      </c>
      <c r="Y276" s="275" t="str">
        <f>IF(D276="","",IF(T276="","",VLOOKUP(D276,契約台帳!$A$3:$Q$4986,17,FALSE)))</f>
        <v/>
      </c>
      <c r="Z276" s="269" t="str">
        <f>IF(D276="","",IF(T276="","",VLOOKUP(D276,契約台帳!$A$3:$E$4986,5,FALSE)))</f>
        <v/>
      </c>
      <c r="AA276" s="57"/>
      <c r="AB276" s="207" t="str">
        <f>IFERROR((VLOOKUP(F276&amp;K276&amp;M276,製品マスタ!$M$5:$AM$5002,27,FALSE)),"")</f>
        <v/>
      </c>
      <c r="AC276" s="33"/>
      <c r="AD276" s="189"/>
      <c r="AE276" s="54"/>
      <c r="AF276" s="55"/>
      <c r="AG276" s="43"/>
      <c r="AH276" s="47"/>
      <c r="AI276" s="30"/>
      <c r="AJ276" s="30"/>
      <c r="AK276" s="30"/>
      <c r="AL276" s="30"/>
      <c r="AM276" s="13"/>
      <c r="AN276" s="13"/>
      <c r="AO276" s="13"/>
      <c r="AP276" s="13"/>
      <c r="AQ276" s="13"/>
      <c r="AR276" s="14"/>
      <c r="AS276" s="15"/>
    </row>
    <row r="277" spans="1:45" s="17" customFormat="1" ht="30.95" hidden="1" customHeight="1" x14ac:dyDescent="0.2">
      <c r="A277" s="37" t="s">
        <v>922</v>
      </c>
      <c r="B277" s="38" t="s">
        <v>923</v>
      </c>
      <c r="C277" s="45"/>
      <c r="D277" s="31"/>
      <c r="E277" s="31"/>
      <c r="F277" s="268" t="str">
        <f>IF(D277="","",VLOOKUP(D277,契約台帳!$A$3:$K$4986,6,FALSE)&amp;VLOOKUP(D277,契約台帳!$A$3:$K$4986,7,FALSE)&amp;VLOOKUP(D277,契約台帳!$A$3:$K$4986,8,FALSE)&amp;VLOOKUP(D277,契約台帳!$A$3:$K$4986,9,FALSE)&amp;VLOOKUP(D277,契約台帳!$A$3:$K$4986,11,FALSE))</f>
        <v/>
      </c>
      <c r="G277" s="269" t="str">
        <f>IF(D277="","",VLOOKUP(F277,製品マスタ!$G$5:$H$5002,2,FALSE))</f>
        <v/>
      </c>
      <c r="H277" s="269" t="str">
        <f>IF(D277="","",VLOOKUP(F277,製品マスタ!$G$5:$K$5002,5,FALSE))</f>
        <v/>
      </c>
      <c r="I277" s="270" t="str">
        <f>IF(D277="","",VLOOKUP(F277,製品マスタ!$G$5:$L$5002,6,FALSE))</f>
        <v/>
      </c>
      <c r="J277" s="210" t="s">
        <v>448</v>
      </c>
      <c r="K277" s="270" t="str">
        <f>IF(D277="","",VLOOKUP(D277,契約台帳!$A$3:$L$4986,12,FALSE))</f>
        <v/>
      </c>
      <c r="L277" s="270" t="str">
        <f>IF(D277="","",INDEX(製品マスタ!$Q$5:$Q$5002,MATCH('S4'!F277&amp;'S4'!K277,製品マスタ!$AO$5:$AO$5002,0)))</f>
        <v/>
      </c>
      <c r="M277" s="39"/>
      <c r="N277" s="39"/>
      <c r="O277" s="156"/>
      <c r="P277" s="47"/>
      <c r="Q277" s="57"/>
      <c r="R277" s="271" t="str">
        <f ca="1">IF(D277="","",IF(OFFSET(D277,-1,0)&lt;&gt;"","",IF(OR(J277="リード付け",J277="巻足し",J277="巻返しリード付け"),M277,VLOOKUP(D277,契約台帳!$A$3:$N$4986,14,FALSE))))</f>
        <v/>
      </c>
      <c r="S277" s="272" t="str">
        <f ca="1">IF(D277="","",IF(OFFSET(D277,-1,0)&lt;&gt;"","",IF(OR(J277="リード付け",J277="巻足し",J277="巻返しリード付け"),M277,VLOOKUP(D277,契約台帳!$A$3:$O$4986,15,FALSE))))</f>
        <v/>
      </c>
      <c r="T277" s="273" t="str">
        <f ca="1">IF(D277="","",IF(J277="リード付け",N277,IF(J277="巻返しリード付け",N277,IF(J277="巻足し",N277*P277+OFFSET(N277,1,0)*OFFSET(P277,1,0),VLOOKUP(D277,契約台帳!$A$3:$P$4986,16,FALSE)))))</f>
        <v/>
      </c>
      <c r="U277" s="40"/>
      <c r="V277" s="274" t="str">
        <f ca="1">IF(D277="","",IF(OFFSET(D277,-2,0)=D277,"",VLOOKUP(D277,契約台帳!$A$3:$R$4986,18,FALSE)))</f>
        <v/>
      </c>
      <c r="W277" s="269" t="str">
        <f>IF(D277="","",IF(T277="","",IF(OR(J277="巻足し",J277="巻返しリード付け"),"",IF(J277="巻返し",VLOOKUP(F277&amp;K277&amp;M277,製品マスタ!$M$5:$AD$5002,18,FALSE),IF(OR(J277="リード付け",J277="巻返しリード付け"),"原反コア",IF(J277="スリット",VLOOKUP(F277&amp;K277&amp;R277,製品マスタ!$N$5:$AD$5002,17,FALSE),""))))))</f>
        <v/>
      </c>
      <c r="X277" s="269" t="str">
        <f>IF(D277="","",IF(T277="","",IF(J277="巻足し","",IF(J277="巻返し",VLOOKUP(F277&amp;K277&amp;M277,製品マスタ!$M$5:$AE$5002,19,FALSE),IF(OR(J277="リード付け",J277="巻返しリード付け"),"",IF(J277="スリット",VLOOKUP(F277&amp;K277&amp;R277,製品マスタ!$N$5:$AE$5002,18,FALSE),""))))))</f>
        <v/>
      </c>
      <c r="Y277" s="275" t="str">
        <f>IF(D277="","",IF(T277="","",VLOOKUP(D277,契約台帳!$A$3:$Q$4986,17,FALSE)))</f>
        <v/>
      </c>
      <c r="Z277" s="269" t="str">
        <f>IF(D277="","",IF(T277="","",VLOOKUP(D277,契約台帳!$A$3:$E$4986,5,FALSE)))</f>
        <v/>
      </c>
      <c r="AA277" s="57"/>
      <c r="AB277" s="207" t="str">
        <f>IFERROR((VLOOKUP(F277&amp;K277&amp;M277,製品マスタ!$M$5:$AM$5002,27,FALSE)),"")</f>
        <v/>
      </c>
      <c r="AC277" s="33"/>
      <c r="AD277" s="189"/>
      <c r="AE277" s="54"/>
      <c r="AF277" s="55"/>
      <c r="AG277" s="43"/>
      <c r="AH277" s="47"/>
      <c r="AI277" s="30"/>
      <c r="AJ277" s="30"/>
      <c r="AK277" s="30"/>
      <c r="AL277" s="30"/>
      <c r="AM277" s="13"/>
      <c r="AN277" s="13"/>
      <c r="AO277" s="13"/>
      <c r="AP277" s="13"/>
      <c r="AQ277" s="13"/>
      <c r="AR277" s="14"/>
      <c r="AS277" s="15"/>
    </row>
    <row r="278" spans="1:45" s="17" customFormat="1" ht="30.95" hidden="1" customHeight="1" x14ac:dyDescent="0.2">
      <c r="A278" s="37"/>
      <c r="B278" s="38"/>
      <c r="C278" s="45"/>
      <c r="D278" s="31"/>
      <c r="E278" s="31"/>
      <c r="F278" s="268" t="str">
        <f>IF(D278="","",VLOOKUP(D278,契約台帳!$A$3:$K$4986,6,FALSE)&amp;VLOOKUP(D278,契約台帳!$A$3:$K$4986,7,FALSE)&amp;VLOOKUP(D278,契約台帳!$A$3:$K$4986,8,FALSE)&amp;VLOOKUP(D278,契約台帳!$A$3:$K$4986,9,FALSE)&amp;VLOOKUP(D278,契約台帳!$A$3:$K$4986,11,FALSE))</f>
        <v/>
      </c>
      <c r="G278" s="269" t="str">
        <f>IF(D278="","",VLOOKUP(F278,製品マスタ!$G$5:$H$5002,2,FALSE))</f>
        <v/>
      </c>
      <c r="H278" s="269" t="str">
        <f>IF(D278="","",VLOOKUP(F278,製品マスタ!$G$5:$K$5002,5,FALSE))</f>
        <v/>
      </c>
      <c r="I278" s="270" t="str">
        <f>IF(D278="","",VLOOKUP(F278,製品マスタ!$G$5:$L$5002,6,FALSE))</f>
        <v/>
      </c>
      <c r="J278" s="210"/>
      <c r="K278" s="270" t="str">
        <f>IF(D278="","",VLOOKUP(D278,契約台帳!$A$3:$L$4986,12,FALSE))</f>
        <v/>
      </c>
      <c r="L278" s="270" t="str">
        <f>IF(D278="","",INDEX(製品マスタ!$Q$5:$Q$5002,MATCH('S4'!F278&amp;'S4'!K278,製品マスタ!$AO$5:$AO$5002,0)))</f>
        <v/>
      </c>
      <c r="M278" s="39"/>
      <c r="N278" s="39"/>
      <c r="O278" s="156"/>
      <c r="P278" s="47"/>
      <c r="Q278" s="57"/>
      <c r="R278" s="271" t="str">
        <f ca="1">IF(D278="","",IF(OFFSET(D278,-1,0)&lt;&gt;"","",IF(OR(J278="リード付け",J278="巻足し",J278="巻返しリード付け"),M278,VLOOKUP(D278,契約台帳!$A$3:$N$4986,14,FALSE))))</f>
        <v/>
      </c>
      <c r="S278" s="272" t="str">
        <f ca="1">IF(D278="","",IF(OFFSET(D278,-1,0)&lt;&gt;"","",IF(OR(J278="リード付け",J278="巻足し",J278="巻返しリード付け"),M278,VLOOKUP(D278,契約台帳!$A$3:$O$4986,15,FALSE))))</f>
        <v/>
      </c>
      <c r="T278" s="273" t="str">
        <f ca="1">IF(D278="","",IF(J278="リード付け",N278,IF(J278="巻返しリード付け",N278,IF(J278="巻足し",N278*P278+OFFSET(N278,1,0)*OFFSET(P278,1,0),VLOOKUP(D278,契約台帳!$A$3:$P$4986,16,FALSE)))))</f>
        <v/>
      </c>
      <c r="U278" s="40"/>
      <c r="V278" s="274" t="str">
        <f ca="1">IF(D278="","",IF(OFFSET(D278,-2,0)=D278,"",VLOOKUP(D278,契約台帳!$A$3:$R$4986,18,FALSE)))</f>
        <v/>
      </c>
      <c r="W278" s="269" t="str">
        <f>IF(D278="","",IF(T278="","",IF(OR(J278="巻足し",J278="巻返しリード付け"),"",IF(J278="巻返し",VLOOKUP(F278&amp;K278&amp;M278,製品マスタ!$M$5:$AD$5002,18,FALSE),IF(OR(J278="リード付け",J278="巻返しリード付け"),"原反コア",IF(J278="スリット",VLOOKUP(F278&amp;K278&amp;R278,製品マスタ!$N$5:$AD$5002,17,FALSE),""))))))</f>
        <v/>
      </c>
      <c r="X278" s="269" t="str">
        <f>IF(D278="","",IF(T278="","",IF(J278="巻足し","",IF(J278="巻返し",VLOOKUP(F278&amp;K278&amp;M278,製品マスタ!$M$5:$AE$5002,19,FALSE),IF(OR(J278="リード付け",J278="巻返しリード付け"),"",IF(J278="スリット",VLOOKUP(F278&amp;K278&amp;R278,製品マスタ!$N$5:$AE$5002,18,FALSE),""))))))</f>
        <v/>
      </c>
      <c r="Y278" s="275" t="str">
        <f>IF(D278="","",IF(T278="","",VLOOKUP(D278,契約台帳!$A$3:$Q$4986,17,FALSE)))</f>
        <v/>
      </c>
      <c r="Z278" s="269" t="str">
        <f>IF(D278="","",IF(T278="","",VLOOKUP(D278,契約台帳!$A$3:$E$4986,5,FALSE)))</f>
        <v/>
      </c>
      <c r="AA278" s="57"/>
      <c r="AB278" s="207" t="str">
        <f>IFERROR((VLOOKUP(F278&amp;K278&amp;M278,製品マスタ!$M$5:$AM$5002,27,FALSE)),"")</f>
        <v/>
      </c>
      <c r="AC278" s="33"/>
      <c r="AD278" s="189"/>
      <c r="AE278" s="54"/>
      <c r="AF278" s="55"/>
      <c r="AG278" s="43"/>
      <c r="AH278" s="47"/>
      <c r="AI278" s="30"/>
      <c r="AJ278" s="30"/>
      <c r="AK278" s="30"/>
      <c r="AL278" s="30"/>
      <c r="AM278" s="13"/>
      <c r="AN278" s="13"/>
      <c r="AO278" s="13"/>
      <c r="AP278" s="13"/>
      <c r="AQ278" s="13"/>
      <c r="AR278" s="14"/>
      <c r="AS278" s="15"/>
    </row>
    <row r="279" spans="1:45" s="17" customFormat="1" ht="30.95" hidden="1" customHeight="1" x14ac:dyDescent="0.2">
      <c r="A279" s="37" t="s">
        <v>924</v>
      </c>
      <c r="B279" s="38" t="s">
        <v>914</v>
      </c>
      <c r="C279" s="45"/>
      <c r="D279" s="31"/>
      <c r="E279" s="31"/>
      <c r="F279" s="268" t="str">
        <f>IF(D279="","",VLOOKUP(D279,契約台帳!$A$3:$K$4986,6,FALSE)&amp;VLOOKUP(D279,契約台帳!$A$3:$K$4986,7,FALSE)&amp;VLOOKUP(D279,契約台帳!$A$3:$K$4986,8,FALSE)&amp;VLOOKUP(D279,契約台帳!$A$3:$K$4986,9,FALSE)&amp;VLOOKUP(D279,契約台帳!$A$3:$K$4986,11,FALSE))</f>
        <v/>
      </c>
      <c r="G279" s="269" t="str">
        <f>IF(D279="","",VLOOKUP(F279,製品マスタ!$G$5:$H$5002,2,FALSE))</f>
        <v/>
      </c>
      <c r="H279" s="269" t="str">
        <f>IF(D279="","",VLOOKUP(F279,製品マスタ!$G$5:$K$5002,5,FALSE))</f>
        <v/>
      </c>
      <c r="I279" s="270" t="str">
        <f>IF(D279="","",VLOOKUP(F279,製品マスタ!$G$5:$L$5002,6,FALSE))</f>
        <v/>
      </c>
      <c r="J279" s="210" t="s">
        <v>919</v>
      </c>
      <c r="K279" s="270" t="str">
        <f>IF(D279="","",VLOOKUP(D279,契約台帳!$A$3:$L$4986,12,FALSE))</f>
        <v/>
      </c>
      <c r="L279" s="270" t="str">
        <f>IF(D279="","",INDEX(製品マスタ!$Q$5:$Q$5002,MATCH('S4'!F279&amp;'S4'!K279,製品マスタ!$AO$5:$AO$5002,0)))</f>
        <v/>
      </c>
      <c r="M279" s="39"/>
      <c r="N279" s="39"/>
      <c r="O279" s="156"/>
      <c r="P279" s="47"/>
      <c r="Q279" s="57"/>
      <c r="R279" s="271" t="str">
        <f ca="1">IF(D279="","",IF(OFFSET(D279,-1,0)&lt;&gt;"","",IF(OR(J279="リード付け",J279="巻足し",J279="巻返しリード付け"),M279,VLOOKUP(D279,契約台帳!$A$3:$N$4986,14,FALSE))))</f>
        <v/>
      </c>
      <c r="S279" s="272" t="str">
        <f ca="1">IF(D279="","",IF(OFFSET(D279,-1,0)&lt;&gt;"","",IF(OR(J279="リード付け",J279="巻足し",J279="巻返しリード付け"),M279,VLOOKUP(D279,契約台帳!$A$3:$O$4986,15,FALSE))))</f>
        <v/>
      </c>
      <c r="T279" s="273" t="str">
        <f ca="1">IF(D279="","",IF(J279="リード付け",N279,IF(J279="巻返しリード付け",N279,IF(J279="巻足し",N279*P279+OFFSET(N279,1,0)*OFFSET(P279,1,0),VLOOKUP(D279,契約台帳!$A$3:$P$4986,16,FALSE)))))</f>
        <v/>
      </c>
      <c r="U279" s="40"/>
      <c r="V279" s="274" t="str">
        <f ca="1">IF(D279="","",IF(OFFSET(D279,-2,0)=D279,"",VLOOKUP(D279,契約台帳!$A$3:$R$4986,18,FALSE)))</f>
        <v/>
      </c>
      <c r="W279" s="269" t="str">
        <f>IF(D279="","",IF(T279="","",IF(OR(J279="巻足し",J279="巻返しリード付け"),"",IF(J279="巻返し",VLOOKUP(F279&amp;K279&amp;M279,製品マスタ!$M$5:$AD$5002,18,FALSE),IF(OR(J279="リード付け",J279="巻返しリード付け"),"原反コア",IF(J279="スリット",VLOOKUP(F279&amp;K279&amp;R279,製品マスタ!$N$5:$AD$5002,17,FALSE),""))))))</f>
        <v/>
      </c>
      <c r="X279" s="269" t="str">
        <f>IF(D279="","",IF(T279="","",IF(J279="巻足し","",IF(J279="巻返し",VLOOKUP(F279&amp;K279&amp;M279,製品マスタ!$M$5:$AE$5002,19,FALSE),IF(OR(J279="リード付け",J279="巻返しリード付け"),"",IF(J279="スリット",VLOOKUP(F279&amp;K279&amp;R279,製品マスタ!$N$5:$AE$5002,18,FALSE),""))))))</f>
        <v/>
      </c>
      <c r="Y279" s="275" t="str">
        <f>IF(D279="","",IF(T279="","",VLOOKUP(D279,契約台帳!$A$3:$Q$4986,17,FALSE)))</f>
        <v/>
      </c>
      <c r="Z279" s="269" t="str">
        <f>IF(D279="","",IF(T279="","",VLOOKUP(D279,契約台帳!$A$3:$E$4986,5,FALSE)))</f>
        <v/>
      </c>
      <c r="AA279" s="57"/>
      <c r="AB279" s="207" t="str">
        <f>IFERROR((VLOOKUP(F279&amp;K279&amp;M279,製品マスタ!$M$5:$AM$5002,27,FALSE)),"")</f>
        <v/>
      </c>
      <c r="AC279" s="33"/>
      <c r="AD279" s="189"/>
      <c r="AE279" s="54"/>
      <c r="AF279" s="55"/>
      <c r="AG279" s="43"/>
      <c r="AH279" s="47"/>
      <c r="AI279" s="30"/>
      <c r="AJ279" s="30"/>
      <c r="AK279" s="30"/>
      <c r="AL279" s="30"/>
      <c r="AM279" s="13"/>
      <c r="AN279" s="13"/>
      <c r="AO279" s="13"/>
      <c r="AP279" s="13"/>
      <c r="AQ279" s="13"/>
      <c r="AR279" s="14"/>
      <c r="AS279" s="15"/>
    </row>
    <row r="280" spans="1:45" s="17" customFormat="1" ht="30.95" hidden="1" customHeight="1" x14ac:dyDescent="0.2">
      <c r="A280" s="37"/>
      <c r="B280" s="38"/>
      <c r="C280" s="45"/>
      <c r="D280" s="31"/>
      <c r="E280" s="31"/>
      <c r="F280" s="268" t="str">
        <f>IF(D280="","",VLOOKUP(D280,契約台帳!$A$3:$K$4986,6,FALSE)&amp;VLOOKUP(D280,契約台帳!$A$3:$K$4986,7,FALSE)&amp;VLOOKUP(D280,契約台帳!$A$3:$K$4986,8,FALSE)&amp;VLOOKUP(D280,契約台帳!$A$3:$K$4986,9,FALSE)&amp;VLOOKUP(D280,契約台帳!$A$3:$K$4986,11,FALSE))</f>
        <v/>
      </c>
      <c r="G280" s="269" t="str">
        <f>IF(D280="","",VLOOKUP(F280,製品マスタ!$G$5:$H$5002,2,FALSE))</f>
        <v/>
      </c>
      <c r="H280" s="269" t="str">
        <f>IF(D280="","",VLOOKUP(F280,製品マスタ!$G$5:$K$5002,5,FALSE))</f>
        <v/>
      </c>
      <c r="I280" s="270" t="str">
        <f>IF(D280="","",VLOOKUP(F280,製品マスタ!$G$5:$L$5002,6,FALSE))</f>
        <v/>
      </c>
      <c r="J280" s="210"/>
      <c r="K280" s="270" t="str">
        <f>IF(D280="","",VLOOKUP(D280,契約台帳!$A$3:$L$4986,12,FALSE))</f>
        <v/>
      </c>
      <c r="L280" s="270" t="str">
        <f>IF(D280="","",INDEX(製品マスタ!$Q$5:$Q$5002,MATCH('S4'!F280&amp;'S4'!K280,製品マスタ!$AO$5:$AO$5002,0)))</f>
        <v/>
      </c>
      <c r="M280" s="39"/>
      <c r="N280" s="39"/>
      <c r="O280" s="156"/>
      <c r="P280" s="47"/>
      <c r="Q280" s="57"/>
      <c r="R280" s="271" t="str">
        <f ca="1">IF(D280="","",IF(OFFSET(D280,-1,0)&lt;&gt;"","",IF(OR(J280="リード付け",J280="巻足し",J280="巻返しリード付け"),M280,VLOOKUP(D280,契約台帳!$A$3:$N$4986,14,FALSE))))</f>
        <v/>
      </c>
      <c r="S280" s="272" t="str">
        <f ca="1">IF(D280="","",IF(OFFSET(D280,-1,0)&lt;&gt;"","",IF(OR(J280="リード付け",J280="巻足し",J280="巻返しリード付け"),M280,VLOOKUP(D280,契約台帳!$A$3:$O$4986,15,FALSE))))</f>
        <v/>
      </c>
      <c r="T280" s="273" t="str">
        <f ca="1">IF(D280="","",IF(J280="リード付け",N280,IF(J280="巻返しリード付け",N280,IF(J280="巻足し",N280*P280+OFFSET(N280,1,0)*OFFSET(P280,1,0),VLOOKUP(D280,契約台帳!$A$3:$P$4986,16,FALSE)))))</f>
        <v/>
      </c>
      <c r="U280" s="40"/>
      <c r="V280" s="274" t="str">
        <f ca="1">IF(D280="","",IF(OFFSET(D280,-2,0)=D280,"",VLOOKUP(D280,契約台帳!$A$3:$R$4986,18,FALSE)))</f>
        <v/>
      </c>
      <c r="W280" s="269" t="str">
        <f>IF(D280="","",IF(T280="","",IF(OR(J280="巻足し",J280="巻返しリード付け"),"",IF(J280="巻返し",VLOOKUP(F280&amp;K280&amp;M280,製品マスタ!$M$5:$AD$5002,18,FALSE),IF(OR(J280="リード付け",J280="巻返しリード付け"),"原反コア",IF(J280="スリット",VLOOKUP(F280&amp;K280&amp;R280,製品マスタ!$N$5:$AD$5002,17,FALSE),""))))))</f>
        <v/>
      </c>
      <c r="X280" s="269" t="str">
        <f>IF(D280="","",IF(T280="","",IF(J280="巻足し","",IF(J280="巻返し",VLOOKUP(F280&amp;K280&amp;M280,製品マスタ!$M$5:$AE$5002,19,FALSE),IF(OR(J280="リード付け",J280="巻返しリード付け"),"",IF(J280="スリット",VLOOKUP(F280&amp;K280&amp;R280,製品マスタ!$N$5:$AE$5002,18,FALSE),""))))))</f>
        <v/>
      </c>
      <c r="Y280" s="275" t="str">
        <f>IF(D280="","",IF(T280="","",VLOOKUP(D280,契約台帳!$A$3:$Q$4986,17,FALSE)))</f>
        <v/>
      </c>
      <c r="Z280" s="269" t="str">
        <f>IF(D280="","",IF(T280="","",VLOOKUP(D280,契約台帳!$A$3:$E$4986,5,FALSE)))</f>
        <v/>
      </c>
      <c r="AA280" s="57"/>
      <c r="AB280" s="207" t="str">
        <f>IFERROR((VLOOKUP(F280&amp;K280&amp;M280,製品マスタ!$M$5:$AM$5002,27,FALSE)),"")</f>
        <v/>
      </c>
      <c r="AC280" s="33"/>
      <c r="AD280" s="189"/>
      <c r="AE280" s="54"/>
      <c r="AF280" s="55"/>
      <c r="AG280" s="43"/>
      <c r="AH280" s="47"/>
      <c r="AI280" s="30"/>
      <c r="AJ280" s="30"/>
      <c r="AK280" s="30"/>
      <c r="AL280" s="30"/>
      <c r="AM280" s="13"/>
      <c r="AN280" s="13"/>
      <c r="AO280" s="13"/>
      <c r="AP280" s="13"/>
      <c r="AQ280" s="13"/>
      <c r="AR280" s="14"/>
      <c r="AS280" s="15"/>
    </row>
    <row r="281" spans="1:45" s="17" customFormat="1" ht="30.95" hidden="1" customHeight="1" x14ac:dyDescent="0.2">
      <c r="A281" s="37" t="s">
        <v>925</v>
      </c>
      <c r="B281" s="38" t="s">
        <v>916</v>
      </c>
      <c r="C281" s="45"/>
      <c r="D281" s="31"/>
      <c r="E281" s="31"/>
      <c r="F281" s="268" t="str">
        <f>IF(D281="","",VLOOKUP(D281,契約台帳!$A$3:$K$4986,6,FALSE)&amp;VLOOKUP(D281,契約台帳!$A$3:$K$4986,7,FALSE)&amp;VLOOKUP(D281,契約台帳!$A$3:$K$4986,8,FALSE)&amp;VLOOKUP(D281,契約台帳!$A$3:$K$4986,9,FALSE)&amp;VLOOKUP(D281,契約台帳!$A$3:$K$4986,11,FALSE))</f>
        <v/>
      </c>
      <c r="G281" s="269" t="str">
        <f>IF(D281="","",VLOOKUP(F281,製品マスタ!$G$5:$H$5002,2,FALSE))</f>
        <v/>
      </c>
      <c r="H281" s="269" t="str">
        <f>IF(D281="","",VLOOKUP(F281,製品マスタ!$G$5:$K$5002,5,FALSE))</f>
        <v/>
      </c>
      <c r="I281" s="270" t="str">
        <f>IF(D281="","",VLOOKUP(F281,製品マスタ!$G$5:$L$5002,6,FALSE))</f>
        <v/>
      </c>
      <c r="J281" s="210" t="s">
        <v>926</v>
      </c>
      <c r="K281" s="270" t="str">
        <f>IF(D281="","",VLOOKUP(D281,契約台帳!$A$3:$L$4986,12,FALSE))</f>
        <v/>
      </c>
      <c r="L281" s="270" t="str">
        <f>IF(D281="","",INDEX(製品マスタ!$Q$5:$Q$5002,MATCH('S4'!F281&amp;'S4'!K281,製品マスタ!$AO$5:$AO$5002,0)))</f>
        <v/>
      </c>
      <c r="M281" s="39"/>
      <c r="N281" s="39"/>
      <c r="O281" s="156"/>
      <c r="P281" s="47"/>
      <c r="Q281" s="57"/>
      <c r="R281" s="271" t="str">
        <f ca="1">IF(D281="","",IF(OFFSET(D281,-1,0)&lt;&gt;"","",IF(OR(J281="リード付け",J281="巻足し",J281="巻返しリード付け"),M281,VLOOKUP(D281,契約台帳!$A$3:$N$4986,14,FALSE))))</f>
        <v/>
      </c>
      <c r="S281" s="272" t="str">
        <f ca="1">IF(D281="","",IF(OFFSET(D281,-1,0)&lt;&gt;"","",IF(OR(J281="リード付け",J281="巻足し",J281="巻返しリード付け"),M281,VLOOKUP(D281,契約台帳!$A$3:$O$4986,15,FALSE))))</f>
        <v/>
      </c>
      <c r="T281" s="273" t="str">
        <f ca="1">IF(D281="","",IF(J281="リード付け",N281,IF(J281="巻返しリード付け",N281,IF(J281="巻足し",N281*P281+OFFSET(N281,1,0)*OFFSET(P281,1,0),VLOOKUP(D281,契約台帳!$A$3:$P$4986,16,FALSE)))))</f>
        <v/>
      </c>
      <c r="U281" s="40"/>
      <c r="V281" s="274" t="str">
        <f ca="1">IF(D281="","",IF(OFFSET(D281,-2,0)=D281,"",VLOOKUP(D281,契約台帳!$A$3:$R$4986,18,FALSE)))</f>
        <v/>
      </c>
      <c r="W281" s="269" t="str">
        <f>IF(D281="","",IF(T281="","",IF(OR(J281="巻足し",J281="巻返しリード付け"),"",IF(J281="巻返し",VLOOKUP(F281&amp;K281&amp;M281,製品マスタ!$M$5:$AD$5002,18,FALSE),IF(OR(J281="リード付け",J281="巻返しリード付け"),"原反コア",IF(J281="スリット",VLOOKUP(F281&amp;K281&amp;R281,製品マスタ!$N$5:$AD$5002,17,FALSE),""))))))</f>
        <v/>
      </c>
      <c r="X281" s="269" t="str">
        <f>IF(D281="","",IF(T281="","",IF(J281="巻足し","",IF(J281="巻返し",VLOOKUP(F281&amp;K281&amp;M281,製品マスタ!$M$5:$AE$5002,19,FALSE),IF(OR(J281="リード付け",J281="巻返しリード付け"),"",IF(J281="スリット",VLOOKUP(F281&amp;K281&amp;R281,製品マスタ!$N$5:$AE$5002,18,FALSE),""))))))</f>
        <v/>
      </c>
      <c r="Y281" s="275" t="str">
        <f>IF(D281="","",IF(T281="","",VLOOKUP(D281,契約台帳!$A$3:$Q$4986,17,FALSE)))</f>
        <v/>
      </c>
      <c r="Z281" s="269" t="str">
        <f>IF(D281="","",IF(T281="","",VLOOKUP(D281,契約台帳!$A$3:$E$4986,5,FALSE)))</f>
        <v/>
      </c>
      <c r="AA281" s="57"/>
      <c r="AB281" s="207" t="str">
        <f>IFERROR((VLOOKUP(F281&amp;K281&amp;M281,製品マスタ!$M$5:$AM$5002,27,FALSE)),"")</f>
        <v/>
      </c>
      <c r="AC281" s="33"/>
      <c r="AD281" s="189"/>
      <c r="AE281" s="54"/>
      <c r="AF281" s="55"/>
      <c r="AG281" s="43"/>
      <c r="AH281" s="47"/>
      <c r="AI281" s="30"/>
      <c r="AJ281" s="30"/>
      <c r="AK281" s="30"/>
      <c r="AL281" s="30"/>
      <c r="AM281" s="13"/>
      <c r="AN281" s="13"/>
      <c r="AO281" s="13"/>
      <c r="AP281" s="13"/>
      <c r="AQ281" s="13"/>
      <c r="AR281" s="14"/>
      <c r="AS281" s="15"/>
    </row>
    <row r="282" spans="1:45" s="17" customFormat="1" ht="30.95" hidden="1" customHeight="1" x14ac:dyDescent="0.2">
      <c r="A282" s="37"/>
      <c r="B282" s="38"/>
      <c r="C282" s="45"/>
      <c r="D282" s="31"/>
      <c r="E282" s="31"/>
      <c r="F282" s="268" t="str">
        <f>IF(D282="","",VLOOKUP(D282,契約台帳!$A$3:$K$4986,6,FALSE)&amp;VLOOKUP(D282,契約台帳!$A$3:$K$4986,7,FALSE)&amp;VLOOKUP(D282,契約台帳!$A$3:$K$4986,8,FALSE)&amp;VLOOKUP(D282,契約台帳!$A$3:$K$4986,9,FALSE)&amp;VLOOKUP(D282,契約台帳!$A$3:$K$4986,11,FALSE))</f>
        <v/>
      </c>
      <c r="G282" s="269" t="str">
        <f>IF(D282="","",VLOOKUP(F282,製品マスタ!$G$5:$H$5002,2,FALSE))</f>
        <v/>
      </c>
      <c r="H282" s="269" t="str">
        <f>IF(D282="","",VLOOKUP(F282,製品マスタ!$G$5:$K$5002,5,FALSE))</f>
        <v/>
      </c>
      <c r="I282" s="270" t="str">
        <f>IF(D282="","",VLOOKUP(F282,製品マスタ!$G$5:$L$5002,6,FALSE))</f>
        <v/>
      </c>
      <c r="J282" s="210"/>
      <c r="K282" s="270" t="str">
        <f>IF(D282="","",VLOOKUP(D282,契約台帳!$A$3:$L$4986,12,FALSE))</f>
        <v/>
      </c>
      <c r="L282" s="270" t="str">
        <f>IF(D282="","",INDEX(製品マスタ!$Q$5:$Q$5002,MATCH('S4'!F282&amp;'S4'!K282,製品マスタ!$AO$5:$AO$5002,0)))</f>
        <v/>
      </c>
      <c r="M282" s="39"/>
      <c r="N282" s="39"/>
      <c r="O282" s="156"/>
      <c r="P282" s="47"/>
      <c r="Q282" s="57"/>
      <c r="R282" s="271" t="str">
        <f ca="1">IF(D282="","",IF(OFFSET(D282,-1,0)&lt;&gt;"","",IF(OR(J282="リード付け",J282="巻足し",J282="巻返しリード付け"),M282,VLOOKUP(D282,契約台帳!$A$3:$N$4986,14,FALSE))))</f>
        <v/>
      </c>
      <c r="S282" s="272" t="str">
        <f ca="1">IF(D282="","",IF(OFFSET(D282,-1,0)&lt;&gt;"","",IF(OR(J282="リード付け",J282="巻足し",J282="巻返しリード付け"),M282,VLOOKUP(D282,契約台帳!$A$3:$O$4986,15,FALSE))))</f>
        <v/>
      </c>
      <c r="T282" s="273" t="str">
        <f ca="1">IF(D282="","",IF(J282="リード付け",N282,IF(J282="巻返しリード付け",N282,IF(J282="巻足し",N282*P282+OFFSET(N282,1,0)*OFFSET(P282,1,0),VLOOKUP(D282,契約台帳!$A$3:$P$4986,16,FALSE)))))</f>
        <v/>
      </c>
      <c r="U282" s="40"/>
      <c r="V282" s="274" t="str">
        <f ca="1">IF(D282="","",IF(OFFSET(D282,-2,0)=D282,"",VLOOKUP(D282,契約台帳!$A$3:$R$4986,18,FALSE)))</f>
        <v/>
      </c>
      <c r="W282" s="269" t="str">
        <f>IF(D282="","",IF(T282="","",IF(OR(J282="巻足し",J282="巻返しリード付け"),"",IF(J282="巻返し",VLOOKUP(F282&amp;K282&amp;M282,製品マスタ!$M$5:$AD$5002,18,FALSE),IF(OR(J282="リード付け",J282="巻返しリード付け"),"原反コア",IF(J282="スリット",VLOOKUP(F282&amp;K282&amp;R282,製品マスタ!$N$5:$AD$5002,17,FALSE),""))))))</f>
        <v/>
      </c>
      <c r="X282" s="269" t="str">
        <f>IF(D282="","",IF(T282="","",IF(J282="巻足し","",IF(J282="巻返し",VLOOKUP(F282&amp;K282&amp;M282,製品マスタ!$M$5:$AE$5002,19,FALSE),IF(OR(J282="リード付け",J282="巻返しリード付け"),"",IF(J282="スリット",VLOOKUP(F282&amp;K282&amp;R282,製品マスタ!$N$5:$AE$5002,18,FALSE),""))))))</f>
        <v/>
      </c>
      <c r="Y282" s="275" t="str">
        <f>IF(D282="","",IF(T282="","",VLOOKUP(D282,契約台帳!$A$3:$Q$4986,17,FALSE)))</f>
        <v/>
      </c>
      <c r="Z282" s="269" t="str">
        <f>IF(D282="","",IF(T282="","",VLOOKUP(D282,契約台帳!$A$3:$E$4986,5,FALSE)))</f>
        <v/>
      </c>
      <c r="AA282" s="57"/>
      <c r="AB282" s="207" t="str">
        <f>IFERROR((VLOOKUP(F282&amp;K282&amp;M282,製品マスタ!$M$5:$AM$5002,27,FALSE)),"")</f>
        <v/>
      </c>
      <c r="AC282" s="33"/>
      <c r="AD282" s="189"/>
      <c r="AE282" s="54"/>
      <c r="AF282" s="55"/>
      <c r="AG282" s="43"/>
      <c r="AH282" s="47"/>
      <c r="AI282" s="30"/>
      <c r="AJ282" s="30"/>
      <c r="AK282" s="30"/>
      <c r="AL282" s="30"/>
      <c r="AM282" s="13"/>
      <c r="AN282" s="13"/>
      <c r="AO282" s="13"/>
      <c r="AP282" s="13"/>
      <c r="AQ282" s="13"/>
      <c r="AR282" s="14"/>
      <c r="AS282" s="15"/>
    </row>
    <row r="283" spans="1:45" s="17" customFormat="1" ht="30.95" hidden="1" customHeight="1" x14ac:dyDescent="0.2">
      <c r="A283" s="37" t="s">
        <v>933</v>
      </c>
      <c r="B283" s="38" t="s">
        <v>934</v>
      </c>
      <c r="C283" s="45"/>
      <c r="D283" s="31">
        <v>3702341</v>
      </c>
      <c r="E283" s="31">
        <v>4161856</v>
      </c>
      <c r="F283" s="268" t="str">
        <f>IF(D283="","",VLOOKUP(D283,契約台帳!$A$3:$K$4986,6,FALSE)&amp;VLOOKUP(D283,契約台帳!$A$3:$K$4986,7,FALSE)&amp;VLOOKUP(D283,契約台帳!$A$3:$K$4986,8,FALSE)&amp;VLOOKUP(D283,契約台帳!$A$3:$K$4986,9,FALSE)&amp;VLOOKUP(D283,契約台帳!$A$3:$K$4986,11,FALSE))</f>
        <v>3SNMCLBMSNEYK</v>
      </c>
      <c r="G283" s="269" t="str">
        <f>IF(D283="","",VLOOKUP(F283,製品マスタ!$G$5:$H$5002,2,FALSE))</f>
        <v>S</v>
      </c>
      <c r="H283" s="269" t="str">
        <f>IF(D283="","",VLOOKUP(F283,製品マスタ!$G$5:$K$5002,5,FALSE))</f>
        <v>MSNEYK</v>
      </c>
      <c r="I283" s="270" t="str">
        <f>IF(D283="","",VLOOKUP(F283,製品マスタ!$G$5:$L$5002,6,FALSE))</f>
        <v>ＭＳＮ　ＥＹＫ</v>
      </c>
      <c r="J283" s="210" t="s">
        <v>935</v>
      </c>
      <c r="K283" s="270">
        <f>IF(D283="","",VLOOKUP(D283,契約台帳!$A$3:$L$4986,12,FALSE))</f>
        <v>50</v>
      </c>
      <c r="L283" s="270" t="str">
        <f>IF(D283="","",INDEX(製品マスタ!$Q$5:$Q$5002,MATCH('S4'!F283&amp;'S4'!K283,製品マスタ!$AO$5:$AO$5002,0)))</f>
        <v>N-MAT</v>
      </c>
      <c r="M283" s="39">
        <v>1200</v>
      </c>
      <c r="N283" s="39">
        <v>6000</v>
      </c>
      <c r="O283" s="156">
        <v>6</v>
      </c>
      <c r="P283" s="47">
        <v>2</v>
      </c>
      <c r="Q283" s="213">
        <v>44986</v>
      </c>
      <c r="R283" s="271">
        <f ca="1">IF(D283="","",IF(OFFSET(D283,-1,0)&lt;&gt;"","",IF(OR(J283="リード付け",J283="巻足し",J283="巻返しリード付け"),M283,VLOOKUP(D283,契約台帳!$A$3:$N$4986,14,FALSE))))</f>
        <v>1200</v>
      </c>
      <c r="S283" s="272">
        <f ca="1">IF(D283="","",IF(OFFSET(D283,-1,0)&lt;&gt;"","",IF(OR(J283="リード付け",J283="巻足し",J283="巻返しリード付け"),M283,VLOOKUP(D283,契約台帳!$A$3:$O$4986,15,FALSE))))</f>
        <v>1200</v>
      </c>
      <c r="T283" s="273">
        <f ca="1">IF(D283="","",IF(J283="リード付け",N283,IF(J283="巻返しリード付け",N283,IF(J283="巻足し",N283*P283+OFFSET(N283,1,0)*OFFSET(P283,1,0),VLOOKUP(D283,契約台帳!$A$3:$P$4986,16,FALSE)))))</f>
        <v>12000</v>
      </c>
      <c r="U283" s="40">
        <v>3</v>
      </c>
      <c r="V283" s="274">
        <f ca="1">IF(D283="","",IF(OFFSET(D283,-2,0)=D283,"",VLOOKUP(D283,契約台帳!$A$3:$R$4986,18,FALSE)))</f>
        <v>6</v>
      </c>
      <c r="W283" s="269" t="str">
        <f ca="1">IF(D283="","",IF(T283="","",IF(OR(J283="巻足し",J283="巻返しリード付け"),"",IF(J283="巻返し",VLOOKUP(F283&amp;K283&amp;M283,製品マスタ!$M$5:$AD$5002,18,FALSE),IF(OR(J283="リード付け",J283="巻返しリード付け"),"原反コア",IF(J283="スリット",VLOOKUP(F283&amp;K283&amp;R283,製品マスタ!$N$5:$AD$5002,17,FALSE),""))))))</f>
        <v/>
      </c>
      <c r="X283" s="269" t="str">
        <f ca="1">IF(D283="","",IF(T283="","",IF(J283="巻足し","",IF(J283="巻返し",VLOOKUP(F283&amp;K283&amp;M283,製品マスタ!$M$5:$AE$5002,19,FALSE),IF(OR(J283="リード付け",J283="巻返しリード付け"),"",IF(J283="スリット",VLOOKUP(F283&amp;K283&amp;R283,製品マスタ!$N$5:$AE$5002,18,FALSE),""))))))</f>
        <v/>
      </c>
      <c r="Y283" s="275">
        <f ca="1">IF(D283="","",IF(T283="","",VLOOKUP(D283,契約台帳!$A$3:$Q$4986,17,FALSE)))</f>
        <v>2</v>
      </c>
      <c r="Z283" s="269" t="str">
        <f ca="1">IF(D283="","",IF(T283="","",VLOOKUP(D283,契約台帳!$A$3:$E$4986,5,FALSE)))</f>
        <v>大阪シーリング印刷㈱</v>
      </c>
      <c r="AA283" s="57"/>
      <c r="AB283" s="207" t="str">
        <f>IFERROR((VLOOKUP(F283&amp;K283&amp;M283,製品マスタ!$M$5:$AM$5002,27,FALSE)),"")</f>
        <v>原反ケース再利用</v>
      </c>
      <c r="AC283" s="33"/>
      <c r="AD283" s="189"/>
      <c r="AE283" s="54"/>
      <c r="AF283" s="55"/>
      <c r="AG283" s="43"/>
      <c r="AH283" s="47"/>
      <c r="AI283" s="30"/>
      <c r="AJ283" s="30"/>
      <c r="AK283" s="30"/>
      <c r="AL283" s="30"/>
      <c r="AM283" s="13"/>
      <c r="AN283" s="13"/>
      <c r="AO283" s="13"/>
      <c r="AP283" s="13"/>
      <c r="AQ283" s="13"/>
      <c r="AR283" s="14"/>
      <c r="AS283" s="15"/>
    </row>
    <row r="284" spans="1:45" s="17" customFormat="1" ht="30.95" hidden="1" customHeight="1" x14ac:dyDescent="0.2">
      <c r="A284" s="37"/>
      <c r="B284" s="38"/>
      <c r="C284" s="45"/>
      <c r="D284" s="31"/>
      <c r="E284" s="31"/>
      <c r="F284" s="268" t="str">
        <f>IF(D284="","",VLOOKUP(D284,契約台帳!$A$3:$K$4986,6,FALSE)&amp;VLOOKUP(D284,契約台帳!$A$3:$K$4986,7,FALSE)&amp;VLOOKUP(D284,契約台帳!$A$3:$K$4986,8,FALSE)&amp;VLOOKUP(D284,契約台帳!$A$3:$K$4986,9,FALSE)&amp;VLOOKUP(D284,契約台帳!$A$3:$K$4986,11,FALSE))</f>
        <v/>
      </c>
      <c r="G284" s="269" t="str">
        <f>IF(D284="","",VLOOKUP(F284,製品マスタ!$G$5:$H$5002,2,FALSE))</f>
        <v/>
      </c>
      <c r="H284" s="269" t="str">
        <f>IF(D284="","",VLOOKUP(F284,製品マスタ!$G$5:$K$5002,5,FALSE))</f>
        <v/>
      </c>
      <c r="I284" s="270" t="str">
        <f>IF(D284="","",VLOOKUP(F284,製品マスタ!$G$5:$L$5002,6,FALSE))</f>
        <v/>
      </c>
      <c r="J284" s="210"/>
      <c r="K284" s="270" t="str">
        <f>IF(D284="","",VLOOKUP(D284,契約台帳!$A$3:$L$4986,12,FALSE))</f>
        <v/>
      </c>
      <c r="L284" s="270" t="str">
        <f>IF(D284="","",INDEX(製品マスタ!$Q$5:$Q$5002,MATCH('S4'!F284&amp;'S4'!K284,製品マスタ!$AO$5:$AO$5002,0)))</f>
        <v/>
      </c>
      <c r="M284" s="39"/>
      <c r="N284" s="39"/>
      <c r="O284" s="156"/>
      <c r="P284" s="47"/>
      <c r="Q284" s="57"/>
      <c r="R284" s="271" t="str">
        <f ca="1">IF(D284="","",IF(OFFSET(D284,-1,0)&lt;&gt;"","",IF(OR(J284="リード付け",J284="巻足し",J284="巻返しリード付け"),M284,VLOOKUP(D284,契約台帳!$A$3:$N$4986,14,FALSE))))</f>
        <v/>
      </c>
      <c r="S284" s="272" t="str">
        <f ca="1">IF(D284="","",IF(OFFSET(D284,-1,0)&lt;&gt;"","",IF(OR(J284="リード付け",J284="巻足し",J284="巻返しリード付け"),M284,VLOOKUP(D284,契約台帳!$A$3:$O$4986,15,FALSE))))</f>
        <v/>
      </c>
      <c r="T284" s="273" t="str">
        <f ca="1">IF(D284="","",IF(J284="リード付け",N284,IF(J284="巻返しリード付け",N284,IF(J284="巻足し",N284*P284+OFFSET(N284,1,0)*OFFSET(P284,1,0),VLOOKUP(D284,契約台帳!$A$3:$P$4986,16,FALSE)))))</f>
        <v/>
      </c>
      <c r="U284" s="40"/>
      <c r="V284" s="274" t="str">
        <f ca="1">IF(D284="","",IF(OFFSET(D284,-2,0)=D284,"",VLOOKUP(D284,契約台帳!$A$3:$R$4986,18,FALSE)))</f>
        <v/>
      </c>
      <c r="W284" s="269" t="str">
        <f>IF(D284="","",IF(T284="","",IF(OR(J284="巻足し",J284="巻返しリード付け"),"",IF(J284="巻返し",VLOOKUP(F284&amp;K284&amp;M284,製品マスタ!$M$5:$AD$5002,18,FALSE),IF(OR(J284="リード付け",J284="巻返しリード付け"),"原反コア",IF(J284="スリット",VLOOKUP(F284&amp;K284&amp;R284,製品マスタ!$N$5:$AD$5002,17,FALSE),""))))))</f>
        <v/>
      </c>
      <c r="X284" s="269" t="str">
        <f>IF(D284="","",IF(T284="","",IF(J284="巻足し","",IF(J284="巻返し",VLOOKUP(F284&amp;K284&amp;M284,製品マスタ!$M$5:$AE$5002,19,FALSE),IF(OR(J284="リード付け",J284="巻返しリード付け"),"",IF(J284="スリット",VLOOKUP(F284&amp;K284&amp;R284,製品マスタ!$N$5:$AE$5002,18,FALSE),""))))))</f>
        <v/>
      </c>
      <c r="Y284" s="275" t="str">
        <f>IF(D284="","",IF(T284="","",VLOOKUP(D284,契約台帳!$A$3:$Q$4986,17,FALSE)))</f>
        <v/>
      </c>
      <c r="Z284" s="269" t="str">
        <f>IF(D284="","",IF(T284="","",VLOOKUP(D284,契約台帳!$A$3:$E$4986,5,FALSE)))</f>
        <v/>
      </c>
      <c r="AA284" s="57"/>
      <c r="AB284" s="207" t="str">
        <f>IFERROR((VLOOKUP(F284&amp;K284&amp;M284,製品マスタ!$M$5:$AM$5002,27,FALSE)),"")</f>
        <v/>
      </c>
      <c r="AC284" s="33"/>
      <c r="AD284" s="189"/>
      <c r="AE284" s="54"/>
      <c r="AF284" s="55"/>
      <c r="AG284" s="43"/>
      <c r="AH284" s="47"/>
      <c r="AI284" s="30"/>
      <c r="AJ284" s="30"/>
      <c r="AK284" s="30"/>
      <c r="AL284" s="30"/>
      <c r="AM284" s="13"/>
      <c r="AN284" s="13"/>
      <c r="AO284" s="13"/>
      <c r="AP284" s="13"/>
      <c r="AQ284" s="13"/>
      <c r="AR284" s="14"/>
      <c r="AS284" s="15"/>
    </row>
    <row r="285" spans="1:45" s="17" customFormat="1" ht="30.95" hidden="1" customHeight="1" x14ac:dyDescent="0.2">
      <c r="A285" s="37"/>
      <c r="B285" s="38"/>
      <c r="C285" s="45"/>
      <c r="D285" s="31">
        <v>3700956</v>
      </c>
      <c r="E285" s="31">
        <v>4161842</v>
      </c>
      <c r="F285" s="268" t="str">
        <f>IF(D285="","",VLOOKUP(D285,契約台帳!$A$3:$K$4986,6,FALSE)&amp;VLOOKUP(D285,契約台帳!$A$3:$K$4986,7,FALSE)&amp;VLOOKUP(D285,契約台帳!$A$3:$K$4986,8,FALSE)&amp;VLOOKUP(D285,契約台帳!$A$3:$K$4986,9,FALSE)&amp;VLOOKUP(D285,契約台帳!$A$3:$K$4986,11,FALSE))</f>
        <v>3SNMLBMNGTBF</v>
      </c>
      <c r="G285" s="269" t="str">
        <f>IF(D285="","",VLOOKUP(F285,製品マスタ!$G$5:$H$5002,2,FALSE))</f>
        <v>S</v>
      </c>
      <c r="H285" s="269" t="str">
        <f>IF(D285="","",VLOOKUP(F285,製品マスタ!$G$5:$K$5002,5,FALSE))</f>
        <v>MNGTBF</v>
      </c>
      <c r="I285" s="270" t="str">
        <f>IF(D285="","",VLOOKUP(F285,製品マスタ!$G$5:$L$5002,6,FALSE))</f>
        <v>メタルミー　ネーマー　銀艶　Ｂ</v>
      </c>
      <c r="J285" s="210" t="s">
        <v>935</v>
      </c>
      <c r="K285" s="270">
        <f>IF(D285="","",VLOOKUP(D285,契約台帳!$A$3:$L$4986,12,FALSE))</f>
        <v>50</v>
      </c>
      <c r="L285" s="270" t="str">
        <f>IF(D285="","",INDEX(製品マスタ!$Q$5:$Q$5002,MATCH('S4'!F285&amp;'S4'!K285,製品マスタ!$AO$5:$AO$5002,0)))</f>
        <v>T62</v>
      </c>
      <c r="M285" s="39">
        <v>1120</v>
      </c>
      <c r="N285" s="39">
        <v>5000</v>
      </c>
      <c r="O285" s="156">
        <v>12</v>
      </c>
      <c r="P285" s="47">
        <v>2</v>
      </c>
      <c r="Q285" s="213">
        <v>44986</v>
      </c>
      <c r="R285" s="271">
        <f ca="1">IF(D285="","",IF(OFFSET(D285,-1,0)&lt;&gt;"","",IF(OR(J285="リード付け",J285="巻足し",J285="巻返しリード付け"),M285,VLOOKUP(D285,契約台帳!$A$3:$N$4986,14,FALSE))))</f>
        <v>1120</v>
      </c>
      <c r="S285" s="272">
        <f ca="1">IF(D285="","",IF(OFFSET(D285,-1,0)&lt;&gt;"","",IF(OR(J285="リード付け",J285="巻足し",J285="巻返しリード付け"),M285,VLOOKUP(D285,契約台帳!$A$3:$O$4986,15,FALSE))))</f>
        <v>1120</v>
      </c>
      <c r="T285" s="273">
        <f ca="1">IF(D285="","",IF(J285="リード付け",N285,IF(J285="巻返しリード付け",N285,IF(J285="巻足し",N285*P285+OFFSET(N285,1,0)*OFFSET(P285,1,0),VLOOKUP(D285,契約台帳!$A$3:$P$4986,16,FALSE)))))</f>
        <v>10000</v>
      </c>
      <c r="U285" s="40">
        <v>6</v>
      </c>
      <c r="V285" s="274">
        <f ca="1">IF(D285="","",IF(OFFSET(D285,-2,0)=D285,"",VLOOKUP(D285,契約台帳!$A$3:$R$4986,18,FALSE)))</f>
        <v>12</v>
      </c>
      <c r="W285" s="269" t="str">
        <f ca="1">IF(D285="","",IF(T285="","",IF(OR(J285="巻足し",J285="巻返しリード付け"),"",IF(J285="巻返し",VLOOKUP(F285&amp;K285&amp;M285,製品マスタ!$M$5:$AD$5002,18,FALSE),IF(OR(J285="リード付け",J285="巻返しリード付け"),"原反コア",IF(J285="スリット",VLOOKUP(F285&amp;K285&amp;R285,製品マスタ!$N$5:$AD$5002,17,FALSE),""))))))</f>
        <v/>
      </c>
      <c r="X285" s="269" t="str">
        <f ca="1">IF(D285="","",IF(T285="","",IF(J285="巻足し","",IF(J285="巻返し",VLOOKUP(F285&amp;K285&amp;M285,製品マスタ!$M$5:$AE$5002,19,FALSE),IF(OR(J285="リード付け",J285="巻返しリード付け"),"",IF(J285="スリット",VLOOKUP(F285&amp;K285&amp;R285,製品マスタ!$N$5:$AE$5002,18,FALSE),""))))))</f>
        <v/>
      </c>
      <c r="Y285" s="275">
        <f ca="1">IF(D285="","",IF(T285="","",VLOOKUP(D285,契約台帳!$A$3:$Q$4986,17,FALSE)))</f>
        <v>2</v>
      </c>
      <c r="Z285" s="269" t="str">
        <f ca="1">IF(D285="","",IF(T285="","",VLOOKUP(D285,契約台帳!$A$3:$E$4986,5,FALSE)))</f>
        <v>リンテック㈱</v>
      </c>
      <c r="AA285" s="57"/>
      <c r="AB285" s="207" t="str">
        <f>IFERROR((VLOOKUP(F285&amp;K285&amp;M285,製品マスタ!$M$5:$AM$5002,27,FALSE)),"")</f>
        <v>原反ケース再利用</v>
      </c>
      <c r="AC285" s="33"/>
      <c r="AD285" s="189"/>
      <c r="AE285" s="54"/>
      <c r="AF285" s="55"/>
      <c r="AG285" s="43"/>
      <c r="AH285" s="47"/>
      <c r="AI285" s="30"/>
      <c r="AJ285" s="30"/>
      <c r="AK285" s="30"/>
      <c r="AL285" s="30"/>
      <c r="AM285" s="13"/>
      <c r="AN285" s="13"/>
      <c r="AO285" s="13"/>
      <c r="AP285" s="13"/>
      <c r="AQ285" s="13"/>
      <c r="AR285" s="14"/>
      <c r="AS285" s="15"/>
    </row>
    <row r="286" spans="1:45" s="17" customFormat="1" ht="30.95" hidden="1" customHeight="1" x14ac:dyDescent="0.2">
      <c r="A286" s="37"/>
      <c r="B286" s="38"/>
      <c r="C286" s="45"/>
      <c r="D286" s="31"/>
      <c r="E286" s="31"/>
      <c r="F286" s="268" t="str">
        <f>IF(D286="","",VLOOKUP(D286,契約台帳!$A$3:$K$4986,6,FALSE)&amp;VLOOKUP(D286,契約台帳!$A$3:$K$4986,7,FALSE)&amp;VLOOKUP(D286,契約台帳!$A$3:$K$4986,8,FALSE)&amp;VLOOKUP(D286,契約台帳!$A$3:$K$4986,9,FALSE)&amp;VLOOKUP(D286,契約台帳!$A$3:$K$4986,11,FALSE))</f>
        <v/>
      </c>
      <c r="G286" s="269" t="str">
        <f>IF(D286="","",VLOOKUP(F286,製品マスタ!$G$5:$H$5002,2,FALSE))</f>
        <v/>
      </c>
      <c r="H286" s="269" t="str">
        <f>IF(D286="","",VLOOKUP(F286,製品マスタ!$G$5:$K$5002,5,FALSE))</f>
        <v/>
      </c>
      <c r="I286" s="270" t="str">
        <f>IF(D286="","",VLOOKUP(F286,製品マスタ!$G$5:$L$5002,6,FALSE))</f>
        <v/>
      </c>
      <c r="J286" s="210"/>
      <c r="K286" s="270" t="str">
        <f>IF(D286="","",VLOOKUP(D286,契約台帳!$A$3:$L$4986,12,FALSE))</f>
        <v/>
      </c>
      <c r="L286" s="270" t="str">
        <f>IF(D286="","",INDEX(製品マスタ!$Q$5:$Q$5002,MATCH('S4'!F286&amp;'S4'!K286,製品マスタ!$AO$5:$AO$5002,0)))</f>
        <v/>
      </c>
      <c r="M286" s="39"/>
      <c r="N286" s="39"/>
      <c r="O286" s="156"/>
      <c r="P286" s="47"/>
      <c r="Q286" s="57"/>
      <c r="R286" s="271" t="str">
        <f ca="1">IF(D286="","",IF(OFFSET(D286,-1,0)&lt;&gt;"","",IF(OR(J286="リード付け",J286="巻足し",J286="巻返しリード付け"),M286,VLOOKUP(D286,契約台帳!$A$3:$N$4986,14,FALSE))))</f>
        <v/>
      </c>
      <c r="S286" s="272" t="str">
        <f ca="1">IF(D286="","",IF(OFFSET(D286,-1,0)&lt;&gt;"","",IF(OR(J286="リード付け",J286="巻足し",J286="巻返しリード付け"),M286,VLOOKUP(D286,契約台帳!$A$3:$O$4986,15,FALSE))))</f>
        <v/>
      </c>
      <c r="T286" s="273" t="str">
        <f ca="1">IF(D286="","",IF(J286="リード付け",N286,IF(J286="巻返しリード付け",N286,IF(J286="巻足し",N286*P286+OFFSET(N286,1,0)*OFFSET(P286,1,0),VLOOKUP(D286,契約台帳!$A$3:$P$4986,16,FALSE)))))</f>
        <v/>
      </c>
      <c r="U286" s="40"/>
      <c r="V286" s="274" t="str">
        <f ca="1">IF(D286="","",IF(OFFSET(D286,-2,0)=D286,"",VLOOKUP(D286,契約台帳!$A$3:$R$4986,18,FALSE)))</f>
        <v/>
      </c>
      <c r="W286" s="269" t="str">
        <f>IF(D286="","",IF(T286="","",IF(OR(J286="巻足し",J286="巻返しリード付け"),"",IF(J286="巻返し",VLOOKUP(F286&amp;K286&amp;M286,製品マスタ!$M$5:$AD$5002,18,FALSE),IF(OR(J286="リード付け",J286="巻返しリード付け"),"原反コア",IF(J286="スリット",VLOOKUP(F286&amp;K286&amp;R286,製品マスタ!$N$5:$AD$5002,17,FALSE),""))))))</f>
        <v/>
      </c>
      <c r="X286" s="269" t="str">
        <f>IF(D286="","",IF(T286="","",IF(J286="巻足し","",IF(J286="巻返し",VLOOKUP(F286&amp;K286&amp;M286,製品マスタ!$M$5:$AE$5002,19,FALSE),IF(OR(J286="リード付け",J286="巻返しリード付け"),"",IF(J286="スリット",VLOOKUP(F286&amp;K286&amp;R286,製品マスタ!$N$5:$AE$5002,18,FALSE),""))))))</f>
        <v/>
      </c>
      <c r="Y286" s="275" t="str">
        <f>IF(D286="","",IF(T286="","",VLOOKUP(D286,契約台帳!$A$3:$Q$4986,17,FALSE)))</f>
        <v/>
      </c>
      <c r="Z286" s="269" t="str">
        <f>IF(D286="","",IF(T286="","",VLOOKUP(D286,契約台帳!$A$3:$E$4986,5,FALSE)))</f>
        <v/>
      </c>
      <c r="AA286" s="57"/>
      <c r="AB286" s="207" t="str">
        <f>IFERROR((VLOOKUP(F286&amp;K286&amp;M286,製品マスタ!$M$5:$AM$5002,27,FALSE)),"")</f>
        <v/>
      </c>
      <c r="AC286" s="33"/>
      <c r="AD286" s="189"/>
      <c r="AE286" s="54"/>
      <c r="AF286" s="55"/>
      <c r="AG286" s="43"/>
      <c r="AH286" s="47"/>
      <c r="AI286" s="30"/>
      <c r="AJ286" s="30"/>
      <c r="AK286" s="30"/>
      <c r="AL286" s="30"/>
      <c r="AM286" s="13"/>
      <c r="AN286" s="13"/>
      <c r="AO286" s="13"/>
      <c r="AP286" s="13"/>
      <c r="AQ286" s="13"/>
      <c r="AR286" s="14"/>
      <c r="AS286" s="15"/>
    </row>
    <row r="287" spans="1:45" s="17" customFormat="1" ht="30.95" hidden="1" customHeight="1" x14ac:dyDescent="0.2">
      <c r="A287" s="37" t="s">
        <v>936</v>
      </c>
      <c r="B287" s="38" t="s">
        <v>937</v>
      </c>
      <c r="C287" s="45"/>
      <c r="D287" s="31">
        <v>3700957</v>
      </c>
      <c r="E287" s="31">
        <v>4161843</v>
      </c>
      <c r="F287" s="268" t="str">
        <f>IF(D287="","",VLOOKUP(D287,契約台帳!$A$3:$K$4986,6,FALSE)&amp;VLOOKUP(D287,契約台帳!$A$3:$K$4986,7,FALSE)&amp;VLOOKUP(D287,契約台帳!$A$3:$K$4986,8,FALSE)&amp;VLOOKUP(D287,契約台帳!$A$3:$K$4986,9,FALSE)&amp;VLOOKUP(D287,契約台帳!$A$3:$K$4986,11,FALSE))</f>
        <v>3SNMLBMNGTBF</v>
      </c>
      <c r="G287" s="269" t="str">
        <f>IF(D287="","",VLOOKUP(F287,製品マスタ!$G$5:$H$5002,2,FALSE))</f>
        <v>S</v>
      </c>
      <c r="H287" s="269" t="str">
        <f>IF(D287="","",VLOOKUP(F287,製品マスタ!$G$5:$K$5002,5,FALSE))</f>
        <v>MNGTBF</v>
      </c>
      <c r="I287" s="270" t="str">
        <f>IF(D287="","",VLOOKUP(F287,製品マスタ!$G$5:$L$5002,6,FALSE))</f>
        <v>メタルミー　ネーマー　銀艶　Ｂ</v>
      </c>
      <c r="J287" s="210" t="s">
        <v>935</v>
      </c>
      <c r="K287" s="270">
        <f>IF(D287="","",VLOOKUP(D287,契約台帳!$A$3:$L$4986,12,FALSE))</f>
        <v>50</v>
      </c>
      <c r="L287" s="270" t="str">
        <f>IF(D287="","",INDEX(製品マスタ!$Q$5:$Q$5002,MATCH('S4'!F287&amp;'S4'!K287,製品マスタ!$AO$5:$AO$5002,0)))</f>
        <v>T62</v>
      </c>
      <c r="M287" s="39">
        <v>1120</v>
      </c>
      <c r="N287" s="39">
        <v>5000</v>
      </c>
      <c r="O287" s="156">
        <v>12</v>
      </c>
      <c r="P287" s="47">
        <v>2</v>
      </c>
      <c r="Q287" s="213">
        <v>44986</v>
      </c>
      <c r="R287" s="271">
        <f ca="1">IF(D287="","",IF(OFFSET(D287,-1,0)&lt;&gt;"","",IF(OR(J287="リード付け",J287="巻足し",J287="巻返しリード付け"),M287,VLOOKUP(D287,契約台帳!$A$3:$N$4986,14,FALSE))))</f>
        <v>1120</v>
      </c>
      <c r="S287" s="272">
        <f ca="1">IF(D287="","",IF(OFFSET(D287,-1,0)&lt;&gt;"","",IF(OR(J287="リード付け",J287="巻足し",J287="巻返しリード付け"),M287,VLOOKUP(D287,契約台帳!$A$3:$O$4986,15,FALSE))))</f>
        <v>1120</v>
      </c>
      <c r="T287" s="273">
        <f ca="1">IF(D287="","",IF(J287="リード付け",N287,IF(J287="巻返しリード付け",N287,IF(J287="巻足し",N287*P287+OFFSET(N287,1,0)*OFFSET(P287,1,0),VLOOKUP(D287,契約台帳!$A$3:$P$4986,16,FALSE)))))</f>
        <v>10000</v>
      </c>
      <c r="U287" s="40">
        <v>6</v>
      </c>
      <c r="V287" s="274">
        <f ca="1">IF(D287="","",IF(OFFSET(D287,-2,0)=D287,"",VLOOKUP(D287,契約台帳!$A$3:$R$4986,18,FALSE)))</f>
        <v>12</v>
      </c>
      <c r="W287" s="269" t="str">
        <f ca="1">IF(D287="","",IF(T287="","",IF(OR(J287="巻足し",J287="巻返しリード付け"),"",IF(J287="巻返し",VLOOKUP(F287&amp;K287&amp;M287,製品マスタ!$M$5:$AD$5002,18,FALSE),IF(OR(J287="リード付け",J287="巻返しリード付け"),"原反コア",IF(J287="スリット",VLOOKUP(F287&amp;K287&amp;R287,製品マスタ!$N$5:$AD$5002,17,FALSE),""))))))</f>
        <v/>
      </c>
      <c r="X287" s="269" t="str">
        <f ca="1">IF(D287="","",IF(T287="","",IF(J287="巻足し","",IF(J287="巻返し",VLOOKUP(F287&amp;K287&amp;M287,製品マスタ!$M$5:$AE$5002,19,FALSE),IF(OR(J287="リード付け",J287="巻返しリード付け"),"",IF(J287="スリット",VLOOKUP(F287&amp;K287&amp;R287,製品マスタ!$N$5:$AE$5002,18,FALSE),""))))))</f>
        <v/>
      </c>
      <c r="Y287" s="275">
        <f ca="1">IF(D287="","",IF(T287="","",VLOOKUP(D287,契約台帳!$A$3:$Q$4986,17,FALSE)))</f>
        <v>2</v>
      </c>
      <c r="Z287" s="269" t="str">
        <f ca="1">IF(D287="","",IF(T287="","",VLOOKUP(D287,契約台帳!$A$3:$E$4986,5,FALSE)))</f>
        <v>リンテック㈱</v>
      </c>
      <c r="AA287" s="57"/>
      <c r="AB287" s="207" t="str">
        <f>IFERROR((VLOOKUP(F287&amp;K287&amp;M287,製品マスタ!$M$5:$AM$5002,27,FALSE)),"")</f>
        <v>原反ケース再利用</v>
      </c>
      <c r="AC287" s="33"/>
      <c r="AD287" s="189"/>
      <c r="AE287" s="54"/>
      <c r="AF287" s="55"/>
      <c r="AG287" s="43"/>
      <c r="AH287" s="47"/>
      <c r="AI287" s="30"/>
      <c r="AJ287" s="30"/>
      <c r="AK287" s="30"/>
      <c r="AL287" s="30"/>
      <c r="AM287" s="13"/>
      <c r="AN287" s="13"/>
      <c r="AO287" s="13"/>
      <c r="AP287" s="13"/>
      <c r="AQ287" s="13"/>
      <c r="AR287" s="14"/>
      <c r="AS287" s="15"/>
    </row>
    <row r="288" spans="1:45" s="17" customFormat="1" ht="30.95" hidden="1" customHeight="1" x14ac:dyDescent="0.2">
      <c r="A288" s="37"/>
      <c r="B288" s="38"/>
      <c r="C288" s="45"/>
      <c r="D288" s="31"/>
      <c r="E288" s="31"/>
      <c r="F288" s="268" t="str">
        <f>IF(D288="","",VLOOKUP(D288,契約台帳!$A$3:$K$4986,6,FALSE)&amp;VLOOKUP(D288,契約台帳!$A$3:$K$4986,7,FALSE)&amp;VLOOKUP(D288,契約台帳!$A$3:$K$4986,8,FALSE)&amp;VLOOKUP(D288,契約台帳!$A$3:$K$4986,9,FALSE)&amp;VLOOKUP(D288,契約台帳!$A$3:$K$4986,11,FALSE))</f>
        <v/>
      </c>
      <c r="G288" s="269" t="str">
        <f>IF(D288="","",VLOOKUP(F288,製品マスタ!$G$5:$H$5002,2,FALSE))</f>
        <v/>
      </c>
      <c r="H288" s="269" t="str">
        <f>IF(D288="","",VLOOKUP(F288,製品マスタ!$G$5:$K$5002,5,FALSE))</f>
        <v/>
      </c>
      <c r="I288" s="270" t="str">
        <f>IF(D288="","",VLOOKUP(F288,製品マスタ!$G$5:$L$5002,6,FALSE))</f>
        <v/>
      </c>
      <c r="J288" s="210"/>
      <c r="K288" s="270" t="str">
        <f>IF(D288="","",VLOOKUP(D288,契約台帳!$A$3:$L$4986,12,FALSE))</f>
        <v/>
      </c>
      <c r="L288" s="270" t="str">
        <f>IF(D288="","",INDEX(製品マスタ!$Q$5:$Q$5002,MATCH('S4'!F288&amp;'S4'!K288,製品マスタ!$AO$5:$AO$5002,0)))</f>
        <v/>
      </c>
      <c r="M288" s="39"/>
      <c r="N288" s="39"/>
      <c r="O288" s="156"/>
      <c r="P288" s="47"/>
      <c r="Q288" s="57"/>
      <c r="R288" s="271" t="str">
        <f ca="1">IF(D288="","",IF(OFFSET(D288,-1,0)&lt;&gt;"","",IF(OR(J288="リード付け",J288="巻足し",J288="巻返しリード付け"),M288,VLOOKUP(D288,契約台帳!$A$3:$N$4986,14,FALSE))))</f>
        <v/>
      </c>
      <c r="S288" s="272" t="str">
        <f ca="1">IF(D288="","",IF(OFFSET(D288,-1,0)&lt;&gt;"","",IF(OR(J288="リード付け",J288="巻足し",J288="巻返しリード付け"),M288,VLOOKUP(D288,契約台帳!$A$3:$O$4986,15,FALSE))))</f>
        <v/>
      </c>
      <c r="T288" s="273" t="str">
        <f ca="1">IF(D288="","",IF(J288="リード付け",N288,IF(J288="巻返しリード付け",N288,IF(J288="巻足し",N288*P288+OFFSET(N288,1,0)*OFFSET(P288,1,0),VLOOKUP(D288,契約台帳!$A$3:$P$4986,16,FALSE)))))</f>
        <v/>
      </c>
      <c r="U288" s="40"/>
      <c r="V288" s="274" t="str">
        <f ca="1">IF(D288="","",IF(OFFSET(D288,-2,0)=D288,"",VLOOKUP(D288,契約台帳!$A$3:$R$4986,18,FALSE)))</f>
        <v/>
      </c>
      <c r="W288" s="269" t="str">
        <f>IF(D288="","",IF(T288="","",IF(OR(J288="巻足し",J288="巻返しリード付け"),"",IF(J288="巻返し",VLOOKUP(F288&amp;K288&amp;M288,製品マスタ!$M$5:$AD$5002,18,FALSE),IF(OR(J288="リード付け",J288="巻返しリード付け"),"原反コア",IF(J288="スリット",VLOOKUP(F288&amp;K288&amp;R288,製品マスタ!$N$5:$AD$5002,17,FALSE),""))))))</f>
        <v/>
      </c>
      <c r="X288" s="269" t="str">
        <f>IF(D288="","",IF(T288="","",IF(J288="巻足し","",IF(J288="巻返し",VLOOKUP(F288&amp;K288&amp;M288,製品マスタ!$M$5:$AE$5002,19,FALSE),IF(OR(J288="リード付け",J288="巻返しリード付け"),"",IF(J288="スリット",VLOOKUP(F288&amp;K288&amp;R288,製品マスタ!$N$5:$AE$5002,18,FALSE),""))))))</f>
        <v/>
      </c>
      <c r="Y288" s="275" t="str">
        <f>IF(D288="","",IF(T288="","",VLOOKUP(D288,契約台帳!$A$3:$Q$4986,17,FALSE)))</f>
        <v/>
      </c>
      <c r="Z288" s="269" t="str">
        <f>IF(D288="","",IF(T288="","",VLOOKUP(D288,契約台帳!$A$3:$E$4986,5,FALSE)))</f>
        <v/>
      </c>
      <c r="AA288" s="57"/>
      <c r="AB288" s="207" t="str">
        <f>IFERROR((VLOOKUP(F288&amp;K288&amp;M288,製品マスタ!$M$5:$AM$5002,27,FALSE)),"")</f>
        <v/>
      </c>
      <c r="AC288" s="33"/>
      <c r="AD288" s="189"/>
      <c r="AE288" s="54"/>
      <c r="AF288" s="55"/>
      <c r="AG288" s="43"/>
      <c r="AH288" s="47"/>
      <c r="AI288" s="30"/>
      <c r="AJ288" s="30"/>
      <c r="AK288" s="30"/>
      <c r="AL288" s="30"/>
      <c r="AM288" s="13"/>
      <c r="AN288" s="13"/>
      <c r="AO288" s="13"/>
      <c r="AP288" s="13"/>
      <c r="AQ288" s="13"/>
      <c r="AR288" s="14"/>
      <c r="AS288" s="15"/>
    </row>
    <row r="289" spans="1:45" s="17" customFormat="1" ht="30.95" hidden="1" customHeight="1" x14ac:dyDescent="0.2">
      <c r="A289" s="37" t="s">
        <v>938</v>
      </c>
      <c r="B289" s="38" t="s">
        <v>939</v>
      </c>
      <c r="C289" s="45"/>
      <c r="D289" s="31">
        <v>3700958</v>
      </c>
      <c r="E289" s="31">
        <v>4161844</v>
      </c>
      <c r="F289" s="268" t="str">
        <f>IF(D289="","",VLOOKUP(D289,契約台帳!$A$3:$K$4986,6,FALSE)&amp;VLOOKUP(D289,契約台帳!$A$3:$K$4986,7,FALSE)&amp;VLOOKUP(D289,契約台帳!$A$3:$K$4986,8,FALSE)&amp;VLOOKUP(D289,契約台帳!$A$3:$K$4986,9,FALSE)&amp;VLOOKUP(D289,契約台帳!$A$3:$K$4986,11,FALSE))</f>
        <v>3SNMLBMNGTBF</v>
      </c>
      <c r="G289" s="269" t="str">
        <f>IF(D289="","",VLOOKUP(F289,製品マスタ!$G$5:$H$5002,2,FALSE))</f>
        <v>S</v>
      </c>
      <c r="H289" s="269" t="str">
        <f>IF(D289="","",VLOOKUP(F289,製品マスタ!$G$5:$K$5002,5,FALSE))</f>
        <v>MNGTBF</v>
      </c>
      <c r="I289" s="270" t="str">
        <f>IF(D289="","",VLOOKUP(F289,製品マスタ!$G$5:$L$5002,6,FALSE))</f>
        <v>メタルミー　ネーマー　銀艶　Ｂ</v>
      </c>
      <c r="J289" s="210" t="s">
        <v>935</v>
      </c>
      <c r="K289" s="270">
        <f>IF(D289="","",VLOOKUP(D289,契約台帳!$A$3:$L$4986,12,FALSE))</f>
        <v>50</v>
      </c>
      <c r="L289" s="270" t="str">
        <f>IF(D289="","",INDEX(製品マスタ!$Q$5:$Q$5002,MATCH('S4'!F289&amp;'S4'!K289,製品マスタ!$AO$5:$AO$5002,0)))</f>
        <v>T62</v>
      </c>
      <c r="M289" s="39">
        <v>1120</v>
      </c>
      <c r="N289" s="39">
        <v>5000</v>
      </c>
      <c r="O289" s="156">
        <v>12</v>
      </c>
      <c r="P289" s="47">
        <v>2</v>
      </c>
      <c r="Q289" s="213">
        <v>44986</v>
      </c>
      <c r="R289" s="271">
        <f ca="1">IF(D289="","",IF(OFFSET(D289,-1,0)&lt;&gt;"","",IF(OR(J289="リード付け",J289="巻足し",J289="巻返しリード付け"),M289,VLOOKUP(D289,契約台帳!$A$3:$N$4986,14,FALSE))))</f>
        <v>1120</v>
      </c>
      <c r="S289" s="272">
        <f ca="1">IF(D289="","",IF(OFFSET(D289,-1,0)&lt;&gt;"","",IF(OR(J289="リード付け",J289="巻足し",J289="巻返しリード付け"),M289,VLOOKUP(D289,契約台帳!$A$3:$O$4986,15,FALSE))))</f>
        <v>1120</v>
      </c>
      <c r="T289" s="273">
        <f ca="1">IF(D289="","",IF(J289="リード付け",N289,IF(J289="巻返しリード付け",N289,IF(J289="巻足し",N289*P289+OFFSET(N289,1,0)*OFFSET(P289,1,0),VLOOKUP(D289,契約台帳!$A$3:$P$4986,16,FALSE)))))</f>
        <v>10000</v>
      </c>
      <c r="U289" s="40">
        <v>6</v>
      </c>
      <c r="V289" s="274">
        <f ca="1">IF(D289="","",IF(OFFSET(D289,-2,0)=D289,"",VLOOKUP(D289,契約台帳!$A$3:$R$4986,18,FALSE)))</f>
        <v>12</v>
      </c>
      <c r="W289" s="269" t="str">
        <f ca="1">IF(D289="","",IF(T289="","",IF(OR(J289="巻足し",J289="巻返しリード付け"),"",IF(J289="巻返し",VLOOKUP(F289&amp;K289&amp;M289,製品マスタ!$M$5:$AD$5002,18,FALSE),IF(OR(J289="リード付け",J289="巻返しリード付け"),"原反コア",IF(J289="スリット",VLOOKUP(F289&amp;K289&amp;R289,製品マスタ!$N$5:$AD$5002,17,FALSE),""))))))</f>
        <v/>
      </c>
      <c r="X289" s="269" t="str">
        <f ca="1">IF(D289="","",IF(T289="","",IF(J289="巻足し","",IF(J289="巻返し",VLOOKUP(F289&amp;K289&amp;M289,製品マスタ!$M$5:$AE$5002,19,FALSE),IF(OR(J289="リード付け",J289="巻返しリード付け"),"",IF(J289="スリット",VLOOKUP(F289&amp;K289&amp;R289,製品マスタ!$N$5:$AE$5002,18,FALSE),""))))))</f>
        <v/>
      </c>
      <c r="Y289" s="275">
        <f ca="1">IF(D289="","",IF(T289="","",VLOOKUP(D289,契約台帳!$A$3:$Q$4986,17,FALSE)))</f>
        <v>2</v>
      </c>
      <c r="Z289" s="269" t="str">
        <f ca="1">IF(D289="","",IF(T289="","",VLOOKUP(D289,契約台帳!$A$3:$E$4986,5,FALSE)))</f>
        <v>リンテック㈱</v>
      </c>
      <c r="AA289" s="57"/>
      <c r="AB289" s="207" t="str">
        <f>IFERROR((VLOOKUP(F289&amp;K289&amp;M289,製品マスタ!$M$5:$AM$5002,27,FALSE)),"")</f>
        <v>原反ケース再利用</v>
      </c>
      <c r="AC289" s="33"/>
      <c r="AD289" s="189"/>
      <c r="AE289" s="54"/>
      <c r="AF289" s="55"/>
      <c r="AG289" s="43"/>
      <c r="AH289" s="47"/>
      <c r="AI289" s="30"/>
      <c r="AJ289" s="30"/>
      <c r="AK289" s="30"/>
      <c r="AL289" s="30"/>
      <c r="AM289" s="13"/>
      <c r="AN289" s="13"/>
      <c r="AO289" s="13"/>
      <c r="AP289" s="13"/>
      <c r="AQ289" s="13"/>
      <c r="AR289" s="14"/>
      <c r="AS289" s="15"/>
    </row>
    <row r="290" spans="1:45" s="17" customFormat="1" ht="30.95" hidden="1" customHeight="1" x14ac:dyDescent="0.2">
      <c r="A290" s="37"/>
      <c r="B290" s="38"/>
      <c r="C290" s="45"/>
      <c r="D290" s="31"/>
      <c r="E290" s="31"/>
      <c r="F290" s="268" t="str">
        <f>IF(D290="","",VLOOKUP(D290,契約台帳!$A$3:$K$4986,6,FALSE)&amp;VLOOKUP(D290,契約台帳!$A$3:$K$4986,7,FALSE)&amp;VLOOKUP(D290,契約台帳!$A$3:$K$4986,8,FALSE)&amp;VLOOKUP(D290,契約台帳!$A$3:$K$4986,9,FALSE)&amp;VLOOKUP(D290,契約台帳!$A$3:$K$4986,11,FALSE))</f>
        <v/>
      </c>
      <c r="G290" s="269" t="str">
        <f>IF(D290="","",VLOOKUP(F290,製品マスタ!$G$5:$H$5002,2,FALSE))</f>
        <v/>
      </c>
      <c r="H290" s="269" t="str">
        <f>IF(D290="","",VLOOKUP(F290,製品マスタ!$G$5:$K$5002,5,FALSE))</f>
        <v/>
      </c>
      <c r="I290" s="270" t="str">
        <f>IF(D290="","",VLOOKUP(F290,製品マスタ!$G$5:$L$5002,6,FALSE))</f>
        <v/>
      </c>
      <c r="J290" s="210"/>
      <c r="K290" s="270" t="str">
        <f>IF(D290="","",VLOOKUP(D290,契約台帳!$A$3:$L$4986,12,FALSE))</f>
        <v/>
      </c>
      <c r="L290" s="270" t="str">
        <f>IF(D290="","",INDEX(製品マスタ!$Q$5:$Q$5002,MATCH('S4'!F290&amp;'S4'!K290,製品マスタ!$AO$5:$AO$5002,0)))</f>
        <v/>
      </c>
      <c r="M290" s="39"/>
      <c r="N290" s="39"/>
      <c r="O290" s="156"/>
      <c r="P290" s="47"/>
      <c r="Q290" s="57"/>
      <c r="R290" s="271" t="str">
        <f ca="1">IF(D290="","",IF(OFFSET(D290,-1,0)&lt;&gt;"","",IF(OR(J290="リード付け",J290="巻足し",J290="巻返しリード付け"),M290,VLOOKUP(D290,契約台帳!$A$3:$N$4986,14,FALSE))))</f>
        <v/>
      </c>
      <c r="S290" s="272" t="str">
        <f ca="1">IF(D290="","",IF(OFFSET(D290,-1,0)&lt;&gt;"","",IF(OR(J290="リード付け",J290="巻足し",J290="巻返しリード付け"),M290,VLOOKUP(D290,契約台帳!$A$3:$O$4986,15,FALSE))))</f>
        <v/>
      </c>
      <c r="T290" s="273" t="str">
        <f ca="1">IF(D290="","",IF(J290="リード付け",N290,IF(J290="巻返しリード付け",N290,IF(J290="巻足し",N290*P290+OFFSET(N290,1,0)*OFFSET(P290,1,0),VLOOKUP(D290,契約台帳!$A$3:$P$4986,16,FALSE)))))</f>
        <v/>
      </c>
      <c r="U290" s="40"/>
      <c r="V290" s="274" t="str">
        <f ca="1">IF(D290="","",IF(OFFSET(D290,-2,0)=D290,"",VLOOKUP(D290,契約台帳!$A$3:$R$4986,18,FALSE)))</f>
        <v/>
      </c>
      <c r="W290" s="269" t="str">
        <f>IF(D290="","",IF(T290="","",IF(OR(J290="巻足し",J290="巻返しリード付け"),"",IF(J290="巻返し",VLOOKUP(F290&amp;K290&amp;M290,製品マスタ!$M$5:$AD$5002,18,FALSE),IF(OR(J290="リード付け",J290="巻返しリード付け"),"原反コア",IF(J290="スリット",VLOOKUP(F290&amp;K290&amp;R290,製品マスタ!$N$5:$AD$5002,17,FALSE),""))))))</f>
        <v/>
      </c>
      <c r="X290" s="269" t="str">
        <f>IF(D290="","",IF(T290="","",IF(J290="巻足し","",IF(J290="巻返し",VLOOKUP(F290&amp;K290&amp;M290,製品マスタ!$M$5:$AE$5002,19,FALSE),IF(OR(J290="リード付け",J290="巻返しリード付け"),"",IF(J290="スリット",VLOOKUP(F290&amp;K290&amp;R290,製品マスタ!$N$5:$AE$5002,18,FALSE),""))))))</f>
        <v/>
      </c>
      <c r="Y290" s="275" t="str">
        <f>IF(D290="","",IF(T290="","",VLOOKUP(D290,契約台帳!$A$3:$Q$4986,17,FALSE)))</f>
        <v/>
      </c>
      <c r="Z290" s="269" t="str">
        <f>IF(D290="","",IF(T290="","",VLOOKUP(D290,契約台帳!$A$3:$E$4986,5,FALSE)))</f>
        <v/>
      </c>
      <c r="AA290" s="57"/>
      <c r="AB290" s="207" t="str">
        <f>IFERROR((VLOOKUP(F290&amp;K290&amp;M290,製品マスタ!$M$5:$AM$5002,27,FALSE)),"")</f>
        <v/>
      </c>
      <c r="AC290" s="33"/>
      <c r="AD290" s="189"/>
      <c r="AE290" s="54"/>
      <c r="AF290" s="55"/>
      <c r="AG290" s="43"/>
      <c r="AH290" s="47"/>
      <c r="AI290" s="30"/>
      <c r="AJ290" s="30"/>
      <c r="AK290" s="30"/>
      <c r="AL290" s="30"/>
      <c r="AM290" s="13"/>
      <c r="AN290" s="13"/>
      <c r="AO290" s="13"/>
      <c r="AP290" s="13"/>
      <c r="AQ290" s="13"/>
      <c r="AR290" s="14"/>
      <c r="AS290" s="15"/>
    </row>
    <row r="291" spans="1:45" s="17" customFormat="1" ht="30.95" hidden="1" customHeight="1" x14ac:dyDescent="0.2">
      <c r="A291" s="37"/>
      <c r="B291" s="38"/>
      <c r="C291" s="45"/>
      <c r="D291" s="31">
        <v>3700959</v>
      </c>
      <c r="E291" s="31">
        <v>4161845</v>
      </c>
      <c r="F291" s="268" t="str">
        <f>IF(D291="","",VLOOKUP(D291,契約台帳!$A$3:$K$4986,6,FALSE)&amp;VLOOKUP(D291,契約台帳!$A$3:$K$4986,7,FALSE)&amp;VLOOKUP(D291,契約台帳!$A$3:$K$4986,8,FALSE)&amp;VLOOKUP(D291,契約台帳!$A$3:$K$4986,9,FALSE)&amp;VLOOKUP(D291,契約台帳!$A$3:$K$4986,11,FALSE))</f>
        <v>3SNMLBMNGTBF</v>
      </c>
      <c r="G291" s="269" t="str">
        <f>IF(D291="","",VLOOKUP(F291,製品マスタ!$G$5:$H$5002,2,FALSE))</f>
        <v>S</v>
      </c>
      <c r="H291" s="269" t="str">
        <f>IF(D291="","",VLOOKUP(F291,製品マスタ!$G$5:$K$5002,5,FALSE))</f>
        <v>MNGTBF</v>
      </c>
      <c r="I291" s="270" t="str">
        <f>IF(D291="","",VLOOKUP(F291,製品マスタ!$G$5:$L$5002,6,FALSE))</f>
        <v>メタルミー　ネーマー　銀艶　Ｂ</v>
      </c>
      <c r="J291" s="210" t="s">
        <v>935</v>
      </c>
      <c r="K291" s="270">
        <f>IF(D291="","",VLOOKUP(D291,契約台帳!$A$3:$L$4986,12,FALSE))</f>
        <v>50</v>
      </c>
      <c r="L291" s="270" t="str">
        <f>IF(D291="","",INDEX(製品マスタ!$Q$5:$Q$5002,MATCH('S4'!F291&amp;'S4'!K291,製品マスタ!$AO$5:$AO$5002,0)))</f>
        <v>T62</v>
      </c>
      <c r="M291" s="39">
        <v>1120</v>
      </c>
      <c r="N291" s="39">
        <v>5000</v>
      </c>
      <c r="O291" s="156">
        <v>12</v>
      </c>
      <c r="P291" s="47">
        <v>2</v>
      </c>
      <c r="Q291" s="213">
        <v>44986</v>
      </c>
      <c r="R291" s="271">
        <f ca="1">IF(D291="","",IF(OFFSET(D291,-1,0)&lt;&gt;"","",IF(OR(J291="リード付け",J291="巻足し",J291="巻返しリード付け"),M291,VLOOKUP(D291,契約台帳!$A$3:$N$4986,14,FALSE))))</f>
        <v>1120</v>
      </c>
      <c r="S291" s="272">
        <f ca="1">IF(D291="","",IF(OFFSET(D291,-1,0)&lt;&gt;"","",IF(OR(J291="リード付け",J291="巻足し",J291="巻返しリード付け"),M291,VLOOKUP(D291,契約台帳!$A$3:$O$4986,15,FALSE))))</f>
        <v>1120</v>
      </c>
      <c r="T291" s="273">
        <f ca="1">IF(D291="","",IF(J291="リード付け",N291,IF(J291="巻返しリード付け",N291,IF(J291="巻足し",N291*P291+OFFSET(N291,1,0)*OFFSET(P291,1,0),VLOOKUP(D291,契約台帳!$A$3:$P$4986,16,FALSE)))))</f>
        <v>10000</v>
      </c>
      <c r="U291" s="40">
        <v>6</v>
      </c>
      <c r="V291" s="274">
        <f ca="1">IF(D291="","",IF(OFFSET(D291,-2,0)=D291,"",VLOOKUP(D291,契約台帳!$A$3:$R$4986,18,FALSE)))</f>
        <v>12</v>
      </c>
      <c r="W291" s="269" t="str">
        <f ca="1">IF(D291="","",IF(T291="","",IF(OR(J291="巻足し",J291="巻返しリード付け"),"",IF(J291="巻返し",VLOOKUP(F291&amp;K291&amp;M291,製品マスタ!$M$5:$AD$5002,18,FALSE),IF(OR(J291="リード付け",J291="巻返しリード付け"),"原反コア",IF(J291="スリット",VLOOKUP(F291&amp;K291&amp;R291,製品マスタ!$N$5:$AD$5002,17,FALSE),""))))))</f>
        <v/>
      </c>
      <c r="X291" s="269" t="str">
        <f ca="1">IF(D291="","",IF(T291="","",IF(J291="巻足し","",IF(J291="巻返し",VLOOKUP(F291&amp;K291&amp;M291,製品マスタ!$M$5:$AE$5002,19,FALSE),IF(OR(J291="リード付け",J291="巻返しリード付け"),"",IF(J291="スリット",VLOOKUP(F291&amp;K291&amp;R291,製品マスタ!$N$5:$AE$5002,18,FALSE),""))))))</f>
        <v/>
      </c>
      <c r="Y291" s="275">
        <f ca="1">IF(D291="","",IF(T291="","",VLOOKUP(D291,契約台帳!$A$3:$Q$4986,17,FALSE)))</f>
        <v>2</v>
      </c>
      <c r="Z291" s="269" t="str">
        <f ca="1">IF(D291="","",IF(T291="","",VLOOKUP(D291,契約台帳!$A$3:$E$4986,5,FALSE)))</f>
        <v>リンテック㈱</v>
      </c>
      <c r="AA291" s="57"/>
      <c r="AB291" s="207" t="str">
        <f>IFERROR((VLOOKUP(F291&amp;K291&amp;M291,製品マスタ!$M$5:$AM$5002,27,FALSE)),"")</f>
        <v>原反ケース再利用</v>
      </c>
      <c r="AC291" s="33"/>
      <c r="AD291" s="189"/>
      <c r="AE291" s="54"/>
      <c r="AF291" s="55"/>
      <c r="AG291" s="43"/>
      <c r="AH291" s="47"/>
      <c r="AI291" s="30"/>
      <c r="AJ291" s="30"/>
      <c r="AK291" s="30"/>
      <c r="AL291" s="30"/>
      <c r="AM291" s="13"/>
      <c r="AN291" s="13"/>
      <c r="AO291" s="13"/>
      <c r="AP291" s="13"/>
      <c r="AQ291" s="13"/>
      <c r="AR291" s="14"/>
      <c r="AS291" s="15"/>
    </row>
    <row r="292" spans="1:45" s="17" customFormat="1" ht="30.95" hidden="1" customHeight="1" x14ac:dyDescent="0.2">
      <c r="A292" s="37"/>
      <c r="B292" s="38"/>
      <c r="C292" s="45"/>
      <c r="D292" s="31"/>
      <c r="E292" s="31"/>
      <c r="F292" s="268" t="str">
        <f>IF(D292="","",VLOOKUP(D292,契約台帳!$A$3:$K$4986,6,FALSE)&amp;VLOOKUP(D292,契約台帳!$A$3:$K$4986,7,FALSE)&amp;VLOOKUP(D292,契約台帳!$A$3:$K$4986,8,FALSE)&amp;VLOOKUP(D292,契約台帳!$A$3:$K$4986,9,FALSE)&amp;VLOOKUP(D292,契約台帳!$A$3:$K$4986,11,FALSE))</f>
        <v/>
      </c>
      <c r="G292" s="269" t="str">
        <f>IF(D292="","",VLOOKUP(F292,製品マスタ!$G$5:$H$5002,2,FALSE))</f>
        <v/>
      </c>
      <c r="H292" s="269" t="str">
        <f>IF(D292="","",VLOOKUP(F292,製品マスタ!$G$5:$K$5002,5,FALSE))</f>
        <v/>
      </c>
      <c r="I292" s="270" t="str">
        <f>IF(D292="","",VLOOKUP(F292,製品マスタ!$G$5:$L$5002,6,FALSE))</f>
        <v/>
      </c>
      <c r="J292" s="210"/>
      <c r="K292" s="270" t="str">
        <f>IF(D292="","",VLOOKUP(D292,契約台帳!$A$3:$L$4986,12,FALSE))</f>
        <v/>
      </c>
      <c r="L292" s="270" t="str">
        <f>IF(D292="","",INDEX(製品マスタ!$Q$5:$Q$5002,MATCH('S4'!F292&amp;'S4'!K292,製品マスタ!$AO$5:$AO$5002,0)))</f>
        <v/>
      </c>
      <c r="M292" s="39"/>
      <c r="N292" s="39"/>
      <c r="O292" s="156"/>
      <c r="P292" s="47"/>
      <c r="Q292" s="57"/>
      <c r="R292" s="271" t="str">
        <f ca="1">IF(D292="","",IF(OFFSET(D292,-1,0)&lt;&gt;"","",IF(OR(J292="リード付け",J292="巻足し",J292="巻返しリード付け"),M292,VLOOKUP(D292,契約台帳!$A$3:$N$4986,14,FALSE))))</f>
        <v/>
      </c>
      <c r="S292" s="272" t="str">
        <f ca="1">IF(D292="","",IF(OFFSET(D292,-1,0)&lt;&gt;"","",IF(OR(J292="リード付け",J292="巻足し",J292="巻返しリード付け"),M292,VLOOKUP(D292,契約台帳!$A$3:$O$4986,15,FALSE))))</f>
        <v/>
      </c>
      <c r="T292" s="273" t="str">
        <f ca="1">IF(D292="","",IF(J292="リード付け",N292,IF(J292="巻返しリード付け",N292,IF(J292="巻足し",N292*P292+OFFSET(N292,1,0)*OFFSET(P292,1,0),VLOOKUP(D292,契約台帳!$A$3:$P$4986,16,FALSE)))))</f>
        <v/>
      </c>
      <c r="U292" s="40"/>
      <c r="V292" s="274" t="str">
        <f ca="1">IF(D292="","",IF(OFFSET(D292,-2,0)=D292,"",VLOOKUP(D292,契約台帳!$A$3:$R$4986,18,FALSE)))</f>
        <v/>
      </c>
      <c r="W292" s="269" t="str">
        <f>IF(D292="","",IF(T292="","",IF(OR(J292="巻足し",J292="巻返しリード付け"),"",IF(J292="巻返し",VLOOKUP(F292&amp;K292&amp;M292,製品マスタ!$M$5:$AD$5002,18,FALSE),IF(OR(J292="リード付け",J292="巻返しリード付け"),"原反コア",IF(J292="スリット",VLOOKUP(F292&amp;K292&amp;R292,製品マスタ!$N$5:$AD$5002,17,FALSE),""))))))</f>
        <v/>
      </c>
      <c r="X292" s="269" t="str">
        <f>IF(D292="","",IF(T292="","",IF(J292="巻足し","",IF(J292="巻返し",VLOOKUP(F292&amp;K292&amp;M292,製品マスタ!$M$5:$AE$5002,19,FALSE),IF(OR(J292="リード付け",J292="巻返しリード付け"),"",IF(J292="スリット",VLOOKUP(F292&amp;K292&amp;R292,製品マスタ!$N$5:$AE$5002,18,FALSE),""))))))</f>
        <v/>
      </c>
      <c r="Y292" s="275" t="str">
        <f>IF(D292="","",IF(T292="","",VLOOKUP(D292,契約台帳!$A$3:$Q$4986,17,FALSE)))</f>
        <v/>
      </c>
      <c r="Z292" s="269" t="str">
        <f>IF(D292="","",IF(T292="","",VLOOKUP(D292,契約台帳!$A$3:$E$4986,5,FALSE)))</f>
        <v/>
      </c>
      <c r="AA292" s="57"/>
      <c r="AB292" s="207" t="str">
        <f>IFERROR((VLOOKUP(F292&amp;K292&amp;M292,製品マスタ!$M$5:$AM$5002,27,FALSE)),"")</f>
        <v/>
      </c>
      <c r="AC292" s="33"/>
      <c r="AD292" s="189"/>
      <c r="AE292" s="54"/>
      <c r="AF292" s="55"/>
      <c r="AG292" s="43"/>
      <c r="AH292" s="47"/>
      <c r="AI292" s="30"/>
      <c r="AJ292" s="30"/>
      <c r="AK292" s="30"/>
      <c r="AL292" s="30"/>
      <c r="AM292" s="13"/>
      <c r="AN292" s="13"/>
      <c r="AO292" s="13"/>
      <c r="AP292" s="13"/>
      <c r="AQ292" s="13"/>
      <c r="AR292" s="14"/>
      <c r="AS292" s="15"/>
    </row>
    <row r="293" spans="1:45" s="17" customFormat="1" ht="30.95" hidden="1" customHeight="1" x14ac:dyDescent="0.2">
      <c r="A293" s="37" t="s">
        <v>940</v>
      </c>
      <c r="B293" s="38" t="s">
        <v>941</v>
      </c>
      <c r="C293" s="45"/>
      <c r="D293" s="31"/>
      <c r="E293" s="31"/>
      <c r="F293" s="268" t="str">
        <f>IF(D293="","",VLOOKUP(D293,契約台帳!$A$3:$K$4986,6,FALSE)&amp;VLOOKUP(D293,契約台帳!$A$3:$K$4986,7,FALSE)&amp;VLOOKUP(D293,契約台帳!$A$3:$K$4986,8,FALSE)&amp;VLOOKUP(D293,契約台帳!$A$3:$K$4986,9,FALSE)&amp;VLOOKUP(D293,契約台帳!$A$3:$K$4986,11,FALSE))</f>
        <v/>
      </c>
      <c r="G293" s="269" t="str">
        <f>IF(D293="","",VLOOKUP(F293,製品マスタ!$G$5:$H$5002,2,FALSE))</f>
        <v/>
      </c>
      <c r="H293" s="269" t="str">
        <f>IF(D293="","",VLOOKUP(F293,製品マスタ!$G$5:$K$5002,5,FALSE))</f>
        <v/>
      </c>
      <c r="I293" s="270" t="str">
        <f>IF(D293="","",VLOOKUP(F293,製品マスタ!$G$5:$L$5002,6,FALSE))</f>
        <v/>
      </c>
      <c r="J293" s="210" t="s">
        <v>448</v>
      </c>
      <c r="K293" s="270" t="str">
        <f>IF(D293="","",VLOOKUP(D293,契約台帳!$A$3:$L$4986,12,FALSE))</f>
        <v/>
      </c>
      <c r="L293" s="270" t="str">
        <f>IF(D293="","",INDEX(製品マスタ!$Q$5:$Q$5002,MATCH('S4'!F293&amp;'S4'!K293,製品マスタ!$AO$5:$AO$5002,0)))</f>
        <v/>
      </c>
      <c r="M293" s="39"/>
      <c r="N293" s="39"/>
      <c r="O293" s="156"/>
      <c r="P293" s="47"/>
      <c r="Q293" s="57"/>
      <c r="R293" s="271" t="str">
        <f ca="1">IF(D293="","",IF(OFFSET(D293,-1,0)&lt;&gt;"","",IF(OR(J293="リード付け",J293="巻足し",J293="巻返しリード付け"),M293,VLOOKUP(D293,契約台帳!$A$3:$N$4986,14,FALSE))))</f>
        <v/>
      </c>
      <c r="S293" s="272" t="str">
        <f ca="1">IF(D293="","",IF(OFFSET(D293,-1,0)&lt;&gt;"","",IF(OR(J293="リード付け",J293="巻足し",J293="巻返しリード付け"),M293,VLOOKUP(D293,契約台帳!$A$3:$O$4986,15,FALSE))))</f>
        <v/>
      </c>
      <c r="T293" s="273" t="str">
        <f ca="1">IF(D293="","",IF(J293="リード付け",N293,IF(J293="巻返しリード付け",N293,IF(J293="巻足し",N293*P293+OFFSET(N293,1,0)*OFFSET(P293,1,0),VLOOKUP(D293,契約台帳!$A$3:$P$4986,16,FALSE)))))</f>
        <v/>
      </c>
      <c r="U293" s="40"/>
      <c r="V293" s="274" t="str">
        <f ca="1">IF(D293="","",IF(OFFSET(D293,-2,0)=D293,"",VLOOKUP(D293,契約台帳!$A$3:$R$4986,18,FALSE)))</f>
        <v/>
      </c>
      <c r="W293" s="269" t="str">
        <f>IF(D293="","",IF(T293="","",IF(OR(J293="巻足し",J293="巻返しリード付け"),"",IF(J293="巻返し",VLOOKUP(F293&amp;K293&amp;M293,製品マスタ!$M$5:$AD$5002,18,FALSE),IF(OR(J293="リード付け",J293="巻返しリード付け"),"原反コア",IF(J293="スリット",VLOOKUP(F293&amp;K293&amp;R293,製品マスタ!$N$5:$AD$5002,17,FALSE),""))))))</f>
        <v/>
      </c>
      <c r="X293" s="269" t="str">
        <f>IF(D293="","",IF(T293="","",IF(J293="巻足し","",IF(J293="巻返し",VLOOKUP(F293&amp;K293&amp;M293,製品マスタ!$M$5:$AE$5002,19,FALSE),IF(OR(J293="リード付け",J293="巻返しリード付け"),"",IF(J293="スリット",VLOOKUP(F293&amp;K293&amp;R293,製品マスタ!$N$5:$AE$5002,18,FALSE),""))))))</f>
        <v/>
      </c>
      <c r="Y293" s="275" t="str">
        <f>IF(D293="","",IF(T293="","",VLOOKUP(D293,契約台帳!$A$3:$Q$4986,17,FALSE)))</f>
        <v/>
      </c>
      <c r="Z293" s="269" t="str">
        <f>IF(D293="","",IF(T293="","",VLOOKUP(D293,契約台帳!$A$3:$E$4986,5,FALSE)))</f>
        <v/>
      </c>
      <c r="AA293" s="57"/>
      <c r="AB293" s="207" t="str">
        <f>IFERROR((VLOOKUP(F293&amp;K293&amp;M293,製品マスタ!$M$5:$AM$5002,27,FALSE)),"")</f>
        <v/>
      </c>
      <c r="AC293" s="33"/>
      <c r="AD293" s="189"/>
      <c r="AE293" s="54"/>
      <c r="AF293" s="55"/>
      <c r="AG293" s="43"/>
      <c r="AH293" s="47"/>
      <c r="AI293" s="30"/>
      <c r="AJ293" s="30"/>
      <c r="AK293" s="30"/>
      <c r="AL293" s="30"/>
      <c r="AM293" s="13"/>
      <c r="AN293" s="13"/>
      <c r="AO293" s="13"/>
      <c r="AP293" s="13"/>
      <c r="AQ293" s="13"/>
      <c r="AR293" s="14"/>
      <c r="AS293" s="15"/>
    </row>
    <row r="294" spans="1:45" s="17" customFormat="1" ht="30.95" hidden="1" customHeight="1" x14ac:dyDescent="0.2">
      <c r="A294" s="37"/>
      <c r="B294" s="38"/>
      <c r="C294" s="45"/>
      <c r="D294" s="31"/>
      <c r="E294" s="31"/>
      <c r="F294" s="268" t="str">
        <f>IF(D294="","",VLOOKUP(D294,契約台帳!$A$3:$K$4986,6,FALSE)&amp;VLOOKUP(D294,契約台帳!$A$3:$K$4986,7,FALSE)&amp;VLOOKUP(D294,契約台帳!$A$3:$K$4986,8,FALSE)&amp;VLOOKUP(D294,契約台帳!$A$3:$K$4986,9,FALSE)&amp;VLOOKUP(D294,契約台帳!$A$3:$K$4986,11,FALSE))</f>
        <v/>
      </c>
      <c r="G294" s="269" t="str">
        <f>IF(D294="","",VLOOKUP(F294,製品マスタ!$G$5:$H$5002,2,FALSE))</f>
        <v/>
      </c>
      <c r="H294" s="269" t="str">
        <f>IF(D294="","",VLOOKUP(F294,製品マスタ!$G$5:$K$5002,5,FALSE))</f>
        <v/>
      </c>
      <c r="I294" s="270" t="str">
        <f>IF(D294="","",VLOOKUP(F294,製品マスタ!$G$5:$L$5002,6,FALSE))</f>
        <v/>
      </c>
      <c r="J294" s="210"/>
      <c r="K294" s="270" t="str">
        <f>IF(D294="","",VLOOKUP(D294,契約台帳!$A$3:$L$4986,12,FALSE))</f>
        <v/>
      </c>
      <c r="L294" s="270" t="str">
        <f>IF(D294="","",INDEX(製品マスタ!$Q$5:$Q$5002,MATCH('S4'!F294&amp;'S4'!K294,製品マスタ!$AO$5:$AO$5002,0)))</f>
        <v/>
      </c>
      <c r="M294" s="39"/>
      <c r="N294" s="39"/>
      <c r="O294" s="156"/>
      <c r="P294" s="47"/>
      <c r="Q294" s="57"/>
      <c r="R294" s="271" t="str">
        <f ca="1">IF(D294="","",IF(OFFSET(D294,-1,0)&lt;&gt;"","",IF(OR(J294="リード付け",J294="巻足し",J294="巻返しリード付け"),M294,VLOOKUP(D294,契約台帳!$A$3:$N$4986,14,FALSE))))</f>
        <v/>
      </c>
      <c r="S294" s="272" t="str">
        <f ca="1">IF(D294="","",IF(OFFSET(D294,-1,0)&lt;&gt;"","",IF(OR(J294="リード付け",J294="巻足し",J294="巻返しリード付け"),M294,VLOOKUP(D294,契約台帳!$A$3:$O$4986,15,FALSE))))</f>
        <v/>
      </c>
      <c r="T294" s="273" t="str">
        <f ca="1">IF(D294="","",IF(J294="リード付け",N294,IF(J294="巻返しリード付け",N294,IF(J294="巻足し",N294*P294+OFFSET(N294,1,0)*OFFSET(P294,1,0),VLOOKUP(D294,契約台帳!$A$3:$P$4986,16,FALSE)))))</f>
        <v/>
      </c>
      <c r="U294" s="40"/>
      <c r="V294" s="274" t="str">
        <f ca="1">IF(D294="","",IF(OFFSET(D294,-2,0)=D294,"",VLOOKUP(D294,契約台帳!$A$3:$R$4986,18,FALSE)))</f>
        <v/>
      </c>
      <c r="W294" s="269" t="str">
        <f>IF(D294="","",IF(T294="","",IF(OR(J294="巻足し",J294="巻返しリード付け"),"",IF(J294="巻返し",VLOOKUP(F294&amp;K294&amp;M294,製品マスタ!$M$5:$AD$5002,18,FALSE),IF(OR(J294="リード付け",J294="巻返しリード付け"),"原反コア",IF(J294="スリット",VLOOKUP(F294&amp;K294&amp;R294,製品マスタ!$N$5:$AD$5002,17,FALSE),""))))))</f>
        <v/>
      </c>
      <c r="X294" s="269" t="str">
        <f>IF(D294="","",IF(T294="","",IF(J294="巻足し","",IF(J294="巻返し",VLOOKUP(F294&amp;K294&amp;M294,製品マスタ!$M$5:$AE$5002,19,FALSE),IF(OR(J294="リード付け",J294="巻返しリード付け"),"",IF(J294="スリット",VLOOKUP(F294&amp;K294&amp;R294,製品マスタ!$N$5:$AE$5002,18,FALSE),""))))))</f>
        <v/>
      </c>
      <c r="Y294" s="275" t="str">
        <f>IF(D294="","",IF(T294="","",VLOOKUP(D294,契約台帳!$A$3:$Q$4986,17,FALSE)))</f>
        <v/>
      </c>
      <c r="Z294" s="269" t="str">
        <f>IF(D294="","",IF(T294="","",VLOOKUP(D294,契約台帳!$A$3:$E$4986,5,FALSE)))</f>
        <v/>
      </c>
      <c r="AA294" s="57"/>
      <c r="AB294" s="207" t="str">
        <f>IFERROR((VLOOKUP(F294&amp;K294&amp;M294,製品マスタ!$M$5:$AM$5002,27,FALSE)),"")</f>
        <v/>
      </c>
      <c r="AC294" s="33"/>
      <c r="AD294" s="189"/>
      <c r="AE294" s="54"/>
      <c r="AF294" s="55"/>
      <c r="AG294" s="43"/>
      <c r="AH294" s="47"/>
      <c r="AI294" s="30"/>
      <c r="AJ294" s="30"/>
      <c r="AK294" s="30"/>
      <c r="AL294" s="30"/>
      <c r="AM294" s="13"/>
      <c r="AN294" s="13"/>
      <c r="AO294" s="13"/>
      <c r="AP294" s="13"/>
      <c r="AQ294" s="13"/>
      <c r="AR294" s="14"/>
      <c r="AS294" s="15"/>
    </row>
    <row r="295" spans="1:45" s="17" customFormat="1" ht="30.95" hidden="1" customHeight="1" x14ac:dyDescent="0.2">
      <c r="A295" s="37" t="s">
        <v>942</v>
      </c>
      <c r="B295" s="38" t="s">
        <v>943</v>
      </c>
      <c r="C295" s="45"/>
      <c r="D295" s="31"/>
      <c r="E295" s="31"/>
      <c r="F295" s="268" t="str">
        <f>IF(D295="","",VLOOKUP(D295,契約台帳!$A$3:$K$4986,6,FALSE)&amp;VLOOKUP(D295,契約台帳!$A$3:$K$4986,7,FALSE)&amp;VLOOKUP(D295,契約台帳!$A$3:$K$4986,8,FALSE)&amp;VLOOKUP(D295,契約台帳!$A$3:$K$4986,9,FALSE)&amp;VLOOKUP(D295,契約台帳!$A$3:$K$4986,11,FALSE))</f>
        <v/>
      </c>
      <c r="G295" s="269" t="str">
        <f>IF(D295="","",VLOOKUP(F295,製品マスタ!$G$5:$H$5002,2,FALSE))</f>
        <v/>
      </c>
      <c r="H295" s="269" t="str">
        <f>IF(D295="","",VLOOKUP(F295,製品マスタ!$G$5:$K$5002,5,FALSE))</f>
        <v/>
      </c>
      <c r="I295" s="270" t="str">
        <f>IF(D295="","",VLOOKUP(F295,製品マスタ!$G$5:$L$5002,6,FALSE))</f>
        <v/>
      </c>
      <c r="J295" s="210" t="s">
        <v>448</v>
      </c>
      <c r="K295" s="270" t="str">
        <f>IF(D295="","",VLOOKUP(D295,契約台帳!$A$3:$L$4986,12,FALSE))</f>
        <v/>
      </c>
      <c r="L295" s="270" t="str">
        <f>IF(D295="","",INDEX(製品マスタ!$Q$5:$Q$5002,MATCH('S4'!F295&amp;'S4'!K295,製品マスタ!$AO$5:$AO$5002,0)))</f>
        <v/>
      </c>
      <c r="M295" s="39"/>
      <c r="N295" s="39"/>
      <c r="O295" s="156"/>
      <c r="P295" s="47"/>
      <c r="Q295" s="57"/>
      <c r="R295" s="271" t="str">
        <f ca="1">IF(D295="","",IF(OFFSET(D295,-1,0)&lt;&gt;"","",IF(OR(J295="リード付け",J295="巻足し",J295="巻返しリード付け"),M295,VLOOKUP(D295,契約台帳!$A$3:$N$4986,14,FALSE))))</f>
        <v/>
      </c>
      <c r="S295" s="272" t="str">
        <f ca="1">IF(D295="","",IF(OFFSET(D295,-1,0)&lt;&gt;"","",IF(OR(J295="リード付け",J295="巻足し",J295="巻返しリード付け"),M295,VLOOKUP(D295,契約台帳!$A$3:$O$4986,15,FALSE))))</f>
        <v/>
      </c>
      <c r="T295" s="273" t="str">
        <f ca="1">IF(D295="","",IF(J295="リード付け",N295,IF(J295="巻返しリード付け",N295,IF(J295="巻足し",N295*P295+OFFSET(N295,1,0)*OFFSET(P295,1,0),VLOOKUP(D295,契約台帳!$A$3:$P$4986,16,FALSE)))))</f>
        <v/>
      </c>
      <c r="U295" s="40"/>
      <c r="V295" s="274" t="str">
        <f ca="1">IF(D295="","",IF(OFFSET(D295,-2,0)=D295,"",VLOOKUP(D295,契約台帳!$A$3:$R$4986,18,FALSE)))</f>
        <v/>
      </c>
      <c r="W295" s="269" t="str">
        <f>IF(D295="","",IF(T295="","",IF(OR(J295="巻足し",J295="巻返しリード付け"),"",IF(J295="巻返し",VLOOKUP(F295&amp;K295&amp;M295,製品マスタ!$M$5:$AD$5002,18,FALSE),IF(OR(J295="リード付け",J295="巻返しリード付け"),"原反コア",IF(J295="スリット",VLOOKUP(F295&amp;K295&amp;R295,製品マスタ!$N$5:$AD$5002,17,FALSE),""))))))</f>
        <v/>
      </c>
      <c r="X295" s="269" t="str">
        <f>IF(D295="","",IF(T295="","",IF(J295="巻足し","",IF(J295="巻返し",VLOOKUP(F295&amp;K295&amp;M295,製品マスタ!$M$5:$AE$5002,19,FALSE),IF(OR(J295="リード付け",J295="巻返しリード付け"),"",IF(J295="スリット",VLOOKUP(F295&amp;K295&amp;R295,製品マスタ!$N$5:$AE$5002,18,FALSE),""))))))</f>
        <v/>
      </c>
      <c r="Y295" s="275" t="str">
        <f>IF(D295="","",IF(T295="","",VLOOKUP(D295,契約台帳!$A$3:$Q$4986,17,FALSE)))</f>
        <v/>
      </c>
      <c r="Z295" s="269" t="str">
        <f>IF(D295="","",IF(T295="","",VLOOKUP(D295,契約台帳!$A$3:$E$4986,5,FALSE)))</f>
        <v/>
      </c>
      <c r="AA295" s="57"/>
      <c r="AB295" s="207" t="str">
        <f>IFERROR((VLOOKUP(F295&amp;K295&amp;M295,製品マスタ!$M$5:$AM$5002,27,FALSE)),"")</f>
        <v/>
      </c>
      <c r="AC295" s="33"/>
      <c r="AD295" s="189"/>
      <c r="AE295" s="54"/>
      <c r="AF295" s="55"/>
      <c r="AG295" s="43"/>
      <c r="AH295" s="47"/>
      <c r="AI295" s="30"/>
      <c r="AJ295" s="30"/>
      <c r="AK295" s="30"/>
      <c r="AL295" s="30"/>
      <c r="AM295" s="13"/>
      <c r="AN295" s="13"/>
      <c r="AO295" s="13"/>
      <c r="AP295" s="13"/>
      <c r="AQ295" s="13"/>
      <c r="AR295" s="14"/>
      <c r="AS295" s="15"/>
    </row>
    <row r="296" spans="1:45" s="17" customFormat="1" ht="30.95" hidden="1" customHeight="1" x14ac:dyDescent="0.2">
      <c r="A296" s="37"/>
      <c r="B296" s="38"/>
      <c r="C296" s="45"/>
      <c r="D296" s="31"/>
      <c r="E296" s="31"/>
      <c r="F296" s="268" t="str">
        <f>IF(D296="","",VLOOKUP(D296,契約台帳!$A$3:$K$4986,6,FALSE)&amp;VLOOKUP(D296,契約台帳!$A$3:$K$4986,7,FALSE)&amp;VLOOKUP(D296,契約台帳!$A$3:$K$4986,8,FALSE)&amp;VLOOKUP(D296,契約台帳!$A$3:$K$4986,9,FALSE)&amp;VLOOKUP(D296,契約台帳!$A$3:$K$4986,11,FALSE))</f>
        <v/>
      </c>
      <c r="G296" s="269" t="str">
        <f>IF(D296="","",VLOOKUP(F296,製品マスタ!$G$5:$H$5002,2,FALSE))</f>
        <v/>
      </c>
      <c r="H296" s="269" t="str">
        <f>IF(D296="","",VLOOKUP(F296,製品マスタ!$G$5:$K$5002,5,FALSE))</f>
        <v/>
      </c>
      <c r="I296" s="270" t="str">
        <f>IF(D296="","",VLOOKUP(F296,製品マスタ!$G$5:$L$5002,6,FALSE))</f>
        <v/>
      </c>
      <c r="J296" s="210"/>
      <c r="K296" s="270" t="str">
        <f>IF(D296="","",VLOOKUP(D296,契約台帳!$A$3:$L$4986,12,FALSE))</f>
        <v/>
      </c>
      <c r="L296" s="270" t="str">
        <f>IF(D296="","",INDEX(製品マスタ!$Q$5:$Q$5002,MATCH('S4'!F296&amp;'S4'!K296,製品マスタ!$AO$5:$AO$5002,0)))</f>
        <v/>
      </c>
      <c r="M296" s="39"/>
      <c r="N296" s="39"/>
      <c r="O296" s="156"/>
      <c r="P296" s="47"/>
      <c r="Q296" s="57"/>
      <c r="R296" s="271" t="str">
        <f ca="1">IF(D296="","",IF(OFFSET(D296,-1,0)&lt;&gt;"","",IF(OR(J296="リード付け",J296="巻足し",J296="巻返しリード付け"),M296,VLOOKUP(D296,契約台帳!$A$3:$N$4986,14,FALSE))))</f>
        <v/>
      </c>
      <c r="S296" s="272" t="str">
        <f ca="1">IF(D296="","",IF(OFFSET(D296,-1,0)&lt;&gt;"","",IF(OR(J296="リード付け",J296="巻足し",J296="巻返しリード付け"),M296,VLOOKUP(D296,契約台帳!$A$3:$O$4986,15,FALSE))))</f>
        <v/>
      </c>
      <c r="T296" s="273" t="str">
        <f ca="1">IF(D296="","",IF(J296="リード付け",N296,IF(J296="巻返しリード付け",N296,IF(J296="巻足し",N296*P296+OFFSET(N296,1,0)*OFFSET(P296,1,0),VLOOKUP(D296,契約台帳!$A$3:$P$4986,16,FALSE)))))</f>
        <v/>
      </c>
      <c r="U296" s="40"/>
      <c r="V296" s="274" t="str">
        <f ca="1">IF(D296="","",IF(OFFSET(D296,-2,0)=D296,"",VLOOKUP(D296,契約台帳!$A$3:$R$4986,18,FALSE)))</f>
        <v/>
      </c>
      <c r="W296" s="269" t="str">
        <f>IF(D296="","",IF(T296="","",IF(OR(J296="巻足し",J296="巻返しリード付け"),"",IF(J296="巻返し",VLOOKUP(F296&amp;K296&amp;M296,製品マスタ!$M$5:$AD$5002,18,FALSE),IF(OR(J296="リード付け",J296="巻返しリード付け"),"原反コア",IF(J296="スリット",VLOOKUP(F296&amp;K296&amp;R296,製品マスタ!$N$5:$AD$5002,17,FALSE),""))))))</f>
        <v/>
      </c>
      <c r="X296" s="269" t="str">
        <f>IF(D296="","",IF(T296="","",IF(J296="巻足し","",IF(J296="巻返し",VLOOKUP(F296&amp;K296&amp;M296,製品マスタ!$M$5:$AE$5002,19,FALSE),IF(OR(J296="リード付け",J296="巻返しリード付け"),"",IF(J296="スリット",VLOOKUP(F296&amp;K296&amp;R296,製品マスタ!$N$5:$AE$5002,18,FALSE),""))))))</f>
        <v/>
      </c>
      <c r="Y296" s="275" t="str">
        <f>IF(D296="","",IF(T296="","",VLOOKUP(D296,契約台帳!$A$3:$Q$4986,17,FALSE)))</f>
        <v/>
      </c>
      <c r="Z296" s="269" t="str">
        <f>IF(D296="","",IF(T296="","",VLOOKUP(D296,契約台帳!$A$3:$E$4986,5,FALSE)))</f>
        <v/>
      </c>
      <c r="AA296" s="57"/>
      <c r="AB296" s="207" t="str">
        <f>IFERROR((VLOOKUP(F296&amp;K296&amp;M296,製品マスタ!$M$5:$AM$5002,27,FALSE)),"")</f>
        <v/>
      </c>
      <c r="AC296" s="33"/>
      <c r="AD296" s="189"/>
      <c r="AE296" s="54"/>
      <c r="AF296" s="55"/>
      <c r="AG296" s="43"/>
      <c r="AH296" s="47"/>
      <c r="AI296" s="30"/>
      <c r="AJ296" s="30"/>
      <c r="AK296" s="30"/>
      <c r="AL296" s="30"/>
      <c r="AM296" s="13"/>
      <c r="AN296" s="13"/>
      <c r="AO296" s="13"/>
      <c r="AP296" s="13"/>
      <c r="AQ296" s="13"/>
      <c r="AR296" s="14"/>
      <c r="AS296" s="15"/>
    </row>
    <row r="297" spans="1:45" s="17" customFormat="1" ht="30.95" hidden="1" customHeight="1" x14ac:dyDescent="0.2">
      <c r="A297" s="37" t="s">
        <v>944</v>
      </c>
      <c r="B297" s="38" t="s">
        <v>945</v>
      </c>
      <c r="C297" s="45"/>
      <c r="D297" s="31">
        <v>3700968</v>
      </c>
      <c r="E297" s="31">
        <v>4161854</v>
      </c>
      <c r="F297" s="268" t="str">
        <f>IF(D297="","",VLOOKUP(D297,契約台帳!$A$3:$K$4986,6,FALSE)&amp;VLOOKUP(D297,契約台帳!$A$3:$K$4986,7,FALSE)&amp;VLOOKUP(D297,契約台帳!$A$3:$K$4986,8,FALSE)&amp;VLOOKUP(D297,契約台帳!$A$3:$K$4986,9,FALSE)&amp;VLOOKUP(D297,契約台帳!$A$3:$K$4986,11,FALSE))</f>
        <v>3SYMLBMSSMBZF</v>
      </c>
      <c r="G297" s="269" t="str">
        <f>IF(D297="","",VLOOKUP(F297,製品マスタ!$G$5:$H$5002,2,FALSE))</f>
        <v>S</v>
      </c>
      <c r="H297" s="269" t="str">
        <f>IF(D297="","",VLOOKUP(F297,製品マスタ!$G$5:$K$5002,5,FALSE))</f>
        <v>MSSMBZF</v>
      </c>
      <c r="I297" s="270" t="str">
        <f>IF(D297="","",VLOOKUP(F297,製品マスタ!$G$5:$L$5002,6,FALSE))</f>
        <v>ＭＥＴＡＬＵＭＹ　ＳＩＬＶＥＲ　Ｓ－ＭＡＴＴＥ　Ｂ</v>
      </c>
      <c r="J297" s="210" t="s">
        <v>935</v>
      </c>
      <c r="K297" s="270">
        <f>IF(D297="","",VLOOKUP(D297,契約台帳!$A$3:$L$4986,12,FALSE))</f>
        <v>50</v>
      </c>
      <c r="L297" s="270" t="str">
        <f>IF(D297="","",INDEX(製品マスタ!$Q$5:$Q$5002,MATCH('S4'!F297&amp;'S4'!K297,製品マスタ!$AO$5:$AO$5002,0)))</f>
        <v>LI-MAT</v>
      </c>
      <c r="M297" s="39">
        <v>1120</v>
      </c>
      <c r="N297" s="39">
        <v>4000</v>
      </c>
      <c r="O297" s="156">
        <v>6</v>
      </c>
      <c r="P297" s="47">
        <v>3</v>
      </c>
      <c r="Q297" s="213">
        <v>44986</v>
      </c>
      <c r="R297" s="271">
        <f ca="1">IF(D297="","",IF(OFFSET(D297,-1,0)&lt;&gt;"","",IF(OR(J297="リード付け",J297="巻足し",J297="巻返しリード付け"),M297,VLOOKUP(D297,契約台帳!$A$3:$N$4986,14,FALSE))))</f>
        <v>1120</v>
      </c>
      <c r="S297" s="272">
        <f ca="1">IF(D297="","",IF(OFFSET(D297,-1,0)&lt;&gt;"","",IF(OR(J297="リード付け",J297="巻足し",J297="巻返しリード付け"),M297,VLOOKUP(D297,契約台帳!$A$3:$O$4986,15,FALSE))))</f>
        <v>1120</v>
      </c>
      <c r="T297" s="273">
        <f ca="1">IF(D297="","",IF(J297="リード付け",N297,IF(J297="巻返しリード付け",N297,IF(J297="巻足し",N297*P297+OFFSET(N297,1,0)*OFFSET(P297,1,0),VLOOKUP(D297,契約台帳!$A$3:$P$4986,16,FALSE)))))</f>
        <v>12000</v>
      </c>
      <c r="U297" s="40">
        <v>2</v>
      </c>
      <c r="V297" s="274">
        <f ca="1">IF(D297="","",IF(OFFSET(D297,-2,0)=D297,"",VLOOKUP(D297,契約台帳!$A$3:$R$4986,18,FALSE)))</f>
        <v>10</v>
      </c>
      <c r="W297" s="269" t="str">
        <f ca="1">IF(D297="","",IF(T297="","",IF(OR(J297="巻足し",J297="巻返しリード付け"),"",IF(J297="巻返し",VLOOKUP(F297&amp;K297&amp;M297,製品マスタ!$M$5:$AD$5002,18,FALSE),IF(OR(J297="リード付け",J297="巻返しリード付け"),"原反コア",IF(J297="スリット",VLOOKUP(F297&amp;K297&amp;R297,製品マスタ!$N$5:$AD$5002,17,FALSE),""))))))</f>
        <v/>
      </c>
      <c r="X297" s="269" t="str">
        <f ca="1">IF(D297="","",IF(T297="","",IF(J297="巻足し","",IF(J297="巻返し",VLOOKUP(F297&amp;K297&amp;M297,製品マスタ!$M$5:$AE$5002,19,FALSE),IF(OR(J297="リード付け",J297="巻返しリード付け"),"",IF(J297="スリット",VLOOKUP(F297&amp;K297&amp;R297,製品マスタ!$N$5:$AE$5002,18,FALSE),""))))))</f>
        <v/>
      </c>
      <c r="Y297" s="275">
        <f ca="1">IF(D297="","",IF(T297="","",VLOOKUP(D297,契約台帳!$A$3:$Q$4986,17,FALSE)))</f>
        <v>2</v>
      </c>
      <c r="Z297" s="269" t="str">
        <f ca="1">IF(D297="","",IF(T297="","",VLOOKUP(D297,契約台帳!$A$3:$E$4986,5,FALSE)))</f>
        <v>リンテック㈱</v>
      </c>
      <c r="AA297" s="57"/>
      <c r="AB297" s="207">
        <f>IFERROR((VLOOKUP(F297&amp;K297&amp;M297,製品マスタ!$M$5:$AM$5002,27,FALSE)),"")</f>
        <v>0</v>
      </c>
      <c r="AC297" s="33"/>
      <c r="AD297" s="189"/>
      <c r="AE297" s="54"/>
      <c r="AF297" s="55"/>
      <c r="AG297" s="43"/>
      <c r="AH297" s="47"/>
      <c r="AI297" s="30"/>
      <c r="AJ297" s="30"/>
      <c r="AK297" s="30"/>
      <c r="AL297" s="30"/>
      <c r="AM297" s="13"/>
      <c r="AN297" s="13"/>
      <c r="AO297" s="13"/>
      <c r="AP297" s="13"/>
      <c r="AQ297" s="13"/>
      <c r="AR297" s="14"/>
      <c r="AS297" s="15"/>
    </row>
    <row r="298" spans="1:45" s="17" customFormat="1" ht="30.95" hidden="1" customHeight="1" x14ac:dyDescent="0.2">
      <c r="A298" s="37"/>
      <c r="B298" s="38"/>
      <c r="C298" s="45"/>
      <c r="D298" s="31"/>
      <c r="E298" s="31"/>
      <c r="F298" s="268" t="str">
        <f>IF(D298="","",VLOOKUP(D298,契約台帳!$A$3:$K$4986,6,FALSE)&amp;VLOOKUP(D298,契約台帳!$A$3:$K$4986,7,FALSE)&amp;VLOOKUP(D298,契約台帳!$A$3:$K$4986,8,FALSE)&amp;VLOOKUP(D298,契約台帳!$A$3:$K$4986,9,FALSE)&amp;VLOOKUP(D298,契約台帳!$A$3:$K$4986,11,FALSE))</f>
        <v/>
      </c>
      <c r="G298" s="269" t="str">
        <f>IF(D298="","",VLOOKUP(F298,製品マスタ!$G$5:$H$5002,2,FALSE))</f>
        <v/>
      </c>
      <c r="H298" s="269" t="str">
        <f>IF(D298="","",VLOOKUP(F298,製品マスタ!$G$5:$K$5002,5,FALSE))</f>
        <v/>
      </c>
      <c r="I298" s="270" t="str">
        <f>IF(D298="","",VLOOKUP(F298,製品マスタ!$G$5:$L$5002,6,FALSE))</f>
        <v/>
      </c>
      <c r="J298" s="210"/>
      <c r="K298" s="270" t="str">
        <f>IF(D298="","",VLOOKUP(D298,契約台帳!$A$3:$L$4986,12,FALSE))</f>
        <v/>
      </c>
      <c r="L298" s="270" t="str">
        <f>IF(D298="","",INDEX(製品マスタ!$Q$5:$Q$5002,MATCH('S4'!F298&amp;'S4'!K298,製品マスタ!$AO$5:$AO$5002,0)))</f>
        <v/>
      </c>
      <c r="M298" s="39"/>
      <c r="N298" s="39"/>
      <c r="O298" s="156"/>
      <c r="P298" s="47"/>
      <c r="Q298" s="57"/>
      <c r="R298" s="271" t="str">
        <f ca="1">IF(D298="","",IF(OFFSET(D298,-1,0)&lt;&gt;"","",IF(OR(J298="リード付け",J298="巻足し",J298="巻返しリード付け"),M298,VLOOKUP(D298,契約台帳!$A$3:$N$4986,14,FALSE))))</f>
        <v/>
      </c>
      <c r="S298" s="272" t="str">
        <f ca="1">IF(D298="","",IF(OFFSET(D298,-1,0)&lt;&gt;"","",IF(OR(J298="リード付け",J298="巻足し",J298="巻返しリード付け"),M298,VLOOKUP(D298,契約台帳!$A$3:$O$4986,15,FALSE))))</f>
        <v/>
      </c>
      <c r="T298" s="273" t="str">
        <f ca="1">IF(D298="","",IF(J298="リード付け",N298,IF(J298="巻返しリード付け",N298,IF(J298="巻足し",N298*P298+OFFSET(N298,1,0)*OFFSET(P298,1,0),VLOOKUP(D298,契約台帳!$A$3:$P$4986,16,FALSE)))))</f>
        <v/>
      </c>
      <c r="U298" s="40"/>
      <c r="V298" s="274" t="str">
        <f ca="1">IF(D298="","",IF(OFFSET(D298,-2,0)=D298,"",VLOOKUP(D298,契約台帳!$A$3:$R$4986,18,FALSE)))</f>
        <v/>
      </c>
      <c r="W298" s="269" t="str">
        <f>IF(D298="","",IF(T298="","",IF(OR(J298="巻足し",J298="巻返しリード付け"),"",IF(J298="巻返し",VLOOKUP(F298&amp;K298&amp;M298,製品マスタ!$M$5:$AD$5002,18,FALSE),IF(OR(J298="リード付け",J298="巻返しリード付け"),"原反コア",IF(J298="スリット",VLOOKUP(F298&amp;K298&amp;R298,製品マスタ!$N$5:$AD$5002,17,FALSE),""))))))</f>
        <v/>
      </c>
      <c r="X298" s="269" t="str">
        <f>IF(D298="","",IF(T298="","",IF(J298="巻足し","",IF(J298="巻返し",VLOOKUP(F298&amp;K298&amp;M298,製品マスタ!$M$5:$AE$5002,19,FALSE),IF(OR(J298="リード付け",J298="巻返しリード付け"),"",IF(J298="スリット",VLOOKUP(F298&amp;K298&amp;R298,製品マスタ!$N$5:$AE$5002,18,FALSE),""))))))</f>
        <v/>
      </c>
      <c r="Y298" s="275" t="str">
        <f>IF(D298="","",IF(T298="","",VLOOKUP(D298,契約台帳!$A$3:$Q$4986,17,FALSE)))</f>
        <v/>
      </c>
      <c r="Z298" s="269" t="str">
        <f>IF(D298="","",IF(T298="","",VLOOKUP(D298,契約台帳!$A$3:$E$4986,5,FALSE)))</f>
        <v/>
      </c>
      <c r="AA298" s="57"/>
      <c r="AB298" s="207" t="str">
        <f>IFERROR((VLOOKUP(F298&amp;K298&amp;M298,製品マスタ!$M$5:$AM$5002,27,FALSE)),"")</f>
        <v/>
      </c>
      <c r="AC298" s="33"/>
      <c r="AD298" s="189"/>
      <c r="AE298" s="54"/>
      <c r="AF298" s="55"/>
      <c r="AG298" s="43"/>
      <c r="AH298" s="47"/>
      <c r="AI298" s="30"/>
      <c r="AJ298" s="30"/>
      <c r="AK298" s="30"/>
      <c r="AL298" s="30"/>
      <c r="AM298" s="13"/>
      <c r="AN298" s="13"/>
      <c r="AO298" s="13"/>
      <c r="AP298" s="13"/>
      <c r="AQ298" s="13"/>
      <c r="AR298" s="14"/>
      <c r="AS298" s="15"/>
    </row>
    <row r="299" spans="1:45" s="17" customFormat="1" ht="30.95" hidden="1" customHeight="1" x14ac:dyDescent="0.2">
      <c r="A299" s="37"/>
      <c r="B299" s="38"/>
      <c r="C299" s="45"/>
      <c r="D299" s="31">
        <v>3700968</v>
      </c>
      <c r="E299" s="31">
        <v>4161854</v>
      </c>
      <c r="F299" s="268" t="str">
        <f>IF(D299="","",VLOOKUP(D299,契約台帳!$A$3:$K$4986,6,FALSE)&amp;VLOOKUP(D299,契約台帳!$A$3:$K$4986,7,FALSE)&amp;VLOOKUP(D299,契約台帳!$A$3:$K$4986,8,FALSE)&amp;VLOOKUP(D299,契約台帳!$A$3:$K$4986,9,FALSE)&amp;VLOOKUP(D299,契約台帳!$A$3:$K$4986,11,FALSE))</f>
        <v>3SYMLBMSSMBZF</v>
      </c>
      <c r="G299" s="269" t="str">
        <f>IF(D299="","",VLOOKUP(F299,製品マスタ!$G$5:$H$5002,2,FALSE))</f>
        <v>S</v>
      </c>
      <c r="H299" s="269" t="str">
        <f>IF(D299="","",VLOOKUP(F299,製品マスタ!$G$5:$K$5002,5,FALSE))</f>
        <v>MSSMBZF</v>
      </c>
      <c r="I299" s="270" t="str">
        <f>IF(D299="","",VLOOKUP(F299,製品マスタ!$G$5:$L$5002,6,FALSE))</f>
        <v>ＭＥＴＡＬＵＭＹ　ＳＩＬＶＥＲ　Ｓ－ＭＡＴＴＥ　Ｂ</v>
      </c>
      <c r="J299" s="210" t="s">
        <v>935</v>
      </c>
      <c r="K299" s="270">
        <f>IF(D299="","",VLOOKUP(D299,契約台帳!$A$3:$L$4986,12,FALSE))</f>
        <v>50</v>
      </c>
      <c r="L299" s="270" t="str">
        <f>IF(D299="","",INDEX(製品マスタ!$Q$5:$Q$5002,MATCH('S4'!F299&amp;'S4'!K299,製品マスタ!$AO$5:$AO$5002,0)))</f>
        <v>LI-MAT</v>
      </c>
      <c r="M299" s="39">
        <v>1120</v>
      </c>
      <c r="N299" s="39">
        <v>4000</v>
      </c>
      <c r="O299" s="156">
        <v>4</v>
      </c>
      <c r="P299" s="47">
        <v>2</v>
      </c>
      <c r="Q299" s="213">
        <v>44986</v>
      </c>
      <c r="R299" s="271">
        <f ca="1">IF(D299="","",IF(OFFSET(D299,-1,0)&lt;&gt;"","",IF(OR(J299="リード付け",J299="巻足し",J299="巻返しリード付け"),M299,VLOOKUP(D299,契約台帳!$A$3:$N$4986,14,FALSE))))</f>
        <v>1120</v>
      </c>
      <c r="S299" s="272">
        <f ca="1">IF(D299="","",IF(OFFSET(D299,-1,0)&lt;&gt;"","",IF(OR(J299="リード付け",J299="巻足し",J299="巻返しリード付け"),M299,VLOOKUP(D299,契約台帳!$A$3:$O$4986,15,FALSE))))</f>
        <v>1120</v>
      </c>
      <c r="T299" s="273">
        <f ca="1">IF(D299="","",IF(J299="リード付け",N299,IF(J299="巻返しリード付け",N299,IF(J299="巻足し",N299*P299+OFFSET(N299,1,0)*OFFSET(P299,1,0),VLOOKUP(D299,契約台帳!$A$3:$P$4986,16,FALSE)))))</f>
        <v>8000</v>
      </c>
      <c r="U299" s="40">
        <v>2</v>
      </c>
      <c r="V299" s="274" t="str">
        <f ca="1">IF(D299="","",IF(OFFSET(D299,-2,0)=D299,"",VLOOKUP(D299,契約台帳!$A$3:$R$4986,18,FALSE)))</f>
        <v/>
      </c>
      <c r="W299" s="269" t="str">
        <f ca="1">IF(D299="","",IF(T299="","",IF(OR(J299="巻足し",J299="巻返しリード付け"),"",IF(J299="巻返し",VLOOKUP(F299&amp;K299&amp;M299,製品マスタ!$M$5:$AD$5002,18,FALSE),IF(OR(J299="リード付け",J299="巻返しリード付け"),"原反コア",IF(J299="スリット",VLOOKUP(F299&amp;K299&amp;R299,製品マスタ!$N$5:$AD$5002,17,FALSE),""))))))</f>
        <v/>
      </c>
      <c r="X299" s="269" t="str">
        <f ca="1">IF(D299="","",IF(T299="","",IF(J299="巻足し","",IF(J299="巻返し",VLOOKUP(F299&amp;K299&amp;M299,製品マスタ!$M$5:$AE$5002,19,FALSE),IF(OR(J299="リード付け",J299="巻返しリード付け"),"",IF(J299="スリット",VLOOKUP(F299&amp;K299&amp;R299,製品マスタ!$N$5:$AE$5002,18,FALSE),""))))))</f>
        <v/>
      </c>
      <c r="Y299" s="275">
        <f ca="1">IF(D299="","",IF(T299="","",VLOOKUP(D299,契約台帳!$A$3:$Q$4986,17,FALSE)))</f>
        <v>2</v>
      </c>
      <c r="Z299" s="269" t="str">
        <f ca="1">IF(D299="","",IF(T299="","",VLOOKUP(D299,契約台帳!$A$3:$E$4986,5,FALSE)))</f>
        <v>リンテック㈱</v>
      </c>
      <c r="AA299" s="57"/>
      <c r="AB299" s="207">
        <f>IFERROR((VLOOKUP(F299&amp;K299&amp;M299,製品マスタ!$M$5:$AM$5002,27,FALSE)),"")</f>
        <v>0</v>
      </c>
      <c r="AC299" s="33"/>
      <c r="AD299" s="189"/>
      <c r="AE299" s="54"/>
      <c r="AF299" s="55"/>
      <c r="AG299" s="43"/>
      <c r="AH299" s="47"/>
      <c r="AI299" s="30"/>
      <c r="AJ299" s="30"/>
      <c r="AK299" s="30"/>
      <c r="AL299" s="30"/>
      <c r="AM299" s="13"/>
      <c r="AN299" s="13"/>
      <c r="AO299" s="13"/>
      <c r="AP299" s="13"/>
      <c r="AQ299" s="13"/>
      <c r="AR299" s="14"/>
      <c r="AS299" s="15"/>
    </row>
    <row r="300" spans="1:45" s="17" customFormat="1" ht="30.95" hidden="1" customHeight="1" x14ac:dyDescent="0.2">
      <c r="A300" s="37"/>
      <c r="B300" s="38"/>
      <c r="C300" s="45"/>
      <c r="D300" s="31"/>
      <c r="E300" s="31"/>
      <c r="F300" s="268"/>
      <c r="G300" s="269"/>
      <c r="H300" s="269"/>
      <c r="I300" s="270"/>
      <c r="J300" s="210"/>
      <c r="K300" s="270"/>
      <c r="L300" s="270"/>
      <c r="M300" s="39"/>
      <c r="N300" s="39"/>
      <c r="O300" s="156"/>
      <c r="P300" s="47"/>
      <c r="Q300" s="57"/>
      <c r="R300" s="271"/>
      <c r="S300" s="272"/>
      <c r="T300" s="273"/>
      <c r="U300" s="40"/>
      <c r="V300" s="274"/>
      <c r="W300" s="269"/>
      <c r="X300" s="269"/>
      <c r="Y300" s="275"/>
      <c r="Z300" s="269"/>
      <c r="AA300" s="57"/>
      <c r="AB300" s="207"/>
      <c r="AC300" s="33"/>
      <c r="AD300" s="189"/>
      <c r="AE300" s="54"/>
      <c r="AF300" s="55"/>
      <c r="AG300" s="43"/>
      <c r="AH300" s="47"/>
      <c r="AI300" s="30"/>
      <c r="AJ300" s="30"/>
      <c r="AK300" s="30"/>
      <c r="AL300" s="30"/>
      <c r="AM300" s="13"/>
      <c r="AN300" s="13"/>
      <c r="AO300" s="13"/>
      <c r="AP300" s="13"/>
      <c r="AQ300" s="13"/>
      <c r="AR300" s="14"/>
      <c r="AS300" s="15"/>
    </row>
    <row r="301" spans="1:45" s="17" customFormat="1" ht="30.95" hidden="1" customHeight="1" x14ac:dyDescent="0.2">
      <c r="A301" s="37"/>
      <c r="B301" s="38"/>
      <c r="C301" s="45"/>
      <c r="D301" s="31">
        <v>3700970</v>
      </c>
      <c r="E301" s="31">
        <v>4161848</v>
      </c>
      <c r="F301" s="268" t="str">
        <f>IF(D301="","",VLOOKUP(D301,契約台帳!$A$3:$K$4986,6,FALSE)&amp;VLOOKUP(D301,契約台帳!$A$3:$K$4986,7,FALSE)&amp;VLOOKUP(D301,契約台帳!$A$3:$K$4986,8,FALSE)&amp;VLOOKUP(D301,契約台帳!$A$3:$K$4986,9,FALSE)&amp;VLOOKUP(D301,契約台帳!$A$3:$K$4986,11,FALSE))</f>
        <v>3SYMLBMSBBZF</v>
      </c>
      <c r="G301" s="269" t="str">
        <f>IF(D301="","",VLOOKUP(F301,製品マスタ!$G$5:$H$5002,2,FALSE))</f>
        <v>S</v>
      </c>
      <c r="H301" s="269" t="str">
        <f>IF(D301="","",VLOOKUP(F301,製品マスタ!$G$5:$K$5002,5,FALSE))</f>
        <v>MSBBZF</v>
      </c>
      <c r="I301" s="270" t="str">
        <f>IF(D301="","",VLOOKUP(F301,製品マスタ!$G$5:$L$5002,6,FALSE))</f>
        <v>ＭＥＴＡＬＵＭＹ　ＳＩＬＶＥＲ　ＢＲＩＧＨＴ　Ｂ</v>
      </c>
      <c r="J301" s="210" t="s">
        <v>935</v>
      </c>
      <c r="K301" s="270">
        <f>IF(D301="","",VLOOKUP(D301,契約台帳!$A$3:$L$4986,12,FALSE))</f>
        <v>50</v>
      </c>
      <c r="L301" s="270" t="str">
        <f>IF(D301="","",INDEX(製品マスタ!$Q$5:$Q$5002,MATCH('S4'!F301&amp;'S4'!K301,製品マスタ!$AO$5:$AO$5002,0)))</f>
        <v>T62</v>
      </c>
      <c r="M301" s="39">
        <v>1120</v>
      </c>
      <c r="N301" s="39">
        <v>5000</v>
      </c>
      <c r="O301" s="156">
        <v>2</v>
      </c>
      <c r="P301" s="47">
        <v>2</v>
      </c>
      <c r="Q301" s="213">
        <v>44987</v>
      </c>
      <c r="R301" s="271">
        <f ca="1">IF(D301="","",IF(OFFSET(D301,-1,0)&lt;&gt;"","",IF(OR(J301="リード付け",J301="巻足し",J301="巻返しリード付け"),M301,VLOOKUP(D301,契約台帳!$A$3:$N$4986,14,FALSE))))</f>
        <v>1120</v>
      </c>
      <c r="S301" s="272">
        <f ca="1">IF(D301="","",IF(OFFSET(D301,-1,0)&lt;&gt;"","",IF(OR(J301="リード付け",J301="巻足し",J301="巻返しリード付け"),M301,VLOOKUP(D301,契約台帳!$A$3:$O$4986,15,FALSE))))</f>
        <v>1120</v>
      </c>
      <c r="T301" s="273">
        <f ca="1">IF(D301="","",IF(J301="リード付け",N301,IF(J301="巻返しリード付け",N301,IF(J301="巻足し",N301*P301+OFFSET(N301,1,0)*OFFSET(P301,1,0),VLOOKUP(D301,契約台帳!$A$3:$P$4986,16,FALSE)))))</f>
        <v>10000</v>
      </c>
      <c r="U301" s="40">
        <v>1</v>
      </c>
      <c r="V301" s="274">
        <f ca="1">IF(D301="","",IF(OFFSET(D301,-2,0)=D301,"",VLOOKUP(D301,契約台帳!$A$3:$R$4986,18,FALSE)))</f>
        <v>2</v>
      </c>
      <c r="W301" s="269" t="str">
        <f ca="1">IF(D301="","",IF(T301="","",IF(OR(J301="巻足し",J301="巻返しリード付け"),"",IF(J301="巻返し",VLOOKUP(F301&amp;K301&amp;M301,製品マスタ!$M$5:$AD$5002,18,FALSE),IF(OR(J301="リード付け",J301="巻返しリード付け"),"原反コア",IF(J301="スリット",VLOOKUP(F301&amp;K301&amp;R301,製品マスタ!$N$5:$AD$5002,17,FALSE),""))))))</f>
        <v/>
      </c>
      <c r="X301" s="269" t="str">
        <f ca="1">IF(D301="","",IF(T301="","",IF(J301="巻足し","",IF(J301="巻返し",VLOOKUP(F301&amp;K301&amp;M301,製品マスタ!$M$5:$AE$5002,19,FALSE),IF(OR(J301="リード付け",J301="巻返しリード付け"),"",IF(J301="スリット",VLOOKUP(F301&amp;K301&amp;R301,製品マスタ!$N$5:$AE$5002,18,FALSE),""))))))</f>
        <v/>
      </c>
      <c r="Y301" s="275">
        <f ca="1">IF(D301="","",IF(T301="","",VLOOKUP(D301,契約台帳!$A$3:$Q$4986,17,FALSE)))</f>
        <v>2</v>
      </c>
      <c r="Z301" s="269" t="str">
        <f ca="1">IF(D301="","",IF(T301="","",VLOOKUP(D301,契約台帳!$A$3:$E$4986,5,FALSE)))</f>
        <v>リンテック㈱</v>
      </c>
      <c r="AA301" s="57"/>
      <c r="AB301" s="207" t="str">
        <f>IFERROR((VLOOKUP(F301&amp;K301&amp;M301,製品マスタ!$M$5:$AM$5002,27,FALSE)),"")</f>
        <v>原反ケース再利用</v>
      </c>
      <c r="AC301" s="33"/>
      <c r="AD301" s="189"/>
      <c r="AE301" s="54"/>
      <c r="AF301" s="55"/>
      <c r="AG301" s="43"/>
      <c r="AH301" s="47"/>
      <c r="AI301" s="30"/>
      <c r="AJ301" s="30"/>
      <c r="AK301" s="30"/>
      <c r="AL301" s="30"/>
      <c r="AM301" s="13"/>
      <c r="AN301" s="13"/>
      <c r="AO301" s="13"/>
      <c r="AP301" s="13"/>
      <c r="AQ301" s="13"/>
      <c r="AR301" s="14"/>
      <c r="AS301" s="15"/>
    </row>
    <row r="302" spans="1:45" s="17" customFormat="1" ht="30.95" hidden="1" customHeight="1" x14ac:dyDescent="0.2">
      <c r="A302" s="37"/>
      <c r="B302" s="38"/>
      <c r="C302" s="45"/>
      <c r="D302" s="31"/>
      <c r="E302" s="31"/>
      <c r="F302" s="268" t="str">
        <f>IF(D302="","",VLOOKUP(D302,契約台帳!$A$3:$K$4986,6,FALSE)&amp;VLOOKUP(D302,契約台帳!$A$3:$K$4986,7,FALSE)&amp;VLOOKUP(D302,契約台帳!$A$3:$K$4986,8,FALSE)&amp;VLOOKUP(D302,契約台帳!$A$3:$K$4986,9,FALSE)&amp;VLOOKUP(D302,契約台帳!$A$3:$K$4986,11,FALSE))</f>
        <v/>
      </c>
      <c r="G302" s="269" t="str">
        <f>IF(D302="","",VLOOKUP(F302,製品マスタ!$G$5:$H$5002,2,FALSE))</f>
        <v/>
      </c>
      <c r="H302" s="269" t="str">
        <f>IF(D302="","",VLOOKUP(F302,製品マスタ!$G$5:$K$5002,5,FALSE))</f>
        <v/>
      </c>
      <c r="I302" s="270" t="str">
        <f>IF(D302="","",VLOOKUP(F302,製品マスタ!$G$5:$L$5002,6,FALSE))</f>
        <v/>
      </c>
      <c r="J302" s="210"/>
      <c r="K302" s="270" t="str">
        <f>IF(D302="","",VLOOKUP(D302,契約台帳!$A$3:$L$4986,12,FALSE))</f>
        <v/>
      </c>
      <c r="L302" s="270" t="str">
        <f>IF(D302="","",INDEX(製品マスタ!$Q$5:$Q$5002,MATCH('S4'!F302&amp;'S4'!K302,製品マスタ!$AO$5:$AO$5002,0)))</f>
        <v/>
      </c>
      <c r="M302" s="39"/>
      <c r="N302" s="39"/>
      <c r="O302" s="156"/>
      <c r="P302" s="47"/>
      <c r="Q302" s="57"/>
      <c r="R302" s="271" t="str">
        <f ca="1">IF(D302="","",IF(OFFSET(D302,-1,0)&lt;&gt;"","",IF(OR(J302="リード付け",J302="巻足し",J302="巻返しリード付け"),M302,VLOOKUP(D302,契約台帳!$A$3:$N$4986,14,FALSE))))</f>
        <v/>
      </c>
      <c r="S302" s="272" t="str">
        <f ca="1">IF(D302="","",IF(OFFSET(D302,-1,0)&lt;&gt;"","",IF(OR(J302="リード付け",J302="巻足し",J302="巻返しリード付け"),M302,VLOOKUP(D302,契約台帳!$A$3:$O$4986,15,FALSE))))</f>
        <v/>
      </c>
      <c r="T302" s="273" t="str">
        <f ca="1">IF(D302="","",IF(J302="リード付け",N302,IF(J302="巻返しリード付け",N302,IF(J302="巻足し",N302*P302+OFFSET(N302,1,0)*OFFSET(P302,1,0),VLOOKUP(D302,契約台帳!$A$3:$P$4986,16,FALSE)))))</f>
        <v/>
      </c>
      <c r="U302" s="40"/>
      <c r="V302" s="274" t="str">
        <f ca="1">IF(D302="","",IF(OFFSET(D302,-2,0)=D302,"",VLOOKUP(D302,契約台帳!$A$3:$R$4986,18,FALSE)))</f>
        <v/>
      </c>
      <c r="W302" s="269" t="str">
        <f>IF(D302="","",IF(T302="","",IF(OR(J302="巻足し",J302="巻返しリード付け"),"",IF(J302="巻返し",VLOOKUP(F302&amp;K302&amp;M302,製品マスタ!$M$5:$AD$5002,18,FALSE),IF(OR(J302="リード付け",J302="巻返しリード付け"),"原反コア",IF(J302="スリット",VLOOKUP(F302&amp;K302&amp;R302,製品マスタ!$N$5:$AD$5002,17,FALSE),""))))))</f>
        <v/>
      </c>
      <c r="X302" s="269" t="str">
        <f>IF(D302="","",IF(T302="","",IF(J302="巻足し","",IF(J302="巻返し",VLOOKUP(F302&amp;K302&amp;M302,製品マスタ!$M$5:$AE$5002,19,FALSE),IF(OR(J302="リード付け",J302="巻返しリード付け"),"",IF(J302="スリット",VLOOKUP(F302&amp;K302&amp;R302,製品マスタ!$N$5:$AE$5002,18,FALSE),""))))))</f>
        <v/>
      </c>
      <c r="Y302" s="275" t="str">
        <f>IF(D302="","",IF(T302="","",VLOOKUP(D302,契約台帳!$A$3:$Q$4986,17,FALSE)))</f>
        <v/>
      </c>
      <c r="Z302" s="269" t="str">
        <f>IF(D302="","",IF(T302="","",VLOOKUP(D302,契約台帳!$A$3:$E$4986,5,FALSE)))</f>
        <v/>
      </c>
      <c r="AA302" s="57"/>
      <c r="AB302" s="207" t="str">
        <f>IFERROR((VLOOKUP(F302&amp;K302&amp;M302,製品マスタ!$M$5:$AM$5002,27,FALSE)),"")</f>
        <v/>
      </c>
      <c r="AC302" s="33"/>
      <c r="AD302" s="189"/>
      <c r="AE302" s="54"/>
      <c r="AF302" s="55"/>
      <c r="AG302" s="43"/>
      <c r="AH302" s="47"/>
      <c r="AI302" s="30"/>
      <c r="AJ302" s="30"/>
      <c r="AK302" s="30"/>
      <c r="AL302" s="30"/>
      <c r="AM302" s="13"/>
      <c r="AN302" s="13"/>
      <c r="AO302" s="13"/>
      <c r="AP302" s="13"/>
      <c r="AQ302" s="13"/>
      <c r="AR302" s="14"/>
      <c r="AS302" s="15"/>
    </row>
    <row r="303" spans="1:45" s="17" customFormat="1" ht="30.95" hidden="1" customHeight="1" x14ac:dyDescent="0.2">
      <c r="A303" s="37"/>
      <c r="B303" s="38"/>
      <c r="C303" s="45"/>
      <c r="D303" s="31">
        <v>3700967</v>
      </c>
      <c r="E303" s="31">
        <v>4161851</v>
      </c>
      <c r="F303" s="268" t="str">
        <f>IF(D303="","",VLOOKUP(D303,契約台帳!$A$3:$K$4986,6,FALSE)&amp;VLOOKUP(D303,契約台帳!$A$3:$K$4986,7,FALSE)&amp;VLOOKUP(D303,契約台帳!$A$3:$K$4986,8,FALSE)&amp;VLOOKUP(D303,契約台帳!$A$3:$K$4986,9,FALSE)&amp;VLOOKUP(D303,契約台帳!$A$3:$K$4986,11,FALSE))</f>
        <v>3SYMLBMSNMBF</v>
      </c>
      <c r="G303" s="269" t="str">
        <f>IF(D303="","",VLOOKUP(F303,製品マスタ!$G$5:$H$5002,2,FALSE))</f>
        <v>S</v>
      </c>
      <c r="H303" s="269" t="str">
        <f>IF(D303="","",VLOOKUP(F303,製品マスタ!$G$5:$K$5002,5,FALSE))</f>
        <v>MSNMBF</v>
      </c>
      <c r="I303" s="270" t="str">
        <f>IF(D303="","",VLOOKUP(F303,製品マスタ!$G$5:$L$5002,6,FALSE))</f>
        <v>ＭＥＴＡＬＵＭＹ　ＳＩＬＶＥＲ　Ｎ－ＭＡＴＴＥ　Ｘ４４Ｍ　Ｂ</v>
      </c>
      <c r="J303" s="210" t="s">
        <v>935</v>
      </c>
      <c r="K303" s="270">
        <f>IF(D303="","",VLOOKUP(D303,契約台帳!$A$3:$L$4986,12,FALSE))</f>
        <v>50</v>
      </c>
      <c r="L303" s="270" t="str">
        <f>IF(D303="","",INDEX(製品マスタ!$Q$5:$Q$5002,MATCH('S4'!F303&amp;'S4'!K303,製品マスタ!$AO$5:$AO$5002,0)))</f>
        <v>X44</v>
      </c>
      <c r="M303" s="39">
        <v>1120</v>
      </c>
      <c r="N303" s="39">
        <v>4000</v>
      </c>
      <c r="O303" s="156">
        <v>4</v>
      </c>
      <c r="P303" s="47">
        <v>2</v>
      </c>
      <c r="Q303" s="213">
        <v>44987</v>
      </c>
      <c r="R303" s="271">
        <f ca="1">IF(D303="","",IF(OFFSET(D303,-1,0)&lt;&gt;"","",IF(OR(J303="リード付け",J303="巻足し",J303="巻返しリード付け"),M303,VLOOKUP(D303,契約台帳!$A$3:$N$4986,14,FALSE))))</f>
        <v>1120</v>
      </c>
      <c r="S303" s="272">
        <f ca="1">IF(D303="","",IF(OFFSET(D303,-1,0)&lt;&gt;"","",IF(OR(J303="リード付け",J303="巻足し",J303="巻返しリード付け"),M303,VLOOKUP(D303,契約台帳!$A$3:$O$4986,15,FALSE))))</f>
        <v>1120</v>
      </c>
      <c r="T303" s="273">
        <f ca="1">IF(D303="","",IF(J303="リード付け",N303,IF(J303="巻返しリード付け",N303,IF(J303="巻足し",N303*P303+OFFSET(N303,1,0)*OFFSET(P303,1,0),VLOOKUP(D303,契約台帳!$A$3:$P$4986,16,FALSE)))))</f>
        <v>8000</v>
      </c>
      <c r="U303" s="40">
        <v>2</v>
      </c>
      <c r="V303" s="274">
        <f ca="1">IF(D303="","",IF(OFFSET(D303,-2,0)=D303,"",VLOOKUP(D303,契約台帳!$A$3:$R$4986,18,FALSE)))</f>
        <v>4</v>
      </c>
      <c r="W303" s="269" t="str">
        <f ca="1">IF(D303="","",IF(T303="","",IF(OR(J303="巻足し",J303="巻返しリード付け"),"",IF(J303="巻返し",VLOOKUP(F303&amp;K303&amp;M303,製品マスタ!$M$5:$AD$5002,18,FALSE),IF(OR(J303="リード付け",J303="巻返しリード付け"),"原反コア",IF(J303="スリット",VLOOKUP(F303&amp;K303&amp;R303,製品マスタ!$N$5:$AD$5002,17,FALSE),""))))))</f>
        <v/>
      </c>
      <c r="X303" s="269" t="str">
        <f ca="1">IF(D303="","",IF(T303="","",IF(J303="巻足し","",IF(J303="巻返し",VLOOKUP(F303&amp;K303&amp;M303,製品マスタ!$M$5:$AE$5002,19,FALSE),IF(OR(J303="リード付け",J303="巻返しリード付け"),"",IF(J303="スリット",VLOOKUP(F303&amp;K303&amp;R303,製品マスタ!$N$5:$AE$5002,18,FALSE),""))))))</f>
        <v/>
      </c>
      <c r="Y303" s="275">
        <f ca="1">IF(D303="","",IF(T303="","",VLOOKUP(D303,契約台帳!$A$3:$Q$4986,17,FALSE)))</f>
        <v>2</v>
      </c>
      <c r="Z303" s="269" t="str">
        <f ca="1">IF(D303="","",IF(T303="","",VLOOKUP(D303,契約台帳!$A$3:$E$4986,5,FALSE)))</f>
        <v>リンテック㈱</v>
      </c>
      <c r="AA303" s="57"/>
      <c r="AB303" s="207">
        <f>IFERROR((VLOOKUP(F303&amp;K303&amp;M303,製品マスタ!$M$5:$AM$5002,27,FALSE)),"")</f>
        <v>0</v>
      </c>
      <c r="AC303" s="33"/>
      <c r="AD303" s="189"/>
      <c r="AE303" s="54"/>
      <c r="AF303" s="55"/>
      <c r="AG303" s="43"/>
      <c r="AH303" s="47"/>
      <c r="AI303" s="30"/>
      <c r="AJ303" s="30"/>
      <c r="AK303" s="30"/>
      <c r="AL303" s="30"/>
      <c r="AM303" s="13"/>
      <c r="AN303" s="13"/>
      <c r="AO303" s="13"/>
      <c r="AP303" s="13"/>
      <c r="AQ303" s="13"/>
      <c r="AR303" s="14"/>
      <c r="AS303" s="15"/>
    </row>
    <row r="304" spans="1:45" s="17" customFormat="1" ht="30.95" hidden="1" customHeight="1" x14ac:dyDescent="0.2">
      <c r="A304" s="37"/>
      <c r="B304" s="38"/>
      <c r="C304" s="45"/>
      <c r="D304" s="31"/>
      <c r="E304" s="31"/>
      <c r="F304" s="268" t="str">
        <f>IF(D304="","",VLOOKUP(D304,契約台帳!$A$3:$K$4986,6,FALSE)&amp;VLOOKUP(D304,契約台帳!$A$3:$K$4986,7,FALSE)&amp;VLOOKUP(D304,契約台帳!$A$3:$K$4986,8,FALSE)&amp;VLOOKUP(D304,契約台帳!$A$3:$K$4986,9,FALSE)&amp;VLOOKUP(D304,契約台帳!$A$3:$K$4986,11,FALSE))</f>
        <v/>
      </c>
      <c r="G304" s="269" t="str">
        <f>IF(D304="","",VLOOKUP(F304,製品マスタ!$G$5:$H$5002,2,FALSE))</f>
        <v/>
      </c>
      <c r="H304" s="269" t="str">
        <f>IF(D304="","",VLOOKUP(F304,製品マスタ!$G$5:$K$5002,5,FALSE))</f>
        <v/>
      </c>
      <c r="I304" s="270" t="str">
        <f>IF(D304="","",VLOOKUP(F304,製品マスタ!$G$5:$L$5002,6,FALSE))</f>
        <v/>
      </c>
      <c r="J304" s="210"/>
      <c r="K304" s="270" t="str">
        <f>IF(D304="","",VLOOKUP(D304,契約台帳!$A$3:$L$4986,12,FALSE))</f>
        <v/>
      </c>
      <c r="L304" s="270" t="str">
        <f>IF(D304="","",INDEX(製品マスタ!$Q$5:$Q$5002,MATCH('S4'!F304&amp;'S4'!K304,製品マスタ!$AO$5:$AO$5002,0)))</f>
        <v/>
      </c>
      <c r="M304" s="39"/>
      <c r="N304" s="39"/>
      <c r="O304" s="156"/>
      <c r="P304" s="47"/>
      <c r="Q304" s="57"/>
      <c r="R304" s="271" t="str">
        <f ca="1">IF(D304="","",IF(OFFSET(D304,-1,0)&lt;&gt;"","",IF(OR(J304="リード付け",J304="巻足し",J304="巻返しリード付け"),M304,VLOOKUP(D304,契約台帳!$A$3:$N$4986,14,FALSE))))</f>
        <v/>
      </c>
      <c r="S304" s="272" t="str">
        <f ca="1">IF(D304="","",IF(OFFSET(D304,-1,0)&lt;&gt;"","",IF(OR(J304="リード付け",J304="巻足し",J304="巻返しリード付け"),M304,VLOOKUP(D304,契約台帳!$A$3:$O$4986,15,FALSE))))</f>
        <v/>
      </c>
      <c r="T304" s="273" t="str">
        <f ca="1">IF(D304="","",IF(J304="リード付け",N304,IF(J304="巻返しリード付け",N304,IF(J304="巻足し",N304*P304+OFFSET(N304,1,0)*OFFSET(P304,1,0),VLOOKUP(D304,契約台帳!$A$3:$P$4986,16,FALSE)))))</f>
        <v/>
      </c>
      <c r="U304" s="40"/>
      <c r="V304" s="274" t="str">
        <f ca="1">IF(D304="","",IF(OFFSET(D304,-2,0)=D304,"",VLOOKUP(D304,契約台帳!$A$3:$R$4986,18,FALSE)))</f>
        <v/>
      </c>
      <c r="W304" s="269" t="str">
        <f>IF(D304="","",IF(T304="","",IF(OR(J304="巻足し",J304="巻返しリード付け"),"",IF(J304="巻返し",VLOOKUP(F304&amp;K304&amp;M304,製品マスタ!$M$5:$AD$5002,18,FALSE),IF(OR(J304="リード付け",J304="巻返しリード付け"),"原反コア",IF(J304="スリット",VLOOKUP(F304&amp;K304&amp;R304,製品マスタ!$N$5:$AD$5002,17,FALSE),""))))))</f>
        <v/>
      </c>
      <c r="X304" s="269" t="str">
        <f>IF(D304="","",IF(T304="","",IF(J304="巻足し","",IF(J304="巻返し",VLOOKUP(F304&amp;K304&amp;M304,製品マスタ!$M$5:$AE$5002,19,FALSE),IF(OR(J304="リード付け",J304="巻返しリード付け"),"",IF(J304="スリット",VLOOKUP(F304&amp;K304&amp;R304,製品マスタ!$N$5:$AE$5002,18,FALSE),""))))))</f>
        <v/>
      </c>
      <c r="Y304" s="275" t="str">
        <f>IF(D304="","",IF(T304="","",VLOOKUP(D304,契約台帳!$A$3:$Q$4986,17,FALSE)))</f>
        <v/>
      </c>
      <c r="Z304" s="269" t="str">
        <f>IF(D304="","",IF(T304="","",VLOOKUP(D304,契約台帳!$A$3:$E$4986,5,FALSE)))</f>
        <v/>
      </c>
      <c r="AA304" s="57"/>
      <c r="AB304" s="207" t="str">
        <f>IFERROR((VLOOKUP(F304&amp;K304&amp;M304,製品マスタ!$M$5:$AM$5002,27,FALSE)),"")</f>
        <v/>
      </c>
      <c r="AC304" s="33"/>
      <c r="AD304" s="189"/>
      <c r="AE304" s="54"/>
      <c r="AF304" s="55"/>
      <c r="AG304" s="43"/>
      <c r="AH304" s="47"/>
      <c r="AI304" s="30"/>
      <c r="AJ304" s="30"/>
      <c r="AK304" s="30"/>
      <c r="AL304" s="30"/>
      <c r="AM304" s="13"/>
      <c r="AN304" s="13"/>
      <c r="AO304" s="13"/>
      <c r="AP304" s="13"/>
      <c r="AQ304" s="13"/>
      <c r="AR304" s="14"/>
      <c r="AS304" s="15"/>
    </row>
    <row r="305" spans="1:45" s="17" customFormat="1" ht="30.95" hidden="1" customHeight="1" x14ac:dyDescent="0.2">
      <c r="A305" s="37" t="s">
        <v>946</v>
      </c>
      <c r="B305" s="38" t="s">
        <v>947</v>
      </c>
      <c r="C305" s="45"/>
      <c r="D305" s="31">
        <v>3700969</v>
      </c>
      <c r="E305" s="31">
        <v>4161857</v>
      </c>
      <c r="F305" s="268" t="str">
        <f>IF(D305="","",VLOOKUP(D305,契約台帳!$A$3:$K$4986,6,FALSE)&amp;VLOOKUP(D305,契約台帳!$A$3:$K$4986,7,FALSE)&amp;VLOOKUP(D305,契約台帳!$A$3:$K$4986,8,FALSE)&amp;VLOOKUP(D305,契約台帳!$A$3:$K$4986,9,FALSE)&amp;VLOOKUP(D305,契約台帳!$A$3:$K$4986,11,FALSE))</f>
        <v>3SYMLBMSNMBZF</v>
      </c>
      <c r="G305" s="269" t="str">
        <f>IF(D305="","",VLOOKUP(F305,製品マスタ!$G$5:$H$5002,2,FALSE))</f>
        <v>S</v>
      </c>
      <c r="H305" s="269" t="str">
        <f>IF(D305="","",VLOOKUP(F305,製品マスタ!$G$5:$K$5002,5,FALSE))</f>
        <v>MSNMBZF</v>
      </c>
      <c r="I305" s="270" t="str">
        <f>IF(D305="","",VLOOKUP(F305,製品マスタ!$G$5:$L$5002,6,FALSE))</f>
        <v>ＭＥＴＡＬＵＭＹ　ＳＩＬＶＥＲ　Ｎ－ＭＡＴＴＥ　Ｂ</v>
      </c>
      <c r="J305" s="210" t="s">
        <v>935</v>
      </c>
      <c r="K305" s="270">
        <f>IF(D305="","",VLOOKUP(D305,契約台帳!$A$3:$L$4986,12,FALSE))</f>
        <v>50</v>
      </c>
      <c r="L305" s="270" t="str">
        <f>IF(D305="","",INDEX(製品マスタ!$Q$5:$Q$5002,MATCH('S4'!F305&amp;'S4'!K305,製品マスタ!$AO$5:$AO$5002,0)))</f>
        <v>X44</v>
      </c>
      <c r="M305" s="39">
        <v>1120</v>
      </c>
      <c r="N305" s="39">
        <v>4000</v>
      </c>
      <c r="O305" s="156">
        <v>12</v>
      </c>
      <c r="P305" s="47">
        <v>3</v>
      </c>
      <c r="Q305" s="213">
        <v>44987</v>
      </c>
      <c r="R305" s="271">
        <f ca="1">IF(D305="","",IF(OFFSET(D305,-1,0)&lt;&gt;"","",IF(OR(J305="リード付け",J305="巻足し",J305="巻返しリード付け"),M305,VLOOKUP(D305,契約台帳!$A$3:$N$4986,14,FALSE))))</f>
        <v>1120</v>
      </c>
      <c r="S305" s="272">
        <f ca="1">IF(D305="","",IF(OFFSET(D305,-1,0)&lt;&gt;"","",IF(OR(J305="リード付け",J305="巻足し",J305="巻返しリード付け"),M305,VLOOKUP(D305,契約台帳!$A$3:$O$4986,15,FALSE))))</f>
        <v>1120</v>
      </c>
      <c r="T305" s="273">
        <f ca="1">IF(D305="","",IF(J305="リード付け",N305,IF(J305="巻返しリード付け",N305,IF(J305="巻足し",N305*P305+OFFSET(N305,1,0)*OFFSET(P305,1,0),VLOOKUP(D305,契約台帳!$A$3:$P$4986,16,FALSE)))))</f>
        <v>12000</v>
      </c>
      <c r="U305" s="40">
        <v>4</v>
      </c>
      <c r="V305" s="274">
        <f ca="1">IF(D305="","",IF(OFFSET(D305,-2,0)=D305,"",VLOOKUP(D305,契約台帳!$A$3:$R$4986,18,FALSE)))</f>
        <v>16</v>
      </c>
      <c r="W305" s="269" t="str">
        <f ca="1">IF(D305="","",IF(T305="","",IF(OR(J305="巻足し",J305="巻返しリード付け"),"",IF(J305="巻返し",VLOOKUP(F305&amp;K305&amp;M305,製品マスタ!$M$5:$AD$5002,18,FALSE),IF(OR(J305="リード付け",J305="巻返しリード付け"),"原反コア",IF(J305="スリット",VLOOKUP(F305&amp;K305&amp;R305,製品マスタ!$N$5:$AD$5002,17,FALSE),""))))))</f>
        <v/>
      </c>
      <c r="X305" s="269" t="str">
        <f ca="1">IF(D305="","",IF(T305="","",IF(J305="巻足し","",IF(J305="巻返し",VLOOKUP(F305&amp;K305&amp;M305,製品マスタ!$M$5:$AE$5002,19,FALSE),IF(OR(J305="リード付け",J305="巻返しリード付け"),"",IF(J305="スリット",VLOOKUP(F305&amp;K305&amp;R305,製品マスタ!$N$5:$AE$5002,18,FALSE),""))))))</f>
        <v/>
      </c>
      <c r="Y305" s="275">
        <f ca="1">IF(D305="","",IF(T305="","",VLOOKUP(D305,契約台帳!$A$3:$Q$4986,17,FALSE)))</f>
        <v>2</v>
      </c>
      <c r="Z305" s="269" t="str">
        <f ca="1">IF(D305="","",IF(T305="","",VLOOKUP(D305,契約台帳!$A$3:$E$4986,5,FALSE)))</f>
        <v>リンテック㈱</v>
      </c>
      <c r="AA305" s="57"/>
      <c r="AB305" s="207">
        <f>IFERROR((VLOOKUP(F305&amp;K305&amp;M305,製品マスタ!$M$5:$AM$5002,27,FALSE)),"")</f>
        <v>0</v>
      </c>
      <c r="AC305" s="33"/>
      <c r="AD305" s="189"/>
      <c r="AE305" s="54"/>
      <c r="AF305" s="55"/>
      <c r="AG305" s="43"/>
      <c r="AH305" s="47"/>
      <c r="AI305" s="30"/>
      <c r="AJ305" s="30"/>
      <c r="AK305" s="30"/>
      <c r="AL305" s="30"/>
      <c r="AM305" s="13"/>
      <c r="AN305" s="13"/>
      <c r="AO305" s="13"/>
      <c r="AP305" s="13"/>
      <c r="AQ305" s="13"/>
      <c r="AR305" s="14"/>
      <c r="AS305" s="15"/>
    </row>
    <row r="306" spans="1:45" s="17" customFormat="1" ht="30.95" hidden="1" customHeight="1" x14ac:dyDescent="0.2">
      <c r="A306" s="37"/>
      <c r="B306" s="38"/>
      <c r="C306" s="45"/>
      <c r="D306" s="31"/>
      <c r="E306" s="31"/>
      <c r="F306" s="268" t="str">
        <f>IF(D306="","",VLOOKUP(D306,契約台帳!$A$3:$K$4986,6,FALSE)&amp;VLOOKUP(D306,契約台帳!$A$3:$K$4986,7,FALSE)&amp;VLOOKUP(D306,契約台帳!$A$3:$K$4986,8,FALSE)&amp;VLOOKUP(D306,契約台帳!$A$3:$K$4986,9,FALSE)&amp;VLOOKUP(D306,契約台帳!$A$3:$K$4986,11,FALSE))</f>
        <v/>
      </c>
      <c r="G306" s="269" t="str">
        <f>IF(D306="","",VLOOKUP(F306,製品マスタ!$G$5:$H$5002,2,FALSE))</f>
        <v/>
      </c>
      <c r="H306" s="269" t="str">
        <f>IF(D306="","",VLOOKUP(F306,製品マスタ!$G$5:$K$5002,5,FALSE))</f>
        <v/>
      </c>
      <c r="I306" s="270" t="str">
        <f>IF(D306="","",VLOOKUP(F306,製品マスタ!$G$5:$L$5002,6,FALSE))</f>
        <v/>
      </c>
      <c r="J306" s="210"/>
      <c r="K306" s="270" t="str">
        <f>IF(D306="","",VLOOKUP(D306,契約台帳!$A$3:$L$4986,12,FALSE))</f>
        <v/>
      </c>
      <c r="L306" s="270" t="str">
        <f>IF(D306="","",INDEX(製品マスタ!$Q$5:$Q$5002,MATCH('S4'!F306&amp;'S4'!K306,製品マスタ!$AO$5:$AO$5002,0)))</f>
        <v/>
      </c>
      <c r="M306" s="39"/>
      <c r="N306" s="39"/>
      <c r="O306" s="156"/>
      <c r="P306" s="47"/>
      <c r="Q306" s="57"/>
      <c r="R306" s="271" t="str">
        <f ca="1">IF(D306="","",IF(OFFSET(D306,-1,0)&lt;&gt;"","",IF(OR(J306="リード付け",J306="巻足し",J306="巻返しリード付け"),M306,VLOOKUP(D306,契約台帳!$A$3:$N$4986,14,FALSE))))</f>
        <v/>
      </c>
      <c r="S306" s="272" t="str">
        <f ca="1">IF(D306="","",IF(OFFSET(D306,-1,0)&lt;&gt;"","",IF(OR(J306="リード付け",J306="巻足し",J306="巻返しリード付け"),M306,VLOOKUP(D306,契約台帳!$A$3:$O$4986,15,FALSE))))</f>
        <v/>
      </c>
      <c r="T306" s="273" t="str">
        <f ca="1">IF(D306="","",IF(J306="リード付け",N306,IF(J306="巻返しリード付け",N306,IF(J306="巻足し",N306*P306+OFFSET(N306,1,0)*OFFSET(P306,1,0),VLOOKUP(D306,契約台帳!$A$3:$P$4986,16,FALSE)))))</f>
        <v/>
      </c>
      <c r="U306" s="40"/>
      <c r="V306" s="274" t="str">
        <f ca="1">IF(D306="","",IF(OFFSET(D306,-2,0)=D306,"",VLOOKUP(D306,契約台帳!$A$3:$R$4986,18,FALSE)))</f>
        <v/>
      </c>
      <c r="W306" s="269" t="str">
        <f>IF(D306="","",IF(T306="","",IF(OR(J306="巻足し",J306="巻返しリード付け"),"",IF(J306="巻返し",VLOOKUP(F306&amp;K306&amp;M306,製品マスタ!$M$5:$AD$5002,18,FALSE),IF(OR(J306="リード付け",J306="巻返しリード付け"),"原反コア",IF(J306="スリット",VLOOKUP(F306&amp;K306&amp;R306,製品マスタ!$N$5:$AD$5002,17,FALSE),""))))))</f>
        <v/>
      </c>
      <c r="X306" s="269" t="str">
        <f>IF(D306="","",IF(T306="","",IF(J306="巻足し","",IF(J306="巻返し",VLOOKUP(F306&amp;K306&amp;M306,製品マスタ!$M$5:$AE$5002,19,FALSE),IF(OR(J306="リード付け",J306="巻返しリード付け"),"",IF(J306="スリット",VLOOKUP(F306&amp;K306&amp;R306,製品マスタ!$N$5:$AE$5002,18,FALSE),""))))))</f>
        <v/>
      </c>
      <c r="Y306" s="275" t="str">
        <f>IF(D306="","",IF(T306="","",VLOOKUP(D306,契約台帳!$A$3:$Q$4986,17,FALSE)))</f>
        <v/>
      </c>
      <c r="Z306" s="269" t="str">
        <f>IF(D306="","",IF(T306="","",VLOOKUP(D306,契約台帳!$A$3:$E$4986,5,FALSE)))</f>
        <v/>
      </c>
      <c r="AA306" s="57"/>
      <c r="AB306" s="207" t="str">
        <f>IFERROR((VLOOKUP(F306&amp;K306&amp;M306,製品マスタ!$M$5:$AM$5002,27,FALSE)),"")</f>
        <v/>
      </c>
      <c r="AC306" s="33"/>
      <c r="AD306" s="189"/>
      <c r="AE306" s="54"/>
      <c r="AF306" s="55"/>
      <c r="AG306" s="43"/>
      <c r="AH306" s="47"/>
      <c r="AI306" s="30"/>
      <c r="AJ306" s="30"/>
      <c r="AK306" s="30"/>
      <c r="AL306" s="30"/>
      <c r="AM306" s="13"/>
      <c r="AN306" s="13"/>
      <c r="AO306" s="13"/>
      <c r="AP306" s="13"/>
      <c r="AQ306" s="13"/>
      <c r="AR306" s="14"/>
      <c r="AS306" s="15"/>
    </row>
    <row r="307" spans="1:45" s="17" customFormat="1" ht="30.95" hidden="1" customHeight="1" x14ac:dyDescent="0.2">
      <c r="A307" s="37"/>
      <c r="B307" s="38"/>
      <c r="C307" s="45"/>
      <c r="D307" s="31">
        <v>3700969</v>
      </c>
      <c r="E307" s="31">
        <v>4161857</v>
      </c>
      <c r="F307" s="268" t="str">
        <f>IF(D307="","",VLOOKUP(D307,契約台帳!$A$3:$K$4986,6,FALSE)&amp;VLOOKUP(D307,契約台帳!$A$3:$K$4986,7,FALSE)&amp;VLOOKUP(D307,契約台帳!$A$3:$K$4986,8,FALSE)&amp;VLOOKUP(D307,契約台帳!$A$3:$K$4986,9,FALSE)&amp;VLOOKUP(D307,契約台帳!$A$3:$K$4986,11,FALSE))</f>
        <v>3SYMLBMSNMBZF</v>
      </c>
      <c r="G307" s="269" t="str">
        <f>IF(D307="","",VLOOKUP(F307,製品マスタ!$G$5:$H$5002,2,FALSE))</f>
        <v>S</v>
      </c>
      <c r="H307" s="269" t="str">
        <f>IF(D307="","",VLOOKUP(F307,製品マスタ!$G$5:$K$5002,5,FALSE))</f>
        <v>MSNMBZF</v>
      </c>
      <c r="I307" s="270" t="str">
        <f>IF(D307="","",VLOOKUP(F307,製品マスタ!$G$5:$L$5002,6,FALSE))</f>
        <v>ＭＥＴＡＬＵＭＹ　ＳＩＬＶＥＲ　Ｎ－ＭＡＴＴＥ　Ｂ</v>
      </c>
      <c r="J307" s="210" t="s">
        <v>935</v>
      </c>
      <c r="K307" s="270">
        <f>IF(D307="","",VLOOKUP(D307,契約台帳!$A$3:$L$4986,12,FALSE))</f>
        <v>50</v>
      </c>
      <c r="L307" s="270" t="str">
        <f>IF(D307="","",INDEX(製品マスタ!$Q$5:$Q$5002,MATCH('S4'!F307&amp;'S4'!K307,製品マスタ!$AO$5:$AO$5002,0)))</f>
        <v>X44</v>
      </c>
      <c r="M307" s="39">
        <v>1120</v>
      </c>
      <c r="N307" s="39">
        <v>4000</v>
      </c>
      <c r="O307" s="156">
        <v>4</v>
      </c>
      <c r="P307" s="47">
        <v>2</v>
      </c>
      <c r="Q307" s="213">
        <v>44987</v>
      </c>
      <c r="R307" s="271">
        <f ca="1">IF(D307="","",IF(OFFSET(D307,-1,0)&lt;&gt;"","",IF(OR(J307="リード付け",J307="巻足し",J307="巻返しリード付け"),M307,VLOOKUP(D307,契約台帳!$A$3:$N$4986,14,FALSE))))</f>
        <v>1120</v>
      </c>
      <c r="S307" s="272">
        <f ca="1">IF(D307="","",IF(OFFSET(D307,-1,0)&lt;&gt;"","",IF(OR(J307="リード付け",J307="巻足し",J307="巻返しリード付け"),M307,VLOOKUP(D307,契約台帳!$A$3:$O$4986,15,FALSE))))</f>
        <v>1120</v>
      </c>
      <c r="T307" s="273">
        <f ca="1">IF(D307="","",IF(J307="リード付け",N307,IF(J307="巻返しリード付け",N307,IF(J307="巻足し",N307*P307+OFFSET(N307,1,0)*OFFSET(P307,1,0),VLOOKUP(D307,契約台帳!$A$3:$P$4986,16,FALSE)))))</f>
        <v>8000</v>
      </c>
      <c r="U307" s="40">
        <v>2</v>
      </c>
      <c r="V307" s="274" t="str">
        <f ca="1">IF(D307="","",IF(OFFSET(D307,-2,0)=D307,"",VLOOKUP(D307,契約台帳!$A$3:$R$4986,18,FALSE)))</f>
        <v/>
      </c>
      <c r="W307" s="269" t="str">
        <f ca="1">IF(D307="","",IF(T307="","",IF(OR(J307="巻足し",J307="巻返しリード付け"),"",IF(J307="巻返し",VLOOKUP(F307&amp;K307&amp;M307,製品マスタ!$M$5:$AD$5002,18,FALSE),IF(OR(J307="リード付け",J307="巻返しリード付け"),"原反コア",IF(J307="スリット",VLOOKUP(F307&amp;K307&amp;R307,製品マスタ!$N$5:$AD$5002,17,FALSE),""))))))</f>
        <v/>
      </c>
      <c r="X307" s="269" t="str">
        <f ca="1">IF(D307="","",IF(T307="","",IF(J307="巻足し","",IF(J307="巻返し",VLOOKUP(F307&amp;K307&amp;M307,製品マスタ!$M$5:$AE$5002,19,FALSE),IF(OR(J307="リード付け",J307="巻返しリード付け"),"",IF(J307="スリット",VLOOKUP(F307&amp;K307&amp;R307,製品マスタ!$N$5:$AE$5002,18,FALSE),""))))))</f>
        <v/>
      </c>
      <c r="Y307" s="275">
        <f ca="1">IF(D307="","",IF(T307="","",VLOOKUP(D307,契約台帳!$A$3:$Q$4986,17,FALSE)))</f>
        <v>2</v>
      </c>
      <c r="Z307" s="269" t="str">
        <f ca="1">IF(D307="","",IF(T307="","",VLOOKUP(D307,契約台帳!$A$3:$E$4986,5,FALSE)))</f>
        <v>リンテック㈱</v>
      </c>
      <c r="AA307" s="57"/>
      <c r="AB307" s="207">
        <f>IFERROR((VLOOKUP(F307&amp;K307&amp;M307,製品マスタ!$M$5:$AM$5002,27,FALSE)),"")</f>
        <v>0</v>
      </c>
      <c r="AC307" s="33"/>
      <c r="AD307" s="189"/>
      <c r="AE307" s="54"/>
      <c r="AF307" s="55"/>
      <c r="AG307" s="43"/>
      <c r="AH307" s="47"/>
      <c r="AI307" s="30"/>
      <c r="AJ307" s="30"/>
      <c r="AK307" s="30"/>
      <c r="AL307" s="30"/>
      <c r="AM307" s="13"/>
      <c r="AN307" s="13"/>
      <c r="AO307" s="13"/>
      <c r="AP307" s="13"/>
      <c r="AQ307" s="13"/>
      <c r="AR307" s="14"/>
      <c r="AS307" s="15"/>
    </row>
    <row r="308" spans="1:45" s="17" customFormat="1" ht="30.95" hidden="1" customHeight="1" x14ac:dyDescent="0.2">
      <c r="A308" s="37"/>
      <c r="B308" s="38"/>
      <c r="C308" s="45"/>
      <c r="D308" s="31"/>
      <c r="E308" s="31"/>
      <c r="F308" s="268" t="str">
        <f>IF(D308="","",VLOOKUP(D308,契約台帳!$A$3:$K$4986,6,FALSE)&amp;VLOOKUP(D308,契約台帳!$A$3:$K$4986,7,FALSE)&amp;VLOOKUP(D308,契約台帳!$A$3:$K$4986,8,FALSE)&amp;VLOOKUP(D308,契約台帳!$A$3:$K$4986,9,FALSE)&amp;VLOOKUP(D308,契約台帳!$A$3:$K$4986,11,FALSE))</f>
        <v/>
      </c>
      <c r="G308" s="269" t="str">
        <f>IF(D308="","",VLOOKUP(F308,製品マスタ!$G$5:$H$5002,2,FALSE))</f>
        <v/>
      </c>
      <c r="H308" s="269" t="str">
        <f>IF(D308="","",VLOOKUP(F308,製品マスタ!$G$5:$K$5002,5,FALSE))</f>
        <v/>
      </c>
      <c r="I308" s="270" t="str">
        <f>IF(D308="","",VLOOKUP(F308,製品マスタ!$G$5:$L$5002,6,FALSE))</f>
        <v/>
      </c>
      <c r="J308" s="210"/>
      <c r="K308" s="270" t="str">
        <f>IF(D308="","",VLOOKUP(D308,契約台帳!$A$3:$L$4986,12,FALSE))</f>
        <v/>
      </c>
      <c r="L308" s="270" t="str">
        <f>IF(D308="","",INDEX(製品マスタ!$Q$5:$Q$5002,MATCH('S4'!F308&amp;'S4'!K308,製品マスタ!$AO$5:$AO$5002,0)))</f>
        <v/>
      </c>
      <c r="M308" s="39"/>
      <c r="N308" s="39"/>
      <c r="O308" s="156"/>
      <c r="P308" s="47"/>
      <c r="Q308" s="57"/>
      <c r="R308" s="271" t="str">
        <f ca="1">IF(D308="","",IF(OFFSET(D308,-1,0)&lt;&gt;"","",IF(OR(J308="リード付け",J308="巻足し",J308="巻返しリード付け"),M308,VLOOKUP(D308,契約台帳!$A$3:$N$4986,14,FALSE))))</f>
        <v/>
      </c>
      <c r="S308" s="272" t="str">
        <f ca="1">IF(D308="","",IF(OFFSET(D308,-1,0)&lt;&gt;"","",IF(OR(J308="リード付け",J308="巻足し",J308="巻返しリード付け"),M308,VLOOKUP(D308,契約台帳!$A$3:$O$4986,15,FALSE))))</f>
        <v/>
      </c>
      <c r="T308" s="273" t="str">
        <f ca="1">IF(D308="","",IF(J308="リード付け",N308,IF(J308="巻返しリード付け",N308,IF(J308="巻足し",N308*P308+OFFSET(N308,1,0)*OFFSET(P308,1,0),VLOOKUP(D308,契約台帳!$A$3:$P$4986,16,FALSE)))))</f>
        <v/>
      </c>
      <c r="U308" s="40"/>
      <c r="V308" s="274" t="str">
        <f ca="1">IF(D308="","",IF(OFFSET(D308,-2,0)=D308,"",VLOOKUP(D308,契約台帳!$A$3:$R$4986,18,FALSE)))</f>
        <v/>
      </c>
      <c r="W308" s="269" t="str">
        <f>IF(D308="","",IF(T308="","",IF(OR(J308="巻足し",J308="巻返しリード付け"),"",IF(J308="巻返し",VLOOKUP(F308&amp;K308&amp;M308,製品マスタ!$M$5:$AD$5002,18,FALSE),IF(OR(J308="リード付け",J308="巻返しリード付け"),"原反コア",IF(J308="スリット",VLOOKUP(F308&amp;K308&amp;R308,製品マスタ!$N$5:$AD$5002,17,FALSE),""))))))</f>
        <v/>
      </c>
      <c r="X308" s="269" t="str">
        <f>IF(D308="","",IF(T308="","",IF(J308="巻足し","",IF(J308="巻返し",VLOOKUP(F308&amp;K308&amp;M308,製品マスタ!$M$5:$AE$5002,19,FALSE),IF(OR(J308="リード付け",J308="巻返しリード付け"),"",IF(J308="スリット",VLOOKUP(F308&amp;K308&amp;R308,製品マスタ!$N$5:$AE$5002,18,FALSE),""))))))</f>
        <v/>
      </c>
      <c r="Y308" s="275" t="str">
        <f>IF(D308="","",IF(T308="","",VLOOKUP(D308,契約台帳!$A$3:$Q$4986,17,FALSE)))</f>
        <v/>
      </c>
      <c r="Z308" s="269" t="str">
        <f>IF(D308="","",IF(T308="","",VLOOKUP(D308,契約台帳!$A$3:$E$4986,5,FALSE)))</f>
        <v/>
      </c>
      <c r="AA308" s="57"/>
      <c r="AB308" s="207" t="str">
        <f>IFERROR((VLOOKUP(F308&amp;K308&amp;M308,製品マスタ!$M$5:$AM$5002,27,FALSE)),"")</f>
        <v/>
      </c>
      <c r="AC308" s="33"/>
      <c r="AD308" s="189"/>
      <c r="AE308" s="54"/>
      <c r="AF308" s="55"/>
      <c r="AG308" s="43"/>
      <c r="AH308" s="47"/>
      <c r="AI308" s="30"/>
      <c r="AJ308" s="30"/>
      <c r="AK308" s="30"/>
      <c r="AL308" s="30"/>
      <c r="AM308" s="13"/>
      <c r="AN308" s="13"/>
      <c r="AO308" s="13"/>
      <c r="AP308" s="13"/>
      <c r="AQ308" s="13"/>
      <c r="AR308" s="14"/>
      <c r="AS308" s="15"/>
    </row>
    <row r="309" spans="1:45" s="17" customFormat="1" ht="30.95" hidden="1" customHeight="1" x14ac:dyDescent="0.2">
      <c r="A309" s="37"/>
      <c r="B309" s="38"/>
      <c r="C309" s="45"/>
      <c r="D309" s="31">
        <v>3700971</v>
      </c>
      <c r="E309" s="31">
        <v>4161852</v>
      </c>
      <c r="F309" s="268" t="str">
        <f>IF(D309="","",VLOOKUP(D309,契約台帳!$A$3:$K$4986,6,FALSE)&amp;VLOOKUP(D309,契約台帳!$A$3:$K$4986,7,FALSE)&amp;VLOOKUP(D309,契約台帳!$A$3:$K$4986,8,FALSE)&amp;VLOOKUP(D309,契約台帳!$A$3:$K$4986,9,FALSE)&amp;VLOOKUP(D309,契約台帳!$A$3:$K$4986,11,FALSE))</f>
        <v>3SYMLBMSNMBZF</v>
      </c>
      <c r="G309" s="269" t="str">
        <f>IF(D309="","",VLOOKUP(F309,製品マスタ!$G$5:$H$5002,2,FALSE))</f>
        <v>S</v>
      </c>
      <c r="H309" s="269" t="str">
        <f>IF(D309="","",VLOOKUP(F309,製品マスタ!$G$5:$K$5002,5,FALSE))</f>
        <v>MSNMBZF</v>
      </c>
      <c r="I309" s="270" t="str">
        <f>IF(D309="","",VLOOKUP(F309,製品マスタ!$G$5:$L$5002,6,FALSE))</f>
        <v>ＭＥＴＡＬＵＭＹ　ＳＩＬＶＥＲ　Ｎ－ＭＡＴＴＥ　Ｂ</v>
      </c>
      <c r="J309" s="210" t="s">
        <v>935</v>
      </c>
      <c r="K309" s="270">
        <f>IF(D309="","",VLOOKUP(D309,契約台帳!$A$3:$L$4986,12,FALSE))</f>
        <v>25</v>
      </c>
      <c r="L309" s="270" t="str">
        <f>IF(D309="","",INDEX(製品マスタ!$Q$5:$Q$5002,MATCH('S4'!F309&amp;'S4'!K309,製品マスタ!$AO$5:$AO$5002,0)))</f>
        <v>X44</v>
      </c>
      <c r="M309" s="39">
        <v>1120</v>
      </c>
      <c r="N309" s="39">
        <v>8000</v>
      </c>
      <c r="O309" s="156">
        <v>2</v>
      </c>
      <c r="P309" s="47">
        <v>2</v>
      </c>
      <c r="Q309" s="213">
        <v>44987</v>
      </c>
      <c r="R309" s="271">
        <f ca="1">IF(D309="","",IF(OFFSET(D309,-1,0)&lt;&gt;"","",IF(OR(J309="リード付け",J309="巻足し",J309="巻返しリード付け"),M309,VLOOKUP(D309,契約台帳!$A$3:$N$4986,14,FALSE))))</f>
        <v>1120</v>
      </c>
      <c r="S309" s="272">
        <f ca="1">IF(D309="","",IF(OFFSET(D309,-1,0)&lt;&gt;"","",IF(OR(J309="リード付け",J309="巻足し",J309="巻返しリード付け"),M309,VLOOKUP(D309,契約台帳!$A$3:$O$4986,15,FALSE))))</f>
        <v>1120</v>
      </c>
      <c r="T309" s="273">
        <f ca="1">IF(D309="","",IF(J309="リード付け",N309,IF(J309="巻返しリード付け",N309,IF(J309="巻足し",N309*P309+OFFSET(N309,1,0)*OFFSET(P309,1,0),VLOOKUP(D309,契約台帳!$A$3:$P$4986,16,FALSE)))))</f>
        <v>16000</v>
      </c>
      <c r="U309" s="40">
        <v>1</v>
      </c>
      <c r="V309" s="274">
        <f ca="1">IF(D309="","",IF(OFFSET(D309,-2,0)=D309,"",VLOOKUP(D309,契約台帳!$A$3:$R$4986,18,FALSE)))</f>
        <v>2</v>
      </c>
      <c r="W309" s="269" t="str">
        <f ca="1">IF(D309="","",IF(T309="","",IF(OR(J309="巻足し",J309="巻返しリード付け"),"",IF(J309="巻返し",VLOOKUP(F309&amp;K309&amp;M309,製品マスタ!$M$5:$AD$5002,18,FALSE),IF(OR(J309="リード付け",J309="巻返しリード付け"),"原反コア",IF(J309="スリット",VLOOKUP(F309&amp;K309&amp;R309,製品マスタ!$N$5:$AD$5002,17,FALSE),""))))))</f>
        <v/>
      </c>
      <c r="X309" s="269" t="str">
        <f ca="1">IF(D309="","",IF(T309="","",IF(J309="巻足し","",IF(J309="巻返し",VLOOKUP(F309&amp;K309&amp;M309,製品マスタ!$M$5:$AE$5002,19,FALSE),IF(OR(J309="リード付け",J309="巻返しリード付け"),"",IF(J309="スリット",VLOOKUP(F309&amp;K309&amp;R309,製品マスタ!$N$5:$AE$5002,18,FALSE),""))))))</f>
        <v/>
      </c>
      <c r="Y309" s="275">
        <f ca="1">IF(D309="","",IF(T309="","",VLOOKUP(D309,契約台帳!$A$3:$Q$4986,17,FALSE)))</f>
        <v>2</v>
      </c>
      <c r="Z309" s="269" t="str">
        <f ca="1">IF(D309="","",IF(T309="","",VLOOKUP(D309,契約台帳!$A$3:$E$4986,5,FALSE)))</f>
        <v>リンテック㈱</v>
      </c>
      <c r="AA309" s="57"/>
      <c r="AB309" s="207">
        <f>IFERROR((VLOOKUP(F309&amp;K309&amp;M309,製品マスタ!$M$5:$AM$5002,27,FALSE)),"")</f>
        <v>0</v>
      </c>
      <c r="AC309" s="33"/>
      <c r="AD309" s="189"/>
      <c r="AE309" s="54"/>
      <c r="AF309" s="55"/>
      <c r="AG309" s="43"/>
      <c r="AH309" s="47"/>
      <c r="AI309" s="30"/>
      <c r="AJ309" s="30"/>
      <c r="AK309" s="30"/>
      <c r="AL309" s="30"/>
      <c r="AM309" s="13"/>
      <c r="AN309" s="13"/>
      <c r="AO309" s="13"/>
      <c r="AP309" s="13"/>
      <c r="AQ309" s="13"/>
      <c r="AR309" s="14"/>
      <c r="AS309" s="15"/>
    </row>
    <row r="310" spans="1:45" s="17" customFormat="1" ht="30.95" hidden="1" customHeight="1" x14ac:dyDescent="0.2">
      <c r="A310" s="37"/>
      <c r="B310" s="38"/>
      <c r="C310" s="45"/>
      <c r="D310" s="31"/>
      <c r="E310" s="31"/>
      <c r="F310" s="268" t="str">
        <f>IF(D310="","",VLOOKUP(D310,契約台帳!$A$3:$K$4986,6,FALSE)&amp;VLOOKUP(D310,契約台帳!$A$3:$K$4986,7,FALSE)&amp;VLOOKUP(D310,契約台帳!$A$3:$K$4986,8,FALSE)&amp;VLOOKUP(D310,契約台帳!$A$3:$K$4986,9,FALSE)&amp;VLOOKUP(D310,契約台帳!$A$3:$K$4986,11,FALSE))</f>
        <v/>
      </c>
      <c r="G310" s="269" t="str">
        <f>IF(D310="","",VLOOKUP(F310,製品マスタ!$G$5:$H$5002,2,FALSE))</f>
        <v/>
      </c>
      <c r="H310" s="269" t="str">
        <f>IF(D310="","",VLOOKUP(F310,製品マスタ!$G$5:$K$5002,5,FALSE))</f>
        <v/>
      </c>
      <c r="I310" s="270" t="str">
        <f>IF(D310="","",VLOOKUP(F310,製品マスタ!$G$5:$L$5002,6,FALSE))</f>
        <v/>
      </c>
      <c r="J310" s="210"/>
      <c r="K310" s="270" t="str">
        <f>IF(D310="","",VLOOKUP(D310,契約台帳!$A$3:$L$4986,12,FALSE))</f>
        <v/>
      </c>
      <c r="L310" s="270" t="str">
        <f>IF(D310="","",INDEX(製品マスタ!$Q$5:$Q$5002,MATCH('S4'!F310&amp;'S4'!K310,製品マスタ!$AO$5:$AO$5002,0)))</f>
        <v/>
      </c>
      <c r="M310" s="39"/>
      <c r="N310" s="39"/>
      <c r="O310" s="156"/>
      <c r="P310" s="47"/>
      <c r="Q310" s="57"/>
      <c r="R310" s="271" t="str">
        <f ca="1">IF(D310="","",IF(OFFSET(D310,-1,0)&lt;&gt;"","",IF(OR(J310="リード付け",J310="巻足し",J310="巻返しリード付け"),M310,VLOOKUP(D310,契約台帳!$A$3:$N$4986,14,FALSE))))</f>
        <v/>
      </c>
      <c r="S310" s="272" t="str">
        <f ca="1">IF(D310="","",IF(OFFSET(D310,-1,0)&lt;&gt;"","",IF(OR(J310="リード付け",J310="巻足し",J310="巻返しリード付け"),M310,VLOOKUP(D310,契約台帳!$A$3:$O$4986,15,FALSE))))</f>
        <v/>
      </c>
      <c r="T310" s="273" t="str">
        <f ca="1">IF(D310="","",IF(J310="リード付け",N310,IF(J310="巻返しリード付け",N310,IF(J310="巻足し",N310*P310+OFFSET(N310,1,0)*OFFSET(P310,1,0),VLOOKUP(D310,契約台帳!$A$3:$P$4986,16,FALSE)))))</f>
        <v/>
      </c>
      <c r="U310" s="40"/>
      <c r="V310" s="274" t="str">
        <f ca="1">IF(D310="","",IF(OFFSET(D310,-2,0)=D310,"",VLOOKUP(D310,契約台帳!$A$3:$R$4986,18,FALSE)))</f>
        <v/>
      </c>
      <c r="W310" s="269" t="str">
        <f>IF(D310="","",IF(T310="","",IF(OR(J310="巻足し",J310="巻返しリード付け"),"",IF(J310="巻返し",VLOOKUP(F310&amp;K310&amp;M310,製品マスタ!$M$5:$AD$5002,18,FALSE),IF(OR(J310="リード付け",J310="巻返しリード付け"),"原反コア",IF(J310="スリット",VLOOKUP(F310&amp;K310&amp;R310,製品マスタ!$N$5:$AD$5002,17,FALSE),""))))))</f>
        <v/>
      </c>
      <c r="X310" s="269" t="str">
        <f>IF(D310="","",IF(T310="","",IF(J310="巻足し","",IF(J310="巻返し",VLOOKUP(F310&amp;K310&amp;M310,製品マスタ!$M$5:$AE$5002,19,FALSE),IF(OR(J310="リード付け",J310="巻返しリード付け"),"",IF(J310="スリット",VLOOKUP(F310&amp;K310&amp;R310,製品マスタ!$N$5:$AE$5002,18,FALSE),""))))))</f>
        <v/>
      </c>
      <c r="Y310" s="275" t="str">
        <f>IF(D310="","",IF(T310="","",VLOOKUP(D310,契約台帳!$A$3:$Q$4986,17,FALSE)))</f>
        <v/>
      </c>
      <c r="Z310" s="269" t="str">
        <f>IF(D310="","",IF(T310="","",VLOOKUP(D310,契約台帳!$A$3:$E$4986,5,FALSE)))</f>
        <v/>
      </c>
      <c r="AA310" s="57"/>
      <c r="AB310" s="207" t="str">
        <f>IFERROR((VLOOKUP(F310&amp;K310&amp;M310,製品マスタ!$M$5:$AM$5002,27,FALSE)),"")</f>
        <v/>
      </c>
      <c r="AC310" s="33"/>
      <c r="AD310" s="189"/>
      <c r="AE310" s="54"/>
      <c r="AF310" s="55"/>
      <c r="AG310" s="43"/>
      <c r="AH310" s="47"/>
      <c r="AI310" s="30"/>
      <c r="AJ310" s="30"/>
      <c r="AK310" s="30"/>
      <c r="AL310" s="30"/>
      <c r="AM310" s="13"/>
      <c r="AN310" s="13"/>
      <c r="AO310" s="13"/>
      <c r="AP310" s="13"/>
      <c r="AQ310" s="13"/>
      <c r="AR310" s="14"/>
      <c r="AS310" s="15"/>
    </row>
    <row r="311" spans="1:45" s="17" customFormat="1" ht="30.95" hidden="1" customHeight="1" x14ac:dyDescent="0.2">
      <c r="A311" s="37"/>
      <c r="B311" s="38"/>
      <c r="C311" s="45"/>
      <c r="D311" s="31">
        <v>3700950</v>
      </c>
      <c r="E311" s="31">
        <v>4161838</v>
      </c>
      <c r="F311" s="268" t="str">
        <f>IF(D311="","",VLOOKUP(D311,契約台帳!$A$3:$K$4986,6,FALSE)&amp;VLOOKUP(D311,契約台帳!$A$3:$K$4986,7,FALSE)&amp;VLOOKUP(D311,契約台帳!$A$3:$K$4986,8,FALSE)&amp;VLOOKUP(D311,契約台帳!$A$3:$K$4986,9,FALSE)&amp;VLOOKUP(D311,契約台帳!$A$3:$K$4986,11,FALSE))</f>
        <v>3SNMLBMNGKKBF</v>
      </c>
      <c r="G311" s="269" t="str">
        <f>IF(D311="","",VLOOKUP(F311,製品マスタ!$G$5:$H$5002,2,FALSE))</f>
        <v>S</v>
      </c>
      <c r="H311" s="269" t="str">
        <f>IF(D311="","",VLOOKUP(F311,製品マスタ!$G$5:$K$5002,5,FALSE))</f>
        <v>MNGKKBF</v>
      </c>
      <c r="I311" s="270" t="str">
        <f>IF(D311="","",VLOOKUP(F311,製品マスタ!$G$5:$L$5002,6,FALSE))</f>
        <v>メタルミー　ネーマー銀消改　Ｂ</v>
      </c>
      <c r="J311" s="210" t="s">
        <v>935</v>
      </c>
      <c r="K311" s="270">
        <f>IF(D311="","",VLOOKUP(D311,契約台帳!$A$3:$L$4986,12,FALSE))</f>
        <v>25</v>
      </c>
      <c r="L311" s="270" t="str">
        <f>IF(D311="","",INDEX(製品マスタ!$Q$5:$Q$5002,MATCH('S4'!F311&amp;'S4'!K311,製品マスタ!$AO$5:$AO$5002,0)))</f>
        <v>FMATS99</v>
      </c>
      <c r="M311" s="39">
        <v>1120</v>
      </c>
      <c r="N311" s="39">
        <v>4000</v>
      </c>
      <c r="O311" s="156">
        <v>3</v>
      </c>
      <c r="P311" s="47">
        <v>3</v>
      </c>
      <c r="Q311" s="213">
        <v>44987</v>
      </c>
      <c r="R311" s="271">
        <f ca="1">IF(D311="","",IF(OFFSET(D311,-1,0)&lt;&gt;"","",IF(OR(J311="リード付け",J311="巻足し",J311="巻返しリード付け"),M311,VLOOKUP(D311,契約台帳!$A$3:$N$4986,14,FALSE))))</f>
        <v>1120</v>
      </c>
      <c r="S311" s="272">
        <f ca="1">IF(D311="","",IF(OFFSET(D311,-1,0)&lt;&gt;"","",IF(OR(J311="リード付け",J311="巻足し",J311="巻返しリード付け"),M311,VLOOKUP(D311,契約台帳!$A$3:$O$4986,15,FALSE))))</f>
        <v>1120</v>
      </c>
      <c r="T311" s="273">
        <f ca="1">IF(D311="","",IF(J311="リード付け",N311,IF(J311="巻返しリード付け",N311,IF(J311="巻足し",N311*P311+OFFSET(N311,1,0)*OFFSET(P311,1,0),VLOOKUP(D311,契約台帳!$A$3:$P$4986,16,FALSE)))))</f>
        <v>12000</v>
      </c>
      <c r="U311" s="40">
        <v>1</v>
      </c>
      <c r="V311" s="274">
        <f ca="1">IF(D311="","",IF(OFFSET(D311,-2,0)=D311,"",VLOOKUP(D311,契約台帳!$A$3:$R$4986,18,FALSE)))</f>
        <v>5</v>
      </c>
      <c r="W311" s="269" t="str">
        <f ca="1">IF(D311="","",IF(T311="","",IF(OR(J311="巻足し",J311="巻返しリード付け"),"",IF(J311="巻返し",VLOOKUP(F311&amp;K311&amp;M311,製品マスタ!$M$5:$AD$5002,18,FALSE),IF(OR(J311="リード付け",J311="巻返しリード付け"),"原反コア",IF(J311="スリット",VLOOKUP(F311&amp;K311&amp;R311,製品マスタ!$N$5:$AD$5002,17,FALSE),""))))))</f>
        <v/>
      </c>
      <c r="X311" s="269" t="str">
        <f ca="1">IF(D311="","",IF(T311="","",IF(J311="巻足し","",IF(J311="巻返し",VLOOKUP(F311&amp;K311&amp;M311,製品マスタ!$M$5:$AE$5002,19,FALSE),IF(OR(J311="リード付け",J311="巻返しリード付け"),"",IF(J311="スリット",VLOOKUP(F311&amp;K311&amp;R311,製品マスタ!$N$5:$AE$5002,18,FALSE),""))))))</f>
        <v/>
      </c>
      <c r="Y311" s="275">
        <f ca="1">IF(D311="","",IF(T311="","",VLOOKUP(D311,契約台帳!$A$3:$Q$4986,17,FALSE)))</f>
        <v>2</v>
      </c>
      <c r="Z311" s="269" t="str">
        <f ca="1">IF(D311="","",IF(T311="","",VLOOKUP(D311,契約台帳!$A$3:$E$4986,5,FALSE)))</f>
        <v>リンテック㈱</v>
      </c>
      <c r="AA311" s="57"/>
      <c r="AB311" s="207">
        <f>IFERROR((VLOOKUP(F311&amp;K311&amp;M311,製品マスタ!$M$5:$AM$5002,27,FALSE)),"")</f>
        <v>0</v>
      </c>
      <c r="AC311" s="33"/>
      <c r="AD311" s="189"/>
      <c r="AE311" s="54"/>
      <c r="AF311" s="55"/>
      <c r="AG311" s="43"/>
      <c r="AH311" s="47"/>
      <c r="AI311" s="30"/>
      <c r="AJ311" s="30"/>
      <c r="AK311" s="30"/>
      <c r="AL311" s="30"/>
      <c r="AM311" s="13"/>
      <c r="AN311" s="13"/>
      <c r="AO311" s="13"/>
      <c r="AP311" s="13"/>
      <c r="AQ311" s="13"/>
      <c r="AR311" s="14"/>
      <c r="AS311" s="15"/>
    </row>
    <row r="312" spans="1:45" s="17" customFormat="1" ht="30.95" hidden="1" customHeight="1" x14ac:dyDescent="0.2">
      <c r="A312" s="37"/>
      <c r="B312" s="38"/>
      <c r="C312" s="45"/>
      <c r="D312" s="31"/>
      <c r="E312" s="31"/>
      <c r="F312" s="268" t="str">
        <f>IF(D312="","",VLOOKUP(D312,契約台帳!$A$3:$K$4986,6,FALSE)&amp;VLOOKUP(D312,契約台帳!$A$3:$K$4986,7,FALSE)&amp;VLOOKUP(D312,契約台帳!$A$3:$K$4986,8,FALSE)&amp;VLOOKUP(D312,契約台帳!$A$3:$K$4986,9,FALSE)&amp;VLOOKUP(D312,契約台帳!$A$3:$K$4986,11,FALSE))</f>
        <v/>
      </c>
      <c r="G312" s="269" t="str">
        <f>IF(D312="","",VLOOKUP(F312,製品マスタ!$G$5:$H$5002,2,FALSE))</f>
        <v/>
      </c>
      <c r="H312" s="269" t="str">
        <f>IF(D312="","",VLOOKUP(F312,製品マスタ!$G$5:$K$5002,5,FALSE))</f>
        <v/>
      </c>
      <c r="I312" s="270" t="str">
        <f>IF(D312="","",VLOOKUP(F312,製品マスタ!$G$5:$L$5002,6,FALSE))</f>
        <v/>
      </c>
      <c r="J312" s="210"/>
      <c r="K312" s="270" t="str">
        <f>IF(D312="","",VLOOKUP(D312,契約台帳!$A$3:$L$4986,12,FALSE))</f>
        <v/>
      </c>
      <c r="L312" s="270" t="str">
        <f>IF(D312="","",INDEX(製品マスタ!$Q$5:$Q$5002,MATCH('S4'!F312&amp;'S4'!K312,製品マスタ!$AO$5:$AO$5002,0)))</f>
        <v/>
      </c>
      <c r="M312" s="39"/>
      <c r="N312" s="39"/>
      <c r="O312" s="156"/>
      <c r="P312" s="47"/>
      <c r="Q312" s="57"/>
      <c r="R312" s="271" t="str">
        <f ca="1">IF(D312="","",IF(OFFSET(D312,-1,0)&lt;&gt;"","",IF(OR(J312="リード付け",J312="巻足し",J312="巻返しリード付け"),M312,VLOOKUP(D312,契約台帳!$A$3:$N$4986,14,FALSE))))</f>
        <v/>
      </c>
      <c r="S312" s="272" t="str">
        <f ca="1">IF(D312="","",IF(OFFSET(D312,-1,0)&lt;&gt;"","",IF(OR(J312="リード付け",J312="巻足し",J312="巻返しリード付け"),M312,VLOOKUP(D312,契約台帳!$A$3:$O$4986,15,FALSE))))</f>
        <v/>
      </c>
      <c r="T312" s="273" t="str">
        <f ca="1">IF(D312="","",IF(J312="リード付け",N312,IF(J312="巻返しリード付け",N312,IF(J312="巻足し",N312*P312+OFFSET(N312,1,0)*OFFSET(P312,1,0),VLOOKUP(D312,契約台帳!$A$3:$P$4986,16,FALSE)))))</f>
        <v/>
      </c>
      <c r="U312" s="40"/>
      <c r="V312" s="274" t="str">
        <f ca="1">IF(D312="","",IF(OFFSET(D312,-2,0)=D312,"",VLOOKUP(D312,契約台帳!$A$3:$R$4986,18,FALSE)))</f>
        <v/>
      </c>
      <c r="W312" s="269" t="str">
        <f>IF(D312="","",IF(T312="","",IF(OR(J312="巻足し",J312="巻返しリード付け"),"",IF(J312="巻返し",VLOOKUP(F312&amp;K312&amp;M312,製品マスタ!$M$5:$AD$5002,18,FALSE),IF(OR(J312="リード付け",J312="巻返しリード付け"),"原反コア",IF(J312="スリット",VLOOKUP(F312&amp;K312&amp;R312,製品マスタ!$N$5:$AD$5002,17,FALSE),""))))))</f>
        <v/>
      </c>
      <c r="X312" s="269" t="str">
        <f>IF(D312="","",IF(T312="","",IF(J312="巻足し","",IF(J312="巻返し",VLOOKUP(F312&amp;K312&amp;M312,製品マスタ!$M$5:$AE$5002,19,FALSE),IF(OR(J312="リード付け",J312="巻返しリード付け"),"",IF(J312="スリット",VLOOKUP(F312&amp;K312&amp;R312,製品マスタ!$N$5:$AE$5002,18,FALSE),""))))))</f>
        <v/>
      </c>
      <c r="Y312" s="275" t="str">
        <f>IF(D312="","",IF(T312="","",VLOOKUP(D312,契約台帳!$A$3:$Q$4986,17,FALSE)))</f>
        <v/>
      </c>
      <c r="Z312" s="269" t="str">
        <f>IF(D312="","",IF(T312="","",VLOOKUP(D312,契約台帳!$A$3:$E$4986,5,FALSE)))</f>
        <v/>
      </c>
      <c r="AA312" s="57"/>
      <c r="AB312" s="207" t="str">
        <f>IFERROR((VLOOKUP(F312&amp;K312&amp;M312,製品マスタ!$M$5:$AM$5002,27,FALSE)),"")</f>
        <v/>
      </c>
      <c r="AC312" s="33"/>
      <c r="AD312" s="189"/>
      <c r="AE312" s="54"/>
      <c r="AF312" s="55"/>
      <c r="AG312" s="43"/>
      <c r="AH312" s="47"/>
      <c r="AI312" s="30"/>
      <c r="AJ312" s="30"/>
      <c r="AK312" s="30"/>
      <c r="AL312" s="30"/>
      <c r="AM312" s="13"/>
      <c r="AN312" s="13"/>
      <c r="AO312" s="13"/>
      <c r="AP312" s="13"/>
      <c r="AQ312" s="13"/>
      <c r="AR312" s="14"/>
      <c r="AS312" s="15"/>
    </row>
    <row r="313" spans="1:45" s="17" customFormat="1" ht="30.95" hidden="1" customHeight="1" x14ac:dyDescent="0.2">
      <c r="A313" s="37" t="s">
        <v>948</v>
      </c>
      <c r="B313" s="38" t="s">
        <v>934</v>
      </c>
      <c r="C313" s="45"/>
      <c r="D313" s="31">
        <v>3700950</v>
      </c>
      <c r="E313" s="31">
        <v>4161838</v>
      </c>
      <c r="F313" s="268" t="str">
        <f>IF(D313="","",VLOOKUP(D313,契約台帳!$A$3:$K$4986,6,FALSE)&amp;VLOOKUP(D313,契約台帳!$A$3:$K$4986,7,FALSE)&amp;VLOOKUP(D313,契約台帳!$A$3:$K$4986,8,FALSE)&amp;VLOOKUP(D313,契約台帳!$A$3:$K$4986,9,FALSE)&amp;VLOOKUP(D313,契約台帳!$A$3:$K$4986,11,FALSE))</f>
        <v>3SNMLBMNGKKBF</v>
      </c>
      <c r="G313" s="269" t="str">
        <f>IF(D313="","",VLOOKUP(F313,製品マスタ!$G$5:$H$5002,2,FALSE))</f>
        <v>S</v>
      </c>
      <c r="H313" s="269" t="str">
        <f>IF(D313="","",VLOOKUP(F313,製品マスタ!$G$5:$K$5002,5,FALSE))</f>
        <v>MNGKKBF</v>
      </c>
      <c r="I313" s="270" t="str">
        <f>IF(D313="","",VLOOKUP(F313,製品マスタ!$G$5:$L$5002,6,FALSE))</f>
        <v>メタルミー　ネーマー銀消改　Ｂ</v>
      </c>
      <c r="J313" s="210" t="s">
        <v>935</v>
      </c>
      <c r="K313" s="270">
        <f>IF(D313="","",VLOOKUP(D313,契約台帳!$A$3:$L$4986,12,FALSE))</f>
        <v>25</v>
      </c>
      <c r="L313" s="270" t="str">
        <f>IF(D313="","",INDEX(製品マスタ!$Q$5:$Q$5002,MATCH('S4'!F313&amp;'S4'!K313,製品マスタ!$AO$5:$AO$5002,0)))</f>
        <v>FMATS99</v>
      </c>
      <c r="M313" s="39">
        <v>1120</v>
      </c>
      <c r="N313" s="39">
        <v>4000</v>
      </c>
      <c r="O313" s="156">
        <v>2</v>
      </c>
      <c r="P313" s="47">
        <v>2</v>
      </c>
      <c r="Q313" s="213">
        <v>44987</v>
      </c>
      <c r="R313" s="271">
        <f ca="1">IF(D313="","",IF(OFFSET(D313,-1,0)&lt;&gt;"","",IF(OR(J313="リード付け",J313="巻足し",J313="巻返しリード付け"),M313,VLOOKUP(D313,契約台帳!$A$3:$N$4986,14,FALSE))))</f>
        <v>1120</v>
      </c>
      <c r="S313" s="272">
        <f ca="1">IF(D313="","",IF(OFFSET(D313,-1,0)&lt;&gt;"","",IF(OR(J313="リード付け",J313="巻足し",J313="巻返しリード付け"),M313,VLOOKUP(D313,契約台帳!$A$3:$O$4986,15,FALSE))))</f>
        <v>1120</v>
      </c>
      <c r="T313" s="273">
        <f ca="1">IF(D313="","",IF(J313="リード付け",N313,IF(J313="巻返しリード付け",N313,IF(J313="巻足し",N313*P313+OFFSET(N313,1,0)*OFFSET(P313,1,0),VLOOKUP(D313,契約台帳!$A$3:$P$4986,16,FALSE)))))</f>
        <v>8000</v>
      </c>
      <c r="U313" s="40">
        <v>1</v>
      </c>
      <c r="V313" s="274" t="str">
        <f ca="1">IF(D313="","",IF(OFFSET(D313,-2,0)=D313,"",VLOOKUP(D313,契約台帳!$A$3:$R$4986,18,FALSE)))</f>
        <v/>
      </c>
      <c r="W313" s="269" t="str">
        <f ca="1">IF(D313="","",IF(T313="","",IF(OR(J313="巻足し",J313="巻返しリード付け"),"",IF(J313="巻返し",VLOOKUP(F313&amp;K313&amp;M313,製品マスタ!$M$5:$AD$5002,18,FALSE),IF(OR(J313="リード付け",J313="巻返しリード付け"),"原反コア",IF(J313="スリット",VLOOKUP(F313&amp;K313&amp;R313,製品マスタ!$N$5:$AD$5002,17,FALSE),""))))))</f>
        <v/>
      </c>
      <c r="X313" s="269" t="str">
        <f ca="1">IF(D313="","",IF(T313="","",IF(J313="巻足し","",IF(J313="巻返し",VLOOKUP(F313&amp;K313&amp;M313,製品マスタ!$M$5:$AE$5002,19,FALSE),IF(OR(J313="リード付け",J313="巻返しリード付け"),"",IF(J313="スリット",VLOOKUP(F313&amp;K313&amp;R313,製品マスタ!$N$5:$AE$5002,18,FALSE),""))))))</f>
        <v/>
      </c>
      <c r="Y313" s="275">
        <f ca="1">IF(D313="","",IF(T313="","",VLOOKUP(D313,契約台帳!$A$3:$Q$4986,17,FALSE)))</f>
        <v>2</v>
      </c>
      <c r="Z313" s="269" t="str">
        <f ca="1">IF(D313="","",IF(T313="","",VLOOKUP(D313,契約台帳!$A$3:$E$4986,5,FALSE)))</f>
        <v>リンテック㈱</v>
      </c>
      <c r="AA313" s="57"/>
      <c r="AB313" s="207">
        <f>IFERROR((VLOOKUP(F313&amp;K313&amp;M313,製品マスタ!$M$5:$AM$5002,27,FALSE)),"")</f>
        <v>0</v>
      </c>
      <c r="AC313" s="33"/>
      <c r="AD313" s="189"/>
      <c r="AE313" s="54"/>
      <c r="AF313" s="55"/>
      <c r="AG313" s="43"/>
      <c r="AH313" s="47"/>
      <c r="AI313" s="30"/>
      <c r="AJ313" s="30"/>
      <c r="AK313" s="30"/>
      <c r="AL313" s="30"/>
      <c r="AM313" s="13"/>
      <c r="AN313" s="13"/>
      <c r="AO313" s="13"/>
      <c r="AP313" s="13"/>
      <c r="AQ313" s="13"/>
      <c r="AR313" s="14"/>
      <c r="AS313" s="15"/>
    </row>
    <row r="314" spans="1:45" s="17" customFormat="1" ht="30.95" hidden="1" customHeight="1" x14ac:dyDescent="0.2">
      <c r="A314" s="37"/>
      <c r="B314" s="38"/>
      <c r="C314" s="45"/>
      <c r="D314" s="31"/>
      <c r="E314" s="31"/>
      <c r="F314" s="268" t="str">
        <f>IF(D314="","",VLOOKUP(D314,契約台帳!$A$3:$K$4986,6,FALSE)&amp;VLOOKUP(D314,契約台帳!$A$3:$K$4986,7,FALSE)&amp;VLOOKUP(D314,契約台帳!$A$3:$K$4986,8,FALSE)&amp;VLOOKUP(D314,契約台帳!$A$3:$K$4986,9,FALSE)&amp;VLOOKUP(D314,契約台帳!$A$3:$K$4986,11,FALSE))</f>
        <v/>
      </c>
      <c r="G314" s="269" t="str">
        <f>IF(D314="","",VLOOKUP(F314,製品マスタ!$G$5:$H$5002,2,FALSE))</f>
        <v/>
      </c>
      <c r="H314" s="269" t="str">
        <f>IF(D314="","",VLOOKUP(F314,製品マスタ!$G$5:$K$5002,5,FALSE))</f>
        <v/>
      </c>
      <c r="I314" s="270" t="str">
        <f>IF(D314="","",VLOOKUP(F314,製品マスタ!$G$5:$L$5002,6,FALSE))</f>
        <v/>
      </c>
      <c r="J314" s="210"/>
      <c r="K314" s="270" t="str">
        <f>IF(D314="","",VLOOKUP(D314,契約台帳!$A$3:$L$4986,12,FALSE))</f>
        <v/>
      </c>
      <c r="L314" s="270" t="str">
        <f>IF(D314="","",INDEX(製品マスタ!$Q$5:$Q$5002,MATCH('S4'!F314&amp;'S4'!K314,製品マスタ!$AO$5:$AO$5002,0)))</f>
        <v/>
      </c>
      <c r="M314" s="39"/>
      <c r="N314" s="39"/>
      <c r="O314" s="156"/>
      <c r="P314" s="47"/>
      <c r="Q314" s="57"/>
      <c r="R314" s="271" t="str">
        <f ca="1">IF(D314="","",IF(OFFSET(D314,-1,0)&lt;&gt;"","",IF(OR(J314="リード付け",J314="巻足し",J314="巻返しリード付け"),M314,VLOOKUP(D314,契約台帳!$A$3:$N$4986,14,FALSE))))</f>
        <v/>
      </c>
      <c r="S314" s="272" t="str">
        <f ca="1">IF(D314="","",IF(OFFSET(D314,-1,0)&lt;&gt;"","",IF(OR(J314="リード付け",J314="巻足し",J314="巻返しリード付け"),M314,VLOOKUP(D314,契約台帳!$A$3:$O$4986,15,FALSE))))</f>
        <v/>
      </c>
      <c r="T314" s="273" t="str">
        <f ca="1">IF(D314="","",IF(J314="リード付け",N314,IF(J314="巻返しリード付け",N314,IF(J314="巻足し",N314*P314+OFFSET(N314,1,0)*OFFSET(P314,1,0),VLOOKUP(D314,契約台帳!$A$3:$P$4986,16,FALSE)))))</f>
        <v/>
      </c>
      <c r="U314" s="40"/>
      <c r="V314" s="274" t="str">
        <f ca="1">IF(D314="","",IF(OFFSET(D314,-2,0)=D314,"",VLOOKUP(D314,契約台帳!$A$3:$R$4986,18,FALSE)))</f>
        <v/>
      </c>
      <c r="W314" s="269" t="str">
        <f>IF(D314="","",IF(T314="","",IF(OR(J314="巻足し",J314="巻返しリード付け"),"",IF(J314="巻返し",VLOOKUP(F314&amp;K314&amp;M314,製品マスタ!$M$5:$AD$5002,18,FALSE),IF(OR(J314="リード付け",J314="巻返しリード付け"),"原反コア",IF(J314="スリット",VLOOKUP(F314&amp;K314&amp;R314,製品マスタ!$N$5:$AD$5002,17,FALSE),""))))))</f>
        <v/>
      </c>
      <c r="X314" s="269" t="str">
        <f>IF(D314="","",IF(T314="","",IF(J314="巻足し","",IF(J314="巻返し",VLOOKUP(F314&amp;K314&amp;M314,製品マスタ!$M$5:$AE$5002,19,FALSE),IF(OR(J314="リード付け",J314="巻返しリード付け"),"",IF(J314="スリット",VLOOKUP(F314&amp;K314&amp;R314,製品マスタ!$N$5:$AE$5002,18,FALSE),""))))))</f>
        <v/>
      </c>
      <c r="Y314" s="275" t="str">
        <f>IF(D314="","",IF(T314="","",VLOOKUP(D314,契約台帳!$A$3:$Q$4986,17,FALSE)))</f>
        <v/>
      </c>
      <c r="Z314" s="269" t="str">
        <f>IF(D314="","",IF(T314="","",VLOOKUP(D314,契約台帳!$A$3:$E$4986,5,FALSE)))</f>
        <v/>
      </c>
      <c r="AA314" s="57"/>
      <c r="AB314" s="207" t="str">
        <f>IFERROR((VLOOKUP(F314&amp;K314&amp;M314,製品マスタ!$M$5:$AM$5002,27,FALSE)),"")</f>
        <v/>
      </c>
      <c r="AC314" s="33"/>
      <c r="AD314" s="189"/>
      <c r="AE314" s="54"/>
      <c r="AF314" s="55"/>
      <c r="AG314" s="43"/>
      <c r="AH314" s="47"/>
      <c r="AI314" s="30"/>
      <c r="AJ314" s="30"/>
      <c r="AK314" s="30"/>
      <c r="AL314" s="30"/>
      <c r="AM314" s="13"/>
      <c r="AN314" s="13"/>
      <c r="AO314" s="13"/>
      <c r="AP314" s="13"/>
      <c r="AQ314" s="13"/>
      <c r="AR314" s="14"/>
      <c r="AS314" s="15"/>
    </row>
    <row r="315" spans="1:45" s="17" customFormat="1" ht="30.95" hidden="1" customHeight="1" x14ac:dyDescent="0.2">
      <c r="A315" s="37"/>
      <c r="B315" s="38"/>
      <c r="C315" s="45"/>
      <c r="D315" s="31">
        <v>3700946</v>
      </c>
      <c r="E315" s="31">
        <v>4161849</v>
      </c>
      <c r="F315" s="268" t="str">
        <f>IF(D315="","",VLOOKUP(D315,契約台帳!$A$3:$K$4986,6,FALSE)&amp;VLOOKUP(D315,契約台帳!$A$3:$K$4986,7,FALSE)&amp;VLOOKUP(D315,契約台帳!$A$3:$K$4986,8,FALSE)&amp;VLOOKUP(D315,契約台帳!$A$3:$K$4986,9,FALSE)&amp;VLOOKUP(D315,契約台帳!$A$3:$K$4986,11,FALSE))</f>
        <v>3SNMCLBMSNEYK</v>
      </c>
      <c r="G315" s="269" t="str">
        <f>IF(D315="","",VLOOKUP(F315,製品マスタ!$G$5:$H$5002,2,FALSE))</f>
        <v>S</v>
      </c>
      <c r="H315" s="269" t="str">
        <f>IF(D315="","",VLOOKUP(F315,製品マスタ!$G$5:$K$5002,5,FALSE))</f>
        <v>MSNEYK</v>
      </c>
      <c r="I315" s="270" t="str">
        <f>IF(D315="","",VLOOKUP(F315,製品マスタ!$G$5:$L$5002,6,FALSE))</f>
        <v>ＭＳＮ　ＥＹＫ</v>
      </c>
      <c r="J315" s="210" t="s">
        <v>935</v>
      </c>
      <c r="K315" s="270">
        <f>IF(D315="","",VLOOKUP(D315,契約台帳!$A$3:$L$4986,12,FALSE))</f>
        <v>100</v>
      </c>
      <c r="L315" s="270" t="str">
        <f>IF(D315="","",INDEX(製品マスタ!$Q$5:$Q$5002,MATCH('S4'!F315&amp;'S4'!K315,製品マスタ!$AO$5:$AO$5002,0)))</f>
        <v>N-MAT</v>
      </c>
      <c r="M315" s="39">
        <v>1205</v>
      </c>
      <c r="N315" s="39">
        <v>2500</v>
      </c>
      <c r="O315" s="156">
        <v>4</v>
      </c>
      <c r="P315" s="47">
        <v>2</v>
      </c>
      <c r="Q315" s="213">
        <v>44991</v>
      </c>
      <c r="R315" s="271">
        <f ca="1">IF(D315="","",IF(OFFSET(D315,-1,0)&lt;&gt;"","",IF(OR(J315="リード付け",J315="巻足し",J315="巻返しリード付け"),M315,VLOOKUP(D315,契約台帳!$A$3:$N$4986,14,FALSE))))</f>
        <v>1205</v>
      </c>
      <c r="S315" s="272">
        <f ca="1">IF(D315="","",IF(OFFSET(D315,-1,0)&lt;&gt;"","",IF(OR(J315="リード付け",J315="巻足し",J315="巻返しリード付け"),M315,VLOOKUP(D315,契約台帳!$A$3:$O$4986,15,FALSE))))</f>
        <v>1205</v>
      </c>
      <c r="T315" s="273">
        <f ca="1">IF(D315="","",IF(J315="リード付け",N315,IF(J315="巻返しリード付け",N315,IF(J315="巻足し",N315*P315+OFFSET(N315,1,0)*OFFSET(P315,1,0),VLOOKUP(D315,契約台帳!$A$3:$P$4986,16,FALSE)))))</f>
        <v>5000</v>
      </c>
      <c r="U315" s="40">
        <v>2</v>
      </c>
      <c r="V315" s="274">
        <f ca="1">IF(D315="","",IF(OFFSET(D315,-2,0)=D315,"",VLOOKUP(D315,契約台帳!$A$3:$R$4986,18,FALSE)))</f>
        <v>4</v>
      </c>
      <c r="W315" s="269" t="str">
        <f ca="1">IF(D315="","",IF(T315="","",IF(OR(J315="巻足し",J315="巻返しリード付け"),"",IF(J315="巻返し",VLOOKUP(F315&amp;K315&amp;M315,製品マスタ!$M$5:$AD$5002,18,FALSE),IF(OR(J315="リード付け",J315="巻返しリード付け"),"原反コア",IF(J315="スリット",VLOOKUP(F315&amp;K315&amp;R315,製品マスタ!$N$5:$AD$5002,17,FALSE),""))))))</f>
        <v/>
      </c>
      <c r="X315" s="269" t="str">
        <f ca="1">IF(D315="","",IF(T315="","",IF(J315="巻足し","",IF(J315="巻返し",VLOOKUP(F315&amp;K315&amp;M315,製品マスタ!$M$5:$AE$5002,19,FALSE),IF(OR(J315="リード付け",J315="巻返しリード付け"),"",IF(J315="スリット",VLOOKUP(F315&amp;K315&amp;R315,製品マスタ!$N$5:$AE$5002,18,FALSE),""))))))</f>
        <v/>
      </c>
      <c r="Y315" s="275">
        <f ca="1">IF(D315="","",IF(T315="","",VLOOKUP(D315,契約台帳!$A$3:$Q$4986,17,FALSE)))</f>
        <v>2</v>
      </c>
      <c r="Z315" s="269" t="str">
        <f ca="1">IF(D315="","",IF(T315="","",VLOOKUP(D315,契約台帳!$A$3:$E$4986,5,FALSE)))</f>
        <v>マルウ接着㈱</v>
      </c>
      <c r="AA315" s="57"/>
      <c r="AB315" s="207" t="str">
        <f>IFERROR((VLOOKUP(F315&amp;K315&amp;M315,製品マスタ!$M$5:$AM$5002,27,FALSE)),"")</f>
        <v>原反ケース再利用</v>
      </c>
      <c r="AC315" s="33"/>
      <c r="AD315" s="189"/>
      <c r="AE315" s="54"/>
      <c r="AF315" s="55"/>
      <c r="AG315" s="43"/>
      <c r="AH315" s="47"/>
      <c r="AI315" s="30"/>
      <c r="AJ315" s="30"/>
      <c r="AK315" s="30"/>
      <c r="AL315" s="30"/>
      <c r="AM315" s="13"/>
      <c r="AN315" s="13"/>
      <c r="AO315" s="13"/>
      <c r="AP315" s="13"/>
      <c r="AQ315" s="13"/>
      <c r="AR315" s="14"/>
      <c r="AS315" s="15"/>
    </row>
    <row r="316" spans="1:45" s="17" customFormat="1" ht="30.95" hidden="1" customHeight="1" x14ac:dyDescent="0.2">
      <c r="A316" s="37"/>
      <c r="B316" s="38"/>
      <c r="C316" s="45"/>
      <c r="D316" s="31"/>
      <c r="E316" s="31"/>
      <c r="F316" s="268" t="str">
        <f>IF(D316="","",VLOOKUP(D316,契約台帳!$A$3:$K$4986,6,FALSE)&amp;VLOOKUP(D316,契約台帳!$A$3:$K$4986,7,FALSE)&amp;VLOOKUP(D316,契約台帳!$A$3:$K$4986,8,FALSE)&amp;VLOOKUP(D316,契約台帳!$A$3:$K$4986,9,FALSE)&amp;VLOOKUP(D316,契約台帳!$A$3:$K$4986,11,FALSE))</f>
        <v/>
      </c>
      <c r="G316" s="269" t="str">
        <f>IF(D316="","",VLOOKUP(F316,製品マスタ!$G$5:$H$5002,2,FALSE))</f>
        <v/>
      </c>
      <c r="H316" s="269" t="str">
        <f>IF(D316="","",VLOOKUP(F316,製品マスタ!$G$5:$K$5002,5,FALSE))</f>
        <v/>
      </c>
      <c r="I316" s="270" t="str">
        <f>IF(D316="","",VLOOKUP(F316,製品マスタ!$G$5:$L$5002,6,FALSE))</f>
        <v/>
      </c>
      <c r="J316" s="210"/>
      <c r="K316" s="270" t="str">
        <f>IF(D316="","",VLOOKUP(D316,契約台帳!$A$3:$L$4986,12,FALSE))</f>
        <v/>
      </c>
      <c r="L316" s="270" t="str">
        <f>IF(D316="","",INDEX(製品マスタ!$Q$5:$Q$5002,MATCH('S4'!F316&amp;'S4'!K316,製品マスタ!$AO$5:$AO$5002,0)))</f>
        <v/>
      </c>
      <c r="M316" s="39"/>
      <c r="N316" s="39"/>
      <c r="O316" s="156"/>
      <c r="P316" s="47"/>
      <c r="Q316" s="57"/>
      <c r="R316" s="271" t="str">
        <f ca="1">IF(D316="","",IF(OFFSET(D316,-1,0)&lt;&gt;"","",IF(OR(J316="リード付け",J316="巻足し",J316="巻返しリード付け"),M316,VLOOKUP(D316,契約台帳!$A$3:$N$4986,14,FALSE))))</f>
        <v/>
      </c>
      <c r="S316" s="272" t="str">
        <f ca="1">IF(D316="","",IF(OFFSET(D316,-1,0)&lt;&gt;"","",IF(OR(J316="リード付け",J316="巻足し",J316="巻返しリード付け"),M316,VLOOKUP(D316,契約台帳!$A$3:$O$4986,15,FALSE))))</f>
        <v/>
      </c>
      <c r="T316" s="273" t="str">
        <f ca="1">IF(D316="","",IF(J316="リード付け",N316,IF(J316="巻返しリード付け",N316,IF(J316="巻足し",N316*P316+OFFSET(N316,1,0)*OFFSET(P316,1,0),VLOOKUP(D316,契約台帳!$A$3:$P$4986,16,FALSE)))))</f>
        <v/>
      </c>
      <c r="U316" s="40"/>
      <c r="V316" s="274" t="str">
        <f ca="1">IF(D316="","",IF(OFFSET(D316,-2,0)=D316,"",VLOOKUP(D316,契約台帳!$A$3:$R$4986,18,FALSE)))</f>
        <v/>
      </c>
      <c r="W316" s="269" t="str">
        <f>IF(D316="","",IF(T316="","",IF(OR(J316="巻足し",J316="巻返しリード付け"),"",IF(J316="巻返し",VLOOKUP(F316&amp;K316&amp;M316,製品マスタ!$M$5:$AD$5002,18,FALSE),IF(OR(J316="リード付け",J316="巻返しリード付け"),"原反コア",IF(J316="スリット",VLOOKUP(F316&amp;K316&amp;R316,製品マスタ!$N$5:$AD$5002,17,FALSE),""))))))</f>
        <v/>
      </c>
      <c r="X316" s="269" t="str">
        <f>IF(D316="","",IF(T316="","",IF(J316="巻足し","",IF(J316="巻返し",VLOOKUP(F316&amp;K316&amp;M316,製品マスタ!$M$5:$AE$5002,19,FALSE),IF(OR(J316="リード付け",J316="巻返しリード付け"),"",IF(J316="スリット",VLOOKUP(F316&amp;K316&amp;R316,製品マスタ!$N$5:$AE$5002,18,FALSE),""))))))</f>
        <v/>
      </c>
      <c r="Y316" s="275" t="str">
        <f>IF(D316="","",IF(T316="","",VLOOKUP(D316,契約台帳!$A$3:$Q$4986,17,FALSE)))</f>
        <v/>
      </c>
      <c r="Z316" s="269" t="str">
        <f>IF(D316="","",IF(T316="","",VLOOKUP(D316,契約台帳!$A$3:$E$4986,5,FALSE)))</f>
        <v/>
      </c>
      <c r="AA316" s="57"/>
      <c r="AB316" s="207" t="str">
        <f>IFERROR((VLOOKUP(F316&amp;K316&amp;M316,製品マスタ!$M$5:$AM$5002,27,FALSE)),"")</f>
        <v/>
      </c>
      <c r="AC316" s="33"/>
      <c r="AD316" s="189"/>
      <c r="AE316" s="54"/>
      <c r="AF316" s="55"/>
      <c r="AG316" s="43"/>
      <c r="AH316" s="47"/>
      <c r="AI316" s="30"/>
      <c r="AJ316" s="30"/>
      <c r="AK316" s="30"/>
      <c r="AL316" s="30"/>
      <c r="AM316" s="13"/>
      <c r="AN316" s="13"/>
      <c r="AO316" s="13"/>
      <c r="AP316" s="13"/>
      <c r="AQ316" s="13"/>
      <c r="AR316" s="14"/>
      <c r="AS316" s="15"/>
    </row>
    <row r="317" spans="1:45" s="17" customFormat="1" ht="30.95" hidden="1" customHeight="1" x14ac:dyDescent="0.2">
      <c r="A317" s="37"/>
      <c r="B317" s="38"/>
      <c r="C317" s="45"/>
      <c r="D317" s="31">
        <v>3700944</v>
      </c>
      <c r="E317" s="31">
        <v>4161833</v>
      </c>
      <c r="F317" s="268" t="str">
        <f>IF(D317="","",VLOOKUP(D317,契約台帳!$A$3:$K$4986,6,FALSE)&amp;VLOOKUP(D317,契約台帳!$A$3:$K$4986,7,FALSE)&amp;VLOOKUP(D317,契約台帳!$A$3:$K$4986,8,FALSE)&amp;VLOOKUP(D317,契約台帳!$A$3:$K$4986,9,FALSE)&amp;VLOOKUP(D317,契約台帳!$A$3:$K$4986,11,FALSE))</f>
        <v>3HSNMCLBEYK</v>
      </c>
      <c r="G317" s="269" t="str">
        <f>IF(D317="","",VLOOKUP(F317,製品マスタ!$G$5:$H$5002,2,FALSE))</f>
        <v>S</v>
      </c>
      <c r="H317" s="269" t="str">
        <f>IF(D317="","",VLOOKUP(F317,製品マスタ!$G$5:$K$5002,5,FALSE))</f>
        <v>EYK</v>
      </c>
      <c r="I317" s="270" t="str">
        <f>IF(D317="","",VLOOKUP(F317,製品マスタ!$G$5:$L$5002,6,FALSE))</f>
        <v>メタルミー　ＥＹＫ</v>
      </c>
      <c r="J317" s="210" t="s">
        <v>935</v>
      </c>
      <c r="K317" s="270">
        <f>IF(D317="","",VLOOKUP(D317,契約台帳!$A$3:$L$4986,12,FALSE))</f>
        <v>50</v>
      </c>
      <c r="L317" s="270" t="str">
        <f>IF(D317="","",INDEX(製品マスタ!$Q$5:$Q$5002,MATCH('S4'!F317&amp;'S4'!K317,製品マスタ!$AO$5:$AO$5002,0)))</f>
        <v>T62M</v>
      </c>
      <c r="M317" s="39">
        <v>1195</v>
      </c>
      <c r="N317" s="39">
        <v>6100</v>
      </c>
      <c r="O317" s="156">
        <v>10</v>
      </c>
      <c r="P317" s="47">
        <v>2</v>
      </c>
      <c r="Q317" s="213">
        <v>44988</v>
      </c>
      <c r="R317" s="271">
        <f ca="1">IF(D317="","",IF(OFFSET(D317,-1,0)&lt;&gt;"","",IF(OR(J317="リード付け",J317="巻足し",J317="巻返しリード付け"),M317,VLOOKUP(D317,契約台帳!$A$3:$N$4986,14,FALSE))))</f>
        <v>1195</v>
      </c>
      <c r="S317" s="272">
        <f ca="1">IF(D317="","",IF(OFFSET(D317,-1,0)&lt;&gt;"","",IF(OR(J317="リード付け",J317="巻足し",J317="巻返しリード付け"),M317,VLOOKUP(D317,契約台帳!$A$3:$O$4986,15,FALSE))))</f>
        <v>1195</v>
      </c>
      <c r="T317" s="273">
        <f ca="1">IF(D317="","",IF(J317="リード付け",N317,IF(J317="巻返しリード付け",N317,IF(J317="巻足し",N317*P317+OFFSET(N317,1,0)*OFFSET(P317,1,0),VLOOKUP(D317,契約台帳!$A$3:$P$4986,16,FALSE)))))</f>
        <v>12200</v>
      </c>
      <c r="U317" s="40">
        <v>5</v>
      </c>
      <c r="V317" s="274">
        <f ca="1">IF(D317="","",IF(OFFSET(D317,-2,0)=D317,"",VLOOKUP(D317,契約台帳!$A$3:$R$4986,18,FALSE)))</f>
        <v>10</v>
      </c>
      <c r="W317" s="269" t="str">
        <f ca="1">IF(D317="","",IF(T317="","",IF(OR(J317="巻足し",J317="巻返しリード付け"),"",IF(J317="巻返し",VLOOKUP(F317&amp;K317&amp;M317,製品マスタ!$M$5:$AD$5002,18,FALSE),IF(OR(J317="リード付け",J317="巻返しリード付け"),"原反コア",IF(J317="スリット",VLOOKUP(F317&amp;K317&amp;R317,製品マスタ!$N$5:$AD$5002,17,FALSE),""))))))</f>
        <v/>
      </c>
      <c r="X317" s="269" t="str">
        <f ca="1">IF(D317="","",IF(T317="","",IF(J317="巻足し","",IF(J317="巻返し",VLOOKUP(F317&amp;K317&amp;M317,製品マスタ!$M$5:$AE$5002,19,FALSE),IF(OR(J317="リード付け",J317="巻返しリード付け"),"",IF(J317="スリット",VLOOKUP(F317&amp;K317&amp;R317,製品マスタ!$N$5:$AE$5002,18,FALSE),""))))))</f>
        <v/>
      </c>
      <c r="Y317" s="275">
        <f ca="1">IF(D317="","",IF(T317="","",VLOOKUP(D317,契約台帳!$A$3:$Q$4986,17,FALSE)))</f>
        <v>2</v>
      </c>
      <c r="Z317" s="269" t="str">
        <f ca="1">IF(D317="","",IF(T317="","",VLOOKUP(D317,契約台帳!$A$3:$E$4986,5,FALSE)))</f>
        <v>大阪シーリング印刷㈱</v>
      </c>
      <c r="AA317" s="57"/>
      <c r="AB317" s="207" t="str">
        <f>IFERROR((VLOOKUP(F317&amp;K317&amp;M317,製品マスタ!$M$5:$AM$5002,27,FALSE)),"")</f>
        <v>原反ケース再利用</v>
      </c>
      <c r="AC317" s="33"/>
      <c r="AD317" s="189"/>
      <c r="AE317" s="54"/>
      <c r="AF317" s="55"/>
      <c r="AG317" s="43"/>
      <c r="AH317" s="47"/>
      <c r="AI317" s="30"/>
      <c r="AJ317" s="30"/>
      <c r="AK317" s="30"/>
      <c r="AL317" s="30"/>
      <c r="AM317" s="13"/>
      <c r="AN317" s="13"/>
      <c r="AO317" s="13"/>
      <c r="AP317" s="13"/>
      <c r="AQ317" s="13"/>
      <c r="AR317" s="14"/>
      <c r="AS317" s="15"/>
    </row>
    <row r="318" spans="1:45" s="17" customFormat="1" ht="30.95" hidden="1" customHeight="1" x14ac:dyDescent="0.2">
      <c r="A318" s="37"/>
      <c r="B318" s="38"/>
      <c r="C318" s="45"/>
      <c r="D318" s="31"/>
      <c r="E318" s="31"/>
      <c r="F318" s="268" t="str">
        <f>IF(D318="","",VLOOKUP(D318,契約台帳!$A$3:$K$4986,6,FALSE)&amp;VLOOKUP(D318,契約台帳!$A$3:$K$4986,7,FALSE)&amp;VLOOKUP(D318,契約台帳!$A$3:$K$4986,8,FALSE)&amp;VLOOKUP(D318,契約台帳!$A$3:$K$4986,9,FALSE)&amp;VLOOKUP(D318,契約台帳!$A$3:$K$4986,11,FALSE))</f>
        <v/>
      </c>
      <c r="G318" s="269" t="str">
        <f>IF(D318="","",VLOOKUP(F318,製品マスタ!$G$5:$H$5002,2,FALSE))</f>
        <v/>
      </c>
      <c r="H318" s="269" t="str">
        <f>IF(D318="","",VLOOKUP(F318,製品マスタ!$G$5:$K$5002,5,FALSE))</f>
        <v/>
      </c>
      <c r="I318" s="270" t="str">
        <f>IF(D318="","",VLOOKUP(F318,製品マスタ!$G$5:$L$5002,6,FALSE))</f>
        <v/>
      </c>
      <c r="J318" s="210"/>
      <c r="K318" s="270" t="str">
        <f>IF(D318="","",VLOOKUP(D318,契約台帳!$A$3:$L$4986,12,FALSE))</f>
        <v/>
      </c>
      <c r="L318" s="270" t="str">
        <f>IF(D318="","",INDEX(製品マスタ!$Q$5:$Q$5002,MATCH('S4'!F318&amp;'S4'!K318,製品マスタ!$AO$5:$AO$5002,0)))</f>
        <v/>
      </c>
      <c r="M318" s="39"/>
      <c r="N318" s="39"/>
      <c r="O318" s="156"/>
      <c r="P318" s="47"/>
      <c r="Q318" s="57"/>
      <c r="R318" s="271" t="str">
        <f ca="1">IF(D318="","",IF(OFFSET(D318,-1,0)&lt;&gt;"","",IF(OR(J318="リード付け",J318="巻足し",J318="巻返しリード付け"),M318,VLOOKUP(D318,契約台帳!$A$3:$N$4986,14,FALSE))))</f>
        <v/>
      </c>
      <c r="S318" s="272" t="str">
        <f ca="1">IF(D318="","",IF(OFFSET(D318,-1,0)&lt;&gt;"","",IF(OR(J318="リード付け",J318="巻足し",J318="巻返しリード付け"),M318,VLOOKUP(D318,契約台帳!$A$3:$O$4986,15,FALSE))))</f>
        <v/>
      </c>
      <c r="T318" s="273" t="str">
        <f ca="1">IF(D318="","",IF(J318="リード付け",N318,IF(J318="巻返しリード付け",N318,IF(J318="巻足し",N318*P318+OFFSET(N318,1,0)*OFFSET(P318,1,0),VLOOKUP(D318,契約台帳!$A$3:$P$4986,16,FALSE)))))</f>
        <v/>
      </c>
      <c r="U318" s="40"/>
      <c r="V318" s="274" t="str">
        <f ca="1">IF(D318="","",IF(OFFSET(D318,-2,0)=D318,"",VLOOKUP(D318,契約台帳!$A$3:$R$4986,18,FALSE)))</f>
        <v/>
      </c>
      <c r="W318" s="269" t="str">
        <f>IF(D318="","",IF(T318="","",IF(OR(J318="巻足し",J318="巻返しリード付け"),"",IF(J318="巻返し",VLOOKUP(F318&amp;K318&amp;M318,製品マスタ!$M$5:$AD$5002,18,FALSE),IF(OR(J318="リード付け",J318="巻返しリード付け"),"原反コア",IF(J318="スリット",VLOOKUP(F318&amp;K318&amp;R318,製品マスタ!$N$5:$AD$5002,17,FALSE),""))))))</f>
        <v/>
      </c>
      <c r="X318" s="269" t="str">
        <f>IF(D318="","",IF(T318="","",IF(J318="巻足し","",IF(J318="巻返し",VLOOKUP(F318&amp;K318&amp;M318,製品マスタ!$M$5:$AE$5002,19,FALSE),IF(OR(J318="リード付け",J318="巻返しリード付け"),"",IF(J318="スリット",VLOOKUP(F318&amp;K318&amp;R318,製品マスタ!$N$5:$AE$5002,18,FALSE),""))))))</f>
        <v/>
      </c>
      <c r="Y318" s="275" t="str">
        <f>IF(D318="","",IF(T318="","",VLOOKUP(D318,契約台帳!$A$3:$Q$4986,17,FALSE)))</f>
        <v/>
      </c>
      <c r="Z318" s="269" t="str">
        <f>IF(D318="","",IF(T318="","",VLOOKUP(D318,契約台帳!$A$3:$E$4986,5,FALSE)))</f>
        <v/>
      </c>
      <c r="AA318" s="57"/>
      <c r="AB318" s="207" t="str">
        <f>IFERROR((VLOOKUP(F318&amp;K318&amp;M318,製品マスタ!$M$5:$AM$5002,27,FALSE)),"")</f>
        <v/>
      </c>
      <c r="AC318" s="33"/>
      <c r="AD318" s="189"/>
      <c r="AE318" s="54"/>
      <c r="AF318" s="55"/>
      <c r="AG318" s="43"/>
      <c r="AH318" s="47"/>
      <c r="AI318" s="30"/>
      <c r="AJ318" s="30"/>
      <c r="AK318" s="30"/>
      <c r="AL318" s="30"/>
      <c r="AM318" s="13"/>
      <c r="AN318" s="13"/>
      <c r="AO318" s="13"/>
      <c r="AP318" s="13"/>
      <c r="AQ318" s="13"/>
      <c r="AR318" s="14"/>
      <c r="AS318" s="15"/>
    </row>
    <row r="319" spans="1:45" s="17" customFormat="1" ht="30.95" hidden="1" customHeight="1" x14ac:dyDescent="0.2">
      <c r="A319" s="37"/>
      <c r="B319" s="38"/>
      <c r="C319" s="45"/>
      <c r="D319" s="31">
        <v>3700947</v>
      </c>
      <c r="E319" s="31">
        <v>4161836</v>
      </c>
      <c r="F319" s="268" t="str">
        <f>IF(D319="","",VLOOKUP(D319,契約台帳!$A$3:$K$4986,6,FALSE)&amp;VLOOKUP(D319,契約台帳!$A$3:$K$4986,7,FALSE)&amp;VLOOKUP(D319,契約台帳!$A$3:$K$4986,8,FALSE)&amp;VLOOKUP(D319,契約台帳!$A$3:$K$4986,9,FALSE)&amp;VLOOKUP(D319,契約台帳!$A$3:$K$4986,11,FALSE))</f>
        <v>3SNMCLBEYK</v>
      </c>
      <c r="G319" s="269" t="str">
        <f>IF(D319="","",VLOOKUP(F319,製品マスタ!$G$5:$H$5002,2,FALSE))</f>
        <v>S</v>
      </c>
      <c r="H319" s="269" t="str">
        <f>IF(D319="","",VLOOKUP(F319,製品マスタ!$G$5:$K$5002,5,FALSE))</f>
        <v>EYK</v>
      </c>
      <c r="I319" s="270" t="str">
        <f>IF(D319="","",VLOOKUP(F319,製品マスタ!$G$5:$L$5002,6,FALSE))</f>
        <v>メタルミー　ＥＹＫ</v>
      </c>
      <c r="J319" s="210" t="s">
        <v>935</v>
      </c>
      <c r="K319" s="270">
        <f>IF(D319="","",VLOOKUP(D319,契約台帳!$A$3:$L$4986,12,FALSE))</f>
        <v>50</v>
      </c>
      <c r="L319" s="270" t="str">
        <f>IF(D319="","",INDEX(製品マスタ!$Q$5:$Q$5002,MATCH('S4'!F319&amp;'S4'!K319,製品マスタ!$AO$5:$AO$5002,0)))</f>
        <v>T62M</v>
      </c>
      <c r="M319" s="39">
        <v>1125</v>
      </c>
      <c r="N319" s="39">
        <v>6100</v>
      </c>
      <c r="O319" s="156">
        <v>2</v>
      </c>
      <c r="P319" s="47">
        <v>2</v>
      </c>
      <c r="Q319" s="213">
        <v>44988</v>
      </c>
      <c r="R319" s="271">
        <f ca="1">IF(D319="","",IF(OFFSET(D319,-1,0)&lt;&gt;"","",IF(OR(J319="リード付け",J319="巻足し",J319="巻返しリード付け"),M319,VLOOKUP(D319,契約台帳!$A$3:$N$4986,14,FALSE))))</f>
        <v>1125</v>
      </c>
      <c r="S319" s="272">
        <f ca="1">IF(D319="","",IF(OFFSET(D319,-1,0)&lt;&gt;"","",IF(OR(J319="リード付け",J319="巻足し",J319="巻返しリード付け"),M319,VLOOKUP(D319,契約台帳!$A$3:$O$4986,15,FALSE))))</f>
        <v>1125</v>
      </c>
      <c r="T319" s="273">
        <f ca="1">IF(D319="","",IF(J319="リード付け",N319,IF(J319="巻返しリード付け",N319,IF(J319="巻足し",N319*P319+OFFSET(N319,1,0)*OFFSET(P319,1,0),VLOOKUP(D319,契約台帳!$A$3:$P$4986,16,FALSE)))))</f>
        <v>12200</v>
      </c>
      <c r="U319" s="40">
        <v>1</v>
      </c>
      <c r="V319" s="274">
        <f ca="1">IF(D319="","",IF(OFFSET(D319,-2,0)=D319,"",VLOOKUP(D319,契約台帳!$A$3:$R$4986,18,FALSE)))</f>
        <v>2</v>
      </c>
      <c r="W319" s="269" t="str">
        <f ca="1">IF(D319="","",IF(T319="","",IF(OR(J319="巻足し",J319="巻返しリード付け"),"",IF(J319="巻返し",VLOOKUP(F319&amp;K319&amp;M319,製品マスタ!$M$5:$AD$5002,18,FALSE),IF(OR(J319="リード付け",J319="巻返しリード付け"),"原反コア",IF(J319="スリット",VLOOKUP(F319&amp;K319&amp;R319,製品マスタ!$N$5:$AD$5002,17,FALSE),""))))))</f>
        <v/>
      </c>
      <c r="X319" s="269" t="str">
        <f ca="1">IF(D319="","",IF(T319="","",IF(J319="巻足し","",IF(J319="巻返し",VLOOKUP(F319&amp;K319&amp;M319,製品マスタ!$M$5:$AE$5002,19,FALSE),IF(OR(J319="リード付け",J319="巻返しリード付け"),"",IF(J319="スリット",VLOOKUP(F319&amp;K319&amp;R319,製品マスタ!$N$5:$AE$5002,18,FALSE),""))))))</f>
        <v/>
      </c>
      <c r="Y319" s="275">
        <f ca="1">IF(D319="","",IF(T319="","",VLOOKUP(D319,契約台帳!$A$3:$Q$4986,17,FALSE)))</f>
        <v>2</v>
      </c>
      <c r="Z319" s="269" t="str">
        <f ca="1">IF(D319="","",IF(T319="","",VLOOKUP(D319,契約台帳!$A$3:$E$4986,5,FALSE)))</f>
        <v>新タック化成㈱</v>
      </c>
      <c r="AA319" s="57"/>
      <c r="AB319" s="207" t="str">
        <f>IFERROR((VLOOKUP(F319&amp;K319&amp;M319,製品マスタ!$M$5:$AM$5002,27,FALSE)),"")</f>
        <v>原反ケース再利用</v>
      </c>
      <c r="AC319" s="33"/>
      <c r="AD319" s="189"/>
      <c r="AE319" s="54"/>
      <c r="AF319" s="55"/>
      <c r="AG319" s="43"/>
      <c r="AH319" s="47"/>
      <c r="AI319" s="30"/>
      <c r="AJ319" s="30"/>
      <c r="AK319" s="30"/>
      <c r="AL319" s="30"/>
      <c r="AM319" s="13"/>
      <c r="AN319" s="13"/>
      <c r="AO319" s="13"/>
      <c r="AP319" s="13"/>
      <c r="AQ319" s="13"/>
      <c r="AR319" s="14"/>
      <c r="AS319" s="15"/>
    </row>
    <row r="320" spans="1:45" s="17" customFormat="1" ht="30.95" hidden="1" customHeight="1" x14ac:dyDescent="0.2">
      <c r="A320" s="37"/>
      <c r="B320" s="38"/>
      <c r="C320" s="45"/>
      <c r="D320" s="31"/>
      <c r="E320" s="31"/>
      <c r="F320" s="268" t="str">
        <f>IF(D320="","",VLOOKUP(D320,契約台帳!$A$3:$K$4986,6,FALSE)&amp;VLOOKUP(D320,契約台帳!$A$3:$K$4986,7,FALSE)&amp;VLOOKUP(D320,契約台帳!$A$3:$K$4986,8,FALSE)&amp;VLOOKUP(D320,契約台帳!$A$3:$K$4986,9,FALSE)&amp;VLOOKUP(D320,契約台帳!$A$3:$K$4986,11,FALSE))</f>
        <v/>
      </c>
      <c r="G320" s="269" t="str">
        <f>IF(D320="","",VLOOKUP(F320,製品マスタ!$G$5:$H$5002,2,FALSE))</f>
        <v/>
      </c>
      <c r="H320" s="269" t="str">
        <f>IF(D320="","",VLOOKUP(F320,製品マスタ!$G$5:$K$5002,5,FALSE))</f>
        <v/>
      </c>
      <c r="I320" s="270" t="str">
        <f>IF(D320="","",VLOOKUP(F320,製品マスタ!$G$5:$L$5002,6,FALSE))</f>
        <v/>
      </c>
      <c r="J320" s="210"/>
      <c r="K320" s="270" t="str">
        <f>IF(D320="","",VLOOKUP(D320,契約台帳!$A$3:$L$4986,12,FALSE))</f>
        <v/>
      </c>
      <c r="L320" s="270" t="str">
        <f>IF(D320="","",INDEX(製品マスタ!$Q$5:$Q$5002,MATCH('S4'!F320&amp;'S4'!K320,製品マスタ!$AO$5:$AO$5002,0)))</f>
        <v/>
      </c>
      <c r="M320" s="39"/>
      <c r="N320" s="39"/>
      <c r="O320" s="156"/>
      <c r="P320" s="47"/>
      <c r="Q320" s="57"/>
      <c r="R320" s="271" t="str">
        <f ca="1">IF(D320="","",IF(OFFSET(D320,-1,0)&lt;&gt;"","",IF(OR(J320="リード付け",J320="巻足し",J320="巻返しリード付け"),M320,VLOOKUP(D320,契約台帳!$A$3:$N$4986,14,FALSE))))</f>
        <v/>
      </c>
      <c r="S320" s="272" t="str">
        <f ca="1">IF(D320="","",IF(OFFSET(D320,-1,0)&lt;&gt;"","",IF(OR(J320="リード付け",J320="巻足し",J320="巻返しリード付け"),M320,VLOOKUP(D320,契約台帳!$A$3:$O$4986,15,FALSE))))</f>
        <v/>
      </c>
      <c r="T320" s="273" t="str">
        <f ca="1">IF(D320="","",IF(J320="リード付け",N320,IF(J320="巻返しリード付け",N320,IF(J320="巻足し",N320*P320+OFFSET(N320,1,0)*OFFSET(P320,1,0),VLOOKUP(D320,契約台帳!$A$3:$P$4986,16,FALSE)))))</f>
        <v/>
      </c>
      <c r="U320" s="40"/>
      <c r="V320" s="274" t="str">
        <f ca="1">IF(D320="","",IF(OFFSET(D320,-2,0)=D320,"",VLOOKUP(D320,契約台帳!$A$3:$R$4986,18,FALSE)))</f>
        <v/>
      </c>
      <c r="W320" s="269" t="str">
        <f>IF(D320="","",IF(T320="","",IF(OR(J320="巻足し",J320="巻返しリード付け"),"",IF(J320="巻返し",VLOOKUP(F320&amp;K320&amp;M320,製品マスタ!$M$5:$AD$5002,18,FALSE),IF(OR(J320="リード付け",J320="巻返しリード付け"),"原反コア",IF(J320="スリット",VLOOKUP(F320&amp;K320&amp;R320,製品マスタ!$N$5:$AD$5002,17,FALSE),""))))))</f>
        <v/>
      </c>
      <c r="X320" s="269" t="str">
        <f>IF(D320="","",IF(T320="","",IF(J320="巻足し","",IF(J320="巻返し",VLOOKUP(F320&amp;K320&amp;M320,製品マスタ!$M$5:$AE$5002,19,FALSE),IF(OR(J320="リード付け",J320="巻返しリード付け"),"",IF(J320="スリット",VLOOKUP(F320&amp;K320&amp;R320,製品マスタ!$N$5:$AE$5002,18,FALSE),""))))))</f>
        <v/>
      </c>
      <c r="Y320" s="275" t="str">
        <f>IF(D320="","",IF(T320="","",VLOOKUP(D320,契約台帳!$A$3:$Q$4986,17,FALSE)))</f>
        <v/>
      </c>
      <c r="Z320" s="269" t="str">
        <f>IF(D320="","",IF(T320="","",VLOOKUP(D320,契約台帳!$A$3:$E$4986,5,FALSE)))</f>
        <v/>
      </c>
      <c r="AA320" s="57"/>
      <c r="AB320" s="207" t="str">
        <f>IFERROR((VLOOKUP(F320&amp;K320&amp;M320,製品マスタ!$M$5:$AM$5002,27,FALSE)),"")</f>
        <v/>
      </c>
      <c r="AC320" s="33"/>
      <c r="AD320" s="189"/>
      <c r="AE320" s="54"/>
      <c r="AF320" s="55"/>
      <c r="AG320" s="43"/>
      <c r="AH320" s="47"/>
      <c r="AI320" s="30"/>
      <c r="AJ320" s="30"/>
      <c r="AK320" s="30"/>
      <c r="AL320" s="30"/>
      <c r="AM320" s="13"/>
      <c r="AN320" s="13"/>
      <c r="AO320" s="13"/>
      <c r="AP320" s="13"/>
      <c r="AQ320" s="13"/>
      <c r="AR320" s="14"/>
      <c r="AS320" s="15"/>
    </row>
    <row r="321" spans="1:45" s="17" customFormat="1" ht="30.95" hidden="1" customHeight="1" x14ac:dyDescent="0.2">
      <c r="A321" s="37" t="s">
        <v>949</v>
      </c>
      <c r="B321" s="38" t="s">
        <v>937</v>
      </c>
      <c r="C321" s="45"/>
      <c r="D321" s="31">
        <v>3700948</v>
      </c>
      <c r="E321" s="31">
        <v>4161855</v>
      </c>
      <c r="F321" s="268" t="str">
        <f>IF(D321="","",VLOOKUP(D321,契約台帳!$A$3:$K$4986,6,FALSE)&amp;VLOOKUP(D321,契約台帳!$A$3:$K$4986,7,FALSE)&amp;VLOOKUP(D321,契約台帳!$A$3:$K$4986,8,FALSE)&amp;VLOOKUP(D321,契約台帳!$A$3:$K$4986,9,FALSE)&amp;VLOOKUP(D321,契約台帳!$A$3:$K$4986,11,FALSE))</f>
        <v>3SNMCLBMSNEYK</v>
      </c>
      <c r="G321" s="269" t="str">
        <f>IF(D321="","",VLOOKUP(F321,製品マスタ!$G$5:$H$5002,2,FALSE))</f>
        <v>S</v>
      </c>
      <c r="H321" s="269" t="str">
        <f>IF(D321="","",VLOOKUP(F321,製品マスタ!$G$5:$K$5002,5,FALSE))</f>
        <v>MSNEYK</v>
      </c>
      <c r="I321" s="270" t="str">
        <f>IF(D321="","",VLOOKUP(F321,製品マスタ!$G$5:$L$5002,6,FALSE))</f>
        <v>ＭＳＮ　ＥＹＫ</v>
      </c>
      <c r="J321" s="210" t="s">
        <v>935</v>
      </c>
      <c r="K321" s="270">
        <f>IF(D321="","",VLOOKUP(D321,契約台帳!$A$3:$L$4986,12,FALSE))</f>
        <v>50</v>
      </c>
      <c r="L321" s="270" t="str">
        <f>IF(D321="","",INDEX(製品マスタ!$Q$5:$Q$5002,MATCH('S4'!F321&amp;'S4'!K321,製品マスタ!$AO$5:$AO$5002,0)))</f>
        <v>N-MAT</v>
      </c>
      <c r="M321" s="39">
        <v>1120</v>
      </c>
      <c r="N321" s="39">
        <v>4000</v>
      </c>
      <c r="O321" s="156">
        <v>6</v>
      </c>
      <c r="P321" s="47">
        <v>3</v>
      </c>
      <c r="Q321" s="213">
        <v>44993</v>
      </c>
      <c r="R321" s="271">
        <f ca="1">IF(D321="","",IF(OFFSET(D321,-1,0)&lt;&gt;"","",IF(OR(J321="リード付け",J321="巻足し",J321="巻返しリード付け"),M321,VLOOKUP(D321,契約台帳!$A$3:$N$4986,14,FALSE))))</f>
        <v>1120</v>
      </c>
      <c r="S321" s="272">
        <f ca="1">IF(D321="","",IF(OFFSET(D321,-1,0)&lt;&gt;"","",IF(OR(J321="リード付け",J321="巻足し",J321="巻返しリード付け"),M321,VLOOKUP(D321,契約台帳!$A$3:$O$4986,15,FALSE))))</f>
        <v>1120</v>
      </c>
      <c r="T321" s="273">
        <f ca="1">IF(D321="","",IF(J321="リード付け",N321,IF(J321="巻返しリード付け",N321,IF(J321="巻足し",N321*P321+OFFSET(N321,1,0)*OFFSET(P321,1,0),VLOOKUP(D321,契約台帳!$A$3:$P$4986,16,FALSE)))))</f>
        <v>12000</v>
      </c>
      <c r="U321" s="40">
        <v>2</v>
      </c>
      <c r="V321" s="274">
        <f ca="1">IF(D321="","",IF(OFFSET(D321,-2,0)=D321,"",VLOOKUP(D321,契約台帳!$A$3:$R$4986,18,FALSE)))</f>
        <v>6</v>
      </c>
      <c r="W321" s="269" t="str">
        <f ca="1">IF(D321="","",IF(T321="","",IF(OR(J321="巻足し",J321="巻返しリード付け"),"",IF(J321="巻返し",VLOOKUP(F321&amp;K321&amp;M321,製品マスタ!$M$5:$AD$5002,18,FALSE),IF(OR(J321="リード付け",J321="巻返しリード付け"),"原反コア",IF(J321="スリット",VLOOKUP(F321&amp;K321&amp;R321,製品マスタ!$N$5:$AD$5002,17,FALSE),""))))))</f>
        <v/>
      </c>
      <c r="X321" s="269" t="str">
        <f ca="1">IF(D321="","",IF(T321="","",IF(J321="巻足し","",IF(J321="巻返し",VLOOKUP(F321&amp;K321&amp;M321,製品マスタ!$M$5:$AE$5002,19,FALSE),IF(OR(J321="リード付け",J321="巻返しリード付け"),"",IF(J321="スリット",VLOOKUP(F321&amp;K321&amp;R321,製品マスタ!$N$5:$AE$5002,18,FALSE),""))))))</f>
        <v/>
      </c>
      <c r="Y321" s="275">
        <f ca="1">IF(D321="","",IF(T321="","",VLOOKUP(D321,契約台帳!$A$3:$Q$4986,17,FALSE)))</f>
        <v>2</v>
      </c>
      <c r="Z321" s="269" t="str">
        <f ca="1">IF(D321="","",IF(T321="","",VLOOKUP(D321,契約台帳!$A$3:$E$4986,5,FALSE)))</f>
        <v>新タック化成㈱</v>
      </c>
      <c r="AA321" s="57"/>
      <c r="AB321" s="207" t="str">
        <f>IFERROR((VLOOKUP(F321&amp;K321&amp;M321,製品マスタ!$M$5:$AM$5002,27,FALSE)),"")</f>
        <v>原反ケース再利用</v>
      </c>
      <c r="AC321" s="33"/>
      <c r="AD321" s="189"/>
      <c r="AE321" s="54"/>
      <c r="AF321" s="55"/>
      <c r="AG321" s="43"/>
      <c r="AH321" s="47"/>
      <c r="AI321" s="30"/>
      <c r="AJ321" s="30"/>
      <c r="AK321" s="30"/>
      <c r="AL321" s="30"/>
      <c r="AM321" s="13"/>
      <c r="AN321" s="13"/>
      <c r="AO321" s="13"/>
      <c r="AP321" s="13"/>
      <c r="AQ321" s="13"/>
      <c r="AR321" s="14"/>
      <c r="AS321" s="15"/>
    </row>
    <row r="322" spans="1:45" s="17" customFormat="1" ht="30.95" hidden="1" customHeight="1" x14ac:dyDescent="0.2">
      <c r="A322" s="37"/>
      <c r="B322" s="38"/>
      <c r="C322" s="45"/>
      <c r="D322" s="31"/>
      <c r="E322" s="31"/>
      <c r="F322" s="268" t="str">
        <f>IF(D322="","",VLOOKUP(D322,契約台帳!$A$3:$K$4986,6,FALSE)&amp;VLOOKUP(D322,契約台帳!$A$3:$K$4986,7,FALSE)&amp;VLOOKUP(D322,契約台帳!$A$3:$K$4986,8,FALSE)&amp;VLOOKUP(D322,契約台帳!$A$3:$K$4986,9,FALSE)&amp;VLOOKUP(D322,契約台帳!$A$3:$K$4986,11,FALSE))</f>
        <v/>
      </c>
      <c r="G322" s="269" t="str">
        <f>IF(D322="","",VLOOKUP(F322,製品マスタ!$G$5:$H$5002,2,FALSE))</f>
        <v/>
      </c>
      <c r="H322" s="269" t="str">
        <f>IF(D322="","",VLOOKUP(F322,製品マスタ!$G$5:$K$5002,5,FALSE))</f>
        <v/>
      </c>
      <c r="I322" s="270" t="str">
        <f>IF(D322="","",VLOOKUP(F322,製品マスタ!$G$5:$L$5002,6,FALSE))</f>
        <v/>
      </c>
      <c r="J322" s="210"/>
      <c r="K322" s="270" t="str">
        <f>IF(D322="","",VLOOKUP(D322,契約台帳!$A$3:$L$4986,12,FALSE))</f>
        <v/>
      </c>
      <c r="L322" s="270" t="str">
        <f>IF(D322="","",INDEX(製品マスタ!$Q$5:$Q$5002,MATCH('S4'!F322&amp;'S4'!K322,製品マスタ!$AO$5:$AO$5002,0)))</f>
        <v/>
      </c>
      <c r="M322" s="39"/>
      <c r="N322" s="39"/>
      <c r="O322" s="156"/>
      <c r="P322" s="47"/>
      <c r="Q322" s="57"/>
      <c r="R322" s="271" t="str">
        <f ca="1">IF(D322="","",IF(OFFSET(D322,-1,0)&lt;&gt;"","",IF(OR(J322="リード付け",J322="巻足し",J322="巻返しリード付け"),M322,VLOOKUP(D322,契約台帳!$A$3:$N$4986,14,FALSE))))</f>
        <v/>
      </c>
      <c r="S322" s="272" t="str">
        <f ca="1">IF(D322="","",IF(OFFSET(D322,-1,0)&lt;&gt;"","",IF(OR(J322="リード付け",J322="巻足し",J322="巻返しリード付け"),M322,VLOOKUP(D322,契約台帳!$A$3:$O$4986,15,FALSE))))</f>
        <v/>
      </c>
      <c r="T322" s="273" t="str">
        <f ca="1">IF(D322="","",IF(J322="リード付け",N322,IF(J322="巻返しリード付け",N322,IF(J322="巻足し",N322*P322+OFFSET(N322,1,0)*OFFSET(P322,1,0),VLOOKUP(D322,契約台帳!$A$3:$P$4986,16,FALSE)))))</f>
        <v/>
      </c>
      <c r="U322" s="40"/>
      <c r="V322" s="274" t="str">
        <f ca="1">IF(D322="","",IF(OFFSET(D322,-2,0)=D322,"",VLOOKUP(D322,契約台帳!$A$3:$R$4986,18,FALSE)))</f>
        <v/>
      </c>
      <c r="W322" s="269" t="str">
        <f>IF(D322="","",IF(T322="","",IF(OR(J322="巻足し",J322="巻返しリード付け"),"",IF(J322="巻返し",VLOOKUP(F322&amp;K322&amp;M322,製品マスタ!$M$5:$AD$5002,18,FALSE),IF(OR(J322="リード付け",J322="巻返しリード付け"),"原反コア",IF(J322="スリット",VLOOKUP(F322&amp;K322&amp;R322,製品マスタ!$N$5:$AD$5002,17,FALSE),""))))))</f>
        <v/>
      </c>
      <c r="X322" s="269" t="str">
        <f>IF(D322="","",IF(T322="","",IF(J322="巻足し","",IF(J322="巻返し",VLOOKUP(F322&amp;K322&amp;M322,製品マスタ!$M$5:$AE$5002,19,FALSE),IF(OR(J322="リード付け",J322="巻返しリード付け"),"",IF(J322="スリット",VLOOKUP(F322&amp;K322&amp;R322,製品マスタ!$N$5:$AE$5002,18,FALSE),""))))))</f>
        <v/>
      </c>
      <c r="Y322" s="275" t="str">
        <f>IF(D322="","",IF(T322="","",VLOOKUP(D322,契約台帳!$A$3:$Q$4986,17,FALSE)))</f>
        <v/>
      </c>
      <c r="Z322" s="269" t="str">
        <f>IF(D322="","",IF(T322="","",VLOOKUP(D322,契約台帳!$A$3:$E$4986,5,FALSE)))</f>
        <v/>
      </c>
      <c r="AA322" s="57"/>
      <c r="AB322" s="207" t="str">
        <f>IFERROR((VLOOKUP(F322&amp;K322&amp;M322,製品マスタ!$M$5:$AM$5002,27,FALSE)),"")</f>
        <v/>
      </c>
      <c r="AC322" s="33"/>
      <c r="AD322" s="189"/>
      <c r="AE322" s="54"/>
      <c r="AF322" s="55"/>
      <c r="AG322" s="43"/>
      <c r="AH322" s="47"/>
      <c r="AI322" s="30"/>
      <c r="AJ322" s="30"/>
      <c r="AK322" s="30"/>
      <c r="AL322" s="30"/>
      <c r="AM322" s="13"/>
      <c r="AN322" s="13"/>
      <c r="AO322" s="13"/>
      <c r="AP322" s="13"/>
      <c r="AQ322" s="13"/>
      <c r="AR322" s="14"/>
      <c r="AS322" s="15"/>
    </row>
    <row r="323" spans="1:45" s="17" customFormat="1" ht="30.95" hidden="1" customHeight="1" x14ac:dyDescent="0.2">
      <c r="A323" s="37"/>
      <c r="B323" s="38"/>
      <c r="C323" s="45"/>
      <c r="D323" s="31">
        <v>3700952</v>
      </c>
      <c r="E323" s="31">
        <v>4161840</v>
      </c>
      <c r="F323" s="268" t="str">
        <f>IF(D323="","",VLOOKUP(D323,契約台帳!$A$3:$K$4986,6,FALSE)&amp;VLOOKUP(D323,契約台帳!$A$3:$K$4986,7,FALSE)&amp;VLOOKUP(D323,契約台帳!$A$3:$K$4986,8,FALSE)&amp;VLOOKUP(D323,契約台帳!$A$3:$K$4986,9,FALSE)&amp;VLOOKUP(D323,契約台帳!$A$3:$K$4986,11,FALSE))</f>
        <v>3SNMLBMNGKKBF</v>
      </c>
      <c r="G323" s="269" t="str">
        <f>IF(D323="","",VLOOKUP(F323,製品マスタ!$G$5:$H$5002,2,FALSE))</f>
        <v>S</v>
      </c>
      <c r="H323" s="269" t="str">
        <f>IF(D323="","",VLOOKUP(F323,製品マスタ!$G$5:$K$5002,5,FALSE))</f>
        <v>MNGKKBF</v>
      </c>
      <c r="I323" s="270" t="str">
        <f>IF(D323="","",VLOOKUP(F323,製品マスタ!$G$5:$L$5002,6,FALSE))</f>
        <v>メタルミー　ネーマー銀消改　Ｂ</v>
      </c>
      <c r="J323" s="210" t="s">
        <v>935</v>
      </c>
      <c r="K323" s="270">
        <f>IF(D323="","",VLOOKUP(D323,契約台帳!$A$3:$L$4986,12,FALSE))</f>
        <v>50</v>
      </c>
      <c r="L323" s="270" t="str">
        <f>IF(D323="","",INDEX(製品マスタ!$Q$5:$Q$5002,MATCH('S4'!F323&amp;'S4'!K323,製品マスタ!$AO$5:$AO$5002,0)))</f>
        <v>S99-MAT</v>
      </c>
      <c r="M323" s="39">
        <v>1120</v>
      </c>
      <c r="N323" s="39">
        <v>4000</v>
      </c>
      <c r="O323" s="156">
        <v>15</v>
      </c>
      <c r="P323" s="47">
        <v>3</v>
      </c>
      <c r="Q323" s="213">
        <v>44993</v>
      </c>
      <c r="R323" s="271">
        <f ca="1">IF(D323="","",IF(OFFSET(D323,-1,0)&lt;&gt;"","",IF(OR(J323="リード付け",J323="巻足し",J323="巻返しリード付け"),M323,VLOOKUP(D323,契約台帳!$A$3:$N$4986,14,FALSE))))</f>
        <v>1120</v>
      </c>
      <c r="S323" s="272">
        <f ca="1">IF(D323="","",IF(OFFSET(D323,-1,0)&lt;&gt;"","",IF(OR(J323="リード付け",J323="巻足し",J323="巻返しリード付け"),M323,VLOOKUP(D323,契約台帳!$A$3:$O$4986,15,FALSE))))</f>
        <v>1120</v>
      </c>
      <c r="T323" s="273">
        <f ca="1">IF(D323="","",IF(J323="リード付け",N323,IF(J323="巻返しリード付け",N323,IF(J323="巻足し",N323*P323+OFFSET(N323,1,0)*OFFSET(P323,1,0),VLOOKUP(D323,契約台帳!$A$3:$P$4986,16,FALSE)))))</f>
        <v>12000</v>
      </c>
      <c r="U323" s="40">
        <v>5</v>
      </c>
      <c r="V323" s="274">
        <f ca="1">IF(D323="","",IF(OFFSET(D323,-2,0)=D323,"",VLOOKUP(D323,契約台帳!$A$3:$R$4986,18,FALSE)))</f>
        <v>24</v>
      </c>
      <c r="W323" s="269" t="str">
        <f ca="1">IF(D323="","",IF(T323="","",IF(OR(J323="巻足し",J323="巻返しリード付け"),"",IF(J323="巻返し",VLOOKUP(F323&amp;K323&amp;M323,製品マスタ!$M$5:$AD$5002,18,FALSE),IF(OR(J323="リード付け",J323="巻返しリード付け"),"原反コア",IF(J323="スリット",VLOOKUP(F323&amp;K323&amp;R323,製品マスタ!$N$5:$AD$5002,17,FALSE),""))))))</f>
        <v/>
      </c>
      <c r="X323" s="269" t="str">
        <f ca="1">IF(D323="","",IF(T323="","",IF(J323="巻足し","",IF(J323="巻返し",VLOOKUP(F323&amp;K323&amp;M323,製品マスタ!$M$5:$AE$5002,19,FALSE),IF(OR(J323="リード付け",J323="巻返しリード付け"),"",IF(J323="スリット",VLOOKUP(F323&amp;K323&amp;R323,製品マスタ!$N$5:$AE$5002,18,FALSE),""))))))</f>
        <v/>
      </c>
      <c r="Y323" s="275">
        <f ca="1">IF(D323="","",IF(T323="","",VLOOKUP(D323,契約台帳!$A$3:$Q$4986,17,FALSE)))</f>
        <v>2</v>
      </c>
      <c r="Z323" s="269" t="str">
        <f ca="1">IF(D323="","",IF(T323="","",VLOOKUP(D323,契約台帳!$A$3:$E$4986,5,FALSE)))</f>
        <v>リンテック㈱</v>
      </c>
      <c r="AA323" s="57"/>
      <c r="AB323" s="207">
        <f>IFERROR((VLOOKUP(F323&amp;K323&amp;M323,製品マスタ!$M$5:$AM$5002,27,FALSE)),"")</f>
        <v>0</v>
      </c>
      <c r="AC323" s="33"/>
      <c r="AD323" s="189"/>
      <c r="AE323" s="54"/>
      <c r="AF323" s="55"/>
      <c r="AG323" s="43"/>
      <c r="AH323" s="47"/>
      <c r="AI323" s="30"/>
      <c r="AJ323" s="30"/>
      <c r="AK323" s="30"/>
      <c r="AL323" s="30"/>
      <c r="AM323" s="13"/>
      <c r="AN323" s="13"/>
      <c r="AO323" s="13"/>
      <c r="AP323" s="13"/>
      <c r="AQ323" s="13"/>
      <c r="AR323" s="14"/>
      <c r="AS323" s="15"/>
    </row>
    <row r="324" spans="1:45" s="17" customFormat="1" ht="30.95" hidden="1" customHeight="1" x14ac:dyDescent="0.2">
      <c r="A324" s="37"/>
      <c r="B324" s="38"/>
      <c r="C324" s="45"/>
      <c r="D324" s="31"/>
      <c r="E324" s="31"/>
      <c r="F324" s="268" t="str">
        <f>IF(D324="","",VLOOKUP(D324,契約台帳!$A$3:$K$4986,6,FALSE)&amp;VLOOKUP(D324,契約台帳!$A$3:$K$4986,7,FALSE)&amp;VLOOKUP(D324,契約台帳!$A$3:$K$4986,8,FALSE)&amp;VLOOKUP(D324,契約台帳!$A$3:$K$4986,9,FALSE)&amp;VLOOKUP(D324,契約台帳!$A$3:$K$4986,11,FALSE))</f>
        <v/>
      </c>
      <c r="G324" s="269" t="str">
        <f>IF(D324="","",VLOOKUP(F324,製品マスタ!$G$5:$H$5002,2,FALSE))</f>
        <v/>
      </c>
      <c r="H324" s="269" t="str">
        <f>IF(D324="","",VLOOKUP(F324,製品マスタ!$G$5:$K$5002,5,FALSE))</f>
        <v/>
      </c>
      <c r="I324" s="270" t="str">
        <f>IF(D324="","",VLOOKUP(F324,製品マスタ!$G$5:$L$5002,6,FALSE))</f>
        <v/>
      </c>
      <c r="J324" s="210"/>
      <c r="K324" s="270" t="str">
        <f>IF(D324="","",VLOOKUP(D324,契約台帳!$A$3:$L$4986,12,FALSE))</f>
        <v/>
      </c>
      <c r="L324" s="270" t="str">
        <f>IF(D324="","",INDEX(製品マスタ!$Q$5:$Q$5002,MATCH('S4'!F324&amp;'S4'!K324,製品マスタ!$AO$5:$AO$5002,0)))</f>
        <v/>
      </c>
      <c r="M324" s="39"/>
      <c r="N324" s="39"/>
      <c r="O324" s="156"/>
      <c r="P324" s="47"/>
      <c r="Q324" s="57"/>
      <c r="R324" s="271" t="str">
        <f ca="1">IF(D324="","",IF(OFFSET(D324,-1,0)&lt;&gt;"","",IF(OR(J324="リード付け",J324="巻足し",J324="巻返しリード付け"),M324,VLOOKUP(D324,契約台帳!$A$3:$N$4986,14,FALSE))))</f>
        <v/>
      </c>
      <c r="S324" s="272" t="str">
        <f ca="1">IF(D324="","",IF(OFFSET(D324,-1,0)&lt;&gt;"","",IF(OR(J324="リード付け",J324="巻足し",J324="巻返しリード付け"),M324,VLOOKUP(D324,契約台帳!$A$3:$O$4986,15,FALSE))))</f>
        <v/>
      </c>
      <c r="T324" s="273" t="str">
        <f ca="1">IF(D324="","",IF(J324="リード付け",N324,IF(J324="巻返しリード付け",N324,IF(J324="巻足し",N324*P324+OFFSET(N324,1,0)*OFFSET(P324,1,0),VLOOKUP(D324,契約台帳!$A$3:$P$4986,16,FALSE)))))</f>
        <v/>
      </c>
      <c r="U324" s="40"/>
      <c r="V324" s="274" t="str">
        <f ca="1">IF(D324="","",IF(OFFSET(D324,-2,0)=D324,"",VLOOKUP(D324,契約台帳!$A$3:$R$4986,18,FALSE)))</f>
        <v/>
      </c>
      <c r="W324" s="269" t="str">
        <f>IF(D324="","",IF(T324="","",IF(OR(J324="巻足し",J324="巻返しリード付け"),"",IF(J324="巻返し",VLOOKUP(F324&amp;K324&amp;M324,製品マスタ!$M$5:$AD$5002,18,FALSE),IF(OR(J324="リード付け",J324="巻返しリード付け"),"原反コア",IF(J324="スリット",VLOOKUP(F324&amp;K324&amp;R324,製品マスタ!$N$5:$AD$5002,17,FALSE),""))))))</f>
        <v/>
      </c>
      <c r="X324" s="269" t="str">
        <f>IF(D324="","",IF(T324="","",IF(J324="巻足し","",IF(J324="巻返し",VLOOKUP(F324&amp;K324&amp;M324,製品マスタ!$M$5:$AE$5002,19,FALSE),IF(OR(J324="リード付け",J324="巻返しリード付け"),"",IF(J324="スリット",VLOOKUP(F324&amp;K324&amp;R324,製品マスタ!$N$5:$AE$5002,18,FALSE),""))))))</f>
        <v/>
      </c>
      <c r="Y324" s="275" t="str">
        <f>IF(D324="","",IF(T324="","",VLOOKUP(D324,契約台帳!$A$3:$Q$4986,17,FALSE)))</f>
        <v/>
      </c>
      <c r="Z324" s="269" t="str">
        <f>IF(D324="","",IF(T324="","",VLOOKUP(D324,契約台帳!$A$3:$E$4986,5,FALSE)))</f>
        <v/>
      </c>
      <c r="AA324" s="57"/>
      <c r="AB324" s="207" t="str">
        <f>IFERROR((VLOOKUP(F324&amp;K324&amp;M324,製品マスタ!$M$5:$AM$5002,27,FALSE)),"")</f>
        <v/>
      </c>
      <c r="AC324" s="33"/>
      <c r="AD324" s="189"/>
      <c r="AE324" s="54"/>
      <c r="AF324" s="55"/>
      <c r="AG324" s="43"/>
      <c r="AH324" s="47"/>
      <c r="AI324" s="30"/>
      <c r="AJ324" s="30"/>
      <c r="AK324" s="30"/>
      <c r="AL324" s="30"/>
      <c r="AM324" s="13"/>
      <c r="AN324" s="13"/>
      <c r="AO324" s="13"/>
      <c r="AP324" s="13"/>
      <c r="AQ324" s="13"/>
      <c r="AR324" s="14"/>
      <c r="AS324" s="15"/>
    </row>
    <row r="325" spans="1:45" s="17" customFormat="1" ht="30.95" hidden="1" customHeight="1" x14ac:dyDescent="0.2">
      <c r="A325" s="37" t="s">
        <v>950</v>
      </c>
      <c r="B325" s="38" t="s">
        <v>939</v>
      </c>
      <c r="C325" s="45"/>
      <c r="D325" s="31">
        <v>3700952</v>
      </c>
      <c r="E325" s="31">
        <v>4161840</v>
      </c>
      <c r="F325" s="268" t="str">
        <f>IF(D325="","",VLOOKUP(D325,契約台帳!$A$3:$K$4986,6,FALSE)&amp;VLOOKUP(D325,契約台帳!$A$3:$K$4986,7,FALSE)&amp;VLOOKUP(D325,契約台帳!$A$3:$K$4986,8,FALSE)&amp;VLOOKUP(D325,契約台帳!$A$3:$K$4986,9,FALSE)&amp;VLOOKUP(D325,契約台帳!$A$3:$K$4986,11,FALSE))</f>
        <v>3SNMLBMNGKKBF</v>
      </c>
      <c r="G325" s="269" t="str">
        <f>IF(D325="","",VLOOKUP(F325,製品マスタ!$G$5:$H$5002,2,FALSE))</f>
        <v>S</v>
      </c>
      <c r="H325" s="269" t="str">
        <f>IF(D325="","",VLOOKUP(F325,製品マスタ!$G$5:$K$5002,5,FALSE))</f>
        <v>MNGKKBF</v>
      </c>
      <c r="I325" s="270" t="str">
        <f>IF(D325="","",VLOOKUP(F325,製品マスタ!$G$5:$L$5002,6,FALSE))</f>
        <v>メタルミー　ネーマー銀消改　Ｂ</v>
      </c>
      <c r="J325" s="210" t="s">
        <v>935</v>
      </c>
      <c r="K325" s="270">
        <f>IF(D325="","",VLOOKUP(D325,契約台帳!$A$3:$L$4986,12,FALSE))</f>
        <v>50</v>
      </c>
      <c r="L325" s="270" t="str">
        <f>IF(D325="","",INDEX(製品マスタ!$Q$5:$Q$5002,MATCH('S4'!F325&amp;'S4'!K325,製品マスタ!$AO$5:$AO$5002,0)))</f>
        <v>S99-MAT</v>
      </c>
      <c r="M325" s="39">
        <v>1120</v>
      </c>
      <c r="N325" s="39">
        <v>4000</v>
      </c>
      <c r="O325" s="156">
        <v>9</v>
      </c>
      <c r="P325" s="47">
        <v>3</v>
      </c>
      <c r="Q325" s="213">
        <v>44993</v>
      </c>
      <c r="R325" s="271">
        <f ca="1">IF(D325="","",IF(OFFSET(D325,-1,0)&lt;&gt;"","",IF(OR(J325="リード付け",J325="巻足し",J325="巻返しリード付け"),M325,VLOOKUP(D325,契約台帳!$A$3:$N$4986,14,FALSE))))</f>
        <v>1120</v>
      </c>
      <c r="S325" s="272">
        <f ca="1">IF(D325="","",IF(OFFSET(D325,-1,0)&lt;&gt;"","",IF(OR(J325="リード付け",J325="巻足し",J325="巻返しリード付け"),M325,VLOOKUP(D325,契約台帳!$A$3:$O$4986,15,FALSE))))</f>
        <v>1120</v>
      </c>
      <c r="T325" s="273">
        <f ca="1">IF(D325="","",IF(J325="リード付け",N325,IF(J325="巻返しリード付け",N325,IF(J325="巻足し",N325*P325+OFFSET(N325,1,0)*OFFSET(P325,1,0),VLOOKUP(D325,契約台帳!$A$3:$P$4986,16,FALSE)))))</f>
        <v>12000</v>
      </c>
      <c r="U325" s="40">
        <v>3</v>
      </c>
      <c r="V325" s="274" t="str">
        <f ca="1">IF(D325="","",IF(OFFSET(D325,-2,0)=D325,"",VLOOKUP(D325,契約台帳!$A$3:$R$4986,18,FALSE)))</f>
        <v/>
      </c>
      <c r="W325" s="269" t="str">
        <f ca="1">IF(D325="","",IF(T325="","",IF(OR(J325="巻足し",J325="巻返しリード付け"),"",IF(J325="巻返し",VLOOKUP(F325&amp;K325&amp;M325,製品マスタ!$M$5:$AD$5002,18,FALSE),IF(OR(J325="リード付け",J325="巻返しリード付け"),"原反コア",IF(J325="スリット",VLOOKUP(F325&amp;K325&amp;R325,製品マスタ!$N$5:$AD$5002,17,FALSE),""))))))</f>
        <v/>
      </c>
      <c r="X325" s="269" t="str">
        <f ca="1">IF(D325="","",IF(T325="","",IF(J325="巻足し","",IF(J325="巻返し",VLOOKUP(F325&amp;K325&amp;M325,製品マスタ!$M$5:$AE$5002,19,FALSE),IF(OR(J325="リード付け",J325="巻返しリード付け"),"",IF(J325="スリット",VLOOKUP(F325&amp;K325&amp;R325,製品マスタ!$N$5:$AE$5002,18,FALSE),""))))))</f>
        <v/>
      </c>
      <c r="Y325" s="275">
        <f ca="1">IF(D325="","",IF(T325="","",VLOOKUP(D325,契約台帳!$A$3:$Q$4986,17,FALSE)))</f>
        <v>2</v>
      </c>
      <c r="Z325" s="269" t="str">
        <f ca="1">IF(D325="","",IF(T325="","",VLOOKUP(D325,契約台帳!$A$3:$E$4986,5,FALSE)))</f>
        <v>リンテック㈱</v>
      </c>
      <c r="AA325" s="57"/>
      <c r="AB325" s="207">
        <f>IFERROR((VLOOKUP(F325&amp;K325&amp;M325,製品マスタ!$M$5:$AM$5002,27,FALSE)),"")</f>
        <v>0</v>
      </c>
      <c r="AC325" s="33"/>
      <c r="AD325" s="189"/>
      <c r="AE325" s="54"/>
      <c r="AF325" s="55"/>
      <c r="AG325" s="43"/>
      <c r="AH325" s="47"/>
      <c r="AI325" s="30"/>
      <c r="AJ325" s="30"/>
      <c r="AK325" s="30"/>
      <c r="AL325" s="30"/>
      <c r="AM325" s="13"/>
      <c r="AN325" s="13"/>
      <c r="AO325" s="13"/>
      <c r="AP325" s="13"/>
      <c r="AQ325" s="13"/>
      <c r="AR325" s="14"/>
      <c r="AS325" s="15"/>
    </row>
    <row r="326" spans="1:45" s="17" customFormat="1" ht="30.95" hidden="1" customHeight="1" x14ac:dyDescent="0.2">
      <c r="A326" s="37"/>
      <c r="B326" s="38"/>
      <c r="C326" s="45"/>
      <c r="D326" s="31"/>
      <c r="E326" s="31"/>
      <c r="F326" s="268" t="str">
        <f>IF(D326="","",VLOOKUP(D326,契約台帳!$A$3:$K$4986,6,FALSE)&amp;VLOOKUP(D326,契約台帳!$A$3:$K$4986,7,FALSE)&amp;VLOOKUP(D326,契約台帳!$A$3:$K$4986,8,FALSE)&amp;VLOOKUP(D326,契約台帳!$A$3:$K$4986,9,FALSE)&amp;VLOOKUP(D326,契約台帳!$A$3:$K$4986,11,FALSE))</f>
        <v/>
      </c>
      <c r="G326" s="269" t="str">
        <f>IF(D326="","",VLOOKUP(F326,製品マスタ!$G$5:$H$5002,2,FALSE))</f>
        <v/>
      </c>
      <c r="H326" s="269" t="str">
        <f>IF(D326="","",VLOOKUP(F326,製品マスタ!$G$5:$K$5002,5,FALSE))</f>
        <v/>
      </c>
      <c r="I326" s="270" t="str">
        <f>IF(D326="","",VLOOKUP(F326,製品マスタ!$G$5:$L$5002,6,FALSE))</f>
        <v/>
      </c>
      <c r="J326" s="210"/>
      <c r="K326" s="270" t="str">
        <f>IF(D326="","",VLOOKUP(D326,契約台帳!$A$3:$L$4986,12,FALSE))</f>
        <v/>
      </c>
      <c r="L326" s="270" t="str">
        <f>IF(D326="","",INDEX(製品マスタ!$Q$5:$Q$5002,MATCH('S4'!F326&amp;'S4'!K326,製品マスタ!$AO$5:$AO$5002,0)))</f>
        <v/>
      </c>
      <c r="M326" s="39"/>
      <c r="N326" s="39"/>
      <c r="O326" s="156"/>
      <c r="P326" s="47"/>
      <c r="Q326" s="57"/>
      <c r="R326" s="271" t="str">
        <f ca="1">IF(D326="","",IF(OFFSET(D326,-1,0)&lt;&gt;"","",IF(OR(J326="リード付け",J326="巻足し",J326="巻返しリード付け"),M326,VLOOKUP(D326,契約台帳!$A$3:$N$4986,14,FALSE))))</f>
        <v/>
      </c>
      <c r="S326" s="272" t="str">
        <f ca="1">IF(D326="","",IF(OFFSET(D326,-1,0)&lt;&gt;"","",IF(OR(J326="リード付け",J326="巻足し",J326="巻返しリード付け"),M326,VLOOKUP(D326,契約台帳!$A$3:$O$4986,15,FALSE))))</f>
        <v/>
      </c>
      <c r="T326" s="273" t="str">
        <f ca="1">IF(D326="","",IF(J326="リード付け",N326,IF(J326="巻返しリード付け",N326,IF(J326="巻足し",N326*P326+OFFSET(N326,1,0)*OFFSET(P326,1,0),VLOOKUP(D326,契約台帳!$A$3:$P$4986,16,FALSE)))))</f>
        <v/>
      </c>
      <c r="U326" s="40"/>
      <c r="V326" s="274" t="str">
        <f ca="1">IF(D326="","",IF(OFFSET(D326,-2,0)=D326,"",VLOOKUP(D326,契約台帳!$A$3:$R$4986,18,FALSE)))</f>
        <v/>
      </c>
      <c r="W326" s="269" t="str">
        <f>IF(D326="","",IF(T326="","",IF(OR(J326="巻足し",J326="巻返しリード付け"),"",IF(J326="巻返し",VLOOKUP(F326&amp;K326&amp;M326,製品マスタ!$M$5:$AD$5002,18,FALSE),IF(OR(J326="リード付け",J326="巻返しリード付け"),"原反コア",IF(J326="スリット",VLOOKUP(F326&amp;K326&amp;R326,製品マスタ!$N$5:$AD$5002,17,FALSE),""))))))</f>
        <v/>
      </c>
      <c r="X326" s="269" t="str">
        <f>IF(D326="","",IF(T326="","",IF(J326="巻足し","",IF(J326="巻返し",VLOOKUP(F326&amp;K326&amp;M326,製品マスタ!$M$5:$AE$5002,19,FALSE),IF(OR(J326="リード付け",J326="巻返しリード付け"),"",IF(J326="スリット",VLOOKUP(F326&amp;K326&amp;R326,製品マスタ!$N$5:$AE$5002,18,FALSE),""))))))</f>
        <v/>
      </c>
      <c r="Y326" s="275" t="str">
        <f>IF(D326="","",IF(T326="","",VLOOKUP(D326,契約台帳!$A$3:$Q$4986,17,FALSE)))</f>
        <v/>
      </c>
      <c r="Z326" s="269" t="str">
        <f>IF(D326="","",IF(T326="","",VLOOKUP(D326,契約台帳!$A$3:$E$4986,5,FALSE)))</f>
        <v/>
      </c>
      <c r="AA326" s="57"/>
      <c r="AB326" s="207" t="str">
        <f>IFERROR((VLOOKUP(F326&amp;K326&amp;M326,製品マスタ!$M$5:$AM$5002,27,FALSE)),"")</f>
        <v/>
      </c>
      <c r="AC326" s="33"/>
      <c r="AD326" s="189"/>
      <c r="AE326" s="54"/>
      <c r="AF326" s="55"/>
      <c r="AG326" s="43"/>
      <c r="AH326" s="47"/>
      <c r="AI326" s="30"/>
      <c r="AJ326" s="30"/>
      <c r="AK326" s="30"/>
      <c r="AL326" s="30"/>
      <c r="AM326" s="13"/>
      <c r="AN326" s="13"/>
      <c r="AO326" s="13"/>
      <c r="AP326" s="13"/>
      <c r="AQ326" s="13"/>
      <c r="AR326" s="14"/>
      <c r="AS326" s="15"/>
    </row>
    <row r="327" spans="1:45" s="17" customFormat="1" ht="30.95" hidden="1" customHeight="1" x14ac:dyDescent="0.2">
      <c r="A327" s="37"/>
      <c r="B327" s="38"/>
      <c r="C327" s="45"/>
      <c r="D327" s="31">
        <v>3700963</v>
      </c>
      <c r="E327" s="31">
        <v>4161858</v>
      </c>
      <c r="F327" s="268" t="str">
        <f>IF(D327="","",VLOOKUP(D327,契約台帳!$A$3:$K$4986,6,FALSE)&amp;VLOOKUP(D327,契約台帳!$A$3:$K$4986,7,FALSE)&amp;VLOOKUP(D327,契約台帳!$A$3:$K$4986,8,FALSE)&amp;VLOOKUP(D327,契約台帳!$A$3:$K$4986,9,FALSE)&amp;VLOOKUP(D327,契約台帳!$A$3:$K$4986,11,FALSE))</f>
        <v>3SNMLBMNQR66F</v>
      </c>
      <c r="G327" s="269" t="str">
        <f>IF(D327="","",VLOOKUP(F327,製品マスタ!$G$5:$H$5002,2,FALSE))</f>
        <v>S</v>
      </c>
      <c r="H327" s="269" t="str">
        <f>IF(D327="","",VLOOKUP(F327,製品マスタ!$G$5:$K$5002,5,FALSE))</f>
        <v>MNQR66F</v>
      </c>
      <c r="I327" s="270" t="str">
        <f>IF(D327="","",VLOOKUP(F327,製品マスタ!$G$5:$L$5002,6,FALSE))</f>
        <v>ＱＲ６６蒸着品</v>
      </c>
      <c r="J327" s="210" t="s">
        <v>935</v>
      </c>
      <c r="K327" s="270">
        <f>IF(D327="","",VLOOKUP(D327,契約台帳!$A$3:$L$4986,12,FALSE))</f>
        <v>25</v>
      </c>
      <c r="L327" s="270" t="str">
        <f>IF(D327="","",INDEX(製品マスタ!$Q$5:$Q$5002,MATCH('S4'!F327&amp;'S4'!K327,製品マスタ!$AO$5:$AO$5002,0)))</f>
        <v>E315</v>
      </c>
      <c r="M327" s="39">
        <v>1100</v>
      </c>
      <c r="N327" s="39">
        <v>6000</v>
      </c>
      <c r="O327" s="156">
        <v>12</v>
      </c>
      <c r="P327" s="47">
        <v>4</v>
      </c>
      <c r="Q327" s="213">
        <v>44991</v>
      </c>
      <c r="R327" s="271">
        <f ca="1">IF(D327="","",IF(OFFSET(D327,-1,0)&lt;&gt;"","",IF(OR(J327="リード付け",J327="巻足し",J327="巻返しリード付け"),M327,VLOOKUP(D327,契約台帳!$A$3:$N$4986,14,FALSE))))</f>
        <v>1100</v>
      </c>
      <c r="S327" s="272">
        <f ca="1">IF(D327="","",IF(OFFSET(D327,-1,0)&lt;&gt;"","",IF(OR(J327="リード付け",J327="巻足し",J327="巻返しリード付け"),M327,VLOOKUP(D327,契約台帳!$A$3:$O$4986,15,FALSE))))</f>
        <v>1100</v>
      </c>
      <c r="T327" s="273">
        <f ca="1">IF(D327="","",IF(J327="リード付け",N327,IF(J327="巻返しリード付け",N327,IF(J327="巻足し",N327*P327+OFFSET(N327,1,0)*OFFSET(P327,1,0),VLOOKUP(D327,契約台帳!$A$3:$P$4986,16,FALSE)))))</f>
        <v>24000</v>
      </c>
      <c r="U327" s="40">
        <v>3</v>
      </c>
      <c r="V327" s="274">
        <f ca="1">IF(D327="","",IF(OFFSET(D327,-2,0)=D327,"",VLOOKUP(D327,契約台帳!$A$3:$R$4986,18,FALSE)))</f>
        <v>18</v>
      </c>
      <c r="W327" s="269" t="str">
        <f ca="1">IF(D327="","",IF(T327="","",IF(OR(J327="巻足し",J327="巻返しリード付け"),"",IF(J327="巻返し",VLOOKUP(F327&amp;K327&amp;M327,製品マスタ!$M$5:$AD$5002,18,FALSE),IF(OR(J327="リード付け",J327="巻返しリード付け"),"原反コア",IF(J327="スリット",VLOOKUP(F327&amp;K327&amp;R327,製品マスタ!$N$5:$AD$5002,17,FALSE),""))))))</f>
        <v/>
      </c>
      <c r="X327" s="269" t="str">
        <f ca="1">IF(D327="","",IF(T327="","",IF(J327="巻足し","",IF(J327="巻返し",VLOOKUP(F327&amp;K327&amp;M327,製品マスタ!$M$5:$AE$5002,19,FALSE),IF(OR(J327="リード付け",J327="巻返しリード付け"),"",IF(J327="スリット",VLOOKUP(F327&amp;K327&amp;R327,製品マスタ!$N$5:$AE$5002,18,FALSE),""))))))</f>
        <v/>
      </c>
      <c r="Y327" s="275">
        <f ca="1">IF(D327="","",IF(T327="","",VLOOKUP(D327,契約台帳!$A$3:$Q$4986,17,FALSE)))</f>
        <v>2</v>
      </c>
      <c r="Z327" s="269" t="str">
        <f ca="1">IF(D327="","",IF(T327="","",VLOOKUP(D327,契約台帳!$A$3:$E$4986,5,FALSE)))</f>
        <v>リンテック㈱</v>
      </c>
      <c r="AA327" s="57"/>
      <c r="AB327" s="207" t="str">
        <f>IFERROR((VLOOKUP(F327&amp;K327&amp;M327,製品マスタ!$M$5:$AM$5002,27,FALSE)),"")</f>
        <v>原反ケース再利用</v>
      </c>
      <c r="AC327" s="33"/>
      <c r="AD327" s="189"/>
      <c r="AE327" s="54"/>
      <c r="AF327" s="55"/>
      <c r="AG327" s="43"/>
      <c r="AH327" s="47"/>
      <c r="AI327" s="30"/>
      <c r="AJ327" s="30"/>
      <c r="AK327" s="30"/>
      <c r="AL327" s="30"/>
      <c r="AM327" s="13"/>
      <c r="AN327" s="13"/>
      <c r="AO327" s="13"/>
      <c r="AP327" s="13"/>
      <c r="AQ327" s="13"/>
      <c r="AR327" s="14"/>
      <c r="AS327" s="15"/>
    </row>
    <row r="328" spans="1:45" s="17" customFormat="1" ht="30.95" hidden="1" customHeight="1" x14ac:dyDescent="0.2">
      <c r="A328" s="37"/>
      <c r="B328" s="38"/>
      <c r="C328" s="45"/>
      <c r="D328" s="31"/>
      <c r="E328" s="31"/>
      <c r="F328" s="268" t="str">
        <f>IF(D328="","",VLOOKUP(D328,契約台帳!$A$3:$K$4986,6,FALSE)&amp;VLOOKUP(D328,契約台帳!$A$3:$K$4986,7,FALSE)&amp;VLOOKUP(D328,契約台帳!$A$3:$K$4986,8,FALSE)&amp;VLOOKUP(D328,契約台帳!$A$3:$K$4986,9,FALSE)&amp;VLOOKUP(D328,契約台帳!$A$3:$K$4986,11,FALSE))</f>
        <v/>
      </c>
      <c r="G328" s="269" t="str">
        <f>IF(D328="","",VLOOKUP(F328,製品マスタ!$G$5:$H$5002,2,FALSE))</f>
        <v/>
      </c>
      <c r="H328" s="269" t="str">
        <f>IF(D328="","",VLOOKUP(F328,製品マスタ!$G$5:$K$5002,5,FALSE))</f>
        <v/>
      </c>
      <c r="I328" s="270" t="str">
        <f>IF(D328="","",VLOOKUP(F328,製品マスタ!$G$5:$L$5002,6,FALSE))</f>
        <v/>
      </c>
      <c r="J328" s="210"/>
      <c r="K328" s="270" t="str">
        <f>IF(D328="","",VLOOKUP(D328,契約台帳!$A$3:$L$4986,12,FALSE))</f>
        <v/>
      </c>
      <c r="L328" s="270" t="str">
        <f>IF(D328="","",INDEX(製品マスタ!$Q$5:$Q$5002,MATCH('S4'!F328&amp;'S4'!K328,製品マスタ!$AO$5:$AO$5002,0)))</f>
        <v/>
      </c>
      <c r="M328" s="39"/>
      <c r="N328" s="39"/>
      <c r="O328" s="156"/>
      <c r="P328" s="47"/>
      <c r="Q328" s="57"/>
      <c r="R328" s="271" t="str">
        <f ca="1">IF(D328="","",IF(OFFSET(D328,-1,0)&lt;&gt;"","",IF(OR(J328="リード付け",J328="巻足し",J328="巻返しリード付け"),M328,VLOOKUP(D328,契約台帳!$A$3:$N$4986,14,FALSE))))</f>
        <v/>
      </c>
      <c r="S328" s="272" t="str">
        <f ca="1">IF(D328="","",IF(OFFSET(D328,-1,0)&lt;&gt;"","",IF(OR(J328="リード付け",J328="巻足し",J328="巻返しリード付け"),M328,VLOOKUP(D328,契約台帳!$A$3:$O$4986,15,FALSE))))</f>
        <v/>
      </c>
      <c r="T328" s="273" t="str">
        <f ca="1">IF(D328="","",IF(J328="リード付け",N328,IF(J328="巻返しリード付け",N328,IF(J328="巻足し",N328*P328+OFFSET(N328,1,0)*OFFSET(P328,1,0),VLOOKUP(D328,契約台帳!$A$3:$P$4986,16,FALSE)))))</f>
        <v/>
      </c>
      <c r="U328" s="40"/>
      <c r="V328" s="274" t="str">
        <f ca="1">IF(D328="","",IF(OFFSET(D328,-2,0)=D328,"",VLOOKUP(D328,契約台帳!$A$3:$R$4986,18,FALSE)))</f>
        <v/>
      </c>
      <c r="W328" s="269" t="str">
        <f>IF(D328="","",IF(T328="","",IF(OR(J328="巻足し",J328="巻返しリード付け"),"",IF(J328="巻返し",VLOOKUP(F328&amp;K328&amp;M328,製品マスタ!$M$5:$AD$5002,18,FALSE),IF(OR(J328="リード付け",J328="巻返しリード付け"),"原反コア",IF(J328="スリット",VLOOKUP(F328&amp;K328&amp;R328,製品マスタ!$N$5:$AD$5002,17,FALSE),""))))))</f>
        <v/>
      </c>
      <c r="X328" s="269" t="str">
        <f>IF(D328="","",IF(T328="","",IF(J328="巻足し","",IF(J328="巻返し",VLOOKUP(F328&amp;K328&amp;M328,製品マスタ!$M$5:$AE$5002,19,FALSE),IF(OR(J328="リード付け",J328="巻返しリード付け"),"",IF(J328="スリット",VLOOKUP(F328&amp;K328&amp;R328,製品マスタ!$N$5:$AE$5002,18,FALSE),""))))))</f>
        <v/>
      </c>
      <c r="Y328" s="275" t="str">
        <f>IF(D328="","",IF(T328="","",VLOOKUP(D328,契約台帳!$A$3:$Q$4986,17,FALSE)))</f>
        <v/>
      </c>
      <c r="Z328" s="269" t="str">
        <f>IF(D328="","",IF(T328="","",VLOOKUP(D328,契約台帳!$A$3:$E$4986,5,FALSE)))</f>
        <v/>
      </c>
      <c r="AA328" s="57"/>
      <c r="AB328" s="207" t="str">
        <f>IFERROR((VLOOKUP(F328&amp;K328&amp;M328,製品マスタ!$M$5:$AM$5002,27,FALSE)),"")</f>
        <v/>
      </c>
      <c r="AC328" s="33"/>
      <c r="AD328" s="189"/>
      <c r="AE328" s="54"/>
      <c r="AF328" s="55"/>
      <c r="AG328" s="43"/>
      <c r="AH328" s="47"/>
      <c r="AI328" s="30"/>
      <c r="AJ328" s="30"/>
      <c r="AK328" s="30"/>
      <c r="AL328" s="30"/>
      <c r="AM328" s="13"/>
      <c r="AN328" s="13"/>
      <c r="AO328" s="13"/>
      <c r="AP328" s="13"/>
      <c r="AQ328" s="13"/>
      <c r="AR328" s="14"/>
      <c r="AS328" s="15"/>
    </row>
    <row r="329" spans="1:45" s="17" customFormat="1" ht="30.95" hidden="1" customHeight="1" x14ac:dyDescent="0.2">
      <c r="A329" s="37" t="s">
        <v>951</v>
      </c>
      <c r="B329" s="38" t="s">
        <v>941</v>
      </c>
      <c r="C329" s="45"/>
      <c r="D329" s="31">
        <v>3700963</v>
      </c>
      <c r="E329" s="31">
        <v>4161858</v>
      </c>
      <c r="F329" s="268" t="str">
        <f>IF(D329="","",VLOOKUP(D329,契約台帳!$A$3:$K$4986,6,FALSE)&amp;VLOOKUP(D329,契約台帳!$A$3:$K$4986,7,FALSE)&amp;VLOOKUP(D329,契約台帳!$A$3:$K$4986,8,FALSE)&amp;VLOOKUP(D329,契約台帳!$A$3:$K$4986,9,FALSE)&amp;VLOOKUP(D329,契約台帳!$A$3:$K$4986,11,FALSE))</f>
        <v>3SNMLBMNQR66F</v>
      </c>
      <c r="G329" s="269" t="str">
        <f>IF(D329="","",VLOOKUP(F329,製品マスタ!$G$5:$H$5002,2,FALSE))</f>
        <v>S</v>
      </c>
      <c r="H329" s="269" t="str">
        <f>IF(D329="","",VLOOKUP(F329,製品マスタ!$G$5:$K$5002,5,FALSE))</f>
        <v>MNQR66F</v>
      </c>
      <c r="I329" s="270" t="str">
        <f>IF(D329="","",VLOOKUP(F329,製品マスタ!$G$5:$L$5002,6,FALSE))</f>
        <v>ＱＲ６６蒸着品</v>
      </c>
      <c r="J329" s="210" t="s">
        <v>935</v>
      </c>
      <c r="K329" s="270">
        <f>IF(D329="","",VLOOKUP(D329,契約台帳!$A$3:$L$4986,12,FALSE))</f>
        <v>25</v>
      </c>
      <c r="L329" s="270" t="str">
        <f>IF(D329="","",INDEX(製品マスタ!$Q$5:$Q$5002,MATCH('S4'!F329&amp;'S4'!K329,製品マスタ!$AO$5:$AO$5002,0)))</f>
        <v>E315</v>
      </c>
      <c r="M329" s="39">
        <v>1100</v>
      </c>
      <c r="N329" s="39">
        <v>6000</v>
      </c>
      <c r="O329" s="156">
        <v>6</v>
      </c>
      <c r="P329" s="47">
        <v>3</v>
      </c>
      <c r="Q329" s="213">
        <v>44991</v>
      </c>
      <c r="R329" s="271">
        <f ca="1">IF(D329="","",IF(OFFSET(D329,-1,0)&lt;&gt;"","",IF(OR(J329="リード付け",J329="巻足し",J329="巻返しリード付け"),M329,VLOOKUP(D329,契約台帳!$A$3:$N$4986,14,FALSE))))</f>
        <v>1100</v>
      </c>
      <c r="S329" s="272">
        <f ca="1">IF(D329="","",IF(OFFSET(D329,-1,0)&lt;&gt;"","",IF(OR(J329="リード付け",J329="巻足し",J329="巻返しリード付け"),M329,VLOOKUP(D329,契約台帳!$A$3:$O$4986,15,FALSE))))</f>
        <v>1100</v>
      </c>
      <c r="T329" s="273">
        <f ca="1">IF(D329="","",IF(J329="リード付け",N329,IF(J329="巻返しリード付け",N329,IF(J329="巻足し",N329*P329+OFFSET(N329,1,0)*OFFSET(P329,1,0),VLOOKUP(D329,契約台帳!$A$3:$P$4986,16,FALSE)))))</f>
        <v>18000</v>
      </c>
      <c r="U329" s="40">
        <v>2</v>
      </c>
      <c r="V329" s="274" t="str">
        <f ca="1">IF(D329="","",IF(OFFSET(D329,-2,0)=D329,"",VLOOKUP(D329,契約台帳!$A$3:$R$4986,18,FALSE)))</f>
        <v/>
      </c>
      <c r="W329" s="269" t="str">
        <f ca="1">IF(D329="","",IF(T329="","",IF(OR(J329="巻足し",J329="巻返しリード付け"),"",IF(J329="巻返し",VLOOKUP(F329&amp;K329&amp;M329,製品マスタ!$M$5:$AD$5002,18,FALSE),IF(OR(J329="リード付け",J329="巻返しリード付け"),"原反コア",IF(J329="スリット",VLOOKUP(F329&amp;K329&amp;R329,製品マスタ!$N$5:$AD$5002,17,FALSE),""))))))</f>
        <v/>
      </c>
      <c r="X329" s="269" t="str">
        <f ca="1">IF(D329="","",IF(T329="","",IF(J329="巻足し","",IF(J329="巻返し",VLOOKUP(F329&amp;K329&amp;M329,製品マスタ!$M$5:$AE$5002,19,FALSE),IF(OR(J329="リード付け",J329="巻返しリード付け"),"",IF(J329="スリット",VLOOKUP(F329&amp;K329&amp;R329,製品マスタ!$N$5:$AE$5002,18,FALSE),""))))))</f>
        <v/>
      </c>
      <c r="Y329" s="275">
        <f ca="1">IF(D329="","",IF(T329="","",VLOOKUP(D329,契約台帳!$A$3:$Q$4986,17,FALSE)))</f>
        <v>2</v>
      </c>
      <c r="Z329" s="269" t="str">
        <f ca="1">IF(D329="","",IF(T329="","",VLOOKUP(D329,契約台帳!$A$3:$E$4986,5,FALSE)))</f>
        <v>リンテック㈱</v>
      </c>
      <c r="AA329" s="57"/>
      <c r="AB329" s="207" t="str">
        <f>IFERROR((VLOOKUP(F329&amp;K329&amp;M329,製品マスタ!$M$5:$AM$5002,27,FALSE)),"")</f>
        <v>原反ケース再利用</v>
      </c>
      <c r="AC329" s="33"/>
      <c r="AD329" s="189"/>
      <c r="AE329" s="54"/>
      <c r="AF329" s="55"/>
      <c r="AG329" s="43"/>
      <c r="AH329" s="47"/>
      <c r="AI329" s="30"/>
      <c r="AJ329" s="30"/>
      <c r="AK329" s="30"/>
      <c r="AL329" s="30"/>
      <c r="AM329" s="13"/>
      <c r="AN329" s="13"/>
      <c r="AO329" s="13"/>
      <c r="AP329" s="13"/>
      <c r="AQ329" s="13"/>
      <c r="AR329" s="14"/>
      <c r="AS329" s="15"/>
    </row>
    <row r="330" spans="1:45" s="17" customFormat="1" ht="30.95" hidden="1" customHeight="1" x14ac:dyDescent="0.2">
      <c r="A330" s="37"/>
      <c r="B330" s="38"/>
      <c r="C330" s="45"/>
      <c r="D330" s="31"/>
      <c r="E330" s="31"/>
      <c r="F330" s="268" t="str">
        <f>IF(D330="","",VLOOKUP(D330,契約台帳!$A$3:$K$4986,6,FALSE)&amp;VLOOKUP(D330,契約台帳!$A$3:$K$4986,7,FALSE)&amp;VLOOKUP(D330,契約台帳!$A$3:$K$4986,8,FALSE)&amp;VLOOKUP(D330,契約台帳!$A$3:$K$4986,9,FALSE)&amp;VLOOKUP(D330,契約台帳!$A$3:$K$4986,11,FALSE))</f>
        <v/>
      </c>
      <c r="G330" s="269" t="str">
        <f>IF(D330="","",VLOOKUP(F330,製品マスタ!$G$5:$H$5002,2,FALSE))</f>
        <v/>
      </c>
      <c r="H330" s="269" t="str">
        <f>IF(D330="","",VLOOKUP(F330,製品マスタ!$G$5:$K$5002,5,FALSE))</f>
        <v/>
      </c>
      <c r="I330" s="270" t="str">
        <f>IF(D330="","",VLOOKUP(F330,製品マスタ!$G$5:$L$5002,6,FALSE))</f>
        <v/>
      </c>
      <c r="J330" s="210"/>
      <c r="K330" s="270" t="str">
        <f>IF(D330="","",VLOOKUP(D330,契約台帳!$A$3:$L$4986,12,FALSE))</f>
        <v/>
      </c>
      <c r="L330" s="270" t="str">
        <f>IF(D330="","",INDEX(製品マスタ!$Q$5:$Q$5002,MATCH('S4'!F330&amp;'S4'!K330,製品マスタ!$AO$5:$AO$5002,0)))</f>
        <v/>
      </c>
      <c r="M330" s="39"/>
      <c r="N330" s="39"/>
      <c r="O330" s="156"/>
      <c r="P330" s="47"/>
      <c r="Q330" s="57"/>
      <c r="R330" s="271" t="str">
        <f ca="1">IF(D330="","",IF(OFFSET(D330,-1,0)&lt;&gt;"","",IF(OR(J330="リード付け",J330="巻足し",J330="巻返しリード付け"),M330,VLOOKUP(D330,契約台帳!$A$3:$N$4986,14,FALSE))))</f>
        <v/>
      </c>
      <c r="S330" s="272" t="str">
        <f ca="1">IF(D330="","",IF(OFFSET(D330,-1,0)&lt;&gt;"","",IF(OR(J330="リード付け",J330="巻足し",J330="巻返しリード付け"),M330,VLOOKUP(D330,契約台帳!$A$3:$O$4986,15,FALSE))))</f>
        <v/>
      </c>
      <c r="T330" s="273" t="str">
        <f ca="1">IF(D330="","",IF(J330="リード付け",N330,IF(J330="巻返しリード付け",N330,IF(J330="巻足し",N330*P330+OFFSET(N330,1,0)*OFFSET(P330,1,0),VLOOKUP(D330,契約台帳!$A$3:$P$4986,16,FALSE)))))</f>
        <v/>
      </c>
      <c r="U330" s="40"/>
      <c r="V330" s="274" t="str">
        <f ca="1">IF(D330="","",IF(OFFSET(D330,-2,0)=D330,"",VLOOKUP(D330,契約台帳!$A$3:$R$4986,18,FALSE)))</f>
        <v/>
      </c>
      <c r="W330" s="269" t="str">
        <f>IF(D330="","",IF(T330="","",IF(OR(J330="巻足し",J330="巻返しリード付け"),"",IF(J330="巻返し",VLOOKUP(F330&amp;K330&amp;M330,製品マスタ!$M$5:$AD$5002,18,FALSE),IF(OR(J330="リード付け",J330="巻返しリード付け"),"原反コア",IF(J330="スリット",VLOOKUP(F330&amp;K330&amp;R330,製品マスタ!$N$5:$AD$5002,17,FALSE),""))))))</f>
        <v/>
      </c>
      <c r="X330" s="269" t="str">
        <f>IF(D330="","",IF(T330="","",IF(J330="巻足し","",IF(J330="巻返し",VLOOKUP(F330&amp;K330&amp;M330,製品マスタ!$M$5:$AE$5002,19,FALSE),IF(OR(J330="リード付け",J330="巻返しリード付け"),"",IF(J330="スリット",VLOOKUP(F330&amp;K330&amp;R330,製品マスタ!$N$5:$AE$5002,18,FALSE),""))))))</f>
        <v/>
      </c>
      <c r="Y330" s="275" t="str">
        <f>IF(D330="","",IF(T330="","",VLOOKUP(D330,契約台帳!$A$3:$Q$4986,17,FALSE)))</f>
        <v/>
      </c>
      <c r="Z330" s="269" t="str">
        <f>IF(D330="","",IF(T330="","",VLOOKUP(D330,契約台帳!$A$3:$E$4986,5,FALSE)))</f>
        <v/>
      </c>
      <c r="AA330" s="57"/>
      <c r="AB330" s="207" t="str">
        <f>IFERROR((VLOOKUP(F330&amp;K330&amp;M330,製品マスタ!$M$5:$AM$5002,27,FALSE)),"")</f>
        <v/>
      </c>
      <c r="AC330" s="33"/>
      <c r="AD330" s="189"/>
      <c r="AE330" s="54"/>
      <c r="AF330" s="55"/>
      <c r="AG330" s="43"/>
      <c r="AH330" s="47"/>
      <c r="AI330" s="30"/>
      <c r="AJ330" s="30"/>
      <c r="AK330" s="30"/>
      <c r="AL330" s="30"/>
      <c r="AM330" s="13"/>
      <c r="AN330" s="13"/>
      <c r="AO330" s="13"/>
      <c r="AP330" s="13"/>
      <c r="AQ330" s="13"/>
      <c r="AR330" s="14"/>
      <c r="AS330" s="15"/>
    </row>
    <row r="331" spans="1:45" s="17" customFormat="1" ht="30.95" hidden="1" customHeight="1" x14ac:dyDescent="0.2">
      <c r="A331" s="37"/>
      <c r="B331" s="38"/>
      <c r="C331" s="45"/>
      <c r="D331" s="31">
        <v>3700953</v>
      </c>
      <c r="E331" s="31">
        <v>4161837</v>
      </c>
      <c r="F331" s="268" t="str">
        <f>IF(D331="","",VLOOKUP(D331,契約台帳!$A$3:$K$4986,6,FALSE)&amp;VLOOKUP(D331,契約台帳!$A$3:$K$4986,7,FALSE)&amp;VLOOKUP(D331,契約台帳!$A$3:$K$4986,8,FALSE)&amp;VLOOKUP(D331,契約台帳!$A$3:$K$4986,9,FALSE)&amp;VLOOKUP(D331,契約台帳!$A$3:$K$4986,11,FALSE))</f>
        <v>3SNMLBMNGKBF</v>
      </c>
      <c r="G331" s="269" t="str">
        <f>IF(D331="","",VLOOKUP(F331,製品マスタ!$G$5:$H$5002,2,FALSE))</f>
        <v>S</v>
      </c>
      <c r="H331" s="269" t="str">
        <f>IF(D331="","",VLOOKUP(F331,製品マスタ!$G$5:$K$5002,5,FALSE))</f>
        <v>MNGKBF</v>
      </c>
      <c r="I331" s="270" t="str">
        <f>IF(D331="","",VLOOKUP(F331,製品マスタ!$G$5:$L$5002,6,FALSE))</f>
        <v>メタルミー　ネーマー銀消　Ｂ</v>
      </c>
      <c r="J331" s="210" t="s">
        <v>935</v>
      </c>
      <c r="K331" s="270">
        <f>IF(D331="","",VLOOKUP(D331,契約台帳!$A$3:$L$4986,12,FALSE))</f>
        <v>50</v>
      </c>
      <c r="L331" s="270" t="str">
        <f>IF(D331="","",INDEX(製品マスタ!$Q$5:$Q$5002,MATCH('S4'!F331&amp;'S4'!K331,製品マスタ!$AO$5:$AO$5002,0)))</f>
        <v>MAT</v>
      </c>
      <c r="M331" s="39">
        <v>1050</v>
      </c>
      <c r="N331" s="39">
        <v>4100</v>
      </c>
      <c r="O331" s="156">
        <v>3</v>
      </c>
      <c r="P331" s="47">
        <v>3</v>
      </c>
      <c r="Q331" s="213">
        <v>44987</v>
      </c>
      <c r="R331" s="271">
        <f ca="1">IF(D331="","",IF(OFFSET(D331,-1,0)&lt;&gt;"","",IF(OR(J331="リード付け",J331="巻足し",J331="巻返しリード付け"),M331,VLOOKUP(D331,契約台帳!$A$3:$N$4986,14,FALSE))))</f>
        <v>1050</v>
      </c>
      <c r="S331" s="272">
        <f ca="1">IF(D331="","",IF(OFFSET(D331,-1,0)&lt;&gt;"","",IF(OR(J331="リード付け",J331="巻足し",J331="巻返しリード付け"),M331,VLOOKUP(D331,契約台帳!$A$3:$O$4986,15,FALSE))))</f>
        <v>1050</v>
      </c>
      <c r="T331" s="273">
        <f ca="1">IF(D331="","",IF(J331="リード付け",N331,IF(J331="巻返しリード付け",N331,IF(J331="巻足し",N331*P331+OFFSET(N331,1,0)*OFFSET(P331,1,0),VLOOKUP(D331,契約台帳!$A$3:$P$4986,16,FALSE)))))</f>
        <v>12300</v>
      </c>
      <c r="U331" s="40">
        <v>1</v>
      </c>
      <c r="V331" s="274">
        <f ca="1">IF(D331="","",IF(OFFSET(D331,-2,0)=D331,"",VLOOKUP(D331,契約台帳!$A$3:$R$4986,18,FALSE)))</f>
        <v>3</v>
      </c>
      <c r="W331" s="269" t="str">
        <f ca="1">IF(D331="","",IF(T331="","",IF(OR(J331="巻足し",J331="巻返しリード付け"),"",IF(J331="巻返し",VLOOKUP(F331&amp;K331&amp;M331,製品マスタ!$M$5:$AD$5002,18,FALSE),IF(OR(J331="リード付け",J331="巻返しリード付け"),"原反コア",IF(J331="スリット",VLOOKUP(F331&amp;K331&amp;R331,製品マスタ!$N$5:$AD$5002,17,FALSE),""))))))</f>
        <v/>
      </c>
      <c r="X331" s="269" t="str">
        <f ca="1">IF(D331="","",IF(T331="","",IF(J331="巻足し","",IF(J331="巻返し",VLOOKUP(F331&amp;K331&amp;M331,製品マスタ!$M$5:$AE$5002,19,FALSE),IF(OR(J331="リード付け",J331="巻返しリード付け"),"",IF(J331="スリット",VLOOKUP(F331&amp;K331&amp;R331,製品マスタ!$N$5:$AE$5002,18,FALSE),""))))))</f>
        <v/>
      </c>
      <c r="Y331" s="275">
        <f ca="1">IF(D331="","",IF(T331="","",VLOOKUP(D331,契約台帳!$A$3:$Q$4986,17,FALSE)))</f>
        <v>2</v>
      </c>
      <c r="Z331" s="269" t="str">
        <f ca="1">IF(D331="","",IF(T331="","",VLOOKUP(D331,契約台帳!$A$3:$E$4986,5,FALSE)))</f>
        <v>リンテック㈱</v>
      </c>
      <c r="AA331" s="57"/>
      <c r="AB331" s="207">
        <f>IFERROR((VLOOKUP(F331&amp;K331&amp;M331,製品マスタ!$M$5:$AM$5002,27,FALSE)),"")</f>
        <v>0</v>
      </c>
      <c r="AC331" s="33"/>
      <c r="AD331" s="189"/>
      <c r="AE331" s="54"/>
      <c r="AF331" s="55"/>
      <c r="AG331" s="43"/>
      <c r="AH331" s="47"/>
      <c r="AI331" s="30"/>
      <c r="AJ331" s="30"/>
      <c r="AK331" s="30"/>
      <c r="AL331" s="30"/>
      <c r="AM331" s="13"/>
      <c r="AN331" s="13"/>
      <c r="AO331" s="13"/>
      <c r="AP331" s="13"/>
      <c r="AQ331" s="13"/>
      <c r="AR331" s="14"/>
      <c r="AS331" s="15"/>
    </row>
    <row r="332" spans="1:45" s="17" customFormat="1" ht="30.95" hidden="1" customHeight="1" x14ac:dyDescent="0.2">
      <c r="A332" s="37"/>
      <c r="B332" s="38"/>
      <c r="C332" s="45"/>
      <c r="D332" s="31"/>
      <c r="E332" s="31"/>
      <c r="F332" s="268" t="str">
        <f>IF(D332="","",VLOOKUP(D332,契約台帳!$A$3:$K$4986,6,FALSE)&amp;VLOOKUP(D332,契約台帳!$A$3:$K$4986,7,FALSE)&amp;VLOOKUP(D332,契約台帳!$A$3:$K$4986,8,FALSE)&amp;VLOOKUP(D332,契約台帳!$A$3:$K$4986,9,FALSE)&amp;VLOOKUP(D332,契約台帳!$A$3:$K$4986,11,FALSE))</f>
        <v/>
      </c>
      <c r="G332" s="269" t="str">
        <f>IF(D332="","",VLOOKUP(F332,製品マスタ!$G$5:$H$5002,2,FALSE))</f>
        <v/>
      </c>
      <c r="H332" s="269" t="str">
        <f>IF(D332="","",VLOOKUP(F332,製品マスタ!$G$5:$K$5002,5,FALSE))</f>
        <v/>
      </c>
      <c r="I332" s="270" t="str">
        <f>IF(D332="","",VLOOKUP(F332,製品マスタ!$G$5:$L$5002,6,FALSE))</f>
        <v/>
      </c>
      <c r="J332" s="210"/>
      <c r="K332" s="270" t="str">
        <f>IF(D332="","",VLOOKUP(D332,契約台帳!$A$3:$L$4986,12,FALSE))</f>
        <v/>
      </c>
      <c r="L332" s="270" t="str">
        <f>IF(D332="","",INDEX(製品マスタ!$Q$5:$Q$5002,MATCH('S4'!F332&amp;'S4'!K332,製品マスタ!$AO$5:$AO$5002,0)))</f>
        <v/>
      </c>
      <c r="M332" s="39"/>
      <c r="N332" s="39"/>
      <c r="O332" s="156"/>
      <c r="P332" s="47"/>
      <c r="Q332" s="57"/>
      <c r="R332" s="271" t="str">
        <f ca="1">IF(D332="","",IF(OFFSET(D332,-1,0)&lt;&gt;"","",IF(OR(J332="リード付け",J332="巻足し",J332="巻返しリード付け"),M332,VLOOKUP(D332,契約台帳!$A$3:$N$4986,14,FALSE))))</f>
        <v/>
      </c>
      <c r="S332" s="272" t="str">
        <f ca="1">IF(D332="","",IF(OFFSET(D332,-1,0)&lt;&gt;"","",IF(OR(J332="リード付け",J332="巻足し",J332="巻返しリード付け"),M332,VLOOKUP(D332,契約台帳!$A$3:$O$4986,15,FALSE))))</f>
        <v/>
      </c>
      <c r="T332" s="273" t="str">
        <f ca="1">IF(D332="","",IF(J332="リード付け",N332,IF(J332="巻返しリード付け",N332,IF(J332="巻足し",N332*P332+OFFSET(N332,1,0)*OFFSET(P332,1,0),VLOOKUP(D332,契約台帳!$A$3:$P$4986,16,FALSE)))))</f>
        <v/>
      </c>
      <c r="U332" s="40"/>
      <c r="V332" s="274" t="str">
        <f ca="1">IF(D332="","",IF(OFFSET(D332,-2,0)=D332,"",VLOOKUP(D332,契約台帳!$A$3:$R$4986,18,FALSE)))</f>
        <v/>
      </c>
      <c r="W332" s="269" t="str">
        <f>IF(D332="","",IF(T332="","",IF(OR(J332="巻足し",J332="巻返しリード付け"),"",IF(J332="巻返し",VLOOKUP(F332&amp;K332&amp;M332,製品マスタ!$M$5:$AD$5002,18,FALSE),IF(OR(J332="リード付け",J332="巻返しリード付け"),"原反コア",IF(J332="スリット",VLOOKUP(F332&amp;K332&amp;R332,製品マスタ!$N$5:$AD$5002,17,FALSE),""))))))</f>
        <v/>
      </c>
      <c r="X332" s="269" t="str">
        <f>IF(D332="","",IF(T332="","",IF(J332="巻足し","",IF(J332="巻返し",VLOOKUP(F332&amp;K332&amp;M332,製品マスタ!$M$5:$AE$5002,19,FALSE),IF(OR(J332="リード付け",J332="巻返しリード付け"),"",IF(J332="スリット",VLOOKUP(F332&amp;K332&amp;R332,製品マスタ!$N$5:$AE$5002,18,FALSE),""))))))</f>
        <v/>
      </c>
      <c r="Y332" s="275" t="str">
        <f>IF(D332="","",IF(T332="","",VLOOKUP(D332,契約台帳!$A$3:$Q$4986,17,FALSE)))</f>
        <v/>
      </c>
      <c r="Z332" s="269" t="str">
        <f>IF(D332="","",IF(T332="","",VLOOKUP(D332,契約台帳!$A$3:$E$4986,5,FALSE)))</f>
        <v/>
      </c>
      <c r="AA332" s="57"/>
      <c r="AB332" s="207" t="str">
        <f>IFERROR((VLOOKUP(F332&amp;K332&amp;M332,製品マスタ!$M$5:$AM$5002,27,FALSE)),"")</f>
        <v/>
      </c>
      <c r="AC332" s="33"/>
      <c r="AD332" s="189"/>
      <c r="AE332" s="54"/>
      <c r="AF332" s="55"/>
      <c r="AG332" s="43"/>
      <c r="AH332" s="47"/>
      <c r="AI332" s="30"/>
      <c r="AJ332" s="30"/>
      <c r="AK332" s="30"/>
      <c r="AL332" s="30"/>
      <c r="AM332" s="13"/>
      <c r="AN332" s="13"/>
      <c r="AO332" s="13"/>
      <c r="AP332" s="13"/>
      <c r="AQ332" s="13"/>
      <c r="AR332" s="14"/>
      <c r="AS332" s="15"/>
    </row>
    <row r="333" spans="1:45" s="17" customFormat="1" ht="30.95" hidden="1" customHeight="1" x14ac:dyDescent="0.2">
      <c r="A333" s="37"/>
      <c r="B333" s="38"/>
      <c r="C333" s="45"/>
      <c r="D333" s="31">
        <v>3700961</v>
      </c>
      <c r="E333" s="31">
        <v>4161831</v>
      </c>
      <c r="F333" s="268" t="str">
        <f>IF(D333="","",VLOOKUP(D333,契約台帳!$A$3:$K$4986,6,FALSE)&amp;VLOOKUP(D333,契約台帳!$A$3:$K$4986,7,FALSE)&amp;VLOOKUP(D333,契約台帳!$A$3:$K$4986,8,FALSE)&amp;VLOOKUP(D333,契約台帳!$A$3:$K$4986,9,FALSE)&amp;VLOOKUP(D333,契約台帳!$A$3:$K$4986,11,FALSE))</f>
        <v>33SSNMCLBTEKKFV</v>
      </c>
      <c r="G333" s="269" t="str">
        <f>IF(D333="","",VLOOKUP(F333,製品マスタ!$G$5:$H$5002,2,FALSE))</f>
        <v>S</v>
      </c>
      <c r="H333" s="269" t="str">
        <f>IF(D333="","",VLOOKUP(F333,製品マスタ!$G$5:$K$5002,5,FALSE))</f>
        <v>TEKKFV</v>
      </c>
      <c r="I333" s="270" t="str">
        <f>IF(D333="","",VLOOKUP(F333,製品マスタ!$G$5:$L$5002,6,FALSE))</f>
        <v>メタルミー　ＴＥＳ消開封　Ｖ</v>
      </c>
      <c r="J333" s="210" t="s">
        <v>935</v>
      </c>
      <c r="K333" s="270">
        <f>IF(D333="","",VLOOKUP(D333,契約台帳!$A$3:$L$4986,12,FALSE))</f>
        <v>50</v>
      </c>
      <c r="L333" s="270" t="str">
        <f>IF(D333="","",INDEX(製品マスタ!$Q$5:$Q$5002,MATCH('S4'!F333&amp;'S4'!K333,製品マスタ!$AO$5:$AO$5002,0)))</f>
        <v>X44SEPA</v>
      </c>
      <c r="M333" s="39">
        <v>1005</v>
      </c>
      <c r="N333" s="39">
        <v>4000</v>
      </c>
      <c r="O333" s="156">
        <v>3</v>
      </c>
      <c r="P333" s="47">
        <v>3</v>
      </c>
      <c r="Q333" s="213">
        <v>44994</v>
      </c>
      <c r="R333" s="271">
        <f ca="1">IF(D333="","",IF(OFFSET(D333,-1,0)&lt;&gt;"","",IF(OR(J333="リード付け",J333="巻足し",J333="巻返しリード付け"),M333,VLOOKUP(D333,契約台帳!$A$3:$N$4986,14,FALSE))))</f>
        <v>1005</v>
      </c>
      <c r="S333" s="272">
        <f ca="1">IF(D333="","",IF(OFFSET(D333,-1,0)&lt;&gt;"","",IF(OR(J333="リード付け",J333="巻足し",J333="巻返しリード付け"),M333,VLOOKUP(D333,契約台帳!$A$3:$O$4986,15,FALSE))))</f>
        <v>1005</v>
      </c>
      <c r="T333" s="273">
        <f ca="1">IF(D333="","",IF(J333="リード付け",N333,IF(J333="巻返しリード付け",N333,IF(J333="巻足し",N333*P333+OFFSET(N333,1,0)*OFFSET(P333,1,0),VLOOKUP(D333,契約台帳!$A$3:$P$4986,16,FALSE)))))</f>
        <v>12000</v>
      </c>
      <c r="U333" s="40">
        <v>1</v>
      </c>
      <c r="V333" s="274">
        <f ca="1">IF(D333="","",IF(OFFSET(D333,-2,0)=D333,"",VLOOKUP(D333,契約台帳!$A$3:$R$4986,18,FALSE)))</f>
        <v>3</v>
      </c>
      <c r="W333" s="269" t="str">
        <f ca="1">IF(D333="","",IF(T333="","",IF(OR(J333="巻足し",J333="巻返しリード付け"),"",IF(J333="巻返し",VLOOKUP(F333&amp;K333&amp;M333,製品マスタ!$M$5:$AD$5002,18,FALSE),IF(OR(J333="リード付け",J333="巻返しリード付け"),"原反コア",IF(J333="スリット",VLOOKUP(F333&amp;K333&amp;R333,製品マスタ!$N$5:$AD$5002,17,FALSE),""))))))</f>
        <v/>
      </c>
      <c r="X333" s="269" t="str">
        <f ca="1">IF(D333="","",IF(T333="","",IF(J333="巻足し","",IF(J333="巻返し",VLOOKUP(F333&amp;K333&amp;M333,製品マスタ!$M$5:$AE$5002,19,FALSE),IF(OR(J333="リード付け",J333="巻返しリード付け"),"",IF(J333="スリット",VLOOKUP(F333&amp;K333&amp;R333,製品マスタ!$N$5:$AE$5002,18,FALSE),""))))))</f>
        <v/>
      </c>
      <c r="Y333" s="275">
        <f ca="1">IF(D333="","",IF(T333="","",VLOOKUP(D333,契約台帳!$A$3:$Q$4986,17,FALSE)))</f>
        <v>2</v>
      </c>
      <c r="Z333" s="269" t="str">
        <f ca="1">IF(D333="","",IF(T333="","",VLOOKUP(D333,契約台帳!$A$3:$E$4986,5,FALSE)))</f>
        <v>リンテック㈱</v>
      </c>
      <c r="AA333" s="57"/>
      <c r="AB333" s="207">
        <f>IFERROR((VLOOKUP(F333&amp;K333&amp;M333,製品マスタ!$M$5:$AM$5002,27,FALSE)),"")</f>
        <v>0</v>
      </c>
      <c r="AC333" s="33"/>
      <c r="AD333" s="189"/>
      <c r="AE333" s="54"/>
      <c r="AF333" s="55"/>
      <c r="AG333" s="43"/>
      <c r="AH333" s="47"/>
      <c r="AI333" s="30"/>
      <c r="AJ333" s="30"/>
      <c r="AK333" s="30"/>
      <c r="AL333" s="30"/>
      <c r="AM333" s="13"/>
      <c r="AN333" s="13"/>
      <c r="AO333" s="13"/>
      <c r="AP333" s="13"/>
      <c r="AQ333" s="13"/>
      <c r="AR333" s="14"/>
      <c r="AS333" s="15"/>
    </row>
    <row r="334" spans="1:45" s="17" customFormat="1" ht="30.95" hidden="1" customHeight="1" x14ac:dyDescent="0.2">
      <c r="A334" s="37"/>
      <c r="B334" s="38"/>
      <c r="C334" s="45"/>
      <c r="D334" s="31"/>
      <c r="E334" s="31"/>
      <c r="F334" s="268" t="str">
        <f>IF(D334="","",VLOOKUP(D334,契約台帳!$A$3:$K$4986,6,FALSE)&amp;VLOOKUP(D334,契約台帳!$A$3:$K$4986,7,FALSE)&amp;VLOOKUP(D334,契約台帳!$A$3:$K$4986,8,FALSE)&amp;VLOOKUP(D334,契約台帳!$A$3:$K$4986,9,FALSE)&amp;VLOOKUP(D334,契約台帳!$A$3:$K$4986,11,FALSE))</f>
        <v/>
      </c>
      <c r="G334" s="269" t="str">
        <f>IF(D334="","",VLOOKUP(F334,製品マスタ!$G$5:$H$5002,2,FALSE))</f>
        <v/>
      </c>
      <c r="H334" s="269" t="str">
        <f>IF(D334="","",VLOOKUP(F334,製品マスタ!$G$5:$K$5002,5,FALSE))</f>
        <v/>
      </c>
      <c r="I334" s="270" t="str">
        <f>IF(D334="","",VLOOKUP(F334,製品マスタ!$G$5:$L$5002,6,FALSE))</f>
        <v/>
      </c>
      <c r="J334" s="210"/>
      <c r="K334" s="270" t="str">
        <f>IF(D334="","",VLOOKUP(D334,契約台帳!$A$3:$L$4986,12,FALSE))</f>
        <v/>
      </c>
      <c r="L334" s="270" t="str">
        <f>IF(D334="","",INDEX(製品マスタ!$Q$5:$Q$5002,MATCH('S4'!F334&amp;'S4'!K334,製品マスタ!$AO$5:$AO$5002,0)))</f>
        <v/>
      </c>
      <c r="M334" s="39"/>
      <c r="N334" s="39"/>
      <c r="O334" s="156"/>
      <c r="P334" s="47"/>
      <c r="Q334" s="57"/>
      <c r="R334" s="271" t="str">
        <f ca="1">IF(D334="","",IF(OFFSET(D334,-1,0)&lt;&gt;"","",IF(OR(J334="リード付け",J334="巻足し",J334="巻返しリード付け"),M334,VLOOKUP(D334,契約台帳!$A$3:$N$4986,14,FALSE))))</f>
        <v/>
      </c>
      <c r="S334" s="272" t="str">
        <f ca="1">IF(D334="","",IF(OFFSET(D334,-1,0)&lt;&gt;"","",IF(OR(J334="リード付け",J334="巻足し",J334="巻返しリード付け"),M334,VLOOKUP(D334,契約台帳!$A$3:$O$4986,15,FALSE))))</f>
        <v/>
      </c>
      <c r="T334" s="273" t="str">
        <f ca="1">IF(D334="","",IF(J334="リード付け",N334,IF(J334="巻返しリード付け",N334,IF(J334="巻足し",N334*P334+OFFSET(N334,1,0)*OFFSET(P334,1,0),VLOOKUP(D334,契約台帳!$A$3:$P$4986,16,FALSE)))))</f>
        <v/>
      </c>
      <c r="U334" s="40"/>
      <c r="V334" s="274" t="str">
        <f ca="1">IF(D334="","",IF(OFFSET(D334,-2,0)=D334,"",VLOOKUP(D334,契約台帳!$A$3:$R$4986,18,FALSE)))</f>
        <v/>
      </c>
      <c r="W334" s="269" t="str">
        <f>IF(D334="","",IF(T334="","",IF(OR(J334="巻足し",J334="巻返しリード付け"),"",IF(J334="巻返し",VLOOKUP(F334&amp;K334&amp;M334,製品マスタ!$M$5:$AD$5002,18,FALSE),IF(OR(J334="リード付け",J334="巻返しリード付け"),"原反コア",IF(J334="スリット",VLOOKUP(F334&amp;K334&amp;R334,製品マスタ!$N$5:$AD$5002,17,FALSE),""))))))</f>
        <v/>
      </c>
      <c r="X334" s="269" t="str">
        <f>IF(D334="","",IF(T334="","",IF(J334="巻足し","",IF(J334="巻返し",VLOOKUP(F334&amp;K334&amp;M334,製品マスタ!$M$5:$AE$5002,19,FALSE),IF(OR(J334="リード付け",J334="巻返しリード付け"),"",IF(J334="スリット",VLOOKUP(F334&amp;K334&amp;R334,製品マスタ!$N$5:$AE$5002,18,FALSE),""))))))</f>
        <v/>
      </c>
      <c r="Y334" s="275" t="str">
        <f>IF(D334="","",IF(T334="","",VLOOKUP(D334,契約台帳!$A$3:$Q$4986,17,FALSE)))</f>
        <v/>
      </c>
      <c r="Z334" s="269" t="str">
        <f>IF(D334="","",IF(T334="","",VLOOKUP(D334,契約台帳!$A$3:$E$4986,5,FALSE)))</f>
        <v/>
      </c>
      <c r="AA334" s="57"/>
      <c r="AB334" s="207" t="str">
        <f>IFERROR((VLOOKUP(F334&amp;K334&amp;M334,製品マスタ!$M$5:$AM$5002,27,FALSE)),"")</f>
        <v/>
      </c>
      <c r="AC334" s="33"/>
      <c r="AD334" s="189"/>
      <c r="AE334" s="54"/>
      <c r="AF334" s="55"/>
      <c r="AG334" s="43"/>
      <c r="AH334" s="47"/>
      <c r="AI334" s="30"/>
      <c r="AJ334" s="30"/>
      <c r="AK334" s="30"/>
      <c r="AL334" s="30"/>
      <c r="AM334" s="13"/>
      <c r="AN334" s="13"/>
      <c r="AO334" s="13"/>
      <c r="AP334" s="13"/>
      <c r="AQ334" s="13"/>
      <c r="AR334" s="14"/>
      <c r="AS334" s="15"/>
    </row>
    <row r="335" spans="1:45" s="17" customFormat="1" ht="30.95" hidden="1" customHeight="1" x14ac:dyDescent="0.2">
      <c r="A335" s="37"/>
      <c r="B335" s="38"/>
      <c r="C335" s="45"/>
      <c r="D335" s="31">
        <v>3700962</v>
      </c>
      <c r="E335" s="31">
        <v>4161832</v>
      </c>
      <c r="F335" s="268" t="str">
        <f>IF(D335="","",VLOOKUP(D335,契約台帳!$A$3:$K$4986,6,FALSE)&amp;VLOOKUP(D335,契約台帳!$A$3:$K$4986,7,FALSE)&amp;VLOOKUP(D335,契約台帳!$A$3:$K$4986,8,FALSE)&amp;VLOOKUP(D335,契約台帳!$A$3:$K$4986,9,FALSE)&amp;VLOOKUP(D335,契約台帳!$A$3:$K$4986,11,FALSE))</f>
        <v>33SSNMCLBTEKV0V</v>
      </c>
      <c r="G335" s="269" t="str">
        <f>IF(D335="","",VLOOKUP(F335,製品マスタ!$G$5:$H$5002,2,FALSE))</f>
        <v>S</v>
      </c>
      <c r="H335" s="269" t="str">
        <f>IF(D335="","",VLOOKUP(F335,製品マスタ!$G$5:$K$5002,5,FALSE))</f>
        <v>TEKV0V</v>
      </c>
      <c r="I335" s="270" t="str">
        <f>IF(D335="","",VLOOKUP(F335,製品マスタ!$G$5:$L$5002,6,FALSE))</f>
        <v>メタルミー　ＴＥ－Ｓ消　ＶＯＩＤ　Ｖ</v>
      </c>
      <c r="J335" s="210" t="s">
        <v>935</v>
      </c>
      <c r="K335" s="270">
        <f>IF(D335="","",VLOOKUP(D335,契約台帳!$A$3:$L$4986,12,FALSE))</f>
        <v>50</v>
      </c>
      <c r="L335" s="270" t="str">
        <f>IF(D335="","",INDEX(製品マスタ!$Q$5:$Q$5002,MATCH('S4'!F335&amp;'S4'!K335,製品マスタ!$AO$5:$AO$5002,0)))</f>
        <v>X44SEPA</v>
      </c>
      <c r="M335" s="39">
        <v>1005</v>
      </c>
      <c r="N335" s="39">
        <v>4000</v>
      </c>
      <c r="O335" s="156">
        <v>3</v>
      </c>
      <c r="P335" s="47">
        <v>3</v>
      </c>
      <c r="Q335" s="213">
        <v>44994</v>
      </c>
      <c r="R335" s="271">
        <f ca="1">IF(D335="","",IF(OFFSET(D335,-1,0)&lt;&gt;"","",IF(OR(J335="リード付け",J335="巻足し",J335="巻返しリード付け"),M335,VLOOKUP(D335,契約台帳!$A$3:$N$4986,14,FALSE))))</f>
        <v>1005</v>
      </c>
      <c r="S335" s="272">
        <f ca="1">IF(D335="","",IF(OFFSET(D335,-1,0)&lt;&gt;"","",IF(OR(J335="リード付け",J335="巻足し",J335="巻返しリード付け"),M335,VLOOKUP(D335,契約台帳!$A$3:$O$4986,15,FALSE))))</f>
        <v>1005</v>
      </c>
      <c r="T335" s="273">
        <f ca="1">IF(D335="","",IF(J335="リード付け",N335,IF(J335="巻返しリード付け",N335,IF(J335="巻足し",N335*P335+OFFSET(N335,1,0)*OFFSET(P335,1,0),VLOOKUP(D335,契約台帳!$A$3:$P$4986,16,FALSE)))))</f>
        <v>12000</v>
      </c>
      <c r="U335" s="40">
        <v>1</v>
      </c>
      <c r="V335" s="274">
        <f ca="1">IF(D335="","",IF(OFFSET(D335,-2,0)=D335,"",VLOOKUP(D335,契約台帳!$A$3:$R$4986,18,FALSE)))</f>
        <v>3</v>
      </c>
      <c r="W335" s="269" t="str">
        <f ca="1">IF(D335="","",IF(T335="","",IF(OR(J335="巻足し",J335="巻返しリード付け"),"",IF(J335="巻返し",VLOOKUP(F335&amp;K335&amp;M335,製品マスタ!$M$5:$AD$5002,18,FALSE),IF(OR(J335="リード付け",J335="巻返しリード付け"),"原反コア",IF(J335="スリット",VLOOKUP(F335&amp;K335&amp;R335,製品マスタ!$N$5:$AD$5002,17,FALSE),""))))))</f>
        <v/>
      </c>
      <c r="X335" s="269" t="str">
        <f ca="1">IF(D335="","",IF(T335="","",IF(J335="巻足し","",IF(J335="巻返し",VLOOKUP(F335&amp;K335&amp;M335,製品マスタ!$M$5:$AE$5002,19,FALSE),IF(OR(J335="リード付け",J335="巻返しリード付け"),"",IF(J335="スリット",VLOOKUP(F335&amp;K335&amp;R335,製品マスタ!$N$5:$AE$5002,18,FALSE),""))))))</f>
        <v/>
      </c>
      <c r="Y335" s="275">
        <f ca="1">IF(D335="","",IF(T335="","",VLOOKUP(D335,契約台帳!$A$3:$Q$4986,17,FALSE)))</f>
        <v>2</v>
      </c>
      <c r="Z335" s="269" t="str">
        <f ca="1">IF(D335="","",IF(T335="","",VLOOKUP(D335,契約台帳!$A$3:$E$4986,5,FALSE)))</f>
        <v>リンテック㈱</v>
      </c>
      <c r="AA335" s="57"/>
      <c r="AB335" s="207">
        <f>IFERROR((VLOOKUP(F335&amp;K335&amp;M335,製品マスタ!$M$5:$AM$5002,27,FALSE)),"")</f>
        <v>0</v>
      </c>
      <c r="AC335" s="33"/>
      <c r="AD335" s="189"/>
      <c r="AE335" s="54"/>
      <c r="AF335" s="55"/>
      <c r="AG335" s="43"/>
      <c r="AH335" s="47"/>
      <c r="AI335" s="30"/>
      <c r="AJ335" s="30"/>
      <c r="AK335" s="30"/>
      <c r="AL335" s="30"/>
      <c r="AM335" s="13"/>
      <c r="AN335" s="13"/>
      <c r="AO335" s="13"/>
      <c r="AP335" s="13"/>
      <c r="AQ335" s="13"/>
      <c r="AR335" s="14"/>
      <c r="AS335" s="15"/>
    </row>
    <row r="336" spans="1:45" s="17" customFormat="1" ht="30.95" hidden="1" customHeight="1" x14ac:dyDescent="0.2">
      <c r="A336" s="37"/>
      <c r="B336" s="38"/>
      <c r="C336" s="45"/>
      <c r="D336" s="31"/>
      <c r="E336" s="31"/>
      <c r="F336" s="268" t="str">
        <f>IF(D336="","",VLOOKUP(D336,契約台帳!$A$3:$K$4986,6,FALSE)&amp;VLOOKUP(D336,契約台帳!$A$3:$K$4986,7,FALSE)&amp;VLOOKUP(D336,契約台帳!$A$3:$K$4986,8,FALSE)&amp;VLOOKUP(D336,契約台帳!$A$3:$K$4986,9,FALSE)&amp;VLOOKUP(D336,契約台帳!$A$3:$K$4986,11,FALSE))</f>
        <v/>
      </c>
      <c r="G336" s="269" t="str">
        <f>IF(D336="","",VLOOKUP(F336,製品マスタ!$G$5:$H$5002,2,FALSE))</f>
        <v/>
      </c>
      <c r="H336" s="269" t="str">
        <f>IF(D336="","",VLOOKUP(F336,製品マスタ!$G$5:$K$5002,5,FALSE))</f>
        <v/>
      </c>
      <c r="I336" s="270" t="str">
        <f>IF(D336="","",VLOOKUP(F336,製品マスタ!$G$5:$L$5002,6,FALSE))</f>
        <v/>
      </c>
      <c r="J336" s="210"/>
      <c r="K336" s="270" t="str">
        <f>IF(D336="","",VLOOKUP(D336,契約台帳!$A$3:$L$4986,12,FALSE))</f>
        <v/>
      </c>
      <c r="L336" s="270" t="str">
        <f>IF(D336="","",INDEX(製品マスタ!$Q$5:$Q$5002,MATCH('S4'!F336&amp;'S4'!K336,製品マスタ!$AO$5:$AO$5002,0)))</f>
        <v/>
      </c>
      <c r="M336" s="39"/>
      <c r="N336" s="39"/>
      <c r="O336" s="156"/>
      <c r="P336" s="47"/>
      <c r="Q336" s="57"/>
      <c r="R336" s="271" t="str">
        <f ca="1">IF(D336="","",IF(OFFSET(D336,-1,0)&lt;&gt;"","",IF(OR(J336="リード付け",J336="巻足し",J336="巻返しリード付け"),M336,VLOOKUP(D336,契約台帳!$A$3:$N$4986,14,FALSE))))</f>
        <v/>
      </c>
      <c r="S336" s="272" t="str">
        <f ca="1">IF(D336="","",IF(OFFSET(D336,-1,0)&lt;&gt;"","",IF(OR(J336="リード付け",J336="巻足し",J336="巻返しリード付け"),M336,VLOOKUP(D336,契約台帳!$A$3:$O$4986,15,FALSE))))</f>
        <v/>
      </c>
      <c r="T336" s="273" t="str">
        <f ca="1">IF(D336="","",IF(J336="リード付け",N336,IF(J336="巻返しリード付け",N336,IF(J336="巻足し",N336*P336+OFFSET(N336,1,0)*OFFSET(P336,1,0),VLOOKUP(D336,契約台帳!$A$3:$P$4986,16,FALSE)))))</f>
        <v/>
      </c>
      <c r="U336" s="40"/>
      <c r="V336" s="274" t="str">
        <f ca="1">IF(D336="","",IF(OFFSET(D336,-2,0)=D336,"",VLOOKUP(D336,契約台帳!$A$3:$R$4986,18,FALSE)))</f>
        <v/>
      </c>
      <c r="W336" s="269" t="str">
        <f>IF(D336="","",IF(T336="","",IF(OR(J336="巻足し",J336="巻返しリード付け"),"",IF(J336="巻返し",VLOOKUP(F336&amp;K336&amp;M336,製品マスタ!$M$5:$AD$5002,18,FALSE),IF(OR(J336="リード付け",J336="巻返しリード付け"),"原反コア",IF(J336="スリット",VLOOKUP(F336&amp;K336&amp;R336,製品マスタ!$N$5:$AD$5002,17,FALSE),""))))))</f>
        <v/>
      </c>
      <c r="X336" s="269" t="str">
        <f>IF(D336="","",IF(T336="","",IF(J336="巻足し","",IF(J336="巻返し",VLOOKUP(F336&amp;K336&amp;M336,製品マスタ!$M$5:$AE$5002,19,FALSE),IF(OR(J336="リード付け",J336="巻返しリード付け"),"",IF(J336="スリット",VLOOKUP(F336&amp;K336&amp;R336,製品マスタ!$N$5:$AE$5002,18,FALSE),""))))))</f>
        <v/>
      </c>
      <c r="Y336" s="275" t="str">
        <f>IF(D336="","",IF(T336="","",VLOOKUP(D336,契約台帳!$A$3:$Q$4986,17,FALSE)))</f>
        <v/>
      </c>
      <c r="Z336" s="269" t="str">
        <f>IF(D336="","",IF(T336="","",VLOOKUP(D336,契約台帳!$A$3:$E$4986,5,FALSE)))</f>
        <v/>
      </c>
      <c r="AA336" s="57"/>
      <c r="AB336" s="207" t="str">
        <f>IFERROR((VLOOKUP(F336&amp;K336&amp;M336,製品マスタ!$M$5:$AM$5002,27,FALSE)),"")</f>
        <v/>
      </c>
      <c r="AC336" s="33"/>
      <c r="AD336" s="189"/>
      <c r="AE336" s="54"/>
      <c r="AF336" s="55"/>
      <c r="AG336" s="43"/>
      <c r="AH336" s="47"/>
      <c r="AI336" s="30"/>
      <c r="AJ336" s="30"/>
      <c r="AK336" s="30"/>
      <c r="AL336" s="30"/>
      <c r="AM336" s="13"/>
      <c r="AN336" s="13"/>
      <c r="AO336" s="13"/>
      <c r="AP336" s="13"/>
      <c r="AQ336" s="13"/>
      <c r="AR336" s="14"/>
      <c r="AS336" s="15"/>
    </row>
    <row r="337" spans="1:45" s="17" customFormat="1" ht="30.95" hidden="1" customHeight="1" x14ac:dyDescent="0.2">
      <c r="A337" s="37"/>
      <c r="B337" s="38"/>
      <c r="C337" s="45"/>
      <c r="D337" s="31">
        <v>3700965</v>
      </c>
      <c r="E337" s="31">
        <v>4161835</v>
      </c>
      <c r="F337" s="268" t="str">
        <f>IF(D337="","",VLOOKUP(D337,契約台帳!$A$3:$K$4986,6,FALSE)&amp;VLOOKUP(D337,契約台帳!$A$3:$K$4986,7,FALSE)&amp;VLOOKUP(D337,契約台帳!$A$3:$K$4986,8,FALSE)&amp;VLOOKUP(D337,契約台帳!$A$3:$K$4986,9,FALSE)&amp;VLOOKUP(D337,契約台帳!$A$3:$K$4986,11,FALSE))</f>
        <v>3SNMCLBHLGTV</v>
      </c>
      <c r="G337" s="269" t="str">
        <f>IF(D337="","",VLOOKUP(F337,製品マスタ!$G$5:$H$5002,2,FALSE))</f>
        <v>S</v>
      </c>
      <c r="H337" s="269" t="str">
        <f>IF(D337="","",VLOOKUP(F337,製品マスタ!$G$5:$K$5002,5,FALSE))</f>
        <v>HLGTV</v>
      </c>
      <c r="I337" s="270" t="str">
        <f>IF(D337="","",VLOOKUP(F337,製品マスタ!$G$5:$L$5002,6,FALSE))</f>
        <v>メタルミー　ヘヤライン　銀艶Ｖ</v>
      </c>
      <c r="J337" s="210" t="s">
        <v>935</v>
      </c>
      <c r="K337" s="270">
        <f>IF(D337="","",VLOOKUP(D337,契約台帳!$A$3:$L$4986,12,FALSE))</f>
        <v>50</v>
      </c>
      <c r="L337" s="270" t="str">
        <f>IF(D337="","",INDEX(製品マスタ!$Q$5:$Q$5002,MATCH('S4'!F337&amp;'S4'!K337,製品マスタ!$AO$5:$AO$5002,0)))</f>
        <v>BRIGHT</v>
      </c>
      <c r="M337" s="39">
        <v>1005</v>
      </c>
      <c r="N337" s="39">
        <v>4100</v>
      </c>
      <c r="O337" s="156">
        <v>6</v>
      </c>
      <c r="P337" s="47">
        <v>3</v>
      </c>
      <c r="Q337" s="213">
        <v>44994</v>
      </c>
      <c r="R337" s="271">
        <f ca="1">IF(D337="","",IF(OFFSET(D337,-1,0)&lt;&gt;"","",IF(OR(J337="リード付け",J337="巻足し",J337="巻返しリード付け"),M337,VLOOKUP(D337,契約台帳!$A$3:$N$4986,14,FALSE))))</f>
        <v>1005</v>
      </c>
      <c r="S337" s="272">
        <f ca="1">IF(D337="","",IF(OFFSET(D337,-1,0)&lt;&gt;"","",IF(OR(J337="リード付け",J337="巻足し",J337="巻返しリード付け"),M337,VLOOKUP(D337,契約台帳!$A$3:$O$4986,15,FALSE))))</f>
        <v>1005</v>
      </c>
      <c r="T337" s="273">
        <f ca="1">IF(D337="","",IF(J337="リード付け",N337,IF(J337="巻返しリード付け",N337,IF(J337="巻足し",N337*P337+OFFSET(N337,1,0)*OFFSET(P337,1,0),VLOOKUP(D337,契約台帳!$A$3:$P$4986,16,FALSE)))))</f>
        <v>12300</v>
      </c>
      <c r="U337" s="40">
        <v>2</v>
      </c>
      <c r="V337" s="274">
        <f ca="1">IF(D337="","",IF(OFFSET(D337,-2,0)=D337,"",VLOOKUP(D337,契約台帳!$A$3:$R$4986,18,FALSE)))</f>
        <v>6</v>
      </c>
      <c r="W337" s="269" t="str">
        <f ca="1">IF(D337="","",IF(T337="","",IF(OR(J337="巻足し",J337="巻返しリード付け"),"",IF(J337="巻返し",VLOOKUP(F337&amp;K337&amp;M337,製品マスタ!$M$5:$AD$5002,18,FALSE),IF(OR(J337="リード付け",J337="巻返しリード付け"),"原反コア",IF(J337="スリット",VLOOKUP(F337&amp;K337&amp;R337,製品マスタ!$N$5:$AD$5002,17,FALSE),""))))))</f>
        <v/>
      </c>
      <c r="X337" s="269" t="str">
        <f ca="1">IF(D337="","",IF(T337="","",IF(J337="巻足し","",IF(J337="巻返し",VLOOKUP(F337&amp;K337&amp;M337,製品マスタ!$M$5:$AE$5002,19,FALSE),IF(OR(J337="リード付け",J337="巻返しリード付け"),"",IF(J337="スリット",VLOOKUP(F337&amp;K337&amp;R337,製品マスタ!$N$5:$AE$5002,18,FALSE),""))))))</f>
        <v/>
      </c>
      <c r="Y337" s="275">
        <f ca="1">IF(D337="","",IF(T337="","",VLOOKUP(D337,契約台帳!$A$3:$Q$4986,17,FALSE)))</f>
        <v>2</v>
      </c>
      <c r="Z337" s="269" t="str">
        <f ca="1">IF(D337="","",IF(T337="","",VLOOKUP(D337,契約台帳!$A$3:$E$4986,5,FALSE)))</f>
        <v>リンテック㈱</v>
      </c>
      <c r="AA337" s="57"/>
      <c r="AB337" s="207">
        <f>IFERROR((VLOOKUP(F337&amp;K337&amp;M337,製品マスタ!$M$5:$AM$5002,27,FALSE)),"")</f>
        <v>0</v>
      </c>
      <c r="AC337" s="33"/>
      <c r="AD337" s="189"/>
      <c r="AE337" s="54"/>
      <c r="AF337" s="55"/>
      <c r="AG337" s="43"/>
      <c r="AH337" s="47"/>
      <c r="AI337" s="30"/>
      <c r="AJ337" s="30"/>
      <c r="AK337" s="30"/>
      <c r="AL337" s="30"/>
      <c r="AM337" s="13"/>
      <c r="AN337" s="13"/>
      <c r="AO337" s="13"/>
      <c r="AP337" s="13"/>
      <c r="AQ337" s="13"/>
      <c r="AR337" s="14"/>
      <c r="AS337" s="15"/>
    </row>
    <row r="338" spans="1:45" s="17" customFormat="1" ht="30.95" hidden="1" customHeight="1" x14ac:dyDescent="0.2">
      <c r="A338" s="37"/>
      <c r="B338" s="38"/>
      <c r="C338" s="45"/>
      <c r="D338" s="31"/>
      <c r="E338" s="31"/>
      <c r="F338" s="268" t="str">
        <f>IF(D338="","",VLOOKUP(D338,契約台帳!$A$3:$K$4986,6,FALSE)&amp;VLOOKUP(D338,契約台帳!$A$3:$K$4986,7,FALSE)&amp;VLOOKUP(D338,契約台帳!$A$3:$K$4986,8,FALSE)&amp;VLOOKUP(D338,契約台帳!$A$3:$K$4986,9,FALSE)&amp;VLOOKUP(D338,契約台帳!$A$3:$K$4986,11,FALSE))</f>
        <v/>
      </c>
      <c r="G338" s="269" t="str">
        <f>IF(D338="","",VLOOKUP(F338,製品マスタ!$G$5:$H$5002,2,FALSE))</f>
        <v/>
      </c>
      <c r="H338" s="269" t="str">
        <f>IF(D338="","",VLOOKUP(F338,製品マスタ!$G$5:$K$5002,5,FALSE))</f>
        <v/>
      </c>
      <c r="I338" s="270" t="str">
        <f>IF(D338="","",VLOOKUP(F338,製品マスタ!$G$5:$L$5002,6,FALSE))</f>
        <v/>
      </c>
      <c r="J338" s="210"/>
      <c r="K338" s="270" t="str">
        <f>IF(D338="","",VLOOKUP(D338,契約台帳!$A$3:$L$4986,12,FALSE))</f>
        <v/>
      </c>
      <c r="L338" s="270" t="str">
        <f>IF(D338="","",INDEX(製品マスタ!$Q$5:$Q$5002,MATCH('S4'!F338&amp;'S4'!K338,製品マスタ!$AO$5:$AO$5002,0)))</f>
        <v/>
      </c>
      <c r="M338" s="39"/>
      <c r="N338" s="39"/>
      <c r="O338" s="156"/>
      <c r="P338" s="47"/>
      <c r="Q338" s="57"/>
      <c r="R338" s="271" t="str">
        <f ca="1">IF(D338="","",IF(OFFSET(D338,-1,0)&lt;&gt;"","",IF(OR(J338="リード付け",J338="巻足し",J338="巻返しリード付け"),M338,VLOOKUP(D338,契約台帳!$A$3:$N$4986,14,FALSE))))</f>
        <v/>
      </c>
      <c r="S338" s="272" t="str">
        <f ca="1">IF(D338="","",IF(OFFSET(D338,-1,0)&lt;&gt;"","",IF(OR(J338="リード付け",J338="巻足し",J338="巻返しリード付け"),M338,VLOOKUP(D338,契約台帳!$A$3:$O$4986,15,FALSE))))</f>
        <v/>
      </c>
      <c r="T338" s="273" t="str">
        <f ca="1">IF(D338="","",IF(J338="リード付け",N338,IF(J338="巻返しリード付け",N338,IF(J338="巻足し",N338*P338+OFFSET(N338,1,0)*OFFSET(P338,1,0),VLOOKUP(D338,契約台帳!$A$3:$P$4986,16,FALSE)))))</f>
        <v/>
      </c>
      <c r="U338" s="40"/>
      <c r="V338" s="274" t="str">
        <f ca="1">IF(D338="","",IF(OFFSET(D338,-2,0)=D338,"",VLOOKUP(D338,契約台帳!$A$3:$R$4986,18,FALSE)))</f>
        <v/>
      </c>
      <c r="W338" s="269" t="str">
        <f>IF(D338="","",IF(T338="","",IF(OR(J338="巻足し",J338="巻返しリード付け"),"",IF(J338="巻返し",VLOOKUP(F338&amp;K338&amp;M338,製品マスタ!$M$5:$AD$5002,18,FALSE),IF(OR(J338="リード付け",J338="巻返しリード付け"),"原反コア",IF(J338="スリット",VLOOKUP(F338&amp;K338&amp;R338,製品マスタ!$N$5:$AD$5002,17,FALSE),""))))))</f>
        <v/>
      </c>
      <c r="X338" s="269" t="str">
        <f>IF(D338="","",IF(T338="","",IF(J338="巻足し","",IF(J338="巻返し",VLOOKUP(F338&amp;K338&amp;M338,製品マスタ!$M$5:$AE$5002,19,FALSE),IF(OR(J338="リード付け",J338="巻返しリード付け"),"",IF(J338="スリット",VLOOKUP(F338&amp;K338&amp;R338,製品マスタ!$N$5:$AE$5002,18,FALSE),""))))))</f>
        <v/>
      </c>
      <c r="Y338" s="275" t="str">
        <f>IF(D338="","",IF(T338="","",VLOOKUP(D338,契約台帳!$A$3:$Q$4986,17,FALSE)))</f>
        <v/>
      </c>
      <c r="Z338" s="269" t="str">
        <f>IF(D338="","",IF(T338="","",VLOOKUP(D338,契約台帳!$A$3:$E$4986,5,FALSE)))</f>
        <v/>
      </c>
      <c r="AA338" s="57"/>
      <c r="AB338" s="207" t="str">
        <f>IFERROR((VLOOKUP(F338&amp;K338&amp;M338,製品マスタ!$M$5:$AM$5002,27,FALSE)),"")</f>
        <v/>
      </c>
      <c r="AC338" s="33"/>
      <c r="AD338" s="189"/>
      <c r="AE338" s="54"/>
      <c r="AF338" s="55"/>
      <c r="AG338" s="43"/>
      <c r="AH338" s="47"/>
      <c r="AI338" s="30"/>
      <c r="AJ338" s="30"/>
      <c r="AK338" s="30"/>
      <c r="AL338" s="30"/>
      <c r="AM338" s="13"/>
      <c r="AN338" s="13"/>
      <c r="AO338" s="13"/>
      <c r="AP338" s="13"/>
      <c r="AQ338" s="13"/>
      <c r="AR338" s="14"/>
      <c r="AS338" s="15"/>
    </row>
    <row r="339" spans="1:45" s="17" customFormat="1" ht="30.95" hidden="1" customHeight="1" x14ac:dyDescent="0.2">
      <c r="A339" s="37" t="s">
        <v>952</v>
      </c>
      <c r="B339" s="38" t="s">
        <v>943</v>
      </c>
      <c r="C339" s="45"/>
      <c r="D339" s="31"/>
      <c r="E339" s="31"/>
      <c r="F339" s="268" t="str">
        <f>IF(D339="","",VLOOKUP(D339,契約台帳!$A$3:$K$4986,6,FALSE)&amp;VLOOKUP(D339,契約台帳!$A$3:$K$4986,7,FALSE)&amp;VLOOKUP(D339,契約台帳!$A$3:$K$4986,8,FALSE)&amp;VLOOKUP(D339,契約台帳!$A$3:$K$4986,9,FALSE)&amp;VLOOKUP(D339,契約台帳!$A$3:$K$4986,11,FALSE))</f>
        <v/>
      </c>
      <c r="G339" s="269" t="str">
        <f>IF(D339="","",VLOOKUP(F339,製品マスタ!$G$5:$H$5002,2,FALSE))</f>
        <v/>
      </c>
      <c r="H339" s="269" t="str">
        <f>IF(D339="","",VLOOKUP(F339,製品マスタ!$G$5:$K$5002,5,FALSE))</f>
        <v/>
      </c>
      <c r="I339" s="270" t="str">
        <f>IF(D339="","",VLOOKUP(F339,製品マスタ!$G$5:$L$5002,6,FALSE))</f>
        <v/>
      </c>
      <c r="J339" s="210" t="s">
        <v>448</v>
      </c>
      <c r="K339" s="270" t="str">
        <f>IF(D339="","",VLOOKUP(D339,契約台帳!$A$3:$L$4986,12,FALSE))</f>
        <v/>
      </c>
      <c r="L339" s="270" t="str">
        <f>IF(D339="","",INDEX(製品マスタ!$Q$5:$Q$5002,MATCH('S4'!F339&amp;'S4'!K339,製品マスタ!$AO$5:$AO$5002,0)))</f>
        <v/>
      </c>
      <c r="M339" s="39"/>
      <c r="N339" s="39"/>
      <c r="O339" s="156"/>
      <c r="P339" s="47"/>
      <c r="Q339" s="57"/>
      <c r="R339" s="271" t="str">
        <f ca="1">IF(D339="","",IF(OFFSET(D339,-1,0)&lt;&gt;"","",IF(OR(J339="リード付け",J339="巻足し",J339="巻返しリード付け"),M339,VLOOKUP(D339,契約台帳!$A$3:$N$4986,14,FALSE))))</f>
        <v/>
      </c>
      <c r="S339" s="272" t="str">
        <f ca="1">IF(D339="","",IF(OFFSET(D339,-1,0)&lt;&gt;"","",IF(OR(J339="リード付け",J339="巻足し",J339="巻返しリード付け"),M339,VLOOKUP(D339,契約台帳!$A$3:$O$4986,15,FALSE))))</f>
        <v/>
      </c>
      <c r="T339" s="273" t="str">
        <f ca="1">IF(D339="","",IF(J339="リード付け",N339,IF(J339="巻返しリード付け",N339,IF(J339="巻足し",N339*P339+OFFSET(N339,1,0)*OFFSET(P339,1,0),VLOOKUP(D339,契約台帳!$A$3:$P$4986,16,FALSE)))))</f>
        <v/>
      </c>
      <c r="U339" s="40"/>
      <c r="V339" s="274" t="str">
        <f ca="1">IF(D339="","",IF(OFFSET(D339,-2,0)=D339,"",VLOOKUP(D339,契約台帳!$A$3:$R$4986,18,FALSE)))</f>
        <v/>
      </c>
      <c r="W339" s="269" t="str">
        <f>IF(D339="","",IF(T339="","",IF(OR(J339="巻足し",J339="巻返しリード付け"),"",IF(J339="巻返し",VLOOKUP(F339&amp;K339&amp;M339,製品マスタ!$M$5:$AD$5002,18,FALSE),IF(OR(J339="リード付け",J339="巻返しリード付け"),"原反コア",IF(J339="スリット",VLOOKUP(F339&amp;K339&amp;R339,製品マスタ!$N$5:$AD$5002,17,FALSE),""))))))</f>
        <v/>
      </c>
      <c r="X339" s="269" t="str">
        <f>IF(D339="","",IF(T339="","",IF(J339="巻足し","",IF(J339="巻返し",VLOOKUP(F339&amp;K339&amp;M339,製品マスタ!$M$5:$AE$5002,19,FALSE),IF(OR(J339="リード付け",J339="巻返しリード付け"),"",IF(J339="スリット",VLOOKUP(F339&amp;K339&amp;R339,製品マスタ!$N$5:$AE$5002,18,FALSE),""))))))</f>
        <v/>
      </c>
      <c r="Y339" s="275" t="str">
        <f>IF(D339="","",IF(T339="","",VLOOKUP(D339,契約台帳!$A$3:$Q$4986,17,FALSE)))</f>
        <v/>
      </c>
      <c r="Z339" s="269" t="str">
        <f>IF(D339="","",IF(T339="","",VLOOKUP(D339,契約台帳!$A$3:$E$4986,5,FALSE)))</f>
        <v/>
      </c>
      <c r="AA339" s="57"/>
      <c r="AB339" s="207" t="str">
        <f>IFERROR((VLOOKUP(F339&amp;K339&amp;M339,製品マスタ!$M$5:$AM$5002,27,FALSE)),"")</f>
        <v/>
      </c>
      <c r="AC339" s="33"/>
      <c r="AD339" s="189"/>
      <c r="AE339" s="54"/>
      <c r="AF339" s="55"/>
      <c r="AG339" s="43"/>
      <c r="AH339" s="47"/>
      <c r="AI339" s="30"/>
      <c r="AJ339" s="30"/>
      <c r="AK339" s="30"/>
      <c r="AL339" s="30"/>
      <c r="AM339" s="13"/>
      <c r="AN339" s="13"/>
      <c r="AO339" s="13"/>
      <c r="AP339" s="13"/>
      <c r="AQ339" s="13"/>
      <c r="AR339" s="14"/>
      <c r="AS339" s="15"/>
    </row>
    <row r="340" spans="1:45" s="17" customFormat="1" ht="30.95" hidden="1" customHeight="1" x14ac:dyDescent="0.2">
      <c r="A340" s="37"/>
      <c r="B340" s="38"/>
      <c r="C340" s="45"/>
      <c r="D340" s="31"/>
      <c r="E340" s="31"/>
      <c r="F340" s="268" t="str">
        <f>IF(D340="","",VLOOKUP(D340,契約台帳!$A$3:$K$4986,6,FALSE)&amp;VLOOKUP(D340,契約台帳!$A$3:$K$4986,7,FALSE)&amp;VLOOKUP(D340,契約台帳!$A$3:$K$4986,8,FALSE)&amp;VLOOKUP(D340,契約台帳!$A$3:$K$4986,9,FALSE)&amp;VLOOKUP(D340,契約台帳!$A$3:$K$4986,11,FALSE))</f>
        <v/>
      </c>
      <c r="G340" s="269" t="str">
        <f>IF(D340="","",VLOOKUP(F340,製品マスタ!$G$5:$H$5002,2,FALSE))</f>
        <v/>
      </c>
      <c r="H340" s="269" t="str">
        <f>IF(D340="","",VLOOKUP(F340,製品マスタ!$G$5:$K$5002,5,FALSE))</f>
        <v/>
      </c>
      <c r="I340" s="270" t="str">
        <f>IF(D340="","",VLOOKUP(F340,製品マスタ!$G$5:$L$5002,6,FALSE))</f>
        <v/>
      </c>
      <c r="J340" s="210"/>
      <c r="K340" s="270" t="str">
        <f>IF(D340="","",VLOOKUP(D340,契約台帳!$A$3:$L$4986,12,FALSE))</f>
        <v/>
      </c>
      <c r="L340" s="270" t="str">
        <f>IF(D340="","",INDEX(製品マスタ!$Q$5:$Q$5002,MATCH('S4'!F340&amp;'S4'!K340,製品マスタ!$AO$5:$AO$5002,0)))</f>
        <v/>
      </c>
      <c r="M340" s="39"/>
      <c r="N340" s="39"/>
      <c r="O340" s="156"/>
      <c r="P340" s="47"/>
      <c r="Q340" s="57"/>
      <c r="R340" s="271" t="str">
        <f ca="1">IF(D340="","",IF(OFFSET(D340,-1,0)&lt;&gt;"","",IF(OR(J340="リード付け",J340="巻足し",J340="巻返しリード付け"),M340,VLOOKUP(D340,契約台帳!$A$3:$N$4986,14,FALSE))))</f>
        <v/>
      </c>
      <c r="S340" s="272" t="str">
        <f ca="1">IF(D340="","",IF(OFFSET(D340,-1,0)&lt;&gt;"","",IF(OR(J340="リード付け",J340="巻足し",J340="巻返しリード付け"),M340,VLOOKUP(D340,契約台帳!$A$3:$O$4986,15,FALSE))))</f>
        <v/>
      </c>
      <c r="T340" s="273" t="str">
        <f ca="1">IF(D340="","",IF(J340="リード付け",N340,IF(J340="巻返しリード付け",N340,IF(J340="巻足し",N340*P340+OFFSET(N340,1,0)*OFFSET(P340,1,0),VLOOKUP(D340,契約台帳!$A$3:$P$4986,16,FALSE)))))</f>
        <v/>
      </c>
      <c r="U340" s="40"/>
      <c r="V340" s="274" t="str">
        <f ca="1">IF(D340="","",IF(OFFSET(D340,-2,0)=D340,"",VLOOKUP(D340,契約台帳!$A$3:$R$4986,18,FALSE)))</f>
        <v/>
      </c>
      <c r="W340" s="269" t="str">
        <f>IF(D340="","",IF(T340="","",IF(OR(J340="巻足し",J340="巻返しリード付け"),"",IF(J340="巻返し",VLOOKUP(F340&amp;K340&amp;M340,製品マスタ!$M$5:$AD$5002,18,FALSE),IF(OR(J340="リード付け",J340="巻返しリード付け"),"原反コア",IF(J340="スリット",VLOOKUP(F340&amp;K340&amp;R340,製品マスタ!$N$5:$AD$5002,17,FALSE),""))))))</f>
        <v/>
      </c>
      <c r="X340" s="269" t="str">
        <f>IF(D340="","",IF(T340="","",IF(J340="巻足し","",IF(J340="巻返し",VLOOKUP(F340&amp;K340&amp;M340,製品マスタ!$M$5:$AE$5002,19,FALSE),IF(OR(J340="リード付け",J340="巻返しリード付け"),"",IF(J340="スリット",VLOOKUP(F340&amp;K340&amp;R340,製品マスタ!$N$5:$AE$5002,18,FALSE),""))))))</f>
        <v/>
      </c>
      <c r="Y340" s="275" t="str">
        <f>IF(D340="","",IF(T340="","",VLOOKUP(D340,契約台帳!$A$3:$Q$4986,17,FALSE)))</f>
        <v/>
      </c>
      <c r="Z340" s="269" t="str">
        <f>IF(D340="","",IF(T340="","",VLOOKUP(D340,契約台帳!$A$3:$E$4986,5,FALSE)))</f>
        <v/>
      </c>
      <c r="AA340" s="57"/>
      <c r="AB340" s="207" t="str">
        <f>IFERROR((VLOOKUP(F340&amp;K340&amp;M340,製品マスタ!$M$5:$AM$5002,27,FALSE)),"")</f>
        <v/>
      </c>
      <c r="AC340" s="33"/>
      <c r="AD340" s="189"/>
      <c r="AE340" s="54"/>
      <c r="AF340" s="55"/>
      <c r="AG340" s="43"/>
      <c r="AH340" s="47"/>
      <c r="AI340" s="30"/>
      <c r="AJ340" s="30"/>
      <c r="AK340" s="30"/>
      <c r="AL340" s="30"/>
      <c r="AM340" s="13"/>
      <c r="AN340" s="13"/>
      <c r="AO340" s="13"/>
      <c r="AP340" s="13"/>
      <c r="AQ340" s="13"/>
      <c r="AR340" s="14"/>
      <c r="AS340" s="15"/>
    </row>
    <row r="341" spans="1:45" s="17" customFormat="1" ht="30.95" hidden="1" customHeight="1" x14ac:dyDescent="0.2">
      <c r="A341" s="37" t="s">
        <v>953</v>
      </c>
      <c r="B341" s="38" t="s">
        <v>945</v>
      </c>
      <c r="C341" s="45"/>
      <c r="D341" s="31">
        <v>3700964</v>
      </c>
      <c r="E341" s="31">
        <v>4161834</v>
      </c>
      <c r="F341" s="268" t="str">
        <f>IF(D341="","",VLOOKUP(D341,契約台帳!$A$3:$K$4986,6,FALSE)&amp;VLOOKUP(D341,契約台帳!$A$3:$K$4986,7,FALSE)&amp;VLOOKUP(D341,契約台帳!$A$3:$K$4986,8,FALSE)&amp;VLOOKUP(D341,契約台帳!$A$3:$K$4986,9,FALSE)&amp;VLOOKUP(D341,契約台帳!$A$3:$K$4986,11,FALSE))</f>
        <v>3SNMCLBHLGTV</v>
      </c>
      <c r="G341" s="269" t="str">
        <f>IF(D341="","",VLOOKUP(F341,製品マスタ!$G$5:$H$5002,2,FALSE))</f>
        <v>S</v>
      </c>
      <c r="H341" s="269" t="str">
        <f>IF(D341="","",VLOOKUP(F341,製品マスタ!$G$5:$K$5002,5,FALSE))</f>
        <v>HLGTV</v>
      </c>
      <c r="I341" s="270" t="str">
        <f>IF(D341="","",VLOOKUP(F341,製品マスタ!$G$5:$L$5002,6,FALSE))</f>
        <v>メタルミー　ヘヤライン　銀艶Ｖ</v>
      </c>
      <c r="J341" s="210" t="s">
        <v>954</v>
      </c>
      <c r="K341" s="270">
        <f>IF(D341="","",VLOOKUP(D341,契約台帳!$A$3:$L$4986,12,FALSE))</f>
        <v>25</v>
      </c>
      <c r="L341" s="270" t="str">
        <f>IF(D341="","",INDEX(製品マスタ!$Q$5:$Q$5002,MATCH('S4'!F341&amp;'S4'!K341,製品マスタ!$AO$5:$AO$5002,0)))</f>
        <v>BRIGHT</v>
      </c>
      <c r="M341" s="39">
        <v>1005</v>
      </c>
      <c r="N341" s="39">
        <v>8000</v>
      </c>
      <c r="O341" s="156">
        <v>1</v>
      </c>
      <c r="P341" s="47">
        <v>1</v>
      </c>
      <c r="Q341" s="213">
        <v>44987</v>
      </c>
      <c r="R341" s="271">
        <f ca="1">IF(D341="","",IF(OFFSET(D341,-1,0)&lt;&gt;"","",IF(OR(J341="リード付け",J341="巻足し",J341="巻返しリード付け"),M341,VLOOKUP(D341,契約台帳!$A$3:$N$4986,14,FALSE))))</f>
        <v>1005</v>
      </c>
      <c r="S341" s="272">
        <f ca="1">IF(D341="","",IF(OFFSET(D341,-1,0)&lt;&gt;"","",IF(OR(J341="リード付け",J341="巻足し",J341="巻返しリード付け"),M341,VLOOKUP(D341,契約台帳!$A$3:$O$4986,15,FALSE))))</f>
        <v>1005</v>
      </c>
      <c r="T341" s="273">
        <f ca="1">IF(D341="","",IF(J341="リード付け",N341,IF(J341="巻返しリード付け",N341,IF(J341="巻足し",N341*P341+OFFSET(N341,1,0)*OFFSET(P341,1,0),VLOOKUP(D341,契約台帳!$A$3:$P$4986,16,FALSE)))))</f>
        <v>8000</v>
      </c>
      <c r="U341" s="40">
        <v>1</v>
      </c>
      <c r="V341" s="274">
        <f ca="1">IF(D341="","",IF(OFFSET(D341,-2,0)=D341,"",VLOOKUP(D341,契約台帳!$A$3:$R$4986,18,FALSE)))</f>
        <v>4</v>
      </c>
      <c r="W341" s="269" t="str">
        <f ca="1">IF(D341="","",IF(T341="","",IF(OR(J341="巻足し",J341="巻返しリード付け"),"",IF(J341="巻返し",VLOOKUP(F341&amp;K341&amp;M341,製品マスタ!$M$5:$AD$5002,18,FALSE),IF(OR(J341="リード付け",J341="巻返しリード付け"),"原反コア",IF(J341="スリット",VLOOKUP(F341&amp;K341&amp;R341,製品マスタ!$N$5:$AD$5002,17,FALSE),""))))))</f>
        <v>原反コア</v>
      </c>
      <c r="X341" s="269" t="str">
        <f ca="1">IF(D341="","",IF(T341="","",IF(J341="巻足し","",IF(J341="巻返し",VLOOKUP(F341&amp;K341&amp;M341,製品マスタ!$M$5:$AE$5002,19,FALSE),IF(OR(J341="リード付け",J341="巻返しリード付け"),"",IF(J341="スリット",VLOOKUP(F341&amp;K341&amp;R341,製品マスタ!$N$5:$AE$5002,18,FALSE),""))))))</f>
        <v/>
      </c>
      <c r="Y341" s="275">
        <f ca="1">IF(D341="","",IF(T341="","",VLOOKUP(D341,契約台帳!$A$3:$Q$4986,17,FALSE)))</f>
        <v>2</v>
      </c>
      <c r="Z341" s="269" t="str">
        <f ca="1">IF(D341="","",IF(T341="","",VLOOKUP(D341,契約台帳!$A$3:$E$4986,5,FALSE)))</f>
        <v>リンテック㈱</v>
      </c>
      <c r="AA341" s="57"/>
      <c r="AB341" s="207">
        <f>IFERROR((VLOOKUP(F341&amp;K341&amp;M341,製品マスタ!$M$5:$AM$5002,27,FALSE)),"")</f>
        <v>0</v>
      </c>
      <c r="AC341" s="33"/>
      <c r="AD341" s="189"/>
      <c r="AE341" s="54"/>
      <c r="AF341" s="55"/>
      <c r="AG341" s="43"/>
      <c r="AH341" s="47"/>
      <c r="AI341" s="30"/>
      <c r="AJ341" s="30"/>
      <c r="AK341" s="30"/>
      <c r="AL341" s="30"/>
      <c r="AM341" s="13"/>
      <c r="AN341" s="13"/>
      <c r="AO341" s="13"/>
      <c r="AP341" s="13"/>
      <c r="AQ341" s="13"/>
      <c r="AR341" s="14"/>
      <c r="AS341" s="15"/>
    </row>
    <row r="342" spans="1:45" s="17" customFormat="1" ht="30.95" hidden="1" customHeight="1" x14ac:dyDescent="0.2">
      <c r="A342" s="37"/>
      <c r="B342" s="38"/>
      <c r="C342" s="45"/>
      <c r="D342" s="31"/>
      <c r="E342" s="31"/>
      <c r="F342" s="268" t="str">
        <f>IF(D342="","",VLOOKUP(D342,契約台帳!$A$3:$K$4986,6,FALSE)&amp;VLOOKUP(D342,契約台帳!$A$3:$K$4986,7,FALSE)&amp;VLOOKUP(D342,契約台帳!$A$3:$K$4986,8,FALSE)&amp;VLOOKUP(D342,契約台帳!$A$3:$K$4986,9,FALSE)&amp;VLOOKUP(D342,契約台帳!$A$3:$K$4986,11,FALSE))</f>
        <v/>
      </c>
      <c r="G342" s="269" t="str">
        <f>IF(D342="","",VLOOKUP(F342,製品マスタ!$G$5:$H$5002,2,FALSE))</f>
        <v/>
      </c>
      <c r="H342" s="269" t="str">
        <f>IF(D342="","",VLOOKUP(F342,製品マスタ!$G$5:$K$5002,5,FALSE))</f>
        <v/>
      </c>
      <c r="I342" s="270" t="str">
        <f>IF(D342="","",VLOOKUP(F342,製品マスタ!$G$5:$L$5002,6,FALSE))</f>
        <v/>
      </c>
      <c r="J342" s="210"/>
      <c r="K342" s="270" t="str">
        <f>IF(D342="","",VLOOKUP(D342,契約台帳!$A$3:$L$4986,12,FALSE))</f>
        <v/>
      </c>
      <c r="L342" s="270" t="str">
        <f>IF(D342="","",INDEX(製品マスタ!$Q$5:$Q$5002,MATCH('S4'!F342&amp;'S4'!K342,製品マスタ!$AO$5:$AO$5002,0)))</f>
        <v/>
      </c>
      <c r="M342" s="39"/>
      <c r="N342" s="39"/>
      <c r="O342" s="156"/>
      <c r="P342" s="47"/>
      <c r="Q342" s="57"/>
      <c r="R342" s="271" t="str">
        <f ca="1">IF(D342="","",IF(OFFSET(D342,-1,0)&lt;&gt;"","",IF(OR(J342="リード付け",J342="巻足し",J342="巻返しリード付け"),M342,VLOOKUP(D342,契約台帳!$A$3:$N$4986,14,FALSE))))</f>
        <v/>
      </c>
      <c r="S342" s="272" t="str">
        <f ca="1">IF(D342="","",IF(OFFSET(D342,-1,0)&lt;&gt;"","",IF(OR(J342="リード付け",J342="巻足し",J342="巻返しリード付け"),M342,VLOOKUP(D342,契約台帳!$A$3:$O$4986,15,FALSE))))</f>
        <v/>
      </c>
      <c r="T342" s="273" t="str">
        <f ca="1">IF(D342="","",IF(J342="リード付け",N342,IF(J342="巻返しリード付け",N342,IF(J342="巻足し",N342*P342+OFFSET(N342,1,0)*OFFSET(P342,1,0),VLOOKUP(D342,契約台帳!$A$3:$P$4986,16,FALSE)))))</f>
        <v/>
      </c>
      <c r="U342" s="40"/>
      <c r="V342" s="274" t="str">
        <f ca="1">IF(D342="","",IF(OFFSET(D342,-2,0)=D342,"",VLOOKUP(D342,契約台帳!$A$3:$R$4986,18,FALSE)))</f>
        <v/>
      </c>
      <c r="W342" s="269" t="str">
        <f>IF(D342="","",IF(T342="","",IF(OR(J342="巻足し",J342="巻返しリード付け"),"",IF(J342="巻返し",VLOOKUP(F342&amp;K342&amp;M342,製品マスタ!$M$5:$AD$5002,18,FALSE),IF(OR(J342="リード付け",J342="巻返しリード付け"),"原反コア",IF(J342="スリット",VLOOKUP(F342&amp;K342&amp;R342,製品マスタ!$N$5:$AD$5002,17,FALSE),""))))))</f>
        <v/>
      </c>
      <c r="X342" s="269" t="str">
        <f>IF(D342="","",IF(T342="","",IF(J342="巻足し","",IF(J342="巻返し",VLOOKUP(F342&amp;K342&amp;M342,製品マスタ!$M$5:$AE$5002,19,FALSE),IF(OR(J342="リード付け",J342="巻返しリード付け"),"",IF(J342="スリット",VLOOKUP(F342&amp;K342&amp;R342,製品マスタ!$N$5:$AE$5002,18,FALSE),""))))))</f>
        <v/>
      </c>
      <c r="Y342" s="275" t="str">
        <f>IF(D342="","",IF(T342="","",VLOOKUP(D342,契約台帳!$A$3:$Q$4986,17,FALSE)))</f>
        <v/>
      </c>
      <c r="Z342" s="269" t="str">
        <f>IF(D342="","",IF(T342="","",VLOOKUP(D342,契約台帳!$A$3:$E$4986,5,FALSE)))</f>
        <v/>
      </c>
      <c r="AA342" s="57"/>
      <c r="AB342" s="207" t="str">
        <f>IFERROR((VLOOKUP(F342&amp;K342&amp;M342,製品マスタ!$M$5:$AM$5002,27,FALSE)),"")</f>
        <v/>
      </c>
      <c r="AC342" s="33"/>
      <c r="AD342" s="189"/>
      <c r="AE342" s="54"/>
      <c r="AF342" s="55"/>
      <c r="AG342" s="43"/>
      <c r="AH342" s="47"/>
      <c r="AI342" s="30"/>
      <c r="AJ342" s="30"/>
      <c r="AK342" s="30"/>
      <c r="AL342" s="30"/>
      <c r="AM342" s="13"/>
      <c r="AN342" s="13"/>
      <c r="AO342" s="13"/>
      <c r="AP342" s="13"/>
      <c r="AQ342" s="13"/>
      <c r="AR342" s="14"/>
      <c r="AS342" s="15"/>
    </row>
    <row r="343" spans="1:45" s="17" customFormat="1" ht="30.95" hidden="1" customHeight="1" x14ac:dyDescent="0.2">
      <c r="A343" s="37"/>
      <c r="B343" s="38"/>
      <c r="C343" s="45"/>
      <c r="D343" s="31">
        <v>3702649</v>
      </c>
      <c r="E343" s="31">
        <v>4161859</v>
      </c>
      <c r="F343" s="268" t="str">
        <f>IF(D343="","",VLOOKUP(D343,契約台帳!$A$3:$K$4986,6,FALSE)&amp;VLOOKUP(D343,契約台帳!$A$3:$K$4986,7,FALSE)&amp;VLOOKUP(D343,契約台帳!$A$3:$K$4986,8,FALSE)&amp;VLOOKUP(D343,契約台帳!$A$3:$K$4986,9,FALSE)&amp;VLOOKUP(D343,契約台帳!$A$3:$K$4986,11,FALSE))</f>
        <v>3TNMLBHLGTF</v>
      </c>
      <c r="G343" s="269" t="str">
        <f>IF(D343="","",VLOOKUP(F343,製品マスタ!$G$5:$H$5002,2,FALSE))</f>
        <v>T</v>
      </c>
      <c r="H343" s="269" t="str">
        <f>IF(D343="","",VLOOKUP(F343,製品マスタ!$G$5:$K$5002,5,FALSE))</f>
        <v>HLGTF</v>
      </c>
      <c r="I343" s="270" t="str">
        <f>IF(D343="","",VLOOKUP(F343,製品マスタ!$G$5:$L$5002,6,FALSE))</f>
        <v>メタルミーヘヤライン銀艶</v>
      </c>
      <c r="J343" s="210" t="s">
        <v>935</v>
      </c>
      <c r="K343" s="270">
        <f>IF(D343="","",VLOOKUP(D343,契約台帳!$A$3:$L$4986,12,FALSE))</f>
        <v>50</v>
      </c>
      <c r="L343" s="270" t="str">
        <f>IF(D343="","",INDEX(製品マスタ!$Q$5:$Q$5002,MATCH('S4'!F343&amp;'S4'!K343,製品マスタ!$AO$5:$AO$5002,0)))</f>
        <v>BRIGHT</v>
      </c>
      <c r="M343" s="39">
        <v>1005</v>
      </c>
      <c r="N343" s="39">
        <v>4100</v>
      </c>
      <c r="O343" s="156">
        <v>2</v>
      </c>
      <c r="P343" s="47">
        <v>2</v>
      </c>
      <c r="Q343" s="213">
        <v>44987</v>
      </c>
      <c r="R343" s="271">
        <v>1005</v>
      </c>
      <c r="S343" s="272">
        <v>1005</v>
      </c>
      <c r="T343" s="273">
        <v>8200</v>
      </c>
      <c r="U343" s="40">
        <v>1</v>
      </c>
      <c r="V343" s="274">
        <f ca="1">IF(D343="","",IF(OFFSET(D343,-2,0)=D343,"",VLOOKUP(D343,契約台帳!$A$3:$R$4986,18,FALSE)))</f>
        <v>2</v>
      </c>
      <c r="W343" s="269" t="str">
        <f>IF(D343="","",IF(T343="","",IF(OR(J343="巻足し",J343="巻返しリード付け"),"",IF(J343="巻返し",VLOOKUP(F343&amp;K343&amp;M343,製品マスタ!$M$5:$AD$5002,18,FALSE),IF(OR(J343="リード付け",J343="巻返しリード付け"),"原反コア",IF(J343="スリット",VLOOKUP(F343&amp;K343&amp;R343,製品マスタ!$N$5:$AD$5002,17,FALSE),""))))))</f>
        <v/>
      </c>
      <c r="X343" s="269" t="str">
        <f>IF(D343="","",IF(T343="","",IF(J343="巻足し","",IF(J343="巻返し",VLOOKUP(F343&amp;K343&amp;M343,製品マスタ!$M$5:$AE$5002,19,FALSE),IF(OR(J343="リード付け",J343="巻返しリード付け"),"",IF(J343="スリット",VLOOKUP(F343&amp;K343&amp;R343,製品マスタ!$N$5:$AE$5002,18,FALSE),""))))))</f>
        <v/>
      </c>
      <c r="Y343" s="275">
        <f>IF(D343="","",IF(T343="","",VLOOKUP(D343,契約台帳!$A$3:$Q$4986,17,FALSE)))</f>
        <v>2</v>
      </c>
      <c r="Z343" s="269" t="str">
        <f>IF(D343="","",IF(T343="","",VLOOKUP(D343,契約台帳!$A$3:$E$4986,5,FALSE)))</f>
        <v>アジヤアルミ㈱</v>
      </c>
      <c r="AA343" s="57"/>
      <c r="AB343" s="207" t="s">
        <v>774</v>
      </c>
      <c r="AC343" s="33"/>
      <c r="AD343" s="189"/>
      <c r="AE343" s="54"/>
      <c r="AF343" s="55"/>
      <c r="AG343" s="43"/>
      <c r="AH343" s="47"/>
      <c r="AI343" s="30"/>
      <c r="AJ343" s="30"/>
      <c r="AK343" s="30"/>
      <c r="AL343" s="30"/>
      <c r="AM343" s="13"/>
      <c r="AN343" s="13"/>
      <c r="AO343" s="13"/>
      <c r="AP343" s="13"/>
      <c r="AQ343" s="13"/>
      <c r="AR343" s="14"/>
      <c r="AS343" s="15"/>
    </row>
    <row r="344" spans="1:45" s="17" customFormat="1" ht="30.95" hidden="1" customHeight="1" x14ac:dyDescent="0.2">
      <c r="A344" s="37"/>
      <c r="B344" s="38"/>
      <c r="C344" s="45"/>
      <c r="D344" s="31"/>
      <c r="E344" s="31"/>
      <c r="F344" s="268"/>
      <c r="G344" s="269"/>
      <c r="H344" s="269"/>
      <c r="I344" s="270"/>
      <c r="J344" s="210"/>
      <c r="K344" s="270"/>
      <c r="L344" s="270"/>
      <c r="M344" s="39"/>
      <c r="N344" s="39"/>
      <c r="O344" s="156"/>
      <c r="P344" s="47"/>
      <c r="Q344" s="57"/>
      <c r="R344" s="271"/>
      <c r="S344" s="272"/>
      <c r="T344" s="273"/>
      <c r="U344" s="40"/>
      <c r="V344" s="274"/>
      <c r="W344" s="269"/>
      <c r="X344" s="269"/>
      <c r="Y344" s="275"/>
      <c r="Z344" s="269"/>
      <c r="AA344" s="57"/>
      <c r="AB344" s="207"/>
      <c r="AC344" s="33"/>
      <c r="AD344" s="189"/>
      <c r="AE344" s="54"/>
      <c r="AF344" s="55"/>
      <c r="AG344" s="43"/>
      <c r="AH344" s="47"/>
      <c r="AI344" s="30"/>
      <c r="AJ344" s="30"/>
      <c r="AK344" s="30"/>
      <c r="AL344" s="30"/>
      <c r="AM344" s="13"/>
      <c r="AN344" s="13"/>
      <c r="AO344" s="13"/>
      <c r="AP344" s="13"/>
      <c r="AQ344" s="13"/>
      <c r="AR344" s="14"/>
      <c r="AS344" s="15"/>
    </row>
    <row r="345" spans="1:45" s="17" customFormat="1" ht="30.95" hidden="1" customHeight="1" x14ac:dyDescent="0.2">
      <c r="A345" s="37"/>
      <c r="B345" s="38"/>
      <c r="C345" s="45"/>
      <c r="D345" s="31">
        <v>3700960</v>
      </c>
      <c r="E345" s="31">
        <v>4161846</v>
      </c>
      <c r="F345" s="268" t="str">
        <f>IF(D345="","",VLOOKUP(D345,契約台帳!$A$3:$K$4986,6,FALSE)&amp;VLOOKUP(D345,契約台帳!$A$3:$K$4986,7,FALSE)&amp;VLOOKUP(D345,契約台帳!$A$3:$K$4986,8,FALSE)&amp;VLOOKUP(D345,契約台帳!$A$3:$K$4986,9,FALSE)&amp;VLOOKUP(D345,契約台帳!$A$3:$K$4986,11,FALSE))</f>
        <v>3SNMLBMNNGKBF</v>
      </c>
      <c r="G345" s="269" t="str">
        <f>IF(D345="","",VLOOKUP(F345,製品マスタ!$G$5:$H$5002,2,FALSE))</f>
        <v>S</v>
      </c>
      <c r="H345" s="269" t="str">
        <f>IF(D345="","",VLOOKUP(F345,製品マスタ!$G$5:$K$5002,5,FALSE))</f>
        <v>MNNGKBF</v>
      </c>
      <c r="I345" s="270" t="str">
        <f>IF(D345="","",VLOOKUP(F345,製品マスタ!$G$5:$L$5002,6,FALSE))</f>
        <v>メタルミー　ニューネーマー銀消　Ｂ</v>
      </c>
      <c r="J345" s="210" t="s">
        <v>935</v>
      </c>
      <c r="K345" s="270">
        <f>IF(D345="","",VLOOKUP(D345,契約台帳!$A$3:$L$4986,12,FALSE))</f>
        <v>50</v>
      </c>
      <c r="L345" s="270" t="str">
        <f>IF(D345="","",INDEX(製品マスタ!$Q$5:$Q$5002,MATCH('S4'!F345&amp;'S4'!K345,製品マスタ!$AO$5:$AO$5002,0)))</f>
        <v>X44</v>
      </c>
      <c r="M345" s="39">
        <v>1000</v>
      </c>
      <c r="N345" s="39">
        <v>4000</v>
      </c>
      <c r="O345" s="156">
        <v>15</v>
      </c>
      <c r="P345" s="47">
        <v>3</v>
      </c>
      <c r="Q345" s="213">
        <v>44992</v>
      </c>
      <c r="R345" s="271">
        <f ca="1">IF(D345="","",IF(OFFSET(D345,-1,0)&lt;&gt;"","",IF(OR(J345="リード付け",J345="巻足し",J345="巻返しリード付け"),M345,VLOOKUP(D345,契約台帳!$A$3:$N$4986,14,FALSE))))</f>
        <v>1000</v>
      </c>
      <c r="S345" s="272">
        <f ca="1">IF(D345="","",IF(OFFSET(D345,-1,0)&lt;&gt;"","",IF(OR(J345="リード付け",J345="巻足し",J345="巻返しリード付け"),M345,VLOOKUP(D345,契約台帳!$A$3:$O$4986,15,FALSE))))</f>
        <v>1000</v>
      </c>
      <c r="T345" s="273">
        <f ca="1">IF(D345="","",IF(J345="リード付け",N345,IF(J345="巻返しリード付け",N345,IF(J345="巻足し",N345*P345+OFFSET(N345,1,0)*OFFSET(P345,1,0),VLOOKUP(D345,契約台帳!$A$3:$P$4986,16,FALSE)))))</f>
        <v>12000</v>
      </c>
      <c r="U345" s="40">
        <v>5</v>
      </c>
      <c r="V345" s="274">
        <f ca="1">IF(D345="","",IF(OFFSET(D345,-2,0)=D345,"",VLOOKUP(D345,契約台帳!$A$3:$R$4986,18,FALSE)))</f>
        <v>15</v>
      </c>
      <c r="W345" s="269" t="str">
        <f ca="1">IF(D345="","",IF(T345="","",IF(OR(J345="巻足し",J345="巻返しリード付け"),"",IF(J345="巻返し",VLOOKUP(F345&amp;K345&amp;M345,製品マスタ!$M$5:$AD$5002,18,FALSE),IF(OR(J345="リード付け",J345="巻返しリード付け"),"原反コア",IF(J345="スリット",VLOOKUP(F345&amp;K345&amp;R345,製品マスタ!$N$5:$AD$5002,17,FALSE),""))))))</f>
        <v/>
      </c>
      <c r="X345" s="269" t="str">
        <f ca="1">IF(D345="","",IF(T345="","",IF(J345="巻足し","",IF(J345="巻返し",VLOOKUP(F345&amp;K345&amp;M345,製品マスタ!$M$5:$AE$5002,19,FALSE),IF(OR(J345="リード付け",J345="巻返しリード付け"),"",IF(J345="スリット",VLOOKUP(F345&amp;K345&amp;R345,製品マスタ!$N$5:$AE$5002,18,FALSE),""))))))</f>
        <v/>
      </c>
      <c r="Y345" s="275">
        <f ca="1">IF(D345="","",IF(T345="","",VLOOKUP(D345,契約台帳!$A$3:$Q$4986,17,FALSE)))</f>
        <v>2</v>
      </c>
      <c r="Z345" s="269" t="str">
        <f ca="1">IF(D345="","",IF(T345="","",VLOOKUP(D345,契約台帳!$A$3:$E$4986,5,FALSE)))</f>
        <v>リンテック㈱</v>
      </c>
      <c r="AA345" s="57"/>
      <c r="AB345" s="207" t="str">
        <f>IFERROR((VLOOKUP(F345&amp;K345&amp;M345,製品マスタ!$M$5:$AM$5002,27,FALSE)),"")</f>
        <v>原反ケース再利用</v>
      </c>
      <c r="AC345" s="33"/>
      <c r="AD345" s="189"/>
      <c r="AE345" s="54"/>
      <c r="AF345" s="55"/>
      <c r="AG345" s="43"/>
      <c r="AH345" s="47"/>
      <c r="AI345" s="30"/>
      <c r="AJ345" s="30"/>
      <c r="AK345" s="30"/>
      <c r="AL345" s="30"/>
      <c r="AM345" s="13"/>
      <c r="AN345" s="13"/>
      <c r="AO345" s="13"/>
      <c r="AP345" s="13"/>
      <c r="AQ345" s="13"/>
      <c r="AR345" s="14"/>
      <c r="AS345" s="15"/>
    </row>
    <row r="346" spans="1:45" s="17" customFormat="1" ht="30.95" hidden="1" customHeight="1" x14ac:dyDescent="0.2">
      <c r="A346" s="37"/>
      <c r="B346" s="38"/>
      <c r="C346" s="45"/>
      <c r="D346" s="31"/>
      <c r="E346" s="31"/>
      <c r="F346" s="268" t="str">
        <f>IF(D346="","",VLOOKUP(D346,契約台帳!$A$3:$K$4986,6,FALSE)&amp;VLOOKUP(D346,契約台帳!$A$3:$K$4986,7,FALSE)&amp;VLOOKUP(D346,契約台帳!$A$3:$K$4986,8,FALSE)&amp;VLOOKUP(D346,契約台帳!$A$3:$K$4986,9,FALSE)&amp;VLOOKUP(D346,契約台帳!$A$3:$K$4986,11,FALSE))</f>
        <v/>
      </c>
      <c r="G346" s="269" t="str">
        <f>IF(D346="","",VLOOKUP(F346,製品マスタ!$G$5:$H$5002,2,FALSE))</f>
        <v/>
      </c>
      <c r="H346" s="269" t="str">
        <f>IF(D346="","",VLOOKUP(F346,製品マスタ!$G$5:$K$5002,5,FALSE))</f>
        <v/>
      </c>
      <c r="I346" s="270" t="str">
        <f>IF(D346="","",VLOOKUP(F346,製品マスタ!$G$5:$L$5002,6,FALSE))</f>
        <v/>
      </c>
      <c r="J346" s="210"/>
      <c r="K346" s="270" t="str">
        <f>IF(D346="","",VLOOKUP(D346,契約台帳!$A$3:$L$4986,12,FALSE))</f>
        <v/>
      </c>
      <c r="L346" s="270" t="str">
        <f>IF(D346="","",INDEX(製品マスタ!$Q$5:$Q$5002,MATCH('S4'!F346&amp;'S4'!K346,製品マスタ!$AO$5:$AO$5002,0)))</f>
        <v/>
      </c>
      <c r="M346" s="39"/>
      <c r="N346" s="39"/>
      <c r="O346" s="156"/>
      <c r="P346" s="47"/>
      <c r="Q346" s="57"/>
      <c r="R346" s="271" t="str">
        <f ca="1">IF(D346="","",IF(OFFSET(D346,-1,0)&lt;&gt;"","",IF(OR(J346="リード付け",J346="巻足し",J346="巻返しリード付け"),M346,VLOOKUP(D346,契約台帳!$A$3:$N$4986,14,FALSE))))</f>
        <v/>
      </c>
      <c r="S346" s="272" t="str">
        <f ca="1">IF(D346="","",IF(OFFSET(D346,-1,0)&lt;&gt;"","",IF(OR(J346="リード付け",J346="巻足し",J346="巻返しリード付け"),M346,VLOOKUP(D346,契約台帳!$A$3:$O$4986,15,FALSE))))</f>
        <v/>
      </c>
      <c r="T346" s="273" t="str">
        <f ca="1">IF(D346="","",IF(J346="リード付け",N346,IF(J346="巻返しリード付け",N346,IF(J346="巻足し",N346*P346+OFFSET(N346,1,0)*OFFSET(P346,1,0),VLOOKUP(D346,契約台帳!$A$3:$P$4986,16,FALSE)))))</f>
        <v/>
      </c>
      <c r="U346" s="40"/>
      <c r="V346" s="274" t="str">
        <f ca="1">IF(D346="","",IF(OFFSET(D346,-2,0)=D346,"",VLOOKUP(D346,契約台帳!$A$3:$R$4986,18,FALSE)))</f>
        <v/>
      </c>
      <c r="W346" s="269" t="str">
        <f>IF(D346="","",IF(T346="","",IF(OR(J346="巻足し",J346="巻返しリード付け"),"",IF(J346="巻返し",VLOOKUP(F346&amp;K346&amp;M346,製品マスタ!$M$5:$AD$5002,18,FALSE),IF(OR(J346="リード付け",J346="巻返しリード付け"),"原反コア",IF(J346="スリット",VLOOKUP(F346&amp;K346&amp;R346,製品マスタ!$N$5:$AD$5002,17,FALSE),""))))))</f>
        <v/>
      </c>
      <c r="X346" s="269" t="str">
        <f>IF(D346="","",IF(T346="","",IF(J346="巻足し","",IF(J346="巻返し",VLOOKUP(F346&amp;K346&amp;M346,製品マスタ!$M$5:$AE$5002,19,FALSE),IF(OR(J346="リード付け",J346="巻返しリード付け"),"",IF(J346="スリット",VLOOKUP(F346&amp;K346&amp;R346,製品マスタ!$N$5:$AE$5002,18,FALSE),""))))))</f>
        <v/>
      </c>
      <c r="Y346" s="275" t="str">
        <f>IF(D346="","",IF(T346="","",VLOOKUP(D346,契約台帳!$A$3:$Q$4986,17,FALSE)))</f>
        <v/>
      </c>
      <c r="Z346" s="269" t="str">
        <f>IF(D346="","",IF(T346="","",VLOOKUP(D346,契約台帳!$A$3:$E$4986,5,FALSE)))</f>
        <v/>
      </c>
      <c r="AA346" s="57"/>
      <c r="AB346" s="207" t="str">
        <f>IFERROR((VLOOKUP(F346&amp;K346&amp;M346,製品マスタ!$M$5:$AM$5002,27,FALSE)),"")</f>
        <v/>
      </c>
      <c r="AC346" s="33"/>
      <c r="AD346" s="189"/>
      <c r="AE346" s="54"/>
      <c r="AF346" s="55"/>
      <c r="AG346" s="43"/>
      <c r="AH346" s="47"/>
      <c r="AI346" s="30"/>
      <c r="AJ346" s="30"/>
      <c r="AK346" s="30"/>
      <c r="AL346" s="30"/>
      <c r="AM346" s="13"/>
      <c r="AN346" s="13"/>
      <c r="AO346" s="13"/>
      <c r="AP346" s="13"/>
      <c r="AQ346" s="13"/>
      <c r="AR346" s="14"/>
      <c r="AS346" s="15"/>
    </row>
    <row r="347" spans="1:45" s="17" customFormat="1" ht="30.95" hidden="1" customHeight="1" x14ac:dyDescent="0.2">
      <c r="A347" s="37"/>
      <c r="B347" s="38"/>
      <c r="C347" s="45"/>
      <c r="D347" s="31">
        <v>3700951</v>
      </c>
      <c r="E347" s="31">
        <v>4161839</v>
      </c>
      <c r="F347" s="268" t="str">
        <f>IF(D347="","",VLOOKUP(D347,契約台帳!$A$3:$K$4986,6,FALSE)&amp;VLOOKUP(D347,契約台帳!$A$3:$K$4986,7,FALSE)&amp;VLOOKUP(D347,契約台帳!$A$3:$K$4986,8,FALSE)&amp;VLOOKUP(D347,契約台帳!$A$3:$K$4986,9,FALSE)&amp;VLOOKUP(D347,契約台帳!$A$3:$K$4986,11,FALSE))</f>
        <v>3SNMLBMNGKKBF</v>
      </c>
      <c r="G347" s="269" t="str">
        <f>IF(D347="","",VLOOKUP(F347,製品マスタ!$G$5:$H$5002,2,FALSE))</f>
        <v>S</v>
      </c>
      <c r="H347" s="269" t="str">
        <f>IF(D347="","",VLOOKUP(F347,製品マスタ!$G$5:$K$5002,5,FALSE))</f>
        <v>MNGKKBF</v>
      </c>
      <c r="I347" s="270" t="str">
        <f>IF(D347="","",VLOOKUP(F347,製品マスタ!$G$5:$L$5002,6,FALSE))</f>
        <v>メタルミー　ネーマー銀消改　Ｂ</v>
      </c>
      <c r="J347" s="210" t="s">
        <v>935</v>
      </c>
      <c r="K347" s="270">
        <f>IF(D347="","",VLOOKUP(D347,契約台帳!$A$3:$L$4986,12,FALSE))</f>
        <v>50</v>
      </c>
      <c r="L347" s="270" t="str">
        <f>IF(D347="","",INDEX(製品マスタ!$Q$5:$Q$5002,MATCH('S4'!F347&amp;'S4'!K347,製品マスタ!$AO$5:$AO$5002,0)))</f>
        <v>S99-MAT</v>
      </c>
      <c r="M347" s="39">
        <v>1000</v>
      </c>
      <c r="N347" s="39">
        <v>4000</v>
      </c>
      <c r="O347" s="156">
        <v>2</v>
      </c>
      <c r="P347" s="47">
        <v>2</v>
      </c>
      <c r="Q347" s="213">
        <v>44993</v>
      </c>
      <c r="R347" s="271">
        <f ca="1">IF(D347="","",IF(OFFSET(D347,-1,0)&lt;&gt;"","",IF(OR(J347="リード付け",J347="巻足し",J347="巻返しリード付け"),M347,VLOOKUP(D347,契約台帳!$A$3:$N$4986,14,FALSE))))</f>
        <v>1000</v>
      </c>
      <c r="S347" s="272">
        <f ca="1">IF(D347="","",IF(OFFSET(D347,-1,0)&lt;&gt;"","",IF(OR(J347="リード付け",J347="巻足し",J347="巻返しリード付け"),M347,VLOOKUP(D347,契約台帳!$A$3:$O$4986,15,FALSE))))</f>
        <v>1000</v>
      </c>
      <c r="T347" s="273">
        <f ca="1">IF(D347="","",IF(J347="リード付け",N347,IF(J347="巻返しリード付け",N347,IF(J347="巻足し",N347*P347+OFFSET(N347,1,0)*OFFSET(P347,1,0),VLOOKUP(D347,契約台帳!$A$3:$P$4986,16,FALSE)))))</f>
        <v>8000</v>
      </c>
      <c r="U347" s="40">
        <v>1</v>
      </c>
      <c r="V347" s="274">
        <f ca="1">IF(D347="","",IF(OFFSET(D347,-2,0)=D347,"",VLOOKUP(D347,契約台帳!$A$3:$R$4986,18,FALSE)))</f>
        <v>2</v>
      </c>
      <c r="W347" s="269" t="str">
        <f ca="1">IF(D347="","",IF(T347="","",IF(OR(J347="巻足し",J347="巻返しリード付け"),"",IF(J347="巻返し",VLOOKUP(F347&amp;K347&amp;M347,製品マスタ!$M$5:$AD$5002,18,FALSE),IF(OR(J347="リード付け",J347="巻返しリード付け"),"原反コア",IF(J347="スリット",VLOOKUP(F347&amp;K347&amp;R347,製品マスタ!$N$5:$AD$5002,17,FALSE),""))))))</f>
        <v/>
      </c>
      <c r="X347" s="269" t="str">
        <f ca="1">IF(D347="","",IF(T347="","",IF(J347="巻足し","",IF(J347="巻返し",VLOOKUP(F347&amp;K347&amp;M347,製品マスタ!$M$5:$AE$5002,19,FALSE),IF(OR(J347="リード付け",J347="巻返しリード付け"),"",IF(J347="スリット",VLOOKUP(F347&amp;K347&amp;R347,製品マスタ!$N$5:$AE$5002,18,FALSE),""))))))</f>
        <v/>
      </c>
      <c r="Y347" s="275">
        <f ca="1">IF(D347="","",IF(T347="","",VLOOKUP(D347,契約台帳!$A$3:$Q$4986,17,FALSE)))</f>
        <v>2</v>
      </c>
      <c r="Z347" s="269" t="str">
        <f ca="1">IF(D347="","",IF(T347="","",VLOOKUP(D347,契約台帳!$A$3:$E$4986,5,FALSE)))</f>
        <v>リンテック㈱</v>
      </c>
      <c r="AA347" s="57"/>
      <c r="AB347" s="207">
        <f>IFERROR((VLOOKUP(F347&amp;K347&amp;M347,製品マスタ!$M$5:$AM$5002,27,FALSE)),"")</f>
        <v>0</v>
      </c>
      <c r="AC347" s="33"/>
      <c r="AD347" s="189"/>
      <c r="AE347" s="54"/>
      <c r="AF347" s="55"/>
      <c r="AG347" s="43"/>
      <c r="AH347" s="47"/>
      <c r="AI347" s="30"/>
      <c r="AJ347" s="30"/>
      <c r="AK347" s="30"/>
      <c r="AL347" s="30"/>
      <c r="AM347" s="13"/>
      <c r="AN347" s="13"/>
      <c r="AO347" s="13"/>
      <c r="AP347" s="13"/>
      <c r="AQ347" s="13"/>
      <c r="AR347" s="14"/>
      <c r="AS347" s="15"/>
    </row>
    <row r="348" spans="1:45" s="17" customFormat="1" ht="30.95" hidden="1" customHeight="1" x14ac:dyDescent="0.2">
      <c r="A348" s="37"/>
      <c r="B348" s="38"/>
      <c r="C348" s="45"/>
      <c r="D348" s="31"/>
      <c r="E348" s="31"/>
      <c r="F348" s="268" t="str">
        <f>IF(D348="","",VLOOKUP(D348,契約台帳!$A$3:$K$4986,6,FALSE)&amp;VLOOKUP(D348,契約台帳!$A$3:$K$4986,7,FALSE)&amp;VLOOKUP(D348,契約台帳!$A$3:$K$4986,8,FALSE)&amp;VLOOKUP(D348,契約台帳!$A$3:$K$4986,9,FALSE)&amp;VLOOKUP(D348,契約台帳!$A$3:$K$4986,11,FALSE))</f>
        <v/>
      </c>
      <c r="G348" s="269" t="str">
        <f>IF(D348="","",VLOOKUP(F348,製品マスタ!$G$5:$H$5002,2,FALSE))</f>
        <v/>
      </c>
      <c r="H348" s="269" t="str">
        <f>IF(D348="","",VLOOKUP(F348,製品マスタ!$G$5:$K$5002,5,FALSE))</f>
        <v/>
      </c>
      <c r="I348" s="270" t="str">
        <f>IF(D348="","",VLOOKUP(F348,製品マスタ!$G$5:$L$5002,6,FALSE))</f>
        <v/>
      </c>
      <c r="J348" s="210"/>
      <c r="K348" s="270" t="str">
        <f>IF(D348="","",VLOOKUP(D348,契約台帳!$A$3:$L$4986,12,FALSE))</f>
        <v/>
      </c>
      <c r="L348" s="270" t="str">
        <f>IF(D348="","",INDEX(製品マスタ!$Q$5:$Q$5002,MATCH('S4'!F348&amp;'S4'!K348,製品マスタ!$AO$5:$AO$5002,0)))</f>
        <v/>
      </c>
      <c r="M348" s="39"/>
      <c r="N348" s="39"/>
      <c r="O348" s="156"/>
      <c r="P348" s="47"/>
      <c r="Q348" s="57"/>
      <c r="R348" s="271" t="str">
        <f ca="1">IF(D348="","",IF(OFFSET(D348,-1,0)&lt;&gt;"","",IF(OR(J348="リード付け",J348="巻足し",J348="巻返しリード付け"),M348,VLOOKUP(D348,契約台帳!$A$3:$N$4986,14,FALSE))))</f>
        <v/>
      </c>
      <c r="S348" s="272" t="str">
        <f ca="1">IF(D348="","",IF(OFFSET(D348,-1,0)&lt;&gt;"","",IF(OR(J348="リード付け",J348="巻足し",J348="巻返しリード付け"),M348,VLOOKUP(D348,契約台帳!$A$3:$O$4986,15,FALSE))))</f>
        <v/>
      </c>
      <c r="T348" s="273" t="str">
        <f ca="1">IF(D348="","",IF(J348="リード付け",N348,IF(J348="巻返しリード付け",N348,IF(J348="巻足し",N348*P348+OFFSET(N348,1,0)*OFFSET(P348,1,0),VLOOKUP(D348,契約台帳!$A$3:$P$4986,16,FALSE)))))</f>
        <v/>
      </c>
      <c r="U348" s="40"/>
      <c r="V348" s="274" t="str">
        <f ca="1">IF(D348="","",IF(OFFSET(D348,-2,0)=D348,"",VLOOKUP(D348,契約台帳!$A$3:$R$4986,18,FALSE)))</f>
        <v/>
      </c>
      <c r="W348" s="269" t="str">
        <f>IF(D348="","",IF(T348="","",IF(OR(J348="巻足し",J348="巻返しリード付け"),"",IF(J348="巻返し",VLOOKUP(F348&amp;K348&amp;M348,製品マスタ!$M$5:$AD$5002,18,FALSE),IF(OR(J348="リード付け",J348="巻返しリード付け"),"原反コア",IF(J348="スリット",VLOOKUP(F348&amp;K348&amp;R348,製品マスタ!$N$5:$AD$5002,17,FALSE),""))))))</f>
        <v/>
      </c>
      <c r="X348" s="269" t="str">
        <f>IF(D348="","",IF(T348="","",IF(J348="巻足し","",IF(J348="巻返し",VLOOKUP(F348&amp;K348&amp;M348,製品マスタ!$M$5:$AE$5002,19,FALSE),IF(OR(J348="リード付け",J348="巻返しリード付け"),"",IF(J348="スリット",VLOOKUP(F348&amp;K348&amp;R348,製品マスタ!$N$5:$AE$5002,18,FALSE),""))))))</f>
        <v/>
      </c>
      <c r="Y348" s="275" t="str">
        <f>IF(D348="","",IF(T348="","",VLOOKUP(D348,契約台帳!$A$3:$Q$4986,17,FALSE)))</f>
        <v/>
      </c>
      <c r="Z348" s="269" t="str">
        <f>IF(D348="","",IF(T348="","",VLOOKUP(D348,契約台帳!$A$3:$E$4986,5,FALSE)))</f>
        <v/>
      </c>
      <c r="AA348" s="57"/>
      <c r="AB348" s="207" t="str">
        <f>IFERROR((VLOOKUP(F348&amp;K348&amp;M348,製品マスタ!$M$5:$AM$5002,27,FALSE)),"")</f>
        <v/>
      </c>
      <c r="AC348" s="33"/>
      <c r="AD348" s="189"/>
      <c r="AE348" s="54"/>
      <c r="AF348" s="55"/>
      <c r="AG348" s="43"/>
      <c r="AH348" s="47"/>
      <c r="AI348" s="30"/>
      <c r="AJ348" s="30"/>
      <c r="AK348" s="30"/>
      <c r="AL348" s="30"/>
      <c r="AM348" s="13"/>
      <c r="AN348" s="13"/>
      <c r="AO348" s="13"/>
      <c r="AP348" s="13"/>
      <c r="AQ348" s="13"/>
      <c r="AR348" s="14"/>
      <c r="AS348" s="15"/>
    </row>
    <row r="349" spans="1:45" s="17" customFormat="1" ht="30.95" hidden="1" customHeight="1" x14ac:dyDescent="0.2">
      <c r="A349" s="37" t="s">
        <v>955</v>
      </c>
      <c r="B349" s="38" t="s">
        <v>947</v>
      </c>
      <c r="C349" s="45"/>
      <c r="D349" s="31"/>
      <c r="E349" s="31"/>
      <c r="F349" s="268"/>
      <c r="G349" s="269"/>
      <c r="H349" s="269"/>
      <c r="I349" s="270"/>
      <c r="J349" s="210" t="s">
        <v>1001</v>
      </c>
      <c r="K349" s="270"/>
      <c r="L349" s="270"/>
      <c r="M349" s="39"/>
      <c r="N349" s="39"/>
      <c r="O349" s="156"/>
      <c r="P349" s="47"/>
      <c r="Q349" s="57"/>
      <c r="R349" s="271"/>
      <c r="S349" s="272"/>
      <c r="T349" s="273"/>
      <c r="U349" s="40"/>
      <c r="V349" s="274"/>
      <c r="W349" s="269"/>
      <c r="X349" s="269"/>
      <c r="Y349" s="275"/>
      <c r="Z349" s="269"/>
      <c r="AA349" s="57"/>
      <c r="AB349" s="207"/>
      <c r="AC349" s="33"/>
      <c r="AD349" s="189"/>
      <c r="AE349" s="54"/>
      <c r="AF349" s="55"/>
      <c r="AG349" s="43"/>
      <c r="AH349" s="47"/>
      <c r="AI349" s="30"/>
      <c r="AJ349" s="30"/>
      <c r="AK349" s="30"/>
      <c r="AL349" s="30"/>
      <c r="AM349" s="13"/>
      <c r="AN349" s="13"/>
      <c r="AO349" s="13"/>
      <c r="AP349" s="13"/>
      <c r="AQ349" s="13"/>
      <c r="AR349" s="14"/>
      <c r="AS349" s="15"/>
    </row>
    <row r="350" spans="1:45" s="17" customFormat="1" ht="30.95" hidden="1" customHeight="1" x14ac:dyDescent="0.2">
      <c r="A350" s="37"/>
      <c r="B350" s="38"/>
      <c r="C350" s="45"/>
      <c r="D350" s="31"/>
      <c r="E350" s="31"/>
      <c r="F350" s="268"/>
      <c r="G350" s="269"/>
      <c r="H350" s="269"/>
      <c r="I350" s="270"/>
      <c r="J350" s="210"/>
      <c r="K350" s="270"/>
      <c r="L350" s="270"/>
      <c r="M350" s="39"/>
      <c r="N350" s="39"/>
      <c r="O350" s="156"/>
      <c r="P350" s="47"/>
      <c r="Q350" s="57"/>
      <c r="R350" s="271"/>
      <c r="S350" s="272"/>
      <c r="T350" s="273"/>
      <c r="U350" s="40"/>
      <c r="V350" s="274"/>
      <c r="W350" s="269"/>
      <c r="X350" s="269"/>
      <c r="Y350" s="275"/>
      <c r="Z350" s="269"/>
      <c r="AA350" s="57"/>
      <c r="AB350" s="207"/>
      <c r="AC350" s="33"/>
      <c r="AD350" s="189"/>
      <c r="AE350" s="54"/>
      <c r="AF350" s="55"/>
      <c r="AG350" s="43"/>
      <c r="AH350" s="47"/>
      <c r="AI350" s="30"/>
      <c r="AJ350" s="30"/>
      <c r="AK350" s="30"/>
      <c r="AL350" s="30"/>
      <c r="AM350" s="13"/>
      <c r="AN350" s="13"/>
      <c r="AO350" s="13"/>
      <c r="AP350" s="13"/>
      <c r="AQ350" s="13"/>
      <c r="AR350" s="14"/>
      <c r="AS350" s="15"/>
    </row>
    <row r="351" spans="1:45" s="17" customFormat="1" ht="30.95" hidden="1" customHeight="1" x14ac:dyDescent="0.2">
      <c r="A351" s="37" t="s">
        <v>1005</v>
      </c>
      <c r="B351" s="38" t="s">
        <v>1006</v>
      </c>
      <c r="C351" s="45"/>
      <c r="D351" s="31">
        <v>3700966</v>
      </c>
      <c r="E351" s="31">
        <v>4140909</v>
      </c>
      <c r="F351" s="268" t="str">
        <f>IF(D351="","",VLOOKUP(D351,契約台帳!$A$3:$K$4986,6,FALSE)&amp;VLOOKUP(D351,契約台帳!$A$3:$K$4986,7,FALSE)&amp;VLOOKUP(D351,契約台帳!$A$3:$K$4986,8,FALSE)&amp;VLOOKUP(D351,契約台帳!$A$3:$K$4986,9,FALSE)&amp;VLOOKUP(D351,契約台帳!$A$3:$K$4986,11,FALSE))</f>
        <v>3SNCLBLMEYK</v>
      </c>
      <c r="G351" s="269" t="str">
        <f>IF(D351="","",VLOOKUP(F351,製品マスタ!$G$5:$H$5002,2,FALSE))</f>
        <v>S</v>
      </c>
      <c r="H351" s="269" t="str">
        <f>IF(D351="","",VLOOKUP(F351,製品マスタ!$G$5:$K$5002,5,FALSE))</f>
        <v>LMEYK</v>
      </c>
      <c r="I351" s="270" t="str">
        <f>IF(D351="","",VLOOKUP(F351,製品マスタ!$G$5:$L$5002,6,FALSE))</f>
        <v>ルミマットＥＹＫ</v>
      </c>
      <c r="J351" s="210" t="s">
        <v>447</v>
      </c>
      <c r="K351" s="270">
        <f>IF(D351="","",VLOOKUP(D351,契約台帳!$A$3:$L$4986,12,FALSE))</f>
        <v>38</v>
      </c>
      <c r="L351" s="270" t="str">
        <f>IF(D351="","",INDEX(製品マスタ!$Q$5:$Q$5002,MATCH('S4'!F351&amp;'S4'!K351,製品マスタ!$AO$5:$AO$5002,0)))</f>
        <v>LUMIMAT</v>
      </c>
      <c r="M351" s="39">
        <v>1005</v>
      </c>
      <c r="N351" s="39">
        <v>8000</v>
      </c>
      <c r="O351" s="156">
        <v>5</v>
      </c>
      <c r="P351" s="47">
        <v>5</v>
      </c>
      <c r="Q351" s="57"/>
      <c r="R351" s="271">
        <f ca="1">IF(D351="","",IF(OFFSET(D351,-1,0)&lt;&gt;"","",IF(OR(J351="リード付け",J351="巻足し",J351="巻返しリード付け"),M351,VLOOKUP(D351,契約台帳!$A$3:$N$4986,14,FALSE))))</f>
        <v>1005</v>
      </c>
      <c r="S351" s="272">
        <f ca="1">IF(D351="","",IF(OFFSET(D351,-1,0)&lt;&gt;"","",IF(OR(J351="リード付け",J351="巻足し",J351="巻返しリード付け"),M351,VLOOKUP(D351,契約台帳!$A$3:$O$4986,15,FALSE))))</f>
        <v>1000</v>
      </c>
      <c r="T351" s="273">
        <f ca="1">IF(D351="","",IF(J351="リード付け",N351,IF(J351="巻返しリード付け",N351,IF(J351="巻足し",N351*P351+OFFSET(N351,1,0)*OFFSET(P351,1,0),VLOOKUP(D351,契約台帳!$A$3:$P$4986,16,FALSE)))))</f>
        <v>4000</v>
      </c>
      <c r="U351" s="40">
        <v>10</v>
      </c>
      <c r="V351" s="274">
        <f ca="1">IF(D351="","",IF(OFFSET(D351,-2,0)=D351,"",VLOOKUP(D351,契約台帳!$A$3:$R$4986,18,FALSE)))</f>
        <v>10</v>
      </c>
      <c r="W351" s="269" t="str">
        <f ca="1">IF(D351="","",IF(T351="","",IF(OR(J351="巻足し",J351="巻返しリード付け"),"",IF(J351="巻返し",VLOOKUP(F351&amp;K351&amp;M351,製品マスタ!$M$5:$AD$5002,18,FALSE),IF(OR(J351="リード付け",J351="巻返しリード付け"),"原反コア",IF(J351="スリット",VLOOKUP(F351&amp;K351&amp;R351,製品マスタ!$N$5:$AD$5002,17,FALSE),""))))))</f>
        <v>3ｲﾝﾁSｺｱ</v>
      </c>
      <c r="X351" s="269">
        <f ca="1">IF(D351="","",IF(T351="","",IF(J351="巻足し","",IF(J351="巻返し",VLOOKUP(F351&amp;K351&amp;M351,製品マスタ!$M$5:$AE$5002,19,FALSE),IF(OR(J351="リード付け",J351="巻返しリード付け"),"",IF(J351="スリット",VLOOKUP(F351&amp;K351&amp;R351,製品マスタ!$N$5:$AE$5002,18,FALSE),""))))))</f>
        <v>1015</v>
      </c>
      <c r="Y351" s="275">
        <f ca="1">IF(D351="","",IF(T351="","",VLOOKUP(D351,契約台帳!$A$3:$Q$4986,17,FALSE)))</f>
        <v>2</v>
      </c>
      <c r="Z351" s="269" t="str">
        <f ca="1">IF(D351="","",IF(T351="","",VLOOKUP(D351,契約台帳!$A$3:$E$4986,5,FALSE)))</f>
        <v>リンテック㈱</v>
      </c>
      <c r="AA351" s="57"/>
      <c r="AB351" s="207">
        <f>IFERROR((VLOOKUP(F351&amp;K351&amp;M351,製品マスタ!$M$5:$AM$5002,27,FALSE)),"")</f>
        <v>0</v>
      </c>
      <c r="AC351" s="33"/>
      <c r="AD351" s="189"/>
      <c r="AE351" s="54"/>
      <c r="AF351" s="55"/>
      <c r="AG351" s="43"/>
      <c r="AH351" s="47"/>
      <c r="AI351" s="30"/>
      <c r="AJ351" s="30"/>
      <c r="AK351" s="30"/>
      <c r="AL351" s="30"/>
      <c r="AM351" s="13"/>
      <c r="AN351" s="13"/>
      <c r="AO351" s="13"/>
      <c r="AP351" s="13"/>
      <c r="AQ351" s="13"/>
      <c r="AR351" s="14"/>
      <c r="AS351" s="15"/>
    </row>
    <row r="352" spans="1:45" s="17" customFormat="1" ht="30.95" hidden="1" customHeight="1" x14ac:dyDescent="0.2">
      <c r="A352" s="37"/>
      <c r="B352" s="38"/>
      <c r="C352" s="45"/>
      <c r="D352" s="31"/>
      <c r="E352" s="31"/>
      <c r="F352" s="268" t="str">
        <f>IF(D352="","",VLOOKUP(D352,契約台帳!$A$3:$K$4986,6,FALSE)&amp;VLOOKUP(D352,契約台帳!$A$3:$K$4986,7,FALSE)&amp;VLOOKUP(D352,契約台帳!$A$3:$K$4986,8,FALSE)&amp;VLOOKUP(D352,契約台帳!$A$3:$K$4986,9,FALSE)&amp;VLOOKUP(D352,契約台帳!$A$3:$K$4986,11,FALSE))</f>
        <v/>
      </c>
      <c r="G352" s="269" t="str">
        <f>IF(D352="","",VLOOKUP(F352,製品マスタ!$G$5:$H$5002,2,FALSE))</f>
        <v/>
      </c>
      <c r="H352" s="269" t="str">
        <f>IF(D352="","",VLOOKUP(F352,製品マスタ!$G$5:$K$5002,5,FALSE))</f>
        <v/>
      </c>
      <c r="I352" s="270" t="str">
        <f>IF(D352="","",VLOOKUP(F352,製品マスタ!$G$5:$L$5002,6,FALSE))</f>
        <v/>
      </c>
      <c r="J352" s="210"/>
      <c r="K352" s="270" t="str">
        <f>IF(D352="","",VLOOKUP(D352,契約台帳!$A$3:$L$4986,12,FALSE))</f>
        <v/>
      </c>
      <c r="L352" s="270" t="str">
        <f>IF(D352="","",INDEX(製品マスタ!$Q$5:$Q$5002,MATCH('S4'!F352&amp;'S4'!K352,製品マスタ!$AO$5:$AO$5002,0)))</f>
        <v/>
      </c>
      <c r="M352" s="39"/>
      <c r="N352" s="39"/>
      <c r="O352" s="156"/>
      <c r="P352" s="47"/>
      <c r="Q352" s="57"/>
      <c r="R352" s="271" t="str">
        <f ca="1">IF(D352="","",IF(OFFSET(D352,-1,0)&lt;&gt;"","",IF(OR(J352="リード付け",J352="巻足し",J352="巻返しリード付け"),M352,VLOOKUP(D352,契約台帳!$A$3:$N$4986,14,FALSE))))</f>
        <v/>
      </c>
      <c r="S352" s="272" t="str">
        <f ca="1">IF(D352="","",IF(OFFSET(D352,-1,0)&lt;&gt;"","",IF(OR(J352="リード付け",J352="巻足し",J352="巻返しリード付け"),M352,VLOOKUP(D352,契約台帳!$A$3:$O$4986,15,FALSE))))</f>
        <v/>
      </c>
      <c r="T352" s="273" t="str">
        <f ca="1">IF(D352="","",IF(J352="リード付け",N352,IF(J352="巻返しリード付け",N352,IF(J352="巻足し",N352*P352+OFFSET(N352,1,0)*OFFSET(P352,1,0),VLOOKUP(D352,契約台帳!$A$3:$P$4986,16,FALSE)))))</f>
        <v/>
      </c>
      <c r="U352" s="40"/>
      <c r="V352" s="274" t="str">
        <f ca="1">IF(D352="","",IF(OFFSET(D352,-2,0)=D352,"",VLOOKUP(D352,契約台帳!$A$3:$R$4986,18,FALSE)))</f>
        <v/>
      </c>
      <c r="W352" s="269" t="str">
        <f>IF(D352="","",IF(T352="","",IF(OR(J352="巻足し",J352="巻返しリード付け"),"",IF(J352="巻返し",VLOOKUP(F352&amp;K352&amp;M352,製品マスタ!$M$5:$AD$5002,18,FALSE),IF(OR(J352="リード付け",J352="巻返しリード付け"),"原反コア",IF(J352="スリット",VLOOKUP(F352&amp;K352&amp;R352,製品マスタ!$N$5:$AD$5002,17,FALSE),""))))))</f>
        <v/>
      </c>
      <c r="X352" s="269" t="str">
        <f>IF(D352="","",IF(T352="","",IF(J352="巻足し","",IF(J352="巻返し",VLOOKUP(F352&amp;K352&amp;M352,製品マスタ!$M$5:$AE$5002,19,FALSE),IF(OR(J352="リード付け",J352="巻返しリード付け"),"",IF(J352="スリット",VLOOKUP(F352&amp;K352&amp;R352,製品マスタ!$N$5:$AE$5002,18,FALSE),""))))))</f>
        <v/>
      </c>
      <c r="Y352" s="275" t="str">
        <f>IF(D352="","",IF(T352="","",VLOOKUP(D352,契約台帳!$A$3:$Q$4986,17,FALSE)))</f>
        <v/>
      </c>
      <c r="Z352" s="269" t="str">
        <f>IF(D352="","",IF(T352="","",VLOOKUP(D352,契約台帳!$A$3:$E$4986,5,FALSE)))</f>
        <v/>
      </c>
      <c r="AA352" s="57"/>
      <c r="AB352" s="207" t="str">
        <f>IFERROR((VLOOKUP(F352&amp;K352&amp;M352,製品マスタ!$M$5:$AM$5002,27,FALSE)),"")</f>
        <v/>
      </c>
      <c r="AC352" s="33"/>
      <c r="AD352" s="189"/>
      <c r="AE352" s="54"/>
      <c r="AF352" s="55"/>
      <c r="AG352" s="43"/>
      <c r="AH352" s="47"/>
      <c r="AI352" s="30"/>
      <c r="AJ352" s="30"/>
      <c r="AK352" s="30"/>
      <c r="AL352" s="30"/>
      <c r="AM352" s="13"/>
      <c r="AN352" s="13"/>
      <c r="AO352" s="13"/>
      <c r="AP352" s="13"/>
      <c r="AQ352" s="13"/>
      <c r="AR352" s="14"/>
      <c r="AS352" s="15"/>
    </row>
    <row r="353" spans="1:45" s="17" customFormat="1" ht="30.95" hidden="1" customHeight="1" x14ac:dyDescent="0.2">
      <c r="A353" s="37"/>
      <c r="B353" s="38"/>
      <c r="C353" s="45"/>
      <c r="D353" s="31">
        <v>3703375</v>
      </c>
      <c r="E353" s="31">
        <v>4140910</v>
      </c>
      <c r="F353" s="268" t="str">
        <f>IF(D353="","",VLOOKUP(D353,契約台帳!$A$3:$K$4986,6,FALSE)&amp;VLOOKUP(D353,契約台帳!$A$3:$K$4986,7,FALSE)&amp;VLOOKUP(D353,契約台帳!$A$3:$K$4986,8,FALSE)&amp;VLOOKUP(D353,契約台帳!$A$3:$K$4986,9,FALSE)&amp;VLOOKUP(D353,契約台帳!$A$3:$K$4986,11,FALSE))</f>
        <v>3SNCLBLMEYK</v>
      </c>
      <c r="G353" s="269" t="str">
        <f>IF(D353="","",VLOOKUP(F353,製品マスタ!$G$5:$H$5002,2,FALSE))</f>
        <v>S</v>
      </c>
      <c r="H353" s="269" t="str">
        <f>IF(D353="","",VLOOKUP(F353,製品マスタ!$G$5:$K$5002,5,FALSE))</f>
        <v>LMEYK</v>
      </c>
      <c r="I353" s="270" t="str">
        <f>IF(D353="","",VLOOKUP(F353,製品マスタ!$G$5:$L$5002,6,FALSE))</f>
        <v>ルミマットＥＹＫ</v>
      </c>
      <c r="J353" s="210" t="s">
        <v>447</v>
      </c>
      <c r="K353" s="270">
        <f>IF(D353="","",VLOOKUP(D353,契約台帳!$A$3:$L$4986,12,FALSE))</f>
        <v>38</v>
      </c>
      <c r="L353" s="270" t="str">
        <f>IF(D353="","",INDEX(製品マスタ!$Q$5:$Q$5002,MATCH('S4'!F353&amp;'S4'!K353,製品マスタ!$AO$5:$AO$5002,0)))</f>
        <v>LUMIMAT</v>
      </c>
      <c r="M353" s="39">
        <v>1005</v>
      </c>
      <c r="N353" s="39">
        <v>4000</v>
      </c>
      <c r="O353" s="156">
        <v>2</v>
      </c>
      <c r="P353" s="47">
        <v>2</v>
      </c>
      <c r="Q353" s="57"/>
      <c r="R353" s="271">
        <f ca="1">IF(D353="","",IF(OFFSET(D353,-1,0)&lt;&gt;"","",IF(OR(J353="リード付け",J353="巻足し",J353="巻返しリード付け"),M353,VLOOKUP(D353,契約台帳!$A$3:$N$4986,14,FALSE))))</f>
        <v>1005</v>
      </c>
      <c r="S353" s="272">
        <f ca="1">IF(D353="","",IF(OFFSET(D353,-1,0)&lt;&gt;"","",IF(OR(J353="リード付け",J353="巻足し",J353="巻返しリード付け"),M353,VLOOKUP(D353,契約台帳!$A$3:$O$4986,15,FALSE))))</f>
        <v>1000</v>
      </c>
      <c r="T353" s="273">
        <f ca="1">IF(D353="","",IF(J353="リード付け",N353,IF(J353="巻返しリード付け",N353,IF(J353="巻足し",N353*P353+OFFSET(N353,1,0)*OFFSET(P353,1,0),VLOOKUP(D353,契約台帳!$A$3:$P$4986,16,FALSE)))))</f>
        <v>4000</v>
      </c>
      <c r="U353" s="40">
        <v>2</v>
      </c>
      <c r="V353" s="274">
        <f ca="1">IF(D353="","",IF(OFFSET(D353,-2,0)=D353,"",VLOOKUP(D353,契約台帳!$A$3:$R$4986,18,FALSE)))</f>
        <v>2</v>
      </c>
      <c r="W353" s="269" t="str">
        <f ca="1">IF(D353="","",IF(T353="","",IF(OR(J353="巻足し",J353="巻返しリード付け"),"",IF(J353="巻返し",VLOOKUP(F353&amp;K353&amp;M353,製品マスタ!$M$5:$AD$5002,18,FALSE),IF(OR(J353="リード付け",J353="巻返しリード付け"),"原反コア",IF(J353="スリット",VLOOKUP(F353&amp;K353&amp;R353,製品マスタ!$N$5:$AD$5002,17,FALSE),""))))))</f>
        <v>3ｲﾝﾁSｺｱ</v>
      </c>
      <c r="X353" s="269">
        <f ca="1">IF(D353="","",IF(T353="","",IF(J353="巻足し","",IF(J353="巻返し",VLOOKUP(F353&amp;K353&amp;M353,製品マスタ!$M$5:$AE$5002,19,FALSE),IF(OR(J353="リード付け",J353="巻返しリード付け"),"",IF(J353="スリット",VLOOKUP(F353&amp;K353&amp;R353,製品マスタ!$N$5:$AE$5002,18,FALSE),""))))))</f>
        <v>1015</v>
      </c>
      <c r="Y353" s="275">
        <f ca="1">IF(D353="","",IF(T353="","",VLOOKUP(D353,契約台帳!$A$3:$Q$4986,17,FALSE)))</f>
        <v>2</v>
      </c>
      <c r="Z353" s="269" t="str">
        <f ca="1">IF(D353="","",IF(T353="","",VLOOKUP(D353,契約台帳!$A$3:$E$4986,5,FALSE)))</f>
        <v>リンテック㈱</v>
      </c>
      <c r="AA353" s="57"/>
      <c r="AB353" s="207">
        <f>IFERROR((VLOOKUP(F353&amp;K353&amp;M353,製品マスタ!$M$5:$AM$5002,27,FALSE)),"")</f>
        <v>0</v>
      </c>
      <c r="AC353" s="33"/>
      <c r="AD353" s="189"/>
      <c r="AE353" s="54"/>
      <c r="AF353" s="55"/>
      <c r="AG353" s="43"/>
      <c r="AH353" s="47"/>
      <c r="AI353" s="30"/>
      <c r="AJ353" s="30"/>
      <c r="AK353" s="30"/>
      <c r="AL353" s="30"/>
      <c r="AM353" s="13"/>
      <c r="AN353" s="13"/>
      <c r="AO353" s="13"/>
      <c r="AP353" s="13"/>
      <c r="AQ353" s="13"/>
      <c r="AR353" s="14"/>
      <c r="AS353" s="15"/>
    </row>
    <row r="354" spans="1:45" s="17" customFormat="1" ht="30.95" hidden="1" customHeight="1" x14ac:dyDescent="0.2">
      <c r="A354" s="37"/>
      <c r="B354" s="38"/>
      <c r="C354" s="45"/>
      <c r="D354" s="31"/>
      <c r="E354" s="31"/>
      <c r="F354" s="268"/>
      <c r="G354" s="269"/>
      <c r="H354" s="269"/>
      <c r="I354" s="270"/>
      <c r="J354" s="210"/>
      <c r="K354" s="270"/>
      <c r="L354" s="270"/>
      <c r="M354" s="39"/>
      <c r="N354" s="39"/>
      <c r="O354" s="156"/>
      <c r="P354" s="47"/>
      <c r="Q354" s="57"/>
      <c r="R354" s="271"/>
      <c r="S354" s="272"/>
      <c r="T354" s="273"/>
      <c r="U354" s="40"/>
      <c r="V354" s="274"/>
      <c r="W354" s="269"/>
      <c r="X354" s="269"/>
      <c r="Y354" s="275"/>
      <c r="Z354" s="269"/>
      <c r="AA354" s="57"/>
      <c r="AB354" s="207"/>
      <c r="AC354" s="33"/>
      <c r="AD354" s="189"/>
      <c r="AE354" s="54"/>
      <c r="AF354" s="55"/>
      <c r="AG354" s="43"/>
      <c r="AH354" s="47"/>
      <c r="AI354" s="30"/>
      <c r="AJ354" s="30"/>
      <c r="AK354" s="30"/>
      <c r="AL354" s="30"/>
      <c r="AM354" s="13"/>
      <c r="AN354" s="13"/>
      <c r="AO354" s="13"/>
      <c r="AP354" s="13"/>
      <c r="AQ354" s="13"/>
      <c r="AR354" s="14"/>
      <c r="AS354" s="15"/>
    </row>
    <row r="355" spans="1:45" s="17" customFormat="1" ht="30.95" hidden="1" customHeight="1" x14ac:dyDescent="0.2">
      <c r="A355" s="37" t="s">
        <v>1007</v>
      </c>
      <c r="B355" s="38" t="s">
        <v>1008</v>
      </c>
      <c r="C355" s="45"/>
      <c r="D355" s="31">
        <v>3700944</v>
      </c>
      <c r="E355" s="31">
        <v>4140899</v>
      </c>
      <c r="F355" s="268" t="str">
        <f>IF(D355="","",VLOOKUP(D355,契約台帳!$A$3:$K$4986,6,FALSE)&amp;VLOOKUP(D355,契約台帳!$A$3:$K$4986,7,FALSE)&amp;VLOOKUP(D355,契約台帳!$A$3:$K$4986,8,FALSE)&amp;VLOOKUP(D355,契約台帳!$A$3:$K$4986,9,FALSE)&amp;VLOOKUP(D355,契約台帳!$A$3:$K$4986,11,FALSE))</f>
        <v>3HSNMCLBEYK</v>
      </c>
      <c r="G355" s="269" t="str">
        <f>IF(D355="","",VLOOKUP(F355,製品マスタ!$G$5:$H$5002,2,FALSE))</f>
        <v>S</v>
      </c>
      <c r="H355" s="269" t="str">
        <f>IF(D355="","",VLOOKUP(F355,製品マスタ!$G$5:$K$5002,5,FALSE))</f>
        <v>EYK</v>
      </c>
      <c r="I355" s="270" t="str">
        <f>IF(D355="","",VLOOKUP(F355,製品マスタ!$G$5:$L$5002,6,FALSE))</f>
        <v>メタルミー　ＥＹＫ</v>
      </c>
      <c r="J355" s="210" t="s">
        <v>447</v>
      </c>
      <c r="K355" s="270">
        <f>IF(D355="","",VLOOKUP(D355,契約台帳!$A$3:$L$4986,12,FALSE))</f>
        <v>50</v>
      </c>
      <c r="L355" s="270" t="str">
        <f>IF(D355="","",INDEX(製品マスタ!$Q$5:$Q$5002,MATCH('S4'!F355&amp;'S4'!K355,製品マスタ!$AO$5:$AO$5002,0)))</f>
        <v>T62M</v>
      </c>
      <c r="M355" s="39">
        <v>1195</v>
      </c>
      <c r="N355" s="39">
        <v>12200</v>
      </c>
      <c r="O355" s="156">
        <v>5</v>
      </c>
      <c r="P355" s="47">
        <v>5</v>
      </c>
      <c r="Q355" s="57"/>
      <c r="R355" s="271">
        <f ca="1">IF(D355="","",IF(OFFSET(D355,-1,0)&lt;&gt;"","",IF(OR(J355="リード付け",J355="巻足し",J355="巻返しリード付け"),M355,VLOOKUP(D355,契約台帳!$A$3:$N$4986,14,FALSE))))</f>
        <v>1190</v>
      </c>
      <c r="S355" s="272">
        <f ca="1">IF(D355="","",IF(OFFSET(D355,-1,0)&lt;&gt;"","",IF(OR(J355="リード付け",J355="巻足し",J355="巻返しリード付け"),M355,VLOOKUP(D355,契約台帳!$A$3:$O$4986,15,FALSE))))</f>
        <v>1190</v>
      </c>
      <c r="T355" s="273">
        <f ca="1">IF(D355="","",IF(J355="リード付け",N355,IF(J355="巻返しリード付け",N355,IF(J355="巻足し",N355*P355+OFFSET(N355,1,0)*OFFSET(P355,1,0),VLOOKUP(D355,契約台帳!$A$3:$P$4986,16,FALSE)))))</f>
        <v>6000</v>
      </c>
      <c r="U355" s="40">
        <v>10</v>
      </c>
      <c r="V355" s="274">
        <f ca="1">IF(D355="","",IF(OFFSET(D355,-2,0)=D355,"",VLOOKUP(D355,契約台帳!$A$3:$R$4986,18,FALSE)))</f>
        <v>10</v>
      </c>
      <c r="W355" s="269" t="str">
        <f ca="1">IF(D355="","",IF(T355="","",IF(OR(J355="巻足し",J355="巻返しリード付け"),"",IF(J355="巻返し",VLOOKUP(F355&amp;K355&amp;M355,製品マスタ!$M$5:$AD$5002,18,FALSE),IF(OR(J355="リード付け",J355="巻返しリード付け"),"原反コア",IF(J355="スリット",VLOOKUP(F355&amp;K355&amp;R355,製品マスタ!$N$5:$AD$5002,17,FALSE),""))))))</f>
        <v>6ｲﾝﾁMｺｱ</v>
      </c>
      <c r="X355" s="269">
        <f ca="1">IF(D355="","",IF(T355="","",IF(J355="巻足し","",IF(J355="巻返し",VLOOKUP(F355&amp;K355&amp;M355,製品マスタ!$M$5:$AE$5002,19,FALSE),IF(OR(J355="リード付け",J355="巻返しリード付け"),"",IF(J355="スリット",VLOOKUP(F355&amp;K355&amp;R355,製品マスタ!$N$5:$AE$5002,18,FALSE),""))))))</f>
        <v>1220</v>
      </c>
      <c r="Y355" s="275">
        <f ca="1">IF(D355="","",IF(T355="","",VLOOKUP(D355,契約台帳!$A$3:$Q$4986,17,FALSE)))</f>
        <v>2</v>
      </c>
      <c r="Z355" s="269" t="str">
        <f ca="1">IF(D355="","",IF(T355="","",VLOOKUP(D355,契約台帳!$A$3:$E$4986,5,FALSE)))</f>
        <v>大阪シーリング印刷㈱</v>
      </c>
      <c r="AA355" s="57"/>
      <c r="AB355" s="207" t="str">
        <f>IFERROR((VLOOKUP(F355&amp;K355&amp;M355,製品マスタ!$M$5:$AM$5002,27,FALSE)),"")</f>
        <v>原反ケース再利用</v>
      </c>
      <c r="AC355" s="33"/>
      <c r="AD355" s="189"/>
      <c r="AE355" s="54"/>
      <c r="AF355" s="55"/>
      <c r="AG355" s="43"/>
      <c r="AH355" s="47"/>
      <c r="AI355" s="30"/>
      <c r="AJ355" s="30"/>
      <c r="AK355" s="30"/>
      <c r="AL355" s="30"/>
      <c r="AM355" s="13"/>
      <c r="AN355" s="13"/>
      <c r="AO355" s="13"/>
      <c r="AP355" s="13"/>
      <c r="AQ355" s="13"/>
      <c r="AR355" s="14"/>
      <c r="AS355" s="15"/>
    </row>
    <row r="356" spans="1:45" s="17" customFormat="1" ht="30.95" hidden="1" customHeight="1" x14ac:dyDescent="0.2">
      <c r="A356" s="37"/>
      <c r="B356" s="38"/>
      <c r="C356" s="45"/>
      <c r="D356" s="31"/>
      <c r="E356" s="31"/>
      <c r="F356" s="268" t="str">
        <f>IF(D356="","",VLOOKUP(D356,契約台帳!$A$3:$K$4986,6,FALSE)&amp;VLOOKUP(D356,契約台帳!$A$3:$K$4986,7,FALSE)&amp;VLOOKUP(D356,契約台帳!$A$3:$K$4986,8,FALSE)&amp;VLOOKUP(D356,契約台帳!$A$3:$K$4986,9,FALSE)&amp;VLOOKUP(D356,契約台帳!$A$3:$K$4986,11,FALSE))</f>
        <v/>
      </c>
      <c r="G356" s="269" t="str">
        <f>IF(D356="","",VLOOKUP(F356,製品マスタ!$G$5:$H$5002,2,FALSE))</f>
        <v/>
      </c>
      <c r="H356" s="269" t="str">
        <f>IF(D356="","",VLOOKUP(F356,製品マスタ!$G$5:$K$5002,5,FALSE))</f>
        <v/>
      </c>
      <c r="I356" s="270" t="str">
        <f>IF(D356="","",VLOOKUP(F356,製品マスタ!$G$5:$L$5002,6,FALSE))</f>
        <v/>
      </c>
      <c r="J356" s="210"/>
      <c r="K356" s="270" t="str">
        <f>IF(D356="","",VLOOKUP(D356,契約台帳!$A$3:$L$4986,12,FALSE))</f>
        <v/>
      </c>
      <c r="L356" s="270" t="str">
        <f>IF(D356="","",INDEX(製品マスタ!$Q$5:$Q$5002,MATCH('S4'!F356&amp;'S4'!K356,製品マスタ!$AO$5:$AO$5002,0)))</f>
        <v/>
      </c>
      <c r="M356" s="39"/>
      <c r="N356" s="39"/>
      <c r="O356" s="156"/>
      <c r="P356" s="47"/>
      <c r="Q356" s="57"/>
      <c r="R356" s="271" t="str">
        <f ca="1">IF(D356="","",IF(OFFSET(D356,-1,0)&lt;&gt;"","",IF(OR(J356="リード付け",J356="巻足し",J356="巻返しリード付け"),M356,VLOOKUP(D356,契約台帳!$A$3:$N$4986,14,FALSE))))</f>
        <v/>
      </c>
      <c r="S356" s="272" t="str">
        <f ca="1">IF(D356="","",IF(OFFSET(D356,-1,0)&lt;&gt;"","",IF(OR(J356="リード付け",J356="巻足し",J356="巻返しリード付け"),M356,VLOOKUP(D356,契約台帳!$A$3:$O$4986,15,FALSE))))</f>
        <v/>
      </c>
      <c r="T356" s="273" t="str">
        <f ca="1">IF(D356="","",IF(J356="リード付け",N356,IF(J356="巻返しリード付け",N356,IF(J356="巻足し",N356*P356+OFFSET(N356,1,0)*OFFSET(P356,1,0),VLOOKUP(D356,契約台帳!$A$3:$P$4986,16,FALSE)))))</f>
        <v/>
      </c>
      <c r="U356" s="40"/>
      <c r="V356" s="274" t="str">
        <f ca="1">IF(D356="","",IF(OFFSET(D356,-2,0)=D356,"",VLOOKUP(D356,契約台帳!$A$3:$R$4986,18,FALSE)))</f>
        <v/>
      </c>
      <c r="W356" s="269" t="str">
        <f>IF(D356="","",IF(T356="","",IF(OR(J356="巻足し",J356="巻返しリード付け"),"",IF(J356="巻返し",VLOOKUP(F356&amp;K356&amp;M356,製品マスタ!$M$5:$AD$5002,18,FALSE),IF(OR(J356="リード付け",J356="巻返しリード付け"),"原反コア",IF(J356="スリット",VLOOKUP(F356&amp;K356&amp;R356,製品マスタ!$N$5:$AD$5002,17,FALSE),""))))))</f>
        <v/>
      </c>
      <c r="X356" s="269" t="str">
        <f>IF(D356="","",IF(T356="","",IF(J356="巻足し","",IF(J356="巻返し",VLOOKUP(F356&amp;K356&amp;M356,製品マスタ!$M$5:$AE$5002,19,FALSE),IF(OR(J356="リード付け",J356="巻返しリード付け"),"",IF(J356="スリット",VLOOKUP(F356&amp;K356&amp;R356,製品マスタ!$N$5:$AE$5002,18,FALSE),""))))))</f>
        <v/>
      </c>
      <c r="Y356" s="275" t="str">
        <f>IF(D356="","",IF(T356="","",VLOOKUP(D356,契約台帳!$A$3:$Q$4986,17,FALSE)))</f>
        <v/>
      </c>
      <c r="Z356" s="269" t="str">
        <f>IF(D356="","",IF(T356="","",VLOOKUP(D356,契約台帳!$A$3:$E$4986,5,FALSE)))</f>
        <v/>
      </c>
      <c r="AA356" s="57"/>
      <c r="AB356" s="207" t="str">
        <f>IFERROR((VLOOKUP(F356&amp;K356&amp;M356,製品マスタ!$M$5:$AM$5002,27,FALSE)),"")</f>
        <v/>
      </c>
      <c r="AC356" s="33"/>
      <c r="AD356" s="189"/>
      <c r="AE356" s="54"/>
      <c r="AF356" s="55"/>
      <c r="AG356" s="43"/>
      <c r="AH356" s="47"/>
      <c r="AI356" s="30"/>
      <c r="AJ356" s="30"/>
      <c r="AK356" s="30"/>
      <c r="AL356" s="30"/>
      <c r="AM356" s="13"/>
      <c r="AN356" s="13"/>
      <c r="AO356" s="13"/>
      <c r="AP356" s="13"/>
      <c r="AQ356" s="13"/>
      <c r="AR356" s="14"/>
      <c r="AS356" s="15"/>
    </row>
    <row r="357" spans="1:45" s="17" customFormat="1" ht="30.95" hidden="1" customHeight="1" x14ac:dyDescent="0.2">
      <c r="A357" s="37" t="s">
        <v>1009</v>
      </c>
      <c r="B357" s="38" t="s">
        <v>1010</v>
      </c>
      <c r="C357" s="45"/>
      <c r="D357" s="31">
        <v>3700947</v>
      </c>
      <c r="E357" s="31">
        <v>4140902</v>
      </c>
      <c r="F357" s="268" t="str">
        <f>IF(D357="","",VLOOKUP(D357,契約台帳!$A$3:$K$4986,6,FALSE)&amp;VLOOKUP(D357,契約台帳!$A$3:$K$4986,7,FALSE)&amp;VLOOKUP(D357,契約台帳!$A$3:$K$4986,8,FALSE)&amp;VLOOKUP(D357,契約台帳!$A$3:$K$4986,9,FALSE)&amp;VLOOKUP(D357,契約台帳!$A$3:$K$4986,11,FALSE))</f>
        <v>3SNMCLBEYK</v>
      </c>
      <c r="G357" s="269" t="str">
        <f>IF(D357="","",VLOOKUP(F357,製品マスタ!$G$5:$H$5002,2,FALSE))</f>
        <v>S</v>
      </c>
      <c r="H357" s="269" t="str">
        <f>IF(D357="","",VLOOKUP(F357,製品マスタ!$G$5:$K$5002,5,FALSE))</f>
        <v>EYK</v>
      </c>
      <c r="I357" s="270" t="str">
        <f>IF(D357="","",VLOOKUP(F357,製品マスタ!$G$5:$L$5002,6,FALSE))</f>
        <v>メタルミー　ＥＹＫ</v>
      </c>
      <c r="J357" s="210" t="s">
        <v>447</v>
      </c>
      <c r="K357" s="270">
        <f>IF(D357="","",VLOOKUP(D357,契約台帳!$A$3:$L$4986,12,FALSE))</f>
        <v>50</v>
      </c>
      <c r="L357" s="270" t="str">
        <f>IF(D357="","",INDEX(製品マスタ!$Q$5:$Q$5002,MATCH('S4'!F357&amp;'S4'!K357,製品マスタ!$AO$5:$AO$5002,0)))</f>
        <v>T62M</v>
      </c>
      <c r="M357" s="39">
        <v>1125</v>
      </c>
      <c r="N357" s="39">
        <v>12200</v>
      </c>
      <c r="O357" s="156">
        <v>1</v>
      </c>
      <c r="P357" s="47">
        <v>1</v>
      </c>
      <c r="Q357" s="57"/>
      <c r="R357" s="271">
        <f ca="1">IF(D357="","",IF(OFFSET(D357,-1,0)&lt;&gt;"","",IF(OR(J357="リード付け",J357="巻足し",J357="巻返しリード付け"),M357,VLOOKUP(D357,契約台帳!$A$3:$N$4986,14,FALSE))))</f>
        <v>1120</v>
      </c>
      <c r="S357" s="272">
        <f ca="1">IF(D357="","",IF(OFFSET(D357,-1,0)&lt;&gt;"","",IF(OR(J357="リード付け",J357="巻足し",J357="巻返しリード付け"),M357,VLOOKUP(D357,契約台帳!$A$3:$O$4986,15,FALSE))))</f>
        <v>1120</v>
      </c>
      <c r="T357" s="273">
        <f ca="1">IF(D357="","",IF(J357="リード付け",N357,IF(J357="巻返しリード付け",N357,IF(J357="巻足し",N357*P357+OFFSET(N357,1,0)*OFFSET(P357,1,0),VLOOKUP(D357,契約台帳!$A$3:$P$4986,16,FALSE)))))</f>
        <v>6000</v>
      </c>
      <c r="U357" s="40">
        <v>2</v>
      </c>
      <c r="V357" s="274">
        <f ca="1">IF(D357="","",IF(OFFSET(D357,-2,0)=D357,"",VLOOKUP(D357,契約台帳!$A$3:$R$4986,18,FALSE)))</f>
        <v>2</v>
      </c>
      <c r="W357" s="269" t="str">
        <f ca="1">IF(D357="","",IF(T357="","",IF(OR(J357="巻足し",J357="巻返しリード付け"),"",IF(J357="巻返し",VLOOKUP(F357&amp;K357&amp;M357,製品マスタ!$M$5:$AD$5002,18,FALSE),IF(OR(J357="リード付け",J357="巻返しリード付け"),"原反コア",IF(J357="スリット",VLOOKUP(F357&amp;K357&amp;R357,製品マスタ!$N$5:$AD$5002,17,FALSE),""))))))</f>
        <v>6ｲﾝﾁMｺｱ</v>
      </c>
      <c r="X357" s="269">
        <f ca="1">IF(D357="","",IF(T357="","",IF(J357="巻足し","",IF(J357="巻返し",VLOOKUP(F357&amp;K357&amp;M357,製品マスタ!$M$5:$AE$5002,19,FALSE),IF(OR(J357="リード付け",J357="巻返しリード付け"),"",IF(J357="スリット",VLOOKUP(F357&amp;K357&amp;R357,製品マスタ!$N$5:$AE$5002,18,FALSE),""))))))</f>
        <v>1140</v>
      </c>
      <c r="Y357" s="275">
        <f ca="1">IF(D357="","",IF(T357="","",VLOOKUP(D357,契約台帳!$A$3:$Q$4986,17,FALSE)))</f>
        <v>2</v>
      </c>
      <c r="Z357" s="269" t="str">
        <f ca="1">IF(D357="","",IF(T357="","",VLOOKUP(D357,契約台帳!$A$3:$E$4986,5,FALSE)))</f>
        <v>新タック化成㈱</v>
      </c>
      <c r="AA357" s="57"/>
      <c r="AB357" s="207" t="str">
        <f>IFERROR((VLOOKUP(F357&amp;K357&amp;M357,製品マスタ!$M$5:$AM$5002,27,FALSE)),"")</f>
        <v>原反ケース再利用</v>
      </c>
      <c r="AC357" s="33"/>
      <c r="AD357" s="189"/>
      <c r="AE357" s="54"/>
      <c r="AF357" s="55"/>
      <c r="AG357" s="43"/>
      <c r="AH357" s="47"/>
      <c r="AI357" s="30"/>
      <c r="AJ357" s="30"/>
      <c r="AK357" s="30"/>
      <c r="AL357" s="30"/>
      <c r="AM357" s="13"/>
      <c r="AN357" s="13"/>
      <c r="AO357" s="13"/>
      <c r="AP357" s="13"/>
      <c r="AQ357" s="13"/>
      <c r="AR357" s="14"/>
      <c r="AS357" s="15"/>
    </row>
    <row r="358" spans="1:45" s="17" customFormat="1" ht="30.95" hidden="1" customHeight="1" x14ac:dyDescent="0.2">
      <c r="A358" s="37"/>
      <c r="B358" s="38"/>
      <c r="C358" s="45"/>
      <c r="D358" s="31"/>
      <c r="E358" s="31"/>
      <c r="F358" s="268" t="str">
        <f>IF(D358="","",VLOOKUP(D358,契約台帳!$A$3:$K$4986,6,FALSE)&amp;VLOOKUP(D358,契約台帳!$A$3:$K$4986,7,FALSE)&amp;VLOOKUP(D358,契約台帳!$A$3:$K$4986,8,FALSE)&amp;VLOOKUP(D358,契約台帳!$A$3:$K$4986,9,FALSE)&amp;VLOOKUP(D358,契約台帳!$A$3:$K$4986,11,FALSE))</f>
        <v/>
      </c>
      <c r="G358" s="269" t="str">
        <f>IF(D358="","",VLOOKUP(F358,製品マスタ!$G$5:$H$5002,2,FALSE))</f>
        <v/>
      </c>
      <c r="H358" s="269" t="str">
        <f>IF(D358="","",VLOOKUP(F358,製品マスタ!$G$5:$K$5002,5,FALSE))</f>
        <v/>
      </c>
      <c r="I358" s="270" t="str">
        <f>IF(D358="","",VLOOKUP(F358,製品マスタ!$G$5:$L$5002,6,FALSE))</f>
        <v/>
      </c>
      <c r="J358" s="210"/>
      <c r="K358" s="270" t="str">
        <f>IF(D358="","",VLOOKUP(D358,契約台帳!$A$3:$L$4986,12,FALSE))</f>
        <v/>
      </c>
      <c r="L358" s="270" t="str">
        <f>IF(D358="","",INDEX(製品マスタ!$Q$5:$Q$5002,MATCH('S4'!F358&amp;'S4'!K358,製品マスタ!$AO$5:$AO$5002,0)))</f>
        <v/>
      </c>
      <c r="M358" s="39"/>
      <c r="N358" s="39"/>
      <c r="O358" s="156"/>
      <c r="P358" s="47"/>
      <c r="Q358" s="57"/>
      <c r="R358" s="271" t="str">
        <f ca="1">IF(D358="","",IF(OFFSET(D358,-1,0)&lt;&gt;"","",IF(OR(J358="リード付け",J358="巻足し",J358="巻返しリード付け"),M358,VLOOKUP(D358,契約台帳!$A$3:$N$4986,14,FALSE))))</f>
        <v/>
      </c>
      <c r="S358" s="272" t="str">
        <f ca="1">IF(D358="","",IF(OFFSET(D358,-1,0)&lt;&gt;"","",IF(OR(J358="リード付け",J358="巻足し",J358="巻返しリード付け"),M358,VLOOKUP(D358,契約台帳!$A$3:$O$4986,15,FALSE))))</f>
        <v/>
      </c>
      <c r="T358" s="273" t="str">
        <f ca="1">IF(D358="","",IF(J358="リード付け",N358,IF(J358="巻返しリード付け",N358,IF(J358="巻足し",N358*P358+OFFSET(N358,1,0)*OFFSET(P358,1,0),VLOOKUP(D358,契約台帳!$A$3:$P$4986,16,FALSE)))))</f>
        <v/>
      </c>
      <c r="U358" s="40"/>
      <c r="V358" s="274" t="str">
        <f ca="1">IF(D358="","",IF(OFFSET(D358,-2,0)=D358,"",VLOOKUP(D358,契約台帳!$A$3:$R$4986,18,FALSE)))</f>
        <v/>
      </c>
      <c r="W358" s="269" t="str">
        <f>IF(D358="","",IF(T358="","",IF(OR(J358="巻足し",J358="巻返しリード付け"),"",IF(J358="巻返し",VLOOKUP(F358&amp;K358&amp;M358,製品マスタ!$M$5:$AD$5002,18,FALSE),IF(OR(J358="リード付け",J358="巻返しリード付け"),"原反コア",IF(J358="スリット",VLOOKUP(F358&amp;K358&amp;R358,製品マスタ!$N$5:$AD$5002,17,FALSE),""))))))</f>
        <v/>
      </c>
      <c r="X358" s="269" t="str">
        <f>IF(D358="","",IF(T358="","",IF(J358="巻足し","",IF(J358="巻返し",VLOOKUP(F358&amp;K358&amp;M358,製品マスタ!$M$5:$AE$5002,19,FALSE),IF(OR(J358="リード付け",J358="巻返しリード付け"),"",IF(J358="スリット",VLOOKUP(F358&amp;K358&amp;R358,製品マスタ!$N$5:$AE$5002,18,FALSE),""))))))</f>
        <v/>
      </c>
      <c r="Y358" s="275" t="str">
        <f>IF(D358="","",IF(T358="","",VLOOKUP(D358,契約台帳!$A$3:$Q$4986,17,FALSE)))</f>
        <v/>
      </c>
      <c r="Z358" s="269" t="str">
        <f>IF(D358="","",IF(T358="","",VLOOKUP(D358,契約台帳!$A$3:$E$4986,5,FALSE)))</f>
        <v/>
      </c>
      <c r="AA358" s="57"/>
      <c r="AB358" s="207" t="str">
        <f>IFERROR((VLOOKUP(F358&amp;K358&amp;M358,製品マスタ!$M$5:$AM$5002,27,FALSE)),"")</f>
        <v/>
      </c>
      <c r="AC358" s="33"/>
      <c r="AD358" s="189"/>
      <c r="AE358" s="54"/>
      <c r="AF358" s="55"/>
      <c r="AG358" s="43"/>
      <c r="AH358" s="47"/>
      <c r="AI358" s="30"/>
      <c r="AJ358" s="30"/>
      <c r="AK358" s="30"/>
      <c r="AL358" s="30"/>
      <c r="AM358" s="13"/>
      <c r="AN358" s="13"/>
      <c r="AO358" s="13"/>
      <c r="AP358" s="13"/>
      <c r="AQ358" s="13"/>
      <c r="AR358" s="14"/>
      <c r="AS358" s="15"/>
    </row>
    <row r="359" spans="1:45" s="17" customFormat="1" ht="30.95" hidden="1" customHeight="1" x14ac:dyDescent="0.2">
      <c r="A359" s="37" t="s">
        <v>964</v>
      </c>
      <c r="B359" s="38" t="s">
        <v>956</v>
      </c>
      <c r="C359" s="45"/>
      <c r="D359" s="31"/>
      <c r="E359" s="31"/>
      <c r="F359" s="268"/>
      <c r="G359" s="269"/>
      <c r="H359" s="269"/>
      <c r="I359" s="270"/>
      <c r="J359" s="210" t="s">
        <v>1003</v>
      </c>
      <c r="K359" s="270"/>
      <c r="L359" s="270"/>
      <c r="M359" s="39"/>
      <c r="N359" s="39"/>
      <c r="O359" s="156"/>
      <c r="P359" s="47"/>
      <c r="Q359" s="57"/>
      <c r="R359" s="271"/>
      <c r="S359" s="272"/>
      <c r="T359" s="273"/>
      <c r="U359" s="40"/>
      <c r="V359" s="274"/>
      <c r="W359" s="269"/>
      <c r="X359" s="269"/>
      <c r="Y359" s="275"/>
      <c r="Z359" s="269"/>
      <c r="AA359" s="57"/>
      <c r="AB359" s="207"/>
      <c r="AC359" s="33"/>
      <c r="AD359" s="189"/>
      <c r="AE359" s="54"/>
      <c r="AF359" s="55"/>
      <c r="AG359" s="43"/>
      <c r="AH359" s="47"/>
      <c r="AI359" s="30"/>
      <c r="AJ359" s="30"/>
      <c r="AK359" s="30"/>
      <c r="AL359" s="30"/>
      <c r="AM359" s="13"/>
      <c r="AN359" s="13"/>
      <c r="AO359" s="13"/>
      <c r="AP359" s="13"/>
      <c r="AQ359" s="13"/>
      <c r="AR359" s="14"/>
      <c r="AS359" s="15"/>
    </row>
    <row r="360" spans="1:45" s="17" customFormat="1" ht="30.95" hidden="1" customHeight="1" x14ac:dyDescent="0.2">
      <c r="A360" s="37"/>
      <c r="B360" s="38"/>
      <c r="C360" s="45"/>
      <c r="D360" s="31"/>
      <c r="E360" s="31"/>
      <c r="F360" s="268"/>
      <c r="G360" s="269"/>
      <c r="H360" s="269"/>
      <c r="I360" s="270"/>
      <c r="J360" s="210"/>
      <c r="K360" s="270"/>
      <c r="L360" s="270"/>
      <c r="M360" s="39"/>
      <c r="N360" s="39"/>
      <c r="O360" s="156"/>
      <c r="P360" s="47"/>
      <c r="Q360" s="57"/>
      <c r="R360" s="271"/>
      <c r="S360" s="272"/>
      <c r="T360" s="273"/>
      <c r="U360" s="40"/>
      <c r="V360" s="274"/>
      <c r="W360" s="269"/>
      <c r="X360" s="269"/>
      <c r="Y360" s="275"/>
      <c r="Z360" s="269"/>
      <c r="AA360" s="57"/>
      <c r="AB360" s="207"/>
      <c r="AC360" s="33"/>
      <c r="AD360" s="189"/>
      <c r="AE360" s="54"/>
      <c r="AF360" s="55"/>
      <c r="AG360" s="43"/>
      <c r="AH360" s="47"/>
      <c r="AI360" s="30"/>
      <c r="AJ360" s="30"/>
      <c r="AK360" s="30"/>
      <c r="AL360" s="30"/>
      <c r="AM360" s="13"/>
      <c r="AN360" s="13"/>
      <c r="AO360" s="13"/>
      <c r="AP360" s="13"/>
      <c r="AQ360" s="13"/>
      <c r="AR360" s="14"/>
      <c r="AS360" s="15"/>
    </row>
    <row r="361" spans="1:45" s="17" customFormat="1" ht="30.95" hidden="1" customHeight="1" x14ac:dyDescent="0.2">
      <c r="A361" s="37" t="s">
        <v>965</v>
      </c>
      <c r="B361" s="38" t="s">
        <v>957</v>
      </c>
      <c r="C361" s="45"/>
      <c r="D361" s="31"/>
      <c r="E361" s="31"/>
      <c r="F361" s="268"/>
      <c r="G361" s="269"/>
      <c r="H361" s="269"/>
      <c r="I361" s="270"/>
      <c r="J361" s="210" t="s">
        <v>1003</v>
      </c>
      <c r="K361" s="270"/>
      <c r="L361" s="270"/>
      <c r="M361" s="39"/>
      <c r="N361" s="39"/>
      <c r="O361" s="156"/>
      <c r="P361" s="47"/>
      <c r="Q361" s="57"/>
      <c r="R361" s="271"/>
      <c r="S361" s="272"/>
      <c r="T361" s="273"/>
      <c r="U361" s="40"/>
      <c r="V361" s="274"/>
      <c r="W361" s="269"/>
      <c r="X361" s="269"/>
      <c r="Y361" s="275"/>
      <c r="Z361" s="269"/>
      <c r="AA361" s="57"/>
      <c r="AB361" s="207"/>
      <c r="AC361" s="33"/>
      <c r="AD361" s="189"/>
      <c r="AE361" s="54"/>
      <c r="AF361" s="55"/>
      <c r="AG361" s="43"/>
      <c r="AH361" s="47"/>
      <c r="AI361" s="30"/>
      <c r="AJ361" s="30"/>
      <c r="AK361" s="30"/>
      <c r="AL361" s="30"/>
      <c r="AM361" s="13"/>
      <c r="AN361" s="13"/>
      <c r="AO361" s="13"/>
      <c r="AP361" s="13"/>
      <c r="AQ361" s="13"/>
      <c r="AR361" s="14"/>
      <c r="AS361" s="15"/>
    </row>
    <row r="362" spans="1:45" s="17" customFormat="1" ht="30.95" hidden="1" customHeight="1" x14ac:dyDescent="0.2">
      <c r="A362" s="37"/>
      <c r="B362" s="38"/>
      <c r="C362" s="45"/>
      <c r="D362" s="31"/>
      <c r="E362" s="31"/>
      <c r="F362" s="268"/>
      <c r="G362" s="269"/>
      <c r="H362" s="269"/>
      <c r="I362" s="270"/>
      <c r="J362" s="210"/>
      <c r="K362" s="270"/>
      <c r="L362" s="270"/>
      <c r="M362" s="39"/>
      <c r="N362" s="39"/>
      <c r="O362" s="156"/>
      <c r="P362" s="47"/>
      <c r="Q362" s="57"/>
      <c r="R362" s="271"/>
      <c r="S362" s="272"/>
      <c r="T362" s="273"/>
      <c r="U362" s="40"/>
      <c r="V362" s="274"/>
      <c r="W362" s="269"/>
      <c r="X362" s="269"/>
      <c r="Y362" s="275"/>
      <c r="Z362" s="269"/>
      <c r="AA362" s="57"/>
      <c r="AB362" s="207"/>
      <c r="AC362" s="33"/>
      <c r="AD362" s="189"/>
      <c r="AE362" s="54"/>
      <c r="AF362" s="55"/>
      <c r="AG362" s="43"/>
      <c r="AH362" s="47"/>
      <c r="AI362" s="30"/>
      <c r="AJ362" s="30"/>
      <c r="AK362" s="30"/>
      <c r="AL362" s="30"/>
      <c r="AM362" s="13"/>
      <c r="AN362" s="13"/>
      <c r="AO362" s="13"/>
      <c r="AP362" s="13"/>
      <c r="AQ362" s="13"/>
      <c r="AR362" s="14"/>
      <c r="AS362" s="15"/>
    </row>
    <row r="363" spans="1:45" s="17" customFormat="1" ht="30.95" hidden="1" customHeight="1" x14ac:dyDescent="0.2">
      <c r="A363" s="37" t="s">
        <v>966</v>
      </c>
      <c r="B363" s="38" t="s">
        <v>958</v>
      </c>
      <c r="C363" s="45"/>
      <c r="D363" s="31"/>
      <c r="E363" s="31"/>
      <c r="F363" s="268"/>
      <c r="G363" s="269"/>
      <c r="H363" s="269"/>
      <c r="I363" s="270"/>
      <c r="J363" s="210" t="s">
        <v>1003</v>
      </c>
      <c r="K363" s="270"/>
      <c r="L363" s="270"/>
      <c r="M363" s="39"/>
      <c r="N363" s="39"/>
      <c r="O363" s="156"/>
      <c r="P363" s="47"/>
      <c r="Q363" s="57"/>
      <c r="R363" s="271"/>
      <c r="S363" s="272"/>
      <c r="T363" s="273"/>
      <c r="U363" s="40"/>
      <c r="V363" s="274"/>
      <c r="W363" s="269"/>
      <c r="X363" s="269"/>
      <c r="Y363" s="275"/>
      <c r="Z363" s="269"/>
      <c r="AA363" s="57"/>
      <c r="AB363" s="207"/>
      <c r="AC363" s="33"/>
      <c r="AD363" s="189"/>
      <c r="AE363" s="54"/>
      <c r="AF363" s="55"/>
      <c r="AG363" s="43"/>
      <c r="AH363" s="47"/>
      <c r="AI363" s="30"/>
      <c r="AJ363" s="30"/>
      <c r="AK363" s="30"/>
      <c r="AL363" s="30"/>
      <c r="AM363" s="13"/>
      <c r="AN363" s="13"/>
      <c r="AO363" s="13"/>
      <c r="AP363" s="13"/>
      <c r="AQ363" s="13"/>
      <c r="AR363" s="14"/>
      <c r="AS363" s="15"/>
    </row>
    <row r="364" spans="1:45" s="17" customFormat="1" ht="30.95" hidden="1" customHeight="1" x14ac:dyDescent="0.2">
      <c r="A364" s="37"/>
      <c r="B364" s="38"/>
      <c r="C364" s="45"/>
      <c r="D364" s="31"/>
      <c r="E364" s="31"/>
      <c r="F364" s="268"/>
      <c r="G364" s="269"/>
      <c r="H364" s="269"/>
      <c r="I364" s="270"/>
      <c r="J364" s="210"/>
      <c r="K364" s="270"/>
      <c r="L364" s="270"/>
      <c r="M364" s="39"/>
      <c r="N364" s="39"/>
      <c r="O364" s="156"/>
      <c r="P364" s="47"/>
      <c r="Q364" s="57"/>
      <c r="R364" s="271"/>
      <c r="S364" s="272"/>
      <c r="T364" s="273"/>
      <c r="U364" s="40"/>
      <c r="V364" s="274"/>
      <c r="W364" s="269"/>
      <c r="X364" s="269"/>
      <c r="Y364" s="275"/>
      <c r="Z364" s="269"/>
      <c r="AA364" s="57"/>
      <c r="AB364" s="207"/>
      <c r="AC364" s="33"/>
      <c r="AD364" s="189"/>
      <c r="AE364" s="54"/>
      <c r="AF364" s="55"/>
      <c r="AG364" s="43"/>
      <c r="AH364" s="47"/>
      <c r="AI364" s="30"/>
      <c r="AJ364" s="30"/>
      <c r="AK364" s="30"/>
      <c r="AL364" s="30"/>
      <c r="AM364" s="13"/>
      <c r="AN364" s="13"/>
      <c r="AO364" s="13"/>
      <c r="AP364" s="13"/>
      <c r="AQ364" s="13"/>
      <c r="AR364" s="14"/>
      <c r="AS364" s="15"/>
    </row>
    <row r="365" spans="1:45" s="17" customFormat="1" ht="30.95" hidden="1" customHeight="1" x14ac:dyDescent="0.2">
      <c r="A365" s="37" t="s">
        <v>967</v>
      </c>
      <c r="B365" s="38" t="s">
        <v>959</v>
      </c>
      <c r="C365" s="45"/>
      <c r="D365" s="31"/>
      <c r="E365" s="31"/>
      <c r="F365" s="268" t="str">
        <f>IF(D365="","",VLOOKUP(D365,契約台帳!$A$3:$K$4986,6,FALSE)&amp;VLOOKUP(D365,契約台帳!$A$3:$K$4986,7,FALSE)&amp;VLOOKUP(D365,契約台帳!$A$3:$K$4986,8,FALSE)&amp;VLOOKUP(D365,契約台帳!$A$3:$K$4986,9,FALSE)&amp;VLOOKUP(D365,契約台帳!$A$3:$K$4986,11,FALSE))</f>
        <v/>
      </c>
      <c r="G365" s="269" t="str">
        <f>IF(D365="","",VLOOKUP(F365,製品マスタ!$G$5:$H$5002,2,FALSE))</f>
        <v/>
      </c>
      <c r="H365" s="269" t="str">
        <f>IF(D365="","",VLOOKUP(F365,製品マスタ!$G$5:$K$5002,5,FALSE))</f>
        <v/>
      </c>
      <c r="I365" s="270" t="str">
        <f>IF(D365="","",VLOOKUP(F365,製品マスタ!$G$5:$L$5002,6,FALSE))</f>
        <v/>
      </c>
      <c r="J365" s="210" t="s">
        <v>448</v>
      </c>
      <c r="K365" s="270" t="str">
        <f>IF(D365="","",VLOOKUP(D365,契約台帳!$A$3:$L$4986,12,FALSE))</f>
        <v/>
      </c>
      <c r="L365" s="270" t="str">
        <f>IF(D365="","",INDEX(製品マスタ!$Q$5:$Q$5002,MATCH('S4'!F365&amp;'S4'!K365,製品マスタ!$AO$5:$AO$5002,0)))</f>
        <v/>
      </c>
      <c r="M365" s="39"/>
      <c r="N365" s="39"/>
      <c r="O365" s="156"/>
      <c r="P365" s="47"/>
      <c r="Q365" s="57"/>
      <c r="R365" s="271" t="str">
        <f ca="1">IF(D365="","",IF(OFFSET(D365,-1,0)&lt;&gt;"","",IF(OR(J365="リード付け",J365="巻足し",J365="巻返しリード付け"),M365,VLOOKUP(D365,契約台帳!$A$3:$N$4986,14,FALSE))))</f>
        <v/>
      </c>
      <c r="S365" s="272" t="str">
        <f ca="1">IF(D365="","",IF(OFFSET(D365,-1,0)&lt;&gt;"","",IF(OR(J365="リード付け",J365="巻足し",J365="巻返しリード付け"),M365,VLOOKUP(D365,契約台帳!$A$3:$O$4986,15,FALSE))))</f>
        <v/>
      </c>
      <c r="T365" s="273" t="str">
        <f ca="1">IF(D365="","",IF(J365="リード付け",N365,IF(J365="巻返しリード付け",N365,IF(J365="巻足し",N365*P365+OFFSET(N365,1,0)*OFFSET(P365,1,0),VLOOKUP(D365,契約台帳!$A$3:$P$4986,16,FALSE)))))</f>
        <v/>
      </c>
      <c r="U365" s="40"/>
      <c r="V365" s="274" t="str">
        <f ca="1">IF(D365="","",IF(OFFSET(D365,-2,0)=D365,"",VLOOKUP(D365,契約台帳!$A$3:$R$4986,18,FALSE)))</f>
        <v/>
      </c>
      <c r="W365" s="269" t="str">
        <f>IF(D365="","",IF(T365="","",IF(OR(J365="巻足し",J365="巻返しリード付け"),"",IF(J365="巻返し",VLOOKUP(F365&amp;K365&amp;M365,製品マスタ!$M$5:$AD$5002,18,FALSE),IF(OR(J365="リード付け",J365="巻返しリード付け"),"原反コア",IF(J365="スリット",VLOOKUP(F365&amp;K365&amp;R365,製品マスタ!$N$5:$AD$5002,17,FALSE),""))))))</f>
        <v/>
      </c>
      <c r="X365" s="269" t="str">
        <f>IF(D365="","",IF(T365="","",IF(J365="巻足し","",IF(J365="巻返し",VLOOKUP(F365&amp;K365&amp;M365,製品マスタ!$M$5:$AE$5002,19,FALSE),IF(OR(J365="リード付け",J365="巻返しリード付け"),"",IF(J365="スリット",VLOOKUP(F365&amp;K365&amp;R365,製品マスタ!$N$5:$AE$5002,18,FALSE),""))))))</f>
        <v/>
      </c>
      <c r="Y365" s="275" t="str">
        <f>IF(D365="","",IF(T365="","",VLOOKUP(D365,契約台帳!$A$3:$Q$4986,17,FALSE)))</f>
        <v/>
      </c>
      <c r="Z365" s="269" t="str">
        <f>IF(D365="","",IF(T365="","",VLOOKUP(D365,契約台帳!$A$3:$E$4986,5,FALSE)))</f>
        <v/>
      </c>
      <c r="AA365" s="57"/>
      <c r="AB365" s="207" t="str">
        <f>IFERROR((VLOOKUP(F365&amp;K365&amp;M365,製品マスタ!$M$5:$AM$5002,27,FALSE)),"")</f>
        <v/>
      </c>
      <c r="AC365" s="33"/>
      <c r="AD365" s="189"/>
      <c r="AE365" s="54"/>
      <c r="AF365" s="55"/>
      <c r="AG365" s="43"/>
      <c r="AH365" s="47"/>
      <c r="AI365" s="30"/>
      <c r="AJ365" s="30"/>
      <c r="AK365" s="30"/>
      <c r="AL365" s="30"/>
      <c r="AM365" s="13"/>
      <c r="AN365" s="13"/>
      <c r="AO365" s="13"/>
      <c r="AP365" s="13"/>
      <c r="AQ365" s="13"/>
      <c r="AR365" s="14"/>
      <c r="AS365" s="15"/>
    </row>
    <row r="366" spans="1:45" s="17" customFormat="1" ht="30.95" hidden="1" customHeight="1" x14ac:dyDescent="0.2">
      <c r="A366" s="37"/>
      <c r="B366" s="38"/>
      <c r="C366" s="45"/>
      <c r="D366" s="31"/>
      <c r="E366" s="31"/>
      <c r="F366" s="268" t="str">
        <f>IF(D366="","",VLOOKUP(D366,契約台帳!$A$3:$K$4986,6,FALSE)&amp;VLOOKUP(D366,契約台帳!$A$3:$K$4986,7,FALSE)&amp;VLOOKUP(D366,契約台帳!$A$3:$K$4986,8,FALSE)&amp;VLOOKUP(D366,契約台帳!$A$3:$K$4986,9,FALSE)&amp;VLOOKUP(D366,契約台帳!$A$3:$K$4986,11,FALSE))</f>
        <v/>
      </c>
      <c r="G366" s="269" t="str">
        <f>IF(D366="","",VLOOKUP(F366,製品マスタ!$G$5:$H$5002,2,FALSE))</f>
        <v/>
      </c>
      <c r="H366" s="269" t="str">
        <f>IF(D366="","",VLOOKUP(F366,製品マスタ!$G$5:$K$5002,5,FALSE))</f>
        <v/>
      </c>
      <c r="I366" s="270" t="str">
        <f>IF(D366="","",VLOOKUP(F366,製品マスタ!$G$5:$L$5002,6,FALSE))</f>
        <v/>
      </c>
      <c r="J366" s="210"/>
      <c r="K366" s="270" t="str">
        <f>IF(D366="","",VLOOKUP(D366,契約台帳!$A$3:$L$4986,12,FALSE))</f>
        <v/>
      </c>
      <c r="L366" s="270" t="str">
        <f>IF(D366="","",INDEX(製品マスタ!$Q$5:$Q$5002,MATCH('S4'!F366&amp;'S4'!K366,製品マスタ!$AO$5:$AO$5002,0)))</f>
        <v/>
      </c>
      <c r="M366" s="39"/>
      <c r="N366" s="39"/>
      <c r="O366" s="156"/>
      <c r="P366" s="47"/>
      <c r="Q366" s="57"/>
      <c r="R366" s="271" t="str">
        <f ca="1">IF(D366="","",IF(OFFSET(D366,-1,0)&lt;&gt;"","",IF(OR(J366="リード付け",J366="巻足し",J366="巻返しリード付け"),M366,VLOOKUP(D366,契約台帳!$A$3:$N$4986,14,FALSE))))</f>
        <v/>
      </c>
      <c r="S366" s="272" t="str">
        <f ca="1">IF(D366="","",IF(OFFSET(D366,-1,0)&lt;&gt;"","",IF(OR(J366="リード付け",J366="巻足し",J366="巻返しリード付け"),M366,VLOOKUP(D366,契約台帳!$A$3:$O$4986,15,FALSE))))</f>
        <v/>
      </c>
      <c r="T366" s="273" t="str">
        <f ca="1">IF(D366="","",IF(J366="リード付け",N366,IF(J366="巻返しリード付け",N366,IF(J366="巻足し",N366*P366+OFFSET(N366,1,0)*OFFSET(P366,1,0),VLOOKUP(D366,契約台帳!$A$3:$P$4986,16,FALSE)))))</f>
        <v/>
      </c>
      <c r="U366" s="40"/>
      <c r="V366" s="274" t="str">
        <f ca="1">IF(D366="","",IF(OFFSET(D366,-2,0)=D366,"",VLOOKUP(D366,契約台帳!$A$3:$R$4986,18,FALSE)))</f>
        <v/>
      </c>
      <c r="W366" s="269" t="str">
        <f>IF(D366="","",IF(T366="","",IF(OR(J366="巻足し",J366="巻返しリード付け"),"",IF(J366="巻返し",VLOOKUP(F366&amp;K366&amp;M366,製品マスタ!$M$5:$AD$5002,18,FALSE),IF(OR(J366="リード付け",J366="巻返しリード付け"),"原反コア",IF(J366="スリット",VLOOKUP(F366&amp;K366&amp;R366,製品マスタ!$N$5:$AD$5002,17,FALSE),""))))))</f>
        <v/>
      </c>
      <c r="X366" s="269" t="str">
        <f>IF(D366="","",IF(T366="","",IF(J366="巻足し","",IF(J366="巻返し",VLOOKUP(F366&amp;K366&amp;M366,製品マスタ!$M$5:$AE$5002,19,FALSE),IF(OR(J366="リード付け",J366="巻返しリード付け"),"",IF(J366="スリット",VLOOKUP(F366&amp;K366&amp;R366,製品マスタ!$N$5:$AE$5002,18,FALSE),""))))))</f>
        <v/>
      </c>
      <c r="Y366" s="275" t="str">
        <f>IF(D366="","",IF(T366="","",VLOOKUP(D366,契約台帳!$A$3:$Q$4986,17,FALSE)))</f>
        <v/>
      </c>
      <c r="Z366" s="269" t="str">
        <f>IF(D366="","",IF(T366="","",VLOOKUP(D366,契約台帳!$A$3:$E$4986,5,FALSE)))</f>
        <v/>
      </c>
      <c r="AA366" s="57"/>
      <c r="AB366" s="207" t="str">
        <f>IFERROR((VLOOKUP(F366&amp;K366&amp;M366,製品マスタ!$M$5:$AM$5002,27,FALSE)),"")</f>
        <v/>
      </c>
      <c r="AC366" s="33"/>
      <c r="AD366" s="189"/>
      <c r="AE366" s="54"/>
      <c r="AF366" s="55"/>
      <c r="AG366" s="43"/>
      <c r="AH366" s="47"/>
      <c r="AI366" s="30"/>
      <c r="AJ366" s="30"/>
      <c r="AK366" s="30"/>
      <c r="AL366" s="30"/>
      <c r="AM366" s="13"/>
      <c r="AN366" s="13"/>
      <c r="AO366" s="13"/>
      <c r="AP366" s="13"/>
      <c r="AQ366" s="13"/>
      <c r="AR366" s="14"/>
      <c r="AS366" s="15"/>
    </row>
    <row r="367" spans="1:45" s="17" customFormat="1" ht="30.95" hidden="1" customHeight="1" x14ac:dyDescent="0.2">
      <c r="A367" s="37" t="s">
        <v>968</v>
      </c>
      <c r="B367" s="38" t="s">
        <v>960</v>
      </c>
      <c r="C367" s="45"/>
      <c r="D367" s="31"/>
      <c r="E367" s="31"/>
      <c r="F367" s="268" t="str">
        <f>IF(D367="","",VLOOKUP(D367,契約台帳!$A$3:$K$4986,6,FALSE)&amp;VLOOKUP(D367,契約台帳!$A$3:$K$4986,7,FALSE)&amp;VLOOKUP(D367,契約台帳!$A$3:$K$4986,8,FALSE)&amp;VLOOKUP(D367,契約台帳!$A$3:$K$4986,9,FALSE)&amp;VLOOKUP(D367,契約台帳!$A$3:$K$4986,11,FALSE))</f>
        <v/>
      </c>
      <c r="G367" s="269" t="str">
        <f>IF(D367="","",VLOOKUP(F367,製品マスタ!$G$5:$H$5002,2,FALSE))</f>
        <v/>
      </c>
      <c r="H367" s="269" t="str">
        <f>IF(D367="","",VLOOKUP(F367,製品マスタ!$G$5:$K$5002,5,FALSE))</f>
        <v/>
      </c>
      <c r="I367" s="270" t="str">
        <f>IF(D367="","",VLOOKUP(F367,製品マスタ!$G$5:$L$5002,6,FALSE))</f>
        <v/>
      </c>
      <c r="J367" s="210" t="s">
        <v>448</v>
      </c>
      <c r="K367" s="270" t="str">
        <f>IF(D367="","",VLOOKUP(D367,契約台帳!$A$3:$L$4986,12,FALSE))</f>
        <v/>
      </c>
      <c r="L367" s="270" t="str">
        <f>IF(D367="","",INDEX(製品マスタ!$Q$5:$Q$5002,MATCH('S4'!F367&amp;'S4'!K367,製品マスタ!$AO$5:$AO$5002,0)))</f>
        <v/>
      </c>
      <c r="M367" s="39"/>
      <c r="N367" s="39"/>
      <c r="O367" s="156"/>
      <c r="P367" s="47"/>
      <c r="Q367" s="57"/>
      <c r="R367" s="271" t="str">
        <f ca="1">IF(D367="","",IF(OFFSET(D367,-1,0)&lt;&gt;"","",IF(OR(J367="リード付け",J367="巻足し",J367="巻返しリード付け"),M367,VLOOKUP(D367,契約台帳!$A$3:$N$4986,14,FALSE))))</f>
        <v/>
      </c>
      <c r="S367" s="272" t="str">
        <f ca="1">IF(D367="","",IF(OFFSET(D367,-1,0)&lt;&gt;"","",IF(OR(J367="リード付け",J367="巻足し",J367="巻返しリード付け"),M367,VLOOKUP(D367,契約台帳!$A$3:$O$4986,15,FALSE))))</f>
        <v/>
      </c>
      <c r="T367" s="273" t="str">
        <f ca="1">IF(D367="","",IF(J367="リード付け",N367,IF(J367="巻返しリード付け",N367,IF(J367="巻足し",N367*P367+OFFSET(N367,1,0)*OFFSET(P367,1,0),VLOOKUP(D367,契約台帳!$A$3:$P$4986,16,FALSE)))))</f>
        <v/>
      </c>
      <c r="U367" s="40"/>
      <c r="V367" s="274" t="str">
        <f ca="1">IF(D367="","",IF(OFFSET(D367,-2,0)=D367,"",VLOOKUP(D367,契約台帳!$A$3:$R$4986,18,FALSE)))</f>
        <v/>
      </c>
      <c r="W367" s="269" t="str">
        <f>IF(D367="","",IF(T367="","",IF(OR(J367="巻足し",J367="巻返しリード付け"),"",IF(J367="巻返し",VLOOKUP(F367&amp;K367&amp;M367,製品マスタ!$M$5:$AD$5002,18,FALSE),IF(OR(J367="リード付け",J367="巻返しリード付け"),"原反コア",IF(J367="スリット",VLOOKUP(F367&amp;K367&amp;R367,製品マスタ!$N$5:$AD$5002,17,FALSE),""))))))</f>
        <v/>
      </c>
      <c r="X367" s="269" t="str">
        <f>IF(D367="","",IF(T367="","",IF(J367="巻足し","",IF(J367="巻返し",VLOOKUP(F367&amp;K367&amp;M367,製品マスタ!$M$5:$AE$5002,19,FALSE),IF(OR(J367="リード付け",J367="巻返しリード付け"),"",IF(J367="スリット",VLOOKUP(F367&amp;K367&amp;R367,製品マスタ!$N$5:$AE$5002,18,FALSE),""))))))</f>
        <v/>
      </c>
      <c r="Y367" s="275" t="str">
        <f>IF(D367="","",IF(T367="","",VLOOKUP(D367,契約台帳!$A$3:$Q$4986,17,FALSE)))</f>
        <v/>
      </c>
      <c r="Z367" s="269" t="str">
        <f>IF(D367="","",IF(T367="","",VLOOKUP(D367,契約台帳!$A$3:$E$4986,5,FALSE)))</f>
        <v/>
      </c>
      <c r="AA367" s="57"/>
      <c r="AB367" s="207" t="str">
        <f>IFERROR((VLOOKUP(F367&amp;K367&amp;M367,製品マスタ!$M$5:$AM$5002,27,FALSE)),"")</f>
        <v/>
      </c>
      <c r="AC367" s="33"/>
      <c r="AD367" s="189"/>
      <c r="AE367" s="54"/>
      <c r="AF367" s="55"/>
      <c r="AG367" s="43"/>
      <c r="AH367" s="47"/>
      <c r="AI367" s="30"/>
      <c r="AJ367" s="30"/>
      <c r="AK367" s="30"/>
      <c r="AL367" s="30"/>
      <c r="AM367" s="13"/>
      <c r="AN367" s="13"/>
      <c r="AO367" s="13"/>
      <c r="AP367" s="13"/>
      <c r="AQ367" s="13"/>
      <c r="AR367" s="14"/>
      <c r="AS367" s="15"/>
    </row>
    <row r="368" spans="1:45" s="17" customFormat="1" ht="30.95" hidden="1" customHeight="1" x14ac:dyDescent="0.2">
      <c r="A368" s="37"/>
      <c r="B368" s="38"/>
      <c r="C368" s="45"/>
      <c r="D368" s="31"/>
      <c r="E368" s="31"/>
      <c r="F368" s="268" t="str">
        <f>IF(D368="","",VLOOKUP(D368,契約台帳!$A$3:$K$4986,6,FALSE)&amp;VLOOKUP(D368,契約台帳!$A$3:$K$4986,7,FALSE)&amp;VLOOKUP(D368,契約台帳!$A$3:$K$4986,8,FALSE)&amp;VLOOKUP(D368,契約台帳!$A$3:$K$4986,9,FALSE)&amp;VLOOKUP(D368,契約台帳!$A$3:$K$4986,11,FALSE))</f>
        <v/>
      </c>
      <c r="G368" s="269" t="str">
        <f>IF(D368="","",VLOOKUP(F368,製品マスタ!$G$5:$H$5002,2,FALSE))</f>
        <v/>
      </c>
      <c r="H368" s="269" t="str">
        <f>IF(D368="","",VLOOKUP(F368,製品マスタ!$G$5:$K$5002,5,FALSE))</f>
        <v/>
      </c>
      <c r="I368" s="270" t="str">
        <f>IF(D368="","",VLOOKUP(F368,製品マスタ!$G$5:$L$5002,6,FALSE))</f>
        <v/>
      </c>
      <c r="J368" s="210"/>
      <c r="K368" s="270" t="str">
        <f>IF(D368="","",VLOOKUP(D368,契約台帳!$A$3:$L$4986,12,FALSE))</f>
        <v/>
      </c>
      <c r="L368" s="270" t="str">
        <f>IF(D368="","",INDEX(製品マスタ!$Q$5:$Q$5002,MATCH('S4'!F368&amp;'S4'!K368,製品マスタ!$AO$5:$AO$5002,0)))</f>
        <v/>
      </c>
      <c r="M368" s="39"/>
      <c r="N368" s="39"/>
      <c r="O368" s="156"/>
      <c r="P368" s="47"/>
      <c r="Q368" s="57"/>
      <c r="R368" s="271" t="str">
        <f ca="1">IF(D368="","",IF(OFFSET(D368,-1,0)&lt;&gt;"","",IF(OR(J368="リード付け",J368="巻足し",J368="巻返しリード付け"),M368,VLOOKUP(D368,契約台帳!$A$3:$N$4986,14,FALSE))))</f>
        <v/>
      </c>
      <c r="S368" s="272" t="str">
        <f ca="1">IF(D368="","",IF(OFFSET(D368,-1,0)&lt;&gt;"","",IF(OR(J368="リード付け",J368="巻足し",J368="巻返しリード付け"),M368,VLOOKUP(D368,契約台帳!$A$3:$O$4986,15,FALSE))))</f>
        <v/>
      </c>
      <c r="T368" s="273" t="str">
        <f ca="1">IF(D368="","",IF(J368="リード付け",N368,IF(J368="巻返しリード付け",N368,IF(J368="巻足し",N368*P368+OFFSET(N368,1,0)*OFFSET(P368,1,0),VLOOKUP(D368,契約台帳!$A$3:$P$4986,16,FALSE)))))</f>
        <v/>
      </c>
      <c r="U368" s="40"/>
      <c r="V368" s="274" t="str">
        <f ca="1">IF(D368="","",IF(OFFSET(D368,-2,0)=D368,"",VLOOKUP(D368,契約台帳!$A$3:$R$4986,18,FALSE)))</f>
        <v/>
      </c>
      <c r="W368" s="269" t="str">
        <f>IF(D368="","",IF(T368="","",IF(OR(J368="巻足し",J368="巻返しリード付け"),"",IF(J368="巻返し",VLOOKUP(F368&amp;K368&amp;M368,製品マスタ!$M$5:$AD$5002,18,FALSE),IF(OR(J368="リード付け",J368="巻返しリード付け"),"原反コア",IF(J368="スリット",VLOOKUP(F368&amp;K368&amp;R368,製品マスタ!$N$5:$AD$5002,17,FALSE),""))))))</f>
        <v/>
      </c>
      <c r="X368" s="269" t="str">
        <f>IF(D368="","",IF(T368="","",IF(J368="巻足し","",IF(J368="巻返し",VLOOKUP(F368&amp;K368&amp;M368,製品マスタ!$M$5:$AE$5002,19,FALSE),IF(OR(J368="リード付け",J368="巻返しリード付け"),"",IF(J368="スリット",VLOOKUP(F368&amp;K368&amp;R368,製品マスタ!$N$5:$AE$5002,18,FALSE),""))))))</f>
        <v/>
      </c>
      <c r="Y368" s="275" t="str">
        <f>IF(D368="","",IF(T368="","",VLOOKUP(D368,契約台帳!$A$3:$Q$4986,17,FALSE)))</f>
        <v/>
      </c>
      <c r="Z368" s="269" t="str">
        <f>IF(D368="","",IF(T368="","",VLOOKUP(D368,契約台帳!$A$3:$E$4986,5,FALSE)))</f>
        <v/>
      </c>
      <c r="AA368" s="57"/>
      <c r="AB368" s="207" t="str">
        <f>IFERROR((VLOOKUP(F368&amp;K368&amp;M368,製品マスタ!$M$5:$AM$5002,27,FALSE)),"")</f>
        <v/>
      </c>
      <c r="AC368" s="33"/>
      <c r="AD368" s="189"/>
      <c r="AE368" s="54"/>
      <c r="AF368" s="55"/>
      <c r="AG368" s="43"/>
      <c r="AH368" s="47"/>
      <c r="AI368" s="30"/>
      <c r="AJ368" s="30"/>
      <c r="AK368" s="30"/>
      <c r="AL368" s="30"/>
      <c r="AM368" s="13"/>
      <c r="AN368" s="13"/>
      <c r="AO368" s="13"/>
      <c r="AP368" s="13"/>
      <c r="AQ368" s="13"/>
      <c r="AR368" s="14"/>
      <c r="AS368" s="15"/>
    </row>
    <row r="369" spans="1:45" s="17" customFormat="1" ht="30.95" hidden="1" customHeight="1" x14ac:dyDescent="0.2">
      <c r="A369" s="37" t="s">
        <v>969</v>
      </c>
      <c r="B369" s="38" t="s">
        <v>462</v>
      </c>
      <c r="C369" s="45"/>
      <c r="D369" s="31">
        <v>3700946</v>
      </c>
      <c r="E369" s="31">
        <v>4140904</v>
      </c>
      <c r="F369" s="268" t="str">
        <f>IF(D369="","",VLOOKUP(D369,契約台帳!$A$3:$K$4986,6,FALSE)&amp;VLOOKUP(D369,契約台帳!$A$3:$K$4986,7,FALSE)&amp;VLOOKUP(D369,契約台帳!$A$3:$K$4986,8,FALSE)&amp;VLOOKUP(D369,契約台帳!$A$3:$K$4986,9,FALSE)&amp;VLOOKUP(D369,契約台帳!$A$3:$K$4986,11,FALSE))</f>
        <v>3SNMCLBMSNEYK</v>
      </c>
      <c r="G369" s="269" t="str">
        <f>IF(D369="","",VLOOKUP(F369,製品マスタ!$G$5:$H$5002,2,FALSE))</f>
        <v>S</v>
      </c>
      <c r="H369" s="269" t="str">
        <f>IF(D369="","",VLOOKUP(F369,製品マスタ!$G$5:$K$5002,5,FALSE))</f>
        <v>MSNEYK</v>
      </c>
      <c r="I369" s="270" t="str">
        <f>IF(D369="","",VLOOKUP(F369,製品マスタ!$G$5:$L$5002,6,FALSE))</f>
        <v>ＭＳＮ　ＥＹＫ</v>
      </c>
      <c r="J369" s="210" t="s">
        <v>447</v>
      </c>
      <c r="K369" s="270">
        <f>IF(D369="","",VLOOKUP(D369,契約台帳!$A$3:$L$4986,12,FALSE))</f>
        <v>100</v>
      </c>
      <c r="L369" s="270" t="str">
        <f>IF(D369="","",INDEX(製品マスタ!$Q$5:$Q$5002,MATCH('S4'!F369&amp;'S4'!K369,製品マスタ!$AO$5:$AO$5002,0)))</f>
        <v>N-MAT</v>
      </c>
      <c r="M369" s="39">
        <v>1205</v>
      </c>
      <c r="N369" s="39">
        <v>5000</v>
      </c>
      <c r="O369" s="156">
        <v>2</v>
      </c>
      <c r="P369" s="47">
        <v>2</v>
      </c>
      <c r="Q369" s="57"/>
      <c r="R369" s="271">
        <f ca="1">IF(D369="","",IF(OFFSET(D369,-1,0)&lt;&gt;"","",IF(OR(J369="リード付け",J369="巻足し",J369="巻返しリード付け"),M369,VLOOKUP(D369,契約台帳!$A$3:$N$4986,14,FALSE))))</f>
        <v>1205</v>
      </c>
      <c r="S369" s="272">
        <f ca="1">IF(D369="","",IF(OFFSET(D369,-1,0)&lt;&gt;"","",IF(OR(J369="リード付け",J369="巻足し",J369="巻返しリード付け"),M369,VLOOKUP(D369,契約台帳!$A$3:$O$4986,15,FALSE))))</f>
        <v>1205</v>
      </c>
      <c r="T369" s="273">
        <f ca="1">IF(D369="","",IF(J369="リード付け",N369,IF(J369="巻返しリード付け",N369,IF(J369="巻足し",N369*P369+OFFSET(N369,1,0)*OFFSET(P369,1,0),VLOOKUP(D369,契約台帳!$A$3:$P$4986,16,FALSE)))))</f>
        <v>2500</v>
      </c>
      <c r="U369" s="40">
        <v>4</v>
      </c>
      <c r="V369" s="274">
        <f ca="1">IF(D369="","",IF(OFFSET(D369,-2,0)=D369,"",VLOOKUP(D369,契約台帳!$A$3:$R$4986,18,FALSE)))</f>
        <v>4</v>
      </c>
      <c r="W369" s="269" t="str">
        <f ca="1">IF(D369="","",IF(T369="","",IF(OR(J369="巻足し",J369="巻返しリード付け"),"",IF(J369="巻返し",VLOOKUP(F369&amp;K369&amp;M369,製品マスタ!$M$5:$AD$5002,18,FALSE),IF(OR(J369="リード付け",J369="巻返しリード付け"),"原反コア",IF(J369="スリット",VLOOKUP(F369&amp;K369&amp;R369,製品マスタ!$N$5:$AD$5002,17,FALSE),""))))))</f>
        <v>6ｲﾝﾁMｺｱ</v>
      </c>
      <c r="X369" s="269">
        <f ca="1">IF(D369="","",IF(T369="","",IF(J369="巻足し","",IF(J369="巻返し",VLOOKUP(F369&amp;K369&amp;M369,製品マスタ!$M$5:$AE$5002,19,FALSE),IF(OR(J369="リード付け",J369="巻返しリード付け"),"",IF(J369="スリット",VLOOKUP(F369&amp;K369&amp;R369,製品マスタ!$N$5:$AE$5002,18,FALSE),""))))))</f>
        <v>1220</v>
      </c>
      <c r="Y369" s="275">
        <f ca="1">IF(D369="","",IF(T369="","",VLOOKUP(D369,契約台帳!$A$3:$Q$4986,17,FALSE)))</f>
        <v>2</v>
      </c>
      <c r="Z369" s="269" t="str">
        <f ca="1">IF(D369="","",IF(T369="","",VLOOKUP(D369,契約台帳!$A$3:$E$4986,5,FALSE)))</f>
        <v>マルウ接着㈱</v>
      </c>
      <c r="AA369" s="57"/>
      <c r="AB369" s="207" t="str">
        <f>IFERROR((VLOOKUP(F369&amp;K369&amp;M369,製品マスタ!$M$5:$AM$5002,27,FALSE)),"")</f>
        <v>原反ケース再利用</v>
      </c>
      <c r="AC369" s="33"/>
      <c r="AD369" s="189"/>
      <c r="AE369" s="54"/>
      <c r="AF369" s="55"/>
      <c r="AG369" s="43"/>
      <c r="AH369" s="47"/>
      <c r="AI369" s="30"/>
      <c r="AJ369" s="30"/>
      <c r="AK369" s="30"/>
      <c r="AL369" s="30"/>
      <c r="AM369" s="13"/>
      <c r="AN369" s="13"/>
      <c r="AO369" s="13"/>
      <c r="AP369" s="13"/>
      <c r="AQ369" s="13"/>
      <c r="AR369" s="14"/>
      <c r="AS369" s="15"/>
    </row>
    <row r="370" spans="1:45" s="17" customFormat="1" ht="30.95" hidden="1" customHeight="1" x14ac:dyDescent="0.2">
      <c r="A370" s="37"/>
      <c r="B370" s="38"/>
      <c r="C370" s="45"/>
      <c r="D370" s="31"/>
      <c r="E370" s="31"/>
      <c r="F370" s="268" t="str">
        <f>IF(D370="","",VLOOKUP(D370,契約台帳!$A$3:$K$4986,6,FALSE)&amp;VLOOKUP(D370,契約台帳!$A$3:$K$4986,7,FALSE)&amp;VLOOKUP(D370,契約台帳!$A$3:$K$4986,8,FALSE)&amp;VLOOKUP(D370,契約台帳!$A$3:$K$4986,9,FALSE)&amp;VLOOKUP(D370,契約台帳!$A$3:$K$4986,11,FALSE))</f>
        <v/>
      </c>
      <c r="G370" s="269" t="str">
        <f>IF(D370="","",VLOOKUP(F370,製品マスタ!$G$5:$H$5002,2,FALSE))</f>
        <v/>
      </c>
      <c r="H370" s="269" t="str">
        <f>IF(D370="","",VLOOKUP(F370,製品マスタ!$G$5:$K$5002,5,FALSE))</f>
        <v/>
      </c>
      <c r="I370" s="270" t="str">
        <f>IF(D370="","",VLOOKUP(F370,製品マスタ!$G$5:$L$5002,6,FALSE))</f>
        <v/>
      </c>
      <c r="J370" s="210"/>
      <c r="K370" s="270" t="str">
        <f>IF(D370="","",VLOOKUP(D370,契約台帳!$A$3:$L$4986,12,FALSE))</f>
        <v/>
      </c>
      <c r="L370" s="270" t="str">
        <f>IF(D370="","",INDEX(製品マスタ!$Q$5:$Q$5002,MATCH('S4'!F370&amp;'S4'!K370,製品マスタ!$AO$5:$AO$5002,0)))</f>
        <v/>
      </c>
      <c r="M370" s="39"/>
      <c r="N370" s="39"/>
      <c r="O370" s="156"/>
      <c r="P370" s="47"/>
      <c r="Q370" s="57"/>
      <c r="R370" s="271" t="str">
        <f ca="1">IF(D370="","",IF(OFFSET(D370,-1,0)&lt;&gt;"","",IF(OR(J370="リード付け",J370="巻足し",J370="巻返しリード付け"),M370,VLOOKUP(D370,契約台帳!$A$3:$N$4986,14,FALSE))))</f>
        <v/>
      </c>
      <c r="S370" s="272" t="str">
        <f ca="1">IF(D370="","",IF(OFFSET(D370,-1,0)&lt;&gt;"","",IF(OR(J370="リード付け",J370="巻足し",J370="巻返しリード付け"),M370,VLOOKUP(D370,契約台帳!$A$3:$O$4986,15,FALSE))))</f>
        <v/>
      </c>
      <c r="T370" s="273" t="str">
        <f ca="1">IF(D370="","",IF(J370="リード付け",N370,IF(J370="巻返しリード付け",N370,IF(J370="巻足し",N370*P370+OFFSET(N370,1,0)*OFFSET(P370,1,0),VLOOKUP(D370,契約台帳!$A$3:$P$4986,16,FALSE)))))</f>
        <v/>
      </c>
      <c r="U370" s="40"/>
      <c r="V370" s="274" t="str">
        <f ca="1">IF(D370="","",IF(OFFSET(D370,-2,0)=D370,"",VLOOKUP(D370,契約台帳!$A$3:$R$4986,18,FALSE)))</f>
        <v/>
      </c>
      <c r="W370" s="269" t="str">
        <f>IF(D370="","",IF(T370="","",IF(OR(J370="巻足し",J370="巻返しリード付け"),"",IF(J370="巻返し",VLOOKUP(F370&amp;K370&amp;M370,製品マスタ!$M$5:$AD$5002,18,FALSE),IF(OR(J370="リード付け",J370="巻返しリード付け"),"原反コア",IF(J370="スリット",VLOOKUP(F370&amp;K370&amp;R370,製品マスタ!$N$5:$AD$5002,17,FALSE),""))))))</f>
        <v/>
      </c>
      <c r="X370" s="269" t="str">
        <f>IF(D370="","",IF(T370="","",IF(J370="巻足し","",IF(J370="巻返し",VLOOKUP(F370&amp;K370&amp;M370,製品マスタ!$M$5:$AE$5002,19,FALSE),IF(OR(J370="リード付け",J370="巻返しリード付け"),"",IF(J370="スリット",VLOOKUP(F370&amp;K370&amp;R370,製品マスタ!$N$5:$AE$5002,18,FALSE),""))))))</f>
        <v/>
      </c>
      <c r="Y370" s="275" t="str">
        <f>IF(D370="","",IF(T370="","",VLOOKUP(D370,契約台帳!$A$3:$Q$4986,17,FALSE)))</f>
        <v/>
      </c>
      <c r="Z370" s="269" t="str">
        <f>IF(D370="","",IF(T370="","",VLOOKUP(D370,契約台帳!$A$3:$E$4986,5,FALSE)))</f>
        <v/>
      </c>
      <c r="AA370" s="57"/>
      <c r="AB370" s="207" t="str">
        <f>IFERROR((VLOOKUP(F370&amp;K370&amp;M370,製品マスタ!$M$5:$AM$5002,27,FALSE)),"")</f>
        <v/>
      </c>
      <c r="AC370" s="33"/>
      <c r="AD370" s="189"/>
      <c r="AE370" s="54"/>
      <c r="AF370" s="55"/>
      <c r="AG370" s="43"/>
      <c r="AH370" s="47"/>
      <c r="AI370" s="30"/>
      <c r="AJ370" s="30"/>
      <c r="AK370" s="30"/>
      <c r="AL370" s="30"/>
      <c r="AM370" s="13"/>
      <c r="AN370" s="13"/>
      <c r="AO370" s="13"/>
      <c r="AP370" s="13"/>
      <c r="AQ370" s="13"/>
      <c r="AR370" s="14"/>
      <c r="AS370" s="15"/>
    </row>
    <row r="371" spans="1:45" s="17" customFormat="1" ht="30.95" hidden="1" customHeight="1" x14ac:dyDescent="0.2">
      <c r="A371" s="37"/>
      <c r="B371" s="38"/>
      <c r="C371" s="45"/>
      <c r="D371" s="31">
        <v>3702341</v>
      </c>
      <c r="E371" s="31">
        <v>4140908</v>
      </c>
      <c r="F371" s="268" t="str">
        <f>IF(D371="","",VLOOKUP(D371,契約台帳!$A$3:$K$4986,6,FALSE)&amp;VLOOKUP(D371,契約台帳!$A$3:$K$4986,7,FALSE)&amp;VLOOKUP(D371,契約台帳!$A$3:$K$4986,8,FALSE)&amp;VLOOKUP(D371,契約台帳!$A$3:$K$4986,9,FALSE)&amp;VLOOKUP(D371,契約台帳!$A$3:$K$4986,11,FALSE))</f>
        <v>3SNMCLBMSNEYK</v>
      </c>
      <c r="G371" s="269" t="str">
        <f>IF(D371="","",VLOOKUP(F371,製品マスタ!$G$5:$H$5002,2,FALSE))</f>
        <v>S</v>
      </c>
      <c r="H371" s="269" t="str">
        <f>IF(D371="","",VLOOKUP(F371,製品マスタ!$G$5:$K$5002,5,FALSE))</f>
        <v>MSNEYK</v>
      </c>
      <c r="I371" s="270" t="str">
        <f>IF(D371="","",VLOOKUP(F371,製品マスタ!$G$5:$L$5002,6,FALSE))</f>
        <v>ＭＳＮ　ＥＹＫ</v>
      </c>
      <c r="J371" s="210" t="s">
        <v>447</v>
      </c>
      <c r="K371" s="270">
        <f>IF(D371="","",VLOOKUP(D371,契約台帳!$A$3:$L$4986,12,FALSE))</f>
        <v>50</v>
      </c>
      <c r="L371" s="270" t="str">
        <f>IF(D371="","",INDEX(製品マスタ!$Q$5:$Q$5002,MATCH('S4'!F371&amp;'S4'!K371,製品マスタ!$AO$5:$AO$5002,0)))</f>
        <v>N-MAT</v>
      </c>
      <c r="M371" s="39">
        <v>1200</v>
      </c>
      <c r="N371" s="39">
        <v>12000</v>
      </c>
      <c r="O371" s="156">
        <v>3</v>
      </c>
      <c r="P371" s="47">
        <v>3</v>
      </c>
      <c r="Q371" s="57"/>
      <c r="R371" s="271">
        <f ca="1">IF(D371="","",IF(OFFSET(D371,-1,0)&lt;&gt;"","",IF(OR(J371="リード付け",J371="巻足し",J371="巻返しリード付け"),M371,VLOOKUP(D371,契約台帳!$A$3:$N$4986,14,FALSE))))</f>
        <v>1200</v>
      </c>
      <c r="S371" s="272">
        <f ca="1">IF(D371="","",IF(OFFSET(D371,-1,0)&lt;&gt;"","",IF(OR(J371="リード付け",J371="巻足し",J371="巻返しリード付け"),M371,VLOOKUP(D371,契約台帳!$A$3:$O$4986,15,FALSE))))</f>
        <v>1190</v>
      </c>
      <c r="T371" s="273">
        <f ca="1">IF(D371="","",IF(J371="リード付け",N371,IF(J371="巻返しリード付け",N371,IF(J371="巻足し",N371*P371+OFFSET(N371,1,0)*OFFSET(P371,1,0),VLOOKUP(D371,契約台帳!$A$3:$P$4986,16,FALSE)))))</f>
        <v>6000</v>
      </c>
      <c r="U371" s="40">
        <v>6</v>
      </c>
      <c r="V371" s="274">
        <f ca="1">IF(D371="","",IF(OFFSET(D371,-2,0)=D371,"",VLOOKUP(D371,契約台帳!$A$3:$R$4986,18,FALSE)))</f>
        <v>6</v>
      </c>
      <c r="W371" s="269" t="str">
        <f ca="1">IF(D371="","",IF(T371="","",IF(OR(J371="巻足し",J371="巻返しリード付け"),"",IF(J371="巻返し",VLOOKUP(F371&amp;K371&amp;M371,製品マスタ!$M$5:$AD$5002,18,FALSE),IF(OR(J371="リード付け",J371="巻返しリード付け"),"原反コア",IF(J371="スリット",VLOOKUP(F371&amp;K371&amp;R371,製品マスタ!$N$5:$AD$5002,17,FALSE),""))))))</f>
        <v>6ｲﾝﾁMｺｱ</v>
      </c>
      <c r="X371" s="269">
        <f ca="1">IF(D371="","",IF(T371="","",IF(J371="巻足し","",IF(J371="巻返し",VLOOKUP(F371&amp;K371&amp;M371,製品マスタ!$M$5:$AE$5002,19,FALSE),IF(OR(J371="リード付け",J371="巻返しリード付け"),"",IF(J371="スリット",VLOOKUP(F371&amp;K371&amp;R371,製品マスタ!$N$5:$AE$5002,18,FALSE),""))))))</f>
        <v>1220</v>
      </c>
      <c r="Y371" s="275">
        <f ca="1">IF(D371="","",IF(T371="","",VLOOKUP(D371,契約台帳!$A$3:$Q$4986,17,FALSE)))</f>
        <v>2</v>
      </c>
      <c r="Z371" s="269" t="str">
        <f ca="1">IF(D371="","",IF(T371="","",VLOOKUP(D371,契約台帳!$A$3:$E$4986,5,FALSE)))</f>
        <v>大阪シーリング印刷㈱</v>
      </c>
      <c r="AA371" s="57"/>
      <c r="AB371" s="207" t="str">
        <f>IFERROR((VLOOKUP(F371&amp;K371&amp;M371,製品マスタ!$M$5:$AM$5002,27,FALSE)),"")</f>
        <v>原反ケース再利用</v>
      </c>
      <c r="AC371" s="33"/>
      <c r="AD371" s="189"/>
      <c r="AE371" s="54"/>
      <c r="AF371" s="55"/>
      <c r="AG371" s="43"/>
      <c r="AH371" s="47"/>
      <c r="AI371" s="30"/>
      <c r="AJ371" s="30"/>
      <c r="AK371" s="30"/>
      <c r="AL371" s="30"/>
      <c r="AM371" s="13"/>
      <c r="AN371" s="13"/>
      <c r="AO371" s="13"/>
      <c r="AP371" s="13"/>
      <c r="AQ371" s="13"/>
      <c r="AR371" s="14"/>
      <c r="AS371" s="15"/>
    </row>
    <row r="372" spans="1:45" s="17" customFormat="1" ht="30.95" hidden="1" customHeight="1" x14ac:dyDescent="0.2">
      <c r="A372" s="37"/>
      <c r="B372" s="38"/>
      <c r="C372" s="45"/>
      <c r="D372" s="31"/>
      <c r="E372" s="31"/>
      <c r="F372" s="268" t="str">
        <f>IF(D372="","",VLOOKUP(D372,契約台帳!$A$3:$K$4986,6,FALSE)&amp;VLOOKUP(D372,契約台帳!$A$3:$K$4986,7,FALSE)&amp;VLOOKUP(D372,契約台帳!$A$3:$K$4986,8,FALSE)&amp;VLOOKUP(D372,契約台帳!$A$3:$K$4986,9,FALSE)&amp;VLOOKUP(D372,契約台帳!$A$3:$K$4986,11,FALSE))</f>
        <v/>
      </c>
      <c r="G372" s="269" t="str">
        <f>IF(D372="","",VLOOKUP(F372,製品マスタ!$G$5:$H$5002,2,FALSE))</f>
        <v/>
      </c>
      <c r="H372" s="269" t="str">
        <f>IF(D372="","",VLOOKUP(F372,製品マスタ!$G$5:$K$5002,5,FALSE))</f>
        <v/>
      </c>
      <c r="I372" s="270" t="str">
        <f>IF(D372="","",VLOOKUP(F372,製品マスタ!$G$5:$L$5002,6,FALSE))</f>
        <v/>
      </c>
      <c r="J372" s="210"/>
      <c r="K372" s="270" t="str">
        <f>IF(D372="","",VLOOKUP(D372,契約台帳!$A$3:$L$4986,12,FALSE))</f>
        <v/>
      </c>
      <c r="L372" s="270" t="str">
        <f>IF(D372="","",INDEX(製品マスタ!$Q$5:$Q$5002,MATCH('S4'!F372&amp;'S4'!K372,製品マスタ!$AO$5:$AO$5002,0)))</f>
        <v/>
      </c>
      <c r="M372" s="39"/>
      <c r="N372" s="39"/>
      <c r="O372" s="156"/>
      <c r="P372" s="47"/>
      <c r="Q372" s="57"/>
      <c r="R372" s="271" t="str">
        <f ca="1">IF(D372="","",IF(OFFSET(D372,-1,0)&lt;&gt;"","",IF(OR(J372="リード付け",J372="巻足し",J372="巻返しリード付け"),M372,VLOOKUP(D372,契約台帳!$A$3:$N$4986,14,FALSE))))</f>
        <v/>
      </c>
      <c r="S372" s="272" t="str">
        <f ca="1">IF(D372="","",IF(OFFSET(D372,-1,0)&lt;&gt;"","",IF(OR(J372="リード付け",J372="巻足し",J372="巻返しリード付け"),M372,VLOOKUP(D372,契約台帳!$A$3:$O$4986,15,FALSE))))</f>
        <v/>
      </c>
      <c r="T372" s="273" t="str">
        <f ca="1">IF(D372="","",IF(J372="リード付け",N372,IF(J372="巻返しリード付け",N372,IF(J372="巻足し",N372*P372+OFFSET(N372,1,0)*OFFSET(P372,1,0),VLOOKUP(D372,契約台帳!$A$3:$P$4986,16,FALSE)))))</f>
        <v/>
      </c>
      <c r="U372" s="40"/>
      <c r="V372" s="274" t="str">
        <f ca="1">IF(D372="","",IF(OFFSET(D372,-2,0)=D372,"",VLOOKUP(D372,契約台帳!$A$3:$R$4986,18,FALSE)))</f>
        <v/>
      </c>
      <c r="W372" s="269" t="str">
        <f>IF(D372="","",IF(T372="","",IF(OR(J372="巻足し",J372="巻返しリード付け"),"",IF(J372="巻返し",VLOOKUP(F372&amp;K372&amp;M372,製品マスタ!$M$5:$AD$5002,18,FALSE),IF(OR(J372="リード付け",J372="巻返しリード付け"),"原反コア",IF(J372="スリット",VLOOKUP(F372&amp;K372&amp;R372,製品マスタ!$N$5:$AD$5002,17,FALSE),""))))))</f>
        <v/>
      </c>
      <c r="X372" s="269" t="str">
        <f>IF(D372="","",IF(T372="","",IF(J372="巻足し","",IF(J372="巻返し",VLOOKUP(F372&amp;K372&amp;M372,製品マスタ!$M$5:$AE$5002,19,FALSE),IF(OR(J372="リード付け",J372="巻返しリード付け"),"",IF(J372="スリット",VLOOKUP(F372&amp;K372&amp;R372,製品マスタ!$N$5:$AE$5002,18,FALSE),""))))))</f>
        <v/>
      </c>
      <c r="Y372" s="275" t="str">
        <f>IF(D372="","",IF(T372="","",VLOOKUP(D372,契約台帳!$A$3:$Q$4986,17,FALSE)))</f>
        <v/>
      </c>
      <c r="Z372" s="269" t="str">
        <f>IF(D372="","",IF(T372="","",VLOOKUP(D372,契約台帳!$A$3:$E$4986,5,FALSE)))</f>
        <v/>
      </c>
      <c r="AA372" s="57"/>
      <c r="AB372" s="207" t="str">
        <f>IFERROR((VLOOKUP(F372&amp;K372&amp;M372,製品マスタ!$M$5:$AM$5002,27,FALSE)),"")</f>
        <v/>
      </c>
      <c r="AC372" s="33"/>
      <c r="AD372" s="189"/>
      <c r="AE372" s="54"/>
      <c r="AF372" s="55"/>
      <c r="AG372" s="43"/>
      <c r="AH372" s="47"/>
      <c r="AI372" s="30"/>
      <c r="AJ372" s="30"/>
      <c r="AK372" s="30"/>
      <c r="AL372" s="30"/>
      <c r="AM372" s="13"/>
      <c r="AN372" s="13"/>
      <c r="AO372" s="13"/>
      <c r="AP372" s="13"/>
      <c r="AQ372" s="13"/>
      <c r="AR372" s="14"/>
      <c r="AS372" s="15"/>
    </row>
    <row r="373" spans="1:45" s="17" customFormat="1" ht="30.95" hidden="1" customHeight="1" x14ac:dyDescent="0.2">
      <c r="A373" s="37" t="s">
        <v>1011</v>
      </c>
      <c r="B373" s="38" t="s">
        <v>1012</v>
      </c>
      <c r="C373" s="45"/>
      <c r="D373" s="31">
        <v>3698028</v>
      </c>
      <c r="E373" s="31">
        <v>4140894</v>
      </c>
      <c r="F373" s="268" t="str">
        <f>IF(D373="","",VLOOKUP(D373,契約台帳!$A$3:$K$4986,6,FALSE)&amp;VLOOKUP(D373,契約台帳!$A$3:$K$4986,7,FALSE)&amp;VLOOKUP(D373,契約台帳!$A$3:$K$4986,8,FALSE)&amp;VLOOKUP(D373,契約台帳!$A$3:$K$4986,9,FALSE)&amp;VLOOKUP(D373,契約台帳!$A$3:$K$4986,11,FALSE))</f>
        <v>3SNMCLBMSNEYK</v>
      </c>
      <c r="G373" s="269" t="str">
        <f>IF(D373="","",VLOOKUP(F373,製品マスタ!$G$5:$H$5002,2,FALSE))</f>
        <v>S</v>
      </c>
      <c r="H373" s="269" t="str">
        <f>IF(D373="","",VLOOKUP(F373,製品マスタ!$G$5:$K$5002,5,FALSE))</f>
        <v>MSNEYK</v>
      </c>
      <c r="I373" s="270" t="str">
        <f>IF(D373="","",VLOOKUP(F373,製品マスタ!$G$5:$L$5002,6,FALSE))</f>
        <v>ＭＳＮ　ＥＹＫ</v>
      </c>
      <c r="J373" s="210" t="s">
        <v>447</v>
      </c>
      <c r="K373" s="270">
        <f>IF(D373="","",VLOOKUP(D373,契約台帳!$A$3:$L$4986,12,FALSE))</f>
        <v>50</v>
      </c>
      <c r="L373" s="270" t="str">
        <f>IF(D373="","",INDEX(製品マスタ!$Q$5:$Q$5002,MATCH('S4'!F373&amp;'S4'!K373,製品マスタ!$AO$5:$AO$5002,0)))</f>
        <v>N-MAT</v>
      </c>
      <c r="M373" s="39">
        <v>1120</v>
      </c>
      <c r="N373" s="39">
        <v>12000</v>
      </c>
      <c r="O373" s="156">
        <v>2</v>
      </c>
      <c r="P373" s="47">
        <v>2</v>
      </c>
      <c r="Q373" s="57"/>
      <c r="R373" s="271">
        <f ca="1">IF(D373="","",IF(OFFSET(D373,-1,0)&lt;&gt;"","",IF(OR(J373="リード付け",J373="巻足し",J373="巻返しリード付け"),M373,VLOOKUP(D373,契約台帳!$A$3:$N$4986,14,FALSE))))</f>
        <v>1120</v>
      </c>
      <c r="S373" s="272">
        <f ca="1">IF(D373="","",IF(OFFSET(D373,-1,0)&lt;&gt;"","",IF(OR(J373="リード付け",J373="巻足し",J373="巻返しリード付け"),M373,VLOOKUP(D373,契約台帳!$A$3:$O$4986,15,FALSE))))</f>
        <v>1120</v>
      </c>
      <c r="T373" s="273">
        <f ca="1">IF(D373="","",IF(J373="リード付け",N373,IF(J373="巻返しリード付け",N373,IF(J373="巻足し",N373*P373+OFFSET(N373,1,0)*OFFSET(P373,1,0),VLOOKUP(D373,契約台帳!$A$3:$P$4986,16,FALSE)))))</f>
        <v>4000</v>
      </c>
      <c r="U373" s="40">
        <v>6</v>
      </c>
      <c r="V373" s="274">
        <f ca="1">IF(D373="","",IF(OFFSET(D373,-2,0)=D373,"",VLOOKUP(D373,契約台帳!$A$3:$R$4986,18,FALSE)))</f>
        <v>8</v>
      </c>
      <c r="W373" s="269" t="str">
        <f ca="1">IF(D373="","",IF(T373="","",IF(OR(J373="巻足し",J373="巻返しリード付け"),"",IF(J373="巻返し",VLOOKUP(F373&amp;K373&amp;M373,製品マスタ!$M$5:$AD$5002,18,FALSE),IF(OR(J373="リード付け",J373="巻返しリード付け"),"原反コア",IF(J373="スリット",VLOOKUP(F373&amp;K373&amp;R373,製品マスタ!$N$5:$AD$5002,17,FALSE),""))))))</f>
        <v>6ｲﾝﾁMｺｱ</v>
      </c>
      <c r="X373" s="269">
        <f ca="1">IF(D373="","",IF(T373="","",IF(J373="巻足し","",IF(J373="巻返し",VLOOKUP(F373&amp;K373&amp;M373,製品マスタ!$M$5:$AE$5002,19,FALSE),IF(OR(J373="リード付け",J373="巻返しリード付け"),"",IF(J373="スリット",VLOOKUP(F373&amp;K373&amp;R373,製品マスタ!$N$5:$AE$5002,18,FALSE),""))))))</f>
        <v>1140</v>
      </c>
      <c r="Y373" s="275">
        <f ca="1">IF(D373="","",IF(T373="","",VLOOKUP(D373,契約台帳!$A$3:$Q$4986,17,FALSE)))</f>
        <v>2</v>
      </c>
      <c r="Z373" s="269" t="str">
        <f ca="1">IF(D373="","",IF(T373="","",VLOOKUP(D373,契約台帳!$A$3:$E$4986,5,FALSE)))</f>
        <v>新タック化成㈱</v>
      </c>
      <c r="AA373" s="57"/>
      <c r="AB373" s="207" t="str">
        <f>IFERROR((VLOOKUP(F373&amp;K373&amp;M373,製品マスタ!$M$5:$AM$5002,27,FALSE)),"")</f>
        <v>原反ケース再利用</v>
      </c>
      <c r="AC373" s="33"/>
      <c r="AD373" s="189"/>
      <c r="AE373" s="54"/>
      <c r="AF373" s="55"/>
      <c r="AG373" s="43"/>
      <c r="AH373" s="47"/>
      <c r="AI373" s="30"/>
      <c r="AJ373" s="30"/>
      <c r="AK373" s="30"/>
      <c r="AL373" s="30"/>
      <c r="AM373" s="13"/>
      <c r="AN373" s="13"/>
      <c r="AO373" s="13"/>
      <c r="AP373" s="13"/>
      <c r="AQ373" s="13"/>
      <c r="AR373" s="14"/>
      <c r="AS373" s="15"/>
    </row>
    <row r="374" spans="1:45" s="17" customFormat="1" ht="30.95" hidden="1" customHeight="1" x14ac:dyDescent="0.2">
      <c r="A374" s="37"/>
      <c r="B374" s="38"/>
      <c r="C374" s="45"/>
      <c r="D374" s="31"/>
      <c r="E374" s="31"/>
      <c r="F374" s="268" t="str">
        <f>IF(D374="","",VLOOKUP(D374,契約台帳!$A$3:$K$4986,6,FALSE)&amp;VLOOKUP(D374,契約台帳!$A$3:$K$4986,7,FALSE)&amp;VLOOKUP(D374,契約台帳!$A$3:$K$4986,8,FALSE)&amp;VLOOKUP(D374,契約台帳!$A$3:$K$4986,9,FALSE)&amp;VLOOKUP(D374,契約台帳!$A$3:$K$4986,11,FALSE))</f>
        <v/>
      </c>
      <c r="G374" s="269" t="str">
        <f>IF(D374="","",VLOOKUP(F374,製品マスタ!$G$5:$H$5002,2,FALSE))</f>
        <v/>
      </c>
      <c r="H374" s="269" t="str">
        <f>IF(D374="","",VLOOKUP(F374,製品マスタ!$G$5:$K$5002,5,FALSE))</f>
        <v/>
      </c>
      <c r="I374" s="270" t="str">
        <f>IF(D374="","",VLOOKUP(F374,製品マスタ!$G$5:$L$5002,6,FALSE))</f>
        <v/>
      </c>
      <c r="J374" s="210"/>
      <c r="K374" s="270" t="str">
        <f>IF(D374="","",VLOOKUP(D374,契約台帳!$A$3:$L$4986,12,FALSE))</f>
        <v/>
      </c>
      <c r="L374" s="270" t="str">
        <f>IF(D374="","",INDEX(製品マスタ!$Q$5:$Q$5002,MATCH('S4'!F374&amp;'S4'!K374,製品マスタ!$AO$5:$AO$5002,0)))</f>
        <v/>
      </c>
      <c r="M374" s="39"/>
      <c r="N374" s="39"/>
      <c r="O374" s="156"/>
      <c r="P374" s="47"/>
      <c r="Q374" s="57"/>
      <c r="R374" s="271" t="str">
        <f ca="1">IF(D374="","",IF(OFFSET(D374,-1,0)&lt;&gt;"","",IF(OR(J374="リード付け",J374="巻足し",J374="巻返しリード付け"),M374,VLOOKUP(D374,契約台帳!$A$3:$N$4986,14,FALSE))))</f>
        <v/>
      </c>
      <c r="S374" s="272" t="str">
        <f ca="1">IF(D374="","",IF(OFFSET(D374,-1,0)&lt;&gt;"","",IF(OR(J374="リード付け",J374="巻足し",J374="巻返しリード付け"),M374,VLOOKUP(D374,契約台帳!$A$3:$O$4986,15,FALSE))))</f>
        <v/>
      </c>
      <c r="T374" s="273" t="str">
        <f ca="1">IF(D374="","",IF(J374="リード付け",N374,IF(J374="巻返しリード付け",N374,IF(J374="巻足し",N374*P374+OFFSET(N374,1,0)*OFFSET(P374,1,0),VLOOKUP(D374,契約台帳!$A$3:$P$4986,16,FALSE)))))</f>
        <v/>
      </c>
      <c r="U374" s="40"/>
      <c r="V374" s="274" t="str">
        <f ca="1">IF(D374="","",IF(OFFSET(D374,-2,0)=D374,"",VLOOKUP(D374,契約台帳!$A$3:$R$4986,18,FALSE)))</f>
        <v/>
      </c>
      <c r="W374" s="269" t="str">
        <f>IF(D374="","",IF(T374="","",IF(OR(J374="巻足し",J374="巻返しリード付け"),"",IF(J374="巻返し",VLOOKUP(F374&amp;K374&amp;M374,製品マスタ!$M$5:$AD$5002,18,FALSE),IF(OR(J374="リード付け",J374="巻返しリード付け"),"原反コア",IF(J374="スリット",VLOOKUP(F374&amp;K374&amp;R374,製品マスタ!$N$5:$AD$5002,17,FALSE),""))))))</f>
        <v/>
      </c>
      <c r="X374" s="269" t="str">
        <f>IF(D374="","",IF(T374="","",IF(J374="巻足し","",IF(J374="巻返し",VLOOKUP(F374&amp;K374&amp;M374,製品マスタ!$M$5:$AE$5002,19,FALSE),IF(OR(J374="リード付け",J374="巻返しリード付け"),"",IF(J374="スリット",VLOOKUP(F374&amp;K374&amp;R374,製品マスタ!$N$5:$AE$5002,18,FALSE),""))))))</f>
        <v/>
      </c>
      <c r="Y374" s="275" t="str">
        <f>IF(D374="","",IF(T374="","",VLOOKUP(D374,契約台帳!$A$3:$Q$4986,17,FALSE)))</f>
        <v/>
      </c>
      <c r="Z374" s="269" t="str">
        <f>IF(D374="","",IF(T374="","",VLOOKUP(D374,契約台帳!$A$3:$E$4986,5,FALSE)))</f>
        <v/>
      </c>
      <c r="AA374" s="57"/>
      <c r="AB374" s="207" t="str">
        <f>IFERROR((VLOOKUP(F374&amp;K374&amp;M374,製品マスタ!$M$5:$AM$5002,27,FALSE)),"")</f>
        <v/>
      </c>
      <c r="AC374" s="33"/>
      <c r="AD374" s="189"/>
      <c r="AE374" s="54"/>
      <c r="AF374" s="55"/>
      <c r="AG374" s="43"/>
      <c r="AH374" s="47"/>
      <c r="AI374" s="30"/>
      <c r="AJ374" s="30"/>
      <c r="AK374" s="30"/>
      <c r="AL374" s="30"/>
      <c r="AM374" s="13"/>
      <c r="AN374" s="13"/>
      <c r="AO374" s="13"/>
      <c r="AP374" s="13"/>
      <c r="AQ374" s="13"/>
      <c r="AR374" s="14"/>
      <c r="AS374" s="15"/>
    </row>
    <row r="375" spans="1:45" s="17" customFormat="1" ht="30.95" hidden="1" customHeight="1" x14ac:dyDescent="0.2">
      <c r="A375" s="37"/>
      <c r="B375" s="38"/>
      <c r="C375" s="45"/>
      <c r="D375" s="31">
        <v>3698028</v>
      </c>
      <c r="E375" s="31">
        <v>4140894</v>
      </c>
      <c r="F375" s="268" t="str">
        <f>IF(D375="","",VLOOKUP(D375,契約台帳!$A$3:$K$4986,6,FALSE)&amp;VLOOKUP(D375,契約台帳!$A$3:$K$4986,7,FALSE)&amp;VLOOKUP(D375,契約台帳!$A$3:$K$4986,8,FALSE)&amp;VLOOKUP(D375,契約台帳!$A$3:$K$4986,9,FALSE)&amp;VLOOKUP(D375,契約台帳!$A$3:$K$4986,11,FALSE))</f>
        <v>3SNMCLBMSNEYK</v>
      </c>
      <c r="G375" s="269" t="str">
        <f>IF(D375="","",VLOOKUP(F375,製品マスタ!$G$5:$H$5002,2,FALSE))</f>
        <v>S</v>
      </c>
      <c r="H375" s="269" t="str">
        <f>IF(D375="","",VLOOKUP(F375,製品マスタ!$G$5:$K$5002,5,FALSE))</f>
        <v>MSNEYK</v>
      </c>
      <c r="I375" s="270" t="str">
        <f>IF(D375="","",VLOOKUP(F375,製品マスタ!$G$5:$L$5002,6,FALSE))</f>
        <v>ＭＳＮ　ＥＹＫ</v>
      </c>
      <c r="J375" s="210" t="s">
        <v>447</v>
      </c>
      <c r="K375" s="270">
        <f>IF(D375="","",VLOOKUP(D375,契約台帳!$A$3:$L$4986,12,FALSE))</f>
        <v>50</v>
      </c>
      <c r="L375" s="270" t="str">
        <f>IF(D375="","",INDEX(製品マスタ!$Q$5:$Q$5002,MATCH('S4'!F375&amp;'S4'!K375,製品マスタ!$AO$5:$AO$5002,0)))</f>
        <v>N-MAT</v>
      </c>
      <c r="M375" s="39">
        <v>1120</v>
      </c>
      <c r="N375" s="39">
        <v>8000</v>
      </c>
      <c r="O375" s="156">
        <v>1</v>
      </c>
      <c r="P375" s="47">
        <v>1</v>
      </c>
      <c r="Q375" s="57"/>
      <c r="R375" s="271">
        <f ca="1">IF(D375="","",IF(OFFSET(D375,-1,0)&lt;&gt;"","",IF(OR(J375="リード付け",J375="巻足し",J375="巻返しリード付け"),M375,VLOOKUP(D375,契約台帳!$A$3:$N$4986,14,FALSE))))</f>
        <v>1120</v>
      </c>
      <c r="S375" s="272">
        <f ca="1">IF(D375="","",IF(OFFSET(D375,-1,0)&lt;&gt;"","",IF(OR(J375="リード付け",J375="巻足し",J375="巻返しリード付け"),M375,VLOOKUP(D375,契約台帳!$A$3:$O$4986,15,FALSE))))</f>
        <v>1120</v>
      </c>
      <c r="T375" s="273">
        <f ca="1">IF(D375="","",IF(J375="リード付け",N375,IF(J375="巻返しリード付け",N375,IF(J375="巻足し",N375*P375+OFFSET(N375,1,0)*OFFSET(P375,1,0),VLOOKUP(D375,契約台帳!$A$3:$P$4986,16,FALSE)))))</f>
        <v>4000</v>
      </c>
      <c r="U375" s="40">
        <v>2</v>
      </c>
      <c r="V375" s="274" t="str">
        <f ca="1">IF(D375="","",IF(OFFSET(D375,-2,0)=D375,"",VLOOKUP(D375,契約台帳!$A$3:$R$4986,18,FALSE)))</f>
        <v/>
      </c>
      <c r="W375" s="269" t="str">
        <f ca="1">IF(D375="","",IF(T375="","",IF(OR(J375="巻足し",J375="巻返しリード付け"),"",IF(J375="巻返し",VLOOKUP(F375&amp;K375&amp;M375,製品マスタ!$M$5:$AD$5002,18,FALSE),IF(OR(J375="リード付け",J375="巻返しリード付け"),"原反コア",IF(J375="スリット",VLOOKUP(F375&amp;K375&amp;R375,製品マスタ!$N$5:$AD$5002,17,FALSE),""))))))</f>
        <v>6ｲﾝﾁMｺｱ</v>
      </c>
      <c r="X375" s="269">
        <f ca="1">IF(D375="","",IF(T375="","",IF(J375="巻足し","",IF(J375="巻返し",VLOOKUP(F375&amp;K375&amp;M375,製品マスタ!$M$5:$AE$5002,19,FALSE),IF(OR(J375="リード付け",J375="巻返しリード付け"),"",IF(J375="スリット",VLOOKUP(F375&amp;K375&amp;R375,製品マスタ!$N$5:$AE$5002,18,FALSE),""))))))</f>
        <v>1140</v>
      </c>
      <c r="Y375" s="275">
        <f ca="1">IF(D375="","",IF(T375="","",VLOOKUP(D375,契約台帳!$A$3:$Q$4986,17,FALSE)))</f>
        <v>2</v>
      </c>
      <c r="Z375" s="269" t="str">
        <f ca="1">IF(D375="","",IF(T375="","",VLOOKUP(D375,契約台帳!$A$3:$E$4986,5,FALSE)))</f>
        <v>新タック化成㈱</v>
      </c>
      <c r="AA375" s="57"/>
      <c r="AB375" s="207" t="str">
        <f>IFERROR((VLOOKUP(F375&amp;K375&amp;M375,製品マスタ!$M$5:$AM$5002,27,FALSE)),"")</f>
        <v>原反ケース再利用</v>
      </c>
      <c r="AC375" s="33"/>
      <c r="AD375" s="189"/>
      <c r="AE375" s="54"/>
      <c r="AF375" s="55"/>
      <c r="AG375" s="43"/>
      <c r="AH375" s="47"/>
      <c r="AI375" s="30"/>
      <c r="AJ375" s="30"/>
      <c r="AK375" s="30"/>
      <c r="AL375" s="30"/>
      <c r="AM375" s="13"/>
      <c r="AN375" s="13"/>
      <c r="AO375" s="13"/>
      <c r="AP375" s="13"/>
      <c r="AQ375" s="13"/>
      <c r="AR375" s="14"/>
      <c r="AS375" s="15"/>
    </row>
    <row r="376" spans="1:45" s="17" customFormat="1" ht="30.95" hidden="1" customHeight="1" x14ac:dyDescent="0.2">
      <c r="A376" s="37"/>
      <c r="B376" s="38"/>
      <c r="C376" s="45"/>
      <c r="D376" s="31"/>
      <c r="E376" s="31"/>
      <c r="F376" s="268" t="str">
        <f>IF(D376="","",VLOOKUP(D376,契約台帳!$A$3:$K$4986,6,FALSE)&amp;VLOOKUP(D376,契約台帳!$A$3:$K$4986,7,FALSE)&amp;VLOOKUP(D376,契約台帳!$A$3:$K$4986,8,FALSE)&amp;VLOOKUP(D376,契約台帳!$A$3:$K$4986,9,FALSE)&amp;VLOOKUP(D376,契約台帳!$A$3:$K$4986,11,FALSE))</f>
        <v/>
      </c>
      <c r="G376" s="269" t="str">
        <f>IF(D376="","",VLOOKUP(F376,製品マスタ!$G$5:$H$5002,2,FALSE))</f>
        <v/>
      </c>
      <c r="H376" s="269" t="str">
        <f>IF(D376="","",VLOOKUP(F376,製品マスタ!$G$5:$K$5002,5,FALSE))</f>
        <v/>
      </c>
      <c r="I376" s="270" t="str">
        <f>IF(D376="","",VLOOKUP(F376,製品マスタ!$G$5:$L$5002,6,FALSE))</f>
        <v/>
      </c>
      <c r="J376" s="210"/>
      <c r="K376" s="270" t="str">
        <f>IF(D376="","",VLOOKUP(D376,契約台帳!$A$3:$L$4986,12,FALSE))</f>
        <v/>
      </c>
      <c r="L376" s="270" t="str">
        <f>IF(D376="","",INDEX(製品マスタ!$Q$5:$Q$5002,MATCH('S4'!F376&amp;'S4'!K376,製品マスタ!$AO$5:$AO$5002,0)))</f>
        <v/>
      </c>
      <c r="M376" s="39"/>
      <c r="N376" s="39"/>
      <c r="O376" s="156"/>
      <c r="P376" s="47"/>
      <c r="Q376" s="57"/>
      <c r="R376" s="271" t="str">
        <f ca="1">IF(D376="","",IF(OFFSET(D376,-1,0)&lt;&gt;"","",IF(OR(J376="リード付け",J376="巻足し",J376="巻返しリード付け"),M376,VLOOKUP(D376,契約台帳!$A$3:$N$4986,14,FALSE))))</f>
        <v/>
      </c>
      <c r="S376" s="272" t="str">
        <f ca="1">IF(D376="","",IF(OFFSET(D376,-1,0)&lt;&gt;"","",IF(OR(J376="リード付け",J376="巻足し",J376="巻返しリード付け"),M376,VLOOKUP(D376,契約台帳!$A$3:$O$4986,15,FALSE))))</f>
        <v/>
      </c>
      <c r="T376" s="273" t="str">
        <f ca="1">IF(D376="","",IF(J376="リード付け",N376,IF(J376="巻返しリード付け",N376,IF(J376="巻足し",N376*P376+OFFSET(N376,1,0)*OFFSET(P376,1,0),VLOOKUP(D376,契約台帳!$A$3:$P$4986,16,FALSE)))))</f>
        <v/>
      </c>
      <c r="U376" s="40"/>
      <c r="V376" s="274" t="str">
        <f ca="1">IF(D376="","",IF(OFFSET(D376,-2,0)=D376,"",VLOOKUP(D376,契約台帳!$A$3:$R$4986,18,FALSE)))</f>
        <v/>
      </c>
      <c r="W376" s="269" t="str">
        <f>IF(D376="","",IF(T376="","",IF(OR(J376="巻足し",J376="巻返しリード付け"),"",IF(J376="巻返し",VLOOKUP(F376&amp;K376&amp;M376,製品マスタ!$M$5:$AD$5002,18,FALSE),IF(OR(J376="リード付け",J376="巻返しリード付け"),"原反コア",IF(J376="スリット",VLOOKUP(F376&amp;K376&amp;R376,製品マスタ!$N$5:$AD$5002,17,FALSE),""))))))</f>
        <v/>
      </c>
      <c r="X376" s="269" t="str">
        <f>IF(D376="","",IF(T376="","",IF(J376="巻足し","",IF(J376="巻返し",VLOOKUP(F376&amp;K376&amp;M376,製品マスタ!$M$5:$AE$5002,19,FALSE),IF(OR(J376="リード付け",J376="巻返しリード付け"),"",IF(J376="スリット",VLOOKUP(F376&amp;K376&amp;R376,製品マスタ!$N$5:$AE$5002,18,FALSE),""))))))</f>
        <v/>
      </c>
      <c r="Y376" s="275" t="str">
        <f>IF(D376="","",IF(T376="","",VLOOKUP(D376,契約台帳!$A$3:$Q$4986,17,FALSE)))</f>
        <v/>
      </c>
      <c r="Z376" s="269" t="str">
        <f>IF(D376="","",IF(T376="","",VLOOKUP(D376,契約台帳!$A$3:$E$4986,5,FALSE)))</f>
        <v/>
      </c>
      <c r="AA376" s="57"/>
      <c r="AB376" s="207" t="str">
        <f>IFERROR((VLOOKUP(F376&amp;K376&amp;M376,製品マスタ!$M$5:$AM$5002,27,FALSE)),"")</f>
        <v/>
      </c>
      <c r="AC376" s="33"/>
      <c r="AD376" s="189"/>
      <c r="AE376" s="54"/>
      <c r="AF376" s="55"/>
      <c r="AG376" s="43"/>
      <c r="AH376" s="47"/>
      <c r="AI376" s="30"/>
      <c r="AJ376" s="30"/>
      <c r="AK376" s="30"/>
      <c r="AL376" s="30"/>
      <c r="AM376" s="13"/>
      <c r="AN376" s="13"/>
      <c r="AO376" s="13"/>
      <c r="AP376" s="13"/>
      <c r="AQ376" s="13"/>
      <c r="AR376" s="14"/>
      <c r="AS376" s="15"/>
    </row>
    <row r="377" spans="1:45" s="17" customFormat="1" ht="30.95" hidden="1" customHeight="1" x14ac:dyDescent="0.2">
      <c r="A377" s="37"/>
      <c r="B377" s="38"/>
      <c r="C377" s="45"/>
      <c r="D377" s="31">
        <v>3700948</v>
      </c>
      <c r="E377" s="31">
        <v>4140907</v>
      </c>
      <c r="F377" s="268" t="str">
        <f>IF(D377="","",VLOOKUP(D377,契約台帳!$A$3:$K$4986,6,FALSE)&amp;VLOOKUP(D377,契約台帳!$A$3:$K$4986,7,FALSE)&amp;VLOOKUP(D377,契約台帳!$A$3:$K$4986,8,FALSE)&amp;VLOOKUP(D377,契約台帳!$A$3:$K$4986,9,FALSE)&amp;VLOOKUP(D377,契約台帳!$A$3:$K$4986,11,FALSE))</f>
        <v>3SNMCLBMSNEYK</v>
      </c>
      <c r="G377" s="269" t="str">
        <f>IF(D377="","",VLOOKUP(F377,製品マスタ!$G$5:$H$5002,2,FALSE))</f>
        <v>S</v>
      </c>
      <c r="H377" s="269" t="str">
        <f>IF(D377="","",VLOOKUP(F377,製品マスタ!$G$5:$K$5002,5,FALSE))</f>
        <v>MSNEYK</v>
      </c>
      <c r="I377" s="270" t="str">
        <f>IF(D377="","",VLOOKUP(F377,製品マスタ!$G$5:$L$5002,6,FALSE))</f>
        <v>ＭＳＮ　ＥＹＫ</v>
      </c>
      <c r="J377" s="210" t="s">
        <v>447</v>
      </c>
      <c r="K377" s="270">
        <f>IF(D377="","",VLOOKUP(D377,契約台帳!$A$3:$L$4986,12,FALSE))</f>
        <v>50</v>
      </c>
      <c r="L377" s="270" t="str">
        <f>IF(D377="","",INDEX(製品マスタ!$Q$5:$Q$5002,MATCH('S4'!F377&amp;'S4'!K377,製品マスタ!$AO$5:$AO$5002,0)))</f>
        <v>N-MAT</v>
      </c>
      <c r="M377" s="39">
        <v>1120</v>
      </c>
      <c r="N377" s="39">
        <v>12000</v>
      </c>
      <c r="O377" s="156">
        <v>2</v>
      </c>
      <c r="P377" s="47">
        <v>2</v>
      </c>
      <c r="Q377" s="57"/>
      <c r="R377" s="271">
        <f ca="1">IF(D377="","",IF(OFFSET(D377,-1,0)&lt;&gt;"","",IF(OR(J377="リード付け",J377="巻足し",J377="巻返しリード付け"),M377,VLOOKUP(D377,契約台帳!$A$3:$N$4986,14,FALSE))))</f>
        <v>1120</v>
      </c>
      <c r="S377" s="272">
        <f ca="1">IF(D377="","",IF(OFFSET(D377,-1,0)&lt;&gt;"","",IF(OR(J377="リード付け",J377="巻足し",J377="巻返しリード付け"),M377,VLOOKUP(D377,契約台帳!$A$3:$O$4986,15,FALSE))))</f>
        <v>1120</v>
      </c>
      <c r="T377" s="273">
        <f ca="1">IF(D377="","",IF(J377="リード付け",N377,IF(J377="巻返しリード付け",N377,IF(J377="巻足し",N377*P377+OFFSET(N377,1,0)*OFFSET(P377,1,0),VLOOKUP(D377,契約台帳!$A$3:$P$4986,16,FALSE)))))</f>
        <v>4000</v>
      </c>
      <c r="U377" s="40">
        <v>6</v>
      </c>
      <c r="V377" s="274">
        <f ca="1">IF(D377="","",IF(OFFSET(D377,-2,0)=D377,"",VLOOKUP(D377,契約台帳!$A$3:$R$4986,18,FALSE)))</f>
        <v>6</v>
      </c>
      <c r="W377" s="269" t="str">
        <f ca="1">IF(D377="","",IF(T377="","",IF(OR(J377="巻足し",J377="巻返しリード付け"),"",IF(J377="巻返し",VLOOKUP(F377&amp;K377&amp;M377,製品マスタ!$M$5:$AD$5002,18,FALSE),IF(OR(J377="リード付け",J377="巻返しリード付け"),"原反コア",IF(J377="スリット",VLOOKUP(F377&amp;K377&amp;R377,製品マスタ!$N$5:$AD$5002,17,FALSE),""))))))</f>
        <v>6ｲﾝﾁMｺｱ</v>
      </c>
      <c r="X377" s="269">
        <f ca="1">IF(D377="","",IF(T377="","",IF(J377="巻足し","",IF(J377="巻返し",VLOOKUP(F377&amp;K377&amp;M377,製品マスタ!$M$5:$AE$5002,19,FALSE),IF(OR(J377="リード付け",J377="巻返しリード付け"),"",IF(J377="スリット",VLOOKUP(F377&amp;K377&amp;R377,製品マスタ!$N$5:$AE$5002,18,FALSE),""))))))</f>
        <v>1140</v>
      </c>
      <c r="Y377" s="275">
        <f ca="1">IF(D377="","",IF(T377="","",VLOOKUP(D377,契約台帳!$A$3:$Q$4986,17,FALSE)))</f>
        <v>2</v>
      </c>
      <c r="Z377" s="269" t="str">
        <f ca="1">IF(D377="","",IF(T377="","",VLOOKUP(D377,契約台帳!$A$3:$E$4986,5,FALSE)))</f>
        <v>新タック化成㈱</v>
      </c>
      <c r="AA377" s="57"/>
      <c r="AB377" s="207" t="str">
        <f>IFERROR((VLOOKUP(F377&amp;K377&amp;M377,製品マスタ!$M$5:$AM$5002,27,FALSE)),"")</f>
        <v>原反ケース再利用</v>
      </c>
      <c r="AC377" s="33"/>
      <c r="AD377" s="189"/>
      <c r="AE377" s="54"/>
      <c r="AF377" s="55"/>
      <c r="AG377" s="43"/>
      <c r="AH377" s="47"/>
      <c r="AI377" s="30"/>
      <c r="AJ377" s="30"/>
      <c r="AK377" s="30"/>
      <c r="AL377" s="30"/>
      <c r="AM377" s="13"/>
      <c r="AN377" s="13"/>
      <c r="AO377" s="13"/>
      <c r="AP377" s="13"/>
      <c r="AQ377" s="13"/>
      <c r="AR377" s="14"/>
      <c r="AS377" s="15"/>
    </row>
    <row r="378" spans="1:45" s="17" customFormat="1" ht="30.95" hidden="1" customHeight="1" x14ac:dyDescent="0.2">
      <c r="A378" s="37"/>
      <c r="B378" s="38"/>
      <c r="C378" s="45"/>
      <c r="D378" s="31"/>
      <c r="E378" s="31"/>
      <c r="F378" s="268" t="str">
        <f>IF(D378="","",VLOOKUP(D378,契約台帳!$A$3:$K$4986,6,FALSE)&amp;VLOOKUP(D378,契約台帳!$A$3:$K$4986,7,FALSE)&amp;VLOOKUP(D378,契約台帳!$A$3:$K$4986,8,FALSE)&amp;VLOOKUP(D378,契約台帳!$A$3:$K$4986,9,FALSE)&amp;VLOOKUP(D378,契約台帳!$A$3:$K$4986,11,FALSE))</f>
        <v/>
      </c>
      <c r="G378" s="269" t="str">
        <f>IF(D378="","",VLOOKUP(F378,製品マスタ!$G$5:$H$5002,2,FALSE))</f>
        <v/>
      </c>
      <c r="H378" s="269" t="str">
        <f>IF(D378="","",VLOOKUP(F378,製品マスタ!$G$5:$K$5002,5,FALSE))</f>
        <v/>
      </c>
      <c r="I378" s="270" t="str">
        <f>IF(D378="","",VLOOKUP(F378,製品マスタ!$G$5:$L$5002,6,FALSE))</f>
        <v/>
      </c>
      <c r="J378" s="210"/>
      <c r="K378" s="270" t="str">
        <f>IF(D378="","",VLOOKUP(D378,契約台帳!$A$3:$L$4986,12,FALSE))</f>
        <v/>
      </c>
      <c r="L378" s="270" t="str">
        <f>IF(D378="","",INDEX(製品マスタ!$Q$5:$Q$5002,MATCH('S4'!F378&amp;'S4'!K378,製品マスタ!$AO$5:$AO$5002,0)))</f>
        <v/>
      </c>
      <c r="M378" s="39"/>
      <c r="N378" s="39"/>
      <c r="O378" s="156"/>
      <c r="P378" s="47"/>
      <c r="Q378" s="57"/>
      <c r="R378" s="271" t="str">
        <f ca="1">IF(D378="","",IF(OFFSET(D378,-1,0)&lt;&gt;"","",IF(OR(J378="リード付け",J378="巻足し",J378="巻返しリード付け"),M378,VLOOKUP(D378,契約台帳!$A$3:$N$4986,14,FALSE))))</f>
        <v/>
      </c>
      <c r="S378" s="272" t="str">
        <f ca="1">IF(D378="","",IF(OFFSET(D378,-1,0)&lt;&gt;"","",IF(OR(J378="リード付け",J378="巻足し",J378="巻返しリード付け"),M378,VLOOKUP(D378,契約台帳!$A$3:$O$4986,15,FALSE))))</f>
        <v/>
      </c>
      <c r="T378" s="273" t="str">
        <f ca="1">IF(D378="","",IF(J378="リード付け",N378,IF(J378="巻返しリード付け",N378,IF(J378="巻足し",N378*P378+OFFSET(N378,1,0)*OFFSET(P378,1,0),VLOOKUP(D378,契約台帳!$A$3:$P$4986,16,FALSE)))))</f>
        <v/>
      </c>
      <c r="U378" s="40"/>
      <c r="V378" s="274" t="str">
        <f ca="1">IF(D378="","",IF(OFFSET(D378,-2,0)=D378,"",VLOOKUP(D378,契約台帳!$A$3:$R$4986,18,FALSE)))</f>
        <v/>
      </c>
      <c r="W378" s="269" t="str">
        <f>IF(D378="","",IF(T378="","",IF(OR(J378="巻足し",J378="巻返しリード付け"),"",IF(J378="巻返し",VLOOKUP(F378&amp;K378&amp;M378,製品マスタ!$M$5:$AD$5002,18,FALSE),IF(OR(J378="リード付け",J378="巻返しリード付け"),"原反コア",IF(J378="スリット",VLOOKUP(F378&amp;K378&amp;R378,製品マスタ!$N$5:$AD$5002,17,FALSE),""))))))</f>
        <v/>
      </c>
      <c r="X378" s="269" t="str">
        <f>IF(D378="","",IF(T378="","",IF(J378="巻足し","",IF(J378="巻返し",VLOOKUP(F378&amp;K378&amp;M378,製品マスタ!$M$5:$AE$5002,19,FALSE),IF(OR(J378="リード付け",J378="巻返しリード付け"),"",IF(J378="スリット",VLOOKUP(F378&amp;K378&amp;R378,製品マスタ!$N$5:$AE$5002,18,FALSE),""))))))</f>
        <v/>
      </c>
      <c r="Y378" s="275" t="str">
        <f>IF(D378="","",IF(T378="","",VLOOKUP(D378,契約台帳!$A$3:$Q$4986,17,FALSE)))</f>
        <v/>
      </c>
      <c r="Z378" s="269" t="str">
        <f>IF(D378="","",IF(T378="","",VLOOKUP(D378,契約台帳!$A$3:$E$4986,5,FALSE)))</f>
        <v/>
      </c>
      <c r="AA378" s="57"/>
      <c r="AB378" s="207" t="str">
        <f>IFERROR((VLOOKUP(F378&amp;K378&amp;M378,製品マスタ!$M$5:$AM$5002,27,FALSE)),"")</f>
        <v/>
      </c>
      <c r="AC378" s="33"/>
      <c r="AD378" s="189"/>
      <c r="AE378" s="54"/>
      <c r="AF378" s="55"/>
      <c r="AG378" s="43"/>
      <c r="AH378" s="47"/>
      <c r="AI378" s="30"/>
      <c r="AJ378" s="30"/>
      <c r="AK378" s="30"/>
      <c r="AL378" s="30"/>
      <c r="AM378" s="13"/>
      <c r="AN378" s="13"/>
      <c r="AO378" s="13"/>
      <c r="AP378" s="13"/>
      <c r="AQ378" s="13"/>
      <c r="AR378" s="14"/>
      <c r="AS378" s="15"/>
    </row>
    <row r="379" spans="1:45" s="17" customFormat="1" ht="30.95" hidden="1" customHeight="1" x14ac:dyDescent="0.2">
      <c r="A379" s="37" t="s">
        <v>1013</v>
      </c>
      <c r="B379" s="38" t="s">
        <v>1006</v>
      </c>
      <c r="C379" s="45"/>
      <c r="D379" s="31">
        <v>3700961</v>
      </c>
      <c r="E379" s="31">
        <v>4140897</v>
      </c>
      <c r="F379" s="268" t="str">
        <f>IF(D379="","",VLOOKUP(D379,契約台帳!$A$3:$K$4986,6,FALSE)&amp;VLOOKUP(D379,契約台帳!$A$3:$K$4986,7,FALSE)&amp;VLOOKUP(D379,契約台帳!$A$3:$K$4986,8,FALSE)&amp;VLOOKUP(D379,契約台帳!$A$3:$K$4986,9,FALSE)&amp;VLOOKUP(D379,契約台帳!$A$3:$K$4986,11,FALSE))</f>
        <v>33SSNMCLBTEKKFV</v>
      </c>
      <c r="G379" s="269" t="str">
        <f>IF(D379="","",VLOOKUP(F379,製品マスタ!$G$5:$H$5002,2,FALSE))</f>
        <v>S</v>
      </c>
      <c r="H379" s="269" t="str">
        <f>IF(D379="","",VLOOKUP(F379,製品マスタ!$G$5:$K$5002,5,FALSE))</f>
        <v>TEKKFV</v>
      </c>
      <c r="I379" s="270" t="str">
        <f>IF(D379="","",VLOOKUP(F379,製品マスタ!$G$5:$L$5002,6,FALSE))</f>
        <v>メタルミー　ＴＥＳ消開封　Ｖ</v>
      </c>
      <c r="J379" s="210" t="s">
        <v>962</v>
      </c>
      <c r="K379" s="270">
        <f>IF(D379="","",VLOOKUP(D379,契約台帳!$A$3:$L$4986,12,FALSE))</f>
        <v>50</v>
      </c>
      <c r="L379" s="270" t="str">
        <f>IF(D379="","",INDEX(製品マスタ!$Q$5:$Q$5002,MATCH('S4'!F379&amp;'S4'!K379,製品マスタ!$AO$5:$AO$5002,0)))</f>
        <v>X44SEPA</v>
      </c>
      <c r="M379" s="39">
        <v>1005</v>
      </c>
      <c r="N379" s="39">
        <v>12000</v>
      </c>
      <c r="O379" s="156">
        <v>1</v>
      </c>
      <c r="P379" s="47">
        <v>1</v>
      </c>
      <c r="Q379" s="57"/>
      <c r="R379" s="271">
        <f ca="1">IF(D379="","",IF(OFFSET(D379,-1,0)&lt;&gt;"","",IF(OR(J379="リード付け",J379="巻足し",J379="巻返しリード付け"),M379,VLOOKUP(D379,契約台帳!$A$3:$N$4986,14,FALSE))))</f>
        <v>1005</v>
      </c>
      <c r="S379" s="272">
        <f ca="1">IF(D379="","",IF(OFFSET(D379,-1,0)&lt;&gt;"","",IF(OR(J379="リード付け",J379="巻足し",J379="巻返しリード付け"),M379,VLOOKUP(D379,契約台帳!$A$3:$O$4986,15,FALSE))))</f>
        <v>1000</v>
      </c>
      <c r="T379" s="273">
        <f ca="1">IF(D379="","",IF(J379="リード付け",N379,IF(J379="巻返しリード付け",N379,IF(J379="巻足し",N379*P379+OFFSET(N379,1,0)*OFFSET(P379,1,0),VLOOKUP(D379,契約台帳!$A$3:$P$4986,16,FALSE)))))</f>
        <v>4000</v>
      </c>
      <c r="U379" s="40">
        <v>3</v>
      </c>
      <c r="V379" s="274">
        <f ca="1">IF(D379="","",IF(OFFSET(D379,-2,0)=D379,"",VLOOKUP(D379,契約台帳!$A$3:$R$4986,18,FALSE)))</f>
        <v>3</v>
      </c>
      <c r="W379" s="269" t="str">
        <f ca="1">IF(D379="","",IF(T379="","",IF(OR(J379="巻足し",J379="巻返しリード付け"),"",IF(J379="巻返し",VLOOKUP(F379&amp;K379&amp;M379,製品マスタ!$M$5:$AD$5002,18,FALSE),IF(OR(J379="リード付け",J379="巻返しリード付け"),"原反コア",IF(J379="スリット",VLOOKUP(F379&amp;K379&amp;R379,製品マスタ!$N$5:$AD$5002,17,FALSE),""))))))</f>
        <v>6ｲﾝﾁSｺｱ</v>
      </c>
      <c r="X379" s="269">
        <f ca="1">IF(D379="","",IF(T379="","",IF(J379="巻足し","",IF(J379="巻返し",VLOOKUP(F379&amp;K379&amp;M379,製品マスタ!$M$5:$AE$5002,19,FALSE),IF(OR(J379="リード付け",J379="巻返しリード付け"),"",IF(J379="スリット",VLOOKUP(F379&amp;K379&amp;R379,製品マスタ!$N$5:$AE$5002,18,FALSE),""))))))</f>
        <v>1015</v>
      </c>
      <c r="Y379" s="275">
        <f ca="1">IF(D379="","",IF(T379="","",VLOOKUP(D379,契約台帳!$A$3:$Q$4986,17,FALSE)))</f>
        <v>2</v>
      </c>
      <c r="Z379" s="269" t="str">
        <f ca="1">IF(D379="","",IF(T379="","",VLOOKUP(D379,契約台帳!$A$3:$E$4986,5,FALSE)))</f>
        <v>リンテック㈱</v>
      </c>
      <c r="AA379" s="57"/>
      <c r="AB379" s="207">
        <f>IFERROR((VLOOKUP(F379&amp;K379&amp;M379,製品マスタ!$M$5:$AM$5002,27,FALSE)),"")</f>
        <v>0</v>
      </c>
      <c r="AC379" s="33"/>
      <c r="AD379" s="189"/>
      <c r="AE379" s="54"/>
      <c r="AF379" s="55"/>
      <c r="AG379" s="43"/>
      <c r="AH379" s="47"/>
      <c r="AI379" s="30"/>
      <c r="AJ379" s="30"/>
      <c r="AK379" s="30"/>
      <c r="AL379" s="30"/>
      <c r="AM379" s="13"/>
      <c r="AN379" s="13"/>
      <c r="AO379" s="13"/>
      <c r="AP379" s="13"/>
      <c r="AQ379" s="13"/>
      <c r="AR379" s="14"/>
      <c r="AS379" s="15"/>
    </row>
    <row r="380" spans="1:45" s="17" customFormat="1" ht="30.95" hidden="1" customHeight="1" x14ac:dyDescent="0.2">
      <c r="A380" s="37"/>
      <c r="B380" s="38"/>
      <c r="C380" s="45"/>
      <c r="D380" s="31"/>
      <c r="E380" s="31"/>
      <c r="F380" s="268" t="str">
        <f>IF(D380="","",VLOOKUP(D380,契約台帳!$A$3:$K$4986,6,FALSE)&amp;VLOOKUP(D380,契約台帳!$A$3:$K$4986,7,FALSE)&amp;VLOOKUP(D380,契約台帳!$A$3:$K$4986,8,FALSE)&amp;VLOOKUP(D380,契約台帳!$A$3:$K$4986,9,FALSE)&amp;VLOOKUP(D380,契約台帳!$A$3:$K$4986,11,FALSE))</f>
        <v/>
      </c>
      <c r="G380" s="269" t="str">
        <f>IF(D380="","",VLOOKUP(F380,製品マスタ!$G$5:$H$5002,2,FALSE))</f>
        <v/>
      </c>
      <c r="H380" s="269" t="str">
        <f>IF(D380="","",VLOOKUP(F380,製品マスタ!$G$5:$K$5002,5,FALSE))</f>
        <v/>
      </c>
      <c r="I380" s="270" t="str">
        <f>IF(D380="","",VLOOKUP(F380,製品マスタ!$G$5:$L$5002,6,FALSE))</f>
        <v/>
      </c>
      <c r="J380" s="210"/>
      <c r="K380" s="270" t="str">
        <f>IF(D380="","",VLOOKUP(D380,契約台帳!$A$3:$L$4986,12,FALSE))</f>
        <v/>
      </c>
      <c r="L380" s="270" t="str">
        <f>IF(D380="","",INDEX(製品マスタ!$Q$5:$Q$5002,MATCH('S4'!F380&amp;'S4'!K380,製品マスタ!$AO$5:$AO$5002,0)))</f>
        <v/>
      </c>
      <c r="M380" s="39"/>
      <c r="N380" s="39"/>
      <c r="O380" s="156"/>
      <c r="P380" s="47"/>
      <c r="Q380" s="57"/>
      <c r="R380" s="271" t="str">
        <f ca="1">IF(D380="","",IF(OFFSET(D380,-1,0)&lt;&gt;"","",IF(OR(J380="リード付け",J380="巻足し",J380="巻返しリード付け"),M380,VLOOKUP(D380,契約台帳!$A$3:$N$4986,14,FALSE))))</f>
        <v/>
      </c>
      <c r="S380" s="272" t="str">
        <f ca="1">IF(D380="","",IF(OFFSET(D380,-1,0)&lt;&gt;"","",IF(OR(J380="リード付け",J380="巻足し",J380="巻返しリード付け"),M380,VLOOKUP(D380,契約台帳!$A$3:$O$4986,15,FALSE))))</f>
        <v/>
      </c>
      <c r="T380" s="273" t="str">
        <f ca="1">IF(D380="","",IF(J380="リード付け",N380,IF(J380="巻返しリード付け",N380,IF(J380="巻足し",N380*P380+OFFSET(N380,1,0)*OFFSET(P380,1,0),VLOOKUP(D380,契約台帳!$A$3:$P$4986,16,FALSE)))))</f>
        <v/>
      </c>
      <c r="U380" s="40"/>
      <c r="V380" s="274" t="str">
        <f ca="1">IF(D380="","",IF(OFFSET(D380,-2,0)=D380,"",VLOOKUP(D380,契約台帳!$A$3:$R$4986,18,FALSE)))</f>
        <v/>
      </c>
      <c r="W380" s="269" t="str">
        <f>IF(D380="","",IF(T380="","",IF(OR(J380="巻足し",J380="巻返しリード付け"),"",IF(J380="巻返し",VLOOKUP(F380&amp;K380&amp;M380,製品マスタ!$M$5:$AD$5002,18,FALSE),IF(OR(J380="リード付け",J380="巻返しリード付け"),"原反コア",IF(J380="スリット",VLOOKUP(F380&amp;K380&amp;R380,製品マスタ!$N$5:$AD$5002,17,FALSE),""))))))</f>
        <v/>
      </c>
      <c r="X380" s="269" t="str">
        <f>IF(D380="","",IF(T380="","",IF(J380="巻足し","",IF(J380="巻返し",VLOOKUP(F380&amp;K380&amp;M380,製品マスタ!$M$5:$AE$5002,19,FALSE),IF(OR(J380="リード付け",J380="巻返しリード付け"),"",IF(J380="スリット",VLOOKUP(F380&amp;K380&amp;R380,製品マスタ!$N$5:$AE$5002,18,FALSE),""))))))</f>
        <v/>
      </c>
      <c r="Y380" s="275" t="str">
        <f>IF(D380="","",IF(T380="","",VLOOKUP(D380,契約台帳!$A$3:$Q$4986,17,FALSE)))</f>
        <v/>
      </c>
      <c r="Z380" s="269" t="str">
        <f>IF(D380="","",IF(T380="","",VLOOKUP(D380,契約台帳!$A$3:$E$4986,5,FALSE)))</f>
        <v/>
      </c>
      <c r="AA380" s="57"/>
      <c r="AB380" s="207" t="str">
        <f>IFERROR((VLOOKUP(F380&amp;K380&amp;M380,製品マスタ!$M$5:$AM$5002,27,FALSE)),"")</f>
        <v/>
      </c>
      <c r="AC380" s="33"/>
      <c r="AD380" s="189"/>
      <c r="AE380" s="54"/>
      <c r="AF380" s="55"/>
      <c r="AG380" s="43"/>
      <c r="AH380" s="47"/>
      <c r="AI380" s="30"/>
      <c r="AJ380" s="30"/>
      <c r="AK380" s="30"/>
      <c r="AL380" s="30"/>
      <c r="AM380" s="13"/>
      <c r="AN380" s="13"/>
      <c r="AO380" s="13"/>
      <c r="AP380" s="13"/>
      <c r="AQ380" s="13"/>
      <c r="AR380" s="14"/>
      <c r="AS380" s="15"/>
    </row>
    <row r="381" spans="1:45" s="17" customFormat="1" ht="30.95" hidden="1" customHeight="1" x14ac:dyDescent="0.2">
      <c r="A381" s="37"/>
      <c r="B381" s="38"/>
      <c r="C381" s="45"/>
      <c r="D381" s="31">
        <v>3700962</v>
      </c>
      <c r="E381" s="31">
        <v>4140898</v>
      </c>
      <c r="F381" s="268" t="str">
        <f>IF(D381="","",VLOOKUP(D381,契約台帳!$A$3:$K$4986,6,FALSE)&amp;VLOOKUP(D381,契約台帳!$A$3:$K$4986,7,FALSE)&amp;VLOOKUP(D381,契約台帳!$A$3:$K$4986,8,FALSE)&amp;VLOOKUP(D381,契約台帳!$A$3:$K$4986,9,FALSE)&amp;VLOOKUP(D381,契約台帳!$A$3:$K$4986,11,FALSE))</f>
        <v>33SSNMCLBTEKV0V</v>
      </c>
      <c r="G381" s="269" t="str">
        <f>IF(D381="","",VLOOKUP(F381,製品マスタ!$G$5:$H$5002,2,FALSE))</f>
        <v>S</v>
      </c>
      <c r="H381" s="269" t="str">
        <f>IF(D381="","",VLOOKUP(F381,製品マスタ!$G$5:$K$5002,5,FALSE))</f>
        <v>TEKV0V</v>
      </c>
      <c r="I381" s="270" t="str">
        <f>IF(D381="","",VLOOKUP(F381,製品マスタ!$G$5:$L$5002,6,FALSE))</f>
        <v>メタルミー　ＴＥ－Ｓ消　ＶＯＩＤ　Ｖ</v>
      </c>
      <c r="J381" s="210" t="s">
        <v>962</v>
      </c>
      <c r="K381" s="270">
        <f>IF(D381="","",VLOOKUP(D381,契約台帳!$A$3:$L$4986,12,FALSE))</f>
        <v>50</v>
      </c>
      <c r="L381" s="270" t="str">
        <f>IF(D381="","",INDEX(製品マスタ!$Q$5:$Q$5002,MATCH('S4'!F381&amp;'S4'!K381,製品マスタ!$AO$5:$AO$5002,0)))</f>
        <v>X44SEPA</v>
      </c>
      <c r="M381" s="39">
        <v>1005</v>
      </c>
      <c r="N381" s="39">
        <v>12000</v>
      </c>
      <c r="O381" s="156">
        <v>1</v>
      </c>
      <c r="P381" s="47">
        <v>1</v>
      </c>
      <c r="Q381" s="57"/>
      <c r="R381" s="271">
        <f ca="1">IF(D381="","",IF(OFFSET(D381,-1,0)&lt;&gt;"","",IF(OR(J381="リード付け",J381="巻足し",J381="巻返しリード付け"),M381,VLOOKUP(D381,契約台帳!$A$3:$N$4986,14,FALSE))))</f>
        <v>1005</v>
      </c>
      <c r="S381" s="272">
        <f ca="1">IF(D381="","",IF(OFFSET(D381,-1,0)&lt;&gt;"","",IF(OR(J381="リード付け",J381="巻足し",J381="巻返しリード付け"),M381,VLOOKUP(D381,契約台帳!$A$3:$O$4986,15,FALSE))))</f>
        <v>1000</v>
      </c>
      <c r="T381" s="273">
        <f ca="1">IF(D381="","",IF(J381="リード付け",N381,IF(J381="巻返しリード付け",N381,IF(J381="巻足し",N381*P381+OFFSET(N381,1,0)*OFFSET(P381,1,0),VLOOKUP(D381,契約台帳!$A$3:$P$4986,16,FALSE)))))</f>
        <v>4000</v>
      </c>
      <c r="U381" s="40">
        <v>3</v>
      </c>
      <c r="V381" s="274">
        <f ca="1">IF(D381="","",IF(OFFSET(D381,-2,0)=D381,"",VLOOKUP(D381,契約台帳!$A$3:$R$4986,18,FALSE)))</f>
        <v>3</v>
      </c>
      <c r="W381" s="269" t="str">
        <f ca="1">IF(D381="","",IF(T381="","",IF(OR(J381="巻足し",J381="巻返しリード付け"),"",IF(J381="巻返し",VLOOKUP(F381&amp;K381&amp;M381,製品マスタ!$M$5:$AD$5002,18,FALSE),IF(OR(J381="リード付け",J381="巻返しリード付け"),"原反コア",IF(J381="スリット",VLOOKUP(F381&amp;K381&amp;R381,製品マスタ!$N$5:$AD$5002,17,FALSE),""))))))</f>
        <v>6ｲﾝﾁSｺｱ</v>
      </c>
      <c r="X381" s="269">
        <f ca="1">IF(D381="","",IF(T381="","",IF(J381="巻足し","",IF(J381="巻返し",VLOOKUP(F381&amp;K381&amp;M381,製品マスタ!$M$5:$AE$5002,19,FALSE),IF(OR(J381="リード付け",J381="巻返しリード付け"),"",IF(J381="スリット",VLOOKUP(F381&amp;K381&amp;R381,製品マスタ!$N$5:$AE$5002,18,FALSE),""))))))</f>
        <v>1015</v>
      </c>
      <c r="Y381" s="275">
        <f ca="1">IF(D381="","",IF(T381="","",VLOOKUP(D381,契約台帳!$A$3:$Q$4986,17,FALSE)))</f>
        <v>2</v>
      </c>
      <c r="Z381" s="269" t="str">
        <f ca="1">IF(D381="","",IF(T381="","",VLOOKUP(D381,契約台帳!$A$3:$E$4986,5,FALSE)))</f>
        <v>リンテック㈱</v>
      </c>
      <c r="AA381" s="57"/>
      <c r="AB381" s="207">
        <f>IFERROR((VLOOKUP(F381&amp;K381&amp;M381,製品マスタ!$M$5:$AM$5002,27,FALSE)),"")</f>
        <v>0</v>
      </c>
      <c r="AC381" s="33"/>
      <c r="AD381" s="189"/>
      <c r="AE381" s="54"/>
      <c r="AF381" s="55"/>
      <c r="AG381" s="43"/>
      <c r="AH381" s="47"/>
      <c r="AI381" s="30"/>
      <c r="AJ381" s="30"/>
      <c r="AK381" s="30"/>
      <c r="AL381" s="30"/>
      <c r="AM381" s="13"/>
      <c r="AN381" s="13"/>
      <c r="AO381" s="13"/>
      <c r="AP381" s="13"/>
      <c r="AQ381" s="13"/>
      <c r="AR381" s="14"/>
      <c r="AS381" s="15"/>
    </row>
    <row r="382" spans="1:45" s="17" customFormat="1" ht="30.95" hidden="1" customHeight="1" x14ac:dyDescent="0.2">
      <c r="A382" s="37"/>
      <c r="B382" s="38"/>
      <c r="C382" s="45"/>
      <c r="D382" s="31"/>
      <c r="E382" s="31"/>
      <c r="F382" s="268" t="str">
        <f>IF(D382="","",VLOOKUP(D382,契約台帳!$A$3:$K$4986,6,FALSE)&amp;VLOOKUP(D382,契約台帳!$A$3:$K$4986,7,FALSE)&amp;VLOOKUP(D382,契約台帳!$A$3:$K$4986,8,FALSE)&amp;VLOOKUP(D382,契約台帳!$A$3:$K$4986,9,FALSE)&amp;VLOOKUP(D382,契約台帳!$A$3:$K$4986,11,FALSE))</f>
        <v/>
      </c>
      <c r="G382" s="269" t="str">
        <f>IF(D382="","",VLOOKUP(F382,製品マスタ!$G$5:$H$5002,2,FALSE))</f>
        <v/>
      </c>
      <c r="H382" s="269" t="str">
        <f>IF(D382="","",VLOOKUP(F382,製品マスタ!$G$5:$K$5002,5,FALSE))</f>
        <v/>
      </c>
      <c r="I382" s="270" t="str">
        <f>IF(D382="","",VLOOKUP(F382,製品マスタ!$G$5:$L$5002,6,FALSE))</f>
        <v/>
      </c>
      <c r="J382" s="210"/>
      <c r="K382" s="270" t="str">
        <f>IF(D382="","",VLOOKUP(D382,契約台帳!$A$3:$L$4986,12,FALSE))</f>
        <v/>
      </c>
      <c r="L382" s="270" t="str">
        <f>IF(D382="","",INDEX(製品マスタ!$Q$5:$Q$5002,MATCH('S4'!F382&amp;'S4'!K382,製品マスタ!$AO$5:$AO$5002,0)))</f>
        <v/>
      </c>
      <c r="M382" s="39"/>
      <c r="N382" s="39"/>
      <c r="O382" s="156"/>
      <c r="P382" s="47"/>
      <c r="Q382" s="57"/>
      <c r="R382" s="271" t="str">
        <f ca="1">IF(D382="","",IF(OFFSET(D382,-1,0)&lt;&gt;"","",IF(OR(J382="リード付け",J382="巻足し",J382="巻返しリード付け"),M382,VLOOKUP(D382,契約台帳!$A$3:$N$4986,14,FALSE))))</f>
        <v/>
      </c>
      <c r="S382" s="272" t="str">
        <f ca="1">IF(D382="","",IF(OFFSET(D382,-1,0)&lt;&gt;"","",IF(OR(J382="リード付け",J382="巻足し",J382="巻返しリード付け"),M382,VLOOKUP(D382,契約台帳!$A$3:$O$4986,15,FALSE))))</f>
        <v/>
      </c>
      <c r="T382" s="273" t="str">
        <f ca="1">IF(D382="","",IF(J382="リード付け",N382,IF(J382="巻返しリード付け",N382,IF(J382="巻足し",N382*P382+OFFSET(N382,1,0)*OFFSET(P382,1,0),VLOOKUP(D382,契約台帳!$A$3:$P$4986,16,FALSE)))))</f>
        <v/>
      </c>
      <c r="U382" s="40"/>
      <c r="V382" s="274" t="str">
        <f ca="1">IF(D382="","",IF(OFFSET(D382,-2,0)=D382,"",VLOOKUP(D382,契約台帳!$A$3:$R$4986,18,FALSE)))</f>
        <v/>
      </c>
      <c r="W382" s="269" t="str">
        <f>IF(D382="","",IF(T382="","",IF(OR(J382="巻足し",J382="巻返しリード付け"),"",IF(J382="巻返し",VLOOKUP(F382&amp;K382&amp;M382,製品マスタ!$M$5:$AD$5002,18,FALSE),IF(OR(J382="リード付け",J382="巻返しリード付け"),"原反コア",IF(J382="スリット",VLOOKUP(F382&amp;K382&amp;R382,製品マスタ!$N$5:$AD$5002,17,FALSE),""))))))</f>
        <v/>
      </c>
      <c r="X382" s="269" t="str">
        <f>IF(D382="","",IF(T382="","",IF(J382="巻足し","",IF(J382="巻返し",VLOOKUP(F382&amp;K382&amp;M382,製品マスタ!$M$5:$AE$5002,19,FALSE),IF(OR(J382="リード付け",J382="巻返しリード付け"),"",IF(J382="スリット",VLOOKUP(F382&amp;K382&amp;R382,製品マスタ!$N$5:$AE$5002,18,FALSE),""))))))</f>
        <v/>
      </c>
      <c r="Y382" s="275" t="str">
        <f>IF(D382="","",IF(T382="","",VLOOKUP(D382,契約台帳!$A$3:$Q$4986,17,FALSE)))</f>
        <v/>
      </c>
      <c r="Z382" s="269" t="str">
        <f>IF(D382="","",IF(T382="","",VLOOKUP(D382,契約台帳!$A$3:$E$4986,5,FALSE)))</f>
        <v/>
      </c>
      <c r="AA382" s="57"/>
      <c r="AB382" s="207" t="str">
        <f>IFERROR((VLOOKUP(F382&amp;K382&amp;M382,製品マスタ!$M$5:$AM$5002,27,FALSE)),"")</f>
        <v/>
      </c>
      <c r="AC382" s="33"/>
      <c r="AD382" s="189"/>
      <c r="AE382" s="54"/>
      <c r="AF382" s="55"/>
      <c r="AG382" s="43"/>
      <c r="AH382" s="47"/>
      <c r="AI382" s="30"/>
      <c r="AJ382" s="30"/>
      <c r="AK382" s="30"/>
      <c r="AL382" s="30"/>
      <c r="AM382" s="13"/>
      <c r="AN382" s="13"/>
      <c r="AO382" s="13"/>
      <c r="AP382" s="13"/>
      <c r="AQ382" s="13"/>
      <c r="AR382" s="14"/>
      <c r="AS382" s="15"/>
    </row>
    <row r="383" spans="1:45" s="17" customFormat="1" ht="30.95" hidden="1" customHeight="1" x14ac:dyDescent="0.2">
      <c r="A383" s="37"/>
      <c r="B383" s="38"/>
      <c r="C383" s="45"/>
      <c r="D383" s="31">
        <v>3703649</v>
      </c>
      <c r="E383" s="31">
        <v>4140913</v>
      </c>
      <c r="F383" s="268" t="str">
        <f>IF(D383="","",VLOOKUP(D383,契約台帳!$A$3:$K$4986,6,FALSE)&amp;VLOOKUP(D383,契約台帳!$A$3:$K$4986,7,FALSE)&amp;VLOOKUP(D383,契約台帳!$A$3:$K$4986,8,FALSE)&amp;VLOOKUP(D383,契約台帳!$A$3:$K$4986,9,FALSE)&amp;VLOOKUP(D383,契約台帳!$A$3:$K$4986,11,FALSE))</f>
        <v>3TNMCLBHLKTV</v>
      </c>
      <c r="G383" s="269" t="str">
        <f>IF(D383="","",VLOOKUP(F383,製品マスタ!$G$5:$H$5002,2,FALSE))</f>
        <v>T</v>
      </c>
      <c r="H383" s="269" t="str">
        <f>IF(D383="","",VLOOKUP(F383,製品マスタ!$G$5:$K$5002,5,FALSE))</f>
        <v>HLKTV</v>
      </c>
      <c r="I383" s="270" t="str">
        <f>IF(D383="","",VLOOKUP(F383,製品マスタ!$G$5:$L$5002,6,FALSE))</f>
        <v>メタルミー　ヘヤライン金艶　Ｖ</v>
      </c>
      <c r="J383" s="210" t="s">
        <v>447</v>
      </c>
      <c r="K383" s="270">
        <f>IF(D383="","",VLOOKUP(D383,契約台帳!$A$3:$L$4986,12,FALSE))</f>
        <v>50</v>
      </c>
      <c r="L383" s="270" t="str">
        <f>IF(D383="","",INDEX(製品マスタ!$Q$5:$Q$5002,MATCH('S4'!F383&amp;'S4'!K383,製品マスタ!$AO$5:$AO$5002,0)))</f>
        <v>HL50/EC</v>
      </c>
      <c r="M383" s="39">
        <v>1030</v>
      </c>
      <c r="N383" s="39">
        <v>4100</v>
      </c>
      <c r="O383" s="156">
        <v>1</v>
      </c>
      <c r="P383" s="47">
        <v>1</v>
      </c>
      <c r="Q383" s="57"/>
      <c r="R383" s="271">
        <f ca="1">IF(D383="","",IF(OFFSET(D383,-1,0)&lt;&gt;"","",IF(OR(J383="リード付け",J383="巻足し",J383="巻返しリード付け"),M383,VLOOKUP(D383,契約台帳!$A$3:$N$4986,14,FALSE))))</f>
        <v>1000</v>
      </c>
      <c r="S383" s="272">
        <f ca="1">IF(D383="","",IF(OFFSET(D383,-1,0)&lt;&gt;"","",IF(OR(J383="リード付け",J383="巻足し",J383="巻返しリード付け"),M383,VLOOKUP(D383,契約台帳!$A$3:$O$4986,15,FALSE))))</f>
        <v>1000</v>
      </c>
      <c r="T383" s="273">
        <f ca="1">IF(D383="","",IF(J383="リード付け",N383,IF(J383="巻返しリード付け",N383,IF(J383="巻足し",N383*P383+OFFSET(N383,1,0)*OFFSET(P383,1,0),VLOOKUP(D383,契約台帳!$A$3:$P$4986,16,FALSE)))))</f>
        <v>2000</v>
      </c>
      <c r="U383" s="40">
        <v>2</v>
      </c>
      <c r="V383" s="274">
        <f ca="1">IF(D383="","",IF(OFFSET(D383,-2,0)=D383,"",VLOOKUP(D383,契約台帳!$A$3:$R$4986,18,FALSE)))</f>
        <v>2</v>
      </c>
      <c r="W383" s="269" t="str">
        <f ca="1">IF(D383="","",IF(T383="","",IF(OR(J383="巻足し",J383="巻返しリード付け"),"",IF(J383="巻返し",VLOOKUP(F383&amp;K383&amp;M383,製品マスタ!$M$5:$AD$5002,18,FALSE),IF(OR(J383="リード付け",J383="巻返しリード付け"),"原反コア",IF(J383="スリット",VLOOKUP(F383&amp;K383&amp;R383,製品マスタ!$N$5:$AD$5002,17,FALSE),""))))))</f>
        <v>6ｲﾝﾁSｺｱ</v>
      </c>
      <c r="X383" s="269">
        <f ca="1">IF(D383="","",IF(T383="","",IF(J383="巻足し","",IF(J383="巻返し",VLOOKUP(F383&amp;K383&amp;M383,製品マスタ!$M$5:$AE$5002,19,FALSE),IF(OR(J383="リード付け",J383="巻返しリード付け"),"",IF(J383="スリット",VLOOKUP(F383&amp;K383&amp;R383,製品マスタ!$N$5:$AE$5002,18,FALSE),""))))))</f>
        <v>1015</v>
      </c>
      <c r="Y383" s="275">
        <f ca="1">IF(D383="","",IF(T383="","",VLOOKUP(D383,契約台帳!$A$3:$Q$4986,17,FALSE)))</f>
        <v>2</v>
      </c>
      <c r="Z383" s="269" t="str">
        <f ca="1">IF(D383="","",IF(T383="","",VLOOKUP(D383,契約台帳!$A$3:$E$4986,5,FALSE)))</f>
        <v>リンテック㈱</v>
      </c>
      <c r="AA383" s="57"/>
      <c r="AB383" s="303" t="s">
        <v>774</v>
      </c>
      <c r="AC383" s="33"/>
      <c r="AD383" s="189"/>
      <c r="AE383" s="54"/>
      <c r="AF383" s="55"/>
      <c r="AG383" s="43"/>
      <c r="AH383" s="47"/>
      <c r="AI383" s="30"/>
      <c r="AJ383" s="30"/>
      <c r="AK383" s="30"/>
      <c r="AL383" s="30"/>
      <c r="AM383" s="13"/>
      <c r="AN383" s="13"/>
      <c r="AO383" s="13"/>
      <c r="AP383" s="13"/>
      <c r="AQ383" s="13"/>
      <c r="AR383" s="14"/>
      <c r="AS383" s="15"/>
    </row>
    <row r="384" spans="1:45" s="17" customFormat="1" ht="30.95" hidden="1" customHeight="1" x14ac:dyDescent="0.2">
      <c r="A384" s="37"/>
      <c r="B384" s="38"/>
      <c r="C384" s="45"/>
      <c r="D384" s="31"/>
      <c r="E384" s="31"/>
      <c r="F384" s="268"/>
      <c r="G384" s="269"/>
      <c r="H384" s="269"/>
      <c r="I384" s="270"/>
      <c r="J384" s="210"/>
      <c r="K384" s="270"/>
      <c r="L384" s="270"/>
      <c r="M384" s="39"/>
      <c r="N384" s="39"/>
      <c r="O384" s="156"/>
      <c r="P384" s="47"/>
      <c r="Q384" s="57"/>
      <c r="R384" s="271"/>
      <c r="S384" s="272"/>
      <c r="T384" s="273"/>
      <c r="U384" s="40"/>
      <c r="V384" s="274"/>
      <c r="W384" s="269"/>
      <c r="X384" s="269"/>
      <c r="Y384" s="275"/>
      <c r="Z384" s="269"/>
      <c r="AA384" s="57"/>
      <c r="AB384" s="207"/>
      <c r="AC384" s="33"/>
      <c r="AD384" s="189"/>
      <c r="AE384" s="54"/>
      <c r="AF384" s="55"/>
      <c r="AG384" s="43"/>
      <c r="AH384" s="47"/>
      <c r="AI384" s="30"/>
      <c r="AJ384" s="30"/>
      <c r="AK384" s="30"/>
      <c r="AL384" s="30"/>
      <c r="AM384" s="13"/>
      <c r="AN384" s="13"/>
      <c r="AO384" s="13"/>
      <c r="AP384" s="13"/>
      <c r="AQ384" s="13"/>
      <c r="AR384" s="14"/>
      <c r="AS384" s="15"/>
    </row>
    <row r="385" spans="1:45" s="17" customFormat="1" ht="30.95" hidden="1" customHeight="1" x14ac:dyDescent="0.2">
      <c r="A385" s="37"/>
      <c r="B385" s="38"/>
      <c r="C385" s="45"/>
      <c r="D385" s="31">
        <v>3703648</v>
      </c>
      <c r="E385" s="31">
        <v>4140912</v>
      </c>
      <c r="F385" s="268" t="str">
        <f>IF(D385="","",VLOOKUP(D385,契約台帳!$A$3:$K$4986,6,FALSE)&amp;VLOOKUP(D385,契約台帳!$A$3:$K$4986,7,FALSE)&amp;VLOOKUP(D385,契約台帳!$A$3:$K$4986,8,FALSE)&amp;VLOOKUP(D385,契約台帳!$A$3:$K$4986,9,FALSE)&amp;VLOOKUP(D385,契約台帳!$A$3:$K$4986,11,FALSE))</f>
        <v>3TNMCLBHLKTV</v>
      </c>
      <c r="G385" s="269" t="str">
        <f>IF(D385="","",VLOOKUP(F385,製品マスタ!$G$5:$H$5002,2,FALSE))</f>
        <v>T</v>
      </c>
      <c r="H385" s="269" t="str">
        <f>IF(D385="","",VLOOKUP(F385,製品マスタ!$G$5:$K$5002,5,FALSE))</f>
        <v>HLKTV</v>
      </c>
      <c r="I385" s="270" t="str">
        <f>IF(D385="","",VLOOKUP(F385,製品マスタ!$G$5:$L$5002,6,FALSE))</f>
        <v>メタルミー　ヘヤライン金艶　Ｖ</v>
      </c>
      <c r="J385" s="210" t="s">
        <v>447</v>
      </c>
      <c r="K385" s="270">
        <f>IF(D385="","",VLOOKUP(D385,契約台帳!$A$3:$L$4986,12,FALSE))</f>
        <v>25</v>
      </c>
      <c r="L385" s="270" t="str">
        <f>IF(D385="","",INDEX(製品マスタ!$Q$5:$Q$5002,MATCH('S4'!F385&amp;'S4'!K385,製品マスタ!$AO$5:$AO$5002,0)))</f>
        <v>HL25/EC</v>
      </c>
      <c r="M385" s="39">
        <v>1030</v>
      </c>
      <c r="N385" s="39">
        <v>4000</v>
      </c>
      <c r="O385" s="156">
        <v>1</v>
      </c>
      <c r="P385" s="47">
        <v>1</v>
      </c>
      <c r="Q385" s="57"/>
      <c r="R385" s="271">
        <f ca="1">IF(D385="","",IF(OFFSET(D385,-1,0)&lt;&gt;"","",IF(OR(J385="リード付け",J385="巻足し",J385="巻返しリード付け"),M385,VLOOKUP(D385,契約台帳!$A$3:$N$4986,14,FALSE))))</f>
        <v>1000</v>
      </c>
      <c r="S385" s="272">
        <f ca="1">IF(D385="","",IF(OFFSET(D385,-1,0)&lt;&gt;"","",IF(OR(J385="リード付け",J385="巻足し",J385="巻返しリード付け"),M385,VLOOKUP(D385,契約台帳!$A$3:$O$4986,15,FALSE))))</f>
        <v>1000</v>
      </c>
      <c r="T385" s="273">
        <f ca="1">IF(D385="","",IF(J385="リード付け",N385,IF(J385="巻返しリード付け",N385,IF(J385="巻足し",N385*P385+OFFSET(N385,1,0)*OFFSET(P385,1,0),VLOOKUP(D385,契約台帳!$A$3:$P$4986,16,FALSE)))))</f>
        <v>2000</v>
      </c>
      <c r="U385" s="40">
        <v>2</v>
      </c>
      <c r="V385" s="274">
        <f ca="1">IF(D385="","",IF(OFFSET(D385,-2,0)=D385,"",VLOOKUP(D385,契約台帳!$A$3:$R$4986,18,FALSE)))</f>
        <v>2</v>
      </c>
      <c r="W385" s="269" t="str">
        <f ca="1">IF(D385="","",IF(T385="","",IF(OR(J385="巻足し",J385="巻返しリード付け"),"",IF(J385="巻返し",VLOOKUP(F385&amp;K385&amp;M385,製品マスタ!$M$5:$AD$5002,18,FALSE),IF(OR(J385="リード付け",J385="巻返しリード付け"),"原反コア",IF(J385="スリット",VLOOKUP(F385&amp;K385&amp;R385,製品マスタ!$N$5:$AD$5002,17,FALSE),""))))))</f>
        <v>6ｲﾝﾁSｺｱ</v>
      </c>
      <c r="X385" s="269">
        <f ca="1">IF(D385="","",IF(T385="","",IF(J385="巻足し","",IF(J385="巻返し",VLOOKUP(F385&amp;K385&amp;M385,製品マスタ!$M$5:$AE$5002,19,FALSE),IF(OR(J385="リード付け",J385="巻返しリード付け"),"",IF(J385="スリット",VLOOKUP(F385&amp;K385&amp;R385,製品マスタ!$N$5:$AE$5002,18,FALSE),""))))))</f>
        <v>1015</v>
      </c>
      <c r="Y385" s="275">
        <f ca="1">IF(D385="","",IF(T385="","",VLOOKUP(D385,契約台帳!$A$3:$Q$4986,17,FALSE)))</f>
        <v>2</v>
      </c>
      <c r="Z385" s="269" t="str">
        <f ca="1">IF(D385="","",IF(T385="","",VLOOKUP(D385,契約台帳!$A$3:$E$4986,5,FALSE)))</f>
        <v>リンテック㈱</v>
      </c>
      <c r="AA385" s="57"/>
      <c r="AB385" s="303" t="s">
        <v>774</v>
      </c>
      <c r="AC385" s="33"/>
      <c r="AD385" s="189"/>
      <c r="AE385" s="54"/>
      <c r="AF385" s="55"/>
      <c r="AG385" s="43"/>
      <c r="AH385" s="47"/>
      <c r="AI385" s="30"/>
      <c r="AJ385" s="30"/>
      <c r="AK385" s="30"/>
      <c r="AL385" s="30"/>
      <c r="AM385" s="13"/>
      <c r="AN385" s="13"/>
      <c r="AO385" s="13"/>
      <c r="AP385" s="13"/>
      <c r="AQ385" s="13"/>
      <c r="AR385" s="14"/>
      <c r="AS385" s="15"/>
    </row>
    <row r="386" spans="1:45" s="17" customFormat="1" ht="30.95" hidden="1" customHeight="1" x14ac:dyDescent="0.2">
      <c r="A386" s="37"/>
      <c r="B386" s="38"/>
      <c r="C386" s="45"/>
      <c r="D386" s="31"/>
      <c r="E386" s="31"/>
      <c r="F386" s="268"/>
      <c r="G386" s="269"/>
      <c r="H386" s="269"/>
      <c r="I386" s="270"/>
      <c r="J386" s="210"/>
      <c r="K386" s="270"/>
      <c r="L386" s="270"/>
      <c r="M386" s="39"/>
      <c r="N386" s="39"/>
      <c r="O386" s="156"/>
      <c r="P386" s="47"/>
      <c r="Q386" s="57"/>
      <c r="R386" s="271"/>
      <c r="S386" s="272"/>
      <c r="T386" s="273"/>
      <c r="U386" s="40"/>
      <c r="V386" s="274"/>
      <c r="W386" s="269"/>
      <c r="X386" s="269"/>
      <c r="Y386" s="275"/>
      <c r="Z386" s="269"/>
      <c r="AA386" s="57"/>
      <c r="AB386" s="207"/>
      <c r="AC386" s="33"/>
      <c r="AD386" s="189"/>
      <c r="AE386" s="54"/>
      <c r="AF386" s="55"/>
      <c r="AG386" s="43"/>
      <c r="AH386" s="47"/>
      <c r="AI386" s="30"/>
      <c r="AJ386" s="30"/>
      <c r="AK386" s="30"/>
      <c r="AL386" s="30"/>
      <c r="AM386" s="13"/>
      <c r="AN386" s="13"/>
      <c r="AO386" s="13"/>
      <c r="AP386" s="13"/>
      <c r="AQ386" s="13"/>
      <c r="AR386" s="14"/>
      <c r="AS386" s="15"/>
    </row>
    <row r="387" spans="1:45" s="17" customFormat="1" ht="30.95" hidden="1" customHeight="1" x14ac:dyDescent="0.2">
      <c r="A387" s="37"/>
      <c r="B387" s="38"/>
      <c r="C387" s="45"/>
      <c r="D387" s="31">
        <v>3700965</v>
      </c>
      <c r="E387" s="31">
        <v>4140901</v>
      </c>
      <c r="F387" s="268" t="str">
        <f>IF(D387="","",VLOOKUP(D387,契約台帳!$A$3:$K$4986,6,FALSE)&amp;VLOOKUP(D387,契約台帳!$A$3:$K$4986,7,FALSE)&amp;VLOOKUP(D387,契約台帳!$A$3:$K$4986,8,FALSE)&amp;VLOOKUP(D387,契約台帳!$A$3:$K$4986,9,FALSE)&amp;VLOOKUP(D387,契約台帳!$A$3:$K$4986,11,FALSE))</f>
        <v>3SNMCLBHLGTV</v>
      </c>
      <c r="G387" s="269" t="str">
        <f>IF(D387="","",VLOOKUP(F387,製品マスタ!$G$5:$H$5002,2,FALSE))</f>
        <v>S</v>
      </c>
      <c r="H387" s="269" t="str">
        <f>IF(D387="","",VLOOKUP(F387,製品マスタ!$G$5:$K$5002,5,FALSE))</f>
        <v>HLGTV</v>
      </c>
      <c r="I387" s="270" t="str">
        <f>IF(D387="","",VLOOKUP(F387,製品マスタ!$G$5:$L$5002,6,FALSE))</f>
        <v>メタルミー　ヘヤライン　銀艶Ｖ</v>
      </c>
      <c r="J387" s="210" t="s">
        <v>962</v>
      </c>
      <c r="K387" s="270">
        <f>IF(D387="","",VLOOKUP(D387,契約台帳!$A$3:$L$4986,12,FALSE))</f>
        <v>50</v>
      </c>
      <c r="L387" s="270" t="str">
        <f>IF(D387="","",INDEX(製品マスタ!$Q$5:$Q$5002,MATCH('S4'!F387&amp;'S4'!K387,製品マスタ!$AO$5:$AO$5002,0)))</f>
        <v>BRIGHT</v>
      </c>
      <c r="M387" s="39">
        <v>1005</v>
      </c>
      <c r="N387" s="39">
        <v>12300</v>
      </c>
      <c r="O387" s="156">
        <v>2</v>
      </c>
      <c r="P387" s="47">
        <v>2</v>
      </c>
      <c r="Q387" s="57"/>
      <c r="R387" s="271">
        <f ca="1">IF(D387="","",IF(OFFSET(D387,-1,0)&lt;&gt;"","",IF(OR(J387="リード付け",J387="巻足し",J387="巻返しリード付け"),M387,VLOOKUP(D387,契約台帳!$A$3:$N$4986,14,FALSE))))</f>
        <v>1005</v>
      </c>
      <c r="S387" s="272">
        <f ca="1">IF(D387="","",IF(OFFSET(D387,-1,0)&lt;&gt;"","",IF(OR(J387="リード付け",J387="巻足し",J387="巻返しリード付け"),M387,VLOOKUP(D387,契約台帳!$A$3:$O$4986,15,FALSE))))</f>
        <v>1000</v>
      </c>
      <c r="T387" s="273">
        <f ca="1">IF(D387="","",IF(J387="リード付け",N387,IF(J387="巻返しリード付け",N387,IF(J387="巻足し",N387*P387+OFFSET(N387,1,0)*OFFSET(P387,1,0),VLOOKUP(D387,契約台帳!$A$3:$P$4986,16,FALSE)))))</f>
        <v>4000</v>
      </c>
      <c r="U387" s="40">
        <v>6</v>
      </c>
      <c r="V387" s="274">
        <f ca="1">IF(D387="","",IF(OFFSET(D387,-2,0)=D387,"",VLOOKUP(D387,契約台帳!$A$3:$R$4986,18,FALSE)))</f>
        <v>6</v>
      </c>
      <c r="W387" s="269" t="str">
        <f ca="1">IF(D387="","",IF(T387="","",IF(OR(J387="巻足し",J387="巻返しリード付け"),"",IF(J387="巻返し",VLOOKUP(F387&amp;K387&amp;M387,製品マスタ!$M$5:$AD$5002,18,FALSE),IF(OR(J387="リード付け",J387="巻返しリード付け"),"原反コア",IF(J387="スリット",VLOOKUP(F387&amp;K387&amp;R387,製品マスタ!$N$5:$AD$5002,17,FALSE),""))))))</f>
        <v>6ｲﾝﾁSｺｱ</v>
      </c>
      <c r="X387" s="269">
        <f ca="1">IF(D387="","",IF(T387="","",IF(J387="巻足し","",IF(J387="巻返し",VLOOKUP(F387&amp;K387&amp;M387,製品マスタ!$M$5:$AE$5002,19,FALSE),IF(OR(J387="リード付け",J387="巻返しリード付け"),"",IF(J387="スリット",VLOOKUP(F387&amp;K387&amp;R387,製品マスタ!$N$5:$AE$5002,18,FALSE),""))))))</f>
        <v>1015</v>
      </c>
      <c r="Y387" s="275">
        <f ca="1">IF(D387="","",IF(T387="","",VLOOKUP(D387,契約台帳!$A$3:$Q$4986,17,FALSE)))</f>
        <v>2</v>
      </c>
      <c r="Z387" s="269" t="str">
        <f ca="1">IF(D387="","",IF(T387="","",VLOOKUP(D387,契約台帳!$A$3:$E$4986,5,FALSE)))</f>
        <v>リンテック㈱</v>
      </c>
      <c r="AA387" s="57"/>
      <c r="AB387" s="207">
        <f>IFERROR((VLOOKUP(F387&amp;K387&amp;M387,製品マスタ!$M$5:$AM$5002,27,FALSE)),"")</f>
        <v>0</v>
      </c>
      <c r="AC387" s="33"/>
      <c r="AD387" s="189"/>
      <c r="AE387" s="54"/>
      <c r="AF387" s="55"/>
      <c r="AG387" s="43"/>
      <c r="AH387" s="47"/>
      <c r="AI387" s="30"/>
      <c r="AJ387" s="30"/>
      <c r="AK387" s="30"/>
      <c r="AL387" s="30"/>
      <c r="AM387" s="13"/>
      <c r="AN387" s="13"/>
      <c r="AO387" s="13"/>
      <c r="AP387" s="13"/>
      <c r="AQ387" s="13"/>
      <c r="AR387" s="14"/>
      <c r="AS387" s="15"/>
    </row>
    <row r="388" spans="1:45" s="17" customFormat="1" ht="30.95" hidden="1" customHeight="1" x14ac:dyDescent="0.2">
      <c r="A388" s="37"/>
      <c r="B388" s="38"/>
      <c r="C388" s="45"/>
      <c r="D388" s="31"/>
      <c r="E388" s="31"/>
      <c r="F388" s="268" t="str">
        <f>IF(D388="","",VLOOKUP(D388,契約台帳!$A$3:$K$4986,6,FALSE)&amp;VLOOKUP(D388,契約台帳!$A$3:$K$4986,7,FALSE)&amp;VLOOKUP(D388,契約台帳!$A$3:$K$4986,8,FALSE)&amp;VLOOKUP(D388,契約台帳!$A$3:$K$4986,9,FALSE)&amp;VLOOKUP(D388,契約台帳!$A$3:$K$4986,11,FALSE))</f>
        <v/>
      </c>
      <c r="G388" s="269" t="str">
        <f>IF(D388="","",VLOOKUP(F388,製品マスタ!$G$5:$H$5002,2,FALSE))</f>
        <v/>
      </c>
      <c r="H388" s="269" t="str">
        <f>IF(D388="","",VLOOKUP(F388,製品マスタ!$G$5:$K$5002,5,FALSE))</f>
        <v/>
      </c>
      <c r="I388" s="270" t="str">
        <f>IF(D388="","",VLOOKUP(F388,製品マスタ!$G$5:$L$5002,6,FALSE))</f>
        <v/>
      </c>
      <c r="J388" s="210"/>
      <c r="K388" s="270" t="str">
        <f>IF(D388="","",VLOOKUP(D388,契約台帳!$A$3:$L$4986,12,FALSE))</f>
        <v/>
      </c>
      <c r="L388" s="270" t="str">
        <f>IF(D388="","",INDEX(製品マスタ!$Q$5:$Q$5002,MATCH('S4'!F388&amp;'S4'!K388,製品マスタ!$AO$5:$AO$5002,0)))</f>
        <v/>
      </c>
      <c r="M388" s="39"/>
      <c r="N388" s="39"/>
      <c r="O388" s="156"/>
      <c r="P388" s="47"/>
      <c r="Q388" s="57"/>
      <c r="R388" s="271" t="str">
        <f ca="1">IF(D388="","",IF(OFFSET(D388,-1,0)&lt;&gt;"","",IF(OR(J388="リード付け",J388="巻足し",J388="巻返しリード付け"),M388,VLOOKUP(D388,契約台帳!$A$3:$N$4986,14,FALSE))))</f>
        <v/>
      </c>
      <c r="S388" s="272" t="str">
        <f ca="1">IF(D388="","",IF(OFFSET(D388,-1,0)&lt;&gt;"","",IF(OR(J388="リード付け",J388="巻足し",J388="巻返しリード付け"),M388,VLOOKUP(D388,契約台帳!$A$3:$O$4986,15,FALSE))))</f>
        <v/>
      </c>
      <c r="T388" s="273" t="str">
        <f ca="1">IF(D388="","",IF(J388="リード付け",N388,IF(J388="巻返しリード付け",N388,IF(J388="巻足し",N388*P388+OFFSET(N388,1,0)*OFFSET(P388,1,0),VLOOKUP(D388,契約台帳!$A$3:$P$4986,16,FALSE)))))</f>
        <v/>
      </c>
      <c r="U388" s="40"/>
      <c r="V388" s="274" t="str">
        <f ca="1">IF(D388="","",IF(OFFSET(D388,-2,0)=D388,"",VLOOKUP(D388,契約台帳!$A$3:$R$4986,18,FALSE)))</f>
        <v/>
      </c>
      <c r="W388" s="269" t="str">
        <f>IF(D388="","",IF(T388="","",IF(OR(J388="巻足し",J388="巻返しリード付け"),"",IF(J388="巻返し",VLOOKUP(F388&amp;K388&amp;M388,製品マスタ!$M$5:$AD$5002,18,FALSE),IF(OR(J388="リード付け",J388="巻返しリード付け"),"原反コア",IF(J388="スリット",VLOOKUP(F388&amp;K388&amp;R388,製品マスタ!$N$5:$AD$5002,17,FALSE),""))))))</f>
        <v/>
      </c>
      <c r="X388" s="269" t="str">
        <f>IF(D388="","",IF(T388="","",IF(J388="巻足し","",IF(J388="巻返し",VLOOKUP(F388&amp;K388&amp;M388,製品マスタ!$M$5:$AE$5002,19,FALSE),IF(OR(J388="リード付け",J388="巻返しリード付け"),"",IF(J388="スリット",VLOOKUP(F388&amp;K388&amp;R388,製品マスタ!$N$5:$AE$5002,18,FALSE),""))))))</f>
        <v/>
      </c>
      <c r="Y388" s="275" t="str">
        <f>IF(D388="","",IF(T388="","",VLOOKUP(D388,契約台帳!$A$3:$Q$4986,17,FALSE)))</f>
        <v/>
      </c>
      <c r="Z388" s="269" t="str">
        <f>IF(D388="","",IF(T388="","",VLOOKUP(D388,契約台帳!$A$3:$E$4986,5,FALSE)))</f>
        <v/>
      </c>
      <c r="AA388" s="57"/>
      <c r="AB388" s="207" t="str">
        <f>IFERROR((VLOOKUP(F388&amp;K388&amp;M388,製品マスタ!$M$5:$AM$5002,27,FALSE)),"")</f>
        <v/>
      </c>
      <c r="AC388" s="33"/>
      <c r="AD388" s="189"/>
      <c r="AE388" s="54"/>
      <c r="AF388" s="55"/>
      <c r="AG388" s="43"/>
      <c r="AH388" s="47"/>
      <c r="AI388" s="30"/>
      <c r="AJ388" s="30"/>
      <c r="AK388" s="30"/>
      <c r="AL388" s="30"/>
      <c r="AM388" s="13"/>
      <c r="AN388" s="13"/>
      <c r="AO388" s="13"/>
      <c r="AP388" s="13"/>
      <c r="AQ388" s="13"/>
      <c r="AR388" s="14"/>
      <c r="AS388" s="15"/>
    </row>
    <row r="389" spans="1:45" s="17" customFormat="1" ht="30.95" hidden="1" customHeight="1" x14ac:dyDescent="0.2">
      <c r="A389" s="37"/>
      <c r="B389" s="38"/>
      <c r="C389" s="45"/>
      <c r="D389" s="31">
        <v>3700964</v>
      </c>
      <c r="E389" s="31">
        <v>4140900</v>
      </c>
      <c r="F389" s="268" t="str">
        <f>IF(D389="","",VLOOKUP(D389,契約台帳!$A$3:$K$4986,6,FALSE)&amp;VLOOKUP(D389,契約台帳!$A$3:$K$4986,7,FALSE)&amp;VLOOKUP(D389,契約台帳!$A$3:$K$4986,8,FALSE)&amp;VLOOKUP(D389,契約台帳!$A$3:$K$4986,9,FALSE)&amp;VLOOKUP(D389,契約台帳!$A$3:$K$4986,11,FALSE))</f>
        <v>3SNMCLBHLGTV</v>
      </c>
      <c r="G389" s="269" t="str">
        <f>IF(D389="","",VLOOKUP(F389,製品マスタ!$G$5:$H$5002,2,FALSE))</f>
        <v>S</v>
      </c>
      <c r="H389" s="269" t="str">
        <f>IF(D389="","",VLOOKUP(F389,製品マスタ!$G$5:$K$5002,5,FALSE))</f>
        <v>HLGTV</v>
      </c>
      <c r="I389" s="270" t="str">
        <f>IF(D389="","",VLOOKUP(F389,製品マスタ!$G$5:$L$5002,6,FALSE))</f>
        <v>メタルミー　ヘヤライン　銀艶Ｖ</v>
      </c>
      <c r="J389" s="210" t="s">
        <v>962</v>
      </c>
      <c r="K389" s="270">
        <f>IF(D389="","",VLOOKUP(D389,契約台帳!$A$3:$L$4986,12,FALSE))</f>
        <v>25</v>
      </c>
      <c r="L389" s="270" t="str">
        <f>IF(D389="","",INDEX(製品マスタ!$Q$5:$Q$5002,MATCH('S4'!F389&amp;'S4'!K389,製品マスタ!$AO$5:$AO$5002,0)))</f>
        <v>BRIGHT</v>
      </c>
      <c r="M389" s="39">
        <v>1005</v>
      </c>
      <c r="N389" s="39">
        <v>8000</v>
      </c>
      <c r="O389" s="156">
        <v>1</v>
      </c>
      <c r="P389" s="47">
        <v>1</v>
      </c>
      <c r="Q389" s="57"/>
      <c r="R389" s="271">
        <f ca="1">IF(D389="","",IF(OFFSET(D389,-1,0)&lt;&gt;"","",IF(OR(J389="リード付け",J389="巻足し",J389="巻返しリード付け"),M389,VLOOKUP(D389,契約台帳!$A$3:$N$4986,14,FALSE))))</f>
        <v>1005</v>
      </c>
      <c r="S389" s="272">
        <f ca="1">IF(D389="","",IF(OFFSET(D389,-1,0)&lt;&gt;"","",IF(OR(J389="リード付け",J389="巻足し",J389="巻返しリード付け"),M389,VLOOKUP(D389,契約台帳!$A$3:$O$4986,15,FALSE))))</f>
        <v>1000</v>
      </c>
      <c r="T389" s="273">
        <f ca="1">IF(D389="","",IF(J389="リード付け",N389,IF(J389="巻返しリード付け",N389,IF(J389="巻足し",N389*P389+OFFSET(N389,1,0)*OFFSET(P389,1,0),VLOOKUP(D389,契約台帳!$A$3:$P$4986,16,FALSE)))))</f>
        <v>2000</v>
      </c>
      <c r="U389" s="40">
        <v>4</v>
      </c>
      <c r="V389" s="274">
        <f ca="1">IF(D389="","",IF(OFFSET(D389,-2,0)=D389,"",VLOOKUP(D389,契約台帳!$A$3:$R$4986,18,FALSE)))</f>
        <v>4</v>
      </c>
      <c r="W389" s="269" t="str">
        <f ca="1">IF(D389="","",IF(T389="","",IF(OR(J389="巻足し",J389="巻返しリード付け"),"",IF(J389="巻返し",VLOOKUP(F389&amp;K389&amp;M389,製品マスタ!$M$5:$AD$5002,18,FALSE),IF(OR(J389="リード付け",J389="巻返しリード付け"),"原反コア",IF(J389="スリット",VLOOKUP(F389&amp;K389&amp;R389,製品マスタ!$N$5:$AD$5002,17,FALSE),""))))))</f>
        <v>6ｲﾝﾁSｺｱ</v>
      </c>
      <c r="X389" s="269">
        <f ca="1">IF(D389="","",IF(T389="","",IF(J389="巻足し","",IF(J389="巻返し",VLOOKUP(F389&amp;K389&amp;M389,製品マスタ!$M$5:$AE$5002,19,FALSE),IF(OR(J389="リード付け",J389="巻返しリード付け"),"",IF(J389="スリット",VLOOKUP(F389&amp;K389&amp;R389,製品マスタ!$N$5:$AE$5002,18,FALSE),""))))))</f>
        <v>1015</v>
      </c>
      <c r="Y389" s="275">
        <f ca="1">IF(D389="","",IF(T389="","",VLOOKUP(D389,契約台帳!$A$3:$Q$4986,17,FALSE)))</f>
        <v>2</v>
      </c>
      <c r="Z389" s="269" t="str">
        <f ca="1">IF(D389="","",IF(T389="","",VLOOKUP(D389,契約台帳!$A$3:$E$4986,5,FALSE)))</f>
        <v>リンテック㈱</v>
      </c>
      <c r="AA389" s="57"/>
      <c r="AB389" s="207">
        <f>IFERROR((VLOOKUP(F389&amp;K389&amp;M389,製品マスタ!$M$5:$AM$5002,27,FALSE)),"")</f>
        <v>0</v>
      </c>
      <c r="AC389" s="33"/>
      <c r="AD389" s="189"/>
      <c r="AE389" s="54"/>
      <c r="AF389" s="55"/>
      <c r="AG389" s="43"/>
      <c r="AH389" s="47"/>
      <c r="AI389" s="30"/>
      <c r="AJ389" s="30"/>
      <c r="AK389" s="30"/>
      <c r="AL389" s="30"/>
      <c r="AM389" s="13"/>
      <c r="AN389" s="13"/>
      <c r="AO389" s="13"/>
      <c r="AP389" s="13"/>
      <c r="AQ389" s="13"/>
      <c r="AR389" s="14"/>
      <c r="AS389" s="15"/>
    </row>
    <row r="390" spans="1:45" s="17" customFormat="1" ht="30.95" hidden="1" customHeight="1" x14ac:dyDescent="0.2">
      <c r="A390" s="37"/>
      <c r="B390" s="38"/>
      <c r="C390" s="45"/>
      <c r="D390" s="31"/>
      <c r="E390" s="31"/>
      <c r="F390" s="268" t="str">
        <f>IF(D390="","",VLOOKUP(D390,契約台帳!$A$3:$K$4986,6,FALSE)&amp;VLOOKUP(D390,契約台帳!$A$3:$K$4986,7,FALSE)&amp;VLOOKUP(D390,契約台帳!$A$3:$K$4986,8,FALSE)&amp;VLOOKUP(D390,契約台帳!$A$3:$K$4986,9,FALSE)&amp;VLOOKUP(D390,契約台帳!$A$3:$K$4986,11,FALSE))</f>
        <v/>
      </c>
      <c r="G390" s="269" t="str">
        <f>IF(D390="","",VLOOKUP(F390,製品マスタ!$G$5:$H$5002,2,FALSE))</f>
        <v/>
      </c>
      <c r="H390" s="269" t="str">
        <f>IF(D390="","",VLOOKUP(F390,製品マスタ!$G$5:$K$5002,5,FALSE))</f>
        <v/>
      </c>
      <c r="I390" s="270" t="str">
        <f>IF(D390="","",VLOOKUP(F390,製品マスタ!$G$5:$L$5002,6,FALSE))</f>
        <v/>
      </c>
      <c r="J390" s="210"/>
      <c r="K390" s="270" t="str">
        <f>IF(D390="","",VLOOKUP(D390,契約台帳!$A$3:$L$4986,12,FALSE))</f>
        <v/>
      </c>
      <c r="L390" s="270" t="str">
        <f>IF(D390="","",INDEX(製品マスタ!$Q$5:$Q$5002,MATCH('S4'!F390&amp;'S4'!K390,製品マスタ!$AO$5:$AO$5002,0)))</f>
        <v/>
      </c>
      <c r="M390" s="39"/>
      <c r="N390" s="39"/>
      <c r="O390" s="156"/>
      <c r="P390" s="47"/>
      <c r="Q390" s="57"/>
      <c r="R390" s="271" t="str">
        <f ca="1">IF(D390="","",IF(OFFSET(D390,-1,0)&lt;&gt;"","",IF(OR(J390="リード付け",J390="巻足し",J390="巻返しリード付け"),M390,VLOOKUP(D390,契約台帳!$A$3:$N$4986,14,FALSE))))</f>
        <v/>
      </c>
      <c r="S390" s="272" t="str">
        <f ca="1">IF(D390="","",IF(OFFSET(D390,-1,0)&lt;&gt;"","",IF(OR(J390="リード付け",J390="巻足し",J390="巻返しリード付け"),M390,VLOOKUP(D390,契約台帳!$A$3:$O$4986,15,FALSE))))</f>
        <v/>
      </c>
      <c r="T390" s="273" t="str">
        <f ca="1">IF(D390="","",IF(J390="リード付け",N390,IF(J390="巻返しリード付け",N390,IF(J390="巻足し",N390*P390+OFFSET(N390,1,0)*OFFSET(P390,1,0),VLOOKUP(D390,契約台帳!$A$3:$P$4986,16,FALSE)))))</f>
        <v/>
      </c>
      <c r="U390" s="40"/>
      <c r="V390" s="274" t="str">
        <f ca="1">IF(D390="","",IF(OFFSET(D390,-2,0)=D390,"",VLOOKUP(D390,契約台帳!$A$3:$R$4986,18,FALSE)))</f>
        <v/>
      </c>
      <c r="W390" s="269" t="str">
        <f>IF(D390="","",IF(T390="","",IF(OR(J390="巻足し",J390="巻返しリード付け"),"",IF(J390="巻返し",VLOOKUP(F390&amp;K390&amp;M390,製品マスタ!$M$5:$AD$5002,18,FALSE),IF(OR(J390="リード付け",J390="巻返しリード付け"),"原反コア",IF(J390="スリット",VLOOKUP(F390&amp;K390&amp;R390,製品マスタ!$N$5:$AD$5002,17,FALSE),""))))))</f>
        <v/>
      </c>
      <c r="X390" s="269" t="str">
        <f>IF(D390="","",IF(T390="","",IF(J390="巻足し","",IF(J390="巻返し",VLOOKUP(F390&amp;K390&amp;M390,製品マスタ!$M$5:$AE$5002,19,FALSE),IF(OR(J390="リード付け",J390="巻返しリード付け"),"",IF(J390="スリット",VLOOKUP(F390&amp;K390&amp;R390,製品マスタ!$N$5:$AE$5002,18,FALSE),""))))))</f>
        <v/>
      </c>
      <c r="Y390" s="275" t="str">
        <f>IF(D390="","",IF(T390="","",VLOOKUP(D390,契約台帳!$A$3:$Q$4986,17,FALSE)))</f>
        <v/>
      </c>
      <c r="Z390" s="269" t="str">
        <f>IF(D390="","",IF(T390="","",VLOOKUP(D390,契約台帳!$A$3:$E$4986,5,FALSE)))</f>
        <v/>
      </c>
      <c r="AA390" s="57"/>
      <c r="AB390" s="207" t="str">
        <f>IFERROR((VLOOKUP(F390&amp;K390&amp;M390,製品マスタ!$M$5:$AM$5002,27,FALSE)),"")</f>
        <v/>
      </c>
      <c r="AC390" s="33"/>
      <c r="AD390" s="189"/>
      <c r="AE390" s="54"/>
      <c r="AF390" s="55"/>
      <c r="AG390" s="43"/>
      <c r="AH390" s="47"/>
      <c r="AI390" s="30"/>
      <c r="AJ390" s="30"/>
      <c r="AK390" s="30"/>
      <c r="AL390" s="30"/>
      <c r="AM390" s="13"/>
      <c r="AN390" s="13"/>
      <c r="AO390" s="13"/>
      <c r="AP390" s="13"/>
      <c r="AQ390" s="13"/>
      <c r="AR390" s="14"/>
      <c r="AS390" s="15"/>
    </row>
    <row r="391" spans="1:45" s="17" customFormat="1" ht="30.95" hidden="1" customHeight="1" x14ac:dyDescent="0.2">
      <c r="A391" s="37" t="s">
        <v>1014</v>
      </c>
      <c r="B391" s="38" t="s">
        <v>1008</v>
      </c>
      <c r="C391" s="45"/>
      <c r="D391" s="31"/>
      <c r="E391" s="31"/>
      <c r="F391" s="268"/>
      <c r="G391" s="269"/>
      <c r="H391" s="269"/>
      <c r="I391" s="270"/>
      <c r="J391" s="210" t="s">
        <v>490</v>
      </c>
      <c r="K391" s="270"/>
      <c r="L391" s="270"/>
      <c r="M391" s="39"/>
      <c r="N391" s="39"/>
      <c r="O391" s="156"/>
      <c r="P391" s="47"/>
      <c r="Q391" s="57"/>
      <c r="R391" s="271"/>
      <c r="S391" s="272"/>
      <c r="T391" s="273"/>
      <c r="U391" s="40"/>
      <c r="V391" s="274"/>
      <c r="W391" s="269"/>
      <c r="X391" s="269"/>
      <c r="Y391" s="275"/>
      <c r="Z391" s="269"/>
      <c r="AA391" s="57"/>
      <c r="AB391" s="207"/>
      <c r="AC391" s="33"/>
      <c r="AD391" s="189"/>
      <c r="AE391" s="54"/>
      <c r="AF391" s="55"/>
      <c r="AG391" s="43"/>
      <c r="AH391" s="47"/>
      <c r="AI391" s="30"/>
      <c r="AJ391" s="30"/>
      <c r="AK391" s="30"/>
      <c r="AL391" s="30"/>
      <c r="AM391" s="13"/>
      <c r="AN391" s="13"/>
      <c r="AO391" s="13"/>
      <c r="AP391" s="13"/>
      <c r="AQ391" s="13"/>
      <c r="AR391" s="14"/>
      <c r="AS391" s="15"/>
    </row>
    <row r="392" spans="1:45" s="17" customFormat="1" ht="30.95" hidden="1" customHeight="1" x14ac:dyDescent="0.2">
      <c r="A392" s="37"/>
      <c r="B392" s="38"/>
      <c r="C392" s="45"/>
      <c r="D392" s="31"/>
      <c r="E392" s="31"/>
      <c r="F392" s="268"/>
      <c r="G392" s="269"/>
      <c r="H392" s="269"/>
      <c r="I392" s="270"/>
      <c r="J392" s="210"/>
      <c r="K392" s="270"/>
      <c r="L392" s="270"/>
      <c r="M392" s="39"/>
      <c r="N392" s="39"/>
      <c r="O392" s="156"/>
      <c r="P392" s="47"/>
      <c r="Q392" s="57"/>
      <c r="R392" s="271"/>
      <c r="S392" s="272"/>
      <c r="T392" s="273"/>
      <c r="U392" s="40"/>
      <c r="V392" s="274"/>
      <c r="W392" s="269"/>
      <c r="X392" s="269"/>
      <c r="Y392" s="275"/>
      <c r="Z392" s="269"/>
      <c r="AA392" s="57"/>
      <c r="AB392" s="207"/>
      <c r="AC392" s="33"/>
      <c r="AD392" s="189"/>
      <c r="AE392" s="54"/>
      <c r="AF392" s="55"/>
      <c r="AG392" s="43"/>
      <c r="AH392" s="47"/>
      <c r="AI392" s="30"/>
      <c r="AJ392" s="30"/>
      <c r="AK392" s="30"/>
      <c r="AL392" s="30"/>
      <c r="AM392" s="13"/>
      <c r="AN392" s="13"/>
      <c r="AO392" s="13"/>
      <c r="AP392" s="13"/>
      <c r="AQ392" s="13"/>
      <c r="AR392" s="14"/>
      <c r="AS392" s="15"/>
    </row>
    <row r="393" spans="1:45" s="17" customFormat="1" ht="30.95" hidden="1" customHeight="1" x14ac:dyDescent="0.2">
      <c r="A393" s="37" t="s">
        <v>1015</v>
      </c>
      <c r="B393" s="38" t="s">
        <v>1010</v>
      </c>
      <c r="C393" s="45"/>
      <c r="D393" s="31"/>
      <c r="E393" s="31"/>
      <c r="F393" s="268"/>
      <c r="G393" s="269"/>
      <c r="H393" s="269"/>
      <c r="I393" s="270"/>
      <c r="J393" s="210" t="s">
        <v>490</v>
      </c>
      <c r="K393" s="270"/>
      <c r="L393" s="270"/>
      <c r="M393" s="39"/>
      <c r="N393" s="39"/>
      <c r="O393" s="156"/>
      <c r="P393" s="47"/>
      <c r="Q393" s="57"/>
      <c r="R393" s="271"/>
      <c r="S393" s="272"/>
      <c r="T393" s="273"/>
      <c r="U393" s="40"/>
      <c r="V393" s="274"/>
      <c r="W393" s="269"/>
      <c r="X393" s="269"/>
      <c r="Y393" s="275"/>
      <c r="Z393" s="269"/>
      <c r="AA393" s="57"/>
      <c r="AB393" s="207"/>
      <c r="AC393" s="33"/>
      <c r="AD393" s="189"/>
      <c r="AE393" s="54"/>
      <c r="AF393" s="55"/>
      <c r="AG393" s="43"/>
      <c r="AH393" s="47"/>
      <c r="AI393" s="30"/>
      <c r="AJ393" s="30"/>
      <c r="AK393" s="30"/>
      <c r="AL393" s="30"/>
      <c r="AM393" s="13"/>
      <c r="AN393" s="13"/>
      <c r="AO393" s="13"/>
      <c r="AP393" s="13"/>
      <c r="AQ393" s="13"/>
      <c r="AR393" s="14"/>
      <c r="AS393" s="15"/>
    </row>
    <row r="394" spans="1:45" s="17" customFormat="1" ht="30.95" hidden="1" customHeight="1" x14ac:dyDescent="0.2">
      <c r="A394" s="37"/>
      <c r="B394" s="38"/>
      <c r="C394" s="45"/>
      <c r="D394" s="31"/>
      <c r="E394" s="31"/>
      <c r="F394" s="268"/>
      <c r="G394" s="269"/>
      <c r="H394" s="269"/>
      <c r="I394" s="270"/>
      <c r="J394" s="210"/>
      <c r="K394" s="270"/>
      <c r="L394" s="270"/>
      <c r="M394" s="39"/>
      <c r="N394" s="39"/>
      <c r="O394" s="156"/>
      <c r="P394" s="47"/>
      <c r="Q394" s="57"/>
      <c r="R394" s="271"/>
      <c r="S394" s="272"/>
      <c r="T394" s="273"/>
      <c r="U394" s="40"/>
      <c r="V394" s="274"/>
      <c r="W394" s="269"/>
      <c r="X394" s="269"/>
      <c r="Y394" s="275"/>
      <c r="Z394" s="269"/>
      <c r="AA394" s="57"/>
      <c r="AB394" s="207"/>
      <c r="AC394" s="33"/>
      <c r="AD394" s="189"/>
      <c r="AE394" s="54"/>
      <c r="AF394" s="55"/>
      <c r="AG394" s="43"/>
      <c r="AH394" s="47"/>
      <c r="AI394" s="30"/>
      <c r="AJ394" s="30"/>
      <c r="AK394" s="30"/>
      <c r="AL394" s="30"/>
      <c r="AM394" s="13"/>
      <c r="AN394" s="13"/>
      <c r="AO394" s="13"/>
      <c r="AP394" s="13"/>
      <c r="AQ394" s="13"/>
      <c r="AR394" s="14"/>
      <c r="AS394" s="15"/>
    </row>
    <row r="395" spans="1:45" s="17" customFormat="1" ht="30.95" hidden="1" customHeight="1" x14ac:dyDescent="0.2">
      <c r="A395" s="37" t="s">
        <v>973</v>
      </c>
      <c r="B395" s="38" t="s">
        <v>959</v>
      </c>
      <c r="C395" s="45"/>
      <c r="D395" s="31"/>
      <c r="E395" s="31"/>
      <c r="F395" s="268" t="str">
        <f>IF(D395="","",VLOOKUP(D395,契約台帳!$A$3:$K$4986,6,FALSE)&amp;VLOOKUP(D395,契約台帳!$A$3:$K$4986,7,FALSE)&amp;VLOOKUP(D395,契約台帳!$A$3:$K$4986,8,FALSE)&amp;VLOOKUP(D395,契約台帳!$A$3:$K$4986,9,FALSE)&amp;VLOOKUP(D395,契約台帳!$A$3:$K$4986,11,FALSE))</f>
        <v/>
      </c>
      <c r="G395" s="269" t="str">
        <f>IF(D395="","",VLOOKUP(F395,製品マスタ!$G$5:$H$5002,2,FALSE))</f>
        <v/>
      </c>
      <c r="H395" s="269" t="str">
        <f>IF(D395="","",VLOOKUP(F395,製品マスタ!$G$5:$K$5002,5,FALSE))</f>
        <v/>
      </c>
      <c r="I395" s="270" t="str">
        <f>IF(D395="","",VLOOKUP(F395,製品マスタ!$G$5:$L$5002,6,FALSE))</f>
        <v/>
      </c>
      <c r="J395" s="210" t="s">
        <v>448</v>
      </c>
      <c r="K395" s="270" t="str">
        <f>IF(D395="","",VLOOKUP(D395,契約台帳!$A$3:$L$4986,12,FALSE))</f>
        <v/>
      </c>
      <c r="L395" s="270" t="str">
        <f>IF(D395="","",INDEX(製品マスタ!$Q$5:$Q$5002,MATCH('S4'!F395&amp;'S4'!K395,製品マスタ!$AO$5:$AO$5002,0)))</f>
        <v/>
      </c>
      <c r="M395" s="39"/>
      <c r="N395" s="39"/>
      <c r="O395" s="156"/>
      <c r="P395" s="47"/>
      <c r="Q395" s="57"/>
      <c r="R395" s="271" t="str">
        <f ca="1">IF(D395="","",IF(OFFSET(D395,-1,0)&lt;&gt;"","",IF(OR(J395="リード付け",J395="巻足し",J395="巻返しリード付け"),M395,VLOOKUP(D395,契約台帳!$A$3:$N$4986,14,FALSE))))</f>
        <v/>
      </c>
      <c r="S395" s="272" t="str">
        <f ca="1">IF(D395="","",IF(OFFSET(D395,-1,0)&lt;&gt;"","",IF(OR(J395="リード付け",J395="巻足し",J395="巻返しリード付け"),M395,VLOOKUP(D395,契約台帳!$A$3:$O$4986,15,FALSE))))</f>
        <v/>
      </c>
      <c r="T395" s="273" t="str">
        <f ca="1">IF(D395="","",IF(J395="リード付け",N395,IF(J395="巻返しリード付け",N395,IF(J395="巻足し",N395*P395+OFFSET(N395,1,0)*OFFSET(P395,1,0),VLOOKUP(D395,契約台帳!$A$3:$P$4986,16,FALSE)))))</f>
        <v/>
      </c>
      <c r="U395" s="40"/>
      <c r="V395" s="274" t="str">
        <f ca="1">IF(D395="","",IF(OFFSET(D395,-2,0)=D395,"",VLOOKUP(D395,契約台帳!$A$3:$R$4986,18,FALSE)))</f>
        <v/>
      </c>
      <c r="W395" s="269" t="str">
        <f>IF(D395="","",IF(T395="","",IF(OR(J395="巻足し",J395="巻返しリード付け"),"",IF(J395="巻返し",VLOOKUP(F395&amp;K395&amp;M395,製品マスタ!$M$5:$AD$5002,18,FALSE),IF(OR(J395="リード付け",J395="巻返しリード付け"),"原反コア",IF(J395="スリット",VLOOKUP(F395&amp;K395&amp;R395,製品マスタ!$N$5:$AD$5002,17,FALSE),""))))))</f>
        <v/>
      </c>
      <c r="X395" s="269" t="str">
        <f>IF(D395="","",IF(T395="","",IF(J395="巻足し","",IF(J395="巻返し",VLOOKUP(F395&amp;K395&amp;M395,製品マスタ!$M$5:$AE$5002,19,FALSE),IF(OR(J395="リード付け",J395="巻返しリード付け"),"",IF(J395="スリット",VLOOKUP(F395&amp;K395&amp;R395,製品マスタ!$N$5:$AE$5002,18,FALSE),""))))))</f>
        <v/>
      </c>
      <c r="Y395" s="275" t="str">
        <f>IF(D395="","",IF(T395="","",VLOOKUP(D395,契約台帳!$A$3:$Q$4986,17,FALSE)))</f>
        <v/>
      </c>
      <c r="Z395" s="269" t="str">
        <f>IF(D395="","",IF(T395="","",VLOOKUP(D395,契約台帳!$A$3:$E$4986,5,FALSE)))</f>
        <v/>
      </c>
      <c r="AA395" s="57"/>
      <c r="AB395" s="207" t="str">
        <f>IFERROR((VLOOKUP(F395&amp;K395&amp;M395,製品マスタ!$M$5:$AM$5002,27,FALSE)),"")</f>
        <v/>
      </c>
      <c r="AC395" s="33"/>
      <c r="AD395" s="189"/>
      <c r="AE395" s="54"/>
      <c r="AF395" s="55"/>
      <c r="AG395" s="43"/>
      <c r="AH395" s="47"/>
      <c r="AI395" s="30"/>
      <c r="AJ395" s="30"/>
      <c r="AK395" s="30"/>
      <c r="AL395" s="30"/>
      <c r="AM395" s="13"/>
      <c r="AN395" s="13"/>
      <c r="AO395" s="13"/>
      <c r="AP395" s="13"/>
      <c r="AQ395" s="13"/>
      <c r="AR395" s="14"/>
      <c r="AS395" s="15"/>
    </row>
    <row r="396" spans="1:45" s="17" customFormat="1" ht="30.95" hidden="1" customHeight="1" x14ac:dyDescent="0.2">
      <c r="A396" s="37"/>
      <c r="B396" s="38"/>
      <c r="C396" s="45"/>
      <c r="D396" s="31"/>
      <c r="E396" s="31"/>
      <c r="F396" s="268" t="str">
        <f>IF(D396="","",VLOOKUP(D396,契約台帳!$A$3:$K$4986,6,FALSE)&amp;VLOOKUP(D396,契約台帳!$A$3:$K$4986,7,FALSE)&amp;VLOOKUP(D396,契約台帳!$A$3:$K$4986,8,FALSE)&amp;VLOOKUP(D396,契約台帳!$A$3:$K$4986,9,FALSE)&amp;VLOOKUP(D396,契約台帳!$A$3:$K$4986,11,FALSE))</f>
        <v/>
      </c>
      <c r="G396" s="269" t="str">
        <f>IF(D396="","",VLOOKUP(F396,製品マスタ!$G$5:$H$5002,2,FALSE))</f>
        <v/>
      </c>
      <c r="H396" s="269" t="str">
        <f>IF(D396="","",VLOOKUP(F396,製品マスタ!$G$5:$K$5002,5,FALSE))</f>
        <v/>
      </c>
      <c r="I396" s="270" t="str">
        <f>IF(D396="","",VLOOKUP(F396,製品マスタ!$G$5:$L$5002,6,FALSE))</f>
        <v/>
      </c>
      <c r="J396" s="210"/>
      <c r="K396" s="270" t="str">
        <f>IF(D396="","",VLOOKUP(D396,契約台帳!$A$3:$L$4986,12,FALSE))</f>
        <v/>
      </c>
      <c r="L396" s="270" t="str">
        <f>IF(D396="","",INDEX(製品マスタ!$Q$5:$Q$5002,MATCH('S4'!F396&amp;'S4'!K396,製品マスタ!$AO$5:$AO$5002,0)))</f>
        <v/>
      </c>
      <c r="M396" s="39"/>
      <c r="N396" s="39"/>
      <c r="O396" s="156"/>
      <c r="P396" s="47"/>
      <c r="Q396" s="57"/>
      <c r="R396" s="271" t="str">
        <f ca="1">IF(D396="","",IF(OFFSET(D396,-1,0)&lt;&gt;"","",IF(OR(J396="リード付け",J396="巻足し",J396="巻返しリード付け"),M396,VLOOKUP(D396,契約台帳!$A$3:$N$4986,14,FALSE))))</f>
        <v/>
      </c>
      <c r="S396" s="272" t="str">
        <f ca="1">IF(D396="","",IF(OFFSET(D396,-1,0)&lt;&gt;"","",IF(OR(J396="リード付け",J396="巻足し",J396="巻返しリード付け"),M396,VLOOKUP(D396,契約台帳!$A$3:$O$4986,15,FALSE))))</f>
        <v/>
      </c>
      <c r="T396" s="273" t="str">
        <f ca="1">IF(D396="","",IF(J396="リード付け",N396,IF(J396="巻返しリード付け",N396,IF(J396="巻足し",N396*P396+OFFSET(N396,1,0)*OFFSET(P396,1,0),VLOOKUP(D396,契約台帳!$A$3:$P$4986,16,FALSE)))))</f>
        <v/>
      </c>
      <c r="U396" s="40"/>
      <c r="V396" s="274" t="str">
        <f ca="1">IF(D396="","",IF(OFFSET(D396,-2,0)=D396,"",VLOOKUP(D396,契約台帳!$A$3:$R$4986,18,FALSE)))</f>
        <v/>
      </c>
      <c r="W396" s="269" t="str">
        <f>IF(D396="","",IF(T396="","",IF(OR(J396="巻足し",J396="巻返しリード付け"),"",IF(J396="巻返し",VLOOKUP(F396&amp;K396&amp;M396,製品マスタ!$M$5:$AD$5002,18,FALSE),IF(OR(J396="リード付け",J396="巻返しリード付け"),"原反コア",IF(J396="スリット",VLOOKUP(F396&amp;K396&amp;R396,製品マスタ!$N$5:$AD$5002,17,FALSE),""))))))</f>
        <v/>
      </c>
      <c r="X396" s="269" t="str">
        <f>IF(D396="","",IF(T396="","",IF(J396="巻足し","",IF(J396="巻返し",VLOOKUP(F396&amp;K396&amp;M396,製品マスタ!$M$5:$AE$5002,19,FALSE),IF(OR(J396="リード付け",J396="巻返しリード付け"),"",IF(J396="スリット",VLOOKUP(F396&amp;K396&amp;R396,製品マスタ!$N$5:$AE$5002,18,FALSE),""))))))</f>
        <v/>
      </c>
      <c r="Y396" s="275" t="str">
        <f>IF(D396="","",IF(T396="","",VLOOKUP(D396,契約台帳!$A$3:$Q$4986,17,FALSE)))</f>
        <v/>
      </c>
      <c r="Z396" s="269" t="str">
        <f>IF(D396="","",IF(T396="","",VLOOKUP(D396,契約台帳!$A$3:$E$4986,5,FALSE)))</f>
        <v/>
      </c>
      <c r="AA396" s="57"/>
      <c r="AB396" s="207" t="str">
        <f>IFERROR((VLOOKUP(F396&amp;K396&amp;M396,製品マスタ!$M$5:$AM$5002,27,FALSE)),"")</f>
        <v/>
      </c>
      <c r="AC396" s="33"/>
      <c r="AD396" s="189"/>
      <c r="AE396" s="54"/>
      <c r="AF396" s="55"/>
      <c r="AG396" s="43"/>
      <c r="AH396" s="47"/>
      <c r="AI396" s="30"/>
      <c r="AJ396" s="30"/>
      <c r="AK396" s="30"/>
      <c r="AL396" s="30"/>
      <c r="AM396" s="13"/>
      <c r="AN396" s="13"/>
      <c r="AO396" s="13"/>
      <c r="AP396" s="13"/>
      <c r="AQ396" s="13"/>
      <c r="AR396" s="14"/>
      <c r="AS396" s="15"/>
    </row>
    <row r="397" spans="1:45" s="17" customFormat="1" ht="30.95" hidden="1" customHeight="1" x14ac:dyDescent="0.2">
      <c r="A397" s="37" t="s">
        <v>974</v>
      </c>
      <c r="B397" s="38" t="s">
        <v>960</v>
      </c>
      <c r="C397" s="45"/>
      <c r="D397" s="31"/>
      <c r="E397" s="31"/>
      <c r="F397" s="268" t="str">
        <f>IF(D397="","",VLOOKUP(D397,契約台帳!$A$3:$K$4986,6,FALSE)&amp;VLOOKUP(D397,契約台帳!$A$3:$K$4986,7,FALSE)&amp;VLOOKUP(D397,契約台帳!$A$3:$K$4986,8,FALSE)&amp;VLOOKUP(D397,契約台帳!$A$3:$K$4986,9,FALSE)&amp;VLOOKUP(D397,契約台帳!$A$3:$K$4986,11,FALSE))</f>
        <v/>
      </c>
      <c r="G397" s="269" t="str">
        <f>IF(D397="","",VLOOKUP(F397,製品マスタ!$G$5:$H$5002,2,FALSE))</f>
        <v/>
      </c>
      <c r="H397" s="269" t="str">
        <f>IF(D397="","",VLOOKUP(F397,製品マスタ!$G$5:$K$5002,5,FALSE))</f>
        <v/>
      </c>
      <c r="I397" s="270" t="str">
        <f>IF(D397="","",VLOOKUP(F397,製品マスタ!$G$5:$L$5002,6,FALSE))</f>
        <v/>
      </c>
      <c r="J397" s="210" t="s">
        <v>448</v>
      </c>
      <c r="K397" s="270" t="str">
        <f>IF(D397="","",VLOOKUP(D397,契約台帳!$A$3:$L$4986,12,FALSE))</f>
        <v/>
      </c>
      <c r="L397" s="270" t="str">
        <f>IF(D397="","",INDEX(製品マスタ!$Q$5:$Q$5002,MATCH('S4'!F397&amp;'S4'!K397,製品マスタ!$AO$5:$AO$5002,0)))</f>
        <v/>
      </c>
      <c r="M397" s="39"/>
      <c r="N397" s="39"/>
      <c r="O397" s="156"/>
      <c r="P397" s="47"/>
      <c r="Q397" s="57"/>
      <c r="R397" s="271" t="str">
        <f ca="1">IF(D397="","",IF(OFFSET(D397,-1,0)&lt;&gt;"","",IF(OR(J397="リード付け",J397="巻足し",J397="巻返しリード付け"),M397,VLOOKUP(D397,契約台帳!$A$3:$N$4986,14,FALSE))))</f>
        <v/>
      </c>
      <c r="S397" s="272" t="str">
        <f ca="1">IF(D397="","",IF(OFFSET(D397,-1,0)&lt;&gt;"","",IF(OR(J397="リード付け",J397="巻足し",J397="巻返しリード付け"),M397,VLOOKUP(D397,契約台帳!$A$3:$O$4986,15,FALSE))))</f>
        <v/>
      </c>
      <c r="T397" s="273" t="str">
        <f ca="1">IF(D397="","",IF(J397="リード付け",N397,IF(J397="巻返しリード付け",N397,IF(J397="巻足し",N397*P397+OFFSET(N397,1,0)*OFFSET(P397,1,0),VLOOKUP(D397,契約台帳!$A$3:$P$4986,16,FALSE)))))</f>
        <v/>
      </c>
      <c r="U397" s="40"/>
      <c r="V397" s="274" t="str">
        <f ca="1">IF(D397="","",IF(OFFSET(D397,-2,0)=D397,"",VLOOKUP(D397,契約台帳!$A$3:$R$4986,18,FALSE)))</f>
        <v/>
      </c>
      <c r="W397" s="269" t="str">
        <f>IF(D397="","",IF(T397="","",IF(OR(J397="巻足し",J397="巻返しリード付け"),"",IF(J397="巻返し",VLOOKUP(F397&amp;K397&amp;M397,製品マスタ!$M$5:$AD$5002,18,FALSE),IF(OR(J397="リード付け",J397="巻返しリード付け"),"原反コア",IF(J397="スリット",VLOOKUP(F397&amp;K397&amp;R397,製品マスタ!$N$5:$AD$5002,17,FALSE),""))))))</f>
        <v/>
      </c>
      <c r="X397" s="269" t="str">
        <f>IF(D397="","",IF(T397="","",IF(J397="巻足し","",IF(J397="巻返し",VLOOKUP(F397&amp;K397&amp;M397,製品マスタ!$M$5:$AE$5002,19,FALSE),IF(OR(J397="リード付け",J397="巻返しリード付け"),"",IF(J397="スリット",VLOOKUP(F397&amp;K397&amp;R397,製品マスタ!$N$5:$AE$5002,18,FALSE),""))))))</f>
        <v/>
      </c>
      <c r="Y397" s="275" t="str">
        <f>IF(D397="","",IF(T397="","",VLOOKUP(D397,契約台帳!$A$3:$Q$4986,17,FALSE)))</f>
        <v/>
      </c>
      <c r="Z397" s="269" t="str">
        <f>IF(D397="","",IF(T397="","",VLOOKUP(D397,契約台帳!$A$3:$E$4986,5,FALSE)))</f>
        <v/>
      </c>
      <c r="AA397" s="57"/>
      <c r="AB397" s="207" t="str">
        <f>IFERROR((VLOOKUP(F397&amp;K397&amp;M397,製品マスタ!$M$5:$AM$5002,27,FALSE)),"")</f>
        <v/>
      </c>
      <c r="AC397" s="33"/>
      <c r="AD397" s="189"/>
      <c r="AE397" s="54"/>
      <c r="AF397" s="55"/>
      <c r="AG397" s="43"/>
      <c r="AH397" s="47"/>
      <c r="AI397" s="30"/>
      <c r="AJ397" s="30"/>
      <c r="AK397" s="30"/>
      <c r="AL397" s="30"/>
      <c r="AM397" s="13"/>
      <c r="AN397" s="13"/>
      <c r="AO397" s="13"/>
      <c r="AP397" s="13"/>
      <c r="AQ397" s="13"/>
      <c r="AR397" s="14"/>
      <c r="AS397" s="15"/>
    </row>
    <row r="398" spans="1:45" s="17" customFormat="1" ht="30.95" hidden="1" customHeight="1" x14ac:dyDescent="0.2">
      <c r="A398" s="37"/>
      <c r="B398" s="38"/>
      <c r="C398" s="45"/>
      <c r="D398" s="31"/>
      <c r="E398" s="31"/>
      <c r="F398" s="268" t="str">
        <f>IF(D398="","",VLOOKUP(D398,契約台帳!$A$3:$K$4986,6,FALSE)&amp;VLOOKUP(D398,契約台帳!$A$3:$K$4986,7,FALSE)&amp;VLOOKUP(D398,契約台帳!$A$3:$K$4986,8,FALSE)&amp;VLOOKUP(D398,契約台帳!$A$3:$K$4986,9,FALSE)&amp;VLOOKUP(D398,契約台帳!$A$3:$K$4986,11,FALSE))</f>
        <v/>
      </c>
      <c r="G398" s="269" t="str">
        <f>IF(D398="","",VLOOKUP(F398,製品マスタ!$G$5:$H$5002,2,FALSE))</f>
        <v/>
      </c>
      <c r="H398" s="269" t="str">
        <f>IF(D398="","",VLOOKUP(F398,製品マスタ!$G$5:$K$5002,5,FALSE))</f>
        <v/>
      </c>
      <c r="I398" s="270" t="str">
        <f>IF(D398="","",VLOOKUP(F398,製品マスタ!$G$5:$L$5002,6,FALSE))</f>
        <v/>
      </c>
      <c r="J398" s="210"/>
      <c r="K398" s="270" t="str">
        <f>IF(D398="","",VLOOKUP(D398,契約台帳!$A$3:$L$4986,12,FALSE))</f>
        <v/>
      </c>
      <c r="L398" s="270" t="str">
        <f>IF(D398="","",INDEX(製品マスタ!$Q$5:$Q$5002,MATCH('S4'!F398&amp;'S4'!K398,製品マスタ!$AO$5:$AO$5002,0)))</f>
        <v/>
      </c>
      <c r="M398" s="39"/>
      <c r="N398" s="39"/>
      <c r="O398" s="156"/>
      <c r="P398" s="47"/>
      <c r="Q398" s="57"/>
      <c r="R398" s="271" t="str">
        <f ca="1">IF(D398="","",IF(OFFSET(D398,-1,0)&lt;&gt;"","",IF(OR(J398="リード付け",J398="巻足し",J398="巻返しリード付け"),M398,VLOOKUP(D398,契約台帳!$A$3:$N$4986,14,FALSE))))</f>
        <v/>
      </c>
      <c r="S398" s="272" t="str">
        <f ca="1">IF(D398="","",IF(OFFSET(D398,-1,0)&lt;&gt;"","",IF(OR(J398="リード付け",J398="巻足し",J398="巻返しリード付け"),M398,VLOOKUP(D398,契約台帳!$A$3:$O$4986,15,FALSE))))</f>
        <v/>
      </c>
      <c r="T398" s="273" t="str">
        <f ca="1">IF(D398="","",IF(J398="リード付け",N398,IF(J398="巻返しリード付け",N398,IF(J398="巻足し",N398*P398+OFFSET(N398,1,0)*OFFSET(P398,1,0),VLOOKUP(D398,契約台帳!$A$3:$P$4986,16,FALSE)))))</f>
        <v/>
      </c>
      <c r="U398" s="40"/>
      <c r="V398" s="274" t="str">
        <f ca="1">IF(D398="","",IF(OFFSET(D398,-2,0)=D398,"",VLOOKUP(D398,契約台帳!$A$3:$R$4986,18,FALSE)))</f>
        <v/>
      </c>
      <c r="W398" s="269" t="str">
        <f>IF(D398="","",IF(T398="","",IF(OR(J398="巻足し",J398="巻返しリード付け"),"",IF(J398="巻返し",VLOOKUP(F398&amp;K398&amp;M398,製品マスタ!$M$5:$AD$5002,18,FALSE),IF(OR(J398="リード付け",J398="巻返しリード付け"),"原反コア",IF(J398="スリット",VLOOKUP(F398&amp;K398&amp;R398,製品マスタ!$N$5:$AD$5002,17,FALSE),""))))))</f>
        <v/>
      </c>
      <c r="X398" s="269" t="str">
        <f>IF(D398="","",IF(T398="","",IF(J398="巻足し","",IF(J398="巻返し",VLOOKUP(F398&amp;K398&amp;M398,製品マスタ!$M$5:$AE$5002,19,FALSE),IF(OR(J398="リード付け",J398="巻返しリード付け"),"",IF(J398="スリット",VLOOKUP(F398&amp;K398&amp;R398,製品マスタ!$N$5:$AE$5002,18,FALSE),""))))))</f>
        <v/>
      </c>
      <c r="Y398" s="275" t="str">
        <f>IF(D398="","",IF(T398="","",VLOOKUP(D398,契約台帳!$A$3:$Q$4986,17,FALSE)))</f>
        <v/>
      </c>
      <c r="Z398" s="269" t="str">
        <f>IF(D398="","",IF(T398="","",VLOOKUP(D398,契約台帳!$A$3:$E$4986,5,FALSE)))</f>
        <v/>
      </c>
      <c r="AA398" s="57"/>
      <c r="AB398" s="207" t="str">
        <f>IFERROR((VLOOKUP(F398&amp;K398&amp;M398,製品マスタ!$M$5:$AM$5002,27,FALSE)),"")</f>
        <v/>
      </c>
      <c r="AC398" s="33"/>
      <c r="AD398" s="189"/>
      <c r="AE398" s="54"/>
      <c r="AF398" s="55"/>
      <c r="AG398" s="43"/>
      <c r="AH398" s="47"/>
      <c r="AI398" s="30"/>
      <c r="AJ398" s="30"/>
      <c r="AK398" s="30"/>
      <c r="AL398" s="30"/>
      <c r="AM398" s="13"/>
      <c r="AN398" s="13"/>
      <c r="AO398" s="13"/>
      <c r="AP398" s="13"/>
      <c r="AQ398" s="13"/>
      <c r="AR398" s="14"/>
      <c r="AS398" s="15"/>
    </row>
    <row r="399" spans="1:45" s="17" customFormat="1" ht="30.95" hidden="1" customHeight="1" x14ac:dyDescent="0.2">
      <c r="A399" s="37" t="s">
        <v>975</v>
      </c>
      <c r="B399" s="38" t="s">
        <v>961</v>
      </c>
      <c r="C399" s="45"/>
      <c r="D399" s="31"/>
      <c r="E399" s="31"/>
      <c r="F399" s="268" t="str">
        <f>IF(D399="","",VLOOKUP(D399,契約台帳!$A$3:$K$4986,6,FALSE)&amp;VLOOKUP(D399,契約台帳!$A$3:$K$4986,7,FALSE)&amp;VLOOKUP(D399,契約台帳!$A$3:$K$4986,8,FALSE)&amp;VLOOKUP(D399,契約台帳!$A$3:$K$4986,9,FALSE)&amp;VLOOKUP(D399,契約台帳!$A$3:$K$4986,11,FALSE))</f>
        <v/>
      </c>
      <c r="G399" s="269" t="str">
        <f>IF(D399="","",VLOOKUP(F399,製品マスタ!$G$5:$H$5002,2,FALSE))</f>
        <v/>
      </c>
      <c r="H399" s="269" t="str">
        <f>IF(D399="","",VLOOKUP(F399,製品マスタ!$G$5:$K$5002,5,FALSE))</f>
        <v/>
      </c>
      <c r="I399" s="270" t="str">
        <f>IF(D399="","",VLOOKUP(F399,製品マスタ!$G$5:$L$5002,6,FALSE))</f>
        <v/>
      </c>
      <c r="J399" s="210" t="s">
        <v>1001</v>
      </c>
      <c r="K399" s="270" t="str">
        <f>IF(D399="","",VLOOKUP(D399,契約台帳!$A$3:$L$4986,12,FALSE))</f>
        <v/>
      </c>
      <c r="L399" s="270" t="str">
        <f>IF(D399="","",INDEX(製品マスタ!$Q$5:$Q$5002,MATCH('S4'!F399&amp;'S4'!K399,製品マスタ!$AO$5:$AO$5002,0)))</f>
        <v/>
      </c>
      <c r="M399" s="39"/>
      <c r="N399" s="39"/>
      <c r="O399" s="156"/>
      <c r="P399" s="47"/>
      <c r="Q399" s="57"/>
      <c r="R399" s="271" t="str">
        <f ca="1">IF(D399="","",IF(OFFSET(D399,-1,0)&lt;&gt;"","",IF(OR(J399="リード付け",J399="巻足し",J399="巻返しリード付け"),M399,VLOOKUP(D399,契約台帳!$A$3:$N$4986,14,FALSE))))</f>
        <v/>
      </c>
      <c r="S399" s="272" t="str">
        <f ca="1">IF(D399="","",IF(OFFSET(D399,-1,0)&lt;&gt;"","",IF(OR(J399="リード付け",J399="巻足し",J399="巻返しリード付け"),M399,VLOOKUP(D399,契約台帳!$A$3:$O$4986,15,FALSE))))</f>
        <v/>
      </c>
      <c r="T399" s="273" t="str">
        <f ca="1">IF(D399="","",IF(J399="リード付け",N399,IF(J399="巻返しリード付け",N399,IF(J399="巻足し",N399*P399+OFFSET(N399,1,0)*OFFSET(P399,1,0),VLOOKUP(D399,契約台帳!$A$3:$P$4986,16,FALSE)))))</f>
        <v/>
      </c>
      <c r="U399" s="40"/>
      <c r="V399" s="274" t="str">
        <f ca="1">IF(D399="","",IF(OFFSET(D399,-2,0)=D399,"",VLOOKUP(D399,契約台帳!$A$3:$R$4986,18,FALSE)))</f>
        <v/>
      </c>
      <c r="W399" s="269" t="str">
        <f>IF(D399="","",IF(T399="","",IF(OR(J399="巻足し",J399="巻返しリード付け"),"",IF(J399="巻返し",VLOOKUP(F399&amp;K399&amp;M399,製品マスタ!$M$5:$AD$5002,18,FALSE),IF(OR(J399="リード付け",J399="巻返しリード付け"),"原反コア",IF(J399="スリット",VLOOKUP(F399&amp;K399&amp;R399,製品マスタ!$N$5:$AD$5002,17,FALSE),""))))))</f>
        <v/>
      </c>
      <c r="X399" s="269" t="str">
        <f>IF(D399="","",IF(T399="","",IF(J399="巻足し","",IF(J399="巻返し",VLOOKUP(F399&amp;K399&amp;M399,製品マスタ!$M$5:$AE$5002,19,FALSE),IF(OR(J399="リード付け",J399="巻返しリード付け"),"",IF(J399="スリット",VLOOKUP(F399&amp;K399&amp;R399,製品マスタ!$N$5:$AE$5002,18,FALSE),""))))))</f>
        <v/>
      </c>
      <c r="Y399" s="275" t="str">
        <f>IF(D399="","",IF(T399="","",VLOOKUP(D399,契約台帳!$A$3:$Q$4986,17,FALSE)))</f>
        <v/>
      </c>
      <c r="Z399" s="269" t="str">
        <f>IF(D399="","",IF(T399="","",VLOOKUP(D399,契約台帳!$A$3:$E$4986,5,FALSE)))</f>
        <v/>
      </c>
      <c r="AA399" s="57"/>
      <c r="AB399" s="207" t="str">
        <f>IFERROR((VLOOKUP(F399&amp;K399&amp;M399,製品マスタ!$M$5:$AM$5002,27,FALSE)),"")</f>
        <v/>
      </c>
      <c r="AC399" s="33"/>
      <c r="AD399" s="189"/>
      <c r="AE399" s="54"/>
      <c r="AF399" s="55"/>
      <c r="AG399" s="43"/>
      <c r="AH399" s="47"/>
      <c r="AI399" s="30"/>
      <c r="AJ399" s="30"/>
      <c r="AK399" s="30"/>
      <c r="AL399" s="30"/>
      <c r="AM399" s="13"/>
      <c r="AN399" s="13"/>
      <c r="AO399" s="13"/>
      <c r="AP399" s="13"/>
      <c r="AQ399" s="13"/>
      <c r="AR399" s="14"/>
      <c r="AS399" s="15"/>
    </row>
    <row r="400" spans="1:45" s="17" customFormat="1" ht="30.95" hidden="1" customHeight="1" x14ac:dyDescent="0.2">
      <c r="A400" s="37"/>
      <c r="B400" s="38"/>
      <c r="C400" s="45"/>
      <c r="D400" s="31"/>
      <c r="E400" s="31"/>
      <c r="F400" s="268" t="str">
        <f>IF(D400="","",VLOOKUP(D400,契約台帳!$A$3:$K$4986,6,FALSE)&amp;VLOOKUP(D400,契約台帳!$A$3:$K$4986,7,FALSE)&amp;VLOOKUP(D400,契約台帳!$A$3:$K$4986,8,FALSE)&amp;VLOOKUP(D400,契約台帳!$A$3:$K$4986,9,FALSE)&amp;VLOOKUP(D400,契約台帳!$A$3:$K$4986,11,FALSE))</f>
        <v/>
      </c>
      <c r="G400" s="269" t="str">
        <f>IF(D400="","",VLOOKUP(F400,製品マスタ!$G$5:$H$5002,2,FALSE))</f>
        <v/>
      </c>
      <c r="H400" s="269" t="str">
        <f>IF(D400="","",VLOOKUP(F400,製品マスタ!$G$5:$K$5002,5,FALSE))</f>
        <v/>
      </c>
      <c r="I400" s="270" t="str">
        <f>IF(D400="","",VLOOKUP(F400,製品マスタ!$G$5:$L$5002,6,FALSE))</f>
        <v/>
      </c>
      <c r="J400" s="210"/>
      <c r="K400" s="270" t="str">
        <f>IF(D400="","",VLOOKUP(D400,契約台帳!$A$3:$L$4986,12,FALSE))</f>
        <v/>
      </c>
      <c r="L400" s="270" t="str">
        <f>IF(D400="","",INDEX(製品マスタ!$Q$5:$Q$5002,MATCH('S4'!F400&amp;'S4'!K400,製品マスタ!$AO$5:$AO$5002,0)))</f>
        <v/>
      </c>
      <c r="M400" s="39"/>
      <c r="N400" s="39"/>
      <c r="O400" s="156"/>
      <c r="P400" s="47"/>
      <c r="Q400" s="57"/>
      <c r="R400" s="271" t="str">
        <f ca="1">IF(D400="","",IF(OFFSET(D400,-1,0)&lt;&gt;"","",IF(OR(J400="リード付け",J400="巻足し",J400="巻返しリード付け"),M400,VLOOKUP(D400,契約台帳!$A$3:$N$4986,14,FALSE))))</f>
        <v/>
      </c>
      <c r="S400" s="272" t="str">
        <f ca="1">IF(D400="","",IF(OFFSET(D400,-1,0)&lt;&gt;"","",IF(OR(J400="リード付け",J400="巻足し",J400="巻返しリード付け"),M400,VLOOKUP(D400,契約台帳!$A$3:$O$4986,15,FALSE))))</f>
        <v/>
      </c>
      <c r="T400" s="273" t="str">
        <f ca="1">IF(D400="","",IF(J400="リード付け",N400,IF(J400="巻返しリード付け",N400,IF(J400="巻足し",N400*P400+OFFSET(N400,1,0)*OFFSET(P400,1,0),VLOOKUP(D400,契約台帳!$A$3:$P$4986,16,FALSE)))))</f>
        <v/>
      </c>
      <c r="U400" s="40"/>
      <c r="V400" s="274" t="str">
        <f ca="1">IF(D400="","",IF(OFFSET(D400,-2,0)=D400,"",VLOOKUP(D400,契約台帳!$A$3:$R$4986,18,FALSE)))</f>
        <v/>
      </c>
      <c r="W400" s="269" t="str">
        <f>IF(D400="","",IF(T400="","",IF(OR(J400="巻足し",J400="巻返しリード付け"),"",IF(J400="巻返し",VLOOKUP(F400&amp;K400&amp;M400,製品マスタ!$M$5:$AD$5002,18,FALSE),IF(OR(J400="リード付け",J400="巻返しリード付け"),"原反コア",IF(J400="スリット",VLOOKUP(F400&amp;K400&amp;R400,製品マスタ!$N$5:$AD$5002,17,FALSE),""))))))</f>
        <v/>
      </c>
      <c r="X400" s="269" t="str">
        <f>IF(D400="","",IF(T400="","",IF(J400="巻足し","",IF(J400="巻返し",VLOOKUP(F400&amp;K400&amp;M400,製品マスタ!$M$5:$AE$5002,19,FALSE),IF(OR(J400="リード付け",J400="巻返しリード付け"),"",IF(J400="スリット",VLOOKUP(F400&amp;K400&amp;R400,製品マスタ!$N$5:$AE$5002,18,FALSE),""))))))</f>
        <v/>
      </c>
      <c r="Y400" s="275" t="str">
        <f>IF(D400="","",IF(T400="","",VLOOKUP(D400,契約台帳!$A$3:$Q$4986,17,FALSE)))</f>
        <v/>
      </c>
      <c r="Z400" s="269" t="str">
        <f>IF(D400="","",IF(T400="","",VLOOKUP(D400,契約台帳!$A$3:$E$4986,5,FALSE)))</f>
        <v/>
      </c>
      <c r="AA400" s="57"/>
      <c r="AB400" s="207" t="str">
        <f>IFERROR((VLOOKUP(F400&amp;K400&amp;M400,製品マスタ!$M$5:$AM$5002,27,FALSE)),"")</f>
        <v/>
      </c>
      <c r="AC400" s="33"/>
      <c r="AD400" s="189"/>
      <c r="AE400" s="54"/>
      <c r="AF400" s="55"/>
      <c r="AG400" s="43"/>
      <c r="AH400" s="47"/>
      <c r="AI400" s="30"/>
      <c r="AJ400" s="30"/>
      <c r="AK400" s="30"/>
      <c r="AL400" s="30"/>
      <c r="AM400" s="13"/>
      <c r="AN400" s="13"/>
      <c r="AO400" s="13"/>
      <c r="AP400" s="13"/>
      <c r="AQ400" s="13"/>
      <c r="AR400" s="14"/>
      <c r="AS400" s="15"/>
    </row>
    <row r="401" spans="1:45" s="17" customFormat="1" ht="30.95" hidden="1" customHeight="1" x14ac:dyDescent="0.2">
      <c r="A401" s="37" t="s">
        <v>976</v>
      </c>
      <c r="B401" s="38" t="s">
        <v>963</v>
      </c>
      <c r="C401" s="45"/>
      <c r="D401" s="31"/>
      <c r="E401" s="31"/>
      <c r="F401" s="268" t="str">
        <f>IF(D401="","",VLOOKUP(D401,契約台帳!$A$3:$K$4986,6,FALSE)&amp;VLOOKUP(D401,契約台帳!$A$3:$K$4986,7,FALSE)&amp;VLOOKUP(D401,契約台帳!$A$3:$K$4986,8,FALSE)&amp;VLOOKUP(D401,契約台帳!$A$3:$K$4986,9,FALSE)&amp;VLOOKUP(D401,契約台帳!$A$3:$K$4986,11,FALSE))</f>
        <v/>
      </c>
      <c r="G401" s="269" t="str">
        <f>IF(D401="","",VLOOKUP(F401,製品マスタ!$G$5:$H$5002,2,FALSE))</f>
        <v/>
      </c>
      <c r="H401" s="269" t="str">
        <f>IF(D401="","",VLOOKUP(F401,製品マスタ!$G$5:$K$5002,5,FALSE))</f>
        <v/>
      </c>
      <c r="I401" s="270" t="str">
        <f>IF(D401="","",VLOOKUP(F401,製品マスタ!$G$5:$L$5002,6,FALSE))</f>
        <v/>
      </c>
      <c r="J401" s="210" t="s">
        <v>1002</v>
      </c>
      <c r="K401" s="270" t="str">
        <f>IF(D401="","",VLOOKUP(D401,契約台帳!$A$3:$L$4986,12,FALSE))</f>
        <v/>
      </c>
      <c r="L401" s="270" t="str">
        <f>IF(D401="","",INDEX(製品マスタ!$Q$5:$Q$5002,MATCH('S4'!F401&amp;'S4'!K401,製品マスタ!$AO$5:$AO$5002,0)))</f>
        <v/>
      </c>
      <c r="M401" s="39"/>
      <c r="N401" s="39"/>
      <c r="O401" s="156"/>
      <c r="P401" s="47"/>
      <c r="Q401" s="57"/>
      <c r="R401" s="271" t="str">
        <f ca="1">IF(D401="","",IF(OFFSET(D401,-1,0)&lt;&gt;"","",IF(OR(J401="リード付け",J401="巻足し",J401="巻返しリード付け"),M401,VLOOKUP(D401,契約台帳!$A$3:$N$4986,14,FALSE))))</f>
        <v/>
      </c>
      <c r="S401" s="272" t="str">
        <f ca="1">IF(D401="","",IF(OFFSET(D401,-1,0)&lt;&gt;"","",IF(OR(J401="リード付け",J401="巻足し",J401="巻返しリード付け"),M401,VLOOKUP(D401,契約台帳!$A$3:$O$4986,15,FALSE))))</f>
        <v/>
      </c>
      <c r="T401" s="273" t="str">
        <f ca="1">IF(D401="","",IF(J401="リード付け",N401,IF(J401="巻返しリード付け",N401,IF(J401="巻足し",N401*P401+OFFSET(N401,1,0)*OFFSET(P401,1,0),VLOOKUP(D401,契約台帳!$A$3:$P$4986,16,FALSE)))))</f>
        <v/>
      </c>
      <c r="U401" s="40"/>
      <c r="V401" s="274" t="str">
        <f ca="1">IF(D401="","",IF(OFFSET(D401,-2,0)=D401,"",VLOOKUP(D401,契約台帳!$A$3:$R$4986,18,FALSE)))</f>
        <v/>
      </c>
      <c r="W401" s="269" t="str">
        <f>IF(D401="","",IF(T401="","",IF(OR(J401="巻足し",J401="巻返しリード付け"),"",IF(J401="巻返し",VLOOKUP(F401&amp;K401&amp;M401,製品マスタ!$M$5:$AD$5002,18,FALSE),IF(OR(J401="リード付け",J401="巻返しリード付け"),"原反コア",IF(J401="スリット",VLOOKUP(F401&amp;K401&amp;R401,製品マスタ!$N$5:$AD$5002,17,FALSE),""))))))</f>
        <v/>
      </c>
      <c r="X401" s="269" t="str">
        <f>IF(D401="","",IF(T401="","",IF(J401="巻足し","",IF(J401="巻返し",VLOOKUP(F401&amp;K401&amp;M401,製品マスタ!$M$5:$AE$5002,19,FALSE),IF(OR(J401="リード付け",J401="巻返しリード付け"),"",IF(J401="スリット",VLOOKUP(F401&amp;K401&amp;R401,製品マスタ!$N$5:$AE$5002,18,FALSE),""))))))</f>
        <v/>
      </c>
      <c r="Y401" s="275" t="str">
        <f>IF(D401="","",IF(T401="","",VLOOKUP(D401,契約台帳!$A$3:$Q$4986,17,FALSE)))</f>
        <v/>
      </c>
      <c r="Z401" s="269" t="str">
        <f>IF(D401="","",IF(T401="","",VLOOKUP(D401,契約台帳!$A$3:$E$4986,5,FALSE)))</f>
        <v/>
      </c>
      <c r="AA401" s="57"/>
      <c r="AB401" s="207" t="str">
        <f>IFERROR((VLOOKUP(F401&amp;K401&amp;M401,製品マスタ!$M$5:$AM$5002,27,FALSE)),"")</f>
        <v/>
      </c>
      <c r="AC401" s="33"/>
      <c r="AD401" s="189"/>
      <c r="AE401" s="54"/>
      <c r="AF401" s="55"/>
      <c r="AG401" s="43"/>
      <c r="AH401" s="47"/>
      <c r="AI401" s="30"/>
      <c r="AJ401" s="30"/>
      <c r="AK401" s="30"/>
      <c r="AL401" s="30"/>
      <c r="AM401" s="13"/>
      <c r="AN401" s="13"/>
      <c r="AO401" s="13"/>
      <c r="AP401" s="13"/>
      <c r="AQ401" s="13"/>
      <c r="AR401" s="14"/>
      <c r="AS401" s="15"/>
    </row>
    <row r="402" spans="1:45" s="17" customFormat="1" ht="30.95" hidden="1" customHeight="1" x14ac:dyDescent="0.2">
      <c r="A402" s="37"/>
      <c r="B402" s="38"/>
      <c r="C402" s="45"/>
      <c r="D402" s="31"/>
      <c r="E402" s="31"/>
      <c r="F402" s="268" t="str">
        <f>IF(D402="","",VLOOKUP(D402,契約台帳!$A$3:$K$4986,6,FALSE)&amp;VLOOKUP(D402,契約台帳!$A$3:$K$4986,7,FALSE)&amp;VLOOKUP(D402,契約台帳!$A$3:$K$4986,8,FALSE)&amp;VLOOKUP(D402,契約台帳!$A$3:$K$4986,9,FALSE)&amp;VLOOKUP(D402,契約台帳!$A$3:$K$4986,11,FALSE))</f>
        <v/>
      </c>
      <c r="G402" s="269" t="str">
        <f>IF(D402="","",VLOOKUP(F402,製品マスタ!$G$5:$H$5002,2,FALSE))</f>
        <v/>
      </c>
      <c r="H402" s="269" t="str">
        <f>IF(D402="","",VLOOKUP(F402,製品マスタ!$G$5:$K$5002,5,FALSE))</f>
        <v/>
      </c>
      <c r="I402" s="270" t="str">
        <f>IF(D402="","",VLOOKUP(F402,製品マスタ!$G$5:$L$5002,6,FALSE))</f>
        <v/>
      </c>
      <c r="J402" s="210"/>
      <c r="K402" s="270" t="str">
        <f>IF(D402="","",VLOOKUP(D402,契約台帳!$A$3:$L$4986,12,FALSE))</f>
        <v/>
      </c>
      <c r="L402" s="270" t="str">
        <f>IF(D402="","",INDEX(製品マスタ!$Q$5:$Q$5002,MATCH('S4'!F402&amp;'S4'!K402,製品マスタ!$AO$5:$AO$5002,0)))</f>
        <v/>
      </c>
      <c r="M402" s="39"/>
      <c r="N402" s="39"/>
      <c r="O402" s="156"/>
      <c r="P402" s="47"/>
      <c r="Q402" s="57"/>
      <c r="R402" s="271" t="str">
        <f ca="1">IF(D402="","",IF(OFFSET(D402,-1,0)&lt;&gt;"","",IF(OR(J402="リード付け",J402="巻足し",J402="巻返しリード付け"),M402,VLOOKUP(D402,契約台帳!$A$3:$N$4986,14,FALSE))))</f>
        <v/>
      </c>
      <c r="S402" s="272" t="str">
        <f ca="1">IF(D402="","",IF(OFFSET(D402,-1,0)&lt;&gt;"","",IF(OR(J402="リード付け",J402="巻足し",J402="巻返しリード付け"),M402,VLOOKUP(D402,契約台帳!$A$3:$O$4986,15,FALSE))))</f>
        <v/>
      </c>
      <c r="T402" s="273" t="str">
        <f ca="1">IF(D402="","",IF(J402="リード付け",N402,IF(J402="巻返しリード付け",N402,IF(J402="巻足し",N402*P402+OFFSET(N402,1,0)*OFFSET(P402,1,0),VLOOKUP(D402,契約台帳!$A$3:$P$4986,16,FALSE)))))</f>
        <v/>
      </c>
      <c r="U402" s="40"/>
      <c r="V402" s="274" t="str">
        <f ca="1">IF(D402="","",IF(OFFSET(D402,-2,0)=D402,"",VLOOKUP(D402,契約台帳!$A$3:$R$4986,18,FALSE)))</f>
        <v/>
      </c>
      <c r="W402" s="269" t="str">
        <f>IF(D402="","",IF(T402="","",IF(OR(J402="巻足し",J402="巻返しリード付け"),"",IF(J402="巻返し",VLOOKUP(F402&amp;K402&amp;M402,製品マスタ!$M$5:$AD$5002,18,FALSE),IF(OR(J402="リード付け",J402="巻返しリード付け"),"原反コア",IF(J402="スリット",VLOOKUP(F402&amp;K402&amp;R402,製品マスタ!$N$5:$AD$5002,17,FALSE),""))))))</f>
        <v/>
      </c>
      <c r="X402" s="269" t="str">
        <f>IF(D402="","",IF(T402="","",IF(J402="巻足し","",IF(J402="巻返し",VLOOKUP(F402&amp;K402&amp;M402,製品マスタ!$M$5:$AE$5002,19,FALSE),IF(OR(J402="リード付け",J402="巻返しリード付け"),"",IF(J402="スリット",VLOOKUP(F402&amp;K402&amp;R402,製品マスタ!$N$5:$AE$5002,18,FALSE),""))))))</f>
        <v/>
      </c>
      <c r="Y402" s="275" t="str">
        <f>IF(D402="","",IF(T402="","",VLOOKUP(D402,契約台帳!$A$3:$Q$4986,17,FALSE)))</f>
        <v/>
      </c>
      <c r="Z402" s="269" t="str">
        <f>IF(D402="","",IF(T402="","",VLOOKUP(D402,契約台帳!$A$3:$E$4986,5,FALSE)))</f>
        <v/>
      </c>
      <c r="AA402" s="57"/>
      <c r="AB402" s="207" t="str">
        <f>IFERROR((VLOOKUP(F402&amp;K402&amp;M402,製品マスタ!$M$5:$AM$5002,27,FALSE)),"")</f>
        <v/>
      </c>
      <c r="AC402" s="33"/>
      <c r="AD402" s="189"/>
      <c r="AE402" s="54"/>
      <c r="AF402" s="55"/>
      <c r="AG402" s="43"/>
      <c r="AH402" s="47"/>
      <c r="AI402" s="30"/>
      <c r="AJ402" s="30"/>
      <c r="AK402" s="30"/>
      <c r="AL402" s="30"/>
      <c r="AM402" s="13"/>
      <c r="AN402" s="13"/>
      <c r="AO402" s="13"/>
      <c r="AP402" s="13"/>
      <c r="AQ402" s="13"/>
      <c r="AR402" s="14"/>
      <c r="AS402" s="15"/>
    </row>
    <row r="403" spans="1:45" s="17" customFormat="1" ht="30.95" hidden="1" customHeight="1" x14ac:dyDescent="0.2">
      <c r="A403" s="37" t="s">
        <v>977</v>
      </c>
      <c r="B403" s="38" t="s">
        <v>956</v>
      </c>
      <c r="C403" s="45"/>
      <c r="D403" s="31"/>
      <c r="E403" s="31"/>
      <c r="F403" s="268" t="str">
        <f>IF(D403="","",VLOOKUP(D403,契約台帳!$A$3:$K$4986,6,FALSE)&amp;VLOOKUP(D403,契約台帳!$A$3:$K$4986,7,FALSE)&amp;VLOOKUP(D403,契約台帳!$A$3:$K$4986,8,FALSE)&amp;VLOOKUP(D403,契約台帳!$A$3:$K$4986,9,FALSE)&amp;VLOOKUP(D403,契約台帳!$A$3:$K$4986,11,FALSE))</f>
        <v/>
      </c>
      <c r="G403" s="269" t="str">
        <f>IF(D403="","",VLOOKUP(F403,製品マスタ!$G$5:$H$5002,2,FALSE))</f>
        <v/>
      </c>
      <c r="H403" s="269" t="str">
        <f>IF(D403="","",VLOOKUP(F403,製品マスタ!$G$5:$K$5002,5,FALSE))</f>
        <v/>
      </c>
      <c r="I403" s="270" t="str">
        <f>IF(D403="","",VLOOKUP(F403,製品マスタ!$G$5:$L$5002,6,FALSE))</f>
        <v/>
      </c>
      <c r="J403" s="210" t="s">
        <v>1002</v>
      </c>
      <c r="K403" s="270" t="str">
        <f>IF(D403="","",VLOOKUP(D403,契約台帳!$A$3:$L$4986,12,FALSE))</f>
        <v/>
      </c>
      <c r="L403" s="270" t="str">
        <f>IF(D403="","",INDEX(製品マスタ!$Q$5:$Q$5002,MATCH('S4'!F403&amp;'S4'!K403,製品マスタ!$AO$5:$AO$5002,0)))</f>
        <v/>
      </c>
      <c r="M403" s="39"/>
      <c r="N403" s="39"/>
      <c r="O403" s="156"/>
      <c r="P403" s="47"/>
      <c r="Q403" s="57"/>
      <c r="R403" s="271" t="str">
        <f ca="1">IF(D403="","",IF(OFFSET(D403,-1,0)&lt;&gt;"","",IF(OR(J403="リード付け",J403="巻足し",J403="巻返しリード付け"),M403,VLOOKUP(D403,契約台帳!$A$3:$N$4986,14,FALSE))))</f>
        <v/>
      </c>
      <c r="S403" s="272" t="str">
        <f ca="1">IF(D403="","",IF(OFFSET(D403,-1,0)&lt;&gt;"","",IF(OR(J403="リード付け",J403="巻足し",J403="巻返しリード付け"),M403,VLOOKUP(D403,契約台帳!$A$3:$O$4986,15,FALSE))))</f>
        <v/>
      </c>
      <c r="T403" s="273" t="str">
        <f ca="1">IF(D403="","",IF(J403="リード付け",N403,IF(J403="巻返しリード付け",N403,IF(J403="巻足し",N403*P403+OFFSET(N403,1,0)*OFFSET(P403,1,0),VLOOKUP(D403,契約台帳!$A$3:$P$4986,16,FALSE)))))</f>
        <v/>
      </c>
      <c r="U403" s="40"/>
      <c r="V403" s="274" t="str">
        <f ca="1">IF(D403="","",IF(OFFSET(D403,-2,0)=D403,"",VLOOKUP(D403,契約台帳!$A$3:$R$4986,18,FALSE)))</f>
        <v/>
      </c>
      <c r="W403" s="269" t="str">
        <f>IF(D403="","",IF(T403="","",IF(OR(J403="巻足し",J403="巻返しリード付け"),"",IF(J403="巻返し",VLOOKUP(F403&amp;K403&amp;M403,製品マスタ!$M$5:$AD$5002,18,FALSE),IF(OR(J403="リード付け",J403="巻返しリード付け"),"原反コア",IF(J403="スリット",VLOOKUP(F403&amp;K403&amp;R403,製品マスタ!$N$5:$AD$5002,17,FALSE),""))))))</f>
        <v/>
      </c>
      <c r="X403" s="269" t="str">
        <f>IF(D403="","",IF(T403="","",IF(J403="巻足し","",IF(J403="巻返し",VLOOKUP(F403&amp;K403&amp;M403,製品マスタ!$M$5:$AE$5002,19,FALSE),IF(OR(J403="リード付け",J403="巻返しリード付け"),"",IF(J403="スリット",VLOOKUP(F403&amp;K403&amp;R403,製品マスタ!$N$5:$AE$5002,18,FALSE),""))))))</f>
        <v/>
      </c>
      <c r="Y403" s="275" t="str">
        <f>IF(D403="","",IF(T403="","",VLOOKUP(D403,契約台帳!$A$3:$Q$4986,17,FALSE)))</f>
        <v/>
      </c>
      <c r="Z403" s="269" t="str">
        <f>IF(D403="","",IF(T403="","",VLOOKUP(D403,契約台帳!$A$3:$E$4986,5,FALSE)))</f>
        <v/>
      </c>
      <c r="AA403" s="57"/>
      <c r="AB403" s="207" t="str">
        <f>IFERROR((VLOOKUP(F403&amp;K403&amp;M403,製品マスタ!$M$5:$AM$5002,27,FALSE)),"")</f>
        <v/>
      </c>
      <c r="AC403" s="33"/>
      <c r="AD403" s="189"/>
      <c r="AE403" s="54"/>
      <c r="AF403" s="55"/>
      <c r="AG403" s="43"/>
      <c r="AH403" s="47"/>
      <c r="AI403" s="30"/>
      <c r="AJ403" s="30"/>
      <c r="AK403" s="30"/>
      <c r="AL403" s="30"/>
      <c r="AM403" s="13"/>
      <c r="AN403" s="13"/>
      <c r="AO403" s="13"/>
      <c r="AP403" s="13"/>
      <c r="AQ403" s="13"/>
      <c r="AR403" s="14"/>
      <c r="AS403" s="15"/>
    </row>
    <row r="404" spans="1:45" s="17" customFormat="1" ht="30.95" hidden="1" customHeight="1" x14ac:dyDescent="0.2">
      <c r="A404" s="37"/>
      <c r="B404" s="38"/>
      <c r="C404" s="45"/>
      <c r="D404" s="31"/>
      <c r="E404" s="31"/>
      <c r="F404" s="268" t="str">
        <f>IF(D404="","",VLOOKUP(D404,契約台帳!$A$3:$K$4986,6,FALSE)&amp;VLOOKUP(D404,契約台帳!$A$3:$K$4986,7,FALSE)&amp;VLOOKUP(D404,契約台帳!$A$3:$K$4986,8,FALSE)&amp;VLOOKUP(D404,契約台帳!$A$3:$K$4986,9,FALSE)&amp;VLOOKUP(D404,契約台帳!$A$3:$K$4986,11,FALSE))</f>
        <v/>
      </c>
      <c r="G404" s="269" t="str">
        <f>IF(D404="","",VLOOKUP(F404,製品マスタ!$G$5:$H$5002,2,FALSE))</f>
        <v/>
      </c>
      <c r="H404" s="269" t="str">
        <f>IF(D404="","",VLOOKUP(F404,製品マスタ!$G$5:$K$5002,5,FALSE))</f>
        <v/>
      </c>
      <c r="I404" s="270" t="str">
        <f>IF(D404="","",VLOOKUP(F404,製品マスタ!$G$5:$L$5002,6,FALSE))</f>
        <v/>
      </c>
      <c r="J404" s="210"/>
      <c r="K404" s="270" t="str">
        <f>IF(D404="","",VLOOKUP(D404,契約台帳!$A$3:$L$4986,12,FALSE))</f>
        <v/>
      </c>
      <c r="L404" s="270" t="str">
        <f>IF(D404="","",INDEX(製品マスタ!$Q$5:$Q$5002,MATCH('S4'!F404&amp;'S4'!K404,製品マスタ!$AO$5:$AO$5002,0)))</f>
        <v/>
      </c>
      <c r="M404" s="39"/>
      <c r="N404" s="39"/>
      <c r="O404" s="156"/>
      <c r="P404" s="47"/>
      <c r="Q404" s="57"/>
      <c r="R404" s="271" t="str">
        <f ca="1">IF(D404="","",IF(OFFSET(D404,-1,0)&lt;&gt;"","",IF(OR(J404="リード付け",J404="巻足し",J404="巻返しリード付け"),M404,VLOOKUP(D404,契約台帳!$A$3:$N$4986,14,FALSE))))</f>
        <v/>
      </c>
      <c r="S404" s="272" t="str">
        <f ca="1">IF(D404="","",IF(OFFSET(D404,-1,0)&lt;&gt;"","",IF(OR(J404="リード付け",J404="巻足し",J404="巻返しリード付け"),M404,VLOOKUP(D404,契約台帳!$A$3:$O$4986,15,FALSE))))</f>
        <v/>
      </c>
      <c r="T404" s="273" t="str">
        <f ca="1">IF(D404="","",IF(J404="リード付け",N404,IF(J404="巻返しリード付け",N404,IF(J404="巻足し",N404*P404+OFFSET(N404,1,0)*OFFSET(P404,1,0),VLOOKUP(D404,契約台帳!$A$3:$P$4986,16,FALSE)))))</f>
        <v/>
      </c>
      <c r="U404" s="40"/>
      <c r="V404" s="274" t="str">
        <f ca="1">IF(D404="","",IF(OFFSET(D404,-2,0)=D404,"",VLOOKUP(D404,契約台帳!$A$3:$R$4986,18,FALSE)))</f>
        <v/>
      </c>
      <c r="W404" s="269" t="str">
        <f>IF(D404="","",IF(T404="","",IF(OR(J404="巻足し",J404="巻返しリード付け"),"",IF(J404="巻返し",VLOOKUP(F404&amp;K404&amp;M404,製品マスタ!$M$5:$AD$5002,18,FALSE),IF(OR(J404="リード付け",J404="巻返しリード付け"),"原反コア",IF(J404="スリット",VLOOKUP(F404&amp;K404&amp;R404,製品マスタ!$N$5:$AD$5002,17,FALSE),""))))))</f>
        <v/>
      </c>
      <c r="X404" s="269" t="str">
        <f>IF(D404="","",IF(T404="","",IF(J404="巻足し","",IF(J404="巻返し",VLOOKUP(F404&amp;K404&amp;M404,製品マスタ!$M$5:$AE$5002,19,FALSE),IF(OR(J404="リード付け",J404="巻返しリード付け"),"",IF(J404="スリット",VLOOKUP(F404&amp;K404&amp;R404,製品マスタ!$N$5:$AE$5002,18,FALSE),""))))))</f>
        <v/>
      </c>
      <c r="Y404" s="275" t="str">
        <f>IF(D404="","",IF(T404="","",VLOOKUP(D404,契約台帳!$A$3:$Q$4986,17,FALSE)))</f>
        <v/>
      </c>
      <c r="Z404" s="269" t="str">
        <f>IF(D404="","",IF(T404="","",VLOOKUP(D404,契約台帳!$A$3:$E$4986,5,FALSE)))</f>
        <v/>
      </c>
      <c r="AA404" s="57"/>
      <c r="AB404" s="207" t="str">
        <f>IFERROR((VLOOKUP(F404&amp;K404&amp;M404,製品マスタ!$M$5:$AM$5002,27,FALSE)),"")</f>
        <v/>
      </c>
      <c r="AC404" s="33"/>
      <c r="AD404" s="189"/>
      <c r="AE404" s="54"/>
      <c r="AF404" s="55"/>
      <c r="AG404" s="43"/>
      <c r="AH404" s="47"/>
      <c r="AI404" s="30"/>
      <c r="AJ404" s="30"/>
      <c r="AK404" s="30"/>
      <c r="AL404" s="30"/>
      <c r="AM404" s="13"/>
      <c r="AN404" s="13"/>
      <c r="AO404" s="13"/>
      <c r="AP404" s="13"/>
      <c r="AQ404" s="13"/>
      <c r="AR404" s="14"/>
      <c r="AS404" s="15"/>
    </row>
    <row r="405" spans="1:45" s="17" customFormat="1" ht="30.95" hidden="1" customHeight="1" x14ac:dyDescent="0.2">
      <c r="A405" s="37" t="s">
        <v>978</v>
      </c>
      <c r="B405" s="38" t="s">
        <v>957</v>
      </c>
      <c r="C405" s="45"/>
      <c r="D405" s="31"/>
      <c r="E405" s="31"/>
      <c r="F405" s="268" t="str">
        <f>IF(D405="","",VLOOKUP(D405,契約台帳!$A$3:$K$4986,6,FALSE)&amp;VLOOKUP(D405,契約台帳!$A$3:$K$4986,7,FALSE)&amp;VLOOKUP(D405,契約台帳!$A$3:$K$4986,8,FALSE)&amp;VLOOKUP(D405,契約台帳!$A$3:$K$4986,9,FALSE)&amp;VLOOKUP(D405,契約台帳!$A$3:$K$4986,11,FALSE))</f>
        <v/>
      </c>
      <c r="G405" s="269" t="str">
        <f>IF(D405="","",VLOOKUP(F405,製品マスタ!$G$5:$H$5002,2,FALSE))</f>
        <v/>
      </c>
      <c r="H405" s="269" t="str">
        <f>IF(D405="","",VLOOKUP(F405,製品マスタ!$G$5:$K$5002,5,FALSE))</f>
        <v/>
      </c>
      <c r="I405" s="270" t="str">
        <f>IF(D405="","",VLOOKUP(F405,製品マスタ!$G$5:$L$5002,6,FALSE))</f>
        <v/>
      </c>
      <c r="J405" s="210" t="s">
        <v>1003</v>
      </c>
      <c r="K405" s="270" t="str">
        <f>IF(D405="","",VLOOKUP(D405,契約台帳!$A$3:$L$4986,12,FALSE))</f>
        <v/>
      </c>
      <c r="L405" s="270" t="str">
        <f>IF(D405="","",INDEX(製品マスタ!$Q$5:$Q$5002,MATCH('S4'!F405&amp;'S4'!K405,製品マスタ!$AO$5:$AO$5002,0)))</f>
        <v/>
      </c>
      <c r="M405" s="39"/>
      <c r="N405" s="39"/>
      <c r="O405" s="156"/>
      <c r="P405" s="47"/>
      <c r="Q405" s="57"/>
      <c r="R405" s="271" t="str">
        <f ca="1">IF(D405="","",IF(OFFSET(D405,-1,0)&lt;&gt;"","",IF(OR(J405="リード付け",J405="巻足し",J405="巻返しリード付け"),M405,VLOOKUP(D405,契約台帳!$A$3:$N$4986,14,FALSE))))</f>
        <v/>
      </c>
      <c r="S405" s="272" t="str">
        <f ca="1">IF(D405="","",IF(OFFSET(D405,-1,0)&lt;&gt;"","",IF(OR(J405="リード付け",J405="巻足し",J405="巻返しリード付け"),M405,VLOOKUP(D405,契約台帳!$A$3:$O$4986,15,FALSE))))</f>
        <v/>
      </c>
      <c r="T405" s="273" t="str">
        <f ca="1">IF(D405="","",IF(J405="リード付け",N405,IF(J405="巻返しリード付け",N405,IF(J405="巻足し",N405*P405+OFFSET(N405,1,0)*OFFSET(P405,1,0),VLOOKUP(D405,契約台帳!$A$3:$P$4986,16,FALSE)))))</f>
        <v/>
      </c>
      <c r="U405" s="40"/>
      <c r="V405" s="274" t="str">
        <f ca="1">IF(D405="","",IF(OFFSET(D405,-2,0)=D405,"",VLOOKUP(D405,契約台帳!$A$3:$R$4986,18,FALSE)))</f>
        <v/>
      </c>
      <c r="W405" s="269" t="str">
        <f>IF(D405="","",IF(T405="","",IF(OR(J405="巻足し",J405="巻返しリード付け"),"",IF(J405="巻返し",VLOOKUP(F405&amp;K405&amp;M405,製品マスタ!$M$5:$AD$5002,18,FALSE),IF(OR(J405="リード付け",J405="巻返しリード付け"),"原反コア",IF(J405="スリット",VLOOKUP(F405&amp;K405&amp;R405,製品マスタ!$N$5:$AD$5002,17,FALSE),""))))))</f>
        <v/>
      </c>
      <c r="X405" s="269" t="str">
        <f>IF(D405="","",IF(T405="","",IF(J405="巻足し","",IF(J405="巻返し",VLOOKUP(F405&amp;K405&amp;M405,製品マスタ!$M$5:$AE$5002,19,FALSE),IF(OR(J405="リード付け",J405="巻返しリード付け"),"",IF(J405="スリット",VLOOKUP(F405&amp;K405&amp;R405,製品マスタ!$N$5:$AE$5002,18,FALSE),""))))))</f>
        <v/>
      </c>
      <c r="Y405" s="275" t="str">
        <f>IF(D405="","",IF(T405="","",VLOOKUP(D405,契約台帳!$A$3:$Q$4986,17,FALSE)))</f>
        <v/>
      </c>
      <c r="Z405" s="269" t="str">
        <f>IF(D405="","",IF(T405="","",VLOOKUP(D405,契約台帳!$A$3:$E$4986,5,FALSE)))</f>
        <v/>
      </c>
      <c r="AA405" s="57"/>
      <c r="AB405" s="207" t="str">
        <f>IFERROR((VLOOKUP(F405&amp;K405&amp;M405,製品マスタ!$M$5:$AM$5002,27,FALSE)),"")</f>
        <v/>
      </c>
      <c r="AC405" s="33"/>
      <c r="AD405" s="189"/>
      <c r="AE405" s="54"/>
      <c r="AF405" s="55"/>
      <c r="AG405" s="43"/>
      <c r="AH405" s="47"/>
      <c r="AI405" s="30"/>
      <c r="AJ405" s="30"/>
      <c r="AK405" s="30"/>
      <c r="AL405" s="30"/>
      <c r="AM405" s="13"/>
      <c r="AN405" s="13"/>
      <c r="AO405" s="13"/>
      <c r="AP405" s="13"/>
      <c r="AQ405" s="13"/>
      <c r="AR405" s="14"/>
      <c r="AS405" s="15"/>
    </row>
    <row r="406" spans="1:45" s="17" customFormat="1" ht="30.95" hidden="1" customHeight="1" x14ac:dyDescent="0.2">
      <c r="A406" s="37"/>
      <c r="B406" s="38"/>
      <c r="C406" s="45"/>
      <c r="D406" s="31"/>
      <c r="E406" s="31"/>
      <c r="F406" s="268" t="str">
        <f>IF(D406="","",VLOOKUP(D406,契約台帳!$A$3:$K$4986,6,FALSE)&amp;VLOOKUP(D406,契約台帳!$A$3:$K$4986,7,FALSE)&amp;VLOOKUP(D406,契約台帳!$A$3:$K$4986,8,FALSE)&amp;VLOOKUP(D406,契約台帳!$A$3:$K$4986,9,FALSE)&amp;VLOOKUP(D406,契約台帳!$A$3:$K$4986,11,FALSE))</f>
        <v/>
      </c>
      <c r="G406" s="269" t="str">
        <f>IF(D406="","",VLOOKUP(F406,製品マスタ!$G$5:$H$5002,2,FALSE))</f>
        <v/>
      </c>
      <c r="H406" s="269" t="str">
        <f>IF(D406="","",VLOOKUP(F406,製品マスタ!$G$5:$K$5002,5,FALSE))</f>
        <v/>
      </c>
      <c r="I406" s="270" t="str">
        <f>IF(D406="","",VLOOKUP(F406,製品マスタ!$G$5:$L$5002,6,FALSE))</f>
        <v/>
      </c>
      <c r="J406" s="210"/>
      <c r="K406" s="270" t="str">
        <f>IF(D406="","",VLOOKUP(D406,契約台帳!$A$3:$L$4986,12,FALSE))</f>
        <v/>
      </c>
      <c r="L406" s="270" t="str">
        <f>IF(D406="","",INDEX(製品マスタ!$Q$5:$Q$5002,MATCH('S4'!F406&amp;'S4'!K406,製品マスタ!$AO$5:$AO$5002,0)))</f>
        <v/>
      </c>
      <c r="M406" s="39"/>
      <c r="N406" s="39"/>
      <c r="O406" s="156"/>
      <c r="P406" s="47"/>
      <c r="Q406" s="57"/>
      <c r="R406" s="271" t="str">
        <f ca="1">IF(D406="","",IF(OFFSET(D406,-1,0)&lt;&gt;"","",IF(OR(J406="リード付け",J406="巻足し",J406="巻返しリード付け"),M406,VLOOKUP(D406,契約台帳!$A$3:$N$4986,14,FALSE))))</f>
        <v/>
      </c>
      <c r="S406" s="272" t="str">
        <f ca="1">IF(D406="","",IF(OFFSET(D406,-1,0)&lt;&gt;"","",IF(OR(J406="リード付け",J406="巻足し",J406="巻返しリード付け"),M406,VLOOKUP(D406,契約台帳!$A$3:$O$4986,15,FALSE))))</f>
        <v/>
      </c>
      <c r="T406" s="273" t="str">
        <f ca="1">IF(D406="","",IF(J406="リード付け",N406,IF(J406="巻返しリード付け",N406,IF(J406="巻足し",N406*P406+OFFSET(N406,1,0)*OFFSET(P406,1,0),VLOOKUP(D406,契約台帳!$A$3:$P$4986,16,FALSE)))))</f>
        <v/>
      </c>
      <c r="U406" s="40"/>
      <c r="V406" s="274" t="str">
        <f ca="1">IF(D406="","",IF(OFFSET(D406,-2,0)=D406,"",VLOOKUP(D406,契約台帳!$A$3:$R$4986,18,FALSE)))</f>
        <v/>
      </c>
      <c r="W406" s="269" t="str">
        <f>IF(D406="","",IF(T406="","",IF(OR(J406="巻足し",J406="巻返しリード付け"),"",IF(J406="巻返し",VLOOKUP(F406&amp;K406&amp;M406,製品マスタ!$M$5:$AD$5002,18,FALSE),IF(OR(J406="リード付け",J406="巻返しリード付け"),"原反コア",IF(J406="スリット",VLOOKUP(F406&amp;K406&amp;R406,製品マスタ!$N$5:$AD$5002,17,FALSE),""))))))</f>
        <v/>
      </c>
      <c r="X406" s="269" t="str">
        <f>IF(D406="","",IF(T406="","",IF(J406="巻足し","",IF(J406="巻返し",VLOOKUP(F406&amp;K406&amp;M406,製品マスタ!$M$5:$AE$5002,19,FALSE),IF(OR(J406="リード付け",J406="巻返しリード付け"),"",IF(J406="スリット",VLOOKUP(F406&amp;K406&amp;R406,製品マスタ!$N$5:$AE$5002,18,FALSE),""))))))</f>
        <v/>
      </c>
      <c r="Y406" s="275" t="str">
        <f>IF(D406="","",IF(T406="","",VLOOKUP(D406,契約台帳!$A$3:$Q$4986,17,FALSE)))</f>
        <v/>
      </c>
      <c r="Z406" s="269" t="str">
        <f>IF(D406="","",IF(T406="","",VLOOKUP(D406,契約台帳!$A$3:$E$4986,5,FALSE)))</f>
        <v/>
      </c>
      <c r="AA406" s="57"/>
      <c r="AB406" s="207" t="str">
        <f>IFERROR((VLOOKUP(F406&amp;K406&amp;M406,製品マスタ!$M$5:$AM$5002,27,FALSE)),"")</f>
        <v/>
      </c>
      <c r="AC406" s="33"/>
      <c r="AD406" s="189"/>
      <c r="AE406" s="54"/>
      <c r="AF406" s="55"/>
      <c r="AG406" s="43"/>
      <c r="AH406" s="47"/>
      <c r="AI406" s="30"/>
      <c r="AJ406" s="30"/>
      <c r="AK406" s="30"/>
      <c r="AL406" s="30"/>
      <c r="AM406" s="13"/>
      <c r="AN406" s="13"/>
      <c r="AO406" s="13"/>
      <c r="AP406" s="13"/>
      <c r="AQ406" s="13"/>
      <c r="AR406" s="14"/>
      <c r="AS406" s="15"/>
    </row>
    <row r="407" spans="1:45" s="17" customFormat="1" ht="30.95" hidden="1" customHeight="1" x14ac:dyDescent="0.2">
      <c r="A407" s="37" t="s">
        <v>979</v>
      </c>
      <c r="B407" s="38" t="s">
        <v>958</v>
      </c>
      <c r="C407" s="45"/>
      <c r="D407" s="31"/>
      <c r="E407" s="31"/>
      <c r="F407" s="268" t="str">
        <f>IF(D407="","",VLOOKUP(D407,契約台帳!$A$3:$K$4986,6,FALSE)&amp;VLOOKUP(D407,契約台帳!$A$3:$K$4986,7,FALSE)&amp;VLOOKUP(D407,契約台帳!$A$3:$K$4986,8,FALSE)&amp;VLOOKUP(D407,契約台帳!$A$3:$K$4986,9,FALSE)&amp;VLOOKUP(D407,契約台帳!$A$3:$K$4986,11,FALSE))</f>
        <v/>
      </c>
      <c r="G407" s="269" t="str">
        <f>IF(D407="","",VLOOKUP(F407,製品マスタ!$G$5:$H$5002,2,FALSE))</f>
        <v/>
      </c>
      <c r="H407" s="269" t="str">
        <f>IF(D407="","",VLOOKUP(F407,製品マスタ!$G$5:$K$5002,5,FALSE))</f>
        <v/>
      </c>
      <c r="I407" s="270" t="str">
        <f>IF(D407="","",VLOOKUP(F407,製品マスタ!$G$5:$L$5002,6,FALSE))</f>
        <v/>
      </c>
      <c r="J407" s="210" t="s">
        <v>1003</v>
      </c>
      <c r="K407" s="270" t="str">
        <f>IF(D407="","",VLOOKUP(D407,契約台帳!$A$3:$L$4986,12,FALSE))</f>
        <v/>
      </c>
      <c r="L407" s="270" t="str">
        <f>IF(D407="","",INDEX(製品マスタ!$Q$5:$Q$5002,MATCH('S4'!F407&amp;'S4'!K407,製品マスタ!$AO$5:$AO$5002,0)))</f>
        <v/>
      </c>
      <c r="M407" s="39"/>
      <c r="N407" s="39"/>
      <c r="O407" s="156"/>
      <c r="P407" s="47"/>
      <c r="Q407" s="57"/>
      <c r="R407" s="271" t="str">
        <f ca="1">IF(D407="","",IF(OFFSET(D407,-1,0)&lt;&gt;"","",IF(OR(J407="リード付け",J407="巻足し",J407="巻返しリード付け"),M407,VLOOKUP(D407,契約台帳!$A$3:$N$4986,14,FALSE))))</f>
        <v/>
      </c>
      <c r="S407" s="272" t="str">
        <f ca="1">IF(D407="","",IF(OFFSET(D407,-1,0)&lt;&gt;"","",IF(OR(J407="リード付け",J407="巻足し",J407="巻返しリード付け"),M407,VLOOKUP(D407,契約台帳!$A$3:$O$4986,15,FALSE))))</f>
        <v/>
      </c>
      <c r="T407" s="273" t="str">
        <f ca="1">IF(D407="","",IF(J407="リード付け",N407,IF(J407="巻返しリード付け",N407,IF(J407="巻足し",N407*P407+OFFSET(N407,1,0)*OFFSET(P407,1,0),VLOOKUP(D407,契約台帳!$A$3:$P$4986,16,FALSE)))))</f>
        <v/>
      </c>
      <c r="U407" s="40"/>
      <c r="V407" s="274" t="str">
        <f ca="1">IF(D407="","",IF(OFFSET(D407,-2,0)=D407,"",VLOOKUP(D407,契約台帳!$A$3:$R$4986,18,FALSE)))</f>
        <v/>
      </c>
      <c r="W407" s="269" t="str">
        <f>IF(D407="","",IF(T407="","",IF(OR(J407="巻足し",J407="巻返しリード付け"),"",IF(J407="巻返し",VLOOKUP(F407&amp;K407&amp;M407,製品マスタ!$M$5:$AD$5002,18,FALSE),IF(OR(J407="リード付け",J407="巻返しリード付け"),"原反コア",IF(J407="スリット",VLOOKUP(F407&amp;K407&amp;R407,製品マスタ!$N$5:$AD$5002,17,FALSE),""))))))</f>
        <v/>
      </c>
      <c r="X407" s="269" t="str">
        <f>IF(D407="","",IF(T407="","",IF(J407="巻足し","",IF(J407="巻返し",VLOOKUP(F407&amp;K407&amp;M407,製品マスタ!$M$5:$AE$5002,19,FALSE),IF(OR(J407="リード付け",J407="巻返しリード付け"),"",IF(J407="スリット",VLOOKUP(F407&amp;K407&amp;R407,製品マスタ!$N$5:$AE$5002,18,FALSE),""))))))</f>
        <v/>
      </c>
      <c r="Y407" s="275" t="str">
        <f>IF(D407="","",IF(T407="","",VLOOKUP(D407,契約台帳!$A$3:$Q$4986,17,FALSE)))</f>
        <v/>
      </c>
      <c r="Z407" s="269" t="str">
        <f>IF(D407="","",IF(T407="","",VLOOKUP(D407,契約台帳!$A$3:$E$4986,5,FALSE)))</f>
        <v/>
      </c>
      <c r="AA407" s="57"/>
      <c r="AB407" s="207" t="str">
        <f>IFERROR((VLOOKUP(F407&amp;K407&amp;M407,製品マスタ!$M$5:$AM$5002,27,FALSE)),"")</f>
        <v/>
      </c>
      <c r="AC407" s="33"/>
      <c r="AD407" s="189"/>
      <c r="AE407" s="54"/>
      <c r="AF407" s="55"/>
      <c r="AG407" s="43"/>
      <c r="AH407" s="47"/>
      <c r="AI407" s="30"/>
      <c r="AJ407" s="30"/>
      <c r="AK407" s="30"/>
      <c r="AL407" s="30"/>
      <c r="AM407" s="13"/>
      <c r="AN407" s="13"/>
      <c r="AO407" s="13"/>
      <c r="AP407" s="13"/>
      <c r="AQ407" s="13"/>
      <c r="AR407" s="14"/>
      <c r="AS407" s="15"/>
    </row>
    <row r="408" spans="1:45" s="17" customFormat="1" ht="30.95" hidden="1" customHeight="1" x14ac:dyDescent="0.2">
      <c r="A408" s="37"/>
      <c r="B408" s="38"/>
      <c r="C408" s="45"/>
      <c r="D408" s="31"/>
      <c r="E408" s="31"/>
      <c r="F408" s="268" t="str">
        <f>IF(D408="","",VLOOKUP(D408,契約台帳!$A$3:$K$4986,6,FALSE)&amp;VLOOKUP(D408,契約台帳!$A$3:$K$4986,7,FALSE)&amp;VLOOKUP(D408,契約台帳!$A$3:$K$4986,8,FALSE)&amp;VLOOKUP(D408,契約台帳!$A$3:$K$4986,9,FALSE)&amp;VLOOKUP(D408,契約台帳!$A$3:$K$4986,11,FALSE))</f>
        <v/>
      </c>
      <c r="G408" s="269" t="str">
        <f>IF(D408="","",VLOOKUP(F408,製品マスタ!$G$5:$H$5002,2,FALSE))</f>
        <v/>
      </c>
      <c r="H408" s="269" t="str">
        <f>IF(D408="","",VLOOKUP(F408,製品マスタ!$G$5:$K$5002,5,FALSE))</f>
        <v/>
      </c>
      <c r="I408" s="270" t="str">
        <f>IF(D408="","",VLOOKUP(F408,製品マスタ!$G$5:$L$5002,6,FALSE))</f>
        <v/>
      </c>
      <c r="J408" s="210"/>
      <c r="K408" s="270" t="str">
        <f>IF(D408="","",VLOOKUP(D408,契約台帳!$A$3:$L$4986,12,FALSE))</f>
        <v/>
      </c>
      <c r="L408" s="270" t="str">
        <f>IF(D408="","",INDEX(製品マスタ!$Q$5:$Q$5002,MATCH('S4'!F408&amp;'S4'!K408,製品マスタ!$AO$5:$AO$5002,0)))</f>
        <v/>
      </c>
      <c r="M408" s="39"/>
      <c r="N408" s="39"/>
      <c r="O408" s="156"/>
      <c r="P408" s="47"/>
      <c r="Q408" s="57"/>
      <c r="R408" s="271" t="str">
        <f ca="1">IF(D408="","",IF(OFFSET(D408,-1,0)&lt;&gt;"","",IF(OR(J408="リード付け",J408="巻足し",J408="巻返しリード付け"),M408,VLOOKUP(D408,契約台帳!$A$3:$N$4986,14,FALSE))))</f>
        <v/>
      </c>
      <c r="S408" s="272" t="str">
        <f ca="1">IF(D408="","",IF(OFFSET(D408,-1,0)&lt;&gt;"","",IF(OR(J408="リード付け",J408="巻足し",J408="巻返しリード付け"),M408,VLOOKUP(D408,契約台帳!$A$3:$O$4986,15,FALSE))))</f>
        <v/>
      </c>
      <c r="T408" s="273" t="str">
        <f ca="1">IF(D408="","",IF(J408="リード付け",N408,IF(J408="巻返しリード付け",N408,IF(J408="巻足し",N408*P408+OFFSET(N408,1,0)*OFFSET(P408,1,0),VLOOKUP(D408,契約台帳!$A$3:$P$4986,16,FALSE)))))</f>
        <v/>
      </c>
      <c r="U408" s="40"/>
      <c r="V408" s="274" t="str">
        <f ca="1">IF(D408="","",IF(OFFSET(D408,-2,0)=D408,"",VLOOKUP(D408,契約台帳!$A$3:$R$4986,18,FALSE)))</f>
        <v/>
      </c>
      <c r="W408" s="269" t="str">
        <f>IF(D408="","",IF(T408="","",IF(OR(J408="巻足し",J408="巻返しリード付け"),"",IF(J408="巻返し",VLOOKUP(F408&amp;K408&amp;M408,製品マスタ!$M$5:$AD$5002,18,FALSE),IF(OR(J408="リード付け",J408="巻返しリード付け"),"原反コア",IF(J408="スリット",VLOOKUP(F408&amp;K408&amp;R408,製品マスタ!$N$5:$AD$5002,17,FALSE),""))))))</f>
        <v/>
      </c>
      <c r="X408" s="269" t="str">
        <f>IF(D408="","",IF(T408="","",IF(J408="巻足し","",IF(J408="巻返し",VLOOKUP(F408&amp;K408&amp;M408,製品マスタ!$M$5:$AE$5002,19,FALSE),IF(OR(J408="リード付け",J408="巻返しリード付け"),"",IF(J408="スリット",VLOOKUP(F408&amp;K408&amp;R408,製品マスタ!$N$5:$AE$5002,18,FALSE),""))))))</f>
        <v/>
      </c>
      <c r="Y408" s="275" t="str">
        <f>IF(D408="","",IF(T408="","",VLOOKUP(D408,契約台帳!$A$3:$Q$4986,17,FALSE)))</f>
        <v/>
      </c>
      <c r="Z408" s="269" t="str">
        <f>IF(D408="","",IF(T408="","",VLOOKUP(D408,契約台帳!$A$3:$E$4986,5,FALSE)))</f>
        <v/>
      </c>
      <c r="AA408" s="57"/>
      <c r="AB408" s="207" t="str">
        <f>IFERROR((VLOOKUP(F408&amp;K408&amp;M408,製品マスタ!$M$5:$AM$5002,27,FALSE)),"")</f>
        <v/>
      </c>
      <c r="AC408" s="33"/>
      <c r="AD408" s="189"/>
      <c r="AE408" s="54"/>
      <c r="AF408" s="55"/>
      <c r="AG408" s="43"/>
      <c r="AH408" s="47"/>
      <c r="AI408" s="30"/>
      <c r="AJ408" s="30"/>
      <c r="AK408" s="30"/>
      <c r="AL408" s="30"/>
      <c r="AM408" s="13"/>
      <c r="AN408" s="13"/>
      <c r="AO408" s="13"/>
      <c r="AP408" s="13"/>
      <c r="AQ408" s="13"/>
      <c r="AR408" s="14"/>
      <c r="AS408" s="15"/>
    </row>
    <row r="409" spans="1:45" s="17" customFormat="1" ht="30.95" hidden="1" customHeight="1" x14ac:dyDescent="0.2">
      <c r="A409" s="37" t="s">
        <v>980</v>
      </c>
      <c r="B409" s="38" t="s">
        <v>959</v>
      </c>
      <c r="C409" s="45"/>
      <c r="D409" s="31"/>
      <c r="E409" s="31"/>
      <c r="F409" s="268" t="str">
        <f>IF(D409="","",VLOOKUP(D409,契約台帳!$A$3:$K$4986,6,FALSE)&amp;VLOOKUP(D409,契約台帳!$A$3:$K$4986,7,FALSE)&amp;VLOOKUP(D409,契約台帳!$A$3:$K$4986,8,FALSE)&amp;VLOOKUP(D409,契約台帳!$A$3:$K$4986,9,FALSE)&amp;VLOOKUP(D409,契約台帳!$A$3:$K$4986,11,FALSE))</f>
        <v/>
      </c>
      <c r="G409" s="269" t="str">
        <f>IF(D409="","",VLOOKUP(F409,製品マスタ!$G$5:$H$5002,2,FALSE))</f>
        <v/>
      </c>
      <c r="H409" s="269" t="str">
        <f>IF(D409="","",VLOOKUP(F409,製品マスタ!$G$5:$K$5002,5,FALSE))</f>
        <v/>
      </c>
      <c r="I409" s="270" t="str">
        <f>IF(D409="","",VLOOKUP(F409,製品マスタ!$G$5:$L$5002,6,FALSE))</f>
        <v/>
      </c>
      <c r="J409" s="210" t="s">
        <v>448</v>
      </c>
      <c r="K409" s="270" t="str">
        <f>IF(D409="","",VLOOKUP(D409,契約台帳!$A$3:$L$4986,12,FALSE))</f>
        <v/>
      </c>
      <c r="L409" s="270" t="str">
        <f>IF(D409="","",INDEX(製品マスタ!$Q$5:$Q$5002,MATCH('S4'!F409&amp;'S4'!K409,製品マスタ!$AO$5:$AO$5002,0)))</f>
        <v/>
      </c>
      <c r="M409" s="39"/>
      <c r="N409" s="39"/>
      <c r="O409" s="156"/>
      <c r="P409" s="47"/>
      <c r="Q409" s="57"/>
      <c r="R409" s="271" t="str">
        <f ca="1">IF(D409="","",IF(OFFSET(D409,-1,0)&lt;&gt;"","",IF(OR(J409="リード付け",J409="巻足し",J409="巻返しリード付け"),M409,VLOOKUP(D409,契約台帳!$A$3:$N$4986,14,FALSE))))</f>
        <v/>
      </c>
      <c r="S409" s="272" t="str">
        <f ca="1">IF(D409="","",IF(OFFSET(D409,-1,0)&lt;&gt;"","",IF(OR(J409="リード付け",J409="巻足し",J409="巻返しリード付け"),M409,VLOOKUP(D409,契約台帳!$A$3:$O$4986,15,FALSE))))</f>
        <v/>
      </c>
      <c r="T409" s="273" t="str">
        <f ca="1">IF(D409="","",IF(J409="リード付け",N409,IF(J409="巻返しリード付け",N409,IF(J409="巻足し",N409*P409+OFFSET(N409,1,0)*OFFSET(P409,1,0),VLOOKUP(D409,契約台帳!$A$3:$P$4986,16,FALSE)))))</f>
        <v/>
      </c>
      <c r="U409" s="40"/>
      <c r="V409" s="274" t="str">
        <f ca="1">IF(D409="","",IF(OFFSET(D409,-2,0)=D409,"",VLOOKUP(D409,契約台帳!$A$3:$R$4986,18,FALSE)))</f>
        <v/>
      </c>
      <c r="W409" s="269" t="str">
        <f>IF(D409="","",IF(T409="","",IF(OR(J409="巻足し",J409="巻返しリード付け"),"",IF(J409="巻返し",VLOOKUP(F409&amp;K409&amp;M409,製品マスタ!$M$5:$AD$5002,18,FALSE),IF(OR(J409="リード付け",J409="巻返しリード付け"),"原反コア",IF(J409="スリット",VLOOKUP(F409&amp;K409&amp;R409,製品マスタ!$N$5:$AD$5002,17,FALSE),""))))))</f>
        <v/>
      </c>
      <c r="X409" s="269" t="str">
        <f>IF(D409="","",IF(T409="","",IF(J409="巻足し","",IF(J409="巻返し",VLOOKUP(F409&amp;K409&amp;M409,製品マスタ!$M$5:$AE$5002,19,FALSE),IF(OR(J409="リード付け",J409="巻返しリード付け"),"",IF(J409="スリット",VLOOKUP(F409&amp;K409&amp;R409,製品マスタ!$N$5:$AE$5002,18,FALSE),""))))))</f>
        <v/>
      </c>
      <c r="Y409" s="275" t="str">
        <f>IF(D409="","",IF(T409="","",VLOOKUP(D409,契約台帳!$A$3:$Q$4986,17,FALSE)))</f>
        <v/>
      </c>
      <c r="Z409" s="269" t="str">
        <f>IF(D409="","",IF(T409="","",VLOOKUP(D409,契約台帳!$A$3:$E$4986,5,FALSE)))</f>
        <v/>
      </c>
      <c r="AA409" s="57"/>
      <c r="AB409" s="207" t="str">
        <f>IFERROR((VLOOKUP(F409&amp;K409&amp;M409,製品マスタ!$M$5:$AM$5002,27,FALSE)),"")</f>
        <v/>
      </c>
      <c r="AC409" s="33"/>
      <c r="AD409" s="189"/>
      <c r="AE409" s="54"/>
      <c r="AF409" s="55"/>
      <c r="AG409" s="43"/>
      <c r="AH409" s="47"/>
      <c r="AI409" s="30"/>
      <c r="AJ409" s="30"/>
      <c r="AK409" s="30"/>
      <c r="AL409" s="30"/>
      <c r="AM409" s="13"/>
      <c r="AN409" s="13"/>
      <c r="AO409" s="13"/>
      <c r="AP409" s="13"/>
      <c r="AQ409" s="13"/>
      <c r="AR409" s="14"/>
      <c r="AS409" s="15"/>
    </row>
    <row r="410" spans="1:45" s="17" customFormat="1" ht="30.95" hidden="1" customHeight="1" x14ac:dyDescent="0.2">
      <c r="A410" s="37"/>
      <c r="B410" s="38"/>
      <c r="C410" s="45"/>
      <c r="D410" s="31"/>
      <c r="E410" s="31"/>
      <c r="F410" s="268" t="str">
        <f>IF(D410="","",VLOOKUP(D410,契約台帳!$A$3:$K$4986,6,FALSE)&amp;VLOOKUP(D410,契約台帳!$A$3:$K$4986,7,FALSE)&amp;VLOOKUP(D410,契約台帳!$A$3:$K$4986,8,FALSE)&amp;VLOOKUP(D410,契約台帳!$A$3:$K$4986,9,FALSE)&amp;VLOOKUP(D410,契約台帳!$A$3:$K$4986,11,FALSE))</f>
        <v/>
      </c>
      <c r="G410" s="269" t="str">
        <f>IF(D410="","",VLOOKUP(F410,製品マスタ!$G$5:$H$5002,2,FALSE))</f>
        <v/>
      </c>
      <c r="H410" s="269" t="str">
        <f>IF(D410="","",VLOOKUP(F410,製品マスタ!$G$5:$K$5002,5,FALSE))</f>
        <v/>
      </c>
      <c r="I410" s="270" t="str">
        <f>IF(D410="","",VLOOKUP(F410,製品マスタ!$G$5:$L$5002,6,FALSE))</f>
        <v/>
      </c>
      <c r="J410" s="210"/>
      <c r="K410" s="270" t="str">
        <f>IF(D410="","",VLOOKUP(D410,契約台帳!$A$3:$L$4986,12,FALSE))</f>
        <v/>
      </c>
      <c r="L410" s="270" t="str">
        <f>IF(D410="","",INDEX(製品マスタ!$Q$5:$Q$5002,MATCH('S4'!F410&amp;'S4'!K410,製品マスタ!$AO$5:$AO$5002,0)))</f>
        <v/>
      </c>
      <c r="M410" s="39"/>
      <c r="N410" s="39"/>
      <c r="O410" s="156"/>
      <c r="P410" s="47"/>
      <c r="Q410" s="57"/>
      <c r="R410" s="271" t="str">
        <f ca="1">IF(D410="","",IF(OFFSET(D410,-1,0)&lt;&gt;"","",IF(OR(J410="リード付け",J410="巻足し",J410="巻返しリード付け"),M410,VLOOKUP(D410,契約台帳!$A$3:$N$4986,14,FALSE))))</f>
        <v/>
      </c>
      <c r="S410" s="272" t="str">
        <f ca="1">IF(D410="","",IF(OFFSET(D410,-1,0)&lt;&gt;"","",IF(OR(J410="リード付け",J410="巻足し",J410="巻返しリード付け"),M410,VLOOKUP(D410,契約台帳!$A$3:$O$4986,15,FALSE))))</f>
        <v/>
      </c>
      <c r="T410" s="273" t="str">
        <f ca="1">IF(D410="","",IF(J410="リード付け",N410,IF(J410="巻返しリード付け",N410,IF(J410="巻足し",N410*P410+OFFSET(N410,1,0)*OFFSET(P410,1,0),VLOOKUP(D410,契約台帳!$A$3:$P$4986,16,FALSE)))))</f>
        <v/>
      </c>
      <c r="U410" s="40"/>
      <c r="V410" s="274" t="str">
        <f ca="1">IF(D410="","",IF(OFFSET(D410,-2,0)=D410,"",VLOOKUP(D410,契約台帳!$A$3:$R$4986,18,FALSE)))</f>
        <v/>
      </c>
      <c r="W410" s="269" t="str">
        <f>IF(D410="","",IF(T410="","",IF(OR(J410="巻足し",J410="巻返しリード付け"),"",IF(J410="巻返し",VLOOKUP(F410&amp;K410&amp;M410,製品マスタ!$M$5:$AD$5002,18,FALSE),IF(OR(J410="リード付け",J410="巻返しリード付け"),"原反コア",IF(J410="スリット",VLOOKUP(F410&amp;K410&amp;R410,製品マスタ!$N$5:$AD$5002,17,FALSE),""))))))</f>
        <v/>
      </c>
      <c r="X410" s="269" t="str">
        <f>IF(D410="","",IF(T410="","",IF(J410="巻足し","",IF(J410="巻返し",VLOOKUP(F410&amp;K410&amp;M410,製品マスタ!$M$5:$AE$5002,19,FALSE),IF(OR(J410="リード付け",J410="巻返しリード付け"),"",IF(J410="スリット",VLOOKUP(F410&amp;K410&amp;R410,製品マスタ!$N$5:$AE$5002,18,FALSE),""))))))</f>
        <v/>
      </c>
      <c r="Y410" s="275" t="str">
        <f>IF(D410="","",IF(T410="","",VLOOKUP(D410,契約台帳!$A$3:$Q$4986,17,FALSE)))</f>
        <v/>
      </c>
      <c r="Z410" s="269" t="str">
        <f>IF(D410="","",IF(T410="","",VLOOKUP(D410,契約台帳!$A$3:$E$4986,5,FALSE)))</f>
        <v/>
      </c>
      <c r="AA410" s="57"/>
      <c r="AB410" s="207" t="str">
        <f>IFERROR((VLOOKUP(F410&amp;K410&amp;M410,製品マスタ!$M$5:$AM$5002,27,FALSE)),"")</f>
        <v/>
      </c>
      <c r="AC410" s="33"/>
      <c r="AD410" s="189"/>
      <c r="AE410" s="54"/>
      <c r="AF410" s="55"/>
      <c r="AG410" s="43"/>
      <c r="AH410" s="47"/>
      <c r="AI410" s="30"/>
      <c r="AJ410" s="30"/>
      <c r="AK410" s="30"/>
      <c r="AL410" s="30"/>
      <c r="AM410" s="13"/>
      <c r="AN410" s="13"/>
      <c r="AO410" s="13"/>
      <c r="AP410" s="13"/>
      <c r="AQ410" s="13"/>
      <c r="AR410" s="14"/>
      <c r="AS410" s="15"/>
    </row>
    <row r="411" spans="1:45" s="17" customFormat="1" ht="30.95" hidden="1" customHeight="1" x14ac:dyDescent="0.2">
      <c r="A411" s="37" t="s">
        <v>981</v>
      </c>
      <c r="B411" s="38" t="s">
        <v>960</v>
      </c>
      <c r="C411" s="45"/>
      <c r="D411" s="31"/>
      <c r="E411" s="31"/>
      <c r="F411" s="268" t="str">
        <f>IF(D411="","",VLOOKUP(D411,契約台帳!$A$3:$K$4986,6,FALSE)&amp;VLOOKUP(D411,契約台帳!$A$3:$K$4986,7,FALSE)&amp;VLOOKUP(D411,契約台帳!$A$3:$K$4986,8,FALSE)&amp;VLOOKUP(D411,契約台帳!$A$3:$K$4986,9,FALSE)&amp;VLOOKUP(D411,契約台帳!$A$3:$K$4986,11,FALSE))</f>
        <v/>
      </c>
      <c r="G411" s="269" t="str">
        <f>IF(D411="","",VLOOKUP(F411,製品マスタ!$G$5:$H$5002,2,FALSE))</f>
        <v/>
      </c>
      <c r="H411" s="269" t="str">
        <f>IF(D411="","",VLOOKUP(F411,製品マスタ!$G$5:$K$5002,5,FALSE))</f>
        <v/>
      </c>
      <c r="I411" s="270" t="str">
        <f>IF(D411="","",VLOOKUP(F411,製品マスタ!$G$5:$L$5002,6,FALSE))</f>
        <v/>
      </c>
      <c r="J411" s="210" t="s">
        <v>448</v>
      </c>
      <c r="K411" s="270" t="str">
        <f>IF(D411="","",VLOOKUP(D411,契約台帳!$A$3:$L$4986,12,FALSE))</f>
        <v/>
      </c>
      <c r="L411" s="270" t="str">
        <f>IF(D411="","",INDEX(製品マスタ!$Q$5:$Q$5002,MATCH('S4'!F411&amp;'S4'!K411,製品マスタ!$AO$5:$AO$5002,0)))</f>
        <v/>
      </c>
      <c r="M411" s="39"/>
      <c r="N411" s="39"/>
      <c r="O411" s="156"/>
      <c r="P411" s="47"/>
      <c r="Q411" s="57"/>
      <c r="R411" s="271" t="str">
        <f ca="1">IF(D411="","",IF(OFFSET(D411,-1,0)&lt;&gt;"","",IF(OR(J411="リード付け",J411="巻足し",J411="巻返しリード付け"),M411,VLOOKUP(D411,契約台帳!$A$3:$N$4986,14,FALSE))))</f>
        <v/>
      </c>
      <c r="S411" s="272" t="str">
        <f ca="1">IF(D411="","",IF(OFFSET(D411,-1,0)&lt;&gt;"","",IF(OR(J411="リード付け",J411="巻足し",J411="巻返しリード付け"),M411,VLOOKUP(D411,契約台帳!$A$3:$O$4986,15,FALSE))))</f>
        <v/>
      </c>
      <c r="T411" s="273" t="str">
        <f ca="1">IF(D411="","",IF(J411="リード付け",N411,IF(J411="巻返しリード付け",N411,IF(J411="巻足し",N411*P411+OFFSET(N411,1,0)*OFFSET(P411,1,0),VLOOKUP(D411,契約台帳!$A$3:$P$4986,16,FALSE)))))</f>
        <v/>
      </c>
      <c r="U411" s="40"/>
      <c r="V411" s="274" t="str">
        <f ca="1">IF(D411="","",IF(OFFSET(D411,-2,0)=D411,"",VLOOKUP(D411,契約台帳!$A$3:$R$4986,18,FALSE)))</f>
        <v/>
      </c>
      <c r="W411" s="269" t="str">
        <f>IF(D411="","",IF(T411="","",IF(OR(J411="巻足し",J411="巻返しリード付け"),"",IF(J411="巻返し",VLOOKUP(F411&amp;K411&amp;M411,製品マスタ!$M$5:$AD$5002,18,FALSE),IF(OR(J411="リード付け",J411="巻返しリード付け"),"原反コア",IF(J411="スリット",VLOOKUP(F411&amp;K411&amp;R411,製品マスタ!$N$5:$AD$5002,17,FALSE),""))))))</f>
        <v/>
      </c>
      <c r="X411" s="269" t="str">
        <f>IF(D411="","",IF(T411="","",IF(J411="巻足し","",IF(J411="巻返し",VLOOKUP(F411&amp;K411&amp;M411,製品マスタ!$M$5:$AE$5002,19,FALSE),IF(OR(J411="リード付け",J411="巻返しリード付け"),"",IF(J411="スリット",VLOOKUP(F411&amp;K411&amp;R411,製品マスタ!$N$5:$AE$5002,18,FALSE),""))))))</f>
        <v/>
      </c>
      <c r="Y411" s="275" t="str">
        <f>IF(D411="","",IF(T411="","",VLOOKUP(D411,契約台帳!$A$3:$Q$4986,17,FALSE)))</f>
        <v/>
      </c>
      <c r="Z411" s="269" t="str">
        <f>IF(D411="","",IF(T411="","",VLOOKUP(D411,契約台帳!$A$3:$E$4986,5,FALSE)))</f>
        <v/>
      </c>
      <c r="AA411" s="57"/>
      <c r="AB411" s="207" t="str">
        <f>IFERROR((VLOOKUP(F411&amp;K411&amp;M411,製品マスタ!$M$5:$AM$5002,27,FALSE)),"")</f>
        <v/>
      </c>
      <c r="AC411" s="33"/>
      <c r="AD411" s="189"/>
      <c r="AE411" s="54"/>
      <c r="AF411" s="55"/>
      <c r="AG411" s="43"/>
      <c r="AH411" s="47"/>
      <c r="AI411" s="30"/>
      <c r="AJ411" s="30"/>
      <c r="AK411" s="30"/>
      <c r="AL411" s="30"/>
      <c r="AM411" s="13"/>
      <c r="AN411" s="13"/>
      <c r="AO411" s="13"/>
      <c r="AP411" s="13"/>
      <c r="AQ411" s="13"/>
      <c r="AR411" s="14"/>
      <c r="AS411" s="15"/>
    </row>
    <row r="412" spans="1:45" s="17" customFormat="1" ht="30.95" hidden="1" customHeight="1" x14ac:dyDescent="0.2">
      <c r="A412" s="37"/>
      <c r="B412" s="38"/>
      <c r="C412" s="45"/>
      <c r="D412" s="31"/>
      <c r="E412" s="31"/>
      <c r="F412" s="268" t="str">
        <f>IF(D412="","",VLOOKUP(D412,契約台帳!$A$3:$K$4986,6,FALSE)&amp;VLOOKUP(D412,契約台帳!$A$3:$K$4986,7,FALSE)&amp;VLOOKUP(D412,契約台帳!$A$3:$K$4986,8,FALSE)&amp;VLOOKUP(D412,契約台帳!$A$3:$K$4986,9,FALSE)&amp;VLOOKUP(D412,契約台帳!$A$3:$K$4986,11,FALSE))</f>
        <v/>
      </c>
      <c r="G412" s="269" t="str">
        <f>IF(D412="","",VLOOKUP(F412,製品マスタ!$G$5:$H$5002,2,FALSE))</f>
        <v/>
      </c>
      <c r="H412" s="269" t="str">
        <f>IF(D412="","",VLOOKUP(F412,製品マスタ!$G$5:$K$5002,5,FALSE))</f>
        <v/>
      </c>
      <c r="I412" s="270" t="str">
        <f>IF(D412="","",VLOOKUP(F412,製品マスタ!$G$5:$L$5002,6,FALSE))</f>
        <v/>
      </c>
      <c r="J412" s="210"/>
      <c r="K412" s="270" t="str">
        <f>IF(D412="","",VLOOKUP(D412,契約台帳!$A$3:$L$4986,12,FALSE))</f>
        <v/>
      </c>
      <c r="L412" s="270" t="str">
        <f>IF(D412="","",INDEX(製品マスタ!$Q$5:$Q$5002,MATCH('S4'!F412&amp;'S4'!K412,製品マスタ!$AO$5:$AO$5002,0)))</f>
        <v/>
      </c>
      <c r="M412" s="39"/>
      <c r="N412" s="39"/>
      <c r="O412" s="156"/>
      <c r="P412" s="47"/>
      <c r="Q412" s="57"/>
      <c r="R412" s="271" t="str">
        <f ca="1">IF(D412="","",IF(OFFSET(D412,-1,0)&lt;&gt;"","",IF(OR(J412="リード付け",J412="巻足し",J412="巻返しリード付け"),M412,VLOOKUP(D412,契約台帳!$A$3:$N$4986,14,FALSE))))</f>
        <v/>
      </c>
      <c r="S412" s="272" t="str">
        <f ca="1">IF(D412="","",IF(OFFSET(D412,-1,0)&lt;&gt;"","",IF(OR(J412="リード付け",J412="巻足し",J412="巻返しリード付け"),M412,VLOOKUP(D412,契約台帳!$A$3:$O$4986,15,FALSE))))</f>
        <v/>
      </c>
      <c r="T412" s="273" t="str">
        <f ca="1">IF(D412="","",IF(J412="リード付け",N412,IF(J412="巻返しリード付け",N412,IF(J412="巻足し",N412*P412+OFFSET(N412,1,0)*OFFSET(P412,1,0),VLOOKUP(D412,契約台帳!$A$3:$P$4986,16,FALSE)))))</f>
        <v/>
      </c>
      <c r="U412" s="40"/>
      <c r="V412" s="274" t="str">
        <f ca="1">IF(D412="","",IF(OFFSET(D412,-2,0)=D412,"",VLOOKUP(D412,契約台帳!$A$3:$R$4986,18,FALSE)))</f>
        <v/>
      </c>
      <c r="W412" s="269" t="str">
        <f>IF(D412="","",IF(T412="","",IF(OR(J412="巻足し",J412="巻返しリード付け"),"",IF(J412="巻返し",VLOOKUP(F412&amp;K412&amp;M412,製品マスタ!$M$5:$AD$5002,18,FALSE),IF(OR(J412="リード付け",J412="巻返しリード付け"),"原反コア",IF(J412="スリット",VLOOKUP(F412&amp;K412&amp;R412,製品マスタ!$N$5:$AD$5002,17,FALSE),""))))))</f>
        <v/>
      </c>
      <c r="X412" s="269" t="str">
        <f>IF(D412="","",IF(T412="","",IF(J412="巻足し","",IF(J412="巻返し",VLOOKUP(F412&amp;K412&amp;M412,製品マスタ!$M$5:$AE$5002,19,FALSE),IF(OR(J412="リード付け",J412="巻返しリード付け"),"",IF(J412="スリット",VLOOKUP(F412&amp;K412&amp;R412,製品マスタ!$N$5:$AE$5002,18,FALSE),""))))))</f>
        <v/>
      </c>
      <c r="Y412" s="275" t="str">
        <f>IF(D412="","",IF(T412="","",VLOOKUP(D412,契約台帳!$A$3:$Q$4986,17,FALSE)))</f>
        <v/>
      </c>
      <c r="Z412" s="269" t="str">
        <f>IF(D412="","",IF(T412="","",VLOOKUP(D412,契約台帳!$A$3:$E$4986,5,FALSE)))</f>
        <v/>
      </c>
      <c r="AA412" s="57"/>
      <c r="AB412" s="207" t="str">
        <f>IFERROR((VLOOKUP(F412&amp;K412&amp;M412,製品マスタ!$M$5:$AM$5002,27,FALSE)),"")</f>
        <v/>
      </c>
      <c r="AC412" s="33"/>
      <c r="AD412" s="189"/>
      <c r="AE412" s="54"/>
      <c r="AF412" s="55"/>
      <c r="AG412" s="43"/>
      <c r="AH412" s="47"/>
      <c r="AI412" s="30"/>
      <c r="AJ412" s="30"/>
      <c r="AK412" s="30"/>
      <c r="AL412" s="30"/>
      <c r="AM412" s="13"/>
      <c r="AN412" s="13"/>
      <c r="AO412" s="13"/>
      <c r="AP412" s="13"/>
      <c r="AQ412" s="13"/>
      <c r="AR412" s="14"/>
      <c r="AS412" s="15"/>
    </row>
    <row r="413" spans="1:45" s="17" customFormat="1" ht="30.95" hidden="1" customHeight="1" x14ac:dyDescent="0.2">
      <c r="A413" s="37" t="s">
        <v>1019</v>
      </c>
      <c r="B413" s="38" t="s">
        <v>1020</v>
      </c>
      <c r="C413" s="45"/>
      <c r="D413" s="31"/>
      <c r="E413" s="31"/>
      <c r="F413" s="268"/>
      <c r="G413" s="269"/>
      <c r="H413" s="269"/>
      <c r="I413" s="270"/>
      <c r="J413" s="210" t="s">
        <v>1021</v>
      </c>
      <c r="K413" s="270"/>
      <c r="L413" s="270"/>
      <c r="M413" s="39"/>
      <c r="N413" s="39"/>
      <c r="O413" s="156"/>
      <c r="P413" s="47"/>
      <c r="Q413" s="57"/>
      <c r="R413" s="271"/>
      <c r="S413" s="272"/>
      <c r="T413" s="273"/>
      <c r="U413" s="40"/>
      <c r="V413" s="274"/>
      <c r="W413" s="269"/>
      <c r="X413" s="269"/>
      <c r="Y413" s="275"/>
      <c r="Z413" s="269"/>
      <c r="AA413" s="57"/>
      <c r="AB413" s="207"/>
      <c r="AC413" s="33"/>
      <c r="AD413" s="189"/>
      <c r="AE413" s="54"/>
      <c r="AF413" s="55"/>
      <c r="AG413" s="43"/>
      <c r="AH413" s="47"/>
      <c r="AI413" s="30"/>
      <c r="AJ413" s="30"/>
      <c r="AK413" s="30"/>
      <c r="AL413" s="30"/>
      <c r="AM413" s="13"/>
      <c r="AN413" s="13"/>
      <c r="AO413" s="13"/>
      <c r="AP413" s="13"/>
      <c r="AQ413" s="13"/>
      <c r="AR413" s="14"/>
      <c r="AS413" s="15"/>
    </row>
    <row r="414" spans="1:45" s="17" customFormat="1" ht="30.95" hidden="1" customHeight="1" x14ac:dyDescent="0.2">
      <c r="A414" s="37"/>
      <c r="B414" s="38"/>
      <c r="C414" s="45"/>
      <c r="D414" s="31"/>
      <c r="E414" s="31"/>
      <c r="F414" s="268"/>
      <c r="G414" s="269"/>
      <c r="H414" s="269"/>
      <c r="I414" s="270"/>
      <c r="J414" s="210"/>
      <c r="K414" s="270"/>
      <c r="L414" s="270"/>
      <c r="M414" s="39"/>
      <c r="N414" s="39"/>
      <c r="O414" s="156"/>
      <c r="P414" s="47"/>
      <c r="Q414" s="57"/>
      <c r="R414" s="271"/>
      <c r="S414" s="272"/>
      <c r="T414" s="273"/>
      <c r="U414" s="40"/>
      <c r="V414" s="274"/>
      <c r="W414" s="269"/>
      <c r="X414" s="269"/>
      <c r="Y414" s="275"/>
      <c r="Z414" s="269"/>
      <c r="AA414" s="57"/>
      <c r="AB414" s="207"/>
      <c r="AC414" s="33"/>
      <c r="AD414" s="189"/>
      <c r="AE414" s="54"/>
      <c r="AF414" s="55"/>
      <c r="AG414" s="43"/>
      <c r="AH414" s="47"/>
      <c r="AI414" s="30"/>
      <c r="AJ414" s="30"/>
      <c r="AK414" s="30"/>
      <c r="AL414" s="30"/>
      <c r="AM414" s="13"/>
      <c r="AN414" s="13"/>
      <c r="AO414" s="13"/>
      <c r="AP414" s="13"/>
      <c r="AQ414" s="13"/>
      <c r="AR414" s="14"/>
      <c r="AS414" s="15"/>
    </row>
    <row r="415" spans="1:45" s="17" customFormat="1" ht="30.95" hidden="1" customHeight="1" x14ac:dyDescent="0.2">
      <c r="A415" s="37"/>
      <c r="B415" s="38"/>
      <c r="C415" s="45"/>
      <c r="D415" s="31">
        <v>3704463</v>
      </c>
      <c r="E415" s="31">
        <v>4161880</v>
      </c>
      <c r="F415" s="268" t="str">
        <f>IF(D415="","",VLOOKUP(D415,契約台帳!$A$3:$K$4986,6,FALSE)&amp;VLOOKUP(D415,契約台帳!$A$3:$K$4986,7,FALSE)&amp;VLOOKUP(D415,契約台帳!$A$3:$K$4986,8,FALSE)&amp;VLOOKUP(D415,契約台帳!$A$3:$K$4986,9,FALSE)&amp;VLOOKUP(D415,契約台帳!$A$3:$K$4986,11,FALSE))</f>
        <v>3SNMCLBMSNEYK</v>
      </c>
      <c r="G415" s="269" t="str">
        <f>IF(D415="","",VLOOKUP(F415,製品マスタ!$G$5:$H$5002,2,FALSE))</f>
        <v>S</v>
      </c>
      <c r="H415" s="269" t="str">
        <f>IF(D415="","",VLOOKUP(F415,製品マスタ!$G$5:$K$5002,5,FALSE))</f>
        <v>MSNEYK</v>
      </c>
      <c r="I415" s="270" t="str">
        <f>IF(D415="","",VLOOKUP(F415,製品マスタ!$G$5:$L$5002,6,FALSE))</f>
        <v>ＭＳＮ　ＥＹＫ</v>
      </c>
      <c r="J415" s="210" t="s">
        <v>935</v>
      </c>
      <c r="K415" s="270">
        <f>IF(D415="","",VLOOKUP(D415,契約台帳!$A$3:$L$4986,12,FALSE))</f>
        <v>50</v>
      </c>
      <c r="L415" s="270" t="str">
        <f>IF(D415="","",INDEX(製品マスタ!$Q$5:$Q$5002,MATCH('S4'!F415&amp;'S4'!K415,製品マスタ!$AO$5:$AO$5002,0)))</f>
        <v>N-MAT</v>
      </c>
      <c r="M415" s="39">
        <v>1200</v>
      </c>
      <c r="N415" s="39">
        <v>6000</v>
      </c>
      <c r="O415" s="156">
        <v>4</v>
      </c>
      <c r="P415" s="47">
        <v>2</v>
      </c>
      <c r="Q415" s="213">
        <v>45019</v>
      </c>
      <c r="R415" s="271">
        <f ca="1">IF(D415="","",IF(OFFSET(D415,-1,0)&lt;&gt;"","",IF(OR(J415="リード付け",J415="巻足し",J415="巻返しリード付け"),M415,VLOOKUP(D415,契約台帳!$A$3:$N$4986,14,FALSE))))</f>
        <v>1200</v>
      </c>
      <c r="S415" s="272">
        <f ca="1">IF(D415="","",IF(OFFSET(D415,-1,0)&lt;&gt;"","",IF(OR(J415="リード付け",J415="巻足し",J415="巻返しリード付け"),M415,VLOOKUP(D415,契約台帳!$A$3:$O$4986,15,FALSE))))</f>
        <v>1200</v>
      </c>
      <c r="T415" s="273">
        <f ca="1">IF(D415="","",IF(J415="リード付け",N415,IF(J415="巻返しリード付け",N415,IF(J415="巻足し",N415*P415+OFFSET(N415,1,0)*OFFSET(P415,1,0),VLOOKUP(D415,契約台帳!$A$3:$P$4986,16,FALSE)))))</f>
        <v>12000</v>
      </c>
      <c r="U415" s="40">
        <v>2</v>
      </c>
      <c r="V415" s="274">
        <f ca="1">IF(D415="","",IF(OFFSET(D415,-2,0)=D415,"",VLOOKUP(D415,契約台帳!$A$3:$R$4986,18,FALSE)))</f>
        <v>4</v>
      </c>
      <c r="W415" s="269" t="str">
        <f ca="1">IF(D415="","",IF(T415="","",IF(OR(J415="巻足し",J415="巻返しリード付け"),"",IF(J415="巻返し",VLOOKUP(F415&amp;K415&amp;M415,製品マスタ!$M$5:$AD$5002,18,FALSE),IF(OR(J415="リード付け",J415="巻返しリード付け"),"原反コア",IF(J415="スリット",VLOOKUP(F415&amp;K415&amp;R415,製品マスタ!$N$5:$AD$5002,17,FALSE),""))))))</f>
        <v/>
      </c>
      <c r="X415" s="269" t="str">
        <f ca="1">IF(D415="","",IF(T415="","",IF(J415="巻足し","",IF(J415="巻返し",VLOOKUP(F415&amp;K415&amp;M415,製品マスタ!$M$5:$AE$5002,19,FALSE),IF(OR(J415="リード付け",J415="巻返しリード付け"),"",IF(J415="スリット",VLOOKUP(F415&amp;K415&amp;R415,製品マスタ!$N$5:$AE$5002,18,FALSE),""))))))</f>
        <v/>
      </c>
      <c r="Y415" s="275">
        <f ca="1">IF(D415="","",IF(T415="","",VLOOKUP(D415,契約台帳!$A$3:$Q$4986,17,FALSE)))</f>
        <v>2</v>
      </c>
      <c r="Z415" s="269" t="str">
        <f ca="1">IF(D415="","",IF(T415="","",VLOOKUP(D415,契約台帳!$A$3:$E$4986,5,FALSE)))</f>
        <v>大阪シーリング印刷㈱</v>
      </c>
      <c r="AA415" s="57"/>
      <c r="AB415" s="207" t="str">
        <f>IFERROR((VLOOKUP(F415&amp;K415&amp;M415,製品マスタ!$M$5:$AM$5002,27,FALSE)),"")</f>
        <v>原反ケース再利用</v>
      </c>
      <c r="AC415" s="33"/>
      <c r="AD415" s="189"/>
      <c r="AE415" s="54"/>
      <c r="AF415" s="55"/>
      <c r="AG415" s="43"/>
      <c r="AH415" s="47"/>
      <c r="AI415" s="30"/>
      <c r="AJ415" s="30"/>
      <c r="AK415" s="30"/>
      <c r="AL415" s="30"/>
      <c r="AM415" s="13"/>
      <c r="AN415" s="13"/>
      <c r="AO415" s="13"/>
      <c r="AP415" s="13"/>
      <c r="AQ415" s="13"/>
      <c r="AR415" s="14"/>
      <c r="AS415" s="15"/>
    </row>
    <row r="416" spans="1:45" s="17" customFormat="1" ht="30.95" hidden="1" customHeight="1" x14ac:dyDescent="0.2">
      <c r="A416" s="37"/>
      <c r="B416" s="38"/>
      <c r="C416" s="45"/>
      <c r="D416" s="31"/>
      <c r="E416" s="31"/>
      <c r="F416" s="268" t="str">
        <f>IF(D416="","",VLOOKUP(D416,契約台帳!$A$3:$K$4986,6,FALSE)&amp;VLOOKUP(D416,契約台帳!$A$3:$K$4986,7,FALSE)&amp;VLOOKUP(D416,契約台帳!$A$3:$K$4986,8,FALSE)&amp;VLOOKUP(D416,契約台帳!$A$3:$K$4986,9,FALSE)&amp;VLOOKUP(D416,契約台帳!$A$3:$K$4986,11,FALSE))</f>
        <v/>
      </c>
      <c r="G416" s="269" t="str">
        <f>IF(D416="","",VLOOKUP(F416,製品マスタ!$G$5:$H$5002,2,FALSE))</f>
        <v/>
      </c>
      <c r="H416" s="269" t="str">
        <f>IF(D416="","",VLOOKUP(F416,製品マスタ!$G$5:$K$5002,5,FALSE))</f>
        <v/>
      </c>
      <c r="I416" s="270" t="str">
        <f>IF(D416="","",VLOOKUP(F416,製品マスタ!$G$5:$L$5002,6,FALSE))</f>
        <v/>
      </c>
      <c r="J416" s="210"/>
      <c r="K416" s="270" t="str">
        <f>IF(D416="","",VLOOKUP(D416,契約台帳!$A$3:$L$4986,12,FALSE))</f>
        <v/>
      </c>
      <c r="L416" s="270" t="str">
        <f>IF(D416="","",INDEX(製品マスタ!$Q$5:$Q$5002,MATCH('S4'!F416&amp;'S4'!K416,製品マスタ!$AO$5:$AO$5002,0)))</f>
        <v/>
      </c>
      <c r="M416" s="39"/>
      <c r="N416" s="39"/>
      <c r="O416" s="156"/>
      <c r="P416" s="47"/>
      <c r="Q416" s="57"/>
      <c r="R416" s="271" t="str">
        <f ca="1">IF(D416="","",IF(OFFSET(D416,-1,0)&lt;&gt;"","",IF(OR(J416="リード付け",J416="巻足し",J416="巻返しリード付け"),M416,VLOOKUP(D416,契約台帳!$A$3:$N$4986,14,FALSE))))</f>
        <v/>
      </c>
      <c r="S416" s="272" t="str">
        <f ca="1">IF(D416="","",IF(OFFSET(D416,-1,0)&lt;&gt;"","",IF(OR(J416="リード付け",J416="巻足し",J416="巻返しリード付け"),M416,VLOOKUP(D416,契約台帳!$A$3:$O$4986,15,FALSE))))</f>
        <v/>
      </c>
      <c r="T416" s="273" t="str">
        <f ca="1">IF(D416="","",IF(J416="リード付け",N416,IF(J416="巻返しリード付け",N416,IF(J416="巻足し",N416*P416+OFFSET(N416,1,0)*OFFSET(P416,1,0),VLOOKUP(D416,契約台帳!$A$3:$P$4986,16,FALSE)))))</f>
        <v/>
      </c>
      <c r="U416" s="40"/>
      <c r="V416" s="274" t="str">
        <f ca="1">IF(D416="","",IF(OFFSET(D416,-2,0)=D416,"",VLOOKUP(D416,契約台帳!$A$3:$R$4986,18,FALSE)))</f>
        <v/>
      </c>
      <c r="W416" s="269" t="str">
        <f>IF(D416="","",IF(T416="","",IF(OR(J416="巻足し",J416="巻返しリード付け"),"",IF(J416="巻返し",VLOOKUP(F416&amp;K416&amp;M416,製品マスタ!$M$5:$AD$5002,18,FALSE),IF(OR(J416="リード付け",J416="巻返しリード付け"),"原反コア",IF(J416="スリット",VLOOKUP(F416&amp;K416&amp;R416,製品マスタ!$N$5:$AD$5002,17,FALSE),""))))))</f>
        <v/>
      </c>
      <c r="X416" s="269" t="str">
        <f>IF(D416="","",IF(T416="","",IF(J416="巻足し","",IF(J416="巻返し",VLOOKUP(F416&amp;K416&amp;M416,製品マスタ!$M$5:$AE$5002,19,FALSE),IF(OR(J416="リード付け",J416="巻返しリード付け"),"",IF(J416="スリット",VLOOKUP(F416&amp;K416&amp;R416,製品マスタ!$N$5:$AE$5002,18,FALSE),""))))))</f>
        <v/>
      </c>
      <c r="Y416" s="275" t="str">
        <f>IF(D416="","",IF(T416="","",VLOOKUP(D416,契約台帳!$A$3:$Q$4986,17,FALSE)))</f>
        <v/>
      </c>
      <c r="Z416" s="269" t="str">
        <f>IF(D416="","",IF(T416="","",VLOOKUP(D416,契約台帳!$A$3:$E$4986,5,FALSE)))</f>
        <v/>
      </c>
      <c r="AA416" s="57"/>
      <c r="AB416" s="207" t="str">
        <f>IFERROR((VLOOKUP(F416&amp;K416&amp;M416,製品マスタ!$M$5:$AM$5002,27,FALSE)),"")</f>
        <v/>
      </c>
      <c r="AC416" s="33"/>
      <c r="AD416" s="189"/>
      <c r="AE416" s="54"/>
      <c r="AF416" s="55"/>
      <c r="AG416" s="43"/>
      <c r="AH416" s="47"/>
      <c r="AI416" s="30"/>
      <c r="AJ416" s="30"/>
      <c r="AK416" s="30"/>
      <c r="AL416" s="30"/>
      <c r="AM416" s="13"/>
      <c r="AN416" s="13"/>
      <c r="AO416" s="13"/>
      <c r="AP416" s="13"/>
      <c r="AQ416" s="13"/>
      <c r="AR416" s="14"/>
      <c r="AS416" s="15"/>
    </row>
    <row r="417" spans="1:45" s="17" customFormat="1" ht="30.95" hidden="1" customHeight="1" x14ac:dyDescent="0.2">
      <c r="A417" s="37"/>
      <c r="B417" s="38"/>
      <c r="C417" s="45"/>
      <c r="D417" s="31">
        <v>3704002</v>
      </c>
      <c r="E417" s="31">
        <v>4161881</v>
      </c>
      <c r="F417" s="268" t="str">
        <f>IF(D417="","",VLOOKUP(D417,契約台帳!$A$3:$K$4986,6,FALSE)&amp;VLOOKUP(D417,契約台帳!$A$3:$K$4986,7,FALSE)&amp;VLOOKUP(D417,契約台帳!$A$3:$K$4986,8,FALSE)&amp;VLOOKUP(D417,契約台帳!$A$3:$K$4986,9,FALSE)&amp;VLOOKUP(D417,契約台帳!$A$3:$K$4986,11,FALSE))</f>
        <v>3HSNMCLBEYK</v>
      </c>
      <c r="G417" s="269" t="str">
        <f>IF(D417="","",VLOOKUP(F417,製品マスタ!$G$5:$H$5002,2,FALSE))</f>
        <v>S</v>
      </c>
      <c r="H417" s="269" t="str">
        <f>IF(D417="","",VLOOKUP(F417,製品マスタ!$G$5:$K$5002,5,FALSE))</f>
        <v>EYK</v>
      </c>
      <c r="I417" s="270" t="str">
        <f>IF(D417="","",VLOOKUP(F417,製品マスタ!$G$5:$L$5002,6,FALSE))</f>
        <v>メタルミー　ＥＹＫ</v>
      </c>
      <c r="J417" s="210" t="s">
        <v>464</v>
      </c>
      <c r="K417" s="270">
        <f>IF(D417="","",VLOOKUP(D417,契約台帳!$A$3:$L$4986,12,FALSE))</f>
        <v>50</v>
      </c>
      <c r="L417" s="270" t="str">
        <f>IF(D417="","",INDEX(製品マスタ!$Q$5:$Q$5002,MATCH('S4'!F417&amp;'S4'!K417,製品マスタ!$AO$5:$AO$5002,0)))</f>
        <v>T62M</v>
      </c>
      <c r="M417" s="39">
        <v>1195</v>
      </c>
      <c r="N417" s="39">
        <v>6100</v>
      </c>
      <c r="O417" s="156">
        <v>1</v>
      </c>
      <c r="P417" s="47">
        <v>1</v>
      </c>
      <c r="Q417" s="213">
        <v>45019</v>
      </c>
      <c r="R417" s="271">
        <f ca="1">IF(D417="","",IF(OFFSET(D417,-1,0)&lt;&gt;"","",IF(OR(J417="リード付け",J417="巻足し",J417="巻返しリード付け"),M417,VLOOKUP(D417,契約台帳!$A$3:$N$4986,14,FALSE))))</f>
        <v>1195</v>
      </c>
      <c r="S417" s="272">
        <f ca="1">IF(D417="","",IF(OFFSET(D417,-1,0)&lt;&gt;"","",IF(OR(J417="リード付け",J417="巻足し",J417="巻返しリード付け"),M417,VLOOKUP(D417,契約台帳!$A$3:$O$4986,15,FALSE))))</f>
        <v>1195</v>
      </c>
      <c r="T417" s="273">
        <f ca="1">IF(D417="","",IF(J417="リード付け",N417,IF(J417="巻返しリード付け",N417,IF(J417="巻足し",N417*P417+OFFSET(N417,1,0)*OFFSET(P417,1,0),VLOOKUP(D417,契約台帳!$A$3:$P$4986,16,FALSE)))))</f>
        <v>6100</v>
      </c>
      <c r="U417" s="40">
        <v>1</v>
      </c>
      <c r="V417" s="274">
        <f ca="1">IF(D417="","",IF(OFFSET(D417,-2,0)=D417,"",VLOOKUP(D417,契約台帳!$A$3:$R$4986,18,FALSE)))</f>
        <v>1</v>
      </c>
      <c r="W417" s="269" t="str">
        <f ca="1">IF(D417="","",IF(T417="","",IF(OR(J417="巻足し",J417="巻返しリード付け"),"",IF(J417="巻返し",VLOOKUP(F417&amp;K417&amp;M417,製品マスタ!$M$5:$AD$5002,18,FALSE),IF(OR(J417="リード付け",J417="巻返しリード付け"),"原反コア",IF(J417="スリット",VLOOKUP(F417&amp;K417&amp;R417,製品マスタ!$N$5:$AD$5002,17,FALSE),""))))))</f>
        <v>原反コア</v>
      </c>
      <c r="X417" s="269" t="str">
        <f ca="1">IF(D417="","",IF(T417="","",IF(J417="巻足し","",IF(J417="巻返し",VLOOKUP(F417&amp;K417&amp;M417,製品マスタ!$M$5:$AE$5002,19,FALSE),IF(OR(J417="リード付け",J417="巻返しリード付け"),"",IF(J417="スリット",VLOOKUP(F417&amp;K417&amp;R417,製品マスタ!$N$5:$AE$5002,18,FALSE),""))))))</f>
        <v/>
      </c>
      <c r="Y417" s="275">
        <f ca="1">IF(D417="","",IF(T417="","",VLOOKUP(D417,契約台帳!$A$3:$Q$4986,17,FALSE)))</f>
        <v>2</v>
      </c>
      <c r="Z417" s="269" t="str">
        <f ca="1">IF(D417="","",IF(T417="","",VLOOKUP(D417,契約台帳!$A$3:$E$4986,5,FALSE)))</f>
        <v>大阪シーリング印刷㈱</v>
      </c>
      <c r="AA417" s="57"/>
      <c r="AB417" s="207" t="str">
        <f>IFERROR((VLOOKUP(F417&amp;K417&amp;M417,製品マスタ!$M$5:$AM$5002,27,FALSE)),"")</f>
        <v>原反ケース再利用</v>
      </c>
      <c r="AC417" s="33"/>
      <c r="AD417" s="189"/>
      <c r="AE417" s="54"/>
      <c r="AF417" s="55"/>
      <c r="AG417" s="43"/>
      <c r="AH417" s="47"/>
      <c r="AI417" s="30"/>
      <c r="AJ417" s="30"/>
      <c r="AK417" s="30"/>
      <c r="AL417" s="30"/>
      <c r="AM417" s="13"/>
      <c r="AN417" s="13"/>
      <c r="AO417" s="13"/>
      <c r="AP417" s="13"/>
      <c r="AQ417" s="13"/>
      <c r="AR417" s="14"/>
      <c r="AS417" s="15"/>
    </row>
    <row r="418" spans="1:45" s="17" customFormat="1" ht="30.95" hidden="1" customHeight="1" x14ac:dyDescent="0.2">
      <c r="A418" s="37"/>
      <c r="B418" s="38"/>
      <c r="C418" s="45"/>
      <c r="D418" s="31"/>
      <c r="E418" s="31"/>
      <c r="F418" s="268"/>
      <c r="G418" s="269"/>
      <c r="H418" s="269"/>
      <c r="I418" s="301"/>
      <c r="J418" s="210"/>
      <c r="K418" s="270"/>
      <c r="L418" s="270"/>
      <c r="M418" s="39"/>
      <c r="N418" s="39"/>
      <c r="O418" s="156"/>
      <c r="P418" s="47"/>
      <c r="Q418" s="57"/>
      <c r="R418" s="271"/>
      <c r="S418" s="272"/>
      <c r="T418" s="273"/>
      <c r="U418" s="40"/>
      <c r="V418" s="274"/>
      <c r="W418" s="269"/>
      <c r="X418" s="269"/>
      <c r="Y418" s="275"/>
      <c r="Z418" s="269"/>
      <c r="AA418" s="57"/>
      <c r="AB418" s="207"/>
      <c r="AC418" s="33"/>
      <c r="AD418" s="189"/>
      <c r="AE418" s="54"/>
      <c r="AF418" s="55"/>
      <c r="AG418" s="43"/>
      <c r="AH418" s="47"/>
      <c r="AI418" s="30"/>
      <c r="AJ418" s="30"/>
      <c r="AK418" s="30"/>
      <c r="AL418" s="30"/>
      <c r="AM418" s="13"/>
      <c r="AN418" s="13"/>
      <c r="AO418" s="13"/>
      <c r="AP418" s="13"/>
      <c r="AQ418" s="13"/>
      <c r="AR418" s="14"/>
      <c r="AS418" s="15"/>
    </row>
    <row r="419" spans="1:45" s="17" customFormat="1" ht="30.95" hidden="1" customHeight="1" x14ac:dyDescent="0.2">
      <c r="A419" s="37"/>
      <c r="B419" s="38"/>
      <c r="C419" s="45"/>
      <c r="D419" s="31">
        <v>3703996</v>
      </c>
      <c r="E419" s="31">
        <v>4161870</v>
      </c>
      <c r="F419" s="268" t="str">
        <f>IF(D419="","",VLOOKUP(D419,契約台帳!$A$3:$K$4986,6,FALSE)&amp;VLOOKUP(D419,契約台帳!$A$3:$K$4986,7,FALSE)&amp;VLOOKUP(D419,契約台帳!$A$3:$K$4986,8,FALSE)&amp;VLOOKUP(D419,契約台帳!$A$3:$K$4986,9,FALSE)&amp;VLOOKUP(D419,契約台帳!$A$3:$K$4986,11,FALSE))</f>
        <v>3SNMLBMNGTBF</v>
      </c>
      <c r="G419" s="269" t="str">
        <f>IF(D419="","",VLOOKUP(F419,製品マスタ!$G$5:$H$5002,2,FALSE))</f>
        <v>S</v>
      </c>
      <c r="H419" s="269" t="str">
        <f>IF(D419="","",VLOOKUP(F419,製品マスタ!$G$5:$K$5002,5,FALSE))</f>
        <v>MNGTBF</v>
      </c>
      <c r="I419" s="270" t="str">
        <f>IF(D419="","",VLOOKUP(F419,製品マスタ!$G$5:$L$5002,6,FALSE))</f>
        <v>メタルミー　ネーマー　銀艶　Ｂ</v>
      </c>
      <c r="J419" s="210" t="s">
        <v>1022</v>
      </c>
      <c r="K419" s="270">
        <f>IF(D419="","",VLOOKUP(D419,契約台帳!$A$3:$L$4986,12,FALSE))</f>
        <v>50</v>
      </c>
      <c r="L419" s="270" t="str">
        <f>IF(D419="","",INDEX(製品マスタ!$Q$5:$Q$5002,MATCH('S4'!F419&amp;'S4'!K419,製品マスタ!$AO$5:$AO$5002,0)))</f>
        <v>T62</v>
      </c>
      <c r="M419" s="39">
        <v>1120</v>
      </c>
      <c r="N419" s="39">
        <v>5000</v>
      </c>
      <c r="O419" s="156">
        <v>12</v>
      </c>
      <c r="P419" s="47">
        <v>2</v>
      </c>
      <c r="Q419" s="213">
        <v>45019</v>
      </c>
      <c r="R419" s="271">
        <f ca="1">IF(D419="","",IF(OFFSET(D419,-1,0)&lt;&gt;"","",IF(OR(J419="リード付け",J419="巻足し",J419="巻返しリード付け"),M419,VLOOKUP(D419,契約台帳!$A$3:$N$4986,14,FALSE))))</f>
        <v>1120</v>
      </c>
      <c r="S419" s="272">
        <f ca="1">IF(D419="","",IF(OFFSET(D419,-1,0)&lt;&gt;"","",IF(OR(J419="リード付け",J419="巻足し",J419="巻返しリード付け"),M419,VLOOKUP(D419,契約台帳!$A$3:$O$4986,15,FALSE))))</f>
        <v>1120</v>
      </c>
      <c r="T419" s="273">
        <f ca="1">IF(D419="","",IF(J419="リード付け",N419,IF(J419="巻返しリード付け",N419,IF(J419="巻足し",N419*P419+OFFSET(N419,1,0)*OFFSET(P419,1,0),VLOOKUP(D419,契約台帳!$A$3:$P$4986,16,FALSE)))))</f>
        <v>10000</v>
      </c>
      <c r="U419" s="40">
        <v>6</v>
      </c>
      <c r="V419" s="274">
        <f ca="1">IF(D419="","",IF(OFFSET(D419,-2,0)=D419,"",VLOOKUP(D419,契約台帳!$A$3:$R$4986,18,FALSE)))</f>
        <v>12</v>
      </c>
      <c r="W419" s="269" t="str">
        <f ca="1">IF(D419="","",IF(T419="","",IF(OR(J419="巻足し",J419="巻返しリード付け"),"",IF(J419="巻返し",VLOOKUP(F419&amp;K419&amp;M419,製品マスタ!$M$5:$AD$5002,18,FALSE),IF(OR(J419="リード付け",J419="巻返しリード付け"),"原反コア",IF(J419="スリット",VLOOKUP(F419&amp;K419&amp;R419,製品マスタ!$N$5:$AD$5002,17,FALSE),""))))))</f>
        <v/>
      </c>
      <c r="X419" s="269" t="str">
        <f ca="1">IF(D419="","",IF(T419="","",IF(J419="巻足し","",IF(J419="巻返し",VLOOKUP(F419&amp;K419&amp;M419,製品マスタ!$M$5:$AE$5002,19,FALSE),IF(OR(J419="リード付け",J419="巻返しリード付け"),"",IF(J419="スリット",VLOOKUP(F419&amp;K419&amp;R419,製品マスタ!$N$5:$AE$5002,18,FALSE),""))))))</f>
        <v/>
      </c>
      <c r="Y419" s="275">
        <f ca="1">IF(D419="","",IF(T419="","",VLOOKUP(D419,契約台帳!$A$3:$Q$4986,17,FALSE)))</f>
        <v>2</v>
      </c>
      <c r="Z419" s="269" t="str">
        <f ca="1">IF(D419="","",IF(T419="","",VLOOKUP(D419,契約台帳!$A$3:$E$4986,5,FALSE)))</f>
        <v>リンテック㈱</v>
      </c>
      <c r="AA419" s="57"/>
      <c r="AB419" s="207" t="str">
        <f>IFERROR((VLOOKUP(F419&amp;K419&amp;M419,製品マスタ!$M$5:$AM$5002,27,FALSE)),"")</f>
        <v>原反ケース再利用</v>
      </c>
      <c r="AC419" s="33"/>
      <c r="AD419" s="189"/>
      <c r="AE419" s="54"/>
      <c r="AF419" s="55"/>
      <c r="AG419" s="43"/>
      <c r="AH419" s="47"/>
      <c r="AI419" s="30"/>
      <c r="AJ419" s="30"/>
      <c r="AK419" s="30"/>
      <c r="AL419" s="30"/>
      <c r="AM419" s="13"/>
      <c r="AN419" s="13"/>
      <c r="AO419" s="13"/>
      <c r="AP419" s="13"/>
      <c r="AQ419" s="13"/>
      <c r="AR419" s="14"/>
      <c r="AS419" s="15"/>
    </row>
    <row r="420" spans="1:45" s="17" customFormat="1" ht="30.95" hidden="1" customHeight="1" x14ac:dyDescent="0.2">
      <c r="A420" s="37"/>
      <c r="B420" s="38"/>
      <c r="C420" s="45"/>
      <c r="D420" s="31"/>
      <c r="E420" s="31"/>
      <c r="F420" s="268" t="str">
        <f>IF(D420="","",VLOOKUP(D420,契約台帳!$A$3:$K$4986,6,FALSE)&amp;VLOOKUP(D420,契約台帳!$A$3:$K$4986,7,FALSE)&amp;VLOOKUP(D420,契約台帳!$A$3:$K$4986,8,FALSE)&amp;VLOOKUP(D420,契約台帳!$A$3:$K$4986,9,FALSE)&amp;VLOOKUP(D420,契約台帳!$A$3:$K$4986,11,FALSE))</f>
        <v/>
      </c>
      <c r="G420" s="269" t="str">
        <f>IF(D420="","",VLOOKUP(F420,製品マスタ!$G$5:$H$5002,2,FALSE))</f>
        <v/>
      </c>
      <c r="H420" s="269" t="str">
        <f>IF(D420="","",VLOOKUP(F420,製品マスタ!$G$5:$K$5002,5,FALSE))</f>
        <v/>
      </c>
      <c r="I420" s="270" t="str">
        <f>IF(D420="","",VLOOKUP(F420,製品マスタ!$G$5:$L$5002,6,FALSE))</f>
        <v/>
      </c>
      <c r="J420" s="210"/>
      <c r="K420" s="270" t="str">
        <f>IF(D420="","",VLOOKUP(D420,契約台帳!$A$3:$L$4986,12,FALSE))</f>
        <v/>
      </c>
      <c r="L420" s="270" t="str">
        <f>IF(D420="","",INDEX(製品マスタ!$Q$5:$Q$5002,MATCH('S4'!F420&amp;'S4'!K420,製品マスタ!$AO$5:$AO$5002,0)))</f>
        <v/>
      </c>
      <c r="M420" s="39"/>
      <c r="N420" s="39"/>
      <c r="O420" s="156"/>
      <c r="P420" s="47"/>
      <c r="Q420" s="57"/>
      <c r="R420" s="271" t="str">
        <f ca="1">IF(D420="","",IF(OFFSET(D420,-1,0)&lt;&gt;"","",IF(OR(J420="リード付け",J420="巻足し",J420="巻返しリード付け"),M420,VLOOKUP(D420,契約台帳!$A$3:$N$4986,14,FALSE))))</f>
        <v/>
      </c>
      <c r="S420" s="272" t="str">
        <f ca="1">IF(D420="","",IF(OFFSET(D420,-1,0)&lt;&gt;"","",IF(OR(J420="リード付け",J420="巻足し",J420="巻返しリード付け"),M420,VLOOKUP(D420,契約台帳!$A$3:$O$4986,15,FALSE))))</f>
        <v/>
      </c>
      <c r="T420" s="273" t="str">
        <f ca="1">IF(D420="","",IF(J420="リード付け",N420,IF(J420="巻返しリード付け",N420,IF(J420="巻足し",N420*P420+OFFSET(N420,1,0)*OFFSET(P420,1,0),VLOOKUP(D420,契約台帳!$A$3:$P$4986,16,FALSE)))))</f>
        <v/>
      </c>
      <c r="U420" s="40"/>
      <c r="V420" s="274" t="str">
        <f ca="1">IF(D420="","",IF(OFFSET(D420,-2,0)=D420,"",VLOOKUP(D420,契約台帳!$A$3:$R$4986,18,FALSE)))</f>
        <v/>
      </c>
      <c r="W420" s="269" t="str">
        <f>IF(D420="","",IF(T420="","",IF(OR(J420="巻足し",J420="巻返しリード付け"),"",IF(J420="巻返し",VLOOKUP(F420&amp;K420&amp;M420,製品マスタ!$M$5:$AD$5002,18,FALSE),IF(OR(J420="リード付け",J420="巻返しリード付け"),"原反コア",IF(J420="スリット",VLOOKUP(F420&amp;K420&amp;R420,製品マスタ!$N$5:$AD$5002,17,FALSE),""))))))</f>
        <v/>
      </c>
      <c r="X420" s="269" t="str">
        <f>IF(D420="","",IF(T420="","",IF(J420="巻足し","",IF(J420="巻返し",VLOOKUP(F420&amp;K420&amp;M420,製品マスタ!$M$5:$AE$5002,19,FALSE),IF(OR(J420="リード付け",J420="巻返しリード付け"),"",IF(J420="スリット",VLOOKUP(F420&amp;K420&amp;R420,製品マスタ!$N$5:$AE$5002,18,FALSE),""))))))</f>
        <v/>
      </c>
      <c r="Y420" s="275" t="str">
        <f>IF(D420="","",IF(T420="","",VLOOKUP(D420,契約台帳!$A$3:$Q$4986,17,FALSE)))</f>
        <v/>
      </c>
      <c r="Z420" s="269" t="str">
        <f>IF(D420="","",IF(T420="","",VLOOKUP(D420,契約台帳!$A$3:$E$4986,5,FALSE)))</f>
        <v/>
      </c>
      <c r="AA420" s="57"/>
      <c r="AB420" s="207" t="str">
        <f>IFERROR((VLOOKUP(F420&amp;K420&amp;M420,製品マスタ!$M$5:$AM$5002,27,FALSE)),"")</f>
        <v/>
      </c>
      <c r="AC420" s="33"/>
      <c r="AD420" s="189"/>
      <c r="AE420" s="54"/>
      <c r="AF420" s="55"/>
      <c r="AG420" s="43"/>
      <c r="AH420" s="47"/>
      <c r="AI420" s="30"/>
      <c r="AJ420" s="30"/>
      <c r="AK420" s="30"/>
      <c r="AL420" s="30"/>
      <c r="AM420" s="13"/>
      <c r="AN420" s="13"/>
      <c r="AO420" s="13"/>
      <c r="AP420" s="13"/>
      <c r="AQ420" s="13"/>
      <c r="AR420" s="14"/>
      <c r="AS420" s="15"/>
    </row>
    <row r="421" spans="1:45" s="17" customFormat="1" ht="30.95" hidden="1" customHeight="1" x14ac:dyDescent="0.2">
      <c r="A421" s="37" t="s">
        <v>1023</v>
      </c>
      <c r="B421" s="38" t="s">
        <v>1024</v>
      </c>
      <c r="C421" s="45"/>
      <c r="D421" s="31">
        <v>3703997</v>
      </c>
      <c r="E421" s="31">
        <v>4161871</v>
      </c>
      <c r="F421" s="268" t="str">
        <f>IF(D421="","",VLOOKUP(D421,契約台帳!$A$3:$K$4986,6,FALSE)&amp;VLOOKUP(D421,契約台帳!$A$3:$K$4986,7,FALSE)&amp;VLOOKUP(D421,契約台帳!$A$3:$K$4986,8,FALSE)&amp;VLOOKUP(D421,契約台帳!$A$3:$K$4986,9,FALSE)&amp;VLOOKUP(D421,契約台帳!$A$3:$K$4986,11,FALSE))</f>
        <v>3SNMLBMNGTBF</v>
      </c>
      <c r="G421" s="269" t="str">
        <f>IF(D421="","",VLOOKUP(F421,製品マスタ!$G$5:$H$5002,2,FALSE))</f>
        <v>S</v>
      </c>
      <c r="H421" s="269" t="str">
        <f>IF(D421="","",VLOOKUP(F421,製品マスタ!$G$5:$K$5002,5,FALSE))</f>
        <v>MNGTBF</v>
      </c>
      <c r="I421" s="270" t="str">
        <f>IF(D421="","",VLOOKUP(F421,製品マスタ!$G$5:$L$5002,6,FALSE))</f>
        <v>メタルミー　ネーマー　銀艶　Ｂ</v>
      </c>
      <c r="J421" s="210" t="s">
        <v>1022</v>
      </c>
      <c r="K421" s="270">
        <f>IF(D421="","",VLOOKUP(D421,契約台帳!$A$3:$L$4986,12,FALSE))</f>
        <v>50</v>
      </c>
      <c r="L421" s="270" t="str">
        <f>IF(D421="","",INDEX(製品マスタ!$Q$5:$Q$5002,MATCH('S4'!F421&amp;'S4'!K421,製品マスタ!$AO$5:$AO$5002,0)))</f>
        <v>T62</v>
      </c>
      <c r="M421" s="39">
        <v>1120</v>
      </c>
      <c r="N421" s="39">
        <v>5000</v>
      </c>
      <c r="O421" s="156">
        <v>12</v>
      </c>
      <c r="P421" s="47">
        <v>2</v>
      </c>
      <c r="Q421" s="213">
        <v>45019</v>
      </c>
      <c r="R421" s="271">
        <f ca="1">IF(D421="","",IF(OFFSET(D421,-1,0)&lt;&gt;"","",IF(OR(J421="リード付け",J421="巻足し",J421="巻返しリード付け"),M421,VLOOKUP(D421,契約台帳!$A$3:$N$4986,14,FALSE))))</f>
        <v>1120</v>
      </c>
      <c r="S421" s="272">
        <f ca="1">IF(D421="","",IF(OFFSET(D421,-1,0)&lt;&gt;"","",IF(OR(J421="リード付け",J421="巻足し",J421="巻返しリード付け"),M421,VLOOKUP(D421,契約台帳!$A$3:$O$4986,15,FALSE))))</f>
        <v>1120</v>
      </c>
      <c r="T421" s="273">
        <f ca="1">IF(D421="","",IF(J421="リード付け",N421,IF(J421="巻返しリード付け",N421,IF(J421="巻足し",N421*P421+OFFSET(N421,1,0)*OFFSET(P421,1,0),VLOOKUP(D421,契約台帳!$A$3:$P$4986,16,FALSE)))))</f>
        <v>10000</v>
      </c>
      <c r="U421" s="40">
        <v>6</v>
      </c>
      <c r="V421" s="274">
        <f ca="1">IF(D421="","",IF(OFFSET(D421,-2,0)=D421,"",VLOOKUP(D421,契約台帳!$A$3:$R$4986,18,FALSE)))</f>
        <v>12</v>
      </c>
      <c r="W421" s="269" t="str">
        <f ca="1">IF(D421="","",IF(T421="","",IF(OR(J421="巻足し",J421="巻返しリード付け"),"",IF(J421="巻返し",VLOOKUP(F421&amp;K421&amp;M421,製品マスタ!$M$5:$AD$5002,18,FALSE),IF(OR(J421="リード付け",J421="巻返しリード付け"),"原反コア",IF(J421="スリット",VLOOKUP(F421&amp;K421&amp;R421,製品マスタ!$N$5:$AD$5002,17,FALSE),""))))))</f>
        <v/>
      </c>
      <c r="X421" s="269" t="str">
        <f ca="1">IF(D421="","",IF(T421="","",IF(J421="巻足し","",IF(J421="巻返し",VLOOKUP(F421&amp;K421&amp;M421,製品マスタ!$M$5:$AE$5002,19,FALSE),IF(OR(J421="リード付け",J421="巻返しリード付け"),"",IF(J421="スリット",VLOOKUP(F421&amp;K421&amp;R421,製品マスタ!$N$5:$AE$5002,18,FALSE),""))))))</f>
        <v/>
      </c>
      <c r="Y421" s="275">
        <f ca="1">IF(D421="","",IF(T421="","",VLOOKUP(D421,契約台帳!$A$3:$Q$4986,17,FALSE)))</f>
        <v>2</v>
      </c>
      <c r="Z421" s="269" t="str">
        <f ca="1">IF(D421="","",IF(T421="","",VLOOKUP(D421,契約台帳!$A$3:$E$4986,5,FALSE)))</f>
        <v>リンテック㈱</v>
      </c>
      <c r="AA421" s="57"/>
      <c r="AB421" s="207" t="str">
        <f>IFERROR((VLOOKUP(F421&amp;K421&amp;M421,製品マスタ!$M$5:$AM$5002,27,FALSE)),"")</f>
        <v>原反ケース再利用</v>
      </c>
      <c r="AC421" s="33"/>
      <c r="AD421" s="189"/>
      <c r="AE421" s="54"/>
      <c r="AF421" s="55"/>
      <c r="AG421" s="43"/>
      <c r="AH421" s="47"/>
      <c r="AI421" s="30"/>
      <c r="AJ421" s="30"/>
      <c r="AK421" s="30"/>
      <c r="AL421" s="30"/>
      <c r="AM421" s="13"/>
      <c r="AN421" s="13"/>
      <c r="AO421" s="13"/>
      <c r="AP421" s="13"/>
      <c r="AQ421" s="13"/>
      <c r="AR421" s="14"/>
      <c r="AS421" s="15"/>
    </row>
    <row r="422" spans="1:45" s="17" customFormat="1" ht="30.95" hidden="1" customHeight="1" x14ac:dyDescent="0.2">
      <c r="A422" s="37"/>
      <c r="B422" s="38"/>
      <c r="C422" s="45"/>
      <c r="D422" s="31"/>
      <c r="E422" s="31"/>
      <c r="F422" s="268" t="str">
        <f>IF(D422="","",VLOOKUP(D422,契約台帳!$A$3:$K$4986,6,FALSE)&amp;VLOOKUP(D422,契約台帳!$A$3:$K$4986,7,FALSE)&amp;VLOOKUP(D422,契約台帳!$A$3:$K$4986,8,FALSE)&amp;VLOOKUP(D422,契約台帳!$A$3:$K$4986,9,FALSE)&amp;VLOOKUP(D422,契約台帳!$A$3:$K$4986,11,FALSE))</f>
        <v/>
      </c>
      <c r="G422" s="269" t="str">
        <f>IF(D422="","",VLOOKUP(F422,製品マスタ!$G$5:$H$5002,2,FALSE))</f>
        <v/>
      </c>
      <c r="H422" s="269" t="str">
        <f>IF(D422="","",VLOOKUP(F422,製品マスタ!$G$5:$K$5002,5,FALSE))</f>
        <v/>
      </c>
      <c r="I422" s="270" t="str">
        <f>IF(D422="","",VLOOKUP(F422,製品マスタ!$G$5:$L$5002,6,FALSE))</f>
        <v/>
      </c>
      <c r="J422" s="210"/>
      <c r="K422" s="270" t="str">
        <f>IF(D422="","",VLOOKUP(D422,契約台帳!$A$3:$L$4986,12,FALSE))</f>
        <v/>
      </c>
      <c r="L422" s="270" t="str">
        <f>IF(D422="","",INDEX(製品マスタ!$Q$5:$Q$5002,MATCH('S4'!F422&amp;'S4'!K422,製品マスタ!$AO$5:$AO$5002,0)))</f>
        <v/>
      </c>
      <c r="M422" s="39"/>
      <c r="N422" s="39"/>
      <c r="O422" s="156"/>
      <c r="P422" s="47"/>
      <c r="Q422" s="57"/>
      <c r="R422" s="271" t="str">
        <f ca="1">IF(D422="","",IF(OFFSET(D422,-1,0)&lt;&gt;"","",IF(OR(J422="リード付け",J422="巻足し",J422="巻返しリード付け"),M422,VLOOKUP(D422,契約台帳!$A$3:$N$4986,14,FALSE))))</f>
        <v/>
      </c>
      <c r="S422" s="272" t="str">
        <f ca="1">IF(D422="","",IF(OFFSET(D422,-1,0)&lt;&gt;"","",IF(OR(J422="リード付け",J422="巻足し",J422="巻返しリード付け"),M422,VLOOKUP(D422,契約台帳!$A$3:$O$4986,15,FALSE))))</f>
        <v/>
      </c>
      <c r="T422" s="273" t="str">
        <f ca="1">IF(D422="","",IF(J422="リード付け",N422,IF(J422="巻返しリード付け",N422,IF(J422="巻足し",N422*P422+OFFSET(N422,1,0)*OFFSET(P422,1,0),VLOOKUP(D422,契約台帳!$A$3:$P$4986,16,FALSE)))))</f>
        <v/>
      </c>
      <c r="U422" s="40"/>
      <c r="V422" s="274" t="str">
        <f ca="1">IF(D422="","",IF(OFFSET(D422,-2,0)=D422,"",VLOOKUP(D422,契約台帳!$A$3:$R$4986,18,FALSE)))</f>
        <v/>
      </c>
      <c r="W422" s="269" t="str">
        <f>IF(D422="","",IF(T422="","",IF(OR(J422="巻足し",J422="巻返しリード付け"),"",IF(J422="巻返し",VLOOKUP(F422&amp;K422&amp;M422,製品マスタ!$M$5:$AD$5002,18,FALSE),IF(OR(J422="リード付け",J422="巻返しリード付け"),"原反コア",IF(J422="スリット",VLOOKUP(F422&amp;K422&amp;R422,製品マスタ!$N$5:$AD$5002,17,FALSE),""))))))</f>
        <v/>
      </c>
      <c r="X422" s="269" t="str">
        <f>IF(D422="","",IF(T422="","",IF(J422="巻足し","",IF(J422="巻返し",VLOOKUP(F422&amp;K422&amp;M422,製品マスタ!$M$5:$AE$5002,19,FALSE),IF(OR(J422="リード付け",J422="巻返しリード付け"),"",IF(J422="スリット",VLOOKUP(F422&amp;K422&amp;R422,製品マスタ!$N$5:$AE$5002,18,FALSE),""))))))</f>
        <v/>
      </c>
      <c r="Y422" s="275" t="str">
        <f>IF(D422="","",IF(T422="","",VLOOKUP(D422,契約台帳!$A$3:$Q$4986,17,FALSE)))</f>
        <v/>
      </c>
      <c r="Z422" s="269" t="str">
        <f>IF(D422="","",IF(T422="","",VLOOKUP(D422,契約台帳!$A$3:$E$4986,5,FALSE)))</f>
        <v/>
      </c>
      <c r="AA422" s="57"/>
      <c r="AB422" s="207" t="str">
        <f>IFERROR((VLOOKUP(F422&amp;K422&amp;M422,製品マスタ!$M$5:$AM$5002,27,FALSE)),"")</f>
        <v/>
      </c>
      <c r="AC422" s="33"/>
      <c r="AD422" s="189"/>
      <c r="AE422" s="54"/>
      <c r="AF422" s="55"/>
      <c r="AG422" s="43"/>
      <c r="AH422" s="47"/>
      <c r="AI422" s="30"/>
      <c r="AJ422" s="30"/>
      <c r="AK422" s="30"/>
      <c r="AL422" s="30"/>
      <c r="AM422" s="13"/>
      <c r="AN422" s="13"/>
      <c r="AO422" s="13"/>
      <c r="AP422" s="13"/>
      <c r="AQ422" s="13"/>
      <c r="AR422" s="14"/>
      <c r="AS422" s="15"/>
    </row>
    <row r="423" spans="1:45" s="17" customFormat="1" ht="30.95" hidden="1" customHeight="1" x14ac:dyDescent="0.2">
      <c r="A423" s="37" t="s">
        <v>1017</v>
      </c>
      <c r="B423" s="38" t="s">
        <v>1018</v>
      </c>
      <c r="C423" s="45"/>
      <c r="D423" s="31">
        <v>3703998</v>
      </c>
      <c r="E423" s="31">
        <v>4161872</v>
      </c>
      <c r="F423" s="268" t="str">
        <f>IF(D423="","",VLOOKUP(D423,契約台帳!$A$3:$K$4986,6,FALSE)&amp;VLOOKUP(D423,契約台帳!$A$3:$K$4986,7,FALSE)&amp;VLOOKUP(D423,契約台帳!$A$3:$K$4986,8,FALSE)&amp;VLOOKUP(D423,契約台帳!$A$3:$K$4986,9,FALSE)&amp;VLOOKUP(D423,契約台帳!$A$3:$K$4986,11,FALSE))</f>
        <v>3SNMLBMNGTBF</v>
      </c>
      <c r="G423" s="269" t="str">
        <f>IF(D423="","",VLOOKUP(F423,製品マスタ!$G$5:$H$5002,2,FALSE))</f>
        <v>S</v>
      </c>
      <c r="H423" s="269" t="str">
        <f>IF(D423="","",VLOOKUP(F423,製品マスタ!$G$5:$K$5002,5,FALSE))</f>
        <v>MNGTBF</v>
      </c>
      <c r="I423" s="270" t="str">
        <f>IF(D423="","",VLOOKUP(F423,製品マスタ!$G$5:$L$5002,6,FALSE))</f>
        <v>メタルミー　ネーマー　銀艶　Ｂ</v>
      </c>
      <c r="J423" s="210" t="s">
        <v>1022</v>
      </c>
      <c r="K423" s="270">
        <f>IF(D423="","",VLOOKUP(D423,契約台帳!$A$3:$L$4986,12,FALSE))</f>
        <v>50</v>
      </c>
      <c r="L423" s="270" t="str">
        <f>IF(D423="","",INDEX(製品マスタ!$Q$5:$Q$5002,MATCH('S4'!F423&amp;'S4'!K423,製品マスタ!$AO$5:$AO$5002,0)))</f>
        <v>T62</v>
      </c>
      <c r="M423" s="39">
        <v>1120</v>
      </c>
      <c r="N423" s="39">
        <v>5000</v>
      </c>
      <c r="O423" s="156">
        <v>12</v>
      </c>
      <c r="P423" s="47">
        <v>2</v>
      </c>
      <c r="Q423" s="213">
        <v>45020</v>
      </c>
      <c r="R423" s="271">
        <f ca="1">IF(D423="","",IF(OFFSET(D423,-1,0)&lt;&gt;"","",IF(OR(J423="リード付け",J423="巻足し",J423="巻返しリード付け"),M423,VLOOKUP(D423,契約台帳!$A$3:$N$4986,14,FALSE))))</f>
        <v>1120</v>
      </c>
      <c r="S423" s="272">
        <f ca="1">IF(D423="","",IF(OFFSET(D423,-1,0)&lt;&gt;"","",IF(OR(J423="リード付け",J423="巻足し",J423="巻返しリード付け"),M423,VLOOKUP(D423,契約台帳!$A$3:$O$4986,15,FALSE))))</f>
        <v>1120</v>
      </c>
      <c r="T423" s="273">
        <f ca="1">IF(D423="","",IF(J423="リード付け",N423,IF(J423="巻返しリード付け",N423,IF(J423="巻足し",N423*P423+OFFSET(N423,1,0)*OFFSET(P423,1,0),VLOOKUP(D423,契約台帳!$A$3:$P$4986,16,FALSE)))))</f>
        <v>10000</v>
      </c>
      <c r="U423" s="40">
        <v>6</v>
      </c>
      <c r="V423" s="274">
        <f ca="1">IF(D423="","",IF(OFFSET(D423,-2,0)=D423,"",VLOOKUP(D423,契約台帳!$A$3:$R$4986,18,FALSE)))</f>
        <v>12</v>
      </c>
      <c r="W423" s="269" t="str">
        <f ca="1">IF(D423="","",IF(T423="","",IF(OR(J423="巻足し",J423="巻返しリード付け"),"",IF(J423="巻返し",VLOOKUP(F423&amp;K423&amp;M423,製品マスタ!$M$5:$AD$5002,18,FALSE),IF(OR(J423="リード付け",J423="巻返しリード付け"),"原反コア",IF(J423="スリット",VLOOKUP(F423&amp;K423&amp;R423,製品マスタ!$N$5:$AD$5002,17,FALSE),""))))))</f>
        <v/>
      </c>
      <c r="X423" s="269" t="str">
        <f ca="1">IF(D423="","",IF(T423="","",IF(J423="巻足し","",IF(J423="巻返し",VLOOKUP(F423&amp;K423&amp;M423,製品マスタ!$M$5:$AE$5002,19,FALSE),IF(OR(J423="リード付け",J423="巻返しリード付け"),"",IF(J423="スリット",VLOOKUP(F423&amp;K423&amp;R423,製品マスタ!$N$5:$AE$5002,18,FALSE),""))))))</f>
        <v/>
      </c>
      <c r="Y423" s="275">
        <f ca="1">IF(D423="","",IF(T423="","",VLOOKUP(D423,契約台帳!$A$3:$Q$4986,17,FALSE)))</f>
        <v>2</v>
      </c>
      <c r="Z423" s="269" t="str">
        <f ca="1">IF(D423="","",IF(T423="","",VLOOKUP(D423,契約台帳!$A$3:$E$4986,5,FALSE)))</f>
        <v>リンテック㈱</v>
      </c>
      <c r="AA423" s="57"/>
      <c r="AB423" s="207" t="str">
        <f>IFERROR((VLOOKUP(F423&amp;K423&amp;M423,製品マスタ!$M$5:$AM$5002,27,FALSE)),"")</f>
        <v>原反ケース再利用</v>
      </c>
      <c r="AC423" s="33"/>
      <c r="AD423" s="189"/>
      <c r="AE423" s="54"/>
      <c r="AF423" s="55"/>
      <c r="AG423" s="43"/>
      <c r="AH423" s="47"/>
      <c r="AI423" s="30"/>
      <c r="AJ423" s="30"/>
      <c r="AK423" s="30"/>
      <c r="AL423" s="30"/>
      <c r="AM423" s="13"/>
      <c r="AN423" s="13"/>
      <c r="AO423" s="13"/>
      <c r="AP423" s="13"/>
      <c r="AQ423" s="13"/>
      <c r="AR423" s="14"/>
      <c r="AS423" s="15"/>
    </row>
    <row r="424" spans="1:45" s="17" customFormat="1" ht="30.95" hidden="1" customHeight="1" x14ac:dyDescent="0.2">
      <c r="A424" s="37"/>
      <c r="B424" s="38"/>
      <c r="C424" s="45"/>
      <c r="D424" s="31"/>
      <c r="E424" s="31"/>
      <c r="F424" s="268" t="str">
        <f>IF(D424="","",VLOOKUP(D424,契約台帳!$A$3:$K$4986,6,FALSE)&amp;VLOOKUP(D424,契約台帳!$A$3:$K$4986,7,FALSE)&amp;VLOOKUP(D424,契約台帳!$A$3:$K$4986,8,FALSE)&amp;VLOOKUP(D424,契約台帳!$A$3:$K$4986,9,FALSE)&amp;VLOOKUP(D424,契約台帳!$A$3:$K$4986,11,FALSE))</f>
        <v/>
      </c>
      <c r="G424" s="269" t="str">
        <f>IF(D424="","",VLOOKUP(F424,製品マスタ!$G$5:$H$5002,2,FALSE))</f>
        <v/>
      </c>
      <c r="H424" s="269" t="str">
        <f>IF(D424="","",VLOOKUP(F424,製品マスタ!$G$5:$K$5002,5,FALSE))</f>
        <v/>
      </c>
      <c r="I424" s="270" t="str">
        <f>IF(D424="","",VLOOKUP(F424,製品マスタ!$G$5:$L$5002,6,FALSE))</f>
        <v/>
      </c>
      <c r="J424" s="210"/>
      <c r="K424" s="270" t="str">
        <f>IF(D424="","",VLOOKUP(D424,契約台帳!$A$3:$L$4986,12,FALSE))</f>
        <v/>
      </c>
      <c r="L424" s="270" t="str">
        <f>IF(D424="","",INDEX(製品マスタ!$Q$5:$Q$5002,MATCH('S4'!F424&amp;'S4'!K424,製品マスタ!$AO$5:$AO$5002,0)))</f>
        <v/>
      </c>
      <c r="M424" s="39"/>
      <c r="N424" s="39"/>
      <c r="O424" s="156"/>
      <c r="P424" s="47"/>
      <c r="Q424" s="57"/>
      <c r="R424" s="271" t="str">
        <f ca="1">IF(D424="","",IF(OFFSET(D424,-1,0)&lt;&gt;"","",IF(OR(J424="リード付け",J424="巻足し",J424="巻返しリード付け"),M424,VLOOKUP(D424,契約台帳!$A$3:$N$4986,14,FALSE))))</f>
        <v/>
      </c>
      <c r="S424" s="272" t="str">
        <f ca="1">IF(D424="","",IF(OFFSET(D424,-1,0)&lt;&gt;"","",IF(OR(J424="リード付け",J424="巻足し",J424="巻返しリード付け"),M424,VLOOKUP(D424,契約台帳!$A$3:$O$4986,15,FALSE))))</f>
        <v/>
      </c>
      <c r="T424" s="273" t="str">
        <f ca="1">IF(D424="","",IF(J424="リード付け",N424,IF(J424="巻返しリード付け",N424,IF(J424="巻足し",N424*P424+OFFSET(N424,1,0)*OFFSET(P424,1,0),VLOOKUP(D424,契約台帳!$A$3:$P$4986,16,FALSE)))))</f>
        <v/>
      </c>
      <c r="U424" s="40"/>
      <c r="V424" s="274" t="str">
        <f ca="1">IF(D424="","",IF(OFFSET(D424,-2,0)=D424,"",VLOOKUP(D424,契約台帳!$A$3:$R$4986,18,FALSE)))</f>
        <v/>
      </c>
      <c r="W424" s="269" t="str">
        <f>IF(D424="","",IF(T424="","",IF(OR(J424="巻足し",J424="巻返しリード付け"),"",IF(J424="巻返し",VLOOKUP(F424&amp;K424&amp;M424,製品マスタ!$M$5:$AD$5002,18,FALSE),IF(OR(J424="リード付け",J424="巻返しリード付け"),"原反コア",IF(J424="スリット",VLOOKUP(F424&amp;K424&amp;R424,製品マスタ!$N$5:$AD$5002,17,FALSE),""))))))</f>
        <v/>
      </c>
      <c r="X424" s="269" t="str">
        <f>IF(D424="","",IF(T424="","",IF(J424="巻足し","",IF(J424="巻返し",VLOOKUP(F424&amp;K424&amp;M424,製品マスタ!$M$5:$AE$5002,19,FALSE),IF(OR(J424="リード付け",J424="巻返しリード付け"),"",IF(J424="スリット",VLOOKUP(F424&amp;K424&amp;R424,製品マスタ!$N$5:$AE$5002,18,FALSE),""))))))</f>
        <v/>
      </c>
      <c r="Y424" s="275" t="str">
        <f>IF(D424="","",IF(T424="","",VLOOKUP(D424,契約台帳!$A$3:$Q$4986,17,FALSE)))</f>
        <v/>
      </c>
      <c r="Z424" s="269" t="str">
        <f>IF(D424="","",IF(T424="","",VLOOKUP(D424,契約台帳!$A$3:$E$4986,5,FALSE)))</f>
        <v/>
      </c>
      <c r="AA424" s="57"/>
      <c r="AB424" s="207" t="str">
        <f>IFERROR((VLOOKUP(F424&amp;K424&amp;M424,製品マスタ!$M$5:$AM$5002,27,FALSE)),"")</f>
        <v/>
      </c>
      <c r="AC424" s="33"/>
      <c r="AD424" s="189"/>
      <c r="AE424" s="54"/>
      <c r="AF424" s="55"/>
      <c r="AG424" s="43"/>
      <c r="AH424" s="47"/>
      <c r="AI424" s="30"/>
      <c r="AJ424" s="30"/>
      <c r="AK424" s="30"/>
      <c r="AL424" s="30"/>
      <c r="AM424" s="13"/>
      <c r="AN424" s="13"/>
      <c r="AO424" s="13"/>
      <c r="AP424" s="13"/>
      <c r="AQ424" s="13"/>
      <c r="AR424" s="14"/>
      <c r="AS424" s="15"/>
    </row>
    <row r="425" spans="1:45" s="17" customFormat="1" ht="30.95" hidden="1" customHeight="1" x14ac:dyDescent="0.2">
      <c r="A425" s="37" t="s">
        <v>1025</v>
      </c>
      <c r="B425" s="38" t="s">
        <v>443</v>
      </c>
      <c r="C425" s="45"/>
      <c r="D425" s="31">
        <v>3706174</v>
      </c>
      <c r="E425" s="31">
        <v>4161882</v>
      </c>
      <c r="F425" s="268" t="str">
        <f>IF(D425="","",VLOOKUP(D425,契約台帳!$A$3:$K$4986,6,FALSE)&amp;VLOOKUP(D425,契約台帳!$A$3:$K$4986,7,FALSE)&amp;VLOOKUP(D425,契約台帳!$A$3:$K$4986,8,FALSE)&amp;VLOOKUP(D425,契約台帳!$A$3:$K$4986,9,FALSE)&amp;VLOOKUP(D425,契約台帳!$A$3:$K$4986,11,FALSE))</f>
        <v>3SNMLBMNGTBF</v>
      </c>
      <c r="G425" s="269" t="str">
        <f>IF(D425="","",VLOOKUP(F425,製品マスタ!$G$5:$H$5002,2,FALSE))</f>
        <v>S</v>
      </c>
      <c r="H425" s="269" t="str">
        <f>IF(D425="","",VLOOKUP(F425,製品マスタ!$G$5:$K$5002,5,FALSE))</f>
        <v>MNGTBF</v>
      </c>
      <c r="I425" s="270" t="str">
        <f>IF(D425="","",VLOOKUP(F425,製品マスタ!$G$5:$L$5002,6,FALSE))</f>
        <v>メタルミー　ネーマー　銀艶　Ｂ</v>
      </c>
      <c r="J425" s="210" t="s">
        <v>935</v>
      </c>
      <c r="K425" s="270">
        <f>IF(D425="","",VLOOKUP(D425,契約台帳!$A$3:$L$4986,12,FALSE))</f>
        <v>50</v>
      </c>
      <c r="L425" s="270" t="str">
        <f>IF(D425="","",INDEX(製品マスタ!$Q$5:$Q$5002,MATCH('S4'!F425&amp;'S4'!K425,製品マスタ!$AO$5:$AO$5002,0)))</f>
        <v>T62</v>
      </c>
      <c r="M425" s="39">
        <v>1120</v>
      </c>
      <c r="N425" s="39">
        <v>5000</v>
      </c>
      <c r="O425" s="156">
        <v>12</v>
      </c>
      <c r="P425" s="47">
        <v>2</v>
      </c>
      <c r="Q425" s="213">
        <v>45020</v>
      </c>
      <c r="R425" s="271">
        <f ca="1">IF(D425="","",IF(OFFSET(D425,-1,0)&lt;&gt;"","",IF(OR(J425="リード付け",J425="巻足し",J425="巻返しリード付け"),M425,VLOOKUP(D425,契約台帳!$A$3:$N$4986,14,FALSE))))</f>
        <v>1120</v>
      </c>
      <c r="S425" s="272">
        <f ca="1">IF(D425="","",IF(OFFSET(D425,-1,0)&lt;&gt;"","",IF(OR(J425="リード付け",J425="巻足し",J425="巻返しリード付け"),M425,VLOOKUP(D425,契約台帳!$A$3:$O$4986,15,FALSE))))</f>
        <v>1120</v>
      </c>
      <c r="T425" s="273">
        <f ca="1">IF(D425="","",IF(J425="リード付け",N425,IF(J425="巻返しリード付け",N425,IF(J425="巻足し",N425*P425+OFFSET(N425,1,0)*OFFSET(P425,1,0),VLOOKUP(D425,契約台帳!$A$3:$P$4986,16,FALSE)))))</f>
        <v>10000</v>
      </c>
      <c r="U425" s="40">
        <v>6</v>
      </c>
      <c r="V425" s="274">
        <f ca="1">IF(D425="","",IF(OFFSET(D425,-2,0)=D425,"",VLOOKUP(D425,契約台帳!$A$3:$R$4986,18,FALSE)))</f>
        <v>12</v>
      </c>
      <c r="W425" s="269" t="str">
        <f ca="1">IF(D425="","",IF(T425="","",IF(OR(J425="巻足し",J425="巻返しリード付け"),"",IF(J425="巻返し",VLOOKUP(F425&amp;K425&amp;M425,製品マスタ!$M$5:$AD$5002,18,FALSE),IF(OR(J425="リード付け",J425="巻返しリード付け"),"原反コア",IF(J425="スリット",VLOOKUP(F425&amp;K425&amp;R425,製品マスタ!$N$5:$AD$5002,17,FALSE),""))))))</f>
        <v/>
      </c>
      <c r="X425" s="269" t="str">
        <f ca="1">IF(D425="","",IF(T425="","",IF(J425="巻足し","",IF(J425="巻返し",VLOOKUP(F425&amp;K425&amp;M425,製品マスタ!$M$5:$AE$5002,19,FALSE),IF(OR(J425="リード付け",J425="巻返しリード付け"),"",IF(J425="スリット",VLOOKUP(F425&amp;K425&amp;R425,製品マスタ!$N$5:$AE$5002,18,FALSE),""))))))</f>
        <v/>
      </c>
      <c r="Y425" s="275">
        <f ca="1">IF(D425="","",IF(T425="","",VLOOKUP(D425,契約台帳!$A$3:$Q$4986,17,FALSE)))</f>
        <v>2</v>
      </c>
      <c r="Z425" s="269" t="str">
        <f ca="1">IF(D425="","",IF(T425="","",VLOOKUP(D425,契約台帳!$A$3:$E$4986,5,FALSE)))</f>
        <v>リンテック㈱</v>
      </c>
      <c r="AA425" s="57"/>
      <c r="AB425" s="303" t="str">
        <f>IFERROR((VLOOKUP(F425&amp;K425&amp;M425,製品マスタ!$M$5:$AM$5002,27,FALSE)),"")</f>
        <v>原反ケース再利用</v>
      </c>
      <c r="AC425" s="33"/>
      <c r="AD425" s="189"/>
      <c r="AE425" s="54"/>
      <c r="AF425" s="55"/>
      <c r="AG425" s="43"/>
      <c r="AH425" s="47"/>
      <c r="AI425" s="30"/>
      <c r="AJ425" s="30"/>
      <c r="AK425" s="30"/>
      <c r="AL425" s="30"/>
      <c r="AM425" s="13"/>
      <c r="AN425" s="13"/>
      <c r="AO425" s="13"/>
      <c r="AP425" s="13"/>
      <c r="AQ425" s="13"/>
      <c r="AR425" s="14"/>
      <c r="AS425" s="15"/>
    </row>
    <row r="426" spans="1:45" s="17" customFormat="1" ht="30.95" hidden="1" customHeight="1" x14ac:dyDescent="0.2">
      <c r="A426" s="37"/>
      <c r="B426" s="38"/>
      <c r="C426" s="45"/>
      <c r="D426" s="31"/>
      <c r="E426" s="31"/>
      <c r="F426" s="268"/>
      <c r="G426" s="269"/>
      <c r="H426" s="269"/>
      <c r="I426" s="270"/>
      <c r="J426" s="210"/>
      <c r="K426" s="270"/>
      <c r="L426" s="270"/>
      <c r="M426" s="39"/>
      <c r="N426" s="39"/>
      <c r="O426" s="156"/>
      <c r="P426" s="47"/>
      <c r="Q426" s="57"/>
      <c r="R426" s="271"/>
      <c r="S426" s="272"/>
      <c r="T426" s="273"/>
      <c r="U426" s="40"/>
      <c r="V426" s="274"/>
      <c r="W426" s="269"/>
      <c r="X426" s="269"/>
      <c r="Y426" s="275"/>
      <c r="Z426" s="269"/>
      <c r="AA426" s="57"/>
      <c r="AB426" s="207"/>
      <c r="AC426" s="33"/>
      <c r="AD426" s="189"/>
      <c r="AE426" s="54"/>
      <c r="AF426" s="55"/>
      <c r="AG426" s="43"/>
      <c r="AH426" s="47"/>
      <c r="AI426" s="30"/>
      <c r="AJ426" s="30"/>
      <c r="AK426" s="30"/>
      <c r="AL426" s="30"/>
      <c r="AM426" s="13"/>
      <c r="AN426" s="13"/>
      <c r="AO426" s="13"/>
      <c r="AP426" s="13"/>
      <c r="AQ426" s="13"/>
      <c r="AR426" s="14"/>
      <c r="AS426" s="15"/>
    </row>
    <row r="427" spans="1:45" s="17" customFormat="1" ht="30.95" hidden="1" customHeight="1" x14ac:dyDescent="0.2">
      <c r="A427" s="37" t="s">
        <v>1027</v>
      </c>
      <c r="B427" s="38" t="s">
        <v>444</v>
      </c>
      <c r="C427" s="45"/>
      <c r="D427" s="31">
        <v>3704001</v>
      </c>
      <c r="E427" s="31">
        <v>4161875</v>
      </c>
      <c r="F427" s="268" t="str">
        <f>IF(D427="","",VLOOKUP(D427,契約台帳!$A$3:$K$4986,6,FALSE)&amp;VLOOKUP(D427,契約台帳!$A$3:$K$4986,7,FALSE)&amp;VLOOKUP(D427,契約台帳!$A$3:$K$4986,8,FALSE)&amp;VLOOKUP(D427,契約台帳!$A$3:$K$4986,9,FALSE)&amp;VLOOKUP(D427,契約台帳!$A$3:$K$4986,11,FALSE))</f>
        <v>3SYMLBMSBBF</v>
      </c>
      <c r="G427" s="269" t="str">
        <f>IF(D427="","",VLOOKUP(F427,製品マスタ!$G$5:$H$5002,2,FALSE))</f>
        <v>S</v>
      </c>
      <c r="H427" s="269" t="str">
        <f>IF(D427="","",VLOOKUP(F427,製品マスタ!$G$5:$K$5002,5,FALSE))</f>
        <v>MSBBF</v>
      </c>
      <c r="I427" s="270" t="str">
        <f>IF(D427="","",VLOOKUP(F427,製品マスタ!$G$5:$L$5002,6,FALSE))</f>
        <v>ＭＥＴＡＬＵＭＹ　ＳＩＬＶＥＲ　ＢＲＩＧＨＴ　Ｔ６２Ｍ　Ｂ</v>
      </c>
      <c r="J427" s="210" t="s">
        <v>1022</v>
      </c>
      <c r="K427" s="270">
        <f>IF(D427="","",VLOOKUP(D427,契約台帳!$A$3:$L$4986,12,FALSE))</f>
        <v>50</v>
      </c>
      <c r="L427" s="270" t="str">
        <f>IF(D427="","",INDEX(製品マスタ!$Q$5:$Q$5002,MATCH('S4'!F427&amp;'S4'!K427,製品マスタ!$AO$5:$AO$5002,0)))</f>
        <v>T62</v>
      </c>
      <c r="M427" s="39">
        <v>1120</v>
      </c>
      <c r="N427" s="39">
        <v>5000</v>
      </c>
      <c r="O427" s="156">
        <v>2</v>
      </c>
      <c r="P427" s="47">
        <v>2</v>
      </c>
      <c r="Q427" s="213">
        <v>45020</v>
      </c>
      <c r="R427" s="271">
        <f ca="1">IF(D427="","",IF(OFFSET(D427,-1,0)&lt;&gt;"","",IF(OR(J427="リード付け",J427="巻足し",J427="巻返しリード付け"),M427,VLOOKUP(D427,契約台帳!$A$3:$N$4986,14,FALSE))))</f>
        <v>1120</v>
      </c>
      <c r="S427" s="272">
        <f ca="1">IF(D427="","",IF(OFFSET(D427,-1,0)&lt;&gt;"","",IF(OR(J427="リード付け",J427="巻足し",J427="巻返しリード付け"),M427,VLOOKUP(D427,契約台帳!$A$3:$O$4986,15,FALSE))))</f>
        <v>1120</v>
      </c>
      <c r="T427" s="273">
        <f ca="1">IF(D427="","",IF(J427="リード付け",N427,IF(J427="巻返しリード付け",N427,IF(J427="巻足し",N427*P427+OFFSET(N427,1,0)*OFFSET(P427,1,0),VLOOKUP(D427,契約台帳!$A$3:$P$4986,16,FALSE)))))</f>
        <v>10000</v>
      </c>
      <c r="U427" s="40">
        <v>1</v>
      </c>
      <c r="V427" s="274">
        <f ca="1">IF(D427="","",IF(OFFSET(D427,-2,0)=D427,"",VLOOKUP(D427,契約台帳!$A$3:$R$4986,18,FALSE)))</f>
        <v>2</v>
      </c>
      <c r="W427" s="269" t="str">
        <f ca="1">IF(D427="","",IF(T427="","",IF(OR(J427="巻足し",J427="巻返しリード付け"),"",IF(J427="巻返し",VLOOKUP(F427&amp;K427&amp;M427,製品マスタ!$M$5:$AD$5002,18,FALSE),IF(OR(J427="リード付け",J427="巻返しリード付け"),"原反コア",IF(J427="スリット",VLOOKUP(F427&amp;K427&amp;R427,製品マスタ!$N$5:$AD$5002,17,FALSE),""))))))</f>
        <v/>
      </c>
      <c r="X427" s="269" t="str">
        <f ca="1">IF(D427="","",IF(T427="","",IF(J427="巻足し","",IF(J427="巻返し",VLOOKUP(F427&amp;K427&amp;M427,製品マスタ!$M$5:$AE$5002,19,FALSE),IF(OR(J427="リード付け",J427="巻返しリード付け"),"",IF(J427="スリット",VLOOKUP(F427&amp;K427&amp;R427,製品マスタ!$N$5:$AE$5002,18,FALSE),""))))))</f>
        <v/>
      </c>
      <c r="Y427" s="275">
        <f ca="1">IF(D427="","",IF(T427="","",VLOOKUP(D427,契約台帳!$A$3:$Q$4986,17,FALSE)))</f>
        <v>2</v>
      </c>
      <c r="Z427" s="269" t="str">
        <f ca="1">IF(D427="","",IF(T427="","",VLOOKUP(D427,契約台帳!$A$3:$E$4986,5,FALSE)))</f>
        <v>リンテック㈱</v>
      </c>
      <c r="AA427" s="57"/>
      <c r="AB427" s="207" t="str">
        <f>IFERROR((VLOOKUP(F427&amp;K427&amp;M427,製品マスタ!$M$5:$AM$5002,27,FALSE)),"")</f>
        <v>原反ケース再利用</v>
      </c>
      <c r="AC427" s="33"/>
      <c r="AD427" s="189"/>
      <c r="AE427" s="54"/>
      <c r="AF427" s="55"/>
      <c r="AG427" s="43"/>
      <c r="AH427" s="47"/>
      <c r="AI427" s="30"/>
      <c r="AJ427" s="30"/>
      <c r="AK427" s="30"/>
      <c r="AL427" s="30"/>
      <c r="AM427" s="13"/>
      <c r="AN427" s="13"/>
      <c r="AO427" s="13"/>
      <c r="AP427" s="13"/>
      <c r="AQ427" s="13"/>
      <c r="AR427" s="14"/>
      <c r="AS427" s="15"/>
    </row>
    <row r="428" spans="1:45" s="17" customFormat="1" ht="30.95" hidden="1" customHeight="1" x14ac:dyDescent="0.2">
      <c r="A428" s="37"/>
      <c r="B428" s="38"/>
      <c r="C428" s="45"/>
      <c r="D428" s="31"/>
      <c r="E428" s="31"/>
      <c r="F428" s="268" t="str">
        <f>IF(D428="","",VLOOKUP(D428,契約台帳!$A$3:$K$4986,6,FALSE)&amp;VLOOKUP(D428,契約台帳!$A$3:$K$4986,7,FALSE)&amp;VLOOKUP(D428,契約台帳!$A$3:$K$4986,8,FALSE)&amp;VLOOKUP(D428,契約台帳!$A$3:$K$4986,9,FALSE)&amp;VLOOKUP(D428,契約台帳!$A$3:$K$4986,11,FALSE))</f>
        <v/>
      </c>
      <c r="G428" s="269" t="str">
        <f>IF(D428="","",VLOOKUP(F428,製品マスタ!$G$5:$H$5002,2,FALSE))</f>
        <v/>
      </c>
      <c r="H428" s="269" t="str">
        <f>IF(D428="","",VLOOKUP(F428,製品マスタ!$G$5:$K$5002,5,FALSE))</f>
        <v/>
      </c>
      <c r="I428" s="270" t="str">
        <f>IF(D428="","",VLOOKUP(F428,製品マスタ!$G$5:$L$5002,6,FALSE))</f>
        <v/>
      </c>
      <c r="J428" s="210"/>
      <c r="K428" s="270" t="str">
        <f>IF(D428="","",VLOOKUP(D428,契約台帳!$A$3:$L$4986,12,FALSE))</f>
        <v/>
      </c>
      <c r="L428" s="270" t="str">
        <f>IF(D428="","",INDEX(製品マスタ!$Q$5:$Q$5002,MATCH('S4'!F428&amp;'S4'!K428,製品マスタ!$AO$5:$AO$5002,0)))</f>
        <v/>
      </c>
      <c r="M428" s="39"/>
      <c r="N428" s="39"/>
      <c r="O428" s="156"/>
      <c r="P428" s="47"/>
      <c r="Q428" s="57"/>
      <c r="R428" s="271" t="str">
        <f ca="1">IF(D428="","",IF(OFFSET(D428,-1,0)&lt;&gt;"","",IF(OR(J428="リード付け",J428="巻足し",J428="巻返しリード付け"),M428,VLOOKUP(D428,契約台帳!$A$3:$N$4986,14,FALSE))))</f>
        <v/>
      </c>
      <c r="S428" s="272" t="str">
        <f ca="1">IF(D428="","",IF(OFFSET(D428,-1,0)&lt;&gt;"","",IF(OR(J428="リード付け",J428="巻足し",J428="巻返しリード付け"),M428,VLOOKUP(D428,契約台帳!$A$3:$O$4986,15,FALSE))))</f>
        <v/>
      </c>
      <c r="T428" s="273" t="str">
        <f ca="1">IF(D428="","",IF(J428="リード付け",N428,IF(J428="巻返しリード付け",N428,IF(J428="巻足し",N428*P428+OFFSET(N428,1,0)*OFFSET(P428,1,0),VLOOKUP(D428,契約台帳!$A$3:$P$4986,16,FALSE)))))</f>
        <v/>
      </c>
      <c r="U428" s="40"/>
      <c r="V428" s="274" t="str">
        <f ca="1">IF(D428="","",IF(OFFSET(D428,-2,0)=D428,"",VLOOKUP(D428,契約台帳!$A$3:$R$4986,18,FALSE)))</f>
        <v/>
      </c>
      <c r="W428" s="269" t="str">
        <f>IF(D428="","",IF(T428="","",IF(OR(J428="巻足し",J428="巻返しリード付け"),"",IF(J428="巻返し",VLOOKUP(F428&amp;K428&amp;M428,製品マスタ!$M$5:$AD$5002,18,FALSE),IF(OR(J428="リード付け",J428="巻返しリード付け"),"原反コア",IF(J428="スリット",VLOOKUP(F428&amp;K428&amp;R428,製品マスタ!$N$5:$AD$5002,17,FALSE),""))))))</f>
        <v/>
      </c>
      <c r="X428" s="269" t="str">
        <f>IF(D428="","",IF(T428="","",IF(J428="巻足し","",IF(J428="巻返し",VLOOKUP(F428&amp;K428&amp;M428,製品マスタ!$M$5:$AE$5002,19,FALSE),IF(OR(J428="リード付け",J428="巻返しリード付け"),"",IF(J428="スリット",VLOOKUP(F428&amp;K428&amp;R428,製品マスタ!$N$5:$AE$5002,18,FALSE),""))))))</f>
        <v/>
      </c>
      <c r="Y428" s="275" t="str">
        <f>IF(D428="","",IF(T428="","",VLOOKUP(D428,契約台帳!$A$3:$Q$4986,17,FALSE)))</f>
        <v/>
      </c>
      <c r="Z428" s="269" t="str">
        <f>IF(D428="","",IF(T428="","",VLOOKUP(D428,契約台帳!$A$3:$E$4986,5,FALSE)))</f>
        <v/>
      </c>
      <c r="AA428" s="57"/>
      <c r="AB428" s="207" t="str">
        <f>IFERROR((VLOOKUP(F428&amp;K428&amp;M428,製品マスタ!$M$5:$AM$5002,27,FALSE)),"")</f>
        <v/>
      </c>
      <c r="AC428" s="33"/>
      <c r="AD428" s="189"/>
      <c r="AE428" s="54"/>
      <c r="AF428" s="55"/>
      <c r="AG428" s="43"/>
      <c r="AH428" s="47"/>
      <c r="AI428" s="30"/>
      <c r="AJ428" s="30"/>
      <c r="AK428" s="30"/>
      <c r="AL428" s="30"/>
      <c r="AM428" s="13"/>
      <c r="AN428" s="13"/>
      <c r="AO428" s="13"/>
      <c r="AP428" s="13"/>
      <c r="AQ428" s="13"/>
      <c r="AR428" s="14"/>
      <c r="AS428" s="15"/>
    </row>
    <row r="429" spans="1:45" s="17" customFormat="1" ht="30.95" hidden="1" customHeight="1" x14ac:dyDescent="0.2">
      <c r="A429" s="37"/>
      <c r="B429" s="38"/>
      <c r="C429" s="45"/>
      <c r="D429" s="31">
        <v>3703993</v>
      </c>
      <c r="E429" s="31">
        <v>4161867</v>
      </c>
      <c r="F429" s="268" t="str">
        <f>IF(D429="","",VLOOKUP(D429,契約台帳!$A$3:$K$4986,6,FALSE)&amp;VLOOKUP(D429,契約台帳!$A$3:$K$4986,7,FALSE)&amp;VLOOKUP(D429,契約台帳!$A$3:$K$4986,8,FALSE)&amp;VLOOKUP(D429,契約台帳!$A$3:$K$4986,9,FALSE)&amp;VLOOKUP(D429,契約台帳!$A$3:$K$4986,11,FALSE))</f>
        <v>3SNMLBMNGKBF</v>
      </c>
      <c r="G429" s="269" t="str">
        <f>IF(D429="","",VLOOKUP(F429,製品マスタ!$G$5:$H$5002,2,FALSE))</f>
        <v>S</v>
      </c>
      <c r="H429" s="269" t="str">
        <f>IF(D429="","",VLOOKUP(F429,製品マスタ!$G$5:$K$5002,5,FALSE))</f>
        <v>MNGKBF</v>
      </c>
      <c r="I429" s="270" t="str">
        <f>IF(D429="","",VLOOKUP(F429,製品マスタ!$G$5:$L$5002,6,FALSE))</f>
        <v>メタルミー　ネーマー銀消　Ｂ</v>
      </c>
      <c r="J429" s="210" t="s">
        <v>1022</v>
      </c>
      <c r="K429" s="270">
        <f>IF(D429="","",VLOOKUP(D429,契約台帳!$A$3:$L$4986,12,FALSE))</f>
        <v>50</v>
      </c>
      <c r="L429" s="270" t="str">
        <f>IF(D429="","",INDEX(製品マスタ!$Q$5:$Q$5002,MATCH('S4'!F429&amp;'S4'!K429,製品マスタ!$AO$5:$AO$5002,0)))</f>
        <v>MAT</v>
      </c>
      <c r="M429" s="39">
        <v>1050</v>
      </c>
      <c r="N429" s="39">
        <v>4100</v>
      </c>
      <c r="O429" s="156">
        <v>4</v>
      </c>
      <c r="P429" s="47">
        <v>2</v>
      </c>
      <c r="Q429" s="213">
        <v>45019</v>
      </c>
      <c r="R429" s="271">
        <f ca="1">IF(D429="","",IF(OFFSET(D429,-1,0)&lt;&gt;"","",IF(OR(J429="リード付け",J429="巻足し",J429="巻返しリード付け"),M429,VLOOKUP(D429,契約台帳!$A$3:$N$4986,14,FALSE))))</f>
        <v>1050</v>
      </c>
      <c r="S429" s="272">
        <f ca="1">IF(D429="","",IF(OFFSET(D429,-1,0)&lt;&gt;"","",IF(OR(J429="リード付け",J429="巻足し",J429="巻返しリード付け"),M429,VLOOKUP(D429,契約台帳!$A$3:$O$4986,15,FALSE))))</f>
        <v>1050</v>
      </c>
      <c r="T429" s="273">
        <f ca="1">IF(D429="","",IF(J429="リード付け",N429,IF(J429="巻返しリード付け",N429,IF(J429="巻足し",N429*P429+OFFSET(N429,1,0)*OFFSET(P429,1,0),VLOOKUP(D429,契約台帳!$A$3:$P$4986,16,FALSE)))))</f>
        <v>8200</v>
      </c>
      <c r="U429" s="40">
        <v>2</v>
      </c>
      <c r="V429" s="274">
        <f ca="1">IF(D429="","",IF(OFFSET(D429,-2,0)=D429,"",VLOOKUP(D429,契約台帳!$A$3:$R$4986,18,FALSE)))</f>
        <v>4</v>
      </c>
      <c r="W429" s="269" t="str">
        <f ca="1">IF(D429="","",IF(T429="","",IF(OR(J429="巻足し",J429="巻返しリード付け"),"",IF(J429="巻返し",VLOOKUP(F429&amp;K429&amp;M429,製品マスタ!$M$5:$AD$5002,18,FALSE),IF(OR(J429="リード付け",J429="巻返しリード付け"),"原反コア",IF(J429="スリット",VLOOKUP(F429&amp;K429&amp;R429,製品マスタ!$N$5:$AD$5002,17,FALSE),""))))))</f>
        <v/>
      </c>
      <c r="X429" s="269" t="str">
        <f ca="1">IF(D429="","",IF(T429="","",IF(J429="巻足し","",IF(J429="巻返し",VLOOKUP(F429&amp;K429&amp;M429,製品マスタ!$M$5:$AE$5002,19,FALSE),IF(OR(J429="リード付け",J429="巻返しリード付け"),"",IF(J429="スリット",VLOOKUP(F429&amp;K429&amp;R429,製品マスタ!$N$5:$AE$5002,18,FALSE),""))))))</f>
        <v/>
      </c>
      <c r="Y429" s="275">
        <f ca="1">IF(D429="","",IF(T429="","",VLOOKUP(D429,契約台帳!$A$3:$Q$4986,17,FALSE)))</f>
        <v>2</v>
      </c>
      <c r="Z429" s="269" t="str">
        <f ca="1">IF(D429="","",IF(T429="","",VLOOKUP(D429,契約台帳!$A$3:$E$4986,5,FALSE)))</f>
        <v>リンテック㈱</v>
      </c>
      <c r="AA429" s="57"/>
      <c r="AB429" s="207">
        <f>IFERROR((VLOOKUP(F429&amp;K429&amp;M429,製品マスタ!$M$5:$AM$5002,27,FALSE)),"")</f>
        <v>0</v>
      </c>
      <c r="AC429" s="33"/>
      <c r="AD429" s="189"/>
      <c r="AE429" s="54"/>
      <c r="AF429" s="55"/>
      <c r="AG429" s="43"/>
      <c r="AH429" s="47"/>
      <c r="AI429" s="30"/>
      <c r="AJ429" s="30"/>
      <c r="AK429" s="30"/>
      <c r="AL429" s="30"/>
      <c r="AM429" s="13"/>
      <c r="AN429" s="13"/>
      <c r="AO429" s="13"/>
      <c r="AP429" s="13"/>
      <c r="AQ429" s="13"/>
      <c r="AR429" s="14"/>
      <c r="AS429" s="15"/>
    </row>
    <row r="430" spans="1:45" s="17" customFormat="1" ht="30.95" hidden="1" customHeight="1" x14ac:dyDescent="0.2">
      <c r="A430" s="37"/>
      <c r="B430" s="38"/>
      <c r="C430" s="45"/>
      <c r="D430" s="31"/>
      <c r="E430" s="31"/>
      <c r="F430" s="268" t="str">
        <f>IF(D430="","",VLOOKUP(D430,契約台帳!$A$3:$K$4986,6,FALSE)&amp;VLOOKUP(D430,契約台帳!$A$3:$K$4986,7,FALSE)&amp;VLOOKUP(D430,契約台帳!$A$3:$K$4986,8,FALSE)&amp;VLOOKUP(D430,契約台帳!$A$3:$K$4986,9,FALSE)&amp;VLOOKUP(D430,契約台帳!$A$3:$K$4986,11,FALSE))</f>
        <v/>
      </c>
      <c r="G430" s="269" t="str">
        <f>IF(D430="","",VLOOKUP(F430,製品マスタ!$G$5:$H$5002,2,FALSE))</f>
        <v/>
      </c>
      <c r="H430" s="269" t="str">
        <f>IF(D430="","",VLOOKUP(F430,製品マスタ!$G$5:$K$5002,5,FALSE))</f>
        <v/>
      </c>
      <c r="I430" s="270" t="str">
        <f>IF(D430="","",VLOOKUP(F430,製品マスタ!$G$5:$L$5002,6,FALSE))</f>
        <v/>
      </c>
      <c r="J430" s="210"/>
      <c r="K430" s="270" t="str">
        <f>IF(D430="","",VLOOKUP(D430,契約台帳!$A$3:$L$4986,12,FALSE))</f>
        <v/>
      </c>
      <c r="L430" s="270" t="str">
        <f>IF(D430="","",INDEX(製品マスタ!$Q$5:$Q$5002,MATCH('S4'!F430&amp;'S4'!K430,製品マスタ!$AO$5:$AO$5002,0)))</f>
        <v/>
      </c>
      <c r="M430" s="39"/>
      <c r="N430" s="39"/>
      <c r="O430" s="156"/>
      <c r="P430" s="47"/>
      <c r="Q430" s="57"/>
      <c r="R430" s="271" t="str">
        <f ca="1">IF(D430="","",IF(OFFSET(D430,-1,0)&lt;&gt;"","",IF(OR(J430="リード付け",J430="巻足し",J430="巻返しリード付け"),M430,VLOOKUP(D430,契約台帳!$A$3:$N$4986,14,FALSE))))</f>
        <v/>
      </c>
      <c r="S430" s="272" t="str">
        <f ca="1">IF(D430="","",IF(OFFSET(D430,-1,0)&lt;&gt;"","",IF(OR(J430="リード付け",J430="巻足し",J430="巻返しリード付け"),M430,VLOOKUP(D430,契約台帳!$A$3:$O$4986,15,FALSE))))</f>
        <v/>
      </c>
      <c r="T430" s="273" t="str">
        <f ca="1">IF(D430="","",IF(J430="リード付け",N430,IF(J430="巻返しリード付け",N430,IF(J430="巻足し",N430*P430+OFFSET(N430,1,0)*OFFSET(P430,1,0),VLOOKUP(D430,契約台帳!$A$3:$P$4986,16,FALSE)))))</f>
        <v/>
      </c>
      <c r="U430" s="40"/>
      <c r="V430" s="274" t="str">
        <f ca="1">IF(D430="","",IF(OFFSET(D430,-2,0)=D430,"",VLOOKUP(D430,契約台帳!$A$3:$R$4986,18,FALSE)))</f>
        <v/>
      </c>
      <c r="W430" s="269" t="str">
        <f>IF(D430="","",IF(T430="","",IF(OR(J430="巻足し",J430="巻返しリード付け"),"",IF(J430="巻返し",VLOOKUP(F430&amp;K430&amp;M430,製品マスタ!$M$5:$AD$5002,18,FALSE),IF(OR(J430="リード付け",J430="巻返しリード付け"),"原反コア",IF(J430="スリット",VLOOKUP(F430&amp;K430&amp;R430,製品マスタ!$N$5:$AD$5002,17,FALSE),""))))))</f>
        <v/>
      </c>
      <c r="X430" s="269" t="str">
        <f>IF(D430="","",IF(T430="","",IF(J430="巻足し","",IF(J430="巻返し",VLOOKUP(F430&amp;K430&amp;M430,製品マスタ!$M$5:$AE$5002,19,FALSE),IF(OR(J430="リード付け",J430="巻返しリード付け"),"",IF(J430="スリット",VLOOKUP(F430&amp;K430&amp;R430,製品マスタ!$N$5:$AE$5002,18,FALSE),""))))))</f>
        <v/>
      </c>
      <c r="Y430" s="275" t="str">
        <f>IF(D430="","",IF(T430="","",VLOOKUP(D430,契約台帳!$A$3:$Q$4986,17,FALSE)))</f>
        <v/>
      </c>
      <c r="Z430" s="269" t="str">
        <f>IF(D430="","",IF(T430="","",VLOOKUP(D430,契約台帳!$A$3:$E$4986,5,FALSE)))</f>
        <v/>
      </c>
      <c r="AA430" s="57"/>
      <c r="AB430" s="207" t="str">
        <f>IFERROR((VLOOKUP(F430&amp;K430&amp;M430,製品マスタ!$M$5:$AM$5002,27,FALSE)),"")</f>
        <v/>
      </c>
      <c r="AC430" s="33"/>
      <c r="AD430" s="189"/>
      <c r="AE430" s="54"/>
      <c r="AF430" s="55"/>
      <c r="AG430" s="43"/>
      <c r="AH430" s="47"/>
      <c r="AI430" s="30"/>
      <c r="AJ430" s="30"/>
      <c r="AK430" s="30"/>
      <c r="AL430" s="30"/>
      <c r="AM430" s="13"/>
      <c r="AN430" s="13"/>
      <c r="AO430" s="13"/>
      <c r="AP430" s="13"/>
      <c r="AQ430" s="13"/>
      <c r="AR430" s="14"/>
      <c r="AS430" s="15"/>
    </row>
    <row r="431" spans="1:45" s="17" customFormat="1" ht="30.95" hidden="1" customHeight="1" x14ac:dyDescent="0.2">
      <c r="A431" s="37"/>
      <c r="B431" s="38"/>
      <c r="C431" s="45"/>
      <c r="D431" s="31">
        <v>3703992</v>
      </c>
      <c r="E431" s="31">
        <v>4161866</v>
      </c>
      <c r="F431" s="268" t="str">
        <f>IF(D431="","",VLOOKUP(D431,契約台帳!$A$3:$K$4986,6,FALSE)&amp;VLOOKUP(D431,契約台帳!$A$3:$K$4986,7,FALSE)&amp;VLOOKUP(D431,契約台帳!$A$3:$K$4986,8,FALSE)&amp;VLOOKUP(D431,契約台帳!$A$3:$K$4986,9,FALSE)&amp;VLOOKUP(D431,契約台帳!$A$3:$K$4986,11,FALSE))</f>
        <v>3SNMLBMNGKBF</v>
      </c>
      <c r="G431" s="269" t="str">
        <f>IF(D431="","",VLOOKUP(F431,製品マスタ!$G$5:$H$5002,2,FALSE))</f>
        <v>S</v>
      </c>
      <c r="H431" s="269" t="str">
        <f>IF(D431="","",VLOOKUP(F431,製品マスタ!$G$5:$K$5002,5,FALSE))</f>
        <v>MNGKBF</v>
      </c>
      <c r="I431" s="270" t="str">
        <f>IF(D431="","",VLOOKUP(F431,製品マスタ!$G$5:$L$5002,6,FALSE))</f>
        <v>メタルミー　ネーマー銀消　Ｂ</v>
      </c>
      <c r="J431" s="210" t="s">
        <v>1022</v>
      </c>
      <c r="K431" s="270">
        <f>IF(D431="","",VLOOKUP(D431,契約台帳!$A$3:$L$4986,12,FALSE))</f>
        <v>38</v>
      </c>
      <c r="L431" s="270" t="str">
        <f>IF(D431="","",INDEX(製品マスタ!$Q$5:$Q$5002,MATCH('S4'!F431&amp;'S4'!K431,製品マスタ!$AO$5:$AO$5002,0)))</f>
        <v>LUMIMAT</v>
      </c>
      <c r="M431" s="39">
        <v>1005</v>
      </c>
      <c r="N431" s="39">
        <v>4100</v>
      </c>
      <c r="O431" s="156">
        <v>3</v>
      </c>
      <c r="P431" s="47">
        <v>3</v>
      </c>
      <c r="Q431" s="213">
        <v>45019</v>
      </c>
      <c r="R431" s="271">
        <f ca="1">IF(D431="","",IF(OFFSET(D431,-1,0)&lt;&gt;"","",IF(OR(J431="リード付け",J431="巻足し",J431="巻返しリード付け"),M431,VLOOKUP(D431,契約台帳!$A$3:$N$4986,14,FALSE))))</f>
        <v>1005</v>
      </c>
      <c r="S431" s="272">
        <f ca="1">IF(D431="","",IF(OFFSET(D431,-1,0)&lt;&gt;"","",IF(OR(J431="リード付け",J431="巻足し",J431="巻返しリード付け"),M431,VLOOKUP(D431,契約台帳!$A$3:$O$4986,15,FALSE))))</f>
        <v>1005</v>
      </c>
      <c r="T431" s="273">
        <f ca="1">IF(D431="","",IF(J431="リード付け",N431,IF(J431="巻返しリード付け",N431,IF(J431="巻足し",N431*P431+OFFSET(N431,1,0)*OFFSET(P431,1,0),VLOOKUP(D431,契約台帳!$A$3:$P$4986,16,FALSE)))))</f>
        <v>12300</v>
      </c>
      <c r="U431" s="40">
        <v>1</v>
      </c>
      <c r="V431" s="274">
        <f ca="1">IF(D431="","",IF(OFFSET(D431,-2,0)=D431,"",VLOOKUP(D431,契約台帳!$A$3:$R$4986,18,FALSE)))</f>
        <v>3</v>
      </c>
      <c r="W431" s="269" t="str">
        <f ca="1">IF(D431="","",IF(T431="","",IF(OR(J431="巻足し",J431="巻返しリード付け"),"",IF(J431="巻返し",VLOOKUP(F431&amp;K431&amp;M431,製品マスタ!$M$5:$AD$5002,18,FALSE),IF(OR(J431="リード付け",J431="巻返しリード付け"),"原反コア",IF(J431="スリット",VLOOKUP(F431&amp;K431&amp;R431,製品マスタ!$N$5:$AD$5002,17,FALSE),""))))))</f>
        <v/>
      </c>
      <c r="X431" s="269" t="str">
        <f ca="1">IF(D431="","",IF(T431="","",IF(J431="巻足し","",IF(J431="巻返し",VLOOKUP(F431&amp;K431&amp;M431,製品マスタ!$M$5:$AE$5002,19,FALSE),IF(OR(J431="リード付け",J431="巻返しリード付け"),"",IF(J431="スリット",VLOOKUP(F431&amp;K431&amp;R431,製品マスタ!$N$5:$AE$5002,18,FALSE),""))))))</f>
        <v/>
      </c>
      <c r="Y431" s="275">
        <f ca="1">IF(D431="","",IF(T431="","",VLOOKUP(D431,契約台帳!$A$3:$Q$4986,17,FALSE)))</f>
        <v>2</v>
      </c>
      <c r="Z431" s="269" t="str">
        <f ca="1">IF(D431="","",IF(T431="","",VLOOKUP(D431,契約台帳!$A$3:$E$4986,5,FALSE)))</f>
        <v>リンテック㈱</v>
      </c>
      <c r="AA431" s="57"/>
      <c r="AB431" s="207">
        <f>IFERROR((VLOOKUP(F431&amp;K431&amp;M431,製品マスタ!$M$5:$AM$5002,27,FALSE)),"")</f>
        <v>0</v>
      </c>
      <c r="AC431" s="33"/>
      <c r="AD431" s="189"/>
      <c r="AE431" s="54"/>
      <c r="AF431" s="55"/>
      <c r="AG431" s="43"/>
      <c r="AH431" s="47"/>
      <c r="AI431" s="30"/>
      <c r="AJ431" s="30"/>
      <c r="AK431" s="30"/>
      <c r="AL431" s="30"/>
      <c r="AM431" s="13"/>
      <c r="AN431" s="13"/>
      <c r="AO431" s="13"/>
      <c r="AP431" s="13"/>
      <c r="AQ431" s="13"/>
      <c r="AR431" s="14"/>
      <c r="AS431" s="15"/>
    </row>
    <row r="432" spans="1:45" s="17" customFormat="1" ht="30.95" hidden="1" customHeight="1" x14ac:dyDescent="0.2">
      <c r="A432" s="37"/>
      <c r="B432" s="38"/>
      <c r="C432" s="45"/>
      <c r="D432" s="31"/>
      <c r="E432" s="31"/>
      <c r="F432" s="268" t="str">
        <f>IF(D432="","",VLOOKUP(D432,契約台帳!$A$3:$K$4986,6,FALSE)&amp;VLOOKUP(D432,契約台帳!$A$3:$K$4986,7,FALSE)&amp;VLOOKUP(D432,契約台帳!$A$3:$K$4986,8,FALSE)&amp;VLOOKUP(D432,契約台帳!$A$3:$K$4986,9,FALSE)&amp;VLOOKUP(D432,契約台帳!$A$3:$K$4986,11,FALSE))</f>
        <v/>
      </c>
      <c r="G432" s="269" t="str">
        <f>IF(D432="","",VLOOKUP(F432,製品マスタ!$G$5:$H$5002,2,FALSE))</f>
        <v/>
      </c>
      <c r="H432" s="269" t="str">
        <f>IF(D432="","",VLOOKUP(F432,製品マスタ!$G$5:$K$5002,5,FALSE))</f>
        <v/>
      </c>
      <c r="I432" s="270" t="str">
        <f>IF(D432="","",VLOOKUP(F432,製品マスタ!$G$5:$L$5002,6,FALSE))</f>
        <v/>
      </c>
      <c r="J432" s="210"/>
      <c r="K432" s="270" t="str">
        <f>IF(D432="","",VLOOKUP(D432,契約台帳!$A$3:$L$4986,12,FALSE))</f>
        <v/>
      </c>
      <c r="L432" s="270" t="str">
        <f>IF(D432="","",INDEX(製品マスタ!$Q$5:$Q$5002,MATCH('S4'!F432&amp;'S4'!K432,製品マスタ!$AO$5:$AO$5002,0)))</f>
        <v/>
      </c>
      <c r="M432" s="39"/>
      <c r="N432" s="39"/>
      <c r="O432" s="156"/>
      <c r="P432" s="47"/>
      <c r="Q432" s="57"/>
      <c r="R432" s="271" t="str">
        <f ca="1">IF(D432="","",IF(OFFSET(D432,-1,0)&lt;&gt;"","",IF(OR(J432="リード付け",J432="巻足し",J432="巻返しリード付け"),M432,VLOOKUP(D432,契約台帳!$A$3:$N$4986,14,FALSE))))</f>
        <v/>
      </c>
      <c r="S432" s="272" t="str">
        <f ca="1">IF(D432="","",IF(OFFSET(D432,-1,0)&lt;&gt;"","",IF(OR(J432="リード付け",J432="巻足し",J432="巻返しリード付け"),M432,VLOOKUP(D432,契約台帳!$A$3:$O$4986,15,FALSE))))</f>
        <v/>
      </c>
      <c r="T432" s="273" t="str">
        <f ca="1">IF(D432="","",IF(J432="リード付け",N432,IF(J432="巻返しリード付け",N432,IF(J432="巻足し",N432*P432+OFFSET(N432,1,0)*OFFSET(P432,1,0),VLOOKUP(D432,契約台帳!$A$3:$P$4986,16,FALSE)))))</f>
        <v/>
      </c>
      <c r="U432" s="40"/>
      <c r="V432" s="274" t="str">
        <f ca="1">IF(D432="","",IF(OFFSET(D432,-2,0)=D432,"",VLOOKUP(D432,契約台帳!$A$3:$R$4986,18,FALSE)))</f>
        <v/>
      </c>
      <c r="W432" s="269" t="str">
        <f>IF(D432="","",IF(T432="","",IF(OR(J432="巻足し",J432="巻返しリード付け"),"",IF(J432="巻返し",VLOOKUP(F432&amp;K432&amp;M432,製品マスタ!$M$5:$AD$5002,18,FALSE),IF(OR(J432="リード付け",J432="巻返しリード付け"),"原反コア",IF(J432="スリット",VLOOKUP(F432&amp;K432&amp;R432,製品マスタ!$N$5:$AD$5002,17,FALSE),""))))))</f>
        <v/>
      </c>
      <c r="X432" s="269" t="str">
        <f>IF(D432="","",IF(T432="","",IF(J432="巻足し","",IF(J432="巻返し",VLOOKUP(F432&amp;K432&amp;M432,製品マスタ!$M$5:$AE$5002,19,FALSE),IF(OR(J432="リード付け",J432="巻返しリード付け"),"",IF(J432="スリット",VLOOKUP(F432&amp;K432&amp;R432,製品マスタ!$N$5:$AE$5002,18,FALSE),""))))))</f>
        <v/>
      </c>
      <c r="Y432" s="275" t="str">
        <f>IF(D432="","",IF(T432="","",VLOOKUP(D432,契約台帳!$A$3:$Q$4986,17,FALSE)))</f>
        <v/>
      </c>
      <c r="Z432" s="269" t="str">
        <f>IF(D432="","",IF(T432="","",VLOOKUP(D432,契約台帳!$A$3:$E$4986,5,FALSE)))</f>
        <v/>
      </c>
      <c r="AA432" s="57"/>
      <c r="AB432" s="207" t="str">
        <f>IFERROR((VLOOKUP(F432&amp;K432&amp;M432,製品マスタ!$M$5:$AM$5002,27,FALSE)),"")</f>
        <v/>
      </c>
      <c r="AC432" s="33"/>
      <c r="AD432" s="189"/>
      <c r="AE432" s="54"/>
      <c r="AF432" s="55"/>
      <c r="AG432" s="43"/>
      <c r="AH432" s="47"/>
      <c r="AI432" s="30"/>
      <c r="AJ432" s="30"/>
      <c r="AK432" s="30"/>
      <c r="AL432" s="30"/>
      <c r="AM432" s="13"/>
      <c r="AN432" s="13"/>
      <c r="AO432" s="13"/>
      <c r="AP432" s="13"/>
      <c r="AQ432" s="13"/>
      <c r="AR432" s="14"/>
      <c r="AS432" s="15"/>
    </row>
    <row r="433" spans="1:45" s="17" customFormat="1" ht="30.95" hidden="1" customHeight="1" x14ac:dyDescent="0.2">
      <c r="A433" s="37" t="s">
        <v>1029</v>
      </c>
      <c r="B433" s="38" t="s">
        <v>445</v>
      </c>
      <c r="C433" s="45"/>
      <c r="D433" s="31">
        <v>3704000</v>
      </c>
      <c r="E433" s="31">
        <v>4161874</v>
      </c>
      <c r="F433" s="268" t="str">
        <f>IF(D433="","",VLOOKUP(D433,契約台帳!$A$3:$K$4986,6,FALSE)&amp;VLOOKUP(D433,契約台帳!$A$3:$K$4986,7,FALSE)&amp;VLOOKUP(D433,契約台帳!$A$3:$K$4986,8,FALSE)&amp;VLOOKUP(D433,契約台帳!$A$3:$K$4986,9,FALSE)&amp;VLOOKUP(D433,契約台帳!$A$3:$K$4986,11,FALSE))</f>
        <v>3SNMLBMNNGKBF</v>
      </c>
      <c r="G433" s="269" t="str">
        <f>IF(D433="","",VLOOKUP(F433,製品マスタ!$G$5:$H$5002,2,FALSE))</f>
        <v>S</v>
      </c>
      <c r="H433" s="269" t="str">
        <f>IF(D433="","",VLOOKUP(F433,製品マスタ!$G$5:$K$5002,5,FALSE))</f>
        <v>MNNGKBF</v>
      </c>
      <c r="I433" s="270" t="str">
        <f>IF(D433="","",VLOOKUP(F433,製品マスタ!$G$5:$L$5002,6,FALSE))</f>
        <v>メタルミー　ニューネーマー銀消　Ｂ</v>
      </c>
      <c r="J433" s="210" t="s">
        <v>1022</v>
      </c>
      <c r="K433" s="270">
        <f>IF(D433="","",VLOOKUP(D433,契約台帳!$A$3:$L$4986,12,FALSE))</f>
        <v>50</v>
      </c>
      <c r="L433" s="270" t="str">
        <f>IF(D433="","",INDEX(製品マスタ!$Q$5:$Q$5002,MATCH('S4'!F433&amp;'S4'!K433,製品マスタ!$AO$5:$AO$5002,0)))</f>
        <v>X44</v>
      </c>
      <c r="M433" s="39">
        <v>1000</v>
      </c>
      <c r="N433" s="39">
        <v>4000</v>
      </c>
      <c r="O433" s="156">
        <v>15</v>
      </c>
      <c r="P433" s="47">
        <v>3</v>
      </c>
      <c r="Q433" s="213">
        <v>45021</v>
      </c>
      <c r="R433" s="271">
        <f ca="1">IF(D433="","",IF(OFFSET(D433,-1,0)&lt;&gt;"","",IF(OR(J433="リード付け",J433="巻足し",J433="巻返しリード付け"),M433,VLOOKUP(D433,契約台帳!$A$3:$N$4986,14,FALSE))))</f>
        <v>1000</v>
      </c>
      <c r="S433" s="272">
        <f ca="1">IF(D433="","",IF(OFFSET(D433,-1,0)&lt;&gt;"","",IF(OR(J433="リード付け",J433="巻足し",J433="巻返しリード付け"),M433,VLOOKUP(D433,契約台帳!$A$3:$O$4986,15,FALSE))))</f>
        <v>1000</v>
      </c>
      <c r="T433" s="273">
        <f ca="1">IF(D433="","",IF(J433="リード付け",N433,IF(J433="巻返しリード付け",N433,IF(J433="巻足し",N433*P433+OFFSET(N433,1,0)*OFFSET(P433,1,0),VLOOKUP(D433,契約台帳!$A$3:$P$4986,16,FALSE)))))</f>
        <v>12000</v>
      </c>
      <c r="U433" s="40">
        <v>5</v>
      </c>
      <c r="V433" s="274">
        <f ca="1">IF(D433="","",IF(OFFSET(D433,-2,0)=D433,"",VLOOKUP(D433,契約台帳!$A$3:$R$4986,18,FALSE)))</f>
        <v>15</v>
      </c>
      <c r="W433" s="269" t="str">
        <f ca="1">IF(D433="","",IF(T433="","",IF(OR(J433="巻足し",J433="巻返しリード付け"),"",IF(J433="巻返し",VLOOKUP(F433&amp;K433&amp;M433,製品マスタ!$M$5:$AD$5002,18,FALSE),IF(OR(J433="リード付け",J433="巻返しリード付け"),"原反コア",IF(J433="スリット",VLOOKUP(F433&amp;K433&amp;R433,製品マスタ!$N$5:$AD$5002,17,FALSE),""))))))</f>
        <v/>
      </c>
      <c r="X433" s="269" t="str">
        <f ca="1">IF(D433="","",IF(T433="","",IF(J433="巻足し","",IF(J433="巻返し",VLOOKUP(F433&amp;K433&amp;M433,製品マスタ!$M$5:$AE$5002,19,FALSE),IF(OR(J433="リード付け",J433="巻返しリード付け"),"",IF(J433="スリット",VLOOKUP(F433&amp;K433&amp;R433,製品マスタ!$N$5:$AE$5002,18,FALSE),""))))))</f>
        <v/>
      </c>
      <c r="Y433" s="275">
        <f ca="1">IF(D433="","",IF(T433="","",VLOOKUP(D433,契約台帳!$A$3:$Q$4986,17,FALSE)))</f>
        <v>2</v>
      </c>
      <c r="Z433" s="269" t="str">
        <f ca="1">IF(D433="","",IF(T433="","",VLOOKUP(D433,契約台帳!$A$3:$E$4986,5,FALSE)))</f>
        <v>リンテック㈱</v>
      </c>
      <c r="AA433" s="57"/>
      <c r="AB433" s="207" t="str">
        <f>IFERROR((VLOOKUP(F433&amp;K433&amp;M433,製品マスタ!$M$5:$AM$5002,27,FALSE)),"")</f>
        <v>原反ケース再利用</v>
      </c>
      <c r="AC433" s="33"/>
      <c r="AD433" s="189"/>
      <c r="AE433" s="54"/>
      <c r="AF433" s="55"/>
      <c r="AG433" s="43"/>
      <c r="AH433" s="47"/>
      <c r="AI433" s="30"/>
      <c r="AJ433" s="30"/>
      <c r="AK433" s="30"/>
      <c r="AL433" s="30"/>
      <c r="AM433" s="13"/>
      <c r="AN433" s="13"/>
      <c r="AO433" s="13"/>
      <c r="AP433" s="13"/>
      <c r="AQ433" s="13"/>
      <c r="AR433" s="14"/>
      <c r="AS433" s="15"/>
    </row>
    <row r="434" spans="1:45" s="17" customFormat="1" ht="30.95" hidden="1" customHeight="1" x14ac:dyDescent="0.2">
      <c r="A434" s="37"/>
      <c r="B434" s="38"/>
      <c r="C434" s="45"/>
      <c r="D434" s="31"/>
      <c r="E434" s="31"/>
      <c r="F434" s="268" t="str">
        <f>IF(D434="","",VLOOKUP(D434,契約台帳!$A$3:$K$4986,6,FALSE)&amp;VLOOKUP(D434,契約台帳!$A$3:$K$4986,7,FALSE)&amp;VLOOKUP(D434,契約台帳!$A$3:$K$4986,8,FALSE)&amp;VLOOKUP(D434,契約台帳!$A$3:$K$4986,9,FALSE)&amp;VLOOKUP(D434,契約台帳!$A$3:$K$4986,11,FALSE))</f>
        <v/>
      </c>
      <c r="G434" s="269" t="str">
        <f>IF(D434="","",VLOOKUP(F434,製品マスタ!$G$5:$H$5002,2,FALSE))</f>
        <v/>
      </c>
      <c r="H434" s="269" t="str">
        <f>IF(D434="","",VLOOKUP(F434,製品マスタ!$G$5:$K$5002,5,FALSE))</f>
        <v/>
      </c>
      <c r="I434" s="270" t="str">
        <f>IF(D434="","",VLOOKUP(F434,製品マスタ!$G$5:$L$5002,6,FALSE))</f>
        <v/>
      </c>
      <c r="J434" s="210"/>
      <c r="K434" s="270" t="str">
        <f>IF(D434="","",VLOOKUP(D434,契約台帳!$A$3:$L$4986,12,FALSE))</f>
        <v/>
      </c>
      <c r="L434" s="270" t="str">
        <f>IF(D434="","",INDEX(製品マスタ!$Q$5:$Q$5002,MATCH('S4'!F434&amp;'S4'!K434,製品マスタ!$AO$5:$AO$5002,0)))</f>
        <v/>
      </c>
      <c r="M434" s="39"/>
      <c r="N434" s="39"/>
      <c r="O434" s="156"/>
      <c r="P434" s="47"/>
      <c r="Q434" s="57"/>
      <c r="R434" s="271" t="str">
        <f ca="1">IF(D434="","",IF(OFFSET(D434,-1,0)&lt;&gt;"","",IF(OR(J434="リード付け",J434="巻足し",J434="巻返しリード付け"),M434,VLOOKUP(D434,契約台帳!$A$3:$N$4986,14,FALSE))))</f>
        <v/>
      </c>
      <c r="S434" s="272" t="str">
        <f ca="1">IF(D434="","",IF(OFFSET(D434,-1,0)&lt;&gt;"","",IF(OR(J434="リード付け",J434="巻足し",J434="巻返しリード付け"),M434,VLOOKUP(D434,契約台帳!$A$3:$O$4986,15,FALSE))))</f>
        <v/>
      </c>
      <c r="T434" s="273" t="str">
        <f ca="1">IF(D434="","",IF(J434="リード付け",N434,IF(J434="巻返しリード付け",N434,IF(J434="巻足し",N434*P434+OFFSET(N434,1,0)*OFFSET(P434,1,0),VLOOKUP(D434,契約台帳!$A$3:$P$4986,16,FALSE)))))</f>
        <v/>
      </c>
      <c r="U434" s="40"/>
      <c r="V434" s="274" t="str">
        <f ca="1">IF(D434="","",IF(OFFSET(D434,-2,0)=D434,"",VLOOKUP(D434,契約台帳!$A$3:$R$4986,18,FALSE)))</f>
        <v/>
      </c>
      <c r="W434" s="269" t="str">
        <f>IF(D434="","",IF(T434="","",IF(OR(J434="巻足し",J434="巻返しリード付け"),"",IF(J434="巻返し",VLOOKUP(F434&amp;K434&amp;M434,製品マスタ!$M$5:$AD$5002,18,FALSE),IF(OR(J434="リード付け",J434="巻返しリード付け"),"原反コア",IF(J434="スリット",VLOOKUP(F434&amp;K434&amp;R434,製品マスタ!$N$5:$AD$5002,17,FALSE),""))))))</f>
        <v/>
      </c>
      <c r="X434" s="269" t="str">
        <f>IF(D434="","",IF(T434="","",IF(J434="巻足し","",IF(J434="巻返し",VLOOKUP(F434&amp;K434&amp;M434,製品マスタ!$M$5:$AE$5002,19,FALSE),IF(OR(J434="リード付け",J434="巻返しリード付け"),"",IF(J434="スリット",VLOOKUP(F434&amp;K434&amp;R434,製品マスタ!$N$5:$AE$5002,18,FALSE),""))))))</f>
        <v/>
      </c>
      <c r="Y434" s="275" t="str">
        <f>IF(D434="","",IF(T434="","",VLOOKUP(D434,契約台帳!$A$3:$Q$4986,17,FALSE)))</f>
        <v/>
      </c>
      <c r="Z434" s="269" t="str">
        <f>IF(D434="","",IF(T434="","",VLOOKUP(D434,契約台帳!$A$3:$E$4986,5,FALSE)))</f>
        <v/>
      </c>
      <c r="AA434" s="57"/>
      <c r="AB434" s="207" t="str">
        <f>IFERROR((VLOOKUP(F434&amp;K434&amp;M434,製品マスタ!$M$5:$AM$5002,27,FALSE)),"")</f>
        <v/>
      </c>
      <c r="AC434" s="33"/>
      <c r="AD434" s="189"/>
      <c r="AE434" s="54"/>
      <c r="AF434" s="55"/>
      <c r="AG434" s="43"/>
      <c r="AH434" s="47"/>
      <c r="AI434" s="30"/>
      <c r="AJ434" s="30"/>
      <c r="AK434" s="30"/>
      <c r="AL434" s="30"/>
      <c r="AM434" s="13"/>
      <c r="AN434" s="13"/>
      <c r="AO434" s="13"/>
      <c r="AP434" s="13"/>
      <c r="AQ434" s="13"/>
      <c r="AR434" s="14"/>
      <c r="AS434" s="15"/>
    </row>
    <row r="435" spans="1:45" s="17" customFormat="1" ht="30.95" hidden="1" customHeight="1" x14ac:dyDescent="0.2">
      <c r="A435" s="37"/>
      <c r="B435" s="38"/>
      <c r="C435" s="45"/>
      <c r="D435" s="31">
        <v>3706175</v>
      </c>
      <c r="E435" s="31">
        <v>4161883</v>
      </c>
      <c r="F435" s="268" t="str">
        <f>IF(D435="","",VLOOKUP(D435,契約台帳!$A$3:$K$4986,6,FALSE)&amp;VLOOKUP(D435,契約台帳!$A$3:$K$4986,7,FALSE)&amp;VLOOKUP(D435,契約台帳!$A$3:$K$4986,8,FALSE)&amp;VLOOKUP(D435,契約台帳!$A$3:$K$4986,9,FALSE)&amp;VLOOKUP(D435,契約台帳!$A$3:$K$4986,11,FALSE))</f>
        <v>3SNMLBMNNGKBF</v>
      </c>
      <c r="G435" s="269" t="str">
        <f>IF(D435="","",VLOOKUP(F435,製品マスタ!$G$5:$H$5002,2,FALSE))</f>
        <v>S</v>
      </c>
      <c r="H435" s="269" t="str">
        <f>IF(D435="","",VLOOKUP(F435,製品マスタ!$G$5:$K$5002,5,FALSE))</f>
        <v>MNNGKBF</v>
      </c>
      <c r="I435" s="270" t="str">
        <f>IF(D435="","",VLOOKUP(F435,製品マスタ!$G$5:$L$5002,6,FALSE))</f>
        <v>メタルミー　ニューネーマー銀消　Ｂ</v>
      </c>
      <c r="J435" s="210" t="s">
        <v>935</v>
      </c>
      <c r="K435" s="270">
        <f>IF(D435="","",VLOOKUP(D435,契約台帳!$A$3:$L$4986,12,FALSE))</f>
        <v>50</v>
      </c>
      <c r="L435" s="270" t="str">
        <f>IF(D435="","",INDEX(製品マスタ!$Q$5:$Q$5002,MATCH('S4'!F435&amp;'S4'!K435,製品マスタ!$AO$5:$AO$5002,0)))</f>
        <v>X44</v>
      </c>
      <c r="M435" s="39">
        <v>1000</v>
      </c>
      <c r="N435" s="39">
        <v>4000</v>
      </c>
      <c r="O435" s="156">
        <v>6</v>
      </c>
      <c r="P435" s="47">
        <v>3</v>
      </c>
      <c r="Q435" s="213">
        <v>45023</v>
      </c>
      <c r="R435" s="271">
        <f ca="1">IF(D435="","",IF(OFFSET(D435,-1,0)&lt;&gt;"","",IF(OR(J435="リード付け",J435="巻足し",J435="巻返しリード付け"),M435,VLOOKUP(D435,契約台帳!$A$3:$N$4986,14,FALSE))))</f>
        <v>1000</v>
      </c>
      <c r="S435" s="272">
        <f ca="1">IF(D435="","",IF(OFFSET(D435,-1,0)&lt;&gt;"","",IF(OR(J435="リード付け",J435="巻足し",J435="巻返しリード付け"),M435,VLOOKUP(D435,契約台帳!$A$3:$O$4986,15,FALSE))))</f>
        <v>1000</v>
      </c>
      <c r="T435" s="273">
        <f ca="1">IF(D435="","",IF(J435="リード付け",N435,IF(J435="巻返しリード付け",N435,IF(J435="巻足し",N435*P435+OFFSET(N435,1,0)*OFFSET(P435,1,0),VLOOKUP(D435,契約台帳!$A$3:$P$4986,16,FALSE)))))</f>
        <v>12000</v>
      </c>
      <c r="U435" s="40">
        <v>2</v>
      </c>
      <c r="V435" s="274">
        <f ca="1">IF(D435="","",IF(OFFSET(D435,-2,0)=D435,"",VLOOKUP(D435,契約台帳!$A$3:$R$4986,18,FALSE)))</f>
        <v>8</v>
      </c>
      <c r="W435" s="269" t="str">
        <f ca="1">IF(D435="","",IF(T435="","",IF(OR(J435="巻足し",J435="巻返しリード付け"),"",IF(J435="巻返し",VLOOKUP(F435&amp;K435&amp;M435,製品マスタ!$M$5:$AD$5002,18,FALSE),IF(OR(J435="リード付け",J435="巻返しリード付け"),"原反コア",IF(J435="スリット",VLOOKUP(F435&amp;K435&amp;R435,製品マスタ!$N$5:$AD$5002,17,FALSE),""))))))</f>
        <v/>
      </c>
      <c r="X435" s="269" t="str">
        <f ca="1">IF(D435="","",IF(T435="","",IF(J435="巻足し","",IF(J435="巻返し",VLOOKUP(F435&amp;K435&amp;M435,製品マスタ!$M$5:$AE$5002,19,FALSE),IF(OR(J435="リード付け",J435="巻返しリード付け"),"",IF(J435="スリット",VLOOKUP(F435&amp;K435&amp;R435,製品マスタ!$N$5:$AE$5002,18,FALSE),""))))))</f>
        <v/>
      </c>
      <c r="Y435" s="275">
        <f ca="1">IF(D435="","",IF(T435="","",VLOOKUP(D435,契約台帳!$A$3:$Q$4986,17,FALSE)))</f>
        <v>2</v>
      </c>
      <c r="Z435" s="269" t="str">
        <f ca="1">IF(D435="","",IF(T435="","",VLOOKUP(D435,契約台帳!$A$3:$E$4986,5,FALSE)))</f>
        <v>リンテック㈱</v>
      </c>
      <c r="AA435" s="57"/>
      <c r="AB435" s="303" t="str">
        <f>IFERROR((VLOOKUP(F435&amp;K435&amp;M435,製品マスタ!$M$5:$AM$5002,27,FALSE)),"")</f>
        <v>原反ケース再利用</v>
      </c>
      <c r="AC435" s="33"/>
      <c r="AD435" s="189"/>
      <c r="AE435" s="54"/>
      <c r="AF435" s="55"/>
      <c r="AG435" s="43"/>
      <c r="AH435" s="47"/>
      <c r="AI435" s="30"/>
      <c r="AJ435" s="30"/>
      <c r="AK435" s="30"/>
      <c r="AL435" s="30"/>
      <c r="AM435" s="13"/>
      <c r="AN435" s="13"/>
      <c r="AO435" s="13"/>
      <c r="AP435" s="13"/>
      <c r="AQ435" s="13"/>
      <c r="AR435" s="14"/>
      <c r="AS435" s="15"/>
    </row>
    <row r="436" spans="1:45" s="17" customFormat="1" ht="30.95" hidden="1" customHeight="1" x14ac:dyDescent="0.2">
      <c r="A436" s="37"/>
      <c r="B436" s="38"/>
      <c r="C436" s="45"/>
      <c r="D436" s="31"/>
      <c r="E436" s="31"/>
      <c r="F436" s="268"/>
      <c r="G436" s="269"/>
      <c r="H436" s="269"/>
      <c r="I436" s="270"/>
      <c r="J436" s="210"/>
      <c r="K436" s="270"/>
      <c r="L436" s="270"/>
      <c r="M436" s="39"/>
      <c r="N436" s="39"/>
      <c r="O436" s="156"/>
      <c r="P436" s="47"/>
      <c r="Q436" s="57"/>
      <c r="R436" s="271"/>
      <c r="S436" s="272"/>
      <c r="T436" s="273"/>
      <c r="U436" s="40"/>
      <c r="V436" s="274"/>
      <c r="W436" s="269"/>
      <c r="X436" s="269"/>
      <c r="Y436" s="275"/>
      <c r="Z436" s="269"/>
      <c r="AA436" s="57"/>
      <c r="AB436" s="207"/>
      <c r="AC436" s="33"/>
      <c r="AD436" s="189"/>
      <c r="AE436" s="54"/>
      <c r="AF436" s="55"/>
      <c r="AG436" s="43"/>
      <c r="AH436" s="47"/>
      <c r="AI436" s="30"/>
      <c r="AJ436" s="30"/>
      <c r="AK436" s="30"/>
      <c r="AL436" s="30"/>
      <c r="AM436" s="13"/>
      <c r="AN436" s="13"/>
      <c r="AO436" s="13"/>
      <c r="AP436" s="13"/>
      <c r="AQ436" s="13"/>
      <c r="AR436" s="14"/>
      <c r="AS436" s="15"/>
    </row>
    <row r="437" spans="1:45" s="17" customFormat="1" ht="30.95" hidden="1" customHeight="1" x14ac:dyDescent="0.2">
      <c r="A437" s="37"/>
      <c r="B437" s="38"/>
      <c r="C437" s="45"/>
      <c r="D437" s="31">
        <v>3706175</v>
      </c>
      <c r="E437" s="31">
        <v>4161883</v>
      </c>
      <c r="F437" s="268" t="str">
        <f>IF(D437="","",VLOOKUP(D437,契約台帳!$A$3:$K$4986,6,FALSE)&amp;VLOOKUP(D437,契約台帳!$A$3:$K$4986,7,FALSE)&amp;VLOOKUP(D437,契約台帳!$A$3:$K$4986,8,FALSE)&amp;VLOOKUP(D437,契約台帳!$A$3:$K$4986,9,FALSE)&amp;VLOOKUP(D437,契約台帳!$A$3:$K$4986,11,FALSE))</f>
        <v>3SNMLBMNNGKBF</v>
      </c>
      <c r="G437" s="269" t="str">
        <f>IF(D437="","",VLOOKUP(F437,製品マスタ!$G$5:$H$5002,2,FALSE))</f>
        <v>S</v>
      </c>
      <c r="H437" s="269" t="str">
        <f>IF(D437="","",VLOOKUP(F437,製品マスタ!$G$5:$K$5002,5,FALSE))</f>
        <v>MNNGKBF</v>
      </c>
      <c r="I437" s="270" t="str">
        <f>IF(D437="","",VLOOKUP(F437,製品マスタ!$G$5:$L$5002,6,FALSE))</f>
        <v>メタルミー　ニューネーマー銀消　Ｂ</v>
      </c>
      <c r="J437" s="210" t="s">
        <v>935</v>
      </c>
      <c r="K437" s="270">
        <f>IF(D437="","",VLOOKUP(D437,契約台帳!$A$3:$L$4986,12,FALSE))</f>
        <v>50</v>
      </c>
      <c r="L437" s="270" t="str">
        <f>IF(D437="","",INDEX(製品マスタ!$Q$5:$Q$5002,MATCH('S4'!F437&amp;'S4'!K437,製品マスタ!$AO$5:$AO$5002,0)))</f>
        <v>X44</v>
      </c>
      <c r="M437" s="39">
        <v>1000</v>
      </c>
      <c r="N437" s="39">
        <v>4000</v>
      </c>
      <c r="O437" s="156">
        <v>2</v>
      </c>
      <c r="P437" s="47">
        <v>2</v>
      </c>
      <c r="Q437" s="213">
        <v>45023</v>
      </c>
      <c r="R437" s="271">
        <f ca="1">IF(D437="","",IF(OFFSET(D437,-1,0)&lt;&gt;"","",IF(OR(J437="リード付け",J437="巻足し",J437="巻返しリード付け"),M437,VLOOKUP(D437,契約台帳!$A$3:$N$4986,14,FALSE))))</f>
        <v>1000</v>
      </c>
      <c r="S437" s="272">
        <f ca="1">IF(D437="","",IF(OFFSET(D437,-1,0)&lt;&gt;"","",IF(OR(J437="リード付け",J437="巻足し",J437="巻返しリード付け"),M437,VLOOKUP(D437,契約台帳!$A$3:$O$4986,15,FALSE))))</f>
        <v>1000</v>
      </c>
      <c r="T437" s="273">
        <f ca="1">IF(D437="","",IF(J437="リード付け",N437,IF(J437="巻返しリード付け",N437,IF(J437="巻足し",N437*P437+OFFSET(N437,1,0)*OFFSET(P437,1,0),VLOOKUP(D437,契約台帳!$A$3:$P$4986,16,FALSE)))))</f>
        <v>8000</v>
      </c>
      <c r="U437" s="40">
        <v>1</v>
      </c>
      <c r="V437" s="274" t="str">
        <f ca="1">IF(D437="","",IF(OFFSET(D437,-2,0)=D437,"",VLOOKUP(D437,契約台帳!$A$3:$R$4986,18,FALSE)))</f>
        <v/>
      </c>
      <c r="W437" s="269" t="str">
        <f ca="1">IF(D437="","",IF(T437="","",IF(OR(J437="巻足し",J437="巻返しリード付け"),"",IF(J437="巻返し",VLOOKUP(F437&amp;K437&amp;M437,製品マスタ!$M$5:$AD$5002,18,FALSE),IF(OR(J437="リード付け",J437="巻返しリード付け"),"原反コア",IF(J437="スリット",VLOOKUP(F437&amp;K437&amp;R437,製品マスタ!$N$5:$AD$5002,17,FALSE),""))))))</f>
        <v/>
      </c>
      <c r="X437" s="269" t="str">
        <f ca="1">IF(D437="","",IF(T437="","",IF(J437="巻足し","",IF(J437="巻返し",VLOOKUP(F437&amp;K437&amp;M437,製品マスタ!$M$5:$AE$5002,19,FALSE),IF(OR(J437="リード付け",J437="巻返しリード付け"),"",IF(J437="スリット",VLOOKUP(F437&amp;K437&amp;R437,製品マスタ!$N$5:$AE$5002,18,FALSE),""))))))</f>
        <v/>
      </c>
      <c r="Y437" s="275">
        <f ca="1">IF(D437="","",IF(T437="","",VLOOKUP(D437,契約台帳!$A$3:$Q$4986,17,FALSE)))</f>
        <v>2</v>
      </c>
      <c r="Z437" s="269" t="str">
        <f ca="1">IF(D437="","",IF(T437="","",VLOOKUP(D437,契約台帳!$A$3:$E$4986,5,FALSE)))</f>
        <v>リンテック㈱</v>
      </c>
      <c r="AA437" s="57"/>
      <c r="AB437" s="303" t="str">
        <f>IFERROR((VLOOKUP(F437&amp;K437&amp;M437,製品マスタ!$M$5:$AM$5002,27,FALSE)),"")</f>
        <v>原反ケース再利用</v>
      </c>
      <c r="AC437" s="33"/>
      <c r="AD437" s="189"/>
      <c r="AE437" s="54"/>
      <c r="AF437" s="55"/>
      <c r="AG437" s="43"/>
      <c r="AH437" s="47"/>
      <c r="AI437" s="30"/>
      <c r="AJ437" s="30"/>
      <c r="AK437" s="30"/>
      <c r="AL437" s="30"/>
      <c r="AM437" s="13"/>
      <c r="AN437" s="13"/>
      <c r="AO437" s="13"/>
      <c r="AP437" s="13"/>
      <c r="AQ437" s="13"/>
      <c r="AR437" s="14"/>
      <c r="AS437" s="15"/>
    </row>
    <row r="438" spans="1:45" s="17" customFormat="1" ht="30.95" hidden="1" customHeight="1" x14ac:dyDescent="0.2">
      <c r="A438" s="37"/>
      <c r="B438" s="38"/>
      <c r="C438" s="45"/>
      <c r="D438" s="31"/>
      <c r="E438" s="31"/>
      <c r="F438" s="268"/>
      <c r="G438" s="269"/>
      <c r="H438" s="269"/>
      <c r="I438" s="270"/>
      <c r="J438" s="210"/>
      <c r="K438" s="270"/>
      <c r="L438" s="270"/>
      <c r="M438" s="39"/>
      <c r="N438" s="39"/>
      <c r="O438" s="156"/>
      <c r="P438" s="47"/>
      <c r="Q438" s="57"/>
      <c r="R438" s="271"/>
      <c r="S438" s="272"/>
      <c r="T438" s="273"/>
      <c r="U438" s="40"/>
      <c r="V438" s="274"/>
      <c r="W438" s="269"/>
      <c r="X438" s="269"/>
      <c r="Y438" s="275"/>
      <c r="Z438" s="269"/>
      <c r="AA438" s="57"/>
      <c r="AB438" s="207"/>
      <c r="AC438" s="33"/>
      <c r="AD438" s="189"/>
      <c r="AE438" s="54"/>
      <c r="AF438" s="55"/>
      <c r="AG438" s="43"/>
      <c r="AH438" s="47"/>
      <c r="AI438" s="30"/>
      <c r="AJ438" s="30"/>
      <c r="AK438" s="30"/>
      <c r="AL438" s="30"/>
      <c r="AM438" s="13"/>
      <c r="AN438" s="13"/>
      <c r="AO438" s="13"/>
      <c r="AP438" s="13"/>
      <c r="AQ438" s="13"/>
      <c r="AR438" s="14"/>
      <c r="AS438" s="15"/>
    </row>
    <row r="439" spans="1:45" s="17" customFormat="1" ht="30.95" hidden="1" customHeight="1" x14ac:dyDescent="0.2">
      <c r="A439" s="37" t="s">
        <v>1031</v>
      </c>
      <c r="B439" s="38" t="s">
        <v>446</v>
      </c>
      <c r="C439" s="45"/>
      <c r="D439" s="31"/>
      <c r="E439" s="31"/>
      <c r="F439" s="268" t="str">
        <f>IF(D439="","",VLOOKUP(D439,契約台帳!$A$3:$K$4986,6,FALSE)&amp;VLOOKUP(D439,契約台帳!$A$3:$K$4986,7,FALSE)&amp;VLOOKUP(D439,契約台帳!$A$3:$K$4986,8,FALSE)&amp;VLOOKUP(D439,契約台帳!$A$3:$K$4986,9,FALSE)&amp;VLOOKUP(D439,契約台帳!$A$3:$K$4986,11,FALSE))</f>
        <v/>
      </c>
      <c r="G439" s="269" t="str">
        <f>IF(D439="","",VLOOKUP(F439,製品マスタ!$G$5:$H$5002,2,FALSE))</f>
        <v/>
      </c>
      <c r="H439" s="269" t="str">
        <f>IF(D439="","",VLOOKUP(F439,製品マスタ!$G$5:$K$5002,5,FALSE))</f>
        <v/>
      </c>
      <c r="I439" s="270" t="str">
        <f>IF(D439="","",VLOOKUP(F439,製品マスタ!$G$5:$L$5002,6,FALSE))</f>
        <v/>
      </c>
      <c r="J439" s="210" t="s">
        <v>448</v>
      </c>
      <c r="K439" s="270" t="str">
        <f>IF(D439="","",VLOOKUP(D439,契約台帳!$A$3:$L$4986,12,FALSE))</f>
        <v/>
      </c>
      <c r="L439" s="270" t="str">
        <f>IF(D439="","",INDEX(製品マスタ!$Q$5:$Q$5002,MATCH('S4'!F439&amp;'S4'!K439,製品マスタ!$AO$5:$AO$5002,0)))</f>
        <v/>
      </c>
      <c r="M439" s="39"/>
      <c r="N439" s="39"/>
      <c r="O439" s="156"/>
      <c r="P439" s="47"/>
      <c r="Q439" s="57"/>
      <c r="R439" s="271" t="str">
        <f ca="1">IF(D439="","",IF(OFFSET(D439,-1,0)&lt;&gt;"","",IF(OR(J439="リード付け",J439="巻足し",J439="巻返しリード付け"),M439,VLOOKUP(D439,契約台帳!$A$3:$N$4986,14,FALSE))))</f>
        <v/>
      </c>
      <c r="S439" s="272" t="str">
        <f ca="1">IF(D439="","",IF(OFFSET(D439,-1,0)&lt;&gt;"","",IF(OR(J439="リード付け",J439="巻足し",J439="巻返しリード付け"),M439,VLOOKUP(D439,契約台帳!$A$3:$O$4986,15,FALSE))))</f>
        <v/>
      </c>
      <c r="T439" s="273" t="str">
        <f ca="1">IF(D439="","",IF(J439="リード付け",N439,IF(J439="巻返しリード付け",N439,IF(J439="巻足し",N439*P439+OFFSET(N439,1,0)*OFFSET(P439,1,0),VLOOKUP(D439,契約台帳!$A$3:$P$4986,16,FALSE)))))</f>
        <v/>
      </c>
      <c r="U439" s="40"/>
      <c r="V439" s="274" t="str">
        <f ca="1">IF(D439="","",IF(OFFSET(D439,-2,0)=D439,"",VLOOKUP(D439,契約台帳!$A$3:$R$4986,18,FALSE)))</f>
        <v/>
      </c>
      <c r="W439" s="269" t="str">
        <f>IF(D439="","",IF(T439="","",IF(OR(J439="巻足し",J439="巻返しリード付け"),"",IF(J439="巻返し",VLOOKUP(F439&amp;K439&amp;M439,製品マスタ!$M$5:$AD$5002,18,FALSE),IF(OR(J439="リード付け",J439="巻返しリード付け"),"原反コア",IF(J439="スリット",VLOOKUP(F439&amp;K439&amp;R439,製品マスタ!$N$5:$AD$5002,17,FALSE),""))))))</f>
        <v/>
      </c>
      <c r="X439" s="269" t="str">
        <f>IF(D439="","",IF(T439="","",IF(J439="巻足し","",IF(J439="巻返し",VLOOKUP(F439&amp;K439&amp;M439,製品マスタ!$M$5:$AE$5002,19,FALSE),IF(OR(J439="リード付け",J439="巻返しリード付け"),"",IF(J439="スリット",VLOOKUP(F439&amp;K439&amp;R439,製品マスタ!$N$5:$AE$5002,18,FALSE),""))))))</f>
        <v/>
      </c>
      <c r="Y439" s="275" t="str">
        <f>IF(D439="","",IF(T439="","",VLOOKUP(D439,契約台帳!$A$3:$Q$4986,17,FALSE)))</f>
        <v/>
      </c>
      <c r="Z439" s="269" t="str">
        <f>IF(D439="","",IF(T439="","",VLOOKUP(D439,契約台帳!$A$3:$E$4986,5,FALSE)))</f>
        <v/>
      </c>
      <c r="AA439" s="57"/>
      <c r="AB439" s="207" t="str">
        <f>IFERROR((VLOOKUP(F439&amp;K439&amp;M439,製品マスタ!$M$5:$AM$5002,27,FALSE)),"")</f>
        <v/>
      </c>
      <c r="AC439" s="33"/>
      <c r="AD439" s="189"/>
      <c r="AE439" s="54"/>
      <c r="AF439" s="55"/>
      <c r="AG439" s="43"/>
      <c r="AH439" s="47"/>
      <c r="AI439" s="30"/>
      <c r="AJ439" s="30"/>
      <c r="AK439" s="30"/>
      <c r="AL439" s="30"/>
      <c r="AM439" s="13"/>
      <c r="AN439" s="13"/>
      <c r="AO439" s="13"/>
      <c r="AP439" s="13"/>
      <c r="AQ439" s="13"/>
      <c r="AR439" s="14"/>
      <c r="AS439" s="15"/>
    </row>
    <row r="440" spans="1:45" s="17" customFormat="1" ht="30.95" hidden="1" customHeight="1" x14ac:dyDescent="0.2">
      <c r="A440" s="37"/>
      <c r="B440" s="38"/>
      <c r="C440" s="45"/>
      <c r="D440" s="31"/>
      <c r="E440" s="31"/>
      <c r="F440" s="268" t="str">
        <f>IF(D440="","",VLOOKUP(D440,契約台帳!$A$3:$K$4986,6,FALSE)&amp;VLOOKUP(D440,契約台帳!$A$3:$K$4986,7,FALSE)&amp;VLOOKUP(D440,契約台帳!$A$3:$K$4986,8,FALSE)&amp;VLOOKUP(D440,契約台帳!$A$3:$K$4986,9,FALSE)&amp;VLOOKUP(D440,契約台帳!$A$3:$K$4986,11,FALSE))</f>
        <v/>
      </c>
      <c r="G440" s="269" t="str">
        <f>IF(D440="","",VLOOKUP(F440,製品マスタ!$G$5:$H$5002,2,FALSE))</f>
        <v/>
      </c>
      <c r="H440" s="269" t="str">
        <f>IF(D440="","",VLOOKUP(F440,製品マスタ!$G$5:$K$5002,5,FALSE))</f>
        <v/>
      </c>
      <c r="I440" s="270" t="str">
        <f>IF(D440="","",VLOOKUP(F440,製品マスタ!$G$5:$L$5002,6,FALSE))</f>
        <v/>
      </c>
      <c r="J440" s="210"/>
      <c r="K440" s="270" t="str">
        <f>IF(D440="","",VLOOKUP(D440,契約台帳!$A$3:$L$4986,12,FALSE))</f>
        <v/>
      </c>
      <c r="L440" s="270" t="str">
        <f>IF(D440="","",INDEX(製品マスタ!$Q$5:$Q$5002,MATCH('S4'!F440&amp;'S4'!K440,製品マスタ!$AO$5:$AO$5002,0)))</f>
        <v/>
      </c>
      <c r="M440" s="39"/>
      <c r="N440" s="39"/>
      <c r="O440" s="156"/>
      <c r="P440" s="47"/>
      <c r="Q440" s="57"/>
      <c r="R440" s="271" t="str">
        <f ca="1">IF(D440="","",IF(OFFSET(D440,-1,0)&lt;&gt;"","",IF(OR(J440="リード付け",J440="巻足し",J440="巻返しリード付け"),M440,VLOOKUP(D440,契約台帳!$A$3:$N$4986,14,FALSE))))</f>
        <v/>
      </c>
      <c r="S440" s="272" t="str">
        <f ca="1">IF(D440="","",IF(OFFSET(D440,-1,0)&lt;&gt;"","",IF(OR(J440="リード付け",J440="巻足し",J440="巻返しリード付け"),M440,VLOOKUP(D440,契約台帳!$A$3:$O$4986,15,FALSE))))</f>
        <v/>
      </c>
      <c r="T440" s="273" t="str">
        <f ca="1">IF(D440="","",IF(J440="リード付け",N440,IF(J440="巻返しリード付け",N440,IF(J440="巻足し",N440*P440+OFFSET(N440,1,0)*OFFSET(P440,1,0),VLOOKUP(D440,契約台帳!$A$3:$P$4986,16,FALSE)))))</f>
        <v/>
      </c>
      <c r="U440" s="40"/>
      <c r="V440" s="274" t="str">
        <f ca="1">IF(D440="","",IF(OFFSET(D440,-2,0)=D440,"",VLOOKUP(D440,契約台帳!$A$3:$R$4986,18,FALSE)))</f>
        <v/>
      </c>
      <c r="W440" s="269" t="str">
        <f>IF(D440="","",IF(T440="","",IF(OR(J440="巻足し",J440="巻返しリード付け"),"",IF(J440="巻返し",VLOOKUP(F440&amp;K440&amp;M440,製品マスタ!$M$5:$AD$5002,18,FALSE),IF(OR(J440="リード付け",J440="巻返しリード付け"),"原反コア",IF(J440="スリット",VLOOKUP(F440&amp;K440&amp;R440,製品マスタ!$N$5:$AD$5002,17,FALSE),""))))))</f>
        <v/>
      </c>
      <c r="X440" s="269" t="str">
        <f>IF(D440="","",IF(T440="","",IF(J440="巻足し","",IF(J440="巻返し",VLOOKUP(F440&amp;K440&amp;M440,製品マスタ!$M$5:$AE$5002,19,FALSE),IF(OR(J440="リード付け",J440="巻返しリード付け"),"",IF(J440="スリット",VLOOKUP(F440&amp;K440&amp;R440,製品マスタ!$N$5:$AE$5002,18,FALSE),""))))))</f>
        <v/>
      </c>
      <c r="Y440" s="275" t="str">
        <f>IF(D440="","",IF(T440="","",VLOOKUP(D440,契約台帳!$A$3:$Q$4986,17,FALSE)))</f>
        <v/>
      </c>
      <c r="Z440" s="269" t="str">
        <f>IF(D440="","",IF(T440="","",VLOOKUP(D440,契約台帳!$A$3:$E$4986,5,FALSE)))</f>
        <v/>
      </c>
      <c r="AA440" s="57"/>
      <c r="AB440" s="207" t="str">
        <f>IFERROR((VLOOKUP(F440&amp;K440&amp;M440,製品マスタ!$M$5:$AM$5002,27,FALSE)),"")</f>
        <v/>
      </c>
      <c r="AC440" s="33"/>
      <c r="AD440" s="189"/>
      <c r="AE440" s="54"/>
      <c r="AF440" s="55"/>
      <c r="AG440" s="43"/>
      <c r="AH440" s="47"/>
      <c r="AI440" s="30"/>
      <c r="AJ440" s="30"/>
      <c r="AK440" s="30"/>
      <c r="AL440" s="30"/>
      <c r="AM440" s="13"/>
      <c r="AN440" s="13"/>
      <c r="AO440" s="13"/>
      <c r="AP440" s="13"/>
      <c r="AQ440" s="13"/>
      <c r="AR440" s="14"/>
      <c r="AS440" s="15"/>
    </row>
    <row r="441" spans="1:45" s="17" customFormat="1" ht="30.95" hidden="1" customHeight="1" x14ac:dyDescent="0.2">
      <c r="A441" s="37" t="s">
        <v>1032</v>
      </c>
      <c r="B441" s="38" t="s">
        <v>462</v>
      </c>
      <c r="C441" s="45"/>
      <c r="D441" s="31">
        <v>3703988</v>
      </c>
      <c r="E441" s="31">
        <v>4161877</v>
      </c>
      <c r="F441" s="268" t="str">
        <f>IF(D441="","",VLOOKUP(D441,契約台帳!$A$3:$K$4986,6,FALSE)&amp;VLOOKUP(D441,契約台帳!$A$3:$K$4986,7,FALSE)&amp;VLOOKUP(D441,契約台帳!$A$3:$K$4986,8,FALSE)&amp;VLOOKUP(D441,契約台帳!$A$3:$K$4986,9,FALSE)&amp;VLOOKUP(D441,契約台帳!$A$3:$K$4986,11,FALSE))</f>
        <v>3SNMCLBNGKVB</v>
      </c>
      <c r="G441" s="269" t="str">
        <f>IF(D441="","",VLOOKUP(F441,製品マスタ!$G$5:$H$5002,2,FALSE))</f>
        <v>S</v>
      </c>
      <c r="H441" s="269" t="str">
        <f>IF(D441="","",VLOOKUP(F441,製品マスタ!$G$5:$K$5002,5,FALSE))</f>
        <v>NGKVB</v>
      </c>
      <c r="I441" s="270" t="str">
        <f>IF(D441="","",VLOOKUP(F441,製品マスタ!$G$5:$L$5002,6,FALSE))</f>
        <v>メタルミー　ネーマー銀消　ＶＢ</v>
      </c>
      <c r="J441" s="210" t="s">
        <v>1022</v>
      </c>
      <c r="K441" s="270">
        <f>IF(D441="","",VLOOKUP(D441,契約台帳!$A$3:$L$4986,12,FALSE))</f>
        <v>50</v>
      </c>
      <c r="L441" s="270" t="str">
        <f>IF(D441="","",INDEX(製品マスタ!$Q$5:$Q$5002,MATCH('S4'!F441&amp;'S4'!K441,製品マスタ!$AO$5:$AO$5002,0)))</f>
        <v>MAT</v>
      </c>
      <c r="M441" s="39">
        <v>1005</v>
      </c>
      <c r="N441" s="39">
        <v>4100</v>
      </c>
      <c r="O441" s="156">
        <v>3</v>
      </c>
      <c r="P441" s="47">
        <v>3</v>
      </c>
      <c r="Q441" s="213">
        <v>45022</v>
      </c>
      <c r="R441" s="271">
        <f ca="1">IF(D441="","",IF(OFFSET(D441,-1,0)&lt;&gt;"","",IF(OR(J441="リード付け",J441="巻足し",J441="巻返しリード付け"),M441,VLOOKUP(D441,契約台帳!$A$3:$N$4986,14,FALSE))))</f>
        <v>1005</v>
      </c>
      <c r="S441" s="272">
        <f ca="1">IF(D441="","",IF(OFFSET(D441,-1,0)&lt;&gt;"","",IF(OR(J441="リード付け",J441="巻足し",J441="巻返しリード付け"),M441,VLOOKUP(D441,契約台帳!$A$3:$O$4986,15,FALSE))))</f>
        <v>1005</v>
      </c>
      <c r="T441" s="273">
        <f ca="1">IF(D441="","",IF(J441="リード付け",N441,IF(J441="巻返しリード付け",N441,IF(J441="巻足し",N441*P441+OFFSET(N441,1,0)*OFFSET(P441,1,0),VLOOKUP(D441,契約台帳!$A$3:$P$4986,16,FALSE)))))</f>
        <v>12300</v>
      </c>
      <c r="U441" s="40">
        <v>1</v>
      </c>
      <c r="V441" s="274">
        <f ca="1">IF(D441="","",IF(OFFSET(D441,-2,0)=D441,"",VLOOKUP(D441,契約台帳!$A$3:$R$4986,18,FALSE)))</f>
        <v>3</v>
      </c>
      <c r="W441" s="269" t="str">
        <f ca="1">IF(D441="","",IF(T441="","",IF(OR(J441="巻足し",J441="巻返しリード付け"),"",IF(J441="巻返し",VLOOKUP(F441&amp;K441&amp;M441,製品マスタ!$M$5:$AD$5002,18,FALSE),IF(OR(J441="リード付け",J441="巻返しリード付け"),"原反コア",IF(J441="スリット",VLOOKUP(F441&amp;K441&amp;R441,製品マスタ!$N$5:$AD$5002,17,FALSE),""))))))</f>
        <v/>
      </c>
      <c r="X441" s="269" t="str">
        <f ca="1">IF(D441="","",IF(T441="","",IF(J441="巻足し","",IF(J441="巻返し",VLOOKUP(F441&amp;K441&amp;M441,製品マスタ!$M$5:$AE$5002,19,FALSE),IF(OR(J441="リード付け",J441="巻返しリード付け"),"",IF(J441="スリット",VLOOKUP(F441&amp;K441&amp;R441,製品マスタ!$N$5:$AE$5002,18,FALSE),""))))))</f>
        <v/>
      </c>
      <c r="Y441" s="275">
        <f ca="1">IF(D441="","",IF(T441="","",VLOOKUP(D441,契約台帳!$A$3:$Q$4986,17,FALSE)))</f>
        <v>2</v>
      </c>
      <c r="Z441" s="269" t="str">
        <f ca="1">IF(D441="","",IF(T441="","",VLOOKUP(D441,契約台帳!$A$3:$E$4986,5,FALSE)))</f>
        <v>リンテック㈱</v>
      </c>
      <c r="AA441" s="57"/>
      <c r="AB441" s="207">
        <f>IFERROR((VLOOKUP(F441&amp;K441&amp;M441,製品マスタ!$M$5:$AM$5002,27,FALSE)),"")</f>
        <v>0</v>
      </c>
      <c r="AC441" s="33"/>
      <c r="AD441" s="189"/>
      <c r="AE441" s="54"/>
      <c r="AF441" s="55"/>
      <c r="AG441" s="43"/>
      <c r="AH441" s="47"/>
      <c r="AI441" s="30"/>
      <c r="AJ441" s="30"/>
      <c r="AK441" s="30"/>
      <c r="AL441" s="30"/>
      <c r="AM441" s="13"/>
      <c r="AN441" s="13"/>
      <c r="AO441" s="13"/>
      <c r="AP441" s="13"/>
      <c r="AQ441" s="13"/>
      <c r="AR441" s="14"/>
      <c r="AS441" s="15"/>
    </row>
    <row r="442" spans="1:45" s="17" customFormat="1" ht="30.95" hidden="1" customHeight="1" x14ac:dyDescent="0.2">
      <c r="A442" s="37"/>
      <c r="B442" s="38"/>
      <c r="C442" s="45"/>
      <c r="D442" s="31"/>
      <c r="E442" s="31"/>
      <c r="F442" s="268" t="str">
        <f>IF(D442="","",VLOOKUP(D442,契約台帳!$A$3:$K$4986,6,FALSE)&amp;VLOOKUP(D442,契約台帳!$A$3:$K$4986,7,FALSE)&amp;VLOOKUP(D442,契約台帳!$A$3:$K$4986,8,FALSE)&amp;VLOOKUP(D442,契約台帳!$A$3:$K$4986,9,FALSE)&amp;VLOOKUP(D442,契約台帳!$A$3:$K$4986,11,FALSE))</f>
        <v/>
      </c>
      <c r="G442" s="269" t="str">
        <f>IF(D442="","",VLOOKUP(F442,製品マスタ!$G$5:$H$5002,2,FALSE))</f>
        <v/>
      </c>
      <c r="H442" s="269" t="str">
        <f>IF(D442="","",VLOOKUP(F442,製品マスタ!$G$5:$K$5002,5,FALSE))</f>
        <v/>
      </c>
      <c r="I442" s="270" t="str">
        <f>IF(D442="","",VLOOKUP(F442,製品マスタ!$G$5:$L$5002,6,FALSE))</f>
        <v/>
      </c>
      <c r="J442" s="210"/>
      <c r="K442" s="270" t="str">
        <f>IF(D442="","",VLOOKUP(D442,契約台帳!$A$3:$L$4986,12,FALSE))</f>
        <v/>
      </c>
      <c r="L442" s="270" t="str">
        <f>IF(D442="","",INDEX(製品マスタ!$Q$5:$Q$5002,MATCH('S4'!F442&amp;'S4'!K442,製品マスタ!$AO$5:$AO$5002,0)))</f>
        <v/>
      </c>
      <c r="M442" s="39"/>
      <c r="N442" s="39"/>
      <c r="O442" s="156"/>
      <c r="P442" s="47"/>
      <c r="Q442" s="57"/>
      <c r="R442" s="271" t="str">
        <f ca="1">IF(D442="","",IF(OFFSET(D442,-1,0)&lt;&gt;"","",IF(OR(J442="リード付け",J442="巻足し",J442="巻返しリード付け"),M442,VLOOKUP(D442,契約台帳!$A$3:$N$4986,14,FALSE))))</f>
        <v/>
      </c>
      <c r="S442" s="272" t="str">
        <f ca="1">IF(D442="","",IF(OFFSET(D442,-1,0)&lt;&gt;"","",IF(OR(J442="リード付け",J442="巻足し",J442="巻返しリード付け"),M442,VLOOKUP(D442,契約台帳!$A$3:$O$4986,15,FALSE))))</f>
        <v/>
      </c>
      <c r="T442" s="273" t="str">
        <f ca="1">IF(D442="","",IF(J442="リード付け",N442,IF(J442="巻返しリード付け",N442,IF(J442="巻足し",N442*P442+OFFSET(N442,1,0)*OFFSET(P442,1,0),VLOOKUP(D442,契約台帳!$A$3:$P$4986,16,FALSE)))))</f>
        <v/>
      </c>
      <c r="U442" s="40"/>
      <c r="V442" s="274" t="str">
        <f ca="1">IF(D442="","",IF(OFFSET(D442,-2,0)=D442,"",VLOOKUP(D442,契約台帳!$A$3:$R$4986,18,FALSE)))</f>
        <v/>
      </c>
      <c r="W442" s="269" t="str">
        <f>IF(D442="","",IF(T442="","",IF(OR(J442="巻足し",J442="巻返しリード付け"),"",IF(J442="巻返し",VLOOKUP(F442&amp;K442&amp;M442,製品マスタ!$M$5:$AD$5002,18,FALSE),IF(OR(J442="リード付け",J442="巻返しリード付け"),"原反コア",IF(J442="スリット",VLOOKUP(F442&amp;K442&amp;R442,製品マスタ!$N$5:$AD$5002,17,FALSE),""))))))</f>
        <v/>
      </c>
      <c r="X442" s="269" t="str">
        <f>IF(D442="","",IF(T442="","",IF(J442="巻足し","",IF(J442="巻返し",VLOOKUP(F442&amp;K442&amp;M442,製品マスタ!$M$5:$AE$5002,19,FALSE),IF(OR(J442="リード付け",J442="巻返しリード付け"),"",IF(J442="スリット",VLOOKUP(F442&amp;K442&amp;R442,製品マスタ!$N$5:$AE$5002,18,FALSE),""))))))</f>
        <v/>
      </c>
      <c r="Y442" s="275" t="str">
        <f>IF(D442="","",IF(T442="","",VLOOKUP(D442,契約台帳!$A$3:$Q$4986,17,FALSE)))</f>
        <v/>
      </c>
      <c r="Z442" s="269" t="str">
        <f>IF(D442="","",IF(T442="","",VLOOKUP(D442,契約台帳!$A$3:$E$4986,5,FALSE)))</f>
        <v/>
      </c>
      <c r="AA442" s="57"/>
      <c r="AB442" s="207" t="str">
        <f>IFERROR((VLOOKUP(F442&amp;K442&amp;M442,製品マスタ!$M$5:$AM$5002,27,FALSE)),"")</f>
        <v/>
      </c>
      <c r="AC442" s="33"/>
      <c r="AD442" s="189"/>
      <c r="AE442" s="54"/>
      <c r="AF442" s="55"/>
      <c r="AG442" s="43"/>
      <c r="AH442" s="47"/>
      <c r="AI442" s="30"/>
      <c r="AJ442" s="30"/>
      <c r="AK442" s="30"/>
      <c r="AL442" s="30"/>
      <c r="AM442" s="13"/>
      <c r="AN442" s="13"/>
      <c r="AO442" s="13"/>
      <c r="AP442" s="13"/>
      <c r="AQ442" s="13"/>
      <c r="AR442" s="14"/>
      <c r="AS442" s="15"/>
    </row>
    <row r="443" spans="1:45" s="17" customFormat="1" ht="30.95" hidden="1" customHeight="1" x14ac:dyDescent="0.2">
      <c r="A443" s="37"/>
      <c r="B443" s="38"/>
      <c r="C443" s="45"/>
      <c r="D443" s="31">
        <v>3703989</v>
      </c>
      <c r="E443" s="31">
        <v>4161861</v>
      </c>
      <c r="F443" s="268" t="str">
        <f>IF(D443="","",VLOOKUP(D443,契約台帳!$A$3:$K$4986,6,FALSE)&amp;VLOOKUP(D443,契約台帳!$A$3:$K$4986,7,FALSE)&amp;VLOOKUP(D443,契約台帳!$A$3:$K$4986,8,FALSE)&amp;VLOOKUP(D443,契約台帳!$A$3:$K$4986,9,FALSE)&amp;VLOOKUP(D443,契約台帳!$A$3:$K$4986,11,FALSE))</f>
        <v>33SSNMCLBTEKV0V</v>
      </c>
      <c r="G443" s="269" t="str">
        <f>IF(D443="","",VLOOKUP(F443,製品マスタ!$G$5:$H$5002,2,FALSE))</f>
        <v>S</v>
      </c>
      <c r="H443" s="269" t="str">
        <f>IF(D443="","",VLOOKUP(F443,製品マスタ!$G$5:$K$5002,5,FALSE))</f>
        <v>TEKV0V</v>
      </c>
      <c r="I443" s="270" t="str">
        <f>IF(D443="","",VLOOKUP(F443,製品マスタ!$G$5:$L$5002,6,FALSE))</f>
        <v>メタルミー　ＴＥ－Ｓ消　ＶＯＩＤ　Ｖ</v>
      </c>
      <c r="J443" s="210" t="s">
        <v>1022</v>
      </c>
      <c r="K443" s="270">
        <f>IF(D443="","",VLOOKUP(D443,契約台帳!$A$3:$L$4986,12,FALSE))</f>
        <v>50</v>
      </c>
      <c r="L443" s="270" t="str">
        <f>IF(D443="","",INDEX(製品マスタ!$Q$5:$Q$5002,MATCH('S4'!F443&amp;'S4'!K443,製品マスタ!$AO$5:$AO$5002,0)))</f>
        <v>X44SEPA</v>
      </c>
      <c r="M443" s="39">
        <v>1005</v>
      </c>
      <c r="N443" s="39">
        <v>4000</v>
      </c>
      <c r="O443" s="156">
        <v>3</v>
      </c>
      <c r="P443" s="47">
        <v>3</v>
      </c>
      <c r="Q443" s="213">
        <v>45023</v>
      </c>
      <c r="R443" s="271">
        <f ca="1">IF(D443="","",IF(OFFSET(D443,-1,0)&lt;&gt;"","",IF(OR(J443="リード付け",J443="巻足し",J443="巻返しリード付け"),M443,VLOOKUP(D443,契約台帳!$A$3:$N$4986,14,FALSE))))</f>
        <v>1005</v>
      </c>
      <c r="S443" s="272">
        <f ca="1">IF(D443="","",IF(OFFSET(D443,-1,0)&lt;&gt;"","",IF(OR(J443="リード付け",J443="巻足し",J443="巻返しリード付け"),M443,VLOOKUP(D443,契約台帳!$A$3:$O$4986,15,FALSE))))</f>
        <v>1005</v>
      </c>
      <c r="T443" s="273">
        <f ca="1">IF(D443="","",IF(J443="リード付け",N443,IF(J443="巻返しリード付け",N443,IF(J443="巻足し",N443*P443+OFFSET(N443,1,0)*OFFSET(P443,1,0),VLOOKUP(D443,契約台帳!$A$3:$P$4986,16,FALSE)))))</f>
        <v>12000</v>
      </c>
      <c r="U443" s="40">
        <v>1</v>
      </c>
      <c r="V443" s="274">
        <f ca="1">IF(D443="","",IF(OFFSET(D443,-2,0)=D443,"",VLOOKUP(D443,契約台帳!$A$3:$R$4986,18,FALSE)))</f>
        <v>3</v>
      </c>
      <c r="W443" s="269" t="str">
        <f ca="1">IF(D443="","",IF(T443="","",IF(OR(J443="巻足し",J443="巻返しリード付け"),"",IF(J443="巻返し",VLOOKUP(F443&amp;K443&amp;M443,製品マスタ!$M$5:$AD$5002,18,FALSE),IF(OR(J443="リード付け",J443="巻返しリード付け"),"原反コア",IF(J443="スリット",VLOOKUP(F443&amp;K443&amp;R443,製品マスタ!$N$5:$AD$5002,17,FALSE),""))))))</f>
        <v/>
      </c>
      <c r="X443" s="269" t="str">
        <f ca="1">IF(D443="","",IF(T443="","",IF(J443="巻足し","",IF(J443="巻返し",VLOOKUP(F443&amp;K443&amp;M443,製品マスタ!$M$5:$AE$5002,19,FALSE),IF(OR(J443="リード付け",J443="巻返しリード付け"),"",IF(J443="スリット",VLOOKUP(F443&amp;K443&amp;R443,製品マスタ!$N$5:$AE$5002,18,FALSE),""))))))</f>
        <v/>
      </c>
      <c r="Y443" s="275">
        <f ca="1">IF(D443="","",IF(T443="","",VLOOKUP(D443,契約台帳!$A$3:$Q$4986,17,FALSE)))</f>
        <v>2</v>
      </c>
      <c r="Z443" s="269" t="str">
        <f ca="1">IF(D443="","",IF(T443="","",VLOOKUP(D443,契約台帳!$A$3:$E$4986,5,FALSE)))</f>
        <v>リンテック㈱</v>
      </c>
      <c r="AA443" s="57"/>
      <c r="AB443" s="207">
        <f>IFERROR((VLOOKUP(F443&amp;K443&amp;M443,製品マスタ!$M$5:$AM$5002,27,FALSE)),"")</f>
        <v>0</v>
      </c>
      <c r="AC443" s="33"/>
      <c r="AD443" s="189"/>
      <c r="AE443" s="54"/>
      <c r="AF443" s="55"/>
      <c r="AG443" s="43"/>
      <c r="AH443" s="47"/>
      <c r="AI443" s="30"/>
      <c r="AJ443" s="30"/>
      <c r="AK443" s="30"/>
      <c r="AL443" s="30"/>
      <c r="AM443" s="13"/>
      <c r="AN443" s="13"/>
      <c r="AO443" s="13"/>
      <c r="AP443" s="13"/>
      <c r="AQ443" s="13"/>
      <c r="AR443" s="14"/>
      <c r="AS443" s="15"/>
    </row>
    <row r="444" spans="1:45" s="17" customFormat="1" ht="30.95" hidden="1" customHeight="1" x14ac:dyDescent="0.2">
      <c r="A444" s="37"/>
      <c r="B444" s="38"/>
      <c r="C444" s="45"/>
      <c r="D444" s="31"/>
      <c r="E444" s="31"/>
      <c r="F444" s="268" t="str">
        <f>IF(D444="","",VLOOKUP(D444,契約台帳!$A$3:$K$4986,6,FALSE)&amp;VLOOKUP(D444,契約台帳!$A$3:$K$4986,7,FALSE)&amp;VLOOKUP(D444,契約台帳!$A$3:$K$4986,8,FALSE)&amp;VLOOKUP(D444,契約台帳!$A$3:$K$4986,9,FALSE)&amp;VLOOKUP(D444,契約台帳!$A$3:$K$4986,11,FALSE))</f>
        <v/>
      </c>
      <c r="G444" s="269" t="str">
        <f>IF(D444="","",VLOOKUP(F444,製品マスタ!$G$5:$H$5002,2,FALSE))</f>
        <v/>
      </c>
      <c r="H444" s="269" t="str">
        <f>IF(D444="","",VLOOKUP(F444,製品マスタ!$G$5:$K$5002,5,FALSE))</f>
        <v/>
      </c>
      <c r="I444" s="270" t="str">
        <f>IF(D444="","",VLOOKUP(F444,製品マスタ!$G$5:$L$5002,6,FALSE))</f>
        <v/>
      </c>
      <c r="J444" s="210"/>
      <c r="K444" s="270" t="str">
        <f>IF(D444="","",VLOOKUP(D444,契約台帳!$A$3:$L$4986,12,FALSE))</f>
        <v/>
      </c>
      <c r="L444" s="270" t="str">
        <f>IF(D444="","",INDEX(製品マスタ!$Q$5:$Q$5002,MATCH('S4'!F444&amp;'S4'!K444,製品マスタ!$AO$5:$AO$5002,0)))</f>
        <v/>
      </c>
      <c r="M444" s="39"/>
      <c r="N444" s="39"/>
      <c r="O444" s="156"/>
      <c r="P444" s="47"/>
      <c r="Q444" s="57"/>
      <c r="R444" s="271" t="str">
        <f ca="1">IF(D444="","",IF(OFFSET(D444,-1,0)&lt;&gt;"","",IF(OR(J444="リード付け",J444="巻足し",J444="巻返しリード付け"),M444,VLOOKUP(D444,契約台帳!$A$3:$N$4986,14,FALSE))))</f>
        <v/>
      </c>
      <c r="S444" s="272" t="str">
        <f ca="1">IF(D444="","",IF(OFFSET(D444,-1,0)&lt;&gt;"","",IF(OR(J444="リード付け",J444="巻足し",J444="巻返しリード付け"),M444,VLOOKUP(D444,契約台帳!$A$3:$O$4986,15,FALSE))))</f>
        <v/>
      </c>
      <c r="T444" s="273" t="str">
        <f ca="1">IF(D444="","",IF(J444="リード付け",N444,IF(J444="巻返しリード付け",N444,IF(J444="巻足し",N444*P444+OFFSET(N444,1,0)*OFFSET(P444,1,0),VLOOKUP(D444,契約台帳!$A$3:$P$4986,16,FALSE)))))</f>
        <v/>
      </c>
      <c r="U444" s="40"/>
      <c r="V444" s="274" t="str">
        <f ca="1">IF(D444="","",IF(OFFSET(D444,-2,0)=D444,"",VLOOKUP(D444,契約台帳!$A$3:$R$4986,18,FALSE)))</f>
        <v/>
      </c>
      <c r="W444" s="269" t="str">
        <f>IF(D444="","",IF(T444="","",IF(OR(J444="巻足し",J444="巻返しリード付け"),"",IF(J444="巻返し",VLOOKUP(F444&amp;K444&amp;M444,製品マスタ!$M$5:$AD$5002,18,FALSE),IF(OR(J444="リード付け",J444="巻返しリード付け"),"原反コア",IF(J444="スリット",VLOOKUP(F444&amp;K444&amp;R444,製品マスタ!$N$5:$AD$5002,17,FALSE),""))))))</f>
        <v/>
      </c>
      <c r="X444" s="269" t="str">
        <f>IF(D444="","",IF(T444="","",IF(J444="巻足し","",IF(J444="巻返し",VLOOKUP(F444&amp;K444&amp;M444,製品マスタ!$M$5:$AE$5002,19,FALSE),IF(OR(J444="リード付け",J444="巻返しリード付け"),"",IF(J444="スリット",VLOOKUP(F444&amp;K444&amp;R444,製品マスタ!$N$5:$AE$5002,18,FALSE),""))))))</f>
        <v/>
      </c>
      <c r="Y444" s="275" t="str">
        <f>IF(D444="","",IF(T444="","",VLOOKUP(D444,契約台帳!$A$3:$Q$4986,17,FALSE)))</f>
        <v/>
      </c>
      <c r="Z444" s="269" t="str">
        <f>IF(D444="","",IF(T444="","",VLOOKUP(D444,契約台帳!$A$3:$E$4986,5,FALSE)))</f>
        <v/>
      </c>
      <c r="AA444" s="57"/>
      <c r="AB444" s="207" t="str">
        <f>IFERROR((VLOOKUP(F444&amp;K444&amp;M444,製品マスタ!$M$5:$AM$5002,27,FALSE)),"")</f>
        <v/>
      </c>
      <c r="AC444" s="33"/>
      <c r="AD444" s="189"/>
      <c r="AE444" s="54"/>
      <c r="AF444" s="55"/>
      <c r="AG444" s="43"/>
      <c r="AH444" s="47"/>
      <c r="AI444" s="30"/>
      <c r="AJ444" s="30"/>
      <c r="AK444" s="30"/>
      <c r="AL444" s="30"/>
      <c r="AM444" s="13"/>
      <c r="AN444" s="13"/>
      <c r="AO444" s="13"/>
      <c r="AP444" s="13"/>
      <c r="AQ444" s="13"/>
      <c r="AR444" s="14"/>
      <c r="AS444" s="15"/>
    </row>
    <row r="445" spans="1:45" s="17" customFormat="1" ht="30.95" hidden="1" customHeight="1" x14ac:dyDescent="0.2">
      <c r="A445" s="37"/>
      <c r="B445" s="38"/>
      <c r="C445" s="45"/>
      <c r="D445" s="31">
        <v>3703990</v>
      </c>
      <c r="E445" s="31">
        <v>4161862</v>
      </c>
      <c r="F445" s="268" t="str">
        <f>IF(D445="","",VLOOKUP(D445,契約台帳!$A$3:$K$4986,6,FALSE)&amp;VLOOKUP(D445,契約台帳!$A$3:$K$4986,7,FALSE)&amp;VLOOKUP(D445,契約台帳!$A$3:$K$4986,8,FALSE)&amp;VLOOKUP(D445,契約台帳!$A$3:$K$4986,9,FALSE)&amp;VLOOKUP(D445,契約台帳!$A$3:$K$4986,11,FALSE))</f>
        <v>33SSNMCLBTETKFV</v>
      </c>
      <c r="G445" s="269" t="str">
        <f>IF(D445="","",VLOOKUP(F445,製品マスタ!$G$5:$H$5002,2,FALSE))</f>
        <v>S</v>
      </c>
      <c r="H445" s="269" t="str">
        <f>IF(D445="","",VLOOKUP(F445,製品マスタ!$G$5:$K$5002,5,FALSE))</f>
        <v>TETKFV</v>
      </c>
      <c r="I445" s="270" t="str">
        <f>IF(D445="","",VLOOKUP(F445,製品マスタ!$G$5:$L$5002,6,FALSE))</f>
        <v>メタルミー　ＴＥＳ艶開封　Ｖ</v>
      </c>
      <c r="J445" s="210" t="s">
        <v>1022</v>
      </c>
      <c r="K445" s="270">
        <f>IF(D445="","",VLOOKUP(D445,契約台帳!$A$3:$L$4986,12,FALSE))</f>
        <v>50</v>
      </c>
      <c r="L445" s="270" t="str">
        <f>IF(D445="","",INDEX(製品マスタ!$Q$5:$Q$5002,MATCH('S4'!F445&amp;'S4'!K445,製品マスタ!$AO$5:$AO$5002,0)))</f>
        <v>S28SEPA</v>
      </c>
      <c r="M445" s="39">
        <v>1005</v>
      </c>
      <c r="N445" s="39">
        <v>4100</v>
      </c>
      <c r="O445" s="156">
        <v>3</v>
      </c>
      <c r="P445" s="47">
        <v>3</v>
      </c>
      <c r="Q445" s="213">
        <v>45023</v>
      </c>
      <c r="R445" s="271">
        <f ca="1">IF(D445="","",IF(OFFSET(D445,-1,0)&lt;&gt;"","",IF(OR(J445="リード付け",J445="巻足し",J445="巻返しリード付け"),M445,VLOOKUP(D445,契約台帳!$A$3:$N$4986,14,FALSE))))</f>
        <v>1005</v>
      </c>
      <c r="S445" s="272">
        <f ca="1">IF(D445="","",IF(OFFSET(D445,-1,0)&lt;&gt;"","",IF(OR(J445="リード付け",J445="巻足し",J445="巻返しリード付け"),M445,VLOOKUP(D445,契約台帳!$A$3:$O$4986,15,FALSE))))</f>
        <v>1005</v>
      </c>
      <c r="T445" s="273">
        <f ca="1">IF(D445="","",IF(J445="リード付け",N445,IF(J445="巻返しリード付け",N445,IF(J445="巻足し",N445*P445+OFFSET(N445,1,0)*OFFSET(P445,1,0),VLOOKUP(D445,契約台帳!$A$3:$P$4986,16,FALSE)))))</f>
        <v>12300</v>
      </c>
      <c r="U445" s="40">
        <v>1</v>
      </c>
      <c r="V445" s="274">
        <f ca="1">IF(D445="","",IF(OFFSET(D445,-2,0)=D445,"",VLOOKUP(D445,契約台帳!$A$3:$R$4986,18,FALSE)))</f>
        <v>3</v>
      </c>
      <c r="W445" s="269" t="str">
        <f ca="1">IF(D445="","",IF(T445="","",IF(OR(J445="巻足し",J445="巻返しリード付け"),"",IF(J445="巻返し",VLOOKUP(F445&amp;K445&amp;M445,製品マスタ!$M$5:$AD$5002,18,FALSE),IF(OR(J445="リード付け",J445="巻返しリード付け"),"原反コア",IF(J445="スリット",VLOOKUP(F445&amp;K445&amp;R445,製品マスタ!$N$5:$AD$5002,17,FALSE),""))))))</f>
        <v/>
      </c>
      <c r="X445" s="269" t="str">
        <f ca="1">IF(D445="","",IF(T445="","",IF(J445="巻足し","",IF(J445="巻返し",VLOOKUP(F445&amp;K445&amp;M445,製品マスタ!$M$5:$AE$5002,19,FALSE),IF(OR(J445="リード付け",J445="巻返しリード付け"),"",IF(J445="スリット",VLOOKUP(F445&amp;K445&amp;R445,製品マスタ!$N$5:$AE$5002,18,FALSE),""))))))</f>
        <v/>
      </c>
      <c r="Y445" s="275">
        <f ca="1">IF(D445="","",IF(T445="","",VLOOKUP(D445,契約台帳!$A$3:$Q$4986,17,FALSE)))</f>
        <v>2</v>
      </c>
      <c r="Z445" s="269" t="str">
        <f ca="1">IF(D445="","",IF(T445="","",VLOOKUP(D445,契約台帳!$A$3:$E$4986,5,FALSE)))</f>
        <v>リンテック㈱</v>
      </c>
      <c r="AA445" s="57"/>
      <c r="AB445" s="207">
        <f>IFERROR((VLOOKUP(F445&amp;K445&amp;M445,製品マスタ!$M$5:$AM$5002,27,FALSE)),"")</f>
        <v>0</v>
      </c>
      <c r="AC445" s="33"/>
      <c r="AD445" s="189"/>
      <c r="AE445" s="54"/>
      <c r="AF445" s="55"/>
      <c r="AG445" s="43"/>
      <c r="AH445" s="47"/>
      <c r="AI445" s="30"/>
      <c r="AJ445" s="30"/>
      <c r="AK445" s="30"/>
      <c r="AL445" s="30"/>
      <c r="AM445" s="13"/>
      <c r="AN445" s="13"/>
      <c r="AO445" s="13"/>
      <c r="AP445" s="13"/>
      <c r="AQ445" s="13"/>
      <c r="AR445" s="14"/>
      <c r="AS445" s="15"/>
    </row>
    <row r="446" spans="1:45" s="17" customFormat="1" ht="30.95" hidden="1" customHeight="1" x14ac:dyDescent="0.2">
      <c r="A446" s="37"/>
      <c r="B446" s="38"/>
      <c r="C446" s="45"/>
      <c r="D446" s="31"/>
      <c r="E446" s="31"/>
      <c r="F446" s="268" t="str">
        <f>IF(D446="","",VLOOKUP(D446,契約台帳!$A$3:$K$4986,6,FALSE)&amp;VLOOKUP(D446,契約台帳!$A$3:$K$4986,7,FALSE)&amp;VLOOKUP(D446,契約台帳!$A$3:$K$4986,8,FALSE)&amp;VLOOKUP(D446,契約台帳!$A$3:$K$4986,9,FALSE)&amp;VLOOKUP(D446,契約台帳!$A$3:$K$4986,11,FALSE))</f>
        <v/>
      </c>
      <c r="G446" s="269" t="str">
        <f>IF(D446="","",VLOOKUP(F446,製品マスタ!$G$5:$H$5002,2,FALSE))</f>
        <v/>
      </c>
      <c r="H446" s="269" t="str">
        <f>IF(D446="","",VLOOKUP(F446,製品マスタ!$G$5:$K$5002,5,FALSE))</f>
        <v/>
      </c>
      <c r="I446" s="270" t="str">
        <f>IF(D446="","",VLOOKUP(F446,製品マスタ!$G$5:$L$5002,6,FALSE))</f>
        <v/>
      </c>
      <c r="J446" s="210"/>
      <c r="K446" s="270" t="str">
        <f>IF(D446="","",VLOOKUP(D446,契約台帳!$A$3:$L$4986,12,FALSE))</f>
        <v/>
      </c>
      <c r="L446" s="270" t="str">
        <f>IF(D446="","",INDEX(製品マスタ!$Q$5:$Q$5002,MATCH('S4'!F446&amp;'S4'!K446,製品マスタ!$AO$5:$AO$5002,0)))</f>
        <v/>
      </c>
      <c r="M446" s="39"/>
      <c r="N446" s="39"/>
      <c r="O446" s="156"/>
      <c r="P446" s="47"/>
      <c r="Q446" s="57"/>
      <c r="R446" s="271" t="str">
        <f ca="1">IF(D446="","",IF(OFFSET(D446,-1,0)&lt;&gt;"","",IF(OR(J446="リード付け",J446="巻足し",J446="巻返しリード付け"),M446,VLOOKUP(D446,契約台帳!$A$3:$N$4986,14,FALSE))))</f>
        <v/>
      </c>
      <c r="S446" s="272" t="str">
        <f ca="1">IF(D446="","",IF(OFFSET(D446,-1,0)&lt;&gt;"","",IF(OR(J446="リード付け",J446="巻足し",J446="巻返しリード付け"),M446,VLOOKUP(D446,契約台帳!$A$3:$O$4986,15,FALSE))))</f>
        <v/>
      </c>
      <c r="T446" s="273" t="str">
        <f ca="1">IF(D446="","",IF(J446="リード付け",N446,IF(J446="巻返しリード付け",N446,IF(J446="巻足し",N446*P446+OFFSET(N446,1,0)*OFFSET(P446,1,0),VLOOKUP(D446,契約台帳!$A$3:$P$4986,16,FALSE)))))</f>
        <v/>
      </c>
      <c r="U446" s="40"/>
      <c r="V446" s="274" t="str">
        <f ca="1">IF(D446="","",IF(OFFSET(D446,-2,0)=D446,"",VLOOKUP(D446,契約台帳!$A$3:$R$4986,18,FALSE)))</f>
        <v/>
      </c>
      <c r="W446" s="269" t="str">
        <f>IF(D446="","",IF(T446="","",IF(OR(J446="巻足し",J446="巻返しリード付け"),"",IF(J446="巻返し",VLOOKUP(F446&amp;K446&amp;M446,製品マスタ!$M$5:$AD$5002,18,FALSE),IF(OR(J446="リード付け",J446="巻返しリード付け"),"原反コア",IF(J446="スリット",VLOOKUP(F446&amp;K446&amp;R446,製品マスタ!$N$5:$AD$5002,17,FALSE),""))))))</f>
        <v/>
      </c>
      <c r="X446" s="269" t="str">
        <f>IF(D446="","",IF(T446="","",IF(J446="巻足し","",IF(J446="巻返し",VLOOKUP(F446&amp;K446&amp;M446,製品マスタ!$M$5:$AE$5002,19,FALSE),IF(OR(J446="リード付け",J446="巻返しリード付け"),"",IF(J446="スリット",VLOOKUP(F446&amp;K446&amp;R446,製品マスタ!$N$5:$AE$5002,18,FALSE),""))))))</f>
        <v/>
      </c>
      <c r="Y446" s="275" t="str">
        <f>IF(D446="","",IF(T446="","",VLOOKUP(D446,契約台帳!$A$3:$Q$4986,17,FALSE)))</f>
        <v/>
      </c>
      <c r="Z446" s="269" t="str">
        <f>IF(D446="","",IF(T446="","",VLOOKUP(D446,契約台帳!$A$3:$E$4986,5,FALSE)))</f>
        <v/>
      </c>
      <c r="AA446" s="57"/>
      <c r="AB446" s="207" t="str">
        <f>IFERROR((VLOOKUP(F446&amp;K446&amp;M446,製品マスタ!$M$5:$AM$5002,27,FALSE)),"")</f>
        <v/>
      </c>
      <c r="AC446" s="33"/>
      <c r="AD446" s="189"/>
      <c r="AE446" s="54"/>
      <c r="AF446" s="55"/>
      <c r="AG446" s="43"/>
      <c r="AH446" s="47"/>
      <c r="AI446" s="30"/>
      <c r="AJ446" s="30"/>
      <c r="AK446" s="30"/>
      <c r="AL446" s="30"/>
      <c r="AM446" s="13"/>
      <c r="AN446" s="13"/>
      <c r="AO446" s="13"/>
      <c r="AP446" s="13"/>
      <c r="AQ446" s="13"/>
      <c r="AR446" s="14"/>
      <c r="AS446" s="15"/>
    </row>
    <row r="447" spans="1:45" s="17" customFormat="1" ht="30.95" hidden="1" customHeight="1" x14ac:dyDescent="0.2">
      <c r="A447" s="37"/>
      <c r="B447" s="38"/>
      <c r="C447" s="45"/>
      <c r="D447" s="31">
        <v>3703991</v>
      </c>
      <c r="E447" s="31">
        <v>4161878</v>
      </c>
      <c r="F447" s="268" t="str">
        <f>IF(D447="","",VLOOKUP(D447,契約台帳!$A$3:$K$4986,6,FALSE)&amp;VLOOKUP(D447,契約台帳!$A$3:$K$4986,7,FALSE)&amp;VLOOKUP(D447,契約台帳!$A$3:$K$4986,8,FALSE)&amp;VLOOKUP(D447,契約台帳!$A$3:$K$4986,9,FALSE)&amp;VLOOKUP(D447,契約台帳!$A$3:$K$4986,11,FALSE))</f>
        <v>3SNMCLBTETV0V</v>
      </c>
      <c r="G447" s="269" t="str">
        <f>IF(D447="","",VLOOKUP(F447,製品マスタ!$G$5:$H$5002,2,FALSE))</f>
        <v>S</v>
      </c>
      <c r="H447" s="269" t="str">
        <f>IF(D447="","",VLOOKUP(F447,製品マスタ!$G$5:$K$5002,5,FALSE))</f>
        <v>TETV0V</v>
      </c>
      <c r="I447" s="270" t="str">
        <f>IF(D447="","",VLOOKUP(F447,製品マスタ!$G$5:$L$5002,6,FALSE))</f>
        <v>メタルミー　ＴＥＳ艶ＶＯＩＤＶ</v>
      </c>
      <c r="J447" s="210" t="s">
        <v>1022</v>
      </c>
      <c r="K447" s="270">
        <f>IF(D447="","",VLOOKUP(D447,契約台帳!$A$3:$L$4986,12,FALSE))</f>
        <v>50</v>
      </c>
      <c r="L447" s="270" t="str">
        <f>IF(D447="","",INDEX(製品マスタ!$Q$5:$Q$5002,MATCH('S4'!F447&amp;'S4'!K447,製品マスタ!$AO$5:$AO$5002,0)))</f>
        <v>S28SEPA</v>
      </c>
      <c r="M447" s="39">
        <v>1005</v>
      </c>
      <c r="N447" s="39">
        <v>4100</v>
      </c>
      <c r="O447" s="156">
        <v>3</v>
      </c>
      <c r="P447" s="47">
        <v>3</v>
      </c>
      <c r="Q447" s="213">
        <v>45023</v>
      </c>
      <c r="R447" s="271">
        <f ca="1">IF(D447="","",IF(OFFSET(D447,-1,0)&lt;&gt;"","",IF(OR(J447="リード付け",J447="巻足し",J447="巻返しリード付け"),M447,VLOOKUP(D447,契約台帳!$A$3:$N$4986,14,FALSE))))</f>
        <v>1005</v>
      </c>
      <c r="S447" s="272">
        <f ca="1">IF(D447="","",IF(OFFSET(D447,-1,0)&lt;&gt;"","",IF(OR(J447="リード付け",J447="巻足し",J447="巻返しリード付け"),M447,VLOOKUP(D447,契約台帳!$A$3:$O$4986,15,FALSE))))</f>
        <v>1005</v>
      </c>
      <c r="T447" s="273">
        <f ca="1">IF(D447="","",IF(J447="リード付け",N447,IF(J447="巻返しリード付け",N447,IF(J447="巻足し",N447*P447+OFFSET(N447,1,0)*OFFSET(P447,1,0),VLOOKUP(D447,契約台帳!$A$3:$P$4986,16,FALSE)))))</f>
        <v>12300</v>
      </c>
      <c r="U447" s="40">
        <v>1</v>
      </c>
      <c r="V447" s="274">
        <f ca="1">IF(D447="","",IF(OFFSET(D447,-2,0)=D447,"",VLOOKUP(D447,契約台帳!$A$3:$R$4986,18,FALSE)))</f>
        <v>3</v>
      </c>
      <c r="W447" s="269" t="str">
        <f ca="1">IF(D447="","",IF(T447="","",IF(OR(J447="巻足し",J447="巻返しリード付け"),"",IF(J447="巻返し",VLOOKUP(F447&amp;K447&amp;M447,製品マスタ!$M$5:$AD$5002,18,FALSE),IF(OR(J447="リード付け",J447="巻返しリード付け"),"原反コア",IF(J447="スリット",VLOOKUP(F447&amp;K447&amp;R447,製品マスタ!$N$5:$AD$5002,17,FALSE),""))))))</f>
        <v/>
      </c>
      <c r="X447" s="269" t="str">
        <f ca="1">IF(D447="","",IF(T447="","",IF(J447="巻足し","",IF(J447="巻返し",VLOOKUP(F447&amp;K447&amp;M447,製品マスタ!$M$5:$AE$5002,19,FALSE),IF(OR(J447="リード付け",J447="巻返しリード付け"),"",IF(J447="スリット",VLOOKUP(F447&amp;K447&amp;R447,製品マスタ!$N$5:$AE$5002,18,FALSE),""))))))</f>
        <v/>
      </c>
      <c r="Y447" s="275">
        <f ca="1">IF(D447="","",IF(T447="","",VLOOKUP(D447,契約台帳!$A$3:$Q$4986,17,FALSE)))</f>
        <v>2</v>
      </c>
      <c r="Z447" s="269" t="str">
        <f ca="1">IF(D447="","",IF(T447="","",VLOOKUP(D447,契約台帳!$A$3:$E$4986,5,FALSE)))</f>
        <v>リンテック㈱</v>
      </c>
      <c r="AA447" s="57"/>
      <c r="AB447" s="207">
        <f>IFERROR((VLOOKUP(F447&amp;K447&amp;M447,製品マスタ!$M$5:$AM$5002,27,FALSE)),"")</f>
        <v>0</v>
      </c>
      <c r="AC447" s="33"/>
      <c r="AD447" s="189"/>
      <c r="AE447" s="54"/>
      <c r="AF447" s="55"/>
      <c r="AG447" s="43"/>
      <c r="AH447" s="47"/>
      <c r="AI447" s="30"/>
      <c r="AJ447" s="30"/>
      <c r="AK447" s="30"/>
      <c r="AL447" s="30"/>
      <c r="AM447" s="13"/>
      <c r="AN447" s="13"/>
      <c r="AO447" s="13"/>
      <c r="AP447" s="13"/>
      <c r="AQ447" s="13"/>
      <c r="AR447" s="14"/>
      <c r="AS447" s="15"/>
    </row>
    <row r="448" spans="1:45" s="17" customFormat="1" ht="30.95" hidden="1" customHeight="1" x14ac:dyDescent="0.2">
      <c r="A448" s="37"/>
      <c r="B448" s="38"/>
      <c r="C448" s="45"/>
      <c r="D448" s="31"/>
      <c r="E448" s="31"/>
      <c r="F448" s="268" t="str">
        <f>IF(D448="","",VLOOKUP(D448,契約台帳!$A$3:$K$4986,6,FALSE)&amp;VLOOKUP(D448,契約台帳!$A$3:$K$4986,7,FALSE)&amp;VLOOKUP(D448,契約台帳!$A$3:$K$4986,8,FALSE)&amp;VLOOKUP(D448,契約台帳!$A$3:$K$4986,9,FALSE)&amp;VLOOKUP(D448,契約台帳!$A$3:$K$4986,11,FALSE))</f>
        <v/>
      </c>
      <c r="G448" s="269" t="str">
        <f>IF(D448="","",VLOOKUP(F448,製品マスタ!$G$5:$H$5002,2,FALSE))</f>
        <v/>
      </c>
      <c r="H448" s="269" t="str">
        <f>IF(D448="","",VLOOKUP(F448,製品マスタ!$G$5:$K$5002,5,FALSE))</f>
        <v/>
      </c>
      <c r="I448" s="270" t="str">
        <f>IF(D448="","",VLOOKUP(F448,製品マスタ!$G$5:$L$5002,6,FALSE))</f>
        <v/>
      </c>
      <c r="J448" s="210"/>
      <c r="K448" s="270" t="str">
        <f>IF(D448="","",VLOOKUP(D448,契約台帳!$A$3:$L$4986,12,FALSE))</f>
        <v/>
      </c>
      <c r="L448" s="270" t="str">
        <f>IF(D448="","",INDEX(製品マスタ!$Q$5:$Q$5002,MATCH('S4'!F448&amp;'S4'!K448,製品マスタ!$AO$5:$AO$5002,0)))</f>
        <v/>
      </c>
      <c r="M448" s="39"/>
      <c r="N448" s="39"/>
      <c r="O448" s="156"/>
      <c r="P448" s="47"/>
      <c r="Q448" s="57"/>
      <c r="R448" s="271" t="str">
        <f ca="1">IF(D448="","",IF(OFFSET(D448,-1,0)&lt;&gt;"","",IF(OR(J448="リード付け",J448="巻足し",J448="巻返しリード付け"),M448,VLOOKUP(D448,契約台帳!$A$3:$N$4986,14,FALSE))))</f>
        <v/>
      </c>
      <c r="S448" s="272" t="str">
        <f ca="1">IF(D448="","",IF(OFFSET(D448,-1,0)&lt;&gt;"","",IF(OR(J448="リード付け",J448="巻足し",J448="巻返しリード付け"),M448,VLOOKUP(D448,契約台帳!$A$3:$O$4986,15,FALSE))))</f>
        <v/>
      </c>
      <c r="T448" s="273" t="str">
        <f ca="1">IF(D448="","",IF(J448="リード付け",N448,IF(J448="巻返しリード付け",N448,IF(J448="巻足し",N448*P448+OFFSET(N448,1,0)*OFFSET(P448,1,0),VLOOKUP(D448,契約台帳!$A$3:$P$4986,16,FALSE)))))</f>
        <v/>
      </c>
      <c r="U448" s="40"/>
      <c r="V448" s="274" t="str">
        <f ca="1">IF(D448="","",IF(OFFSET(D448,-2,0)=D448,"",VLOOKUP(D448,契約台帳!$A$3:$R$4986,18,FALSE)))</f>
        <v/>
      </c>
      <c r="W448" s="269" t="str">
        <f>IF(D448="","",IF(T448="","",IF(OR(J448="巻足し",J448="巻返しリード付け"),"",IF(J448="巻返し",VLOOKUP(F448&amp;K448&amp;M448,製品マスタ!$M$5:$AD$5002,18,FALSE),IF(OR(J448="リード付け",J448="巻返しリード付け"),"原反コア",IF(J448="スリット",VLOOKUP(F448&amp;K448&amp;R448,製品マスタ!$N$5:$AD$5002,17,FALSE),""))))))</f>
        <v/>
      </c>
      <c r="X448" s="269" t="str">
        <f>IF(D448="","",IF(T448="","",IF(J448="巻足し","",IF(J448="巻返し",VLOOKUP(F448&amp;K448&amp;M448,製品マスタ!$M$5:$AE$5002,19,FALSE),IF(OR(J448="リード付け",J448="巻返しリード付け"),"",IF(J448="スリット",VLOOKUP(F448&amp;K448&amp;R448,製品マスタ!$N$5:$AE$5002,18,FALSE),""))))))</f>
        <v/>
      </c>
      <c r="Y448" s="275" t="str">
        <f>IF(D448="","",IF(T448="","",VLOOKUP(D448,契約台帳!$A$3:$Q$4986,17,FALSE)))</f>
        <v/>
      </c>
      <c r="Z448" s="269" t="str">
        <f>IF(D448="","",IF(T448="","",VLOOKUP(D448,契約台帳!$A$3:$E$4986,5,FALSE)))</f>
        <v/>
      </c>
      <c r="AA448" s="57"/>
      <c r="AB448" s="207" t="str">
        <f>IFERROR((VLOOKUP(F448&amp;K448&amp;M448,製品マスタ!$M$5:$AM$5002,27,FALSE)),"")</f>
        <v/>
      </c>
      <c r="AC448" s="33"/>
      <c r="AD448" s="189"/>
      <c r="AE448" s="54"/>
      <c r="AF448" s="55"/>
      <c r="AG448" s="43"/>
      <c r="AH448" s="47"/>
      <c r="AI448" s="30"/>
      <c r="AJ448" s="30"/>
      <c r="AK448" s="30"/>
      <c r="AL448" s="30"/>
      <c r="AM448" s="13"/>
      <c r="AN448" s="13"/>
      <c r="AO448" s="13"/>
      <c r="AP448" s="13"/>
      <c r="AQ448" s="13"/>
      <c r="AR448" s="14"/>
      <c r="AS448" s="15"/>
    </row>
    <row r="449" spans="1:45" s="17" customFormat="1" ht="30.95" hidden="1" customHeight="1" x14ac:dyDescent="0.2">
      <c r="A449" s="37"/>
      <c r="B449" s="38"/>
      <c r="C449" s="45"/>
      <c r="D449" s="31">
        <v>3703987</v>
      </c>
      <c r="E449" s="31">
        <v>4161863</v>
      </c>
      <c r="F449" s="268" t="str">
        <f>IF(D449="","",VLOOKUP(D449,契約台帳!$A$3:$K$4986,6,FALSE)&amp;VLOOKUP(D449,契約台帳!$A$3:$K$4986,7,FALSE)&amp;VLOOKUP(D449,契約台帳!$A$3:$K$4986,8,FALSE)&amp;VLOOKUP(D449,契約台帳!$A$3:$K$4986,9,FALSE)&amp;VLOOKUP(D449,契約台帳!$A$3:$K$4986,11,FALSE))</f>
        <v>3SNMCLBHLGTV</v>
      </c>
      <c r="G449" s="269" t="str">
        <f>IF(D449="","",VLOOKUP(F449,製品マスタ!$G$5:$H$5002,2,FALSE))</f>
        <v>S</v>
      </c>
      <c r="H449" s="269" t="str">
        <f>IF(D449="","",VLOOKUP(F449,製品マスタ!$G$5:$K$5002,5,FALSE))</f>
        <v>HLGTV</v>
      </c>
      <c r="I449" s="270" t="str">
        <f>IF(D449="","",VLOOKUP(F449,製品マスタ!$G$5:$L$5002,6,FALSE))</f>
        <v>メタルミー　ヘヤライン　銀艶Ｖ</v>
      </c>
      <c r="J449" s="210" t="s">
        <v>1022</v>
      </c>
      <c r="K449" s="270">
        <f>IF(D449="","",VLOOKUP(D449,契約台帳!$A$3:$L$4986,12,FALSE))</f>
        <v>50</v>
      </c>
      <c r="L449" s="270" t="str">
        <f>IF(D449="","",INDEX(製品マスタ!$Q$5:$Q$5002,MATCH('S4'!F449&amp;'S4'!K449,製品マスタ!$AO$5:$AO$5002,0)))</f>
        <v>BRIGHT</v>
      </c>
      <c r="M449" s="39">
        <v>1005</v>
      </c>
      <c r="N449" s="39">
        <v>4100</v>
      </c>
      <c r="O449" s="156">
        <v>3</v>
      </c>
      <c r="P449" s="47">
        <v>3</v>
      </c>
      <c r="Q449" s="213">
        <v>45023</v>
      </c>
      <c r="R449" s="271">
        <f ca="1">IF(D449="","",IF(OFFSET(D449,-1,0)&lt;&gt;"","",IF(OR(J449="リード付け",J449="巻足し",J449="巻返しリード付け"),M449,VLOOKUP(D449,契約台帳!$A$3:$N$4986,14,FALSE))))</f>
        <v>1005</v>
      </c>
      <c r="S449" s="272">
        <f ca="1">IF(D449="","",IF(OFFSET(D449,-1,0)&lt;&gt;"","",IF(OR(J449="リード付け",J449="巻足し",J449="巻返しリード付け"),M449,VLOOKUP(D449,契約台帳!$A$3:$O$4986,15,FALSE))))</f>
        <v>1005</v>
      </c>
      <c r="T449" s="273">
        <f ca="1">IF(D449="","",IF(J449="リード付け",N449,IF(J449="巻返しリード付け",N449,IF(J449="巻足し",N449*P449+OFFSET(N449,1,0)*OFFSET(P449,1,0),VLOOKUP(D449,契約台帳!$A$3:$P$4986,16,FALSE)))))</f>
        <v>12300</v>
      </c>
      <c r="U449" s="40">
        <v>1</v>
      </c>
      <c r="V449" s="274">
        <f ca="1">IF(D449="","",IF(OFFSET(D449,-2,0)=D449,"",VLOOKUP(D449,契約台帳!$A$3:$R$4986,18,FALSE)))</f>
        <v>3</v>
      </c>
      <c r="W449" s="269" t="str">
        <f ca="1">IF(D449="","",IF(T449="","",IF(OR(J449="巻足し",J449="巻返しリード付け"),"",IF(J449="巻返し",VLOOKUP(F449&amp;K449&amp;M449,製品マスタ!$M$5:$AD$5002,18,FALSE),IF(OR(J449="リード付け",J449="巻返しリード付け"),"原反コア",IF(J449="スリット",VLOOKUP(F449&amp;K449&amp;R449,製品マスタ!$N$5:$AD$5002,17,FALSE),""))))))</f>
        <v/>
      </c>
      <c r="X449" s="269" t="str">
        <f ca="1">IF(D449="","",IF(T449="","",IF(J449="巻足し","",IF(J449="巻返し",VLOOKUP(F449&amp;K449&amp;M449,製品マスタ!$M$5:$AE$5002,19,FALSE),IF(OR(J449="リード付け",J449="巻返しリード付け"),"",IF(J449="スリット",VLOOKUP(F449&amp;K449&amp;R449,製品マスタ!$N$5:$AE$5002,18,FALSE),""))))))</f>
        <v/>
      </c>
      <c r="Y449" s="275">
        <f ca="1">IF(D449="","",IF(T449="","",VLOOKUP(D449,契約台帳!$A$3:$Q$4986,17,FALSE)))</f>
        <v>2</v>
      </c>
      <c r="Z449" s="269" t="str">
        <f ca="1">IF(D449="","",IF(T449="","",VLOOKUP(D449,契約台帳!$A$3:$E$4986,5,FALSE)))</f>
        <v>リンテック㈱</v>
      </c>
      <c r="AA449" s="57"/>
      <c r="AB449" s="207">
        <f>IFERROR((VLOOKUP(F449&amp;K449&amp;M449,製品マスタ!$M$5:$AM$5002,27,FALSE)),"")</f>
        <v>0</v>
      </c>
      <c r="AC449" s="33"/>
      <c r="AD449" s="189"/>
      <c r="AE449" s="54"/>
      <c r="AF449" s="55"/>
      <c r="AG449" s="43"/>
      <c r="AH449" s="47"/>
      <c r="AI449" s="30"/>
      <c r="AJ449" s="30"/>
      <c r="AK449" s="30"/>
      <c r="AL449" s="30"/>
      <c r="AM449" s="13"/>
      <c r="AN449" s="13"/>
      <c r="AO449" s="13"/>
      <c r="AP449" s="13"/>
      <c r="AQ449" s="13"/>
      <c r="AR449" s="14"/>
      <c r="AS449" s="15"/>
    </row>
    <row r="450" spans="1:45" s="17" customFormat="1" ht="30.95" hidden="1" customHeight="1" x14ac:dyDescent="0.2">
      <c r="A450" s="37"/>
      <c r="B450" s="38"/>
      <c r="C450" s="45"/>
      <c r="D450" s="31"/>
      <c r="E450" s="31"/>
      <c r="F450" s="268" t="str">
        <f>IF(D450="","",VLOOKUP(D450,契約台帳!$A$3:$K$4986,6,FALSE)&amp;VLOOKUP(D450,契約台帳!$A$3:$K$4986,7,FALSE)&amp;VLOOKUP(D450,契約台帳!$A$3:$K$4986,8,FALSE)&amp;VLOOKUP(D450,契約台帳!$A$3:$K$4986,9,FALSE)&amp;VLOOKUP(D450,契約台帳!$A$3:$K$4986,11,FALSE))</f>
        <v/>
      </c>
      <c r="G450" s="269" t="str">
        <f>IF(D450="","",VLOOKUP(F450,製品マスタ!$G$5:$H$5002,2,FALSE))</f>
        <v/>
      </c>
      <c r="H450" s="269" t="str">
        <f>IF(D450="","",VLOOKUP(F450,製品マスタ!$G$5:$K$5002,5,FALSE))</f>
        <v/>
      </c>
      <c r="I450" s="270" t="str">
        <f>IF(D450="","",VLOOKUP(F450,製品マスタ!$G$5:$L$5002,6,FALSE))</f>
        <v/>
      </c>
      <c r="J450" s="210"/>
      <c r="K450" s="270" t="str">
        <f>IF(D450="","",VLOOKUP(D450,契約台帳!$A$3:$L$4986,12,FALSE))</f>
        <v/>
      </c>
      <c r="L450" s="270" t="str">
        <f>IF(D450="","",INDEX(製品マスタ!$Q$5:$Q$5002,MATCH('S4'!F450&amp;'S4'!K450,製品マスタ!$AO$5:$AO$5002,0)))</f>
        <v/>
      </c>
      <c r="M450" s="39"/>
      <c r="N450" s="39"/>
      <c r="O450" s="156"/>
      <c r="P450" s="47"/>
      <c r="Q450" s="57"/>
      <c r="R450" s="271" t="str">
        <f ca="1">IF(D450="","",IF(OFFSET(D450,-1,0)&lt;&gt;"","",IF(OR(J450="リード付け",J450="巻足し",J450="巻返しリード付け"),M450,VLOOKUP(D450,契約台帳!$A$3:$N$4986,14,FALSE))))</f>
        <v/>
      </c>
      <c r="S450" s="272" t="str">
        <f ca="1">IF(D450="","",IF(OFFSET(D450,-1,0)&lt;&gt;"","",IF(OR(J450="リード付け",J450="巻足し",J450="巻返しリード付け"),M450,VLOOKUP(D450,契約台帳!$A$3:$O$4986,15,FALSE))))</f>
        <v/>
      </c>
      <c r="T450" s="273" t="str">
        <f ca="1">IF(D450="","",IF(J450="リード付け",N450,IF(J450="巻返しリード付け",N450,IF(J450="巻足し",N450*P450+OFFSET(N450,1,0)*OFFSET(P450,1,0),VLOOKUP(D450,契約台帳!$A$3:$P$4986,16,FALSE)))))</f>
        <v/>
      </c>
      <c r="U450" s="40"/>
      <c r="V450" s="274" t="str">
        <f ca="1">IF(D450="","",IF(OFFSET(D450,-2,0)=D450,"",VLOOKUP(D450,契約台帳!$A$3:$R$4986,18,FALSE)))</f>
        <v/>
      </c>
      <c r="W450" s="269" t="str">
        <f>IF(D450="","",IF(T450="","",IF(OR(J450="巻足し",J450="巻返しリード付け"),"",IF(J450="巻返し",VLOOKUP(F450&amp;K450&amp;M450,製品マスタ!$M$5:$AD$5002,18,FALSE),IF(OR(J450="リード付け",J450="巻返しリード付け"),"原反コア",IF(J450="スリット",VLOOKUP(F450&amp;K450&amp;R450,製品マスタ!$N$5:$AD$5002,17,FALSE),""))))))</f>
        <v/>
      </c>
      <c r="X450" s="269" t="str">
        <f>IF(D450="","",IF(T450="","",IF(J450="巻足し","",IF(J450="巻返し",VLOOKUP(F450&amp;K450&amp;M450,製品マスタ!$M$5:$AE$5002,19,FALSE),IF(OR(J450="リード付け",J450="巻返しリード付け"),"",IF(J450="スリット",VLOOKUP(F450&amp;K450&amp;R450,製品マスタ!$N$5:$AE$5002,18,FALSE),""))))))</f>
        <v/>
      </c>
      <c r="Y450" s="275" t="str">
        <f>IF(D450="","",IF(T450="","",VLOOKUP(D450,契約台帳!$A$3:$Q$4986,17,FALSE)))</f>
        <v/>
      </c>
      <c r="Z450" s="269" t="str">
        <f>IF(D450="","",IF(T450="","",VLOOKUP(D450,契約台帳!$A$3:$E$4986,5,FALSE)))</f>
        <v/>
      </c>
      <c r="AA450" s="57"/>
      <c r="AB450" s="207" t="str">
        <f>IFERROR((VLOOKUP(F450&amp;K450&amp;M450,製品マスタ!$M$5:$AM$5002,27,FALSE)),"")</f>
        <v/>
      </c>
      <c r="AC450" s="33"/>
      <c r="AD450" s="189"/>
      <c r="AE450" s="54"/>
      <c r="AF450" s="55"/>
      <c r="AG450" s="43"/>
      <c r="AH450" s="47"/>
      <c r="AI450" s="30"/>
      <c r="AJ450" s="30"/>
      <c r="AK450" s="30"/>
      <c r="AL450" s="30"/>
      <c r="AM450" s="13"/>
      <c r="AN450" s="13"/>
      <c r="AO450" s="13"/>
      <c r="AP450" s="13"/>
      <c r="AQ450" s="13"/>
      <c r="AR450" s="14"/>
      <c r="AS450" s="15"/>
    </row>
    <row r="451" spans="1:45" s="17" customFormat="1" ht="30.95" hidden="1" customHeight="1" x14ac:dyDescent="0.2">
      <c r="A451" s="37" t="s">
        <v>1036</v>
      </c>
      <c r="B451" s="38" t="s">
        <v>688</v>
      </c>
      <c r="C451" s="45"/>
      <c r="D451" s="31">
        <v>3703994</v>
      </c>
      <c r="E451" s="31">
        <v>4161868</v>
      </c>
      <c r="F451" s="268" t="str">
        <f>IF(D451="","",VLOOKUP(D451,契約台帳!$A$3:$K$4986,6,FALSE)&amp;VLOOKUP(D451,契約台帳!$A$3:$K$4986,7,FALSE)&amp;VLOOKUP(D451,契約台帳!$A$3:$K$4986,8,FALSE)&amp;VLOOKUP(D451,契約台帳!$A$3:$K$4986,9,FALSE)&amp;VLOOKUP(D451,契約台帳!$A$3:$K$4986,11,FALSE))</f>
        <v>3SNMLBMNGKKBF</v>
      </c>
      <c r="G451" s="269" t="str">
        <f>IF(D451="","",VLOOKUP(F451,製品マスタ!$G$5:$H$5002,2,FALSE))</f>
        <v>S</v>
      </c>
      <c r="H451" s="269" t="str">
        <f>IF(D451="","",VLOOKUP(F451,製品マスタ!$G$5:$K$5002,5,FALSE))</f>
        <v>MNGKKBF</v>
      </c>
      <c r="I451" s="270" t="str">
        <f>IF(D451="","",VLOOKUP(F451,製品マスタ!$G$5:$L$5002,6,FALSE))</f>
        <v>メタルミー　ネーマー銀消改　Ｂ</v>
      </c>
      <c r="J451" s="210" t="s">
        <v>1022</v>
      </c>
      <c r="K451" s="270">
        <f>IF(D451="","",VLOOKUP(D451,契約台帳!$A$3:$L$4986,12,FALSE))</f>
        <v>25</v>
      </c>
      <c r="L451" s="270" t="str">
        <f>IF(D451="","",INDEX(製品マスタ!$Q$5:$Q$5002,MATCH('S4'!F451&amp;'S4'!K451,製品マスタ!$AO$5:$AO$5002,0)))</f>
        <v>FMATS99</v>
      </c>
      <c r="M451" s="39">
        <v>1120</v>
      </c>
      <c r="N451" s="39">
        <v>4000</v>
      </c>
      <c r="O451" s="156">
        <v>6</v>
      </c>
      <c r="P451" s="47">
        <v>3</v>
      </c>
      <c r="Q451" s="213">
        <v>45023</v>
      </c>
      <c r="R451" s="271">
        <f ca="1">IF(D451="","",IF(OFFSET(D451,-1,0)&lt;&gt;"","",IF(OR(J451="リード付け",J451="巻足し",J451="巻返しリード付け"),M451,VLOOKUP(D451,契約台帳!$A$3:$N$4986,14,FALSE))))</f>
        <v>1120</v>
      </c>
      <c r="S451" s="272">
        <f ca="1">IF(D451="","",IF(OFFSET(D451,-1,0)&lt;&gt;"","",IF(OR(J451="リード付け",J451="巻足し",J451="巻返しリード付け"),M451,VLOOKUP(D451,契約台帳!$A$3:$O$4986,15,FALSE))))</f>
        <v>1120</v>
      </c>
      <c r="T451" s="273">
        <f ca="1">IF(D451="","",IF(J451="リード付け",N451,IF(J451="巻返しリード付け",N451,IF(J451="巻足し",N451*P451+OFFSET(N451,1,0)*OFFSET(P451,1,0),VLOOKUP(D451,契約台帳!$A$3:$P$4986,16,FALSE)))))</f>
        <v>12000</v>
      </c>
      <c r="U451" s="40">
        <v>2</v>
      </c>
      <c r="V451" s="274">
        <f ca="1">IF(D451="","",IF(OFFSET(D451,-2,0)=D451,"",VLOOKUP(D451,契約台帳!$A$3:$R$4986,18,FALSE)))</f>
        <v>6</v>
      </c>
      <c r="W451" s="269" t="str">
        <f ca="1">IF(D451="","",IF(T451="","",IF(OR(J451="巻足し",J451="巻返しリード付け"),"",IF(J451="巻返し",VLOOKUP(F451&amp;K451&amp;M451,製品マスタ!$M$5:$AD$5002,18,FALSE),IF(OR(J451="リード付け",J451="巻返しリード付け"),"原反コア",IF(J451="スリット",VLOOKUP(F451&amp;K451&amp;R451,製品マスタ!$N$5:$AD$5002,17,FALSE),""))))))</f>
        <v/>
      </c>
      <c r="X451" s="269" t="str">
        <f ca="1">IF(D451="","",IF(T451="","",IF(J451="巻足し","",IF(J451="巻返し",VLOOKUP(F451&amp;K451&amp;M451,製品マスタ!$M$5:$AE$5002,19,FALSE),IF(OR(J451="リード付け",J451="巻返しリード付け"),"",IF(J451="スリット",VLOOKUP(F451&amp;K451&amp;R451,製品マスタ!$N$5:$AE$5002,18,FALSE),""))))))</f>
        <v/>
      </c>
      <c r="Y451" s="275">
        <f ca="1">IF(D451="","",IF(T451="","",VLOOKUP(D451,契約台帳!$A$3:$Q$4986,17,FALSE)))</f>
        <v>2</v>
      </c>
      <c r="Z451" s="269" t="str">
        <f ca="1">IF(D451="","",IF(T451="","",VLOOKUP(D451,契約台帳!$A$3:$E$4986,5,FALSE)))</f>
        <v>リンテック㈱</v>
      </c>
      <c r="AA451" s="57"/>
      <c r="AB451" s="207">
        <f>IFERROR((VLOOKUP(F451&amp;K451&amp;M451,製品マスタ!$M$5:$AM$5002,27,FALSE)),"")</f>
        <v>0</v>
      </c>
      <c r="AC451" s="33"/>
      <c r="AD451" s="189"/>
      <c r="AE451" s="54"/>
      <c r="AF451" s="55"/>
      <c r="AG451" s="43"/>
      <c r="AH451" s="47"/>
      <c r="AI451" s="30"/>
      <c r="AJ451" s="30"/>
      <c r="AK451" s="30"/>
      <c r="AL451" s="30"/>
      <c r="AM451" s="13"/>
      <c r="AN451" s="13"/>
      <c r="AO451" s="13"/>
      <c r="AP451" s="13"/>
      <c r="AQ451" s="13"/>
      <c r="AR451" s="14"/>
      <c r="AS451" s="15"/>
    </row>
    <row r="452" spans="1:45" s="17" customFormat="1" ht="30.95" hidden="1" customHeight="1" x14ac:dyDescent="0.2">
      <c r="A452" s="37"/>
      <c r="B452" s="38"/>
      <c r="C452" s="45"/>
      <c r="D452" s="31"/>
      <c r="E452" s="31"/>
      <c r="F452" s="268" t="str">
        <f>IF(D452="","",VLOOKUP(D452,契約台帳!$A$3:$K$4986,6,FALSE)&amp;VLOOKUP(D452,契約台帳!$A$3:$K$4986,7,FALSE)&amp;VLOOKUP(D452,契約台帳!$A$3:$K$4986,8,FALSE)&amp;VLOOKUP(D452,契約台帳!$A$3:$K$4986,9,FALSE)&amp;VLOOKUP(D452,契約台帳!$A$3:$K$4986,11,FALSE))</f>
        <v/>
      </c>
      <c r="G452" s="269" t="str">
        <f>IF(D452="","",VLOOKUP(F452,製品マスタ!$G$5:$H$5002,2,FALSE))</f>
        <v/>
      </c>
      <c r="H452" s="269" t="str">
        <f>IF(D452="","",VLOOKUP(F452,製品マスタ!$G$5:$K$5002,5,FALSE))</f>
        <v/>
      </c>
      <c r="I452" s="270" t="str">
        <f>IF(D452="","",VLOOKUP(F452,製品マスタ!$G$5:$L$5002,6,FALSE))</f>
        <v/>
      </c>
      <c r="J452" s="210"/>
      <c r="K452" s="270" t="str">
        <f>IF(D452="","",VLOOKUP(D452,契約台帳!$A$3:$L$4986,12,FALSE))</f>
        <v/>
      </c>
      <c r="L452" s="270" t="str">
        <f>IF(D452="","",INDEX(製品マスタ!$Q$5:$Q$5002,MATCH('S4'!F452&amp;'S4'!K452,製品マスタ!$AO$5:$AO$5002,0)))</f>
        <v/>
      </c>
      <c r="M452" s="39"/>
      <c r="N452" s="39"/>
      <c r="O452" s="156"/>
      <c r="P452" s="47"/>
      <c r="Q452" s="57"/>
      <c r="R452" s="271" t="str">
        <f ca="1">IF(D452="","",IF(OFFSET(D452,-1,0)&lt;&gt;"","",IF(OR(J452="リード付け",J452="巻足し",J452="巻返しリード付け"),M452,VLOOKUP(D452,契約台帳!$A$3:$N$4986,14,FALSE))))</f>
        <v/>
      </c>
      <c r="S452" s="272" t="str">
        <f ca="1">IF(D452="","",IF(OFFSET(D452,-1,0)&lt;&gt;"","",IF(OR(J452="リード付け",J452="巻足し",J452="巻返しリード付け"),M452,VLOOKUP(D452,契約台帳!$A$3:$O$4986,15,FALSE))))</f>
        <v/>
      </c>
      <c r="T452" s="273" t="str">
        <f ca="1">IF(D452="","",IF(J452="リード付け",N452,IF(J452="巻返しリード付け",N452,IF(J452="巻足し",N452*P452+OFFSET(N452,1,0)*OFFSET(P452,1,0),VLOOKUP(D452,契約台帳!$A$3:$P$4986,16,FALSE)))))</f>
        <v/>
      </c>
      <c r="U452" s="40"/>
      <c r="V452" s="274" t="str">
        <f ca="1">IF(D452="","",IF(OFFSET(D452,-2,0)=D452,"",VLOOKUP(D452,契約台帳!$A$3:$R$4986,18,FALSE)))</f>
        <v/>
      </c>
      <c r="W452" s="269" t="str">
        <f>IF(D452="","",IF(T452="","",IF(OR(J452="巻足し",J452="巻返しリード付け"),"",IF(J452="巻返し",VLOOKUP(F452&amp;K452&amp;M452,製品マスタ!$M$5:$AD$5002,18,FALSE),IF(OR(J452="リード付け",J452="巻返しリード付け"),"原反コア",IF(J452="スリット",VLOOKUP(F452&amp;K452&amp;R452,製品マスタ!$N$5:$AD$5002,17,FALSE),""))))))</f>
        <v/>
      </c>
      <c r="X452" s="269" t="str">
        <f>IF(D452="","",IF(T452="","",IF(J452="巻足し","",IF(J452="巻返し",VLOOKUP(F452&amp;K452&amp;M452,製品マスタ!$M$5:$AE$5002,19,FALSE),IF(OR(J452="リード付け",J452="巻返しリード付け"),"",IF(J452="スリット",VLOOKUP(F452&amp;K452&amp;R452,製品マスタ!$N$5:$AE$5002,18,FALSE),""))))))</f>
        <v/>
      </c>
      <c r="Y452" s="275" t="str">
        <f>IF(D452="","",IF(T452="","",VLOOKUP(D452,契約台帳!$A$3:$Q$4986,17,FALSE)))</f>
        <v/>
      </c>
      <c r="Z452" s="269" t="str">
        <f>IF(D452="","",IF(T452="","",VLOOKUP(D452,契約台帳!$A$3:$E$4986,5,FALSE)))</f>
        <v/>
      </c>
      <c r="AA452" s="57"/>
      <c r="AB452" s="207" t="str">
        <f>IFERROR((VLOOKUP(F452&amp;K452&amp;M452,製品マスタ!$M$5:$AM$5002,27,FALSE)),"")</f>
        <v/>
      </c>
      <c r="AC452" s="33"/>
      <c r="AD452" s="189"/>
      <c r="AE452" s="54"/>
      <c r="AF452" s="55"/>
      <c r="AG452" s="43"/>
      <c r="AH452" s="47"/>
      <c r="AI452" s="30"/>
      <c r="AJ452" s="30"/>
      <c r="AK452" s="30"/>
      <c r="AL452" s="30"/>
      <c r="AM452" s="13"/>
      <c r="AN452" s="13"/>
      <c r="AO452" s="13"/>
      <c r="AP452" s="13"/>
      <c r="AQ452" s="13"/>
      <c r="AR452" s="14"/>
      <c r="AS452" s="15"/>
    </row>
    <row r="453" spans="1:45" s="17" customFormat="1" ht="30.95" hidden="1" customHeight="1" x14ac:dyDescent="0.2">
      <c r="A453" s="37"/>
      <c r="B453" s="38"/>
      <c r="C453" s="45"/>
      <c r="D453" s="31">
        <v>3706358</v>
      </c>
      <c r="E453" s="31">
        <v>4161884</v>
      </c>
      <c r="F453" s="268" t="str">
        <f>IF(D453="","",VLOOKUP(D453,契約台帳!$A$3:$K$4986,6,FALSE)&amp;VLOOKUP(D453,契約台帳!$A$3:$K$4986,7,FALSE)&amp;VLOOKUP(D453,契約台帳!$A$3:$K$4986,8,FALSE)&amp;VLOOKUP(D453,契約台帳!$A$3:$K$4986,9,FALSE)&amp;VLOOKUP(D453,契約台帳!$A$3:$K$4986,11,FALSE))</f>
        <v>3SNMCLBMSNEYK</v>
      </c>
      <c r="G453" s="269" t="str">
        <f>IF(D453="","",VLOOKUP(F453,製品マスタ!$G$5:$H$5002,2,FALSE))</f>
        <v>S</v>
      </c>
      <c r="H453" s="269" t="str">
        <f>IF(D453="","",VLOOKUP(F453,製品マスタ!$G$5:$K$5002,5,FALSE))</f>
        <v>MSNEYK</v>
      </c>
      <c r="I453" s="270" t="str">
        <f>IF(D453="","",VLOOKUP(F453,製品マスタ!$G$5:$L$5002,6,FALSE))</f>
        <v>ＭＳＮ　ＥＹＫ</v>
      </c>
      <c r="J453" s="210" t="s">
        <v>1080</v>
      </c>
      <c r="K453" s="270">
        <f>IF(D453="","",VLOOKUP(D453,契約台帳!$A$3:$L$4986,12,FALSE))</f>
        <v>50</v>
      </c>
      <c r="L453" s="270" t="str">
        <f>IF(D453="","",INDEX(製品マスタ!$Q$5:$Q$5002,MATCH('S4'!F453&amp;'S4'!K453,製品マスタ!$AO$5:$AO$5002,0)))</f>
        <v>N-MAT</v>
      </c>
      <c r="M453" s="39">
        <v>1120</v>
      </c>
      <c r="N453" s="39">
        <v>4000</v>
      </c>
      <c r="O453" s="156">
        <v>2</v>
      </c>
      <c r="P453" s="47">
        <v>2</v>
      </c>
      <c r="Q453" s="213">
        <v>45023</v>
      </c>
      <c r="R453" s="271">
        <f ca="1">IF(D453="","",IF(OFFSET(D453,-1,0)&lt;&gt;"","",IF(OR(J453="リード付け",J453="巻足し",J453="巻返しリード付け"),M453,VLOOKUP(D453,契約台帳!$A$3:$N$4986,14,FALSE))))</f>
        <v>1120</v>
      </c>
      <c r="S453" s="272">
        <f ca="1">IF(D453="","",IF(OFFSET(D453,-1,0)&lt;&gt;"","",IF(OR(J453="リード付け",J453="巻足し",J453="巻返しリード付け"),M453,VLOOKUP(D453,契約台帳!$A$3:$O$4986,15,FALSE))))</f>
        <v>1120</v>
      </c>
      <c r="T453" s="273">
        <f ca="1">IF(D453="","",IF(J453="リード付け",N453,IF(J453="巻返しリード付け",N453,IF(J453="巻足し",N453*P453+OFFSET(N453,1,0)*OFFSET(P453,1,0),VLOOKUP(D453,契約台帳!$A$3:$P$4986,16,FALSE)))))</f>
        <v>8000</v>
      </c>
      <c r="U453" s="40">
        <v>1</v>
      </c>
      <c r="V453" s="274">
        <f ca="1">IF(D453="","",IF(OFFSET(D453,-2,0)=D453,"",VLOOKUP(D453,契約台帳!$A$3:$R$4986,18,FALSE)))</f>
        <v>2</v>
      </c>
      <c r="W453" s="269" t="str">
        <f ca="1">IF(D453="","",IF(T453="","",IF(OR(J453="巻足し",J453="巻返しリード付け"),"",IF(J453="巻返し",VLOOKUP(F453&amp;K453&amp;M453,製品マスタ!$M$5:$AD$5002,18,FALSE),IF(OR(J453="リード付け",J453="巻返しリード付け"),"原反コア",IF(J453="スリット",VLOOKUP(F453&amp;K453&amp;R453,製品マスタ!$N$5:$AD$5002,17,FALSE),""))))))</f>
        <v/>
      </c>
      <c r="X453" s="269" t="str">
        <f ca="1">IF(D453="","",IF(T453="","",IF(J453="巻足し","",IF(J453="巻返し",VLOOKUP(F453&amp;K453&amp;M453,製品マスタ!$M$5:$AE$5002,19,FALSE),IF(OR(J453="リード付け",J453="巻返しリード付け"),"",IF(J453="スリット",VLOOKUP(F453&amp;K453&amp;R453,製品マスタ!$N$5:$AE$5002,18,FALSE),""))))))</f>
        <v/>
      </c>
      <c r="Y453" s="275">
        <f ca="1">IF(D453="","",IF(T453="","",VLOOKUP(D453,契約台帳!$A$3:$Q$4986,17,FALSE)))</f>
        <v>2</v>
      </c>
      <c r="Z453" s="269" t="str">
        <f ca="1">IF(D453="","",IF(T453="","",VLOOKUP(D453,契約台帳!$A$3:$E$4986,5,FALSE)))</f>
        <v>新タック化成㈱</v>
      </c>
      <c r="AA453" s="57"/>
      <c r="AB453" s="303" t="str">
        <f>IFERROR((VLOOKUP(F453&amp;K453&amp;M453,製品マスタ!$M$5:$AM$5002,27,FALSE)),"")</f>
        <v>原反ケース再利用</v>
      </c>
      <c r="AC453" s="33"/>
      <c r="AD453" s="189"/>
      <c r="AE453" s="54"/>
      <c r="AF453" s="55"/>
      <c r="AG453" s="43"/>
      <c r="AH453" s="47"/>
      <c r="AI453" s="30"/>
      <c r="AJ453" s="30"/>
      <c r="AK453" s="30"/>
      <c r="AL453" s="30"/>
      <c r="AM453" s="13"/>
      <c r="AN453" s="13"/>
      <c r="AO453" s="13"/>
      <c r="AP453" s="13"/>
      <c r="AQ453" s="13"/>
      <c r="AR453" s="14"/>
      <c r="AS453" s="15"/>
    </row>
    <row r="454" spans="1:45" s="17" customFormat="1" ht="30.95" hidden="1" customHeight="1" x14ac:dyDescent="0.2">
      <c r="A454" s="37"/>
      <c r="B454" s="38"/>
      <c r="C454" s="45"/>
      <c r="D454" s="31"/>
      <c r="E454" s="31"/>
      <c r="F454" s="268" t="str">
        <f>IF(D454="","",VLOOKUP(D454,契約台帳!$A$3:$K$4986,6,FALSE)&amp;VLOOKUP(D454,契約台帳!$A$3:$K$4986,7,FALSE)&amp;VLOOKUP(D454,契約台帳!$A$3:$K$4986,8,FALSE)&amp;VLOOKUP(D454,契約台帳!$A$3:$K$4986,9,FALSE)&amp;VLOOKUP(D454,契約台帳!$A$3:$K$4986,11,FALSE))</f>
        <v/>
      </c>
      <c r="G454" s="269" t="str">
        <f>IF(D454="","",VLOOKUP(F454,製品マスタ!$G$5:$H$5002,2,FALSE))</f>
        <v/>
      </c>
      <c r="H454" s="269" t="str">
        <f>IF(D454="","",VLOOKUP(F454,製品マスタ!$G$5:$K$5002,5,FALSE))</f>
        <v/>
      </c>
      <c r="I454" s="270" t="str">
        <f>IF(D454="","",VLOOKUP(F454,製品マスタ!$G$5:$L$5002,6,FALSE))</f>
        <v/>
      </c>
      <c r="J454" s="210"/>
      <c r="K454" s="270" t="str">
        <f>IF(D454="","",VLOOKUP(D454,契約台帳!$A$3:$L$4986,12,FALSE))</f>
        <v/>
      </c>
      <c r="L454" s="270" t="str">
        <f>IF(D454="","",INDEX(製品マスタ!$Q$5:$Q$5002,MATCH('S4'!F454&amp;'S4'!K454,製品マスタ!$AO$5:$AO$5002,0)))</f>
        <v/>
      </c>
      <c r="M454" s="39"/>
      <c r="N454" s="39"/>
      <c r="O454" s="156"/>
      <c r="P454" s="47"/>
      <c r="Q454" s="57"/>
      <c r="R454" s="271" t="str">
        <f ca="1">IF(D454="","",IF(OFFSET(D454,-1,0)&lt;&gt;"","",IF(OR(J454="リード付け",J454="巻足し",J454="巻返しリード付け"),M454,VLOOKUP(D454,契約台帳!$A$3:$N$4986,14,FALSE))))</f>
        <v/>
      </c>
      <c r="S454" s="272" t="str">
        <f ca="1">IF(D454="","",IF(OFFSET(D454,-1,0)&lt;&gt;"","",IF(OR(J454="リード付け",J454="巻足し",J454="巻返しリード付け"),M454,VLOOKUP(D454,契約台帳!$A$3:$O$4986,15,FALSE))))</f>
        <v/>
      </c>
      <c r="T454" s="273" t="str">
        <f ca="1">IF(D454="","",IF(J454="リード付け",N454,IF(J454="巻返しリード付け",N454,IF(J454="巻足し",N454*P454+OFFSET(N454,1,0)*OFFSET(P454,1,0),VLOOKUP(D454,契約台帳!$A$3:$P$4986,16,FALSE)))))</f>
        <v/>
      </c>
      <c r="U454" s="40"/>
      <c r="V454" s="274" t="str">
        <f ca="1">IF(D454="","",IF(OFFSET(D454,-2,0)=D454,"",VLOOKUP(D454,契約台帳!$A$3:$R$4986,18,FALSE)))</f>
        <v/>
      </c>
      <c r="W454" s="269" t="str">
        <f>IF(D454="","",IF(T454="","",IF(OR(J454="巻足し",J454="巻返しリード付け"),"",IF(J454="巻返し",VLOOKUP(F454&amp;K454&amp;M454,製品マスタ!$M$5:$AD$5002,18,FALSE),IF(OR(J454="リード付け",J454="巻返しリード付け"),"原反コア",IF(J454="スリット",VLOOKUP(F454&amp;K454&amp;R454,製品マスタ!$N$5:$AD$5002,17,FALSE),""))))))</f>
        <v/>
      </c>
      <c r="X454" s="269" t="str">
        <f>IF(D454="","",IF(T454="","",IF(J454="巻足し","",IF(J454="巻返し",VLOOKUP(F454&amp;K454&amp;M454,製品マスタ!$M$5:$AE$5002,19,FALSE),IF(OR(J454="リード付け",J454="巻返しリード付け"),"",IF(J454="スリット",VLOOKUP(F454&amp;K454&amp;R454,製品マスタ!$N$5:$AE$5002,18,FALSE),""))))))</f>
        <v/>
      </c>
      <c r="Y454" s="275" t="str">
        <f>IF(D454="","",IF(T454="","",VLOOKUP(D454,契約台帳!$A$3:$Q$4986,17,FALSE)))</f>
        <v/>
      </c>
      <c r="Z454" s="269" t="str">
        <f>IF(D454="","",IF(T454="","",VLOOKUP(D454,契約台帳!$A$3:$E$4986,5,FALSE)))</f>
        <v/>
      </c>
      <c r="AA454" s="57"/>
      <c r="AB454" s="207" t="str">
        <f>IFERROR((VLOOKUP(F454&amp;K454&amp;M454,製品マスタ!$M$5:$AM$5002,27,FALSE)),"")</f>
        <v/>
      </c>
      <c r="AC454" s="33"/>
      <c r="AD454" s="189"/>
      <c r="AE454" s="54"/>
      <c r="AF454" s="55"/>
      <c r="AG454" s="43"/>
      <c r="AH454" s="47"/>
      <c r="AI454" s="30"/>
      <c r="AJ454" s="30"/>
      <c r="AK454" s="30"/>
      <c r="AL454" s="30"/>
      <c r="AM454" s="13"/>
      <c r="AN454" s="13"/>
      <c r="AO454" s="13"/>
      <c r="AP454" s="13"/>
      <c r="AQ454" s="13"/>
      <c r="AR454" s="14"/>
      <c r="AS454" s="15"/>
    </row>
    <row r="455" spans="1:45" s="17" customFormat="1" ht="30.95" hidden="1" customHeight="1" x14ac:dyDescent="0.2">
      <c r="A455" s="37" t="s">
        <v>1037</v>
      </c>
      <c r="B455" s="38" t="s">
        <v>1038</v>
      </c>
      <c r="C455" s="45"/>
      <c r="D455" s="31"/>
      <c r="E455" s="31"/>
      <c r="F455" s="268" t="str">
        <f>IF(D455="","",VLOOKUP(D455,契約台帳!$A$3:$K$4986,6,FALSE)&amp;VLOOKUP(D455,契約台帳!$A$3:$K$4986,7,FALSE)&amp;VLOOKUP(D455,契約台帳!$A$3:$K$4986,8,FALSE)&amp;VLOOKUP(D455,契約台帳!$A$3:$K$4986,9,FALSE)&amp;VLOOKUP(D455,契約台帳!$A$3:$K$4986,11,FALSE))</f>
        <v/>
      </c>
      <c r="G455" s="269" t="str">
        <f>IF(D455="","",VLOOKUP(F455,製品マスタ!$G$5:$H$5002,2,FALSE))</f>
        <v/>
      </c>
      <c r="H455" s="269" t="str">
        <f>IF(D455="","",VLOOKUP(F455,製品マスタ!$G$5:$K$5002,5,FALSE))</f>
        <v/>
      </c>
      <c r="I455" s="270" t="str">
        <f>IF(D455="","",VLOOKUP(F455,製品マスタ!$G$5:$L$5002,6,FALSE))</f>
        <v/>
      </c>
      <c r="J455" s="210" t="s">
        <v>1058</v>
      </c>
      <c r="K455" s="270" t="str">
        <f>IF(D455="","",VLOOKUP(D455,契約台帳!$A$3:$L$4986,12,FALSE))</f>
        <v/>
      </c>
      <c r="L455" s="270" t="str">
        <f>IF(D455="","",INDEX(製品マスタ!$Q$5:$Q$5002,MATCH('S4'!F455&amp;'S4'!K455,製品マスタ!$AO$5:$AO$5002,0)))</f>
        <v/>
      </c>
      <c r="M455" s="39"/>
      <c r="N455" s="39"/>
      <c r="O455" s="156"/>
      <c r="P455" s="47"/>
      <c r="Q455" s="57"/>
      <c r="R455" s="271" t="str">
        <f ca="1">IF(D455="","",IF(OFFSET(D455,-1,0)&lt;&gt;"","",IF(OR(J455="リード付け",J455="巻足し",J455="巻返しリード付け"),M455,VLOOKUP(D455,契約台帳!$A$3:$N$4986,14,FALSE))))</f>
        <v/>
      </c>
      <c r="S455" s="272" t="str">
        <f ca="1">IF(D455="","",IF(OFFSET(D455,-1,0)&lt;&gt;"","",IF(OR(J455="リード付け",J455="巻足し",J455="巻返しリード付け"),M455,VLOOKUP(D455,契約台帳!$A$3:$O$4986,15,FALSE))))</f>
        <v/>
      </c>
      <c r="T455" s="273" t="str">
        <f ca="1">IF(D455="","",IF(J455="リード付け",N455,IF(J455="巻返しリード付け",N455,IF(J455="巻足し",N455*P455+OFFSET(N455,1,0)*OFFSET(P455,1,0),VLOOKUP(D455,契約台帳!$A$3:$P$4986,16,FALSE)))))</f>
        <v/>
      </c>
      <c r="U455" s="40"/>
      <c r="V455" s="274" t="str">
        <f ca="1">IF(D455="","",IF(OFFSET(D455,-2,0)=D455,"",VLOOKUP(D455,契約台帳!$A$3:$R$4986,18,FALSE)))</f>
        <v/>
      </c>
      <c r="W455" s="269" t="str">
        <f>IF(D455="","",IF(T455="","",IF(OR(J455="巻足し",J455="巻返しリード付け"),"",IF(J455="巻返し",VLOOKUP(F455&amp;K455&amp;M455,製品マスタ!$M$5:$AD$5002,18,FALSE),IF(OR(J455="リード付け",J455="巻返しリード付け"),"原反コア",IF(J455="スリット",VLOOKUP(F455&amp;K455&amp;R455,製品マスタ!$N$5:$AD$5002,17,FALSE),""))))))</f>
        <v/>
      </c>
      <c r="X455" s="269" t="str">
        <f>IF(D455="","",IF(T455="","",IF(J455="巻足し","",IF(J455="巻返し",VLOOKUP(F455&amp;K455&amp;M455,製品マスタ!$M$5:$AE$5002,19,FALSE),IF(OR(J455="リード付け",J455="巻返しリード付け"),"",IF(J455="スリット",VLOOKUP(F455&amp;K455&amp;R455,製品マスタ!$N$5:$AE$5002,18,FALSE),""))))))</f>
        <v/>
      </c>
      <c r="Y455" s="275" t="str">
        <f>IF(D455="","",IF(T455="","",VLOOKUP(D455,契約台帳!$A$3:$Q$4986,17,FALSE)))</f>
        <v/>
      </c>
      <c r="Z455" s="269" t="str">
        <f>IF(D455="","",IF(T455="","",VLOOKUP(D455,契約台帳!$A$3:$E$4986,5,FALSE)))</f>
        <v/>
      </c>
      <c r="AA455" s="57"/>
      <c r="AB455" s="207" t="str">
        <f>IFERROR((VLOOKUP(F455&amp;K455&amp;M455,製品マスタ!$M$5:$AM$5002,27,FALSE)),"")</f>
        <v/>
      </c>
      <c r="AC455" s="33"/>
      <c r="AD455" s="189"/>
      <c r="AE455" s="54"/>
      <c r="AF455" s="55"/>
      <c r="AG455" s="43"/>
      <c r="AH455" s="47"/>
      <c r="AI455" s="30"/>
      <c r="AJ455" s="30"/>
      <c r="AK455" s="30"/>
      <c r="AL455" s="30"/>
      <c r="AM455" s="13"/>
      <c r="AN455" s="13"/>
      <c r="AO455" s="13"/>
      <c r="AP455" s="13"/>
      <c r="AQ455" s="13"/>
      <c r="AR455" s="14"/>
      <c r="AS455" s="15"/>
    </row>
    <row r="456" spans="1:45" s="17" customFormat="1" ht="30.95" hidden="1" customHeight="1" x14ac:dyDescent="0.2">
      <c r="A456" s="37"/>
      <c r="B456" s="38"/>
      <c r="C456" s="45"/>
      <c r="D456" s="31"/>
      <c r="E456" s="31"/>
      <c r="F456" s="268" t="str">
        <f>IF(D456="","",VLOOKUP(D456,契約台帳!$A$3:$K$4986,6,FALSE)&amp;VLOOKUP(D456,契約台帳!$A$3:$K$4986,7,FALSE)&amp;VLOOKUP(D456,契約台帳!$A$3:$K$4986,8,FALSE)&amp;VLOOKUP(D456,契約台帳!$A$3:$K$4986,9,FALSE)&amp;VLOOKUP(D456,契約台帳!$A$3:$K$4986,11,FALSE))</f>
        <v/>
      </c>
      <c r="G456" s="269" t="str">
        <f>IF(D456="","",VLOOKUP(F456,製品マスタ!$G$5:$H$5002,2,FALSE))</f>
        <v/>
      </c>
      <c r="H456" s="269" t="str">
        <f>IF(D456="","",VLOOKUP(F456,製品マスタ!$G$5:$K$5002,5,FALSE))</f>
        <v/>
      </c>
      <c r="I456" s="270" t="str">
        <f>IF(D456="","",VLOOKUP(F456,製品マスタ!$G$5:$L$5002,6,FALSE))</f>
        <v/>
      </c>
      <c r="J456" s="210"/>
      <c r="K456" s="270" t="str">
        <f>IF(D456="","",VLOOKUP(D456,契約台帳!$A$3:$L$4986,12,FALSE))</f>
        <v/>
      </c>
      <c r="L456" s="270" t="str">
        <f>IF(D456="","",INDEX(製品マスタ!$Q$5:$Q$5002,MATCH('S4'!F456&amp;'S4'!K456,製品マスタ!$AO$5:$AO$5002,0)))</f>
        <v/>
      </c>
      <c r="M456" s="39"/>
      <c r="N456" s="39"/>
      <c r="O456" s="156"/>
      <c r="P456" s="47"/>
      <c r="Q456" s="57"/>
      <c r="R456" s="271" t="str">
        <f ca="1">IF(D456="","",IF(OFFSET(D456,-1,0)&lt;&gt;"","",IF(OR(J456="リード付け",J456="巻足し",J456="巻返しリード付け"),M456,VLOOKUP(D456,契約台帳!$A$3:$N$4986,14,FALSE))))</f>
        <v/>
      </c>
      <c r="S456" s="272" t="str">
        <f ca="1">IF(D456="","",IF(OFFSET(D456,-1,0)&lt;&gt;"","",IF(OR(J456="リード付け",J456="巻足し",J456="巻返しリード付け"),M456,VLOOKUP(D456,契約台帳!$A$3:$O$4986,15,FALSE))))</f>
        <v/>
      </c>
      <c r="T456" s="273" t="str">
        <f ca="1">IF(D456="","",IF(J456="リード付け",N456,IF(J456="巻返しリード付け",N456,IF(J456="巻足し",N456*P456+OFFSET(N456,1,0)*OFFSET(P456,1,0),VLOOKUP(D456,契約台帳!$A$3:$P$4986,16,FALSE)))))</f>
        <v/>
      </c>
      <c r="U456" s="40"/>
      <c r="V456" s="274" t="str">
        <f ca="1">IF(D456="","",IF(OFFSET(D456,-2,0)=D456,"",VLOOKUP(D456,契約台帳!$A$3:$R$4986,18,FALSE)))</f>
        <v/>
      </c>
      <c r="W456" s="269" t="str">
        <f>IF(D456="","",IF(T456="","",IF(OR(J456="巻足し",J456="巻返しリード付け"),"",IF(J456="巻返し",VLOOKUP(F456&amp;K456&amp;M456,製品マスタ!$M$5:$AD$5002,18,FALSE),IF(OR(J456="リード付け",J456="巻返しリード付け"),"原反コア",IF(J456="スリット",VLOOKUP(F456&amp;K456&amp;R456,製品マスタ!$N$5:$AD$5002,17,FALSE),""))))))</f>
        <v/>
      </c>
      <c r="X456" s="269" t="str">
        <f>IF(D456="","",IF(T456="","",IF(J456="巻足し","",IF(J456="巻返し",VLOOKUP(F456&amp;K456&amp;M456,製品マスタ!$M$5:$AE$5002,19,FALSE),IF(OR(J456="リード付け",J456="巻返しリード付け"),"",IF(J456="スリット",VLOOKUP(F456&amp;K456&amp;R456,製品マスタ!$N$5:$AE$5002,18,FALSE),""))))))</f>
        <v/>
      </c>
      <c r="Y456" s="275" t="str">
        <f>IF(D456="","",IF(T456="","",VLOOKUP(D456,契約台帳!$A$3:$Q$4986,17,FALSE)))</f>
        <v/>
      </c>
      <c r="Z456" s="269" t="str">
        <f>IF(D456="","",IF(T456="","",VLOOKUP(D456,契約台帳!$A$3:$E$4986,5,FALSE)))</f>
        <v/>
      </c>
      <c r="AA456" s="57"/>
      <c r="AB456" s="207" t="str">
        <f>IFERROR((VLOOKUP(F456&amp;K456&amp;M456,製品マスタ!$M$5:$AM$5002,27,FALSE)),"")</f>
        <v/>
      </c>
      <c r="AC456" s="33"/>
      <c r="AD456" s="189"/>
      <c r="AE456" s="54"/>
      <c r="AF456" s="55"/>
      <c r="AG456" s="43"/>
      <c r="AH456" s="47"/>
      <c r="AI456" s="30"/>
      <c r="AJ456" s="30"/>
      <c r="AK456" s="30"/>
      <c r="AL456" s="30"/>
      <c r="AM456" s="13"/>
      <c r="AN456" s="13"/>
      <c r="AO456" s="13"/>
      <c r="AP456" s="13"/>
      <c r="AQ456" s="13"/>
      <c r="AR456" s="14"/>
      <c r="AS456" s="15"/>
    </row>
    <row r="457" spans="1:45" s="17" customFormat="1" ht="30.95" hidden="1" customHeight="1" x14ac:dyDescent="0.2">
      <c r="A457" s="37" t="s">
        <v>1039</v>
      </c>
      <c r="B457" s="38" t="s">
        <v>1040</v>
      </c>
      <c r="C457" s="45"/>
      <c r="D457" s="31"/>
      <c r="E457" s="31"/>
      <c r="F457" s="268" t="str">
        <f>IF(D457="","",VLOOKUP(D457,契約台帳!$A$3:$K$4986,6,FALSE)&amp;VLOOKUP(D457,契約台帳!$A$3:$K$4986,7,FALSE)&amp;VLOOKUP(D457,契約台帳!$A$3:$K$4986,8,FALSE)&amp;VLOOKUP(D457,契約台帳!$A$3:$K$4986,9,FALSE)&amp;VLOOKUP(D457,契約台帳!$A$3:$K$4986,11,FALSE))</f>
        <v/>
      </c>
      <c r="G457" s="269" t="str">
        <f>IF(D457="","",VLOOKUP(F457,製品マスタ!$G$5:$H$5002,2,FALSE))</f>
        <v/>
      </c>
      <c r="H457" s="269" t="str">
        <f>IF(D457="","",VLOOKUP(F457,製品マスタ!$G$5:$K$5002,5,FALSE))</f>
        <v/>
      </c>
      <c r="I457" s="270" t="str">
        <f>IF(D457="","",VLOOKUP(F457,製品マスタ!$G$5:$L$5002,6,FALSE))</f>
        <v/>
      </c>
      <c r="J457" s="210" t="s">
        <v>1058</v>
      </c>
      <c r="K457" s="270" t="str">
        <f>IF(D457="","",VLOOKUP(D457,契約台帳!$A$3:$L$4986,12,FALSE))</f>
        <v/>
      </c>
      <c r="L457" s="270" t="str">
        <f>IF(D457="","",INDEX(製品マスタ!$Q$5:$Q$5002,MATCH('S4'!F457&amp;'S4'!K457,製品マスタ!$AO$5:$AO$5002,0)))</f>
        <v/>
      </c>
      <c r="M457" s="39"/>
      <c r="N457" s="39"/>
      <c r="O457" s="156"/>
      <c r="P457" s="47"/>
      <c r="Q457" s="57"/>
      <c r="R457" s="271" t="str">
        <f ca="1">IF(D457="","",IF(OFFSET(D457,-1,0)&lt;&gt;"","",IF(OR(J457="リード付け",J457="巻足し",J457="巻返しリード付け"),M457,VLOOKUP(D457,契約台帳!$A$3:$N$4986,14,FALSE))))</f>
        <v/>
      </c>
      <c r="S457" s="272" t="str">
        <f ca="1">IF(D457="","",IF(OFFSET(D457,-1,0)&lt;&gt;"","",IF(OR(J457="リード付け",J457="巻足し",J457="巻返しリード付け"),M457,VLOOKUP(D457,契約台帳!$A$3:$O$4986,15,FALSE))))</f>
        <v/>
      </c>
      <c r="T457" s="273" t="str">
        <f ca="1">IF(D457="","",IF(J457="リード付け",N457,IF(J457="巻返しリード付け",N457,IF(J457="巻足し",N457*P457+OFFSET(N457,1,0)*OFFSET(P457,1,0),VLOOKUP(D457,契約台帳!$A$3:$P$4986,16,FALSE)))))</f>
        <v/>
      </c>
      <c r="U457" s="40"/>
      <c r="V457" s="274" t="str">
        <f ca="1">IF(D457="","",IF(OFFSET(D457,-2,0)=D457,"",VLOOKUP(D457,契約台帳!$A$3:$R$4986,18,FALSE)))</f>
        <v/>
      </c>
      <c r="W457" s="269" t="str">
        <f>IF(D457="","",IF(T457="","",IF(OR(J457="巻足し",J457="巻返しリード付け"),"",IF(J457="巻返し",VLOOKUP(F457&amp;K457&amp;M457,製品マスタ!$M$5:$AD$5002,18,FALSE),IF(OR(J457="リード付け",J457="巻返しリード付け"),"原反コア",IF(J457="スリット",VLOOKUP(F457&amp;K457&amp;R457,製品マスタ!$N$5:$AD$5002,17,FALSE),""))))))</f>
        <v/>
      </c>
      <c r="X457" s="269" t="str">
        <f>IF(D457="","",IF(T457="","",IF(J457="巻足し","",IF(J457="巻返し",VLOOKUP(F457&amp;K457&amp;M457,製品マスタ!$M$5:$AE$5002,19,FALSE),IF(OR(J457="リード付け",J457="巻返しリード付け"),"",IF(J457="スリット",VLOOKUP(F457&amp;K457&amp;R457,製品マスタ!$N$5:$AE$5002,18,FALSE),""))))))</f>
        <v/>
      </c>
      <c r="Y457" s="275" t="str">
        <f>IF(D457="","",IF(T457="","",VLOOKUP(D457,契約台帳!$A$3:$Q$4986,17,FALSE)))</f>
        <v/>
      </c>
      <c r="Z457" s="269" t="str">
        <f>IF(D457="","",IF(T457="","",VLOOKUP(D457,契約台帳!$A$3:$E$4986,5,FALSE)))</f>
        <v/>
      </c>
      <c r="AA457" s="57"/>
      <c r="AB457" s="207" t="str">
        <f>IFERROR((VLOOKUP(F457&amp;K457&amp;M457,製品マスタ!$M$5:$AM$5002,27,FALSE)),"")</f>
        <v/>
      </c>
      <c r="AC457" s="33"/>
      <c r="AD457" s="189"/>
      <c r="AE457" s="54"/>
      <c r="AF457" s="55"/>
      <c r="AG457" s="43"/>
      <c r="AH457" s="47"/>
      <c r="AI457" s="30"/>
      <c r="AJ457" s="30"/>
      <c r="AK457" s="30"/>
      <c r="AL457" s="30"/>
      <c r="AM457" s="13"/>
      <c r="AN457" s="13"/>
      <c r="AO457" s="13"/>
      <c r="AP457" s="13"/>
      <c r="AQ457" s="13"/>
      <c r="AR457" s="14"/>
      <c r="AS457" s="15"/>
    </row>
    <row r="458" spans="1:45" s="17" customFormat="1" ht="30.95" hidden="1" customHeight="1" x14ac:dyDescent="0.2">
      <c r="A458" s="37"/>
      <c r="B458" s="38"/>
      <c r="C458" s="45"/>
      <c r="D458" s="31"/>
      <c r="E458" s="31"/>
      <c r="F458" s="268" t="str">
        <f>IF(D458="","",VLOOKUP(D458,契約台帳!$A$3:$K$4986,6,FALSE)&amp;VLOOKUP(D458,契約台帳!$A$3:$K$4986,7,FALSE)&amp;VLOOKUP(D458,契約台帳!$A$3:$K$4986,8,FALSE)&amp;VLOOKUP(D458,契約台帳!$A$3:$K$4986,9,FALSE)&amp;VLOOKUP(D458,契約台帳!$A$3:$K$4986,11,FALSE))</f>
        <v/>
      </c>
      <c r="G458" s="269" t="str">
        <f>IF(D458="","",VLOOKUP(F458,製品マスタ!$G$5:$H$5002,2,FALSE))</f>
        <v/>
      </c>
      <c r="H458" s="269" t="str">
        <f>IF(D458="","",VLOOKUP(F458,製品マスタ!$G$5:$K$5002,5,FALSE))</f>
        <v/>
      </c>
      <c r="I458" s="270" t="str">
        <f>IF(D458="","",VLOOKUP(F458,製品マスタ!$G$5:$L$5002,6,FALSE))</f>
        <v/>
      </c>
      <c r="J458" s="210"/>
      <c r="K458" s="270" t="str">
        <f>IF(D458="","",VLOOKUP(D458,契約台帳!$A$3:$L$4986,12,FALSE))</f>
        <v/>
      </c>
      <c r="L458" s="270" t="str">
        <f>IF(D458="","",INDEX(製品マスタ!$Q$5:$Q$5002,MATCH('S4'!F458&amp;'S4'!K458,製品マスタ!$AO$5:$AO$5002,0)))</f>
        <v/>
      </c>
      <c r="M458" s="39"/>
      <c r="N458" s="39"/>
      <c r="O458" s="156"/>
      <c r="P458" s="47"/>
      <c r="Q458" s="57"/>
      <c r="R458" s="271" t="str">
        <f ca="1">IF(D458="","",IF(OFFSET(D458,-1,0)&lt;&gt;"","",IF(OR(J458="リード付け",J458="巻足し",J458="巻返しリード付け"),M458,VLOOKUP(D458,契約台帳!$A$3:$N$4986,14,FALSE))))</f>
        <v/>
      </c>
      <c r="S458" s="272" t="str">
        <f ca="1">IF(D458="","",IF(OFFSET(D458,-1,0)&lt;&gt;"","",IF(OR(J458="リード付け",J458="巻足し",J458="巻返しリード付け"),M458,VLOOKUP(D458,契約台帳!$A$3:$O$4986,15,FALSE))))</f>
        <v/>
      </c>
      <c r="T458" s="273" t="str">
        <f ca="1">IF(D458="","",IF(J458="リード付け",N458,IF(J458="巻返しリード付け",N458,IF(J458="巻足し",N458*P458+OFFSET(N458,1,0)*OFFSET(P458,1,0),VLOOKUP(D458,契約台帳!$A$3:$P$4986,16,FALSE)))))</f>
        <v/>
      </c>
      <c r="U458" s="40"/>
      <c r="V458" s="274" t="str">
        <f ca="1">IF(D458="","",IF(OFFSET(D458,-2,0)=D458,"",VLOOKUP(D458,契約台帳!$A$3:$R$4986,18,FALSE)))</f>
        <v/>
      </c>
      <c r="W458" s="269" t="str">
        <f>IF(D458="","",IF(T458="","",IF(OR(J458="巻足し",J458="巻返しリード付け"),"",IF(J458="巻返し",VLOOKUP(F458&amp;K458&amp;M458,製品マスタ!$M$5:$AD$5002,18,FALSE),IF(OR(J458="リード付け",J458="巻返しリード付け"),"原反コア",IF(J458="スリット",VLOOKUP(F458&amp;K458&amp;R458,製品マスタ!$N$5:$AD$5002,17,FALSE),""))))))</f>
        <v/>
      </c>
      <c r="X458" s="269" t="str">
        <f>IF(D458="","",IF(T458="","",IF(J458="巻足し","",IF(J458="巻返し",VLOOKUP(F458&amp;K458&amp;M458,製品マスタ!$M$5:$AE$5002,19,FALSE),IF(OR(J458="リード付け",J458="巻返しリード付け"),"",IF(J458="スリット",VLOOKUP(F458&amp;K458&amp;R458,製品マスタ!$N$5:$AE$5002,18,FALSE),""))))))</f>
        <v/>
      </c>
      <c r="Y458" s="275" t="str">
        <f>IF(D458="","",IF(T458="","",VLOOKUP(D458,契約台帳!$A$3:$Q$4986,17,FALSE)))</f>
        <v/>
      </c>
      <c r="Z458" s="269" t="str">
        <f>IF(D458="","",IF(T458="","",VLOOKUP(D458,契約台帳!$A$3:$E$4986,5,FALSE)))</f>
        <v/>
      </c>
      <c r="AA458" s="57"/>
      <c r="AB458" s="207" t="str">
        <f>IFERROR((VLOOKUP(F458&amp;K458&amp;M458,製品マスタ!$M$5:$AM$5002,27,FALSE)),"")</f>
        <v/>
      </c>
      <c r="AC458" s="33"/>
      <c r="AD458" s="189"/>
      <c r="AE458" s="54"/>
      <c r="AF458" s="55"/>
      <c r="AG458" s="43"/>
      <c r="AH458" s="47"/>
      <c r="AI458" s="30"/>
      <c r="AJ458" s="30"/>
      <c r="AK458" s="30"/>
      <c r="AL458" s="30"/>
      <c r="AM458" s="13"/>
      <c r="AN458" s="13"/>
      <c r="AO458" s="13"/>
      <c r="AP458" s="13"/>
      <c r="AQ458" s="13"/>
      <c r="AR458" s="14"/>
      <c r="AS458" s="15"/>
    </row>
    <row r="459" spans="1:45" s="17" customFormat="1" ht="30.95" hidden="1" customHeight="1" x14ac:dyDescent="0.2">
      <c r="A459" s="37" t="s">
        <v>1041</v>
      </c>
      <c r="B459" s="38" t="s">
        <v>1042</v>
      </c>
      <c r="C459" s="45"/>
      <c r="D459" s="31"/>
      <c r="E459" s="31"/>
      <c r="F459" s="268" t="str">
        <f>IF(D459="","",VLOOKUP(D459,契約台帳!$A$3:$K$4986,6,FALSE)&amp;VLOOKUP(D459,契約台帳!$A$3:$K$4986,7,FALSE)&amp;VLOOKUP(D459,契約台帳!$A$3:$K$4986,8,FALSE)&amp;VLOOKUP(D459,契約台帳!$A$3:$K$4986,9,FALSE)&amp;VLOOKUP(D459,契約台帳!$A$3:$K$4986,11,FALSE))</f>
        <v/>
      </c>
      <c r="G459" s="269" t="str">
        <f>IF(D459="","",VLOOKUP(F459,製品マスタ!$G$5:$H$5002,2,FALSE))</f>
        <v/>
      </c>
      <c r="H459" s="269" t="str">
        <f>IF(D459="","",VLOOKUP(F459,製品マスタ!$G$5:$K$5002,5,FALSE))</f>
        <v/>
      </c>
      <c r="I459" s="270" t="str">
        <f>IF(D459="","",VLOOKUP(F459,製品マスタ!$G$5:$L$5002,6,FALSE))</f>
        <v/>
      </c>
      <c r="J459" s="210" t="s">
        <v>1058</v>
      </c>
      <c r="K459" s="270" t="str">
        <f>IF(D459="","",VLOOKUP(D459,契約台帳!$A$3:$L$4986,12,FALSE))</f>
        <v/>
      </c>
      <c r="L459" s="270" t="str">
        <f>IF(D459="","",INDEX(製品マスタ!$Q$5:$Q$5002,MATCH('S4'!F459&amp;'S4'!K459,製品マスタ!$AO$5:$AO$5002,0)))</f>
        <v/>
      </c>
      <c r="M459" s="39"/>
      <c r="N459" s="39"/>
      <c r="O459" s="156"/>
      <c r="P459" s="47"/>
      <c r="Q459" s="57"/>
      <c r="R459" s="271" t="str">
        <f ca="1">IF(D459="","",IF(OFFSET(D459,-1,0)&lt;&gt;"","",IF(OR(J459="リード付け",J459="巻足し",J459="巻返しリード付け"),M459,VLOOKUP(D459,契約台帳!$A$3:$N$4986,14,FALSE))))</f>
        <v/>
      </c>
      <c r="S459" s="272" t="str">
        <f ca="1">IF(D459="","",IF(OFFSET(D459,-1,0)&lt;&gt;"","",IF(OR(J459="リード付け",J459="巻足し",J459="巻返しリード付け"),M459,VLOOKUP(D459,契約台帳!$A$3:$O$4986,15,FALSE))))</f>
        <v/>
      </c>
      <c r="T459" s="273" t="str">
        <f ca="1">IF(D459="","",IF(J459="リード付け",N459,IF(J459="巻返しリード付け",N459,IF(J459="巻足し",N459*P459+OFFSET(N459,1,0)*OFFSET(P459,1,0),VLOOKUP(D459,契約台帳!$A$3:$P$4986,16,FALSE)))))</f>
        <v/>
      </c>
      <c r="U459" s="40"/>
      <c r="V459" s="274" t="str">
        <f ca="1">IF(D459="","",IF(OFFSET(D459,-2,0)=D459,"",VLOOKUP(D459,契約台帳!$A$3:$R$4986,18,FALSE)))</f>
        <v/>
      </c>
      <c r="W459" s="269" t="str">
        <f>IF(D459="","",IF(T459="","",IF(OR(J459="巻足し",J459="巻返しリード付け"),"",IF(J459="巻返し",VLOOKUP(F459&amp;K459&amp;M459,製品マスタ!$M$5:$AD$5002,18,FALSE),IF(OR(J459="リード付け",J459="巻返しリード付け"),"原反コア",IF(J459="スリット",VLOOKUP(F459&amp;K459&amp;R459,製品マスタ!$N$5:$AD$5002,17,FALSE),""))))))</f>
        <v/>
      </c>
      <c r="X459" s="269" t="str">
        <f>IF(D459="","",IF(T459="","",IF(J459="巻足し","",IF(J459="巻返し",VLOOKUP(F459&amp;K459&amp;M459,製品マスタ!$M$5:$AE$5002,19,FALSE),IF(OR(J459="リード付け",J459="巻返しリード付け"),"",IF(J459="スリット",VLOOKUP(F459&amp;K459&amp;R459,製品マスタ!$N$5:$AE$5002,18,FALSE),""))))))</f>
        <v/>
      </c>
      <c r="Y459" s="275" t="str">
        <f>IF(D459="","",IF(T459="","",VLOOKUP(D459,契約台帳!$A$3:$Q$4986,17,FALSE)))</f>
        <v/>
      </c>
      <c r="Z459" s="269" t="str">
        <f>IF(D459="","",IF(T459="","",VLOOKUP(D459,契約台帳!$A$3:$E$4986,5,FALSE)))</f>
        <v/>
      </c>
      <c r="AA459" s="57"/>
      <c r="AB459" s="207" t="str">
        <f>IFERROR((VLOOKUP(F459&amp;K459&amp;M459,製品マスタ!$M$5:$AM$5002,27,FALSE)),"")</f>
        <v/>
      </c>
      <c r="AC459" s="33"/>
      <c r="AD459" s="189"/>
      <c r="AE459" s="54"/>
      <c r="AF459" s="55"/>
      <c r="AG459" s="43"/>
      <c r="AH459" s="47"/>
      <c r="AI459" s="30"/>
      <c r="AJ459" s="30"/>
      <c r="AK459" s="30"/>
      <c r="AL459" s="30"/>
      <c r="AM459" s="13"/>
      <c r="AN459" s="13"/>
      <c r="AO459" s="13"/>
      <c r="AP459" s="13"/>
      <c r="AQ459" s="13"/>
      <c r="AR459" s="14"/>
      <c r="AS459" s="15"/>
    </row>
    <row r="460" spans="1:45" s="17" customFormat="1" ht="30.95" hidden="1" customHeight="1" x14ac:dyDescent="0.2">
      <c r="A460" s="37"/>
      <c r="B460" s="38"/>
      <c r="C460" s="45"/>
      <c r="D460" s="31"/>
      <c r="E460" s="31"/>
      <c r="F460" s="268" t="str">
        <f>IF(D460="","",VLOOKUP(D460,契約台帳!$A$3:$K$4986,6,FALSE)&amp;VLOOKUP(D460,契約台帳!$A$3:$K$4986,7,FALSE)&amp;VLOOKUP(D460,契約台帳!$A$3:$K$4986,8,FALSE)&amp;VLOOKUP(D460,契約台帳!$A$3:$K$4986,9,FALSE)&amp;VLOOKUP(D460,契約台帳!$A$3:$K$4986,11,FALSE))</f>
        <v/>
      </c>
      <c r="G460" s="269" t="str">
        <f>IF(D460="","",VLOOKUP(F460,製品マスタ!$G$5:$H$5002,2,FALSE))</f>
        <v/>
      </c>
      <c r="H460" s="269" t="str">
        <f>IF(D460="","",VLOOKUP(F460,製品マスタ!$G$5:$K$5002,5,FALSE))</f>
        <v/>
      </c>
      <c r="I460" s="270" t="str">
        <f>IF(D460="","",VLOOKUP(F460,製品マスタ!$G$5:$L$5002,6,FALSE))</f>
        <v/>
      </c>
      <c r="J460" s="210"/>
      <c r="K460" s="270" t="str">
        <f>IF(D460="","",VLOOKUP(D460,契約台帳!$A$3:$L$4986,12,FALSE))</f>
        <v/>
      </c>
      <c r="L460" s="270" t="str">
        <f>IF(D460="","",INDEX(製品マスタ!$Q$5:$Q$5002,MATCH('S4'!F460&amp;'S4'!K460,製品マスタ!$AO$5:$AO$5002,0)))</f>
        <v/>
      </c>
      <c r="M460" s="39"/>
      <c r="N460" s="39"/>
      <c r="O460" s="156"/>
      <c r="P460" s="47"/>
      <c r="Q460" s="57"/>
      <c r="R460" s="271" t="str">
        <f ca="1">IF(D460="","",IF(OFFSET(D460,-1,0)&lt;&gt;"","",IF(OR(J460="リード付け",J460="巻足し",J460="巻返しリード付け"),M460,VLOOKUP(D460,契約台帳!$A$3:$N$4986,14,FALSE))))</f>
        <v/>
      </c>
      <c r="S460" s="272" t="str">
        <f ca="1">IF(D460="","",IF(OFFSET(D460,-1,0)&lt;&gt;"","",IF(OR(J460="リード付け",J460="巻足し",J460="巻返しリード付け"),M460,VLOOKUP(D460,契約台帳!$A$3:$O$4986,15,FALSE))))</f>
        <v/>
      </c>
      <c r="T460" s="273" t="str">
        <f ca="1">IF(D460="","",IF(J460="リード付け",N460,IF(J460="巻返しリード付け",N460,IF(J460="巻足し",N460*P460+OFFSET(N460,1,0)*OFFSET(P460,1,0),VLOOKUP(D460,契約台帳!$A$3:$P$4986,16,FALSE)))))</f>
        <v/>
      </c>
      <c r="U460" s="40"/>
      <c r="V460" s="274" t="str">
        <f ca="1">IF(D460="","",IF(OFFSET(D460,-2,0)=D460,"",VLOOKUP(D460,契約台帳!$A$3:$R$4986,18,FALSE)))</f>
        <v/>
      </c>
      <c r="W460" s="269" t="str">
        <f>IF(D460="","",IF(T460="","",IF(OR(J460="巻足し",J460="巻返しリード付け"),"",IF(J460="巻返し",VLOOKUP(F460&amp;K460&amp;M460,製品マスタ!$M$5:$AD$5002,18,FALSE),IF(OR(J460="リード付け",J460="巻返しリード付け"),"原反コア",IF(J460="スリット",VLOOKUP(F460&amp;K460&amp;R460,製品マスタ!$N$5:$AD$5002,17,FALSE),""))))))</f>
        <v/>
      </c>
      <c r="X460" s="269" t="str">
        <f>IF(D460="","",IF(T460="","",IF(J460="巻足し","",IF(J460="巻返し",VLOOKUP(F460&amp;K460&amp;M460,製品マスタ!$M$5:$AE$5002,19,FALSE),IF(OR(J460="リード付け",J460="巻返しリード付け"),"",IF(J460="スリット",VLOOKUP(F460&amp;K460&amp;R460,製品マスタ!$N$5:$AE$5002,18,FALSE),""))))))</f>
        <v/>
      </c>
      <c r="Y460" s="275" t="str">
        <f>IF(D460="","",IF(T460="","",VLOOKUP(D460,契約台帳!$A$3:$Q$4986,17,FALSE)))</f>
        <v/>
      </c>
      <c r="Z460" s="269" t="str">
        <f>IF(D460="","",IF(T460="","",VLOOKUP(D460,契約台帳!$A$3:$E$4986,5,FALSE)))</f>
        <v/>
      </c>
      <c r="AA460" s="57"/>
      <c r="AB460" s="207" t="str">
        <f>IFERROR((VLOOKUP(F460&amp;K460&amp;M460,製品マスタ!$M$5:$AM$5002,27,FALSE)),"")</f>
        <v/>
      </c>
      <c r="AC460" s="33"/>
      <c r="AD460" s="189"/>
      <c r="AE460" s="54"/>
      <c r="AF460" s="55"/>
      <c r="AG460" s="43"/>
      <c r="AH460" s="47"/>
      <c r="AI460" s="30"/>
      <c r="AJ460" s="30"/>
      <c r="AK460" s="30"/>
      <c r="AL460" s="30"/>
      <c r="AM460" s="13"/>
      <c r="AN460" s="13"/>
      <c r="AO460" s="13"/>
      <c r="AP460" s="13"/>
      <c r="AQ460" s="13"/>
      <c r="AR460" s="14"/>
      <c r="AS460" s="15"/>
    </row>
    <row r="461" spans="1:45" s="17" customFormat="1" ht="30.95" hidden="1" customHeight="1" x14ac:dyDescent="0.2">
      <c r="A461" s="37" t="s">
        <v>1043</v>
      </c>
      <c r="B461" s="38" t="s">
        <v>1044</v>
      </c>
      <c r="C461" s="45"/>
      <c r="D461" s="31"/>
      <c r="E461" s="31"/>
      <c r="F461" s="268" t="str">
        <f>IF(D461="","",VLOOKUP(D461,契約台帳!$A$3:$K$4986,6,FALSE)&amp;VLOOKUP(D461,契約台帳!$A$3:$K$4986,7,FALSE)&amp;VLOOKUP(D461,契約台帳!$A$3:$K$4986,8,FALSE)&amp;VLOOKUP(D461,契約台帳!$A$3:$K$4986,9,FALSE)&amp;VLOOKUP(D461,契約台帳!$A$3:$K$4986,11,FALSE))</f>
        <v/>
      </c>
      <c r="G461" s="269" t="str">
        <f>IF(D461="","",VLOOKUP(F461,製品マスタ!$G$5:$H$5002,2,FALSE))</f>
        <v/>
      </c>
      <c r="H461" s="269" t="str">
        <f>IF(D461="","",VLOOKUP(F461,製品マスタ!$G$5:$K$5002,5,FALSE))</f>
        <v/>
      </c>
      <c r="I461" s="270" t="str">
        <f>IF(D461="","",VLOOKUP(F461,製品マスタ!$G$5:$L$5002,6,FALSE))</f>
        <v/>
      </c>
      <c r="J461" s="210" t="s">
        <v>448</v>
      </c>
      <c r="K461" s="270" t="str">
        <f>IF(D461="","",VLOOKUP(D461,契約台帳!$A$3:$L$4986,12,FALSE))</f>
        <v/>
      </c>
      <c r="L461" s="270" t="str">
        <f>IF(D461="","",INDEX(製品マスタ!$Q$5:$Q$5002,MATCH('S4'!F461&amp;'S4'!K461,製品マスタ!$AO$5:$AO$5002,0)))</f>
        <v/>
      </c>
      <c r="M461" s="39"/>
      <c r="N461" s="39"/>
      <c r="O461" s="156"/>
      <c r="P461" s="47"/>
      <c r="Q461" s="57"/>
      <c r="R461" s="271" t="str">
        <f ca="1">IF(D461="","",IF(OFFSET(D461,-1,0)&lt;&gt;"","",IF(OR(J461="リード付け",J461="巻足し",J461="巻返しリード付け"),M461,VLOOKUP(D461,契約台帳!$A$3:$N$4986,14,FALSE))))</f>
        <v/>
      </c>
      <c r="S461" s="272" t="str">
        <f ca="1">IF(D461="","",IF(OFFSET(D461,-1,0)&lt;&gt;"","",IF(OR(J461="リード付け",J461="巻足し",J461="巻返しリード付け"),M461,VLOOKUP(D461,契約台帳!$A$3:$O$4986,15,FALSE))))</f>
        <v/>
      </c>
      <c r="T461" s="273" t="str">
        <f ca="1">IF(D461="","",IF(J461="リード付け",N461,IF(J461="巻返しリード付け",N461,IF(J461="巻足し",N461*P461+OFFSET(N461,1,0)*OFFSET(P461,1,0),VLOOKUP(D461,契約台帳!$A$3:$P$4986,16,FALSE)))))</f>
        <v/>
      </c>
      <c r="U461" s="40"/>
      <c r="V461" s="274" t="str">
        <f ca="1">IF(D461="","",IF(OFFSET(D461,-2,0)=D461,"",VLOOKUP(D461,契約台帳!$A$3:$R$4986,18,FALSE)))</f>
        <v/>
      </c>
      <c r="W461" s="269" t="str">
        <f>IF(D461="","",IF(T461="","",IF(OR(J461="巻足し",J461="巻返しリード付け"),"",IF(J461="巻返し",VLOOKUP(F461&amp;K461&amp;M461,製品マスタ!$M$5:$AD$5002,18,FALSE),IF(OR(J461="リード付け",J461="巻返しリード付け"),"原反コア",IF(J461="スリット",VLOOKUP(F461&amp;K461&amp;R461,製品マスタ!$N$5:$AD$5002,17,FALSE),""))))))</f>
        <v/>
      </c>
      <c r="X461" s="269" t="str">
        <f>IF(D461="","",IF(T461="","",IF(J461="巻足し","",IF(J461="巻返し",VLOOKUP(F461&amp;K461&amp;M461,製品マスタ!$M$5:$AE$5002,19,FALSE),IF(OR(J461="リード付け",J461="巻返しリード付け"),"",IF(J461="スリット",VLOOKUP(F461&amp;K461&amp;R461,製品マスタ!$N$5:$AE$5002,18,FALSE),""))))))</f>
        <v/>
      </c>
      <c r="Y461" s="275" t="str">
        <f>IF(D461="","",IF(T461="","",VLOOKUP(D461,契約台帳!$A$3:$Q$4986,17,FALSE)))</f>
        <v/>
      </c>
      <c r="Z461" s="269" t="str">
        <f>IF(D461="","",IF(T461="","",VLOOKUP(D461,契約台帳!$A$3:$E$4986,5,FALSE)))</f>
        <v/>
      </c>
      <c r="AA461" s="57"/>
      <c r="AB461" s="207" t="str">
        <f>IFERROR((VLOOKUP(F461&amp;K461&amp;M461,製品マスタ!$M$5:$AM$5002,27,FALSE)),"")</f>
        <v/>
      </c>
      <c r="AC461" s="33"/>
      <c r="AD461" s="189"/>
      <c r="AE461" s="54"/>
      <c r="AF461" s="55"/>
      <c r="AG461" s="43"/>
      <c r="AH461" s="47"/>
      <c r="AI461" s="30"/>
      <c r="AJ461" s="30"/>
      <c r="AK461" s="30"/>
      <c r="AL461" s="30"/>
      <c r="AM461" s="13"/>
      <c r="AN461" s="13"/>
      <c r="AO461" s="13"/>
      <c r="AP461" s="13"/>
      <c r="AQ461" s="13"/>
      <c r="AR461" s="14"/>
      <c r="AS461" s="15"/>
    </row>
    <row r="462" spans="1:45" s="17" customFormat="1" ht="30.95" hidden="1" customHeight="1" x14ac:dyDescent="0.2">
      <c r="A462" s="37"/>
      <c r="B462" s="38"/>
      <c r="C462" s="45"/>
      <c r="D462" s="31"/>
      <c r="E462" s="31"/>
      <c r="F462" s="268" t="str">
        <f>IF(D462="","",VLOOKUP(D462,契約台帳!$A$3:$K$4986,6,FALSE)&amp;VLOOKUP(D462,契約台帳!$A$3:$K$4986,7,FALSE)&amp;VLOOKUP(D462,契約台帳!$A$3:$K$4986,8,FALSE)&amp;VLOOKUP(D462,契約台帳!$A$3:$K$4986,9,FALSE)&amp;VLOOKUP(D462,契約台帳!$A$3:$K$4986,11,FALSE))</f>
        <v/>
      </c>
      <c r="G462" s="269" t="str">
        <f>IF(D462="","",VLOOKUP(F462,製品マスタ!$G$5:$H$5002,2,FALSE))</f>
        <v/>
      </c>
      <c r="H462" s="269" t="str">
        <f>IF(D462="","",VLOOKUP(F462,製品マスタ!$G$5:$K$5002,5,FALSE))</f>
        <v/>
      </c>
      <c r="I462" s="270" t="str">
        <f>IF(D462="","",VLOOKUP(F462,製品マスタ!$G$5:$L$5002,6,FALSE))</f>
        <v/>
      </c>
      <c r="J462" s="210"/>
      <c r="K462" s="270" t="str">
        <f>IF(D462="","",VLOOKUP(D462,契約台帳!$A$3:$L$4986,12,FALSE))</f>
        <v/>
      </c>
      <c r="L462" s="270" t="str">
        <f>IF(D462="","",INDEX(製品マスタ!$Q$5:$Q$5002,MATCH('S4'!F462&amp;'S4'!K462,製品マスタ!$AO$5:$AO$5002,0)))</f>
        <v/>
      </c>
      <c r="M462" s="39"/>
      <c r="N462" s="39"/>
      <c r="O462" s="156"/>
      <c r="P462" s="47"/>
      <c r="Q462" s="57"/>
      <c r="R462" s="271" t="str">
        <f ca="1">IF(D462="","",IF(OFFSET(D462,-1,0)&lt;&gt;"","",IF(OR(J462="リード付け",J462="巻足し",J462="巻返しリード付け"),M462,VLOOKUP(D462,契約台帳!$A$3:$N$4986,14,FALSE))))</f>
        <v/>
      </c>
      <c r="S462" s="272" t="str">
        <f ca="1">IF(D462="","",IF(OFFSET(D462,-1,0)&lt;&gt;"","",IF(OR(J462="リード付け",J462="巻足し",J462="巻返しリード付け"),M462,VLOOKUP(D462,契約台帳!$A$3:$O$4986,15,FALSE))))</f>
        <v/>
      </c>
      <c r="T462" s="273" t="str">
        <f ca="1">IF(D462="","",IF(J462="リード付け",N462,IF(J462="巻返しリード付け",N462,IF(J462="巻足し",N462*P462+OFFSET(N462,1,0)*OFFSET(P462,1,0),VLOOKUP(D462,契約台帳!$A$3:$P$4986,16,FALSE)))))</f>
        <v/>
      </c>
      <c r="U462" s="40"/>
      <c r="V462" s="274" t="str">
        <f ca="1">IF(D462="","",IF(OFFSET(D462,-2,0)=D462,"",VLOOKUP(D462,契約台帳!$A$3:$R$4986,18,FALSE)))</f>
        <v/>
      </c>
      <c r="W462" s="269" t="str">
        <f>IF(D462="","",IF(T462="","",IF(OR(J462="巻足し",J462="巻返しリード付け"),"",IF(J462="巻返し",VLOOKUP(F462&amp;K462&amp;M462,製品マスタ!$M$5:$AD$5002,18,FALSE),IF(OR(J462="リード付け",J462="巻返しリード付け"),"原反コア",IF(J462="スリット",VLOOKUP(F462&amp;K462&amp;R462,製品マスタ!$N$5:$AD$5002,17,FALSE),""))))))</f>
        <v/>
      </c>
      <c r="X462" s="269" t="str">
        <f>IF(D462="","",IF(T462="","",IF(J462="巻足し","",IF(J462="巻返し",VLOOKUP(F462&amp;K462&amp;M462,製品マスタ!$M$5:$AE$5002,19,FALSE),IF(OR(J462="リード付け",J462="巻返しリード付け"),"",IF(J462="スリット",VLOOKUP(F462&amp;K462&amp;R462,製品マスタ!$N$5:$AE$5002,18,FALSE),""))))))</f>
        <v/>
      </c>
      <c r="Y462" s="275" t="str">
        <f>IF(D462="","",IF(T462="","",VLOOKUP(D462,契約台帳!$A$3:$Q$4986,17,FALSE)))</f>
        <v/>
      </c>
      <c r="Z462" s="269" t="str">
        <f>IF(D462="","",IF(T462="","",VLOOKUP(D462,契約台帳!$A$3:$E$4986,5,FALSE)))</f>
        <v/>
      </c>
      <c r="AA462" s="57"/>
      <c r="AB462" s="207" t="str">
        <f>IFERROR((VLOOKUP(F462&amp;K462&amp;M462,製品マスタ!$M$5:$AM$5002,27,FALSE)),"")</f>
        <v/>
      </c>
      <c r="AC462" s="33"/>
      <c r="AD462" s="189"/>
      <c r="AE462" s="54"/>
      <c r="AF462" s="55"/>
      <c r="AG462" s="43"/>
      <c r="AH462" s="47"/>
      <c r="AI462" s="30"/>
      <c r="AJ462" s="30"/>
      <c r="AK462" s="30"/>
      <c r="AL462" s="30"/>
      <c r="AM462" s="13"/>
      <c r="AN462" s="13"/>
      <c r="AO462" s="13"/>
      <c r="AP462" s="13"/>
      <c r="AQ462" s="13"/>
      <c r="AR462" s="14"/>
      <c r="AS462" s="15"/>
    </row>
    <row r="463" spans="1:45" s="17" customFormat="1" ht="30.95" hidden="1" customHeight="1" x14ac:dyDescent="0.2">
      <c r="A463" s="37" t="s">
        <v>1045</v>
      </c>
      <c r="B463" s="38" t="s">
        <v>1046</v>
      </c>
      <c r="C463" s="45"/>
      <c r="D463" s="31"/>
      <c r="E463" s="31"/>
      <c r="F463" s="268" t="str">
        <f>IF(D463="","",VLOOKUP(D463,契約台帳!$A$3:$K$4986,6,FALSE)&amp;VLOOKUP(D463,契約台帳!$A$3:$K$4986,7,FALSE)&amp;VLOOKUP(D463,契約台帳!$A$3:$K$4986,8,FALSE)&amp;VLOOKUP(D463,契約台帳!$A$3:$K$4986,9,FALSE)&amp;VLOOKUP(D463,契約台帳!$A$3:$K$4986,11,FALSE))</f>
        <v/>
      </c>
      <c r="G463" s="269" t="str">
        <f>IF(D463="","",VLOOKUP(F463,製品マスタ!$G$5:$H$5002,2,FALSE))</f>
        <v/>
      </c>
      <c r="H463" s="269" t="str">
        <f>IF(D463="","",VLOOKUP(F463,製品マスタ!$G$5:$K$5002,5,FALSE))</f>
        <v/>
      </c>
      <c r="I463" s="270" t="str">
        <f>IF(D463="","",VLOOKUP(F463,製品マスタ!$G$5:$L$5002,6,FALSE))</f>
        <v/>
      </c>
      <c r="J463" s="210" t="s">
        <v>448</v>
      </c>
      <c r="K463" s="270" t="str">
        <f>IF(D463="","",VLOOKUP(D463,契約台帳!$A$3:$L$4986,12,FALSE))</f>
        <v/>
      </c>
      <c r="L463" s="270" t="str">
        <f>IF(D463="","",INDEX(製品マスタ!$Q$5:$Q$5002,MATCH('S4'!F463&amp;'S4'!K463,製品マスタ!$AO$5:$AO$5002,0)))</f>
        <v/>
      </c>
      <c r="M463" s="39"/>
      <c r="N463" s="39"/>
      <c r="O463" s="156"/>
      <c r="P463" s="47"/>
      <c r="Q463" s="57"/>
      <c r="R463" s="271" t="str">
        <f ca="1">IF(D463="","",IF(OFFSET(D463,-1,0)&lt;&gt;"","",IF(OR(J463="リード付け",J463="巻足し",J463="巻返しリード付け"),M463,VLOOKUP(D463,契約台帳!$A$3:$N$4986,14,FALSE))))</f>
        <v/>
      </c>
      <c r="S463" s="272" t="str">
        <f ca="1">IF(D463="","",IF(OFFSET(D463,-1,0)&lt;&gt;"","",IF(OR(J463="リード付け",J463="巻足し",J463="巻返しリード付け"),M463,VLOOKUP(D463,契約台帳!$A$3:$O$4986,15,FALSE))))</f>
        <v/>
      </c>
      <c r="T463" s="273" t="str">
        <f ca="1">IF(D463="","",IF(J463="リード付け",N463,IF(J463="巻返しリード付け",N463,IF(J463="巻足し",N463*P463+OFFSET(N463,1,0)*OFFSET(P463,1,0),VLOOKUP(D463,契約台帳!$A$3:$P$4986,16,FALSE)))))</f>
        <v/>
      </c>
      <c r="U463" s="40"/>
      <c r="V463" s="274" t="str">
        <f ca="1">IF(D463="","",IF(OFFSET(D463,-2,0)=D463,"",VLOOKUP(D463,契約台帳!$A$3:$R$4986,18,FALSE)))</f>
        <v/>
      </c>
      <c r="W463" s="269" t="str">
        <f>IF(D463="","",IF(T463="","",IF(OR(J463="巻足し",J463="巻返しリード付け"),"",IF(J463="巻返し",VLOOKUP(F463&amp;K463&amp;M463,製品マスタ!$M$5:$AD$5002,18,FALSE),IF(OR(J463="リード付け",J463="巻返しリード付け"),"原反コア",IF(J463="スリット",VLOOKUP(F463&amp;K463&amp;R463,製品マスタ!$N$5:$AD$5002,17,FALSE),""))))))</f>
        <v/>
      </c>
      <c r="X463" s="269" t="str">
        <f>IF(D463="","",IF(T463="","",IF(J463="巻足し","",IF(J463="巻返し",VLOOKUP(F463&amp;K463&amp;M463,製品マスタ!$M$5:$AE$5002,19,FALSE),IF(OR(J463="リード付け",J463="巻返しリード付け"),"",IF(J463="スリット",VLOOKUP(F463&amp;K463&amp;R463,製品マスタ!$N$5:$AE$5002,18,FALSE),""))))))</f>
        <v/>
      </c>
      <c r="Y463" s="275" t="str">
        <f>IF(D463="","",IF(T463="","",VLOOKUP(D463,契約台帳!$A$3:$Q$4986,17,FALSE)))</f>
        <v/>
      </c>
      <c r="Z463" s="269" t="str">
        <f>IF(D463="","",IF(T463="","",VLOOKUP(D463,契約台帳!$A$3:$E$4986,5,FALSE)))</f>
        <v/>
      </c>
      <c r="AA463" s="57"/>
      <c r="AB463" s="207" t="str">
        <f>IFERROR((VLOOKUP(F463&amp;K463&amp;M463,製品マスタ!$M$5:$AM$5002,27,FALSE)),"")</f>
        <v/>
      </c>
      <c r="AC463" s="33"/>
      <c r="AD463" s="189"/>
      <c r="AE463" s="54"/>
      <c r="AF463" s="55"/>
      <c r="AG463" s="43"/>
      <c r="AH463" s="47"/>
      <c r="AI463" s="30"/>
      <c r="AJ463" s="30"/>
      <c r="AK463" s="30"/>
      <c r="AL463" s="30"/>
      <c r="AM463" s="13"/>
      <c r="AN463" s="13"/>
      <c r="AO463" s="13"/>
      <c r="AP463" s="13"/>
      <c r="AQ463" s="13"/>
      <c r="AR463" s="14"/>
      <c r="AS463" s="15"/>
    </row>
    <row r="464" spans="1:45" s="17" customFormat="1" ht="30.95" hidden="1" customHeight="1" x14ac:dyDescent="0.2">
      <c r="A464" s="37"/>
      <c r="B464" s="38"/>
      <c r="C464" s="45"/>
      <c r="D464" s="31"/>
      <c r="E464" s="31"/>
      <c r="F464" s="268" t="str">
        <f>IF(D464="","",VLOOKUP(D464,契約台帳!$A$3:$K$4986,6,FALSE)&amp;VLOOKUP(D464,契約台帳!$A$3:$K$4986,7,FALSE)&amp;VLOOKUP(D464,契約台帳!$A$3:$K$4986,8,FALSE)&amp;VLOOKUP(D464,契約台帳!$A$3:$K$4986,9,FALSE)&amp;VLOOKUP(D464,契約台帳!$A$3:$K$4986,11,FALSE))</f>
        <v/>
      </c>
      <c r="G464" s="269" t="str">
        <f>IF(D464="","",VLOOKUP(F464,製品マスタ!$G$5:$H$5002,2,FALSE))</f>
        <v/>
      </c>
      <c r="H464" s="269" t="str">
        <f>IF(D464="","",VLOOKUP(F464,製品マスタ!$G$5:$K$5002,5,FALSE))</f>
        <v/>
      </c>
      <c r="I464" s="270" t="str">
        <f>IF(D464="","",VLOOKUP(F464,製品マスタ!$G$5:$L$5002,6,FALSE))</f>
        <v/>
      </c>
      <c r="J464" s="210"/>
      <c r="K464" s="270" t="str">
        <f>IF(D464="","",VLOOKUP(D464,契約台帳!$A$3:$L$4986,12,FALSE))</f>
        <v/>
      </c>
      <c r="L464" s="270" t="str">
        <f>IF(D464="","",INDEX(製品マスタ!$Q$5:$Q$5002,MATCH('S4'!F464&amp;'S4'!K464,製品マスタ!$AO$5:$AO$5002,0)))</f>
        <v/>
      </c>
      <c r="M464" s="39"/>
      <c r="N464" s="39"/>
      <c r="O464" s="156"/>
      <c r="P464" s="47"/>
      <c r="Q464" s="57"/>
      <c r="R464" s="271" t="str">
        <f ca="1">IF(D464="","",IF(OFFSET(D464,-1,0)&lt;&gt;"","",IF(OR(J464="リード付け",J464="巻足し",J464="巻返しリード付け"),M464,VLOOKUP(D464,契約台帳!$A$3:$N$4986,14,FALSE))))</f>
        <v/>
      </c>
      <c r="S464" s="272" t="str">
        <f ca="1">IF(D464="","",IF(OFFSET(D464,-1,0)&lt;&gt;"","",IF(OR(J464="リード付け",J464="巻足し",J464="巻返しリード付け"),M464,VLOOKUP(D464,契約台帳!$A$3:$O$4986,15,FALSE))))</f>
        <v/>
      </c>
      <c r="T464" s="273" t="str">
        <f ca="1">IF(D464="","",IF(J464="リード付け",N464,IF(J464="巻返しリード付け",N464,IF(J464="巻足し",N464*P464+OFFSET(N464,1,0)*OFFSET(P464,1,0),VLOOKUP(D464,契約台帳!$A$3:$P$4986,16,FALSE)))))</f>
        <v/>
      </c>
      <c r="U464" s="40"/>
      <c r="V464" s="274" t="str">
        <f ca="1">IF(D464="","",IF(OFFSET(D464,-2,0)=D464,"",VLOOKUP(D464,契約台帳!$A$3:$R$4986,18,FALSE)))</f>
        <v/>
      </c>
      <c r="W464" s="269" t="str">
        <f>IF(D464="","",IF(T464="","",IF(OR(J464="巻足し",J464="巻返しリード付け"),"",IF(J464="巻返し",VLOOKUP(F464&amp;K464&amp;M464,製品マスタ!$M$5:$AD$5002,18,FALSE),IF(OR(J464="リード付け",J464="巻返しリード付け"),"原反コア",IF(J464="スリット",VLOOKUP(F464&amp;K464&amp;R464,製品マスタ!$N$5:$AD$5002,17,FALSE),""))))))</f>
        <v/>
      </c>
      <c r="X464" s="269" t="str">
        <f>IF(D464="","",IF(T464="","",IF(J464="巻足し","",IF(J464="巻返し",VLOOKUP(F464&amp;K464&amp;M464,製品マスタ!$M$5:$AE$5002,19,FALSE),IF(OR(J464="リード付け",J464="巻返しリード付け"),"",IF(J464="スリット",VLOOKUP(F464&amp;K464&amp;R464,製品マスタ!$N$5:$AE$5002,18,FALSE),""))))))</f>
        <v/>
      </c>
      <c r="Y464" s="275" t="str">
        <f>IF(D464="","",IF(T464="","",VLOOKUP(D464,契約台帳!$A$3:$Q$4986,17,FALSE)))</f>
        <v/>
      </c>
      <c r="Z464" s="269" t="str">
        <f>IF(D464="","",IF(T464="","",VLOOKUP(D464,契約台帳!$A$3:$E$4986,5,FALSE)))</f>
        <v/>
      </c>
      <c r="AA464" s="57"/>
      <c r="AB464" s="207" t="str">
        <f>IFERROR((VLOOKUP(F464&amp;K464&amp;M464,製品マスタ!$M$5:$AM$5002,27,FALSE)),"")</f>
        <v/>
      </c>
      <c r="AC464" s="33"/>
      <c r="AD464" s="189"/>
      <c r="AE464" s="54"/>
      <c r="AF464" s="55"/>
      <c r="AG464" s="43"/>
      <c r="AH464" s="47"/>
      <c r="AI464" s="30"/>
      <c r="AJ464" s="30"/>
      <c r="AK464" s="30"/>
      <c r="AL464" s="30"/>
      <c r="AM464" s="13"/>
      <c r="AN464" s="13"/>
      <c r="AO464" s="13"/>
      <c r="AP464" s="13"/>
      <c r="AQ464" s="13"/>
      <c r="AR464" s="14"/>
      <c r="AS464" s="15"/>
    </row>
    <row r="465" spans="1:45" s="17" customFormat="1" ht="30.95" hidden="1" customHeight="1" x14ac:dyDescent="0.2">
      <c r="A465" s="37" t="s">
        <v>1056</v>
      </c>
      <c r="B465" s="38" t="s">
        <v>1057</v>
      </c>
      <c r="C465" s="45"/>
      <c r="D465" s="31"/>
      <c r="E465" s="31"/>
      <c r="F465" s="268"/>
      <c r="G465" s="269"/>
      <c r="H465" s="269"/>
      <c r="I465" s="270"/>
      <c r="J465" s="210"/>
      <c r="K465" s="270"/>
      <c r="L465" s="270"/>
      <c r="M465" s="39"/>
      <c r="N465" s="39"/>
      <c r="O465" s="156"/>
      <c r="P465" s="47"/>
      <c r="Q465" s="57"/>
      <c r="R465" s="271"/>
      <c r="S465" s="272"/>
      <c r="T465" s="273"/>
      <c r="U465" s="40"/>
      <c r="V465" s="274"/>
      <c r="W465" s="269"/>
      <c r="X465" s="269"/>
      <c r="Y465" s="275"/>
      <c r="Z465" s="269"/>
      <c r="AA465" s="57"/>
      <c r="AB465" s="207"/>
      <c r="AC465" s="33"/>
      <c r="AD465" s="189"/>
      <c r="AE465" s="54"/>
      <c r="AF465" s="55"/>
      <c r="AG465" s="43"/>
      <c r="AH465" s="47"/>
      <c r="AI465" s="30"/>
      <c r="AJ465" s="30"/>
      <c r="AK465" s="30"/>
      <c r="AL465" s="30"/>
      <c r="AM465" s="13"/>
      <c r="AN465" s="13"/>
      <c r="AO465" s="13"/>
      <c r="AP465" s="13"/>
      <c r="AQ465" s="13"/>
      <c r="AR465" s="14"/>
      <c r="AS465" s="15"/>
    </row>
    <row r="466" spans="1:45" s="17" customFormat="1" ht="30.95" hidden="1" customHeight="1" x14ac:dyDescent="0.2">
      <c r="A466" s="37"/>
      <c r="B466" s="38"/>
      <c r="C466" s="45"/>
      <c r="D466" s="31"/>
      <c r="E466" s="31"/>
      <c r="F466" s="268"/>
      <c r="G466" s="269"/>
      <c r="H466" s="269"/>
      <c r="I466" s="270"/>
      <c r="J466" s="210"/>
      <c r="K466" s="270"/>
      <c r="L466" s="270"/>
      <c r="M466" s="39"/>
      <c r="N466" s="39"/>
      <c r="O466" s="156"/>
      <c r="P466" s="47"/>
      <c r="Q466" s="57"/>
      <c r="R466" s="271"/>
      <c r="S466" s="272"/>
      <c r="T466" s="273"/>
      <c r="U466" s="40"/>
      <c r="V466" s="274"/>
      <c r="W466" s="269"/>
      <c r="X466" s="269"/>
      <c r="Y466" s="275"/>
      <c r="Z466" s="269"/>
      <c r="AA466" s="57"/>
      <c r="AB466" s="207"/>
      <c r="AC466" s="33"/>
      <c r="AD466" s="189"/>
      <c r="AE466" s="54"/>
      <c r="AF466" s="55"/>
      <c r="AG466" s="43"/>
      <c r="AH466" s="47"/>
      <c r="AI466" s="30"/>
      <c r="AJ466" s="30"/>
      <c r="AK466" s="30"/>
      <c r="AL466" s="30"/>
      <c r="AM466" s="13"/>
      <c r="AN466" s="13"/>
      <c r="AO466" s="13"/>
      <c r="AP466" s="13"/>
      <c r="AQ466" s="13"/>
      <c r="AR466" s="14"/>
      <c r="AS466" s="15"/>
    </row>
    <row r="467" spans="1:45" s="17" customFormat="1" ht="30.95" hidden="1" customHeight="1" x14ac:dyDescent="0.2">
      <c r="A467" s="37" t="s">
        <v>1059</v>
      </c>
      <c r="B467" s="38" t="s">
        <v>1050</v>
      </c>
      <c r="C467" s="45"/>
      <c r="D467" s="31">
        <v>3704008</v>
      </c>
      <c r="E467" s="31">
        <v>4140926</v>
      </c>
      <c r="F467" s="268" t="str">
        <f>IF(D467="","",VLOOKUP(D467,契約台帳!$A$3:$K$4986,6,FALSE)&amp;VLOOKUP(D467,契約台帳!$A$3:$K$4986,7,FALSE)&amp;VLOOKUP(D467,契約台帳!$A$3:$K$4986,8,FALSE)&amp;VLOOKUP(D467,契約台帳!$A$3:$K$4986,9,FALSE)&amp;VLOOKUP(D467,契約台帳!$A$3:$K$4986,11,FALSE))</f>
        <v>3SNCLBLEYK</v>
      </c>
      <c r="G467" s="269" t="str">
        <f>IF(D467="","",VLOOKUP(F467,製品マスタ!$G$5:$H$5002,2,FALSE))</f>
        <v>S</v>
      </c>
      <c r="H467" s="269" t="str">
        <f>IF(D467="","",VLOOKUP(F467,製品マスタ!$G$5:$K$5002,5,FALSE))</f>
        <v>LEYK</v>
      </c>
      <c r="I467" s="270" t="str">
        <f>IF(D467="","",VLOOKUP(F467,製品マスタ!$G$5:$L$5002,6,FALSE))</f>
        <v>ルミラー　ＥＹＫ</v>
      </c>
      <c r="J467" s="210" t="s">
        <v>1051</v>
      </c>
      <c r="K467" s="270">
        <f>IF(D467="","",VLOOKUP(D467,契約台帳!$A$3:$L$4986,12,FALSE))</f>
        <v>50</v>
      </c>
      <c r="L467" s="270" t="str">
        <f>IF(D467="","",INDEX(製品マスタ!$Q$5:$Q$5002,MATCH('S4'!F467&amp;'S4'!K467,製品マスタ!$AO$5:$AO$5002,0)))</f>
        <v>T62M</v>
      </c>
      <c r="M467" s="39">
        <v>1125</v>
      </c>
      <c r="N467" s="39">
        <v>6100</v>
      </c>
      <c r="O467" s="156">
        <v>2</v>
      </c>
      <c r="P467" s="47">
        <v>2</v>
      </c>
      <c r="Q467" s="57"/>
      <c r="R467" s="271">
        <f ca="1">IF(D467="","",IF(OFFSET(D467,-1,0)&lt;&gt;"","",IF(OR(J467="リード付け",J467="巻足し",J467="巻返しリード付け"),M467,VLOOKUP(D467,契約台帳!$A$3:$N$4986,14,FALSE))))</f>
        <v>1120</v>
      </c>
      <c r="S467" s="272">
        <f ca="1">IF(D467="","",IF(OFFSET(D467,-1,0)&lt;&gt;"","",IF(OR(J467="リード付け",J467="巻足し",J467="巻返しリード付け"),M467,VLOOKUP(D467,契約台帳!$A$3:$O$4986,15,FALSE))))</f>
        <v>1120</v>
      </c>
      <c r="T467" s="273">
        <f ca="1">IF(D467="","",IF(J467="リード付け",N467,IF(J467="巻返しリード付け",N467,IF(J467="巻足し",N467*P467+OFFSET(N467,1,0)*OFFSET(P467,1,0),VLOOKUP(D467,契約台帳!$A$3:$P$4986,16,FALSE)))))</f>
        <v>6000</v>
      </c>
      <c r="U467" s="40">
        <v>2</v>
      </c>
      <c r="V467" s="274">
        <f ca="1">IF(D467="","",IF(OFFSET(D467,-2,0)=D467,"",VLOOKUP(D467,契約台帳!$A$3:$R$4986,18,FALSE)))</f>
        <v>2</v>
      </c>
      <c r="W467" s="269" t="str">
        <f ca="1">IF(D467="","",IF(T467="","",IF(OR(J467="巻足し",J467="巻返しリード付け"),"",IF(J467="巻返し",VLOOKUP(F467&amp;K467&amp;M467,製品マスタ!$M$5:$AD$5002,18,FALSE),IF(OR(J467="リード付け",J467="巻返しリード付け"),"原反コア",IF(J467="スリット",VLOOKUP(F467&amp;K467&amp;R467,製品マスタ!$N$5:$AD$5002,17,FALSE),""))))))</f>
        <v>6ｲﾝﾁMｺｱ</v>
      </c>
      <c r="X467" s="269">
        <f ca="1">IF(D467="","",IF(T467="","",IF(J467="巻足し","",IF(J467="巻返し",VLOOKUP(F467&amp;K467&amp;M467,製品マスタ!$M$5:$AE$5002,19,FALSE),IF(OR(J467="リード付け",J467="巻返しリード付け"),"",IF(J467="スリット",VLOOKUP(F467&amp;K467&amp;R467,製品マスタ!$N$5:$AE$5002,18,FALSE),""))))))</f>
        <v>1140</v>
      </c>
      <c r="Y467" s="275">
        <f ca="1">IF(D467="","",IF(T467="","",VLOOKUP(D467,契約台帳!$A$3:$Q$4986,17,FALSE)))</f>
        <v>2</v>
      </c>
      <c r="Z467" s="269" t="str">
        <f ca="1">IF(D467="","",IF(T467="","",VLOOKUP(D467,契約台帳!$A$3:$E$4986,5,FALSE)))</f>
        <v>新タック化成㈱</v>
      </c>
      <c r="AA467" s="57"/>
      <c r="AB467" s="207" t="str">
        <f>IFERROR((VLOOKUP(F467&amp;K467&amp;M467,製品マスタ!$M$5:$AM$5002,27,FALSE)),"")</f>
        <v>原反ケース再利用</v>
      </c>
      <c r="AC467" s="33"/>
      <c r="AD467" s="189"/>
      <c r="AE467" s="54"/>
      <c r="AF467" s="55"/>
      <c r="AG467" s="43"/>
      <c r="AH467" s="47"/>
      <c r="AI467" s="30"/>
      <c r="AJ467" s="30"/>
      <c r="AK467" s="30"/>
      <c r="AL467" s="30"/>
      <c r="AM467" s="13"/>
      <c r="AN467" s="13"/>
      <c r="AO467" s="13"/>
      <c r="AP467" s="13"/>
      <c r="AQ467" s="13"/>
      <c r="AR467" s="14"/>
      <c r="AS467" s="15"/>
    </row>
    <row r="468" spans="1:45" s="17" customFormat="1" ht="30.95" hidden="1" customHeight="1" x14ac:dyDescent="0.2">
      <c r="A468" s="37"/>
      <c r="B468" s="38"/>
      <c r="C468" s="45"/>
      <c r="D468" s="31"/>
      <c r="E468" s="31"/>
      <c r="F468" s="268" t="str">
        <f>IF(D468="","",VLOOKUP(D468,契約台帳!$A$3:$K$4986,6,FALSE)&amp;VLOOKUP(D468,契約台帳!$A$3:$K$4986,7,FALSE)&amp;VLOOKUP(D468,契約台帳!$A$3:$K$4986,8,FALSE)&amp;VLOOKUP(D468,契約台帳!$A$3:$K$4986,9,FALSE)&amp;VLOOKUP(D468,契約台帳!$A$3:$K$4986,11,FALSE))</f>
        <v/>
      </c>
      <c r="G468" s="269" t="str">
        <f>IF(D468="","",VLOOKUP(F468,製品マスタ!$G$5:$H$5002,2,FALSE))</f>
        <v/>
      </c>
      <c r="H468" s="269" t="str">
        <f>IF(D468="","",VLOOKUP(F468,製品マスタ!$G$5:$K$5002,5,FALSE))</f>
        <v/>
      </c>
      <c r="I468" s="270" t="str">
        <f>IF(D468="","",VLOOKUP(F468,製品マスタ!$G$5:$L$5002,6,FALSE))</f>
        <v/>
      </c>
      <c r="J468" s="210"/>
      <c r="K468" s="270" t="str">
        <f>IF(D468="","",VLOOKUP(D468,契約台帳!$A$3:$L$4986,12,FALSE))</f>
        <v/>
      </c>
      <c r="L468" s="270" t="str">
        <f>IF(D468="","",INDEX(製品マスタ!$Q$5:$Q$5002,MATCH('S4'!F468&amp;'S4'!K468,製品マスタ!$AO$5:$AO$5002,0)))</f>
        <v/>
      </c>
      <c r="M468" s="39"/>
      <c r="N468" s="39"/>
      <c r="O468" s="156"/>
      <c r="P468" s="47"/>
      <c r="Q468" s="57"/>
      <c r="R468" s="271" t="str">
        <f ca="1">IF(D468="","",IF(OFFSET(D468,-1,0)&lt;&gt;"","",IF(OR(J468="リード付け",J468="巻足し",J468="巻返しリード付け"),M468,VLOOKUP(D468,契約台帳!$A$3:$N$4986,14,FALSE))))</f>
        <v/>
      </c>
      <c r="S468" s="272" t="str">
        <f ca="1">IF(D468="","",IF(OFFSET(D468,-1,0)&lt;&gt;"","",IF(OR(J468="リード付け",J468="巻足し",J468="巻返しリード付け"),M468,VLOOKUP(D468,契約台帳!$A$3:$O$4986,15,FALSE))))</f>
        <v/>
      </c>
      <c r="T468" s="273" t="str">
        <f ca="1">IF(D468="","",IF(J468="リード付け",N468,IF(J468="巻返しリード付け",N468,IF(J468="巻足し",N468*P468+OFFSET(N468,1,0)*OFFSET(P468,1,0),VLOOKUP(D468,契約台帳!$A$3:$P$4986,16,FALSE)))))</f>
        <v/>
      </c>
      <c r="U468" s="40"/>
      <c r="V468" s="274" t="str">
        <f ca="1">IF(D468="","",IF(OFFSET(D468,-2,0)=D468,"",VLOOKUP(D468,契約台帳!$A$3:$R$4986,18,FALSE)))</f>
        <v/>
      </c>
      <c r="W468" s="269" t="str">
        <f>IF(D468="","",IF(T468="","",IF(OR(J468="巻足し",J468="巻返しリード付け"),"",IF(J468="巻返し",VLOOKUP(F468&amp;K468&amp;M468,製品マスタ!$M$5:$AD$5002,18,FALSE),IF(OR(J468="リード付け",J468="巻返しリード付け"),"原反コア",IF(J468="スリット",VLOOKUP(F468&amp;K468&amp;R468,製品マスタ!$N$5:$AD$5002,17,FALSE),""))))))</f>
        <v/>
      </c>
      <c r="X468" s="269" t="str">
        <f>IF(D468="","",IF(T468="","",IF(J468="巻足し","",IF(J468="巻返し",VLOOKUP(F468&amp;K468&amp;M468,製品マスタ!$M$5:$AE$5002,19,FALSE),IF(OR(J468="リード付け",J468="巻返しリード付け"),"",IF(J468="スリット",VLOOKUP(F468&amp;K468&amp;R468,製品マスタ!$N$5:$AE$5002,18,FALSE),""))))))</f>
        <v/>
      </c>
      <c r="Y468" s="275" t="str">
        <f>IF(D468="","",IF(T468="","",VLOOKUP(D468,契約台帳!$A$3:$Q$4986,17,FALSE)))</f>
        <v/>
      </c>
      <c r="Z468" s="269" t="str">
        <f>IF(D468="","",IF(T468="","",VLOOKUP(D468,契約台帳!$A$3:$E$4986,5,FALSE)))</f>
        <v/>
      </c>
      <c r="AA468" s="57"/>
      <c r="AB468" s="207" t="str">
        <f>IFERROR((VLOOKUP(F468&amp;K468&amp;M468,製品マスタ!$M$5:$AM$5002,27,FALSE)),"")</f>
        <v/>
      </c>
      <c r="AC468" s="33"/>
      <c r="AD468" s="189"/>
      <c r="AE468" s="54"/>
      <c r="AF468" s="55"/>
      <c r="AG468" s="43"/>
      <c r="AH468" s="47"/>
      <c r="AI468" s="30"/>
      <c r="AJ468" s="30"/>
      <c r="AK468" s="30"/>
      <c r="AL468" s="30"/>
      <c r="AM468" s="13"/>
      <c r="AN468" s="13"/>
      <c r="AO468" s="13"/>
      <c r="AP468" s="13"/>
      <c r="AQ468" s="13"/>
      <c r="AR468" s="14"/>
      <c r="AS468" s="15"/>
    </row>
    <row r="469" spans="1:45" s="17" customFormat="1" ht="30.95" hidden="1" customHeight="1" x14ac:dyDescent="0.2">
      <c r="A469" s="37"/>
      <c r="B469" s="38"/>
      <c r="C469" s="45"/>
      <c r="D469" s="31">
        <v>3703986</v>
      </c>
      <c r="E469" s="31">
        <v>4140917</v>
      </c>
      <c r="F469" s="268" t="str">
        <f>IF(D469="","",VLOOKUP(D469,契約台帳!$A$3:$K$4986,6,FALSE)&amp;VLOOKUP(D469,契約台帳!$A$3:$K$4986,7,FALSE)&amp;VLOOKUP(D469,契約台帳!$A$3:$K$4986,8,FALSE)&amp;VLOOKUP(D469,契約台帳!$A$3:$K$4986,9,FALSE)&amp;VLOOKUP(D469,契約台帳!$A$3:$K$4986,11,FALSE))</f>
        <v>3SNCLBLMEYK</v>
      </c>
      <c r="G469" s="269" t="str">
        <f>IF(D469="","",VLOOKUP(F469,製品マスタ!$G$5:$H$5002,2,FALSE))</f>
        <v>S</v>
      </c>
      <c r="H469" s="269" t="str">
        <f>IF(D469="","",VLOOKUP(F469,製品マスタ!$G$5:$K$5002,5,FALSE))</f>
        <v>LMEYK</v>
      </c>
      <c r="I469" s="270" t="str">
        <f>IF(D469="","",VLOOKUP(F469,製品マスタ!$G$5:$L$5002,6,FALSE))</f>
        <v>ルミマットＥＹＫ</v>
      </c>
      <c r="J469" s="210" t="s">
        <v>447</v>
      </c>
      <c r="K469" s="270">
        <f>IF(D469="","",VLOOKUP(D469,契約台帳!$A$3:$L$4986,12,FALSE))</f>
        <v>38</v>
      </c>
      <c r="L469" s="270" t="str">
        <f>IF(D469="","",INDEX(製品マスタ!$Q$5:$Q$5002,MATCH('S4'!F469&amp;'S4'!K469,製品マスタ!$AO$5:$AO$5002,0)))</f>
        <v>LUMIMAT</v>
      </c>
      <c r="M469" s="39">
        <v>1005</v>
      </c>
      <c r="N469" s="39">
        <v>8000</v>
      </c>
      <c r="O469" s="156">
        <v>4</v>
      </c>
      <c r="P469" s="47">
        <v>4</v>
      </c>
      <c r="Q469" s="57"/>
      <c r="R469" s="271">
        <f ca="1">IF(D469="","",IF(OFFSET(D469,-1,0)&lt;&gt;"","",IF(OR(J469="リード付け",J469="巻足し",J469="巻返しリード付け"),M469,VLOOKUP(D469,契約台帳!$A$3:$N$4986,14,FALSE))))</f>
        <v>1005</v>
      </c>
      <c r="S469" s="272">
        <f ca="1">IF(D469="","",IF(OFFSET(D469,-1,0)&lt;&gt;"","",IF(OR(J469="リード付け",J469="巻足し",J469="巻返しリード付け"),M469,VLOOKUP(D469,契約台帳!$A$3:$O$4986,15,FALSE))))</f>
        <v>1000</v>
      </c>
      <c r="T469" s="273">
        <f ca="1">IF(D469="","",IF(J469="リード付け",N469,IF(J469="巻返しリード付け",N469,IF(J469="巻足し",N469*P469+OFFSET(N469,1,0)*OFFSET(P469,1,0),VLOOKUP(D469,契約台帳!$A$3:$P$4986,16,FALSE)))))</f>
        <v>4000</v>
      </c>
      <c r="U469" s="40">
        <v>8</v>
      </c>
      <c r="V469" s="274">
        <f ca="1">IF(D469="","",IF(OFFSET(D469,-2,0)=D469,"",VLOOKUP(D469,契約台帳!$A$3:$R$4986,18,FALSE)))</f>
        <v>8</v>
      </c>
      <c r="W469" s="269" t="str">
        <f ca="1">IF(D469="","",IF(T469="","",IF(OR(J469="巻足し",J469="巻返しリード付け"),"",IF(J469="巻返し",VLOOKUP(F469&amp;K469&amp;M469,製品マスタ!$M$5:$AD$5002,18,FALSE),IF(OR(J469="リード付け",J469="巻返しリード付け"),"原反コア",IF(J469="スリット",VLOOKUP(F469&amp;K469&amp;R469,製品マスタ!$N$5:$AD$5002,17,FALSE),""))))))</f>
        <v>3ｲﾝﾁSｺｱ</v>
      </c>
      <c r="X469" s="269">
        <f ca="1">IF(D469="","",IF(T469="","",IF(J469="巻足し","",IF(J469="巻返し",VLOOKUP(F469&amp;K469&amp;M469,製品マスタ!$M$5:$AE$5002,19,FALSE),IF(OR(J469="リード付け",J469="巻返しリード付け"),"",IF(J469="スリット",VLOOKUP(F469&amp;K469&amp;R469,製品マスタ!$N$5:$AE$5002,18,FALSE),""))))))</f>
        <v>1015</v>
      </c>
      <c r="Y469" s="275">
        <f ca="1">IF(D469="","",IF(T469="","",VLOOKUP(D469,契約台帳!$A$3:$Q$4986,17,FALSE)))</f>
        <v>2</v>
      </c>
      <c r="Z469" s="269" t="str">
        <f ca="1">IF(D469="","",IF(T469="","",VLOOKUP(D469,契約台帳!$A$3:$E$4986,5,FALSE)))</f>
        <v>リンテック㈱</v>
      </c>
      <c r="AA469" s="57"/>
      <c r="AB469" s="207">
        <f>IFERROR((VLOOKUP(F469&amp;K469&amp;M469,製品マスタ!$M$5:$AM$5002,27,FALSE)),"")</f>
        <v>0</v>
      </c>
      <c r="AC469" s="33"/>
      <c r="AD469" s="189"/>
      <c r="AE469" s="54"/>
      <c r="AF469" s="55"/>
      <c r="AG469" s="43"/>
      <c r="AH469" s="47"/>
      <c r="AI469" s="30"/>
      <c r="AJ469" s="30"/>
      <c r="AK469" s="30"/>
      <c r="AL469" s="30"/>
      <c r="AM469" s="13"/>
      <c r="AN469" s="13"/>
      <c r="AO469" s="13"/>
      <c r="AP469" s="13"/>
      <c r="AQ469" s="13"/>
      <c r="AR469" s="14"/>
      <c r="AS469" s="15"/>
    </row>
    <row r="470" spans="1:45" s="17" customFormat="1" ht="30.95" hidden="1" customHeight="1" x14ac:dyDescent="0.2">
      <c r="A470" s="37"/>
      <c r="B470" s="38"/>
      <c r="C470" s="45"/>
      <c r="D470" s="31"/>
      <c r="E470" s="31"/>
      <c r="F470" s="268"/>
      <c r="G470" s="269"/>
      <c r="H470" s="269"/>
      <c r="I470" s="270"/>
      <c r="J470" s="210"/>
      <c r="K470" s="270"/>
      <c r="L470" s="270"/>
      <c r="M470" s="39"/>
      <c r="N470" s="39"/>
      <c r="O470" s="156"/>
      <c r="P470" s="47"/>
      <c r="Q470" s="57"/>
      <c r="R470" s="271"/>
      <c r="S470" s="272"/>
      <c r="T470" s="273"/>
      <c r="U470" s="40"/>
      <c r="V470" s="274"/>
      <c r="W470" s="269"/>
      <c r="X470" s="269"/>
      <c r="Y470" s="275"/>
      <c r="Z470" s="269"/>
      <c r="AA470" s="57"/>
      <c r="AB470" s="207"/>
      <c r="AC470" s="33"/>
      <c r="AD470" s="189"/>
      <c r="AE470" s="54"/>
      <c r="AF470" s="55"/>
      <c r="AG470" s="43"/>
      <c r="AH470" s="47"/>
      <c r="AI470" s="30"/>
      <c r="AJ470" s="30"/>
      <c r="AK470" s="30"/>
      <c r="AL470" s="30"/>
      <c r="AM470" s="13"/>
      <c r="AN470" s="13"/>
      <c r="AO470" s="13"/>
      <c r="AP470" s="13"/>
      <c r="AQ470" s="13"/>
      <c r="AR470" s="14"/>
      <c r="AS470" s="15"/>
    </row>
    <row r="471" spans="1:45" s="17" customFormat="1" ht="30.95" hidden="1" customHeight="1" x14ac:dyDescent="0.2">
      <c r="A471" s="37"/>
      <c r="B471" s="38"/>
      <c r="C471" s="45"/>
      <c r="D471" s="31"/>
      <c r="E471" s="31"/>
      <c r="F471" s="268"/>
      <c r="G471" s="269"/>
      <c r="H471" s="269"/>
      <c r="I471" s="270"/>
      <c r="J471" s="210" t="s">
        <v>1074</v>
      </c>
      <c r="K471" s="270"/>
      <c r="L471" s="270"/>
      <c r="M471" s="39"/>
      <c r="N471" s="39"/>
      <c r="O471" s="156"/>
      <c r="P471" s="47"/>
      <c r="Q471" s="57"/>
      <c r="R471" s="271"/>
      <c r="S471" s="272"/>
      <c r="T471" s="273"/>
      <c r="U471" s="40"/>
      <c r="V471" s="274"/>
      <c r="W471" s="269"/>
      <c r="X471" s="269"/>
      <c r="Y471" s="275"/>
      <c r="Z471" s="269"/>
      <c r="AA471" s="57"/>
      <c r="AB471" s="207"/>
      <c r="AC471" s="33"/>
      <c r="AD471" s="189"/>
      <c r="AE471" s="54"/>
      <c r="AF471" s="55"/>
      <c r="AG471" s="43"/>
      <c r="AH471" s="47"/>
      <c r="AI471" s="30"/>
      <c r="AJ471" s="30"/>
      <c r="AK471" s="30"/>
      <c r="AL471" s="30"/>
      <c r="AM471" s="13"/>
      <c r="AN471" s="13"/>
      <c r="AO471" s="13"/>
      <c r="AP471" s="13"/>
      <c r="AQ471" s="13"/>
      <c r="AR471" s="14"/>
      <c r="AS471" s="15"/>
    </row>
    <row r="472" spans="1:45" s="17" customFormat="1" ht="30.95" hidden="1" customHeight="1" x14ac:dyDescent="0.2">
      <c r="A472" s="37"/>
      <c r="B472" s="38"/>
      <c r="C472" s="45"/>
      <c r="D472" s="31"/>
      <c r="E472" s="31"/>
      <c r="F472" s="268"/>
      <c r="G472" s="269"/>
      <c r="H472" s="269"/>
      <c r="I472" s="270"/>
      <c r="J472" s="210"/>
      <c r="K472" s="270"/>
      <c r="L472" s="270"/>
      <c r="M472" s="39"/>
      <c r="N472" s="39"/>
      <c r="O472" s="156"/>
      <c r="P472" s="47"/>
      <c r="Q472" s="57"/>
      <c r="R472" s="271"/>
      <c r="S472" s="272"/>
      <c r="T472" s="273"/>
      <c r="U472" s="40"/>
      <c r="V472" s="274"/>
      <c r="W472" s="269"/>
      <c r="X472" s="269"/>
      <c r="Y472" s="275"/>
      <c r="Z472" s="269"/>
      <c r="AA472" s="57"/>
      <c r="AB472" s="207"/>
      <c r="AC472" s="33"/>
      <c r="AD472" s="189"/>
      <c r="AE472" s="54"/>
      <c r="AF472" s="55"/>
      <c r="AG472" s="43"/>
      <c r="AH472" s="47"/>
      <c r="AI472" s="30"/>
      <c r="AJ472" s="30"/>
      <c r="AK472" s="30"/>
      <c r="AL472" s="30"/>
      <c r="AM472" s="13"/>
      <c r="AN472" s="13"/>
      <c r="AO472" s="13"/>
      <c r="AP472" s="13"/>
      <c r="AQ472" s="13"/>
      <c r="AR472" s="14"/>
      <c r="AS472" s="15"/>
    </row>
    <row r="473" spans="1:45" s="17" customFormat="1" ht="30.95" hidden="1" customHeight="1" x14ac:dyDescent="0.2">
      <c r="A473" s="37" t="s">
        <v>1060</v>
      </c>
      <c r="B473" s="38" t="s">
        <v>442</v>
      </c>
      <c r="C473" s="45"/>
      <c r="D473" s="31">
        <v>3704002</v>
      </c>
      <c r="E473" s="31">
        <v>4140931</v>
      </c>
      <c r="F473" s="268" t="str">
        <f>IF(D473="","",VLOOKUP(D473,契約台帳!$A$3:$K$4986,6,FALSE)&amp;VLOOKUP(D473,契約台帳!$A$3:$K$4986,7,FALSE)&amp;VLOOKUP(D473,契約台帳!$A$3:$K$4986,8,FALSE)&amp;VLOOKUP(D473,契約台帳!$A$3:$K$4986,9,FALSE)&amp;VLOOKUP(D473,契約台帳!$A$3:$K$4986,11,FALSE))</f>
        <v>3HSNMCLBEYK</v>
      </c>
      <c r="G473" s="269" t="str">
        <f>IF(D473="","",VLOOKUP(F473,製品マスタ!$G$5:$H$5002,2,FALSE))</f>
        <v>S</v>
      </c>
      <c r="H473" s="269" t="str">
        <f>IF(D473="","",VLOOKUP(F473,製品マスタ!$G$5:$K$5002,5,FALSE))</f>
        <v>EYK</v>
      </c>
      <c r="I473" s="270" t="str">
        <f>IF(D473="","",VLOOKUP(F473,製品マスタ!$G$5:$L$5002,6,FALSE))</f>
        <v>メタルミー　ＥＹＫ</v>
      </c>
      <c r="J473" s="210" t="s">
        <v>447</v>
      </c>
      <c r="K473" s="270">
        <f>IF(D473="","",VLOOKUP(D473,契約台帳!$A$3:$L$4986,12,FALSE))</f>
        <v>50</v>
      </c>
      <c r="L473" s="270" t="str">
        <f>IF(D473="","",INDEX(製品マスタ!$Q$5:$Q$5002,MATCH('S4'!F473&amp;'S4'!K473,製品マスタ!$AO$5:$AO$5002,0)))</f>
        <v>T62M</v>
      </c>
      <c r="M473" s="39">
        <v>1195</v>
      </c>
      <c r="N473" s="39">
        <v>6100</v>
      </c>
      <c r="O473" s="156">
        <v>1</v>
      </c>
      <c r="P473" s="47">
        <v>1</v>
      </c>
      <c r="Q473" s="57"/>
      <c r="R473" s="271">
        <f ca="1">IF(D473="","",IF(OFFSET(D473,-1,0)&lt;&gt;"","",IF(OR(J473="リード付け",J473="巻足し",J473="巻返しリード付け"),M473,VLOOKUP(D473,契約台帳!$A$3:$N$4986,14,FALSE))))</f>
        <v>1190</v>
      </c>
      <c r="S473" s="272">
        <f ca="1">IF(D473="","",IF(OFFSET(D473,-1,0)&lt;&gt;"","",IF(OR(J473="リード付け",J473="巻足し",J473="巻返しリード付け"),M473,VLOOKUP(D473,契約台帳!$A$3:$O$4986,15,FALSE))))</f>
        <v>1190</v>
      </c>
      <c r="T473" s="273">
        <f ca="1">IF(D473="","",IF(J473="リード付け",N473,IF(J473="巻返しリード付け",N473,IF(J473="巻足し",N473*P473+OFFSET(N473,1,0)*OFFSET(P473,1,0),VLOOKUP(D473,契約台帳!$A$3:$P$4986,16,FALSE)))))</f>
        <v>6000</v>
      </c>
      <c r="U473" s="40">
        <v>1</v>
      </c>
      <c r="V473" s="274">
        <f ca="1">IF(D473="","",IF(OFFSET(D473,-2,0)=D473,"",VLOOKUP(D473,契約台帳!$A$3:$R$4986,18,FALSE)))</f>
        <v>1</v>
      </c>
      <c r="W473" s="269" t="str">
        <f ca="1">IF(D473="","",IF(T473="","",IF(OR(J473="巻足し",J473="巻返しリード付け"),"",IF(J473="巻返し",VLOOKUP(F473&amp;K473&amp;M473,製品マスタ!$M$5:$AD$5002,18,FALSE),IF(OR(J473="リード付け",J473="巻返しリード付け"),"原反コア",IF(J473="スリット",VLOOKUP(F473&amp;K473&amp;R473,製品マスタ!$N$5:$AD$5002,17,FALSE),""))))))</f>
        <v>6ｲﾝﾁMｺｱ</v>
      </c>
      <c r="X473" s="269">
        <f ca="1">IF(D473="","",IF(T473="","",IF(J473="巻足し","",IF(J473="巻返し",VLOOKUP(F473&amp;K473&amp;M473,製品マスタ!$M$5:$AE$5002,19,FALSE),IF(OR(J473="リード付け",J473="巻返しリード付け"),"",IF(J473="スリット",VLOOKUP(F473&amp;K473&amp;R473,製品マスタ!$N$5:$AE$5002,18,FALSE),""))))))</f>
        <v>1220</v>
      </c>
      <c r="Y473" s="275">
        <f ca="1">IF(D473="","",IF(T473="","",VLOOKUP(D473,契約台帳!$A$3:$Q$4986,17,FALSE)))</f>
        <v>2</v>
      </c>
      <c r="Z473" s="269" t="str">
        <f ca="1">IF(D473="","",IF(T473="","",VLOOKUP(D473,契約台帳!$A$3:$E$4986,5,FALSE)))</f>
        <v>大阪シーリング印刷㈱</v>
      </c>
      <c r="AA473" s="57"/>
      <c r="AB473" s="207" t="str">
        <f>IFERROR((VLOOKUP(F473&amp;K473&amp;M473,製品マスタ!$M$5:$AM$5002,27,FALSE)),"")</f>
        <v>原反ケース再利用</v>
      </c>
      <c r="AC473" s="33"/>
      <c r="AD473" s="189"/>
      <c r="AE473" s="54"/>
      <c r="AF473" s="55"/>
      <c r="AG473" s="43"/>
      <c r="AH473" s="47"/>
      <c r="AI473" s="30"/>
      <c r="AJ473" s="30"/>
      <c r="AK473" s="30"/>
      <c r="AL473" s="30"/>
      <c r="AM473" s="13"/>
      <c r="AN473" s="13"/>
      <c r="AO473" s="13"/>
      <c r="AP473" s="13"/>
      <c r="AQ473" s="13"/>
      <c r="AR473" s="14"/>
      <c r="AS473" s="15"/>
    </row>
    <row r="474" spans="1:45" s="17" customFormat="1" ht="30.95" hidden="1" customHeight="1" x14ac:dyDescent="0.2">
      <c r="A474" s="37"/>
      <c r="B474" s="38"/>
      <c r="C474" s="45"/>
      <c r="D474" s="31"/>
      <c r="E474" s="31"/>
      <c r="F474" s="268" t="str">
        <f>IF(D474="","",VLOOKUP(D474,契約台帳!$A$3:$K$4986,6,FALSE)&amp;VLOOKUP(D474,契約台帳!$A$3:$K$4986,7,FALSE)&amp;VLOOKUP(D474,契約台帳!$A$3:$K$4986,8,FALSE)&amp;VLOOKUP(D474,契約台帳!$A$3:$K$4986,9,FALSE)&amp;VLOOKUP(D474,契約台帳!$A$3:$K$4986,11,FALSE))</f>
        <v/>
      </c>
      <c r="G474" s="269" t="str">
        <f>IF(D474="","",VLOOKUP(F474,製品マスタ!$G$5:$H$5002,2,FALSE))</f>
        <v/>
      </c>
      <c r="H474" s="269" t="str">
        <f>IF(D474="","",VLOOKUP(F474,製品マスタ!$G$5:$K$5002,5,FALSE))</f>
        <v/>
      </c>
      <c r="I474" s="270" t="str">
        <f>IF(D474="","",VLOOKUP(F474,製品マスタ!$G$5:$L$5002,6,FALSE))</f>
        <v/>
      </c>
      <c r="J474" s="210"/>
      <c r="K474" s="270" t="str">
        <f>IF(D474="","",VLOOKUP(D474,契約台帳!$A$3:$L$4986,12,FALSE))</f>
        <v/>
      </c>
      <c r="L474" s="270" t="str">
        <f>IF(D474="","",INDEX(製品マスタ!$Q$5:$Q$5002,MATCH('S4'!F474&amp;'S4'!K474,製品マスタ!$AO$5:$AO$5002,0)))</f>
        <v/>
      </c>
      <c r="M474" s="39"/>
      <c r="N474" s="39"/>
      <c r="O474" s="156"/>
      <c r="P474" s="47"/>
      <c r="Q474" s="57"/>
      <c r="R474" s="271" t="str">
        <f ca="1">IF(D474="","",IF(OFFSET(D474,-1,0)&lt;&gt;"","",IF(OR(J474="リード付け",J474="巻足し",J474="巻返しリード付け"),M474,VLOOKUP(D474,契約台帳!$A$3:$N$4986,14,FALSE))))</f>
        <v/>
      </c>
      <c r="S474" s="272" t="str">
        <f ca="1">IF(D474="","",IF(OFFSET(D474,-1,0)&lt;&gt;"","",IF(OR(J474="リード付け",J474="巻足し",J474="巻返しリード付け"),M474,VLOOKUP(D474,契約台帳!$A$3:$O$4986,15,FALSE))))</f>
        <v/>
      </c>
      <c r="T474" s="273" t="str">
        <f ca="1">IF(D474="","",IF(J474="リード付け",N474,IF(J474="巻返しリード付け",N474,IF(J474="巻足し",N474*P474+OFFSET(N474,1,0)*OFFSET(P474,1,0),VLOOKUP(D474,契約台帳!$A$3:$P$4986,16,FALSE)))))</f>
        <v/>
      </c>
      <c r="U474" s="40"/>
      <c r="V474" s="274" t="str">
        <f ca="1">IF(D474="","",IF(OFFSET(D474,-2,0)=D474,"",VLOOKUP(D474,契約台帳!$A$3:$R$4986,18,FALSE)))</f>
        <v/>
      </c>
      <c r="W474" s="269" t="str">
        <f>IF(D474="","",IF(T474="","",IF(OR(J474="巻足し",J474="巻返しリード付け"),"",IF(J474="巻返し",VLOOKUP(F474&amp;K474&amp;M474,製品マスタ!$M$5:$AD$5002,18,FALSE),IF(OR(J474="リード付け",J474="巻返しリード付け"),"原反コア",IF(J474="スリット",VLOOKUP(F474&amp;K474&amp;R474,製品マスタ!$N$5:$AD$5002,17,FALSE),""))))))</f>
        <v/>
      </c>
      <c r="X474" s="269" t="str">
        <f>IF(D474="","",IF(T474="","",IF(J474="巻足し","",IF(J474="巻返し",VLOOKUP(F474&amp;K474&amp;M474,製品マスタ!$M$5:$AE$5002,19,FALSE),IF(OR(J474="リード付け",J474="巻返しリード付け"),"",IF(J474="スリット",VLOOKUP(F474&amp;K474&amp;R474,製品マスタ!$N$5:$AE$5002,18,FALSE),""))))))</f>
        <v/>
      </c>
      <c r="Y474" s="275" t="str">
        <f>IF(D474="","",IF(T474="","",VLOOKUP(D474,契約台帳!$A$3:$Q$4986,17,FALSE)))</f>
        <v/>
      </c>
      <c r="Z474" s="269" t="str">
        <f>IF(D474="","",IF(T474="","",VLOOKUP(D474,契約台帳!$A$3:$E$4986,5,FALSE)))</f>
        <v/>
      </c>
      <c r="AA474" s="57"/>
      <c r="AB474" s="207" t="str">
        <f>IFERROR((VLOOKUP(F474&amp;K474&amp;M474,製品マスタ!$M$5:$AM$5002,27,FALSE)),"")</f>
        <v/>
      </c>
      <c r="AC474" s="33"/>
      <c r="AD474" s="189"/>
      <c r="AE474" s="54"/>
      <c r="AF474" s="55"/>
      <c r="AG474" s="43"/>
      <c r="AH474" s="47"/>
      <c r="AI474" s="30"/>
      <c r="AJ474" s="30"/>
      <c r="AK474" s="30"/>
      <c r="AL474" s="30"/>
      <c r="AM474" s="13"/>
      <c r="AN474" s="13"/>
      <c r="AO474" s="13"/>
      <c r="AP474" s="13"/>
      <c r="AQ474" s="13"/>
      <c r="AR474" s="14"/>
      <c r="AS474" s="15"/>
    </row>
    <row r="475" spans="1:45" s="17" customFormat="1" ht="30.95" hidden="1" customHeight="1" x14ac:dyDescent="0.2">
      <c r="A475" s="37"/>
      <c r="B475" s="38"/>
      <c r="C475" s="45"/>
      <c r="D475" s="31">
        <v>3704463</v>
      </c>
      <c r="E475" s="31">
        <v>4140925</v>
      </c>
      <c r="F475" s="268" t="str">
        <f>IF(D475="","",VLOOKUP(D475,契約台帳!$A$3:$K$4986,6,FALSE)&amp;VLOOKUP(D475,契約台帳!$A$3:$K$4986,7,FALSE)&amp;VLOOKUP(D475,契約台帳!$A$3:$K$4986,8,FALSE)&amp;VLOOKUP(D475,契約台帳!$A$3:$K$4986,9,FALSE)&amp;VLOOKUP(D475,契約台帳!$A$3:$K$4986,11,FALSE))</f>
        <v>3SNMCLBMSNEYK</v>
      </c>
      <c r="G475" s="269" t="str">
        <f>IF(D475="","",VLOOKUP(F475,製品マスタ!$G$5:$H$5002,2,FALSE))</f>
        <v>S</v>
      </c>
      <c r="H475" s="269" t="str">
        <f>IF(D475="","",VLOOKUP(F475,製品マスタ!$G$5:$K$5002,5,FALSE))</f>
        <v>MSNEYK</v>
      </c>
      <c r="I475" s="270" t="str">
        <f>IF(D475="","",VLOOKUP(F475,製品マスタ!$G$5:$L$5002,6,FALSE))</f>
        <v>ＭＳＮ　ＥＹＫ</v>
      </c>
      <c r="J475" s="210" t="s">
        <v>1051</v>
      </c>
      <c r="K475" s="270">
        <f>IF(D475="","",VLOOKUP(D475,契約台帳!$A$3:$L$4986,12,FALSE))</f>
        <v>50</v>
      </c>
      <c r="L475" s="270" t="str">
        <f>IF(D475="","",INDEX(製品マスタ!$Q$5:$Q$5002,MATCH('S4'!F475&amp;'S4'!K475,製品マスタ!$AO$5:$AO$5002,0)))</f>
        <v>N-MAT</v>
      </c>
      <c r="M475" s="39">
        <v>1200</v>
      </c>
      <c r="N475" s="39">
        <v>12000</v>
      </c>
      <c r="O475" s="156">
        <v>2</v>
      </c>
      <c r="P475" s="47">
        <v>2</v>
      </c>
      <c r="Q475" s="57"/>
      <c r="R475" s="271">
        <f ca="1">IF(D475="","",IF(OFFSET(D475,-1,0)&lt;&gt;"","",IF(OR(J475="リード付け",J475="巻足し",J475="巻返しリード付け"),M475,VLOOKUP(D475,契約台帳!$A$3:$N$4986,14,FALSE))))</f>
        <v>1200</v>
      </c>
      <c r="S475" s="272">
        <f ca="1">IF(D475="","",IF(OFFSET(D475,-1,0)&lt;&gt;"","",IF(OR(J475="リード付け",J475="巻足し",J475="巻返しリード付け"),M475,VLOOKUP(D475,契約台帳!$A$3:$O$4986,15,FALSE))))</f>
        <v>1190</v>
      </c>
      <c r="T475" s="273">
        <f ca="1">IF(D475="","",IF(J475="リード付け",N475,IF(J475="巻返しリード付け",N475,IF(J475="巻足し",N475*P475+OFFSET(N475,1,0)*OFFSET(P475,1,0),VLOOKUP(D475,契約台帳!$A$3:$P$4986,16,FALSE)))))</f>
        <v>6000</v>
      </c>
      <c r="U475" s="40">
        <v>4</v>
      </c>
      <c r="V475" s="274">
        <f ca="1">IF(D475="","",IF(OFFSET(D475,-2,0)=D475,"",VLOOKUP(D475,契約台帳!$A$3:$R$4986,18,FALSE)))</f>
        <v>4</v>
      </c>
      <c r="W475" s="269" t="str">
        <f ca="1">IF(D475="","",IF(T475="","",IF(OR(J475="巻足し",J475="巻返しリード付け"),"",IF(J475="巻返し",VLOOKUP(F475&amp;K475&amp;M475,製品マスタ!$M$5:$AD$5002,18,FALSE),IF(OR(J475="リード付け",J475="巻返しリード付け"),"原反コア",IF(J475="スリット",VLOOKUP(F475&amp;K475&amp;R475,製品マスタ!$N$5:$AD$5002,17,FALSE),""))))))</f>
        <v>6ｲﾝﾁMｺｱ</v>
      </c>
      <c r="X475" s="269">
        <f ca="1">IF(D475="","",IF(T475="","",IF(J475="巻足し","",IF(J475="巻返し",VLOOKUP(F475&amp;K475&amp;M475,製品マスタ!$M$5:$AE$5002,19,FALSE),IF(OR(J475="リード付け",J475="巻返しリード付け"),"",IF(J475="スリット",VLOOKUP(F475&amp;K475&amp;R475,製品マスタ!$N$5:$AE$5002,18,FALSE),""))))))</f>
        <v>1220</v>
      </c>
      <c r="Y475" s="275">
        <f ca="1">IF(D475="","",IF(T475="","",VLOOKUP(D475,契約台帳!$A$3:$Q$4986,17,FALSE)))</f>
        <v>2</v>
      </c>
      <c r="Z475" s="269" t="str">
        <f ca="1">IF(D475="","",IF(T475="","",VLOOKUP(D475,契約台帳!$A$3:$E$4986,5,FALSE)))</f>
        <v>大阪シーリング印刷㈱</v>
      </c>
      <c r="AA475" s="57"/>
      <c r="AB475" s="207" t="str">
        <f>IFERROR((VLOOKUP(F475&amp;K475&amp;M475,製品マスタ!$M$5:$AM$5002,27,FALSE)),"")</f>
        <v>原反ケース再利用</v>
      </c>
      <c r="AC475" s="33"/>
      <c r="AD475" s="189"/>
      <c r="AE475" s="54"/>
      <c r="AF475" s="55"/>
      <c r="AG475" s="43"/>
      <c r="AH475" s="47"/>
      <c r="AI475" s="30"/>
      <c r="AJ475" s="30"/>
      <c r="AK475" s="30"/>
      <c r="AL475" s="30"/>
      <c r="AM475" s="13"/>
      <c r="AN475" s="13"/>
      <c r="AO475" s="13"/>
      <c r="AP475" s="13"/>
      <c r="AQ475" s="13"/>
      <c r="AR475" s="14"/>
      <c r="AS475" s="15"/>
    </row>
    <row r="476" spans="1:45" s="17" customFormat="1" ht="30.95" hidden="1" customHeight="1" x14ac:dyDescent="0.2">
      <c r="A476" s="37"/>
      <c r="B476" s="38"/>
      <c r="C476" s="45"/>
      <c r="D476" s="31"/>
      <c r="E476" s="31"/>
      <c r="F476" s="268" t="str">
        <f>IF(D476="","",VLOOKUP(D476,契約台帳!$A$3:$K$4986,6,FALSE)&amp;VLOOKUP(D476,契約台帳!$A$3:$K$4986,7,FALSE)&amp;VLOOKUP(D476,契約台帳!$A$3:$K$4986,8,FALSE)&amp;VLOOKUP(D476,契約台帳!$A$3:$K$4986,9,FALSE)&amp;VLOOKUP(D476,契約台帳!$A$3:$K$4986,11,FALSE))</f>
        <v/>
      </c>
      <c r="G476" s="269" t="str">
        <f>IF(D476="","",VLOOKUP(F476,製品マスタ!$G$5:$H$5002,2,FALSE))</f>
        <v/>
      </c>
      <c r="H476" s="269" t="str">
        <f>IF(D476="","",VLOOKUP(F476,製品マスタ!$G$5:$K$5002,5,FALSE))</f>
        <v/>
      </c>
      <c r="I476" s="270" t="str">
        <f>IF(D476="","",VLOOKUP(F476,製品マスタ!$G$5:$L$5002,6,FALSE))</f>
        <v/>
      </c>
      <c r="J476" s="210"/>
      <c r="K476" s="270" t="str">
        <f>IF(D476="","",VLOOKUP(D476,契約台帳!$A$3:$L$4986,12,FALSE))</f>
        <v/>
      </c>
      <c r="L476" s="270" t="str">
        <f>IF(D476="","",INDEX(製品マスタ!$Q$5:$Q$5002,MATCH('S4'!F476&amp;'S4'!K476,製品マスタ!$AO$5:$AO$5002,0)))</f>
        <v/>
      </c>
      <c r="M476" s="39"/>
      <c r="N476" s="39"/>
      <c r="O476" s="156"/>
      <c r="P476" s="47"/>
      <c r="Q476" s="57"/>
      <c r="R476" s="271" t="str">
        <f ca="1">IF(D476="","",IF(OFFSET(D476,-1,0)&lt;&gt;"","",IF(OR(J476="リード付け",J476="巻足し",J476="巻返しリード付け"),M476,VLOOKUP(D476,契約台帳!$A$3:$N$4986,14,FALSE))))</f>
        <v/>
      </c>
      <c r="S476" s="272" t="str">
        <f ca="1">IF(D476="","",IF(OFFSET(D476,-1,0)&lt;&gt;"","",IF(OR(J476="リード付け",J476="巻足し",J476="巻返しリード付け"),M476,VLOOKUP(D476,契約台帳!$A$3:$O$4986,15,FALSE))))</f>
        <v/>
      </c>
      <c r="T476" s="273" t="str">
        <f ca="1">IF(D476="","",IF(J476="リード付け",N476,IF(J476="巻返しリード付け",N476,IF(J476="巻足し",N476*P476+OFFSET(N476,1,0)*OFFSET(P476,1,0),VLOOKUP(D476,契約台帳!$A$3:$P$4986,16,FALSE)))))</f>
        <v/>
      </c>
      <c r="U476" s="40"/>
      <c r="V476" s="274" t="str">
        <f ca="1">IF(D476="","",IF(OFFSET(D476,-2,0)=D476,"",VLOOKUP(D476,契約台帳!$A$3:$R$4986,18,FALSE)))</f>
        <v/>
      </c>
      <c r="W476" s="269" t="str">
        <f>IF(D476="","",IF(T476="","",IF(OR(J476="巻足し",J476="巻返しリード付け"),"",IF(J476="巻返し",VLOOKUP(F476&amp;K476&amp;M476,製品マスタ!$M$5:$AD$5002,18,FALSE),IF(OR(J476="リード付け",J476="巻返しリード付け"),"原反コア",IF(J476="スリット",VLOOKUP(F476&amp;K476&amp;R476,製品マスタ!$N$5:$AD$5002,17,FALSE),""))))))</f>
        <v/>
      </c>
      <c r="X476" s="269" t="str">
        <f>IF(D476="","",IF(T476="","",IF(J476="巻足し","",IF(J476="巻返し",VLOOKUP(F476&amp;K476&amp;M476,製品マスタ!$M$5:$AE$5002,19,FALSE),IF(OR(J476="リード付け",J476="巻返しリード付け"),"",IF(J476="スリット",VLOOKUP(F476&amp;K476&amp;R476,製品マスタ!$N$5:$AE$5002,18,FALSE),""))))))</f>
        <v/>
      </c>
      <c r="Y476" s="275" t="str">
        <f>IF(D476="","",IF(T476="","",VLOOKUP(D476,契約台帳!$A$3:$Q$4986,17,FALSE)))</f>
        <v/>
      </c>
      <c r="Z476" s="269" t="str">
        <f>IF(D476="","",IF(T476="","",VLOOKUP(D476,契約台帳!$A$3:$E$4986,5,FALSE)))</f>
        <v/>
      </c>
      <c r="AA476" s="57"/>
      <c r="AB476" s="207" t="str">
        <f>IFERROR((VLOOKUP(F476&amp;K476&amp;M476,製品マスタ!$M$5:$AM$5002,27,FALSE)),"")</f>
        <v/>
      </c>
      <c r="AC476" s="33"/>
      <c r="AD476" s="189"/>
      <c r="AE476" s="54"/>
      <c r="AF476" s="55"/>
      <c r="AG476" s="43"/>
      <c r="AH476" s="47"/>
      <c r="AI476" s="30"/>
      <c r="AJ476" s="30"/>
      <c r="AK476" s="30"/>
      <c r="AL476" s="30"/>
      <c r="AM476" s="13"/>
      <c r="AN476" s="13"/>
      <c r="AO476" s="13"/>
      <c r="AP476" s="13"/>
      <c r="AQ476" s="13"/>
      <c r="AR476" s="14"/>
      <c r="AS476" s="15"/>
    </row>
    <row r="477" spans="1:45" s="17" customFormat="1" ht="30.95" hidden="1" customHeight="1" x14ac:dyDescent="0.2">
      <c r="A477" s="37"/>
      <c r="B477" s="38"/>
      <c r="C477" s="45"/>
      <c r="D477" s="31">
        <v>3706358</v>
      </c>
      <c r="E477" s="31">
        <v>4140932</v>
      </c>
      <c r="F477" s="268" t="str">
        <f>IF(D477="","",VLOOKUP(D477,契約台帳!$A$3:$K$4986,6,FALSE)&amp;VLOOKUP(D477,契約台帳!$A$3:$K$4986,7,FALSE)&amp;VLOOKUP(D477,契約台帳!$A$3:$K$4986,8,FALSE)&amp;VLOOKUP(D477,契約台帳!$A$3:$K$4986,9,FALSE)&amp;VLOOKUP(D477,契約台帳!$A$3:$K$4986,11,FALSE))</f>
        <v>3SNMCLBMSNEYK</v>
      </c>
      <c r="G477" s="269" t="str">
        <f>IF(D477="","",VLOOKUP(F477,製品マスタ!$G$5:$H$5002,2,FALSE))</f>
        <v>S</v>
      </c>
      <c r="H477" s="269" t="str">
        <f>IF(D477="","",VLOOKUP(F477,製品マスタ!$G$5:$K$5002,5,FALSE))</f>
        <v>MSNEYK</v>
      </c>
      <c r="I477" s="270" t="str">
        <f>IF(D477="","",VLOOKUP(F477,製品マスタ!$G$5:$L$5002,6,FALSE))</f>
        <v>ＭＳＮ　ＥＹＫ</v>
      </c>
      <c r="J477" s="210" t="s">
        <v>447</v>
      </c>
      <c r="K477" s="270">
        <f>IF(D477="","",VLOOKUP(D477,契約台帳!$A$3:$L$4986,12,FALSE))</f>
        <v>50</v>
      </c>
      <c r="L477" s="270" t="str">
        <f>IF(D477="","",INDEX(製品マスタ!$Q$5:$Q$5002,MATCH('S4'!F477&amp;'S4'!K477,製品マスタ!$AO$5:$AO$5002,0)))</f>
        <v>N-MAT</v>
      </c>
      <c r="M477" s="39">
        <v>1120</v>
      </c>
      <c r="N477" s="39">
        <v>8000</v>
      </c>
      <c r="O477" s="156">
        <v>1</v>
      </c>
      <c r="P477" s="47">
        <v>1</v>
      </c>
      <c r="Q477" s="57"/>
      <c r="R477" s="271">
        <f ca="1">IF(D477="","",IF(OFFSET(D477,-1,0)&lt;&gt;"","",IF(OR(J477="リード付け",J477="巻足し",J477="巻返しリード付け"),M477,VLOOKUP(D477,契約台帳!$A$3:$N$4986,14,FALSE))))</f>
        <v>1120</v>
      </c>
      <c r="S477" s="272">
        <f ca="1">IF(D477="","",IF(OFFSET(D477,-1,0)&lt;&gt;"","",IF(OR(J477="リード付け",J477="巻足し",J477="巻返しリード付け"),M477,VLOOKUP(D477,契約台帳!$A$3:$O$4986,15,FALSE))))</f>
        <v>1120</v>
      </c>
      <c r="T477" s="273">
        <f ca="1">IF(D477="","",IF(J477="リード付け",N477,IF(J477="巻返しリード付け",N477,IF(J477="巻足し",N477*P477+OFFSET(N477,1,0)*OFFSET(P477,1,0),VLOOKUP(D477,契約台帳!$A$3:$P$4986,16,FALSE)))))</f>
        <v>4000</v>
      </c>
      <c r="U477" s="40">
        <v>2</v>
      </c>
      <c r="V477" s="274">
        <f ca="1">IF(D477="","",IF(OFFSET(D477,-2,0)=D477,"",VLOOKUP(D477,契約台帳!$A$3:$R$4986,18,FALSE)))</f>
        <v>2</v>
      </c>
      <c r="W477" s="269" t="str">
        <f ca="1">IF(D477="","",IF(T477="","",IF(OR(J477="巻足し",J477="巻返しリード付け"),"",IF(J477="巻返し",VLOOKUP(F477&amp;K477&amp;M477,製品マスタ!$M$5:$AD$5002,18,FALSE),IF(OR(J477="リード付け",J477="巻返しリード付け"),"原反コア",IF(J477="スリット",VLOOKUP(F477&amp;K477&amp;R477,製品マスタ!$N$5:$AD$5002,17,FALSE),""))))))</f>
        <v>6ｲﾝﾁMｺｱ</v>
      </c>
      <c r="X477" s="269">
        <f ca="1">IF(D477="","",IF(T477="","",IF(J477="巻足し","",IF(J477="巻返し",VLOOKUP(F477&amp;K477&amp;M477,製品マスタ!$M$5:$AE$5002,19,FALSE),IF(OR(J477="リード付け",J477="巻返しリード付け"),"",IF(J477="スリット",VLOOKUP(F477&amp;K477&amp;R477,製品マスタ!$N$5:$AE$5002,18,FALSE),""))))))</f>
        <v>1140</v>
      </c>
      <c r="Y477" s="275">
        <f ca="1">IF(D477="","",IF(T477="","",VLOOKUP(D477,契約台帳!$A$3:$Q$4986,17,FALSE)))</f>
        <v>2</v>
      </c>
      <c r="Z477" s="269" t="str">
        <f ca="1">IF(D477="","",IF(T477="","",VLOOKUP(D477,契約台帳!$A$3:$E$4986,5,FALSE)))</f>
        <v>新タック化成㈱</v>
      </c>
      <c r="AA477" s="57"/>
      <c r="AB477" s="303" t="str">
        <f>IFERROR((VLOOKUP(F477&amp;K477&amp;M477,製品マスタ!$M$5:$AM$5002,27,FALSE)),"")</f>
        <v>原反ケース再利用</v>
      </c>
      <c r="AC477" s="33"/>
      <c r="AD477" s="189"/>
      <c r="AE477" s="54"/>
      <c r="AF477" s="55"/>
      <c r="AG477" s="43"/>
      <c r="AH477" s="47"/>
      <c r="AI477" s="30"/>
      <c r="AJ477" s="30"/>
      <c r="AK477" s="30"/>
      <c r="AL477" s="30"/>
      <c r="AM477" s="13"/>
      <c r="AN477" s="13"/>
      <c r="AO477" s="13"/>
      <c r="AP477" s="13"/>
      <c r="AQ477" s="13"/>
      <c r="AR477" s="14"/>
      <c r="AS477" s="15"/>
    </row>
    <row r="478" spans="1:45" s="17" customFormat="1" ht="30.95" hidden="1" customHeight="1" x14ac:dyDescent="0.2">
      <c r="A478" s="37"/>
      <c r="B478" s="38"/>
      <c r="C478" s="45"/>
      <c r="D478" s="31"/>
      <c r="E478" s="31"/>
      <c r="F478" s="268" t="str">
        <f>IF(D478="","",VLOOKUP(D478,契約台帳!$A$3:$K$4986,6,FALSE)&amp;VLOOKUP(D478,契約台帳!$A$3:$K$4986,7,FALSE)&amp;VLOOKUP(D478,契約台帳!$A$3:$K$4986,8,FALSE)&amp;VLOOKUP(D478,契約台帳!$A$3:$K$4986,9,FALSE)&amp;VLOOKUP(D478,契約台帳!$A$3:$K$4986,11,FALSE))</f>
        <v/>
      </c>
      <c r="G478" s="269" t="str">
        <f>IF(D478="","",VLOOKUP(F478,製品マスタ!$G$5:$H$5002,2,FALSE))</f>
        <v/>
      </c>
      <c r="H478" s="269" t="str">
        <f>IF(D478="","",VLOOKUP(F478,製品マスタ!$G$5:$K$5002,5,FALSE))</f>
        <v/>
      </c>
      <c r="I478" s="270" t="str">
        <f>IF(D478="","",VLOOKUP(F478,製品マスタ!$G$5:$L$5002,6,FALSE))</f>
        <v/>
      </c>
      <c r="J478" s="210"/>
      <c r="K478" s="270" t="str">
        <f>IF(D478="","",VLOOKUP(D478,契約台帳!$A$3:$L$4986,12,FALSE))</f>
        <v/>
      </c>
      <c r="L478" s="270" t="str">
        <f>IF(D478="","",INDEX(製品マスタ!$Q$5:$Q$5002,MATCH('S4'!F478&amp;'S4'!K478,製品マスタ!$AO$5:$AO$5002,0)))</f>
        <v/>
      </c>
      <c r="M478" s="39"/>
      <c r="N478" s="39"/>
      <c r="O478" s="156"/>
      <c r="P478" s="47"/>
      <c r="Q478" s="57"/>
      <c r="R478" s="271" t="str">
        <f ca="1">IF(D478="","",IF(OFFSET(D478,-1,0)&lt;&gt;"","",IF(OR(J478="リード付け",J478="巻足し",J478="巻返しリード付け"),M478,VLOOKUP(D478,契約台帳!$A$3:$N$4986,14,FALSE))))</f>
        <v/>
      </c>
      <c r="S478" s="272" t="str">
        <f ca="1">IF(D478="","",IF(OFFSET(D478,-1,0)&lt;&gt;"","",IF(OR(J478="リード付け",J478="巻足し",J478="巻返しリード付け"),M478,VLOOKUP(D478,契約台帳!$A$3:$O$4986,15,FALSE))))</f>
        <v/>
      </c>
      <c r="T478" s="273" t="str">
        <f ca="1">IF(D478="","",IF(J478="リード付け",N478,IF(J478="巻返しリード付け",N478,IF(J478="巻足し",N478*P478+OFFSET(N478,1,0)*OFFSET(P478,1,0),VLOOKUP(D478,契約台帳!$A$3:$P$4986,16,FALSE)))))</f>
        <v/>
      </c>
      <c r="U478" s="40"/>
      <c r="V478" s="274" t="str">
        <f ca="1">IF(D478="","",IF(OFFSET(D478,-2,0)=D478,"",VLOOKUP(D478,契約台帳!$A$3:$R$4986,18,FALSE)))</f>
        <v/>
      </c>
      <c r="W478" s="269" t="str">
        <f>IF(D478="","",IF(T478="","",IF(OR(J478="巻足し",J478="巻返しリード付け"),"",IF(J478="巻返し",VLOOKUP(F478&amp;K478&amp;M478,製品マスタ!$M$5:$AD$5002,18,FALSE),IF(OR(J478="リード付け",J478="巻返しリード付け"),"原反コア",IF(J478="スリット",VLOOKUP(F478&amp;K478&amp;R478,製品マスタ!$N$5:$AD$5002,17,FALSE),""))))))</f>
        <v/>
      </c>
      <c r="X478" s="269" t="str">
        <f>IF(D478="","",IF(T478="","",IF(J478="巻足し","",IF(J478="巻返し",VLOOKUP(F478&amp;K478&amp;M478,製品マスタ!$M$5:$AE$5002,19,FALSE),IF(OR(J478="リード付け",J478="巻返しリード付け"),"",IF(J478="スリット",VLOOKUP(F478&amp;K478&amp;R478,製品マスタ!$N$5:$AE$5002,18,FALSE),""))))))</f>
        <v/>
      </c>
      <c r="Y478" s="275" t="str">
        <f>IF(D478="","",IF(T478="","",VLOOKUP(D478,契約台帳!$A$3:$Q$4986,17,FALSE)))</f>
        <v/>
      </c>
      <c r="Z478" s="269" t="str">
        <f>IF(D478="","",IF(T478="","",VLOOKUP(D478,契約台帳!$A$3:$E$4986,5,FALSE)))</f>
        <v/>
      </c>
      <c r="AA478" s="57"/>
      <c r="AB478" s="207" t="str">
        <f>IFERROR((VLOOKUP(F478&amp;K478&amp;M478,製品マスタ!$M$5:$AM$5002,27,FALSE)),"")</f>
        <v/>
      </c>
      <c r="AC478" s="33"/>
      <c r="AD478" s="189"/>
      <c r="AE478" s="54"/>
      <c r="AF478" s="55"/>
      <c r="AG478" s="43"/>
      <c r="AH478" s="47"/>
      <c r="AI478" s="30"/>
      <c r="AJ478" s="30"/>
      <c r="AK478" s="30"/>
      <c r="AL478" s="30"/>
      <c r="AM478" s="13"/>
      <c r="AN478" s="13"/>
      <c r="AO478" s="13"/>
      <c r="AP478" s="13"/>
      <c r="AQ478" s="13"/>
      <c r="AR478" s="14"/>
      <c r="AS478" s="15"/>
    </row>
    <row r="479" spans="1:45" s="17" customFormat="1" ht="30.95" hidden="1" customHeight="1" x14ac:dyDescent="0.2">
      <c r="A479" s="37" t="s">
        <v>1061</v>
      </c>
      <c r="B479" s="38" t="s">
        <v>1052</v>
      </c>
      <c r="C479" s="45"/>
      <c r="D479" s="31">
        <v>3703990</v>
      </c>
      <c r="E479" s="31">
        <v>4140915</v>
      </c>
      <c r="F479" s="268" t="str">
        <f>IF(D479="","",VLOOKUP(D479,契約台帳!$A$3:$K$4986,6,FALSE)&amp;VLOOKUP(D479,契約台帳!$A$3:$K$4986,7,FALSE)&amp;VLOOKUP(D479,契約台帳!$A$3:$K$4986,8,FALSE)&amp;VLOOKUP(D479,契約台帳!$A$3:$K$4986,9,FALSE)&amp;VLOOKUP(D479,契約台帳!$A$3:$K$4986,11,FALSE))</f>
        <v>33SSNMCLBTETKFV</v>
      </c>
      <c r="G479" s="269" t="str">
        <f>IF(D479="","",VLOOKUP(F479,製品マスタ!$G$5:$H$5002,2,FALSE))</f>
        <v>S</v>
      </c>
      <c r="H479" s="269" t="str">
        <f>IF(D479="","",VLOOKUP(F479,製品マスタ!$G$5:$K$5002,5,FALSE))</f>
        <v>TETKFV</v>
      </c>
      <c r="I479" s="270" t="str">
        <f>IF(D479="","",VLOOKUP(F479,製品マスタ!$G$5:$L$5002,6,FALSE))</f>
        <v>メタルミー　ＴＥＳ艶開封　Ｖ</v>
      </c>
      <c r="J479" s="210" t="s">
        <v>1051</v>
      </c>
      <c r="K479" s="270">
        <f>IF(D479="","",VLOOKUP(D479,契約台帳!$A$3:$L$4986,12,FALSE))</f>
        <v>50</v>
      </c>
      <c r="L479" s="270" t="str">
        <f>IF(D479="","",INDEX(製品マスタ!$Q$5:$Q$5002,MATCH('S4'!F479&amp;'S4'!K479,製品マスタ!$AO$5:$AO$5002,0)))</f>
        <v>S28SEPA</v>
      </c>
      <c r="M479" s="39">
        <v>1005</v>
      </c>
      <c r="N479" s="39">
        <v>12300</v>
      </c>
      <c r="O479" s="156">
        <v>1</v>
      </c>
      <c r="P479" s="47">
        <v>1</v>
      </c>
      <c r="Q479" s="57"/>
      <c r="R479" s="271">
        <f ca="1">IF(D479="","",IF(OFFSET(D479,-1,0)&lt;&gt;"","",IF(OR(J479="リード付け",J479="巻足し",J479="巻返しリード付け"),M479,VLOOKUP(D479,契約台帳!$A$3:$N$4986,14,FALSE))))</f>
        <v>1005</v>
      </c>
      <c r="S479" s="272">
        <f ca="1">IF(D479="","",IF(OFFSET(D479,-1,0)&lt;&gt;"","",IF(OR(J479="リード付け",J479="巻足し",J479="巻返しリード付け"),M479,VLOOKUP(D479,契約台帳!$A$3:$O$4986,15,FALSE))))</f>
        <v>1000</v>
      </c>
      <c r="T479" s="273">
        <f ca="1">IF(D479="","",IF(J479="リード付け",N479,IF(J479="巻返しリード付け",N479,IF(J479="巻足し",N479*P479+OFFSET(N479,1,0)*OFFSET(P479,1,0),VLOOKUP(D479,契約台帳!$A$3:$P$4986,16,FALSE)))))</f>
        <v>4000</v>
      </c>
      <c r="U479" s="40">
        <v>3</v>
      </c>
      <c r="V479" s="274">
        <f ca="1">IF(D479="","",IF(OFFSET(D479,-2,0)=D479,"",VLOOKUP(D479,契約台帳!$A$3:$R$4986,18,FALSE)))</f>
        <v>3</v>
      </c>
      <c r="W479" s="269" t="str">
        <f ca="1">IF(D479="","",IF(T479="","",IF(OR(J479="巻足し",J479="巻返しリード付け"),"",IF(J479="巻返し",VLOOKUP(F479&amp;K479&amp;M479,製品マスタ!$M$5:$AD$5002,18,FALSE),IF(OR(J479="リード付け",J479="巻返しリード付け"),"原反コア",IF(J479="スリット",VLOOKUP(F479&amp;K479&amp;R479,製品マスタ!$N$5:$AD$5002,17,FALSE),""))))))</f>
        <v>6ｲﾝﾁSｺｱ</v>
      </c>
      <c r="X479" s="269">
        <f ca="1">IF(D479="","",IF(T479="","",IF(J479="巻足し","",IF(J479="巻返し",VLOOKUP(F479&amp;K479&amp;M479,製品マスタ!$M$5:$AE$5002,19,FALSE),IF(OR(J479="リード付け",J479="巻返しリード付け"),"",IF(J479="スリット",VLOOKUP(F479&amp;K479&amp;R479,製品マスタ!$N$5:$AE$5002,18,FALSE),""))))))</f>
        <v>1015</v>
      </c>
      <c r="Y479" s="275">
        <f ca="1">IF(D479="","",IF(T479="","",VLOOKUP(D479,契約台帳!$A$3:$Q$4986,17,FALSE)))</f>
        <v>2</v>
      </c>
      <c r="Z479" s="269" t="str">
        <f ca="1">IF(D479="","",IF(T479="","",VLOOKUP(D479,契約台帳!$A$3:$E$4986,5,FALSE)))</f>
        <v>リンテック㈱</v>
      </c>
      <c r="AA479" s="57"/>
      <c r="AB479" s="207">
        <f>IFERROR((VLOOKUP(F479&amp;K479&amp;M479,製品マスタ!$M$5:$AM$5002,27,FALSE)),"")</f>
        <v>0</v>
      </c>
      <c r="AC479" s="33"/>
      <c r="AD479" s="189"/>
      <c r="AE479" s="54"/>
      <c r="AF479" s="55"/>
      <c r="AG479" s="43"/>
      <c r="AH479" s="47"/>
      <c r="AI479" s="30"/>
      <c r="AJ479" s="30"/>
      <c r="AK479" s="30"/>
      <c r="AL479" s="30"/>
      <c r="AM479" s="13"/>
      <c r="AN479" s="13"/>
      <c r="AO479" s="13"/>
      <c r="AP479" s="13"/>
      <c r="AQ479" s="13"/>
      <c r="AR479" s="14"/>
      <c r="AS479" s="15"/>
    </row>
    <row r="480" spans="1:45" s="17" customFormat="1" ht="30.95" hidden="1" customHeight="1" x14ac:dyDescent="0.2">
      <c r="A480" s="37"/>
      <c r="B480" s="38"/>
      <c r="C480" s="45"/>
      <c r="D480" s="31"/>
      <c r="E480" s="31"/>
      <c r="F480" s="268" t="str">
        <f>IF(D480="","",VLOOKUP(D480,契約台帳!$A$3:$K$4986,6,FALSE)&amp;VLOOKUP(D480,契約台帳!$A$3:$K$4986,7,FALSE)&amp;VLOOKUP(D480,契約台帳!$A$3:$K$4986,8,FALSE)&amp;VLOOKUP(D480,契約台帳!$A$3:$K$4986,9,FALSE)&amp;VLOOKUP(D480,契約台帳!$A$3:$K$4986,11,FALSE))</f>
        <v/>
      </c>
      <c r="G480" s="269" t="str">
        <f>IF(D480="","",VLOOKUP(F480,製品マスタ!$G$5:$H$5002,2,FALSE))</f>
        <v/>
      </c>
      <c r="H480" s="269" t="str">
        <f>IF(D480="","",VLOOKUP(F480,製品マスタ!$G$5:$K$5002,5,FALSE))</f>
        <v/>
      </c>
      <c r="I480" s="270" t="str">
        <f>IF(D480="","",VLOOKUP(F480,製品マスタ!$G$5:$L$5002,6,FALSE))</f>
        <v/>
      </c>
      <c r="J480" s="210"/>
      <c r="K480" s="270" t="str">
        <f>IF(D480="","",VLOOKUP(D480,契約台帳!$A$3:$L$4986,12,FALSE))</f>
        <v/>
      </c>
      <c r="L480" s="270" t="str">
        <f>IF(D480="","",INDEX(製品マスタ!$Q$5:$Q$5002,MATCH('S4'!F480&amp;'S4'!K480,製品マスタ!$AO$5:$AO$5002,0)))</f>
        <v/>
      </c>
      <c r="M480" s="39"/>
      <c r="N480" s="39"/>
      <c r="O480" s="156"/>
      <c r="P480" s="47"/>
      <c r="Q480" s="57"/>
      <c r="R480" s="271" t="str">
        <f ca="1">IF(D480="","",IF(OFFSET(D480,-1,0)&lt;&gt;"","",IF(OR(J480="リード付け",J480="巻足し",J480="巻返しリード付け"),M480,VLOOKUP(D480,契約台帳!$A$3:$N$4986,14,FALSE))))</f>
        <v/>
      </c>
      <c r="S480" s="272" t="str">
        <f ca="1">IF(D480="","",IF(OFFSET(D480,-1,0)&lt;&gt;"","",IF(OR(J480="リード付け",J480="巻足し",J480="巻返しリード付け"),M480,VLOOKUP(D480,契約台帳!$A$3:$O$4986,15,FALSE))))</f>
        <v/>
      </c>
      <c r="T480" s="273" t="str">
        <f ca="1">IF(D480="","",IF(J480="リード付け",N480,IF(J480="巻返しリード付け",N480,IF(J480="巻足し",N480*P480+OFFSET(N480,1,0)*OFFSET(P480,1,0),VLOOKUP(D480,契約台帳!$A$3:$P$4986,16,FALSE)))))</f>
        <v/>
      </c>
      <c r="U480" s="40"/>
      <c r="V480" s="274" t="str">
        <f ca="1">IF(D480="","",IF(OFFSET(D480,-2,0)=D480,"",VLOOKUP(D480,契約台帳!$A$3:$R$4986,18,FALSE)))</f>
        <v/>
      </c>
      <c r="W480" s="269" t="str">
        <f>IF(D480="","",IF(T480="","",IF(OR(J480="巻足し",J480="巻返しリード付け"),"",IF(J480="巻返し",VLOOKUP(F480&amp;K480&amp;M480,製品マスタ!$M$5:$AD$5002,18,FALSE),IF(OR(J480="リード付け",J480="巻返しリード付け"),"原反コア",IF(J480="スリット",VLOOKUP(F480&amp;K480&amp;R480,製品マスタ!$N$5:$AD$5002,17,FALSE),""))))))</f>
        <v/>
      </c>
      <c r="X480" s="269" t="str">
        <f>IF(D480="","",IF(T480="","",IF(J480="巻足し","",IF(J480="巻返し",VLOOKUP(F480&amp;K480&amp;M480,製品マスタ!$M$5:$AE$5002,19,FALSE),IF(OR(J480="リード付け",J480="巻返しリード付け"),"",IF(J480="スリット",VLOOKUP(F480&amp;K480&amp;R480,製品マスタ!$N$5:$AE$5002,18,FALSE),""))))))</f>
        <v/>
      </c>
      <c r="Y480" s="275" t="str">
        <f>IF(D480="","",IF(T480="","",VLOOKUP(D480,契約台帳!$A$3:$Q$4986,17,FALSE)))</f>
        <v/>
      </c>
      <c r="Z480" s="269" t="str">
        <f>IF(D480="","",IF(T480="","",VLOOKUP(D480,契約台帳!$A$3:$E$4986,5,FALSE)))</f>
        <v/>
      </c>
      <c r="AA480" s="57"/>
      <c r="AB480" s="207" t="str">
        <f>IFERROR((VLOOKUP(F480&amp;K480&amp;M480,製品マスタ!$M$5:$AM$5002,27,FALSE)),"")</f>
        <v/>
      </c>
      <c r="AC480" s="33"/>
      <c r="AD480" s="189"/>
      <c r="AE480" s="54"/>
      <c r="AF480" s="55"/>
      <c r="AG480" s="43"/>
      <c r="AH480" s="47"/>
      <c r="AI480" s="30"/>
      <c r="AJ480" s="30"/>
      <c r="AK480" s="30"/>
      <c r="AL480" s="30"/>
      <c r="AM480" s="13"/>
      <c r="AN480" s="13"/>
      <c r="AO480" s="13"/>
      <c r="AP480" s="13"/>
      <c r="AQ480" s="13"/>
      <c r="AR480" s="14"/>
      <c r="AS480" s="15"/>
    </row>
    <row r="481" spans="1:45" s="17" customFormat="1" ht="30.95" hidden="1" customHeight="1" x14ac:dyDescent="0.2">
      <c r="A481" s="37"/>
      <c r="B481" s="38"/>
      <c r="C481" s="45"/>
      <c r="D481" s="31">
        <v>3703991</v>
      </c>
      <c r="E481" s="31">
        <v>4140923</v>
      </c>
      <c r="F481" s="268" t="str">
        <f>IF(D481="","",VLOOKUP(D481,契約台帳!$A$3:$K$4986,6,FALSE)&amp;VLOOKUP(D481,契約台帳!$A$3:$K$4986,7,FALSE)&amp;VLOOKUP(D481,契約台帳!$A$3:$K$4986,8,FALSE)&amp;VLOOKUP(D481,契約台帳!$A$3:$K$4986,9,FALSE)&amp;VLOOKUP(D481,契約台帳!$A$3:$K$4986,11,FALSE))</f>
        <v>3SNMCLBTETV0V</v>
      </c>
      <c r="G481" s="269" t="str">
        <f>IF(D481="","",VLOOKUP(F481,製品マスタ!$G$5:$H$5002,2,FALSE))</f>
        <v>S</v>
      </c>
      <c r="H481" s="269" t="str">
        <f>IF(D481="","",VLOOKUP(F481,製品マスタ!$G$5:$K$5002,5,FALSE))</f>
        <v>TETV0V</v>
      </c>
      <c r="I481" s="270" t="str">
        <f>IF(D481="","",VLOOKUP(F481,製品マスタ!$G$5:$L$5002,6,FALSE))</f>
        <v>メタルミー　ＴＥＳ艶ＶＯＩＤＶ</v>
      </c>
      <c r="J481" s="210" t="s">
        <v>1051</v>
      </c>
      <c r="K481" s="270">
        <f>IF(D481="","",VLOOKUP(D481,契約台帳!$A$3:$L$4986,12,FALSE))</f>
        <v>50</v>
      </c>
      <c r="L481" s="270" t="str">
        <f>IF(D481="","",INDEX(製品マスタ!$Q$5:$Q$5002,MATCH('S4'!F481&amp;'S4'!K481,製品マスタ!$AO$5:$AO$5002,0)))</f>
        <v>S28SEPA</v>
      </c>
      <c r="M481" s="39">
        <v>1005</v>
      </c>
      <c r="N481" s="39">
        <v>12300</v>
      </c>
      <c r="O481" s="156">
        <v>1</v>
      </c>
      <c r="P481" s="47">
        <v>1</v>
      </c>
      <c r="Q481" s="57"/>
      <c r="R481" s="271">
        <f ca="1">IF(D481="","",IF(OFFSET(D481,-1,0)&lt;&gt;"","",IF(OR(J481="リード付け",J481="巻足し",J481="巻返しリード付け"),M481,VLOOKUP(D481,契約台帳!$A$3:$N$4986,14,FALSE))))</f>
        <v>1005</v>
      </c>
      <c r="S481" s="272">
        <f ca="1">IF(D481="","",IF(OFFSET(D481,-1,0)&lt;&gt;"","",IF(OR(J481="リード付け",J481="巻足し",J481="巻返しリード付け"),M481,VLOOKUP(D481,契約台帳!$A$3:$O$4986,15,FALSE))))</f>
        <v>1000</v>
      </c>
      <c r="T481" s="273">
        <f ca="1">IF(D481="","",IF(J481="リード付け",N481,IF(J481="巻返しリード付け",N481,IF(J481="巻足し",N481*P481+OFFSET(N481,1,0)*OFFSET(P481,1,0),VLOOKUP(D481,契約台帳!$A$3:$P$4986,16,FALSE)))))</f>
        <v>4000</v>
      </c>
      <c r="U481" s="40">
        <v>3</v>
      </c>
      <c r="V481" s="274">
        <f ca="1">IF(D481="","",IF(OFFSET(D481,-2,0)=D481,"",VLOOKUP(D481,契約台帳!$A$3:$R$4986,18,FALSE)))</f>
        <v>3</v>
      </c>
      <c r="W481" s="269" t="str">
        <f ca="1">IF(D481="","",IF(T481="","",IF(OR(J481="巻足し",J481="巻返しリード付け"),"",IF(J481="巻返し",VLOOKUP(F481&amp;K481&amp;M481,製品マスタ!$M$5:$AD$5002,18,FALSE),IF(OR(J481="リード付け",J481="巻返しリード付け"),"原反コア",IF(J481="スリット",VLOOKUP(F481&amp;K481&amp;R481,製品マスタ!$N$5:$AD$5002,17,FALSE),""))))))</f>
        <v>6ｲﾝﾁSｺｱ</v>
      </c>
      <c r="X481" s="269">
        <f ca="1">IF(D481="","",IF(T481="","",IF(J481="巻足し","",IF(J481="巻返し",VLOOKUP(F481&amp;K481&amp;M481,製品マスタ!$M$5:$AE$5002,19,FALSE),IF(OR(J481="リード付け",J481="巻返しリード付け"),"",IF(J481="スリット",VLOOKUP(F481&amp;K481&amp;R481,製品マスタ!$N$5:$AE$5002,18,FALSE),""))))))</f>
        <v>1015</v>
      </c>
      <c r="Y481" s="275">
        <f ca="1">IF(D481="","",IF(T481="","",VLOOKUP(D481,契約台帳!$A$3:$Q$4986,17,FALSE)))</f>
        <v>2</v>
      </c>
      <c r="Z481" s="269" t="str">
        <f ca="1">IF(D481="","",IF(T481="","",VLOOKUP(D481,契約台帳!$A$3:$E$4986,5,FALSE)))</f>
        <v>リンテック㈱</v>
      </c>
      <c r="AA481" s="57"/>
      <c r="AB481" s="207">
        <f>IFERROR((VLOOKUP(F481&amp;K481&amp;M481,製品マスタ!$M$5:$AM$5002,27,FALSE)),"")</f>
        <v>0</v>
      </c>
      <c r="AC481" s="33"/>
      <c r="AD481" s="189"/>
      <c r="AE481" s="54"/>
      <c r="AF481" s="55"/>
      <c r="AG481" s="43"/>
      <c r="AH481" s="47"/>
      <c r="AI481" s="30"/>
      <c r="AJ481" s="30"/>
      <c r="AK481" s="30"/>
      <c r="AL481" s="30"/>
      <c r="AM481" s="13"/>
      <c r="AN481" s="13"/>
      <c r="AO481" s="13"/>
      <c r="AP481" s="13"/>
      <c r="AQ481" s="13"/>
      <c r="AR481" s="14"/>
      <c r="AS481" s="15"/>
    </row>
    <row r="482" spans="1:45" s="17" customFormat="1" ht="30.95" hidden="1" customHeight="1" x14ac:dyDescent="0.2">
      <c r="A482" s="37"/>
      <c r="B482" s="38"/>
      <c r="C482" s="45"/>
      <c r="D482" s="31"/>
      <c r="E482" s="31"/>
      <c r="F482" s="268" t="str">
        <f>IF(D482="","",VLOOKUP(D482,契約台帳!$A$3:$K$4986,6,FALSE)&amp;VLOOKUP(D482,契約台帳!$A$3:$K$4986,7,FALSE)&amp;VLOOKUP(D482,契約台帳!$A$3:$K$4986,8,FALSE)&amp;VLOOKUP(D482,契約台帳!$A$3:$K$4986,9,FALSE)&amp;VLOOKUP(D482,契約台帳!$A$3:$K$4986,11,FALSE))</f>
        <v/>
      </c>
      <c r="G482" s="269" t="str">
        <f>IF(D482="","",VLOOKUP(F482,製品マスタ!$G$5:$H$5002,2,FALSE))</f>
        <v/>
      </c>
      <c r="H482" s="269" t="str">
        <f>IF(D482="","",VLOOKUP(F482,製品マスタ!$G$5:$K$5002,5,FALSE))</f>
        <v/>
      </c>
      <c r="I482" s="270" t="str">
        <f>IF(D482="","",VLOOKUP(F482,製品マスタ!$G$5:$L$5002,6,FALSE))</f>
        <v/>
      </c>
      <c r="J482" s="210"/>
      <c r="K482" s="270" t="str">
        <f>IF(D482="","",VLOOKUP(D482,契約台帳!$A$3:$L$4986,12,FALSE))</f>
        <v/>
      </c>
      <c r="L482" s="270" t="str">
        <f>IF(D482="","",INDEX(製品マスタ!$Q$5:$Q$5002,MATCH('S4'!F482&amp;'S4'!K482,製品マスタ!$AO$5:$AO$5002,0)))</f>
        <v/>
      </c>
      <c r="M482" s="39"/>
      <c r="N482" s="39"/>
      <c r="O482" s="156"/>
      <c r="P482" s="47"/>
      <c r="Q482" s="57"/>
      <c r="R482" s="271" t="str">
        <f ca="1">IF(D482="","",IF(OFFSET(D482,-1,0)&lt;&gt;"","",IF(OR(J482="リード付け",J482="巻足し",J482="巻返しリード付け"),M482,VLOOKUP(D482,契約台帳!$A$3:$N$4986,14,FALSE))))</f>
        <v/>
      </c>
      <c r="S482" s="272" t="str">
        <f ca="1">IF(D482="","",IF(OFFSET(D482,-1,0)&lt;&gt;"","",IF(OR(J482="リード付け",J482="巻足し",J482="巻返しリード付け"),M482,VLOOKUP(D482,契約台帳!$A$3:$O$4986,15,FALSE))))</f>
        <v/>
      </c>
      <c r="T482" s="273" t="str">
        <f ca="1">IF(D482="","",IF(J482="リード付け",N482,IF(J482="巻返しリード付け",N482,IF(J482="巻足し",N482*P482+OFFSET(N482,1,0)*OFFSET(P482,1,0),VLOOKUP(D482,契約台帳!$A$3:$P$4986,16,FALSE)))))</f>
        <v/>
      </c>
      <c r="U482" s="40"/>
      <c r="V482" s="274" t="str">
        <f ca="1">IF(D482="","",IF(OFFSET(D482,-2,0)=D482,"",VLOOKUP(D482,契約台帳!$A$3:$R$4986,18,FALSE)))</f>
        <v/>
      </c>
      <c r="W482" s="269" t="str">
        <f>IF(D482="","",IF(T482="","",IF(OR(J482="巻足し",J482="巻返しリード付け"),"",IF(J482="巻返し",VLOOKUP(F482&amp;K482&amp;M482,製品マスタ!$M$5:$AD$5002,18,FALSE),IF(OR(J482="リード付け",J482="巻返しリード付け"),"原反コア",IF(J482="スリット",VLOOKUP(F482&amp;K482&amp;R482,製品マスタ!$N$5:$AD$5002,17,FALSE),""))))))</f>
        <v/>
      </c>
      <c r="X482" s="269" t="str">
        <f>IF(D482="","",IF(T482="","",IF(J482="巻足し","",IF(J482="巻返し",VLOOKUP(F482&amp;K482&amp;M482,製品マスタ!$M$5:$AE$5002,19,FALSE),IF(OR(J482="リード付け",J482="巻返しリード付け"),"",IF(J482="スリット",VLOOKUP(F482&amp;K482&amp;R482,製品マスタ!$N$5:$AE$5002,18,FALSE),""))))))</f>
        <v/>
      </c>
      <c r="Y482" s="275" t="str">
        <f>IF(D482="","",IF(T482="","",VLOOKUP(D482,契約台帳!$A$3:$Q$4986,17,FALSE)))</f>
        <v/>
      </c>
      <c r="Z482" s="269" t="str">
        <f>IF(D482="","",IF(T482="","",VLOOKUP(D482,契約台帳!$A$3:$E$4986,5,FALSE)))</f>
        <v/>
      </c>
      <c r="AA482" s="57"/>
      <c r="AB482" s="207" t="str">
        <f>IFERROR((VLOOKUP(F482&amp;K482&amp;M482,製品マスタ!$M$5:$AM$5002,27,FALSE)),"")</f>
        <v/>
      </c>
      <c r="AC482" s="33"/>
      <c r="AD482" s="189"/>
      <c r="AE482" s="54"/>
      <c r="AF482" s="55"/>
      <c r="AG482" s="43"/>
      <c r="AH482" s="47"/>
      <c r="AI482" s="30"/>
      <c r="AJ482" s="30"/>
      <c r="AK482" s="30"/>
      <c r="AL482" s="30"/>
      <c r="AM482" s="13"/>
      <c r="AN482" s="13"/>
      <c r="AO482" s="13"/>
      <c r="AP482" s="13"/>
      <c r="AQ482" s="13"/>
      <c r="AR482" s="14"/>
      <c r="AS482" s="15"/>
    </row>
    <row r="483" spans="1:45" s="17" customFormat="1" ht="30.95" hidden="1" customHeight="1" x14ac:dyDescent="0.2">
      <c r="A483" s="37"/>
      <c r="B483" s="38"/>
      <c r="C483" s="45"/>
      <c r="D483" s="31">
        <v>3703988</v>
      </c>
      <c r="E483" s="31">
        <v>4140922</v>
      </c>
      <c r="F483" s="268" t="str">
        <f>IF(D483="","",VLOOKUP(D483,契約台帳!$A$3:$K$4986,6,FALSE)&amp;VLOOKUP(D483,契約台帳!$A$3:$K$4986,7,FALSE)&amp;VLOOKUP(D483,契約台帳!$A$3:$K$4986,8,FALSE)&amp;VLOOKUP(D483,契約台帳!$A$3:$K$4986,9,FALSE)&amp;VLOOKUP(D483,契約台帳!$A$3:$K$4986,11,FALSE))</f>
        <v>3SNMCLBNGKVB</v>
      </c>
      <c r="G483" s="269" t="str">
        <f>IF(D483="","",VLOOKUP(F483,製品マスタ!$G$5:$H$5002,2,FALSE))</f>
        <v>S</v>
      </c>
      <c r="H483" s="269" t="str">
        <f>IF(D483="","",VLOOKUP(F483,製品マスタ!$G$5:$K$5002,5,FALSE))</f>
        <v>NGKVB</v>
      </c>
      <c r="I483" s="270" t="str">
        <f>IF(D483="","",VLOOKUP(F483,製品マスタ!$G$5:$L$5002,6,FALSE))</f>
        <v>メタルミー　ネーマー銀消　ＶＢ</v>
      </c>
      <c r="J483" s="210" t="s">
        <v>1051</v>
      </c>
      <c r="K483" s="270">
        <f>IF(D483="","",VLOOKUP(D483,契約台帳!$A$3:$L$4986,12,FALSE))</f>
        <v>50</v>
      </c>
      <c r="L483" s="270" t="str">
        <f>IF(D483="","",INDEX(製品マスタ!$Q$5:$Q$5002,MATCH('S4'!F483&amp;'S4'!K483,製品マスタ!$AO$5:$AO$5002,0)))</f>
        <v>MAT</v>
      </c>
      <c r="M483" s="39">
        <v>1005</v>
      </c>
      <c r="N483" s="39">
        <v>12300</v>
      </c>
      <c r="O483" s="156">
        <v>1</v>
      </c>
      <c r="P483" s="47">
        <v>1</v>
      </c>
      <c r="Q483" s="57"/>
      <c r="R483" s="271">
        <f ca="1">IF(D483="","",IF(OFFSET(D483,-1,0)&lt;&gt;"","",IF(OR(J483="リード付け",J483="巻足し",J483="巻返しリード付け"),M483,VLOOKUP(D483,契約台帳!$A$3:$N$4986,14,FALSE))))</f>
        <v>1005</v>
      </c>
      <c r="S483" s="272">
        <f ca="1">IF(D483="","",IF(OFFSET(D483,-1,0)&lt;&gt;"","",IF(OR(J483="リード付け",J483="巻足し",J483="巻返しリード付け"),M483,VLOOKUP(D483,契約台帳!$A$3:$O$4986,15,FALSE))))</f>
        <v>1000</v>
      </c>
      <c r="T483" s="273">
        <f ca="1">IF(D483="","",IF(J483="リード付け",N483,IF(J483="巻返しリード付け",N483,IF(J483="巻足し",N483*P483+OFFSET(N483,1,0)*OFFSET(P483,1,0),VLOOKUP(D483,契約台帳!$A$3:$P$4986,16,FALSE)))))</f>
        <v>4000</v>
      </c>
      <c r="U483" s="40">
        <v>3</v>
      </c>
      <c r="V483" s="274">
        <f ca="1">IF(D483="","",IF(OFFSET(D483,-2,0)=D483,"",VLOOKUP(D483,契約台帳!$A$3:$R$4986,18,FALSE)))</f>
        <v>3</v>
      </c>
      <c r="W483" s="269" t="str">
        <f ca="1">IF(D483="","",IF(T483="","",IF(OR(J483="巻足し",J483="巻返しリード付け"),"",IF(J483="巻返し",VLOOKUP(F483&amp;K483&amp;M483,製品マスタ!$M$5:$AD$5002,18,FALSE),IF(OR(J483="リード付け",J483="巻返しリード付け"),"原反コア",IF(J483="スリット",VLOOKUP(F483&amp;K483&amp;R483,製品マスタ!$N$5:$AD$5002,17,FALSE),""))))))</f>
        <v>6ｲﾝﾁMｺｱ</v>
      </c>
      <c r="X483" s="269">
        <f ca="1">IF(D483="","",IF(T483="","",IF(J483="巻足し","",IF(J483="巻返し",VLOOKUP(F483&amp;K483&amp;M483,製品マスタ!$M$5:$AE$5002,19,FALSE),IF(OR(J483="リード付け",J483="巻返しリード付け"),"",IF(J483="スリット",VLOOKUP(F483&amp;K483&amp;R483,製品マスタ!$N$5:$AE$5002,18,FALSE),""))))))</f>
        <v>1015</v>
      </c>
      <c r="Y483" s="275">
        <f ca="1">IF(D483="","",IF(T483="","",VLOOKUP(D483,契約台帳!$A$3:$Q$4986,17,FALSE)))</f>
        <v>2</v>
      </c>
      <c r="Z483" s="269" t="str">
        <f ca="1">IF(D483="","",IF(T483="","",VLOOKUP(D483,契約台帳!$A$3:$E$4986,5,FALSE)))</f>
        <v>リンテック㈱</v>
      </c>
      <c r="AA483" s="57"/>
      <c r="AB483" s="207">
        <f>IFERROR((VLOOKUP(F483&amp;K483&amp;M483,製品マスタ!$M$5:$AM$5002,27,FALSE)),"")</f>
        <v>0</v>
      </c>
      <c r="AC483" s="33"/>
      <c r="AD483" s="189"/>
      <c r="AE483" s="54"/>
      <c r="AF483" s="55"/>
      <c r="AG483" s="43"/>
      <c r="AH483" s="47"/>
      <c r="AI483" s="30"/>
      <c r="AJ483" s="30"/>
      <c r="AK483" s="30"/>
      <c r="AL483" s="30"/>
      <c r="AM483" s="13"/>
      <c r="AN483" s="13"/>
      <c r="AO483" s="13"/>
      <c r="AP483" s="13"/>
      <c r="AQ483" s="13"/>
      <c r="AR483" s="14"/>
      <c r="AS483" s="15"/>
    </row>
    <row r="484" spans="1:45" s="17" customFormat="1" ht="30.95" hidden="1" customHeight="1" x14ac:dyDescent="0.2">
      <c r="A484" s="37"/>
      <c r="B484" s="38"/>
      <c r="C484" s="45"/>
      <c r="D484" s="31"/>
      <c r="E484" s="31"/>
      <c r="F484" s="268" t="str">
        <f>IF(D484="","",VLOOKUP(D484,契約台帳!$A$3:$K$4986,6,FALSE)&amp;VLOOKUP(D484,契約台帳!$A$3:$K$4986,7,FALSE)&amp;VLOOKUP(D484,契約台帳!$A$3:$K$4986,8,FALSE)&amp;VLOOKUP(D484,契約台帳!$A$3:$K$4986,9,FALSE)&amp;VLOOKUP(D484,契約台帳!$A$3:$K$4986,11,FALSE))</f>
        <v/>
      </c>
      <c r="G484" s="269" t="str">
        <f>IF(D484="","",VLOOKUP(F484,製品マスタ!$G$5:$H$5002,2,FALSE))</f>
        <v/>
      </c>
      <c r="H484" s="269" t="str">
        <f>IF(D484="","",VLOOKUP(F484,製品マスタ!$G$5:$K$5002,5,FALSE))</f>
        <v/>
      </c>
      <c r="I484" s="270" t="str">
        <f>IF(D484="","",VLOOKUP(F484,製品マスタ!$G$5:$L$5002,6,FALSE))</f>
        <v/>
      </c>
      <c r="J484" s="210"/>
      <c r="K484" s="270" t="str">
        <f>IF(D484="","",VLOOKUP(D484,契約台帳!$A$3:$L$4986,12,FALSE))</f>
        <v/>
      </c>
      <c r="L484" s="270" t="str">
        <f>IF(D484="","",INDEX(製品マスタ!$Q$5:$Q$5002,MATCH('S4'!F484&amp;'S4'!K484,製品マスタ!$AO$5:$AO$5002,0)))</f>
        <v/>
      </c>
      <c r="M484" s="39"/>
      <c r="N484" s="39"/>
      <c r="O484" s="156"/>
      <c r="P484" s="47"/>
      <c r="Q484" s="57"/>
      <c r="R484" s="271" t="str">
        <f ca="1">IF(D484="","",IF(OFFSET(D484,-1,0)&lt;&gt;"","",IF(OR(J484="リード付け",J484="巻足し",J484="巻返しリード付け"),M484,VLOOKUP(D484,契約台帳!$A$3:$N$4986,14,FALSE))))</f>
        <v/>
      </c>
      <c r="S484" s="272" t="str">
        <f ca="1">IF(D484="","",IF(OFFSET(D484,-1,0)&lt;&gt;"","",IF(OR(J484="リード付け",J484="巻足し",J484="巻返しリード付け"),M484,VLOOKUP(D484,契約台帳!$A$3:$O$4986,15,FALSE))))</f>
        <v/>
      </c>
      <c r="T484" s="273" t="str">
        <f ca="1">IF(D484="","",IF(J484="リード付け",N484,IF(J484="巻返しリード付け",N484,IF(J484="巻足し",N484*P484+OFFSET(N484,1,0)*OFFSET(P484,1,0),VLOOKUP(D484,契約台帳!$A$3:$P$4986,16,FALSE)))))</f>
        <v/>
      </c>
      <c r="U484" s="40"/>
      <c r="V484" s="274" t="str">
        <f ca="1">IF(D484="","",IF(OFFSET(D484,-2,0)=D484,"",VLOOKUP(D484,契約台帳!$A$3:$R$4986,18,FALSE)))</f>
        <v/>
      </c>
      <c r="W484" s="269" t="str">
        <f>IF(D484="","",IF(T484="","",IF(OR(J484="巻足し",J484="巻返しリード付け"),"",IF(J484="巻返し",VLOOKUP(F484&amp;K484&amp;M484,製品マスタ!$M$5:$AD$5002,18,FALSE),IF(OR(J484="リード付け",J484="巻返しリード付け"),"原反コア",IF(J484="スリット",VLOOKUP(F484&amp;K484&amp;R484,製品マスタ!$N$5:$AD$5002,17,FALSE),""))))))</f>
        <v/>
      </c>
      <c r="X484" s="269" t="str">
        <f>IF(D484="","",IF(T484="","",IF(J484="巻足し","",IF(J484="巻返し",VLOOKUP(F484&amp;K484&amp;M484,製品マスタ!$M$5:$AE$5002,19,FALSE),IF(OR(J484="リード付け",J484="巻返しリード付け"),"",IF(J484="スリット",VLOOKUP(F484&amp;K484&amp;R484,製品マスタ!$N$5:$AE$5002,18,FALSE),""))))))</f>
        <v/>
      </c>
      <c r="Y484" s="275" t="str">
        <f>IF(D484="","",IF(T484="","",VLOOKUP(D484,契約台帳!$A$3:$Q$4986,17,FALSE)))</f>
        <v/>
      </c>
      <c r="Z484" s="269" t="str">
        <f>IF(D484="","",IF(T484="","",VLOOKUP(D484,契約台帳!$A$3:$E$4986,5,FALSE)))</f>
        <v/>
      </c>
      <c r="AA484" s="57"/>
      <c r="AB484" s="207" t="str">
        <f>IFERROR((VLOOKUP(F484&amp;K484&amp;M484,製品マスタ!$M$5:$AM$5002,27,FALSE)),"")</f>
        <v/>
      </c>
      <c r="AC484" s="33"/>
      <c r="AD484" s="189"/>
      <c r="AE484" s="54"/>
      <c r="AF484" s="55"/>
      <c r="AG484" s="43"/>
      <c r="AH484" s="47"/>
      <c r="AI484" s="30"/>
      <c r="AJ484" s="30"/>
      <c r="AK484" s="30"/>
      <c r="AL484" s="30"/>
      <c r="AM484" s="13"/>
      <c r="AN484" s="13"/>
      <c r="AO484" s="13"/>
      <c r="AP484" s="13"/>
      <c r="AQ484" s="13"/>
      <c r="AR484" s="14"/>
      <c r="AS484" s="15"/>
    </row>
    <row r="485" spans="1:45" s="17" customFormat="1" ht="30.95" hidden="1" customHeight="1" x14ac:dyDescent="0.2">
      <c r="A485" s="37"/>
      <c r="B485" s="38"/>
      <c r="C485" s="45"/>
      <c r="D485" s="31">
        <v>3703989</v>
      </c>
      <c r="E485" s="31">
        <v>4140914</v>
      </c>
      <c r="F485" s="268" t="str">
        <f>IF(D485="","",VLOOKUP(D485,契約台帳!$A$3:$K$4986,6,FALSE)&amp;VLOOKUP(D485,契約台帳!$A$3:$K$4986,7,FALSE)&amp;VLOOKUP(D485,契約台帳!$A$3:$K$4986,8,FALSE)&amp;VLOOKUP(D485,契約台帳!$A$3:$K$4986,9,FALSE)&amp;VLOOKUP(D485,契約台帳!$A$3:$K$4986,11,FALSE))</f>
        <v>33SSNMCLBTEKV0V</v>
      </c>
      <c r="G485" s="269" t="str">
        <f>IF(D485="","",VLOOKUP(F485,製品マスタ!$G$5:$H$5002,2,FALSE))</f>
        <v>S</v>
      </c>
      <c r="H485" s="269" t="str">
        <f>IF(D485="","",VLOOKUP(F485,製品マスタ!$G$5:$K$5002,5,FALSE))</f>
        <v>TEKV0V</v>
      </c>
      <c r="I485" s="270" t="str">
        <f>IF(D485="","",VLOOKUP(F485,製品マスタ!$G$5:$L$5002,6,FALSE))</f>
        <v>メタルミー　ＴＥ－Ｓ消　ＶＯＩＤ　Ｖ</v>
      </c>
      <c r="J485" s="210" t="s">
        <v>1051</v>
      </c>
      <c r="K485" s="270">
        <f>IF(D485="","",VLOOKUP(D485,契約台帳!$A$3:$L$4986,12,FALSE))</f>
        <v>50</v>
      </c>
      <c r="L485" s="270" t="str">
        <f>IF(D485="","",INDEX(製品マスタ!$Q$5:$Q$5002,MATCH('S4'!F485&amp;'S4'!K485,製品マスタ!$AO$5:$AO$5002,0)))</f>
        <v>X44SEPA</v>
      </c>
      <c r="M485" s="39">
        <v>1005</v>
      </c>
      <c r="N485" s="39">
        <v>12000</v>
      </c>
      <c r="O485" s="156">
        <v>1</v>
      </c>
      <c r="P485" s="47">
        <v>1</v>
      </c>
      <c r="Q485" s="57"/>
      <c r="R485" s="271">
        <f ca="1">IF(D485="","",IF(OFFSET(D485,-1,0)&lt;&gt;"","",IF(OR(J485="リード付け",J485="巻足し",J485="巻返しリード付け"),M485,VLOOKUP(D485,契約台帳!$A$3:$N$4986,14,FALSE))))</f>
        <v>1005</v>
      </c>
      <c r="S485" s="272">
        <f ca="1">IF(D485="","",IF(OFFSET(D485,-1,0)&lt;&gt;"","",IF(OR(J485="リード付け",J485="巻足し",J485="巻返しリード付け"),M485,VLOOKUP(D485,契約台帳!$A$3:$O$4986,15,FALSE))))</f>
        <v>1000</v>
      </c>
      <c r="T485" s="273">
        <f ca="1">IF(D485="","",IF(J485="リード付け",N485,IF(J485="巻返しリード付け",N485,IF(J485="巻足し",N485*P485+OFFSET(N485,1,0)*OFFSET(P485,1,0),VLOOKUP(D485,契約台帳!$A$3:$P$4986,16,FALSE)))))</f>
        <v>4000</v>
      </c>
      <c r="U485" s="40">
        <v>3</v>
      </c>
      <c r="V485" s="274">
        <f ca="1">IF(D485="","",IF(OFFSET(D485,-2,0)=D485,"",VLOOKUP(D485,契約台帳!$A$3:$R$4986,18,FALSE)))</f>
        <v>3</v>
      </c>
      <c r="W485" s="269" t="str">
        <f ca="1">IF(D485="","",IF(T485="","",IF(OR(J485="巻足し",J485="巻返しリード付け"),"",IF(J485="巻返し",VLOOKUP(F485&amp;K485&amp;M485,製品マスタ!$M$5:$AD$5002,18,FALSE),IF(OR(J485="リード付け",J485="巻返しリード付け"),"原反コア",IF(J485="スリット",VLOOKUP(F485&amp;K485&amp;R485,製品マスタ!$N$5:$AD$5002,17,FALSE),""))))))</f>
        <v>6ｲﾝﾁSｺｱ</v>
      </c>
      <c r="X485" s="269">
        <f ca="1">IF(D485="","",IF(T485="","",IF(J485="巻足し","",IF(J485="巻返し",VLOOKUP(F485&amp;K485&amp;M485,製品マスタ!$M$5:$AE$5002,19,FALSE),IF(OR(J485="リード付け",J485="巻返しリード付け"),"",IF(J485="スリット",VLOOKUP(F485&amp;K485&amp;R485,製品マスタ!$N$5:$AE$5002,18,FALSE),""))))))</f>
        <v>1015</v>
      </c>
      <c r="Y485" s="275">
        <f ca="1">IF(D485="","",IF(T485="","",VLOOKUP(D485,契約台帳!$A$3:$Q$4986,17,FALSE)))</f>
        <v>2</v>
      </c>
      <c r="Z485" s="269" t="str">
        <f ca="1">IF(D485="","",IF(T485="","",VLOOKUP(D485,契約台帳!$A$3:$E$4986,5,FALSE)))</f>
        <v>リンテック㈱</v>
      </c>
      <c r="AA485" s="57"/>
      <c r="AB485" s="207">
        <f>IFERROR((VLOOKUP(F485&amp;K485&amp;M485,製品マスタ!$M$5:$AM$5002,27,FALSE)),"")</f>
        <v>0</v>
      </c>
      <c r="AC485" s="33"/>
      <c r="AD485" s="189"/>
      <c r="AE485" s="54"/>
      <c r="AF485" s="55"/>
      <c r="AG485" s="43"/>
      <c r="AH485" s="47"/>
      <c r="AI485" s="30"/>
      <c r="AJ485" s="30"/>
      <c r="AK485" s="30"/>
      <c r="AL485" s="30"/>
      <c r="AM485" s="13"/>
      <c r="AN485" s="13"/>
      <c r="AO485" s="13"/>
      <c r="AP485" s="13"/>
      <c r="AQ485" s="13"/>
      <c r="AR485" s="14"/>
      <c r="AS485" s="15"/>
    </row>
    <row r="486" spans="1:45" s="17" customFormat="1" ht="30.95" hidden="1" customHeight="1" x14ac:dyDescent="0.2">
      <c r="A486" s="37"/>
      <c r="B486" s="38"/>
      <c r="C486" s="45"/>
      <c r="D486" s="31"/>
      <c r="E486" s="31"/>
      <c r="F486" s="268" t="str">
        <f>IF(D486="","",VLOOKUP(D486,契約台帳!$A$3:$K$4986,6,FALSE)&amp;VLOOKUP(D486,契約台帳!$A$3:$K$4986,7,FALSE)&amp;VLOOKUP(D486,契約台帳!$A$3:$K$4986,8,FALSE)&amp;VLOOKUP(D486,契約台帳!$A$3:$K$4986,9,FALSE)&amp;VLOOKUP(D486,契約台帳!$A$3:$K$4986,11,FALSE))</f>
        <v/>
      </c>
      <c r="G486" s="269" t="str">
        <f>IF(D486="","",VLOOKUP(F486,製品マスタ!$G$5:$H$5002,2,FALSE))</f>
        <v/>
      </c>
      <c r="H486" s="269" t="str">
        <f>IF(D486="","",VLOOKUP(F486,製品マスタ!$G$5:$K$5002,5,FALSE))</f>
        <v/>
      </c>
      <c r="I486" s="270" t="str">
        <f>IF(D486="","",VLOOKUP(F486,製品マスタ!$G$5:$L$5002,6,FALSE))</f>
        <v/>
      </c>
      <c r="J486" s="210"/>
      <c r="K486" s="270" t="str">
        <f>IF(D486="","",VLOOKUP(D486,契約台帳!$A$3:$L$4986,12,FALSE))</f>
        <v/>
      </c>
      <c r="L486" s="270" t="str">
        <f>IF(D486="","",INDEX(製品マスタ!$Q$5:$Q$5002,MATCH('S4'!F486&amp;'S4'!K486,製品マスタ!$AO$5:$AO$5002,0)))</f>
        <v/>
      </c>
      <c r="M486" s="39"/>
      <c r="N486" s="39"/>
      <c r="O486" s="156"/>
      <c r="P486" s="47"/>
      <c r="Q486" s="57"/>
      <c r="R486" s="271" t="str">
        <f ca="1">IF(D486="","",IF(OFFSET(D486,-1,0)&lt;&gt;"","",IF(OR(J486="リード付け",J486="巻足し",J486="巻返しリード付け"),M486,VLOOKUP(D486,契約台帳!$A$3:$N$4986,14,FALSE))))</f>
        <v/>
      </c>
      <c r="S486" s="272" t="str">
        <f ca="1">IF(D486="","",IF(OFFSET(D486,-1,0)&lt;&gt;"","",IF(OR(J486="リード付け",J486="巻足し",J486="巻返しリード付け"),M486,VLOOKUP(D486,契約台帳!$A$3:$O$4986,15,FALSE))))</f>
        <v/>
      </c>
      <c r="T486" s="273" t="str">
        <f ca="1">IF(D486="","",IF(J486="リード付け",N486,IF(J486="巻返しリード付け",N486,IF(J486="巻足し",N486*P486+OFFSET(N486,1,0)*OFFSET(P486,1,0),VLOOKUP(D486,契約台帳!$A$3:$P$4986,16,FALSE)))))</f>
        <v/>
      </c>
      <c r="U486" s="40"/>
      <c r="V486" s="274" t="str">
        <f ca="1">IF(D486="","",IF(OFFSET(D486,-2,0)=D486,"",VLOOKUP(D486,契約台帳!$A$3:$R$4986,18,FALSE)))</f>
        <v/>
      </c>
      <c r="W486" s="269" t="str">
        <f>IF(D486="","",IF(T486="","",IF(OR(J486="巻足し",J486="巻返しリード付け"),"",IF(J486="巻返し",VLOOKUP(F486&amp;K486&amp;M486,製品マスタ!$M$5:$AD$5002,18,FALSE),IF(OR(J486="リード付け",J486="巻返しリード付け"),"原反コア",IF(J486="スリット",VLOOKUP(F486&amp;K486&amp;R486,製品マスタ!$N$5:$AD$5002,17,FALSE),""))))))</f>
        <v/>
      </c>
      <c r="X486" s="269" t="str">
        <f>IF(D486="","",IF(T486="","",IF(J486="巻足し","",IF(J486="巻返し",VLOOKUP(F486&amp;K486&amp;M486,製品マスタ!$M$5:$AE$5002,19,FALSE),IF(OR(J486="リード付け",J486="巻返しリード付け"),"",IF(J486="スリット",VLOOKUP(F486&amp;K486&amp;R486,製品マスタ!$N$5:$AE$5002,18,FALSE),""))))))</f>
        <v/>
      </c>
      <c r="Y486" s="275" t="str">
        <f>IF(D486="","",IF(T486="","",VLOOKUP(D486,契約台帳!$A$3:$Q$4986,17,FALSE)))</f>
        <v/>
      </c>
      <c r="Z486" s="269" t="str">
        <f>IF(D486="","",IF(T486="","",VLOOKUP(D486,契約台帳!$A$3:$E$4986,5,FALSE)))</f>
        <v/>
      </c>
      <c r="AA486" s="57"/>
      <c r="AB486" s="207" t="str">
        <f>IFERROR((VLOOKUP(F486&amp;K486&amp;M486,製品マスタ!$M$5:$AM$5002,27,FALSE)),"")</f>
        <v/>
      </c>
      <c r="AC486" s="33"/>
      <c r="AD486" s="189"/>
      <c r="AE486" s="54"/>
      <c r="AF486" s="55"/>
      <c r="AG486" s="43"/>
      <c r="AH486" s="47"/>
      <c r="AI486" s="30"/>
      <c r="AJ486" s="30"/>
      <c r="AK486" s="30"/>
      <c r="AL486" s="30"/>
      <c r="AM486" s="13"/>
      <c r="AN486" s="13"/>
      <c r="AO486" s="13"/>
      <c r="AP486" s="13"/>
      <c r="AQ486" s="13"/>
      <c r="AR486" s="14"/>
      <c r="AS486" s="15"/>
    </row>
    <row r="487" spans="1:45" s="17" customFormat="1" ht="30.95" hidden="1" customHeight="1" x14ac:dyDescent="0.2">
      <c r="A487" s="37"/>
      <c r="B487" s="38"/>
      <c r="C487" s="45"/>
      <c r="D487" s="31">
        <v>3703987</v>
      </c>
      <c r="E487" s="31">
        <v>4140916</v>
      </c>
      <c r="F487" s="268" t="str">
        <f>IF(D487="","",VLOOKUP(D487,契約台帳!$A$3:$K$4986,6,FALSE)&amp;VLOOKUP(D487,契約台帳!$A$3:$K$4986,7,FALSE)&amp;VLOOKUP(D487,契約台帳!$A$3:$K$4986,8,FALSE)&amp;VLOOKUP(D487,契約台帳!$A$3:$K$4986,9,FALSE)&amp;VLOOKUP(D487,契約台帳!$A$3:$K$4986,11,FALSE))</f>
        <v>3SNMCLBHLGTV</v>
      </c>
      <c r="G487" s="269" t="str">
        <f>IF(D487="","",VLOOKUP(F487,製品マスタ!$G$5:$H$5002,2,FALSE))</f>
        <v>S</v>
      </c>
      <c r="H487" s="269" t="str">
        <f>IF(D487="","",VLOOKUP(F487,製品マスタ!$G$5:$K$5002,5,FALSE))</f>
        <v>HLGTV</v>
      </c>
      <c r="I487" s="270" t="str">
        <f>IF(D487="","",VLOOKUP(F487,製品マスタ!$G$5:$L$5002,6,FALSE))</f>
        <v>メタルミー　ヘヤライン　銀艶Ｖ</v>
      </c>
      <c r="J487" s="210" t="s">
        <v>1051</v>
      </c>
      <c r="K487" s="270">
        <f>IF(D487="","",VLOOKUP(D487,契約台帳!$A$3:$L$4986,12,FALSE))</f>
        <v>50</v>
      </c>
      <c r="L487" s="270" t="str">
        <f>IF(D487="","",INDEX(製品マスタ!$Q$5:$Q$5002,MATCH('S4'!F487&amp;'S4'!K487,製品マスタ!$AO$5:$AO$5002,0)))</f>
        <v>BRIGHT</v>
      </c>
      <c r="M487" s="39">
        <v>1005</v>
      </c>
      <c r="N487" s="39">
        <v>12300</v>
      </c>
      <c r="O487" s="156">
        <v>1</v>
      </c>
      <c r="P487" s="47">
        <v>1</v>
      </c>
      <c r="Q487" s="57"/>
      <c r="R487" s="271">
        <f ca="1">IF(D487="","",IF(OFFSET(D487,-1,0)&lt;&gt;"","",IF(OR(J487="リード付け",J487="巻足し",J487="巻返しリード付け"),M487,VLOOKUP(D487,契約台帳!$A$3:$N$4986,14,FALSE))))</f>
        <v>1005</v>
      </c>
      <c r="S487" s="272">
        <f ca="1">IF(D487="","",IF(OFFSET(D487,-1,0)&lt;&gt;"","",IF(OR(J487="リード付け",J487="巻足し",J487="巻返しリード付け"),M487,VLOOKUP(D487,契約台帳!$A$3:$O$4986,15,FALSE))))</f>
        <v>1000</v>
      </c>
      <c r="T487" s="273">
        <f ca="1">IF(D487="","",IF(J487="リード付け",N487,IF(J487="巻返しリード付け",N487,IF(J487="巻足し",N487*P487+OFFSET(N487,1,0)*OFFSET(P487,1,0),VLOOKUP(D487,契約台帳!$A$3:$P$4986,16,FALSE)))))</f>
        <v>4000</v>
      </c>
      <c r="U487" s="40">
        <v>3</v>
      </c>
      <c r="V487" s="274">
        <f ca="1">IF(D487="","",IF(OFFSET(D487,-2,0)=D487,"",VLOOKUP(D487,契約台帳!$A$3:$R$4986,18,FALSE)))</f>
        <v>3</v>
      </c>
      <c r="W487" s="269" t="str">
        <f ca="1">IF(D487="","",IF(T487="","",IF(OR(J487="巻足し",J487="巻返しリード付け"),"",IF(J487="巻返し",VLOOKUP(F487&amp;K487&amp;M487,製品マスタ!$M$5:$AD$5002,18,FALSE),IF(OR(J487="リード付け",J487="巻返しリード付け"),"原反コア",IF(J487="スリット",VLOOKUP(F487&amp;K487&amp;R487,製品マスタ!$N$5:$AD$5002,17,FALSE),""))))))</f>
        <v>6ｲﾝﾁSｺｱ</v>
      </c>
      <c r="X487" s="269">
        <f ca="1">IF(D487="","",IF(T487="","",IF(J487="巻足し","",IF(J487="巻返し",VLOOKUP(F487&amp;K487&amp;M487,製品マスタ!$M$5:$AE$5002,19,FALSE),IF(OR(J487="リード付け",J487="巻返しリード付け"),"",IF(J487="スリット",VLOOKUP(F487&amp;K487&amp;R487,製品マスタ!$N$5:$AE$5002,18,FALSE),""))))))</f>
        <v>1015</v>
      </c>
      <c r="Y487" s="275">
        <f ca="1">IF(D487="","",IF(T487="","",VLOOKUP(D487,契約台帳!$A$3:$Q$4986,17,FALSE)))</f>
        <v>2</v>
      </c>
      <c r="Z487" s="269" t="str">
        <f ca="1">IF(D487="","",IF(T487="","",VLOOKUP(D487,契約台帳!$A$3:$E$4986,5,FALSE)))</f>
        <v>リンテック㈱</v>
      </c>
      <c r="AA487" s="57"/>
      <c r="AB487" s="207">
        <f>IFERROR((VLOOKUP(F487&amp;K487&amp;M487,製品マスタ!$M$5:$AM$5002,27,FALSE)),"")</f>
        <v>0</v>
      </c>
      <c r="AC487" s="33"/>
      <c r="AD487" s="189"/>
      <c r="AE487" s="54"/>
      <c r="AF487" s="55"/>
      <c r="AG487" s="43"/>
      <c r="AH487" s="47"/>
      <c r="AI487" s="30"/>
      <c r="AJ487" s="30"/>
      <c r="AK487" s="30"/>
      <c r="AL487" s="30"/>
      <c r="AM487" s="13"/>
      <c r="AN487" s="13"/>
      <c r="AO487" s="13"/>
      <c r="AP487" s="13"/>
      <c r="AQ487" s="13"/>
      <c r="AR487" s="14"/>
      <c r="AS487" s="15"/>
    </row>
    <row r="488" spans="1:45" s="17" customFormat="1" ht="30.95" hidden="1" customHeight="1" x14ac:dyDescent="0.2">
      <c r="A488" s="37"/>
      <c r="B488" s="38"/>
      <c r="C488" s="45"/>
      <c r="D488" s="31"/>
      <c r="E488" s="31"/>
      <c r="F488" s="268" t="str">
        <f>IF(D488="","",VLOOKUP(D488,契約台帳!$A$3:$K$4986,6,FALSE)&amp;VLOOKUP(D488,契約台帳!$A$3:$K$4986,7,FALSE)&amp;VLOOKUP(D488,契約台帳!$A$3:$K$4986,8,FALSE)&amp;VLOOKUP(D488,契約台帳!$A$3:$K$4986,9,FALSE)&amp;VLOOKUP(D488,契約台帳!$A$3:$K$4986,11,FALSE))</f>
        <v/>
      </c>
      <c r="G488" s="269" t="str">
        <f>IF(D488="","",VLOOKUP(F488,製品マスタ!$G$5:$H$5002,2,FALSE))</f>
        <v/>
      </c>
      <c r="H488" s="269" t="str">
        <f>IF(D488="","",VLOOKUP(F488,製品マスタ!$G$5:$K$5002,5,FALSE))</f>
        <v/>
      </c>
      <c r="I488" s="270" t="str">
        <f>IF(D488="","",VLOOKUP(F488,製品マスタ!$G$5:$L$5002,6,FALSE))</f>
        <v/>
      </c>
      <c r="J488" s="210"/>
      <c r="K488" s="270" t="str">
        <f>IF(D488="","",VLOOKUP(D488,契約台帳!$A$3:$L$4986,12,FALSE))</f>
        <v/>
      </c>
      <c r="L488" s="270" t="str">
        <f>IF(D488="","",INDEX(製品マスタ!$Q$5:$Q$5002,MATCH('S4'!F488&amp;'S4'!K488,製品マスタ!$AO$5:$AO$5002,0)))</f>
        <v/>
      </c>
      <c r="M488" s="39"/>
      <c r="N488" s="39"/>
      <c r="O488" s="156"/>
      <c r="P488" s="47"/>
      <c r="Q488" s="57"/>
      <c r="R488" s="271" t="str">
        <f ca="1">IF(D488="","",IF(OFFSET(D488,-1,0)&lt;&gt;"","",IF(OR(J488="リード付け",J488="巻足し",J488="巻返しリード付け"),M488,VLOOKUP(D488,契約台帳!$A$3:$N$4986,14,FALSE))))</f>
        <v/>
      </c>
      <c r="S488" s="272" t="str">
        <f ca="1">IF(D488="","",IF(OFFSET(D488,-1,0)&lt;&gt;"","",IF(OR(J488="リード付け",J488="巻足し",J488="巻返しリード付け"),M488,VLOOKUP(D488,契約台帳!$A$3:$O$4986,15,FALSE))))</f>
        <v/>
      </c>
      <c r="T488" s="273" t="str">
        <f ca="1">IF(D488="","",IF(J488="リード付け",N488,IF(J488="巻返しリード付け",N488,IF(J488="巻足し",N488*P488+OFFSET(N488,1,0)*OFFSET(P488,1,0),VLOOKUP(D488,契約台帳!$A$3:$P$4986,16,FALSE)))))</f>
        <v/>
      </c>
      <c r="U488" s="40"/>
      <c r="V488" s="274" t="str">
        <f ca="1">IF(D488="","",IF(OFFSET(D488,-2,0)=D488,"",VLOOKUP(D488,契約台帳!$A$3:$R$4986,18,FALSE)))</f>
        <v/>
      </c>
      <c r="W488" s="269" t="str">
        <f>IF(D488="","",IF(T488="","",IF(OR(J488="巻足し",J488="巻返しリード付け"),"",IF(J488="巻返し",VLOOKUP(F488&amp;K488&amp;M488,製品マスタ!$M$5:$AD$5002,18,FALSE),IF(OR(J488="リード付け",J488="巻返しリード付け"),"原反コア",IF(J488="スリット",VLOOKUP(F488&amp;K488&amp;R488,製品マスタ!$N$5:$AD$5002,17,FALSE),""))))))</f>
        <v/>
      </c>
      <c r="X488" s="269" t="str">
        <f>IF(D488="","",IF(T488="","",IF(J488="巻足し","",IF(J488="巻返し",VLOOKUP(F488&amp;K488&amp;M488,製品マスタ!$M$5:$AE$5002,19,FALSE),IF(OR(J488="リード付け",J488="巻返しリード付け"),"",IF(J488="スリット",VLOOKUP(F488&amp;K488&amp;R488,製品マスタ!$N$5:$AE$5002,18,FALSE),""))))))</f>
        <v/>
      </c>
      <c r="Y488" s="275" t="str">
        <f>IF(D488="","",IF(T488="","",VLOOKUP(D488,契約台帳!$A$3:$Q$4986,17,FALSE)))</f>
        <v/>
      </c>
      <c r="Z488" s="269" t="str">
        <f>IF(D488="","",IF(T488="","",VLOOKUP(D488,契約台帳!$A$3:$E$4986,5,FALSE)))</f>
        <v/>
      </c>
      <c r="AA488" s="57"/>
      <c r="AB488" s="207" t="str">
        <f>IFERROR((VLOOKUP(F488&amp;K488&amp;M488,製品マスタ!$M$5:$AM$5002,27,FALSE)),"")</f>
        <v/>
      </c>
      <c r="AC488" s="33"/>
      <c r="AD488" s="189"/>
      <c r="AE488" s="54"/>
      <c r="AF488" s="55"/>
      <c r="AG488" s="43"/>
      <c r="AH488" s="47"/>
      <c r="AI488" s="30"/>
      <c r="AJ488" s="30"/>
      <c r="AK488" s="30"/>
      <c r="AL488" s="30"/>
      <c r="AM488" s="13"/>
      <c r="AN488" s="13"/>
      <c r="AO488" s="13"/>
      <c r="AP488" s="13"/>
      <c r="AQ488" s="13"/>
      <c r="AR488" s="14"/>
      <c r="AS488" s="15"/>
    </row>
    <row r="489" spans="1:45" s="17" customFormat="1" ht="30.95" hidden="1" customHeight="1" x14ac:dyDescent="0.2">
      <c r="A489" s="37" t="s">
        <v>1062</v>
      </c>
      <c r="B489" s="38" t="s">
        <v>1053</v>
      </c>
      <c r="C489" s="45"/>
      <c r="D489" s="31"/>
      <c r="E489" s="31"/>
      <c r="F489" s="268" t="str">
        <f>IF(D489="","",VLOOKUP(D489,契約台帳!$A$3:$K$4986,6,FALSE)&amp;VLOOKUP(D489,契約台帳!$A$3:$K$4986,7,FALSE)&amp;VLOOKUP(D489,契約台帳!$A$3:$K$4986,8,FALSE)&amp;VLOOKUP(D489,契約台帳!$A$3:$K$4986,9,FALSE)&amp;VLOOKUP(D489,契約台帳!$A$3:$K$4986,11,FALSE))</f>
        <v/>
      </c>
      <c r="G489" s="269" t="str">
        <f>IF(D489="","",VLOOKUP(F489,製品マスタ!$G$5:$H$5002,2,FALSE))</f>
        <v/>
      </c>
      <c r="H489" s="269" t="str">
        <f>IF(D489="","",VLOOKUP(F489,製品マスタ!$G$5:$K$5002,5,FALSE))</f>
        <v/>
      </c>
      <c r="I489" s="270" t="str">
        <f>IF(D489="","",VLOOKUP(F489,製品マスタ!$G$5:$L$5002,6,FALSE))</f>
        <v/>
      </c>
      <c r="J489" s="210" t="s">
        <v>1075</v>
      </c>
      <c r="K489" s="270" t="str">
        <f>IF(D489="","",VLOOKUP(D489,契約台帳!$A$3:$L$4986,12,FALSE))</f>
        <v/>
      </c>
      <c r="L489" s="270" t="str">
        <f>IF(D489="","",INDEX(製品マスタ!$Q$5:$Q$5002,MATCH('S4'!F489&amp;'S4'!K489,製品マスタ!$AO$5:$AO$5002,0)))</f>
        <v/>
      </c>
      <c r="M489" s="39"/>
      <c r="N489" s="39"/>
      <c r="O489" s="156"/>
      <c r="P489" s="47"/>
      <c r="Q489" s="57"/>
      <c r="R489" s="271" t="str">
        <f ca="1">IF(D489="","",IF(OFFSET(D489,-1,0)&lt;&gt;"","",IF(OR(J489="リード付け",J489="巻足し",J489="巻返しリード付け"),M489,VLOOKUP(D489,契約台帳!$A$3:$N$4986,14,FALSE))))</f>
        <v/>
      </c>
      <c r="S489" s="272" t="str">
        <f ca="1">IF(D489="","",IF(OFFSET(D489,-1,0)&lt;&gt;"","",IF(OR(J489="リード付け",J489="巻足し",J489="巻返しリード付け"),M489,VLOOKUP(D489,契約台帳!$A$3:$O$4986,15,FALSE))))</f>
        <v/>
      </c>
      <c r="T489" s="273" t="str">
        <f ca="1">IF(D489="","",IF(J489="リード付け",N489,IF(J489="巻返しリード付け",N489,IF(J489="巻足し",N489*P489+OFFSET(N489,1,0)*OFFSET(P489,1,0),VLOOKUP(D489,契約台帳!$A$3:$P$4986,16,FALSE)))))</f>
        <v/>
      </c>
      <c r="U489" s="40"/>
      <c r="V489" s="274" t="str">
        <f ca="1">IF(D489="","",IF(OFFSET(D489,-2,0)=D489,"",VLOOKUP(D489,契約台帳!$A$3:$R$4986,18,FALSE)))</f>
        <v/>
      </c>
      <c r="W489" s="269" t="str">
        <f>IF(D489="","",IF(T489="","",IF(OR(J489="巻足し",J489="巻返しリード付け"),"",IF(J489="巻返し",VLOOKUP(F489&amp;K489&amp;M489,製品マスタ!$M$5:$AD$5002,18,FALSE),IF(OR(J489="リード付け",J489="巻返しリード付け"),"原反コア",IF(J489="スリット",VLOOKUP(F489&amp;K489&amp;R489,製品マスタ!$N$5:$AD$5002,17,FALSE),""))))))</f>
        <v/>
      </c>
      <c r="X489" s="269" t="str">
        <f>IF(D489="","",IF(T489="","",IF(J489="巻足し","",IF(J489="巻返し",VLOOKUP(F489&amp;K489&amp;M489,製品マスタ!$M$5:$AE$5002,19,FALSE),IF(OR(J489="リード付け",J489="巻返しリード付け"),"",IF(J489="スリット",VLOOKUP(F489&amp;K489&amp;R489,製品マスタ!$N$5:$AE$5002,18,FALSE),""))))))</f>
        <v/>
      </c>
      <c r="Y489" s="275" t="str">
        <f>IF(D489="","",IF(T489="","",VLOOKUP(D489,契約台帳!$A$3:$Q$4986,17,FALSE)))</f>
        <v/>
      </c>
      <c r="Z489" s="269" t="str">
        <f>IF(D489="","",IF(T489="","",VLOOKUP(D489,契約台帳!$A$3:$E$4986,5,FALSE)))</f>
        <v/>
      </c>
      <c r="AA489" s="57"/>
      <c r="AB489" s="207" t="str">
        <f>IFERROR((VLOOKUP(F489&amp;K489&amp;M489,製品マスタ!$M$5:$AM$5002,27,FALSE)),"")</f>
        <v/>
      </c>
      <c r="AC489" s="33"/>
      <c r="AD489" s="189"/>
      <c r="AE489" s="54"/>
      <c r="AF489" s="55"/>
      <c r="AG489" s="43"/>
      <c r="AH489" s="47"/>
      <c r="AI489" s="30"/>
      <c r="AJ489" s="30"/>
      <c r="AK489" s="30"/>
      <c r="AL489" s="30"/>
      <c r="AM489" s="13"/>
      <c r="AN489" s="13"/>
      <c r="AO489" s="13"/>
      <c r="AP489" s="13"/>
      <c r="AQ489" s="13"/>
      <c r="AR489" s="14"/>
      <c r="AS489" s="15"/>
    </row>
    <row r="490" spans="1:45" s="17" customFormat="1" ht="30.95" hidden="1" customHeight="1" x14ac:dyDescent="0.2">
      <c r="A490" s="37"/>
      <c r="B490" s="38"/>
      <c r="C490" s="45"/>
      <c r="D490" s="31"/>
      <c r="E490" s="31"/>
      <c r="F490" s="268" t="str">
        <f>IF(D490="","",VLOOKUP(D490,契約台帳!$A$3:$K$4986,6,FALSE)&amp;VLOOKUP(D490,契約台帳!$A$3:$K$4986,7,FALSE)&amp;VLOOKUP(D490,契約台帳!$A$3:$K$4986,8,FALSE)&amp;VLOOKUP(D490,契約台帳!$A$3:$K$4986,9,FALSE)&amp;VLOOKUP(D490,契約台帳!$A$3:$K$4986,11,FALSE))</f>
        <v/>
      </c>
      <c r="G490" s="269" t="str">
        <f>IF(D490="","",VLOOKUP(F490,製品マスタ!$G$5:$H$5002,2,FALSE))</f>
        <v/>
      </c>
      <c r="H490" s="269" t="str">
        <f>IF(D490="","",VLOOKUP(F490,製品マスタ!$G$5:$K$5002,5,FALSE))</f>
        <v/>
      </c>
      <c r="I490" s="270" t="str">
        <f>IF(D490="","",VLOOKUP(F490,製品マスタ!$G$5:$L$5002,6,FALSE))</f>
        <v/>
      </c>
      <c r="J490" s="210"/>
      <c r="K490" s="270" t="str">
        <f>IF(D490="","",VLOOKUP(D490,契約台帳!$A$3:$L$4986,12,FALSE))</f>
        <v/>
      </c>
      <c r="L490" s="270" t="str">
        <f>IF(D490="","",INDEX(製品マスタ!$Q$5:$Q$5002,MATCH('S4'!F490&amp;'S4'!K490,製品マスタ!$AO$5:$AO$5002,0)))</f>
        <v/>
      </c>
      <c r="M490" s="39"/>
      <c r="N490" s="39"/>
      <c r="O490" s="156"/>
      <c r="P490" s="47"/>
      <c r="Q490" s="57"/>
      <c r="R490" s="271" t="str">
        <f ca="1">IF(D490="","",IF(OFFSET(D490,-1,0)&lt;&gt;"","",IF(OR(J490="リード付け",J490="巻足し",J490="巻返しリード付け"),M490,VLOOKUP(D490,契約台帳!$A$3:$N$4986,14,FALSE))))</f>
        <v/>
      </c>
      <c r="S490" s="272" t="str">
        <f ca="1">IF(D490="","",IF(OFFSET(D490,-1,0)&lt;&gt;"","",IF(OR(J490="リード付け",J490="巻足し",J490="巻返しリード付け"),M490,VLOOKUP(D490,契約台帳!$A$3:$O$4986,15,FALSE))))</f>
        <v/>
      </c>
      <c r="T490" s="273" t="str">
        <f ca="1">IF(D490="","",IF(J490="リード付け",N490,IF(J490="巻返しリード付け",N490,IF(J490="巻足し",N490*P490+OFFSET(N490,1,0)*OFFSET(P490,1,0),VLOOKUP(D490,契約台帳!$A$3:$P$4986,16,FALSE)))))</f>
        <v/>
      </c>
      <c r="U490" s="40"/>
      <c r="V490" s="274" t="str">
        <f ca="1">IF(D490="","",IF(OFFSET(D490,-2,0)=D490,"",VLOOKUP(D490,契約台帳!$A$3:$R$4986,18,FALSE)))</f>
        <v/>
      </c>
      <c r="W490" s="269" t="str">
        <f>IF(D490="","",IF(T490="","",IF(OR(J490="巻足し",J490="巻返しリード付け"),"",IF(J490="巻返し",VLOOKUP(F490&amp;K490&amp;M490,製品マスタ!$M$5:$AD$5002,18,FALSE),IF(OR(J490="リード付け",J490="巻返しリード付け"),"原反コア",IF(J490="スリット",VLOOKUP(F490&amp;K490&amp;R490,製品マスタ!$N$5:$AD$5002,17,FALSE),""))))))</f>
        <v/>
      </c>
      <c r="X490" s="269" t="str">
        <f>IF(D490="","",IF(T490="","",IF(J490="巻足し","",IF(J490="巻返し",VLOOKUP(F490&amp;K490&amp;M490,製品マスタ!$M$5:$AE$5002,19,FALSE),IF(OR(J490="リード付け",J490="巻返しリード付け"),"",IF(J490="スリット",VLOOKUP(F490&amp;K490&amp;R490,製品マスタ!$N$5:$AE$5002,18,FALSE),""))))))</f>
        <v/>
      </c>
      <c r="Y490" s="275" t="str">
        <f>IF(D490="","",IF(T490="","",VLOOKUP(D490,契約台帳!$A$3:$Q$4986,17,FALSE)))</f>
        <v/>
      </c>
      <c r="Z490" s="269" t="str">
        <f>IF(D490="","",IF(T490="","",VLOOKUP(D490,契約台帳!$A$3:$E$4986,5,FALSE)))</f>
        <v/>
      </c>
      <c r="AA490" s="57"/>
      <c r="AB490" s="207" t="str">
        <f>IFERROR((VLOOKUP(F490&amp;K490&amp;M490,製品マスタ!$M$5:$AM$5002,27,FALSE)),"")</f>
        <v/>
      </c>
      <c r="AC490" s="33"/>
      <c r="AD490" s="189"/>
      <c r="AE490" s="54"/>
      <c r="AF490" s="55"/>
      <c r="AG490" s="43"/>
      <c r="AH490" s="47"/>
      <c r="AI490" s="30"/>
      <c r="AJ490" s="30"/>
      <c r="AK490" s="30"/>
      <c r="AL490" s="30"/>
      <c r="AM490" s="13"/>
      <c r="AN490" s="13"/>
      <c r="AO490" s="13"/>
      <c r="AP490" s="13"/>
      <c r="AQ490" s="13"/>
      <c r="AR490" s="14"/>
      <c r="AS490" s="15"/>
    </row>
    <row r="491" spans="1:45" s="17" customFormat="1" ht="30.95" hidden="1" customHeight="1" x14ac:dyDescent="0.2">
      <c r="A491" s="37"/>
      <c r="B491" s="38"/>
      <c r="C491" s="45"/>
      <c r="D491" s="31"/>
      <c r="E491" s="31"/>
      <c r="F491" s="268"/>
      <c r="G491" s="269"/>
      <c r="H491" s="269"/>
      <c r="I491" s="270"/>
      <c r="J491" s="210" t="s">
        <v>1076</v>
      </c>
      <c r="K491" s="270"/>
      <c r="L491" s="270"/>
      <c r="M491" s="39"/>
      <c r="N491" s="39"/>
      <c r="O491" s="156"/>
      <c r="P491" s="47"/>
      <c r="Q491" s="57"/>
      <c r="R491" s="271"/>
      <c r="S491" s="272"/>
      <c r="T491" s="273"/>
      <c r="U491" s="40"/>
      <c r="V491" s="274"/>
      <c r="W491" s="269"/>
      <c r="X491" s="269"/>
      <c r="Y491" s="275"/>
      <c r="Z491" s="269"/>
      <c r="AA491" s="57"/>
      <c r="AB491" s="207"/>
      <c r="AC491" s="33"/>
      <c r="AD491" s="189"/>
      <c r="AE491" s="54"/>
      <c r="AF491" s="55"/>
      <c r="AG491" s="43"/>
      <c r="AH491" s="47"/>
      <c r="AI491" s="30"/>
      <c r="AJ491" s="30"/>
      <c r="AK491" s="30"/>
      <c r="AL491" s="30"/>
      <c r="AM491" s="13"/>
      <c r="AN491" s="13"/>
      <c r="AO491" s="13"/>
      <c r="AP491" s="13"/>
      <c r="AQ491" s="13"/>
      <c r="AR491" s="14"/>
      <c r="AS491" s="15"/>
    </row>
    <row r="492" spans="1:45" s="17" customFormat="1" ht="30.95" hidden="1" customHeight="1" x14ac:dyDescent="0.2">
      <c r="A492" s="37"/>
      <c r="B492" s="38"/>
      <c r="C492" s="45"/>
      <c r="D492" s="31"/>
      <c r="E492" s="31"/>
      <c r="F492" s="268"/>
      <c r="G492" s="269"/>
      <c r="H492" s="269"/>
      <c r="I492" s="270"/>
      <c r="J492" s="210"/>
      <c r="K492" s="270"/>
      <c r="L492" s="270"/>
      <c r="M492" s="39"/>
      <c r="N492" s="39"/>
      <c r="O492" s="156"/>
      <c r="P492" s="47"/>
      <c r="Q492" s="57"/>
      <c r="R492" s="271"/>
      <c r="S492" s="272"/>
      <c r="T492" s="273"/>
      <c r="U492" s="40"/>
      <c r="V492" s="274"/>
      <c r="W492" s="269"/>
      <c r="X492" s="269"/>
      <c r="Y492" s="275"/>
      <c r="Z492" s="269"/>
      <c r="AA492" s="57"/>
      <c r="AB492" s="207"/>
      <c r="AC492" s="33"/>
      <c r="AD492" s="189"/>
      <c r="AE492" s="54"/>
      <c r="AF492" s="55"/>
      <c r="AG492" s="43"/>
      <c r="AH492" s="47"/>
      <c r="AI492" s="30"/>
      <c r="AJ492" s="30"/>
      <c r="AK492" s="30"/>
      <c r="AL492" s="30"/>
      <c r="AM492" s="13"/>
      <c r="AN492" s="13"/>
      <c r="AO492" s="13"/>
      <c r="AP492" s="13"/>
      <c r="AQ492" s="13"/>
      <c r="AR492" s="14"/>
      <c r="AS492" s="15"/>
    </row>
    <row r="493" spans="1:45" s="17" customFormat="1" ht="30.95" hidden="1" customHeight="1" x14ac:dyDescent="0.2">
      <c r="A493" s="37" t="s">
        <v>1063</v>
      </c>
      <c r="B493" s="38" t="s">
        <v>1054</v>
      </c>
      <c r="C493" s="45"/>
      <c r="D493" s="31"/>
      <c r="E493" s="31"/>
      <c r="F493" s="268" t="str">
        <f>IF(D493="","",VLOOKUP(D493,契約台帳!$A$3:$K$4986,6,FALSE)&amp;VLOOKUP(D493,契約台帳!$A$3:$K$4986,7,FALSE)&amp;VLOOKUP(D493,契約台帳!$A$3:$K$4986,8,FALSE)&amp;VLOOKUP(D493,契約台帳!$A$3:$K$4986,9,FALSE)&amp;VLOOKUP(D493,契約台帳!$A$3:$K$4986,11,FALSE))</f>
        <v/>
      </c>
      <c r="G493" s="269" t="str">
        <f>IF(D493="","",VLOOKUP(F493,製品マスタ!$G$5:$H$5002,2,FALSE))</f>
        <v/>
      </c>
      <c r="H493" s="269" t="str">
        <f>IF(D493="","",VLOOKUP(F493,製品マスタ!$G$5:$K$5002,5,FALSE))</f>
        <v/>
      </c>
      <c r="I493" s="270" t="str">
        <f>IF(D493="","",VLOOKUP(F493,製品マスタ!$G$5:$L$5002,6,FALSE))</f>
        <v/>
      </c>
      <c r="J493" s="210" t="s">
        <v>448</v>
      </c>
      <c r="K493" s="270" t="str">
        <f>IF(D493="","",VLOOKUP(D493,契約台帳!$A$3:$L$4986,12,FALSE))</f>
        <v/>
      </c>
      <c r="L493" s="270" t="str">
        <f>IF(D493="","",INDEX(製品マスタ!$Q$5:$Q$5002,MATCH('S4'!F493&amp;'S4'!K493,製品マスタ!$AO$5:$AO$5002,0)))</f>
        <v/>
      </c>
      <c r="M493" s="39"/>
      <c r="N493" s="39"/>
      <c r="O493" s="156"/>
      <c r="P493" s="47"/>
      <c r="Q493" s="57"/>
      <c r="R493" s="271" t="str">
        <f ca="1">IF(D493="","",IF(OFFSET(D493,-1,0)&lt;&gt;"","",IF(OR(J493="リード付け",J493="巻足し",J493="巻返しリード付け"),M493,VLOOKUP(D493,契約台帳!$A$3:$N$4986,14,FALSE))))</f>
        <v/>
      </c>
      <c r="S493" s="272" t="str">
        <f ca="1">IF(D493="","",IF(OFFSET(D493,-1,0)&lt;&gt;"","",IF(OR(J493="リード付け",J493="巻足し",J493="巻返しリード付け"),M493,VLOOKUP(D493,契約台帳!$A$3:$O$4986,15,FALSE))))</f>
        <v/>
      </c>
      <c r="T493" s="273" t="str">
        <f ca="1">IF(D493="","",IF(J493="リード付け",N493,IF(J493="巻返しリード付け",N493,IF(J493="巻足し",N493*P493+OFFSET(N493,1,0)*OFFSET(P493,1,0),VLOOKUP(D493,契約台帳!$A$3:$P$4986,16,FALSE)))))</f>
        <v/>
      </c>
      <c r="U493" s="40"/>
      <c r="V493" s="274" t="str">
        <f ca="1">IF(D493="","",IF(OFFSET(D493,-2,0)=D493,"",VLOOKUP(D493,契約台帳!$A$3:$R$4986,18,FALSE)))</f>
        <v/>
      </c>
      <c r="W493" s="269" t="str">
        <f>IF(D493="","",IF(T493="","",IF(OR(J493="巻足し",J493="巻返しリード付け"),"",IF(J493="巻返し",VLOOKUP(F493&amp;K493&amp;M493,製品マスタ!$M$5:$AD$5002,18,FALSE),IF(OR(J493="リード付け",J493="巻返しリード付け"),"原反コア",IF(J493="スリット",VLOOKUP(F493&amp;K493&amp;R493,製品マスタ!$N$5:$AD$5002,17,FALSE),""))))))</f>
        <v/>
      </c>
      <c r="X493" s="269" t="str">
        <f>IF(D493="","",IF(T493="","",IF(J493="巻足し","",IF(J493="巻返し",VLOOKUP(F493&amp;K493&amp;M493,製品マスタ!$M$5:$AE$5002,19,FALSE),IF(OR(J493="リード付け",J493="巻返しリード付け"),"",IF(J493="スリット",VLOOKUP(F493&amp;K493&amp;R493,製品マスタ!$N$5:$AE$5002,18,FALSE),""))))))</f>
        <v/>
      </c>
      <c r="Y493" s="275" t="str">
        <f>IF(D493="","",IF(T493="","",VLOOKUP(D493,契約台帳!$A$3:$Q$4986,17,FALSE)))</f>
        <v/>
      </c>
      <c r="Z493" s="269" t="str">
        <f>IF(D493="","",IF(T493="","",VLOOKUP(D493,契約台帳!$A$3:$E$4986,5,FALSE)))</f>
        <v/>
      </c>
      <c r="AA493" s="57"/>
      <c r="AB493" s="207" t="str">
        <f>IFERROR((VLOOKUP(F493&amp;K493&amp;M493,製品マスタ!$M$5:$AM$5002,27,FALSE)),"")</f>
        <v/>
      </c>
      <c r="AC493" s="33"/>
      <c r="AD493" s="189"/>
      <c r="AE493" s="54"/>
      <c r="AF493" s="55"/>
      <c r="AG493" s="43"/>
      <c r="AH493" s="47"/>
      <c r="AI493" s="30"/>
      <c r="AJ493" s="30"/>
      <c r="AK493" s="30"/>
      <c r="AL493" s="30"/>
      <c r="AM493" s="13"/>
      <c r="AN493" s="13"/>
      <c r="AO493" s="13"/>
      <c r="AP493" s="13"/>
      <c r="AQ493" s="13"/>
      <c r="AR493" s="14"/>
      <c r="AS493" s="15"/>
    </row>
    <row r="494" spans="1:45" s="17" customFormat="1" ht="30.95" hidden="1" customHeight="1" x14ac:dyDescent="0.2">
      <c r="A494" s="37"/>
      <c r="B494" s="38"/>
      <c r="C494" s="45"/>
      <c r="D494" s="31"/>
      <c r="E494" s="31"/>
      <c r="F494" s="268" t="str">
        <f>IF(D494="","",VLOOKUP(D494,契約台帳!$A$3:$K$4986,6,FALSE)&amp;VLOOKUP(D494,契約台帳!$A$3:$K$4986,7,FALSE)&amp;VLOOKUP(D494,契約台帳!$A$3:$K$4986,8,FALSE)&amp;VLOOKUP(D494,契約台帳!$A$3:$K$4986,9,FALSE)&amp;VLOOKUP(D494,契約台帳!$A$3:$K$4986,11,FALSE))</f>
        <v/>
      </c>
      <c r="G494" s="269" t="str">
        <f>IF(D494="","",VLOOKUP(F494,製品マスタ!$G$5:$H$5002,2,FALSE))</f>
        <v/>
      </c>
      <c r="H494" s="269" t="str">
        <f>IF(D494="","",VLOOKUP(F494,製品マスタ!$G$5:$K$5002,5,FALSE))</f>
        <v/>
      </c>
      <c r="I494" s="270" t="str">
        <f>IF(D494="","",VLOOKUP(F494,製品マスタ!$G$5:$L$5002,6,FALSE))</f>
        <v/>
      </c>
      <c r="J494" s="210"/>
      <c r="K494" s="270" t="str">
        <f>IF(D494="","",VLOOKUP(D494,契約台帳!$A$3:$L$4986,12,FALSE))</f>
        <v/>
      </c>
      <c r="L494" s="270" t="str">
        <f>IF(D494="","",INDEX(製品マスタ!$Q$5:$Q$5002,MATCH('S4'!F494&amp;'S4'!K494,製品マスタ!$AO$5:$AO$5002,0)))</f>
        <v/>
      </c>
      <c r="M494" s="39"/>
      <c r="N494" s="39"/>
      <c r="O494" s="156"/>
      <c r="P494" s="47"/>
      <c r="Q494" s="57"/>
      <c r="R494" s="271" t="str">
        <f ca="1">IF(D494="","",IF(OFFSET(D494,-1,0)&lt;&gt;"","",IF(OR(J494="リード付け",J494="巻足し",J494="巻返しリード付け"),M494,VLOOKUP(D494,契約台帳!$A$3:$N$4986,14,FALSE))))</f>
        <v/>
      </c>
      <c r="S494" s="272" t="str">
        <f ca="1">IF(D494="","",IF(OFFSET(D494,-1,0)&lt;&gt;"","",IF(OR(J494="リード付け",J494="巻足し",J494="巻返しリード付け"),M494,VLOOKUP(D494,契約台帳!$A$3:$O$4986,15,FALSE))))</f>
        <v/>
      </c>
      <c r="T494" s="273" t="str">
        <f ca="1">IF(D494="","",IF(J494="リード付け",N494,IF(J494="巻返しリード付け",N494,IF(J494="巻足し",N494*P494+OFFSET(N494,1,0)*OFFSET(P494,1,0),VLOOKUP(D494,契約台帳!$A$3:$P$4986,16,FALSE)))))</f>
        <v/>
      </c>
      <c r="U494" s="40"/>
      <c r="V494" s="274" t="str">
        <f ca="1">IF(D494="","",IF(OFFSET(D494,-2,0)=D494,"",VLOOKUP(D494,契約台帳!$A$3:$R$4986,18,FALSE)))</f>
        <v/>
      </c>
      <c r="W494" s="269" t="str">
        <f>IF(D494="","",IF(T494="","",IF(OR(J494="巻足し",J494="巻返しリード付け"),"",IF(J494="巻返し",VLOOKUP(F494&amp;K494&amp;M494,製品マスタ!$M$5:$AD$5002,18,FALSE),IF(OR(J494="リード付け",J494="巻返しリード付け"),"原反コア",IF(J494="スリット",VLOOKUP(F494&amp;K494&amp;R494,製品マスタ!$N$5:$AD$5002,17,FALSE),""))))))</f>
        <v/>
      </c>
      <c r="X494" s="269" t="str">
        <f>IF(D494="","",IF(T494="","",IF(J494="巻足し","",IF(J494="巻返し",VLOOKUP(F494&amp;K494&amp;M494,製品マスタ!$M$5:$AE$5002,19,FALSE),IF(OR(J494="リード付け",J494="巻返しリード付け"),"",IF(J494="スリット",VLOOKUP(F494&amp;K494&amp;R494,製品マスタ!$N$5:$AE$5002,18,FALSE),""))))))</f>
        <v/>
      </c>
      <c r="Y494" s="275" t="str">
        <f>IF(D494="","",IF(T494="","",VLOOKUP(D494,契約台帳!$A$3:$Q$4986,17,FALSE)))</f>
        <v/>
      </c>
      <c r="Z494" s="269" t="str">
        <f>IF(D494="","",IF(T494="","",VLOOKUP(D494,契約台帳!$A$3:$E$4986,5,FALSE)))</f>
        <v/>
      </c>
      <c r="AA494" s="57"/>
      <c r="AB494" s="207" t="str">
        <f>IFERROR((VLOOKUP(F494&amp;K494&amp;M494,製品マスタ!$M$5:$AM$5002,27,FALSE)),"")</f>
        <v/>
      </c>
      <c r="AC494" s="33"/>
      <c r="AD494" s="189"/>
      <c r="AE494" s="54"/>
      <c r="AF494" s="55"/>
      <c r="AG494" s="43"/>
      <c r="AH494" s="47"/>
      <c r="AI494" s="30"/>
      <c r="AJ494" s="30"/>
      <c r="AK494" s="30"/>
      <c r="AL494" s="30"/>
      <c r="AM494" s="13"/>
      <c r="AN494" s="13"/>
      <c r="AO494" s="13"/>
      <c r="AP494" s="13"/>
      <c r="AQ494" s="13"/>
      <c r="AR494" s="14"/>
      <c r="AS494" s="15"/>
    </row>
    <row r="495" spans="1:45" s="17" customFormat="1" ht="30.95" hidden="1" customHeight="1" x14ac:dyDescent="0.2">
      <c r="A495" s="37" t="s">
        <v>1064</v>
      </c>
      <c r="B495" s="38" t="s">
        <v>1055</v>
      </c>
      <c r="C495" s="45"/>
      <c r="D495" s="31"/>
      <c r="E495" s="31"/>
      <c r="F495" s="268" t="str">
        <f>IF(D495="","",VLOOKUP(D495,契約台帳!$A$3:$K$4986,6,FALSE)&amp;VLOOKUP(D495,契約台帳!$A$3:$K$4986,7,FALSE)&amp;VLOOKUP(D495,契約台帳!$A$3:$K$4986,8,FALSE)&amp;VLOOKUP(D495,契約台帳!$A$3:$K$4986,9,FALSE)&amp;VLOOKUP(D495,契約台帳!$A$3:$K$4986,11,FALSE))</f>
        <v/>
      </c>
      <c r="G495" s="269" t="str">
        <f>IF(D495="","",VLOOKUP(F495,製品マスタ!$G$5:$H$5002,2,FALSE))</f>
        <v/>
      </c>
      <c r="H495" s="269" t="str">
        <f>IF(D495="","",VLOOKUP(F495,製品マスタ!$G$5:$K$5002,5,FALSE))</f>
        <v/>
      </c>
      <c r="I495" s="270" t="str">
        <f>IF(D495="","",VLOOKUP(F495,製品マスタ!$G$5:$L$5002,6,FALSE))</f>
        <v/>
      </c>
      <c r="J495" s="210" t="s">
        <v>448</v>
      </c>
      <c r="K495" s="270" t="str">
        <f>IF(D495="","",VLOOKUP(D495,契約台帳!$A$3:$L$4986,12,FALSE))</f>
        <v/>
      </c>
      <c r="L495" s="270" t="str">
        <f>IF(D495="","",INDEX(製品マスタ!$Q$5:$Q$5002,MATCH('S4'!F495&amp;'S4'!K495,製品マスタ!$AO$5:$AO$5002,0)))</f>
        <v/>
      </c>
      <c r="M495" s="39"/>
      <c r="N495" s="39"/>
      <c r="O495" s="156"/>
      <c r="P495" s="47"/>
      <c r="Q495" s="57"/>
      <c r="R495" s="271" t="str">
        <f ca="1">IF(D495="","",IF(OFFSET(D495,-1,0)&lt;&gt;"","",IF(OR(J495="リード付け",J495="巻足し",J495="巻返しリード付け"),M495,VLOOKUP(D495,契約台帳!$A$3:$N$4986,14,FALSE))))</f>
        <v/>
      </c>
      <c r="S495" s="272" t="str">
        <f ca="1">IF(D495="","",IF(OFFSET(D495,-1,0)&lt;&gt;"","",IF(OR(J495="リード付け",J495="巻足し",J495="巻返しリード付け"),M495,VLOOKUP(D495,契約台帳!$A$3:$O$4986,15,FALSE))))</f>
        <v/>
      </c>
      <c r="T495" s="273" t="str">
        <f ca="1">IF(D495="","",IF(J495="リード付け",N495,IF(J495="巻返しリード付け",N495,IF(J495="巻足し",N495*P495+OFFSET(N495,1,0)*OFFSET(P495,1,0),VLOOKUP(D495,契約台帳!$A$3:$P$4986,16,FALSE)))))</f>
        <v/>
      </c>
      <c r="U495" s="40"/>
      <c r="V495" s="274" t="str">
        <f ca="1">IF(D495="","",IF(OFFSET(D495,-2,0)=D495,"",VLOOKUP(D495,契約台帳!$A$3:$R$4986,18,FALSE)))</f>
        <v/>
      </c>
      <c r="W495" s="269" t="str">
        <f>IF(D495="","",IF(T495="","",IF(OR(J495="巻足し",J495="巻返しリード付け"),"",IF(J495="巻返し",VLOOKUP(F495&amp;K495&amp;M495,製品マスタ!$M$5:$AD$5002,18,FALSE),IF(OR(J495="リード付け",J495="巻返しリード付け"),"原反コア",IF(J495="スリット",VLOOKUP(F495&amp;K495&amp;R495,製品マスタ!$N$5:$AD$5002,17,FALSE),""))))))</f>
        <v/>
      </c>
      <c r="X495" s="269" t="str">
        <f>IF(D495="","",IF(T495="","",IF(J495="巻足し","",IF(J495="巻返し",VLOOKUP(F495&amp;K495&amp;M495,製品マスタ!$M$5:$AE$5002,19,FALSE),IF(OR(J495="リード付け",J495="巻返しリード付け"),"",IF(J495="スリット",VLOOKUP(F495&amp;K495&amp;R495,製品マスタ!$N$5:$AE$5002,18,FALSE),""))))))</f>
        <v/>
      </c>
      <c r="Y495" s="275" t="str">
        <f>IF(D495="","",IF(T495="","",VLOOKUP(D495,契約台帳!$A$3:$Q$4986,17,FALSE)))</f>
        <v/>
      </c>
      <c r="Z495" s="269" t="str">
        <f>IF(D495="","",IF(T495="","",VLOOKUP(D495,契約台帳!$A$3:$E$4986,5,FALSE)))</f>
        <v/>
      </c>
      <c r="AA495" s="57"/>
      <c r="AB495" s="207" t="str">
        <f>IFERROR((VLOOKUP(F495&amp;K495&amp;M495,製品マスタ!$M$5:$AM$5002,27,FALSE)),"")</f>
        <v/>
      </c>
      <c r="AC495" s="33"/>
      <c r="AD495" s="189"/>
      <c r="AE495" s="54"/>
      <c r="AF495" s="55"/>
      <c r="AG495" s="43"/>
      <c r="AH495" s="47"/>
      <c r="AI495" s="30"/>
      <c r="AJ495" s="30"/>
      <c r="AK495" s="30"/>
      <c r="AL495" s="30"/>
      <c r="AM495" s="13"/>
      <c r="AN495" s="13"/>
      <c r="AO495" s="13"/>
      <c r="AP495" s="13"/>
      <c r="AQ495" s="13"/>
      <c r="AR495" s="14"/>
      <c r="AS495" s="15"/>
    </row>
    <row r="496" spans="1:45" s="17" customFormat="1" ht="30.95" hidden="1" customHeight="1" x14ac:dyDescent="0.2">
      <c r="A496" s="37"/>
      <c r="B496" s="38"/>
      <c r="C496" s="45"/>
      <c r="D496" s="31"/>
      <c r="E496" s="31"/>
      <c r="F496" s="268" t="str">
        <f>IF(D496="","",VLOOKUP(D496,契約台帳!$A$3:$K$4986,6,FALSE)&amp;VLOOKUP(D496,契約台帳!$A$3:$K$4986,7,FALSE)&amp;VLOOKUP(D496,契約台帳!$A$3:$K$4986,8,FALSE)&amp;VLOOKUP(D496,契約台帳!$A$3:$K$4986,9,FALSE)&amp;VLOOKUP(D496,契約台帳!$A$3:$K$4986,11,FALSE))</f>
        <v/>
      </c>
      <c r="G496" s="269" t="str">
        <f>IF(D496="","",VLOOKUP(F496,製品マスタ!$G$5:$H$5002,2,FALSE))</f>
        <v/>
      </c>
      <c r="H496" s="269" t="str">
        <f>IF(D496="","",VLOOKUP(F496,製品マスタ!$G$5:$K$5002,5,FALSE))</f>
        <v/>
      </c>
      <c r="I496" s="270" t="str">
        <f>IF(D496="","",VLOOKUP(F496,製品マスタ!$G$5:$L$5002,6,FALSE))</f>
        <v/>
      </c>
      <c r="J496" s="210"/>
      <c r="K496" s="270" t="str">
        <f>IF(D496="","",VLOOKUP(D496,契約台帳!$A$3:$L$4986,12,FALSE))</f>
        <v/>
      </c>
      <c r="L496" s="270" t="str">
        <f>IF(D496="","",INDEX(製品マスタ!$Q$5:$Q$5002,MATCH('S4'!F496&amp;'S4'!K496,製品マスタ!$AO$5:$AO$5002,0)))</f>
        <v/>
      </c>
      <c r="M496" s="39"/>
      <c r="N496" s="39"/>
      <c r="O496" s="156"/>
      <c r="P496" s="47"/>
      <c r="Q496" s="57"/>
      <c r="R496" s="271" t="str">
        <f ca="1">IF(D496="","",IF(OFFSET(D496,-1,0)&lt;&gt;"","",IF(OR(J496="リード付け",J496="巻足し",J496="巻返しリード付け"),M496,VLOOKUP(D496,契約台帳!$A$3:$N$4986,14,FALSE))))</f>
        <v/>
      </c>
      <c r="S496" s="272" t="str">
        <f ca="1">IF(D496="","",IF(OFFSET(D496,-1,0)&lt;&gt;"","",IF(OR(J496="リード付け",J496="巻足し",J496="巻返しリード付け"),M496,VLOOKUP(D496,契約台帳!$A$3:$O$4986,15,FALSE))))</f>
        <v/>
      </c>
      <c r="T496" s="273" t="str">
        <f ca="1">IF(D496="","",IF(J496="リード付け",N496,IF(J496="巻返しリード付け",N496,IF(J496="巻足し",N496*P496+OFFSET(N496,1,0)*OFFSET(P496,1,0),VLOOKUP(D496,契約台帳!$A$3:$P$4986,16,FALSE)))))</f>
        <v/>
      </c>
      <c r="U496" s="40"/>
      <c r="V496" s="274" t="str">
        <f ca="1">IF(D496="","",IF(OFFSET(D496,-2,0)=D496,"",VLOOKUP(D496,契約台帳!$A$3:$R$4986,18,FALSE)))</f>
        <v/>
      </c>
      <c r="W496" s="269" t="str">
        <f>IF(D496="","",IF(T496="","",IF(OR(J496="巻足し",J496="巻返しリード付け"),"",IF(J496="巻返し",VLOOKUP(F496&amp;K496&amp;M496,製品マスタ!$M$5:$AD$5002,18,FALSE),IF(OR(J496="リード付け",J496="巻返しリード付け"),"原反コア",IF(J496="スリット",VLOOKUP(F496&amp;K496&amp;R496,製品マスタ!$N$5:$AD$5002,17,FALSE),""))))))</f>
        <v/>
      </c>
      <c r="X496" s="269" t="str">
        <f>IF(D496="","",IF(T496="","",IF(J496="巻足し","",IF(J496="巻返し",VLOOKUP(F496&amp;K496&amp;M496,製品マスタ!$M$5:$AE$5002,19,FALSE),IF(OR(J496="リード付け",J496="巻返しリード付け"),"",IF(J496="スリット",VLOOKUP(F496&amp;K496&amp;R496,製品マスタ!$N$5:$AE$5002,18,FALSE),""))))))</f>
        <v/>
      </c>
      <c r="Y496" s="275" t="str">
        <f>IF(D496="","",IF(T496="","",VLOOKUP(D496,契約台帳!$A$3:$Q$4986,17,FALSE)))</f>
        <v/>
      </c>
      <c r="Z496" s="269" t="str">
        <f>IF(D496="","",IF(T496="","",VLOOKUP(D496,契約台帳!$A$3:$E$4986,5,FALSE)))</f>
        <v/>
      </c>
      <c r="AA496" s="57"/>
      <c r="AB496" s="207" t="str">
        <f>IFERROR((VLOOKUP(F496&amp;K496&amp;M496,製品マスタ!$M$5:$AM$5002,27,FALSE)),"")</f>
        <v/>
      </c>
      <c r="AC496" s="33"/>
      <c r="AD496" s="189"/>
      <c r="AE496" s="54"/>
      <c r="AF496" s="55"/>
      <c r="AG496" s="43"/>
      <c r="AH496" s="47"/>
      <c r="AI496" s="30"/>
      <c r="AJ496" s="30"/>
      <c r="AK496" s="30"/>
      <c r="AL496" s="30"/>
      <c r="AM496" s="13"/>
      <c r="AN496" s="13"/>
      <c r="AO496" s="13"/>
      <c r="AP496" s="13"/>
      <c r="AQ496" s="13"/>
      <c r="AR496" s="14"/>
      <c r="AS496" s="15"/>
    </row>
    <row r="497" spans="1:45" s="17" customFormat="1" ht="30.95" hidden="1" customHeight="1" x14ac:dyDescent="0.2">
      <c r="A497" s="37" t="s">
        <v>1065</v>
      </c>
      <c r="B497" s="38" t="s">
        <v>1057</v>
      </c>
      <c r="C497" s="45"/>
      <c r="D497" s="31"/>
      <c r="E497" s="31"/>
      <c r="F497" s="268" t="str">
        <f>IF(D497="","",VLOOKUP(D497,契約台帳!$A$3:$K$4986,6,FALSE)&amp;VLOOKUP(D497,契約台帳!$A$3:$K$4986,7,FALSE)&amp;VLOOKUP(D497,契約台帳!$A$3:$K$4986,8,FALSE)&amp;VLOOKUP(D497,契約台帳!$A$3:$K$4986,9,FALSE)&amp;VLOOKUP(D497,契約台帳!$A$3:$K$4986,11,FALSE))</f>
        <v/>
      </c>
      <c r="G497" s="269" t="str">
        <f>IF(D497="","",VLOOKUP(F497,製品マスタ!$G$5:$H$5002,2,FALSE))</f>
        <v/>
      </c>
      <c r="H497" s="269" t="str">
        <f>IF(D497="","",VLOOKUP(F497,製品マスタ!$G$5:$K$5002,5,FALSE))</f>
        <v/>
      </c>
      <c r="I497" s="270" t="str">
        <f>IF(D497="","",VLOOKUP(F497,製品マスタ!$G$5:$L$5002,6,FALSE))</f>
        <v/>
      </c>
      <c r="J497" s="210" t="s">
        <v>1076</v>
      </c>
      <c r="K497" s="270" t="str">
        <f>IF(D497="","",VLOOKUP(D497,契約台帳!$A$3:$L$4986,12,FALSE))</f>
        <v/>
      </c>
      <c r="L497" s="270" t="str">
        <f>IF(D497="","",INDEX(製品マスタ!$Q$5:$Q$5002,MATCH('S4'!F497&amp;'S4'!K497,製品マスタ!$AO$5:$AO$5002,0)))</f>
        <v/>
      </c>
      <c r="M497" s="39"/>
      <c r="N497" s="39"/>
      <c r="O497" s="156"/>
      <c r="P497" s="47"/>
      <c r="Q497" s="57"/>
      <c r="R497" s="271" t="str">
        <f ca="1">IF(D497="","",IF(OFFSET(D497,-1,0)&lt;&gt;"","",IF(OR(J497="リード付け",J497="巻足し",J497="巻返しリード付け"),M497,VLOOKUP(D497,契約台帳!$A$3:$N$4986,14,FALSE))))</f>
        <v/>
      </c>
      <c r="S497" s="272" t="str">
        <f ca="1">IF(D497="","",IF(OFFSET(D497,-1,0)&lt;&gt;"","",IF(OR(J497="リード付け",J497="巻足し",J497="巻返しリード付け"),M497,VLOOKUP(D497,契約台帳!$A$3:$O$4986,15,FALSE))))</f>
        <v/>
      </c>
      <c r="T497" s="273" t="str">
        <f ca="1">IF(D497="","",IF(J497="リード付け",N497,IF(J497="巻返しリード付け",N497,IF(J497="巻足し",N497*P497+OFFSET(N497,1,0)*OFFSET(P497,1,0),VLOOKUP(D497,契約台帳!$A$3:$P$4986,16,FALSE)))))</f>
        <v/>
      </c>
      <c r="U497" s="40"/>
      <c r="V497" s="274" t="str">
        <f ca="1">IF(D497="","",IF(OFFSET(D497,-2,0)=D497,"",VLOOKUP(D497,契約台帳!$A$3:$R$4986,18,FALSE)))</f>
        <v/>
      </c>
      <c r="W497" s="269" t="str">
        <f>IF(D497="","",IF(T497="","",IF(OR(J497="巻足し",J497="巻返しリード付け"),"",IF(J497="巻返し",VLOOKUP(F497&amp;K497&amp;M497,製品マスタ!$M$5:$AD$5002,18,FALSE),IF(OR(J497="リード付け",J497="巻返しリード付け"),"原反コア",IF(J497="スリット",VLOOKUP(F497&amp;K497&amp;R497,製品マスタ!$N$5:$AD$5002,17,FALSE),""))))))</f>
        <v/>
      </c>
      <c r="X497" s="269" t="str">
        <f>IF(D497="","",IF(T497="","",IF(J497="巻足し","",IF(J497="巻返し",VLOOKUP(F497&amp;K497&amp;M497,製品マスタ!$M$5:$AE$5002,19,FALSE),IF(OR(J497="リード付け",J497="巻返しリード付け"),"",IF(J497="スリット",VLOOKUP(F497&amp;K497&amp;R497,製品マスタ!$N$5:$AE$5002,18,FALSE),""))))))</f>
        <v/>
      </c>
      <c r="Y497" s="275" t="str">
        <f>IF(D497="","",IF(T497="","",VLOOKUP(D497,契約台帳!$A$3:$Q$4986,17,FALSE)))</f>
        <v/>
      </c>
      <c r="Z497" s="269" t="str">
        <f>IF(D497="","",IF(T497="","",VLOOKUP(D497,契約台帳!$A$3:$E$4986,5,FALSE)))</f>
        <v/>
      </c>
      <c r="AA497" s="57"/>
      <c r="AB497" s="207" t="str">
        <f>IFERROR((VLOOKUP(F497&amp;K497&amp;M497,製品マスタ!$M$5:$AM$5002,27,FALSE)),"")</f>
        <v/>
      </c>
      <c r="AC497" s="33"/>
      <c r="AD497" s="189"/>
      <c r="AE497" s="54"/>
      <c r="AF497" s="55"/>
      <c r="AG497" s="43"/>
      <c r="AH497" s="47"/>
      <c r="AI497" s="30"/>
      <c r="AJ497" s="30"/>
      <c r="AK497" s="30"/>
      <c r="AL497" s="30"/>
      <c r="AM497" s="13"/>
      <c r="AN497" s="13"/>
      <c r="AO497" s="13"/>
      <c r="AP497" s="13"/>
      <c r="AQ497" s="13"/>
      <c r="AR497" s="14"/>
      <c r="AS497" s="15"/>
    </row>
    <row r="498" spans="1:45" s="17" customFormat="1" ht="30.95" hidden="1" customHeight="1" x14ac:dyDescent="0.2">
      <c r="A498" s="37"/>
      <c r="B498" s="38"/>
      <c r="C498" s="45"/>
      <c r="D498" s="31"/>
      <c r="E498" s="31"/>
      <c r="F498" s="268" t="str">
        <f>IF(D498="","",VLOOKUP(D498,契約台帳!$A$3:$K$4986,6,FALSE)&amp;VLOOKUP(D498,契約台帳!$A$3:$K$4986,7,FALSE)&amp;VLOOKUP(D498,契約台帳!$A$3:$K$4986,8,FALSE)&amp;VLOOKUP(D498,契約台帳!$A$3:$K$4986,9,FALSE)&amp;VLOOKUP(D498,契約台帳!$A$3:$K$4986,11,FALSE))</f>
        <v/>
      </c>
      <c r="G498" s="269" t="str">
        <f>IF(D498="","",VLOOKUP(F498,製品マスタ!$G$5:$H$5002,2,FALSE))</f>
        <v/>
      </c>
      <c r="H498" s="269" t="str">
        <f>IF(D498="","",VLOOKUP(F498,製品マスタ!$G$5:$K$5002,5,FALSE))</f>
        <v/>
      </c>
      <c r="I498" s="270" t="str">
        <f>IF(D498="","",VLOOKUP(F498,製品マスタ!$G$5:$L$5002,6,FALSE))</f>
        <v/>
      </c>
      <c r="J498" s="210"/>
      <c r="K498" s="270" t="str">
        <f>IF(D498="","",VLOOKUP(D498,契約台帳!$A$3:$L$4986,12,FALSE))</f>
        <v/>
      </c>
      <c r="L498" s="270" t="str">
        <f>IF(D498="","",INDEX(製品マスタ!$Q$5:$Q$5002,MATCH('S4'!F498&amp;'S4'!K498,製品マスタ!$AO$5:$AO$5002,0)))</f>
        <v/>
      </c>
      <c r="M498" s="39"/>
      <c r="N498" s="39"/>
      <c r="O498" s="156"/>
      <c r="P498" s="47"/>
      <c r="Q498" s="57"/>
      <c r="R498" s="271" t="str">
        <f ca="1">IF(D498="","",IF(OFFSET(D498,-1,0)&lt;&gt;"","",IF(OR(J498="リード付け",J498="巻足し",J498="巻返しリード付け"),M498,VLOOKUP(D498,契約台帳!$A$3:$N$4986,14,FALSE))))</f>
        <v/>
      </c>
      <c r="S498" s="272" t="str">
        <f ca="1">IF(D498="","",IF(OFFSET(D498,-1,0)&lt;&gt;"","",IF(OR(J498="リード付け",J498="巻足し",J498="巻返しリード付け"),M498,VLOOKUP(D498,契約台帳!$A$3:$O$4986,15,FALSE))))</f>
        <v/>
      </c>
      <c r="T498" s="273" t="str">
        <f ca="1">IF(D498="","",IF(J498="リード付け",N498,IF(J498="巻返しリード付け",N498,IF(J498="巻足し",N498*P498+OFFSET(N498,1,0)*OFFSET(P498,1,0),VLOOKUP(D498,契約台帳!$A$3:$P$4986,16,FALSE)))))</f>
        <v/>
      </c>
      <c r="U498" s="40"/>
      <c r="V498" s="274" t="str">
        <f ca="1">IF(D498="","",IF(OFFSET(D498,-2,0)=D498,"",VLOOKUP(D498,契約台帳!$A$3:$R$4986,18,FALSE)))</f>
        <v/>
      </c>
      <c r="W498" s="269" t="str">
        <f>IF(D498="","",IF(T498="","",IF(OR(J498="巻足し",J498="巻返しリード付け"),"",IF(J498="巻返し",VLOOKUP(F498&amp;K498&amp;M498,製品マスタ!$M$5:$AD$5002,18,FALSE),IF(OR(J498="リード付け",J498="巻返しリード付け"),"原反コア",IF(J498="スリット",VLOOKUP(F498&amp;K498&amp;R498,製品マスタ!$N$5:$AD$5002,17,FALSE),""))))))</f>
        <v/>
      </c>
      <c r="X498" s="269" t="str">
        <f>IF(D498="","",IF(T498="","",IF(J498="巻足し","",IF(J498="巻返し",VLOOKUP(F498&amp;K498&amp;M498,製品マスタ!$M$5:$AE$5002,19,FALSE),IF(OR(J498="リード付け",J498="巻返しリード付け"),"",IF(J498="スリット",VLOOKUP(F498&amp;K498&amp;R498,製品マスタ!$N$5:$AE$5002,18,FALSE),""))))))</f>
        <v/>
      </c>
      <c r="Y498" s="275" t="str">
        <f>IF(D498="","",IF(T498="","",VLOOKUP(D498,契約台帳!$A$3:$Q$4986,17,FALSE)))</f>
        <v/>
      </c>
      <c r="Z498" s="269" t="str">
        <f>IF(D498="","",IF(T498="","",VLOOKUP(D498,契約台帳!$A$3:$E$4986,5,FALSE)))</f>
        <v/>
      </c>
      <c r="AA498" s="57"/>
      <c r="AB498" s="207" t="str">
        <f>IFERROR((VLOOKUP(F498&amp;K498&amp;M498,製品マスタ!$M$5:$AM$5002,27,FALSE)),"")</f>
        <v/>
      </c>
      <c r="AC498" s="33"/>
      <c r="AD498" s="189"/>
      <c r="AE498" s="54"/>
      <c r="AF498" s="55"/>
      <c r="AG498" s="43"/>
      <c r="AH498" s="47"/>
      <c r="AI498" s="30"/>
      <c r="AJ498" s="30"/>
      <c r="AK498" s="30"/>
      <c r="AL498" s="30"/>
      <c r="AM498" s="13"/>
      <c r="AN498" s="13"/>
      <c r="AO498" s="13"/>
      <c r="AP498" s="13"/>
      <c r="AQ498" s="13"/>
      <c r="AR498" s="14"/>
      <c r="AS498" s="15"/>
    </row>
    <row r="499" spans="1:45" s="17" customFormat="1" ht="30.95" hidden="1" customHeight="1" x14ac:dyDescent="0.2">
      <c r="A499" s="37" t="s">
        <v>1066</v>
      </c>
      <c r="B499" s="38" t="s">
        <v>1050</v>
      </c>
      <c r="C499" s="45"/>
      <c r="D499" s="31">
        <v>3704004</v>
      </c>
      <c r="E499" s="31">
        <v>4161879</v>
      </c>
      <c r="F499" s="268" t="str">
        <f>IF(D499="","",VLOOKUP(D499,契約台帳!$A$3:$K$4986,6,FALSE)&amp;VLOOKUP(D499,契約台帳!$A$3:$K$4986,7,FALSE)&amp;VLOOKUP(D499,契約台帳!$A$3:$K$4986,8,FALSE)&amp;VLOOKUP(D499,契約台帳!$A$3:$K$4986,9,FALSE)&amp;VLOOKUP(D499,契約台帳!$A$3:$K$4986,11,FALSE))</f>
        <v>3SNMCLBMSNEYK</v>
      </c>
      <c r="G499" s="269" t="str">
        <f>IF(D499="","",VLOOKUP(F499,製品マスタ!$G$5:$H$5002,2,FALSE))</f>
        <v>S</v>
      </c>
      <c r="H499" s="269" t="str">
        <f>IF(D499="","",VLOOKUP(F499,製品マスタ!$G$5:$K$5002,5,FALSE))</f>
        <v>MSNEYK</v>
      </c>
      <c r="I499" s="270" t="str">
        <f>IF(D499="","",VLOOKUP(F499,製品マスタ!$G$5:$L$5002,6,FALSE))</f>
        <v>ＭＳＮ　ＥＹＫ</v>
      </c>
      <c r="J499" s="210" t="s">
        <v>1077</v>
      </c>
      <c r="K499" s="270">
        <f>IF(D499="","",VLOOKUP(D499,契約台帳!$A$3:$L$4986,12,FALSE))</f>
        <v>50</v>
      </c>
      <c r="L499" s="270" t="str">
        <f>IF(D499="","",INDEX(製品マスタ!$Q$5:$Q$5002,MATCH('S4'!F499&amp;'S4'!K499,製品マスタ!$AO$5:$AO$5002,0)))</f>
        <v>N-MAT</v>
      </c>
      <c r="M499" s="39">
        <v>1200</v>
      </c>
      <c r="N499" s="39">
        <v>6000</v>
      </c>
      <c r="O499" s="156">
        <v>8</v>
      </c>
      <c r="P499" s="47">
        <v>2</v>
      </c>
      <c r="Q499" s="213">
        <v>45036</v>
      </c>
      <c r="R499" s="271">
        <f ca="1">IF(D499="","",IF(OFFSET(D499,-1,0)&lt;&gt;"","",IF(OR(J499="リード付け",J499="巻足し",J499="巻返しリード付け"),M499,VLOOKUP(D499,契約台帳!$A$3:$N$4986,14,FALSE))))</f>
        <v>1200</v>
      </c>
      <c r="S499" s="272">
        <f ca="1">IF(D499="","",IF(OFFSET(D499,-1,0)&lt;&gt;"","",IF(OR(J499="リード付け",J499="巻足し",J499="巻返しリード付け"),M499,VLOOKUP(D499,契約台帳!$A$3:$O$4986,15,FALSE))))</f>
        <v>1200</v>
      </c>
      <c r="T499" s="273">
        <f ca="1">IF(D499="","",IF(J499="リード付け",N499,IF(J499="巻返しリード付け",N499,IF(J499="巻足し",N499*P499+OFFSET(N499,1,0)*OFFSET(P499,1,0),VLOOKUP(D499,契約台帳!$A$3:$P$4986,16,FALSE)))))</f>
        <v>12000</v>
      </c>
      <c r="U499" s="40">
        <v>4</v>
      </c>
      <c r="V499" s="274">
        <f ca="1">IF(D499="","",IF(OFFSET(D499,-2,0)=D499,"",VLOOKUP(D499,契約台帳!$A$3:$R$4986,18,FALSE)))</f>
        <v>8</v>
      </c>
      <c r="W499" s="269" t="str">
        <f ca="1">IF(D499="","",IF(T499="","",IF(OR(J499="巻足し",J499="巻返しリード付け"),"",IF(J499="巻返し",VLOOKUP(F499&amp;K499&amp;M499,製品マスタ!$M$5:$AD$5002,18,FALSE),IF(OR(J499="リード付け",J499="巻返しリード付け"),"原反コア",IF(J499="スリット",VLOOKUP(F499&amp;K499&amp;R499,製品マスタ!$N$5:$AD$5002,17,FALSE),""))))))</f>
        <v/>
      </c>
      <c r="X499" s="269" t="str">
        <f ca="1">IF(D499="","",IF(T499="","",IF(J499="巻足し","",IF(J499="巻返し",VLOOKUP(F499&amp;K499&amp;M499,製品マスタ!$M$5:$AE$5002,19,FALSE),IF(OR(J499="リード付け",J499="巻返しリード付け"),"",IF(J499="スリット",VLOOKUP(F499&amp;K499&amp;R499,製品マスタ!$N$5:$AE$5002,18,FALSE),""))))))</f>
        <v/>
      </c>
      <c r="Y499" s="275">
        <f ca="1">IF(D499="","",IF(T499="","",VLOOKUP(D499,契約台帳!$A$3:$Q$4986,17,FALSE)))</f>
        <v>2</v>
      </c>
      <c r="Z499" s="269" t="str">
        <f ca="1">IF(D499="","",IF(T499="","",VLOOKUP(D499,契約台帳!$A$3:$E$4986,5,FALSE)))</f>
        <v>大阪シーリング印刷㈱</v>
      </c>
      <c r="AA499" s="57"/>
      <c r="AB499" s="207" t="str">
        <f>IFERROR((VLOOKUP(F499&amp;K499&amp;M499,製品マスタ!$M$5:$AM$5002,27,FALSE)),"")</f>
        <v>原反ケース再利用</v>
      </c>
      <c r="AC499" s="33"/>
      <c r="AD499" s="189"/>
      <c r="AE499" s="54"/>
      <c r="AF499" s="55"/>
      <c r="AG499" s="43"/>
      <c r="AH499" s="47"/>
      <c r="AI499" s="30"/>
      <c r="AJ499" s="30"/>
      <c r="AK499" s="30"/>
      <c r="AL499" s="30"/>
      <c r="AM499" s="13"/>
      <c r="AN499" s="13"/>
      <c r="AO499" s="13"/>
      <c r="AP499" s="13"/>
      <c r="AQ499" s="13"/>
      <c r="AR499" s="14"/>
      <c r="AS499" s="15"/>
    </row>
    <row r="500" spans="1:45" s="17" customFormat="1" ht="30.95" hidden="1" customHeight="1" x14ac:dyDescent="0.2">
      <c r="A500" s="37"/>
      <c r="B500" s="38"/>
      <c r="C500" s="45"/>
      <c r="D500" s="31"/>
      <c r="E500" s="31"/>
      <c r="F500" s="268" t="str">
        <f>IF(D500="","",VLOOKUP(D500,契約台帳!$A$3:$K$4986,6,FALSE)&amp;VLOOKUP(D500,契約台帳!$A$3:$K$4986,7,FALSE)&amp;VLOOKUP(D500,契約台帳!$A$3:$K$4986,8,FALSE)&amp;VLOOKUP(D500,契約台帳!$A$3:$K$4986,9,FALSE)&amp;VLOOKUP(D500,契約台帳!$A$3:$K$4986,11,FALSE))</f>
        <v/>
      </c>
      <c r="G500" s="269" t="str">
        <f>IF(D500="","",VLOOKUP(F500,製品マスタ!$G$5:$H$5002,2,FALSE))</f>
        <v/>
      </c>
      <c r="H500" s="269" t="str">
        <f>IF(D500="","",VLOOKUP(F500,製品マスタ!$G$5:$K$5002,5,FALSE))</f>
        <v/>
      </c>
      <c r="I500" s="270" t="str">
        <f>IF(D500="","",VLOOKUP(F500,製品マスタ!$G$5:$L$5002,6,FALSE))</f>
        <v/>
      </c>
      <c r="J500" s="210"/>
      <c r="K500" s="270" t="str">
        <f>IF(D500="","",VLOOKUP(D500,契約台帳!$A$3:$L$4986,12,FALSE))</f>
        <v/>
      </c>
      <c r="L500" s="270" t="str">
        <f>IF(D500="","",INDEX(製品マスタ!$Q$5:$Q$5002,MATCH('S4'!F500&amp;'S4'!K500,製品マスタ!$AO$5:$AO$5002,0)))</f>
        <v/>
      </c>
      <c r="M500" s="39"/>
      <c r="N500" s="39"/>
      <c r="O500" s="156"/>
      <c r="P500" s="47"/>
      <c r="Q500" s="57"/>
      <c r="R500" s="271" t="str">
        <f ca="1">IF(D500="","",IF(OFFSET(D500,-1,0)&lt;&gt;"","",IF(OR(J500="リード付け",J500="巻足し",J500="巻返しリード付け"),M500,VLOOKUP(D500,契約台帳!$A$3:$N$4986,14,FALSE))))</f>
        <v/>
      </c>
      <c r="S500" s="272" t="str">
        <f ca="1">IF(D500="","",IF(OFFSET(D500,-1,0)&lt;&gt;"","",IF(OR(J500="リード付け",J500="巻足し",J500="巻返しリード付け"),M500,VLOOKUP(D500,契約台帳!$A$3:$O$4986,15,FALSE))))</f>
        <v/>
      </c>
      <c r="T500" s="273" t="str">
        <f ca="1">IF(D500="","",IF(J500="リード付け",N500,IF(J500="巻返しリード付け",N500,IF(J500="巻足し",N500*P500+OFFSET(N500,1,0)*OFFSET(P500,1,0),VLOOKUP(D500,契約台帳!$A$3:$P$4986,16,FALSE)))))</f>
        <v/>
      </c>
      <c r="U500" s="40"/>
      <c r="V500" s="274" t="str">
        <f ca="1">IF(D500="","",IF(OFFSET(D500,-2,0)=D500,"",VLOOKUP(D500,契約台帳!$A$3:$R$4986,18,FALSE)))</f>
        <v/>
      </c>
      <c r="W500" s="269" t="str">
        <f>IF(D500="","",IF(T500="","",IF(OR(J500="巻足し",J500="巻返しリード付け"),"",IF(J500="巻返し",VLOOKUP(F500&amp;K500&amp;M500,製品マスタ!$M$5:$AD$5002,18,FALSE),IF(OR(J500="リード付け",J500="巻返しリード付け"),"原反コア",IF(J500="スリット",VLOOKUP(F500&amp;K500&amp;R500,製品マスタ!$N$5:$AD$5002,17,FALSE),""))))))</f>
        <v/>
      </c>
      <c r="X500" s="269" t="str">
        <f>IF(D500="","",IF(T500="","",IF(J500="巻足し","",IF(J500="巻返し",VLOOKUP(F500&amp;K500&amp;M500,製品マスタ!$M$5:$AE$5002,19,FALSE),IF(OR(J500="リード付け",J500="巻返しリード付け"),"",IF(J500="スリット",VLOOKUP(F500&amp;K500&amp;R500,製品マスタ!$N$5:$AE$5002,18,FALSE),""))))))</f>
        <v/>
      </c>
      <c r="Y500" s="275" t="str">
        <f>IF(D500="","",IF(T500="","",VLOOKUP(D500,契約台帳!$A$3:$Q$4986,17,FALSE)))</f>
        <v/>
      </c>
      <c r="Z500" s="269" t="str">
        <f>IF(D500="","",IF(T500="","",VLOOKUP(D500,契約台帳!$A$3:$E$4986,5,FALSE)))</f>
        <v/>
      </c>
      <c r="AA500" s="57"/>
      <c r="AB500" s="207" t="str">
        <f>IFERROR((VLOOKUP(F500&amp;K500&amp;M500,製品マスタ!$M$5:$AM$5002,27,FALSE)),"")</f>
        <v/>
      </c>
      <c r="AC500" s="33"/>
      <c r="AD500" s="189"/>
      <c r="AE500" s="54"/>
      <c r="AF500" s="55"/>
      <c r="AG500" s="43"/>
      <c r="AH500" s="47"/>
      <c r="AI500" s="30"/>
      <c r="AJ500" s="30"/>
      <c r="AK500" s="30"/>
      <c r="AL500" s="30"/>
      <c r="AM500" s="13"/>
      <c r="AN500" s="13"/>
      <c r="AO500" s="13"/>
      <c r="AP500" s="13"/>
      <c r="AQ500" s="13"/>
      <c r="AR500" s="14"/>
      <c r="AS500" s="15"/>
    </row>
    <row r="501" spans="1:45" s="17" customFormat="1" ht="30.95" hidden="1" customHeight="1" x14ac:dyDescent="0.2">
      <c r="A501" s="37" t="s">
        <v>1098</v>
      </c>
      <c r="B501" s="38" t="s">
        <v>1099</v>
      </c>
      <c r="C501" s="45"/>
      <c r="D501" s="31">
        <v>3708724</v>
      </c>
      <c r="E501" s="31">
        <v>4161910</v>
      </c>
      <c r="F501" s="268" t="str">
        <f>IF(D501="","",VLOOKUP(D501,契約台帳!$A$3:$K$4986,6,FALSE)&amp;VLOOKUP(D501,契約台帳!$A$3:$K$4986,7,FALSE)&amp;VLOOKUP(D501,契約台帳!$A$3:$K$4986,8,FALSE)&amp;VLOOKUP(D501,契約台帳!$A$3:$K$4986,9,FALSE)&amp;VLOOKUP(D501,契約台帳!$A$3:$K$4986,11,FALSE))</f>
        <v>3SYMLBMSNMBZF</v>
      </c>
      <c r="G501" s="269" t="str">
        <f>IF(D501="","",VLOOKUP(F501,製品マスタ!$G$5:$H$5002,2,FALSE))</f>
        <v>S</v>
      </c>
      <c r="H501" s="269" t="str">
        <f>IF(D501="","",VLOOKUP(F501,製品マスタ!$G$5:$K$5002,5,FALSE))</f>
        <v>MSNMBZF</v>
      </c>
      <c r="I501" s="270" t="str">
        <f>IF(D501="","",VLOOKUP(F501,製品マスタ!$G$5:$L$5002,6,FALSE))</f>
        <v>ＭＥＴＡＬＵＭＹ　ＳＩＬＶＥＲ　Ｎ－ＭＡＴＴＥ　Ｂ</v>
      </c>
      <c r="J501" s="210" t="s">
        <v>935</v>
      </c>
      <c r="K501" s="270">
        <f>IF(D501="","",VLOOKUP(D501,契約台帳!$A$3:$L$4986,12,FALSE))</f>
        <v>50</v>
      </c>
      <c r="L501" s="270" t="str">
        <f>IF(D501="","",INDEX(製品マスタ!$Q$5:$Q$5002,MATCH('S4'!F501&amp;'S4'!K501,製品マスタ!$AO$5:$AO$5002,0)))</f>
        <v>X44</v>
      </c>
      <c r="M501" s="39">
        <v>1120</v>
      </c>
      <c r="N501" s="39">
        <v>4000</v>
      </c>
      <c r="O501" s="156">
        <v>12</v>
      </c>
      <c r="P501" s="47">
        <v>3</v>
      </c>
      <c r="Q501" s="213">
        <v>45042</v>
      </c>
      <c r="R501" s="271">
        <f ca="1">IF(D501="","",IF(OFFSET(D501,-1,0)&lt;&gt;"","",IF(OR(J501="リード付け",J501="巻足し",J501="巻返しリード付け"),M501,VLOOKUP(D501,契約台帳!$A$3:$N$4986,14,FALSE))))</f>
        <v>1120</v>
      </c>
      <c r="S501" s="272">
        <f ca="1">IF(D501="","",IF(OFFSET(D501,-1,0)&lt;&gt;"","",IF(OR(J501="リード付け",J501="巻足し",J501="巻返しリード付け"),M501,VLOOKUP(D501,契約台帳!$A$3:$O$4986,15,FALSE))))</f>
        <v>1120</v>
      </c>
      <c r="T501" s="273">
        <f ca="1">IF(D501="","",IF(J501="リード付け",N501,IF(J501="巻返しリード付け",N501,IF(J501="巻足し",N501*P501+OFFSET(N501,1,0)*OFFSET(P501,1,0),VLOOKUP(D501,契約台帳!$A$3:$P$4986,16,FALSE)))))</f>
        <v>12000</v>
      </c>
      <c r="U501" s="40">
        <v>4</v>
      </c>
      <c r="V501" s="274">
        <f ca="1">IF(D501="","",IF(OFFSET(D501,-2,0)=D501,"",VLOOKUP(D501,契約台帳!$A$3:$R$4986,18,FALSE)))</f>
        <v>16</v>
      </c>
      <c r="W501" s="269" t="str">
        <f ca="1">IF(D501="","",IF(T501="","",IF(OR(J501="巻足し",J501="巻返しリード付け"),"",IF(J501="巻返し",VLOOKUP(F501&amp;K501&amp;M501,製品マスタ!$M$5:$AD$5002,18,FALSE),IF(OR(J501="リード付け",J501="巻返しリード付け"),"原反コア",IF(J501="スリット",VLOOKUP(F501&amp;K501&amp;R501,製品マスタ!$N$5:$AD$5002,17,FALSE),""))))))</f>
        <v/>
      </c>
      <c r="X501" s="269" t="str">
        <f ca="1">IF(D501="","",IF(T501="","",IF(J501="巻足し","",IF(J501="巻返し",VLOOKUP(F501&amp;K501&amp;M501,製品マスタ!$M$5:$AE$5002,19,FALSE),IF(OR(J501="リード付け",J501="巻返しリード付け"),"",IF(J501="スリット",VLOOKUP(F501&amp;K501&amp;R501,製品マスタ!$N$5:$AE$5002,18,FALSE),""))))))</f>
        <v/>
      </c>
      <c r="Y501" s="275">
        <f ca="1">IF(D501="","",IF(T501="","",VLOOKUP(D501,契約台帳!$A$3:$Q$4986,17,FALSE)))</f>
        <v>2</v>
      </c>
      <c r="Z501" s="269" t="str">
        <f ca="1">IF(D501="","",IF(T501="","",VLOOKUP(D501,契約台帳!$A$3:$E$4986,5,FALSE)))</f>
        <v>リンテック㈱</v>
      </c>
      <c r="AA501" s="57"/>
      <c r="AB501" s="207">
        <f>IFERROR((VLOOKUP(F501&amp;K501&amp;M501,製品マスタ!$M$5:$AM$5002,27,FALSE)),"")</f>
        <v>0</v>
      </c>
      <c r="AC501" s="33"/>
      <c r="AD501" s="189"/>
      <c r="AE501" s="54"/>
      <c r="AF501" s="55"/>
      <c r="AG501" s="43"/>
      <c r="AH501" s="47"/>
      <c r="AI501" s="30"/>
      <c r="AJ501" s="30"/>
      <c r="AK501" s="30"/>
      <c r="AL501" s="30"/>
      <c r="AM501" s="13"/>
      <c r="AN501" s="13"/>
      <c r="AO501" s="13"/>
      <c r="AP501" s="13"/>
      <c r="AQ501" s="13"/>
      <c r="AR501" s="14"/>
      <c r="AS501" s="15"/>
    </row>
    <row r="502" spans="1:45" s="17" customFormat="1" ht="30.95" hidden="1" customHeight="1" x14ac:dyDescent="0.2">
      <c r="A502" s="37"/>
      <c r="B502" s="38"/>
      <c r="C502" s="45"/>
      <c r="D502" s="31"/>
      <c r="E502" s="31"/>
      <c r="F502" s="268" t="str">
        <f>IF(D502="","",VLOOKUP(D502,契約台帳!$A$3:$K$4986,6,FALSE)&amp;VLOOKUP(D502,契約台帳!$A$3:$K$4986,7,FALSE)&amp;VLOOKUP(D502,契約台帳!$A$3:$K$4986,8,FALSE)&amp;VLOOKUP(D502,契約台帳!$A$3:$K$4986,9,FALSE)&amp;VLOOKUP(D502,契約台帳!$A$3:$K$4986,11,FALSE))</f>
        <v/>
      </c>
      <c r="G502" s="269" t="str">
        <f>IF(D502="","",VLOOKUP(F502,製品マスタ!$G$5:$H$5002,2,FALSE))</f>
        <v/>
      </c>
      <c r="H502" s="269" t="str">
        <f>IF(D502="","",VLOOKUP(F502,製品マスタ!$G$5:$K$5002,5,FALSE))</f>
        <v/>
      </c>
      <c r="I502" s="270" t="str">
        <f>IF(D502="","",VLOOKUP(F502,製品マスタ!$G$5:$L$5002,6,FALSE))</f>
        <v/>
      </c>
      <c r="J502" s="210"/>
      <c r="K502" s="270" t="str">
        <f>IF(D502="","",VLOOKUP(D502,契約台帳!$A$3:$L$4986,12,FALSE))</f>
        <v/>
      </c>
      <c r="L502" s="270" t="str">
        <f>IF(D502="","",INDEX(製品マスタ!$Q$5:$Q$5002,MATCH('S4'!F502&amp;'S4'!K502,製品マスタ!$AO$5:$AO$5002,0)))</f>
        <v/>
      </c>
      <c r="M502" s="39"/>
      <c r="N502" s="39"/>
      <c r="O502" s="156"/>
      <c r="P502" s="47"/>
      <c r="Q502" s="57"/>
      <c r="R502" s="271" t="str">
        <f ca="1">IF(D502="","",IF(OFFSET(D502,-1,0)&lt;&gt;"","",IF(OR(J502="リード付け",J502="巻足し",J502="巻返しリード付け"),M502,VLOOKUP(D502,契約台帳!$A$3:$N$4986,14,FALSE))))</f>
        <v/>
      </c>
      <c r="S502" s="272" t="str">
        <f ca="1">IF(D502="","",IF(OFFSET(D502,-1,0)&lt;&gt;"","",IF(OR(J502="リード付け",J502="巻足し",J502="巻返しリード付け"),M502,VLOOKUP(D502,契約台帳!$A$3:$O$4986,15,FALSE))))</f>
        <v/>
      </c>
      <c r="T502" s="273" t="str">
        <f ca="1">IF(D502="","",IF(J502="リード付け",N502,IF(J502="巻返しリード付け",N502,IF(J502="巻足し",N502*P502+OFFSET(N502,1,0)*OFFSET(P502,1,0),VLOOKUP(D502,契約台帳!$A$3:$P$4986,16,FALSE)))))</f>
        <v/>
      </c>
      <c r="U502" s="40"/>
      <c r="V502" s="274" t="str">
        <f ca="1">IF(D502="","",IF(OFFSET(D502,-2,0)=D502,"",VLOOKUP(D502,契約台帳!$A$3:$R$4986,18,FALSE)))</f>
        <v/>
      </c>
      <c r="W502" s="269" t="str">
        <f>IF(D502="","",IF(T502="","",IF(OR(J502="巻足し",J502="巻返しリード付け"),"",IF(J502="巻返し",VLOOKUP(F502&amp;K502&amp;M502,製品マスタ!$M$5:$AD$5002,18,FALSE),IF(OR(J502="リード付け",J502="巻返しリード付け"),"原反コア",IF(J502="スリット",VLOOKUP(F502&amp;K502&amp;R502,製品マスタ!$N$5:$AD$5002,17,FALSE),""))))))</f>
        <v/>
      </c>
      <c r="X502" s="269" t="str">
        <f>IF(D502="","",IF(T502="","",IF(J502="巻足し","",IF(J502="巻返し",VLOOKUP(F502&amp;K502&amp;M502,製品マスタ!$M$5:$AE$5002,19,FALSE),IF(OR(J502="リード付け",J502="巻返しリード付け"),"",IF(J502="スリット",VLOOKUP(F502&amp;K502&amp;R502,製品マスタ!$N$5:$AE$5002,18,FALSE),""))))))</f>
        <v/>
      </c>
      <c r="Y502" s="275" t="str">
        <f>IF(D502="","",IF(T502="","",VLOOKUP(D502,契約台帳!$A$3:$Q$4986,17,FALSE)))</f>
        <v/>
      </c>
      <c r="Z502" s="269" t="str">
        <f>IF(D502="","",IF(T502="","",VLOOKUP(D502,契約台帳!$A$3:$E$4986,5,FALSE)))</f>
        <v/>
      </c>
      <c r="AA502" s="57"/>
      <c r="AB502" s="207" t="str">
        <f>IFERROR((VLOOKUP(F502&amp;K502&amp;M502,製品マスタ!$M$5:$AM$5002,27,FALSE)),"")</f>
        <v/>
      </c>
      <c r="AC502" s="33"/>
      <c r="AD502" s="189"/>
      <c r="AE502" s="54"/>
      <c r="AF502" s="55"/>
      <c r="AG502" s="43"/>
      <c r="AH502" s="47"/>
      <c r="AI502" s="30"/>
      <c r="AJ502" s="30"/>
      <c r="AK502" s="30"/>
      <c r="AL502" s="30"/>
      <c r="AM502" s="13"/>
      <c r="AN502" s="13"/>
      <c r="AO502" s="13"/>
      <c r="AP502" s="13"/>
      <c r="AQ502" s="13"/>
      <c r="AR502" s="14"/>
      <c r="AS502" s="15"/>
    </row>
    <row r="503" spans="1:45" s="17" customFormat="1" ht="30.95" hidden="1" customHeight="1" x14ac:dyDescent="0.2">
      <c r="A503" s="37"/>
      <c r="B503" s="38"/>
      <c r="C503" s="45"/>
      <c r="D503" s="31">
        <v>3708724</v>
      </c>
      <c r="E503" s="31">
        <v>4161910</v>
      </c>
      <c r="F503" s="268" t="str">
        <f>IF(D503="","",VLOOKUP(D503,契約台帳!$A$3:$K$4986,6,FALSE)&amp;VLOOKUP(D503,契約台帳!$A$3:$K$4986,7,FALSE)&amp;VLOOKUP(D503,契約台帳!$A$3:$K$4986,8,FALSE)&amp;VLOOKUP(D503,契約台帳!$A$3:$K$4986,9,FALSE)&amp;VLOOKUP(D503,契約台帳!$A$3:$K$4986,11,FALSE))</f>
        <v>3SYMLBMSNMBZF</v>
      </c>
      <c r="G503" s="269" t="str">
        <f>IF(D503="","",VLOOKUP(F503,製品マスタ!$G$5:$H$5002,2,FALSE))</f>
        <v>S</v>
      </c>
      <c r="H503" s="269" t="str">
        <f>IF(D503="","",VLOOKUP(F503,製品マスタ!$G$5:$K$5002,5,FALSE))</f>
        <v>MSNMBZF</v>
      </c>
      <c r="I503" s="270" t="str">
        <f>IF(D503="","",VLOOKUP(F503,製品マスタ!$G$5:$L$5002,6,FALSE))</f>
        <v>ＭＥＴＡＬＵＭＹ　ＳＩＬＶＥＲ　Ｎ－ＭＡＴＴＥ　Ｂ</v>
      </c>
      <c r="J503" s="210" t="s">
        <v>935</v>
      </c>
      <c r="K503" s="270">
        <f>IF(D503="","",VLOOKUP(D503,契約台帳!$A$3:$L$4986,12,FALSE))</f>
        <v>50</v>
      </c>
      <c r="L503" s="270" t="str">
        <f>IF(D503="","",INDEX(製品マスタ!$Q$5:$Q$5002,MATCH('S4'!F503&amp;'S4'!K503,製品マスタ!$AO$5:$AO$5002,0)))</f>
        <v>X44</v>
      </c>
      <c r="M503" s="39">
        <v>1120</v>
      </c>
      <c r="N503" s="39">
        <v>4000</v>
      </c>
      <c r="O503" s="156">
        <v>4</v>
      </c>
      <c r="P503" s="47">
        <v>2</v>
      </c>
      <c r="Q503" s="213">
        <v>45042</v>
      </c>
      <c r="R503" s="271">
        <f ca="1">IF(D503="","",IF(OFFSET(D503,-1,0)&lt;&gt;"","",IF(OR(J503="リード付け",J503="巻足し",J503="巻返しリード付け"),M503,VLOOKUP(D503,契約台帳!$A$3:$N$4986,14,FALSE))))</f>
        <v>1120</v>
      </c>
      <c r="S503" s="272">
        <f ca="1">IF(D503="","",IF(OFFSET(D503,-1,0)&lt;&gt;"","",IF(OR(J503="リード付け",J503="巻足し",J503="巻返しリード付け"),M503,VLOOKUP(D503,契約台帳!$A$3:$O$4986,15,FALSE))))</f>
        <v>1120</v>
      </c>
      <c r="T503" s="273">
        <f ca="1">IF(D503="","",IF(J503="リード付け",N503,IF(J503="巻返しリード付け",N503,IF(J503="巻足し",N503*P503+OFFSET(N503,1,0)*OFFSET(P503,1,0),VLOOKUP(D503,契約台帳!$A$3:$P$4986,16,FALSE)))))</f>
        <v>8000</v>
      </c>
      <c r="U503" s="40">
        <v>2</v>
      </c>
      <c r="V503" s="274" t="str">
        <f ca="1">IF(D503="","",IF(OFFSET(D503,-2,0)=D503,"",VLOOKUP(D503,契約台帳!$A$3:$R$4986,18,FALSE)))</f>
        <v/>
      </c>
      <c r="W503" s="269" t="str">
        <f ca="1">IF(D503="","",IF(T503="","",IF(OR(J503="巻足し",J503="巻返しリード付け"),"",IF(J503="巻返し",VLOOKUP(F503&amp;K503&amp;M503,製品マスタ!$M$5:$AD$5002,18,FALSE),IF(OR(J503="リード付け",J503="巻返しリード付け"),"原反コア",IF(J503="スリット",VLOOKUP(F503&amp;K503&amp;R503,製品マスタ!$N$5:$AD$5002,17,FALSE),""))))))</f>
        <v/>
      </c>
      <c r="X503" s="269" t="str">
        <f ca="1">IF(D503="","",IF(T503="","",IF(J503="巻足し","",IF(J503="巻返し",VLOOKUP(F503&amp;K503&amp;M503,製品マスタ!$M$5:$AE$5002,19,FALSE),IF(OR(J503="リード付け",J503="巻返しリード付け"),"",IF(J503="スリット",VLOOKUP(F503&amp;K503&amp;R503,製品マスタ!$N$5:$AE$5002,18,FALSE),""))))))</f>
        <v/>
      </c>
      <c r="Y503" s="275">
        <f ca="1">IF(D503="","",IF(T503="","",VLOOKUP(D503,契約台帳!$A$3:$Q$4986,17,FALSE)))</f>
        <v>2</v>
      </c>
      <c r="Z503" s="269" t="str">
        <f ca="1">IF(D503="","",IF(T503="","",VLOOKUP(D503,契約台帳!$A$3:$E$4986,5,FALSE)))</f>
        <v>リンテック㈱</v>
      </c>
      <c r="AA503" s="57"/>
      <c r="AB503" s="207">
        <f>IFERROR((VLOOKUP(F503&amp;K503&amp;M503,製品マスタ!$M$5:$AM$5002,27,FALSE)),"")</f>
        <v>0</v>
      </c>
      <c r="AC503" s="33"/>
      <c r="AD503" s="189"/>
      <c r="AE503" s="54"/>
      <c r="AF503" s="55"/>
      <c r="AG503" s="43"/>
      <c r="AH503" s="47"/>
      <c r="AI503" s="30"/>
      <c r="AJ503" s="30"/>
      <c r="AK503" s="30"/>
      <c r="AL503" s="30"/>
      <c r="AM503" s="13"/>
      <c r="AN503" s="13"/>
      <c r="AO503" s="13"/>
      <c r="AP503" s="13"/>
      <c r="AQ503" s="13"/>
      <c r="AR503" s="14"/>
      <c r="AS503" s="15"/>
    </row>
    <row r="504" spans="1:45" s="17" customFormat="1" ht="30.95" hidden="1" customHeight="1" x14ac:dyDescent="0.2">
      <c r="A504" s="37"/>
      <c r="B504" s="38"/>
      <c r="C504" s="45"/>
      <c r="D504" s="31"/>
      <c r="E504" s="31"/>
      <c r="F504" s="268" t="str">
        <f>IF(D504="","",VLOOKUP(D504,契約台帳!$A$3:$K$4986,6,FALSE)&amp;VLOOKUP(D504,契約台帳!$A$3:$K$4986,7,FALSE)&amp;VLOOKUP(D504,契約台帳!$A$3:$K$4986,8,FALSE)&amp;VLOOKUP(D504,契約台帳!$A$3:$K$4986,9,FALSE)&amp;VLOOKUP(D504,契約台帳!$A$3:$K$4986,11,FALSE))</f>
        <v/>
      </c>
      <c r="G504" s="269" t="str">
        <f>IF(D504="","",VLOOKUP(F504,製品マスタ!$G$5:$H$5002,2,FALSE))</f>
        <v/>
      </c>
      <c r="H504" s="269" t="str">
        <f>IF(D504="","",VLOOKUP(F504,製品マスタ!$G$5:$K$5002,5,FALSE))</f>
        <v/>
      </c>
      <c r="I504" s="270" t="str">
        <f>IF(D504="","",VLOOKUP(F504,製品マスタ!$G$5:$L$5002,6,FALSE))</f>
        <v/>
      </c>
      <c r="J504" s="210"/>
      <c r="K504" s="270" t="str">
        <f>IF(D504="","",VLOOKUP(D504,契約台帳!$A$3:$L$4986,12,FALSE))</f>
        <v/>
      </c>
      <c r="L504" s="270" t="str">
        <f>IF(D504="","",INDEX(製品マスタ!$Q$5:$Q$5002,MATCH('S4'!F504&amp;'S4'!K504,製品マスタ!$AO$5:$AO$5002,0)))</f>
        <v/>
      </c>
      <c r="M504" s="39"/>
      <c r="N504" s="39"/>
      <c r="O504" s="156"/>
      <c r="P504" s="47"/>
      <c r="Q504" s="57"/>
      <c r="R504" s="271" t="str">
        <f ca="1">IF(D504="","",IF(OFFSET(D504,-1,0)&lt;&gt;"","",IF(OR(J504="リード付け",J504="巻足し",J504="巻返しリード付け"),M504,VLOOKUP(D504,契約台帳!$A$3:$N$4986,14,FALSE))))</f>
        <v/>
      </c>
      <c r="S504" s="272" t="str">
        <f ca="1">IF(D504="","",IF(OFFSET(D504,-1,0)&lt;&gt;"","",IF(OR(J504="リード付け",J504="巻足し",J504="巻返しリード付け"),M504,VLOOKUP(D504,契約台帳!$A$3:$O$4986,15,FALSE))))</f>
        <v/>
      </c>
      <c r="T504" s="273" t="str">
        <f ca="1">IF(D504="","",IF(J504="リード付け",N504,IF(J504="巻返しリード付け",N504,IF(J504="巻足し",N504*P504+OFFSET(N504,1,0)*OFFSET(P504,1,0),VLOOKUP(D504,契約台帳!$A$3:$P$4986,16,FALSE)))))</f>
        <v/>
      </c>
      <c r="U504" s="40"/>
      <c r="V504" s="274" t="str">
        <f ca="1">IF(D504="","",IF(OFFSET(D504,-2,0)=D504,"",VLOOKUP(D504,契約台帳!$A$3:$R$4986,18,FALSE)))</f>
        <v/>
      </c>
      <c r="W504" s="269" t="str">
        <f>IF(D504="","",IF(T504="","",IF(OR(J504="巻足し",J504="巻返しリード付け"),"",IF(J504="巻返し",VLOOKUP(F504&amp;K504&amp;M504,製品マスタ!$M$5:$AD$5002,18,FALSE),IF(OR(J504="リード付け",J504="巻返しリード付け"),"原反コア",IF(J504="スリット",VLOOKUP(F504&amp;K504&amp;R504,製品マスタ!$N$5:$AD$5002,17,FALSE),""))))))</f>
        <v/>
      </c>
      <c r="X504" s="269" t="str">
        <f>IF(D504="","",IF(T504="","",IF(J504="巻足し","",IF(J504="巻返し",VLOOKUP(F504&amp;K504&amp;M504,製品マスタ!$M$5:$AE$5002,19,FALSE),IF(OR(J504="リード付け",J504="巻返しリード付け"),"",IF(J504="スリット",VLOOKUP(F504&amp;K504&amp;R504,製品マスタ!$N$5:$AE$5002,18,FALSE),""))))))</f>
        <v/>
      </c>
      <c r="Y504" s="275" t="str">
        <f>IF(D504="","",IF(T504="","",VLOOKUP(D504,契約台帳!$A$3:$Q$4986,17,FALSE)))</f>
        <v/>
      </c>
      <c r="Z504" s="269" t="str">
        <f>IF(D504="","",IF(T504="","",VLOOKUP(D504,契約台帳!$A$3:$E$4986,5,FALSE)))</f>
        <v/>
      </c>
      <c r="AA504" s="57"/>
      <c r="AB504" s="207" t="str">
        <f>IFERROR((VLOOKUP(F504&amp;K504&amp;M504,製品マスタ!$M$5:$AM$5002,27,FALSE)),"")</f>
        <v/>
      </c>
      <c r="AC504" s="33"/>
      <c r="AD504" s="189"/>
      <c r="AE504" s="54"/>
      <c r="AF504" s="55"/>
      <c r="AG504" s="43"/>
      <c r="AH504" s="47"/>
      <c r="AI504" s="30"/>
      <c r="AJ504" s="30"/>
      <c r="AK504" s="30"/>
      <c r="AL504" s="30"/>
      <c r="AM504" s="13"/>
      <c r="AN504" s="13"/>
      <c r="AO504" s="13"/>
      <c r="AP504" s="13"/>
      <c r="AQ504" s="13"/>
      <c r="AR504" s="14"/>
      <c r="AS504" s="15"/>
    </row>
    <row r="505" spans="1:45" s="17" customFormat="1" ht="30.95" hidden="1" customHeight="1" x14ac:dyDescent="0.2">
      <c r="A505" s="37" t="s">
        <v>1100</v>
      </c>
      <c r="B505" s="38" t="s">
        <v>1101</v>
      </c>
      <c r="C505" s="45"/>
      <c r="D505" s="31">
        <v>3708705</v>
      </c>
      <c r="E505" s="31">
        <v>4161895</v>
      </c>
      <c r="F505" s="268" t="str">
        <f>IF(D505="","",VLOOKUP(D505,契約台帳!$A$3:$K$4986,6,FALSE)&amp;VLOOKUP(D505,契約台帳!$A$3:$K$4986,7,FALSE)&amp;VLOOKUP(D505,契約台帳!$A$3:$K$4986,8,FALSE)&amp;VLOOKUP(D505,契約台帳!$A$3:$K$4986,9,FALSE)&amp;VLOOKUP(D505,契約台帳!$A$3:$K$4986,11,FALSE))</f>
        <v>3SNMLBMNGKKBF</v>
      </c>
      <c r="G505" s="269" t="str">
        <f>IF(D505="","",VLOOKUP(F505,製品マスタ!$G$5:$H$5002,2,FALSE))</f>
        <v>S</v>
      </c>
      <c r="H505" s="269" t="str">
        <f>IF(D505="","",VLOOKUP(F505,製品マスタ!$G$5:$K$5002,5,FALSE))</f>
        <v>MNGKKBF</v>
      </c>
      <c r="I505" s="270" t="str">
        <f>IF(D505="","",VLOOKUP(F505,製品マスタ!$G$5:$L$5002,6,FALSE))</f>
        <v>メタルミー　ネーマー銀消改　Ｂ</v>
      </c>
      <c r="J505" s="210" t="s">
        <v>1102</v>
      </c>
      <c r="K505" s="270">
        <f>IF(D505="","",VLOOKUP(D505,契約台帳!$A$3:$L$4986,12,FALSE))</f>
        <v>25</v>
      </c>
      <c r="L505" s="270" t="str">
        <f>IF(D505="","",INDEX(製品マスタ!$Q$5:$Q$5002,MATCH('S4'!F505&amp;'S4'!K505,製品マスタ!$AO$5:$AO$5002,0)))</f>
        <v>FMATS99</v>
      </c>
      <c r="M505" s="39">
        <v>1120</v>
      </c>
      <c r="N505" s="39">
        <v>3800</v>
      </c>
      <c r="O505" s="156">
        <v>9</v>
      </c>
      <c r="P505" s="47">
        <v>3</v>
      </c>
      <c r="Q505" s="213">
        <v>45042</v>
      </c>
      <c r="R505" s="271">
        <f ca="1">IF(D505="","",IF(OFFSET(D505,-1,0)&lt;&gt;"","",IF(OR(J505="リード付け",J505="巻足し",J505="巻返しリード付け"),M505,VLOOKUP(D505,契約台帳!$A$3:$N$4986,14,FALSE))))</f>
        <v>1120</v>
      </c>
      <c r="S505" s="272">
        <f ca="1">IF(D505="","",IF(OFFSET(D505,-1,0)&lt;&gt;"","",IF(OR(J505="リード付け",J505="巻足し",J505="巻返しリード付け"),M505,VLOOKUP(D505,契約台帳!$A$3:$O$4986,15,FALSE))))</f>
        <v>1120</v>
      </c>
      <c r="T505" s="273">
        <f ca="1">IF(D505="","",IF(J505="リード付け",N505,IF(J505="巻返しリード付け",N505,IF(J505="巻足し",N505*P505+OFFSET(N505,1,0)*OFFSET(P505,1,0),VLOOKUP(D505,契約台帳!$A$3:$P$4986,16,FALSE)))))</f>
        <v>11400</v>
      </c>
      <c r="U505" s="40">
        <v>3</v>
      </c>
      <c r="V505" s="274">
        <f ca="1">IF(D505="","",IF(OFFSET(D505,-2,0)=D505,"",VLOOKUP(D505,契約台帳!$A$3:$R$4986,18,FALSE)))</f>
        <v>9</v>
      </c>
      <c r="W505" s="269" t="str">
        <f ca="1">IF(D505="","",IF(T505="","",IF(OR(J505="巻足し",J505="巻返しリード付け"),"",IF(J505="巻返し",VLOOKUP(F505&amp;K505&amp;M505,製品マスタ!$M$5:$AD$5002,18,FALSE),IF(OR(J505="リード付け",J505="巻返しリード付け"),"原反コア",IF(J505="スリット",VLOOKUP(F505&amp;K505&amp;R505,製品マスタ!$N$5:$AD$5002,17,FALSE),""))))))</f>
        <v/>
      </c>
      <c r="X505" s="269" t="str">
        <f ca="1">IF(D505="","",IF(T505="","",IF(J505="巻足し","",IF(J505="巻返し",VLOOKUP(F505&amp;K505&amp;M505,製品マスタ!$M$5:$AE$5002,19,FALSE),IF(OR(J505="リード付け",J505="巻返しリード付け"),"",IF(J505="スリット",VLOOKUP(F505&amp;K505&amp;R505,製品マスタ!$N$5:$AE$5002,18,FALSE),""))))))</f>
        <v/>
      </c>
      <c r="Y505" s="275">
        <f ca="1">IF(D505="","",IF(T505="","",VLOOKUP(D505,契約台帳!$A$3:$Q$4986,17,FALSE)))</f>
        <v>2</v>
      </c>
      <c r="Z505" s="269" t="str">
        <f ca="1">IF(D505="","",IF(T505="","",VLOOKUP(D505,契約台帳!$A$3:$E$4986,5,FALSE)))</f>
        <v>リンテック㈱</v>
      </c>
      <c r="AA505" s="57"/>
      <c r="AB505" s="207">
        <f>IFERROR((VLOOKUP(F505&amp;K505&amp;M505,製品マスタ!$M$5:$AM$5002,27,FALSE)),"")</f>
        <v>0</v>
      </c>
      <c r="AC505" s="33"/>
      <c r="AD505" s="189"/>
      <c r="AE505" s="54"/>
      <c r="AF505" s="55"/>
      <c r="AG505" s="43"/>
      <c r="AH505" s="47"/>
      <c r="AI505" s="30"/>
      <c r="AJ505" s="30"/>
      <c r="AK505" s="30"/>
      <c r="AL505" s="30"/>
      <c r="AM505" s="13"/>
      <c r="AN505" s="13"/>
      <c r="AO505" s="13"/>
      <c r="AP505" s="13"/>
      <c r="AQ505" s="13"/>
      <c r="AR505" s="14"/>
      <c r="AS505" s="15"/>
    </row>
    <row r="506" spans="1:45" s="17" customFormat="1" ht="30.95" hidden="1" customHeight="1" x14ac:dyDescent="0.2">
      <c r="A506" s="37"/>
      <c r="B506" s="38"/>
      <c r="C506" s="45"/>
      <c r="D506" s="31"/>
      <c r="E506" s="31"/>
      <c r="F506" s="268" t="str">
        <f>IF(D506="","",VLOOKUP(D506,契約台帳!$A$3:$K$4986,6,FALSE)&amp;VLOOKUP(D506,契約台帳!$A$3:$K$4986,7,FALSE)&amp;VLOOKUP(D506,契約台帳!$A$3:$K$4986,8,FALSE)&amp;VLOOKUP(D506,契約台帳!$A$3:$K$4986,9,FALSE)&amp;VLOOKUP(D506,契約台帳!$A$3:$K$4986,11,FALSE))</f>
        <v/>
      </c>
      <c r="G506" s="269" t="str">
        <f>IF(D506="","",VLOOKUP(F506,製品マスタ!$G$5:$H$5002,2,FALSE))</f>
        <v/>
      </c>
      <c r="H506" s="269" t="str">
        <f>IF(D506="","",VLOOKUP(F506,製品マスタ!$G$5:$K$5002,5,FALSE))</f>
        <v/>
      </c>
      <c r="I506" s="270" t="str">
        <f>IF(D506="","",VLOOKUP(F506,製品マスタ!$G$5:$L$5002,6,FALSE))</f>
        <v/>
      </c>
      <c r="J506" s="210"/>
      <c r="K506" s="270" t="str">
        <f>IF(D506="","",VLOOKUP(D506,契約台帳!$A$3:$L$4986,12,FALSE))</f>
        <v/>
      </c>
      <c r="L506" s="270" t="str">
        <f>IF(D506="","",INDEX(製品マスタ!$Q$5:$Q$5002,MATCH('S4'!F506&amp;'S4'!K506,製品マスタ!$AO$5:$AO$5002,0)))</f>
        <v/>
      </c>
      <c r="M506" s="39"/>
      <c r="N506" s="39"/>
      <c r="O506" s="156"/>
      <c r="P506" s="47"/>
      <c r="Q506" s="57"/>
      <c r="R506" s="271" t="str">
        <f ca="1">IF(D506="","",IF(OFFSET(D506,-1,0)&lt;&gt;"","",IF(OR(J506="リード付け",J506="巻足し",J506="巻返しリード付け"),M506,VLOOKUP(D506,契約台帳!$A$3:$N$4986,14,FALSE))))</f>
        <v/>
      </c>
      <c r="S506" s="272" t="str">
        <f ca="1">IF(D506="","",IF(OFFSET(D506,-1,0)&lt;&gt;"","",IF(OR(J506="リード付け",J506="巻足し",J506="巻返しリード付け"),M506,VLOOKUP(D506,契約台帳!$A$3:$O$4986,15,FALSE))))</f>
        <v/>
      </c>
      <c r="T506" s="273" t="str">
        <f ca="1">IF(D506="","",IF(J506="リード付け",N506,IF(J506="巻返しリード付け",N506,IF(J506="巻足し",N506*P506+OFFSET(N506,1,0)*OFFSET(P506,1,0),VLOOKUP(D506,契約台帳!$A$3:$P$4986,16,FALSE)))))</f>
        <v/>
      </c>
      <c r="U506" s="40"/>
      <c r="V506" s="274" t="str">
        <f ca="1">IF(D506="","",IF(OFFSET(D506,-2,0)=D506,"",VLOOKUP(D506,契約台帳!$A$3:$R$4986,18,FALSE)))</f>
        <v/>
      </c>
      <c r="W506" s="269" t="str">
        <f>IF(D506="","",IF(T506="","",IF(OR(J506="巻足し",J506="巻返しリード付け"),"",IF(J506="巻返し",VLOOKUP(F506&amp;K506&amp;M506,製品マスタ!$M$5:$AD$5002,18,FALSE),IF(OR(J506="リード付け",J506="巻返しリード付け"),"原反コア",IF(J506="スリット",VLOOKUP(F506&amp;K506&amp;R506,製品マスタ!$N$5:$AD$5002,17,FALSE),""))))))</f>
        <v/>
      </c>
      <c r="X506" s="269" t="str">
        <f>IF(D506="","",IF(T506="","",IF(J506="巻足し","",IF(J506="巻返し",VLOOKUP(F506&amp;K506&amp;M506,製品マスタ!$M$5:$AE$5002,19,FALSE),IF(OR(J506="リード付け",J506="巻返しリード付け"),"",IF(J506="スリット",VLOOKUP(F506&amp;K506&amp;R506,製品マスタ!$N$5:$AE$5002,18,FALSE),""))))))</f>
        <v/>
      </c>
      <c r="Y506" s="275" t="str">
        <f>IF(D506="","",IF(T506="","",VLOOKUP(D506,契約台帳!$A$3:$Q$4986,17,FALSE)))</f>
        <v/>
      </c>
      <c r="Z506" s="269" t="str">
        <f>IF(D506="","",IF(T506="","",VLOOKUP(D506,契約台帳!$A$3:$E$4986,5,FALSE)))</f>
        <v/>
      </c>
      <c r="AA506" s="57"/>
      <c r="AB506" s="207" t="str">
        <f>IFERROR((VLOOKUP(F506&amp;K506&amp;M506,製品マスタ!$M$5:$AM$5002,27,FALSE)),"")</f>
        <v/>
      </c>
      <c r="AC506" s="33"/>
      <c r="AD506" s="189"/>
      <c r="AE506" s="54"/>
      <c r="AF506" s="55"/>
      <c r="AG506" s="43"/>
      <c r="AH506" s="47"/>
      <c r="AI506" s="30"/>
      <c r="AJ506" s="30"/>
      <c r="AK506" s="30"/>
      <c r="AL506" s="30"/>
      <c r="AM506" s="13"/>
      <c r="AN506" s="13"/>
      <c r="AO506" s="13"/>
      <c r="AP506" s="13"/>
      <c r="AQ506" s="13"/>
      <c r="AR506" s="14"/>
      <c r="AS506" s="15"/>
    </row>
    <row r="507" spans="1:45" s="17" customFormat="1" ht="30.95" hidden="1" customHeight="1" x14ac:dyDescent="0.2">
      <c r="A507" s="37"/>
      <c r="B507" s="38"/>
      <c r="C507" s="45"/>
      <c r="D507" s="31">
        <v>3708725</v>
      </c>
      <c r="E507" s="31">
        <v>4161904</v>
      </c>
      <c r="F507" s="268" t="str">
        <f>IF(D507="","",VLOOKUP(D507,契約台帳!$A$3:$K$4986,6,FALSE)&amp;VLOOKUP(D507,契約台帳!$A$3:$K$4986,7,FALSE)&amp;VLOOKUP(D507,契約台帳!$A$3:$K$4986,8,FALSE)&amp;VLOOKUP(D507,契約台帳!$A$3:$K$4986,9,FALSE)&amp;VLOOKUP(D507,契約台帳!$A$3:$K$4986,11,FALSE))</f>
        <v>3SYMLBMSBBZF</v>
      </c>
      <c r="G507" s="269" t="str">
        <f>IF(D507="","",VLOOKUP(F507,製品マスタ!$G$5:$H$5002,2,FALSE))</f>
        <v>S</v>
      </c>
      <c r="H507" s="269" t="str">
        <f>IF(D507="","",VLOOKUP(F507,製品マスタ!$G$5:$K$5002,5,FALSE))</f>
        <v>MSBBZF</v>
      </c>
      <c r="I507" s="270" t="str">
        <f>IF(D507="","",VLOOKUP(F507,製品マスタ!$G$5:$L$5002,6,FALSE))</f>
        <v>ＭＥＴＡＬＵＭＹ　ＳＩＬＶＥＲ　ＢＲＩＧＨＴ　Ｂ</v>
      </c>
      <c r="J507" s="210" t="s">
        <v>1102</v>
      </c>
      <c r="K507" s="270">
        <f>IF(D507="","",VLOOKUP(D507,契約台帳!$A$3:$L$4986,12,FALSE))</f>
        <v>50</v>
      </c>
      <c r="L507" s="270" t="str">
        <f>IF(D507="","",INDEX(製品マスタ!$Q$5:$Q$5002,MATCH('S4'!F507&amp;'S4'!K507,製品マスタ!$AO$5:$AO$5002,0)))</f>
        <v>T62</v>
      </c>
      <c r="M507" s="39">
        <v>1120</v>
      </c>
      <c r="N507" s="39">
        <v>5000</v>
      </c>
      <c r="O507" s="156">
        <v>2</v>
      </c>
      <c r="P507" s="47">
        <v>2</v>
      </c>
      <c r="Q507" s="213">
        <v>45042</v>
      </c>
      <c r="R507" s="271">
        <f ca="1">IF(D507="","",IF(OFFSET(D507,-1,0)&lt;&gt;"","",IF(OR(J507="リード付け",J507="巻足し",J507="巻返しリード付け"),M507,VLOOKUP(D507,契約台帳!$A$3:$N$4986,14,FALSE))))</f>
        <v>1120</v>
      </c>
      <c r="S507" s="272">
        <f ca="1">IF(D507="","",IF(OFFSET(D507,-1,0)&lt;&gt;"","",IF(OR(J507="リード付け",J507="巻足し",J507="巻返しリード付け"),M507,VLOOKUP(D507,契約台帳!$A$3:$O$4986,15,FALSE))))</f>
        <v>1120</v>
      </c>
      <c r="T507" s="273">
        <f ca="1">IF(D507="","",IF(J507="リード付け",N507,IF(J507="巻返しリード付け",N507,IF(J507="巻足し",N507*P507+OFFSET(N507,1,0)*OFFSET(P507,1,0),VLOOKUP(D507,契約台帳!$A$3:$P$4986,16,FALSE)))))</f>
        <v>10000</v>
      </c>
      <c r="U507" s="40">
        <v>1</v>
      </c>
      <c r="V507" s="274">
        <f ca="1">IF(D507="","",IF(OFFSET(D507,-2,0)=D507,"",VLOOKUP(D507,契約台帳!$A$3:$R$4986,18,FALSE)))</f>
        <v>2</v>
      </c>
      <c r="W507" s="269" t="str">
        <f ca="1">IF(D507="","",IF(T507="","",IF(OR(J507="巻足し",J507="巻返しリード付け"),"",IF(J507="巻返し",VLOOKUP(F507&amp;K507&amp;M507,製品マスタ!$M$5:$AD$5002,18,FALSE),IF(OR(J507="リード付け",J507="巻返しリード付け"),"原反コア",IF(J507="スリット",VLOOKUP(F507&amp;K507&amp;R507,製品マスタ!$N$5:$AD$5002,17,FALSE),""))))))</f>
        <v/>
      </c>
      <c r="X507" s="269" t="str">
        <f ca="1">IF(D507="","",IF(T507="","",IF(J507="巻足し","",IF(J507="巻返し",VLOOKUP(F507&amp;K507&amp;M507,製品マスタ!$M$5:$AE$5002,19,FALSE),IF(OR(J507="リード付け",J507="巻返しリード付け"),"",IF(J507="スリット",VLOOKUP(F507&amp;K507&amp;R507,製品マスタ!$N$5:$AE$5002,18,FALSE),""))))))</f>
        <v/>
      </c>
      <c r="Y507" s="275">
        <f ca="1">IF(D507="","",IF(T507="","",VLOOKUP(D507,契約台帳!$A$3:$Q$4986,17,FALSE)))</f>
        <v>2</v>
      </c>
      <c r="Z507" s="269" t="str">
        <f ca="1">IF(D507="","",IF(T507="","",VLOOKUP(D507,契約台帳!$A$3:$E$4986,5,FALSE)))</f>
        <v>リンテック㈱</v>
      </c>
      <c r="AA507" s="57"/>
      <c r="AB507" s="207" t="str">
        <f>IFERROR((VLOOKUP(F507&amp;K507&amp;M507,製品マスタ!$M$5:$AM$5002,27,FALSE)),"")</f>
        <v>原反ケース再利用</v>
      </c>
      <c r="AC507" s="33"/>
      <c r="AD507" s="189"/>
      <c r="AE507" s="54"/>
      <c r="AF507" s="55"/>
      <c r="AG507" s="43"/>
      <c r="AH507" s="47"/>
      <c r="AI507" s="30"/>
      <c r="AJ507" s="30"/>
      <c r="AK507" s="30"/>
      <c r="AL507" s="30"/>
      <c r="AM507" s="13"/>
      <c r="AN507" s="13"/>
      <c r="AO507" s="13"/>
      <c r="AP507" s="13"/>
      <c r="AQ507" s="13"/>
      <c r="AR507" s="14"/>
      <c r="AS507" s="15"/>
    </row>
    <row r="508" spans="1:45" s="17" customFormat="1" ht="30.95" hidden="1" customHeight="1" x14ac:dyDescent="0.2">
      <c r="A508" s="37"/>
      <c r="B508" s="38"/>
      <c r="C508" s="45"/>
      <c r="D508" s="31"/>
      <c r="E508" s="31"/>
      <c r="F508" s="268" t="str">
        <f>IF(D508="","",VLOOKUP(D508,契約台帳!$A$3:$K$4986,6,FALSE)&amp;VLOOKUP(D508,契約台帳!$A$3:$K$4986,7,FALSE)&amp;VLOOKUP(D508,契約台帳!$A$3:$K$4986,8,FALSE)&amp;VLOOKUP(D508,契約台帳!$A$3:$K$4986,9,FALSE)&amp;VLOOKUP(D508,契約台帳!$A$3:$K$4986,11,FALSE))</f>
        <v/>
      </c>
      <c r="G508" s="269" t="str">
        <f>IF(D508="","",VLOOKUP(F508,製品マスタ!$G$5:$H$5002,2,FALSE))</f>
        <v/>
      </c>
      <c r="H508" s="269" t="str">
        <f>IF(D508="","",VLOOKUP(F508,製品マスタ!$G$5:$K$5002,5,FALSE))</f>
        <v/>
      </c>
      <c r="I508" s="270" t="str">
        <f>IF(D508="","",VLOOKUP(F508,製品マスタ!$G$5:$L$5002,6,FALSE))</f>
        <v/>
      </c>
      <c r="J508" s="210"/>
      <c r="K508" s="270" t="str">
        <f>IF(D508="","",VLOOKUP(D508,契約台帳!$A$3:$L$4986,12,FALSE))</f>
        <v/>
      </c>
      <c r="L508" s="270" t="str">
        <f>IF(D508="","",INDEX(製品マスタ!$Q$5:$Q$5002,MATCH('S4'!F508&amp;'S4'!K508,製品マスタ!$AO$5:$AO$5002,0)))</f>
        <v/>
      </c>
      <c r="M508" s="39"/>
      <c r="N508" s="39"/>
      <c r="O508" s="156"/>
      <c r="P508" s="47"/>
      <c r="Q508" s="57"/>
      <c r="R508" s="271" t="str">
        <f ca="1">IF(D508="","",IF(OFFSET(D508,-1,0)&lt;&gt;"","",IF(OR(J508="リード付け",J508="巻足し",J508="巻返しリード付け"),M508,VLOOKUP(D508,契約台帳!$A$3:$N$4986,14,FALSE))))</f>
        <v/>
      </c>
      <c r="S508" s="272" t="str">
        <f ca="1">IF(D508="","",IF(OFFSET(D508,-1,0)&lt;&gt;"","",IF(OR(J508="リード付け",J508="巻足し",J508="巻返しリード付け"),M508,VLOOKUP(D508,契約台帳!$A$3:$O$4986,15,FALSE))))</f>
        <v/>
      </c>
      <c r="T508" s="273" t="str">
        <f ca="1">IF(D508="","",IF(J508="リード付け",N508,IF(J508="巻返しリード付け",N508,IF(J508="巻足し",N508*P508+OFFSET(N508,1,0)*OFFSET(P508,1,0),VLOOKUP(D508,契約台帳!$A$3:$P$4986,16,FALSE)))))</f>
        <v/>
      </c>
      <c r="U508" s="40"/>
      <c r="V508" s="274" t="str">
        <f ca="1">IF(D508="","",IF(OFFSET(D508,-2,0)=D508,"",VLOOKUP(D508,契約台帳!$A$3:$R$4986,18,FALSE)))</f>
        <v/>
      </c>
      <c r="W508" s="269" t="str">
        <f>IF(D508="","",IF(T508="","",IF(OR(J508="巻足し",J508="巻返しリード付け"),"",IF(J508="巻返し",VLOOKUP(F508&amp;K508&amp;M508,製品マスタ!$M$5:$AD$5002,18,FALSE),IF(OR(J508="リード付け",J508="巻返しリード付け"),"原反コア",IF(J508="スリット",VLOOKUP(F508&amp;K508&amp;R508,製品マスタ!$N$5:$AD$5002,17,FALSE),""))))))</f>
        <v/>
      </c>
      <c r="X508" s="269" t="str">
        <f>IF(D508="","",IF(T508="","",IF(J508="巻足し","",IF(J508="巻返し",VLOOKUP(F508&amp;K508&amp;M508,製品マスタ!$M$5:$AE$5002,19,FALSE),IF(OR(J508="リード付け",J508="巻返しリード付け"),"",IF(J508="スリット",VLOOKUP(F508&amp;K508&amp;R508,製品マスタ!$N$5:$AE$5002,18,FALSE),""))))))</f>
        <v/>
      </c>
      <c r="Y508" s="275" t="str">
        <f>IF(D508="","",IF(T508="","",VLOOKUP(D508,契約台帳!$A$3:$Q$4986,17,FALSE)))</f>
        <v/>
      </c>
      <c r="Z508" s="269" t="str">
        <f>IF(D508="","",IF(T508="","",VLOOKUP(D508,契約台帳!$A$3:$E$4986,5,FALSE)))</f>
        <v/>
      </c>
      <c r="AA508" s="57"/>
      <c r="AB508" s="207" t="str">
        <f>IFERROR((VLOOKUP(F508&amp;K508&amp;M508,製品マスタ!$M$5:$AM$5002,27,FALSE)),"")</f>
        <v/>
      </c>
      <c r="AC508" s="33"/>
      <c r="AD508" s="189"/>
      <c r="AE508" s="54"/>
      <c r="AF508" s="55"/>
      <c r="AG508" s="43"/>
      <c r="AH508" s="47"/>
      <c r="AI508" s="30"/>
      <c r="AJ508" s="30"/>
      <c r="AK508" s="30"/>
      <c r="AL508" s="30"/>
      <c r="AM508" s="13"/>
      <c r="AN508" s="13"/>
      <c r="AO508" s="13"/>
      <c r="AP508" s="13"/>
      <c r="AQ508" s="13"/>
      <c r="AR508" s="14"/>
      <c r="AS508" s="15"/>
    </row>
    <row r="509" spans="1:45" s="17" customFormat="1" ht="30.95" hidden="1" customHeight="1" x14ac:dyDescent="0.2">
      <c r="A509" s="37"/>
      <c r="B509" s="38"/>
      <c r="C509" s="45"/>
      <c r="D509" s="31">
        <v>3708707</v>
      </c>
      <c r="E509" s="31">
        <v>4161893</v>
      </c>
      <c r="F509" s="268" t="str">
        <f>IF(D509="","",VLOOKUP(D509,契約台帳!$A$3:$K$4986,6,FALSE)&amp;VLOOKUP(D509,契約台帳!$A$3:$K$4986,7,FALSE)&amp;VLOOKUP(D509,契約台帳!$A$3:$K$4986,8,FALSE)&amp;VLOOKUP(D509,契約台帳!$A$3:$K$4986,9,FALSE)&amp;VLOOKUP(D509,契約台帳!$A$3:$K$4986,11,FALSE))</f>
        <v>3SNMLBMNGKBF</v>
      </c>
      <c r="G509" s="269" t="str">
        <f>IF(D509="","",VLOOKUP(F509,製品マスタ!$G$5:$H$5002,2,FALSE))</f>
        <v>S</v>
      </c>
      <c r="H509" s="269" t="str">
        <f>IF(D509="","",VLOOKUP(F509,製品マスタ!$G$5:$K$5002,5,FALSE))</f>
        <v>MNGKBF</v>
      </c>
      <c r="I509" s="270" t="str">
        <f>IF(D509="","",VLOOKUP(F509,製品マスタ!$G$5:$L$5002,6,FALSE))</f>
        <v>メタルミー　ネーマー銀消　Ｂ</v>
      </c>
      <c r="J509" s="210" t="s">
        <v>1102</v>
      </c>
      <c r="K509" s="270">
        <f>IF(D509="","",VLOOKUP(D509,契約台帳!$A$3:$L$4986,12,FALSE))</f>
        <v>50</v>
      </c>
      <c r="L509" s="270" t="str">
        <f>IF(D509="","",INDEX(製品マスタ!$Q$5:$Q$5002,MATCH('S4'!F509&amp;'S4'!K509,製品マスタ!$AO$5:$AO$5002,0)))</f>
        <v>MAT</v>
      </c>
      <c r="M509" s="39">
        <v>1050</v>
      </c>
      <c r="N509" s="39">
        <v>4100</v>
      </c>
      <c r="O509" s="156">
        <v>4</v>
      </c>
      <c r="P509" s="47">
        <v>2</v>
      </c>
      <c r="Q509" s="213">
        <v>45042</v>
      </c>
      <c r="R509" s="271">
        <f ca="1">IF(D509="","",IF(OFFSET(D509,-1,0)&lt;&gt;"","",IF(OR(J509="リード付け",J509="巻足し",J509="巻返しリード付け"),M509,VLOOKUP(D509,契約台帳!$A$3:$N$4986,14,FALSE))))</f>
        <v>1050</v>
      </c>
      <c r="S509" s="272">
        <f ca="1">IF(D509="","",IF(OFFSET(D509,-1,0)&lt;&gt;"","",IF(OR(J509="リード付け",J509="巻足し",J509="巻返しリード付け"),M509,VLOOKUP(D509,契約台帳!$A$3:$O$4986,15,FALSE))))</f>
        <v>1050</v>
      </c>
      <c r="T509" s="273">
        <f ca="1">IF(D509="","",IF(J509="リード付け",N509,IF(J509="巻返しリード付け",N509,IF(J509="巻足し",N509*P509+OFFSET(N509,1,0)*OFFSET(P509,1,0),VLOOKUP(D509,契約台帳!$A$3:$P$4986,16,FALSE)))))</f>
        <v>8200</v>
      </c>
      <c r="U509" s="40">
        <v>2</v>
      </c>
      <c r="V509" s="274">
        <f ca="1">IF(D509="","",IF(OFFSET(D509,-2,0)=D509,"",VLOOKUP(D509,契約台帳!$A$3:$R$4986,18,FALSE)))</f>
        <v>4</v>
      </c>
      <c r="W509" s="269" t="str">
        <f ca="1">IF(D509="","",IF(T509="","",IF(OR(J509="巻足し",J509="巻返しリード付け"),"",IF(J509="巻返し",VLOOKUP(F509&amp;K509&amp;M509,製品マスタ!$M$5:$AD$5002,18,FALSE),IF(OR(J509="リード付け",J509="巻返しリード付け"),"原反コア",IF(J509="スリット",VLOOKUP(F509&amp;K509&amp;R509,製品マスタ!$N$5:$AD$5002,17,FALSE),""))))))</f>
        <v/>
      </c>
      <c r="X509" s="269" t="str">
        <f ca="1">IF(D509="","",IF(T509="","",IF(J509="巻足し","",IF(J509="巻返し",VLOOKUP(F509&amp;K509&amp;M509,製品マスタ!$M$5:$AE$5002,19,FALSE),IF(OR(J509="リード付け",J509="巻返しリード付け"),"",IF(J509="スリット",VLOOKUP(F509&amp;K509&amp;R509,製品マスタ!$N$5:$AE$5002,18,FALSE),""))))))</f>
        <v/>
      </c>
      <c r="Y509" s="275">
        <f ca="1">IF(D509="","",IF(T509="","",VLOOKUP(D509,契約台帳!$A$3:$Q$4986,17,FALSE)))</f>
        <v>2</v>
      </c>
      <c r="Z509" s="269" t="str">
        <f ca="1">IF(D509="","",IF(T509="","",VLOOKUP(D509,契約台帳!$A$3:$E$4986,5,FALSE)))</f>
        <v>リンテック㈱</v>
      </c>
      <c r="AA509" s="57"/>
      <c r="AB509" s="207">
        <f>IFERROR((VLOOKUP(F509&amp;K509&amp;M509,製品マスタ!$M$5:$AM$5002,27,FALSE)),"")</f>
        <v>0</v>
      </c>
      <c r="AC509" s="33"/>
      <c r="AD509" s="189"/>
      <c r="AE509" s="54"/>
      <c r="AF509" s="55"/>
      <c r="AG509" s="43"/>
      <c r="AH509" s="47"/>
      <c r="AI509" s="30"/>
      <c r="AJ509" s="30"/>
      <c r="AK509" s="30"/>
      <c r="AL509" s="30"/>
      <c r="AM509" s="13"/>
      <c r="AN509" s="13"/>
      <c r="AO509" s="13"/>
      <c r="AP509" s="13"/>
      <c r="AQ509" s="13"/>
      <c r="AR509" s="14"/>
      <c r="AS509" s="15"/>
    </row>
    <row r="510" spans="1:45" s="17" customFormat="1" ht="30.95" hidden="1" customHeight="1" x14ac:dyDescent="0.2">
      <c r="A510" s="37"/>
      <c r="B510" s="38"/>
      <c r="C510" s="45"/>
      <c r="D510" s="31"/>
      <c r="E510" s="31"/>
      <c r="F510" s="268" t="str">
        <f>IF(D510="","",VLOOKUP(D510,契約台帳!$A$3:$K$4986,6,FALSE)&amp;VLOOKUP(D510,契約台帳!$A$3:$K$4986,7,FALSE)&amp;VLOOKUP(D510,契約台帳!$A$3:$K$4986,8,FALSE)&amp;VLOOKUP(D510,契約台帳!$A$3:$K$4986,9,FALSE)&amp;VLOOKUP(D510,契約台帳!$A$3:$K$4986,11,FALSE))</f>
        <v/>
      </c>
      <c r="G510" s="269" t="str">
        <f>IF(D510="","",VLOOKUP(F510,製品マスタ!$G$5:$H$5002,2,FALSE))</f>
        <v/>
      </c>
      <c r="H510" s="269" t="str">
        <f>IF(D510="","",VLOOKUP(F510,製品マスタ!$G$5:$K$5002,5,FALSE))</f>
        <v/>
      </c>
      <c r="I510" s="270" t="str">
        <f>IF(D510="","",VLOOKUP(F510,製品マスタ!$G$5:$L$5002,6,FALSE))</f>
        <v/>
      </c>
      <c r="J510" s="210"/>
      <c r="K510" s="270" t="str">
        <f>IF(D510="","",VLOOKUP(D510,契約台帳!$A$3:$L$4986,12,FALSE))</f>
        <v/>
      </c>
      <c r="L510" s="270" t="str">
        <f>IF(D510="","",INDEX(製品マスタ!$Q$5:$Q$5002,MATCH('S4'!F510&amp;'S4'!K510,製品マスタ!$AO$5:$AO$5002,0)))</f>
        <v/>
      </c>
      <c r="M510" s="39"/>
      <c r="N510" s="39"/>
      <c r="O510" s="156"/>
      <c r="P510" s="47"/>
      <c r="Q510" s="57"/>
      <c r="R510" s="271" t="str">
        <f ca="1">IF(D510="","",IF(OFFSET(D510,-1,0)&lt;&gt;"","",IF(OR(J510="リード付け",J510="巻足し",J510="巻返しリード付け"),M510,VLOOKUP(D510,契約台帳!$A$3:$N$4986,14,FALSE))))</f>
        <v/>
      </c>
      <c r="S510" s="272" t="str">
        <f ca="1">IF(D510="","",IF(OFFSET(D510,-1,0)&lt;&gt;"","",IF(OR(J510="リード付け",J510="巻足し",J510="巻返しリード付け"),M510,VLOOKUP(D510,契約台帳!$A$3:$O$4986,15,FALSE))))</f>
        <v/>
      </c>
      <c r="T510" s="273" t="str">
        <f ca="1">IF(D510="","",IF(J510="リード付け",N510,IF(J510="巻返しリード付け",N510,IF(J510="巻足し",N510*P510+OFFSET(N510,1,0)*OFFSET(P510,1,0),VLOOKUP(D510,契約台帳!$A$3:$P$4986,16,FALSE)))))</f>
        <v/>
      </c>
      <c r="U510" s="40"/>
      <c r="V510" s="274" t="str">
        <f ca="1">IF(D510="","",IF(OFFSET(D510,-2,0)=D510,"",VLOOKUP(D510,契約台帳!$A$3:$R$4986,18,FALSE)))</f>
        <v/>
      </c>
      <c r="W510" s="269" t="str">
        <f>IF(D510="","",IF(T510="","",IF(OR(J510="巻足し",J510="巻返しリード付け"),"",IF(J510="巻返し",VLOOKUP(F510&amp;K510&amp;M510,製品マスタ!$M$5:$AD$5002,18,FALSE),IF(OR(J510="リード付け",J510="巻返しリード付け"),"原反コア",IF(J510="スリット",VLOOKUP(F510&amp;K510&amp;R510,製品マスタ!$N$5:$AD$5002,17,FALSE),""))))))</f>
        <v/>
      </c>
      <c r="X510" s="269" t="str">
        <f>IF(D510="","",IF(T510="","",IF(J510="巻足し","",IF(J510="巻返し",VLOOKUP(F510&amp;K510&amp;M510,製品マスタ!$M$5:$AE$5002,19,FALSE),IF(OR(J510="リード付け",J510="巻返しリード付け"),"",IF(J510="スリット",VLOOKUP(F510&amp;K510&amp;R510,製品マスタ!$N$5:$AE$5002,18,FALSE),""))))))</f>
        <v/>
      </c>
      <c r="Y510" s="275" t="str">
        <f>IF(D510="","",IF(T510="","",VLOOKUP(D510,契約台帳!$A$3:$Q$4986,17,FALSE)))</f>
        <v/>
      </c>
      <c r="Z510" s="269" t="str">
        <f>IF(D510="","",IF(T510="","",VLOOKUP(D510,契約台帳!$A$3:$E$4986,5,FALSE)))</f>
        <v/>
      </c>
      <c r="AA510" s="57"/>
      <c r="AB510" s="207" t="str">
        <f>IFERROR((VLOOKUP(F510&amp;K510&amp;M510,製品マスタ!$M$5:$AM$5002,27,FALSE)),"")</f>
        <v/>
      </c>
      <c r="AC510" s="33"/>
      <c r="AD510" s="189"/>
      <c r="AE510" s="54"/>
      <c r="AF510" s="55"/>
      <c r="AG510" s="43"/>
      <c r="AH510" s="47"/>
      <c r="AI510" s="30"/>
      <c r="AJ510" s="30"/>
      <c r="AK510" s="30"/>
      <c r="AL510" s="30"/>
      <c r="AM510" s="13"/>
      <c r="AN510" s="13"/>
      <c r="AO510" s="13"/>
      <c r="AP510" s="13"/>
      <c r="AQ510" s="13"/>
      <c r="AR510" s="14"/>
      <c r="AS510" s="15"/>
    </row>
    <row r="511" spans="1:45" s="17" customFormat="1" ht="30.95" hidden="1" customHeight="1" x14ac:dyDescent="0.2">
      <c r="A511" s="37"/>
      <c r="B511" s="38"/>
      <c r="C511" s="45"/>
      <c r="D511" s="31">
        <v>3708708</v>
      </c>
      <c r="E511" s="31">
        <v>4161894</v>
      </c>
      <c r="F511" s="268" t="str">
        <f>IF(D511="","",VLOOKUP(D511,契約台帳!$A$3:$K$4986,6,FALSE)&amp;VLOOKUP(D511,契約台帳!$A$3:$K$4986,7,FALSE)&amp;VLOOKUP(D511,契約台帳!$A$3:$K$4986,8,FALSE)&amp;VLOOKUP(D511,契約台帳!$A$3:$K$4986,9,FALSE)&amp;VLOOKUP(D511,契約台帳!$A$3:$K$4986,11,FALSE))</f>
        <v>3SNMLBMNGKBF</v>
      </c>
      <c r="G511" s="269" t="str">
        <f>IF(D511="","",VLOOKUP(F511,製品マスタ!$G$5:$H$5002,2,FALSE))</f>
        <v>S</v>
      </c>
      <c r="H511" s="269" t="str">
        <f>IF(D511="","",VLOOKUP(F511,製品マスタ!$G$5:$K$5002,5,FALSE))</f>
        <v>MNGKBF</v>
      </c>
      <c r="I511" s="270" t="str">
        <f>IF(D511="","",VLOOKUP(F511,製品マスタ!$G$5:$L$5002,6,FALSE))</f>
        <v>メタルミー　ネーマー銀消　Ｂ</v>
      </c>
      <c r="J511" s="210" t="s">
        <v>1102</v>
      </c>
      <c r="K511" s="270">
        <f>IF(D511="","",VLOOKUP(D511,契約台帳!$A$3:$L$4986,12,FALSE))</f>
        <v>75</v>
      </c>
      <c r="L511" s="270" t="str">
        <f>IF(D511="","",INDEX(製品マスタ!$Q$5:$Q$5002,MATCH('S4'!F511&amp;'S4'!K511,製品マスタ!$AO$5:$AO$5002,0)))</f>
        <v>MAT</v>
      </c>
      <c r="M511" s="39">
        <v>1050</v>
      </c>
      <c r="N511" s="39">
        <v>2000</v>
      </c>
      <c r="O511" s="156">
        <v>3</v>
      </c>
      <c r="P511" s="47">
        <v>3</v>
      </c>
      <c r="Q511" s="213">
        <v>45042</v>
      </c>
      <c r="R511" s="271">
        <f ca="1">IF(D511="","",IF(OFFSET(D511,-1,0)&lt;&gt;"","",IF(OR(J511="リード付け",J511="巻足し",J511="巻返しリード付け"),M511,VLOOKUP(D511,契約台帳!$A$3:$N$4986,14,FALSE))))</f>
        <v>1050</v>
      </c>
      <c r="S511" s="272">
        <f ca="1">IF(D511="","",IF(OFFSET(D511,-1,0)&lt;&gt;"","",IF(OR(J511="リード付け",J511="巻足し",J511="巻返しリード付け"),M511,VLOOKUP(D511,契約台帳!$A$3:$O$4986,15,FALSE))))</f>
        <v>1050</v>
      </c>
      <c r="T511" s="273">
        <f ca="1">IF(D511="","",IF(J511="リード付け",N511,IF(J511="巻返しリード付け",N511,IF(J511="巻足し",N511*P511+OFFSET(N511,1,0)*OFFSET(P511,1,0),VLOOKUP(D511,契約台帳!$A$3:$P$4986,16,FALSE)))))</f>
        <v>6000</v>
      </c>
      <c r="U511" s="40">
        <v>1</v>
      </c>
      <c r="V511" s="274">
        <f ca="1">IF(D511="","",IF(OFFSET(D511,-2,0)=D511,"",VLOOKUP(D511,契約台帳!$A$3:$R$4986,18,FALSE)))</f>
        <v>3</v>
      </c>
      <c r="W511" s="269" t="str">
        <f ca="1">IF(D511="","",IF(T511="","",IF(OR(J511="巻足し",J511="巻返しリード付け"),"",IF(J511="巻返し",VLOOKUP(F511&amp;K511&amp;M511,製品マスタ!$M$5:$AD$5002,18,FALSE),IF(OR(J511="リード付け",J511="巻返しリード付け"),"原反コア",IF(J511="スリット",VLOOKUP(F511&amp;K511&amp;R511,製品マスタ!$N$5:$AD$5002,17,FALSE),""))))))</f>
        <v/>
      </c>
      <c r="X511" s="269" t="str">
        <f ca="1">IF(D511="","",IF(T511="","",IF(J511="巻足し","",IF(J511="巻返し",VLOOKUP(F511&amp;K511&amp;M511,製品マスタ!$M$5:$AE$5002,19,FALSE),IF(OR(J511="リード付け",J511="巻返しリード付け"),"",IF(J511="スリット",VLOOKUP(F511&amp;K511&amp;R511,製品マスタ!$N$5:$AE$5002,18,FALSE),""))))))</f>
        <v/>
      </c>
      <c r="Y511" s="275">
        <f ca="1">IF(D511="","",IF(T511="","",VLOOKUP(D511,契約台帳!$A$3:$Q$4986,17,FALSE)))</f>
        <v>2</v>
      </c>
      <c r="Z511" s="269" t="str">
        <f ca="1">IF(D511="","",IF(T511="","",VLOOKUP(D511,契約台帳!$A$3:$E$4986,5,FALSE)))</f>
        <v>リンテック㈱</v>
      </c>
      <c r="AA511" s="57"/>
      <c r="AB511" s="207">
        <f>IFERROR((VLOOKUP(F511&amp;K511&amp;M511,製品マスタ!$M$5:$AM$5002,27,FALSE)),"")</f>
        <v>0</v>
      </c>
      <c r="AC511" s="33"/>
      <c r="AD511" s="189"/>
      <c r="AE511" s="54"/>
      <c r="AF511" s="55"/>
      <c r="AG511" s="43"/>
      <c r="AH511" s="47"/>
      <c r="AI511" s="30"/>
      <c r="AJ511" s="30"/>
      <c r="AK511" s="30"/>
      <c r="AL511" s="30"/>
      <c r="AM511" s="13"/>
      <c r="AN511" s="13"/>
      <c r="AO511" s="13"/>
      <c r="AP511" s="13"/>
      <c r="AQ511" s="13"/>
      <c r="AR511" s="14"/>
      <c r="AS511" s="15"/>
    </row>
    <row r="512" spans="1:45" s="17" customFormat="1" ht="30.95" hidden="1" customHeight="1" x14ac:dyDescent="0.2">
      <c r="A512" s="37"/>
      <c r="B512" s="38"/>
      <c r="C512" s="45"/>
      <c r="D512" s="31"/>
      <c r="E512" s="31"/>
      <c r="F512" s="268" t="str">
        <f>IF(D512="","",VLOOKUP(D512,契約台帳!$A$3:$K$4986,6,FALSE)&amp;VLOOKUP(D512,契約台帳!$A$3:$K$4986,7,FALSE)&amp;VLOOKUP(D512,契約台帳!$A$3:$K$4986,8,FALSE)&amp;VLOOKUP(D512,契約台帳!$A$3:$K$4986,9,FALSE)&amp;VLOOKUP(D512,契約台帳!$A$3:$K$4986,11,FALSE))</f>
        <v/>
      </c>
      <c r="G512" s="269" t="str">
        <f>IF(D512="","",VLOOKUP(F512,製品マスタ!$G$5:$H$5002,2,FALSE))</f>
        <v/>
      </c>
      <c r="H512" s="269" t="str">
        <f>IF(D512="","",VLOOKUP(F512,製品マスタ!$G$5:$K$5002,5,FALSE))</f>
        <v/>
      </c>
      <c r="I512" s="270" t="str">
        <f>IF(D512="","",VLOOKUP(F512,製品マスタ!$G$5:$L$5002,6,FALSE))</f>
        <v/>
      </c>
      <c r="J512" s="210"/>
      <c r="K512" s="270" t="str">
        <f>IF(D512="","",VLOOKUP(D512,契約台帳!$A$3:$L$4986,12,FALSE))</f>
        <v/>
      </c>
      <c r="L512" s="270" t="str">
        <f>IF(D512="","",INDEX(製品マスタ!$Q$5:$Q$5002,MATCH('S4'!F512&amp;'S4'!K512,製品マスタ!$AO$5:$AO$5002,0)))</f>
        <v/>
      </c>
      <c r="M512" s="39"/>
      <c r="N512" s="39"/>
      <c r="O512" s="156"/>
      <c r="P512" s="47"/>
      <c r="Q512" s="57"/>
      <c r="R512" s="271" t="str">
        <f ca="1">IF(D512="","",IF(OFFSET(D512,-1,0)&lt;&gt;"","",IF(OR(J512="リード付け",J512="巻足し",J512="巻返しリード付け"),M512,VLOOKUP(D512,契約台帳!$A$3:$N$4986,14,FALSE))))</f>
        <v/>
      </c>
      <c r="S512" s="272" t="str">
        <f ca="1">IF(D512="","",IF(OFFSET(D512,-1,0)&lt;&gt;"","",IF(OR(J512="リード付け",J512="巻足し",J512="巻返しリード付け"),M512,VLOOKUP(D512,契約台帳!$A$3:$O$4986,15,FALSE))))</f>
        <v/>
      </c>
      <c r="T512" s="273" t="str">
        <f ca="1">IF(D512="","",IF(J512="リード付け",N512,IF(J512="巻返しリード付け",N512,IF(J512="巻足し",N512*P512+OFFSET(N512,1,0)*OFFSET(P512,1,0),VLOOKUP(D512,契約台帳!$A$3:$P$4986,16,FALSE)))))</f>
        <v/>
      </c>
      <c r="U512" s="40"/>
      <c r="V512" s="274" t="str">
        <f ca="1">IF(D512="","",IF(OFFSET(D512,-2,0)=D512,"",VLOOKUP(D512,契約台帳!$A$3:$R$4986,18,FALSE)))</f>
        <v/>
      </c>
      <c r="W512" s="269" t="str">
        <f>IF(D512="","",IF(T512="","",IF(OR(J512="巻足し",J512="巻返しリード付け"),"",IF(J512="巻返し",VLOOKUP(F512&amp;K512&amp;M512,製品マスタ!$M$5:$AD$5002,18,FALSE),IF(OR(J512="リード付け",J512="巻返しリード付け"),"原反コア",IF(J512="スリット",VLOOKUP(F512&amp;K512&amp;R512,製品マスタ!$N$5:$AD$5002,17,FALSE),""))))))</f>
        <v/>
      </c>
      <c r="X512" s="269" t="str">
        <f>IF(D512="","",IF(T512="","",IF(J512="巻足し","",IF(J512="巻返し",VLOOKUP(F512&amp;K512&amp;M512,製品マスタ!$M$5:$AE$5002,19,FALSE),IF(OR(J512="リード付け",J512="巻返しリード付け"),"",IF(J512="スリット",VLOOKUP(F512&amp;K512&amp;R512,製品マスタ!$N$5:$AE$5002,18,FALSE),""))))))</f>
        <v/>
      </c>
      <c r="Y512" s="275" t="str">
        <f>IF(D512="","",IF(T512="","",VLOOKUP(D512,契約台帳!$A$3:$Q$4986,17,FALSE)))</f>
        <v/>
      </c>
      <c r="Z512" s="269" t="str">
        <f>IF(D512="","",IF(T512="","",VLOOKUP(D512,契約台帳!$A$3:$E$4986,5,FALSE)))</f>
        <v/>
      </c>
      <c r="AA512" s="57"/>
      <c r="AB512" s="207" t="str">
        <f>IFERROR((VLOOKUP(F512&amp;K512&amp;M512,製品マスタ!$M$5:$AM$5002,27,FALSE)),"")</f>
        <v/>
      </c>
      <c r="AC512" s="33"/>
      <c r="AD512" s="189"/>
      <c r="AE512" s="54"/>
      <c r="AF512" s="55"/>
      <c r="AG512" s="43"/>
      <c r="AH512" s="47"/>
      <c r="AI512" s="30"/>
      <c r="AJ512" s="30"/>
      <c r="AK512" s="30"/>
      <c r="AL512" s="30"/>
      <c r="AM512" s="13"/>
      <c r="AN512" s="13"/>
      <c r="AO512" s="13"/>
      <c r="AP512" s="13"/>
      <c r="AQ512" s="13"/>
      <c r="AR512" s="14"/>
      <c r="AS512" s="15"/>
    </row>
    <row r="513" spans="1:45" s="17" customFormat="1" ht="30.95" hidden="1" customHeight="1" x14ac:dyDescent="0.2">
      <c r="A513" s="37" t="s">
        <v>1069</v>
      </c>
      <c r="B513" s="38" t="s">
        <v>444</v>
      </c>
      <c r="C513" s="45"/>
      <c r="D513" s="31">
        <v>3708715</v>
      </c>
      <c r="E513" s="31">
        <v>4161903</v>
      </c>
      <c r="F513" s="268" t="str">
        <f>IF(D513="","",VLOOKUP(D513,契約台帳!$A$3:$K$4986,6,FALSE)&amp;VLOOKUP(D513,契約台帳!$A$3:$K$4986,7,FALSE)&amp;VLOOKUP(D513,契約台帳!$A$3:$K$4986,8,FALSE)&amp;VLOOKUP(D513,契約台帳!$A$3:$K$4986,9,FALSE)&amp;VLOOKUP(D513,契約台帳!$A$3:$K$4986,11,FALSE))</f>
        <v>3SNMLBMNNGKBF</v>
      </c>
      <c r="G513" s="269" t="str">
        <f>IF(D513="","",VLOOKUP(F513,製品マスタ!$G$5:$H$5002,2,FALSE))</f>
        <v>S</v>
      </c>
      <c r="H513" s="269" t="str">
        <f>IF(D513="","",VLOOKUP(F513,製品マスタ!$G$5:$K$5002,5,FALSE))</f>
        <v>MNNGKBF</v>
      </c>
      <c r="I513" s="270" t="str">
        <f>IF(D513="","",VLOOKUP(F513,製品マスタ!$G$5:$L$5002,6,FALSE))</f>
        <v>メタルミー　ニューネーマー銀消　Ｂ</v>
      </c>
      <c r="J513" s="210" t="s">
        <v>1102</v>
      </c>
      <c r="K513" s="270">
        <f>IF(D513="","",VLOOKUP(D513,契約台帳!$A$3:$L$4986,12,FALSE))</f>
        <v>50</v>
      </c>
      <c r="L513" s="270" t="str">
        <f>IF(D513="","",INDEX(製品マスタ!$Q$5:$Q$5002,MATCH('S4'!F513&amp;'S4'!K513,製品マスタ!$AO$5:$AO$5002,0)))</f>
        <v>X44</v>
      </c>
      <c r="M513" s="39">
        <v>1000</v>
      </c>
      <c r="N513" s="39">
        <v>4000</v>
      </c>
      <c r="O513" s="156">
        <v>15</v>
      </c>
      <c r="P513" s="47">
        <v>3</v>
      </c>
      <c r="Q513" s="213">
        <v>45043</v>
      </c>
      <c r="R513" s="271">
        <f ca="1">IF(D513="","",IF(OFFSET(D513,-1,0)&lt;&gt;"","",IF(OR(J513="リード付け",J513="巻足し",J513="巻返しリード付け"),M513,VLOOKUP(D513,契約台帳!$A$3:$N$4986,14,FALSE))))</f>
        <v>1000</v>
      </c>
      <c r="S513" s="272">
        <f ca="1">IF(D513="","",IF(OFFSET(D513,-1,0)&lt;&gt;"","",IF(OR(J513="リード付け",J513="巻足し",J513="巻返しリード付け"),M513,VLOOKUP(D513,契約台帳!$A$3:$O$4986,15,FALSE))))</f>
        <v>1000</v>
      </c>
      <c r="T513" s="273">
        <f ca="1">IF(D513="","",IF(J513="リード付け",N513,IF(J513="巻返しリード付け",N513,IF(J513="巻足し",N513*P513+OFFSET(N513,1,0)*OFFSET(P513,1,0),VLOOKUP(D513,契約台帳!$A$3:$P$4986,16,FALSE)))))</f>
        <v>12000</v>
      </c>
      <c r="U513" s="40">
        <v>5</v>
      </c>
      <c r="V513" s="274">
        <f ca="1">IF(D513="","",IF(OFFSET(D513,-2,0)=D513,"",VLOOKUP(D513,契約台帳!$A$3:$R$4986,18,FALSE)))</f>
        <v>15</v>
      </c>
      <c r="W513" s="269" t="str">
        <f ca="1">IF(D513="","",IF(T513="","",IF(OR(J513="巻足し",J513="巻返しリード付け"),"",IF(J513="巻返し",VLOOKUP(F513&amp;K513&amp;M513,製品マスタ!$M$5:$AD$5002,18,FALSE),IF(OR(J513="リード付け",J513="巻返しリード付け"),"原反コア",IF(J513="スリット",VLOOKUP(F513&amp;K513&amp;R513,製品マスタ!$N$5:$AD$5002,17,FALSE),""))))))</f>
        <v/>
      </c>
      <c r="X513" s="269" t="str">
        <f ca="1">IF(D513="","",IF(T513="","",IF(J513="巻足し","",IF(J513="巻返し",VLOOKUP(F513&amp;K513&amp;M513,製品マスタ!$M$5:$AE$5002,19,FALSE),IF(OR(J513="リード付け",J513="巻返しリード付け"),"",IF(J513="スリット",VLOOKUP(F513&amp;K513&amp;R513,製品マスタ!$N$5:$AE$5002,18,FALSE),""))))))</f>
        <v/>
      </c>
      <c r="Y513" s="275">
        <f ca="1">IF(D513="","",IF(T513="","",VLOOKUP(D513,契約台帳!$A$3:$Q$4986,17,FALSE)))</f>
        <v>2</v>
      </c>
      <c r="Z513" s="269" t="str">
        <f ca="1">IF(D513="","",IF(T513="","",VLOOKUP(D513,契約台帳!$A$3:$E$4986,5,FALSE)))</f>
        <v>リンテック㈱</v>
      </c>
      <c r="AA513" s="57"/>
      <c r="AB513" s="207" t="str">
        <f>IFERROR((VLOOKUP(F513&amp;K513&amp;M513,製品マスタ!$M$5:$AM$5002,27,FALSE)),"")</f>
        <v>原反ケース再利用</v>
      </c>
      <c r="AC513" s="33"/>
      <c r="AD513" s="189"/>
      <c r="AE513" s="54"/>
      <c r="AF513" s="55"/>
      <c r="AG513" s="43"/>
      <c r="AH513" s="47"/>
      <c r="AI513" s="30"/>
      <c r="AJ513" s="30"/>
      <c r="AK513" s="30"/>
      <c r="AL513" s="30"/>
      <c r="AM513" s="13"/>
      <c r="AN513" s="13"/>
      <c r="AO513" s="13"/>
      <c r="AP513" s="13"/>
      <c r="AQ513" s="13"/>
      <c r="AR513" s="14"/>
      <c r="AS513" s="15"/>
    </row>
    <row r="514" spans="1:45" s="17" customFormat="1" ht="30.95" hidden="1" customHeight="1" x14ac:dyDescent="0.2">
      <c r="A514" s="37"/>
      <c r="B514" s="38"/>
      <c r="C514" s="45"/>
      <c r="D514" s="31"/>
      <c r="E514" s="31"/>
      <c r="F514" s="268" t="str">
        <f>IF(D514="","",VLOOKUP(D514,契約台帳!$A$3:$K$4986,6,FALSE)&amp;VLOOKUP(D514,契約台帳!$A$3:$K$4986,7,FALSE)&amp;VLOOKUP(D514,契約台帳!$A$3:$K$4986,8,FALSE)&amp;VLOOKUP(D514,契約台帳!$A$3:$K$4986,9,FALSE)&amp;VLOOKUP(D514,契約台帳!$A$3:$K$4986,11,FALSE))</f>
        <v/>
      </c>
      <c r="G514" s="269" t="str">
        <f>IF(D514="","",VLOOKUP(F514,製品マスタ!$G$5:$H$5002,2,FALSE))</f>
        <v/>
      </c>
      <c r="H514" s="269" t="str">
        <f>IF(D514="","",VLOOKUP(F514,製品マスタ!$G$5:$K$5002,5,FALSE))</f>
        <v/>
      </c>
      <c r="I514" s="270" t="str">
        <f>IF(D514="","",VLOOKUP(F514,製品マスタ!$G$5:$L$5002,6,FALSE))</f>
        <v/>
      </c>
      <c r="J514" s="210"/>
      <c r="K514" s="270" t="str">
        <f>IF(D514="","",VLOOKUP(D514,契約台帳!$A$3:$L$4986,12,FALSE))</f>
        <v/>
      </c>
      <c r="L514" s="270" t="str">
        <f>IF(D514="","",INDEX(製品マスタ!$Q$5:$Q$5002,MATCH('S4'!F514&amp;'S4'!K514,製品マスタ!$AO$5:$AO$5002,0)))</f>
        <v/>
      </c>
      <c r="M514" s="39"/>
      <c r="N514" s="39"/>
      <c r="O514" s="156"/>
      <c r="P514" s="47"/>
      <c r="Q514" s="57"/>
      <c r="R514" s="271" t="str">
        <f ca="1">IF(D514="","",IF(OFFSET(D514,-1,0)&lt;&gt;"","",IF(OR(J514="リード付け",J514="巻足し",J514="巻返しリード付け"),M514,VLOOKUP(D514,契約台帳!$A$3:$N$4986,14,FALSE))))</f>
        <v/>
      </c>
      <c r="S514" s="272" t="str">
        <f ca="1">IF(D514="","",IF(OFFSET(D514,-1,0)&lt;&gt;"","",IF(OR(J514="リード付け",J514="巻足し",J514="巻返しリード付け"),M514,VLOOKUP(D514,契約台帳!$A$3:$O$4986,15,FALSE))))</f>
        <v/>
      </c>
      <c r="T514" s="273" t="str">
        <f ca="1">IF(D514="","",IF(J514="リード付け",N514,IF(J514="巻返しリード付け",N514,IF(J514="巻足し",N514*P514+OFFSET(N514,1,0)*OFFSET(P514,1,0),VLOOKUP(D514,契約台帳!$A$3:$P$4986,16,FALSE)))))</f>
        <v/>
      </c>
      <c r="U514" s="40"/>
      <c r="V514" s="274" t="str">
        <f ca="1">IF(D514="","",IF(OFFSET(D514,-2,0)=D514,"",VLOOKUP(D514,契約台帳!$A$3:$R$4986,18,FALSE)))</f>
        <v/>
      </c>
      <c r="W514" s="269" t="str">
        <f>IF(D514="","",IF(T514="","",IF(OR(J514="巻足し",J514="巻返しリード付け"),"",IF(J514="巻返し",VLOOKUP(F514&amp;K514&amp;M514,製品マスタ!$M$5:$AD$5002,18,FALSE),IF(OR(J514="リード付け",J514="巻返しリード付け"),"原反コア",IF(J514="スリット",VLOOKUP(F514&amp;K514&amp;R514,製品マスタ!$N$5:$AD$5002,17,FALSE),""))))))</f>
        <v/>
      </c>
      <c r="X514" s="269" t="str">
        <f>IF(D514="","",IF(T514="","",IF(J514="巻足し","",IF(J514="巻返し",VLOOKUP(F514&amp;K514&amp;M514,製品マスタ!$M$5:$AE$5002,19,FALSE),IF(OR(J514="リード付け",J514="巻返しリード付け"),"",IF(J514="スリット",VLOOKUP(F514&amp;K514&amp;R514,製品マスタ!$N$5:$AE$5002,18,FALSE),""))))))</f>
        <v/>
      </c>
      <c r="Y514" s="275" t="str">
        <f>IF(D514="","",IF(T514="","",VLOOKUP(D514,契約台帳!$A$3:$Q$4986,17,FALSE)))</f>
        <v/>
      </c>
      <c r="Z514" s="269" t="str">
        <f>IF(D514="","",IF(T514="","",VLOOKUP(D514,契約台帳!$A$3:$E$4986,5,FALSE)))</f>
        <v/>
      </c>
      <c r="AA514" s="57"/>
      <c r="AB514" s="207" t="str">
        <f>IFERROR((VLOOKUP(F514&amp;K514&amp;M514,製品マスタ!$M$5:$AM$5002,27,FALSE)),"")</f>
        <v/>
      </c>
      <c r="AC514" s="33"/>
      <c r="AD514" s="189"/>
      <c r="AE514" s="54"/>
      <c r="AF514" s="55"/>
      <c r="AG514" s="43"/>
      <c r="AH514" s="47"/>
      <c r="AI514" s="30"/>
      <c r="AJ514" s="30"/>
      <c r="AK514" s="30"/>
      <c r="AL514" s="30"/>
      <c r="AM514" s="13"/>
      <c r="AN514" s="13"/>
      <c r="AO514" s="13"/>
      <c r="AP514" s="13"/>
      <c r="AQ514" s="13"/>
      <c r="AR514" s="14"/>
      <c r="AS514" s="15"/>
    </row>
    <row r="515" spans="1:45" s="17" customFormat="1" ht="30.95" hidden="1" customHeight="1" x14ac:dyDescent="0.2">
      <c r="A515" s="37"/>
      <c r="B515" s="38"/>
      <c r="C515" s="45"/>
      <c r="D515" s="31">
        <v>3708726</v>
      </c>
      <c r="E515" s="31">
        <v>4161908</v>
      </c>
      <c r="F515" s="268" t="str">
        <f>IF(D515="","",VLOOKUP(D515,契約台帳!$A$3:$K$4986,6,FALSE)&amp;VLOOKUP(D515,契約台帳!$A$3:$K$4986,7,FALSE)&amp;VLOOKUP(D515,契約台帳!$A$3:$K$4986,8,FALSE)&amp;VLOOKUP(D515,契約台帳!$A$3:$K$4986,9,FALSE)&amp;VLOOKUP(D515,契約台帳!$A$3:$K$4986,11,FALSE))</f>
        <v>3SNMLBMTSF</v>
      </c>
      <c r="G515" s="269" t="str">
        <f>IF(D515="","",VLOOKUP(F515,製品マスタ!$G$5:$H$5002,2,FALSE))</f>
        <v>S</v>
      </c>
      <c r="H515" s="269" t="str">
        <f>IF(D515="","",VLOOKUP(F515,製品マスタ!$G$5:$K$5002,5,FALSE))</f>
        <v>MTSF</v>
      </c>
      <c r="I515" s="270" t="str">
        <f>IF(D515="","",VLOOKUP(F515,製品マスタ!$G$5:$L$5002,6,FALSE))</f>
        <v>メタルミー　ＴＳ</v>
      </c>
      <c r="J515" s="210" t="s">
        <v>935</v>
      </c>
      <c r="K515" s="270">
        <f>IF(D515="","",VLOOKUP(D515,契約台帳!$A$3:$L$4986,12,FALSE))</f>
        <v>50</v>
      </c>
      <c r="L515" s="270" t="str">
        <f>IF(D515="","",INDEX(製品マスタ!$Q$5:$Q$5002,MATCH('S4'!F515&amp;'S4'!K515,製品マスタ!$AO$5:$AO$5002,0)))</f>
        <v>T62M</v>
      </c>
      <c r="M515" s="39">
        <v>1255</v>
      </c>
      <c r="N515" s="39">
        <v>6100</v>
      </c>
      <c r="O515" s="156">
        <v>1</v>
      </c>
      <c r="P515" s="47">
        <v>2</v>
      </c>
      <c r="Q515" s="213">
        <v>45043</v>
      </c>
      <c r="R515" s="271">
        <f ca="1">IF(D515="","",IF(OFFSET(D515,-1,0)&lt;&gt;"","",IF(OR(J515="リード付け",J515="巻足し",J515="巻返しリード付け"),M515,VLOOKUP(D515,契約台帳!$A$3:$N$4986,14,FALSE))))</f>
        <v>1255</v>
      </c>
      <c r="S515" s="272">
        <f ca="1">IF(D515="","",IF(OFFSET(D515,-1,0)&lt;&gt;"","",IF(OR(J515="リード付け",J515="巻足し",J515="巻返しリード付け"),M515,VLOOKUP(D515,契約台帳!$A$3:$O$4986,15,FALSE))))</f>
        <v>1255</v>
      </c>
      <c r="T515" s="273">
        <f ca="1">IF(D515="","",IF(J515="リード付け",N515,IF(J515="巻返しリード付け",N515,IF(J515="巻足し",N515*P515+OFFSET(N515,1,0)*OFFSET(P515,1,0),VLOOKUP(D515,契約台帳!$A$3:$P$4986,16,FALSE)))))</f>
        <v>12200</v>
      </c>
      <c r="U515" s="40">
        <v>1</v>
      </c>
      <c r="V515" s="274">
        <f ca="1">IF(D515="","",IF(OFFSET(D515,-2,0)=D515,"",VLOOKUP(D515,契約台帳!$A$3:$R$4986,18,FALSE)))</f>
        <v>3</v>
      </c>
      <c r="W515" s="269" t="str">
        <f ca="1">IF(D515="","",IF(T515="","",IF(OR(J515="巻足し",J515="巻返しリード付け"),"",IF(J515="巻返し",VLOOKUP(F515&amp;K515&amp;M515,製品マスタ!$M$5:$AD$5002,18,FALSE),IF(OR(J515="リード付け",J515="巻返しリード付け"),"原反コア",IF(J515="スリット",VLOOKUP(F515&amp;K515&amp;R515,製品マスタ!$N$5:$AD$5002,17,FALSE),""))))))</f>
        <v/>
      </c>
      <c r="X515" s="269" t="str">
        <f ca="1">IF(D515="","",IF(T515="","",IF(J515="巻足し","",IF(J515="巻返し",VLOOKUP(F515&amp;K515&amp;M515,製品マスタ!$M$5:$AE$5002,19,FALSE),IF(OR(J515="リード付け",J515="巻返しリード付け"),"",IF(J515="スリット",VLOOKUP(F515&amp;K515&amp;R515,製品マスタ!$N$5:$AE$5002,18,FALSE),""))))))</f>
        <v/>
      </c>
      <c r="Y515" s="275">
        <f ca="1">IF(D515="","",IF(T515="","",VLOOKUP(D515,契約台帳!$A$3:$Q$4986,17,FALSE)))</f>
        <v>2</v>
      </c>
      <c r="Z515" s="269" t="str">
        <f ca="1">IF(D515="","",IF(T515="","",VLOOKUP(D515,契約台帳!$A$3:$E$4986,5,FALSE)))</f>
        <v>日東電工㈱豊橋工場</v>
      </c>
      <c r="AA515" s="57"/>
      <c r="AB515" s="207">
        <f>IFERROR((VLOOKUP(F515&amp;K515&amp;M515,製品マスタ!$M$5:$AM$5002,27,FALSE)),"")</f>
        <v>0</v>
      </c>
      <c r="AC515" s="33"/>
      <c r="AD515" s="189"/>
      <c r="AE515" s="54"/>
      <c r="AF515" s="55"/>
      <c r="AG515" s="43"/>
      <c r="AH515" s="47"/>
      <c r="AI515" s="30"/>
      <c r="AJ515" s="30"/>
      <c r="AK515" s="30"/>
      <c r="AL515" s="30"/>
      <c r="AM515" s="13"/>
      <c r="AN515" s="13"/>
      <c r="AO515" s="13"/>
      <c r="AP515" s="13"/>
      <c r="AQ515" s="13"/>
      <c r="AR515" s="14"/>
      <c r="AS515" s="15"/>
    </row>
    <row r="516" spans="1:45" s="17" customFormat="1" ht="30.95" hidden="1" customHeight="1" x14ac:dyDescent="0.2">
      <c r="A516" s="37"/>
      <c r="B516" s="38"/>
      <c r="C516" s="45"/>
      <c r="D516" s="31">
        <v>3709496</v>
      </c>
      <c r="E516" s="31"/>
      <c r="F516" s="268" t="str">
        <f>IF(D516="","",VLOOKUP(D516,契約台帳!$A$3:$K$4986,6,FALSE)&amp;VLOOKUP(D516,契約台帳!$A$3:$K$4986,7,FALSE)&amp;VLOOKUP(D516,契約台帳!$A$3:$K$4986,8,FALSE)&amp;VLOOKUP(D516,契約台帳!$A$3:$K$4986,9,FALSE)&amp;VLOOKUP(D516,契約台帳!$A$3:$K$4986,11,FALSE))</f>
        <v>3TNMLBMTSF</v>
      </c>
      <c r="G516" s="269" t="str">
        <f>IF(D516="","",VLOOKUP(F516,製品マスタ!$G$5:$H$5002,2,FALSE))</f>
        <v>T</v>
      </c>
      <c r="H516" s="269" t="str">
        <f>IF(D516="","",VLOOKUP(F516,製品マスタ!$G$5:$K$5002,5,FALSE))</f>
        <v>MTSF</v>
      </c>
      <c r="I516" s="270" t="str">
        <f>IF(D516="","",VLOOKUP(F516,製品マスタ!$G$5:$L$5002,6,FALSE))</f>
        <v>メタルミー　ＴＳ</v>
      </c>
      <c r="J516" s="210" t="s">
        <v>935</v>
      </c>
      <c r="K516" s="270">
        <f>IF(D516="","",VLOOKUP(D516,契約台帳!$A$3:$L$4986,12,FALSE))</f>
        <v>50</v>
      </c>
      <c r="L516" s="270" t="str">
        <f>IF(D516="","",INDEX(製品マスタ!$Q$5:$Q$5002,MATCH('S4'!F516&amp;'S4'!K516,製品マスタ!$AO$5:$AO$5002,0)))</f>
        <v>T62M</v>
      </c>
      <c r="M516" s="39">
        <v>1255</v>
      </c>
      <c r="N516" s="39">
        <v>6100</v>
      </c>
      <c r="O516" s="156">
        <v>1</v>
      </c>
      <c r="P516" s="47"/>
      <c r="Q516" s="213">
        <v>45043</v>
      </c>
      <c r="R516" s="271" t="str">
        <f ca="1">IF(D516="","",IF(OFFSET(D516,-1,0)&lt;&gt;"","",IF(OR(J516="リード付け",J516="巻足し",J516="巻返しリード付け"),M516,VLOOKUP(D516,契約台帳!$A$3:$N$4986,14,FALSE))))</f>
        <v/>
      </c>
      <c r="S516" s="272" t="str">
        <f ca="1">IF(D516="","",IF(OFFSET(D516,-1,0)&lt;&gt;"","",IF(OR(J516="リード付け",J516="巻足し",J516="巻返しリード付け"),M516,VLOOKUP(D516,契約台帳!$A$3:$O$4986,15,FALSE))))</f>
        <v/>
      </c>
      <c r="T516" s="273"/>
      <c r="U516" s="40">
        <v>1</v>
      </c>
      <c r="V516" s="274">
        <f ca="1">IF(D516="","",IF(OFFSET(D516,-2,0)=D516,"",VLOOKUP(D516,契約台帳!$A$3:$R$4986,18,FALSE)))</f>
        <v>2</v>
      </c>
      <c r="W516" s="269" t="str">
        <f>IF(D516="","",IF(T516="","",IF(OR(J516="巻足し",J516="巻返しリード付け"),"",IF(J516="巻返し",VLOOKUP(F516&amp;K516&amp;M516,製品マスタ!$M$5:$AD$5002,18,FALSE),IF(OR(J516="リード付け",J516="巻返しリード付け"),"原反コア",IF(J516="スリット",VLOOKUP(F516&amp;K516&amp;R516,製品マスタ!$N$5:$AD$5002,17,FALSE),""))))))</f>
        <v/>
      </c>
      <c r="X516" s="269" t="str">
        <f>IF(D516="","",IF(T516="","",IF(J516="巻足し","",IF(J516="巻返し",VLOOKUP(F516&amp;K516&amp;M516,製品マスタ!$M$5:$AE$5002,19,FALSE),IF(OR(J516="リード付け",J516="巻返しリード付け"),"",IF(J516="スリット",VLOOKUP(F516&amp;K516&amp;R516,製品マスタ!$N$5:$AE$5002,18,FALSE),""))))))</f>
        <v/>
      </c>
      <c r="Y516" s="275" t="str">
        <f>IF(D516="","",IF(T516="","",VLOOKUP(D516,契約台帳!$A$3:$Q$4986,17,FALSE)))</f>
        <v/>
      </c>
      <c r="Z516" s="269" t="str">
        <f>IF(D516="","",IF(T516="","",VLOOKUP(D516,契約台帳!$A$3:$E$4986,5,FALSE)))</f>
        <v/>
      </c>
      <c r="AA516" s="57"/>
      <c r="AB516" s="207">
        <f>IFERROR((VLOOKUP(F516&amp;K516&amp;M516,製品マスタ!$M$5:$AM$5002,27,FALSE)),"")</f>
        <v>0</v>
      </c>
      <c r="AC516" s="33"/>
      <c r="AD516" s="189"/>
      <c r="AE516" s="54"/>
      <c r="AF516" s="55"/>
      <c r="AG516" s="43"/>
      <c r="AH516" s="47"/>
      <c r="AI516" s="30"/>
      <c r="AJ516" s="30"/>
      <c r="AK516" s="30"/>
      <c r="AL516" s="30"/>
      <c r="AM516" s="13"/>
      <c r="AN516" s="13"/>
      <c r="AO516" s="13"/>
      <c r="AP516" s="13"/>
      <c r="AQ516" s="13"/>
      <c r="AR516" s="14"/>
      <c r="AS516" s="15"/>
    </row>
    <row r="517" spans="1:45" s="17" customFormat="1" ht="30.95" hidden="1" customHeight="1" x14ac:dyDescent="0.2">
      <c r="A517" s="37"/>
      <c r="B517" s="38"/>
      <c r="C517" s="45"/>
      <c r="D517" s="31"/>
      <c r="E517" s="31"/>
      <c r="F517" s="268" t="str">
        <f>IF(D517="","",VLOOKUP(D517,契約台帳!$A$3:$K$4986,6,FALSE)&amp;VLOOKUP(D517,契約台帳!$A$3:$K$4986,7,FALSE)&amp;VLOOKUP(D517,契約台帳!$A$3:$K$4986,8,FALSE)&amp;VLOOKUP(D517,契約台帳!$A$3:$K$4986,9,FALSE)&amp;VLOOKUP(D517,契約台帳!$A$3:$K$4986,11,FALSE))</f>
        <v/>
      </c>
      <c r="G517" s="269" t="str">
        <f>IF(D517="","",VLOOKUP(F517,製品マスタ!$G$5:$H$5002,2,FALSE))</f>
        <v/>
      </c>
      <c r="H517" s="269" t="str">
        <f>IF(D517="","",VLOOKUP(F517,製品マスタ!$G$5:$K$5002,5,FALSE))</f>
        <v/>
      </c>
      <c r="I517" s="270" t="str">
        <f>IF(D517="","",VLOOKUP(F517,製品マスタ!$G$5:$L$5002,6,FALSE))</f>
        <v/>
      </c>
      <c r="J517" s="210"/>
      <c r="K517" s="270" t="str">
        <f>IF(D517="","",VLOOKUP(D517,契約台帳!$A$3:$L$4986,12,FALSE))</f>
        <v/>
      </c>
      <c r="L517" s="270" t="str">
        <f>IF(D517="","",INDEX(製品マスタ!$Q$5:$Q$5002,MATCH('S4'!F517&amp;'S4'!K517,製品マスタ!$AO$5:$AO$5002,0)))</f>
        <v/>
      </c>
      <c r="M517" s="39"/>
      <c r="N517" s="39"/>
      <c r="O517" s="156"/>
      <c r="P517" s="47"/>
      <c r="Q517" s="57"/>
      <c r="R517" s="271" t="str">
        <f ca="1">IF(D517="","",IF(OFFSET(D517,-1,0)&lt;&gt;"","",IF(OR(J517="リード付け",J517="巻足し",J517="巻返しリード付け"),M517,VLOOKUP(D517,契約台帳!$A$3:$N$4986,14,FALSE))))</f>
        <v/>
      </c>
      <c r="S517" s="272" t="str">
        <f ca="1">IF(D517="","",IF(OFFSET(D517,-1,0)&lt;&gt;"","",IF(OR(J517="リード付け",J517="巻足し",J517="巻返しリード付け"),M517,VLOOKUP(D517,契約台帳!$A$3:$O$4986,15,FALSE))))</f>
        <v/>
      </c>
      <c r="T517" s="273" t="str">
        <f ca="1">IF(D517="","",IF(J517="リード付け",N517,IF(J517="巻返しリード付け",N517,IF(J517="巻足し",N517*P517+OFFSET(N517,1,0)*OFFSET(P517,1,0),VLOOKUP(D517,契約台帳!$A$3:$P$4986,16,FALSE)))))</f>
        <v/>
      </c>
      <c r="U517" s="40"/>
      <c r="V517" s="274" t="str">
        <f ca="1">IF(D517="","",IF(OFFSET(D517,-2,0)=D517,"",VLOOKUP(D517,契約台帳!$A$3:$R$4986,18,FALSE)))</f>
        <v/>
      </c>
      <c r="W517" s="269" t="str">
        <f>IF(D517="","",IF(T517="","",IF(OR(J517="巻足し",J517="巻返しリード付け"),"",IF(J517="巻返し",VLOOKUP(F517&amp;K517&amp;M517,製品マスタ!$M$5:$AD$5002,18,FALSE),IF(OR(J517="リード付け",J517="巻返しリード付け"),"原反コア",IF(J517="スリット",VLOOKUP(F517&amp;K517&amp;R517,製品マスタ!$N$5:$AD$5002,17,FALSE),""))))))</f>
        <v/>
      </c>
      <c r="X517" s="269" t="str">
        <f>IF(D517="","",IF(T517="","",IF(J517="巻足し","",IF(J517="巻返し",VLOOKUP(F517&amp;K517&amp;M517,製品マスタ!$M$5:$AE$5002,19,FALSE),IF(OR(J517="リード付け",J517="巻返しリード付け"),"",IF(J517="スリット",VLOOKUP(F517&amp;K517&amp;R517,製品マスタ!$N$5:$AE$5002,18,FALSE),""))))))</f>
        <v/>
      </c>
      <c r="Y517" s="275" t="str">
        <f>IF(D517="","",IF(T517="","",VLOOKUP(D517,契約台帳!$A$3:$Q$4986,17,FALSE)))</f>
        <v/>
      </c>
      <c r="Z517" s="269" t="str">
        <f>IF(D517="","",IF(T517="","",VLOOKUP(D517,契約台帳!$A$3:$E$4986,5,FALSE)))</f>
        <v/>
      </c>
      <c r="AA517" s="57"/>
      <c r="AB517" s="207" t="str">
        <f>IFERROR((VLOOKUP(F517&amp;K517&amp;M517,製品マスタ!$M$5:$AM$5002,27,FALSE)),"")</f>
        <v/>
      </c>
      <c r="AC517" s="33"/>
      <c r="AD517" s="189"/>
      <c r="AE517" s="54"/>
      <c r="AF517" s="55"/>
      <c r="AG517" s="43"/>
      <c r="AH517" s="47"/>
      <c r="AI517" s="30"/>
      <c r="AJ517" s="30"/>
      <c r="AK517" s="30"/>
      <c r="AL517" s="30"/>
      <c r="AM517" s="13"/>
      <c r="AN517" s="13"/>
      <c r="AO517" s="13"/>
      <c r="AP517" s="13"/>
      <c r="AQ517" s="13"/>
      <c r="AR517" s="14"/>
      <c r="AS517" s="15"/>
    </row>
    <row r="518" spans="1:45" s="17" customFormat="1" ht="30.95" hidden="1" customHeight="1" x14ac:dyDescent="0.2">
      <c r="A518" s="37" t="s">
        <v>1104</v>
      </c>
      <c r="B518" s="38" t="s">
        <v>1105</v>
      </c>
      <c r="C518" s="45"/>
      <c r="D518" s="31"/>
      <c r="E518" s="31"/>
      <c r="F518" s="268" t="str">
        <f>IF(D518="","",VLOOKUP(D518,契約台帳!$A$3:$K$4986,6,FALSE)&amp;VLOOKUP(D518,契約台帳!$A$3:$K$4986,7,FALSE)&amp;VLOOKUP(D518,契約台帳!$A$3:$K$4986,8,FALSE)&amp;VLOOKUP(D518,契約台帳!$A$3:$K$4986,9,FALSE)&amp;VLOOKUP(D518,契約台帳!$A$3:$K$4986,11,FALSE))</f>
        <v/>
      </c>
      <c r="G518" s="269" t="str">
        <f>IF(D518="","",VLOOKUP(F518,製品マスタ!$G$5:$H$5002,2,FALSE))</f>
        <v/>
      </c>
      <c r="H518" s="269" t="str">
        <f>IF(D518="","",VLOOKUP(F518,製品マスタ!$G$5:$K$5002,5,FALSE))</f>
        <v/>
      </c>
      <c r="I518" s="270" t="str">
        <f>IF(D518="","",VLOOKUP(F518,製品マスタ!$G$5:$L$5002,6,FALSE))</f>
        <v/>
      </c>
      <c r="J518" s="210" t="s">
        <v>448</v>
      </c>
      <c r="K518" s="270" t="str">
        <f>IF(D518="","",VLOOKUP(D518,契約台帳!$A$3:$L$4986,12,FALSE))</f>
        <v/>
      </c>
      <c r="L518" s="270" t="str">
        <f>IF(D518="","",INDEX(製品マスタ!$Q$5:$Q$5002,MATCH('S4'!F518&amp;'S4'!K518,製品マスタ!$AO$5:$AO$5002,0)))</f>
        <v/>
      </c>
      <c r="M518" s="39"/>
      <c r="N518" s="39"/>
      <c r="O518" s="156"/>
      <c r="P518" s="47"/>
      <c r="Q518" s="57"/>
      <c r="R518" s="271" t="str">
        <f ca="1">IF(D518="","",IF(OFFSET(D518,-1,0)&lt;&gt;"","",IF(OR(J518="リード付け",J518="巻足し",J518="巻返しリード付け"),M518,VLOOKUP(D518,契約台帳!$A$3:$N$4986,14,FALSE))))</f>
        <v/>
      </c>
      <c r="S518" s="272" t="str">
        <f ca="1">IF(D518="","",IF(OFFSET(D518,-1,0)&lt;&gt;"","",IF(OR(J518="リード付け",J518="巻足し",J518="巻返しリード付け"),M518,VLOOKUP(D518,契約台帳!$A$3:$O$4986,15,FALSE))))</f>
        <v/>
      </c>
      <c r="T518" s="273" t="str">
        <f ca="1">IF(D518="","",IF(J518="リード付け",N518,IF(J518="巻返しリード付け",N518,IF(J518="巻足し",N518*P518+OFFSET(N518,1,0)*OFFSET(P518,1,0),VLOOKUP(D518,契約台帳!$A$3:$P$4986,16,FALSE)))))</f>
        <v/>
      </c>
      <c r="U518" s="40"/>
      <c r="V518" s="274" t="str">
        <f ca="1">IF(D518="","",IF(OFFSET(D518,-2,0)=D518,"",VLOOKUP(D518,契約台帳!$A$3:$R$4986,18,FALSE)))</f>
        <v/>
      </c>
      <c r="W518" s="269" t="str">
        <f>IF(D518="","",IF(T518="","",IF(OR(J518="巻足し",J518="巻返しリード付け"),"",IF(J518="巻返し",VLOOKUP(F518&amp;K518&amp;M518,製品マスタ!$M$5:$AD$5002,18,FALSE),IF(OR(J518="リード付け",J518="巻返しリード付け"),"原反コア",IF(J518="スリット",VLOOKUP(F518&amp;K518&amp;R518,製品マスタ!$N$5:$AD$5002,17,FALSE),""))))))</f>
        <v/>
      </c>
      <c r="X518" s="269" t="str">
        <f>IF(D518="","",IF(T518="","",IF(J518="巻足し","",IF(J518="巻返し",VLOOKUP(F518&amp;K518&amp;M518,製品マスタ!$M$5:$AE$5002,19,FALSE),IF(OR(J518="リード付け",J518="巻返しリード付け"),"",IF(J518="スリット",VLOOKUP(F518&amp;K518&amp;R518,製品マスタ!$N$5:$AE$5002,18,FALSE),""))))))</f>
        <v/>
      </c>
      <c r="Y518" s="275" t="str">
        <f>IF(D518="","",IF(T518="","",VLOOKUP(D518,契約台帳!$A$3:$Q$4986,17,FALSE)))</f>
        <v/>
      </c>
      <c r="Z518" s="269" t="str">
        <f>IF(D518="","",IF(T518="","",VLOOKUP(D518,契約台帳!$A$3:$E$4986,5,FALSE)))</f>
        <v/>
      </c>
      <c r="AA518" s="57"/>
      <c r="AB518" s="207" t="str">
        <f>IFERROR((VLOOKUP(F518&amp;K518&amp;M518,製品マスタ!$M$5:$AM$5002,27,FALSE)),"")</f>
        <v/>
      </c>
      <c r="AC518" s="33"/>
      <c r="AD518" s="189"/>
      <c r="AE518" s="54"/>
      <c r="AF518" s="55"/>
      <c r="AG518" s="43"/>
      <c r="AH518" s="47"/>
      <c r="AI518" s="30"/>
      <c r="AJ518" s="30"/>
      <c r="AK518" s="30"/>
      <c r="AL518" s="30"/>
      <c r="AM518" s="13"/>
      <c r="AN518" s="13"/>
      <c r="AO518" s="13"/>
      <c r="AP518" s="13"/>
      <c r="AQ518" s="13"/>
      <c r="AR518" s="14"/>
      <c r="AS518" s="15"/>
    </row>
    <row r="519" spans="1:45" s="17" customFormat="1" ht="30.95" hidden="1" customHeight="1" x14ac:dyDescent="0.2">
      <c r="A519" s="37"/>
      <c r="B519" s="38"/>
      <c r="C519" s="45"/>
      <c r="D519" s="31"/>
      <c r="E519" s="31"/>
      <c r="F519" s="268" t="str">
        <f>IF(D519="","",VLOOKUP(D519,契約台帳!$A$3:$K$4986,6,FALSE)&amp;VLOOKUP(D519,契約台帳!$A$3:$K$4986,7,FALSE)&amp;VLOOKUP(D519,契約台帳!$A$3:$K$4986,8,FALSE)&amp;VLOOKUP(D519,契約台帳!$A$3:$K$4986,9,FALSE)&amp;VLOOKUP(D519,契約台帳!$A$3:$K$4986,11,FALSE))</f>
        <v/>
      </c>
      <c r="G519" s="269" t="str">
        <f>IF(D519="","",VLOOKUP(F519,製品マスタ!$G$5:$H$5002,2,FALSE))</f>
        <v/>
      </c>
      <c r="H519" s="269" t="str">
        <f>IF(D519="","",VLOOKUP(F519,製品マスタ!$G$5:$K$5002,5,FALSE))</f>
        <v/>
      </c>
      <c r="I519" s="270" t="str">
        <f>IF(D519="","",VLOOKUP(F519,製品マスタ!$G$5:$L$5002,6,FALSE))</f>
        <v/>
      </c>
      <c r="J519" s="210"/>
      <c r="K519" s="270" t="str">
        <f>IF(D519="","",VLOOKUP(D519,契約台帳!$A$3:$L$4986,12,FALSE))</f>
        <v/>
      </c>
      <c r="L519" s="270" t="str">
        <f>IF(D519="","",INDEX(製品マスタ!$Q$5:$Q$5002,MATCH('S4'!F519&amp;'S4'!K519,製品マスタ!$AO$5:$AO$5002,0)))</f>
        <v/>
      </c>
      <c r="M519" s="39"/>
      <c r="N519" s="39"/>
      <c r="O519" s="156"/>
      <c r="P519" s="47"/>
      <c r="Q519" s="57"/>
      <c r="R519" s="271" t="str">
        <f ca="1">IF(D519="","",IF(OFFSET(D519,-1,0)&lt;&gt;"","",IF(OR(J519="リード付け",J519="巻足し",J519="巻返しリード付け"),M519,VLOOKUP(D519,契約台帳!$A$3:$N$4986,14,FALSE))))</f>
        <v/>
      </c>
      <c r="S519" s="272" t="str">
        <f ca="1">IF(D519="","",IF(OFFSET(D519,-1,0)&lt;&gt;"","",IF(OR(J519="リード付け",J519="巻足し",J519="巻返しリード付け"),M519,VLOOKUP(D519,契約台帳!$A$3:$O$4986,15,FALSE))))</f>
        <v/>
      </c>
      <c r="T519" s="273" t="str">
        <f ca="1">IF(D519="","",IF(J519="リード付け",N519,IF(J519="巻返しリード付け",N519,IF(J519="巻足し",N519*P519+OFFSET(N519,1,0)*OFFSET(P519,1,0),VLOOKUP(D519,契約台帳!$A$3:$P$4986,16,FALSE)))))</f>
        <v/>
      </c>
      <c r="U519" s="40"/>
      <c r="V519" s="274" t="str">
        <f ca="1">IF(D519="","",IF(OFFSET(D519,-2,0)=D519,"",VLOOKUP(D519,契約台帳!$A$3:$R$4986,18,FALSE)))</f>
        <v/>
      </c>
      <c r="W519" s="269" t="str">
        <f>IF(D519="","",IF(T519="","",IF(OR(J519="巻足し",J519="巻返しリード付け"),"",IF(J519="巻返し",VLOOKUP(F519&amp;K519&amp;M519,製品マスタ!$M$5:$AD$5002,18,FALSE),IF(OR(J519="リード付け",J519="巻返しリード付け"),"原反コア",IF(J519="スリット",VLOOKUP(F519&amp;K519&amp;R519,製品マスタ!$N$5:$AD$5002,17,FALSE),""))))))</f>
        <v/>
      </c>
      <c r="X519" s="269" t="str">
        <f>IF(D519="","",IF(T519="","",IF(J519="巻足し","",IF(J519="巻返し",VLOOKUP(F519&amp;K519&amp;M519,製品マスタ!$M$5:$AE$5002,19,FALSE),IF(OR(J519="リード付け",J519="巻返しリード付け"),"",IF(J519="スリット",VLOOKUP(F519&amp;K519&amp;R519,製品マスタ!$N$5:$AE$5002,18,FALSE),""))))))</f>
        <v/>
      </c>
      <c r="Y519" s="275" t="str">
        <f>IF(D519="","",IF(T519="","",VLOOKUP(D519,契約台帳!$A$3:$Q$4986,17,FALSE)))</f>
        <v/>
      </c>
      <c r="Z519" s="269" t="str">
        <f>IF(D519="","",IF(T519="","",VLOOKUP(D519,契約台帳!$A$3:$E$4986,5,FALSE)))</f>
        <v/>
      </c>
      <c r="AA519" s="57"/>
      <c r="AB519" s="207" t="str">
        <f>IFERROR((VLOOKUP(F519&amp;K519&amp;M519,製品マスタ!$M$5:$AM$5002,27,FALSE)),"")</f>
        <v/>
      </c>
      <c r="AC519" s="33"/>
      <c r="AD519" s="189"/>
      <c r="AE519" s="54"/>
      <c r="AF519" s="55"/>
      <c r="AG519" s="43"/>
      <c r="AH519" s="47"/>
      <c r="AI519" s="30"/>
      <c r="AJ519" s="30"/>
      <c r="AK519" s="30"/>
      <c r="AL519" s="30"/>
      <c r="AM519" s="13"/>
      <c r="AN519" s="13"/>
      <c r="AO519" s="13"/>
      <c r="AP519" s="13"/>
      <c r="AQ519" s="13"/>
      <c r="AR519" s="14"/>
      <c r="AS519" s="15"/>
    </row>
    <row r="520" spans="1:45" s="17" customFormat="1" ht="30.95" hidden="1" customHeight="1" x14ac:dyDescent="0.2">
      <c r="A520" s="37" t="s">
        <v>1106</v>
      </c>
      <c r="B520" s="38" t="s">
        <v>1107</v>
      </c>
      <c r="C520" s="45"/>
      <c r="D520" s="31"/>
      <c r="E520" s="31"/>
      <c r="F520" s="268" t="str">
        <f>IF(D520="","",VLOOKUP(D520,契約台帳!$A$3:$K$4986,6,FALSE)&amp;VLOOKUP(D520,契約台帳!$A$3:$K$4986,7,FALSE)&amp;VLOOKUP(D520,契約台帳!$A$3:$K$4986,8,FALSE)&amp;VLOOKUP(D520,契約台帳!$A$3:$K$4986,9,FALSE)&amp;VLOOKUP(D520,契約台帳!$A$3:$K$4986,11,FALSE))</f>
        <v/>
      </c>
      <c r="G520" s="269" t="str">
        <f>IF(D520="","",VLOOKUP(F520,製品マスタ!$G$5:$H$5002,2,FALSE))</f>
        <v/>
      </c>
      <c r="H520" s="269" t="str">
        <f>IF(D520="","",VLOOKUP(F520,製品マスタ!$G$5:$K$5002,5,FALSE))</f>
        <v/>
      </c>
      <c r="I520" s="270" t="str">
        <f>IF(D520="","",VLOOKUP(F520,製品マスタ!$G$5:$L$5002,6,FALSE))</f>
        <v/>
      </c>
      <c r="J520" s="210" t="s">
        <v>448</v>
      </c>
      <c r="K520" s="270" t="str">
        <f>IF(D520="","",VLOOKUP(D520,契約台帳!$A$3:$L$4986,12,FALSE))</f>
        <v/>
      </c>
      <c r="L520" s="270" t="str">
        <f>IF(D520="","",INDEX(製品マスタ!$Q$5:$Q$5002,MATCH('S4'!F520&amp;'S4'!K520,製品マスタ!$AO$5:$AO$5002,0)))</f>
        <v/>
      </c>
      <c r="M520" s="39"/>
      <c r="N520" s="39"/>
      <c r="O520" s="156"/>
      <c r="P520" s="47"/>
      <c r="Q520" s="57"/>
      <c r="R520" s="271" t="str">
        <f ca="1">IF(D520="","",IF(OFFSET(D520,-1,0)&lt;&gt;"","",IF(OR(J520="リード付け",J520="巻足し",J520="巻返しリード付け"),M520,VLOOKUP(D520,契約台帳!$A$3:$N$4986,14,FALSE))))</f>
        <v/>
      </c>
      <c r="S520" s="272" t="str">
        <f ca="1">IF(D520="","",IF(OFFSET(D520,-1,0)&lt;&gt;"","",IF(OR(J520="リード付け",J520="巻足し",J520="巻返しリード付け"),M520,VLOOKUP(D520,契約台帳!$A$3:$O$4986,15,FALSE))))</f>
        <v/>
      </c>
      <c r="T520" s="273" t="str">
        <f ca="1">IF(D520="","",IF(J520="リード付け",N520,IF(J520="巻返しリード付け",N520,IF(J520="巻足し",N520*P520+OFFSET(N520,1,0)*OFFSET(P520,1,0),VLOOKUP(D520,契約台帳!$A$3:$P$4986,16,FALSE)))))</f>
        <v/>
      </c>
      <c r="U520" s="40"/>
      <c r="V520" s="274" t="str">
        <f ca="1">IF(D520="","",IF(OFFSET(D520,-2,0)=D520,"",VLOOKUP(D520,契約台帳!$A$3:$R$4986,18,FALSE)))</f>
        <v/>
      </c>
      <c r="W520" s="269" t="str">
        <f>IF(D520="","",IF(T520="","",IF(OR(J520="巻足し",J520="巻返しリード付け"),"",IF(J520="巻返し",VLOOKUP(F520&amp;K520&amp;M520,製品マスタ!$M$5:$AD$5002,18,FALSE),IF(OR(J520="リード付け",J520="巻返しリード付け"),"原反コア",IF(J520="スリット",VLOOKUP(F520&amp;K520&amp;R520,製品マスタ!$N$5:$AD$5002,17,FALSE),""))))))</f>
        <v/>
      </c>
      <c r="X520" s="269" t="str">
        <f>IF(D520="","",IF(T520="","",IF(J520="巻足し","",IF(J520="巻返し",VLOOKUP(F520&amp;K520&amp;M520,製品マスタ!$M$5:$AE$5002,19,FALSE),IF(OR(J520="リード付け",J520="巻返しリード付け"),"",IF(J520="スリット",VLOOKUP(F520&amp;K520&amp;R520,製品マスタ!$N$5:$AE$5002,18,FALSE),""))))))</f>
        <v/>
      </c>
      <c r="Y520" s="275" t="str">
        <f>IF(D520="","",IF(T520="","",VLOOKUP(D520,契約台帳!$A$3:$Q$4986,17,FALSE)))</f>
        <v/>
      </c>
      <c r="Z520" s="269" t="str">
        <f>IF(D520="","",IF(T520="","",VLOOKUP(D520,契約台帳!$A$3:$E$4986,5,FALSE)))</f>
        <v/>
      </c>
      <c r="AA520" s="57"/>
      <c r="AB520" s="207" t="str">
        <f>IFERROR((VLOOKUP(F520&amp;K520&amp;M520,製品マスタ!$M$5:$AM$5002,27,FALSE)),"")</f>
        <v/>
      </c>
      <c r="AC520" s="33"/>
      <c r="AD520" s="189"/>
      <c r="AE520" s="54"/>
      <c r="AF520" s="55"/>
      <c r="AG520" s="43"/>
      <c r="AH520" s="47"/>
      <c r="AI520" s="30"/>
      <c r="AJ520" s="30"/>
      <c r="AK520" s="30"/>
      <c r="AL520" s="30"/>
      <c r="AM520" s="13"/>
      <c r="AN520" s="13"/>
      <c r="AO520" s="13"/>
      <c r="AP520" s="13"/>
      <c r="AQ520" s="13"/>
      <c r="AR520" s="14"/>
      <c r="AS520" s="15"/>
    </row>
    <row r="521" spans="1:45" s="17" customFormat="1" ht="30.95" hidden="1" customHeight="1" x14ac:dyDescent="0.2">
      <c r="A521" s="37"/>
      <c r="B521" s="38"/>
      <c r="C521" s="45"/>
      <c r="D521" s="31"/>
      <c r="E521" s="31"/>
      <c r="F521" s="268" t="str">
        <f>IF(D521="","",VLOOKUP(D521,契約台帳!$A$3:$K$4986,6,FALSE)&amp;VLOOKUP(D521,契約台帳!$A$3:$K$4986,7,FALSE)&amp;VLOOKUP(D521,契約台帳!$A$3:$K$4986,8,FALSE)&amp;VLOOKUP(D521,契約台帳!$A$3:$K$4986,9,FALSE)&amp;VLOOKUP(D521,契約台帳!$A$3:$K$4986,11,FALSE))</f>
        <v/>
      </c>
      <c r="G521" s="269" t="str">
        <f>IF(D521="","",VLOOKUP(F521,製品マスタ!$G$5:$H$5002,2,FALSE))</f>
        <v/>
      </c>
      <c r="H521" s="269" t="str">
        <f>IF(D521="","",VLOOKUP(F521,製品マスタ!$G$5:$K$5002,5,FALSE))</f>
        <v/>
      </c>
      <c r="I521" s="270" t="str">
        <f>IF(D521="","",VLOOKUP(F521,製品マスタ!$G$5:$L$5002,6,FALSE))</f>
        <v/>
      </c>
      <c r="J521" s="210"/>
      <c r="K521" s="270" t="str">
        <f>IF(D521="","",VLOOKUP(D521,契約台帳!$A$3:$L$4986,12,FALSE))</f>
        <v/>
      </c>
      <c r="L521" s="270" t="str">
        <f>IF(D521="","",INDEX(製品マスタ!$Q$5:$Q$5002,MATCH('S4'!F521&amp;'S4'!K521,製品マスタ!$AO$5:$AO$5002,0)))</f>
        <v/>
      </c>
      <c r="M521" s="39"/>
      <c r="N521" s="39"/>
      <c r="O521" s="156"/>
      <c r="P521" s="47"/>
      <c r="Q521" s="57"/>
      <c r="R521" s="271" t="str">
        <f ca="1">IF(D521="","",IF(OFFSET(D521,-1,0)&lt;&gt;"","",IF(OR(J521="リード付け",J521="巻足し",J521="巻返しリード付け"),M521,VLOOKUP(D521,契約台帳!$A$3:$N$4986,14,FALSE))))</f>
        <v/>
      </c>
      <c r="S521" s="272" t="str">
        <f ca="1">IF(D521="","",IF(OFFSET(D521,-1,0)&lt;&gt;"","",IF(OR(J521="リード付け",J521="巻足し",J521="巻返しリード付け"),M521,VLOOKUP(D521,契約台帳!$A$3:$O$4986,15,FALSE))))</f>
        <v/>
      </c>
      <c r="T521" s="273" t="str">
        <f ca="1">IF(D521="","",IF(J521="リード付け",N521,IF(J521="巻返しリード付け",N521,IF(J521="巻足し",N521*P521+OFFSET(N521,1,0)*OFFSET(P521,1,0),VLOOKUP(D521,契約台帳!$A$3:$P$4986,16,FALSE)))))</f>
        <v/>
      </c>
      <c r="U521" s="40"/>
      <c r="V521" s="274" t="str">
        <f ca="1">IF(D521="","",IF(OFFSET(D521,-2,0)=D521,"",VLOOKUP(D521,契約台帳!$A$3:$R$4986,18,FALSE)))</f>
        <v/>
      </c>
      <c r="W521" s="269" t="str">
        <f>IF(D521="","",IF(T521="","",IF(OR(J521="巻足し",J521="巻返しリード付け"),"",IF(J521="巻返し",VLOOKUP(F521&amp;K521&amp;M521,製品マスタ!$M$5:$AD$5002,18,FALSE),IF(OR(J521="リード付け",J521="巻返しリード付け"),"原反コア",IF(J521="スリット",VLOOKUP(F521&amp;K521&amp;R521,製品マスタ!$N$5:$AD$5002,17,FALSE),""))))))</f>
        <v/>
      </c>
      <c r="X521" s="269" t="str">
        <f>IF(D521="","",IF(T521="","",IF(J521="巻足し","",IF(J521="巻返し",VLOOKUP(F521&amp;K521&amp;M521,製品マスタ!$M$5:$AE$5002,19,FALSE),IF(OR(J521="リード付け",J521="巻返しリード付け"),"",IF(J521="スリット",VLOOKUP(F521&amp;K521&amp;R521,製品マスタ!$N$5:$AE$5002,18,FALSE),""))))))</f>
        <v/>
      </c>
      <c r="Y521" s="275" t="str">
        <f>IF(D521="","",IF(T521="","",VLOOKUP(D521,契約台帳!$A$3:$Q$4986,17,FALSE)))</f>
        <v/>
      </c>
      <c r="Z521" s="269" t="str">
        <f>IF(D521="","",IF(T521="","",VLOOKUP(D521,契約台帳!$A$3:$E$4986,5,FALSE)))</f>
        <v/>
      </c>
      <c r="AA521" s="57"/>
      <c r="AB521" s="207" t="str">
        <f>IFERROR((VLOOKUP(F521&amp;K521&amp;M521,製品マスタ!$M$5:$AM$5002,27,FALSE)),"")</f>
        <v/>
      </c>
      <c r="AC521" s="33"/>
      <c r="AD521" s="189"/>
      <c r="AE521" s="54"/>
      <c r="AF521" s="55"/>
      <c r="AG521" s="43"/>
      <c r="AH521" s="47"/>
      <c r="AI521" s="30"/>
      <c r="AJ521" s="30"/>
      <c r="AK521" s="30"/>
      <c r="AL521" s="30"/>
      <c r="AM521" s="13"/>
      <c r="AN521" s="13"/>
      <c r="AO521" s="13"/>
      <c r="AP521" s="13"/>
      <c r="AQ521" s="13"/>
      <c r="AR521" s="14"/>
      <c r="AS521" s="15"/>
    </row>
    <row r="522" spans="1:45" s="17" customFormat="1" ht="30.95" hidden="1" customHeight="1" x14ac:dyDescent="0.2">
      <c r="A522" s="37" t="s">
        <v>1108</v>
      </c>
      <c r="B522" s="38" t="s">
        <v>462</v>
      </c>
      <c r="C522" s="45"/>
      <c r="D522" s="31"/>
      <c r="E522" s="31"/>
      <c r="F522" s="268"/>
      <c r="G522" s="269"/>
      <c r="H522" s="269"/>
      <c r="I522" s="270"/>
      <c r="J522" s="210" t="s">
        <v>1146</v>
      </c>
      <c r="K522" s="270"/>
      <c r="L522" s="270"/>
      <c r="M522" s="39"/>
      <c r="N522" s="39"/>
      <c r="O522" s="156"/>
      <c r="P522" s="47"/>
      <c r="Q522" s="57"/>
      <c r="R522" s="271"/>
      <c r="S522" s="272"/>
      <c r="T522" s="273"/>
      <c r="U522" s="40"/>
      <c r="V522" s="274"/>
      <c r="W522" s="269"/>
      <c r="X522" s="269"/>
      <c r="Y522" s="275"/>
      <c r="Z522" s="269"/>
      <c r="AA522" s="57"/>
      <c r="AB522" s="207" t="str">
        <f>IFERROR((VLOOKUP(F522&amp;K522&amp;M522,製品マスタ!$M$5:$AM$5002,27,FALSE)),"")</f>
        <v/>
      </c>
      <c r="AC522" s="33"/>
      <c r="AD522" s="189"/>
      <c r="AE522" s="54"/>
      <c r="AF522" s="55"/>
      <c r="AG522" s="43"/>
      <c r="AH522" s="47"/>
      <c r="AI522" s="30"/>
      <c r="AJ522" s="30"/>
      <c r="AK522" s="30"/>
      <c r="AL522" s="30"/>
      <c r="AM522" s="13"/>
      <c r="AN522" s="13"/>
      <c r="AO522" s="13"/>
      <c r="AP522" s="13"/>
      <c r="AQ522" s="13"/>
      <c r="AR522" s="14"/>
      <c r="AS522" s="15"/>
    </row>
    <row r="523" spans="1:45" s="17" customFormat="1" ht="30.95" hidden="1" customHeight="1" x14ac:dyDescent="0.2">
      <c r="A523" s="37"/>
      <c r="B523" s="38"/>
      <c r="C523" s="45"/>
      <c r="D523" s="31"/>
      <c r="E523" s="31"/>
      <c r="F523" s="268"/>
      <c r="G523" s="269"/>
      <c r="H523" s="269"/>
      <c r="I523" s="270"/>
      <c r="J523" s="210"/>
      <c r="K523" s="270"/>
      <c r="L523" s="270"/>
      <c r="M523" s="39"/>
      <c r="N523" s="39"/>
      <c r="O523" s="156"/>
      <c r="P523" s="47"/>
      <c r="Q523" s="57"/>
      <c r="R523" s="271"/>
      <c r="S523" s="272"/>
      <c r="T523" s="273"/>
      <c r="U523" s="40"/>
      <c r="V523" s="274"/>
      <c r="W523" s="269"/>
      <c r="X523" s="269"/>
      <c r="Y523" s="275"/>
      <c r="Z523" s="269"/>
      <c r="AA523" s="57"/>
      <c r="AB523" s="207" t="str">
        <f>IFERROR((VLOOKUP(F523&amp;K523&amp;M523,製品マスタ!$M$5:$AM$5002,27,FALSE)),"")</f>
        <v/>
      </c>
      <c r="AC523" s="33"/>
      <c r="AD523" s="189"/>
      <c r="AE523" s="54"/>
      <c r="AF523" s="55"/>
      <c r="AG523" s="43"/>
      <c r="AH523" s="47"/>
      <c r="AI523" s="30"/>
      <c r="AJ523" s="30"/>
      <c r="AK523" s="30"/>
      <c r="AL523" s="30"/>
      <c r="AM523" s="13"/>
      <c r="AN523" s="13"/>
      <c r="AO523" s="13"/>
      <c r="AP523" s="13"/>
      <c r="AQ523" s="13"/>
      <c r="AR523" s="14"/>
      <c r="AS523" s="15"/>
    </row>
    <row r="524" spans="1:45" s="17" customFormat="1" ht="30.95" hidden="1" customHeight="1" x14ac:dyDescent="0.2">
      <c r="A524" s="37" t="s">
        <v>1110</v>
      </c>
      <c r="B524" s="38" t="s">
        <v>1111</v>
      </c>
      <c r="C524" s="45"/>
      <c r="D524" s="31"/>
      <c r="E524" s="31"/>
      <c r="F524" s="268" t="str">
        <f>IF(D524="","",VLOOKUP(D524,契約台帳!$A$3:$K$4986,6,FALSE)&amp;VLOOKUP(D524,契約台帳!$A$3:$K$4986,7,FALSE)&amp;VLOOKUP(D524,契約台帳!$A$3:$K$4986,8,FALSE)&amp;VLOOKUP(D524,契約台帳!$A$3:$K$4986,9,FALSE)&amp;VLOOKUP(D524,契約台帳!$A$3:$K$4986,11,FALSE))</f>
        <v/>
      </c>
      <c r="G524" s="269" t="str">
        <f>IF(D524="","",VLOOKUP(F524,製品マスタ!$G$5:$H$5002,2,FALSE))</f>
        <v/>
      </c>
      <c r="H524" s="269" t="str">
        <f>IF(D524="","",VLOOKUP(F524,製品マスタ!$G$5:$K$5002,5,FALSE))</f>
        <v/>
      </c>
      <c r="I524" s="270" t="str">
        <f>IF(D524="","",VLOOKUP(F524,製品マスタ!$G$5:$L$5002,6,FALSE))</f>
        <v/>
      </c>
      <c r="J524" s="210" t="s">
        <v>1146</v>
      </c>
      <c r="K524" s="270" t="str">
        <f>IF(D524="","",VLOOKUP(D524,契約台帳!$A$3:$L$4986,12,FALSE))</f>
        <v/>
      </c>
      <c r="L524" s="270" t="str">
        <f>IF(D524="","",INDEX(製品マスタ!$Q$5:$Q$5002,MATCH('S4'!F524&amp;'S4'!K524,製品マスタ!$AO$5:$AO$5002,0)))</f>
        <v/>
      </c>
      <c r="M524" s="39"/>
      <c r="N524" s="39"/>
      <c r="O524" s="156"/>
      <c r="P524" s="47"/>
      <c r="Q524" s="57"/>
      <c r="R524" s="271" t="str">
        <f ca="1">IF(D524="","",IF(OFFSET(D524,-1,0)&lt;&gt;"","",IF(OR(J524="リード付け",J524="巻足し",J524="巻返しリード付け"),M524,VLOOKUP(D524,契約台帳!$A$3:$N$4986,14,FALSE))))</f>
        <v/>
      </c>
      <c r="S524" s="272" t="str">
        <f ca="1">IF(D524="","",IF(OFFSET(D524,-1,0)&lt;&gt;"","",IF(OR(J524="リード付け",J524="巻足し",J524="巻返しリード付け"),M524,VLOOKUP(D524,契約台帳!$A$3:$O$4986,15,FALSE))))</f>
        <v/>
      </c>
      <c r="T524" s="273" t="str">
        <f ca="1">IF(D524="","",IF(J524="リード付け",N524,IF(J524="巻返しリード付け",N524,IF(J524="巻足し",N524*P524+OFFSET(N524,1,0)*OFFSET(P524,1,0),VLOOKUP(D524,契約台帳!$A$3:$P$4986,16,FALSE)))))</f>
        <v/>
      </c>
      <c r="U524" s="40"/>
      <c r="V524" s="274" t="str">
        <f ca="1">IF(D524="","",IF(OFFSET(D524,-2,0)=D524,"",VLOOKUP(D524,契約台帳!$A$3:$R$4986,18,FALSE)))</f>
        <v/>
      </c>
      <c r="W524" s="269" t="str">
        <f>IF(D524="","",IF(T524="","",IF(OR(J524="巻足し",J524="巻返しリード付け"),"",IF(J524="巻返し",VLOOKUP(F524&amp;K524&amp;M524,製品マスタ!$M$5:$AD$5002,18,FALSE),IF(OR(J524="リード付け",J524="巻返しリード付け"),"原反コア",IF(J524="スリット",VLOOKUP(F524&amp;K524&amp;R524,製品マスタ!$N$5:$AD$5002,17,FALSE),""))))))</f>
        <v/>
      </c>
      <c r="X524" s="269" t="str">
        <f>IF(D524="","",IF(T524="","",IF(J524="巻足し","",IF(J524="巻返し",VLOOKUP(F524&amp;K524&amp;M524,製品マスタ!$M$5:$AE$5002,19,FALSE),IF(OR(J524="リード付け",J524="巻返しリード付け"),"",IF(J524="スリット",VLOOKUP(F524&amp;K524&amp;R524,製品マスタ!$N$5:$AE$5002,18,FALSE),""))))))</f>
        <v/>
      </c>
      <c r="Y524" s="275" t="str">
        <f>IF(D524="","",IF(T524="","",VLOOKUP(D524,契約台帳!$A$3:$Q$4986,17,FALSE)))</f>
        <v/>
      </c>
      <c r="Z524" s="269" t="str">
        <f>IF(D524="","",IF(T524="","",VLOOKUP(D524,契約台帳!$A$3:$E$4986,5,FALSE)))</f>
        <v/>
      </c>
      <c r="AA524" s="57"/>
      <c r="AB524" s="207" t="str">
        <f>IFERROR((VLOOKUP(F524&amp;K524&amp;M524,製品マスタ!$M$5:$AM$5002,27,FALSE)),"")</f>
        <v/>
      </c>
      <c r="AC524" s="33"/>
      <c r="AD524" s="189"/>
      <c r="AE524" s="54"/>
      <c r="AF524" s="55"/>
      <c r="AG524" s="43"/>
      <c r="AH524" s="47"/>
      <c r="AI524" s="30"/>
      <c r="AJ524" s="30"/>
      <c r="AK524" s="30"/>
      <c r="AL524" s="30"/>
      <c r="AM524" s="13"/>
      <c r="AN524" s="13"/>
      <c r="AO524" s="13"/>
      <c r="AP524" s="13"/>
      <c r="AQ524" s="13"/>
      <c r="AR524" s="14"/>
      <c r="AS524" s="15"/>
    </row>
    <row r="525" spans="1:45" s="17" customFormat="1" ht="30.95" hidden="1" customHeight="1" x14ac:dyDescent="0.2">
      <c r="A525" s="37"/>
      <c r="B525" s="38"/>
      <c r="C525" s="45"/>
      <c r="D525" s="31"/>
      <c r="E525" s="31"/>
      <c r="F525" s="268" t="str">
        <f>IF(D525="","",VLOOKUP(D525,契約台帳!$A$3:$K$4986,6,FALSE)&amp;VLOOKUP(D525,契約台帳!$A$3:$K$4986,7,FALSE)&amp;VLOOKUP(D525,契約台帳!$A$3:$K$4986,8,FALSE)&amp;VLOOKUP(D525,契約台帳!$A$3:$K$4986,9,FALSE)&amp;VLOOKUP(D525,契約台帳!$A$3:$K$4986,11,FALSE))</f>
        <v/>
      </c>
      <c r="G525" s="269" t="str">
        <f>IF(D525="","",VLOOKUP(F525,製品マスタ!$G$5:$H$5002,2,FALSE))</f>
        <v/>
      </c>
      <c r="H525" s="269" t="str">
        <f>IF(D525="","",VLOOKUP(F525,製品マスタ!$G$5:$K$5002,5,FALSE))</f>
        <v/>
      </c>
      <c r="I525" s="270" t="str">
        <f>IF(D525="","",VLOOKUP(F525,製品マスタ!$G$5:$L$5002,6,FALSE))</f>
        <v/>
      </c>
      <c r="J525" s="210"/>
      <c r="K525" s="270" t="str">
        <f>IF(D525="","",VLOOKUP(D525,契約台帳!$A$3:$L$4986,12,FALSE))</f>
        <v/>
      </c>
      <c r="L525" s="270" t="str">
        <f>IF(D525="","",INDEX(製品マスタ!$Q$5:$Q$5002,MATCH('S4'!F525&amp;'S4'!K525,製品マスタ!$AO$5:$AO$5002,0)))</f>
        <v/>
      </c>
      <c r="M525" s="39"/>
      <c r="N525" s="39"/>
      <c r="O525" s="156"/>
      <c r="P525" s="47"/>
      <c r="Q525" s="57"/>
      <c r="R525" s="271" t="str">
        <f ca="1">IF(D525="","",IF(OFFSET(D525,-1,0)&lt;&gt;"","",IF(OR(J525="リード付け",J525="巻足し",J525="巻返しリード付け"),M525,VLOOKUP(D525,契約台帳!$A$3:$N$4986,14,FALSE))))</f>
        <v/>
      </c>
      <c r="S525" s="272" t="str">
        <f ca="1">IF(D525="","",IF(OFFSET(D525,-1,0)&lt;&gt;"","",IF(OR(J525="リード付け",J525="巻足し",J525="巻返しリード付け"),M525,VLOOKUP(D525,契約台帳!$A$3:$O$4986,15,FALSE))))</f>
        <v/>
      </c>
      <c r="T525" s="273" t="str">
        <f ca="1">IF(D525="","",IF(J525="リード付け",N525,IF(J525="巻返しリード付け",N525,IF(J525="巻足し",N525*P525+OFFSET(N525,1,0)*OFFSET(P525,1,0),VLOOKUP(D525,契約台帳!$A$3:$P$4986,16,FALSE)))))</f>
        <v/>
      </c>
      <c r="U525" s="40"/>
      <c r="V525" s="274" t="str">
        <f ca="1">IF(D525="","",IF(OFFSET(D525,-2,0)=D525,"",VLOOKUP(D525,契約台帳!$A$3:$R$4986,18,FALSE)))</f>
        <v/>
      </c>
      <c r="W525" s="269" t="str">
        <f>IF(D525="","",IF(T525="","",IF(OR(J525="巻足し",J525="巻返しリード付け"),"",IF(J525="巻返し",VLOOKUP(F525&amp;K525&amp;M525,製品マスタ!$M$5:$AD$5002,18,FALSE),IF(OR(J525="リード付け",J525="巻返しリード付け"),"原反コア",IF(J525="スリット",VLOOKUP(F525&amp;K525&amp;R525,製品マスタ!$N$5:$AD$5002,17,FALSE),""))))))</f>
        <v/>
      </c>
      <c r="X525" s="269" t="str">
        <f>IF(D525="","",IF(T525="","",IF(J525="巻足し","",IF(J525="巻返し",VLOOKUP(F525&amp;K525&amp;M525,製品マスタ!$M$5:$AE$5002,19,FALSE),IF(OR(J525="リード付け",J525="巻返しリード付け"),"",IF(J525="スリット",VLOOKUP(F525&amp;K525&amp;R525,製品マスタ!$N$5:$AE$5002,18,FALSE),""))))))</f>
        <v/>
      </c>
      <c r="Y525" s="275" t="str">
        <f>IF(D525="","",IF(T525="","",VLOOKUP(D525,契約台帳!$A$3:$Q$4986,17,FALSE)))</f>
        <v/>
      </c>
      <c r="Z525" s="269" t="str">
        <f>IF(D525="","",IF(T525="","",VLOOKUP(D525,契約台帳!$A$3:$E$4986,5,FALSE)))</f>
        <v/>
      </c>
      <c r="AA525" s="57"/>
      <c r="AB525" s="207" t="str">
        <f>IFERROR((VLOOKUP(F525&amp;K525&amp;M525,製品マスタ!$M$5:$AM$5002,27,FALSE)),"")</f>
        <v/>
      </c>
      <c r="AC525" s="33"/>
      <c r="AD525" s="189"/>
      <c r="AE525" s="54"/>
      <c r="AF525" s="55"/>
      <c r="AG525" s="43"/>
      <c r="AH525" s="47"/>
      <c r="AI525" s="30"/>
      <c r="AJ525" s="30"/>
      <c r="AK525" s="30"/>
      <c r="AL525" s="30"/>
      <c r="AM525" s="13"/>
      <c r="AN525" s="13"/>
      <c r="AO525" s="13"/>
      <c r="AP525" s="13"/>
      <c r="AQ525" s="13"/>
      <c r="AR525" s="14"/>
      <c r="AS525" s="15"/>
    </row>
    <row r="526" spans="1:45" s="17" customFormat="1" ht="30.95" hidden="1" customHeight="1" x14ac:dyDescent="0.2">
      <c r="A526" s="37" t="s">
        <v>1112</v>
      </c>
      <c r="B526" s="38" t="s">
        <v>1099</v>
      </c>
      <c r="C526" s="45"/>
      <c r="D526" s="31"/>
      <c r="E526" s="31"/>
      <c r="F526" s="268" t="str">
        <f>IF(D526="","",VLOOKUP(D526,契約台帳!$A$3:$K$4986,6,FALSE)&amp;VLOOKUP(D526,契約台帳!$A$3:$K$4986,7,FALSE)&amp;VLOOKUP(D526,契約台帳!$A$3:$K$4986,8,FALSE)&amp;VLOOKUP(D526,契約台帳!$A$3:$K$4986,9,FALSE)&amp;VLOOKUP(D526,契約台帳!$A$3:$K$4986,11,FALSE))</f>
        <v/>
      </c>
      <c r="G526" s="269" t="str">
        <f>IF(D526="","",VLOOKUP(F526,製品マスタ!$G$5:$H$5002,2,FALSE))</f>
        <v/>
      </c>
      <c r="H526" s="269" t="str">
        <f>IF(D526="","",VLOOKUP(F526,製品マスタ!$G$5:$K$5002,5,FALSE))</f>
        <v/>
      </c>
      <c r="I526" s="270" t="str">
        <f>IF(D526="","",VLOOKUP(F526,製品マスタ!$G$5:$L$5002,6,FALSE))</f>
        <v/>
      </c>
      <c r="J526" s="210" t="s">
        <v>1126</v>
      </c>
      <c r="K526" s="270" t="str">
        <f>IF(D526="","",VLOOKUP(D526,契約台帳!$A$3:$L$4986,12,FALSE))</f>
        <v/>
      </c>
      <c r="L526" s="270" t="str">
        <f>IF(D526="","",INDEX(製品マスタ!$Q$5:$Q$5002,MATCH('S4'!F526&amp;'S4'!K526,製品マスタ!$AO$5:$AO$5002,0)))</f>
        <v/>
      </c>
      <c r="M526" s="39"/>
      <c r="N526" s="39"/>
      <c r="O526" s="156"/>
      <c r="P526" s="47"/>
      <c r="Q526" s="57"/>
      <c r="R526" s="271" t="str">
        <f ca="1">IF(D526="","",IF(OFFSET(D526,-1,0)&lt;&gt;"","",IF(OR(J526="リード付け",J526="巻足し",J526="巻返しリード付け"),M526,VLOOKUP(D526,契約台帳!$A$3:$N$4986,14,FALSE))))</f>
        <v/>
      </c>
      <c r="S526" s="272" t="str">
        <f ca="1">IF(D526="","",IF(OFFSET(D526,-1,0)&lt;&gt;"","",IF(OR(J526="リード付け",J526="巻足し",J526="巻返しリード付け"),M526,VLOOKUP(D526,契約台帳!$A$3:$O$4986,15,FALSE))))</f>
        <v/>
      </c>
      <c r="T526" s="273" t="str">
        <f ca="1">IF(D526="","",IF(J526="リード付け",N526,IF(J526="巻返しリード付け",N526,IF(J526="巻足し",N526*P526+OFFSET(N526,1,0)*OFFSET(P526,1,0),VLOOKUP(D526,契約台帳!$A$3:$P$4986,16,FALSE)))))</f>
        <v/>
      </c>
      <c r="U526" s="40"/>
      <c r="V526" s="274" t="str">
        <f ca="1">IF(D526="","",IF(OFFSET(D526,-2,0)=D526,"",VLOOKUP(D526,契約台帳!$A$3:$R$4986,18,FALSE)))</f>
        <v/>
      </c>
      <c r="W526" s="269" t="str">
        <f>IF(D526="","",IF(T526="","",IF(OR(J526="巻足し",J526="巻返しリード付け"),"",IF(J526="巻返し",VLOOKUP(F526&amp;K526&amp;M526,製品マスタ!$M$5:$AD$5002,18,FALSE),IF(OR(J526="リード付け",J526="巻返しリード付け"),"原反コア",IF(J526="スリット",VLOOKUP(F526&amp;K526&amp;R526,製品マスタ!$N$5:$AD$5002,17,FALSE),""))))))</f>
        <v/>
      </c>
      <c r="X526" s="269" t="str">
        <f>IF(D526="","",IF(T526="","",IF(J526="巻足し","",IF(J526="巻返し",VLOOKUP(F526&amp;K526&amp;M526,製品マスタ!$M$5:$AE$5002,19,FALSE),IF(OR(J526="リード付け",J526="巻返しリード付け"),"",IF(J526="スリット",VLOOKUP(F526&amp;K526&amp;R526,製品マスタ!$N$5:$AE$5002,18,FALSE),""))))))</f>
        <v/>
      </c>
      <c r="Y526" s="275" t="str">
        <f>IF(D526="","",IF(T526="","",VLOOKUP(D526,契約台帳!$A$3:$Q$4986,17,FALSE)))</f>
        <v/>
      </c>
      <c r="Z526" s="269" t="str">
        <f>IF(D526="","",IF(T526="","",VLOOKUP(D526,契約台帳!$A$3:$E$4986,5,FALSE)))</f>
        <v/>
      </c>
      <c r="AA526" s="57"/>
      <c r="AB526" s="207" t="str">
        <f>IFERROR((VLOOKUP(F526&amp;K526&amp;M526,製品マスタ!$M$5:$AM$5002,27,FALSE)),"")</f>
        <v/>
      </c>
      <c r="AC526" s="33"/>
      <c r="AD526" s="189"/>
      <c r="AE526" s="54"/>
      <c r="AF526" s="55"/>
      <c r="AG526" s="43"/>
      <c r="AH526" s="47"/>
      <c r="AI526" s="30"/>
      <c r="AJ526" s="30"/>
      <c r="AK526" s="30"/>
      <c r="AL526" s="30"/>
      <c r="AM526" s="13"/>
      <c r="AN526" s="13"/>
      <c r="AO526" s="13"/>
      <c r="AP526" s="13"/>
      <c r="AQ526" s="13"/>
      <c r="AR526" s="14"/>
      <c r="AS526" s="15"/>
    </row>
    <row r="527" spans="1:45" s="17" customFormat="1" ht="30.95" hidden="1" customHeight="1" x14ac:dyDescent="0.2">
      <c r="A527" s="37"/>
      <c r="B527" s="38"/>
      <c r="C527" s="45"/>
      <c r="D527" s="31"/>
      <c r="E527" s="31"/>
      <c r="F527" s="268" t="str">
        <f>IF(D527="","",VLOOKUP(D527,契約台帳!$A$3:$K$4986,6,FALSE)&amp;VLOOKUP(D527,契約台帳!$A$3:$K$4986,7,FALSE)&amp;VLOOKUP(D527,契約台帳!$A$3:$K$4986,8,FALSE)&amp;VLOOKUP(D527,契約台帳!$A$3:$K$4986,9,FALSE)&amp;VLOOKUP(D527,契約台帳!$A$3:$K$4986,11,FALSE))</f>
        <v/>
      </c>
      <c r="G527" s="269" t="str">
        <f>IF(D527="","",VLOOKUP(F527,製品マスタ!$G$5:$H$5002,2,FALSE))</f>
        <v/>
      </c>
      <c r="H527" s="269" t="str">
        <f>IF(D527="","",VLOOKUP(F527,製品マスタ!$G$5:$K$5002,5,FALSE))</f>
        <v/>
      </c>
      <c r="I527" s="270" t="str">
        <f>IF(D527="","",VLOOKUP(F527,製品マスタ!$G$5:$L$5002,6,FALSE))</f>
        <v/>
      </c>
      <c r="J527" s="210"/>
      <c r="K527" s="270" t="str">
        <f>IF(D527="","",VLOOKUP(D527,契約台帳!$A$3:$L$4986,12,FALSE))</f>
        <v/>
      </c>
      <c r="L527" s="270" t="str">
        <f>IF(D527="","",INDEX(製品マスタ!$Q$5:$Q$5002,MATCH('S4'!F527&amp;'S4'!K527,製品マスタ!$AO$5:$AO$5002,0)))</f>
        <v/>
      </c>
      <c r="M527" s="39"/>
      <c r="N527" s="39"/>
      <c r="O527" s="156"/>
      <c r="P527" s="47"/>
      <c r="Q527" s="57"/>
      <c r="R527" s="271" t="str">
        <f ca="1">IF(D527="","",IF(OFFSET(D527,-1,0)&lt;&gt;"","",IF(OR(J527="リード付け",J527="巻足し",J527="巻返しリード付け"),M527,VLOOKUP(D527,契約台帳!$A$3:$N$4986,14,FALSE))))</f>
        <v/>
      </c>
      <c r="S527" s="272" t="str">
        <f ca="1">IF(D527="","",IF(OFFSET(D527,-1,0)&lt;&gt;"","",IF(OR(J527="リード付け",J527="巻足し",J527="巻返しリード付け"),M527,VLOOKUP(D527,契約台帳!$A$3:$O$4986,15,FALSE))))</f>
        <v/>
      </c>
      <c r="T527" s="273" t="str">
        <f ca="1">IF(D527="","",IF(J527="リード付け",N527,IF(J527="巻返しリード付け",N527,IF(J527="巻足し",N527*P527+OFFSET(N527,1,0)*OFFSET(P527,1,0),VLOOKUP(D527,契約台帳!$A$3:$P$4986,16,FALSE)))))</f>
        <v/>
      </c>
      <c r="U527" s="40"/>
      <c r="V527" s="274" t="str">
        <f ca="1">IF(D527="","",IF(OFFSET(D527,-2,0)=D527,"",VLOOKUP(D527,契約台帳!$A$3:$R$4986,18,FALSE)))</f>
        <v/>
      </c>
      <c r="W527" s="269" t="str">
        <f>IF(D527="","",IF(T527="","",IF(OR(J527="巻足し",J527="巻返しリード付け"),"",IF(J527="巻返し",VLOOKUP(F527&amp;K527&amp;M527,製品マスタ!$M$5:$AD$5002,18,FALSE),IF(OR(J527="リード付け",J527="巻返しリード付け"),"原反コア",IF(J527="スリット",VLOOKUP(F527&amp;K527&amp;R527,製品マスタ!$N$5:$AD$5002,17,FALSE),""))))))</f>
        <v/>
      </c>
      <c r="X527" s="269" t="str">
        <f>IF(D527="","",IF(T527="","",IF(J527="巻足し","",IF(J527="巻返し",VLOOKUP(F527&amp;K527&amp;M527,製品マスタ!$M$5:$AE$5002,19,FALSE),IF(OR(J527="リード付け",J527="巻返しリード付け"),"",IF(J527="スリット",VLOOKUP(F527&amp;K527&amp;R527,製品マスタ!$N$5:$AE$5002,18,FALSE),""))))))</f>
        <v/>
      </c>
      <c r="Y527" s="275" t="str">
        <f>IF(D527="","",IF(T527="","",VLOOKUP(D527,契約台帳!$A$3:$Q$4986,17,FALSE)))</f>
        <v/>
      </c>
      <c r="Z527" s="269" t="str">
        <f>IF(D527="","",IF(T527="","",VLOOKUP(D527,契約台帳!$A$3:$E$4986,5,FALSE)))</f>
        <v/>
      </c>
      <c r="AA527" s="57"/>
      <c r="AB527" s="207" t="str">
        <f>IFERROR((VLOOKUP(F527&amp;K527&amp;M527,製品マスタ!$M$5:$AM$5002,27,FALSE)),"")</f>
        <v/>
      </c>
      <c r="AC527" s="33"/>
      <c r="AD527" s="189"/>
      <c r="AE527" s="54"/>
      <c r="AF527" s="55"/>
      <c r="AG527" s="43"/>
      <c r="AH527" s="47"/>
      <c r="AI527" s="30"/>
      <c r="AJ527" s="30"/>
      <c r="AK527" s="30"/>
      <c r="AL527" s="30"/>
      <c r="AM527" s="13"/>
      <c r="AN527" s="13"/>
      <c r="AO527" s="13"/>
      <c r="AP527" s="13"/>
      <c r="AQ527" s="13"/>
      <c r="AR527" s="14"/>
      <c r="AS527" s="15"/>
    </row>
    <row r="528" spans="1:45" s="17" customFormat="1" ht="30.95" hidden="1" customHeight="1" x14ac:dyDescent="0.2">
      <c r="A528" s="37" t="s">
        <v>1113</v>
      </c>
      <c r="B528" s="38" t="s">
        <v>1101</v>
      </c>
      <c r="C528" s="45"/>
      <c r="D528" s="31"/>
      <c r="E528" s="31"/>
      <c r="F528" s="268" t="str">
        <f>IF(D528="","",VLOOKUP(D528,契約台帳!$A$3:$K$4986,6,FALSE)&amp;VLOOKUP(D528,契約台帳!$A$3:$K$4986,7,FALSE)&amp;VLOOKUP(D528,契約台帳!$A$3:$K$4986,8,FALSE)&amp;VLOOKUP(D528,契約台帳!$A$3:$K$4986,9,FALSE)&amp;VLOOKUP(D528,契約台帳!$A$3:$K$4986,11,FALSE))</f>
        <v/>
      </c>
      <c r="G528" s="269" t="str">
        <f>IF(D528="","",VLOOKUP(F528,製品マスタ!$G$5:$H$5002,2,FALSE))</f>
        <v/>
      </c>
      <c r="H528" s="269" t="str">
        <f>IF(D528="","",VLOOKUP(F528,製品マスタ!$G$5:$K$5002,5,FALSE))</f>
        <v/>
      </c>
      <c r="I528" s="270" t="str">
        <f>IF(D528="","",VLOOKUP(F528,製品マスタ!$G$5:$L$5002,6,FALSE))</f>
        <v/>
      </c>
      <c r="J528" s="210" t="s">
        <v>1126</v>
      </c>
      <c r="K528" s="270" t="str">
        <f>IF(D528="","",VLOOKUP(D528,契約台帳!$A$3:$L$4986,12,FALSE))</f>
        <v/>
      </c>
      <c r="L528" s="270" t="str">
        <f>IF(D528="","",INDEX(製品マスタ!$Q$5:$Q$5002,MATCH('S4'!F528&amp;'S4'!K528,製品マスタ!$AO$5:$AO$5002,0)))</f>
        <v/>
      </c>
      <c r="M528" s="39"/>
      <c r="N528" s="39"/>
      <c r="O528" s="156"/>
      <c r="P528" s="47"/>
      <c r="Q528" s="57"/>
      <c r="R528" s="271" t="str">
        <f ca="1">IF(D528="","",IF(OFFSET(D528,-1,0)&lt;&gt;"","",IF(OR(J528="リード付け",J528="巻足し",J528="巻返しリード付け"),M528,VLOOKUP(D528,契約台帳!$A$3:$N$4986,14,FALSE))))</f>
        <v/>
      </c>
      <c r="S528" s="272" t="str">
        <f ca="1">IF(D528="","",IF(OFFSET(D528,-1,0)&lt;&gt;"","",IF(OR(J528="リード付け",J528="巻足し",J528="巻返しリード付け"),M528,VLOOKUP(D528,契約台帳!$A$3:$O$4986,15,FALSE))))</f>
        <v/>
      </c>
      <c r="T528" s="273" t="str">
        <f ca="1">IF(D528="","",IF(J528="リード付け",N528,IF(J528="巻返しリード付け",N528,IF(J528="巻足し",N528*P528+OFFSET(N528,1,0)*OFFSET(P528,1,0),VLOOKUP(D528,契約台帳!$A$3:$P$4986,16,FALSE)))))</f>
        <v/>
      </c>
      <c r="U528" s="40"/>
      <c r="V528" s="274" t="str">
        <f ca="1">IF(D528="","",IF(OFFSET(D528,-2,0)=D528,"",VLOOKUP(D528,契約台帳!$A$3:$R$4986,18,FALSE)))</f>
        <v/>
      </c>
      <c r="W528" s="269" t="str">
        <f>IF(D528="","",IF(T528="","",IF(OR(J528="巻足し",J528="巻返しリード付け"),"",IF(J528="巻返し",VLOOKUP(F528&amp;K528&amp;M528,製品マスタ!$M$5:$AD$5002,18,FALSE),IF(OR(J528="リード付け",J528="巻返しリード付け"),"原反コア",IF(J528="スリット",VLOOKUP(F528&amp;K528&amp;R528,製品マスタ!$N$5:$AD$5002,17,FALSE),""))))))</f>
        <v/>
      </c>
      <c r="X528" s="269" t="str">
        <f>IF(D528="","",IF(T528="","",IF(J528="巻足し","",IF(J528="巻返し",VLOOKUP(F528&amp;K528&amp;M528,製品マスタ!$M$5:$AE$5002,19,FALSE),IF(OR(J528="リード付け",J528="巻返しリード付け"),"",IF(J528="スリット",VLOOKUP(F528&amp;K528&amp;R528,製品マスタ!$N$5:$AE$5002,18,FALSE),""))))))</f>
        <v/>
      </c>
      <c r="Y528" s="275" t="str">
        <f>IF(D528="","",IF(T528="","",VLOOKUP(D528,契約台帳!$A$3:$Q$4986,17,FALSE)))</f>
        <v/>
      </c>
      <c r="Z528" s="269" t="str">
        <f>IF(D528="","",IF(T528="","",VLOOKUP(D528,契約台帳!$A$3:$E$4986,5,FALSE)))</f>
        <v/>
      </c>
      <c r="AA528" s="57"/>
      <c r="AB528" s="207" t="str">
        <f>IFERROR((VLOOKUP(F528&amp;K528&amp;M528,製品マスタ!$M$5:$AM$5002,27,FALSE)),"")</f>
        <v/>
      </c>
      <c r="AC528" s="33"/>
      <c r="AD528" s="189"/>
      <c r="AE528" s="54"/>
      <c r="AF528" s="55"/>
      <c r="AG528" s="43"/>
      <c r="AH528" s="47"/>
      <c r="AI528" s="30"/>
      <c r="AJ528" s="30"/>
      <c r="AK528" s="30"/>
      <c r="AL528" s="30"/>
      <c r="AM528" s="13"/>
      <c r="AN528" s="13"/>
      <c r="AO528" s="13"/>
      <c r="AP528" s="13"/>
      <c r="AQ528" s="13"/>
      <c r="AR528" s="14"/>
      <c r="AS528" s="15"/>
    </row>
    <row r="529" spans="1:45" s="17" customFormat="1" ht="30.95" hidden="1" customHeight="1" x14ac:dyDescent="0.2">
      <c r="A529" s="37"/>
      <c r="B529" s="38"/>
      <c r="C529" s="45"/>
      <c r="D529" s="31"/>
      <c r="E529" s="31"/>
      <c r="F529" s="268" t="str">
        <f>IF(D529="","",VLOOKUP(D529,契約台帳!$A$3:$K$4986,6,FALSE)&amp;VLOOKUP(D529,契約台帳!$A$3:$K$4986,7,FALSE)&amp;VLOOKUP(D529,契約台帳!$A$3:$K$4986,8,FALSE)&amp;VLOOKUP(D529,契約台帳!$A$3:$K$4986,9,FALSE)&amp;VLOOKUP(D529,契約台帳!$A$3:$K$4986,11,FALSE))</f>
        <v/>
      </c>
      <c r="G529" s="269" t="str">
        <f>IF(D529="","",VLOOKUP(F529,製品マスタ!$G$5:$H$5002,2,FALSE))</f>
        <v/>
      </c>
      <c r="H529" s="269" t="str">
        <f>IF(D529="","",VLOOKUP(F529,製品マスタ!$G$5:$K$5002,5,FALSE))</f>
        <v/>
      </c>
      <c r="I529" s="270" t="str">
        <f>IF(D529="","",VLOOKUP(F529,製品マスタ!$G$5:$L$5002,6,FALSE))</f>
        <v/>
      </c>
      <c r="J529" s="210"/>
      <c r="K529" s="270" t="str">
        <f>IF(D529="","",VLOOKUP(D529,契約台帳!$A$3:$L$4986,12,FALSE))</f>
        <v/>
      </c>
      <c r="L529" s="270" t="str">
        <f>IF(D529="","",INDEX(製品マスタ!$Q$5:$Q$5002,MATCH('S4'!F529&amp;'S4'!K529,製品マスタ!$AO$5:$AO$5002,0)))</f>
        <v/>
      </c>
      <c r="M529" s="39"/>
      <c r="N529" s="39"/>
      <c r="O529" s="156"/>
      <c r="P529" s="47"/>
      <c r="Q529" s="57"/>
      <c r="R529" s="271" t="str">
        <f ca="1">IF(D529="","",IF(OFFSET(D529,-1,0)&lt;&gt;"","",IF(OR(J529="リード付け",J529="巻足し",J529="巻返しリード付け"),M529,VLOOKUP(D529,契約台帳!$A$3:$N$4986,14,FALSE))))</f>
        <v/>
      </c>
      <c r="S529" s="272" t="str">
        <f ca="1">IF(D529="","",IF(OFFSET(D529,-1,0)&lt;&gt;"","",IF(OR(J529="リード付け",J529="巻足し",J529="巻返しリード付け"),M529,VLOOKUP(D529,契約台帳!$A$3:$O$4986,15,FALSE))))</f>
        <v/>
      </c>
      <c r="T529" s="273" t="str">
        <f ca="1">IF(D529="","",IF(J529="リード付け",N529,IF(J529="巻返しリード付け",N529,IF(J529="巻足し",N529*P529+OFFSET(N529,1,0)*OFFSET(P529,1,0),VLOOKUP(D529,契約台帳!$A$3:$P$4986,16,FALSE)))))</f>
        <v/>
      </c>
      <c r="U529" s="40"/>
      <c r="V529" s="274" t="str">
        <f ca="1">IF(D529="","",IF(OFFSET(D529,-2,0)=D529,"",VLOOKUP(D529,契約台帳!$A$3:$R$4986,18,FALSE)))</f>
        <v/>
      </c>
      <c r="W529" s="269" t="str">
        <f>IF(D529="","",IF(T529="","",IF(OR(J529="巻足し",J529="巻返しリード付け"),"",IF(J529="巻返し",VLOOKUP(F529&amp;K529&amp;M529,製品マスタ!$M$5:$AD$5002,18,FALSE),IF(OR(J529="リード付け",J529="巻返しリード付け"),"原反コア",IF(J529="スリット",VLOOKUP(F529&amp;K529&amp;R529,製品マスタ!$N$5:$AD$5002,17,FALSE),""))))))</f>
        <v/>
      </c>
      <c r="X529" s="269" t="str">
        <f>IF(D529="","",IF(T529="","",IF(J529="巻足し","",IF(J529="巻返し",VLOOKUP(F529&amp;K529&amp;M529,製品マスタ!$M$5:$AE$5002,19,FALSE),IF(OR(J529="リード付け",J529="巻返しリード付け"),"",IF(J529="スリット",VLOOKUP(F529&amp;K529&amp;R529,製品マスタ!$N$5:$AE$5002,18,FALSE),""))))))</f>
        <v/>
      </c>
      <c r="Y529" s="275" t="str">
        <f>IF(D529="","",IF(T529="","",VLOOKUP(D529,契約台帳!$A$3:$Q$4986,17,FALSE)))</f>
        <v/>
      </c>
      <c r="Z529" s="269" t="str">
        <f>IF(D529="","",IF(T529="","",VLOOKUP(D529,契約台帳!$A$3:$E$4986,5,FALSE)))</f>
        <v/>
      </c>
      <c r="AA529" s="57"/>
      <c r="AB529" s="207" t="str">
        <f>IFERROR((VLOOKUP(F529&amp;K529&amp;M529,製品マスタ!$M$5:$AM$5002,27,FALSE)),"")</f>
        <v/>
      </c>
      <c r="AC529" s="33"/>
      <c r="AD529" s="189"/>
      <c r="AE529" s="54"/>
      <c r="AF529" s="55"/>
      <c r="AG529" s="43"/>
      <c r="AH529" s="47"/>
      <c r="AI529" s="30"/>
      <c r="AJ529" s="30"/>
      <c r="AK529" s="30"/>
      <c r="AL529" s="30"/>
      <c r="AM529" s="13"/>
      <c r="AN529" s="13"/>
      <c r="AO529" s="13"/>
      <c r="AP529" s="13"/>
      <c r="AQ529" s="13"/>
      <c r="AR529" s="14"/>
      <c r="AS529" s="15"/>
    </row>
    <row r="530" spans="1:45" s="17" customFormat="1" ht="30.95" hidden="1" customHeight="1" x14ac:dyDescent="0.2">
      <c r="A530" s="37" t="s">
        <v>1114</v>
      </c>
      <c r="B530" s="38" t="s">
        <v>1103</v>
      </c>
      <c r="C530" s="45"/>
      <c r="D530" s="31"/>
      <c r="E530" s="31"/>
      <c r="F530" s="268" t="str">
        <f>IF(D530="","",VLOOKUP(D530,契約台帳!$A$3:$K$4986,6,FALSE)&amp;VLOOKUP(D530,契約台帳!$A$3:$K$4986,7,FALSE)&amp;VLOOKUP(D530,契約台帳!$A$3:$K$4986,8,FALSE)&amp;VLOOKUP(D530,契約台帳!$A$3:$K$4986,9,FALSE)&amp;VLOOKUP(D530,契約台帳!$A$3:$K$4986,11,FALSE))</f>
        <v/>
      </c>
      <c r="G530" s="269" t="str">
        <f>IF(D530="","",VLOOKUP(F530,製品マスタ!$G$5:$H$5002,2,FALSE))</f>
        <v/>
      </c>
      <c r="H530" s="269" t="str">
        <f>IF(D530="","",VLOOKUP(F530,製品マスタ!$G$5:$K$5002,5,FALSE))</f>
        <v/>
      </c>
      <c r="I530" s="270" t="str">
        <f>IF(D530="","",VLOOKUP(F530,製品マスタ!$G$5:$L$5002,6,FALSE))</f>
        <v/>
      </c>
      <c r="J530" s="210" t="s">
        <v>1126</v>
      </c>
      <c r="K530" s="270" t="str">
        <f>IF(D530="","",VLOOKUP(D530,契約台帳!$A$3:$L$4986,12,FALSE))</f>
        <v/>
      </c>
      <c r="L530" s="270" t="str">
        <f>IF(D530="","",INDEX(製品マスタ!$Q$5:$Q$5002,MATCH('S4'!F530&amp;'S4'!K530,製品マスタ!$AO$5:$AO$5002,0)))</f>
        <v/>
      </c>
      <c r="M530" s="39"/>
      <c r="N530" s="39"/>
      <c r="O530" s="156"/>
      <c r="P530" s="47"/>
      <c r="Q530" s="57"/>
      <c r="R530" s="271" t="str">
        <f ca="1">IF(D530="","",IF(OFFSET(D530,-1,0)&lt;&gt;"","",IF(OR(J530="リード付け",J530="巻足し",J530="巻返しリード付け"),M530,VLOOKUP(D530,契約台帳!$A$3:$N$4986,14,FALSE))))</f>
        <v/>
      </c>
      <c r="S530" s="272" t="str">
        <f ca="1">IF(D530="","",IF(OFFSET(D530,-1,0)&lt;&gt;"","",IF(OR(J530="リード付け",J530="巻足し",J530="巻返しリード付け"),M530,VLOOKUP(D530,契約台帳!$A$3:$O$4986,15,FALSE))))</f>
        <v/>
      </c>
      <c r="T530" s="273" t="str">
        <f ca="1">IF(D530="","",IF(J530="リード付け",N530,IF(J530="巻返しリード付け",N530,IF(J530="巻足し",N530*P530+OFFSET(N530,1,0)*OFFSET(P530,1,0),VLOOKUP(D530,契約台帳!$A$3:$P$4986,16,FALSE)))))</f>
        <v/>
      </c>
      <c r="U530" s="40"/>
      <c r="V530" s="274" t="str">
        <f ca="1">IF(D530="","",IF(OFFSET(D530,-2,0)=D530,"",VLOOKUP(D530,契約台帳!$A$3:$R$4986,18,FALSE)))</f>
        <v/>
      </c>
      <c r="W530" s="269" t="str">
        <f>IF(D530="","",IF(T530="","",IF(OR(J530="巻足し",J530="巻返しリード付け"),"",IF(J530="巻返し",VLOOKUP(F530&amp;K530&amp;M530,製品マスタ!$M$5:$AD$5002,18,FALSE),IF(OR(J530="リード付け",J530="巻返しリード付け"),"原反コア",IF(J530="スリット",VLOOKUP(F530&amp;K530&amp;R530,製品マスタ!$N$5:$AD$5002,17,FALSE),""))))))</f>
        <v/>
      </c>
      <c r="X530" s="269" t="str">
        <f>IF(D530="","",IF(T530="","",IF(J530="巻足し","",IF(J530="巻返し",VLOOKUP(F530&amp;K530&amp;M530,製品マスタ!$M$5:$AE$5002,19,FALSE),IF(OR(J530="リード付け",J530="巻返しリード付け"),"",IF(J530="スリット",VLOOKUP(F530&amp;K530&amp;R530,製品マスタ!$N$5:$AE$5002,18,FALSE),""))))))</f>
        <v/>
      </c>
      <c r="Y530" s="275" t="str">
        <f>IF(D530="","",IF(T530="","",VLOOKUP(D530,契約台帳!$A$3:$Q$4986,17,FALSE)))</f>
        <v/>
      </c>
      <c r="Z530" s="269" t="str">
        <f>IF(D530="","",IF(T530="","",VLOOKUP(D530,契約台帳!$A$3:$E$4986,5,FALSE)))</f>
        <v/>
      </c>
      <c r="AA530" s="57"/>
      <c r="AB530" s="207" t="str">
        <f>IFERROR((VLOOKUP(F530&amp;K530&amp;M530,製品マスタ!$M$5:$AM$5002,27,FALSE)),"")</f>
        <v/>
      </c>
      <c r="AC530" s="33"/>
      <c r="AD530" s="189"/>
      <c r="AE530" s="54"/>
      <c r="AF530" s="55"/>
      <c r="AG530" s="43"/>
      <c r="AH530" s="47"/>
      <c r="AI530" s="30"/>
      <c r="AJ530" s="30"/>
      <c r="AK530" s="30"/>
      <c r="AL530" s="30"/>
      <c r="AM530" s="13"/>
      <c r="AN530" s="13"/>
      <c r="AO530" s="13"/>
      <c r="AP530" s="13"/>
      <c r="AQ530" s="13"/>
      <c r="AR530" s="14"/>
      <c r="AS530" s="15"/>
    </row>
    <row r="531" spans="1:45" s="17" customFormat="1" ht="30.95" hidden="1" customHeight="1" x14ac:dyDescent="0.2">
      <c r="A531" s="37"/>
      <c r="B531" s="38"/>
      <c r="C531" s="45"/>
      <c r="D531" s="31"/>
      <c r="E531" s="31"/>
      <c r="F531" s="268" t="str">
        <f>IF(D531="","",VLOOKUP(D531,契約台帳!$A$3:$K$4986,6,FALSE)&amp;VLOOKUP(D531,契約台帳!$A$3:$K$4986,7,FALSE)&amp;VLOOKUP(D531,契約台帳!$A$3:$K$4986,8,FALSE)&amp;VLOOKUP(D531,契約台帳!$A$3:$K$4986,9,FALSE)&amp;VLOOKUP(D531,契約台帳!$A$3:$K$4986,11,FALSE))</f>
        <v/>
      </c>
      <c r="G531" s="269" t="str">
        <f>IF(D531="","",VLOOKUP(F531,製品マスタ!$G$5:$H$5002,2,FALSE))</f>
        <v/>
      </c>
      <c r="H531" s="269" t="str">
        <f>IF(D531="","",VLOOKUP(F531,製品マスタ!$G$5:$K$5002,5,FALSE))</f>
        <v/>
      </c>
      <c r="I531" s="270" t="str">
        <f>IF(D531="","",VLOOKUP(F531,製品マスタ!$G$5:$L$5002,6,FALSE))</f>
        <v/>
      </c>
      <c r="J531" s="210"/>
      <c r="K531" s="270" t="str">
        <f>IF(D531="","",VLOOKUP(D531,契約台帳!$A$3:$L$4986,12,FALSE))</f>
        <v/>
      </c>
      <c r="L531" s="270" t="str">
        <f>IF(D531="","",INDEX(製品マスタ!$Q$5:$Q$5002,MATCH('S4'!F531&amp;'S4'!K531,製品マスタ!$AO$5:$AO$5002,0)))</f>
        <v/>
      </c>
      <c r="M531" s="39"/>
      <c r="N531" s="39"/>
      <c r="O531" s="156"/>
      <c r="P531" s="47"/>
      <c r="Q531" s="57"/>
      <c r="R531" s="271" t="str">
        <f ca="1">IF(D531="","",IF(OFFSET(D531,-1,0)&lt;&gt;"","",IF(OR(J531="リード付け",J531="巻足し",J531="巻返しリード付け"),M531,VLOOKUP(D531,契約台帳!$A$3:$N$4986,14,FALSE))))</f>
        <v/>
      </c>
      <c r="S531" s="272" t="str">
        <f ca="1">IF(D531="","",IF(OFFSET(D531,-1,0)&lt;&gt;"","",IF(OR(J531="リード付け",J531="巻足し",J531="巻返しリード付け"),M531,VLOOKUP(D531,契約台帳!$A$3:$O$4986,15,FALSE))))</f>
        <v/>
      </c>
      <c r="T531" s="273" t="str">
        <f ca="1">IF(D531="","",IF(J531="リード付け",N531,IF(J531="巻返しリード付け",N531,IF(J531="巻足し",N531*P531+OFFSET(N531,1,0)*OFFSET(P531,1,0),VLOOKUP(D531,契約台帳!$A$3:$P$4986,16,FALSE)))))</f>
        <v/>
      </c>
      <c r="U531" s="40"/>
      <c r="V531" s="274" t="str">
        <f ca="1">IF(D531="","",IF(OFFSET(D531,-2,0)=D531,"",VLOOKUP(D531,契約台帳!$A$3:$R$4986,18,FALSE)))</f>
        <v/>
      </c>
      <c r="W531" s="269" t="str">
        <f>IF(D531="","",IF(T531="","",IF(OR(J531="巻足し",J531="巻返しリード付け"),"",IF(J531="巻返し",VLOOKUP(F531&amp;K531&amp;M531,製品マスタ!$M$5:$AD$5002,18,FALSE),IF(OR(J531="リード付け",J531="巻返しリード付け"),"原反コア",IF(J531="スリット",VLOOKUP(F531&amp;K531&amp;R531,製品マスタ!$N$5:$AD$5002,17,FALSE),""))))))</f>
        <v/>
      </c>
      <c r="X531" s="269" t="str">
        <f>IF(D531="","",IF(T531="","",IF(J531="巻足し","",IF(J531="巻返し",VLOOKUP(F531&amp;K531&amp;M531,製品マスタ!$M$5:$AE$5002,19,FALSE),IF(OR(J531="リード付け",J531="巻返しリード付け"),"",IF(J531="スリット",VLOOKUP(F531&amp;K531&amp;R531,製品マスタ!$N$5:$AE$5002,18,FALSE),""))))))</f>
        <v/>
      </c>
      <c r="Y531" s="275" t="str">
        <f>IF(D531="","",IF(T531="","",VLOOKUP(D531,契約台帳!$A$3:$Q$4986,17,FALSE)))</f>
        <v/>
      </c>
      <c r="Z531" s="269" t="str">
        <f>IF(D531="","",IF(T531="","",VLOOKUP(D531,契約台帳!$A$3:$E$4986,5,FALSE)))</f>
        <v/>
      </c>
      <c r="AA531" s="57"/>
      <c r="AB531" s="207" t="str">
        <f>IFERROR((VLOOKUP(F531&amp;K531&amp;M531,製品マスタ!$M$5:$AM$5002,27,FALSE)),"")</f>
        <v/>
      </c>
      <c r="AC531" s="33"/>
      <c r="AD531" s="189"/>
      <c r="AE531" s="54"/>
      <c r="AF531" s="55"/>
      <c r="AG531" s="43"/>
      <c r="AH531" s="47"/>
      <c r="AI531" s="30"/>
      <c r="AJ531" s="30"/>
      <c r="AK531" s="30"/>
      <c r="AL531" s="30"/>
      <c r="AM531" s="13"/>
      <c r="AN531" s="13"/>
      <c r="AO531" s="13"/>
      <c r="AP531" s="13"/>
      <c r="AQ531" s="13"/>
      <c r="AR531" s="14"/>
      <c r="AS531" s="15"/>
    </row>
    <row r="532" spans="1:45" s="17" customFormat="1" ht="30.95" hidden="1" customHeight="1" x14ac:dyDescent="0.2">
      <c r="A532" s="37" t="s">
        <v>1115</v>
      </c>
      <c r="B532" s="38" t="s">
        <v>1105</v>
      </c>
      <c r="C532" s="45"/>
      <c r="D532" s="31"/>
      <c r="E532" s="31"/>
      <c r="F532" s="268" t="str">
        <f>IF(D532="","",VLOOKUP(D532,契約台帳!$A$3:$K$4986,6,FALSE)&amp;VLOOKUP(D532,契約台帳!$A$3:$K$4986,7,FALSE)&amp;VLOOKUP(D532,契約台帳!$A$3:$K$4986,8,FALSE)&amp;VLOOKUP(D532,契約台帳!$A$3:$K$4986,9,FALSE)&amp;VLOOKUP(D532,契約台帳!$A$3:$K$4986,11,FALSE))</f>
        <v/>
      </c>
      <c r="G532" s="269" t="str">
        <f>IF(D532="","",VLOOKUP(F532,製品マスタ!$G$5:$H$5002,2,FALSE))</f>
        <v/>
      </c>
      <c r="H532" s="269" t="str">
        <f>IF(D532="","",VLOOKUP(F532,製品マスタ!$G$5:$K$5002,5,FALSE))</f>
        <v/>
      </c>
      <c r="I532" s="270" t="str">
        <f>IF(D532="","",VLOOKUP(F532,製品マスタ!$G$5:$L$5002,6,FALSE))</f>
        <v/>
      </c>
      <c r="J532" s="210" t="s">
        <v>1126</v>
      </c>
      <c r="K532" s="270" t="str">
        <f>IF(D532="","",VLOOKUP(D532,契約台帳!$A$3:$L$4986,12,FALSE))</f>
        <v/>
      </c>
      <c r="L532" s="270" t="str">
        <f>IF(D532="","",INDEX(製品マスタ!$Q$5:$Q$5002,MATCH('S4'!F532&amp;'S4'!K532,製品マスタ!$AO$5:$AO$5002,0)))</f>
        <v/>
      </c>
      <c r="M532" s="39"/>
      <c r="N532" s="39"/>
      <c r="O532" s="156"/>
      <c r="P532" s="47"/>
      <c r="Q532" s="57"/>
      <c r="R532" s="271" t="str">
        <f ca="1">IF(D532="","",IF(OFFSET(D532,-1,0)&lt;&gt;"","",IF(OR(J532="リード付け",J532="巻足し",J532="巻返しリード付け"),M532,VLOOKUP(D532,契約台帳!$A$3:$N$4986,14,FALSE))))</f>
        <v/>
      </c>
      <c r="S532" s="272" t="str">
        <f ca="1">IF(D532="","",IF(OFFSET(D532,-1,0)&lt;&gt;"","",IF(OR(J532="リード付け",J532="巻足し",J532="巻返しリード付け"),M532,VLOOKUP(D532,契約台帳!$A$3:$O$4986,15,FALSE))))</f>
        <v/>
      </c>
      <c r="T532" s="273" t="str">
        <f ca="1">IF(D532="","",IF(J532="リード付け",N532,IF(J532="巻返しリード付け",N532,IF(J532="巻足し",N532*P532+OFFSET(N532,1,0)*OFFSET(P532,1,0),VLOOKUP(D532,契約台帳!$A$3:$P$4986,16,FALSE)))))</f>
        <v/>
      </c>
      <c r="U532" s="40"/>
      <c r="V532" s="274" t="str">
        <f ca="1">IF(D532="","",IF(OFFSET(D532,-2,0)=D532,"",VLOOKUP(D532,契約台帳!$A$3:$R$4986,18,FALSE)))</f>
        <v/>
      </c>
      <c r="W532" s="269" t="str">
        <f>IF(D532="","",IF(T532="","",IF(OR(J532="巻足し",J532="巻返しリード付け"),"",IF(J532="巻返し",VLOOKUP(F532&amp;K532&amp;M532,製品マスタ!$M$5:$AD$5002,18,FALSE),IF(OR(J532="リード付け",J532="巻返しリード付け"),"原反コア",IF(J532="スリット",VLOOKUP(F532&amp;K532&amp;R532,製品マスタ!$N$5:$AD$5002,17,FALSE),""))))))</f>
        <v/>
      </c>
      <c r="X532" s="269" t="str">
        <f>IF(D532="","",IF(T532="","",IF(J532="巻足し","",IF(J532="巻返し",VLOOKUP(F532&amp;K532&amp;M532,製品マスタ!$M$5:$AE$5002,19,FALSE),IF(OR(J532="リード付け",J532="巻返しリード付け"),"",IF(J532="スリット",VLOOKUP(F532&amp;K532&amp;R532,製品マスタ!$N$5:$AE$5002,18,FALSE),""))))))</f>
        <v/>
      </c>
      <c r="Y532" s="275" t="str">
        <f>IF(D532="","",IF(T532="","",VLOOKUP(D532,契約台帳!$A$3:$Q$4986,17,FALSE)))</f>
        <v/>
      </c>
      <c r="Z532" s="269" t="str">
        <f>IF(D532="","",IF(T532="","",VLOOKUP(D532,契約台帳!$A$3:$E$4986,5,FALSE)))</f>
        <v/>
      </c>
      <c r="AA532" s="57"/>
      <c r="AB532" s="207" t="str">
        <f>IFERROR((VLOOKUP(F532&amp;K532&amp;M532,製品マスタ!$M$5:$AM$5002,27,FALSE)),"")</f>
        <v/>
      </c>
      <c r="AC532" s="33"/>
      <c r="AD532" s="189"/>
      <c r="AE532" s="54"/>
      <c r="AF532" s="55"/>
      <c r="AG532" s="43"/>
      <c r="AH532" s="47"/>
      <c r="AI532" s="30"/>
      <c r="AJ532" s="30"/>
      <c r="AK532" s="30"/>
      <c r="AL532" s="30"/>
      <c r="AM532" s="13"/>
      <c r="AN532" s="13"/>
      <c r="AO532" s="13"/>
      <c r="AP532" s="13"/>
      <c r="AQ532" s="13"/>
      <c r="AR532" s="14"/>
      <c r="AS532" s="15"/>
    </row>
    <row r="533" spans="1:45" s="17" customFormat="1" ht="30.95" hidden="1" customHeight="1" x14ac:dyDescent="0.2">
      <c r="A533" s="37"/>
      <c r="B533" s="38"/>
      <c r="C533" s="45"/>
      <c r="D533" s="31"/>
      <c r="E533" s="31"/>
      <c r="F533" s="268" t="str">
        <f>IF(D533="","",VLOOKUP(D533,契約台帳!$A$3:$K$4986,6,FALSE)&amp;VLOOKUP(D533,契約台帳!$A$3:$K$4986,7,FALSE)&amp;VLOOKUP(D533,契約台帳!$A$3:$K$4986,8,FALSE)&amp;VLOOKUP(D533,契約台帳!$A$3:$K$4986,9,FALSE)&amp;VLOOKUP(D533,契約台帳!$A$3:$K$4986,11,FALSE))</f>
        <v/>
      </c>
      <c r="G533" s="269" t="str">
        <f>IF(D533="","",VLOOKUP(F533,製品マスタ!$G$5:$H$5002,2,FALSE))</f>
        <v/>
      </c>
      <c r="H533" s="269" t="str">
        <f>IF(D533="","",VLOOKUP(F533,製品マスタ!$G$5:$K$5002,5,FALSE))</f>
        <v/>
      </c>
      <c r="I533" s="270" t="str">
        <f>IF(D533="","",VLOOKUP(F533,製品マスタ!$G$5:$L$5002,6,FALSE))</f>
        <v/>
      </c>
      <c r="J533" s="210"/>
      <c r="K533" s="270" t="str">
        <f>IF(D533="","",VLOOKUP(D533,契約台帳!$A$3:$L$4986,12,FALSE))</f>
        <v/>
      </c>
      <c r="L533" s="270" t="str">
        <f>IF(D533="","",INDEX(製品マスタ!$Q$5:$Q$5002,MATCH('S4'!F533&amp;'S4'!K533,製品マスタ!$AO$5:$AO$5002,0)))</f>
        <v/>
      </c>
      <c r="M533" s="39"/>
      <c r="N533" s="39"/>
      <c r="O533" s="156"/>
      <c r="P533" s="47"/>
      <c r="Q533" s="57"/>
      <c r="R533" s="271" t="str">
        <f ca="1">IF(D533="","",IF(OFFSET(D533,-1,0)&lt;&gt;"","",IF(OR(J533="リード付け",J533="巻足し",J533="巻返しリード付け"),M533,VLOOKUP(D533,契約台帳!$A$3:$N$4986,14,FALSE))))</f>
        <v/>
      </c>
      <c r="S533" s="272" t="str">
        <f ca="1">IF(D533="","",IF(OFFSET(D533,-1,0)&lt;&gt;"","",IF(OR(J533="リード付け",J533="巻足し",J533="巻返しリード付け"),M533,VLOOKUP(D533,契約台帳!$A$3:$O$4986,15,FALSE))))</f>
        <v/>
      </c>
      <c r="T533" s="273" t="str">
        <f ca="1">IF(D533="","",IF(J533="リード付け",N533,IF(J533="巻返しリード付け",N533,IF(J533="巻足し",N533*P533+OFFSET(N533,1,0)*OFFSET(P533,1,0),VLOOKUP(D533,契約台帳!$A$3:$P$4986,16,FALSE)))))</f>
        <v/>
      </c>
      <c r="U533" s="40"/>
      <c r="V533" s="274" t="str">
        <f ca="1">IF(D533="","",IF(OFFSET(D533,-2,0)=D533,"",VLOOKUP(D533,契約台帳!$A$3:$R$4986,18,FALSE)))</f>
        <v/>
      </c>
      <c r="W533" s="269" t="str">
        <f>IF(D533="","",IF(T533="","",IF(OR(J533="巻足し",J533="巻返しリード付け"),"",IF(J533="巻返し",VLOOKUP(F533&amp;K533&amp;M533,製品マスタ!$M$5:$AD$5002,18,FALSE),IF(OR(J533="リード付け",J533="巻返しリード付け"),"原反コア",IF(J533="スリット",VLOOKUP(F533&amp;K533&amp;R533,製品マスタ!$N$5:$AD$5002,17,FALSE),""))))))</f>
        <v/>
      </c>
      <c r="X533" s="269" t="str">
        <f>IF(D533="","",IF(T533="","",IF(J533="巻足し","",IF(J533="巻返し",VLOOKUP(F533&amp;K533&amp;M533,製品マスタ!$M$5:$AE$5002,19,FALSE),IF(OR(J533="リード付け",J533="巻返しリード付け"),"",IF(J533="スリット",VLOOKUP(F533&amp;K533&amp;R533,製品マスタ!$N$5:$AE$5002,18,FALSE),""))))))</f>
        <v/>
      </c>
      <c r="Y533" s="275" t="str">
        <f>IF(D533="","",IF(T533="","",VLOOKUP(D533,契約台帳!$A$3:$Q$4986,17,FALSE)))</f>
        <v/>
      </c>
      <c r="Z533" s="269" t="str">
        <f>IF(D533="","",IF(T533="","",VLOOKUP(D533,契約台帳!$A$3:$E$4986,5,FALSE)))</f>
        <v/>
      </c>
      <c r="AA533" s="57"/>
      <c r="AB533" s="207" t="str">
        <f>IFERROR((VLOOKUP(F533&amp;K533&amp;M533,製品マスタ!$M$5:$AM$5002,27,FALSE)),"")</f>
        <v/>
      </c>
      <c r="AC533" s="33"/>
      <c r="AD533" s="189"/>
      <c r="AE533" s="54"/>
      <c r="AF533" s="55"/>
      <c r="AG533" s="43"/>
      <c r="AH533" s="47"/>
      <c r="AI533" s="30"/>
      <c r="AJ533" s="30"/>
      <c r="AK533" s="30"/>
      <c r="AL533" s="30"/>
      <c r="AM533" s="13"/>
      <c r="AN533" s="13"/>
      <c r="AO533" s="13"/>
      <c r="AP533" s="13"/>
      <c r="AQ533" s="13"/>
      <c r="AR533" s="14"/>
      <c r="AS533" s="15"/>
    </row>
    <row r="534" spans="1:45" s="17" customFormat="1" ht="30.95" hidden="1" customHeight="1" x14ac:dyDescent="0.2">
      <c r="A534" s="37" t="s">
        <v>1116</v>
      </c>
      <c r="B534" s="38" t="s">
        <v>1107</v>
      </c>
      <c r="C534" s="45"/>
      <c r="D534" s="31"/>
      <c r="E534" s="31"/>
      <c r="F534" s="268" t="str">
        <f>IF(D534="","",VLOOKUP(D534,契約台帳!$A$3:$K$4986,6,FALSE)&amp;VLOOKUP(D534,契約台帳!$A$3:$K$4986,7,FALSE)&amp;VLOOKUP(D534,契約台帳!$A$3:$K$4986,8,FALSE)&amp;VLOOKUP(D534,契約台帳!$A$3:$K$4986,9,FALSE)&amp;VLOOKUP(D534,契約台帳!$A$3:$K$4986,11,FALSE))</f>
        <v/>
      </c>
      <c r="G534" s="269" t="str">
        <f>IF(D534="","",VLOOKUP(F534,製品マスタ!$G$5:$H$5002,2,FALSE))</f>
        <v/>
      </c>
      <c r="H534" s="269" t="str">
        <f>IF(D534="","",VLOOKUP(F534,製品マスタ!$G$5:$K$5002,5,FALSE))</f>
        <v/>
      </c>
      <c r="I534" s="270" t="str">
        <f>IF(D534="","",VLOOKUP(F534,製品マスタ!$G$5:$L$5002,6,FALSE))</f>
        <v/>
      </c>
      <c r="J534" s="210" t="s">
        <v>1126</v>
      </c>
      <c r="K534" s="270" t="str">
        <f>IF(D534="","",VLOOKUP(D534,契約台帳!$A$3:$L$4986,12,FALSE))</f>
        <v/>
      </c>
      <c r="L534" s="270" t="str">
        <f>IF(D534="","",INDEX(製品マスタ!$Q$5:$Q$5002,MATCH('S4'!F534&amp;'S4'!K534,製品マスタ!$AO$5:$AO$5002,0)))</f>
        <v/>
      </c>
      <c r="M534" s="39"/>
      <c r="N534" s="39"/>
      <c r="O534" s="156"/>
      <c r="P534" s="47"/>
      <c r="Q534" s="57"/>
      <c r="R534" s="271" t="str">
        <f ca="1">IF(D534="","",IF(OFFSET(D534,-1,0)&lt;&gt;"","",IF(OR(J534="リード付け",J534="巻足し",J534="巻返しリード付け"),M534,VLOOKUP(D534,契約台帳!$A$3:$N$4986,14,FALSE))))</f>
        <v/>
      </c>
      <c r="S534" s="272" t="str">
        <f ca="1">IF(D534="","",IF(OFFSET(D534,-1,0)&lt;&gt;"","",IF(OR(J534="リード付け",J534="巻足し",J534="巻返しリード付け"),M534,VLOOKUP(D534,契約台帳!$A$3:$O$4986,15,FALSE))))</f>
        <v/>
      </c>
      <c r="T534" s="273" t="str">
        <f ca="1">IF(D534="","",IF(J534="リード付け",N534,IF(J534="巻返しリード付け",N534,IF(J534="巻足し",N534*P534+OFFSET(N534,1,0)*OFFSET(P534,1,0),VLOOKUP(D534,契約台帳!$A$3:$P$4986,16,FALSE)))))</f>
        <v/>
      </c>
      <c r="U534" s="40"/>
      <c r="V534" s="274" t="str">
        <f ca="1">IF(D534="","",IF(OFFSET(D534,-2,0)=D534,"",VLOOKUP(D534,契約台帳!$A$3:$R$4986,18,FALSE)))</f>
        <v/>
      </c>
      <c r="W534" s="269" t="str">
        <f>IF(D534="","",IF(T534="","",IF(OR(J534="巻足し",J534="巻返しリード付け"),"",IF(J534="巻返し",VLOOKUP(F534&amp;K534&amp;M534,製品マスタ!$M$5:$AD$5002,18,FALSE),IF(OR(J534="リード付け",J534="巻返しリード付け"),"原反コア",IF(J534="スリット",VLOOKUP(F534&amp;K534&amp;R534,製品マスタ!$N$5:$AD$5002,17,FALSE),""))))))</f>
        <v/>
      </c>
      <c r="X534" s="269" t="str">
        <f>IF(D534="","",IF(T534="","",IF(J534="巻足し","",IF(J534="巻返し",VLOOKUP(F534&amp;K534&amp;M534,製品マスタ!$M$5:$AE$5002,19,FALSE),IF(OR(J534="リード付け",J534="巻返しリード付け"),"",IF(J534="スリット",VLOOKUP(F534&amp;K534&amp;R534,製品マスタ!$N$5:$AE$5002,18,FALSE),""))))))</f>
        <v/>
      </c>
      <c r="Y534" s="275" t="str">
        <f>IF(D534="","",IF(T534="","",VLOOKUP(D534,契約台帳!$A$3:$Q$4986,17,FALSE)))</f>
        <v/>
      </c>
      <c r="Z534" s="269" t="str">
        <f>IF(D534="","",IF(T534="","",VLOOKUP(D534,契約台帳!$A$3:$E$4986,5,FALSE)))</f>
        <v/>
      </c>
      <c r="AA534" s="57"/>
      <c r="AB534" s="207" t="str">
        <f>IFERROR((VLOOKUP(F534&amp;K534&amp;M534,製品マスタ!$M$5:$AM$5002,27,FALSE)),"")</f>
        <v/>
      </c>
      <c r="AC534" s="33"/>
      <c r="AD534" s="189"/>
      <c r="AE534" s="54"/>
      <c r="AF534" s="55"/>
      <c r="AG534" s="43"/>
      <c r="AH534" s="47"/>
      <c r="AI534" s="30"/>
      <c r="AJ534" s="30"/>
      <c r="AK534" s="30"/>
      <c r="AL534" s="30"/>
      <c r="AM534" s="13"/>
      <c r="AN534" s="13"/>
      <c r="AO534" s="13"/>
      <c r="AP534" s="13"/>
      <c r="AQ534" s="13"/>
      <c r="AR534" s="14"/>
      <c r="AS534" s="15"/>
    </row>
    <row r="535" spans="1:45" s="17" customFormat="1" ht="30.95" hidden="1" customHeight="1" x14ac:dyDescent="0.2">
      <c r="A535" s="37"/>
      <c r="B535" s="38"/>
      <c r="C535" s="45"/>
      <c r="D535" s="31"/>
      <c r="E535" s="31"/>
      <c r="F535" s="268" t="str">
        <f>IF(D535="","",VLOOKUP(D535,契約台帳!$A$3:$K$4986,6,FALSE)&amp;VLOOKUP(D535,契約台帳!$A$3:$K$4986,7,FALSE)&amp;VLOOKUP(D535,契約台帳!$A$3:$K$4986,8,FALSE)&amp;VLOOKUP(D535,契約台帳!$A$3:$K$4986,9,FALSE)&amp;VLOOKUP(D535,契約台帳!$A$3:$K$4986,11,FALSE))</f>
        <v/>
      </c>
      <c r="G535" s="269" t="str">
        <f>IF(D535="","",VLOOKUP(F535,製品マスタ!$G$5:$H$5002,2,FALSE))</f>
        <v/>
      </c>
      <c r="H535" s="269" t="str">
        <f>IF(D535="","",VLOOKUP(F535,製品マスタ!$G$5:$K$5002,5,FALSE))</f>
        <v/>
      </c>
      <c r="I535" s="270" t="str">
        <f>IF(D535="","",VLOOKUP(F535,製品マスタ!$G$5:$L$5002,6,FALSE))</f>
        <v/>
      </c>
      <c r="J535" s="210"/>
      <c r="K535" s="270" t="str">
        <f>IF(D535="","",VLOOKUP(D535,契約台帳!$A$3:$L$4986,12,FALSE))</f>
        <v/>
      </c>
      <c r="L535" s="270" t="str">
        <f>IF(D535="","",INDEX(製品マスタ!$Q$5:$Q$5002,MATCH('S4'!F535&amp;'S4'!K535,製品マスタ!$AO$5:$AO$5002,0)))</f>
        <v/>
      </c>
      <c r="M535" s="39"/>
      <c r="N535" s="39"/>
      <c r="O535" s="156"/>
      <c r="P535" s="47"/>
      <c r="Q535" s="57"/>
      <c r="R535" s="271" t="str">
        <f ca="1">IF(D535="","",IF(OFFSET(D535,-1,0)&lt;&gt;"","",IF(OR(J535="リード付け",J535="巻足し",J535="巻返しリード付け"),M535,VLOOKUP(D535,契約台帳!$A$3:$N$4986,14,FALSE))))</f>
        <v/>
      </c>
      <c r="S535" s="272" t="str">
        <f ca="1">IF(D535="","",IF(OFFSET(D535,-1,0)&lt;&gt;"","",IF(OR(J535="リード付け",J535="巻足し",J535="巻返しリード付け"),M535,VLOOKUP(D535,契約台帳!$A$3:$O$4986,15,FALSE))))</f>
        <v/>
      </c>
      <c r="T535" s="273" t="str">
        <f ca="1">IF(D535="","",IF(J535="リード付け",N535,IF(J535="巻返しリード付け",N535,IF(J535="巻足し",N535*P535+OFFSET(N535,1,0)*OFFSET(P535,1,0),VLOOKUP(D535,契約台帳!$A$3:$P$4986,16,FALSE)))))</f>
        <v/>
      </c>
      <c r="U535" s="40"/>
      <c r="V535" s="274" t="str">
        <f ca="1">IF(D535="","",IF(OFFSET(D535,-2,0)=D535,"",VLOOKUP(D535,契約台帳!$A$3:$R$4986,18,FALSE)))</f>
        <v/>
      </c>
      <c r="W535" s="269" t="str">
        <f>IF(D535="","",IF(T535="","",IF(OR(J535="巻足し",J535="巻返しリード付け"),"",IF(J535="巻返し",VLOOKUP(F535&amp;K535&amp;M535,製品マスタ!$M$5:$AD$5002,18,FALSE),IF(OR(J535="リード付け",J535="巻返しリード付け"),"原反コア",IF(J535="スリット",VLOOKUP(F535&amp;K535&amp;R535,製品マスタ!$N$5:$AD$5002,17,FALSE),""))))))</f>
        <v/>
      </c>
      <c r="X535" s="269" t="str">
        <f>IF(D535="","",IF(T535="","",IF(J535="巻足し","",IF(J535="巻返し",VLOOKUP(F535&amp;K535&amp;M535,製品マスタ!$M$5:$AE$5002,19,FALSE),IF(OR(J535="リード付け",J535="巻返しリード付け"),"",IF(J535="スリット",VLOOKUP(F535&amp;K535&amp;R535,製品マスタ!$N$5:$AE$5002,18,FALSE),""))))))</f>
        <v/>
      </c>
      <c r="Y535" s="275" t="str">
        <f>IF(D535="","",IF(T535="","",VLOOKUP(D535,契約台帳!$A$3:$Q$4986,17,FALSE)))</f>
        <v/>
      </c>
      <c r="Z535" s="269" t="str">
        <f>IF(D535="","",IF(T535="","",VLOOKUP(D535,契約台帳!$A$3:$E$4986,5,FALSE)))</f>
        <v/>
      </c>
      <c r="AA535" s="57"/>
      <c r="AB535" s="207" t="str">
        <f>IFERROR((VLOOKUP(F535&amp;K535&amp;M535,製品マスタ!$M$5:$AM$5002,27,FALSE)),"")</f>
        <v/>
      </c>
      <c r="AC535" s="33"/>
      <c r="AD535" s="189"/>
      <c r="AE535" s="54"/>
      <c r="AF535" s="55"/>
      <c r="AG535" s="43"/>
      <c r="AH535" s="47"/>
      <c r="AI535" s="30"/>
      <c r="AJ535" s="30"/>
      <c r="AK535" s="30"/>
      <c r="AL535" s="30"/>
      <c r="AM535" s="13"/>
      <c r="AN535" s="13"/>
      <c r="AO535" s="13"/>
      <c r="AP535" s="13"/>
      <c r="AQ535" s="13"/>
      <c r="AR535" s="14"/>
      <c r="AS535" s="15"/>
    </row>
    <row r="536" spans="1:45" s="17" customFormat="1" ht="30.95" hidden="1" customHeight="1" x14ac:dyDescent="0.2">
      <c r="A536" s="37" t="s">
        <v>1117</v>
      </c>
      <c r="B536" s="38" t="s">
        <v>462</v>
      </c>
      <c r="C536" s="45"/>
      <c r="D536" s="31"/>
      <c r="E536" s="31"/>
      <c r="F536" s="268"/>
      <c r="G536" s="269"/>
      <c r="H536" s="269"/>
      <c r="I536" s="270"/>
      <c r="J536" s="210"/>
      <c r="K536" s="270"/>
      <c r="L536" s="270"/>
      <c r="M536" s="39"/>
      <c r="N536" s="39"/>
      <c r="O536" s="156"/>
      <c r="P536" s="47"/>
      <c r="Q536" s="57"/>
      <c r="R536" s="271"/>
      <c r="S536" s="272"/>
      <c r="T536" s="273"/>
      <c r="U536" s="40"/>
      <c r="V536" s="274"/>
      <c r="W536" s="269"/>
      <c r="X536" s="269"/>
      <c r="Y536" s="275"/>
      <c r="Z536" s="269"/>
      <c r="AA536" s="57"/>
      <c r="AB536" s="207"/>
      <c r="AC536" s="33"/>
      <c r="AD536" s="189"/>
      <c r="AE536" s="54"/>
      <c r="AF536" s="55"/>
      <c r="AG536" s="43"/>
      <c r="AH536" s="47"/>
      <c r="AI536" s="30"/>
      <c r="AJ536" s="30"/>
      <c r="AK536" s="30"/>
      <c r="AL536" s="30"/>
      <c r="AM536" s="13"/>
      <c r="AN536" s="13"/>
      <c r="AO536" s="13"/>
      <c r="AP536" s="13"/>
      <c r="AQ536" s="13"/>
      <c r="AR536" s="14"/>
      <c r="AS536" s="15"/>
    </row>
    <row r="537" spans="1:45" s="17" customFormat="1" ht="30.95" hidden="1" customHeight="1" x14ac:dyDescent="0.2">
      <c r="A537" s="37"/>
      <c r="B537" s="38"/>
      <c r="C537" s="45"/>
      <c r="D537" s="31"/>
      <c r="E537" s="31"/>
      <c r="F537" s="268"/>
      <c r="G537" s="269"/>
      <c r="H537" s="269"/>
      <c r="I537" s="270"/>
      <c r="J537" s="210"/>
      <c r="K537" s="270"/>
      <c r="L537" s="270"/>
      <c r="M537" s="39"/>
      <c r="N537" s="39"/>
      <c r="O537" s="156"/>
      <c r="P537" s="47"/>
      <c r="Q537" s="57"/>
      <c r="R537" s="271"/>
      <c r="S537" s="272"/>
      <c r="T537" s="273"/>
      <c r="U537" s="40"/>
      <c r="V537" s="274"/>
      <c r="W537" s="269"/>
      <c r="X537" s="269"/>
      <c r="Y537" s="275"/>
      <c r="Z537" s="269"/>
      <c r="AA537" s="57"/>
      <c r="AB537" s="207"/>
      <c r="AC537" s="33"/>
      <c r="AD537" s="189"/>
      <c r="AE537" s="54"/>
      <c r="AF537" s="55"/>
      <c r="AG537" s="43"/>
      <c r="AH537" s="47"/>
      <c r="AI537" s="30"/>
      <c r="AJ537" s="30"/>
      <c r="AK537" s="30"/>
      <c r="AL537" s="30"/>
      <c r="AM537" s="13"/>
      <c r="AN537" s="13"/>
      <c r="AO537" s="13"/>
      <c r="AP537" s="13"/>
      <c r="AQ537" s="13"/>
      <c r="AR537" s="14"/>
      <c r="AS537" s="15"/>
    </row>
    <row r="538" spans="1:45" s="17" customFormat="1" ht="30.95" hidden="1" customHeight="1" x14ac:dyDescent="0.2">
      <c r="A538" s="37" t="s">
        <v>1118</v>
      </c>
      <c r="B538" s="38" t="s">
        <v>688</v>
      </c>
      <c r="C538" s="45"/>
      <c r="D538" s="31">
        <v>3708704</v>
      </c>
      <c r="E538" s="31">
        <v>4140941</v>
      </c>
      <c r="F538" s="268" t="str">
        <f>IF(D538="","",VLOOKUP(D538,契約台帳!$A$3:$K$4986,6,FALSE)&amp;VLOOKUP(D538,契約台帳!$A$3:$K$4986,7,FALSE)&amp;VLOOKUP(D538,契約台帳!$A$3:$K$4986,8,FALSE)&amp;VLOOKUP(D538,契約台帳!$A$3:$K$4986,9,FALSE)&amp;VLOOKUP(D538,契約台帳!$A$3:$K$4986,11,FALSE))</f>
        <v>3SNCLBLEYK</v>
      </c>
      <c r="G538" s="269" t="str">
        <f>IF(D538="","",VLOOKUP(F538,製品マスタ!$G$5:$H$5002,2,FALSE))</f>
        <v>S</v>
      </c>
      <c r="H538" s="269" t="str">
        <f>IF(D538="","",VLOOKUP(F538,製品マスタ!$G$5:$K$5002,5,FALSE))</f>
        <v>LEYK</v>
      </c>
      <c r="I538" s="270" t="str">
        <f>IF(D538="","",VLOOKUP(F538,製品マスタ!$G$5:$L$5002,6,FALSE))</f>
        <v>ルミラー　ＥＹＫ</v>
      </c>
      <c r="J538" s="210" t="s">
        <v>1123</v>
      </c>
      <c r="K538" s="270">
        <f>IF(D538="","",VLOOKUP(D538,契約台帳!$A$3:$L$4986,12,FALSE))</f>
        <v>50</v>
      </c>
      <c r="L538" s="270" t="str">
        <f>IF(D538="","",INDEX(製品マスタ!$Q$5:$Q$5002,MATCH('S4'!F538&amp;'S4'!K538,製品マスタ!$AO$5:$AO$5002,0)))</f>
        <v>T62M</v>
      </c>
      <c r="M538" s="39">
        <v>1125</v>
      </c>
      <c r="N538" s="39">
        <v>6100</v>
      </c>
      <c r="O538" s="156">
        <v>8</v>
      </c>
      <c r="P538" s="47">
        <v>8</v>
      </c>
      <c r="Q538" s="57"/>
      <c r="R538" s="271">
        <f ca="1">IF(D538="","",IF(OFFSET(D538,-1,0)&lt;&gt;"","",IF(OR(J538="リード付け",J538="巻足し",J538="巻返しリード付け"),M538,VLOOKUP(D538,契約台帳!$A$3:$N$4986,14,FALSE))))</f>
        <v>1120</v>
      </c>
      <c r="S538" s="272">
        <f ca="1">IF(D538="","",IF(OFFSET(D538,-1,0)&lt;&gt;"","",IF(OR(J538="リード付け",J538="巻足し",J538="巻返しリード付け"),M538,VLOOKUP(D538,契約台帳!$A$3:$O$4986,15,FALSE))))</f>
        <v>1120</v>
      </c>
      <c r="T538" s="273">
        <f ca="1">IF(D538="","",IF(J538="リード付け",N538,IF(J538="巻返しリード付け",N538,IF(J538="巻足し",N538*P538+OFFSET(N538,1,0)*OFFSET(P538,1,0),VLOOKUP(D538,契約台帳!$A$3:$P$4986,16,FALSE)))))</f>
        <v>6000</v>
      </c>
      <c r="U538" s="40">
        <v>8</v>
      </c>
      <c r="V538" s="274">
        <f ca="1">IF(D538="","",IF(OFFSET(D538,-2,0)=D538,"",VLOOKUP(D538,契約台帳!$A$3:$R$4986,18,FALSE)))</f>
        <v>8</v>
      </c>
      <c r="W538" s="269" t="str">
        <f ca="1">IF(D538="","",IF(T538="","",IF(OR(J538="巻足し",J538="巻返しリード付け"),"",IF(J538="巻返し",VLOOKUP(F538&amp;K538&amp;M538,製品マスタ!$M$5:$AD$5002,18,FALSE),IF(OR(J538="リード付け",J538="巻返しリード付け"),"原反コア",IF(J538="スリット",VLOOKUP(F538&amp;K538&amp;R538,製品マスタ!$N$5:$AD$5002,17,FALSE),""))))))</f>
        <v>6ｲﾝﾁMｺｱ</v>
      </c>
      <c r="X538" s="269">
        <f ca="1">IF(D538="","",IF(T538="","",IF(J538="巻足し","",IF(J538="巻返し",VLOOKUP(F538&amp;K538&amp;M538,製品マスタ!$M$5:$AE$5002,19,FALSE),IF(OR(J538="リード付け",J538="巻返しリード付け"),"",IF(J538="スリット",VLOOKUP(F538&amp;K538&amp;R538,製品マスタ!$N$5:$AE$5002,18,FALSE),""))))))</f>
        <v>1140</v>
      </c>
      <c r="Y538" s="275">
        <f ca="1">IF(D538="","",IF(T538="","",VLOOKUP(D538,契約台帳!$A$3:$Q$4986,17,FALSE)))</f>
        <v>2</v>
      </c>
      <c r="Z538" s="269" t="str">
        <f ca="1">IF(D538="","",IF(T538="","",VLOOKUP(D538,契約台帳!$A$3:$E$4986,5,FALSE)))</f>
        <v>新タック化成㈱</v>
      </c>
      <c r="AA538" s="57">
        <v>45058</v>
      </c>
      <c r="AB538" s="207" t="str">
        <f>IFERROR((VLOOKUP(F538&amp;K538&amp;M538,製品マスタ!$M$5:$AM$5002,27,FALSE)),"")</f>
        <v>原反ケース再利用</v>
      </c>
      <c r="AC538" s="33"/>
      <c r="AD538" s="189"/>
      <c r="AE538" s="54"/>
      <c r="AF538" s="55"/>
      <c r="AG538" s="43"/>
      <c r="AH538" s="47"/>
      <c r="AI538" s="30"/>
      <c r="AJ538" s="30"/>
      <c r="AK538" s="30"/>
      <c r="AL538" s="30"/>
      <c r="AM538" s="13"/>
      <c r="AN538" s="13"/>
      <c r="AO538" s="13"/>
      <c r="AP538" s="13"/>
      <c r="AQ538" s="13"/>
      <c r="AR538" s="14"/>
      <c r="AS538" s="15"/>
    </row>
    <row r="539" spans="1:45" s="17" customFormat="1" ht="30.95" hidden="1" customHeight="1" x14ac:dyDescent="0.2">
      <c r="A539" s="37"/>
      <c r="B539" s="38"/>
      <c r="C539" s="45"/>
      <c r="D539" s="31"/>
      <c r="E539" s="31"/>
      <c r="F539" s="268" t="str">
        <f>IF(D539="","",VLOOKUP(D539,契約台帳!$A$3:$K$4986,6,FALSE)&amp;VLOOKUP(D539,契約台帳!$A$3:$K$4986,7,FALSE)&amp;VLOOKUP(D539,契約台帳!$A$3:$K$4986,8,FALSE)&amp;VLOOKUP(D539,契約台帳!$A$3:$K$4986,9,FALSE)&amp;VLOOKUP(D539,契約台帳!$A$3:$K$4986,11,FALSE))</f>
        <v/>
      </c>
      <c r="G539" s="269" t="str">
        <f>IF(D539="","",VLOOKUP(F539,製品マスタ!$G$5:$H$5002,2,FALSE))</f>
        <v/>
      </c>
      <c r="H539" s="269" t="str">
        <f>IF(D539="","",VLOOKUP(F539,製品マスタ!$G$5:$K$5002,5,FALSE))</f>
        <v/>
      </c>
      <c r="I539" s="270" t="str">
        <f>IF(D539="","",VLOOKUP(F539,製品マスタ!$G$5:$L$5002,6,FALSE))</f>
        <v/>
      </c>
      <c r="J539" s="210"/>
      <c r="K539" s="270" t="str">
        <f>IF(D539="","",VLOOKUP(D539,契約台帳!$A$3:$L$4986,12,FALSE))</f>
        <v/>
      </c>
      <c r="L539" s="270" t="str">
        <f>IF(D539="","",INDEX(製品マスタ!$Q$5:$Q$5002,MATCH('S4'!F539&amp;'S4'!K539,製品マスタ!$AO$5:$AO$5002,0)))</f>
        <v/>
      </c>
      <c r="M539" s="39"/>
      <c r="N539" s="39"/>
      <c r="O539" s="156"/>
      <c r="P539" s="47"/>
      <c r="Q539" s="57"/>
      <c r="R539" s="271" t="str">
        <f ca="1">IF(D539="","",IF(OFFSET(D539,-1,0)&lt;&gt;"","",IF(OR(J539="リード付け",J539="巻足し",J539="巻返しリード付け"),M539,VLOOKUP(D539,契約台帳!$A$3:$N$4986,14,FALSE))))</f>
        <v/>
      </c>
      <c r="S539" s="272" t="str">
        <f ca="1">IF(D539="","",IF(OFFSET(D539,-1,0)&lt;&gt;"","",IF(OR(J539="リード付け",J539="巻足し",J539="巻返しリード付け"),M539,VLOOKUP(D539,契約台帳!$A$3:$O$4986,15,FALSE))))</f>
        <v/>
      </c>
      <c r="T539" s="273" t="str">
        <f ca="1">IF(D539="","",IF(J539="リード付け",N539,IF(J539="巻返しリード付け",N539,IF(J539="巻足し",N539*P539+OFFSET(N539,1,0)*OFFSET(P539,1,0),VLOOKUP(D539,契約台帳!$A$3:$P$4986,16,FALSE)))))</f>
        <v/>
      </c>
      <c r="U539" s="40"/>
      <c r="V539" s="274" t="str">
        <f ca="1">IF(D539="","",IF(OFFSET(D539,-2,0)=D539,"",VLOOKUP(D539,契約台帳!$A$3:$R$4986,18,FALSE)))</f>
        <v/>
      </c>
      <c r="W539" s="269" t="str">
        <f>IF(D539="","",IF(T539="","",IF(OR(J539="巻足し",J539="巻返しリード付け"),"",IF(J539="巻返し",VLOOKUP(F539&amp;K539&amp;M539,製品マスタ!$M$5:$AD$5002,18,FALSE),IF(OR(J539="リード付け",J539="巻返しリード付け"),"原反コア",IF(J539="スリット",VLOOKUP(F539&amp;K539&amp;R539,製品マスタ!$N$5:$AD$5002,17,FALSE),""))))))</f>
        <v/>
      </c>
      <c r="X539" s="269" t="str">
        <f>IF(D539="","",IF(T539="","",IF(J539="巻足し","",IF(J539="巻返し",VLOOKUP(F539&amp;K539&amp;M539,製品マスタ!$M$5:$AE$5002,19,FALSE),IF(OR(J539="リード付け",J539="巻返しリード付け"),"",IF(J539="スリット",VLOOKUP(F539&amp;K539&amp;R539,製品マスタ!$N$5:$AE$5002,18,FALSE),""))))))</f>
        <v/>
      </c>
      <c r="Y539" s="275" t="str">
        <f>IF(D539="","",IF(T539="","",VLOOKUP(D539,契約台帳!$A$3:$Q$4986,17,FALSE)))</f>
        <v/>
      </c>
      <c r="Z539" s="269" t="str">
        <f>IF(D539="","",IF(T539="","",VLOOKUP(D539,契約台帳!$A$3:$E$4986,5,FALSE)))</f>
        <v/>
      </c>
      <c r="AA539" s="57"/>
      <c r="AB539" s="207" t="str">
        <f>IFERROR((VLOOKUP(F539&amp;K539&amp;M539,製品マスタ!$M$5:$AM$5002,27,FALSE)),"")</f>
        <v/>
      </c>
      <c r="AC539" s="33"/>
      <c r="AD539" s="189"/>
      <c r="AE539" s="54"/>
      <c r="AF539" s="55"/>
      <c r="AG539" s="43"/>
      <c r="AH539" s="47"/>
      <c r="AI539" s="30"/>
      <c r="AJ539" s="30"/>
      <c r="AK539" s="30"/>
      <c r="AL539" s="30"/>
      <c r="AM539" s="13"/>
      <c r="AN539" s="13"/>
      <c r="AO539" s="13"/>
      <c r="AP539" s="13"/>
      <c r="AQ539" s="13"/>
      <c r="AR539" s="14"/>
      <c r="AS539" s="15"/>
    </row>
    <row r="540" spans="1:45" s="17" customFormat="1" ht="30.95" hidden="1" customHeight="1" x14ac:dyDescent="0.2">
      <c r="A540" s="37"/>
      <c r="B540" s="38"/>
      <c r="C540" s="45"/>
      <c r="D540" s="31">
        <v>3708703</v>
      </c>
      <c r="E540" s="31">
        <v>4140942</v>
      </c>
      <c r="F540" s="268" t="str">
        <f>IF(D540="","",VLOOKUP(D540,契約台帳!$A$3:$K$4986,6,FALSE)&amp;VLOOKUP(D540,契約台帳!$A$3:$K$4986,7,FALSE)&amp;VLOOKUP(D540,契約台帳!$A$3:$K$4986,8,FALSE)&amp;VLOOKUP(D540,契約台帳!$A$3:$K$4986,9,FALSE)&amp;VLOOKUP(D540,契約台帳!$A$3:$K$4986,11,FALSE))</f>
        <v>3SNCLBLEYK</v>
      </c>
      <c r="G540" s="269" t="str">
        <f>IF(D540="","",VLOOKUP(F540,製品マスタ!$G$5:$H$5002,2,FALSE))</f>
        <v>S</v>
      </c>
      <c r="H540" s="269" t="str">
        <f>IF(D540="","",VLOOKUP(F540,製品マスタ!$G$5:$K$5002,5,FALSE))</f>
        <v>LEYK</v>
      </c>
      <c r="I540" s="270" t="str">
        <f>IF(D540="","",VLOOKUP(F540,製品マスタ!$G$5:$L$5002,6,FALSE))</f>
        <v>ルミラー　ＥＹＫ</v>
      </c>
      <c r="J540" s="210" t="s">
        <v>1123</v>
      </c>
      <c r="K540" s="270">
        <f>IF(D540="","",VLOOKUP(D540,契約台帳!$A$3:$L$4986,12,FALSE))</f>
        <v>25</v>
      </c>
      <c r="L540" s="270" t="str">
        <f>IF(D540="","",INDEX(製品マスタ!$Q$5:$Q$5002,MATCH('S4'!F540&amp;'S4'!K540,製品マスタ!$AO$5:$AO$5002,0)))</f>
        <v>T62M</v>
      </c>
      <c r="M540" s="39">
        <v>1120</v>
      </c>
      <c r="N540" s="39">
        <v>12100</v>
      </c>
      <c r="O540" s="156">
        <v>2</v>
      </c>
      <c r="P540" s="47">
        <v>2</v>
      </c>
      <c r="Q540" s="57"/>
      <c r="R540" s="271">
        <f ca="1">IF(D540="","",IF(OFFSET(D540,-1,0)&lt;&gt;"","",IF(OR(J540="リード付け",J540="巻足し",J540="巻返しリード付け"),M540,VLOOKUP(D540,契約台帳!$A$3:$N$4986,14,FALSE))))</f>
        <v>1120</v>
      </c>
      <c r="S540" s="272">
        <f ca="1">IF(D540="","",IF(OFFSET(D540,-1,0)&lt;&gt;"","",IF(OR(J540="リード付け",J540="巻足し",J540="巻返しリード付け"),M540,VLOOKUP(D540,契約台帳!$A$3:$O$4986,15,FALSE))))</f>
        <v>1120</v>
      </c>
      <c r="T540" s="273">
        <f ca="1">IF(D540="","",IF(J540="リード付け",N540,IF(J540="巻返しリード付け",N540,IF(J540="巻足し",N540*P540+OFFSET(N540,1,0)*OFFSET(P540,1,0),VLOOKUP(D540,契約台帳!$A$3:$P$4986,16,FALSE)))))</f>
        <v>6000</v>
      </c>
      <c r="U540" s="40">
        <v>4</v>
      </c>
      <c r="V540" s="274">
        <f ca="1">IF(D540="","",IF(OFFSET(D540,-2,0)=D540,"",VLOOKUP(D540,契約台帳!$A$3:$R$4986,18,FALSE)))</f>
        <v>4</v>
      </c>
      <c r="W540" s="269" t="str">
        <f ca="1">IF(D540="","",IF(T540="","",IF(OR(J540="巻足し",J540="巻返しリード付け"),"",IF(J540="巻返し",VLOOKUP(F540&amp;K540&amp;M540,製品マスタ!$M$5:$AD$5002,18,FALSE),IF(OR(J540="リード付け",J540="巻返しリード付け"),"原反コア",IF(J540="スリット",VLOOKUP(F540&amp;K540&amp;R540,製品マスタ!$N$5:$AD$5002,17,FALSE),""))))))</f>
        <v>6ｲﾝﾁMｺｱ</v>
      </c>
      <c r="X540" s="269">
        <f ca="1">IF(D540="","",IF(T540="","",IF(J540="巻足し","",IF(J540="巻返し",VLOOKUP(F540&amp;K540&amp;M540,製品マスタ!$M$5:$AE$5002,19,FALSE),IF(OR(J540="リード付け",J540="巻返しリード付け"),"",IF(J540="スリット",VLOOKUP(F540&amp;K540&amp;R540,製品マスタ!$N$5:$AE$5002,18,FALSE),""))))))</f>
        <v>1140</v>
      </c>
      <c r="Y540" s="275">
        <f ca="1">IF(D540="","",IF(T540="","",VLOOKUP(D540,契約台帳!$A$3:$Q$4986,17,FALSE)))</f>
        <v>2</v>
      </c>
      <c r="Z540" s="269" t="str">
        <f ca="1">IF(D540="","",IF(T540="","",VLOOKUP(D540,契約台帳!$A$3:$E$4986,5,FALSE)))</f>
        <v>新タック化成㈱</v>
      </c>
      <c r="AA540" s="57">
        <v>45058</v>
      </c>
      <c r="AB540" s="207">
        <f>IFERROR((VLOOKUP(F540&amp;K540&amp;M540,製品マスタ!$M$5:$AM$5002,27,FALSE)),"")</f>
        <v>0</v>
      </c>
      <c r="AC540" s="33"/>
      <c r="AD540" s="189"/>
      <c r="AE540" s="54"/>
      <c r="AF540" s="55"/>
      <c r="AG540" s="43"/>
      <c r="AH540" s="47"/>
      <c r="AI540" s="30"/>
      <c r="AJ540" s="30"/>
      <c r="AK540" s="30"/>
      <c r="AL540" s="30"/>
      <c r="AM540" s="13"/>
      <c r="AN540" s="13"/>
      <c r="AO540" s="13"/>
      <c r="AP540" s="13"/>
      <c r="AQ540" s="13"/>
      <c r="AR540" s="14"/>
      <c r="AS540" s="15"/>
    </row>
    <row r="541" spans="1:45" s="17" customFormat="1" ht="30.95" hidden="1" customHeight="1" x14ac:dyDescent="0.2">
      <c r="A541" s="37"/>
      <c r="B541" s="38"/>
      <c r="C541" s="45"/>
      <c r="D541" s="31"/>
      <c r="E541" s="31"/>
      <c r="F541" s="268" t="str">
        <f>IF(D541="","",VLOOKUP(D541,契約台帳!$A$3:$K$4986,6,FALSE)&amp;VLOOKUP(D541,契約台帳!$A$3:$K$4986,7,FALSE)&amp;VLOOKUP(D541,契約台帳!$A$3:$K$4986,8,FALSE)&amp;VLOOKUP(D541,契約台帳!$A$3:$K$4986,9,FALSE)&amp;VLOOKUP(D541,契約台帳!$A$3:$K$4986,11,FALSE))</f>
        <v/>
      </c>
      <c r="G541" s="269" t="str">
        <f>IF(D541="","",VLOOKUP(F541,製品マスタ!$G$5:$H$5002,2,FALSE))</f>
        <v/>
      </c>
      <c r="H541" s="269" t="str">
        <f>IF(D541="","",VLOOKUP(F541,製品マスタ!$G$5:$K$5002,5,FALSE))</f>
        <v/>
      </c>
      <c r="I541" s="270" t="str">
        <f>IF(D541="","",VLOOKUP(F541,製品マスタ!$G$5:$L$5002,6,FALSE))</f>
        <v/>
      </c>
      <c r="J541" s="210"/>
      <c r="K541" s="270" t="str">
        <f>IF(D541="","",VLOOKUP(D541,契約台帳!$A$3:$L$4986,12,FALSE))</f>
        <v/>
      </c>
      <c r="L541" s="270" t="str">
        <f>IF(D541="","",INDEX(製品マスタ!$Q$5:$Q$5002,MATCH('S4'!F541&amp;'S4'!K541,製品マスタ!$AO$5:$AO$5002,0)))</f>
        <v/>
      </c>
      <c r="M541" s="39"/>
      <c r="N541" s="39"/>
      <c r="O541" s="156"/>
      <c r="P541" s="47"/>
      <c r="Q541" s="57"/>
      <c r="R541" s="271" t="str">
        <f ca="1">IF(D541="","",IF(OFFSET(D541,-1,0)&lt;&gt;"","",IF(OR(J541="リード付け",J541="巻足し",J541="巻返しリード付け"),M541,VLOOKUP(D541,契約台帳!$A$3:$N$4986,14,FALSE))))</f>
        <v/>
      </c>
      <c r="S541" s="272" t="str">
        <f ca="1">IF(D541="","",IF(OFFSET(D541,-1,0)&lt;&gt;"","",IF(OR(J541="リード付け",J541="巻足し",J541="巻返しリード付け"),M541,VLOOKUP(D541,契約台帳!$A$3:$O$4986,15,FALSE))))</f>
        <v/>
      </c>
      <c r="T541" s="273" t="str">
        <f ca="1">IF(D541="","",IF(J541="リード付け",N541,IF(J541="巻返しリード付け",N541,IF(J541="巻足し",N541*P541+OFFSET(N541,1,0)*OFFSET(P541,1,0),VLOOKUP(D541,契約台帳!$A$3:$P$4986,16,FALSE)))))</f>
        <v/>
      </c>
      <c r="U541" s="40"/>
      <c r="V541" s="274" t="str">
        <f ca="1">IF(D541="","",IF(OFFSET(D541,-2,0)=D541,"",VLOOKUP(D541,契約台帳!$A$3:$R$4986,18,FALSE)))</f>
        <v/>
      </c>
      <c r="W541" s="269" t="str">
        <f>IF(D541="","",IF(T541="","",IF(OR(J541="巻足し",J541="巻返しリード付け"),"",IF(J541="巻返し",VLOOKUP(F541&amp;K541&amp;M541,製品マスタ!$M$5:$AD$5002,18,FALSE),IF(OR(J541="リード付け",J541="巻返しリード付け"),"原反コア",IF(J541="スリット",VLOOKUP(F541&amp;K541&amp;R541,製品マスタ!$N$5:$AD$5002,17,FALSE),""))))))</f>
        <v/>
      </c>
      <c r="X541" s="269" t="str">
        <f>IF(D541="","",IF(T541="","",IF(J541="巻足し","",IF(J541="巻返し",VLOOKUP(F541&amp;K541&amp;M541,製品マスタ!$M$5:$AE$5002,19,FALSE),IF(OR(J541="リード付け",J541="巻返しリード付け"),"",IF(J541="スリット",VLOOKUP(F541&amp;K541&amp;R541,製品マスタ!$N$5:$AE$5002,18,FALSE),""))))))</f>
        <v/>
      </c>
      <c r="Y541" s="275" t="str">
        <f>IF(D541="","",IF(T541="","",VLOOKUP(D541,契約台帳!$A$3:$Q$4986,17,FALSE)))</f>
        <v/>
      </c>
      <c r="Z541" s="269" t="str">
        <f>IF(D541="","",IF(T541="","",VLOOKUP(D541,契約台帳!$A$3:$E$4986,5,FALSE)))</f>
        <v/>
      </c>
      <c r="AA541" s="57"/>
      <c r="AB541" s="207" t="str">
        <f>IFERROR((VLOOKUP(F541&amp;K541&amp;M541,製品マスタ!$M$5:$AM$5002,27,FALSE)),"")</f>
        <v/>
      </c>
      <c r="AC541" s="33"/>
      <c r="AD541" s="189"/>
      <c r="AE541" s="54"/>
      <c r="AF541" s="55"/>
      <c r="AG541" s="43"/>
      <c r="AH541" s="47"/>
      <c r="AI541" s="30"/>
      <c r="AJ541" s="30"/>
      <c r="AK541" s="30"/>
      <c r="AL541" s="30"/>
      <c r="AM541" s="13"/>
      <c r="AN541" s="13"/>
      <c r="AO541" s="13"/>
      <c r="AP541" s="13"/>
      <c r="AQ541" s="13"/>
      <c r="AR541" s="14"/>
      <c r="AS541" s="15"/>
    </row>
    <row r="542" spans="1:45" s="17" customFormat="1" ht="30.95" hidden="1" customHeight="1" x14ac:dyDescent="0.2">
      <c r="A542" s="37" t="s">
        <v>1119</v>
      </c>
      <c r="B542" s="38" t="s">
        <v>442</v>
      </c>
      <c r="C542" s="45"/>
      <c r="D542" s="31">
        <v>3711137</v>
      </c>
      <c r="E542" s="31">
        <v>4161913</v>
      </c>
      <c r="F542" s="268" t="str">
        <f>IF(D542="","",VLOOKUP(D542,契約台帳!$A$3:$K$4986,6,FALSE)&amp;VLOOKUP(D542,契約台帳!$A$3:$K$4986,7,FALSE)&amp;VLOOKUP(D542,契約台帳!$A$3:$K$4986,8,FALSE)&amp;VLOOKUP(D542,契約台帳!$A$3:$K$4986,9,FALSE)&amp;VLOOKUP(D542,契約台帳!$A$3:$K$4986,11,FALSE))</f>
        <v>3SNMLBMTSF</v>
      </c>
      <c r="G542" s="269" t="str">
        <f>IF(D542="","",VLOOKUP(F542,製品マスタ!$G$5:$H$5002,2,FALSE))</f>
        <v>S</v>
      </c>
      <c r="H542" s="269" t="str">
        <f>IF(D542="","",VLOOKUP(F542,製品マスタ!$G$5:$K$5002,5,FALSE))</f>
        <v>MTSF</v>
      </c>
      <c r="I542" s="270" t="str">
        <f>IF(D542="","",VLOOKUP(F542,製品マスタ!$G$5:$L$5002,6,FALSE))</f>
        <v>メタルミー　ＴＳ</v>
      </c>
      <c r="J542" s="210" t="s">
        <v>464</v>
      </c>
      <c r="K542" s="270">
        <f>IF(D542="","",VLOOKUP(D542,契約台帳!$A$3:$L$4986,12,FALSE))</f>
        <v>75</v>
      </c>
      <c r="L542" s="270" t="str">
        <f>IF(D542="","",INDEX(製品マスタ!$Q$5:$Q$5002,MATCH('S4'!F542&amp;'S4'!K542,製品マスタ!$AO$5:$AO$5002,0)))</f>
        <v>T60</v>
      </c>
      <c r="M542" s="39">
        <v>1100</v>
      </c>
      <c r="N542" s="39">
        <v>2000</v>
      </c>
      <c r="O542" s="156">
        <v>1</v>
      </c>
      <c r="P542" s="47">
        <v>1</v>
      </c>
      <c r="Q542" s="213">
        <v>45056</v>
      </c>
      <c r="R542" s="271">
        <f ca="1">IF(D542="","",IF(OFFSET(D542,-1,0)&lt;&gt;"","",IF(OR(J542="リード付け",J542="巻足し",J542="巻返しリード付け"),M542,VLOOKUP(D542,契約台帳!$A$3:$N$4986,14,FALSE))))</f>
        <v>1100</v>
      </c>
      <c r="S542" s="272">
        <f ca="1">IF(D542="","",IF(OFFSET(D542,-1,0)&lt;&gt;"","",IF(OR(J542="リード付け",J542="巻足し",J542="巻返しリード付け"),M542,VLOOKUP(D542,契約台帳!$A$3:$O$4986,15,FALSE))))</f>
        <v>1100</v>
      </c>
      <c r="T542" s="273">
        <f ca="1">IF(D542="","",IF(J542="リード付け",N542,IF(J542="巻返しリード付け",N542,IF(J542="巻足し",N542*P542+OFFSET(N542,1,0)*OFFSET(P542,1,0),VLOOKUP(D542,契約台帳!$A$3:$P$4986,16,FALSE)))))</f>
        <v>2000</v>
      </c>
      <c r="U542" s="40">
        <v>1</v>
      </c>
      <c r="V542" s="274">
        <f ca="1">IF(D542="","",IF(OFFSET(D542,-2,0)=D542,"",VLOOKUP(D542,契約台帳!$A$3:$R$4986,18,FALSE)))</f>
        <v>2</v>
      </c>
      <c r="W542" s="269" t="str">
        <f ca="1">IF(D542="","",IF(T542="","",IF(OR(J542="巻足し",J542="巻返しリード付け"),"",IF(J542="巻返し",VLOOKUP(F542&amp;K542&amp;M542,製品マスタ!$M$5:$AD$5002,18,FALSE),IF(OR(J542="リード付け",J542="巻返しリード付け"),"原反コア",IF(J542="スリット",VLOOKUP(F542&amp;K542&amp;R542,製品マスタ!$N$5:$AD$5002,17,FALSE),""))))))</f>
        <v>原反コア</v>
      </c>
      <c r="X542" s="269" t="str">
        <f ca="1">IF(D542="","",IF(T542="","",IF(J542="巻足し","",IF(J542="巻返し",VLOOKUP(F542&amp;K542&amp;M542,製品マスタ!$M$5:$AE$5002,19,FALSE),IF(OR(J542="リード付け",J542="巻返しリード付け"),"",IF(J542="スリット",VLOOKUP(F542&amp;K542&amp;R542,製品マスタ!$N$5:$AE$5002,18,FALSE),""))))))</f>
        <v/>
      </c>
      <c r="Y542" s="275">
        <f ca="1">IF(D542="","",IF(T542="","",VLOOKUP(D542,契約台帳!$A$3:$Q$4986,17,FALSE)))</f>
        <v>2</v>
      </c>
      <c r="Z542" s="269" t="str">
        <f ca="1">IF(D542="","",IF(T542="","",VLOOKUP(D542,契約台帳!$A$3:$E$4986,5,FALSE)))</f>
        <v>パナック㈱亀山工場</v>
      </c>
      <c r="AA542" s="57"/>
      <c r="AB542" s="207">
        <f>IFERROR((VLOOKUP(F542&amp;K542&amp;M542,製品マスタ!$M$5:$AM$5002,27,FALSE)),"")</f>
        <v>0</v>
      </c>
      <c r="AC542" s="33"/>
      <c r="AD542" s="189"/>
      <c r="AE542" s="54"/>
      <c r="AF542" s="55"/>
      <c r="AG542" s="43"/>
      <c r="AH542" s="47"/>
      <c r="AI542" s="30"/>
      <c r="AJ542" s="30"/>
      <c r="AK542" s="30"/>
      <c r="AL542" s="30"/>
      <c r="AM542" s="13"/>
      <c r="AN542" s="13"/>
      <c r="AO542" s="13"/>
      <c r="AP542" s="13"/>
      <c r="AQ542" s="13"/>
      <c r="AR542" s="14"/>
      <c r="AS542" s="15"/>
    </row>
    <row r="543" spans="1:45" s="17" customFormat="1" ht="30.95" hidden="1" customHeight="1" x14ac:dyDescent="0.2">
      <c r="A543" s="37"/>
      <c r="B543" s="38"/>
      <c r="C543" s="45"/>
      <c r="D543" s="31"/>
      <c r="E543" s="31"/>
      <c r="F543" s="268" t="str">
        <f>IF(D543="","",VLOOKUP(D543,契約台帳!$A$3:$K$4986,6,FALSE)&amp;VLOOKUP(D543,契約台帳!$A$3:$K$4986,7,FALSE)&amp;VLOOKUP(D543,契約台帳!$A$3:$K$4986,8,FALSE)&amp;VLOOKUP(D543,契約台帳!$A$3:$K$4986,9,FALSE)&amp;VLOOKUP(D543,契約台帳!$A$3:$K$4986,11,FALSE))</f>
        <v/>
      </c>
      <c r="G543" s="269" t="str">
        <f>IF(D543="","",VLOOKUP(F543,製品マスタ!$G$5:$H$5002,2,FALSE))</f>
        <v/>
      </c>
      <c r="H543" s="269" t="str">
        <f>IF(D543="","",VLOOKUP(F543,製品マスタ!$G$5:$K$5002,5,FALSE))</f>
        <v/>
      </c>
      <c r="I543" s="270" t="str">
        <f>IF(D543="","",VLOOKUP(F543,製品マスタ!$G$5:$L$5002,6,FALSE))</f>
        <v/>
      </c>
      <c r="J543" s="210"/>
      <c r="K543" s="270" t="str">
        <f>IF(D543="","",VLOOKUP(D543,契約台帳!$A$3:$L$4986,12,FALSE))</f>
        <v/>
      </c>
      <c r="L543" s="270" t="str">
        <f>IF(D543="","",INDEX(製品マスタ!$Q$5:$Q$5002,MATCH('S4'!F543&amp;'S4'!K543,製品マスタ!$AO$5:$AO$5002,0)))</f>
        <v/>
      </c>
      <c r="M543" s="39"/>
      <c r="N543" s="39"/>
      <c r="O543" s="156"/>
      <c r="P543" s="47"/>
      <c r="Q543" s="57"/>
      <c r="R543" s="271" t="str">
        <f ca="1">IF(D543="","",IF(OFFSET(D543,-1,0)&lt;&gt;"","",IF(OR(J543="リード付け",J543="巻足し",J543="巻返しリード付け"),M543,VLOOKUP(D543,契約台帳!$A$3:$N$4986,14,FALSE))))</f>
        <v/>
      </c>
      <c r="S543" s="272" t="str">
        <f ca="1">IF(D543="","",IF(OFFSET(D543,-1,0)&lt;&gt;"","",IF(OR(J543="リード付け",J543="巻足し",J543="巻返しリード付け"),M543,VLOOKUP(D543,契約台帳!$A$3:$O$4986,15,FALSE))))</f>
        <v/>
      </c>
      <c r="T543" s="273" t="str">
        <f ca="1">IF(D543="","",IF(J543="リード付け",N543,IF(J543="巻返しリード付け",N543,IF(J543="巻足し",N543*P543+OFFSET(N543,1,0)*OFFSET(P543,1,0),VLOOKUP(D543,契約台帳!$A$3:$P$4986,16,FALSE)))))</f>
        <v/>
      </c>
      <c r="U543" s="40"/>
      <c r="V543" s="274" t="str">
        <f ca="1">IF(D543="","",IF(OFFSET(D543,-2,0)=D543,"",VLOOKUP(D543,契約台帳!$A$3:$R$4986,18,FALSE)))</f>
        <v/>
      </c>
      <c r="W543" s="269" t="str">
        <f>IF(D543="","",IF(T543="","",IF(OR(J543="巻足し",J543="巻返しリード付け"),"",IF(J543="巻返し",VLOOKUP(F543&amp;K543&amp;M543,製品マスタ!$M$5:$AD$5002,18,FALSE),IF(OR(J543="リード付け",J543="巻返しリード付け"),"原反コア",IF(J543="スリット",VLOOKUP(F543&amp;K543&amp;R543,製品マスタ!$N$5:$AD$5002,17,FALSE),""))))))</f>
        <v/>
      </c>
      <c r="X543" s="269" t="str">
        <f>IF(D543="","",IF(T543="","",IF(J543="巻足し","",IF(J543="巻返し",VLOOKUP(F543&amp;K543&amp;M543,製品マスタ!$M$5:$AE$5002,19,FALSE),IF(OR(J543="リード付け",J543="巻返しリード付け"),"",IF(J543="スリット",VLOOKUP(F543&amp;K543&amp;R543,製品マスタ!$N$5:$AE$5002,18,FALSE),""))))))</f>
        <v/>
      </c>
      <c r="Y543" s="275" t="str">
        <f>IF(D543="","",IF(T543="","",VLOOKUP(D543,契約台帳!$A$3:$Q$4986,17,FALSE)))</f>
        <v/>
      </c>
      <c r="Z543" s="269" t="str">
        <f>IF(D543="","",IF(T543="","",VLOOKUP(D543,契約台帳!$A$3:$E$4986,5,FALSE)))</f>
        <v/>
      </c>
      <c r="AA543" s="57"/>
      <c r="AB543" s="207" t="str">
        <f>IFERROR((VLOOKUP(F543&amp;K543&amp;M543,製品マスタ!$M$5:$AM$5002,27,FALSE)),"")</f>
        <v/>
      </c>
      <c r="AC543" s="33"/>
      <c r="AD543" s="189"/>
      <c r="AE543" s="54"/>
      <c r="AF543" s="55"/>
      <c r="AG543" s="43"/>
      <c r="AH543" s="47"/>
      <c r="AI543" s="30"/>
      <c r="AJ543" s="30"/>
      <c r="AK543" s="30"/>
      <c r="AL543" s="30"/>
      <c r="AM543" s="13"/>
      <c r="AN543" s="13"/>
      <c r="AO543" s="13"/>
      <c r="AP543" s="13"/>
      <c r="AQ543" s="13"/>
      <c r="AR543" s="14"/>
      <c r="AS543" s="15"/>
    </row>
    <row r="544" spans="1:45" s="17" customFormat="1" ht="30.95" hidden="1" customHeight="1" x14ac:dyDescent="0.2">
      <c r="A544" s="37"/>
      <c r="B544" s="38"/>
      <c r="C544" s="45"/>
      <c r="D544" s="31">
        <v>3708716</v>
      </c>
      <c r="E544" s="31">
        <v>4161885</v>
      </c>
      <c r="F544" s="268" t="str">
        <f>IF(D544="","",VLOOKUP(D544,契約台帳!$A$3:$K$4986,6,FALSE)&amp;VLOOKUP(D544,契約台帳!$A$3:$K$4986,7,FALSE)&amp;VLOOKUP(D544,契約台帳!$A$3:$K$4986,8,FALSE)&amp;VLOOKUP(D544,契約台帳!$A$3:$K$4986,9,FALSE)&amp;VLOOKUP(D544,契約台帳!$A$3:$K$4986,11,FALSE))</f>
        <v>33SSNMCLBTEKKFV</v>
      </c>
      <c r="G544" s="269" t="str">
        <f>IF(D544="","",VLOOKUP(F544,製品マスタ!$G$5:$H$5002,2,FALSE))</f>
        <v>S</v>
      </c>
      <c r="H544" s="269" t="str">
        <f>IF(D544="","",VLOOKUP(F544,製品マスタ!$G$5:$K$5002,5,FALSE))</f>
        <v>TEKKFV</v>
      </c>
      <c r="I544" s="270" t="str">
        <f>IF(D544="","",VLOOKUP(F544,製品マスタ!$G$5:$L$5002,6,FALSE))</f>
        <v>メタルミー　ＴＥＳ消開封　Ｖ</v>
      </c>
      <c r="J544" s="210" t="s">
        <v>1102</v>
      </c>
      <c r="K544" s="270">
        <f>IF(D544="","",VLOOKUP(D544,契約台帳!$A$3:$L$4986,12,FALSE))</f>
        <v>50</v>
      </c>
      <c r="L544" s="270" t="str">
        <f>IF(D544="","",INDEX(製品マスタ!$Q$5:$Q$5002,MATCH('S4'!F544&amp;'S4'!K544,製品マスタ!$AO$5:$AO$5002,0)))</f>
        <v>X44SEPA</v>
      </c>
      <c r="M544" s="39">
        <v>1005</v>
      </c>
      <c r="N544" s="39">
        <v>4000</v>
      </c>
      <c r="O544" s="156">
        <v>3</v>
      </c>
      <c r="P544" s="47">
        <v>3</v>
      </c>
      <c r="Q544" s="213">
        <v>45056</v>
      </c>
      <c r="R544" s="271">
        <f ca="1">IF(D544="","",IF(OFFSET(D544,-1,0)&lt;&gt;"","",IF(OR(J544="リード付け",J544="巻足し",J544="巻返しリード付け"),M544,VLOOKUP(D544,契約台帳!$A$3:$N$4986,14,FALSE))))</f>
        <v>1005</v>
      </c>
      <c r="S544" s="272">
        <f ca="1">IF(D544="","",IF(OFFSET(D544,-1,0)&lt;&gt;"","",IF(OR(J544="リード付け",J544="巻足し",J544="巻返しリード付け"),M544,VLOOKUP(D544,契約台帳!$A$3:$O$4986,15,FALSE))))</f>
        <v>1005</v>
      </c>
      <c r="T544" s="273">
        <f ca="1">IF(D544="","",IF(J544="リード付け",N544,IF(J544="巻返しリード付け",N544,IF(J544="巻足し",N544*P544+OFFSET(N544,1,0)*OFFSET(P544,1,0),VLOOKUP(D544,契約台帳!$A$3:$P$4986,16,FALSE)))))</f>
        <v>12000</v>
      </c>
      <c r="U544" s="40">
        <v>1</v>
      </c>
      <c r="V544" s="274">
        <f ca="1">IF(D544="","",IF(OFFSET(D544,-2,0)=D544,"",VLOOKUP(D544,契約台帳!$A$3:$R$4986,18,FALSE)))</f>
        <v>3</v>
      </c>
      <c r="W544" s="269" t="str">
        <f ca="1">IF(D544="","",IF(T544="","",IF(OR(J544="巻足し",J544="巻返しリード付け"),"",IF(J544="巻返し",VLOOKUP(F544&amp;K544&amp;M544,製品マスタ!$M$5:$AD$5002,18,FALSE),IF(OR(J544="リード付け",J544="巻返しリード付け"),"原反コア",IF(J544="スリット",VLOOKUP(F544&amp;K544&amp;R544,製品マスタ!$N$5:$AD$5002,17,FALSE),""))))))</f>
        <v/>
      </c>
      <c r="X544" s="269" t="str">
        <f ca="1">IF(D544="","",IF(T544="","",IF(J544="巻足し","",IF(J544="巻返し",VLOOKUP(F544&amp;K544&amp;M544,製品マスタ!$M$5:$AE$5002,19,FALSE),IF(OR(J544="リード付け",J544="巻返しリード付け"),"",IF(J544="スリット",VLOOKUP(F544&amp;K544&amp;R544,製品マスタ!$N$5:$AE$5002,18,FALSE),""))))))</f>
        <v/>
      </c>
      <c r="Y544" s="275">
        <f ca="1">IF(D544="","",IF(T544="","",VLOOKUP(D544,契約台帳!$A$3:$Q$4986,17,FALSE)))</f>
        <v>2</v>
      </c>
      <c r="Z544" s="269" t="str">
        <f ca="1">IF(D544="","",IF(T544="","",VLOOKUP(D544,契約台帳!$A$3:$E$4986,5,FALSE)))</f>
        <v>リンテック㈱</v>
      </c>
      <c r="AA544" s="57"/>
      <c r="AB544" s="207">
        <f>IFERROR((VLOOKUP(F544&amp;K544&amp;M544,製品マスタ!$M$5:$AM$5002,27,FALSE)),"")</f>
        <v>0</v>
      </c>
      <c r="AC544" s="33"/>
      <c r="AD544" s="189"/>
      <c r="AE544" s="54"/>
      <c r="AF544" s="55"/>
      <c r="AG544" s="43"/>
      <c r="AH544" s="47"/>
      <c r="AI544" s="30"/>
      <c r="AJ544" s="30"/>
      <c r="AK544" s="30"/>
      <c r="AL544" s="30"/>
      <c r="AM544" s="13"/>
      <c r="AN544" s="13"/>
      <c r="AO544" s="13"/>
      <c r="AP544" s="13"/>
      <c r="AQ544" s="13"/>
      <c r="AR544" s="14"/>
      <c r="AS544" s="15"/>
    </row>
    <row r="545" spans="1:45" s="17" customFormat="1" ht="30.95" hidden="1" customHeight="1" x14ac:dyDescent="0.2">
      <c r="A545" s="37"/>
      <c r="B545" s="38"/>
      <c r="C545" s="45"/>
      <c r="D545" s="31"/>
      <c r="E545" s="31"/>
      <c r="F545" s="268" t="str">
        <f>IF(D545="","",VLOOKUP(D545,契約台帳!$A$3:$K$4986,6,FALSE)&amp;VLOOKUP(D545,契約台帳!$A$3:$K$4986,7,FALSE)&amp;VLOOKUP(D545,契約台帳!$A$3:$K$4986,8,FALSE)&amp;VLOOKUP(D545,契約台帳!$A$3:$K$4986,9,FALSE)&amp;VLOOKUP(D545,契約台帳!$A$3:$K$4986,11,FALSE))</f>
        <v/>
      </c>
      <c r="G545" s="269" t="str">
        <f>IF(D545="","",VLOOKUP(F545,製品マスタ!$G$5:$H$5002,2,FALSE))</f>
        <v/>
      </c>
      <c r="H545" s="269" t="str">
        <f>IF(D545="","",VLOOKUP(F545,製品マスタ!$G$5:$K$5002,5,FALSE))</f>
        <v/>
      </c>
      <c r="I545" s="270" t="str">
        <f>IF(D545="","",VLOOKUP(F545,製品マスタ!$G$5:$L$5002,6,FALSE))</f>
        <v/>
      </c>
      <c r="J545" s="210"/>
      <c r="K545" s="270" t="str">
        <f>IF(D545="","",VLOOKUP(D545,契約台帳!$A$3:$L$4986,12,FALSE))</f>
        <v/>
      </c>
      <c r="L545" s="270" t="str">
        <f>IF(D545="","",INDEX(製品マスタ!$Q$5:$Q$5002,MATCH('S4'!F545&amp;'S4'!K545,製品マスタ!$AO$5:$AO$5002,0)))</f>
        <v/>
      </c>
      <c r="M545" s="39"/>
      <c r="N545" s="39"/>
      <c r="O545" s="156"/>
      <c r="P545" s="47"/>
      <c r="Q545" s="57"/>
      <c r="R545" s="271" t="str">
        <f ca="1">IF(D545="","",IF(OFFSET(D545,-1,0)&lt;&gt;"","",IF(OR(J545="リード付け",J545="巻足し",J545="巻返しリード付け"),M545,VLOOKUP(D545,契約台帳!$A$3:$N$4986,14,FALSE))))</f>
        <v/>
      </c>
      <c r="S545" s="272" t="str">
        <f ca="1">IF(D545="","",IF(OFFSET(D545,-1,0)&lt;&gt;"","",IF(OR(J545="リード付け",J545="巻足し",J545="巻返しリード付け"),M545,VLOOKUP(D545,契約台帳!$A$3:$O$4986,15,FALSE))))</f>
        <v/>
      </c>
      <c r="T545" s="273" t="str">
        <f ca="1">IF(D545="","",IF(J545="リード付け",N545,IF(J545="巻返しリード付け",N545,IF(J545="巻足し",N545*P545+OFFSET(N545,1,0)*OFFSET(P545,1,0),VLOOKUP(D545,契約台帳!$A$3:$P$4986,16,FALSE)))))</f>
        <v/>
      </c>
      <c r="U545" s="40"/>
      <c r="V545" s="274" t="str">
        <f ca="1">IF(D545="","",IF(OFFSET(D545,-2,0)=D545,"",VLOOKUP(D545,契約台帳!$A$3:$R$4986,18,FALSE)))</f>
        <v/>
      </c>
      <c r="W545" s="269" t="str">
        <f>IF(D545="","",IF(T545="","",IF(OR(J545="巻足し",J545="巻返しリード付け"),"",IF(J545="巻返し",VLOOKUP(F545&amp;K545&amp;M545,製品マスタ!$M$5:$AD$5002,18,FALSE),IF(OR(J545="リード付け",J545="巻返しリード付け"),"原反コア",IF(J545="スリット",VLOOKUP(F545&amp;K545&amp;R545,製品マスタ!$N$5:$AD$5002,17,FALSE),""))))))</f>
        <v/>
      </c>
      <c r="X545" s="269" t="str">
        <f>IF(D545="","",IF(T545="","",IF(J545="巻足し","",IF(J545="巻返し",VLOOKUP(F545&amp;K545&amp;M545,製品マスタ!$M$5:$AE$5002,19,FALSE),IF(OR(J545="リード付け",J545="巻返しリード付け"),"",IF(J545="スリット",VLOOKUP(F545&amp;K545&amp;R545,製品マスタ!$N$5:$AE$5002,18,FALSE),""))))))</f>
        <v/>
      </c>
      <c r="Y545" s="275" t="str">
        <f>IF(D545="","",IF(T545="","",VLOOKUP(D545,契約台帳!$A$3:$Q$4986,17,FALSE)))</f>
        <v/>
      </c>
      <c r="Z545" s="269" t="str">
        <f>IF(D545="","",IF(T545="","",VLOOKUP(D545,契約台帳!$A$3:$E$4986,5,FALSE)))</f>
        <v/>
      </c>
      <c r="AA545" s="57"/>
      <c r="AB545" s="207" t="str">
        <f>IFERROR((VLOOKUP(F545&amp;K545&amp;M545,製品マスタ!$M$5:$AM$5002,27,FALSE)),"")</f>
        <v/>
      </c>
      <c r="AC545" s="33"/>
      <c r="AD545" s="189"/>
      <c r="AE545" s="54"/>
      <c r="AF545" s="55"/>
      <c r="AG545" s="43"/>
      <c r="AH545" s="47"/>
      <c r="AI545" s="30"/>
      <c r="AJ545" s="30"/>
      <c r="AK545" s="30"/>
      <c r="AL545" s="30"/>
      <c r="AM545" s="13"/>
      <c r="AN545" s="13"/>
      <c r="AO545" s="13"/>
      <c r="AP545" s="13"/>
      <c r="AQ545" s="13"/>
      <c r="AR545" s="14"/>
      <c r="AS545" s="15"/>
    </row>
    <row r="546" spans="1:45" s="17" customFormat="1" ht="30.95" hidden="1" customHeight="1" x14ac:dyDescent="0.2">
      <c r="A546" s="37"/>
      <c r="B546" s="38"/>
      <c r="C546" s="45"/>
      <c r="D546" s="31">
        <v>3708717</v>
      </c>
      <c r="E546" s="31">
        <v>4161886</v>
      </c>
      <c r="F546" s="268" t="str">
        <f>IF(D546="","",VLOOKUP(D546,契約台帳!$A$3:$K$4986,6,FALSE)&amp;VLOOKUP(D546,契約台帳!$A$3:$K$4986,7,FALSE)&amp;VLOOKUP(D546,契約台帳!$A$3:$K$4986,8,FALSE)&amp;VLOOKUP(D546,契約台帳!$A$3:$K$4986,9,FALSE)&amp;VLOOKUP(D546,契約台帳!$A$3:$K$4986,11,FALSE))</f>
        <v>33SSNMCLBTETKFV</v>
      </c>
      <c r="G546" s="269" t="str">
        <f>IF(D546="","",VLOOKUP(F546,製品マスタ!$G$5:$H$5002,2,FALSE))</f>
        <v>S</v>
      </c>
      <c r="H546" s="269" t="str">
        <f>IF(D546="","",VLOOKUP(F546,製品マスタ!$G$5:$K$5002,5,FALSE))</f>
        <v>TETKFV</v>
      </c>
      <c r="I546" s="270" t="str">
        <f>IF(D546="","",VLOOKUP(F546,製品マスタ!$G$5:$L$5002,6,FALSE))</f>
        <v>メタルミー　ＴＥＳ艶開封　Ｖ</v>
      </c>
      <c r="J546" s="210" t="s">
        <v>1102</v>
      </c>
      <c r="K546" s="270">
        <f>IF(D546="","",VLOOKUP(D546,契約台帳!$A$3:$L$4986,12,FALSE))</f>
        <v>50</v>
      </c>
      <c r="L546" s="270" t="str">
        <f>IF(D546="","",INDEX(製品マスタ!$Q$5:$Q$5002,MATCH('S4'!F546&amp;'S4'!K546,製品マスタ!$AO$5:$AO$5002,0)))</f>
        <v>S28SEPA</v>
      </c>
      <c r="M546" s="39">
        <v>1005</v>
      </c>
      <c r="N546" s="39">
        <v>4100</v>
      </c>
      <c r="O546" s="156">
        <v>6</v>
      </c>
      <c r="P546" s="47">
        <v>3</v>
      </c>
      <c r="Q546" s="213">
        <v>45056</v>
      </c>
      <c r="R546" s="271">
        <f ca="1">IF(D546="","",IF(OFFSET(D546,-1,0)&lt;&gt;"","",IF(OR(J546="リード付け",J546="巻足し",J546="巻返しリード付け"),M546,VLOOKUP(D546,契約台帳!$A$3:$N$4986,14,FALSE))))</f>
        <v>1005</v>
      </c>
      <c r="S546" s="272">
        <f ca="1">IF(D546="","",IF(OFFSET(D546,-1,0)&lt;&gt;"","",IF(OR(J546="リード付け",J546="巻足し",J546="巻返しリード付け"),M546,VLOOKUP(D546,契約台帳!$A$3:$O$4986,15,FALSE))))</f>
        <v>1005</v>
      </c>
      <c r="T546" s="273">
        <f ca="1">IF(D546="","",IF(J546="リード付け",N546,IF(J546="巻返しリード付け",N546,IF(J546="巻足し",N546*P546+OFFSET(N546,1,0)*OFFSET(P546,1,0),VLOOKUP(D546,契約台帳!$A$3:$P$4986,16,FALSE)))))</f>
        <v>12300</v>
      </c>
      <c r="U546" s="40">
        <v>2</v>
      </c>
      <c r="V546" s="274">
        <f ca="1">IF(D546="","",IF(OFFSET(D546,-2,0)=D546,"",VLOOKUP(D546,契約台帳!$A$3:$R$4986,18,FALSE)))</f>
        <v>6</v>
      </c>
      <c r="W546" s="269" t="str">
        <f ca="1">IF(D546="","",IF(T546="","",IF(OR(J546="巻足し",J546="巻返しリード付け"),"",IF(J546="巻返し",VLOOKUP(F546&amp;K546&amp;M546,製品マスタ!$M$5:$AD$5002,18,FALSE),IF(OR(J546="リード付け",J546="巻返しリード付け"),"原反コア",IF(J546="スリット",VLOOKUP(F546&amp;K546&amp;R546,製品マスタ!$N$5:$AD$5002,17,FALSE),""))))))</f>
        <v/>
      </c>
      <c r="X546" s="269" t="str">
        <f ca="1">IF(D546="","",IF(T546="","",IF(J546="巻足し","",IF(J546="巻返し",VLOOKUP(F546&amp;K546&amp;M546,製品マスタ!$M$5:$AE$5002,19,FALSE),IF(OR(J546="リード付け",J546="巻返しリード付け"),"",IF(J546="スリット",VLOOKUP(F546&amp;K546&amp;R546,製品マスタ!$N$5:$AE$5002,18,FALSE),""))))))</f>
        <v/>
      </c>
      <c r="Y546" s="275">
        <f ca="1">IF(D546="","",IF(T546="","",VLOOKUP(D546,契約台帳!$A$3:$Q$4986,17,FALSE)))</f>
        <v>2</v>
      </c>
      <c r="Z546" s="269" t="str">
        <f ca="1">IF(D546="","",IF(T546="","",VLOOKUP(D546,契約台帳!$A$3:$E$4986,5,FALSE)))</f>
        <v>リンテック㈱</v>
      </c>
      <c r="AA546" s="57"/>
      <c r="AB546" s="207">
        <f>IFERROR((VLOOKUP(F546&amp;K546&amp;M546,製品マスタ!$M$5:$AM$5002,27,FALSE)),"")</f>
        <v>0</v>
      </c>
      <c r="AC546" s="33"/>
      <c r="AD546" s="189"/>
      <c r="AE546" s="54"/>
      <c r="AF546" s="55"/>
      <c r="AG546" s="43"/>
      <c r="AH546" s="47"/>
      <c r="AI546" s="30"/>
      <c r="AJ546" s="30"/>
      <c r="AK546" s="30"/>
      <c r="AL546" s="30"/>
      <c r="AM546" s="13"/>
      <c r="AN546" s="13"/>
      <c r="AO546" s="13"/>
      <c r="AP546" s="13"/>
      <c r="AQ546" s="13"/>
      <c r="AR546" s="14"/>
      <c r="AS546" s="15"/>
    </row>
    <row r="547" spans="1:45" s="17" customFormat="1" ht="30.95" hidden="1" customHeight="1" x14ac:dyDescent="0.2">
      <c r="A547" s="37"/>
      <c r="B547" s="38"/>
      <c r="C547" s="45"/>
      <c r="D547" s="31"/>
      <c r="E547" s="31"/>
      <c r="F547" s="268" t="str">
        <f>IF(D547="","",VLOOKUP(D547,契約台帳!$A$3:$K$4986,6,FALSE)&amp;VLOOKUP(D547,契約台帳!$A$3:$K$4986,7,FALSE)&amp;VLOOKUP(D547,契約台帳!$A$3:$K$4986,8,FALSE)&amp;VLOOKUP(D547,契約台帳!$A$3:$K$4986,9,FALSE)&amp;VLOOKUP(D547,契約台帳!$A$3:$K$4986,11,FALSE))</f>
        <v/>
      </c>
      <c r="G547" s="269" t="str">
        <f>IF(D547="","",VLOOKUP(F547,製品マスタ!$G$5:$H$5002,2,FALSE))</f>
        <v/>
      </c>
      <c r="H547" s="269" t="str">
        <f>IF(D547="","",VLOOKUP(F547,製品マスタ!$G$5:$K$5002,5,FALSE))</f>
        <v/>
      </c>
      <c r="I547" s="270" t="str">
        <f>IF(D547="","",VLOOKUP(F547,製品マスタ!$G$5:$L$5002,6,FALSE))</f>
        <v/>
      </c>
      <c r="J547" s="210"/>
      <c r="K547" s="270" t="str">
        <f>IF(D547="","",VLOOKUP(D547,契約台帳!$A$3:$L$4986,12,FALSE))</f>
        <v/>
      </c>
      <c r="L547" s="270" t="str">
        <f>IF(D547="","",INDEX(製品マスタ!$Q$5:$Q$5002,MATCH('S4'!F547&amp;'S4'!K547,製品マスタ!$AO$5:$AO$5002,0)))</f>
        <v/>
      </c>
      <c r="M547" s="39"/>
      <c r="N547" s="39"/>
      <c r="O547" s="156"/>
      <c r="P547" s="47"/>
      <c r="Q547" s="57"/>
      <c r="R547" s="271" t="str">
        <f ca="1">IF(D547="","",IF(OFFSET(D547,-1,0)&lt;&gt;"","",IF(OR(J547="リード付け",J547="巻足し",J547="巻返しリード付け"),M547,VLOOKUP(D547,契約台帳!$A$3:$N$4986,14,FALSE))))</f>
        <v/>
      </c>
      <c r="S547" s="272" t="str">
        <f ca="1">IF(D547="","",IF(OFFSET(D547,-1,0)&lt;&gt;"","",IF(OR(J547="リード付け",J547="巻足し",J547="巻返しリード付け"),M547,VLOOKUP(D547,契約台帳!$A$3:$O$4986,15,FALSE))))</f>
        <v/>
      </c>
      <c r="T547" s="273" t="str">
        <f ca="1">IF(D547="","",IF(J547="リード付け",N547,IF(J547="巻返しリード付け",N547,IF(J547="巻足し",N547*P547+OFFSET(N547,1,0)*OFFSET(P547,1,0),VLOOKUP(D547,契約台帳!$A$3:$P$4986,16,FALSE)))))</f>
        <v/>
      </c>
      <c r="U547" s="40"/>
      <c r="V547" s="274" t="str">
        <f ca="1">IF(D547="","",IF(OFFSET(D547,-2,0)=D547,"",VLOOKUP(D547,契約台帳!$A$3:$R$4986,18,FALSE)))</f>
        <v/>
      </c>
      <c r="W547" s="269" t="str">
        <f>IF(D547="","",IF(T547="","",IF(OR(J547="巻足し",J547="巻返しリード付け"),"",IF(J547="巻返し",VLOOKUP(F547&amp;K547&amp;M547,製品マスタ!$M$5:$AD$5002,18,FALSE),IF(OR(J547="リード付け",J547="巻返しリード付け"),"原反コア",IF(J547="スリット",VLOOKUP(F547&amp;K547&amp;R547,製品マスタ!$N$5:$AD$5002,17,FALSE),""))))))</f>
        <v/>
      </c>
      <c r="X547" s="269" t="str">
        <f>IF(D547="","",IF(T547="","",IF(J547="巻足し","",IF(J547="巻返し",VLOOKUP(F547&amp;K547&amp;M547,製品マスタ!$M$5:$AE$5002,19,FALSE),IF(OR(J547="リード付け",J547="巻返しリード付け"),"",IF(J547="スリット",VLOOKUP(F547&amp;K547&amp;R547,製品マスタ!$N$5:$AE$5002,18,FALSE),""))))))</f>
        <v/>
      </c>
      <c r="Y547" s="275" t="str">
        <f>IF(D547="","",IF(T547="","",VLOOKUP(D547,契約台帳!$A$3:$Q$4986,17,FALSE)))</f>
        <v/>
      </c>
      <c r="Z547" s="269" t="str">
        <f>IF(D547="","",IF(T547="","",VLOOKUP(D547,契約台帳!$A$3:$E$4986,5,FALSE)))</f>
        <v/>
      </c>
      <c r="AA547" s="57"/>
      <c r="AB547" s="207" t="str">
        <f>IFERROR((VLOOKUP(F547&amp;K547&amp;M547,製品マスタ!$M$5:$AM$5002,27,FALSE)),"")</f>
        <v/>
      </c>
      <c r="AC547" s="33"/>
      <c r="AD547" s="189"/>
      <c r="AE547" s="54"/>
      <c r="AF547" s="55"/>
      <c r="AG547" s="43"/>
      <c r="AH547" s="47"/>
      <c r="AI547" s="30"/>
      <c r="AJ547" s="30"/>
      <c r="AK547" s="30"/>
      <c r="AL547" s="30"/>
      <c r="AM547" s="13"/>
      <c r="AN547" s="13"/>
      <c r="AO547" s="13"/>
      <c r="AP547" s="13"/>
      <c r="AQ547" s="13"/>
      <c r="AR547" s="14"/>
      <c r="AS547" s="15"/>
    </row>
    <row r="548" spans="1:45" s="17" customFormat="1" ht="30.95" hidden="1" customHeight="1" x14ac:dyDescent="0.2">
      <c r="A548" s="37" t="s">
        <v>1120</v>
      </c>
      <c r="B548" s="38" t="s">
        <v>1101</v>
      </c>
      <c r="C548" s="45"/>
      <c r="D548" s="31">
        <v>3708694</v>
      </c>
      <c r="E548" s="31">
        <v>4161888</v>
      </c>
      <c r="F548" s="268" t="str">
        <f>IF(D548="","",VLOOKUP(D548,契約台帳!$A$3:$K$4986,6,FALSE)&amp;VLOOKUP(D548,契約台帳!$A$3:$K$4986,7,FALSE)&amp;VLOOKUP(D548,契約台帳!$A$3:$K$4986,8,FALSE)&amp;VLOOKUP(D548,契約台帳!$A$3:$K$4986,9,FALSE)&amp;VLOOKUP(D548,契約台帳!$A$3:$K$4986,11,FALSE))</f>
        <v>3HSNMLBMSF</v>
      </c>
      <c r="G548" s="269" t="str">
        <f>IF(D548="","",VLOOKUP(F548,製品マスタ!$G$5:$H$5002,2,FALSE))</f>
        <v>S</v>
      </c>
      <c r="H548" s="269" t="str">
        <f>IF(D548="","",VLOOKUP(F548,製品マスタ!$G$5:$K$5002,5,FALSE))</f>
        <v>MSF</v>
      </c>
      <c r="I548" s="270" t="str">
        <f>IF(D548="","",VLOOKUP(F548,製品マスタ!$G$5:$L$5002,6,FALSE))</f>
        <v>メタルミー　Ｓ</v>
      </c>
      <c r="J548" s="210" t="s">
        <v>1102</v>
      </c>
      <c r="K548" s="270">
        <f>IF(D548="","",VLOOKUP(D548,契約台帳!$A$3:$L$4986,12,FALSE))</f>
        <v>38</v>
      </c>
      <c r="L548" s="270" t="str">
        <f>IF(D548="","",INDEX(製品マスタ!$Q$5:$Q$5002,MATCH('S4'!F548&amp;'S4'!K548,製品マスタ!$AO$5:$AO$5002,0)))</f>
        <v>S10</v>
      </c>
      <c r="M548" s="39">
        <v>1000</v>
      </c>
      <c r="N548" s="39">
        <v>6000</v>
      </c>
      <c r="O548" s="156">
        <v>10</v>
      </c>
      <c r="P548" s="47">
        <v>2</v>
      </c>
      <c r="Q548" s="213">
        <v>45057</v>
      </c>
      <c r="R548" s="271">
        <f ca="1">IF(D548="","",IF(OFFSET(D548,-1,0)&lt;&gt;"","",IF(OR(J548="リード付け",J548="巻足し",J548="巻返しリード付け"),M548,VLOOKUP(D548,契約台帳!$A$3:$N$4986,14,FALSE))))</f>
        <v>1000</v>
      </c>
      <c r="S548" s="272">
        <f ca="1">IF(D548="","",IF(OFFSET(D548,-1,0)&lt;&gt;"","",IF(OR(J548="リード付け",J548="巻足し",J548="巻返しリード付け"),M548,VLOOKUP(D548,契約台帳!$A$3:$O$4986,15,FALSE))))</f>
        <v>1000</v>
      </c>
      <c r="T548" s="273">
        <f ca="1">IF(D548="","",IF(J548="リード付け",N548,IF(J548="巻返しリード付け",N548,IF(J548="巻足し",N548*P548+OFFSET(N548,1,0)*OFFSET(P548,1,0),VLOOKUP(D548,契約台帳!$A$3:$P$4986,16,FALSE)))))</f>
        <v>12000</v>
      </c>
      <c r="U548" s="40">
        <v>5</v>
      </c>
      <c r="V548" s="274">
        <f ca="1">IF(D548="","",IF(OFFSET(D548,-2,0)=D548,"",VLOOKUP(D548,契約台帳!$A$3:$R$4986,18,FALSE)))</f>
        <v>20</v>
      </c>
      <c r="W548" s="269" t="str">
        <f ca="1">IF(D548="","",IF(T548="","",IF(OR(J548="巻足し",J548="巻返しリード付け"),"",IF(J548="巻返し",VLOOKUP(F548&amp;K548&amp;M548,製品マスタ!$M$5:$AD$5002,18,FALSE),IF(OR(J548="リード付け",J548="巻返しリード付け"),"原反コア",IF(J548="スリット",VLOOKUP(F548&amp;K548&amp;R548,製品マスタ!$N$5:$AD$5002,17,FALSE),""))))))</f>
        <v/>
      </c>
      <c r="X548" s="269" t="str">
        <f ca="1">IF(D548="","",IF(T548="","",IF(J548="巻足し","",IF(J548="巻返し",VLOOKUP(F548&amp;K548&amp;M548,製品マスタ!$M$5:$AE$5002,19,FALSE),IF(OR(J548="リード付け",J548="巻返しリード付け"),"",IF(J548="スリット",VLOOKUP(F548&amp;K548&amp;R548,製品マスタ!$N$5:$AE$5002,18,FALSE),""))))))</f>
        <v/>
      </c>
      <c r="Y548" s="275">
        <f ca="1">IF(D548="","",IF(T548="","",VLOOKUP(D548,契約台帳!$A$3:$Q$4986,17,FALSE)))</f>
        <v>2</v>
      </c>
      <c r="Z548" s="269" t="str">
        <f ca="1">IF(D548="","",IF(T548="","",VLOOKUP(D548,契約台帳!$A$3:$E$4986,5,FALSE)))</f>
        <v>特種東海製紙㈱</v>
      </c>
      <c r="AA548" s="57"/>
      <c r="AB548" s="207">
        <f>IFERROR((VLOOKUP(F548&amp;K548&amp;M548,製品マスタ!$M$5:$AM$5002,27,FALSE)),"")</f>
        <v>0</v>
      </c>
      <c r="AC548" s="33"/>
      <c r="AD548" s="189"/>
      <c r="AE548" s="54"/>
      <c r="AF548" s="55"/>
      <c r="AG548" s="43"/>
      <c r="AH548" s="47"/>
      <c r="AI548" s="30"/>
      <c r="AJ548" s="30"/>
      <c r="AK548" s="30"/>
      <c r="AL548" s="30"/>
      <c r="AM548" s="13"/>
      <c r="AN548" s="13"/>
      <c r="AO548" s="13"/>
      <c r="AP548" s="13"/>
      <c r="AQ548" s="13"/>
      <c r="AR548" s="14"/>
      <c r="AS548" s="15"/>
    </row>
    <row r="549" spans="1:45" s="17" customFormat="1" ht="30.95" hidden="1" customHeight="1" x14ac:dyDescent="0.2">
      <c r="A549" s="37"/>
      <c r="B549" s="38"/>
      <c r="C549" s="45"/>
      <c r="D549" s="31"/>
      <c r="E549" s="31"/>
      <c r="F549" s="268" t="str">
        <f>IF(D549="","",VLOOKUP(D549,契約台帳!$A$3:$K$4986,6,FALSE)&amp;VLOOKUP(D549,契約台帳!$A$3:$K$4986,7,FALSE)&amp;VLOOKUP(D549,契約台帳!$A$3:$K$4986,8,FALSE)&amp;VLOOKUP(D549,契約台帳!$A$3:$K$4986,9,FALSE)&amp;VLOOKUP(D549,契約台帳!$A$3:$K$4986,11,FALSE))</f>
        <v/>
      </c>
      <c r="G549" s="269" t="str">
        <f>IF(D549="","",VLOOKUP(F549,製品マスタ!$G$5:$H$5002,2,FALSE))</f>
        <v/>
      </c>
      <c r="H549" s="269" t="str">
        <f>IF(D549="","",VLOOKUP(F549,製品マスタ!$G$5:$K$5002,5,FALSE))</f>
        <v/>
      </c>
      <c r="I549" s="270" t="str">
        <f>IF(D549="","",VLOOKUP(F549,製品マスタ!$G$5:$L$5002,6,FALSE))</f>
        <v/>
      </c>
      <c r="J549" s="210"/>
      <c r="K549" s="270" t="str">
        <f>IF(D549="","",VLOOKUP(D549,契約台帳!$A$3:$L$4986,12,FALSE))</f>
        <v/>
      </c>
      <c r="L549" s="270" t="str">
        <f>IF(D549="","",INDEX(製品マスタ!$Q$5:$Q$5002,MATCH('S4'!F549&amp;'S4'!K549,製品マスタ!$AO$5:$AO$5002,0)))</f>
        <v/>
      </c>
      <c r="M549" s="39"/>
      <c r="N549" s="39"/>
      <c r="O549" s="156"/>
      <c r="P549" s="47"/>
      <c r="Q549" s="57"/>
      <c r="R549" s="271" t="str">
        <f ca="1">IF(D549="","",IF(OFFSET(D549,-1,0)&lt;&gt;"","",IF(OR(J549="リード付け",J549="巻足し",J549="巻返しリード付け"),M549,VLOOKUP(D549,契約台帳!$A$3:$N$4986,14,FALSE))))</f>
        <v/>
      </c>
      <c r="S549" s="272" t="str">
        <f ca="1">IF(D549="","",IF(OFFSET(D549,-1,0)&lt;&gt;"","",IF(OR(J549="リード付け",J549="巻足し",J549="巻返しリード付け"),M549,VLOOKUP(D549,契約台帳!$A$3:$O$4986,15,FALSE))))</f>
        <v/>
      </c>
      <c r="T549" s="273" t="str">
        <f ca="1">IF(D549="","",IF(J549="リード付け",N549,IF(J549="巻返しリード付け",N549,IF(J549="巻足し",N549*P549+OFFSET(N549,1,0)*OFFSET(P549,1,0),VLOOKUP(D549,契約台帳!$A$3:$P$4986,16,FALSE)))))</f>
        <v/>
      </c>
      <c r="U549" s="40"/>
      <c r="V549" s="274" t="str">
        <f ca="1">IF(D549="","",IF(OFFSET(D549,-2,0)=D549,"",VLOOKUP(D549,契約台帳!$A$3:$R$4986,18,FALSE)))</f>
        <v/>
      </c>
      <c r="W549" s="269" t="str">
        <f>IF(D549="","",IF(T549="","",IF(OR(J549="巻足し",J549="巻返しリード付け"),"",IF(J549="巻返し",VLOOKUP(F549&amp;K549&amp;M549,製品マスタ!$M$5:$AD$5002,18,FALSE),IF(OR(J549="リード付け",J549="巻返しリード付け"),"原反コア",IF(J549="スリット",VLOOKUP(F549&amp;K549&amp;R549,製品マスタ!$N$5:$AD$5002,17,FALSE),""))))))</f>
        <v/>
      </c>
      <c r="X549" s="269" t="str">
        <f>IF(D549="","",IF(T549="","",IF(J549="巻足し","",IF(J549="巻返し",VLOOKUP(F549&amp;K549&amp;M549,製品マスタ!$M$5:$AE$5002,19,FALSE),IF(OR(J549="リード付け",J549="巻返しリード付け"),"",IF(J549="スリット",VLOOKUP(F549&amp;K549&amp;R549,製品マスタ!$N$5:$AE$5002,18,FALSE),""))))))</f>
        <v/>
      </c>
      <c r="Y549" s="275" t="str">
        <f>IF(D549="","",IF(T549="","",VLOOKUP(D549,契約台帳!$A$3:$Q$4986,17,FALSE)))</f>
        <v/>
      </c>
      <c r="Z549" s="269" t="str">
        <f>IF(D549="","",IF(T549="","",VLOOKUP(D549,契約台帳!$A$3:$E$4986,5,FALSE)))</f>
        <v/>
      </c>
      <c r="AA549" s="57"/>
      <c r="AB549" s="207" t="str">
        <f>IFERROR((VLOOKUP(F549&amp;K549&amp;M549,製品マスタ!$M$5:$AM$5002,27,FALSE)),"")</f>
        <v/>
      </c>
      <c r="AC549" s="33"/>
      <c r="AD549" s="189"/>
      <c r="AE549" s="54"/>
      <c r="AF549" s="55"/>
      <c r="AG549" s="43"/>
      <c r="AH549" s="47"/>
      <c r="AI549" s="30"/>
      <c r="AJ549" s="30"/>
      <c r="AK549" s="30"/>
      <c r="AL549" s="30"/>
      <c r="AM549" s="13"/>
      <c r="AN549" s="13"/>
      <c r="AO549" s="13"/>
      <c r="AP549" s="13"/>
      <c r="AQ549" s="13"/>
      <c r="AR549" s="14"/>
      <c r="AS549" s="15"/>
    </row>
    <row r="550" spans="1:45" s="17" customFormat="1" ht="30.95" hidden="1" customHeight="1" x14ac:dyDescent="0.2">
      <c r="A550" s="37" t="s">
        <v>1121</v>
      </c>
      <c r="B550" s="38" t="s">
        <v>1103</v>
      </c>
      <c r="C550" s="45"/>
      <c r="D550" s="31">
        <v>3708706</v>
      </c>
      <c r="E550" s="31">
        <v>4161896</v>
      </c>
      <c r="F550" s="268" t="str">
        <f>IF(D550="","",VLOOKUP(D550,契約台帳!$A$3:$K$4986,6,FALSE)&amp;VLOOKUP(D550,契約台帳!$A$3:$K$4986,7,FALSE)&amp;VLOOKUP(D550,契約台帳!$A$3:$K$4986,8,FALSE)&amp;VLOOKUP(D550,契約台帳!$A$3:$K$4986,9,FALSE)&amp;VLOOKUP(D550,契約台帳!$A$3:$K$4986,11,FALSE))</f>
        <v>3SNMLBMNGKKBF</v>
      </c>
      <c r="G550" s="269" t="str">
        <f>IF(D550="","",VLOOKUP(F550,製品マスタ!$G$5:$H$5002,2,FALSE))</f>
        <v>S</v>
      </c>
      <c r="H550" s="269" t="str">
        <f>IF(D550="","",VLOOKUP(F550,製品マスタ!$G$5:$K$5002,5,FALSE))</f>
        <v>MNGKKBF</v>
      </c>
      <c r="I550" s="270" t="str">
        <f>IF(D550="","",VLOOKUP(F550,製品マスタ!$G$5:$L$5002,6,FALSE))</f>
        <v>メタルミー　ネーマー銀消改　Ｂ</v>
      </c>
      <c r="J550" s="210" t="s">
        <v>1102</v>
      </c>
      <c r="K550" s="270">
        <f>IF(D550="","",VLOOKUP(D550,契約台帳!$A$3:$L$4986,12,FALSE))</f>
        <v>50</v>
      </c>
      <c r="L550" s="270" t="str">
        <f>IF(D550="","",INDEX(製品マスタ!$Q$5:$Q$5002,MATCH('S4'!F550&amp;'S4'!K550,製品マスタ!$AO$5:$AO$5002,0)))</f>
        <v>S99-MAT</v>
      </c>
      <c r="M550" s="39">
        <v>1120</v>
      </c>
      <c r="N550" s="39">
        <v>4000</v>
      </c>
      <c r="O550" s="156">
        <v>12</v>
      </c>
      <c r="P550" s="47">
        <v>3</v>
      </c>
      <c r="Q550" s="213">
        <v>45057</v>
      </c>
      <c r="R550" s="271">
        <f ca="1">IF(D550="","",IF(OFFSET(D550,-1,0)&lt;&gt;"","",IF(OR(J550="リード付け",J550="巻足し",J550="巻返しリード付け"),M550,VLOOKUP(D550,契約台帳!$A$3:$N$4986,14,FALSE))))</f>
        <v>1120</v>
      </c>
      <c r="S550" s="272">
        <f ca="1">IF(D550="","",IF(OFFSET(D550,-1,0)&lt;&gt;"","",IF(OR(J550="リード付け",J550="巻足し",J550="巻返しリード付け"),M550,VLOOKUP(D550,契約台帳!$A$3:$O$4986,15,FALSE))))</f>
        <v>1120</v>
      </c>
      <c r="T550" s="273">
        <f ca="1">IF(D550="","",IF(J550="リード付け",N550,IF(J550="巻返しリード付け",N550,IF(J550="巻足し",N550*P550+OFFSET(N550,1,0)*OFFSET(P550,1,0),VLOOKUP(D550,契約台帳!$A$3:$P$4986,16,FALSE)))))</f>
        <v>12000</v>
      </c>
      <c r="U550" s="40">
        <v>4</v>
      </c>
      <c r="V550" s="274">
        <f ca="1">IF(D550="","",IF(OFFSET(D550,-2,0)=D550,"",VLOOKUP(D550,契約台帳!$A$3:$R$4986,18,FALSE)))</f>
        <v>16</v>
      </c>
      <c r="W550" s="269" t="str">
        <f ca="1">IF(D550="","",IF(T550="","",IF(OR(J550="巻足し",J550="巻返しリード付け"),"",IF(J550="巻返し",VLOOKUP(F550&amp;K550&amp;M550,製品マスタ!$M$5:$AD$5002,18,FALSE),IF(OR(J550="リード付け",J550="巻返しリード付け"),"原反コア",IF(J550="スリット",VLOOKUP(F550&amp;K550&amp;R550,製品マスタ!$N$5:$AD$5002,17,FALSE),""))))))</f>
        <v/>
      </c>
      <c r="X550" s="269" t="str">
        <f ca="1">IF(D550="","",IF(T550="","",IF(J550="巻足し","",IF(J550="巻返し",VLOOKUP(F550&amp;K550&amp;M550,製品マスタ!$M$5:$AE$5002,19,FALSE),IF(OR(J550="リード付け",J550="巻返しリード付け"),"",IF(J550="スリット",VLOOKUP(F550&amp;K550&amp;R550,製品マスタ!$N$5:$AE$5002,18,FALSE),""))))))</f>
        <v/>
      </c>
      <c r="Y550" s="275">
        <f ca="1">IF(D550="","",IF(T550="","",VLOOKUP(D550,契約台帳!$A$3:$Q$4986,17,FALSE)))</f>
        <v>2</v>
      </c>
      <c r="Z550" s="269" t="str">
        <f ca="1">IF(D550="","",IF(T550="","",VLOOKUP(D550,契約台帳!$A$3:$E$4986,5,FALSE)))</f>
        <v>リンテック㈱</v>
      </c>
      <c r="AA550" s="57"/>
      <c r="AB550" s="207">
        <f>IFERROR((VLOOKUP(F550&amp;K550&amp;M550,製品マスタ!$M$5:$AM$5002,27,FALSE)),"")</f>
        <v>0</v>
      </c>
      <c r="AC550" s="33"/>
      <c r="AD550" s="189"/>
      <c r="AE550" s="54"/>
      <c r="AF550" s="55"/>
      <c r="AG550" s="43"/>
      <c r="AH550" s="47"/>
      <c r="AI550" s="30"/>
      <c r="AJ550" s="30"/>
      <c r="AK550" s="30"/>
      <c r="AL550" s="30"/>
      <c r="AM550" s="13"/>
      <c r="AN550" s="13"/>
      <c r="AO550" s="13"/>
      <c r="AP550" s="13"/>
      <c r="AQ550" s="13"/>
      <c r="AR550" s="14"/>
      <c r="AS550" s="15"/>
    </row>
    <row r="551" spans="1:45" s="17" customFormat="1" ht="30.95" hidden="1" customHeight="1" x14ac:dyDescent="0.2">
      <c r="A551" s="37"/>
      <c r="B551" s="38"/>
      <c r="C551" s="45"/>
      <c r="D551" s="31"/>
      <c r="E551" s="31"/>
      <c r="F551" s="268" t="str">
        <f>IF(D551="","",VLOOKUP(D551,契約台帳!$A$3:$K$4986,6,FALSE)&amp;VLOOKUP(D551,契約台帳!$A$3:$K$4986,7,FALSE)&amp;VLOOKUP(D551,契約台帳!$A$3:$K$4986,8,FALSE)&amp;VLOOKUP(D551,契約台帳!$A$3:$K$4986,9,FALSE)&amp;VLOOKUP(D551,契約台帳!$A$3:$K$4986,11,FALSE))</f>
        <v/>
      </c>
      <c r="G551" s="269" t="str">
        <f>IF(D551="","",VLOOKUP(F551,製品マスタ!$G$5:$H$5002,2,FALSE))</f>
        <v/>
      </c>
      <c r="H551" s="269" t="str">
        <f>IF(D551="","",VLOOKUP(F551,製品マスタ!$G$5:$K$5002,5,FALSE))</f>
        <v/>
      </c>
      <c r="I551" s="270" t="str">
        <f>IF(D551="","",VLOOKUP(F551,製品マスタ!$G$5:$L$5002,6,FALSE))</f>
        <v/>
      </c>
      <c r="J551" s="210"/>
      <c r="K551" s="270" t="str">
        <f>IF(D551="","",VLOOKUP(D551,契約台帳!$A$3:$L$4986,12,FALSE))</f>
        <v/>
      </c>
      <c r="L551" s="270" t="str">
        <f>IF(D551="","",INDEX(製品マスタ!$Q$5:$Q$5002,MATCH('S4'!F551&amp;'S4'!K551,製品マスタ!$AO$5:$AO$5002,0)))</f>
        <v/>
      </c>
      <c r="M551" s="39"/>
      <c r="N551" s="39"/>
      <c r="O551" s="156"/>
      <c r="P551" s="47"/>
      <c r="Q551" s="57"/>
      <c r="R551" s="271" t="str">
        <f ca="1">IF(D551="","",IF(OFFSET(D551,-1,0)&lt;&gt;"","",IF(OR(J551="リード付け",J551="巻足し",J551="巻返しリード付け"),M551,VLOOKUP(D551,契約台帳!$A$3:$N$4986,14,FALSE))))</f>
        <v/>
      </c>
      <c r="S551" s="272" t="str">
        <f ca="1">IF(D551="","",IF(OFFSET(D551,-1,0)&lt;&gt;"","",IF(OR(J551="リード付け",J551="巻足し",J551="巻返しリード付け"),M551,VLOOKUP(D551,契約台帳!$A$3:$O$4986,15,FALSE))))</f>
        <v/>
      </c>
      <c r="T551" s="273" t="str">
        <f ca="1">IF(D551="","",IF(J551="リード付け",N551,IF(J551="巻返しリード付け",N551,IF(J551="巻足し",N551*P551+OFFSET(N551,1,0)*OFFSET(P551,1,0),VLOOKUP(D551,契約台帳!$A$3:$P$4986,16,FALSE)))))</f>
        <v/>
      </c>
      <c r="U551" s="40"/>
      <c r="V551" s="274" t="str">
        <f ca="1">IF(D551="","",IF(OFFSET(D551,-2,0)=D551,"",VLOOKUP(D551,契約台帳!$A$3:$R$4986,18,FALSE)))</f>
        <v/>
      </c>
      <c r="W551" s="269" t="str">
        <f>IF(D551="","",IF(T551="","",IF(OR(J551="巻足し",J551="巻返しリード付け"),"",IF(J551="巻返し",VLOOKUP(F551&amp;K551&amp;M551,製品マスタ!$M$5:$AD$5002,18,FALSE),IF(OR(J551="リード付け",J551="巻返しリード付け"),"原反コア",IF(J551="スリット",VLOOKUP(F551&amp;K551&amp;R551,製品マスタ!$N$5:$AD$5002,17,FALSE),""))))))</f>
        <v/>
      </c>
      <c r="X551" s="269" t="str">
        <f>IF(D551="","",IF(T551="","",IF(J551="巻足し","",IF(J551="巻返し",VLOOKUP(F551&amp;K551&amp;M551,製品マスタ!$M$5:$AE$5002,19,FALSE),IF(OR(J551="リード付け",J551="巻返しリード付け"),"",IF(J551="スリット",VLOOKUP(F551&amp;K551&amp;R551,製品マスタ!$N$5:$AE$5002,18,FALSE),""))))))</f>
        <v/>
      </c>
      <c r="Y551" s="275" t="str">
        <f>IF(D551="","",IF(T551="","",VLOOKUP(D551,契約台帳!$A$3:$Q$4986,17,FALSE)))</f>
        <v/>
      </c>
      <c r="Z551" s="269" t="str">
        <f>IF(D551="","",IF(T551="","",VLOOKUP(D551,契約台帳!$A$3:$E$4986,5,FALSE)))</f>
        <v/>
      </c>
      <c r="AA551" s="57"/>
      <c r="AB551" s="207" t="str">
        <f>IFERROR((VLOOKUP(F551&amp;K551&amp;M551,製品マスタ!$M$5:$AM$5002,27,FALSE)),"")</f>
        <v/>
      </c>
      <c r="AC551" s="33"/>
      <c r="AD551" s="189"/>
      <c r="AE551" s="54"/>
      <c r="AF551" s="55"/>
      <c r="AG551" s="43"/>
      <c r="AH551" s="47"/>
      <c r="AI551" s="30"/>
      <c r="AJ551" s="30"/>
      <c r="AK551" s="30"/>
      <c r="AL551" s="30"/>
      <c r="AM551" s="13"/>
      <c r="AN551" s="13"/>
      <c r="AO551" s="13"/>
      <c r="AP551" s="13"/>
      <c r="AQ551" s="13"/>
      <c r="AR551" s="14"/>
      <c r="AS551" s="15"/>
    </row>
    <row r="552" spans="1:45" s="17" customFormat="1" ht="30.95" hidden="1" customHeight="1" x14ac:dyDescent="0.2">
      <c r="A552" s="37"/>
      <c r="B552" s="38"/>
      <c r="C552" s="45"/>
      <c r="D552" s="31">
        <v>3708706</v>
      </c>
      <c r="E552" s="31">
        <v>4161896</v>
      </c>
      <c r="F552" s="268" t="str">
        <f>IF(D552="","",VLOOKUP(D552,契約台帳!$A$3:$K$4986,6,FALSE)&amp;VLOOKUP(D552,契約台帳!$A$3:$K$4986,7,FALSE)&amp;VLOOKUP(D552,契約台帳!$A$3:$K$4986,8,FALSE)&amp;VLOOKUP(D552,契約台帳!$A$3:$K$4986,9,FALSE)&amp;VLOOKUP(D552,契約台帳!$A$3:$K$4986,11,FALSE))</f>
        <v>3SNMLBMNGKKBF</v>
      </c>
      <c r="G552" s="269" t="str">
        <f>IF(D552="","",VLOOKUP(F552,製品マスタ!$G$5:$H$5002,2,FALSE))</f>
        <v>S</v>
      </c>
      <c r="H552" s="269" t="str">
        <f>IF(D552="","",VLOOKUP(F552,製品マスタ!$G$5:$K$5002,5,FALSE))</f>
        <v>MNGKKBF</v>
      </c>
      <c r="I552" s="270" t="str">
        <f>IF(D552="","",VLOOKUP(F552,製品マスタ!$G$5:$L$5002,6,FALSE))</f>
        <v>メタルミー　ネーマー銀消改　Ｂ</v>
      </c>
      <c r="J552" s="210" t="s">
        <v>1102</v>
      </c>
      <c r="K552" s="270">
        <f>IF(D552="","",VLOOKUP(D552,契約台帳!$A$3:$L$4986,12,FALSE))</f>
        <v>50</v>
      </c>
      <c r="L552" s="270" t="str">
        <f>IF(D552="","",INDEX(製品マスタ!$Q$5:$Q$5002,MATCH('S4'!F552&amp;'S4'!K552,製品マスタ!$AO$5:$AO$5002,0)))</f>
        <v>S99-MAT</v>
      </c>
      <c r="M552" s="39">
        <v>1120</v>
      </c>
      <c r="N552" s="39">
        <v>4000</v>
      </c>
      <c r="O552" s="156">
        <v>4</v>
      </c>
      <c r="P552" s="47">
        <v>2</v>
      </c>
      <c r="Q552" s="213">
        <v>45057</v>
      </c>
      <c r="R552" s="271">
        <f ca="1">IF(D552="","",IF(OFFSET(D552,-1,0)&lt;&gt;"","",IF(OR(J552="リード付け",J552="巻足し",J552="巻返しリード付け"),M552,VLOOKUP(D552,契約台帳!$A$3:$N$4986,14,FALSE))))</f>
        <v>1120</v>
      </c>
      <c r="S552" s="272">
        <f ca="1">IF(D552="","",IF(OFFSET(D552,-1,0)&lt;&gt;"","",IF(OR(J552="リード付け",J552="巻足し",J552="巻返しリード付け"),M552,VLOOKUP(D552,契約台帳!$A$3:$O$4986,15,FALSE))))</f>
        <v>1120</v>
      </c>
      <c r="T552" s="273">
        <f ca="1">IF(D552="","",IF(J552="リード付け",N552,IF(J552="巻返しリード付け",N552,IF(J552="巻足し",N552*P552+OFFSET(N552,1,0)*OFFSET(P552,1,0),VLOOKUP(D552,契約台帳!$A$3:$P$4986,16,FALSE)))))</f>
        <v>8000</v>
      </c>
      <c r="U552" s="40">
        <v>2</v>
      </c>
      <c r="V552" s="274" t="str">
        <f ca="1">IF(D552="","",IF(OFFSET(D552,-2,0)=D552,"",VLOOKUP(D552,契約台帳!$A$3:$R$4986,18,FALSE)))</f>
        <v/>
      </c>
      <c r="W552" s="269" t="str">
        <f ca="1">IF(D552="","",IF(T552="","",IF(OR(J552="巻足し",J552="巻返しリード付け"),"",IF(J552="巻返し",VLOOKUP(F552&amp;K552&amp;M552,製品マスタ!$M$5:$AD$5002,18,FALSE),IF(OR(J552="リード付け",J552="巻返しリード付け"),"原反コア",IF(J552="スリット",VLOOKUP(F552&amp;K552&amp;R552,製品マスタ!$N$5:$AD$5002,17,FALSE),""))))))</f>
        <v/>
      </c>
      <c r="X552" s="269" t="str">
        <f ca="1">IF(D552="","",IF(T552="","",IF(J552="巻足し","",IF(J552="巻返し",VLOOKUP(F552&amp;K552&amp;M552,製品マスタ!$M$5:$AE$5002,19,FALSE),IF(OR(J552="リード付け",J552="巻返しリード付け"),"",IF(J552="スリット",VLOOKUP(F552&amp;K552&amp;R552,製品マスタ!$N$5:$AE$5002,18,FALSE),""))))))</f>
        <v/>
      </c>
      <c r="Y552" s="275">
        <f ca="1">IF(D552="","",IF(T552="","",VLOOKUP(D552,契約台帳!$A$3:$Q$4986,17,FALSE)))</f>
        <v>2</v>
      </c>
      <c r="Z552" s="269" t="str">
        <f ca="1">IF(D552="","",IF(T552="","",VLOOKUP(D552,契約台帳!$A$3:$E$4986,5,FALSE)))</f>
        <v>リンテック㈱</v>
      </c>
      <c r="AA552" s="57"/>
      <c r="AB552" s="207">
        <f>IFERROR((VLOOKUP(F552&amp;K552&amp;M552,製品マスタ!$M$5:$AM$5002,27,FALSE)),"")</f>
        <v>0</v>
      </c>
      <c r="AC552" s="33"/>
      <c r="AD552" s="189"/>
      <c r="AE552" s="54"/>
      <c r="AF552" s="55"/>
      <c r="AG552" s="43"/>
      <c r="AH552" s="47"/>
      <c r="AI552" s="30"/>
      <c r="AJ552" s="30"/>
      <c r="AK552" s="30"/>
      <c r="AL552" s="30"/>
      <c r="AM552" s="13"/>
      <c r="AN552" s="13"/>
      <c r="AO552" s="13"/>
      <c r="AP552" s="13"/>
      <c r="AQ552" s="13"/>
      <c r="AR552" s="14"/>
      <c r="AS552" s="15"/>
    </row>
    <row r="553" spans="1:45" s="17" customFormat="1" ht="30.95" hidden="1" customHeight="1" x14ac:dyDescent="0.2">
      <c r="A553" s="37"/>
      <c r="B553" s="38"/>
      <c r="C553" s="45"/>
      <c r="D553" s="31"/>
      <c r="E553" s="31"/>
      <c r="F553" s="268" t="str">
        <f>IF(D553="","",VLOOKUP(D553,契約台帳!$A$3:$K$4986,6,FALSE)&amp;VLOOKUP(D553,契約台帳!$A$3:$K$4986,7,FALSE)&amp;VLOOKUP(D553,契約台帳!$A$3:$K$4986,8,FALSE)&amp;VLOOKUP(D553,契約台帳!$A$3:$K$4986,9,FALSE)&amp;VLOOKUP(D553,契約台帳!$A$3:$K$4986,11,FALSE))</f>
        <v/>
      </c>
      <c r="G553" s="269" t="str">
        <f>IF(D553="","",VLOOKUP(F553,製品マスタ!$G$5:$H$5002,2,FALSE))</f>
        <v/>
      </c>
      <c r="H553" s="269" t="str">
        <f>IF(D553="","",VLOOKUP(F553,製品マスタ!$G$5:$K$5002,5,FALSE))</f>
        <v/>
      </c>
      <c r="I553" s="270" t="str">
        <f>IF(D553="","",VLOOKUP(F553,製品マスタ!$G$5:$L$5002,6,FALSE))</f>
        <v/>
      </c>
      <c r="J553" s="210"/>
      <c r="K553" s="270" t="str">
        <f>IF(D553="","",VLOOKUP(D553,契約台帳!$A$3:$L$4986,12,FALSE))</f>
        <v/>
      </c>
      <c r="L553" s="270" t="str">
        <f>IF(D553="","",INDEX(製品マスタ!$Q$5:$Q$5002,MATCH('S4'!F553&amp;'S4'!K553,製品マスタ!$AO$5:$AO$5002,0)))</f>
        <v/>
      </c>
      <c r="M553" s="39"/>
      <c r="N553" s="39"/>
      <c r="O553" s="156"/>
      <c r="P553" s="47"/>
      <c r="Q553" s="57"/>
      <c r="R553" s="271" t="str">
        <f ca="1">IF(D553="","",IF(OFFSET(D553,-1,0)&lt;&gt;"","",IF(OR(J553="リード付け",J553="巻足し",J553="巻返しリード付け"),M553,VLOOKUP(D553,契約台帳!$A$3:$N$4986,14,FALSE))))</f>
        <v/>
      </c>
      <c r="S553" s="272" t="str">
        <f ca="1">IF(D553="","",IF(OFFSET(D553,-1,0)&lt;&gt;"","",IF(OR(J553="リード付け",J553="巻足し",J553="巻返しリード付け"),M553,VLOOKUP(D553,契約台帳!$A$3:$O$4986,15,FALSE))))</f>
        <v/>
      </c>
      <c r="T553" s="273" t="str">
        <f ca="1">IF(D553="","",IF(J553="リード付け",N553,IF(J553="巻返しリード付け",N553,IF(J553="巻足し",N553*P553+OFFSET(N553,1,0)*OFFSET(P553,1,0),VLOOKUP(D553,契約台帳!$A$3:$P$4986,16,FALSE)))))</f>
        <v/>
      </c>
      <c r="U553" s="40"/>
      <c r="V553" s="274" t="str">
        <f ca="1">IF(D553="","",IF(OFFSET(D553,-2,0)=D553,"",VLOOKUP(D553,契約台帳!$A$3:$R$4986,18,FALSE)))</f>
        <v/>
      </c>
      <c r="W553" s="269" t="str">
        <f>IF(D553="","",IF(T553="","",IF(OR(J553="巻足し",J553="巻返しリード付け"),"",IF(J553="巻返し",VLOOKUP(F553&amp;K553&amp;M553,製品マスタ!$M$5:$AD$5002,18,FALSE),IF(OR(J553="リード付け",J553="巻返しリード付け"),"原反コア",IF(J553="スリット",VLOOKUP(F553&amp;K553&amp;R553,製品マスタ!$N$5:$AD$5002,17,FALSE),""))))))</f>
        <v/>
      </c>
      <c r="X553" s="269" t="str">
        <f>IF(D553="","",IF(T553="","",IF(J553="巻足し","",IF(J553="巻返し",VLOOKUP(F553&amp;K553&amp;M553,製品マスタ!$M$5:$AE$5002,19,FALSE),IF(OR(J553="リード付け",J553="巻返しリード付け"),"",IF(J553="スリット",VLOOKUP(F553&amp;K553&amp;R553,製品マスタ!$N$5:$AE$5002,18,FALSE),""))))))</f>
        <v/>
      </c>
      <c r="Y553" s="275" t="str">
        <f>IF(D553="","",IF(T553="","",VLOOKUP(D553,契約台帳!$A$3:$Q$4986,17,FALSE)))</f>
        <v/>
      </c>
      <c r="Z553" s="269" t="str">
        <f>IF(D553="","",IF(T553="","",VLOOKUP(D553,契約台帳!$A$3:$E$4986,5,FALSE)))</f>
        <v/>
      </c>
      <c r="AA553" s="57"/>
      <c r="AB553" s="207" t="str">
        <f>IFERROR((VLOOKUP(F553&amp;K553&amp;M553,製品マスタ!$M$5:$AM$5002,27,FALSE)),"")</f>
        <v/>
      </c>
      <c r="AC553" s="33"/>
      <c r="AD553" s="189"/>
      <c r="AE553" s="54"/>
      <c r="AF553" s="55"/>
      <c r="AG553" s="43"/>
      <c r="AH553" s="47"/>
      <c r="AI553" s="30"/>
      <c r="AJ553" s="30"/>
      <c r="AK553" s="30"/>
      <c r="AL553" s="30"/>
      <c r="AM553" s="13"/>
      <c r="AN553" s="13"/>
      <c r="AO553" s="13"/>
      <c r="AP553" s="13"/>
      <c r="AQ553" s="13"/>
      <c r="AR553" s="14"/>
      <c r="AS553" s="15"/>
    </row>
    <row r="554" spans="1:45" s="17" customFormat="1" ht="30.95" hidden="1" customHeight="1" x14ac:dyDescent="0.2">
      <c r="A554" s="37" t="s">
        <v>1124</v>
      </c>
      <c r="B554" s="38" t="s">
        <v>1105</v>
      </c>
      <c r="C554" s="45"/>
      <c r="D554" s="31"/>
      <c r="E554" s="31"/>
      <c r="F554" s="268" t="str">
        <f>IF(D554="","",VLOOKUP(D554,契約台帳!$A$3:$K$4986,6,FALSE)&amp;VLOOKUP(D554,契約台帳!$A$3:$K$4986,7,FALSE)&amp;VLOOKUP(D554,契約台帳!$A$3:$K$4986,8,FALSE)&amp;VLOOKUP(D554,契約台帳!$A$3:$K$4986,9,FALSE)&amp;VLOOKUP(D554,契約台帳!$A$3:$K$4986,11,FALSE))</f>
        <v/>
      </c>
      <c r="G554" s="269" t="str">
        <f>IF(D554="","",VLOOKUP(F554,製品マスタ!$G$5:$H$5002,2,FALSE))</f>
        <v/>
      </c>
      <c r="H554" s="269" t="str">
        <f>IF(D554="","",VLOOKUP(F554,製品マスタ!$G$5:$K$5002,5,FALSE))</f>
        <v/>
      </c>
      <c r="I554" s="270" t="str">
        <f>IF(D554="","",VLOOKUP(F554,製品マスタ!$G$5:$L$5002,6,FALSE))</f>
        <v/>
      </c>
      <c r="J554" s="210"/>
      <c r="K554" s="270" t="str">
        <f>IF(D554="","",VLOOKUP(D554,契約台帳!$A$3:$L$4986,12,FALSE))</f>
        <v/>
      </c>
      <c r="L554" s="270" t="str">
        <f>IF(D554="","",INDEX(製品マスタ!$Q$5:$Q$5002,MATCH('S4'!F554&amp;'S4'!K554,製品マスタ!$AO$5:$AO$5002,0)))</f>
        <v/>
      </c>
      <c r="M554" s="39"/>
      <c r="N554" s="39"/>
      <c r="O554" s="156"/>
      <c r="P554" s="47"/>
      <c r="Q554" s="57"/>
      <c r="R554" s="271" t="str">
        <f ca="1">IF(D554="","",IF(OFFSET(D554,-1,0)&lt;&gt;"","",IF(OR(J554="リード付け",J554="巻足し",J554="巻返しリード付け"),M554,VLOOKUP(D554,契約台帳!$A$3:$N$4986,14,FALSE))))</f>
        <v/>
      </c>
      <c r="S554" s="272" t="str">
        <f ca="1">IF(D554="","",IF(OFFSET(D554,-1,0)&lt;&gt;"","",IF(OR(J554="リード付け",J554="巻足し",J554="巻返しリード付け"),M554,VLOOKUP(D554,契約台帳!$A$3:$O$4986,15,FALSE))))</f>
        <v/>
      </c>
      <c r="T554" s="273" t="str">
        <f ca="1">IF(D554="","",IF(J554="リード付け",N554,IF(J554="巻返しリード付け",N554,IF(J554="巻足し",N554*P554+OFFSET(N554,1,0)*OFFSET(P554,1,0),VLOOKUP(D554,契約台帳!$A$3:$P$4986,16,FALSE)))))</f>
        <v/>
      </c>
      <c r="U554" s="40"/>
      <c r="V554" s="274" t="str">
        <f ca="1">IF(D554="","",IF(OFFSET(D554,-2,0)=D554,"",VLOOKUP(D554,契約台帳!$A$3:$R$4986,18,FALSE)))</f>
        <v/>
      </c>
      <c r="W554" s="269" t="str">
        <f>IF(D554="","",IF(T554="","",IF(OR(J554="巻足し",J554="巻返しリード付け"),"",IF(J554="巻返し",VLOOKUP(F554&amp;K554&amp;M554,製品マスタ!$M$5:$AD$5002,18,FALSE),IF(OR(J554="リード付け",J554="巻返しリード付け"),"原反コア",IF(J554="スリット",VLOOKUP(F554&amp;K554&amp;R554,製品マスタ!$N$5:$AD$5002,17,FALSE),""))))))</f>
        <v/>
      </c>
      <c r="X554" s="269" t="str">
        <f>IF(D554="","",IF(T554="","",IF(J554="巻足し","",IF(J554="巻返し",VLOOKUP(F554&amp;K554&amp;M554,製品マスタ!$M$5:$AE$5002,19,FALSE),IF(OR(J554="リード付け",J554="巻返しリード付け"),"",IF(J554="スリット",VLOOKUP(F554&amp;K554&amp;R554,製品マスタ!$N$5:$AE$5002,18,FALSE),""))))))</f>
        <v/>
      </c>
      <c r="Y554" s="275" t="str">
        <f>IF(D554="","",IF(T554="","",VLOOKUP(D554,契約台帳!$A$3:$Q$4986,17,FALSE)))</f>
        <v/>
      </c>
      <c r="Z554" s="269" t="str">
        <f>IF(D554="","",IF(T554="","",VLOOKUP(D554,契約台帳!$A$3:$E$4986,5,FALSE)))</f>
        <v/>
      </c>
      <c r="AA554" s="57"/>
      <c r="AB554" s="207" t="str">
        <f>IFERROR((VLOOKUP(F554&amp;K554&amp;M554,製品マスタ!$M$5:$AM$5002,27,FALSE)),"")</f>
        <v/>
      </c>
      <c r="AC554" s="33"/>
      <c r="AD554" s="189"/>
      <c r="AE554" s="54"/>
      <c r="AF554" s="55"/>
      <c r="AG554" s="43"/>
      <c r="AH554" s="47"/>
      <c r="AI554" s="30"/>
      <c r="AJ554" s="30"/>
      <c r="AK554" s="30"/>
      <c r="AL554" s="30"/>
      <c r="AM554" s="13"/>
      <c r="AN554" s="13"/>
      <c r="AO554" s="13"/>
      <c r="AP554" s="13"/>
      <c r="AQ554" s="13"/>
      <c r="AR554" s="14"/>
      <c r="AS554" s="15"/>
    </row>
    <row r="555" spans="1:45" s="17" customFormat="1" ht="30.95" hidden="1" customHeight="1" x14ac:dyDescent="0.2">
      <c r="A555" s="37"/>
      <c r="B555" s="38"/>
      <c r="C555" s="45"/>
      <c r="D555" s="31"/>
      <c r="E555" s="31"/>
      <c r="F555" s="268" t="str">
        <f>IF(D555="","",VLOOKUP(D555,契約台帳!$A$3:$K$4986,6,FALSE)&amp;VLOOKUP(D555,契約台帳!$A$3:$K$4986,7,FALSE)&amp;VLOOKUP(D555,契約台帳!$A$3:$K$4986,8,FALSE)&amp;VLOOKUP(D555,契約台帳!$A$3:$K$4986,9,FALSE)&amp;VLOOKUP(D555,契約台帳!$A$3:$K$4986,11,FALSE))</f>
        <v/>
      </c>
      <c r="G555" s="269" t="str">
        <f>IF(D555="","",VLOOKUP(F555,製品マスタ!$G$5:$H$5002,2,FALSE))</f>
        <v/>
      </c>
      <c r="H555" s="269" t="str">
        <f>IF(D555="","",VLOOKUP(F555,製品マスタ!$G$5:$K$5002,5,FALSE))</f>
        <v/>
      </c>
      <c r="I555" s="270" t="str">
        <f>IF(D555="","",VLOOKUP(F555,製品マスタ!$G$5:$L$5002,6,FALSE))</f>
        <v/>
      </c>
      <c r="J555" s="210"/>
      <c r="K555" s="270" t="str">
        <f>IF(D555="","",VLOOKUP(D555,契約台帳!$A$3:$L$4986,12,FALSE))</f>
        <v/>
      </c>
      <c r="L555" s="270" t="str">
        <f>IF(D555="","",INDEX(製品マスタ!$Q$5:$Q$5002,MATCH('S4'!F555&amp;'S4'!K555,製品マスタ!$AO$5:$AO$5002,0)))</f>
        <v/>
      </c>
      <c r="M555" s="39"/>
      <c r="N555" s="39"/>
      <c r="O555" s="156"/>
      <c r="P555" s="47"/>
      <c r="Q555" s="57"/>
      <c r="R555" s="271" t="str">
        <f ca="1">IF(D555="","",IF(OFFSET(D555,-1,0)&lt;&gt;"","",IF(OR(J555="リード付け",J555="巻足し",J555="巻返しリード付け"),M555,VLOOKUP(D555,契約台帳!$A$3:$N$4986,14,FALSE))))</f>
        <v/>
      </c>
      <c r="S555" s="272" t="str">
        <f ca="1">IF(D555="","",IF(OFFSET(D555,-1,0)&lt;&gt;"","",IF(OR(J555="リード付け",J555="巻足し",J555="巻返しリード付け"),M555,VLOOKUP(D555,契約台帳!$A$3:$O$4986,15,FALSE))))</f>
        <v/>
      </c>
      <c r="T555" s="273" t="str">
        <f ca="1">IF(D555="","",IF(J555="リード付け",N555,IF(J555="巻返しリード付け",N555,IF(J555="巻足し",N555*P555+OFFSET(N555,1,0)*OFFSET(P555,1,0),VLOOKUP(D555,契約台帳!$A$3:$P$4986,16,FALSE)))))</f>
        <v/>
      </c>
      <c r="U555" s="40"/>
      <c r="V555" s="274" t="str">
        <f ca="1">IF(D555="","",IF(OFFSET(D555,-2,0)=D555,"",VLOOKUP(D555,契約台帳!$A$3:$R$4986,18,FALSE)))</f>
        <v/>
      </c>
      <c r="W555" s="269" t="str">
        <f>IF(D555="","",IF(T555="","",IF(OR(J555="巻足し",J555="巻返しリード付け"),"",IF(J555="巻返し",VLOOKUP(F555&amp;K555&amp;M555,製品マスタ!$M$5:$AD$5002,18,FALSE),IF(OR(J555="リード付け",J555="巻返しリード付け"),"原反コア",IF(J555="スリット",VLOOKUP(F555&amp;K555&amp;R555,製品マスタ!$N$5:$AD$5002,17,FALSE),""))))))</f>
        <v/>
      </c>
      <c r="X555" s="269" t="str">
        <f>IF(D555="","",IF(T555="","",IF(J555="巻足し","",IF(J555="巻返し",VLOOKUP(F555&amp;K555&amp;M555,製品マスタ!$M$5:$AE$5002,19,FALSE),IF(OR(J555="リード付け",J555="巻返しリード付け"),"",IF(J555="スリット",VLOOKUP(F555&amp;K555&amp;R555,製品マスタ!$N$5:$AE$5002,18,FALSE),""))))))</f>
        <v/>
      </c>
      <c r="Y555" s="275" t="str">
        <f>IF(D555="","",IF(T555="","",VLOOKUP(D555,契約台帳!$A$3:$Q$4986,17,FALSE)))</f>
        <v/>
      </c>
      <c r="Z555" s="269" t="str">
        <f>IF(D555="","",IF(T555="","",VLOOKUP(D555,契約台帳!$A$3:$E$4986,5,FALSE)))</f>
        <v/>
      </c>
      <c r="AA555" s="57"/>
      <c r="AB555" s="207" t="str">
        <f>IFERROR((VLOOKUP(F555&amp;K555&amp;M555,製品マスタ!$M$5:$AM$5002,27,FALSE)),"")</f>
        <v/>
      </c>
      <c r="AC555" s="33"/>
      <c r="AD555" s="189"/>
      <c r="AE555" s="54"/>
      <c r="AF555" s="55"/>
      <c r="AG555" s="43"/>
      <c r="AH555" s="47"/>
      <c r="AI555" s="30"/>
      <c r="AJ555" s="30"/>
      <c r="AK555" s="30"/>
      <c r="AL555" s="30"/>
      <c r="AM555" s="13"/>
      <c r="AN555" s="13"/>
      <c r="AO555" s="13"/>
      <c r="AP555" s="13"/>
      <c r="AQ555" s="13"/>
      <c r="AR555" s="14"/>
      <c r="AS555" s="15"/>
    </row>
    <row r="556" spans="1:45" s="17" customFormat="1" ht="30.95" hidden="1" customHeight="1" x14ac:dyDescent="0.2">
      <c r="A556" s="37" t="s">
        <v>1125</v>
      </c>
      <c r="B556" s="38" t="s">
        <v>1107</v>
      </c>
      <c r="C556" s="45"/>
      <c r="D556" s="31"/>
      <c r="E556" s="31"/>
      <c r="F556" s="268" t="str">
        <f>IF(D556="","",VLOOKUP(D556,契約台帳!$A$3:$K$4986,6,FALSE)&amp;VLOOKUP(D556,契約台帳!$A$3:$K$4986,7,FALSE)&amp;VLOOKUP(D556,契約台帳!$A$3:$K$4986,8,FALSE)&amp;VLOOKUP(D556,契約台帳!$A$3:$K$4986,9,FALSE)&amp;VLOOKUP(D556,契約台帳!$A$3:$K$4986,11,FALSE))</f>
        <v/>
      </c>
      <c r="G556" s="269" t="str">
        <f>IF(D556="","",VLOOKUP(F556,製品マスタ!$G$5:$H$5002,2,FALSE))</f>
        <v/>
      </c>
      <c r="H556" s="269" t="str">
        <f>IF(D556="","",VLOOKUP(F556,製品マスタ!$G$5:$K$5002,5,FALSE))</f>
        <v/>
      </c>
      <c r="I556" s="270" t="str">
        <f>IF(D556="","",VLOOKUP(F556,製品マスタ!$G$5:$L$5002,6,FALSE))</f>
        <v/>
      </c>
      <c r="J556" s="210" t="s">
        <v>1126</v>
      </c>
      <c r="K556" s="270" t="str">
        <f>IF(D556="","",VLOOKUP(D556,契約台帳!$A$3:$L$4986,12,FALSE))</f>
        <v/>
      </c>
      <c r="L556" s="270" t="str">
        <f>IF(D556="","",INDEX(製品マスタ!$Q$5:$Q$5002,MATCH('S4'!F556&amp;'S4'!K556,製品マスタ!$AO$5:$AO$5002,0)))</f>
        <v/>
      </c>
      <c r="M556" s="39"/>
      <c r="N556" s="39"/>
      <c r="O556" s="156"/>
      <c r="P556" s="47"/>
      <c r="Q556" s="57"/>
      <c r="R556" s="271" t="str">
        <f ca="1">IF(D556="","",IF(OFFSET(D556,-1,0)&lt;&gt;"","",IF(OR(J556="リード付け",J556="巻足し",J556="巻返しリード付け"),M556,VLOOKUP(D556,契約台帳!$A$3:$N$4986,14,FALSE))))</f>
        <v/>
      </c>
      <c r="S556" s="272" t="str">
        <f ca="1">IF(D556="","",IF(OFFSET(D556,-1,0)&lt;&gt;"","",IF(OR(J556="リード付け",J556="巻足し",J556="巻返しリード付け"),M556,VLOOKUP(D556,契約台帳!$A$3:$O$4986,15,FALSE))))</f>
        <v/>
      </c>
      <c r="T556" s="273" t="str">
        <f ca="1">IF(D556="","",IF(J556="リード付け",N556,IF(J556="巻返しリード付け",N556,IF(J556="巻足し",N556*P556+OFFSET(N556,1,0)*OFFSET(P556,1,0),VLOOKUP(D556,契約台帳!$A$3:$P$4986,16,FALSE)))))</f>
        <v/>
      </c>
      <c r="U556" s="40"/>
      <c r="V556" s="274" t="str">
        <f ca="1">IF(D556="","",IF(OFFSET(D556,-2,0)=D556,"",VLOOKUP(D556,契約台帳!$A$3:$R$4986,18,FALSE)))</f>
        <v/>
      </c>
      <c r="W556" s="269" t="str">
        <f>IF(D556="","",IF(T556="","",IF(OR(J556="巻足し",J556="巻返しリード付け"),"",IF(J556="巻返し",VLOOKUP(F556&amp;K556&amp;M556,製品マスタ!$M$5:$AD$5002,18,FALSE),IF(OR(J556="リード付け",J556="巻返しリード付け"),"原反コア",IF(J556="スリット",VLOOKUP(F556&amp;K556&amp;R556,製品マスタ!$N$5:$AD$5002,17,FALSE),""))))))</f>
        <v/>
      </c>
      <c r="X556" s="269" t="str">
        <f>IF(D556="","",IF(T556="","",IF(J556="巻足し","",IF(J556="巻返し",VLOOKUP(F556&amp;K556&amp;M556,製品マスタ!$M$5:$AE$5002,19,FALSE),IF(OR(J556="リード付け",J556="巻返しリード付け"),"",IF(J556="スリット",VLOOKUP(F556&amp;K556&amp;R556,製品マスタ!$N$5:$AE$5002,18,FALSE),""))))))</f>
        <v/>
      </c>
      <c r="Y556" s="275" t="str">
        <f>IF(D556="","",IF(T556="","",VLOOKUP(D556,契約台帳!$A$3:$Q$4986,17,FALSE)))</f>
        <v/>
      </c>
      <c r="Z556" s="269" t="str">
        <f>IF(D556="","",IF(T556="","",VLOOKUP(D556,契約台帳!$A$3:$E$4986,5,FALSE)))</f>
        <v/>
      </c>
      <c r="AA556" s="57"/>
      <c r="AB556" s="207" t="str">
        <f>IFERROR((VLOOKUP(F556&amp;K556&amp;M556,製品マスタ!$M$5:$AM$5002,27,FALSE)),"")</f>
        <v/>
      </c>
      <c r="AC556" s="33"/>
      <c r="AD556" s="189"/>
      <c r="AE556" s="54"/>
      <c r="AF556" s="55"/>
      <c r="AG556" s="43"/>
      <c r="AH556" s="47"/>
      <c r="AI556" s="30"/>
      <c r="AJ556" s="30"/>
      <c r="AK556" s="30"/>
      <c r="AL556" s="30"/>
      <c r="AM556" s="13"/>
      <c r="AN556" s="13"/>
      <c r="AO556" s="13"/>
      <c r="AP556" s="13"/>
      <c r="AQ556" s="13"/>
      <c r="AR556" s="14"/>
      <c r="AS556" s="15"/>
    </row>
    <row r="557" spans="1:45" s="17" customFormat="1" ht="30.95" hidden="1" customHeight="1" x14ac:dyDescent="0.2">
      <c r="A557" s="37"/>
      <c r="B557" s="38"/>
      <c r="C557" s="45"/>
      <c r="D557" s="31"/>
      <c r="E557" s="31"/>
      <c r="F557" s="268" t="str">
        <f>IF(D557="","",VLOOKUP(D557,契約台帳!$A$3:$K$4986,6,FALSE)&amp;VLOOKUP(D557,契約台帳!$A$3:$K$4986,7,FALSE)&amp;VLOOKUP(D557,契約台帳!$A$3:$K$4986,8,FALSE)&amp;VLOOKUP(D557,契約台帳!$A$3:$K$4986,9,FALSE)&amp;VLOOKUP(D557,契約台帳!$A$3:$K$4986,11,FALSE))</f>
        <v/>
      </c>
      <c r="G557" s="269" t="str">
        <f>IF(D557="","",VLOOKUP(F557,製品マスタ!$G$5:$H$5002,2,FALSE))</f>
        <v/>
      </c>
      <c r="H557" s="269" t="str">
        <f>IF(D557="","",VLOOKUP(F557,製品マスタ!$G$5:$K$5002,5,FALSE))</f>
        <v/>
      </c>
      <c r="I557" s="270" t="str">
        <f>IF(D557="","",VLOOKUP(F557,製品マスタ!$G$5:$L$5002,6,FALSE))</f>
        <v/>
      </c>
      <c r="J557" s="210"/>
      <c r="K557" s="270" t="str">
        <f>IF(D557="","",VLOOKUP(D557,契約台帳!$A$3:$L$4986,12,FALSE))</f>
        <v/>
      </c>
      <c r="L557" s="270" t="str">
        <f>IF(D557="","",INDEX(製品マスタ!$Q$5:$Q$5002,MATCH('S4'!F557&amp;'S4'!K557,製品マスタ!$AO$5:$AO$5002,0)))</f>
        <v/>
      </c>
      <c r="M557" s="39"/>
      <c r="N557" s="39"/>
      <c r="O557" s="156"/>
      <c r="P557" s="47"/>
      <c r="Q557" s="57"/>
      <c r="R557" s="271" t="str">
        <f ca="1">IF(D557="","",IF(OFFSET(D557,-1,0)&lt;&gt;"","",IF(OR(J557="リード付け",J557="巻足し",J557="巻返しリード付け"),M557,VLOOKUP(D557,契約台帳!$A$3:$N$4986,14,FALSE))))</f>
        <v/>
      </c>
      <c r="S557" s="272" t="str">
        <f ca="1">IF(D557="","",IF(OFFSET(D557,-1,0)&lt;&gt;"","",IF(OR(J557="リード付け",J557="巻足し",J557="巻返しリード付け"),M557,VLOOKUP(D557,契約台帳!$A$3:$O$4986,15,FALSE))))</f>
        <v/>
      </c>
      <c r="T557" s="273" t="str">
        <f ca="1">IF(D557="","",IF(J557="リード付け",N557,IF(J557="巻返しリード付け",N557,IF(J557="巻足し",N557*P557+OFFSET(N557,1,0)*OFFSET(P557,1,0),VLOOKUP(D557,契約台帳!$A$3:$P$4986,16,FALSE)))))</f>
        <v/>
      </c>
      <c r="U557" s="40"/>
      <c r="V557" s="274" t="str">
        <f ca="1">IF(D557="","",IF(OFFSET(D557,-2,0)=D557,"",VLOOKUP(D557,契約台帳!$A$3:$R$4986,18,FALSE)))</f>
        <v/>
      </c>
      <c r="W557" s="269" t="str">
        <f>IF(D557="","",IF(T557="","",IF(OR(J557="巻足し",J557="巻返しリード付け"),"",IF(J557="巻返し",VLOOKUP(F557&amp;K557&amp;M557,製品マスタ!$M$5:$AD$5002,18,FALSE),IF(OR(J557="リード付け",J557="巻返しリード付け"),"原反コア",IF(J557="スリット",VLOOKUP(F557&amp;K557&amp;R557,製品マスタ!$N$5:$AD$5002,17,FALSE),""))))))</f>
        <v/>
      </c>
      <c r="X557" s="269" t="str">
        <f>IF(D557="","",IF(T557="","",IF(J557="巻足し","",IF(J557="巻返し",VLOOKUP(F557&amp;K557&amp;M557,製品マスタ!$M$5:$AE$5002,19,FALSE),IF(OR(J557="リード付け",J557="巻返しリード付け"),"",IF(J557="スリット",VLOOKUP(F557&amp;K557&amp;R557,製品マスタ!$N$5:$AE$5002,18,FALSE),""))))))</f>
        <v/>
      </c>
      <c r="Y557" s="275" t="str">
        <f>IF(D557="","",IF(T557="","",VLOOKUP(D557,契約台帳!$A$3:$Q$4986,17,FALSE)))</f>
        <v/>
      </c>
      <c r="Z557" s="269" t="str">
        <f>IF(D557="","",IF(T557="","",VLOOKUP(D557,契約台帳!$A$3:$E$4986,5,FALSE)))</f>
        <v/>
      </c>
      <c r="AA557" s="57"/>
      <c r="AB557" s="207" t="str">
        <f>IFERROR((VLOOKUP(F557&amp;K557&amp;M557,製品マスタ!$M$5:$AM$5002,27,FALSE)),"")</f>
        <v/>
      </c>
      <c r="AC557" s="33"/>
      <c r="AD557" s="189"/>
      <c r="AE557" s="54"/>
      <c r="AF557" s="55"/>
      <c r="AG557" s="43"/>
      <c r="AH557" s="47"/>
      <c r="AI557" s="30"/>
      <c r="AJ557" s="30"/>
      <c r="AK557" s="30"/>
      <c r="AL557" s="30"/>
      <c r="AM557" s="13"/>
      <c r="AN557" s="13"/>
      <c r="AO557" s="13"/>
      <c r="AP557" s="13"/>
      <c r="AQ557" s="13"/>
      <c r="AR557" s="14"/>
      <c r="AS557" s="15"/>
    </row>
    <row r="558" spans="1:45" s="17" customFormat="1" ht="30.95" hidden="1" customHeight="1" x14ac:dyDescent="0.2">
      <c r="A558" s="37" t="s">
        <v>1127</v>
      </c>
      <c r="B558" s="38" t="s">
        <v>1109</v>
      </c>
      <c r="C558" s="45"/>
      <c r="D558" s="31"/>
      <c r="E558" s="31"/>
      <c r="F558" s="268" t="str">
        <f>IF(D558="","",VLOOKUP(D558,契約台帳!$A$3:$K$4986,6,FALSE)&amp;VLOOKUP(D558,契約台帳!$A$3:$K$4986,7,FALSE)&amp;VLOOKUP(D558,契約台帳!$A$3:$K$4986,8,FALSE)&amp;VLOOKUP(D558,契約台帳!$A$3:$K$4986,9,FALSE)&amp;VLOOKUP(D558,契約台帳!$A$3:$K$4986,11,FALSE))</f>
        <v/>
      </c>
      <c r="G558" s="269" t="str">
        <f>IF(D558="","",VLOOKUP(F558,製品マスタ!$G$5:$H$5002,2,FALSE))</f>
        <v/>
      </c>
      <c r="H558" s="269" t="str">
        <f>IF(D558="","",VLOOKUP(F558,製品マスタ!$G$5:$K$5002,5,FALSE))</f>
        <v/>
      </c>
      <c r="I558" s="270" t="str">
        <f>IF(D558="","",VLOOKUP(F558,製品マスタ!$G$5:$L$5002,6,FALSE))</f>
        <v/>
      </c>
      <c r="J558" s="210"/>
      <c r="K558" s="270" t="str">
        <f>IF(D558="","",VLOOKUP(D558,契約台帳!$A$3:$L$4986,12,FALSE))</f>
        <v/>
      </c>
      <c r="L558" s="270" t="str">
        <f>IF(D558="","",INDEX(製品マスタ!$Q$5:$Q$5002,MATCH('S4'!F558&amp;'S4'!K558,製品マスタ!$AO$5:$AO$5002,0)))</f>
        <v/>
      </c>
      <c r="M558" s="39"/>
      <c r="N558" s="39"/>
      <c r="O558" s="156"/>
      <c r="P558" s="47"/>
      <c r="Q558" s="57"/>
      <c r="R558" s="271" t="str">
        <f ca="1">IF(D558="","",IF(OFFSET(D558,-1,0)&lt;&gt;"","",IF(OR(J558="リード付け",J558="巻足し",J558="巻返しリード付け"),M558,VLOOKUP(D558,契約台帳!$A$3:$N$4986,14,FALSE))))</f>
        <v/>
      </c>
      <c r="S558" s="272" t="str">
        <f ca="1">IF(D558="","",IF(OFFSET(D558,-1,0)&lt;&gt;"","",IF(OR(J558="リード付け",J558="巻足し",J558="巻返しリード付け"),M558,VLOOKUP(D558,契約台帳!$A$3:$O$4986,15,FALSE))))</f>
        <v/>
      </c>
      <c r="T558" s="273" t="str">
        <f ca="1">IF(D558="","",IF(J558="リード付け",N558,IF(J558="巻返しリード付け",N558,IF(J558="巻足し",N558*P558+OFFSET(N558,1,0)*OFFSET(P558,1,0),VLOOKUP(D558,契約台帳!$A$3:$P$4986,16,FALSE)))))</f>
        <v/>
      </c>
      <c r="U558" s="40"/>
      <c r="V558" s="274" t="str">
        <f ca="1">IF(D558="","",IF(OFFSET(D558,-2,0)=D558,"",VLOOKUP(D558,契約台帳!$A$3:$R$4986,18,FALSE)))</f>
        <v/>
      </c>
      <c r="W558" s="269" t="str">
        <f>IF(D558="","",IF(T558="","",IF(OR(J558="巻足し",J558="巻返しリード付け"),"",IF(J558="巻返し",VLOOKUP(F558&amp;K558&amp;M558,製品マスタ!$M$5:$AD$5002,18,FALSE),IF(OR(J558="リード付け",J558="巻返しリード付け"),"原反コア",IF(J558="スリット",VLOOKUP(F558&amp;K558&amp;R558,製品マスタ!$N$5:$AD$5002,17,FALSE),""))))))</f>
        <v/>
      </c>
      <c r="X558" s="269" t="str">
        <f>IF(D558="","",IF(T558="","",IF(J558="巻足し","",IF(J558="巻返し",VLOOKUP(F558&amp;K558&amp;M558,製品マスタ!$M$5:$AE$5002,19,FALSE),IF(OR(J558="リード付け",J558="巻返しリード付け"),"",IF(J558="スリット",VLOOKUP(F558&amp;K558&amp;R558,製品マスタ!$N$5:$AE$5002,18,FALSE),""))))))</f>
        <v/>
      </c>
      <c r="Y558" s="275" t="str">
        <f>IF(D558="","",IF(T558="","",VLOOKUP(D558,契約台帳!$A$3:$Q$4986,17,FALSE)))</f>
        <v/>
      </c>
      <c r="Z558" s="269" t="str">
        <f>IF(D558="","",IF(T558="","",VLOOKUP(D558,契約台帳!$A$3:$E$4986,5,FALSE)))</f>
        <v/>
      </c>
      <c r="AA558" s="57"/>
      <c r="AB558" s="207" t="str">
        <f>IFERROR((VLOOKUP(F558&amp;K558&amp;M558,製品マスタ!$M$5:$AM$5002,27,FALSE)),"")</f>
        <v/>
      </c>
      <c r="AC558" s="33"/>
      <c r="AD558" s="189"/>
      <c r="AE558" s="54"/>
      <c r="AF558" s="55"/>
      <c r="AG558" s="43"/>
      <c r="AH558" s="47"/>
      <c r="AI558" s="30"/>
      <c r="AJ558" s="30"/>
      <c r="AK558" s="30"/>
      <c r="AL558" s="30"/>
      <c r="AM558" s="13"/>
      <c r="AN558" s="13"/>
      <c r="AO558" s="13"/>
      <c r="AP558" s="13"/>
      <c r="AQ558" s="13"/>
      <c r="AR558" s="14"/>
      <c r="AS558" s="15"/>
    </row>
    <row r="559" spans="1:45" s="17" customFormat="1" ht="30.95" hidden="1" customHeight="1" x14ac:dyDescent="0.2">
      <c r="A559" s="37"/>
      <c r="B559" s="38"/>
      <c r="C559" s="45"/>
      <c r="D559" s="31"/>
      <c r="E559" s="31"/>
      <c r="F559" s="268" t="str">
        <f>IF(D559="","",VLOOKUP(D559,契約台帳!$A$3:$K$4986,6,FALSE)&amp;VLOOKUP(D559,契約台帳!$A$3:$K$4986,7,FALSE)&amp;VLOOKUP(D559,契約台帳!$A$3:$K$4986,8,FALSE)&amp;VLOOKUP(D559,契約台帳!$A$3:$K$4986,9,FALSE)&amp;VLOOKUP(D559,契約台帳!$A$3:$K$4986,11,FALSE))</f>
        <v/>
      </c>
      <c r="G559" s="269" t="str">
        <f>IF(D559="","",VLOOKUP(F559,製品マスタ!$G$5:$H$5002,2,FALSE))</f>
        <v/>
      </c>
      <c r="H559" s="269" t="str">
        <f>IF(D559="","",VLOOKUP(F559,製品マスタ!$G$5:$K$5002,5,FALSE))</f>
        <v/>
      </c>
      <c r="I559" s="270" t="str">
        <f>IF(D559="","",VLOOKUP(F559,製品マスタ!$G$5:$L$5002,6,FALSE))</f>
        <v/>
      </c>
      <c r="J559" s="210"/>
      <c r="K559" s="270" t="str">
        <f>IF(D559="","",VLOOKUP(D559,契約台帳!$A$3:$L$4986,12,FALSE))</f>
        <v/>
      </c>
      <c r="L559" s="270" t="str">
        <f>IF(D559="","",INDEX(製品マスタ!$Q$5:$Q$5002,MATCH('S4'!F559&amp;'S4'!K559,製品マスタ!$AO$5:$AO$5002,0)))</f>
        <v/>
      </c>
      <c r="M559" s="39"/>
      <c r="N559" s="39"/>
      <c r="O559" s="156"/>
      <c r="P559" s="47"/>
      <c r="Q559" s="57"/>
      <c r="R559" s="271" t="str">
        <f ca="1">IF(D559="","",IF(OFFSET(D559,-1,0)&lt;&gt;"","",IF(OR(J559="リード付け",J559="巻足し",J559="巻返しリード付け"),M559,VLOOKUP(D559,契約台帳!$A$3:$N$4986,14,FALSE))))</f>
        <v/>
      </c>
      <c r="S559" s="272" t="str">
        <f ca="1">IF(D559="","",IF(OFFSET(D559,-1,0)&lt;&gt;"","",IF(OR(J559="リード付け",J559="巻足し",J559="巻返しリード付け"),M559,VLOOKUP(D559,契約台帳!$A$3:$O$4986,15,FALSE))))</f>
        <v/>
      </c>
      <c r="T559" s="273" t="str">
        <f ca="1">IF(D559="","",IF(J559="リード付け",N559,IF(J559="巻返しリード付け",N559,IF(J559="巻足し",N559*P559+OFFSET(N559,1,0)*OFFSET(P559,1,0),VLOOKUP(D559,契約台帳!$A$3:$P$4986,16,FALSE)))))</f>
        <v/>
      </c>
      <c r="U559" s="40"/>
      <c r="V559" s="274" t="str">
        <f ca="1">IF(D559="","",IF(OFFSET(D559,-2,0)=D559,"",VLOOKUP(D559,契約台帳!$A$3:$R$4986,18,FALSE)))</f>
        <v/>
      </c>
      <c r="W559" s="269" t="str">
        <f>IF(D559="","",IF(T559="","",IF(OR(J559="巻足し",J559="巻返しリード付け"),"",IF(J559="巻返し",VLOOKUP(F559&amp;K559&amp;M559,製品マスタ!$M$5:$AD$5002,18,FALSE),IF(OR(J559="リード付け",J559="巻返しリード付け"),"原反コア",IF(J559="スリット",VLOOKUP(F559&amp;K559&amp;R559,製品マスタ!$N$5:$AD$5002,17,FALSE),""))))))</f>
        <v/>
      </c>
      <c r="X559" s="269" t="str">
        <f>IF(D559="","",IF(T559="","",IF(J559="巻足し","",IF(J559="巻返し",VLOOKUP(F559&amp;K559&amp;M559,製品マスタ!$M$5:$AE$5002,19,FALSE),IF(OR(J559="リード付け",J559="巻返しリード付け"),"",IF(J559="スリット",VLOOKUP(F559&amp;K559&amp;R559,製品マスタ!$N$5:$AE$5002,18,FALSE),""))))))</f>
        <v/>
      </c>
      <c r="Y559" s="275" t="str">
        <f>IF(D559="","",IF(T559="","",VLOOKUP(D559,契約台帳!$A$3:$Q$4986,17,FALSE)))</f>
        <v/>
      </c>
      <c r="Z559" s="269" t="str">
        <f>IF(D559="","",IF(T559="","",VLOOKUP(D559,契約台帳!$A$3:$E$4986,5,FALSE)))</f>
        <v/>
      </c>
      <c r="AA559" s="57"/>
      <c r="AB559" s="207" t="str">
        <f>IFERROR((VLOOKUP(F559&amp;K559&amp;M559,製品マスタ!$M$5:$AM$5002,27,FALSE)),"")</f>
        <v/>
      </c>
      <c r="AC559" s="33"/>
      <c r="AD559" s="189"/>
      <c r="AE559" s="54"/>
      <c r="AF559" s="55"/>
      <c r="AG559" s="43"/>
      <c r="AH559" s="47"/>
      <c r="AI559" s="30"/>
      <c r="AJ559" s="30"/>
      <c r="AK559" s="30"/>
      <c r="AL559" s="30"/>
      <c r="AM559" s="13"/>
      <c r="AN559" s="13"/>
      <c r="AO559" s="13"/>
      <c r="AP559" s="13"/>
      <c r="AQ559" s="13"/>
      <c r="AR559" s="14"/>
      <c r="AS559" s="15"/>
    </row>
    <row r="560" spans="1:45" s="17" customFormat="1" ht="30.95" hidden="1" customHeight="1" x14ac:dyDescent="0.2">
      <c r="A560" s="37" t="s">
        <v>1128</v>
      </c>
      <c r="B560" s="38" t="s">
        <v>688</v>
      </c>
      <c r="C560" s="45"/>
      <c r="D560" s="31">
        <v>3704004</v>
      </c>
      <c r="E560" s="31">
        <v>4140924</v>
      </c>
      <c r="F560" s="268" t="str">
        <f>IF(D560="","",VLOOKUP(D560,契約台帳!$A$3:$K$4986,6,FALSE)&amp;VLOOKUP(D560,契約台帳!$A$3:$K$4986,7,FALSE)&amp;VLOOKUP(D560,契約台帳!$A$3:$K$4986,8,FALSE)&amp;VLOOKUP(D560,契約台帳!$A$3:$K$4986,9,FALSE)&amp;VLOOKUP(D560,契約台帳!$A$3:$K$4986,11,FALSE))</f>
        <v>3SNMCLBMSNEYK</v>
      </c>
      <c r="G560" s="269" t="str">
        <f>IF(D560="","",VLOOKUP(F560,製品マスタ!$G$5:$H$5002,2,FALSE))</f>
        <v>S</v>
      </c>
      <c r="H560" s="269" t="str">
        <f>IF(D560="","",VLOOKUP(F560,製品マスタ!$G$5:$K$5002,5,FALSE))</f>
        <v>MSNEYK</v>
      </c>
      <c r="I560" s="270" t="str">
        <f>IF(D560="","",VLOOKUP(F560,製品マスタ!$G$5:$L$5002,6,FALSE))</f>
        <v>ＭＳＮ　ＥＹＫ</v>
      </c>
      <c r="J560" s="210" t="s">
        <v>1145</v>
      </c>
      <c r="K560" s="270">
        <f>IF(D560="","",VLOOKUP(D560,契約台帳!$A$3:$L$4986,12,FALSE))</f>
        <v>50</v>
      </c>
      <c r="L560" s="270" t="str">
        <f>IF(D560="","",INDEX(製品マスタ!$Q$5:$Q$5002,MATCH('S4'!F560&amp;'S4'!K560,製品マスタ!$AO$5:$AO$5002,0)))</f>
        <v>N-MAT</v>
      </c>
      <c r="M560" s="39">
        <v>1200</v>
      </c>
      <c r="N560" s="39">
        <v>12000</v>
      </c>
      <c r="O560" s="156">
        <v>4</v>
      </c>
      <c r="P560" s="47">
        <v>4</v>
      </c>
      <c r="Q560" s="57"/>
      <c r="R560" s="271">
        <f ca="1">IF(D560="","",IF(OFFSET(D560,-1,0)&lt;&gt;"","",IF(OR(J560="リード付け",J560="巻足し",J560="巻返しリード付け"),M560,VLOOKUP(D560,契約台帳!$A$3:$N$4986,14,FALSE))))</f>
        <v>1200</v>
      </c>
      <c r="S560" s="272">
        <f ca="1">IF(D560="","",IF(OFFSET(D560,-1,0)&lt;&gt;"","",IF(OR(J560="リード付け",J560="巻足し",J560="巻返しリード付け"),M560,VLOOKUP(D560,契約台帳!$A$3:$O$4986,15,FALSE))))</f>
        <v>1190</v>
      </c>
      <c r="T560" s="273">
        <f ca="1">IF(D560="","",IF(J560="リード付け",N560,IF(J560="巻返しリード付け",N560,IF(J560="巻足し",N560*P560+OFFSET(N560,1,0)*OFFSET(P560,1,0),VLOOKUP(D560,契約台帳!$A$3:$P$4986,16,FALSE)))))</f>
        <v>6000</v>
      </c>
      <c r="U560" s="40">
        <v>8</v>
      </c>
      <c r="V560" s="274">
        <f ca="1">IF(D560="","",IF(OFFSET(D560,-2,0)=D560,"",VLOOKUP(D560,契約台帳!$A$3:$R$4986,18,FALSE)))</f>
        <v>8</v>
      </c>
      <c r="W560" s="269" t="str">
        <f ca="1">IF(D560="","",IF(T560="","",IF(OR(J560="巻足し",J560="巻返しリード付け"),"",IF(J560="巻返し",VLOOKUP(F560&amp;K560&amp;M560,製品マスタ!$M$5:$AD$5002,18,FALSE),IF(OR(J560="リード付け",J560="巻返しリード付け"),"原反コア",IF(J560="スリット",VLOOKUP(F560&amp;K560&amp;R560,製品マスタ!$N$5:$AD$5002,17,FALSE),""))))))</f>
        <v>6ｲﾝﾁMｺｱ</v>
      </c>
      <c r="X560" s="269">
        <f ca="1">IF(D560="","",IF(T560="","",IF(J560="巻足し","",IF(J560="巻返し",VLOOKUP(F560&amp;K560&amp;M560,製品マスタ!$M$5:$AE$5002,19,FALSE),IF(OR(J560="リード付け",J560="巻返しリード付け"),"",IF(J560="スリット",VLOOKUP(F560&amp;K560&amp;R560,製品マスタ!$N$5:$AE$5002,18,FALSE),""))))))</f>
        <v>1220</v>
      </c>
      <c r="Y560" s="275">
        <f ca="1">IF(D560="","",IF(T560="","",VLOOKUP(D560,契約台帳!$A$3:$Q$4986,17,FALSE)))</f>
        <v>2</v>
      </c>
      <c r="Z560" s="269" t="str">
        <f ca="1">IF(D560="","",IF(T560="","",VLOOKUP(D560,契約台帳!$A$3:$E$4986,5,FALSE)))</f>
        <v>大阪シーリング印刷㈱</v>
      </c>
      <c r="AA560" s="57"/>
      <c r="AB560" s="207" t="str">
        <f>IFERROR((VLOOKUP(F560&amp;K560&amp;M560,製品マスタ!$M$5:$AM$5002,27,FALSE)),"")</f>
        <v>原反ケース再利用</v>
      </c>
      <c r="AC560" s="33"/>
      <c r="AD560" s="189"/>
      <c r="AE560" s="54"/>
      <c r="AF560" s="55"/>
      <c r="AG560" s="43"/>
      <c r="AH560" s="47"/>
      <c r="AI560" s="30"/>
      <c r="AJ560" s="30"/>
      <c r="AK560" s="30"/>
      <c r="AL560" s="30"/>
      <c r="AM560" s="13"/>
      <c r="AN560" s="13"/>
      <c r="AO560" s="13"/>
      <c r="AP560" s="13"/>
      <c r="AQ560" s="13"/>
      <c r="AR560" s="14"/>
      <c r="AS560" s="15"/>
    </row>
    <row r="561" spans="1:45" s="17" customFormat="1" ht="30.95" hidden="1" customHeight="1" x14ac:dyDescent="0.2">
      <c r="A561" s="37"/>
      <c r="B561" s="38"/>
      <c r="C561" s="45"/>
      <c r="D561" s="31"/>
      <c r="E561" s="31"/>
      <c r="F561" s="268" t="str">
        <f>IF(D561="","",VLOOKUP(D561,契約台帳!$A$3:$K$4986,6,FALSE)&amp;VLOOKUP(D561,契約台帳!$A$3:$K$4986,7,FALSE)&amp;VLOOKUP(D561,契約台帳!$A$3:$K$4986,8,FALSE)&amp;VLOOKUP(D561,契約台帳!$A$3:$K$4986,9,FALSE)&amp;VLOOKUP(D561,契約台帳!$A$3:$K$4986,11,FALSE))</f>
        <v/>
      </c>
      <c r="G561" s="269" t="str">
        <f>IF(D561="","",VLOOKUP(F561,製品マスタ!$G$5:$H$5002,2,FALSE))</f>
        <v/>
      </c>
      <c r="H561" s="269" t="str">
        <f>IF(D561="","",VLOOKUP(F561,製品マスタ!$G$5:$K$5002,5,FALSE))</f>
        <v/>
      </c>
      <c r="I561" s="270" t="str">
        <f>IF(D561="","",VLOOKUP(F561,製品マスタ!$G$5:$L$5002,6,FALSE))</f>
        <v/>
      </c>
      <c r="J561" s="210"/>
      <c r="K561" s="270" t="str">
        <f>IF(D561="","",VLOOKUP(D561,契約台帳!$A$3:$L$4986,12,FALSE))</f>
        <v/>
      </c>
      <c r="L561" s="270" t="str">
        <f>IF(D561="","",INDEX(製品マスタ!$Q$5:$Q$5002,MATCH('S4'!F561&amp;'S4'!K561,製品マスタ!$AO$5:$AO$5002,0)))</f>
        <v/>
      </c>
      <c r="M561" s="39"/>
      <c r="N561" s="39"/>
      <c r="O561" s="156"/>
      <c r="P561" s="47"/>
      <c r="Q561" s="57"/>
      <c r="R561" s="271" t="str">
        <f ca="1">IF(D561="","",IF(OFFSET(D561,-1,0)&lt;&gt;"","",IF(OR(J561="リード付け",J561="巻足し",J561="巻返しリード付け"),M561,VLOOKUP(D561,契約台帳!$A$3:$N$4986,14,FALSE))))</f>
        <v/>
      </c>
      <c r="S561" s="272" t="str">
        <f ca="1">IF(D561="","",IF(OFFSET(D561,-1,0)&lt;&gt;"","",IF(OR(J561="リード付け",J561="巻足し",J561="巻返しリード付け"),M561,VLOOKUP(D561,契約台帳!$A$3:$O$4986,15,FALSE))))</f>
        <v/>
      </c>
      <c r="T561" s="273" t="str">
        <f ca="1">IF(D561="","",IF(J561="リード付け",N561,IF(J561="巻返しリード付け",N561,IF(J561="巻足し",N561*P561+OFFSET(N561,1,0)*OFFSET(P561,1,0),VLOOKUP(D561,契約台帳!$A$3:$P$4986,16,FALSE)))))</f>
        <v/>
      </c>
      <c r="U561" s="40"/>
      <c r="V561" s="274" t="str">
        <f ca="1">IF(D561="","",IF(OFFSET(D561,-2,0)=D561,"",VLOOKUP(D561,契約台帳!$A$3:$R$4986,18,FALSE)))</f>
        <v/>
      </c>
      <c r="W561" s="269" t="str">
        <f>IF(D561="","",IF(T561="","",IF(OR(J561="巻足し",J561="巻返しリード付け"),"",IF(J561="巻返し",VLOOKUP(F561&amp;K561&amp;M561,製品マスタ!$M$5:$AD$5002,18,FALSE),IF(OR(J561="リード付け",J561="巻返しリード付け"),"原反コア",IF(J561="スリット",VLOOKUP(F561&amp;K561&amp;R561,製品マスタ!$N$5:$AD$5002,17,FALSE),""))))))</f>
        <v/>
      </c>
      <c r="X561" s="269" t="str">
        <f>IF(D561="","",IF(T561="","",IF(J561="巻足し","",IF(J561="巻返し",VLOOKUP(F561&amp;K561&amp;M561,製品マスタ!$M$5:$AE$5002,19,FALSE),IF(OR(J561="リード付け",J561="巻返しリード付け"),"",IF(J561="スリット",VLOOKUP(F561&amp;K561&amp;R561,製品マスタ!$N$5:$AE$5002,18,FALSE),""))))))</f>
        <v/>
      </c>
      <c r="Y561" s="275" t="str">
        <f>IF(D561="","",IF(T561="","",VLOOKUP(D561,契約台帳!$A$3:$Q$4986,17,FALSE)))</f>
        <v/>
      </c>
      <c r="Z561" s="269" t="str">
        <f>IF(D561="","",IF(T561="","",VLOOKUP(D561,契約台帳!$A$3:$E$4986,5,FALSE)))</f>
        <v/>
      </c>
      <c r="AA561" s="57"/>
      <c r="AB561" s="207" t="str">
        <f>IFERROR((VLOOKUP(F561&amp;K561&amp;M561,製品マスタ!$M$5:$AM$5002,27,FALSE)),"")</f>
        <v/>
      </c>
      <c r="AC561" s="33"/>
      <c r="AD561" s="189"/>
      <c r="AE561" s="54"/>
      <c r="AF561" s="55"/>
      <c r="AG561" s="43"/>
      <c r="AH561" s="47"/>
      <c r="AI561" s="30"/>
      <c r="AJ561" s="30"/>
      <c r="AK561" s="30"/>
      <c r="AL561" s="30"/>
      <c r="AM561" s="13"/>
      <c r="AN561" s="13"/>
      <c r="AO561" s="13"/>
      <c r="AP561" s="13"/>
      <c r="AQ561" s="13"/>
      <c r="AR561" s="14"/>
      <c r="AS561" s="15"/>
    </row>
    <row r="562" spans="1:45" s="17" customFormat="1" ht="30.95" hidden="1" customHeight="1" x14ac:dyDescent="0.2">
      <c r="A562" s="37"/>
      <c r="B562" s="38"/>
      <c r="C562" s="45"/>
      <c r="D562" s="31">
        <v>3708717</v>
      </c>
      <c r="E562" s="31">
        <v>4140934</v>
      </c>
      <c r="F562" s="268" t="str">
        <f>IF(D562="","",VLOOKUP(D562,契約台帳!$A$3:$K$4986,6,FALSE)&amp;VLOOKUP(D562,契約台帳!$A$3:$K$4986,7,FALSE)&amp;VLOOKUP(D562,契約台帳!$A$3:$K$4986,8,FALSE)&amp;VLOOKUP(D562,契約台帳!$A$3:$K$4986,9,FALSE)&amp;VLOOKUP(D562,契約台帳!$A$3:$K$4986,11,FALSE))</f>
        <v>33SSNMCLBTETKFV</v>
      </c>
      <c r="G562" s="269" t="str">
        <f>IF(D562="","",VLOOKUP(F562,製品マスタ!$G$5:$H$5002,2,FALSE))</f>
        <v>S</v>
      </c>
      <c r="H562" s="269" t="str">
        <f>IF(D562="","",VLOOKUP(F562,製品マスタ!$G$5:$K$5002,5,FALSE))</f>
        <v>TETKFV</v>
      </c>
      <c r="I562" s="270" t="str">
        <f>IF(D562="","",VLOOKUP(F562,製品マスタ!$G$5:$L$5002,6,FALSE))</f>
        <v>メタルミー　ＴＥＳ艶開封　Ｖ</v>
      </c>
      <c r="J562" s="210" t="s">
        <v>1123</v>
      </c>
      <c r="K562" s="270">
        <f>IF(D562="","",VLOOKUP(D562,契約台帳!$A$3:$L$4986,12,FALSE))</f>
        <v>50</v>
      </c>
      <c r="L562" s="270" t="str">
        <f>IF(D562="","",INDEX(製品マスタ!$Q$5:$Q$5002,MATCH('S4'!F562&amp;'S4'!K562,製品マスタ!$AO$5:$AO$5002,0)))</f>
        <v>S28SEPA</v>
      </c>
      <c r="M562" s="39">
        <v>1005</v>
      </c>
      <c r="N562" s="39">
        <v>12300</v>
      </c>
      <c r="O562" s="156">
        <v>2</v>
      </c>
      <c r="P562" s="47">
        <v>2</v>
      </c>
      <c r="Q562" s="57"/>
      <c r="R562" s="271">
        <f ca="1">IF(D562="","",IF(OFFSET(D562,-1,0)&lt;&gt;"","",IF(OR(J562="リード付け",J562="巻足し",J562="巻返しリード付け"),M562,VLOOKUP(D562,契約台帳!$A$3:$N$4986,14,FALSE))))</f>
        <v>1005</v>
      </c>
      <c r="S562" s="272">
        <f ca="1">IF(D562="","",IF(OFFSET(D562,-1,0)&lt;&gt;"","",IF(OR(J562="リード付け",J562="巻足し",J562="巻返しリード付け"),M562,VLOOKUP(D562,契約台帳!$A$3:$O$4986,15,FALSE))))</f>
        <v>1000</v>
      </c>
      <c r="T562" s="273">
        <f ca="1">IF(D562="","",IF(J562="リード付け",N562,IF(J562="巻返しリード付け",N562,IF(J562="巻足し",N562*P562+OFFSET(N562,1,0)*OFFSET(P562,1,0),VLOOKUP(D562,契約台帳!$A$3:$P$4986,16,FALSE)))))</f>
        <v>4000</v>
      </c>
      <c r="U562" s="40">
        <v>6</v>
      </c>
      <c r="V562" s="274">
        <f ca="1">IF(D562="","",IF(OFFSET(D562,-2,0)=D562,"",VLOOKUP(D562,契約台帳!$A$3:$R$4986,18,FALSE)))</f>
        <v>6</v>
      </c>
      <c r="W562" s="269" t="str">
        <f ca="1">IF(D562="","",IF(T562="","",IF(OR(J562="巻足し",J562="巻返しリード付け"),"",IF(J562="巻返し",VLOOKUP(F562&amp;K562&amp;M562,製品マスタ!$M$5:$AD$5002,18,FALSE),IF(OR(J562="リード付け",J562="巻返しリード付け"),"原反コア",IF(J562="スリット",VLOOKUP(F562&amp;K562&amp;R562,製品マスタ!$N$5:$AD$5002,17,FALSE),""))))))</f>
        <v>6ｲﾝﾁSｺｱ</v>
      </c>
      <c r="X562" s="269">
        <f ca="1">IF(D562="","",IF(T562="","",IF(J562="巻足し","",IF(J562="巻返し",VLOOKUP(F562&amp;K562&amp;M562,製品マスタ!$M$5:$AE$5002,19,FALSE),IF(OR(J562="リード付け",J562="巻返しリード付け"),"",IF(J562="スリット",VLOOKUP(F562&amp;K562&amp;R562,製品マスタ!$N$5:$AE$5002,18,FALSE),""))))))</f>
        <v>1015</v>
      </c>
      <c r="Y562" s="275">
        <f ca="1">IF(D562="","",IF(T562="","",VLOOKUP(D562,契約台帳!$A$3:$Q$4986,17,FALSE)))</f>
        <v>2</v>
      </c>
      <c r="Z562" s="269" t="str">
        <f ca="1">IF(D562="","",IF(T562="","",VLOOKUP(D562,契約台帳!$A$3:$E$4986,5,FALSE)))</f>
        <v>リンテック㈱</v>
      </c>
      <c r="AA562" s="57"/>
      <c r="AB562" s="207">
        <f>IFERROR((VLOOKUP(F562&amp;K562&amp;M562,製品マスタ!$M$5:$AM$5002,27,FALSE)),"")</f>
        <v>0</v>
      </c>
      <c r="AC562" s="33"/>
      <c r="AD562" s="189"/>
      <c r="AE562" s="54"/>
      <c r="AF562" s="55"/>
      <c r="AG562" s="43"/>
      <c r="AH562" s="47"/>
      <c r="AI562" s="30"/>
      <c r="AJ562" s="30"/>
      <c r="AK562" s="30"/>
      <c r="AL562" s="30"/>
      <c r="AM562" s="13"/>
      <c r="AN562" s="13"/>
      <c r="AO562" s="13"/>
      <c r="AP562" s="13"/>
      <c r="AQ562" s="13"/>
      <c r="AR562" s="14"/>
      <c r="AS562" s="15"/>
    </row>
    <row r="563" spans="1:45" s="17" customFormat="1" ht="30.95" hidden="1" customHeight="1" x14ac:dyDescent="0.2">
      <c r="A563" s="37"/>
      <c r="B563" s="38"/>
      <c r="C563" s="45"/>
      <c r="D563" s="31"/>
      <c r="E563" s="31"/>
      <c r="F563" s="268" t="str">
        <f>IF(D563="","",VLOOKUP(D563,契約台帳!$A$3:$K$4986,6,FALSE)&amp;VLOOKUP(D563,契約台帳!$A$3:$K$4986,7,FALSE)&amp;VLOOKUP(D563,契約台帳!$A$3:$K$4986,8,FALSE)&amp;VLOOKUP(D563,契約台帳!$A$3:$K$4986,9,FALSE)&amp;VLOOKUP(D563,契約台帳!$A$3:$K$4986,11,FALSE))</f>
        <v/>
      </c>
      <c r="G563" s="269" t="str">
        <f>IF(D563="","",VLOOKUP(F563,製品マスタ!$G$5:$H$5002,2,FALSE))</f>
        <v/>
      </c>
      <c r="H563" s="269" t="str">
        <f>IF(D563="","",VLOOKUP(F563,製品マスタ!$G$5:$K$5002,5,FALSE))</f>
        <v/>
      </c>
      <c r="I563" s="270" t="str">
        <f>IF(D563="","",VLOOKUP(F563,製品マスタ!$G$5:$L$5002,6,FALSE))</f>
        <v/>
      </c>
      <c r="J563" s="210"/>
      <c r="K563" s="270" t="str">
        <f>IF(D563="","",VLOOKUP(D563,契約台帳!$A$3:$L$4986,12,FALSE))</f>
        <v/>
      </c>
      <c r="L563" s="270" t="str">
        <f>IF(D563="","",INDEX(製品マスタ!$Q$5:$Q$5002,MATCH('S4'!F563&amp;'S4'!K563,製品マスタ!$AO$5:$AO$5002,0)))</f>
        <v/>
      </c>
      <c r="M563" s="39"/>
      <c r="N563" s="39"/>
      <c r="O563" s="156"/>
      <c r="P563" s="47"/>
      <c r="Q563" s="57"/>
      <c r="R563" s="271" t="str">
        <f ca="1">IF(D563="","",IF(OFFSET(D563,-1,0)&lt;&gt;"","",IF(OR(J563="リード付け",J563="巻足し",J563="巻返しリード付け"),M563,VLOOKUP(D563,契約台帳!$A$3:$N$4986,14,FALSE))))</f>
        <v/>
      </c>
      <c r="S563" s="272" t="str">
        <f ca="1">IF(D563="","",IF(OFFSET(D563,-1,0)&lt;&gt;"","",IF(OR(J563="リード付け",J563="巻足し",J563="巻返しリード付け"),M563,VLOOKUP(D563,契約台帳!$A$3:$O$4986,15,FALSE))))</f>
        <v/>
      </c>
      <c r="T563" s="273" t="str">
        <f ca="1">IF(D563="","",IF(J563="リード付け",N563,IF(J563="巻返しリード付け",N563,IF(J563="巻足し",N563*P563+OFFSET(N563,1,0)*OFFSET(P563,1,0),VLOOKUP(D563,契約台帳!$A$3:$P$4986,16,FALSE)))))</f>
        <v/>
      </c>
      <c r="U563" s="40"/>
      <c r="V563" s="274" t="str">
        <f ca="1">IF(D563="","",IF(OFFSET(D563,-2,0)=D563,"",VLOOKUP(D563,契約台帳!$A$3:$R$4986,18,FALSE)))</f>
        <v/>
      </c>
      <c r="W563" s="269" t="str">
        <f>IF(D563="","",IF(T563="","",IF(OR(J563="巻足し",J563="巻返しリード付け"),"",IF(J563="巻返し",VLOOKUP(F563&amp;K563&amp;M563,製品マスタ!$M$5:$AD$5002,18,FALSE),IF(OR(J563="リード付け",J563="巻返しリード付け"),"原反コア",IF(J563="スリット",VLOOKUP(F563&amp;K563&amp;R563,製品マスタ!$N$5:$AD$5002,17,FALSE),""))))))</f>
        <v/>
      </c>
      <c r="X563" s="269" t="str">
        <f>IF(D563="","",IF(T563="","",IF(J563="巻足し","",IF(J563="巻返し",VLOOKUP(F563&amp;K563&amp;M563,製品マスタ!$M$5:$AE$5002,19,FALSE),IF(OR(J563="リード付け",J563="巻返しリード付け"),"",IF(J563="スリット",VLOOKUP(F563&amp;K563&amp;R563,製品マスタ!$N$5:$AE$5002,18,FALSE),""))))))</f>
        <v/>
      </c>
      <c r="Y563" s="275" t="str">
        <f>IF(D563="","",IF(T563="","",VLOOKUP(D563,契約台帳!$A$3:$Q$4986,17,FALSE)))</f>
        <v/>
      </c>
      <c r="Z563" s="269" t="str">
        <f>IF(D563="","",IF(T563="","",VLOOKUP(D563,契約台帳!$A$3:$E$4986,5,FALSE)))</f>
        <v/>
      </c>
      <c r="AA563" s="57"/>
      <c r="AB563" s="207" t="str">
        <f>IFERROR((VLOOKUP(F563&amp;K563&amp;M563,製品マスタ!$M$5:$AM$5002,27,FALSE)),"")</f>
        <v/>
      </c>
      <c r="AC563" s="33"/>
      <c r="AD563" s="189"/>
      <c r="AE563" s="54"/>
      <c r="AF563" s="55"/>
      <c r="AG563" s="43"/>
      <c r="AH563" s="47"/>
      <c r="AI563" s="30"/>
      <c r="AJ563" s="30"/>
      <c r="AK563" s="30"/>
      <c r="AL563" s="30"/>
      <c r="AM563" s="13"/>
      <c r="AN563" s="13"/>
      <c r="AO563" s="13"/>
      <c r="AP563" s="13"/>
      <c r="AQ563" s="13"/>
      <c r="AR563" s="14"/>
      <c r="AS563" s="15"/>
    </row>
    <row r="564" spans="1:45" s="17" customFormat="1" ht="30.95" hidden="1" customHeight="1" x14ac:dyDescent="0.2">
      <c r="A564" s="37"/>
      <c r="B564" s="38"/>
      <c r="C564" s="45"/>
      <c r="D564" s="31">
        <v>3708716</v>
      </c>
      <c r="E564" s="31">
        <v>4140933</v>
      </c>
      <c r="F564" s="268" t="str">
        <f>IF(D564="","",VLOOKUP(D564,契約台帳!$A$3:$K$4986,6,FALSE)&amp;VLOOKUP(D564,契約台帳!$A$3:$K$4986,7,FALSE)&amp;VLOOKUP(D564,契約台帳!$A$3:$K$4986,8,FALSE)&amp;VLOOKUP(D564,契約台帳!$A$3:$K$4986,9,FALSE)&amp;VLOOKUP(D564,契約台帳!$A$3:$K$4986,11,FALSE))</f>
        <v>33SSNMCLBTEKKFV</v>
      </c>
      <c r="G564" s="269" t="str">
        <f>IF(D564="","",VLOOKUP(F564,製品マスタ!$G$5:$H$5002,2,FALSE))</f>
        <v>S</v>
      </c>
      <c r="H564" s="269" t="str">
        <f>IF(D564="","",VLOOKUP(F564,製品マスタ!$G$5:$K$5002,5,FALSE))</f>
        <v>TEKKFV</v>
      </c>
      <c r="I564" s="270" t="str">
        <f>IF(D564="","",VLOOKUP(F564,製品マスタ!$G$5:$L$5002,6,FALSE))</f>
        <v>メタルミー　ＴＥＳ消開封　Ｖ</v>
      </c>
      <c r="J564" s="210" t="s">
        <v>1123</v>
      </c>
      <c r="K564" s="270">
        <f>IF(D564="","",VLOOKUP(D564,契約台帳!$A$3:$L$4986,12,FALSE))</f>
        <v>50</v>
      </c>
      <c r="L564" s="270" t="str">
        <f>IF(D564="","",INDEX(製品マスタ!$Q$5:$Q$5002,MATCH('S4'!F564&amp;'S4'!K564,製品マスタ!$AO$5:$AO$5002,0)))</f>
        <v>X44SEPA</v>
      </c>
      <c r="M564" s="39">
        <v>1005</v>
      </c>
      <c r="N564" s="39">
        <v>12000</v>
      </c>
      <c r="O564" s="156">
        <v>1</v>
      </c>
      <c r="P564" s="47">
        <v>1</v>
      </c>
      <c r="Q564" s="57"/>
      <c r="R564" s="271">
        <f ca="1">IF(D564="","",IF(OFFSET(D564,-1,0)&lt;&gt;"","",IF(OR(J564="リード付け",J564="巻足し",J564="巻返しリード付け"),M564,VLOOKUP(D564,契約台帳!$A$3:$N$4986,14,FALSE))))</f>
        <v>1005</v>
      </c>
      <c r="S564" s="272">
        <f ca="1">IF(D564="","",IF(OFFSET(D564,-1,0)&lt;&gt;"","",IF(OR(J564="リード付け",J564="巻足し",J564="巻返しリード付け"),M564,VLOOKUP(D564,契約台帳!$A$3:$O$4986,15,FALSE))))</f>
        <v>1000</v>
      </c>
      <c r="T564" s="273">
        <f ca="1">IF(D564="","",IF(J564="リード付け",N564,IF(J564="巻返しリード付け",N564,IF(J564="巻足し",N564*P564+OFFSET(N564,1,0)*OFFSET(P564,1,0),VLOOKUP(D564,契約台帳!$A$3:$P$4986,16,FALSE)))))</f>
        <v>4000</v>
      </c>
      <c r="U564" s="40">
        <v>3</v>
      </c>
      <c r="V564" s="274">
        <f ca="1">IF(D564="","",IF(OFFSET(D564,-2,0)=D564,"",VLOOKUP(D564,契約台帳!$A$3:$R$4986,18,FALSE)))</f>
        <v>3</v>
      </c>
      <c r="W564" s="269" t="str">
        <f ca="1">IF(D564="","",IF(T564="","",IF(OR(J564="巻足し",J564="巻返しリード付け"),"",IF(J564="巻返し",VLOOKUP(F564&amp;K564&amp;M564,製品マスタ!$M$5:$AD$5002,18,FALSE),IF(OR(J564="リード付け",J564="巻返しリード付け"),"原反コア",IF(J564="スリット",VLOOKUP(F564&amp;K564&amp;R564,製品マスタ!$N$5:$AD$5002,17,FALSE),""))))))</f>
        <v>6ｲﾝﾁSｺｱ</v>
      </c>
      <c r="X564" s="269">
        <f ca="1">IF(D564="","",IF(T564="","",IF(J564="巻足し","",IF(J564="巻返し",VLOOKUP(F564&amp;K564&amp;M564,製品マスタ!$M$5:$AE$5002,19,FALSE),IF(OR(J564="リード付け",J564="巻返しリード付け"),"",IF(J564="スリット",VLOOKUP(F564&amp;K564&amp;R564,製品マスタ!$N$5:$AE$5002,18,FALSE),""))))))</f>
        <v>1015</v>
      </c>
      <c r="Y564" s="275">
        <f ca="1">IF(D564="","",IF(T564="","",VLOOKUP(D564,契約台帳!$A$3:$Q$4986,17,FALSE)))</f>
        <v>2</v>
      </c>
      <c r="Z564" s="269" t="str">
        <f ca="1">IF(D564="","",IF(T564="","",VLOOKUP(D564,契約台帳!$A$3:$E$4986,5,FALSE)))</f>
        <v>リンテック㈱</v>
      </c>
      <c r="AA564" s="57"/>
      <c r="AB564" s="207">
        <f>IFERROR((VLOOKUP(F564&amp;K564&amp;M564,製品マスタ!$M$5:$AM$5002,27,FALSE)),"")</f>
        <v>0</v>
      </c>
      <c r="AC564" s="33"/>
      <c r="AD564" s="189"/>
      <c r="AE564" s="54"/>
      <c r="AF564" s="55"/>
      <c r="AG564" s="43"/>
      <c r="AH564" s="47"/>
      <c r="AI564" s="30"/>
      <c r="AJ564" s="30"/>
      <c r="AK564" s="30"/>
      <c r="AL564" s="30"/>
      <c r="AM564" s="13"/>
      <c r="AN564" s="13"/>
      <c r="AO564" s="13"/>
      <c r="AP564" s="13"/>
      <c r="AQ564" s="13"/>
      <c r="AR564" s="14"/>
      <c r="AS564" s="15"/>
    </row>
    <row r="565" spans="1:45" s="17" customFormat="1" ht="30.95" hidden="1" customHeight="1" x14ac:dyDescent="0.2">
      <c r="A565" s="37"/>
      <c r="B565" s="38"/>
      <c r="C565" s="45"/>
      <c r="D565" s="31"/>
      <c r="E565" s="31"/>
      <c r="F565" s="268" t="str">
        <f>IF(D565="","",VLOOKUP(D565,契約台帳!$A$3:$K$4986,6,FALSE)&amp;VLOOKUP(D565,契約台帳!$A$3:$K$4986,7,FALSE)&amp;VLOOKUP(D565,契約台帳!$A$3:$K$4986,8,FALSE)&amp;VLOOKUP(D565,契約台帳!$A$3:$K$4986,9,FALSE)&amp;VLOOKUP(D565,契約台帳!$A$3:$K$4986,11,FALSE))</f>
        <v/>
      </c>
      <c r="G565" s="269" t="str">
        <f>IF(D565="","",VLOOKUP(F565,製品マスタ!$G$5:$H$5002,2,FALSE))</f>
        <v/>
      </c>
      <c r="H565" s="269" t="str">
        <f>IF(D565="","",VLOOKUP(F565,製品マスタ!$G$5:$K$5002,5,FALSE))</f>
        <v/>
      </c>
      <c r="I565" s="270" t="str">
        <f>IF(D565="","",VLOOKUP(F565,製品マスタ!$G$5:$L$5002,6,FALSE))</f>
        <v/>
      </c>
      <c r="J565" s="210"/>
      <c r="K565" s="270" t="str">
        <f>IF(D565="","",VLOOKUP(D565,契約台帳!$A$3:$L$4986,12,FALSE))</f>
        <v/>
      </c>
      <c r="L565" s="270" t="str">
        <f>IF(D565="","",INDEX(製品マスタ!$Q$5:$Q$5002,MATCH('S4'!F565&amp;'S4'!K565,製品マスタ!$AO$5:$AO$5002,0)))</f>
        <v/>
      </c>
      <c r="M565" s="39"/>
      <c r="N565" s="39"/>
      <c r="O565" s="156"/>
      <c r="P565" s="47"/>
      <c r="Q565" s="57"/>
      <c r="R565" s="271" t="str">
        <f ca="1">IF(D565="","",IF(OFFSET(D565,-1,0)&lt;&gt;"","",IF(OR(J565="リード付け",J565="巻足し",J565="巻返しリード付け"),M565,VLOOKUP(D565,契約台帳!$A$3:$N$4986,14,FALSE))))</f>
        <v/>
      </c>
      <c r="S565" s="272" t="str">
        <f ca="1">IF(D565="","",IF(OFFSET(D565,-1,0)&lt;&gt;"","",IF(OR(J565="リード付け",J565="巻足し",J565="巻返しリード付け"),M565,VLOOKUP(D565,契約台帳!$A$3:$O$4986,15,FALSE))))</f>
        <v/>
      </c>
      <c r="T565" s="273" t="str">
        <f ca="1">IF(D565="","",IF(J565="リード付け",N565,IF(J565="巻返しリード付け",N565,IF(J565="巻足し",N565*P565+OFFSET(N565,1,0)*OFFSET(P565,1,0),VLOOKUP(D565,契約台帳!$A$3:$P$4986,16,FALSE)))))</f>
        <v/>
      </c>
      <c r="U565" s="40"/>
      <c r="V565" s="274" t="str">
        <f ca="1">IF(D565="","",IF(OFFSET(D565,-2,0)=D565,"",VLOOKUP(D565,契約台帳!$A$3:$R$4986,18,FALSE)))</f>
        <v/>
      </c>
      <c r="W565" s="269" t="str">
        <f>IF(D565="","",IF(T565="","",IF(OR(J565="巻足し",J565="巻返しリード付け"),"",IF(J565="巻返し",VLOOKUP(F565&amp;K565&amp;M565,製品マスタ!$M$5:$AD$5002,18,FALSE),IF(OR(J565="リード付け",J565="巻返しリード付け"),"原反コア",IF(J565="スリット",VLOOKUP(F565&amp;K565&amp;R565,製品マスタ!$N$5:$AD$5002,17,FALSE),""))))))</f>
        <v/>
      </c>
      <c r="X565" s="269" t="str">
        <f>IF(D565="","",IF(T565="","",IF(J565="巻足し","",IF(J565="巻返し",VLOOKUP(F565&amp;K565&amp;M565,製品マスタ!$M$5:$AE$5002,19,FALSE),IF(OR(J565="リード付け",J565="巻返しリード付け"),"",IF(J565="スリット",VLOOKUP(F565&amp;K565&amp;R565,製品マスタ!$N$5:$AE$5002,18,FALSE),""))))))</f>
        <v/>
      </c>
      <c r="Y565" s="275" t="str">
        <f>IF(D565="","",IF(T565="","",VLOOKUP(D565,契約台帳!$A$3:$Q$4986,17,FALSE)))</f>
        <v/>
      </c>
      <c r="Z565" s="269" t="str">
        <f>IF(D565="","",IF(T565="","",VLOOKUP(D565,契約台帳!$A$3:$E$4986,5,FALSE)))</f>
        <v/>
      </c>
      <c r="AA565" s="57"/>
      <c r="AB565" s="207" t="str">
        <f>IFERROR((VLOOKUP(F565&amp;K565&amp;M565,製品マスタ!$M$5:$AM$5002,27,FALSE)),"")</f>
        <v/>
      </c>
      <c r="AC565" s="33"/>
      <c r="AD565" s="189"/>
      <c r="AE565" s="54"/>
      <c r="AF565" s="55"/>
      <c r="AG565" s="43"/>
      <c r="AH565" s="47"/>
      <c r="AI565" s="30"/>
      <c r="AJ565" s="30"/>
      <c r="AK565" s="30"/>
      <c r="AL565" s="30"/>
      <c r="AM565" s="13"/>
      <c r="AN565" s="13"/>
      <c r="AO565" s="13"/>
      <c r="AP565" s="13"/>
      <c r="AQ565" s="13"/>
      <c r="AR565" s="14"/>
      <c r="AS565" s="15"/>
    </row>
    <row r="566" spans="1:45" s="17" customFormat="1" ht="30.95" hidden="1" customHeight="1" x14ac:dyDescent="0.2">
      <c r="A566" s="37" t="s">
        <v>1129</v>
      </c>
      <c r="B566" s="38" t="s">
        <v>442</v>
      </c>
      <c r="C566" s="45"/>
      <c r="D566" s="31">
        <v>3711151</v>
      </c>
      <c r="E566" s="31">
        <v>4161915</v>
      </c>
      <c r="F566" s="268" t="str">
        <f>IF(D566="","",VLOOKUP(D566,契約台帳!$A$3:$K$4986,6,FALSE)&amp;VLOOKUP(D566,契約台帳!$A$3:$K$4986,7,FALSE)&amp;VLOOKUP(D566,契約台帳!$A$3:$K$4986,8,FALSE)&amp;VLOOKUP(D566,契約台帳!$A$3:$K$4986,9,FALSE)&amp;VLOOKUP(D566,契約台帳!$A$3:$K$4986,11,FALSE))</f>
        <v>3UNMCLBHLGKJV</v>
      </c>
      <c r="G566" s="269" t="str">
        <f>IF(D566="","",VLOOKUP(F566,製品マスタ!$G$5:$H$5002,2,FALSE))</f>
        <v>U</v>
      </c>
      <c r="H566" s="269" t="str">
        <f>IF(D566="","",VLOOKUP(F566,製品マスタ!$G$5:$K$5002,5,FALSE))</f>
        <v>HLGKJV</v>
      </c>
      <c r="I566" s="270" t="str">
        <f>IF(D566="","",VLOOKUP(F566,製品マスタ!$G$5:$L$5002,6,FALSE))</f>
        <v>メタルミー　ヘヤライン　銀消Ｖ</v>
      </c>
      <c r="J566" s="210" t="s">
        <v>935</v>
      </c>
      <c r="K566" s="270">
        <f>IF(D566="","",VLOOKUP(D566,契約台帳!$A$3:$L$4986,12,FALSE))</f>
        <v>50</v>
      </c>
      <c r="L566" s="270" t="str">
        <f>IF(D566="","",INDEX(製品マスタ!$Q$5:$Q$5002,MATCH('S4'!F566&amp;'S4'!K566,製品マスタ!$AO$5:$AO$5002,0)))</f>
        <v>HL-MAT</v>
      </c>
      <c r="M566" s="39">
        <v>1005</v>
      </c>
      <c r="N566" s="39">
        <v>4000</v>
      </c>
      <c r="O566" s="156">
        <v>2</v>
      </c>
      <c r="P566" s="47">
        <v>2</v>
      </c>
      <c r="Q566" s="213">
        <v>45042</v>
      </c>
      <c r="R566" s="271">
        <f ca="1">IF(D566="","",IF(OFFSET(D566,-1,0)&lt;&gt;"","",IF(OR(J566="リード付け",J566="巻足し",J566="巻返しリード付け"),M566,VLOOKUP(D566,契約台帳!$A$3:$N$4986,14,FALSE))))</f>
        <v>1005</v>
      </c>
      <c r="S566" s="272">
        <f ca="1">IF(D566="","",IF(OFFSET(D566,-1,0)&lt;&gt;"","",IF(OR(J566="リード付け",J566="巻足し",J566="巻返しリード付け"),M566,VLOOKUP(D566,契約台帳!$A$3:$O$4986,15,FALSE))))</f>
        <v>1005</v>
      </c>
      <c r="T566" s="273">
        <f ca="1">IF(D566="","",IF(J566="リード付け",N566,IF(J566="巻返しリード付け",N566,IF(J566="巻足し",N566*P566+OFFSET(N566,1,0)*OFFSET(P566,1,0),VLOOKUP(D566,契約台帳!$A$3:$P$4986,16,FALSE)))))</f>
        <v>8000</v>
      </c>
      <c r="U566" s="40">
        <v>1</v>
      </c>
      <c r="V566" s="274">
        <f ca="1">IF(D566="","",IF(OFFSET(D566,-2,0)=D566,"",VLOOKUP(D566,契約台帳!$A$3:$R$4986,18,FALSE)))</f>
        <v>4</v>
      </c>
      <c r="W566" s="269" t="str">
        <f ca="1">IF(D566="","",IF(T566="","",IF(OR(J566="巻足し",J566="巻返しリード付け"),"",IF(J566="巻返し",VLOOKUP(F566&amp;K566&amp;M566,製品マスタ!$M$5:$AD$5002,18,FALSE),IF(OR(J566="リード付け",J566="巻返しリード付け"),"原反コア",IF(J566="スリット",VLOOKUP(F566&amp;K566&amp;R566,製品マスタ!$N$5:$AD$5002,17,FALSE),""))))))</f>
        <v/>
      </c>
      <c r="X566" s="269" t="str">
        <f ca="1">IF(D566="","",IF(T566="","",IF(J566="巻足し","",IF(J566="巻返し",VLOOKUP(F566&amp;K566&amp;M566,製品マスタ!$M$5:$AE$5002,19,FALSE),IF(OR(J566="リード付け",J566="巻返しリード付け"),"",IF(J566="スリット",VLOOKUP(F566&amp;K566&amp;R566,製品マスタ!$N$5:$AE$5002,18,FALSE),""))))))</f>
        <v/>
      </c>
      <c r="Y566" s="275">
        <f ca="1">IF(D566="","",IF(T566="","",VLOOKUP(D566,契約台帳!$A$3:$Q$4986,17,FALSE)))</f>
        <v>2</v>
      </c>
      <c r="Z566" s="269" t="str">
        <f ca="1">IF(D566="","",IF(T566="","",VLOOKUP(D566,契約台帳!$A$3:$E$4986,5,FALSE)))</f>
        <v>リンテック㈱</v>
      </c>
      <c r="AA566" s="57"/>
      <c r="AB566" s="303" t="s">
        <v>774</v>
      </c>
      <c r="AC566" s="33"/>
      <c r="AD566" s="189"/>
      <c r="AE566" s="54"/>
      <c r="AF566" s="55"/>
      <c r="AG566" s="43"/>
      <c r="AH566" s="47"/>
      <c r="AI566" s="30"/>
      <c r="AJ566" s="30"/>
      <c r="AK566" s="30"/>
      <c r="AL566" s="30"/>
      <c r="AM566" s="13"/>
      <c r="AN566" s="13"/>
      <c r="AO566" s="13"/>
      <c r="AP566" s="13"/>
      <c r="AQ566" s="13"/>
      <c r="AR566" s="14"/>
      <c r="AS566" s="15"/>
    </row>
    <row r="567" spans="1:45" s="17" customFormat="1" ht="30.95" hidden="1" customHeight="1" x14ac:dyDescent="0.2">
      <c r="A567" s="37"/>
      <c r="B567" s="38"/>
      <c r="C567" s="45"/>
      <c r="D567" s="31"/>
      <c r="E567" s="31"/>
      <c r="F567" s="268" t="str">
        <f>IF(D567="","",VLOOKUP(D567,契約台帳!$A$3:$K$4986,6,FALSE)&amp;VLOOKUP(D567,契約台帳!$A$3:$K$4986,7,FALSE)&amp;VLOOKUP(D567,契約台帳!$A$3:$K$4986,8,FALSE)&amp;VLOOKUP(D567,契約台帳!$A$3:$K$4986,9,FALSE)&amp;VLOOKUP(D567,契約台帳!$A$3:$K$4986,11,FALSE))</f>
        <v/>
      </c>
      <c r="G567" s="269" t="str">
        <f>IF(D567="","",VLOOKUP(F567,製品マスタ!$G$5:$H$5002,2,FALSE))</f>
        <v/>
      </c>
      <c r="H567" s="269" t="str">
        <f>IF(D567="","",VLOOKUP(F567,製品マスタ!$G$5:$K$5002,5,FALSE))</f>
        <v/>
      </c>
      <c r="I567" s="270" t="str">
        <f>IF(D567="","",VLOOKUP(F567,製品マスタ!$G$5:$L$5002,6,FALSE))</f>
        <v/>
      </c>
      <c r="J567" s="306"/>
      <c r="K567" s="270" t="str">
        <f>IF(D567="","",VLOOKUP(D567,契約台帳!$A$3:$L$4986,12,FALSE))</f>
        <v/>
      </c>
      <c r="L567" s="270" t="str">
        <f>IF(D567="","",INDEX(製品マスタ!$Q$5:$Q$5002,MATCH('S4'!F567&amp;'S4'!K567,製品マスタ!$AO$5:$AO$5002,0)))</f>
        <v/>
      </c>
      <c r="M567" s="39"/>
      <c r="N567" s="39"/>
      <c r="O567" s="156"/>
      <c r="P567" s="47"/>
      <c r="Q567" s="57"/>
      <c r="R567" s="271" t="str">
        <f ca="1">IF(D567="","",IF(OFFSET(D567,-1,0)&lt;&gt;"","",IF(OR(J567="リード付け",J567="巻足し",J567="巻返しリード付け"),M567,VLOOKUP(D567,契約台帳!$A$3:$N$4986,14,FALSE))))</f>
        <v/>
      </c>
      <c r="S567" s="272" t="str">
        <f ca="1">IF(D567="","",IF(OFFSET(D567,-1,0)&lt;&gt;"","",IF(OR(J567="リード付け",J567="巻足し",J567="巻返しリード付け"),M567,VLOOKUP(D567,契約台帳!$A$3:$O$4986,15,FALSE))))</f>
        <v/>
      </c>
      <c r="T567" s="273" t="str">
        <f ca="1">IF(D567="","",IF(J567="リード付け",N567,IF(J567="巻返しリード付け",N567,IF(J567="巻足し",N567*P567+OFFSET(N567,1,0)*OFFSET(P567,1,0),VLOOKUP(D567,契約台帳!$A$3:$P$4986,16,FALSE)))))</f>
        <v/>
      </c>
      <c r="U567" s="40"/>
      <c r="V567" s="274" t="str">
        <f ca="1">IF(D567="","",IF(OFFSET(D567,-2,0)=D567,"",VLOOKUP(D567,契約台帳!$A$3:$R$4986,18,FALSE)))</f>
        <v/>
      </c>
      <c r="W567" s="269" t="str">
        <f>IF(D567="","",IF(T567="","",IF(OR(J567="巻足し",J567="巻返しリード付け"),"",IF(J567="巻返し",VLOOKUP(F567&amp;K567&amp;M567,製品マスタ!$M$5:$AD$5002,18,FALSE),IF(OR(J567="リード付け",J567="巻返しリード付け"),"原反コア",IF(J567="スリット",VLOOKUP(F567&amp;K567&amp;R567,製品マスタ!$N$5:$AD$5002,17,FALSE),""))))))</f>
        <v/>
      </c>
      <c r="X567" s="269" t="str">
        <f>IF(D567="","",IF(T567="","",IF(J567="巻足し","",IF(J567="巻返し",VLOOKUP(F567&amp;K567&amp;M567,製品マスタ!$M$5:$AE$5002,19,FALSE),IF(OR(J567="リード付け",J567="巻返しリード付け"),"",IF(J567="スリット",VLOOKUP(F567&amp;K567&amp;R567,製品マスタ!$N$5:$AE$5002,18,FALSE),""))))))</f>
        <v/>
      </c>
      <c r="Y567" s="275" t="str">
        <f>IF(D567="","",IF(T567="","",VLOOKUP(D567,契約台帳!$A$3:$Q$4986,17,FALSE)))</f>
        <v/>
      </c>
      <c r="Z567" s="269" t="str">
        <f>IF(D567="","",IF(T567="","",VLOOKUP(D567,契約台帳!$A$3:$E$4986,5,FALSE)))</f>
        <v/>
      </c>
      <c r="AA567" s="57"/>
      <c r="AB567" s="207" t="str">
        <f>IFERROR((VLOOKUP(F567&amp;K567&amp;M567,製品マスタ!$M$5:$AM$5002,27,FALSE)),"")</f>
        <v/>
      </c>
      <c r="AC567" s="33"/>
      <c r="AD567" s="189"/>
      <c r="AE567" s="54"/>
      <c r="AF567" s="55"/>
      <c r="AG567" s="43"/>
      <c r="AH567" s="47"/>
      <c r="AI567" s="30"/>
      <c r="AJ567" s="30"/>
      <c r="AK567" s="30"/>
      <c r="AL567" s="30"/>
      <c r="AM567" s="13"/>
      <c r="AN567" s="13"/>
      <c r="AO567" s="13"/>
      <c r="AP567" s="13"/>
      <c r="AQ567" s="13"/>
      <c r="AR567" s="14"/>
      <c r="AS567" s="15"/>
    </row>
    <row r="568" spans="1:45" s="17" customFormat="1" ht="30.95" hidden="1" customHeight="1" x14ac:dyDescent="0.2">
      <c r="A568" s="37"/>
      <c r="B568" s="38"/>
      <c r="C568" s="45"/>
      <c r="D568" s="31">
        <v>3711152</v>
      </c>
      <c r="E568" s="31">
        <v>4161917</v>
      </c>
      <c r="F568" s="268" t="str">
        <f>IF(D568="","",VLOOKUP(D568,契約台帳!$A$3:$K$4986,6,FALSE)&amp;VLOOKUP(D568,契約台帳!$A$3:$K$4986,7,FALSE)&amp;VLOOKUP(D568,契約台帳!$A$3:$K$4986,8,FALSE)&amp;VLOOKUP(D568,契約台帳!$A$3:$K$4986,9,FALSE)&amp;VLOOKUP(D568,契約台帳!$A$3:$K$4986,11,FALSE))</f>
        <v>3UNMCLBHLGTV</v>
      </c>
      <c r="G568" s="269" t="str">
        <f>IF(D568="","",VLOOKUP(F568,製品マスタ!$G$5:$H$5002,2,FALSE))</f>
        <v>U</v>
      </c>
      <c r="H568" s="269" t="str">
        <f>IF(D568="","",VLOOKUP(F568,製品マスタ!$G$5:$K$5002,5,FALSE))</f>
        <v>HLGTV</v>
      </c>
      <c r="I568" s="270" t="str">
        <f>IF(D568="","",VLOOKUP(F568,製品マスタ!$G$5:$L$5002,6,FALSE))</f>
        <v>メタルミー　ヘヤライン　銀艶Ｖ</v>
      </c>
      <c r="J568" s="210" t="s">
        <v>935</v>
      </c>
      <c r="K568" s="270">
        <f>IF(D568="","",VLOOKUP(D568,契約台帳!$A$3:$L$4986,12,FALSE))</f>
        <v>50</v>
      </c>
      <c r="L568" s="270" t="str">
        <f>IF(D568="","",INDEX(製品マスタ!$Q$5:$Q$5002,MATCH('S4'!F568&amp;'S4'!K568,製品マスタ!$AO$5:$AO$5002,0)))</f>
        <v>BRIGHT</v>
      </c>
      <c r="M568" s="39">
        <v>1005</v>
      </c>
      <c r="N568" s="39">
        <v>4100</v>
      </c>
      <c r="O568" s="156">
        <v>3</v>
      </c>
      <c r="P568" s="47">
        <v>3</v>
      </c>
      <c r="Q568" s="213">
        <v>45042</v>
      </c>
      <c r="R568" s="271">
        <f ca="1">IF(D568="","",IF(OFFSET(D568,-1,0)&lt;&gt;"","",IF(OR(J568="リード付け",J568="巻足し",J568="巻返しリード付け"),M568,VLOOKUP(D568,契約台帳!$A$3:$N$4986,14,FALSE))))</f>
        <v>1005</v>
      </c>
      <c r="S568" s="272">
        <f ca="1">IF(D568="","",IF(OFFSET(D568,-1,0)&lt;&gt;"","",IF(OR(J568="リード付け",J568="巻足し",J568="巻返しリード付け"),M568,VLOOKUP(D568,契約台帳!$A$3:$O$4986,15,FALSE))))</f>
        <v>1005</v>
      </c>
      <c r="T568" s="273">
        <f ca="1">IF(D568="","",IF(J568="リード付け",N568,IF(J568="巻返しリード付け",N568,IF(J568="巻足し",N568*P568+OFFSET(N568,1,0)*OFFSET(P568,1,0),VLOOKUP(D568,契約台帳!$A$3:$P$4986,16,FALSE)))))</f>
        <v>12300</v>
      </c>
      <c r="U568" s="40">
        <v>1</v>
      </c>
      <c r="V568" s="274">
        <f ca="1">IF(D568="","",IF(OFFSET(D568,-2,0)=D568,"",VLOOKUP(D568,契約台帳!$A$3:$R$4986,18,FALSE)))</f>
        <v>5</v>
      </c>
      <c r="W568" s="269" t="str">
        <f ca="1">IF(D568="","",IF(T568="","",IF(OR(J568="巻足し",J568="巻返しリード付け"),"",IF(J568="巻返し",VLOOKUP(F568&amp;K568&amp;M568,製品マスタ!$M$5:$AD$5002,18,FALSE),IF(OR(J568="リード付け",J568="巻返しリード付け"),"原反コア",IF(J568="スリット",VLOOKUP(F568&amp;K568&amp;R568,製品マスタ!$N$5:$AD$5002,17,FALSE),""))))))</f>
        <v/>
      </c>
      <c r="X568" s="269" t="str">
        <f ca="1">IF(D568="","",IF(T568="","",IF(J568="巻足し","",IF(J568="巻返し",VLOOKUP(F568&amp;K568&amp;M568,製品マスタ!$M$5:$AE$5002,19,FALSE),IF(OR(J568="リード付け",J568="巻返しリード付け"),"",IF(J568="スリット",VLOOKUP(F568&amp;K568&amp;R568,製品マスタ!$N$5:$AE$5002,18,FALSE),""))))))</f>
        <v/>
      </c>
      <c r="Y568" s="275">
        <f ca="1">IF(D568="","",IF(T568="","",VLOOKUP(D568,契約台帳!$A$3:$Q$4986,17,FALSE)))</f>
        <v>2</v>
      </c>
      <c r="Z568" s="269" t="str">
        <f ca="1">IF(D568="","",IF(T568="","",VLOOKUP(D568,契約台帳!$A$3:$E$4986,5,FALSE)))</f>
        <v>リンテック㈱</v>
      </c>
      <c r="AA568" s="57"/>
      <c r="AB568" s="303" t="s">
        <v>774</v>
      </c>
      <c r="AC568" s="33"/>
      <c r="AD568" s="189"/>
      <c r="AE568" s="54"/>
      <c r="AF568" s="55"/>
      <c r="AG568" s="43"/>
      <c r="AH568" s="47"/>
      <c r="AI568" s="30"/>
      <c r="AJ568" s="30"/>
      <c r="AK568" s="30"/>
      <c r="AL568" s="30"/>
      <c r="AM568" s="13"/>
      <c r="AN568" s="13"/>
      <c r="AO568" s="13"/>
      <c r="AP568" s="13"/>
      <c r="AQ568" s="13"/>
      <c r="AR568" s="14"/>
      <c r="AS568" s="15"/>
    </row>
    <row r="569" spans="1:45" s="17" customFormat="1" ht="30.95" hidden="1" customHeight="1" x14ac:dyDescent="0.2">
      <c r="A569" s="37"/>
      <c r="B569" s="38"/>
      <c r="C569" s="45"/>
      <c r="D569" s="31"/>
      <c r="E569" s="31"/>
      <c r="F569" s="268" t="str">
        <f>IF(D569="","",VLOOKUP(D569,契約台帳!$A$3:$K$4986,6,FALSE)&amp;VLOOKUP(D569,契約台帳!$A$3:$K$4986,7,FALSE)&amp;VLOOKUP(D569,契約台帳!$A$3:$K$4986,8,FALSE)&amp;VLOOKUP(D569,契約台帳!$A$3:$K$4986,9,FALSE)&amp;VLOOKUP(D569,契約台帳!$A$3:$K$4986,11,FALSE))</f>
        <v/>
      </c>
      <c r="G569" s="269" t="str">
        <f>IF(D569="","",VLOOKUP(F569,製品マスタ!$G$5:$H$5002,2,FALSE))</f>
        <v/>
      </c>
      <c r="H569" s="269" t="str">
        <f>IF(D569="","",VLOOKUP(F569,製品マスタ!$G$5:$K$5002,5,FALSE))</f>
        <v/>
      </c>
      <c r="I569" s="270" t="str">
        <f>IF(D569="","",VLOOKUP(F569,製品マスタ!$G$5:$L$5002,6,FALSE))</f>
        <v/>
      </c>
      <c r="J569" s="210"/>
      <c r="K569" s="270" t="str">
        <f>IF(D569="","",VLOOKUP(D569,契約台帳!$A$3:$L$4986,12,FALSE))</f>
        <v/>
      </c>
      <c r="L569" s="270" t="str">
        <f>IF(D569="","",INDEX(製品マスタ!$Q$5:$Q$5002,MATCH('S4'!F569&amp;'S4'!K569,製品マスタ!$AO$5:$AO$5002,0)))</f>
        <v/>
      </c>
      <c r="M569" s="39"/>
      <c r="N569" s="39"/>
      <c r="O569" s="156"/>
      <c r="P569" s="47"/>
      <c r="Q569" s="57"/>
      <c r="R569" s="271" t="str">
        <f ca="1">IF(D569="","",IF(OFFSET(D569,-1,0)&lt;&gt;"","",IF(OR(J569="リード付け",J569="巻足し",J569="巻返しリード付け"),M569,VLOOKUP(D569,契約台帳!$A$3:$N$4986,14,FALSE))))</f>
        <v/>
      </c>
      <c r="S569" s="272" t="str">
        <f ca="1">IF(D569="","",IF(OFFSET(D569,-1,0)&lt;&gt;"","",IF(OR(J569="リード付け",J569="巻足し",J569="巻返しリード付け"),M569,VLOOKUP(D569,契約台帳!$A$3:$O$4986,15,FALSE))))</f>
        <v/>
      </c>
      <c r="T569" s="273" t="str">
        <f ca="1">IF(D569="","",IF(J569="リード付け",N569,IF(J569="巻返しリード付け",N569,IF(J569="巻足し",N569*P569+OFFSET(N569,1,0)*OFFSET(P569,1,0),VLOOKUP(D569,契約台帳!$A$3:$P$4986,16,FALSE)))))</f>
        <v/>
      </c>
      <c r="U569" s="40"/>
      <c r="V569" s="274" t="str">
        <f ca="1">IF(D569="","",IF(OFFSET(D569,-2,0)=D569,"",VLOOKUP(D569,契約台帳!$A$3:$R$4986,18,FALSE)))</f>
        <v/>
      </c>
      <c r="W569" s="269" t="str">
        <f>IF(D569="","",IF(T569="","",IF(OR(J569="巻足し",J569="巻返しリード付け"),"",IF(J569="巻返し",VLOOKUP(F569&amp;K569&amp;M569,製品マスタ!$M$5:$AD$5002,18,FALSE),IF(OR(J569="リード付け",J569="巻返しリード付け"),"原反コア",IF(J569="スリット",VLOOKUP(F569&amp;K569&amp;R569,製品マスタ!$N$5:$AD$5002,17,FALSE),""))))))</f>
        <v/>
      </c>
      <c r="X569" s="269" t="str">
        <f>IF(D569="","",IF(T569="","",IF(J569="巻足し","",IF(J569="巻返し",VLOOKUP(F569&amp;K569&amp;M569,製品マスタ!$M$5:$AE$5002,19,FALSE),IF(OR(J569="リード付け",J569="巻返しリード付け"),"",IF(J569="スリット",VLOOKUP(F569&amp;K569&amp;R569,製品マスタ!$N$5:$AE$5002,18,FALSE),""))))))</f>
        <v/>
      </c>
      <c r="Y569" s="275" t="str">
        <f>IF(D569="","",IF(T569="","",VLOOKUP(D569,契約台帳!$A$3:$Q$4986,17,FALSE)))</f>
        <v/>
      </c>
      <c r="Z569" s="269" t="str">
        <f>IF(D569="","",IF(T569="","",VLOOKUP(D569,契約台帳!$A$3:$E$4986,5,FALSE)))</f>
        <v/>
      </c>
      <c r="AA569" s="57"/>
      <c r="AB569" s="207" t="str">
        <f>IFERROR((VLOOKUP(F569&amp;K569&amp;M569,製品マスタ!$M$5:$AM$5002,27,FALSE)),"")</f>
        <v/>
      </c>
      <c r="AC569" s="33"/>
      <c r="AD569" s="189"/>
      <c r="AE569" s="54"/>
      <c r="AF569" s="55"/>
      <c r="AG569" s="43"/>
      <c r="AH569" s="47"/>
      <c r="AI569" s="30"/>
      <c r="AJ569" s="30"/>
      <c r="AK569" s="30"/>
      <c r="AL569" s="30"/>
      <c r="AM569" s="13"/>
      <c r="AN569" s="13"/>
      <c r="AO569" s="13"/>
      <c r="AP569" s="13"/>
      <c r="AQ569" s="13"/>
      <c r="AR569" s="14"/>
      <c r="AS569" s="15"/>
    </row>
    <row r="570" spans="1:45" s="17" customFormat="1" ht="30.95" hidden="1" customHeight="1" x14ac:dyDescent="0.2">
      <c r="A570" s="37"/>
      <c r="B570" s="38"/>
      <c r="C570" s="45"/>
      <c r="D570" s="31">
        <v>3711152</v>
      </c>
      <c r="E570" s="31">
        <v>4161917</v>
      </c>
      <c r="F570" s="268" t="str">
        <f>IF(D570="","",VLOOKUP(D570,契約台帳!$A$3:$K$4986,6,FALSE)&amp;VLOOKUP(D570,契約台帳!$A$3:$K$4986,7,FALSE)&amp;VLOOKUP(D570,契約台帳!$A$3:$K$4986,8,FALSE)&amp;VLOOKUP(D570,契約台帳!$A$3:$K$4986,9,FALSE)&amp;VLOOKUP(D570,契約台帳!$A$3:$K$4986,11,FALSE))</f>
        <v>3UNMCLBHLGTV</v>
      </c>
      <c r="G570" s="269" t="str">
        <f>IF(D570="","",VLOOKUP(F570,製品マスタ!$G$5:$H$5002,2,FALSE))</f>
        <v>U</v>
      </c>
      <c r="H570" s="269" t="str">
        <f>IF(D570="","",VLOOKUP(F570,製品マスタ!$G$5:$K$5002,5,FALSE))</f>
        <v>HLGTV</v>
      </c>
      <c r="I570" s="270" t="str">
        <f>IF(D570="","",VLOOKUP(F570,製品マスタ!$G$5:$L$5002,6,FALSE))</f>
        <v>メタルミー　ヘヤライン　銀艶Ｖ</v>
      </c>
      <c r="J570" s="210" t="s">
        <v>935</v>
      </c>
      <c r="K570" s="270">
        <f>IF(D570="","",VLOOKUP(D570,契約台帳!$A$3:$L$4986,12,FALSE))</f>
        <v>50</v>
      </c>
      <c r="L570" s="270" t="str">
        <f>IF(D570="","",INDEX(製品マスタ!$Q$5:$Q$5002,MATCH('S4'!F570&amp;'S4'!K570,製品マスタ!$AO$5:$AO$5002,0)))</f>
        <v>BRIGHT</v>
      </c>
      <c r="M570" s="39">
        <v>1005</v>
      </c>
      <c r="N570" s="39">
        <v>4100</v>
      </c>
      <c r="O570" s="156">
        <v>2</v>
      </c>
      <c r="P570" s="47">
        <v>2</v>
      </c>
      <c r="Q570" s="213">
        <v>45042</v>
      </c>
      <c r="R570" s="271">
        <f ca="1">IF(D570="","",IF(OFFSET(D570,-1,0)&lt;&gt;"","",IF(OR(J570="リード付け",J570="巻足し",J570="巻返しリード付け"),M570,VLOOKUP(D570,契約台帳!$A$3:$N$4986,14,FALSE))))</f>
        <v>1005</v>
      </c>
      <c r="S570" s="272">
        <f ca="1">IF(D570="","",IF(OFFSET(D570,-1,0)&lt;&gt;"","",IF(OR(J570="リード付け",J570="巻足し",J570="巻返しリード付け"),M570,VLOOKUP(D570,契約台帳!$A$3:$O$4986,15,FALSE))))</f>
        <v>1005</v>
      </c>
      <c r="T570" s="273">
        <f ca="1">IF(D570="","",IF(J570="リード付け",N570,IF(J570="巻返しリード付け",N570,IF(J570="巻足し",N570*P570+OFFSET(N570,1,0)*OFFSET(P570,1,0),VLOOKUP(D570,契約台帳!$A$3:$P$4986,16,FALSE)))))</f>
        <v>8200</v>
      </c>
      <c r="U570" s="40">
        <v>1</v>
      </c>
      <c r="V570" s="274" t="str">
        <f ca="1">IF(D570="","",IF(OFFSET(D570,-2,0)=D570,"",VLOOKUP(D570,契約台帳!$A$3:$R$4986,18,FALSE)))</f>
        <v/>
      </c>
      <c r="W570" s="269" t="str">
        <f ca="1">IF(D570="","",IF(T570="","",IF(OR(J570="巻足し",J570="巻返しリード付け"),"",IF(J570="巻返し",VLOOKUP(F570&amp;K570&amp;M570,製品マスタ!$M$5:$AD$5002,18,FALSE),IF(OR(J570="リード付け",J570="巻返しリード付け"),"原反コア",IF(J570="スリット",VLOOKUP(F570&amp;K570&amp;R570,製品マスタ!$N$5:$AD$5002,17,FALSE),""))))))</f>
        <v/>
      </c>
      <c r="X570" s="269" t="str">
        <f ca="1">IF(D570="","",IF(T570="","",IF(J570="巻足し","",IF(J570="巻返し",VLOOKUP(F570&amp;K570&amp;M570,製品マスタ!$M$5:$AE$5002,19,FALSE),IF(OR(J570="リード付け",J570="巻返しリード付け"),"",IF(J570="スリット",VLOOKUP(F570&amp;K570&amp;R570,製品マスタ!$N$5:$AE$5002,18,FALSE),""))))))</f>
        <v/>
      </c>
      <c r="Y570" s="275">
        <f ca="1">IF(D570="","",IF(T570="","",VLOOKUP(D570,契約台帳!$A$3:$Q$4986,17,FALSE)))</f>
        <v>2</v>
      </c>
      <c r="Z570" s="269" t="str">
        <f ca="1">IF(D570="","",IF(T570="","",VLOOKUP(D570,契約台帳!$A$3:$E$4986,5,FALSE)))</f>
        <v>リンテック㈱</v>
      </c>
      <c r="AA570" s="57"/>
      <c r="AB570" s="303" t="s">
        <v>774</v>
      </c>
      <c r="AC570" s="33"/>
      <c r="AD570" s="189"/>
      <c r="AE570" s="54"/>
      <c r="AF570" s="55"/>
      <c r="AG570" s="43"/>
      <c r="AH570" s="47"/>
      <c r="AI570" s="30"/>
      <c r="AJ570" s="30"/>
      <c r="AK570" s="30"/>
      <c r="AL570" s="30"/>
      <c r="AM570" s="13"/>
      <c r="AN570" s="13"/>
      <c r="AO570" s="13"/>
      <c r="AP570" s="13"/>
      <c r="AQ570" s="13"/>
      <c r="AR570" s="14"/>
      <c r="AS570" s="15"/>
    </row>
    <row r="571" spans="1:45" s="17" customFormat="1" ht="30.95" hidden="1" customHeight="1" x14ac:dyDescent="0.2">
      <c r="A571" s="37"/>
      <c r="B571" s="38"/>
      <c r="C571" s="45"/>
      <c r="D571" s="31"/>
      <c r="E571" s="31"/>
      <c r="F571" s="268" t="str">
        <f>IF(D571="","",VLOOKUP(D571,契約台帳!$A$3:$K$4986,6,FALSE)&amp;VLOOKUP(D571,契約台帳!$A$3:$K$4986,7,FALSE)&amp;VLOOKUP(D571,契約台帳!$A$3:$K$4986,8,FALSE)&amp;VLOOKUP(D571,契約台帳!$A$3:$K$4986,9,FALSE)&amp;VLOOKUP(D571,契約台帳!$A$3:$K$4986,11,FALSE))</f>
        <v/>
      </c>
      <c r="G571" s="269" t="str">
        <f>IF(D571="","",VLOOKUP(F571,製品マスタ!$G$5:$H$5002,2,FALSE))</f>
        <v/>
      </c>
      <c r="H571" s="269" t="str">
        <f>IF(D571="","",VLOOKUP(F571,製品マスタ!$G$5:$K$5002,5,FALSE))</f>
        <v/>
      </c>
      <c r="I571" s="270" t="str">
        <f>IF(D571="","",VLOOKUP(F571,製品マスタ!$G$5:$L$5002,6,FALSE))</f>
        <v/>
      </c>
      <c r="J571" s="210"/>
      <c r="K571" s="270" t="str">
        <f>IF(D571="","",VLOOKUP(D571,契約台帳!$A$3:$L$4986,12,FALSE))</f>
        <v/>
      </c>
      <c r="L571" s="270" t="str">
        <f>IF(D571="","",INDEX(製品マスタ!$Q$5:$Q$5002,MATCH('S4'!F571&amp;'S4'!K571,製品マスタ!$AO$5:$AO$5002,0)))</f>
        <v/>
      </c>
      <c r="M571" s="39"/>
      <c r="N571" s="39"/>
      <c r="O571" s="156"/>
      <c r="P571" s="47"/>
      <c r="Q571" s="57"/>
      <c r="R571" s="271" t="str">
        <f ca="1">IF(D571="","",IF(OFFSET(D571,-1,0)&lt;&gt;"","",IF(OR(J571="リード付け",J571="巻足し",J571="巻返しリード付け"),M571,VLOOKUP(D571,契約台帳!$A$3:$N$4986,14,FALSE))))</f>
        <v/>
      </c>
      <c r="S571" s="272" t="str">
        <f ca="1">IF(D571="","",IF(OFFSET(D571,-1,0)&lt;&gt;"","",IF(OR(J571="リード付け",J571="巻足し",J571="巻返しリード付け"),M571,VLOOKUP(D571,契約台帳!$A$3:$O$4986,15,FALSE))))</f>
        <v/>
      </c>
      <c r="T571" s="273" t="str">
        <f ca="1">IF(D571="","",IF(J571="リード付け",N571,IF(J571="巻返しリード付け",N571,IF(J571="巻足し",N571*P571+OFFSET(N571,1,0)*OFFSET(P571,1,0),VLOOKUP(D571,契約台帳!$A$3:$P$4986,16,FALSE)))))</f>
        <v/>
      </c>
      <c r="U571" s="40"/>
      <c r="V571" s="274" t="str">
        <f ca="1">IF(D571="","",IF(OFFSET(D571,-2,0)=D571,"",VLOOKUP(D571,契約台帳!$A$3:$R$4986,18,FALSE)))</f>
        <v/>
      </c>
      <c r="W571" s="269" t="str">
        <f>IF(D571="","",IF(T571="","",IF(OR(J571="巻足し",J571="巻返しリード付け"),"",IF(J571="巻返し",VLOOKUP(F571&amp;K571&amp;M571,製品マスタ!$M$5:$AD$5002,18,FALSE),IF(OR(J571="リード付け",J571="巻返しリード付け"),"原反コア",IF(J571="スリット",VLOOKUP(F571&amp;K571&amp;R571,製品マスタ!$N$5:$AD$5002,17,FALSE),""))))))</f>
        <v/>
      </c>
      <c r="X571" s="269" t="str">
        <f>IF(D571="","",IF(T571="","",IF(J571="巻足し","",IF(J571="巻返し",VLOOKUP(F571&amp;K571&amp;M571,製品マスタ!$M$5:$AE$5002,19,FALSE),IF(OR(J571="リード付け",J571="巻返しリード付け"),"",IF(J571="スリット",VLOOKUP(F571&amp;K571&amp;R571,製品マスタ!$N$5:$AE$5002,18,FALSE),""))))))</f>
        <v/>
      </c>
      <c r="Y571" s="275" t="str">
        <f>IF(D571="","",IF(T571="","",VLOOKUP(D571,契約台帳!$A$3:$Q$4986,17,FALSE)))</f>
        <v/>
      </c>
      <c r="Z571" s="269" t="str">
        <f>IF(D571="","",IF(T571="","",VLOOKUP(D571,契約台帳!$A$3:$E$4986,5,FALSE)))</f>
        <v/>
      </c>
      <c r="AA571" s="57"/>
      <c r="AB571" s="207" t="str">
        <f>IFERROR((VLOOKUP(F571&amp;K571&amp;M571,製品マスタ!$M$5:$AM$5002,27,FALSE)),"")</f>
        <v/>
      </c>
      <c r="AC571" s="33"/>
      <c r="AD571" s="189"/>
      <c r="AE571" s="54"/>
      <c r="AF571" s="55"/>
      <c r="AG571" s="43"/>
      <c r="AH571" s="47"/>
      <c r="AI571" s="30"/>
      <c r="AJ571" s="30"/>
      <c r="AK571" s="30"/>
      <c r="AL571" s="30"/>
      <c r="AM571" s="13"/>
      <c r="AN571" s="13"/>
      <c r="AO571" s="13"/>
      <c r="AP571" s="13"/>
      <c r="AQ571" s="13"/>
      <c r="AR571" s="14"/>
      <c r="AS571" s="15"/>
    </row>
    <row r="572" spans="1:45" s="17" customFormat="1" ht="30.95" hidden="1" customHeight="1" x14ac:dyDescent="0.2">
      <c r="A572" s="37"/>
      <c r="B572" s="38"/>
      <c r="C572" s="45"/>
      <c r="D572" s="31">
        <v>3711153</v>
      </c>
      <c r="E572" s="31">
        <v>4161916</v>
      </c>
      <c r="F572" s="268" t="str">
        <f>IF(D572="","",VLOOKUP(D572,契約台帳!$A$3:$K$4986,6,FALSE)&amp;VLOOKUP(D572,契約台帳!$A$3:$K$4986,7,FALSE)&amp;VLOOKUP(D572,契約台帳!$A$3:$K$4986,8,FALSE)&amp;VLOOKUP(D572,契約台帳!$A$3:$K$4986,9,FALSE)&amp;VLOOKUP(D572,契約台帳!$A$3:$K$4986,11,FALSE))</f>
        <v>3UNMCLBHLGTV</v>
      </c>
      <c r="G572" s="269" t="str">
        <f>IF(D572="","",VLOOKUP(F572,製品マスタ!$G$5:$H$5002,2,FALSE))</f>
        <v>U</v>
      </c>
      <c r="H572" s="269" t="str">
        <f>IF(D572="","",VLOOKUP(F572,製品マスタ!$G$5:$K$5002,5,FALSE))</f>
        <v>HLGTV</v>
      </c>
      <c r="I572" s="270" t="str">
        <f>IF(D572="","",VLOOKUP(F572,製品マスタ!$G$5:$L$5002,6,FALSE))</f>
        <v>メタルミー　ヘヤライン　銀艶Ｖ</v>
      </c>
      <c r="J572" s="210" t="s">
        <v>464</v>
      </c>
      <c r="K572" s="270">
        <f>IF(D572="","",VLOOKUP(D572,契約台帳!$A$3:$L$4986,12,FALSE))</f>
        <v>25</v>
      </c>
      <c r="L572" s="270" t="str">
        <f>IF(D572="","",INDEX(製品マスタ!$Q$5:$Q$5002,MATCH('S4'!F572&amp;'S4'!K572,製品マスタ!$AO$5:$AO$5002,0)))</f>
        <v>BRIGHT</v>
      </c>
      <c r="M572" s="39">
        <v>1005</v>
      </c>
      <c r="N572" s="39">
        <v>8000</v>
      </c>
      <c r="O572" s="156">
        <v>1</v>
      </c>
      <c r="P572" s="47">
        <v>1</v>
      </c>
      <c r="Q572" s="213">
        <v>45042</v>
      </c>
      <c r="R572" s="271">
        <f ca="1">IF(D572="","",IF(OFFSET(D572,-1,0)&lt;&gt;"","",IF(OR(J572="リード付け",J572="巻足し",J572="巻返しリード付け"),M572,VLOOKUP(D572,契約台帳!$A$3:$N$4986,14,FALSE))))</f>
        <v>1005</v>
      </c>
      <c r="S572" s="272">
        <f ca="1">IF(D572="","",IF(OFFSET(D572,-1,0)&lt;&gt;"","",IF(OR(J572="リード付け",J572="巻足し",J572="巻返しリード付け"),M572,VLOOKUP(D572,契約台帳!$A$3:$O$4986,15,FALSE))))</f>
        <v>1005</v>
      </c>
      <c r="T572" s="273">
        <f ca="1">IF(D572="","",IF(J572="リード付け",N572,IF(J572="巻返しリード付け",N572,IF(J572="巻足し",N572*P572+OFFSET(N572,1,0)*OFFSET(P572,1,0),VLOOKUP(D572,契約台帳!$A$3:$P$4986,16,FALSE)))))</f>
        <v>8000</v>
      </c>
      <c r="U572" s="40">
        <v>1</v>
      </c>
      <c r="V572" s="274">
        <f ca="1">IF(D572="","",IF(OFFSET(D572,-2,0)=D572,"",VLOOKUP(D572,契約台帳!$A$3:$R$4986,18,FALSE)))</f>
        <v>4</v>
      </c>
      <c r="W572" s="269" t="str">
        <f ca="1">IF(D572="","",IF(T572="","",IF(OR(J572="巻足し",J572="巻返しリード付け"),"",IF(J572="巻返し",VLOOKUP(F572&amp;K572&amp;M572,製品マスタ!$M$5:$AD$5002,18,FALSE),IF(OR(J572="リード付け",J572="巻返しリード付け"),"原反コア",IF(J572="スリット",VLOOKUP(F572&amp;K572&amp;R572,製品マスタ!$N$5:$AD$5002,17,FALSE),""))))))</f>
        <v>原反コア</v>
      </c>
      <c r="X572" s="269" t="str">
        <f ca="1">IF(D572="","",IF(T572="","",IF(J572="巻足し","",IF(J572="巻返し",VLOOKUP(F572&amp;K572&amp;M572,製品マスタ!$M$5:$AE$5002,19,FALSE),IF(OR(J572="リード付け",J572="巻返しリード付け"),"",IF(J572="スリット",VLOOKUP(F572&amp;K572&amp;R572,製品マスタ!$N$5:$AE$5002,18,FALSE),""))))))</f>
        <v/>
      </c>
      <c r="Y572" s="275">
        <f ca="1">IF(D572="","",IF(T572="","",VLOOKUP(D572,契約台帳!$A$3:$Q$4986,17,FALSE)))</f>
        <v>2</v>
      </c>
      <c r="Z572" s="269" t="str">
        <f ca="1">IF(D572="","",IF(T572="","",VLOOKUP(D572,契約台帳!$A$3:$E$4986,5,FALSE)))</f>
        <v>リンテック㈱</v>
      </c>
      <c r="AA572" s="57"/>
      <c r="AB572" s="303" t="s">
        <v>774</v>
      </c>
      <c r="AC572" s="33"/>
      <c r="AD572" s="189"/>
      <c r="AE572" s="54"/>
      <c r="AF572" s="55"/>
      <c r="AG572" s="43"/>
      <c r="AH572" s="47"/>
      <c r="AI572" s="30"/>
      <c r="AJ572" s="30"/>
      <c r="AK572" s="30"/>
      <c r="AL572" s="30"/>
      <c r="AM572" s="13"/>
      <c r="AN572" s="13"/>
      <c r="AO572" s="13"/>
      <c r="AP572" s="13"/>
      <c r="AQ572" s="13"/>
      <c r="AR572" s="14"/>
      <c r="AS572" s="15"/>
    </row>
    <row r="573" spans="1:45" s="17" customFormat="1" ht="30.95" hidden="1" customHeight="1" x14ac:dyDescent="0.2">
      <c r="A573" s="37"/>
      <c r="B573" s="38"/>
      <c r="C573" s="45"/>
      <c r="D573" s="31"/>
      <c r="E573" s="31"/>
      <c r="F573" s="268" t="str">
        <f>IF(D573="","",VLOOKUP(D573,契約台帳!$A$3:$K$4986,6,FALSE)&amp;VLOOKUP(D573,契約台帳!$A$3:$K$4986,7,FALSE)&amp;VLOOKUP(D573,契約台帳!$A$3:$K$4986,8,FALSE)&amp;VLOOKUP(D573,契約台帳!$A$3:$K$4986,9,FALSE)&amp;VLOOKUP(D573,契約台帳!$A$3:$K$4986,11,FALSE))</f>
        <v/>
      </c>
      <c r="G573" s="269" t="str">
        <f>IF(D573="","",VLOOKUP(F573,製品マスタ!$G$5:$H$5002,2,FALSE))</f>
        <v/>
      </c>
      <c r="H573" s="269" t="str">
        <f>IF(D573="","",VLOOKUP(F573,製品マスタ!$G$5:$K$5002,5,FALSE))</f>
        <v/>
      </c>
      <c r="I573" s="270" t="str">
        <f>IF(D573="","",VLOOKUP(F573,製品マスタ!$G$5:$L$5002,6,FALSE))</f>
        <v/>
      </c>
      <c r="J573" s="210"/>
      <c r="K573" s="270" t="str">
        <f>IF(D573="","",VLOOKUP(D573,契約台帳!$A$3:$L$4986,12,FALSE))</f>
        <v/>
      </c>
      <c r="L573" s="270" t="str">
        <f>IF(D573="","",INDEX(製品マスタ!$Q$5:$Q$5002,MATCH('S4'!F573&amp;'S4'!K573,製品マスタ!$AO$5:$AO$5002,0)))</f>
        <v/>
      </c>
      <c r="M573" s="39"/>
      <c r="N573" s="39"/>
      <c r="O573" s="156"/>
      <c r="P573" s="47"/>
      <c r="Q573" s="57"/>
      <c r="R573" s="271" t="str">
        <f ca="1">IF(D573="","",IF(OFFSET(D573,-1,0)&lt;&gt;"","",IF(OR(J573="リード付け",J573="巻足し",J573="巻返しリード付け"),M573,VLOOKUP(D573,契約台帳!$A$3:$N$4986,14,FALSE))))</f>
        <v/>
      </c>
      <c r="S573" s="272" t="str">
        <f ca="1">IF(D573="","",IF(OFFSET(D573,-1,0)&lt;&gt;"","",IF(OR(J573="リード付け",J573="巻足し",J573="巻返しリード付け"),M573,VLOOKUP(D573,契約台帳!$A$3:$O$4986,15,FALSE))))</f>
        <v/>
      </c>
      <c r="T573" s="273" t="str">
        <f ca="1">IF(D573="","",IF(J573="リード付け",N573,IF(J573="巻返しリード付け",N573,IF(J573="巻足し",N573*P573+OFFSET(N573,1,0)*OFFSET(P573,1,0),VLOOKUP(D573,契約台帳!$A$3:$P$4986,16,FALSE)))))</f>
        <v/>
      </c>
      <c r="U573" s="40"/>
      <c r="V573" s="274" t="str">
        <f ca="1">IF(D573="","",IF(OFFSET(D573,-2,0)=D573,"",VLOOKUP(D573,契約台帳!$A$3:$R$4986,18,FALSE)))</f>
        <v/>
      </c>
      <c r="W573" s="269" t="str">
        <f>IF(D573="","",IF(T573="","",IF(OR(J573="巻足し",J573="巻返しリード付け"),"",IF(J573="巻返し",VLOOKUP(F573&amp;K573&amp;M573,製品マスタ!$M$5:$AD$5002,18,FALSE),IF(OR(J573="リード付け",J573="巻返しリード付け"),"原反コア",IF(J573="スリット",VLOOKUP(F573&amp;K573&amp;R573,製品マスタ!$N$5:$AD$5002,17,FALSE),""))))))</f>
        <v/>
      </c>
      <c r="X573" s="269" t="str">
        <f>IF(D573="","",IF(T573="","",IF(J573="巻足し","",IF(J573="巻返し",VLOOKUP(F573&amp;K573&amp;M573,製品マスタ!$M$5:$AE$5002,19,FALSE),IF(OR(J573="リード付け",J573="巻返しリード付け"),"",IF(J573="スリット",VLOOKUP(F573&amp;K573&amp;R573,製品マスタ!$N$5:$AE$5002,18,FALSE),""))))))</f>
        <v/>
      </c>
      <c r="Y573" s="275" t="str">
        <f>IF(D573="","",IF(T573="","",VLOOKUP(D573,契約台帳!$A$3:$Q$4986,17,FALSE)))</f>
        <v/>
      </c>
      <c r="Z573" s="269" t="str">
        <f>IF(D573="","",IF(T573="","",VLOOKUP(D573,契約台帳!$A$3:$E$4986,5,FALSE)))</f>
        <v/>
      </c>
      <c r="AA573" s="57"/>
      <c r="AB573" s="207" t="str">
        <f>IFERROR((VLOOKUP(F573&amp;K573&amp;M573,製品マスタ!$M$5:$AM$5002,27,FALSE)),"")</f>
        <v/>
      </c>
      <c r="AC573" s="33"/>
      <c r="AD573" s="189"/>
      <c r="AE573" s="54"/>
      <c r="AF573" s="55"/>
      <c r="AG573" s="43"/>
      <c r="AH573" s="47"/>
      <c r="AI573" s="30"/>
      <c r="AJ573" s="30"/>
      <c r="AK573" s="30"/>
      <c r="AL573" s="30"/>
      <c r="AM573" s="13"/>
      <c r="AN573" s="13"/>
      <c r="AO573" s="13"/>
      <c r="AP573" s="13"/>
      <c r="AQ573" s="13"/>
      <c r="AR573" s="14"/>
      <c r="AS573" s="15"/>
    </row>
    <row r="574" spans="1:45" s="17" customFormat="1" ht="30.95" hidden="1" customHeight="1" x14ac:dyDescent="0.2">
      <c r="A574" s="37" t="s">
        <v>1130</v>
      </c>
      <c r="B574" s="38" t="s">
        <v>1101</v>
      </c>
      <c r="C574" s="45"/>
      <c r="D574" s="31"/>
      <c r="E574" s="31"/>
      <c r="F574" s="268" t="str">
        <f>IF(D574="","",VLOOKUP(D574,契約台帳!$A$3:$K$4986,6,FALSE)&amp;VLOOKUP(D574,契約台帳!$A$3:$K$4986,7,FALSE)&amp;VLOOKUP(D574,契約台帳!$A$3:$K$4986,8,FALSE)&amp;VLOOKUP(D574,契約台帳!$A$3:$K$4986,9,FALSE)&amp;VLOOKUP(D574,契約台帳!$A$3:$K$4986,11,FALSE))</f>
        <v/>
      </c>
      <c r="G574" s="269" t="str">
        <f>IF(D574="","",VLOOKUP(F574,製品マスタ!$G$5:$H$5002,2,FALSE))</f>
        <v/>
      </c>
      <c r="H574" s="269" t="str">
        <f>IF(D574="","",VLOOKUP(F574,製品マスタ!$G$5:$K$5002,5,FALSE))</f>
        <v/>
      </c>
      <c r="I574" s="270" t="str">
        <f>IF(D574="","",VLOOKUP(F574,製品マスタ!$G$5:$L$5002,6,FALSE))</f>
        <v/>
      </c>
      <c r="J574" s="210" t="s">
        <v>1134</v>
      </c>
      <c r="K574" s="270" t="str">
        <f>IF(D574="","",VLOOKUP(D574,契約台帳!$A$3:$L$4986,12,FALSE))</f>
        <v/>
      </c>
      <c r="L574" s="270" t="str">
        <f>IF(D574="","",INDEX(製品マスタ!$Q$5:$Q$5002,MATCH('S4'!F574&amp;'S4'!K574,製品マスタ!$AO$5:$AO$5002,0)))</f>
        <v/>
      </c>
      <c r="M574" s="39"/>
      <c r="N574" s="39"/>
      <c r="O574" s="156"/>
      <c r="P574" s="47"/>
      <c r="Q574" s="57"/>
      <c r="R574" s="271" t="str">
        <f ca="1">IF(D574="","",IF(OFFSET(D574,-1,0)&lt;&gt;"","",IF(OR(J574="リード付け",J574="巻足し",J574="巻返しリード付け"),M574,VLOOKUP(D574,契約台帳!$A$3:$N$4986,14,FALSE))))</f>
        <v/>
      </c>
      <c r="S574" s="272" t="str">
        <f ca="1">IF(D574="","",IF(OFFSET(D574,-1,0)&lt;&gt;"","",IF(OR(J574="リード付け",J574="巻足し",J574="巻返しリード付け"),M574,VLOOKUP(D574,契約台帳!$A$3:$O$4986,15,FALSE))))</f>
        <v/>
      </c>
      <c r="T574" s="273" t="str">
        <f ca="1">IF(D574="","",IF(J574="リード付け",N574,IF(J574="巻返しリード付け",N574,IF(J574="巻足し",N574*P574+OFFSET(N574,1,0)*OFFSET(P574,1,0),VLOOKUP(D574,契約台帳!$A$3:$P$4986,16,FALSE)))))</f>
        <v/>
      </c>
      <c r="U574" s="40"/>
      <c r="V574" s="274" t="str">
        <f ca="1">IF(D574="","",IF(OFFSET(D574,-2,0)=D574,"",VLOOKUP(D574,契約台帳!$A$3:$R$4986,18,FALSE)))</f>
        <v/>
      </c>
      <c r="W574" s="269" t="str">
        <f>IF(D574="","",IF(T574="","",IF(OR(J574="巻足し",J574="巻返しリード付け"),"",IF(J574="巻返し",VLOOKUP(F574&amp;K574&amp;M574,製品マスタ!$M$5:$AD$5002,18,FALSE),IF(OR(J574="リード付け",J574="巻返しリード付け"),"原反コア",IF(J574="スリット",VLOOKUP(F574&amp;K574&amp;R574,製品マスタ!$N$5:$AD$5002,17,FALSE),""))))))</f>
        <v/>
      </c>
      <c r="X574" s="269" t="str">
        <f>IF(D574="","",IF(T574="","",IF(J574="巻足し","",IF(J574="巻返し",VLOOKUP(F574&amp;K574&amp;M574,製品マスタ!$M$5:$AE$5002,19,FALSE),IF(OR(J574="リード付け",J574="巻返しリード付け"),"",IF(J574="スリット",VLOOKUP(F574&amp;K574&amp;R574,製品マスタ!$N$5:$AE$5002,18,FALSE),""))))))</f>
        <v/>
      </c>
      <c r="Y574" s="275" t="str">
        <f>IF(D574="","",IF(T574="","",VLOOKUP(D574,契約台帳!$A$3:$Q$4986,17,FALSE)))</f>
        <v/>
      </c>
      <c r="Z574" s="269" t="str">
        <f>IF(D574="","",IF(T574="","",VLOOKUP(D574,契約台帳!$A$3:$E$4986,5,FALSE)))</f>
        <v/>
      </c>
      <c r="AA574" s="57"/>
      <c r="AB574" s="207" t="str">
        <f>IFERROR((VLOOKUP(F574&amp;K574&amp;M574,製品マスタ!$M$5:$AM$5002,27,FALSE)),"")</f>
        <v/>
      </c>
      <c r="AC574" s="33"/>
      <c r="AD574" s="189"/>
      <c r="AE574" s="54"/>
      <c r="AF574" s="55"/>
      <c r="AG574" s="43"/>
      <c r="AH574" s="47"/>
      <c r="AI574" s="30"/>
      <c r="AJ574" s="30"/>
      <c r="AK574" s="30"/>
      <c r="AL574" s="30"/>
      <c r="AM574" s="13"/>
      <c r="AN574" s="13"/>
      <c r="AO574" s="13"/>
      <c r="AP574" s="13"/>
      <c r="AQ574" s="13"/>
      <c r="AR574" s="14"/>
      <c r="AS574" s="15"/>
    </row>
    <row r="575" spans="1:45" s="17" customFormat="1" ht="30.95" hidden="1" customHeight="1" x14ac:dyDescent="0.2">
      <c r="A575" s="37"/>
      <c r="B575" s="38"/>
      <c r="C575" s="45"/>
      <c r="D575" s="31"/>
      <c r="E575" s="31"/>
      <c r="F575" s="268" t="str">
        <f>IF(D575="","",VLOOKUP(D575,契約台帳!$A$3:$K$4986,6,FALSE)&amp;VLOOKUP(D575,契約台帳!$A$3:$K$4986,7,FALSE)&amp;VLOOKUP(D575,契約台帳!$A$3:$K$4986,8,FALSE)&amp;VLOOKUP(D575,契約台帳!$A$3:$K$4986,9,FALSE)&amp;VLOOKUP(D575,契約台帳!$A$3:$K$4986,11,FALSE))</f>
        <v/>
      </c>
      <c r="G575" s="269" t="str">
        <f>IF(D575="","",VLOOKUP(F575,製品マスタ!$G$5:$H$5002,2,FALSE))</f>
        <v/>
      </c>
      <c r="H575" s="269" t="str">
        <f>IF(D575="","",VLOOKUP(F575,製品マスタ!$G$5:$K$5002,5,FALSE))</f>
        <v/>
      </c>
      <c r="I575" s="270" t="str">
        <f>IF(D575="","",VLOOKUP(F575,製品マスタ!$G$5:$L$5002,6,FALSE))</f>
        <v/>
      </c>
      <c r="J575" s="210"/>
      <c r="K575" s="270" t="str">
        <f>IF(D575="","",VLOOKUP(D575,契約台帳!$A$3:$L$4986,12,FALSE))</f>
        <v/>
      </c>
      <c r="L575" s="270" t="str">
        <f>IF(D575="","",INDEX(製品マスタ!$Q$5:$Q$5002,MATCH('S4'!F575&amp;'S4'!K575,製品マスタ!$AO$5:$AO$5002,0)))</f>
        <v/>
      </c>
      <c r="M575" s="39"/>
      <c r="N575" s="39"/>
      <c r="O575" s="156"/>
      <c r="P575" s="47"/>
      <c r="Q575" s="57"/>
      <c r="R575" s="271" t="str">
        <f ca="1">IF(D575="","",IF(OFFSET(D575,-1,0)&lt;&gt;"","",IF(OR(J575="リード付け",J575="巻足し",J575="巻返しリード付け"),M575,VLOOKUP(D575,契約台帳!$A$3:$N$4986,14,FALSE))))</f>
        <v/>
      </c>
      <c r="S575" s="272" t="str">
        <f ca="1">IF(D575="","",IF(OFFSET(D575,-1,0)&lt;&gt;"","",IF(OR(J575="リード付け",J575="巻足し",J575="巻返しリード付け"),M575,VLOOKUP(D575,契約台帳!$A$3:$O$4986,15,FALSE))))</f>
        <v/>
      </c>
      <c r="T575" s="273" t="str">
        <f ca="1">IF(D575="","",IF(J575="リード付け",N575,IF(J575="巻返しリード付け",N575,IF(J575="巻足し",N575*P575+OFFSET(N575,1,0)*OFFSET(P575,1,0),VLOOKUP(D575,契約台帳!$A$3:$P$4986,16,FALSE)))))</f>
        <v/>
      </c>
      <c r="U575" s="40"/>
      <c r="V575" s="274" t="str">
        <f ca="1">IF(D575="","",IF(OFFSET(D575,-2,0)=D575,"",VLOOKUP(D575,契約台帳!$A$3:$R$4986,18,FALSE)))</f>
        <v/>
      </c>
      <c r="W575" s="269" t="str">
        <f>IF(D575="","",IF(T575="","",IF(OR(J575="巻足し",J575="巻返しリード付け"),"",IF(J575="巻返し",VLOOKUP(F575&amp;K575&amp;M575,製品マスタ!$M$5:$AD$5002,18,FALSE),IF(OR(J575="リード付け",J575="巻返しリード付け"),"原反コア",IF(J575="スリット",VLOOKUP(F575&amp;K575&amp;R575,製品マスタ!$N$5:$AD$5002,17,FALSE),""))))))</f>
        <v/>
      </c>
      <c r="X575" s="269" t="str">
        <f>IF(D575="","",IF(T575="","",IF(J575="巻足し","",IF(J575="巻返し",VLOOKUP(F575&amp;K575&amp;M575,製品マスタ!$M$5:$AE$5002,19,FALSE),IF(OR(J575="リード付け",J575="巻返しリード付け"),"",IF(J575="スリット",VLOOKUP(F575&amp;K575&amp;R575,製品マスタ!$N$5:$AE$5002,18,FALSE),""))))))</f>
        <v/>
      </c>
      <c r="Y575" s="275" t="str">
        <f>IF(D575="","",IF(T575="","",VLOOKUP(D575,契約台帳!$A$3:$Q$4986,17,FALSE)))</f>
        <v/>
      </c>
      <c r="Z575" s="269" t="str">
        <f>IF(D575="","",IF(T575="","",VLOOKUP(D575,契約台帳!$A$3:$E$4986,5,FALSE)))</f>
        <v/>
      </c>
      <c r="AA575" s="57"/>
      <c r="AB575" s="207" t="str">
        <f>IFERROR((VLOOKUP(F575&amp;K575&amp;M575,製品マスタ!$M$5:$AM$5002,27,FALSE)),"")</f>
        <v/>
      </c>
      <c r="AC575" s="33"/>
      <c r="AD575" s="189"/>
      <c r="AE575" s="54"/>
      <c r="AF575" s="55"/>
      <c r="AG575" s="43"/>
      <c r="AH575" s="47"/>
      <c r="AI575" s="30"/>
      <c r="AJ575" s="30"/>
      <c r="AK575" s="30"/>
      <c r="AL575" s="30"/>
      <c r="AM575" s="13"/>
      <c r="AN575" s="13"/>
      <c r="AO575" s="13"/>
      <c r="AP575" s="13"/>
      <c r="AQ575" s="13"/>
      <c r="AR575" s="14"/>
      <c r="AS575" s="15"/>
    </row>
    <row r="576" spans="1:45" s="17" customFormat="1" ht="30.95" hidden="1" customHeight="1" x14ac:dyDescent="0.2">
      <c r="A576" s="37" t="s">
        <v>1131</v>
      </c>
      <c r="B576" s="38" t="s">
        <v>1103</v>
      </c>
      <c r="C576" s="45"/>
      <c r="D576" s="31"/>
      <c r="E576" s="31"/>
      <c r="F576" s="268"/>
      <c r="G576" s="269"/>
      <c r="H576" s="269"/>
      <c r="I576" s="270"/>
      <c r="J576" s="210" t="s">
        <v>1134</v>
      </c>
      <c r="K576" s="270"/>
      <c r="L576" s="270"/>
      <c r="M576" s="39"/>
      <c r="N576" s="39"/>
      <c r="O576" s="156"/>
      <c r="P576" s="47"/>
      <c r="Q576" s="57"/>
      <c r="R576" s="271"/>
      <c r="S576" s="272"/>
      <c r="T576" s="273"/>
      <c r="U576" s="40"/>
      <c r="V576" s="274"/>
      <c r="W576" s="269"/>
      <c r="X576" s="269"/>
      <c r="Y576" s="275"/>
      <c r="Z576" s="269"/>
      <c r="AA576" s="57"/>
      <c r="AB576" s="207"/>
      <c r="AC576" s="33"/>
      <c r="AD576" s="189"/>
      <c r="AE576" s="54"/>
      <c r="AF576" s="55"/>
      <c r="AG576" s="43"/>
      <c r="AH576" s="47"/>
      <c r="AI576" s="30"/>
      <c r="AJ576" s="30"/>
      <c r="AK576" s="30"/>
      <c r="AL576" s="30"/>
      <c r="AM576" s="13"/>
      <c r="AN576" s="13"/>
      <c r="AO576" s="13"/>
      <c r="AP576" s="13"/>
      <c r="AQ576" s="13"/>
      <c r="AR576" s="14"/>
      <c r="AS576" s="15"/>
    </row>
    <row r="577" spans="1:45" s="17" customFormat="1" ht="30.95" hidden="1" customHeight="1" x14ac:dyDescent="0.2">
      <c r="A577" s="37"/>
      <c r="B577" s="38"/>
      <c r="C577" s="45"/>
      <c r="D577" s="31"/>
      <c r="E577" s="31"/>
      <c r="F577" s="268" t="str">
        <f>IF(D577="","",VLOOKUP(D577,契約台帳!$A$3:$K$4986,6,FALSE)&amp;VLOOKUP(D577,契約台帳!$A$3:$K$4986,7,FALSE)&amp;VLOOKUP(D577,契約台帳!$A$3:$K$4986,8,FALSE)&amp;VLOOKUP(D577,契約台帳!$A$3:$K$4986,9,FALSE)&amp;VLOOKUP(D577,契約台帳!$A$3:$K$4986,11,FALSE))</f>
        <v/>
      </c>
      <c r="G577" s="269" t="str">
        <f>IF(D577="","",VLOOKUP(F577,製品マスタ!$G$5:$H$5002,2,FALSE))</f>
        <v/>
      </c>
      <c r="H577" s="269" t="str">
        <f>IF(D577="","",VLOOKUP(F577,製品マスタ!$G$5:$K$5002,5,FALSE))</f>
        <v/>
      </c>
      <c r="I577" s="270" t="str">
        <f>IF(D577="","",VLOOKUP(F577,製品マスタ!$G$5:$L$5002,6,FALSE))</f>
        <v/>
      </c>
      <c r="J577" s="210"/>
      <c r="K577" s="270" t="str">
        <f>IF(D577="","",VLOOKUP(D577,契約台帳!$A$3:$L$4986,12,FALSE))</f>
        <v/>
      </c>
      <c r="L577" s="270" t="str">
        <f>IF(D577="","",INDEX(製品マスタ!$Q$5:$Q$5002,MATCH('S4'!F577&amp;'S4'!K577,製品マスタ!$AO$5:$AO$5002,0)))</f>
        <v/>
      </c>
      <c r="M577" s="39"/>
      <c r="N577" s="39"/>
      <c r="O577" s="156"/>
      <c r="P577" s="47"/>
      <c r="Q577" s="57"/>
      <c r="R577" s="271" t="str">
        <f ca="1">IF(D577="","",IF(OFFSET(D577,-1,0)&lt;&gt;"","",IF(OR(J577="リード付け",J577="巻足し",J577="巻返しリード付け"),M577,VLOOKUP(D577,契約台帳!$A$3:$N$4986,14,FALSE))))</f>
        <v/>
      </c>
      <c r="S577" s="272" t="str">
        <f ca="1">IF(D577="","",IF(OFFSET(D577,-1,0)&lt;&gt;"","",IF(OR(J577="リード付け",J577="巻足し",J577="巻返しリード付け"),M577,VLOOKUP(D577,契約台帳!$A$3:$O$4986,15,FALSE))))</f>
        <v/>
      </c>
      <c r="T577" s="273" t="str">
        <f ca="1">IF(D577="","",IF(J577="リード付け",N577,IF(J577="巻返しリード付け",N577,IF(J577="巻足し",N577*P577+OFFSET(N577,1,0)*OFFSET(P577,1,0),VLOOKUP(D577,契約台帳!$A$3:$P$4986,16,FALSE)))))</f>
        <v/>
      </c>
      <c r="U577" s="40"/>
      <c r="V577" s="274" t="str">
        <f ca="1">IF(D577="","",IF(OFFSET(D577,-2,0)=D577,"",VLOOKUP(D577,契約台帳!$A$3:$R$4986,18,FALSE)))</f>
        <v/>
      </c>
      <c r="W577" s="269" t="str">
        <f>IF(D577="","",IF(T577="","",IF(OR(J577="巻足し",J577="巻返しリード付け"),"",IF(J577="巻返し",VLOOKUP(F577&amp;K577&amp;M577,製品マスタ!$M$5:$AD$5002,18,FALSE),IF(OR(J577="リード付け",J577="巻返しリード付け"),"原反コア",IF(J577="スリット",VLOOKUP(F577&amp;K577&amp;R577,製品マスタ!$N$5:$AD$5002,17,FALSE),""))))))</f>
        <v/>
      </c>
      <c r="X577" s="269" t="str">
        <f>IF(D577="","",IF(T577="","",IF(J577="巻足し","",IF(J577="巻返し",VLOOKUP(F577&amp;K577&amp;M577,製品マスタ!$M$5:$AE$5002,19,FALSE),IF(OR(J577="リード付け",J577="巻返しリード付け"),"",IF(J577="スリット",VLOOKUP(F577&amp;K577&amp;R577,製品マスタ!$N$5:$AE$5002,18,FALSE),""))))))</f>
        <v/>
      </c>
      <c r="Y577" s="275" t="str">
        <f>IF(D577="","",IF(T577="","",VLOOKUP(D577,契約台帳!$A$3:$Q$4986,17,FALSE)))</f>
        <v/>
      </c>
      <c r="Z577" s="269" t="str">
        <f>IF(D577="","",IF(T577="","",VLOOKUP(D577,契約台帳!$A$3:$E$4986,5,FALSE)))</f>
        <v/>
      </c>
      <c r="AA577" s="57"/>
      <c r="AB577" s="207" t="str">
        <f>IFERROR((VLOOKUP(F577&amp;K577&amp;M577,製品マスタ!$M$5:$AM$5002,27,FALSE)),"")</f>
        <v/>
      </c>
      <c r="AC577" s="33"/>
      <c r="AD577" s="189"/>
      <c r="AE577" s="54"/>
      <c r="AF577" s="55"/>
      <c r="AG577" s="43"/>
      <c r="AH577" s="47"/>
      <c r="AI577" s="30"/>
      <c r="AJ577" s="30"/>
      <c r="AK577" s="30"/>
      <c r="AL577" s="30"/>
      <c r="AM577" s="13"/>
      <c r="AN577" s="13"/>
      <c r="AO577" s="13"/>
      <c r="AP577" s="13"/>
      <c r="AQ577" s="13"/>
      <c r="AR577" s="14"/>
      <c r="AS577" s="15"/>
    </row>
    <row r="578" spans="1:45" s="17" customFormat="1" ht="30.95" hidden="1" customHeight="1" x14ac:dyDescent="0.2">
      <c r="A578" s="37" t="s">
        <v>1132</v>
      </c>
      <c r="B578" s="38" t="s">
        <v>1105</v>
      </c>
      <c r="C578" s="45"/>
      <c r="D578" s="31"/>
      <c r="E578" s="31"/>
      <c r="F578" s="268" t="str">
        <f>IF(D578="","",VLOOKUP(D578,契約台帳!$A$3:$K$4986,6,FALSE)&amp;VLOOKUP(D578,契約台帳!$A$3:$K$4986,7,FALSE)&amp;VLOOKUP(D578,契約台帳!$A$3:$K$4986,8,FALSE)&amp;VLOOKUP(D578,契約台帳!$A$3:$K$4986,9,FALSE)&amp;VLOOKUP(D578,契約台帳!$A$3:$K$4986,11,FALSE))</f>
        <v/>
      </c>
      <c r="G578" s="269" t="str">
        <f>IF(D578="","",VLOOKUP(F578,製品マスタ!$G$5:$H$5002,2,FALSE))</f>
        <v/>
      </c>
      <c r="H578" s="269" t="str">
        <f>IF(D578="","",VLOOKUP(F578,製品マスタ!$G$5:$K$5002,5,FALSE))</f>
        <v/>
      </c>
      <c r="I578" s="270" t="str">
        <f>IF(D578="","",VLOOKUP(F578,製品マスタ!$G$5:$L$5002,6,FALSE))</f>
        <v/>
      </c>
      <c r="J578" s="210" t="s">
        <v>1126</v>
      </c>
      <c r="K578" s="270" t="str">
        <f>IF(D578="","",VLOOKUP(D578,契約台帳!$A$3:$L$4986,12,FALSE))</f>
        <v/>
      </c>
      <c r="L578" s="270" t="str">
        <f>IF(D578="","",INDEX(製品マスタ!$Q$5:$Q$5002,MATCH('S4'!F578&amp;'S4'!K578,製品マスタ!$AO$5:$AO$5002,0)))</f>
        <v/>
      </c>
      <c r="M578" s="39"/>
      <c r="N578" s="39"/>
      <c r="O578" s="156"/>
      <c r="P578" s="47"/>
      <c r="Q578" s="57"/>
      <c r="R578" s="271" t="str">
        <f ca="1">IF(D578="","",IF(OFFSET(D578,-1,0)&lt;&gt;"","",IF(OR(J578="リード付け",J578="巻足し",J578="巻返しリード付け"),M578,VLOOKUP(D578,契約台帳!$A$3:$N$4986,14,FALSE))))</f>
        <v/>
      </c>
      <c r="S578" s="272" t="str">
        <f ca="1">IF(D578="","",IF(OFFSET(D578,-1,0)&lt;&gt;"","",IF(OR(J578="リード付け",J578="巻足し",J578="巻返しリード付け"),M578,VLOOKUP(D578,契約台帳!$A$3:$O$4986,15,FALSE))))</f>
        <v/>
      </c>
      <c r="T578" s="273" t="str">
        <f ca="1">IF(D578="","",IF(J578="リード付け",N578,IF(J578="巻返しリード付け",N578,IF(J578="巻足し",N578*P578+OFFSET(N578,1,0)*OFFSET(P578,1,0),VLOOKUP(D578,契約台帳!$A$3:$P$4986,16,FALSE)))))</f>
        <v/>
      </c>
      <c r="U578" s="40"/>
      <c r="V578" s="274" t="str">
        <f ca="1">IF(D578="","",IF(OFFSET(D578,-2,0)=D578,"",VLOOKUP(D578,契約台帳!$A$3:$R$4986,18,FALSE)))</f>
        <v/>
      </c>
      <c r="W578" s="269" t="str">
        <f>IF(D578="","",IF(T578="","",IF(OR(J578="巻足し",J578="巻返しリード付け"),"",IF(J578="巻返し",VLOOKUP(F578&amp;K578&amp;M578,製品マスタ!$M$5:$AD$5002,18,FALSE),IF(OR(J578="リード付け",J578="巻返しリード付け"),"原反コア",IF(J578="スリット",VLOOKUP(F578&amp;K578&amp;R578,製品マスタ!$N$5:$AD$5002,17,FALSE),""))))))</f>
        <v/>
      </c>
      <c r="X578" s="269" t="str">
        <f>IF(D578="","",IF(T578="","",IF(J578="巻足し","",IF(J578="巻返し",VLOOKUP(F578&amp;K578&amp;M578,製品マスタ!$M$5:$AE$5002,19,FALSE),IF(OR(J578="リード付け",J578="巻返しリード付け"),"",IF(J578="スリット",VLOOKUP(F578&amp;K578&amp;R578,製品マスタ!$N$5:$AE$5002,18,FALSE),""))))))</f>
        <v/>
      </c>
      <c r="Y578" s="275" t="str">
        <f>IF(D578="","",IF(T578="","",VLOOKUP(D578,契約台帳!$A$3:$Q$4986,17,FALSE)))</f>
        <v/>
      </c>
      <c r="Z578" s="269" t="str">
        <f>IF(D578="","",IF(T578="","",VLOOKUP(D578,契約台帳!$A$3:$E$4986,5,FALSE)))</f>
        <v/>
      </c>
      <c r="AA578" s="57"/>
      <c r="AB578" s="207" t="str">
        <f>IFERROR((VLOOKUP(F578&amp;K578&amp;M578,製品マスタ!$M$5:$AM$5002,27,FALSE)),"")</f>
        <v/>
      </c>
      <c r="AC578" s="33"/>
      <c r="AD578" s="189"/>
      <c r="AE578" s="54"/>
      <c r="AF578" s="55"/>
      <c r="AG578" s="43"/>
      <c r="AH578" s="47"/>
      <c r="AI578" s="30"/>
      <c r="AJ578" s="30"/>
      <c r="AK578" s="30"/>
      <c r="AL578" s="30"/>
      <c r="AM578" s="13"/>
      <c r="AN578" s="13"/>
      <c r="AO578" s="13"/>
      <c r="AP578" s="13"/>
      <c r="AQ578" s="13"/>
      <c r="AR578" s="14"/>
      <c r="AS578" s="15"/>
    </row>
    <row r="579" spans="1:45" s="17" customFormat="1" ht="30.95" hidden="1" customHeight="1" x14ac:dyDescent="0.2">
      <c r="A579" s="37"/>
      <c r="B579" s="38"/>
      <c r="C579" s="45"/>
      <c r="D579" s="31"/>
      <c r="E579" s="31"/>
      <c r="F579" s="268" t="str">
        <f>IF(D579="","",VLOOKUP(D579,契約台帳!$A$3:$K$4986,6,FALSE)&amp;VLOOKUP(D579,契約台帳!$A$3:$K$4986,7,FALSE)&amp;VLOOKUP(D579,契約台帳!$A$3:$K$4986,8,FALSE)&amp;VLOOKUP(D579,契約台帳!$A$3:$K$4986,9,FALSE)&amp;VLOOKUP(D579,契約台帳!$A$3:$K$4986,11,FALSE))</f>
        <v/>
      </c>
      <c r="G579" s="269" t="str">
        <f>IF(D579="","",VLOOKUP(F579,製品マスタ!$G$5:$H$5002,2,FALSE))</f>
        <v/>
      </c>
      <c r="H579" s="269" t="str">
        <f>IF(D579="","",VLOOKUP(F579,製品マスタ!$G$5:$K$5002,5,FALSE))</f>
        <v/>
      </c>
      <c r="I579" s="270" t="str">
        <f>IF(D579="","",VLOOKUP(F579,製品マスタ!$G$5:$L$5002,6,FALSE))</f>
        <v/>
      </c>
      <c r="J579" s="210"/>
      <c r="K579" s="270" t="str">
        <f>IF(D579="","",VLOOKUP(D579,契約台帳!$A$3:$L$4986,12,FALSE))</f>
        <v/>
      </c>
      <c r="L579" s="270" t="str">
        <f>IF(D579="","",INDEX(製品マスタ!$Q$5:$Q$5002,MATCH('S4'!F579&amp;'S4'!K579,製品マスタ!$AO$5:$AO$5002,0)))</f>
        <v/>
      </c>
      <c r="M579" s="39"/>
      <c r="N579" s="39"/>
      <c r="O579" s="156"/>
      <c r="P579" s="47"/>
      <c r="Q579" s="57"/>
      <c r="R579" s="271" t="str">
        <f ca="1">IF(D579="","",IF(OFFSET(D579,-1,0)&lt;&gt;"","",IF(OR(J579="リード付け",J579="巻足し",J579="巻返しリード付け"),M579,VLOOKUP(D579,契約台帳!$A$3:$N$4986,14,FALSE))))</f>
        <v/>
      </c>
      <c r="S579" s="272" t="str">
        <f ca="1">IF(D579="","",IF(OFFSET(D579,-1,0)&lt;&gt;"","",IF(OR(J579="リード付け",J579="巻足し",J579="巻返しリード付け"),M579,VLOOKUP(D579,契約台帳!$A$3:$O$4986,15,FALSE))))</f>
        <v/>
      </c>
      <c r="T579" s="273" t="str">
        <f ca="1">IF(D579="","",IF(J579="リード付け",N579,IF(J579="巻返しリード付け",N579,IF(J579="巻足し",N579*P579+OFFSET(N579,1,0)*OFFSET(P579,1,0),VLOOKUP(D579,契約台帳!$A$3:$P$4986,16,FALSE)))))</f>
        <v/>
      </c>
      <c r="U579" s="40"/>
      <c r="V579" s="274" t="str">
        <f ca="1">IF(D579="","",IF(OFFSET(D579,-2,0)=D579,"",VLOOKUP(D579,契約台帳!$A$3:$R$4986,18,FALSE)))</f>
        <v/>
      </c>
      <c r="W579" s="269" t="str">
        <f>IF(D579="","",IF(T579="","",IF(OR(J579="巻足し",J579="巻返しリード付け"),"",IF(J579="巻返し",VLOOKUP(F579&amp;K579&amp;M579,製品マスタ!$M$5:$AD$5002,18,FALSE),IF(OR(J579="リード付け",J579="巻返しリード付け"),"原反コア",IF(J579="スリット",VLOOKUP(F579&amp;K579&amp;R579,製品マスタ!$N$5:$AD$5002,17,FALSE),""))))))</f>
        <v/>
      </c>
      <c r="X579" s="269" t="str">
        <f>IF(D579="","",IF(T579="","",IF(J579="巻足し","",IF(J579="巻返し",VLOOKUP(F579&amp;K579&amp;M579,製品マスタ!$M$5:$AE$5002,19,FALSE),IF(OR(J579="リード付け",J579="巻返しリード付け"),"",IF(J579="スリット",VLOOKUP(F579&amp;K579&amp;R579,製品マスタ!$N$5:$AE$5002,18,FALSE),""))))))</f>
        <v/>
      </c>
      <c r="Y579" s="275" t="str">
        <f>IF(D579="","",IF(T579="","",VLOOKUP(D579,契約台帳!$A$3:$Q$4986,17,FALSE)))</f>
        <v/>
      </c>
      <c r="Z579" s="269" t="str">
        <f>IF(D579="","",IF(T579="","",VLOOKUP(D579,契約台帳!$A$3:$E$4986,5,FALSE)))</f>
        <v/>
      </c>
      <c r="AA579" s="57"/>
      <c r="AB579" s="207" t="str">
        <f>IFERROR((VLOOKUP(F579&amp;K579&amp;M579,製品マスタ!$M$5:$AM$5002,27,FALSE)),"")</f>
        <v/>
      </c>
      <c r="AC579" s="33"/>
      <c r="AD579" s="189"/>
      <c r="AE579" s="54"/>
      <c r="AF579" s="55"/>
      <c r="AG579" s="43"/>
      <c r="AH579" s="47"/>
      <c r="AI579" s="30"/>
      <c r="AJ579" s="30"/>
      <c r="AK579" s="30"/>
      <c r="AL579" s="30"/>
      <c r="AM579" s="13"/>
      <c r="AN579" s="13"/>
      <c r="AO579" s="13"/>
      <c r="AP579" s="13"/>
      <c r="AQ579" s="13"/>
      <c r="AR579" s="14"/>
      <c r="AS579" s="15"/>
    </row>
    <row r="580" spans="1:45" s="17" customFormat="1" ht="30.95" hidden="1" customHeight="1" x14ac:dyDescent="0.2">
      <c r="A580" s="37" t="s">
        <v>1133</v>
      </c>
      <c r="B580" s="38" t="s">
        <v>1107</v>
      </c>
      <c r="C580" s="45"/>
      <c r="D580" s="31"/>
      <c r="E580" s="31"/>
      <c r="F580" s="268" t="str">
        <f>IF(D580="","",VLOOKUP(D580,契約台帳!$A$3:$K$4986,6,FALSE)&amp;VLOOKUP(D580,契約台帳!$A$3:$K$4986,7,FALSE)&amp;VLOOKUP(D580,契約台帳!$A$3:$K$4986,8,FALSE)&amp;VLOOKUP(D580,契約台帳!$A$3:$K$4986,9,FALSE)&amp;VLOOKUP(D580,契約台帳!$A$3:$K$4986,11,FALSE))</f>
        <v/>
      </c>
      <c r="G580" s="269" t="str">
        <f>IF(D580="","",VLOOKUP(F580,製品マスタ!$G$5:$H$5002,2,FALSE))</f>
        <v/>
      </c>
      <c r="H580" s="269" t="str">
        <f>IF(D580="","",VLOOKUP(F580,製品マスタ!$G$5:$K$5002,5,FALSE))</f>
        <v/>
      </c>
      <c r="I580" s="270" t="str">
        <f>IF(D580="","",VLOOKUP(F580,製品マスタ!$G$5:$L$5002,6,FALSE))</f>
        <v/>
      </c>
      <c r="J580" s="210" t="s">
        <v>1126</v>
      </c>
      <c r="K580" s="270" t="str">
        <f>IF(D580="","",VLOOKUP(D580,契約台帳!$A$3:$L$4986,12,FALSE))</f>
        <v/>
      </c>
      <c r="L580" s="270" t="str">
        <f>IF(D580="","",INDEX(製品マスタ!$Q$5:$Q$5002,MATCH('S4'!F580&amp;'S4'!K580,製品マスタ!$AO$5:$AO$5002,0)))</f>
        <v/>
      </c>
      <c r="M580" s="39"/>
      <c r="N580" s="39"/>
      <c r="O580" s="156"/>
      <c r="P580" s="47"/>
      <c r="Q580" s="57"/>
      <c r="R580" s="271" t="str">
        <f ca="1">IF(D580="","",IF(OFFSET(D580,-1,0)&lt;&gt;"","",IF(OR(J580="リード付け",J580="巻足し",J580="巻返しリード付け"),M580,VLOOKUP(D580,契約台帳!$A$3:$N$4986,14,FALSE))))</f>
        <v/>
      </c>
      <c r="S580" s="272" t="str">
        <f ca="1">IF(D580="","",IF(OFFSET(D580,-1,0)&lt;&gt;"","",IF(OR(J580="リード付け",J580="巻足し",J580="巻返しリード付け"),M580,VLOOKUP(D580,契約台帳!$A$3:$O$4986,15,FALSE))))</f>
        <v/>
      </c>
      <c r="T580" s="273" t="str">
        <f ca="1">IF(D580="","",IF(J580="リード付け",N580,IF(J580="巻返しリード付け",N580,IF(J580="巻足し",N580*P580+OFFSET(N580,1,0)*OFFSET(P580,1,0),VLOOKUP(D580,契約台帳!$A$3:$P$4986,16,FALSE)))))</f>
        <v/>
      </c>
      <c r="U580" s="40"/>
      <c r="V580" s="274" t="str">
        <f ca="1">IF(D580="","",IF(OFFSET(D580,-2,0)=D580,"",VLOOKUP(D580,契約台帳!$A$3:$R$4986,18,FALSE)))</f>
        <v/>
      </c>
      <c r="W580" s="269" t="str">
        <f>IF(D580="","",IF(T580="","",IF(OR(J580="巻足し",J580="巻返しリード付け"),"",IF(J580="巻返し",VLOOKUP(F580&amp;K580&amp;M580,製品マスタ!$M$5:$AD$5002,18,FALSE),IF(OR(J580="リード付け",J580="巻返しリード付け"),"原反コア",IF(J580="スリット",VLOOKUP(F580&amp;K580&amp;R580,製品マスタ!$N$5:$AD$5002,17,FALSE),""))))))</f>
        <v/>
      </c>
      <c r="X580" s="269" t="str">
        <f>IF(D580="","",IF(T580="","",IF(J580="巻足し","",IF(J580="巻返し",VLOOKUP(F580&amp;K580&amp;M580,製品マスタ!$M$5:$AE$5002,19,FALSE),IF(OR(J580="リード付け",J580="巻返しリード付け"),"",IF(J580="スリット",VLOOKUP(F580&amp;K580&amp;R580,製品マスタ!$N$5:$AE$5002,18,FALSE),""))))))</f>
        <v/>
      </c>
      <c r="Y580" s="275" t="str">
        <f>IF(D580="","",IF(T580="","",VLOOKUP(D580,契約台帳!$A$3:$Q$4986,17,FALSE)))</f>
        <v/>
      </c>
      <c r="Z580" s="269" t="str">
        <f>IF(D580="","",IF(T580="","",VLOOKUP(D580,契約台帳!$A$3:$E$4986,5,FALSE)))</f>
        <v/>
      </c>
      <c r="AA580" s="57"/>
      <c r="AB580" s="207" t="str">
        <f>IFERROR((VLOOKUP(F580&amp;K580&amp;M580,製品マスタ!$M$5:$AM$5002,27,FALSE)),"")</f>
        <v/>
      </c>
      <c r="AC580" s="33"/>
      <c r="AD580" s="189"/>
      <c r="AE580" s="54"/>
      <c r="AF580" s="55"/>
      <c r="AG580" s="43"/>
      <c r="AH580" s="47"/>
      <c r="AI580" s="30"/>
      <c r="AJ580" s="30"/>
      <c r="AK580" s="30"/>
      <c r="AL580" s="30"/>
      <c r="AM580" s="13"/>
      <c r="AN580" s="13"/>
      <c r="AO580" s="13"/>
      <c r="AP580" s="13"/>
      <c r="AQ580" s="13"/>
      <c r="AR580" s="14"/>
      <c r="AS580" s="15"/>
    </row>
    <row r="581" spans="1:45" s="17" customFormat="1" ht="30.95" hidden="1" customHeight="1" x14ac:dyDescent="0.2">
      <c r="A581" s="37"/>
      <c r="B581" s="38"/>
      <c r="C581" s="45"/>
      <c r="D581" s="31"/>
      <c r="E581" s="31"/>
      <c r="F581" s="268" t="str">
        <f>IF(D581="","",VLOOKUP(D581,契約台帳!$A$3:$K$4986,6,FALSE)&amp;VLOOKUP(D581,契約台帳!$A$3:$K$4986,7,FALSE)&amp;VLOOKUP(D581,契約台帳!$A$3:$K$4986,8,FALSE)&amp;VLOOKUP(D581,契約台帳!$A$3:$K$4986,9,FALSE)&amp;VLOOKUP(D581,契約台帳!$A$3:$K$4986,11,FALSE))</f>
        <v/>
      </c>
      <c r="G581" s="269" t="str">
        <f>IF(D581="","",VLOOKUP(F581,製品マスタ!$G$5:$H$5002,2,FALSE))</f>
        <v/>
      </c>
      <c r="H581" s="269" t="str">
        <f>IF(D581="","",VLOOKUP(F581,製品マスタ!$G$5:$K$5002,5,FALSE))</f>
        <v/>
      </c>
      <c r="I581" s="270" t="str">
        <f>IF(D581="","",VLOOKUP(F581,製品マスタ!$G$5:$L$5002,6,FALSE))</f>
        <v/>
      </c>
      <c r="J581" s="210"/>
      <c r="K581" s="270" t="str">
        <f>IF(D581="","",VLOOKUP(D581,契約台帳!$A$3:$L$4986,12,FALSE))</f>
        <v/>
      </c>
      <c r="L581" s="270" t="str">
        <f>IF(D581="","",INDEX(製品マスタ!$Q$5:$Q$5002,MATCH('S4'!F581&amp;'S4'!K581,製品マスタ!$AO$5:$AO$5002,0)))</f>
        <v/>
      </c>
      <c r="M581" s="39"/>
      <c r="N581" s="39"/>
      <c r="O581" s="156"/>
      <c r="P581" s="47"/>
      <c r="Q581" s="57"/>
      <c r="R581" s="271" t="str">
        <f ca="1">IF(D581="","",IF(OFFSET(D581,-1,0)&lt;&gt;"","",IF(OR(J581="リード付け",J581="巻足し",J581="巻返しリード付け"),M581,VLOOKUP(D581,契約台帳!$A$3:$N$4986,14,FALSE))))</f>
        <v/>
      </c>
      <c r="S581" s="272" t="str">
        <f ca="1">IF(D581="","",IF(OFFSET(D581,-1,0)&lt;&gt;"","",IF(OR(J581="リード付け",J581="巻足し",J581="巻返しリード付け"),M581,VLOOKUP(D581,契約台帳!$A$3:$O$4986,15,FALSE))))</f>
        <v/>
      </c>
      <c r="T581" s="273" t="str">
        <f ca="1">IF(D581="","",IF(J581="リード付け",N581,IF(J581="巻返しリード付け",N581,IF(J581="巻足し",N581*P581+OFFSET(N581,1,0)*OFFSET(P581,1,0),VLOOKUP(D581,契約台帳!$A$3:$P$4986,16,FALSE)))))</f>
        <v/>
      </c>
      <c r="U581" s="40"/>
      <c r="V581" s="274" t="str">
        <f ca="1">IF(D581="","",IF(OFFSET(D581,-2,0)=D581,"",VLOOKUP(D581,契約台帳!$A$3:$R$4986,18,FALSE)))</f>
        <v/>
      </c>
      <c r="W581" s="269" t="str">
        <f>IF(D581="","",IF(T581="","",IF(OR(J581="巻足し",J581="巻返しリード付け"),"",IF(J581="巻返し",VLOOKUP(F581&amp;K581&amp;M581,製品マスタ!$M$5:$AD$5002,18,FALSE),IF(OR(J581="リード付け",J581="巻返しリード付け"),"原反コア",IF(J581="スリット",VLOOKUP(F581&amp;K581&amp;R581,製品マスタ!$N$5:$AD$5002,17,FALSE),""))))))</f>
        <v/>
      </c>
      <c r="X581" s="269" t="str">
        <f>IF(D581="","",IF(T581="","",IF(J581="巻足し","",IF(J581="巻返し",VLOOKUP(F581&amp;K581&amp;M581,製品マスタ!$M$5:$AE$5002,19,FALSE),IF(OR(J581="リード付け",J581="巻返しリード付け"),"",IF(J581="スリット",VLOOKUP(F581&amp;K581&amp;R581,製品マスタ!$N$5:$AE$5002,18,FALSE),""))))))</f>
        <v/>
      </c>
      <c r="Y581" s="275" t="str">
        <f>IF(D581="","",IF(T581="","",VLOOKUP(D581,契約台帳!$A$3:$Q$4986,17,FALSE)))</f>
        <v/>
      </c>
      <c r="Z581" s="269" t="str">
        <f>IF(D581="","",IF(T581="","",VLOOKUP(D581,契約台帳!$A$3:$E$4986,5,FALSE)))</f>
        <v/>
      </c>
      <c r="AA581" s="57"/>
      <c r="AB581" s="207" t="str">
        <f>IFERROR((VLOOKUP(F581&amp;K581&amp;M581,製品マスタ!$M$5:$AM$5002,27,FALSE)),"")</f>
        <v/>
      </c>
      <c r="AC581" s="33"/>
      <c r="AD581" s="189"/>
      <c r="AE581" s="54"/>
      <c r="AF581" s="55"/>
      <c r="AG581" s="43"/>
      <c r="AH581" s="47"/>
      <c r="AI581" s="30"/>
      <c r="AJ581" s="30"/>
      <c r="AK581" s="30"/>
      <c r="AL581" s="30"/>
      <c r="AM581" s="13"/>
      <c r="AN581" s="13"/>
      <c r="AO581" s="13"/>
      <c r="AP581" s="13"/>
      <c r="AQ581" s="13"/>
      <c r="AR581" s="14"/>
      <c r="AS581" s="15"/>
    </row>
    <row r="582" spans="1:45" s="17" customFormat="1" ht="30.95" hidden="1" customHeight="1" x14ac:dyDescent="0.2">
      <c r="A582" s="37" t="s">
        <v>1135</v>
      </c>
      <c r="B582" s="38" t="s">
        <v>1109</v>
      </c>
      <c r="C582" s="45"/>
      <c r="D582" s="31">
        <v>3708711</v>
      </c>
      <c r="E582" s="31">
        <v>4161899</v>
      </c>
      <c r="F582" s="268" t="str">
        <f>IF(D582="","",VLOOKUP(D582,契約台帳!$A$3:$K$4986,6,FALSE)&amp;VLOOKUP(D582,契約台帳!$A$3:$K$4986,7,FALSE)&amp;VLOOKUP(D582,契約台帳!$A$3:$K$4986,8,FALSE)&amp;VLOOKUP(D582,契約台帳!$A$3:$K$4986,9,FALSE)&amp;VLOOKUP(D582,契約台帳!$A$3:$K$4986,11,FALSE))</f>
        <v>3SNMLBMNGTBF</v>
      </c>
      <c r="G582" s="269" t="str">
        <f>IF(D582="","",VLOOKUP(F582,製品マスタ!$G$5:$H$5002,2,FALSE))</f>
        <v>S</v>
      </c>
      <c r="H582" s="269" t="str">
        <f>IF(D582="","",VLOOKUP(F582,製品マスタ!$G$5:$K$5002,5,FALSE))</f>
        <v>MNGTBF</v>
      </c>
      <c r="I582" s="270" t="str">
        <f>IF(D582="","",VLOOKUP(F582,製品マスタ!$G$5:$L$5002,6,FALSE))</f>
        <v>メタルミー　ネーマー　銀艶　Ｂ</v>
      </c>
      <c r="J582" s="210" t="s">
        <v>1102</v>
      </c>
      <c r="K582" s="270">
        <f>IF(D582="","",VLOOKUP(D582,契約台帳!$A$3:$L$4986,12,FALSE))</f>
        <v>50</v>
      </c>
      <c r="L582" s="270" t="str">
        <f>IF(D582="","",INDEX(製品マスタ!$Q$5:$Q$5002,MATCH('S4'!F582&amp;'S4'!K582,製品マスタ!$AO$5:$AO$5002,0)))</f>
        <v>T62</v>
      </c>
      <c r="M582" s="39">
        <v>1120</v>
      </c>
      <c r="N582" s="39">
        <v>5000</v>
      </c>
      <c r="O582" s="156">
        <v>14</v>
      </c>
      <c r="P582" s="47">
        <v>2</v>
      </c>
      <c r="Q582" s="213">
        <v>45065</v>
      </c>
      <c r="R582" s="271">
        <f ca="1">IF(D582="","",IF(OFFSET(D582,-1,0)&lt;&gt;"","",IF(OR(J582="リード付け",J582="巻足し",J582="巻返しリード付け"),M582,VLOOKUP(D582,契約台帳!$A$3:$N$4986,14,FALSE))))</f>
        <v>1120</v>
      </c>
      <c r="S582" s="272">
        <f ca="1">IF(D582="","",IF(OFFSET(D582,-1,0)&lt;&gt;"","",IF(OR(J582="リード付け",J582="巻足し",J582="巻返しリード付け"),M582,VLOOKUP(D582,契約台帳!$A$3:$O$4986,15,FALSE))))</f>
        <v>1120</v>
      </c>
      <c r="T582" s="273">
        <f ca="1">IF(D582="","",IF(J582="リード付け",N582,IF(J582="巻返しリード付け",N582,IF(J582="巻足し",N582*P582+OFFSET(N582,1,0)*OFFSET(P582,1,0),VLOOKUP(D582,契約台帳!$A$3:$P$4986,16,FALSE)))))</f>
        <v>10000</v>
      </c>
      <c r="U582" s="40">
        <v>7</v>
      </c>
      <c r="V582" s="274">
        <f ca="1">IF(D582="","",IF(OFFSET(D582,-2,0)=D582,"",VLOOKUP(D582,契約台帳!$A$3:$R$4986,18,FALSE)))</f>
        <v>15</v>
      </c>
      <c r="W582" s="269" t="str">
        <f ca="1">IF(D582="","",IF(T582="","",IF(OR(J582="巻足し",J582="巻返しリード付け"),"",IF(J582="巻返し",VLOOKUP(F582&amp;K582&amp;M582,製品マスタ!$M$5:$AD$5002,18,FALSE),IF(OR(J582="リード付け",J582="巻返しリード付け"),"原反コア",IF(J582="スリット",VLOOKUP(F582&amp;K582&amp;R582,製品マスタ!$N$5:$AD$5002,17,FALSE),""))))))</f>
        <v/>
      </c>
      <c r="X582" s="269" t="str">
        <f ca="1">IF(D582="","",IF(T582="","",IF(J582="巻足し","",IF(J582="巻返し",VLOOKUP(F582&amp;K582&amp;M582,製品マスタ!$M$5:$AE$5002,19,FALSE),IF(OR(J582="リード付け",J582="巻返しリード付け"),"",IF(J582="スリット",VLOOKUP(F582&amp;K582&amp;R582,製品マスタ!$N$5:$AE$5002,18,FALSE),""))))))</f>
        <v/>
      </c>
      <c r="Y582" s="275">
        <f ca="1">IF(D582="","",IF(T582="","",VLOOKUP(D582,契約台帳!$A$3:$Q$4986,17,FALSE)))</f>
        <v>2</v>
      </c>
      <c r="Z582" s="269" t="str">
        <f ca="1">IF(D582="","",IF(T582="","",VLOOKUP(D582,契約台帳!$A$3:$E$4986,5,FALSE)))</f>
        <v>リンテック㈱</v>
      </c>
      <c r="AA582" s="57"/>
      <c r="AB582" s="207" t="str">
        <f>IFERROR((VLOOKUP(F582&amp;K582&amp;M582,製品マスタ!$M$5:$AM$5002,27,FALSE)),"")</f>
        <v>原反ケース再利用</v>
      </c>
      <c r="AC582" s="33"/>
      <c r="AD582" s="189"/>
      <c r="AE582" s="54"/>
      <c r="AF582" s="55"/>
      <c r="AG582" s="43"/>
      <c r="AH582" s="47"/>
      <c r="AI582" s="30"/>
      <c r="AJ582" s="30"/>
      <c r="AK582" s="30"/>
      <c r="AL582" s="30"/>
      <c r="AM582" s="13"/>
      <c r="AN582" s="13"/>
      <c r="AO582" s="13"/>
      <c r="AP582" s="13"/>
      <c r="AQ582" s="13"/>
      <c r="AR582" s="14"/>
      <c r="AS582" s="15"/>
    </row>
    <row r="583" spans="1:45" s="17" customFormat="1" ht="30.95" hidden="1" customHeight="1" x14ac:dyDescent="0.2">
      <c r="A583" s="37"/>
      <c r="B583" s="38"/>
      <c r="C583" s="45"/>
      <c r="D583" s="31"/>
      <c r="E583" s="31"/>
      <c r="F583" s="268" t="str">
        <f>IF(D583="","",VLOOKUP(D583,契約台帳!$A$3:$K$4986,6,FALSE)&amp;VLOOKUP(D583,契約台帳!$A$3:$K$4986,7,FALSE)&amp;VLOOKUP(D583,契約台帳!$A$3:$K$4986,8,FALSE)&amp;VLOOKUP(D583,契約台帳!$A$3:$K$4986,9,FALSE)&amp;VLOOKUP(D583,契約台帳!$A$3:$K$4986,11,FALSE))</f>
        <v/>
      </c>
      <c r="G583" s="269" t="str">
        <f>IF(D583="","",VLOOKUP(F583,製品マスタ!$G$5:$H$5002,2,FALSE))</f>
        <v/>
      </c>
      <c r="H583" s="269" t="str">
        <f>IF(D583="","",VLOOKUP(F583,製品マスタ!$G$5:$K$5002,5,FALSE))</f>
        <v/>
      </c>
      <c r="I583" s="270" t="str">
        <f>IF(D583="","",VLOOKUP(F583,製品マスタ!$G$5:$L$5002,6,FALSE))</f>
        <v/>
      </c>
      <c r="J583" s="210"/>
      <c r="K583" s="270" t="str">
        <f>IF(D583="","",VLOOKUP(D583,契約台帳!$A$3:$L$4986,12,FALSE))</f>
        <v/>
      </c>
      <c r="L583" s="270" t="str">
        <f>IF(D583="","",INDEX(製品マスタ!$Q$5:$Q$5002,MATCH('S4'!F583&amp;'S4'!K583,製品マスタ!$AO$5:$AO$5002,0)))</f>
        <v/>
      </c>
      <c r="M583" s="39"/>
      <c r="N583" s="39"/>
      <c r="O583" s="156"/>
      <c r="P583" s="47"/>
      <c r="Q583" s="57"/>
      <c r="R583" s="271" t="str">
        <f ca="1">IF(D583="","",IF(OFFSET(D583,-1,0)&lt;&gt;"","",IF(OR(J583="リード付け",J583="巻足し",J583="巻返しリード付け"),M583,VLOOKUP(D583,契約台帳!$A$3:$N$4986,14,FALSE))))</f>
        <v/>
      </c>
      <c r="S583" s="272" t="str">
        <f ca="1">IF(D583="","",IF(OFFSET(D583,-1,0)&lt;&gt;"","",IF(OR(J583="リード付け",J583="巻足し",J583="巻返しリード付け"),M583,VLOOKUP(D583,契約台帳!$A$3:$O$4986,15,FALSE))))</f>
        <v/>
      </c>
      <c r="T583" s="273" t="str">
        <f ca="1">IF(D583="","",IF(J583="リード付け",N583,IF(J583="巻返しリード付け",N583,IF(J583="巻足し",N583*P583+OFFSET(N583,1,0)*OFFSET(P583,1,0),VLOOKUP(D583,契約台帳!$A$3:$P$4986,16,FALSE)))))</f>
        <v/>
      </c>
      <c r="U583" s="40"/>
      <c r="V583" s="274" t="str">
        <f ca="1">IF(D583="","",IF(OFFSET(D583,-2,0)=D583,"",VLOOKUP(D583,契約台帳!$A$3:$R$4986,18,FALSE)))</f>
        <v/>
      </c>
      <c r="W583" s="269" t="str">
        <f>IF(D583="","",IF(T583="","",IF(OR(J583="巻足し",J583="巻返しリード付け"),"",IF(J583="巻返し",VLOOKUP(F583&amp;K583&amp;M583,製品マスタ!$M$5:$AD$5002,18,FALSE),IF(OR(J583="リード付け",J583="巻返しリード付け"),"原反コア",IF(J583="スリット",VLOOKUP(F583&amp;K583&amp;R583,製品マスタ!$N$5:$AD$5002,17,FALSE),""))))))</f>
        <v/>
      </c>
      <c r="X583" s="269" t="str">
        <f>IF(D583="","",IF(T583="","",IF(J583="巻足し","",IF(J583="巻返し",VLOOKUP(F583&amp;K583&amp;M583,製品マスタ!$M$5:$AE$5002,19,FALSE),IF(OR(J583="リード付け",J583="巻返しリード付け"),"",IF(J583="スリット",VLOOKUP(F583&amp;K583&amp;R583,製品マスタ!$N$5:$AE$5002,18,FALSE),""))))))</f>
        <v/>
      </c>
      <c r="Y583" s="275" t="str">
        <f>IF(D583="","",IF(T583="","",VLOOKUP(D583,契約台帳!$A$3:$Q$4986,17,FALSE)))</f>
        <v/>
      </c>
      <c r="Z583" s="269" t="str">
        <f>IF(D583="","",IF(T583="","",VLOOKUP(D583,契約台帳!$A$3:$E$4986,5,FALSE)))</f>
        <v/>
      </c>
      <c r="AA583" s="57"/>
      <c r="AB583" s="207" t="str">
        <f>IFERROR((VLOOKUP(F583&amp;K583&amp;M583,製品マスタ!$M$5:$AM$5002,27,FALSE)),"")</f>
        <v/>
      </c>
      <c r="AC583" s="33"/>
      <c r="AD583" s="189"/>
      <c r="AE583" s="54"/>
      <c r="AF583" s="55"/>
      <c r="AG583" s="43"/>
      <c r="AH583" s="47"/>
      <c r="AI583" s="30"/>
      <c r="AJ583" s="30"/>
      <c r="AK583" s="30"/>
      <c r="AL583" s="30"/>
      <c r="AM583" s="13"/>
      <c r="AN583" s="13"/>
      <c r="AO583" s="13"/>
      <c r="AP583" s="13"/>
      <c r="AQ583" s="13"/>
      <c r="AR583" s="14"/>
      <c r="AS583" s="15"/>
    </row>
    <row r="584" spans="1:45" s="17" customFormat="1" ht="30.95" hidden="1" customHeight="1" x14ac:dyDescent="0.2">
      <c r="A584" s="37"/>
      <c r="B584" s="38"/>
      <c r="C584" s="45"/>
      <c r="D584" s="31">
        <v>3708711</v>
      </c>
      <c r="E584" s="31">
        <v>4161899</v>
      </c>
      <c r="F584" s="268" t="str">
        <f>IF(D584="","",VLOOKUP(D584,契約台帳!$A$3:$K$4986,6,FALSE)&amp;VLOOKUP(D584,契約台帳!$A$3:$K$4986,7,FALSE)&amp;VLOOKUP(D584,契約台帳!$A$3:$K$4986,8,FALSE)&amp;VLOOKUP(D584,契約台帳!$A$3:$K$4986,9,FALSE)&amp;VLOOKUP(D584,契約台帳!$A$3:$K$4986,11,FALSE))</f>
        <v>3SNMLBMNGTBF</v>
      </c>
      <c r="G584" s="269" t="str">
        <f>IF(D584="","",VLOOKUP(F584,製品マスタ!$G$5:$H$5002,2,FALSE))</f>
        <v>S</v>
      </c>
      <c r="H584" s="269" t="str">
        <f>IF(D584="","",VLOOKUP(F584,製品マスタ!$G$5:$K$5002,5,FALSE))</f>
        <v>MNGTBF</v>
      </c>
      <c r="I584" s="270" t="str">
        <f>IF(D584="","",VLOOKUP(F584,製品マスタ!$G$5:$L$5002,6,FALSE))</f>
        <v>メタルミー　ネーマー　銀艶　Ｂ</v>
      </c>
      <c r="J584" s="210" t="s">
        <v>1102</v>
      </c>
      <c r="K584" s="270">
        <f>IF(D584="","",VLOOKUP(D584,契約台帳!$A$3:$L$4986,12,FALSE))</f>
        <v>50</v>
      </c>
      <c r="L584" s="270" t="str">
        <f>IF(D584="","",INDEX(製品マスタ!$Q$5:$Q$5002,MATCH('S4'!F584&amp;'S4'!K584,製品マスタ!$AO$5:$AO$5002,0)))</f>
        <v>T62</v>
      </c>
      <c r="M584" s="39">
        <v>1120</v>
      </c>
      <c r="N584" s="39">
        <v>5000</v>
      </c>
      <c r="O584" s="156">
        <v>1</v>
      </c>
      <c r="P584" s="47">
        <v>2</v>
      </c>
      <c r="Q584" s="213">
        <v>45065</v>
      </c>
      <c r="R584" s="271">
        <f ca="1">IF(D584="","",IF(OFFSET(D584,-1,0)&lt;&gt;"","",IF(OR(J584="リード付け",J584="巻足し",J584="巻返しリード付け"),M584,VLOOKUP(D584,契約台帳!$A$3:$N$4986,14,FALSE))))</f>
        <v>1120</v>
      </c>
      <c r="S584" s="272">
        <f ca="1">IF(D584="","",IF(OFFSET(D584,-1,0)&lt;&gt;"","",IF(OR(J584="リード付け",J584="巻足し",J584="巻返しリード付け"),M584,VLOOKUP(D584,契約台帳!$A$3:$O$4986,15,FALSE))))</f>
        <v>1120</v>
      </c>
      <c r="T584" s="273">
        <f ca="1">IF(D584="","",IF(J584="リード付け",N584,IF(J584="巻返しリード付け",N584,IF(J584="巻足し",N584*P584+OFFSET(N584,1,0)*OFFSET(P584,1,0),VLOOKUP(D584,契約台帳!$A$3:$P$4986,16,FALSE)))))</f>
        <v>10000</v>
      </c>
      <c r="U584" s="40">
        <v>1</v>
      </c>
      <c r="V584" s="274" t="str">
        <f ca="1">IF(D584="","",IF(OFFSET(D584,-2,0)=D584,"",VLOOKUP(D584,契約台帳!$A$3:$R$4986,18,FALSE)))</f>
        <v/>
      </c>
      <c r="W584" s="269" t="str">
        <f ca="1">IF(D584="","",IF(T584="","",IF(OR(J584="巻足し",J584="巻返しリード付け"),"",IF(J584="巻返し",VLOOKUP(F584&amp;K584&amp;M584,製品マスタ!$M$5:$AD$5002,18,FALSE),IF(OR(J584="リード付け",J584="巻返しリード付け"),"原反コア",IF(J584="スリット",VLOOKUP(F584&amp;K584&amp;R584,製品マスタ!$N$5:$AD$5002,17,FALSE),""))))))</f>
        <v/>
      </c>
      <c r="X584" s="269" t="str">
        <f ca="1">IF(D584="","",IF(T584="","",IF(J584="巻足し","",IF(J584="巻返し",VLOOKUP(F584&amp;K584&amp;M584,製品マスタ!$M$5:$AE$5002,19,FALSE),IF(OR(J584="リード付け",J584="巻返しリード付け"),"",IF(J584="スリット",VLOOKUP(F584&amp;K584&amp;R584,製品マスタ!$N$5:$AE$5002,18,FALSE),""))))))</f>
        <v/>
      </c>
      <c r="Y584" s="275">
        <f ca="1">IF(D584="","",IF(T584="","",VLOOKUP(D584,契約台帳!$A$3:$Q$4986,17,FALSE)))</f>
        <v>2</v>
      </c>
      <c r="Z584" s="269" t="str">
        <f ca="1">IF(D584="","",IF(T584="","",VLOOKUP(D584,契約台帳!$A$3:$E$4986,5,FALSE)))</f>
        <v>リンテック㈱</v>
      </c>
      <c r="AA584" s="57"/>
      <c r="AB584" s="207" t="str">
        <f>IFERROR((VLOOKUP(F584&amp;K584&amp;M584,製品マスタ!$M$5:$AM$5002,27,FALSE)),"")</f>
        <v>原反ケース再利用</v>
      </c>
      <c r="AC584" s="33"/>
      <c r="AD584" s="189"/>
      <c r="AE584" s="54"/>
      <c r="AF584" s="55"/>
      <c r="AG584" s="43"/>
      <c r="AH584" s="47"/>
      <c r="AI584" s="30"/>
      <c r="AJ584" s="30"/>
      <c r="AK584" s="30"/>
      <c r="AL584" s="30"/>
      <c r="AM584" s="13"/>
      <c r="AN584" s="13"/>
      <c r="AO584" s="13"/>
      <c r="AP584" s="13"/>
      <c r="AQ584" s="13"/>
      <c r="AR584" s="14"/>
      <c r="AS584" s="15"/>
    </row>
    <row r="585" spans="1:45" s="17" customFormat="1" ht="30.95" hidden="1" customHeight="1" x14ac:dyDescent="0.2">
      <c r="A585" s="37"/>
      <c r="B585" s="38"/>
      <c r="C585" s="45"/>
      <c r="D585" s="31">
        <v>3708713</v>
      </c>
      <c r="E585" s="31"/>
      <c r="F585" s="268" t="str">
        <f>IF(D585="","",VLOOKUP(D585,契約台帳!$A$3:$K$4986,6,FALSE)&amp;VLOOKUP(D585,契約台帳!$A$3:$K$4986,7,FALSE)&amp;VLOOKUP(D585,契約台帳!$A$3:$K$4986,8,FALSE)&amp;VLOOKUP(D585,契約台帳!$A$3:$K$4986,9,FALSE)&amp;VLOOKUP(D585,契約台帳!$A$3:$K$4986,11,FALSE))</f>
        <v>3SNMLBMNGTBF</v>
      </c>
      <c r="G585" s="269" t="str">
        <f>IF(D585="","",VLOOKUP(F585,製品マスタ!$G$5:$H$5002,2,FALSE))</f>
        <v>S</v>
      </c>
      <c r="H585" s="269" t="str">
        <f>IF(D585="","",VLOOKUP(F585,製品マスタ!$G$5:$K$5002,5,FALSE))</f>
        <v>MNGTBF</v>
      </c>
      <c r="I585" s="270" t="str">
        <f>IF(D585="","",VLOOKUP(F585,製品マスタ!$G$5:$L$5002,6,FALSE))</f>
        <v>メタルミー　ネーマー　銀艶　Ｂ</v>
      </c>
      <c r="J585" s="210"/>
      <c r="K585" s="270">
        <f>IF(D585="","",VLOOKUP(D585,契約台帳!$A$3:$L$4986,12,FALSE))</f>
        <v>50</v>
      </c>
      <c r="L585" s="270" t="str">
        <f>IF(D585="","",INDEX(製品マスタ!$Q$5:$Q$5002,MATCH('S4'!F585&amp;'S4'!K585,製品マスタ!$AO$5:$AO$5002,0)))</f>
        <v>T62</v>
      </c>
      <c r="M585" s="39">
        <v>1120</v>
      </c>
      <c r="N585" s="39">
        <v>5000</v>
      </c>
      <c r="O585" s="156">
        <v>1</v>
      </c>
      <c r="P585" s="47"/>
      <c r="Q585" s="57"/>
      <c r="R585" s="271" t="str">
        <f ca="1">IF(D585="","",IF(OFFSET(D585,-1,0)&lt;&gt;"","",IF(OR(J585="リード付け",J585="巻足し",J585="巻返しリード付け"),M585,VLOOKUP(D585,契約台帳!$A$3:$N$4986,14,FALSE))))</f>
        <v/>
      </c>
      <c r="S585" s="272" t="str">
        <f ca="1">IF(D585="","",IF(OFFSET(D585,-1,0)&lt;&gt;"","",IF(OR(J585="リード付け",J585="巻足し",J585="巻返しリード付け"),M585,VLOOKUP(D585,契約台帳!$A$3:$O$4986,15,FALSE))))</f>
        <v/>
      </c>
      <c r="T585" s="273"/>
      <c r="U585" s="40"/>
      <c r="V585" s="274">
        <v>1</v>
      </c>
      <c r="W585" s="269" t="str">
        <f>IF(D585="","",IF(T585="","",IF(OR(J585="巻足し",J585="巻返しリード付け"),"",IF(J585="巻返し",VLOOKUP(F585&amp;K585&amp;M585,製品マスタ!$M$5:$AD$5002,18,FALSE),IF(OR(J585="リード付け",J585="巻返しリード付け"),"原反コア",IF(J585="スリット",VLOOKUP(F585&amp;K585&amp;R585,製品マスタ!$N$5:$AD$5002,17,FALSE),""))))))</f>
        <v/>
      </c>
      <c r="X585" s="269" t="str">
        <f>IF(D585="","",IF(T585="","",IF(J585="巻足し","",IF(J585="巻返し",VLOOKUP(F585&amp;K585&amp;M585,製品マスタ!$M$5:$AE$5002,19,FALSE),IF(OR(J585="リード付け",J585="巻返しリード付け"),"",IF(J585="スリット",VLOOKUP(F585&amp;K585&amp;R585,製品マスタ!$N$5:$AE$5002,18,FALSE),""))))))</f>
        <v/>
      </c>
      <c r="Y585" s="275" t="str">
        <f>IF(D585="","",IF(T585="","",VLOOKUP(D585,契約台帳!$A$3:$Q$4986,17,FALSE)))</f>
        <v/>
      </c>
      <c r="Z585" s="269" t="str">
        <f>IF(D585="","",IF(T585="","",VLOOKUP(D585,契約台帳!$A$3:$E$4986,5,FALSE)))</f>
        <v/>
      </c>
      <c r="AA585" s="57"/>
      <c r="AB585" s="207" t="str">
        <f>IFERROR((VLOOKUP(F585&amp;K585&amp;M585,製品マスタ!$M$5:$AM$5002,27,FALSE)),"")</f>
        <v>原反ケース再利用</v>
      </c>
      <c r="AC585" s="33"/>
      <c r="AD585" s="189"/>
      <c r="AE585" s="54"/>
      <c r="AF585" s="55"/>
      <c r="AG585" s="43"/>
      <c r="AH585" s="47"/>
      <c r="AI585" s="30"/>
      <c r="AJ585" s="30"/>
      <c r="AK585" s="30"/>
      <c r="AL585" s="30"/>
      <c r="AM585" s="13"/>
      <c r="AN585" s="13"/>
      <c r="AO585" s="13"/>
      <c r="AP585" s="13"/>
      <c r="AQ585" s="13"/>
      <c r="AR585" s="14"/>
      <c r="AS585" s="15"/>
    </row>
    <row r="586" spans="1:45" s="17" customFormat="1" ht="30.95" hidden="1" customHeight="1" x14ac:dyDescent="0.2">
      <c r="A586" s="37"/>
      <c r="B586" s="38"/>
      <c r="C586" s="45"/>
      <c r="D586" s="31"/>
      <c r="E586" s="31"/>
      <c r="F586" s="268" t="str">
        <f>IF(D586="","",VLOOKUP(D586,契約台帳!$A$3:$K$4986,6,FALSE)&amp;VLOOKUP(D586,契約台帳!$A$3:$K$4986,7,FALSE)&amp;VLOOKUP(D586,契約台帳!$A$3:$K$4986,8,FALSE)&amp;VLOOKUP(D586,契約台帳!$A$3:$K$4986,9,FALSE)&amp;VLOOKUP(D586,契約台帳!$A$3:$K$4986,11,FALSE))</f>
        <v/>
      </c>
      <c r="G586" s="269" t="str">
        <f>IF(D586="","",VLOOKUP(F586,製品マスタ!$G$5:$H$5002,2,FALSE))</f>
        <v/>
      </c>
      <c r="H586" s="269" t="str">
        <f>IF(D586="","",VLOOKUP(F586,製品マスタ!$G$5:$K$5002,5,FALSE))</f>
        <v/>
      </c>
      <c r="I586" s="270" t="str">
        <f>IF(D586="","",VLOOKUP(F586,製品マスタ!$G$5:$L$5002,6,FALSE))</f>
        <v/>
      </c>
      <c r="J586" s="210"/>
      <c r="K586" s="270" t="str">
        <f>IF(D586="","",VLOOKUP(D586,契約台帳!$A$3:$L$4986,12,FALSE))</f>
        <v/>
      </c>
      <c r="L586" s="270" t="str">
        <f>IF(D586="","",INDEX(製品マスタ!$Q$5:$Q$5002,MATCH('S4'!F586&amp;'S4'!K586,製品マスタ!$AO$5:$AO$5002,0)))</f>
        <v/>
      </c>
      <c r="M586" s="39"/>
      <c r="N586" s="39"/>
      <c r="O586" s="156"/>
      <c r="P586" s="47"/>
      <c r="Q586" s="57"/>
      <c r="R586" s="271" t="str">
        <f ca="1">IF(D586="","",IF(OFFSET(D586,-1,0)&lt;&gt;"","",IF(OR(J586="リード付け",J586="巻足し",J586="巻返しリード付け"),M586,VLOOKUP(D586,契約台帳!$A$3:$N$4986,14,FALSE))))</f>
        <v/>
      </c>
      <c r="S586" s="272" t="str">
        <f ca="1">IF(D586="","",IF(OFFSET(D586,-1,0)&lt;&gt;"","",IF(OR(J586="リード付け",J586="巻足し",J586="巻返しリード付け"),M586,VLOOKUP(D586,契約台帳!$A$3:$O$4986,15,FALSE))))</f>
        <v/>
      </c>
      <c r="T586" s="273" t="str">
        <f ca="1">IF(D586="","",IF(J586="リード付け",N586,IF(J586="巻返しリード付け",N586,IF(J586="巻足し",N586*P586+OFFSET(N586,1,0)*OFFSET(P586,1,0),VLOOKUP(D586,契約台帳!$A$3:$P$4986,16,FALSE)))))</f>
        <v/>
      </c>
      <c r="U586" s="40"/>
      <c r="V586" s="274" t="str">
        <f ca="1">IF(D586="","",IF(OFFSET(D586,-2,0)=D586,"",VLOOKUP(D586,契約台帳!$A$3:$R$4986,18,FALSE)))</f>
        <v/>
      </c>
      <c r="W586" s="269" t="str">
        <f>IF(D586="","",IF(T586="","",IF(OR(J586="巻足し",J586="巻返しリード付け"),"",IF(J586="巻返し",VLOOKUP(F586&amp;K586&amp;M586,製品マスタ!$M$5:$AD$5002,18,FALSE),IF(OR(J586="リード付け",J586="巻返しリード付け"),"原反コア",IF(J586="スリット",VLOOKUP(F586&amp;K586&amp;R586,製品マスタ!$N$5:$AD$5002,17,FALSE),""))))))</f>
        <v/>
      </c>
      <c r="X586" s="269" t="str">
        <f>IF(D586="","",IF(T586="","",IF(J586="巻足し","",IF(J586="巻返し",VLOOKUP(F586&amp;K586&amp;M586,製品マスタ!$M$5:$AE$5002,19,FALSE),IF(OR(J586="リード付け",J586="巻返しリード付け"),"",IF(J586="スリット",VLOOKUP(F586&amp;K586&amp;R586,製品マスタ!$N$5:$AE$5002,18,FALSE),""))))))</f>
        <v/>
      </c>
      <c r="Y586" s="275" t="str">
        <f>IF(D586="","",IF(T586="","",VLOOKUP(D586,契約台帳!$A$3:$Q$4986,17,FALSE)))</f>
        <v/>
      </c>
      <c r="Z586" s="269" t="str">
        <f>IF(D586="","",IF(T586="","",VLOOKUP(D586,契約台帳!$A$3:$E$4986,5,FALSE)))</f>
        <v/>
      </c>
      <c r="AA586" s="57"/>
      <c r="AB586" s="207" t="str">
        <f>IFERROR((VLOOKUP(F586&amp;K586&amp;M586,製品マスタ!$M$5:$AM$5002,27,FALSE)),"")</f>
        <v/>
      </c>
      <c r="AC586" s="33"/>
      <c r="AD586" s="189"/>
      <c r="AE586" s="54"/>
      <c r="AF586" s="55"/>
      <c r="AG586" s="43"/>
      <c r="AH586" s="47"/>
      <c r="AI586" s="30"/>
      <c r="AJ586" s="30"/>
      <c r="AK586" s="30"/>
      <c r="AL586" s="30"/>
      <c r="AM586" s="13"/>
      <c r="AN586" s="13"/>
      <c r="AO586" s="13"/>
      <c r="AP586" s="13"/>
      <c r="AQ586" s="13"/>
      <c r="AR586" s="14"/>
      <c r="AS586" s="15"/>
    </row>
    <row r="587" spans="1:45" s="17" customFormat="1" ht="30.95" hidden="1" customHeight="1" x14ac:dyDescent="0.2">
      <c r="A587" s="37" t="s">
        <v>1137</v>
      </c>
      <c r="B587" s="38" t="s">
        <v>1111</v>
      </c>
      <c r="C587" s="45"/>
      <c r="D587" s="31">
        <v>3708712</v>
      </c>
      <c r="E587" s="31">
        <v>4161900</v>
      </c>
      <c r="F587" s="268" t="str">
        <f>IF(D587="","",VLOOKUP(D587,契約台帳!$A$3:$K$4986,6,FALSE)&amp;VLOOKUP(D587,契約台帳!$A$3:$K$4986,7,FALSE)&amp;VLOOKUP(D587,契約台帳!$A$3:$K$4986,8,FALSE)&amp;VLOOKUP(D587,契約台帳!$A$3:$K$4986,9,FALSE)&amp;VLOOKUP(D587,契約台帳!$A$3:$K$4986,11,FALSE))</f>
        <v>3SNMLBMNGTBF</v>
      </c>
      <c r="G587" s="269" t="str">
        <f>IF(D587="","",VLOOKUP(F587,製品マスタ!$G$5:$H$5002,2,FALSE))</f>
        <v>S</v>
      </c>
      <c r="H587" s="269" t="str">
        <f>IF(D587="","",VLOOKUP(F587,製品マスタ!$G$5:$K$5002,5,FALSE))</f>
        <v>MNGTBF</v>
      </c>
      <c r="I587" s="270" t="str">
        <f>IF(D587="","",VLOOKUP(F587,製品マスタ!$G$5:$L$5002,6,FALSE))</f>
        <v>メタルミー　ネーマー　銀艶　Ｂ</v>
      </c>
      <c r="J587" s="210" t="s">
        <v>1102</v>
      </c>
      <c r="K587" s="270">
        <f>IF(D587="","",VLOOKUP(D587,契約台帳!$A$3:$L$4986,12,FALSE))</f>
        <v>50</v>
      </c>
      <c r="L587" s="270" t="str">
        <f>IF(D587="","",INDEX(製品マスタ!$Q$5:$Q$5002,MATCH('S4'!F587&amp;'S4'!K587,製品マスタ!$AO$5:$AO$5002,0)))</f>
        <v>T62</v>
      </c>
      <c r="M587" s="39">
        <v>1120</v>
      </c>
      <c r="N587" s="39">
        <v>5000</v>
      </c>
      <c r="O587" s="156">
        <v>14</v>
      </c>
      <c r="P587" s="47">
        <v>2</v>
      </c>
      <c r="Q587" s="213">
        <v>45065</v>
      </c>
      <c r="R587" s="271">
        <f ca="1">IF(D587="","",IF(OFFSET(D587,-1,0)&lt;&gt;"","",IF(OR(J587="リード付け",J587="巻足し",J587="巻返しリード付け"),M587,VLOOKUP(D587,契約台帳!$A$3:$N$4986,14,FALSE))))</f>
        <v>1120</v>
      </c>
      <c r="S587" s="272">
        <f ca="1">IF(D587="","",IF(OFFSET(D587,-1,0)&lt;&gt;"","",IF(OR(J587="リード付け",J587="巻足し",J587="巻返しリード付け"),M587,VLOOKUP(D587,契約台帳!$A$3:$O$4986,15,FALSE))))</f>
        <v>1120</v>
      </c>
      <c r="T587" s="273">
        <f ca="1">IF(D587="","",IF(J587="リード付け",N587,IF(J587="巻返しリード付け",N587,IF(J587="巻足し",N587*P587+OFFSET(N587,1,0)*OFFSET(P587,1,0),VLOOKUP(D587,契約台帳!$A$3:$P$4986,16,FALSE)))))</f>
        <v>10000</v>
      </c>
      <c r="U587" s="40">
        <v>7</v>
      </c>
      <c r="V587" s="274">
        <f ca="1">IF(D587="","",IF(OFFSET(D587,-2,0)=D587,"",VLOOKUP(D587,契約台帳!$A$3:$R$4986,18,FALSE)))</f>
        <v>14</v>
      </c>
      <c r="W587" s="269" t="str">
        <f ca="1">IF(D587="","",IF(T587="","",IF(OR(J587="巻足し",J587="巻返しリード付け"),"",IF(J587="巻返し",VLOOKUP(F587&amp;K587&amp;M587,製品マスタ!$M$5:$AD$5002,18,FALSE),IF(OR(J587="リード付け",J587="巻返しリード付け"),"原反コア",IF(J587="スリット",VLOOKUP(F587&amp;K587&amp;R587,製品マスタ!$N$5:$AD$5002,17,FALSE),""))))))</f>
        <v/>
      </c>
      <c r="X587" s="269" t="str">
        <f ca="1">IF(D587="","",IF(T587="","",IF(J587="巻足し","",IF(J587="巻返し",VLOOKUP(F587&amp;K587&amp;M587,製品マスタ!$M$5:$AE$5002,19,FALSE),IF(OR(J587="リード付け",J587="巻返しリード付け"),"",IF(J587="スリット",VLOOKUP(F587&amp;K587&amp;R587,製品マスタ!$N$5:$AE$5002,18,FALSE),""))))))</f>
        <v/>
      </c>
      <c r="Y587" s="275">
        <f ca="1">IF(D587="","",IF(T587="","",VLOOKUP(D587,契約台帳!$A$3:$Q$4986,17,FALSE)))</f>
        <v>2</v>
      </c>
      <c r="Z587" s="269" t="str">
        <f ca="1">IF(D587="","",IF(T587="","",VLOOKUP(D587,契約台帳!$A$3:$E$4986,5,FALSE)))</f>
        <v>リンテック㈱</v>
      </c>
      <c r="AA587" s="57"/>
      <c r="AB587" s="207" t="str">
        <f>IFERROR((VLOOKUP(F587&amp;K587&amp;M587,製品マスタ!$M$5:$AM$5002,27,FALSE)),"")</f>
        <v>原反ケース再利用</v>
      </c>
      <c r="AC587" s="33"/>
      <c r="AD587" s="189"/>
      <c r="AE587" s="54"/>
      <c r="AF587" s="55"/>
      <c r="AG587" s="43"/>
      <c r="AH587" s="47"/>
      <c r="AI587" s="30"/>
      <c r="AJ587" s="30"/>
      <c r="AK587" s="30"/>
      <c r="AL587" s="30"/>
      <c r="AM587" s="13"/>
      <c r="AN587" s="13"/>
      <c r="AO587" s="13"/>
      <c r="AP587" s="13"/>
      <c r="AQ587" s="13"/>
      <c r="AR587" s="14"/>
      <c r="AS587" s="15"/>
    </row>
    <row r="588" spans="1:45" s="17" customFormat="1" ht="30.95" hidden="1" customHeight="1" x14ac:dyDescent="0.2">
      <c r="A588" s="37"/>
      <c r="B588" s="38"/>
      <c r="C588" s="45"/>
      <c r="D588" s="31"/>
      <c r="E588" s="31"/>
      <c r="F588" s="268" t="str">
        <f>IF(D588="","",VLOOKUP(D588,契約台帳!$A$3:$K$4986,6,FALSE)&amp;VLOOKUP(D588,契約台帳!$A$3:$K$4986,7,FALSE)&amp;VLOOKUP(D588,契約台帳!$A$3:$K$4986,8,FALSE)&amp;VLOOKUP(D588,契約台帳!$A$3:$K$4986,9,FALSE)&amp;VLOOKUP(D588,契約台帳!$A$3:$K$4986,11,FALSE))</f>
        <v/>
      </c>
      <c r="G588" s="269" t="str">
        <f>IF(D588="","",VLOOKUP(F588,製品マスタ!$G$5:$H$5002,2,FALSE))</f>
        <v/>
      </c>
      <c r="H588" s="269" t="str">
        <f>IF(D588="","",VLOOKUP(F588,製品マスタ!$G$5:$K$5002,5,FALSE))</f>
        <v/>
      </c>
      <c r="I588" s="270" t="str">
        <f>IF(D588="","",VLOOKUP(F588,製品マスタ!$G$5:$L$5002,6,FALSE))</f>
        <v/>
      </c>
      <c r="J588" s="210"/>
      <c r="K588" s="270" t="str">
        <f>IF(D588="","",VLOOKUP(D588,契約台帳!$A$3:$L$4986,12,FALSE))</f>
        <v/>
      </c>
      <c r="L588" s="270" t="str">
        <f>IF(D588="","",INDEX(製品マスタ!$Q$5:$Q$5002,MATCH('S4'!F588&amp;'S4'!K588,製品マスタ!$AO$5:$AO$5002,0)))</f>
        <v/>
      </c>
      <c r="M588" s="39"/>
      <c r="N588" s="39"/>
      <c r="O588" s="156"/>
      <c r="P588" s="47"/>
      <c r="Q588" s="57"/>
      <c r="R588" s="271" t="str">
        <f ca="1">IF(D588="","",IF(OFFSET(D588,-1,0)&lt;&gt;"","",IF(OR(J588="リード付け",J588="巻足し",J588="巻返しリード付け"),M588,VLOOKUP(D588,契約台帳!$A$3:$N$4986,14,FALSE))))</f>
        <v/>
      </c>
      <c r="S588" s="272" t="str">
        <f ca="1">IF(D588="","",IF(OFFSET(D588,-1,0)&lt;&gt;"","",IF(OR(J588="リード付け",J588="巻足し",J588="巻返しリード付け"),M588,VLOOKUP(D588,契約台帳!$A$3:$O$4986,15,FALSE))))</f>
        <v/>
      </c>
      <c r="T588" s="273" t="str">
        <f ca="1">IF(D588="","",IF(J588="リード付け",N588,IF(J588="巻返しリード付け",N588,IF(J588="巻足し",N588*P588+OFFSET(N588,1,0)*OFFSET(P588,1,0),VLOOKUP(D588,契約台帳!$A$3:$P$4986,16,FALSE)))))</f>
        <v/>
      </c>
      <c r="U588" s="40"/>
      <c r="V588" s="274" t="str">
        <f ca="1">IF(D588="","",IF(OFFSET(D588,-2,0)=D588,"",VLOOKUP(D588,契約台帳!$A$3:$R$4986,18,FALSE)))</f>
        <v/>
      </c>
      <c r="W588" s="269" t="str">
        <f>IF(D588="","",IF(T588="","",IF(OR(J588="巻足し",J588="巻返しリード付け"),"",IF(J588="巻返し",VLOOKUP(F588&amp;K588&amp;M588,製品マスタ!$M$5:$AD$5002,18,FALSE),IF(OR(J588="リード付け",J588="巻返しリード付け"),"原反コア",IF(J588="スリット",VLOOKUP(F588&amp;K588&amp;R588,製品マスタ!$N$5:$AD$5002,17,FALSE),""))))))</f>
        <v/>
      </c>
      <c r="X588" s="269" t="str">
        <f>IF(D588="","",IF(T588="","",IF(J588="巻足し","",IF(J588="巻返し",VLOOKUP(F588&amp;K588&amp;M588,製品マスタ!$M$5:$AE$5002,19,FALSE),IF(OR(J588="リード付け",J588="巻返しリード付け"),"",IF(J588="スリット",VLOOKUP(F588&amp;K588&amp;R588,製品マスタ!$N$5:$AE$5002,18,FALSE),""))))))</f>
        <v/>
      </c>
      <c r="Y588" s="275" t="str">
        <f>IF(D588="","",IF(T588="","",VLOOKUP(D588,契約台帳!$A$3:$Q$4986,17,FALSE)))</f>
        <v/>
      </c>
      <c r="Z588" s="269" t="str">
        <f>IF(D588="","",IF(T588="","",VLOOKUP(D588,契約台帳!$A$3:$E$4986,5,FALSE)))</f>
        <v/>
      </c>
      <c r="AA588" s="57"/>
      <c r="AB588" s="207" t="str">
        <f>IFERROR((VLOOKUP(F588&amp;K588&amp;M588,製品マスタ!$M$5:$AM$5002,27,FALSE)),"")</f>
        <v/>
      </c>
      <c r="AC588" s="33"/>
      <c r="AD588" s="189"/>
      <c r="AE588" s="54"/>
      <c r="AF588" s="55"/>
      <c r="AG588" s="43"/>
      <c r="AH588" s="47"/>
      <c r="AI588" s="30"/>
      <c r="AJ588" s="30"/>
      <c r="AK588" s="30"/>
      <c r="AL588" s="30"/>
      <c r="AM588" s="13"/>
      <c r="AN588" s="13"/>
      <c r="AO588" s="13"/>
      <c r="AP588" s="13"/>
      <c r="AQ588" s="13"/>
      <c r="AR588" s="14"/>
      <c r="AS588" s="15"/>
    </row>
    <row r="589" spans="1:45" s="17" customFormat="1" ht="30.95" hidden="1" customHeight="1" x14ac:dyDescent="0.2">
      <c r="A589" s="37" t="s">
        <v>1138</v>
      </c>
      <c r="B589" s="38" t="s">
        <v>1099</v>
      </c>
      <c r="C589" s="45"/>
      <c r="D589" s="31">
        <v>3708695</v>
      </c>
      <c r="E589" s="31">
        <v>4161877</v>
      </c>
      <c r="F589" s="268" t="str">
        <f>IF(D589="","",VLOOKUP(D589,契約台帳!$A$3:$K$4986,6,FALSE)&amp;VLOOKUP(D589,契約台帳!$A$3:$K$4986,7,FALSE)&amp;VLOOKUP(D589,契約台帳!$A$3:$K$4986,8,FALSE)&amp;VLOOKUP(D589,契約台帳!$A$3:$K$4986,9,FALSE)&amp;VLOOKUP(D589,契約台帳!$A$3:$K$4986,11,FALSE))</f>
        <v>3HSNMCLBEYK</v>
      </c>
      <c r="G589" s="269" t="str">
        <f>IF(D589="","",VLOOKUP(F589,製品マスタ!$G$5:$H$5002,2,FALSE))</f>
        <v>S</v>
      </c>
      <c r="H589" s="269" t="str">
        <f>IF(D589="","",VLOOKUP(F589,製品マスタ!$G$5:$K$5002,5,FALSE))</f>
        <v>EYK</v>
      </c>
      <c r="I589" s="270" t="str">
        <f>IF(D589="","",VLOOKUP(F589,製品マスタ!$G$5:$L$5002,6,FALSE))</f>
        <v>メタルミー　ＥＹＫ</v>
      </c>
      <c r="J589" s="210" t="s">
        <v>1102</v>
      </c>
      <c r="K589" s="270">
        <f>IF(D589="","",VLOOKUP(D589,契約台帳!$A$3:$L$4986,12,FALSE))</f>
        <v>50</v>
      </c>
      <c r="L589" s="270" t="str">
        <f>IF(D589="","",INDEX(製品マスタ!$Q$5:$Q$5002,MATCH('S4'!F589&amp;'S4'!K589,製品マスタ!$AO$5:$AO$5002,0)))</f>
        <v>T62M</v>
      </c>
      <c r="M589" s="39">
        <v>1195</v>
      </c>
      <c r="N589" s="39">
        <v>6100</v>
      </c>
      <c r="O589" s="156">
        <v>20</v>
      </c>
      <c r="P589" s="47">
        <v>2</v>
      </c>
      <c r="Q589" s="213">
        <v>45068</v>
      </c>
      <c r="R589" s="271">
        <f ca="1">IF(D589="","",IF(OFFSET(D589,-1,0)&lt;&gt;"","",IF(OR(J589="リード付け",J589="巻足し",J589="巻返しリード付け"),M589,VLOOKUP(D589,契約台帳!$A$3:$N$4986,14,FALSE))))</f>
        <v>1195</v>
      </c>
      <c r="S589" s="272">
        <f ca="1">IF(D589="","",IF(OFFSET(D589,-1,0)&lt;&gt;"","",IF(OR(J589="リード付け",J589="巻足し",J589="巻返しリード付け"),M589,VLOOKUP(D589,契約台帳!$A$3:$O$4986,15,FALSE))))</f>
        <v>1195</v>
      </c>
      <c r="T589" s="273">
        <f ca="1">IF(D589="","",IF(J589="リード付け",N589,IF(J589="巻返しリード付け",N589,IF(J589="巻足し",N589*P589+OFFSET(N589,1,0)*OFFSET(P589,1,0),VLOOKUP(D589,契約台帳!$A$3:$P$4986,16,FALSE)))))</f>
        <v>12200</v>
      </c>
      <c r="U589" s="40">
        <v>10</v>
      </c>
      <c r="V589" s="274">
        <f ca="1">IF(D589="","",IF(OFFSET(D589,-2,0)=D589,"",VLOOKUP(D589,契約台帳!$A$3:$R$4986,18,FALSE)))</f>
        <v>30</v>
      </c>
      <c r="W589" s="269" t="str">
        <f ca="1">IF(D589="","",IF(T589="","",IF(OR(J589="巻足し",J589="巻返しリード付け"),"",IF(J589="巻返し",VLOOKUP(F589&amp;K589&amp;M589,製品マスタ!$M$5:$AD$5002,18,FALSE),IF(OR(J589="リード付け",J589="巻返しリード付け"),"原反コア",IF(J589="スリット",VLOOKUP(F589&amp;K589&amp;R589,製品マスタ!$N$5:$AD$5002,17,FALSE),""))))))</f>
        <v/>
      </c>
      <c r="X589" s="269" t="str">
        <f ca="1">IF(D589="","",IF(T589="","",IF(J589="巻足し","",IF(J589="巻返し",VLOOKUP(F589&amp;K589&amp;M589,製品マスタ!$M$5:$AE$5002,19,FALSE),IF(OR(J589="リード付け",J589="巻返しリード付け"),"",IF(J589="スリット",VLOOKUP(F589&amp;K589&amp;R589,製品マスタ!$N$5:$AE$5002,18,FALSE),""))))))</f>
        <v/>
      </c>
      <c r="Y589" s="275">
        <f ca="1">IF(D589="","",IF(T589="","",VLOOKUP(D589,契約台帳!$A$3:$Q$4986,17,FALSE)))</f>
        <v>2</v>
      </c>
      <c r="Z589" s="269" t="str">
        <f ca="1">IF(D589="","",IF(T589="","",VLOOKUP(D589,契約台帳!$A$3:$E$4986,5,FALSE)))</f>
        <v>大阪シーリング印刷㈱</v>
      </c>
      <c r="AA589" s="57"/>
      <c r="AB589" s="207" t="str">
        <f>IFERROR((VLOOKUP(F589&amp;K589&amp;M589,製品マスタ!$M$5:$AM$5002,27,FALSE)),"")</f>
        <v>原反ケース再利用</v>
      </c>
      <c r="AC589" s="33"/>
      <c r="AD589" s="189"/>
      <c r="AE589" s="54"/>
      <c r="AF589" s="55"/>
      <c r="AG589" s="43"/>
      <c r="AH589" s="47"/>
      <c r="AI589" s="30"/>
      <c r="AJ589" s="30"/>
      <c r="AK589" s="30"/>
      <c r="AL589" s="30"/>
      <c r="AM589" s="13"/>
      <c r="AN589" s="13"/>
      <c r="AO589" s="13"/>
      <c r="AP589" s="13"/>
      <c r="AQ589" s="13"/>
      <c r="AR589" s="14"/>
      <c r="AS589" s="15"/>
    </row>
    <row r="590" spans="1:45" s="17" customFormat="1" ht="30.95" hidden="1" customHeight="1" x14ac:dyDescent="0.2">
      <c r="A590" s="37"/>
      <c r="B590" s="38"/>
      <c r="C590" s="45"/>
      <c r="D590" s="31"/>
      <c r="E590" s="31"/>
      <c r="F590" s="268" t="str">
        <f>IF(D590="","",VLOOKUP(D590,契約台帳!$A$3:$K$4986,6,FALSE)&amp;VLOOKUP(D590,契約台帳!$A$3:$K$4986,7,FALSE)&amp;VLOOKUP(D590,契約台帳!$A$3:$K$4986,8,FALSE)&amp;VLOOKUP(D590,契約台帳!$A$3:$K$4986,9,FALSE)&amp;VLOOKUP(D590,契約台帳!$A$3:$K$4986,11,FALSE))</f>
        <v/>
      </c>
      <c r="G590" s="269" t="str">
        <f>IF(D590="","",VLOOKUP(F590,製品マスタ!$G$5:$H$5002,2,FALSE))</f>
        <v/>
      </c>
      <c r="H590" s="269" t="str">
        <f>IF(D590="","",VLOOKUP(F590,製品マスタ!$G$5:$K$5002,5,FALSE))</f>
        <v/>
      </c>
      <c r="I590" s="270" t="str">
        <f>IF(D590="","",VLOOKUP(F590,製品マスタ!$G$5:$L$5002,6,FALSE))</f>
        <v/>
      </c>
      <c r="J590" s="210"/>
      <c r="K590" s="270" t="str">
        <f>IF(D590="","",VLOOKUP(D590,契約台帳!$A$3:$L$4986,12,FALSE))</f>
        <v/>
      </c>
      <c r="L590" s="270" t="str">
        <f>IF(D590="","",INDEX(製品マスタ!$Q$5:$Q$5002,MATCH('S4'!F590&amp;'S4'!K590,製品マスタ!$AO$5:$AO$5002,0)))</f>
        <v/>
      </c>
      <c r="M590" s="39"/>
      <c r="N590" s="39"/>
      <c r="O590" s="156"/>
      <c r="P590" s="47"/>
      <c r="Q590" s="57"/>
      <c r="R590" s="271" t="str">
        <f ca="1">IF(D590="","",IF(OFFSET(D590,-1,0)&lt;&gt;"","",IF(OR(J590="リード付け",J590="巻足し",J590="巻返しリード付け"),M590,VLOOKUP(D590,契約台帳!$A$3:$N$4986,14,FALSE))))</f>
        <v/>
      </c>
      <c r="S590" s="272" t="str">
        <f ca="1">IF(D590="","",IF(OFFSET(D590,-1,0)&lt;&gt;"","",IF(OR(J590="リード付け",J590="巻足し",J590="巻返しリード付け"),M590,VLOOKUP(D590,契約台帳!$A$3:$O$4986,15,FALSE))))</f>
        <v/>
      </c>
      <c r="T590" s="273" t="str">
        <f ca="1">IF(D590="","",IF(J590="リード付け",N590,IF(J590="巻返しリード付け",N590,IF(J590="巻足し",N590*P590+OFFSET(N590,1,0)*OFFSET(P590,1,0),VLOOKUP(D590,契約台帳!$A$3:$P$4986,16,FALSE)))))</f>
        <v/>
      </c>
      <c r="U590" s="40"/>
      <c r="V590" s="274" t="str">
        <f ca="1">IF(D590="","",IF(OFFSET(D590,-2,0)=D590,"",VLOOKUP(D590,契約台帳!$A$3:$R$4986,18,FALSE)))</f>
        <v/>
      </c>
      <c r="W590" s="269" t="str">
        <f>IF(D590="","",IF(T590="","",IF(OR(J590="巻足し",J590="巻返しリード付け"),"",IF(J590="巻返し",VLOOKUP(F590&amp;K590&amp;M590,製品マスタ!$M$5:$AD$5002,18,FALSE),IF(OR(J590="リード付け",J590="巻返しリード付け"),"原反コア",IF(J590="スリット",VLOOKUP(F590&amp;K590&amp;R590,製品マスタ!$N$5:$AD$5002,17,FALSE),""))))))</f>
        <v/>
      </c>
      <c r="X590" s="269" t="str">
        <f>IF(D590="","",IF(T590="","",IF(J590="巻足し","",IF(J590="巻返し",VLOOKUP(F590&amp;K590&amp;M590,製品マスタ!$M$5:$AE$5002,19,FALSE),IF(OR(J590="リード付け",J590="巻返しリード付け"),"",IF(J590="スリット",VLOOKUP(F590&amp;K590&amp;R590,製品マスタ!$N$5:$AE$5002,18,FALSE),""))))))</f>
        <v/>
      </c>
      <c r="Y590" s="275" t="str">
        <f>IF(D590="","",IF(T590="","",VLOOKUP(D590,契約台帳!$A$3:$Q$4986,17,FALSE)))</f>
        <v/>
      </c>
      <c r="Z590" s="269" t="str">
        <f>IF(D590="","",IF(T590="","",VLOOKUP(D590,契約台帳!$A$3:$E$4986,5,FALSE)))</f>
        <v/>
      </c>
      <c r="AA590" s="57"/>
      <c r="AB590" s="207" t="str">
        <f>IFERROR((VLOOKUP(F590&amp;K590&amp;M590,製品マスタ!$M$5:$AM$5002,27,FALSE)),"")</f>
        <v/>
      </c>
      <c r="AC590" s="33"/>
      <c r="AD590" s="189"/>
      <c r="AE590" s="54"/>
      <c r="AF590" s="55"/>
      <c r="AG590" s="43"/>
      <c r="AH590" s="47"/>
      <c r="AI590" s="30"/>
      <c r="AJ590" s="30"/>
      <c r="AK590" s="30"/>
      <c r="AL590" s="30"/>
      <c r="AM590" s="13"/>
      <c r="AN590" s="13"/>
      <c r="AO590" s="13"/>
      <c r="AP590" s="13"/>
      <c r="AQ590" s="13"/>
      <c r="AR590" s="14"/>
      <c r="AS590" s="15"/>
    </row>
    <row r="591" spans="1:45" s="17" customFormat="1" ht="30.95" hidden="1" customHeight="1" x14ac:dyDescent="0.2">
      <c r="A591" s="37" t="s">
        <v>1139</v>
      </c>
      <c r="B591" s="38" t="s">
        <v>1101</v>
      </c>
      <c r="C591" s="45"/>
      <c r="D591" s="31">
        <v>3708695</v>
      </c>
      <c r="E591" s="31">
        <v>4161877</v>
      </c>
      <c r="F591" s="268" t="str">
        <f>IF(D591="","",VLOOKUP(D591,契約台帳!$A$3:$K$4986,6,FALSE)&amp;VLOOKUP(D591,契約台帳!$A$3:$K$4986,7,FALSE)&amp;VLOOKUP(D591,契約台帳!$A$3:$K$4986,8,FALSE)&amp;VLOOKUP(D591,契約台帳!$A$3:$K$4986,9,FALSE)&amp;VLOOKUP(D591,契約台帳!$A$3:$K$4986,11,FALSE))</f>
        <v>3HSNMCLBEYK</v>
      </c>
      <c r="G591" s="269" t="str">
        <f>IF(D591="","",VLOOKUP(F591,製品マスタ!$G$5:$H$5002,2,FALSE))</f>
        <v>S</v>
      </c>
      <c r="H591" s="269" t="str">
        <f>IF(D591="","",VLOOKUP(F591,製品マスタ!$G$5:$K$5002,5,FALSE))</f>
        <v>EYK</v>
      </c>
      <c r="I591" s="270" t="str">
        <f>IF(D591="","",VLOOKUP(F591,製品マスタ!$G$5:$L$5002,6,FALSE))</f>
        <v>メタルミー　ＥＹＫ</v>
      </c>
      <c r="J591" s="210" t="s">
        <v>1102</v>
      </c>
      <c r="K591" s="270">
        <f>IF(D591="","",VLOOKUP(D591,契約台帳!$A$3:$L$4986,12,FALSE))</f>
        <v>50</v>
      </c>
      <c r="L591" s="270" t="str">
        <f>IF(D591="","",INDEX(製品マスタ!$Q$5:$Q$5002,MATCH('S4'!F591&amp;'S4'!K591,製品マスタ!$AO$5:$AO$5002,0)))</f>
        <v>T62M</v>
      </c>
      <c r="M591" s="39">
        <v>1195</v>
      </c>
      <c r="N591" s="39">
        <v>6100</v>
      </c>
      <c r="O591" s="156">
        <v>10</v>
      </c>
      <c r="P591" s="47">
        <v>2</v>
      </c>
      <c r="Q591" s="213">
        <v>45068</v>
      </c>
      <c r="R591" s="271">
        <f ca="1">IF(D591="","",IF(OFFSET(D591,-1,0)&lt;&gt;"","",IF(OR(J591="リード付け",J591="巻足し",J591="巻返しリード付け"),M591,VLOOKUP(D591,契約台帳!$A$3:$N$4986,14,FALSE))))</f>
        <v>1195</v>
      </c>
      <c r="S591" s="272">
        <f ca="1">IF(D591="","",IF(OFFSET(D591,-1,0)&lt;&gt;"","",IF(OR(J591="リード付け",J591="巻足し",J591="巻返しリード付け"),M591,VLOOKUP(D591,契約台帳!$A$3:$O$4986,15,FALSE))))</f>
        <v>1195</v>
      </c>
      <c r="T591" s="273">
        <f ca="1">IF(D591="","",IF(J591="リード付け",N591,IF(J591="巻返しリード付け",N591,IF(J591="巻足し",N591*P591+OFFSET(N591,1,0)*OFFSET(P591,1,0),VLOOKUP(D591,契約台帳!$A$3:$P$4986,16,FALSE)))))</f>
        <v>12200</v>
      </c>
      <c r="U591" s="40">
        <v>5</v>
      </c>
      <c r="V591" s="274" t="str">
        <f ca="1">IF(D591="","",IF(OFFSET(D591,-2,0)=D591,"",VLOOKUP(D591,契約台帳!$A$3:$R$4986,18,FALSE)))</f>
        <v/>
      </c>
      <c r="W591" s="269" t="str">
        <f ca="1">IF(D591="","",IF(T591="","",IF(OR(J591="巻足し",J591="巻返しリード付け"),"",IF(J591="巻返し",VLOOKUP(F591&amp;K591&amp;M591,製品マスタ!$M$5:$AD$5002,18,FALSE),IF(OR(J591="リード付け",J591="巻返しリード付け"),"原反コア",IF(J591="スリット",VLOOKUP(F591&amp;K591&amp;R591,製品マスタ!$N$5:$AD$5002,17,FALSE),""))))))</f>
        <v/>
      </c>
      <c r="X591" s="269" t="str">
        <f ca="1">IF(D591="","",IF(T591="","",IF(J591="巻足し","",IF(J591="巻返し",VLOOKUP(F591&amp;K591&amp;M591,製品マスタ!$M$5:$AE$5002,19,FALSE),IF(OR(J591="リード付け",J591="巻返しリード付け"),"",IF(J591="スリット",VLOOKUP(F591&amp;K591&amp;R591,製品マスタ!$N$5:$AE$5002,18,FALSE),""))))))</f>
        <v/>
      </c>
      <c r="Y591" s="275">
        <f ca="1">IF(D591="","",IF(T591="","",VLOOKUP(D591,契約台帳!$A$3:$Q$4986,17,FALSE)))</f>
        <v>2</v>
      </c>
      <c r="Z591" s="269" t="str">
        <f ca="1">IF(D591="","",IF(T591="","",VLOOKUP(D591,契約台帳!$A$3:$E$4986,5,FALSE)))</f>
        <v>大阪シーリング印刷㈱</v>
      </c>
      <c r="AA591" s="57"/>
      <c r="AB591" s="207" t="str">
        <f>IFERROR((VLOOKUP(F591&amp;K591&amp;M591,製品マスタ!$M$5:$AM$5002,27,FALSE)),"")</f>
        <v>原反ケース再利用</v>
      </c>
      <c r="AC591" s="33"/>
      <c r="AD591" s="189"/>
      <c r="AE591" s="54"/>
      <c r="AF591" s="55"/>
      <c r="AG591" s="43"/>
      <c r="AH591" s="47"/>
      <c r="AI591" s="30"/>
      <c r="AJ591" s="30"/>
      <c r="AK591" s="30"/>
      <c r="AL591" s="30"/>
      <c r="AM591" s="13"/>
      <c r="AN591" s="13"/>
      <c r="AO591" s="13"/>
      <c r="AP591" s="13"/>
      <c r="AQ591" s="13"/>
      <c r="AR591" s="14"/>
      <c r="AS591" s="15"/>
    </row>
    <row r="592" spans="1:45" s="17" customFormat="1" ht="30.95" hidden="1" customHeight="1" x14ac:dyDescent="0.2">
      <c r="A592" s="37"/>
      <c r="B592" s="38"/>
      <c r="C592" s="45"/>
      <c r="D592" s="31"/>
      <c r="E592" s="31"/>
      <c r="F592" s="268" t="str">
        <f>IF(D592="","",VLOOKUP(D592,契約台帳!$A$3:$K$4986,6,FALSE)&amp;VLOOKUP(D592,契約台帳!$A$3:$K$4986,7,FALSE)&amp;VLOOKUP(D592,契約台帳!$A$3:$K$4986,8,FALSE)&amp;VLOOKUP(D592,契約台帳!$A$3:$K$4986,9,FALSE)&amp;VLOOKUP(D592,契約台帳!$A$3:$K$4986,11,FALSE))</f>
        <v/>
      </c>
      <c r="G592" s="269" t="str">
        <f>IF(D592="","",VLOOKUP(F592,製品マスタ!$G$5:$H$5002,2,FALSE))</f>
        <v/>
      </c>
      <c r="H592" s="269" t="str">
        <f>IF(D592="","",VLOOKUP(F592,製品マスタ!$G$5:$K$5002,5,FALSE))</f>
        <v/>
      </c>
      <c r="I592" s="270" t="str">
        <f>IF(D592="","",VLOOKUP(F592,製品マスタ!$G$5:$L$5002,6,FALSE))</f>
        <v/>
      </c>
      <c r="J592" s="210"/>
      <c r="K592" s="270" t="str">
        <f>IF(D592="","",VLOOKUP(D592,契約台帳!$A$3:$L$4986,12,FALSE))</f>
        <v/>
      </c>
      <c r="L592" s="270" t="str">
        <f>IF(D592="","",INDEX(製品マスタ!$Q$5:$Q$5002,MATCH('S4'!F592&amp;'S4'!K592,製品マスタ!$AO$5:$AO$5002,0)))</f>
        <v/>
      </c>
      <c r="M592" s="39"/>
      <c r="N592" s="39"/>
      <c r="O592" s="156"/>
      <c r="P592" s="47"/>
      <c r="Q592" s="57"/>
      <c r="R592" s="271" t="str">
        <f ca="1">IF(D592="","",IF(OFFSET(D592,-1,0)&lt;&gt;"","",IF(OR(J592="リード付け",J592="巻足し",J592="巻返しリード付け"),M592,VLOOKUP(D592,契約台帳!$A$3:$N$4986,14,FALSE))))</f>
        <v/>
      </c>
      <c r="S592" s="272" t="str">
        <f ca="1">IF(D592="","",IF(OFFSET(D592,-1,0)&lt;&gt;"","",IF(OR(J592="リード付け",J592="巻足し",J592="巻返しリード付け"),M592,VLOOKUP(D592,契約台帳!$A$3:$O$4986,15,FALSE))))</f>
        <v/>
      </c>
      <c r="T592" s="273" t="str">
        <f ca="1">IF(D592="","",IF(J592="リード付け",N592,IF(J592="巻返しリード付け",N592,IF(J592="巻足し",N592*P592+OFFSET(N592,1,0)*OFFSET(P592,1,0),VLOOKUP(D592,契約台帳!$A$3:$P$4986,16,FALSE)))))</f>
        <v/>
      </c>
      <c r="U592" s="40"/>
      <c r="V592" s="274" t="str">
        <f ca="1">IF(D592="","",IF(OFFSET(D592,-2,0)=D592,"",VLOOKUP(D592,契約台帳!$A$3:$R$4986,18,FALSE)))</f>
        <v/>
      </c>
      <c r="W592" s="269" t="str">
        <f>IF(D592="","",IF(T592="","",IF(OR(J592="巻足し",J592="巻返しリード付け"),"",IF(J592="巻返し",VLOOKUP(F592&amp;K592&amp;M592,製品マスタ!$M$5:$AD$5002,18,FALSE),IF(OR(J592="リード付け",J592="巻返しリード付け"),"原反コア",IF(J592="スリット",VLOOKUP(F592&amp;K592&amp;R592,製品マスタ!$N$5:$AD$5002,17,FALSE),""))))))</f>
        <v/>
      </c>
      <c r="X592" s="269" t="str">
        <f>IF(D592="","",IF(T592="","",IF(J592="巻足し","",IF(J592="巻返し",VLOOKUP(F592&amp;K592&amp;M592,製品マスタ!$M$5:$AE$5002,19,FALSE),IF(OR(J592="リード付け",J592="巻返しリード付け"),"",IF(J592="スリット",VLOOKUP(F592&amp;K592&amp;R592,製品マスタ!$N$5:$AE$5002,18,FALSE),""))))))</f>
        <v/>
      </c>
      <c r="Y592" s="275" t="str">
        <f>IF(D592="","",IF(T592="","",VLOOKUP(D592,契約台帳!$A$3:$Q$4986,17,FALSE)))</f>
        <v/>
      </c>
      <c r="Z592" s="269" t="str">
        <f>IF(D592="","",IF(T592="","",VLOOKUP(D592,契約台帳!$A$3:$E$4986,5,FALSE)))</f>
        <v/>
      </c>
      <c r="AA592" s="57"/>
      <c r="AB592" s="207" t="str">
        <f>IFERROR((VLOOKUP(F592&amp;K592&amp;M592,製品マスタ!$M$5:$AM$5002,27,FALSE)),"")</f>
        <v/>
      </c>
      <c r="AC592" s="33"/>
      <c r="AD592" s="189"/>
      <c r="AE592" s="54"/>
      <c r="AF592" s="55"/>
      <c r="AG592" s="43"/>
      <c r="AH592" s="47"/>
      <c r="AI592" s="30"/>
      <c r="AJ592" s="30"/>
      <c r="AK592" s="30"/>
      <c r="AL592" s="30"/>
      <c r="AM592" s="13"/>
      <c r="AN592" s="13"/>
      <c r="AO592" s="13"/>
      <c r="AP592" s="13"/>
      <c r="AQ592" s="13"/>
      <c r="AR592" s="14"/>
      <c r="AS592" s="15"/>
    </row>
    <row r="593" spans="1:45" s="17" customFormat="1" ht="30.95" hidden="1" customHeight="1" x14ac:dyDescent="0.2">
      <c r="A593" s="37" t="s">
        <v>1140</v>
      </c>
      <c r="B593" s="38" t="s">
        <v>1103</v>
      </c>
      <c r="C593" s="45"/>
      <c r="D593" s="31"/>
      <c r="E593" s="31"/>
      <c r="F593" s="268" t="str">
        <f>IF(D593="","",VLOOKUP(D593,契約台帳!$A$3:$K$4986,6,FALSE)&amp;VLOOKUP(D593,契約台帳!$A$3:$K$4986,7,FALSE)&amp;VLOOKUP(D593,契約台帳!$A$3:$K$4986,8,FALSE)&amp;VLOOKUP(D593,契約台帳!$A$3:$K$4986,9,FALSE)&amp;VLOOKUP(D593,契約台帳!$A$3:$K$4986,11,FALSE))</f>
        <v/>
      </c>
      <c r="G593" s="269" t="str">
        <f>IF(D593="","",VLOOKUP(F593,製品マスタ!$G$5:$H$5002,2,FALSE))</f>
        <v/>
      </c>
      <c r="H593" s="269" t="str">
        <f>IF(D593="","",VLOOKUP(F593,製品マスタ!$G$5:$K$5002,5,FALSE))</f>
        <v/>
      </c>
      <c r="I593" s="270" t="str">
        <f>IF(D593="","",VLOOKUP(F593,製品マスタ!$G$5:$L$5002,6,FALSE))</f>
        <v/>
      </c>
      <c r="J593" s="210" t="s">
        <v>489</v>
      </c>
      <c r="K593" s="270" t="str">
        <f>IF(D593="","",VLOOKUP(D593,契約台帳!$A$3:$L$4986,12,FALSE))</f>
        <v/>
      </c>
      <c r="L593" s="270" t="str">
        <f>IF(D593="","",INDEX(製品マスタ!$Q$5:$Q$5002,MATCH('S4'!F593&amp;'S4'!K593,製品マスタ!$AO$5:$AO$5002,0)))</f>
        <v/>
      </c>
      <c r="M593" s="39"/>
      <c r="N593" s="39"/>
      <c r="O593" s="156"/>
      <c r="P593" s="47"/>
      <c r="Q593" s="57"/>
      <c r="R593" s="271" t="str">
        <f ca="1">IF(D593="","",IF(OFFSET(D593,-1,0)&lt;&gt;"","",IF(OR(J593="リード付け",J593="巻足し",J593="巻返しリード付け"),M593,VLOOKUP(D593,契約台帳!$A$3:$N$4986,14,FALSE))))</f>
        <v/>
      </c>
      <c r="S593" s="272" t="str">
        <f ca="1">IF(D593="","",IF(OFFSET(D593,-1,0)&lt;&gt;"","",IF(OR(J593="リード付け",J593="巻足し",J593="巻返しリード付け"),M593,VLOOKUP(D593,契約台帳!$A$3:$O$4986,15,FALSE))))</f>
        <v/>
      </c>
      <c r="T593" s="273" t="str">
        <f ca="1">IF(D593="","",IF(J593="リード付け",N593,IF(J593="巻返しリード付け",N593,IF(J593="巻足し",N593*P593+OFFSET(N593,1,0)*OFFSET(P593,1,0),VLOOKUP(D593,契約台帳!$A$3:$P$4986,16,FALSE)))))</f>
        <v/>
      </c>
      <c r="U593" s="40"/>
      <c r="V593" s="274" t="str">
        <f ca="1">IF(D593="","",IF(OFFSET(D593,-2,0)=D593,"",VLOOKUP(D593,契約台帳!$A$3:$R$4986,18,FALSE)))</f>
        <v/>
      </c>
      <c r="W593" s="269" t="str">
        <f>IF(D593="","",IF(T593="","",IF(OR(J593="巻足し",J593="巻返しリード付け"),"",IF(J593="巻返し",VLOOKUP(F593&amp;K593&amp;M593,製品マスタ!$M$5:$AD$5002,18,FALSE),IF(OR(J593="リード付け",J593="巻返しリード付け"),"原反コア",IF(J593="スリット",VLOOKUP(F593&amp;K593&amp;R593,製品マスタ!$N$5:$AD$5002,17,FALSE),""))))))</f>
        <v/>
      </c>
      <c r="X593" s="269" t="str">
        <f>IF(D593="","",IF(T593="","",IF(J593="巻足し","",IF(J593="巻返し",VLOOKUP(F593&amp;K593&amp;M593,製品マスタ!$M$5:$AE$5002,19,FALSE),IF(OR(J593="リード付け",J593="巻返しリード付け"),"",IF(J593="スリット",VLOOKUP(F593&amp;K593&amp;R593,製品マスタ!$N$5:$AE$5002,18,FALSE),""))))))</f>
        <v/>
      </c>
      <c r="Y593" s="275" t="str">
        <f>IF(D593="","",IF(T593="","",VLOOKUP(D593,契約台帳!$A$3:$Q$4986,17,FALSE)))</f>
        <v/>
      </c>
      <c r="Z593" s="269" t="str">
        <f>IF(D593="","",IF(T593="","",VLOOKUP(D593,契約台帳!$A$3:$E$4986,5,FALSE)))</f>
        <v/>
      </c>
      <c r="AA593" s="57"/>
      <c r="AB593" s="207" t="str">
        <f>IFERROR((VLOOKUP(F593&amp;K593&amp;M593,製品マスタ!$M$5:$AM$5002,27,FALSE)),"")</f>
        <v/>
      </c>
      <c r="AC593" s="33"/>
      <c r="AD593" s="189"/>
      <c r="AE593" s="54"/>
      <c r="AF593" s="55"/>
      <c r="AG593" s="43"/>
      <c r="AH593" s="47"/>
      <c r="AI593" s="30"/>
      <c r="AJ593" s="30"/>
      <c r="AK593" s="30"/>
      <c r="AL593" s="30"/>
      <c r="AM593" s="13"/>
      <c r="AN593" s="13"/>
      <c r="AO593" s="13"/>
      <c r="AP593" s="13"/>
      <c r="AQ593" s="13"/>
      <c r="AR593" s="14"/>
      <c r="AS593" s="15"/>
    </row>
    <row r="594" spans="1:45" s="17" customFormat="1" ht="30.95" hidden="1" customHeight="1" x14ac:dyDescent="0.2">
      <c r="A594" s="37"/>
      <c r="B594" s="38"/>
      <c r="C594" s="45"/>
      <c r="D594" s="31"/>
      <c r="E594" s="31"/>
      <c r="F594" s="268" t="str">
        <f>IF(D594="","",VLOOKUP(D594,契約台帳!$A$3:$K$4986,6,FALSE)&amp;VLOOKUP(D594,契約台帳!$A$3:$K$4986,7,FALSE)&amp;VLOOKUP(D594,契約台帳!$A$3:$K$4986,8,FALSE)&amp;VLOOKUP(D594,契約台帳!$A$3:$K$4986,9,FALSE)&amp;VLOOKUP(D594,契約台帳!$A$3:$K$4986,11,FALSE))</f>
        <v/>
      </c>
      <c r="G594" s="269" t="str">
        <f>IF(D594="","",VLOOKUP(F594,製品マスタ!$G$5:$H$5002,2,FALSE))</f>
        <v/>
      </c>
      <c r="H594" s="269" t="str">
        <f>IF(D594="","",VLOOKUP(F594,製品マスタ!$G$5:$K$5002,5,FALSE))</f>
        <v/>
      </c>
      <c r="I594" s="270" t="str">
        <f>IF(D594="","",VLOOKUP(F594,製品マスタ!$G$5:$L$5002,6,FALSE))</f>
        <v/>
      </c>
      <c r="J594" s="210"/>
      <c r="K594" s="270" t="str">
        <f>IF(D594="","",VLOOKUP(D594,契約台帳!$A$3:$L$4986,12,FALSE))</f>
        <v/>
      </c>
      <c r="L594" s="270" t="str">
        <f>IF(D594="","",INDEX(製品マスタ!$Q$5:$Q$5002,MATCH('S4'!F594&amp;'S4'!K594,製品マスタ!$AO$5:$AO$5002,0)))</f>
        <v/>
      </c>
      <c r="M594" s="39"/>
      <c r="N594" s="39"/>
      <c r="O594" s="156"/>
      <c r="P594" s="47"/>
      <c r="Q594" s="57"/>
      <c r="R594" s="271" t="str">
        <f ca="1">IF(D594="","",IF(OFFSET(D594,-1,0)&lt;&gt;"","",IF(OR(J594="リード付け",J594="巻足し",J594="巻返しリード付け"),M594,VLOOKUP(D594,契約台帳!$A$3:$N$4986,14,FALSE))))</f>
        <v/>
      </c>
      <c r="S594" s="272" t="str">
        <f ca="1">IF(D594="","",IF(OFFSET(D594,-1,0)&lt;&gt;"","",IF(OR(J594="リード付け",J594="巻足し",J594="巻返しリード付け"),M594,VLOOKUP(D594,契約台帳!$A$3:$O$4986,15,FALSE))))</f>
        <v/>
      </c>
      <c r="T594" s="273" t="str">
        <f ca="1">IF(D594="","",IF(J594="リード付け",N594,IF(J594="巻返しリード付け",N594,IF(J594="巻足し",N594*P594+OFFSET(N594,1,0)*OFFSET(P594,1,0),VLOOKUP(D594,契約台帳!$A$3:$P$4986,16,FALSE)))))</f>
        <v/>
      </c>
      <c r="U594" s="40"/>
      <c r="V594" s="274" t="str">
        <f ca="1">IF(D594="","",IF(OFFSET(D594,-2,0)=D594,"",VLOOKUP(D594,契約台帳!$A$3:$R$4986,18,FALSE)))</f>
        <v/>
      </c>
      <c r="W594" s="269" t="str">
        <f>IF(D594="","",IF(T594="","",IF(OR(J594="巻足し",J594="巻返しリード付け"),"",IF(J594="巻返し",VLOOKUP(F594&amp;K594&amp;M594,製品マスタ!$M$5:$AD$5002,18,FALSE),IF(OR(J594="リード付け",J594="巻返しリード付け"),"原反コア",IF(J594="スリット",VLOOKUP(F594&amp;K594&amp;R594,製品マスタ!$N$5:$AD$5002,17,FALSE),""))))))</f>
        <v/>
      </c>
      <c r="X594" s="269" t="str">
        <f>IF(D594="","",IF(T594="","",IF(J594="巻足し","",IF(J594="巻返し",VLOOKUP(F594&amp;K594&amp;M594,製品マスタ!$M$5:$AE$5002,19,FALSE),IF(OR(J594="リード付け",J594="巻返しリード付け"),"",IF(J594="スリット",VLOOKUP(F594&amp;K594&amp;R594,製品マスタ!$N$5:$AE$5002,18,FALSE),""))))))</f>
        <v/>
      </c>
      <c r="Y594" s="275" t="str">
        <f>IF(D594="","",IF(T594="","",VLOOKUP(D594,契約台帳!$A$3:$Q$4986,17,FALSE)))</f>
        <v/>
      </c>
      <c r="Z594" s="269" t="str">
        <f>IF(D594="","",IF(T594="","",VLOOKUP(D594,契約台帳!$A$3:$E$4986,5,FALSE)))</f>
        <v/>
      </c>
      <c r="AA594" s="57"/>
      <c r="AB594" s="207" t="str">
        <f>IFERROR((VLOOKUP(F594&amp;K594&amp;M594,製品マスタ!$M$5:$AM$5002,27,FALSE)),"")</f>
        <v/>
      </c>
      <c r="AC594" s="33"/>
      <c r="AD594" s="189"/>
      <c r="AE594" s="54"/>
      <c r="AF594" s="55"/>
      <c r="AG594" s="43"/>
      <c r="AH594" s="47"/>
      <c r="AI594" s="30"/>
      <c r="AJ594" s="30"/>
      <c r="AK594" s="30"/>
      <c r="AL594" s="30"/>
      <c r="AM594" s="13"/>
      <c r="AN594" s="13"/>
      <c r="AO594" s="13"/>
      <c r="AP594" s="13"/>
      <c r="AQ594" s="13"/>
      <c r="AR594" s="14"/>
      <c r="AS594" s="15"/>
    </row>
    <row r="595" spans="1:45" s="17" customFormat="1" ht="30.95" hidden="1" customHeight="1" x14ac:dyDescent="0.2">
      <c r="A595" s="37" t="s">
        <v>1141</v>
      </c>
      <c r="B595" s="38" t="s">
        <v>1105</v>
      </c>
      <c r="C595" s="45"/>
      <c r="D595" s="31"/>
      <c r="E595" s="31"/>
      <c r="F595" s="268" t="str">
        <f>IF(D595="","",VLOOKUP(D595,契約台帳!$A$3:$K$4986,6,FALSE)&amp;VLOOKUP(D595,契約台帳!$A$3:$K$4986,7,FALSE)&amp;VLOOKUP(D595,契約台帳!$A$3:$K$4986,8,FALSE)&amp;VLOOKUP(D595,契約台帳!$A$3:$K$4986,9,FALSE)&amp;VLOOKUP(D595,契約台帳!$A$3:$K$4986,11,FALSE))</f>
        <v/>
      </c>
      <c r="G595" s="269" t="str">
        <f>IF(D595="","",VLOOKUP(F595,製品マスタ!$G$5:$H$5002,2,FALSE))</f>
        <v/>
      </c>
      <c r="H595" s="269" t="str">
        <f>IF(D595="","",VLOOKUP(F595,製品マスタ!$G$5:$K$5002,5,FALSE))</f>
        <v/>
      </c>
      <c r="I595" s="270" t="str">
        <f>IF(D595="","",VLOOKUP(F595,製品マスタ!$G$5:$L$5002,6,FALSE))</f>
        <v/>
      </c>
      <c r="J595" s="210" t="s">
        <v>489</v>
      </c>
      <c r="K595" s="270" t="str">
        <f>IF(D595="","",VLOOKUP(D595,契約台帳!$A$3:$L$4986,12,FALSE))</f>
        <v/>
      </c>
      <c r="L595" s="270" t="str">
        <f>IF(D595="","",INDEX(製品マスタ!$Q$5:$Q$5002,MATCH('S4'!F595&amp;'S4'!K595,製品マスタ!$AO$5:$AO$5002,0)))</f>
        <v/>
      </c>
      <c r="M595" s="39"/>
      <c r="N595" s="39"/>
      <c r="O595" s="156"/>
      <c r="P595" s="47"/>
      <c r="Q595" s="57"/>
      <c r="R595" s="271" t="str">
        <f ca="1">IF(D595="","",IF(OFFSET(D595,-1,0)&lt;&gt;"","",IF(OR(J595="リード付け",J595="巻足し",J595="巻返しリード付け"),M595,VLOOKUP(D595,契約台帳!$A$3:$N$4986,14,FALSE))))</f>
        <v/>
      </c>
      <c r="S595" s="272" t="str">
        <f ca="1">IF(D595="","",IF(OFFSET(D595,-1,0)&lt;&gt;"","",IF(OR(J595="リード付け",J595="巻足し",J595="巻返しリード付け"),M595,VLOOKUP(D595,契約台帳!$A$3:$O$4986,15,FALSE))))</f>
        <v/>
      </c>
      <c r="T595" s="273" t="str">
        <f ca="1">IF(D595="","",IF(J595="リード付け",N595,IF(J595="巻返しリード付け",N595,IF(J595="巻足し",N595*P595+OFFSET(N595,1,0)*OFFSET(P595,1,0),VLOOKUP(D595,契約台帳!$A$3:$P$4986,16,FALSE)))))</f>
        <v/>
      </c>
      <c r="U595" s="40"/>
      <c r="V595" s="274" t="str">
        <f ca="1">IF(D595="","",IF(OFFSET(D595,-2,0)=D595,"",VLOOKUP(D595,契約台帳!$A$3:$R$4986,18,FALSE)))</f>
        <v/>
      </c>
      <c r="W595" s="269" t="str">
        <f>IF(D595="","",IF(T595="","",IF(OR(J595="巻足し",J595="巻返しリード付け"),"",IF(J595="巻返し",VLOOKUP(F595&amp;K595&amp;M595,製品マスタ!$M$5:$AD$5002,18,FALSE),IF(OR(J595="リード付け",J595="巻返しリード付け"),"原反コア",IF(J595="スリット",VLOOKUP(F595&amp;K595&amp;R595,製品マスタ!$N$5:$AD$5002,17,FALSE),""))))))</f>
        <v/>
      </c>
      <c r="X595" s="269" t="str">
        <f>IF(D595="","",IF(T595="","",IF(J595="巻足し","",IF(J595="巻返し",VLOOKUP(F595&amp;K595&amp;M595,製品マスタ!$M$5:$AE$5002,19,FALSE),IF(OR(J595="リード付け",J595="巻返しリード付け"),"",IF(J595="スリット",VLOOKUP(F595&amp;K595&amp;R595,製品マスタ!$N$5:$AE$5002,18,FALSE),""))))))</f>
        <v/>
      </c>
      <c r="Y595" s="275" t="str">
        <f>IF(D595="","",IF(T595="","",VLOOKUP(D595,契約台帳!$A$3:$Q$4986,17,FALSE)))</f>
        <v/>
      </c>
      <c r="Z595" s="269" t="str">
        <f>IF(D595="","",IF(T595="","",VLOOKUP(D595,契約台帳!$A$3:$E$4986,5,FALSE)))</f>
        <v/>
      </c>
      <c r="AA595" s="57"/>
      <c r="AB595" s="207" t="str">
        <f>IFERROR((VLOOKUP(F595&amp;K595&amp;M595,製品マスタ!$M$5:$AM$5002,27,FALSE)),"")</f>
        <v/>
      </c>
      <c r="AC595" s="33"/>
      <c r="AD595" s="189"/>
      <c r="AE595" s="54"/>
      <c r="AF595" s="55"/>
      <c r="AG595" s="43"/>
      <c r="AH595" s="47"/>
      <c r="AI595" s="30"/>
      <c r="AJ595" s="30"/>
      <c r="AK595" s="30"/>
      <c r="AL595" s="30"/>
      <c r="AM595" s="13"/>
      <c r="AN595" s="13"/>
      <c r="AO595" s="13"/>
      <c r="AP595" s="13"/>
      <c r="AQ595" s="13"/>
      <c r="AR595" s="14"/>
      <c r="AS595" s="15"/>
    </row>
    <row r="596" spans="1:45" s="17" customFormat="1" ht="30.95" hidden="1" customHeight="1" x14ac:dyDescent="0.2">
      <c r="A596" s="37"/>
      <c r="B596" s="38"/>
      <c r="C596" s="45"/>
      <c r="D596" s="31"/>
      <c r="E596" s="31"/>
      <c r="F596" s="268" t="str">
        <f>IF(D596="","",VLOOKUP(D596,契約台帳!$A$3:$K$4986,6,FALSE)&amp;VLOOKUP(D596,契約台帳!$A$3:$K$4986,7,FALSE)&amp;VLOOKUP(D596,契約台帳!$A$3:$K$4986,8,FALSE)&amp;VLOOKUP(D596,契約台帳!$A$3:$K$4986,9,FALSE)&amp;VLOOKUP(D596,契約台帳!$A$3:$K$4986,11,FALSE))</f>
        <v/>
      </c>
      <c r="G596" s="269" t="str">
        <f>IF(D596="","",VLOOKUP(F596,製品マスタ!$G$5:$H$5002,2,FALSE))</f>
        <v/>
      </c>
      <c r="H596" s="269" t="str">
        <f>IF(D596="","",VLOOKUP(F596,製品マスタ!$G$5:$K$5002,5,FALSE))</f>
        <v/>
      </c>
      <c r="I596" s="270" t="str">
        <f>IF(D596="","",VLOOKUP(F596,製品マスタ!$G$5:$L$5002,6,FALSE))</f>
        <v/>
      </c>
      <c r="J596" s="210"/>
      <c r="K596" s="270" t="str">
        <f>IF(D596="","",VLOOKUP(D596,契約台帳!$A$3:$L$4986,12,FALSE))</f>
        <v/>
      </c>
      <c r="L596" s="270" t="str">
        <f>IF(D596="","",INDEX(製品マスタ!$Q$5:$Q$5002,MATCH('S4'!F596&amp;'S4'!K596,製品マスタ!$AO$5:$AO$5002,0)))</f>
        <v/>
      </c>
      <c r="M596" s="39"/>
      <c r="N596" s="39"/>
      <c r="O596" s="156"/>
      <c r="P596" s="47"/>
      <c r="Q596" s="57"/>
      <c r="R596" s="271" t="str">
        <f ca="1">IF(D596="","",IF(OFFSET(D596,-1,0)&lt;&gt;"","",IF(OR(J596="リード付け",J596="巻足し",J596="巻返しリード付け"),M596,VLOOKUP(D596,契約台帳!$A$3:$N$4986,14,FALSE))))</f>
        <v/>
      </c>
      <c r="S596" s="272" t="str">
        <f ca="1">IF(D596="","",IF(OFFSET(D596,-1,0)&lt;&gt;"","",IF(OR(J596="リード付け",J596="巻足し",J596="巻返しリード付け"),M596,VLOOKUP(D596,契約台帳!$A$3:$O$4986,15,FALSE))))</f>
        <v/>
      </c>
      <c r="T596" s="273" t="str">
        <f ca="1">IF(D596="","",IF(J596="リード付け",N596,IF(J596="巻返しリード付け",N596,IF(J596="巻足し",N596*P596+OFFSET(N596,1,0)*OFFSET(P596,1,0),VLOOKUP(D596,契約台帳!$A$3:$P$4986,16,FALSE)))))</f>
        <v/>
      </c>
      <c r="U596" s="40"/>
      <c r="V596" s="274" t="str">
        <f ca="1">IF(D596="","",IF(OFFSET(D596,-2,0)=D596,"",VLOOKUP(D596,契約台帳!$A$3:$R$4986,18,FALSE)))</f>
        <v/>
      </c>
      <c r="W596" s="269" t="str">
        <f>IF(D596="","",IF(T596="","",IF(OR(J596="巻足し",J596="巻返しリード付け"),"",IF(J596="巻返し",VLOOKUP(F596&amp;K596&amp;M596,製品マスタ!$M$5:$AD$5002,18,FALSE),IF(OR(J596="リード付け",J596="巻返しリード付け"),"原反コア",IF(J596="スリット",VLOOKUP(F596&amp;K596&amp;R596,製品マスタ!$N$5:$AD$5002,17,FALSE),""))))))</f>
        <v/>
      </c>
      <c r="X596" s="269" t="str">
        <f>IF(D596="","",IF(T596="","",IF(J596="巻足し","",IF(J596="巻返し",VLOOKUP(F596&amp;K596&amp;M596,製品マスタ!$M$5:$AE$5002,19,FALSE),IF(OR(J596="リード付け",J596="巻返しリード付け"),"",IF(J596="スリット",VLOOKUP(F596&amp;K596&amp;R596,製品マスタ!$N$5:$AE$5002,18,FALSE),""))))))</f>
        <v/>
      </c>
      <c r="Y596" s="275" t="str">
        <f>IF(D596="","",IF(T596="","",VLOOKUP(D596,契約台帳!$A$3:$Q$4986,17,FALSE)))</f>
        <v/>
      </c>
      <c r="Z596" s="269" t="str">
        <f>IF(D596="","",IF(T596="","",VLOOKUP(D596,契約台帳!$A$3:$E$4986,5,FALSE)))</f>
        <v/>
      </c>
      <c r="AA596" s="57"/>
      <c r="AB596" s="207" t="str">
        <f>IFERROR((VLOOKUP(F596&amp;K596&amp;M596,製品マスタ!$M$5:$AM$5002,27,FALSE)),"")</f>
        <v/>
      </c>
      <c r="AC596" s="33"/>
      <c r="AD596" s="189"/>
      <c r="AE596" s="54"/>
      <c r="AF596" s="55"/>
      <c r="AG596" s="43"/>
      <c r="AH596" s="47"/>
      <c r="AI596" s="30"/>
      <c r="AJ596" s="30"/>
      <c r="AK596" s="30"/>
      <c r="AL596" s="30"/>
      <c r="AM596" s="13"/>
      <c r="AN596" s="13"/>
      <c r="AO596" s="13"/>
      <c r="AP596" s="13"/>
      <c r="AQ596" s="13"/>
      <c r="AR596" s="14"/>
      <c r="AS596" s="15"/>
    </row>
    <row r="597" spans="1:45" s="17" customFormat="1" ht="30.95" hidden="1" customHeight="1" x14ac:dyDescent="0.2">
      <c r="A597" s="37" t="s">
        <v>1142</v>
      </c>
      <c r="B597" s="38" t="s">
        <v>1107</v>
      </c>
      <c r="C597" s="45"/>
      <c r="D597" s="31"/>
      <c r="E597" s="31"/>
      <c r="F597" s="268" t="str">
        <f>IF(D597="","",VLOOKUP(D597,契約台帳!$A$3:$K$4986,6,FALSE)&amp;VLOOKUP(D597,契約台帳!$A$3:$K$4986,7,FALSE)&amp;VLOOKUP(D597,契約台帳!$A$3:$K$4986,8,FALSE)&amp;VLOOKUP(D597,契約台帳!$A$3:$K$4986,9,FALSE)&amp;VLOOKUP(D597,契約台帳!$A$3:$K$4986,11,FALSE))</f>
        <v/>
      </c>
      <c r="G597" s="269" t="str">
        <f>IF(D597="","",VLOOKUP(F597,製品マスタ!$G$5:$H$5002,2,FALSE))</f>
        <v/>
      </c>
      <c r="H597" s="269" t="str">
        <f>IF(D597="","",VLOOKUP(F597,製品マスタ!$G$5:$K$5002,5,FALSE))</f>
        <v/>
      </c>
      <c r="I597" s="270" t="str">
        <f>IF(D597="","",VLOOKUP(F597,製品マスタ!$G$5:$L$5002,6,FALSE))</f>
        <v/>
      </c>
      <c r="J597" s="210" t="s">
        <v>1126</v>
      </c>
      <c r="K597" s="270" t="str">
        <f>IF(D597="","",VLOOKUP(D597,契約台帳!$A$3:$L$4986,12,FALSE))</f>
        <v/>
      </c>
      <c r="L597" s="270" t="str">
        <f>IF(D597="","",INDEX(製品マスタ!$Q$5:$Q$5002,MATCH('S4'!F597&amp;'S4'!K597,製品マスタ!$AO$5:$AO$5002,0)))</f>
        <v/>
      </c>
      <c r="M597" s="39"/>
      <c r="N597" s="39"/>
      <c r="O597" s="156"/>
      <c r="P597" s="47"/>
      <c r="Q597" s="57"/>
      <c r="R597" s="271" t="str">
        <f ca="1">IF(D597="","",IF(OFFSET(D597,-1,0)&lt;&gt;"","",IF(OR(J597="リード付け",J597="巻足し",J597="巻返しリード付け"),M597,VLOOKUP(D597,契約台帳!$A$3:$N$4986,14,FALSE))))</f>
        <v/>
      </c>
      <c r="S597" s="272" t="str">
        <f ca="1">IF(D597="","",IF(OFFSET(D597,-1,0)&lt;&gt;"","",IF(OR(J597="リード付け",J597="巻足し",J597="巻返しリード付け"),M597,VLOOKUP(D597,契約台帳!$A$3:$O$4986,15,FALSE))))</f>
        <v/>
      </c>
      <c r="T597" s="273" t="str">
        <f ca="1">IF(D597="","",IF(J597="リード付け",N597,IF(J597="巻返しリード付け",N597,IF(J597="巻足し",N597*P597+OFFSET(N597,1,0)*OFFSET(P597,1,0),VLOOKUP(D597,契約台帳!$A$3:$P$4986,16,FALSE)))))</f>
        <v/>
      </c>
      <c r="U597" s="40"/>
      <c r="V597" s="274" t="str">
        <f ca="1">IF(D597="","",IF(OFFSET(D597,-2,0)=D597,"",VLOOKUP(D597,契約台帳!$A$3:$R$4986,18,FALSE)))</f>
        <v/>
      </c>
      <c r="W597" s="269" t="str">
        <f>IF(D597="","",IF(T597="","",IF(OR(J597="巻足し",J597="巻返しリード付け"),"",IF(J597="巻返し",VLOOKUP(F597&amp;K597&amp;M597,製品マスタ!$M$5:$AD$5002,18,FALSE),IF(OR(J597="リード付け",J597="巻返しリード付け"),"原反コア",IF(J597="スリット",VLOOKUP(F597&amp;K597&amp;R597,製品マスタ!$N$5:$AD$5002,17,FALSE),""))))))</f>
        <v/>
      </c>
      <c r="X597" s="269" t="str">
        <f>IF(D597="","",IF(T597="","",IF(J597="巻足し","",IF(J597="巻返し",VLOOKUP(F597&amp;K597&amp;M597,製品マスタ!$M$5:$AE$5002,19,FALSE),IF(OR(J597="リード付け",J597="巻返しリード付け"),"",IF(J597="スリット",VLOOKUP(F597&amp;K597&amp;R597,製品マスタ!$N$5:$AE$5002,18,FALSE),""))))))</f>
        <v/>
      </c>
      <c r="Y597" s="275" t="str">
        <f>IF(D597="","",IF(T597="","",VLOOKUP(D597,契約台帳!$A$3:$Q$4986,17,FALSE)))</f>
        <v/>
      </c>
      <c r="Z597" s="269" t="str">
        <f>IF(D597="","",IF(T597="","",VLOOKUP(D597,契約台帳!$A$3:$E$4986,5,FALSE)))</f>
        <v/>
      </c>
      <c r="AA597" s="57"/>
      <c r="AB597" s="207" t="str">
        <f>IFERROR((VLOOKUP(F597&amp;K597&amp;M597,製品マスタ!$M$5:$AM$5002,27,FALSE)),"")</f>
        <v/>
      </c>
      <c r="AC597" s="33"/>
      <c r="AD597" s="189"/>
      <c r="AE597" s="54"/>
      <c r="AF597" s="55"/>
      <c r="AG597" s="43"/>
      <c r="AH597" s="47"/>
      <c r="AI597" s="30"/>
      <c r="AJ597" s="30"/>
      <c r="AK597" s="30"/>
      <c r="AL597" s="30"/>
      <c r="AM597" s="13"/>
      <c r="AN597" s="13"/>
      <c r="AO597" s="13"/>
      <c r="AP597" s="13"/>
      <c r="AQ597" s="13"/>
      <c r="AR597" s="14"/>
      <c r="AS597" s="15"/>
    </row>
    <row r="598" spans="1:45" s="17" customFormat="1" ht="30.95" hidden="1" customHeight="1" x14ac:dyDescent="0.2">
      <c r="A598" s="37"/>
      <c r="B598" s="38"/>
      <c r="C598" s="45"/>
      <c r="D598" s="31"/>
      <c r="E598" s="31"/>
      <c r="F598" s="268" t="str">
        <f>IF(D598="","",VLOOKUP(D598,契約台帳!$A$3:$K$4986,6,FALSE)&amp;VLOOKUP(D598,契約台帳!$A$3:$K$4986,7,FALSE)&amp;VLOOKUP(D598,契約台帳!$A$3:$K$4986,8,FALSE)&amp;VLOOKUP(D598,契約台帳!$A$3:$K$4986,9,FALSE)&amp;VLOOKUP(D598,契約台帳!$A$3:$K$4986,11,FALSE))</f>
        <v/>
      </c>
      <c r="G598" s="269" t="str">
        <f>IF(D598="","",VLOOKUP(F598,製品マスタ!$G$5:$H$5002,2,FALSE))</f>
        <v/>
      </c>
      <c r="H598" s="269" t="str">
        <f>IF(D598="","",VLOOKUP(F598,製品マスタ!$G$5:$K$5002,5,FALSE))</f>
        <v/>
      </c>
      <c r="I598" s="270" t="str">
        <f>IF(D598="","",VLOOKUP(F598,製品マスタ!$G$5:$L$5002,6,FALSE))</f>
        <v/>
      </c>
      <c r="J598" s="210"/>
      <c r="K598" s="270" t="str">
        <f>IF(D598="","",VLOOKUP(D598,契約台帳!$A$3:$L$4986,12,FALSE))</f>
        <v/>
      </c>
      <c r="L598" s="270" t="str">
        <f>IF(D598="","",INDEX(製品マスタ!$Q$5:$Q$5002,MATCH('S4'!F598&amp;'S4'!K598,製品マスタ!$AO$5:$AO$5002,0)))</f>
        <v/>
      </c>
      <c r="M598" s="39"/>
      <c r="N598" s="39"/>
      <c r="O598" s="156"/>
      <c r="P598" s="47"/>
      <c r="Q598" s="57"/>
      <c r="R598" s="271" t="str">
        <f ca="1">IF(D598="","",IF(OFFSET(D598,-1,0)&lt;&gt;"","",IF(OR(J598="リード付け",J598="巻足し",J598="巻返しリード付け"),M598,VLOOKUP(D598,契約台帳!$A$3:$N$4986,14,FALSE))))</f>
        <v/>
      </c>
      <c r="S598" s="272" t="str">
        <f ca="1">IF(D598="","",IF(OFFSET(D598,-1,0)&lt;&gt;"","",IF(OR(J598="リード付け",J598="巻足し",J598="巻返しリード付け"),M598,VLOOKUP(D598,契約台帳!$A$3:$O$4986,15,FALSE))))</f>
        <v/>
      </c>
      <c r="T598" s="273" t="str">
        <f ca="1">IF(D598="","",IF(J598="リード付け",N598,IF(J598="巻返しリード付け",N598,IF(J598="巻足し",N598*P598+OFFSET(N598,1,0)*OFFSET(P598,1,0),VLOOKUP(D598,契約台帳!$A$3:$P$4986,16,FALSE)))))</f>
        <v/>
      </c>
      <c r="U598" s="40"/>
      <c r="V598" s="274" t="str">
        <f ca="1">IF(D598="","",IF(OFFSET(D598,-2,0)=D598,"",VLOOKUP(D598,契約台帳!$A$3:$R$4986,18,FALSE)))</f>
        <v/>
      </c>
      <c r="W598" s="269" t="str">
        <f>IF(D598="","",IF(T598="","",IF(OR(J598="巻足し",J598="巻返しリード付け"),"",IF(J598="巻返し",VLOOKUP(F598&amp;K598&amp;M598,製品マスタ!$M$5:$AD$5002,18,FALSE),IF(OR(J598="リード付け",J598="巻返しリード付け"),"原反コア",IF(J598="スリット",VLOOKUP(F598&amp;K598&amp;R598,製品マスタ!$N$5:$AD$5002,17,FALSE),""))))))</f>
        <v/>
      </c>
      <c r="X598" s="269" t="str">
        <f>IF(D598="","",IF(T598="","",IF(J598="巻足し","",IF(J598="巻返し",VLOOKUP(F598&amp;K598&amp;M598,製品マスタ!$M$5:$AE$5002,19,FALSE),IF(OR(J598="リード付け",J598="巻返しリード付け"),"",IF(J598="スリット",VLOOKUP(F598&amp;K598&amp;R598,製品マスタ!$N$5:$AE$5002,18,FALSE),""))))))</f>
        <v/>
      </c>
      <c r="Y598" s="275" t="str">
        <f>IF(D598="","",IF(T598="","",VLOOKUP(D598,契約台帳!$A$3:$Q$4986,17,FALSE)))</f>
        <v/>
      </c>
      <c r="Z598" s="269" t="str">
        <f>IF(D598="","",IF(T598="","",VLOOKUP(D598,契約台帳!$A$3:$E$4986,5,FALSE)))</f>
        <v/>
      </c>
      <c r="AA598" s="57"/>
      <c r="AB598" s="207" t="str">
        <f>IFERROR((VLOOKUP(F598&amp;K598&amp;M598,製品マスタ!$M$5:$AM$5002,27,FALSE)),"")</f>
        <v/>
      </c>
      <c r="AC598" s="33"/>
      <c r="AD598" s="189"/>
      <c r="AE598" s="54"/>
      <c r="AF598" s="55"/>
      <c r="AG598" s="43"/>
      <c r="AH598" s="47"/>
      <c r="AI598" s="30"/>
      <c r="AJ598" s="30"/>
      <c r="AK598" s="30"/>
      <c r="AL598" s="30"/>
      <c r="AM598" s="13"/>
      <c r="AN598" s="13"/>
      <c r="AO598" s="13"/>
      <c r="AP598" s="13"/>
      <c r="AQ598" s="13"/>
      <c r="AR598" s="14"/>
      <c r="AS598" s="15"/>
    </row>
    <row r="599" spans="1:45" s="17" customFormat="1" ht="30.95" hidden="1" customHeight="1" x14ac:dyDescent="0.2">
      <c r="A599" s="37" t="s">
        <v>1160</v>
      </c>
      <c r="B599" s="38" t="s">
        <v>1161</v>
      </c>
      <c r="C599" s="45"/>
      <c r="D599" s="31">
        <v>3712097</v>
      </c>
      <c r="E599" s="31">
        <v>4161937</v>
      </c>
      <c r="F599" s="268" t="str">
        <f>IF(D599="","",VLOOKUP(D599,契約台帳!$A$3:$K$4986,6,FALSE)&amp;VLOOKUP(D599,契約台帳!$A$3:$K$4986,7,FALSE)&amp;VLOOKUP(D599,契約台帳!$A$3:$K$4986,8,FALSE)&amp;VLOOKUP(D599,契約台帳!$A$3:$K$4986,9,FALSE)&amp;VLOOKUP(D599,契約台帳!$A$3:$K$4986,11,FALSE))</f>
        <v>3SNMCLBWCB</v>
      </c>
      <c r="G599" s="269" t="str">
        <f>IF(D599="","",VLOOKUP(F599,製品マスタ!$G$5:$H$5002,2,FALSE))</f>
        <v>S</v>
      </c>
      <c r="H599" s="269" t="str">
        <f>IF(D599="","",VLOOKUP(F599,製品マスタ!$G$5:$K$5002,5,FALSE))</f>
        <v>WCB</v>
      </c>
      <c r="I599" s="270" t="str">
        <f>IF(D599="","",VLOOKUP(F599,製品マスタ!$G$5:$L$5002,6,FALSE))</f>
        <v>メタルミー　ホワイトコート　（Ｂ）</v>
      </c>
      <c r="J599" s="210" t="s">
        <v>1164</v>
      </c>
      <c r="K599" s="270">
        <f>IF(D599="","",VLOOKUP(D599,契約台帳!$A$3:$L$4986,12,FALSE))</f>
        <v>50</v>
      </c>
      <c r="L599" s="270" t="str">
        <f>IF(D599="","",INDEX(製品マスタ!$Q$5:$Q$5002,MATCH('S4'!F599&amp;'S4'!K599,製品マスタ!$AO$5:$AO$5002,0)))</f>
        <v>T62M</v>
      </c>
      <c r="M599" s="39">
        <v>1150</v>
      </c>
      <c r="N599" s="39">
        <v>5000</v>
      </c>
      <c r="O599" s="156">
        <v>4</v>
      </c>
      <c r="P599" s="47">
        <v>2</v>
      </c>
      <c r="Q599" s="213">
        <v>45075</v>
      </c>
      <c r="R599" s="271">
        <f ca="1">IF(D599="","",IF(OFFSET(D599,-1,0)&lt;&gt;"","",IF(OR(J599="リード付け",J599="巻足し",J599="巻返しリード付け"),M599,VLOOKUP(D599,契約台帳!$A$3:$N$4986,14,FALSE))))</f>
        <v>1150</v>
      </c>
      <c r="S599" s="272">
        <f ca="1">IF(D599="","",IF(OFFSET(D599,-1,0)&lt;&gt;"","",IF(OR(J599="リード付け",J599="巻足し",J599="巻返しリード付け"),M599,VLOOKUP(D599,契約台帳!$A$3:$O$4986,15,FALSE))))</f>
        <v>1150</v>
      </c>
      <c r="T599" s="273">
        <f ca="1">IF(D599="","",IF(J599="リード付け",N599,IF(J599="巻返しリード付け",N599,IF(J599="巻足し",N599*P599+OFFSET(N599,1,0)*OFFSET(P599,1,0),VLOOKUP(D599,契約台帳!$A$3:$P$4986,16,FALSE)))))</f>
        <v>10000</v>
      </c>
      <c r="U599" s="40">
        <v>2</v>
      </c>
      <c r="V599" s="274">
        <f ca="1">IF(D599="","",IF(OFFSET(D599,-2,0)=D599,"",VLOOKUP(D599,契約台帳!$A$3:$R$4986,18,FALSE)))</f>
        <v>4</v>
      </c>
      <c r="W599" s="269" t="str">
        <f ca="1">IF(D599="","",IF(T599="","",IF(OR(J599="巻足し",J599="巻返しリード付け"),"",IF(J599="巻返し",VLOOKUP(F599&amp;K599&amp;M599,製品マスタ!$M$5:$AD$5002,18,FALSE),IF(OR(J599="リード付け",J599="巻返しリード付け"),"原反コア",IF(J599="スリット",VLOOKUP(F599&amp;K599&amp;R599,製品マスタ!$N$5:$AD$5002,17,FALSE),""))))))</f>
        <v/>
      </c>
      <c r="X599" s="269" t="str">
        <f ca="1">IF(D599="","",IF(T599="","",IF(J599="巻足し","",IF(J599="巻返し",VLOOKUP(F599&amp;K599&amp;M599,製品マスタ!$M$5:$AE$5002,19,FALSE),IF(OR(J599="リード付け",J599="巻返しリード付け"),"",IF(J599="スリット",VLOOKUP(F599&amp;K599&amp;R599,製品マスタ!$N$5:$AE$5002,18,FALSE),""))))))</f>
        <v/>
      </c>
      <c r="Y599" s="275">
        <f ca="1">IF(D599="","",IF(T599="","",VLOOKUP(D599,契約台帳!$A$3:$Q$4986,17,FALSE)))</f>
        <v>2</v>
      </c>
      <c r="Z599" s="269" t="str">
        <f ca="1">IF(D599="","",IF(T599="","",VLOOKUP(D599,契約台帳!$A$3:$E$4986,5,FALSE)))</f>
        <v>新タック化成㈱</v>
      </c>
      <c r="AA599" s="57"/>
      <c r="AB599" s="207" t="str">
        <f>IFERROR((VLOOKUP(F599&amp;K599&amp;M599,製品マスタ!$M$5:$AM$5002,27,FALSE)),"")</f>
        <v>エージング後スリット</v>
      </c>
      <c r="AC599" s="33"/>
      <c r="AD599" s="189"/>
      <c r="AE599" s="54"/>
      <c r="AF599" s="55"/>
      <c r="AG599" s="43"/>
      <c r="AH599" s="47"/>
      <c r="AI599" s="30"/>
      <c r="AJ599" s="30"/>
      <c r="AK599" s="30"/>
      <c r="AL599" s="30"/>
      <c r="AM599" s="13"/>
      <c r="AN599" s="13"/>
      <c r="AO599" s="13"/>
      <c r="AP599" s="13"/>
      <c r="AQ599" s="13"/>
      <c r="AR599" s="14"/>
      <c r="AS599" s="15"/>
    </row>
    <row r="600" spans="1:45" s="17" customFormat="1" ht="30.95" hidden="1" customHeight="1" x14ac:dyDescent="0.2">
      <c r="A600" s="37"/>
      <c r="B600" s="38"/>
      <c r="C600" s="45"/>
      <c r="D600" s="31"/>
      <c r="E600" s="31"/>
      <c r="F600" s="268" t="str">
        <f>IF(D600="","",VLOOKUP(D600,契約台帳!$A$3:$K$4986,6,FALSE)&amp;VLOOKUP(D600,契約台帳!$A$3:$K$4986,7,FALSE)&amp;VLOOKUP(D600,契約台帳!$A$3:$K$4986,8,FALSE)&amp;VLOOKUP(D600,契約台帳!$A$3:$K$4986,9,FALSE)&amp;VLOOKUP(D600,契約台帳!$A$3:$K$4986,11,FALSE))</f>
        <v/>
      </c>
      <c r="G600" s="269" t="str">
        <f>IF(D600="","",VLOOKUP(F600,製品マスタ!$G$5:$H$5002,2,FALSE))</f>
        <v/>
      </c>
      <c r="H600" s="269" t="str">
        <f>IF(D600="","",VLOOKUP(F600,製品マスタ!$G$5:$K$5002,5,FALSE))</f>
        <v/>
      </c>
      <c r="I600" s="270" t="str">
        <f>IF(D600="","",VLOOKUP(F600,製品マスタ!$G$5:$L$5002,6,FALSE))</f>
        <v/>
      </c>
      <c r="J600" s="210"/>
      <c r="K600" s="270" t="str">
        <f>IF(D600="","",VLOOKUP(D600,契約台帳!$A$3:$L$4986,12,FALSE))</f>
        <v/>
      </c>
      <c r="L600" s="270" t="str">
        <f>IF(D600="","",INDEX(製品マスタ!$Q$5:$Q$5002,MATCH('S4'!F600&amp;'S4'!K600,製品マスタ!$AO$5:$AO$5002,0)))</f>
        <v/>
      </c>
      <c r="M600" s="39"/>
      <c r="N600" s="39"/>
      <c r="O600" s="156"/>
      <c r="P600" s="47"/>
      <c r="Q600" s="57"/>
      <c r="R600" s="271" t="str">
        <f ca="1">IF(D600="","",IF(OFFSET(D600,-1,0)&lt;&gt;"","",IF(OR(J600="リード付け",J600="巻足し",J600="巻返しリード付け"),M600,VLOOKUP(D600,契約台帳!$A$3:$N$4986,14,FALSE))))</f>
        <v/>
      </c>
      <c r="S600" s="272" t="str">
        <f ca="1">IF(D600="","",IF(OFFSET(D600,-1,0)&lt;&gt;"","",IF(OR(J600="リード付け",J600="巻足し",J600="巻返しリード付け"),M600,VLOOKUP(D600,契約台帳!$A$3:$O$4986,15,FALSE))))</f>
        <v/>
      </c>
      <c r="T600" s="273" t="str">
        <f ca="1">IF(D600="","",IF(J600="リード付け",N600,IF(J600="巻返しリード付け",N600,IF(J600="巻足し",N600*P600+OFFSET(N600,1,0)*OFFSET(P600,1,0),VLOOKUP(D600,契約台帳!$A$3:$P$4986,16,FALSE)))))</f>
        <v/>
      </c>
      <c r="U600" s="40"/>
      <c r="V600" s="274" t="str">
        <f ca="1">IF(D600="","",IF(OFFSET(D600,-2,0)=D600,"",VLOOKUP(D600,契約台帳!$A$3:$R$4986,18,FALSE)))</f>
        <v/>
      </c>
      <c r="W600" s="269" t="str">
        <f>IF(D600="","",IF(T600="","",IF(OR(J600="巻足し",J600="巻返しリード付け"),"",IF(J600="巻返し",VLOOKUP(F600&amp;K600&amp;M600,製品マスタ!$M$5:$AD$5002,18,FALSE),IF(OR(J600="リード付け",J600="巻返しリード付け"),"原反コア",IF(J600="スリット",VLOOKUP(F600&amp;K600&amp;R600,製品マスタ!$N$5:$AD$5002,17,FALSE),""))))))</f>
        <v/>
      </c>
      <c r="X600" s="269" t="str">
        <f>IF(D600="","",IF(T600="","",IF(J600="巻足し","",IF(J600="巻返し",VLOOKUP(F600&amp;K600&amp;M600,製品マスタ!$M$5:$AE$5002,19,FALSE),IF(OR(J600="リード付け",J600="巻返しリード付け"),"",IF(J600="スリット",VLOOKUP(F600&amp;K600&amp;R600,製品マスタ!$N$5:$AE$5002,18,FALSE),""))))))</f>
        <v/>
      </c>
      <c r="Y600" s="275" t="str">
        <f>IF(D600="","",IF(T600="","",VLOOKUP(D600,契約台帳!$A$3:$Q$4986,17,FALSE)))</f>
        <v/>
      </c>
      <c r="Z600" s="269" t="str">
        <f>IF(D600="","",IF(T600="","",VLOOKUP(D600,契約台帳!$A$3:$E$4986,5,FALSE)))</f>
        <v/>
      </c>
      <c r="AA600" s="57"/>
      <c r="AB600" s="207" t="str">
        <f>IFERROR((VLOOKUP(F600&amp;K600&amp;M600,製品マスタ!$M$5:$AM$5002,27,FALSE)),"")</f>
        <v/>
      </c>
      <c r="AC600" s="33"/>
      <c r="AD600" s="189"/>
      <c r="AE600" s="54"/>
      <c r="AF600" s="55"/>
      <c r="AG600" s="43"/>
      <c r="AH600" s="47"/>
      <c r="AI600" s="30"/>
      <c r="AJ600" s="30"/>
      <c r="AK600" s="30"/>
      <c r="AL600" s="30"/>
      <c r="AM600" s="13"/>
      <c r="AN600" s="13"/>
      <c r="AO600" s="13"/>
      <c r="AP600" s="13"/>
      <c r="AQ600" s="13"/>
      <c r="AR600" s="14"/>
      <c r="AS600" s="15"/>
    </row>
    <row r="601" spans="1:45" s="17" customFormat="1" ht="30.95" hidden="1" customHeight="1" x14ac:dyDescent="0.2">
      <c r="A601" s="37"/>
      <c r="B601" s="38"/>
      <c r="C601" s="45"/>
      <c r="D601" s="31">
        <v>3712095</v>
      </c>
      <c r="E601" s="31">
        <v>4161923</v>
      </c>
      <c r="F601" s="268" t="str">
        <f>IF(D601="","",VLOOKUP(D601,契約台帳!$A$3:$K$4986,6,FALSE)&amp;VLOOKUP(D601,契約台帳!$A$3:$K$4986,7,FALSE)&amp;VLOOKUP(D601,契約台帳!$A$3:$K$4986,8,FALSE)&amp;VLOOKUP(D601,契約台帳!$A$3:$K$4986,9,FALSE)&amp;VLOOKUP(D601,契約台帳!$A$3:$K$4986,11,FALSE))</f>
        <v>3SNMCLBEYK</v>
      </c>
      <c r="G601" s="269" t="str">
        <f>IF(D601="","",VLOOKUP(F601,製品マスタ!$G$5:$H$5002,2,FALSE))</f>
        <v>S</v>
      </c>
      <c r="H601" s="269" t="str">
        <f>IF(D601="","",VLOOKUP(F601,製品マスタ!$G$5:$K$5002,5,FALSE))</f>
        <v>EYK</v>
      </c>
      <c r="I601" s="270" t="str">
        <f>IF(D601="","",VLOOKUP(F601,製品マスタ!$G$5:$L$5002,6,FALSE))</f>
        <v>メタルミー　ＥＹＫ</v>
      </c>
      <c r="J601" s="210" t="s">
        <v>1164</v>
      </c>
      <c r="K601" s="270">
        <f>IF(D601="","",VLOOKUP(D601,契約台帳!$A$3:$L$4986,12,FALSE))</f>
        <v>50</v>
      </c>
      <c r="L601" s="270" t="str">
        <f>IF(D601="","",INDEX(製品マスタ!$Q$5:$Q$5002,MATCH('S4'!F601&amp;'S4'!K601,製品マスタ!$AO$5:$AO$5002,0)))</f>
        <v>T62M</v>
      </c>
      <c r="M601" s="39">
        <v>1125</v>
      </c>
      <c r="N601" s="39">
        <v>6100</v>
      </c>
      <c r="O601" s="156">
        <v>4</v>
      </c>
      <c r="P601" s="47">
        <v>2</v>
      </c>
      <c r="Q601" s="213">
        <v>45075</v>
      </c>
      <c r="R601" s="271">
        <f ca="1">IF(D601="","",IF(OFFSET(D601,-1,0)&lt;&gt;"","",IF(OR(J601="リード付け",J601="巻足し",J601="巻返しリード付け"),M601,VLOOKUP(D601,契約台帳!$A$3:$N$4986,14,FALSE))))</f>
        <v>1125</v>
      </c>
      <c r="S601" s="272">
        <f ca="1">IF(D601="","",IF(OFFSET(D601,-1,0)&lt;&gt;"","",IF(OR(J601="リード付け",J601="巻足し",J601="巻返しリード付け"),M601,VLOOKUP(D601,契約台帳!$A$3:$O$4986,15,FALSE))))</f>
        <v>1125</v>
      </c>
      <c r="T601" s="273">
        <f ca="1">IF(D601="","",IF(J601="リード付け",N601,IF(J601="巻返しリード付け",N601,IF(J601="巻足し",N601*P601+OFFSET(N601,1,0)*OFFSET(P601,1,0),VLOOKUP(D601,契約台帳!$A$3:$P$4986,16,FALSE)))))</f>
        <v>12200</v>
      </c>
      <c r="U601" s="40">
        <v>2</v>
      </c>
      <c r="V601" s="274">
        <f ca="1">IF(D601="","",IF(OFFSET(D601,-2,0)=D601,"",VLOOKUP(D601,契約台帳!$A$3:$R$4986,18,FALSE)))</f>
        <v>4</v>
      </c>
      <c r="W601" s="269" t="str">
        <f ca="1">IF(D601="","",IF(T601="","",IF(OR(J601="巻足し",J601="巻返しリード付け"),"",IF(J601="巻返し",VLOOKUP(F601&amp;K601&amp;M601,製品マスタ!$M$5:$AD$5002,18,FALSE),IF(OR(J601="リード付け",J601="巻返しリード付け"),"原反コア",IF(J601="スリット",VLOOKUP(F601&amp;K601&amp;R601,製品マスタ!$N$5:$AD$5002,17,FALSE),""))))))</f>
        <v/>
      </c>
      <c r="X601" s="269" t="str">
        <f ca="1">IF(D601="","",IF(T601="","",IF(J601="巻足し","",IF(J601="巻返し",VLOOKUP(F601&amp;K601&amp;M601,製品マスタ!$M$5:$AE$5002,19,FALSE),IF(OR(J601="リード付け",J601="巻返しリード付け"),"",IF(J601="スリット",VLOOKUP(F601&amp;K601&amp;R601,製品マスタ!$N$5:$AE$5002,18,FALSE),""))))))</f>
        <v/>
      </c>
      <c r="Y601" s="275">
        <f ca="1">IF(D601="","",IF(T601="","",VLOOKUP(D601,契約台帳!$A$3:$Q$4986,17,FALSE)))</f>
        <v>2</v>
      </c>
      <c r="Z601" s="269" t="str">
        <f ca="1">IF(D601="","",IF(T601="","",VLOOKUP(D601,契約台帳!$A$3:$E$4986,5,FALSE)))</f>
        <v>新タック化成㈱</v>
      </c>
      <c r="AA601" s="57"/>
      <c r="AB601" s="207" t="str">
        <f>IFERROR((VLOOKUP(F601&amp;K601&amp;M601,製品マスタ!$M$5:$AM$5002,27,FALSE)),"")</f>
        <v>原反ケース再利用</v>
      </c>
      <c r="AC601" s="33"/>
      <c r="AD601" s="189"/>
      <c r="AE601" s="54"/>
      <c r="AF601" s="55"/>
      <c r="AG601" s="43"/>
      <c r="AH601" s="47"/>
      <c r="AI601" s="30"/>
      <c r="AJ601" s="30"/>
      <c r="AK601" s="30"/>
      <c r="AL601" s="30"/>
      <c r="AM601" s="13"/>
      <c r="AN601" s="13"/>
      <c r="AO601" s="13"/>
      <c r="AP601" s="13"/>
      <c r="AQ601" s="13"/>
      <c r="AR601" s="14"/>
      <c r="AS601" s="15"/>
    </row>
    <row r="602" spans="1:45" s="17" customFormat="1" ht="30.95" hidden="1" customHeight="1" x14ac:dyDescent="0.2">
      <c r="A602" s="37"/>
      <c r="B602" s="38"/>
      <c r="C602" s="45"/>
      <c r="D602" s="31"/>
      <c r="E602" s="31"/>
      <c r="F602" s="268" t="str">
        <f>IF(D602="","",VLOOKUP(D602,契約台帳!$A$3:$K$4986,6,FALSE)&amp;VLOOKUP(D602,契約台帳!$A$3:$K$4986,7,FALSE)&amp;VLOOKUP(D602,契約台帳!$A$3:$K$4986,8,FALSE)&amp;VLOOKUP(D602,契約台帳!$A$3:$K$4986,9,FALSE)&amp;VLOOKUP(D602,契約台帳!$A$3:$K$4986,11,FALSE))</f>
        <v/>
      </c>
      <c r="G602" s="269" t="str">
        <f>IF(D602="","",VLOOKUP(F602,製品マスタ!$G$5:$H$5002,2,FALSE))</f>
        <v/>
      </c>
      <c r="H602" s="269" t="str">
        <f>IF(D602="","",VLOOKUP(F602,製品マスタ!$G$5:$K$5002,5,FALSE))</f>
        <v/>
      </c>
      <c r="I602" s="270" t="str">
        <f>IF(D602="","",VLOOKUP(F602,製品マスタ!$G$5:$L$5002,6,FALSE))</f>
        <v/>
      </c>
      <c r="J602" s="210"/>
      <c r="K602" s="270" t="str">
        <f>IF(D602="","",VLOOKUP(D602,契約台帳!$A$3:$L$4986,12,FALSE))</f>
        <v/>
      </c>
      <c r="L602" s="270" t="str">
        <f>IF(D602="","",INDEX(製品マスタ!$Q$5:$Q$5002,MATCH('S4'!F602&amp;'S4'!K602,製品マスタ!$AO$5:$AO$5002,0)))</f>
        <v/>
      </c>
      <c r="M602" s="39"/>
      <c r="N602" s="39"/>
      <c r="O602" s="156"/>
      <c r="P602" s="47"/>
      <c r="Q602" s="57"/>
      <c r="R602" s="271" t="str">
        <f ca="1">IF(D602="","",IF(OFFSET(D602,-1,0)&lt;&gt;"","",IF(OR(J602="リード付け",J602="巻足し",J602="巻返しリード付け"),M602,VLOOKUP(D602,契約台帳!$A$3:$N$4986,14,FALSE))))</f>
        <v/>
      </c>
      <c r="S602" s="272" t="str">
        <f ca="1">IF(D602="","",IF(OFFSET(D602,-1,0)&lt;&gt;"","",IF(OR(J602="リード付け",J602="巻足し",J602="巻返しリード付け"),M602,VLOOKUP(D602,契約台帳!$A$3:$O$4986,15,FALSE))))</f>
        <v/>
      </c>
      <c r="T602" s="273" t="str">
        <f ca="1">IF(D602="","",IF(J602="リード付け",N602,IF(J602="巻返しリード付け",N602,IF(J602="巻足し",N602*P602+OFFSET(N602,1,0)*OFFSET(P602,1,0),VLOOKUP(D602,契約台帳!$A$3:$P$4986,16,FALSE)))))</f>
        <v/>
      </c>
      <c r="U602" s="40"/>
      <c r="V602" s="274" t="str">
        <f ca="1">IF(D602="","",IF(OFFSET(D602,-2,0)=D602,"",VLOOKUP(D602,契約台帳!$A$3:$R$4986,18,FALSE)))</f>
        <v/>
      </c>
      <c r="W602" s="269" t="str">
        <f>IF(D602="","",IF(T602="","",IF(OR(J602="巻足し",J602="巻返しリード付け"),"",IF(J602="巻返し",VLOOKUP(F602&amp;K602&amp;M602,製品マスタ!$M$5:$AD$5002,18,FALSE),IF(OR(J602="リード付け",J602="巻返しリード付け"),"原反コア",IF(J602="スリット",VLOOKUP(F602&amp;K602&amp;R602,製品マスタ!$N$5:$AD$5002,17,FALSE),""))))))</f>
        <v/>
      </c>
      <c r="X602" s="269" t="str">
        <f>IF(D602="","",IF(T602="","",IF(J602="巻足し","",IF(J602="巻返し",VLOOKUP(F602&amp;K602&amp;M602,製品マスタ!$M$5:$AE$5002,19,FALSE),IF(OR(J602="リード付け",J602="巻返しリード付け"),"",IF(J602="スリット",VLOOKUP(F602&amp;K602&amp;R602,製品マスタ!$N$5:$AE$5002,18,FALSE),""))))))</f>
        <v/>
      </c>
      <c r="Y602" s="275" t="str">
        <f>IF(D602="","",IF(T602="","",VLOOKUP(D602,契約台帳!$A$3:$Q$4986,17,FALSE)))</f>
        <v/>
      </c>
      <c r="Z602" s="269" t="str">
        <f>IF(D602="","",IF(T602="","",VLOOKUP(D602,契約台帳!$A$3:$E$4986,5,FALSE)))</f>
        <v/>
      </c>
      <c r="AA602" s="57"/>
      <c r="AB602" s="207" t="str">
        <f>IFERROR((VLOOKUP(F602&amp;K602&amp;M602,製品マスタ!$M$5:$AM$5002,27,FALSE)),"")</f>
        <v/>
      </c>
      <c r="AC602" s="33"/>
      <c r="AD602" s="189"/>
      <c r="AE602" s="54"/>
      <c r="AF602" s="55"/>
      <c r="AG602" s="43"/>
      <c r="AH602" s="47"/>
      <c r="AI602" s="30"/>
      <c r="AJ602" s="30"/>
      <c r="AK602" s="30"/>
      <c r="AL602" s="30"/>
      <c r="AM602" s="13"/>
      <c r="AN602" s="13"/>
      <c r="AO602" s="13"/>
      <c r="AP602" s="13"/>
      <c r="AQ602" s="13"/>
      <c r="AR602" s="14"/>
      <c r="AS602" s="15"/>
    </row>
    <row r="603" spans="1:45" s="17" customFormat="1" ht="30.95" hidden="1" customHeight="1" x14ac:dyDescent="0.2">
      <c r="A603" s="37"/>
      <c r="B603" s="38"/>
      <c r="C603" s="45"/>
      <c r="D603" s="31">
        <v>3712100</v>
      </c>
      <c r="E603" s="31">
        <v>4161927</v>
      </c>
      <c r="F603" s="268" t="str">
        <f>IF(D603="","",VLOOKUP(D603,契約台帳!$A$3:$K$4986,6,FALSE)&amp;VLOOKUP(D603,契約台帳!$A$3:$K$4986,7,FALSE)&amp;VLOOKUP(D603,契約台帳!$A$3:$K$4986,8,FALSE)&amp;VLOOKUP(D603,契約台帳!$A$3:$K$4986,9,FALSE)&amp;VLOOKUP(D603,契約台帳!$A$3:$K$4986,11,FALSE))</f>
        <v>3SNMLBMNGKKBF</v>
      </c>
      <c r="G603" s="269" t="str">
        <f>IF(D603="","",VLOOKUP(F603,製品マスタ!$G$5:$H$5002,2,FALSE))</f>
        <v>S</v>
      </c>
      <c r="H603" s="269" t="str">
        <f>IF(D603="","",VLOOKUP(F603,製品マスタ!$G$5:$K$5002,5,FALSE))</f>
        <v>MNGKKBF</v>
      </c>
      <c r="I603" s="270" t="str">
        <f>IF(D603="","",VLOOKUP(F603,製品マスタ!$G$5:$L$5002,6,FALSE))</f>
        <v>メタルミー　ネーマー銀消改　Ｂ</v>
      </c>
      <c r="J603" s="210" t="s">
        <v>1164</v>
      </c>
      <c r="K603" s="270">
        <f>IF(D603="","",VLOOKUP(D603,契約台帳!$A$3:$L$4986,12,FALSE))</f>
        <v>25</v>
      </c>
      <c r="L603" s="270" t="str">
        <f>IF(D603="","",INDEX(製品マスタ!$Q$5:$Q$5002,MATCH('S4'!F603&amp;'S4'!K603,製品マスタ!$AO$5:$AO$5002,0)))</f>
        <v>FMATS99</v>
      </c>
      <c r="M603" s="39">
        <v>1120</v>
      </c>
      <c r="N603" s="39">
        <v>4000</v>
      </c>
      <c r="O603" s="156">
        <v>3</v>
      </c>
      <c r="P603" s="47">
        <v>3</v>
      </c>
      <c r="Q603" s="213">
        <v>45072</v>
      </c>
      <c r="R603" s="271">
        <f ca="1">IF(D603="","",IF(OFFSET(D603,-1,0)&lt;&gt;"","",IF(OR(J603="リード付け",J603="巻足し",J603="巻返しリード付け"),M603,VLOOKUP(D603,契約台帳!$A$3:$N$4986,14,FALSE))))</f>
        <v>1120</v>
      </c>
      <c r="S603" s="272">
        <f ca="1">IF(D603="","",IF(OFFSET(D603,-1,0)&lt;&gt;"","",IF(OR(J603="リード付け",J603="巻足し",J603="巻返しリード付け"),M603,VLOOKUP(D603,契約台帳!$A$3:$O$4986,15,FALSE))))</f>
        <v>1120</v>
      </c>
      <c r="T603" s="273">
        <f ca="1">IF(D603="","",IF(J603="リード付け",N603,IF(J603="巻返しリード付け",N603,IF(J603="巻足し",N603*P603+OFFSET(N603,1,0)*OFFSET(P603,1,0),VLOOKUP(D603,契約台帳!$A$3:$P$4986,16,FALSE)))))</f>
        <v>12000</v>
      </c>
      <c r="U603" s="40">
        <v>1</v>
      </c>
      <c r="V603" s="274">
        <f ca="1">IF(D603="","",IF(OFFSET(D603,-2,0)=D603,"",VLOOKUP(D603,契約台帳!$A$3:$R$4986,18,FALSE)))</f>
        <v>3</v>
      </c>
      <c r="W603" s="269" t="str">
        <f ca="1">IF(D603="","",IF(T603="","",IF(OR(J603="巻足し",J603="巻返しリード付け"),"",IF(J603="巻返し",VLOOKUP(F603&amp;K603&amp;M603,製品マスタ!$M$5:$AD$5002,18,FALSE),IF(OR(J603="リード付け",J603="巻返しリード付け"),"原反コア",IF(J603="スリット",VLOOKUP(F603&amp;K603&amp;R603,製品マスタ!$N$5:$AD$5002,17,FALSE),""))))))</f>
        <v/>
      </c>
      <c r="X603" s="269" t="str">
        <f ca="1">IF(D603="","",IF(T603="","",IF(J603="巻足し","",IF(J603="巻返し",VLOOKUP(F603&amp;K603&amp;M603,製品マスタ!$M$5:$AE$5002,19,FALSE),IF(OR(J603="リード付け",J603="巻返しリード付け"),"",IF(J603="スリット",VLOOKUP(F603&amp;K603&amp;R603,製品マスタ!$N$5:$AE$5002,18,FALSE),""))))))</f>
        <v/>
      </c>
      <c r="Y603" s="275">
        <f ca="1">IF(D603="","",IF(T603="","",VLOOKUP(D603,契約台帳!$A$3:$Q$4986,17,FALSE)))</f>
        <v>2</v>
      </c>
      <c r="Z603" s="269" t="str">
        <f ca="1">IF(D603="","",IF(T603="","",VLOOKUP(D603,契約台帳!$A$3:$E$4986,5,FALSE)))</f>
        <v>リンテック㈱</v>
      </c>
      <c r="AA603" s="57"/>
      <c r="AB603" s="207">
        <f>IFERROR((VLOOKUP(F603&amp;K603&amp;M603,製品マスタ!$M$5:$AM$5002,27,FALSE)),"")</f>
        <v>0</v>
      </c>
      <c r="AC603" s="33"/>
      <c r="AD603" s="189"/>
      <c r="AE603" s="54"/>
      <c r="AF603" s="55"/>
      <c r="AG603" s="43"/>
      <c r="AH603" s="47"/>
      <c r="AI603" s="30"/>
      <c r="AJ603" s="30"/>
      <c r="AK603" s="30"/>
      <c r="AL603" s="30"/>
      <c r="AM603" s="13"/>
      <c r="AN603" s="13"/>
      <c r="AO603" s="13"/>
      <c r="AP603" s="13"/>
      <c r="AQ603" s="13"/>
      <c r="AR603" s="14"/>
      <c r="AS603" s="15"/>
    </row>
    <row r="604" spans="1:45" s="17" customFormat="1" ht="30.95" hidden="1" customHeight="1" x14ac:dyDescent="0.2">
      <c r="A604" s="37"/>
      <c r="B604" s="38"/>
      <c r="C604" s="45"/>
      <c r="D604" s="31"/>
      <c r="E604" s="31"/>
      <c r="F604" s="268" t="str">
        <f>IF(D604="","",VLOOKUP(D604,契約台帳!$A$3:$K$4986,6,FALSE)&amp;VLOOKUP(D604,契約台帳!$A$3:$K$4986,7,FALSE)&amp;VLOOKUP(D604,契約台帳!$A$3:$K$4986,8,FALSE)&amp;VLOOKUP(D604,契約台帳!$A$3:$K$4986,9,FALSE)&amp;VLOOKUP(D604,契約台帳!$A$3:$K$4986,11,FALSE))</f>
        <v/>
      </c>
      <c r="G604" s="269" t="str">
        <f>IF(D604="","",VLOOKUP(F604,製品マスタ!$G$5:$H$5002,2,FALSE))</f>
        <v/>
      </c>
      <c r="H604" s="269" t="str">
        <f>IF(D604="","",VLOOKUP(F604,製品マスタ!$G$5:$K$5002,5,FALSE))</f>
        <v/>
      </c>
      <c r="I604" s="270" t="str">
        <f>IF(D604="","",VLOOKUP(F604,製品マスタ!$G$5:$L$5002,6,FALSE))</f>
        <v/>
      </c>
      <c r="J604" s="210"/>
      <c r="K604" s="270" t="str">
        <f>IF(D604="","",VLOOKUP(D604,契約台帳!$A$3:$L$4986,12,FALSE))</f>
        <v/>
      </c>
      <c r="L604" s="270" t="str">
        <f>IF(D604="","",INDEX(製品マスタ!$Q$5:$Q$5002,MATCH('S4'!F604&amp;'S4'!K604,製品マスタ!$AO$5:$AO$5002,0)))</f>
        <v/>
      </c>
      <c r="M604" s="39"/>
      <c r="N604" s="39"/>
      <c r="O604" s="156"/>
      <c r="P604" s="47"/>
      <c r="Q604" s="57"/>
      <c r="R604" s="271" t="str">
        <f ca="1">IF(D604="","",IF(OFFSET(D604,-1,0)&lt;&gt;"","",IF(OR(J604="リード付け",J604="巻足し",J604="巻返しリード付け"),M604,VLOOKUP(D604,契約台帳!$A$3:$N$4986,14,FALSE))))</f>
        <v/>
      </c>
      <c r="S604" s="272" t="str">
        <f ca="1">IF(D604="","",IF(OFFSET(D604,-1,0)&lt;&gt;"","",IF(OR(J604="リード付け",J604="巻足し",J604="巻返しリード付け"),M604,VLOOKUP(D604,契約台帳!$A$3:$O$4986,15,FALSE))))</f>
        <v/>
      </c>
      <c r="T604" s="273" t="str">
        <f ca="1">IF(D604="","",IF(J604="リード付け",N604,IF(J604="巻返しリード付け",N604,IF(J604="巻足し",N604*P604+OFFSET(N604,1,0)*OFFSET(P604,1,0),VLOOKUP(D604,契約台帳!$A$3:$P$4986,16,FALSE)))))</f>
        <v/>
      </c>
      <c r="U604" s="40"/>
      <c r="V604" s="274" t="str">
        <f ca="1">IF(D604="","",IF(OFFSET(D604,-2,0)=D604,"",VLOOKUP(D604,契約台帳!$A$3:$R$4986,18,FALSE)))</f>
        <v/>
      </c>
      <c r="W604" s="269" t="str">
        <f>IF(D604="","",IF(T604="","",IF(OR(J604="巻足し",J604="巻返しリード付け"),"",IF(J604="巻返し",VLOOKUP(F604&amp;K604&amp;M604,製品マスタ!$M$5:$AD$5002,18,FALSE),IF(OR(J604="リード付け",J604="巻返しリード付け"),"原反コア",IF(J604="スリット",VLOOKUP(F604&amp;K604&amp;R604,製品マスタ!$N$5:$AD$5002,17,FALSE),""))))))</f>
        <v/>
      </c>
      <c r="X604" s="269" t="str">
        <f>IF(D604="","",IF(T604="","",IF(J604="巻足し","",IF(J604="巻返し",VLOOKUP(F604&amp;K604&amp;M604,製品マスタ!$M$5:$AE$5002,19,FALSE),IF(OR(J604="リード付け",J604="巻返しリード付け"),"",IF(J604="スリット",VLOOKUP(F604&amp;K604&amp;R604,製品マスタ!$N$5:$AE$5002,18,FALSE),""))))))</f>
        <v/>
      </c>
      <c r="Y604" s="275" t="str">
        <f>IF(D604="","",IF(T604="","",VLOOKUP(D604,契約台帳!$A$3:$Q$4986,17,FALSE)))</f>
        <v/>
      </c>
      <c r="Z604" s="269" t="str">
        <f>IF(D604="","",IF(T604="","",VLOOKUP(D604,契約台帳!$A$3:$E$4986,5,FALSE)))</f>
        <v/>
      </c>
      <c r="AA604" s="57"/>
      <c r="AB604" s="207" t="str">
        <f>IFERROR((VLOOKUP(F604&amp;K604&amp;M604,製品マスタ!$M$5:$AM$5002,27,FALSE)),"")</f>
        <v/>
      </c>
      <c r="AC604" s="33"/>
      <c r="AD604" s="189"/>
      <c r="AE604" s="54"/>
      <c r="AF604" s="55"/>
      <c r="AG604" s="43"/>
      <c r="AH604" s="47"/>
      <c r="AI604" s="30"/>
      <c r="AJ604" s="30"/>
      <c r="AK604" s="30"/>
      <c r="AL604" s="30"/>
      <c r="AM604" s="13"/>
      <c r="AN604" s="13"/>
      <c r="AO604" s="13"/>
      <c r="AP604" s="13"/>
      <c r="AQ604" s="13"/>
      <c r="AR604" s="14"/>
      <c r="AS604" s="15"/>
    </row>
    <row r="605" spans="1:45" s="17" customFormat="1" ht="30.95" hidden="1" customHeight="1" x14ac:dyDescent="0.2">
      <c r="A605" s="37" t="s">
        <v>1165</v>
      </c>
      <c r="B605" s="38" t="s">
        <v>1166</v>
      </c>
      <c r="C605" s="45"/>
      <c r="D605" s="31">
        <v>3712105</v>
      </c>
      <c r="E605" s="31">
        <v>4161930</v>
      </c>
      <c r="F605" s="268" t="str">
        <f>IF(D605="","",VLOOKUP(D605,契約台帳!$A$3:$K$4986,6,FALSE)&amp;VLOOKUP(D605,契約台帳!$A$3:$K$4986,7,FALSE)&amp;VLOOKUP(D605,契約台帳!$A$3:$K$4986,8,FALSE)&amp;VLOOKUP(D605,契約台帳!$A$3:$K$4986,9,FALSE)&amp;VLOOKUP(D605,契約台帳!$A$3:$K$4986,11,FALSE))</f>
        <v>3SNMLBMNGTBF</v>
      </c>
      <c r="G605" s="269" t="str">
        <f>IF(D605="","",VLOOKUP(F605,製品マスタ!$G$5:$H$5002,2,FALSE))</f>
        <v>S</v>
      </c>
      <c r="H605" s="269" t="str">
        <f>IF(D605="","",VLOOKUP(F605,製品マスタ!$G$5:$K$5002,5,FALSE))</f>
        <v>MNGTBF</v>
      </c>
      <c r="I605" s="270" t="str">
        <f>IF(D605="","",VLOOKUP(F605,製品マスタ!$G$5:$L$5002,6,FALSE))</f>
        <v>メタルミー　ネーマー　銀艶　Ｂ</v>
      </c>
      <c r="J605" s="210" t="s">
        <v>1164</v>
      </c>
      <c r="K605" s="270">
        <f>IF(D605="","",VLOOKUP(D605,契約台帳!$A$3:$L$4986,12,FALSE))</f>
        <v>50</v>
      </c>
      <c r="L605" s="270" t="str">
        <f>IF(D605="","",INDEX(製品マスタ!$Q$5:$Q$5002,MATCH('S4'!F605&amp;'S4'!K605,製品マスタ!$AO$5:$AO$5002,0)))</f>
        <v>T62</v>
      </c>
      <c r="M605" s="39">
        <v>1120</v>
      </c>
      <c r="N605" s="39">
        <v>5000</v>
      </c>
      <c r="O605" s="156">
        <v>14</v>
      </c>
      <c r="P605" s="47">
        <v>2</v>
      </c>
      <c r="Q605" s="213">
        <v>45075</v>
      </c>
      <c r="R605" s="271">
        <f ca="1">IF(D605="","",IF(OFFSET(D605,-1,0)&lt;&gt;"","",IF(OR(J605="リード付け",J605="巻足し",J605="巻返しリード付け"),M605,VLOOKUP(D605,契約台帳!$A$3:$N$4986,14,FALSE))))</f>
        <v>1120</v>
      </c>
      <c r="S605" s="272">
        <f ca="1">IF(D605="","",IF(OFFSET(D605,-1,0)&lt;&gt;"","",IF(OR(J605="リード付け",J605="巻足し",J605="巻返しリード付け"),M605,VLOOKUP(D605,契約台帳!$A$3:$O$4986,15,FALSE))))</f>
        <v>1120</v>
      </c>
      <c r="T605" s="273">
        <f ca="1">IF(D605="","",IF(J605="リード付け",N605,IF(J605="巻返しリード付け",N605,IF(J605="巻足し",N605*P605+OFFSET(N605,1,0)*OFFSET(P605,1,0),VLOOKUP(D605,契約台帳!$A$3:$P$4986,16,FALSE)))))</f>
        <v>10000</v>
      </c>
      <c r="U605" s="40">
        <v>7</v>
      </c>
      <c r="V605" s="274">
        <f ca="1">IF(D605="","",IF(OFFSET(D605,-2,0)=D605,"",VLOOKUP(D605,契約台帳!$A$3:$R$4986,18,FALSE)))</f>
        <v>15</v>
      </c>
      <c r="W605" s="269" t="str">
        <f ca="1">IF(D605="","",IF(T605="","",IF(OR(J605="巻足し",J605="巻返しリード付け"),"",IF(J605="巻返し",VLOOKUP(F605&amp;K605&amp;M605,製品マスタ!$M$5:$AD$5002,18,FALSE),IF(OR(J605="リード付け",J605="巻返しリード付け"),"原反コア",IF(J605="スリット",VLOOKUP(F605&amp;K605&amp;R605,製品マスタ!$N$5:$AD$5002,17,FALSE),""))))))</f>
        <v/>
      </c>
      <c r="X605" s="269" t="str">
        <f ca="1">IF(D605="","",IF(T605="","",IF(J605="巻足し","",IF(J605="巻返し",VLOOKUP(F605&amp;K605&amp;M605,製品マスタ!$M$5:$AE$5002,19,FALSE),IF(OR(J605="リード付け",J605="巻返しリード付け"),"",IF(J605="スリット",VLOOKUP(F605&amp;K605&amp;R605,製品マスタ!$N$5:$AE$5002,18,FALSE),""))))))</f>
        <v/>
      </c>
      <c r="Y605" s="275">
        <f ca="1">IF(D605="","",IF(T605="","",VLOOKUP(D605,契約台帳!$A$3:$Q$4986,17,FALSE)))</f>
        <v>2</v>
      </c>
      <c r="Z605" s="269" t="str">
        <f ca="1">IF(D605="","",IF(T605="","",VLOOKUP(D605,契約台帳!$A$3:$E$4986,5,FALSE)))</f>
        <v>リンテック㈱</v>
      </c>
      <c r="AA605" s="57"/>
      <c r="AB605" s="207" t="str">
        <f>IFERROR((VLOOKUP(F605&amp;K605&amp;M605,製品マスタ!$M$5:$AM$5002,27,FALSE)),"")</f>
        <v>原反ケース再利用</v>
      </c>
      <c r="AC605" s="33"/>
      <c r="AD605" s="189"/>
      <c r="AE605" s="54"/>
      <c r="AF605" s="55"/>
      <c r="AG605" s="43"/>
      <c r="AH605" s="47"/>
      <c r="AI605" s="30"/>
      <c r="AJ605" s="30"/>
      <c r="AK605" s="30"/>
      <c r="AL605" s="30"/>
      <c r="AM605" s="13"/>
      <c r="AN605" s="13"/>
      <c r="AO605" s="13"/>
      <c r="AP605" s="13"/>
      <c r="AQ605" s="13"/>
      <c r="AR605" s="14"/>
      <c r="AS605" s="15"/>
    </row>
    <row r="606" spans="1:45" s="17" customFormat="1" ht="30.95" hidden="1" customHeight="1" x14ac:dyDescent="0.2">
      <c r="A606" s="37"/>
      <c r="B606" s="38"/>
      <c r="C606" s="45"/>
      <c r="D606" s="31"/>
      <c r="E606" s="31"/>
      <c r="F606" s="268" t="str">
        <f>IF(D606="","",VLOOKUP(D606,契約台帳!$A$3:$K$4986,6,FALSE)&amp;VLOOKUP(D606,契約台帳!$A$3:$K$4986,7,FALSE)&amp;VLOOKUP(D606,契約台帳!$A$3:$K$4986,8,FALSE)&amp;VLOOKUP(D606,契約台帳!$A$3:$K$4986,9,FALSE)&amp;VLOOKUP(D606,契約台帳!$A$3:$K$4986,11,FALSE))</f>
        <v/>
      </c>
      <c r="G606" s="269" t="str">
        <f>IF(D606="","",VLOOKUP(F606,製品マスタ!$G$5:$H$5002,2,FALSE))</f>
        <v/>
      </c>
      <c r="H606" s="269" t="str">
        <f>IF(D606="","",VLOOKUP(F606,製品マスタ!$G$5:$K$5002,5,FALSE))</f>
        <v/>
      </c>
      <c r="I606" s="270" t="str">
        <f>IF(D606="","",VLOOKUP(F606,製品マスタ!$G$5:$L$5002,6,FALSE))</f>
        <v/>
      </c>
      <c r="J606" s="210"/>
      <c r="K606" s="270" t="str">
        <f>IF(D606="","",VLOOKUP(D606,契約台帳!$A$3:$L$4986,12,FALSE))</f>
        <v/>
      </c>
      <c r="L606" s="270" t="str">
        <f>IF(D606="","",INDEX(製品マスタ!$Q$5:$Q$5002,MATCH('S4'!F606&amp;'S4'!K606,製品マスタ!$AO$5:$AO$5002,0)))</f>
        <v/>
      </c>
      <c r="M606" s="39"/>
      <c r="N606" s="39"/>
      <c r="O606" s="156"/>
      <c r="P606" s="47"/>
      <c r="Q606" s="57"/>
      <c r="R606" s="271" t="str">
        <f ca="1">IF(D606="","",IF(OFFSET(D606,-1,0)&lt;&gt;"","",IF(OR(J606="リード付け",J606="巻足し",J606="巻返しリード付け"),M606,VLOOKUP(D606,契約台帳!$A$3:$N$4986,14,FALSE))))</f>
        <v/>
      </c>
      <c r="S606" s="272" t="str">
        <f ca="1">IF(D606="","",IF(OFFSET(D606,-1,0)&lt;&gt;"","",IF(OR(J606="リード付け",J606="巻足し",J606="巻返しリード付け"),M606,VLOOKUP(D606,契約台帳!$A$3:$O$4986,15,FALSE))))</f>
        <v/>
      </c>
      <c r="T606" s="273" t="str">
        <f ca="1">IF(D606="","",IF(J606="リード付け",N606,IF(J606="巻返しリード付け",N606,IF(J606="巻足し",N606*P606+OFFSET(N606,1,0)*OFFSET(P606,1,0),VLOOKUP(D606,契約台帳!$A$3:$P$4986,16,FALSE)))))</f>
        <v/>
      </c>
      <c r="U606" s="40"/>
      <c r="V606" s="274" t="str">
        <f ca="1">IF(D606="","",IF(OFFSET(D606,-2,0)=D606,"",VLOOKUP(D606,契約台帳!$A$3:$R$4986,18,FALSE)))</f>
        <v/>
      </c>
      <c r="W606" s="269" t="str">
        <f>IF(D606="","",IF(T606="","",IF(OR(J606="巻足し",J606="巻返しリード付け"),"",IF(J606="巻返し",VLOOKUP(F606&amp;K606&amp;M606,製品マスタ!$M$5:$AD$5002,18,FALSE),IF(OR(J606="リード付け",J606="巻返しリード付け"),"原反コア",IF(J606="スリット",VLOOKUP(F606&amp;K606&amp;R606,製品マスタ!$N$5:$AD$5002,17,FALSE),""))))))</f>
        <v/>
      </c>
      <c r="X606" s="269" t="str">
        <f>IF(D606="","",IF(T606="","",IF(J606="巻足し","",IF(J606="巻返し",VLOOKUP(F606&amp;K606&amp;M606,製品マスタ!$M$5:$AE$5002,19,FALSE),IF(OR(J606="リード付け",J606="巻返しリード付け"),"",IF(J606="スリット",VLOOKUP(F606&amp;K606&amp;R606,製品マスタ!$N$5:$AE$5002,18,FALSE),""))))))</f>
        <v/>
      </c>
      <c r="Y606" s="275" t="str">
        <f>IF(D606="","",IF(T606="","",VLOOKUP(D606,契約台帳!$A$3:$Q$4986,17,FALSE)))</f>
        <v/>
      </c>
      <c r="Z606" s="269" t="str">
        <f>IF(D606="","",IF(T606="","",VLOOKUP(D606,契約台帳!$A$3:$E$4986,5,FALSE)))</f>
        <v/>
      </c>
      <c r="AA606" s="57"/>
      <c r="AB606" s="207" t="str">
        <f>IFERROR((VLOOKUP(F606&amp;K606&amp;M606,製品マスタ!$M$5:$AM$5002,27,FALSE)),"")</f>
        <v/>
      </c>
      <c r="AC606" s="33"/>
      <c r="AD606" s="189"/>
      <c r="AE606" s="54"/>
      <c r="AF606" s="55"/>
      <c r="AG606" s="43"/>
      <c r="AH606" s="47"/>
      <c r="AI606" s="30"/>
      <c r="AJ606" s="30"/>
      <c r="AK606" s="30"/>
      <c r="AL606" s="30"/>
      <c r="AM606" s="13"/>
      <c r="AN606" s="13"/>
      <c r="AO606" s="13"/>
      <c r="AP606" s="13"/>
      <c r="AQ606" s="13"/>
      <c r="AR606" s="14"/>
      <c r="AS606" s="15"/>
    </row>
    <row r="607" spans="1:45" s="17" customFormat="1" ht="30.95" hidden="1" customHeight="1" x14ac:dyDescent="0.2">
      <c r="A607" s="37" t="s">
        <v>1167</v>
      </c>
      <c r="B607" s="38" t="s">
        <v>442</v>
      </c>
      <c r="C607" s="45"/>
      <c r="D607" s="31">
        <v>3712105</v>
      </c>
      <c r="E607" s="31">
        <v>4161930</v>
      </c>
      <c r="F607" s="268" t="str">
        <f>IF(D607="","",VLOOKUP(D607,契約台帳!$A$3:$K$4986,6,FALSE)&amp;VLOOKUP(D607,契約台帳!$A$3:$K$4986,7,FALSE)&amp;VLOOKUP(D607,契約台帳!$A$3:$K$4986,8,FALSE)&amp;VLOOKUP(D607,契約台帳!$A$3:$K$4986,9,FALSE)&amp;VLOOKUP(D607,契約台帳!$A$3:$K$4986,11,FALSE))</f>
        <v>3SNMLBMNGTBF</v>
      </c>
      <c r="G607" s="269" t="str">
        <f>IF(D607="","",VLOOKUP(F607,製品マスタ!$G$5:$H$5002,2,FALSE))</f>
        <v>S</v>
      </c>
      <c r="H607" s="269" t="str">
        <f>IF(D607="","",VLOOKUP(F607,製品マスタ!$G$5:$K$5002,5,FALSE))</f>
        <v>MNGTBF</v>
      </c>
      <c r="I607" s="270" t="str">
        <f>IF(D607="","",VLOOKUP(F607,製品マスタ!$G$5:$L$5002,6,FALSE))</f>
        <v>メタルミー　ネーマー　銀艶　Ｂ</v>
      </c>
      <c r="J607" s="210" t="s">
        <v>1164</v>
      </c>
      <c r="K607" s="270">
        <f>IF(D607="","",VLOOKUP(D607,契約台帳!$A$3:$L$4986,12,FALSE))</f>
        <v>50</v>
      </c>
      <c r="L607" s="270" t="str">
        <f>IF(D607="","",INDEX(製品マスタ!$Q$5:$Q$5002,MATCH('S4'!F607&amp;'S4'!K607,製品マスタ!$AO$5:$AO$5002,0)))</f>
        <v>T62</v>
      </c>
      <c r="M607" s="39">
        <v>1120</v>
      </c>
      <c r="N607" s="39">
        <v>5000</v>
      </c>
      <c r="O607" s="156">
        <v>1</v>
      </c>
      <c r="P607" s="47">
        <v>2</v>
      </c>
      <c r="Q607" s="213">
        <v>45075</v>
      </c>
      <c r="R607" s="271">
        <f ca="1">IF(D607="","",IF(OFFSET(D607,-1,0)&lt;&gt;"","",IF(OR(J607="リード付け",J607="巻足し",J607="巻返しリード付け"),M607,VLOOKUP(D607,契約台帳!$A$3:$N$4986,14,FALSE))))</f>
        <v>1120</v>
      </c>
      <c r="S607" s="272">
        <f ca="1">IF(D607="","",IF(OFFSET(D607,-1,0)&lt;&gt;"","",IF(OR(J607="リード付け",J607="巻足し",J607="巻返しリード付け"),M607,VLOOKUP(D607,契約台帳!$A$3:$O$4986,15,FALSE))))</f>
        <v>1120</v>
      </c>
      <c r="T607" s="273">
        <f ca="1">IF(D607="","",IF(J607="リード付け",N607,IF(J607="巻返しリード付け",N607,IF(J607="巻足し",N607*P607+OFFSET(N607,1,0)*OFFSET(P607,1,0),VLOOKUP(D607,契約台帳!$A$3:$P$4986,16,FALSE)))))</f>
        <v>10000</v>
      </c>
      <c r="U607" s="40">
        <v>1</v>
      </c>
      <c r="V607" s="274" t="str">
        <f ca="1">IF(D607="","",IF(OFFSET(D607,-2,0)=D607,"",VLOOKUP(D607,契約台帳!$A$3:$R$4986,18,FALSE)))</f>
        <v/>
      </c>
      <c r="W607" s="269" t="str">
        <f ca="1">IF(D607="","",IF(T607="","",IF(OR(J607="巻足し",J607="巻返しリード付け"),"",IF(J607="巻返し",VLOOKUP(F607&amp;K607&amp;M607,製品マスタ!$M$5:$AD$5002,18,FALSE),IF(OR(J607="リード付け",J607="巻返しリード付け"),"原反コア",IF(J607="スリット",VLOOKUP(F607&amp;K607&amp;R607,製品マスタ!$N$5:$AD$5002,17,FALSE),""))))))</f>
        <v/>
      </c>
      <c r="X607" s="269" t="str">
        <f ca="1">IF(D607="","",IF(T607="","",IF(J607="巻足し","",IF(J607="巻返し",VLOOKUP(F607&amp;K607&amp;M607,製品マスタ!$M$5:$AE$5002,19,FALSE),IF(OR(J607="リード付け",J607="巻返しリード付け"),"",IF(J607="スリット",VLOOKUP(F607&amp;K607&amp;R607,製品マスタ!$N$5:$AE$5002,18,FALSE),""))))))</f>
        <v/>
      </c>
      <c r="Y607" s="275">
        <f ca="1">IF(D607="","",IF(T607="","",VLOOKUP(D607,契約台帳!$A$3:$Q$4986,17,FALSE)))</f>
        <v>2</v>
      </c>
      <c r="Z607" s="269" t="str">
        <f ca="1">IF(D607="","",IF(T607="","",VLOOKUP(D607,契約台帳!$A$3:$E$4986,5,FALSE)))</f>
        <v>リンテック㈱</v>
      </c>
      <c r="AA607" s="57"/>
      <c r="AB607" s="207" t="str">
        <f>IFERROR((VLOOKUP(F607&amp;K607&amp;M607,製品マスタ!$M$5:$AM$5002,27,FALSE)),"")</f>
        <v>原反ケース再利用</v>
      </c>
      <c r="AC607" s="33"/>
      <c r="AD607" s="189"/>
      <c r="AE607" s="54"/>
      <c r="AF607" s="55"/>
      <c r="AG607" s="43"/>
      <c r="AH607" s="47"/>
      <c r="AI607" s="30"/>
      <c r="AJ607" s="30"/>
      <c r="AK607" s="30"/>
      <c r="AL607" s="30"/>
      <c r="AM607" s="13"/>
      <c r="AN607" s="13"/>
      <c r="AO607" s="13"/>
      <c r="AP607" s="13"/>
      <c r="AQ607" s="13"/>
      <c r="AR607" s="14"/>
      <c r="AS607" s="15"/>
    </row>
    <row r="608" spans="1:45" s="17" customFormat="1" ht="30.95" hidden="1" customHeight="1" x14ac:dyDescent="0.2">
      <c r="A608" s="37"/>
      <c r="B608" s="38"/>
      <c r="C608" s="45"/>
      <c r="D608" s="31">
        <v>3712106</v>
      </c>
      <c r="E608" s="31"/>
      <c r="F608" s="268" t="str">
        <f>IF(D608="","",VLOOKUP(D608,契約台帳!$A$3:$K$4986,6,FALSE)&amp;VLOOKUP(D608,契約台帳!$A$3:$K$4986,7,FALSE)&amp;VLOOKUP(D608,契約台帳!$A$3:$K$4986,8,FALSE)&amp;VLOOKUP(D608,契約台帳!$A$3:$K$4986,9,FALSE)&amp;VLOOKUP(D608,契約台帳!$A$3:$K$4986,11,FALSE))</f>
        <v>3SNMLBMNGTBF</v>
      </c>
      <c r="G608" s="269" t="str">
        <f>IF(D608="","",VLOOKUP(F608,製品マスタ!$G$5:$H$5002,2,FALSE))</f>
        <v>S</v>
      </c>
      <c r="H608" s="269" t="str">
        <f>IF(D608="","",VLOOKUP(F608,製品マスタ!$G$5:$K$5002,5,FALSE))</f>
        <v>MNGTBF</v>
      </c>
      <c r="I608" s="270" t="str">
        <f>IF(D608="","",VLOOKUP(F608,製品マスタ!$G$5:$L$5002,6,FALSE))</f>
        <v>メタルミー　ネーマー　銀艶　Ｂ</v>
      </c>
      <c r="J608" s="210" t="s">
        <v>1164</v>
      </c>
      <c r="K608" s="270">
        <f>IF(D608="","",VLOOKUP(D608,契約台帳!$A$3:$L$4986,12,FALSE))</f>
        <v>50</v>
      </c>
      <c r="L608" s="270" t="str">
        <f>IF(D608="","",INDEX(製品マスタ!$Q$5:$Q$5002,MATCH('S4'!F608&amp;'S4'!K608,製品マスタ!$AO$5:$AO$5002,0)))</f>
        <v>T62</v>
      </c>
      <c r="M608" s="39">
        <v>1120</v>
      </c>
      <c r="N608" s="39">
        <v>5000</v>
      </c>
      <c r="O608" s="156">
        <v>1</v>
      </c>
      <c r="P608" s="47"/>
      <c r="Q608" s="57"/>
      <c r="R608" s="271" t="str">
        <f ca="1">IF(D608="","",IF(OFFSET(D608,-1,0)&lt;&gt;"","",IF(OR(J608="リード付け",J608="巻足し",J608="巻返しリード付け"),M608,VLOOKUP(D608,契約台帳!$A$3:$N$4986,14,FALSE))))</f>
        <v/>
      </c>
      <c r="S608" s="272" t="str">
        <f ca="1">IF(D608="","",IF(OFFSET(D608,-1,0)&lt;&gt;"","",IF(OR(J608="リード付け",J608="巻足し",J608="巻返しリード付け"),M608,VLOOKUP(D608,契約台帳!$A$3:$O$4986,15,FALSE))))</f>
        <v/>
      </c>
      <c r="T608" s="273">
        <f ca="1">IF(D608="","",IF(J608="リード付け",N608,IF(J608="巻返しリード付け",N608,IF(J608="巻足し",N608*P608+OFFSET(N608,1,0)*OFFSET(P608,1,0),VLOOKUP(D608,契約台帳!$A$3:$P$4986,16,FALSE)))))</f>
        <v>0</v>
      </c>
      <c r="U608" s="40"/>
      <c r="V608" s="274">
        <f ca="1">IF(D608="","",IF(OFFSET(D608,-2,0)=D608,"",VLOOKUP(D608,契約台帳!$A$3:$R$4986,18,FALSE)))</f>
        <v>15</v>
      </c>
      <c r="W608" s="269" t="str">
        <f ca="1">IF(D608="","",IF(T608="","",IF(OR(J608="巻足し",J608="巻返しリード付け"),"",IF(J608="巻返し",VLOOKUP(F608&amp;K608&amp;M608,製品マスタ!$M$5:$AD$5002,18,FALSE),IF(OR(J608="リード付け",J608="巻返しリード付け"),"原反コア",IF(J608="スリット",VLOOKUP(F608&amp;K608&amp;R608,製品マスタ!$N$5:$AD$5002,17,FALSE),""))))))</f>
        <v/>
      </c>
      <c r="X608" s="269" t="str">
        <f ca="1">IF(D608="","",IF(T608="","",IF(J608="巻足し","",IF(J608="巻返し",VLOOKUP(F608&amp;K608&amp;M608,製品マスタ!$M$5:$AE$5002,19,FALSE),IF(OR(J608="リード付け",J608="巻返しリード付け"),"",IF(J608="スリット",VLOOKUP(F608&amp;K608&amp;R608,製品マスタ!$N$5:$AE$5002,18,FALSE),""))))))</f>
        <v/>
      </c>
      <c r="Y608" s="275">
        <f ca="1">IF(D608="","",IF(T608="","",VLOOKUP(D608,契約台帳!$A$3:$Q$4986,17,FALSE)))</f>
        <v>2</v>
      </c>
      <c r="Z608" s="269" t="str">
        <f ca="1">IF(D608="","",IF(T608="","",VLOOKUP(D608,契約台帳!$A$3:$E$4986,5,FALSE)))</f>
        <v>リンテック㈱</v>
      </c>
      <c r="AA608" s="57"/>
      <c r="AB608" s="207" t="str">
        <f>IFERROR((VLOOKUP(F608&amp;K608&amp;M608,製品マスタ!$M$5:$AM$5002,27,FALSE)),"")</f>
        <v>原反ケース再利用</v>
      </c>
      <c r="AC608" s="33"/>
      <c r="AD608" s="189"/>
      <c r="AE608" s="54"/>
      <c r="AF608" s="55"/>
      <c r="AG608" s="43"/>
      <c r="AH608" s="47"/>
      <c r="AI608" s="30"/>
      <c r="AJ608" s="30"/>
      <c r="AK608" s="30"/>
      <c r="AL608" s="30"/>
      <c r="AM608" s="13"/>
      <c r="AN608" s="13"/>
      <c r="AO608" s="13"/>
      <c r="AP608" s="13"/>
      <c r="AQ608" s="13"/>
      <c r="AR608" s="14"/>
      <c r="AS608" s="15"/>
    </row>
    <row r="609" spans="1:45" s="17" customFormat="1" ht="30.95" hidden="1" customHeight="1" x14ac:dyDescent="0.2">
      <c r="A609" s="37"/>
      <c r="B609" s="38"/>
      <c r="C609" s="45"/>
      <c r="D609" s="31"/>
      <c r="E609" s="31"/>
      <c r="F609" s="268"/>
      <c r="G609" s="269"/>
      <c r="H609" s="269"/>
      <c r="I609" s="270"/>
      <c r="J609" s="210"/>
      <c r="K609" s="270"/>
      <c r="L609" s="270"/>
      <c r="M609" s="39"/>
      <c r="N609" s="39"/>
      <c r="O609" s="156"/>
      <c r="P609" s="47"/>
      <c r="Q609" s="57"/>
      <c r="R609" s="271"/>
      <c r="S609" s="272"/>
      <c r="T609" s="273"/>
      <c r="U609" s="40"/>
      <c r="V609" s="274"/>
      <c r="W609" s="269"/>
      <c r="X609" s="269"/>
      <c r="Y609" s="275"/>
      <c r="Z609" s="269"/>
      <c r="AA609" s="57"/>
      <c r="AB609" s="207"/>
      <c r="AC609" s="33"/>
      <c r="AD609" s="189"/>
      <c r="AE609" s="54"/>
      <c r="AF609" s="55"/>
      <c r="AG609" s="43"/>
      <c r="AH609" s="47"/>
      <c r="AI609" s="30"/>
      <c r="AJ609" s="30"/>
      <c r="AK609" s="30"/>
      <c r="AL609" s="30"/>
      <c r="AM609" s="13"/>
      <c r="AN609" s="13"/>
      <c r="AO609" s="13"/>
      <c r="AP609" s="13"/>
      <c r="AQ609" s="13"/>
      <c r="AR609" s="14"/>
      <c r="AS609" s="15"/>
    </row>
    <row r="610" spans="1:45" s="17" customFormat="1" ht="30.95" hidden="1" customHeight="1" x14ac:dyDescent="0.2">
      <c r="A610" s="37"/>
      <c r="B610" s="38"/>
      <c r="C610" s="45"/>
      <c r="D610" s="31">
        <v>3712106</v>
      </c>
      <c r="E610" s="31">
        <v>4161931</v>
      </c>
      <c r="F610" s="268" t="str">
        <f>IF(D610="","",VLOOKUP(D610,契約台帳!$A$3:$K$4986,6,FALSE)&amp;VLOOKUP(D610,契約台帳!$A$3:$K$4986,7,FALSE)&amp;VLOOKUP(D610,契約台帳!$A$3:$K$4986,8,FALSE)&amp;VLOOKUP(D610,契約台帳!$A$3:$K$4986,9,FALSE)&amp;VLOOKUP(D610,契約台帳!$A$3:$K$4986,11,FALSE))</f>
        <v>3SNMLBMNGTBF</v>
      </c>
      <c r="G610" s="269" t="str">
        <f>IF(D610="","",VLOOKUP(F610,製品マスタ!$G$5:$H$5002,2,FALSE))</f>
        <v>S</v>
      </c>
      <c r="H610" s="269" t="str">
        <f>IF(D610="","",VLOOKUP(F610,製品マスタ!$G$5:$K$5002,5,FALSE))</f>
        <v>MNGTBF</v>
      </c>
      <c r="I610" s="270" t="str">
        <f>IF(D610="","",VLOOKUP(F610,製品マスタ!$G$5:$L$5002,6,FALSE))</f>
        <v>メタルミー　ネーマー　銀艶　Ｂ</v>
      </c>
      <c r="J610" s="210" t="s">
        <v>1164</v>
      </c>
      <c r="K610" s="270">
        <f>IF(D610="","",VLOOKUP(D610,契約台帳!$A$3:$L$4986,12,FALSE))</f>
        <v>50</v>
      </c>
      <c r="L610" s="270" t="str">
        <f>IF(D610="","",INDEX(製品マスタ!$Q$5:$Q$5002,MATCH('S4'!F610&amp;'S4'!K610,製品マスタ!$AO$5:$AO$5002,0)))</f>
        <v>T62</v>
      </c>
      <c r="M610" s="39">
        <v>1120</v>
      </c>
      <c r="N610" s="39">
        <v>5000</v>
      </c>
      <c r="O610" s="156">
        <v>14</v>
      </c>
      <c r="P610" s="47">
        <v>2</v>
      </c>
      <c r="Q610" s="213">
        <v>45075</v>
      </c>
      <c r="R610" s="271">
        <f ca="1">IF(D610="","",IF(OFFSET(D610,-1,0)&lt;&gt;"","",IF(OR(J610="リード付け",J610="巻足し",J610="巻返しリード付け"),M610,VLOOKUP(D610,契約台帳!$A$3:$N$4986,14,FALSE))))</f>
        <v>1120</v>
      </c>
      <c r="S610" s="272">
        <f ca="1">IF(D610="","",IF(OFFSET(D610,-1,0)&lt;&gt;"","",IF(OR(J610="リード付け",J610="巻足し",J610="巻返しリード付け"),M610,VLOOKUP(D610,契約台帳!$A$3:$O$4986,15,FALSE))))</f>
        <v>1120</v>
      </c>
      <c r="T610" s="273">
        <f ca="1">IF(D610="","",IF(J610="リード付け",N610,IF(J610="巻返しリード付け",N610,IF(J610="巻足し",N610*P610+OFFSET(N610,1,0)*OFFSET(P610,1,0),VLOOKUP(D610,契約台帳!$A$3:$P$4986,16,FALSE)))))</f>
        <v>10000</v>
      </c>
      <c r="U610" s="40">
        <v>7</v>
      </c>
      <c r="V610" s="274" t="str">
        <f ca="1">IF(D610="","",IF(OFFSET(D610,-2,0)=D610,"",VLOOKUP(D610,契約台帳!$A$3:$R$4986,18,FALSE)))</f>
        <v/>
      </c>
      <c r="W610" s="269" t="str">
        <f ca="1">IF(D610="","",IF(T610="","",IF(OR(J610="巻足し",J610="巻返しリード付け"),"",IF(J610="巻返し",VLOOKUP(F610&amp;K610&amp;M610,製品マスタ!$M$5:$AD$5002,18,FALSE),IF(OR(J610="リード付け",J610="巻返しリード付け"),"原反コア",IF(J610="スリット",VLOOKUP(F610&amp;K610&amp;R610,製品マスタ!$N$5:$AD$5002,17,FALSE),""))))))</f>
        <v/>
      </c>
      <c r="X610" s="269" t="str">
        <f ca="1">IF(D610="","",IF(T610="","",IF(J610="巻足し","",IF(J610="巻返し",VLOOKUP(F610&amp;K610&amp;M610,製品マスタ!$M$5:$AE$5002,19,FALSE),IF(OR(J610="リード付け",J610="巻返しリード付け"),"",IF(J610="スリット",VLOOKUP(F610&amp;K610&amp;R610,製品マスタ!$N$5:$AE$5002,18,FALSE),""))))))</f>
        <v/>
      </c>
      <c r="Y610" s="275">
        <f ca="1">IF(D610="","",IF(T610="","",VLOOKUP(D610,契約台帳!$A$3:$Q$4986,17,FALSE)))</f>
        <v>2</v>
      </c>
      <c r="Z610" s="269" t="str">
        <f ca="1">IF(D610="","",IF(T610="","",VLOOKUP(D610,契約台帳!$A$3:$E$4986,5,FALSE)))</f>
        <v>リンテック㈱</v>
      </c>
      <c r="AA610" s="57"/>
      <c r="AB610" s="207" t="str">
        <f>IFERROR((VLOOKUP(F610&amp;K610&amp;M610,製品マスタ!$M$5:$AM$5002,27,FALSE)),"")</f>
        <v>原反ケース再利用</v>
      </c>
      <c r="AC610" s="33"/>
      <c r="AD610" s="189"/>
      <c r="AE610" s="54"/>
      <c r="AF610" s="55"/>
      <c r="AG610" s="43"/>
      <c r="AH610" s="47"/>
      <c r="AI610" s="30"/>
      <c r="AJ610" s="30"/>
      <c r="AK610" s="30"/>
      <c r="AL610" s="30"/>
      <c r="AM610" s="13"/>
      <c r="AN610" s="13"/>
      <c r="AO610" s="13"/>
      <c r="AP610" s="13"/>
      <c r="AQ610" s="13"/>
      <c r="AR610" s="14"/>
      <c r="AS610" s="15"/>
    </row>
    <row r="611" spans="1:45" s="17" customFormat="1" ht="30.95" hidden="1" customHeight="1" x14ac:dyDescent="0.2">
      <c r="A611" s="37"/>
      <c r="B611" s="38"/>
      <c r="C611" s="45"/>
      <c r="D611" s="31"/>
      <c r="E611" s="31"/>
      <c r="F611" s="268"/>
      <c r="G611" s="269"/>
      <c r="H611" s="269"/>
      <c r="I611" s="270"/>
      <c r="J611" s="210"/>
      <c r="K611" s="270"/>
      <c r="L611" s="270"/>
      <c r="M611" s="39"/>
      <c r="N611" s="39"/>
      <c r="O611" s="156"/>
      <c r="P611" s="47"/>
      <c r="Q611" s="57"/>
      <c r="R611" s="271"/>
      <c r="S611" s="272"/>
      <c r="T611" s="273"/>
      <c r="U611" s="40"/>
      <c r="V611" s="274"/>
      <c r="W611" s="269"/>
      <c r="X611" s="269"/>
      <c r="Y611" s="275"/>
      <c r="Z611" s="269"/>
      <c r="AA611" s="57"/>
      <c r="AB611" s="207"/>
      <c r="AC611" s="33"/>
      <c r="AD611" s="189"/>
      <c r="AE611" s="54"/>
      <c r="AF611" s="55"/>
      <c r="AG611" s="43"/>
      <c r="AH611" s="47"/>
      <c r="AI611" s="30"/>
      <c r="AJ611" s="30"/>
      <c r="AK611" s="30"/>
      <c r="AL611" s="30"/>
      <c r="AM611" s="13"/>
      <c r="AN611" s="13"/>
      <c r="AO611" s="13"/>
      <c r="AP611" s="13"/>
      <c r="AQ611" s="13"/>
      <c r="AR611" s="14"/>
      <c r="AS611" s="15"/>
    </row>
    <row r="612" spans="1:45" s="17" customFormat="1" ht="30.95" hidden="1" customHeight="1" x14ac:dyDescent="0.2">
      <c r="A612" s="37" t="s">
        <v>1169</v>
      </c>
      <c r="B612" s="38" t="s">
        <v>443</v>
      </c>
      <c r="C612" s="45"/>
      <c r="D612" s="31">
        <v>3712104</v>
      </c>
      <c r="E612" s="31">
        <v>4161925</v>
      </c>
      <c r="F612" s="268" t="str">
        <f>IF(D612="","",VLOOKUP(D612,契約台帳!$A$3:$K$4986,6,FALSE)&amp;VLOOKUP(D612,契約台帳!$A$3:$K$4986,7,FALSE)&amp;VLOOKUP(D612,契約台帳!$A$3:$K$4986,8,FALSE)&amp;VLOOKUP(D612,契約台帳!$A$3:$K$4986,9,FALSE)&amp;VLOOKUP(D612,契約台帳!$A$3:$K$4986,11,FALSE))</f>
        <v>3SNMLBMNGKBF</v>
      </c>
      <c r="G612" s="269" t="str">
        <f>IF(D612="","",VLOOKUP(F612,製品マスタ!$G$5:$H$5002,2,FALSE))</f>
        <v>S</v>
      </c>
      <c r="H612" s="269" t="str">
        <f>IF(D612="","",VLOOKUP(F612,製品マスタ!$G$5:$K$5002,5,FALSE))</f>
        <v>MNGKBF</v>
      </c>
      <c r="I612" s="270" t="str">
        <f>IF(D612="","",VLOOKUP(F612,製品マスタ!$G$5:$L$5002,6,FALSE))</f>
        <v>メタルミー　ネーマー銀消　Ｂ</v>
      </c>
      <c r="J612" s="210" t="s">
        <v>1164</v>
      </c>
      <c r="K612" s="270">
        <f>IF(D612="","",VLOOKUP(D612,契約台帳!$A$3:$L$4986,12,FALSE))</f>
        <v>75</v>
      </c>
      <c r="L612" s="270" t="str">
        <f>IF(D612="","",INDEX(製品マスタ!$Q$5:$Q$5002,MATCH('S4'!F612&amp;'S4'!K612,製品マスタ!$AO$5:$AO$5002,0)))</f>
        <v>MAT</v>
      </c>
      <c r="M612" s="39">
        <v>1050</v>
      </c>
      <c r="N612" s="39">
        <v>2000</v>
      </c>
      <c r="O612" s="156">
        <v>2</v>
      </c>
      <c r="P612" s="47">
        <v>2</v>
      </c>
      <c r="Q612" s="213">
        <v>45075</v>
      </c>
      <c r="R612" s="271">
        <f ca="1">IF(D612="","",IF(OFFSET(D612,-1,0)&lt;&gt;"","",IF(OR(J612="リード付け",J612="巻足し",J612="巻返しリード付け"),M612,VLOOKUP(D612,契約台帳!$A$3:$N$4986,14,FALSE))))</f>
        <v>1050</v>
      </c>
      <c r="S612" s="272">
        <f ca="1">IF(D612="","",IF(OFFSET(D612,-1,0)&lt;&gt;"","",IF(OR(J612="リード付け",J612="巻足し",J612="巻返しリード付け"),M612,VLOOKUP(D612,契約台帳!$A$3:$O$4986,15,FALSE))))</f>
        <v>1050</v>
      </c>
      <c r="T612" s="273">
        <f ca="1">IF(D612="","",IF(J612="リード付け",N612,IF(J612="巻返しリード付け",N612,IF(J612="巻足し",N612*P612+OFFSET(N612,1,0)*OFFSET(P612,1,0),VLOOKUP(D612,契約台帳!$A$3:$P$4986,16,FALSE)))))</f>
        <v>4000</v>
      </c>
      <c r="U612" s="40">
        <v>1</v>
      </c>
      <c r="V612" s="274">
        <f ca="1">IF(D612="","",IF(OFFSET(D612,-2,0)=D612,"",VLOOKUP(D612,契約台帳!$A$3:$R$4986,18,FALSE)))</f>
        <v>2</v>
      </c>
      <c r="W612" s="269" t="str">
        <f ca="1">IF(D612="","",IF(T612="","",IF(OR(J612="巻足し",J612="巻返しリード付け"),"",IF(J612="巻返し",VLOOKUP(F612&amp;K612&amp;M612,製品マスタ!$M$5:$AD$5002,18,FALSE),IF(OR(J612="リード付け",J612="巻返しリード付け"),"原反コア",IF(J612="スリット",VLOOKUP(F612&amp;K612&amp;R612,製品マスタ!$N$5:$AD$5002,17,FALSE),""))))))</f>
        <v/>
      </c>
      <c r="X612" s="269" t="str">
        <f ca="1">IF(D612="","",IF(T612="","",IF(J612="巻足し","",IF(J612="巻返し",VLOOKUP(F612&amp;K612&amp;M612,製品マスタ!$M$5:$AE$5002,19,FALSE),IF(OR(J612="リード付け",J612="巻返しリード付け"),"",IF(J612="スリット",VLOOKUP(F612&amp;K612&amp;R612,製品マスタ!$N$5:$AE$5002,18,FALSE),""))))))</f>
        <v/>
      </c>
      <c r="Y612" s="275">
        <f ca="1">IF(D612="","",IF(T612="","",VLOOKUP(D612,契約台帳!$A$3:$Q$4986,17,FALSE)))</f>
        <v>2</v>
      </c>
      <c r="Z612" s="269" t="str">
        <f ca="1">IF(D612="","",IF(T612="","",VLOOKUP(D612,契約台帳!$A$3:$E$4986,5,FALSE)))</f>
        <v>リンテック㈱</v>
      </c>
      <c r="AA612" s="57"/>
      <c r="AB612" s="207">
        <f>IFERROR((VLOOKUP(F612&amp;K612&amp;M612,製品マスタ!$M$5:$AM$5002,27,FALSE)),"")</f>
        <v>0</v>
      </c>
      <c r="AC612" s="33"/>
      <c r="AD612" s="189"/>
      <c r="AE612" s="54"/>
      <c r="AF612" s="55">
        <f>+M612*N612*O612/1000</f>
        <v>4200</v>
      </c>
      <c r="AG612" s="43"/>
      <c r="AH612" s="47"/>
      <c r="AI612" s="30"/>
      <c r="AJ612" s="30"/>
      <c r="AK612" s="30"/>
      <c r="AL612" s="30"/>
      <c r="AM612" s="13"/>
      <c r="AN612" s="13"/>
      <c r="AO612" s="13"/>
      <c r="AP612" s="13"/>
      <c r="AQ612" s="13"/>
      <c r="AR612" s="14"/>
      <c r="AS612" s="15"/>
    </row>
    <row r="613" spans="1:45" s="17" customFormat="1" ht="30.95" hidden="1" customHeight="1" x14ac:dyDescent="0.2">
      <c r="A613" s="37"/>
      <c r="B613" s="38"/>
      <c r="C613" s="45"/>
      <c r="D613" s="31"/>
      <c r="E613" s="31"/>
      <c r="F613" s="268"/>
      <c r="G613" s="269"/>
      <c r="H613" s="269"/>
      <c r="I613" s="270"/>
      <c r="J613" s="210"/>
      <c r="K613" s="270"/>
      <c r="L613" s="270"/>
      <c r="M613" s="39"/>
      <c r="N613" s="39"/>
      <c r="O613" s="156"/>
      <c r="P613" s="47"/>
      <c r="Q613" s="57"/>
      <c r="R613" s="271"/>
      <c r="S613" s="272"/>
      <c r="T613" s="273"/>
      <c r="U613" s="40"/>
      <c r="V613" s="274"/>
      <c r="W613" s="269"/>
      <c r="X613" s="269"/>
      <c r="Y613" s="275"/>
      <c r="Z613" s="269"/>
      <c r="AA613" s="57"/>
      <c r="AB613" s="207"/>
      <c r="AC613" s="33"/>
      <c r="AD613" s="189"/>
      <c r="AE613" s="54"/>
      <c r="AF613" s="55"/>
      <c r="AG613" s="43"/>
      <c r="AH613" s="47"/>
      <c r="AI613" s="30"/>
      <c r="AJ613" s="30"/>
      <c r="AK613" s="30"/>
      <c r="AL613" s="30"/>
      <c r="AM613" s="13"/>
      <c r="AN613" s="13"/>
      <c r="AO613" s="13"/>
      <c r="AP613" s="13"/>
      <c r="AQ613" s="13"/>
      <c r="AR613" s="14"/>
      <c r="AS613" s="15"/>
    </row>
    <row r="614" spans="1:45" s="17" customFormat="1" ht="30.95" hidden="1" customHeight="1" x14ac:dyDescent="0.2">
      <c r="A614" s="37"/>
      <c r="B614" s="38"/>
      <c r="C614" s="45"/>
      <c r="D614" s="31">
        <v>3708722</v>
      </c>
      <c r="E614" s="31">
        <v>4161938</v>
      </c>
      <c r="F614" s="268" t="str">
        <f>IF(D614="","",VLOOKUP(D614,契約台帳!$A$3:$K$4986,6,FALSE)&amp;VLOOKUP(D614,契約台帳!$A$3:$K$4986,7,FALSE)&amp;VLOOKUP(D614,契約台帳!$A$3:$K$4986,8,FALSE)&amp;VLOOKUP(D614,契約台帳!$A$3:$K$4986,9,FALSE)&amp;VLOOKUP(D614,契約台帳!$A$3:$K$4986,11,FALSE))</f>
        <v>3SNMCLBHLGTV</v>
      </c>
      <c r="G614" s="269" t="str">
        <f>IF(D614="","",VLOOKUP(F614,製品マスタ!$G$5:$H$5002,2,FALSE))</f>
        <v>S</v>
      </c>
      <c r="H614" s="269" t="str">
        <f>IF(D614="","",VLOOKUP(F614,製品マスタ!$G$5:$K$5002,5,FALSE))</f>
        <v>HLGTV</v>
      </c>
      <c r="I614" s="270" t="str">
        <f>IF(D614="","",VLOOKUP(F614,製品マスタ!$G$5:$L$5002,6,FALSE))</f>
        <v>メタルミー　ヘヤライン　銀艶Ｖ</v>
      </c>
      <c r="J614" s="210" t="s">
        <v>935</v>
      </c>
      <c r="K614" s="270">
        <f>IF(D614="","",VLOOKUP(D614,契約台帳!$A$3:$L$4986,12,FALSE))</f>
        <v>50</v>
      </c>
      <c r="L614" s="270" t="str">
        <f>IF(D614="","",INDEX(製品マスタ!$Q$5:$Q$5002,MATCH('S4'!F614&amp;'S4'!K614,製品マスタ!$AO$5:$AO$5002,0)))</f>
        <v>BRIGHT</v>
      </c>
      <c r="M614" s="39">
        <v>1005</v>
      </c>
      <c r="N614" s="39">
        <v>4100</v>
      </c>
      <c r="O614" s="156">
        <v>1</v>
      </c>
      <c r="P614" s="47">
        <v>2</v>
      </c>
      <c r="Q614" s="213">
        <v>45042</v>
      </c>
      <c r="R614" s="271">
        <f ca="1">IF(D614="","",IF(OFFSET(D614,-1,0)&lt;&gt;"","",IF(OR(J614="リード付け",J614="巻足し",J614="巻返しリード付け"),M614,VLOOKUP(D614,契約台帳!$A$3:$N$4986,14,FALSE))))</f>
        <v>1005</v>
      </c>
      <c r="S614" s="272">
        <f ca="1">IF(D614="","",IF(OFFSET(D614,-1,0)&lt;&gt;"","",IF(OR(J614="リード付け",J614="巻足し",J614="巻返しリード付け"),M614,VLOOKUP(D614,契約台帳!$A$3:$O$4986,15,FALSE))))</f>
        <v>1005</v>
      </c>
      <c r="T614" s="273">
        <f ca="1">IF(D614="","",IF(J614="リード付け",N614,IF(J614="巻返しリード付け",N614,IF(J614="巻足し",N614*P614+OFFSET(N614,1,0)*OFFSET(P614,1,0),VLOOKUP(D614,契約台帳!$A$3:$P$4986,16,FALSE)))))</f>
        <v>8200</v>
      </c>
      <c r="U614" s="40">
        <v>1</v>
      </c>
      <c r="V614" s="274">
        <f ca="1">IF(D614="","",IF(OFFSET(D614,-2,0)=D614,"",VLOOKUP(D614,契約台帳!$A$3:$R$4986,18,FALSE)))</f>
        <v>2</v>
      </c>
      <c r="W614" s="269" t="str">
        <f ca="1">IF(D614="","",IF(T614="","",IF(OR(J614="巻足し",J614="巻返しリード付け"),"",IF(J614="巻返し",VLOOKUP(F614&amp;K614&amp;M614,製品マスタ!$M$5:$AD$5002,18,FALSE),IF(OR(J614="リード付け",J614="巻返しリード付け"),"原反コア",IF(J614="スリット",VLOOKUP(F614&amp;K614&amp;R614,製品マスタ!$N$5:$AD$5002,17,FALSE),""))))))</f>
        <v/>
      </c>
      <c r="X614" s="269" t="str">
        <f ca="1">IF(D614="","",IF(T614="","",IF(J614="巻足し","",IF(J614="巻返し",VLOOKUP(F614&amp;K614&amp;M614,製品マスタ!$M$5:$AE$5002,19,FALSE),IF(OR(J614="リード付け",J614="巻返しリード付け"),"",IF(J614="スリット",VLOOKUP(F614&amp;K614&amp;R614,製品マスタ!$N$5:$AE$5002,18,FALSE),""))))))</f>
        <v/>
      </c>
      <c r="Y614" s="275">
        <f ca="1">IF(D614="","",IF(T614="","",VLOOKUP(D614,契約台帳!$A$3:$Q$4986,17,FALSE)))</f>
        <v>2</v>
      </c>
      <c r="Z614" s="269" t="str">
        <f ca="1">IF(D614="","",IF(T614="","",VLOOKUP(D614,契約台帳!$A$3:$E$4986,5,FALSE)))</f>
        <v>リンテック㈱</v>
      </c>
      <c r="AA614" s="57"/>
      <c r="AB614" s="303">
        <f>IFERROR((VLOOKUP(F614&amp;K614&amp;M614,製品マスタ!$M$5:$AM$5002,27,FALSE)),"")</f>
        <v>0</v>
      </c>
      <c r="AC614" s="33"/>
      <c r="AD614" s="189"/>
      <c r="AE614" s="54"/>
      <c r="AF614" s="55">
        <f>+M614*N614*O614/1000</f>
        <v>4120.5</v>
      </c>
      <c r="AG614" s="43"/>
      <c r="AH614" s="47"/>
      <c r="AI614" s="30"/>
      <c r="AJ614" s="30"/>
      <c r="AK614" s="30"/>
      <c r="AL614" s="30"/>
      <c r="AM614" s="13"/>
      <c r="AN614" s="13"/>
      <c r="AO614" s="13"/>
      <c r="AP614" s="13"/>
      <c r="AQ614" s="13"/>
      <c r="AR614" s="14"/>
      <c r="AS614" s="15"/>
    </row>
    <row r="615" spans="1:45" s="17" customFormat="1" ht="30.95" hidden="1" customHeight="1" x14ac:dyDescent="0.2">
      <c r="A615" s="37"/>
      <c r="B615" s="38"/>
      <c r="C615" s="45"/>
      <c r="D615" s="31">
        <v>3712113</v>
      </c>
      <c r="E615" s="31"/>
      <c r="F615" s="268" t="str">
        <f>IF(D615="","",VLOOKUP(D615,契約台帳!$A$3:$K$4986,6,FALSE)&amp;VLOOKUP(D615,契約台帳!$A$3:$K$4986,7,FALSE)&amp;VLOOKUP(D615,契約台帳!$A$3:$K$4986,8,FALSE)&amp;VLOOKUP(D615,契約台帳!$A$3:$K$4986,9,FALSE)&amp;VLOOKUP(D615,契約台帳!$A$3:$K$4986,11,FALSE))</f>
        <v>3SNMCLBHLGTV</v>
      </c>
      <c r="G615" s="269" t="str">
        <f>IF(D615="","",VLOOKUP(F615,製品マスタ!$G$5:$H$5002,2,FALSE))</f>
        <v>S</v>
      </c>
      <c r="H615" s="269" t="str">
        <f>IF(D615="","",VLOOKUP(F615,製品マスタ!$G$5:$K$5002,5,FALSE))</f>
        <v>HLGTV</v>
      </c>
      <c r="I615" s="270" t="str">
        <f>IF(D615="","",VLOOKUP(F615,製品マスタ!$G$5:$L$5002,6,FALSE))</f>
        <v>メタルミー　ヘヤライン　銀艶Ｖ</v>
      </c>
      <c r="J615" s="210" t="s">
        <v>935</v>
      </c>
      <c r="K615" s="270">
        <f>IF(D615="","",VLOOKUP(D615,契約台帳!$A$3:$L$4986,12,FALSE))</f>
        <v>50</v>
      </c>
      <c r="L615" s="270" t="str">
        <f>IF(D615="","",INDEX(製品マスタ!$Q$5:$Q$5002,MATCH('S4'!F615&amp;'S4'!K615,製品マスタ!$AO$5:$AO$5002,0)))</f>
        <v>BRIGHT</v>
      </c>
      <c r="M615" s="39">
        <v>1005</v>
      </c>
      <c r="N615" s="39">
        <v>4100</v>
      </c>
      <c r="O615" s="156">
        <v>1</v>
      </c>
      <c r="P615" s="47"/>
      <c r="Q615" s="213">
        <v>45075</v>
      </c>
      <c r="R615" s="271" t="str">
        <f ca="1">IF(D615="","",IF(OFFSET(D615,-1,0)&lt;&gt;"","",IF(OR(J615="リード付け",J615="巻足し",J615="巻返しリード付け"),M615,VLOOKUP(D615,契約台帳!$A$3:$N$4986,14,FALSE))))</f>
        <v/>
      </c>
      <c r="S615" s="272" t="str">
        <f ca="1">IF(D615="","",IF(OFFSET(D615,-1,0)&lt;&gt;"","",IF(OR(J615="リード付け",J615="巻足し",J615="巻返しリード付け"),M615,VLOOKUP(D615,契約台帳!$A$3:$O$4986,15,FALSE))))</f>
        <v/>
      </c>
      <c r="T615" s="273">
        <f ca="1">IF(D615="","",IF(J615="リード付け",N615,IF(J615="巻返しリード付け",N615,IF(J615="巻足し",N615*P615+OFFSET(N615,1,0)*OFFSET(P615,1,0),VLOOKUP(D615,契約台帳!$A$3:$P$4986,16,FALSE)))))</f>
        <v>0</v>
      </c>
      <c r="U615" s="40"/>
      <c r="V615" s="274">
        <f ca="1">IF(D615="","",IF(OFFSET(D615,-2,0)=D615,"",VLOOKUP(D615,契約台帳!$A$3:$R$4986,18,FALSE)))</f>
        <v>3</v>
      </c>
      <c r="W615" s="269" t="str">
        <f ca="1">IF(D615="","",IF(T615="","",IF(OR(J615="巻足し",J615="巻返しリード付け"),"",IF(J615="巻返し",VLOOKUP(F615&amp;K615&amp;M615,製品マスタ!$M$5:$AD$5002,18,FALSE),IF(OR(J615="リード付け",J615="巻返しリード付け"),"原反コア",IF(J615="スリット",VLOOKUP(F615&amp;K615&amp;R615,製品マスタ!$N$5:$AD$5002,17,FALSE),""))))))</f>
        <v/>
      </c>
      <c r="X615" s="269" t="str">
        <f ca="1">IF(D615="","",IF(T615="","",IF(J615="巻足し","",IF(J615="巻返し",VLOOKUP(F615&amp;K615&amp;M615,製品マスタ!$M$5:$AE$5002,19,FALSE),IF(OR(J615="リード付け",J615="巻返しリード付け"),"",IF(J615="スリット",VLOOKUP(F615&amp;K615&amp;R615,製品マスタ!$N$5:$AE$5002,18,FALSE),""))))))</f>
        <v/>
      </c>
      <c r="Y615" s="275">
        <f ca="1">IF(D615="","",IF(T615="","",VLOOKUP(D615,契約台帳!$A$3:$Q$4986,17,FALSE)))</f>
        <v>2</v>
      </c>
      <c r="Z615" s="269" t="str">
        <f ca="1">IF(D615="","",IF(T615="","",VLOOKUP(D615,契約台帳!$A$3:$E$4986,5,FALSE)))</f>
        <v>リンテック㈱</v>
      </c>
      <c r="AA615" s="57"/>
      <c r="AB615" s="303">
        <f>IFERROR((VLOOKUP(F615&amp;K615&amp;M615,製品マスタ!$M$5:$AM$5002,27,FALSE)),"")</f>
        <v>0</v>
      </c>
      <c r="AC615" s="33"/>
      <c r="AD615" s="189"/>
      <c r="AE615" s="54"/>
      <c r="AF615" s="55">
        <f>+M615*N615*O615/1000</f>
        <v>4120.5</v>
      </c>
      <c r="AG615" s="43"/>
      <c r="AH615" s="47"/>
      <c r="AI615" s="30"/>
      <c r="AJ615" s="30"/>
      <c r="AK615" s="30"/>
      <c r="AL615" s="30"/>
      <c r="AM615" s="13"/>
      <c r="AN615" s="13"/>
      <c r="AO615" s="13"/>
      <c r="AP615" s="13"/>
      <c r="AQ615" s="13"/>
      <c r="AR615" s="14"/>
      <c r="AS615" s="15"/>
    </row>
    <row r="616" spans="1:45" s="17" customFormat="1" ht="30.95" hidden="1" customHeight="1" x14ac:dyDescent="0.2">
      <c r="A616" s="37"/>
      <c r="B616" s="38"/>
      <c r="C616" s="45"/>
      <c r="D616" s="31"/>
      <c r="E616" s="31"/>
      <c r="F616" s="268"/>
      <c r="G616" s="269"/>
      <c r="H616" s="269"/>
      <c r="I616" s="270"/>
      <c r="J616" s="210"/>
      <c r="K616" s="270"/>
      <c r="L616" s="270"/>
      <c r="M616" s="39"/>
      <c r="N616" s="39"/>
      <c r="O616" s="156"/>
      <c r="P616" s="47"/>
      <c r="Q616" s="57"/>
      <c r="R616" s="271"/>
      <c r="S616" s="272"/>
      <c r="T616" s="273"/>
      <c r="U616" s="40"/>
      <c r="V616" s="274"/>
      <c r="W616" s="269"/>
      <c r="X616" s="269"/>
      <c r="Y616" s="275"/>
      <c r="Z616" s="269"/>
      <c r="AA616" s="57"/>
      <c r="AB616" s="207"/>
      <c r="AC616" s="33"/>
      <c r="AD616" s="189"/>
      <c r="AE616" s="54"/>
      <c r="AF616" s="55"/>
      <c r="AG616" s="43"/>
      <c r="AH616" s="47"/>
      <c r="AI616" s="30"/>
      <c r="AJ616" s="30"/>
      <c r="AK616" s="30"/>
      <c r="AL616" s="30"/>
      <c r="AM616" s="13"/>
      <c r="AN616" s="13"/>
      <c r="AO616" s="13"/>
      <c r="AP616" s="13"/>
      <c r="AQ616" s="13"/>
      <c r="AR616" s="14"/>
      <c r="AS616" s="15"/>
    </row>
    <row r="617" spans="1:45" s="17" customFormat="1" ht="30.95" hidden="1" customHeight="1" x14ac:dyDescent="0.2">
      <c r="A617" s="37"/>
      <c r="B617" s="38"/>
      <c r="C617" s="45"/>
      <c r="D617" s="31">
        <v>3712113</v>
      </c>
      <c r="E617" s="31">
        <v>4161939</v>
      </c>
      <c r="F617" s="268" t="str">
        <f>IF(D617="","",VLOOKUP(D617,契約台帳!$A$3:$K$4986,6,FALSE)&amp;VLOOKUP(D617,契約台帳!$A$3:$K$4986,7,FALSE)&amp;VLOOKUP(D617,契約台帳!$A$3:$K$4986,8,FALSE)&amp;VLOOKUP(D617,契約台帳!$A$3:$K$4986,9,FALSE)&amp;VLOOKUP(D617,契約台帳!$A$3:$K$4986,11,FALSE))</f>
        <v>3SNMCLBHLGTV</v>
      </c>
      <c r="G617" s="269" t="str">
        <f>IF(D617="","",VLOOKUP(F617,製品マスタ!$G$5:$H$5002,2,FALSE))</f>
        <v>S</v>
      </c>
      <c r="H617" s="269" t="str">
        <f>IF(D617="","",VLOOKUP(F617,製品マスタ!$G$5:$K$5002,5,FALSE))</f>
        <v>HLGTV</v>
      </c>
      <c r="I617" s="270" t="str">
        <f>IF(D617="","",VLOOKUP(F617,製品マスタ!$G$5:$L$5002,6,FALSE))</f>
        <v>メタルミー　ヘヤライン　銀艶Ｖ</v>
      </c>
      <c r="J617" s="210" t="s">
        <v>935</v>
      </c>
      <c r="K617" s="270">
        <f>IF(D617="","",VLOOKUP(D617,契約台帳!$A$3:$L$4986,12,FALSE))</f>
        <v>50</v>
      </c>
      <c r="L617" s="270" t="str">
        <f>IF(D617="","",INDEX(製品マスタ!$Q$5:$Q$5002,MATCH('S4'!F617&amp;'S4'!K617,製品マスタ!$AO$5:$AO$5002,0)))</f>
        <v>BRIGHT</v>
      </c>
      <c r="M617" s="39">
        <v>1005</v>
      </c>
      <c r="N617" s="39">
        <v>4100</v>
      </c>
      <c r="O617" s="156">
        <v>2</v>
      </c>
      <c r="P617" s="47">
        <v>2</v>
      </c>
      <c r="Q617" s="213">
        <v>45075</v>
      </c>
      <c r="R617" s="271">
        <f ca="1">IF(D617="","",IF(OFFSET(D617,-1,0)&lt;&gt;"","",IF(OR(J617="リード付け",J617="巻足し",J617="巻返しリード付け"),M617,VLOOKUP(D617,契約台帳!$A$3:$N$4986,14,FALSE))))</f>
        <v>1005</v>
      </c>
      <c r="S617" s="272">
        <f ca="1">IF(D617="","",IF(OFFSET(D617,-1,0)&lt;&gt;"","",IF(OR(J617="リード付け",J617="巻足し",J617="巻返しリード付け"),M617,VLOOKUP(D617,契約台帳!$A$3:$O$4986,15,FALSE))))</f>
        <v>1005</v>
      </c>
      <c r="T617" s="273">
        <f ca="1">IF(D617="","",IF(J617="リード付け",N617,IF(J617="巻返しリード付け",N617,IF(J617="巻足し",N617*P617+OFFSET(N617,1,0)*OFFSET(P617,1,0),VLOOKUP(D617,契約台帳!$A$3:$P$4986,16,FALSE)))))</f>
        <v>8200</v>
      </c>
      <c r="U617" s="40">
        <v>1</v>
      </c>
      <c r="V617" s="274" t="str">
        <f ca="1">IF(D617="","",IF(OFFSET(D617,-2,0)=D617,"",VLOOKUP(D617,契約台帳!$A$3:$R$4986,18,FALSE)))</f>
        <v/>
      </c>
      <c r="W617" s="269" t="str">
        <f ca="1">IF(D617="","",IF(T617="","",IF(OR(J617="巻足し",J617="巻返しリード付け"),"",IF(J617="巻返し",VLOOKUP(F617&amp;K617&amp;M617,製品マスタ!$M$5:$AD$5002,18,FALSE),IF(OR(J617="リード付け",J617="巻返しリード付け"),"原反コア",IF(J617="スリット",VLOOKUP(F617&amp;K617&amp;R617,製品マスタ!$N$5:$AD$5002,17,FALSE),""))))))</f>
        <v/>
      </c>
      <c r="X617" s="269" t="str">
        <f ca="1">IF(D617="","",IF(T617="","",IF(J617="巻足し","",IF(J617="巻返し",VLOOKUP(F617&amp;K617&amp;M617,製品マスタ!$M$5:$AE$5002,19,FALSE),IF(OR(J617="リード付け",J617="巻返しリード付け"),"",IF(J617="スリット",VLOOKUP(F617&amp;K617&amp;R617,製品マスタ!$N$5:$AE$5002,18,FALSE),""))))))</f>
        <v/>
      </c>
      <c r="Y617" s="275">
        <f ca="1">IF(D617="","",IF(T617="","",VLOOKUP(D617,契約台帳!$A$3:$Q$4986,17,FALSE)))</f>
        <v>2</v>
      </c>
      <c r="Z617" s="269" t="str">
        <f ca="1">IF(D617="","",IF(T617="","",VLOOKUP(D617,契約台帳!$A$3:$E$4986,5,FALSE)))</f>
        <v>リンテック㈱</v>
      </c>
      <c r="AA617" s="57"/>
      <c r="AB617" s="303">
        <f>IFERROR((VLOOKUP(F617&amp;K617&amp;M617,製品マスタ!$M$5:$AM$5002,27,FALSE)),"")</f>
        <v>0</v>
      </c>
      <c r="AC617" s="33"/>
      <c r="AD617" s="189"/>
      <c r="AE617" s="54"/>
      <c r="AF617" s="55">
        <f>+M617*N617*O617/1000</f>
        <v>8241</v>
      </c>
      <c r="AG617" s="43"/>
      <c r="AH617" s="47"/>
      <c r="AI617" s="30"/>
      <c r="AJ617" s="30"/>
      <c r="AK617" s="30"/>
      <c r="AL617" s="30"/>
      <c r="AM617" s="13"/>
      <c r="AN617" s="13"/>
      <c r="AO617" s="13"/>
      <c r="AP617" s="13"/>
      <c r="AQ617" s="13"/>
      <c r="AR617" s="14"/>
      <c r="AS617" s="15"/>
    </row>
    <row r="618" spans="1:45" s="17" customFormat="1" ht="30.95" hidden="1" customHeight="1" x14ac:dyDescent="0.2">
      <c r="A618" s="37"/>
      <c r="B618" s="38"/>
      <c r="C618" s="45"/>
      <c r="D618" s="31"/>
      <c r="E618" s="31"/>
      <c r="F618" s="268"/>
      <c r="G618" s="269"/>
      <c r="H618" s="269"/>
      <c r="I618" s="270"/>
      <c r="J618" s="210"/>
      <c r="K618" s="270"/>
      <c r="L618" s="270"/>
      <c r="M618" s="39"/>
      <c r="N618" s="39"/>
      <c r="O618" s="156"/>
      <c r="P618" s="47"/>
      <c r="Q618" s="57"/>
      <c r="R618" s="271"/>
      <c r="S618" s="272"/>
      <c r="T618" s="273"/>
      <c r="U618" s="40"/>
      <c r="V618" s="274"/>
      <c r="W618" s="269"/>
      <c r="X618" s="269"/>
      <c r="Y618" s="275"/>
      <c r="Z618" s="269"/>
      <c r="AA618" s="57"/>
      <c r="AB618" s="207"/>
      <c r="AC618" s="33"/>
      <c r="AD618" s="189"/>
      <c r="AE618" s="54"/>
      <c r="AF618" s="55"/>
      <c r="AG618" s="43"/>
      <c r="AH618" s="47"/>
      <c r="AI618" s="30"/>
      <c r="AJ618" s="30"/>
      <c r="AK618" s="30"/>
      <c r="AL618" s="30"/>
      <c r="AM618" s="13"/>
      <c r="AN618" s="13"/>
      <c r="AO618" s="13"/>
      <c r="AP618" s="13"/>
      <c r="AQ618" s="13"/>
      <c r="AR618" s="14"/>
      <c r="AS618" s="15"/>
    </row>
    <row r="619" spans="1:45" s="17" customFormat="1" ht="30.95" hidden="1" customHeight="1" x14ac:dyDescent="0.2">
      <c r="A619" s="37"/>
      <c r="B619" s="38"/>
      <c r="C619" s="45"/>
      <c r="D619" s="31">
        <v>3712111</v>
      </c>
      <c r="E619" s="31">
        <v>4161921</v>
      </c>
      <c r="F619" s="268" t="str">
        <f>IF(D619="","",VLOOKUP(D619,契約台帳!$A$3:$K$4986,6,FALSE)&amp;VLOOKUP(D619,契約台帳!$A$3:$K$4986,7,FALSE)&amp;VLOOKUP(D619,契約台帳!$A$3:$K$4986,8,FALSE)&amp;VLOOKUP(D619,契約台帳!$A$3:$K$4986,9,FALSE)&amp;VLOOKUP(D619,契約台帳!$A$3:$K$4986,11,FALSE))</f>
        <v>33SSNMCLBTETKFV</v>
      </c>
      <c r="G619" s="269" t="str">
        <f>IF(D619="","",VLOOKUP(F619,製品マスタ!$G$5:$H$5002,2,FALSE))</f>
        <v>S</v>
      </c>
      <c r="H619" s="269" t="str">
        <f>IF(D619="","",VLOOKUP(F619,製品マスタ!$G$5:$K$5002,5,FALSE))</f>
        <v>TETKFV</v>
      </c>
      <c r="I619" s="270" t="str">
        <f>IF(D619="","",VLOOKUP(F619,製品マスタ!$G$5:$L$5002,6,FALSE))</f>
        <v>メタルミー　ＴＥＳ艶開封　Ｖ</v>
      </c>
      <c r="J619" s="210" t="s">
        <v>935</v>
      </c>
      <c r="K619" s="270">
        <f>IF(D619="","",VLOOKUP(D619,契約台帳!$A$3:$L$4986,12,FALSE))</f>
        <v>50</v>
      </c>
      <c r="L619" s="270" t="str">
        <f>IF(D619="","",INDEX(製品マスタ!$Q$5:$Q$5002,MATCH('S4'!F619&amp;'S4'!K619,製品マスタ!$AO$5:$AO$5002,0)))</f>
        <v>S28SEPA</v>
      </c>
      <c r="M619" s="39">
        <v>1005</v>
      </c>
      <c r="N619" s="39">
        <v>4100</v>
      </c>
      <c r="O619" s="156">
        <v>6</v>
      </c>
      <c r="P619" s="47">
        <v>3</v>
      </c>
      <c r="Q619" s="213">
        <v>45078</v>
      </c>
      <c r="R619" s="271">
        <f ca="1">IF(D619="","",IF(OFFSET(D619,-1,0)&lt;&gt;"","",IF(OR(J619="リード付け",J619="巻足し",J619="巻返しリード付け"),M619,VLOOKUP(D619,契約台帳!$A$3:$N$4986,14,FALSE))))</f>
        <v>1005</v>
      </c>
      <c r="S619" s="272">
        <f ca="1">IF(D619="","",IF(OFFSET(D619,-1,0)&lt;&gt;"","",IF(OR(J619="リード付け",J619="巻足し",J619="巻返しリード付け"),M619,VLOOKUP(D619,契約台帳!$A$3:$O$4986,15,FALSE))))</f>
        <v>1005</v>
      </c>
      <c r="T619" s="273">
        <f ca="1">IF(D619="","",IF(J619="リード付け",N619,IF(J619="巻返しリード付け",N619,IF(J619="巻足し",N619*P619+OFFSET(N619,1,0)*OFFSET(P619,1,0),VLOOKUP(D619,契約台帳!$A$3:$P$4986,16,FALSE)))))</f>
        <v>12300</v>
      </c>
      <c r="U619" s="40">
        <v>2</v>
      </c>
      <c r="V619" s="274">
        <f ca="1">IF(D619="","",IF(OFFSET(D619,-2,0)=D619,"",VLOOKUP(D619,契約台帳!$A$3:$R$4986,18,FALSE)))</f>
        <v>6</v>
      </c>
      <c r="W619" s="269" t="str">
        <f ca="1">IF(D619="","",IF(T619="","",IF(OR(J619="巻足し",J619="巻返しリード付け"),"",IF(J619="巻返し",VLOOKUP(F619&amp;K619&amp;M619,製品マスタ!$M$5:$AD$5002,18,FALSE),IF(OR(J619="リード付け",J619="巻返しリード付け"),"原反コア",IF(J619="スリット",VLOOKUP(F619&amp;K619&amp;R619,製品マスタ!$N$5:$AD$5002,17,FALSE),""))))))</f>
        <v/>
      </c>
      <c r="X619" s="269" t="str">
        <f ca="1">IF(D619="","",IF(T619="","",IF(J619="巻足し","",IF(J619="巻返し",VLOOKUP(F619&amp;K619&amp;M619,製品マスタ!$M$5:$AE$5002,19,FALSE),IF(OR(J619="リード付け",J619="巻返しリード付け"),"",IF(J619="スリット",VLOOKUP(F619&amp;K619&amp;R619,製品マスタ!$N$5:$AE$5002,18,FALSE),""))))))</f>
        <v/>
      </c>
      <c r="Y619" s="275">
        <f ca="1">IF(D619="","",IF(T619="","",VLOOKUP(D619,契約台帳!$A$3:$Q$4986,17,FALSE)))</f>
        <v>2</v>
      </c>
      <c r="Z619" s="269" t="str">
        <f ca="1">IF(D619="","",IF(T619="","",VLOOKUP(D619,契約台帳!$A$3:$E$4986,5,FALSE)))</f>
        <v>リンテック㈱</v>
      </c>
      <c r="AA619" s="57"/>
      <c r="AB619" s="303">
        <f>IFERROR((VLOOKUP(F619&amp;K619&amp;M619,製品マスタ!$M$5:$AM$5002,27,FALSE)),"")</f>
        <v>0</v>
      </c>
      <c r="AC619" s="33"/>
      <c r="AD619" s="189"/>
      <c r="AE619" s="54"/>
      <c r="AF619" s="55">
        <f>+M619*N619*O619/1000</f>
        <v>24723</v>
      </c>
      <c r="AG619" s="43"/>
      <c r="AH619" s="47"/>
      <c r="AI619" s="30"/>
      <c r="AJ619" s="30"/>
      <c r="AK619" s="30"/>
      <c r="AL619" s="30"/>
      <c r="AM619" s="13"/>
      <c r="AN619" s="13"/>
      <c r="AO619" s="13"/>
      <c r="AP619" s="13"/>
      <c r="AQ619" s="13"/>
      <c r="AR619" s="14"/>
      <c r="AS619" s="15"/>
    </row>
    <row r="620" spans="1:45" s="17" customFormat="1" ht="30.95" hidden="1" customHeight="1" x14ac:dyDescent="0.2">
      <c r="A620" s="37"/>
      <c r="B620" s="38"/>
      <c r="C620" s="45"/>
      <c r="D620" s="31"/>
      <c r="E620" s="31"/>
      <c r="F620" s="268"/>
      <c r="G620" s="269"/>
      <c r="H620" s="269"/>
      <c r="I620" s="270"/>
      <c r="J620" s="210"/>
      <c r="K620" s="270"/>
      <c r="L620" s="270"/>
      <c r="M620" s="39"/>
      <c r="N620" s="39"/>
      <c r="O620" s="156"/>
      <c r="P620" s="47"/>
      <c r="Q620" s="57"/>
      <c r="R620" s="271"/>
      <c r="S620" s="272"/>
      <c r="T620" s="273"/>
      <c r="U620" s="40"/>
      <c r="V620" s="274"/>
      <c r="W620" s="269"/>
      <c r="X620" s="269"/>
      <c r="Y620" s="275"/>
      <c r="Z620" s="269"/>
      <c r="AA620" s="57"/>
      <c r="AB620" s="207"/>
      <c r="AC620" s="33"/>
      <c r="AD620" s="189"/>
      <c r="AE620" s="54"/>
      <c r="AF620" s="55"/>
      <c r="AG620" s="43"/>
      <c r="AH620" s="47"/>
      <c r="AI620" s="30"/>
      <c r="AJ620" s="30"/>
      <c r="AK620" s="30"/>
      <c r="AL620" s="30"/>
      <c r="AM620" s="13"/>
      <c r="AN620" s="13"/>
      <c r="AO620" s="13"/>
      <c r="AP620" s="13"/>
      <c r="AQ620" s="13"/>
      <c r="AR620" s="14"/>
      <c r="AS620" s="15"/>
    </row>
    <row r="621" spans="1:45" s="17" customFormat="1" ht="30.95" hidden="1" customHeight="1" x14ac:dyDescent="0.2">
      <c r="A621" s="37"/>
      <c r="B621" s="38"/>
      <c r="C621" s="45"/>
      <c r="D621" s="31">
        <v>3712109</v>
      </c>
      <c r="E621" s="31">
        <v>4161919</v>
      </c>
      <c r="F621" s="268" t="str">
        <f>IF(D621="","",VLOOKUP(D621,契約台帳!$A$3:$K$4986,6,FALSE)&amp;VLOOKUP(D621,契約台帳!$A$3:$K$4986,7,FALSE)&amp;VLOOKUP(D621,契約台帳!$A$3:$K$4986,8,FALSE)&amp;VLOOKUP(D621,契約台帳!$A$3:$K$4986,9,FALSE)&amp;VLOOKUP(D621,契約台帳!$A$3:$K$4986,11,FALSE))</f>
        <v>33SSNMCLBTEKKFV</v>
      </c>
      <c r="G621" s="269" t="str">
        <f>IF(D621="","",VLOOKUP(F621,製品マスタ!$G$5:$H$5002,2,FALSE))</f>
        <v>S</v>
      </c>
      <c r="H621" s="269" t="str">
        <f>IF(D621="","",VLOOKUP(F621,製品マスタ!$G$5:$K$5002,5,FALSE))</f>
        <v>TEKKFV</v>
      </c>
      <c r="I621" s="270" t="str">
        <f>IF(D621="","",VLOOKUP(F621,製品マスタ!$G$5:$L$5002,6,FALSE))</f>
        <v>メタルミー　ＴＥＳ消開封　Ｖ</v>
      </c>
      <c r="J621" s="210" t="s">
        <v>935</v>
      </c>
      <c r="K621" s="270">
        <f>IF(D621="","",VLOOKUP(D621,契約台帳!$A$3:$L$4986,12,FALSE))</f>
        <v>50</v>
      </c>
      <c r="L621" s="270" t="str">
        <f>IF(D621="","",INDEX(製品マスタ!$Q$5:$Q$5002,MATCH('S4'!F621&amp;'S4'!K621,製品マスタ!$AO$5:$AO$5002,0)))</f>
        <v>X44SEPA</v>
      </c>
      <c r="M621" s="39">
        <v>1005</v>
      </c>
      <c r="N621" s="39">
        <v>4000</v>
      </c>
      <c r="O621" s="156">
        <v>3</v>
      </c>
      <c r="P621" s="47">
        <v>3</v>
      </c>
      <c r="Q621" s="213">
        <v>45078</v>
      </c>
      <c r="R621" s="271">
        <f ca="1">IF(D621="","",IF(OFFSET(D621,-1,0)&lt;&gt;"","",IF(OR(J621="リード付け",J621="巻足し",J621="巻返しリード付け"),M621,VLOOKUP(D621,契約台帳!$A$3:$N$4986,14,FALSE))))</f>
        <v>1005</v>
      </c>
      <c r="S621" s="272">
        <f ca="1">IF(D621="","",IF(OFFSET(D621,-1,0)&lt;&gt;"","",IF(OR(J621="リード付け",J621="巻足し",J621="巻返しリード付け"),M621,VLOOKUP(D621,契約台帳!$A$3:$O$4986,15,FALSE))))</f>
        <v>1005</v>
      </c>
      <c r="T621" s="273">
        <f ca="1">IF(D621="","",IF(J621="リード付け",N621,IF(J621="巻返しリード付け",N621,IF(J621="巻足し",N621*P621+OFFSET(N621,1,0)*OFFSET(P621,1,0),VLOOKUP(D621,契約台帳!$A$3:$P$4986,16,FALSE)))))</f>
        <v>12000</v>
      </c>
      <c r="U621" s="40">
        <v>1</v>
      </c>
      <c r="V621" s="274">
        <f ca="1">IF(D621="","",IF(OFFSET(D621,-2,0)=D621,"",VLOOKUP(D621,契約台帳!$A$3:$R$4986,18,FALSE)))</f>
        <v>3</v>
      </c>
      <c r="W621" s="269" t="str">
        <f ca="1">IF(D621="","",IF(T621="","",IF(OR(J621="巻足し",J621="巻返しリード付け"),"",IF(J621="巻返し",VLOOKUP(F621&amp;K621&amp;M621,製品マスタ!$M$5:$AD$5002,18,FALSE),IF(OR(J621="リード付け",J621="巻返しリード付け"),"原反コア",IF(J621="スリット",VLOOKUP(F621&amp;K621&amp;R621,製品マスタ!$N$5:$AD$5002,17,FALSE),""))))))</f>
        <v/>
      </c>
      <c r="X621" s="269" t="str">
        <f ca="1">IF(D621="","",IF(T621="","",IF(J621="巻足し","",IF(J621="巻返し",VLOOKUP(F621&amp;K621&amp;M621,製品マスタ!$M$5:$AE$5002,19,FALSE),IF(OR(J621="リード付け",J621="巻返しリード付け"),"",IF(J621="スリット",VLOOKUP(F621&amp;K621&amp;R621,製品マスタ!$N$5:$AE$5002,18,FALSE),""))))))</f>
        <v/>
      </c>
      <c r="Y621" s="275">
        <f ca="1">IF(D621="","",IF(T621="","",VLOOKUP(D621,契約台帳!$A$3:$Q$4986,17,FALSE)))</f>
        <v>2</v>
      </c>
      <c r="Z621" s="269" t="str">
        <f ca="1">IF(D621="","",IF(T621="","",VLOOKUP(D621,契約台帳!$A$3:$E$4986,5,FALSE)))</f>
        <v>リンテック㈱</v>
      </c>
      <c r="AA621" s="57"/>
      <c r="AB621" s="303">
        <f>IFERROR((VLOOKUP(F621&amp;K621&amp;M621,製品マスタ!$M$5:$AM$5002,27,FALSE)),"")</f>
        <v>0</v>
      </c>
      <c r="AC621" s="33"/>
      <c r="AD621" s="189"/>
      <c r="AE621" s="54"/>
      <c r="AF621" s="55">
        <f>+M621*N621*O621/1000</f>
        <v>12060</v>
      </c>
      <c r="AG621" s="43"/>
      <c r="AH621" s="47"/>
      <c r="AI621" s="30"/>
      <c r="AJ621" s="30"/>
      <c r="AK621" s="30"/>
      <c r="AL621" s="30"/>
      <c r="AM621" s="13"/>
      <c r="AN621" s="13"/>
      <c r="AO621" s="13"/>
      <c r="AP621" s="13"/>
      <c r="AQ621" s="13"/>
      <c r="AR621" s="14"/>
      <c r="AS621" s="15"/>
    </row>
    <row r="622" spans="1:45" s="17" customFormat="1" ht="30.95" hidden="1" customHeight="1" x14ac:dyDescent="0.2">
      <c r="A622" s="37"/>
      <c r="B622" s="38"/>
      <c r="C622" s="45"/>
      <c r="D622" s="31"/>
      <c r="E622" s="31"/>
      <c r="F622" s="268"/>
      <c r="G622" s="269"/>
      <c r="H622" s="269"/>
      <c r="I622" s="270"/>
      <c r="J622" s="210"/>
      <c r="K622" s="270"/>
      <c r="L622" s="270"/>
      <c r="M622" s="39"/>
      <c r="N622" s="39"/>
      <c r="O622" s="156"/>
      <c r="P622" s="47"/>
      <c r="Q622" s="57"/>
      <c r="R622" s="271"/>
      <c r="S622" s="272"/>
      <c r="T622" s="273"/>
      <c r="U622" s="40"/>
      <c r="V622" s="274"/>
      <c r="W622" s="269"/>
      <c r="X622" s="269"/>
      <c r="Y622" s="275"/>
      <c r="Z622" s="269"/>
      <c r="AA622" s="57"/>
      <c r="AB622" s="207"/>
      <c r="AC622" s="33"/>
      <c r="AD622" s="189"/>
      <c r="AE622" s="54"/>
      <c r="AF622" s="55"/>
      <c r="AG622" s="43"/>
      <c r="AH622" s="47"/>
      <c r="AI622" s="30"/>
      <c r="AJ622" s="30"/>
      <c r="AK622" s="30"/>
      <c r="AL622" s="30"/>
      <c r="AM622" s="13"/>
      <c r="AN622" s="13"/>
      <c r="AO622" s="13"/>
      <c r="AP622" s="13"/>
      <c r="AQ622" s="13"/>
      <c r="AR622" s="14"/>
      <c r="AS622" s="15"/>
    </row>
    <row r="623" spans="1:45" s="17" customFormat="1" ht="30.95" hidden="1" customHeight="1" x14ac:dyDescent="0.2">
      <c r="A623" s="37" t="s">
        <v>1170</v>
      </c>
      <c r="B623" s="38" t="s">
        <v>444</v>
      </c>
      <c r="C623" s="45"/>
      <c r="D623" s="31">
        <v>3712110</v>
      </c>
      <c r="E623" s="31">
        <v>4161920</v>
      </c>
      <c r="F623" s="268" t="str">
        <f>IF(D623="","",VLOOKUP(D623,契約台帳!$A$3:$K$4986,6,FALSE)&amp;VLOOKUP(D623,契約台帳!$A$3:$K$4986,7,FALSE)&amp;VLOOKUP(D623,契約台帳!$A$3:$K$4986,8,FALSE)&amp;VLOOKUP(D623,契約台帳!$A$3:$K$4986,9,FALSE)&amp;VLOOKUP(D623,契約台帳!$A$3:$K$4986,11,FALSE))</f>
        <v>33SSNMCLBTEKV0V</v>
      </c>
      <c r="G623" s="269" t="str">
        <f>IF(D623="","",VLOOKUP(F623,製品マスタ!$G$5:$H$5002,2,FALSE))</f>
        <v>S</v>
      </c>
      <c r="H623" s="269" t="str">
        <f>IF(D623="","",VLOOKUP(F623,製品マスタ!$G$5:$K$5002,5,FALSE))</f>
        <v>TEKV0V</v>
      </c>
      <c r="I623" s="270" t="str">
        <f>IF(D623="","",VLOOKUP(F623,製品マスタ!$G$5:$L$5002,6,FALSE))</f>
        <v>メタルミー　ＴＥ－Ｓ消　ＶＯＩＤ　Ｖ</v>
      </c>
      <c r="J623" s="210" t="s">
        <v>935</v>
      </c>
      <c r="K623" s="270">
        <f>IF(D623="","",VLOOKUP(D623,契約台帳!$A$3:$L$4986,12,FALSE))</f>
        <v>50</v>
      </c>
      <c r="L623" s="270" t="str">
        <f>IF(D623="","",INDEX(製品マスタ!$Q$5:$Q$5002,MATCH('S4'!F623&amp;'S4'!K623,製品マスタ!$AO$5:$AO$5002,0)))</f>
        <v>X44SEPA</v>
      </c>
      <c r="M623" s="39">
        <v>1005</v>
      </c>
      <c r="N623" s="39">
        <v>4000</v>
      </c>
      <c r="O623" s="156">
        <v>3</v>
      </c>
      <c r="P623" s="47">
        <v>3</v>
      </c>
      <c r="Q623" s="213">
        <v>45078</v>
      </c>
      <c r="R623" s="271">
        <f ca="1">IF(D623="","",IF(OFFSET(D623,-1,0)&lt;&gt;"","",IF(OR(J623="リード付け",J623="巻足し",J623="巻返しリード付け"),M623,VLOOKUP(D623,契約台帳!$A$3:$N$4986,14,FALSE))))</f>
        <v>1005</v>
      </c>
      <c r="S623" s="272">
        <f ca="1">IF(D623="","",IF(OFFSET(D623,-1,0)&lt;&gt;"","",IF(OR(J623="リード付け",J623="巻足し",J623="巻返しリード付け"),M623,VLOOKUP(D623,契約台帳!$A$3:$O$4986,15,FALSE))))</f>
        <v>1005</v>
      </c>
      <c r="T623" s="273">
        <f ca="1">IF(D623="","",IF(J623="リード付け",N623,IF(J623="巻返しリード付け",N623,IF(J623="巻足し",N623*P623+OFFSET(N623,1,0)*OFFSET(P623,1,0),VLOOKUP(D623,契約台帳!$A$3:$P$4986,16,FALSE)))))</f>
        <v>12000</v>
      </c>
      <c r="U623" s="40">
        <v>1</v>
      </c>
      <c r="V623" s="274">
        <f ca="1">IF(D623="","",IF(OFFSET(D623,-2,0)=D623,"",VLOOKUP(D623,契約台帳!$A$3:$R$4986,18,FALSE)))</f>
        <v>3</v>
      </c>
      <c r="W623" s="269" t="str">
        <f ca="1">IF(D623="","",IF(T623="","",IF(OR(J623="巻足し",J623="巻返しリード付け"),"",IF(J623="巻返し",VLOOKUP(F623&amp;K623&amp;M623,製品マスタ!$M$5:$AD$5002,18,FALSE),IF(OR(J623="リード付け",J623="巻返しリード付け"),"原反コア",IF(J623="スリット",VLOOKUP(F623&amp;K623&amp;R623,製品マスタ!$N$5:$AD$5002,17,FALSE),""))))))</f>
        <v/>
      </c>
      <c r="X623" s="269" t="str">
        <f ca="1">IF(D623="","",IF(T623="","",IF(J623="巻足し","",IF(J623="巻返し",VLOOKUP(F623&amp;K623&amp;M623,製品マスタ!$M$5:$AE$5002,19,FALSE),IF(OR(J623="リード付け",J623="巻返しリード付け"),"",IF(J623="スリット",VLOOKUP(F623&amp;K623&amp;R623,製品マスタ!$N$5:$AE$5002,18,FALSE),""))))))</f>
        <v/>
      </c>
      <c r="Y623" s="275">
        <f ca="1">IF(D623="","",IF(T623="","",VLOOKUP(D623,契約台帳!$A$3:$Q$4986,17,FALSE)))</f>
        <v>2</v>
      </c>
      <c r="Z623" s="269" t="str">
        <f ca="1">IF(D623="","",IF(T623="","",VLOOKUP(D623,契約台帳!$A$3:$E$4986,5,FALSE)))</f>
        <v>リンテック㈱</v>
      </c>
      <c r="AA623" s="57"/>
      <c r="AB623" s="303">
        <f>IFERROR((VLOOKUP(F623&amp;K623&amp;M623,製品マスタ!$M$5:$AM$5002,27,FALSE)),"")</f>
        <v>0</v>
      </c>
      <c r="AC623" s="33"/>
      <c r="AD623" s="189"/>
      <c r="AE623" s="54"/>
      <c r="AF623" s="55">
        <f>+M623*N623*O623/1000</f>
        <v>12060</v>
      </c>
      <c r="AG623" s="43"/>
      <c r="AH623" s="47"/>
      <c r="AI623" s="30"/>
      <c r="AJ623" s="30"/>
      <c r="AK623" s="30"/>
      <c r="AL623" s="30"/>
      <c r="AM623" s="13"/>
      <c r="AN623" s="13"/>
      <c r="AO623" s="13"/>
      <c r="AP623" s="13"/>
      <c r="AQ623" s="13"/>
      <c r="AR623" s="14"/>
      <c r="AS623" s="15"/>
    </row>
    <row r="624" spans="1:45" s="17" customFormat="1" ht="30.95" hidden="1" customHeight="1" x14ac:dyDescent="0.2">
      <c r="A624" s="37"/>
      <c r="B624" s="38"/>
      <c r="C624" s="45"/>
      <c r="D624" s="31"/>
      <c r="E624" s="31"/>
      <c r="F624" s="268"/>
      <c r="G624" s="269"/>
      <c r="H624" s="269"/>
      <c r="I624" s="270"/>
      <c r="J624" s="210"/>
      <c r="K624" s="270"/>
      <c r="L624" s="270"/>
      <c r="M624" s="39"/>
      <c r="N624" s="39"/>
      <c r="O624" s="156"/>
      <c r="P624" s="47"/>
      <c r="Q624" s="57"/>
      <c r="R624" s="271"/>
      <c r="S624" s="272"/>
      <c r="T624" s="273"/>
      <c r="U624" s="40"/>
      <c r="V624" s="274"/>
      <c r="W624" s="269"/>
      <c r="X624" s="269"/>
      <c r="Y624" s="275"/>
      <c r="Z624" s="269"/>
      <c r="AA624" s="57"/>
      <c r="AB624" s="207"/>
      <c r="AC624" s="33"/>
      <c r="AD624" s="189"/>
      <c r="AE624" s="54"/>
      <c r="AF624" s="55"/>
      <c r="AG624" s="43"/>
      <c r="AH624" s="47"/>
      <c r="AI624" s="30"/>
      <c r="AJ624" s="30"/>
      <c r="AK624" s="30"/>
      <c r="AL624" s="30"/>
      <c r="AM624" s="13"/>
      <c r="AN624" s="13"/>
      <c r="AO624" s="13"/>
      <c r="AP624" s="13"/>
      <c r="AQ624" s="13"/>
      <c r="AR624" s="14"/>
      <c r="AS624" s="15"/>
    </row>
    <row r="625" spans="1:45" s="17" customFormat="1" ht="30.95" hidden="1" customHeight="1" x14ac:dyDescent="0.2">
      <c r="A625" s="37"/>
      <c r="B625" s="38"/>
      <c r="C625" s="45"/>
      <c r="D625" s="31">
        <v>3712099</v>
      </c>
      <c r="E625" s="31">
        <v>4161926</v>
      </c>
      <c r="F625" s="268" t="str">
        <f>IF(D625="","",VLOOKUP(D625,契約台帳!$A$3:$K$4986,6,FALSE)&amp;VLOOKUP(D625,契約台帳!$A$3:$K$4986,7,FALSE)&amp;VLOOKUP(D625,契約台帳!$A$3:$K$4986,8,FALSE)&amp;VLOOKUP(D625,契約台帳!$A$3:$K$4986,9,FALSE)&amp;VLOOKUP(D625,契約台帳!$A$3:$K$4986,11,FALSE))</f>
        <v>3SNMLBMNGKKBF</v>
      </c>
      <c r="G625" s="269" t="str">
        <f>IF(D625="","",VLOOKUP(F625,製品マスタ!$G$5:$H$5002,2,FALSE))</f>
        <v>S</v>
      </c>
      <c r="H625" s="269" t="str">
        <f>IF(D625="","",VLOOKUP(F625,製品マスタ!$G$5:$K$5002,5,FALSE))</f>
        <v>MNGKKBF</v>
      </c>
      <c r="I625" s="270" t="str">
        <f>IF(D625="","",VLOOKUP(F625,製品マスタ!$G$5:$L$5002,6,FALSE))</f>
        <v>メタルミー　ネーマー銀消改　Ｂ</v>
      </c>
      <c r="J625" s="210" t="s">
        <v>935</v>
      </c>
      <c r="K625" s="270">
        <f>IF(D625="","",VLOOKUP(D625,契約台帳!$A$3:$L$4986,12,FALSE))</f>
        <v>25</v>
      </c>
      <c r="L625" s="270" t="str">
        <f>IF(D625="","",INDEX(製品マスタ!$Q$5:$Q$5002,MATCH('S4'!F625&amp;'S4'!K625,製品マスタ!$AO$5:$AO$5002,0)))</f>
        <v>FMATS99</v>
      </c>
      <c r="M625" s="39">
        <v>1000</v>
      </c>
      <c r="N625" s="39">
        <v>4000</v>
      </c>
      <c r="O625" s="156">
        <v>3</v>
      </c>
      <c r="P625" s="47">
        <v>3</v>
      </c>
      <c r="Q625" s="213">
        <v>45069</v>
      </c>
      <c r="R625" s="271">
        <f ca="1">IF(D625="","",IF(OFFSET(D625,-1,0)&lt;&gt;"","",IF(OR(J625="リード付け",J625="巻足し",J625="巻返しリード付け"),M625,VLOOKUP(D625,契約台帳!$A$3:$N$4986,14,FALSE))))</f>
        <v>1000</v>
      </c>
      <c r="S625" s="272">
        <f ca="1">IF(D625="","",IF(OFFSET(D625,-1,0)&lt;&gt;"","",IF(OR(J625="リード付け",J625="巻足し",J625="巻返しリード付け"),M625,VLOOKUP(D625,契約台帳!$A$3:$O$4986,15,FALSE))))</f>
        <v>1000</v>
      </c>
      <c r="T625" s="273">
        <f ca="1">IF(D625="","",IF(J625="リード付け",N625,IF(J625="巻返しリード付け",N625,IF(J625="巻足し",N625*P625+OFFSET(N625,1,0)*OFFSET(P625,1,0),VLOOKUP(D625,契約台帳!$A$3:$P$4986,16,FALSE)))))</f>
        <v>12000</v>
      </c>
      <c r="U625" s="40">
        <v>1</v>
      </c>
      <c r="V625" s="274">
        <f ca="1">IF(D625="","",IF(OFFSET(D625,-2,0)=D625,"",VLOOKUP(D625,契約台帳!$A$3:$R$4986,18,FALSE)))</f>
        <v>3</v>
      </c>
      <c r="W625" s="269" t="str">
        <f ca="1">IF(D625="","",IF(T625="","",IF(OR(J625="巻足し",J625="巻返しリード付け"),"",IF(J625="巻返し",VLOOKUP(F625&amp;K625&amp;M625,製品マスタ!$M$5:$AD$5002,18,FALSE),IF(OR(J625="リード付け",J625="巻返しリード付け"),"原反コア",IF(J625="スリット",VLOOKUP(F625&amp;K625&amp;R625,製品マスタ!$N$5:$AD$5002,17,FALSE),""))))))</f>
        <v/>
      </c>
      <c r="X625" s="269" t="str">
        <f ca="1">IF(D625="","",IF(T625="","",IF(J625="巻足し","",IF(J625="巻返し",VLOOKUP(F625&amp;K625&amp;M625,製品マスタ!$M$5:$AE$5002,19,FALSE),IF(OR(J625="リード付け",J625="巻返しリード付け"),"",IF(J625="スリット",VLOOKUP(F625&amp;K625&amp;R625,製品マスタ!$N$5:$AE$5002,18,FALSE),""))))))</f>
        <v/>
      </c>
      <c r="Y625" s="275">
        <f ca="1">IF(D625="","",IF(T625="","",VLOOKUP(D625,契約台帳!$A$3:$Q$4986,17,FALSE)))</f>
        <v>2</v>
      </c>
      <c r="Z625" s="269" t="str">
        <f ca="1">IF(D625="","",IF(T625="","",VLOOKUP(D625,契約台帳!$A$3:$E$4986,5,FALSE)))</f>
        <v>リンテック㈱</v>
      </c>
      <c r="AA625" s="57"/>
      <c r="AB625" s="303">
        <f>IFERROR((VLOOKUP(F625&amp;K625&amp;M625,製品マスタ!$M$5:$AM$5002,27,FALSE)),"")</f>
        <v>0</v>
      </c>
      <c r="AC625" s="33"/>
      <c r="AD625" s="189"/>
      <c r="AE625" s="54"/>
      <c r="AF625" s="55">
        <f>+M625*N625*O625/1000</f>
        <v>12000</v>
      </c>
      <c r="AG625" s="43"/>
      <c r="AH625" s="47"/>
      <c r="AI625" s="30"/>
      <c r="AJ625" s="30"/>
      <c r="AK625" s="30"/>
      <c r="AL625" s="30"/>
      <c r="AM625" s="13"/>
      <c r="AN625" s="13"/>
      <c r="AO625" s="13"/>
      <c r="AP625" s="13"/>
      <c r="AQ625" s="13"/>
      <c r="AR625" s="14"/>
      <c r="AS625" s="15"/>
    </row>
    <row r="626" spans="1:45" s="17" customFormat="1" ht="30.95" hidden="1" customHeight="1" x14ac:dyDescent="0.2">
      <c r="A626" s="37"/>
      <c r="B626" s="38"/>
      <c r="C626" s="45"/>
      <c r="D626" s="31"/>
      <c r="E626" s="31"/>
      <c r="F626" s="268"/>
      <c r="G626" s="269"/>
      <c r="H626" s="269"/>
      <c r="I626" s="270"/>
      <c r="J626" s="210"/>
      <c r="K626" s="270"/>
      <c r="L626" s="270"/>
      <c r="M626" s="39"/>
      <c r="N626" s="39"/>
      <c r="O626" s="156"/>
      <c r="P626" s="47"/>
      <c r="Q626" s="57"/>
      <c r="R626" s="271"/>
      <c r="S626" s="272"/>
      <c r="T626" s="273"/>
      <c r="U626" s="40"/>
      <c r="V626" s="274"/>
      <c r="W626" s="269"/>
      <c r="X626" s="269"/>
      <c r="Y626" s="275"/>
      <c r="Z626" s="269"/>
      <c r="AA626" s="57"/>
      <c r="AB626" s="207"/>
      <c r="AC626" s="33"/>
      <c r="AD626" s="189"/>
      <c r="AE626" s="54"/>
      <c r="AF626" s="55"/>
      <c r="AG626" s="43"/>
      <c r="AH626" s="47"/>
      <c r="AI626" s="30"/>
      <c r="AJ626" s="30"/>
      <c r="AK626" s="30"/>
      <c r="AL626" s="30"/>
      <c r="AM626" s="13"/>
      <c r="AN626" s="13"/>
      <c r="AO626" s="13"/>
      <c r="AP626" s="13"/>
      <c r="AQ626" s="13"/>
      <c r="AR626" s="14"/>
      <c r="AS626" s="15"/>
    </row>
    <row r="627" spans="1:45" s="17" customFormat="1" ht="30.95" hidden="1" customHeight="1" x14ac:dyDescent="0.2">
      <c r="A627" s="37"/>
      <c r="B627" s="38"/>
      <c r="C627" s="45"/>
      <c r="D627" s="31">
        <v>3712108</v>
      </c>
      <c r="E627" s="31">
        <v>4161933</v>
      </c>
      <c r="F627" s="268" t="str">
        <f>IF(D627="","",VLOOKUP(D627,契約台帳!$A$3:$K$4986,6,FALSE)&amp;VLOOKUP(D627,契約台帳!$A$3:$K$4986,7,FALSE)&amp;VLOOKUP(D627,契約台帳!$A$3:$K$4986,8,FALSE)&amp;VLOOKUP(D627,契約台帳!$A$3:$K$4986,9,FALSE)&amp;VLOOKUP(D627,契約台帳!$A$3:$K$4986,11,FALSE))</f>
        <v>3SNMLBMNNGKBF</v>
      </c>
      <c r="G627" s="269" t="str">
        <f>IF(D627="","",VLOOKUP(F627,製品マスタ!$G$5:$H$5002,2,FALSE))</f>
        <v>S</v>
      </c>
      <c r="H627" s="269" t="str">
        <f>IF(D627="","",VLOOKUP(F627,製品マスタ!$G$5:$K$5002,5,FALSE))</f>
        <v>MNNGKBF</v>
      </c>
      <c r="I627" s="270" t="str">
        <f>IF(D627="","",VLOOKUP(F627,製品マスタ!$G$5:$L$5002,6,FALSE))</f>
        <v>メタルミー　ニューネーマー銀消　Ｂ</v>
      </c>
      <c r="J627" s="210" t="s">
        <v>935</v>
      </c>
      <c r="K627" s="270">
        <f>IF(D627="","",VLOOKUP(D627,契約台帳!$A$3:$L$4986,12,FALSE))</f>
        <v>50</v>
      </c>
      <c r="L627" s="270" t="str">
        <f>IF(D627="","",INDEX(製品マスタ!$Q$5:$Q$5002,MATCH('S4'!F627&amp;'S4'!K627,製品マスタ!$AO$5:$AO$5002,0)))</f>
        <v>X44</v>
      </c>
      <c r="M627" s="39">
        <v>1000</v>
      </c>
      <c r="N627" s="39">
        <v>4000</v>
      </c>
      <c r="O627" s="156">
        <v>15</v>
      </c>
      <c r="P627" s="47">
        <v>3</v>
      </c>
      <c r="Q627" s="213">
        <v>45078</v>
      </c>
      <c r="R627" s="271">
        <f ca="1">IF(D627="","",IF(OFFSET(D627,-1,0)&lt;&gt;"","",IF(OR(J627="リード付け",J627="巻足し",J627="巻返しリード付け"),M627,VLOOKUP(D627,契約台帳!$A$3:$N$4986,14,FALSE))))</f>
        <v>1000</v>
      </c>
      <c r="S627" s="272">
        <f ca="1">IF(D627="","",IF(OFFSET(D627,-1,0)&lt;&gt;"","",IF(OR(J627="リード付け",J627="巻足し",J627="巻返しリード付け"),M627,VLOOKUP(D627,契約台帳!$A$3:$O$4986,15,FALSE))))</f>
        <v>1000</v>
      </c>
      <c r="T627" s="273">
        <f ca="1">IF(D627="","",IF(J627="リード付け",N627,IF(J627="巻返しリード付け",N627,IF(J627="巻足し",N627*P627+OFFSET(N627,1,0)*OFFSET(P627,1,0),VLOOKUP(D627,契約台帳!$A$3:$P$4986,16,FALSE)))))</f>
        <v>12000</v>
      </c>
      <c r="U627" s="40">
        <v>5</v>
      </c>
      <c r="V627" s="274">
        <f ca="1">IF(D627="","",IF(OFFSET(D627,-2,0)=D627,"",VLOOKUP(D627,契約台帳!$A$3:$R$4986,18,FALSE)))</f>
        <v>15</v>
      </c>
      <c r="W627" s="269" t="str">
        <f ca="1">IF(D627="","",IF(T627="","",IF(OR(J627="巻足し",J627="巻返しリード付け"),"",IF(J627="巻返し",VLOOKUP(F627&amp;K627&amp;M627,製品マスタ!$M$5:$AD$5002,18,FALSE),IF(OR(J627="リード付け",J627="巻返しリード付け"),"原反コア",IF(J627="スリット",VLOOKUP(F627&amp;K627&amp;R627,製品マスタ!$N$5:$AD$5002,17,FALSE),""))))))</f>
        <v/>
      </c>
      <c r="X627" s="269" t="str">
        <f ca="1">IF(D627="","",IF(T627="","",IF(J627="巻足し","",IF(J627="巻返し",VLOOKUP(F627&amp;K627&amp;M627,製品マスタ!$M$5:$AE$5002,19,FALSE),IF(OR(J627="リード付け",J627="巻返しリード付け"),"",IF(J627="スリット",VLOOKUP(F627&amp;K627&amp;R627,製品マスタ!$N$5:$AE$5002,18,FALSE),""))))))</f>
        <v/>
      </c>
      <c r="Y627" s="275">
        <f ca="1">IF(D627="","",IF(T627="","",VLOOKUP(D627,契約台帳!$A$3:$Q$4986,17,FALSE)))</f>
        <v>2</v>
      </c>
      <c r="Z627" s="269" t="str">
        <f ca="1">IF(D627="","",IF(T627="","",VLOOKUP(D627,契約台帳!$A$3:$E$4986,5,FALSE)))</f>
        <v>リンテック㈱</v>
      </c>
      <c r="AA627" s="57"/>
      <c r="AB627" s="303" t="str">
        <f>IFERROR((VLOOKUP(F627&amp;K627&amp;M627,製品マスタ!$M$5:$AM$5002,27,FALSE)),"")</f>
        <v>原反ケース再利用</v>
      </c>
      <c r="AC627" s="33"/>
      <c r="AD627" s="189"/>
      <c r="AE627" s="54"/>
      <c r="AF627" s="55">
        <f>+M627*N627*O627/1000</f>
        <v>60000</v>
      </c>
      <c r="AG627" s="43"/>
      <c r="AH627" s="47"/>
      <c r="AI627" s="30"/>
      <c r="AJ627" s="30"/>
      <c r="AK627" s="30"/>
      <c r="AL627" s="30"/>
      <c r="AM627" s="13"/>
      <c r="AN627" s="13"/>
      <c r="AO627" s="13"/>
      <c r="AP627" s="13"/>
      <c r="AQ627" s="13"/>
      <c r="AR627" s="14"/>
      <c r="AS627" s="15"/>
    </row>
    <row r="628" spans="1:45" s="17" customFormat="1" ht="30.95" hidden="1" customHeight="1" x14ac:dyDescent="0.2">
      <c r="A628" s="37"/>
      <c r="B628" s="38"/>
      <c r="C628" s="45"/>
      <c r="D628" s="31"/>
      <c r="E628" s="31"/>
      <c r="F628" s="268"/>
      <c r="G628" s="269"/>
      <c r="H628" s="269"/>
      <c r="I628" s="270"/>
      <c r="J628" s="210"/>
      <c r="K628" s="270"/>
      <c r="L628" s="270"/>
      <c r="M628" s="39"/>
      <c r="N628" s="39"/>
      <c r="O628" s="156"/>
      <c r="P628" s="47"/>
      <c r="Q628" s="57"/>
      <c r="R628" s="271"/>
      <c r="S628" s="272"/>
      <c r="T628" s="273"/>
      <c r="U628" s="40"/>
      <c r="V628" s="274"/>
      <c r="W628" s="269"/>
      <c r="X628" s="269"/>
      <c r="Y628" s="275"/>
      <c r="Z628" s="269"/>
      <c r="AA628" s="57"/>
      <c r="AB628" s="207"/>
      <c r="AC628" s="33"/>
      <c r="AD628" s="189"/>
      <c r="AE628" s="54"/>
      <c r="AF628" s="55"/>
      <c r="AG628" s="43"/>
      <c r="AH628" s="47"/>
      <c r="AI628" s="30"/>
      <c r="AJ628" s="30"/>
      <c r="AK628" s="30"/>
      <c r="AL628" s="30"/>
      <c r="AM628" s="13"/>
      <c r="AN628" s="13"/>
      <c r="AO628" s="13"/>
      <c r="AP628" s="13"/>
      <c r="AQ628" s="13"/>
      <c r="AR628" s="14"/>
      <c r="AS628" s="15"/>
    </row>
    <row r="629" spans="1:45" s="17" customFormat="1" ht="30.95" hidden="1" customHeight="1" x14ac:dyDescent="0.2">
      <c r="A629" s="37"/>
      <c r="B629" s="38"/>
      <c r="C629" s="45"/>
      <c r="D629" s="31">
        <v>3714660</v>
      </c>
      <c r="E629" s="31">
        <v>4161940</v>
      </c>
      <c r="F629" s="268" t="str">
        <f>IF(D629="","",VLOOKUP(D629,契約台帳!$A$3:$K$4986,6,FALSE)&amp;VLOOKUP(D629,契約台帳!$A$3:$K$4986,7,FALSE)&amp;VLOOKUP(D629,契約台帳!$A$3:$K$4986,8,FALSE)&amp;VLOOKUP(D629,契約台帳!$A$3:$K$4986,9,FALSE)&amp;VLOOKUP(D629,契約台帳!$A$3:$K$4986,11,FALSE))</f>
        <v>3UNMCLBHLGTV</v>
      </c>
      <c r="G629" s="269" t="str">
        <f>IF(D629="","",VLOOKUP(F629,製品マスタ!$G$5:$H$5002,2,FALSE))</f>
        <v>U</v>
      </c>
      <c r="H629" s="269" t="str">
        <f>IF(D629="","",VLOOKUP(F629,製品マスタ!$G$5:$K$5002,5,FALSE))</f>
        <v>HLGTV</v>
      </c>
      <c r="I629" s="270" t="str">
        <f>IF(D629="","",VLOOKUP(F629,製品マスタ!$G$5:$L$5002,6,FALSE))</f>
        <v>メタルミー　ヘヤライン　銀艶Ｖ</v>
      </c>
      <c r="J629" s="210" t="s">
        <v>464</v>
      </c>
      <c r="K629" s="270">
        <f>IF(D629="","",VLOOKUP(D629,契約台帳!$A$3:$L$4986,12,FALSE))</f>
        <v>25</v>
      </c>
      <c r="L629" s="270" t="str">
        <f>IF(D629="","",INDEX(製品マスタ!$Q$5:$Q$5002,MATCH('S4'!F629&amp;'S4'!K629,製品マスタ!$AO$5:$AO$5002,0)))</f>
        <v>BRIGHT</v>
      </c>
      <c r="M629" s="39">
        <v>1005</v>
      </c>
      <c r="N629" s="39">
        <v>8000</v>
      </c>
      <c r="O629" s="156">
        <v>1</v>
      </c>
      <c r="P629" s="47">
        <v>1</v>
      </c>
      <c r="Q629" s="213">
        <v>45079</v>
      </c>
      <c r="R629" s="271">
        <f ca="1">IF(D629="","",IF(OFFSET(D629,-1,0)&lt;&gt;"","",IF(OR(J629="リード付け",J629="巻足し",J629="巻返しリード付け"),M629,VLOOKUP(D629,契約台帳!$A$3:$N$4986,14,FALSE))))</f>
        <v>1005</v>
      </c>
      <c r="S629" s="272">
        <f ca="1">IF(D629="","",IF(OFFSET(D629,-1,0)&lt;&gt;"","",IF(OR(J629="リード付け",J629="巻足し",J629="巻返しリード付け"),M629,VLOOKUP(D629,契約台帳!$A$3:$O$4986,15,FALSE))))</f>
        <v>1005</v>
      </c>
      <c r="T629" s="273">
        <f ca="1">IF(D629="","",IF(J629="リード付け",N629,IF(J629="巻返しリード付け",N629,IF(J629="巻足し",N629*P629+OFFSET(N629,1,0)*OFFSET(P629,1,0),VLOOKUP(D629,契約台帳!$A$3:$P$4986,16,FALSE)))))</f>
        <v>8000</v>
      </c>
      <c r="U629" s="40">
        <v>1</v>
      </c>
      <c r="V629" s="274">
        <f ca="1">IF(D629="","",IF(OFFSET(D629,-2,0)=D629,"",VLOOKUP(D629,契約台帳!$A$3:$R$4986,18,FALSE)))</f>
        <v>1</v>
      </c>
      <c r="W629" s="269" t="str">
        <f ca="1">IF(D629="","",IF(T629="","",IF(OR(J629="巻足し",J629="巻返しリード付け"),"",IF(J629="巻返し",VLOOKUP(F629&amp;K629&amp;M629,製品マスタ!$M$5:$AD$5002,18,FALSE),IF(OR(J629="リード付け",J629="巻返しリード付け"),"原反コア",IF(J629="スリット",VLOOKUP(F629&amp;K629&amp;R629,製品マスタ!$N$5:$AD$5002,17,FALSE),""))))))</f>
        <v>原反コア</v>
      </c>
      <c r="X629" s="269" t="str">
        <f ca="1">IF(D629="","",IF(T629="","",IF(J629="巻足し","",IF(J629="巻返し",VLOOKUP(F629&amp;K629&amp;M629,製品マスタ!$M$5:$AE$5002,19,FALSE),IF(OR(J629="リード付け",J629="巻返しリード付け"),"",IF(J629="スリット",VLOOKUP(F629&amp;K629&amp;R629,製品マスタ!$N$5:$AE$5002,18,FALSE),""))))))</f>
        <v/>
      </c>
      <c r="Y629" s="275">
        <f ca="1">IF(D629="","",IF(T629="","",VLOOKUP(D629,契約台帳!$A$3:$Q$4986,17,FALSE)))</f>
        <v>2</v>
      </c>
      <c r="Z629" s="269" t="str">
        <f ca="1">IF(D629="","",IF(T629="","",VLOOKUP(D629,契約台帳!$A$3:$E$4986,5,FALSE)))</f>
        <v>リンテック㈱</v>
      </c>
      <c r="AA629" s="57"/>
      <c r="AB629" s="207" t="s">
        <v>774</v>
      </c>
      <c r="AC629" s="33"/>
      <c r="AD629" s="189"/>
      <c r="AE629" s="54"/>
      <c r="AF629" s="55">
        <f>+M629*N629*O629/1000</f>
        <v>8040</v>
      </c>
      <c r="AG629" s="43"/>
      <c r="AH629" s="47"/>
      <c r="AI629" s="30"/>
      <c r="AJ629" s="30"/>
      <c r="AK629" s="30"/>
      <c r="AL629" s="30"/>
      <c r="AM629" s="13"/>
      <c r="AN629" s="13"/>
      <c r="AO629" s="13"/>
      <c r="AP629" s="13"/>
      <c r="AQ629" s="13"/>
      <c r="AR629" s="14"/>
      <c r="AS629" s="15"/>
    </row>
    <row r="630" spans="1:45" s="17" customFormat="1" ht="30.95" hidden="1" customHeight="1" x14ac:dyDescent="0.2">
      <c r="A630" s="37"/>
      <c r="B630" s="38"/>
      <c r="C630" s="45"/>
      <c r="D630" s="31"/>
      <c r="E630" s="31"/>
      <c r="F630" s="268"/>
      <c r="G630" s="269"/>
      <c r="H630" s="269"/>
      <c r="I630" s="270"/>
      <c r="J630" s="210"/>
      <c r="K630" s="270"/>
      <c r="L630" s="270"/>
      <c r="M630" s="39"/>
      <c r="N630" s="39"/>
      <c r="O630" s="156"/>
      <c r="P630" s="47"/>
      <c r="Q630" s="57"/>
      <c r="R630" s="271"/>
      <c r="S630" s="272"/>
      <c r="T630" s="273"/>
      <c r="U630" s="40"/>
      <c r="V630" s="274"/>
      <c r="W630" s="269"/>
      <c r="X630" s="269"/>
      <c r="Y630" s="275"/>
      <c r="Z630" s="269"/>
      <c r="AA630" s="57"/>
      <c r="AB630" s="207"/>
      <c r="AC630" s="33"/>
      <c r="AD630" s="189"/>
      <c r="AE630" s="54"/>
      <c r="AF630" s="55"/>
      <c r="AG630" s="43"/>
      <c r="AH630" s="47"/>
      <c r="AI630" s="30"/>
      <c r="AJ630" s="30"/>
      <c r="AK630" s="30"/>
      <c r="AL630" s="30"/>
      <c r="AM630" s="13"/>
      <c r="AN630" s="13"/>
      <c r="AO630" s="13"/>
      <c r="AP630" s="13"/>
      <c r="AQ630" s="13"/>
      <c r="AR630" s="14"/>
      <c r="AS630" s="15"/>
    </row>
    <row r="631" spans="1:45" s="17" customFormat="1" ht="30.95" hidden="1" customHeight="1" x14ac:dyDescent="0.2">
      <c r="A631" s="37" t="s">
        <v>1172</v>
      </c>
      <c r="B631" s="38" t="s">
        <v>1175</v>
      </c>
      <c r="C631" s="45"/>
      <c r="D631" s="31"/>
      <c r="E631" s="31"/>
      <c r="F631" s="268"/>
      <c r="G631" s="269"/>
      <c r="H631" s="269"/>
      <c r="I631" s="270"/>
      <c r="J631" s="210" t="s">
        <v>1221</v>
      </c>
      <c r="K631" s="270"/>
      <c r="L631" s="270"/>
      <c r="M631" s="39"/>
      <c r="N631" s="39"/>
      <c r="O631" s="156"/>
      <c r="P631" s="47"/>
      <c r="Q631" s="57"/>
      <c r="R631" s="271"/>
      <c r="S631" s="272"/>
      <c r="T631" s="273"/>
      <c r="U631" s="40"/>
      <c r="V631" s="274"/>
      <c r="W631" s="269"/>
      <c r="X631" s="269"/>
      <c r="Y631" s="275"/>
      <c r="Z631" s="269"/>
      <c r="AA631" s="57"/>
      <c r="AB631" s="207"/>
      <c r="AC631" s="33"/>
      <c r="AD631" s="189"/>
      <c r="AE631" s="54"/>
      <c r="AF631" s="55"/>
      <c r="AG631" s="43"/>
      <c r="AH631" s="47"/>
      <c r="AI631" s="30"/>
      <c r="AJ631" s="30"/>
      <c r="AK631" s="30"/>
      <c r="AL631" s="30"/>
      <c r="AM631" s="13"/>
      <c r="AN631" s="13"/>
      <c r="AO631" s="13"/>
      <c r="AP631" s="13"/>
      <c r="AQ631" s="13"/>
      <c r="AR631" s="14"/>
      <c r="AS631" s="15"/>
    </row>
    <row r="632" spans="1:45" s="17" customFormat="1" ht="30.95" hidden="1" customHeight="1" x14ac:dyDescent="0.2">
      <c r="A632" s="37"/>
      <c r="B632" s="38"/>
      <c r="C632" s="45"/>
      <c r="D632" s="31"/>
      <c r="E632" s="31"/>
      <c r="F632" s="268"/>
      <c r="G632" s="269"/>
      <c r="H632" s="269"/>
      <c r="I632" s="270"/>
      <c r="J632" s="210"/>
      <c r="K632" s="270"/>
      <c r="L632" s="270"/>
      <c r="M632" s="39"/>
      <c r="N632" s="39"/>
      <c r="O632" s="156"/>
      <c r="P632" s="47"/>
      <c r="Q632" s="57"/>
      <c r="R632" s="271"/>
      <c r="S632" s="272"/>
      <c r="T632" s="273"/>
      <c r="U632" s="40"/>
      <c r="V632" s="274"/>
      <c r="W632" s="269"/>
      <c r="X632" s="269"/>
      <c r="Y632" s="275"/>
      <c r="Z632" s="269"/>
      <c r="AA632" s="57"/>
      <c r="AB632" s="207"/>
      <c r="AC632" s="33"/>
      <c r="AD632" s="189"/>
      <c r="AE632" s="54"/>
      <c r="AF632" s="55"/>
      <c r="AG632" s="43"/>
      <c r="AH632" s="47"/>
      <c r="AI632" s="30"/>
      <c r="AJ632" s="30"/>
      <c r="AK632" s="30"/>
      <c r="AL632" s="30"/>
      <c r="AM632" s="13"/>
      <c r="AN632" s="13"/>
      <c r="AO632" s="13"/>
      <c r="AP632" s="13"/>
      <c r="AQ632" s="13"/>
      <c r="AR632" s="14"/>
      <c r="AS632" s="15"/>
    </row>
    <row r="633" spans="1:45" s="17" customFormat="1" ht="30.95" hidden="1" customHeight="1" x14ac:dyDescent="0.2">
      <c r="A633" s="37" t="s">
        <v>1174</v>
      </c>
      <c r="B633" s="38" t="s">
        <v>1177</v>
      </c>
      <c r="C633" s="45"/>
      <c r="D633" s="31"/>
      <c r="E633" s="31"/>
      <c r="F633" s="268"/>
      <c r="G633" s="269"/>
      <c r="H633" s="269"/>
      <c r="I633" s="270"/>
      <c r="J633" s="210" t="s">
        <v>1221</v>
      </c>
      <c r="K633" s="270"/>
      <c r="L633" s="270"/>
      <c r="M633" s="39"/>
      <c r="N633" s="39"/>
      <c r="O633" s="156"/>
      <c r="P633" s="47"/>
      <c r="Q633" s="57"/>
      <c r="R633" s="271"/>
      <c r="S633" s="272"/>
      <c r="T633" s="273"/>
      <c r="U633" s="40"/>
      <c r="V633" s="274"/>
      <c r="W633" s="269"/>
      <c r="X633" s="269"/>
      <c r="Y633" s="275"/>
      <c r="Z633" s="269"/>
      <c r="AA633" s="57"/>
      <c r="AB633" s="207"/>
      <c r="AC633" s="33"/>
      <c r="AD633" s="189"/>
      <c r="AE633" s="54"/>
      <c r="AF633" s="55"/>
      <c r="AG633" s="43"/>
      <c r="AH633" s="47"/>
      <c r="AI633" s="30"/>
      <c r="AJ633" s="30"/>
      <c r="AK633" s="30"/>
      <c r="AL633" s="30"/>
      <c r="AM633" s="13"/>
      <c r="AN633" s="13"/>
      <c r="AO633" s="13"/>
      <c r="AP633" s="13"/>
      <c r="AQ633" s="13"/>
      <c r="AR633" s="14"/>
      <c r="AS633" s="15"/>
    </row>
    <row r="634" spans="1:45" s="17" customFormat="1" ht="30.95" hidden="1" customHeight="1" x14ac:dyDescent="0.2">
      <c r="A634" s="37"/>
      <c r="B634" s="38"/>
      <c r="C634" s="45"/>
      <c r="D634" s="31"/>
      <c r="E634" s="31"/>
      <c r="F634" s="268"/>
      <c r="G634" s="269"/>
      <c r="H634" s="269"/>
      <c r="I634" s="270"/>
      <c r="J634" s="210"/>
      <c r="K634" s="270"/>
      <c r="L634" s="270"/>
      <c r="M634" s="39"/>
      <c r="N634" s="39"/>
      <c r="O634" s="156"/>
      <c r="P634" s="47"/>
      <c r="Q634" s="57"/>
      <c r="R634" s="271"/>
      <c r="S634" s="272"/>
      <c r="T634" s="273"/>
      <c r="U634" s="40"/>
      <c r="V634" s="274"/>
      <c r="W634" s="269"/>
      <c r="X634" s="269"/>
      <c r="Y634" s="275"/>
      <c r="Z634" s="269"/>
      <c r="AA634" s="57"/>
      <c r="AB634" s="207"/>
      <c r="AC634" s="33"/>
      <c r="AD634" s="189"/>
      <c r="AE634" s="54"/>
      <c r="AF634" s="55"/>
      <c r="AG634" s="43"/>
      <c r="AH634" s="47"/>
      <c r="AI634" s="30"/>
      <c r="AJ634" s="30"/>
      <c r="AK634" s="30"/>
      <c r="AL634" s="30"/>
      <c r="AM634" s="13"/>
      <c r="AN634" s="13"/>
      <c r="AO634" s="13"/>
      <c r="AP634" s="13"/>
      <c r="AQ634" s="13"/>
      <c r="AR634" s="14"/>
      <c r="AS634" s="15"/>
    </row>
    <row r="635" spans="1:45" s="17" customFormat="1" ht="30.95" hidden="1" customHeight="1" x14ac:dyDescent="0.2">
      <c r="A635" s="37" t="s">
        <v>1176</v>
      </c>
      <c r="B635" s="38" t="s">
        <v>1161</v>
      </c>
      <c r="C635" s="45"/>
      <c r="D635" s="31"/>
      <c r="E635" s="31"/>
      <c r="F635" s="268"/>
      <c r="G635" s="269"/>
      <c r="H635" s="269"/>
      <c r="I635" s="270"/>
      <c r="J635" s="210"/>
      <c r="K635" s="270"/>
      <c r="L635" s="270"/>
      <c r="M635" s="39"/>
      <c r="N635" s="39"/>
      <c r="O635" s="156"/>
      <c r="P635" s="47"/>
      <c r="Q635" s="57"/>
      <c r="R635" s="271"/>
      <c r="S635" s="272"/>
      <c r="T635" s="273"/>
      <c r="U635" s="40"/>
      <c r="V635" s="274"/>
      <c r="W635" s="269"/>
      <c r="X635" s="269"/>
      <c r="Y635" s="275"/>
      <c r="Z635" s="269"/>
      <c r="AA635" s="57"/>
      <c r="AB635" s="303" t="str">
        <f>IFERROR((VLOOKUP(F635&amp;K635&amp;M635,製品マスタ!$M$5:$AM$5002,27,FALSE)),"")</f>
        <v/>
      </c>
      <c r="AC635" s="33"/>
      <c r="AD635" s="189"/>
      <c r="AE635" s="54"/>
      <c r="AF635" s="55"/>
      <c r="AG635" s="43"/>
      <c r="AH635" s="47"/>
      <c r="AI635" s="30"/>
      <c r="AJ635" s="30"/>
      <c r="AK635" s="30"/>
      <c r="AL635" s="30"/>
      <c r="AM635" s="13"/>
      <c r="AN635" s="13"/>
      <c r="AO635" s="13"/>
      <c r="AP635" s="13"/>
      <c r="AQ635" s="13"/>
      <c r="AR635" s="14"/>
      <c r="AS635" s="15"/>
    </row>
    <row r="636" spans="1:45" s="17" customFormat="1" ht="30.95" hidden="1" customHeight="1" x14ac:dyDescent="0.2">
      <c r="A636" s="37"/>
      <c r="B636" s="38"/>
      <c r="C636" s="45"/>
      <c r="D636" s="31"/>
      <c r="E636" s="31"/>
      <c r="F636" s="268"/>
      <c r="G636" s="269"/>
      <c r="H636" s="269"/>
      <c r="I636" s="270"/>
      <c r="J636" s="210"/>
      <c r="K636" s="270"/>
      <c r="L636" s="270"/>
      <c r="M636" s="39"/>
      <c r="N636" s="39"/>
      <c r="O636" s="156"/>
      <c r="P636" s="47"/>
      <c r="Q636" s="57"/>
      <c r="R636" s="271"/>
      <c r="S636" s="272"/>
      <c r="T636" s="273"/>
      <c r="U636" s="40"/>
      <c r="V636" s="274"/>
      <c r="W636" s="269"/>
      <c r="X636" s="269"/>
      <c r="Y636" s="275"/>
      <c r="Z636" s="269"/>
      <c r="AA636" s="57"/>
      <c r="AB636" s="207"/>
      <c r="AC636" s="33"/>
      <c r="AD636" s="189"/>
      <c r="AE636" s="54"/>
      <c r="AF636" s="55"/>
      <c r="AG636" s="43"/>
      <c r="AH636" s="47"/>
      <c r="AI636" s="30"/>
      <c r="AJ636" s="30"/>
      <c r="AK636" s="30"/>
      <c r="AL636" s="30"/>
      <c r="AM636" s="13"/>
      <c r="AN636" s="13"/>
      <c r="AO636" s="13"/>
      <c r="AP636" s="13"/>
      <c r="AQ636" s="13"/>
      <c r="AR636" s="14"/>
      <c r="AS636" s="15"/>
    </row>
    <row r="637" spans="1:45" s="17" customFormat="1" ht="30.95" hidden="1" customHeight="1" x14ac:dyDescent="0.2">
      <c r="A637" s="37" t="s">
        <v>1178</v>
      </c>
      <c r="B637" s="38" t="s">
        <v>1166</v>
      </c>
      <c r="C637" s="45"/>
      <c r="D637" s="31">
        <v>3712101</v>
      </c>
      <c r="E637" s="31">
        <v>4161928</v>
      </c>
      <c r="F637" s="268" t="str">
        <f>IF(D637="","",VLOOKUP(D637,契約台帳!$A$3:$K$4986,6,FALSE)&amp;VLOOKUP(D637,契約台帳!$A$3:$K$4986,7,FALSE)&amp;VLOOKUP(D637,契約台帳!$A$3:$K$4986,8,FALSE)&amp;VLOOKUP(D637,契約台帳!$A$3:$K$4986,9,FALSE)&amp;VLOOKUP(D637,契約台帳!$A$3:$K$4986,11,FALSE))</f>
        <v>3SNMLBMNGKKBF</v>
      </c>
      <c r="G637" s="269" t="str">
        <f>IF(D637="","",VLOOKUP(F637,製品マスタ!$G$5:$H$5002,2,FALSE))</f>
        <v>S</v>
      </c>
      <c r="H637" s="269" t="str">
        <f>IF(D637="","",VLOOKUP(F637,製品マスタ!$G$5:$K$5002,5,FALSE))</f>
        <v>MNGKKBF</v>
      </c>
      <c r="I637" s="270" t="str">
        <f>IF(D637="","",VLOOKUP(F637,製品マスタ!$G$5:$L$5002,6,FALSE))</f>
        <v>メタルミー　ネーマー銀消改　Ｂ</v>
      </c>
      <c r="J637" s="210" t="s">
        <v>935</v>
      </c>
      <c r="K637" s="270">
        <f>IF(D637="","",VLOOKUP(D637,契約台帳!$A$3:$L$4986,12,FALSE))</f>
        <v>50</v>
      </c>
      <c r="L637" s="270" t="str">
        <f>IF(D637="","",INDEX(製品マスタ!$Q$5:$Q$5002,MATCH('S4'!F637&amp;'S4'!K637,製品マスタ!$AO$5:$AO$5002,0)))</f>
        <v>S99-MAT</v>
      </c>
      <c r="M637" s="39">
        <v>1120</v>
      </c>
      <c r="N637" s="39">
        <v>4000</v>
      </c>
      <c r="O637" s="156">
        <v>18</v>
      </c>
      <c r="P637" s="47">
        <v>3</v>
      </c>
      <c r="Q637" s="213">
        <v>45083</v>
      </c>
      <c r="R637" s="271">
        <f ca="1">IF(D637="","",IF(OFFSET(D637,-1,0)&lt;&gt;"","",IF(OR(J637="リード付け",J637="巻足し",J637="巻返しリード付け"),M637,VLOOKUP(D637,契約台帳!$A$3:$N$4986,14,FALSE))))</f>
        <v>1120</v>
      </c>
      <c r="S637" s="272">
        <f ca="1">IF(D637="","",IF(OFFSET(D637,-1,0)&lt;&gt;"","",IF(OR(J637="リード付け",J637="巻足し",J637="巻返しリード付け"),M637,VLOOKUP(D637,契約台帳!$A$3:$O$4986,15,FALSE))))</f>
        <v>1120</v>
      </c>
      <c r="T637" s="273">
        <f ca="1">IF(D637="","",IF(J637="リード付け",N637,IF(J637="巻返しリード付け",N637,IF(J637="巻足し",N637*P637+OFFSET(N637,1,0)*OFFSET(P637,1,0),VLOOKUP(D637,契約台帳!$A$3:$P$4986,16,FALSE)))))</f>
        <v>12000</v>
      </c>
      <c r="U637" s="40">
        <v>6</v>
      </c>
      <c r="V637" s="274">
        <f ca="1">IF(D637="","",IF(OFFSET(D637,-2,0)=D637,"",VLOOKUP(D637,契約台帳!$A$3:$R$4986,18,FALSE)))</f>
        <v>18</v>
      </c>
      <c r="W637" s="269" t="str">
        <f ca="1">IF(D637="","",IF(T637="","",IF(OR(J637="巻足し",J637="巻返しリード付け"),"",IF(J637="巻返し",VLOOKUP(F637&amp;K637&amp;M637,製品マスタ!$M$5:$AD$5002,18,FALSE),IF(OR(J637="リード付け",J637="巻返しリード付け"),"原反コア",IF(J637="スリット",VLOOKUP(F637&amp;K637&amp;R637,製品マスタ!$N$5:$AD$5002,17,FALSE),""))))))</f>
        <v/>
      </c>
      <c r="X637" s="269" t="str">
        <f ca="1">IF(D637="","",IF(T637="","",IF(J637="巻足し","",IF(J637="巻返し",VLOOKUP(F637&amp;K637&amp;M637,製品マスタ!$M$5:$AE$5002,19,FALSE),IF(OR(J637="リード付け",J637="巻返しリード付け"),"",IF(J637="スリット",VLOOKUP(F637&amp;K637&amp;R637,製品マスタ!$N$5:$AE$5002,18,FALSE),""))))))</f>
        <v/>
      </c>
      <c r="Y637" s="275">
        <f ca="1">IF(D637="","",IF(T637="","",VLOOKUP(D637,契約台帳!$A$3:$Q$4986,17,FALSE)))</f>
        <v>2</v>
      </c>
      <c r="Z637" s="269" t="str">
        <f ca="1">IF(D637="","",IF(T637="","",VLOOKUP(D637,契約台帳!$A$3:$E$4986,5,FALSE)))</f>
        <v>リンテック㈱</v>
      </c>
      <c r="AA637" s="57"/>
      <c r="AB637" s="303">
        <f>IFERROR((VLOOKUP(F637&amp;K637&amp;M637,製品マスタ!$M$5:$AM$5002,27,FALSE)),"")</f>
        <v>0</v>
      </c>
      <c r="AC637" s="33"/>
      <c r="AD637" s="189"/>
      <c r="AE637" s="54"/>
      <c r="AF637" s="55">
        <f>+M637*N637*O637/1000</f>
        <v>80640</v>
      </c>
      <c r="AG637" s="43"/>
      <c r="AH637" s="47"/>
      <c r="AI637" s="30"/>
      <c r="AJ637" s="30"/>
      <c r="AK637" s="30"/>
      <c r="AL637" s="30"/>
      <c r="AM637" s="13"/>
      <c r="AN637" s="13"/>
      <c r="AO637" s="13"/>
      <c r="AP637" s="13"/>
      <c r="AQ637" s="13"/>
      <c r="AR637" s="14"/>
      <c r="AS637" s="15"/>
    </row>
    <row r="638" spans="1:45" s="17" customFormat="1" ht="30.95" hidden="1" customHeight="1" x14ac:dyDescent="0.2">
      <c r="A638" s="37"/>
      <c r="B638" s="38"/>
      <c r="C638" s="45"/>
      <c r="D638" s="31"/>
      <c r="E638" s="31"/>
      <c r="F638" s="268"/>
      <c r="G638" s="269"/>
      <c r="H638" s="269"/>
      <c r="I638" s="270"/>
      <c r="J638" s="210"/>
      <c r="K638" s="270"/>
      <c r="L638" s="270"/>
      <c r="M638" s="39"/>
      <c r="N638" s="39"/>
      <c r="O638" s="156"/>
      <c r="P638" s="47"/>
      <c r="Q638" s="57"/>
      <c r="R638" s="271"/>
      <c r="S638" s="272"/>
      <c r="T638" s="273"/>
      <c r="U638" s="40"/>
      <c r="V638" s="274"/>
      <c r="W638" s="269"/>
      <c r="X638" s="269"/>
      <c r="Y638" s="275"/>
      <c r="Z638" s="269"/>
      <c r="AA638" s="57"/>
      <c r="AB638" s="207"/>
      <c r="AC638" s="33"/>
      <c r="AD638" s="189"/>
      <c r="AE638" s="54"/>
      <c r="AF638" s="55"/>
      <c r="AG638" s="43"/>
      <c r="AH638" s="47"/>
      <c r="AI638" s="30"/>
      <c r="AJ638" s="30"/>
      <c r="AK638" s="30"/>
      <c r="AL638" s="30"/>
      <c r="AM638" s="13"/>
      <c r="AN638" s="13"/>
      <c r="AO638" s="13"/>
      <c r="AP638" s="13"/>
      <c r="AQ638" s="13"/>
      <c r="AR638" s="14"/>
      <c r="AS638" s="15"/>
    </row>
    <row r="639" spans="1:45" s="17" customFormat="1" ht="30.95" hidden="1" customHeight="1" x14ac:dyDescent="0.2">
      <c r="A639" s="37" t="s">
        <v>1179</v>
      </c>
      <c r="B639" s="38" t="s">
        <v>1168</v>
      </c>
      <c r="C639" s="45"/>
      <c r="D639" s="31">
        <v>3712103</v>
      </c>
      <c r="E639" s="31">
        <v>4161924</v>
      </c>
      <c r="F639" s="268" t="str">
        <f>IF(D639="","",VLOOKUP(D639,契約台帳!$A$3:$K$4986,6,FALSE)&amp;VLOOKUP(D639,契約台帳!$A$3:$K$4986,7,FALSE)&amp;VLOOKUP(D639,契約台帳!$A$3:$K$4986,8,FALSE)&amp;VLOOKUP(D639,契約台帳!$A$3:$K$4986,9,FALSE)&amp;VLOOKUP(D639,契約台帳!$A$3:$K$4986,11,FALSE))</f>
        <v>3SNMLBMNGKBF</v>
      </c>
      <c r="G639" s="269" t="str">
        <f>IF(D639="","",VLOOKUP(F639,製品マスタ!$G$5:$H$5002,2,FALSE))</f>
        <v>S</v>
      </c>
      <c r="H639" s="269" t="str">
        <f>IF(D639="","",VLOOKUP(F639,製品マスタ!$G$5:$K$5002,5,FALSE))</f>
        <v>MNGKBF</v>
      </c>
      <c r="I639" s="270" t="str">
        <f>IF(D639="","",VLOOKUP(F639,製品マスタ!$G$5:$L$5002,6,FALSE))</f>
        <v>メタルミー　ネーマー銀消　Ｂ</v>
      </c>
      <c r="J639" s="210" t="s">
        <v>935</v>
      </c>
      <c r="K639" s="270">
        <f>IF(D639="","",VLOOKUP(D639,契約台帳!$A$3:$L$4986,12,FALSE))</f>
        <v>50</v>
      </c>
      <c r="L639" s="270" t="str">
        <f>IF(D639="","",INDEX(製品マスタ!$Q$5:$Q$5002,MATCH('S4'!F639&amp;'S4'!K639,製品マスタ!$AO$5:$AO$5002,0)))</f>
        <v>MAT</v>
      </c>
      <c r="M639" s="39">
        <v>1050</v>
      </c>
      <c r="N639" s="39">
        <v>4100</v>
      </c>
      <c r="O639" s="156">
        <v>4</v>
      </c>
      <c r="P639" s="47">
        <v>2</v>
      </c>
      <c r="Q639" s="213">
        <v>45084</v>
      </c>
      <c r="R639" s="271">
        <f ca="1">IF(D639="","",IF(OFFSET(D639,-1,0)&lt;&gt;"","",IF(OR(J639="リード付け",J639="巻足し",J639="巻返しリード付け"),M639,VLOOKUP(D639,契約台帳!$A$3:$N$4986,14,FALSE))))</f>
        <v>1050</v>
      </c>
      <c r="S639" s="272">
        <f ca="1">IF(D639="","",IF(OFFSET(D639,-1,0)&lt;&gt;"","",IF(OR(J639="リード付け",J639="巻足し",J639="巻返しリード付け"),M639,VLOOKUP(D639,契約台帳!$A$3:$O$4986,15,FALSE))))</f>
        <v>1050</v>
      </c>
      <c r="T639" s="273">
        <f ca="1">IF(D639="","",IF(J639="リード付け",N639,IF(J639="巻返しリード付け",N639,IF(J639="巻足し",N639*P639+OFFSET(N639,1,0)*OFFSET(P639,1,0),VLOOKUP(D639,契約台帳!$A$3:$P$4986,16,FALSE)))))</f>
        <v>8200</v>
      </c>
      <c r="U639" s="40">
        <v>2</v>
      </c>
      <c r="V639" s="274">
        <f ca="1">IF(D639="","",IF(OFFSET(D639,-2,0)=D639,"",VLOOKUP(D639,契約台帳!$A$3:$R$4986,18,FALSE)))</f>
        <v>4</v>
      </c>
      <c r="W639" s="269" t="str">
        <f ca="1">IF(D639="","",IF(T639="","",IF(OR(J639="巻足し",J639="巻返しリード付け"),"",IF(J639="巻返し",VLOOKUP(F639&amp;K639&amp;M639,製品マスタ!$M$5:$AD$5002,18,FALSE),IF(OR(J639="リード付け",J639="巻返しリード付け"),"原反コア",IF(J639="スリット",VLOOKUP(F639&amp;K639&amp;R639,製品マスタ!$N$5:$AD$5002,17,FALSE),""))))))</f>
        <v/>
      </c>
      <c r="X639" s="269" t="str">
        <f ca="1">IF(D639="","",IF(T639="","",IF(J639="巻足し","",IF(J639="巻返し",VLOOKUP(F639&amp;K639&amp;M639,製品マスタ!$M$5:$AE$5002,19,FALSE),IF(OR(J639="リード付け",J639="巻返しリード付け"),"",IF(J639="スリット",VLOOKUP(F639&amp;K639&amp;R639,製品マスタ!$N$5:$AE$5002,18,FALSE),""))))))</f>
        <v/>
      </c>
      <c r="Y639" s="275">
        <f ca="1">IF(D639="","",IF(T639="","",VLOOKUP(D639,契約台帳!$A$3:$Q$4986,17,FALSE)))</f>
        <v>2</v>
      </c>
      <c r="Z639" s="269" t="str">
        <f ca="1">IF(D639="","",IF(T639="","",VLOOKUP(D639,契約台帳!$A$3:$E$4986,5,FALSE)))</f>
        <v>リンテック㈱</v>
      </c>
      <c r="AA639" s="57"/>
      <c r="AB639" s="207"/>
      <c r="AC639" s="33"/>
      <c r="AD639" s="189"/>
      <c r="AE639" s="54"/>
      <c r="AF639" s="55">
        <f>+M639*N639*O639/1000</f>
        <v>17220</v>
      </c>
      <c r="AG639" s="43"/>
      <c r="AH639" s="47"/>
      <c r="AI639" s="30"/>
      <c r="AJ639" s="30"/>
      <c r="AK639" s="30"/>
      <c r="AL639" s="30"/>
      <c r="AM639" s="13"/>
      <c r="AN639" s="13"/>
      <c r="AO639" s="13"/>
      <c r="AP639" s="13"/>
      <c r="AQ639" s="13"/>
      <c r="AR639" s="14"/>
      <c r="AS639" s="15"/>
    </row>
    <row r="640" spans="1:45" s="17" customFormat="1" ht="30.95" hidden="1" customHeight="1" x14ac:dyDescent="0.2">
      <c r="A640" s="37"/>
      <c r="B640" s="38"/>
      <c r="C640" s="45"/>
      <c r="D640" s="31"/>
      <c r="E640" s="31"/>
      <c r="F640" s="268"/>
      <c r="G640" s="269"/>
      <c r="H640" s="269"/>
      <c r="I640" s="270"/>
      <c r="J640" s="210"/>
      <c r="K640" s="270"/>
      <c r="L640" s="270"/>
      <c r="M640" s="39"/>
      <c r="N640" s="39"/>
      <c r="O640" s="156"/>
      <c r="P640" s="47"/>
      <c r="Q640" s="57"/>
      <c r="R640" s="271"/>
      <c r="S640" s="272"/>
      <c r="T640" s="273"/>
      <c r="U640" s="40"/>
      <c r="V640" s="274"/>
      <c r="W640" s="269"/>
      <c r="X640" s="269"/>
      <c r="Y640" s="275"/>
      <c r="Z640" s="269"/>
      <c r="AA640" s="57"/>
      <c r="AB640" s="207"/>
      <c r="AC640" s="33"/>
      <c r="AD640" s="189"/>
      <c r="AE640" s="54"/>
      <c r="AF640" s="55"/>
      <c r="AG640" s="43"/>
      <c r="AH640" s="47"/>
      <c r="AI640" s="30"/>
      <c r="AJ640" s="30"/>
      <c r="AK640" s="30"/>
      <c r="AL640" s="30"/>
      <c r="AM640" s="13"/>
      <c r="AN640" s="13"/>
      <c r="AO640" s="13"/>
      <c r="AP640" s="13"/>
      <c r="AQ640" s="13"/>
      <c r="AR640" s="14"/>
      <c r="AS640" s="15"/>
    </row>
    <row r="641" spans="1:45" s="17" customFormat="1" ht="30.95" hidden="1" customHeight="1" x14ac:dyDescent="0.2">
      <c r="A641" s="37" t="s">
        <v>1180</v>
      </c>
      <c r="B641" s="38" t="s">
        <v>1171</v>
      </c>
      <c r="C641" s="45"/>
      <c r="D641" s="31"/>
      <c r="E641" s="31"/>
      <c r="F641" s="268"/>
      <c r="G641" s="269"/>
      <c r="H641" s="269"/>
      <c r="I641" s="270"/>
      <c r="J641" s="210"/>
      <c r="K641" s="270"/>
      <c r="L641" s="270"/>
      <c r="M641" s="39"/>
      <c r="N641" s="39"/>
      <c r="O641" s="156"/>
      <c r="P641" s="47"/>
      <c r="Q641" s="57"/>
      <c r="R641" s="271"/>
      <c r="S641" s="272"/>
      <c r="T641" s="273"/>
      <c r="U641" s="40"/>
      <c r="V641" s="274"/>
      <c r="W641" s="269"/>
      <c r="X641" s="269"/>
      <c r="Y641" s="275"/>
      <c r="Z641" s="269"/>
      <c r="AA641" s="57"/>
      <c r="AB641" s="303" t="str">
        <f>IFERROR((VLOOKUP(F641&amp;K641&amp;M641,製品マスタ!$M$5:$AM$5002,27,FALSE)),"")</f>
        <v/>
      </c>
      <c r="AC641" s="33"/>
      <c r="AD641" s="189"/>
      <c r="AE641" s="54"/>
      <c r="AF641" s="55"/>
      <c r="AG641" s="43"/>
      <c r="AH641" s="47"/>
      <c r="AI641" s="30"/>
      <c r="AJ641" s="30"/>
      <c r="AK641" s="30"/>
      <c r="AL641" s="30"/>
      <c r="AM641" s="13"/>
      <c r="AN641" s="13"/>
      <c r="AO641" s="13"/>
      <c r="AP641" s="13"/>
      <c r="AQ641" s="13"/>
      <c r="AR641" s="14"/>
      <c r="AS641" s="15"/>
    </row>
    <row r="642" spans="1:45" s="17" customFormat="1" ht="30.95" hidden="1" customHeight="1" x14ac:dyDescent="0.2">
      <c r="A642" s="37"/>
      <c r="B642" s="38"/>
      <c r="C642" s="45"/>
      <c r="D642" s="31"/>
      <c r="E642" s="31"/>
      <c r="F642" s="268"/>
      <c r="G642" s="269"/>
      <c r="H642" s="269"/>
      <c r="I642" s="270"/>
      <c r="J642" s="210"/>
      <c r="K642" s="270"/>
      <c r="L642" s="270"/>
      <c r="M642" s="39"/>
      <c r="N642" s="39"/>
      <c r="O642" s="156"/>
      <c r="P642" s="47"/>
      <c r="Q642" s="57"/>
      <c r="R642" s="271"/>
      <c r="S642" s="272"/>
      <c r="T642" s="273"/>
      <c r="U642" s="40"/>
      <c r="V642" s="274"/>
      <c r="W642" s="269"/>
      <c r="X642" s="269"/>
      <c r="Y642" s="275"/>
      <c r="Z642" s="269"/>
      <c r="AA642" s="57"/>
      <c r="AB642" s="207"/>
      <c r="AC642" s="33"/>
      <c r="AD642" s="189"/>
      <c r="AE642" s="54"/>
      <c r="AF642" s="55"/>
      <c r="AG642" s="43"/>
      <c r="AH642" s="47"/>
      <c r="AI642" s="30"/>
      <c r="AJ642" s="30"/>
      <c r="AK642" s="30"/>
      <c r="AL642" s="30"/>
      <c r="AM642" s="13"/>
      <c r="AN642" s="13"/>
      <c r="AO642" s="13"/>
      <c r="AP642" s="13"/>
      <c r="AQ642" s="13"/>
      <c r="AR642" s="14"/>
      <c r="AS642" s="15"/>
    </row>
    <row r="643" spans="1:45" s="17" customFormat="1" ht="30.95" hidden="1" customHeight="1" x14ac:dyDescent="0.2">
      <c r="A643" s="37" t="s">
        <v>1181</v>
      </c>
      <c r="B643" s="38" t="s">
        <v>1173</v>
      </c>
      <c r="C643" s="45"/>
      <c r="D643" s="31">
        <v>3712102</v>
      </c>
      <c r="E643" s="31">
        <v>4161929</v>
      </c>
      <c r="F643" s="268" t="str">
        <f>IF(D643="","",VLOOKUP(D643,契約台帳!$A$3:$K$4986,6,FALSE)&amp;VLOOKUP(D643,契約台帳!$A$3:$K$4986,7,FALSE)&amp;VLOOKUP(D643,契約台帳!$A$3:$K$4986,8,FALSE)&amp;VLOOKUP(D643,契約台帳!$A$3:$K$4986,9,FALSE)&amp;VLOOKUP(D643,契約台帳!$A$3:$K$4986,11,FALSE))</f>
        <v>3SNMLBMNGKKBF</v>
      </c>
      <c r="G643" s="269" t="str">
        <f>IF(D643="","",VLOOKUP(F643,製品マスタ!$G$5:$H$5002,2,FALSE))</f>
        <v>S</v>
      </c>
      <c r="H643" s="269" t="str">
        <f>IF(D643="","",VLOOKUP(F643,製品マスタ!$G$5:$K$5002,5,FALSE))</f>
        <v>MNGKKBF</v>
      </c>
      <c r="I643" s="270" t="str">
        <f>IF(D643="","",VLOOKUP(F643,製品マスタ!$G$5:$L$5002,6,FALSE))</f>
        <v>メタルミー　ネーマー銀消改　Ｂ</v>
      </c>
      <c r="J643" s="210" t="s">
        <v>935</v>
      </c>
      <c r="K643" s="270">
        <f>IF(D643="","",VLOOKUP(D643,契約台帳!$A$3:$L$4986,12,FALSE))</f>
        <v>50</v>
      </c>
      <c r="L643" s="270" t="str">
        <f>IF(D643="","",INDEX(製品マスタ!$Q$5:$Q$5002,MATCH('S4'!F643&amp;'S4'!K643,製品マスタ!$AO$5:$AO$5002,0)))</f>
        <v>S99-MAT</v>
      </c>
      <c r="M643" s="39">
        <v>1120</v>
      </c>
      <c r="N643" s="39">
        <v>4000</v>
      </c>
      <c r="O643" s="156">
        <v>9</v>
      </c>
      <c r="P643" s="47">
        <v>3</v>
      </c>
      <c r="Q643" s="213">
        <v>45086</v>
      </c>
      <c r="R643" s="271">
        <f ca="1">IF(D643="","",IF(OFFSET(D643,-1,0)&lt;&gt;"","",IF(OR(J643="リード付け",J643="巻足し",J643="巻返しリード付け"),M643,VLOOKUP(D643,契約台帳!$A$3:$N$4986,14,FALSE))))</f>
        <v>1120</v>
      </c>
      <c r="S643" s="272">
        <f ca="1">IF(D643="","",IF(OFFSET(D643,-1,0)&lt;&gt;"","",IF(OR(J643="リード付け",J643="巻足し",J643="巻返しリード付け"),M643,VLOOKUP(D643,契約台帳!$A$3:$O$4986,15,FALSE))))</f>
        <v>1120</v>
      </c>
      <c r="T643" s="273">
        <f ca="1">IF(D643="","",IF(J643="リード付け",N643,IF(J643="巻返しリード付け",N643,IF(J643="巻足し",N643*P643+OFFSET(N643,1,0)*OFFSET(P643,1,0),VLOOKUP(D643,契約台帳!$A$3:$P$4986,16,FALSE)))))</f>
        <v>12000</v>
      </c>
      <c r="U643" s="40">
        <v>3</v>
      </c>
      <c r="V643" s="274">
        <f ca="1">IF(D643="","",IF(OFFSET(D643,-2,0)=D643,"",VLOOKUP(D643,契約台帳!$A$3:$R$4986,18,FALSE)))</f>
        <v>9</v>
      </c>
      <c r="W643" s="269" t="str">
        <f ca="1">IF(D643="","",IF(T643="","",IF(OR(J643="巻足し",J643="巻返しリード付け"),"",IF(J643="巻返し",VLOOKUP(F643&amp;K643&amp;M643,製品マスタ!$M$5:$AD$5002,18,FALSE),IF(OR(J643="リード付け",J643="巻返しリード付け"),"原反コア",IF(J643="スリット",VLOOKUP(F643&amp;K643&amp;R643,製品マスタ!$N$5:$AD$5002,17,FALSE),""))))))</f>
        <v/>
      </c>
      <c r="X643" s="269" t="str">
        <f ca="1">IF(D643="","",IF(T643="","",IF(J643="巻足し","",IF(J643="巻返し",VLOOKUP(F643&amp;K643&amp;M643,製品マスタ!$M$5:$AE$5002,19,FALSE),IF(OR(J643="リード付け",J643="巻返しリード付け"),"",IF(J643="スリット",VLOOKUP(F643&amp;K643&amp;R643,製品マスタ!$N$5:$AE$5002,18,FALSE),""))))))</f>
        <v/>
      </c>
      <c r="Y643" s="275">
        <f ca="1">IF(D643="","",IF(T643="","",VLOOKUP(D643,契約台帳!$A$3:$Q$4986,17,FALSE)))</f>
        <v>2</v>
      </c>
      <c r="Z643" s="269" t="str">
        <f ca="1">IF(D643="","",IF(T643="","",VLOOKUP(D643,契約台帳!$A$3:$E$4986,5,FALSE)))</f>
        <v>リンテック㈱</v>
      </c>
      <c r="AA643" s="57"/>
      <c r="AB643" s="207"/>
      <c r="AC643" s="33"/>
      <c r="AD643" s="189"/>
      <c r="AE643" s="54"/>
      <c r="AF643" s="55">
        <f>+M643*N643*O643/1000</f>
        <v>40320</v>
      </c>
      <c r="AG643" s="43"/>
      <c r="AH643" s="47"/>
      <c r="AI643" s="30"/>
      <c r="AJ643" s="30"/>
      <c r="AK643" s="30"/>
      <c r="AL643" s="30"/>
      <c r="AM643" s="13"/>
      <c r="AN643" s="13"/>
      <c r="AO643" s="13"/>
      <c r="AP643" s="13"/>
      <c r="AQ643" s="13"/>
      <c r="AR643" s="14"/>
      <c r="AS643" s="15"/>
    </row>
    <row r="644" spans="1:45" s="17" customFormat="1" ht="30.95" hidden="1" customHeight="1" x14ac:dyDescent="0.2">
      <c r="A644" s="37"/>
      <c r="B644" s="38"/>
      <c r="C644" s="45"/>
      <c r="D644" s="31"/>
      <c r="E644" s="31"/>
      <c r="F644" s="268"/>
      <c r="G644" s="269"/>
      <c r="H644" s="269"/>
      <c r="I644" s="270"/>
      <c r="J644" s="210"/>
      <c r="K644" s="270"/>
      <c r="L644" s="270"/>
      <c r="M644" s="39"/>
      <c r="N644" s="39"/>
      <c r="O644" s="156"/>
      <c r="P644" s="47"/>
      <c r="Q644" s="57"/>
      <c r="R644" s="271"/>
      <c r="S644" s="272"/>
      <c r="T644" s="273"/>
      <c r="U644" s="40"/>
      <c r="V644" s="274"/>
      <c r="W644" s="269"/>
      <c r="X644" s="269"/>
      <c r="Y644" s="275"/>
      <c r="Z644" s="269"/>
      <c r="AA644" s="57"/>
      <c r="AB644" s="207"/>
      <c r="AC644" s="33"/>
      <c r="AD644" s="189"/>
      <c r="AE644" s="54"/>
      <c r="AF644" s="55"/>
      <c r="AG644" s="43"/>
      <c r="AH644" s="47"/>
      <c r="AI644" s="30"/>
      <c r="AJ644" s="30"/>
      <c r="AK644" s="30"/>
      <c r="AL644" s="30"/>
      <c r="AM644" s="13"/>
      <c r="AN644" s="13"/>
      <c r="AO644" s="13"/>
      <c r="AP644" s="13"/>
      <c r="AQ644" s="13"/>
      <c r="AR644" s="14"/>
      <c r="AS644" s="15"/>
    </row>
    <row r="645" spans="1:45" s="17" customFormat="1" ht="30.95" hidden="1" customHeight="1" x14ac:dyDescent="0.2">
      <c r="A645" s="37" t="s">
        <v>1182</v>
      </c>
      <c r="B645" s="38" t="s">
        <v>1175</v>
      </c>
      <c r="C645" s="45"/>
      <c r="D645" s="31"/>
      <c r="E645" s="31"/>
      <c r="F645" s="268"/>
      <c r="G645" s="269"/>
      <c r="H645" s="269"/>
      <c r="I645" s="270"/>
      <c r="J645" s="210" t="s">
        <v>1221</v>
      </c>
      <c r="K645" s="270"/>
      <c r="L645" s="270"/>
      <c r="M645" s="39"/>
      <c r="N645" s="39"/>
      <c r="O645" s="156"/>
      <c r="P645" s="47"/>
      <c r="Q645" s="57"/>
      <c r="R645" s="271"/>
      <c r="S645" s="272"/>
      <c r="T645" s="273"/>
      <c r="U645" s="40"/>
      <c r="V645" s="274"/>
      <c r="W645" s="269"/>
      <c r="X645" s="269"/>
      <c r="Y645" s="275"/>
      <c r="Z645" s="269"/>
      <c r="AA645" s="57"/>
      <c r="AB645" s="207"/>
      <c r="AC645" s="33"/>
      <c r="AD645" s="189"/>
      <c r="AE645" s="54"/>
      <c r="AF645" s="55"/>
      <c r="AG645" s="43"/>
      <c r="AH645" s="47"/>
      <c r="AI645" s="30"/>
      <c r="AJ645" s="30"/>
      <c r="AK645" s="30"/>
      <c r="AL645" s="30"/>
      <c r="AM645" s="13"/>
      <c r="AN645" s="13"/>
      <c r="AO645" s="13"/>
      <c r="AP645" s="13"/>
      <c r="AQ645" s="13"/>
      <c r="AR645" s="14"/>
      <c r="AS645" s="15"/>
    </row>
    <row r="646" spans="1:45" s="17" customFormat="1" ht="30.95" hidden="1" customHeight="1" x14ac:dyDescent="0.2">
      <c r="A646" s="37"/>
      <c r="B646" s="38"/>
      <c r="C646" s="45"/>
      <c r="D646" s="31"/>
      <c r="E646" s="31"/>
      <c r="F646" s="268"/>
      <c r="G646" s="269"/>
      <c r="H646" s="269"/>
      <c r="I646" s="270"/>
      <c r="J646" s="210"/>
      <c r="K646" s="270"/>
      <c r="L646" s="270"/>
      <c r="M646" s="39"/>
      <c r="N646" s="39"/>
      <c r="O646" s="156"/>
      <c r="P646" s="47"/>
      <c r="Q646" s="57"/>
      <c r="R646" s="271"/>
      <c r="S646" s="272"/>
      <c r="T646" s="273"/>
      <c r="U646" s="40"/>
      <c r="V646" s="274"/>
      <c r="W646" s="269"/>
      <c r="X646" s="269"/>
      <c r="Y646" s="275"/>
      <c r="Z646" s="269"/>
      <c r="AA646" s="57"/>
      <c r="AB646" s="207"/>
      <c r="AC646" s="33"/>
      <c r="AD646" s="189"/>
      <c r="AE646" s="54"/>
      <c r="AF646" s="55"/>
      <c r="AG646" s="43"/>
      <c r="AH646" s="47"/>
      <c r="AI646" s="30"/>
      <c r="AJ646" s="30"/>
      <c r="AK646" s="30"/>
      <c r="AL646" s="30"/>
      <c r="AM646" s="13"/>
      <c r="AN646" s="13"/>
      <c r="AO646" s="13"/>
      <c r="AP646" s="13"/>
      <c r="AQ646" s="13"/>
      <c r="AR646" s="14"/>
      <c r="AS646" s="15"/>
    </row>
    <row r="647" spans="1:45" s="17" customFormat="1" ht="30.95" hidden="1" customHeight="1" x14ac:dyDescent="0.2">
      <c r="A647" s="37" t="s">
        <v>1183</v>
      </c>
      <c r="B647" s="38" t="s">
        <v>1177</v>
      </c>
      <c r="C647" s="45"/>
      <c r="D647" s="31"/>
      <c r="E647" s="31"/>
      <c r="F647" s="268"/>
      <c r="G647" s="269"/>
      <c r="H647" s="269"/>
      <c r="I647" s="270"/>
      <c r="J647" s="210" t="s">
        <v>1221</v>
      </c>
      <c r="K647" s="270"/>
      <c r="L647" s="270"/>
      <c r="M647" s="39"/>
      <c r="N647" s="39"/>
      <c r="O647" s="156"/>
      <c r="P647" s="47"/>
      <c r="Q647" s="57"/>
      <c r="R647" s="271"/>
      <c r="S647" s="272"/>
      <c r="T647" s="273"/>
      <c r="U647" s="40"/>
      <c r="V647" s="274"/>
      <c r="W647" s="269"/>
      <c r="X647" s="269"/>
      <c r="Y647" s="275"/>
      <c r="Z647" s="269"/>
      <c r="AA647" s="57"/>
      <c r="AB647" s="207"/>
      <c r="AC647" s="33"/>
      <c r="AD647" s="189"/>
      <c r="AE647" s="54"/>
      <c r="AF647" s="55"/>
      <c r="AG647" s="43"/>
      <c r="AH647" s="47"/>
      <c r="AI647" s="30"/>
      <c r="AJ647" s="30"/>
      <c r="AK647" s="30"/>
      <c r="AL647" s="30"/>
      <c r="AM647" s="13"/>
      <c r="AN647" s="13"/>
      <c r="AO647" s="13"/>
      <c r="AP647" s="13"/>
      <c r="AQ647" s="13"/>
      <c r="AR647" s="14"/>
      <c r="AS647" s="15"/>
    </row>
    <row r="648" spans="1:45" s="17" customFormat="1" ht="30.95" hidden="1" customHeight="1" x14ac:dyDescent="0.2">
      <c r="A648" s="37"/>
      <c r="B648" s="38"/>
      <c r="C648" s="45"/>
      <c r="D648" s="31"/>
      <c r="E648" s="31"/>
      <c r="F648" s="268"/>
      <c r="G648" s="269"/>
      <c r="H648" s="269"/>
      <c r="I648" s="270"/>
      <c r="J648" s="210"/>
      <c r="K648" s="270"/>
      <c r="L648" s="270"/>
      <c r="M648" s="39"/>
      <c r="N648" s="39"/>
      <c r="O648" s="156"/>
      <c r="P648" s="47"/>
      <c r="Q648" s="57"/>
      <c r="R648" s="271"/>
      <c r="S648" s="272"/>
      <c r="T648" s="273"/>
      <c r="U648" s="40"/>
      <c r="V648" s="274"/>
      <c r="W648" s="269"/>
      <c r="X648" s="269"/>
      <c r="Y648" s="275"/>
      <c r="Z648" s="269"/>
      <c r="AA648" s="57"/>
      <c r="AB648" s="207"/>
      <c r="AC648" s="33"/>
      <c r="AD648" s="189"/>
      <c r="AE648" s="54"/>
      <c r="AF648" s="55"/>
      <c r="AG648" s="43"/>
      <c r="AH648" s="47"/>
      <c r="AI648" s="30"/>
      <c r="AJ648" s="30"/>
      <c r="AK648" s="30"/>
      <c r="AL648" s="30"/>
      <c r="AM648" s="13"/>
      <c r="AN648" s="13"/>
      <c r="AO648" s="13"/>
      <c r="AP648" s="13"/>
      <c r="AQ648" s="13"/>
      <c r="AR648" s="14"/>
      <c r="AS648" s="15"/>
    </row>
    <row r="649" spans="1:45" s="17" customFormat="1" ht="30.95" hidden="1" customHeight="1" x14ac:dyDescent="0.2">
      <c r="A649" s="37" t="s">
        <v>1184</v>
      </c>
      <c r="B649" s="38" t="s">
        <v>462</v>
      </c>
      <c r="C649" s="45"/>
      <c r="D649" s="31">
        <v>3712094</v>
      </c>
      <c r="E649" s="31">
        <v>4140961</v>
      </c>
      <c r="F649" s="268" t="str">
        <f>IF(D649="","",VLOOKUP(D649,契約台帳!$A$3:$K$4986,6,FALSE)&amp;VLOOKUP(D649,契約台帳!$A$3:$K$4986,7,FALSE)&amp;VLOOKUP(D649,契約台帳!$A$3:$K$4986,8,FALSE)&amp;VLOOKUP(D649,契約台帳!$A$3:$K$4986,9,FALSE)&amp;VLOOKUP(D649,契約台帳!$A$3:$K$4986,11,FALSE))</f>
        <v>3SNCLBLEYK</v>
      </c>
      <c r="G649" s="269" t="str">
        <f>IF(D649="","",VLOOKUP(F649,製品マスタ!$G$5:$H$5002,2,FALSE))</f>
        <v>S</v>
      </c>
      <c r="H649" s="269" t="str">
        <f>IF(D649="","",VLOOKUP(F649,製品マスタ!$G$5:$K$5002,5,FALSE))</f>
        <v>LEYK</v>
      </c>
      <c r="I649" s="270" t="str">
        <f>IF(D649="","",VLOOKUP(F649,製品マスタ!$G$5:$L$5002,6,FALSE))</f>
        <v>ルミラー　ＥＹＫ</v>
      </c>
      <c r="J649" s="210" t="s">
        <v>447</v>
      </c>
      <c r="K649" s="270">
        <f>IF(D649="","",VLOOKUP(D649,契約台帳!$A$3:$L$4986,12,FALSE))</f>
        <v>50</v>
      </c>
      <c r="L649" s="270" t="str">
        <f>IF(D649="","",INDEX(製品マスタ!$Q$5:$Q$5002,MATCH('S4'!F649&amp;'S4'!K649,製品マスタ!$AO$5:$AO$5002,0)))</f>
        <v>T62M</v>
      </c>
      <c r="M649" s="39">
        <v>1125</v>
      </c>
      <c r="N649" s="39">
        <v>6100</v>
      </c>
      <c r="O649" s="156">
        <v>3</v>
      </c>
      <c r="P649" s="47">
        <v>3</v>
      </c>
      <c r="Q649" s="57"/>
      <c r="R649" s="271">
        <f ca="1">IF(D649="","",IF(OFFSET(D649,-1,0)&lt;&gt;"","",IF(OR(J649="リード付け",J649="巻足し",J649="巻返しリード付け"),M649,VLOOKUP(D649,契約台帳!$A$3:$N$4986,14,FALSE))))</f>
        <v>1120</v>
      </c>
      <c r="S649" s="272">
        <f ca="1">IF(D649="","",IF(OFFSET(D649,-1,0)&lt;&gt;"","",IF(OR(J649="リード付け",J649="巻足し",J649="巻返しリード付け"),M649,VLOOKUP(D649,契約台帳!$A$3:$O$4986,15,FALSE))))</f>
        <v>1120</v>
      </c>
      <c r="T649" s="273">
        <f ca="1">IF(D649="","",IF(J649="リード付け",N649,IF(J649="巻返しリード付け",N649,IF(J649="巻足し",N649*P649+OFFSET(N649,1,0)*OFFSET(P649,1,0),VLOOKUP(D649,契約台帳!$A$3:$P$4986,16,FALSE)))))</f>
        <v>6000</v>
      </c>
      <c r="U649" s="40">
        <v>3</v>
      </c>
      <c r="V649" s="274">
        <f ca="1">IF(D649="","",IF(OFFSET(D649,-2,0)=D649,"",VLOOKUP(D649,契約台帳!$A$3:$R$4986,18,FALSE)))</f>
        <v>3</v>
      </c>
      <c r="W649" s="269" t="str">
        <f ca="1">IF(D649="","",IF(T649="","",IF(OR(J649="巻足し",J649="巻返しリード付け"),"",IF(J649="巻返し",VLOOKUP(F649&amp;K649&amp;M649,製品マスタ!$M$5:$AD$5002,18,FALSE),IF(OR(J649="リード付け",J649="巻返しリード付け"),"原反コア",IF(J649="スリット",VLOOKUP(F649&amp;K649&amp;R649,製品マスタ!$N$5:$AD$5002,17,FALSE),""))))))</f>
        <v>6ｲﾝﾁMｺｱ</v>
      </c>
      <c r="X649" s="269">
        <f ca="1">IF(D649="","",IF(T649="","",IF(J649="巻足し","",IF(J649="巻返し",VLOOKUP(F649&amp;K649&amp;M649,製品マスタ!$M$5:$AE$5002,19,FALSE),IF(OR(J649="リード付け",J649="巻返しリード付け"),"",IF(J649="スリット",VLOOKUP(F649&amp;K649&amp;R649,製品マスタ!$N$5:$AE$5002,18,FALSE),""))))))</f>
        <v>1140</v>
      </c>
      <c r="Y649" s="275">
        <f ca="1">IF(D649="","",IF(T649="","",VLOOKUP(D649,契約台帳!$A$3:$Q$4986,17,FALSE)))</f>
        <v>2</v>
      </c>
      <c r="Z649" s="269" t="str">
        <f ca="1">IF(D649="","",IF(T649="","",VLOOKUP(D649,契約台帳!$A$3:$E$4986,5,FALSE)))</f>
        <v>新タック化成㈱</v>
      </c>
      <c r="AA649" s="57"/>
      <c r="AB649" s="207" t="str">
        <f>IFERROR((VLOOKUP(F649&amp;K649&amp;M649,製品マスタ!$M$5:$AM$5002,27,FALSE)),"")</f>
        <v>原反ケース再利用</v>
      </c>
      <c r="AC649" s="33"/>
      <c r="AD649" s="189"/>
      <c r="AE649" s="54"/>
      <c r="AF649" s="55"/>
      <c r="AG649" s="43"/>
      <c r="AH649" s="47"/>
      <c r="AI649" s="30"/>
      <c r="AJ649" s="30"/>
      <c r="AK649" s="30"/>
      <c r="AL649" s="30"/>
      <c r="AM649" s="13"/>
      <c r="AN649" s="13"/>
      <c r="AO649" s="13"/>
      <c r="AP649" s="13"/>
      <c r="AQ649" s="13"/>
      <c r="AR649" s="14"/>
      <c r="AS649" s="15"/>
    </row>
    <row r="650" spans="1:45" s="17" customFormat="1" ht="30.95" hidden="1" customHeight="1" x14ac:dyDescent="0.2">
      <c r="A650" s="37"/>
      <c r="B650" s="38"/>
      <c r="C650" s="45"/>
      <c r="D650" s="31"/>
      <c r="E650" s="31"/>
      <c r="F650" s="268" t="str">
        <f>IF(D650="","",VLOOKUP(D650,契約台帳!$A$3:$K$4986,6,FALSE)&amp;VLOOKUP(D650,契約台帳!$A$3:$K$4986,7,FALSE)&amp;VLOOKUP(D650,契約台帳!$A$3:$K$4986,8,FALSE)&amp;VLOOKUP(D650,契約台帳!$A$3:$K$4986,9,FALSE)&amp;VLOOKUP(D650,契約台帳!$A$3:$K$4986,11,FALSE))</f>
        <v/>
      </c>
      <c r="G650" s="269" t="str">
        <f>IF(D650="","",VLOOKUP(F650,製品マスタ!$G$5:$H$5002,2,FALSE))</f>
        <v/>
      </c>
      <c r="H650" s="269" t="str">
        <f>IF(D650="","",VLOOKUP(F650,製品マスタ!$G$5:$K$5002,5,FALSE))</f>
        <v/>
      </c>
      <c r="I650" s="270" t="str">
        <f>IF(D650="","",VLOOKUP(F650,製品マスタ!$G$5:$L$5002,6,FALSE))</f>
        <v/>
      </c>
      <c r="J650" s="210"/>
      <c r="K650" s="270" t="str">
        <f>IF(D650="","",VLOOKUP(D650,契約台帳!$A$3:$L$4986,12,FALSE))</f>
        <v/>
      </c>
      <c r="L650" s="270" t="str">
        <f>IF(D650="","",INDEX(製品マスタ!$Q$5:$Q$5002,MATCH('S4'!F650&amp;'S4'!K650,製品マスタ!$AO$5:$AO$5002,0)))</f>
        <v/>
      </c>
      <c r="M650" s="39"/>
      <c r="N650" s="39"/>
      <c r="O650" s="156"/>
      <c r="P650" s="47"/>
      <c r="Q650" s="57"/>
      <c r="R650" s="271" t="str">
        <f ca="1">IF(D650="","",IF(OFFSET(D650,-1,0)&lt;&gt;"","",IF(OR(J650="リード付け",J650="巻足し",J650="巻返しリード付け"),M650,VLOOKUP(D650,契約台帳!$A$3:$N$4986,14,FALSE))))</f>
        <v/>
      </c>
      <c r="S650" s="272" t="str">
        <f ca="1">IF(D650="","",IF(OFFSET(D650,-1,0)&lt;&gt;"","",IF(OR(J650="リード付け",J650="巻足し",J650="巻返しリード付け"),M650,VLOOKUP(D650,契約台帳!$A$3:$O$4986,15,FALSE))))</f>
        <v/>
      </c>
      <c r="T650" s="273" t="str">
        <f ca="1">IF(D650="","",IF(J650="リード付け",N650,IF(J650="巻返しリード付け",N650,IF(J650="巻足し",N650*P650+OFFSET(N650,1,0)*OFFSET(P650,1,0),VLOOKUP(D650,契約台帳!$A$3:$P$4986,16,FALSE)))))</f>
        <v/>
      </c>
      <c r="U650" s="40"/>
      <c r="V650" s="274" t="str">
        <f ca="1">IF(D650="","",IF(OFFSET(D650,-2,0)=D650,"",VLOOKUP(D650,契約台帳!$A$3:$R$4986,18,FALSE)))</f>
        <v/>
      </c>
      <c r="W650" s="269" t="str">
        <f>IF(D650="","",IF(T650="","",IF(OR(J650="巻足し",J650="巻返しリード付け"),"",IF(J650="巻返し",VLOOKUP(F650&amp;K650&amp;M650,製品マスタ!$M$5:$AD$5002,18,FALSE),IF(OR(J650="リード付け",J650="巻返しリード付け"),"原反コア",IF(J650="スリット",VLOOKUP(F650&amp;K650&amp;R650,製品マスタ!$N$5:$AD$5002,17,FALSE),""))))))</f>
        <v/>
      </c>
      <c r="X650" s="269" t="str">
        <f>IF(D650="","",IF(T650="","",IF(J650="巻足し","",IF(J650="巻返し",VLOOKUP(F650&amp;K650&amp;M650,製品マスタ!$M$5:$AE$5002,19,FALSE),IF(OR(J650="リード付け",J650="巻返しリード付け"),"",IF(J650="スリット",VLOOKUP(F650&amp;K650&amp;R650,製品マスタ!$N$5:$AE$5002,18,FALSE),""))))))</f>
        <v/>
      </c>
      <c r="Y650" s="275" t="str">
        <f>IF(D650="","",IF(T650="","",VLOOKUP(D650,契約台帳!$A$3:$Q$4986,17,FALSE)))</f>
        <v/>
      </c>
      <c r="Z650" s="269" t="str">
        <f>IF(D650="","",IF(T650="","",VLOOKUP(D650,契約台帳!$A$3:$E$4986,5,FALSE)))</f>
        <v/>
      </c>
      <c r="AA650" s="57"/>
      <c r="AB650" s="207" t="str">
        <f>IFERROR((VLOOKUP(F650&amp;K650&amp;M650,製品マスタ!$M$5:$AM$5002,27,FALSE)),"")</f>
        <v/>
      </c>
      <c r="AC650" s="33"/>
      <c r="AD650" s="189"/>
      <c r="AE650" s="54"/>
      <c r="AF650" s="55"/>
      <c r="AG650" s="43"/>
      <c r="AH650" s="47"/>
      <c r="AI650" s="30"/>
      <c r="AJ650" s="30"/>
      <c r="AK650" s="30"/>
      <c r="AL650" s="30"/>
      <c r="AM650" s="13"/>
      <c r="AN650" s="13"/>
      <c r="AO650" s="13"/>
      <c r="AP650" s="13"/>
      <c r="AQ650" s="13"/>
      <c r="AR650" s="14"/>
      <c r="AS650" s="15"/>
    </row>
    <row r="651" spans="1:45" s="17" customFormat="1" ht="30.95" hidden="1" customHeight="1" x14ac:dyDescent="0.2">
      <c r="A651" s="37"/>
      <c r="B651" s="38"/>
      <c r="C651" s="45"/>
      <c r="D651" s="31">
        <v>3712093</v>
      </c>
      <c r="E651" s="31">
        <v>4140962</v>
      </c>
      <c r="F651" s="268" t="str">
        <f>IF(D651="","",VLOOKUP(D651,契約台帳!$A$3:$K$4986,6,FALSE)&amp;VLOOKUP(D651,契約台帳!$A$3:$K$4986,7,FALSE)&amp;VLOOKUP(D651,契約台帳!$A$3:$K$4986,8,FALSE)&amp;VLOOKUP(D651,契約台帳!$A$3:$K$4986,9,FALSE)&amp;VLOOKUP(D651,契約台帳!$A$3:$K$4986,11,FALSE))</f>
        <v>3SNCLBLEYK</v>
      </c>
      <c r="G651" s="269" t="str">
        <f>IF(D651="","",VLOOKUP(F651,製品マスタ!$G$5:$H$5002,2,FALSE))</f>
        <v>S</v>
      </c>
      <c r="H651" s="269" t="str">
        <f>IF(D651="","",VLOOKUP(F651,製品マスタ!$G$5:$K$5002,5,FALSE))</f>
        <v>LEYK</v>
      </c>
      <c r="I651" s="270" t="str">
        <f>IF(D651="","",VLOOKUP(F651,製品マスタ!$G$5:$L$5002,6,FALSE))</f>
        <v>ルミラー　ＥＹＫ</v>
      </c>
      <c r="J651" s="210" t="s">
        <v>447</v>
      </c>
      <c r="K651" s="270">
        <f>IF(D651="","",VLOOKUP(D651,契約台帳!$A$3:$L$4986,12,FALSE))</f>
        <v>25</v>
      </c>
      <c r="L651" s="270" t="str">
        <f>IF(D651="","",INDEX(製品マスタ!$Q$5:$Q$5002,MATCH('S4'!F651&amp;'S4'!K651,製品マスタ!$AO$5:$AO$5002,0)))</f>
        <v>T62M</v>
      </c>
      <c r="M651" s="39">
        <v>1120</v>
      </c>
      <c r="N651" s="39">
        <v>12100</v>
      </c>
      <c r="O651" s="156">
        <v>1</v>
      </c>
      <c r="P651" s="47">
        <v>1</v>
      </c>
      <c r="Q651" s="57"/>
      <c r="R651" s="271">
        <f ca="1">IF(D651="","",IF(OFFSET(D651,-1,0)&lt;&gt;"","",IF(OR(J651="リード付け",J651="巻足し",J651="巻返しリード付け"),M651,VLOOKUP(D651,契約台帳!$A$3:$N$4986,14,FALSE))))</f>
        <v>1120</v>
      </c>
      <c r="S651" s="272">
        <f ca="1">IF(D651="","",IF(OFFSET(D651,-1,0)&lt;&gt;"","",IF(OR(J651="リード付け",J651="巻足し",J651="巻返しリード付け"),M651,VLOOKUP(D651,契約台帳!$A$3:$O$4986,15,FALSE))))</f>
        <v>1120</v>
      </c>
      <c r="T651" s="273">
        <f ca="1">IF(D651="","",IF(J651="リード付け",N651,IF(J651="巻返しリード付け",N651,IF(J651="巻足し",N651*P651+OFFSET(N651,1,0)*OFFSET(P651,1,0),VLOOKUP(D651,契約台帳!$A$3:$P$4986,16,FALSE)))))</f>
        <v>6000</v>
      </c>
      <c r="U651" s="40">
        <v>2</v>
      </c>
      <c r="V651" s="274">
        <f ca="1">IF(D651="","",IF(OFFSET(D651,-2,0)=D651,"",VLOOKUP(D651,契約台帳!$A$3:$R$4986,18,FALSE)))</f>
        <v>2</v>
      </c>
      <c r="W651" s="269" t="str">
        <f ca="1">IF(D651="","",IF(T651="","",IF(OR(J651="巻足し",J651="巻返しリード付け"),"",IF(J651="巻返し",VLOOKUP(F651&amp;K651&amp;M651,製品マスタ!$M$5:$AD$5002,18,FALSE),IF(OR(J651="リード付け",J651="巻返しリード付け"),"原反コア",IF(J651="スリット",VLOOKUP(F651&amp;K651&amp;R651,製品マスタ!$N$5:$AD$5002,17,FALSE),""))))))</f>
        <v>6ｲﾝﾁMｺｱ</v>
      </c>
      <c r="X651" s="269">
        <f ca="1">IF(D651="","",IF(T651="","",IF(J651="巻足し","",IF(J651="巻返し",VLOOKUP(F651&amp;K651&amp;M651,製品マスタ!$M$5:$AE$5002,19,FALSE),IF(OR(J651="リード付け",J651="巻返しリード付け"),"",IF(J651="スリット",VLOOKUP(F651&amp;K651&amp;R651,製品マスタ!$N$5:$AE$5002,18,FALSE),""))))))</f>
        <v>1140</v>
      </c>
      <c r="Y651" s="275">
        <f ca="1">IF(D651="","",IF(T651="","",VLOOKUP(D651,契約台帳!$A$3:$Q$4986,17,FALSE)))</f>
        <v>2</v>
      </c>
      <c r="Z651" s="269" t="str">
        <f ca="1">IF(D651="","",IF(T651="","",VLOOKUP(D651,契約台帳!$A$3:$E$4986,5,FALSE)))</f>
        <v>新タック化成㈱</v>
      </c>
      <c r="AA651" s="57"/>
      <c r="AB651" s="207">
        <f>IFERROR((VLOOKUP(F651&amp;K651&amp;M651,製品マスタ!$M$5:$AM$5002,27,FALSE)),"")</f>
        <v>0</v>
      </c>
      <c r="AC651" s="33"/>
      <c r="AD651" s="189"/>
      <c r="AE651" s="54"/>
      <c r="AF651" s="55"/>
      <c r="AG651" s="43"/>
      <c r="AH651" s="47"/>
      <c r="AI651" s="30"/>
      <c r="AJ651" s="30"/>
      <c r="AK651" s="30"/>
      <c r="AL651" s="30"/>
      <c r="AM651" s="13"/>
      <c r="AN651" s="13"/>
      <c r="AO651" s="13"/>
      <c r="AP651" s="13"/>
      <c r="AQ651" s="13"/>
      <c r="AR651" s="14"/>
      <c r="AS651" s="15"/>
    </row>
    <row r="652" spans="1:45" s="17" customFormat="1" ht="30.95" hidden="1" customHeight="1" x14ac:dyDescent="0.2">
      <c r="A652" s="37"/>
      <c r="B652" s="38"/>
      <c r="C652" s="45"/>
      <c r="D652" s="31"/>
      <c r="E652" s="31"/>
      <c r="F652" s="268"/>
      <c r="G652" s="269"/>
      <c r="H652" s="269"/>
      <c r="I652" s="270"/>
      <c r="J652" s="210"/>
      <c r="K652" s="270"/>
      <c r="L652" s="270"/>
      <c r="M652" s="39"/>
      <c r="N652" s="39"/>
      <c r="O652" s="156"/>
      <c r="P652" s="47"/>
      <c r="Q652" s="57"/>
      <c r="R652" s="271"/>
      <c r="S652" s="272"/>
      <c r="T652" s="273"/>
      <c r="U652" s="40"/>
      <c r="V652" s="274"/>
      <c r="W652" s="269"/>
      <c r="X652" s="269"/>
      <c r="Y652" s="275"/>
      <c r="Z652" s="269"/>
      <c r="AA652" s="57"/>
      <c r="AB652" s="207"/>
      <c r="AC652" s="33"/>
      <c r="AD652" s="189"/>
      <c r="AE652" s="54"/>
      <c r="AF652" s="55"/>
      <c r="AG652" s="43"/>
      <c r="AH652" s="47"/>
      <c r="AI652" s="30"/>
      <c r="AJ652" s="30"/>
      <c r="AK652" s="30"/>
      <c r="AL652" s="30"/>
      <c r="AM652" s="13"/>
      <c r="AN652" s="13"/>
      <c r="AO652" s="13"/>
      <c r="AP652" s="13"/>
      <c r="AQ652" s="13"/>
      <c r="AR652" s="14"/>
      <c r="AS652" s="15"/>
    </row>
    <row r="653" spans="1:45" s="17" customFormat="1" ht="30.95" hidden="1" customHeight="1" x14ac:dyDescent="0.2">
      <c r="A653" s="37"/>
      <c r="B653" s="38"/>
      <c r="C653" s="45"/>
      <c r="D653" s="31">
        <v>3712114</v>
      </c>
      <c r="E653" s="31">
        <v>4140963</v>
      </c>
      <c r="F653" s="268" t="str">
        <f>IF(D653="","",VLOOKUP(D653,契約台帳!$A$3:$K$4986,6,FALSE)&amp;VLOOKUP(D653,契約台帳!$A$3:$K$4986,7,FALSE)&amp;VLOOKUP(D653,契約台帳!$A$3:$K$4986,8,FALSE)&amp;VLOOKUP(D653,契約台帳!$A$3:$K$4986,9,FALSE)&amp;VLOOKUP(D653,契約台帳!$A$3:$K$4986,11,FALSE))</f>
        <v>3SNCLBLMEYK</v>
      </c>
      <c r="G653" s="269" t="str">
        <f>IF(D653="","",VLOOKUP(F653,製品マスタ!$G$5:$H$5002,2,FALSE))</f>
        <v>S</v>
      </c>
      <c r="H653" s="269" t="str">
        <f>IF(D653="","",VLOOKUP(F653,製品マスタ!$G$5:$K$5002,5,FALSE))</f>
        <v>LMEYK</v>
      </c>
      <c r="I653" s="270" t="str">
        <f>IF(D653="","",VLOOKUP(F653,製品マスタ!$G$5:$L$5002,6,FALSE))</f>
        <v>ルミマットＥＹＫ</v>
      </c>
      <c r="J653" s="210" t="s">
        <v>447</v>
      </c>
      <c r="K653" s="270">
        <f>IF(D653="","",VLOOKUP(D653,契約台帳!$A$3:$L$4986,12,FALSE))</f>
        <v>38</v>
      </c>
      <c r="L653" s="270" t="str">
        <f>IF(D653="","",INDEX(製品マスタ!$Q$5:$Q$5002,MATCH('S4'!F653&amp;'S4'!K653,製品マスタ!$AO$5:$AO$5002,0)))</f>
        <v>LUMIMAT</v>
      </c>
      <c r="M653" s="39">
        <v>1005</v>
      </c>
      <c r="N653" s="39">
        <v>4000</v>
      </c>
      <c r="O653" s="156">
        <v>2</v>
      </c>
      <c r="P653" s="47">
        <v>2</v>
      </c>
      <c r="Q653" s="57"/>
      <c r="R653" s="271">
        <f ca="1">IF(D653="","",IF(OFFSET(D653,-1,0)&lt;&gt;"","",IF(OR(J653="リード付け",J653="巻足し",J653="巻返しリード付け"),M653,VLOOKUP(D653,契約台帳!$A$3:$N$4986,14,FALSE))))</f>
        <v>1005</v>
      </c>
      <c r="S653" s="272">
        <f ca="1">IF(D653="","",IF(OFFSET(D653,-1,0)&lt;&gt;"","",IF(OR(J653="リード付け",J653="巻足し",J653="巻返しリード付け"),M653,VLOOKUP(D653,契約台帳!$A$3:$O$4986,15,FALSE))))</f>
        <v>1000</v>
      </c>
      <c r="T653" s="273">
        <f ca="1">IF(D653="","",IF(J653="リード付け",N653,IF(J653="巻返しリード付け",N653,IF(J653="巻足し",N653*P653+OFFSET(N653,1,0)*OFFSET(P653,1,0),VLOOKUP(D653,契約台帳!$A$3:$P$4986,16,FALSE)))))</f>
        <v>4000</v>
      </c>
      <c r="U653" s="40">
        <v>2</v>
      </c>
      <c r="V653" s="274">
        <f ca="1">IF(D653="","",IF(OFFSET(D653,-2,0)=D653,"",VLOOKUP(D653,契約台帳!$A$3:$R$4986,18,FALSE)))</f>
        <v>2</v>
      </c>
      <c r="W653" s="269" t="str">
        <f ca="1">IF(D653="","",IF(T653="","",IF(OR(J653="巻足し",J653="巻返しリード付け"),"",IF(J653="巻返し",VLOOKUP(F653&amp;K653&amp;M653,製品マスタ!$M$5:$AD$5002,18,FALSE),IF(OR(J653="リード付け",J653="巻返しリード付け"),"原反コア",IF(J653="スリット",VLOOKUP(F653&amp;K653&amp;R653,製品マスタ!$N$5:$AD$5002,17,FALSE),""))))))</f>
        <v>3ｲﾝﾁSｺｱ</v>
      </c>
      <c r="X653" s="269">
        <f ca="1">IF(D653="","",IF(T653="","",IF(J653="巻足し","",IF(J653="巻返し",VLOOKUP(F653&amp;K653&amp;M653,製品マスタ!$M$5:$AE$5002,19,FALSE),IF(OR(J653="リード付け",J653="巻返しリード付け"),"",IF(J653="スリット",VLOOKUP(F653&amp;K653&amp;R653,製品マスタ!$N$5:$AE$5002,18,FALSE),""))))))</f>
        <v>1015</v>
      </c>
      <c r="Y653" s="275">
        <f ca="1">IF(D653="","",IF(T653="","",VLOOKUP(D653,契約台帳!$A$3:$Q$4986,17,FALSE)))</f>
        <v>2</v>
      </c>
      <c r="Z653" s="269" t="str">
        <f ca="1">IF(D653="","",IF(T653="","",VLOOKUP(D653,契約台帳!$A$3:$E$4986,5,FALSE)))</f>
        <v>リンテック㈱</v>
      </c>
      <c r="AA653" s="57"/>
      <c r="AB653" s="207">
        <f>IFERROR((VLOOKUP(F653&amp;K653&amp;M653,製品マスタ!$M$5:$AM$5002,27,FALSE)),"")</f>
        <v>0</v>
      </c>
      <c r="AC653" s="33"/>
      <c r="AD653" s="189"/>
      <c r="AE653" s="54"/>
      <c r="AF653" s="55"/>
      <c r="AG653" s="43"/>
      <c r="AH653" s="47"/>
      <c r="AI653" s="30"/>
      <c r="AJ653" s="30"/>
      <c r="AK653" s="30"/>
      <c r="AL653" s="30"/>
      <c r="AM653" s="13"/>
      <c r="AN653" s="13"/>
      <c r="AO653" s="13"/>
      <c r="AP653" s="13"/>
      <c r="AQ653" s="13"/>
      <c r="AR653" s="14"/>
      <c r="AS653" s="15"/>
    </row>
    <row r="654" spans="1:45" s="17" customFormat="1" ht="30.95" hidden="1" customHeight="1" x14ac:dyDescent="0.2">
      <c r="A654" s="37"/>
      <c r="B654" s="38"/>
      <c r="C654" s="45"/>
      <c r="D654" s="31"/>
      <c r="E654" s="31"/>
      <c r="F654" s="268"/>
      <c r="G654" s="269"/>
      <c r="H654" s="269"/>
      <c r="I654" s="270"/>
      <c r="J654" s="210"/>
      <c r="K654" s="270"/>
      <c r="L654" s="270"/>
      <c r="M654" s="39"/>
      <c r="N654" s="39"/>
      <c r="O654" s="156"/>
      <c r="P654" s="47"/>
      <c r="Q654" s="57"/>
      <c r="R654" s="271"/>
      <c r="S654" s="272"/>
      <c r="T654" s="273"/>
      <c r="U654" s="40"/>
      <c r="V654" s="274"/>
      <c r="W654" s="269"/>
      <c r="X654" s="269"/>
      <c r="Y654" s="275"/>
      <c r="Z654" s="269"/>
      <c r="AA654" s="57"/>
      <c r="AB654" s="207"/>
      <c r="AC654" s="33"/>
      <c r="AD654" s="189"/>
      <c r="AE654" s="54"/>
      <c r="AF654" s="55"/>
      <c r="AG654" s="43"/>
      <c r="AH654" s="47"/>
      <c r="AI654" s="30"/>
      <c r="AJ654" s="30"/>
      <c r="AK654" s="30"/>
      <c r="AL654" s="30"/>
      <c r="AM654" s="13"/>
      <c r="AN654" s="13"/>
      <c r="AO654" s="13"/>
      <c r="AP654" s="13"/>
      <c r="AQ654" s="13"/>
      <c r="AR654" s="14"/>
      <c r="AS654" s="15"/>
    </row>
    <row r="655" spans="1:45" s="17" customFormat="1" ht="30.95" hidden="1" customHeight="1" x14ac:dyDescent="0.2">
      <c r="A655" s="37" t="s">
        <v>1226</v>
      </c>
      <c r="B655" s="38" t="s">
        <v>1227</v>
      </c>
      <c r="C655" s="45"/>
      <c r="D655" s="31">
        <v>3712115</v>
      </c>
      <c r="E655" s="31">
        <v>4140964</v>
      </c>
      <c r="F655" s="268" t="str">
        <f>IF(D655="","",VLOOKUP(D655,契約台帳!$A$3:$K$4986,6,FALSE)&amp;VLOOKUP(D655,契約台帳!$A$3:$K$4986,7,FALSE)&amp;VLOOKUP(D655,契約台帳!$A$3:$K$4986,8,FALSE)&amp;VLOOKUP(D655,契約台帳!$A$3:$K$4986,9,FALSE)&amp;VLOOKUP(D655,契約台帳!$A$3:$K$4986,11,FALSE))</f>
        <v>3SNCLBLMEYK</v>
      </c>
      <c r="G655" s="269" t="str">
        <f>IF(D655="","",VLOOKUP(F655,製品マスタ!$G$5:$H$5002,2,FALSE))</f>
        <v>S</v>
      </c>
      <c r="H655" s="269" t="str">
        <f>IF(D655="","",VLOOKUP(F655,製品マスタ!$G$5:$K$5002,5,FALSE))</f>
        <v>LMEYK</v>
      </c>
      <c r="I655" s="270" t="str">
        <f>IF(D655="","",VLOOKUP(F655,製品マスタ!$G$5:$L$5002,6,FALSE))</f>
        <v>ルミマットＥＹＫ</v>
      </c>
      <c r="J655" s="210" t="s">
        <v>447</v>
      </c>
      <c r="K655" s="270">
        <f>IF(D655="","",VLOOKUP(D655,契約台帳!$A$3:$L$4986,12,FALSE))</f>
        <v>38</v>
      </c>
      <c r="L655" s="270" t="str">
        <f>IF(D655="","",INDEX(製品マスタ!$Q$5:$Q$5002,MATCH('S4'!F655&amp;'S4'!K655,製品マスタ!$AO$5:$AO$5002,0)))</f>
        <v>LUMIMAT</v>
      </c>
      <c r="M655" s="39">
        <v>1005</v>
      </c>
      <c r="N655" s="39">
        <v>8000</v>
      </c>
      <c r="O655" s="156">
        <v>1</v>
      </c>
      <c r="P655" s="47">
        <v>1</v>
      </c>
      <c r="Q655" s="57"/>
      <c r="R655" s="271">
        <f ca="1">IF(D655="","",IF(OFFSET(D655,-1,0)&lt;&gt;"","",IF(OR(J655="リード付け",J655="巻足し",J655="巻返しリード付け"),M655,VLOOKUP(D655,契約台帳!$A$3:$N$4986,14,FALSE))))</f>
        <v>1005</v>
      </c>
      <c r="S655" s="272">
        <f ca="1">IF(D655="","",IF(OFFSET(D655,-1,0)&lt;&gt;"","",IF(OR(J655="リード付け",J655="巻足し",J655="巻返しリード付け"),M655,VLOOKUP(D655,契約台帳!$A$3:$O$4986,15,FALSE))))</f>
        <v>1000</v>
      </c>
      <c r="T655" s="273">
        <f ca="1">IF(D655="","",IF(J655="リード付け",N655,IF(J655="巻返しリード付け",N655,IF(J655="巻足し",N655*P655+OFFSET(N655,1,0)*OFFSET(P655,1,0),VLOOKUP(D655,契約台帳!$A$3:$P$4986,16,FALSE)))))</f>
        <v>4000</v>
      </c>
      <c r="U655" s="40">
        <v>2</v>
      </c>
      <c r="V655" s="274">
        <f ca="1">IF(D655="","",IF(OFFSET(D655,-2,0)=D655,"",VLOOKUP(D655,契約台帳!$A$3:$R$4986,18,FALSE)))</f>
        <v>2</v>
      </c>
      <c r="W655" s="269" t="str">
        <f ca="1">IF(D655="","",IF(T655="","",IF(OR(J655="巻足し",J655="巻返しリード付け"),"",IF(J655="巻返し",VLOOKUP(F655&amp;K655&amp;M655,製品マスタ!$M$5:$AD$5002,18,FALSE),IF(OR(J655="リード付け",J655="巻返しリード付け"),"原反コア",IF(J655="スリット",VLOOKUP(F655&amp;K655&amp;R655,製品マスタ!$N$5:$AD$5002,17,FALSE),""))))))</f>
        <v>3ｲﾝﾁSｺｱ</v>
      </c>
      <c r="X655" s="269">
        <f ca="1">IF(D655="","",IF(T655="","",IF(J655="巻足し","",IF(J655="巻返し",VLOOKUP(F655&amp;K655&amp;M655,製品マスタ!$M$5:$AE$5002,19,FALSE),IF(OR(J655="リード付け",J655="巻返しリード付け"),"",IF(J655="スリット",VLOOKUP(F655&amp;K655&amp;R655,製品マスタ!$N$5:$AE$5002,18,FALSE),""))))))</f>
        <v>1015</v>
      </c>
      <c r="Y655" s="275">
        <f ca="1">IF(D655="","",IF(T655="","",VLOOKUP(D655,契約台帳!$A$3:$Q$4986,17,FALSE)))</f>
        <v>2</v>
      </c>
      <c r="Z655" s="269" t="str">
        <f ca="1">IF(D655="","",IF(T655="","",VLOOKUP(D655,契約台帳!$A$3:$E$4986,5,FALSE)))</f>
        <v>リンテック㈱</v>
      </c>
      <c r="AA655" s="57"/>
      <c r="AB655" s="207">
        <f>IFERROR((VLOOKUP(F655&amp;K655&amp;M655,製品マスタ!$M$5:$AM$5002,27,FALSE)),"")</f>
        <v>0</v>
      </c>
      <c r="AC655" s="33"/>
      <c r="AD655" s="189"/>
      <c r="AE655" s="54"/>
      <c r="AF655" s="55"/>
      <c r="AG655" s="43"/>
      <c r="AH655" s="47"/>
      <c r="AI655" s="30"/>
      <c r="AJ655" s="30"/>
      <c r="AK655" s="30"/>
      <c r="AL655" s="30"/>
      <c r="AM655" s="13"/>
      <c r="AN655" s="13"/>
      <c r="AO655" s="13"/>
      <c r="AP655" s="13"/>
      <c r="AQ655" s="13"/>
      <c r="AR655" s="14"/>
      <c r="AS655" s="15"/>
    </row>
    <row r="656" spans="1:45" s="17" customFormat="1" ht="30.95" hidden="1" customHeight="1" x14ac:dyDescent="0.2">
      <c r="A656" s="37"/>
      <c r="B656" s="38"/>
      <c r="C656" s="45"/>
      <c r="D656" s="31"/>
      <c r="E656" s="31"/>
      <c r="F656" s="268"/>
      <c r="G656" s="269"/>
      <c r="H656" s="269"/>
      <c r="I656" s="270"/>
      <c r="J656" s="210"/>
      <c r="K656" s="270"/>
      <c r="L656" s="270"/>
      <c r="M656" s="39"/>
      <c r="N656" s="39"/>
      <c r="O656" s="156"/>
      <c r="P656" s="47"/>
      <c r="Q656" s="57"/>
      <c r="R656" s="271"/>
      <c r="S656" s="272"/>
      <c r="T656" s="273"/>
      <c r="U656" s="40"/>
      <c r="V656" s="274"/>
      <c r="W656" s="269"/>
      <c r="X656" s="269"/>
      <c r="Y656" s="275"/>
      <c r="Z656" s="269"/>
      <c r="AA656" s="57"/>
      <c r="AB656" s="207"/>
      <c r="AC656" s="33"/>
      <c r="AD656" s="189"/>
      <c r="AE656" s="54"/>
      <c r="AF656" s="55"/>
      <c r="AG656" s="43"/>
      <c r="AH656" s="47"/>
      <c r="AI656" s="30"/>
      <c r="AJ656" s="30"/>
      <c r="AK656" s="30"/>
      <c r="AL656" s="30"/>
      <c r="AM656" s="13"/>
      <c r="AN656" s="13"/>
      <c r="AO656" s="13"/>
      <c r="AP656" s="13"/>
      <c r="AQ656" s="13"/>
      <c r="AR656" s="14"/>
      <c r="AS656" s="15"/>
    </row>
    <row r="657" spans="1:45" s="17" customFormat="1" ht="30.95" hidden="1" customHeight="1" x14ac:dyDescent="0.2">
      <c r="A657" s="37"/>
      <c r="B657" s="38"/>
      <c r="C657" s="45"/>
      <c r="D657" s="31">
        <v>3708695</v>
      </c>
      <c r="E657" s="31">
        <v>4140935</v>
      </c>
      <c r="F657" s="268" t="str">
        <f>IF(D657="","",VLOOKUP(D657,契約台帳!$A$3:$K$4986,6,FALSE)&amp;VLOOKUP(D657,契約台帳!$A$3:$K$4986,7,FALSE)&amp;VLOOKUP(D657,契約台帳!$A$3:$K$4986,8,FALSE)&amp;VLOOKUP(D657,契約台帳!$A$3:$K$4986,9,FALSE)&amp;VLOOKUP(D657,契約台帳!$A$3:$K$4986,11,FALSE))</f>
        <v>3HSNMCLBEYK</v>
      </c>
      <c r="G657" s="269" t="str">
        <f>IF(D657="","",VLOOKUP(F657,製品マスタ!$G$5:$H$5002,2,FALSE))</f>
        <v>S</v>
      </c>
      <c r="H657" s="269" t="str">
        <f>IF(D657="","",VLOOKUP(F657,製品マスタ!$G$5:$K$5002,5,FALSE))</f>
        <v>EYK</v>
      </c>
      <c r="I657" s="270" t="str">
        <f>IF(D657="","",VLOOKUP(F657,製品マスタ!$G$5:$L$5002,6,FALSE))</f>
        <v>メタルミー　ＥＹＫ</v>
      </c>
      <c r="J657" s="210" t="s">
        <v>447</v>
      </c>
      <c r="K657" s="270">
        <f>IF(D657="","",VLOOKUP(D657,契約台帳!$A$3:$L$4986,12,FALSE))</f>
        <v>50</v>
      </c>
      <c r="L657" s="270" t="str">
        <f>IF(D657="","",INDEX(製品マスタ!$Q$5:$Q$5002,MATCH('S4'!F657&amp;'S4'!K657,製品マスタ!$AO$5:$AO$5002,0)))</f>
        <v>T62M</v>
      </c>
      <c r="M657" s="39">
        <v>1195</v>
      </c>
      <c r="N657" s="39">
        <v>12200</v>
      </c>
      <c r="O657" s="156">
        <v>7</v>
      </c>
      <c r="P657" s="47">
        <v>15</v>
      </c>
      <c r="Q657" s="57"/>
      <c r="R657" s="271">
        <f ca="1">IF(D657="","",IF(OFFSET(D657,-1,0)&lt;&gt;"","",IF(OR(J657="リード付け",J657="巻足し",J657="巻返しリード付け"),M657,VLOOKUP(D657,契約台帳!$A$3:$N$4986,14,FALSE))))</f>
        <v>1190</v>
      </c>
      <c r="S657" s="272">
        <f ca="1">IF(D657="","",IF(OFFSET(D657,-1,0)&lt;&gt;"","",IF(OR(J657="リード付け",J657="巻足し",J657="巻返しリード付け"),M657,VLOOKUP(D657,契約台帳!$A$3:$O$4986,15,FALSE))))</f>
        <v>1190</v>
      </c>
      <c r="T657" s="273">
        <f ca="1">IF(D657="","",IF(J657="リード付け",N657,IF(J657="巻返しリード付け",N657,IF(J657="巻足し",N657*P657+OFFSET(N657,1,0)*OFFSET(P657,1,0),VLOOKUP(D657,契約台帳!$A$3:$P$4986,16,FALSE)))))</f>
        <v>6000</v>
      </c>
      <c r="U657" s="40">
        <v>14</v>
      </c>
      <c r="V657" s="274">
        <f ca="1">IF(D657="","",IF(OFFSET(D657,-2,0)=D657,"",VLOOKUP(D657,契約台帳!$A$3:$R$4986,18,FALSE)))</f>
        <v>30</v>
      </c>
      <c r="W657" s="269" t="str">
        <f ca="1">IF(D657="","",IF(T657="","",IF(OR(J657="巻足し",J657="巻返しリード付け"),"",IF(J657="巻返し",VLOOKUP(F657&amp;K657&amp;M657,製品マスタ!$M$5:$AD$5002,18,FALSE),IF(OR(J657="リード付け",J657="巻返しリード付け"),"原反コア",IF(J657="スリット",VLOOKUP(F657&amp;K657&amp;R657,製品マスタ!$N$5:$AD$5002,17,FALSE),""))))))</f>
        <v>6ｲﾝﾁMｺｱ</v>
      </c>
      <c r="X657" s="269">
        <f ca="1">IF(D657="","",IF(T657="","",IF(J657="巻足し","",IF(J657="巻返し",VLOOKUP(F657&amp;K657&amp;M657,製品マスタ!$M$5:$AE$5002,19,FALSE),IF(OR(J657="リード付け",J657="巻返しリード付け"),"",IF(J657="スリット",VLOOKUP(F657&amp;K657&amp;R657,製品マスタ!$N$5:$AE$5002,18,FALSE),""))))))</f>
        <v>1220</v>
      </c>
      <c r="Y657" s="275">
        <f ca="1">IF(D657="","",IF(T657="","",VLOOKUP(D657,契約台帳!$A$3:$Q$4986,17,FALSE)))</f>
        <v>2</v>
      </c>
      <c r="Z657" s="269" t="str">
        <f ca="1">IF(D657="","",IF(T657="","",VLOOKUP(D657,契約台帳!$A$3:$E$4986,5,FALSE)))</f>
        <v>大阪シーリング印刷㈱</v>
      </c>
      <c r="AA657" s="57"/>
      <c r="AB657" s="207" t="str">
        <f>IFERROR((VLOOKUP(F657&amp;K657&amp;M657,製品マスタ!$M$5:$AM$5002,27,FALSE)),"")</f>
        <v>原反ケース再利用</v>
      </c>
      <c r="AC657" s="33"/>
      <c r="AD657" s="189"/>
      <c r="AE657" s="54"/>
      <c r="AF657" s="55"/>
      <c r="AG657" s="43"/>
      <c r="AH657" s="47"/>
      <c r="AI657" s="30"/>
      <c r="AJ657" s="30"/>
      <c r="AK657" s="30"/>
      <c r="AL657" s="30"/>
      <c r="AM657" s="13"/>
      <c r="AN657" s="13"/>
      <c r="AO657" s="13"/>
      <c r="AP657" s="13"/>
      <c r="AQ657" s="13"/>
      <c r="AR657" s="14"/>
      <c r="AS657" s="15"/>
    </row>
    <row r="658" spans="1:45" s="17" customFormat="1" ht="30.95" hidden="1" customHeight="1" x14ac:dyDescent="0.2">
      <c r="A658" s="37"/>
      <c r="B658" s="38"/>
      <c r="C658" s="45"/>
      <c r="D658" s="31"/>
      <c r="E658" s="31"/>
      <c r="F658" s="268"/>
      <c r="G658" s="269"/>
      <c r="H658" s="269"/>
      <c r="I658" s="270"/>
      <c r="J658" s="210"/>
      <c r="K658" s="270"/>
      <c r="L658" s="270"/>
      <c r="M658" s="39"/>
      <c r="N658" s="39"/>
      <c r="O658" s="156"/>
      <c r="P658" s="47"/>
      <c r="Q658" s="57"/>
      <c r="R658" s="271"/>
      <c r="S658" s="272"/>
      <c r="T658" s="273"/>
      <c r="U658" s="40"/>
      <c r="V658" s="274"/>
      <c r="W658" s="269"/>
      <c r="X658" s="269"/>
      <c r="Y658" s="275"/>
      <c r="Z658" s="269"/>
      <c r="AA658" s="57"/>
      <c r="AB658" s="207"/>
      <c r="AC658" s="33"/>
      <c r="AD658" s="189"/>
      <c r="AE658" s="54"/>
      <c r="AF658" s="55"/>
      <c r="AG658" s="43"/>
      <c r="AH658" s="47"/>
      <c r="AI658" s="30"/>
      <c r="AJ658" s="30"/>
      <c r="AK658" s="30"/>
      <c r="AL658" s="30"/>
      <c r="AM658" s="13"/>
      <c r="AN658" s="13"/>
      <c r="AO658" s="13"/>
      <c r="AP658" s="13"/>
      <c r="AQ658" s="13"/>
      <c r="AR658" s="14"/>
      <c r="AS658" s="15"/>
    </row>
    <row r="659" spans="1:45" s="17" customFormat="1" ht="30.95" hidden="1" customHeight="1" x14ac:dyDescent="0.2">
      <c r="A659" s="37" t="s">
        <v>1228</v>
      </c>
      <c r="B659" s="38" t="s">
        <v>1229</v>
      </c>
      <c r="C659" s="45"/>
      <c r="D659" s="31">
        <v>3708695</v>
      </c>
      <c r="E659" s="31">
        <v>4140935</v>
      </c>
      <c r="F659" s="268" t="str">
        <f>IF(D659="","",VLOOKUP(D659,契約台帳!$A$3:$K$4986,6,FALSE)&amp;VLOOKUP(D659,契約台帳!$A$3:$K$4986,7,FALSE)&amp;VLOOKUP(D659,契約台帳!$A$3:$K$4986,8,FALSE)&amp;VLOOKUP(D659,契約台帳!$A$3:$K$4986,9,FALSE)&amp;VLOOKUP(D659,契約台帳!$A$3:$K$4986,11,FALSE))</f>
        <v>3HSNMCLBEYK</v>
      </c>
      <c r="G659" s="269" t="str">
        <f>IF(D659="","",VLOOKUP(F659,製品マスタ!$G$5:$H$5002,2,FALSE))</f>
        <v>S</v>
      </c>
      <c r="H659" s="269" t="str">
        <f>IF(D659="","",VLOOKUP(F659,製品マスタ!$G$5:$K$5002,5,FALSE))</f>
        <v>EYK</v>
      </c>
      <c r="I659" s="270" t="str">
        <f>IF(D659="","",VLOOKUP(F659,製品マスタ!$G$5:$L$5002,6,FALSE))</f>
        <v>メタルミー　ＥＹＫ</v>
      </c>
      <c r="J659" s="210" t="s">
        <v>447</v>
      </c>
      <c r="K659" s="270">
        <f>IF(D659="","",VLOOKUP(D659,契約台帳!$A$3:$L$4986,12,FALSE))</f>
        <v>50</v>
      </c>
      <c r="L659" s="270" t="str">
        <f>IF(D659="","",INDEX(製品マスタ!$Q$5:$Q$5002,MATCH('S4'!F659&amp;'S4'!K659,製品マスタ!$AO$5:$AO$5002,0)))</f>
        <v>T62M</v>
      </c>
      <c r="M659" s="39">
        <v>1195</v>
      </c>
      <c r="N659" s="39">
        <v>12200</v>
      </c>
      <c r="O659" s="156">
        <v>8</v>
      </c>
      <c r="P659" s="47">
        <v>15</v>
      </c>
      <c r="Q659" s="57"/>
      <c r="R659" s="271">
        <f ca="1">IF(D659="","",IF(OFFSET(D659,-1,0)&lt;&gt;"","",IF(OR(J659="リード付け",J659="巻足し",J659="巻返しリード付け"),M659,VLOOKUP(D659,契約台帳!$A$3:$N$4986,14,FALSE))))</f>
        <v>1190</v>
      </c>
      <c r="S659" s="272">
        <f ca="1">IF(D659="","",IF(OFFSET(D659,-1,0)&lt;&gt;"","",IF(OR(J659="リード付け",J659="巻足し",J659="巻返しリード付け"),M659,VLOOKUP(D659,契約台帳!$A$3:$O$4986,15,FALSE))))</f>
        <v>1190</v>
      </c>
      <c r="T659" s="273">
        <f ca="1">IF(D659="","",IF(J659="リード付け",N659,IF(J659="巻返しリード付け",N659,IF(J659="巻足し",N659*P659+OFFSET(N659,1,0)*OFFSET(P659,1,0),VLOOKUP(D659,契約台帳!$A$3:$P$4986,16,FALSE)))))</f>
        <v>6000</v>
      </c>
      <c r="U659" s="40">
        <v>16</v>
      </c>
      <c r="V659" s="274" t="str">
        <f ca="1">IF(D659="","",IF(OFFSET(D659,-2,0)=D659,"",VLOOKUP(D659,契約台帳!$A$3:$R$4986,18,FALSE)))</f>
        <v/>
      </c>
      <c r="W659" s="269" t="str">
        <f ca="1">IF(D659="","",IF(T659="","",IF(OR(J659="巻足し",J659="巻返しリード付け"),"",IF(J659="巻返し",VLOOKUP(F659&amp;K659&amp;M659,製品マスタ!$M$5:$AD$5002,18,FALSE),IF(OR(J659="リード付け",J659="巻返しリード付け"),"原反コア",IF(J659="スリット",VLOOKUP(F659&amp;K659&amp;R659,製品マスタ!$N$5:$AD$5002,17,FALSE),""))))))</f>
        <v>6ｲﾝﾁMｺｱ</v>
      </c>
      <c r="X659" s="269">
        <f ca="1">IF(D659="","",IF(T659="","",IF(J659="巻足し","",IF(J659="巻返し",VLOOKUP(F659&amp;K659&amp;M659,製品マスタ!$M$5:$AE$5002,19,FALSE),IF(OR(J659="リード付け",J659="巻返しリード付け"),"",IF(J659="スリット",VLOOKUP(F659&amp;K659&amp;R659,製品マスタ!$N$5:$AE$5002,18,FALSE),""))))))</f>
        <v>1220</v>
      </c>
      <c r="Y659" s="275">
        <f ca="1">IF(D659="","",IF(T659="","",VLOOKUP(D659,契約台帳!$A$3:$Q$4986,17,FALSE)))</f>
        <v>2</v>
      </c>
      <c r="Z659" s="269" t="str">
        <f ca="1">IF(D659="","",IF(T659="","",VLOOKUP(D659,契約台帳!$A$3:$E$4986,5,FALSE)))</f>
        <v>大阪シーリング印刷㈱</v>
      </c>
      <c r="AA659" s="57"/>
      <c r="AB659" s="207" t="str">
        <f>IFERROR((VLOOKUP(F659&amp;K659&amp;M659,製品マスタ!$M$5:$AM$5002,27,FALSE)),"")</f>
        <v>原反ケース再利用</v>
      </c>
      <c r="AC659" s="33"/>
      <c r="AD659" s="189"/>
      <c r="AE659" s="54"/>
      <c r="AF659" s="55"/>
      <c r="AG659" s="43"/>
      <c r="AH659" s="47"/>
      <c r="AI659" s="30"/>
      <c r="AJ659" s="30"/>
      <c r="AK659" s="30"/>
      <c r="AL659" s="30"/>
      <c r="AM659" s="13"/>
      <c r="AN659" s="13"/>
      <c r="AO659" s="13"/>
      <c r="AP659" s="13"/>
      <c r="AQ659" s="13"/>
      <c r="AR659" s="14"/>
      <c r="AS659" s="15"/>
    </row>
    <row r="660" spans="1:45" s="17" customFormat="1" ht="30.95" hidden="1" customHeight="1" x14ac:dyDescent="0.2">
      <c r="A660" s="37"/>
      <c r="B660" s="38"/>
      <c r="C660" s="45"/>
      <c r="D660" s="31"/>
      <c r="E660" s="31"/>
      <c r="F660" s="268"/>
      <c r="G660" s="269"/>
      <c r="H660" s="269"/>
      <c r="I660" s="270"/>
      <c r="J660" s="210"/>
      <c r="K660" s="270"/>
      <c r="L660" s="270"/>
      <c r="M660" s="39"/>
      <c r="N660" s="39"/>
      <c r="O660" s="156"/>
      <c r="P660" s="47"/>
      <c r="Q660" s="57"/>
      <c r="R660" s="271"/>
      <c r="S660" s="272"/>
      <c r="T660" s="273"/>
      <c r="U660" s="40"/>
      <c r="V660" s="274"/>
      <c r="W660" s="269"/>
      <c r="X660" s="269"/>
      <c r="Y660" s="275"/>
      <c r="Z660" s="269"/>
      <c r="AA660" s="57"/>
      <c r="AB660" s="207"/>
      <c r="AC660" s="33"/>
      <c r="AD660" s="189"/>
      <c r="AE660" s="54"/>
      <c r="AF660" s="55"/>
      <c r="AG660" s="43"/>
      <c r="AH660" s="47"/>
      <c r="AI660" s="30"/>
      <c r="AJ660" s="30"/>
      <c r="AK660" s="30"/>
      <c r="AL660" s="30"/>
      <c r="AM660" s="13"/>
      <c r="AN660" s="13"/>
      <c r="AO660" s="13"/>
      <c r="AP660" s="13"/>
      <c r="AQ660" s="13"/>
      <c r="AR660" s="14"/>
      <c r="AS660" s="15"/>
    </row>
    <row r="661" spans="1:45" s="17" customFormat="1" ht="30.95" hidden="1" customHeight="1" x14ac:dyDescent="0.2">
      <c r="A661" s="37" t="s">
        <v>1230</v>
      </c>
      <c r="B661" s="38" t="s">
        <v>1231</v>
      </c>
      <c r="C661" s="45"/>
      <c r="D661" s="31">
        <v>3712095</v>
      </c>
      <c r="E661" s="31">
        <v>4140951</v>
      </c>
      <c r="F661" s="268" t="str">
        <f>IF(D661="","",VLOOKUP(D661,契約台帳!$A$3:$K$4986,6,FALSE)&amp;VLOOKUP(D661,契約台帳!$A$3:$K$4986,7,FALSE)&amp;VLOOKUP(D661,契約台帳!$A$3:$K$4986,8,FALSE)&amp;VLOOKUP(D661,契約台帳!$A$3:$K$4986,9,FALSE)&amp;VLOOKUP(D661,契約台帳!$A$3:$K$4986,11,FALSE))</f>
        <v>3SNMCLBEYK</v>
      </c>
      <c r="G661" s="269" t="str">
        <f>IF(D661="","",VLOOKUP(F661,製品マスタ!$G$5:$H$5002,2,FALSE))</f>
        <v>S</v>
      </c>
      <c r="H661" s="269" t="str">
        <f>IF(D661="","",VLOOKUP(F661,製品マスタ!$G$5:$K$5002,5,FALSE))</f>
        <v>EYK</v>
      </c>
      <c r="I661" s="270" t="str">
        <f>IF(D661="","",VLOOKUP(F661,製品マスタ!$G$5:$L$5002,6,FALSE))</f>
        <v>メタルミー　ＥＹＫ</v>
      </c>
      <c r="J661" s="210" t="s">
        <v>447</v>
      </c>
      <c r="K661" s="270">
        <f>IF(D661="","",VLOOKUP(D661,契約台帳!$A$3:$L$4986,12,FALSE))</f>
        <v>50</v>
      </c>
      <c r="L661" s="270" t="str">
        <f>IF(D661="","",INDEX(製品マスタ!$Q$5:$Q$5002,MATCH('S4'!F661&amp;'S4'!K661,製品マスタ!$AO$5:$AO$5002,0)))</f>
        <v>T62M</v>
      </c>
      <c r="M661" s="39">
        <v>1125</v>
      </c>
      <c r="N661" s="39">
        <v>12200</v>
      </c>
      <c r="O661" s="156">
        <v>2</v>
      </c>
      <c r="P661" s="47">
        <v>2</v>
      </c>
      <c r="Q661" s="57"/>
      <c r="R661" s="271">
        <f ca="1">IF(D661="","",IF(OFFSET(D661,-1,0)&lt;&gt;"","",IF(OR(J661="リード付け",J661="巻足し",J661="巻返しリード付け"),M661,VLOOKUP(D661,契約台帳!$A$3:$N$4986,14,FALSE))))</f>
        <v>1120</v>
      </c>
      <c r="S661" s="272">
        <f ca="1">IF(D661="","",IF(OFFSET(D661,-1,0)&lt;&gt;"","",IF(OR(J661="リード付け",J661="巻足し",J661="巻返しリード付け"),M661,VLOOKUP(D661,契約台帳!$A$3:$O$4986,15,FALSE))))</f>
        <v>1120</v>
      </c>
      <c r="T661" s="273">
        <f ca="1">IF(D661="","",IF(J661="リード付け",N661,IF(J661="巻返しリード付け",N661,IF(J661="巻足し",N661*P661+OFFSET(N661,1,0)*OFFSET(P661,1,0),VLOOKUP(D661,契約台帳!$A$3:$P$4986,16,FALSE)))))</f>
        <v>6000</v>
      </c>
      <c r="U661" s="40">
        <v>4</v>
      </c>
      <c r="V661" s="274">
        <f ca="1">IF(D661="","",IF(OFFSET(D661,-2,0)=D661,"",VLOOKUP(D661,契約台帳!$A$3:$R$4986,18,FALSE)))</f>
        <v>4</v>
      </c>
      <c r="W661" s="269" t="str">
        <f ca="1">IF(D661="","",IF(T661="","",IF(OR(J661="巻足し",J661="巻返しリード付け"),"",IF(J661="巻返し",VLOOKUP(F661&amp;K661&amp;M661,製品マスタ!$M$5:$AD$5002,18,FALSE),IF(OR(J661="リード付け",J661="巻返しリード付け"),"原反コア",IF(J661="スリット",VLOOKUP(F661&amp;K661&amp;R661,製品マスタ!$N$5:$AD$5002,17,FALSE),""))))))</f>
        <v>6ｲﾝﾁMｺｱ</v>
      </c>
      <c r="X661" s="269">
        <f ca="1">IF(D661="","",IF(T661="","",IF(J661="巻足し","",IF(J661="巻返し",VLOOKUP(F661&amp;K661&amp;M661,製品マスタ!$M$5:$AE$5002,19,FALSE),IF(OR(J661="リード付け",J661="巻返しリード付け"),"",IF(J661="スリット",VLOOKUP(F661&amp;K661&amp;R661,製品マスタ!$N$5:$AE$5002,18,FALSE),""))))))</f>
        <v>1140</v>
      </c>
      <c r="Y661" s="275">
        <f ca="1">IF(D661="","",IF(T661="","",VLOOKUP(D661,契約台帳!$A$3:$Q$4986,17,FALSE)))</f>
        <v>2</v>
      </c>
      <c r="Z661" s="269" t="str">
        <f ca="1">IF(D661="","",IF(T661="","",VLOOKUP(D661,契約台帳!$A$3:$E$4986,5,FALSE)))</f>
        <v>新タック化成㈱</v>
      </c>
      <c r="AA661" s="57"/>
      <c r="AB661" s="207" t="str">
        <f>IFERROR((VLOOKUP(F661&amp;K661&amp;M661,製品マスタ!$M$5:$AM$5002,27,FALSE)),"")</f>
        <v>原反ケース再利用</v>
      </c>
      <c r="AC661" s="33"/>
      <c r="AD661" s="189"/>
      <c r="AE661" s="54"/>
      <c r="AF661" s="55"/>
      <c r="AG661" s="43"/>
      <c r="AH661" s="47"/>
      <c r="AI661" s="30"/>
      <c r="AJ661" s="30"/>
      <c r="AK661" s="30"/>
      <c r="AL661" s="30"/>
      <c r="AM661" s="13"/>
      <c r="AN661" s="13"/>
      <c r="AO661" s="13"/>
      <c r="AP661" s="13"/>
      <c r="AQ661" s="13"/>
      <c r="AR661" s="14"/>
      <c r="AS661" s="15"/>
    </row>
    <row r="662" spans="1:45" s="17" customFormat="1" ht="30.95" hidden="1" customHeight="1" x14ac:dyDescent="0.2">
      <c r="A662" s="37"/>
      <c r="B662" s="38"/>
      <c r="C662" s="45"/>
      <c r="D662" s="31"/>
      <c r="E662" s="31"/>
      <c r="F662" s="268"/>
      <c r="G662" s="269"/>
      <c r="H662" s="269"/>
      <c r="I662" s="270"/>
      <c r="J662" s="210"/>
      <c r="K662" s="270"/>
      <c r="L662" s="270"/>
      <c r="M662" s="39"/>
      <c r="N662" s="39"/>
      <c r="O662" s="156"/>
      <c r="P662" s="47"/>
      <c r="Q662" s="57"/>
      <c r="R662" s="271"/>
      <c r="S662" s="272"/>
      <c r="T662" s="273"/>
      <c r="U662" s="40"/>
      <c r="V662" s="274"/>
      <c r="W662" s="269"/>
      <c r="X662" s="269"/>
      <c r="Y662" s="275"/>
      <c r="Z662" s="269"/>
      <c r="AA662" s="57"/>
      <c r="AB662" s="207"/>
      <c r="AC662" s="33"/>
      <c r="AD662" s="189"/>
      <c r="AE662" s="54"/>
      <c r="AF662" s="55"/>
      <c r="AG662" s="43"/>
      <c r="AH662" s="47"/>
      <c r="AI662" s="30"/>
      <c r="AJ662" s="30"/>
      <c r="AK662" s="30"/>
      <c r="AL662" s="30"/>
      <c r="AM662" s="13"/>
      <c r="AN662" s="13"/>
      <c r="AO662" s="13"/>
      <c r="AP662" s="13"/>
      <c r="AQ662" s="13"/>
      <c r="AR662" s="14"/>
      <c r="AS662" s="15"/>
    </row>
    <row r="663" spans="1:45" s="17" customFormat="1" ht="30.95" hidden="1" customHeight="1" x14ac:dyDescent="0.2">
      <c r="A663" s="37"/>
      <c r="B663" s="38"/>
      <c r="C663" s="45"/>
      <c r="D663" s="31">
        <v>3712111</v>
      </c>
      <c r="E663" s="31">
        <v>4140949</v>
      </c>
      <c r="F663" s="268" t="str">
        <f>IF(D663="","",VLOOKUP(D663,契約台帳!$A$3:$K$4986,6,FALSE)&amp;VLOOKUP(D663,契約台帳!$A$3:$K$4986,7,FALSE)&amp;VLOOKUP(D663,契約台帳!$A$3:$K$4986,8,FALSE)&amp;VLOOKUP(D663,契約台帳!$A$3:$K$4986,9,FALSE)&amp;VLOOKUP(D663,契約台帳!$A$3:$K$4986,11,FALSE))</f>
        <v>33SSNMCLBTETKFV</v>
      </c>
      <c r="G663" s="269" t="str">
        <f>IF(D663="","",VLOOKUP(F663,製品マスタ!$G$5:$H$5002,2,FALSE))</f>
        <v>S</v>
      </c>
      <c r="H663" s="269" t="str">
        <f>IF(D663="","",VLOOKUP(F663,製品マスタ!$G$5:$K$5002,5,FALSE))</f>
        <v>TETKFV</v>
      </c>
      <c r="I663" s="270" t="str">
        <f>IF(D663="","",VLOOKUP(F663,製品マスタ!$G$5:$L$5002,6,FALSE))</f>
        <v>メタルミー　ＴＥＳ艶開封　Ｖ</v>
      </c>
      <c r="J663" s="210" t="s">
        <v>447</v>
      </c>
      <c r="K663" s="270">
        <f>IF(D663="","",VLOOKUP(D663,契約台帳!$A$3:$L$4986,12,FALSE))</f>
        <v>50</v>
      </c>
      <c r="L663" s="270" t="str">
        <f>IF(D663="","",INDEX(製品マスタ!$Q$5:$Q$5002,MATCH('S4'!F663&amp;'S4'!K663,製品マスタ!$AO$5:$AO$5002,0)))</f>
        <v>S28SEPA</v>
      </c>
      <c r="M663" s="39">
        <v>1005</v>
      </c>
      <c r="N663" s="39">
        <v>12300</v>
      </c>
      <c r="O663" s="156">
        <v>2</v>
      </c>
      <c r="P663" s="47">
        <v>2</v>
      </c>
      <c r="Q663" s="57"/>
      <c r="R663" s="271">
        <f ca="1">IF(D663="","",IF(OFFSET(D663,-1,0)&lt;&gt;"","",IF(OR(J663="リード付け",J663="巻足し",J663="巻返しリード付け"),M663,VLOOKUP(D663,契約台帳!$A$3:$N$4986,14,FALSE))))</f>
        <v>1005</v>
      </c>
      <c r="S663" s="272">
        <f ca="1">IF(D663="","",IF(OFFSET(D663,-1,0)&lt;&gt;"","",IF(OR(J663="リード付け",J663="巻足し",J663="巻返しリード付け"),M663,VLOOKUP(D663,契約台帳!$A$3:$O$4986,15,FALSE))))</f>
        <v>1000</v>
      </c>
      <c r="T663" s="273">
        <f ca="1">IF(D663="","",IF(J663="リード付け",N663,IF(J663="巻返しリード付け",N663,IF(J663="巻足し",N663*P663+OFFSET(N663,1,0)*OFFSET(P663,1,0),VLOOKUP(D663,契約台帳!$A$3:$P$4986,16,FALSE)))))</f>
        <v>4000</v>
      </c>
      <c r="U663" s="40">
        <v>6</v>
      </c>
      <c r="V663" s="274">
        <f ca="1">IF(D663="","",IF(OFFSET(D663,-2,0)=D663,"",VLOOKUP(D663,契約台帳!$A$3:$R$4986,18,FALSE)))</f>
        <v>6</v>
      </c>
      <c r="W663" s="269" t="str">
        <f ca="1">IF(D663="","",IF(T663="","",IF(OR(J663="巻足し",J663="巻返しリード付け"),"",IF(J663="巻返し",VLOOKUP(F663&amp;K663&amp;M663,製品マスタ!$M$5:$AD$5002,18,FALSE),IF(OR(J663="リード付け",J663="巻返しリード付け"),"原反コア",IF(J663="スリット",VLOOKUP(F663&amp;K663&amp;R663,製品マスタ!$N$5:$AD$5002,17,FALSE),""))))))</f>
        <v>6ｲﾝﾁSｺｱ</v>
      </c>
      <c r="X663" s="269">
        <f ca="1">IF(D663="","",IF(T663="","",IF(J663="巻足し","",IF(J663="巻返し",VLOOKUP(F663&amp;K663&amp;M663,製品マスタ!$M$5:$AE$5002,19,FALSE),IF(OR(J663="リード付け",J663="巻返しリード付け"),"",IF(J663="スリット",VLOOKUP(F663&amp;K663&amp;R663,製品マスタ!$N$5:$AE$5002,18,FALSE),""))))))</f>
        <v>1015</v>
      </c>
      <c r="Y663" s="275">
        <f ca="1">IF(D663="","",IF(T663="","",VLOOKUP(D663,契約台帳!$A$3:$Q$4986,17,FALSE)))</f>
        <v>2</v>
      </c>
      <c r="Z663" s="269" t="str">
        <f ca="1">IF(D663="","",IF(T663="","",VLOOKUP(D663,契約台帳!$A$3:$E$4986,5,FALSE)))</f>
        <v>リンテック㈱</v>
      </c>
      <c r="AA663" s="57"/>
      <c r="AB663" s="207">
        <f>IFERROR((VLOOKUP(F663&amp;K663&amp;M663,製品マスタ!$M$5:$AM$5002,27,FALSE)),"")</f>
        <v>0</v>
      </c>
      <c r="AC663" s="33"/>
      <c r="AD663" s="189"/>
      <c r="AE663" s="54"/>
      <c r="AF663" s="55"/>
      <c r="AG663" s="43"/>
      <c r="AH663" s="47"/>
      <c r="AI663" s="30"/>
      <c r="AJ663" s="30"/>
      <c r="AK663" s="30"/>
      <c r="AL663" s="30"/>
      <c r="AM663" s="13"/>
      <c r="AN663" s="13"/>
      <c r="AO663" s="13"/>
      <c r="AP663" s="13"/>
      <c r="AQ663" s="13"/>
      <c r="AR663" s="14"/>
      <c r="AS663" s="15"/>
    </row>
    <row r="664" spans="1:45" s="17" customFormat="1" ht="30.95" hidden="1" customHeight="1" x14ac:dyDescent="0.2">
      <c r="A664" s="37"/>
      <c r="B664" s="38"/>
      <c r="C664" s="45"/>
      <c r="D664" s="31"/>
      <c r="E664" s="31"/>
      <c r="F664" s="268"/>
      <c r="G664" s="269"/>
      <c r="H664" s="269"/>
      <c r="I664" s="270"/>
      <c r="J664" s="210"/>
      <c r="K664" s="270"/>
      <c r="L664" s="270"/>
      <c r="M664" s="39"/>
      <c r="N664" s="39"/>
      <c r="O664" s="156"/>
      <c r="P664" s="47"/>
      <c r="Q664" s="57"/>
      <c r="R664" s="271"/>
      <c r="S664" s="272"/>
      <c r="T664" s="273"/>
      <c r="U664" s="40"/>
      <c r="V664" s="274"/>
      <c r="W664" s="269"/>
      <c r="X664" s="269"/>
      <c r="Y664" s="275"/>
      <c r="Z664" s="269"/>
      <c r="AA664" s="57"/>
      <c r="AB664" s="207"/>
      <c r="AC664" s="33"/>
      <c r="AD664" s="189"/>
      <c r="AE664" s="54"/>
      <c r="AF664" s="55"/>
      <c r="AG664" s="43"/>
      <c r="AH664" s="47"/>
      <c r="AI664" s="30"/>
      <c r="AJ664" s="30"/>
      <c r="AK664" s="30"/>
      <c r="AL664" s="30"/>
      <c r="AM664" s="13"/>
      <c r="AN664" s="13"/>
      <c r="AO664" s="13"/>
      <c r="AP664" s="13"/>
      <c r="AQ664" s="13"/>
      <c r="AR664" s="14"/>
      <c r="AS664" s="15"/>
    </row>
    <row r="665" spans="1:45" s="17" customFormat="1" ht="30.95" hidden="1" customHeight="1" x14ac:dyDescent="0.2">
      <c r="A665" s="37"/>
      <c r="B665" s="38"/>
      <c r="C665" s="45"/>
      <c r="D665" s="31">
        <v>3712109</v>
      </c>
      <c r="E665" s="31">
        <v>4140947</v>
      </c>
      <c r="F665" s="268" t="str">
        <f>IF(D665="","",VLOOKUP(D665,契約台帳!$A$3:$K$4986,6,FALSE)&amp;VLOOKUP(D665,契約台帳!$A$3:$K$4986,7,FALSE)&amp;VLOOKUP(D665,契約台帳!$A$3:$K$4986,8,FALSE)&amp;VLOOKUP(D665,契約台帳!$A$3:$K$4986,9,FALSE)&amp;VLOOKUP(D665,契約台帳!$A$3:$K$4986,11,FALSE))</f>
        <v>33SSNMCLBTEKKFV</v>
      </c>
      <c r="G665" s="269" t="str">
        <f>IF(D665="","",VLOOKUP(F665,製品マスタ!$G$5:$H$5002,2,FALSE))</f>
        <v>S</v>
      </c>
      <c r="H665" s="269" t="str">
        <f>IF(D665="","",VLOOKUP(F665,製品マスタ!$G$5:$K$5002,5,FALSE))</f>
        <v>TEKKFV</v>
      </c>
      <c r="I665" s="270" t="str">
        <f>IF(D665="","",VLOOKUP(F665,製品マスタ!$G$5:$L$5002,6,FALSE))</f>
        <v>メタルミー　ＴＥＳ消開封　Ｖ</v>
      </c>
      <c r="J665" s="210" t="s">
        <v>447</v>
      </c>
      <c r="K665" s="270">
        <f>IF(D665="","",VLOOKUP(D665,契約台帳!$A$3:$L$4986,12,FALSE))</f>
        <v>50</v>
      </c>
      <c r="L665" s="270" t="str">
        <f>IF(D665="","",INDEX(製品マスタ!$Q$5:$Q$5002,MATCH('S4'!F665&amp;'S4'!K665,製品マスタ!$AO$5:$AO$5002,0)))</f>
        <v>X44SEPA</v>
      </c>
      <c r="M665" s="39">
        <v>1005</v>
      </c>
      <c r="N665" s="39">
        <v>12000</v>
      </c>
      <c r="O665" s="156">
        <v>1</v>
      </c>
      <c r="P665" s="47">
        <v>1</v>
      </c>
      <c r="Q665" s="57"/>
      <c r="R665" s="271">
        <f ca="1">IF(D665="","",IF(OFFSET(D665,-1,0)&lt;&gt;"","",IF(OR(J665="リード付け",J665="巻足し",J665="巻返しリード付け"),M665,VLOOKUP(D665,契約台帳!$A$3:$N$4986,14,FALSE))))</f>
        <v>1005</v>
      </c>
      <c r="S665" s="272">
        <f ca="1">IF(D665="","",IF(OFFSET(D665,-1,0)&lt;&gt;"","",IF(OR(J665="リード付け",J665="巻足し",J665="巻返しリード付け"),M665,VLOOKUP(D665,契約台帳!$A$3:$O$4986,15,FALSE))))</f>
        <v>1000</v>
      </c>
      <c r="T665" s="273">
        <f ca="1">IF(D665="","",IF(J665="リード付け",N665,IF(J665="巻返しリード付け",N665,IF(J665="巻足し",N665*P665+OFFSET(N665,1,0)*OFFSET(P665,1,0),VLOOKUP(D665,契約台帳!$A$3:$P$4986,16,FALSE)))))</f>
        <v>4000</v>
      </c>
      <c r="U665" s="40">
        <v>3</v>
      </c>
      <c r="V665" s="274">
        <f ca="1">IF(D665="","",IF(OFFSET(D665,-2,0)=D665,"",VLOOKUP(D665,契約台帳!$A$3:$R$4986,18,FALSE)))</f>
        <v>3</v>
      </c>
      <c r="W665" s="269" t="str">
        <f ca="1">IF(D665="","",IF(T665="","",IF(OR(J665="巻足し",J665="巻返しリード付け"),"",IF(J665="巻返し",VLOOKUP(F665&amp;K665&amp;M665,製品マスタ!$M$5:$AD$5002,18,FALSE),IF(OR(J665="リード付け",J665="巻返しリード付け"),"原反コア",IF(J665="スリット",VLOOKUP(F665&amp;K665&amp;R665,製品マスタ!$N$5:$AD$5002,17,FALSE),""))))))</f>
        <v>6ｲﾝﾁSｺｱ</v>
      </c>
      <c r="X665" s="269">
        <f ca="1">IF(D665="","",IF(T665="","",IF(J665="巻足し","",IF(J665="巻返し",VLOOKUP(F665&amp;K665&amp;M665,製品マスタ!$M$5:$AE$5002,19,FALSE),IF(OR(J665="リード付け",J665="巻返しリード付け"),"",IF(J665="スリット",VLOOKUP(F665&amp;K665&amp;R665,製品マスタ!$N$5:$AE$5002,18,FALSE),""))))))</f>
        <v>1015</v>
      </c>
      <c r="Y665" s="275">
        <f ca="1">IF(D665="","",IF(T665="","",VLOOKUP(D665,契約台帳!$A$3:$Q$4986,17,FALSE)))</f>
        <v>2</v>
      </c>
      <c r="Z665" s="269" t="str">
        <f ca="1">IF(D665="","",IF(T665="","",VLOOKUP(D665,契約台帳!$A$3:$E$4986,5,FALSE)))</f>
        <v>リンテック㈱</v>
      </c>
      <c r="AA665" s="57"/>
      <c r="AB665" s="207">
        <f>IFERROR((VLOOKUP(F665&amp;K665&amp;M665,製品マスタ!$M$5:$AM$5002,27,FALSE)),"")</f>
        <v>0</v>
      </c>
      <c r="AC665" s="33"/>
      <c r="AD665" s="189"/>
      <c r="AE665" s="54"/>
      <c r="AF665" s="55"/>
      <c r="AG665" s="43"/>
      <c r="AH665" s="47"/>
      <c r="AI665" s="30"/>
      <c r="AJ665" s="30"/>
      <c r="AK665" s="30"/>
      <c r="AL665" s="30"/>
      <c r="AM665" s="13"/>
      <c r="AN665" s="13"/>
      <c r="AO665" s="13"/>
      <c r="AP665" s="13"/>
      <c r="AQ665" s="13"/>
      <c r="AR665" s="14"/>
      <c r="AS665" s="15"/>
    </row>
    <row r="666" spans="1:45" s="17" customFormat="1" ht="30.95" hidden="1" customHeight="1" x14ac:dyDescent="0.2">
      <c r="A666" s="37"/>
      <c r="B666" s="38"/>
      <c r="C666" s="45"/>
      <c r="D666" s="31"/>
      <c r="E666" s="31"/>
      <c r="F666" s="268"/>
      <c r="G666" s="269"/>
      <c r="H666" s="269"/>
      <c r="I666" s="270"/>
      <c r="J666" s="210"/>
      <c r="K666" s="270"/>
      <c r="L666" s="270"/>
      <c r="M666" s="39"/>
      <c r="N666" s="39"/>
      <c r="O666" s="156"/>
      <c r="P666" s="47"/>
      <c r="Q666" s="57"/>
      <c r="R666" s="271"/>
      <c r="S666" s="272"/>
      <c r="T666" s="273"/>
      <c r="U666" s="40"/>
      <c r="V666" s="274"/>
      <c r="W666" s="269"/>
      <c r="X666" s="269"/>
      <c r="Y666" s="275"/>
      <c r="Z666" s="269"/>
      <c r="AA666" s="57"/>
      <c r="AB666" s="207"/>
      <c r="AC666" s="33"/>
      <c r="AD666" s="189"/>
      <c r="AE666" s="54"/>
      <c r="AF666" s="55"/>
      <c r="AG666" s="43"/>
      <c r="AH666" s="47"/>
      <c r="AI666" s="30"/>
      <c r="AJ666" s="30"/>
      <c r="AK666" s="30"/>
      <c r="AL666" s="30"/>
      <c r="AM666" s="13"/>
      <c r="AN666" s="13"/>
      <c r="AO666" s="13"/>
      <c r="AP666" s="13"/>
      <c r="AQ666" s="13"/>
      <c r="AR666" s="14"/>
      <c r="AS666" s="15"/>
    </row>
    <row r="667" spans="1:45" s="17" customFormat="1" ht="30.95" hidden="1" customHeight="1" x14ac:dyDescent="0.2">
      <c r="A667" s="37" t="s">
        <v>1232</v>
      </c>
      <c r="B667" s="38" t="s">
        <v>1233</v>
      </c>
      <c r="C667" s="45"/>
      <c r="D667" s="31">
        <v>3712110</v>
      </c>
      <c r="E667" s="31">
        <v>4140948</v>
      </c>
      <c r="F667" s="268" t="str">
        <f>IF(D667="","",VLOOKUP(D667,契約台帳!$A$3:$K$4986,6,FALSE)&amp;VLOOKUP(D667,契約台帳!$A$3:$K$4986,7,FALSE)&amp;VLOOKUP(D667,契約台帳!$A$3:$K$4986,8,FALSE)&amp;VLOOKUP(D667,契約台帳!$A$3:$K$4986,9,FALSE)&amp;VLOOKUP(D667,契約台帳!$A$3:$K$4986,11,FALSE))</f>
        <v>33SSNMCLBTEKV0V</v>
      </c>
      <c r="G667" s="269" t="str">
        <f>IF(D667="","",VLOOKUP(F667,製品マスタ!$G$5:$H$5002,2,FALSE))</f>
        <v>S</v>
      </c>
      <c r="H667" s="269" t="str">
        <f>IF(D667="","",VLOOKUP(F667,製品マスタ!$G$5:$K$5002,5,FALSE))</f>
        <v>TEKV0V</v>
      </c>
      <c r="I667" s="270" t="str">
        <f>IF(D667="","",VLOOKUP(F667,製品マスタ!$G$5:$L$5002,6,FALSE))</f>
        <v>メタルミー　ＴＥ－Ｓ消　ＶＯＩＤ　Ｖ</v>
      </c>
      <c r="J667" s="210" t="s">
        <v>447</v>
      </c>
      <c r="K667" s="270">
        <f>IF(D667="","",VLOOKUP(D667,契約台帳!$A$3:$L$4986,12,FALSE))</f>
        <v>50</v>
      </c>
      <c r="L667" s="270" t="str">
        <f>IF(D667="","",INDEX(製品マスタ!$Q$5:$Q$5002,MATCH('S4'!F667&amp;'S4'!K667,製品マスタ!$AO$5:$AO$5002,0)))</f>
        <v>X44SEPA</v>
      </c>
      <c r="M667" s="39">
        <v>1005</v>
      </c>
      <c r="N667" s="39">
        <v>12000</v>
      </c>
      <c r="O667" s="156">
        <v>1</v>
      </c>
      <c r="P667" s="47">
        <v>1</v>
      </c>
      <c r="Q667" s="57"/>
      <c r="R667" s="271">
        <f ca="1">IF(D667="","",IF(OFFSET(D667,-1,0)&lt;&gt;"","",IF(OR(J667="リード付け",J667="巻足し",J667="巻返しリード付け"),M667,VLOOKUP(D667,契約台帳!$A$3:$N$4986,14,FALSE))))</f>
        <v>1005</v>
      </c>
      <c r="S667" s="272">
        <f ca="1">IF(D667="","",IF(OFFSET(D667,-1,0)&lt;&gt;"","",IF(OR(J667="リード付け",J667="巻足し",J667="巻返しリード付け"),M667,VLOOKUP(D667,契約台帳!$A$3:$O$4986,15,FALSE))))</f>
        <v>1000</v>
      </c>
      <c r="T667" s="273">
        <f ca="1">IF(D667="","",IF(J667="リード付け",N667,IF(J667="巻返しリード付け",N667,IF(J667="巻足し",N667*P667+OFFSET(N667,1,0)*OFFSET(P667,1,0),VLOOKUP(D667,契約台帳!$A$3:$P$4986,16,FALSE)))))</f>
        <v>4000</v>
      </c>
      <c r="U667" s="40">
        <v>3</v>
      </c>
      <c r="V667" s="274">
        <f ca="1">IF(D667="","",IF(OFFSET(D667,-2,0)=D667,"",VLOOKUP(D667,契約台帳!$A$3:$R$4986,18,FALSE)))</f>
        <v>3</v>
      </c>
      <c r="W667" s="269" t="str">
        <f ca="1">IF(D667="","",IF(T667="","",IF(OR(J667="巻足し",J667="巻返しリード付け"),"",IF(J667="巻返し",VLOOKUP(F667&amp;K667&amp;M667,製品マスタ!$M$5:$AD$5002,18,FALSE),IF(OR(J667="リード付け",J667="巻返しリード付け"),"原反コア",IF(J667="スリット",VLOOKUP(F667&amp;K667&amp;R667,製品マスタ!$N$5:$AD$5002,17,FALSE),""))))))</f>
        <v>6ｲﾝﾁSｺｱ</v>
      </c>
      <c r="X667" s="269">
        <f ca="1">IF(D667="","",IF(T667="","",IF(J667="巻足し","",IF(J667="巻返し",VLOOKUP(F667&amp;K667&amp;M667,製品マスタ!$M$5:$AE$5002,19,FALSE),IF(OR(J667="リード付け",J667="巻返しリード付け"),"",IF(J667="スリット",VLOOKUP(F667&amp;K667&amp;R667,製品マスタ!$N$5:$AE$5002,18,FALSE),""))))))</f>
        <v>1015</v>
      </c>
      <c r="Y667" s="275">
        <f ca="1">IF(D667="","",IF(T667="","",VLOOKUP(D667,契約台帳!$A$3:$Q$4986,17,FALSE)))</f>
        <v>2</v>
      </c>
      <c r="Z667" s="269" t="str">
        <f ca="1">IF(D667="","",IF(T667="","",VLOOKUP(D667,契約台帳!$A$3:$E$4986,5,FALSE)))</f>
        <v>リンテック㈱</v>
      </c>
      <c r="AA667" s="57"/>
      <c r="AB667" s="207">
        <f>IFERROR((VLOOKUP(F667&amp;K667&amp;M667,製品マスタ!$M$5:$AM$5002,27,FALSE)),"")</f>
        <v>0</v>
      </c>
      <c r="AC667" s="33"/>
      <c r="AD667" s="189"/>
      <c r="AE667" s="54"/>
      <c r="AF667" s="55"/>
      <c r="AG667" s="43"/>
      <c r="AH667" s="47"/>
      <c r="AI667" s="30"/>
      <c r="AJ667" s="30"/>
      <c r="AK667" s="30"/>
      <c r="AL667" s="30"/>
      <c r="AM667" s="13"/>
      <c r="AN667" s="13"/>
      <c r="AO667" s="13"/>
      <c r="AP667" s="13"/>
      <c r="AQ667" s="13"/>
      <c r="AR667" s="14"/>
      <c r="AS667" s="15"/>
    </row>
    <row r="668" spans="1:45" s="17" customFormat="1" ht="30.95" hidden="1" customHeight="1" x14ac:dyDescent="0.2">
      <c r="A668" s="37"/>
      <c r="B668" s="38"/>
      <c r="C668" s="45"/>
      <c r="D668" s="31"/>
      <c r="E668" s="31"/>
      <c r="F668" s="268"/>
      <c r="G668" s="269"/>
      <c r="H668" s="269"/>
      <c r="I668" s="270"/>
      <c r="J668" s="210"/>
      <c r="K668" s="270"/>
      <c r="L668" s="270"/>
      <c r="M668" s="39"/>
      <c r="N668" s="39"/>
      <c r="O668" s="156"/>
      <c r="P668" s="47"/>
      <c r="Q668" s="57"/>
      <c r="R668" s="271"/>
      <c r="S668" s="272"/>
      <c r="T668" s="273"/>
      <c r="U668" s="40"/>
      <c r="V668" s="274"/>
      <c r="W668" s="269"/>
      <c r="X668" s="269"/>
      <c r="Y668" s="275"/>
      <c r="Z668" s="269"/>
      <c r="AA668" s="57"/>
      <c r="AB668" s="207"/>
      <c r="AC668" s="33"/>
      <c r="AD668" s="189"/>
      <c r="AE668" s="54"/>
      <c r="AF668" s="55"/>
      <c r="AG668" s="43"/>
      <c r="AH668" s="47"/>
      <c r="AI668" s="30"/>
      <c r="AJ668" s="30"/>
      <c r="AK668" s="30"/>
      <c r="AL668" s="30"/>
      <c r="AM668" s="13"/>
      <c r="AN668" s="13"/>
      <c r="AO668" s="13"/>
      <c r="AP668" s="13"/>
      <c r="AQ668" s="13"/>
      <c r="AR668" s="14"/>
      <c r="AS668" s="15"/>
    </row>
    <row r="669" spans="1:45" s="17" customFormat="1" ht="30.95" hidden="1" customHeight="1" x14ac:dyDescent="0.2">
      <c r="A669" s="37"/>
      <c r="B669" s="38"/>
      <c r="C669" s="45"/>
      <c r="D669" s="31">
        <v>3715368</v>
      </c>
      <c r="E669" s="31">
        <v>4140960</v>
      </c>
      <c r="F669" s="268" t="str">
        <f>IF(D669="","",VLOOKUP(D669,契約台帳!$A$3:$K$4986,6,FALSE)&amp;VLOOKUP(D669,契約台帳!$A$3:$K$4986,7,FALSE)&amp;VLOOKUP(D669,契約台帳!$A$3:$K$4986,8,FALSE)&amp;VLOOKUP(D669,契約台帳!$A$3:$K$4986,9,FALSE)&amp;VLOOKUP(D669,契約台帳!$A$3:$K$4986,11,FALSE))</f>
        <v>3TNMCLBHLKTV</v>
      </c>
      <c r="G669" s="269" t="str">
        <f>IF(D669="","",VLOOKUP(F669,製品マスタ!$G$5:$H$5002,2,FALSE))</f>
        <v>T</v>
      </c>
      <c r="H669" s="269" t="str">
        <f>IF(D669="","",VLOOKUP(F669,製品マスタ!$G$5:$K$5002,5,FALSE))</f>
        <v>HLKTV</v>
      </c>
      <c r="I669" s="270" t="str">
        <f>IF(D669="","",VLOOKUP(F669,製品マスタ!$G$5:$L$5002,6,FALSE))</f>
        <v>メタルミー　ヘヤライン金艶　Ｖ</v>
      </c>
      <c r="J669" s="210" t="s">
        <v>447</v>
      </c>
      <c r="K669" s="270">
        <f>IF(D669="","",VLOOKUP(D669,契約台帳!$A$3:$L$4986,12,FALSE))</f>
        <v>50</v>
      </c>
      <c r="L669" s="270" t="str">
        <f>IF(D669="","",INDEX(製品マスタ!$Q$5:$Q$5002,MATCH('S4'!F669&amp;'S4'!K669,製品マスタ!$AO$5:$AO$5002,0)))</f>
        <v>HL50/EC</v>
      </c>
      <c r="M669" s="39">
        <v>1030</v>
      </c>
      <c r="N669" s="39">
        <v>4000</v>
      </c>
      <c r="O669" s="156">
        <v>1</v>
      </c>
      <c r="P669" s="47">
        <v>1</v>
      </c>
      <c r="Q669" s="57"/>
      <c r="R669" s="271">
        <f ca="1">IF(D669="","",IF(OFFSET(D669,-1,0)&lt;&gt;"","",IF(OR(J669="リード付け",J669="巻足し",J669="巻返しリード付け"),M669,VLOOKUP(D669,契約台帳!$A$3:$N$4986,14,FALSE))))</f>
        <v>1000</v>
      </c>
      <c r="S669" s="272">
        <f ca="1">IF(D669="","",IF(OFFSET(D669,-1,0)&lt;&gt;"","",IF(OR(J669="リード付け",J669="巻足し",J669="巻返しリード付け"),M669,VLOOKUP(D669,契約台帳!$A$3:$O$4986,15,FALSE))))</f>
        <v>1000</v>
      </c>
      <c r="T669" s="273">
        <f ca="1">IF(D669="","",IF(J669="リード付け",N669,IF(J669="巻返しリード付け",N669,IF(J669="巻足し",N669*P669+OFFSET(N669,1,0)*OFFSET(P669,1,0),VLOOKUP(D669,契約台帳!$A$3:$P$4986,16,FALSE)))))</f>
        <v>2000</v>
      </c>
      <c r="U669" s="40">
        <v>2</v>
      </c>
      <c r="V669" s="274">
        <f ca="1">IF(D669="","",IF(OFFSET(D669,-2,0)=D669,"",VLOOKUP(D669,契約台帳!$A$3:$R$4986,18,FALSE)))</f>
        <v>2</v>
      </c>
      <c r="W669" s="269" t="str">
        <f ca="1">IF(D669="","",IF(T669="","",IF(OR(J669="巻足し",J669="巻返しリード付け"),"",IF(J669="巻返し",VLOOKUP(F669&amp;K669&amp;M669,製品マスタ!$M$5:$AD$5002,18,FALSE),IF(OR(J669="リード付け",J669="巻返しリード付け"),"原反コア",IF(J669="スリット",VLOOKUP(F669&amp;K669&amp;R669,製品マスタ!$N$5:$AD$5002,17,FALSE),""))))))</f>
        <v>6ｲﾝﾁSｺｱ</v>
      </c>
      <c r="X669" s="269">
        <f ca="1">IF(D669="","",IF(T669="","",IF(J669="巻足し","",IF(J669="巻返し",VLOOKUP(F669&amp;K669&amp;M669,製品マスタ!$M$5:$AE$5002,19,FALSE),IF(OR(J669="リード付け",J669="巻返しリード付け"),"",IF(J669="スリット",VLOOKUP(F669&amp;K669&amp;R669,製品マスタ!$N$5:$AE$5002,18,FALSE),""))))))</f>
        <v>1015</v>
      </c>
      <c r="Y669" s="275">
        <f ca="1">IF(D669="","",IF(T669="","",VLOOKUP(D669,契約台帳!$A$3:$Q$4986,17,FALSE)))</f>
        <v>2</v>
      </c>
      <c r="Z669" s="269" t="str">
        <f ca="1">IF(D669="","",IF(T669="","",VLOOKUP(D669,契約台帳!$A$3:$E$4986,5,FALSE)))</f>
        <v>リンテック㈱</v>
      </c>
      <c r="AA669" s="57"/>
      <c r="AB669" s="207" t="s">
        <v>774</v>
      </c>
      <c r="AC669" s="33"/>
      <c r="AD669" s="189"/>
      <c r="AE669" s="54"/>
      <c r="AF669" s="55"/>
      <c r="AG669" s="43"/>
      <c r="AH669" s="47"/>
      <c r="AI669" s="30"/>
      <c r="AJ669" s="30"/>
      <c r="AK669" s="30"/>
      <c r="AL669" s="30"/>
      <c r="AM669" s="13"/>
      <c r="AN669" s="13"/>
      <c r="AO669" s="13"/>
      <c r="AP669" s="13"/>
      <c r="AQ669" s="13"/>
      <c r="AR669" s="14"/>
      <c r="AS669" s="15"/>
    </row>
    <row r="670" spans="1:45" s="17" customFormat="1" ht="30.95" hidden="1" customHeight="1" x14ac:dyDescent="0.2">
      <c r="A670" s="37"/>
      <c r="B670" s="38"/>
      <c r="C670" s="45"/>
      <c r="D670" s="31"/>
      <c r="E670" s="31"/>
      <c r="F670" s="268"/>
      <c r="G670" s="269"/>
      <c r="H670" s="269"/>
      <c r="I670" s="270"/>
      <c r="J670" s="210"/>
      <c r="K670" s="270"/>
      <c r="L670" s="270"/>
      <c r="M670" s="39"/>
      <c r="N670" s="39"/>
      <c r="O670" s="156"/>
      <c r="P670" s="47"/>
      <c r="Q670" s="57"/>
      <c r="R670" s="271"/>
      <c r="S670" s="272"/>
      <c r="T670" s="273"/>
      <c r="U670" s="40"/>
      <c r="V670" s="274"/>
      <c r="W670" s="269"/>
      <c r="X670" s="269"/>
      <c r="Y670" s="275"/>
      <c r="Z670" s="269"/>
      <c r="AA670" s="57"/>
      <c r="AB670" s="207"/>
      <c r="AC670" s="33"/>
      <c r="AD670" s="189"/>
      <c r="AE670" s="54"/>
      <c r="AF670" s="55"/>
      <c r="AG670" s="43"/>
      <c r="AH670" s="47"/>
      <c r="AI670" s="30"/>
      <c r="AJ670" s="30"/>
      <c r="AK670" s="30"/>
      <c r="AL670" s="30"/>
      <c r="AM670" s="13"/>
      <c r="AN670" s="13"/>
      <c r="AO670" s="13"/>
      <c r="AP670" s="13"/>
      <c r="AQ670" s="13"/>
      <c r="AR670" s="14"/>
      <c r="AS670" s="15"/>
    </row>
    <row r="671" spans="1:45" s="17" customFormat="1" ht="30.95" hidden="1" customHeight="1" x14ac:dyDescent="0.2">
      <c r="A671" s="37"/>
      <c r="B671" s="38"/>
      <c r="C671" s="45"/>
      <c r="D671" s="31">
        <v>3708722</v>
      </c>
      <c r="E671" s="31">
        <v>4140957</v>
      </c>
      <c r="F671" s="268" t="str">
        <f>IF(D671="","",VLOOKUP(D671,契約台帳!$A$3:$K$4986,6,FALSE)&amp;VLOOKUP(D671,契約台帳!$A$3:$K$4986,7,FALSE)&amp;VLOOKUP(D671,契約台帳!$A$3:$K$4986,8,FALSE)&amp;VLOOKUP(D671,契約台帳!$A$3:$K$4986,9,FALSE)&amp;VLOOKUP(D671,契約台帳!$A$3:$K$4986,11,FALSE))</f>
        <v>3SNMCLBHLGTV</v>
      </c>
      <c r="G671" s="269" t="str">
        <f>IF(D671="","",VLOOKUP(F671,製品マスタ!$G$5:$H$5002,2,FALSE))</f>
        <v>S</v>
      </c>
      <c r="H671" s="269" t="str">
        <f>IF(D671="","",VLOOKUP(F671,製品マスタ!$G$5:$K$5002,5,FALSE))</f>
        <v>HLGTV</v>
      </c>
      <c r="I671" s="270" t="str">
        <f>IF(D671="","",VLOOKUP(F671,製品マスタ!$G$5:$L$5002,6,FALSE))</f>
        <v>メタルミー　ヘヤライン　銀艶Ｖ</v>
      </c>
      <c r="J671" s="210" t="s">
        <v>447</v>
      </c>
      <c r="K671" s="270">
        <f>IF(D671="","",VLOOKUP(D671,契約台帳!$A$3:$L$4986,12,FALSE))</f>
        <v>50</v>
      </c>
      <c r="L671" s="270" t="str">
        <f>IF(D671="","",INDEX(製品マスタ!$Q$5:$Q$5002,MATCH('S4'!F671&amp;'S4'!K671,製品マスタ!$AO$5:$AO$5002,0)))</f>
        <v>BRIGHT</v>
      </c>
      <c r="M671" s="39">
        <v>1005</v>
      </c>
      <c r="N671" s="39">
        <v>8200</v>
      </c>
      <c r="O671" s="156">
        <v>1</v>
      </c>
      <c r="P671" s="47">
        <v>1</v>
      </c>
      <c r="Q671" s="57"/>
      <c r="R671" s="271">
        <f ca="1">IF(D671="","",IF(OFFSET(D671,-1,0)&lt;&gt;"","",IF(OR(J671="リード付け",J671="巻足し",J671="巻返しリード付け"),M671,VLOOKUP(D671,契約台帳!$A$3:$N$4986,14,FALSE))))</f>
        <v>1005</v>
      </c>
      <c r="S671" s="272">
        <f ca="1">IF(D671="","",IF(OFFSET(D671,-1,0)&lt;&gt;"","",IF(OR(J671="リード付け",J671="巻足し",J671="巻返しリード付け"),M671,VLOOKUP(D671,契約台帳!$A$3:$O$4986,15,FALSE))))</f>
        <v>1000</v>
      </c>
      <c r="T671" s="273">
        <f ca="1">IF(D671="","",IF(J671="リード付け",N671,IF(J671="巻返しリード付け",N671,IF(J671="巻足し",N671*P671+OFFSET(N671,1,0)*OFFSET(P671,1,0),VLOOKUP(D671,契約台帳!$A$3:$P$4986,16,FALSE)))))</f>
        <v>2000</v>
      </c>
      <c r="U671" s="40">
        <v>2</v>
      </c>
      <c r="V671" s="274">
        <f ca="1">IF(D671="","",IF(OFFSET(D671,-2,0)=D671,"",VLOOKUP(D671,契約台帳!$A$3:$R$4986,18,FALSE)))</f>
        <v>2</v>
      </c>
      <c r="W671" s="269" t="str">
        <f ca="1">IF(D671="","",IF(T671="","",IF(OR(J671="巻足し",J671="巻返しリード付け"),"",IF(J671="巻返し",VLOOKUP(F671&amp;K671&amp;M671,製品マスタ!$M$5:$AD$5002,18,FALSE),IF(OR(J671="リード付け",J671="巻返しリード付け"),"原反コア",IF(J671="スリット",VLOOKUP(F671&amp;K671&amp;R671,製品マスタ!$N$5:$AD$5002,17,FALSE),""))))))</f>
        <v>6ｲﾝﾁSｺｱ</v>
      </c>
      <c r="X671" s="269">
        <f ca="1">IF(D671="","",IF(T671="","",IF(J671="巻足し","",IF(J671="巻返し",VLOOKUP(F671&amp;K671&amp;M671,製品マスタ!$M$5:$AE$5002,19,FALSE),IF(OR(J671="リード付け",J671="巻返しリード付け"),"",IF(J671="スリット",VLOOKUP(F671&amp;K671&amp;R671,製品マスタ!$N$5:$AE$5002,18,FALSE),""))))))</f>
        <v>1015</v>
      </c>
      <c r="Y671" s="275">
        <f ca="1">IF(D671="","",IF(T671="","",VLOOKUP(D671,契約台帳!$A$3:$Q$4986,17,FALSE)))</f>
        <v>2</v>
      </c>
      <c r="Z671" s="269" t="str">
        <f ca="1">IF(D671="","",IF(T671="","",VLOOKUP(D671,契約台帳!$A$3:$E$4986,5,FALSE)))</f>
        <v>リンテック㈱</v>
      </c>
      <c r="AA671" s="57"/>
      <c r="AB671" s="207">
        <f>IFERROR((VLOOKUP(F671&amp;K671&amp;M671,製品マスタ!$M$5:$AM$5002,27,FALSE)),"")</f>
        <v>0</v>
      </c>
      <c r="AC671" s="33"/>
      <c r="AD671" s="189"/>
      <c r="AE671" s="54"/>
      <c r="AF671" s="55"/>
      <c r="AG671" s="43"/>
      <c r="AH671" s="47"/>
      <c r="AI671" s="30"/>
      <c r="AJ671" s="30"/>
      <c r="AK671" s="30"/>
      <c r="AL671" s="30"/>
      <c r="AM671" s="13"/>
      <c r="AN671" s="13"/>
      <c r="AO671" s="13"/>
      <c r="AP671" s="13"/>
      <c r="AQ671" s="13"/>
      <c r="AR671" s="14"/>
      <c r="AS671" s="15"/>
    </row>
    <row r="672" spans="1:45" s="17" customFormat="1" ht="30.95" hidden="1" customHeight="1" x14ac:dyDescent="0.2">
      <c r="A672" s="37"/>
      <c r="B672" s="38"/>
      <c r="C672" s="45"/>
      <c r="D672" s="31">
        <v>3712113</v>
      </c>
      <c r="E672" s="31"/>
      <c r="F672" s="268" t="str">
        <f>IF(D672="","",VLOOKUP(D672,契約台帳!$A$3:$K$4986,6,FALSE)&amp;VLOOKUP(D672,契約台帳!$A$3:$K$4986,7,FALSE)&amp;VLOOKUP(D672,契約台帳!$A$3:$K$4986,8,FALSE)&amp;VLOOKUP(D672,契約台帳!$A$3:$K$4986,9,FALSE)&amp;VLOOKUP(D672,契約台帳!$A$3:$K$4986,11,FALSE))</f>
        <v>3SNMCLBHLGTV</v>
      </c>
      <c r="G672" s="269" t="str">
        <f>IF(D672="","",VLOOKUP(F672,製品マスタ!$G$5:$H$5002,2,FALSE))</f>
        <v>S</v>
      </c>
      <c r="H672" s="269" t="str">
        <f>IF(D672="","",VLOOKUP(F672,製品マスタ!$G$5:$K$5002,5,FALSE))</f>
        <v>HLGTV</v>
      </c>
      <c r="I672" s="270" t="str">
        <f>IF(D672="","",VLOOKUP(F672,製品マスタ!$G$5:$L$5002,6,FALSE))</f>
        <v>メタルミー　ヘヤライン　銀艶Ｖ</v>
      </c>
      <c r="J672" s="210" t="s">
        <v>447</v>
      </c>
      <c r="K672" s="270">
        <f>IF(D672="","",VLOOKUP(D672,契約台帳!$A$3:$L$4986,12,FALSE))</f>
        <v>50</v>
      </c>
      <c r="L672" s="270" t="str">
        <f>IF(D672="","",INDEX(製品マスタ!$Q$5:$Q$5002,MATCH('S4'!F672&amp;'S4'!K672,製品マスタ!$AO$5:$AO$5002,0)))</f>
        <v>BRIGHT</v>
      </c>
      <c r="M672" s="39">
        <v>1005</v>
      </c>
      <c r="N672" s="39"/>
      <c r="O672" s="156"/>
      <c r="P672" s="47"/>
      <c r="Q672" s="57"/>
      <c r="R672" s="271" t="str">
        <f ca="1">IF(D672="","",IF(OFFSET(D672,-1,0)&lt;&gt;"","",IF(OR(J672="リード付け",J672="巻足し",J672="巻返しリード付け"),M672,VLOOKUP(D672,契約台帳!$A$3:$N$4986,14,FALSE))))</f>
        <v/>
      </c>
      <c r="S672" s="272" t="str">
        <f ca="1">IF(D672="","",IF(OFFSET(D672,-1,0)&lt;&gt;"","",IF(OR(J672="リード付け",J672="巻足し",J672="巻返しリード付け"),M672,VLOOKUP(D672,契約台帳!$A$3:$O$4986,15,FALSE))))</f>
        <v/>
      </c>
      <c r="T672" s="273">
        <f ca="1">IF(D672="","",IF(J672="リード付け",N672,IF(J672="巻返しリード付け",N672,IF(J672="巻足し",N672*P672+OFFSET(N672,1,0)*OFFSET(P672,1,0),VLOOKUP(D672,契約台帳!$A$3:$P$4986,16,FALSE)))))</f>
        <v>4000</v>
      </c>
      <c r="U672" s="40">
        <v>1</v>
      </c>
      <c r="V672" s="274">
        <f ca="1">IF(D672="","",IF(OFFSET(D672,-2,0)=D672,"",VLOOKUP(D672,契約台帳!$A$3:$R$4986,18,FALSE)))</f>
        <v>3</v>
      </c>
      <c r="W672" s="269" t="str">
        <f ca="1">IF(D672="","",IF(T672="","",IF(OR(J672="巻足し",J672="巻返しリード付け"),"",IF(J672="巻返し",VLOOKUP(F672&amp;K672&amp;M672,製品マスタ!$M$5:$AD$5002,18,FALSE),IF(OR(J672="リード付け",J672="巻返しリード付け"),"原反コア",IF(J672="スリット",VLOOKUP(F672&amp;K672&amp;R672,製品マスタ!$N$5:$AD$5002,17,FALSE),""))))))</f>
        <v>6ｲﾝﾁSｺｱ</v>
      </c>
      <c r="X672" s="269">
        <f ca="1">IF(D672="","",IF(T672="","",IF(J672="巻足し","",IF(J672="巻返し",VLOOKUP(F672&amp;K672&amp;M672,製品マスタ!$M$5:$AE$5002,19,FALSE),IF(OR(J672="リード付け",J672="巻返しリード付け"),"",IF(J672="スリット",VLOOKUP(F672&amp;K672&amp;R672,製品マスタ!$N$5:$AE$5002,18,FALSE),""))))))</f>
        <v>1015</v>
      </c>
      <c r="Y672" s="275">
        <f ca="1">IF(D672="","",IF(T672="","",VLOOKUP(D672,契約台帳!$A$3:$Q$4986,17,FALSE)))</f>
        <v>2</v>
      </c>
      <c r="Z672" s="269" t="str">
        <f ca="1">IF(D672="","",IF(T672="","",VLOOKUP(D672,契約台帳!$A$3:$E$4986,5,FALSE)))</f>
        <v>リンテック㈱</v>
      </c>
      <c r="AA672" s="57"/>
      <c r="AB672" s="207">
        <f>IFERROR((VLOOKUP(F672&amp;K672&amp;M672,製品マスタ!$M$5:$AM$5002,27,FALSE)),"")</f>
        <v>0</v>
      </c>
      <c r="AC672" s="33"/>
      <c r="AD672" s="189"/>
      <c r="AE672" s="54"/>
      <c r="AF672" s="55"/>
      <c r="AG672" s="43"/>
      <c r="AH672" s="47"/>
      <c r="AI672" s="30"/>
      <c r="AJ672" s="30"/>
      <c r="AK672" s="30"/>
      <c r="AL672" s="30"/>
      <c r="AM672" s="13"/>
      <c r="AN672" s="13"/>
      <c r="AO672" s="13"/>
      <c r="AP672" s="13"/>
      <c r="AQ672" s="13"/>
      <c r="AR672" s="14"/>
      <c r="AS672" s="15"/>
    </row>
    <row r="673" spans="1:45" s="17" customFormat="1" ht="30.95" hidden="1" customHeight="1" x14ac:dyDescent="0.2">
      <c r="A673" s="37"/>
      <c r="B673" s="38"/>
      <c r="C673" s="45"/>
      <c r="D673" s="31"/>
      <c r="E673" s="31"/>
      <c r="F673" s="268"/>
      <c r="G673" s="269"/>
      <c r="H673" s="269"/>
      <c r="I673" s="270"/>
      <c r="J673" s="210"/>
      <c r="K673" s="270"/>
      <c r="L673" s="270"/>
      <c r="M673" s="39"/>
      <c r="N673" s="39"/>
      <c r="O673" s="156"/>
      <c r="P673" s="47"/>
      <c r="Q673" s="57"/>
      <c r="R673" s="271"/>
      <c r="S673" s="272"/>
      <c r="T673" s="273"/>
      <c r="U673" s="40"/>
      <c r="V673" s="274"/>
      <c r="W673" s="269"/>
      <c r="X673" s="269"/>
      <c r="Y673" s="275"/>
      <c r="Z673" s="269"/>
      <c r="AA673" s="57"/>
      <c r="AB673" s="207"/>
      <c r="AC673" s="33"/>
      <c r="AD673" s="189"/>
      <c r="AE673" s="54"/>
      <c r="AF673" s="55"/>
      <c r="AG673" s="43"/>
      <c r="AH673" s="47"/>
      <c r="AI673" s="30"/>
      <c r="AJ673" s="30"/>
      <c r="AK673" s="30"/>
      <c r="AL673" s="30"/>
      <c r="AM673" s="13"/>
      <c r="AN673" s="13"/>
      <c r="AO673" s="13"/>
      <c r="AP673" s="13"/>
      <c r="AQ673" s="13"/>
      <c r="AR673" s="14"/>
      <c r="AS673" s="15"/>
    </row>
    <row r="674" spans="1:45" s="17" customFormat="1" ht="30.95" hidden="1" customHeight="1" x14ac:dyDescent="0.2">
      <c r="A674" s="37"/>
      <c r="B674" s="38"/>
      <c r="C674" s="45"/>
      <c r="D674" s="31">
        <v>3712113</v>
      </c>
      <c r="E674" s="31">
        <v>4140958</v>
      </c>
      <c r="F674" s="268" t="str">
        <f>IF(D674="","",VLOOKUP(D674,契約台帳!$A$3:$K$4986,6,FALSE)&amp;VLOOKUP(D674,契約台帳!$A$3:$K$4986,7,FALSE)&amp;VLOOKUP(D674,契約台帳!$A$3:$K$4986,8,FALSE)&amp;VLOOKUP(D674,契約台帳!$A$3:$K$4986,9,FALSE)&amp;VLOOKUP(D674,契約台帳!$A$3:$K$4986,11,FALSE))</f>
        <v>3SNMCLBHLGTV</v>
      </c>
      <c r="G674" s="269" t="str">
        <f>IF(D674="","",VLOOKUP(F674,製品マスタ!$G$5:$H$5002,2,FALSE))</f>
        <v>S</v>
      </c>
      <c r="H674" s="269" t="str">
        <f>IF(D674="","",VLOOKUP(F674,製品マスタ!$G$5:$K$5002,5,FALSE))</f>
        <v>HLGTV</v>
      </c>
      <c r="I674" s="270" t="str">
        <f>IF(D674="","",VLOOKUP(F674,製品マスタ!$G$5:$L$5002,6,FALSE))</f>
        <v>メタルミー　ヘヤライン　銀艶Ｖ</v>
      </c>
      <c r="J674" s="210" t="s">
        <v>447</v>
      </c>
      <c r="K674" s="270">
        <f>IF(D674="","",VLOOKUP(D674,契約台帳!$A$3:$L$4986,12,FALSE))</f>
        <v>50</v>
      </c>
      <c r="L674" s="270" t="str">
        <f>IF(D674="","",INDEX(製品マスタ!$Q$5:$Q$5002,MATCH('S4'!F674&amp;'S4'!K674,製品マスタ!$AO$5:$AO$5002,0)))</f>
        <v>BRIGHT</v>
      </c>
      <c r="M674" s="39">
        <v>1005</v>
      </c>
      <c r="N674" s="39">
        <v>8200</v>
      </c>
      <c r="O674" s="156">
        <v>1</v>
      </c>
      <c r="P674" s="47">
        <v>1</v>
      </c>
      <c r="Q674" s="57"/>
      <c r="R674" s="271">
        <f ca="1">IF(D674="","",IF(OFFSET(D674,-1,0)&lt;&gt;"","",IF(OR(J674="リード付け",J674="巻足し",J674="巻返しリード付け"),M674,VLOOKUP(D674,契約台帳!$A$3:$N$4986,14,FALSE))))</f>
        <v>1005</v>
      </c>
      <c r="S674" s="272">
        <f ca="1">IF(D674="","",IF(OFFSET(D674,-1,0)&lt;&gt;"","",IF(OR(J674="リード付け",J674="巻足し",J674="巻返しリード付け"),M674,VLOOKUP(D674,契約台帳!$A$3:$O$4986,15,FALSE))))</f>
        <v>1000</v>
      </c>
      <c r="T674" s="273">
        <f ca="1">IF(D674="","",IF(J674="リード付け",N674,IF(J674="巻返しリード付け",N674,IF(J674="巻足し",N674*P674+OFFSET(N674,1,0)*OFFSET(P674,1,0),VLOOKUP(D674,契約台帳!$A$3:$P$4986,16,FALSE)))))</f>
        <v>4000</v>
      </c>
      <c r="U674" s="40">
        <v>2</v>
      </c>
      <c r="V674" s="274" t="str">
        <f ca="1">IF(D674="","",IF(OFFSET(D674,-2,0)=D674,"",VLOOKUP(D674,契約台帳!$A$3:$R$4986,18,FALSE)))</f>
        <v/>
      </c>
      <c r="W674" s="269" t="str">
        <f ca="1">IF(D674="","",IF(T674="","",IF(OR(J674="巻足し",J674="巻返しリード付け"),"",IF(J674="巻返し",VLOOKUP(F674&amp;K674&amp;M674,製品マスタ!$M$5:$AD$5002,18,FALSE),IF(OR(J674="リード付け",J674="巻返しリード付け"),"原反コア",IF(J674="スリット",VLOOKUP(F674&amp;K674&amp;R674,製品マスタ!$N$5:$AD$5002,17,FALSE),""))))))</f>
        <v>6ｲﾝﾁSｺｱ</v>
      </c>
      <c r="X674" s="269">
        <f ca="1">IF(D674="","",IF(T674="","",IF(J674="巻足し","",IF(J674="巻返し",VLOOKUP(F674&amp;K674&amp;M674,製品マスタ!$M$5:$AE$5002,19,FALSE),IF(OR(J674="リード付け",J674="巻返しリード付け"),"",IF(J674="スリット",VLOOKUP(F674&amp;K674&amp;R674,製品マスタ!$N$5:$AE$5002,18,FALSE),""))))))</f>
        <v>1015</v>
      </c>
      <c r="Y674" s="275">
        <f ca="1">IF(D674="","",IF(T674="","",VLOOKUP(D674,契約台帳!$A$3:$Q$4986,17,FALSE)))</f>
        <v>2</v>
      </c>
      <c r="Z674" s="269" t="str">
        <f ca="1">IF(D674="","",IF(T674="","",VLOOKUP(D674,契約台帳!$A$3:$E$4986,5,FALSE)))</f>
        <v>リンテック㈱</v>
      </c>
      <c r="AA674" s="57"/>
      <c r="AB674" s="207">
        <f>IFERROR((VLOOKUP(F674&amp;K674&amp;M674,製品マスタ!$M$5:$AM$5002,27,FALSE)),"")</f>
        <v>0</v>
      </c>
      <c r="AC674" s="33"/>
      <c r="AD674" s="189"/>
      <c r="AE674" s="54"/>
      <c r="AF674" s="55"/>
      <c r="AG674" s="43"/>
      <c r="AH674" s="47"/>
      <c r="AI674" s="30"/>
      <c r="AJ674" s="30"/>
      <c r="AK674" s="30"/>
      <c r="AL674" s="30"/>
      <c r="AM674" s="13"/>
      <c r="AN674" s="13"/>
      <c r="AO674" s="13"/>
      <c r="AP674" s="13"/>
      <c r="AQ674" s="13"/>
      <c r="AR674" s="14"/>
      <c r="AS674" s="15"/>
    </row>
    <row r="675" spans="1:45" s="17" customFormat="1" ht="30.95" hidden="1" customHeight="1" x14ac:dyDescent="0.2">
      <c r="A675" s="37"/>
      <c r="B675" s="38"/>
      <c r="C675" s="45"/>
      <c r="D675" s="31"/>
      <c r="E675" s="31"/>
      <c r="F675" s="268"/>
      <c r="G675" s="269"/>
      <c r="H675" s="269"/>
      <c r="I675" s="270"/>
      <c r="J675" s="210"/>
      <c r="K675" s="270"/>
      <c r="L675" s="270"/>
      <c r="M675" s="39"/>
      <c r="N675" s="39"/>
      <c r="O675" s="156"/>
      <c r="P675" s="47"/>
      <c r="Q675" s="57"/>
      <c r="R675" s="271"/>
      <c r="S675" s="272"/>
      <c r="T675" s="273"/>
      <c r="U675" s="40"/>
      <c r="V675" s="274"/>
      <c r="W675" s="269"/>
      <c r="X675" s="269"/>
      <c r="Y675" s="275"/>
      <c r="Z675" s="269"/>
      <c r="AA675" s="57"/>
      <c r="AB675" s="207"/>
      <c r="AC675" s="33"/>
      <c r="AD675" s="189"/>
      <c r="AE675" s="54"/>
      <c r="AF675" s="55"/>
      <c r="AG675" s="43"/>
      <c r="AH675" s="47"/>
      <c r="AI675" s="30"/>
      <c r="AJ675" s="30"/>
      <c r="AK675" s="30"/>
      <c r="AL675" s="30"/>
      <c r="AM675" s="13"/>
      <c r="AN675" s="13"/>
      <c r="AO675" s="13"/>
      <c r="AP675" s="13"/>
      <c r="AQ675" s="13"/>
      <c r="AR675" s="14"/>
      <c r="AS675" s="15"/>
    </row>
    <row r="676" spans="1:45" s="17" customFormat="1" ht="30.95" hidden="1" customHeight="1" x14ac:dyDescent="0.2">
      <c r="A676" s="37" t="s">
        <v>1235</v>
      </c>
      <c r="B676" s="38" t="s">
        <v>1236</v>
      </c>
      <c r="C676" s="45"/>
      <c r="D676" s="31"/>
      <c r="E676" s="31"/>
      <c r="F676" s="268"/>
      <c r="G676" s="269"/>
      <c r="H676" s="269"/>
      <c r="I676" s="270"/>
      <c r="J676" s="210" t="s">
        <v>448</v>
      </c>
      <c r="K676" s="270"/>
      <c r="L676" s="270"/>
      <c r="M676" s="39"/>
      <c r="N676" s="39"/>
      <c r="O676" s="156"/>
      <c r="P676" s="47"/>
      <c r="Q676" s="57"/>
      <c r="R676" s="271"/>
      <c r="S676" s="272"/>
      <c r="T676" s="273"/>
      <c r="U676" s="40"/>
      <c r="V676" s="274"/>
      <c r="W676" s="269"/>
      <c r="X676" s="269"/>
      <c r="Y676" s="275"/>
      <c r="Z676" s="269"/>
      <c r="AA676" s="57"/>
      <c r="AB676" s="207"/>
      <c r="AC676" s="33"/>
      <c r="AD676" s="189"/>
      <c r="AE676" s="54"/>
      <c r="AF676" s="55"/>
      <c r="AG676" s="43"/>
      <c r="AH676" s="47"/>
      <c r="AI676" s="30"/>
      <c r="AJ676" s="30"/>
      <c r="AK676" s="30"/>
      <c r="AL676" s="30"/>
      <c r="AM676" s="13"/>
      <c r="AN676" s="13"/>
      <c r="AO676" s="13"/>
      <c r="AP676" s="13"/>
      <c r="AQ676" s="13"/>
      <c r="AR676" s="14"/>
      <c r="AS676" s="15"/>
    </row>
    <row r="677" spans="1:45" s="17" customFormat="1" ht="30.95" hidden="1" customHeight="1" x14ac:dyDescent="0.2">
      <c r="A677" s="37"/>
      <c r="B677" s="38"/>
      <c r="C677" s="45"/>
      <c r="D677" s="31"/>
      <c r="E677" s="31"/>
      <c r="F677" s="268"/>
      <c r="G677" s="269"/>
      <c r="H677" s="269"/>
      <c r="I677" s="270"/>
      <c r="J677" s="210"/>
      <c r="K677" s="270"/>
      <c r="L677" s="270"/>
      <c r="M677" s="39"/>
      <c r="N677" s="39"/>
      <c r="O677" s="156"/>
      <c r="P677" s="47"/>
      <c r="Q677" s="57"/>
      <c r="R677" s="271"/>
      <c r="S677" s="272"/>
      <c r="T677" s="273"/>
      <c r="U677" s="40"/>
      <c r="V677" s="274"/>
      <c r="W677" s="269"/>
      <c r="X677" s="269"/>
      <c r="Y677" s="275"/>
      <c r="Z677" s="269"/>
      <c r="AA677" s="57"/>
      <c r="AB677" s="207"/>
      <c r="AC677" s="33"/>
      <c r="AD677" s="189"/>
      <c r="AE677" s="54"/>
      <c r="AF677" s="55"/>
      <c r="AG677" s="43"/>
      <c r="AH677" s="47"/>
      <c r="AI677" s="30"/>
      <c r="AJ677" s="30"/>
      <c r="AK677" s="30"/>
      <c r="AL677" s="30"/>
      <c r="AM677" s="13"/>
      <c r="AN677" s="13"/>
      <c r="AO677" s="13"/>
      <c r="AP677" s="13"/>
      <c r="AQ677" s="13"/>
      <c r="AR677" s="14"/>
      <c r="AS677" s="15"/>
    </row>
    <row r="678" spans="1:45" s="17" customFormat="1" ht="30.95" hidden="1" customHeight="1" x14ac:dyDescent="0.2">
      <c r="A678" s="37" t="s">
        <v>1234</v>
      </c>
      <c r="B678" s="38" t="s">
        <v>1237</v>
      </c>
      <c r="C678" s="45"/>
      <c r="D678" s="31"/>
      <c r="E678" s="31"/>
      <c r="F678" s="268"/>
      <c r="G678" s="269"/>
      <c r="H678" s="269"/>
      <c r="I678" s="270"/>
      <c r="J678" s="210" t="s">
        <v>448</v>
      </c>
      <c r="K678" s="270"/>
      <c r="L678" s="270"/>
      <c r="M678" s="39"/>
      <c r="N678" s="39"/>
      <c r="O678" s="156"/>
      <c r="P678" s="47"/>
      <c r="Q678" s="57"/>
      <c r="R678" s="271"/>
      <c r="S678" s="272"/>
      <c r="T678" s="273"/>
      <c r="U678" s="40"/>
      <c r="V678" s="274"/>
      <c r="W678" s="269"/>
      <c r="X678" s="269"/>
      <c r="Y678" s="275"/>
      <c r="Z678" s="269"/>
      <c r="AA678" s="57"/>
      <c r="AB678" s="207"/>
      <c r="AC678" s="33"/>
      <c r="AD678" s="189"/>
      <c r="AE678" s="54"/>
      <c r="AF678" s="55"/>
      <c r="AG678" s="43"/>
      <c r="AH678" s="47"/>
      <c r="AI678" s="30"/>
      <c r="AJ678" s="30"/>
      <c r="AK678" s="30"/>
      <c r="AL678" s="30"/>
      <c r="AM678" s="13"/>
      <c r="AN678" s="13"/>
      <c r="AO678" s="13"/>
      <c r="AP678" s="13"/>
      <c r="AQ678" s="13"/>
      <c r="AR678" s="14"/>
      <c r="AS678" s="15"/>
    </row>
    <row r="679" spans="1:45" s="17" customFormat="1" ht="30.95" hidden="1" customHeight="1" x14ac:dyDescent="0.2">
      <c r="A679" s="37"/>
      <c r="B679" s="38"/>
      <c r="C679" s="45"/>
      <c r="D679" s="31"/>
      <c r="E679" s="31"/>
      <c r="F679" s="268"/>
      <c r="G679" s="269"/>
      <c r="H679" s="269"/>
      <c r="I679" s="270"/>
      <c r="J679" s="210"/>
      <c r="K679" s="270"/>
      <c r="L679" s="270"/>
      <c r="M679" s="39"/>
      <c r="N679" s="39"/>
      <c r="O679" s="156"/>
      <c r="P679" s="47"/>
      <c r="Q679" s="57"/>
      <c r="R679" s="271"/>
      <c r="S679" s="272"/>
      <c r="T679" s="273"/>
      <c r="U679" s="40"/>
      <c r="V679" s="274"/>
      <c r="W679" s="269"/>
      <c r="X679" s="269"/>
      <c r="Y679" s="275"/>
      <c r="Z679" s="269"/>
      <c r="AA679" s="57"/>
      <c r="AB679" s="207"/>
      <c r="AC679" s="33"/>
      <c r="AD679" s="189"/>
      <c r="AE679" s="54"/>
      <c r="AF679" s="55"/>
      <c r="AG679" s="43"/>
      <c r="AH679" s="47"/>
      <c r="AI679" s="30"/>
      <c r="AJ679" s="30"/>
      <c r="AK679" s="30"/>
      <c r="AL679" s="30"/>
      <c r="AM679" s="13"/>
      <c r="AN679" s="13"/>
      <c r="AO679" s="13"/>
      <c r="AP679" s="13"/>
      <c r="AQ679" s="13"/>
      <c r="AR679" s="14"/>
      <c r="AS679" s="15"/>
    </row>
    <row r="680" spans="1:45" s="17" customFormat="1" ht="30.95" hidden="1" customHeight="1" x14ac:dyDescent="0.2">
      <c r="A680" s="37" t="s">
        <v>1223</v>
      </c>
      <c r="B680" s="38" t="s">
        <v>462</v>
      </c>
      <c r="C680" s="45"/>
      <c r="D680" s="31">
        <v>3711152</v>
      </c>
      <c r="E680" s="31">
        <v>4140945</v>
      </c>
      <c r="F680" s="268" t="str">
        <f>IF(D680="","",VLOOKUP(D680,契約台帳!$A$3:$K$4986,6,FALSE)&amp;VLOOKUP(D680,契約台帳!$A$3:$K$4986,7,FALSE)&amp;VLOOKUP(D680,契約台帳!$A$3:$K$4986,8,FALSE)&amp;VLOOKUP(D680,契約台帳!$A$3:$K$4986,9,FALSE)&amp;VLOOKUP(D680,契約台帳!$A$3:$K$4986,11,FALSE))</f>
        <v>3UNMCLBHLGTV</v>
      </c>
      <c r="G680" s="269" t="str">
        <f>IF(D680="","",VLOOKUP(F680,製品マスタ!$G$5:$H$5002,2,FALSE))</f>
        <v>U</v>
      </c>
      <c r="H680" s="269" t="str">
        <f>IF(D680="","",VLOOKUP(F680,製品マスタ!$G$5:$K$5002,5,FALSE))</f>
        <v>HLGTV</v>
      </c>
      <c r="I680" s="270" t="str">
        <f>IF(D680="","",VLOOKUP(F680,製品マスタ!$G$5:$L$5002,6,FALSE))</f>
        <v>メタルミー　ヘヤライン　銀艶Ｖ</v>
      </c>
      <c r="J680" s="210" t="s">
        <v>447</v>
      </c>
      <c r="K680" s="270">
        <f>IF(D680="","",VLOOKUP(D680,契約台帳!$A$3:$L$4986,12,FALSE))</f>
        <v>50</v>
      </c>
      <c r="L680" s="270" t="str">
        <f>IF(D680="","",INDEX(製品マスタ!$Q$5:$Q$5002,MATCH('S4'!F680&amp;'S4'!K680,製品マスタ!$AO$5:$AO$5002,0)))</f>
        <v>BRIGHT</v>
      </c>
      <c r="M680" s="39">
        <v>1005</v>
      </c>
      <c r="N680" s="39">
        <v>12300</v>
      </c>
      <c r="O680" s="156">
        <v>1</v>
      </c>
      <c r="P680" s="47">
        <v>1</v>
      </c>
      <c r="Q680" s="57"/>
      <c r="R680" s="271">
        <f ca="1">IF(D680="","",IF(OFFSET(D680,-1,0)&lt;&gt;"","",IF(OR(J680="リード付け",J680="巻足し",J680="巻返しリード付け"),M680,VLOOKUP(D680,契約台帳!$A$3:$N$4986,14,FALSE))))</f>
        <v>1005</v>
      </c>
      <c r="S680" s="272">
        <f ca="1">IF(D680="","",IF(OFFSET(D680,-1,0)&lt;&gt;"","",IF(OR(J680="リード付け",J680="巻足し",J680="巻返しリード付け"),M680,VLOOKUP(D680,契約台帳!$A$3:$O$4986,15,FALSE))))</f>
        <v>1000</v>
      </c>
      <c r="T680" s="273">
        <f ca="1">IF(D680="","",IF(J680="リード付け",N680,IF(J680="巻返しリード付け",N680,IF(J680="巻足し",N680*P680+OFFSET(N680,1,0)*OFFSET(P680,1,0),VLOOKUP(D680,契約台帳!$A$3:$P$4986,16,FALSE)))))</f>
        <v>4000</v>
      </c>
      <c r="U680" s="40">
        <v>3</v>
      </c>
      <c r="V680" s="274">
        <f ca="1">IF(D680="","",IF(OFFSET(D680,-2,0)=D680,"",VLOOKUP(D680,契約台帳!$A$3:$R$4986,18,FALSE)))</f>
        <v>5</v>
      </c>
      <c r="W680" s="269" t="str">
        <f ca="1">IF(D680="","",IF(T680="","",IF(OR(J680="巻足し",J680="巻返しリード付け"),"",IF(J680="巻返し",VLOOKUP(F680&amp;K680&amp;M680,製品マスタ!$M$5:$AD$5002,18,FALSE),IF(OR(J680="リード付け",J680="巻返しリード付け"),"原反コア",IF(J680="スリット",VLOOKUP(F680&amp;K680&amp;R680,製品マスタ!$N$5:$AD$5002,17,FALSE),""))))))</f>
        <v>6ｲﾝﾁSｺｱ</v>
      </c>
      <c r="X680" s="269">
        <f ca="1">IF(D680="","",IF(T680="","",IF(J680="巻足し","",IF(J680="巻返し",VLOOKUP(F680&amp;K680&amp;M680,製品マスタ!$M$5:$AE$5002,19,FALSE),IF(OR(J680="リード付け",J680="巻返しリード付け"),"",IF(J680="スリット",VLOOKUP(F680&amp;K680&amp;R680,製品マスタ!$N$5:$AE$5002,18,FALSE),""))))))</f>
        <v>1015</v>
      </c>
      <c r="Y680" s="275">
        <f ca="1">IF(D680="","",IF(T680="","",VLOOKUP(D680,契約台帳!$A$3:$Q$4986,17,FALSE)))</f>
        <v>2</v>
      </c>
      <c r="Z680" s="269" t="str">
        <f ca="1">IF(D680="","",IF(T680="","",VLOOKUP(D680,契約台帳!$A$3:$E$4986,5,FALSE)))</f>
        <v>リンテック㈱</v>
      </c>
      <c r="AA680" s="57" t="s">
        <v>1255</v>
      </c>
      <c r="AB680" s="207" t="s">
        <v>774</v>
      </c>
      <c r="AC680" s="33"/>
      <c r="AD680" s="189"/>
      <c r="AE680" s="54"/>
      <c r="AF680" s="55"/>
      <c r="AG680" s="43"/>
      <c r="AH680" s="47"/>
      <c r="AI680" s="30"/>
      <c r="AJ680" s="30"/>
      <c r="AK680" s="30"/>
      <c r="AL680" s="30"/>
      <c r="AM680" s="13"/>
      <c r="AN680" s="13"/>
      <c r="AO680" s="13"/>
      <c r="AP680" s="13"/>
      <c r="AQ680" s="13"/>
      <c r="AR680" s="14"/>
      <c r="AS680" s="15"/>
    </row>
    <row r="681" spans="1:45" s="17" customFormat="1" ht="30.95" hidden="1" customHeight="1" x14ac:dyDescent="0.2">
      <c r="A681" s="37"/>
      <c r="B681" s="38"/>
      <c r="C681" s="45"/>
      <c r="D681" s="31"/>
      <c r="E681" s="31"/>
      <c r="F681" s="268"/>
      <c r="G681" s="269"/>
      <c r="H681" s="269"/>
      <c r="I681" s="270"/>
      <c r="J681" s="210"/>
      <c r="K681" s="270"/>
      <c r="L681" s="270"/>
      <c r="M681" s="39"/>
      <c r="N681" s="39"/>
      <c r="O681" s="156"/>
      <c r="P681" s="47"/>
      <c r="Q681" s="57"/>
      <c r="R681" s="271"/>
      <c r="S681" s="272"/>
      <c r="T681" s="273"/>
      <c r="U681" s="40"/>
      <c r="V681" s="274"/>
      <c r="W681" s="269"/>
      <c r="X681" s="269"/>
      <c r="Y681" s="275"/>
      <c r="Z681" s="269"/>
      <c r="AA681" s="57"/>
      <c r="AB681" s="207"/>
      <c r="AC681" s="33"/>
      <c r="AD681" s="189"/>
      <c r="AE681" s="54"/>
      <c r="AF681" s="55"/>
      <c r="AG681" s="43"/>
      <c r="AH681" s="47"/>
      <c r="AI681" s="30"/>
      <c r="AJ681" s="30"/>
      <c r="AK681" s="30"/>
      <c r="AL681" s="30"/>
      <c r="AM681" s="13"/>
      <c r="AN681" s="13"/>
      <c r="AO681" s="13"/>
      <c r="AP681" s="13"/>
      <c r="AQ681" s="13"/>
      <c r="AR681" s="14"/>
      <c r="AS681" s="15"/>
    </row>
    <row r="682" spans="1:45" s="17" customFormat="1" ht="30.95" hidden="1" customHeight="1" x14ac:dyDescent="0.2">
      <c r="A682" s="37"/>
      <c r="B682" s="38"/>
      <c r="C682" s="45"/>
      <c r="D682" s="31">
        <v>3711152</v>
      </c>
      <c r="E682" s="31">
        <v>4140945</v>
      </c>
      <c r="F682" s="268" t="str">
        <f>IF(D682="","",VLOOKUP(D682,契約台帳!$A$3:$K$4986,6,FALSE)&amp;VLOOKUP(D682,契約台帳!$A$3:$K$4986,7,FALSE)&amp;VLOOKUP(D682,契約台帳!$A$3:$K$4986,8,FALSE)&amp;VLOOKUP(D682,契約台帳!$A$3:$K$4986,9,FALSE)&amp;VLOOKUP(D682,契約台帳!$A$3:$K$4986,11,FALSE))</f>
        <v>3UNMCLBHLGTV</v>
      </c>
      <c r="G682" s="269" t="str">
        <f>IF(D682="","",VLOOKUP(F682,製品マスタ!$G$5:$H$5002,2,FALSE))</f>
        <v>U</v>
      </c>
      <c r="H682" s="269" t="str">
        <f>IF(D682="","",VLOOKUP(F682,製品マスタ!$G$5:$K$5002,5,FALSE))</f>
        <v>HLGTV</v>
      </c>
      <c r="I682" s="270" t="str">
        <f>IF(D682="","",VLOOKUP(F682,製品マスタ!$G$5:$L$5002,6,FALSE))</f>
        <v>メタルミー　ヘヤライン　銀艶Ｖ</v>
      </c>
      <c r="J682" s="210" t="s">
        <v>447</v>
      </c>
      <c r="K682" s="270">
        <f>IF(D682="","",VLOOKUP(D682,契約台帳!$A$3:$L$4986,12,FALSE))</f>
        <v>50</v>
      </c>
      <c r="L682" s="270" t="str">
        <f>IF(D682="","",INDEX(製品マスタ!$Q$5:$Q$5002,MATCH('S4'!F682&amp;'S4'!K682,製品マスタ!$AO$5:$AO$5002,0)))</f>
        <v>BRIGHT</v>
      </c>
      <c r="M682" s="39">
        <v>1005</v>
      </c>
      <c r="N682" s="39">
        <v>8200</v>
      </c>
      <c r="O682" s="156">
        <v>1</v>
      </c>
      <c r="P682" s="47">
        <v>1</v>
      </c>
      <c r="Q682" s="57"/>
      <c r="R682" s="271">
        <f ca="1">IF(D682="","",IF(OFFSET(D682,-1,0)&lt;&gt;"","",IF(OR(J682="リード付け",J682="巻足し",J682="巻返しリード付け"),M682,VLOOKUP(D682,契約台帳!$A$3:$N$4986,14,FALSE))))</f>
        <v>1005</v>
      </c>
      <c r="S682" s="272">
        <f ca="1">IF(D682="","",IF(OFFSET(D682,-1,0)&lt;&gt;"","",IF(OR(J682="リード付け",J682="巻足し",J682="巻返しリード付け"),M682,VLOOKUP(D682,契約台帳!$A$3:$O$4986,15,FALSE))))</f>
        <v>1000</v>
      </c>
      <c r="T682" s="273">
        <f ca="1">IF(D682="","",IF(J682="リード付け",N682,IF(J682="巻返しリード付け",N682,IF(J682="巻足し",N682*P682+OFFSET(N682,1,0)*OFFSET(P682,1,0),VLOOKUP(D682,契約台帳!$A$3:$P$4986,16,FALSE)))))</f>
        <v>4000</v>
      </c>
      <c r="U682" s="40">
        <v>2</v>
      </c>
      <c r="V682" s="274" t="str">
        <f ca="1">IF(D682="","",IF(OFFSET(D682,-2,0)=D682,"",VLOOKUP(D682,契約台帳!$A$3:$R$4986,18,FALSE)))</f>
        <v/>
      </c>
      <c r="W682" s="269" t="str">
        <f ca="1">IF(D682="","",IF(T682="","",IF(OR(J682="巻足し",J682="巻返しリード付け"),"",IF(J682="巻返し",VLOOKUP(F682&amp;K682&amp;M682,製品マスタ!$M$5:$AD$5002,18,FALSE),IF(OR(J682="リード付け",J682="巻返しリード付け"),"原反コア",IF(J682="スリット",VLOOKUP(F682&amp;K682&amp;R682,製品マスタ!$N$5:$AD$5002,17,FALSE),""))))))</f>
        <v>6ｲﾝﾁSｺｱ</v>
      </c>
      <c r="X682" s="269">
        <f ca="1">IF(D682="","",IF(T682="","",IF(J682="巻足し","",IF(J682="巻返し",VLOOKUP(F682&amp;K682&amp;M682,製品マスタ!$M$5:$AE$5002,19,FALSE),IF(OR(J682="リード付け",J682="巻返しリード付け"),"",IF(J682="スリット",VLOOKUP(F682&amp;K682&amp;R682,製品マスタ!$N$5:$AE$5002,18,FALSE),""))))))</f>
        <v>1015</v>
      </c>
      <c r="Y682" s="275">
        <f ca="1">IF(D682="","",IF(T682="","",VLOOKUP(D682,契約台帳!$A$3:$Q$4986,17,FALSE)))</f>
        <v>2</v>
      </c>
      <c r="Z682" s="269" t="str">
        <f ca="1">IF(D682="","",IF(T682="","",VLOOKUP(D682,契約台帳!$A$3:$E$4986,5,FALSE)))</f>
        <v>リンテック㈱</v>
      </c>
      <c r="AA682" s="57" t="s">
        <v>1254</v>
      </c>
      <c r="AB682" s="207" t="s">
        <v>774</v>
      </c>
      <c r="AC682" s="33"/>
      <c r="AD682" s="189"/>
      <c r="AE682" s="54"/>
      <c r="AF682" s="55"/>
      <c r="AG682" s="43"/>
      <c r="AH682" s="47"/>
      <c r="AI682" s="30"/>
      <c r="AJ682" s="30"/>
      <c r="AK682" s="30"/>
      <c r="AL682" s="30"/>
      <c r="AM682" s="13"/>
      <c r="AN682" s="13"/>
      <c r="AO682" s="13"/>
      <c r="AP682" s="13"/>
      <c r="AQ682" s="13"/>
      <c r="AR682" s="14"/>
      <c r="AS682" s="15"/>
    </row>
    <row r="683" spans="1:45" s="17" customFormat="1" ht="30.95" hidden="1" customHeight="1" x14ac:dyDescent="0.2">
      <c r="A683" s="37"/>
      <c r="B683" s="38"/>
      <c r="C683" s="45"/>
      <c r="D683" s="31"/>
      <c r="E683" s="31"/>
      <c r="F683" s="268"/>
      <c r="G683" s="269"/>
      <c r="H683" s="269"/>
      <c r="I683" s="270"/>
      <c r="J683" s="210"/>
      <c r="K683" s="270"/>
      <c r="L683" s="270"/>
      <c r="M683" s="39"/>
      <c r="N683" s="39"/>
      <c r="O683" s="156"/>
      <c r="P683" s="47"/>
      <c r="Q683" s="57"/>
      <c r="R683" s="271"/>
      <c r="S683" s="272"/>
      <c r="T683" s="273"/>
      <c r="U683" s="40"/>
      <c r="V683" s="274"/>
      <c r="W683" s="269"/>
      <c r="X683" s="269"/>
      <c r="Y683" s="275"/>
      <c r="Z683" s="269"/>
      <c r="AA683" s="57"/>
      <c r="AB683" s="207"/>
      <c r="AC683" s="33"/>
      <c r="AD683" s="189"/>
      <c r="AE683" s="54"/>
      <c r="AF683" s="55"/>
      <c r="AG683" s="43"/>
      <c r="AH683" s="47"/>
      <c r="AI683" s="30"/>
      <c r="AJ683" s="30"/>
      <c r="AK683" s="30"/>
      <c r="AL683" s="30"/>
      <c r="AM683" s="13"/>
      <c r="AN683" s="13"/>
      <c r="AO683" s="13"/>
      <c r="AP683" s="13"/>
      <c r="AQ683" s="13"/>
      <c r="AR683" s="14"/>
      <c r="AS683" s="15"/>
    </row>
    <row r="684" spans="1:45" s="17" customFormat="1" ht="30.95" hidden="1" customHeight="1" x14ac:dyDescent="0.2">
      <c r="A684" s="37"/>
      <c r="B684" s="38"/>
      <c r="C684" s="45"/>
      <c r="D684" s="31">
        <v>3711153</v>
      </c>
      <c r="E684" s="31">
        <v>4140944</v>
      </c>
      <c r="F684" s="268" t="str">
        <f>IF(D684="","",VLOOKUP(D684,契約台帳!$A$3:$K$4986,6,FALSE)&amp;VLOOKUP(D684,契約台帳!$A$3:$K$4986,7,FALSE)&amp;VLOOKUP(D684,契約台帳!$A$3:$K$4986,8,FALSE)&amp;VLOOKUP(D684,契約台帳!$A$3:$K$4986,9,FALSE)&amp;VLOOKUP(D684,契約台帳!$A$3:$K$4986,11,FALSE))</f>
        <v>3UNMCLBHLGTV</v>
      </c>
      <c r="G684" s="269" t="str">
        <f>IF(D684="","",VLOOKUP(F684,製品マスタ!$G$5:$H$5002,2,FALSE))</f>
        <v>U</v>
      </c>
      <c r="H684" s="269" t="str">
        <f>IF(D684="","",VLOOKUP(F684,製品マスタ!$G$5:$K$5002,5,FALSE))</f>
        <v>HLGTV</v>
      </c>
      <c r="I684" s="270" t="str">
        <f>IF(D684="","",VLOOKUP(F684,製品マスタ!$G$5:$L$5002,6,FALSE))</f>
        <v>メタルミー　ヘヤライン　銀艶Ｖ</v>
      </c>
      <c r="J684" s="210" t="s">
        <v>447</v>
      </c>
      <c r="K684" s="270">
        <f>IF(D684="","",VLOOKUP(D684,契約台帳!$A$3:$L$4986,12,FALSE))</f>
        <v>25</v>
      </c>
      <c r="L684" s="270" t="str">
        <f>IF(D684="","",INDEX(製品マスタ!$Q$5:$Q$5002,MATCH('S4'!F684&amp;'S4'!K684,製品マスタ!$AO$5:$AO$5002,0)))</f>
        <v>BRIGHT</v>
      </c>
      <c r="M684" s="39">
        <v>1005</v>
      </c>
      <c r="N684" s="39">
        <v>8200</v>
      </c>
      <c r="O684" s="156">
        <v>1</v>
      </c>
      <c r="P684" s="47">
        <v>1</v>
      </c>
      <c r="Q684" s="57"/>
      <c r="R684" s="271">
        <f ca="1">IF(D684="","",IF(OFFSET(D684,-1,0)&lt;&gt;"","",IF(OR(J684="リード付け",J684="巻足し",J684="巻返しリード付け"),M684,VLOOKUP(D684,契約台帳!$A$3:$N$4986,14,FALSE))))</f>
        <v>1005</v>
      </c>
      <c r="S684" s="272">
        <f ca="1">IF(D684="","",IF(OFFSET(D684,-1,0)&lt;&gt;"","",IF(OR(J684="リード付け",J684="巻足し",J684="巻返しリード付け"),M684,VLOOKUP(D684,契約台帳!$A$3:$O$4986,15,FALSE))))</f>
        <v>1000</v>
      </c>
      <c r="T684" s="273">
        <f ca="1">IF(D684="","",IF(J684="リード付け",N684,IF(J684="巻返しリード付け",N684,IF(J684="巻足し",N684*P684+OFFSET(N684,1,0)*OFFSET(P684,1,0),VLOOKUP(D684,契約台帳!$A$3:$P$4986,16,FALSE)))))</f>
        <v>2000</v>
      </c>
      <c r="U684" s="40">
        <v>4</v>
      </c>
      <c r="V684" s="274">
        <f ca="1">IF(D684="","",IF(OFFSET(D684,-2,0)=D684,"",VLOOKUP(D684,契約台帳!$A$3:$R$4986,18,FALSE)))</f>
        <v>4</v>
      </c>
      <c r="W684" s="269" t="str">
        <f ca="1">IF(D684="","",IF(T684="","",IF(OR(J684="巻足し",J684="巻返しリード付け"),"",IF(J684="巻返し",VLOOKUP(F684&amp;K684&amp;M684,製品マスタ!$M$5:$AD$5002,18,FALSE),IF(OR(J684="リード付け",J684="巻返しリード付け"),"原反コア",IF(J684="スリット",VLOOKUP(F684&amp;K684&amp;R684,製品マスタ!$N$5:$AD$5002,17,FALSE),""))))))</f>
        <v>6ｲﾝﾁSｺｱ</v>
      </c>
      <c r="X684" s="269">
        <f ca="1">IF(D684="","",IF(T684="","",IF(J684="巻足し","",IF(J684="巻返し",VLOOKUP(F684&amp;K684&amp;M684,製品マスタ!$M$5:$AE$5002,19,FALSE),IF(OR(J684="リード付け",J684="巻返しリード付け"),"",IF(J684="スリット",VLOOKUP(F684&amp;K684&amp;R684,製品マスタ!$N$5:$AE$5002,18,FALSE),""))))))</f>
        <v>1015</v>
      </c>
      <c r="Y684" s="275">
        <f ca="1">IF(D684="","",IF(T684="","",VLOOKUP(D684,契約台帳!$A$3:$Q$4986,17,FALSE)))</f>
        <v>2</v>
      </c>
      <c r="Z684" s="269" t="str">
        <f ca="1">IF(D684="","",IF(T684="","",VLOOKUP(D684,契約台帳!$A$3:$E$4986,5,FALSE)))</f>
        <v>リンテック㈱</v>
      </c>
      <c r="AA684" s="57" t="s">
        <v>1254</v>
      </c>
      <c r="AB684" s="207" t="s">
        <v>774</v>
      </c>
      <c r="AC684" s="33"/>
      <c r="AD684" s="189"/>
      <c r="AE684" s="54"/>
      <c r="AF684" s="55"/>
      <c r="AG684" s="43"/>
      <c r="AH684" s="47"/>
      <c r="AI684" s="30"/>
      <c r="AJ684" s="30"/>
      <c r="AK684" s="30"/>
      <c r="AL684" s="30"/>
      <c r="AM684" s="13"/>
      <c r="AN684" s="13"/>
      <c r="AO684" s="13"/>
      <c r="AP684" s="13"/>
      <c r="AQ684" s="13"/>
      <c r="AR684" s="14"/>
      <c r="AS684" s="15"/>
    </row>
    <row r="685" spans="1:45" s="17" customFormat="1" ht="30.95" hidden="1" customHeight="1" x14ac:dyDescent="0.2">
      <c r="A685" s="37"/>
      <c r="B685" s="38"/>
      <c r="C685" s="45"/>
      <c r="D685" s="31"/>
      <c r="E685" s="31"/>
      <c r="F685" s="268"/>
      <c r="G685" s="269"/>
      <c r="H685" s="269"/>
      <c r="I685" s="270"/>
      <c r="J685" s="210"/>
      <c r="K685" s="270"/>
      <c r="L685" s="270"/>
      <c r="M685" s="39"/>
      <c r="N685" s="39"/>
      <c r="O685" s="156"/>
      <c r="P685" s="47"/>
      <c r="Q685" s="57"/>
      <c r="R685" s="271"/>
      <c r="S685" s="272"/>
      <c r="T685" s="273"/>
      <c r="U685" s="40"/>
      <c r="V685" s="274"/>
      <c r="W685" s="269"/>
      <c r="X685" s="269"/>
      <c r="Y685" s="275"/>
      <c r="Z685" s="269"/>
      <c r="AA685" s="57"/>
      <c r="AB685" s="207"/>
      <c r="AC685" s="33"/>
      <c r="AD685" s="189"/>
      <c r="AE685" s="54"/>
      <c r="AF685" s="55"/>
      <c r="AG685" s="43"/>
      <c r="AH685" s="47"/>
      <c r="AI685" s="30"/>
      <c r="AJ685" s="30"/>
      <c r="AK685" s="30"/>
      <c r="AL685" s="30"/>
      <c r="AM685" s="13"/>
      <c r="AN685" s="13"/>
      <c r="AO685" s="13"/>
      <c r="AP685" s="13"/>
      <c r="AQ685" s="13"/>
      <c r="AR685" s="14"/>
      <c r="AS685" s="15"/>
    </row>
    <row r="686" spans="1:45" s="17" customFormat="1" ht="30.95" hidden="1" customHeight="1" x14ac:dyDescent="0.2">
      <c r="A686" s="37"/>
      <c r="B686" s="38"/>
      <c r="C686" s="45"/>
      <c r="D686" s="31">
        <v>3714660</v>
      </c>
      <c r="E686" s="31">
        <v>4140959</v>
      </c>
      <c r="F686" s="268" t="str">
        <f>IF(D686="","",VLOOKUP(D686,契約台帳!$A$3:$K$4986,6,FALSE)&amp;VLOOKUP(D686,契約台帳!$A$3:$K$4986,7,FALSE)&amp;VLOOKUP(D686,契約台帳!$A$3:$K$4986,8,FALSE)&amp;VLOOKUP(D686,契約台帳!$A$3:$K$4986,9,FALSE)&amp;VLOOKUP(D686,契約台帳!$A$3:$K$4986,11,FALSE))</f>
        <v>3UNMCLBHLGTV</v>
      </c>
      <c r="G686" s="269" t="str">
        <f>IF(D686="","",VLOOKUP(F686,製品マスタ!$G$5:$H$5002,2,FALSE))</f>
        <v>U</v>
      </c>
      <c r="H686" s="269" t="str">
        <f>IF(D686="","",VLOOKUP(F686,製品マスタ!$G$5:$K$5002,5,FALSE))</f>
        <v>HLGTV</v>
      </c>
      <c r="I686" s="270" t="str">
        <f>IF(D686="","",VLOOKUP(F686,製品マスタ!$G$5:$L$5002,6,FALSE))</f>
        <v>メタルミー　ヘヤライン　銀艶Ｖ</v>
      </c>
      <c r="J686" s="210" t="s">
        <v>447</v>
      </c>
      <c r="K686" s="270">
        <f>IF(D686="","",VLOOKUP(D686,契約台帳!$A$3:$L$4986,12,FALSE))</f>
        <v>25</v>
      </c>
      <c r="L686" s="270" t="str">
        <f>IF(D686="","",INDEX(製品マスタ!$Q$5:$Q$5002,MATCH('S4'!F686&amp;'S4'!K686,製品マスタ!$AO$5:$AO$5002,0)))</f>
        <v>BRIGHT</v>
      </c>
      <c r="M686" s="39">
        <v>1005</v>
      </c>
      <c r="N686" s="39">
        <v>8200</v>
      </c>
      <c r="O686" s="156">
        <v>1</v>
      </c>
      <c r="P686" s="47">
        <v>1</v>
      </c>
      <c r="Q686" s="57"/>
      <c r="R686" s="271">
        <f ca="1">IF(D686="","",IF(OFFSET(D686,-1,0)&lt;&gt;"","",IF(OR(J686="リード付け",J686="巻足し",J686="巻返しリード付け"),M686,VLOOKUP(D686,契約台帳!$A$3:$N$4986,14,FALSE))))</f>
        <v>1005</v>
      </c>
      <c r="S686" s="272">
        <f ca="1">IF(D686="","",IF(OFFSET(D686,-1,0)&lt;&gt;"","",IF(OR(J686="リード付け",J686="巻足し",J686="巻返しリード付け"),M686,VLOOKUP(D686,契約台帳!$A$3:$O$4986,15,FALSE))))</f>
        <v>1000</v>
      </c>
      <c r="T686" s="273">
        <f ca="1">IF(D686="","",IF(J686="リード付け",N686,IF(J686="巻返しリード付け",N686,IF(J686="巻足し",N686*P686+OFFSET(N686,1,0)*OFFSET(P686,1,0),VLOOKUP(D686,契約台帳!$A$3:$P$4986,16,FALSE)))))</f>
        <v>2000</v>
      </c>
      <c r="U686" s="40">
        <v>1</v>
      </c>
      <c r="V686" s="274">
        <f ca="1">IF(D686="","",IF(OFFSET(D686,-2,0)=D686,"",VLOOKUP(D686,契約台帳!$A$3:$R$4986,18,FALSE)))</f>
        <v>1</v>
      </c>
      <c r="W686" s="269" t="str">
        <f ca="1">IF(D686="","",IF(T686="","",IF(OR(J686="巻足し",J686="巻返しリード付け"),"",IF(J686="巻返し",VLOOKUP(F686&amp;K686&amp;M686,製品マスタ!$M$5:$AD$5002,18,FALSE),IF(OR(J686="リード付け",J686="巻返しリード付け"),"原反コア",IF(J686="スリット",VLOOKUP(F686&amp;K686&amp;R686,製品マスタ!$N$5:$AD$5002,17,FALSE),""))))))</f>
        <v>6ｲﾝﾁSｺｱ</v>
      </c>
      <c r="X686" s="269">
        <f ca="1">IF(D686="","",IF(T686="","",IF(J686="巻足し","",IF(J686="巻返し",VLOOKUP(F686&amp;K686&amp;M686,製品マスタ!$M$5:$AE$5002,19,FALSE),IF(OR(J686="リード付け",J686="巻返しリード付け"),"",IF(J686="スリット",VLOOKUP(F686&amp;K686&amp;R686,製品マスタ!$N$5:$AE$5002,18,FALSE),""))))))</f>
        <v>1015</v>
      </c>
      <c r="Y686" s="275">
        <f ca="1">IF(D686="","",IF(T686="","",VLOOKUP(D686,契約台帳!$A$3:$Q$4986,17,FALSE)))</f>
        <v>2</v>
      </c>
      <c r="Z686" s="269" t="str">
        <f ca="1">IF(D686="","",IF(T686="","",VLOOKUP(D686,契約台帳!$A$3:$E$4986,5,FALSE)))</f>
        <v>リンテック㈱</v>
      </c>
      <c r="AA686" s="57" t="s">
        <v>1254</v>
      </c>
      <c r="AB686" s="207" t="s">
        <v>774</v>
      </c>
      <c r="AC686" s="33"/>
      <c r="AD686" s="189"/>
      <c r="AE686" s="54"/>
      <c r="AF686" s="55"/>
      <c r="AG686" s="43"/>
      <c r="AH686" s="47"/>
      <c r="AI686" s="30"/>
      <c r="AJ686" s="30"/>
      <c r="AK686" s="30"/>
      <c r="AL686" s="30"/>
      <c r="AM686" s="13"/>
      <c r="AN686" s="13"/>
      <c r="AO686" s="13"/>
      <c r="AP686" s="13"/>
      <c r="AQ686" s="13"/>
      <c r="AR686" s="14"/>
      <c r="AS686" s="15"/>
    </row>
    <row r="687" spans="1:45" s="17" customFormat="1" ht="30.95" hidden="1" customHeight="1" x14ac:dyDescent="0.2">
      <c r="A687" s="37"/>
      <c r="B687" s="38"/>
      <c r="C687" s="45"/>
      <c r="D687" s="31"/>
      <c r="E687" s="31"/>
      <c r="F687" s="268"/>
      <c r="G687" s="269"/>
      <c r="H687" s="269"/>
      <c r="I687" s="270"/>
      <c r="J687" s="210"/>
      <c r="K687" s="270"/>
      <c r="L687" s="270"/>
      <c r="M687" s="39"/>
      <c r="N687" s="39"/>
      <c r="O687" s="156"/>
      <c r="P687" s="47"/>
      <c r="Q687" s="57"/>
      <c r="R687" s="271">
        <v>1005</v>
      </c>
      <c r="S687" s="272">
        <v>1000</v>
      </c>
      <c r="T687" s="273">
        <v>6000</v>
      </c>
      <c r="U687" s="40">
        <v>1</v>
      </c>
      <c r="V687" s="274">
        <v>1</v>
      </c>
      <c r="W687" s="269"/>
      <c r="X687" s="269"/>
      <c r="Y687" s="275"/>
      <c r="Z687" s="269"/>
      <c r="AA687" s="57"/>
      <c r="AB687" s="207"/>
      <c r="AC687" s="33"/>
      <c r="AD687" s="189"/>
      <c r="AE687" s="54"/>
      <c r="AF687" s="55"/>
      <c r="AG687" s="43"/>
      <c r="AH687" s="47"/>
      <c r="AI687" s="30"/>
      <c r="AJ687" s="30"/>
      <c r="AK687" s="30"/>
      <c r="AL687" s="30"/>
      <c r="AM687" s="13"/>
      <c r="AN687" s="13"/>
      <c r="AO687" s="13"/>
      <c r="AP687" s="13"/>
      <c r="AQ687" s="13"/>
      <c r="AR687" s="14"/>
      <c r="AS687" s="15"/>
    </row>
    <row r="688" spans="1:45" s="17" customFormat="1" ht="30.95" hidden="1" customHeight="1" x14ac:dyDescent="0.2">
      <c r="A688" s="37"/>
      <c r="B688" s="38"/>
      <c r="C688" s="45"/>
      <c r="D688" s="31"/>
      <c r="E688" s="31"/>
      <c r="F688" s="268"/>
      <c r="G688" s="269"/>
      <c r="H688" s="269"/>
      <c r="I688" s="270"/>
      <c r="J688" s="210"/>
      <c r="K688" s="270"/>
      <c r="L688" s="270"/>
      <c r="M688" s="39"/>
      <c r="N688" s="39"/>
      <c r="O688" s="156"/>
      <c r="P688" s="47"/>
      <c r="Q688" s="57"/>
      <c r="R688" s="271"/>
      <c r="S688" s="272"/>
      <c r="T688" s="273"/>
      <c r="U688" s="40"/>
      <c r="V688" s="274"/>
      <c r="W688" s="269"/>
      <c r="X688" s="269"/>
      <c r="Y688" s="275"/>
      <c r="Z688" s="269"/>
      <c r="AA688" s="57"/>
      <c r="AB688" s="207"/>
      <c r="AC688" s="33"/>
      <c r="AD688" s="189"/>
      <c r="AE688" s="54"/>
      <c r="AF688" s="55"/>
      <c r="AG688" s="43"/>
      <c r="AH688" s="47"/>
      <c r="AI688" s="30"/>
      <c r="AJ688" s="30"/>
      <c r="AK688" s="30"/>
      <c r="AL688" s="30"/>
      <c r="AM688" s="13"/>
      <c r="AN688" s="13"/>
      <c r="AO688" s="13"/>
      <c r="AP688" s="13"/>
      <c r="AQ688" s="13"/>
      <c r="AR688" s="14"/>
      <c r="AS688" s="15"/>
    </row>
    <row r="689" spans="1:45" s="17" customFormat="1" ht="30.95" hidden="1" customHeight="1" x14ac:dyDescent="0.2">
      <c r="A689" s="37"/>
      <c r="B689" s="38"/>
      <c r="C689" s="45"/>
      <c r="D689" s="31">
        <v>3711151</v>
      </c>
      <c r="E689" s="31">
        <v>4140943</v>
      </c>
      <c r="F689" s="268" t="str">
        <f>IF(D689="","",VLOOKUP(D689,契約台帳!$A$3:$K$4986,6,FALSE)&amp;VLOOKUP(D689,契約台帳!$A$3:$K$4986,7,FALSE)&amp;VLOOKUP(D689,契約台帳!$A$3:$K$4986,8,FALSE)&amp;VLOOKUP(D689,契約台帳!$A$3:$K$4986,9,FALSE)&amp;VLOOKUP(D689,契約台帳!$A$3:$K$4986,11,FALSE))</f>
        <v>3UNMCLBHLGKJV</v>
      </c>
      <c r="G689" s="269" t="str">
        <f>IF(D689="","",VLOOKUP(F689,製品マスタ!$G$5:$H$5002,2,FALSE))</f>
        <v>U</v>
      </c>
      <c r="H689" s="269" t="str">
        <f>IF(D689="","",VLOOKUP(F689,製品マスタ!$G$5:$K$5002,5,FALSE))</f>
        <v>HLGKJV</v>
      </c>
      <c r="I689" s="270" t="str">
        <f>IF(D689="","",VLOOKUP(F689,製品マスタ!$G$5:$L$5002,6,FALSE))</f>
        <v>メタルミー　ヘヤライン　銀消Ｖ</v>
      </c>
      <c r="J689" s="210" t="s">
        <v>447</v>
      </c>
      <c r="K689" s="270">
        <f>IF(D689="","",VLOOKUP(D689,契約台帳!$A$3:$L$4986,12,FALSE))</f>
        <v>50</v>
      </c>
      <c r="L689" s="270" t="str">
        <f>IF(D689="","",INDEX(製品マスタ!$Q$5:$Q$5002,MATCH('S4'!F689&amp;'S4'!K689,製品マスタ!$AO$5:$AO$5002,0)))</f>
        <v>HL-MAT</v>
      </c>
      <c r="M689" s="39">
        <v>1005</v>
      </c>
      <c r="N689" s="39">
        <v>8000</v>
      </c>
      <c r="O689" s="156">
        <v>1</v>
      </c>
      <c r="P689" s="47">
        <v>1</v>
      </c>
      <c r="Q689" s="57"/>
      <c r="R689" s="271">
        <f ca="1">IF(D689="","",IF(OFFSET(D689,-1,0)&lt;&gt;"","",IF(OR(J689="リード付け",J689="巻足し",J689="巻返しリード付け"),M689,VLOOKUP(D689,契約台帳!$A$3:$N$4986,14,FALSE))))</f>
        <v>1005</v>
      </c>
      <c r="S689" s="272">
        <f ca="1">IF(D689="","",IF(OFFSET(D689,-1,0)&lt;&gt;"","",IF(OR(J689="リード付け",J689="巻足し",J689="巻返しリード付け"),M689,VLOOKUP(D689,契約台帳!$A$3:$O$4986,15,FALSE))))</f>
        <v>1000</v>
      </c>
      <c r="T689" s="273">
        <f ca="1">IF(D689="","",IF(J689="リード付け",N689,IF(J689="巻返しリード付け",N689,IF(J689="巻足し",N689*P689+OFFSET(N689,1,0)*OFFSET(P689,1,0),VLOOKUP(D689,契約台帳!$A$3:$P$4986,16,FALSE)))))</f>
        <v>2000</v>
      </c>
      <c r="U689" s="40">
        <v>4</v>
      </c>
      <c r="V689" s="274">
        <f ca="1">IF(D689="","",IF(OFFSET(D689,-2,0)=D689,"",VLOOKUP(D689,契約台帳!$A$3:$R$4986,18,FALSE)))</f>
        <v>4</v>
      </c>
      <c r="W689" s="269" t="str">
        <f ca="1">IF(D689="","",IF(T689="","",IF(OR(J689="巻足し",J689="巻返しリード付け"),"",IF(J689="巻返し",VLOOKUP(F689&amp;K689&amp;M689,製品マスタ!$M$5:$AD$5002,18,FALSE),IF(OR(J689="リード付け",J689="巻返しリード付け"),"原反コア",IF(J689="スリット",VLOOKUP(F689&amp;K689&amp;R689,製品マスタ!$N$5:$AD$5002,17,FALSE),""))))))</f>
        <v>6ｲﾝﾁSｺｱ</v>
      </c>
      <c r="X689" s="269">
        <f ca="1">IF(D689="","",IF(T689="","",IF(J689="巻足し","",IF(J689="巻返し",VLOOKUP(F689&amp;K689&amp;M689,製品マスタ!$M$5:$AE$5002,19,FALSE),IF(OR(J689="リード付け",J689="巻返しリード付け"),"",IF(J689="スリット",VLOOKUP(F689&amp;K689&amp;R689,製品マスタ!$N$5:$AE$5002,18,FALSE),""))))))</f>
        <v>1015</v>
      </c>
      <c r="Y689" s="275">
        <f ca="1">IF(D689="","",IF(T689="","",VLOOKUP(D689,契約台帳!$A$3:$Q$4986,17,FALSE)))</f>
        <v>2</v>
      </c>
      <c r="Z689" s="269" t="str">
        <f ca="1">IF(D689="","",IF(T689="","",VLOOKUP(D689,契約台帳!$A$3:$E$4986,5,FALSE)))</f>
        <v>リンテック㈱</v>
      </c>
      <c r="AA689" s="57" t="s">
        <v>1254</v>
      </c>
      <c r="AB689" s="207" t="s">
        <v>774</v>
      </c>
      <c r="AC689" s="33"/>
      <c r="AD689" s="189"/>
      <c r="AE689" s="54"/>
      <c r="AF689" s="55"/>
      <c r="AG689" s="43"/>
      <c r="AH689" s="47"/>
      <c r="AI689" s="30"/>
      <c r="AJ689" s="30"/>
      <c r="AK689" s="30"/>
      <c r="AL689" s="30"/>
      <c r="AM689" s="13"/>
      <c r="AN689" s="13"/>
      <c r="AO689" s="13"/>
      <c r="AP689" s="13"/>
      <c r="AQ689" s="13"/>
      <c r="AR689" s="14"/>
      <c r="AS689" s="15"/>
    </row>
    <row r="690" spans="1:45" s="17" customFormat="1" ht="30.95" hidden="1" customHeight="1" x14ac:dyDescent="0.2">
      <c r="A690" s="37"/>
      <c r="B690" s="38"/>
      <c r="C690" s="45"/>
      <c r="D690" s="31"/>
      <c r="E690" s="31"/>
      <c r="F690" s="268"/>
      <c r="G690" s="269"/>
      <c r="H690" s="269"/>
      <c r="I690" s="270"/>
      <c r="J690" s="210"/>
      <c r="K690" s="270"/>
      <c r="L690" s="270"/>
      <c r="M690" s="39"/>
      <c r="N690" s="39"/>
      <c r="O690" s="156"/>
      <c r="P690" s="47"/>
      <c r="Q690" s="57"/>
      <c r="R690" s="271"/>
      <c r="S690" s="272"/>
      <c r="T690" s="273"/>
      <c r="U690" s="40"/>
      <c r="V690" s="274"/>
      <c r="W690" s="269"/>
      <c r="X690" s="269"/>
      <c r="Y690" s="275"/>
      <c r="Z690" s="269"/>
      <c r="AA690" s="57"/>
      <c r="AB690" s="207"/>
      <c r="AC690" s="33"/>
      <c r="AD690" s="189"/>
      <c r="AE690" s="54"/>
      <c r="AF690" s="55"/>
      <c r="AG690" s="43"/>
      <c r="AH690" s="47"/>
      <c r="AI690" s="30"/>
      <c r="AJ690" s="30"/>
      <c r="AK690" s="30"/>
      <c r="AL690" s="30"/>
      <c r="AM690" s="13"/>
      <c r="AN690" s="13"/>
      <c r="AO690" s="13"/>
      <c r="AP690" s="13"/>
      <c r="AQ690" s="13"/>
      <c r="AR690" s="14"/>
      <c r="AS690" s="15"/>
    </row>
    <row r="691" spans="1:45" s="17" customFormat="1" ht="30.95" hidden="1" customHeight="1" x14ac:dyDescent="0.2">
      <c r="A691" s="37" t="s">
        <v>1239</v>
      </c>
      <c r="B691" s="38" t="s">
        <v>1240</v>
      </c>
      <c r="C691" s="45"/>
      <c r="D691" s="31"/>
      <c r="E691" s="31"/>
      <c r="F691" s="268"/>
      <c r="G691" s="269"/>
      <c r="H691" s="269"/>
      <c r="I691" s="270"/>
      <c r="J691" s="210" t="s">
        <v>1257</v>
      </c>
      <c r="K691" s="270"/>
      <c r="L691" s="270"/>
      <c r="M691" s="39"/>
      <c r="N691" s="39"/>
      <c r="O691" s="156"/>
      <c r="P691" s="47"/>
      <c r="Q691" s="57"/>
      <c r="R691" s="271"/>
      <c r="S691" s="272"/>
      <c r="T691" s="273"/>
      <c r="U691" s="40"/>
      <c r="V691" s="274"/>
      <c r="W691" s="269"/>
      <c r="X691" s="269"/>
      <c r="Y691" s="275"/>
      <c r="Z691" s="269"/>
      <c r="AA691" s="57"/>
      <c r="AB691" s="207"/>
      <c r="AC691" s="33"/>
      <c r="AD691" s="189"/>
      <c r="AE691" s="54"/>
      <c r="AF691" s="55"/>
      <c r="AG691" s="43"/>
      <c r="AH691" s="47"/>
      <c r="AI691" s="30"/>
      <c r="AJ691" s="30"/>
      <c r="AK691" s="30"/>
      <c r="AL691" s="30"/>
      <c r="AM691" s="13"/>
      <c r="AN691" s="13"/>
      <c r="AO691" s="13"/>
      <c r="AP691" s="13"/>
      <c r="AQ691" s="13"/>
      <c r="AR691" s="14"/>
      <c r="AS691" s="15"/>
    </row>
    <row r="692" spans="1:45" s="17" customFormat="1" ht="30.95" hidden="1" customHeight="1" x14ac:dyDescent="0.2">
      <c r="A692" s="37"/>
      <c r="B692" s="38"/>
      <c r="C692" s="45"/>
      <c r="D692" s="31"/>
      <c r="E692" s="31"/>
      <c r="F692" s="268"/>
      <c r="G692" s="269"/>
      <c r="H692" s="269"/>
      <c r="I692" s="270"/>
      <c r="J692" s="210"/>
      <c r="K692" s="270"/>
      <c r="L692" s="270"/>
      <c r="M692" s="39"/>
      <c r="N692" s="39"/>
      <c r="O692" s="156"/>
      <c r="P692" s="47"/>
      <c r="Q692" s="57"/>
      <c r="R692" s="271"/>
      <c r="S692" s="272"/>
      <c r="T692" s="273"/>
      <c r="U692" s="40"/>
      <c r="V692" s="274"/>
      <c r="W692" s="269"/>
      <c r="X692" s="269"/>
      <c r="Y692" s="275"/>
      <c r="Z692" s="269"/>
      <c r="AA692" s="57"/>
      <c r="AB692" s="207"/>
      <c r="AC692" s="33"/>
      <c r="AD692" s="189"/>
      <c r="AE692" s="54"/>
      <c r="AF692" s="55"/>
      <c r="AG692" s="43"/>
      <c r="AH692" s="47"/>
      <c r="AI692" s="30"/>
      <c r="AJ692" s="30"/>
      <c r="AK692" s="30"/>
      <c r="AL692" s="30"/>
      <c r="AM692" s="13"/>
      <c r="AN692" s="13"/>
      <c r="AO692" s="13"/>
      <c r="AP692" s="13"/>
      <c r="AQ692" s="13"/>
      <c r="AR692" s="14"/>
      <c r="AS692" s="15"/>
    </row>
    <row r="693" spans="1:45" s="17" customFormat="1" ht="30.95" hidden="1" customHeight="1" x14ac:dyDescent="0.2">
      <c r="A693" s="37" t="s">
        <v>1241</v>
      </c>
      <c r="B693" s="38" t="s">
        <v>1242</v>
      </c>
      <c r="C693" s="45"/>
      <c r="D693" s="31"/>
      <c r="E693" s="31"/>
      <c r="F693" s="268"/>
      <c r="G693" s="269"/>
      <c r="H693" s="269"/>
      <c r="I693" s="270"/>
      <c r="J693" s="210" t="s">
        <v>1257</v>
      </c>
      <c r="K693" s="270"/>
      <c r="L693" s="270"/>
      <c r="M693" s="39"/>
      <c r="N693" s="39"/>
      <c r="O693" s="156"/>
      <c r="P693" s="47"/>
      <c r="Q693" s="57"/>
      <c r="R693" s="271"/>
      <c r="S693" s="272"/>
      <c r="T693" s="273"/>
      <c r="U693" s="40"/>
      <c r="V693" s="274"/>
      <c r="W693" s="269"/>
      <c r="X693" s="269"/>
      <c r="Y693" s="275"/>
      <c r="Z693" s="269"/>
      <c r="AA693" s="57"/>
      <c r="AB693" s="207"/>
      <c r="AC693" s="33"/>
      <c r="AD693" s="189"/>
      <c r="AE693" s="54"/>
      <c r="AF693" s="55"/>
      <c r="AG693" s="43"/>
      <c r="AH693" s="47"/>
      <c r="AI693" s="30"/>
      <c r="AJ693" s="30"/>
      <c r="AK693" s="30"/>
      <c r="AL693" s="30"/>
      <c r="AM693" s="13"/>
      <c r="AN693" s="13"/>
      <c r="AO693" s="13"/>
      <c r="AP693" s="13"/>
      <c r="AQ693" s="13"/>
      <c r="AR693" s="14"/>
      <c r="AS693" s="15"/>
    </row>
    <row r="694" spans="1:45" s="17" customFormat="1" ht="30.95" hidden="1" customHeight="1" x14ac:dyDescent="0.2">
      <c r="A694" s="37"/>
      <c r="B694" s="38"/>
      <c r="C694" s="45"/>
      <c r="D694" s="31"/>
      <c r="E694" s="31"/>
      <c r="F694" s="268"/>
      <c r="G694" s="269"/>
      <c r="H694" s="269"/>
      <c r="I694" s="270"/>
      <c r="J694" s="210"/>
      <c r="K694" s="270"/>
      <c r="L694" s="270"/>
      <c r="M694" s="39"/>
      <c r="N694" s="39"/>
      <c r="O694" s="156"/>
      <c r="P694" s="47"/>
      <c r="Q694" s="57"/>
      <c r="R694" s="271"/>
      <c r="S694" s="272"/>
      <c r="T694" s="273"/>
      <c r="U694" s="40"/>
      <c r="V694" s="274"/>
      <c r="W694" s="269"/>
      <c r="X694" s="269"/>
      <c r="Y694" s="275"/>
      <c r="Z694" s="269"/>
      <c r="AA694" s="57"/>
      <c r="AB694" s="207"/>
      <c r="AC694" s="33"/>
      <c r="AD694" s="189"/>
      <c r="AE694" s="54"/>
      <c r="AF694" s="55"/>
      <c r="AG694" s="43"/>
      <c r="AH694" s="47"/>
      <c r="AI694" s="30"/>
      <c r="AJ694" s="30"/>
      <c r="AK694" s="30"/>
      <c r="AL694" s="30"/>
      <c r="AM694" s="13"/>
      <c r="AN694" s="13"/>
      <c r="AO694" s="13"/>
      <c r="AP694" s="13"/>
      <c r="AQ694" s="13"/>
      <c r="AR694" s="14"/>
      <c r="AS694" s="15"/>
    </row>
    <row r="695" spans="1:45" s="17" customFormat="1" ht="30.95" hidden="1" customHeight="1" x14ac:dyDescent="0.2">
      <c r="A695" s="37" t="s">
        <v>1243</v>
      </c>
      <c r="B695" s="38" t="s">
        <v>1244</v>
      </c>
      <c r="C695" s="45"/>
      <c r="D695" s="31"/>
      <c r="E695" s="31"/>
      <c r="F695" s="268"/>
      <c r="G695" s="269"/>
      <c r="H695" s="269"/>
      <c r="I695" s="270"/>
      <c r="J695" s="210" t="s">
        <v>1258</v>
      </c>
      <c r="K695" s="270"/>
      <c r="L695" s="270"/>
      <c r="M695" s="39"/>
      <c r="N695" s="39"/>
      <c r="O695" s="156"/>
      <c r="P695" s="47"/>
      <c r="Q695" s="57"/>
      <c r="R695" s="271"/>
      <c r="S695" s="272"/>
      <c r="T695" s="273"/>
      <c r="U695" s="40"/>
      <c r="V695" s="274"/>
      <c r="W695" s="269"/>
      <c r="X695" s="269"/>
      <c r="Y695" s="275"/>
      <c r="Z695" s="269"/>
      <c r="AA695" s="57"/>
      <c r="AB695" s="207"/>
      <c r="AC695" s="33"/>
      <c r="AD695" s="189"/>
      <c r="AE695" s="54"/>
      <c r="AF695" s="55"/>
      <c r="AG695" s="43"/>
      <c r="AH695" s="47"/>
      <c r="AI695" s="30"/>
      <c r="AJ695" s="30"/>
      <c r="AK695" s="30"/>
      <c r="AL695" s="30"/>
      <c r="AM695" s="13"/>
      <c r="AN695" s="13"/>
      <c r="AO695" s="13"/>
      <c r="AP695" s="13"/>
      <c r="AQ695" s="13"/>
      <c r="AR695" s="14"/>
      <c r="AS695" s="15"/>
    </row>
    <row r="696" spans="1:45" s="17" customFormat="1" ht="30.95" hidden="1" customHeight="1" x14ac:dyDescent="0.2">
      <c r="A696" s="37"/>
      <c r="B696" s="38"/>
      <c r="C696" s="45"/>
      <c r="D696" s="31"/>
      <c r="E696" s="31"/>
      <c r="F696" s="268"/>
      <c r="G696" s="269"/>
      <c r="H696" s="269"/>
      <c r="I696" s="270"/>
      <c r="J696" s="210"/>
      <c r="K696" s="270"/>
      <c r="L696" s="270"/>
      <c r="M696" s="39"/>
      <c r="N696" s="39"/>
      <c r="O696" s="156"/>
      <c r="P696" s="47"/>
      <c r="Q696" s="57"/>
      <c r="R696" s="271"/>
      <c r="S696" s="272"/>
      <c r="T696" s="273"/>
      <c r="U696" s="40"/>
      <c r="V696" s="274"/>
      <c r="W696" s="269"/>
      <c r="X696" s="269"/>
      <c r="Y696" s="275"/>
      <c r="Z696" s="269"/>
      <c r="AA696" s="57"/>
      <c r="AB696" s="207"/>
      <c r="AC696" s="33"/>
      <c r="AD696" s="189"/>
      <c r="AE696" s="54"/>
      <c r="AF696" s="55"/>
      <c r="AG696" s="43"/>
      <c r="AH696" s="47"/>
      <c r="AI696" s="30"/>
      <c r="AJ696" s="30"/>
      <c r="AK696" s="30"/>
      <c r="AL696" s="30"/>
      <c r="AM696" s="13"/>
      <c r="AN696" s="13"/>
      <c r="AO696" s="13"/>
      <c r="AP696" s="13"/>
      <c r="AQ696" s="13"/>
      <c r="AR696" s="14"/>
      <c r="AS696" s="15"/>
    </row>
    <row r="697" spans="1:45" s="17" customFormat="1" ht="30.95" hidden="1" customHeight="1" x14ac:dyDescent="0.2">
      <c r="A697" s="37" t="s">
        <v>1245</v>
      </c>
      <c r="B697" s="38" t="s">
        <v>1246</v>
      </c>
      <c r="C697" s="45"/>
      <c r="D697" s="31"/>
      <c r="E697" s="31"/>
      <c r="F697" s="268"/>
      <c r="G697" s="269"/>
      <c r="H697" s="269"/>
      <c r="I697" s="270"/>
      <c r="J697" s="210" t="s">
        <v>1258</v>
      </c>
      <c r="K697" s="270"/>
      <c r="L697" s="270"/>
      <c r="M697" s="39"/>
      <c r="N697" s="39"/>
      <c r="O697" s="156"/>
      <c r="P697" s="47"/>
      <c r="Q697" s="57"/>
      <c r="R697" s="271"/>
      <c r="S697" s="272"/>
      <c r="T697" s="273"/>
      <c r="U697" s="40"/>
      <c r="V697" s="274"/>
      <c r="W697" s="269"/>
      <c r="X697" s="269"/>
      <c r="Y697" s="275"/>
      <c r="Z697" s="269"/>
      <c r="AA697" s="57"/>
      <c r="AB697" s="207"/>
      <c r="AC697" s="33"/>
      <c r="AD697" s="189"/>
      <c r="AE697" s="54"/>
      <c r="AF697" s="55"/>
      <c r="AG697" s="43"/>
      <c r="AH697" s="47"/>
      <c r="AI697" s="30"/>
      <c r="AJ697" s="30"/>
      <c r="AK697" s="30"/>
      <c r="AL697" s="30"/>
      <c r="AM697" s="13"/>
      <c r="AN697" s="13"/>
      <c r="AO697" s="13"/>
      <c r="AP697" s="13"/>
      <c r="AQ697" s="13"/>
      <c r="AR697" s="14"/>
      <c r="AS697" s="15"/>
    </row>
    <row r="698" spans="1:45" s="17" customFormat="1" ht="30.95" hidden="1" customHeight="1" x14ac:dyDescent="0.2">
      <c r="A698" s="37"/>
      <c r="B698" s="38"/>
      <c r="C698" s="45"/>
      <c r="D698" s="31"/>
      <c r="E698" s="31"/>
      <c r="F698" s="268"/>
      <c r="G698" s="269"/>
      <c r="H698" s="269"/>
      <c r="I698" s="270"/>
      <c r="J698" s="210"/>
      <c r="K698" s="270"/>
      <c r="L698" s="270"/>
      <c r="M698" s="39"/>
      <c r="N698" s="39"/>
      <c r="O698" s="156"/>
      <c r="P698" s="47"/>
      <c r="Q698" s="57"/>
      <c r="R698" s="271"/>
      <c r="S698" s="272"/>
      <c r="T698" s="273"/>
      <c r="U698" s="40"/>
      <c r="V698" s="274"/>
      <c r="W698" s="269"/>
      <c r="X698" s="269"/>
      <c r="Y698" s="275"/>
      <c r="Z698" s="269"/>
      <c r="AA698" s="57"/>
      <c r="AB698" s="207"/>
      <c r="AC698" s="33"/>
      <c r="AD698" s="189"/>
      <c r="AE698" s="54"/>
      <c r="AF698" s="55"/>
      <c r="AG698" s="43"/>
      <c r="AH698" s="47"/>
      <c r="AI698" s="30"/>
      <c r="AJ698" s="30"/>
      <c r="AK698" s="30"/>
      <c r="AL698" s="30"/>
      <c r="AM698" s="13"/>
      <c r="AN698" s="13"/>
      <c r="AO698" s="13"/>
      <c r="AP698" s="13"/>
      <c r="AQ698" s="13"/>
      <c r="AR698" s="14"/>
      <c r="AS698" s="15"/>
    </row>
    <row r="699" spans="1:45" s="17" customFormat="1" ht="30.95" hidden="1" customHeight="1" x14ac:dyDescent="0.2">
      <c r="A699" s="37" t="s">
        <v>1247</v>
      </c>
      <c r="B699" s="38" t="s">
        <v>1236</v>
      </c>
      <c r="C699" s="45"/>
      <c r="D699" s="31"/>
      <c r="E699" s="31"/>
      <c r="F699" s="268"/>
      <c r="G699" s="269"/>
      <c r="H699" s="269"/>
      <c r="I699" s="270"/>
      <c r="J699" s="210" t="s">
        <v>448</v>
      </c>
      <c r="K699" s="270"/>
      <c r="L699" s="270"/>
      <c r="M699" s="39"/>
      <c r="N699" s="39"/>
      <c r="O699" s="156"/>
      <c r="P699" s="47"/>
      <c r="Q699" s="57"/>
      <c r="R699" s="271"/>
      <c r="S699" s="272"/>
      <c r="T699" s="273"/>
      <c r="U699" s="40"/>
      <c r="V699" s="274"/>
      <c r="W699" s="269"/>
      <c r="X699" s="269"/>
      <c r="Y699" s="275"/>
      <c r="Z699" s="269"/>
      <c r="AA699" s="57"/>
      <c r="AB699" s="207"/>
      <c r="AC699" s="33"/>
      <c r="AD699" s="189"/>
      <c r="AE699" s="54"/>
      <c r="AF699" s="55"/>
      <c r="AG699" s="43"/>
      <c r="AH699" s="47"/>
      <c r="AI699" s="30"/>
      <c r="AJ699" s="30"/>
      <c r="AK699" s="30"/>
      <c r="AL699" s="30"/>
      <c r="AM699" s="13"/>
      <c r="AN699" s="13"/>
      <c r="AO699" s="13"/>
      <c r="AP699" s="13"/>
      <c r="AQ699" s="13"/>
      <c r="AR699" s="14"/>
      <c r="AS699" s="15"/>
    </row>
    <row r="700" spans="1:45" s="17" customFormat="1" ht="30.95" hidden="1" customHeight="1" x14ac:dyDescent="0.2">
      <c r="A700" s="37"/>
      <c r="B700" s="38"/>
      <c r="C700" s="45"/>
      <c r="D700" s="31"/>
      <c r="E700" s="31"/>
      <c r="F700" s="268"/>
      <c r="G700" s="269"/>
      <c r="H700" s="269"/>
      <c r="I700" s="270"/>
      <c r="J700" s="210"/>
      <c r="K700" s="270"/>
      <c r="L700" s="270"/>
      <c r="M700" s="39"/>
      <c r="N700" s="39"/>
      <c r="O700" s="156"/>
      <c r="P700" s="47"/>
      <c r="Q700" s="57"/>
      <c r="R700" s="271"/>
      <c r="S700" s="272"/>
      <c r="T700" s="273"/>
      <c r="U700" s="40"/>
      <c r="V700" s="274"/>
      <c r="W700" s="269"/>
      <c r="X700" s="269"/>
      <c r="Y700" s="275"/>
      <c r="Z700" s="269"/>
      <c r="AA700" s="57"/>
      <c r="AB700" s="207"/>
      <c r="AC700" s="33"/>
      <c r="AD700" s="189"/>
      <c r="AE700" s="54"/>
      <c r="AF700" s="55"/>
      <c r="AG700" s="43"/>
      <c r="AH700" s="47"/>
      <c r="AI700" s="30"/>
      <c r="AJ700" s="30"/>
      <c r="AK700" s="30"/>
      <c r="AL700" s="30"/>
      <c r="AM700" s="13"/>
      <c r="AN700" s="13"/>
      <c r="AO700" s="13"/>
      <c r="AP700" s="13"/>
      <c r="AQ700" s="13"/>
      <c r="AR700" s="14"/>
      <c r="AS700" s="15"/>
    </row>
    <row r="701" spans="1:45" s="17" customFormat="1" ht="30.95" hidden="1" customHeight="1" x14ac:dyDescent="0.2">
      <c r="A701" s="37" t="s">
        <v>1248</v>
      </c>
      <c r="B701" s="38" t="s">
        <v>1237</v>
      </c>
      <c r="C701" s="45"/>
      <c r="D701" s="31"/>
      <c r="E701" s="31"/>
      <c r="F701" s="268"/>
      <c r="G701" s="269"/>
      <c r="H701" s="269"/>
      <c r="I701" s="270"/>
      <c r="J701" s="210" t="s">
        <v>448</v>
      </c>
      <c r="K701" s="270"/>
      <c r="L701" s="270"/>
      <c r="M701" s="39"/>
      <c r="N701" s="39"/>
      <c r="O701" s="156"/>
      <c r="P701" s="47"/>
      <c r="Q701" s="57"/>
      <c r="R701" s="271"/>
      <c r="S701" s="272"/>
      <c r="T701" s="273"/>
      <c r="U701" s="40"/>
      <c r="V701" s="274"/>
      <c r="W701" s="269"/>
      <c r="X701" s="269"/>
      <c r="Y701" s="275"/>
      <c r="Z701" s="269"/>
      <c r="AA701" s="57"/>
      <c r="AB701" s="207"/>
      <c r="AC701" s="33"/>
      <c r="AD701" s="189"/>
      <c r="AE701" s="54"/>
      <c r="AF701" s="55"/>
      <c r="AG701" s="43"/>
      <c r="AH701" s="47"/>
      <c r="AI701" s="30"/>
      <c r="AJ701" s="30"/>
      <c r="AK701" s="30"/>
      <c r="AL701" s="30"/>
      <c r="AM701" s="13"/>
      <c r="AN701" s="13"/>
      <c r="AO701" s="13"/>
      <c r="AP701" s="13"/>
      <c r="AQ701" s="13"/>
      <c r="AR701" s="14"/>
      <c r="AS701" s="15"/>
    </row>
    <row r="702" spans="1:45" s="17" customFormat="1" ht="30.95" hidden="1" customHeight="1" x14ac:dyDescent="0.2">
      <c r="A702" s="37"/>
      <c r="B702" s="38"/>
      <c r="C702" s="45"/>
      <c r="D702" s="31"/>
      <c r="E702" s="31"/>
      <c r="F702" s="268"/>
      <c r="G702" s="269"/>
      <c r="H702" s="269"/>
      <c r="I702" s="270"/>
      <c r="J702" s="210"/>
      <c r="K702" s="270"/>
      <c r="L702" s="270"/>
      <c r="M702" s="39"/>
      <c r="N702" s="39"/>
      <c r="O702" s="156"/>
      <c r="P702" s="47"/>
      <c r="Q702" s="57"/>
      <c r="R702" s="271"/>
      <c r="S702" s="272"/>
      <c r="T702" s="273"/>
      <c r="U702" s="40"/>
      <c r="V702" s="274"/>
      <c r="W702" s="269"/>
      <c r="X702" s="269"/>
      <c r="Y702" s="275"/>
      <c r="Z702" s="269"/>
      <c r="AA702" s="57"/>
      <c r="AB702" s="207"/>
      <c r="AC702" s="33"/>
      <c r="AD702" s="189"/>
      <c r="AE702" s="54"/>
      <c r="AF702" s="55"/>
      <c r="AG702" s="43"/>
      <c r="AH702" s="47"/>
      <c r="AI702" s="30"/>
      <c r="AJ702" s="30"/>
      <c r="AK702" s="30"/>
      <c r="AL702" s="30"/>
      <c r="AM702" s="13"/>
      <c r="AN702" s="13"/>
      <c r="AO702" s="13"/>
      <c r="AP702" s="13"/>
      <c r="AQ702" s="13"/>
      <c r="AR702" s="14"/>
      <c r="AS702" s="15"/>
    </row>
    <row r="703" spans="1:45" s="17" customFormat="1" ht="30.95" hidden="1" customHeight="1" x14ac:dyDescent="0.2">
      <c r="A703" s="37" t="s">
        <v>1249</v>
      </c>
      <c r="B703" s="38" t="s">
        <v>1238</v>
      </c>
      <c r="C703" s="45"/>
      <c r="D703" s="31">
        <v>3712090</v>
      </c>
      <c r="E703" s="31">
        <v>4161935</v>
      </c>
      <c r="F703" s="268" t="str">
        <f>IF(D703="","",VLOOKUP(D703,契約台帳!$A$3:$K$4986,6,FALSE)&amp;VLOOKUP(D703,契約台帳!$A$3:$K$4986,7,FALSE)&amp;VLOOKUP(D703,契約台帳!$A$3:$K$4986,8,FALSE)&amp;VLOOKUP(D703,契約台帳!$A$3:$K$4986,9,FALSE)&amp;VLOOKUP(D703,契約台帳!$A$3:$K$4986,11,FALSE))</f>
        <v>3SNMCLBMSNEYK</v>
      </c>
      <c r="G703" s="269" t="str">
        <f>IF(D703="","",VLOOKUP(F703,製品マスタ!$G$5:$H$5002,2,FALSE))</f>
        <v>S</v>
      </c>
      <c r="H703" s="269" t="str">
        <f>IF(D703="","",VLOOKUP(F703,製品マスタ!$G$5:$K$5002,5,FALSE))</f>
        <v>MSNEYK</v>
      </c>
      <c r="I703" s="270" t="str">
        <f>IF(D703="","",VLOOKUP(F703,製品マスタ!$G$5:$L$5002,6,FALSE))</f>
        <v>ＭＳＮ　ＥＹＫ</v>
      </c>
      <c r="J703" s="210" t="s">
        <v>935</v>
      </c>
      <c r="K703" s="270">
        <f>IF(D703="","",VLOOKUP(D703,契約台帳!$A$3:$L$4986,12,FALSE))</f>
        <v>50</v>
      </c>
      <c r="L703" s="270" t="str">
        <f>IF(D703="","",INDEX(製品マスタ!$Q$5:$Q$5002,MATCH('S4'!F703&amp;'S4'!K703,製品マスタ!$AO$5:$AO$5002,0)))</f>
        <v>N-MAT</v>
      </c>
      <c r="M703" s="39">
        <v>1200</v>
      </c>
      <c r="N703" s="39">
        <v>6000</v>
      </c>
      <c r="O703" s="156">
        <v>6</v>
      </c>
      <c r="P703" s="47">
        <v>2</v>
      </c>
      <c r="Q703" s="213">
        <v>45100</v>
      </c>
      <c r="R703" s="271">
        <f ca="1">IF(D703="","",IF(OFFSET(D703,-1,0)&lt;&gt;"","",IF(OR(J703="リード付け",J703="巻足し",J703="巻返しリード付け"),M703,VLOOKUP(D703,契約台帳!$A$3:$N$4986,14,FALSE))))</f>
        <v>1200</v>
      </c>
      <c r="S703" s="272">
        <f ca="1">IF(D703="","",IF(OFFSET(D703,-1,0)&lt;&gt;"","",IF(OR(J703="リード付け",J703="巻足し",J703="巻返しリード付け"),M703,VLOOKUP(D703,契約台帳!$A$3:$O$4986,15,FALSE))))</f>
        <v>1200</v>
      </c>
      <c r="T703" s="273">
        <f ca="1">IF(D703="","",IF(J703="リード付け",N703,IF(J703="巻返しリード付け",N703,IF(J703="巻足し",N703*P703+OFFSET(N703,1,0)*OFFSET(P703,1,0),VLOOKUP(D703,契約台帳!$A$3:$P$4986,16,FALSE)))))</f>
        <v>12000</v>
      </c>
      <c r="U703" s="40">
        <v>3</v>
      </c>
      <c r="V703" s="274">
        <f ca="1">IF(D703="","",IF(OFFSET(D703,-2,0)=D703,"",VLOOKUP(D703,契約台帳!$A$3:$R$4986,18,FALSE)))</f>
        <v>6</v>
      </c>
      <c r="W703" s="269" t="str">
        <f ca="1">IF(D703="","",IF(T703="","",IF(OR(J703="巻足し",J703="巻返しリード付け"),"",IF(J703="巻返し",VLOOKUP(F703&amp;K703&amp;M703,製品マスタ!$M$5:$AD$5002,18,FALSE),IF(OR(J703="リード付け",J703="巻返しリード付け"),"原反コア",IF(J703="スリット",VLOOKUP(F703&amp;K703&amp;R703,製品マスタ!$N$5:$AD$5002,17,FALSE),""))))))</f>
        <v/>
      </c>
      <c r="X703" s="269" t="str">
        <f ca="1">IF(D703="","",IF(T703="","",IF(J703="巻足し","",IF(J703="巻返し",VLOOKUP(F703&amp;K703&amp;M703,製品マスタ!$M$5:$AE$5002,19,FALSE),IF(OR(J703="リード付け",J703="巻返しリード付け"),"",IF(J703="スリット",VLOOKUP(F703&amp;K703&amp;R703,製品マスタ!$N$5:$AE$5002,18,FALSE),""))))))</f>
        <v/>
      </c>
      <c r="Y703" s="275">
        <f ca="1">IF(D703="","",IF(T703="","",VLOOKUP(D703,契約台帳!$A$3:$Q$4986,17,FALSE)))</f>
        <v>2</v>
      </c>
      <c r="Z703" s="269" t="str">
        <f ca="1">IF(D703="","",IF(T703="","",VLOOKUP(D703,契約台帳!$A$3:$E$4986,5,FALSE)))</f>
        <v>大阪シーリング印刷㈱</v>
      </c>
      <c r="AA703" s="57"/>
      <c r="AB703" s="207" t="str">
        <f>IFERROR((VLOOKUP(F703&amp;K703&amp;M703,製品マスタ!$M$5:$AM$5002,27,FALSE)),"")</f>
        <v>原反ケース再利用</v>
      </c>
      <c r="AC703" s="33"/>
      <c r="AD703" s="189"/>
      <c r="AE703" s="54"/>
      <c r="AF703" s="55">
        <f>+M703*N703*O703/1000</f>
        <v>43200</v>
      </c>
      <c r="AG703" s="43"/>
      <c r="AH703" s="47"/>
      <c r="AI703" s="30"/>
      <c r="AJ703" s="30"/>
      <c r="AK703" s="30"/>
      <c r="AL703" s="30"/>
      <c r="AM703" s="13"/>
      <c r="AN703" s="13"/>
      <c r="AO703" s="13"/>
      <c r="AP703" s="13"/>
      <c r="AQ703" s="13"/>
      <c r="AR703" s="14"/>
      <c r="AS703" s="15"/>
    </row>
    <row r="704" spans="1:45" s="17" customFormat="1" ht="30.95" hidden="1" customHeight="1" x14ac:dyDescent="0.2">
      <c r="A704" s="37"/>
      <c r="B704" s="38"/>
      <c r="C704" s="45"/>
      <c r="D704" s="31"/>
      <c r="E704" s="31"/>
      <c r="F704" s="268"/>
      <c r="G704" s="269"/>
      <c r="H704" s="269"/>
      <c r="I704" s="270"/>
      <c r="J704" s="210"/>
      <c r="K704" s="270"/>
      <c r="L704" s="270"/>
      <c r="M704" s="39"/>
      <c r="N704" s="39"/>
      <c r="O704" s="156"/>
      <c r="P704" s="47"/>
      <c r="Q704" s="57"/>
      <c r="R704" s="271"/>
      <c r="S704" s="272"/>
      <c r="T704" s="273"/>
      <c r="U704" s="40"/>
      <c r="V704" s="274"/>
      <c r="W704" s="269"/>
      <c r="X704" s="269"/>
      <c r="Y704" s="275"/>
      <c r="Z704" s="269"/>
      <c r="AA704" s="57"/>
      <c r="AB704" s="207"/>
      <c r="AC704" s="33"/>
      <c r="AD704" s="189"/>
      <c r="AE704" s="54"/>
      <c r="AF704" s="55"/>
      <c r="AG704" s="43"/>
      <c r="AH704" s="47"/>
      <c r="AI704" s="30"/>
      <c r="AJ704" s="30"/>
      <c r="AK704" s="30"/>
      <c r="AL704" s="30"/>
      <c r="AM704" s="13"/>
      <c r="AN704" s="13"/>
      <c r="AO704" s="13"/>
      <c r="AP704" s="13"/>
      <c r="AQ704" s="13"/>
      <c r="AR704" s="14"/>
      <c r="AS704" s="15"/>
    </row>
    <row r="705" spans="1:45" s="17" customFormat="1" ht="30.95" hidden="1" customHeight="1" x14ac:dyDescent="0.2">
      <c r="A705" s="37"/>
      <c r="B705" s="38"/>
      <c r="C705" s="45"/>
      <c r="D705" s="31">
        <v>3716257</v>
      </c>
      <c r="E705" s="31">
        <v>4161981</v>
      </c>
      <c r="F705" s="268" t="str">
        <f>IF(D705="","",VLOOKUP(D705,契約台帳!$A$3:$K$4986,6,FALSE)&amp;VLOOKUP(D705,契約台帳!$A$3:$K$4986,7,FALSE)&amp;VLOOKUP(D705,契約台帳!$A$3:$K$4986,8,FALSE)&amp;VLOOKUP(D705,契約台帳!$A$3:$K$4986,9,FALSE)&amp;VLOOKUP(D705,契約台帳!$A$3:$K$4986,11,FALSE))</f>
        <v>3SNMLBMNGTBF</v>
      </c>
      <c r="G705" s="269" t="str">
        <f>IF(D705="","",VLOOKUP(F705,製品マスタ!$G$5:$H$5002,2,FALSE))</f>
        <v>S</v>
      </c>
      <c r="H705" s="269" t="str">
        <f>IF(D705="","",VLOOKUP(F705,製品マスタ!$G$5:$K$5002,5,FALSE))</f>
        <v>MNGTBF</v>
      </c>
      <c r="I705" s="270" t="str">
        <f>IF(D705="","",VLOOKUP(F705,製品マスタ!$G$5:$L$5002,6,FALSE))</f>
        <v>メタルミー　ネーマー　銀艶　Ｂ</v>
      </c>
      <c r="J705" s="210" t="s">
        <v>935</v>
      </c>
      <c r="K705" s="270">
        <f>IF(D705="","",VLOOKUP(D705,契約台帳!$A$3:$L$4986,12,FALSE))</f>
        <v>50</v>
      </c>
      <c r="L705" s="270" t="str">
        <f>IF(D705="","",INDEX(製品マスタ!$Q$5:$Q$5002,MATCH('S4'!F705&amp;'S4'!K705,製品マスタ!$AO$5:$AO$5002,0)))</f>
        <v>T62</v>
      </c>
      <c r="M705" s="39">
        <v>1120</v>
      </c>
      <c r="N705" s="39">
        <v>5000</v>
      </c>
      <c r="O705" s="156">
        <v>12</v>
      </c>
      <c r="P705" s="47">
        <v>2</v>
      </c>
      <c r="Q705" s="213">
        <v>45100</v>
      </c>
      <c r="R705" s="271">
        <f ca="1">IF(D705="","",IF(OFFSET(D705,-1,0)&lt;&gt;"","",IF(OR(J705="リード付け",J705="巻足し",J705="巻返しリード付け"),M705,VLOOKUP(D705,契約台帳!$A$3:$N$4986,14,FALSE))))</f>
        <v>1120</v>
      </c>
      <c r="S705" s="272">
        <f ca="1">IF(D705="","",IF(OFFSET(D705,-1,0)&lt;&gt;"","",IF(OR(J705="リード付け",J705="巻足し",J705="巻返しリード付け"),M705,VLOOKUP(D705,契約台帳!$A$3:$O$4986,15,FALSE))))</f>
        <v>1120</v>
      </c>
      <c r="T705" s="273">
        <f ca="1">IF(D705="","",IF(J705="リード付け",N705,IF(J705="巻返しリード付け",N705,IF(J705="巻足し",N705*P705+OFFSET(N705,1,0)*OFFSET(P705,1,0),VLOOKUP(D705,契約台帳!$A$3:$P$4986,16,FALSE)))))</f>
        <v>10000</v>
      </c>
      <c r="U705" s="40">
        <v>6</v>
      </c>
      <c r="V705" s="274">
        <f ca="1">IF(D705="","",IF(OFFSET(D705,-2,0)=D705,"",VLOOKUP(D705,契約台帳!$A$3:$R$4986,18,FALSE)))</f>
        <v>13</v>
      </c>
      <c r="W705" s="269" t="str">
        <f ca="1">IF(D705="","",IF(T705="","",IF(OR(J705="巻足し",J705="巻返しリード付け"),"",IF(J705="巻返し",VLOOKUP(F705&amp;K705&amp;M705,製品マスタ!$M$5:$AD$5002,18,FALSE),IF(OR(J705="リード付け",J705="巻返しリード付け"),"原反コア",IF(J705="スリット",VLOOKUP(F705&amp;K705&amp;R705,製品マスタ!$N$5:$AD$5002,17,FALSE),""))))))</f>
        <v/>
      </c>
      <c r="X705" s="269" t="str">
        <f ca="1">IF(D705="","",IF(T705="","",IF(J705="巻足し","",IF(J705="巻返し",VLOOKUP(F705&amp;K705&amp;M705,製品マスタ!$M$5:$AE$5002,19,FALSE),IF(OR(J705="リード付け",J705="巻返しリード付け"),"",IF(J705="スリット",VLOOKUP(F705&amp;K705&amp;R705,製品マスタ!$N$5:$AE$5002,18,FALSE),""))))))</f>
        <v/>
      </c>
      <c r="Y705" s="275">
        <f ca="1">IF(D705="","",IF(T705="","",VLOOKUP(D705,契約台帳!$A$3:$Q$4986,17,FALSE)))</f>
        <v>2</v>
      </c>
      <c r="Z705" s="269" t="str">
        <f ca="1">IF(D705="","",IF(T705="","",VLOOKUP(D705,契約台帳!$A$3:$E$4986,5,FALSE)))</f>
        <v>リンテック㈱</v>
      </c>
      <c r="AA705" s="57"/>
      <c r="AB705" s="207" t="str">
        <f>IFERROR((VLOOKUP(F705&amp;K705&amp;M705,製品マスタ!$M$5:$AM$5002,27,FALSE)),"")</f>
        <v>原反ケース再利用</v>
      </c>
      <c r="AC705" s="33"/>
      <c r="AD705" s="189"/>
      <c r="AE705" s="54"/>
      <c r="AF705" s="55">
        <f>+M705*N705*O705/1000</f>
        <v>67200</v>
      </c>
      <c r="AG705" s="43"/>
      <c r="AH705" s="47"/>
      <c r="AI705" s="30"/>
      <c r="AJ705" s="30"/>
      <c r="AK705" s="30"/>
      <c r="AL705" s="30"/>
      <c r="AM705" s="13"/>
      <c r="AN705" s="13"/>
      <c r="AO705" s="13"/>
      <c r="AP705" s="13"/>
      <c r="AQ705" s="13"/>
      <c r="AR705" s="14"/>
      <c r="AS705" s="15"/>
    </row>
    <row r="706" spans="1:45" s="17" customFormat="1" ht="30.95" hidden="1" customHeight="1" x14ac:dyDescent="0.2">
      <c r="A706" s="37"/>
      <c r="B706" s="38"/>
      <c r="C706" s="45"/>
      <c r="D706" s="31"/>
      <c r="E706" s="31"/>
      <c r="F706" s="268"/>
      <c r="G706" s="269"/>
      <c r="H706" s="269"/>
      <c r="I706" s="270"/>
      <c r="J706" s="210"/>
      <c r="K706" s="270"/>
      <c r="L706" s="270"/>
      <c r="M706" s="39"/>
      <c r="N706" s="39"/>
      <c r="O706" s="156"/>
      <c r="P706" s="47"/>
      <c r="Q706" s="57"/>
      <c r="R706" s="271"/>
      <c r="S706" s="272"/>
      <c r="T706" s="273"/>
      <c r="U706" s="40"/>
      <c r="V706" s="274"/>
      <c r="W706" s="269"/>
      <c r="X706" s="269"/>
      <c r="Y706" s="275"/>
      <c r="Z706" s="269"/>
      <c r="AA706" s="57"/>
      <c r="AB706" s="207" t="str">
        <f>IFERROR((VLOOKUP(F706&amp;K706&amp;M706,製品マスタ!$M$5:$AM$5002,27,FALSE)),"")</f>
        <v/>
      </c>
      <c r="AC706" s="33"/>
      <c r="AD706" s="189"/>
      <c r="AE706" s="54"/>
      <c r="AF706" s="55"/>
      <c r="AG706" s="43"/>
      <c r="AH706" s="47"/>
      <c r="AI706" s="30"/>
      <c r="AJ706" s="30"/>
      <c r="AK706" s="30"/>
      <c r="AL706" s="30"/>
      <c r="AM706" s="13"/>
      <c r="AN706" s="13"/>
      <c r="AO706" s="13"/>
      <c r="AP706" s="13"/>
      <c r="AQ706" s="13"/>
      <c r="AR706" s="14"/>
      <c r="AS706" s="15"/>
    </row>
    <row r="707" spans="1:45" s="17" customFormat="1" ht="30.95" hidden="1" customHeight="1" x14ac:dyDescent="0.2">
      <c r="A707" s="37"/>
      <c r="B707" s="38"/>
      <c r="C707" s="45"/>
      <c r="D707" s="31">
        <v>3716257</v>
      </c>
      <c r="E707" s="31">
        <v>4161981</v>
      </c>
      <c r="F707" s="268" t="str">
        <f>IF(D707="","",VLOOKUP(D707,契約台帳!$A$3:$K$4986,6,FALSE)&amp;VLOOKUP(D707,契約台帳!$A$3:$K$4986,7,FALSE)&amp;VLOOKUP(D707,契約台帳!$A$3:$K$4986,8,FALSE)&amp;VLOOKUP(D707,契約台帳!$A$3:$K$4986,9,FALSE)&amp;VLOOKUP(D707,契約台帳!$A$3:$K$4986,11,FALSE))</f>
        <v>3SNMLBMNGTBF</v>
      </c>
      <c r="G707" s="269" t="str">
        <f>IF(D707="","",VLOOKUP(F707,製品マスタ!$G$5:$H$5002,2,FALSE))</f>
        <v>S</v>
      </c>
      <c r="H707" s="269" t="str">
        <f>IF(D707="","",VLOOKUP(F707,製品マスタ!$G$5:$K$5002,5,FALSE))</f>
        <v>MNGTBF</v>
      </c>
      <c r="I707" s="270" t="str">
        <f>IF(D707="","",VLOOKUP(F707,製品マスタ!$G$5:$L$5002,6,FALSE))</f>
        <v>メタルミー　ネーマー　銀艶　Ｂ</v>
      </c>
      <c r="J707" s="210" t="s">
        <v>935</v>
      </c>
      <c r="K707" s="270">
        <f>IF(D707="","",VLOOKUP(D707,契約台帳!$A$3:$L$4986,12,FALSE))</f>
        <v>50</v>
      </c>
      <c r="L707" s="270" t="str">
        <f>IF(D707="","",INDEX(製品マスタ!$Q$5:$Q$5002,MATCH('S4'!F707&amp;'S4'!K707,製品マスタ!$AO$5:$AO$5002,0)))</f>
        <v>T62</v>
      </c>
      <c r="M707" s="39">
        <v>1120</v>
      </c>
      <c r="N707" s="39">
        <v>5000</v>
      </c>
      <c r="O707" s="156">
        <v>1</v>
      </c>
      <c r="P707" s="47">
        <v>2</v>
      </c>
      <c r="Q707" s="213">
        <v>45100</v>
      </c>
      <c r="R707" s="271">
        <f ca="1">IF(D707="","",IF(OFFSET(D707,-1,0)&lt;&gt;"","",IF(OR(J707="リード付け",J707="巻足し",J707="巻返しリード付け"),M707,VLOOKUP(D707,契約台帳!$A$3:$N$4986,14,FALSE))))</f>
        <v>1120</v>
      </c>
      <c r="S707" s="272">
        <f ca="1">IF(D707="","",IF(OFFSET(D707,-1,0)&lt;&gt;"","",IF(OR(J707="リード付け",J707="巻足し",J707="巻返しリード付け"),M707,VLOOKUP(D707,契約台帳!$A$3:$O$4986,15,FALSE))))</f>
        <v>1120</v>
      </c>
      <c r="T707" s="273">
        <f ca="1">IF(D707="","",IF(J707="リード付け",N707,IF(J707="巻返しリード付け",N707,IF(J707="巻足し",N707*P707+OFFSET(N707,1,0)*OFFSET(P707,1,0),VLOOKUP(D707,契約台帳!$A$3:$P$4986,16,FALSE)))))</f>
        <v>10000</v>
      </c>
      <c r="U707" s="40">
        <v>1</v>
      </c>
      <c r="V707" s="274" t="str">
        <f ca="1">IF(D707="","",IF(OFFSET(D707,-2,0)=D707,"",VLOOKUP(D707,契約台帳!$A$3:$R$4986,18,FALSE)))</f>
        <v/>
      </c>
      <c r="W707" s="269" t="str">
        <f ca="1">IF(D707="","",IF(T707="","",IF(OR(J707="巻足し",J707="巻返しリード付け"),"",IF(J707="巻返し",VLOOKUP(F707&amp;K707&amp;M707,製品マスタ!$M$5:$AD$5002,18,FALSE),IF(OR(J707="リード付け",J707="巻返しリード付け"),"原反コア",IF(J707="スリット",VLOOKUP(F707&amp;K707&amp;R707,製品マスタ!$N$5:$AD$5002,17,FALSE),""))))))</f>
        <v/>
      </c>
      <c r="X707" s="269" t="str">
        <f ca="1">IF(D707="","",IF(T707="","",IF(J707="巻足し","",IF(J707="巻返し",VLOOKUP(F707&amp;K707&amp;M707,製品マスタ!$M$5:$AE$5002,19,FALSE),IF(OR(J707="リード付け",J707="巻返しリード付け"),"",IF(J707="スリット",VLOOKUP(F707&amp;K707&amp;R707,製品マスタ!$N$5:$AE$5002,18,FALSE),""))))))</f>
        <v/>
      </c>
      <c r="Y707" s="275">
        <f ca="1">IF(D707="","",IF(T707="","",VLOOKUP(D707,契約台帳!$A$3:$Q$4986,17,FALSE)))</f>
        <v>2</v>
      </c>
      <c r="Z707" s="269" t="str">
        <f ca="1">IF(D707="","",IF(T707="","",VLOOKUP(D707,契約台帳!$A$3:$E$4986,5,FALSE)))</f>
        <v>リンテック㈱</v>
      </c>
      <c r="AA707" s="57"/>
      <c r="AB707" s="207" t="str">
        <f>IFERROR((VLOOKUP(F707&amp;K707&amp;M707,製品マスタ!$M$5:$AM$5002,27,FALSE)),"")</f>
        <v>原反ケース再利用</v>
      </c>
      <c r="AC707" s="33"/>
      <c r="AD707" s="189"/>
      <c r="AE707" s="54"/>
      <c r="AF707" s="55">
        <f>+M707*N707*O707/1000</f>
        <v>5600</v>
      </c>
      <c r="AG707" s="43"/>
      <c r="AH707" s="47"/>
      <c r="AI707" s="30"/>
      <c r="AJ707" s="30"/>
      <c r="AK707" s="30"/>
      <c r="AL707" s="30"/>
      <c r="AM707" s="13"/>
      <c r="AN707" s="13"/>
      <c r="AO707" s="13"/>
      <c r="AP707" s="13"/>
      <c r="AQ707" s="13"/>
      <c r="AR707" s="14"/>
      <c r="AS707" s="15"/>
    </row>
    <row r="708" spans="1:45" s="17" customFormat="1" ht="30.95" hidden="1" customHeight="1" x14ac:dyDescent="0.2">
      <c r="A708" s="37"/>
      <c r="B708" s="38"/>
      <c r="C708" s="45"/>
      <c r="D708" s="31">
        <v>3716258</v>
      </c>
      <c r="E708" s="31"/>
      <c r="F708" s="268" t="str">
        <f>IF(D708="","",VLOOKUP(D708,契約台帳!$A$3:$K$4986,6,FALSE)&amp;VLOOKUP(D708,契約台帳!$A$3:$K$4986,7,FALSE)&amp;VLOOKUP(D708,契約台帳!$A$3:$K$4986,8,FALSE)&amp;VLOOKUP(D708,契約台帳!$A$3:$K$4986,9,FALSE)&amp;VLOOKUP(D708,契約台帳!$A$3:$K$4986,11,FALSE))</f>
        <v>3SNMLBMNGTBF</v>
      </c>
      <c r="G708" s="269" t="str">
        <f>IF(D708="","",VLOOKUP(F708,製品マスタ!$G$5:$H$5002,2,FALSE))</f>
        <v>S</v>
      </c>
      <c r="H708" s="269" t="str">
        <f>IF(D708="","",VLOOKUP(F708,製品マスタ!$G$5:$K$5002,5,FALSE))</f>
        <v>MNGTBF</v>
      </c>
      <c r="I708" s="270" t="str">
        <f>IF(D708="","",VLOOKUP(F708,製品マスタ!$G$5:$L$5002,6,FALSE))</f>
        <v>メタルミー　ネーマー　銀艶　Ｂ</v>
      </c>
      <c r="J708" s="210" t="s">
        <v>935</v>
      </c>
      <c r="K708" s="270">
        <f>IF(D708="","",VLOOKUP(D708,契約台帳!$A$3:$L$4986,12,FALSE))</f>
        <v>50</v>
      </c>
      <c r="L708" s="270" t="str">
        <f>IF(D708="","",INDEX(製品マスタ!$Q$5:$Q$5002,MATCH('S4'!F708&amp;'S4'!K708,製品マスタ!$AO$5:$AO$5002,0)))</f>
        <v>T62</v>
      </c>
      <c r="M708" s="39">
        <v>1120</v>
      </c>
      <c r="N708" s="39">
        <v>5000</v>
      </c>
      <c r="O708" s="156">
        <v>1</v>
      </c>
      <c r="P708" s="47"/>
      <c r="Q708" s="213">
        <v>45103</v>
      </c>
      <c r="R708" s="271" t="str">
        <f ca="1">IF(D708="","",IF(OFFSET(D708,-1,0)&lt;&gt;"","",IF(OR(J708="リード付け",J708="巻足し",J708="巻返しリード付け"),M708,VLOOKUP(D708,契約台帳!$A$3:$N$4986,14,FALSE))))</f>
        <v/>
      </c>
      <c r="S708" s="272" t="str">
        <f ca="1">IF(D708="","",IF(OFFSET(D708,-1,0)&lt;&gt;"","",IF(OR(J708="リード付け",J708="巻足し",J708="巻返しリード付け"),M708,VLOOKUP(D708,契約台帳!$A$3:$O$4986,15,FALSE))))</f>
        <v/>
      </c>
      <c r="T708" s="273">
        <f ca="1">IF(D708="","",IF(J708="リード付け",N708,IF(J708="巻返しリード付け",N708,IF(J708="巻足し",N708*P708+OFFSET(N708,1,0)*OFFSET(P708,1,0),VLOOKUP(D708,契約台帳!$A$3:$P$4986,16,FALSE)))))</f>
        <v>0</v>
      </c>
      <c r="U708" s="40"/>
      <c r="V708" s="274">
        <f ca="1">IF(D708="","",IF(OFFSET(D708,-2,0)=D708,"",VLOOKUP(D708,契約台帳!$A$3:$R$4986,18,FALSE)))</f>
        <v>13</v>
      </c>
      <c r="W708" s="269" t="str">
        <f ca="1">IF(D708="","",IF(T708="","",IF(OR(J708="巻足し",J708="巻返しリード付け"),"",IF(J708="巻返し",VLOOKUP(F708&amp;K708&amp;M708,製品マスタ!$M$5:$AD$5002,18,FALSE),IF(OR(J708="リード付け",J708="巻返しリード付け"),"原反コア",IF(J708="スリット",VLOOKUP(F708&amp;K708&amp;R708,製品マスタ!$N$5:$AD$5002,17,FALSE),""))))))</f>
        <v/>
      </c>
      <c r="X708" s="269" t="str">
        <f ca="1">IF(D708="","",IF(T708="","",IF(J708="巻足し","",IF(J708="巻返し",VLOOKUP(F708&amp;K708&amp;M708,製品マスタ!$M$5:$AE$5002,19,FALSE),IF(OR(J708="リード付け",J708="巻返しリード付け"),"",IF(J708="スリット",VLOOKUP(F708&amp;K708&amp;R708,製品マスタ!$N$5:$AE$5002,18,FALSE),""))))))</f>
        <v/>
      </c>
      <c r="Y708" s="275">
        <f ca="1">IF(D708="","",IF(T708="","",VLOOKUP(D708,契約台帳!$A$3:$Q$4986,17,FALSE)))</f>
        <v>2</v>
      </c>
      <c r="Z708" s="269" t="str">
        <f ca="1">IF(D708="","",IF(T708="","",VLOOKUP(D708,契約台帳!$A$3:$E$4986,5,FALSE)))</f>
        <v>リンテック㈱</v>
      </c>
      <c r="AA708" s="57"/>
      <c r="AB708" s="207" t="str">
        <f>IFERROR((VLOOKUP(F708&amp;K708&amp;M708,製品マスタ!$M$5:$AM$5002,27,FALSE)),"")</f>
        <v>原反ケース再利用</v>
      </c>
      <c r="AC708" s="33"/>
      <c r="AD708" s="189"/>
      <c r="AE708" s="54"/>
      <c r="AF708" s="55">
        <f>+M708*N708*O708/1000</f>
        <v>5600</v>
      </c>
      <c r="AG708" s="43"/>
      <c r="AH708" s="47"/>
      <c r="AI708" s="30"/>
      <c r="AJ708" s="30"/>
      <c r="AK708" s="30"/>
      <c r="AL708" s="30"/>
      <c r="AM708" s="13"/>
      <c r="AN708" s="13"/>
      <c r="AO708" s="13"/>
      <c r="AP708" s="13"/>
      <c r="AQ708" s="13"/>
      <c r="AR708" s="14"/>
      <c r="AS708" s="15"/>
    </row>
    <row r="709" spans="1:45" s="17" customFormat="1" ht="30.95" hidden="1" customHeight="1" x14ac:dyDescent="0.2">
      <c r="A709" s="37"/>
      <c r="B709" s="38"/>
      <c r="C709" s="45"/>
      <c r="D709" s="31"/>
      <c r="E709" s="31"/>
      <c r="F709" s="268"/>
      <c r="G709" s="269"/>
      <c r="H709" s="269"/>
      <c r="I709" s="270"/>
      <c r="J709" s="210"/>
      <c r="K709" s="270"/>
      <c r="L709" s="270"/>
      <c r="M709" s="39"/>
      <c r="N709" s="39"/>
      <c r="O709" s="156"/>
      <c r="P709" s="47"/>
      <c r="Q709" s="57"/>
      <c r="R709" s="271"/>
      <c r="S709" s="272"/>
      <c r="T709" s="273"/>
      <c r="U709" s="40"/>
      <c r="V709" s="274"/>
      <c r="W709" s="269"/>
      <c r="X709" s="269"/>
      <c r="Y709" s="275"/>
      <c r="Z709" s="269"/>
      <c r="AA709" s="57"/>
      <c r="AB709" s="207" t="str">
        <f>IFERROR((VLOOKUP(F709&amp;K709&amp;M709,製品マスタ!$M$5:$AM$5002,27,FALSE)),"")</f>
        <v/>
      </c>
      <c r="AC709" s="33"/>
      <c r="AD709" s="189"/>
      <c r="AE709" s="54"/>
      <c r="AF709" s="55"/>
      <c r="AG709" s="43"/>
      <c r="AH709" s="47"/>
      <c r="AI709" s="30"/>
      <c r="AJ709" s="30"/>
      <c r="AK709" s="30"/>
      <c r="AL709" s="30"/>
      <c r="AM709" s="13"/>
      <c r="AN709" s="13"/>
      <c r="AO709" s="13"/>
      <c r="AP709" s="13"/>
      <c r="AQ709" s="13"/>
      <c r="AR709" s="14"/>
      <c r="AS709" s="15"/>
    </row>
    <row r="710" spans="1:45" s="17" customFormat="1" ht="30.95" hidden="1" customHeight="1" x14ac:dyDescent="0.2">
      <c r="A710" s="37" t="s">
        <v>1214</v>
      </c>
      <c r="B710" s="38" t="s">
        <v>688</v>
      </c>
      <c r="C710" s="45"/>
      <c r="D710" s="31">
        <v>3716258</v>
      </c>
      <c r="E710" s="31">
        <v>4161982</v>
      </c>
      <c r="F710" s="268" t="str">
        <f>IF(D710="","",VLOOKUP(D710,契約台帳!$A$3:$K$4986,6,FALSE)&amp;VLOOKUP(D710,契約台帳!$A$3:$K$4986,7,FALSE)&amp;VLOOKUP(D710,契約台帳!$A$3:$K$4986,8,FALSE)&amp;VLOOKUP(D710,契約台帳!$A$3:$K$4986,9,FALSE)&amp;VLOOKUP(D710,契約台帳!$A$3:$K$4986,11,FALSE))</f>
        <v>3SNMLBMNGTBF</v>
      </c>
      <c r="G710" s="269" t="str">
        <f>IF(D710="","",VLOOKUP(F710,製品マスタ!$G$5:$H$5002,2,FALSE))</f>
        <v>S</v>
      </c>
      <c r="H710" s="269" t="str">
        <f>IF(D710="","",VLOOKUP(F710,製品マスタ!$G$5:$K$5002,5,FALSE))</f>
        <v>MNGTBF</v>
      </c>
      <c r="I710" s="270" t="str">
        <f>IF(D710="","",VLOOKUP(F710,製品マスタ!$G$5:$L$5002,6,FALSE))</f>
        <v>メタルミー　ネーマー　銀艶　Ｂ</v>
      </c>
      <c r="J710" s="210" t="s">
        <v>935</v>
      </c>
      <c r="K710" s="270">
        <f>IF(D710="","",VLOOKUP(D710,契約台帳!$A$3:$L$4986,12,FALSE))</f>
        <v>50</v>
      </c>
      <c r="L710" s="270" t="str">
        <f>IF(D710="","",INDEX(製品マスタ!$Q$5:$Q$5002,MATCH('S4'!F710&amp;'S4'!K710,製品マスタ!$AO$5:$AO$5002,0)))</f>
        <v>T62</v>
      </c>
      <c r="M710" s="39">
        <v>1120</v>
      </c>
      <c r="N710" s="39">
        <v>5000</v>
      </c>
      <c r="O710" s="156">
        <v>12</v>
      </c>
      <c r="P710" s="47">
        <v>2</v>
      </c>
      <c r="Q710" s="213">
        <v>45103</v>
      </c>
      <c r="R710" s="271">
        <f ca="1">IF(D710="","",IF(OFFSET(D710,-1,0)&lt;&gt;"","",IF(OR(J710="リード付け",J710="巻足し",J710="巻返しリード付け"),M710,VLOOKUP(D710,契約台帳!$A$3:$N$4986,14,FALSE))))</f>
        <v>1120</v>
      </c>
      <c r="S710" s="272">
        <f ca="1">IF(D710="","",IF(OFFSET(D710,-1,0)&lt;&gt;"","",IF(OR(J710="リード付け",J710="巻足し",J710="巻返しリード付け"),M710,VLOOKUP(D710,契約台帳!$A$3:$O$4986,15,FALSE))))</f>
        <v>1120</v>
      </c>
      <c r="T710" s="273">
        <f ca="1">IF(D710="","",IF(J710="リード付け",N710,IF(J710="巻返しリード付け",N710,IF(J710="巻足し",N710*P710+OFFSET(N710,1,0)*OFFSET(P710,1,0),VLOOKUP(D710,契約台帳!$A$3:$P$4986,16,FALSE)))))</f>
        <v>10000</v>
      </c>
      <c r="U710" s="40">
        <v>6</v>
      </c>
      <c r="V710" s="274" t="str">
        <f ca="1">IF(D710="","",IF(OFFSET(D710,-2,0)=D710,"",VLOOKUP(D710,契約台帳!$A$3:$R$4986,18,FALSE)))</f>
        <v/>
      </c>
      <c r="W710" s="269" t="str">
        <f ca="1">IF(D710="","",IF(T710="","",IF(OR(J710="巻足し",J710="巻返しリード付け"),"",IF(J710="巻返し",VLOOKUP(F710&amp;K710&amp;M710,製品マスタ!$M$5:$AD$5002,18,FALSE),IF(OR(J710="リード付け",J710="巻返しリード付け"),"原反コア",IF(J710="スリット",VLOOKUP(F710&amp;K710&amp;R710,製品マスタ!$N$5:$AD$5002,17,FALSE),""))))))</f>
        <v/>
      </c>
      <c r="X710" s="269" t="str">
        <f ca="1">IF(D710="","",IF(T710="","",IF(J710="巻足し","",IF(J710="巻返し",VLOOKUP(F710&amp;K710&amp;M710,製品マスタ!$M$5:$AE$5002,19,FALSE),IF(OR(J710="リード付け",J710="巻返しリード付け"),"",IF(J710="スリット",VLOOKUP(F710&amp;K710&amp;R710,製品マスタ!$N$5:$AE$5002,18,FALSE),""))))))</f>
        <v/>
      </c>
      <c r="Y710" s="275">
        <f ca="1">IF(D710="","",IF(T710="","",VLOOKUP(D710,契約台帳!$A$3:$Q$4986,17,FALSE)))</f>
        <v>2</v>
      </c>
      <c r="Z710" s="269" t="str">
        <f ca="1">IF(D710="","",IF(T710="","",VLOOKUP(D710,契約台帳!$A$3:$E$4986,5,FALSE)))</f>
        <v>リンテック㈱</v>
      </c>
      <c r="AA710" s="57"/>
      <c r="AB710" s="207" t="str">
        <f>IFERROR((VLOOKUP(F710&amp;K710&amp;M710,製品マスタ!$M$5:$AM$5002,27,FALSE)),"")</f>
        <v>原反ケース再利用</v>
      </c>
      <c r="AC710" s="33"/>
      <c r="AD710" s="189"/>
      <c r="AE710" s="54"/>
      <c r="AF710" s="55">
        <f>+M710*N710*O710/1000</f>
        <v>67200</v>
      </c>
      <c r="AG710" s="43"/>
      <c r="AH710" s="47"/>
      <c r="AI710" s="30"/>
      <c r="AJ710" s="30"/>
      <c r="AK710" s="30"/>
      <c r="AL710" s="30"/>
      <c r="AM710" s="13"/>
      <c r="AN710" s="13"/>
      <c r="AO710" s="13"/>
      <c r="AP710" s="13"/>
      <c r="AQ710" s="13"/>
      <c r="AR710" s="14"/>
      <c r="AS710" s="15"/>
    </row>
    <row r="711" spans="1:45" s="17" customFormat="1" ht="30.95" hidden="1" customHeight="1" x14ac:dyDescent="0.2">
      <c r="A711" s="37"/>
      <c r="B711" s="38"/>
      <c r="C711" s="45"/>
      <c r="D711" s="31"/>
      <c r="E711" s="31"/>
      <c r="F711" s="268"/>
      <c r="G711" s="269"/>
      <c r="H711" s="269"/>
      <c r="I711" s="270"/>
      <c r="J711" s="210"/>
      <c r="K711" s="270"/>
      <c r="L711" s="270"/>
      <c r="M711" s="39"/>
      <c r="N711" s="39"/>
      <c r="O711" s="156"/>
      <c r="P711" s="47"/>
      <c r="Q711" s="57"/>
      <c r="R711" s="271"/>
      <c r="S711" s="272"/>
      <c r="T711" s="273"/>
      <c r="U711" s="40"/>
      <c r="V711" s="274"/>
      <c r="W711" s="269"/>
      <c r="X711" s="269"/>
      <c r="Y711" s="275"/>
      <c r="Z711" s="269"/>
      <c r="AA711" s="57"/>
      <c r="AB711" s="207" t="str">
        <f>IFERROR((VLOOKUP(F711&amp;K711&amp;M711,製品マスタ!$M$5:$AM$5002,27,FALSE)),"")</f>
        <v/>
      </c>
      <c r="AC711" s="33"/>
      <c r="AD711" s="189"/>
      <c r="AE711" s="54"/>
      <c r="AF711" s="55"/>
      <c r="AG711" s="43"/>
      <c r="AH711" s="47"/>
      <c r="AI711" s="30"/>
      <c r="AJ711" s="30"/>
      <c r="AK711" s="30"/>
      <c r="AL711" s="30"/>
      <c r="AM711" s="13"/>
      <c r="AN711" s="13"/>
      <c r="AO711" s="13"/>
      <c r="AP711" s="13"/>
      <c r="AQ711" s="13"/>
      <c r="AR711" s="14"/>
      <c r="AS711" s="15"/>
    </row>
    <row r="712" spans="1:45" s="17" customFormat="1" ht="30.95" hidden="1" customHeight="1" x14ac:dyDescent="0.2">
      <c r="A712" s="37"/>
      <c r="B712" s="38"/>
      <c r="C712" s="45"/>
      <c r="D712" s="31">
        <v>3716259</v>
      </c>
      <c r="E712" s="31">
        <v>4161983</v>
      </c>
      <c r="F712" s="268" t="str">
        <f>IF(D712="","",VLOOKUP(D712,契約台帳!$A$3:$K$4986,6,FALSE)&amp;VLOOKUP(D712,契約台帳!$A$3:$K$4986,7,FALSE)&amp;VLOOKUP(D712,契約台帳!$A$3:$K$4986,8,FALSE)&amp;VLOOKUP(D712,契約台帳!$A$3:$K$4986,9,FALSE)&amp;VLOOKUP(D712,契約台帳!$A$3:$K$4986,11,FALSE))</f>
        <v>3SNMLBMNGTBF</v>
      </c>
      <c r="G712" s="269" t="str">
        <f>IF(D712="","",VLOOKUP(F712,製品マスタ!$G$5:$H$5002,2,FALSE))</f>
        <v>S</v>
      </c>
      <c r="H712" s="269" t="str">
        <f>IF(D712="","",VLOOKUP(F712,製品マスタ!$G$5:$K$5002,5,FALSE))</f>
        <v>MNGTBF</v>
      </c>
      <c r="I712" s="270" t="str">
        <f>IF(D712="","",VLOOKUP(F712,製品マスタ!$G$5:$L$5002,6,FALSE))</f>
        <v>メタルミー　ネーマー　銀艶　Ｂ</v>
      </c>
      <c r="J712" s="210" t="s">
        <v>935</v>
      </c>
      <c r="K712" s="270">
        <f>IF(D712="","",VLOOKUP(D712,契約台帳!$A$3:$L$4986,12,FALSE))</f>
        <v>50</v>
      </c>
      <c r="L712" s="270" t="str">
        <f>IF(D712="","",INDEX(製品マスタ!$Q$5:$Q$5002,MATCH('S4'!F712&amp;'S4'!K712,製品マスタ!$AO$5:$AO$5002,0)))</f>
        <v>T62</v>
      </c>
      <c r="M712" s="39">
        <v>1120</v>
      </c>
      <c r="N712" s="39">
        <v>5000</v>
      </c>
      <c r="O712" s="156">
        <v>12</v>
      </c>
      <c r="P712" s="47">
        <v>2</v>
      </c>
      <c r="Q712" s="213">
        <v>45104</v>
      </c>
      <c r="R712" s="271">
        <f ca="1">IF(D712="","",IF(OFFSET(D712,-1,0)&lt;&gt;"","",IF(OR(J712="リード付け",J712="巻足し",J712="巻返しリード付け"),M712,VLOOKUP(D712,契約台帳!$A$3:$N$4986,14,FALSE))))</f>
        <v>1120</v>
      </c>
      <c r="S712" s="272">
        <f ca="1">IF(D712="","",IF(OFFSET(D712,-1,0)&lt;&gt;"","",IF(OR(J712="リード付け",J712="巻足し",J712="巻返しリード付け"),M712,VLOOKUP(D712,契約台帳!$A$3:$O$4986,15,FALSE))))</f>
        <v>1120</v>
      </c>
      <c r="T712" s="273">
        <f ca="1">IF(D712="","",IF(J712="リード付け",N712,IF(J712="巻返しリード付け",N712,IF(J712="巻足し",N712*P712+OFFSET(N712,1,0)*OFFSET(P712,1,0),VLOOKUP(D712,契約台帳!$A$3:$P$4986,16,FALSE)))))</f>
        <v>10000</v>
      </c>
      <c r="U712" s="40">
        <v>6</v>
      </c>
      <c r="V712" s="274">
        <f ca="1">IF(D712="","",IF(OFFSET(D712,-2,0)=D712,"",VLOOKUP(D712,契約台帳!$A$3:$R$4986,18,FALSE)))</f>
        <v>13</v>
      </c>
      <c r="W712" s="269" t="str">
        <f ca="1">IF(D712="","",IF(T712="","",IF(OR(J712="巻足し",J712="巻返しリード付け"),"",IF(J712="巻返し",VLOOKUP(F712&amp;K712&amp;M712,製品マスタ!$M$5:$AD$5002,18,FALSE),IF(OR(J712="リード付け",J712="巻返しリード付け"),"原反コア",IF(J712="スリット",VLOOKUP(F712&amp;K712&amp;R712,製品マスタ!$N$5:$AD$5002,17,FALSE),""))))))</f>
        <v/>
      </c>
      <c r="X712" s="269" t="str">
        <f ca="1">IF(D712="","",IF(T712="","",IF(J712="巻足し","",IF(J712="巻返し",VLOOKUP(F712&amp;K712&amp;M712,製品マスタ!$M$5:$AE$5002,19,FALSE),IF(OR(J712="リード付け",J712="巻返しリード付け"),"",IF(J712="スリット",VLOOKUP(F712&amp;K712&amp;R712,製品マスタ!$N$5:$AE$5002,18,FALSE),""))))))</f>
        <v/>
      </c>
      <c r="Y712" s="275">
        <f ca="1">IF(D712="","",IF(T712="","",VLOOKUP(D712,契約台帳!$A$3:$Q$4986,17,FALSE)))</f>
        <v>2</v>
      </c>
      <c r="Z712" s="269" t="str">
        <f ca="1">IF(D712="","",IF(T712="","",VLOOKUP(D712,契約台帳!$A$3:$E$4986,5,FALSE)))</f>
        <v>リンテック㈱</v>
      </c>
      <c r="AA712" s="57"/>
      <c r="AB712" s="207" t="str">
        <f>IFERROR((VLOOKUP(F712&amp;K712&amp;M712,製品マスタ!$M$5:$AM$5002,27,FALSE)),"")</f>
        <v>原反ケース再利用</v>
      </c>
      <c r="AC712" s="33"/>
      <c r="AD712" s="189"/>
      <c r="AE712" s="54"/>
      <c r="AF712" s="55">
        <f>+M712*N712*O712/1000</f>
        <v>67200</v>
      </c>
      <c r="AG712" s="43"/>
      <c r="AH712" s="47"/>
      <c r="AI712" s="30"/>
      <c r="AJ712" s="30"/>
      <c r="AK712" s="30"/>
      <c r="AL712" s="30"/>
      <c r="AM712" s="13"/>
      <c r="AN712" s="13"/>
      <c r="AO712" s="13"/>
      <c r="AP712" s="13"/>
      <c r="AQ712" s="13"/>
      <c r="AR712" s="14"/>
      <c r="AS712" s="15"/>
    </row>
    <row r="713" spans="1:45" s="17" customFormat="1" ht="30.95" hidden="1" customHeight="1" x14ac:dyDescent="0.2">
      <c r="A713" s="37"/>
      <c r="B713" s="38"/>
      <c r="C713" s="45"/>
      <c r="D713" s="31"/>
      <c r="E713" s="31"/>
      <c r="F713" s="268"/>
      <c r="G713" s="269"/>
      <c r="H713" s="269"/>
      <c r="I713" s="270"/>
      <c r="J713" s="210"/>
      <c r="K713" s="270"/>
      <c r="L713" s="270"/>
      <c r="M713" s="39"/>
      <c r="N713" s="39"/>
      <c r="O713" s="156"/>
      <c r="P713" s="47"/>
      <c r="Q713" s="57"/>
      <c r="R713" s="271"/>
      <c r="S713" s="272"/>
      <c r="T713" s="273"/>
      <c r="U713" s="40"/>
      <c r="V713" s="274"/>
      <c r="W713" s="269"/>
      <c r="X713" s="269"/>
      <c r="Y713" s="275"/>
      <c r="Z713" s="269"/>
      <c r="AA713" s="57"/>
      <c r="AB713" s="207" t="str">
        <f>IFERROR((VLOOKUP(F713&amp;K713&amp;M713,製品マスタ!$M$5:$AM$5002,27,FALSE)),"")</f>
        <v/>
      </c>
      <c r="AC713" s="33"/>
      <c r="AD713" s="189"/>
      <c r="AE713" s="54"/>
      <c r="AF713" s="55"/>
      <c r="AG713" s="43"/>
      <c r="AH713" s="47"/>
      <c r="AI713" s="30"/>
      <c r="AJ713" s="30"/>
      <c r="AK713" s="30"/>
      <c r="AL713" s="30"/>
      <c r="AM713" s="13"/>
      <c r="AN713" s="13"/>
      <c r="AO713" s="13"/>
      <c r="AP713" s="13"/>
      <c r="AQ713" s="13"/>
      <c r="AR713" s="14"/>
      <c r="AS713" s="15"/>
    </row>
    <row r="714" spans="1:45" s="17" customFormat="1" ht="30.95" hidden="1" customHeight="1" x14ac:dyDescent="0.2">
      <c r="A714" s="37" t="s">
        <v>1215</v>
      </c>
      <c r="B714" s="38" t="s">
        <v>442</v>
      </c>
      <c r="C714" s="45"/>
      <c r="D714" s="31">
        <v>3716259</v>
      </c>
      <c r="E714" s="31">
        <v>4161983</v>
      </c>
      <c r="F714" s="268" t="str">
        <f>IF(D714="","",VLOOKUP(D714,契約台帳!$A$3:$K$4986,6,FALSE)&amp;VLOOKUP(D714,契約台帳!$A$3:$K$4986,7,FALSE)&amp;VLOOKUP(D714,契約台帳!$A$3:$K$4986,8,FALSE)&amp;VLOOKUP(D714,契約台帳!$A$3:$K$4986,9,FALSE)&amp;VLOOKUP(D714,契約台帳!$A$3:$K$4986,11,FALSE))</f>
        <v>3SNMLBMNGTBF</v>
      </c>
      <c r="G714" s="269" t="str">
        <f>IF(D714="","",VLOOKUP(F714,製品マスタ!$G$5:$H$5002,2,FALSE))</f>
        <v>S</v>
      </c>
      <c r="H714" s="269" t="str">
        <f>IF(D714="","",VLOOKUP(F714,製品マスタ!$G$5:$K$5002,5,FALSE))</f>
        <v>MNGTBF</v>
      </c>
      <c r="I714" s="270" t="str">
        <f>IF(D714="","",VLOOKUP(F714,製品マスタ!$G$5:$L$5002,6,FALSE))</f>
        <v>メタルミー　ネーマー　銀艶　Ｂ</v>
      </c>
      <c r="J714" s="210" t="s">
        <v>935</v>
      </c>
      <c r="K714" s="270">
        <f>IF(D714="","",VLOOKUP(D714,契約台帳!$A$3:$L$4986,12,FALSE))</f>
        <v>50</v>
      </c>
      <c r="L714" s="270" t="str">
        <f>IF(D714="","",INDEX(製品マスタ!$Q$5:$Q$5002,MATCH('S4'!F714&amp;'S4'!K714,製品マスタ!$AO$5:$AO$5002,0)))</f>
        <v>T62</v>
      </c>
      <c r="M714" s="39">
        <v>1120</v>
      </c>
      <c r="N714" s="39">
        <v>5000</v>
      </c>
      <c r="O714" s="156">
        <v>1</v>
      </c>
      <c r="P714" s="47">
        <v>2</v>
      </c>
      <c r="Q714" s="213">
        <v>45104</v>
      </c>
      <c r="R714" s="271">
        <f ca="1">IF(D714="","",IF(OFFSET(D714,-1,0)&lt;&gt;"","",IF(OR(J714="リード付け",J714="巻足し",J714="巻返しリード付け"),M714,VLOOKUP(D714,契約台帳!$A$3:$N$4986,14,FALSE))))</f>
        <v>1120</v>
      </c>
      <c r="S714" s="272">
        <f ca="1">IF(D714="","",IF(OFFSET(D714,-1,0)&lt;&gt;"","",IF(OR(J714="リード付け",J714="巻足し",J714="巻返しリード付け"),M714,VLOOKUP(D714,契約台帳!$A$3:$O$4986,15,FALSE))))</f>
        <v>1120</v>
      </c>
      <c r="T714" s="273">
        <f ca="1">IF(D714="","",IF(J714="リード付け",N714,IF(J714="巻返しリード付け",N714,IF(J714="巻足し",N714*P714+OFFSET(N714,1,0)*OFFSET(P714,1,0),VLOOKUP(D714,契約台帳!$A$3:$P$4986,16,FALSE)))))</f>
        <v>10000</v>
      </c>
      <c r="U714" s="40">
        <v>1</v>
      </c>
      <c r="V714" s="274" t="str">
        <f ca="1">IF(D714="","",IF(OFFSET(D714,-2,0)=D714,"",VLOOKUP(D714,契約台帳!$A$3:$R$4986,18,FALSE)))</f>
        <v/>
      </c>
      <c r="W714" s="269" t="str">
        <f ca="1">IF(D714="","",IF(T714="","",IF(OR(J714="巻足し",J714="巻返しリード付け"),"",IF(J714="巻返し",VLOOKUP(F714&amp;K714&amp;M714,製品マスタ!$M$5:$AD$5002,18,FALSE),IF(OR(J714="リード付け",J714="巻返しリード付け"),"原反コア",IF(J714="スリット",VLOOKUP(F714&amp;K714&amp;R714,製品マスタ!$N$5:$AD$5002,17,FALSE),""))))))</f>
        <v/>
      </c>
      <c r="X714" s="269" t="str">
        <f ca="1">IF(D714="","",IF(T714="","",IF(J714="巻足し","",IF(J714="巻返し",VLOOKUP(F714&amp;K714&amp;M714,製品マスタ!$M$5:$AE$5002,19,FALSE),IF(OR(J714="リード付け",J714="巻返しリード付け"),"",IF(J714="スリット",VLOOKUP(F714&amp;K714&amp;R714,製品マスタ!$N$5:$AE$5002,18,FALSE),""))))))</f>
        <v/>
      </c>
      <c r="Y714" s="275">
        <f ca="1">IF(D714="","",IF(T714="","",VLOOKUP(D714,契約台帳!$A$3:$Q$4986,17,FALSE)))</f>
        <v>2</v>
      </c>
      <c r="Z714" s="269" t="str">
        <f ca="1">IF(D714="","",IF(T714="","",VLOOKUP(D714,契約台帳!$A$3:$E$4986,5,FALSE)))</f>
        <v>リンテック㈱</v>
      </c>
      <c r="AA714" s="57"/>
      <c r="AB714" s="207" t="str">
        <f>IFERROR((VLOOKUP(F714&amp;K714&amp;M714,製品マスタ!$M$5:$AM$5002,27,FALSE)),"")</f>
        <v>原反ケース再利用</v>
      </c>
      <c r="AC714" s="33"/>
      <c r="AD714" s="189"/>
      <c r="AE714" s="54"/>
      <c r="AF714" s="55">
        <f>+M714*N714*O714/1000</f>
        <v>5600</v>
      </c>
      <c r="AG714" s="43"/>
      <c r="AH714" s="47"/>
      <c r="AI714" s="30"/>
      <c r="AJ714" s="30"/>
      <c r="AK714" s="30"/>
      <c r="AL714" s="30"/>
      <c r="AM714" s="13"/>
      <c r="AN714" s="13"/>
      <c r="AO714" s="13"/>
      <c r="AP714" s="13"/>
      <c r="AQ714" s="13"/>
      <c r="AR714" s="14"/>
      <c r="AS714" s="15"/>
    </row>
    <row r="715" spans="1:45" s="17" customFormat="1" ht="30.95" hidden="1" customHeight="1" x14ac:dyDescent="0.2">
      <c r="A715" s="37"/>
      <c r="B715" s="38"/>
      <c r="C715" s="45"/>
      <c r="D715" s="31">
        <v>3716260</v>
      </c>
      <c r="E715" s="31"/>
      <c r="F715" s="268" t="str">
        <f>IF(D715="","",VLOOKUP(D715,契約台帳!$A$3:$K$4986,6,FALSE)&amp;VLOOKUP(D715,契約台帳!$A$3:$K$4986,7,FALSE)&amp;VLOOKUP(D715,契約台帳!$A$3:$K$4986,8,FALSE)&amp;VLOOKUP(D715,契約台帳!$A$3:$K$4986,9,FALSE)&amp;VLOOKUP(D715,契約台帳!$A$3:$K$4986,11,FALSE))</f>
        <v>3SNMLBMNGTBF</v>
      </c>
      <c r="G715" s="269" t="str">
        <f>IF(D715="","",VLOOKUP(F715,製品マスタ!$G$5:$H$5002,2,FALSE))</f>
        <v>S</v>
      </c>
      <c r="H715" s="269" t="str">
        <f>IF(D715="","",VLOOKUP(F715,製品マスタ!$G$5:$K$5002,5,FALSE))</f>
        <v>MNGTBF</v>
      </c>
      <c r="I715" s="270" t="str">
        <f>IF(D715="","",VLOOKUP(F715,製品マスタ!$G$5:$L$5002,6,FALSE))</f>
        <v>メタルミー　ネーマー　銀艶　Ｂ</v>
      </c>
      <c r="J715" s="210" t="s">
        <v>935</v>
      </c>
      <c r="K715" s="270">
        <f>IF(D715="","",VLOOKUP(D715,契約台帳!$A$3:$L$4986,12,FALSE))</f>
        <v>50</v>
      </c>
      <c r="L715" s="270" t="str">
        <f>IF(D715="","",INDEX(製品マスタ!$Q$5:$Q$5002,MATCH('S4'!F715&amp;'S4'!K715,製品マスタ!$AO$5:$AO$5002,0)))</f>
        <v>T62</v>
      </c>
      <c r="M715" s="39">
        <v>1120</v>
      </c>
      <c r="N715" s="39">
        <v>5000</v>
      </c>
      <c r="O715" s="156">
        <v>1</v>
      </c>
      <c r="P715" s="47"/>
      <c r="Q715" s="213">
        <v>45104</v>
      </c>
      <c r="R715" s="271" t="str">
        <f ca="1">IF(D715="","",IF(OFFSET(D715,-1,0)&lt;&gt;"","",IF(OR(J715="リード付け",J715="巻足し",J715="巻返しリード付け"),M715,VLOOKUP(D715,契約台帳!$A$3:$N$4986,14,FALSE))))</f>
        <v/>
      </c>
      <c r="S715" s="272" t="str">
        <f ca="1">IF(D715="","",IF(OFFSET(D715,-1,0)&lt;&gt;"","",IF(OR(J715="リード付け",J715="巻足し",J715="巻返しリード付け"),M715,VLOOKUP(D715,契約台帳!$A$3:$O$4986,15,FALSE))))</f>
        <v/>
      </c>
      <c r="T715" s="273">
        <f ca="1">IF(D715="","",IF(J715="リード付け",N715,IF(J715="巻返しリード付け",N715,IF(J715="巻足し",N715*P715+OFFSET(N715,1,0)*OFFSET(P715,1,0),VLOOKUP(D715,契約台帳!$A$3:$P$4986,16,FALSE)))))</f>
        <v>0</v>
      </c>
      <c r="U715" s="40"/>
      <c r="V715" s="274">
        <f ca="1">IF(D715="","",IF(OFFSET(D715,-2,0)=D715,"",VLOOKUP(D715,契約台帳!$A$3:$R$4986,18,FALSE)))</f>
        <v>13</v>
      </c>
      <c r="W715" s="269" t="str">
        <f ca="1">IF(D715="","",IF(T715="","",IF(OR(J715="巻足し",J715="巻返しリード付け"),"",IF(J715="巻返し",VLOOKUP(F715&amp;K715&amp;M715,製品マスタ!$M$5:$AD$5002,18,FALSE),IF(OR(J715="リード付け",J715="巻返しリード付け"),"原反コア",IF(J715="スリット",VLOOKUP(F715&amp;K715&amp;R715,製品マスタ!$N$5:$AD$5002,17,FALSE),""))))))</f>
        <v/>
      </c>
      <c r="X715" s="269" t="str">
        <f ca="1">IF(D715="","",IF(T715="","",IF(J715="巻足し","",IF(J715="巻返し",VLOOKUP(F715&amp;K715&amp;M715,製品マスタ!$M$5:$AE$5002,19,FALSE),IF(OR(J715="リード付け",J715="巻返しリード付け"),"",IF(J715="スリット",VLOOKUP(F715&amp;K715&amp;R715,製品マスタ!$N$5:$AE$5002,18,FALSE),""))))))</f>
        <v/>
      </c>
      <c r="Y715" s="275">
        <f ca="1">IF(D715="","",IF(T715="","",VLOOKUP(D715,契約台帳!$A$3:$Q$4986,17,FALSE)))</f>
        <v>2</v>
      </c>
      <c r="Z715" s="269" t="str">
        <f ca="1">IF(D715="","",IF(T715="","",VLOOKUP(D715,契約台帳!$A$3:$E$4986,5,FALSE)))</f>
        <v>リンテック㈱</v>
      </c>
      <c r="AA715" s="57"/>
      <c r="AB715" s="207" t="str">
        <f>IFERROR((VLOOKUP(F715&amp;K715&amp;M715,製品マスタ!$M$5:$AM$5002,27,FALSE)),"")</f>
        <v>原反ケース再利用</v>
      </c>
      <c r="AC715" s="33"/>
      <c r="AD715" s="189"/>
      <c r="AE715" s="54"/>
      <c r="AF715" s="55">
        <f>+M715*N715*O715/1000</f>
        <v>5600</v>
      </c>
      <c r="AG715" s="43"/>
      <c r="AH715" s="47"/>
      <c r="AI715" s="30"/>
      <c r="AJ715" s="30"/>
      <c r="AK715" s="30"/>
      <c r="AL715" s="30"/>
      <c r="AM715" s="13"/>
      <c r="AN715" s="13"/>
      <c r="AO715" s="13"/>
      <c r="AP715" s="13"/>
      <c r="AQ715" s="13"/>
      <c r="AR715" s="14"/>
      <c r="AS715" s="15"/>
    </row>
    <row r="716" spans="1:45" s="17" customFormat="1" ht="30.95" hidden="1" customHeight="1" x14ac:dyDescent="0.2">
      <c r="A716" s="37"/>
      <c r="B716" s="38"/>
      <c r="C716" s="45"/>
      <c r="D716" s="31"/>
      <c r="E716" s="31"/>
      <c r="F716" s="268"/>
      <c r="G716" s="269"/>
      <c r="H716" s="269"/>
      <c r="I716" s="270"/>
      <c r="J716" s="210"/>
      <c r="K716" s="270"/>
      <c r="L716" s="270"/>
      <c r="M716" s="39"/>
      <c r="N716" s="39"/>
      <c r="O716" s="156"/>
      <c r="P716" s="47"/>
      <c r="Q716" s="57"/>
      <c r="R716" s="271"/>
      <c r="S716" s="272"/>
      <c r="T716" s="273"/>
      <c r="U716" s="40"/>
      <c r="V716" s="274"/>
      <c r="W716" s="269"/>
      <c r="X716" s="269"/>
      <c r="Y716" s="275"/>
      <c r="Z716" s="269"/>
      <c r="AA716" s="57"/>
      <c r="AB716" s="207" t="str">
        <f>IFERROR((VLOOKUP(F716&amp;K716&amp;M716,製品マスタ!$M$5:$AM$5002,27,FALSE)),"")</f>
        <v/>
      </c>
      <c r="AC716" s="33"/>
      <c r="AD716" s="189"/>
      <c r="AE716" s="54"/>
      <c r="AF716" s="55"/>
      <c r="AG716" s="43"/>
      <c r="AH716" s="47"/>
      <c r="AI716" s="30"/>
      <c r="AJ716" s="30"/>
      <c r="AK716" s="30"/>
      <c r="AL716" s="30"/>
      <c r="AM716" s="13"/>
      <c r="AN716" s="13"/>
      <c r="AO716" s="13"/>
      <c r="AP716" s="13"/>
      <c r="AQ716" s="13"/>
      <c r="AR716" s="14"/>
      <c r="AS716" s="15"/>
    </row>
    <row r="717" spans="1:45" s="17" customFormat="1" ht="30.95" hidden="1" customHeight="1" x14ac:dyDescent="0.2">
      <c r="A717" s="37"/>
      <c r="B717" s="38"/>
      <c r="C717" s="45"/>
      <c r="D717" s="31">
        <v>3716260</v>
      </c>
      <c r="E717" s="31">
        <v>4161984</v>
      </c>
      <c r="F717" s="268" t="str">
        <f>IF(D717="","",VLOOKUP(D717,契約台帳!$A$3:$K$4986,6,FALSE)&amp;VLOOKUP(D717,契約台帳!$A$3:$K$4986,7,FALSE)&amp;VLOOKUP(D717,契約台帳!$A$3:$K$4986,8,FALSE)&amp;VLOOKUP(D717,契約台帳!$A$3:$K$4986,9,FALSE)&amp;VLOOKUP(D717,契約台帳!$A$3:$K$4986,11,FALSE))</f>
        <v>3SNMLBMNGTBF</v>
      </c>
      <c r="G717" s="269" t="str">
        <f>IF(D717="","",VLOOKUP(F717,製品マスタ!$G$5:$H$5002,2,FALSE))</f>
        <v>S</v>
      </c>
      <c r="H717" s="269" t="str">
        <f>IF(D717="","",VLOOKUP(F717,製品マスタ!$G$5:$K$5002,5,FALSE))</f>
        <v>MNGTBF</v>
      </c>
      <c r="I717" s="270" t="str">
        <f>IF(D717="","",VLOOKUP(F717,製品マスタ!$G$5:$L$5002,6,FALSE))</f>
        <v>メタルミー　ネーマー　銀艶　Ｂ</v>
      </c>
      <c r="J717" s="210" t="s">
        <v>935</v>
      </c>
      <c r="K717" s="270">
        <f>IF(D717="","",VLOOKUP(D717,契約台帳!$A$3:$L$4986,12,FALSE))</f>
        <v>50</v>
      </c>
      <c r="L717" s="270" t="str">
        <f>IF(D717="","",INDEX(製品マスタ!$Q$5:$Q$5002,MATCH('S4'!F717&amp;'S4'!K717,製品マスタ!$AO$5:$AO$5002,0)))</f>
        <v>T62</v>
      </c>
      <c r="M717" s="39">
        <v>1120</v>
      </c>
      <c r="N717" s="39">
        <v>5000</v>
      </c>
      <c r="O717" s="156">
        <v>12</v>
      </c>
      <c r="P717" s="47">
        <v>2</v>
      </c>
      <c r="Q717" s="213">
        <v>45104</v>
      </c>
      <c r="R717" s="271">
        <f ca="1">IF(D717="","",IF(OFFSET(D717,-1,0)&lt;&gt;"","",IF(OR(J717="リード付け",J717="巻足し",J717="巻返しリード付け"),M717,VLOOKUP(D717,契約台帳!$A$3:$N$4986,14,FALSE))))</f>
        <v>1120</v>
      </c>
      <c r="S717" s="272">
        <f ca="1">IF(D717="","",IF(OFFSET(D717,-1,0)&lt;&gt;"","",IF(OR(J717="リード付け",J717="巻足し",J717="巻返しリード付け"),M717,VLOOKUP(D717,契約台帳!$A$3:$O$4986,15,FALSE))))</f>
        <v>1120</v>
      </c>
      <c r="T717" s="273">
        <f ca="1">IF(D717="","",IF(J717="リード付け",N717,IF(J717="巻返しリード付け",N717,IF(J717="巻足し",N717*P717+OFFSET(N717,1,0)*OFFSET(P717,1,0),VLOOKUP(D717,契約台帳!$A$3:$P$4986,16,FALSE)))))</f>
        <v>10000</v>
      </c>
      <c r="U717" s="40">
        <v>6</v>
      </c>
      <c r="V717" s="274" t="str">
        <f ca="1">IF(D717="","",IF(OFFSET(D717,-2,0)=D717,"",VLOOKUP(D717,契約台帳!$A$3:$R$4986,18,FALSE)))</f>
        <v/>
      </c>
      <c r="W717" s="269" t="str">
        <f ca="1">IF(D717="","",IF(T717="","",IF(OR(J717="巻足し",J717="巻返しリード付け"),"",IF(J717="巻返し",VLOOKUP(F717&amp;K717&amp;M717,製品マスタ!$M$5:$AD$5002,18,FALSE),IF(OR(J717="リード付け",J717="巻返しリード付け"),"原反コア",IF(J717="スリット",VLOOKUP(F717&amp;K717&amp;R717,製品マスタ!$N$5:$AD$5002,17,FALSE),""))))))</f>
        <v/>
      </c>
      <c r="X717" s="269" t="str">
        <f ca="1">IF(D717="","",IF(T717="","",IF(J717="巻足し","",IF(J717="巻返し",VLOOKUP(F717&amp;K717&amp;M717,製品マスタ!$M$5:$AE$5002,19,FALSE),IF(OR(J717="リード付け",J717="巻返しリード付け"),"",IF(J717="スリット",VLOOKUP(F717&amp;K717&amp;R717,製品マスタ!$N$5:$AE$5002,18,FALSE),""))))))</f>
        <v/>
      </c>
      <c r="Y717" s="275">
        <f ca="1">IF(D717="","",IF(T717="","",VLOOKUP(D717,契約台帳!$A$3:$Q$4986,17,FALSE)))</f>
        <v>2</v>
      </c>
      <c r="Z717" s="269" t="str">
        <f ca="1">IF(D717="","",IF(T717="","",VLOOKUP(D717,契約台帳!$A$3:$E$4986,5,FALSE)))</f>
        <v>リンテック㈱</v>
      </c>
      <c r="AA717" s="57"/>
      <c r="AB717" s="207" t="str">
        <f>IFERROR((VLOOKUP(F717&amp;K717&amp;M717,製品マスタ!$M$5:$AM$5002,27,FALSE)),"")</f>
        <v>原反ケース再利用</v>
      </c>
      <c r="AC717" s="33"/>
      <c r="AD717" s="189"/>
      <c r="AE717" s="54"/>
      <c r="AF717" s="55">
        <f>+M717*N717*O717/1000</f>
        <v>67200</v>
      </c>
      <c r="AG717" s="43"/>
      <c r="AH717" s="47"/>
      <c r="AI717" s="30"/>
      <c r="AJ717" s="30"/>
      <c r="AK717" s="30"/>
      <c r="AL717" s="30"/>
      <c r="AM717" s="13"/>
      <c r="AN717" s="13"/>
      <c r="AO717" s="13"/>
      <c r="AP717" s="13"/>
      <c r="AQ717" s="13"/>
      <c r="AR717" s="14"/>
      <c r="AS717" s="15"/>
    </row>
    <row r="718" spans="1:45" s="17" customFormat="1" ht="30.95" hidden="1" customHeight="1" x14ac:dyDescent="0.2">
      <c r="A718" s="37"/>
      <c r="B718" s="38"/>
      <c r="C718" s="45"/>
      <c r="D718" s="31"/>
      <c r="E718" s="31"/>
      <c r="F718" s="268"/>
      <c r="G718" s="269"/>
      <c r="H718" s="269"/>
      <c r="I718" s="270"/>
      <c r="J718" s="210"/>
      <c r="K718" s="270"/>
      <c r="L718" s="270"/>
      <c r="M718" s="39"/>
      <c r="N718" s="39"/>
      <c r="O718" s="156"/>
      <c r="P718" s="47"/>
      <c r="Q718" s="57"/>
      <c r="R718" s="271"/>
      <c r="S718" s="272"/>
      <c r="T718" s="273"/>
      <c r="U718" s="40"/>
      <c r="V718" s="274"/>
      <c r="W718" s="269"/>
      <c r="X718" s="269"/>
      <c r="Y718" s="275"/>
      <c r="Z718" s="269"/>
      <c r="AA718" s="57"/>
      <c r="AB718" s="207" t="str">
        <f>IFERROR((VLOOKUP(F718&amp;K718&amp;M718,製品マスタ!$M$5:$AM$5002,27,FALSE)),"")</f>
        <v/>
      </c>
      <c r="AC718" s="33"/>
      <c r="AD718" s="189"/>
      <c r="AE718" s="54"/>
      <c r="AF718" s="55"/>
      <c r="AG718" s="43"/>
      <c r="AH718" s="47"/>
      <c r="AI718" s="30"/>
      <c r="AJ718" s="30"/>
      <c r="AK718" s="30"/>
      <c r="AL718" s="30"/>
      <c r="AM718" s="13"/>
      <c r="AN718" s="13"/>
      <c r="AO718" s="13"/>
      <c r="AP718" s="13"/>
      <c r="AQ718" s="13"/>
      <c r="AR718" s="14"/>
      <c r="AS718" s="15"/>
    </row>
    <row r="719" spans="1:45" s="17" customFormat="1" ht="30.95" hidden="1" customHeight="1" x14ac:dyDescent="0.2">
      <c r="A719" s="37" t="s">
        <v>1216</v>
      </c>
      <c r="B719" s="38" t="s">
        <v>443</v>
      </c>
      <c r="C719" s="45"/>
      <c r="D719" s="31">
        <v>3716247</v>
      </c>
      <c r="E719" s="31">
        <v>4161950</v>
      </c>
      <c r="F719" s="268" t="str">
        <f>IF(D719="","",VLOOKUP(D719,契約台帳!$A$3:$K$4986,6,FALSE)&amp;VLOOKUP(D719,契約台帳!$A$3:$K$4986,7,FALSE)&amp;VLOOKUP(D719,契約台帳!$A$3:$K$4986,8,FALSE)&amp;VLOOKUP(D719,契約台帳!$A$3:$K$4986,9,FALSE)&amp;VLOOKUP(D719,契約台帳!$A$3:$K$4986,11,FALSE))</f>
        <v>3SNMLBMNGKKBF</v>
      </c>
      <c r="G719" s="269" t="str">
        <f>IF(D719="","",VLOOKUP(F719,製品マスタ!$G$5:$H$5002,2,FALSE))</f>
        <v>S</v>
      </c>
      <c r="H719" s="269" t="str">
        <f>IF(D719="","",VLOOKUP(F719,製品マスタ!$G$5:$K$5002,5,FALSE))</f>
        <v>MNGKKBF</v>
      </c>
      <c r="I719" s="270" t="str">
        <f>IF(D719="","",VLOOKUP(F719,製品マスタ!$G$5:$L$5002,6,FALSE))</f>
        <v>メタルミー　ネーマー銀消改　Ｂ</v>
      </c>
      <c r="J719" s="210" t="s">
        <v>935</v>
      </c>
      <c r="K719" s="270">
        <f>IF(D719="","",VLOOKUP(D719,契約台帳!$A$3:$L$4986,12,FALSE))</f>
        <v>50</v>
      </c>
      <c r="L719" s="270" t="str">
        <f>IF(D719="","",INDEX(製品マスタ!$Q$5:$Q$5002,MATCH('S4'!F719&amp;'S4'!K719,製品マスタ!$AO$5:$AO$5002,0)))</f>
        <v>S99-MAT</v>
      </c>
      <c r="M719" s="39">
        <v>1120</v>
      </c>
      <c r="N719" s="39">
        <v>4000</v>
      </c>
      <c r="O719" s="156">
        <v>18</v>
      </c>
      <c r="P719" s="47">
        <v>3</v>
      </c>
      <c r="Q719" s="213">
        <v>45104</v>
      </c>
      <c r="R719" s="271">
        <f ca="1">IF(D719="","",IF(OFFSET(D719,-1,0)&lt;&gt;"","",IF(OR(J719="リード付け",J719="巻足し",J719="巻返しリード付け"),M719,VLOOKUP(D719,契約台帳!$A$3:$N$4986,14,FALSE))))</f>
        <v>1120</v>
      </c>
      <c r="S719" s="272">
        <f ca="1">IF(D719="","",IF(OFFSET(D719,-1,0)&lt;&gt;"","",IF(OR(J719="リード付け",J719="巻足し",J719="巻返しリード付け"),M719,VLOOKUP(D719,契約台帳!$A$3:$O$4986,15,FALSE))))</f>
        <v>1120</v>
      </c>
      <c r="T719" s="273">
        <f ca="1">IF(D719="","",IF(J719="リード付け",N719,IF(J719="巻返しリード付け",N719,IF(J719="巻足し",N719*P719+OFFSET(N719,1,0)*OFFSET(P719,1,0),VLOOKUP(D719,契約台帳!$A$3:$P$4986,16,FALSE)))))</f>
        <v>12000</v>
      </c>
      <c r="U719" s="40">
        <v>6</v>
      </c>
      <c r="V719" s="274">
        <f ca="1">IF(D719="","",IF(OFFSET(D719,-2,0)=D719,"",VLOOKUP(D719,契約台帳!$A$3:$R$4986,18,FALSE)))</f>
        <v>20</v>
      </c>
      <c r="W719" s="269" t="str">
        <f ca="1">IF(D719="","",IF(T719="","",IF(OR(J719="巻足し",J719="巻返しリード付け"),"",IF(J719="巻返し",VLOOKUP(F719&amp;K719&amp;M719,製品マスタ!$M$5:$AD$5002,18,FALSE),IF(OR(J719="リード付け",J719="巻返しリード付け"),"原反コア",IF(J719="スリット",VLOOKUP(F719&amp;K719&amp;R719,製品マスタ!$N$5:$AD$5002,17,FALSE),""))))))</f>
        <v/>
      </c>
      <c r="X719" s="269" t="str">
        <f ca="1">IF(D719="","",IF(T719="","",IF(J719="巻足し","",IF(J719="巻返し",VLOOKUP(F719&amp;K719&amp;M719,製品マスタ!$M$5:$AE$5002,19,FALSE),IF(OR(J719="リード付け",J719="巻返しリード付け"),"",IF(J719="スリット",VLOOKUP(F719&amp;K719&amp;R719,製品マスタ!$N$5:$AE$5002,18,FALSE),""))))))</f>
        <v/>
      </c>
      <c r="Y719" s="275">
        <f ca="1">IF(D719="","",IF(T719="","",VLOOKUP(D719,契約台帳!$A$3:$Q$4986,17,FALSE)))</f>
        <v>2</v>
      </c>
      <c r="Z719" s="269" t="str">
        <f ca="1">IF(D719="","",IF(T719="","",VLOOKUP(D719,契約台帳!$A$3:$E$4986,5,FALSE)))</f>
        <v>リンテック㈱</v>
      </c>
      <c r="AA719" s="57"/>
      <c r="AB719" s="207">
        <f>IFERROR((VLOOKUP(F719&amp;K719&amp;M719,製品マスタ!$M$5:$AM$5002,27,FALSE)),"")</f>
        <v>0</v>
      </c>
      <c r="AC719" s="33"/>
      <c r="AD719" s="189"/>
      <c r="AE719" s="54"/>
      <c r="AF719" s="55">
        <f>+M719*N719*O719/1000</f>
        <v>80640</v>
      </c>
      <c r="AG719" s="43"/>
      <c r="AH719" s="47"/>
      <c r="AI719" s="30"/>
      <c r="AJ719" s="30"/>
      <c r="AK719" s="30"/>
      <c r="AL719" s="30"/>
      <c r="AM719" s="13"/>
      <c r="AN719" s="13"/>
      <c r="AO719" s="13"/>
      <c r="AP719" s="13"/>
      <c r="AQ719" s="13"/>
      <c r="AR719" s="14"/>
      <c r="AS719" s="15"/>
    </row>
    <row r="720" spans="1:45" s="17" customFormat="1" ht="30.95" hidden="1" customHeight="1" x14ac:dyDescent="0.2">
      <c r="A720" s="37"/>
      <c r="B720" s="38"/>
      <c r="C720" s="45"/>
      <c r="D720" s="31"/>
      <c r="E720" s="31"/>
      <c r="F720" s="268"/>
      <c r="G720" s="269"/>
      <c r="H720" s="269"/>
      <c r="I720" s="270"/>
      <c r="J720" s="210"/>
      <c r="K720" s="270"/>
      <c r="L720" s="270"/>
      <c r="M720" s="39"/>
      <c r="N720" s="39"/>
      <c r="O720" s="156"/>
      <c r="P720" s="47"/>
      <c r="Q720" s="57"/>
      <c r="R720" s="271"/>
      <c r="S720" s="272"/>
      <c r="T720" s="273"/>
      <c r="U720" s="40"/>
      <c r="V720" s="274"/>
      <c r="W720" s="269"/>
      <c r="X720" s="269"/>
      <c r="Y720" s="275"/>
      <c r="Z720" s="269"/>
      <c r="AA720" s="57"/>
      <c r="AB720" s="207"/>
      <c r="AC720" s="33"/>
      <c r="AD720" s="189"/>
      <c r="AE720" s="54"/>
      <c r="AF720" s="55"/>
      <c r="AG720" s="43"/>
      <c r="AH720" s="47"/>
      <c r="AI720" s="30"/>
      <c r="AJ720" s="30"/>
      <c r="AK720" s="30"/>
      <c r="AL720" s="30"/>
      <c r="AM720" s="13"/>
      <c r="AN720" s="13"/>
      <c r="AO720" s="13"/>
      <c r="AP720" s="13"/>
      <c r="AQ720" s="13"/>
      <c r="AR720" s="14"/>
      <c r="AS720" s="15"/>
    </row>
    <row r="721" spans="1:45" s="17" customFormat="1" ht="30.95" hidden="1" customHeight="1" x14ac:dyDescent="0.2">
      <c r="A721" s="37"/>
      <c r="B721" s="38"/>
      <c r="C721" s="45"/>
      <c r="D721" s="31">
        <v>3716247</v>
      </c>
      <c r="E721" s="31">
        <v>4161950</v>
      </c>
      <c r="F721" s="268" t="str">
        <f>IF(D721="","",VLOOKUP(D721,契約台帳!$A$3:$K$4986,6,FALSE)&amp;VLOOKUP(D721,契約台帳!$A$3:$K$4986,7,FALSE)&amp;VLOOKUP(D721,契約台帳!$A$3:$K$4986,8,FALSE)&amp;VLOOKUP(D721,契約台帳!$A$3:$K$4986,9,FALSE)&amp;VLOOKUP(D721,契約台帳!$A$3:$K$4986,11,FALSE))</f>
        <v>3SNMLBMNGKKBF</v>
      </c>
      <c r="G721" s="269" t="str">
        <f>IF(D721="","",VLOOKUP(F721,製品マスタ!$G$5:$H$5002,2,FALSE))</f>
        <v>S</v>
      </c>
      <c r="H721" s="269" t="str">
        <f>IF(D721="","",VLOOKUP(F721,製品マスタ!$G$5:$K$5002,5,FALSE))</f>
        <v>MNGKKBF</v>
      </c>
      <c r="I721" s="270" t="str">
        <f>IF(D721="","",VLOOKUP(F721,製品マスタ!$G$5:$L$5002,6,FALSE))</f>
        <v>メタルミー　ネーマー銀消改　Ｂ</v>
      </c>
      <c r="J721" s="210" t="s">
        <v>935</v>
      </c>
      <c r="K721" s="270">
        <f>IF(D721="","",VLOOKUP(D721,契約台帳!$A$3:$L$4986,12,FALSE))</f>
        <v>50</v>
      </c>
      <c r="L721" s="270" t="str">
        <f>IF(D721="","",INDEX(製品マスタ!$Q$5:$Q$5002,MATCH('S4'!F721&amp;'S4'!K721,製品マスタ!$AO$5:$AO$5002,0)))</f>
        <v>S99-MAT</v>
      </c>
      <c r="M721" s="39">
        <v>1120</v>
      </c>
      <c r="N721" s="39">
        <v>4000</v>
      </c>
      <c r="O721" s="156">
        <v>2</v>
      </c>
      <c r="P721" s="47">
        <v>2</v>
      </c>
      <c r="Q721" s="213">
        <v>45104</v>
      </c>
      <c r="R721" s="271">
        <f ca="1">IF(D721="","",IF(OFFSET(D721,-1,0)&lt;&gt;"","",IF(OR(J721="リード付け",J721="巻足し",J721="巻返しリード付け"),M721,VLOOKUP(D721,契約台帳!$A$3:$N$4986,14,FALSE))))</f>
        <v>1120</v>
      </c>
      <c r="S721" s="272">
        <f ca="1">IF(D721="","",IF(OFFSET(D721,-1,0)&lt;&gt;"","",IF(OR(J721="リード付け",J721="巻足し",J721="巻返しリード付け"),M721,VLOOKUP(D721,契約台帳!$A$3:$O$4986,15,FALSE))))</f>
        <v>1120</v>
      </c>
      <c r="T721" s="273">
        <f ca="1">IF(D721="","",IF(J721="リード付け",N721,IF(J721="巻返しリード付け",N721,IF(J721="巻足し",N721*P721+OFFSET(N721,1,0)*OFFSET(P721,1,0),VLOOKUP(D721,契約台帳!$A$3:$P$4986,16,FALSE)))))</f>
        <v>8000</v>
      </c>
      <c r="U721" s="40">
        <v>1</v>
      </c>
      <c r="V721" s="274" t="str">
        <f ca="1">IF(D721="","",IF(OFFSET(D721,-2,0)=D721,"",VLOOKUP(D721,契約台帳!$A$3:$R$4986,18,FALSE)))</f>
        <v/>
      </c>
      <c r="W721" s="269" t="str">
        <f ca="1">IF(D721="","",IF(T721="","",IF(OR(J721="巻足し",J721="巻返しリード付け"),"",IF(J721="巻返し",VLOOKUP(F721&amp;K721&amp;M721,製品マスタ!$M$5:$AD$5002,18,FALSE),IF(OR(J721="リード付け",J721="巻返しリード付け"),"原反コア",IF(J721="スリット",VLOOKUP(F721&amp;K721&amp;R721,製品マスタ!$N$5:$AD$5002,17,FALSE),""))))))</f>
        <v/>
      </c>
      <c r="X721" s="269" t="str">
        <f ca="1">IF(D721="","",IF(T721="","",IF(J721="巻足し","",IF(J721="巻返し",VLOOKUP(F721&amp;K721&amp;M721,製品マスタ!$M$5:$AE$5002,19,FALSE),IF(OR(J721="リード付け",J721="巻返しリード付け"),"",IF(J721="スリット",VLOOKUP(F721&amp;K721&amp;R721,製品マスタ!$N$5:$AE$5002,18,FALSE),""))))))</f>
        <v/>
      </c>
      <c r="Y721" s="275">
        <f ca="1">IF(D721="","",IF(T721="","",VLOOKUP(D721,契約台帳!$A$3:$Q$4986,17,FALSE)))</f>
        <v>2</v>
      </c>
      <c r="Z721" s="269" t="str">
        <f ca="1">IF(D721="","",IF(T721="","",VLOOKUP(D721,契約台帳!$A$3:$E$4986,5,FALSE)))</f>
        <v>リンテック㈱</v>
      </c>
      <c r="AA721" s="57"/>
      <c r="AB721" s="207">
        <f>IFERROR((VLOOKUP(F721&amp;K721&amp;M721,製品マスタ!$M$5:$AM$5002,27,FALSE)),"")</f>
        <v>0</v>
      </c>
      <c r="AC721" s="33"/>
      <c r="AD721" s="189"/>
      <c r="AE721" s="54"/>
      <c r="AF721" s="55">
        <f>+M721*N721*O721/1000</f>
        <v>8960</v>
      </c>
      <c r="AG721" s="43"/>
      <c r="AH721" s="47"/>
      <c r="AI721" s="30"/>
      <c r="AJ721" s="30"/>
      <c r="AK721" s="30"/>
      <c r="AL721" s="30"/>
      <c r="AM721" s="13"/>
      <c r="AN721" s="13"/>
      <c r="AO721" s="13"/>
      <c r="AP721" s="13"/>
      <c r="AQ721" s="13"/>
      <c r="AR721" s="14"/>
      <c r="AS721" s="15"/>
    </row>
    <row r="722" spans="1:45" s="17" customFormat="1" ht="30.95" hidden="1" customHeight="1" x14ac:dyDescent="0.2">
      <c r="A722" s="37"/>
      <c r="B722" s="38"/>
      <c r="C722" s="45"/>
      <c r="D722" s="31"/>
      <c r="E722" s="31"/>
      <c r="F722" s="268"/>
      <c r="G722" s="269"/>
      <c r="H722" s="269"/>
      <c r="I722" s="270"/>
      <c r="J722" s="210"/>
      <c r="K722" s="270"/>
      <c r="L722" s="270"/>
      <c r="M722" s="39"/>
      <c r="N722" s="39"/>
      <c r="O722" s="156"/>
      <c r="P722" s="47"/>
      <c r="Q722" s="57"/>
      <c r="R722" s="271"/>
      <c r="S722" s="272"/>
      <c r="T722" s="273"/>
      <c r="U722" s="40"/>
      <c r="V722" s="274"/>
      <c r="W722" s="269"/>
      <c r="X722" s="269"/>
      <c r="Y722" s="275"/>
      <c r="Z722" s="269"/>
      <c r="AA722" s="57"/>
      <c r="AB722" s="207"/>
      <c r="AC722" s="33"/>
      <c r="AD722" s="189"/>
      <c r="AE722" s="54"/>
      <c r="AF722" s="55"/>
      <c r="AG722" s="43"/>
      <c r="AH722" s="47"/>
      <c r="AI722" s="30"/>
      <c r="AJ722" s="30"/>
      <c r="AK722" s="30"/>
      <c r="AL722" s="30"/>
      <c r="AM722" s="13"/>
      <c r="AN722" s="13"/>
      <c r="AO722" s="13"/>
      <c r="AP722" s="13"/>
      <c r="AQ722" s="13"/>
      <c r="AR722" s="14"/>
      <c r="AS722" s="15"/>
    </row>
    <row r="723" spans="1:45" s="17" customFormat="1" ht="30.95" hidden="1" customHeight="1" x14ac:dyDescent="0.2">
      <c r="A723" s="37" t="s">
        <v>1259</v>
      </c>
      <c r="B723" s="38" t="s">
        <v>1260</v>
      </c>
      <c r="C723" s="45"/>
      <c r="D723" s="31">
        <v>3716245</v>
      </c>
      <c r="E723" s="31">
        <v>4161948</v>
      </c>
      <c r="F723" s="268" t="str">
        <f>IF(D723="","",VLOOKUP(D723,契約台帳!$A$3:$K$4986,6,FALSE)&amp;VLOOKUP(D723,契約台帳!$A$3:$K$4986,7,FALSE)&amp;VLOOKUP(D723,契約台帳!$A$3:$K$4986,8,FALSE)&amp;VLOOKUP(D723,契約台帳!$A$3:$K$4986,9,FALSE)&amp;VLOOKUP(D723,契約台帳!$A$3:$K$4986,11,FALSE))</f>
        <v>3SNMLBMNGKKBF</v>
      </c>
      <c r="G723" s="269" t="str">
        <f>IF(D723="","",VLOOKUP(F723,製品マスタ!$G$5:$H$5002,2,FALSE))</f>
        <v>S</v>
      </c>
      <c r="H723" s="269" t="str">
        <f>IF(D723="","",VLOOKUP(F723,製品マスタ!$G$5:$K$5002,5,FALSE))</f>
        <v>MNGKKBF</v>
      </c>
      <c r="I723" s="270" t="str">
        <f>IF(D723="","",VLOOKUP(F723,製品マスタ!$G$5:$L$5002,6,FALSE))</f>
        <v>メタルミー　ネーマー銀消改　Ｂ</v>
      </c>
      <c r="J723" s="210" t="s">
        <v>935</v>
      </c>
      <c r="K723" s="270">
        <f>IF(D723="","",VLOOKUP(D723,契約台帳!$A$3:$L$4986,12,FALSE))</f>
        <v>25</v>
      </c>
      <c r="L723" s="270" t="str">
        <f>IF(D723="","",INDEX(製品マスタ!$Q$5:$Q$5002,MATCH('S4'!F723&amp;'S4'!K723,製品マスタ!$AO$5:$AO$5002,0)))</f>
        <v>FMATS99</v>
      </c>
      <c r="M723" s="39">
        <v>1120</v>
      </c>
      <c r="N723" s="39">
        <v>4000</v>
      </c>
      <c r="O723" s="156">
        <v>8</v>
      </c>
      <c r="P723" s="47">
        <v>2</v>
      </c>
      <c r="Q723" s="213">
        <v>45104</v>
      </c>
      <c r="R723" s="271">
        <f ca="1">IF(D723="","",IF(OFFSET(D723,-1,0)&lt;&gt;"","",IF(OR(J723="リード付け",J723="巻足し",J723="巻返しリード付け"),M723,VLOOKUP(D723,契約台帳!$A$3:$N$4986,14,FALSE))))</f>
        <v>1120</v>
      </c>
      <c r="S723" s="272">
        <f ca="1">IF(D723="","",IF(OFFSET(D723,-1,0)&lt;&gt;"","",IF(OR(J723="リード付け",J723="巻足し",J723="巻返しリード付け"),M723,VLOOKUP(D723,契約台帳!$A$3:$O$4986,15,FALSE))))</f>
        <v>1120</v>
      </c>
      <c r="T723" s="273">
        <f ca="1">IF(D723="","",IF(J723="リード付け",N723,IF(J723="巻返しリード付け",N723,IF(J723="巻足し",N723*P723+OFFSET(N723,1,0)*OFFSET(P723,1,0),VLOOKUP(D723,契約台帳!$A$3:$P$4986,16,FALSE)))))</f>
        <v>8000</v>
      </c>
      <c r="U723" s="40">
        <v>4</v>
      </c>
      <c r="V723" s="274">
        <f ca="1">IF(D723="","",IF(OFFSET(D723,-2,0)=D723,"",VLOOKUP(D723,契約台帳!$A$3:$R$4986,18,FALSE)))</f>
        <v>8</v>
      </c>
      <c r="W723" s="269" t="str">
        <f ca="1">IF(D723="","",IF(T723="","",IF(OR(J723="巻足し",J723="巻返しリード付け"),"",IF(J723="巻返し",VLOOKUP(F723&amp;K723&amp;M723,製品マスタ!$M$5:$AD$5002,18,FALSE),IF(OR(J723="リード付け",J723="巻返しリード付け"),"原反コア",IF(J723="スリット",VLOOKUP(F723&amp;K723&amp;R723,製品マスタ!$N$5:$AD$5002,17,FALSE),""))))))</f>
        <v/>
      </c>
      <c r="X723" s="269" t="str">
        <f ca="1">IF(D723="","",IF(T723="","",IF(J723="巻足し","",IF(J723="巻返し",VLOOKUP(F723&amp;K723&amp;M723,製品マスタ!$M$5:$AE$5002,19,FALSE),IF(OR(J723="リード付け",J723="巻返しリード付け"),"",IF(J723="スリット",VLOOKUP(F723&amp;K723&amp;R723,製品マスタ!$N$5:$AE$5002,18,FALSE),""))))))</f>
        <v/>
      </c>
      <c r="Y723" s="275">
        <f ca="1">IF(D723="","",IF(T723="","",VLOOKUP(D723,契約台帳!$A$3:$Q$4986,17,FALSE)))</f>
        <v>2</v>
      </c>
      <c r="Z723" s="269" t="str">
        <f ca="1">IF(D723="","",IF(T723="","",VLOOKUP(D723,契約台帳!$A$3:$E$4986,5,FALSE)))</f>
        <v>リンテック㈱</v>
      </c>
      <c r="AA723" s="57"/>
      <c r="AB723" s="207">
        <f>IFERROR((VLOOKUP(F723&amp;K723&amp;M723,製品マスタ!$M$5:$AM$5002,27,FALSE)),"")</f>
        <v>0</v>
      </c>
      <c r="AC723" s="33"/>
      <c r="AD723" s="189"/>
      <c r="AE723" s="54"/>
      <c r="AF723" s="55">
        <f>+M723*N723*O723/1000</f>
        <v>35840</v>
      </c>
      <c r="AG723" s="43"/>
      <c r="AH723" s="47"/>
      <c r="AI723" s="30"/>
      <c r="AJ723" s="30"/>
      <c r="AK723" s="30"/>
      <c r="AL723" s="30"/>
      <c r="AM723" s="13"/>
      <c r="AN723" s="13"/>
      <c r="AO723" s="13"/>
      <c r="AP723" s="13"/>
      <c r="AQ723" s="13"/>
      <c r="AR723" s="14"/>
      <c r="AS723" s="15"/>
    </row>
    <row r="724" spans="1:45" s="17" customFormat="1" ht="30.95" hidden="1" customHeight="1" x14ac:dyDescent="0.2">
      <c r="A724" s="37"/>
      <c r="B724" s="38"/>
      <c r="C724" s="45"/>
      <c r="D724" s="31"/>
      <c r="E724" s="31"/>
      <c r="F724" s="268"/>
      <c r="G724" s="269"/>
      <c r="H724" s="269"/>
      <c r="I724" s="270"/>
      <c r="J724" s="210"/>
      <c r="K724" s="270"/>
      <c r="L724" s="270"/>
      <c r="M724" s="39"/>
      <c r="N724" s="39"/>
      <c r="O724" s="156"/>
      <c r="P724" s="47"/>
      <c r="Q724" s="57"/>
      <c r="R724" s="271"/>
      <c r="S724" s="272"/>
      <c r="T724" s="273"/>
      <c r="U724" s="40"/>
      <c r="V724" s="274"/>
      <c r="W724" s="269"/>
      <c r="X724" s="269"/>
      <c r="Y724" s="275"/>
      <c r="Z724" s="269"/>
      <c r="AA724" s="57"/>
      <c r="AB724" s="207"/>
      <c r="AC724" s="33"/>
      <c r="AD724" s="189"/>
      <c r="AE724" s="54"/>
      <c r="AF724" s="55"/>
      <c r="AG724" s="43"/>
      <c r="AH724" s="47"/>
      <c r="AI724" s="30"/>
      <c r="AJ724" s="30"/>
      <c r="AK724" s="30"/>
      <c r="AL724" s="30"/>
      <c r="AM724" s="13"/>
      <c r="AN724" s="13"/>
      <c r="AO724" s="13"/>
      <c r="AP724" s="13"/>
      <c r="AQ724" s="13"/>
      <c r="AR724" s="14"/>
      <c r="AS724" s="15"/>
    </row>
    <row r="725" spans="1:45" s="17" customFormat="1" ht="30.95" hidden="1" customHeight="1" x14ac:dyDescent="0.2">
      <c r="A725" s="37"/>
      <c r="B725" s="38"/>
      <c r="C725" s="45"/>
      <c r="D725" s="31">
        <v>3716272</v>
      </c>
      <c r="E725" s="31">
        <v>4161964</v>
      </c>
      <c r="F725" s="268" t="str">
        <f>IF(D725="","",VLOOKUP(D725,契約台帳!$A$3:$K$4986,6,FALSE)&amp;VLOOKUP(D725,契約台帳!$A$3:$K$4986,7,FALSE)&amp;VLOOKUP(D725,契約台帳!$A$3:$K$4986,8,FALSE)&amp;VLOOKUP(D725,契約台帳!$A$3:$K$4986,9,FALSE)&amp;VLOOKUP(D725,契約台帳!$A$3:$K$4986,11,FALSE))</f>
        <v>3SYMLBMSNMBF</v>
      </c>
      <c r="G725" s="269" t="str">
        <f>IF(D725="","",VLOOKUP(F725,製品マスタ!$G$5:$H$5002,2,FALSE))</f>
        <v>S</v>
      </c>
      <c r="H725" s="269" t="str">
        <f>IF(D725="","",VLOOKUP(F725,製品マスタ!$G$5:$K$5002,5,FALSE))</f>
        <v>MSNMBF</v>
      </c>
      <c r="I725" s="270" t="str">
        <f>IF(D725="","",VLOOKUP(F725,製品マスタ!$G$5:$L$5002,6,FALSE))</f>
        <v>ＭＥＴＡＬＵＭＹ　ＳＩＬＶＥＲ　Ｎ－ＭＡＴＴＥ　Ｘ４４Ｍ　Ｂ</v>
      </c>
      <c r="J725" s="210" t="s">
        <v>935</v>
      </c>
      <c r="K725" s="270">
        <f>IF(D725="","",VLOOKUP(D725,契約台帳!$A$3:$L$4986,12,FALSE))</f>
        <v>50</v>
      </c>
      <c r="L725" s="270" t="str">
        <f>IF(D725="","",INDEX(製品マスタ!$Q$5:$Q$5002,MATCH('S4'!F725&amp;'S4'!K725,製品マスタ!$AO$5:$AO$5002,0)))</f>
        <v>X44</v>
      </c>
      <c r="M725" s="39">
        <v>1120</v>
      </c>
      <c r="N725" s="39">
        <v>4000</v>
      </c>
      <c r="O725" s="156">
        <v>3</v>
      </c>
      <c r="P725" s="47">
        <v>3</v>
      </c>
      <c r="Q725" s="213">
        <v>45105</v>
      </c>
      <c r="R725" s="271">
        <f ca="1">IF(D725="","",IF(OFFSET(D725,-1,0)&lt;&gt;"","",IF(OR(J725="リード付け",J725="巻足し",J725="巻返しリード付け"),M725,VLOOKUP(D725,契約台帳!$A$3:$N$4986,14,FALSE))))</f>
        <v>1120</v>
      </c>
      <c r="S725" s="272">
        <f ca="1">IF(D725="","",IF(OFFSET(D725,-1,0)&lt;&gt;"","",IF(OR(J725="リード付け",J725="巻足し",J725="巻返しリード付け"),M725,VLOOKUP(D725,契約台帳!$A$3:$O$4986,15,FALSE))))</f>
        <v>1120</v>
      </c>
      <c r="T725" s="273">
        <f ca="1">IF(D725="","",IF(J725="リード付け",N725,IF(J725="巻返しリード付け",N725,IF(J725="巻足し",N725*P725+OFFSET(N725,1,0)*OFFSET(P725,1,0),VLOOKUP(D725,契約台帳!$A$3:$P$4986,16,FALSE)))))</f>
        <v>12000</v>
      </c>
      <c r="U725" s="40">
        <v>1</v>
      </c>
      <c r="V725" s="274">
        <f ca="1">IF(D725="","",IF(OFFSET(D725,-2,0)=D725,"",VLOOKUP(D725,契約台帳!$A$3:$R$4986,18,FALSE)))</f>
        <v>4</v>
      </c>
      <c r="W725" s="269" t="str">
        <f ca="1">IF(D725="","",IF(T725="","",IF(OR(J725="巻足し",J725="巻返しリード付け"),"",IF(J725="巻返し",VLOOKUP(F725&amp;K725&amp;M725,製品マスタ!$M$5:$AD$5002,18,FALSE),IF(OR(J725="リード付け",J725="巻返しリード付け"),"原反コア",IF(J725="スリット",VLOOKUP(F725&amp;K725&amp;R725,製品マスタ!$N$5:$AD$5002,17,FALSE),""))))))</f>
        <v/>
      </c>
      <c r="X725" s="269" t="str">
        <f ca="1">IF(D725="","",IF(T725="","",IF(J725="巻足し","",IF(J725="巻返し",VLOOKUP(F725&amp;K725&amp;M725,製品マスタ!$M$5:$AE$5002,19,FALSE),IF(OR(J725="リード付け",J725="巻返しリード付け"),"",IF(J725="スリット",VLOOKUP(F725&amp;K725&amp;R725,製品マスタ!$N$5:$AE$5002,18,FALSE),""))))))</f>
        <v/>
      </c>
      <c r="Y725" s="275">
        <f ca="1">IF(D725="","",IF(T725="","",VLOOKUP(D725,契約台帳!$A$3:$Q$4986,17,FALSE)))</f>
        <v>2</v>
      </c>
      <c r="Z725" s="269" t="str">
        <f ca="1">IF(D725="","",IF(T725="","",VLOOKUP(D725,契約台帳!$A$3:$E$4986,5,FALSE)))</f>
        <v>リンテック㈱</v>
      </c>
      <c r="AA725" s="57"/>
      <c r="AB725" s="207">
        <f>IFERROR((VLOOKUP(F725&amp;K725&amp;M725,製品マスタ!$M$5:$AM$5002,27,FALSE)),"")</f>
        <v>0</v>
      </c>
      <c r="AC725" s="33"/>
      <c r="AD725" s="189"/>
      <c r="AE725" s="54"/>
      <c r="AF725" s="55">
        <f>+M725*N725*O725/1000</f>
        <v>13440</v>
      </c>
      <c r="AG725" s="43"/>
      <c r="AH725" s="47"/>
      <c r="AI725" s="30"/>
      <c r="AJ725" s="30"/>
      <c r="AK725" s="30"/>
      <c r="AL725" s="30"/>
      <c r="AM725" s="13"/>
      <c r="AN725" s="13"/>
      <c r="AO725" s="13"/>
      <c r="AP725" s="13"/>
      <c r="AQ725" s="13"/>
      <c r="AR725" s="14"/>
      <c r="AS725" s="15"/>
    </row>
    <row r="726" spans="1:45" s="17" customFormat="1" ht="30.95" hidden="1" customHeight="1" x14ac:dyDescent="0.2">
      <c r="A726" s="37"/>
      <c r="B726" s="38"/>
      <c r="C726" s="45"/>
      <c r="D726" s="31"/>
      <c r="E726" s="31"/>
      <c r="F726" s="268"/>
      <c r="G726" s="269"/>
      <c r="H726" s="269"/>
      <c r="I726" s="270"/>
      <c r="J726" s="210"/>
      <c r="K726" s="270"/>
      <c r="L726" s="270"/>
      <c r="M726" s="39"/>
      <c r="N726" s="39"/>
      <c r="O726" s="156"/>
      <c r="P726" s="47"/>
      <c r="Q726" s="57"/>
      <c r="R726" s="271"/>
      <c r="S726" s="272"/>
      <c r="T726" s="273"/>
      <c r="U726" s="40"/>
      <c r="V726" s="274"/>
      <c r="W726" s="269"/>
      <c r="X726" s="269"/>
      <c r="Y726" s="275"/>
      <c r="Z726" s="269"/>
      <c r="AA726" s="57"/>
      <c r="AB726" s="207"/>
      <c r="AC726" s="33"/>
      <c r="AD726" s="189"/>
      <c r="AE726" s="54"/>
      <c r="AF726" s="55"/>
      <c r="AG726" s="43"/>
      <c r="AH726" s="47"/>
      <c r="AI726" s="30"/>
      <c r="AJ726" s="30"/>
      <c r="AK726" s="30"/>
      <c r="AL726" s="30"/>
      <c r="AM726" s="13"/>
      <c r="AN726" s="13"/>
      <c r="AO726" s="13"/>
      <c r="AP726" s="13"/>
      <c r="AQ726" s="13"/>
      <c r="AR726" s="14"/>
      <c r="AS726" s="15"/>
    </row>
    <row r="727" spans="1:45" s="17" customFormat="1" ht="30.95" hidden="1" customHeight="1" x14ac:dyDescent="0.2">
      <c r="A727" s="37"/>
      <c r="B727" s="38"/>
      <c r="C727" s="45"/>
      <c r="D727" s="31">
        <v>3716272</v>
      </c>
      <c r="E727" s="31">
        <v>4161964</v>
      </c>
      <c r="F727" s="268" t="str">
        <f>IF(D727="","",VLOOKUP(D727,契約台帳!$A$3:$K$4986,6,FALSE)&amp;VLOOKUP(D727,契約台帳!$A$3:$K$4986,7,FALSE)&amp;VLOOKUP(D727,契約台帳!$A$3:$K$4986,8,FALSE)&amp;VLOOKUP(D727,契約台帳!$A$3:$K$4986,9,FALSE)&amp;VLOOKUP(D727,契約台帳!$A$3:$K$4986,11,FALSE))</f>
        <v>3SYMLBMSNMBF</v>
      </c>
      <c r="G727" s="269" t="str">
        <f>IF(D727="","",VLOOKUP(F727,製品マスタ!$G$5:$H$5002,2,FALSE))</f>
        <v>S</v>
      </c>
      <c r="H727" s="269" t="str">
        <f>IF(D727="","",VLOOKUP(F727,製品マスタ!$G$5:$K$5002,5,FALSE))</f>
        <v>MSNMBF</v>
      </c>
      <c r="I727" s="270" t="str">
        <f>IF(D727="","",VLOOKUP(F727,製品マスタ!$G$5:$L$5002,6,FALSE))</f>
        <v>ＭＥＴＡＬＵＭＹ　ＳＩＬＶＥＲ　Ｎ－ＭＡＴＴＥ　Ｘ４４Ｍ　Ｂ</v>
      </c>
      <c r="J727" s="210" t="s">
        <v>935</v>
      </c>
      <c r="K727" s="270">
        <f>IF(D727="","",VLOOKUP(D727,契約台帳!$A$3:$L$4986,12,FALSE))</f>
        <v>50</v>
      </c>
      <c r="L727" s="270" t="str">
        <f>IF(D727="","",INDEX(製品マスタ!$Q$5:$Q$5002,MATCH('S4'!F727&amp;'S4'!K727,製品マスタ!$AO$5:$AO$5002,0)))</f>
        <v>X44</v>
      </c>
      <c r="M727" s="39">
        <v>1120</v>
      </c>
      <c r="N727" s="39">
        <v>4000</v>
      </c>
      <c r="O727" s="156">
        <v>1</v>
      </c>
      <c r="P727" s="47">
        <v>3</v>
      </c>
      <c r="Q727" s="213">
        <v>45105</v>
      </c>
      <c r="R727" s="271">
        <f ca="1">IF(D727="","",IF(OFFSET(D727,-1,0)&lt;&gt;"","",IF(OR(J727="リード付け",J727="巻足し",J727="巻返しリード付け"),M727,VLOOKUP(D727,契約台帳!$A$3:$N$4986,14,FALSE))))</f>
        <v>1120</v>
      </c>
      <c r="S727" s="272">
        <f ca="1">IF(D727="","",IF(OFFSET(D727,-1,0)&lt;&gt;"","",IF(OR(J727="リード付け",J727="巻足し",J727="巻返しリード付け"),M727,VLOOKUP(D727,契約台帳!$A$3:$O$4986,15,FALSE))))</f>
        <v>1120</v>
      </c>
      <c r="T727" s="273">
        <f ca="1">IF(D727="","",IF(J727="リード付け",N727,IF(J727="巻返しリード付け",N727,IF(J727="巻足し",N727*P727+OFFSET(N727,1,0)*OFFSET(P727,1,0),VLOOKUP(D727,契約台帳!$A$3:$P$4986,16,FALSE)))))</f>
        <v>12000</v>
      </c>
      <c r="U727" s="40">
        <v>1</v>
      </c>
      <c r="V727" s="274" t="str">
        <f ca="1">IF(D727="","",IF(OFFSET(D727,-2,0)=D727,"",VLOOKUP(D727,契約台帳!$A$3:$R$4986,18,FALSE)))</f>
        <v/>
      </c>
      <c r="W727" s="269" t="str">
        <f ca="1">IF(D727="","",IF(T727="","",IF(OR(J727="巻足し",J727="巻返しリード付け"),"",IF(J727="巻返し",VLOOKUP(F727&amp;K727&amp;M727,製品マスタ!$M$5:$AD$5002,18,FALSE),IF(OR(J727="リード付け",J727="巻返しリード付け"),"原反コア",IF(J727="スリット",VLOOKUP(F727&amp;K727&amp;R727,製品マスタ!$N$5:$AD$5002,17,FALSE),""))))))</f>
        <v/>
      </c>
      <c r="X727" s="269" t="str">
        <f ca="1">IF(D727="","",IF(T727="","",IF(J727="巻足し","",IF(J727="巻返し",VLOOKUP(F727&amp;K727&amp;M727,製品マスタ!$M$5:$AE$5002,19,FALSE),IF(OR(J727="リード付け",J727="巻返しリード付け"),"",IF(J727="スリット",VLOOKUP(F727&amp;K727&amp;R727,製品マスタ!$N$5:$AE$5002,18,FALSE),""))))))</f>
        <v/>
      </c>
      <c r="Y727" s="275">
        <f ca="1">IF(D727="","",IF(T727="","",VLOOKUP(D727,契約台帳!$A$3:$Q$4986,17,FALSE)))</f>
        <v>2</v>
      </c>
      <c r="Z727" s="269" t="str">
        <f ca="1">IF(D727="","",IF(T727="","",VLOOKUP(D727,契約台帳!$A$3:$E$4986,5,FALSE)))</f>
        <v>リンテック㈱</v>
      </c>
      <c r="AA727" s="57"/>
      <c r="AB727" s="207"/>
      <c r="AC727" s="33"/>
      <c r="AD727" s="189"/>
      <c r="AE727" s="54"/>
      <c r="AF727" s="55">
        <f>+M727*N727*O727/1000</f>
        <v>4480</v>
      </c>
      <c r="AG727" s="43"/>
      <c r="AH727" s="47"/>
      <c r="AI727" s="30"/>
      <c r="AJ727" s="30"/>
      <c r="AK727" s="30"/>
      <c r="AL727" s="30"/>
      <c r="AM727" s="13"/>
      <c r="AN727" s="13"/>
      <c r="AO727" s="13"/>
      <c r="AP727" s="13"/>
      <c r="AQ727" s="13"/>
      <c r="AR727" s="14"/>
      <c r="AS727" s="15"/>
    </row>
    <row r="728" spans="1:45" s="17" customFormat="1" ht="30.95" hidden="1" customHeight="1" x14ac:dyDescent="0.2">
      <c r="A728" s="37"/>
      <c r="B728" s="38"/>
      <c r="C728" s="45"/>
      <c r="D728" s="31">
        <v>3716273</v>
      </c>
      <c r="E728" s="31"/>
      <c r="F728" s="268" t="str">
        <f>IF(D728="","",VLOOKUP(D728,契約台帳!$A$3:$K$4986,6,FALSE)&amp;VLOOKUP(D728,契約台帳!$A$3:$K$4986,7,FALSE)&amp;VLOOKUP(D728,契約台帳!$A$3:$K$4986,8,FALSE)&amp;VLOOKUP(D728,契約台帳!$A$3:$K$4986,9,FALSE)&amp;VLOOKUP(D728,契約台帳!$A$3:$K$4986,11,FALSE))</f>
        <v>3SYMLBMSNMBF</v>
      </c>
      <c r="G728" s="269" t="str">
        <f>IF(D728="","",VLOOKUP(F728,製品マスタ!$G$5:$H$5002,2,FALSE))</f>
        <v>S</v>
      </c>
      <c r="H728" s="269" t="str">
        <f>IF(D728="","",VLOOKUP(F728,製品マスタ!$G$5:$K$5002,5,FALSE))</f>
        <v>MSNMBF</v>
      </c>
      <c r="I728" s="270" t="str">
        <f>IF(D728="","",VLOOKUP(F728,製品マスタ!$G$5:$L$5002,6,FALSE))</f>
        <v>ＭＥＴＡＬＵＭＹ　ＳＩＬＶＥＲ　Ｎ－ＭＡＴＴＥ　Ｘ４４Ｍ　Ｂ</v>
      </c>
      <c r="J728" s="210" t="s">
        <v>935</v>
      </c>
      <c r="K728" s="270">
        <f>IF(D728="","",VLOOKUP(D728,契約台帳!$A$3:$L$4986,12,FALSE))</f>
        <v>50</v>
      </c>
      <c r="L728" s="270" t="str">
        <f>IF(D728="","",INDEX(製品マスタ!$Q$5:$Q$5002,MATCH('S4'!F728&amp;'S4'!K728,製品マスタ!$AO$5:$AO$5002,0)))</f>
        <v>X44</v>
      </c>
      <c r="M728" s="39">
        <v>1120</v>
      </c>
      <c r="N728" s="39">
        <v>4000</v>
      </c>
      <c r="O728" s="156">
        <v>2</v>
      </c>
      <c r="P728" s="47"/>
      <c r="Q728" s="213">
        <v>45105</v>
      </c>
      <c r="R728" s="271" t="str">
        <f ca="1">IF(D728="","",IF(OFFSET(D728,-1,0)&lt;&gt;"","",IF(OR(J728="リード付け",J728="巻足し",J728="巻返しリード付け"),M728,VLOOKUP(D728,契約台帳!$A$3:$N$4986,14,FALSE))))</f>
        <v/>
      </c>
      <c r="S728" s="272" t="str">
        <f ca="1">IF(D728="","",IF(OFFSET(D728,-1,0)&lt;&gt;"","",IF(OR(J728="リード付け",J728="巻足し",J728="巻返しリード付け"),M728,VLOOKUP(D728,契約台帳!$A$3:$O$4986,15,FALSE))))</f>
        <v/>
      </c>
      <c r="T728" s="273">
        <f ca="1">IF(D728="","",IF(J728="リード付け",N728,IF(J728="巻返しリード付け",N728,IF(J728="巻足し",N728*P728+OFFSET(N728,1,0)*OFFSET(P728,1,0),VLOOKUP(D728,契約台帳!$A$3:$P$4986,16,FALSE)))))</f>
        <v>0</v>
      </c>
      <c r="U728" s="40"/>
      <c r="V728" s="274">
        <f ca="1">IF(D728="","",IF(OFFSET(D728,-2,0)=D728,"",VLOOKUP(D728,契約台帳!$A$3:$R$4986,18,FALSE)))</f>
        <v>5</v>
      </c>
      <c r="W728" s="269" t="str">
        <f ca="1">IF(D728="","",IF(T728="","",IF(OR(J728="巻足し",J728="巻返しリード付け"),"",IF(J728="巻返し",VLOOKUP(F728&amp;K728&amp;M728,製品マスタ!$M$5:$AD$5002,18,FALSE),IF(OR(J728="リード付け",J728="巻返しリード付け"),"原反コア",IF(J728="スリット",VLOOKUP(F728&amp;K728&amp;R728,製品マスタ!$N$5:$AD$5002,17,FALSE),""))))))</f>
        <v/>
      </c>
      <c r="X728" s="269" t="str">
        <f ca="1">IF(D728="","",IF(T728="","",IF(J728="巻足し","",IF(J728="巻返し",VLOOKUP(F728&amp;K728&amp;M728,製品マスタ!$M$5:$AE$5002,19,FALSE),IF(OR(J728="リード付け",J728="巻返しリード付け"),"",IF(J728="スリット",VLOOKUP(F728&amp;K728&amp;R728,製品マスタ!$N$5:$AE$5002,18,FALSE),""))))))</f>
        <v/>
      </c>
      <c r="Y728" s="275">
        <f ca="1">IF(D728="","",IF(T728="","",VLOOKUP(D728,契約台帳!$A$3:$Q$4986,17,FALSE)))</f>
        <v>2</v>
      </c>
      <c r="Z728" s="269" t="str">
        <f ca="1">IF(D728="","",IF(T728="","",VLOOKUP(D728,契約台帳!$A$3:$E$4986,5,FALSE)))</f>
        <v>リンテック㈱</v>
      </c>
      <c r="AA728" s="57"/>
      <c r="AB728" s="207">
        <f>IFERROR((VLOOKUP(F728&amp;K728&amp;M728,製品マスタ!$M$5:$AM$5002,27,FALSE)),"")</f>
        <v>0</v>
      </c>
      <c r="AC728" s="33"/>
      <c r="AD728" s="189"/>
      <c r="AE728" s="54"/>
      <c r="AF728" s="55">
        <f>+M728*N728*O728/1000</f>
        <v>8960</v>
      </c>
      <c r="AG728" s="43"/>
      <c r="AH728" s="47"/>
      <c r="AI728" s="30"/>
      <c r="AJ728" s="30"/>
      <c r="AK728" s="30"/>
      <c r="AL728" s="30"/>
      <c r="AM728" s="13"/>
      <c r="AN728" s="13"/>
      <c r="AO728" s="13"/>
      <c r="AP728" s="13"/>
      <c r="AQ728" s="13"/>
      <c r="AR728" s="14"/>
      <c r="AS728" s="15"/>
    </row>
    <row r="729" spans="1:45" s="17" customFormat="1" ht="30.95" hidden="1" customHeight="1" x14ac:dyDescent="0.2">
      <c r="A729" s="37"/>
      <c r="B729" s="38"/>
      <c r="C729" s="45"/>
      <c r="D729" s="31"/>
      <c r="E729" s="31"/>
      <c r="F729" s="268"/>
      <c r="G729" s="269"/>
      <c r="H729" s="269"/>
      <c r="I729" s="270"/>
      <c r="J729" s="210"/>
      <c r="K729" s="270"/>
      <c r="L729" s="270"/>
      <c r="M729" s="39"/>
      <c r="N729" s="39"/>
      <c r="O729" s="156"/>
      <c r="P729" s="47"/>
      <c r="Q729" s="57"/>
      <c r="R729" s="271"/>
      <c r="S729" s="272"/>
      <c r="T729" s="273"/>
      <c r="U729" s="40"/>
      <c r="V729" s="274"/>
      <c r="W729" s="269"/>
      <c r="X729" s="269"/>
      <c r="Y729" s="275"/>
      <c r="Z729" s="269"/>
      <c r="AA729" s="57"/>
      <c r="AB729" s="207"/>
      <c r="AC729" s="33"/>
      <c r="AD729" s="189"/>
      <c r="AE729" s="54"/>
      <c r="AF729" s="55"/>
      <c r="AG729" s="43"/>
      <c r="AH729" s="47"/>
      <c r="AI729" s="30"/>
      <c r="AJ729" s="30"/>
      <c r="AK729" s="30"/>
      <c r="AL729" s="30"/>
      <c r="AM729" s="13"/>
      <c r="AN729" s="13"/>
      <c r="AO729" s="13"/>
      <c r="AP729" s="13"/>
      <c r="AQ729" s="13"/>
      <c r="AR729" s="14"/>
      <c r="AS729" s="15"/>
    </row>
    <row r="730" spans="1:45" s="17" customFormat="1" ht="30.95" hidden="1" customHeight="1" x14ac:dyDescent="0.2">
      <c r="A730" s="37"/>
      <c r="B730" s="38"/>
      <c r="C730" s="45"/>
      <c r="D730" s="31">
        <v>3716273</v>
      </c>
      <c r="E730" s="31">
        <v>4161965</v>
      </c>
      <c r="F730" s="268" t="str">
        <f>IF(D730="","",VLOOKUP(D730,契約台帳!$A$3:$K$4986,6,FALSE)&amp;VLOOKUP(D730,契約台帳!$A$3:$K$4986,7,FALSE)&amp;VLOOKUP(D730,契約台帳!$A$3:$K$4986,8,FALSE)&amp;VLOOKUP(D730,契約台帳!$A$3:$K$4986,9,FALSE)&amp;VLOOKUP(D730,契約台帳!$A$3:$K$4986,11,FALSE))</f>
        <v>3SYMLBMSNMBF</v>
      </c>
      <c r="G730" s="269" t="str">
        <f>IF(D730="","",VLOOKUP(F730,製品マスタ!$G$5:$H$5002,2,FALSE))</f>
        <v>S</v>
      </c>
      <c r="H730" s="269" t="str">
        <f>IF(D730="","",VLOOKUP(F730,製品マスタ!$G$5:$K$5002,5,FALSE))</f>
        <v>MSNMBF</v>
      </c>
      <c r="I730" s="270" t="str">
        <f>IF(D730="","",VLOOKUP(F730,製品マスタ!$G$5:$L$5002,6,FALSE))</f>
        <v>ＭＥＴＡＬＵＭＹ　ＳＩＬＶＥＲ　Ｎ－ＭＡＴＴＥ　Ｘ４４Ｍ　Ｂ</v>
      </c>
      <c r="J730" s="210" t="s">
        <v>935</v>
      </c>
      <c r="K730" s="270">
        <f>IF(D730="","",VLOOKUP(D730,契約台帳!$A$3:$L$4986,12,FALSE))</f>
        <v>50</v>
      </c>
      <c r="L730" s="270" t="str">
        <f>IF(D730="","",INDEX(製品マスタ!$Q$5:$Q$5002,MATCH('S4'!F730&amp;'S4'!K730,製品マスタ!$AO$5:$AO$5002,0)))</f>
        <v>X44</v>
      </c>
      <c r="M730" s="39">
        <v>1120</v>
      </c>
      <c r="N730" s="39">
        <v>4000</v>
      </c>
      <c r="O730" s="156">
        <v>3</v>
      </c>
      <c r="P730" s="47">
        <v>3</v>
      </c>
      <c r="Q730" s="213">
        <v>45105</v>
      </c>
      <c r="R730" s="271">
        <f ca="1">IF(D730="","",IF(OFFSET(D730,-1,0)&lt;&gt;"","",IF(OR(J730="リード付け",J730="巻足し",J730="巻返しリード付け"),M730,VLOOKUP(D730,契約台帳!$A$3:$N$4986,14,FALSE))))</f>
        <v>1120</v>
      </c>
      <c r="S730" s="272">
        <f ca="1">IF(D730="","",IF(OFFSET(D730,-1,0)&lt;&gt;"","",IF(OR(J730="リード付け",J730="巻足し",J730="巻返しリード付け"),M730,VLOOKUP(D730,契約台帳!$A$3:$O$4986,15,FALSE))))</f>
        <v>1120</v>
      </c>
      <c r="T730" s="273">
        <f ca="1">IF(D730="","",IF(J730="リード付け",N730,IF(J730="巻返しリード付け",N730,IF(J730="巻足し",N730*P730+OFFSET(N730,1,0)*OFFSET(P730,1,0),VLOOKUP(D730,契約台帳!$A$3:$P$4986,16,FALSE)))))</f>
        <v>12000</v>
      </c>
      <c r="U730" s="40">
        <v>1</v>
      </c>
      <c r="V730" s="274" t="str">
        <f ca="1">IF(D730="","",IF(OFFSET(D730,-2,0)=D730,"",VLOOKUP(D730,契約台帳!$A$3:$R$4986,18,FALSE)))</f>
        <v/>
      </c>
      <c r="W730" s="269" t="str">
        <f ca="1">IF(D730="","",IF(T730="","",IF(OR(J730="巻足し",J730="巻返しリード付け"),"",IF(J730="巻返し",VLOOKUP(F730&amp;K730&amp;M730,製品マスタ!$M$5:$AD$5002,18,FALSE),IF(OR(J730="リード付け",J730="巻返しリード付け"),"原反コア",IF(J730="スリット",VLOOKUP(F730&amp;K730&amp;R730,製品マスタ!$N$5:$AD$5002,17,FALSE),""))))))</f>
        <v/>
      </c>
      <c r="X730" s="269" t="str">
        <f ca="1">IF(D730="","",IF(T730="","",IF(J730="巻足し","",IF(J730="巻返し",VLOOKUP(F730&amp;K730&amp;M730,製品マスタ!$M$5:$AE$5002,19,FALSE),IF(OR(J730="リード付け",J730="巻返しリード付け"),"",IF(J730="スリット",VLOOKUP(F730&amp;K730&amp;R730,製品マスタ!$N$5:$AE$5002,18,FALSE),""))))))</f>
        <v/>
      </c>
      <c r="Y730" s="275">
        <f ca="1">IF(D730="","",IF(T730="","",VLOOKUP(D730,契約台帳!$A$3:$Q$4986,17,FALSE)))</f>
        <v>2</v>
      </c>
      <c r="Z730" s="269" t="str">
        <f ca="1">IF(D730="","",IF(T730="","",VLOOKUP(D730,契約台帳!$A$3:$E$4986,5,FALSE)))</f>
        <v>リンテック㈱</v>
      </c>
      <c r="AA730" s="57"/>
      <c r="AB730" s="207">
        <f>IFERROR((VLOOKUP(F730&amp;K730&amp;M730,製品マスタ!$M$5:$AM$5002,27,FALSE)),"")</f>
        <v>0</v>
      </c>
      <c r="AC730" s="33"/>
      <c r="AD730" s="189"/>
      <c r="AE730" s="54"/>
      <c r="AF730" s="55">
        <f>+M730*N730*O730/1000</f>
        <v>13440</v>
      </c>
      <c r="AG730" s="43"/>
      <c r="AH730" s="47"/>
      <c r="AI730" s="30"/>
      <c r="AJ730" s="30"/>
      <c r="AK730" s="30"/>
      <c r="AL730" s="30"/>
      <c r="AM730" s="13"/>
      <c r="AN730" s="13"/>
      <c r="AO730" s="13"/>
      <c r="AP730" s="13"/>
      <c r="AQ730" s="13"/>
      <c r="AR730" s="14"/>
      <c r="AS730" s="15"/>
    </row>
    <row r="731" spans="1:45" s="17" customFormat="1" ht="30.95" hidden="1" customHeight="1" x14ac:dyDescent="0.2">
      <c r="A731" s="37"/>
      <c r="B731" s="38"/>
      <c r="C731" s="45"/>
      <c r="D731" s="31"/>
      <c r="E731" s="31"/>
      <c r="F731" s="268"/>
      <c r="G731" s="269"/>
      <c r="H731" s="269"/>
      <c r="I731" s="270"/>
      <c r="J731" s="210"/>
      <c r="K731" s="270"/>
      <c r="L731" s="270"/>
      <c r="M731" s="39"/>
      <c r="N731" s="39"/>
      <c r="O731" s="156"/>
      <c r="P731" s="47"/>
      <c r="Q731" s="57"/>
      <c r="R731" s="271"/>
      <c r="S731" s="272"/>
      <c r="T731" s="273"/>
      <c r="U731" s="40"/>
      <c r="V731" s="274"/>
      <c r="W731" s="269"/>
      <c r="X731" s="269"/>
      <c r="Y731" s="275"/>
      <c r="Z731" s="269"/>
      <c r="AA731" s="57"/>
      <c r="AB731" s="207"/>
      <c r="AC731" s="33"/>
      <c r="AD731" s="189"/>
      <c r="AE731" s="54"/>
      <c r="AF731" s="55"/>
      <c r="AG731" s="43"/>
      <c r="AH731" s="47"/>
      <c r="AI731" s="30"/>
      <c r="AJ731" s="30"/>
      <c r="AK731" s="30"/>
      <c r="AL731" s="30"/>
      <c r="AM731" s="13"/>
      <c r="AN731" s="13"/>
      <c r="AO731" s="13"/>
      <c r="AP731" s="13"/>
      <c r="AQ731" s="13"/>
      <c r="AR731" s="14"/>
      <c r="AS731" s="15"/>
    </row>
    <row r="732" spans="1:45" s="17" customFormat="1" ht="30.95" hidden="1" customHeight="1" x14ac:dyDescent="0.2">
      <c r="A732" s="37" t="s">
        <v>770</v>
      </c>
      <c r="B732" s="38" t="s">
        <v>445</v>
      </c>
      <c r="C732" s="45"/>
      <c r="D732" s="31"/>
      <c r="E732" s="31"/>
      <c r="F732" s="268"/>
      <c r="G732" s="269"/>
      <c r="H732" s="269"/>
      <c r="I732" s="270"/>
      <c r="J732" s="210" t="s">
        <v>448</v>
      </c>
      <c r="K732" s="270"/>
      <c r="L732" s="270"/>
      <c r="M732" s="39"/>
      <c r="N732" s="39"/>
      <c r="O732" s="156"/>
      <c r="P732" s="47"/>
      <c r="Q732" s="57"/>
      <c r="R732" s="271"/>
      <c r="S732" s="272"/>
      <c r="T732" s="273"/>
      <c r="U732" s="40"/>
      <c r="V732" s="274"/>
      <c r="W732" s="269"/>
      <c r="X732" s="269"/>
      <c r="Y732" s="275"/>
      <c r="Z732" s="269"/>
      <c r="AA732" s="57"/>
      <c r="AB732" s="207"/>
      <c r="AC732" s="33"/>
      <c r="AD732" s="189"/>
      <c r="AE732" s="54"/>
      <c r="AF732" s="55"/>
      <c r="AG732" s="43"/>
      <c r="AH732" s="47"/>
      <c r="AI732" s="30"/>
      <c r="AJ732" s="30"/>
      <c r="AK732" s="30"/>
      <c r="AL732" s="30"/>
      <c r="AM732" s="13"/>
      <c r="AN732" s="13"/>
      <c r="AO732" s="13"/>
      <c r="AP732" s="13"/>
      <c r="AQ732" s="13"/>
      <c r="AR732" s="14"/>
      <c r="AS732" s="15"/>
    </row>
    <row r="733" spans="1:45" s="17" customFormat="1" ht="30.95" hidden="1" customHeight="1" x14ac:dyDescent="0.2">
      <c r="A733" s="37"/>
      <c r="B733" s="38"/>
      <c r="C733" s="45"/>
      <c r="D733" s="31"/>
      <c r="E733" s="31"/>
      <c r="F733" s="268"/>
      <c r="G733" s="269"/>
      <c r="H733" s="269"/>
      <c r="I733" s="270"/>
      <c r="J733" s="210"/>
      <c r="K733" s="270"/>
      <c r="L733" s="270"/>
      <c r="M733" s="39"/>
      <c r="N733" s="39"/>
      <c r="O733" s="156"/>
      <c r="P733" s="47"/>
      <c r="Q733" s="57"/>
      <c r="R733" s="271"/>
      <c r="S733" s="272"/>
      <c r="T733" s="273"/>
      <c r="U733" s="40"/>
      <c r="V733" s="274"/>
      <c r="W733" s="269"/>
      <c r="X733" s="269"/>
      <c r="Y733" s="275"/>
      <c r="Z733" s="269"/>
      <c r="AA733" s="57"/>
      <c r="AB733" s="207"/>
      <c r="AC733" s="33"/>
      <c r="AD733" s="189"/>
      <c r="AE733" s="54"/>
      <c r="AF733" s="55"/>
      <c r="AG733" s="43"/>
      <c r="AH733" s="47"/>
      <c r="AI733" s="30"/>
      <c r="AJ733" s="30"/>
      <c r="AK733" s="30"/>
      <c r="AL733" s="30"/>
      <c r="AM733" s="13"/>
      <c r="AN733" s="13"/>
      <c r="AO733" s="13"/>
      <c r="AP733" s="13"/>
      <c r="AQ733" s="13"/>
      <c r="AR733" s="14"/>
      <c r="AS733" s="15"/>
    </row>
    <row r="734" spans="1:45" s="17" customFormat="1" ht="30.95" hidden="1" customHeight="1" x14ac:dyDescent="0.2">
      <c r="A734" s="37" t="s">
        <v>492</v>
      </c>
      <c r="B734" s="38" t="s">
        <v>446</v>
      </c>
      <c r="C734" s="45"/>
      <c r="D734" s="31"/>
      <c r="E734" s="31"/>
      <c r="F734" s="268"/>
      <c r="G734" s="269"/>
      <c r="H734" s="269"/>
      <c r="I734" s="270"/>
      <c r="J734" s="210" t="s">
        <v>448</v>
      </c>
      <c r="K734" s="270"/>
      <c r="L734" s="270"/>
      <c r="M734" s="39"/>
      <c r="N734" s="39"/>
      <c r="O734" s="156"/>
      <c r="P734" s="47"/>
      <c r="Q734" s="57"/>
      <c r="R734" s="271"/>
      <c r="S734" s="272"/>
      <c r="T734" s="273"/>
      <c r="U734" s="40"/>
      <c r="V734" s="274"/>
      <c r="W734" s="269"/>
      <c r="X734" s="269"/>
      <c r="Y734" s="275"/>
      <c r="Z734" s="269"/>
      <c r="AA734" s="57"/>
      <c r="AB734" s="207"/>
      <c r="AC734" s="33"/>
      <c r="AD734" s="189"/>
      <c r="AE734" s="54"/>
      <c r="AF734" s="55"/>
      <c r="AG734" s="43"/>
      <c r="AH734" s="47"/>
      <c r="AI734" s="30"/>
      <c r="AJ734" s="30"/>
      <c r="AK734" s="30"/>
      <c r="AL734" s="30"/>
      <c r="AM734" s="13"/>
      <c r="AN734" s="13"/>
      <c r="AO734" s="13"/>
      <c r="AP734" s="13"/>
      <c r="AQ734" s="13"/>
      <c r="AR734" s="14"/>
      <c r="AS734" s="15"/>
    </row>
    <row r="735" spans="1:45" s="17" customFormat="1" ht="30.95" hidden="1" customHeight="1" x14ac:dyDescent="0.2">
      <c r="A735" s="37"/>
      <c r="B735" s="38"/>
      <c r="C735" s="45"/>
      <c r="D735" s="31"/>
      <c r="E735" s="31"/>
      <c r="F735" s="268"/>
      <c r="G735" s="269"/>
      <c r="H735" s="269"/>
      <c r="I735" s="270"/>
      <c r="J735" s="210"/>
      <c r="K735" s="270"/>
      <c r="L735" s="270"/>
      <c r="M735" s="39"/>
      <c r="N735" s="39"/>
      <c r="O735" s="156"/>
      <c r="P735" s="47"/>
      <c r="Q735" s="57"/>
      <c r="R735" s="271"/>
      <c r="S735" s="272"/>
      <c r="T735" s="273"/>
      <c r="U735" s="40"/>
      <c r="V735" s="274"/>
      <c r="W735" s="269"/>
      <c r="X735" s="269"/>
      <c r="Y735" s="275"/>
      <c r="Z735" s="269"/>
      <c r="AA735" s="57"/>
      <c r="AB735" s="207"/>
      <c r="AC735" s="33"/>
      <c r="AD735" s="189"/>
      <c r="AE735" s="54"/>
      <c r="AF735" s="55"/>
      <c r="AG735" s="43"/>
      <c r="AH735" s="47"/>
      <c r="AI735" s="30"/>
      <c r="AJ735" s="30"/>
      <c r="AK735" s="30"/>
      <c r="AL735" s="30"/>
      <c r="AM735" s="13"/>
      <c r="AN735" s="13"/>
      <c r="AO735" s="13"/>
      <c r="AP735" s="13"/>
      <c r="AQ735" s="13"/>
      <c r="AR735" s="14"/>
      <c r="AS735" s="15"/>
    </row>
    <row r="736" spans="1:45" s="17" customFormat="1" ht="30.95" hidden="1" customHeight="1" x14ac:dyDescent="0.2">
      <c r="A736" s="37" t="s">
        <v>1261</v>
      </c>
      <c r="B736" s="38" t="s">
        <v>1262</v>
      </c>
      <c r="C736" s="45"/>
      <c r="D736" s="31">
        <v>3716268</v>
      </c>
      <c r="E736" s="31">
        <v>4161976</v>
      </c>
      <c r="F736" s="268" t="str">
        <f>IF(D736="","",VLOOKUP(D736,契約台帳!$A$3:$K$4986,6,FALSE)&amp;VLOOKUP(D736,契約台帳!$A$3:$K$4986,7,FALSE)&amp;VLOOKUP(D736,契約台帳!$A$3:$K$4986,8,FALSE)&amp;VLOOKUP(D736,契約台帳!$A$3:$K$4986,9,FALSE)&amp;VLOOKUP(D736,契約台帳!$A$3:$K$4986,11,FALSE))</f>
        <v>3SNMLBMNQR66F</v>
      </c>
      <c r="G736" s="269" t="str">
        <f>IF(D736="","",VLOOKUP(F736,製品マスタ!$G$5:$H$5002,2,FALSE))</f>
        <v>S</v>
      </c>
      <c r="H736" s="269" t="str">
        <f>IF(D736="","",VLOOKUP(F736,製品マスタ!$G$5:$K$5002,5,FALSE))</f>
        <v>MNQR66F</v>
      </c>
      <c r="I736" s="270" t="str">
        <f>IF(D736="","",VLOOKUP(F736,製品マスタ!$G$5:$L$5002,6,FALSE))</f>
        <v>ＱＲ６６蒸着品</v>
      </c>
      <c r="J736" s="210" t="s">
        <v>935</v>
      </c>
      <c r="K736" s="270">
        <f>IF(D736="","",VLOOKUP(D736,契約台帳!$A$3:$L$4986,12,FALSE))</f>
        <v>25</v>
      </c>
      <c r="L736" s="270" t="str">
        <f>IF(D736="","",INDEX(製品マスタ!$Q$5:$Q$5002,MATCH('S4'!F736&amp;'S4'!K736,製品マスタ!$AO$5:$AO$5002,0)))</f>
        <v>E315</v>
      </c>
      <c r="M736" s="39">
        <v>1100</v>
      </c>
      <c r="N736" s="39">
        <v>6000</v>
      </c>
      <c r="O736" s="156">
        <v>8</v>
      </c>
      <c r="P736" s="47">
        <v>4</v>
      </c>
      <c r="Q736" s="213">
        <v>45105</v>
      </c>
      <c r="R736" s="271">
        <f ca="1">IF(D736="","",IF(OFFSET(D736,-1,0)&lt;&gt;"","",IF(OR(J736="リード付け",J736="巻足し",J736="巻返しリード付け"),M736,VLOOKUP(D736,契約台帳!$A$3:$N$4986,14,FALSE))))</f>
        <v>1100</v>
      </c>
      <c r="S736" s="272">
        <f ca="1">IF(D736="","",IF(OFFSET(D736,-1,0)&lt;&gt;"","",IF(OR(J736="リード付け",J736="巻足し",J736="巻返しリード付け"),M736,VLOOKUP(D736,契約台帳!$A$3:$O$4986,15,FALSE))))</f>
        <v>1100</v>
      </c>
      <c r="T736" s="273">
        <f ca="1">IF(D736="","",IF(J736="リード付け",N736,IF(J736="巻返しリード付け",N736,IF(J736="巻足し",N736*P736+OFFSET(N736,1,0)*OFFSET(P736,1,0),VLOOKUP(D736,契約台帳!$A$3:$P$4986,16,FALSE)))))</f>
        <v>24000</v>
      </c>
      <c r="U736" s="40">
        <v>2</v>
      </c>
      <c r="V736" s="274">
        <f ca="1">IF(D736="","",IF(OFFSET(D736,-2,0)=D736,"",VLOOKUP(D736,契約台帳!$A$3:$R$4986,18,FALSE)))</f>
        <v>8</v>
      </c>
      <c r="W736" s="269" t="str">
        <f ca="1">IF(D736="","",IF(T736="","",IF(OR(J736="巻足し",J736="巻返しリード付け"),"",IF(J736="巻返し",VLOOKUP(F736&amp;K736&amp;M736,製品マスタ!$M$5:$AD$5002,18,FALSE),IF(OR(J736="リード付け",J736="巻返しリード付け"),"原反コア",IF(J736="スリット",VLOOKUP(F736&amp;K736&amp;R736,製品マスタ!$N$5:$AD$5002,17,FALSE),""))))))</f>
        <v/>
      </c>
      <c r="X736" s="269" t="str">
        <f ca="1">IF(D736="","",IF(T736="","",IF(J736="巻足し","",IF(J736="巻返し",VLOOKUP(F736&amp;K736&amp;M736,製品マスタ!$M$5:$AE$5002,19,FALSE),IF(OR(J736="リード付け",J736="巻返しリード付け"),"",IF(J736="スリット",VLOOKUP(F736&amp;K736&amp;R736,製品マスタ!$N$5:$AE$5002,18,FALSE),""))))))</f>
        <v/>
      </c>
      <c r="Y736" s="275">
        <f ca="1">IF(D736="","",IF(T736="","",VLOOKUP(D736,契約台帳!$A$3:$Q$4986,17,FALSE)))</f>
        <v>2</v>
      </c>
      <c r="Z736" s="269" t="str">
        <f ca="1">IF(D736="","",IF(T736="","",VLOOKUP(D736,契約台帳!$A$3:$E$4986,5,FALSE)))</f>
        <v>リンテック㈱</v>
      </c>
      <c r="AA736" s="57"/>
      <c r="AB736" s="207" t="str">
        <f>IFERROR((VLOOKUP(F736&amp;K736&amp;M736,製品マスタ!$M$5:$AM$5002,27,FALSE)),"")</f>
        <v>原反ケース再利用</v>
      </c>
      <c r="AC736" s="33"/>
      <c r="AD736" s="189"/>
      <c r="AE736" s="54"/>
      <c r="AF736" s="55"/>
      <c r="AG736" s="43"/>
      <c r="AH736" s="47"/>
      <c r="AI736" s="30"/>
      <c r="AJ736" s="30"/>
      <c r="AK736" s="30"/>
      <c r="AL736" s="30"/>
      <c r="AM736" s="13"/>
      <c r="AN736" s="13"/>
      <c r="AO736" s="13"/>
      <c r="AP736" s="13"/>
      <c r="AQ736" s="13"/>
      <c r="AR736" s="14"/>
      <c r="AS736" s="15"/>
    </row>
    <row r="737" spans="1:45" s="17" customFormat="1" ht="30.95" hidden="1" customHeight="1" x14ac:dyDescent="0.2">
      <c r="A737" s="37"/>
      <c r="B737" s="38"/>
      <c r="C737" s="45"/>
      <c r="D737" s="31"/>
      <c r="E737" s="31"/>
      <c r="F737" s="268"/>
      <c r="G737" s="269"/>
      <c r="H737" s="269"/>
      <c r="I737" s="270"/>
      <c r="J737" s="210"/>
      <c r="K737" s="270"/>
      <c r="L737" s="270"/>
      <c r="M737" s="39"/>
      <c r="N737" s="39"/>
      <c r="O737" s="156"/>
      <c r="P737" s="47"/>
      <c r="Q737" s="57"/>
      <c r="R737" s="271"/>
      <c r="S737" s="272"/>
      <c r="T737" s="273"/>
      <c r="U737" s="40"/>
      <c r="V737" s="274"/>
      <c r="W737" s="269"/>
      <c r="X737" s="269"/>
      <c r="Y737" s="275"/>
      <c r="Z737" s="269"/>
      <c r="AA737" s="57"/>
      <c r="AB737" s="207"/>
      <c r="AC737" s="33"/>
      <c r="AD737" s="189"/>
      <c r="AE737" s="54"/>
      <c r="AF737" s="55"/>
      <c r="AG737" s="43"/>
      <c r="AH737" s="47"/>
      <c r="AI737" s="30"/>
      <c r="AJ737" s="30"/>
      <c r="AK737" s="30"/>
      <c r="AL737" s="30"/>
      <c r="AM737" s="13"/>
      <c r="AN737" s="13"/>
      <c r="AO737" s="13"/>
      <c r="AP737" s="13"/>
      <c r="AQ737" s="13"/>
      <c r="AR737" s="14"/>
      <c r="AS737" s="15"/>
    </row>
    <row r="738" spans="1:45" s="337" customFormat="1" ht="30.95" hidden="1" customHeight="1" x14ac:dyDescent="0.2">
      <c r="A738" s="320"/>
      <c r="B738" s="321"/>
      <c r="C738" s="322"/>
      <c r="D738" s="279" t="s">
        <v>1276</v>
      </c>
      <c r="E738" s="279" t="s">
        <v>1277</v>
      </c>
      <c r="F738" s="323" t="e">
        <f>IF(D738="","",VLOOKUP(D738,[1]契約台帳!$A$3:$X$9998,6,FALSE))&amp;IF(D738="","",VLOOKUP(D738,[1]契約台帳!$A$3:$X$9998,7,FALSE))&amp;IF(D738="","",VLOOKUP(D738,[1]契約台帳!$A$3:$X$9998,8,FALSE))&amp;IF(D738="","",VLOOKUP(D738,[1]契約台帳!$A$3:$X$9998,9,FALSE))&amp;IF(D738="","",VLOOKUP(D738,[1]契約台帳!$A$3:$X$9998,11,FALSE))</f>
        <v>#N/A</v>
      </c>
      <c r="G738" s="279" t="e">
        <f>IF(D738="","",VLOOKUP(F738,[1]製品マスタ!$G$5:$H$1006,2,FALSE))</f>
        <v>#N/A</v>
      </c>
      <c r="H738" s="279" t="e">
        <f>IF(D738="","",VLOOKUP(F738,[1]製品マスタ!$G$5:$K$1006,5,FALSE))</f>
        <v>#N/A</v>
      </c>
      <c r="I738" s="324" t="s">
        <v>1267</v>
      </c>
      <c r="J738" s="325" t="s">
        <v>1269</v>
      </c>
      <c r="K738" s="324">
        <v>100</v>
      </c>
      <c r="L738" s="324" t="s">
        <v>1268</v>
      </c>
      <c r="M738" s="326">
        <v>1100</v>
      </c>
      <c r="N738" s="326">
        <v>1600</v>
      </c>
      <c r="O738" s="327">
        <v>1</v>
      </c>
      <c r="P738" s="175">
        <v>1</v>
      </c>
      <c r="Q738" s="213">
        <v>45106</v>
      </c>
      <c r="R738" s="271">
        <v>1100</v>
      </c>
      <c r="S738" s="272">
        <v>1100</v>
      </c>
      <c r="T738" s="273">
        <v>1600</v>
      </c>
      <c r="U738" s="183">
        <v>1</v>
      </c>
      <c r="V738" s="183">
        <v>1</v>
      </c>
      <c r="W738" s="279" t="str">
        <f>IF(D738="","",IF(T738="","",IF(OR(J738="巻足し",J738="巻返しリード付け"),"",IF(J738="巻返し",VLOOKUP(F738&amp;K738&amp;M738,[1]製品マスタ!$M$5:$AE$1006,18,FALSE),IF(OR(J738="リード付け",J738="巻返しリード付け"),"原反コア",IF(J738="スリット",VLOOKUP(F738&amp;K738&amp;R738,[1]製品マスタ!$N$5:$AE$1006,17,FALSE),""))))))</f>
        <v>原反コア</v>
      </c>
      <c r="X738" s="279" t="str">
        <f>IF(D738="","",IF(T738="","",IF(J738="巻足し","",IF(J738="巻返し",VLOOKUP(F738&amp;K738&amp;M738,[1]製品マスタ!$M$5:$AE$1006,19,FALSE),IF(OR(J738="リード付け",J738="巻返しリード付け"),"",IF(J738="スリット",VLOOKUP(F738&amp;K738&amp;R738,[1]製品マスタ!$N$5:$AE$1006,18,FALSE),""))))))</f>
        <v/>
      </c>
      <c r="Y738" s="279" t="e">
        <f>IF(D738="","",IF(T738="","",VLOOKUP(D738,[1]契約台帳!$A$3:$X$700,17,FALSE)))</f>
        <v>#N/A</v>
      </c>
      <c r="Z738" s="279" t="s">
        <v>1270</v>
      </c>
      <c r="AA738" s="329"/>
      <c r="AB738" s="207" t="str">
        <f>IFERROR(VLOOKUP(F738&amp;K738&amp;M738,[1]製品マスタ!$M$5:$AM$1004,27,FALSE),"")</f>
        <v/>
      </c>
      <c r="AC738" s="330"/>
      <c r="AD738" s="331"/>
      <c r="AE738" s="332"/>
      <c r="AF738" s="216"/>
      <c r="AG738" s="326"/>
      <c r="AH738" s="340"/>
      <c r="AI738" s="333"/>
      <c r="AJ738" s="333"/>
      <c r="AK738" s="333"/>
      <c r="AL738" s="334"/>
      <c r="AM738" s="334"/>
      <c r="AN738" s="334"/>
      <c r="AO738" s="334"/>
      <c r="AP738" s="334"/>
      <c r="AQ738" s="335"/>
      <c r="AR738" s="336"/>
    </row>
    <row r="739" spans="1:45" s="17" customFormat="1" ht="30.95" hidden="1" customHeight="1" x14ac:dyDescent="0.2">
      <c r="A739" s="37"/>
      <c r="B739" s="38"/>
      <c r="C739" s="45"/>
      <c r="D739" s="31"/>
      <c r="E739" s="31"/>
      <c r="F739" s="268"/>
      <c r="G739" s="269"/>
      <c r="H739" s="269"/>
      <c r="I739" s="270"/>
      <c r="J739" s="210"/>
      <c r="K739" s="270"/>
      <c r="L739" s="270"/>
      <c r="M739" s="39"/>
      <c r="N739" s="39"/>
      <c r="O739" s="156"/>
      <c r="P739" s="47"/>
      <c r="Q739" s="57"/>
      <c r="R739" s="271"/>
      <c r="S739" s="272"/>
      <c r="T739" s="273"/>
      <c r="U739" s="40"/>
      <c r="V739" s="274"/>
      <c r="W739" s="269"/>
      <c r="X739" s="269"/>
      <c r="Y739" s="275"/>
      <c r="Z739" s="269"/>
      <c r="AA739" s="57"/>
      <c r="AB739" s="207"/>
      <c r="AC739" s="33"/>
      <c r="AD739" s="189"/>
      <c r="AE739" s="54"/>
      <c r="AF739" s="55"/>
      <c r="AG739" s="43"/>
      <c r="AH739" s="47"/>
      <c r="AI739" s="30"/>
      <c r="AJ739" s="30"/>
      <c r="AK739" s="30"/>
      <c r="AL739" s="30"/>
      <c r="AM739" s="13"/>
      <c r="AN739" s="13"/>
      <c r="AO739" s="13"/>
      <c r="AP739" s="13"/>
      <c r="AQ739" s="13"/>
      <c r="AR739" s="14"/>
      <c r="AS739" s="15"/>
    </row>
    <row r="740" spans="1:45" s="17" customFormat="1" ht="30.95" hidden="1" customHeight="1" x14ac:dyDescent="0.2">
      <c r="A740" s="37"/>
      <c r="B740" s="38"/>
      <c r="C740" s="45"/>
      <c r="D740" s="31">
        <v>3716250</v>
      </c>
      <c r="E740" s="31">
        <v>4161943</v>
      </c>
      <c r="F740" s="268" t="str">
        <f>IF(D740="","",VLOOKUP(D740,契約台帳!$A$3:$K$4986,6,FALSE)&amp;VLOOKUP(D740,契約台帳!$A$3:$K$4986,7,FALSE)&amp;VLOOKUP(D740,契約台帳!$A$3:$K$4986,8,FALSE)&amp;VLOOKUP(D740,契約台帳!$A$3:$K$4986,9,FALSE)&amp;VLOOKUP(D740,契約台帳!$A$3:$K$4986,11,FALSE))</f>
        <v>3SNMLBMNGKBF</v>
      </c>
      <c r="G740" s="269" t="str">
        <f>IF(D740="","",VLOOKUP(F740,製品マスタ!$G$5:$H$5002,2,FALSE))</f>
        <v>S</v>
      </c>
      <c r="H740" s="269" t="str">
        <f>IF(D740="","",VLOOKUP(F740,製品マスタ!$G$5:$K$5002,5,FALSE))</f>
        <v>MNGKBF</v>
      </c>
      <c r="I740" s="270" t="str">
        <f>IF(D740="","",VLOOKUP(F740,製品マスタ!$G$5:$L$5002,6,FALSE))</f>
        <v>メタルミー　ネーマー銀消　Ｂ</v>
      </c>
      <c r="J740" s="210" t="s">
        <v>935</v>
      </c>
      <c r="K740" s="270">
        <f>IF(D740="","",VLOOKUP(D740,契約台帳!$A$3:$L$4986,12,FALSE))</f>
        <v>25</v>
      </c>
      <c r="L740" s="270" t="str">
        <f>IF(D740="","",INDEX(製品マスタ!$Q$5:$Q$5002,MATCH('S4'!F740&amp;'S4'!K740,製品マスタ!$AO$5:$AO$5002,0)))</f>
        <v>LUMIMAT</v>
      </c>
      <c r="M740" s="39">
        <v>1050</v>
      </c>
      <c r="N740" s="39">
        <v>4000</v>
      </c>
      <c r="O740" s="156">
        <v>2</v>
      </c>
      <c r="P740" s="47">
        <v>2</v>
      </c>
      <c r="Q740" s="213">
        <v>45105</v>
      </c>
      <c r="R740" s="271">
        <f ca="1">IF(D740="","",IF(OFFSET(D740,-1,0)&lt;&gt;"","",IF(OR(J740="リード付け",J740="巻足し",J740="巻返しリード付け"),M740,VLOOKUP(D740,契約台帳!$A$3:$N$4986,14,FALSE))))</f>
        <v>1050</v>
      </c>
      <c r="S740" s="272">
        <f ca="1">IF(D740="","",IF(OFFSET(D740,-1,0)&lt;&gt;"","",IF(OR(J740="リード付け",J740="巻足し",J740="巻返しリード付け"),M740,VLOOKUP(D740,契約台帳!$A$3:$O$4986,15,FALSE))))</f>
        <v>1050</v>
      </c>
      <c r="T740" s="273">
        <f ca="1">IF(D740="","",IF(J740="リード付け",N740,IF(J740="巻返しリード付け",N740,IF(J740="巻足し",N740*P740+OFFSET(N740,1,0)*OFFSET(P740,1,0),VLOOKUP(D740,契約台帳!$A$3:$P$4986,16,FALSE)))))</f>
        <v>8000</v>
      </c>
      <c r="U740" s="40">
        <v>1</v>
      </c>
      <c r="V740" s="274">
        <f ca="1">IF(D740="","",IF(OFFSET(D740,-2,0)=D740,"",VLOOKUP(D740,契約台帳!$A$3:$R$4986,18,FALSE)))</f>
        <v>2</v>
      </c>
      <c r="W740" s="269" t="str">
        <f ca="1">IF(D740="","",IF(T740="","",IF(OR(J740="巻足し",J740="巻返しリード付け"),"",IF(J740="巻返し",VLOOKUP(F740&amp;K740&amp;M740,製品マスタ!$M$5:$AD$5002,18,FALSE),IF(OR(J740="リード付け",J740="巻返しリード付け"),"原反コア",IF(J740="スリット",VLOOKUP(F740&amp;K740&amp;R740,製品マスタ!$N$5:$AD$5002,17,FALSE),""))))))</f>
        <v/>
      </c>
      <c r="X740" s="269" t="str">
        <f ca="1">IF(D740="","",IF(T740="","",IF(J740="巻足し","",IF(J740="巻返し",VLOOKUP(F740&amp;K740&amp;M740,製品マスタ!$M$5:$AE$5002,19,FALSE),IF(OR(J740="リード付け",J740="巻返しリード付け"),"",IF(J740="スリット",VLOOKUP(F740&amp;K740&amp;R740,製品マスタ!$N$5:$AE$5002,18,FALSE),""))))))</f>
        <v/>
      </c>
      <c r="Y740" s="275">
        <f ca="1">IF(D740="","",IF(T740="","",VLOOKUP(D740,契約台帳!$A$3:$Q$4986,17,FALSE)))</f>
        <v>2</v>
      </c>
      <c r="Z740" s="269" t="str">
        <f ca="1">IF(D740="","",IF(T740="","",VLOOKUP(D740,契約台帳!$A$3:$E$4986,5,FALSE)))</f>
        <v>リンテック㈱</v>
      </c>
      <c r="AA740" s="57"/>
      <c r="AB740" s="207">
        <f>IFERROR((VLOOKUP(F740&amp;K740&amp;M740,製品マスタ!$M$5:$AM$5002,27,FALSE)),"")</f>
        <v>0</v>
      </c>
      <c r="AC740" s="33"/>
      <c r="AD740" s="189"/>
      <c r="AE740" s="54"/>
      <c r="AF740" s="55"/>
      <c r="AG740" s="43"/>
      <c r="AH740" s="47"/>
      <c r="AI740" s="30"/>
      <c r="AJ740" s="30"/>
      <c r="AK740" s="30"/>
      <c r="AL740" s="30"/>
      <c r="AM740" s="13"/>
      <c r="AN740" s="13"/>
      <c r="AO740" s="13"/>
      <c r="AP740" s="13"/>
      <c r="AQ740" s="13"/>
      <c r="AR740" s="14"/>
      <c r="AS740" s="15"/>
    </row>
    <row r="741" spans="1:45" s="17" customFormat="1" ht="30.95" hidden="1" customHeight="1" x14ac:dyDescent="0.2">
      <c r="A741" s="37"/>
      <c r="B741" s="38"/>
      <c r="C741" s="45"/>
      <c r="D741" s="31"/>
      <c r="E741" s="31"/>
      <c r="F741" s="268"/>
      <c r="G741" s="269"/>
      <c r="H741" s="269"/>
      <c r="I741" s="270"/>
      <c r="J741" s="210"/>
      <c r="K741" s="270"/>
      <c r="L741" s="270"/>
      <c r="M741" s="39"/>
      <c r="N741" s="39"/>
      <c r="O741" s="156"/>
      <c r="P741" s="47"/>
      <c r="Q741" s="57"/>
      <c r="R741" s="271"/>
      <c r="S741" s="272"/>
      <c r="T741" s="273"/>
      <c r="U741" s="40"/>
      <c r="V741" s="274"/>
      <c r="W741" s="269"/>
      <c r="X741" s="269"/>
      <c r="Y741" s="275"/>
      <c r="Z741" s="269"/>
      <c r="AA741" s="57"/>
      <c r="AB741" s="207"/>
      <c r="AC741" s="33"/>
      <c r="AD741" s="189"/>
      <c r="AE741" s="54"/>
      <c r="AF741" s="55"/>
      <c r="AG741" s="43"/>
      <c r="AH741" s="47"/>
      <c r="AI741" s="30"/>
      <c r="AJ741" s="30"/>
      <c r="AK741" s="30"/>
      <c r="AL741" s="30"/>
      <c r="AM741" s="13"/>
      <c r="AN741" s="13"/>
      <c r="AO741" s="13"/>
      <c r="AP741" s="13"/>
      <c r="AQ741" s="13"/>
      <c r="AR741" s="14"/>
      <c r="AS741" s="15"/>
    </row>
    <row r="742" spans="1:45" s="17" customFormat="1" ht="30.95" hidden="1" customHeight="1" x14ac:dyDescent="0.2">
      <c r="A742" s="37"/>
      <c r="B742" s="38"/>
      <c r="C742" s="45"/>
      <c r="D742" s="31">
        <v>3716251</v>
      </c>
      <c r="E742" s="31">
        <v>4161945</v>
      </c>
      <c r="F742" s="268" t="str">
        <f>IF(D742="","",VLOOKUP(D742,契約台帳!$A$3:$K$4986,6,FALSE)&amp;VLOOKUP(D742,契約台帳!$A$3:$K$4986,7,FALSE)&amp;VLOOKUP(D742,契約台帳!$A$3:$K$4986,8,FALSE)&amp;VLOOKUP(D742,契約台帳!$A$3:$K$4986,9,FALSE)&amp;VLOOKUP(D742,契約台帳!$A$3:$K$4986,11,FALSE))</f>
        <v>3SNMLBMNGKBF</v>
      </c>
      <c r="G742" s="269" t="str">
        <f>IF(D742="","",VLOOKUP(F742,製品マスタ!$G$5:$H$5002,2,FALSE))</f>
        <v>S</v>
      </c>
      <c r="H742" s="269" t="str">
        <f>IF(D742="","",VLOOKUP(F742,製品マスタ!$G$5:$K$5002,5,FALSE))</f>
        <v>MNGKBF</v>
      </c>
      <c r="I742" s="270" t="str">
        <f>IF(D742="","",VLOOKUP(F742,製品マスタ!$G$5:$L$5002,6,FALSE))</f>
        <v>メタルミー　ネーマー銀消　Ｂ</v>
      </c>
      <c r="J742" s="210" t="s">
        <v>935</v>
      </c>
      <c r="K742" s="270">
        <f>IF(D742="","",VLOOKUP(D742,契約台帳!$A$3:$L$4986,12,FALSE))</f>
        <v>50</v>
      </c>
      <c r="L742" s="270" t="str">
        <f>IF(D742="","",INDEX(製品マスタ!$Q$5:$Q$5002,MATCH('S4'!F742&amp;'S4'!K742,製品マスタ!$AO$5:$AO$5002,0)))</f>
        <v>MAT</v>
      </c>
      <c r="M742" s="39">
        <v>1050</v>
      </c>
      <c r="N742" s="39">
        <v>4100</v>
      </c>
      <c r="O742" s="156">
        <v>3</v>
      </c>
      <c r="P742" s="47">
        <v>3</v>
      </c>
      <c r="Q742" s="213">
        <v>45105</v>
      </c>
      <c r="R742" s="271">
        <f ca="1">IF(D742="","",IF(OFFSET(D742,-1,0)&lt;&gt;"","",IF(OR(J742="リード付け",J742="巻足し",J742="巻返しリード付け"),M742,VLOOKUP(D742,契約台帳!$A$3:$N$4986,14,FALSE))))</f>
        <v>1050</v>
      </c>
      <c r="S742" s="272">
        <f ca="1">IF(D742="","",IF(OFFSET(D742,-1,0)&lt;&gt;"","",IF(OR(J742="リード付け",J742="巻足し",J742="巻返しリード付け"),M742,VLOOKUP(D742,契約台帳!$A$3:$O$4986,15,FALSE))))</f>
        <v>1050</v>
      </c>
      <c r="T742" s="273">
        <f ca="1">IF(D742="","",IF(J742="リード付け",N742,IF(J742="巻返しリード付け",N742,IF(J742="巻足し",N742*P742+OFFSET(N742,1,0)*OFFSET(P742,1,0),VLOOKUP(D742,契約台帳!$A$3:$P$4986,16,FALSE)))))</f>
        <v>12300</v>
      </c>
      <c r="U742" s="40">
        <v>1</v>
      </c>
      <c r="V742" s="274">
        <f ca="1">IF(D742="","",IF(OFFSET(D742,-2,0)=D742,"",VLOOKUP(D742,契約台帳!$A$3:$R$4986,18,FALSE)))</f>
        <v>3</v>
      </c>
      <c r="W742" s="269" t="str">
        <f ca="1">IF(D742="","",IF(T742="","",IF(OR(J742="巻足し",J742="巻返しリード付け"),"",IF(J742="巻返し",VLOOKUP(F742&amp;K742&amp;M742,製品マスタ!$M$5:$AD$5002,18,FALSE),IF(OR(J742="リード付け",J742="巻返しリード付け"),"原反コア",IF(J742="スリット",VLOOKUP(F742&amp;K742&amp;R742,製品マスタ!$N$5:$AD$5002,17,FALSE),""))))))</f>
        <v/>
      </c>
      <c r="X742" s="269" t="str">
        <f ca="1">IF(D742="","",IF(T742="","",IF(J742="巻足し","",IF(J742="巻返し",VLOOKUP(F742&amp;K742&amp;M742,製品マスタ!$M$5:$AE$5002,19,FALSE),IF(OR(J742="リード付け",J742="巻返しリード付け"),"",IF(J742="スリット",VLOOKUP(F742&amp;K742&amp;R742,製品マスタ!$N$5:$AE$5002,18,FALSE),""))))))</f>
        <v/>
      </c>
      <c r="Y742" s="275">
        <f ca="1">IF(D742="","",IF(T742="","",VLOOKUP(D742,契約台帳!$A$3:$Q$4986,17,FALSE)))</f>
        <v>2</v>
      </c>
      <c r="Z742" s="269" t="str">
        <f ca="1">IF(D742="","",IF(T742="","",VLOOKUP(D742,契約台帳!$A$3:$E$4986,5,FALSE)))</f>
        <v>リンテック㈱</v>
      </c>
      <c r="AA742" s="57"/>
      <c r="AB742" s="207">
        <f>IFERROR((VLOOKUP(F742&amp;K742&amp;M742,製品マスタ!$M$5:$AM$5002,27,FALSE)),"")</f>
        <v>0</v>
      </c>
      <c r="AC742" s="33"/>
      <c r="AD742" s="189"/>
      <c r="AE742" s="54"/>
      <c r="AF742" s="55"/>
      <c r="AG742" s="43"/>
      <c r="AH742" s="47"/>
      <c r="AI742" s="30"/>
      <c r="AJ742" s="30"/>
      <c r="AK742" s="30"/>
      <c r="AL742" s="30"/>
      <c r="AM742" s="13"/>
      <c r="AN742" s="13"/>
      <c r="AO742" s="13"/>
      <c r="AP742" s="13"/>
      <c r="AQ742" s="13"/>
      <c r="AR742" s="14"/>
      <c r="AS742" s="15"/>
    </row>
    <row r="743" spans="1:45" s="17" customFormat="1" ht="30.95" hidden="1" customHeight="1" x14ac:dyDescent="0.2">
      <c r="A743" s="37"/>
      <c r="B743" s="38"/>
      <c r="C743" s="45"/>
      <c r="D743" s="31"/>
      <c r="E743" s="31"/>
      <c r="F743" s="268"/>
      <c r="G743" s="269"/>
      <c r="H743" s="269"/>
      <c r="I743" s="270"/>
      <c r="J743" s="210"/>
      <c r="K743" s="270"/>
      <c r="L743" s="270"/>
      <c r="M743" s="39"/>
      <c r="N743" s="39"/>
      <c r="O743" s="156"/>
      <c r="P743" s="47"/>
      <c r="Q743" s="57"/>
      <c r="R743" s="271"/>
      <c r="S743" s="272"/>
      <c r="T743" s="273"/>
      <c r="U743" s="40"/>
      <c r="V743" s="274"/>
      <c r="W743" s="269"/>
      <c r="X743" s="269"/>
      <c r="Y743" s="275"/>
      <c r="Z743" s="269"/>
      <c r="AA743" s="57"/>
      <c r="AB743" s="207"/>
      <c r="AC743" s="33"/>
      <c r="AD743" s="189"/>
      <c r="AE743" s="54"/>
      <c r="AF743" s="55"/>
      <c r="AG743" s="43"/>
      <c r="AH743" s="47"/>
      <c r="AI743" s="30"/>
      <c r="AJ743" s="30"/>
      <c r="AK743" s="30"/>
      <c r="AL743" s="30"/>
      <c r="AM743" s="13"/>
      <c r="AN743" s="13"/>
      <c r="AO743" s="13"/>
      <c r="AP743" s="13"/>
      <c r="AQ743" s="13"/>
      <c r="AR743" s="14"/>
      <c r="AS743" s="15"/>
    </row>
    <row r="744" spans="1:45" s="17" customFormat="1" ht="30.95" hidden="1" customHeight="1" x14ac:dyDescent="0.2">
      <c r="A744" s="37"/>
      <c r="B744" s="38"/>
      <c r="C744" s="45"/>
      <c r="D744" s="31">
        <v>3716253</v>
      </c>
      <c r="E744" s="31">
        <v>4161947</v>
      </c>
      <c r="F744" s="268" t="str">
        <f>IF(D744="","",VLOOKUP(D744,契約台帳!$A$3:$K$4986,6,FALSE)&amp;VLOOKUP(D744,契約台帳!$A$3:$K$4986,7,FALSE)&amp;VLOOKUP(D744,契約台帳!$A$3:$K$4986,8,FALSE)&amp;VLOOKUP(D744,契約台帳!$A$3:$K$4986,9,FALSE)&amp;VLOOKUP(D744,契約台帳!$A$3:$K$4986,11,FALSE))</f>
        <v>3SNMLBMNGKBF</v>
      </c>
      <c r="G744" s="269" t="str">
        <f>IF(D744="","",VLOOKUP(F744,製品マスタ!$G$5:$H$5002,2,FALSE))</f>
        <v>S</v>
      </c>
      <c r="H744" s="269" t="str">
        <f>IF(D744="","",VLOOKUP(F744,製品マスタ!$G$5:$K$5002,5,FALSE))</f>
        <v>MNGKBF</v>
      </c>
      <c r="I744" s="270" t="str">
        <f>IF(D744="","",VLOOKUP(F744,製品マスタ!$G$5:$L$5002,6,FALSE))</f>
        <v>メタルミー　ネーマー銀消　Ｂ</v>
      </c>
      <c r="J744" s="210" t="s">
        <v>935</v>
      </c>
      <c r="K744" s="270">
        <f>IF(D744="","",VLOOKUP(D744,契約台帳!$A$3:$L$4986,12,FALSE))</f>
        <v>75</v>
      </c>
      <c r="L744" s="270" t="str">
        <f>IF(D744="","",INDEX(製品マスタ!$Q$5:$Q$5002,MATCH('S4'!F744&amp;'S4'!K744,製品マスタ!$AO$5:$AO$5002,0)))</f>
        <v>MAT</v>
      </c>
      <c r="M744" s="39">
        <v>1050</v>
      </c>
      <c r="N744" s="39">
        <v>2000</v>
      </c>
      <c r="O744" s="156">
        <v>2</v>
      </c>
      <c r="P744" s="47">
        <v>2</v>
      </c>
      <c r="Q744" s="213">
        <v>45105</v>
      </c>
      <c r="R744" s="271">
        <f ca="1">IF(D744="","",IF(OFFSET(D744,-1,0)&lt;&gt;"","",IF(OR(J744="リード付け",J744="巻足し",J744="巻返しリード付け"),M744,VLOOKUP(D744,契約台帳!$A$3:$N$4986,14,FALSE))))</f>
        <v>1050</v>
      </c>
      <c r="S744" s="272">
        <f ca="1">IF(D744="","",IF(OFFSET(D744,-1,0)&lt;&gt;"","",IF(OR(J744="リード付け",J744="巻足し",J744="巻返しリード付け"),M744,VLOOKUP(D744,契約台帳!$A$3:$O$4986,15,FALSE))))</f>
        <v>1050</v>
      </c>
      <c r="T744" s="273">
        <f ca="1">IF(D744="","",IF(J744="リード付け",N744,IF(J744="巻返しリード付け",N744,IF(J744="巻足し",N744*P744+OFFSET(N744,1,0)*OFFSET(P744,1,0),VLOOKUP(D744,契約台帳!$A$3:$P$4986,16,FALSE)))))</f>
        <v>4000</v>
      </c>
      <c r="U744" s="40">
        <v>1</v>
      </c>
      <c r="V744" s="274">
        <f ca="1">IF(D744="","",IF(OFFSET(D744,-2,0)=D744,"",VLOOKUP(D744,契約台帳!$A$3:$R$4986,18,FALSE)))</f>
        <v>2</v>
      </c>
      <c r="W744" s="269" t="str">
        <f ca="1">IF(D744="","",IF(T744="","",IF(OR(J744="巻足し",J744="巻返しリード付け"),"",IF(J744="巻返し",VLOOKUP(F744&amp;K744&amp;M744,製品マスタ!$M$5:$AD$5002,18,FALSE),IF(OR(J744="リード付け",J744="巻返しリード付け"),"原反コア",IF(J744="スリット",VLOOKUP(F744&amp;K744&amp;R744,製品マスタ!$N$5:$AD$5002,17,FALSE),""))))))</f>
        <v/>
      </c>
      <c r="X744" s="269" t="str">
        <f ca="1">IF(D744="","",IF(T744="","",IF(J744="巻足し","",IF(J744="巻返し",VLOOKUP(F744&amp;K744&amp;M744,製品マスタ!$M$5:$AE$5002,19,FALSE),IF(OR(J744="リード付け",J744="巻返しリード付け"),"",IF(J744="スリット",VLOOKUP(F744&amp;K744&amp;R744,製品マスタ!$N$5:$AE$5002,18,FALSE),""))))))</f>
        <v/>
      </c>
      <c r="Y744" s="275">
        <f ca="1">IF(D744="","",IF(T744="","",VLOOKUP(D744,契約台帳!$A$3:$Q$4986,17,FALSE)))</f>
        <v>2</v>
      </c>
      <c r="Z744" s="269" t="str">
        <f ca="1">IF(D744="","",IF(T744="","",VLOOKUP(D744,契約台帳!$A$3:$E$4986,5,FALSE)))</f>
        <v>リンテック㈱</v>
      </c>
      <c r="AA744" s="57"/>
      <c r="AB744" s="207">
        <f>IFERROR((VLOOKUP(F744&amp;K744&amp;M744,製品マスタ!$M$5:$AM$5002,27,FALSE)),"")</f>
        <v>0</v>
      </c>
      <c r="AC744" s="33"/>
      <c r="AD744" s="189"/>
      <c r="AE744" s="54"/>
      <c r="AF744" s="55"/>
      <c r="AG744" s="43"/>
      <c r="AH744" s="47"/>
      <c r="AI744" s="30"/>
      <c r="AJ744" s="30"/>
      <c r="AK744" s="30"/>
      <c r="AL744" s="30"/>
      <c r="AM744" s="13"/>
      <c r="AN744" s="13"/>
      <c r="AO744" s="13"/>
      <c r="AP744" s="13"/>
      <c r="AQ744" s="13"/>
      <c r="AR744" s="14"/>
      <c r="AS744" s="15"/>
    </row>
    <row r="745" spans="1:45" s="17" customFormat="1" ht="30.95" hidden="1" customHeight="1" x14ac:dyDescent="0.2">
      <c r="A745" s="37"/>
      <c r="B745" s="38"/>
      <c r="C745" s="45"/>
      <c r="D745" s="31"/>
      <c r="E745" s="31"/>
      <c r="F745" s="268"/>
      <c r="G745" s="269"/>
      <c r="H745" s="269"/>
      <c r="I745" s="270"/>
      <c r="J745" s="210"/>
      <c r="K745" s="270"/>
      <c r="L745" s="270"/>
      <c r="M745" s="39"/>
      <c r="N745" s="39"/>
      <c r="O745" s="156"/>
      <c r="P745" s="47"/>
      <c r="Q745" s="57"/>
      <c r="R745" s="271"/>
      <c r="S745" s="272"/>
      <c r="T745" s="273"/>
      <c r="U745" s="40"/>
      <c r="V745" s="274"/>
      <c r="W745" s="269"/>
      <c r="X745" s="269"/>
      <c r="Y745" s="275"/>
      <c r="Z745" s="269"/>
      <c r="AA745" s="57"/>
      <c r="AB745" s="207"/>
      <c r="AC745" s="33"/>
      <c r="AD745" s="189"/>
      <c r="AE745" s="54"/>
      <c r="AF745" s="55"/>
      <c r="AG745" s="43"/>
      <c r="AH745" s="47"/>
      <c r="AI745" s="30"/>
      <c r="AJ745" s="30"/>
      <c r="AK745" s="30"/>
      <c r="AL745" s="30"/>
      <c r="AM745" s="13"/>
      <c r="AN745" s="13"/>
      <c r="AO745" s="13"/>
      <c r="AP745" s="13"/>
      <c r="AQ745" s="13"/>
      <c r="AR745" s="14"/>
      <c r="AS745" s="15"/>
    </row>
    <row r="746" spans="1:45" s="17" customFormat="1" ht="30.95" hidden="1" customHeight="1" x14ac:dyDescent="0.2">
      <c r="A746" s="37"/>
      <c r="B746" s="38"/>
      <c r="C746" s="45"/>
      <c r="D746" s="31">
        <v>3716240</v>
      </c>
      <c r="E746" s="31">
        <v>4161942</v>
      </c>
      <c r="F746" s="268" t="str">
        <f>IF(D746="","",VLOOKUP(D746,契約台帳!$A$3:$K$4986,6,FALSE)&amp;VLOOKUP(D746,契約台帳!$A$3:$K$4986,7,FALSE)&amp;VLOOKUP(D746,契約台帳!$A$3:$K$4986,8,FALSE)&amp;VLOOKUP(D746,契約台帳!$A$3:$K$4986,9,FALSE)&amp;VLOOKUP(D746,契約台帳!$A$3:$K$4986,11,FALSE))</f>
        <v>3SNMLBMDMSJF</v>
      </c>
      <c r="G746" s="269" t="str">
        <f>IF(D746="","",VLOOKUP(F746,製品マスタ!$G$5:$H$5002,2,FALSE))</f>
        <v>S</v>
      </c>
      <c r="H746" s="269" t="str">
        <f>IF(D746="","",VLOOKUP(F746,製品マスタ!$G$5:$K$5002,5,FALSE))</f>
        <v>MDMSJF</v>
      </c>
      <c r="I746" s="270" t="str">
        <f>IF(D746="","",VLOOKUP(F746,製品マスタ!$G$5:$L$5002,6,FALSE))</f>
        <v>ＤＭＳ蒸着（Ｘ－４４）</v>
      </c>
      <c r="J746" s="210" t="s">
        <v>935</v>
      </c>
      <c r="K746" s="270">
        <f>IF(D746="","",VLOOKUP(D746,契約台帳!$A$3:$L$4986,12,FALSE))</f>
        <v>50</v>
      </c>
      <c r="L746" s="270" t="str">
        <f>IF(D746="","",INDEX(製品マスタ!$Q$5:$Q$5002,MATCH('S4'!F746&amp;'S4'!K746,製品マスタ!$AO$5:$AO$5002,0)))</f>
        <v>X44</v>
      </c>
      <c r="M746" s="39">
        <v>1020</v>
      </c>
      <c r="N746" s="39">
        <v>4000</v>
      </c>
      <c r="O746" s="156">
        <v>2</v>
      </c>
      <c r="P746" s="47">
        <v>2</v>
      </c>
      <c r="Q746" s="213">
        <v>45110</v>
      </c>
      <c r="R746" s="271">
        <f ca="1">IF(D746="","",IF(OFFSET(D746,-1,0)&lt;&gt;"","",IF(OR(J746="リード付け",J746="巻足し",J746="巻返しリード付け"),M746,VLOOKUP(D746,契約台帳!$A$3:$N$4986,14,FALSE))))</f>
        <v>1020</v>
      </c>
      <c r="S746" s="272">
        <f ca="1">IF(D746="","",IF(OFFSET(D746,-1,0)&lt;&gt;"","",IF(OR(J746="リード付け",J746="巻足し",J746="巻返しリード付け"),M746,VLOOKUP(D746,契約台帳!$A$3:$O$4986,15,FALSE))))</f>
        <v>1020</v>
      </c>
      <c r="T746" s="273">
        <f ca="1">IF(D746="","",IF(J746="リード付け",N746,IF(J746="巻返しリード付け",N746,IF(J746="巻足し",N746*P746+OFFSET(N746,1,0)*OFFSET(P746,1,0),VLOOKUP(D746,契約台帳!$A$3:$P$4986,16,FALSE)))))</f>
        <v>8000</v>
      </c>
      <c r="U746" s="40">
        <v>1</v>
      </c>
      <c r="V746" s="274">
        <f ca="1">IF(D746="","",IF(OFFSET(D746,-2,0)=D746,"",VLOOKUP(D746,契約台帳!$A$3:$R$4986,18,FALSE)))</f>
        <v>4</v>
      </c>
      <c r="W746" s="269" t="str">
        <f ca="1">IF(D746="","",IF(T746="","",IF(OR(J746="巻足し",J746="巻返しリード付け"),"",IF(J746="巻返し",VLOOKUP(F746&amp;K746&amp;M746,製品マスタ!$M$5:$AD$5002,18,FALSE),IF(OR(J746="リード付け",J746="巻返しリード付け"),"原反コア",IF(J746="スリット",VLOOKUP(F746&amp;K746&amp;R746,製品マスタ!$N$5:$AD$5002,17,FALSE),""))))))</f>
        <v/>
      </c>
      <c r="X746" s="269" t="str">
        <f ca="1">IF(D746="","",IF(T746="","",IF(J746="巻足し","",IF(J746="巻返し",VLOOKUP(F746&amp;K746&amp;M746,製品マスタ!$M$5:$AE$5002,19,FALSE),IF(OR(J746="リード付け",J746="巻返しリード付け"),"",IF(J746="スリット",VLOOKUP(F746&amp;K746&amp;R746,製品マスタ!$N$5:$AE$5002,18,FALSE),""))))))</f>
        <v/>
      </c>
      <c r="Y746" s="275">
        <f ca="1">IF(D746="","",IF(T746="","",VLOOKUP(D746,契約台帳!$A$3:$Q$4986,17,FALSE)))</f>
        <v>2</v>
      </c>
      <c r="Z746" s="269" t="str">
        <f ca="1">IF(D746="","",IF(T746="","",VLOOKUP(D746,契約台帳!$A$3:$E$4986,5,FALSE)))</f>
        <v>五洋紙工㈱</v>
      </c>
      <c r="AA746" s="57"/>
      <c r="AB746" s="207">
        <f>IFERROR((VLOOKUP(F746&amp;K746&amp;M746,製品マスタ!$M$5:$AM$5002,27,FALSE)),"")</f>
        <v>0</v>
      </c>
      <c r="AC746" s="33"/>
      <c r="AD746" s="189"/>
      <c r="AE746" s="54"/>
      <c r="AF746" s="55"/>
      <c r="AG746" s="43"/>
      <c r="AH746" s="47"/>
      <c r="AI746" s="30"/>
      <c r="AJ746" s="30"/>
      <c r="AK746" s="30"/>
      <c r="AL746" s="30"/>
      <c r="AM746" s="13"/>
      <c r="AN746" s="13"/>
      <c r="AO746" s="13"/>
      <c r="AP746" s="13"/>
      <c r="AQ746" s="13"/>
      <c r="AR746" s="14"/>
      <c r="AS746" s="15"/>
    </row>
    <row r="747" spans="1:45" s="17" customFormat="1" ht="30.95" hidden="1" customHeight="1" x14ac:dyDescent="0.2">
      <c r="A747" s="37"/>
      <c r="B747" s="38"/>
      <c r="C747" s="45"/>
      <c r="D747" s="31"/>
      <c r="E747" s="31"/>
      <c r="F747" s="268"/>
      <c r="G747" s="269"/>
      <c r="H747" s="269"/>
      <c r="I747" s="270"/>
      <c r="J747" s="210"/>
      <c r="K747" s="270"/>
      <c r="L747" s="270"/>
      <c r="M747" s="39"/>
      <c r="N747" s="39"/>
      <c r="O747" s="156"/>
      <c r="P747" s="47"/>
      <c r="Q747" s="57"/>
      <c r="R747" s="271"/>
      <c r="S747" s="272"/>
      <c r="T747" s="273"/>
      <c r="U747" s="40"/>
      <c r="V747" s="274"/>
      <c r="W747" s="269"/>
      <c r="X747" s="269"/>
      <c r="Y747" s="275"/>
      <c r="Z747" s="269"/>
      <c r="AA747" s="57"/>
      <c r="AB747" s="207"/>
      <c r="AC747" s="33"/>
      <c r="AD747" s="189"/>
      <c r="AE747" s="54"/>
      <c r="AF747" s="55"/>
      <c r="AG747" s="43"/>
      <c r="AH747" s="47"/>
      <c r="AI747" s="30"/>
      <c r="AJ747" s="30"/>
      <c r="AK747" s="30"/>
      <c r="AL747" s="30"/>
      <c r="AM747" s="13"/>
      <c r="AN747" s="13"/>
      <c r="AO747" s="13"/>
      <c r="AP747" s="13"/>
      <c r="AQ747" s="13"/>
      <c r="AR747" s="14"/>
      <c r="AS747" s="15"/>
    </row>
    <row r="748" spans="1:45" s="17" customFormat="1" ht="30.95" hidden="1" customHeight="1" x14ac:dyDescent="0.2">
      <c r="A748" s="37" t="s">
        <v>1263</v>
      </c>
      <c r="B748" s="38" t="s">
        <v>1264</v>
      </c>
      <c r="C748" s="45"/>
      <c r="D748" s="31">
        <v>3717594</v>
      </c>
      <c r="E748" s="31">
        <v>4161978</v>
      </c>
      <c r="F748" s="268" t="str">
        <f>IF(D748="","",VLOOKUP(D748,契約台帳!$A$3:$K$4986,6,FALSE)&amp;VLOOKUP(D748,契約台帳!$A$3:$K$4986,7,FALSE)&amp;VLOOKUP(D748,契約台帳!$A$3:$K$4986,8,FALSE)&amp;VLOOKUP(D748,契約台帳!$A$3:$K$4986,9,FALSE)&amp;VLOOKUP(D748,契約台帳!$A$3:$K$4986,11,FALSE))</f>
        <v>3SNMLBMNGKBF</v>
      </c>
      <c r="G748" s="269" t="str">
        <f>IF(D748="","",VLOOKUP(F748,製品マスタ!$G$5:$H$5002,2,FALSE))</f>
        <v>S</v>
      </c>
      <c r="H748" s="269" t="str">
        <f>IF(D748="","",VLOOKUP(F748,製品マスタ!$G$5:$K$5002,5,FALSE))</f>
        <v>MNGKBF</v>
      </c>
      <c r="I748" s="270" t="str">
        <f>IF(D748="","",VLOOKUP(F748,製品マスタ!$G$5:$L$5002,6,FALSE))</f>
        <v>メタルミー　ネーマー銀消　Ｂ</v>
      </c>
      <c r="J748" s="210" t="s">
        <v>935</v>
      </c>
      <c r="K748" s="270">
        <f>IF(D748="","",VLOOKUP(D748,契約台帳!$A$3:$L$4986,12,FALSE))</f>
        <v>38</v>
      </c>
      <c r="L748" s="270" t="str">
        <f>IF(D748="","",INDEX(製品マスタ!$Q$5:$Q$5002,MATCH('S4'!F748&amp;'S4'!K748,製品マスタ!$AO$5:$AO$5002,0)))</f>
        <v>LUMIMAT</v>
      </c>
      <c r="M748" s="39">
        <v>1005</v>
      </c>
      <c r="N748" s="39">
        <v>4100</v>
      </c>
      <c r="O748" s="156">
        <v>3</v>
      </c>
      <c r="P748" s="47">
        <v>3</v>
      </c>
      <c r="Q748" s="213">
        <v>45105</v>
      </c>
      <c r="R748" s="271">
        <f ca="1">IF(D748="","",IF(OFFSET(D748,-1,0)&lt;&gt;"","",IF(OR(J748="リード付け",J748="巻足し",J748="巻返しリード付け"),M748,VLOOKUP(D748,契約台帳!$A$3:$N$4986,14,FALSE))))</f>
        <v>1005</v>
      </c>
      <c r="S748" s="272">
        <f ca="1">IF(D748="","",IF(OFFSET(D748,-1,0)&lt;&gt;"","",IF(OR(J748="リード付け",J748="巻足し",J748="巻返しリード付け"),M748,VLOOKUP(D748,契約台帳!$A$3:$O$4986,15,FALSE))))</f>
        <v>1005</v>
      </c>
      <c r="T748" s="273">
        <f ca="1">IF(D748="","",IF(J748="リード付け",N748,IF(J748="巻返しリード付け",N748,IF(J748="巻足し",N748*P748+OFFSET(N748,1,0)*OFFSET(P748,1,0),VLOOKUP(D748,契約台帳!$A$3:$P$4986,16,FALSE)))))</f>
        <v>12300</v>
      </c>
      <c r="U748" s="40">
        <v>1</v>
      </c>
      <c r="V748" s="274">
        <f ca="1">IF(D748="","",IF(OFFSET(D748,-2,0)=D748,"",VLOOKUP(D748,契約台帳!$A$3:$R$4986,18,FALSE)))</f>
        <v>3</v>
      </c>
      <c r="W748" s="269" t="str">
        <f ca="1">IF(D748="","",IF(T748="","",IF(OR(J748="巻足し",J748="巻返しリード付け"),"",IF(J748="巻返し",VLOOKUP(F748&amp;K748&amp;M748,製品マスタ!$M$5:$AD$5002,18,FALSE),IF(OR(J748="リード付け",J748="巻返しリード付け"),"原反コア",IF(J748="スリット",VLOOKUP(F748&amp;K748&amp;R748,製品マスタ!$N$5:$AD$5002,17,FALSE),""))))))</f>
        <v/>
      </c>
      <c r="X748" s="269" t="str">
        <f ca="1">IF(D748="","",IF(T748="","",IF(J748="巻足し","",IF(J748="巻返し",VLOOKUP(F748&amp;K748&amp;M748,製品マスタ!$M$5:$AE$5002,19,FALSE),IF(OR(J748="リード付け",J748="巻返しリード付け"),"",IF(J748="スリット",VLOOKUP(F748&amp;K748&amp;R748,製品マスタ!$N$5:$AE$5002,18,FALSE),""))))))</f>
        <v/>
      </c>
      <c r="Y748" s="275">
        <f ca="1">IF(D748="","",IF(T748="","",VLOOKUP(D748,契約台帳!$A$3:$Q$4986,17,FALSE)))</f>
        <v>2</v>
      </c>
      <c r="Z748" s="269" t="str">
        <f ca="1">IF(D748="","",IF(T748="","",VLOOKUP(D748,契約台帳!$A$3:$E$4986,5,FALSE)))</f>
        <v>リンテック㈱</v>
      </c>
      <c r="AA748" s="57"/>
      <c r="AB748" s="207">
        <f>IFERROR((VLOOKUP(F748&amp;K748&amp;M748,製品マスタ!$M$5:$AM$5002,27,FALSE)),"")</f>
        <v>0</v>
      </c>
      <c r="AC748" s="33"/>
      <c r="AD748" s="189"/>
      <c r="AE748" s="54"/>
      <c r="AF748" s="55"/>
      <c r="AG748" s="43"/>
      <c r="AH748" s="47"/>
      <c r="AI748" s="30"/>
      <c r="AJ748" s="30"/>
      <c r="AK748" s="30"/>
      <c r="AL748" s="30"/>
      <c r="AM748" s="13"/>
      <c r="AN748" s="13"/>
      <c r="AO748" s="13"/>
      <c r="AP748" s="13"/>
      <c r="AQ748" s="13"/>
      <c r="AR748" s="14"/>
      <c r="AS748" s="15"/>
    </row>
    <row r="749" spans="1:45" s="17" customFormat="1" ht="30.95" hidden="1" customHeight="1" x14ac:dyDescent="0.2">
      <c r="A749" s="37"/>
      <c r="B749" s="38"/>
      <c r="C749" s="45"/>
      <c r="D749" s="31"/>
      <c r="E749" s="31"/>
      <c r="F749" s="268"/>
      <c r="G749" s="269"/>
      <c r="H749" s="269"/>
      <c r="I749" s="270"/>
      <c r="J749" s="210"/>
      <c r="K749" s="270"/>
      <c r="L749" s="270"/>
      <c r="M749" s="39"/>
      <c r="N749" s="39"/>
      <c r="O749" s="156"/>
      <c r="P749" s="47"/>
      <c r="Q749" s="57"/>
      <c r="R749" s="271"/>
      <c r="S749" s="272"/>
      <c r="T749" s="273"/>
      <c r="U749" s="40"/>
      <c r="V749" s="274"/>
      <c r="W749" s="269"/>
      <c r="X749" s="269"/>
      <c r="Y749" s="275"/>
      <c r="Z749" s="269"/>
      <c r="AA749" s="57"/>
      <c r="AB749" s="207"/>
      <c r="AC749" s="33"/>
      <c r="AD749" s="189"/>
      <c r="AE749" s="54"/>
      <c r="AF749" s="55"/>
      <c r="AG749" s="43"/>
      <c r="AH749" s="47"/>
      <c r="AI749" s="30"/>
      <c r="AJ749" s="30"/>
      <c r="AK749" s="30"/>
      <c r="AL749" s="30"/>
      <c r="AM749" s="13"/>
      <c r="AN749" s="13"/>
      <c r="AO749" s="13"/>
      <c r="AP749" s="13"/>
      <c r="AQ749" s="13"/>
      <c r="AR749" s="14"/>
      <c r="AS749" s="15"/>
    </row>
    <row r="750" spans="1:45" s="17" customFormat="1" ht="30.95" hidden="1" customHeight="1" x14ac:dyDescent="0.2">
      <c r="A750" s="37"/>
      <c r="B750" s="38"/>
      <c r="C750" s="45"/>
      <c r="D750" s="31">
        <v>3716263</v>
      </c>
      <c r="E750" s="31">
        <v>4161960</v>
      </c>
      <c r="F750" s="268" t="str">
        <f>IF(D750="","",VLOOKUP(D750,契約台帳!$A$3:$K$4986,6,FALSE)&amp;VLOOKUP(D750,契約台帳!$A$3:$K$4986,7,FALSE)&amp;VLOOKUP(D750,契約台帳!$A$3:$K$4986,8,FALSE)&amp;VLOOKUP(D750,契約台帳!$A$3:$K$4986,9,FALSE)&amp;VLOOKUP(D750,契約台帳!$A$3:$K$4986,11,FALSE))</f>
        <v>3SNMLBMNNGKBF</v>
      </c>
      <c r="G750" s="269" t="str">
        <f>IF(D750="","",VLOOKUP(F750,製品マスタ!$G$5:$H$5002,2,FALSE))</f>
        <v>S</v>
      </c>
      <c r="H750" s="269" t="str">
        <f>IF(D750="","",VLOOKUP(F750,製品マスタ!$G$5:$K$5002,5,FALSE))</f>
        <v>MNNGKBF</v>
      </c>
      <c r="I750" s="270" t="str">
        <f>IF(D750="","",VLOOKUP(F750,製品マスタ!$G$5:$L$5002,6,FALSE))</f>
        <v>メタルミー　ニューネーマー銀消　Ｂ</v>
      </c>
      <c r="J750" s="210" t="s">
        <v>935</v>
      </c>
      <c r="K750" s="270">
        <f>IF(D750="","",VLOOKUP(D750,契約台帳!$A$3:$L$4986,12,FALSE))</f>
        <v>50</v>
      </c>
      <c r="L750" s="270" t="str">
        <f>IF(D750="","",INDEX(製品マスタ!$Q$5:$Q$5002,MATCH('S4'!F750&amp;'S4'!K750,製品マスタ!$AO$5:$AO$5002,0)))</f>
        <v>X44</v>
      </c>
      <c r="M750" s="39">
        <v>1000</v>
      </c>
      <c r="N750" s="39">
        <v>4000</v>
      </c>
      <c r="O750" s="156">
        <v>3</v>
      </c>
      <c r="P750" s="47">
        <v>3</v>
      </c>
      <c r="Q750" s="213">
        <v>45111</v>
      </c>
      <c r="R750" s="271">
        <f ca="1">IF(D750="","",IF(OFFSET(D750,-1,0)&lt;&gt;"","",IF(OR(J750="リード付け",J750="巻足し",J750="巻返しリード付け"),M750,VLOOKUP(D750,契約台帳!$A$3:$N$4986,14,FALSE))))</f>
        <v>1000</v>
      </c>
      <c r="S750" s="272">
        <f ca="1">IF(D750="","",IF(OFFSET(D750,-1,0)&lt;&gt;"","",IF(OR(J750="リード付け",J750="巻足し",J750="巻返しリード付け"),M750,VLOOKUP(D750,契約台帳!$A$3:$O$4986,15,FALSE))))</f>
        <v>1000</v>
      </c>
      <c r="T750" s="273">
        <f ca="1">IF(D750="","",IF(J750="リード付け",N750,IF(J750="巻返しリード付け",N750,IF(J750="巻足し",N750*P750+OFFSET(N750,1,0)*OFFSET(P750,1,0),VLOOKUP(D750,契約台帳!$A$3:$P$4986,16,FALSE)))))</f>
        <v>12000</v>
      </c>
      <c r="U750" s="40">
        <v>1</v>
      </c>
      <c r="V750" s="274">
        <f ca="1">IF(D750="","",IF(OFFSET(D750,-2,0)=D750,"",VLOOKUP(D750,契約台帳!$A$3:$R$4986,18,FALSE)))</f>
        <v>4</v>
      </c>
      <c r="W750" s="269" t="str">
        <f ca="1">IF(D750="","",IF(T750="","",IF(OR(J750="巻足し",J750="巻返しリード付け"),"",IF(J750="巻返し",VLOOKUP(F750&amp;K750&amp;M750,製品マスタ!$M$5:$AD$5002,18,FALSE),IF(OR(J750="リード付け",J750="巻返しリード付け"),"原反コア",IF(J750="スリット",VLOOKUP(F750&amp;K750&amp;R750,製品マスタ!$N$5:$AD$5002,17,FALSE),""))))))</f>
        <v/>
      </c>
      <c r="X750" s="269" t="str">
        <f ca="1">IF(D750="","",IF(T750="","",IF(J750="巻足し","",IF(J750="巻返し",VLOOKUP(F750&amp;K750&amp;M750,製品マスタ!$M$5:$AE$5002,19,FALSE),IF(OR(J750="リード付け",J750="巻返しリード付け"),"",IF(J750="スリット",VLOOKUP(F750&amp;K750&amp;R750,製品マスタ!$N$5:$AE$5002,18,FALSE),""))))))</f>
        <v/>
      </c>
      <c r="Y750" s="275">
        <f ca="1">IF(D750="","",IF(T750="","",VLOOKUP(D750,契約台帳!$A$3:$Q$4986,17,FALSE)))</f>
        <v>2</v>
      </c>
      <c r="Z750" s="269" t="str">
        <f ca="1">IF(D750="","",IF(T750="","",VLOOKUP(D750,契約台帳!$A$3:$E$4986,5,FALSE)))</f>
        <v>リンテック㈱</v>
      </c>
      <c r="AA750" s="57"/>
      <c r="AB750" s="207" t="str">
        <f>IFERROR((VLOOKUP(F750&amp;K750&amp;M750,製品マスタ!$M$5:$AM$5002,27,FALSE)),"")</f>
        <v>原反ケース再利用</v>
      </c>
      <c r="AC750" s="33"/>
      <c r="AD750" s="189"/>
      <c r="AE750" s="54"/>
      <c r="AF750" s="55"/>
      <c r="AG750" s="43"/>
      <c r="AH750" s="47"/>
      <c r="AI750" s="30"/>
      <c r="AJ750" s="30"/>
      <c r="AK750" s="30"/>
      <c r="AL750" s="30"/>
      <c r="AM750" s="13"/>
      <c r="AN750" s="13"/>
      <c r="AO750" s="13"/>
      <c r="AP750" s="13"/>
      <c r="AQ750" s="13"/>
      <c r="AR750" s="14"/>
      <c r="AS750" s="15"/>
    </row>
    <row r="751" spans="1:45" s="17" customFormat="1" ht="30.95" hidden="1" customHeight="1" x14ac:dyDescent="0.2">
      <c r="A751" s="37"/>
      <c r="B751" s="38"/>
      <c r="C751" s="45"/>
      <c r="D751" s="31"/>
      <c r="E751" s="31"/>
      <c r="F751" s="268"/>
      <c r="G751" s="269"/>
      <c r="H751" s="269"/>
      <c r="I751" s="270"/>
      <c r="J751" s="210"/>
      <c r="K751" s="270"/>
      <c r="L751" s="270"/>
      <c r="M751" s="39"/>
      <c r="N751" s="39"/>
      <c r="O751" s="156"/>
      <c r="P751" s="47"/>
      <c r="Q751" s="57"/>
      <c r="R751" s="271"/>
      <c r="S751" s="272"/>
      <c r="T751" s="273"/>
      <c r="U751" s="40"/>
      <c r="V751" s="274"/>
      <c r="W751" s="269"/>
      <c r="X751" s="269"/>
      <c r="Y751" s="275"/>
      <c r="Z751" s="269"/>
      <c r="AA751" s="57"/>
      <c r="AB751" s="207"/>
      <c r="AC751" s="33"/>
      <c r="AD751" s="189"/>
      <c r="AE751" s="54"/>
      <c r="AF751" s="55"/>
      <c r="AG751" s="43"/>
      <c r="AH751" s="47"/>
      <c r="AI751" s="30"/>
      <c r="AJ751" s="30"/>
      <c r="AK751" s="30"/>
      <c r="AL751" s="30"/>
      <c r="AM751" s="13"/>
      <c r="AN751" s="13"/>
      <c r="AO751" s="13"/>
      <c r="AP751" s="13"/>
      <c r="AQ751" s="13"/>
      <c r="AR751" s="14"/>
      <c r="AS751" s="15"/>
    </row>
    <row r="752" spans="1:45" s="17" customFormat="1" ht="30.95" hidden="1" customHeight="1" x14ac:dyDescent="0.2">
      <c r="A752" s="37"/>
      <c r="B752" s="38"/>
      <c r="C752" s="45"/>
      <c r="D752" s="31">
        <v>3716263</v>
      </c>
      <c r="E752" s="31">
        <v>4161960</v>
      </c>
      <c r="F752" s="268" t="str">
        <f>IF(D752="","",VLOOKUP(D752,契約台帳!$A$3:$K$4986,6,FALSE)&amp;VLOOKUP(D752,契約台帳!$A$3:$K$4986,7,FALSE)&amp;VLOOKUP(D752,契約台帳!$A$3:$K$4986,8,FALSE)&amp;VLOOKUP(D752,契約台帳!$A$3:$K$4986,9,FALSE)&amp;VLOOKUP(D752,契約台帳!$A$3:$K$4986,11,FALSE))</f>
        <v>3SNMLBMNNGKBF</v>
      </c>
      <c r="G752" s="269" t="str">
        <f>IF(D752="","",VLOOKUP(F752,製品マスタ!$G$5:$H$5002,2,FALSE))</f>
        <v>S</v>
      </c>
      <c r="H752" s="269" t="str">
        <f>IF(D752="","",VLOOKUP(F752,製品マスタ!$G$5:$K$5002,5,FALSE))</f>
        <v>MNNGKBF</v>
      </c>
      <c r="I752" s="270" t="str">
        <f>IF(D752="","",VLOOKUP(F752,製品マスタ!$G$5:$L$5002,6,FALSE))</f>
        <v>メタルミー　ニューネーマー銀消　Ｂ</v>
      </c>
      <c r="J752" s="210" t="s">
        <v>935</v>
      </c>
      <c r="K752" s="270">
        <f>IF(D752="","",VLOOKUP(D752,契約台帳!$A$3:$L$4986,12,FALSE))</f>
        <v>50</v>
      </c>
      <c r="L752" s="270" t="str">
        <f>IF(D752="","",INDEX(製品マスタ!$Q$5:$Q$5002,MATCH('S4'!F752&amp;'S4'!K752,製品マスタ!$AO$5:$AO$5002,0)))</f>
        <v>X44</v>
      </c>
      <c r="M752" s="39">
        <v>1000</v>
      </c>
      <c r="N752" s="39">
        <v>4000</v>
      </c>
      <c r="O752" s="156">
        <v>1</v>
      </c>
      <c r="P752" s="47">
        <v>3</v>
      </c>
      <c r="Q752" s="213">
        <v>45111</v>
      </c>
      <c r="R752" s="271">
        <f ca="1">IF(D752="","",IF(OFFSET(D752,-1,0)&lt;&gt;"","",IF(OR(J752="リード付け",J752="巻足し",J752="巻返しリード付け"),M752,VLOOKUP(D752,契約台帳!$A$3:$N$4986,14,FALSE))))</f>
        <v>1000</v>
      </c>
      <c r="S752" s="272">
        <f ca="1">IF(D752="","",IF(OFFSET(D752,-1,0)&lt;&gt;"","",IF(OR(J752="リード付け",J752="巻足し",J752="巻返しリード付け"),M752,VLOOKUP(D752,契約台帳!$A$3:$O$4986,15,FALSE))))</f>
        <v>1000</v>
      </c>
      <c r="T752" s="273">
        <f ca="1">IF(D752="","",IF(J752="リード付け",N752,IF(J752="巻返しリード付け",N752,IF(J752="巻足し",N752*P752+OFFSET(N752,1,0)*OFFSET(P752,1,0),VLOOKUP(D752,契約台帳!$A$3:$P$4986,16,FALSE)))))</f>
        <v>12000</v>
      </c>
      <c r="U752" s="40">
        <v>1</v>
      </c>
      <c r="V752" s="274" t="str">
        <f ca="1">IF(D752="","",IF(OFFSET(D752,-2,0)=D752,"",VLOOKUP(D752,契約台帳!$A$3:$R$4986,18,FALSE)))</f>
        <v/>
      </c>
      <c r="W752" s="269" t="str">
        <f ca="1">IF(D752="","",IF(T752="","",IF(OR(J752="巻足し",J752="巻返しリード付け"),"",IF(J752="巻返し",VLOOKUP(F752&amp;K752&amp;M752,製品マスタ!$M$5:$AD$5002,18,FALSE),IF(OR(J752="リード付け",J752="巻返しリード付け"),"原反コア",IF(J752="スリット",VLOOKUP(F752&amp;K752&amp;R752,製品マスタ!$N$5:$AD$5002,17,FALSE),""))))))</f>
        <v/>
      </c>
      <c r="X752" s="269" t="str">
        <f ca="1">IF(D752="","",IF(T752="","",IF(J752="巻足し","",IF(J752="巻返し",VLOOKUP(F752&amp;K752&amp;M752,製品マスタ!$M$5:$AE$5002,19,FALSE),IF(OR(J752="リード付け",J752="巻返しリード付け"),"",IF(J752="スリット",VLOOKUP(F752&amp;K752&amp;R752,製品マスタ!$N$5:$AE$5002,18,FALSE),""))))))</f>
        <v/>
      </c>
      <c r="Y752" s="275">
        <f ca="1">IF(D752="","",IF(T752="","",VLOOKUP(D752,契約台帳!$A$3:$Q$4986,17,FALSE)))</f>
        <v>2</v>
      </c>
      <c r="Z752" s="269" t="str">
        <f ca="1">IF(D752="","",IF(T752="","",VLOOKUP(D752,契約台帳!$A$3:$E$4986,5,FALSE)))</f>
        <v>リンテック㈱</v>
      </c>
      <c r="AA752" s="57"/>
      <c r="AB752" s="207" t="str">
        <f>IFERROR((VLOOKUP(F752&amp;K752&amp;M752,製品マスタ!$M$5:$AM$5002,27,FALSE)),"")</f>
        <v>原反ケース再利用</v>
      </c>
      <c r="AC752" s="33"/>
      <c r="AD752" s="189"/>
      <c r="AE752" s="54"/>
      <c r="AF752" s="55"/>
      <c r="AG752" s="43"/>
      <c r="AH752" s="47"/>
      <c r="AI752" s="30"/>
      <c r="AJ752" s="30"/>
      <c r="AK752" s="30"/>
      <c r="AL752" s="30"/>
      <c r="AM752" s="13"/>
      <c r="AN752" s="13"/>
      <c r="AO752" s="13"/>
      <c r="AP752" s="13"/>
      <c r="AQ752" s="13"/>
      <c r="AR752" s="14"/>
      <c r="AS752" s="15"/>
    </row>
    <row r="753" spans="1:45" s="17" customFormat="1" ht="30.95" hidden="1" customHeight="1" x14ac:dyDescent="0.2">
      <c r="A753" s="37"/>
      <c r="B753" s="38"/>
      <c r="C753" s="45"/>
      <c r="D753" s="31">
        <v>3716264</v>
      </c>
      <c r="E753" s="31"/>
      <c r="F753" s="268" t="str">
        <f>IF(D753="","",VLOOKUP(D753,契約台帳!$A$3:$K$4986,6,FALSE)&amp;VLOOKUP(D753,契約台帳!$A$3:$K$4986,7,FALSE)&amp;VLOOKUP(D753,契約台帳!$A$3:$K$4986,8,FALSE)&amp;VLOOKUP(D753,契約台帳!$A$3:$K$4986,9,FALSE)&amp;VLOOKUP(D753,契約台帳!$A$3:$K$4986,11,FALSE))</f>
        <v>3SNMLBMNNGKBF</v>
      </c>
      <c r="G753" s="269" t="str">
        <f>IF(D753="","",VLOOKUP(F753,製品マスタ!$G$5:$H$5002,2,FALSE))</f>
        <v>S</v>
      </c>
      <c r="H753" s="269" t="str">
        <f>IF(D753="","",VLOOKUP(F753,製品マスタ!$G$5:$K$5002,5,FALSE))</f>
        <v>MNNGKBF</v>
      </c>
      <c r="I753" s="270" t="str">
        <f>IF(D753="","",VLOOKUP(F753,製品マスタ!$G$5:$L$5002,6,FALSE))</f>
        <v>メタルミー　ニューネーマー銀消　Ｂ</v>
      </c>
      <c r="J753" s="210" t="s">
        <v>935</v>
      </c>
      <c r="K753" s="270">
        <f>IF(D753="","",VLOOKUP(D753,契約台帳!$A$3:$L$4986,12,FALSE))</f>
        <v>50</v>
      </c>
      <c r="L753" s="270" t="str">
        <f>IF(D753="","",INDEX(製品マスタ!$Q$5:$Q$5002,MATCH('S4'!F753&amp;'S4'!K753,製品マスタ!$AO$5:$AO$5002,0)))</f>
        <v>X44</v>
      </c>
      <c r="M753" s="39">
        <v>1000</v>
      </c>
      <c r="N753" s="39">
        <v>4000</v>
      </c>
      <c r="O753" s="156">
        <v>2</v>
      </c>
      <c r="P753" s="47"/>
      <c r="Q753" s="213">
        <v>45111</v>
      </c>
      <c r="R753" s="271" t="str">
        <f ca="1">IF(D753="","",IF(OFFSET(D753,-1,0)&lt;&gt;"","",IF(OR(J753="リード付け",J753="巻足し",J753="巻返しリード付け"),M753,VLOOKUP(D753,契約台帳!$A$3:$N$4986,14,FALSE))))</f>
        <v/>
      </c>
      <c r="S753" s="272" t="str">
        <f ca="1">IF(D753="","",IF(OFFSET(D753,-1,0)&lt;&gt;"","",IF(OR(J753="リード付け",J753="巻足し",J753="巻返しリード付け"),M753,VLOOKUP(D753,契約台帳!$A$3:$O$4986,15,FALSE))))</f>
        <v/>
      </c>
      <c r="T753" s="273"/>
      <c r="U753" s="40"/>
      <c r="V753" s="274">
        <f ca="1">IF(D753="","",IF(OFFSET(D753,-2,0)=D753,"",VLOOKUP(D753,契約台帳!$A$3:$R$4986,18,FALSE)))</f>
        <v>14</v>
      </c>
      <c r="W753" s="269" t="str">
        <f>IF(D753="","",IF(T753="","",IF(OR(J753="巻足し",J753="巻返しリード付け"),"",IF(J753="巻返し",VLOOKUP(F753&amp;K753&amp;M753,製品マスタ!$M$5:$AD$5002,18,FALSE),IF(OR(J753="リード付け",J753="巻返しリード付け"),"原反コア",IF(J753="スリット",VLOOKUP(F753&amp;K753&amp;R753,製品マスタ!$N$5:$AD$5002,17,FALSE),""))))))</f>
        <v/>
      </c>
      <c r="X753" s="269" t="str">
        <f>IF(D753="","",IF(T753="","",IF(J753="巻足し","",IF(J753="巻返し",VLOOKUP(F753&amp;K753&amp;M753,製品マスタ!$M$5:$AE$5002,19,FALSE),IF(OR(J753="リード付け",J753="巻返しリード付け"),"",IF(J753="スリット",VLOOKUP(F753&amp;K753&amp;R753,製品マスタ!$N$5:$AE$5002,18,FALSE),""))))))</f>
        <v/>
      </c>
      <c r="Y753" s="275" t="str">
        <f>IF(D753="","",IF(T753="","",VLOOKUP(D753,契約台帳!$A$3:$Q$4986,17,FALSE)))</f>
        <v/>
      </c>
      <c r="Z753" s="269" t="str">
        <f>IF(D753="","",IF(T753="","",VLOOKUP(D753,契約台帳!$A$3:$E$4986,5,FALSE)))</f>
        <v/>
      </c>
      <c r="AA753" s="57"/>
      <c r="AB753" s="207" t="str">
        <f>IFERROR((VLOOKUP(F753&amp;K753&amp;M753,製品マスタ!$M$5:$AM$5002,27,FALSE)),"")</f>
        <v>原反ケース再利用</v>
      </c>
      <c r="AC753" s="33"/>
      <c r="AD753" s="189"/>
      <c r="AE753" s="54"/>
      <c r="AF753" s="55"/>
      <c r="AG753" s="43"/>
      <c r="AH753" s="47"/>
      <c r="AI753" s="30"/>
      <c r="AJ753" s="30"/>
      <c r="AK753" s="30"/>
      <c r="AL753" s="30"/>
      <c r="AM753" s="13"/>
      <c r="AN753" s="13"/>
      <c r="AO753" s="13"/>
      <c r="AP753" s="13"/>
      <c r="AQ753" s="13"/>
      <c r="AR753" s="14"/>
      <c r="AS753" s="15"/>
    </row>
    <row r="754" spans="1:45" s="17" customFormat="1" ht="30.95" hidden="1" customHeight="1" x14ac:dyDescent="0.2">
      <c r="A754" s="37"/>
      <c r="B754" s="38"/>
      <c r="C754" s="45"/>
      <c r="D754" s="31"/>
      <c r="E754" s="31"/>
      <c r="F754" s="268"/>
      <c r="G754" s="269"/>
      <c r="H754" s="269"/>
      <c r="I754" s="270"/>
      <c r="J754" s="210"/>
      <c r="K754" s="270"/>
      <c r="L754" s="270"/>
      <c r="M754" s="39"/>
      <c r="N754" s="39"/>
      <c r="O754" s="156"/>
      <c r="P754" s="47"/>
      <c r="Q754" s="57"/>
      <c r="R754" s="271"/>
      <c r="S754" s="272"/>
      <c r="T754" s="273"/>
      <c r="U754" s="40"/>
      <c r="V754" s="274"/>
      <c r="W754" s="269"/>
      <c r="X754" s="269"/>
      <c r="Y754" s="275"/>
      <c r="Z754" s="269"/>
      <c r="AA754" s="57"/>
      <c r="AB754" s="207"/>
      <c r="AC754" s="33"/>
      <c r="AD754" s="189"/>
      <c r="AE754" s="54"/>
      <c r="AF754" s="55"/>
      <c r="AG754" s="43"/>
      <c r="AH754" s="47"/>
      <c r="AI754" s="30"/>
      <c r="AJ754" s="30"/>
      <c r="AK754" s="30"/>
      <c r="AL754" s="30"/>
      <c r="AM754" s="13"/>
      <c r="AN754" s="13"/>
      <c r="AO754" s="13"/>
      <c r="AP754" s="13"/>
      <c r="AQ754" s="13"/>
      <c r="AR754" s="14"/>
      <c r="AS754" s="15"/>
    </row>
    <row r="755" spans="1:45" s="17" customFormat="1" ht="30.95" hidden="1" customHeight="1" x14ac:dyDescent="0.2">
      <c r="A755" s="37"/>
      <c r="B755" s="38"/>
      <c r="C755" s="45"/>
      <c r="D755" s="31">
        <v>3716264</v>
      </c>
      <c r="E755" s="31">
        <v>4161961</v>
      </c>
      <c r="F755" s="268" t="str">
        <f>IF(D755="","",VLOOKUP(D755,契約台帳!$A$3:$K$4986,6,FALSE)&amp;VLOOKUP(D755,契約台帳!$A$3:$K$4986,7,FALSE)&amp;VLOOKUP(D755,契約台帳!$A$3:$K$4986,8,FALSE)&amp;VLOOKUP(D755,契約台帳!$A$3:$K$4986,9,FALSE)&amp;VLOOKUP(D755,契約台帳!$A$3:$K$4986,11,FALSE))</f>
        <v>3SNMLBMNNGKBF</v>
      </c>
      <c r="G755" s="269" t="str">
        <f>IF(D755="","",VLOOKUP(F755,製品マスタ!$G$5:$H$5002,2,FALSE))</f>
        <v>S</v>
      </c>
      <c r="H755" s="269" t="str">
        <f>IF(D755="","",VLOOKUP(F755,製品マスタ!$G$5:$K$5002,5,FALSE))</f>
        <v>MNNGKBF</v>
      </c>
      <c r="I755" s="270" t="str">
        <f>IF(D755="","",VLOOKUP(F755,製品マスタ!$G$5:$L$5002,6,FALSE))</f>
        <v>メタルミー　ニューネーマー銀消　Ｂ</v>
      </c>
      <c r="J755" s="210" t="s">
        <v>935</v>
      </c>
      <c r="K755" s="270">
        <f>IF(D755="","",VLOOKUP(D755,契約台帳!$A$3:$L$4986,12,FALSE))</f>
        <v>50</v>
      </c>
      <c r="L755" s="270" t="str">
        <f>IF(D755="","",INDEX(製品マスタ!$Q$5:$Q$5002,MATCH('S4'!F755&amp;'S4'!K755,製品マスタ!$AO$5:$AO$5002,0)))</f>
        <v>X44</v>
      </c>
      <c r="M755" s="39">
        <v>1000</v>
      </c>
      <c r="N755" s="39">
        <v>4000</v>
      </c>
      <c r="O755" s="156">
        <v>12</v>
      </c>
      <c r="P755" s="47">
        <v>3</v>
      </c>
      <c r="Q755" s="213">
        <v>45111</v>
      </c>
      <c r="R755" s="271">
        <f ca="1">IF(D755="","",IF(OFFSET(D755,-1,0)&lt;&gt;"","",IF(OR(J755="リード付け",J755="巻足し",J755="巻返しリード付け"),M755,VLOOKUP(D755,契約台帳!$A$3:$N$4986,14,FALSE))))</f>
        <v>1000</v>
      </c>
      <c r="S755" s="272">
        <f ca="1">IF(D755="","",IF(OFFSET(D755,-1,0)&lt;&gt;"","",IF(OR(J755="リード付け",J755="巻足し",J755="巻返しリード付け"),M755,VLOOKUP(D755,契約台帳!$A$3:$O$4986,15,FALSE))))</f>
        <v>1000</v>
      </c>
      <c r="T755" s="273">
        <f ca="1">IF(D755="","",IF(J755="リード付け",N755,IF(J755="巻返しリード付け",N755,IF(J755="巻足し",N755*P755+OFFSET(N755,1,0)*OFFSET(P755,1,0),VLOOKUP(D755,契約台帳!$A$3:$P$4986,16,FALSE)))))</f>
        <v>12000</v>
      </c>
      <c r="U755" s="40">
        <v>4</v>
      </c>
      <c r="V755" s="274" t="str">
        <f ca="1">IF(D755="","",IF(OFFSET(D755,-2,0)=D755,"",VLOOKUP(D755,契約台帳!$A$3:$R$4986,18,FALSE)))</f>
        <v/>
      </c>
      <c r="W755" s="269" t="str">
        <f ca="1">IF(D755="","",IF(T755="","",IF(OR(J755="巻足し",J755="巻返しリード付け"),"",IF(J755="巻返し",VLOOKUP(F755&amp;K755&amp;M755,製品マスタ!$M$5:$AD$5002,18,FALSE),IF(OR(J755="リード付け",J755="巻返しリード付け"),"原反コア",IF(J755="スリット",VLOOKUP(F755&amp;K755&amp;R755,製品マスタ!$N$5:$AD$5002,17,FALSE),""))))))</f>
        <v/>
      </c>
      <c r="X755" s="269" t="str">
        <f ca="1">IF(D755="","",IF(T755="","",IF(J755="巻足し","",IF(J755="巻返し",VLOOKUP(F755&amp;K755&amp;M755,製品マスタ!$M$5:$AE$5002,19,FALSE),IF(OR(J755="リード付け",J755="巻返しリード付け"),"",IF(J755="スリット",VLOOKUP(F755&amp;K755&amp;R755,製品マスタ!$N$5:$AE$5002,18,FALSE),""))))))</f>
        <v/>
      </c>
      <c r="Y755" s="275">
        <f ca="1">IF(D755="","",IF(T755="","",VLOOKUP(D755,契約台帳!$A$3:$Q$4986,17,FALSE)))</f>
        <v>2</v>
      </c>
      <c r="Z755" s="269" t="str">
        <f ca="1">IF(D755="","",IF(T755="","",VLOOKUP(D755,契約台帳!$A$3:$E$4986,5,FALSE)))</f>
        <v>リンテック㈱</v>
      </c>
      <c r="AA755" s="57"/>
      <c r="AB755" s="207" t="str">
        <f>IFERROR((VLOOKUP(F755&amp;K755&amp;M755,製品マスタ!$M$5:$AM$5002,27,FALSE)),"")</f>
        <v>原反ケース再利用</v>
      </c>
      <c r="AC755" s="33"/>
      <c r="AD755" s="189"/>
      <c r="AE755" s="54"/>
      <c r="AF755" s="55"/>
      <c r="AG755" s="43"/>
      <c r="AH755" s="47"/>
      <c r="AI755" s="30"/>
      <c r="AJ755" s="30"/>
      <c r="AK755" s="30"/>
      <c r="AL755" s="30"/>
      <c r="AM755" s="13"/>
      <c r="AN755" s="13"/>
      <c r="AO755" s="13"/>
      <c r="AP755" s="13"/>
      <c r="AQ755" s="13"/>
      <c r="AR755" s="14"/>
      <c r="AS755" s="15"/>
    </row>
    <row r="756" spans="1:45" s="17" customFormat="1" ht="30.95" hidden="1" customHeight="1" x14ac:dyDescent="0.2">
      <c r="A756" s="37"/>
      <c r="B756" s="38"/>
      <c r="C756" s="45"/>
      <c r="D756" s="31"/>
      <c r="E756" s="31"/>
      <c r="F756" s="268"/>
      <c r="G756" s="269"/>
      <c r="H756" s="269"/>
      <c r="I756" s="270"/>
      <c r="J756" s="210"/>
      <c r="K756" s="270"/>
      <c r="L756" s="270"/>
      <c r="M756" s="39"/>
      <c r="N756" s="39"/>
      <c r="O756" s="156"/>
      <c r="P756" s="47"/>
      <c r="Q756" s="57"/>
      <c r="R756" s="271"/>
      <c r="S756" s="272"/>
      <c r="T756" s="273"/>
      <c r="U756" s="40"/>
      <c r="V756" s="274"/>
      <c r="W756" s="269"/>
      <c r="X756" s="269"/>
      <c r="Y756" s="275"/>
      <c r="Z756" s="269"/>
      <c r="AA756" s="57"/>
      <c r="AB756" s="207"/>
      <c r="AC756" s="33"/>
      <c r="AD756" s="189"/>
      <c r="AE756" s="54"/>
      <c r="AF756" s="55"/>
      <c r="AG756" s="43"/>
      <c r="AH756" s="47"/>
      <c r="AI756" s="30"/>
      <c r="AJ756" s="30"/>
      <c r="AK756" s="30"/>
      <c r="AL756" s="30"/>
      <c r="AM756" s="13"/>
      <c r="AN756" s="13"/>
      <c r="AO756" s="13"/>
      <c r="AP756" s="13"/>
      <c r="AQ756" s="13"/>
      <c r="AR756" s="14"/>
      <c r="AS756" s="15"/>
    </row>
    <row r="757" spans="1:45" s="17" customFormat="1" ht="30.95" hidden="1" customHeight="1" x14ac:dyDescent="0.2">
      <c r="A757" s="37" t="s">
        <v>1265</v>
      </c>
      <c r="B757" s="38" t="s">
        <v>1266</v>
      </c>
      <c r="C757" s="45"/>
      <c r="D757" s="31">
        <v>3716267</v>
      </c>
      <c r="E757" s="31">
        <v>4161975</v>
      </c>
      <c r="F757" s="268" t="str">
        <f>IF(D757="","",VLOOKUP(D757,契約台帳!$A$3:$K$4986,6,FALSE)&amp;VLOOKUP(D757,契約台帳!$A$3:$K$4986,7,FALSE)&amp;VLOOKUP(D757,契約台帳!$A$3:$K$4986,8,FALSE)&amp;VLOOKUP(D757,契約台帳!$A$3:$K$4986,9,FALSE)&amp;VLOOKUP(D757,契約台帳!$A$3:$K$4986,11,FALSE))</f>
        <v>3SNMLBMNQR66F</v>
      </c>
      <c r="G757" s="269" t="str">
        <f>IF(D757="","",VLOOKUP(F757,製品マスタ!$G$5:$H$5002,2,FALSE))</f>
        <v>S</v>
      </c>
      <c r="H757" s="269" t="str">
        <f>IF(D757="","",VLOOKUP(F757,製品マスタ!$G$5:$K$5002,5,FALSE))</f>
        <v>MNQR66F</v>
      </c>
      <c r="I757" s="270" t="str">
        <f>IF(D757="","",VLOOKUP(F757,製品マスタ!$G$5:$L$5002,6,FALSE))</f>
        <v>ＱＲ６６蒸着品</v>
      </c>
      <c r="J757" s="210" t="s">
        <v>935</v>
      </c>
      <c r="K757" s="270">
        <f>IF(D757="","",VLOOKUP(D757,契約台帳!$A$3:$L$4986,12,FALSE))</f>
        <v>25</v>
      </c>
      <c r="L757" s="270" t="str">
        <f>IF(D757="","",INDEX(製品マスタ!$Q$5:$Q$5002,MATCH('S4'!F757&amp;'S4'!K757,製品マスタ!$AO$5:$AO$5002,0)))</f>
        <v>E315</v>
      </c>
      <c r="M757" s="39">
        <v>1000</v>
      </c>
      <c r="N757" s="39">
        <v>6000</v>
      </c>
      <c r="O757" s="156">
        <v>8</v>
      </c>
      <c r="P757" s="47">
        <v>4</v>
      </c>
      <c r="Q757" s="213">
        <v>45111</v>
      </c>
      <c r="R757" s="271">
        <f ca="1">IF(D757="","",IF(OFFSET(D757,-1,0)&lt;&gt;"","",IF(OR(J757="リード付け",J757="巻足し",J757="巻返しリード付け"),M757,VLOOKUP(D757,契約台帳!$A$3:$N$4986,14,FALSE))))</f>
        <v>1000</v>
      </c>
      <c r="S757" s="272">
        <f ca="1">IF(D757="","",IF(OFFSET(D757,-1,0)&lt;&gt;"","",IF(OR(J757="リード付け",J757="巻足し",J757="巻返しリード付け"),M757,VLOOKUP(D757,契約台帳!$A$3:$O$4986,15,FALSE))))</f>
        <v>1000</v>
      </c>
      <c r="T757" s="273">
        <f ca="1">IF(D757="","",IF(J757="リード付け",N757,IF(J757="巻返しリード付け",N757,IF(J757="巻足し",N757*P757+OFFSET(N757,1,0)*OFFSET(P757,1,0),VLOOKUP(D757,契約台帳!$A$3:$P$4986,16,FALSE)))))</f>
        <v>24000</v>
      </c>
      <c r="U757" s="40">
        <v>2</v>
      </c>
      <c r="V757" s="274">
        <f ca="1">IF(D757="","",IF(OFFSET(D757,-2,0)=D757,"",VLOOKUP(D757,契約台帳!$A$3:$R$4986,18,FALSE)))</f>
        <v>8</v>
      </c>
      <c r="W757" s="269" t="str">
        <f ca="1">IF(D757="","",IF(T757="","",IF(OR(J757="巻足し",J757="巻返しリード付け"),"",IF(J757="巻返し",VLOOKUP(F757&amp;K757&amp;M757,製品マスタ!$M$5:$AD$5002,18,FALSE),IF(OR(J757="リード付け",J757="巻返しリード付け"),"原反コア",IF(J757="スリット",VLOOKUP(F757&amp;K757&amp;R757,製品マスタ!$N$5:$AD$5002,17,FALSE),""))))))</f>
        <v/>
      </c>
      <c r="X757" s="269" t="str">
        <f ca="1">IF(D757="","",IF(T757="","",IF(J757="巻足し","",IF(J757="巻返し",VLOOKUP(F757&amp;K757&amp;M757,製品マスタ!$M$5:$AE$5002,19,FALSE),IF(OR(J757="リード付け",J757="巻返しリード付け"),"",IF(J757="スリット",VLOOKUP(F757&amp;K757&amp;R757,製品マスタ!$N$5:$AE$5002,18,FALSE),""))))))</f>
        <v/>
      </c>
      <c r="Y757" s="275">
        <f ca="1">IF(D757="","",IF(T757="","",VLOOKUP(D757,契約台帳!$A$3:$Q$4986,17,FALSE)))</f>
        <v>2</v>
      </c>
      <c r="Z757" s="269" t="str">
        <f ca="1">IF(D757="","",IF(T757="","",VLOOKUP(D757,契約台帳!$A$3:$E$4986,5,FALSE)))</f>
        <v>リンテック㈱</v>
      </c>
      <c r="AA757" s="57"/>
      <c r="AB757" s="207" t="str">
        <f>IFERROR((VLOOKUP(F757&amp;K757&amp;M757,製品マスタ!$M$5:$AM$5002,27,FALSE)),"")</f>
        <v>原反ケース再利用</v>
      </c>
      <c r="AC757" s="33"/>
      <c r="AD757" s="189"/>
      <c r="AE757" s="54"/>
      <c r="AF757" s="55"/>
      <c r="AG757" s="43"/>
      <c r="AH757" s="47"/>
      <c r="AI757" s="30"/>
      <c r="AJ757" s="30"/>
      <c r="AK757" s="30"/>
      <c r="AL757" s="30"/>
      <c r="AM757" s="13"/>
      <c r="AN757" s="13"/>
      <c r="AO757" s="13"/>
      <c r="AP757" s="13"/>
      <c r="AQ757" s="13"/>
      <c r="AR757" s="14"/>
      <c r="AS757" s="15"/>
    </row>
    <row r="758" spans="1:45" s="17" customFormat="1" ht="30.95" hidden="1" customHeight="1" x14ac:dyDescent="0.2">
      <c r="A758" s="37"/>
      <c r="B758" s="38"/>
      <c r="C758" s="45"/>
      <c r="D758" s="31"/>
      <c r="E758" s="31"/>
      <c r="F758" s="268"/>
      <c r="G758" s="269"/>
      <c r="H758" s="269"/>
      <c r="I758" s="270"/>
      <c r="J758" s="210"/>
      <c r="K758" s="270"/>
      <c r="L758" s="270"/>
      <c r="M758" s="39"/>
      <c r="N758" s="39"/>
      <c r="O758" s="156"/>
      <c r="P758" s="47"/>
      <c r="Q758" s="57"/>
      <c r="R758" s="271"/>
      <c r="S758" s="272"/>
      <c r="T758" s="273"/>
      <c r="U758" s="40"/>
      <c r="V758" s="274"/>
      <c r="W758" s="269"/>
      <c r="X758" s="269"/>
      <c r="Y758" s="275"/>
      <c r="Z758" s="269"/>
      <c r="AA758" s="57"/>
      <c r="AB758" s="207"/>
      <c r="AC758" s="33"/>
      <c r="AD758" s="189"/>
      <c r="AE758" s="54"/>
      <c r="AF758" s="55"/>
      <c r="AG758" s="43"/>
      <c r="AH758" s="47"/>
      <c r="AI758" s="30"/>
      <c r="AJ758" s="30"/>
      <c r="AK758" s="30"/>
      <c r="AL758" s="30"/>
      <c r="AM758" s="13"/>
      <c r="AN758" s="13"/>
      <c r="AO758" s="13"/>
      <c r="AP758" s="13"/>
      <c r="AQ758" s="13"/>
      <c r="AR758" s="14"/>
      <c r="AS758" s="15"/>
    </row>
    <row r="759" spans="1:45" s="17" customFormat="1" ht="30.95" hidden="1" customHeight="1" x14ac:dyDescent="0.2">
      <c r="A759" s="37"/>
      <c r="B759" s="38"/>
      <c r="C759" s="45"/>
      <c r="D759" s="31">
        <v>3716252</v>
      </c>
      <c r="E759" s="31">
        <v>4161946</v>
      </c>
      <c r="F759" s="268" t="str">
        <f>IF(D759="","",VLOOKUP(D759,契約台帳!$A$3:$K$4986,6,FALSE)&amp;VLOOKUP(D759,契約台帳!$A$3:$K$4986,7,FALSE)&amp;VLOOKUP(D759,契約台帳!$A$3:$K$4986,8,FALSE)&amp;VLOOKUP(D759,契約台帳!$A$3:$K$4986,9,FALSE)&amp;VLOOKUP(D759,契約台帳!$A$3:$K$4986,11,FALSE))</f>
        <v>3SNMLBMNGKBF</v>
      </c>
      <c r="G759" s="269" t="str">
        <f>IF(D759="","",VLOOKUP(F759,製品マスタ!$G$5:$H$5002,2,FALSE))</f>
        <v>S</v>
      </c>
      <c r="H759" s="269" t="str">
        <f>IF(D759="","",VLOOKUP(F759,製品マスタ!$G$5:$K$5002,5,FALSE))</f>
        <v>MNGKBF</v>
      </c>
      <c r="I759" s="270" t="str">
        <f>IF(D759="","",VLOOKUP(F759,製品マスタ!$G$5:$L$5002,6,FALSE))</f>
        <v>メタルミー　ネーマー銀消　Ｂ</v>
      </c>
      <c r="J759" s="210" t="s">
        <v>935</v>
      </c>
      <c r="K759" s="270">
        <f>IF(D759="","",VLOOKUP(D759,契約台帳!$A$3:$L$4986,12,FALSE))</f>
        <v>50</v>
      </c>
      <c r="L759" s="270" t="str">
        <f>IF(D759="","",INDEX(製品マスタ!$Q$5:$Q$5002,MATCH('S4'!F759&amp;'S4'!K759,製品マスタ!$AO$5:$AO$5002,0)))</f>
        <v>MAT</v>
      </c>
      <c r="M759" s="39">
        <v>1170</v>
      </c>
      <c r="N759" s="39">
        <v>4000</v>
      </c>
      <c r="O759" s="156">
        <v>2</v>
      </c>
      <c r="P759" s="47">
        <v>2</v>
      </c>
      <c r="Q759" s="213">
        <v>45105</v>
      </c>
      <c r="R759" s="271">
        <f ca="1">IF(D759="","",IF(OFFSET(D759,-1,0)&lt;&gt;"","",IF(OR(J759="リード付け",J759="巻足し",J759="巻返しリード付け"),M759,VLOOKUP(D759,契約台帳!$A$3:$N$4986,14,FALSE))))</f>
        <v>1170</v>
      </c>
      <c r="S759" s="272">
        <f ca="1">IF(D759="","",IF(OFFSET(D759,-1,0)&lt;&gt;"","",IF(OR(J759="リード付け",J759="巻足し",J759="巻返しリード付け"),M759,VLOOKUP(D759,契約台帳!$A$3:$O$4986,15,FALSE))))</f>
        <v>1170</v>
      </c>
      <c r="T759" s="273">
        <f ca="1">IF(D759="","",IF(J759="リード付け",N759,IF(J759="巻返しリード付け",N759,IF(J759="巻足し",N759*P759+OFFSET(N759,1,0)*OFFSET(P759,1,0),VLOOKUP(D759,契約台帳!$A$3:$P$4986,16,FALSE)))))</f>
        <v>8000</v>
      </c>
      <c r="U759" s="40">
        <v>1</v>
      </c>
      <c r="V759" s="274">
        <f ca="1">IF(D759="","",IF(OFFSET(D759,-2,0)=D759,"",VLOOKUP(D759,契約台帳!$A$3:$R$4986,18,FALSE)))</f>
        <v>2</v>
      </c>
      <c r="W759" s="269" t="str">
        <f ca="1">IF(D759="","",IF(T759="","",IF(OR(J759="巻足し",J759="巻返しリード付け"),"",IF(J759="巻返し",VLOOKUP(F759&amp;K759&amp;M759,製品マスタ!$M$5:$AD$5002,18,FALSE),IF(OR(J759="リード付け",J759="巻返しリード付け"),"原反コア",IF(J759="スリット",VLOOKUP(F759&amp;K759&amp;R759,製品マスタ!$N$5:$AD$5002,17,FALSE),""))))))</f>
        <v/>
      </c>
      <c r="X759" s="269" t="str">
        <f ca="1">IF(D759="","",IF(T759="","",IF(J759="巻足し","",IF(J759="巻返し",VLOOKUP(F759&amp;K759&amp;M759,製品マスタ!$M$5:$AE$5002,19,FALSE),IF(OR(J759="リード付け",J759="巻返しリード付け"),"",IF(J759="スリット",VLOOKUP(F759&amp;K759&amp;R759,製品マスタ!$N$5:$AE$5002,18,FALSE),""))))))</f>
        <v/>
      </c>
      <c r="Y759" s="275">
        <f ca="1">IF(D759="","",IF(T759="","",VLOOKUP(D759,契約台帳!$A$3:$Q$4986,17,FALSE)))</f>
        <v>2</v>
      </c>
      <c r="Z759" s="269" t="str">
        <f ca="1">IF(D759="","",IF(T759="","",VLOOKUP(D759,契約台帳!$A$3:$E$4986,5,FALSE)))</f>
        <v>リンテック㈱</v>
      </c>
      <c r="AA759" s="57"/>
      <c r="AB759" s="207">
        <f>IFERROR((VLOOKUP(F759&amp;K759&amp;M759,製品マスタ!$M$5:$AM$5002,27,FALSE)),"")</f>
        <v>0</v>
      </c>
      <c r="AC759" s="33"/>
      <c r="AD759" s="189"/>
      <c r="AE759" s="54"/>
      <c r="AF759" s="55"/>
      <c r="AG759" s="43"/>
      <c r="AH759" s="47"/>
      <c r="AI759" s="30"/>
      <c r="AJ759" s="30"/>
      <c r="AK759" s="30"/>
      <c r="AL759" s="30"/>
      <c r="AM759" s="13"/>
      <c r="AN759" s="13"/>
      <c r="AO759" s="13"/>
      <c r="AP759" s="13"/>
      <c r="AQ759" s="13"/>
      <c r="AR759" s="14"/>
      <c r="AS759" s="15"/>
    </row>
    <row r="760" spans="1:45" s="17" customFormat="1" ht="30.95" hidden="1" customHeight="1" x14ac:dyDescent="0.2">
      <c r="A760" s="37"/>
      <c r="B760" s="38"/>
      <c r="C760" s="45"/>
      <c r="D760" s="31"/>
      <c r="E760" s="31"/>
      <c r="F760" s="268"/>
      <c r="G760" s="269"/>
      <c r="H760" s="269"/>
      <c r="I760" s="270"/>
      <c r="J760" s="210"/>
      <c r="K760" s="270"/>
      <c r="L760" s="270"/>
      <c r="M760" s="39"/>
      <c r="N760" s="39"/>
      <c r="O760" s="156"/>
      <c r="P760" s="47"/>
      <c r="Q760" s="57"/>
      <c r="R760" s="271"/>
      <c r="S760" s="272"/>
      <c r="T760" s="273"/>
      <c r="U760" s="40"/>
      <c r="V760" s="274"/>
      <c r="W760" s="269"/>
      <c r="X760" s="269"/>
      <c r="Y760" s="275"/>
      <c r="Z760" s="269"/>
      <c r="AA760" s="57"/>
      <c r="AB760" s="207"/>
      <c r="AC760" s="33"/>
      <c r="AD760" s="189"/>
      <c r="AE760" s="54"/>
      <c r="AF760" s="55"/>
      <c r="AG760" s="43"/>
      <c r="AH760" s="47"/>
      <c r="AI760" s="30"/>
      <c r="AJ760" s="30"/>
      <c r="AK760" s="30"/>
      <c r="AL760" s="30"/>
      <c r="AM760" s="13"/>
      <c r="AN760" s="13"/>
      <c r="AO760" s="13"/>
      <c r="AP760" s="13"/>
      <c r="AQ760" s="13"/>
      <c r="AR760" s="14"/>
      <c r="AS760" s="15"/>
    </row>
    <row r="761" spans="1:45" s="17" customFormat="1" ht="30.95" hidden="1" customHeight="1" x14ac:dyDescent="0.2">
      <c r="A761" s="37" t="s">
        <v>507</v>
      </c>
      <c r="B761" s="38" t="s">
        <v>443</v>
      </c>
      <c r="C761" s="45"/>
      <c r="D761" s="31">
        <v>3712097</v>
      </c>
      <c r="E761" s="31">
        <v>4140955</v>
      </c>
      <c r="F761" s="268" t="str">
        <f>IF(D761="","",VLOOKUP(D761,契約台帳!$A$3:$K$4986,6,FALSE)&amp;VLOOKUP(D761,契約台帳!$A$3:$K$4986,7,FALSE)&amp;VLOOKUP(D761,契約台帳!$A$3:$K$4986,8,FALSE)&amp;VLOOKUP(D761,契約台帳!$A$3:$K$4986,9,FALSE)&amp;VLOOKUP(D761,契約台帳!$A$3:$K$4986,11,FALSE))</f>
        <v>3SNMCLBWCB</v>
      </c>
      <c r="G761" s="269" t="str">
        <f>IF(D761="","",VLOOKUP(F761,製品マスタ!$G$5:$H$5002,2,FALSE))</f>
        <v>S</v>
      </c>
      <c r="H761" s="269" t="str">
        <f>IF(D761="","",VLOOKUP(F761,製品マスタ!$G$5:$K$5002,5,FALSE))</f>
        <v>WCB</v>
      </c>
      <c r="I761" s="270" t="str">
        <f>IF(D761="","",VLOOKUP(F761,製品マスタ!$G$5:$L$5002,6,FALSE))</f>
        <v>メタルミー　ホワイトコート　（Ｂ）</v>
      </c>
      <c r="J761" s="210" t="s">
        <v>463</v>
      </c>
      <c r="K761" s="270">
        <f>IF(D761="","",VLOOKUP(D761,契約台帳!$A$3:$L$4986,12,FALSE))</f>
        <v>50</v>
      </c>
      <c r="L761" s="270" t="str">
        <f>IF(D761="","",INDEX(製品マスタ!$Q$5:$Q$5002,MATCH('S4'!F761&amp;'S4'!K761,製品マスタ!$AO$5:$AO$5002,0)))</f>
        <v>T62M</v>
      </c>
      <c r="M761" s="39">
        <v>1150</v>
      </c>
      <c r="N761" s="39">
        <v>10000</v>
      </c>
      <c r="O761" s="156">
        <v>2</v>
      </c>
      <c r="P761" s="47">
        <v>2</v>
      </c>
      <c r="Q761" s="57"/>
      <c r="R761" s="271">
        <f ca="1">IF(D761="","",IF(OFFSET(D761,-1,0)&lt;&gt;"","",IF(OR(J761="リード付け",J761="巻足し",J761="巻返しリード付け"),M761,VLOOKUP(D761,契約台帳!$A$3:$N$4986,14,FALSE))))</f>
        <v>1120</v>
      </c>
      <c r="S761" s="272">
        <f ca="1">IF(D761="","",IF(OFFSET(D761,-1,0)&lt;&gt;"","",IF(OR(J761="リード付け",J761="巻足し",J761="巻返しリード付け"),M761,VLOOKUP(D761,契約台帳!$A$3:$O$4986,15,FALSE))))</f>
        <v>1120</v>
      </c>
      <c r="T761" s="273">
        <f ca="1">IF(D761="","",IF(J761="リード付け",N761,IF(J761="巻返しリード付け",N761,IF(J761="巻足し",N761*P761+OFFSET(N761,1,0)*OFFSET(P761,1,0),VLOOKUP(D761,契約台帳!$A$3:$P$4986,16,FALSE)))))</f>
        <v>5000</v>
      </c>
      <c r="U761" s="40">
        <v>4</v>
      </c>
      <c r="V761" s="274">
        <f ca="1">IF(D761="","",IF(OFFSET(D761,-2,0)=D761,"",VLOOKUP(D761,契約台帳!$A$3:$R$4986,18,FALSE)))</f>
        <v>4</v>
      </c>
      <c r="W761" s="269" t="str">
        <f ca="1">IF(D761="","",IF(T761="","",IF(OR(J761="巻足し",J761="巻返しリード付け"),"",IF(J761="巻返し",VLOOKUP(F761&amp;K761&amp;M761,製品マスタ!$M$5:$AD$5002,18,FALSE),IF(OR(J761="リード付け",J761="巻返しリード付け"),"原反コア",IF(J761="スリット",VLOOKUP(F761&amp;K761&amp;R761,製品マスタ!$N$5:$AD$5002,17,FALSE),""))))))</f>
        <v>6ｲﾝﾁSｺｱ</v>
      </c>
      <c r="X761" s="269">
        <f ca="1">IF(D761="","",IF(T761="","",IF(J761="巻足し","",IF(J761="巻返し",VLOOKUP(F761&amp;K761&amp;M761,製品マスタ!$M$5:$AE$5002,19,FALSE),IF(OR(J761="リード付け",J761="巻返しリード付け"),"",IF(J761="スリット",VLOOKUP(F761&amp;K761&amp;R761,製品マスタ!$N$5:$AE$5002,18,FALSE),""))))))</f>
        <v>1140</v>
      </c>
      <c r="Y761" s="275">
        <f ca="1">IF(D761="","",IF(T761="","",VLOOKUP(D761,契約台帳!$A$3:$Q$4986,17,FALSE)))</f>
        <v>2</v>
      </c>
      <c r="Z761" s="269" t="str">
        <f ca="1">IF(D761="","",IF(T761="","",VLOOKUP(D761,契約台帳!$A$3:$E$4986,5,FALSE)))</f>
        <v>新タック化成㈱</v>
      </c>
      <c r="AA761" s="57"/>
      <c r="AB761" s="207" t="str">
        <f>IFERROR((VLOOKUP(F761&amp;K761&amp;M761,製品マスタ!$M$5:$AM$5002,27,FALSE)),"")</f>
        <v>エージング後スリット</v>
      </c>
      <c r="AC761" s="33"/>
      <c r="AD761" s="189"/>
      <c r="AE761" s="54"/>
      <c r="AF761" s="55"/>
      <c r="AG761" s="43"/>
      <c r="AH761" s="47"/>
      <c r="AI761" s="30"/>
      <c r="AJ761" s="30"/>
      <c r="AK761" s="30"/>
      <c r="AL761" s="30"/>
      <c r="AM761" s="13"/>
      <c r="AN761" s="13"/>
      <c r="AO761" s="13"/>
      <c r="AP761" s="13"/>
      <c r="AQ761" s="13"/>
      <c r="AR761" s="14"/>
      <c r="AS761" s="15"/>
    </row>
    <row r="762" spans="1:45" s="17" customFormat="1" ht="30.95" hidden="1" customHeight="1" x14ac:dyDescent="0.2">
      <c r="A762" s="37"/>
      <c r="B762" s="38"/>
      <c r="C762" s="45"/>
      <c r="D762" s="31"/>
      <c r="E762" s="31"/>
      <c r="F762" s="268"/>
      <c r="G762" s="269"/>
      <c r="H762" s="269"/>
      <c r="I762" s="270"/>
      <c r="J762" s="210"/>
      <c r="K762" s="270"/>
      <c r="L762" s="270"/>
      <c r="M762" s="39"/>
      <c r="N762" s="39"/>
      <c r="O762" s="156"/>
      <c r="P762" s="47"/>
      <c r="Q762" s="57"/>
      <c r="R762" s="271"/>
      <c r="S762" s="272"/>
      <c r="T762" s="273"/>
      <c r="U762" s="40"/>
      <c r="V762" s="274"/>
      <c r="W762" s="269"/>
      <c r="X762" s="269"/>
      <c r="Y762" s="275"/>
      <c r="Z762" s="269"/>
      <c r="AA762" s="57"/>
      <c r="AB762" s="207"/>
      <c r="AC762" s="33"/>
      <c r="AD762" s="189"/>
      <c r="AE762" s="54"/>
      <c r="AF762" s="55"/>
      <c r="AG762" s="43"/>
      <c r="AH762" s="47"/>
      <c r="AI762" s="30"/>
      <c r="AJ762" s="30"/>
      <c r="AK762" s="30"/>
      <c r="AL762" s="30"/>
      <c r="AM762" s="13"/>
      <c r="AN762" s="13"/>
      <c r="AO762" s="13"/>
      <c r="AP762" s="13"/>
      <c r="AQ762" s="13"/>
      <c r="AR762" s="14"/>
      <c r="AS762" s="15"/>
    </row>
    <row r="763" spans="1:45" s="17" customFormat="1" ht="30.95" hidden="1" customHeight="1" x14ac:dyDescent="0.2">
      <c r="A763" s="37" t="s">
        <v>1271</v>
      </c>
      <c r="B763" s="38" t="s">
        <v>1260</v>
      </c>
      <c r="C763" s="45"/>
      <c r="D763" s="31">
        <v>3716248</v>
      </c>
      <c r="E763" s="31">
        <v>4161951</v>
      </c>
      <c r="F763" s="268" t="str">
        <f>IF(D763="","",VLOOKUP(D763,契約台帳!$A$3:$K$4986,6,FALSE)&amp;VLOOKUP(D763,契約台帳!$A$3:$K$4986,7,FALSE)&amp;VLOOKUP(D763,契約台帳!$A$3:$K$4986,8,FALSE)&amp;VLOOKUP(D763,契約台帳!$A$3:$K$4986,9,FALSE)&amp;VLOOKUP(D763,契約台帳!$A$3:$K$4986,11,FALSE))</f>
        <v>3SNMLBMNGKKBF</v>
      </c>
      <c r="G763" s="269" t="str">
        <f>IF(D763="","",VLOOKUP(F763,製品マスタ!$G$5:$H$5002,2,FALSE))</f>
        <v>S</v>
      </c>
      <c r="H763" s="269" t="str">
        <f>IF(D763="","",VLOOKUP(F763,製品マスタ!$G$5:$K$5002,5,FALSE))</f>
        <v>MNGKKBF</v>
      </c>
      <c r="I763" s="270" t="str">
        <f>IF(D763="","",VLOOKUP(F763,製品マスタ!$G$5:$L$5002,6,FALSE))</f>
        <v>メタルミー　ネーマー銀消改　Ｂ</v>
      </c>
      <c r="J763" s="210" t="s">
        <v>935</v>
      </c>
      <c r="K763" s="270">
        <f>IF(D763="","",VLOOKUP(D763,契約台帳!$A$3:$L$4986,12,FALSE))</f>
        <v>50</v>
      </c>
      <c r="L763" s="270" t="str">
        <f>IF(D763="","",INDEX(製品マスタ!$Q$5:$Q$5002,MATCH('S4'!F763&amp;'S4'!K763,製品マスタ!$AO$5:$AO$5002,0)))</f>
        <v>S99-MAT</v>
      </c>
      <c r="M763" s="39">
        <v>1120</v>
      </c>
      <c r="N763" s="39">
        <v>4000</v>
      </c>
      <c r="O763" s="156">
        <v>18</v>
      </c>
      <c r="P763" s="47">
        <v>3</v>
      </c>
      <c r="Q763" s="213">
        <v>45114</v>
      </c>
      <c r="R763" s="271">
        <f ca="1">IF(D763="","",IF(OFFSET(D763,-1,0)&lt;&gt;"","",IF(OR(J763="リード付け",J763="巻足し",J763="巻返しリード付け"),M763,VLOOKUP(D763,契約台帳!$A$3:$N$4986,14,FALSE))))</f>
        <v>1120</v>
      </c>
      <c r="S763" s="272">
        <f ca="1">IF(D763="","",IF(OFFSET(D763,-1,0)&lt;&gt;"","",IF(OR(J763="リード付け",J763="巻足し",J763="巻返しリード付け"),M763,VLOOKUP(D763,契約台帳!$A$3:$O$4986,15,FALSE))))</f>
        <v>1120</v>
      </c>
      <c r="T763" s="273">
        <f ca="1">IF(D763="","",IF(J763="リード付け",N763,IF(J763="巻返しリード付け",N763,IF(J763="巻足し",N763*P763+OFFSET(N763,1,0)*OFFSET(P763,1,0),VLOOKUP(D763,契約台帳!$A$3:$P$4986,16,FALSE)))))</f>
        <v>12000</v>
      </c>
      <c r="U763" s="40">
        <v>6</v>
      </c>
      <c r="V763" s="274">
        <f ca="1">IF(D763="","",IF(OFFSET(D763,-2,0)=D763,"",VLOOKUP(D763,契約台帳!$A$3:$R$4986,18,FALSE)))</f>
        <v>18</v>
      </c>
      <c r="W763" s="269" t="str">
        <f ca="1">IF(D763="","",IF(T763="","",IF(OR(J763="巻足し",J763="巻返しリード付け"),"",IF(J763="巻返し",VLOOKUP(F763&amp;K763&amp;M763,製品マスタ!$M$5:$AD$5002,18,FALSE),IF(OR(J763="リード付け",J763="巻返しリード付け"),"原反コア",IF(J763="スリット",VLOOKUP(F763&amp;K763&amp;R763,製品マスタ!$N$5:$AD$5002,17,FALSE),""))))))</f>
        <v/>
      </c>
      <c r="X763" s="269" t="str">
        <f ca="1">IF(D763="","",IF(T763="","",IF(J763="巻足し","",IF(J763="巻返し",VLOOKUP(F763&amp;K763&amp;M763,製品マスタ!$M$5:$AE$5002,19,FALSE),IF(OR(J763="リード付け",J763="巻返しリード付け"),"",IF(J763="スリット",VLOOKUP(F763&amp;K763&amp;R763,製品マスタ!$N$5:$AE$5002,18,FALSE),""))))))</f>
        <v/>
      </c>
      <c r="Y763" s="275">
        <f ca="1">IF(D763="","",IF(T763="","",VLOOKUP(D763,契約台帳!$A$3:$Q$4986,17,FALSE)))</f>
        <v>2</v>
      </c>
      <c r="Z763" s="269" t="str">
        <f ca="1">IF(D763="","",IF(T763="","",VLOOKUP(D763,契約台帳!$A$3:$E$4986,5,FALSE)))</f>
        <v>リンテック㈱</v>
      </c>
      <c r="AA763" s="57"/>
      <c r="AB763" s="207">
        <f>IFERROR((VLOOKUP(F763&amp;K763&amp;M763,製品マスタ!$M$5:$AM$5002,27,FALSE)),"")</f>
        <v>0</v>
      </c>
      <c r="AC763" s="33"/>
      <c r="AD763" s="189"/>
      <c r="AE763" s="54"/>
      <c r="AF763" s="55"/>
      <c r="AG763" s="43"/>
      <c r="AH763" s="47"/>
      <c r="AI763" s="30"/>
      <c r="AJ763" s="30"/>
      <c r="AK763" s="30"/>
      <c r="AL763" s="30"/>
      <c r="AM763" s="13"/>
      <c r="AN763" s="13"/>
      <c r="AO763" s="13"/>
      <c r="AP763" s="13"/>
      <c r="AQ763" s="13"/>
      <c r="AR763" s="14"/>
      <c r="AS763" s="15"/>
    </row>
    <row r="764" spans="1:45" s="17" customFormat="1" ht="30.95" hidden="1" customHeight="1" x14ac:dyDescent="0.2">
      <c r="A764" s="37"/>
      <c r="B764" s="38"/>
      <c r="C764" s="45"/>
      <c r="D764" s="31"/>
      <c r="E764" s="31"/>
      <c r="F764" s="268"/>
      <c r="G764" s="269"/>
      <c r="H764" s="269"/>
      <c r="I764" s="270"/>
      <c r="J764" s="210"/>
      <c r="K764" s="270"/>
      <c r="L764" s="270"/>
      <c r="M764" s="39"/>
      <c r="N764" s="39"/>
      <c r="O764" s="156"/>
      <c r="P764" s="47"/>
      <c r="Q764" s="57"/>
      <c r="R764" s="271"/>
      <c r="S764" s="272"/>
      <c r="T764" s="273"/>
      <c r="U764" s="40"/>
      <c r="V764" s="274"/>
      <c r="W764" s="269"/>
      <c r="X764" s="269"/>
      <c r="Y764" s="275"/>
      <c r="Z764" s="269"/>
      <c r="AA764" s="57"/>
      <c r="AB764" s="207"/>
      <c r="AC764" s="33"/>
      <c r="AD764" s="189"/>
      <c r="AE764" s="54"/>
      <c r="AF764" s="55"/>
      <c r="AG764" s="43"/>
      <c r="AH764" s="47"/>
      <c r="AI764" s="30"/>
      <c r="AJ764" s="30"/>
      <c r="AK764" s="30"/>
      <c r="AL764" s="30"/>
      <c r="AM764" s="13"/>
      <c r="AN764" s="13"/>
      <c r="AO764" s="13"/>
      <c r="AP764" s="13"/>
      <c r="AQ764" s="13"/>
      <c r="AR764" s="14"/>
      <c r="AS764" s="15"/>
    </row>
    <row r="765" spans="1:45" s="17" customFormat="1" ht="30.95" hidden="1" customHeight="1" x14ac:dyDescent="0.2">
      <c r="A765" s="37" t="s">
        <v>493</v>
      </c>
      <c r="B765" s="38" t="s">
        <v>445</v>
      </c>
      <c r="C765" s="45"/>
      <c r="D765" s="31"/>
      <c r="E765" s="31"/>
      <c r="F765" s="268"/>
      <c r="G765" s="269"/>
      <c r="H765" s="269"/>
      <c r="I765" s="270"/>
      <c r="J765" s="210" t="s">
        <v>448</v>
      </c>
      <c r="K765" s="270"/>
      <c r="L765" s="270"/>
      <c r="M765" s="39"/>
      <c r="N765" s="39"/>
      <c r="O765" s="156"/>
      <c r="P765" s="47"/>
      <c r="Q765" s="57"/>
      <c r="R765" s="271"/>
      <c r="S765" s="272"/>
      <c r="T765" s="273"/>
      <c r="U765" s="40"/>
      <c r="V765" s="274"/>
      <c r="W765" s="269"/>
      <c r="X765" s="269"/>
      <c r="Y765" s="275"/>
      <c r="Z765" s="269"/>
      <c r="AA765" s="57"/>
      <c r="AB765" s="207"/>
      <c r="AC765" s="33"/>
      <c r="AD765" s="189"/>
      <c r="AE765" s="54"/>
      <c r="AF765" s="55"/>
      <c r="AG765" s="43"/>
      <c r="AH765" s="47"/>
      <c r="AI765" s="30"/>
      <c r="AJ765" s="30"/>
      <c r="AK765" s="30"/>
      <c r="AL765" s="30"/>
      <c r="AM765" s="13"/>
      <c r="AN765" s="13"/>
      <c r="AO765" s="13"/>
      <c r="AP765" s="13"/>
      <c r="AQ765" s="13"/>
      <c r="AR765" s="14"/>
      <c r="AS765" s="15"/>
    </row>
    <row r="766" spans="1:45" s="17" customFormat="1" ht="30.95" hidden="1" customHeight="1" x14ac:dyDescent="0.2">
      <c r="A766" s="37"/>
      <c r="B766" s="38"/>
      <c r="C766" s="45"/>
      <c r="D766" s="31"/>
      <c r="E766" s="31"/>
      <c r="F766" s="268"/>
      <c r="G766" s="269"/>
      <c r="H766" s="269"/>
      <c r="I766" s="270"/>
      <c r="J766" s="210"/>
      <c r="K766" s="270"/>
      <c r="L766" s="270"/>
      <c r="M766" s="39"/>
      <c r="N766" s="39"/>
      <c r="O766" s="156"/>
      <c r="P766" s="47"/>
      <c r="Q766" s="57"/>
      <c r="R766" s="271"/>
      <c r="S766" s="272"/>
      <c r="T766" s="273"/>
      <c r="U766" s="40"/>
      <c r="V766" s="274"/>
      <c r="W766" s="269"/>
      <c r="X766" s="269"/>
      <c r="Y766" s="275"/>
      <c r="Z766" s="269"/>
      <c r="AA766" s="57"/>
      <c r="AB766" s="207"/>
      <c r="AC766" s="33"/>
      <c r="AD766" s="189"/>
      <c r="AE766" s="54"/>
      <c r="AF766" s="55"/>
      <c r="AG766" s="43"/>
      <c r="AH766" s="47"/>
      <c r="AI766" s="30"/>
      <c r="AJ766" s="30"/>
      <c r="AK766" s="30"/>
      <c r="AL766" s="30"/>
      <c r="AM766" s="13"/>
      <c r="AN766" s="13"/>
      <c r="AO766" s="13"/>
      <c r="AP766" s="13"/>
      <c r="AQ766" s="13"/>
      <c r="AR766" s="14"/>
      <c r="AS766" s="15"/>
    </row>
    <row r="767" spans="1:45" s="17" customFormat="1" ht="30.95" hidden="1" customHeight="1" x14ac:dyDescent="0.2">
      <c r="A767" s="37" t="s">
        <v>508</v>
      </c>
      <c r="B767" s="38" t="s">
        <v>446</v>
      </c>
      <c r="C767" s="45"/>
      <c r="D767" s="31"/>
      <c r="E767" s="31"/>
      <c r="F767" s="268"/>
      <c r="G767" s="269"/>
      <c r="H767" s="269"/>
      <c r="I767" s="270"/>
      <c r="J767" s="210" t="s">
        <v>448</v>
      </c>
      <c r="K767" s="270"/>
      <c r="L767" s="270"/>
      <c r="M767" s="39"/>
      <c r="N767" s="39"/>
      <c r="O767" s="156"/>
      <c r="P767" s="47"/>
      <c r="Q767" s="57"/>
      <c r="R767" s="271"/>
      <c r="S767" s="272"/>
      <c r="T767" s="273"/>
      <c r="U767" s="40"/>
      <c r="V767" s="274"/>
      <c r="W767" s="269"/>
      <c r="X767" s="269"/>
      <c r="Y767" s="275"/>
      <c r="Z767" s="269"/>
      <c r="AA767" s="57"/>
      <c r="AB767" s="207"/>
      <c r="AC767" s="33"/>
      <c r="AD767" s="189"/>
      <c r="AE767" s="54"/>
      <c r="AF767" s="55"/>
      <c r="AG767" s="43"/>
      <c r="AH767" s="47"/>
      <c r="AI767" s="30"/>
      <c r="AJ767" s="30"/>
      <c r="AK767" s="30"/>
      <c r="AL767" s="30"/>
      <c r="AM767" s="13"/>
      <c r="AN767" s="13"/>
      <c r="AO767" s="13"/>
      <c r="AP767" s="13"/>
      <c r="AQ767" s="13"/>
      <c r="AR767" s="14"/>
      <c r="AS767" s="15"/>
    </row>
    <row r="768" spans="1:45" s="17" customFormat="1" ht="30.95" hidden="1" customHeight="1" x14ac:dyDescent="0.2">
      <c r="A768" s="37"/>
      <c r="B768" s="38"/>
      <c r="C768" s="45"/>
      <c r="D768" s="31"/>
      <c r="E768" s="31"/>
      <c r="F768" s="268"/>
      <c r="G768" s="269"/>
      <c r="H768" s="269"/>
      <c r="I768" s="270"/>
      <c r="J768" s="210"/>
      <c r="K768" s="270"/>
      <c r="L768" s="270"/>
      <c r="M768" s="39"/>
      <c r="N768" s="39"/>
      <c r="O768" s="156"/>
      <c r="P768" s="47"/>
      <c r="Q768" s="57"/>
      <c r="R768" s="271"/>
      <c r="S768" s="272"/>
      <c r="T768" s="273"/>
      <c r="U768" s="40"/>
      <c r="V768" s="274"/>
      <c r="W768" s="269"/>
      <c r="X768" s="269"/>
      <c r="Y768" s="275"/>
      <c r="Z768" s="269"/>
      <c r="AA768" s="57"/>
      <c r="AB768" s="207"/>
      <c r="AC768" s="33"/>
      <c r="AD768" s="189"/>
      <c r="AE768" s="54"/>
      <c r="AF768" s="55"/>
      <c r="AG768" s="43"/>
      <c r="AH768" s="47"/>
      <c r="AI768" s="30"/>
      <c r="AJ768" s="30"/>
      <c r="AK768" s="30"/>
      <c r="AL768" s="30"/>
      <c r="AM768" s="13"/>
      <c r="AN768" s="13"/>
      <c r="AO768" s="13"/>
      <c r="AP768" s="13"/>
      <c r="AQ768" s="13"/>
      <c r="AR768" s="14"/>
      <c r="AS768" s="15"/>
    </row>
    <row r="769" spans="1:45" s="17" customFormat="1" ht="30.95" hidden="1" customHeight="1" x14ac:dyDescent="0.2">
      <c r="A769" s="37" t="s">
        <v>1272</v>
      </c>
      <c r="B769" s="38" t="s">
        <v>1262</v>
      </c>
      <c r="C769" s="45"/>
      <c r="D769" s="31">
        <v>3716265</v>
      </c>
      <c r="E769" s="31">
        <v>4161941</v>
      </c>
      <c r="F769" s="268" t="str">
        <f>IF(D769="","",VLOOKUP(D769,契約台帳!$A$3:$K$4986,6,FALSE)&amp;VLOOKUP(D769,契約台帳!$A$3:$K$4986,7,FALSE)&amp;VLOOKUP(D769,契約台帳!$A$3:$K$4986,8,FALSE)&amp;VLOOKUP(D769,契約台帳!$A$3:$K$4986,9,FALSE)&amp;VLOOKUP(D769,契約台帳!$A$3:$K$4986,11,FALSE))</f>
        <v>33SSNMCLBTEKKFV</v>
      </c>
      <c r="G769" s="269" t="str">
        <f>IF(D769="","",VLOOKUP(F769,製品マスタ!$G$5:$H$5002,2,FALSE))</f>
        <v>S</v>
      </c>
      <c r="H769" s="269" t="str">
        <f>IF(D769="","",VLOOKUP(F769,製品マスタ!$G$5:$K$5002,5,FALSE))</f>
        <v>TEKKFV</v>
      </c>
      <c r="I769" s="270" t="str">
        <f>IF(D769="","",VLOOKUP(F769,製品マスタ!$G$5:$L$5002,6,FALSE))</f>
        <v>メタルミー　ＴＥＳ消開封　Ｖ</v>
      </c>
      <c r="J769" s="210" t="s">
        <v>935</v>
      </c>
      <c r="K769" s="270">
        <f>IF(D769="","",VLOOKUP(D769,契約台帳!$A$3:$L$4986,12,FALSE))</f>
        <v>50</v>
      </c>
      <c r="L769" s="270" t="str">
        <f>IF(D769="","",INDEX(製品マスタ!$Q$5:$Q$5002,MATCH('S4'!F769&amp;'S4'!K769,製品マスタ!$AO$5:$AO$5002,0)))</f>
        <v>X44SEPA</v>
      </c>
      <c r="M769" s="39">
        <v>1005</v>
      </c>
      <c r="N769" s="39">
        <v>4000</v>
      </c>
      <c r="O769" s="156">
        <v>6</v>
      </c>
      <c r="P769" s="47">
        <v>3</v>
      </c>
      <c r="Q769" s="213">
        <v>45113</v>
      </c>
      <c r="R769" s="271">
        <f ca="1">IF(D769="","",IF(OFFSET(D769,-1,0)&lt;&gt;"","",IF(OR(J769="リード付け",J769="巻足し",J769="巻返しリード付け"),M769,VLOOKUP(D769,契約台帳!$A$3:$N$4986,14,FALSE))))</f>
        <v>1005</v>
      </c>
      <c r="S769" s="272">
        <f ca="1">IF(D769="","",IF(OFFSET(D769,-1,0)&lt;&gt;"","",IF(OR(J769="リード付け",J769="巻足し",J769="巻返しリード付け"),M769,VLOOKUP(D769,契約台帳!$A$3:$O$4986,15,FALSE))))</f>
        <v>1005</v>
      </c>
      <c r="T769" s="273">
        <f ca="1">IF(D769="","",IF(J769="リード付け",N769,IF(J769="巻返しリード付け",N769,IF(J769="巻足し",N769*P769+OFFSET(N769,1,0)*OFFSET(P769,1,0),VLOOKUP(D769,契約台帳!$A$3:$P$4986,16,FALSE)))))</f>
        <v>12000</v>
      </c>
      <c r="U769" s="40">
        <v>2</v>
      </c>
      <c r="V769" s="274">
        <f ca="1">IF(D769="","",IF(OFFSET(D769,-2,0)=D769,"",VLOOKUP(D769,契約台帳!$A$3:$R$4986,18,FALSE)))</f>
        <v>6</v>
      </c>
      <c r="W769" s="269" t="str">
        <f ca="1">IF(D769="","",IF(T769="","",IF(OR(J769="巻足し",J769="巻返しリード付け"),"",IF(J769="巻返し",VLOOKUP(F769&amp;K769&amp;M769,製品マスタ!$M$5:$AD$5002,18,FALSE),IF(OR(J769="リード付け",J769="巻返しリード付け"),"原反コア",IF(J769="スリット",VLOOKUP(F769&amp;K769&amp;R769,製品マスタ!$N$5:$AD$5002,17,FALSE),""))))))</f>
        <v/>
      </c>
      <c r="X769" s="269" t="str">
        <f ca="1">IF(D769="","",IF(T769="","",IF(J769="巻足し","",IF(J769="巻返し",VLOOKUP(F769&amp;K769&amp;M769,製品マスタ!$M$5:$AE$5002,19,FALSE),IF(OR(J769="リード付け",J769="巻返しリード付け"),"",IF(J769="スリット",VLOOKUP(F769&amp;K769&amp;R769,製品マスタ!$N$5:$AE$5002,18,FALSE),""))))))</f>
        <v/>
      </c>
      <c r="Y769" s="275">
        <f ca="1">IF(D769="","",IF(T769="","",VLOOKUP(D769,契約台帳!$A$3:$Q$4986,17,FALSE)))</f>
        <v>2</v>
      </c>
      <c r="Z769" s="269" t="str">
        <f ca="1">IF(D769="","",IF(T769="","",VLOOKUP(D769,契約台帳!$A$3:$E$4986,5,FALSE)))</f>
        <v>リンテック㈱</v>
      </c>
      <c r="AA769" s="57"/>
      <c r="AB769" s="207">
        <f>IFERROR((VLOOKUP(F769&amp;K769&amp;M769,製品マスタ!$M$5:$AM$5002,27,FALSE)),"")</f>
        <v>0</v>
      </c>
      <c r="AC769" s="33"/>
      <c r="AD769" s="189"/>
      <c r="AE769" s="54"/>
      <c r="AF769" s="55"/>
      <c r="AG769" s="43"/>
      <c r="AH769" s="47"/>
      <c r="AI769" s="30"/>
      <c r="AJ769" s="30"/>
      <c r="AK769" s="30"/>
      <c r="AL769" s="30"/>
      <c r="AM769" s="13"/>
      <c r="AN769" s="13"/>
      <c r="AO769" s="13"/>
      <c r="AP769" s="13"/>
      <c r="AQ769" s="13"/>
      <c r="AR769" s="14"/>
      <c r="AS769" s="15"/>
    </row>
    <row r="770" spans="1:45" s="17" customFormat="1" ht="30.95" hidden="1" customHeight="1" x14ac:dyDescent="0.2">
      <c r="A770" s="37"/>
      <c r="B770" s="38"/>
      <c r="C770" s="45"/>
      <c r="D770" s="31"/>
      <c r="E770" s="31"/>
      <c r="F770" s="268"/>
      <c r="G770" s="269"/>
      <c r="H770" s="269"/>
      <c r="I770" s="270"/>
      <c r="J770" s="210"/>
      <c r="K770" s="270"/>
      <c r="L770" s="270"/>
      <c r="M770" s="39"/>
      <c r="N770" s="39"/>
      <c r="O770" s="156"/>
      <c r="P770" s="47"/>
      <c r="Q770" s="57"/>
      <c r="R770" s="271"/>
      <c r="S770" s="272"/>
      <c r="T770" s="273"/>
      <c r="U770" s="40"/>
      <c r="V770" s="274"/>
      <c r="W770" s="269"/>
      <c r="X770" s="269"/>
      <c r="Y770" s="275"/>
      <c r="Z770" s="269"/>
      <c r="AA770" s="57"/>
      <c r="AB770" s="207"/>
      <c r="AC770" s="33"/>
      <c r="AD770" s="189"/>
      <c r="AE770" s="54"/>
      <c r="AF770" s="55"/>
      <c r="AG770" s="43"/>
      <c r="AH770" s="47"/>
      <c r="AI770" s="30"/>
      <c r="AJ770" s="30"/>
      <c r="AK770" s="30"/>
      <c r="AL770" s="30"/>
      <c r="AM770" s="13"/>
      <c r="AN770" s="13"/>
      <c r="AO770" s="13"/>
      <c r="AP770" s="13"/>
      <c r="AQ770" s="13"/>
      <c r="AR770" s="14"/>
      <c r="AS770" s="15"/>
    </row>
    <row r="771" spans="1:45" s="17" customFormat="1" ht="30.95" hidden="1" customHeight="1" x14ac:dyDescent="0.2">
      <c r="A771" s="37"/>
      <c r="B771" s="38"/>
      <c r="C771" s="45"/>
      <c r="D771" s="31">
        <v>3717593</v>
      </c>
      <c r="E771" s="31">
        <v>4161980</v>
      </c>
      <c r="F771" s="268" t="str">
        <f>IF(D771="","",VLOOKUP(D771,契約台帳!$A$3:$K$4986,6,FALSE)&amp;VLOOKUP(D771,契約台帳!$A$3:$K$4986,7,FALSE)&amp;VLOOKUP(D771,契約台帳!$A$3:$K$4986,8,FALSE)&amp;VLOOKUP(D771,契約台帳!$A$3:$K$4986,9,FALSE)&amp;VLOOKUP(D771,契約台帳!$A$3:$K$4986,11,FALSE))</f>
        <v>3SNMCLBNGKVB</v>
      </c>
      <c r="G771" s="269" t="str">
        <f>IF(D771="","",VLOOKUP(F771,製品マスタ!$G$5:$H$5002,2,FALSE))</f>
        <v>S</v>
      </c>
      <c r="H771" s="269" t="str">
        <f>IF(D771="","",VLOOKUP(F771,製品マスタ!$G$5:$K$5002,5,FALSE))</f>
        <v>NGKVB</v>
      </c>
      <c r="I771" s="270" t="str">
        <f>IF(D771="","",VLOOKUP(F771,製品マスタ!$G$5:$L$5002,6,FALSE))</f>
        <v>メタルミー　ネーマー銀消　ＶＢ</v>
      </c>
      <c r="J771" s="210" t="s">
        <v>935</v>
      </c>
      <c r="K771" s="270">
        <f>IF(D771="","",VLOOKUP(D771,契約台帳!$A$3:$L$4986,12,FALSE))</f>
        <v>50</v>
      </c>
      <c r="L771" s="270" t="str">
        <f>IF(D771="","",INDEX(製品マスタ!$Q$5:$Q$5002,MATCH('S4'!F771&amp;'S4'!K771,製品マスタ!$AO$5:$AO$5002,0)))</f>
        <v>MAT</v>
      </c>
      <c r="M771" s="39">
        <v>1005</v>
      </c>
      <c r="N771" s="39">
        <v>4100</v>
      </c>
      <c r="O771" s="156">
        <v>3</v>
      </c>
      <c r="P771" s="47">
        <v>3</v>
      </c>
      <c r="Q771" s="213">
        <v>45114</v>
      </c>
      <c r="R771" s="271">
        <f ca="1">IF(D771="","",IF(OFFSET(D771,-1,0)&lt;&gt;"","",IF(OR(J771="リード付け",J771="巻足し",J771="巻返しリード付け"),M771,VLOOKUP(D771,契約台帳!$A$3:$N$4986,14,FALSE))))</f>
        <v>1005</v>
      </c>
      <c r="S771" s="272">
        <f ca="1">IF(D771="","",IF(OFFSET(D771,-1,0)&lt;&gt;"","",IF(OR(J771="リード付け",J771="巻足し",J771="巻返しリード付け"),M771,VLOOKUP(D771,契約台帳!$A$3:$O$4986,15,FALSE))))</f>
        <v>1005</v>
      </c>
      <c r="T771" s="273">
        <f ca="1">IF(D771="","",IF(J771="リード付け",N771,IF(J771="巻返しリード付け",N771,IF(J771="巻足し",N771*P771+OFFSET(N771,1,0)*OFFSET(P771,1,0),VLOOKUP(D771,契約台帳!$A$3:$P$4986,16,FALSE)))))</f>
        <v>12300</v>
      </c>
      <c r="U771" s="40">
        <v>1</v>
      </c>
      <c r="V771" s="274">
        <f ca="1">IF(D771="","",IF(OFFSET(D771,-2,0)=D771,"",VLOOKUP(D771,契約台帳!$A$3:$R$4986,18,FALSE)))</f>
        <v>3</v>
      </c>
      <c r="W771" s="269" t="str">
        <f ca="1">IF(D771="","",IF(T771="","",IF(OR(J771="巻足し",J771="巻返しリード付け"),"",IF(J771="巻返し",VLOOKUP(F771&amp;K771&amp;M771,製品マスタ!$M$5:$AD$5002,18,FALSE),IF(OR(J771="リード付け",J771="巻返しリード付け"),"原反コア",IF(J771="スリット",VLOOKUP(F771&amp;K771&amp;R771,製品マスタ!$N$5:$AD$5002,17,FALSE),""))))))</f>
        <v/>
      </c>
      <c r="X771" s="269" t="str">
        <f ca="1">IF(D771="","",IF(T771="","",IF(J771="巻足し","",IF(J771="巻返し",VLOOKUP(F771&amp;K771&amp;M771,製品マスタ!$M$5:$AE$5002,19,FALSE),IF(OR(J771="リード付け",J771="巻返しリード付け"),"",IF(J771="スリット",VLOOKUP(F771&amp;K771&amp;R771,製品マスタ!$N$5:$AE$5002,18,FALSE),""))))))</f>
        <v/>
      </c>
      <c r="Y771" s="275">
        <f ca="1">IF(D771="","",IF(T771="","",VLOOKUP(D771,契約台帳!$A$3:$Q$4986,17,FALSE)))</f>
        <v>2</v>
      </c>
      <c r="Z771" s="269" t="str">
        <f ca="1">IF(D771="","",IF(T771="","",VLOOKUP(D771,契約台帳!$A$3:$E$4986,5,FALSE)))</f>
        <v>リンテック㈱</v>
      </c>
      <c r="AA771" s="57"/>
      <c r="AB771" s="207">
        <f>IFERROR((VLOOKUP(F771&amp;K771&amp;M771,製品マスタ!$M$5:$AM$5002,27,FALSE)),"")</f>
        <v>0</v>
      </c>
      <c r="AC771" s="33"/>
      <c r="AD771" s="189"/>
      <c r="AE771" s="54"/>
      <c r="AF771" s="55"/>
      <c r="AG771" s="43"/>
      <c r="AH771" s="47"/>
      <c r="AI771" s="30"/>
      <c r="AJ771" s="30"/>
      <c r="AK771" s="30"/>
      <c r="AL771" s="30"/>
      <c r="AM771" s="13"/>
      <c r="AN771" s="13"/>
      <c r="AO771" s="13"/>
      <c r="AP771" s="13"/>
      <c r="AQ771" s="13"/>
      <c r="AR771" s="14"/>
      <c r="AS771" s="15"/>
    </row>
    <row r="772" spans="1:45" s="17" customFormat="1" ht="30.95" hidden="1" customHeight="1" x14ac:dyDescent="0.2">
      <c r="A772" s="37"/>
      <c r="B772" s="38"/>
      <c r="C772" s="45"/>
      <c r="D772" s="31"/>
      <c r="E772" s="31"/>
      <c r="F772" s="268"/>
      <c r="G772" s="269"/>
      <c r="H772" s="269"/>
      <c r="I772" s="270"/>
      <c r="J772" s="210"/>
      <c r="K772" s="270"/>
      <c r="L772" s="270"/>
      <c r="M772" s="39"/>
      <c r="N772" s="39"/>
      <c r="O772" s="156"/>
      <c r="P772" s="47"/>
      <c r="Q772" s="57"/>
      <c r="R772" s="271"/>
      <c r="S772" s="272"/>
      <c r="T772" s="273"/>
      <c r="U772" s="40"/>
      <c r="V772" s="274"/>
      <c r="W772" s="269"/>
      <c r="X772" s="269"/>
      <c r="Y772" s="275"/>
      <c r="Z772" s="269"/>
      <c r="AA772" s="57"/>
      <c r="AB772" s="207"/>
      <c r="AC772" s="33"/>
      <c r="AD772" s="189"/>
      <c r="AE772" s="54"/>
      <c r="AF772" s="55"/>
      <c r="AG772" s="43"/>
      <c r="AH772" s="47"/>
      <c r="AI772" s="30"/>
      <c r="AJ772" s="30"/>
      <c r="AK772" s="30"/>
      <c r="AL772" s="30"/>
      <c r="AM772" s="13"/>
      <c r="AN772" s="13"/>
      <c r="AO772" s="13"/>
      <c r="AP772" s="13"/>
      <c r="AQ772" s="13"/>
      <c r="AR772" s="14"/>
      <c r="AS772" s="15"/>
    </row>
    <row r="773" spans="1:45" s="17" customFormat="1" ht="30.95" hidden="1" customHeight="1" x14ac:dyDescent="0.2">
      <c r="A773" s="37"/>
      <c r="B773" s="38"/>
      <c r="C773" s="45"/>
      <c r="D773" s="31">
        <v>3717595</v>
      </c>
      <c r="E773" s="31">
        <v>4161985</v>
      </c>
      <c r="F773" s="268" t="str">
        <f>IF(D773="","",VLOOKUP(D773,契約台帳!$A$3:$K$4986,6,FALSE)&amp;VLOOKUP(D773,契約台帳!$A$3:$K$4986,7,FALSE)&amp;VLOOKUP(D773,契約台帳!$A$3:$K$4986,8,FALSE)&amp;VLOOKUP(D773,契約台帳!$A$3:$K$4986,9,FALSE)&amp;VLOOKUP(D773,契約台帳!$A$3:$K$4986,11,FALSE))</f>
        <v>3UNMCLBHLGKJV</v>
      </c>
      <c r="G773" s="269" t="str">
        <f>IF(D773="","",VLOOKUP(F773,製品マスタ!$G$5:$H$5002,2,FALSE))</f>
        <v>U</v>
      </c>
      <c r="H773" s="269" t="str">
        <f>IF(D773="","",VLOOKUP(F773,製品マスタ!$G$5:$K$5002,5,FALSE))</f>
        <v>HLGKJV</v>
      </c>
      <c r="I773" s="270" t="str">
        <f>IF(D773="","",VLOOKUP(F773,製品マスタ!$G$5:$L$5002,6,FALSE))</f>
        <v>メタルミー　ヘヤライン　銀消Ｖ</v>
      </c>
      <c r="J773" s="210" t="s">
        <v>935</v>
      </c>
      <c r="K773" s="270">
        <f>IF(D773="","",VLOOKUP(D773,契約台帳!$A$3:$L$4986,12,FALSE))</f>
        <v>50</v>
      </c>
      <c r="L773" s="270" t="str">
        <f>IF(D773="","",INDEX(製品マスタ!$Q$5:$Q$5002,MATCH('S4'!F773&amp;'S4'!K773,製品マスタ!$AO$5:$AO$5002,0)))</f>
        <v>HL-MAT</v>
      </c>
      <c r="M773" s="39">
        <v>1005</v>
      </c>
      <c r="N773" s="39">
        <v>4000</v>
      </c>
      <c r="O773" s="156">
        <v>1</v>
      </c>
      <c r="P773" s="47">
        <v>3</v>
      </c>
      <c r="Q773" s="213">
        <v>45113</v>
      </c>
      <c r="R773" s="271">
        <f ca="1">IF(D773="","",IF(OFFSET(D773,-1,0)&lt;&gt;"","",IF(OR(J773="リード付け",J773="巻足し",J773="巻返しリード付け"),M773,VLOOKUP(D773,契約台帳!$A$3:$N$4986,14,FALSE))))</f>
        <v>1005</v>
      </c>
      <c r="S773" s="272">
        <f ca="1">IF(D773="","",IF(OFFSET(D773,-1,0)&lt;&gt;"","",IF(OR(J773="リード付け",J773="巻足し",J773="巻返しリード付け"),M773,VLOOKUP(D773,契約台帳!$A$3:$O$4986,15,FALSE))))</f>
        <v>1005</v>
      </c>
      <c r="T773" s="273">
        <f ca="1">IF(D773="","",IF(J773="リード付け",N773,IF(J773="巻返しリード付け",N773,IF(J773="巻足し",N773*P773+OFFSET(N773,1,0)*OFFSET(P773,1,0),VLOOKUP(D773,契約台帳!$A$3:$P$4986,16,FALSE)))))</f>
        <v>12000</v>
      </c>
      <c r="U773" s="40">
        <v>1</v>
      </c>
      <c r="V773" s="274">
        <f ca="1">IF(D773="","",IF(OFFSET(D773,-2,0)=D773,"",VLOOKUP(D773,契約台帳!$A$3:$R$4986,18,FALSE)))</f>
        <v>2</v>
      </c>
      <c r="W773" s="269" t="str">
        <f ca="1">IF(D773="","",IF(T773="","",IF(OR(J773="巻足し",J773="巻返しリード付け"),"",IF(J773="巻返し",VLOOKUP(F773&amp;K773&amp;M773,製品マスタ!$M$5:$AD$5002,18,FALSE),IF(OR(J773="リード付け",J773="巻返しリード付け"),"原反コア",IF(J773="スリット",VLOOKUP(F773&amp;K773&amp;R773,製品マスタ!$N$5:$AD$5002,17,FALSE),""))))))</f>
        <v/>
      </c>
      <c r="X773" s="269" t="str">
        <f ca="1">IF(D773="","",IF(T773="","",IF(J773="巻足し","",IF(J773="巻返し",VLOOKUP(F773&amp;K773&amp;M773,製品マスタ!$M$5:$AE$5002,19,FALSE),IF(OR(J773="リード付け",J773="巻返しリード付け"),"",IF(J773="スリット",VLOOKUP(F773&amp;K773&amp;R773,製品マスタ!$N$5:$AE$5002,18,FALSE),""))))))</f>
        <v/>
      </c>
      <c r="Y773" s="275">
        <f ca="1">IF(D773="","",IF(T773="","",VLOOKUP(D773,契約台帳!$A$3:$Q$4986,17,FALSE)))</f>
        <v>2</v>
      </c>
      <c r="Z773" s="269" t="str">
        <f ca="1">IF(D773="","",IF(T773="","",VLOOKUP(D773,契約台帳!$A$3:$E$4986,5,FALSE)))</f>
        <v>リンテック㈱</v>
      </c>
      <c r="AA773" s="57"/>
      <c r="AB773" s="207" t="s">
        <v>774</v>
      </c>
      <c r="AC773" s="33"/>
      <c r="AD773" s="189"/>
      <c r="AE773" s="54"/>
      <c r="AF773" s="55"/>
      <c r="AG773" s="43"/>
      <c r="AH773" s="47"/>
      <c r="AI773" s="30"/>
      <c r="AJ773" s="30"/>
      <c r="AK773" s="30"/>
      <c r="AL773" s="30"/>
      <c r="AM773" s="13"/>
      <c r="AN773" s="13"/>
      <c r="AO773" s="13"/>
      <c r="AP773" s="13"/>
      <c r="AQ773" s="13"/>
      <c r="AR773" s="14"/>
      <c r="AS773" s="15"/>
    </row>
    <row r="774" spans="1:45" s="17" customFormat="1" ht="30.95" hidden="1" customHeight="1" x14ac:dyDescent="0.2">
      <c r="A774" s="37"/>
      <c r="B774" s="38"/>
      <c r="C774" s="45"/>
      <c r="D774" s="31">
        <v>3717596</v>
      </c>
      <c r="E774" s="31"/>
      <c r="F774" s="268" t="str">
        <f>IF(D774="","",VLOOKUP(D774,契約台帳!$A$3:$K$4986,6,FALSE)&amp;VLOOKUP(D774,契約台帳!$A$3:$K$4986,7,FALSE)&amp;VLOOKUP(D774,契約台帳!$A$3:$K$4986,8,FALSE)&amp;VLOOKUP(D774,契約台帳!$A$3:$K$4986,9,FALSE)&amp;VLOOKUP(D774,契約台帳!$A$3:$K$4986,11,FALSE))</f>
        <v>3UNMCLBHLGKJV</v>
      </c>
      <c r="G774" s="269" t="str">
        <f>IF(D774="","",VLOOKUP(F774,製品マスタ!$G$5:$H$5002,2,FALSE))</f>
        <v>U</v>
      </c>
      <c r="H774" s="269" t="str">
        <f>IF(D774="","",VLOOKUP(F774,製品マスタ!$G$5:$K$5002,5,FALSE))</f>
        <v>HLGKJV</v>
      </c>
      <c r="I774" s="270" t="str">
        <f>IF(D774="","",VLOOKUP(F774,製品マスタ!$G$5:$L$5002,6,FALSE))</f>
        <v>メタルミー　ヘヤライン　銀消Ｖ</v>
      </c>
      <c r="J774" s="210" t="s">
        <v>935</v>
      </c>
      <c r="K774" s="270">
        <f>IF(D774="","",VLOOKUP(D774,契約台帳!$A$3:$L$4986,12,FALSE))</f>
        <v>50</v>
      </c>
      <c r="L774" s="270" t="str">
        <f>IF(D774="","",INDEX(製品マスタ!$Q$5:$Q$5002,MATCH('S4'!F774&amp;'S4'!K774,製品マスタ!$AO$5:$AO$5002,0)))</f>
        <v>HL-MAT</v>
      </c>
      <c r="M774" s="39">
        <v>1005</v>
      </c>
      <c r="N774" s="39">
        <v>4000</v>
      </c>
      <c r="O774" s="156">
        <v>2</v>
      </c>
      <c r="P774" s="47"/>
      <c r="Q774" s="213">
        <v>45113</v>
      </c>
      <c r="R774" s="271" t="str">
        <f ca="1">IF(D774="","",IF(OFFSET(D774,-1,0)&lt;&gt;"","",IF(OR(J774="リード付け",J774="巻足し",J774="巻返しリード付け"),M774,VLOOKUP(D774,契約台帳!$A$3:$N$4986,14,FALSE))))</f>
        <v/>
      </c>
      <c r="S774" s="272" t="str">
        <f ca="1">IF(D774="","",IF(OFFSET(D774,-1,0)&lt;&gt;"","",IF(OR(J774="リード付け",J774="巻足し",J774="巻返しリード付け"),M774,VLOOKUP(D774,契約台帳!$A$3:$O$4986,15,FALSE))))</f>
        <v/>
      </c>
      <c r="T774" s="273">
        <f ca="1">IF(D774="","",IF(J774="リード付け",N774,IF(J774="巻返しリード付け",N774,IF(J774="巻足し",N774*P774+OFFSET(N774,1,0)*OFFSET(P774,1,0),VLOOKUP(D774,契約台帳!$A$3:$P$4986,16,FALSE)))))</f>
        <v>0</v>
      </c>
      <c r="U774" s="40">
        <v>1</v>
      </c>
      <c r="V774" s="274">
        <f ca="1">IF(D774="","",IF(OFFSET(D774,-2,0)=D774,"",VLOOKUP(D774,契約台帳!$A$3:$R$4986,18,FALSE)))</f>
        <v>4</v>
      </c>
      <c r="W774" s="269" t="str">
        <f ca="1">IF(D774="","",IF(T774="","",IF(OR(J774="巻足し",J774="巻返しリード付け"),"",IF(J774="巻返し",VLOOKUP(F774&amp;K774&amp;M774,製品マスタ!$M$5:$AD$5002,18,FALSE),IF(OR(J774="リード付け",J774="巻返しリード付け"),"原反コア",IF(J774="スリット",VLOOKUP(F774&amp;K774&amp;R774,製品マスタ!$N$5:$AD$5002,17,FALSE),""))))))</f>
        <v/>
      </c>
      <c r="X774" s="269" t="str">
        <f ca="1">IF(D774="","",IF(T774="","",IF(J774="巻足し","",IF(J774="巻返し",VLOOKUP(F774&amp;K774&amp;M774,製品マスタ!$M$5:$AE$5002,19,FALSE),IF(OR(J774="リード付け",J774="巻返しリード付け"),"",IF(J774="スリット",VLOOKUP(F774&amp;K774&amp;R774,製品マスタ!$N$5:$AE$5002,18,FALSE),""))))))</f>
        <v/>
      </c>
      <c r="Y774" s="275">
        <f ca="1">IF(D774="","",IF(T774="","",VLOOKUP(D774,契約台帳!$A$3:$Q$4986,17,FALSE)))</f>
        <v>2</v>
      </c>
      <c r="Z774" s="269" t="str">
        <f ca="1">IF(D774="","",IF(T774="","",VLOOKUP(D774,契約台帳!$A$3:$E$4986,5,FALSE)))</f>
        <v>リンテック㈱</v>
      </c>
      <c r="AA774" s="57"/>
      <c r="AB774" s="207" t="s">
        <v>774</v>
      </c>
      <c r="AC774" s="33"/>
      <c r="AD774" s="189"/>
      <c r="AE774" s="54"/>
      <c r="AF774" s="55"/>
      <c r="AG774" s="43"/>
      <c r="AH774" s="47"/>
      <c r="AI774" s="30"/>
      <c r="AJ774" s="30"/>
      <c r="AK774" s="30"/>
      <c r="AL774" s="30"/>
      <c r="AM774" s="13"/>
      <c r="AN774" s="13"/>
      <c r="AO774" s="13"/>
      <c r="AP774" s="13"/>
      <c r="AQ774" s="13"/>
      <c r="AR774" s="14"/>
      <c r="AS774" s="15"/>
    </row>
    <row r="775" spans="1:45" s="17" customFormat="1" ht="30.95" hidden="1" customHeight="1" x14ac:dyDescent="0.2">
      <c r="A775" s="37"/>
      <c r="B775" s="38"/>
      <c r="C775" s="45"/>
      <c r="D775" s="31"/>
      <c r="E775" s="31"/>
      <c r="F775" s="268"/>
      <c r="G775" s="269"/>
      <c r="H775" s="269"/>
      <c r="I775" s="270"/>
      <c r="J775" s="210"/>
      <c r="K775" s="270"/>
      <c r="L775" s="270"/>
      <c r="M775" s="39"/>
      <c r="N775" s="39"/>
      <c r="O775" s="156"/>
      <c r="P775" s="47"/>
      <c r="Q775" s="57"/>
      <c r="R775" s="271"/>
      <c r="S775" s="272"/>
      <c r="T775" s="273"/>
      <c r="U775" s="40"/>
      <c r="V775" s="274"/>
      <c r="W775" s="269"/>
      <c r="X775" s="269"/>
      <c r="Y775" s="275"/>
      <c r="Z775" s="269"/>
      <c r="AA775" s="57"/>
      <c r="AB775" s="207"/>
      <c r="AC775" s="33"/>
      <c r="AD775" s="189"/>
      <c r="AE775" s="54"/>
      <c r="AF775" s="55"/>
      <c r="AG775" s="43"/>
      <c r="AH775" s="47"/>
      <c r="AI775" s="30"/>
      <c r="AJ775" s="30"/>
      <c r="AK775" s="30"/>
      <c r="AL775" s="30"/>
      <c r="AM775" s="13"/>
      <c r="AN775" s="13"/>
      <c r="AO775" s="13"/>
      <c r="AP775" s="13"/>
      <c r="AQ775" s="13"/>
      <c r="AR775" s="14"/>
      <c r="AS775" s="15"/>
    </row>
    <row r="776" spans="1:45" s="17" customFormat="1" ht="30.95" hidden="1" customHeight="1" x14ac:dyDescent="0.2">
      <c r="A776" s="37"/>
      <c r="B776" s="38"/>
      <c r="C776" s="45"/>
      <c r="D776" s="31">
        <v>3717599</v>
      </c>
      <c r="E776" s="31">
        <v>4161989</v>
      </c>
      <c r="F776" s="268" t="str">
        <f>IF(D776="","",VLOOKUP(D776,契約台帳!$A$3:$K$4986,6,FALSE)&amp;VLOOKUP(D776,契約台帳!$A$3:$K$4986,7,FALSE)&amp;VLOOKUP(D776,契約台帳!$A$3:$K$4986,8,FALSE)&amp;VLOOKUP(D776,契約台帳!$A$3:$K$4986,9,FALSE)&amp;VLOOKUP(D776,契約台帳!$A$3:$K$4986,11,FALSE))</f>
        <v>3UNMCLBHLGTV</v>
      </c>
      <c r="G776" s="269" t="str">
        <f>IF(D776="","",VLOOKUP(F776,製品マスタ!$G$5:$H$5002,2,FALSE))</f>
        <v>U</v>
      </c>
      <c r="H776" s="269" t="str">
        <f>IF(D776="","",VLOOKUP(F776,製品マスタ!$G$5:$K$5002,5,FALSE))</f>
        <v>HLGTV</v>
      </c>
      <c r="I776" s="270" t="str">
        <f>IF(D776="","",VLOOKUP(F776,製品マスタ!$G$5:$L$5002,6,FALSE))</f>
        <v>メタルミー　ヘヤライン　銀艶Ｖ</v>
      </c>
      <c r="J776" s="210" t="s">
        <v>935</v>
      </c>
      <c r="K776" s="270">
        <f>IF(D776="","",VLOOKUP(D776,契約台帳!$A$3:$L$4986,12,FALSE))</f>
        <v>50</v>
      </c>
      <c r="L776" s="270" t="str">
        <f>IF(D776="","",INDEX(製品マスタ!$Q$5:$Q$5002,MATCH('S4'!F776&amp;'S4'!K776,製品マスタ!$AO$5:$AO$5002,0)))</f>
        <v>BRIGHT</v>
      </c>
      <c r="M776" s="39">
        <v>1005</v>
      </c>
      <c r="N776" s="39">
        <v>4100</v>
      </c>
      <c r="O776" s="156">
        <v>3</v>
      </c>
      <c r="P776" s="47">
        <v>3</v>
      </c>
      <c r="Q776" s="213">
        <v>45113</v>
      </c>
      <c r="R776" s="271">
        <f ca="1">IF(D776="","",IF(OFFSET(D776,-1,0)&lt;&gt;"","",IF(OR(J776="リード付け",J776="巻足し",J776="巻返しリード付け"),M776,VLOOKUP(D776,契約台帳!$A$3:$N$4986,14,FALSE))))</f>
        <v>1005</v>
      </c>
      <c r="S776" s="272">
        <f ca="1">IF(D776="","",IF(OFFSET(D776,-1,0)&lt;&gt;"","",IF(OR(J776="リード付け",J776="巻足し",J776="巻返しリード付け"),M776,VLOOKUP(D776,契約台帳!$A$3:$O$4986,15,FALSE))))</f>
        <v>1005</v>
      </c>
      <c r="T776" s="273">
        <f ca="1">IF(D776="","",IF(J776="リード付け",N776,IF(J776="巻返しリード付け",N776,IF(J776="巻足し",N776*P776+OFFSET(N776,1,0)*OFFSET(P776,1,0),VLOOKUP(D776,契約台帳!$A$3:$P$4986,16,FALSE)))))</f>
        <v>12300</v>
      </c>
      <c r="U776" s="40">
        <v>1</v>
      </c>
      <c r="V776" s="274">
        <f ca="1">IF(D776="","",IF(OFFSET(D776,-2,0)=D776,"",VLOOKUP(D776,契約台帳!$A$3:$R$4986,18,FALSE)))</f>
        <v>3</v>
      </c>
      <c r="W776" s="269" t="str">
        <f ca="1">IF(D776="","",IF(T776="","",IF(OR(J776="巻足し",J776="巻返しリード付け"),"",IF(J776="巻返し",VLOOKUP(F776&amp;K776&amp;M776,製品マスタ!$M$5:$AD$5002,18,FALSE),IF(OR(J776="リード付け",J776="巻返しリード付け"),"原反コア",IF(J776="スリット",VLOOKUP(F776&amp;K776&amp;R776,製品マスタ!$N$5:$AD$5002,17,FALSE),""))))))</f>
        <v/>
      </c>
      <c r="X776" s="269" t="str">
        <f ca="1">IF(D776="","",IF(T776="","",IF(J776="巻足し","",IF(J776="巻返し",VLOOKUP(F776&amp;K776&amp;M776,製品マスタ!$M$5:$AE$5002,19,FALSE),IF(OR(J776="リード付け",J776="巻返しリード付け"),"",IF(J776="スリット",VLOOKUP(F776&amp;K776&amp;R776,製品マスタ!$N$5:$AE$5002,18,FALSE),""))))))</f>
        <v/>
      </c>
      <c r="Y776" s="275">
        <f ca="1">IF(D776="","",IF(T776="","",VLOOKUP(D776,契約台帳!$A$3:$Q$4986,17,FALSE)))</f>
        <v>2</v>
      </c>
      <c r="Z776" s="269" t="str">
        <f ca="1">IF(D776="","",IF(T776="","",VLOOKUP(D776,契約台帳!$A$3:$E$4986,5,FALSE)))</f>
        <v>リンテック㈱</v>
      </c>
      <c r="AA776" s="57"/>
      <c r="AB776" s="207" t="s">
        <v>774</v>
      </c>
      <c r="AC776" s="33"/>
      <c r="AD776" s="189"/>
      <c r="AE776" s="54"/>
      <c r="AF776" s="55"/>
      <c r="AG776" s="43"/>
      <c r="AH776" s="47"/>
      <c r="AI776" s="30"/>
      <c r="AJ776" s="30"/>
      <c r="AK776" s="30"/>
      <c r="AL776" s="30"/>
      <c r="AM776" s="13"/>
      <c r="AN776" s="13"/>
      <c r="AO776" s="13"/>
      <c r="AP776" s="13"/>
      <c r="AQ776" s="13"/>
      <c r="AR776" s="14"/>
      <c r="AS776" s="15"/>
    </row>
    <row r="777" spans="1:45" s="17" customFormat="1" ht="30.95" hidden="1" customHeight="1" x14ac:dyDescent="0.2">
      <c r="A777" s="37"/>
      <c r="B777" s="38"/>
      <c r="C777" s="45"/>
      <c r="D777" s="31"/>
      <c r="E777" s="31"/>
      <c r="F777" s="268"/>
      <c r="G777" s="269"/>
      <c r="H777" s="269"/>
      <c r="I777" s="270"/>
      <c r="J777" s="210"/>
      <c r="K777" s="270"/>
      <c r="L777" s="270"/>
      <c r="M777" s="39"/>
      <c r="N777" s="39"/>
      <c r="O777" s="156"/>
      <c r="P777" s="47"/>
      <c r="Q777" s="57"/>
      <c r="R777" s="271"/>
      <c r="S777" s="272"/>
      <c r="T777" s="273"/>
      <c r="U777" s="40"/>
      <c r="V777" s="274"/>
      <c r="W777" s="269"/>
      <c r="X777" s="269"/>
      <c r="Y777" s="275"/>
      <c r="Z777" s="269"/>
      <c r="AA777" s="57"/>
      <c r="AB777" s="207"/>
      <c r="AC777" s="33"/>
      <c r="AD777" s="189"/>
      <c r="AE777" s="54"/>
      <c r="AF777" s="55"/>
      <c r="AG777" s="43"/>
      <c r="AH777" s="47"/>
      <c r="AI777" s="30"/>
      <c r="AJ777" s="30"/>
      <c r="AK777" s="30"/>
      <c r="AL777" s="30"/>
      <c r="AM777" s="13"/>
      <c r="AN777" s="13"/>
      <c r="AO777" s="13"/>
      <c r="AP777" s="13"/>
      <c r="AQ777" s="13"/>
      <c r="AR777" s="14"/>
      <c r="AS777" s="15"/>
    </row>
    <row r="778" spans="1:45" s="17" customFormat="1" ht="30.95" hidden="1" customHeight="1" x14ac:dyDescent="0.2">
      <c r="A778" s="37" t="s">
        <v>509</v>
      </c>
      <c r="B778" s="38" t="s">
        <v>688</v>
      </c>
      <c r="C778" s="45"/>
      <c r="D778" s="31">
        <v>3717604</v>
      </c>
      <c r="E778" s="31">
        <v>4161990</v>
      </c>
      <c r="F778" s="268" t="str">
        <f>IF(D778="","",VLOOKUP(D778,契約台帳!$A$3:$K$4986,6,FALSE)&amp;VLOOKUP(D778,契約台帳!$A$3:$K$4986,7,FALSE)&amp;VLOOKUP(D778,契約台帳!$A$3:$K$4986,8,FALSE)&amp;VLOOKUP(D778,契約台帳!$A$3:$K$4986,9,FALSE)&amp;VLOOKUP(D778,契約台帳!$A$3:$K$4986,11,FALSE))</f>
        <v>3UNMCLBHLGTV</v>
      </c>
      <c r="G778" s="269" t="str">
        <f>IF(D778="","",VLOOKUP(F778,製品マスタ!$G$5:$H$5002,2,FALSE))</f>
        <v>U</v>
      </c>
      <c r="H778" s="269" t="str">
        <f>IF(D778="","",VLOOKUP(F778,製品マスタ!$G$5:$K$5002,5,FALSE))</f>
        <v>HLGTV</v>
      </c>
      <c r="I778" s="270" t="str">
        <f>IF(D778="","",VLOOKUP(F778,製品マスタ!$G$5:$L$5002,6,FALSE))</f>
        <v>メタルミー　ヘヤライン　銀艶Ｖ</v>
      </c>
      <c r="J778" s="210" t="s">
        <v>935</v>
      </c>
      <c r="K778" s="270">
        <f>IF(D778="","",VLOOKUP(D778,契約台帳!$A$3:$L$4986,12,FALSE))</f>
        <v>25</v>
      </c>
      <c r="L778" s="270" t="str">
        <f>IF(D778="","",INDEX(製品マスタ!$Q$5:$Q$5002,MATCH('S4'!F778&amp;'S4'!K778,製品マスタ!$AO$5:$AO$5002,0)))</f>
        <v>BRIGHT</v>
      </c>
      <c r="M778" s="39">
        <v>1005</v>
      </c>
      <c r="N778" s="39">
        <v>8000</v>
      </c>
      <c r="O778" s="156">
        <v>4</v>
      </c>
      <c r="P778" s="47">
        <v>2</v>
      </c>
      <c r="Q778" s="213">
        <v>45113</v>
      </c>
      <c r="R778" s="271">
        <f ca="1">IF(D778="","",IF(OFFSET(D778,-1,0)&lt;&gt;"","",IF(OR(J778="リード付け",J778="巻足し",J778="巻返しリード付け"),M778,VLOOKUP(D778,契約台帳!$A$3:$N$4986,14,FALSE))))</f>
        <v>1005</v>
      </c>
      <c r="S778" s="272">
        <f ca="1">IF(D778="","",IF(OFFSET(D778,-1,0)&lt;&gt;"","",IF(OR(J778="リード付け",J778="巻足し",J778="巻返しリード付け"),M778,VLOOKUP(D778,契約台帳!$A$3:$O$4986,15,FALSE))))</f>
        <v>1005</v>
      </c>
      <c r="T778" s="273">
        <f ca="1">IF(D778="","",IF(J778="リード付け",N778,IF(J778="巻返しリード付け",N778,IF(J778="巻足し",N778*P778+OFFSET(N778,1,0)*OFFSET(P778,1,0),VLOOKUP(D778,契約台帳!$A$3:$P$4986,16,FALSE)))))</f>
        <v>16000</v>
      </c>
      <c r="U778" s="40">
        <v>2</v>
      </c>
      <c r="V778" s="274">
        <f ca="1">IF(D778="","",IF(OFFSET(D778,-2,0)=D778,"",VLOOKUP(D778,契約台帳!$A$3:$R$4986,18,FALSE)))</f>
        <v>4</v>
      </c>
      <c r="W778" s="269" t="str">
        <f ca="1">IF(D778="","",IF(T778="","",IF(OR(J778="巻足し",J778="巻返しリード付け"),"",IF(J778="巻返し",VLOOKUP(F778&amp;K778&amp;M778,製品マスタ!$M$5:$AD$5002,18,FALSE),IF(OR(J778="リード付け",J778="巻返しリード付け"),"原反コア",IF(J778="スリット",VLOOKUP(F778&amp;K778&amp;R778,製品マスタ!$N$5:$AD$5002,17,FALSE),""))))))</f>
        <v/>
      </c>
      <c r="X778" s="269" t="str">
        <f ca="1">IF(D778="","",IF(T778="","",IF(J778="巻足し","",IF(J778="巻返し",VLOOKUP(F778&amp;K778&amp;M778,製品マスタ!$M$5:$AE$5002,19,FALSE),IF(OR(J778="リード付け",J778="巻返しリード付け"),"",IF(J778="スリット",VLOOKUP(F778&amp;K778&amp;R778,製品マスタ!$N$5:$AE$5002,18,FALSE),""))))))</f>
        <v/>
      </c>
      <c r="Y778" s="275">
        <f ca="1">IF(D778="","",IF(T778="","",VLOOKUP(D778,契約台帳!$A$3:$Q$4986,17,FALSE)))</f>
        <v>2</v>
      </c>
      <c r="Z778" s="269" t="str">
        <f ca="1">IF(D778="","",IF(T778="","",VLOOKUP(D778,契約台帳!$A$3:$E$4986,5,FALSE)))</f>
        <v>リンテック㈱</v>
      </c>
      <c r="AA778" s="57"/>
      <c r="AB778" s="207" t="s">
        <v>774</v>
      </c>
      <c r="AC778" s="33"/>
      <c r="AD778" s="189"/>
      <c r="AE778" s="54"/>
      <c r="AF778" s="55"/>
      <c r="AG778" s="43"/>
      <c r="AH778" s="47"/>
      <c r="AI778" s="30"/>
      <c r="AJ778" s="30"/>
      <c r="AK778" s="30"/>
      <c r="AL778" s="30"/>
      <c r="AM778" s="13"/>
      <c r="AN778" s="13"/>
      <c r="AO778" s="13"/>
      <c r="AP778" s="13"/>
      <c r="AQ778" s="13"/>
      <c r="AR778" s="14"/>
      <c r="AS778" s="15"/>
    </row>
    <row r="779" spans="1:45" s="17" customFormat="1" ht="30.95" hidden="1" customHeight="1" x14ac:dyDescent="0.2">
      <c r="A779" s="37"/>
      <c r="B779" s="38"/>
      <c r="C779" s="45"/>
      <c r="D779" s="31"/>
      <c r="E779" s="31"/>
      <c r="F779" s="268"/>
      <c r="G779" s="269"/>
      <c r="H779" s="269"/>
      <c r="I779" s="270"/>
      <c r="J779" s="210"/>
      <c r="K779" s="270"/>
      <c r="L779" s="270"/>
      <c r="M779" s="39"/>
      <c r="N779" s="39"/>
      <c r="O779" s="156"/>
      <c r="P779" s="47"/>
      <c r="Q779" s="57"/>
      <c r="R779" s="271"/>
      <c r="S779" s="272"/>
      <c r="T779" s="273"/>
      <c r="U779" s="40"/>
      <c r="V779" s="274"/>
      <c r="W779" s="269"/>
      <c r="X779" s="269"/>
      <c r="Y779" s="275"/>
      <c r="Z779" s="269"/>
      <c r="AA779" s="57"/>
      <c r="AB779" s="207"/>
      <c r="AC779" s="33"/>
      <c r="AD779" s="189"/>
      <c r="AE779" s="54"/>
      <c r="AF779" s="55"/>
      <c r="AG779" s="43"/>
      <c r="AH779" s="47"/>
      <c r="AI779" s="30"/>
      <c r="AJ779" s="30"/>
      <c r="AK779" s="30"/>
      <c r="AL779" s="30"/>
      <c r="AM779" s="13"/>
      <c r="AN779" s="13"/>
      <c r="AO779" s="13"/>
      <c r="AP779" s="13"/>
      <c r="AQ779" s="13"/>
      <c r="AR779" s="14"/>
      <c r="AS779" s="15"/>
    </row>
    <row r="780" spans="1:45" s="17" customFormat="1" ht="30.95" hidden="1" customHeight="1" x14ac:dyDescent="0.2">
      <c r="A780" s="37"/>
      <c r="B780" s="38"/>
      <c r="C780" s="45"/>
      <c r="D780" s="31" t="s">
        <v>1305</v>
      </c>
      <c r="E780" s="31" t="s">
        <v>1306</v>
      </c>
      <c r="F780" s="268" t="s">
        <v>1304</v>
      </c>
      <c r="G780" s="269" t="s">
        <v>269</v>
      </c>
      <c r="H780" s="269" t="s">
        <v>172</v>
      </c>
      <c r="I780" s="270" t="s">
        <v>1307</v>
      </c>
      <c r="J780" s="210" t="s">
        <v>935</v>
      </c>
      <c r="K780" s="270">
        <v>50</v>
      </c>
      <c r="L780" s="270" t="s">
        <v>178</v>
      </c>
      <c r="M780" s="39">
        <v>1005</v>
      </c>
      <c r="N780" s="39">
        <v>2300</v>
      </c>
      <c r="O780" s="156">
        <v>1</v>
      </c>
      <c r="P780" s="47">
        <v>1</v>
      </c>
      <c r="Q780" s="57"/>
      <c r="R780" s="271">
        <v>1005</v>
      </c>
      <c r="S780" s="272">
        <v>1005</v>
      </c>
      <c r="T780" s="273">
        <v>2800</v>
      </c>
      <c r="U780" s="40">
        <v>1</v>
      </c>
      <c r="V780" s="274">
        <v>2</v>
      </c>
      <c r="W780" s="269" t="s">
        <v>928</v>
      </c>
      <c r="X780" s="269" t="s">
        <v>928</v>
      </c>
      <c r="Y780" s="275">
        <v>2</v>
      </c>
      <c r="Z780" s="269" t="s">
        <v>116</v>
      </c>
      <c r="AA780" s="57"/>
      <c r="AB780" s="207" t="s">
        <v>774</v>
      </c>
      <c r="AC780" s="33"/>
      <c r="AD780" s="189"/>
      <c r="AE780" s="54"/>
      <c r="AF780" s="55"/>
      <c r="AG780" s="43"/>
      <c r="AH780" s="47"/>
      <c r="AI780" s="30"/>
      <c r="AJ780" s="30"/>
      <c r="AK780" s="30"/>
      <c r="AL780" s="30"/>
      <c r="AM780" s="13"/>
      <c r="AN780" s="13"/>
      <c r="AO780" s="13"/>
      <c r="AP780" s="13"/>
      <c r="AQ780" s="13"/>
      <c r="AR780" s="14"/>
      <c r="AS780" s="15"/>
    </row>
    <row r="781" spans="1:45" s="17" customFormat="1" ht="30.95" hidden="1" customHeight="1" x14ac:dyDescent="0.2">
      <c r="A781" s="37"/>
      <c r="B781" s="38"/>
      <c r="C781" s="45"/>
      <c r="D781" s="31" t="s">
        <v>1305</v>
      </c>
      <c r="E781" s="31" t="s">
        <v>1306</v>
      </c>
      <c r="F781" s="268" t="s">
        <v>1304</v>
      </c>
      <c r="G781" s="269" t="s">
        <v>269</v>
      </c>
      <c r="H781" s="269" t="s">
        <v>172</v>
      </c>
      <c r="I781" s="270" t="s">
        <v>173</v>
      </c>
      <c r="J781" s="210" t="s">
        <v>935</v>
      </c>
      <c r="K781" s="270">
        <v>50</v>
      </c>
      <c r="L781" s="270" t="s">
        <v>174</v>
      </c>
      <c r="M781" s="39">
        <v>1005</v>
      </c>
      <c r="N781" s="39">
        <v>500</v>
      </c>
      <c r="O781" s="156">
        <v>1</v>
      </c>
      <c r="P781" s="47"/>
      <c r="Q781" s="57"/>
      <c r="R781" s="271" t="s">
        <v>928</v>
      </c>
      <c r="S781" s="272" t="s">
        <v>928</v>
      </c>
      <c r="T781" s="273">
        <v>0</v>
      </c>
      <c r="U781" s="40"/>
      <c r="V781" s="274"/>
      <c r="W781" s="269" t="s">
        <v>928</v>
      </c>
      <c r="X781" s="269" t="s">
        <v>928</v>
      </c>
      <c r="Y781" s="275">
        <v>2</v>
      </c>
      <c r="Z781" s="269" t="s">
        <v>116</v>
      </c>
      <c r="AA781" s="57"/>
      <c r="AB781" s="207" t="s">
        <v>774</v>
      </c>
      <c r="AC781" s="33"/>
      <c r="AD781" s="189"/>
      <c r="AE781" s="54"/>
      <c r="AF781" s="55"/>
      <c r="AG781" s="43"/>
      <c r="AH781" s="47"/>
      <c r="AI781" s="30"/>
      <c r="AJ781" s="30"/>
      <c r="AK781" s="30"/>
      <c r="AL781" s="30"/>
      <c r="AM781" s="13"/>
      <c r="AN781" s="13"/>
      <c r="AO781" s="13"/>
      <c r="AP781" s="13"/>
      <c r="AQ781" s="13"/>
      <c r="AR781" s="14"/>
      <c r="AS781" s="15"/>
    </row>
    <row r="782" spans="1:45" s="17" customFormat="1" ht="30.95" hidden="1" customHeight="1" x14ac:dyDescent="0.2">
      <c r="A782" s="37"/>
      <c r="B782" s="38"/>
      <c r="C782" s="45"/>
      <c r="D782" s="31"/>
      <c r="E782" s="31"/>
      <c r="F782" s="268"/>
      <c r="G782" s="269"/>
      <c r="H782" s="269"/>
      <c r="I782" s="270"/>
      <c r="J782" s="210"/>
      <c r="K782" s="270"/>
      <c r="L782" s="270"/>
      <c r="M782" s="39"/>
      <c r="N782" s="39"/>
      <c r="O782" s="156"/>
      <c r="P782" s="47"/>
      <c r="Q782" s="57"/>
      <c r="R782" s="271"/>
      <c r="S782" s="272"/>
      <c r="T782" s="273"/>
      <c r="U782" s="40"/>
      <c r="V782" s="274"/>
      <c r="W782" s="269"/>
      <c r="X782" s="269"/>
      <c r="Y782" s="275"/>
      <c r="Z782" s="269"/>
      <c r="AA782" s="57"/>
      <c r="AB782" s="207"/>
      <c r="AC782" s="33"/>
      <c r="AD782" s="189"/>
      <c r="AE782" s="54"/>
      <c r="AF782" s="55"/>
      <c r="AG782" s="43"/>
      <c r="AH782" s="47"/>
      <c r="AI782" s="30"/>
      <c r="AJ782" s="30"/>
      <c r="AK782" s="30"/>
      <c r="AL782" s="30"/>
      <c r="AM782" s="13"/>
      <c r="AN782" s="13"/>
      <c r="AO782" s="13"/>
      <c r="AP782" s="13"/>
      <c r="AQ782" s="13"/>
      <c r="AR782" s="14"/>
      <c r="AS782" s="15"/>
    </row>
    <row r="783" spans="1:45" s="17" customFormat="1" ht="30.95" hidden="1" customHeight="1" x14ac:dyDescent="0.2">
      <c r="A783" s="37"/>
      <c r="B783" s="38"/>
      <c r="C783" s="45"/>
      <c r="D783" s="31" t="s">
        <v>1276</v>
      </c>
      <c r="E783" s="31" t="s">
        <v>1277</v>
      </c>
      <c r="F783" s="268" t="s">
        <v>1304</v>
      </c>
      <c r="G783" s="269" t="s">
        <v>269</v>
      </c>
      <c r="H783" s="269" t="s">
        <v>1318</v>
      </c>
      <c r="I783" s="270" t="s">
        <v>1316</v>
      </c>
      <c r="J783" s="210" t="s">
        <v>935</v>
      </c>
      <c r="K783" s="270">
        <v>50</v>
      </c>
      <c r="L783" s="270" t="s">
        <v>1320</v>
      </c>
      <c r="M783" s="39">
        <v>1030</v>
      </c>
      <c r="N783" s="39">
        <v>2000</v>
      </c>
      <c r="O783" s="156">
        <v>1</v>
      </c>
      <c r="P783" s="47">
        <v>1</v>
      </c>
      <c r="Q783" s="57"/>
      <c r="R783" s="271">
        <v>1030</v>
      </c>
      <c r="S783" s="272">
        <v>1030</v>
      </c>
      <c r="T783" s="273">
        <v>2500</v>
      </c>
      <c r="U783" s="40">
        <v>1</v>
      </c>
      <c r="V783" s="274">
        <v>2</v>
      </c>
      <c r="W783" s="269" t="s">
        <v>928</v>
      </c>
      <c r="X783" s="269" t="s">
        <v>928</v>
      </c>
      <c r="Y783" s="275">
        <v>2</v>
      </c>
      <c r="Z783" s="269" t="s">
        <v>116</v>
      </c>
      <c r="AA783" s="57"/>
      <c r="AB783" s="303" t="s">
        <v>774</v>
      </c>
      <c r="AC783" s="33"/>
      <c r="AD783" s="189"/>
      <c r="AE783" s="54"/>
      <c r="AF783" s="55"/>
      <c r="AG783" s="43"/>
      <c r="AH783" s="47"/>
      <c r="AI783" s="30"/>
      <c r="AJ783" s="30"/>
      <c r="AK783" s="30"/>
      <c r="AL783" s="30"/>
      <c r="AM783" s="13"/>
      <c r="AN783" s="13"/>
      <c r="AO783" s="13"/>
      <c r="AP783" s="13"/>
      <c r="AQ783" s="13"/>
      <c r="AR783" s="14"/>
      <c r="AS783" s="15"/>
    </row>
    <row r="784" spans="1:45" s="17" customFormat="1" ht="30.95" hidden="1" customHeight="1" x14ac:dyDescent="0.2">
      <c r="A784" s="37"/>
      <c r="B784" s="38"/>
      <c r="C784" s="45"/>
      <c r="D784" s="31" t="s">
        <v>1276</v>
      </c>
      <c r="E784" s="31" t="s">
        <v>1277</v>
      </c>
      <c r="F784" s="268" t="s">
        <v>1304</v>
      </c>
      <c r="G784" s="269" t="s">
        <v>269</v>
      </c>
      <c r="H784" s="269" t="s">
        <v>1319</v>
      </c>
      <c r="I784" s="270" t="s">
        <v>1317</v>
      </c>
      <c r="J784" s="210" t="s">
        <v>935</v>
      </c>
      <c r="K784" s="270">
        <v>25</v>
      </c>
      <c r="L784" s="270" t="s">
        <v>1321</v>
      </c>
      <c r="M784" s="39">
        <v>1040</v>
      </c>
      <c r="N784" s="39">
        <v>500</v>
      </c>
      <c r="O784" s="156">
        <v>1</v>
      </c>
      <c r="P784" s="47"/>
      <c r="Q784" s="57"/>
      <c r="R784" s="271" t="s">
        <v>928</v>
      </c>
      <c r="S784" s="272" t="s">
        <v>928</v>
      </c>
      <c r="T784" s="273">
        <v>0</v>
      </c>
      <c r="U784" s="40"/>
      <c r="V784" s="274"/>
      <c r="W784" s="269" t="s">
        <v>928</v>
      </c>
      <c r="X784" s="269" t="s">
        <v>928</v>
      </c>
      <c r="Y784" s="275">
        <v>2</v>
      </c>
      <c r="Z784" s="269" t="s">
        <v>116</v>
      </c>
      <c r="AA784" s="57"/>
      <c r="AB784" s="303" t="s">
        <v>774</v>
      </c>
      <c r="AC784" s="33"/>
      <c r="AD784" s="189"/>
      <c r="AE784" s="54"/>
      <c r="AF784" s="55"/>
      <c r="AG784" s="43"/>
      <c r="AH784" s="47"/>
      <c r="AI784" s="30"/>
      <c r="AJ784" s="30"/>
      <c r="AK784" s="30"/>
      <c r="AL784" s="30"/>
      <c r="AM784" s="13"/>
      <c r="AN784" s="13"/>
      <c r="AO784" s="13"/>
      <c r="AP784" s="13"/>
      <c r="AQ784" s="13"/>
      <c r="AR784" s="14"/>
      <c r="AS784" s="15"/>
    </row>
    <row r="785" spans="1:45" s="17" customFormat="1" ht="30.95" hidden="1" customHeight="1" x14ac:dyDescent="0.2">
      <c r="A785" s="37"/>
      <c r="B785" s="38"/>
      <c r="C785" s="45"/>
      <c r="D785" s="31"/>
      <c r="E785" s="31"/>
      <c r="F785" s="268"/>
      <c r="G785" s="269"/>
      <c r="H785" s="269"/>
      <c r="I785" s="270"/>
      <c r="J785" s="210"/>
      <c r="K785" s="270"/>
      <c r="L785" s="270"/>
      <c r="M785" s="39"/>
      <c r="N785" s="39"/>
      <c r="O785" s="156"/>
      <c r="P785" s="47"/>
      <c r="Q785" s="57"/>
      <c r="R785" s="271"/>
      <c r="S785" s="272"/>
      <c r="T785" s="273"/>
      <c r="U785" s="40"/>
      <c r="V785" s="274"/>
      <c r="W785" s="269"/>
      <c r="X785" s="269"/>
      <c r="Y785" s="275"/>
      <c r="Z785" s="269"/>
      <c r="AA785" s="57"/>
      <c r="AB785" s="207"/>
      <c r="AC785" s="33"/>
      <c r="AD785" s="189"/>
      <c r="AE785" s="54"/>
      <c r="AF785" s="55"/>
      <c r="AG785" s="43"/>
      <c r="AH785" s="47"/>
      <c r="AI785" s="30"/>
      <c r="AJ785" s="30"/>
      <c r="AK785" s="30"/>
      <c r="AL785" s="30"/>
      <c r="AM785" s="13"/>
      <c r="AN785" s="13"/>
      <c r="AO785" s="13"/>
      <c r="AP785" s="13"/>
      <c r="AQ785" s="13"/>
      <c r="AR785" s="14"/>
      <c r="AS785" s="15"/>
    </row>
    <row r="786" spans="1:45" s="17" customFormat="1" ht="30.95" hidden="1" customHeight="1" x14ac:dyDescent="0.2">
      <c r="A786" s="37"/>
      <c r="B786" s="38"/>
      <c r="C786" s="45"/>
      <c r="D786" s="31">
        <v>3716246</v>
      </c>
      <c r="E786" s="31">
        <v>4161949</v>
      </c>
      <c r="F786" s="268" t="str">
        <f>IF(D786="","",VLOOKUP(D786,契約台帳!$A$3:$K$4986,6,FALSE)&amp;VLOOKUP(D786,契約台帳!$A$3:$K$4986,7,FALSE)&amp;VLOOKUP(D786,契約台帳!$A$3:$K$4986,8,FALSE)&amp;VLOOKUP(D786,契約台帳!$A$3:$K$4986,9,FALSE)&amp;VLOOKUP(D786,契約台帳!$A$3:$K$4986,11,FALSE))</f>
        <v>3SNMLBMNGKKBF</v>
      </c>
      <c r="G786" s="269" t="str">
        <f>IF(D786="","",VLOOKUP(F786,製品マスタ!$G$5:$H$5002,2,FALSE))</f>
        <v>S</v>
      </c>
      <c r="H786" s="269" t="str">
        <f>IF(D786="","",VLOOKUP(F786,製品マスタ!$G$5:$K$5002,5,FALSE))</f>
        <v>MNGKKBF</v>
      </c>
      <c r="I786" s="270" t="str">
        <f>IF(D786="","",VLOOKUP(F786,製品マスタ!$G$5:$L$5002,6,FALSE))</f>
        <v>メタルミー　ネーマー銀消改　Ｂ</v>
      </c>
      <c r="J786" s="210" t="s">
        <v>935</v>
      </c>
      <c r="K786" s="270">
        <f>IF(D786="","",VLOOKUP(D786,契約台帳!$A$3:$L$4986,12,FALSE))</f>
        <v>50</v>
      </c>
      <c r="L786" s="270" t="str">
        <f>IF(D786="","",INDEX(製品マスタ!$Q$5:$Q$5002,MATCH('S4'!F786&amp;'S4'!K786,製品マスタ!$AO$5:$AO$5002,0)))</f>
        <v>S99-MAT</v>
      </c>
      <c r="M786" s="39">
        <v>1000</v>
      </c>
      <c r="N786" s="39">
        <v>4000</v>
      </c>
      <c r="O786" s="156">
        <v>3</v>
      </c>
      <c r="P786" s="47">
        <v>3</v>
      </c>
      <c r="Q786" s="213">
        <v>45114</v>
      </c>
      <c r="R786" s="271">
        <f ca="1">IF(D786="","",IF(OFFSET(D786,-1,0)&lt;&gt;"","",IF(OR(J786="リード付け",J786="巻足し",J786="巻返しリード付け"),M786,VLOOKUP(D786,契約台帳!$A$3:$N$4986,14,FALSE))))</f>
        <v>1000</v>
      </c>
      <c r="S786" s="272">
        <f ca="1">IF(D786="","",IF(OFFSET(D786,-1,0)&lt;&gt;"","",IF(OR(J786="リード付け",J786="巻足し",J786="巻返しリード付け"),M786,VLOOKUP(D786,契約台帳!$A$3:$O$4986,15,FALSE))))</f>
        <v>1000</v>
      </c>
      <c r="T786" s="273">
        <f ca="1">IF(D786="","",IF(J786="リード付け",N786,IF(J786="巻返しリード付け",N786,IF(J786="巻足し",N786*P786+OFFSET(N786,1,0)*OFFSET(P786,1,0),VLOOKUP(D786,契約台帳!$A$3:$P$4986,16,FALSE)))))</f>
        <v>12000</v>
      </c>
      <c r="U786" s="40">
        <v>1</v>
      </c>
      <c r="V786" s="274">
        <f ca="1">IF(D786="","",IF(OFFSET(D786,-2,0)=D786,"",VLOOKUP(D786,契約台帳!$A$3:$R$4986,18,FALSE)))</f>
        <v>3</v>
      </c>
      <c r="W786" s="269" t="str">
        <f ca="1">IF(D786="","",IF(T786="","",IF(OR(J786="巻足し",J786="巻返しリード付け"),"",IF(J786="巻返し",VLOOKUP(F786&amp;K786&amp;M786,製品マスタ!$M$5:$AD$5002,18,FALSE),IF(OR(J786="リード付け",J786="巻返しリード付け"),"原反コア",IF(J786="スリット",VLOOKUP(F786&amp;K786&amp;R786,製品マスタ!$N$5:$AD$5002,17,FALSE),""))))))</f>
        <v/>
      </c>
      <c r="X786" s="269" t="str">
        <f ca="1">IF(D786="","",IF(T786="","",IF(J786="巻足し","",IF(J786="巻返し",VLOOKUP(F786&amp;K786&amp;M786,製品マスタ!$M$5:$AE$5002,19,FALSE),IF(OR(J786="リード付け",J786="巻返しリード付け"),"",IF(J786="スリット",VLOOKUP(F786&amp;K786&amp;R786,製品マスタ!$N$5:$AE$5002,18,FALSE),""))))))</f>
        <v/>
      </c>
      <c r="Y786" s="275">
        <f ca="1">IF(D786="","",IF(T786="","",VLOOKUP(D786,契約台帳!$A$3:$Q$4986,17,FALSE)))</f>
        <v>2</v>
      </c>
      <c r="Z786" s="269" t="str">
        <f ca="1">IF(D786="","",IF(T786="","",VLOOKUP(D786,契約台帳!$A$3:$E$4986,5,FALSE)))</f>
        <v>リンテック㈱</v>
      </c>
      <c r="AA786" s="57"/>
      <c r="AB786" s="207">
        <f>IFERROR((VLOOKUP(F786&amp;K786&amp;M786,製品マスタ!$M$5:$AM$5002,27,FALSE)),"")</f>
        <v>0</v>
      </c>
      <c r="AC786" s="33"/>
      <c r="AD786" s="189"/>
      <c r="AE786" s="54"/>
      <c r="AF786" s="55"/>
      <c r="AG786" s="43"/>
      <c r="AH786" s="47"/>
      <c r="AI786" s="30"/>
      <c r="AJ786" s="30"/>
      <c r="AK786" s="30"/>
      <c r="AL786" s="30"/>
      <c r="AM786" s="13"/>
      <c r="AN786" s="13"/>
      <c r="AO786" s="13"/>
      <c r="AP786" s="13"/>
      <c r="AQ786" s="13"/>
      <c r="AR786" s="14"/>
      <c r="AS786" s="15"/>
    </row>
    <row r="787" spans="1:45" s="17" customFormat="1" ht="30.95" hidden="1" customHeight="1" x14ac:dyDescent="0.2">
      <c r="A787" s="37"/>
      <c r="B787" s="38"/>
      <c r="C787" s="45"/>
      <c r="D787" s="31"/>
      <c r="E787" s="31"/>
      <c r="F787" s="268"/>
      <c r="G787" s="269"/>
      <c r="H787" s="269"/>
      <c r="I787" s="270"/>
      <c r="J787" s="210"/>
      <c r="K787" s="270"/>
      <c r="L787" s="270"/>
      <c r="M787" s="39"/>
      <c r="N787" s="39"/>
      <c r="O787" s="156"/>
      <c r="P787" s="47"/>
      <c r="Q787" s="57"/>
      <c r="R787" s="271"/>
      <c r="S787" s="272"/>
      <c r="T787" s="273"/>
      <c r="U787" s="40"/>
      <c r="V787" s="274"/>
      <c r="W787" s="269"/>
      <c r="X787" s="269"/>
      <c r="Y787" s="275"/>
      <c r="Z787" s="269"/>
      <c r="AA787" s="57"/>
      <c r="AB787" s="207"/>
      <c r="AC787" s="33"/>
      <c r="AD787" s="189"/>
      <c r="AE787" s="54"/>
      <c r="AF787" s="55"/>
      <c r="AG787" s="43"/>
      <c r="AH787" s="47"/>
      <c r="AI787" s="30"/>
      <c r="AJ787" s="30"/>
      <c r="AK787" s="30"/>
      <c r="AL787" s="30"/>
      <c r="AM787" s="13"/>
      <c r="AN787" s="13"/>
      <c r="AO787" s="13"/>
      <c r="AP787" s="13"/>
      <c r="AQ787" s="13"/>
      <c r="AR787" s="14"/>
      <c r="AS787" s="15"/>
    </row>
    <row r="788" spans="1:45" s="17" customFormat="1" ht="30.95" hidden="1" customHeight="1" x14ac:dyDescent="0.2">
      <c r="A788" s="37" t="s">
        <v>1273</v>
      </c>
      <c r="B788" s="38" t="s">
        <v>1266</v>
      </c>
      <c r="C788" s="45"/>
      <c r="D788" s="31">
        <v>3716271</v>
      </c>
      <c r="E788" s="31">
        <v>4161967</v>
      </c>
      <c r="F788" s="268" t="str">
        <f>IF(D788="","",VLOOKUP(D788,契約台帳!$A$3:$K$4986,6,FALSE)&amp;VLOOKUP(D788,契約台帳!$A$3:$K$4986,7,FALSE)&amp;VLOOKUP(D788,契約台帳!$A$3:$K$4986,8,FALSE)&amp;VLOOKUP(D788,契約台帳!$A$3:$K$4986,9,FALSE)&amp;VLOOKUP(D788,契約台帳!$A$3:$K$4986,11,FALSE))</f>
        <v>3SYMLBMSSMBF</v>
      </c>
      <c r="G788" s="269" t="str">
        <f>IF(D788="","",VLOOKUP(F788,製品マスタ!$G$5:$H$5002,2,FALSE))</f>
        <v>S</v>
      </c>
      <c r="H788" s="269" t="str">
        <f>IF(D788="","",VLOOKUP(F788,製品マスタ!$G$5:$K$5002,5,FALSE))</f>
        <v>MSSMBF</v>
      </c>
      <c r="I788" s="270" t="str">
        <f>IF(D788="","",VLOOKUP(F788,製品マスタ!$G$5:$L$5002,6,FALSE))</f>
        <v>ＭＥＴＡＬＵＭＹ　ＳＩＬＶＥＲ　Ｓ－ＭＡＴＴＥ　Ｓ２８ＭＭ　Ｂ</v>
      </c>
      <c r="J788" s="210" t="s">
        <v>935</v>
      </c>
      <c r="K788" s="270">
        <f>IF(D788="","",VLOOKUP(D788,契約台帳!$A$3:$L$4986,12,FALSE))</f>
        <v>50</v>
      </c>
      <c r="L788" s="270" t="e">
        <f>IF(D788="","",INDEX(製品マスタ!$Q$5:$Q$5002,MATCH('S4'!F788&amp;'S4'!K788,製品マスタ!$AO$5:$AO$5002,0)))</f>
        <v>#N/A</v>
      </c>
      <c r="M788" s="39">
        <v>1120</v>
      </c>
      <c r="N788" s="39">
        <v>4000</v>
      </c>
      <c r="O788" s="156">
        <v>4</v>
      </c>
      <c r="P788" s="47">
        <v>2</v>
      </c>
      <c r="Q788" s="213">
        <v>45119</v>
      </c>
      <c r="R788" s="271">
        <f ca="1">IF(D788="","",IF(OFFSET(D788,-1,0)&lt;&gt;"","",IF(OR(J788="リード付け",J788="巻足し",J788="巻返しリード付け"),M788,VLOOKUP(D788,契約台帳!$A$3:$N$4986,14,FALSE))))</f>
        <v>1120</v>
      </c>
      <c r="S788" s="272">
        <f ca="1">IF(D788="","",IF(OFFSET(D788,-1,0)&lt;&gt;"","",IF(OR(J788="リード付け",J788="巻足し",J788="巻返しリード付け"),M788,VLOOKUP(D788,契約台帳!$A$3:$O$4986,15,FALSE))))</f>
        <v>1120</v>
      </c>
      <c r="T788" s="273">
        <f ca="1">IF(D788="","",IF(J788="リード付け",N788,IF(J788="巻返しリード付け",N788,IF(J788="巻足し",N788*P788+OFFSET(N788,1,0)*OFFSET(P788,1,0),VLOOKUP(D788,契約台帳!$A$3:$P$4986,16,FALSE)))))</f>
        <v>8000</v>
      </c>
      <c r="U788" s="40">
        <v>2</v>
      </c>
      <c r="V788" s="274">
        <f ca="1">IF(D788="","",IF(OFFSET(D788,-2,0)=D788,"",VLOOKUP(D788,契約台帳!$A$3:$R$4986,18,FALSE)))</f>
        <v>4</v>
      </c>
      <c r="W788" s="269" t="str">
        <f ca="1">IF(D788="","",IF(T788="","",IF(OR(J788="巻足し",J788="巻返しリード付け"),"",IF(J788="巻返し",VLOOKUP(F788&amp;K788&amp;M788,製品マスタ!$M$5:$AD$5002,18,FALSE),IF(OR(J788="リード付け",J788="巻返しリード付け"),"原反コア",IF(J788="スリット",VLOOKUP(F788&amp;K788&amp;R788,製品マスタ!$N$5:$AD$5002,17,FALSE),""))))))</f>
        <v/>
      </c>
      <c r="X788" s="269" t="str">
        <f ca="1">IF(D788="","",IF(T788="","",IF(J788="巻足し","",IF(J788="巻返し",VLOOKUP(F788&amp;K788&amp;M788,製品マスタ!$M$5:$AE$5002,19,FALSE),IF(OR(J788="リード付け",J788="巻返しリード付け"),"",IF(J788="スリット",VLOOKUP(F788&amp;K788&amp;R788,製品マスタ!$N$5:$AE$5002,18,FALSE),""))))))</f>
        <v/>
      </c>
      <c r="Y788" s="275">
        <f ca="1">IF(D788="","",IF(T788="","",VLOOKUP(D788,契約台帳!$A$3:$Q$4986,17,FALSE)))</f>
        <v>2</v>
      </c>
      <c r="Z788" s="269" t="str">
        <f ca="1">IF(D788="","",IF(T788="","",VLOOKUP(D788,契約台帳!$A$3:$E$4986,5,FALSE)))</f>
        <v>リンテック㈱</v>
      </c>
      <c r="AA788" s="57"/>
      <c r="AB788" s="207" t="str">
        <f>IFERROR((VLOOKUP(F788&amp;K788&amp;M788,製品マスタ!$M$5:$AM$5002,27,FALSE)),"")</f>
        <v/>
      </c>
      <c r="AC788" s="33"/>
      <c r="AD788" s="189"/>
      <c r="AE788" s="54"/>
      <c r="AF788" s="55"/>
      <c r="AG788" s="43"/>
      <c r="AH788" s="47"/>
      <c r="AI788" s="30"/>
      <c r="AJ788" s="30"/>
      <c r="AK788" s="30"/>
      <c r="AL788" s="30"/>
      <c r="AM788" s="13"/>
      <c r="AN788" s="13"/>
      <c r="AO788" s="13"/>
      <c r="AP788" s="13"/>
      <c r="AQ788" s="13"/>
      <c r="AR788" s="14"/>
      <c r="AS788" s="15"/>
    </row>
    <row r="789" spans="1:45" s="17" customFormat="1" ht="30.95" hidden="1" customHeight="1" x14ac:dyDescent="0.2">
      <c r="A789" s="37"/>
      <c r="B789" s="38"/>
      <c r="C789" s="45"/>
      <c r="D789" s="31"/>
      <c r="E789" s="31"/>
      <c r="F789" s="268"/>
      <c r="G789" s="269"/>
      <c r="H789" s="269"/>
      <c r="I789" s="270"/>
      <c r="J789" s="210"/>
      <c r="K789" s="270"/>
      <c r="L789" s="270"/>
      <c r="M789" s="39"/>
      <c r="N789" s="39"/>
      <c r="O789" s="156"/>
      <c r="P789" s="47"/>
      <c r="Q789" s="57"/>
      <c r="R789" s="271"/>
      <c r="S789" s="272"/>
      <c r="T789" s="273"/>
      <c r="U789" s="40"/>
      <c r="V789" s="274"/>
      <c r="W789" s="269"/>
      <c r="X789" s="269"/>
      <c r="Y789" s="275"/>
      <c r="Z789" s="269"/>
      <c r="AA789" s="57"/>
      <c r="AB789" s="207"/>
      <c r="AC789" s="33"/>
      <c r="AD789" s="189"/>
      <c r="AE789" s="54"/>
      <c r="AF789" s="55"/>
      <c r="AG789" s="43"/>
      <c r="AH789" s="47"/>
      <c r="AI789" s="30"/>
      <c r="AJ789" s="30"/>
      <c r="AK789" s="30"/>
      <c r="AL789" s="30"/>
      <c r="AM789" s="13"/>
      <c r="AN789" s="13"/>
      <c r="AO789" s="13"/>
      <c r="AP789" s="13"/>
      <c r="AQ789" s="13"/>
      <c r="AR789" s="14"/>
      <c r="AS789" s="15"/>
    </row>
    <row r="790" spans="1:45" s="17" customFormat="1" ht="30.95" hidden="1" customHeight="1" x14ac:dyDescent="0.2">
      <c r="A790" s="37"/>
      <c r="B790" s="38"/>
      <c r="C790" s="45"/>
      <c r="D790" s="31">
        <v>3712096</v>
      </c>
      <c r="E790" s="31">
        <v>4140956</v>
      </c>
      <c r="F790" s="268" t="str">
        <f>IF(D790="","",VLOOKUP(D790,契約台帳!$A$3:$K$4986,6,FALSE)&amp;VLOOKUP(D790,契約台帳!$A$3:$K$4986,7,FALSE)&amp;VLOOKUP(D790,契約台帳!$A$3:$K$4986,8,FALSE)&amp;VLOOKUP(D790,契約台帳!$A$3:$K$4986,9,FALSE)&amp;VLOOKUP(D790,契約台帳!$A$3:$K$4986,11,FALSE))</f>
        <v>3SNMCLBSCB</v>
      </c>
      <c r="G790" s="269" t="str">
        <f>IF(D790="","",VLOOKUP(F790,製品マスタ!$G$5:$H$5002,2,FALSE))</f>
        <v>S</v>
      </c>
      <c r="H790" s="269" t="str">
        <f>IF(D790="","",VLOOKUP(F790,製品マスタ!$G$5:$K$5002,5,FALSE))</f>
        <v>SCB</v>
      </c>
      <c r="I790" s="270" t="str">
        <f>IF(D790="","",VLOOKUP(F790,製品マスタ!$G$5:$L$5002,6,FALSE))</f>
        <v>メタルミー　シロコート（Ｂ）</v>
      </c>
      <c r="J790" s="210" t="s">
        <v>463</v>
      </c>
      <c r="K790" s="270">
        <f>IF(D790="","",VLOOKUP(D790,契約台帳!$A$3:$L$4986,12,FALSE))</f>
        <v>25</v>
      </c>
      <c r="L790" s="270" t="s">
        <v>1256</v>
      </c>
      <c r="M790" s="39">
        <v>1060</v>
      </c>
      <c r="N790" s="39">
        <v>6000</v>
      </c>
      <c r="O790" s="156">
        <v>5</v>
      </c>
      <c r="P790" s="47">
        <v>6</v>
      </c>
      <c r="Q790" s="57"/>
      <c r="R790" s="271">
        <f ca="1">IF(D790="","",IF(OFFSET(D790,-1,0)&lt;&gt;"","",IF(OR(J790="リード付け",J790="巻足し",J790="巻返しリード付け"),M790,VLOOKUP(D790,契約台帳!$A$3:$N$4986,14,FALSE))))</f>
        <v>1020</v>
      </c>
      <c r="S790" s="272">
        <f ca="1">IF(D790="","",IF(OFFSET(D790,-1,0)&lt;&gt;"","",IF(OR(J790="リード付け",J790="巻足し",J790="巻返しリード付け"),M790,VLOOKUP(D790,契約台帳!$A$3:$O$4986,15,FALSE))))</f>
        <v>1020</v>
      </c>
      <c r="T790" s="273">
        <f ca="1">IF(D790="","",IF(J790="リード付け",N790,IF(J790="巻返しリード付け",N790,IF(J790="巻足し",N790*P790+OFFSET(N790,1,0)*OFFSET(P790,1,0),VLOOKUP(D790,契約台帳!$A$3:$P$4986,16,FALSE)))))</f>
        <v>6000</v>
      </c>
      <c r="U790" s="40">
        <v>5</v>
      </c>
      <c r="V790" s="274">
        <f ca="1">IF(D790="","",IF(OFFSET(D790,-2,0)=D790,"",VLOOKUP(D790,契約台帳!$A$3:$R$4986,18,FALSE)))</f>
        <v>6</v>
      </c>
      <c r="W790" s="269" t="str">
        <f ca="1">IF(D790="","",IF(T790="","",IF(OR(J790="巻足し",J790="巻返しリード付け"),"",IF(J790="巻返し",VLOOKUP(F790&amp;K790&amp;M790,製品マスタ!$M$5:$AD$5002,18,FALSE),IF(OR(J790="リード付け",J790="巻返しリード付け"),"原反コア",IF(J790="スリット",VLOOKUP(F790&amp;K790&amp;R790,製品マスタ!$N$5:$AD$5002,17,FALSE),""))))))</f>
        <v>6ｲﾝﾁSｺｱ</v>
      </c>
      <c r="X790" s="269">
        <f ca="1">IF(D790="","",IF(T790="","",IF(J790="巻足し","",IF(J790="巻返し",VLOOKUP(F790&amp;K790&amp;M790,製品マスタ!$M$5:$AE$5002,19,FALSE),IF(OR(J790="リード付け",J790="巻返しリード付け"),"",IF(J790="スリット",VLOOKUP(F790&amp;K790&amp;R790,製品マスタ!$N$5:$AE$5002,18,FALSE),""))))))</f>
        <v>1035</v>
      </c>
      <c r="Y790" s="275">
        <f ca="1">IF(D790="","",IF(T790="","",VLOOKUP(D790,契約台帳!$A$3:$Q$4986,17,FALSE)))</f>
        <v>2</v>
      </c>
      <c r="Z790" s="269" t="str">
        <f ca="1">IF(D790="","",IF(T790="","",VLOOKUP(D790,契約台帳!$A$3:$E$4986,5,FALSE)))</f>
        <v>新タック化成㈱</v>
      </c>
      <c r="AA790" s="57"/>
      <c r="AB790" s="207" t="str">
        <f>IFERROR((VLOOKUP(F790&amp;K790&amp;M790,製品マスタ!$M$5:$AM$5002,27,FALSE)),"")</f>
        <v>エージング後スリット</v>
      </c>
      <c r="AC790" s="33"/>
      <c r="AD790" s="189"/>
      <c r="AE790" s="54"/>
      <c r="AF790" s="55"/>
      <c r="AG790" s="43"/>
      <c r="AH790" s="47"/>
      <c r="AI790" s="30"/>
      <c r="AJ790" s="30"/>
      <c r="AK790" s="30"/>
      <c r="AL790" s="30"/>
      <c r="AM790" s="13"/>
      <c r="AN790" s="13"/>
      <c r="AO790" s="13"/>
      <c r="AP790" s="13"/>
      <c r="AQ790" s="13"/>
      <c r="AR790" s="14"/>
      <c r="AS790" s="15"/>
    </row>
    <row r="791" spans="1:45" s="17" customFormat="1" ht="30.95" hidden="1" customHeight="1" x14ac:dyDescent="0.2">
      <c r="A791" s="37"/>
      <c r="B791" s="38"/>
      <c r="C791" s="45"/>
      <c r="D791" s="31"/>
      <c r="E791" s="31"/>
      <c r="F791" s="268"/>
      <c r="G791" s="269"/>
      <c r="H791" s="269"/>
      <c r="I791" s="270"/>
      <c r="J791" s="210"/>
      <c r="K791" s="270"/>
      <c r="L791" s="270"/>
      <c r="M791" s="39"/>
      <c r="N791" s="39"/>
      <c r="O791" s="156"/>
      <c r="P791" s="47"/>
      <c r="Q791" s="57"/>
      <c r="R791" s="271"/>
      <c r="S791" s="272"/>
      <c r="T791" s="273"/>
      <c r="U791" s="40"/>
      <c r="V791" s="274"/>
      <c r="W791" s="269"/>
      <c r="X791" s="269"/>
      <c r="Y791" s="275"/>
      <c r="Z791" s="269"/>
      <c r="AA791" s="57"/>
      <c r="AB791" s="207"/>
      <c r="AC791" s="33"/>
      <c r="AD791" s="189"/>
      <c r="AE791" s="54"/>
      <c r="AF791" s="55"/>
      <c r="AG791" s="43"/>
      <c r="AH791" s="47"/>
      <c r="AI791" s="30"/>
      <c r="AJ791" s="30"/>
      <c r="AK791" s="30"/>
      <c r="AL791" s="30"/>
      <c r="AM791" s="13"/>
      <c r="AN791" s="13"/>
      <c r="AO791" s="13"/>
      <c r="AP791" s="13"/>
      <c r="AQ791" s="13"/>
      <c r="AR791" s="14"/>
      <c r="AS791" s="15"/>
    </row>
    <row r="792" spans="1:45" s="17" customFormat="1" ht="30.95" hidden="1" customHeight="1" x14ac:dyDescent="0.2">
      <c r="A792" s="37" t="s">
        <v>1294</v>
      </c>
      <c r="B792" s="38" t="s">
        <v>1295</v>
      </c>
      <c r="C792" s="45"/>
      <c r="D792" s="31"/>
      <c r="E792" s="31"/>
      <c r="F792" s="268"/>
      <c r="G792" s="269"/>
      <c r="H792" s="269"/>
      <c r="I792" s="270"/>
      <c r="J792" s="210"/>
      <c r="K792" s="270"/>
      <c r="L792" s="270"/>
      <c r="M792" s="39"/>
      <c r="N792" s="39"/>
      <c r="O792" s="156"/>
      <c r="P792" s="47"/>
      <c r="Q792" s="57"/>
      <c r="R792" s="271"/>
      <c r="S792" s="272"/>
      <c r="T792" s="273"/>
      <c r="U792" s="40"/>
      <c r="V792" s="274"/>
      <c r="W792" s="269"/>
      <c r="X792" s="269"/>
      <c r="Y792" s="275"/>
      <c r="Z792" s="269"/>
      <c r="AA792" s="57"/>
      <c r="AB792" s="207"/>
      <c r="AC792" s="33"/>
      <c r="AD792" s="189"/>
      <c r="AE792" s="54"/>
      <c r="AF792" s="55"/>
      <c r="AG792" s="43"/>
      <c r="AH792" s="47"/>
      <c r="AI792" s="30"/>
      <c r="AJ792" s="30"/>
      <c r="AK792" s="30"/>
      <c r="AL792" s="30"/>
      <c r="AM792" s="13"/>
      <c r="AN792" s="13"/>
      <c r="AO792" s="13"/>
      <c r="AP792" s="13"/>
      <c r="AQ792" s="13"/>
      <c r="AR792" s="14"/>
      <c r="AS792" s="15"/>
    </row>
    <row r="793" spans="1:45" s="17" customFormat="1" ht="30.95" hidden="1" customHeight="1" x14ac:dyDescent="0.2">
      <c r="A793" s="37"/>
      <c r="B793" s="38"/>
      <c r="C793" s="45"/>
      <c r="D793" s="31"/>
      <c r="E793" s="31"/>
      <c r="F793" s="268"/>
      <c r="G793" s="269"/>
      <c r="H793" s="269"/>
      <c r="I793" s="270"/>
      <c r="J793" s="210"/>
      <c r="K793" s="270"/>
      <c r="L793" s="270"/>
      <c r="M793" s="39"/>
      <c r="N793" s="39"/>
      <c r="O793" s="156"/>
      <c r="P793" s="47"/>
      <c r="Q793" s="57"/>
      <c r="R793" s="271"/>
      <c r="S793" s="272"/>
      <c r="T793" s="273"/>
      <c r="U793" s="40"/>
      <c r="V793" s="274"/>
      <c r="W793" s="269"/>
      <c r="X793" s="269"/>
      <c r="Y793" s="275"/>
      <c r="Z793" s="269"/>
      <c r="AA793" s="57"/>
      <c r="AB793" s="207"/>
      <c r="AC793" s="33"/>
      <c r="AD793" s="189"/>
      <c r="AE793" s="54"/>
      <c r="AF793" s="55"/>
      <c r="AG793" s="43"/>
      <c r="AH793" s="47"/>
      <c r="AI793" s="30"/>
      <c r="AJ793" s="30"/>
      <c r="AK793" s="30"/>
      <c r="AL793" s="30"/>
      <c r="AM793" s="13"/>
      <c r="AN793" s="13"/>
      <c r="AO793" s="13"/>
      <c r="AP793" s="13"/>
      <c r="AQ793" s="13"/>
      <c r="AR793" s="14"/>
      <c r="AS793" s="15"/>
    </row>
    <row r="794" spans="1:45" s="17" customFormat="1" ht="30.95" hidden="1" customHeight="1" x14ac:dyDescent="0.2">
      <c r="A794" s="37" t="s">
        <v>1296</v>
      </c>
      <c r="B794" s="38" t="s">
        <v>1297</v>
      </c>
      <c r="C794" s="45"/>
      <c r="D794" s="31">
        <v>3712096</v>
      </c>
      <c r="E794" s="31"/>
      <c r="F794" s="268"/>
      <c r="G794" s="269"/>
      <c r="H794" s="269"/>
      <c r="I794" s="270" t="s">
        <v>1324</v>
      </c>
      <c r="J794" s="210" t="s">
        <v>1322</v>
      </c>
      <c r="K794" s="270">
        <v>25</v>
      </c>
      <c r="L794" s="270" t="s">
        <v>1323</v>
      </c>
      <c r="M794" s="39">
        <v>1020</v>
      </c>
      <c r="N794" s="39">
        <v>6000</v>
      </c>
      <c r="O794" s="156">
        <v>3</v>
      </c>
      <c r="P794" s="47"/>
      <c r="Q794" s="57"/>
      <c r="R794" s="271">
        <v>1020</v>
      </c>
      <c r="S794" s="272">
        <v>1020</v>
      </c>
      <c r="T794" s="273">
        <v>6000</v>
      </c>
      <c r="U794" s="40">
        <v>3</v>
      </c>
      <c r="V794" s="274"/>
      <c r="W794" s="269"/>
      <c r="X794" s="269"/>
      <c r="Y794" s="275"/>
      <c r="Z794" s="269"/>
      <c r="AA794" s="57"/>
      <c r="AB794" s="207"/>
      <c r="AC794" s="33"/>
      <c r="AD794" s="189"/>
      <c r="AE794" s="54"/>
      <c r="AF794" s="55"/>
      <c r="AG794" s="43"/>
      <c r="AH794" s="47"/>
      <c r="AI794" s="30"/>
      <c r="AJ794" s="30"/>
      <c r="AK794" s="30"/>
      <c r="AL794" s="30"/>
      <c r="AM794" s="13"/>
      <c r="AN794" s="13"/>
      <c r="AO794" s="13"/>
      <c r="AP794" s="13"/>
      <c r="AQ794" s="13"/>
      <c r="AR794" s="14"/>
      <c r="AS794" s="15"/>
    </row>
    <row r="795" spans="1:45" s="17" customFormat="1" ht="30.95" hidden="1" customHeight="1" x14ac:dyDescent="0.2">
      <c r="A795" s="37"/>
      <c r="B795" s="38"/>
      <c r="C795" s="45"/>
      <c r="D795" s="31"/>
      <c r="E795" s="31"/>
      <c r="F795" s="268"/>
      <c r="G795" s="269"/>
      <c r="H795" s="269"/>
      <c r="I795" s="270"/>
      <c r="J795" s="210"/>
      <c r="K795" s="270"/>
      <c r="L795" s="270"/>
      <c r="M795" s="39"/>
      <c r="N795" s="39"/>
      <c r="O795" s="156"/>
      <c r="P795" s="47"/>
      <c r="Q795" s="57"/>
      <c r="R795" s="271"/>
      <c r="S795" s="272"/>
      <c r="T795" s="273"/>
      <c r="U795" s="40"/>
      <c r="V795" s="274"/>
      <c r="W795" s="269"/>
      <c r="X795" s="269"/>
      <c r="Y795" s="275"/>
      <c r="Z795" s="269"/>
      <c r="AA795" s="57"/>
      <c r="AB795" s="207"/>
      <c r="AC795" s="33"/>
      <c r="AD795" s="189"/>
      <c r="AE795" s="54"/>
      <c r="AF795" s="55"/>
      <c r="AG795" s="43"/>
      <c r="AH795" s="47"/>
      <c r="AI795" s="30"/>
      <c r="AJ795" s="30"/>
      <c r="AK795" s="30"/>
      <c r="AL795" s="30"/>
      <c r="AM795" s="13"/>
      <c r="AN795" s="13"/>
      <c r="AO795" s="13"/>
      <c r="AP795" s="13"/>
      <c r="AQ795" s="13"/>
      <c r="AR795" s="14"/>
      <c r="AS795" s="15"/>
    </row>
    <row r="796" spans="1:45" s="17" customFormat="1" ht="30.95" hidden="1" customHeight="1" x14ac:dyDescent="0.2">
      <c r="A796" s="37" t="s">
        <v>1298</v>
      </c>
      <c r="B796" s="38" t="s">
        <v>1299</v>
      </c>
      <c r="C796" s="45"/>
      <c r="D796" s="31"/>
      <c r="E796" s="31"/>
      <c r="F796" s="268"/>
      <c r="G796" s="269"/>
      <c r="H796" s="269"/>
      <c r="I796" s="270"/>
      <c r="J796" s="210" t="s">
        <v>448</v>
      </c>
      <c r="K796" s="270"/>
      <c r="L796" s="270"/>
      <c r="M796" s="39"/>
      <c r="N796" s="39"/>
      <c r="O796" s="156"/>
      <c r="P796" s="47"/>
      <c r="Q796" s="57"/>
      <c r="R796" s="271"/>
      <c r="S796" s="272"/>
      <c r="T796" s="273"/>
      <c r="U796" s="40"/>
      <c r="V796" s="274"/>
      <c r="W796" s="269"/>
      <c r="X796" s="269"/>
      <c r="Y796" s="275"/>
      <c r="Z796" s="269"/>
      <c r="AA796" s="57"/>
      <c r="AB796" s="207"/>
      <c r="AC796" s="33"/>
      <c r="AD796" s="189"/>
      <c r="AE796" s="54"/>
      <c r="AF796" s="55"/>
      <c r="AG796" s="43"/>
      <c r="AH796" s="47"/>
      <c r="AI796" s="30"/>
      <c r="AJ796" s="30"/>
      <c r="AK796" s="30"/>
      <c r="AL796" s="30"/>
      <c r="AM796" s="13"/>
      <c r="AN796" s="13"/>
      <c r="AO796" s="13"/>
      <c r="AP796" s="13"/>
      <c r="AQ796" s="13"/>
      <c r="AR796" s="14"/>
      <c r="AS796" s="15"/>
    </row>
    <row r="797" spans="1:45" s="17" customFormat="1" ht="30.95" hidden="1" customHeight="1" x14ac:dyDescent="0.2">
      <c r="A797" s="37"/>
      <c r="B797" s="38"/>
      <c r="C797" s="45"/>
      <c r="D797" s="31"/>
      <c r="E797" s="31"/>
      <c r="F797" s="268"/>
      <c r="G797" s="269"/>
      <c r="H797" s="269"/>
      <c r="I797" s="270"/>
      <c r="J797" s="210"/>
      <c r="K797" s="270"/>
      <c r="L797" s="270"/>
      <c r="M797" s="39"/>
      <c r="N797" s="39"/>
      <c r="O797" s="156"/>
      <c r="P797" s="47"/>
      <c r="Q797" s="57"/>
      <c r="R797" s="271"/>
      <c r="S797" s="272"/>
      <c r="T797" s="273"/>
      <c r="U797" s="40"/>
      <c r="V797" s="274"/>
      <c r="W797" s="269"/>
      <c r="X797" s="269"/>
      <c r="Y797" s="275"/>
      <c r="Z797" s="269"/>
      <c r="AA797" s="57"/>
      <c r="AB797" s="207"/>
      <c r="AC797" s="33"/>
      <c r="AD797" s="189"/>
      <c r="AE797" s="54"/>
      <c r="AF797" s="55"/>
      <c r="AG797" s="43"/>
      <c r="AH797" s="47"/>
      <c r="AI797" s="30"/>
      <c r="AJ797" s="30"/>
      <c r="AK797" s="30"/>
      <c r="AL797" s="30"/>
      <c r="AM797" s="13"/>
      <c r="AN797" s="13"/>
      <c r="AO797" s="13"/>
      <c r="AP797" s="13"/>
      <c r="AQ797" s="13"/>
      <c r="AR797" s="14"/>
      <c r="AS797" s="15"/>
    </row>
    <row r="798" spans="1:45" s="17" customFormat="1" ht="30.95" hidden="1" customHeight="1" x14ac:dyDescent="0.2">
      <c r="A798" s="37" t="s">
        <v>1300</v>
      </c>
      <c r="B798" s="38" t="s">
        <v>1301</v>
      </c>
      <c r="C798" s="45"/>
      <c r="D798" s="31"/>
      <c r="E798" s="31"/>
      <c r="F798" s="268"/>
      <c r="G798" s="269"/>
      <c r="H798" s="269"/>
      <c r="I798" s="270"/>
      <c r="J798" s="210" t="s">
        <v>448</v>
      </c>
      <c r="K798" s="270"/>
      <c r="L798" s="270"/>
      <c r="M798" s="39"/>
      <c r="N798" s="39"/>
      <c r="O798" s="156"/>
      <c r="P798" s="47"/>
      <c r="Q798" s="57"/>
      <c r="R798" s="271"/>
      <c r="S798" s="272"/>
      <c r="T798" s="273"/>
      <c r="U798" s="40"/>
      <c r="V798" s="274"/>
      <c r="W798" s="269"/>
      <c r="X798" s="269"/>
      <c r="Y798" s="275"/>
      <c r="Z798" s="269"/>
      <c r="AA798" s="57"/>
      <c r="AB798" s="207"/>
      <c r="AC798" s="33"/>
      <c r="AD798" s="189"/>
      <c r="AE798" s="54"/>
      <c r="AF798" s="55"/>
      <c r="AG798" s="43"/>
      <c r="AH798" s="47"/>
      <c r="AI798" s="30"/>
      <c r="AJ798" s="30"/>
      <c r="AK798" s="30"/>
      <c r="AL798" s="30"/>
      <c r="AM798" s="13"/>
      <c r="AN798" s="13"/>
      <c r="AO798" s="13"/>
      <c r="AP798" s="13"/>
      <c r="AQ798" s="13"/>
      <c r="AR798" s="14"/>
      <c r="AS798" s="15"/>
    </row>
    <row r="799" spans="1:45" s="17" customFormat="1" ht="30.95" hidden="1" customHeight="1" x14ac:dyDescent="0.2">
      <c r="A799" s="37"/>
      <c r="B799" s="38"/>
      <c r="C799" s="45"/>
      <c r="D799" s="31"/>
      <c r="E799" s="31"/>
      <c r="F799" s="268"/>
      <c r="G799" s="269"/>
      <c r="H799" s="269"/>
      <c r="I799" s="270"/>
      <c r="J799" s="210"/>
      <c r="K799" s="270"/>
      <c r="L799" s="270"/>
      <c r="M799" s="39"/>
      <c r="N799" s="39"/>
      <c r="O799" s="156"/>
      <c r="P799" s="47"/>
      <c r="Q799" s="57"/>
      <c r="R799" s="271"/>
      <c r="S799" s="272"/>
      <c r="T799" s="273"/>
      <c r="U799" s="40"/>
      <c r="V799" s="274"/>
      <c r="W799" s="269"/>
      <c r="X799" s="269"/>
      <c r="Y799" s="275"/>
      <c r="Z799" s="269"/>
      <c r="AA799" s="57"/>
      <c r="AB799" s="207"/>
      <c r="AC799" s="33"/>
      <c r="AD799" s="189"/>
      <c r="AE799" s="54"/>
      <c r="AF799" s="55"/>
      <c r="AG799" s="43"/>
      <c r="AH799" s="47"/>
      <c r="AI799" s="30"/>
      <c r="AJ799" s="30"/>
      <c r="AK799" s="30"/>
      <c r="AL799" s="30"/>
      <c r="AM799" s="13"/>
      <c r="AN799" s="13"/>
      <c r="AO799" s="13"/>
      <c r="AP799" s="13"/>
      <c r="AQ799" s="13"/>
      <c r="AR799" s="14"/>
      <c r="AS799" s="15"/>
    </row>
    <row r="800" spans="1:45" s="17" customFormat="1" ht="30.95" hidden="1" customHeight="1" x14ac:dyDescent="0.2">
      <c r="A800" s="37" t="s">
        <v>1302</v>
      </c>
      <c r="B800" s="38" t="s">
        <v>1303</v>
      </c>
      <c r="C800" s="45"/>
      <c r="D800" s="31"/>
      <c r="E800" s="31"/>
      <c r="F800" s="268"/>
      <c r="G800" s="269"/>
      <c r="H800" s="269"/>
      <c r="I800" s="270"/>
      <c r="J800" s="210" t="s">
        <v>448</v>
      </c>
      <c r="K800" s="270"/>
      <c r="L800" s="270"/>
      <c r="M800" s="39"/>
      <c r="N800" s="39"/>
      <c r="O800" s="156"/>
      <c r="P800" s="47"/>
      <c r="Q800" s="57"/>
      <c r="R800" s="271"/>
      <c r="S800" s="272"/>
      <c r="T800" s="273"/>
      <c r="U800" s="40"/>
      <c r="V800" s="274"/>
      <c r="W800" s="269"/>
      <c r="X800" s="269"/>
      <c r="Y800" s="275"/>
      <c r="Z800" s="269"/>
      <c r="AA800" s="57"/>
      <c r="AB800" s="207"/>
      <c r="AC800" s="33"/>
      <c r="AD800" s="189"/>
      <c r="AE800" s="54"/>
      <c r="AF800" s="55"/>
      <c r="AG800" s="43"/>
      <c r="AH800" s="47"/>
      <c r="AI800" s="30"/>
      <c r="AJ800" s="30"/>
      <c r="AK800" s="30"/>
      <c r="AL800" s="30"/>
      <c r="AM800" s="13"/>
      <c r="AN800" s="13"/>
      <c r="AO800" s="13"/>
      <c r="AP800" s="13"/>
      <c r="AQ800" s="13"/>
      <c r="AR800" s="14"/>
      <c r="AS800" s="15"/>
    </row>
    <row r="801" spans="1:45" s="17" customFormat="1" ht="30.95" hidden="1" customHeight="1" x14ac:dyDescent="0.2">
      <c r="A801" s="37"/>
      <c r="B801" s="38"/>
      <c r="C801" s="45"/>
      <c r="D801" s="31"/>
      <c r="E801" s="31"/>
      <c r="F801" s="268"/>
      <c r="G801" s="269"/>
      <c r="H801" s="269"/>
      <c r="I801" s="270"/>
      <c r="J801" s="210"/>
      <c r="K801" s="270"/>
      <c r="L801" s="270"/>
      <c r="M801" s="39"/>
      <c r="N801" s="39"/>
      <c r="O801" s="156"/>
      <c r="P801" s="47"/>
      <c r="Q801" s="57"/>
      <c r="R801" s="271"/>
      <c r="S801" s="272"/>
      <c r="T801" s="273"/>
      <c r="U801" s="40"/>
      <c r="V801" s="274"/>
      <c r="W801" s="269"/>
      <c r="X801" s="269"/>
      <c r="Y801" s="275"/>
      <c r="Z801" s="269"/>
      <c r="AA801" s="57"/>
      <c r="AB801" s="207"/>
      <c r="AC801" s="33"/>
      <c r="AD801" s="189"/>
      <c r="AE801" s="54"/>
      <c r="AF801" s="55"/>
      <c r="AG801" s="43"/>
      <c r="AH801" s="47"/>
      <c r="AI801" s="30"/>
      <c r="AJ801" s="30"/>
      <c r="AK801" s="30"/>
      <c r="AL801" s="30"/>
      <c r="AM801" s="13"/>
      <c r="AN801" s="13"/>
      <c r="AO801" s="13"/>
      <c r="AP801" s="13"/>
      <c r="AQ801" s="13"/>
      <c r="AR801" s="14"/>
      <c r="AS801" s="15"/>
    </row>
    <row r="802" spans="1:45" s="17" customFormat="1" ht="30.95" hidden="1" customHeight="1" x14ac:dyDescent="0.2">
      <c r="A802" s="37" t="s">
        <v>497</v>
      </c>
      <c r="B802" s="38" t="s">
        <v>688</v>
      </c>
      <c r="C802" s="45"/>
      <c r="D802" s="31">
        <v>3712096</v>
      </c>
      <c r="E802" s="31">
        <v>4140956</v>
      </c>
      <c r="F802" s="268" t="str">
        <f>IF(D802="","",VLOOKUP(D802,契約台帳!$A$3:$K$4986,6,FALSE)&amp;VLOOKUP(D802,契約台帳!$A$3:$K$4986,7,FALSE)&amp;VLOOKUP(D802,契約台帳!$A$3:$K$4986,8,FALSE)&amp;VLOOKUP(D802,契約台帳!$A$3:$K$4986,9,FALSE)&amp;VLOOKUP(D802,契約台帳!$A$3:$K$4986,11,FALSE))</f>
        <v>3SNMCLBSCB</v>
      </c>
      <c r="G802" s="269" t="str">
        <f>IF(D802="","",VLOOKUP(F802,製品マスタ!$G$5:$H$5002,2,FALSE))</f>
        <v>S</v>
      </c>
      <c r="H802" s="269" t="str">
        <f>IF(D802="","",VLOOKUP(F802,製品マスタ!$G$5:$K$5002,5,FALSE))</f>
        <v>SCB</v>
      </c>
      <c r="I802" s="270" t="str">
        <f>IF(D802="","",VLOOKUP(F802,製品マスタ!$G$5:$L$5002,6,FALSE))</f>
        <v>メタルミー　シロコート（Ｂ）</v>
      </c>
      <c r="J802" s="210" t="s">
        <v>463</v>
      </c>
      <c r="K802" s="270">
        <f>IF(D802="","",VLOOKUP(D802,契約台帳!$A$3:$L$4986,12,FALSE))</f>
        <v>25</v>
      </c>
      <c r="L802" s="270" t="s">
        <v>1256</v>
      </c>
      <c r="M802" s="39">
        <v>1060</v>
      </c>
      <c r="N802" s="39">
        <v>6000</v>
      </c>
      <c r="O802" s="156">
        <v>1</v>
      </c>
      <c r="P802" s="47">
        <v>6</v>
      </c>
      <c r="Q802" s="57"/>
      <c r="R802" s="271">
        <f ca="1">IF(D802="","",IF(OFFSET(D802,-1,0)&lt;&gt;"","",IF(OR(J802="リード付け",J802="巻足し",J802="巻返しリード付け"),M802,VLOOKUP(D802,契約台帳!$A$3:$N$4986,14,FALSE))))</f>
        <v>1020</v>
      </c>
      <c r="S802" s="272">
        <f ca="1">IF(D802="","",IF(OFFSET(D802,-1,0)&lt;&gt;"","",IF(OR(J802="リード付け",J802="巻足し",J802="巻返しリード付け"),M802,VLOOKUP(D802,契約台帳!$A$3:$O$4986,15,FALSE))))</f>
        <v>1020</v>
      </c>
      <c r="T802" s="273">
        <f ca="1">IF(D802="","",IF(J802="リード付け",N802,IF(J802="巻返しリード付け",N802,IF(J802="巻足し",N802*P802+OFFSET(N802,1,0)*OFFSET(P802,1,0),VLOOKUP(D802,契約台帳!$A$3:$P$4986,16,FALSE)))))</f>
        <v>6000</v>
      </c>
      <c r="U802" s="40">
        <v>1</v>
      </c>
      <c r="V802" s="274">
        <f ca="1">IF(D802="","",IF(OFFSET(D802,-2,0)=D802,"",VLOOKUP(D802,契約台帳!$A$3:$R$4986,18,FALSE)))</f>
        <v>6</v>
      </c>
      <c r="W802" s="269" t="str">
        <f ca="1">IF(D802="","",IF(T802="","",IF(OR(J802="巻足し",J802="巻返しリード付け"),"",IF(J802="巻返し",VLOOKUP(F802&amp;K802&amp;M802,製品マスタ!$M$5:$AD$5002,18,FALSE),IF(OR(J802="リード付け",J802="巻返しリード付け"),"原反コア",IF(J802="スリット",VLOOKUP(F802&amp;K802&amp;R802,製品マスタ!$N$5:$AD$5002,17,FALSE),""))))))</f>
        <v>6ｲﾝﾁSｺｱ</v>
      </c>
      <c r="X802" s="269">
        <f ca="1">IF(D802="","",IF(T802="","",IF(J802="巻足し","",IF(J802="巻返し",VLOOKUP(F802&amp;K802&amp;M802,製品マスタ!$M$5:$AE$5002,19,FALSE),IF(OR(J802="リード付け",J802="巻返しリード付け"),"",IF(J802="スリット",VLOOKUP(F802&amp;K802&amp;R802,製品マスタ!$N$5:$AE$5002,18,FALSE),""))))))</f>
        <v>1035</v>
      </c>
      <c r="Y802" s="275">
        <f ca="1">IF(D802="","",IF(T802="","",VLOOKUP(D802,契約台帳!$A$3:$Q$4986,17,FALSE)))</f>
        <v>2</v>
      </c>
      <c r="Z802" s="269" t="str">
        <f ca="1">IF(D802="","",IF(T802="","",VLOOKUP(D802,契約台帳!$A$3:$E$4986,5,FALSE)))</f>
        <v>新タック化成㈱</v>
      </c>
      <c r="AA802" s="57"/>
      <c r="AB802" s="207" t="str">
        <f>IFERROR((VLOOKUP(F802&amp;K802&amp;M802,製品マスタ!$M$5:$AM$5002,27,FALSE)),"")</f>
        <v>エージング後スリット</v>
      </c>
      <c r="AC802" s="33"/>
      <c r="AD802" s="189"/>
      <c r="AE802" s="54"/>
      <c r="AF802" s="55"/>
      <c r="AG802" s="43"/>
      <c r="AH802" s="47"/>
      <c r="AI802" s="30"/>
      <c r="AJ802" s="30"/>
      <c r="AK802" s="30"/>
      <c r="AL802" s="30"/>
      <c r="AM802" s="13"/>
      <c r="AN802" s="13"/>
      <c r="AO802" s="13"/>
      <c r="AP802" s="13"/>
      <c r="AQ802" s="13"/>
      <c r="AR802" s="14"/>
      <c r="AS802" s="15"/>
    </row>
    <row r="803" spans="1:45" s="17" customFormat="1" ht="30.95" hidden="1" customHeight="1" x14ac:dyDescent="0.2">
      <c r="A803" s="37"/>
      <c r="B803" s="38"/>
      <c r="C803" s="45"/>
      <c r="D803" s="31"/>
      <c r="E803" s="31"/>
      <c r="F803" s="268"/>
      <c r="G803" s="269"/>
      <c r="H803" s="269"/>
      <c r="I803" s="270"/>
      <c r="J803" s="210"/>
      <c r="K803" s="270"/>
      <c r="L803" s="270"/>
      <c r="M803" s="39"/>
      <c r="N803" s="39"/>
      <c r="O803" s="156"/>
      <c r="P803" s="47"/>
      <c r="Q803" s="57"/>
      <c r="R803" s="271"/>
      <c r="S803" s="272"/>
      <c r="T803" s="273"/>
      <c r="U803" s="40"/>
      <c r="V803" s="274"/>
      <c r="W803" s="269"/>
      <c r="X803" s="269"/>
      <c r="Y803" s="275"/>
      <c r="Z803" s="269"/>
      <c r="AA803" s="57"/>
      <c r="AB803" s="207"/>
      <c r="AC803" s="33"/>
      <c r="AD803" s="189"/>
      <c r="AE803" s="54"/>
      <c r="AF803" s="55"/>
      <c r="AG803" s="43"/>
      <c r="AH803" s="47"/>
      <c r="AI803" s="30"/>
      <c r="AJ803" s="30"/>
      <c r="AK803" s="30"/>
      <c r="AL803" s="30"/>
      <c r="AM803" s="13"/>
      <c r="AN803" s="13"/>
      <c r="AO803" s="13"/>
      <c r="AP803" s="13"/>
      <c r="AQ803" s="13"/>
      <c r="AR803" s="14"/>
      <c r="AS803" s="15"/>
    </row>
    <row r="804" spans="1:45" s="17" customFormat="1" ht="30.95" hidden="1" customHeight="1" x14ac:dyDescent="0.2">
      <c r="A804" s="37"/>
      <c r="B804" s="38"/>
      <c r="C804" s="45"/>
      <c r="D804" s="31">
        <v>3716244</v>
      </c>
      <c r="E804" s="31">
        <v>4140966</v>
      </c>
      <c r="F804" s="268" t="str">
        <f>IF(D804="","",VLOOKUP(D804,契約台帳!$A$3:$K$4986,6,FALSE)&amp;VLOOKUP(D804,契約台帳!$A$3:$K$4986,7,FALSE)&amp;VLOOKUP(D804,契約台帳!$A$3:$K$4986,8,FALSE)&amp;VLOOKUP(D804,契約台帳!$A$3:$K$4986,9,FALSE)&amp;VLOOKUP(D804,契約台帳!$A$3:$K$4986,11,FALSE))</f>
        <v>3SNCLBLEYK</v>
      </c>
      <c r="G804" s="269" t="str">
        <f>IF(D804="","",VLOOKUP(F804,製品マスタ!$G$5:$H$5002,2,FALSE))</f>
        <v>S</v>
      </c>
      <c r="H804" s="269" t="str">
        <f>IF(D804="","",VLOOKUP(F804,製品マスタ!$G$5:$K$5002,5,FALSE))</f>
        <v>LEYK</v>
      </c>
      <c r="I804" s="270" t="str">
        <f>IF(D804="","",VLOOKUP(F804,製品マスタ!$G$5:$L$5002,6,FALSE))</f>
        <v>ルミラー　ＥＹＫ</v>
      </c>
      <c r="J804" s="210" t="s">
        <v>447</v>
      </c>
      <c r="K804" s="270">
        <f>IF(D804="","",VLOOKUP(D804,契約台帳!$A$3:$L$4986,12,FALSE))</f>
        <v>50</v>
      </c>
      <c r="L804" s="270" t="str">
        <f>IF(D804="","",INDEX(製品マスタ!$Q$5:$Q$5002,MATCH('S4'!F804&amp;'S4'!K804,製品マスタ!$AO$5:$AO$5002,0)))</f>
        <v>T62M</v>
      </c>
      <c r="M804" s="39">
        <v>1125</v>
      </c>
      <c r="N804" s="39">
        <v>6100</v>
      </c>
      <c r="O804" s="156">
        <v>2</v>
      </c>
      <c r="P804" s="47">
        <v>2</v>
      </c>
      <c r="Q804" s="57"/>
      <c r="R804" s="271">
        <f ca="1">IF(D804="","",IF(OFFSET(D804,-1,0)&lt;&gt;"","",IF(OR(J804="リード付け",J804="巻足し",J804="巻返しリード付け"),M804,VLOOKUP(D804,契約台帳!$A$3:$N$4986,14,FALSE))))</f>
        <v>1120</v>
      </c>
      <c r="S804" s="272">
        <f ca="1">IF(D804="","",IF(OFFSET(D804,-1,0)&lt;&gt;"","",IF(OR(J804="リード付け",J804="巻足し",J804="巻返しリード付け"),M804,VLOOKUP(D804,契約台帳!$A$3:$O$4986,15,FALSE))))</f>
        <v>1120</v>
      </c>
      <c r="T804" s="273">
        <f ca="1">IF(D804="","",IF(J804="リード付け",N804,IF(J804="巻返しリード付け",N804,IF(J804="巻足し",N804*P804+OFFSET(N804,1,0)*OFFSET(P804,1,0),VLOOKUP(D804,契約台帳!$A$3:$P$4986,16,FALSE)))))</f>
        <v>6000</v>
      </c>
      <c r="U804" s="40">
        <v>2</v>
      </c>
      <c r="V804" s="274">
        <f ca="1">IF(D804="","",IF(OFFSET(D804,-2,0)=D804,"",VLOOKUP(D804,契約台帳!$A$3:$R$4986,18,FALSE)))</f>
        <v>2</v>
      </c>
      <c r="W804" s="269" t="str">
        <f ca="1">IF(D804="","",IF(T804="","",IF(OR(J804="巻足し",J804="巻返しリード付け"),"",IF(J804="巻返し",VLOOKUP(F804&amp;K804&amp;M804,製品マスタ!$M$5:$AD$5002,18,FALSE),IF(OR(J804="リード付け",J804="巻返しリード付け"),"原反コア",IF(J804="スリット",VLOOKUP(F804&amp;K804&amp;R804,製品マスタ!$N$5:$AD$5002,17,FALSE),""))))))</f>
        <v>6ｲﾝﾁMｺｱ</v>
      </c>
      <c r="X804" s="269">
        <f ca="1">IF(D804="","",IF(T804="","",IF(J804="巻足し","",IF(J804="巻返し",VLOOKUP(F804&amp;K804&amp;M804,製品マスタ!$M$5:$AE$5002,19,FALSE),IF(OR(J804="リード付け",J804="巻返しリード付け"),"",IF(J804="スリット",VLOOKUP(F804&amp;K804&amp;R804,製品マスタ!$N$5:$AE$5002,18,FALSE),""))))))</f>
        <v>1140</v>
      </c>
      <c r="Y804" s="275">
        <f ca="1">IF(D804="","",IF(T804="","",VLOOKUP(D804,契約台帳!$A$3:$Q$4986,17,FALSE)))</f>
        <v>2</v>
      </c>
      <c r="Z804" s="269" t="str">
        <f ca="1">IF(D804="","",IF(T804="","",VLOOKUP(D804,契約台帳!$A$3:$E$4986,5,FALSE)))</f>
        <v>新タック化成㈱</v>
      </c>
      <c r="AA804" s="57"/>
      <c r="AB804" s="207" t="str">
        <f>IFERROR((VLOOKUP(F804&amp;K804&amp;M804,製品マスタ!$M$5:$AM$5002,27,FALSE)),"")</f>
        <v>原反ケース再利用</v>
      </c>
      <c r="AC804" s="33"/>
      <c r="AD804" s="189"/>
      <c r="AE804" s="54"/>
      <c r="AF804" s="55"/>
      <c r="AG804" s="43"/>
      <c r="AH804" s="47"/>
      <c r="AI804" s="30"/>
      <c r="AJ804" s="30"/>
      <c r="AK804" s="30"/>
      <c r="AL804" s="30"/>
      <c r="AM804" s="13"/>
      <c r="AN804" s="13"/>
      <c r="AO804" s="13"/>
      <c r="AP804" s="13"/>
      <c r="AQ804" s="13"/>
      <c r="AR804" s="14"/>
      <c r="AS804" s="15"/>
    </row>
    <row r="805" spans="1:45" s="17" customFormat="1" ht="30.95" hidden="1" customHeight="1" x14ac:dyDescent="0.2">
      <c r="A805" s="37"/>
      <c r="B805" s="38"/>
      <c r="C805" s="45"/>
      <c r="D805" s="31"/>
      <c r="E805" s="31"/>
      <c r="F805" s="268"/>
      <c r="G805" s="269"/>
      <c r="H805" s="269"/>
      <c r="I805" s="270"/>
      <c r="J805" s="210"/>
      <c r="K805" s="270"/>
      <c r="L805" s="270"/>
      <c r="M805" s="39"/>
      <c r="N805" s="39"/>
      <c r="O805" s="156"/>
      <c r="P805" s="47"/>
      <c r="Q805" s="57"/>
      <c r="R805" s="271"/>
      <c r="S805" s="272"/>
      <c r="T805" s="273"/>
      <c r="U805" s="40"/>
      <c r="V805" s="274"/>
      <c r="W805" s="269"/>
      <c r="X805" s="269"/>
      <c r="Y805" s="275"/>
      <c r="Z805" s="269"/>
      <c r="AA805" s="57"/>
      <c r="AB805" s="207"/>
      <c r="AC805" s="33"/>
      <c r="AD805" s="189"/>
      <c r="AE805" s="54"/>
      <c r="AF805" s="55"/>
      <c r="AG805" s="43"/>
      <c r="AH805" s="47"/>
      <c r="AI805" s="30"/>
      <c r="AJ805" s="30"/>
      <c r="AK805" s="30"/>
      <c r="AL805" s="30"/>
      <c r="AM805" s="13"/>
      <c r="AN805" s="13"/>
      <c r="AO805" s="13"/>
      <c r="AP805" s="13"/>
      <c r="AQ805" s="13"/>
      <c r="AR805" s="14"/>
      <c r="AS805" s="15"/>
    </row>
    <row r="806" spans="1:45" s="17" customFormat="1" ht="30.95" hidden="1" customHeight="1" x14ac:dyDescent="0.2">
      <c r="A806" s="37" t="s">
        <v>498</v>
      </c>
      <c r="B806" s="38" t="s">
        <v>442</v>
      </c>
      <c r="C806" s="45"/>
      <c r="D806" s="31">
        <v>3716243</v>
      </c>
      <c r="E806" s="31">
        <v>4140982</v>
      </c>
      <c r="F806" s="268" t="str">
        <f>IF(D806="","",VLOOKUP(D806,契約台帳!$A$3:$K$4986,6,FALSE)&amp;VLOOKUP(D806,契約台帳!$A$3:$K$4986,7,FALSE)&amp;VLOOKUP(D806,契約台帳!$A$3:$K$4986,8,FALSE)&amp;VLOOKUP(D806,契約台帳!$A$3:$K$4986,9,FALSE)&amp;VLOOKUP(D806,契約台帳!$A$3:$K$4986,11,FALSE))</f>
        <v>3SNCLBLEYK</v>
      </c>
      <c r="G806" s="269" t="str">
        <f>IF(D806="","",VLOOKUP(F806,製品マスタ!$G$5:$H$5002,2,FALSE))</f>
        <v>S</v>
      </c>
      <c r="H806" s="269" t="str">
        <f>IF(D806="","",VLOOKUP(F806,製品マスタ!$G$5:$K$5002,5,FALSE))</f>
        <v>LEYK</v>
      </c>
      <c r="I806" s="270" t="str">
        <f>IF(D806="","",VLOOKUP(F806,製品マスタ!$G$5:$L$5002,6,FALSE))</f>
        <v>ルミラー　ＥＹＫ</v>
      </c>
      <c r="J806" s="210" t="s">
        <v>447</v>
      </c>
      <c r="K806" s="270">
        <f>IF(D806="","",VLOOKUP(D806,契約台帳!$A$3:$L$4986,12,FALSE))</f>
        <v>25</v>
      </c>
      <c r="L806" s="270" t="str">
        <f>IF(D806="","",INDEX(製品マスタ!$Q$5:$Q$5002,MATCH('S4'!F806&amp;'S4'!K806,製品マスタ!$AO$5:$AO$5002,0)))</f>
        <v>T62M</v>
      </c>
      <c r="M806" s="39">
        <v>1120</v>
      </c>
      <c r="N806" s="39">
        <v>12100</v>
      </c>
      <c r="O806" s="156">
        <v>2</v>
      </c>
      <c r="P806" s="47">
        <v>2</v>
      </c>
      <c r="Q806" s="57"/>
      <c r="R806" s="271">
        <f ca="1">IF(D806="","",IF(OFFSET(D806,-1,0)&lt;&gt;"","",IF(OR(J806="リード付け",J806="巻足し",J806="巻返しリード付け"),M806,VLOOKUP(D806,契約台帳!$A$3:$N$4986,14,FALSE))))</f>
        <v>1120</v>
      </c>
      <c r="S806" s="272">
        <f ca="1">IF(D806="","",IF(OFFSET(D806,-1,0)&lt;&gt;"","",IF(OR(J806="リード付け",J806="巻足し",J806="巻返しリード付け"),M806,VLOOKUP(D806,契約台帳!$A$3:$O$4986,15,FALSE))))</f>
        <v>1120</v>
      </c>
      <c r="T806" s="273">
        <f ca="1">IF(D806="","",IF(J806="リード付け",N806,IF(J806="巻返しリード付け",N806,IF(J806="巻足し",N806*P806+OFFSET(N806,1,0)*OFFSET(P806,1,0),VLOOKUP(D806,契約台帳!$A$3:$P$4986,16,FALSE)))))</f>
        <v>6000</v>
      </c>
      <c r="U806" s="40">
        <v>4</v>
      </c>
      <c r="V806" s="274">
        <f ca="1">IF(D806="","",IF(OFFSET(D806,-2,0)=D806,"",VLOOKUP(D806,契約台帳!$A$3:$R$4986,18,FALSE)))</f>
        <v>4</v>
      </c>
      <c r="W806" s="269" t="str">
        <f ca="1">IF(D806="","",IF(T806="","",IF(OR(J806="巻足し",J806="巻返しリード付け"),"",IF(J806="巻返し",VLOOKUP(F806&amp;K806&amp;M806,製品マスタ!$M$5:$AD$5002,18,FALSE),IF(OR(J806="リード付け",J806="巻返しリード付け"),"原反コア",IF(J806="スリット",VLOOKUP(F806&amp;K806&amp;R806,製品マスタ!$N$5:$AD$5002,17,FALSE),""))))))</f>
        <v>6ｲﾝﾁMｺｱ</v>
      </c>
      <c r="X806" s="269">
        <f ca="1">IF(D806="","",IF(T806="","",IF(J806="巻足し","",IF(J806="巻返し",VLOOKUP(F806&amp;K806&amp;M806,製品マスタ!$M$5:$AE$5002,19,FALSE),IF(OR(J806="リード付け",J806="巻返しリード付け"),"",IF(J806="スリット",VLOOKUP(F806&amp;K806&amp;R806,製品マスタ!$N$5:$AE$5002,18,FALSE),""))))))</f>
        <v>1140</v>
      </c>
      <c r="Y806" s="275">
        <f ca="1">IF(D806="","",IF(T806="","",VLOOKUP(D806,契約台帳!$A$3:$Q$4986,17,FALSE)))</f>
        <v>2</v>
      </c>
      <c r="Z806" s="269" t="str">
        <f ca="1">IF(D806="","",IF(T806="","",VLOOKUP(D806,契約台帳!$A$3:$E$4986,5,FALSE)))</f>
        <v>新タック化成㈱</v>
      </c>
      <c r="AA806" s="57"/>
      <c r="AB806" s="207">
        <f>IFERROR((VLOOKUP(F806&amp;K806&amp;M806,製品マスタ!$M$5:$AM$5002,27,FALSE)),"")</f>
        <v>0</v>
      </c>
      <c r="AC806" s="33"/>
      <c r="AD806" s="189"/>
      <c r="AE806" s="54"/>
      <c r="AF806" s="55"/>
      <c r="AG806" s="43"/>
      <c r="AH806" s="47"/>
      <c r="AI806" s="30"/>
      <c r="AJ806" s="30"/>
      <c r="AK806" s="30"/>
      <c r="AL806" s="30"/>
      <c r="AM806" s="13"/>
      <c r="AN806" s="13"/>
      <c r="AO806" s="13"/>
      <c r="AP806" s="13"/>
      <c r="AQ806" s="13"/>
      <c r="AR806" s="14"/>
      <c r="AS806" s="15"/>
    </row>
    <row r="807" spans="1:45" s="17" customFormat="1" ht="30.95" hidden="1" customHeight="1" x14ac:dyDescent="0.2">
      <c r="A807" s="37"/>
      <c r="B807" s="38"/>
      <c r="C807" s="45"/>
      <c r="D807" s="31"/>
      <c r="E807" s="31"/>
      <c r="F807" s="268"/>
      <c r="G807" s="269"/>
      <c r="H807" s="269"/>
      <c r="I807" s="270"/>
      <c r="J807" s="210"/>
      <c r="K807" s="270"/>
      <c r="L807" s="270"/>
      <c r="M807" s="39"/>
      <c r="N807" s="39"/>
      <c r="O807" s="156"/>
      <c r="P807" s="47"/>
      <c r="Q807" s="57"/>
      <c r="R807" s="271"/>
      <c r="S807" s="272"/>
      <c r="T807" s="273"/>
      <c r="U807" s="40"/>
      <c r="V807" s="274"/>
      <c r="W807" s="269"/>
      <c r="X807" s="269"/>
      <c r="Y807" s="275"/>
      <c r="Z807" s="269"/>
      <c r="AA807" s="57"/>
      <c r="AB807" s="207"/>
      <c r="AC807" s="33"/>
      <c r="AD807" s="189"/>
      <c r="AE807" s="54"/>
      <c r="AF807" s="55"/>
      <c r="AG807" s="43"/>
      <c r="AH807" s="47"/>
      <c r="AI807" s="30"/>
      <c r="AJ807" s="30"/>
      <c r="AK807" s="30"/>
      <c r="AL807" s="30"/>
      <c r="AM807" s="13"/>
      <c r="AN807" s="13"/>
      <c r="AO807" s="13"/>
      <c r="AP807" s="13"/>
      <c r="AQ807" s="13"/>
      <c r="AR807" s="14"/>
      <c r="AS807" s="15"/>
    </row>
    <row r="808" spans="1:45" s="17" customFormat="1" ht="30.95" hidden="1" customHeight="1" x14ac:dyDescent="0.2">
      <c r="A808" s="37"/>
      <c r="B808" s="38"/>
      <c r="C808" s="45"/>
      <c r="D808" s="31">
        <v>3716269</v>
      </c>
      <c r="E808" s="31">
        <v>4140973</v>
      </c>
      <c r="F808" s="268" t="str">
        <f>IF(D808="","",VLOOKUP(D808,契約台帳!$A$3:$K$4986,6,FALSE)&amp;VLOOKUP(D808,契約台帳!$A$3:$K$4986,7,FALSE)&amp;VLOOKUP(D808,契約台帳!$A$3:$K$4986,8,FALSE)&amp;VLOOKUP(D808,契約台帳!$A$3:$K$4986,9,FALSE)&amp;VLOOKUP(D808,契約台帳!$A$3:$K$4986,11,FALSE))</f>
        <v>3SNCLBLMEYK</v>
      </c>
      <c r="G808" s="269" t="str">
        <f>IF(D808="","",VLOOKUP(F808,製品マスタ!$G$5:$H$5002,2,FALSE))</f>
        <v>S</v>
      </c>
      <c r="H808" s="269" t="str">
        <f>IF(D808="","",VLOOKUP(F808,製品マスタ!$G$5:$K$5002,5,FALSE))</f>
        <v>LMEYK</v>
      </c>
      <c r="I808" s="270" t="str">
        <f>IF(D808="","",VLOOKUP(F808,製品マスタ!$G$5:$L$5002,6,FALSE))</f>
        <v>ルミマットＥＹＫ</v>
      </c>
      <c r="J808" s="210" t="s">
        <v>447</v>
      </c>
      <c r="K808" s="270">
        <f>IF(D808="","",VLOOKUP(D808,契約台帳!$A$3:$L$4986,12,FALSE))</f>
        <v>38</v>
      </c>
      <c r="L808" s="270" t="str">
        <f>IF(D808="","",INDEX(製品マスタ!$Q$5:$Q$5002,MATCH('S4'!F808&amp;'S4'!K808,製品マスタ!$AO$5:$AO$5002,0)))</f>
        <v>LUMIMAT</v>
      </c>
      <c r="M808" s="39">
        <v>1005</v>
      </c>
      <c r="N808" s="39">
        <v>8000</v>
      </c>
      <c r="O808" s="156">
        <v>2</v>
      </c>
      <c r="P808" s="47">
        <v>2</v>
      </c>
      <c r="Q808" s="57"/>
      <c r="R808" s="271">
        <f ca="1">IF(D808="","",IF(OFFSET(D808,-1,0)&lt;&gt;"","",IF(OR(J808="リード付け",J808="巻足し",J808="巻返しリード付け"),M808,VLOOKUP(D808,契約台帳!$A$3:$N$4986,14,FALSE))))</f>
        <v>1005</v>
      </c>
      <c r="S808" s="272">
        <f ca="1">IF(D808="","",IF(OFFSET(D808,-1,0)&lt;&gt;"","",IF(OR(J808="リード付け",J808="巻足し",J808="巻返しリード付け"),M808,VLOOKUP(D808,契約台帳!$A$3:$O$4986,15,FALSE))))</f>
        <v>1000</v>
      </c>
      <c r="T808" s="273">
        <f ca="1">IF(D808="","",IF(J808="リード付け",N808,IF(J808="巻返しリード付け",N808,IF(J808="巻足し",N808*P808+OFFSET(N808,1,0)*OFFSET(P808,1,0),VLOOKUP(D808,契約台帳!$A$3:$P$4986,16,FALSE)))))</f>
        <v>4000</v>
      </c>
      <c r="U808" s="40">
        <v>4</v>
      </c>
      <c r="V808" s="274">
        <f ca="1">IF(D808="","",IF(OFFSET(D808,-2,0)=D808,"",VLOOKUP(D808,契約台帳!$A$3:$R$4986,18,FALSE)))</f>
        <v>4</v>
      </c>
      <c r="W808" s="269" t="str">
        <f ca="1">IF(D808="","",IF(T808="","",IF(OR(J808="巻足し",J808="巻返しリード付け"),"",IF(J808="巻返し",VLOOKUP(F808&amp;K808&amp;M808,製品マスタ!$M$5:$AD$5002,18,FALSE),IF(OR(J808="リード付け",J808="巻返しリード付け"),"原反コア",IF(J808="スリット",VLOOKUP(F808&amp;K808&amp;R808,製品マスタ!$N$5:$AD$5002,17,FALSE),""))))))</f>
        <v>3ｲﾝﾁSｺｱ</v>
      </c>
      <c r="X808" s="269">
        <f ca="1">IF(D808="","",IF(T808="","",IF(J808="巻足し","",IF(J808="巻返し",VLOOKUP(F808&amp;K808&amp;M808,製品マスタ!$M$5:$AE$5002,19,FALSE),IF(OR(J808="リード付け",J808="巻返しリード付け"),"",IF(J808="スリット",VLOOKUP(F808&amp;K808&amp;R808,製品マスタ!$N$5:$AE$5002,18,FALSE),""))))))</f>
        <v>1015</v>
      </c>
      <c r="Y808" s="275">
        <f ca="1">IF(D808="","",IF(T808="","",VLOOKUP(D808,契約台帳!$A$3:$Q$4986,17,FALSE)))</f>
        <v>2</v>
      </c>
      <c r="Z808" s="269" t="str">
        <f ca="1">IF(D808="","",IF(T808="","",VLOOKUP(D808,契約台帳!$A$3:$E$4986,5,FALSE)))</f>
        <v>リンテック㈱</v>
      </c>
      <c r="AA808" s="57"/>
      <c r="AB808" s="207">
        <f>IFERROR((VLOOKUP(F808&amp;K808&amp;M808,製品マスタ!$M$5:$AM$5002,27,FALSE)),"")</f>
        <v>0</v>
      </c>
      <c r="AC808" s="33"/>
      <c r="AD808" s="189"/>
      <c r="AE808" s="54"/>
      <c r="AF808" s="55"/>
      <c r="AG808" s="43"/>
      <c r="AH808" s="47"/>
      <c r="AI808" s="30"/>
      <c r="AJ808" s="30"/>
      <c r="AK808" s="30"/>
      <c r="AL808" s="30"/>
      <c r="AM808" s="13"/>
      <c r="AN808" s="13"/>
      <c r="AO808" s="13"/>
      <c r="AP808" s="13"/>
      <c r="AQ808" s="13"/>
      <c r="AR808" s="14"/>
      <c r="AS808" s="15"/>
    </row>
    <row r="809" spans="1:45" s="17" customFormat="1" ht="30.95" hidden="1" customHeight="1" x14ac:dyDescent="0.2">
      <c r="A809" s="37"/>
      <c r="B809" s="38"/>
      <c r="C809" s="45"/>
      <c r="D809" s="31"/>
      <c r="E809" s="31"/>
      <c r="F809" s="268"/>
      <c r="G809" s="269"/>
      <c r="H809" s="269"/>
      <c r="I809" s="270"/>
      <c r="J809" s="210"/>
      <c r="K809" s="270"/>
      <c r="L809" s="270"/>
      <c r="M809" s="39"/>
      <c r="N809" s="39"/>
      <c r="O809" s="156"/>
      <c r="P809" s="47"/>
      <c r="Q809" s="57"/>
      <c r="R809" s="271"/>
      <c r="S809" s="272"/>
      <c r="T809" s="273"/>
      <c r="U809" s="40"/>
      <c r="V809" s="274"/>
      <c r="W809" s="269"/>
      <c r="X809" s="269"/>
      <c r="Y809" s="275"/>
      <c r="Z809" s="269"/>
      <c r="AA809" s="57"/>
      <c r="AB809" s="207"/>
      <c r="AC809" s="33"/>
      <c r="AD809" s="189"/>
      <c r="AE809" s="54"/>
      <c r="AF809" s="55"/>
      <c r="AG809" s="43"/>
      <c r="AH809" s="47"/>
      <c r="AI809" s="30"/>
      <c r="AJ809" s="30"/>
      <c r="AK809" s="30"/>
      <c r="AL809" s="30"/>
      <c r="AM809" s="13"/>
      <c r="AN809" s="13"/>
      <c r="AO809" s="13"/>
      <c r="AP809" s="13"/>
      <c r="AQ809" s="13"/>
      <c r="AR809" s="14"/>
      <c r="AS809" s="15"/>
    </row>
    <row r="810" spans="1:45" s="17" customFormat="1" ht="30.95" hidden="1" customHeight="1" x14ac:dyDescent="0.2">
      <c r="A810" s="320"/>
      <c r="B810" s="321"/>
      <c r="C810" s="45"/>
      <c r="D810" s="31">
        <v>3712090</v>
      </c>
      <c r="E810" s="31">
        <v>4140953</v>
      </c>
      <c r="F810" s="268" t="str">
        <f>IF(D810="","",VLOOKUP(D810,契約台帳!$A$3:$K$4986,6,FALSE)&amp;VLOOKUP(D810,契約台帳!$A$3:$K$4986,7,FALSE)&amp;VLOOKUP(D810,契約台帳!$A$3:$K$4986,8,FALSE)&amp;VLOOKUP(D810,契約台帳!$A$3:$K$4986,9,FALSE)&amp;VLOOKUP(D810,契約台帳!$A$3:$K$4986,11,FALSE))</f>
        <v>3SNMCLBMSNEYK</v>
      </c>
      <c r="G810" s="269" t="str">
        <f>IF(D810="","",VLOOKUP(F810,製品マスタ!$G$5:$H$5002,2,FALSE))</f>
        <v>S</v>
      </c>
      <c r="H810" s="269" t="str">
        <f>IF(D810="","",VLOOKUP(F810,製品マスタ!$G$5:$K$5002,5,FALSE))</f>
        <v>MSNEYK</v>
      </c>
      <c r="I810" s="270" t="str">
        <f>IF(D810="","",VLOOKUP(F810,製品マスタ!$G$5:$L$5002,6,FALSE))</f>
        <v>ＭＳＮ　ＥＹＫ</v>
      </c>
      <c r="J810" s="210" t="s">
        <v>447</v>
      </c>
      <c r="K810" s="270">
        <f>IF(D810="","",VLOOKUP(D810,契約台帳!$A$3:$L$4986,12,FALSE))</f>
        <v>50</v>
      </c>
      <c r="L810" s="270" t="str">
        <f>IF(D810="","",INDEX(製品マスタ!$Q$5:$Q$5002,MATCH('S4'!F810&amp;'S4'!K810,製品マスタ!$AO$5:$AO$5002,0)))</f>
        <v>N-MAT</v>
      </c>
      <c r="M810" s="39">
        <v>1200</v>
      </c>
      <c r="N810" s="39">
        <v>12000</v>
      </c>
      <c r="O810" s="156">
        <v>3</v>
      </c>
      <c r="P810" s="47">
        <v>3</v>
      </c>
      <c r="Q810" s="57"/>
      <c r="R810" s="271">
        <f ca="1">IF(D810="","",IF(OFFSET(D810,-1,0)&lt;&gt;"","",IF(OR(J810="リード付け",J810="巻足し",J810="巻返しリード付け"),M810,VLOOKUP(D810,契約台帳!$A$3:$N$4986,14,FALSE))))</f>
        <v>1200</v>
      </c>
      <c r="S810" s="272">
        <f ca="1">IF(D810="","",IF(OFFSET(D810,-1,0)&lt;&gt;"","",IF(OR(J810="リード付け",J810="巻足し",J810="巻返しリード付け"),M810,VLOOKUP(D810,契約台帳!$A$3:$O$4986,15,FALSE))))</f>
        <v>1190</v>
      </c>
      <c r="T810" s="273">
        <f ca="1">IF(D810="","",IF(J810="リード付け",N810,IF(J810="巻返しリード付け",N810,IF(J810="巻足し",N810*P810+OFFSET(N810,1,0)*OFFSET(P810,1,0),VLOOKUP(D810,契約台帳!$A$3:$P$4986,16,FALSE)))))</f>
        <v>6000</v>
      </c>
      <c r="U810" s="40">
        <v>6</v>
      </c>
      <c r="V810" s="274">
        <f ca="1">IF(D810="","",IF(OFFSET(D810,-2,0)=D810,"",VLOOKUP(D810,契約台帳!$A$3:$R$4986,18,FALSE)))</f>
        <v>6</v>
      </c>
      <c r="W810" s="269" t="str">
        <f ca="1">IF(D810="","",IF(T810="","",IF(OR(J810="巻足し",J810="巻返しリード付け"),"",IF(J810="巻返し",VLOOKUP(F810&amp;K810&amp;M810,製品マスタ!$M$5:$AD$5002,18,FALSE),IF(OR(J810="リード付け",J810="巻返しリード付け"),"原反コア",IF(J810="スリット",VLOOKUP(F810&amp;K810&amp;R810,製品マスタ!$N$5:$AD$5002,17,FALSE),""))))))</f>
        <v>6ｲﾝﾁMｺｱ</v>
      </c>
      <c r="X810" s="269">
        <f ca="1">IF(D810="","",IF(T810="","",IF(J810="巻足し","",IF(J810="巻返し",VLOOKUP(F810&amp;K810&amp;M810,製品マスタ!$M$5:$AE$5002,19,FALSE),IF(OR(J810="リード付け",J810="巻返しリード付け"),"",IF(J810="スリット",VLOOKUP(F810&amp;K810&amp;R810,製品マスタ!$N$5:$AE$5002,18,FALSE),""))))))</f>
        <v>1220</v>
      </c>
      <c r="Y810" s="275">
        <f ca="1">IF(D810="","",IF(T810="","",VLOOKUP(D810,契約台帳!$A$3:$Q$4986,17,FALSE)))</f>
        <v>2</v>
      </c>
      <c r="Z810" s="269" t="str">
        <f ca="1">IF(D810="","",IF(T810="","",VLOOKUP(D810,契約台帳!$A$3:$E$4986,5,FALSE)))</f>
        <v>大阪シーリング印刷㈱</v>
      </c>
      <c r="AA810" s="57"/>
      <c r="AB810" s="207" t="str">
        <f>IFERROR((VLOOKUP(F810&amp;K810&amp;M810,製品マスタ!$M$5:$AM$5002,27,FALSE)),"")</f>
        <v>原反ケース再利用</v>
      </c>
      <c r="AC810" s="33"/>
      <c r="AD810" s="189"/>
      <c r="AE810" s="54"/>
      <c r="AF810" s="55"/>
      <c r="AG810" s="43"/>
      <c r="AH810" s="47"/>
      <c r="AI810" s="30"/>
      <c r="AJ810" s="30"/>
      <c r="AK810" s="30"/>
      <c r="AL810" s="30"/>
      <c r="AM810" s="13"/>
      <c r="AN810" s="13"/>
      <c r="AO810" s="13"/>
      <c r="AP810" s="13"/>
      <c r="AQ810" s="13"/>
      <c r="AR810" s="14"/>
      <c r="AS810" s="15"/>
    </row>
    <row r="811" spans="1:45" s="17" customFormat="1" ht="30.95" hidden="1" customHeight="1" x14ac:dyDescent="0.2">
      <c r="A811" s="37"/>
      <c r="B811" s="38"/>
      <c r="C811" s="45"/>
      <c r="D811" s="31"/>
      <c r="E811" s="31"/>
      <c r="F811" s="268"/>
      <c r="G811" s="269"/>
      <c r="H811" s="269"/>
      <c r="I811" s="270"/>
      <c r="J811" s="210"/>
      <c r="K811" s="270"/>
      <c r="L811" s="270"/>
      <c r="M811" s="39"/>
      <c r="N811" s="39"/>
      <c r="O811" s="156"/>
      <c r="P811" s="47"/>
      <c r="Q811" s="57"/>
      <c r="R811" s="271"/>
      <c r="S811" s="272"/>
      <c r="T811" s="273"/>
      <c r="U811" s="40"/>
      <c r="V811" s="274"/>
      <c r="W811" s="269"/>
      <c r="X811" s="269"/>
      <c r="Y811" s="275"/>
      <c r="Z811" s="269"/>
      <c r="AA811" s="57"/>
      <c r="AB811" s="207"/>
      <c r="AC811" s="33"/>
      <c r="AD811" s="189"/>
      <c r="AE811" s="54"/>
      <c r="AF811" s="55"/>
      <c r="AG811" s="43"/>
      <c r="AH811" s="47"/>
      <c r="AI811" s="30"/>
      <c r="AJ811" s="30"/>
      <c r="AK811" s="30"/>
      <c r="AL811" s="30"/>
      <c r="AM811" s="13"/>
      <c r="AN811" s="13"/>
      <c r="AO811" s="13"/>
      <c r="AP811" s="13"/>
      <c r="AQ811" s="13"/>
      <c r="AR811" s="14"/>
      <c r="AS811" s="15"/>
    </row>
    <row r="812" spans="1:45" s="17" customFormat="1" ht="30.95" hidden="1" customHeight="1" x14ac:dyDescent="0.2">
      <c r="A812" s="320" t="s">
        <v>499</v>
      </c>
      <c r="B812" s="321" t="s">
        <v>443</v>
      </c>
      <c r="C812" s="45"/>
      <c r="D812" s="31">
        <v>3717593</v>
      </c>
      <c r="E812" s="31">
        <v>4140975</v>
      </c>
      <c r="F812" s="268" t="str">
        <f>IF(D812="","",VLOOKUP(D812,契約台帳!$A$3:$K$4986,6,FALSE)&amp;VLOOKUP(D812,契約台帳!$A$3:$K$4986,7,FALSE)&amp;VLOOKUP(D812,契約台帳!$A$3:$K$4986,8,FALSE)&amp;VLOOKUP(D812,契約台帳!$A$3:$K$4986,9,FALSE)&amp;VLOOKUP(D812,契約台帳!$A$3:$K$4986,11,FALSE))</f>
        <v>3SNMCLBNGKVB</v>
      </c>
      <c r="G812" s="269" t="str">
        <f>IF(D812="","",VLOOKUP(F812,製品マスタ!$G$5:$H$5002,2,FALSE))</f>
        <v>S</v>
      </c>
      <c r="H812" s="269" t="str">
        <f>IF(D812="","",VLOOKUP(F812,製品マスタ!$G$5:$K$5002,5,FALSE))</f>
        <v>NGKVB</v>
      </c>
      <c r="I812" s="270" t="str">
        <f>IF(D812="","",VLOOKUP(F812,製品マスタ!$G$5:$L$5002,6,FALSE))</f>
        <v>メタルミー　ネーマー銀消　ＶＢ</v>
      </c>
      <c r="J812" s="210" t="s">
        <v>447</v>
      </c>
      <c r="K812" s="270">
        <f>IF(D812="","",VLOOKUP(D812,契約台帳!$A$3:$L$4986,12,FALSE))</f>
        <v>50</v>
      </c>
      <c r="L812" s="270" t="str">
        <f>IF(D812="","",INDEX(製品マスタ!$Q$5:$Q$5002,MATCH('S4'!F812&amp;'S4'!K812,製品マスタ!$AO$5:$AO$5002,0)))</f>
        <v>MAT</v>
      </c>
      <c r="M812" s="39">
        <v>1005</v>
      </c>
      <c r="N812" s="39">
        <v>12300</v>
      </c>
      <c r="O812" s="156">
        <v>1</v>
      </c>
      <c r="P812" s="47">
        <v>1</v>
      </c>
      <c r="Q812" s="57"/>
      <c r="R812" s="271">
        <f ca="1">IF(D812="","",IF(OFFSET(D812,-1,0)&lt;&gt;"","",IF(OR(J812="リード付け",J812="巻足し",J812="巻返しリード付け"),M812,VLOOKUP(D812,契約台帳!$A$3:$N$4986,14,FALSE))))</f>
        <v>1005</v>
      </c>
      <c r="S812" s="272">
        <f ca="1">IF(D812="","",IF(OFFSET(D812,-1,0)&lt;&gt;"","",IF(OR(J812="リード付け",J812="巻足し",J812="巻返しリード付け"),M812,VLOOKUP(D812,契約台帳!$A$3:$O$4986,15,FALSE))))</f>
        <v>1000</v>
      </c>
      <c r="T812" s="273">
        <f ca="1">IF(D812="","",IF(J812="リード付け",N812,IF(J812="巻返しリード付け",N812,IF(J812="巻足し",N812*P812+OFFSET(N812,1,0)*OFFSET(P812,1,0),VLOOKUP(D812,契約台帳!$A$3:$P$4986,16,FALSE)))))</f>
        <v>4100</v>
      </c>
      <c r="U812" s="40">
        <v>3</v>
      </c>
      <c r="V812" s="274">
        <f ca="1">IF(D812="","",IF(OFFSET(D812,-2,0)=D812,"",VLOOKUP(D812,契約台帳!$A$3:$R$4986,18,FALSE)))</f>
        <v>3</v>
      </c>
      <c r="W812" s="269" t="str">
        <f ca="1">IF(D812="","",IF(T812="","",IF(OR(J812="巻足し",J812="巻返しリード付け"),"",IF(J812="巻返し",VLOOKUP(F812&amp;K812&amp;M812,製品マスタ!$M$5:$AD$5002,18,FALSE),IF(OR(J812="リード付け",J812="巻返しリード付け"),"原反コア",IF(J812="スリット",VLOOKUP(F812&amp;K812&amp;R812,製品マスタ!$N$5:$AD$5002,17,FALSE),""))))))</f>
        <v>6ｲﾝﾁMｺｱ</v>
      </c>
      <c r="X812" s="269">
        <f ca="1">IF(D812="","",IF(T812="","",IF(J812="巻足し","",IF(J812="巻返し",VLOOKUP(F812&amp;K812&amp;M812,製品マスタ!$M$5:$AE$5002,19,FALSE),IF(OR(J812="リード付け",J812="巻返しリード付け"),"",IF(J812="スリット",VLOOKUP(F812&amp;K812&amp;R812,製品マスタ!$N$5:$AE$5002,18,FALSE),""))))))</f>
        <v>1015</v>
      </c>
      <c r="Y812" s="275">
        <f ca="1">IF(D812="","",IF(T812="","",VLOOKUP(D812,契約台帳!$A$3:$Q$4986,17,FALSE)))</f>
        <v>2</v>
      </c>
      <c r="Z812" s="269" t="str">
        <f ca="1">IF(D812="","",IF(T812="","",VLOOKUP(D812,契約台帳!$A$3:$E$4986,5,FALSE)))</f>
        <v>リンテック㈱</v>
      </c>
      <c r="AA812" s="57"/>
      <c r="AB812" s="207">
        <f>IFERROR((VLOOKUP(F812&amp;K812&amp;M812,製品マスタ!$M$5:$AM$5002,27,FALSE)),"")</f>
        <v>0</v>
      </c>
      <c r="AC812" s="33"/>
      <c r="AD812" s="189"/>
      <c r="AE812" s="54"/>
      <c r="AF812" s="55"/>
      <c r="AG812" s="43"/>
      <c r="AH812" s="47"/>
      <c r="AI812" s="30"/>
      <c r="AJ812" s="30"/>
      <c r="AK812" s="30"/>
      <c r="AL812" s="30"/>
      <c r="AM812" s="13"/>
      <c r="AN812" s="13"/>
      <c r="AO812" s="13"/>
      <c r="AP812" s="13"/>
      <c r="AQ812" s="13"/>
      <c r="AR812" s="14"/>
      <c r="AS812" s="15"/>
    </row>
    <row r="813" spans="1:45" s="17" customFormat="1" ht="30.95" hidden="1" customHeight="1" x14ac:dyDescent="0.2">
      <c r="A813" s="37"/>
      <c r="B813" s="38"/>
      <c r="C813" s="45"/>
      <c r="D813" s="31"/>
      <c r="E813" s="31"/>
      <c r="F813" s="268"/>
      <c r="G813" s="269"/>
      <c r="H813" s="269"/>
      <c r="I813" s="270"/>
      <c r="J813" s="210"/>
      <c r="K813" s="270"/>
      <c r="L813" s="270"/>
      <c r="M813" s="39"/>
      <c r="N813" s="39"/>
      <c r="O813" s="156"/>
      <c r="P813" s="47"/>
      <c r="Q813" s="57"/>
      <c r="R813" s="271"/>
      <c r="S813" s="272"/>
      <c r="T813" s="273"/>
      <c r="U813" s="40"/>
      <c r="V813" s="274"/>
      <c r="W813" s="269"/>
      <c r="X813" s="269"/>
      <c r="Y813" s="275"/>
      <c r="Z813" s="269"/>
      <c r="AA813" s="57"/>
      <c r="AB813" s="207"/>
      <c r="AC813" s="33"/>
      <c r="AD813" s="189"/>
      <c r="AE813" s="54"/>
      <c r="AF813" s="55"/>
      <c r="AG813" s="43"/>
      <c r="AH813" s="47"/>
      <c r="AI813" s="30"/>
      <c r="AJ813" s="30"/>
      <c r="AK813" s="30"/>
      <c r="AL813" s="30"/>
      <c r="AM813" s="13"/>
      <c r="AN813" s="13"/>
      <c r="AO813" s="13"/>
      <c r="AP813" s="13"/>
      <c r="AQ813" s="13"/>
      <c r="AR813" s="14"/>
      <c r="AS813" s="15"/>
    </row>
    <row r="814" spans="1:45" s="17" customFormat="1" ht="30.95" hidden="1" customHeight="1" x14ac:dyDescent="0.2">
      <c r="A814" s="37"/>
      <c r="B814" s="38"/>
      <c r="C814" s="45"/>
      <c r="D814" s="31">
        <v>3716265</v>
      </c>
      <c r="E814" s="31">
        <v>4140965</v>
      </c>
      <c r="F814" s="268" t="str">
        <f>IF(D814="","",VLOOKUP(D814,契約台帳!$A$3:$K$4986,6,FALSE)&amp;VLOOKUP(D814,契約台帳!$A$3:$K$4986,7,FALSE)&amp;VLOOKUP(D814,契約台帳!$A$3:$K$4986,8,FALSE)&amp;VLOOKUP(D814,契約台帳!$A$3:$K$4986,9,FALSE)&amp;VLOOKUP(D814,契約台帳!$A$3:$K$4986,11,FALSE))</f>
        <v>33SSNMCLBTEKKFV</v>
      </c>
      <c r="G814" s="269" t="str">
        <f>IF(D814="","",VLOOKUP(F814,製品マスタ!$G$5:$H$5002,2,FALSE))</f>
        <v>S</v>
      </c>
      <c r="H814" s="269" t="str">
        <f>IF(D814="","",VLOOKUP(F814,製品マスタ!$G$5:$K$5002,5,FALSE))</f>
        <v>TEKKFV</v>
      </c>
      <c r="I814" s="270" t="str">
        <f>IF(D814="","",VLOOKUP(F814,製品マスタ!$G$5:$L$5002,6,FALSE))</f>
        <v>メタルミー　ＴＥＳ消開封　Ｖ</v>
      </c>
      <c r="J814" s="210" t="s">
        <v>447</v>
      </c>
      <c r="K814" s="270">
        <f>IF(D814="","",VLOOKUP(D814,契約台帳!$A$3:$L$4986,12,FALSE))</f>
        <v>50</v>
      </c>
      <c r="L814" s="270" t="str">
        <f>IF(D814="","",INDEX(製品マスタ!$Q$5:$Q$5002,MATCH('S4'!F814&amp;'S4'!K814,製品マスタ!$AO$5:$AO$5002,0)))</f>
        <v>X44SEPA</v>
      </c>
      <c r="M814" s="39">
        <v>1005</v>
      </c>
      <c r="N814" s="39">
        <v>12000</v>
      </c>
      <c r="O814" s="156">
        <v>2</v>
      </c>
      <c r="P814" s="47">
        <v>2</v>
      </c>
      <c r="Q814" s="57"/>
      <c r="R814" s="271">
        <f ca="1">IF(D814="","",IF(OFFSET(D814,-1,0)&lt;&gt;"","",IF(OR(J814="リード付け",J814="巻足し",J814="巻返しリード付け"),M814,VLOOKUP(D814,契約台帳!$A$3:$N$4986,14,FALSE))))</f>
        <v>1005</v>
      </c>
      <c r="S814" s="272">
        <f ca="1">IF(D814="","",IF(OFFSET(D814,-1,0)&lt;&gt;"","",IF(OR(J814="リード付け",J814="巻足し",J814="巻返しリード付け"),M814,VLOOKUP(D814,契約台帳!$A$3:$O$4986,15,FALSE))))</f>
        <v>1000</v>
      </c>
      <c r="T814" s="273">
        <f ca="1">IF(D814="","",IF(J814="リード付け",N814,IF(J814="巻返しリード付け",N814,IF(J814="巻足し",N814*P814+OFFSET(N814,1,0)*OFFSET(P814,1,0),VLOOKUP(D814,契約台帳!$A$3:$P$4986,16,FALSE)))))</f>
        <v>4000</v>
      </c>
      <c r="U814" s="40">
        <v>6</v>
      </c>
      <c r="V814" s="274">
        <f ca="1">IF(D814="","",IF(OFFSET(D814,-2,0)=D814,"",VLOOKUP(D814,契約台帳!$A$3:$R$4986,18,FALSE)))</f>
        <v>6</v>
      </c>
      <c r="W814" s="269" t="str">
        <f ca="1">IF(D814="","",IF(T814="","",IF(OR(J814="巻足し",J814="巻返しリード付け"),"",IF(J814="巻返し",VLOOKUP(F814&amp;K814&amp;M814,製品マスタ!$M$5:$AD$5002,18,FALSE),IF(OR(J814="リード付け",J814="巻返しリード付け"),"原反コア",IF(J814="スリット",VLOOKUP(F814&amp;K814&amp;R814,製品マスタ!$N$5:$AD$5002,17,FALSE),""))))))</f>
        <v>6ｲﾝﾁSｺｱ</v>
      </c>
      <c r="X814" s="269">
        <f ca="1">IF(D814="","",IF(T814="","",IF(J814="巻足し","",IF(J814="巻返し",VLOOKUP(F814&amp;K814&amp;M814,製品マスタ!$M$5:$AE$5002,19,FALSE),IF(OR(J814="リード付け",J814="巻返しリード付け"),"",IF(J814="スリット",VLOOKUP(F814&amp;K814&amp;R814,製品マスタ!$N$5:$AE$5002,18,FALSE),""))))))</f>
        <v>1015</v>
      </c>
      <c r="Y814" s="275">
        <f ca="1">IF(D814="","",IF(T814="","",VLOOKUP(D814,契約台帳!$A$3:$Q$4986,17,FALSE)))</f>
        <v>2</v>
      </c>
      <c r="Z814" s="269" t="str">
        <f ca="1">IF(D814="","",IF(T814="","",VLOOKUP(D814,契約台帳!$A$3:$E$4986,5,FALSE)))</f>
        <v>リンテック㈱</v>
      </c>
      <c r="AA814" s="57"/>
      <c r="AB814" s="207">
        <f>IFERROR((VLOOKUP(F814&amp;K814&amp;M814,製品マスタ!$M$5:$AM$5002,27,FALSE)),"")</f>
        <v>0</v>
      </c>
      <c r="AC814" s="33"/>
      <c r="AD814" s="189"/>
      <c r="AE814" s="54"/>
      <c r="AF814" s="55"/>
      <c r="AG814" s="43"/>
      <c r="AH814" s="47"/>
      <c r="AI814" s="30"/>
      <c r="AJ814" s="30"/>
      <c r="AK814" s="30"/>
      <c r="AL814" s="30"/>
      <c r="AM814" s="13"/>
      <c r="AN814" s="13"/>
      <c r="AO814" s="13"/>
      <c r="AP814" s="13"/>
      <c r="AQ814" s="13"/>
      <c r="AR814" s="14"/>
      <c r="AS814" s="15"/>
    </row>
    <row r="815" spans="1:45" s="17" customFormat="1" ht="30.95" hidden="1" customHeight="1" x14ac:dyDescent="0.2">
      <c r="A815" s="37"/>
      <c r="B815" s="38"/>
      <c r="C815" s="45"/>
      <c r="D815" s="31"/>
      <c r="E815" s="31"/>
      <c r="F815" s="268"/>
      <c r="G815" s="269"/>
      <c r="H815" s="269"/>
      <c r="I815" s="270"/>
      <c r="J815" s="210"/>
      <c r="K815" s="270"/>
      <c r="L815" s="270"/>
      <c r="M815" s="39"/>
      <c r="N815" s="39"/>
      <c r="O815" s="156"/>
      <c r="P815" s="47"/>
      <c r="Q815" s="57"/>
      <c r="R815" s="271"/>
      <c r="S815" s="272"/>
      <c r="T815" s="273"/>
      <c r="U815" s="40"/>
      <c r="V815" s="274"/>
      <c r="W815" s="269"/>
      <c r="X815" s="269"/>
      <c r="Y815" s="275"/>
      <c r="Z815" s="269"/>
      <c r="AA815" s="57"/>
      <c r="AB815" s="207"/>
      <c r="AC815" s="33"/>
      <c r="AD815" s="189"/>
      <c r="AE815" s="54"/>
      <c r="AF815" s="55"/>
      <c r="AG815" s="43"/>
      <c r="AH815" s="47"/>
      <c r="AI815" s="30"/>
      <c r="AJ815" s="30"/>
      <c r="AK815" s="30"/>
      <c r="AL815" s="30"/>
      <c r="AM815" s="13"/>
      <c r="AN815" s="13"/>
      <c r="AO815" s="13"/>
      <c r="AP815" s="13"/>
      <c r="AQ815" s="13"/>
      <c r="AR815" s="14"/>
      <c r="AS815" s="15"/>
    </row>
    <row r="816" spans="1:45" s="17" customFormat="1" ht="30.95" hidden="1" customHeight="1" x14ac:dyDescent="0.2">
      <c r="A816" s="37"/>
      <c r="B816" s="38"/>
      <c r="C816" s="45"/>
      <c r="D816" s="31">
        <v>3717595</v>
      </c>
      <c r="E816" s="31">
        <v>4140976</v>
      </c>
      <c r="F816" s="268" t="str">
        <f>IF(D816="","",VLOOKUP(D816,契約台帳!$A$3:$K$4986,6,FALSE)&amp;VLOOKUP(D816,契約台帳!$A$3:$K$4986,7,FALSE)&amp;VLOOKUP(D816,契約台帳!$A$3:$K$4986,8,FALSE)&amp;VLOOKUP(D816,契約台帳!$A$3:$K$4986,9,FALSE)&amp;VLOOKUP(D816,契約台帳!$A$3:$K$4986,11,FALSE))</f>
        <v>3UNMCLBHLGKJV</v>
      </c>
      <c r="G816" s="269" t="str">
        <f>IF(D816="","",VLOOKUP(F816,製品マスタ!$G$5:$H$5002,2,FALSE))</f>
        <v>U</v>
      </c>
      <c r="H816" s="269" t="str">
        <f>IF(D816="","",VLOOKUP(F816,製品マスタ!$G$5:$K$5002,5,FALSE))</f>
        <v>HLGKJV</v>
      </c>
      <c r="I816" s="270" t="str">
        <f>IF(D816="","",VLOOKUP(F816,製品マスタ!$G$5:$L$5002,6,FALSE))</f>
        <v>メタルミー　ヘヤライン　銀消Ｖ</v>
      </c>
      <c r="J816" s="210" t="s">
        <v>447</v>
      </c>
      <c r="K816" s="270">
        <f>IF(D816="","",VLOOKUP(D816,契約台帳!$A$3:$L$4986,12,FALSE))</f>
        <v>50</v>
      </c>
      <c r="L816" s="270" t="str">
        <f>IF(D816="","",INDEX(製品マスタ!$Q$5:$Q$5002,MATCH('S4'!F816&amp;'S4'!K816,製品マスタ!$AO$5:$AO$5002,0)))</f>
        <v>HL-MAT</v>
      </c>
      <c r="M816" s="39">
        <v>1005</v>
      </c>
      <c r="N816" s="39">
        <v>12000</v>
      </c>
      <c r="O816" s="156">
        <v>1</v>
      </c>
      <c r="P816" s="47">
        <v>1</v>
      </c>
      <c r="Q816" s="57"/>
      <c r="R816" s="271">
        <f ca="1">IF(D816="","",IF(OFFSET(D816,-1,0)&lt;&gt;"","",IF(OR(J816="リード付け",J816="巻足し",J816="巻返しリード付け"),M816,VLOOKUP(D816,契約台帳!$A$3:$N$4986,14,FALSE))))</f>
        <v>1005</v>
      </c>
      <c r="S816" s="272">
        <f ca="1">IF(D816="","",IF(OFFSET(D816,-1,0)&lt;&gt;"","",IF(OR(J816="リード付け",J816="巻足し",J816="巻返しリード付け"),M816,VLOOKUP(D816,契約台帳!$A$3:$O$4986,15,FALSE))))</f>
        <v>1000</v>
      </c>
      <c r="T816" s="273">
        <f ca="1">IF(D816="","",IF(J816="リード付け",N816,IF(J816="巻返しリード付け",N816,IF(J816="巻足し",N816*P816+OFFSET(N816,1,0)*OFFSET(P816,1,0),VLOOKUP(D816,契約台帳!$A$3:$P$4986,16,FALSE)))))</f>
        <v>2000</v>
      </c>
      <c r="U816" s="40">
        <v>2</v>
      </c>
      <c r="V816" s="274">
        <f ca="1">IF(D816="","",IF(OFFSET(D816,-2,0)=D816,"",VLOOKUP(D816,契約台帳!$A$3:$R$4986,18,FALSE)))</f>
        <v>2</v>
      </c>
      <c r="W816" s="269" t="str">
        <f ca="1">IF(D816="","",IF(T816="","",IF(OR(J816="巻足し",J816="巻返しリード付け"),"",IF(J816="巻返し",VLOOKUP(F816&amp;K816&amp;M816,製品マスタ!$M$5:$AD$5002,18,FALSE),IF(OR(J816="リード付け",J816="巻返しリード付け"),"原反コア",IF(J816="スリット",VLOOKUP(F816&amp;K816&amp;R816,製品マスタ!$N$5:$AD$5002,17,FALSE),""))))))</f>
        <v>6ｲﾝﾁSｺｱ</v>
      </c>
      <c r="X816" s="269">
        <f ca="1">IF(D816="","",IF(T816="","",IF(J816="巻足し","",IF(J816="巻返し",VLOOKUP(F816&amp;K816&amp;M816,製品マスタ!$M$5:$AE$5002,19,FALSE),IF(OR(J816="リード付け",J816="巻返しリード付け"),"",IF(J816="スリット",VLOOKUP(F816&amp;K816&amp;R816,製品マスタ!$N$5:$AE$5002,18,FALSE),""))))))</f>
        <v>1015</v>
      </c>
      <c r="Y816" s="275">
        <f ca="1">IF(D816="","",IF(T816="","",VLOOKUP(D816,契約台帳!$A$3:$Q$4986,17,FALSE)))</f>
        <v>2</v>
      </c>
      <c r="Z816" s="269" t="str">
        <f ca="1">IF(D816="","",IF(T816="","",VLOOKUP(D816,契約台帳!$A$3:$E$4986,5,FALSE)))</f>
        <v>リンテック㈱</v>
      </c>
      <c r="AA816" s="57" t="s">
        <v>1254</v>
      </c>
      <c r="AB816" s="207" t="s">
        <v>774</v>
      </c>
      <c r="AC816" s="33"/>
      <c r="AD816" s="189"/>
      <c r="AE816" s="54"/>
      <c r="AF816" s="55"/>
      <c r="AG816" s="43"/>
      <c r="AH816" s="47"/>
      <c r="AI816" s="30"/>
      <c r="AJ816" s="30"/>
      <c r="AK816" s="30"/>
      <c r="AL816" s="30"/>
      <c r="AM816" s="13"/>
      <c r="AN816" s="13"/>
      <c r="AO816" s="13"/>
      <c r="AP816" s="13"/>
      <c r="AQ816" s="13"/>
      <c r="AR816" s="14"/>
      <c r="AS816" s="15"/>
    </row>
    <row r="817" spans="1:45" s="17" customFormat="1" ht="30.95" hidden="1" customHeight="1" x14ac:dyDescent="0.2">
      <c r="A817" s="37"/>
      <c r="B817" s="38"/>
      <c r="C817" s="45"/>
      <c r="D817" s="31">
        <v>3717596</v>
      </c>
      <c r="E817" s="31"/>
      <c r="F817" s="268" t="str">
        <f>IF(D817="","",VLOOKUP(D817,契約台帳!$A$3:$K$4986,6,FALSE)&amp;VLOOKUP(D817,契約台帳!$A$3:$K$4986,7,FALSE)&amp;VLOOKUP(D817,契約台帳!$A$3:$K$4986,8,FALSE)&amp;VLOOKUP(D817,契約台帳!$A$3:$K$4986,9,FALSE)&amp;VLOOKUP(D817,契約台帳!$A$3:$K$4986,11,FALSE))</f>
        <v>3UNMCLBHLGKJV</v>
      </c>
      <c r="G817" s="269" t="str">
        <f>IF(D817="","",VLOOKUP(F817,製品マスタ!$G$5:$H$5002,2,FALSE))</f>
        <v>U</v>
      </c>
      <c r="H817" s="269" t="str">
        <f>IF(D817="","",VLOOKUP(F817,製品マスタ!$G$5:$K$5002,5,FALSE))</f>
        <v>HLGKJV</v>
      </c>
      <c r="I817" s="270" t="str">
        <f>IF(D817="","",VLOOKUP(F817,製品マスタ!$G$5:$L$5002,6,FALSE))</f>
        <v>メタルミー　ヘヤライン　銀消Ｖ</v>
      </c>
      <c r="J817" s="210" t="s">
        <v>447</v>
      </c>
      <c r="K817" s="270">
        <f>IF(D817="","",VLOOKUP(D817,契約台帳!$A$3:$L$4986,12,FALSE))</f>
        <v>50</v>
      </c>
      <c r="L817" s="270" t="str">
        <f>IF(D817="","",INDEX(製品マスタ!$Q$5:$Q$5002,MATCH('S4'!F817&amp;'S4'!K817,製品マスタ!$AO$5:$AO$5002,0)))</f>
        <v>HL-MAT</v>
      </c>
      <c r="M817" s="39">
        <v>1005</v>
      </c>
      <c r="N817" s="39"/>
      <c r="O817" s="156"/>
      <c r="P817" s="47"/>
      <c r="Q817" s="57"/>
      <c r="R817" s="271" t="str">
        <f ca="1">IF(D817="","",IF(OFFSET(D817,-1,0)&lt;&gt;"","",IF(OR(J817="リード付け",J817="巻足し",J817="巻返しリード付け"),M817,VLOOKUP(D817,契約台帳!$A$3:$N$4986,14,FALSE))))</f>
        <v/>
      </c>
      <c r="S817" s="272" t="str">
        <f ca="1">IF(D817="","",IF(OFFSET(D817,-1,0)&lt;&gt;"","",IF(OR(J817="リード付け",J817="巻足し",J817="巻返しリード付け"),M817,VLOOKUP(D817,契約台帳!$A$3:$O$4986,15,FALSE))))</f>
        <v/>
      </c>
      <c r="T817" s="273">
        <f ca="1">IF(D817="","",IF(J817="リード付け",N817,IF(J817="巻返しリード付け",N817,IF(J817="巻足し",N817*P817+OFFSET(N817,1,0)*OFFSET(P817,1,0),VLOOKUP(D817,契約台帳!$A$3:$P$4986,16,FALSE)))))</f>
        <v>2000</v>
      </c>
      <c r="U817" s="40">
        <v>4</v>
      </c>
      <c r="V817" s="274">
        <f ca="1">IF(D817="","",IF(OFFSET(D817,-2,0)=D817,"",VLOOKUP(D817,契約台帳!$A$3:$R$4986,18,FALSE)))</f>
        <v>4</v>
      </c>
      <c r="W817" s="269" t="str">
        <f ca="1">IF(D817="","",IF(T817="","",IF(OR(J817="巻足し",J817="巻返しリード付け"),"",IF(J817="巻返し",VLOOKUP(F817&amp;K817&amp;M817,製品マスタ!$M$5:$AD$5002,18,FALSE),IF(OR(J817="リード付け",J817="巻返しリード付け"),"原反コア",IF(J817="スリット",VLOOKUP(F817&amp;K817&amp;R817,製品マスタ!$N$5:$AD$5002,17,FALSE),""))))))</f>
        <v>6ｲﾝﾁSｺｱ</v>
      </c>
      <c r="X817" s="269">
        <f ca="1">IF(D817="","",IF(T817="","",IF(J817="巻足し","",IF(J817="巻返し",VLOOKUP(F817&amp;K817&amp;M817,製品マスタ!$M$5:$AE$5002,19,FALSE),IF(OR(J817="リード付け",J817="巻返しリード付け"),"",IF(J817="スリット",VLOOKUP(F817&amp;K817&amp;R817,製品マスタ!$N$5:$AE$5002,18,FALSE),""))))))</f>
        <v>1015</v>
      </c>
      <c r="Y817" s="275">
        <f ca="1">IF(D817="","",IF(T817="","",VLOOKUP(D817,契約台帳!$A$3:$Q$4986,17,FALSE)))</f>
        <v>2</v>
      </c>
      <c r="Z817" s="269" t="str">
        <f ca="1">IF(D817="","",IF(T817="","",VLOOKUP(D817,契約台帳!$A$3:$E$4986,5,FALSE)))</f>
        <v>リンテック㈱</v>
      </c>
      <c r="AA817" s="57" t="s">
        <v>1254</v>
      </c>
      <c r="AB817" s="207" t="s">
        <v>774</v>
      </c>
      <c r="AC817" s="33"/>
      <c r="AD817" s="189"/>
      <c r="AE817" s="54"/>
      <c r="AF817" s="55"/>
      <c r="AG817" s="43"/>
      <c r="AH817" s="47"/>
      <c r="AI817" s="30"/>
      <c r="AJ817" s="30"/>
      <c r="AK817" s="30"/>
      <c r="AL817" s="30"/>
      <c r="AM817" s="13"/>
      <c r="AN817" s="13"/>
      <c r="AO817" s="13"/>
      <c r="AP817" s="13"/>
      <c r="AQ817" s="13"/>
      <c r="AR817" s="14"/>
      <c r="AS817" s="15"/>
    </row>
    <row r="818" spans="1:45" s="17" customFormat="1" ht="30.95" hidden="1" customHeight="1" x14ac:dyDescent="0.2">
      <c r="A818" s="37"/>
      <c r="B818" s="38"/>
      <c r="C818" s="45"/>
      <c r="D818" s="31"/>
      <c r="E818" s="31"/>
      <c r="F818" s="268"/>
      <c r="G818" s="269"/>
      <c r="H818" s="269"/>
      <c r="I818" s="270"/>
      <c r="J818" s="210"/>
      <c r="K818" s="270"/>
      <c r="L818" s="270"/>
      <c r="M818" s="39"/>
      <c r="N818" s="39"/>
      <c r="O818" s="156"/>
      <c r="P818" s="47"/>
      <c r="Q818" s="57"/>
      <c r="R818" s="271"/>
      <c r="S818" s="272"/>
      <c r="T818" s="273"/>
      <c r="U818" s="40"/>
      <c r="V818" s="274"/>
      <c r="W818" s="269"/>
      <c r="X818" s="269"/>
      <c r="Y818" s="275"/>
      <c r="Z818" s="269"/>
      <c r="AA818" s="57"/>
      <c r="AB818" s="207"/>
      <c r="AC818" s="33"/>
      <c r="AD818" s="189"/>
      <c r="AE818" s="54"/>
      <c r="AF818" s="55"/>
      <c r="AG818" s="43"/>
      <c r="AH818" s="47"/>
      <c r="AI818" s="30"/>
      <c r="AJ818" s="30"/>
      <c r="AK818" s="30"/>
      <c r="AL818" s="30"/>
      <c r="AM818" s="13"/>
      <c r="AN818" s="13"/>
      <c r="AO818" s="13"/>
      <c r="AP818" s="13"/>
      <c r="AQ818" s="13"/>
      <c r="AR818" s="14"/>
      <c r="AS818" s="15"/>
    </row>
    <row r="819" spans="1:45" s="17" customFormat="1" ht="30.95" hidden="1" customHeight="1" x14ac:dyDescent="0.2">
      <c r="A819" s="37" t="s">
        <v>1333</v>
      </c>
      <c r="B819" s="342" t="s">
        <v>1334</v>
      </c>
      <c r="C819" s="45"/>
      <c r="D819" s="31">
        <v>3717604</v>
      </c>
      <c r="E819" s="31">
        <v>4140981</v>
      </c>
      <c r="F819" s="268" t="str">
        <f>IF(D819="","",VLOOKUP(D819,契約台帳!$A$3:$K$4986,6,FALSE)&amp;VLOOKUP(D819,契約台帳!$A$3:$K$4986,7,FALSE)&amp;VLOOKUP(D819,契約台帳!$A$3:$K$4986,8,FALSE)&amp;VLOOKUP(D819,契約台帳!$A$3:$K$4986,9,FALSE)&amp;VLOOKUP(D819,契約台帳!$A$3:$K$4986,11,FALSE))</f>
        <v>3UNMCLBHLGTV</v>
      </c>
      <c r="G819" s="269" t="str">
        <f>IF(D819="","",VLOOKUP(F819,製品マスタ!$G$5:$H$5002,2,FALSE))</f>
        <v>U</v>
      </c>
      <c r="H819" s="269" t="str">
        <f>IF(D819="","",VLOOKUP(F819,製品マスタ!$G$5:$K$5002,5,FALSE))</f>
        <v>HLGTV</v>
      </c>
      <c r="I819" s="270" t="str">
        <f>IF(D819="","",VLOOKUP(F819,製品マスタ!$G$5:$L$5002,6,FALSE))</f>
        <v>メタルミー　ヘヤライン　銀艶Ｖ</v>
      </c>
      <c r="J819" s="210" t="s">
        <v>447</v>
      </c>
      <c r="K819" s="270">
        <f>IF(D819="","",VLOOKUP(D819,契約台帳!$A$3:$L$4986,12,FALSE))</f>
        <v>25</v>
      </c>
      <c r="L819" s="270" t="str">
        <f>IF(D819="","",INDEX(製品マスタ!$Q$5:$Q$5002,MATCH('S4'!F819&amp;'S4'!K819,製品マスタ!$AO$5:$AO$5002,0)))</f>
        <v>BRIGHT</v>
      </c>
      <c r="M819" s="39">
        <v>1005</v>
      </c>
      <c r="N819" s="39">
        <v>16000</v>
      </c>
      <c r="O819" s="156">
        <v>2</v>
      </c>
      <c r="P819" s="47">
        <v>2</v>
      </c>
      <c r="Q819" s="57"/>
      <c r="R819" s="271">
        <f ca="1">IF(D819="","",IF(OFFSET(D819,-1,0)&lt;&gt;"","",IF(OR(J819="リード付け",J819="巻足し",J819="巻返しリード付け"),M819,VLOOKUP(D819,契約台帳!$A$3:$N$4986,14,FALSE))))</f>
        <v>1005</v>
      </c>
      <c r="S819" s="272">
        <f ca="1">IF(D819="","",IF(OFFSET(D819,-1,0)&lt;&gt;"","",IF(OR(J819="リード付け",J819="巻足し",J819="巻返しリード付け"),M819,VLOOKUP(D819,契約台帳!$A$3:$O$4986,15,FALSE))))</f>
        <v>1000</v>
      </c>
      <c r="T819" s="273">
        <f ca="1">IF(D819="","",IF(J819="リード付け",N819,IF(J819="巻返しリード付け",N819,IF(J819="巻足し",N819*P819+OFFSET(N819,1,0)*OFFSET(P819,1,0),VLOOKUP(D819,契約台帳!$A$3:$P$4986,16,FALSE)))))</f>
        <v>2000</v>
      </c>
      <c r="U819" s="40">
        <v>4</v>
      </c>
      <c r="V819" s="274">
        <f ca="1">IF(D819="","",IF(OFFSET(D819,-2,0)=D819,"",VLOOKUP(D819,契約台帳!$A$3:$R$4986,18,FALSE)))</f>
        <v>4</v>
      </c>
      <c r="W819" s="269" t="str">
        <f ca="1">IF(D819="","",IF(T819="","",IF(OR(J819="巻足し",J819="巻返しリード付け"),"",IF(J819="巻返し",VLOOKUP(F819&amp;K819&amp;M819,製品マスタ!$M$5:$AD$5002,18,FALSE),IF(OR(J819="リード付け",J819="巻返しリード付け"),"原反コア",IF(J819="スリット",VLOOKUP(F819&amp;K819&amp;R819,製品マスタ!$N$5:$AD$5002,17,FALSE),""))))))</f>
        <v>6ｲﾝﾁSｺｱ</v>
      </c>
      <c r="X819" s="269">
        <f ca="1">IF(D819="","",IF(T819="","",IF(J819="巻足し","",IF(J819="巻返し",VLOOKUP(F819&amp;K819&amp;M819,製品マスタ!$M$5:$AE$5002,19,FALSE),IF(OR(J819="リード付け",J819="巻返しリード付け"),"",IF(J819="スリット",VLOOKUP(F819&amp;K819&amp;R819,製品マスタ!$N$5:$AE$5002,18,FALSE),""))))))</f>
        <v>1015</v>
      </c>
      <c r="Y819" s="275">
        <f ca="1">IF(D819="","",IF(T819="","",VLOOKUP(D819,契約台帳!$A$3:$Q$4986,17,FALSE)))</f>
        <v>2</v>
      </c>
      <c r="Z819" s="269" t="str">
        <f ca="1">IF(D819="","",IF(T819="","",VLOOKUP(D819,契約台帳!$A$3:$E$4986,5,FALSE)))</f>
        <v>リンテック㈱</v>
      </c>
      <c r="AA819" s="57" t="s">
        <v>1254</v>
      </c>
      <c r="AB819" s="207" t="s">
        <v>774</v>
      </c>
      <c r="AC819" s="33"/>
      <c r="AD819" s="189"/>
      <c r="AE819" s="54"/>
      <c r="AF819" s="55"/>
      <c r="AG819" s="43"/>
      <c r="AH819" s="47"/>
      <c r="AI819" s="30"/>
      <c r="AJ819" s="30"/>
      <c r="AK819" s="30"/>
      <c r="AL819" s="30"/>
      <c r="AM819" s="13"/>
      <c r="AN819" s="13"/>
      <c r="AO819" s="13"/>
      <c r="AP819" s="13"/>
      <c r="AQ819" s="13"/>
      <c r="AR819" s="14"/>
      <c r="AS819" s="15"/>
    </row>
    <row r="820" spans="1:45" s="17" customFormat="1" ht="30.95" hidden="1" customHeight="1" x14ac:dyDescent="0.2">
      <c r="A820" s="37"/>
      <c r="B820" s="38"/>
      <c r="C820" s="45"/>
      <c r="D820" s="31"/>
      <c r="E820" s="31"/>
      <c r="F820" s="268"/>
      <c r="G820" s="269"/>
      <c r="H820" s="269"/>
      <c r="I820" s="270"/>
      <c r="J820" s="210"/>
      <c r="K820" s="270"/>
      <c r="L820" s="270"/>
      <c r="M820" s="39"/>
      <c r="N820" s="39"/>
      <c r="O820" s="156"/>
      <c r="P820" s="47"/>
      <c r="Q820" s="57"/>
      <c r="R820" s="271"/>
      <c r="S820" s="272"/>
      <c r="T820" s="273">
        <v>6000</v>
      </c>
      <c r="U820" s="40">
        <v>4</v>
      </c>
      <c r="V820" s="274">
        <v>4</v>
      </c>
      <c r="W820" s="269" t="s">
        <v>806</v>
      </c>
      <c r="X820" s="269">
        <v>1015</v>
      </c>
      <c r="Y820" s="275">
        <v>2</v>
      </c>
      <c r="Z820" s="269" t="s">
        <v>116</v>
      </c>
      <c r="AA820" s="57" t="s">
        <v>1254</v>
      </c>
      <c r="AB820" s="207" t="s">
        <v>774</v>
      </c>
      <c r="AC820" s="33"/>
      <c r="AD820" s="189"/>
      <c r="AE820" s="54"/>
      <c r="AF820" s="55"/>
      <c r="AG820" s="43"/>
      <c r="AH820" s="47"/>
      <c r="AI820" s="30"/>
      <c r="AJ820" s="30"/>
      <c r="AK820" s="30"/>
      <c r="AL820" s="30"/>
      <c r="AM820" s="13"/>
      <c r="AN820" s="13"/>
      <c r="AO820" s="13"/>
      <c r="AP820" s="13"/>
      <c r="AQ820" s="13"/>
      <c r="AR820" s="14"/>
      <c r="AS820" s="15"/>
    </row>
    <row r="821" spans="1:45" s="17" customFormat="1" ht="30.95" hidden="1" customHeight="1" x14ac:dyDescent="0.2">
      <c r="A821" s="37"/>
      <c r="B821" s="38"/>
      <c r="C821" s="45"/>
      <c r="D821" s="31"/>
      <c r="E821" s="31"/>
      <c r="F821" s="268"/>
      <c r="G821" s="269"/>
      <c r="H821" s="269"/>
      <c r="I821" s="270"/>
      <c r="J821" s="210"/>
      <c r="K821" s="270"/>
      <c r="L821" s="270"/>
      <c r="M821" s="39"/>
      <c r="N821" s="39"/>
      <c r="O821" s="156"/>
      <c r="P821" s="47"/>
      <c r="Q821" s="57"/>
      <c r="R821" s="271"/>
      <c r="S821" s="272"/>
      <c r="T821" s="273"/>
      <c r="U821" s="40"/>
      <c r="V821" s="274"/>
      <c r="W821" s="269"/>
      <c r="X821" s="269"/>
      <c r="Y821" s="275"/>
      <c r="Z821" s="269"/>
      <c r="AA821" s="57"/>
      <c r="AB821" s="207"/>
      <c r="AC821" s="33"/>
      <c r="AD821" s="189"/>
      <c r="AE821" s="54"/>
      <c r="AF821" s="55"/>
      <c r="AG821" s="43"/>
      <c r="AH821" s="47"/>
      <c r="AI821" s="30"/>
      <c r="AJ821" s="30"/>
      <c r="AK821" s="30"/>
      <c r="AL821" s="30"/>
      <c r="AM821" s="13"/>
      <c r="AN821" s="13"/>
      <c r="AO821" s="13"/>
      <c r="AP821" s="13"/>
      <c r="AQ821" s="13"/>
      <c r="AR821" s="14"/>
      <c r="AS821" s="15"/>
    </row>
    <row r="822" spans="1:45" s="17" customFormat="1" ht="30.95" hidden="1" customHeight="1" x14ac:dyDescent="0.2">
      <c r="A822" s="37"/>
      <c r="B822" s="38"/>
      <c r="C822" s="45"/>
      <c r="D822" s="31" t="s">
        <v>1305</v>
      </c>
      <c r="E822" s="31" t="s">
        <v>1306</v>
      </c>
      <c r="F822" s="268" t="s">
        <v>1304</v>
      </c>
      <c r="G822" s="269" t="s">
        <v>269</v>
      </c>
      <c r="H822" s="269" t="s">
        <v>172</v>
      </c>
      <c r="I822" s="270" t="s">
        <v>1307</v>
      </c>
      <c r="J822" s="210" t="s">
        <v>447</v>
      </c>
      <c r="K822" s="270">
        <v>50</v>
      </c>
      <c r="L822" s="270" t="s">
        <v>178</v>
      </c>
      <c r="M822" s="39">
        <v>1005</v>
      </c>
      <c r="N822" s="39">
        <v>2800</v>
      </c>
      <c r="O822" s="156">
        <v>1</v>
      </c>
      <c r="P822" s="47">
        <v>1</v>
      </c>
      <c r="Q822" s="57"/>
      <c r="R822" s="271">
        <v>1005</v>
      </c>
      <c r="S822" s="272">
        <v>1000</v>
      </c>
      <c r="T822" s="273">
        <v>2300</v>
      </c>
      <c r="U822" s="40">
        <v>1</v>
      </c>
      <c r="V822" s="274">
        <v>1</v>
      </c>
      <c r="W822" s="269" t="s">
        <v>806</v>
      </c>
      <c r="X822" s="269">
        <v>1015</v>
      </c>
      <c r="Y822" s="275">
        <v>2</v>
      </c>
      <c r="Z822" s="269" t="s">
        <v>116</v>
      </c>
      <c r="AA822" s="57" t="s">
        <v>1254</v>
      </c>
      <c r="AB822" s="207" t="s">
        <v>774</v>
      </c>
      <c r="AC822" s="33"/>
      <c r="AD822" s="189"/>
      <c r="AE822" s="54"/>
      <c r="AF822" s="55"/>
      <c r="AG822" s="43"/>
      <c r="AH822" s="47"/>
      <c r="AI822" s="30"/>
      <c r="AJ822" s="30"/>
      <c r="AK822" s="30"/>
      <c r="AL822" s="30"/>
      <c r="AM822" s="13"/>
      <c r="AN822" s="13"/>
      <c r="AO822" s="13"/>
      <c r="AP822" s="13"/>
      <c r="AQ822" s="13"/>
      <c r="AR822" s="14"/>
      <c r="AS822" s="15"/>
    </row>
    <row r="823" spans="1:45" s="17" customFormat="1" ht="30.95" hidden="1" customHeight="1" x14ac:dyDescent="0.2">
      <c r="A823" s="37"/>
      <c r="B823" s="38"/>
      <c r="C823" s="45"/>
      <c r="D823" s="31" t="s">
        <v>1305</v>
      </c>
      <c r="E823" s="31" t="s">
        <v>1306</v>
      </c>
      <c r="F823" s="268" t="s">
        <v>1304</v>
      </c>
      <c r="G823" s="269" t="s">
        <v>269</v>
      </c>
      <c r="H823" s="269" t="s">
        <v>172</v>
      </c>
      <c r="I823" s="270" t="s">
        <v>1308</v>
      </c>
      <c r="J823" s="210" t="s">
        <v>447</v>
      </c>
      <c r="K823" s="270">
        <v>50</v>
      </c>
      <c r="L823" s="270" t="s">
        <v>174</v>
      </c>
      <c r="M823" s="39">
        <v>1005</v>
      </c>
      <c r="N823" s="39"/>
      <c r="O823" s="156"/>
      <c r="P823" s="47"/>
      <c r="Q823" s="57"/>
      <c r="R823" s="271" t="s">
        <v>928</v>
      </c>
      <c r="S823" s="272" t="s">
        <v>928</v>
      </c>
      <c r="T823" s="273">
        <v>500</v>
      </c>
      <c r="U823" s="40">
        <v>1</v>
      </c>
      <c r="V823" s="274">
        <v>1</v>
      </c>
      <c r="W823" s="269" t="s">
        <v>806</v>
      </c>
      <c r="X823" s="269">
        <v>1015</v>
      </c>
      <c r="Y823" s="275">
        <v>2</v>
      </c>
      <c r="Z823" s="269" t="s">
        <v>116</v>
      </c>
      <c r="AA823" s="57" t="s">
        <v>1315</v>
      </c>
      <c r="AB823" s="207" t="s">
        <v>774</v>
      </c>
      <c r="AC823" s="33"/>
      <c r="AD823" s="189"/>
      <c r="AE823" s="54"/>
      <c r="AF823" s="55"/>
      <c r="AG823" s="43"/>
      <c r="AH823" s="47"/>
      <c r="AI823" s="30"/>
      <c r="AJ823" s="30"/>
      <c r="AK823" s="30"/>
      <c r="AL823" s="30"/>
      <c r="AM823" s="13"/>
      <c r="AN823" s="13"/>
      <c r="AO823" s="13"/>
      <c r="AP823" s="13"/>
      <c r="AQ823" s="13"/>
      <c r="AR823" s="14"/>
      <c r="AS823" s="15"/>
    </row>
    <row r="824" spans="1:45" s="17" customFormat="1" ht="30.95" hidden="1" customHeight="1" x14ac:dyDescent="0.2">
      <c r="A824" s="37"/>
      <c r="B824" s="38"/>
      <c r="C824" s="45"/>
      <c r="D824" s="31"/>
      <c r="E824" s="31"/>
      <c r="F824" s="268"/>
      <c r="G824" s="269"/>
      <c r="H824" s="269"/>
      <c r="I824" s="270"/>
      <c r="J824" s="210"/>
      <c r="K824" s="270"/>
      <c r="L824" s="270"/>
      <c r="M824" s="39"/>
      <c r="N824" s="39"/>
      <c r="O824" s="156"/>
      <c r="P824" s="47"/>
      <c r="Q824" s="57"/>
      <c r="R824" s="271"/>
      <c r="S824" s="272"/>
      <c r="T824" s="273"/>
      <c r="U824" s="40"/>
      <c r="V824" s="274"/>
      <c r="W824" s="269"/>
      <c r="X824" s="269"/>
      <c r="Y824" s="275"/>
      <c r="Z824" s="269"/>
      <c r="AA824" s="57"/>
      <c r="AB824" s="207"/>
      <c r="AC824" s="33"/>
      <c r="AD824" s="189"/>
      <c r="AE824" s="54"/>
      <c r="AF824" s="55"/>
      <c r="AG824" s="43"/>
      <c r="AH824" s="47"/>
      <c r="AI824" s="30"/>
      <c r="AJ824" s="30"/>
      <c r="AK824" s="30"/>
      <c r="AL824" s="30"/>
      <c r="AM824" s="13"/>
      <c r="AN824" s="13"/>
      <c r="AO824" s="13"/>
      <c r="AP824" s="13"/>
      <c r="AQ824" s="13"/>
      <c r="AR824" s="14"/>
      <c r="AS824" s="15"/>
    </row>
    <row r="825" spans="1:45" s="337" customFormat="1" ht="30.95" hidden="1" customHeight="1" x14ac:dyDescent="0.2">
      <c r="A825" s="37" t="s">
        <v>518</v>
      </c>
      <c r="B825" s="38" t="s">
        <v>445</v>
      </c>
      <c r="C825" s="322"/>
      <c r="D825" s="279" t="s">
        <v>1276</v>
      </c>
      <c r="E825" s="279" t="s">
        <v>1277</v>
      </c>
      <c r="F825" s="323" t="e">
        <f>IF(D825="","",VLOOKUP(D825,[1]契約台帳!$A$3:$X$9998,6,FALSE))&amp;IF(D825="","",VLOOKUP(D825,[1]契約台帳!$A$3:$X$9998,7,FALSE))&amp;IF(D825="","",VLOOKUP(D825,[1]契約台帳!$A$3:$X$9998,8,FALSE))&amp;IF(D825="","",VLOOKUP(D825,[1]契約台帳!$A$3:$X$9998,9,FALSE))&amp;IF(D825="","",VLOOKUP(D825,[1]契約台帳!$A$3:$X$9998,11,FALSE))</f>
        <v>#N/A</v>
      </c>
      <c r="G825" s="279" t="e">
        <f>IF(D825="","",VLOOKUP(F825,[1]製品マスタ!$G$5:$H$1006,2,FALSE))</f>
        <v>#N/A</v>
      </c>
      <c r="H825" s="279" t="e">
        <f>IF(D825="","",VLOOKUP(F825,[1]製品マスタ!$G$5:$K$1006,5,FALSE))</f>
        <v>#N/A</v>
      </c>
      <c r="I825" s="324" t="s">
        <v>1274</v>
      </c>
      <c r="J825" s="325" t="s">
        <v>447</v>
      </c>
      <c r="K825" s="324">
        <v>100</v>
      </c>
      <c r="L825" s="324" t="s">
        <v>1268</v>
      </c>
      <c r="M825" s="326">
        <v>1100</v>
      </c>
      <c r="N825" s="326">
        <v>1600</v>
      </c>
      <c r="O825" s="327">
        <v>1</v>
      </c>
      <c r="P825" s="175">
        <v>1</v>
      </c>
      <c r="Q825" s="329"/>
      <c r="R825" s="328">
        <v>1100</v>
      </c>
      <c r="S825" s="326">
        <v>1100</v>
      </c>
      <c r="T825" s="326">
        <v>1600</v>
      </c>
      <c r="U825" s="183">
        <v>1</v>
      </c>
      <c r="V825" s="183">
        <v>1</v>
      </c>
      <c r="W825" s="279" t="s">
        <v>806</v>
      </c>
      <c r="X825" s="279">
        <v>1125</v>
      </c>
      <c r="Y825" s="279">
        <v>2</v>
      </c>
      <c r="Z825" s="279" t="s">
        <v>1275</v>
      </c>
      <c r="AA825" s="329"/>
      <c r="AB825" s="207" t="str">
        <f>IFERROR(VLOOKUP(F825&amp;K825&amp;M825,[1]製品マスタ!$M$5:$AM$1004,27,FALSE),"")</f>
        <v/>
      </c>
      <c r="AC825" s="330"/>
      <c r="AD825" s="331"/>
      <c r="AE825" s="332"/>
      <c r="AF825" s="55"/>
      <c r="AG825" s="43"/>
      <c r="AH825" s="47"/>
      <c r="AI825" s="333"/>
      <c r="AJ825" s="333"/>
      <c r="AK825" s="333"/>
      <c r="AL825" s="334"/>
      <c r="AM825" s="334"/>
      <c r="AN825" s="334"/>
      <c r="AO825" s="334"/>
      <c r="AP825" s="334"/>
      <c r="AQ825" s="335"/>
      <c r="AR825" s="336"/>
    </row>
    <row r="826" spans="1:45" s="17" customFormat="1" ht="30.95" hidden="1" customHeight="1" x14ac:dyDescent="0.2">
      <c r="A826" s="37"/>
      <c r="B826" s="38"/>
      <c r="C826" s="45"/>
      <c r="D826" s="31"/>
      <c r="E826" s="31"/>
      <c r="F826" s="268"/>
      <c r="G826" s="269"/>
      <c r="H826" s="269"/>
      <c r="I826" s="270"/>
      <c r="J826" s="210"/>
      <c r="K826" s="270"/>
      <c r="L826" s="270"/>
      <c r="M826" s="39"/>
      <c r="N826" s="39"/>
      <c r="O826" s="156"/>
      <c r="P826" s="47"/>
      <c r="Q826" s="57"/>
      <c r="R826" s="271"/>
      <c r="S826" s="272"/>
      <c r="T826" s="273"/>
      <c r="U826" s="40"/>
      <c r="V826" s="274"/>
      <c r="W826" s="269"/>
      <c r="X826" s="269"/>
      <c r="Y826" s="275"/>
      <c r="Z826" s="269"/>
      <c r="AA826" s="57"/>
      <c r="AB826" s="207"/>
      <c r="AC826" s="33"/>
      <c r="AD826" s="189"/>
      <c r="AE826" s="54"/>
      <c r="AF826" s="55"/>
      <c r="AG826" s="43"/>
      <c r="AH826" s="47"/>
      <c r="AI826" s="30"/>
      <c r="AJ826" s="30"/>
      <c r="AK826" s="30"/>
      <c r="AL826" s="30"/>
      <c r="AM826" s="13"/>
      <c r="AN826" s="13"/>
      <c r="AO826" s="13"/>
      <c r="AP826" s="13"/>
      <c r="AQ826" s="13"/>
      <c r="AR826" s="14"/>
      <c r="AS826" s="15"/>
    </row>
    <row r="827" spans="1:45" s="17" customFormat="1" ht="30.95" hidden="1" customHeight="1" x14ac:dyDescent="0.2">
      <c r="A827" s="37"/>
      <c r="B827" s="38"/>
      <c r="C827" s="45"/>
      <c r="D827" s="31"/>
      <c r="E827" s="31"/>
      <c r="F827" s="268"/>
      <c r="G827" s="269"/>
      <c r="H827" s="269"/>
      <c r="I827" s="270"/>
      <c r="J827" s="210" t="s">
        <v>1335</v>
      </c>
      <c r="K827" s="270"/>
      <c r="L827" s="270"/>
      <c r="M827" s="39"/>
      <c r="N827" s="39"/>
      <c r="O827" s="156"/>
      <c r="P827" s="47"/>
      <c r="Q827" s="57"/>
      <c r="R827" s="271"/>
      <c r="S827" s="272"/>
      <c r="T827" s="273"/>
      <c r="U827" s="40"/>
      <c r="V827" s="274"/>
      <c r="W827" s="269"/>
      <c r="X827" s="269"/>
      <c r="Y827" s="275"/>
      <c r="Z827" s="269"/>
      <c r="AA827" s="57"/>
      <c r="AB827" s="207"/>
      <c r="AC827" s="33"/>
      <c r="AD827" s="189"/>
      <c r="AE827" s="54"/>
      <c r="AF827" s="55"/>
      <c r="AG827" s="43"/>
      <c r="AH827" s="47"/>
      <c r="AI827" s="30"/>
      <c r="AJ827" s="30"/>
      <c r="AK827" s="30"/>
      <c r="AL827" s="30"/>
      <c r="AM827" s="13"/>
      <c r="AN827" s="13"/>
      <c r="AO827" s="13"/>
      <c r="AP827" s="13"/>
      <c r="AQ827" s="13"/>
      <c r="AR827" s="14"/>
      <c r="AS827" s="15"/>
    </row>
    <row r="828" spans="1:45" s="17" customFormat="1" ht="30.95" hidden="1" customHeight="1" x14ac:dyDescent="0.2">
      <c r="A828" s="37"/>
      <c r="B828" s="38"/>
      <c r="C828" s="45"/>
      <c r="D828" s="31"/>
      <c r="E828" s="31"/>
      <c r="F828" s="268"/>
      <c r="G828" s="269"/>
      <c r="H828" s="269"/>
      <c r="I828" s="270"/>
      <c r="J828" s="210"/>
      <c r="K828" s="270"/>
      <c r="L828" s="270"/>
      <c r="M828" s="39"/>
      <c r="N828" s="39"/>
      <c r="O828" s="156"/>
      <c r="P828" s="47"/>
      <c r="Q828" s="57"/>
      <c r="R828" s="271"/>
      <c r="S828" s="272"/>
      <c r="T828" s="273"/>
      <c r="U828" s="40"/>
      <c r="V828" s="274"/>
      <c r="W828" s="269"/>
      <c r="X828" s="269"/>
      <c r="Y828" s="275"/>
      <c r="Z828" s="269"/>
      <c r="AA828" s="57"/>
      <c r="AB828" s="207"/>
      <c r="AC828" s="33"/>
      <c r="AD828" s="189"/>
      <c r="AE828" s="54"/>
      <c r="AF828" s="55"/>
      <c r="AG828" s="43"/>
      <c r="AH828" s="47"/>
      <c r="AI828" s="30"/>
      <c r="AJ828" s="30"/>
      <c r="AK828" s="30"/>
      <c r="AL828" s="30"/>
      <c r="AM828" s="13"/>
      <c r="AN828" s="13"/>
      <c r="AO828" s="13"/>
      <c r="AP828" s="13"/>
      <c r="AQ828" s="13"/>
      <c r="AR828" s="14"/>
      <c r="AS828" s="15"/>
    </row>
    <row r="829" spans="1:45" s="17" customFormat="1" ht="30.95" hidden="1" customHeight="1" x14ac:dyDescent="0.2">
      <c r="A829" s="37"/>
      <c r="B829" s="38"/>
      <c r="C829" s="45"/>
      <c r="D829" s="31"/>
      <c r="E829" s="31"/>
      <c r="F829" s="268"/>
      <c r="G829" s="269"/>
      <c r="H829" s="269"/>
      <c r="I829" s="270"/>
      <c r="J829" s="210" t="s">
        <v>1336</v>
      </c>
      <c r="K829" s="270"/>
      <c r="L829" s="270"/>
      <c r="M829" s="39"/>
      <c r="N829" s="39"/>
      <c r="O829" s="156"/>
      <c r="P829" s="47"/>
      <c r="Q829" s="57"/>
      <c r="R829" s="271"/>
      <c r="S829" s="272"/>
      <c r="T829" s="273"/>
      <c r="U829" s="40"/>
      <c r="V829" s="274"/>
      <c r="W829" s="269"/>
      <c r="X829" s="269"/>
      <c r="Y829" s="275"/>
      <c r="Z829" s="269"/>
      <c r="AA829" s="57"/>
      <c r="AB829" s="207"/>
      <c r="AC829" s="33"/>
      <c r="AD829" s="189"/>
      <c r="AE829" s="54"/>
      <c r="AF829" s="55"/>
      <c r="AG829" s="43"/>
      <c r="AH829" s="47"/>
      <c r="AI829" s="30"/>
      <c r="AJ829" s="30"/>
      <c r="AK829" s="30"/>
      <c r="AL829" s="30"/>
      <c r="AM829" s="13"/>
      <c r="AN829" s="13"/>
      <c r="AO829" s="13"/>
      <c r="AP829" s="13"/>
      <c r="AQ829" s="13"/>
      <c r="AR829" s="14"/>
      <c r="AS829" s="15"/>
    </row>
    <row r="830" spans="1:45" s="17" customFormat="1" ht="30.95" hidden="1" customHeight="1" x14ac:dyDescent="0.2">
      <c r="A830" s="37"/>
      <c r="B830" s="38"/>
      <c r="C830" s="45"/>
      <c r="D830" s="31"/>
      <c r="E830" s="31"/>
      <c r="F830" s="268"/>
      <c r="G830" s="269"/>
      <c r="H830" s="269"/>
      <c r="I830" s="270"/>
      <c r="J830" s="210"/>
      <c r="K830" s="270"/>
      <c r="L830" s="270"/>
      <c r="M830" s="39"/>
      <c r="N830" s="39"/>
      <c r="O830" s="156"/>
      <c r="P830" s="47"/>
      <c r="Q830" s="57"/>
      <c r="R830" s="271"/>
      <c r="S830" s="272"/>
      <c r="T830" s="273"/>
      <c r="U830" s="40"/>
      <c r="V830" s="274"/>
      <c r="W830" s="269"/>
      <c r="X830" s="269"/>
      <c r="Y830" s="275"/>
      <c r="Z830" s="269"/>
      <c r="AA830" s="57"/>
      <c r="AB830" s="207"/>
      <c r="AC830" s="33"/>
      <c r="AD830" s="189"/>
      <c r="AE830" s="54"/>
      <c r="AF830" s="55"/>
      <c r="AG830" s="43"/>
      <c r="AH830" s="47"/>
      <c r="AI830" s="30"/>
      <c r="AJ830" s="30"/>
      <c r="AK830" s="30"/>
      <c r="AL830" s="30"/>
      <c r="AM830" s="13"/>
      <c r="AN830" s="13"/>
      <c r="AO830" s="13"/>
      <c r="AP830" s="13"/>
      <c r="AQ830" s="13"/>
      <c r="AR830" s="14"/>
      <c r="AS830" s="15"/>
    </row>
    <row r="831" spans="1:45" s="17" customFormat="1" ht="30.95" hidden="1" customHeight="1" x14ac:dyDescent="0.2">
      <c r="A831" s="37" t="s">
        <v>1309</v>
      </c>
      <c r="B831" s="38" t="s">
        <v>1301</v>
      </c>
      <c r="C831" s="45"/>
      <c r="D831" s="31"/>
      <c r="E831" s="31"/>
      <c r="F831" s="268"/>
      <c r="G831" s="269"/>
      <c r="H831" s="269"/>
      <c r="I831" s="270"/>
      <c r="J831" s="210" t="s">
        <v>1310</v>
      </c>
      <c r="K831" s="270"/>
      <c r="L831" s="270"/>
      <c r="M831" s="39"/>
      <c r="N831" s="39"/>
      <c r="O831" s="156"/>
      <c r="P831" s="47"/>
      <c r="Q831" s="57"/>
      <c r="R831" s="271"/>
      <c r="S831" s="272"/>
      <c r="T831" s="273"/>
      <c r="U831" s="40"/>
      <c r="V831" s="274"/>
      <c r="W831" s="269"/>
      <c r="X831" s="269"/>
      <c r="Y831" s="275"/>
      <c r="Z831" s="269"/>
      <c r="AA831" s="57"/>
      <c r="AB831" s="207"/>
      <c r="AC831" s="33"/>
      <c r="AD831" s="189"/>
      <c r="AE831" s="54"/>
      <c r="AF831" s="55"/>
      <c r="AG831" s="43"/>
      <c r="AH831" s="47"/>
      <c r="AI831" s="30"/>
      <c r="AJ831" s="30"/>
      <c r="AK831" s="30"/>
      <c r="AL831" s="30"/>
      <c r="AM831" s="13"/>
      <c r="AN831" s="13"/>
      <c r="AO831" s="13"/>
      <c r="AP831" s="13"/>
      <c r="AQ831" s="13"/>
      <c r="AR831" s="14"/>
      <c r="AS831" s="15"/>
    </row>
    <row r="832" spans="1:45" s="17" customFormat="1" ht="30.95" hidden="1" customHeight="1" x14ac:dyDescent="0.2">
      <c r="A832" s="37"/>
      <c r="B832" s="38"/>
      <c r="C832" s="45"/>
      <c r="D832" s="31"/>
      <c r="E832" s="31"/>
      <c r="F832" s="268"/>
      <c r="G832" s="269"/>
      <c r="H832" s="269"/>
      <c r="I832" s="270"/>
      <c r="J832" s="210"/>
      <c r="K832" s="270"/>
      <c r="L832" s="270"/>
      <c r="M832" s="39"/>
      <c r="N832" s="39"/>
      <c r="O832" s="156"/>
      <c r="P832" s="47"/>
      <c r="Q832" s="57"/>
      <c r="R832" s="271"/>
      <c r="S832" s="272"/>
      <c r="T832" s="273"/>
      <c r="U832" s="40"/>
      <c r="V832" s="274"/>
      <c r="W832" s="269"/>
      <c r="X832" s="269"/>
      <c r="Y832" s="275"/>
      <c r="Z832" s="269"/>
      <c r="AA832" s="57"/>
      <c r="AB832" s="207"/>
      <c r="AC832" s="33"/>
      <c r="AD832" s="189"/>
      <c r="AE832" s="54"/>
      <c r="AF832" s="55"/>
      <c r="AG832" s="43"/>
      <c r="AH832" s="47"/>
      <c r="AI832" s="30"/>
      <c r="AJ832" s="30"/>
      <c r="AK832" s="30"/>
      <c r="AL832" s="30"/>
      <c r="AM832" s="13"/>
      <c r="AN832" s="13"/>
      <c r="AO832" s="13"/>
      <c r="AP832" s="13"/>
      <c r="AQ832" s="13"/>
      <c r="AR832" s="14"/>
      <c r="AS832" s="15"/>
    </row>
    <row r="833" spans="1:45" s="17" customFormat="1" ht="30.95" hidden="1" customHeight="1" x14ac:dyDescent="0.2">
      <c r="A833" s="37" t="s">
        <v>1311</v>
      </c>
      <c r="B833" s="38" t="s">
        <v>1303</v>
      </c>
      <c r="C833" s="45"/>
      <c r="D833" s="31"/>
      <c r="E833" s="31"/>
      <c r="F833" s="268"/>
      <c r="G833" s="269"/>
      <c r="H833" s="269"/>
      <c r="I833" s="270"/>
      <c r="J833" s="210" t="s">
        <v>489</v>
      </c>
      <c r="K833" s="270"/>
      <c r="L833" s="270"/>
      <c r="M833" s="39"/>
      <c r="N833" s="39"/>
      <c r="O833" s="156"/>
      <c r="P833" s="47"/>
      <c r="Q833" s="57"/>
      <c r="R833" s="271"/>
      <c r="S833" s="272"/>
      <c r="T833" s="273"/>
      <c r="U833" s="40"/>
      <c r="V833" s="274"/>
      <c r="W833" s="269"/>
      <c r="X833" s="269"/>
      <c r="Y833" s="275"/>
      <c r="Z833" s="269"/>
      <c r="AA833" s="57"/>
      <c r="AB833" s="207"/>
      <c r="AC833" s="33"/>
      <c r="AD833" s="189"/>
      <c r="AE833" s="54"/>
      <c r="AF833" s="55"/>
      <c r="AG833" s="43"/>
      <c r="AH833" s="47"/>
      <c r="AI833" s="30"/>
      <c r="AJ833" s="30"/>
      <c r="AK833" s="30"/>
      <c r="AL833" s="30"/>
      <c r="AM833" s="13"/>
      <c r="AN833" s="13"/>
      <c r="AO833" s="13"/>
      <c r="AP833" s="13"/>
      <c r="AQ833" s="13"/>
      <c r="AR833" s="14"/>
      <c r="AS833" s="15"/>
    </row>
    <row r="834" spans="1:45" s="17" customFormat="1" ht="30.95" hidden="1" customHeight="1" x14ac:dyDescent="0.2">
      <c r="A834" s="37"/>
      <c r="B834" s="38"/>
      <c r="C834" s="45"/>
      <c r="D834" s="31"/>
      <c r="E834" s="31"/>
      <c r="F834" s="268"/>
      <c r="G834" s="269"/>
      <c r="H834" s="269"/>
      <c r="I834" s="270"/>
      <c r="J834" s="210"/>
      <c r="K834" s="270"/>
      <c r="L834" s="270"/>
      <c r="M834" s="39"/>
      <c r="N834" s="39"/>
      <c r="O834" s="156"/>
      <c r="P834" s="47"/>
      <c r="Q834" s="57"/>
      <c r="R834" s="271"/>
      <c r="S834" s="272"/>
      <c r="T834" s="273"/>
      <c r="U834" s="40"/>
      <c r="V834" s="274"/>
      <c r="W834" s="269"/>
      <c r="X834" s="269"/>
      <c r="Y834" s="275"/>
      <c r="Z834" s="269"/>
      <c r="AA834" s="57"/>
      <c r="AB834" s="207"/>
      <c r="AC834" s="33"/>
      <c r="AD834" s="189"/>
      <c r="AE834" s="54"/>
      <c r="AF834" s="55"/>
      <c r="AG834" s="43"/>
      <c r="AH834" s="47"/>
      <c r="AI834" s="30"/>
      <c r="AJ834" s="30"/>
      <c r="AK834" s="30"/>
      <c r="AL834" s="30"/>
      <c r="AM834" s="13"/>
      <c r="AN834" s="13"/>
      <c r="AO834" s="13"/>
      <c r="AP834" s="13"/>
      <c r="AQ834" s="13"/>
      <c r="AR834" s="14"/>
      <c r="AS834" s="15"/>
    </row>
    <row r="835" spans="1:45" s="17" customFormat="1" ht="30.95" hidden="1" customHeight="1" x14ac:dyDescent="0.2">
      <c r="A835" s="37" t="s">
        <v>1337</v>
      </c>
      <c r="B835" s="38" t="s">
        <v>1338</v>
      </c>
      <c r="C835" s="45"/>
      <c r="D835" s="31">
        <v>3721214</v>
      </c>
      <c r="E835" s="31">
        <v>4162002</v>
      </c>
      <c r="F835" s="268" t="str">
        <f>IF(D835="","",VLOOKUP(D835,契約台帳!$A$3:$K$4986,6,FALSE)&amp;VLOOKUP(D835,契約台帳!$A$3:$K$4986,7,FALSE)&amp;VLOOKUP(D835,契約台帳!$A$3:$K$4986,8,FALSE)&amp;VLOOKUP(D835,契約台帳!$A$3:$K$4986,9,FALSE)&amp;VLOOKUP(D835,契約台帳!$A$3:$K$4986,11,FALSE))</f>
        <v>3SNMLBMNGTBF</v>
      </c>
      <c r="G835" s="269" t="str">
        <f>IF(D835="","",VLOOKUP(F835,製品マスタ!$G$5:$H$5002,2,FALSE))</f>
        <v>S</v>
      </c>
      <c r="H835" s="269" t="str">
        <f>IF(D835="","",VLOOKUP(F835,製品マスタ!$G$5:$K$5002,5,FALSE))</f>
        <v>MNGTBF</v>
      </c>
      <c r="I835" s="270" t="str">
        <f>IF(D835="","",VLOOKUP(F835,製品マスタ!$G$5:$L$5002,6,FALSE))</f>
        <v>メタルミー　ネーマー　銀艶　Ｂ</v>
      </c>
      <c r="J835" s="210" t="s">
        <v>935</v>
      </c>
      <c r="K835" s="270">
        <f>IF(D835="","",VLOOKUP(D835,契約台帳!$A$3:$L$4986,12,FALSE))</f>
        <v>50</v>
      </c>
      <c r="L835" s="270" t="str">
        <f>IF(D835="","",INDEX(製品マスタ!$Q$5:$Q$5002,MATCH('S4'!F835&amp;'S4'!K835,製品マスタ!$AO$5:$AO$5002,0)))</f>
        <v>T62</v>
      </c>
      <c r="M835" s="39">
        <v>1120</v>
      </c>
      <c r="N835" s="39">
        <v>5000</v>
      </c>
      <c r="O835" s="156">
        <v>12</v>
      </c>
      <c r="P835" s="47">
        <v>2</v>
      </c>
      <c r="Q835" s="213">
        <v>45131</v>
      </c>
      <c r="R835" s="271">
        <f ca="1">IF(D835="","",IF(OFFSET(D835,-1,0)&lt;&gt;"","",IF(OR(J835="リード付け",J835="巻足し",J835="巻返しリード付け"),M835,VLOOKUP(D835,契約台帳!$A$3:$N$4986,14,FALSE))))</f>
        <v>1120</v>
      </c>
      <c r="S835" s="272">
        <f ca="1">IF(D835="","",IF(OFFSET(D835,-1,0)&lt;&gt;"","",IF(OR(J835="リード付け",J835="巻足し",J835="巻返しリード付け"),M835,VLOOKUP(D835,契約台帳!$A$3:$O$4986,15,FALSE))))</f>
        <v>1120</v>
      </c>
      <c r="T835" s="273">
        <f ca="1">IF(D835="","",IF(J835="リード付け",N835,IF(J835="巻返しリード付け",N835,IF(J835="巻足し",N835*P835+OFFSET(N835,1,0)*OFFSET(P835,1,0),VLOOKUP(D835,契約台帳!$A$3:$P$4986,16,FALSE)))))</f>
        <v>10000</v>
      </c>
      <c r="U835" s="40">
        <v>6</v>
      </c>
      <c r="V835" s="274">
        <f ca="1">IF(D835="","",IF(OFFSET(D835,-2,0)=D835,"",VLOOKUP(D835,契約台帳!$A$3:$R$4986,18,FALSE)))</f>
        <v>13</v>
      </c>
      <c r="W835" s="269" t="str">
        <f ca="1">IF(D835="","",IF(T835="","",IF(OR(J835="巻足し",J835="巻返しリード付け"),"",IF(J835="巻返し",VLOOKUP(F835&amp;K835&amp;M835,製品マスタ!$M$5:$AD$5002,18,FALSE),IF(OR(J835="リード付け",J835="巻返しリード付け"),"原反コア",IF(J835="スリット",VLOOKUP(F835&amp;K835&amp;R835,製品マスタ!$N$5:$AD$5002,17,FALSE),""))))))</f>
        <v/>
      </c>
      <c r="X835" s="269" t="str">
        <f ca="1">IF(D835="","",IF(T835="","",IF(J835="巻足し","",IF(J835="巻返し",VLOOKUP(F835&amp;K835&amp;M835,製品マスタ!$M$5:$AE$5002,19,FALSE),IF(OR(J835="リード付け",J835="巻返しリード付け"),"",IF(J835="スリット",VLOOKUP(F835&amp;K835&amp;R835,製品マスタ!$N$5:$AE$5002,18,FALSE),""))))))</f>
        <v/>
      </c>
      <c r="Y835" s="275">
        <f ca="1">IF(D835="","",IF(T835="","",VLOOKUP(D835,契約台帳!$A$3:$Q$4986,17,FALSE)))</f>
        <v>2</v>
      </c>
      <c r="Z835" s="269" t="str">
        <f ca="1">IF(D835="","",IF(T835="","",VLOOKUP(D835,契約台帳!$A$3:$E$4986,5,FALSE)))</f>
        <v>リンテック㈱</v>
      </c>
      <c r="AA835" s="57"/>
      <c r="AB835" s="207" t="str">
        <f>IFERROR((VLOOKUP(F835&amp;K835&amp;M835,製品マスタ!$M$5:$AM$5002,27,FALSE)),"")</f>
        <v>原反ケース再利用</v>
      </c>
      <c r="AC835" s="33"/>
      <c r="AD835" s="189"/>
      <c r="AE835" s="54"/>
      <c r="AF835" s="55">
        <f>+M835*N835*O835/1000</f>
        <v>67200</v>
      </c>
      <c r="AG835" s="43"/>
      <c r="AH835" s="47"/>
      <c r="AI835" s="30"/>
      <c r="AJ835" s="30"/>
      <c r="AK835" s="30"/>
      <c r="AL835" s="30"/>
      <c r="AM835" s="13"/>
      <c r="AN835" s="13"/>
      <c r="AO835" s="13"/>
      <c r="AP835" s="13"/>
      <c r="AQ835" s="13"/>
      <c r="AR835" s="14"/>
      <c r="AS835" s="15"/>
    </row>
    <row r="836" spans="1:45" s="17" customFormat="1" ht="30.95" hidden="1" customHeight="1" x14ac:dyDescent="0.2">
      <c r="A836" s="37"/>
      <c r="B836" s="38"/>
      <c r="C836" s="45"/>
      <c r="D836" s="31"/>
      <c r="E836" s="31"/>
      <c r="F836" s="268"/>
      <c r="G836" s="269"/>
      <c r="H836" s="269"/>
      <c r="I836" s="270"/>
      <c r="J836" s="210"/>
      <c r="K836" s="270"/>
      <c r="L836" s="270"/>
      <c r="M836" s="39"/>
      <c r="N836" s="39"/>
      <c r="O836" s="156"/>
      <c r="P836" s="47"/>
      <c r="Q836" s="57"/>
      <c r="R836" s="271"/>
      <c r="S836" s="272"/>
      <c r="T836" s="273"/>
      <c r="U836" s="40"/>
      <c r="V836" s="274"/>
      <c r="W836" s="269"/>
      <c r="X836" s="269"/>
      <c r="Y836" s="275"/>
      <c r="Z836" s="269"/>
      <c r="AA836" s="57"/>
      <c r="AB836" s="207" t="str">
        <f>IFERROR((VLOOKUP(F836&amp;K836&amp;M836,製品マスタ!$M$5:$AM$5002,27,FALSE)),"")</f>
        <v/>
      </c>
      <c r="AC836" s="33"/>
      <c r="AD836" s="189"/>
      <c r="AE836" s="54"/>
      <c r="AF836" s="55"/>
      <c r="AG836" s="43"/>
      <c r="AH836" s="47"/>
      <c r="AI836" s="30"/>
      <c r="AJ836" s="30"/>
      <c r="AK836" s="30"/>
      <c r="AL836" s="30"/>
      <c r="AM836" s="13"/>
      <c r="AN836" s="13"/>
      <c r="AO836" s="13"/>
      <c r="AP836" s="13"/>
      <c r="AQ836" s="13"/>
      <c r="AR836" s="14"/>
      <c r="AS836" s="15"/>
    </row>
    <row r="837" spans="1:45" s="17" customFormat="1" ht="30.95" hidden="1" customHeight="1" x14ac:dyDescent="0.2">
      <c r="A837" s="37"/>
      <c r="B837" s="38"/>
      <c r="C837" s="45"/>
      <c r="D837" s="31">
        <v>3721214</v>
      </c>
      <c r="E837" s="31">
        <v>4162002</v>
      </c>
      <c r="F837" s="268" t="str">
        <f>IF(D837="","",VLOOKUP(D837,契約台帳!$A$3:$K$4986,6,FALSE)&amp;VLOOKUP(D837,契約台帳!$A$3:$K$4986,7,FALSE)&amp;VLOOKUP(D837,契約台帳!$A$3:$K$4986,8,FALSE)&amp;VLOOKUP(D837,契約台帳!$A$3:$K$4986,9,FALSE)&amp;VLOOKUP(D837,契約台帳!$A$3:$K$4986,11,FALSE))</f>
        <v>3SNMLBMNGTBF</v>
      </c>
      <c r="G837" s="269" t="str">
        <f>IF(D837="","",VLOOKUP(F837,製品マスタ!$G$5:$H$5002,2,FALSE))</f>
        <v>S</v>
      </c>
      <c r="H837" s="269" t="str">
        <f>IF(D837="","",VLOOKUP(F837,製品マスタ!$G$5:$K$5002,5,FALSE))</f>
        <v>MNGTBF</v>
      </c>
      <c r="I837" s="270" t="str">
        <f>IF(D837="","",VLOOKUP(F837,製品マスタ!$G$5:$L$5002,6,FALSE))</f>
        <v>メタルミー　ネーマー　銀艶　Ｂ</v>
      </c>
      <c r="J837" s="210" t="s">
        <v>935</v>
      </c>
      <c r="K837" s="270">
        <f>IF(D837="","",VLOOKUP(D837,契約台帳!$A$3:$L$4986,12,FALSE))</f>
        <v>50</v>
      </c>
      <c r="L837" s="270" t="str">
        <f>IF(D837="","",INDEX(製品マスタ!$Q$5:$Q$5002,MATCH('S4'!F837&amp;'S4'!K837,製品マスタ!$AO$5:$AO$5002,0)))</f>
        <v>T62</v>
      </c>
      <c r="M837" s="39">
        <v>1120</v>
      </c>
      <c r="N837" s="39">
        <v>5000</v>
      </c>
      <c r="O837" s="156">
        <v>1</v>
      </c>
      <c r="P837" s="47">
        <v>2</v>
      </c>
      <c r="Q837" s="213">
        <v>45131</v>
      </c>
      <c r="R837" s="271">
        <f ca="1">IF(D837="","",IF(OFFSET(D837,-1,0)&lt;&gt;"","",IF(OR(J837="リード付け",J837="巻足し",J837="巻返しリード付け"),M837,VLOOKUP(D837,契約台帳!$A$3:$N$4986,14,FALSE))))</f>
        <v>1120</v>
      </c>
      <c r="S837" s="272">
        <f ca="1">IF(D837="","",IF(OFFSET(D837,-1,0)&lt;&gt;"","",IF(OR(J837="リード付け",J837="巻足し",J837="巻返しリード付け"),M837,VLOOKUP(D837,契約台帳!$A$3:$O$4986,15,FALSE))))</f>
        <v>1120</v>
      </c>
      <c r="T837" s="273">
        <f ca="1">IF(D837="","",IF(J837="リード付け",N837,IF(J837="巻返しリード付け",N837,IF(J837="巻足し",N837*P837+OFFSET(N837,1,0)*OFFSET(P837,1,0),VLOOKUP(D837,契約台帳!$A$3:$P$4986,16,FALSE)))))</f>
        <v>10000</v>
      </c>
      <c r="U837" s="40">
        <v>1</v>
      </c>
      <c r="V837" s="274" t="str">
        <f ca="1">IF(D837="","",IF(OFFSET(D837,-2,0)=D837,"",VLOOKUP(D837,契約台帳!$A$3:$R$4986,18,FALSE)))</f>
        <v/>
      </c>
      <c r="W837" s="269" t="str">
        <f ca="1">IF(D837="","",IF(T837="","",IF(OR(J837="巻足し",J837="巻返しリード付け"),"",IF(J837="巻返し",VLOOKUP(F837&amp;K837&amp;M837,製品マスタ!$M$5:$AD$5002,18,FALSE),IF(OR(J837="リード付け",J837="巻返しリード付け"),"原反コア",IF(J837="スリット",VLOOKUP(F837&amp;K837&amp;R837,製品マスタ!$N$5:$AD$5002,17,FALSE),""))))))</f>
        <v/>
      </c>
      <c r="X837" s="269" t="str">
        <f ca="1">IF(D837="","",IF(T837="","",IF(J837="巻足し","",IF(J837="巻返し",VLOOKUP(F837&amp;K837&amp;M837,製品マスタ!$M$5:$AE$5002,19,FALSE),IF(OR(J837="リード付け",J837="巻返しリード付け"),"",IF(J837="スリット",VLOOKUP(F837&amp;K837&amp;R837,製品マスタ!$N$5:$AE$5002,18,FALSE),""))))))</f>
        <v/>
      </c>
      <c r="Y837" s="275">
        <f ca="1">IF(D837="","",IF(T837="","",VLOOKUP(D837,契約台帳!$A$3:$Q$4986,17,FALSE)))</f>
        <v>2</v>
      </c>
      <c r="Z837" s="269" t="str">
        <f ca="1">IF(D837="","",IF(T837="","",VLOOKUP(D837,契約台帳!$A$3:$E$4986,5,FALSE)))</f>
        <v>リンテック㈱</v>
      </c>
      <c r="AA837" s="57"/>
      <c r="AB837" s="207" t="str">
        <f>IFERROR((VLOOKUP(F837&amp;K837&amp;M837,製品マスタ!$M$5:$AM$5002,27,FALSE)),"")</f>
        <v>原反ケース再利用</v>
      </c>
      <c r="AC837" s="33"/>
      <c r="AD837" s="189"/>
      <c r="AE837" s="54"/>
      <c r="AF837" s="55">
        <f>+M837*N837*O837/1000</f>
        <v>5600</v>
      </c>
      <c r="AG837" s="43"/>
      <c r="AH837" s="47"/>
      <c r="AI837" s="30"/>
      <c r="AJ837" s="30"/>
      <c r="AK837" s="30"/>
      <c r="AL837" s="30"/>
      <c r="AM837" s="13"/>
      <c r="AN837" s="13"/>
      <c r="AO837" s="13"/>
      <c r="AP837" s="13"/>
      <c r="AQ837" s="13"/>
      <c r="AR837" s="14"/>
      <c r="AS837" s="15"/>
    </row>
    <row r="838" spans="1:45" s="17" customFormat="1" ht="30.95" hidden="1" customHeight="1" x14ac:dyDescent="0.2">
      <c r="A838" s="37"/>
      <c r="B838" s="38"/>
      <c r="C838" s="45"/>
      <c r="D838" s="31">
        <v>3721215</v>
      </c>
      <c r="E838" s="31"/>
      <c r="F838" s="268" t="str">
        <f>IF(D838="","",VLOOKUP(D838,契約台帳!$A$3:$K$4986,6,FALSE)&amp;VLOOKUP(D838,契約台帳!$A$3:$K$4986,7,FALSE)&amp;VLOOKUP(D838,契約台帳!$A$3:$K$4986,8,FALSE)&amp;VLOOKUP(D838,契約台帳!$A$3:$K$4986,9,FALSE)&amp;VLOOKUP(D838,契約台帳!$A$3:$K$4986,11,FALSE))</f>
        <v>3SNMLBMNGTBF</v>
      </c>
      <c r="G838" s="269" t="str">
        <f>IF(D838="","",VLOOKUP(F838,製品マスタ!$G$5:$H$5002,2,FALSE))</f>
        <v>S</v>
      </c>
      <c r="H838" s="269" t="str">
        <f>IF(D838="","",VLOOKUP(F838,製品マスタ!$G$5:$K$5002,5,FALSE))</f>
        <v>MNGTBF</v>
      </c>
      <c r="I838" s="270" t="str">
        <f>IF(D838="","",VLOOKUP(F838,製品マスタ!$G$5:$L$5002,6,FALSE))</f>
        <v>メタルミー　ネーマー　銀艶　Ｂ</v>
      </c>
      <c r="J838" s="210" t="s">
        <v>935</v>
      </c>
      <c r="K838" s="270">
        <f>IF(D838="","",VLOOKUP(D838,契約台帳!$A$3:$L$4986,12,FALSE))</f>
        <v>50</v>
      </c>
      <c r="L838" s="270" t="str">
        <f>IF(D838="","",INDEX(製品マスタ!$Q$5:$Q$5002,MATCH('S4'!F838&amp;'S4'!K838,製品マスタ!$AO$5:$AO$5002,0)))</f>
        <v>T62</v>
      </c>
      <c r="M838" s="39">
        <v>1120</v>
      </c>
      <c r="N838" s="39">
        <v>5000</v>
      </c>
      <c r="O838" s="156">
        <v>1</v>
      </c>
      <c r="P838" s="47"/>
      <c r="Q838" s="213">
        <v>45132</v>
      </c>
      <c r="R838" s="271" t="str">
        <f ca="1">IF(D838="","",IF(OFFSET(D838,-1,0)&lt;&gt;"","",IF(OR(J838="リード付け",J838="巻足し",J838="巻返しリード付け"),M838,VLOOKUP(D838,契約台帳!$A$3:$N$4986,14,FALSE))))</f>
        <v/>
      </c>
      <c r="S838" s="272" t="str">
        <f ca="1">IF(D838="","",IF(OFFSET(D838,-1,0)&lt;&gt;"","",IF(OR(J838="リード付け",J838="巻足し",J838="巻返しリード付け"),M838,VLOOKUP(D838,契約台帳!$A$3:$O$4986,15,FALSE))))</f>
        <v/>
      </c>
      <c r="T838" s="273">
        <f ca="1">IF(D838="","",IF(J838="リード付け",N838,IF(J838="巻返しリード付け",N838,IF(J838="巻足し",N838*P838+OFFSET(N838,1,0)*OFFSET(P838,1,0),VLOOKUP(D838,契約台帳!$A$3:$P$4986,16,FALSE)))))</f>
        <v>0</v>
      </c>
      <c r="U838" s="40"/>
      <c r="V838" s="274">
        <f ca="1">IF(D838="","",IF(OFFSET(D838,-2,0)=D838,"",VLOOKUP(D838,契約台帳!$A$3:$R$4986,18,FALSE)))</f>
        <v>13</v>
      </c>
      <c r="W838" s="269" t="str">
        <f ca="1">IF(D838="","",IF(T838="","",IF(OR(J838="巻足し",J838="巻返しリード付け"),"",IF(J838="巻返し",VLOOKUP(F838&amp;K838&amp;M838,製品マスタ!$M$5:$AD$5002,18,FALSE),IF(OR(J838="リード付け",J838="巻返しリード付け"),"原反コア",IF(J838="スリット",VLOOKUP(F838&amp;K838&amp;R838,製品マスタ!$N$5:$AD$5002,17,FALSE),""))))))</f>
        <v/>
      </c>
      <c r="X838" s="269" t="str">
        <f ca="1">IF(D838="","",IF(T838="","",IF(J838="巻足し","",IF(J838="巻返し",VLOOKUP(F838&amp;K838&amp;M838,製品マスタ!$M$5:$AE$5002,19,FALSE),IF(OR(J838="リード付け",J838="巻返しリード付け"),"",IF(J838="スリット",VLOOKUP(F838&amp;K838&amp;R838,製品マスタ!$N$5:$AE$5002,18,FALSE),""))))))</f>
        <v/>
      </c>
      <c r="Y838" s="275">
        <f ca="1">IF(D838="","",IF(T838="","",VLOOKUP(D838,契約台帳!$A$3:$Q$4986,17,FALSE)))</f>
        <v>2</v>
      </c>
      <c r="Z838" s="269" t="str">
        <f ca="1">IF(D838="","",IF(T838="","",VLOOKUP(D838,契約台帳!$A$3:$E$4986,5,FALSE)))</f>
        <v>リンテック㈱</v>
      </c>
      <c r="AA838" s="57"/>
      <c r="AB838" s="207" t="str">
        <f>IFERROR((VLOOKUP(F838&amp;K838&amp;M838,製品マスタ!$M$5:$AM$5002,27,FALSE)),"")</f>
        <v>原反ケース再利用</v>
      </c>
      <c r="AC838" s="33"/>
      <c r="AD838" s="189"/>
      <c r="AE838" s="54"/>
      <c r="AF838" s="55">
        <f>+M838*N838*O838/1000</f>
        <v>5600</v>
      </c>
      <c r="AG838" s="43"/>
      <c r="AH838" s="47"/>
      <c r="AI838" s="30"/>
      <c r="AJ838" s="30"/>
      <c r="AK838" s="30"/>
      <c r="AL838" s="30"/>
      <c r="AM838" s="13"/>
      <c r="AN838" s="13"/>
      <c r="AO838" s="13"/>
      <c r="AP838" s="13"/>
      <c r="AQ838" s="13"/>
      <c r="AR838" s="14"/>
      <c r="AS838" s="15"/>
    </row>
    <row r="839" spans="1:45" s="17" customFormat="1" ht="30.95" hidden="1" customHeight="1" x14ac:dyDescent="0.2">
      <c r="A839" s="37"/>
      <c r="B839" s="38"/>
      <c r="C839" s="45"/>
      <c r="D839" s="31"/>
      <c r="E839" s="31"/>
      <c r="F839" s="268"/>
      <c r="G839" s="269"/>
      <c r="H839" s="269"/>
      <c r="I839" s="270"/>
      <c r="J839" s="210"/>
      <c r="K839" s="270"/>
      <c r="L839" s="270"/>
      <c r="M839" s="39"/>
      <c r="N839" s="39"/>
      <c r="O839" s="156"/>
      <c r="P839" s="47"/>
      <c r="Q839" s="57"/>
      <c r="R839" s="271"/>
      <c r="S839" s="272"/>
      <c r="T839" s="273"/>
      <c r="U839" s="40"/>
      <c r="V839" s="274"/>
      <c r="W839" s="269"/>
      <c r="X839" s="269"/>
      <c r="Y839" s="275"/>
      <c r="Z839" s="269"/>
      <c r="AA839" s="57"/>
      <c r="AB839" s="207" t="str">
        <f>IFERROR((VLOOKUP(F839&amp;K839&amp;M839,製品マスタ!$M$5:$AM$5002,27,FALSE)),"")</f>
        <v/>
      </c>
      <c r="AC839" s="33"/>
      <c r="AD839" s="189"/>
      <c r="AE839" s="54"/>
      <c r="AF839" s="55"/>
      <c r="AG839" s="43"/>
      <c r="AH839" s="47"/>
      <c r="AI839" s="30"/>
      <c r="AJ839" s="30"/>
      <c r="AK839" s="30"/>
      <c r="AL839" s="30"/>
      <c r="AM839" s="13"/>
      <c r="AN839" s="13"/>
      <c r="AO839" s="13"/>
      <c r="AP839" s="13"/>
      <c r="AQ839" s="13"/>
      <c r="AR839" s="14"/>
      <c r="AS839" s="15"/>
    </row>
    <row r="840" spans="1:45" s="17" customFormat="1" ht="30.75" hidden="1" customHeight="1" x14ac:dyDescent="0.2">
      <c r="A840" s="37"/>
      <c r="B840" s="38"/>
      <c r="C840" s="45"/>
      <c r="D840" s="31">
        <v>3721215</v>
      </c>
      <c r="E840" s="31">
        <v>4162003</v>
      </c>
      <c r="F840" s="268" t="str">
        <f>IF(D840="","",VLOOKUP(D840,契約台帳!$A$3:$K$4986,6,FALSE)&amp;VLOOKUP(D840,契約台帳!$A$3:$K$4986,7,FALSE)&amp;VLOOKUP(D840,契約台帳!$A$3:$K$4986,8,FALSE)&amp;VLOOKUP(D840,契約台帳!$A$3:$K$4986,9,FALSE)&amp;VLOOKUP(D840,契約台帳!$A$3:$K$4986,11,FALSE))</f>
        <v>3SNMLBMNGTBF</v>
      </c>
      <c r="G840" s="269" t="str">
        <f>IF(D840="","",VLOOKUP(F840,製品マスタ!$G$5:$H$5002,2,FALSE))</f>
        <v>S</v>
      </c>
      <c r="H840" s="269" t="str">
        <f>IF(D840="","",VLOOKUP(F840,製品マスタ!$G$5:$K$5002,5,FALSE))</f>
        <v>MNGTBF</v>
      </c>
      <c r="I840" s="270" t="str">
        <f>IF(D840="","",VLOOKUP(F840,製品マスタ!$G$5:$L$5002,6,FALSE))</f>
        <v>メタルミー　ネーマー　銀艶　Ｂ</v>
      </c>
      <c r="J840" s="210" t="s">
        <v>935</v>
      </c>
      <c r="K840" s="270">
        <f>IF(D840="","",VLOOKUP(D840,契約台帳!$A$3:$L$4986,12,FALSE))</f>
        <v>50</v>
      </c>
      <c r="L840" s="270" t="str">
        <f>IF(D840="","",INDEX(製品マスタ!$Q$5:$Q$5002,MATCH('S4'!F840&amp;'S4'!K840,製品マスタ!$AO$5:$AO$5002,0)))</f>
        <v>T62</v>
      </c>
      <c r="M840" s="39">
        <v>1120</v>
      </c>
      <c r="N840" s="39">
        <v>5000</v>
      </c>
      <c r="O840" s="156">
        <v>4</v>
      </c>
      <c r="P840" s="47">
        <v>2</v>
      </c>
      <c r="Q840" s="213">
        <v>45132</v>
      </c>
      <c r="R840" s="271">
        <f ca="1">IF(D840="","",IF(OFFSET(D840,-1,0)&lt;&gt;"","",IF(OR(J840="リード付け",J840="巻足し",J840="巻返しリード付け"),M840,VLOOKUP(D840,契約台帳!$A$3:$N$4986,14,FALSE))))</f>
        <v>1120</v>
      </c>
      <c r="S840" s="272">
        <f ca="1">IF(D840="","",IF(OFFSET(D840,-1,0)&lt;&gt;"","",IF(OR(J840="リード付け",J840="巻足し",J840="巻返しリード付け"),M840,VLOOKUP(D840,契約台帳!$A$3:$O$4986,15,FALSE))))</f>
        <v>1120</v>
      </c>
      <c r="T840" s="273">
        <f ca="1">IF(D840="","",IF(J840="リード付け",N840,IF(J840="巻返しリード付け",N840,IF(J840="巻足し",N840*P840+OFFSET(N840,1,0)*OFFSET(P840,1,0),VLOOKUP(D840,契約台帳!$A$3:$P$4986,16,FALSE)))))</f>
        <v>10000</v>
      </c>
      <c r="U840" s="40">
        <v>2</v>
      </c>
      <c r="V840" s="274" t="str">
        <f ca="1">IF(D840="","",IF(OFFSET(D840,-2,0)=D840,"",VLOOKUP(D840,契約台帳!$A$3:$R$4986,18,FALSE)))</f>
        <v/>
      </c>
      <c r="W840" s="269" t="str">
        <f ca="1">IF(D840="","",IF(T840="","",IF(OR(J840="巻足し",J840="巻返しリード付け"),"",IF(J840="巻返し",VLOOKUP(F840&amp;K840&amp;M840,製品マスタ!$M$5:$AD$5002,18,FALSE),IF(OR(J840="リード付け",J840="巻返しリード付け"),"原反コア",IF(J840="スリット",VLOOKUP(F840&amp;K840&amp;R840,製品マスタ!$N$5:$AD$5002,17,FALSE),""))))))</f>
        <v/>
      </c>
      <c r="X840" s="269" t="str">
        <f ca="1">IF(D840="","",IF(T840="","",IF(J840="巻足し","",IF(J840="巻返し",VLOOKUP(F840&amp;K840&amp;M840,製品マスタ!$M$5:$AE$5002,19,FALSE),IF(OR(J840="リード付け",J840="巻返しリード付け"),"",IF(J840="スリット",VLOOKUP(F840&amp;K840&amp;R840,製品マスタ!$N$5:$AE$5002,18,FALSE),""))))))</f>
        <v/>
      </c>
      <c r="Y840" s="275">
        <f ca="1">IF(D840="","",IF(T840="","",VLOOKUP(D840,契約台帳!$A$3:$Q$4986,17,FALSE)))</f>
        <v>2</v>
      </c>
      <c r="Z840" s="269" t="str">
        <f ca="1">IF(D840="","",IF(T840="","",VLOOKUP(D840,契約台帳!$A$3:$E$4986,5,FALSE)))</f>
        <v>リンテック㈱</v>
      </c>
      <c r="AA840" s="57"/>
      <c r="AB840" s="207" t="str">
        <f>IFERROR((VLOOKUP(F840&amp;K840&amp;M840,製品マスタ!$M$5:$AM$5002,27,FALSE)),"")</f>
        <v>原反ケース再利用</v>
      </c>
      <c r="AC840" s="33"/>
      <c r="AD840" s="189"/>
      <c r="AE840" s="54"/>
      <c r="AF840" s="55">
        <f>+M840*N840*O840/1000</f>
        <v>22400</v>
      </c>
      <c r="AG840" s="43"/>
      <c r="AH840" s="47"/>
      <c r="AI840" s="30"/>
      <c r="AJ840" s="30"/>
      <c r="AK840" s="30"/>
      <c r="AL840" s="30"/>
      <c r="AM840" s="13"/>
      <c r="AN840" s="13"/>
      <c r="AO840" s="13"/>
      <c r="AP840" s="13"/>
      <c r="AQ840" s="13"/>
      <c r="AR840" s="14"/>
      <c r="AS840" s="15"/>
    </row>
    <row r="841" spans="1:45" s="17" customFormat="1" ht="30.95" hidden="1" customHeight="1" x14ac:dyDescent="0.2">
      <c r="A841" s="37"/>
      <c r="B841" s="38"/>
      <c r="C841" s="45"/>
      <c r="D841" s="31"/>
      <c r="E841" s="31"/>
      <c r="F841" s="268"/>
      <c r="G841" s="269"/>
      <c r="H841" s="269"/>
      <c r="I841" s="270"/>
      <c r="J841" s="210"/>
      <c r="K841" s="270"/>
      <c r="L841" s="270"/>
      <c r="M841" s="39"/>
      <c r="N841" s="39"/>
      <c r="O841" s="156"/>
      <c r="P841" s="47"/>
      <c r="Q841" s="57"/>
      <c r="R841" s="271"/>
      <c r="S841" s="272"/>
      <c r="T841" s="273"/>
      <c r="U841" s="40"/>
      <c r="V841" s="274"/>
      <c r="W841" s="269"/>
      <c r="X841" s="269"/>
      <c r="Y841" s="275"/>
      <c r="Z841" s="269"/>
      <c r="AA841" s="57"/>
      <c r="AB841" s="207" t="str">
        <f>IFERROR((VLOOKUP(F841&amp;K841&amp;M841,製品マスタ!$M$5:$AM$5002,27,FALSE)),"")</f>
        <v/>
      </c>
      <c r="AC841" s="33"/>
      <c r="AD841" s="189"/>
      <c r="AE841" s="54"/>
      <c r="AF841" s="55"/>
      <c r="AG841" s="43"/>
      <c r="AH841" s="47"/>
      <c r="AI841" s="30"/>
      <c r="AJ841" s="30"/>
      <c r="AK841" s="30"/>
      <c r="AL841" s="30"/>
      <c r="AM841" s="13"/>
      <c r="AN841" s="13"/>
      <c r="AO841" s="13"/>
      <c r="AP841" s="13"/>
      <c r="AQ841" s="13"/>
      <c r="AR841" s="14"/>
      <c r="AS841" s="15"/>
    </row>
    <row r="842" spans="1:45" s="17" customFormat="1" ht="30.75" hidden="1" customHeight="1" x14ac:dyDescent="0.2">
      <c r="A842" s="37" t="s">
        <v>1339</v>
      </c>
      <c r="B842" s="38" t="s">
        <v>1340</v>
      </c>
      <c r="C842" s="45"/>
      <c r="D842" s="31">
        <v>3721215</v>
      </c>
      <c r="E842" s="31">
        <v>4162003</v>
      </c>
      <c r="F842" s="268" t="str">
        <f>IF(D842="","",VLOOKUP(D842,契約台帳!$A$3:$K$4986,6,FALSE)&amp;VLOOKUP(D842,契約台帳!$A$3:$K$4986,7,FALSE)&amp;VLOOKUP(D842,契約台帳!$A$3:$K$4986,8,FALSE)&amp;VLOOKUP(D842,契約台帳!$A$3:$K$4986,9,FALSE)&amp;VLOOKUP(D842,契約台帳!$A$3:$K$4986,11,FALSE))</f>
        <v>3SNMLBMNGTBF</v>
      </c>
      <c r="G842" s="269" t="str">
        <f>IF(D842="","",VLOOKUP(F842,製品マスタ!$G$5:$H$5002,2,FALSE))</f>
        <v>S</v>
      </c>
      <c r="H842" s="269" t="str">
        <f>IF(D842="","",VLOOKUP(F842,製品マスタ!$G$5:$K$5002,5,FALSE))</f>
        <v>MNGTBF</v>
      </c>
      <c r="I842" s="270" t="str">
        <f>IF(D842="","",VLOOKUP(F842,製品マスタ!$G$5:$L$5002,6,FALSE))</f>
        <v>メタルミー　ネーマー　銀艶　Ｂ</v>
      </c>
      <c r="J842" s="210" t="s">
        <v>935</v>
      </c>
      <c r="K842" s="270">
        <f>IF(D842="","",VLOOKUP(D842,契約台帳!$A$3:$L$4986,12,FALSE))</f>
        <v>50</v>
      </c>
      <c r="L842" s="270" t="str">
        <f>IF(D842="","",INDEX(製品マスタ!$Q$5:$Q$5002,MATCH('S4'!F842&amp;'S4'!K842,製品マスタ!$AO$5:$AO$5002,0)))</f>
        <v>T62</v>
      </c>
      <c r="M842" s="39">
        <v>1120</v>
      </c>
      <c r="N842" s="39">
        <v>5000</v>
      </c>
      <c r="O842" s="156">
        <v>8</v>
      </c>
      <c r="P842" s="47">
        <v>2</v>
      </c>
      <c r="Q842" s="213">
        <v>45132</v>
      </c>
      <c r="R842" s="271">
        <f ca="1">IF(D842="","",IF(OFFSET(D842,-1,0)&lt;&gt;"","",IF(OR(J842="リード付け",J842="巻足し",J842="巻返しリード付け"),M842,VLOOKUP(D842,契約台帳!$A$3:$N$4986,14,FALSE))))</f>
        <v>1120</v>
      </c>
      <c r="S842" s="272">
        <f ca="1">IF(D842="","",IF(OFFSET(D842,-1,0)&lt;&gt;"","",IF(OR(J842="リード付け",J842="巻足し",J842="巻返しリード付け"),M842,VLOOKUP(D842,契約台帳!$A$3:$O$4986,15,FALSE))))</f>
        <v>1120</v>
      </c>
      <c r="T842" s="273">
        <f ca="1">IF(D842="","",IF(J842="リード付け",N842,IF(J842="巻返しリード付け",N842,IF(J842="巻足し",N842*P842+OFFSET(N842,1,0)*OFFSET(P842,1,0),VLOOKUP(D842,契約台帳!$A$3:$P$4986,16,FALSE)))))</f>
        <v>10000</v>
      </c>
      <c r="U842" s="40">
        <v>4</v>
      </c>
      <c r="V842" s="274" t="str">
        <f ca="1">IF(D842="","",IF(OFFSET(D842,-2,0)=D842,"",VLOOKUP(D842,契約台帳!$A$3:$R$4986,18,FALSE)))</f>
        <v/>
      </c>
      <c r="W842" s="269" t="str">
        <f ca="1">IF(D842="","",IF(T842="","",IF(OR(J842="巻足し",J842="巻返しリード付け"),"",IF(J842="巻返し",VLOOKUP(F842&amp;K842&amp;M842,製品マスタ!$M$5:$AD$5002,18,FALSE),IF(OR(J842="リード付け",J842="巻返しリード付け"),"原反コア",IF(J842="スリット",VLOOKUP(F842&amp;K842&amp;R842,製品マスタ!$N$5:$AD$5002,17,FALSE),""))))))</f>
        <v/>
      </c>
      <c r="X842" s="269" t="str">
        <f ca="1">IF(D842="","",IF(T842="","",IF(J842="巻足し","",IF(J842="巻返し",VLOOKUP(F842&amp;K842&amp;M842,製品マスタ!$M$5:$AE$5002,19,FALSE),IF(OR(J842="リード付け",J842="巻返しリード付け"),"",IF(J842="スリット",VLOOKUP(F842&amp;K842&amp;R842,製品マスタ!$N$5:$AE$5002,18,FALSE),""))))))</f>
        <v/>
      </c>
      <c r="Y842" s="275">
        <f ca="1">IF(D842="","",IF(T842="","",VLOOKUP(D842,契約台帳!$A$3:$Q$4986,17,FALSE)))</f>
        <v>2</v>
      </c>
      <c r="Z842" s="269" t="str">
        <f ca="1">IF(D842="","",IF(T842="","",VLOOKUP(D842,契約台帳!$A$3:$E$4986,5,FALSE)))</f>
        <v>リンテック㈱</v>
      </c>
      <c r="AA842" s="57"/>
      <c r="AB842" s="207" t="str">
        <f>IFERROR((VLOOKUP(F842&amp;K842&amp;M842,製品マスタ!$M$5:$AM$5002,27,FALSE)),"")</f>
        <v>原反ケース再利用</v>
      </c>
      <c r="AC842" s="33"/>
      <c r="AD842" s="189"/>
      <c r="AE842" s="54"/>
      <c r="AF842" s="55">
        <f>+M842*N842*O842/1000</f>
        <v>44800</v>
      </c>
      <c r="AG842" s="43"/>
      <c r="AH842" s="47"/>
      <c r="AI842" s="30"/>
      <c r="AJ842" s="30"/>
      <c r="AK842" s="30"/>
      <c r="AL842" s="30"/>
      <c r="AM842" s="13"/>
      <c r="AN842" s="13"/>
      <c r="AO842" s="13"/>
      <c r="AP842" s="13"/>
      <c r="AQ842" s="13"/>
      <c r="AR842" s="14"/>
      <c r="AS842" s="15"/>
    </row>
    <row r="843" spans="1:45" s="17" customFormat="1" ht="30.95" hidden="1" customHeight="1" x14ac:dyDescent="0.2">
      <c r="A843" s="37"/>
      <c r="B843" s="38"/>
      <c r="C843" s="45"/>
      <c r="D843" s="31"/>
      <c r="E843" s="31"/>
      <c r="F843" s="268"/>
      <c r="G843" s="269"/>
      <c r="H843" s="269"/>
      <c r="I843" s="270"/>
      <c r="J843" s="210"/>
      <c r="K843" s="270"/>
      <c r="L843" s="270"/>
      <c r="M843" s="39"/>
      <c r="N843" s="39"/>
      <c r="O843" s="156"/>
      <c r="P843" s="47"/>
      <c r="Q843" s="57"/>
      <c r="R843" s="271"/>
      <c r="S843" s="272"/>
      <c r="T843" s="273"/>
      <c r="U843" s="40"/>
      <c r="V843" s="274"/>
      <c r="W843" s="269"/>
      <c r="X843" s="269"/>
      <c r="Y843" s="275"/>
      <c r="Z843" s="269"/>
      <c r="AA843" s="57"/>
      <c r="AB843" s="207"/>
      <c r="AC843" s="33"/>
      <c r="AD843" s="189"/>
      <c r="AE843" s="54"/>
      <c r="AF843" s="55"/>
      <c r="AG843" s="43"/>
      <c r="AH843" s="47"/>
      <c r="AI843" s="30"/>
      <c r="AJ843" s="30"/>
      <c r="AK843" s="30"/>
      <c r="AL843" s="30"/>
      <c r="AM843" s="13"/>
      <c r="AN843" s="13"/>
      <c r="AO843" s="13"/>
      <c r="AP843" s="13"/>
      <c r="AQ843" s="13"/>
      <c r="AR843" s="14"/>
      <c r="AS843" s="15"/>
    </row>
    <row r="844" spans="1:45" s="17" customFormat="1" ht="30.95" hidden="1" customHeight="1" x14ac:dyDescent="0.2">
      <c r="A844" s="37"/>
      <c r="B844" s="38"/>
      <c r="C844" s="45"/>
      <c r="D844" s="31">
        <v>3721216</v>
      </c>
      <c r="E844" s="31">
        <v>4162004</v>
      </c>
      <c r="F844" s="268" t="str">
        <f>IF(D844="","",VLOOKUP(D844,契約台帳!$A$3:$K$4986,6,FALSE)&amp;VLOOKUP(D844,契約台帳!$A$3:$K$4986,7,FALSE)&amp;VLOOKUP(D844,契約台帳!$A$3:$K$4986,8,FALSE)&amp;VLOOKUP(D844,契約台帳!$A$3:$K$4986,9,FALSE)&amp;VLOOKUP(D844,契約台帳!$A$3:$K$4986,11,FALSE))</f>
        <v>3SNMLBMNGTBF</v>
      </c>
      <c r="G844" s="269" t="str">
        <f>IF(D844="","",VLOOKUP(F844,製品マスタ!$G$5:$H$5002,2,FALSE))</f>
        <v>S</v>
      </c>
      <c r="H844" s="269" t="str">
        <f>IF(D844="","",VLOOKUP(F844,製品マスタ!$G$5:$K$5002,5,FALSE))</f>
        <v>MNGTBF</v>
      </c>
      <c r="I844" s="270" t="str">
        <f>IF(D844="","",VLOOKUP(F844,製品マスタ!$G$5:$L$5002,6,FALSE))</f>
        <v>メタルミー　ネーマー　銀艶　Ｂ</v>
      </c>
      <c r="J844" s="210" t="s">
        <v>935</v>
      </c>
      <c r="K844" s="270">
        <f>IF(D844="","",VLOOKUP(D844,契約台帳!$A$3:$L$4986,12,FALSE))</f>
        <v>50</v>
      </c>
      <c r="L844" s="270" t="str">
        <f>IF(D844="","",INDEX(製品マスタ!$Q$5:$Q$5002,MATCH('S4'!F844&amp;'S4'!K844,製品マスタ!$AO$5:$AO$5002,0)))</f>
        <v>T62</v>
      </c>
      <c r="M844" s="39">
        <v>1120</v>
      </c>
      <c r="N844" s="39">
        <v>5000</v>
      </c>
      <c r="O844" s="156">
        <v>8</v>
      </c>
      <c r="P844" s="47">
        <v>2</v>
      </c>
      <c r="Q844" s="213">
        <v>45132</v>
      </c>
      <c r="R844" s="271">
        <f ca="1">IF(D844="","",IF(OFFSET(D844,-1,0)&lt;&gt;"","",IF(OR(J844="リード付け",J844="巻足し",J844="巻返しリード付け"),M844,VLOOKUP(D844,契約台帳!$A$3:$N$4986,14,FALSE))))</f>
        <v>1120</v>
      </c>
      <c r="S844" s="272">
        <f ca="1">IF(D844="","",IF(OFFSET(D844,-1,0)&lt;&gt;"","",IF(OR(J844="リード付け",J844="巻足し",J844="巻返しリード付け"),M844,VLOOKUP(D844,契約台帳!$A$3:$O$4986,15,FALSE))))</f>
        <v>1120</v>
      </c>
      <c r="T844" s="273">
        <f ca="1">IF(D844="","",IF(J844="リード付け",N844,IF(J844="巻返しリード付け",N844,IF(J844="巻足し",N844*P844+OFFSET(N844,1,0)*OFFSET(P844,1,0),VLOOKUP(D844,契約台帳!$A$3:$P$4986,16,FALSE)))))</f>
        <v>10000</v>
      </c>
      <c r="U844" s="40">
        <v>4</v>
      </c>
      <c r="V844" s="274">
        <f ca="1">IF(D844="","",IF(OFFSET(D844,-2,0)=D844,"",VLOOKUP(D844,契約台帳!$A$3:$R$4986,18,FALSE)))</f>
        <v>25</v>
      </c>
      <c r="W844" s="269" t="str">
        <f ca="1">IF(D844="","",IF(T844="","",IF(OR(J844="巻足し",J844="巻返しリード付け"),"",IF(J844="巻返し",VLOOKUP(F844&amp;K844&amp;M844,製品マスタ!$M$5:$AD$5002,18,FALSE),IF(OR(J844="リード付け",J844="巻返しリード付け"),"原反コア",IF(J844="スリット",VLOOKUP(F844&amp;K844&amp;R844,製品マスタ!$N$5:$AD$5002,17,FALSE),""))))))</f>
        <v/>
      </c>
      <c r="X844" s="269" t="str">
        <f ca="1">IF(D844="","",IF(T844="","",IF(J844="巻足し","",IF(J844="巻返し",VLOOKUP(F844&amp;K844&amp;M844,製品マスタ!$M$5:$AE$5002,19,FALSE),IF(OR(J844="リード付け",J844="巻返しリード付け"),"",IF(J844="スリット",VLOOKUP(F844&amp;K844&amp;R844,製品マスタ!$N$5:$AE$5002,18,FALSE),""))))))</f>
        <v/>
      </c>
      <c r="Y844" s="275">
        <f ca="1">IF(D844="","",IF(T844="","",VLOOKUP(D844,契約台帳!$A$3:$Q$4986,17,FALSE)))</f>
        <v>2</v>
      </c>
      <c r="Z844" s="269" t="str">
        <f ca="1">IF(D844="","",IF(T844="","",VLOOKUP(D844,契約台帳!$A$3:$E$4986,5,FALSE)))</f>
        <v>リンテック㈱</v>
      </c>
      <c r="AA844" s="57"/>
      <c r="AB844" s="207" t="str">
        <f>IFERROR((VLOOKUP(F844&amp;K844&amp;M844,製品マスタ!$M$5:$AM$5002,27,FALSE)),"")</f>
        <v>原反ケース再利用</v>
      </c>
      <c r="AC844" s="33"/>
      <c r="AD844" s="189"/>
      <c r="AE844" s="54"/>
      <c r="AF844" s="55">
        <f>+M844*N844*O844/1000</f>
        <v>44800</v>
      </c>
      <c r="AG844" s="43"/>
      <c r="AH844" s="47"/>
      <c r="AI844" s="30"/>
      <c r="AJ844" s="30"/>
      <c r="AK844" s="30"/>
      <c r="AL844" s="30"/>
      <c r="AM844" s="13"/>
      <c r="AN844" s="13"/>
      <c r="AO844" s="13"/>
      <c r="AP844" s="13"/>
      <c r="AQ844" s="13"/>
      <c r="AR844" s="14"/>
      <c r="AS844" s="15"/>
    </row>
    <row r="845" spans="1:45" s="17" customFormat="1" ht="30.95" hidden="1" customHeight="1" x14ac:dyDescent="0.2">
      <c r="A845" s="37"/>
      <c r="B845" s="38"/>
      <c r="C845" s="45"/>
      <c r="D845" s="31"/>
      <c r="E845" s="31"/>
      <c r="F845" s="268"/>
      <c r="G845" s="269"/>
      <c r="H845" s="269"/>
      <c r="I845" s="270"/>
      <c r="J845" s="210"/>
      <c r="K845" s="270"/>
      <c r="L845" s="270"/>
      <c r="M845" s="39"/>
      <c r="N845" s="39"/>
      <c r="O845" s="156"/>
      <c r="P845" s="47"/>
      <c r="Q845" s="57"/>
      <c r="R845" s="271"/>
      <c r="S845" s="272"/>
      <c r="T845" s="273"/>
      <c r="U845" s="40"/>
      <c r="V845" s="274"/>
      <c r="W845" s="269"/>
      <c r="X845" s="269"/>
      <c r="Y845" s="275"/>
      <c r="Z845" s="269"/>
      <c r="AA845" s="57"/>
      <c r="AB845" s="207"/>
      <c r="AC845" s="33"/>
      <c r="AD845" s="189"/>
      <c r="AE845" s="54"/>
      <c r="AF845" s="55"/>
      <c r="AG845" s="43"/>
      <c r="AH845" s="47"/>
      <c r="AI845" s="30"/>
      <c r="AJ845" s="30"/>
      <c r="AK845" s="30"/>
      <c r="AL845" s="30"/>
      <c r="AM845" s="13"/>
      <c r="AN845" s="13"/>
      <c r="AO845" s="13"/>
      <c r="AP845" s="13"/>
      <c r="AQ845" s="13"/>
      <c r="AR845" s="14"/>
      <c r="AS845" s="15"/>
    </row>
    <row r="846" spans="1:45" s="17" customFormat="1" ht="30.95" hidden="1" customHeight="1" x14ac:dyDescent="0.2">
      <c r="A846" s="37" t="s">
        <v>1341</v>
      </c>
      <c r="B846" s="38" t="s">
        <v>1342</v>
      </c>
      <c r="C846" s="45"/>
      <c r="D846" s="31">
        <v>3721216</v>
      </c>
      <c r="E846" s="31">
        <v>4162004</v>
      </c>
      <c r="F846" s="268" t="str">
        <f>IF(D846="","",VLOOKUP(D846,契約台帳!$A$3:$K$4986,6,FALSE)&amp;VLOOKUP(D846,契約台帳!$A$3:$K$4986,7,FALSE)&amp;VLOOKUP(D846,契約台帳!$A$3:$K$4986,8,FALSE)&amp;VLOOKUP(D846,契約台帳!$A$3:$K$4986,9,FALSE)&amp;VLOOKUP(D846,契約台帳!$A$3:$K$4986,11,FALSE))</f>
        <v>3SNMLBMNGTBF</v>
      </c>
      <c r="G846" s="269" t="str">
        <f>IF(D846="","",VLOOKUP(F846,製品マスタ!$G$5:$H$5002,2,FALSE))</f>
        <v>S</v>
      </c>
      <c r="H846" s="269" t="str">
        <f>IF(D846="","",VLOOKUP(F846,製品マスタ!$G$5:$K$5002,5,FALSE))</f>
        <v>MNGTBF</v>
      </c>
      <c r="I846" s="270" t="str">
        <f>IF(D846="","",VLOOKUP(F846,製品マスタ!$G$5:$L$5002,6,FALSE))</f>
        <v>メタルミー　ネーマー　銀艶　Ｂ</v>
      </c>
      <c r="J846" s="210" t="s">
        <v>935</v>
      </c>
      <c r="K846" s="270">
        <f>IF(D846="","",VLOOKUP(D846,契約台帳!$A$3:$L$4986,12,FALSE))</f>
        <v>50</v>
      </c>
      <c r="L846" s="270" t="str">
        <f>IF(D846="","",INDEX(製品マスタ!$Q$5:$Q$5002,MATCH('S4'!F846&amp;'S4'!K846,製品マスタ!$AO$5:$AO$5002,0)))</f>
        <v>T62</v>
      </c>
      <c r="M846" s="39">
        <v>1120</v>
      </c>
      <c r="N846" s="39">
        <v>5000</v>
      </c>
      <c r="O846" s="156">
        <v>16</v>
      </c>
      <c r="P846" s="47">
        <v>2</v>
      </c>
      <c r="Q846" s="213">
        <v>45132</v>
      </c>
      <c r="R846" s="271">
        <f ca="1">IF(D846="","",IF(OFFSET(D846,-1,0)&lt;&gt;"","",IF(OR(J846="リード付け",J846="巻足し",J846="巻返しリード付け"),M846,VLOOKUP(D846,契約台帳!$A$3:$N$4986,14,FALSE))))</f>
        <v>1120</v>
      </c>
      <c r="S846" s="272">
        <f ca="1">IF(D846="","",IF(OFFSET(D846,-1,0)&lt;&gt;"","",IF(OR(J846="リード付け",J846="巻足し",J846="巻返しリード付け"),M846,VLOOKUP(D846,契約台帳!$A$3:$O$4986,15,FALSE))))</f>
        <v>1120</v>
      </c>
      <c r="T846" s="273">
        <f ca="1">IF(D846="","",IF(J846="リード付け",N846,IF(J846="巻返しリード付け",N846,IF(J846="巻足し",N846*P846+OFFSET(N846,1,0)*OFFSET(P846,1,0),VLOOKUP(D846,契約台帳!$A$3:$P$4986,16,FALSE)))))</f>
        <v>10000</v>
      </c>
      <c r="U846" s="40">
        <v>8</v>
      </c>
      <c r="V846" s="274" t="str">
        <f ca="1">IF(D846="","",IF(OFFSET(D846,-2,0)=D846,"",VLOOKUP(D846,契約台帳!$A$3:$R$4986,18,FALSE)))</f>
        <v/>
      </c>
      <c r="W846" s="269" t="str">
        <f ca="1">IF(D846="","",IF(T846="","",IF(OR(J846="巻足し",J846="巻返しリード付け"),"",IF(J846="巻返し",VLOOKUP(F846&amp;K846&amp;M846,製品マスタ!$M$5:$AD$5002,18,FALSE),IF(OR(J846="リード付け",J846="巻返しリード付け"),"原反コア",IF(J846="スリット",VLOOKUP(F846&amp;K846&amp;R846,製品マスタ!$N$5:$AD$5002,17,FALSE),""))))))</f>
        <v/>
      </c>
      <c r="X846" s="269" t="str">
        <f ca="1">IF(D846="","",IF(T846="","",IF(J846="巻足し","",IF(J846="巻返し",VLOOKUP(F846&amp;K846&amp;M846,製品マスタ!$M$5:$AE$5002,19,FALSE),IF(OR(J846="リード付け",J846="巻返しリード付け"),"",IF(J846="スリット",VLOOKUP(F846&amp;K846&amp;R846,製品マスタ!$N$5:$AE$5002,18,FALSE),""))))))</f>
        <v/>
      </c>
      <c r="Y846" s="275">
        <f ca="1">IF(D846="","",IF(T846="","",VLOOKUP(D846,契約台帳!$A$3:$Q$4986,17,FALSE)))</f>
        <v>2</v>
      </c>
      <c r="Z846" s="269" t="str">
        <f ca="1">IF(D846="","",IF(T846="","",VLOOKUP(D846,契約台帳!$A$3:$E$4986,5,FALSE)))</f>
        <v>リンテック㈱</v>
      </c>
      <c r="AA846" s="57"/>
      <c r="AB846" s="207" t="str">
        <f>IFERROR((VLOOKUP(F846&amp;K846&amp;M846,製品マスタ!$M$5:$AM$5002,27,FALSE)),"")</f>
        <v>原反ケース再利用</v>
      </c>
      <c r="AC846" s="33"/>
      <c r="AD846" s="189"/>
      <c r="AE846" s="54"/>
      <c r="AF846" s="55">
        <f>+M846*N846*O846/1000</f>
        <v>89600</v>
      </c>
      <c r="AG846" s="43"/>
      <c r="AH846" s="47"/>
      <c r="AI846" s="30"/>
      <c r="AJ846" s="30"/>
      <c r="AK846" s="30"/>
      <c r="AL846" s="30"/>
      <c r="AM846" s="13"/>
      <c r="AN846" s="13"/>
      <c r="AO846" s="13"/>
      <c r="AP846" s="13"/>
      <c r="AQ846" s="13"/>
      <c r="AR846" s="14"/>
      <c r="AS846" s="15"/>
    </row>
    <row r="847" spans="1:45" s="17" customFormat="1" ht="30.95" hidden="1" customHeight="1" x14ac:dyDescent="0.2">
      <c r="A847" s="37"/>
      <c r="B847" s="38"/>
      <c r="C847" s="45"/>
      <c r="D847" s="31"/>
      <c r="E847" s="31"/>
      <c r="F847" s="268"/>
      <c r="G847" s="269"/>
      <c r="H847" s="269"/>
      <c r="I847" s="270"/>
      <c r="J847" s="210"/>
      <c r="K847" s="270"/>
      <c r="L847" s="270"/>
      <c r="M847" s="39"/>
      <c r="N847" s="39"/>
      <c r="O847" s="156"/>
      <c r="P847" s="47"/>
      <c r="Q847" s="57"/>
      <c r="R847" s="271"/>
      <c r="S847" s="272"/>
      <c r="T847" s="273"/>
      <c r="U847" s="40"/>
      <c r="V847" s="274"/>
      <c r="W847" s="269"/>
      <c r="X847" s="269"/>
      <c r="Y847" s="275"/>
      <c r="Z847" s="269"/>
      <c r="AA847" s="57"/>
      <c r="AB847" s="207"/>
      <c r="AC847" s="33"/>
      <c r="AD847" s="189"/>
      <c r="AE847" s="54"/>
      <c r="AF847" s="55"/>
      <c r="AG847" s="43"/>
      <c r="AH847" s="47"/>
      <c r="AI847" s="30"/>
      <c r="AJ847" s="30"/>
      <c r="AK847" s="30"/>
      <c r="AL847" s="30"/>
      <c r="AM847" s="13"/>
      <c r="AN847" s="13"/>
      <c r="AO847" s="13"/>
      <c r="AP847" s="13"/>
      <c r="AQ847" s="13"/>
      <c r="AR847" s="14"/>
      <c r="AS847" s="15"/>
    </row>
    <row r="848" spans="1:45" s="17" customFormat="1" ht="30.95" hidden="1" customHeight="1" x14ac:dyDescent="0.2">
      <c r="A848" s="37" t="s">
        <v>1343</v>
      </c>
      <c r="B848" s="38" t="s">
        <v>1344</v>
      </c>
      <c r="C848" s="45"/>
      <c r="D848" s="31">
        <v>3721216</v>
      </c>
      <c r="E848" s="31">
        <v>4162004</v>
      </c>
      <c r="F848" s="268" t="str">
        <f>IF(D848="","",VLOOKUP(D848,契約台帳!$A$3:$K$4986,6,FALSE)&amp;VLOOKUP(D848,契約台帳!$A$3:$K$4986,7,FALSE)&amp;VLOOKUP(D848,契約台帳!$A$3:$K$4986,8,FALSE)&amp;VLOOKUP(D848,契約台帳!$A$3:$K$4986,9,FALSE)&amp;VLOOKUP(D848,契約台帳!$A$3:$K$4986,11,FALSE))</f>
        <v>3SNMLBMNGTBF</v>
      </c>
      <c r="G848" s="269" t="str">
        <f>IF(D848="","",VLOOKUP(F848,製品マスタ!$G$5:$H$5002,2,FALSE))</f>
        <v>S</v>
      </c>
      <c r="H848" s="269" t="str">
        <f>IF(D848="","",VLOOKUP(F848,製品マスタ!$G$5:$K$5002,5,FALSE))</f>
        <v>MNGTBF</v>
      </c>
      <c r="I848" s="270" t="str">
        <f>IF(D848="","",VLOOKUP(F848,製品マスタ!$G$5:$L$5002,6,FALSE))</f>
        <v>メタルミー　ネーマー　銀艶　Ｂ</v>
      </c>
      <c r="J848" s="210" t="s">
        <v>935</v>
      </c>
      <c r="K848" s="270">
        <f>IF(D848="","",VLOOKUP(D848,契約台帳!$A$3:$L$4986,12,FALSE))</f>
        <v>50</v>
      </c>
      <c r="L848" s="270" t="str">
        <f>IF(D848="","",INDEX(製品マスタ!$Q$5:$Q$5002,MATCH('S4'!F848&amp;'S4'!K848,製品マスタ!$AO$5:$AO$5002,0)))</f>
        <v>T62</v>
      </c>
      <c r="M848" s="39">
        <v>1120</v>
      </c>
      <c r="N848" s="39">
        <v>5000</v>
      </c>
      <c r="O848" s="156">
        <v>1</v>
      </c>
      <c r="P848" s="47">
        <v>2</v>
      </c>
      <c r="Q848" s="213">
        <v>45132</v>
      </c>
      <c r="R848" s="271">
        <f ca="1">IF(D848="","",IF(OFFSET(D848,-1,0)&lt;&gt;"","",IF(OR(J848="リード付け",J848="巻足し",J848="巻返しリード付け"),M848,VLOOKUP(D848,契約台帳!$A$3:$N$4986,14,FALSE))))</f>
        <v>1120</v>
      </c>
      <c r="S848" s="272">
        <f ca="1">IF(D848="","",IF(OFFSET(D848,-1,0)&lt;&gt;"","",IF(OR(J848="リード付け",J848="巻足し",J848="巻返しリード付け"),M848,VLOOKUP(D848,契約台帳!$A$3:$O$4986,15,FALSE))))</f>
        <v>1120</v>
      </c>
      <c r="T848" s="273">
        <f ca="1">IF(D848="","",IF(J848="リード付け",N848,IF(J848="巻返しリード付け",N848,IF(J848="巻足し",N848*P848+OFFSET(N848,1,0)*OFFSET(P848,1,0),VLOOKUP(D848,契約台帳!$A$3:$P$4986,16,FALSE)))))</f>
        <v>10000</v>
      </c>
      <c r="U848" s="40">
        <v>1</v>
      </c>
      <c r="V848" s="274" t="str">
        <f ca="1">IF(D848="","",IF(OFFSET(D848,-2,0)=D848,"",VLOOKUP(D848,契約台帳!$A$3:$R$4986,18,FALSE)))</f>
        <v/>
      </c>
      <c r="W848" s="269" t="str">
        <f ca="1">IF(D848="","",IF(T848="","",IF(OR(J848="巻足し",J848="巻返しリード付け"),"",IF(J848="巻返し",VLOOKUP(F848&amp;K848&amp;M848,製品マスタ!$M$5:$AD$5002,18,FALSE),IF(OR(J848="リード付け",J848="巻返しリード付け"),"原反コア",IF(J848="スリット",VLOOKUP(F848&amp;K848&amp;R848,製品マスタ!$N$5:$AD$5002,17,FALSE),""))))))</f>
        <v/>
      </c>
      <c r="X848" s="269" t="str">
        <f ca="1">IF(D848="","",IF(T848="","",IF(J848="巻足し","",IF(J848="巻返し",VLOOKUP(F848&amp;K848&amp;M848,製品マスタ!$M$5:$AE$5002,19,FALSE),IF(OR(J848="リード付け",J848="巻返しリード付け"),"",IF(J848="スリット",VLOOKUP(F848&amp;K848&amp;R848,製品マスタ!$N$5:$AE$5002,18,FALSE),""))))))</f>
        <v/>
      </c>
      <c r="Y848" s="275">
        <f ca="1">IF(D848="","",IF(T848="","",VLOOKUP(D848,契約台帳!$A$3:$Q$4986,17,FALSE)))</f>
        <v>2</v>
      </c>
      <c r="Z848" s="269" t="str">
        <f ca="1">IF(D848="","",IF(T848="","",VLOOKUP(D848,契約台帳!$A$3:$E$4986,5,FALSE)))</f>
        <v>リンテック㈱</v>
      </c>
      <c r="AA848" s="57"/>
      <c r="AB848" s="207" t="str">
        <f>IFERROR((VLOOKUP(F848&amp;K848&amp;M848,製品マスタ!$M$5:$AM$5002,27,FALSE)),"")</f>
        <v>原反ケース再利用</v>
      </c>
      <c r="AC848" s="33"/>
      <c r="AD848" s="189"/>
      <c r="AE848" s="54"/>
      <c r="AF848" s="55">
        <f>+M848*N848*O848/1000</f>
        <v>5600</v>
      </c>
      <c r="AG848" s="43"/>
      <c r="AH848" s="47"/>
      <c r="AI848" s="30"/>
      <c r="AJ848" s="30"/>
      <c r="AK848" s="30"/>
      <c r="AL848" s="30"/>
      <c r="AM848" s="13"/>
      <c r="AN848" s="13"/>
      <c r="AO848" s="13"/>
      <c r="AP848" s="13"/>
      <c r="AQ848" s="13"/>
      <c r="AR848" s="14"/>
      <c r="AS848" s="15"/>
    </row>
    <row r="849" spans="1:45" s="17" customFormat="1" ht="30.95" hidden="1" customHeight="1" x14ac:dyDescent="0.2">
      <c r="A849" s="37"/>
      <c r="B849" s="38"/>
      <c r="C849" s="45"/>
      <c r="D849" s="31">
        <v>3721217</v>
      </c>
      <c r="E849" s="31"/>
      <c r="F849" s="268" t="str">
        <f>IF(D849="","",VLOOKUP(D849,契約台帳!$A$3:$K$4986,6,FALSE)&amp;VLOOKUP(D849,契約台帳!$A$3:$K$4986,7,FALSE)&amp;VLOOKUP(D849,契約台帳!$A$3:$K$4986,8,FALSE)&amp;VLOOKUP(D849,契約台帳!$A$3:$K$4986,9,FALSE)&amp;VLOOKUP(D849,契約台帳!$A$3:$K$4986,11,FALSE))</f>
        <v>3SNMLBMNGTBF</v>
      </c>
      <c r="G849" s="269" t="str">
        <f>IF(D849="","",VLOOKUP(F849,製品マスタ!$G$5:$H$5002,2,FALSE))</f>
        <v>S</v>
      </c>
      <c r="H849" s="269" t="str">
        <f>IF(D849="","",VLOOKUP(F849,製品マスタ!$G$5:$K$5002,5,FALSE))</f>
        <v>MNGTBF</v>
      </c>
      <c r="I849" s="270" t="str">
        <f>IF(D849="","",VLOOKUP(F849,製品マスタ!$G$5:$L$5002,6,FALSE))</f>
        <v>メタルミー　ネーマー　銀艶　Ｂ</v>
      </c>
      <c r="J849" s="210" t="s">
        <v>935</v>
      </c>
      <c r="K849" s="270">
        <f>IF(D849="","",VLOOKUP(D849,契約台帳!$A$3:$L$4986,12,FALSE))</f>
        <v>50</v>
      </c>
      <c r="L849" s="270" t="str">
        <f>IF(D849="","",INDEX(製品マスタ!$Q$5:$Q$5002,MATCH('S4'!F849&amp;'S4'!K849,製品マスタ!$AO$5:$AO$5002,0)))</f>
        <v>T62</v>
      </c>
      <c r="M849" s="39">
        <v>1120</v>
      </c>
      <c r="N849" s="39">
        <v>5000</v>
      </c>
      <c r="O849" s="156">
        <v>1</v>
      </c>
      <c r="P849" s="47"/>
      <c r="Q849" s="213">
        <v>45132</v>
      </c>
      <c r="R849" s="271" t="str">
        <f ca="1">IF(D849="","",IF(OFFSET(D849,-1,0)&lt;&gt;"","",IF(OR(J849="リード付け",J849="巻足し",J849="巻返しリード付け"),M849,VLOOKUP(D849,契約台帳!$A$3:$N$4986,14,FALSE))))</f>
        <v/>
      </c>
      <c r="S849" s="272" t="str">
        <f ca="1">IF(D849="","",IF(OFFSET(D849,-1,0)&lt;&gt;"","",IF(OR(J849="リード付け",J849="巻足し",J849="巻返しリード付け"),M849,VLOOKUP(D849,契約台帳!$A$3:$O$4986,15,FALSE))))</f>
        <v/>
      </c>
      <c r="T849" s="273">
        <f ca="1">IF(D849="","",IF(J849="リード付け",N849,IF(J849="巻返しリード付け",N849,IF(J849="巻足し",N849*P849+OFFSET(N849,1,0)*OFFSET(P849,1,0),VLOOKUP(D849,契約台帳!$A$3:$P$4986,16,FALSE)))))</f>
        <v>0</v>
      </c>
      <c r="U849" s="40"/>
      <c r="V849" s="274">
        <f ca="1">IF(D849="","",IF(OFFSET(D849,-2,0)=D849,"",VLOOKUP(D849,契約台帳!$A$3:$R$4986,18,FALSE)))</f>
        <v>1</v>
      </c>
      <c r="W849" s="269" t="str">
        <f ca="1">IF(D849="","",IF(T849="","",IF(OR(J849="巻足し",J849="巻返しリード付け"),"",IF(J849="巻返し",VLOOKUP(F849&amp;K849&amp;M849,製品マスタ!$M$5:$AD$5002,18,FALSE),IF(OR(J849="リード付け",J849="巻返しリード付け"),"原反コア",IF(J849="スリット",VLOOKUP(F849&amp;K849&amp;R849,製品マスタ!$N$5:$AD$5002,17,FALSE),""))))))</f>
        <v/>
      </c>
      <c r="X849" s="269" t="str">
        <f ca="1">IF(D849="","",IF(T849="","",IF(J849="巻足し","",IF(J849="巻返し",VLOOKUP(F849&amp;K849&amp;M849,製品マスタ!$M$5:$AE$5002,19,FALSE),IF(OR(J849="リード付け",J849="巻返しリード付け"),"",IF(J849="スリット",VLOOKUP(F849&amp;K849&amp;R849,製品マスタ!$N$5:$AE$5002,18,FALSE),""))))))</f>
        <v/>
      </c>
      <c r="Y849" s="275">
        <f ca="1">IF(D849="","",IF(T849="","",VLOOKUP(D849,契約台帳!$A$3:$Q$4986,17,FALSE)))</f>
        <v>2</v>
      </c>
      <c r="Z849" s="269" t="str">
        <f ca="1">IF(D849="","",IF(T849="","",VLOOKUP(D849,契約台帳!$A$3:$E$4986,5,FALSE)))</f>
        <v>リンテック㈱</v>
      </c>
      <c r="AA849" s="57"/>
      <c r="AB849" s="207" t="str">
        <f>IFERROR((VLOOKUP(F849&amp;K849&amp;M849,製品マスタ!$M$5:$AM$5002,27,FALSE)),"")</f>
        <v>原反ケース再利用</v>
      </c>
      <c r="AC849" s="33"/>
      <c r="AD849" s="189"/>
      <c r="AE849" s="54"/>
      <c r="AF849" s="55">
        <f>+M849*N849*O849/1000</f>
        <v>5600</v>
      </c>
      <c r="AG849" s="43"/>
      <c r="AH849" s="47"/>
      <c r="AI849" s="30"/>
      <c r="AJ849" s="30"/>
      <c r="AK849" s="30"/>
      <c r="AL849" s="30"/>
      <c r="AM849" s="13"/>
      <c r="AN849" s="13"/>
      <c r="AO849" s="13"/>
      <c r="AP849" s="13"/>
      <c r="AQ849" s="13"/>
      <c r="AR849" s="14"/>
      <c r="AS849" s="15"/>
    </row>
    <row r="850" spans="1:45" s="17" customFormat="1" ht="30.95" hidden="1" customHeight="1" x14ac:dyDescent="0.2">
      <c r="A850" s="37"/>
      <c r="B850" s="38"/>
      <c r="C850" s="45"/>
      <c r="D850" s="31"/>
      <c r="E850" s="31"/>
      <c r="F850" s="268"/>
      <c r="G850" s="269"/>
      <c r="H850" s="269"/>
      <c r="I850" s="270"/>
      <c r="J850" s="210"/>
      <c r="K850" s="270"/>
      <c r="L850" s="270"/>
      <c r="M850" s="39"/>
      <c r="N850" s="39"/>
      <c r="O850" s="156"/>
      <c r="P850" s="47"/>
      <c r="Q850" s="57"/>
      <c r="R850" s="271"/>
      <c r="S850" s="272"/>
      <c r="T850" s="273"/>
      <c r="U850" s="40"/>
      <c r="V850" s="274"/>
      <c r="W850" s="269"/>
      <c r="X850" s="269"/>
      <c r="Y850" s="275"/>
      <c r="Z850" s="269"/>
      <c r="AA850" s="57"/>
      <c r="AB850" s="207"/>
      <c r="AC850" s="33"/>
      <c r="AD850" s="189"/>
      <c r="AE850" s="54"/>
      <c r="AF850" s="55"/>
      <c r="AG850" s="43"/>
      <c r="AH850" s="47"/>
      <c r="AI850" s="30"/>
      <c r="AJ850" s="30"/>
      <c r="AK850" s="30"/>
      <c r="AL850" s="30"/>
      <c r="AM850" s="13"/>
      <c r="AN850" s="13"/>
      <c r="AO850" s="13"/>
      <c r="AP850" s="13"/>
      <c r="AQ850" s="13"/>
      <c r="AR850" s="14"/>
      <c r="AS850" s="15"/>
    </row>
    <row r="851" spans="1:45" s="17" customFormat="1" ht="30.95" hidden="1" customHeight="1" x14ac:dyDescent="0.2">
      <c r="A851" s="37"/>
      <c r="B851" s="38"/>
      <c r="C851" s="45"/>
      <c r="D851" s="31">
        <v>3721226</v>
      </c>
      <c r="E851" s="31">
        <v>4162014</v>
      </c>
      <c r="F851" s="268" t="str">
        <f>IF(D851="","",VLOOKUP(D851,契約台帳!$A$3:$K$4986,6,FALSE)&amp;VLOOKUP(D851,契約台帳!$A$3:$K$4986,7,FALSE)&amp;VLOOKUP(D851,契約台帳!$A$3:$K$4986,8,FALSE)&amp;VLOOKUP(D851,契約台帳!$A$3:$K$4986,9,FALSE)&amp;VLOOKUP(D851,契約台帳!$A$3:$K$4986,11,FALSE))</f>
        <v>3SYMLBMSNMBF</v>
      </c>
      <c r="G851" s="269" t="str">
        <f>IF(D851="","",VLOOKUP(F851,製品マスタ!$G$5:$H$5002,2,FALSE))</f>
        <v>S</v>
      </c>
      <c r="H851" s="269" t="str">
        <f>IF(D851="","",VLOOKUP(F851,製品マスタ!$G$5:$K$5002,5,FALSE))</f>
        <v>MSNMBF</v>
      </c>
      <c r="I851" s="270" t="str">
        <f>IF(D851="","",VLOOKUP(F851,製品マスタ!$G$5:$L$5002,6,FALSE))</f>
        <v>ＭＥＴＡＬＵＭＹ　ＳＩＬＶＥＲ　Ｎ－ＭＡＴＴＥ　Ｘ４４Ｍ　Ｂ</v>
      </c>
      <c r="J851" s="210" t="s">
        <v>935</v>
      </c>
      <c r="K851" s="270">
        <f>IF(D851="","",VLOOKUP(D851,契約台帳!$A$3:$L$4986,12,FALSE))</f>
        <v>50</v>
      </c>
      <c r="L851" s="270" t="str">
        <f>IF(D851="","",INDEX(製品マスタ!$Q$5:$Q$5002,MATCH('S4'!F851&amp;'S4'!K851,製品マスタ!$AO$5:$AO$5002,0)))</f>
        <v>X44</v>
      </c>
      <c r="M851" s="39">
        <v>1120</v>
      </c>
      <c r="N851" s="39">
        <v>4000</v>
      </c>
      <c r="O851" s="156">
        <v>6</v>
      </c>
      <c r="P851" s="47">
        <v>3</v>
      </c>
      <c r="Q851" s="213">
        <v>45133</v>
      </c>
      <c r="R851" s="271">
        <f ca="1">IF(D851="","",IF(OFFSET(D851,-1,0)&lt;&gt;"","",IF(OR(J851="リード付け",J851="巻足し",J851="巻返しリード付け"),M851,VLOOKUP(D851,契約台帳!$A$3:$N$4986,14,FALSE))))</f>
        <v>1120</v>
      </c>
      <c r="S851" s="272">
        <f ca="1">IF(D851="","",IF(OFFSET(D851,-1,0)&lt;&gt;"","",IF(OR(J851="リード付け",J851="巻足し",J851="巻返しリード付け"),M851,VLOOKUP(D851,契約台帳!$A$3:$O$4986,15,FALSE))))</f>
        <v>1120</v>
      </c>
      <c r="T851" s="273">
        <f ca="1">IF(D851="","",IF(J851="リード付け",N851,IF(J851="巻返しリード付け",N851,IF(J851="巻足し",N851*P851+OFFSET(N851,1,0)*OFFSET(P851,1,0),VLOOKUP(D851,契約台帳!$A$3:$P$4986,16,FALSE)))))</f>
        <v>12000</v>
      </c>
      <c r="U851" s="40">
        <v>2</v>
      </c>
      <c r="V851" s="274">
        <f ca="1">IF(D851="","",IF(OFFSET(D851,-2,0)=D851,"",VLOOKUP(D851,契約台帳!$A$3:$R$4986,18,FALSE)))</f>
        <v>8</v>
      </c>
      <c r="W851" s="269" t="str">
        <f ca="1">IF(D851="","",IF(T851="","",IF(OR(J851="巻足し",J851="巻返しリード付け"),"",IF(J851="巻返し",VLOOKUP(F851&amp;K851&amp;M851,製品マスタ!$M$5:$AD$5002,18,FALSE),IF(OR(J851="リード付け",J851="巻返しリード付け"),"原反コア",IF(J851="スリット",VLOOKUP(F851&amp;K851&amp;R851,製品マスタ!$N$5:$AD$5002,17,FALSE),""))))))</f>
        <v/>
      </c>
      <c r="X851" s="269" t="str">
        <f ca="1">IF(D851="","",IF(T851="","",IF(J851="巻足し","",IF(J851="巻返し",VLOOKUP(F851&amp;K851&amp;M851,製品マスタ!$M$5:$AE$5002,19,FALSE),IF(OR(J851="リード付け",J851="巻返しリード付け"),"",IF(J851="スリット",VLOOKUP(F851&amp;K851&amp;R851,製品マスタ!$N$5:$AE$5002,18,FALSE),""))))))</f>
        <v/>
      </c>
      <c r="Y851" s="275">
        <f ca="1">IF(D851="","",IF(T851="","",VLOOKUP(D851,契約台帳!$A$3:$Q$4986,17,FALSE)))</f>
        <v>2</v>
      </c>
      <c r="Z851" s="269" t="str">
        <f ca="1">IF(D851="","",IF(T851="","",VLOOKUP(D851,契約台帳!$A$3:$E$4986,5,FALSE)))</f>
        <v>リンテック㈱</v>
      </c>
      <c r="AA851" s="57"/>
      <c r="AB851" s="207">
        <f>IFERROR((VLOOKUP(F851&amp;K851&amp;M851,製品マスタ!$M$5:$AM$5002,27,FALSE)),"")</f>
        <v>0</v>
      </c>
      <c r="AC851" s="33"/>
      <c r="AD851" s="189"/>
      <c r="AE851" s="54"/>
      <c r="AF851" s="55">
        <f>+M851*N851*O851/1000</f>
        <v>26880</v>
      </c>
      <c r="AG851" s="43"/>
      <c r="AH851" s="47"/>
      <c r="AI851" s="30"/>
      <c r="AJ851" s="30"/>
      <c r="AK851" s="30"/>
      <c r="AL851" s="30"/>
      <c r="AM851" s="13"/>
      <c r="AN851" s="13"/>
      <c r="AO851" s="13"/>
      <c r="AP851" s="13"/>
      <c r="AQ851" s="13"/>
      <c r="AR851" s="14"/>
      <c r="AS851" s="15"/>
    </row>
    <row r="852" spans="1:45" s="17" customFormat="1" ht="30.95" hidden="1" customHeight="1" x14ac:dyDescent="0.2">
      <c r="A852" s="37"/>
      <c r="B852" s="38"/>
      <c r="C852" s="45"/>
      <c r="D852" s="31"/>
      <c r="E852" s="31"/>
      <c r="F852" s="268"/>
      <c r="G852" s="269"/>
      <c r="H852" s="269"/>
      <c r="I852" s="270"/>
      <c r="J852" s="210"/>
      <c r="K852" s="270"/>
      <c r="L852" s="270"/>
      <c r="M852" s="39"/>
      <c r="N852" s="39"/>
      <c r="O852" s="156"/>
      <c r="P852" s="47"/>
      <c r="Q852" s="57"/>
      <c r="R852" s="271"/>
      <c r="S852" s="272"/>
      <c r="T852" s="273"/>
      <c r="U852" s="40"/>
      <c r="V852" s="274"/>
      <c r="W852" s="269"/>
      <c r="X852" s="269"/>
      <c r="Y852" s="275"/>
      <c r="Z852" s="269"/>
      <c r="AA852" s="57"/>
      <c r="AB852" s="207"/>
      <c r="AC852" s="33"/>
      <c r="AD852" s="189"/>
      <c r="AE852" s="54"/>
      <c r="AF852" s="55"/>
      <c r="AG852" s="43"/>
      <c r="AH852" s="47"/>
      <c r="AI852" s="30"/>
      <c r="AJ852" s="30"/>
      <c r="AK852" s="30"/>
      <c r="AL852" s="30"/>
      <c r="AM852" s="13"/>
      <c r="AN852" s="13"/>
      <c r="AO852" s="13"/>
      <c r="AP852" s="13"/>
      <c r="AQ852" s="13"/>
      <c r="AR852" s="14"/>
      <c r="AS852" s="15"/>
    </row>
    <row r="853" spans="1:45" s="17" customFormat="1" ht="30.95" hidden="1" customHeight="1" x14ac:dyDescent="0.2">
      <c r="A853" s="37"/>
      <c r="B853" s="38"/>
      <c r="C853" s="45"/>
      <c r="D853" s="31">
        <v>3721226</v>
      </c>
      <c r="E853" s="31">
        <v>4162014</v>
      </c>
      <c r="F853" s="268" t="str">
        <f>IF(D853="","",VLOOKUP(D853,契約台帳!$A$3:$K$4986,6,FALSE)&amp;VLOOKUP(D853,契約台帳!$A$3:$K$4986,7,FALSE)&amp;VLOOKUP(D853,契約台帳!$A$3:$K$4986,8,FALSE)&amp;VLOOKUP(D853,契約台帳!$A$3:$K$4986,9,FALSE)&amp;VLOOKUP(D853,契約台帳!$A$3:$K$4986,11,FALSE))</f>
        <v>3SYMLBMSNMBF</v>
      </c>
      <c r="G853" s="269" t="str">
        <f>IF(D853="","",VLOOKUP(F853,製品マスタ!$G$5:$H$5002,2,FALSE))</f>
        <v>S</v>
      </c>
      <c r="H853" s="269" t="str">
        <f>IF(D853="","",VLOOKUP(F853,製品マスタ!$G$5:$K$5002,5,FALSE))</f>
        <v>MSNMBF</v>
      </c>
      <c r="I853" s="270" t="str">
        <f>IF(D853="","",VLOOKUP(F853,製品マスタ!$G$5:$L$5002,6,FALSE))</f>
        <v>ＭＥＴＡＬＵＭＹ　ＳＩＬＶＥＲ　Ｎ－ＭＡＴＴＥ　Ｘ４４Ｍ　Ｂ</v>
      </c>
      <c r="J853" s="210" t="s">
        <v>935</v>
      </c>
      <c r="K853" s="270">
        <f>IF(D853="","",VLOOKUP(D853,契約台帳!$A$3:$L$4986,12,FALSE))</f>
        <v>50</v>
      </c>
      <c r="L853" s="270" t="str">
        <f>IF(D853="","",INDEX(製品マスタ!$Q$5:$Q$5002,MATCH('S4'!F853&amp;'S4'!K853,製品マスタ!$AO$5:$AO$5002,0)))</f>
        <v>X44</v>
      </c>
      <c r="M853" s="39">
        <v>1120</v>
      </c>
      <c r="N853" s="39">
        <v>4000</v>
      </c>
      <c r="O853" s="156">
        <v>2</v>
      </c>
      <c r="P853" s="47">
        <v>3</v>
      </c>
      <c r="Q853" s="213">
        <v>45133</v>
      </c>
      <c r="R853" s="271">
        <f ca="1">IF(D853="","",IF(OFFSET(D853,-1,0)&lt;&gt;"","",IF(OR(J853="リード付け",J853="巻足し",J853="巻返しリード付け"),M853,VLOOKUP(D853,契約台帳!$A$3:$N$4986,14,FALSE))))</f>
        <v>1120</v>
      </c>
      <c r="S853" s="272">
        <f ca="1">IF(D853="","",IF(OFFSET(D853,-1,0)&lt;&gt;"","",IF(OR(J853="リード付け",J853="巻足し",J853="巻返しリード付け"),M853,VLOOKUP(D853,契約台帳!$A$3:$O$4986,15,FALSE))))</f>
        <v>1120</v>
      </c>
      <c r="T853" s="273">
        <f ca="1">IF(D853="","",IF(J853="リード付け",N853,IF(J853="巻返しリード付け",N853,IF(J853="巻足し",N853*P853+OFFSET(N853,1,0)*OFFSET(P853,1,0),VLOOKUP(D853,契約台帳!$A$3:$P$4986,16,FALSE)))))</f>
        <v>12000</v>
      </c>
      <c r="U853" s="40">
        <v>1</v>
      </c>
      <c r="V853" s="274" t="str">
        <f ca="1">IF(D853="","",IF(OFFSET(D853,-2,0)=D853,"",VLOOKUP(D853,契約台帳!$A$3:$R$4986,18,FALSE)))</f>
        <v/>
      </c>
      <c r="W853" s="269" t="str">
        <f ca="1">IF(D853="","",IF(T853="","",IF(OR(J853="巻足し",J853="巻返しリード付け"),"",IF(J853="巻返し",VLOOKUP(F853&amp;K853&amp;M853,製品マスタ!$M$5:$AD$5002,18,FALSE),IF(OR(J853="リード付け",J853="巻返しリード付け"),"原反コア",IF(J853="スリット",VLOOKUP(F853&amp;K853&amp;R853,製品マスタ!$N$5:$AD$5002,17,FALSE),""))))))</f>
        <v/>
      </c>
      <c r="X853" s="269" t="str">
        <f ca="1">IF(D853="","",IF(T853="","",IF(J853="巻足し","",IF(J853="巻返し",VLOOKUP(F853&amp;K853&amp;M853,製品マスタ!$M$5:$AE$5002,19,FALSE),IF(OR(J853="リード付け",J853="巻返しリード付け"),"",IF(J853="スリット",VLOOKUP(F853&amp;K853&amp;R853,製品マスタ!$N$5:$AE$5002,18,FALSE),""))))))</f>
        <v/>
      </c>
      <c r="Y853" s="275">
        <f ca="1">IF(D853="","",IF(T853="","",VLOOKUP(D853,契約台帳!$A$3:$Q$4986,17,FALSE)))</f>
        <v>2</v>
      </c>
      <c r="Z853" s="269" t="str">
        <f ca="1">IF(D853="","",IF(T853="","",VLOOKUP(D853,契約台帳!$A$3:$E$4986,5,FALSE)))</f>
        <v>リンテック㈱</v>
      </c>
      <c r="AA853" s="57"/>
      <c r="AB853" s="207"/>
      <c r="AC853" s="33"/>
      <c r="AD853" s="189"/>
      <c r="AE853" s="54"/>
      <c r="AF853" s="55">
        <f>+M853*N853*O853/1000</f>
        <v>8960</v>
      </c>
      <c r="AG853" s="43"/>
      <c r="AH853" s="47"/>
      <c r="AI853" s="30"/>
      <c r="AJ853" s="30"/>
      <c r="AK853" s="30"/>
      <c r="AL853" s="30"/>
      <c r="AM853" s="13"/>
      <c r="AN853" s="13"/>
      <c r="AO853" s="13"/>
      <c r="AP853" s="13"/>
      <c r="AQ853" s="13"/>
      <c r="AR853" s="14"/>
      <c r="AS853" s="15"/>
    </row>
    <row r="854" spans="1:45" s="17" customFormat="1" ht="30.95" hidden="1" customHeight="1" x14ac:dyDescent="0.2">
      <c r="A854" s="37"/>
      <c r="B854" s="38"/>
      <c r="C854" s="45"/>
      <c r="D854" s="31">
        <v>3721227</v>
      </c>
      <c r="E854" s="31"/>
      <c r="F854" s="268" t="str">
        <f>IF(D854="","",VLOOKUP(D854,契約台帳!$A$3:$K$4986,6,FALSE)&amp;VLOOKUP(D854,契約台帳!$A$3:$K$4986,7,FALSE)&amp;VLOOKUP(D854,契約台帳!$A$3:$K$4986,8,FALSE)&amp;VLOOKUP(D854,契約台帳!$A$3:$K$4986,9,FALSE)&amp;VLOOKUP(D854,契約台帳!$A$3:$K$4986,11,FALSE))</f>
        <v>3SYMLBMSNMBF</v>
      </c>
      <c r="G854" s="269" t="str">
        <f>IF(D854="","",VLOOKUP(F854,製品マスタ!$G$5:$H$5002,2,FALSE))</f>
        <v>S</v>
      </c>
      <c r="H854" s="269" t="str">
        <f>IF(D854="","",VLOOKUP(F854,製品マスタ!$G$5:$K$5002,5,FALSE))</f>
        <v>MSNMBF</v>
      </c>
      <c r="I854" s="270" t="str">
        <f>IF(D854="","",VLOOKUP(F854,製品マスタ!$G$5:$L$5002,6,FALSE))</f>
        <v>ＭＥＴＡＬＵＭＹ　ＳＩＬＶＥＲ　Ｎ－ＭＡＴＴＥ　Ｘ４４Ｍ　Ｂ</v>
      </c>
      <c r="J854" s="210" t="s">
        <v>935</v>
      </c>
      <c r="K854" s="270">
        <f>IF(D854="","",VLOOKUP(D854,契約台帳!$A$3:$L$4986,12,FALSE))</f>
        <v>50</v>
      </c>
      <c r="L854" s="270" t="str">
        <f>IF(D854="","",INDEX(製品マスタ!$Q$5:$Q$5002,MATCH('S4'!F854&amp;'S4'!K854,製品マスタ!$AO$5:$AO$5002,0)))</f>
        <v>X44</v>
      </c>
      <c r="M854" s="39">
        <v>1120</v>
      </c>
      <c r="N854" s="39">
        <v>4000</v>
      </c>
      <c r="O854" s="156">
        <v>1</v>
      </c>
      <c r="P854" s="47"/>
      <c r="Q854" s="57"/>
      <c r="R854" s="271" t="str">
        <f ca="1">IF(D854="","",IF(OFFSET(D854,-1,0)&lt;&gt;"","",IF(OR(J854="リード付け",J854="巻足し",J854="巻返しリード付け"),M854,VLOOKUP(D854,契約台帳!$A$3:$N$4986,14,FALSE))))</f>
        <v/>
      </c>
      <c r="S854" s="272" t="str">
        <f ca="1">IF(D854="","",IF(OFFSET(D854,-1,0)&lt;&gt;"","",IF(OR(J854="リード付け",J854="巻足し",J854="巻返しリード付け"),M854,VLOOKUP(D854,契約台帳!$A$3:$O$4986,15,FALSE))))</f>
        <v/>
      </c>
      <c r="T854" s="273">
        <f ca="1">IF(D854="","",IF(J854="リード付け",N854,IF(J854="巻返しリード付け",N854,IF(J854="巻足し",N854*P854+OFFSET(N854,1,0)*OFFSET(P854,1,0),VLOOKUP(D854,契約台帳!$A$3:$P$4986,16,FALSE)))))</f>
        <v>0</v>
      </c>
      <c r="U854" s="40"/>
      <c r="V854" s="274">
        <f ca="1">IF(D854="","",IF(OFFSET(D854,-2,0)=D854,"",VLOOKUP(D854,契約台帳!$A$3:$R$4986,18,FALSE)))</f>
        <v>4</v>
      </c>
      <c r="W854" s="269" t="str">
        <f ca="1">IF(D854="","",IF(T854="","",IF(OR(J854="巻足し",J854="巻返しリード付け"),"",IF(J854="巻返し",VLOOKUP(F854&amp;K854&amp;M854,製品マスタ!$M$5:$AD$5002,18,FALSE),IF(OR(J854="リード付け",J854="巻返しリード付け"),"原反コア",IF(J854="スリット",VLOOKUP(F854&amp;K854&amp;R854,製品マスタ!$N$5:$AD$5002,17,FALSE),""))))))</f>
        <v/>
      </c>
      <c r="X854" s="269" t="str">
        <f ca="1">IF(D854="","",IF(T854="","",IF(J854="巻足し","",IF(J854="巻返し",VLOOKUP(F854&amp;K854&amp;M854,製品マスタ!$M$5:$AE$5002,19,FALSE),IF(OR(J854="リード付け",J854="巻返しリード付け"),"",IF(J854="スリット",VLOOKUP(F854&amp;K854&amp;R854,製品マスタ!$N$5:$AE$5002,18,FALSE),""))))))</f>
        <v/>
      </c>
      <c r="Y854" s="275">
        <f ca="1">IF(D854="","",IF(T854="","",VLOOKUP(D854,契約台帳!$A$3:$Q$4986,17,FALSE)))</f>
        <v>2</v>
      </c>
      <c r="Z854" s="269" t="str">
        <f ca="1">IF(D854="","",IF(T854="","",VLOOKUP(D854,契約台帳!$A$3:$E$4986,5,FALSE)))</f>
        <v>リンテック㈱</v>
      </c>
      <c r="AA854" s="57"/>
      <c r="AB854" s="207">
        <f>IFERROR((VLOOKUP(F854&amp;K854&amp;M854,製品マスタ!$M$5:$AM$5002,27,FALSE)),"")</f>
        <v>0</v>
      </c>
      <c r="AC854" s="33"/>
      <c r="AD854" s="189"/>
      <c r="AE854" s="54"/>
      <c r="AF854" s="55">
        <f>+M854*N854*O854/1000</f>
        <v>4480</v>
      </c>
      <c r="AG854" s="43"/>
      <c r="AH854" s="47"/>
      <c r="AI854" s="30"/>
      <c r="AJ854" s="30"/>
      <c r="AK854" s="30"/>
      <c r="AL854" s="30"/>
      <c r="AM854" s="13"/>
      <c r="AN854" s="13"/>
      <c r="AO854" s="13"/>
      <c r="AP854" s="13"/>
      <c r="AQ854" s="13"/>
      <c r="AR854" s="14"/>
      <c r="AS854" s="15"/>
    </row>
    <row r="855" spans="1:45" s="17" customFormat="1" ht="30.95" hidden="1" customHeight="1" x14ac:dyDescent="0.2">
      <c r="A855" s="37"/>
      <c r="B855" s="38"/>
      <c r="C855" s="45"/>
      <c r="D855" s="31"/>
      <c r="E855" s="31"/>
      <c r="F855" s="268"/>
      <c r="G855" s="269"/>
      <c r="H855" s="269"/>
      <c r="I855" s="270"/>
      <c r="J855" s="210"/>
      <c r="K855" s="270"/>
      <c r="L855" s="270"/>
      <c r="M855" s="39"/>
      <c r="N855" s="39"/>
      <c r="O855" s="156"/>
      <c r="P855" s="47"/>
      <c r="Q855" s="57"/>
      <c r="R855" s="271"/>
      <c r="S855" s="272"/>
      <c r="T855" s="273"/>
      <c r="U855" s="40"/>
      <c r="V855" s="274"/>
      <c r="W855" s="269"/>
      <c r="X855" s="269"/>
      <c r="Y855" s="275"/>
      <c r="Z855" s="269"/>
      <c r="AA855" s="57"/>
      <c r="AB855" s="207"/>
      <c r="AC855" s="33"/>
      <c r="AD855" s="189"/>
      <c r="AE855" s="54"/>
      <c r="AF855" s="55"/>
      <c r="AG855" s="43"/>
      <c r="AH855" s="47"/>
      <c r="AI855" s="30"/>
      <c r="AJ855" s="30"/>
      <c r="AK855" s="30"/>
      <c r="AL855" s="30"/>
      <c r="AM855" s="13"/>
      <c r="AN855" s="13"/>
      <c r="AO855" s="13"/>
      <c r="AP855" s="13"/>
      <c r="AQ855" s="13"/>
      <c r="AR855" s="14"/>
      <c r="AS855" s="15"/>
    </row>
    <row r="856" spans="1:45" s="17" customFormat="1" ht="30.95" hidden="1" customHeight="1" x14ac:dyDescent="0.2">
      <c r="A856" s="37"/>
      <c r="B856" s="38"/>
      <c r="C856" s="45"/>
      <c r="D856" s="31">
        <v>3721227</v>
      </c>
      <c r="E856" s="31">
        <v>4162015</v>
      </c>
      <c r="F856" s="268" t="str">
        <f>IF(D856="","",VLOOKUP(D856,契約台帳!$A$3:$K$4986,6,FALSE)&amp;VLOOKUP(D856,契約台帳!$A$3:$K$4986,7,FALSE)&amp;VLOOKUP(D856,契約台帳!$A$3:$K$4986,8,FALSE)&amp;VLOOKUP(D856,契約台帳!$A$3:$K$4986,9,FALSE)&amp;VLOOKUP(D856,契約台帳!$A$3:$K$4986,11,FALSE))</f>
        <v>3SYMLBMSNMBF</v>
      </c>
      <c r="G856" s="269" t="str">
        <f>IF(D856="","",VLOOKUP(F856,製品マスタ!$G$5:$H$5002,2,FALSE))</f>
        <v>S</v>
      </c>
      <c r="H856" s="269" t="str">
        <f>IF(D856="","",VLOOKUP(F856,製品マスタ!$G$5:$K$5002,5,FALSE))</f>
        <v>MSNMBF</v>
      </c>
      <c r="I856" s="270" t="str">
        <f>IF(D856="","",VLOOKUP(F856,製品マスタ!$G$5:$L$5002,6,FALSE))</f>
        <v>ＭＥＴＡＬＵＭＹ　ＳＩＬＶＥＲ　Ｎ－ＭＡＴＴＥ　Ｘ４４Ｍ　Ｂ</v>
      </c>
      <c r="J856" s="210" t="s">
        <v>935</v>
      </c>
      <c r="K856" s="270">
        <f>IF(D856="","",VLOOKUP(D856,契約台帳!$A$3:$L$4986,12,FALSE))</f>
        <v>50</v>
      </c>
      <c r="L856" s="270" t="str">
        <f>IF(D856="","",INDEX(製品マスタ!$Q$5:$Q$5002,MATCH('S4'!F856&amp;'S4'!K856,製品マスタ!$AO$5:$AO$5002,0)))</f>
        <v>X44</v>
      </c>
      <c r="M856" s="39">
        <v>1120</v>
      </c>
      <c r="N856" s="39">
        <v>4000</v>
      </c>
      <c r="O856" s="156">
        <v>3</v>
      </c>
      <c r="P856" s="47">
        <v>3</v>
      </c>
      <c r="Q856" s="213">
        <v>45133</v>
      </c>
      <c r="R856" s="271">
        <f ca="1">IF(D856="","",IF(OFFSET(D856,-1,0)&lt;&gt;"","",IF(OR(J856="リード付け",J856="巻足し",J856="巻返しリード付け"),M856,VLOOKUP(D856,契約台帳!$A$3:$N$4986,14,FALSE))))</f>
        <v>1120</v>
      </c>
      <c r="S856" s="272">
        <f ca="1">IF(D856="","",IF(OFFSET(D856,-1,0)&lt;&gt;"","",IF(OR(J856="リード付け",J856="巻足し",J856="巻返しリード付け"),M856,VLOOKUP(D856,契約台帳!$A$3:$O$4986,15,FALSE))))</f>
        <v>1120</v>
      </c>
      <c r="T856" s="273">
        <f ca="1">IF(D856="","",IF(J856="リード付け",N856,IF(J856="巻返しリード付け",N856,IF(J856="巻足し",N856*P856+OFFSET(N856,1,0)*OFFSET(P856,1,0),VLOOKUP(D856,契約台帳!$A$3:$P$4986,16,FALSE)))))</f>
        <v>12000</v>
      </c>
      <c r="U856" s="40">
        <v>1</v>
      </c>
      <c r="V856" s="274" t="str">
        <f ca="1">IF(D856="","",IF(OFFSET(D856,-2,0)=D856,"",VLOOKUP(D856,契約台帳!$A$3:$R$4986,18,FALSE)))</f>
        <v/>
      </c>
      <c r="W856" s="269" t="str">
        <f ca="1">IF(D856="","",IF(T856="","",IF(OR(J856="巻足し",J856="巻返しリード付け"),"",IF(J856="巻返し",VLOOKUP(F856&amp;K856&amp;M856,製品マスタ!$M$5:$AD$5002,18,FALSE),IF(OR(J856="リード付け",J856="巻返しリード付け"),"原反コア",IF(J856="スリット",VLOOKUP(F856&amp;K856&amp;R856,製品マスタ!$N$5:$AD$5002,17,FALSE),""))))))</f>
        <v/>
      </c>
      <c r="X856" s="269" t="str">
        <f ca="1">IF(D856="","",IF(T856="","",IF(J856="巻足し","",IF(J856="巻返し",VLOOKUP(F856&amp;K856&amp;M856,製品マスタ!$M$5:$AE$5002,19,FALSE),IF(OR(J856="リード付け",J856="巻返しリード付け"),"",IF(J856="スリット",VLOOKUP(F856&amp;K856&amp;R856,製品マスタ!$N$5:$AE$5002,18,FALSE),""))))))</f>
        <v/>
      </c>
      <c r="Y856" s="275">
        <f ca="1">IF(D856="","",IF(T856="","",VLOOKUP(D856,契約台帳!$A$3:$Q$4986,17,FALSE)))</f>
        <v>2</v>
      </c>
      <c r="Z856" s="269" t="str">
        <f ca="1">IF(D856="","",IF(T856="","",VLOOKUP(D856,契約台帳!$A$3:$E$4986,5,FALSE)))</f>
        <v>リンテック㈱</v>
      </c>
      <c r="AA856" s="57"/>
      <c r="AB856" s="207">
        <f>IFERROR((VLOOKUP(F856&amp;K856&amp;M856,製品マスタ!$M$5:$AM$5002,27,FALSE)),"")</f>
        <v>0</v>
      </c>
      <c r="AC856" s="33"/>
      <c r="AD856" s="189"/>
      <c r="AE856" s="54"/>
      <c r="AF856" s="55">
        <f>+M856*N856*O856/1000</f>
        <v>13440</v>
      </c>
      <c r="AG856" s="43"/>
      <c r="AH856" s="47"/>
      <c r="AI856" s="30"/>
      <c r="AJ856" s="30"/>
      <c r="AK856" s="30"/>
      <c r="AL856" s="30"/>
      <c r="AM856" s="13"/>
      <c r="AN856" s="13"/>
      <c r="AO856" s="13"/>
      <c r="AP856" s="13"/>
      <c r="AQ856" s="13"/>
      <c r="AR856" s="14"/>
      <c r="AS856" s="15"/>
    </row>
    <row r="857" spans="1:45" s="17" customFormat="1" ht="30.95" hidden="1" customHeight="1" x14ac:dyDescent="0.2">
      <c r="A857" s="37"/>
      <c r="B857" s="38"/>
      <c r="C857" s="45"/>
      <c r="D857" s="31"/>
      <c r="E857" s="31"/>
      <c r="F857" s="268"/>
      <c r="G857" s="269"/>
      <c r="H857" s="269"/>
      <c r="I857" s="270"/>
      <c r="J857" s="210"/>
      <c r="K857" s="270"/>
      <c r="L857" s="270"/>
      <c r="M857" s="39"/>
      <c r="N857" s="39"/>
      <c r="O857" s="156"/>
      <c r="P857" s="47"/>
      <c r="Q857" s="57"/>
      <c r="R857" s="271"/>
      <c r="S857" s="272"/>
      <c r="T857" s="273"/>
      <c r="U857" s="40"/>
      <c r="V857" s="274"/>
      <c r="W857" s="269"/>
      <c r="X857" s="269"/>
      <c r="Y857" s="275"/>
      <c r="Z857" s="269"/>
      <c r="AA857" s="57"/>
      <c r="AB857" s="207"/>
      <c r="AC857" s="33"/>
      <c r="AD857" s="189"/>
      <c r="AE857" s="54"/>
      <c r="AF857" s="55"/>
      <c r="AG857" s="43"/>
      <c r="AH857" s="47"/>
      <c r="AI857" s="30"/>
      <c r="AJ857" s="30"/>
      <c r="AK857" s="30"/>
      <c r="AL857" s="30"/>
      <c r="AM857" s="13"/>
      <c r="AN857" s="13"/>
      <c r="AO857" s="13"/>
      <c r="AP857" s="13"/>
      <c r="AQ857" s="13"/>
      <c r="AR857" s="14"/>
      <c r="AS857" s="15"/>
    </row>
    <row r="858" spans="1:45" s="17" customFormat="1" ht="30.95" hidden="1" customHeight="1" x14ac:dyDescent="0.2">
      <c r="A858" s="37"/>
      <c r="B858" s="38"/>
      <c r="C858" s="45"/>
      <c r="D858" s="31">
        <v>3717577</v>
      </c>
      <c r="E858" s="31">
        <v>4161973</v>
      </c>
      <c r="F858" s="268" t="str">
        <f>IF(D858="","",VLOOKUP(D858,契約台帳!$A$3:$K$4986,6,FALSE)&amp;VLOOKUP(D858,契約台帳!$A$3:$K$4986,7,FALSE)&amp;VLOOKUP(D858,契約台帳!$A$3:$K$4986,8,FALSE)&amp;VLOOKUP(D858,契約台帳!$A$3:$K$4986,9,FALSE)&amp;VLOOKUP(D858,契約台帳!$A$3:$K$4986,11,FALSE))</f>
        <v>3SNMCLBMSNEYK</v>
      </c>
      <c r="G858" s="269" t="str">
        <f>IF(D858="","",VLOOKUP(F858,製品マスタ!$G$5:$H$5002,2,FALSE))</f>
        <v>S</v>
      </c>
      <c r="H858" s="269" t="str">
        <f>IF(D858="","",VLOOKUP(F858,製品マスタ!$G$5:$K$5002,5,FALSE))</f>
        <v>MSNEYK</v>
      </c>
      <c r="I858" s="270" t="str">
        <f>IF(D858="","",VLOOKUP(F858,製品マスタ!$G$5:$L$5002,6,FALSE))</f>
        <v>ＭＳＮ　ＥＹＫ</v>
      </c>
      <c r="J858" s="210" t="s">
        <v>935</v>
      </c>
      <c r="K858" s="270">
        <f>IF(D858="","",VLOOKUP(D858,契約台帳!$A$3:$L$4986,12,FALSE))</f>
        <v>50</v>
      </c>
      <c r="L858" s="270" t="str">
        <f>IF(D858="","",INDEX(製品マスタ!$Q$5:$Q$5002,MATCH('S4'!F858&amp;'S4'!K858,製品マスタ!$AO$5:$AO$5002,0)))</f>
        <v>N-MAT</v>
      </c>
      <c r="M858" s="39">
        <v>1120</v>
      </c>
      <c r="N858" s="39">
        <v>4000</v>
      </c>
      <c r="O858" s="156">
        <v>2</v>
      </c>
      <c r="P858" s="47">
        <v>2</v>
      </c>
      <c r="Q858" s="213">
        <v>45119</v>
      </c>
      <c r="R858" s="271">
        <f ca="1">IF(D858="","",IF(OFFSET(D858,-1,0)&lt;&gt;"","",IF(OR(J858="リード付け",J858="巻足し",J858="巻返しリード付け"),M858,VLOOKUP(D858,契約台帳!$A$3:$N$4986,14,FALSE))))</f>
        <v>1120</v>
      </c>
      <c r="S858" s="272">
        <f ca="1">IF(D858="","",IF(OFFSET(D858,-1,0)&lt;&gt;"","",IF(OR(J858="リード付け",J858="巻足し",J858="巻返しリード付け"),M858,VLOOKUP(D858,契約台帳!$A$3:$O$4986,15,FALSE))))</f>
        <v>1120</v>
      </c>
      <c r="T858" s="273">
        <f ca="1">IF(D858="","",IF(J858="リード付け",N858,IF(J858="巻返しリード付け",N858,IF(J858="巻足し",N858*P858+OFFSET(N858,1,0)*OFFSET(P858,1,0),VLOOKUP(D858,契約台帳!$A$3:$P$4986,16,FALSE)))))</f>
        <v>8000</v>
      </c>
      <c r="U858" s="40">
        <v>1</v>
      </c>
      <c r="V858" s="274">
        <f ca="1">IF(D858="","",IF(OFFSET(D858,-2,0)=D858,"",VLOOKUP(D858,契約台帳!$A$3:$R$4986,18,FALSE)))</f>
        <v>2</v>
      </c>
      <c r="W858" s="269" t="str">
        <f ca="1">IF(D858="","",IF(T858="","",IF(OR(J858="巻足し",J858="巻返しリード付け"),"",IF(J858="巻返し",VLOOKUP(F858&amp;K858&amp;M858,製品マスタ!$M$5:$AD$5002,18,FALSE),IF(OR(J858="リード付け",J858="巻返しリード付け"),"原反コア",IF(J858="スリット",VLOOKUP(F858&amp;K858&amp;R858,製品マスタ!$N$5:$AD$5002,17,FALSE),""))))))</f>
        <v/>
      </c>
      <c r="X858" s="269" t="str">
        <f ca="1">IF(D858="","",IF(T858="","",IF(J858="巻足し","",IF(J858="巻返し",VLOOKUP(F858&amp;K858&amp;M858,製品マスタ!$M$5:$AE$5002,19,FALSE),IF(OR(J858="リード付け",J858="巻返しリード付け"),"",IF(J858="スリット",VLOOKUP(F858&amp;K858&amp;R858,製品マスタ!$N$5:$AE$5002,18,FALSE),""))))))</f>
        <v/>
      </c>
      <c r="Y858" s="275">
        <f ca="1">IF(D858="","",IF(T858="","",VLOOKUP(D858,契約台帳!$A$3:$Q$4986,17,FALSE)))</f>
        <v>2</v>
      </c>
      <c r="Z858" s="269" t="str">
        <f ca="1">IF(D858="","",IF(T858="","",VLOOKUP(D858,契約台帳!$A$3:$E$4986,5,FALSE)))</f>
        <v>新タック化成㈱</v>
      </c>
      <c r="AA858" s="57"/>
      <c r="AB858" s="303" t="str">
        <f>IFERROR((VLOOKUP(F858&amp;K858&amp;M858,製品マスタ!$M$5:$AM$5002,27,FALSE)),"")</f>
        <v>原反ケース再利用</v>
      </c>
      <c r="AC858" s="33"/>
      <c r="AD858" s="189"/>
      <c r="AE858" s="54"/>
      <c r="AF858" s="55"/>
      <c r="AG858" s="43"/>
      <c r="AH858" s="47"/>
      <c r="AI858" s="30"/>
      <c r="AJ858" s="30"/>
      <c r="AK858" s="30"/>
      <c r="AL858" s="30"/>
      <c r="AM858" s="13"/>
      <c r="AN858" s="13"/>
      <c r="AO858" s="13"/>
      <c r="AP858" s="13"/>
      <c r="AQ858" s="13"/>
      <c r="AR858" s="14"/>
      <c r="AS858" s="15"/>
    </row>
    <row r="859" spans="1:45" s="17" customFormat="1" ht="30.95" hidden="1" customHeight="1" x14ac:dyDescent="0.2">
      <c r="A859" s="37"/>
      <c r="B859" s="38"/>
      <c r="C859" s="45"/>
      <c r="D859" s="31"/>
      <c r="E859" s="31"/>
      <c r="F859" s="268"/>
      <c r="G859" s="269"/>
      <c r="H859" s="269"/>
      <c r="I859" s="270"/>
      <c r="J859" s="210"/>
      <c r="K859" s="270"/>
      <c r="L859" s="270"/>
      <c r="M859" s="39"/>
      <c r="N859" s="39"/>
      <c r="O859" s="156"/>
      <c r="P859" s="47"/>
      <c r="Q859" s="57"/>
      <c r="R859" s="271"/>
      <c r="S859" s="272"/>
      <c r="T859" s="273"/>
      <c r="U859" s="40"/>
      <c r="V859" s="274"/>
      <c r="W859" s="269"/>
      <c r="X859" s="269"/>
      <c r="Y859" s="275"/>
      <c r="Z859" s="269"/>
      <c r="AA859" s="57"/>
      <c r="AB859" s="207"/>
      <c r="AC859" s="33"/>
      <c r="AD859" s="189"/>
      <c r="AE859" s="54"/>
      <c r="AF859" s="55"/>
      <c r="AG859" s="43"/>
      <c r="AH859" s="47"/>
      <c r="AI859" s="30"/>
      <c r="AJ859" s="30"/>
      <c r="AK859" s="30"/>
      <c r="AL859" s="30"/>
      <c r="AM859" s="13"/>
      <c r="AN859" s="13"/>
      <c r="AO859" s="13"/>
      <c r="AP859" s="13"/>
      <c r="AQ859" s="13"/>
      <c r="AR859" s="14"/>
      <c r="AS859" s="15"/>
    </row>
    <row r="860" spans="1:45" s="17" customFormat="1" ht="30.95" hidden="1" customHeight="1" x14ac:dyDescent="0.2">
      <c r="A860" s="37" t="s">
        <v>1312</v>
      </c>
      <c r="B860" s="38" t="s">
        <v>1299</v>
      </c>
      <c r="C860" s="45"/>
      <c r="D860" s="31"/>
      <c r="E860" s="31"/>
      <c r="F860" s="268"/>
      <c r="G860" s="269"/>
      <c r="H860" s="269"/>
      <c r="I860" s="270"/>
      <c r="J860" s="210" t="s">
        <v>448</v>
      </c>
      <c r="K860" s="270"/>
      <c r="L860" s="270"/>
      <c r="M860" s="39"/>
      <c r="N860" s="39"/>
      <c r="O860" s="156"/>
      <c r="P860" s="47"/>
      <c r="Q860" s="57"/>
      <c r="R860" s="271"/>
      <c r="S860" s="272"/>
      <c r="T860" s="273"/>
      <c r="U860" s="40"/>
      <c r="V860" s="274"/>
      <c r="W860" s="269"/>
      <c r="X860" s="269"/>
      <c r="Y860" s="275"/>
      <c r="Z860" s="269"/>
      <c r="AA860" s="57"/>
      <c r="AB860" s="207"/>
      <c r="AC860" s="33"/>
      <c r="AD860" s="189"/>
      <c r="AE860" s="54"/>
      <c r="AF860" s="55"/>
      <c r="AG860" s="43"/>
      <c r="AH860" s="47"/>
      <c r="AI860" s="30"/>
      <c r="AJ860" s="30"/>
      <c r="AK860" s="30"/>
      <c r="AL860" s="30"/>
      <c r="AM860" s="13"/>
      <c r="AN860" s="13"/>
      <c r="AO860" s="13"/>
      <c r="AP860" s="13"/>
      <c r="AQ860" s="13"/>
      <c r="AR860" s="14"/>
      <c r="AS860" s="15"/>
    </row>
    <row r="861" spans="1:45" s="17" customFormat="1" ht="30.95" hidden="1" customHeight="1" x14ac:dyDescent="0.2">
      <c r="A861" s="37"/>
      <c r="B861" s="38"/>
      <c r="C861" s="45"/>
      <c r="D861" s="31"/>
      <c r="E861" s="31"/>
      <c r="F861" s="268"/>
      <c r="G861" s="269"/>
      <c r="H861" s="269"/>
      <c r="I861" s="270"/>
      <c r="J861" s="210"/>
      <c r="K861" s="270"/>
      <c r="L861" s="270"/>
      <c r="M861" s="39"/>
      <c r="N861" s="39"/>
      <c r="O861" s="156"/>
      <c r="P861" s="47"/>
      <c r="Q861" s="57"/>
      <c r="R861" s="271"/>
      <c r="S861" s="272"/>
      <c r="T861" s="273"/>
      <c r="U861" s="40"/>
      <c r="V861" s="274"/>
      <c r="W861" s="269"/>
      <c r="X861" s="269"/>
      <c r="Y861" s="275"/>
      <c r="Z861" s="269"/>
      <c r="AA861" s="57"/>
      <c r="AB861" s="207"/>
      <c r="AC861" s="33"/>
      <c r="AD861" s="189"/>
      <c r="AE861" s="54"/>
      <c r="AF861" s="55"/>
      <c r="AG861" s="43"/>
      <c r="AH861" s="47"/>
      <c r="AI861" s="30"/>
      <c r="AJ861" s="30"/>
      <c r="AK861" s="30"/>
      <c r="AL861" s="30"/>
      <c r="AM861" s="13"/>
      <c r="AN861" s="13"/>
      <c r="AO861" s="13"/>
      <c r="AP861" s="13"/>
      <c r="AQ861" s="13"/>
      <c r="AR861" s="14"/>
      <c r="AS861" s="15"/>
    </row>
    <row r="862" spans="1:45" s="17" customFormat="1" ht="30.95" hidden="1" customHeight="1" x14ac:dyDescent="0.2">
      <c r="A862" s="37" t="s">
        <v>1313</v>
      </c>
      <c r="B862" s="38" t="s">
        <v>1301</v>
      </c>
      <c r="C862" s="45"/>
      <c r="D862" s="31"/>
      <c r="E862" s="31"/>
      <c r="F862" s="268"/>
      <c r="G862" s="269"/>
      <c r="H862" s="269"/>
      <c r="I862" s="270"/>
      <c r="J862" s="210" t="s">
        <v>1310</v>
      </c>
      <c r="K862" s="270"/>
      <c r="L862" s="270"/>
      <c r="M862" s="39"/>
      <c r="N862" s="39"/>
      <c r="O862" s="156"/>
      <c r="P862" s="47"/>
      <c r="Q862" s="57"/>
      <c r="R862" s="271"/>
      <c r="S862" s="272"/>
      <c r="T862" s="273"/>
      <c r="U862" s="40"/>
      <c r="V862" s="274"/>
      <c r="W862" s="269"/>
      <c r="X862" s="269"/>
      <c r="Y862" s="275"/>
      <c r="Z862" s="269"/>
      <c r="AA862" s="57"/>
      <c r="AB862" s="207"/>
      <c r="AC862" s="33"/>
      <c r="AD862" s="189"/>
      <c r="AE862" s="54"/>
      <c r="AF862" s="55"/>
      <c r="AG862" s="43"/>
      <c r="AH862" s="47"/>
      <c r="AI862" s="30"/>
      <c r="AJ862" s="30"/>
      <c r="AK862" s="30"/>
      <c r="AL862" s="30"/>
      <c r="AM862" s="13"/>
      <c r="AN862" s="13"/>
      <c r="AO862" s="13"/>
      <c r="AP862" s="13"/>
      <c r="AQ862" s="13"/>
      <c r="AR862" s="14"/>
      <c r="AS862" s="15"/>
    </row>
    <row r="863" spans="1:45" s="17" customFormat="1" ht="30.95" hidden="1" customHeight="1" x14ac:dyDescent="0.2">
      <c r="A863" s="37"/>
      <c r="B863" s="38"/>
      <c r="C863" s="45"/>
      <c r="D863" s="31"/>
      <c r="E863" s="31"/>
      <c r="F863" s="268"/>
      <c r="G863" s="269"/>
      <c r="H863" s="269"/>
      <c r="I863" s="270"/>
      <c r="J863" s="210"/>
      <c r="K863" s="270"/>
      <c r="L863" s="270"/>
      <c r="M863" s="39"/>
      <c r="N863" s="39"/>
      <c r="O863" s="156"/>
      <c r="P863" s="47"/>
      <c r="Q863" s="57"/>
      <c r="R863" s="271"/>
      <c r="S863" s="272"/>
      <c r="T863" s="273"/>
      <c r="U863" s="40"/>
      <c r="V863" s="274"/>
      <c r="W863" s="269"/>
      <c r="X863" s="269"/>
      <c r="Y863" s="275"/>
      <c r="Z863" s="269"/>
      <c r="AA863" s="57"/>
      <c r="AB863" s="207"/>
      <c r="AC863" s="33"/>
      <c r="AD863" s="189"/>
      <c r="AE863" s="54"/>
      <c r="AF863" s="55"/>
      <c r="AG863" s="43"/>
      <c r="AH863" s="47"/>
      <c r="AI863" s="30"/>
      <c r="AJ863" s="30"/>
      <c r="AK863" s="30"/>
      <c r="AL863" s="30"/>
      <c r="AM863" s="13"/>
      <c r="AN863" s="13"/>
      <c r="AO863" s="13"/>
      <c r="AP863" s="13"/>
      <c r="AQ863" s="13"/>
      <c r="AR863" s="14"/>
      <c r="AS863" s="15"/>
    </row>
    <row r="864" spans="1:45" s="17" customFormat="1" ht="30.95" hidden="1" customHeight="1" x14ac:dyDescent="0.2">
      <c r="A864" s="37" t="s">
        <v>1314</v>
      </c>
      <c r="B864" s="38" t="s">
        <v>1303</v>
      </c>
      <c r="C864" s="45"/>
      <c r="D864" s="31">
        <v>3721225</v>
      </c>
      <c r="E864" s="31">
        <v>4162019</v>
      </c>
      <c r="F864" s="268" t="str">
        <f>IF(D864="","",VLOOKUP(D864,契約台帳!$A$3:$K$4986,6,FALSE)&amp;VLOOKUP(D864,契約台帳!$A$3:$K$4986,7,FALSE)&amp;VLOOKUP(D864,契約台帳!$A$3:$K$4986,8,FALSE)&amp;VLOOKUP(D864,契約台帳!$A$3:$K$4986,9,FALSE)&amp;VLOOKUP(D864,契約台帳!$A$3:$K$4986,11,FALSE))</f>
        <v>3SNMLBMNQR66F</v>
      </c>
      <c r="G864" s="269" t="str">
        <f>IF(D864="","",VLOOKUP(F864,製品マスタ!$G$5:$H$5002,2,FALSE))</f>
        <v>S</v>
      </c>
      <c r="H864" s="269" t="str">
        <f>IF(D864="","",VLOOKUP(F864,製品マスタ!$G$5:$K$5002,5,FALSE))</f>
        <v>MNQR66F</v>
      </c>
      <c r="I864" s="270" t="str">
        <f>IF(D864="","",VLOOKUP(F864,製品マスタ!$G$5:$L$5002,6,FALSE))</f>
        <v>ＱＲ６６蒸着品</v>
      </c>
      <c r="J864" s="210" t="s">
        <v>935</v>
      </c>
      <c r="K864" s="270">
        <f>IF(D864="","",VLOOKUP(D864,契約台帳!$A$3:$L$4986,12,FALSE))</f>
        <v>25</v>
      </c>
      <c r="L864" s="270" t="str">
        <f>IF(D864="","",INDEX(製品マスタ!$Q$5:$Q$5002,MATCH('S4'!F864&amp;'S4'!K864,製品マスタ!$AO$5:$AO$5002,0)))</f>
        <v>E315</v>
      </c>
      <c r="M864" s="39">
        <v>1100</v>
      </c>
      <c r="N864" s="39">
        <v>6000</v>
      </c>
      <c r="O864" s="156">
        <v>8</v>
      </c>
      <c r="P864" s="47">
        <v>4</v>
      </c>
      <c r="Q864" s="213">
        <v>45134</v>
      </c>
      <c r="R864" s="271">
        <f ca="1">IF(D864="","",IF(OFFSET(D864,-1,0)&lt;&gt;"","",IF(OR(J864="リード付け",J864="巻足し",J864="巻返しリード付け"),M864,VLOOKUP(D864,契約台帳!$A$3:$N$4986,14,FALSE))))</f>
        <v>1100</v>
      </c>
      <c r="S864" s="272">
        <f ca="1">IF(D864="","",IF(OFFSET(D864,-1,0)&lt;&gt;"","",IF(OR(J864="リード付け",J864="巻足し",J864="巻返しリード付け"),M864,VLOOKUP(D864,契約台帳!$A$3:$O$4986,15,FALSE))))</f>
        <v>1100</v>
      </c>
      <c r="T864" s="273">
        <f ca="1">IF(D864="","",IF(J864="リード付け",N864,IF(J864="巻返しリード付け",N864,IF(J864="巻足し",N864*P864+OFFSET(N864,1,0)*OFFSET(P864,1,0),VLOOKUP(D864,契約台帳!$A$3:$P$4986,16,FALSE)))))</f>
        <v>24000</v>
      </c>
      <c r="U864" s="40">
        <v>2</v>
      </c>
      <c r="V864" s="274">
        <f ca="1">IF(D864="","",IF(OFFSET(D864,-2,0)=D864,"",VLOOKUP(D864,契約台帳!$A$3:$R$4986,18,FALSE)))</f>
        <v>8</v>
      </c>
      <c r="W864" s="269" t="str">
        <f ca="1">IF(D864="","",IF(T864="","",IF(OR(J864="巻足し",J864="巻返しリード付け"),"",IF(J864="巻返し",VLOOKUP(F864&amp;K864&amp;M864,製品マスタ!$M$5:$AD$5002,18,FALSE),IF(OR(J864="リード付け",J864="巻返しリード付け"),"原反コア",IF(J864="スリット",VLOOKUP(F864&amp;K864&amp;R864,製品マスタ!$N$5:$AD$5002,17,FALSE),""))))))</f>
        <v/>
      </c>
      <c r="X864" s="269" t="str">
        <f ca="1">IF(D864="","",IF(T864="","",IF(J864="巻足し","",IF(J864="巻返し",VLOOKUP(F864&amp;K864&amp;M864,製品マスタ!$M$5:$AE$5002,19,FALSE),IF(OR(J864="リード付け",J864="巻返しリード付け"),"",IF(J864="スリット",VLOOKUP(F864&amp;K864&amp;R864,製品マスタ!$N$5:$AE$5002,18,FALSE),""))))))</f>
        <v/>
      </c>
      <c r="Y864" s="275">
        <f ca="1">IF(D864="","",IF(T864="","",VLOOKUP(D864,契約台帳!$A$3:$Q$4986,17,FALSE)))</f>
        <v>2</v>
      </c>
      <c r="Z864" s="269" t="str">
        <f ca="1">IF(D864="","",IF(T864="","",VLOOKUP(D864,契約台帳!$A$3:$E$4986,5,FALSE)))</f>
        <v>リンテック㈱</v>
      </c>
      <c r="AA864" s="57"/>
      <c r="AB864" s="207" t="str">
        <f>IFERROR((VLOOKUP(F864&amp;K864&amp;M864,製品マスタ!$M$5:$AM$5002,27,FALSE)),"")</f>
        <v>原反ケース再利用</v>
      </c>
      <c r="AC864" s="33"/>
      <c r="AD864" s="189"/>
      <c r="AE864" s="54"/>
      <c r="AF864" s="55"/>
      <c r="AG864" s="43"/>
      <c r="AH864" s="47"/>
      <c r="AI864" s="30"/>
      <c r="AJ864" s="30"/>
      <c r="AK864" s="30"/>
      <c r="AL864" s="30"/>
      <c r="AM864" s="13"/>
      <c r="AN864" s="13"/>
      <c r="AO864" s="13"/>
      <c r="AP864" s="13"/>
      <c r="AQ864" s="13"/>
      <c r="AR864" s="14"/>
      <c r="AS864" s="15"/>
    </row>
    <row r="865" spans="1:45" s="17" customFormat="1" ht="30.95" hidden="1" customHeight="1" x14ac:dyDescent="0.2">
      <c r="A865" s="37"/>
      <c r="B865" s="38"/>
      <c r="C865" s="45"/>
      <c r="D865" s="31"/>
      <c r="E865" s="31"/>
      <c r="F865" s="268" t="str">
        <f>IF(D865="","",VLOOKUP(D865,契約台帳!$A$3:$K$4986,6,FALSE)&amp;VLOOKUP(D865,契約台帳!$A$3:$K$4986,7,FALSE)&amp;VLOOKUP(D865,契約台帳!$A$3:$K$4986,8,FALSE)&amp;VLOOKUP(D865,契約台帳!$A$3:$K$4986,9,FALSE)&amp;VLOOKUP(D865,契約台帳!$A$3:$K$4986,11,FALSE))</f>
        <v/>
      </c>
      <c r="G865" s="269" t="str">
        <f>IF(D865="","",VLOOKUP(F865,製品マスタ!$G$5:$H$5002,2,FALSE))</f>
        <v/>
      </c>
      <c r="H865" s="269" t="str">
        <f>IF(D865="","",VLOOKUP(F865,製品マスタ!$G$5:$K$5002,5,FALSE))</f>
        <v/>
      </c>
      <c r="I865" s="270" t="str">
        <f>IF(D865="","",VLOOKUP(F865,製品マスタ!$G$5:$L$5002,6,FALSE))</f>
        <v/>
      </c>
      <c r="J865" s="210"/>
      <c r="K865" s="270" t="str">
        <f>IF(D865="","",VLOOKUP(D865,契約台帳!$A$3:$L$4986,12,FALSE))</f>
        <v/>
      </c>
      <c r="L865" s="270" t="str">
        <f>IF(D865="","",INDEX(製品マスタ!$Q$5:$Q$5002,MATCH('S4'!F865&amp;'S4'!K865,製品マスタ!$AO$5:$AO$5002,0)))</f>
        <v/>
      </c>
      <c r="M865" s="39"/>
      <c r="N865" s="39"/>
      <c r="O865" s="156"/>
      <c r="P865" s="47"/>
      <c r="Q865" s="57"/>
      <c r="R865" s="271" t="str">
        <f ca="1">IF(D865="","",IF(OFFSET(D865,-1,0)&lt;&gt;"","",IF(OR(J865="リード付け",J865="巻足し",J865="巻返しリード付け"),M865,VLOOKUP(D865,契約台帳!$A$3:$N$4986,14,FALSE))))</f>
        <v/>
      </c>
      <c r="S865" s="272" t="str">
        <f ca="1">IF(D865="","",IF(OFFSET(D865,-1,0)&lt;&gt;"","",IF(OR(J865="リード付け",J865="巻足し",J865="巻返しリード付け"),M865,VLOOKUP(D865,契約台帳!$A$3:$O$4986,15,FALSE))))</f>
        <v/>
      </c>
      <c r="T865" s="273" t="str">
        <f ca="1">IF(D865="","",IF(J865="リード付け",N865,IF(J865="巻返しリード付け",N865,IF(J865="巻足し",N865*P865+OFFSET(N865,1,0)*OFFSET(P865,1,0),VLOOKUP(D865,契約台帳!$A$3:$P$4986,16,FALSE)))))</f>
        <v/>
      </c>
      <c r="U865" s="40"/>
      <c r="V865" s="274" t="str">
        <f ca="1">IF(D865="","",IF(OFFSET(D865,-2,0)=D865,"",VLOOKUP(D865,契約台帳!$A$3:$R$4986,18,FALSE)))</f>
        <v/>
      </c>
      <c r="W865" s="269" t="str">
        <f>IF(D865="","",IF(T865="","",IF(OR(J865="巻足し",J865="巻返しリード付け"),"",IF(J865="巻返し",VLOOKUP(F865&amp;K865&amp;M865,製品マスタ!$M$5:$AD$5002,18,FALSE),IF(OR(J865="リード付け",J865="巻返しリード付け"),"原反コア",IF(J865="スリット",VLOOKUP(F865&amp;K865&amp;R865,製品マスタ!$N$5:$AD$5002,17,FALSE),""))))))</f>
        <v/>
      </c>
      <c r="X865" s="269" t="str">
        <f>IF(D865="","",IF(T865="","",IF(J865="巻足し","",IF(J865="巻返し",VLOOKUP(F865&amp;K865&amp;M865,製品マスタ!$M$5:$AE$5002,19,FALSE),IF(OR(J865="リード付け",J865="巻返しリード付け"),"",IF(J865="スリット",VLOOKUP(F865&amp;K865&amp;R865,製品マスタ!$N$5:$AE$5002,18,FALSE),""))))))</f>
        <v/>
      </c>
      <c r="Y865" s="275" t="str">
        <f>IF(D865="","",IF(T865="","",VLOOKUP(D865,契約台帳!$A$3:$Q$4986,17,FALSE)))</f>
        <v/>
      </c>
      <c r="Z865" s="269" t="str">
        <f>IF(D865="","",IF(T865="","",VLOOKUP(D865,契約台帳!$A$3:$E$4986,5,FALSE)))</f>
        <v/>
      </c>
      <c r="AA865" s="57"/>
      <c r="AB865" s="207" t="str">
        <f>IFERROR((VLOOKUP(F865&amp;K865&amp;M865,製品マスタ!$M$5:$AM$5002,27,FALSE)),"")</f>
        <v/>
      </c>
      <c r="AC865" s="33"/>
      <c r="AD865" s="189"/>
      <c r="AE865" s="54"/>
      <c r="AF865" s="55"/>
      <c r="AG865" s="43"/>
      <c r="AH865" s="47"/>
      <c r="AI865" s="30"/>
      <c r="AJ865" s="30"/>
      <c r="AK865" s="30"/>
      <c r="AL865" s="30"/>
      <c r="AM865" s="13"/>
      <c r="AN865" s="13"/>
      <c r="AO865" s="13"/>
      <c r="AP865" s="13"/>
      <c r="AQ865" s="13"/>
      <c r="AR865" s="14"/>
      <c r="AS865" s="15"/>
    </row>
    <row r="866" spans="1:45" s="17" customFormat="1" ht="30.95" hidden="1" customHeight="1" x14ac:dyDescent="0.2">
      <c r="A866" s="37"/>
      <c r="B866" s="38"/>
      <c r="C866" s="45"/>
      <c r="D866" s="31">
        <v>3721209</v>
      </c>
      <c r="E866" s="31">
        <v>4161995</v>
      </c>
      <c r="F866" s="268" t="str">
        <f>IF(D866="","",VLOOKUP(D866,契約台帳!$A$3:$K$4986,6,FALSE)&amp;VLOOKUP(D866,契約台帳!$A$3:$K$4986,7,FALSE)&amp;VLOOKUP(D866,契約台帳!$A$3:$K$4986,8,FALSE)&amp;VLOOKUP(D866,契約台帳!$A$3:$K$4986,9,FALSE)&amp;VLOOKUP(D866,契約台帳!$A$3:$K$4986,11,FALSE))</f>
        <v>3SNMLBMNGKBF</v>
      </c>
      <c r="G866" s="269" t="str">
        <f>IF(D866="","",VLOOKUP(F866,製品マスタ!$G$5:$H$5002,2,FALSE))</f>
        <v>S</v>
      </c>
      <c r="H866" s="269" t="str">
        <f>IF(D866="","",VLOOKUP(F866,製品マスタ!$G$5:$K$5002,5,FALSE))</f>
        <v>MNGKBF</v>
      </c>
      <c r="I866" s="270" t="str">
        <f>IF(D866="","",VLOOKUP(F866,製品マスタ!$G$5:$L$5002,6,FALSE))</f>
        <v>メタルミー　ネーマー銀消　Ｂ</v>
      </c>
      <c r="J866" s="210" t="s">
        <v>935</v>
      </c>
      <c r="K866" s="270">
        <f>IF(D866="","",VLOOKUP(D866,契約台帳!$A$3:$L$4986,12,FALSE))</f>
        <v>50</v>
      </c>
      <c r="L866" s="270" t="str">
        <f>IF(D866="","",INDEX(製品マスタ!$Q$5:$Q$5002,MATCH('S4'!F866&amp;'S4'!K866,製品マスタ!$AO$5:$AO$5002,0)))</f>
        <v>MAT</v>
      </c>
      <c r="M866" s="39">
        <v>1050</v>
      </c>
      <c r="N866" s="39">
        <v>4100</v>
      </c>
      <c r="O866" s="156">
        <v>3</v>
      </c>
      <c r="P866" s="47">
        <v>3</v>
      </c>
      <c r="Q866" s="213">
        <v>45133</v>
      </c>
      <c r="R866" s="271">
        <f ca="1">IF(D866="","",IF(OFFSET(D866,-1,0)&lt;&gt;"","",IF(OR(J866="リード付け",J866="巻足し",J866="巻返しリード付け"),M866,VLOOKUP(D866,契約台帳!$A$3:$N$4986,14,FALSE))))</f>
        <v>1050</v>
      </c>
      <c r="S866" s="272">
        <f ca="1">IF(D866="","",IF(OFFSET(D866,-1,0)&lt;&gt;"","",IF(OR(J866="リード付け",J866="巻足し",J866="巻返しリード付け"),M866,VLOOKUP(D866,契約台帳!$A$3:$O$4986,15,FALSE))))</f>
        <v>1050</v>
      </c>
      <c r="T866" s="273">
        <f ca="1">IF(D866="","",IF(J866="リード付け",N866,IF(J866="巻返しリード付け",N866,IF(J866="巻足し",N866*P866+OFFSET(N866,1,0)*OFFSET(P866,1,0),VLOOKUP(D866,契約台帳!$A$3:$P$4986,16,FALSE)))))</f>
        <v>12300</v>
      </c>
      <c r="U866" s="40">
        <v>1</v>
      </c>
      <c r="V866" s="274">
        <f ca="1">IF(D866="","",IF(OFFSET(D866,-2,0)=D866,"",VLOOKUP(D866,契約台帳!$A$3:$R$4986,18,FALSE)))</f>
        <v>3</v>
      </c>
      <c r="W866" s="269" t="str">
        <f ca="1">IF(D866="","",IF(T866="","",IF(OR(J866="巻足し",J866="巻返しリード付け"),"",IF(J866="巻返し",VLOOKUP(F866&amp;K866&amp;M866,製品マスタ!$M$5:$AD$5002,18,FALSE),IF(OR(J866="リード付け",J866="巻返しリード付け"),"原反コア",IF(J866="スリット",VLOOKUP(F866&amp;K866&amp;R866,製品マスタ!$N$5:$AD$5002,17,FALSE),""))))))</f>
        <v/>
      </c>
      <c r="X866" s="269" t="str">
        <f ca="1">IF(D866="","",IF(T866="","",IF(J866="巻足し","",IF(J866="巻返し",VLOOKUP(F866&amp;K866&amp;M866,製品マスタ!$M$5:$AE$5002,19,FALSE),IF(OR(J866="リード付け",J866="巻返しリード付け"),"",IF(J866="スリット",VLOOKUP(F866&amp;K866&amp;R866,製品マスタ!$N$5:$AE$5002,18,FALSE),""))))))</f>
        <v/>
      </c>
      <c r="Y866" s="275">
        <f ca="1">IF(D866="","",IF(T866="","",VLOOKUP(D866,契約台帳!$A$3:$Q$4986,17,FALSE)))</f>
        <v>2</v>
      </c>
      <c r="Z866" s="269" t="str">
        <f ca="1">IF(D866="","",IF(T866="","",VLOOKUP(D866,契約台帳!$A$3:$E$4986,5,FALSE)))</f>
        <v>リンテック㈱</v>
      </c>
      <c r="AA866" s="57"/>
      <c r="AB866" s="207">
        <f>IFERROR((VLOOKUP(F866&amp;K866&amp;M866,製品マスタ!$M$5:$AM$5002,27,FALSE)),"")</f>
        <v>0</v>
      </c>
      <c r="AC866" s="33"/>
      <c r="AD866" s="189"/>
      <c r="AE866" s="54"/>
      <c r="AF866" s="55"/>
      <c r="AG866" s="43"/>
      <c r="AH866" s="47"/>
      <c r="AI866" s="30"/>
      <c r="AJ866" s="30"/>
      <c r="AK866" s="30"/>
      <c r="AL866" s="30"/>
      <c r="AM866" s="13"/>
      <c r="AN866" s="13"/>
      <c r="AO866" s="13"/>
      <c r="AP866" s="13"/>
      <c r="AQ866" s="13"/>
      <c r="AR866" s="14"/>
      <c r="AS866" s="15"/>
    </row>
    <row r="867" spans="1:45" s="17" customFormat="1" ht="30.95" hidden="1" customHeight="1" x14ac:dyDescent="0.2">
      <c r="A867" s="37"/>
      <c r="B867" s="38"/>
      <c r="C867" s="45"/>
      <c r="D867" s="31"/>
      <c r="E867" s="31"/>
      <c r="F867" s="268"/>
      <c r="G867" s="269"/>
      <c r="H867" s="269"/>
      <c r="I867" s="270"/>
      <c r="J867" s="210"/>
      <c r="K867" s="270"/>
      <c r="L867" s="270"/>
      <c r="M867" s="39"/>
      <c r="N867" s="39"/>
      <c r="O867" s="156"/>
      <c r="P867" s="47"/>
      <c r="Q867" s="57"/>
      <c r="R867" s="271"/>
      <c r="S867" s="272"/>
      <c r="T867" s="273"/>
      <c r="U867" s="40"/>
      <c r="V867" s="274"/>
      <c r="W867" s="269"/>
      <c r="X867" s="269"/>
      <c r="Y867" s="275"/>
      <c r="Z867" s="269"/>
      <c r="AA867" s="57"/>
      <c r="AB867" s="207"/>
      <c r="AC867" s="33"/>
      <c r="AD867" s="189"/>
      <c r="AE867" s="54"/>
      <c r="AF867" s="55"/>
      <c r="AG867" s="43"/>
      <c r="AH867" s="47"/>
      <c r="AI867" s="30"/>
      <c r="AJ867" s="30"/>
      <c r="AK867" s="30"/>
      <c r="AL867" s="30"/>
      <c r="AM867" s="13"/>
      <c r="AN867" s="13"/>
      <c r="AO867" s="13"/>
      <c r="AP867" s="13"/>
      <c r="AQ867" s="13"/>
      <c r="AR867" s="14"/>
      <c r="AS867" s="15"/>
    </row>
    <row r="868" spans="1:45" s="17" customFormat="1" ht="30.95" hidden="1" customHeight="1" x14ac:dyDescent="0.2">
      <c r="A868" s="37"/>
      <c r="B868" s="38"/>
      <c r="C868" s="45"/>
      <c r="D868" s="31">
        <v>3721210</v>
      </c>
      <c r="E868" s="31">
        <v>4161996</v>
      </c>
      <c r="F868" s="268" t="str">
        <f>IF(D868="","",VLOOKUP(D868,契約台帳!$A$3:$K$4986,6,FALSE)&amp;VLOOKUP(D868,契約台帳!$A$3:$K$4986,7,FALSE)&amp;VLOOKUP(D868,契約台帳!$A$3:$K$4986,8,FALSE)&amp;VLOOKUP(D868,契約台帳!$A$3:$K$4986,9,FALSE)&amp;VLOOKUP(D868,契約台帳!$A$3:$K$4986,11,FALSE))</f>
        <v>3SNMLBMNGKBF</v>
      </c>
      <c r="G868" s="269" t="str">
        <f>IF(D868="","",VLOOKUP(F868,製品マスタ!$G$5:$H$5002,2,FALSE))</f>
        <v>S</v>
      </c>
      <c r="H868" s="269" t="str">
        <f>IF(D868="","",VLOOKUP(F868,製品マスタ!$G$5:$K$5002,5,FALSE))</f>
        <v>MNGKBF</v>
      </c>
      <c r="I868" s="270" t="str">
        <f>IF(D868="","",VLOOKUP(F868,製品マスタ!$G$5:$L$5002,6,FALSE))</f>
        <v>メタルミー　ネーマー銀消　Ｂ</v>
      </c>
      <c r="J868" s="210" t="s">
        <v>935</v>
      </c>
      <c r="K868" s="270">
        <f>IF(D868="","",VLOOKUP(D868,契約台帳!$A$3:$L$4986,12,FALSE))</f>
        <v>75</v>
      </c>
      <c r="L868" s="270" t="str">
        <f>IF(D868="","",INDEX(製品マスタ!$Q$5:$Q$5002,MATCH('S4'!F868&amp;'S4'!K868,製品マスタ!$AO$5:$AO$5002,0)))</f>
        <v>MAT</v>
      </c>
      <c r="M868" s="39">
        <v>1050</v>
      </c>
      <c r="N868" s="39">
        <v>2000</v>
      </c>
      <c r="O868" s="156">
        <v>2</v>
      </c>
      <c r="P868" s="47">
        <v>2</v>
      </c>
      <c r="Q868" s="213">
        <v>45133</v>
      </c>
      <c r="R868" s="271">
        <f ca="1">IF(D868="","",IF(OFFSET(D868,-1,0)&lt;&gt;"","",IF(OR(J868="リード付け",J868="巻足し",J868="巻返しリード付け"),M868,VLOOKUP(D868,契約台帳!$A$3:$N$4986,14,FALSE))))</f>
        <v>1050</v>
      </c>
      <c r="S868" s="272">
        <f ca="1">IF(D868="","",IF(OFFSET(D868,-1,0)&lt;&gt;"","",IF(OR(J868="リード付け",J868="巻足し",J868="巻返しリード付け"),M868,VLOOKUP(D868,契約台帳!$A$3:$O$4986,15,FALSE))))</f>
        <v>1050</v>
      </c>
      <c r="T868" s="273">
        <f ca="1">IF(D868="","",IF(J868="リード付け",N868,IF(J868="巻返しリード付け",N868,IF(J868="巻足し",N868*P868+OFFSET(N868,1,0)*OFFSET(P868,1,0),VLOOKUP(D868,契約台帳!$A$3:$P$4986,16,FALSE)))))</f>
        <v>4000</v>
      </c>
      <c r="U868" s="40">
        <v>1</v>
      </c>
      <c r="V868" s="274">
        <f ca="1">IF(D868="","",IF(OFFSET(D868,-2,0)=D868,"",VLOOKUP(D868,契約台帳!$A$3:$R$4986,18,FALSE)))</f>
        <v>2</v>
      </c>
      <c r="W868" s="269" t="str">
        <f ca="1">IF(D868="","",IF(T868="","",IF(OR(J868="巻足し",J868="巻返しリード付け"),"",IF(J868="巻返し",VLOOKUP(F868&amp;K868&amp;M868,製品マスタ!$M$5:$AD$5002,18,FALSE),IF(OR(J868="リード付け",J868="巻返しリード付け"),"原反コア",IF(J868="スリット",VLOOKUP(F868&amp;K868&amp;R868,製品マスタ!$N$5:$AD$5002,17,FALSE),""))))))</f>
        <v/>
      </c>
      <c r="X868" s="269" t="str">
        <f ca="1">IF(D868="","",IF(T868="","",IF(J868="巻足し","",IF(J868="巻返し",VLOOKUP(F868&amp;K868&amp;M868,製品マスタ!$M$5:$AE$5002,19,FALSE),IF(OR(J868="リード付け",J868="巻返しリード付け"),"",IF(J868="スリット",VLOOKUP(F868&amp;K868&amp;R868,製品マスタ!$N$5:$AE$5002,18,FALSE),""))))))</f>
        <v/>
      </c>
      <c r="Y868" s="275">
        <f ca="1">IF(D868="","",IF(T868="","",VLOOKUP(D868,契約台帳!$A$3:$Q$4986,17,FALSE)))</f>
        <v>2</v>
      </c>
      <c r="Z868" s="269" t="str">
        <f ca="1">IF(D868="","",IF(T868="","",VLOOKUP(D868,契約台帳!$A$3:$E$4986,5,FALSE)))</f>
        <v>リンテック㈱</v>
      </c>
      <c r="AA868" s="57"/>
      <c r="AB868" s="207">
        <f>IFERROR((VLOOKUP(F868&amp;K868&amp;M868,製品マスタ!$M$5:$AM$5002,27,FALSE)),"")</f>
        <v>0</v>
      </c>
      <c r="AC868" s="33"/>
      <c r="AD868" s="189"/>
      <c r="AE868" s="54"/>
      <c r="AF868" s="55"/>
      <c r="AG868" s="43"/>
      <c r="AH868" s="47"/>
      <c r="AI868" s="30"/>
      <c r="AJ868" s="30"/>
      <c r="AK868" s="30"/>
      <c r="AL868" s="30"/>
      <c r="AM868" s="13"/>
      <c r="AN868" s="13"/>
      <c r="AO868" s="13"/>
      <c r="AP868" s="13"/>
      <c r="AQ868" s="13"/>
      <c r="AR868" s="14"/>
      <c r="AS868" s="15"/>
    </row>
    <row r="869" spans="1:45" s="17" customFormat="1" ht="30.95" hidden="1" customHeight="1" x14ac:dyDescent="0.2">
      <c r="A869" s="37"/>
      <c r="B869" s="38"/>
      <c r="C869" s="45"/>
      <c r="D869" s="31"/>
      <c r="E869" s="31"/>
      <c r="F869" s="268"/>
      <c r="G869" s="269"/>
      <c r="H869" s="269"/>
      <c r="I869" s="270"/>
      <c r="J869" s="210"/>
      <c r="K869" s="270"/>
      <c r="L869" s="270"/>
      <c r="M869" s="39"/>
      <c r="N869" s="39"/>
      <c r="O869" s="156"/>
      <c r="P869" s="47"/>
      <c r="Q869" s="57"/>
      <c r="R869" s="271"/>
      <c r="S869" s="272"/>
      <c r="T869" s="273"/>
      <c r="U869" s="40"/>
      <c r="V869" s="274"/>
      <c r="W869" s="269"/>
      <c r="X869" s="269"/>
      <c r="Y869" s="275"/>
      <c r="Z869" s="269"/>
      <c r="AA869" s="57"/>
      <c r="AB869" s="207"/>
      <c r="AC869" s="33"/>
      <c r="AD869" s="189"/>
      <c r="AE869" s="54"/>
      <c r="AF869" s="55"/>
      <c r="AG869" s="43"/>
      <c r="AH869" s="47"/>
      <c r="AI869" s="30"/>
      <c r="AJ869" s="30"/>
      <c r="AK869" s="30"/>
      <c r="AL869" s="30"/>
      <c r="AM869" s="13"/>
      <c r="AN869" s="13"/>
      <c r="AO869" s="13"/>
      <c r="AP869" s="13"/>
      <c r="AQ869" s="13"/>
      <c r="AR869" s="14"/>
      <c r="AS869" s="15"/>
    </row>
    <row r="870" spans="1:45" s="17" customFormat="1" ht="30.95" hidden="1" customHeight="1" x14ac:dyDescent="0.2">
      <c r="A870" s="37"/>
      <c r="B870" s="38"/>
      <c r="C870" s="45"/>
      <c r="D870" s="31">
        <v>3721224</v>
      </c>
      <c r="E870" s="31">
        <v>4162018</v>
      </c>
      <c r="F870" s="268" t="str">
        <f>IF(D870="","",VLOOKUP(D870,契約台帳!$A$3:$K$4986,6,FALSE)&amp;VLOOKUP(D870,契約台帳!$A$3:$K$4986,7,FALSE)&amp;VLOOKUP(D870,契約台帳!$A$3:$K$4986,8,FALSE)&amp;VLOOKUP(D870,契約台帳!$A$3:$K$4986,9,FALSE)&amp;VLOOKUP(D870,契約台帳!$A$3:$K$4986,11,FALSE))</f>
        <v>3SNMLBMNQR66F</v>
      </c>
      <c r="G870" s="269" t="str">
        <f>IF(D870="","",VLOOKUP(F870,製品マスタ!$G$5:$H$5002,2,FALSE))</f>
        <v>S</v>
      </c>
      <c r="H870" s="269" t="str">
        <f>IF(D870="","",VLOOKUP(F870,製品マスタ!$G$5:$K$5002,5,FALSE))</f>
        <v>MNQR66F</v>
      </c>
      <c r="I870" s="270" t="str">
        <f>IF(D870="","",VLOOKUP(F870,製品マスタ!$G$5:$L$5002,6,FALSE))</f>
        <v>ＱＲ６６蒸着品</v>
      </c>
      <c r="J870" s="210" t="s">
        <v>935</v>
      </c>
      <c r="K870" s="270">
        <f>IF(D870="","",VLOOKUP(D870,契約台帳!$A$3:$L$4986,12,FALSE))</f>
        <v>25</v>
      </c>
      <c r="L870" s="270" t="str">
        <f>IF(D870="","",INDEX(製品マスタ!$Q$5:$Q$5002,MATCH('S4'!F870&amp;'S4'!K870,製品マスタ!$AO$5:$AO$5002,0)))</f>
        <v>E315</v>
      </c>
      <c r="M870" s="39">
        <v>1000</v>
      </c>
      <c r="N870" s="39">
        <v>6000</v>
      </c>
      <c r="O870" s="156">
        <v>4</v>
      </c>
      <c r="P870" s="47">
        <v>4</v>
      </c>
      <c r="Q870" s="213">
        <v>45135</v>
      </c>
      <c r="R870" s="271">
        <f ca="1">IF(D870="","",IF(OFFSET(D870,-1,0)&lt;&gt;"","",IF(OR(J870="リード付け",J870="巻足し",J870="巻返しリード付け"),M870,VLOOKUP(D870,契約台帳!$A$3:$N$4986,14,FALSE))))</f>
        <v>1000</v>
      </c>
      <c r="S870" s="272">
        <f ca="1">IF(D870="","",IF(OFFSET(D870,-1,0)&lt;&gt;"","",IF(OR(J870="リード付け",J870="巻足し",J870="巻返しリード付け"),M870,VLOOKUP(D870,契約台帳!$A$3:$O$4986,15,FALSE))))</f>
        <v>1000</v>
      </c>
      <c r="T870" s="273">
        <f ca="1">IF(D870="","",IF(J870="リード付け",N870,IF(J870="巻返しリード付け",N870,IF(J870="巻足し",N870*P870+OFFSET(N870,1,0)*OFFSET(P870,1,0),VLOOKUP(D870,契約台帳!$A$3:$P$4986,16,FALSE)))))</f>
        <v>24000</v>
      </c>
      <c r="U870" s="40">
        <v>1</v>
      </c>
      <c r="V870" s="274">
        <f ca="1">IF(D870="","",IF(OFFSET(D870,-2,0)=D870,"",VLOOKUP(D870,契約台帳!$A$3:$R$4986,18,FALSE)))</f>
        <v>4</v>
      </c>
      <c r="W870" s="269" t="str">
        <f ca="1">IF(D870="","",IF(T870="","",IF(OR(J870="巻足し",J870="巻返しリード付け"),"",IF(J870="巻返し",VLOOKUP(F870&amp;K870&amp;M870,製品マスタ!$M$5:$AD$5002,18,FALSE),IF(OR(J870="リード付け",J870="巻返しリード付け"),"原反コア",IF(J870="スリット",VLOOKUP(F870&amp;K870&amp;R870,製品マスタ!$N$5:$AD$5002,17,FALSE),""))))))</f>
        <v/>
      </c>
      <c r="X870" s="269" t="str">
        <f ca="1">IF(D870="","",IF(T870="","",IF(J870="巻足し","",IF(J870="巻返し",VLOOKUP(F870&amp;K870&amp;M870,製品マスタ!$M$5:$AE$5002,19,FALSE),IF(OR(J870="リード付け",J870="巻返しリード付け"),"",IF(J870="スリット",VLOOKUP(F870&amp;K870&amp;R870,製品マスタ!$N$5:$AE$5002,18,FALSE),""))))))</f>
        <v/>
      </c>
      <c r="Y870" s="275">
        <f ca="1">IF(D870="","",IF(T870="","",VLOOKUP(D870,契約台帳!$A$3:$Q$4986,17,FALSE)))</f>
        <v>2</v>
      </c>
      <c r="Z870" s="269" t="str">
        <f ca="1">IF(D870="","",IF(T870="","",VLOOKUP(D870,契約台帳!$A$3:$E$4986,5,FALSE)))</f>
        <v>リンテック㈱</v>
      </c>
      <c r="AA870" s="57"/>
      <c r="AB870" s="207" t="str">
        <f>IFERROR((VLOOKUP(F870&amp;K870&amp;M870,製品マスタ!$M$5:$AM$5002,27,FALSE)),"")</f>
        <v>原反ケース再利用</v>
      </c>
      <c r="AC870" s="33"/>
      <c r="AD870" s="189"/>
      <c r="AE870" s="54"/>
      <c r="AF870" s="55"/>
      <c r="AG870" s="43"/>
      <c r="AH870" s="339"/>
      <c r="AI870" s="30"/>
      <c r="AJ870" s="30"/>
      <c r="AK870" s="30"/>
      <c r="AL870" s="30"/>
      <c r="AM870" s="13"/>
      <c r="AN870" s="13"/>
      <c r="AO870" s="13"/>
      <c r="AP870" s="13"/>
      <c r="AQ870" s="13"/>
      <c r="AR870" s="14"/>
      <c r="AS870" s="15"/>
    </row>
    <row r="871" spans="1:45" s="17" customFormat="1" ht="30.95" hidden="1" customHeight="1" x14ac:dyDescent="0.2">
      <c r="A871" s="37"/>
      <c r="B871" s="38"/>
      <c r="C871" s="45"/>
      <c r="D871" s="31"/>
      <c r="E871" s="31"/>
      <c r="F871" s="268"/>
      <c r="G871" s="269"/>
      <c r="H871" s="269"/>
      <c r="I871" s="270"/>
      <c r="J871" s="210"/>
      <c r="K871" s="270"/>
      <c r="L871" s="270"/>
      <c r="M871" s="39"/>
      <c r="N871" s="39"/>
      <c r="O871" s="156"/>
      <c r="P871" s="47"/>
      <c r="Q871" s="57"/>
      <c r="R871" s="271"/>
      <c r="S871" s="272"/>
      <c r="T871" s="273"/>
      <c r="U871" s="40"/>
      <c r="V871" s="274"/>
      <c r="W871" s="269"/>
      <c r="X871" s="269"/>
      <c r="Y871" s="275"/>
      <c r="Z871" s="269"/>
      <c r="AA871" s="57"/>
      <c r="AB871" s="207"/>
      <c r="AC871" s="33"/>
      <c r="AD871" s="189"/>
      <c r="AE871" s="54"/>
      <c r="AF871" s="55"/>
      <c r="AG871" s="43"/>
      <c r="AH871" s="339"/>
      <c r="AI871" s="30"/>
      <c r="AJ871" s="30"/>
      <c r="AK871" s="30"/>
      <c r="AL871" s="30"/>
      <c r="AM871" s="13"/>
      <c r="AN871" s="13"/>
      <c r="AO871" s="13"/>
      <c r="AP871" s="13"/>
      <c r="AQ871" s="13"/>
      <c r="AR871" s="14"/>
      <c r="AS871" s="15"/>
    </row>
    <row r="872" spans="1:45" s="17" customFormat="1" ht="30.95" hidden="1" customHeight="1" x14ac:dyDescent="0.2">
      <c r="A872" s="37" t="s">
        <v>1345</v>
      </c>
      <c r="B872" s="38" t="s">
        <v>1338</v>
      </c>
      <c r="C872" s="45"/>
      <c r="D872" s="31">
        <v>3721200</v>
      </c>
      <c r="E872" s="31">
        <v>4161994</v>
      </c>
      <c r="F872" s="268" t="str">
        <f>IF(D872="","",VLOOKUP(D872,契約台帳!$A$3:$K$4986,6,FALSE)&amp;VLOOKUP(D872,契約台帳!$A$3:$K$4986,7,FALSE)&amp;VLOOKUP(D872,契約台帳!$A$3:$K$4986,8,FALSE)&amp;VLOOKUP(D872,契約台帳!$A$3:$K$4986,9,FALSE)&amp;VLOOKUP(D872,契約台帳!$A$3:$K$4986,11,FALSE))</f>
        <v>3HSNMCLBEYK</v>
      </c>
      <c r="G872" s="269" t="str">
        <f>IF(D872="","",VLOOKUP(F872,製品マスタ!$G$5:$H$5002,2,FALSE))</f>
        <v>S</v>
      </c>
      <c r="H872" s="269" t="str">
        <f>IF(D872="","",VLOOKUP(F872,製品マスタ!$G$5:$K$5002,5,FALSE))</f>
        <v>EYK</v>
      </c>
      <c r="I872" s="270" t="str">
        <f>IF(D872="","",VLOOKUP(F872,製品マスタ!$G$5:$L$5002,6,FALSE))</f>
        <v>メタルミー　ＥＹＫ</v>
      </c>
      <c r="J872" s="210" t="s">
        <v>935</v>
      </c>
      <c r="K872" s="270">
        <f>IF(D872="","",VLOOKUP(D872,契約台帳!$A$3:$L$4986,12,FALSE))</f>
        <v>50</v>
      </c>
      <c r="L872" s="270" t="str">
        <f>IF(D872="","",INDEX(製品マスタ!$Q$5:$Q$5002,MATCH('S4'!F872&amp;'S4'!K872,製品マスタ!$AO$5:$AO$5002,0)))</f>
        <v>T62M</v>
      </c>
      <c r="M872" s="39">
        <v>1195</v>
      </c>
      <c r="N872" s="39">
        <v>6100</v>
      </c>
      <c r="O872" s="156">
        <v>6</v>
      </c>
      <c r="P872" s="47">
        <v>2</v>
      </c>
      <c r="Q872" s="213">
        <v>45135</v>
      </c>
      <c r="R872" s="271">
        <f ca="1">IF(D872="","",IF(OFFSET(D872,-1,0)&lt;&gt;"","",IF(OR(J872="リード付け",J872="巻足し",J872="巻返しリード付け"),M872,VLOOKUP(D872,契約台帳!$A$3:$N$4986,14,FALSE))))</f>
        <v>1195</v>
      </c>
      <c r="S872" s="272">
        <f ca="1">IF(D872="","",IF(OFFSET(D872,-1,0)&lt;&gt;"","",IF(OR(J872="リード付け",J872="巻足し",J872="巻返しリード付け"),M872,VLOOKUP(D872,契約台帳!$A$3:$O$4986,15,FALSE))))</f>
        <v>1195</v>
      </c>
      <c r="T872" s="273">
        <f ca="1">IF(D872="","",IF(J872="リード付け",N872,IF(J872="巻返しリード付け",N872,IF(J872="巻足し",N872*P872+OFFSET(N872,1,0)*OFFSET(P872,1,0),VLOOKUP(D872,契約台帳!$A$3:$P$4986,16,FALSE)))))</f>
        <v>12200</v>
      </c>
      <c r="U872" s="40">
        <v>3</v>
      </c>
      <c r="V872" s="274">
        <f ca="1">IF(D872="","",IF(OFFSET(D872,-2,0)=D872,"",VLOOKUP(D872,契約台帳!$A$3:$R$4986,18,FALSE)))</f>
        <v>6</v>
      </c>
      <c r="W872" s="269" t="str">
        <f ca="1">IF(D872="","",IF(T872="","",IF(OR(J872="巻足し",J872="巻返しリード付け"),"",IF(J872="巻返し",VLOOKUP(F872&amp;K872&amp;M872,製品マスタ!$M$5:$AD$5002,18,FALSE),IF(OR(J872="リード付け",J872="巻返しリード付け"),"原反コア",IF(J872="スリット",VLOOKUP(F872&amp;K872&amp;R872,製品マスタ!$N$5:$AD$5002,17,FALSE),""))))))</f>
        <v/>
      </c>
      <c r="X872" s="269" t="str">
        <f ca="1">IF(D872="","",IF(T872="","",IF(J872="巻足し","",IF(J872="巻返し",VLOOKUP(F872&amp;K872&amp;M872,製品マスタ!$M$5:$AE$5002,19,FALSE),IF(OR(J872="リード付け",J872="巻返しリード付け"),"",IF(J872="スリット",VLOOKUP(F872&amp;K872&amp;R872,製品マスタ!$N$5:$AE$5002,18,FALSE),""))))))</f>
        <v/>
      </c>
      <c r="Y872" s="275">
        <f ca="1">IF(D872="","",IF(T872="","",VLOOKUP(D872,契約台帳!$A$3:$Q$4986,17,FALSE)))</f>
        <v>2</v>
      </c>
      <c r="Z872" s="269" t="str">
        <f ca="1">IF(D872="","",IF(T872="","",VLOOKUP(D872,契約台帳!$A$3:$E$4986,5,FALSE)))</f>
        <v>大阪シーリング印刷㈱</v>
      </c>
      <c r="AA872" s="57"/>
      <c r="AB872" s="207" t="str">
        <f>IFERROR((VLOOKUP(F872&amp;K872&amp;M872,製品マスタ!$M$5:$AM$5002,27,FALSE)),"")</f>
        <v>原反ケース再利用</v>
      </c>
      <c r="AC872" s="33"/>
      <c r="AD872" s="189"/>
      <c r="AE872" s="54"/>
      <c r="AF872" s="55"/>
      <c r="AG872" s="43"/>
      <c r="AH872" s="339"/>
      <c r="AI872" s="30"/>
      <c r="AJ872" s="30"/>
      <c r="AK872" s="30"/>
      <c r="AL872" s="30"/>
      <c r="AM872" s="13"/>
      <c r="AN872" s="13"/>
      <c r="AO872" s="13"/>
      <c r="AP872" s="13"/>
      <c r="AQ872" s="13"/>
      <c r="AR872" s="14"/>
      <c r="AS872" s="15"/>
    </row>
    <row r="873" spans="1:45" s="17" customFormat="1" ht="30.95" hidden="1" customHeight="1" x14ac:dyDescent="0.2">
      <c r="A873" s="37"/>
      <c r="B873" s="38"/>
      <c r="C873" s="45"/>
      <c r="D873" s="31"/>
      <c r="E873" s="31"/>
      <c r="F873" s="268"/>
      <c r="G873" s="269"/>
      <c r="H873" s="269"/>
      <c r="I873" s="270"/>
      <c r="J873" s="210"/>
      <c r="K873" s="270"/>
      <c r="L873" s="270"/>
      <c r="M873" s="39"/>
      <c r="N873" s="39"/>
      <c r="O873" s="156"/>
      <c r="P873" s="47"/>
      <c r="Q873" s="57"/>
      <c r="R873" s="338"/>
      <c r="S873" s="272"/>
      <c r="T873" s="273"/>
      <c r="U873" s="40"/>
      <c r="V873" s="277"/>
      <c r="W873" s="269"/>
      <c r="X873" s="269"/>
      <c r="Y873" s="275"/>
      <c r="Z873" s="269"/>
      <c r="AA873" s="57"/>
      <c r="AB873" s="207"/>
      <c r="AC873" s="33"/>
      <c r="AD873" s="189"/>
      <c r="AE873" s="54"/>
      <c r="AF873" s="55"/>
      <c r="AG873" s="43"/>
      <c r="AH873" s="339"/>
      <c r="AI873" s="30"/>
      <c r="AJ873" s="30"/>
      <c r="AK873" s="30"/>
      <c r="AL873" s="30"/>
      <c r="AM873" s="13"/>
      <c r="AN873" s="13"/>
      <c r="AO873" s="13"/>
      <c r="AP873" s="13"/>
      <c r="AQ873" s="13"/>
      <c r="AR873" s="14"/>
      <c r="AS873" s="15"/>
    </row>
    <row r="874" spans="1:45" s="17" customFormat="1" ht="30.95" hidden="1" customHeight="1" x14ac:dyDescent="0.2">
      <c r="A874" s="37"/>
      <c r="B874" s="38"/>
      <c r="C874" s="45"/>
      <c r="D874" s="31">
        <v>3721218</v>
      </c>
      <c r="E874" s="31">
        <v>4162013</v>
      </c>
      <c r="F874" s="268" t="str">
        <f>IF(D874="","",VLOOKUP(D874,契約台帳!$A$3:$K$4986,6,FALSE)&amp;VLOOKUP(D874,契約台帳!$A$3:$K$4986,7,FALSE)&amp;VLOOKUP(D874,契約台帳!$A$3:$K$4986,8,FALSE)&amp;VLOOKUP(D874,契約台帳!$A$3:$K$4986,9,FALSE)&amp;VLOOKUP(D874,契約台帳!$A$3:$K$4986,11,FALSE))</f>
        <v>3SNMCLBNGTVB</v>
      </c>
      <c r="G874" s="269" t="str">
        <f>IF(D874="","",VLOOKUP(F874,製品マスタ!$G$5:$H$5002,2,FALSE))</f>
        <v>S</v>
      </c>
      <c r="H874" s="269" t="str">
        <f>IF(D874="","",VLOOKUP(F874,製品マスタ!$G$5:$K$5002,5,FALSE))</f>
        <v>NGTVB</v>
      </c>
      <c r="I874" s="270" t="str">
        <f>IF(D874="","",VLOOKUP(F874,製品マスタ!$G$5:$L$5002,6,FALSE))</f>
        <v>メタルミー　ネーマー　銀艶ＶＢ</v>
      </c>
      <c r="J874" s="210" t="s">
        <v>574</v>
      </c>
      <c r="K874" s="270">
        <f>IF(D874="","",VLOOKUP(D874,契約台帳!$A$3:$L$4986,12,FALSE))</f>
        <v>50</v>
      </c>
      <c r="L874" s="270" t="str">
        <f>IF(D874="","",INDEX(製品マスタ!$Q$5:$Q$5002,MATCH('S4'!F874&amp;'S4'!K874,製品マスタ!$AO$5:$AO$5002,0)))</f>
        <v>T62M</v>
      </c>
      <c r="M874" s="39">
        <v>1040</v>
      </c>
      <c r="N874" s="39">
        <v>6000</v>
      </c>
      <c r="O874" s="156">
        <v>1</v>
      </c>
      <c r="P874" s="47">
        <v>1</v>
      </c>
      <c r="Q874" s="213">
        <v>45139</v>
      </c>
      <c r="R874" s="271">
        <f ca="1">IF(D874="","",IF(OFFSET(D874,-1,0)&lt;&gt;"","",IF(OR(J874="リード付け",J874="巻足し",J874="巻返しリード付け"),M874,VLOOKUP(D874,契約台帳!$A$3:$N$4986,14,FALSE))))</f>
        <v>1040</v>
      </c>
      <c r="S874" s="272">
        <f ca="1">IF(D874="","",IF(OFFSET(D874,-1,0)&lt;&gt;"","",IF(OR(J874="リード付け",J874="巻足し",J874="巻返しリード付け"),M874,VLOOKUP(D874,契約台帳!$A$3:$O$4986,15,FALSE))))</f>
        <v>1040</v>
      </c>
      <c r="T874" s="273">
        <f ca="1">IF(D874="","",IF(J874="リード付け",N874,IF(J874="巻返しリード付け",N874,IF(J874="巻足し",N874*P874+OFFSET(N874,1,0)*OFFSET(P874,1,0),VLOOKUP(D874,契約台帳!$A$3:$P$4986,16,FALSE)))))</f>
        <v>6000</v>
      </c>
      <c r="U874" s="40">
        <v>1</v>
      </c>
      <c r="V874" s="274">
        <f ca="1">IF(D874="","",IF(OFFSET(D874,-2,0)=D874,"",VLOOKUP(D874,契約台帳!$A$3:$R$4986,18,FALSE)))</f>
        <v>2</v>
      </c>
      <c r="W874" s="269" t="str">
        <f ca="1">IF(D874="","",IF(T874="","",IF(OR(J874="巻足し",J874="巻返しリード付け"),"",IF(J874="巻返し",VLOOKUP(F874&amp;K874&amp;M874,製品マスタ!$M$5:$AD$5002,18,FALSE),IF(OR(J874="リード付け",J874="巻返しリード付け"),"原反コア",IF(J874="スリット",VLOOKUP(F874&amp;K874&amp;R874,製品マスタ!$N$5:$AD$5002,17,FALSE),""))))))</f>
        <v/>
      </c>
      <c r="X874" s="269" t="str">
        <f ca="1">IF(D874="","",IF(T874="","",IF(J874="巻足し","",IF(J874="巻返し",VLOOKUP(F874&amp;K874&amp;M874,製品マスタ!$M$5:$AE$5002,19,FALSE),IF(OR(J874="リード付け",J874="巻返しリード付け"),"",IF(J874="スリット",VLOOKUP(F874&amp;K874&amp;R874,製品マスタ!$N$5:$AE$5002,18,FALSE),""))))))</f>
        <v/>
      </c>
      <c r="Y874" s="275">
        <f ca="1">IF(D874="","",IF(T874="","",VLOOKUP(D874,契約台帳!$A$3:$Q$4986,17,FALSE)))</f>
        <v>2</v>
      </c>
      <c r="Z874" s="269" t="str">
        <f ca="1">IF(D874="","",IF(T874="","",VLOOKUP(D874,契約台帳!$A$3:$E$4986,5,FALSE)))</f>
        <v>リンテック㈱</v>
      </c>
      <c r="AA874" s="57"/>
      <c r="AB874" s="207">
        <f>IFERROR((VLOOKUP(F874&amp;K874&amp;M874,製品マスタ!$M$5:$AM$5002,27,FALSE)),"")</f>
        <v>0</v>
      </c>
      <c r="AC874" s="33"/>
      <c r="AD874" s="189"/>
      <c r="AE874" s="54"/>
      <c r="AF874" s="55"/>
      <c r="AG874" s="43"/>
      <c r="AH874" s="47"/>
      <c r="AI874" s="30"/>
      <c r="AJ874" s="30"/>
      <c r="AK874" s="30"/>
      <c r="AL874" s="30"/>
      <c r="AM874" s="13"/>
      <c r="AN874" s="13"/>
      <c r="AO874" s="13"/>
      <c r="AP874" s="13"/>
      <c r="AQ874" s="13"/>
      <c r="AR874" s="14"/>
      <c r="AS874" s="15"/>
    </row>
    <row r="875" spans="1:45" s="17" customFormat="1" ht="30.95" hidden="1" customHeight="1" x14ac:dyDescent="0.2">
      <c r="A875" s="37"/>
      <c r="B875" s="38"/>
      <c r="C875" s="45"/>
      <c r="D875" s="31"/>
      <c r="E875" s="31"/>
      <c r="F875" s="268" t="str">
        <f>IF(D875="","",VLOOKUP(D875,契約台帳!$A$3:$K$4986,6,FALSE)&amp;VLOOKUP(D875,契約台帳!$A$3:$K$4986,7,FALSE)&amp;VLOOKUP(D875,契約台帳!$A$3:$K$4986,8,FALSE)&amp;VLOOKUP(D875,契約台帳!$A$3:$K$4986,9,FALSE)&amp;VLOOKUP(D875,契約台帳!$A$3:$K$4986,11,FALSE))</f>
        <v/>
      </c>
      <c r="G875" s="269" t="str">
        <f>IF(D875="","",VLOOKUP(F875,製品マスタ!$G$5:$H$5002,2,FALSE))</f>
        <v/>
      </c>
      <c r="H875" s="269" t="str">
        <f>IF(D875="","",VLOOKUP(F875,製品マスタ!$G$5:$K$5002,5,FALSE))</f>
        <v/>
      </c>
      <c r="I875" s="270" t="str">
        <f>IF(D875="","",VLOOKUP(F875,製品マスタ!$G$5:$L$5002,6,FALSE))</f>
        <v/>
      </c>
      <c r="J875" s="210"/>
      <c r="K875" s="270" t="str">
        <f>IF(D875="","",VLOOKUP(D875,契約台帳!$A$3:$L$4986,12,FALSE))</f>
        <v/>
      </c>
      <c r="L875" s="270" t="str">
        <f>IF(D875="","",INDEX(製品マスタ!$Q$5:$Q$5002,MATCH('S4'!F875&amp;'S4'!K875,製品マスタ!$AO$5:$AO$5002,0)))</f>
        <v/>
      </c>
      <c r="M875" s="39"/>
      <c r="N875" s="39"/>
      <c r="O875" s="156"/>
      <c r="P875" s="47"/>
      <c r="Q875" s="57"/>
      <c r="R875" s="271" t="str">
        <f ca="1">IF(D875="","",IF(OFFSET(D875,-1,0)&lt;&gt;"","",IF(OR(J875="リード付け",J875="巻足し",J875="巻返しリード付け"),M875,VLOOKUP(D875,契約台帳!$A$3:$N$4986,14,FALSE))))</f>
        <v/>
      </c>
      <c r="S875" s="272" t="str">
        <f ca="1">IF(D875="","",IF(OFFSET(D875,-1,0)&lt;&gt;"","",IF(OR(J875="リード付け",J875="巻足し",J875="巻返しリード付け"),M875,VLOOKUP(D875,契約台帳!$A$3:$O$4986,15,FALSE))))</f>
        <v/>
      </c>
      <c r="T875" s="273" t="str">
        <f ca="1">IF(D875="","",IF(J875="リード付け",N875,IF(J875="巻返しリード付け",N875,IF(J875="巻足し",N875*P875+OFFSET(N875,1,0)*OFFSET(P875,1,0),VLOOKUP(D875,契約台帳!$A$3:$P$4986,16,FALSE)))))</f>
        <v/>
      </c>
      <c r="U875" s="40"/>
      <c r="V875" s="274" t="str">
        <f ca="1">IF(D875="","",IF(OFFSET(D875,-2,0)=D875,"",VLOOKUP(D875,契約台帳!$A$3:$R$4986,18,FALSE)))</f>
        <v/>
      </c>
      <c r="W875" s="269" t="str">
        <f>IF(D875="","",IF(T875="","",IF(OR(J875="巻足し",J875="巻返しリード付け"),"",IF(J875="巻返し",VLOOKUP(F875&amp;K875&amp;M875,製品マスタ!$M$5:$AD$5002,18,FALSE),IF(OR(J875="リード付け",J875="巻返しリード付け"),"原反コア",IF(J875="スリット",VLOOKUP(F875&amp;K875&amp;R875,製品マスタ!$N$5:$AD$5002,17,FALSE),""))))))</f>
        <v/>
      </c>
      <c r="X875" s="269" t="str">
        <f>IF(D875="","",IF(T875="","",IF(J875="巻足し","",IF(J875="巻返し",VLOOKUP(F875&amp;K875&amp;M875,製品マスタ!$M$5:$AE$5002,19,FALSE),IF(OR(J875="リード付け",J875="巻返しリード付け"),"",IF(J875="スリット",VLOOKUP(F875&amp;K875&amp;R875,製品マスタ!$N$5:$AE$5002,18,FALSE),""))))))</f>
        <v/>
      </c>
      <c r="Y875" s="275" t="str">
        <f>IF(D875="","",IF(T875="","",VLOOKUP(D875,契約台帳!$A$3:$Q$4986,17,FALSE)))</f>
        <v/>
      </c>
      <c r="Z875" s="269" t="str">
        <f>IF(D875="","",IF(T875="","",VLOOKUP(D875,契約台帳!$A$3:$E$4986,5,FALSE)))</f>
        <v/>
      </c>
      <c r="AA875" s="57"/>
      <c r="AB875" s="207" t="str">
        <f>IFERROR((VLOOKUP(F875&amp;K875&amp;M875,製品マスタ!$M$5:$AM$5002,27,FALSE)),"")</f>
        <v/>
      </c>
      <c r="AC875" s="33"/>
      <c r="AD875" s="189"/>
      <c r="AE875" s="54"/>
      <c r="AF875" s="55"/>
      <c r="AG875" s="43"/>
      <c r="AH875" s="47"/>
      <c r="AI875" s="30"/>
      <c r="AJ875" s="30"/>
      <c r="AK875" s="30"/>
      <c r="AL875" s="30"/>
      <c r="AM875" s="13"/>
      <c r="AN875" s="13"/>
      <c r="AO875" s="13"/>
      <c r="AP875" s="13"/>
      <c r="AQ875" s="13"/>
      <c r="AR875" s="14"/>
      <c r="AS875" s="15"/>
    </row>
    <row r="876" spans="1:45" s="17" customFormat="1" ht="30.95" hidden="1" customHeight="1" x14ac:dyDescent="0.2">
      <c r="A876" s="37" t="s">
        <v>1346</v>
      </c>
      <c r="B876" s="38" t="s">
        <v>1340</v>
      </c>
      <c r="C876" s="45"/>
      <c r="D876" s="31">
        <v>3721219</v>
      </c>
      <c r="E876" s="31">
        <v>4162006</v>
      </c>
      <c r="F876" s="268" t="str">
        <f>IF(D876="","",VLOOKUP(D876,契約台帳!$A$3:$K$4986,6,FALSE)&amp;VLOOKUP(D876,契約台帳!$A$3:$K$4986,7,FALSE)&amp;VLOOKUP(D876,契約台帳!$A$3:$K$4986,8,FALSE)&amp;VLOOKUP(D876,契約台帳!$A$3:$K$4986,9,FALSE)&amp;VLOOKUP(D876,契約台帳!$A$3:$K$4986,11,FALSE))</f>
        <v>3SNMLBMNNGKBF</v>
      </c>
      <c r="G876" s="269" t="str">
        <f>IF(D876="","",VLOOKUP(F876,製品マスタ!$G$5:$H$5002,2,FALSE))</f>
        <v>S</v>
      </c>
      <c r="H876" s="269" t="str">
        <f>IF(D876="","",VLOOKUP(F876,製品マスタ!$G$5:$K$5002,5,FALSE))</f>
        <v>MNNGKBF</v>
      </c>
      <c r="I876" s="270" t="str">
        <f>IF(D876="","",VLOOKUP(F876,製品マスタ!$G$5:$L$5002,6,FALSE))</f>
        <v>メタルミー　ニューネーマー銀消　Ｂ</v>
      </c>
      <c r="J876" s="210" t="s">
        <v>935</v>
      </c>
      <c r="K876" s="270">
        <f>IF(D876="","",VLOOKUP(D876,契約台帳!$A$3:$L$4986,12,FALSE))</f>
        <v>50</v>
      </c>
      <c r="L876" s="270" t="str">
        <f>IF(D876="","",INDEX(製品マスタ!$Q$5:$Q$5002,MATCH('S4'!F876&amp;'S4'!K876,製品マスタ!$AO$5:$AO$5002,0)))</f>
        <v>X44</v>
      </c>
      <c r="M876" s="39">
        <v>1000</v>
      </c>
      <c r="N876" s="39">
        <v>4000</v>
      </c>
      <c r="O876" s="156">
        <v>15</v>
      </c>
      <c r="P876" s="47">
        <v>3</v>
      </c>
      <c r="Q876" s="213">
        <v>45139</v>
      </c>
      <c r="R876" s="271">
        <f ca="1">IF(D876="","",IF(OFFSET(D876,-1,0)&lt;&gt;"","",IF(OR(J876="リード付け",J876="巻足し",J876="巻返しリード付け"),M876,VLOOKUP(D876,契約台帳!$A$3:$N$4986,14,FALSE))))</f>
        <v>1000</v>
      </c>
      <c r="S876" s="272">
        <f ca="1">IF(D876="","",IF(OFFSET(D876,-1,0)&lt;&gt;"","",IF(OR(J876="リード付け",J876="巻足し",J876="巻返しリード付け"),M876,VLOOKUP(D876,契約台帳!$A$3:$O$4986,15,FALSE))))</f>
        <v>1000</v>
      </c>
      <c r="T876" s="273">
        <f ca="1">IF(D876="","",IF(J876="リード付け",N876,IF(J876="巻返しリード付け",N876,IF(J876="巻足し",N876*P876+OFFSET(N876,1,0)*OFFSET(P876,1,0),VLOOKUP(D876,契約台帳!$A$3:$P$4986,16,FALSE)))))</f>
        <v>12000</v>
      </c>
      <c r="U876" s="40">
        <v>5</v>
      </c>
      <c r="V876" s="274">
        <f ca="1">IF(D876="","",IF(OFFSET(D876,-2,0)=D876,"",VLOOKUP(D876,契約台帳!$A$3:$R$4986,18,FALSE)))</f>
        <v>15</v>
      </c>
      <c r="W876" s="269" t="str">
        <f ca="1">IF(D876="","",IF(T876="","",IF(OR(J876="巻足し",J876="巻返しリード付け"),"",IF(J876="巻返し",VLOOKUP(F876&amp;K876&amp;M876,製品マスタ!$M$5:$AD$5002,18,FALSE),IF(OR(J876="リード付け",J876="巻返しリード付け"),"原反コア",IF(J876="スリット",VLOOKUP(F876&amp;K876&amp;R876,製品マスタ!$N$5:$AD$5002,17,FALSE),""))))))</f>
        <v/>
      </c>
      <c r="X876" s="269" t="str">
        <f ca="1">IF(D876="","",IF(T876="","",IF(J876="巻足し","",IF(J876="巻返し",VLOOKUP(F876&amp;K876&amp;M876,製品マスタ!$M$5:$AE$5002,19,FALSE),IF(OR(J876="リード付け",J876="巻返しリード付け"),"",IF(J876="スリット",VLOOKUP(F876&amp;K876&amp;R876,製品マスタ!$N$5:$AE$5002,18,FALSE),""))))))</f>
        <v/>
      </c>
      <c r="Y876" s="275">
        <f ca="1">IF(D876="","",IF(T876="","",VLOOKUP(D876,契約台帳!$A$3:$Q$4986,17,FALSE)))</f>
        <v>2</v>
      </c>
      <c r="Z876" s="269" t="str">
        <f ca="1">IF(D876="","",IF(T876="","",VLOOKUP(D876,契約台帳!$A$3:$E$4986,5,FALSE)))</f>
        <v>リンテック㈱</v>
      </c>
      <c r="AA876" s="57"/>
      <c r="AB876" s="207" t="str">
        <f>IFERROR((VLOOKUP(F876&amp;K876&amp;M876,製品マスタ!$M$5:$AM$5002,27,FALSE)),"")</f>
        <v>原反ケース再利用</v>
      </c>
      <c r="AC876" s="33"/>
      <c r="AD876" s="189"/>
      <c r="AE876" s="54"/>
      <c r="AF876" s="55"/>
      <c r="AG876" s="43"/>
      <c r="AH876" s="47"/>
      <c r="AI876" s="30"/>
      <c r="AJ876" s="30"/>
      <c r="AK876" s="30"/>
      <c r="AL876" s="30"/>
      <c r="AM876" s="13"/>
      <c r="AN876" s="13"/>
      <c r="AO876" s="13"/>
      <c r="AP876" s="13"/>
      <c r="AQ876" s="13"/>
      <c r="AR876" s="14"/>
      <c r="AS876" s="15"/>
    </row>
    <row r="877" spans="1:45" s="17" customFormat="1" ht="30.95" hidden="1" customHeight="1" x14ac:dyDescent="0.2">
      <c r="A877" s="37"/>
      <c r="B877" s="38"/>
      <c r="C877" s="45"/>
      <c r="D877" s="31"/>
      <c r="E877" s="31"/>
      <c r="F877" s="268"/>
      <c r="G877" s="269"/>
      <c r="H877" s="269"/>
      <c r="I877" s="270"/>
      <c r="J877" s="210"/>
      <c r="K877" s="270"/>
      <c r="L877" s="270"/>
      <c r="M877" s="39"/>
      <c r="N877" s="39"/>
      <c r="O877" s="156"/>
      <c r="P877" s="47"/>
      <c r="Q877" s="57"/>
      <c r="R877" s="338"/>
      <c r="S877" s="272"/>
      <c r="T877" s="273"/>
      <c r="U877" s="40"/>
      <c r="V877" s="277"/>
      <c r="W877" s="269"/>
      <c r="X877" s="269"/>
      <c r="Y877" s="275"/>
      <c r="Z877" s="269"/>
      <c r="AA877" s="57"/>
      <c r="AB877" s="207"/>
      <c r="AC877" s="33"/>
      <c r="AD877" s="189"/>
      <c r="AE877" s="54"/>
      <c r="AF877" s="55"/>
      <c r="AG877" s="43"/>
      <c r="AH877" s="339"/>
      <c r="AI877" s="30"/>
      <c r="AJ877" s="30"/>
      <c r="AK877" s="30"/>
      <c r="AL877" s="30"/>
      <c r="AM877" s="13"/>
      <c r="AN877" s="13"/>
      <c r="AO877" s="13"/>
      <c r="AP877" s="13"/>
      <c r="AQ877" s="13"/>
      <c r="AR877" s="14"/>
      <c r="AS877" s="15"/>
    </row>
    <row r="878" spans="1:45" s="17" customFormat="1" ht="30.95" hidden="1" customHeight="1" x14ac:dyDescent="0.2">
      <c r="A878" s="37" t="s">
        <v>532</v>
      </c>
      <c r="B878" s="38" t="s">
        <v>443</v>
      </c>
      <c r="C878" s="45"/>
      <c r="D878" s="31">
        <v>3721207</v>
      </c>
      <c r="E878" s="31">
        <v>4161999</v>
      </c>
      <c r="F878" s="268" t="str">
        <f>IF(D878="","",VLOOKUP(D878,契約台帳!$A$3:$K$4986,6,FALSE)&amp;VLOOKUP(D878,契約台帳!$A$3:$K$4986,7,FALSE)&amp;VLOOKUP(D878,契約台帳!$A$3:$K$4986,8,FALSE)&amp;VLOOKUP(D878,契約台帳!$A$3:$K$4986,9,FALSE)&amp;VLOOKUP(D878,契約台帳!$A$3:$K$4986,11,FALSE))</f>
        <v>3SNMLBMNGKKBF</v>
      </c>
      <c r="G878" s="269" t="str">
        <f>IF(D878="","",VLOOKUP(F878,製品マスタ!$G$5:$H$5002,2,FALSE))</f>
        <v>S</v>
      </c>
      <c r="H878" s="269" t="str">
        <f>IF(D878="","",VLOOKUP(F878,製品マスタ!$G$5:$K$5002,5,FALSE))</f>
        <v>MNGKKBF</v>
      </c>
      <c r="I878" s="270" t="str">
        <f>IF(D878="","",VLOOKUP(F878,製品マスタ!$G$5:$L$5002,6,FALSE))</f>
        <v>メタルミー　ネーマー銀消改　Ｂ</v>
      </c>
      <c r="J878" s="210" t="s">
        <v>935</v>
      </c>
      <c r="K878" s="270">
        <f>IF(D878="","",VLOOKUP(D878,契約台帳!$A$3:$L$4986,12,FALSE))</f>
        <v>50</v>
      </c>
      <c r="L878" s="270" t="str">
        <f>IF(D878="","",INDEX(製品マスタ!$Q$5:$Q$5002,MATCH('S4'!F878&amp;'S4'!K878,製品マスタ!$AO$5:$AO$5002,0)))</f>
        <v>S99-MAT</v>
      </c>
      <c r="M878" s="39">
        <v>1120</v>
      </c>
      <c r="N878" s="39">
        <v>4000</v>
      </c>
      <c r="O878" s="156">
        <v>15</v>
      </c>
      <c r="P878" s="47">
        <v>3</v>
      </c>
      <c r="Q878" s="213">
        <v>45141</v>
      </c>
      <c r="R878" s="271">
        <f ca="1">IF(D878="","",IF(OFFSET(D878,-1,0)&lt;&gt;"","",IF(OR(J878="リード付け",J878="巻足し",J878="巻返しリード付け"),M878,VLOOKUP(D878,契約台帳!$A$3:$N$4986,14,FALSE))))</f>
        <v>1120</v>
      </c>
      <c r="S878" s="272">
        <f ca="1">IF(D878="","",IF(OFFSET(D878,-1,0)&lt;&gt;"","",IF(OR(J878="リード付け",J878="巻足し",J878="巻返しリード付け"),M878,VLOOKUP(D878,契約台帳!$A$3:$O$4986,15,FALSE))))</f>
        <v>1120</v>
      </c>
      <c r="T878" s="273">
        <f ca="1">IF(D878="","",IF(J878="リード付け",N878,IF(J878="巻返しリード付け",N878,IF(J878="巻足し",N878*P878+OFFSET(N878,1,0)*OFFSET(P878,1,0),VLOOKUP(D878,契約台帳!$A$3:$P$4986,16,FALSE)))))</f>
        <v>12000</v>
      </c>
      <c r="U878" s="40">
        <v>5</v>
      </c>
      <c r="V878" s="274">
        <f ca="1">IF(D878="","",IF(OFFSET(D878,-2,0)=D878,"",VLOOKUP(D878,契約台帳!$A$3:$R$4986,18,FALSE)))</f>
        <v>20</v>
      </c>
      <c r="W878" s="269" t="str">
        <f ca="1">IF(D878="","",IF(T878="","",IF(OR(J878="巻足し",J878="巻返しリード付け"),"",IF(J878="巻返し",VLOOKUP(F878&amp;K878&amp;M878,製品マスタ!$M$5:$AD$5002,18,FALSE),IF(OR(J878="リード付け",J878="巻返しリード付け"),"原反コア",IF(J878="スリット",VLOOKUP(F878&amp;K878&amp;R878,製品マスタ!$N$5:$AD$5002,17,FALSE),""))))))</f>
        <v/>
      </c>
      <c r="X878" s="269" t="str">
        <f ca="1">IF(D878="","",IF(T878="","",IF(J878="巻足し","",IF(J878="巻返し",VLOOKUP(F878&amp;K878&amp;M878,製品マスタ!$M$5:$AE$5002,19,FALSE),IF(OR(J878="リード付け",J878="巻返しリード付け"),"",IF(J878="スリット",VLOOKUP(F878&amp;K878&amp;R878,製品マスタ!$N$5:$AE$5002,18,FALSE),""))))))</f>
        <v/>
      </c>
      <c r="Y878" s="275">
        <f ca="1">IF(D878="","",IF(T878="","",VLOOKUP(D878,契約台帳!$A$3:$Q$4986,17,FALSE)))</f>
        <v>2</v>
      </c>
      <c r="Z878" s="269" t="str">
        <f ca="1">IF(D878="","",IF(T878="","",VLOOKUP(D878,契約台帳!$A$3:$E$4986,5,FALSE)))</f>
        <v>リンテック㈱</v>
      </c>
      <c r="AA878" s="57"/>
      <c r="AB878" s="207">
        <f>IFERROR((VLOOKUP(F878&amp;K878&amp;M878,製品マスタ!$M$5:$AM$5002,27,FALSE)),"")</f>
        <v>0</v>
      </c>
      <c r="AC878" s="33"/>
      <c r="AD878" s="189"/>
      <c r="AE878" s="54"/>
      <c r="AF878" s="55">
        <f>+M878*N878*O878/1000</f>
        <v>67200</v>
      </c>
      <c r="AG878" s="43"/>
      <c r="AH878" s="47"/>
      <c r="AI878" s="30"/>
      <c r="AJ878" s="30"/>
      <c r="AK878" s="30"/>
      <c r="AL878" s="30"/>
      <c r="AM878" s="13"/>
      <c r="AN878" s="13"/>
      <c r="AO878" s="13"/>
      <c r="AP878" s="13"/>
      <c r="AQ878" s="13"/>
      <c r="AR878" s="14"/>
      <c r="AS878" s="15"/>
    </row>
    <row r="879" spans="1:45" s="17" customFormat="1" ht="30.95" hidden="1" customHeight="1" x14ac:dyDescent="0.2">
      <c r="A879" s="37"/>
      <c r="B879" s="38"/>
      <c r="C879" s="45"/>
      <c r="D879" s="31"/>
      <c r="E879" s="31"/>
      <c r="F879" s="268"/>
      <c r="G879" s="269"/>
      <c r="H879" s="269"/>
      <c r="I879" s="270"/>
      <c r="J879" s="210"/>
      <c r="K879" s="270"/>
      <c r="L879" s="270"/>
      <c r="M879" s="39"/>
      <c r="N879" s="39"/>
      <c r="O879" s="156"/>
      <c r="P879" s="47"/>
      <c r="Q879" s="57"/>
      <c r="R879" s="271"/>
      <c r="S879" s="272"/>
      <c r="T879" s="273"/>
      <c r="U879" s="40"/>
      <c r="V879" s="274"/>
      <c r="W879" s="269"/>
      <c r="X879" s="269"/>
      <c r="Y879" s="275"/>
      <c r="Z879" s="269"/>
      <c r="AA879" s="57"/>
      <c r="AB879" s="207"/>
      <c r="AC879" s="33"/>
      <c r="AD879" s="189"/>
      <c r="AE879" s="54"/>
      <c r="AF879" s="55"/>
      <c r="AG879" s="43"/>
      <c r="AH879" s="47"/>
      <c r="AI879" s="30"/>
      <c r="AJ879" s="30"/>
      <c r="AK879" s="30"/>
      <c r="AL879" s="30"/>
      <c r="AM879" s="13"/>
      <c r="AN879" s="13"/>
      <c r="AO879" s="13"/>
      <c r="AP879" s="13"/>
      <c r="AQ879" s="13"/>
      <c r="AR879" s="14"/>
      <c r="AS879" s="15"/>
    </row>
    <row r="880" spans="1:45" s="17" customFormat="1" ht="30.95" hidden="1" customHeight="1" x14ac:dyDescent="0.2">
      <c r="A880" s="37" t="s">
        <v>533</v>
      </c>
      <c r="B880" s="38" t="s">
        <v>444</v>
      </c>
      <c r="C880" s="45"/>
      <c r="D880" s="31">
        <v>3721207</v>
      </c>
      <c r="E880" s="31">
        <v>4161999</v>
      </c>
      <c r="F880" s="268" t="str">
        <f>IF(D880="","",VLOOKUP(D880,契約台帳!$A$3:$K$4986,6,FALSE)&amp;VLOOKUP(D880,契約台帳!$A$3:$K$4986,7,FALSE)&amp;VLOOKUP(D880,契約台帳!$A$3:$K$4986,8,FALSE)&amp;VLOOKUP(D880,契約台帳!$A$3:$K$4986,9,FALSE)&amp;VLOOKUP(D880,契約台帳!$A$3:$K$4986,11,FALSE))</f>
        <v>3SNMLBMNGKKBF</v>
      </c>
      <c r="G880" s="269" t="str">
        <f>IF(D880="","",VLOOKUP(F880,製品マスタ!$G$5:$H$5002,2,FALSE))</f>
        <v>S</v>
      </c>
      <c r="H880" s="269" t="str">
        <f>IF(D880="","",VLOOKUP(F880,製品マスタ!$G$5:$K$5002,5,FALSE))</f>
        <v>MNGKKBF</v>
      </c>
      <c r="I880" s="270" t="str">
        <f>IF(D880="","",VLOOKUP(F880,製品マスタ!$G$5:$L$5002,6,FALSE))</f>
        <v>メタルミー　ネーマー銀消改　Ｂ</v>
      </c>
      <c r="J880" s="210" t="s">
        <v>935</v>
      </c>
      <c r="K880" s="270">
        <f>IF(D880="","",VLOOKUP(D880,契約台帳!$A$3:$L$4986,12,FALSE))</f>
        <v>50</v>
      </c>
      <c r="L880" s="270" t="str">
        <f>IF(D880="","",INDEX(製品マスタ!$Q$5:$Q$5002,MATCH('S4'!F880&amp;'S4'!K880,製品マスタ!$AO$5:$AO$5002,0)))</f>
        <v>S99-MAT</v>
      </c>
      <c r="M880" s="39">
        <v>1120</v>
      </c>
      <c r="N880" s="39">
        <v>4000</v>
      </c>
      <c r="O880" s="156">
        <v>3</v>
      </c>
      <c r="P880" s="47">
        <v>3</v>
      </c>
      <c r="Q880" s="213">
        <v>45141</v>
      </c>
      <c r="R880" s="271">
        <f ca="1">IF(D880="","",IF(OFFSET(D880,-1,0)&lt;&gt;"","",IF(OR(J880="リード付け",J880="巻足し",J880="巻返しリード付け"),M880,VLOOKUP(D880,契約台帳!$A$3:$N$4986,14,FALSE))))</f>
        <v>1120</v>
      </c>
      <c r="S880" s="272">
        <f ca="1">IF(D880="","",IF(OFFSET(D880,-1,0)&lt;&gt;"","",IF(OR(J880="リード付け",J880="巻足し",J880="巻返しリード付け"),M880,VLOOKUP(D880,契約台帳!$A$3:$O$4986,15,FALSE))))</f>
        <v>1120</v>
      </c>
      <c r="T880" s="273">
        <f ca="1">IF(D880="","",IF(J880="リード付け",N880,IF(J880="巻返しリード付け",N880,IF(J880="巻足し",N880*P880+OFFSET(N880,1,0)*OFFSET(P880,1,0),VLOOKUP(D880,契約台帳!$A$3:$P$4986,16,FALSE)))))</f>
        <v>12000</v>
      </c>
      <c r="U880" s="40">
        <v>1</v>
      </c>
      <c r="V880" s="274" t="str">
        <f ca="1">IF(D880="","",IF(OFFSET(D880,-2,0)=D880,"",VLOOKUP(D880,契約台帳!$A$3:$R$4986,18,FALSE)))</f>
        <v/>
      </c>
      <c r="W880" s="269" t="str">
        <f ca="1">IF(D880="","",IF(T880="","",IF(OR(J880="巻足し",J880="巻返しリード付け"),"",IF(J880="巻返し",VLOOKUP(F880&amp;K880&amp;M880,製品マスタ!$M$5:$AD$5002,18,FALSE),IF(OR(J880="リード付け",J880="巻返しリード付け"),"原反コア",IF(J880="スリット",VLOOKUP(F880&amp;K880&amp;R880,製品マスタ!$N$5:$AD$5002,17,FALSE),""))))))</f>
        <v/>
      </c>
      <c r="X880" s="269" t="str">
        <f ca="1">IF(D880="","",IF(T880="","",IF(J880="巻足し","",IF(J880="巻返し",VLOOKUP(F880&amp;K880&amp;M880,製品マスタ!$M$5:$AE$5002,19,FALSE),IF(OR(J880="リード付け",J880="巻返しリード付け"),"",IF(J880="スリット",VLOOKUP(F880&amp;K880&amp;R880,製品マスタ!$N$5:$AE$5002,18,FALSE),""))))))</f>
        <v/>
      </c>
      <c r="Y880" s="275">
        <f ca="1">IF(D880="","",IF(T880="","",VLOOKUP(D880,契約台帳!$A$3:$Q$4986,17,FALSE)))</f>
        <v>2</v>
      </c>
      <c r="Z880" s="269" t="str">
        <f ca="1">IF(D880="","",IF(T880="","",VLOOKUP(D880,契約台帳!$A$3:$E$4986,5,FALSE)))</f>
        <v>リンテック㈱</v>
      </c>
      <c r="AA880" s="57"/>
      <c r="AB880" s="207">
        <f>IFERROR((VLOOKUP(F880&amp;K880&amp;M880,製品マスタ!$M$5:$AM$5002,27,FALSE)),"")</f>
        <v>0</v>
      </c>
      <c r="AC880" s="33"/>
      <c r="AD880" s="189"/>
      <c r="AE880" s="54"/>
      <c r="AF880" s="55">
        <f>+M880*N880*O880/1000</f>
        <v>13440</v>
      </c>
      <c r="AG880" s="43"/>
      <c r="AH880" s="47"/>
      <c r="AI880" s="30"/>
      <c r="AJ880" s="30"/>
      <c r="AK880" s="30"/>
      <c r="AL880" s="30"/>
      <c r="AM880" s="13"/>
      <c r="AN880" s="13"/>
      <c r="AO880" s="13"/>
      <c r="AP880" s="13"/>
      <c r="AQ880" s="13"/>
      <c r="AR880" s="14"/>
      <c r="AS880" s="15"/>
    </row>
    <row r="881" spans="1:45" s="17" customFormat="1" ht="30.95" hidden="1" customHeight="1" x14ac:dyDescent="0.2">
      <c r="A881" s="37"/>
      <c r="B881" s="38"/>
      <c r="C881" s="45"/>
      <c r="D881" s="31"/>
      <c r="E881" s="31"/>
      <c r="F881" s="268"/>
      <c r="G881" s="269"/>
      <c r="H881" s="269"/>
      <c r="I881" s="270"/>
      <c r="J881" s="210"/>
      <c r="K881" s="270"/>
      <c r="L881" s="270"/>
      <c r="M881" s="39"/>
      <c r="N881" s="39"/>
      <c r="O881" s="156"/>
      <c r="P881" s="47"/>
      <c r="Q881" s="57"/>
      <c r="R881" s="271"/>
      <c r="S881" s="272"/>
      <c r="T881" s="273"/>
      <c r="U881" s="40"/>
      <c r="V881" s="274"/>
      <c r="W881" s="269"/>
      <c r="X881" s="269"/>
      <c r="Y881" s="275"/>
      <c r="Z881" s="269"/>
      <c r="AA881" s="57"/>
      <c r="AB881" s="207"/>
      <c r="AC881" s="33"/>
      <c r="AD881" s="189"/>
      <c r="AE881" s="54"/>
      <c r="AF881" s="55"/>
      <c r="AG881" s="43"/>
      <c r="AH881" s="47"/>
      <c r="AI881" s="30"/>
      <c r="AJ881" s="30"/>
      <c r="AK881" s="30"/>
      <c r="AL881" s="30"/>
      <c r="AM881" s="13"/>
      <c r="AN881" s="13"/>
      <c r="AO881" s="13"/>
      <c r="AP881" s="13"/>
      <c r="AQ881" s="13"/>
      <c r="AR881" s="14"/>
      <c r="AS881" s="15"/>
    </row>
    <row r="882" spans="1:45" s="17" customFormat="1" ht="30.95" hidden="1" customHeight="1" x14ac:dyDescent="0.2">
      <c r="A882" s="37"/>
      <c r="B882" s="38"/>
      <c r="C882" s="45"/>
      <c r="D882" s="31">
        <v>3721207</v>
      </c>
      <c r="E882" s="31">
        <v>4161999</v>
      </c>
      <c r="F882" s="268" t="str">
        <f>IF(D882="","",VLOOKUP(D882,契約台帳!$A$3:$K$4986,6,FALSE)&amp;VLOOKUP(D882,契約台帳!$A$3:$K$4986,7,FALSE)&amp;VLOOKUP(D882,契約台帳!$A$3:$K$4986,8,FALSE)&amp;VLOOKUP(D882,契約台帳!$A$3:$K$4986,9,FALSE)&amp;VLOOKUP(D882,契約台帳!$A$3:$K$4986,11,FALSE))</f>
        <v>3SNMLBMNGKKBF</v>
      </c>
      <c r="G882" s="269" t="str">
        <f>IF(D882="","",VLOOKUP(F882,製品マスタ!$G$5:$H$5002,2,FALSE))</f>
        <v>S</v>
      </c>
      <c r="H882" s="269" t="str">
        <f>IF(D882="","",VLOOKUP(F882,製品マスタ!$G$5:$K$5002,5,FALSE))</f>
        <v>MNGKKBF</v>
      </c>
      <c r="I882" s="270" t="str">
        <f>IF(D882="","",VLOOKUP(F882,製品マスタ!$G$5:$L$5002,6,FALSE))</f>
        <v>メタルミー　ネーマー銀消改　Ｂ</v>
      </c>
      <c r="J882" s="210" t="s">
        <v>935</v>
      </c>
      <c r="K882" s="270">
        <f>IF(D882="","",VLOOKUP(D882,契約台帳!$A$3:$L$4986,12,FALSE))</f>
        <v>50</v>
      </c>
      <c r="L882" s="270" t="str">
        <f>IF(D882="","",INDEX(製品マスタ!$Q$5:$Q$5002,MATCH('S4'!F882&amp;'S4'!K882,製品マスタ!$AO$5:$AO$5002,0)))</f>
        <v>S99-MAT</v>
      </c>
      <c r="M882" s="39">
        <v>1120</v>
      </c>
      <c r="N882" s="39">
        <v>4000</v>
      </c>
      <c r="O882" s="156">
        <v>2</v>
      </c>
      <c r="P882" s="47">
        <v>2</v>
      </c>
      <c r="Q882" s="213">
        <v>45141</v>
      </c>
      <c r="R882" s="271">
        <f ca="1">IF(D882="","",IF(OFFSET(D882,-1,0)&lt;&gt;"","",IF(OR(J882="リード付け",J882="巻足し",J882="巻返しリード付け"),M882,VLOOKUP(D882,契約台帳!$A$3:$N$4986,14,FALSE))))</f>
        <v>1120</v>
      </c>
      <c r="S882" s="272">
        <f ca="1">IF(D882="","",IF(OFFSET(D882,-1,0)&lt;&gt;"","",IF(OR(J882="リード付け",J882="巻足し",J882="巻返しリード付け"),M882,VLOOKUP(D882,契約台帳!$A$3:$O$4986,15,FALSE))))</f>
        <v>1120</v>
      </c>
      <c r="T882" s="273">
        <f ca="1">IF(D882="","",IF(J882="リード付け",N882,IF(J882="巻返しリード付け",N882,IF(J882="巻足し",N882*P882+OFFSET(N882,1,0)*OFFSET(P882,1,0),VLOOKUP(D882,契約台帳!$A$3:$P$4986,16,FALSE)))))</f>
        <v>8000</v>
      </c>
      <c r="U882" s="40">
        <v>1</v>
      </c>
      <c r="V882" s="274" t="str">
        <f ca="1">IF(D882="","",IF(OFFSET(D882,-2,0)=D882,"",VLOOKUP(D882,契約台帳!$A$3:$R$4986,18,FALSE)))</f>
        <v/>
      </c>
      <c r="W882" s="269" t="str">
        <f ca="1">IF(D882="","",IF(T882="","",IF(OR(J882="巻足し",J882="巻返しリード付け"),"",IF(J882="巻返し",VLOOKUP(F882&amp;K882&amp;M882,製品マスタ!$M$5:$AD$5002,18,FALSE),IF(OR(J882="リード付け",J882="巻返しリード付け"),"原反コア",IF(J882="スリット",VLOOKUP(F882&amp;K882&amp;R882,製品マスタ!$N$5:$AD$5002,17,FALSE),""))))))</f>
        <v/>
      </c>
      <c r="X882" s="269" t="str">
        <f ca="1">IF(D882="","",IF(T882="","",IF(J882="巻足し","",IF(J882="巻返し",VLOOKUP(F882&amp;K882&amp;M882,製品マスタ!$M$5:$AE$5002,19,FALSE),IF(OR(J882="リード付け",J882="巻返しリード付け"),"",IF(J882="スリット",VLOOKUP(F882&amp;K882&amp;R882,製品マスタ!$N$5:$AE$5002,18,FALSE),""))))))</f>
        <v/>
      </c>
      <c r="Y882" s="275">
        <f ca="1">IF(D882="","",IF(T882="","",VLOOKUP(D882,契約台帳!$A$3:$Q$4986,17,FALSE)))</f>
        <v>2</v>
      </c>
      <c r="Z882" s="269" t="str">
        <f ca="1">IF(D882="","",IF(T882="","",VLOOKUP(D882,契約台帳!$A$3:$E$4986,5,FALSE)))</f>
        <v>リンテック㈱</v>
      </c>
      <c r="AA882" s="57"/>
      <c r="AB882" s="207">
        <f>IFERROR((VLOOKUP(F882&amp;K882&amp;M882,製品マスタ!$M$5:$AM$5002,27,FALSE)),"")</f>
        <v>0</v>
      </c>
      <c r="AC882" s="33"/>
      <c r="AD882" s="189"/>
      <c r="AE882" s="54"/>
      <c r="AF882" s="55">
        <f>+M882*N882*O882/1000</f>
        <v>8960</v>
      </c>
      <c r="AG882" s="43"/>
      <c r="AH882" s="47"/>
      <c r="AI882" s="30"/>
      <c r="AJ882" s="30"/>
      <c r="AK882" s="30"/>
      <c r="AL882" s="30"/>
      <c r="AM882" s="13"/>
      <c r="AN882" s="13"/>
      <c r="AO882" s="13"/>
      <c r="AP882" s="13"/>
      <c r="AQ882" s="13"/>
      <c r="AR882" s="14"/>
      <c r="AS882" s="15"/>
    </row>
    <row r="883" spans="1:45" s="17" customFormat="1" ht="30.95" hidden="1" customHeight="1" x14ac:dyDescent="0.2">
      <c r="A883" s="37"/>
      <c r="B883" s="38"/>
      <c r="C883" s="45"/>
      <c r="D883" s="31"/>
      <c r="E883" s="31"/>
      <c r="F883" s="268"/>
      <c r="G883" s="269"/>
      <c r="H883" s="269"/>
      <c r="I883" s="270"/>
      <c r="J883" s="210"/>
      <c r="K883" s="270"/>
      <c r="L883" s="270"/>
      <c r="M883" s="39"/>
      <c r="N883" s="39"/>
      <c r="O883" s="156"/>
      <c r="P883" s="47"/>
      <c r="Q883" s="57"/>
      <c r="R883" s="271"/>
      <c r="S883" s="272"/>
      <c r="T883" s="273"/>
      <c r="U883" s="40"/>
      <c r="V883" s="274"/>
      <c r="W883" s="269"/>
      <c r="X883" s="269"/>
      <c r="Y883" s="275"/>
      <c r="Z883" s="269"/>
      <c r="AA883" s="57"/>
      <c r="AB883" s="207"/>
      <c r="AC883" s="33"/>
      <c r="AD883" s="189"/>
      <c r="AE883" s="54"/>
      <c r="AF883" s="55"/>
      <c r="AG883" s="43"/>
      <c r="AH883" s="47"/>
      <c r="AI883" s="30"/>
      <c r="AJ883" s="30"/>
      <c r="AK883" s="30"/>
      <c r="AL883" s="30"/>
      <c r="AM883" s="13"/>
      <c r="AN883" s="13"/>
      <c r="AO883" s="13"/>
      <c r="AP883" s="13"/>
      <c r="AQ883" s="13"/>
      <c r="AR883" s="14"/>
      <c r="AS883" s="15"/>
    </row>
    <row r="884" spans="1:45" s="17" customFormat="1" ht="30.95" hidden="1" customHeight="1" x14ac:dyDescent="0.2">
      <c r="A884" s="37"/>
      <c r="B884" s="38"/>
      <c r="C884" s="45"/>
      <c r="D884" s="31">
        <v>3721206</v>
      </c>
      <c r="E884" s="31">
        <v>4161998</v>
      </c>
      <c r="F884" s="268" t="str">
        <f>IF(D884="","",VLOOKUP(D884,契約台帳!$A$3:$K$4986,6,FALSE)&amp;VLOOKUP(D884,契約台帳!$A$3:$K$4986,7,FALSE)&amp;VLOOKUP(D884,契約台帳!$A$3:$K$4986,8,FALSE)&amp;VLOOKUP(D884,契約台帳!$A$3:$K$4986,9,FALSE)&amp;VLOOKUP(D884,契約台帳!$A$3:$K$4986,11,FALSE))</f>
        <v>3SNMLBMNGKKBF</v>
      </c>
      <c r="G884" s="269" t="str">
        <f>IF(D884="","",VLOOKUP(F884,製品マスタ!$G$5:$H$5002,2,FALSE))</f>
        <v>S</v>
      </c>
      <c r="H884" s="269" t="str">
        <f>IF(D884="","",VLOOKUP(F884,製品マスタ!$G$5:$K$5002,5,FALSE))</f>
        <v>MNGKKBF</v>
      </c>
      <c r="I884" s="270" t="str">
        <f>IF(D884="","",VLOOKUP(F884,製品マスタ!$G$5:$L$5002,6,FALSE))</f>
        <v>メタルミー　ネーマー銀消改　Ｂ</v>
      </c>
      <c r="J884" s="210" t="s">
        <v>935</v>
      </c>
      <c r="K884" s="270">
        <f>IF(D884="","",VLOOKUP(D884,契約台帳!$A$3:$L$4986,12,FALSE))</f>
        <v>25</v>
      </c>
      <c r="L884" s="270" t="str">
        <f>IF(D884="","",INDEX(製品マスタ!$Q$5:$Q$5002,MATCH('S4'!F884&amp;'S4'!K884,製品マスタ!$AO$5:$AO$5002,0)))</f>
        <v>FMATS99</v>
      </c>
      <c r="M884" s="39">
        <v>1120</v>
      </c>
      <c r="N884" s="39">
        <v>4000</v>
      </c>
      <c r="O884" s="156">
        <v>3</v>
      </c>
      <c r="P884" s="47">
        <v>3</v>
      </c>
      <c r="Q884" s="213">
        <v>45142</v>
      </c>
      <c r="R884" s="271">
        <f ca="1">IF(D884="","",IF(OFFSET(D884,-1,0)&lt;&gt;"","",IF(OR(J884="リード付け",J884="巻足し",J884="巻返しリード付け"),M884,VLOOKUP(D884,契約台帳!$A$3:$N$4986,14,FALSE))))</f>
        <v>1120</v>
      </c>
      <c r="S884" s="272">
        <f ca="1">IF(D884="","",IF(OFFSET(D884,-1,0)&lt;&gt;"","",IF(OR(J884="リード付け",J884="巻足し",J884="巻返しリード付け"),M884,VLOOKUP(D884,契約台帳!$A$3:$O$4986,15,FALSE))))</f>
        <v>1120</v>
      </c>
      <c r="T884" s="273">
        <f ca="1">IF(D884="","",IF(J884="リード付け",N884,IF(J884="巻返しリード付け",N884,IF(J884="巻足し",N884*P884+OFFSET(N884,1,0)*OFFSET(P884,1,0),VLOOKUP(D884,契約台帳!$A$3:$P$4986,16,FALSE)))))</f>
        <v>12000</v>
      </c>
      <c r="U884" s="40">
        <v>1</v>
      </c>
      <c r="V884" s="274">
        <f ca="1">IF(D884="","",IF(OFFSET(D884,-2,0)=D884,"",VLOOKUP(D884,契約台帳!$A$3:$R$4986,18,FALSE)))</f>
        <v>5</v>
      </c>
      <c r="W884" s="269" t="str">
        <f ca="1">IF(D884="","",IF(T884="","",IF(OR(J884="巻足し",J884="巻返しリード付け"),"",IF(J884="巻返し",VLOOKUP(F884&amp;K884&amp;M884,製品マスタ!$M$5:$AD$5002,18,FALSE),IF(OR(J884="リード付け",J884="巻返しリード付け"),"原反コア",IF(J884="スリット",VLOOKUP(F884&amp;K884&amp;R884,製品マスタ!$N$5:$AD$5002,17,FALSE),""))))))</f>
        <v/>
      </c>
      <c r="X884" s="269" t="str">
        <f ca="1">IF(D884="","",IF(T884="","",IF(J884="巻足し","",IF(J884="巻返し",VLOOKUP(F884&amp;K884&amp;M884,製品マスタ!$M$5:$AE$5002,19,FALSE),IF(OR(J884="リード付け",J884="巻返しリード付け"),"",IF(J884="スリット",VLOOKUP(F884&amp;K884&amp;R884,製品マスタ!$N$5:$AE$5002,18,FALSE),""))))))</f>
        <v/>
      </c>
      <c r="Y884" s="275">
        <f ca="1">IF(D884="","",IF(T884="","",VLOOKUP(D884,契約台帳!$A$3:$Q$4986,17,FALSE)))</f>
        <v>2</v>
      </c>
      <c r="Z884" s="269" t="str">
        <f ca="1">IF(D884="","",IF(T884="","",VLOOKUP(D884,契約台帳!$A$3:$E$4986,5,FALSE)))</f>
        <v>リンテック㈱</v>
      </c>
      <c r="AA884" s="57"/>
      <c r="AB884" s="207">
        <f>IFERROR((VLOOKUP(F884&amp;K884&amp;M884,製品マスタ!$M$5:$AM$5002,27,FALSE)),"")</f>
        <v>0</v>
      </c>
      <c r="AC884" s="33"/>
      <c r="AD884" s="189"/>
      <c r="AE884" s="54"/>
      <c r="AF884" s="55">
        <f>+M884*N884*O884/1000</f>
        <v>13440</v>
      </c>
      <c r="AG884" s="43"/>
      <c r="AH884" s="47"/>
      <c r="AI884" s="30"/>
      <c r="AJ884" s="30"/>
      <c r="AK884" s="30"/>
      <c r="AL884" s="30"/>
      <c r="AM884" s="13"/>
      <c r="AN884" s="13"/>
      <c r="AO884" s="13"/>
      <c r="AP884" s="13"/>
      <c r="AQ884" s="13"/>
      <c r="AR884" s="14"/>
      <c r="AS884" s="15"/>
    </row>
    <row r="885" spans="1:45" s="17" customFormat="1" ht="30.95" hidden="1" customHeight="1" x14ac:dyDescent="0.2">
      <c r="A885" s="37"/>
      <c r="B885" s="38"/>
      <c r="C885" s="45"/>
      <c r="D885" s="31"/>
      <c r="E885" s="31"/>
      <c r="F885" s="268"/>
      <c r="G885" s="269"/>
      <c r="H885" s="269"/>
      <c r="I885" s="270"/>
      <c r="J885" s="210"/>
      <c r="K885" s="270"/>
      <c r="L885" s="270"/>
      <c r="M885" s="39"/>
      <c r="N885" s="39"/>
      <c r="O885" s="156"/>
      <c r="P885" s="47"/>
      <c r="Q885" s="57"/>
      <c r="R885" s="338"/>
      <c r="S885" s="272"/>
      <c r="T885" s="273"/>
      <c r="U885" s="40"/>
      <c r="V885" s="277"/>
      <c r="W885" s="269"/>
      <c r="X885" s="269"/>
      <c r="Y885" s="275"/>
      <c r="Z885" s="269"/>
      <c r="AA885" s="57"/>
      <c r="AB885" s="207"/>
      <c r="AC885" s="33"/>
      <c r="AD885" s="189"/>
      <c r="AE885" s="54"/>
      <c r="AF885" s="55"/>
      <c r="AG885" s="43"/>
      <c r="AH885" s="339"/>
      <c r="AI885" s="30"/>
      <c r="AJ885" s="30"/>
      <c r="AK885" s="30"/>
      <c r="AL885" s="30"/>
      <c r="AM885" s="13"/>
      <c r="AN885" s="13"/>
      <c r="AO885" s="13"/>
      <c r="AP885" s="13"/>
      <c r="AQ885" s="13"/>
      <c r="AR885" s="14"/>
      <c r="AS885" s="15"/>
    </row>
    <row r="886" spans="1:45" s="17" customFormat="1" ht="30.95" hidden="1" customHeight="1" x14ac:dyDescent="0.2">
      <c r="A886" s="37"/>
      <c r="B886" s="38"/>
      <c r="C886" s="45"/>
      <c r="D886" s="31">
        <v>3721206</v>
      </c>
      <c r="E886" s="31">
        <v>4161998</v>
      </c>
      <c r="F886" s="268" t="str">
        <f>IF(D886="","",VLOOKUP(D886,契約台帳!$A$3:$K$4986,6,FALSE)&amp;VLOOKUP(D886,契約台帳!$A$3:$K$4986,7,FALSE)&amp;VLOOKUP(D886,契約台帳!$A$3:$K$4986,8,FALSE)&amp;VLOOKUP(D886,契約台帳!$A$3:$K$4986,9,FALSE)&amp;VLOOKUP(D886,契約台帳!$A$3:$K$4986,11,FALSE))</f>
        <v>3SNMLBMNGKKBF</v>
      </c>
      <c r="G886" s="269" t="str">
        <f>IF(D886="","",VLOOKUP(F886,製品マスタ!$G$5:$H$5002,2,FALSE))</f>
        <v>S</v>
      </c>
      <c r="H886" s="269" t="str">
        <f>IF(D886="","",VLOOKUP(F886,製品マスタ!$G$5:$K$5002,5,FALSE))</f>
        <v>MNGKKBF</v>
      </c>
      <c r="I886" s="270" t="str">
        <f>IF(D886="","",VLOOKUP(F886,製品マスタ!$G$5:$L$5002,6,FALSE))</f>
        <v>メタルミー　ネーマー銀消改　Ｂ</v>
      </c>
      <c r="J886" s="210" t="s">
        <v>935</v>
      </c>
      <c r="K886" s="270">
        <f>IF(D886="","",VLOOKUP(D886,契約台帳!$A$3:$L$4986,12,FALSE))</f>
        <v>25</v>
      </c>
      <c r="L886" s="270" t="str">
        <f>IF(D886="","",INDEX(製品マスタ!$Q$5:$Q$5002,MATCH('S4'!F886&amp;'S4'!K886,製品マスタ!$AO$5:$AO$5002,0)))</f>
        <v>FMATS99</v>
      </c>
      <c r="M886" s="39">
        <v>1120</v>
      </c>
      <c r="N886" s="39">
        <v>4000</v>
      </c>
      <c r="O886" s="156">
        <v>2</v>
      </c>
      <c r="P886" s="47">
        <v>2</v>
      </c>
      <c r="Q886" s="213">
        <v>45142</v>
      </c>
      <c r="R886" s="271">
        <f ca="1">IF(D886="","",IF(OFFSET(D886,-1,0)&lt;&gt;"","",IF(OR(J886="リード付け",J886="巻足し",J886="巻返しリード付け"),M886,VLOOKUP(D886,契約台帳!$A$3:$N$4986,14,FALSE))))</f>
        <v>1120</v>
      </c>
      <c r="S886" s="272">
        <f ca="1">IF(D886="","",IF(OFFSET(D886,-1,0)&lt;&gt;"","",IF(OR(J886="リード付け",J886="巻足し",J886="巻返しリード付け"),M886,VLOOKUP(D886,契約台帳!$A$3:$O$4986,15,FALSE))))</f>
        <v>1120</v>
      </c>
      <c r="T886" s="273">
        <f ca="1">IF(D886="","",IF(J886="リード付け",N886,IF(J886="巻返しリード付け",N886,IF(J886="巻足し",N886*P886+OFFSET(N886,1,0)*OFFSET(P886,1,0),VLOOKUP(D886,契約台帳!$A$3:$P$4986,16,FALSE)))))</f>
        <v>8000</v>
      </c>
      <c r="U886" s="40">
        <v>1</v>
      </c>
      <c r="V886" s="274" t="str">
        <f ca="1">IF(D886="","",IF(OFFSET(D886,-2,0)=D886,"",VLOOKUP(D886,契約台帳!$A$3:$R$4986,18,FALSE)))</f>
        <v/>
      </c>
      <c r="W886" s="269" t="str">
        <f ca="1">IF(D886="","",IF(T886="","",IF(OR(J886="巻足し",J886="巻返しリード付け"),"",IF(J886="巻返し",VLOOKUP(F886&amp;K886&amp;M886,製品マスタ!$M$5:$AD$5002,18,FALSE),IF(OR(J886="リード付け",J886="巻返しリード付け"),"原反コア",IF(J886="スリット",VLOOKUP(F886&amp;K886&amp;R886,製品マスタ!$N$5:$AD$5002,17,FALSE),""))))))</f>
        <v/>
      </c>
      <c r="X886" s="269" t="str">
        <f ca="1">IF(D886="","",IF(T886="","",IF(J886="巻足し","",IF(J886="巻返し",VLOOKUP(F886&amp;K886&amp;M886,製品マスタ!$M$5:$AE$5002,19,FALSE),IF(OR(J886="リード付け",J886="巻返しリード付け"),"",IF(J886="スリット",VLOOKUP(F886&amp;K886&amp;R886,製品マスタ!$N$5:$AE$5002,18,FALSE),""))))))</f>
        <v/>
      </c>
      <c r="Y886" s="275">
        <f ca="1">IF(D886="","",IF(T886="","",VLOOKUP(D886,契約台帳!$A$3:$Q$4986,17,FALSE)))</f>
        <v>2</v>
      </c>
      <c r="Z886" s="269" t="str">
        <f ca="1">IF(D886="","",IF(T886="","",VLOOKUP(D886,契約台帳!$A$3:$E$4986,5,FALSE)))</f>
        <v>リンテック㈱</v>
      </c>
      <c r="AA886" s="57"/>
      <c r="AB886" s="207">
        <f>IFERROR((VLOOKUP(F886&amp;K886&amp;M886,製品マスタ!$M$5:$AM$5002,27,FALSE)),"")</f>
        <v>0</v>
      </c>
      <c r="AC886" s="33"/>
      <c r="AD886" s="189"/>
      <c r="AE886" s="54"/>
      <c r="AF886" s="55">
        <f>+M886*N886*O886/1000</f>
        <v>8960</v>
      </c>
      <c r="AG886" s="43"/>
      <c r="AH886" s="47"/>
      <c r="AI886" s="30"/>
      <c r="AJ886" s="30"/>
      <c r="AK886" s="30"/>
      <c r="AL886" s="30"/>
      <c r="AM886" s="13"/>
      <c r="AN886" s="13"/>
      <c r="AO886" s="13"/>
      <c r="AP886" s="13"/>
      <c r="AQ886" s="13"/>
      <c r="AR886" s="14"/>
      <c r="AS886" s="15"/>
    </row>
    <row r="887" spans="1:45" s="17" customFormat="1" ht="30.95" hidden="1" customHeight="1" x14ac:dyDescent="0.2">
      <c r="A887" s="37"/>
      <c r="B887" s="38"/>
      <c r="C887" s="45"/>
      <c r="D887" s="31"/>
      <c r="E887" s="31"/>
      <c r="F887" s="268"/>
      <c r="G887" s="269"/>
      <c r="H887" s="269"/>
      <c r="I887" s="270"/>
      <c r="J887" s="210"/>
      <c r="K887" s="270"/>
      <c r="L887" s="270"/>
      <c r="M887" s="39"/>
      <c r="N887" s="39"/>
      <c r="O887" s="156"/>
      <c r="P887" s="47"/>
      <c r="Q887" s="57"/>
      <c r="R887" s="338"/>
      <c r="S887" s="272"/>
      <c r="T887" s="273"/>
      <c r="U887" s="40"/>
      <c r="V887" s="277"/>
      <c r="W887" s="269"/>
      <c r="X887" s="269"/>
      <c r="Y887" s="275"/>
      <c r="Z887" s="269"/>
      <c r="AA887" s="57"/>
      <c r="AB887" s="207"/>
      <c r="AC887" s="33"/>
      <c r="AD887" s="189"/>
      <c r="AE887" s="54"/>
      <c r="AF887" s="55"/>
      <c r="AG887" s="43"/>
      <c r="AH887" s="339"/>
      <c r="AI887" s="30"/>
      <c r="AJ887" s="30"/>
      <c r="AK887" s="30"/>
      <c r="AL887" s="30"/>
      <c r="AM887" s="13"/>
      <c r="AN887" s="13"/>
      <c r="AO887" s="13"/>
      <c r="AP887" s="13"/>
      <c r="AQ887" s="13"/>
      <c r="AR887" s="14"/>
      <c r="AS887" s="15"/>
    </row>
    <row r="888" spans="1:45" s="17" customFormat="1" ht="30.95" hidden="1" customHeight="1" x14ac:dyDescent="0.2">
      <c r="A888" s="37"/>
      <c r="B888" s="38"/>
      <c r="C888" s="45"/>
      <c r="D888" s="31">
        <v>3721220</v>
      </c>
      <c r="E888" s="31">
        <v>4161991</v>
      </c>
      <c r="F888" s="268" t="str">
        <f>IF(D888="","",VLOOKUP(D888,契約台帳!$A$3:$K$4986,6,FALSE)&amp;VLOOKUP(D888,契約台帳!$A$3:$K$4986,7,FALSE)&amp;VLOOKUP(D888,契約台帳!$A$3:$K$4986,8,FALSE)&amp;VLOOKUP(D888,契約台帳!$A$3:$K$4986,9,FALSE)&amp;VLOOKUP(D888,契約台帳!$A$3:$K$4986,11,FALSE))</f>
        <v>33SSNMCLBTEKKFV</v>
      </c>
      <c r="G888" s="269" t="str">
        <f>IF(D888="","",VLOOKUP(F888,製品マスタ!$G$5:$H$5002,2,FALSE))</f>
        <v>S</v>
      </c>
      <c r="H888" s="269" t="str">
        <f>IF(D888="","",VLOOKUP(F888,製品マスタ!$G$5:$K$5002,5,FALSE))</f>
        <v>TEKKFV</v>
      </c>
      <c r="I888" s="270" t="str">
        <f>IF(D888="","",VLOOKUP(F888,製品マスタ!$G$5:$L$5002,6,FALSE))</f>
        <v>メタルミー　ＴＥＳ消開封　Ｖ</v>
      </c>
      <c r="J888" s="210" t="s">
        <v>935</v>
      </c>
      <c r="K888" s="270">
        <f>IF(D888="","",VLOOKUP(D888,契約台帳!$A$3:$L$4986,12,FALSE))</f>
        <v>50</v>
      </c>
      <c r="L888" s="270" t="str">
        <f>IF(D888="","",INDEX(製品マスタ!$Q$5:$Q$5002,MATCH('S4'!F888&amp;'S4'!K888,製品マスタ!$AO$5:$AO$5002,0)))</f>
        <v>X44SEPA</v>
      </c>
      <c r="M888" s="39">
        <v>1005</v>
      </c>
      <c r="N888" s="39">
        <v>4000</v>
      </c>
      <c r="O888" s="156">
        <v>3</v>
      </c>
      <c r="P888" s="47">
        <v>3</v>
      </c>
      <c r="Q888" s="213">
        <v>45141</v>
      </c>
      <c r="R888" s="271">
        <f ca="1">IF(D888="","",IF(OFFSET(D888,-1,0)&lt;&gt;"","",IF(OR(J888="リード付け",J888="巻足し",J888="巻返しリード付け"),M888,VLOOKUP(D888,契約台帳!$A$3:$N$4986,14,FALSE))))</f>
        <v>1005</v>
      </c>
      <c r="S888" s="272">
        <f ca="1">IF(D888="","",IF(OFFSET(D888,-1,0)&lt;&gt;"","",IF(OR(J888="リード付け",J888="巻足し",J888="巻返しリード付け"),M888,VLOOKUP(D888,契約台帳!$A$3:$O$4986,15,FALSE))))</f>
        <v>1005</v>
      </c>
      <c r="T888" s="273">
        <f ca="1">IF(D888="","",IF(J888="リード付け",N888,IF(J888="巻返しリード付け",N888,IF(J888="巻足し",N888*P888+OFFSET(N888,1,0)*OFFSET(P888,1,0),VLOOKUP(D888,契約台帳!$A$3:$P$4986,16,FALSE)))))</f>
        <v>12000</v>
      </c>
      <c r="U888" s="40">
        <v>1</v>
      </c>
      <c r="V888" s="274">
        <f ca="1">IF(D888="","",IF(OFFSET(D888,-2,0)=D888,"",VLOOKUP(D888,契約台帳!$A$3:$R$4986,18,FALSE)))</f>
        <v>3</v>
      </c>
      <c r="W888" s="269" t="str">
        <f ca="1">IF(D888="","",IF(T888="","",IF(OR(J888="巻足し",J888="巻返しリード付け"),"",IF(J888="巻返し",VLOOKUP(F888&amp;K888&amp;M888,製品マスタ!$M$5:$AD$5002,18,FALSE),IF(OR(J888="リード付け",J888="巻返しリード付け"),"原反コア",IF(J888="スリット",VLOOKUP(F888&amp;K888&amp;R888,製品マスタ!$N$5:$AD$5002,17,FALSE),""))))))</f>
        <v/>
      </c>
      <c r="X888" s="269" t="str">
        <f ca="1">IF(D888="","",IF(T888="","",IF(J888="巻足し","",IF(J888="巻返し",VLOOKUP(F888&amp;K888&amp;M888,製品マスタ!$M$5:$AE$5002,19,FALSE),IF(OR(J888="リード付け",J888="巻返しリード付け"),"",IF(J888="スリット",VLOOKUP(F888&amp;K888&amp;R888,製品マスタ!$N$5:$AE$5002,18,FALSE),""))))))</f>
        <v/>
      </c>
      <c r="Y888" s="275">
        <f ca="1">IF(D888="","",IF(T888="","",VLOOKUP(D888,契約台帳!$A$3:$Q$4986,17,FALSE)))</f>
        <v>2</v>
      </c>
      <c r="Z888" s="269" t="str">
        <f ca="1">IF(D888="","",IF(T888="","",VLOOKUP(D888,契約台帳!$A$3:$E$4986,5,FALSE)))</f>
        <v>リンテック㈱</v>
      </c>
      <c r="AA888" s="57"/>
      <c r="AB888" s="303">
        <f>IFERROR((VLOOKUP(F888&amp;K888&amp;M888,製品マスタ!$M$5:$AM$5002,27,FALSE)),"")</f>
        <v>0</v>
      </c>
      <c r="AC888" s="33"/>
      <c r="AD888" s="189"/>
      <c r="AE888" s="54"/>
      <c r="AF888" s="55">
        <f>+M888*N888*O888/1000</f>
        <v>12060</v>
      </c>
      <c r="AG888" s="43"/>
      <c r="AH888" s="47"/>
      <c r="AI888" s="30"/>
      <c r="AJ888" s="30"/>
      <c r="AK888" s="30"/>
      <c r="AL888" s="30"/>
      <c r="AM888" s="13"/>
      <c r="AN888" s="13"/>
      <c r="AO888" s="13"/>
      <c r="AP888" s="13"/>
      <c r="AQ888" s="13"/>
      <c r="AR888" s="14"/>
      <c r="AS888" s="15"/>
    </row>
    <row r="889" spans="1:45" s="17" customFormat="1" ht="30.95" hidden="1" customHeight="1" x14ac:dyDescent="0.2">
      <c r="A889" s="37"/>
      <c r="B889" s="38"/>
      <c r="C889" s="45"/>
      <c r="D889" s="31"/>
      <c r="E889" s="31"/>
      <c r="F889" s="268"/>
      <c r="G889" s="269"/>
      <c r="H889" s="269"/>
      <c r="I889" s="270"/>
      <c r="J889" s="210"/>
      <c r="K889" s="270"/>
      <c r="L889" s="270"/>
      <c r="M889" s="39"/>
      <c r="N889" s="39"/>
      <c r="O889" s="156"/>
      <c r="P889" s="47"/>
      <c r="Q889" s="57"/>
      <c r="R889" s="338"/>
      <c r="S889" s="272"/>
      <c r="T889" s="273"/>
      <c r="U889" s="40"/>
      <c r="V889" s="277"/>
      <c r="W889" s="269"/>
      <c r="X889" s="269"/>
      <c r="Y889" s="275"/>
      <c r="Z889" s="269"/>
      <c r="AA889" s="57"/>
      <c r="AB889" s="207"/>
      <c r="AC889" s="33"/>
      <c r="AD889" s="189"/>
      <c r="AE889" s="54"/>
      <c r="AF889" s="55"/>
      <c r="AG889" s="43"/>
      <c r="AH889" s="339"/>
      <c r="AI889" s="30"/>
      <c r="AJ889" s="30"/>
      <c r="AK889" s="30"/>
      <c r="AL889" s="30"/>
      <c r="AM889" s="13"/>
      <c r="AN889" s="13"/>
      <c r="AO889" s="13"/>
      <c r="AP889" s="13"/>
      <c r="AQ889" s="13"/>
      <c r="AR889" s="14"/>
      <c r="AS889" s="15"/>
    </row>
    <row r="890" spans="1:45" s="17" customFormat="1" ht="30.95" hidden="1" customHeight="1" x14ac:dyDescent="0.2">
      <c r="A890" s="37" t="s">
        <v>534</v>
      </c>
      <c r="B890" s="38" t="s">
        <v>445</v>
      </c>
      <c r="C890" s="45"/>
      <c r="D890" s="31"/>
      <c r="E890" s="31"/>
      <c r="F890" s="268"/>
      <c r="G890" s="269"/>
      <c r="H890" s="269"/>
      <c r="I890" s="270"/>
      <c r="J890" s="210" t="s">
        <v>448</v>
      </c>
      <c r="K890" s="270"/>
      <c r="L890" s="270"/>
      <c r="M890" s="39"/>
      <c r="N890" s="39"/>
      <c r="O890" s="156"/>
      <c r="P890" s="47"/>
      <c r="Q890" s="57"/>
      <c r="R890" s="271"/>
      <c r="S890" s="272"/>
      <c r="T890" s="273"/>
      <c r="U890" s="40"/>
      <c r="V890" s="274"/>
      <c r="W890" s="269"/>
      <c r="X890" s="269"/>
      <c r="Y890" s="275"/>
      <c r="Z890" s="269"/>
      <c r="AA890" s="57"/>
      <c r="AB890" s="207"/>
      <c r="AC890" s="33"/>
      <c r="AD890" s="189"/>
      <c r="AE890" s="54"/>
      <c r="AF890" s="55"/>
      <c r="AG890" s="43"/>
      <c r="AH890" s="47"/>
      <c r="AI890" s="30"/>
      <c r="AJ890" s="30"/>
      <c r="AK890" s="30"/>
      <c r="AL890" s="30"/>
      <c r="AM890" s="13"/>
      <c r="AN890" s="13"/>
      <c r="AO890" s="13"/>
      <c r="AP890" s="13"/>
      <c r="AQ890" s="13"/>
      <c r="AR890" s="14"/>
      <c r="AS890" s="15"/>
    </row>
    <row r="891" spans="1:45" s="17" customFormat="1" ht="30.95" hidden="1" customHeight="1" x14ac:dyDescent="0.2">
      <c r="A891" s="37"/>
      <c r="B891" s="38"/>
      <c r="C891" s="45"/>
      <c r="D891" s="31"/>
      <c r="E891" s="31"/>
      <c r="F891" s="268"/>
      <c r="G891" s="269"/>
      <c r="H891" s="269"/>
      <c r="I891" s="270"/>
      <c r="J891" s="210"/>
      <c r="K891" s="270"/>
      <c r="L891" s="270"/>
      <c r="M891" s="39"/>
      <c r="N891" s="39"/>
      <c r="O891" s="156"/>
      <c r="P891" s="47"/>
      <c r="Q891" s="57"/>
      <c r="R891" s="271"/>
      <c r="S891" s="272"/>
      <c r="T891" s="273"/>
      <c r="U891" s="40"/>
      <c r="V891" s="274"/>
      <c r="W891" s="269"/>
      <c r="X891" s="269"/>
      <c r="Y891" s="275"/>
      <c r="Z891" s="269"/>
      <c r="AA891" s="57"/>
      <c r="AB891" s="207"/>
      <c r="AC891" s="33"/>
      <c r="AD891" s="189"/>
      <c r="AE891" s="54"/>
      <c r="AF891" s="55"/>
      <c r="AG891" s="43"/>
      <c r="AH891" s="47"/>
      <c r="AI891" s="30"/>
      <c r="AJ891" s="30"/>
      <c r="AK891" s="30"/>
      <c r="AL891" s="30"/>
      <c r="AM891" s="13"/>
      <c r="AN891" s="13"/>
      <c r="AO891" s="13"/>
      <c r="AP891" s="13"/>
      <c r="AQ891" s="13"/>
      <c r="AR891" s="14"/>
      <c r="AS891" s="15"/>
    </row>
    <row r="892" spans="1:45" s="17" customFormat="1" ht="30.95" hidden="1" customHeight="1" x14ac:dyDescent="0.2">
      <c r="A892" s="37" t="s">
        <v>535</v>
      </c>
      <c r="B892" s="38" t="s">
        <v>446</v>
      </c>
      <c r="C892" s="45"/>
      <c r="D892" s="31"/>
      <c r="E892" s="31"/>
      <c r="F892" s="268"/>
      <c r="G892" s="269"/>
      <c r="H892" s="269"/>
      <c r="I892" s="270"/>
      <c r="J892" s="210" t="s">
        <v>448</v>
      </c>
      <c r="K892" s="270"/>
      <c r="L892" s="270"/>
      <c r="M892" s="39"/>
      <c r="N892" s="39"/>
      <c r="O892" s="156"/>
      <c r="P892" s="47"/>
      <c r="Q892" s="57"/>
      <c r="R892" s="271"/>
      <c r="S892" s="272"/>
      <c r="T892" s="273"/>
      <c r="U892" s="40"/>
      <c r="V892" s="274"/>
      <c r="W892" s="269"/>
      <c r="X892" s="269"/>
      <c r="Y892" s="275"/>
      <c r="Z892" s="269"/>
      <c r="AA892" s="57"/>
      <c r="AB892" s="207"/>
      <c r="AC892" s="33"/>
      <c r="AD892" s="189"/>
      <c r="AE892" s="54"/>
      <c r="AF892" s="55"/>
      <c r="AG892" s="43"/>
      <c r="AH892" s="47"/>
      <c r="AI892" s="30"/>
      <c r="AJ892" s="30"/>
      <c r="AK892" s="30"/>
      <c r="AL892" s="30"/>
      <c r="AM892" s="13"/>
      <c r="AN892" s="13"/>
      <c r="AO892" s="13"/>
      <c r="AP892" s="13"/>
      <c r="AQ892" s="13"/>
      <c r="AR892" s="14"/>
      <c r="AS892" s="15"/>
    </row>
    <row r="893" spans="1:45" s="17" customFormat="1" ht="30.95" hidden="1" customHeight="1" x14ac:dyDescent="0.2">
      <c r="A893" s="37"/>
      <c r="B893" s="38"/>
      <c r="C893" s="45"/>
      <c r="D893" s="31"/>
      <c r="E893" s="31"/>
      <c r="F893" s="268"/>
      <c r="G893" s="269"/>
      <c r="H893" s="269"/>
      <c r="I893" s="270"/>
      <c r="J893" s="210"/>
      <c r="K893" s="270"/>
      <c r="L893" s="270"/>
      <c r="M893" s="39"/>
      <c r="N893" s="39"/>
      <c r="O893" s="156"/>
      <c r="P893" s="47"/>
      <c r="Q893" s="57"/>
      <c r="R893" s="338"/>
      <c r="S893" s="272"/>
      <c r="T893" s="273"/>
      <c r="U893" s="40"/>
      <c r="V893" s="277"/>
      <c r="W893" s="269"/>
      <c r="X893" s="269"/>
      <c r="Y893" s="275"/>
      <c r="Z893" s="269"/>
      <c r="AA893" s="57"/>
      <c r="AB893" s="207"/>
      <c r="AC893" s="33"/>
      <c r="AD893" s="189"/>
      <c r="AE893" s="54"/>
      <c r="AF893" s="55"/>
      <c r="AG893" s="43"/>
      <c r="AH893" s="339"/>
      <c r="AI893" s="30"/>
      <c r="AJ893" s="30"/>
      <c r="AK893" s="30"/>
      <c r="AL893" s="30"/>
      <c r="AM893" s="13"/>
      <c r="AN893" s="13"/>
      <c r="AO893" s="13"/>
      <c r="AP893" s="13"/>
      <c r="AQ893" s="13"/>
      <c r="AR893" s="14"/>
      <c r="AS893" s="15"/>
    </row>
    <row r="894" spans="1:45" s="17" customFormat="1" ht="30.95" hidden="1" customHeight="1" x14ac:dyDescent="0.2">
      <c r="A894" s="37" t="s">
        <v>1347</v>
      </c>
      <c r="B894" s="38" t="s">
        <v>1348</v>
      </c>
      <c r="C894" s="45"/>
      <c r="D894" s="31">
        <v>3721221</v>
      </c>
      <c r="E894" s="31">
        <v>4161992</v>
      </c>
      <c r="F894" s="268" t="str">
        <f>IF(D894="","",VLOOKUP(D894,契約台帳!$A$3:$K$4986,6,FALSE)&amp;VLOOKUP(D894,契約台帳!$A$3:$K$4986,7,FALSE)&amp;VLOOKUP(D894,契約台帳!$A$3:$K$4986,8,FALSE)&amp;VLOOKUP(D894,契約台帳!$A$3:$K$4986,9,FALSE)&amp;VLOOKUP(D894,契約台帳!$A$3:$K$4986,11,FALSE))</f>
        <v>33SSNMCLBTEKV0V</v>
      </c>
      <c r="G894" s="269" t="str">
        <f>IF(D894="","",VLOOKUP(F894,製品マスタ!$G$5:$H$5002,2,FALSE))</f>
        <v>S</v>
      </c>
      <c r="H894" s="269" t="str">
        <f>IF(D894="","",VLOOKUP(F894,製品マスタ!$G$5:$K$5002,5,FALSE))</f>
        <v>TEKV0V</v>
      </c>
      <c r="I894" s="270" t="str">
        <f>IF(D894="","",VLOOKUP(F894,製品マスタ!$G$5:$L$5002,6,FALSE))</f>
        <v>メタルミー　ＴＥ－Ｓ消　ＶＯＩＤ　Ｖ</v>
      </c>
      <c r="J894" s="210" t="s">
        <v>935</v>
      </c>
      <c r="K894" s="270">
        <f>IF(D894="","",VLOOKUP(D894,契約台帳!$A$3:$L$4986,12,FALSE))</f>
        <v>50</v>
      </c>
      <c r="L894" s="270" t="str">
        <f>IF(D894="","",INDEX(製品マスタ!$Q$5:$Q$5002,MATCH('S4'!F894&amp;'S4'!K894,製品マスタ!$AO$5:$AO$5002,0)))</f>
        <v>X44SEPA</v>
      </c>
      <c r="M894" s="39">
        <v>1005</v>
      </c>
      <c r="N894" s="39">
        <v>4000</v>
      </c>
      <c r="O894" s="156">
        <v>12</v>
      </c>
      <c r="P894" s="47">
        <v>3</v>
      </c>
      <c r="Q894" s="213">
        <v>45141</v>
      </c>
      <c r="R894" s="271">
        <f ca="1">IF(D894="","",IF(OFFSET(D894,-1,0)&lt;&gt;"","",IF(OR(J894="リード付け",J894="巻足し",J894="巻返しリード付け"),M894,VLOOKUP(D894,契約台帳!$A$3:$N$4986,14,FALSE))))</f>
        <v>1005</v>
      </c>
      <c r="S894" s="272">
        <f ca="1">IF(D894="","",IF(OFFSET(D894,-1,0)&lt;&gt;"","",IF(OR(J894="リード付け",J894="巻足し",J894="巻返しリード付け"),M894,VLOOKUP(D894,契約台帳!$A$3:$O$4986,15,FALSE))))</f>
        <v>1005</v>
      </c>
      <c r="T894" s="273">
        <f ca="1">IF(D894="","",IF(J894="リード付け",N894,IF(J894="巻返しリード付け",N894,IF(J894="巻足し",N894*P894+OFFSET(N894,1,0)*OFFSET(P894,1,0),VLOOKUP(D894,契約台帳!$A$3:$P$4986,16,FALSE)))))</f>
        <v>12000</v>
      </c>
      <c r="U894" s="40">
        <v>4</v>
      </c>
      <c r="V894" s="274">
        <f ca="1">IF(D894="","",IF(OFFSET(D894,-2,0)=D894,"",VLOOKUP(D894,契約台帳!$A$3:$R$4986,18,FALSE)))</f>
        <v>12</v>
      </c>
      <c r="W894" s="269" t="str">
        <f ca="1">IF(D894="","",IF(T894="","",IF(OR(J894="巻足し",J894="巻返しリード付け"),"",IF(J894="巻返し",VLOOKUP(F894&amp;K894&amp;M894,製品マスタ!$M$5:$AD$5002,18,FALSE),IF(OR(J894="リード付け",J894="巻返しリード付け"),"原反コア",IF(J894="スリット",VLOOKUP(F894&amp;K894&amp;R894,製品マスタ!$N$5:$AD$5002,17,FALSE),""))))))</f>
        <v/>
      </c>
      <c r="X894" s="269" t="str">
        <f ca="1">IF(D894="","",IF(T894="","",IF(J894="巻足し","",IF(J894="巻返し",VLOOKUP(F894&amp;K894&amp;M894,製品マスタ!$M$5:$AE$5002,19,FALSE),IF(OR(J894="リード付け",J894="巻返しリード付け"),"",IF(J894="スリット",VLOOKUP(F894&amp;K894&amp;R894,製品マスタ!$N$5:$AE$5002,18,FALSE),""))))))</f>
        <v/>
      </c>
      <c r="Y894" s="275">
        <f ca="1">IF(D894="","",IF(T894="","",VLOOKUP(D894,契約台帳!$A$3:$Q$4986,17,FALSE)))</f>
        <v>2</v>
      </c>
      <c r="Z894" s="269" t="str">
        <f ca="1">IF(D894="","",IF(T894="","",VLOOKUP(D894,契約台帳!$A$3:$E$4986,5,FALSE)))</f>
        <v>リンテック㈱</v>
      </c>
      <c r="AA894" s="57"/>
      <c r="AB894" s="303">
        <f>IFERROR((VLOOKUP(F894&amp;K894&amp;M894,製品マスタ!$M$5:$AM$5002,27,FALSE)),"")</f>
        <v>0</v>
      </c>
      <c r="AC894" s="33"/>
      <c r="AD894" s="189"/>
      <c r="AE894" s="54"/>
      <c r="AF894" s="55">
        <f>+M894*N894*O894/1000</f>
        <v>48240</v>
      </c>
      <c r="AG894" s="43"/>
      <c r="AH894" s="47"/>
      <c r="AI894" s="30"/>
      <c r="AJ894" s="30"/>
      <c r="AK894" s="30"/>
      <c r="AL894" s="30"/>
      <c r="AM894" s="13"/>
      <c r="AN894" s="13"/>
      <c r="AO894" s="13"/>
      <c r="AP894" s="13"/>
      <c r="AQ894" s="13"/>
      <c r="AR894" s="14"/>
      <c r="AS894" s="15"/>
    </row>
    <row r="895" spans="1:45" s="17" customFormat="1" ht="30.95" hidden="1" customHeight="1" x14ac:dyDescent="0.2">
      <c r="A895" s="37"/>
      <c r="B895" s="38"/>
      <c r="C895" s="45"/>
      <c r="D895" s="31"/>
      <c r="E895" s="31"/>
      <c r="F895" s="268"/>
      <c r="G895" s="269"/>
      <c r="H895" s="269"/>
      <c r="I895" s="270"/>
      <c r="J895" s="210"/>
      <c r="K895" s="270"/>
      <c r="L895" s="270"/>
      <c r="M895" s="39"/>
      <c r="N895" s="39"/>
      <c r="O895" s="156"/>
      <c r="P895" s="47"/>
      <c r="Q895" s="57"/>
      <c r="R895" s="338"/>
      <c r="S895" s="272"/>
      <c r="T895" s="273"/>
      <c r="U895" s="40"/>
      <c r="V895" s="277"/>
      <c r="W895" s="269"/>
      <c r="X895" s="269"/>
      <c r="Y895" s="275"/>
      <c r="Z895" s="269"/>
      <c r="AA895" s="57"/>
      <c r="AB895" s="207"/>
      <c r="AC895" s="33"/>
      <c r="AD895" s="189"/>
      <c r="AE895" s="54"/>
      <c r="AF895" s="55"/>
      <c r="AG895" s="43"/>
      <c r="AH895" s="339"/>
      <c r="AI895" s="30"/>
      <c r="AJ895" s="30"/>
      <c r="AK895" s="30"/>
      <c r="AL895" s="30"/>
      <c r="AM895" s="13"/>
      <c r="AN895" s="13"/>
      <c r="AO895" s="13"/>
      <c r="AP895" s="13"/>
      <c r="AQ895" s="13"/>
      <c r="AR895" s="14"/>
      <c r="AS895" s="15"/>
    </row>
    <row r="896" spans="1:45" s="17" customFormat="1" ht="30.95" hidden="1" customHeight="1" x14ac:dyDescent="0.2">
      <c r="A896" s="37"/>
      <c r="B896" s="38"/>
      <c r="C896" s="45"/>
      <c r="D896" s="31">
        <v>3721222</v>
      </c>
      <c r="E896" s="31">
        <v>4161993</v>
      </c>
      <c r="F896" s="268" t="str">
        <f>IF(D896="","",VLOOKUP(D896,契約台帳!$A$3:$K$4986,6,FALSE)&amp;VLOOKUP(D896,契約台帳!$A$3:$K$4986,7,FALSE)&amp;VLOOKUP(D896,契約台帳!$A$3:$K$4986,8,FALSE)&amp;VLOOKUP(D896,契約台帳!$A$3:$K$4986,9,FALSE)&amp;VLOOKUP(D896,契約台帳!$A$3:$K$4986,11,FALSE))</f>
        <v>33SSNMCLBTETKFV</v>
      </c>
      <c r="G896" s="269" t="str">
        <f>IF(D896="","",VLOOKUP(F896,製品マスタ!$G$5:$H$5002,2,FALSE))</f>
        <v>S</v>
      </c>
      <c r="H896" s="269" t="str">
        <f>IF(D896="","",VLOOKUP(F896,製品マスタ!$G$5:$K$5002,5,FALSE))</f>
        <v>TETKFV</v>
      </c>
      <c r="I896" s="270" t="str">
        <f>IF(D896="","",VLOOKUP(F896,製品マスタ!$G$5:$L$5002,6,FALSE))</f>
        <v>メタルミー　ＴＥＳ艶開封　Ｖ</v>
      </c>
      <c r="J896" s="210" t="s">
        <v>935</v>
      </c>
      <c r="K896" s="270">
        <f>IF(D896="","",VLOOKUP(D896,契約台帳!$A$3:$L$4986,12,FALSE))</f>
        <v>50</v>
      </c>
      <c r="L896" s="270" t="str">
        <f>IF(D896="","",INDEX(製品マスタ!$Q$5:$Q$5002,MATCH('S4'!F896&amp;'S4'!K896,製品マスタ!$AO$5:$AO$5002,0)))</f>
        <v>S28SEPA</v>
      </c>
      <c r="M896" s="39">
        <v>1005</v>
      </c>
      <c r="N896" s="39">
        <v>4100</v>
      </c>
      <c r="O896" s="156">
        <v>6</v>
      </c>
      <c r="P896" s="47">
        <v>3</v>
      </c>
      <c r="Q896" s="213">
        <v>45141</v>
      </c>
      <c r="R896" s="271">
        <f ca="1">IF(D896="","",IF(OFFSET(D896,-1,0)&lt;&gt;"","",IF(OR(J896="リード付け",J896="巻足し",J896="巻返しリード付け"),M896,VLOOKUP(D896,契約台帳!$A$3:$N$4986,14,FALSE))))</f>
        <v>1005</v>
      </c>
      <c r="S896" s="272">
        <f ca="1">IF(D896="","",IF(OFFSET(D896,-1,0)&lt;&gt;"","",IF(OR(J896="リード付け",J896="巻足し",J896="巻返しリード付け"),M896,VLOOKUP(D896,契約台帳!$A$3:$O$4986,15,FALSE))))</f>
        <v>1005</v>
      </c>
      <c r="T896" s="273">
        <f ca="1">IF(D896="","",IF(J896="リード付け",N896,IF(J896="巻返しリード付け",N896,IF(J896="巻足し",N896*P896+OFFSET(N896,1,0)*OFFSET(P896,1,0),VLOOKUP(D896,契約台帳!$A$3:$P$4986,16,FALSE)))))</f>
        <v>12300</v>
      </c>
      <c r="U896" s="40">
        <v>2</v>
      </c>
      <c r="V896" s="274">
        <f ca="1">IF(D896="","",IF(OFFSET(D896,-2,0)=D896,"",VLOOKUP(D896,契約台帳!$A$3:$R$4986,18,FALSE)))</f>
        <v>6</v>
      </c>
      <c r="W896" s="269" t="str">
        <f ca="1">IF(D896="","",IF(T896="","",IF(OR(J896="巻足し",J896="巻返しリード付け"),"",IF(J896="巻返し",VLOOKUP(F896&amp;K896&amp;M896,製品マスタ!$M$5:$AD$5002,18,FALSE),IF(OR(J896="リード付け",J896="巻返しリード付け"),"原反コア",IF(J896="スリット",VLOOKUP(F896&amp;K896&amp;R896,製品マスタ!$N$5:$AD$5002,17,FALSE),""))))))</f>
        <v/>
      </c>
      <c r="X896" s="269" t="str">
        <f ca="1">IF(D896="","",IF(T896="","",IF(J896="巻足し","",IF(J896="巻返し",VLOOKUP(F896&amp;K896&amp;M896,製品マスタ!$M$5:$AE$5002,19,FALSE),IF(OR(J896="リード付け",J896="巻返しリード付け"),"",IF(J896="スリット",VLOOKUP(F896&amp;K896&amp;R896,製品マスタ!$N$5:$AE$5002,18,FALSE),""))))))</f>
        <v/>
      </c>
      <c r="Y896" s="275">
        <f ca="1">IF(D896="","",IF(T896="","",VLOOKUP(D896,契約台帳!$A$3:$Q$4986,17,FALSE)))</f>
        <v>2</v>
      </c>
      <c r="Z896" s="269" t="str">
        <f ca="1">IF(D896="","",IF(T896="","",VLOOKUP(D896,契約台帳!$A$3:$E$4986,5,FALSE)))</f>
        <v>リンテック㈱</v>
      </c>
      <c r="AA896" s="57"/>
      <c r="AB896" s="303">
        <f>IFERROR((VLOOKUP(F896&amp;K896&amp;M896,製品マスタ!$M$5:$AM$5002,27,FALSE)),"")</f>
        <v>0</v>
      </c>
      <c r="AC896" s="33"/>
      <c r="AD896" s="189"/>
      <c r="AE896" s="54"/>
      <c r="AF896" s="55">
        <f>+M896*N896*O896/1000</f>
        <v>24723</v>
      </c>
      <c r="AG896" s="43"/>
      <c r="AH896" s="47"/>
      <c r="AI896" s="30"/>
      <c r="AJ896" s="30"/>
      <c r="AK896" s="30"/>
      <c r="AL896" s="30"/>
      <c r="AM896" s="13"/>
      <c r="AN896" s="13"/>
      <c r="AO896" s="13"/>
      <c r="AP896" s="13"/>
      <c r="AQ896" s="13"/>
      <c r="AR896" s="14"/>
      <c r="AS896" s="15"/>
    </row>
    <row r="897" spans="1:45" s="17" customFormat="1" ht="30.95" hidden="1" customHeight="1" x14ac:dyDescent="0.2">
      <c r="A897" s="37"/>
      <c r="B897" s="38"/>
      <c r="C897" s="45"/>
      <c r="D897" s="31"/>
      <c r="E897" s="31"/>
      <c r="F897" s="268"/>
      <c r="G897" s="269"/>
      <c r="H897" s="269"/>
      <c r="I897" s="270"/>
      <c r="J897" s="210"/>
      <c r="K897" s="270"/>
      <c r="L897" s="270"/>
      <c r="M897" s="39"/>
      <c r="N897" s="39"/>
      <c r="O897" s="156"/>
      <c r="P897" s="47"/>
      <c r="Q897" s="57"/>
      <c r="R897" s="271"/>
      <c r="S897" s="272"/>
      <c r="T897" s="273"/>
      <c r="U897" s="40"/>
      <c r="V897" s="274"/>
      <c r="W897" s="269"/>
      <c r="X897" s="269"/>
      <c r="Y897" s="275"/>
      <c r="Z897" s="269"/>
      <c r="AA897" s="57"/>
      <c r="AB897" s="207"/>
      <c r="AC897" s="33"/>
      <c r="AD897" s="189"/>
      <c r="AE897" s="54"/>
      <c r="AF897" s="55"/>
      <c r="AG897" s="43"/>
      <c r="AH897" s="47"/>
      <c r="AI897" s="30"/>
      <c r="AJ897" s="30"/>
      <c r="AK897" s="30"/>
      <c r="AL897" s="30"/>
      <c r="AM897" s="13"/>
      <c r="AN897" s="13"/>
      <c r="AO897" s="13"/>
      <c r="AP897" s="13"/>
      <c r="AQ897" s="13"/>
      <c r="AR897" s="14"/>
      <c r="AS897" s="15"/>
    </row>
    <row r="898" spans="1:45" s="17" customFormat="1" ht="30.95" hidden="1" customHeight="1" x14ac:dyDescent="0.2">
      <c r="A898" s="37" t="s">
        <v>1349</v>
      </c>
      <c r="B898" s="38" t="s">
        <v>1338</v>
      </c>
      <c r="C898" s="45"/>
      <c r="D898" s="31">
        <v>3721205</v>
      </c>
      <c r="E898" s="31">
        <v>4161997</v>
      </c>
      <c r="F898" s="268" t="str">
        <f>IF(D898="","",VLOOKUP(D898,契約台帳!$A$3:$K$4986,6,FALSE)&amp;VLOOKUP(D898,契約台帳!$A$3:$K$4986,7,FALSE)&amp;VLOOKUP(D898,契約台帳!$A$3:$K$4986,8,FALSE)&amp;VLOOKUP(D898,契約台帳!$A$3:$K$4986,9,FALSE)&amp;VLOOKUP(D898,契約台帳!$A$3:$K$4986,11,FALSE))</f>
        <v>3SNMLBMNGKKBF</v>
      </c>
      <c r="G898" s="269" t="str">
        <f>IF(D898="","",VLOOKUP(F898,製品マスタ!$G$5:$H$5002,2,FALSE))</f>
        <v>S</v>
      </c>
      <c r="H898" s="269" t="str">
        <f>IF(D898="","",VLOOKUP(F898,製品マスタ!$G$5:$K$5002,5,FALSE))</f>
        <v>MNGKKBF</v>
      </c>
      <c r="I898" s="270" t="str">
        <f>IF(D898="","",VLOOKUP(F898,製品マスタ!$G$5:$L$5002,6,FALSE))</f>
        <v>メタルミー　ネーマー銀消改　Ｂ</v>
      </c>
      <c r="J898" s="210" t="s">
        <v>935</v>
      </c>
      <c r="K898" s="270">
        <f>IF(D898="","",VLOOKUP(D898,契約台帳!$A$3:$L$4986,12,FALSE))</f>
        <v>25</v>
      </c>
      <c r="L898" s="270" t="str">
        <f>IF(D898="","",INDEX(製品マスタ!$Q$5:$Q$5002,MATCH('S4'!F898&amp;'S4'!K898,製品マスタ!$AO$5:$AO$5002,0)))</f>
        <v>FMATS99</v>
      </c>
      <c r="M898" s="39">
        <v>1000</v>
      </c>
      <c r="N898" s="39">
        <v>4000</v>
      </c>
      <c r="O898" s="156">
        <v>3</v>
      </c>
      <c r="P898" s="47">
        <v>3</v>
      </c>
      <c r="Q898" s="213">
        <v>45142</v>
      </c>
      <c r="R898" s="271">
        <f ca="1">IF(D898="","",IF(OFFSET(D898,-1,0)&lt;&gt;"","",IF(OR(J898="リード付け",J898="巻足し",J898="巻返しリード付け"),M898,VLOOKUP(D898,契約台帳!$A$3:$N$4986,14,FALSE))))</f>
        <v>1000</v>
      </c>
      <c r="S898" s="272">
        <f ca="1">IF(D898="","",IF(OFFSET(D898,-1,0)&lt;&gt;"","",IF(OR(J898="リード付け",J898="巻足し",J898="巻返しリード付け"),M898,VLOOKUP(D898,契約台帳!$A$3:$O$4986,15,FALSE))))</f>
        <v>1000</v>
      </c>
      <c r="T898" s="273">
        <f ca="1">IF(D898="","",IF(J898="リード付け",N898,IF(J898="巻返しリード付け",N898,IF(J898="巻足し",N898*P898+OFFSET(N898,1,0)*OFFSET(P898,1,0),VLOOKUP(D898,契約台帳!$A$3:$P$4986,16,FALSE)))))</f>
        <v>12000</v>
      </c>
      <c r="U898" s="40">
        <v>1</v>
      </c>
      <c r="V898" s="274">
        <f ca="1">IF(D898="","",IF(OFFSET(D898,-2,0)=D898,"",VLOOKUP(D898,契約台帳!$A$3:$R$4986,18,FALSE)))</f>
        <v>3</v>
      </c>
      <c r="W898" s="269" t="str">
        <f ca="1">IF(D898="","",IF(T898="","",IF(OR(J898="巻足し",J898="巻返しリード付け"),"",IF(J898="巻返し",VLOOKUP(F898&amp;K898&amp;M898,製品マスタ!$M$5:$AD$5002,18,FALSE),IF(OR(J898="リード付け",J898="巻返しリード付け"),"原反コア",IF(J898="スリット",VLOOKUP(F898&amp;K898&amp;R898,製品マスタ!$N$5:$AD$5002,17,FALSE),""))))))</f>
        <v/>
      </c>
      <c r="X898" s="269" t="str">
        <f ca="1">IF(D898="","",IF(T898="","",IF(J898="巻足し","",IF(J898="巻返し",VLOOKUP(F898&amp;K898&amp;M898,製品マスタ!$M$5:$AE$5002,19,FALSE),IF(OR(J898="リード付け",J898="巻返しリード付け"),"",IF(J898="スリット",VLOOKUP(F898&amp;K898&amp;R898,製品マスタ!$N$5:$AE$5002,18,FALSE),""))))))</f>
        <v/>
      </c>
      <c r="Y898" s="275">
        <f ca="1">IF(D898="","",IF(T898="","",VLOOKUP(D898,契約台帳!$A$3:$Q$4986,17,FALSE)))</f>
        <v>2</v>
      </c>
      <c r="Z898" s="269" t="str">
        <f ca="1">IF(D898="","",IF(T898="","",VLOOKUP(D898,契約台帳!$A$3:$E$4986,5,FALSE)))</f>
        <v>リンテック㈱</v>
      </c>
      <c r="AA898" s="57"/>
      <c r="AB898" s="207">
        <f>IFERROR((VLOOKUP(F898&amp;K898&amp;M898,製品マスタ!$M$5:$AM$5002,27,FALSE)),"")</f>
        <v>0</v>
      </c>
      <c r="AC898" s="33"/>
      <c r="AD898" s="189"/>
      <c r="AE898" s="54"/>
      <c r="AF898" s="55"/>
      <c r="AG898" s="43"/>
      <c r="AH898" s="47"/>
      <c r="AI898" s="30"/>
      <c r="AJ898" s="30"/>
      <c r="AK898" s="30"/>
      <c r="AL898" s="30"/>
      <c r="AM898" s="13"/>
      <c r="AN898" s="13"/>
      <c r="AO898" s="13"/>
      <c r="AP898" s="13"/>
      <c r="AQ898" s="13"/>
      <c r="AR898" s="14"/>
      <c r="AS898" s="15"/>
    </row>
    <row r="899" spans="1:45" s="17" customFormat="1" ht="30.95" hidden="1" customHeight="1" x14ac:dyDescent="0.2">
      <c r="A899" s="37"/>
      <c r="B899" s="38"/>
      <c r="C899" s="45"/>
      <c r="D899" s="31"/>
      <c r="E899" s="31"/>
      <c r="F899" s="268"/>
      <c r="G899" s="269"/>
      <c r="H899" s="269"/>
      <c r="I899" s="270"/>
      <c r="J899" s="210"/>
      <c r="K899" s="270"/>
      <c r="L899" s="270"/>
      <c r="M899" s="39"/>
      <c r="N899" s="39"/>
      <c r="O899" s="156"/>
      <c r="P899" s="47"/>
      <c r="Q899" s="57"/>
      <c r="R899" s="338"/>
      <c r="S899" s="272"/>
      <c r="T899" s="273"/>
      <c r="U899" s="40"/>
      <c r="V899" s="277"/>
      <c r="W899" s="269"/>
      <c r="X899" s="269"/>
      <c r="Y899" s="275"/>
      <c r="Z899" s="269"/>
      <c r="AA899" s="57"/>
      <c r="AB899" s="207"/>
      <c r="AC899" s="33"/>
      <c r="AD899" s="189"/>
      <c r="AE899" s="54"/>
      <c r="AF899" s="55"/>
      <c r="AG899" s="43"/>
      <c r="AH899" s="339"/>
      <c r="AI899" s="30"/>
      <c r="AJ899" s="30"/>
      <c r="AK899" s="30"/>
      <c r="AL899" s="30"/>
      <c r="AM899" s="13"/>
      <c r="AN899" s="13"/>
      <c r="AO899" s="13"/>
      <c r="AP899" s="13"/>
      <c r="AQ899" s="13"/>
      <c r="AR899" s="14"/>
      <c r="AS899" s="15"/>
    </row>
    <row r="900" spans="1:45" s="17" customFormat="1" ht="30.95" hidden="1" customHeight="1" x14ac:dyDescent="0.2">
      <c r="A900" s="37"/>
      <c r="B900" s="38"/>
      <c r="C900" s="45"/>
      <c r="D900" s="31">
        <v>3721211</v>
      </c>
      <c r="E900" s="31">
        <v>4162012</v>
      </c>
      <c r="F900" s="268" t="str">
        <f>IF(D900="","",VLOOKUP(D900,契約台帳!$A$3:$K$4986,6,FALSE)&amp;VLOOKUP(D900,契約台帳!$A$3:$K$4986,7,FALSE)&amp;VLOOKUP(D900,契約台帳!$A$3:$K$4986,8,FALSE)&amp;VLOOKUP(D900,契約台帳!$A$3:$K$4986,9,FALSE)&amp;VLOOKUP(D900,契約台帳!$A$3:$K$4986,11,FALSE))</f>
        <v>3SNMCLBNGKVB</v>
      </c>
      <c r="G900" s="269" t="str">
        <f>IF(D900="","",VLOOKUP(F900,製品マスタ!$G$5:$H$5002,2,FALSE))</f>
        <v>S</v>
      </c>
      <c r="H900" s="269" t="str">
        <f>IF(D900="","",VLOOKUP(F900,製品マスタ!$G$5:$K$5002,5,FALSE))</f>
        <v>NGKVB</v>
      </c>
      <c r="I900" s="270" t="str">
        <f>IF(D900="","",VLOOKUP(F900,製品マスタ!$G$5:$L$5002,6,FALSE))</f>
        <v>メタルミー　ネーマー銀消　ＶＢ</v>
      </c>
      <c r="J900" s="210" t="s">
        <v>935</v>
      </c>
      <c r="K900" s="270">
        <f>IF(D900="","",VLOOKUP(D900,契約台帳!$A$3:$L$4986,12,FALSE))</f>
        <v>50</v>
      </c>
      <c r="L900" s="270" t="str">
        <f>IF(D900="","",INDEX(製品マスタ!$Q$5:$Q$5002,MATCH('S4'!F900&amp;'S4'!K900,製品マスタ!$AO$5:$AO$5002,0)))</f>
        <v>MAT</v>
      </c>
      <c r="M900" s="39">
        <v>1005</v>
      </c>
      <c r="N900" s="39">
        <v>4100</v>
      </c>
      <c r="O900" s="156">
        <v>3</v>
      </c>
      <c r="P900" s="47">
        <v>3</v>
      </c>
      <c r="Q900" s="213">
        <v>45145</v>
      </c>
      <c r="R900" s="271">
        <f ca="1">IF(D900="","",IF(OFFSET(D900,-1,0)&lt;&gt;"","",IF(OR(J900="リード付け",J900="巻足し",J900="巻返しリード付け"),M900,VLOOKUP(D900,契約台帳!$A$3:$N$4986,14,FALSE))))</f>
        <v>1005</v>
      </c>
      <c r="S900" s="272">
        <f ca="1">IF(D900="","",IF(OFFSET(D900,-1,0)&lt;&gt;"","",IF(OR(J900="リード付け",J900="巻足し",J900="巻返しリード付け"),M900,VLOOKUP(D900,契約台帳!$A$3:$O$4986,15,FALSE))))</f>
        <v>1005</v>
      </c>
      <c r="T900" s="273">
        <f ca="1">IF(D900="","",IF(J900="リード付け",N900,IF(J900="巻返しリード付け",N900,IF(J900="巻足し",N900*P900+OFFSET(N900,1,0)*OFFSET(P900,1,0),VLOOKUP(D900,契約台帳!$A$3:$P$4986,16,FALSE)))))</f>
        <v>12300</v>
      </c>
      <c r="U900" s="40">
        <v>1</v>
      </c>
      <c r="V900" s="274">
        <f ca="1">IF(D900="","",IF(OFFSET(D900,-2,0)=D900,"",VLOOKUP(D900,契約台帳!$A$3:$R$4986,18,FALSE)))</f>
        <v>3</v>
      </c>
      <c r="W900" s="269" t="str">
        <f ca="1">IF(D900="","",IF(T900="","",IF(OR(J900="巻足し",J900="巻返しリード付け"),"",IF(J900="巻返し",VLOOKUP(F900&amp;K900&amp;M900,製品マスタ!$M$5:$AD$5002,18,FALSE),IF(OR(J900="リード付け",J900="巻返しリード付け"),"原反コア",IF(J900="スリット",VLOOKUP(F900&amp;K900&amp;R900,製品マスタ!$N$5:$AD$5002,17,FALSE),""))))))</f>
        <v/>
      </c>
      <c r="X900" s="269" t="str">
        <f ca="1">IF(D900="","",IF(T900="","",IF(J900="巻足し","",IF(J900="巻返し",VLOOKUP(F900&amp;K900&amp;M900,製品マスタ!$M$5:$AE$5002,19,FALSE),IF(OR(J900="リード付け",J900="巻返しリード付け"),"",IF(J900="スリット",VLOOKUP(F900&amp;K900&amp;R900,製品マスタ!$N$5:$AE$5002,18,FALSE),""))))))</f>
        <v/>
      </c>
      <c r="Y900" s="275">
        <f ca="1">IF(D900="","",IF(T900="","",VLOOKUP(D900,契約台帳!$A$3:$Q$4986,17,FALSE)))</f>
        <v>2</v>
      </c>
      <c r="Z900" s="269" t="str">
        <f ca="1">IF(D900="","",IF(T900="","",VLOOKUP(D900,契約台帳!$A$3:$E$4986,5,FALSE)))</f>
        <v>リンテック㈱</v>
      </c>
      <c r="AA900" s="57"/>
      <c r="AB900" s="207">
        <f>IFERROR((VLOOKUP(F900&amp;K900&amp;M900,製品マスタ!$M$5:$AM$5002,27,FALSE)),"")</f>
        <v>0</v>
      </c>
      <c r="AC900" s="33"/>
      <c r="AD900" s="189"/>
      <c r="AE900" s="54"/>
      <c r="AF900" s="55"/>
      <c r="AG900" s="43"/>
      <c r="AH900" s="47"/>
      <c r="AI900" s="30"/>
      <c r="AJ900" s="30"/>
      <c r="AK900" s="30"/>
      <c r="AL900" s="30"/>
      <c r="AM900" s="13"/>
      <c r="AN900" s="13"/>
      <c r="AO900" s="13"/>
      <c r="AP900" s="13"/>
      <c r="AQ900" s="13"/>
      <c r="AR900" s="14"/>
      <c r="AS900" s="15"/>
    </row>
    <row r="901" spans="1:45" s="17" customFormat="1" ht="30.95" hidden="1" customHeight="1" x14ac:dyDescent="0.2">
      <c r="A901" s="37"/>
      <c r="B901" s="38"/>
      <c r="C901" s="45"/>
      <c r="D901" s="31"/>
      <c r="E901" s="31"/>
      <c r="F901" s="268"/>
      <c r="G901" s="269"/>
      <c r="H901" s="269"/>
      <c r="I901" s="270"/>
      <c r="J901" s="210"/>
      <c r="K901" s="270"/>
      <c r="L901" s="270"/>
      <c r="M901" s="39"/>
      <c r="N901" s="39"/>
      <c r="O901" s="156"/>
      <c r="P901" s="47"/>
      <c r="Q901" s="57"/>
      <c r="R901" s="338"/>
      <c r="S901" s="272"/>
      <c r="T901" s="273"/>
      <c r="U901" s="40"/>
      <c r="V901" s="277"/>
      <c r="W901" s="269"/>
      <c r="X901" s="269"/>
      <c r="Y901" s="275"/>
      <c r="Z901" s="269"/>
      <c r="AA901" s="57"/>
      <c r="AB901" s="207"/>
      <c r="AC901" s="33"/>
      <c r="AD901" s="189"/>
      <c r="AE901" s="54"/>
      <c r="AF901" s="55"/>
      <c r="AG901" s="43"/>
      <c r="AH901" s="339"/>
      <c r="AI901" s="30"/>
      <c r="AJ901" s="30"/>
      <c r="AK901" s="30"/>
      <c r="AL901" s="30"/>
      <c r="AM901" s="13"/>
      <c r="AN901" s="13"/>
      <c r="AO901" s="13"/>
      <c r="AP901" s="13"/>
      <c r="AQ901" s="13"/>
      <c r="AR901" s="14"/>
      <c r="AS901" s="15"/>
    </row>
    <row r="902" spans="1:45" s="17" customFormat="1" ht="30.95" hidden="1" customHeight="1" x14ac:dyDescent="0.2">
      <c r="A902" s="37"/>
      <c r="B902" s="38"/>
      <c r="C902" s="45"/>
      <c r="D902" s="31">
        <v>3721201</v>
      </c>
      <c r="E902" s="31">
        <v>4162010</v>
      </c>
      <c r="F902" s="268" t="str">
        <f>IF(D902="","",VLOOKUP(D902,契約台帳!$A$3:$K$4986,6,FALSE)&amp;VLOOKUP(D902,契約台帳!$A$3:$K$4986,7,FALSE)&amp;VLOOKUP(D902,契約台帳!$A$3:$K$4986,8,FALSE)&amp;VLOOKUP(D902,契約台帳!$A$3:$K$4986,9,FALSE)&amp;VLOOKUP(D902,契約台帳!$A$3:$K$4986,11,FALSE))</f>
        <v>3SNMCLBMSNEYK</v>
      </c>
      <c r="G902" s="269" t="str">
        <f>IF(D902="","",VLOOKUP(F902,製品マスタ!$G$5:$H$5002,2,FALSE))</f>
        <v>S</v>
      </c>
      <c r="H902" s="269" t="str">
        <f>IF(D902="","",VLOOKUP(F902,製品マスタ!$G$5:$K$5002,5,FALSE))</f>
        <v>MSNEYK</v>
      </c>
      <c r="I902" s="270" t="str">
        <f>IF(D902="","",VLOOKUP(F902,製品マスタ!$G$5:$L$5002,6,FALSE))</f>
        <v>ＭＳＮ　ＥＹＫ</v>
      </c>
      <c r="J902" s="210" t="s">
        <v>935</v>
      </c>
      <c r="K902" s="270">
        <f>IF(D902="","",VLOOKUP(D902,契約台帳!$A$3:$L$4986,12,FALSE))</f>
        <v>50</v>
      </c>
      <c r="L902" s="270" t="str">
        <f>IF(D902="","",INDEX(製品マスタ!$Q$5:$Q$5002,MATCH('S4'!F902&amp;'S4'!K902,製品マスタ!$AO$5:$AO$5002,0)))</f>
        <v>N-MAT</v>
      </c>
      <c r="M902" s="39">
        <v>1200</v>
      </c>
      <c r="N902" s="39">
        <v>6000</v>
      </c>
      <c r="O902" s="156">
        <v>4</v>
      </c>
      <c r="P902" s="47">
        <v>2</v>
      </c>
      <c r="Q902" s="213">
        <v>45142</v>
      </c>
      <c r="R902" s="271">
        <f ca="1">IF(D902="","",IF(OFFSET(D902,-1,0)&lt;&gt;"","",IF(OR(J902="リード付け",J902="巻足し",J902="巻返しリード付け"),M902,VLOOKUP(D902,契約台帳!$A$3:$N$4986,14,FALSE))))</f>
        <v>1200</v>
      </c>
      <c r="S902" s="272">
        <f ca="1">IF(D902="","",IF(OFFSET(D902,-1,0)&lt;&gt;"","",IF(OR(J902="リード付け",J902="巻足し",J902="巻返しリード付け"),M902,VLOOKUP(D902,契約台帳!$A$3:$O$4986,15,FALSE))))</f>
        <v>1200</v>
      </c>
      <c r="T902" s="273">
        <f ca="1">IF(D902="","",IF(J902="リード付け",N902,IF(J902="巻返しリード付け",N902,IF(J902="巻足し",N902*P902+OFFSET(N902,1,0)*OFFSET(P902,1,0),VLOOKUP(D902,契約台帳!$A$3:$P$4986,16,FALSE)))))</f>
        <v>12000</v>
      </c>
      <c r="U902" s="40">
        <v>2</v>
      </c>
      <c r="V902" s="274">
        <f ca="1">IF(D902="","",IF(OFFSET(D902,-2,0)=D902,"",VLOOKUP(D902,契約台帳!$A$3:$R$4986,18,FALSE)))</f>
        <v>4</v>
      </c>
      <c r="W902" s="269" t="str">
        <f ca="1">IF(D902="","",IF(T902="","",IF(OR(J902="巻足し",J902="巻返しリード付け"),"",IF(J902="巻返し",VLOOKUP(F902&amp;K902&amp;M902,製品マスタ!$M$5:$AD$5002,18,FALSE),IF(OR(J902="リード付け",J902="巻返しリード付け"),"原反コア",IF(J902="スリット",VLOOKUP(F902&amp;K902&amp;R902,製品マスタ!$N$5:$AD$5002,17,FALSE),""))))))</f>
        <v/>
      </c>
      <c r="X902" s="269" t="str">
        <f ca="1">IF(D902="","",IF(T902="","",IF(J902="巻足し","",IF(J902="巻返し",VLOOKUP(F902&amp;K902&amp;M902,製品マスタ!$M$5:$AE$5002,19,FALSE),IF(OR(J902="リード付け",J902="巻返しリード付け"),"",IF(J902="スリット",VLOOKUP(F902&amp;K902&amp;R902,製品マスタ!$N$5:$AE$5002,18,FALSE),""))))))</f>
        <v/>
      </c>
      <c r="Y902" s="275">
        <f ca="1">IF(D902="","",IF(T902="","",VLOOKUP(D902,契約台帳!$A$3:$Q$4986,17,FALSE)))</f>
        <v>2</v>
      </c>
      <c r="Z902" s="269" t="str">
        <f ca="1">IF(D902="","",IF(T902="","",VLOOKUP(D902,契約台帳!$A$3:$E$4986,5,FALSE)))</f>
        <v>大阪シーリング印刷㈱</v>
      </c>
      <c r="AA902" s="57"/>
      <c r="AB902" s="207" t="str">
        <f>IFERROR((VLOOKUP(F902&amp;K902&amp;M902,製品マスタ!$M$5:$AM$5002,27,FALSE)),"")</f>
        <v>原反ケース再利用</v>
      </c>
      <c r="AC902" s="33"/>
      <c r="AD902" s="189"/>
      <c r="AE902" s="54"/>
      <c r="AF902" s="55"/>
      <c r="AG902" s="43"/>
      <c r="AH902" s="339"/>
      <c r="AI902" s="30"/>
      <c r="AJ902" s="30"/>
      <c r="AK902" s="30"/>
      <c r="AL902" s="30"/>
      <c r="AM902" s="13"/>
      <c r="AN902" s="13"/>
      <c r="AO902" s="13"/>
      <c r="AP902" s="13"/>
      <c r="AQ902" s="13"/>
      <c r="AR902" s="14"/>
      <c r="AS902" s="15"/>
    </row>
    <row r="903" spans="1:45" s="17" customFormat="1" ht="30.95" hidden="1" customHeight="1" x14ac:dyDescent="0.2">
      <c r="A903" s="37"/>
      <c r="B903" s="38"/>
      <c r="C903" s="45"/>
      <c r="D903" s="31"/>
      <c r="E903" s="31"/>
      <c r="F903" s="268"/>
      <c r="G903" s="269"/>
      <c r="H903" s="269"/>
      <c r="I903" s="270"/>
      <c r="J903" s="210"/>
      <c r="K903" s="270"/>
      <c r="L903" s="270"/>
      <c r="M903" s="39"/>
      <c r="N903" s="39"/>
      <c r="O903" s="156"/>
      <c r="P903" s="47"/>
      <c r="Q903" s="57"/>
      <c r="R903" s="338"/>
      <c r="S903" s="272"/>
      <c r="T903" s="273"/>
      <c r="U903" s="40"/>
      <c r="V903" s="277"/>
      <c r="W903" s="269"/>
      <c r="X903" s="269"/>
      <c r="Y903" s="275"/>
      <c r="Z903" s="269"/>
      <c r="AA903" s="57"/>
      <c r="AB903" s="207"/>
      <c r="AC903" s="33"/>
      <c r="AD903" s="189"/>
      <c r="AE903" s="54"/>
      <c r="AF903" s="55"/>
      <c r="AG903" s="43"/>
      <c r="AH903" s="339"/>
      <c r="AI903" s="30"/>
      <c r="AJ903" s="30"/>
      <c r="AK903" s="30"/>
      <c r="AL903" s="30"/>
      <c r="AM903" s="13"/>
      <c r="AN903" s="13"/>
      <c r="AO903" s="13"/>
      <c r="AP903" s="13"/>
      <c r="AQ903" s="13"/>
      <c r="AR903" s="14"/>
      <c r="AS903" s="15"/>
    </row>
    <row r="904" spans="1:45" s="17" customFormat="1" ht="30.95" hidden="1" customHeight="1" x14ac:dyDescent="0.2">
      <c r="A904" s="37" t="s">
        <v>1350</v>
      </c>
      <c r="B904" s="38" t="s">
        <v>1340</v>
      </c>
      <c r="C904" s="45"/>
      <c r="D904" s="31"/>
      <c r="E904" s="31"/>
      <c r="F904" s="268"/>
      <c r="G904" s="269"/>
      <c r="H904" s="269"/>
      <c r="I904" s="270"/>
      <c r="J904" s="210"/>
      <c r="K904" s="270"/>
      <c r="L904" s="270"/>
      <c r="M904" s="39"/>
      <c r="N904" s="39"/>
      <c r="O904" s="156"/>
      <c r="P904" s="47"/>
      <c r="Q904" s="57"/>
      <c r="R904" s="338"/>
      <c r="S904" s="272"/>
      <c r="T904" s="273"/>
      <c r="U904" s="40"/>
      <c r="V904" s="277"/>
      <c r="W904" s="269"/>
      <c r="X904" s="269"/>
      <c r="Y904" s="275"/>
      <c r="Z904" s="269"/>
      <c r="AA904" s="57"/>
      <c r="AB904" s="207"/>
      <c r="AC904" s="33"/>
      <c r="AD904" s="189"/>
      <c r="AE904" s="54"/>
      <c r="AF904" s="55"/>
      <c r="AG904" s="43"/>
      <c r="AH904" s="339"/>
      <c r="AI904" s="30"/>
      <c r="AJ904" s="30"/>
      <c r="AK904" s="30"/>
      <c r="AL904" s="30"/>
      <c r="AM904" s="13"/>
      <c r="AN904" s="13"/>
      <c r="AO904" s="13"/>
      <c r="AP904" s="13"/>
      <c r="AQ904" s="13"/>
      <c r="AR904" s="14"/>
      <c r="AS904" s="15"/>
    </row>
    <row r="905" spans="1:45" s="17" customFormat="1" ht="30.95" hidden="1" customHeight="1" x14ac:dyDescent="0.2">
      <c r="A905" s="37"/>
      <c r="B905" s="38"/>
      <c r="C905" s="45"/>
      <c r="D905" s="31"/>
      <c r="E905" s="31"/>
      <c r="F905" s="268"/>
      <c r="G905" s="269"/>
      <c r="H905" s="269"/>
      <c r="I905" s="270"/>
      <c r="J905" s="210"/>
      <c r="K905" s="270"/>
      <c r="L905" s="270"/>
      <c r="M905" s="39"/>
      <c r="N905" s="39"/>
      <c r="O905" s="156"/>
      <c r="P905" s="47"/>
      <c r="Q905" s="57"/>
      <c r="R905" s="338"/>
      <c r="S905" s="272"/>
      <c r="T905" s="273"/>
      <c r="U905" s="40"/>
      <c r="V905" s="277"/>
      <c r="W905" s="269"/>
      <c r="X905" s="269"/>
      <c r="Y905" s="275"/>
      <c r="Z905" s="269"/>
      <c r="AA905" s="57"/>
      <c r="AB905" s="207"/>
      <c r="AC905" s="33"/>
      <c r="AD905" s="189"/>
      <c r="AE905" s="54"/>
      <c r="AF905" s="55"/>
      <c r="AG905" s="43"/>
      <c r="AH905" s="339"/>
      <c r="AI905" s="30"/>
      <c r="AJ905" s="30"/>
      <c r="AK905" s="30"/>
      <c r="AL905" s="30"/>
      <c r="AM905" s="13"/>
      <c r="AN905" s="13"/>
      <c r="AO905" s="13"/>
      <c r="AP905" s="13"/>
      <c r="AQ905" s="13"/>
      <c r="AR905" s="14"/>
      <c r="AS905" s="15"/>
    </row>
    <row r="906" spans="1:45" s="17" customFormat="1" ht="30.95" hidden="1" customHeight="1" x14ac:dyDescent="0.2">
      <c r="A906" s="37" t="s">
        <v>1351</v>
      </c>
      <c r="B906" s="38" t="s">
        <v>1342</v>
      </c>
      <c r="C906" s="45"/>
      <c r="D906" s="31">
        <v>3721208</v>
      </c>
      <c r="E906" s="31">
        <v>4162000</v>
      </c>
      <c r="F906" s="268" t="str">
        <f>IF(D906="","",VLOOKUP(D906,契約台帳!$A$3:$K$4986,6,FALSE)&amp;VLOOKUP(D906,契約台帳!$A$3:$K$4986,7,FALSE)&amp;VLOOKUP(D906,契約台帳!$A$3:$K$4986,8,FALSE)&amp;VLOOKUP(D906,契約台帳!$A$3:$K$4986,9,FALSE)&amp;VLOOKUP(D906,契約台帳!$A$3:$K$4986,11,FALSE))</f>
        <v>3SNMLBMNGKKBF</v>
      </c>
      <c r="G906" s="269" t="str">
        <f>IF(D906="","",VLOOKUP(F906,製品マスタ!$G$5:$H$5002,2,FALSE))</f>
        <v>S</v>
      </c>
      <c r="H906" s="269" t="str">
        <f>IF(D906="","",VLOOKUP(F906,製品マスタ!$G$5:$K$5002,5,FALSE))</f>
        <v>MNGKKBF</v>
      </c>
      <c r="I906" s="270" t="str">
        <f>IF(D906="","",VLOOKUP(F906,製品マスタ!$G$5:$L$5002,6,FALSE))</f>
        <v>メタルミー　ネーマー銀消改　Ｂ</v>
      </c>
      <c r="J906" s="210" t="s">
        <v>935</v>
      </c>
      <c r="K906" s="270">
        <f>IF(D906="","",VLOOKUP(D906,契約台帳!$A$3:$L$4986,12,FALSE))</f>
        <v>50</v>
      </c>
      <c r="L906" s="270" t="str">
        <f>IF(D906="","",INDEX(製品マスタ!$Q$5:$Q$5002,MATCH('S4'!F906&amp;'S4'!K906,製品マスタ!$AO$5:$AO$5002,0)))</f>
        <v>S99-MAT</v>
      </c>
      <c r="M906" s="39">
        <v>1120</v>
      </c>
      <c r="N906" s="39">
        <v>4000</v>
      </c>
      <c r="O906" s="156">
        <v>15</v>
      </c>
      <c r="P906" s="47">
        <v>3</v>
      </c>
      <c r="Q906" s="213">
        <v>45148</v>
      </c>
      <c r="R906" s="271">
        <f ca="1">IF(D906="","",IF(OFFSET(D906,-1,0)&lt;&gt;"","",IF(OR(J906="リード付け",J906="巻足し",J906="巻返しリード付け"),M906,VLOOKUP(D906,契約台帳!$A$3:$N$4986,14,FALSE))))</f>
        <v>1120</v>
      </c>
      <c r="S906" s="272">
        <f ca="1">IF(D906="","",IF(OFFSET(D906,-1,0)&lt;&gt;"","",IF(OR(J906="リード付け",J906="巻足し",J906="巻返しリード付け"),M906,VLOOKUP(D906,契約台帳!$A$3:$O$4986,15,FALSE))))</f>
        <v>1120</v>
      </c>
      <c r="T906" s="273">
        <f ca="1">IF(D906="","",IF(J906="リード付け",N906,IF(J906="巻返しリード付け",N906,IF(J906="巻足し",N906*P906+OFFSET(N906,1,0)*OFFSET(P906,1,0),VLOOKUP(D906,契約台帳!$A$3:$P$4986,16,FALSE)))))</f>
        <v>12000</v>
      </c>
      <c r="U906" s="40">
        <v>5</v>
      </c>
      <c r="V906" s="274">
        <f ca="1">IF(D906="","",IF(OFFSET(D906,-2,0)=D906,"",VLOOKUP(D906,契約台帳!$A$3:$R$4986,18,FALSE)))</f>
        <v>20</v>
      </c>
      <c r="W906" s="269" t="str">
        <f ca="1">IF(D906="","",IF(T906="","",IF(OR(J906="巻足し",J906="巻返しリード付け"),"",IF(J906="巻返し",VLOOKUP(F906&amp;K906&amp;M906,製品マスタ!$M$5:$AD$5002,18,FALSE),IF(OR(J906="リード付け",J906="巻返しリード付け"),"原反コア",IF(J906="スリット",VLOOKUP(F906&amp;K906&amp;R906,製品マスタ!$N$5:$AD$5002,17,FALSE),""))))))</f>
        <v/>
      </c>
      <c r="X906" s="269" t="str">
        <f ca="1">IF(D906="","",IF(T906="","",IF(J906="巻足し","",IF(J906="巻返し",VLOOKUP(F906&amp;K906&amp;M906,製品マスタ!$M$5:$AE$5002,19,FALSE),IF(OR(J906="リード付け",J906="巻返しリード付け"),"",IF(J906="スリット",VLOOKUP(F906&amp;K906&amp;R906,製品マスタ!$N$5:$AE$5002,18,FALSE),""))))))</f>
        <v/>
      </c>
      <c r="Y906" s="275">
        <f ca="1">IF(D906="","",IF(T906="","",VLOOKUP(D906,契約台帳!$A$3:$Q$4986,17,FALSE)))</f>
        <v>2</v>
      </c>
      <c r="Z906" s="269" t="str">
        <f ca="1">IF(D906="","",IF(T906="","",VLOOKUP(D906,契約台帳!$A$3:$E$4986,5,FALSE)))</f>
        <v>リンテック㈱</v>
      </c>
      <c r="AA906" s="57"/>
      <c r="AB906" s="207"/>
      <c r="AC906" s="33"/>
      <c r="AD906" s="189"/>
      <c r="AE906" s="54"/>
      <c r="AF906" s="55"/>
      <c r="AG906" s="43"/>
      <c r="AH906" s="339"/>
      <c r="AI906" s="30"/>
      <c r="AJ906" s="30"/>
      <c r="AK906" s="30"/>
      <c r="AL906" s="30"/>
      <c r="AM906" s="13"/>
      <c r="AN906" s="13"/>
      <c r="AO906" s="13"/>
      <c r="AP906" s="13"/>
      <c r="AQ906" s="13"/>
      <c r="AR906" s="14"/>
      <c r="AS906" s="15"/>
    </row>
    <row r="907" spans="1:45" s="17" customFormat="1" ht="30.95" hidden="1" customHeight="1" x14ac:dyDescent="0.2">
      <c r="A907" s="37"/>
      <c r="B907" s="38"/>
      <c r="C907" s="45"/>
      <c r="D907" s="31"/>
      <c r="E907" s="31"/>
      <c r="F907" s="268"/>
      <c r="G907" s="269"/>
      <c r="H907" s="269"/>
      <c r="I907" s="270"/>
      <c r="J907" s="210"/>
      <c r="K907" s="270"/>
      <c r="L907" s="270"/>
      <c r="M907" s="39"/>
      <c r="N907" s="39"/>
      <c r="O907" s="156"/>
      <c r="P907" s="47"/>
      <c r="Q907" s="57"/>
      <c r="R907" s="271"/>
      <c r="S907" s="272"/>
      <c r="T907" s="273"/>
      <c r="U907" s="40"/>
      <c r="V907" s="274"/>
      <c r="W907" s="269"/>
      <c r="X907" s="269"/>
      <c r="Y907" s="275"/>
      <c r="Z907" s="269"/>
      <c r="AA907" s="57"/>
      <c r="AB907" s="207"/>
      <c r="AC907" s="33"/>
      <c r="AD907" s="189"/>
      <c r="AE907" s="54"/>
      <c r="AF907" s="55"/>
      <c r="AG907" s="43"/>
      <c r="AH907" s="339"/>
      <c r="AI907" s="30"/>
      <c r="AJ907" s="30"/>
      <c r="AK907" s="30"/>
      <c r="AL907" s="30"/>
      <c r="AM907" s="13"/>
      <c r="AN907" s="13"/>
      <c r="AO907" s="13"/>
      <c r="AP907" s="13"/>
      <c r="AQ907" s="13"/>
      <c r="AR907" s="14"/>
      <c r="AS907" s="15"/>
    </row>
    <row r="908" spans="1:45" s="17" customFormat="1" ht="30.95" hidden="1" customHeight="1" x14ac:dyDescent="0.2">
      <c r="A908" s="37" t="s">
        <v>1352</v>
      </c>
      <c r="B908" s="38" t="s">
        <v>1344</v>
      </c>
      <c r="C908" s="45"/>
      <c r="D908" s="31">
        <v>3721208</v>
      </c>
      <c r="E908" s="31">
        <v>4162000</v>
      </c>
      <c r="F908" s="268" t="str">
        <f>IF(D908="","",VLOOKUP(D908,契約台帳!$A$3:$K$4986,6,FALSE)&amp;VLOOKUP(D908,契約台帳!$A$3:$K$4986,7,FALSE)&amp;VLOOKUP(D908,契約台帳!$A$3:$K$4986,8,FALSE)&amp;VLOOKUP(D908,契約台帳!$A$3:$K$4986,9,FALSE)&amp;VLOOKUP(D908,契約台帳!$A$3:$K$4986,11,FALSE))</f>
        <v>3SNMLBMNGKKBF</v>
      </c>
      <c r="G908" s="269" t="str">
        <f>IF(D908="","",VLOOKUP(F908,製品マスタ!$G$5:$H$5002,2,FALSE))</f>
        <v>S</v>
      </c>
      <c r="H908" s="269" t="str">
        <f>IF(D908="","",VLOOKUP(F908,製品マスタ!$G$5:$K$5002,5,FALSE))</f>
        <v>MNGKKBF</v>
      </c>
      <c r="I908" s="270" t="str">
        <f>IF(D908="","",VLOOKUP(F908,製品マスタ!$G$5:$L$5002,6,FALSE))</f>
        <v>メタルミー　ネーマー銀消改　Ｂ</v>
      </c>
      <c r="J908" s="210" t="s">
        <v>935</v>
      </c>
      <c r="K908" s="270">
        <f>IF(D908="","",VLOOKUP(D908,契約台帳!$A$3:$L$4986,12,FALSE))</f>
        <v>50</v>
      </c>
      <c r="L908" s="270" t="str">
        <f>IF(D908="","",INDEX(製品マスタ!$Q$5:$Q$5002,MATCH('S4'!F908&amp;'S4'!K908,製品マスタ!$AO$5:$AO$5002,0)))</f>
        <v>S99-MAT</v>
      </c>
      <c r="M908" s="39">
        <v>1120</v>
      </c>
      <c r="N908" s="39">
        <v>4000</v>
      </c>
      <c r="O908" s="156">
        <v>3</v>
      </c>
      <c r="P908" s="47">
        <v>3</v>
      </c>
      <c r="Q908" s="213">
        <v>45148</v>
      </c>
      <c r="R908" s="271">
        <f ca="1">IF(D908="","",IF(OFFSET(D908,-1,0)&lt;&gt;"","",IF(OR(J908="リード付け",J908="巻足し",J908="巻返しリード付け"),M908,VLOOKUP(D908,契約台帳!$A$3:$N$4986,14,FALSE))))</f>
        <v>1120</v>
      </c>
      <c r="S908" s="272">
        <f ca="1">IF(D908="","",IF(OFFSET(D908,-1,0)&lt;&gt;"","",IF(OR(J908="リード付け",J908="巻足し",J908="巻返しリード付け"),M908,VLOOKUP(D908,契約台帳!$A$3:$O$4986,15,FALSE))))</f>
        <v>1120</v>
      </c>
      <c r="T908" s="273">
        <f ca="1">IF(D908="","",IF(J908="リード付け",N908,IF(J908="巻返しリード付け",N908,IF(J908="巻足し",N908*P908+OFFSET(N908,1,0)*OFFSET(P908,1,0),VLOOKUP(D908,契約台帳!$A$3:$P$4986,16,FALSE)))))</f>
        <v>12000</v>
      </c>
      <c r="U908" s="40">
        <v>1</v>
      </c>
      <c r="V908" s="274" t="str">
        <f ca="1">IF(D908="","",IF(OFFSET(D908,-2,0)=D908,"",VLOOKUP(D908,契約台帳!$A$3:$R$4986,18,FALSE)))</f>
        <v/>
      </c>
      <c r="W908" s="269" t="str">
        <f ca="1">IF(D908="","",IF(T908="","",IF(OR(J908="巻足し",J908="巻返しリード付け"),"",IF(J908="巻返し",VLOOKUP(F908&amp;K908&amp;M908,製品マスタ!$M$5:$AD$5002,18,FALSE),IF(OR(J908="リード付け",J908="巻返しリード付け"),"原反コア",IF(J908="スリット",VLOOKUP(F908&amp;K908&amp;R908,製品マスタ!$N$5:$AD$5002,17,FALSE),""))))))</f>
        <v/>
      </c>
      <c r="X908" s="269" t="str">
        <f ca="1">IF(D908="","",IF(T908="","",IF(J908="巻足し","",IF(J908="巻返し",VLOOKUP(F908&amp;K908&amp;M908,製品マスタ!$M$5:$AE$5002,19,FALSE),IF(OR(J908="リード付け",J908="巻返しリード付け"),"",IF(J908="スリット",VLOOKUP(F908&amp;K908&amp;R908,製品マスタ!$N$5:$AE$5002,18,FALSE),""))))))</f>
        <v/>
      </c>
      <c r="Y908" s="275">
        <f ca="1">IF(D908="","",IF(T908="","",VLOOKUP(D908,契約台帳!$A$3:$Q$4986,17,FALSE)))</f>
        <v>2</v>
      </c>
      <c r="Z908" s="269" t="str">
        <f ca="1">IF(D908="","",IF(T908="","",VLOOKUP(D908,契約台帳!$A$3:$E$4986,5,FALSE)))</f>
        <v>リンテック㈱</v>
      </c>
      <c r="AA908" s="57"/>
      <c r="AB908" s="207"/>
      <c r="AC908" s="33"/>
      <c r="AD908" s="189"/>
      <c r="AE908" s="54"/>
      <c r="AF908" s="55"/>
      <c r="AG908" s="43"/>
      <c r="AH908" s="339"/>
      <c r="AI908" s="30"/>
      <c r="AJ908" s="30"/>
      <c r="AK908" s="30"/>
      <c r="AL908" s="30"/>
      <c r="AM908" s="13"/>
      <c r="AN908" s="13"/>
      <c r="AO908" s="13"/>
      <c r="AP908" s="13"/>
      <c r="AQ908" s="13"/>
      <c r="AR908" s="14"/>
      <c r="AS908" s="15"/>
    </row>
    <row r="909" spans="1:45" s="17" customFormat="1" ht="30.95" hidden="1" customHeight="1" x14ac:dyDescent="0.2">
      <c r="A909" s="37"/>
      <c r="B909" s="38"/>
      <c r="C909" s="45"/>
      <c r="D909" s="31"/>
      <c r="E909" s="31"/>
      <c r="F909" s="268"/>
      <c r="G909" s="269"/>
      <c r="H909" s="269"/>
      <c r="I909" s="270"/>
      <c r="J909" s="210"/>
      <c r="K909" s="270"/>
      <c r="L909" s="270"/>
      <c r="M909" s="39"/>
      <c r="N909" s="39"/>
      <c r="O909" s="156"/>
      <c r="P909" s="47"/>
      <c r="Q909" s="57"/>
      <c r="R909" s="271"/>
      <c r="S909" s="272"/>
      <c r="T909" s="273"/>
      <c r="U909" s="40"/>
      <c r="V909" s="274"/>
      <c r="W909" s="269"/>
      <c r="X909" s="269"/>
      <c r="Y909" s="275"/>
      <c r="Z909" s="269"/>
      <c r="AA909" s="57"/>
      <c r="AB909" s="207"/>
      <c r="AC909" s="33"/>
      <c r="AD909" s="189"/>
      <c r="AE909" s="54"/>
      <c r="AF909" s="55"/>
      <c r="AG909" s="43"/>
      <c r="AH909" s="339"/>
      <c r="AI909" s="30"/>
      <c r="AJ909" s="30"/>
      <c r="AK909" s="30"/>
      <c r="AL909" s="30"/>
      <c r="AM909" s="13"/>
      <c r="AN909" s="13"/>
      <c r="AO909" s="13"/>
      <c r="AP909" s="13"/>
      <c r="AQ909" s="13"/>
      <c r="AR909" s="14"/>
      <c r="AS909" s="15"/>
    </row>
    <row r="910" spans="1:45" s="17" customFormat="1" ht="30.95" hidden="1" customHeight="1" x14ac:dyDescent="0.2">
      <c r="A910" s="37"/>
      <c r="B910" s="38"/>
      <c r="C910" s="45"/>
      <c r="D910" s="31">
        <v>3721208</v>
      </c>
      <c r="E910" s="31">
        <v>4162000</v>
      </c>
      <c r="F910" s="268" t="str">
        <f>IF(D910="","",VLOOKUP(D910,契約台帳!$A$3:$K$4986,6,FALSE)&amp;VLOOKUP(D910,契約台帳!$A$3:$K$4986,7,FALSE)&amp;VLOOKUP(D910,契約台帳!$A$3:$K$4986,8,FALSE)&amp;VLOOKUP(D910,契約台帳!$A$3:$K$4986,9,FALSE)&amp;VLOOKUP(D910,契約台帳!$A$3:$K$4986,11,FALSE))</f>
        <v>3SNMLBMNGKKBF</v>
      </c>
      <c r="G910" s="269" t="str">
        <f>IF(D910="","",VLOOKUP(F910,製品マスタ!$G$5:$H$5002,2,FALSE))</f>
        <v>S</v>
      </c>
      <c r="H910" s="269" t="str">
        <f>IF(D910="","",VLOOKUP(F910,製品マスタ!$G$5:$K$5002,5,FALSE))</f>
        <v>MNGKKBF</v>
      </c>
      <c r="I910" s="270" t="str">
        <f>IF(D910="","",VLOOKUP(F910,製品マスタ!$G$5:$L$5002,6,FALSE))</f>
        <v>メタルミー　ネーマー銀消改　Ｂ</v>
      </c>
      <c r="J910" s="210" t="s">
        <v>935</v>
      </c>
      <c r="K910" s="270">
        <f>IF(D910="","",VLOOKUP(D910,契約台帳!$A$3:$L$4986,12,FALSE))</f>
        <v>50</v>
      </c>
      <c r="L910" s="270" t="str">
        <f>IF(D910="","",INDEX(製品マスタ!$Q$5:$Q$5002,MATCH('S4'!F910&amp;'S4'!K910,製品マスタ!$AO$5:$AO$5002,0)))</f>
        <v>S99-MAT</v>
      </c>
      <c r="M910" s="39">
        <v>1120</v>
      </c>
      <c r="N910" s="39">
        <v>4000</v>
      </c>
      <c r="O910" s="156">
        <v>2</v>
      </c>
      <c r="P910" s="47">
        <v>2</v>
      </c>
      <c r="Q910" s="213">
        <v>45148</v>
      </c>
      <c r="R910" s="271">
        <f ca="1">IF(D910="","",IF(OFFSET(D910,-1,0)&lt;&gt;"","",IF(OR(J910="リード付け",J910="巻足し",J910="巻返しリード付け"),M910,VLOOKUP(D910,契約台帳!$A$3:$N$4986,14,FALSE))))</f>
        <v>1120</v>
      </c>
      <c r="S910" s="272">
        <f ca="1">IF(D910="","",IF(OFFSET(D910,-1,0)&lt;&gt;"","",IF(OR(J910="リード付け",J910="巻足し",J910="巻返しリード付け"),M910,VLOOKUP(D910,契約台帳!$A$3:$O$4986,15,FALSE))))</f>
        <v>1120</v>
      </c>
      <c r="T910" s="273">
        <f ca="1">IF(D910="","",IF(J910="リード付け",N910,IF(J910="巻返しリード付け",N910,IF(J910="巻足し",N910*P910+OFFSET(N910,1,0)*OFFSET(P910,1,0),VLOOKUP(D910,契約台帳!$A$3:$P$4986,16,FALSE)))))</f>
        <v>8000</v>
      </c>
      <c r="U910" s="40">
        <v>1</v>
      </c>
      <c r="V910" s="274" t="str">
        <f ca="1">IF(D910="","",IF(OFFSET(D910,-2,0)=D910,"",VLOOKUP(D910,契約台帳!$A$3:$R$4986,18,FALSE)))</f>
        <v/>
      </c>
      <c r="W910" s="269" t="str">
        <f ca="1">IF(D910="","",IF(T910="","",IF(OR(J910="巻足し",J910="巻返しリード付け"),"",IF(J910="巻返し",VLOOKUP(F910&amp;K910&amp;M910,製品マスタ!$M$5:$AD$5002,18,FALSE),IF(OR(J910="リード付け",J910="巻返しリード付け"),"原反コア",IF(J910="スリット",VLOOKUP(F910&amp;K910&amp;R910,製品マスタ!$N$5:$AD$5002,17,FALSE),""))))))</f>
        <v/>
      </c>
      <c r="X910" s="269" t="str">
        <f ca="1">IF(D910="","",IF(T910="","",IF(J910="巻足し","",IF(J910="巻返し",VLOOKUP(F910&amp;K910&amp;M910,製品マスタ!$M$5:$AE$5002,19,FALSE),IF(OR(J910="リード付け",J910="巻返しリード付け"),"",IF(J910="スリット",VLOOKUP(F910&amp;K910&amp;R910,製品マスタ!$N$5:$AE$5002,18,FALSE),""))))))</f>
        <v/>
      </c>
      <c r="Y910" s="275">
        <f ca="1">IF(D910="","",IF(T910="","",VLOOKUP(D910,契約台帳!$A$3:$Q$4986,17,FALSE)))</f>
        <v>2</v>
      </c>
      <c r="Z910" s="269" t="str">
        <f ca="1">IF(D910="","",IF(T910="","",VLOOKUP(D910,契約台帳!$A$3:$E$4986,5,FALSE)))</f>
        <v>リンテック㈱</v>
      </c>
      <c r="AA910" s="57"/>
      <c r="AB910" s="207"/>
      <c r="AC910" s="33"/>
      <c r="AD910" s="189"/>
      <c r="AE910" s="54"/>
      <c r="AF910" s="55"/>
      <c r="AG910" s="43"/>
      <c r="AH910" s="339"/>
      <c r="AI910" s="30"/>
      <c r="AJ910" s="30"/>
      <c r="AK910" s="30"/>
      <c r="AL910" s="30"/>
      <c r="AM910" s="13"/>
      <c r="AN910" s="13"/>
      <c r="AO910" s="13"/>
      <c r="AP910" s="13"/>
      <c r="AQ910" s="13"/>
      <c r="AR910" s="14"/>
      <c r="AS910" s="15"/>
    </row>
    <row r="911" spans="1:45" s="17" customFormat="1" ht="30.95" hidden="1" customHeight="1" x14ac:dyDescent="0.2">
      <c r="A911" s="37"/>
      <c r="B911" s="38"/>
      <c r="C911" s="45"/>
      <c r="D911" s="31"/>
      <c r="E911" s="31"/>
      <c r="F911" s="268"/>
      <c r="G911" s="269"/>
      <c r="H911" s="269"/>
      <c r="I911" s="270"/>
      <c r="J911" s="210"/>
      <c r="K911" s="270"/>
      <c r="L911" s="270"/>
      <c r="M911" s="39"/>
      <c r="N911" s="39"/>
      <c r="O911" s="156"/>
      <c r="P911" s="47"/>
      <c r="Q911" s="57"/>
      <c r="R911" s="338"/>
      <c r="S911" s="272"/>
      <c r="T911" s="273"/>
      <c r="U911" s="40"/>
      <c r="V911" s="277"/>
      <c r="W911" s="269"/>
      <c r="X911" s="269"/>
      <c r="Y911" s="275"/>
      <c r="Z911" s="269"/>
      <c r="AA911" s="57"/>
      <c r="AB911" s="207"/>
      <c r="AC911" s="33"/>
      <c r="AD911" s="189"/>
      <c r="AE911" s="54"/>
      <c r="AF911" s="55"/>
      <c r="AG911" s="43"/>
      <c r="AH911" s="339"/>
      <c r="AI911" s="30"/>
      <c r="AJ911" s="30"/>
      <c r="AK911" s="30"/>
      <c r="AL911" s="30"/>
      <c r="AM911" s="13"/>
      <c r="AN911" s="13"/>
      <c r="AO911" s="13"/>
      <c r="AP911" s="13"/>
      <c r="AQ911" s="13"/>
      <c r="AR911" s="14"/>
      <c r="AS911" s="15"/>
    </row>
    <row r="912" spans="1:45" s="17" customFormat="1" ht="30.95" hidden="1" customHeight="1" x14ac:dyDescent="0.2">
      <c r="A912" s="37" t="s">
        <v>1396</v>
      </c>
      <c r="B912" s="38" t="s">
        <v>1398</v>
      </c>
      <c r="C912" s="45"/>
      <c r="D912" s="31"/>
      <c r="E912" s="31"/>
      <c r="F912" s="268"/>
      <c r="G912" s="269"/>
      <c r="H912" s="269"/>
      <c r="I912" s="270"/>
      <c r="J912" s="210" t="s">
        <v>1428</v>
      </c>
      <c r="K912" s="270"/>
      <c r="L912" s="270"/>
      <c r="M912" s="39"/>
      <c r="N912" s="39"/>
      <c r="O912" s="156"/>
      <c r="P912" s="47"/>
      <c r="Q912" s="57"/>
      <c r="R912" s="338"/>
      <c r="S912" s="272"/>
      <c r="T912" s="273"/>
      <c r="U912" s="40"/>
      <c r="V912" s="277"/>
      <c r="W912" s="269"/>
      <c r="X912" s="269"/>
      <c r="Y912" s="275"/>
      <c r="Z912" s="269"/>
      <c r="AA912" s="57"/>
      <c r="AB912" s="207"/>
      <c r="AC912" s="33"/>
      <c r="AD912" s="189"/>
      <c r="AE912" s="54"/>
      <c r="AF912" s="55"/>
      <c r="AG912" s="43"/>
      <c r="AH912" s="339"/>
      <c r="AI912" s="30"/>
      <c r="AJ912" s="30"/>
      <c r="AK912" s="30"/>
      <c r="AL912" s="30"/>
      <c r="AM912" s="13"/>
      <c r="AN912" s="13"/>
      <c r="AO912" s="13"/>
      <c r="AP912" s="13"/>
      <c r="AQ912" s="13"/>
      <c r="AR912" s="14"/>
      <c r="AS912" s="15"/>
    </row>
    <row r="913" spans="1:45" s="17" customFormat="1" ht="30.95" hidden="1" customHeight="1" x14ac:dyDescent="0.2">
      <c r="A913" s="37"/>
      <c r="B913" s="38"/>
      <c r="C913" s="45"/>
      <c r="D913" s="31"/>
      <c r="E913" s="31"/>
      <c r="F913" s="268"/>
      <c r="G913" s="269"/>
      <c r="H913" s="269"/>
      <c r="I913" s="270"/>
      <c r="J913" s="210"/>
      <c r="K913" s="270"/>
      <c r="L913" s="270"/>
      <c r="M913" s="39"/>
      <c r="N913" s="39"/>
      <c r="O913" s="156"/>
      <c r="P913" s="47"/>
      <c r="Q913" s="57"/>
      <c r="R913" s="338"/>
      <c r="S913" s="272"/>
      <c r="T913" s="273"/>
      <c r="U913" s="40"/>
      <c r="V913" s="277"/>
      <c r="W913" s="269"/>
      <c r="X913" s="269"/>
      <c r="Y913" s="275"/>
      <c r="Z913" s="269"/>
      <c r="AA913" s="57"/>
      <c r="AB913" s="207"/>
      <c r="AC913" s="33"/>
      <c r="AD913" s="189"/>
      <c r="AE913" s="54"/>
      <c r="AF913" s="55"/>
      <c r="AG913" s="43"/>
      <c r="AH913" s="339"/>
      <c r="AI913" s="30"/>
      <c r="AJ913" s="30"/>
      <c r="AK913" s="30"/>
      <c r="AL913" s="30"/>
      <c r="AM913" s="13"/>
      <c r="AN913" s="13"/>
      <c r="AO913" s="13"/>
      <c r="AP913" s="13"/>
      <c r="AQ913" s="13"/>
      <c r="AR913" s="14"/>
      <c r="AS913" s="15"/>
    </row>
    <row r="914" spans="1:45" s="17" customFormat="1" ht="30.95" hidden="1" customHeight="1" x14ac:dyDescent="0.2">
      <c r="A914" s="37" t="s">
        <v>1399</v>
      </c>
      <c r="B914" s="38" t="s">
        <v>1400</v>
      </c>
      <c r="C914" s="45"/>
      <c r="D914" s="31"/>
      <c r="E914" s="31"/>
      <c r="F914" s="268"/>
      <c r="G914" s="269"/>
      <c r="H914" s="269"/>
      <c r="I914" s="270"/>
      <c r="J914" s="210" t="s">
        <v>1428</v>
      </c>
      <c r="K914" s="270"/>
      <c r="L914" s="270"/>
      <c r="M914" s="39"/>
      <c r="N914" s="39"/>
      <c r="O914" s="156"/>
      <c r="P914" s="47"/>
      <c r="Q914" s="57"/>
      <c r="R914" s="338"/>
      <c r="S914" s="272"/>
      <c r="T914" s="273"/>
      <c r="U914" s="40"/>
      <c r="V914" s="277"/>
      <c r="W914" s="269"/>
      <c r="X914" s="269"/>
      <c r="Y914" s="275"/>
      <c r="Z914" s="269"/>
      <c r="AA914" s="57"/>
      <c r="AB914" s="207"/>
      <c r="AC914" s="33"/>
      <c r="AD914" s="189"/>
      <c r="AE914" s="54"/>
      <c r="AF914" s="55"/>
      <c r="AG914" s="43"/>
      <c r="AH914" s="339"/>
      <c r="AI914" s="30"/>
      <c r="AJ914" s="30"/>
      <c r="AK914" s="30"/>
      <c r="AL914" s="30"/>
      <c r="AM914" s="13"/>
      <c r="AN914" s="13"/>
      <c r="AO914" s="13"/>
      <c r="AP914" s="13"/>
      <c r="AQ914" s="13"/>
      <c r="AR914" s="14"/>
      <c r="AS914" s="15"/>
    </row>
    <row r="915" spans="1:45" s="17" customFormat="1" ht="30.95" hidden="1" customHeight="1" x14ac:dyDescent="0.2">
      <c r="A915" s="37"/>
      <c r="B915" s="38"/>
      <c r="C915" s="45"/>
      <c r="D915" s="31"/>
      <c r="E915" s="31"/>
      <c r="F915" s="268"/>
      <c r="G915" s="269"/>
      <c r="H915" s="269"/>
      <c r="I915" s="270"/>
      <c r="J915" s="210"/>
      <c r="K915" s="270"/>
      <c r="L915" s="270"/>
      <c r="M915" s="39"/>
      <c r="N915" s="39"/>
      <c r="O915" s="156"/>
      <c r="P915" s="47"/>
      <c r="Q915" s="57"/>
      <c r="R915" s="338"/>
      <c r="S915" s="272"/>
      <c r="T915" s="273"/>
      <c r="U915" s="40"/>
      <c r="V915" s="277"/>
      <c r="W915" s="269"/>
      <c r="X915" s="269"/>
      <c r="Y915" s="275"/>
      <c r="Z915" s="269"/>
      <c r="AA915" s="57"/>
      <c r="AB915" s="207"/>
      <c r="AC915" s="33"/>
      <c r="AD915" s="189"/>
      <c r="AE915" s="54"/>
      <c r="AF915" s="55"/>
      <c r="AG915" s="43"/>
      <c r="AH915" s="339"/>
      <c r="AI915" s="30"/>
      <c r="AJ915" s="30"/>
      <c r="AK915" s="30"/>
      <c r="AL915" s="30"/>
      <c r="AM915" s="13"/>
      <c r="AN915" s="13"/>
      <c r="AO915" s="13"/>
      <c r="AP915" s="13"/>
      <c r="AQ915" s="13"/>
      <c r="AR915" s="14"/>
      <c r="AS915" s="15"/>
    </row>
    <row r="916" spans="1:45" s="17" customFormat="1" ht="30.95" hidden="1" customHeight="1" x14ac:dyDescent="0.2">
      <c r="A916" s="37" t="s">
        <v>1401</v>
      </c>
      <c r="B916" s="38" t="s">
        <v>1403</v>
      </c>
      <c r="C916" s="45"/>
      <c r="D916" s="31"/>
      <c r="E916" s="31"/>
      <c r="F916" s="268"/>
      <c r="G916" s="269"/>
      <c r="H916" s="269"/>
      <c r="I916" s="270"/>
      <c r="J916" s="210" t="s">
        <v>1428</v>
      </c>
      <c r="K916" s="270"/>
      <c r="L916" s="270"/>
      <c r="M916" s="39"/>
      <c r="N916" s="39"/>
      <c r="O916" s="156"/>
      <c r="P916" s="47"/>
      <c r="Q916" s="57"/>
      <c r="R916" s="338"/>
      <c r="S916" s="272"/>
      <c r="T916" s="273"/>
      <c r="U916" s="40"/>
      <c r="V916" s="277"/>
      <c r="W916" s="269"/>
      <c r="X916" s="269"/>
      <c r="Y916" s="275"/>
      <c r="Z916" s="269"/>
      <c r="AA916" s="57"/>
      <c r="AB916" s="207"/>
      <c r="AC916" s="33"/>
      <c r="AD916" s="189"/>
      <c r="AE916" s="54"/>
      <c r="AF916" s="55"/>
      <c r="AG916" s="43"/>
      <c r="AH916" s="339"/>
      <c r="AI916" s="30"/>
      <c r="AJ916" s="30"/>
      <c r="AK916" s="30"/>
      <c r="AL916" s="30"/>
      <c r="AM916" s="13"/>
      <c r="AN916" s="13"/>
      <c r="AO916" s="13"/>
      <c r="AP916" s="13"/>
      <c r="AQ916" s="13"/>
      <c r="AR916" s="14"/>
      <c r="AS916" s="15"/>
    </row>
    <row r="917" spans="1:45" s="17" customFormat="1" ht="30.95" hidden="1" customHeight="1" x14ac:dyDescent="0.2">
      <c r="A917" s="37"/>
      <c r="B917" s="38"/>
      <c r="C917" s="45"/>
      <c r="D917" s="31"/>
      <c r="E917" s="31"/>
      <c r="F917" s="268"/>
      <c r="G917" s="269"/>
      <c r="H917" s="269"/>
      <c r="I917" s="270"/>
      <c r="J917" s="210"/>
      <c r="K917" s="270"/>
      <c r="L917" s="270"/>
      <c r="M917" s="39"/>
      <c r="N917" s="39"/>
      <c r="O917" s="156"/>
      <c r="P917" s="47"/>
      <c r="Q917" s="57"/>
      <c r="R917" s="338"/>
      <c r="S917" s="272"/>
      <c r="T917" s="273"/>
      <c r="U917" s="40"/>
      <c r="V917" s="277"/>
      <c r="W917" s="269"/>
      <c r="X917" s="269"/>
      <c r="Y917" s="275"/>
      <c r="Z917" s="269"/>
      <c r="AA917" s="57"/>
      <c r="AB917" s="207"/>
      <c r="AC917" s="33"/>
      <c r="AD917" s="189"/>
      <c r="AE917" s="54"/>
      <c r="AF917" s="55"/>
      <c r="AG917" s="43"/>
      <c r="AH917" s="339"/>
      <c r="AI917" s="30"/>
      <c r="AJ917" s="30"/>
      <c r="AK917" s="30"/>
      <c r="AL917" s="30"/>
      <c r="AM917" s="13"/>
      <c r="AN917" s="13"/>
      <c r="AO917" s="13"/>
      <c r="AP917" s="13"/>
      <c r="AQ917" s="13"/>
      <c r="AR917" s="14"/>
      <c r="AS917" s="15"/>
    </row>
    <row r="918" spans="1:45" s="17" customFormat="1" ht="30.95" hidden="1" customHeight="1" x14ac:dyDescent="0.2">
      <c r="A918" s="37" t="s">
        <v>1404</v>
      </c>
      <c r="B918" s="38" t="s">
        <v>1406</v>
      </c>
      <c r="C918" s="45"/>
      <c r="D918" s="31"/>
      <c r="E918" s="31"/>
      <c r="F918" s="268"/>
      <c r="G918" s="269"/>
      <c r="H918" s="269"/>
      <c r="I918" s="270"/>
      <c r="J918" s="210" t="s">
        <v>1428</v>
      </c>
      <c r="K918" s="270"/>
      <c r="L918" s="270"/>
      <c r="M918" s="39"/>
      <c r="N918" s="39"/>
      <c r="O918" s="156"/>
      <c r="P918" s="47"/>
      <c r="Q918" s="57"/>
      <c r="R918" s="338"/>
      <c r="S918" s="272"/>
      <c r="T918" s="273"/>
      <c r="U918" s="40"/>
      <c r="V918" s="277"/>
      <c r="W918" s="269"/>
      <c r="X918" s="269"/>
      <c r="Y918" s="275"/>
      <c r="Z918" s="269"/>
      <c r="AA918" s="57"/>
      <c r="AB918" s="207"/>
      <c r="AC918" s="33"/>
      <c r="AD918" s="189"/>
      <c r="AE918" s="54"/>
      <c r="AF918" s="55"/>
      <c r="AG918" s="43"/>
      <c r="AH918" s="339"/>
      <c r="AI918" s="30"/>
      <c r="AJ918" s="30"/>
      <c r="AK918" s="30"/>
      <c r="AL918" s="30"/>
      <c r="AM918" s="13"/>
      <c r="AN918" s="13"/>
      <c r="AO918" s="13"/>
      <c r="AP918" s="13"/>
      <c r="AQ918" s="13"/>
      <c r="AR918" s="14"/>
      <c r="AS918" s="15"/>
    </row>
    <row r="919" spans="1:45" s="17" customFormat="1" ht="30.95" hidden="1" customHeight="1" x14ac:dyDescent="0.2">
      <c r="A919" s="37"/>
      <c r="B919" s="38"/>
      <c r="C919" s="45"/>
      <c r="D919" s="31"/>
      <c r="E919" s="31"/>
      <c r="F919" s="268"/>
      <c r="G919" s="269"/>
      <c r="H919" s="269"/>
      <c r="I919" s="270"/>
      <c r="J919" s="210"/>
      <c r="K919" s="270"/>
      <c r="L919" s="270"/>
      <c r="M919" s="39"/>
      <c r="N919" s="39"/>
      <c r="O919" s="156"/>
      <c r="P919" s="47"/>
      <c r="Q919" s="57"/>
      <c r="R919" s="338"/>
      <c r="S919" s="272"/>
      <c r="T919" s="273"/>
      <c r="U919" s="40"/>
      <c r="V919" s="277"/>
      <c r="W919" s="269"/>
      <c r="X919" s="269"/>
      <c r="Y919" s="275"/>
      <c r="Z919" s="269"/>
      <c r="AA919" s="57"/>
      <c r="AB919" s="207"/>
      <c r="AC919" s="33"/>
      <c r="AD919" s="189"/>
      <c r="AE919" s="54"/>
      <c r="AF919" s="55"/>
      <c r="AG919" s="43"/>
      <c r="AH919" s="339"/>
      <c r="AI919" s="30"/>
      <c r="AJ919" s="30"/>
      <c r="AK919" s="30"/>
      <c r="AL919" s="30"/>
      <c r="AM919" s="13"/>
      <c r="AN919" s="13"/>
      <c r="AO919" s="13"/>
      <c r="AP919" s="13"/>
      <c r="AQ919" s="13"/>
      <c r="AR919" s="14"/>
      <c r="AS919" s="15"/>
    </row>
    <row r="920" spans="1:45" s="17" customFormat="1" ht="30.95" hidden="1" customHeight="1" x14ac:dyDescent="0.2">
      <c r="A920" s="37" t="s">
        <v>1407</v>
      </c>
      <c r="B920" s="38" t="s">
        <v>1413</v>
      </c>
      <c r="C920" s="45"/>
      <c r="D920" s="31"/>
      <c r="E920" s="31"/>
      <c r="F920" s="268"/>
      <c r="G920" s="269"/>
      <c r="H920" s="269"/>
      <c r="I920" s="270"/>
      <c r="J920" s="210" t="s">
        <v>1428</v>
      </c>
      <c r="K920" s="270"/>
      <c r="L920" s="270"/>
      <c r="M920" s="39"/>
      <c r="N920" s="39"/>
      <c r="O920" s="156"/>
      <c r="P920" s="47"/>
      <c r="Q920" s="57"/>
      <c r="R920" s="338"/>
      <c r="S920" s="272"/>
      <c r="T920" s="273"/>
      <c r="U920" s="40"/>
      <c r="V920" s="277"/>
      <c r="W920" s="269"/>
      <c r="X920" s="269"/>
      <c r="Y920" s="275"/>
      <c r="Z920" s="269"/>
      <c r="AA920" s="57"/>
      <c r="AB920" s="207"/>
      <c r="AC920" s="33"/>
      <c r="AD920" s="189"/>
      <c r="AE920" s="54"/>
      <c r="AF920" s="55"/>
      <c r="AG920" s="43"/>
      <c r="AH920" s="339"/>
      <c r="AI920" s="30"/>
      <c r="AJ920" s="30"/>
      <c r="AK920" s="30"/>
      <c r="AL920" s="30"/>
      <c r="AM920" s="13"/>
      <c r="AN920" s="13"/>
      <c r="AO920" s="13"/>
      <c r="AP920" s="13"/>
      <c r="AQ920" s="13"/>
      <c r="AR920" s="14"/>
      <c r="AS920" s="15"/>
    </row>
    <row r="921" spans="1:45" s="17" customFormat="1" ht="30.95" hidden="1" customHeight="1" x14ac:dyDescent="0.2">
      <c r="A921" s="37"/>
      <c r="B921" s="38"/>
      <c r="C921" s="45"/>
      <c r="D921" s="31"/>
      <c r="E921" s="31"/>
      <c r="F921" s="268"/>
      <c r="G921" s="269"/>
      <c r="H921" s="269"/>
      <c r="I921" s="270"/>
      <c r="J921" s="210"/>
      <c r="K921" s="270"/>
      <c r="L921" s="270"/>
      <c r="M921" s="39"/>
      <c r="N921" s="39"/>
      <c r="O921" s="156"/>
      <c r="P921" s="47"/>
      <c r="Q921" s="57"/>
      <c r="R921" s="338"/>
      <c r="S921" s="272"/>
      <c r="T921" s="273"/>
      <c r="U921" s="40"/>
      <c r="V921" s="277"/>
      <c r="W921" s="269"/>
      <c r="X921" s="269"/>
      <c r="Y921" s="275"/>
      <c r="Z921" s="269"/>
      <c r="AA921" s="57"/>
      <c r="AB921" s="207"/>
      <c r="AC921" s="33"/>
      <c r="AD921" s="189"/>
      <c r="AE921" s="54"/>
      <c r="AF921" s="55"/>
      <c r="AG921" s="43"/>
      <c r="AH921" s="339"/>
      <c r="AI921" s="30"/>
      <c r="AJ921" s="30"/>
      <c r="AK921" s="30"/>
      <c r="AL921" s="30"/>
      <c r="AM921" s="13"/>
      <c r="AN921" s="13"/>
      <c r="AO921" s="13"/>
      <c r="AP921" s="13"/>
      <c r="AQ921" s="13"/>
      <c r="AR921" s="14"/>
      <c r="AS921" s="15"/>
    </row>
    <row r="922" spans="1:45" s="17" customFormat="1" ht="30.95" hidden="1" customHeight="1" x14ac:dyDescent="0.2">
      <c r="A922" s="37" t="s">
        <v>539</v>
      </c>
      <c r="B922" s="38" t="s">
        <v>443</v>
      </c>
      <c r="C922" s="45"/>
      <c r="D922" s="31">
        <v>5358084</v>
      </c>
      <c r="E922" s="31">
        <v>4140995</v>
      </c>
      <c r="F922" s="268"/>
      <c r="G922" s="269" t="s">
        <v>19</v>
      </c>
      <c r="H922" s="269" t="s">
        <v>1433</v>
      </c>
      <c r="I922" s="270" t="s">
        <v>1434</v>
      </c>
      <c r="J922" s="306" t="s">
        <v>580</v>
      </c>
      <c r="K922" s="270">
        <v>25</v>
      </c>
      <c r="L922" s="270" t="s">
        <v>1433</v>
      </c>
      <c r="M922" s="39">
        <v>1000</v>
      </c>
      <c r="N922" s="39">
        <v>4000</v>
      </c>
      <c r="O922" s="156">
        <v>3</v>
      </c>
      <c r="P922" s="47">
        <v>3</v>
      </c>
      <c r="Q922" s="213">
        <v>45139</v>
      </c>
      <c r="R922" s="338">
        <v>1005</v>
      </c>
      <c r="S922" s="272">
        <v>1000</v>
      </c>
      <c r="T922" s="273">
        <v>4000</v>
      </c>
      <c r="U922" s="40">
        <v>1</v>
      </c>
      <c r="V922" s="277">
        <v>1</v>
      </c>
      <c r="W922" s="269" t="s">
        <v>1435</v>
      </c>
      <c r="X922" s="269">
        <v>1015</v>
      </c>
      <c r="Y922" s="275">
        <v>2</v>
      </c>
      <c r="Z922" s="269" t="s">
        <v>116</v>
      </c>
      <c r="AA922" s="57"/>
      <c r="AB922" s="207"/>
      <c r="AC922" s="33"/>
      <c r="AD922" s="189"/>
      <c r="AE922" s="54"/>
      <c r="AF922" s="55"/>
      <c r="AG922" s="43"/>
      <c r="AH922" s="339"/>
      <c r="AI922" s="30"/>
      <c r="AJ922" s="30"/>
      <c r="AK922" s="30"/>
      <c r="AL922" s="30"/>
      <c r="AM922" s="13"/>
      <c r="AN922" s="13"/>
      <c r="AO922" s="13"/>
      <c r="AP922" s="13"/>
      <c r="AQ922" s="13"/>
      <c r="AR922" s="14"/>
      <c r="AS922" s="15"/>
    </row>
    <row r="923" spans="1:45" s="17" customFormat="1" ht="30.95" hidden="1" customHeight="1" x14ac:dyDescent="0.2">
      <c r="A923" s="37"/>
      <c r="B923" s="38"/>
      <c r="C923" s="45"/>
      <c r="D923" s="300" t="s">
        <v>1432</v>
      </c>
      <c r="E923" s="31"/>
      <c r="F923" s="268"/>
      <c r="G923" s="269"/>
      <c r="H923" s="269"/>
      <c r="I923" s="270"/>
      <c r="J923" s="210"/>
      <c r="K923" s="270"/>
      <c r="L923" s="270"/>
      <c r="M923" s="39"/>
      <c r="N923" s="39"/>
      <c r="O923" s="156"/>
      <c r="P923" s="47"/>
      <c r="Q923" s="57"/>
      <c r="R923" s="338"/>
      <c r="S923" s="272"/>
      <c r="T923" s="273"/>
      <c r="U923" s="40"/>
      <c r="V923" s="277"/>
      <c r="W923" s="269"/>
      <c r="X923" s="269"/>
      <c r="Y923" s="275"/>
      <c r="Z923" s="269"/>
      <c r="AA923" s="57"/>
      <c r="AB923" s="207"/>
      <c r="AC923" s="33"/>
      <c r="AD923" s="189"/>
      <c r="AE923" s="54"/>
      <c r="AF923" s="55"/>
      <c r="AG923" s="43"/>
      <c r="AH923" s="339"/>
      <c r="AI923" s="30"/>
      <c r="AJ923" s="30"/>
      <c r="AK923" s="30"/>
      <c r="AL923" s="30"/>
      <c r="AM923" s="13"/>
      <c r="AN923" s="13"/>
      <c r="AO923" s="13"/>
      <c r="AP923" s="13"/>
      <c r="AQ923" s="13"/>
      <c r="AR923" s="14"/>
      <c r="AS923" s="15"/>
    </row>
    <row r="924" spans="1:45" s="17" customFormat="1" ht="30.95" hidden="1" customHeight="1" x14ac:dyDescent="0.2">
      <c r="A924" s="37"/>
      <c r="B924" s="38"/>
      <c r="C924" s="45"/>
      <c r="D924" s="31">
        <v>5358134</v>
      </c>
      <c r="E924" s="31">
        <v>4140996</v>
      </c>
      <c r="F924" s="268"/>
      <c r="G924" s="269" t="s">
        <v>19</v>
      </c>
      <c r="H924" s="269" t="s">
        <v>176</v>
      </c>
      <c r="I924" s="270" t="s">
        <v>177</v>
      </c>
      <c r="J924" s="306" t="s">
        <v>580</v>
      </c>
      <c r="K924" s="270">
        <v>50</v>
      </c>
      <c r="L924" s="270" t="s">
        <v>1431</v>
      </c>
      <c r="M924" s="39">
        <v>1000</v>
      </c>
      <c r="N924" s="39">
        <v>2000</v>
      </c>
      <c r="O924" s="156">
        <v>1</v>
      </c>
      <c r="P924" s="47">
        <v>1</v>
      </c>
      <c r="Q924" s="213">
        <v>45139</v>
      </c>
      <c r="R924" s="338">
        <v>1005</v>
      </c>
      <c r="S924" s="272">
        <v>1000</v>
      </c>
      <c r="T924" s="273">
        <v>2000</v>
      </c>
      <c r="U924" s="40">
        <v>1</v>
      </c>
      <c r="V924" s="277">
        <v>1</v>
      </c>
      <c r="W924" s="269" t="s">
        <v>806</v>
      </c>
      <c r="X924" s="269">
        <v>1015</v>
      </c>
      <c r="Y924" s="275">
        <v>2</v>
      </c>
      <c r="Z924" s="269" t="s">
        <v>116</v>
      </c>
      <c r="AA924" s="57"/>
      <c r="AB924" s="207"/>
      <c r="AC924" s="33"/>
      <c r="AD924" s="189"/>
      <c r="AE924" s="54"/>
      <c r="AF924" s="55"/>
      <c r="AG924" s="43"/>
      <c r="AH924" s="339"/>
      <c r="AI924" s="30"/>
      <c r="AJ924" s="30"/>
      <c r="AK924" s="30"/>
      <c r="AL924" s="30"/>
      <c r="AM924" s="13"/>
      <c r="AN924" s="13"/>
      <c r="AO924" s="13"/>
      <c r="AP924" s="13"/>
      <c r="AQ924" s="13"/>
      <c r="AR924" s="14"/>
      <c r="AS924" s="15"/>
    </row>
    <row r="925" spans="1:45" s="17" customFormat="1" ht="30.95" hidden="1" customHeight="1" x14ac:dyDescent="0.2">
      <c r="A925" s="37"/>
      <c r="B925" s="38"/>
      <c r="C925" s="45"/>
      <c r="D925" s="300" t="s">
        <v>1432</v>
      </c>
      <c r="E925" s="31"/>
      <c r="F925" s="268"/>
      <c r="G925" s="269"/>
      <c r="H925" s="269"/>
      <c r="I925" s="270"/>
      <c r="J925" s="210"/>
      <c r="K925" s="270"/>
      <c r="L925" s="270"/>
      <c r="M925" s="39"/>
      <c r="N925" s="39"/>
      <c r="O925" s="156"/>
      <c r="P925" s="47"/>
      <c r="Q925" s="57"/>
      <c r="R925" s="338"/>
      <c r="S925" s="272"/>
      <c r="T925" s="273"/>
      <c r="U925" s="40"/>
      <c r="V925" s="277"/>
      <c r="W925" s="269"/>
      <c r="X925" s="269"/>
      <c r="Y925" s="275"/>
      <c r="Z925" s="269"/>
      <c r="AA925" s="57"/>
      <c r="AB925" s="207"/>
      <c r="AC925" s="33"/>
      <c r="AD925" s="189"/>
      <c r="AE925" s="54"/>
      <c r="AF925" s="55"/>
      <c r="AG925" s="43"/>
      <c r="AH925" s="339"/>
      <c r="AI925" s="30"/>
      <c r="AJ925" s="30"/>
      <c r="AK925" s="30"/>
      <c r="AL925" s="30"/>
      <c r="AM925" s="13"/>
      <c r="AN925" s="13"/>
      <c r="AO925" s="13"/>
      <c r="AP925" s="13"/>
      <c r="AQ925" s="13"/>
      <c r="AR925" s="14"/>
      <c r="AS925" s="15"/>
    </row>
    <row r="926" spans="1:45" s="17" customFormat="1" ht="30.95" hidden="1" customHeight="1" x14ac:dyDescent="0.2">
      <c r="A926" s="37" t="s">
        <v>1411</v>
      </c>
      <c r="B926" s="38" t="s">
        <v>1410</v>
      </c>
      <c r="C926" s="45"/>
      <c r="D926" s="31"/>
      <c r="E926" s="31"/>
      <c r="F926" s="268"/>
      <c r="G926" s="269"/>
      <c r="H926" s="269"/>
      <c r="I926" s="270"/>
      <c r="J926" s="210"/>
      <c r="K926" s="270"/>
      <c r="L926" s="270"/>
      <c r="M926" s="39"/>
      <c r="N926" s="39"/>
      <c r="O926" s="156"/>
      <c r="P926" s="47"/>
      <c r="Q926" s="57"/>
      <c r="R926" s="338"/>
      <c r="S926" s="272"/>
      <c r="T926" s="273"/>
      <c r="U926" s="40"/>
      <c r="V926" s="277"/>
      <c r="W926" s="269"/>
      <c r="X926" s="269"/>
      <c r="Y926" s="275"/>
      <c r="Z926" s="269"/>
      <c r="AA926" s="57"/>
      <c r="AB926" s="207"/>
      <c r="AC926" s="33"/>
      <c r="AD926" s="189"/>
      <c r="AE926" s="54"/>
      <c r="AF926" s="55"/>
      <c r="AG926" s="43"/>
      <c r="AH926" s="339"/>
      <c r="AI926" s="30"/>
      <c r="AJ926" s="30"/>
      <c r="AK926" s="30"/>
      <c r="AL926" s="30"/>
      <c r="AM926" s="13"/>
      <c r="AN926" s="13"/>
      <c r="AO926" s="13"/>
      <c r="AP926" s="13"/>
      <c r="AQ926" s="13"/>
      <c r="AR926" s="14"/>
      <c r="AS926" s="15"/>
    </row>
    <row r="927" spans="1:45" s="17" customFormat="1" ht="30.95" hidden="1" customHeight="1" x14ac:dyDescent="0.2">
      <c r="A927" s="37"/>
      <c r="B927" s="38"/>
      <c r="C927" s="45"/>
      <c r="D927" s="31"/>
      <c r="E927" s="31"/>
      <c r="F927" s="268"/>
      <c r="G927" s="269"/>
      <c r="H927" s="269"/>
      <c r="I927" s="270"/>
      <c r="J927" s="210"/>
      <c r="K927" s="270"/>
      <c r="L927" s="270"/>
      <c r="M927" s="39"/>
      <c r="N927" s="39"/>
      <c r="O927" s="156"/>
      <c r="P927" s="47"/>
      <c r="Q927" s="57"/>
      <c r="R927" s="338"/>
      <c r="S927" s="272"/>
      <c r="T927" s="273"/>
      <c r="U927" s="40"/>
      <c r="V927" s="277"/>
      <c r="W927" s="269"/>
      <c r="X927" s="269"/>
      <c r="Y927" s="275"/>
      <c r="Z927" s="269"/>
      <c r="AA927" s="57"/>
      <c r="AB927" s="207"/>
      <c r="AC927" s="33"/>
      <c r="AD927" s="189"/>
      <c r="AE927" s="54"/>
      <c r="AF927" s="55"/>
      <c r="AG927" s="43"/>
      <c r="AH927" s="339"/>
      <c r="AI927" s="30"/>
      <c r="AJ927" s="30"/>
      <c r="AK927" s="30"/>
      <c r="AL927" s="30"/>
      <c r="AM927" s="13"/>
      <c r="AN927" s="13"/>
      <c r="AO927" s="13"/>
      <c r="AP927" s="13"/>
      <c r="AQ927" s="13"/>
      <c r="AR927" s="14"/>
      <c r="AS927" s="15"/>
    </row>
    <row r="928" spans="1:45" s="17" customFormat="1" ht="30.95" hidden="1" customHeight="1" x14ac:dyDescent="0.2">
      <c r="A928" s="37" t="s">
        <v>1414</v>
      </c>
      <c r="B928" s="38" t="s">
        <v>1398</v>
      </c>
      <c r="C928" s="45"/>
      <c r="D928" s="31"/>
      <c r="E928" s="31"/>
      <c r="F928" s="268"/>
      <c r="G928" s="269"/>
      <c r="H928" s="269"/>
      <c r="I928" s="270"/>
      <c r="J928" s="210"/>
      <c r="K928" s="270"/>
      <c r="L928" s="270"/>
      <c r="M928" s="39"/>
      <c r="N928" s="39"/>
      <c r="O928" s="156"/>
      <c r="P928" s="47"/>
      <c r="Q928" s="57"/>
      <c r="R928" s="338"/>
      <c r="S928" s="272"/>
      <c r="T928" s="273"/>
      <c r="U928" s="40"/>
      <c r="V928" s="277"/>
      <c r="W928" s="269"/>
      <c r="X928" s="269"/>
      <c r="Y928" s="275"/>
      <c r="Z928" s="269"/>
      <c r="AA928" s="57"/>
      <c r="AB928" s="207"/>
      <c r="AC928" s="33"/>
      <c r="AD928" s="189"/>
      <c r="AE928" s="54"/>
      <c r="AF928" s="55"/>
      <c r="AG928" s="43"/>
      <c r="AH928" s="339"/>
      <c r="AI928" s="30"/>
      <c r="AJ928" s="30"/>
      <c r="AK928" s="30"/>
      <c r="AL928" s="30"/>
      <c r="AM928" s="13"/>
      <c r="AN928" s="13"/>
      <c r="AO928" s="13"/>
      <c r="AP928" s="13"/>
      <c r="AQ928" s="13"/>
      <c r="AR928" s="14"/>
      <c r="AS928" s="15"/>
    </row>
    <row r="929" spans="1:45" s="17" customFormat="1" ht="30.95" hidden="1" customHeight="1" x14ac:dyDescent="0.2">
      <c r="A929" s="37"/>
      <c r="B929" s="38"/>
      <c r="C929" s="45"/>
      <c r="D929" s="31"/>
      <c r="E929" s="31"/>
      <c r="F929" s="268"/>
      <c r="G929" s="269"/>
      <c r="H929" s="269"/>
      <c r="I929" s="270"/>
      <c r="J929" s="210"/>
      <c r="K929" s="270"/>
      <c r="L929" s="270"/>
      <c r="M929" s="39"/>
      <c r="N929" s="39"/>
      <c r="O929" s="156"/>
      <c r="P929" s="47"/>
      <c r="Q929" s="57"/>
      <c r="R929" s="338"/>
      <c r="S929" s="272"/>
      <c r="T929" s="273"/>
      <c r="U929" s="40"/>
      <c r="V929" s="277"/>
      <c r="W929" s="269"/>
      <c r="X929" s="269"/>
      <c r="Y929" s="275"/>
      <c r="Z929" s="269"/>
      <c r="AA929" s="57"/>
      <c r="AB929" s="207"/>
      <c r="AC929" s="33"/>
      <c r="AD929" s="189"/>
      <c r="AE929" s="54"/>
      <c r="AF929" s="55"/>
      <c r="AG929" s="43"/>
      <c r="AH929" s="339"/>
      <c r="AI929" s="30"/>
      <c r="AJ929" s="30"/>
      <c r="AK929" s="30"/>
      <c r="AL929" s="30"/>
      <c r="AM929" s="13"/>
      <c r="AN929" s="13"/>
      <c r="AO929" s="13"/>
      <c r="AP929" s="13"/>
      <c r="AQ929" s="13"/>
      <c r="AR929" s="14"/>
      <c r="AS929" s="15"/>
    </row>
    <row r="930" spans="1:45" s="17" customFormat="1" ht="30.95" hidden="1" customHeight="1" x14ac:dyDescent="0.2">
      <c r="A930" s="37" t="s">
        <v>1415</v>
      </c>
      <c r="B930" s="38" t="s">
        <v>392</v>
      </c>
      <c r="C930" s="45"/>
      <c r="D930" s="31"/>
      <c r="E930" s="31"/>
      <c r="F930" s="268"/>
      <c r="G930" s="269"/>
      <c r="H930" s="269"/>
      <c r="I930" s="270"/>
      <c r="J930" s="210" t="s">
        <v>1428</v>
      </c>
      <c r="K930" s="270"/>
      <c r="L930" s="270"/>
      <c r="M930" s="39"/>
      <c r="N930" s="39"/>
      <c r="O930" s="156"/>
      <c r="P930" s="47"/>
      <c r="Q930" s="57"/>
      <c r="R930" s="338"/>
      <c r="S930" s="272"/>
      <c r="T930" s="273"/>
      <c r="U930" s="40"/>
      <c r="V930" s="277"/>
      <c r="W930" s="269"/>
      <c r="X930" s="269"/>
      <c r="Y930" s="275"/>
      <c r="Z930" s="269"/>
      <c r="AA930" s="57"/>
      <c r="AB930" s="207"/>
      <c r="AC930" s="33"/>
      <c r="AD930" s="189"/>
      <c r="AE930" s="54"/>
      <c r="AF930" s="55"/>
      <c r="AG930" s="43"/>
      <c r="AH930" s="339"/>
      <c r="AI930" s="30"/>
      <c r="AJ930" s="30"/>
      <c r="AK930" s="30"/>
      <c r="AL930" s="30"/>
      <c r="AM930" s="13"/>
      <c r="AN930" s="13"/>
      <c r="AO930" s="13"/>
      <c r="AP930" s="13"/>
      <c r="AQ930" s="13"/>
      <c r="AR930" s="14"/>
      <c r="AS930" s="15"/>
    </row>
    <row r="931" spans="1:45" s="17" customFormat="1" ht="30.95" hidden="1" customHeight="1" x14ac:dyDescent="0.2">
      <c r="A931" s="37"/>
      <c r="B931" s="38"/>
      <c r="C931" s="45"/>
      <c r="D931" s="31"/>
      <c r="E931" s="31"/>
      <c r="F931" s="268"/>
      <c r="G931" s="269"/>
      <c r="H931" s="269"/>
      <c r="I931" s="270"/>
      <c r="J931" s="210"/>
      <c r="K931" s="270"/>
      <c r="L931" s="270"/>
      <c r="M931" s="39"/>
      <c r="N931" s="39"/>
      <c r="O931" s="156"/>
      <c r="P931" s="47"/>
      <c r="Q931" s="57"/>
      <c r="R931" s="338"/>
      <c r="S931" s="272"/>
      <c r="T931" s="273"/>
      <c r="U931" s="40"/>
      <c r="V931" s="277"/>
      <c r="W931" s="269"/>
      <c r="X931" s="269"/>
      <c r="Y931" s="275"/>
      <c r="Z931" s="269"/>
      <c r="AA931" s="57"/>
      <c r="AB931" s="207"/>
      <c r="AC931" s="33"/>
      <c r="AD931" s="189"/>
      <c r="AE931" s="54"/>
      <c r="AF931" s="55"/>
      <c r="AG931" s="43"/>
      <c r="AH931" s="339"/>
      <c r="AI931" s="30"/>
      <c r="AJ931" s="30"/>
      <c r="AK931" s="30"/>
      <c r="AL931" s="30"/>
      <c r="AM931" s="13"/>
      <c r="AN931" s="13"/>
      <c r="AO931" s="13"/>
      <c r="AP931" s="13"/>
      <c r="AQ931" s="13"/>
      <c r="AR931" s="14"/>
      <c r="AS931" s="15"/>
    </row>
    <row r="932" spans="1:45" s="17" customFormat="1" ht="30.95" hidden="1" customHeight="1" x14ac:dyDescent="0.2">
      <c r="A932" s="37" t="s">
        <v>1416</v>
      </c>
      <c r="B932" s="38" t="s">
        <v>1402</v>
      </c>
      <c r="C932" s="45"/>
      <c r="D932" s="31">
        <v>3721204</v>
      </c>
      <c r="E932" s="31">
        <v>4140993</v>
      </c>
      <c r="F932" s="268" t="str">
        <f>IF(D932="","",VLOOKUP(D932,契約台帳!$A$3:$K$4986,6,FALSE)&amp;VLOOKUP(D932,契約台帳!$A$3:$K$4986,7,FALSE)&amp;VLOOKUP(D932,契約台帳!$A$3:$K$4986,8,FALSE)&amp;VLOOKUP(D932,契約台帳!$A$3:$K$4986,9,FALSE)&amp;VLOOKUP(D932,契約台帳!$A$3:$K$4986,11,FALSE))</f>
        <v>3SNCLBLEYK</v>
      </c>
      <c r="G932" s="269" t="str">
        <f>IF(D932="","",VLOOKUP(F932,製品マスタ!$G$5:$H$5002,2,FALSE))</f>
        <v>S</v>
      </c>
      <c r="H932" s="269" t="str">
        <f>IF(D932="","",VLOOKUP(F932,製品マスタ!$G$5:$K$5002,5,FALSE))</f>
        <v>LEYK</v>
      </c>
      <c r="I932" s="270" t="str">
        <f>IF(D932="","",VLOOKUP(F932,製品マスタ!$G$5:$L$5002,6,FALSE))</f>
        <v>ルミラー　ＥＹＫ</v>
      </c>
      <c r="J932" s="210" t="s">
        <v>447</v>
      </c>
      <c r="K932" s="270">
        <f>IF(D932="","",VLOOKUP(D932,契約台帳!$A$3:$L$4986,12,FALSE))</f>
        <v>50</v>
      </c>
      <c r="L932" s="270" t="str">
        <f>IF(D932="","",INDEX(製品マスタ!$Q$5:$Q$5002,MATCH('S4'!F932&amp;'S4'!K932,製品マスタ!$AO$5:$AO$5002,0)))</f>
        <v>T62M</v>
      </c>
      <c r="M932" s="39">
        <v>1125</v>
      </c>
      <c r="N932" s="39">
        <v>6100</v>
      </c>
      <c r="O932" s="156">
        <v>6</v>
      </c>
      <c r="P932" s="47">
        <v>6</v>
      </c>
      <c r="Q932" s="57"/>
      <c r="R932" s="271">
        <f ca="1">IF(D932="","",IF(OFFSET(D932,-1,0)&lt;&gt;"","",IF(OR(J932="リード付け",J932="巻足し",J932="巻返しリード付け"),M932,VLOOKUP(D932,契約台帳!$A$3:$N$4986,14,FALSE))))</f>
        <v>1120</v>
      </c>
      <c r="S932" s="272">
        <f ca="1">IF(D932="","",IF(OFFSET(D932,-1,0)&lt;&gt;"","",IF(OR(J932="リード付け",J932="巻足し",J932="巻返しリード付け"),M932,VLOOKUP(D932,契約台帳!$A$3:$O$4986,15,FALSE))))</f>
        <v>1120</v>
      </c>
      <c r="T932" s="273">
        <f ca="1">IF(D932="","",IF(J932="リード付け",N932,IF(J932="巻返しリード付け",N932,IF(J932="巻足し",N932*P932+OFFSET(N932,1,0)*OFFSET(P932,1,0),VLOOKUP(D932,契約台帳!$A$3:$P$4986,16,FALSE)))))</f>
        <v>6000</v>
      </c>
      <c r="U932" s="40">
        <v>6</v>
      </c>
      <c r="V932" s="274">
        <f ca="1">IF(D932="","",IF(OFFSET(D932,-2,0)=D932,"",VLOOKUP(D932,契約台帳!$A$3:$R$4986,18,FALSE)))</f>
        <v>6</v>
      </c>
      <c r="W932" s="269" t="str">
        <f ca="1">IF(D932="","",IF(T932="","",IF(OR(J932="巻足し",J932="巻返しリード付け"),"",IF(J932="巻返し",VLOOKUP(F932&amp;K932&amp;M932,製品マスタ!$M$5:$AD$5002,18,FALSE),IF(OR(J932="リード付け",J932="巻返しリード付け"),"原反コア",IF(J932="スリット",VLOOKUP(F932&amp;K932&amp;R932,製品マスタ!$N$5:$AD$5002,17,FALSE),""))))))</f>
        <v>6ｲﾝﾁMｺｱ</v>
      </c>
      <c r="X932" s="269">
        <f ca="1">IF(D932="","",IF(T932="","",IF(J932="巻足し","",IF(J932="巻返し",VLOOKUP(F932&amp;K932&amp;M932,製品マスタ!$M$5:$AE$5002,19,FALSE),IF(OR(J932="リード付け",J932="巻返しリード付け"),"",IF(J932="スリット",VLOOKUP(F932&amp;K932&amp;R932,製品マスタ!$N$5:$AE$5002,18,FALSE),""))))))</f>
        <v>1140</v>
      </c>
      <c r="Y932" s="275">
        <f ca="1">IF(D932="","",IF(T932="","",VLOOKUP(D932,契約台帳!$A$3:$Q$4986,17,FALSE)))</f>
        <v>2</v>
      </c>
      <c r="Z932" s="269" t="str">
        <f ca="1">IF(D932="","",IF(T932="","",VLOOKUP(D932,契約台帳!$A$3:$E$4986,5,FALSE)))</f>
        <v>新タック化成㈱</v>
      </c>
      <c r="AA932" s="57"/>
      <c r="AB932" s="207" t="str">
        <f>IFERROR((VLOOKUP(F932&amp;K932&amp;M932,製品マスタ!$M$5:$AM$5002,27,FALSE)),"")</f>
        <v>原反ケース再利用</v>
      </c>
      <c r="AC932" s="33"/>
      <c r="AD932" s="189"/>
      <c r="AE932" s="54"/>
      <c r="AF932" s="55"/>
      <c r="AG932" s="43"/>
      <c r="AH932" s="339"/>
      <c r="AI932" s="30"/>
      <c r="AJ932" s="30"/>
      <c r="AK932" s="30"/>
      <c r="AL932" s="30"/>
      <c r="AM932" s="13"/>
      <c r="AN932" s="13"/>
      <c r="AO932" s="13"/>
      <c r="AP932" s="13"/>
      <c r="AQ932" s="13"/>
      <c r="AR932" s="14"/>
      <c r="AS932" s="15"/>
    </row>
    <row r="933" spans="1:45" s="17" customFormat="1" ht="30.95" hidden="1" customHeight="1" x14ac:dyDescent="0.2">
      <c r="A933" s="37"/>
      <c r="B933" s="38"/>
      <c r="C933" s="45"/>
      <c r="D933" s="31"/>
      <c r="E933" s="31"/>
      <c r="F933" s="268"/>
      <c r="G933" s="269"/>
      <c r="H933" s="269"/>
      <c r="I933" s="270"/>
      <c r="J933" s="210"/>
      <c r="K933" s="270"/>
      <c r="L933" s="270"/>
      <c r="M933" s="39"/>
      <c r="N933" s="39"/>
      <c r="O933" s="156"/>
      <c r="P933" s="47"/>
      <c r="Q933" s="57"/>
      <c r="R933" s="271"/>
      <c r="S933" s="272"/>
      <c r="T933" s="273"/>
      <c r="U933" s="40"/>
      <c r="V933" s="274"/>
      <c r="W933" s="269"/>
      <c r="X933" s="269"/>
      <c r="Y933" s="275"/>
      <c r="Z933" s="269"/>
      <c r="AA933" s="57"/>
      <c r="AB933" s="207"/>
      <c r="AC933" s="33"/>
      <c r="AD933" s="189"/>
      <c r="AE933" s="54"/>
      <c r="AF933" s="55"/>
      <c r="AG933" s="43"/>
      <c r="AH933" s="339"/>
      <c r="AI933" s="30"/>
      <c r="AJ933" s="30"/>
      <c r="AK933" s="30"/>
      <c r="AL933" s="30"/>
      <c r="AM933" s="13"/>
      <c r="AN933" s="13"/>
      <c r="AO933" s="13"/>
      <c r="AP933" s="13"/>
      <c r="AQ933" s="13"/>
      <c r="AR933" s="14"/>
      <c r="AS933" s="15"/>
    </row>
    <row r="934" spans="1:45" s="17" customFormat="1" ht="30.95" hidden="1" customHeight="1" x14ac:dyDescent="0.2">
      <c r="A934" s="37" t="s">
        <v>1417</v>
      </c>
      <c r="B934" s="38" t="s">
        <v>1405</v>
      </c>
      <c r="C934" s="45"/>
      <c r="D934" s="31">
        <v>3721203</v>
      </c>
      <c r="E934" s="31">
        <v>4140997</v>
      </c>
      <c r="F934" s="268" t="str">
        <f>IF(D934="","",VLOOKUP(D934,契約台帳!$A$3:$K$4986,6,FALSE)&amp;VLOOKUP(D934,契約台帳!$A$3:$K$4986,7,FALSE)&amp;VLOOKUP(D934,契約台帳!$A$3:$K$4986,8,FALSE)&amp;VLOOKUP(D934,契約台帳!$A$3:$K$4986,9,FALSE)&amp;VLOOKUP(D934,契約台帳!$A$3:$K$4986,11,FALSE))</f>
        <v>3SNCLBLEYK</v>
      </c>
      <c r="G934" s="269" t="str">
        <f>IF(D934="","",VLOOKUP(F934,製品マスタ!$G$5:$H$5002,2,FALSE))</f>
        <v>S</v>
      </c>
      <c r="H934" s="269" t="str">
        <f>IF(D934="","",VLOOKUP(F934,製品マスタ!$G$5:$K$5002,5,FALSE))</f>
        <v>LEYK</v>
      </c>
      <c r="I934" s="270" t="str">
        <f>IF(D934="","",VLOOKUP(F934,製品マスタ!$G$5:$L$5002,6,FALSE))</f>
        <v>ルミラー　ＥＹＫ</v>
      </c>
      <c r="J934" s="210" t="s">
        <v>447</v>
      </c>
      <c r="K934" s="270">
        <f>IF(D934="","",VLOOKUP(D934,契約台帳!$A$3:$L$4986,12,FALSE))</f>
        <v>25</v>
      </c>
      <c r="L934" s="270" t="str">
        <f>IF(D934="","",INDEX(製品マスタ!$Q$5:$Q$5002,MATCH('S4'!F934&amp;'S4'!K934,製品マスタ!$AO$5:$AO$5002,0)))</f>
        <v>T62M</v>
      </c>
      <c r="M934" s="39">
        <v>1120</v>
      </c>
      <c r="N934" s="39">
        <v>12100</v>
      </c>
      <c r="O934" s="156">
        <v>4</v>
      </c>
      <c r="P934" s="47">
        <v>4</v>
      </c>
      <c r="Q934" s="57"/>
      <c r="R934" s="271">
        <f ca="1">IF(D934="","",IF(OFFSET(D934,-1,0)&lt;&gt;"","",IF(OR(J934="リード付け",J934="巻足し",J934="巻返しリード付け"),M934,VLOOKUP(D934,契約台帳!$A$3:$N$4986,14,FALSE))))</f>
        <v>1120</v>
      </c>
      <c r="S934" s="272">
        <f ca="1">IF(D934="","",IF(OFFSET(D934,-1,0)&lt;&gt;"","",IF(OR(J934="リード付け",J934="巻足し",J934="巻返しリード付け"),M934,VLOOKUP(D934,契約台帳!$A$3:$O$4986,15,FALSE))))</f>
        <v>1120</v>
      </c>
      <c r="T934" s="273">
        <f ca="1">IF(D934="","",IF(J934="リード付け",N934,IF(J934="巻返しリード付け",N934,IF(J934="巻足し",N934*P934+OFFSET(N934,1,0)*OFFSET(P934,1,0),VLOOKUP(D934,契約台帳!$A$3:$P$4986,16,FALSE)))))</f>
        <v>6000</v>
      </c>
      <c r="U934" s="40">
        <v>8</v>
      </c>
      <c r="V934" s="274">
        <f ca="1">IF(D934="","",IF(OFFSET(D934,-2,0)=D934,"",VLOOKUP(D934,契約台帳!$A$3:$R$4986,18,FALSE)))</f>
        <v>8</v>
      </c>
      <c r="W934" s="269" t="str">
        <f ca="1">IF(D934="","",IF(T934="","",IF(OR(J934="巻足し",J934="巻返しリード付け"),"",IF(J934="巻返し",VLOOKUP(F934&amp;K934&amp;M934,製品マスタ!$M$5:$AD$5002,18,FALSE),IF(OR(J934="リード付け",J934="巻返しリード付け"),"原反コア",IF(J934="スリット",VLOOKUP(F934&amp;K934&amp;R934,製品マスタ!$N$5:$AD$5002,17,FALSE),""))))))</f>
        <v>6ｲﾝﾁMｺｱ</v>
      </c>
      <c r="X934" s="269">
        <f ca="1">IF(D934="","",IF(T934="","",IF(J934="巻足し","",IF(J934="巻返し",VLOOKUP(F934&amp;K934&amp;M934,製品マスタ!$M$5:$AE$5002,19,FALSE),IF(OR(J934="リード付け",J934="巻返しリード付け"),"",IF(J934="スリット",VLOOKUP(F934&amp;K934&amp;R934,製品マスタ!$N$5:$AE$5002,18,FALSE),""))))))</f>
        <v>1140</v>
      </c>
      <c r="Y934" s="275">
        <f ca="1">IF(D934="","",IF(T934="","",VLOOKUP(D934,契約台帳!$A$3:$Q$4986,17,FALSE)))</f>
        <v>2</v>
      </c>
      <c r="Z934" s="269" t="str">
        <f ca="1">IF(D934="","",IF(T934="","",VLOOKUP(D934,契約台帳!$A$3:$E$4986,5,FALSE)))</f>
        <v>新タック化成㈱</v>
      </c>
      <c r="AA934" s="57"/>
      <c r="AB934" s="207">
        <f>IFERROR((VLOOKUP(F934&amp;K934&amp;M934,製品マスタ!$M$5:$AM$5002,27,FALSE)),"")</f>
        <v>0</v>
      </c>
      <c r="AC934" s="33"/>
      <c r="AD934" s="189"/>
      <c r="AE934" s="54"/>
      <c r="AF934" s="55"/>
      <c r="AG934" s="43"/>
      <c r="AH934" s="339"/>
      <c r="AI934" s="30"/>
      <c r="AJ934" s="30"/>
      <c r="AK934" s="30"/>
      <c r="AL934" s="30"/>
      <c r="AM934" s="13"/>
      <c r="AN934" s="13"/>
      <c r="AO934" s="13"/>
      <c r="AP934" s="13"/>
      <c r="AQ934" s="13"/>
      <c r="AR934" s="14"/>
      <c r="AS934" s="15"/>
    </row>
    <row r="935" spans="1:45" s="17" customFormat="1" ht="30.95" hidden="1" customHeight="1" x14ac:dyDescent="0.2">
      <c r="A935" s="37"/>
      <c r="B935" s="38"/>
      <c r="C935" s="45"/>
      <c r="D935" s="31"/>
      <c r="E935" s="31"/>
      <c r="F935" s="268"/>
      <c r="G935" s="269"/>
      <c r="H935" s="269"/>
      <c r="I935" s="270"/>
      <c r="J935" s="210"/>
      <c r="K935" s="270"/>
      <c r="L935" s="270"/>
      <c r="M935" s="39"/>
      <c r="N935" s="39"/>
      <c r="O935" s="156"/>
      <c r="P935" s="47"/>
      <c r="Q935" s="57"/>
      <c r="R935" s="338"/>
      <c r="S935" s="272"/>
      <c r="T935" s="273"/>
      <c r="U935" s="40"/>
      <c r="V935" s="277"/>
      <c r="W935" s="269"/>
      <c r="X935" s="269"/>
      <c r="Y935" s="275"/>
      <c r="Z935" s="269"/>
      <c r="AA935" s="57"/>
      <c r="AB935" s="207"/>
      <c r="AC935" s="33"/>
      <c r="AD935" s="189"/>
      <c r="AE935" s="54"/>
      <c r="AF935" s="55"/>
      <c r="AG935" s="43"/>
      <c r="AH935" s="339"/>
      <c r="AI935" s="30"/>
      <c r="AJ935" s="30"/>
      <c r="AK935" s="30"/>
      <c r="AL935" s="30"/>
      <c r="AM935" s="13"/>
      <c r="AN935" s="13"/>
      <c r="AO935" s="13"/>
      <c r="AP935" s="13"/>
      <c r="AQ935" s="13"/>
      <c r="AR935" s="14"/>
      <c r="AS935" s="15"/>
    </row>
    <row r="936" spans="1:45" s="17" customFormat="1" ht="30.95" hidden="1" customHeight="1" x14ac:dyDescent="0.2">
      <c r="A936" s="37" t="s">
        <v>1418</v>
      </c>
      <c r="B936" s="38" t="s">
        <v>1412</v>
      </c>
      <c r="C936" s="45"/>
      <c r="D936" s="31">
        <v>3721200</v>
      </c>
      <c r="E936" s="31">
        <v>4140986</v>
      </c>
      <c r="F936" s="268" t="str">
        <f>IF(D936="","",VLOOKUP(D936,契約台帳!$A$3:$K$4986,6,FALSE)&amp;VLOOKUP(D936,契約台帳!$A$3:$K$4986,7,FALSE)&amp;VLOOKUP(D936,契約台帳!$A$3:$K$4986,8,FALSE)&amp;VLOOKUP(D936,契約台帳!$A$3:$K$4986,9,FALSE)&amp;VLOOKUP(D936,契約台帳!$A$3:$K$4986,11,FALSE))</f>
        <v>3HSNMCLBEYK</v>
      </c>
      <c r="G936" s="269" t="str">
        <f>IF(D936="","",VLOOKUP(F936,製品マスタ!$G$5:$H$5002,2,FALSE))</f>
        <v>S</v>
      </c>
      <c r="H936" s="269" t="str">
        <f>IF(D936="","",VLOOKUP(F936,製品マスタ!$G$5:$K$5002,5,FALSE))</f>
        <v>EYK</v>
      </c>
      <c r="I936" s="270" t="str">
        <f>IF(D936="","",VLOOKUP(F936,製品マスタ!$G$5:$L$5002,6,FALSE))</f>
        <v>メタルミー　ＥＹＫ</v>
      </c>
      <c r="J936" s="210" t="s">
        <v>447</v>
      </c>
      <c r="K936" s="270">
        <f>IF(D936="","",VLOOKUP(D936,契約台帳!$A$3:$L$4986,12,FALSE))</f>
        <v>50</v>
      </c>
      <c r="L936" s="270" t="str">
        <f>IF(D936="","",INDEX(製品マスタ!$Q$5:$Q$5002,MATCH('S4'!F936&amp;'S4'!K936,製品マスタ!$AO$5:$AO$5002,0)))</f>
        <v>T62M</v>
      </c>
      <c r="M936" s="39">
        <v>1195</v>
      </c>
      <c r="N936" s="39">
        <v>12200</v>
      </c>
      <c r="O936" s="156">
        <v>3</v>
      </c>
      <c r="P936" s="47">
        <v>3</v>
      </c>
      <c r="Q936" s="57"/>
      <c r="R936" s="271">
        <f ca="1">IF(D936="","",IF(OFFSET(D936,-1,0)&lt;&gt;"","",IF(OR(J936="リード付け",J936="巻足し",J936="巻返しリード付け"),M936,VLOOKUP(D936,契約台帳!$A$3:$N$4986,14,FALSE))))</f>
        <v>1190</v>
      </c>
      <c r="S936" s="272">
        <f ca="1">IF(D936="","",IF(OFFSET(D936,-1,0)&lt;&gt;"","",IF(OR(J936="リード付け",J936="巻足し",J936="巻返しリード付け"),M936,VLOOKUP(D936,契約台帳!$A$3:$O$4986,15,FALSE))))</f>
        <v>1190</v>
      </c>
      <c r="T936" s="273">
        <f ca="1">IF(D936="","",IF(J936="リード付け",N936,IF(J936="巻返しリード付け",N936,IF(J936="巻足し",N936*P936+OFFSET(N936,1,0)*OFFSET(P936,1,0),VLOOKUP(D936,契約台帳!$A$3:$P$4986,16,FALSE)))))</f>
        <v>6000</v>
      </c>
      <c r="U936" s="40">
        <v>6</v>
      </c>
      <c r="V936" s="274">
        <f ca="1">IF(D936="","",IF(OFFSET(D936,-2,0)=D936,"",VLOOKUP(D936,契約台帳!$A$3:$R$4986,18,FALSE)))</f>
        <v>6</v>
      </c>
      <c r="W936" s="269" t="str">
        <f ca="1">IF(D936="","",IF(T936="","",IF(OR(J936="巻足し",J936="巻返しリード付け"),"",IF(J936="巻返し",VLOOKUP(F936&amp;K936&amp;M936,製品マスタ!$M$5:$AD$5002,18,FALSE),IF(OR(J936="リード付け",J936="巻返しリード付け"),"原反コア",IF(J936="スリット",VLOOKUP(F936&amp;K936&amp;R936,製品マスタ!$N$5:$AD$5002,17,FALSE),""))))))</f>
        <v>6ｲﾝﾁMｺｱ</v>
      </c>
      <c r="X936" s="269">
        <f ca="1">IF(D936="","",IF(T936="","",IF(J936="巻足し","",IF(J936="巻返し",VLOOKUP(F936&amp;K936&amp;M936,製品マスタ!$M$5:$AE$5002,19,FALSE),IF(OR(J936="リード付け",J936="巻返しリード付け"),"",IF(J936="スリット",VLOOKUP(F936&amp;K936&amp;R936,製品マスタ!$N$5:$AE$5002,18,FALSE),""))))))</f>
        <v>1220</v>
      </c>
      <c r="Y936" s="275">
        <f ca="1">IF(D936="","",IF(T936="","",VLOOKUP(D936,契約台帳!$A$3:$Q$4986,17,FALSE)))</f>
        <v>2</v>
      </c>
      <c r="Z936" s="269" t="str">
        <f ca="1">IF(D936="","",IF(T936="","",VLOOKUP(D936,契約台帳!$A$3:$E$4986,5,FALSE)))</f>
        <v>大阪シーリング印刷㈱</v>
      </c>
      <c r="AA936" s="57"/>
      <c r="AB936" s="207" t="str">
        <f>IFERROR((VLOOKUP(F936&amp;K936&amp;M936,製品マスタ!$M$5:$AM$5002,27,FALSE)),"")</f>
        <v>原反ケース再利用</v>
      </c>
      <c r="AC936" s="33"/>
      <c r="AD936" s="189"/>
      <c r="AE936" s="54"/>
      <c r="AF936" s="55"/>
      <c r="AG936" s="43"/>
      <c r="AH936" s="339"/>
      <c r="AI936" s="30"/>
      <c r="AJ936" s="30"/>
      <c r="AK936" s="30"/>
      <c r="AL936" s="30"/>
      <c r="AM936" s="13"/>
      <c r="AN936" s="13"/>
      <c r="AO936" s="13"/>
      <c r="AP936" s="13"/>
      <c r="AQ936" s="13"/>
      <c r="AR936" s="14"/>
      <c r="AS936" s="15"/>
    </row>
    <row r="937" spans="1:45" s="17" customFormat="1" ht="30.95" hidden="1" customHeight="1" x14ac:dyDescent="0.2">
      <c r="A937" s="37"/>
      <c r="B937" s="38"/>
      <c r="C937" s="45"/>
      <c r="D937" s="31"/>
      <c r="E937" s="31"/>
      <c r="F937" s="268"/>
      <c r="G937" s="269"/>
      <c r="H937" s="269"/>
      <c r="I937" s="270"/>
      <c r="J937" s="210"/>
      <c r="K937" s="270"/>
      <c r="L937" s="270"/>
      <c r="M937" s="39"/>
      <c r="N937" s="39"/>
      <c r="O937" s="156"/>
      <c r="P937" s="47"/>
      <c r="Q937" s="57"/>
      <c r="R937" s="338"/>
      <c r="S937" s="272"/>
      <c r="T937" s="273"/>
      <c r="U937" s="40"/>
      <c r="V937" s="277"/>
      <c r="W937" s="269"/>
      <c r="X937" s="269"/>
      <c r="Y937" s="275"/>
      <c r="Z937" s="269"/>
      <c r="AA937" s="57"/>
      <c r="AB937" s="207"/>
      <c r="AC937" s="33"/>
      <c r="AD937" s="189"/>
      <c r="AE937" s="54"/>
      <c r="AF937" s="55"/>
      <c r="AG937" s="43"/>
      <c r="AH937" s="339"/>
      <c r="AI937" s="30"/>
      <c r="AJ937" s="30"/>
      <c r="AK937" s="30"/>
      <c r="AL937" s="30"/>
      <c r="AM937" s="13"/>
      <c r="AN937" s="13"/>
      <c r="AO937" s="13"/>
      <c r="AP937" s="13"/>
      <c r="AQ937" s="13"/>
      <c r="AR937" s="14"/>
      <c r="AS937" s="15"/>
    </row>
    <row r="938" spans="1:45" s="17" customFormat="1" ht="30.95" hidden="1" customHeight="1" x14ac:dyDescent="0.2">
      <c r="A938" s="37"/>
      <c r="B938" s="38"/>
      <c r="C938" s="45"/>
      <c r="D938" s="31">
        <v>3721201</v>
      </c>
      <c r="E938" s="31">
        <v>4140989</v>
      </c>
      <c r="F938" s="268" t="str">
        <f>IF(D938="","",VLOOKUP(D938,契約台帳!$A$3:$K$4986,6,FALSE)&amp;VLOOKUP(D938,契約台帳!$A$3:$K$4986,7,FALSE)&amp;VLOOKUP(D938,契約台帳!$A$3:$K$4986,8,FALSE)&amp;VLOOKUP(D938,契約台帳!$A$3:$K$4986,9,FALSE)&amp;VLOOKUP(D938,契約台帳!$A$3:$K$4986,11,FALSE))</f>
        <v>3SNMCLBMSNEYK</v>
      </c>
      <c r="G938" s="269" t="str">
        <f>IF(D938="","",VLOOKUP(F938,製品マスタ!$G$5:$H$5002,2,FALSE))</f>
        <v>S</v>
      </c>
      <c r="H938" s="269" t="str">
        <f>IF(D938="","",VLOOKUP(F938,製品マスタ!$G$5:$K$5002,5,FALSE))</f>
        <v>MSNEYK</v>
      </c>
      <c r="I938" s="270" t="str">
        <f>IF(D938="","",VLOOKUP(F938,製品マスタ!$G$5:$L$5002,6,FALSE))</f>
        <v>ＭＳＮ　ＥＹＫ</v>
      </c>
      <c r="J938" s="210" t="s">
        <v>447</v>
      </c>
      <c r="K938" s="270">
        <f>IF(D938="","",VLOOKUP(D938,契約台帳!$A$3:$L$4986,12,FALSE))</f>
        <v>50</v>
      </c>
      <c r="L938" s="270" t="str">
        <f>IF(D938="","",INDEX(製品マスタ!$Q$5:$Q$5002,MATCH('S4'!F938&amp;'S4'!K938,製品マスタ!$AO$5:$AO$5002,0)))</f>
        <v>N-MAT</v>
      </c>
      <c r="M938" s="39">
        <v>1200</v>
      </c>
      <c r="N938" s="39">
        <v>12000</v>
      </c>
      <c r="O938" s="156">
        <v>2</v>
      </c>
      <c r="P938" s="47">
        <v>2</v>
      </c>
      <c r="Q938" s="57"/>
      <c r="R938" s="271">
        <f ca="1">IF(D938="","",IF(OFFSET(D938,-1,0)&lt;&gt;"","",IF(OR(J938="リード付け",J938="巻足し",J938="巻返しリード付け"),M938,VLOOKUP(D938,契約台帳!$A$3:$N$4986,14,FALSE))))</f>
        <v>1200</v>
      </c>
      <c r="S938" s="272">
        <f ca="1">IF(D938="","",IF(OFFSET(D938,-1,0)&lt;&gt;"","",IF(OR(J938="リード付け",J938="巻足し",J938="巻返しリード付け"),M938,VLOOKUP(D938,契約台帳!$A$3:$O$4986,15,FALSE))))</f>
        <v>1190</v>
      </c>
      <c r="T938" s="273">
        <f ca="1">IF(D938="","",IF(J938="リード付け",N938,IF(J938="巻返しリード付け",N938,IF(J938="巻足し",N938*P938+OFFSET(N938,1,0)*OFFSET(P938,1,0),VLOOKUP(D938,契約台帳!$A$3:$P$4986,16,FALSE)))))</f>
        <v>6000</v>
      </c>
      <c r="U938" s="40">
        <v>4</v>
      </c>
      <c r="V938" s="274">
        <f ca="1">IF(D938="","",IF(OFFSET(D938,-2,0)=D938,"",VLOOKUP(D938,契約台帳!$A$3:$R$4986,18,FALSE)))</f>
        <v>4</v>
      </c>
      <c r="W938" s="269" t="str">
        <f ca="1">IF(D938="","",IF(T938="","",IF(OR(J938="巻足し",J938="巻返しリード付け"),"",IF(J938="巻返し",VLOOKUP(F938&amp;K938&amp;M938,製品マスタ!$M$5:$AD$5002,18,FALSE),IF(OR(J938="リード付け",J938="巻返しリード付け"),"原反コア",IF(J938="スリット",VLOOKUP(F938&amp;K938&amp;R938,製品マスタ!$N$5:$AD$5002,17,FALSE),""))))))</f>
        <v>6ｲﾝﾁMｺｱ</v>
      </c>
      <c r="X938" s="269">
        <f ca="1">IF(D938="","",IF(T938="","",IF(J938="巻足し","",IF(J938="巻返し",VLOOKUP(F938&amp;K938&amp;M938,製品マスタ!$M$5:$AE$5002,19,FALSE),IF(OR(J938="リード付け",J938="巻返しリード付け"),"",IF(J938="スリット",VLOOKUP(F938&amp;K938&amp;R938,製品マスタ!$N$5:$AE$5002,18,FALSE),""))))))</f>
        <v>1220</v>
      </c>
      <c r="Y938" s="275">
        <f ca="1">IF(D938="","",IF(T938="","",VLOOKUP(D938,契約台帳!$A$3:$Q$4986,17,FALSE)))</f>
        <v>2</v>
      </c>
      <c r="Z938" s="269" t="str">
        <f ca="1">IF(D938="","",IF(T938="","",VLOOKUP(D938,契約台帳!$A$3:$E$4986,5,FALSE)))</f>
        <v>大阪シーリング印刷㈱</v>
      </c>
      <c r="AA938" s="57"/>
      <c r="AB938" s="207" t="str">
        <f>IFERROR((VLOOKUP(F938&amp;K938&amp;M938,製品マスタ!$M$5:$AM$5002,27,FALSE)),"")</f>
        <v>原反ケース再利用</v>
      </c>
      <c r="AC938" s="33"/>
      <c r="AD938" s="189"/>
      <c r="AE938" s="54"/>
      <c r="AF938" s="55"/>
      <c r="AG938" s="43"/>
      <c r="AH938" s="339"/>
      <c r="AI938" s="30"/>
      <c r="AJ938" s="30"/>
      <c r="AK938" s="30"/>
      <c r="AL938" s="30"/>
      <c r="AM938" s="13"/>
      <c r="AN938" s="13"/>
      <c r="AO938" s="13"/>
      <c r="AP938" s="13"/>
      <c r="AQ938" s="13"/>
      <c r="AR938" s="14"/>
      <c r="AS938" s="15"/>
    </row>
    <row r="939" spans="1:45" s="17" customFormat="1" ht="30.95" hidden="1" customHeight="1" x14ac:dyDescent="0.2">
      <c r="A939" s="37"/>
      <c r="B939" s="38"/>
      <c r="C939" s="45"/>
      <c r="D939" s="31"/>
      <c r="E939" s="31"/>
      <c r="F939" s="268"/>
      <c r="G939" s="269"/>
      <c r="H939" s="269"/>
      <c r="I939" s="270"/>
      <c r="J939" s="210"/>
      <c r="K939" s="270"/>
      <c r="L939" s="270"/>
      <c r="M939" s="39"/>
      <c r="N939" s="39"/>
      <c r="O939" s="156"/>
      <c r="P939" s="47"/>
      <c r="Q939" s="57"/>
      <c r="R939" s="338"/>
      <c r="S939" s="272"/>
      <c r="T939" s="273"/>
      <c r="U939" s="40"/>
      <c r="V939" s="277"/>
      <c r="W939" s="269"/>
      <c r="X939" s="269"/>
      <c r="Y939" s="275"/>
      <c r="Z939" s="269"/>
      <c r="AA939" s="57"/>
      <c r="AB939" s="207"/>
      <c r="AC939" s="33"/>
      <c r="AD939" s="189"/>
      <c r="AE939" s="54"/>
      <c r="AF939" s="55"/>
      <c r="AG939" s="43"/>
      <c r="AH939" s="339"/>
      <c r="AI939" s="30"/>
      <c r="AJ939" s="30"/>
      <c r="AK939" s="30"/>
      <c r="AL939" s="30"/>
      <c r="AM939" s="13"/>
      <c r="AN939" s="13"/>
      <c r="AO939" s="13"/>
      <c r="AP939" s="13"/>
      <c r="AQ939" s="13"/>
      <c r="AR939" s="14"/>
      <c r="AS939" s="15"/>
    </row>
    <row r="940" spans="1:45" s="17" customFormat="1" ht="30.95" hidden="1" customHeight="1" x14ac:dyDescent="0.2">
      <c r="A940" s="37"/>
      <c r="B940" s="38"/>
      <c r="C940" s="45"/>
      <c r="D940" s="31">
        <v>3717577</v>
      </c>
      <c r="E940" s="31">
        <v>4140971</v>
      </c>
      <c r="F940" s="268" t="str">
        <f>IF(D940="","",VLOOKUP(D940,契約台帳!$A$3:$K$4986,6,FALSE)&amp;VLOOKUP(D940,契約台帳!$A$3:$K$4986,7,FALSE)&amp;VLOOKUP(D940,契約台帳!$A$3:$K$4986,8,FALSE)&amp;VLOOKUP(D940,契約台帳!$A$3:$K$4986,9,FALSE)&amp;VLOOKUP(D940,契約台帳!$A$3:$K$4986,11,FALSE))</f>
        <v>3SNMCLBMSNEYK</v>
      </c>
      <c r="G940" s="269" t="str">
        <f>IF(D940="","",VLOOKUP(F940,製品マスタ!$G$5:$H$5002,2,FALSE))</f>
        <v>S</v>
      </c>
      <c r="H940" s="269" t="str">
        <f>IF(D940="","",VLOOKUP(F940,製品マスタ!$G$5:$K$5002,5,FALSE))</f>
        <v>MSNEYK</v>
      </c>
      <c r="I940" s="270" t="str">
        <f>IF(D940="","",VLOOKUP(F940,製品マスタ!$G$5:$L$5002,6,FALSE))</f>
        <v>ＭＳＮ　ＥＹＫ</v>
      </c>
      <c r="J940" s="210" t="s">
        <v>447</v>
      </c>
      <c r="K940" s="270">
        <f>IF(D940="","",VLOOKUP(D940,契約台帳!$A$3:$L$4986,12,FALSE))</f>
        <v>50</v>
      </c>
      <c r="L940" s="270" t="str">
        <f>IF(D940="","",INDEX(製品マスタ!$Q$5:$Q$5002,MATCH('S4'!F940&amp;'S4'!K940,製品マスタ!$AO$5:$AO$5002,0)))</f>
        <v>N-MAT</v>
      </c>
      <c r="M940" s="39">
        <v>1120</v>
      </c>
      <c r="N940" s="39">
        <v>8000</v>
      </c>
      <c r="O940" s="156">
        <v>1</v>
      </c>
      <c r="P940" s="47">
        <v>1</v>
      </c>
      <c r="Q940" s="57"/>
      <c r="R940" s="271">
        <f ca="1">IF(D940="","",IF(OFFSET(D940,-1,0)&lt;&gt;"","",IF(OR(J940="リード付け",J940="巻足し",J940="巻返しリード付け"),M940,VLOOKUP(D940,契約台帳!$A$3:$N$4986,14,FALSE))))</f>
        <v>1120</v>
      </c>
      <c r="S940" s="272">
        <f ca="1">IF(D940="","",IF(OFFSET(D940,-1,0)&lt;&gt;"","",IF(OR(J940="リード付け",J940="巻足し",J940="巻返しリード付け"),M940,VLOOKUP(D940,契約台帳!$A$3:$O$4986,15,FALSE))))</f>
        <v>1120</v>
      </c>
      <c r="T940" s="273">
        <f ca="1">IF(D940="","",IF(J940="リード付け",N940,IF(J940="巻返しリード付け",N940,IF(J940="巻足し",N940*P940+OFFSET(N940,1,0)*OFFSET(P940,1,0),VLOOKUP(D940,契約台帳!$A$3:$P$4986,16,FALSE)))))</f>
        <v>4000</v>
      </c>
      <c r="U940" s="40">
        <v>2</v>
      </c>
      <c r="V940" s="274">
        <f ca="1">IF(D940="","",IF(OFFSET(D940,-2,0)=D940,"",VLOOKUP(D940,契約台帳!$A$3:$R$4986,18,FALSE)))</f>
        <v>2</v>
      </c>
      <c r="W940" s="269" t="str">
        <f ca="1">IF(D940="","",IF(T940="","",IF(OR(J940="巻足し",J940="巻返しリード付け"),"",IF(J940="巻返し",VLOOKUP(F940&amp;K940&amp;M940,製品マスタ!$M$5:$AD$5002,18,FALSE),IF(OR(J940="リード付け",J940="巻返しリード付け"),"原反コア",IF(J940="スリット",VLOOKUP(F940&amp;K940&amp;R940,製品マスタ!$N$5:$AD$5002,17,FALSE),""))))))</f>
        <v>6ｲﾝﾁMｺｱ</v>
      </c>
      <c r="X940" s="269">
        <f ca="1">IF(D940="","",IF(T940="","",IF(J940="巻足し","",IF(J940="巻返し",VLOOKUP(F940&amp;K940&amp;M940,製品マスタ!$M$5:$AE$5002,19,FALSE),IF(OR(J940="リード付け",J940="巻返しリード付け"),"",IF(J940="スリット",VLOOKUP(F940&amp;K940&amp;R940,製品マスタ!$N$5:$AE$5002,18,FALSE),""))))))</f>
        <v>1140</v>
      </c>
      <c r="Y940" s="275">
        <f ca="1">IF(D940="","",IF(T940="","",VLOOKUP(D940,契約台帳!$A$3:$Q$4986,17,FALSE)))</f>
        <v>2</v>
      </c>
      <c r="Z940" s="269" t="str">
        <f ca="1">IF(D940="","",IF(T940="","",VLOOKUP(D940,契約台帳!$A$3:$E$4986,5,FALSE)))</f>
        <v>新タック化成㈱</v>
      </c>
      <c r="AA940" s="57"/>
      <c r="AB940" s="303" t="str">
        <f>IFERROR((VLOOKUP(F940&amp;K940&amp;M940,製品マスタ!$M$5:$AM$5002,27,FALSE)),"")</f>
        <v>原反ケース再利用</v>
      </c>
      <c r="AC940" s="33"/>
      <c r="AD940" s="189"/>
      <c r="AE940" s="54"/>
      <c r="AF940" s="55"/>
      <c r="AG940" s="43"/>
      <c r="AH940" s="339"/>
      <c r="AI940" s="30"/>
      <c r="AJ940" s="30"/>
      <c r="AK940" s="30"/>
      <c r="AL940" s="30"/>
      <c r="AM940" s="13"/>
      <c r="AN940" s="13"/>
      <c r="AO940" s="13"/>
      <c r="AP940" s="13"/>
      <c r="AQ940" s="13"/>
      <c r="AR940" s="14"/>
      <c r="AS940" s="15"/>
    </row>
    <row r="941" spans="1:45" s="17" customFormat="1" ht="30.95" hidden="1" customHeight="1" x14ac:dyDescent="0.2">
      <c r="A941" s="37"/>
      <c r="B941" s="38"/>
      <c r="C941" s="45"/>
      <c r="D941" s="31"/>
      <c r="E941" s="31"/>
      <c r="F941" s="268"/>
      <c r="G941" s="269"/>
      <c r="H941" s="269"/>
      <c r="I941" s="270"/>
      <c r="J941" s="210"/>
      <c r="K941" s="270"/>
      <c r="L941" s="270"/>
      <c r="M941" s="39"/>
      <c r="N941" s="39"/>
      <c r="O941" s="156"/>
      <c r="P941" s="47"/>
      <c r="Q941" s="57"/>
      <c r="R941" s="338"/>
      <c r="S941" s="272"/>
      <c r="T941" s="273"/>
      <c r="U941" s="40"/>
      <c r="V941" s="277"/>
      <c r="W941" s="269"/>
      <c r="X941" s="269"/>
      <c r="Y941" s="275"/>
      <c r="Z941" s="269"/>
      <c r="AA941" s="57"/>
      <c r="AB941" s="207"/>
      <c r="AC941" s="33"/>
      <c r="AD941" s="189"/>
      <c r="AE941" s="54"/>
      <c r="AF941" s="55"/>
      <c r="AG941" s="43"/>
      <c r="AH941" s="339"/>
      <c r="AI941" s="30"/>
      <c r="AJ941" s="30"/>
      <c r="AK941" s="30"/>
      <c r="AL941" s="30"/>
      <c r="AM941" s="13"/>
      <c r="AN941" s="13"/>
      <c r="AO941" s="13"/>
      <c r="AP941" s="13"/>
      <c r="AQ941" s="13"/>
      <c r="AR941" s="14"/>
      <c r="AS941" s="15"/>
    </row>
    <row r="942" spans="1:45" s="17" customFormat="1" ht="30.95" hidden="1" customHeight="1" x14ac:dyDescent="0.2">
      <c r="A942" s="37" t="s">
        <v>1419</v>
      </c>
      <c r="B942" s="38" t="s">
        <v>1408</v>
      </c>
      <c r="C942" s="45"/>
      <c r="D942" s="31">
        <v>3721218</v>
      </c>
      <c r="E942" s="31">
        <v>4140991</v>
      </c>
      <c r="F942" s="268" t="str">
        <f>IF(D942="","",VLOOKUP(D942,契約台帳!$A$3:$K$4986,6,FALSE)&amp;VLOOKUP(D942,契約台帳!$A$3:$K$4986,7,FALSE)&amp;VLOOKUP(D942,契約台帳!$A$3:$K$4986,8,FALSE)&amp;VLOOKUP(D942,契約台帳!$A$3:$K$4986,9,FALSE)&amp;VLOOKUP(D942,契約台帳!$A$3:$K$4986,11,FALSE))</f>
        <v>3SNMCLBNGTVB</v>
      </c>
      <c r="G942" s="269" t="str">
        <f>IF(D942="","",VLOOKUP(F942,製品マスタ!$G$5:$H$5002,2,FALSE))</f>
        <v>S</v>
      </c>
      <c r="H942" s="269" t="str">
        <f>IF(D942="","",VLOOKUP(F942,製品マスタ!$G$5:$K$5002,5,FALSE))</f>
        <v>NGTVB</v>
      </c>
      <c r="I942" s="270" t="str">
        <f>IF(D942="","",VLOOKUP(F942,製品マスタ!$G$5:$L$5002,6,FALSE))</f>
        <v>メタルミー　ネーマー　銀艶ＶＢ</v>
      </c>
      <c r="J942" s="210" t="s">
        <v>463</v>
      </c>
      <c r="K942" s="270">
        <f>IF(D942="","",VLOOKUP(D942,契約台帳!$A$3:$L$4986,12,FALSE))</f>
        <v>50</v>
      </c>
      <c r="L942" s="270" t="str">
        <f>IF(D942="","",INDEX(製品マスタ!$Q$5:$Q$5002,MATCH('S4'!F942&amp;'S4'!K942,製品マスタ!$AO$5:$AO$5002,0)))</f>
        <v>T62M</v>
      </c>
      <c r="M942" s="39">
        <v>1040</v>
      </c>
      <c r="N942" s="39">
        <v>6000</v>
      </c>
      <c r="O942" s="156">
        <v>1</v>
      </c>
      <c r="P942" s="47">
        <v>1</v>
      </c>
      <c r="Q942" s="57"/>
      <c r="R942" s="271">
        <f ca="1">IF(D942="","",IF(OFFSET(D942,-1,0)&lt;&gt;"","",IF(OR(J942="リード付け",J942="巻足し",J942="巻返しリード付け"),M942,VLOOKUP(D942,契約台帳!$A$3:$N$4986,14,FALSE))))</f>
        <v>1000</v>
      </c>
      <c r="S942" s="272">
        <f ca="1">IF(D942="","",IF(OFFSET(D942,-1,0)&lt;&gt;"","",IF(OR(J942="リード付け",J942="巻足し",J942="巻返しリード付け"),M942,VLOOKUP(D942,契約台帳!$A$3:$O$4986,15,FALSE))))</f>
        <v>1000</v>
      </c>
      <c r="T942" s="273">
        <f ca="1">IF(D942="","",IF(J942="リード付け",N942,IF(J942="巻返しリード付け",N942,IF(J942="巻足し",N942*P942+OFFSET(N942,1,0)*OFFSET(P942,1,0),VLOOKUP(D942,契約台帳!$A$3:$P$4986,16,FALSE)))))</f>
        <v>3000</v>
      </c>
      <c r="U942" s="40">
        <v>2</v>
      </c>
      <c r="V942" s="274">
        <f ca="1">IF(D942="","",IF(OFFSET(D942,-2,0)=D942,"",VLOOKUP(D942,契約台帳!$A$3:$R$4986,18,FALSE)))</f>
        <v>2</v>
      </c>
      <c r="W942" s="269" t="str">
        <f ca="1">IF(D942="","",IF(T942="","",IF(OR(J942="巻足し",J942="巻返しリード付け"),"",IF(J942="巻返し",VLOOKUP(F942&amp;K942&amp;M942,製品マスタ!$M$5:$AD$5002,18,FALSE),IF(OR(J942="リード付け",J942="巻返しリード付け"),"原反コア",IF(J942="スリット",VLOOKUP(F942&amp;K942&amp;R942,製品マスタ!$N$5:$AD$5002,17,FALSE),""))))))</f>
        <v>6ｲﾝﾁMｺｱ</v>
      </c>
      <c r="X942" s="269">
        <f ca="1">IF(D942="","",IF(T942="","",IF(J942="巻足し","",IF(J942="巻返し",VLOOKUP(F942&amp;K942&amp;M942,製品マスタ!$M$5:$AE$5002,19,FALSE),IF(OR(J942="リード付け",J942="巻返しリード付け"),"",IF(J942="スリット",VLOOKUP(F942&amp;K942&amp;R942,製品マスタ!$N$5:$AE$5002,18,FALSE),""))))))</f>
        <v>1015</v>
      </c>
      <c r="Y942" s="275">
        <f ca="1">IF(D942="","",IF(T942="","",VLOOKUP(D942,契約台帳!$A$3:$Q$4986,17,FALSE)))</f>
        <v>2</v>
      </c>
      <c r="Z942" s="269" t="str">
        <f ca="1">IF(D942="","",IF(T942="","",VLOOKUP(D942,契約台帳!$A$3:$E$4986,5,FALSE)))</f>
        <v>リンテック㈱</v>
      </c>
      <c r="AA942" s="57"/>
      <c r="AB942" s="207"/>
      <c r="AC942" s="33"/>
      <c r="AD942" s="189"/>
      <c r="AE942" s="54"/>
      <c r="AF942" s="55"/>
      <c r="AG942" s="43"/>
      <c r="AH942" s="339"/>
      <c r="AI942" s="30"/>
      <c r="AJ942" s="30"/>
      <c r="AK942" s="30"/>
      <c r="AL942" s="30"/>
      <c r="AM942" s="13"/>
      <c r="AN942" s="13"/>
      <c r="AO942" s="13"/>
      <c r="AP942" s="13"/>
      <c r="AQ942" s="13"/>
      <c r="AR942" s="14"/>
      <c r="AS942" s="15"/>
    </row>
    <row r="943" spans="1:45" s="17" customFormat="1" ht="30.95" hidden="1" customHeight="1" x14ac:dyDescent="0.2">
      <c r="A943" s="37"/>
      <c r="B943" s="38"/>
      <c r="C943" s="45"/>
      <c r="D943" s="31"/>
      <c r="E943" s="31"/>
      <c r="F943" s="268"/>
      <c r="G943" s="269"/>
      <c r="H943" s="269"/>
      <c r="I943" s="270"/>
      <c r="J943" s="210"/>
      <c r="K943" s="270"/>
      <c r="L943" s="270"/>
      <c r="M943" s="39"/>
      <c r="N943" s="39"/>
      <c r="O943" s="156"/>
      <c r="P943" s="47"/>
      <c r="Q943" s="57"/>
      <c r="R943" s="338"/>
      <c r="S943" s="272"/>
      <c r="T943" s="273"/>
      <c r="U943" s="40"/>
      <c r="V943" s="277"/>
      <c r="W943" s="269"/>
      <c r="X943" s="269"/>
      <c r="Y943" s="275"/>
      <c r="Z943" s="269"/>
      <c r="AA943" s="57"/>
      <c r="AB943" s="207"/>
      <c r="AC943" s="33"/>
      <c r="AD943" s="189"/>
      <c r="AE943" s="54"/>
      <c r="AF943" s="55"/>
      <c r="AG943" s="43"/>
      <c r="AH943" s="339"/>
      <c r="AI943" s="30"/>
      <c r="AJ943" s="30"/>
      <c r="AK943" s="30"/>
      <c r="AL943" s="30"/>
      <c r="AM943" s="13"/>
      <c r="AN943" s="13"/>
      <c r="AO943" s="13"/>
      <c r="AP943" s="13"/>
      <c r="AQ943" s="13"/>
      <c r="AR943" s="14"/>
      <c r="AS943" s="15"/>
    </row>
    <row r="944" spans="1:45" s="17" customFormat="1" ht="30.95" hidden="1" customHeight="1" x14ac:dyDescent="0.2">
      <c r="A944" s="37"/>
      <c r="B944" s="38"/>
      <c r="C944" s="45"/>
      <c r="D944" s="31">
        <v>3721222</v>
      </c>
      <c r="E944" s="31">
        <v>4140985</v>
      </c>
      <c r="F944" s="268" t="str">
        <f>IF(D944="","",VLOOKUP(D944,契約台帳!$A$3:$K$4986,6,FALSE)&amp;VLOOKUP(D944,契約台帳!$A$3:$K$4986,7,FALSE)&amp;VLOOKUP(D944,契約台帳!$A$3:$K$4986,8,FALSE)&amp;VLOOKUP(D944,契約台帳!$A$3:$K$4986,9,FALSE)&amp;VLOOKUP(D944,契約台帳!$A$3:$K$4986,11,FALSE))</f>
        <v>33SSNMCLBTETKFV</v>
      </c>
      <c r="G944" s="269" t="str">
        <f>IF(D944="","",VLOOKUP(F944,製品マスタ!$G$5:$H$5002,2,FALSE))</f>
        <v>S</v>
      </c>
      <c r="H944" s="269" t="str">
        <f>IF(D944="","",VLOOKUP(F944,製品マスタ!$G$5:$K$5002,5,FALSE))</f>
        <v>TETKFV</v>
      </c>
      <c r="I944" s="270" t="str">
        <f>IF(D944="","",VLOOKUP(F944,製品マスタ!$G$5:$L$5002,6,FALSE))</f>
        <v>メタルミー　ＴＥＳ艶開封　Ｖ</v>
      </c>
      <c r="J944" s="210" t="s">
        <v>447</v>
      </c>
      <c r="K944" s="270">
        <f>IF(D944="","",VLOOKUP(D944,契約台帳!$A$3:$L$4986,12,FALSE))</f>
        <v>50</v>
      </c>
      <c r="L944" s="270" t="str">
        <f>IF(D944="","",INDEX(製品マスタ!$Q$5:$Q$5002,MATCH('S4'!F944&amp;'S4'!K944,製品マスタ!$AO$5:$AO$5002,0)))</f>
        <v>S28SEPA</v>
      </c>
      <c r="M944" s="39">
        <v>1005</v>
      </c>
      <c r="N944" s="39">
        <v>12300</v>
      </c>
      <c r="O944" s="156">
        <v>2</v>
      </c>
      <c r="P944" s="47">
        <v>2</v>
      </c>
      <c r="Q944" s="57"/>
      <c r="R944" s="271">
        <f ca="1">IF(D944="","",IF(OFFSET(D944,-1,0)&lt;&gt;"","",IF(OR(J944="リード付け",J944="巻足し",J944="巻返しリード付け"),M944,VLOOKUP(D944,契約台帳!$A$3:$N$4986,14,FALSE))))</f>
        <v>1005</v>
      </c>
      <c r="S944" s="272">
        <f ca="1">IF(D944="","",IF(OFFSET(D944,-1,0)&lt;&gt;"","",IF(OR(J944="リード付け",J944="巻足し",J944="巻返しリード付け"),M944,VLOOKUP(D944,契約台帳!$A$3:$O$4986,15,FALSE))))</f>
        <v>1000</v>
      </c>
      <c r="T944" s="273">
        <f ca="1">IF(D944="","",IF(J944="リード付け",N944,IF(J944="巻返しリード付け",N944,IF(J944="巻足し",N944*P944+OFFSET(N944,1,0)*OFFSET(P944,1,0),VLOOKUP(D944,契約台帳!$A$3:$P$4986,16,FALSE)))))</f>
        <v>4100</v>
      </c>
      <c r="U944" s="40">
        <v>6</v>
      </c>
      <c r="V944" s="274">
        <f ca="1">IF(D944="","",IF(OFFSET(D944,-2,0)=D944,"",VLOOKUP(D944,契約台帳!$A$3:$R$4986,18,FALSE)))</f>
        <v>6</v>
      </c>
      <c r="W944" s="269" t="str">
        <f ca="1">IF(D944="","",IF(T944="","",IF(OR(J944="巻足し",J944="巻返しリード付け"),"",IF(J944="巻返し",VLOOKUP(F944&amp;K944&amp;M944,製品マスタ!$M$5:$AD$5002,18,FALSE),IF(OR(J944="リード付け",J944="巻返しリード付け"),"原反コア",IF(J944="スリット",VLOOKUP(F944&amp;K944&amp;R944,製品マスタ!$N$5:$AD$5002,17,FALSE),""))))))</f>
        <v>6ｲﾝﾁSｺｱ</v>
      </c>
      <c r="X944" s="269">
        <f ca="1">IF(D944="","",IF(T944="","",IF(J944="巻足し","",IF(J944="巻返し",VLOOKUP(F944&amp;K944&amp;M944,製品マスタ!$M$5:$AE$5002,19,FALSE),IF(OR(J944="リード付け",J944="巻返しリード付け"),"",IF(J944="スリット",VLOOKUP(F944&amp;K944&amp;R944,製品マスタ!$N$5:$AE$5002,18,FALSE),""))))))</f>
        <v>1015</v>
      </c>
      <c r="Y944" s="275">
        <f ca="1">IF(D944="","",IF(T944="","",VLOOKUP(D944,契約台帳!$A$3:$Q$4986,17,FALSE)))</f>
        <v>2</v>
      </c>
      <c r="Z944" s="269" t="str">
        <f ca="1">IF(D944="","",IF(T944="","",VLOOKUP(D944,契約台帳!$A$3:$E$4986,5,FALSE)))</f>
        <v>リンテック㈱</v>
      </c>
      <c r="AA944" s="57"/>
      <c r="AB944" s="207"/>
      <c r="AC944" s="33"/>
      <c r="AD944" s="189"/>
      <c r="AE944" s="54"/>
      <c r="AF944" s="55"/>
      <c r="AG944" s="43"/>
      <c r="AH944" s="339"/>
      <c r="AI944" s="30"/>
      <c r="AJ944" s="30"/>
      <c r="AK944" s="30"/>
      <c r="AL944" s="30"/>
      <c r="AM944" s="13"/>
      <c r="AN944" s="13"/>
      <c r="AO944" s="13"/>
      <c r="AP944" s="13"/>
      <c r="AQ944" s="13"/>
      <c r="AR944" s="14"/>
      <c r="AS944" s="15"/>
    </row>
    <row r="945" spans="1:45" s="17" customFormat="1" ht="30.95" hidden="1" customHeight="1" x14ac:dyDescent="0.2">
      <c r="A945" s="37"/>
      <c r="B945" s="38"/>
      <c r="C945" s="45"/>
      <c r="D945" s="31"/>
      <c r="E945" s="31"/>
      <c r="F945" s="268"/>
      <c r="G945" s="269"/>
      <c r="H945" s="269"/>
      <c r="I945" s="270"/>
      <c r="J945" s="210"/>
      <c r="K945" s="270"/>
      <c r="L945" s="270"/>
      <c r="M945" s="39"/>
      <c r="N945" s="39"/>
      <c r="O945" s="156"/>
      <c r="P945" s="47"/>
      <c r="Q945" s="57"/>
      <c r="R945" s="338"/>
      <c r="S945" s="272"/>
      <c r="T945" s="273"/>
      <c r="U945" s="40"/>
      <c r="V945" s="277"/>
      <c r="W945" s="269"/>
      <c r="X945" s="269"/>
      <c r="Y945" s="275"/>
      <c r="Z945" s="269"/>
      <c r="AA945" s="57"/>
      <c r="AB945" s="207"/>
      <c r="AC945" s="33"/>
      <c r="AD945" s="189"/>
      <c r="AE945" s="54"/>
      <c r="AF945" s="55"/>
      <c r="AG945" s="43"/>
      <c r="AH945" s="339"/>
      <c r="AI945" s="30"/>
      <c r="AJ945" s="30"/>
      <c r="AK945" s="30"/>
      <c r="AL945" s="30"/>
      <c r="AM945" s="13"/>
      <c r="AN945" s="13"/>
      <c r="AO945" s="13"/>
      <c r="AP945" s="13"/>
      <c r="AQ945" s="13"/>
      <c r="AR945" s="14"/>
      <c r="AS945" s="15"/>
    </row>
    <row r="946" spans="1:45" s="17" customFormat="1" ht="30.95" hidden="1" customHeight="1" x14ac:dyDescent="0.2">
      <c r="A946" s="37"/>
      <c r="B946" s="38"/>
      <c r="C946" s="45"/>
      <c r="D946" s="31">
        <v>3721220</v>
      </c>
      <c r="E946" s="31">
        <v>4140983</v>
      </c>
      <c r="F946" s="268" t="str">
        <f>IF(D946="","",VLOOKUP(D946,契約台帳!$A$3:$K$4986,6,FALSE)&amp;VLOOKUP(D946,契約台帳!$A$3:$K$4986,7,FALSE)&amp;VLOOKUP(D946,契約台帳!$A$3:$K$4986,8,FALSE)&amp;VLOOKUP(D946,契約台帳!$A$3:$K$4986,9,FALSE)&amp;VLOOKUP(D946,契約台帳!$A$3:$K$4986,11,FALSE))</f>
        <v>33SSNMCLBTEKKFV</v>
      </c>
      <c r="G946" s="269" t="str">
        <f>IF(D946="","",VLOOKUP(F946,製品マスタ!$G$5:$H$5002,2,FALSE))</f>
        <v>S</v>
      </c>
      <c r="H946" s="269" t="str">
        <f>IF(D946="","",VLOOKUP(F946,製品マスタ!$G$5:$K$5002,5,FALSE))</f>
        <v>TEKKFV</v>
      </c>
      <c r="I946" s="270" t="str">
        <f>IF(D946="","",VLOOKUP(F946,製品マスタ!$G$5:$L$5002,6,FALSE))</f>
        <v>メタルミー　ＴＥＳ消開封　Ｖ</v>
      </c>
      <c r="J946" s="210" t="s">
        <v>447</v>
      </c>
      <c r="K946" s="270">
        <f>IF(D946="","",VLOOKUP(D946,契約台帳!$A$3:$L$4986,12,FALSE))</f>
        <v>50</v>
      </c>
      <c r="L946" s="270" t="str">
        <f>IF(D946="","",INDEX(製品マスタ!$Q$5:$Q$5002,MATCH('S4'!F946&amp;'S4'!K946,製品マスタ!$AO$5:$AO$5002,0)))</f>
        <v>X44SEPA</v>
      </c>
      <c r="M946" s="39">
        <v>1005</v>
      </c>
      <c r="N946" s="39">
        <v>12000</v>
      </c>
      <c r="O946" s="156">
        <v>1</v>
      </c>
      <c r="P946" s="47">
        <v>1</v>
      </c>
      <c r="Q946" s="57"/>
      <c r="R946" s="271">
        <f ca="1">IF(D946="","",IF(OFFSET(D946,-1,0)&lt;&gt;"","",IF(OR(J946="リード付け",J946="巻足し",J946="巻返しリード付け"),M946,VLOOKUP(D946,契約台帳!$A$3:$N$4986,14,FALSE))))</f>
        <v>1005</v>
      </c>
      <c r="S946" s="272">
        <f ca="1">IF(D946="","",IF(OFFSET(D946,-1,0)&lt;&gt;"","",IF(OR(J946="リード付け",J946="巻足し",J946="巻返しリード付け"),M946,VLOOKUP(D946,契約台帳!$A$3:$O$4986,15,FALSE))))</f>
        <v>1000</v>
      </c>
      <c r="T946" s="273">
        <f ca="1">IF(D946="","",IF(J946="リード付け",N946,IF(J946="巻返しリード付け",N946,IF(J946="巻足し",N946*P946+OFFSET(N946,1,0)*OFFSET(P946,1,0),VLOOKUP(D946,契約台帳!$A$3:$P$4986,16,FALSE)))))</f>
        <v>4000</v>
      </c>
      <c r="U946" s="40">
        <v>3</v>
      </c>
      <c r="V946" s="274">
        <f ca="1">IF(D946="","",IF(OFFSET(D946,-2,0)=D946,"",VLOOKUP(D946,契約台帳!$A$3:$R$4986,18,FALSE)))</f>
        <v>3</v>
      </c>
      <c r="W946" s="269" t="str">
        <f ca="1">IF(D946="","",IF(T946="","",IF(OR(J946="巻足し",J946="巻返しリード付け"),"",IF(J946="巻返し",VLOOKUP(F946&amp;K946&amp;M946,製品マスタ!$M$5:$AD$5002,18,FALSE),IF(OR(J946="リード付け",J946="巻返しリード付け"),"原反コア",IF(J946="スリット",VLOOKUP(F946&amp;K946&amp;R946,製品マスタ!$N$5:$AD$5002,17,FALSE),""))))))</f>
        <v>6ｲﾝﾁSｺｱ</v>
      </c>
      <c r="X946" s="269">
        <f ca="1">IF(D946="","",IF(T946="","",IF(J946="巻足し","",IF(J946="巻返し",VLOOKUP(F946&amp;K946&amp;M946,製品マスタ!$M$5:$AE$5002,19,FALSE),IF(OR(J946="リード付け",J946="巻返しリード付け"),"",IF(J946="スリット",VLOOKUP(F946&amp;K946&amp;R946,製品マスタ!$N$5:$AE$5002,18,FALSE),""))))))</f>
        <v>1015</v>
      </c>
      <c r="Y946" s="275">
        <f ca="1">IF(D946="","",IF(T946="","",VLOOKUP(D946,契約台帳!$A$3:$Q$4986,17,FALSE)))</f>
        <v>2</v>
      </c>
      <c r="Z946" s="269" t="str">
        <f ca="1">IF(D946="","",IF(T946="","",VLOOKUP(D946,契約台帳!$A$3:$E$4986,5,FALSE)))</f>
        <v>リンテック㈱</v>
      </c>
      <c r="AA946" s="57"/>
      <c r="AB946" s="207"/>
      <c r="AC946" s="33"/>
      <c r="AD946" s="189"/>
      <c r="AE946" s="54"/>
      <c r="AF946" s="55"/>
      <c r="AG946" s="43"/>
      <c r="AH946" s="339"/>
      <c r="AI946" s="30"/>
      <c r="AJ946" s="30"/>
      <c r="AK946" s="30"/>
      <c r="AL946" s="30"/>
      <c r="AM946" s="13"/>
      <c r="AN946" s="13"/>
      <c r="AO946" s="13"/>
      <c r="AP946" s="13"/>
      <c r="AQ946" s="13"/>
      <c r="AR946" s="14"/>
      <c r="AS946" s="15"/>
    </row>
    <row r="947" spans="1:45" s="17" customFormat="1" ht="30.95" hidden="1" customHeight="1" x14ac:dyDescent="0.2">
      <c r="A947" s="37"/>
      <c r="B947" s="38"/>
      <c r="C947" s="45"/>
      <c r="D947" s="31"/>
      <c r="E947" s="31"/>
      <c r="F947" s="268"/>
      <c r="G947" s="269"/>
      <c r="H947" s="269"/>
      <c r="I947" s="270"/>
      <c r="J947" s="210"/>
      <c r="K947" s="270"/>
      <c r="L947" s="270"/>
      <c r="M947" s="39"/>
      <c r="N947" s="39"/>
      <c r="O947" s="156"/>
      <c r="P947" s="47"/>
      <c r="Q947" s="57"/>
      <c r="R947" s="338"/>
      <c r="S947" s="272"/>
      <c r="T947" s="273"/>
      <c r="U947" s="40"/>
      <c r="V947" s="277"/>
      <c r="W947" s="269"/>
      <c r="X947" s="269"/>
      <c r="Y947" s="275"/>
      <c r="Z947" s="269"/>
      <c r="AA947" s="57"/>
      <c r="AB947" s="207"/>
      <c r="AC947" s="33"/>
      <c r="AD947" s="189"/>
      <c r="AE947" s="54"/>
      <c r="AF947" s="55"/>
      <c r="AG947" s="43"/>
      <c r="AH947" s="339"/>
      <c r="AI947" s="30"/>
      <c r="AJ947" s="30"/>
      <c r="AK947" s="30"/>
      <c r="AL947" s="30"/>
      <c r="AM947" s="13"/>
      <c r="AN947" s="13"/>
      <c r="AO947" s="13"/>
      <c r="AP947" s="13"/>
      <c r="AQ947" s="13"/>
      <c r="AR947" s="14"/>
      <c r="AS947" s="15"/>
    </row>
    <row r="948" spans="1:45" s="17" customFormat="1" ht="30.95" hidden="1" customHeight="1" x14ac:dyDescent="0.2">
      <c r="A948" s="37" t="s">
        <v>1420</v>
      </c>
      <c r="B948" s="38" t="s">
        <v>1409</v>
      </c>
      <c r="C948" s="45"/>
      <c r="D948" s="31">
        <v>3721221</v>
      </c>
      <c r="E948" s="31">
        <v>4140984</v>
      </c>
      <c r="F948" s="268" t="str">
        <f>IF(D948="","",VLOOKUP(D948,契約台帳!$A$3:$K$4986,6,FALSE)&amp;VLOOKUP(D948,契約台帳!$A$3:$K$4986,7,FALSE)&amp;VLOOKUP(D948,契約台帳!$A$3:$K$4986,8,FALSE)&amp;VLOOKUP(D948,契約台帳!$A$3:$K$4986,9,FALSE)&amp;VLOOKUP(D948,契約台帳!$A$3:$K$4986,11,FALSE))</f>
        <v>33SSNMCLBTEKV0V</v>
      </c>
      <c r="G948" s="269" t="str">
        <f>IF(D948="","",VLOOKUP(F948,製品マスタ!$G$5:$H$5002,2,FALSE))</f>
        <v>S</v>
      </c>
      <c r="H948" s="269" t="str">
        <f>IF(D948="","",VLOOKUP(F948,製品マスタ!$G$5:$K$5002,5,FALSE))</f>
        <v>TEKV0V</v>
      </c>
      <c r="I948" s="270" t="str">
        <f>IF(D948="","",VLOOKUP(F948,製品マスタ!$G$5:$L$5002,6,FALSE))</f>
        <v>メタルミー　ＴＥ－Ｓ消　ＶＯＩＤ　Ｖ</v>
      </c>
      <c r="J948" s="210" t="s">
        <v>447</v>
      </c>
      <c r="K948" s="270">
        <f>IF(D948="","",VLOOKUP(D948,契約台帳!$A$3:$L$4986,12,FALSE))</f>
        <v>50</v>
      </c>
      <c r="L948" s="270" t="str">
        <f>IF(D948="","",INDEX(製品マスタ!$Q$5:$Q$5002,MATCH('S4'!F948&amp;'S4'!K948,製品マスタ!$AO$5:$AO$5002,0)))</f>
        <v>X44SEPA</v>
      </c>
      <c r="M948" s="39">
        <v>1005</v>
      </c>
      <c r="N948" s="39">
        <v>12000</v>
      </c>
      <c r="O948" s="156">
        <v>4</v>
      </c>
      <c r="P948" s="47">
        <v>4</v>
      </c>
      <c r="Q948" s="57"/>
      <c r="R948" s="271">
        <f ca="1">IF(D948="","",IF(OFFSET(D948,-1,0)&lt;&gt;"","",IF(OR(J948="リード付け",J948="巻足し",J948="巻返しリード付け"),M948,VLOOKUP(D948,契約台帳!$A$3:$N$4986,14,FALSE))))</f>
        <v>1005</v>
      </c>
      <c r="S948" s="272">
        <f ca="1">IF(D948="","",IF(OFFSET(D948,-1,0)&lt;&gt;"","",IF(OR(J948="リード付け",J948="巻足し",J948="巻返しリード付け"),M948,VLOOKUP(D948,契約台帳!$A$3:$O$4986,15,FALSE))))</f>
        <v>1000</v>
      </c>
      <c r="T948" s="273">
        <f ca="1">IF(D948="","",IF(J948="リード付け",N948,IF(J948="巻返しリード付け",N948,IF(J948="巻足し",N948*P948+OFFSET(N948,1,0)*OFFSET(P948,1,0),VLOOKUP(D948,契約台帳!$A$3:$P$4986,16,FALSE)))))</f>
        <v>4000</v>
      </c>
      <c r="U948" s="40">
        <v>12</v>
      </c>
      <c r="V948" s="274">
        <f ca="1">IF(D948="","",IF(OFFSET(D948,-2,0)=D948,"",VLOOKUP(D948,契約台帳!$A$3:$R$4986,18,FALSE)))</f>
        <v>12</v>
      </c>
      <c r="W948" s="269" t="str">
        <f ca="1">IF(D948="","",IF(T948="","",IF(OR(J948="巻足し",J948="巻返しリード付け"),"",IF(J948="巻返し",VLOOKUP(F948&amp;K948&amp;M948,製品マスタ!$M$5:$AD$5002,18,FALSE),IF(OR(J948="リード付け",J948="巻返しリード付け"),"原反コア",IF(J948="スリット",VLOOKUP(F948&amp;K948&amp;R948,製品マスタ!$N$5:$AD$5002,17,FALSE),""))))))</f>
        <v>6ｲﾝﾁSｺｱ</v>
      </c>
      <c r="X948" s="269">
        <f ca="1">IF(D948="","",IF(T948="","",IF(J948="巻足し","",IF(J948="巻返し",VLOOKUP(F948&amp;K948&amp;M948,製品マスタ!$M$5:$AE$5002,19,FALSE),IF(OR(J948="リード付け",J948="巻返しリード付け"),"",IF(J948="スリット",VLOOKUP(F948&amp;K948&amp;R948,製品マスタ!$N$5:$AE$5002,18,FALSE),""))))))</f>
        <v>1015</v>
      </c>
      <c r="Y948" s="275">
        <f ca="1">IF(D948="","",IF(T948="","",VLOOKUP(D948,契約台帳!$A$3:$Q$4986,17,FALSE)))</f>
        <v>2</v>
      </c>
      <c r="Z948" s="269" t="str">
        <f ca="1">IF(D948="","",IF(T948="","",VLOOKUP(D948,契約台帳!$A$3:$E$4986,5,FALSE)))</f>
        <v>リンテック㈱</v>
      </c>
      <c r="AA948" s="57"/>
      <c r="AB948" s="207"/>
      <c r="AC948" s="33"/>
      <c r="AD948" s="189"/>
      <c r="AE948" s="54"/>
      <c r="AF948" s="55"/>
      <c r="AG948" s="43"/>
      <c r="AH948" s="339"/>
      <c r="AI948" s="30"/>
      <c r="AJ948" s="30"/>
      <c r="AK948" s="30"/>
      <c r="AL948" s="30"/>
      <c r="AM948" s="13"/>
      <c r="AN948" s="13"/>
      <c r="AO948" s="13"/>
      <c r="AP948" s="13"/>
      <c r="AQ948" s="13"/>
      <c r="AR948" s="14"/>
      <c r="AS948" s="15"/>
    </row>
    <row r="949" spans="1:45" s="17" customFormat="1" ht="30.95" hidden="1" customHeight="1" x14ac:dyDescent="0.2">
      <c r="A949" s="37"/>
      <c r="B949" s="38"/>
      <c r="C949" s="45"/>
      <c r="D949" s="31"/>
      <c r="E949" s="31"/>
      <c r="F949" s="268"/>
      <c r="G949" s="269"/>
      <c r="H949" s="269"/>
      <c r="I949" s="270"/>
      <c r="J949" s="210"/>
      <c r="K949" s="270"/>
      <c r="L949" s="270"/>
      <c r="M949" s="39"/>
      <c r="N949" s="39"/>
      <c r="O949" s="156"/>
      <c r="P949" s="47"/>
      <c r="Q949" s="57"/>
      <c r="R949" s="338"/>
      <c r="S949" s="272"/>
      <c r="T949" s="273"/>
      <c r="U949" s="40"/>
      <c r="V949" s="277"/>
      <c r="W949" s="269"/>
      <c r="X949" s="269"/>
      <c r="Y949" s="275"/>
      <c r="Z949" s="269"/>
      <c r="AA949" s="57"/>
      <c r="AB949" s="207"/>
      <c r="AC949" s="33"/>
      <c r="AD949" s="189"/>
      <c r="AE949" s="54"/>
      <c r="AF949" s="55"/>
      <c r="AG949" s="43"/>
      <c r="AH949" s="339"/>
      <c r="AI949" s="30"/>
      <c r="AJ949" s="30"/>
      <c r="AK949" s="30"/>
      <c r="AL949" s="30"/>
      <c r="AM949" s="13"/>
      <c r="AN949" s="13"/>
      <c r="AO949" s="13"/>
      <c r="AP949" s="13"/>
      <c r="AQ949" s="13"/>
      <c r="AR949" s="14"/>
      <c r="AS949" s="15"/>
    </row>
    <row r="950" spans="1:45" s="17" customFormat="1" ht="30.95" hidden="1" customHeight="1" x14ac:dyDescent="0.2">
      <c r="A950" s="37" t="s">
        <v>1421</v>
      </c>
      <c r="B950" s="38" t="s">
        <v>1397</v>
      </c>
      <c r="C950" s="45"/>
      <c r="D950" s="31"/>
      <c r="E950" s="31"/>
      <c r="F950" s="268"/>
      <c r="G950" s="269"/>
      <c r="H950" s="269"/>
      <c r="I950" s="270"/>
      <c r="J950" s="210" t="s">
        <v>1428</v>
      </c>
      <c r="K950" s="270"/>
      <c r="L950" s="270"/>
      <c r="M950" s="39"/>
      <c r="N950" s="39"/>
      <c r="O950" s="156"/>
      <c r="P950" s="47"/>
      <c r="Q950" s="57"/>
      <c r="R950" s="338"/>
      <c r="S950" s="272"/>
      <c r="T950" s="273"/>
      <c r="U950" s="40"/>
      <c r="V950" s="277"/>
      <c r="W950" s="269"/>
      <c r="X950" s="269"/>
      <c r="Y950" s="275"/>
      <c r="Z950" s="269"/>
      <c r="AA950" s="57"/>
      <c r="AB950" s="207"/>
      <c r="AC950" s="33"/>
      <c r="AD950" s="189"/>
      <c r="AE950" s="54"/>
      <c r="AF950" s="55"/>
      <c r="AG950" s="43"/>
      <c r="AH950" s="339"/>
      <c r="AI950" s="30"/>
      <c r="AJ950" s="30"/>
      <c r="AK950" s="30"/>
      <c r="AL950" s="30"/>
      <c r="AM950" s="13"/>
      <c r="AN950" s="13"/>
      <c r="AO950" s="13"/>
      <c r="AP950" s="13"/>
      <c r="AQ950" s="13"/>
      <c r="AR950" s="14"/>
      <c r="AS950" s="15"/>
    </row>
    <row r="951" spans="1:45" s="17" customFormat="1" ht="30.95" hidden="1" customHeight="1" x14ac:dyDescent="0.2">
      <c r="A951" s="37"/>
      <c r="B951" s="38"/>
      <c r="C951" s="45"/>
      <c r="D951" s="31"/>
      <c r="E951" s="31"/>
      <c r="F951" s="268"/>
      <c r="G951" s="269"/>
      <c r="H951" s="269"/>
      <c r="I951" s="270"/>
      <c r="J951" s="210"/>
      <c r="K951" s="270"/>
      <c r="L951" s="270"/>
      <c r="M951" s="39"/>
      <c r="N951" s="39"/>
      <c r="O951" s="156"/>
      <c r="P951" s="47"/>
      <c r="Q951" s="57"/>
      <c r="R951" s="338"/>
      <c r="S951" s="272"/>
      <c r="T951" s="273"/>
      <c r="U951" s="40"/>
      <c r="V951" s="277"/>
      <c r="W951" s="269"/>
      <c r="X951" s="269"/>
      <c r="Y951" s="275"/>
      <c r="Z951" s="269"/>
      <c r="AA951" s="57"/>
      <c r="AB951" s="207"/>
      <c r="AC951" s="33"/>
      <c r="AD951" s="189"/>
      <c r="AE951" s="54"/>
      <c r="AF951" s="55"/>
      <c r="AG951" s="43"/>
      <c r="AH951" s="339"/>
      <c r="AI951" s="30"/>
      <c r="AJ951" s="30"/>
      <c r="AK951" s="30"/>
      <c r="AL951" s="30"/>
      <c r="AM951" s="13"/>
      <c r="AN951" s="13"/>
      <c r="AO951" s="13"/>
      <c r="AP951" s="13"/>
      <c r="AQ951" s="13"/>
      <c r="AR951" s="14"/>
      <c r="AS951" s="15"/>
    </row>
    <row r="952" spans="1:45" s="17" customFormat="1" ht="30.95" hidden="1" customHeight="1" x14ac:dyDescent="0.2">
      <c r="A952" s="37" t="s">
        <v>1422</v>
      </c>
      <c r="B952" s="38" t="s">
        <v>392</v>
      </c>
      <c r="C952" s="45"/>
      <c r="D952" s="31"/>
      <c r="E952" s="31"/>
      <c r="F952" s="268"/>
      <c r="G952" s="269"/>
      <c r="H952" s="269"/>
      <c r="I952" s="270"/>
      <c r="J952" s="210" t="s">
        <v>1428</v>
      </c>
      <c r="K952" s="270"/>
      <c r="L952" s="270"/>
      <c r="M952" s="39"/>
      <c r="N952" s="39"/>
      <c r="O952" s="156"/>
      <c r="P952" s="47"/>
      <c r="Q952" s="57"/>
      <c r="R952" s="338"/>
      <c r="S952" s="272"/>
      <c r="T952" s="273"/>
      <c r="U952" s="40"/>
      <c r="V952" s="277"/>
      <c r="W952" s="269"/>
      <c r="X952" s="269"/>
      <c r="Y952" s="275"/>
      <c r="Z952" s="269"/>
      <c r="AA952" s="57"/>
      <c r="AB952" s="207"/>
      <c r="AC952" s="33"/>
      <c r="AD952" s="189"/>
      <c r="AE952" s="54"/>
      <c r="AF952" s="55"/>
      <c r="AG952" s="43"/>
      <c r="AH952" s="339"/>
      <c r="AI952" s="30"/>
      <c r="AJ952" s="30"/>
      <c r="AK952" s="30"/>
      <c r="AL952" s="30"/>
      <c r="AM952" s="13"/>
      <c r="AN952" s="13"/>
      <c r="AO952" s="13"/>
      <c r="AP952" s="13"/>
      <c r="AQ952" s="13"/>
      <c r="AR952" s="14"/>
      <c r="AS952" s="15"/>
    </row>
    <row r="953" spans="1:45" s="17" customFormat="1" ht="30.95" hidden="1" customHeight="1" x14ac:dyDescent="0.2">
      <c r="A953" s="37"/>
      <c r="B953" s="38"/>
      <c r="C953" s="45"/>
      <c r="D953" s="31"/>
      <c r="E953" s="31"/>
      <c r="F953" s="268"/>
      <c r="G953" s="269"/>
      <c r="H953" s="269"/>
      <c r="I953" s="270"/>
      <c r="J953" s="210"/>
      <c r="K953" s="270"/>
      <c r="L953" s="270"/>
      <c r="M953" s="39"/>
      <c r="N953" s="39"/>
      <c r="O953" s="156"/>
      <c r="P953" s="47"/>
      <c r="Q953" s="57"/>
      <c r="R953" s="338"/>
      <c r="S953" s="272"/>
      <c r="T953" s="273"/>
      <c r="U953" s="40"/>
      <c r="V953" s="277"/>
      <c r="W953" s="269"/>
      <c r="X953" s="269"/>
      <c r="Y953" s="275"/>
      <c r="Z953" s="269"/>
      <c r="AA953" s="57"/>
      <c r="AB953" s="207"/>
      <c r="AC953" s="33"/>
      <c r="AD953" s="189"/>
      <c r="AE953" s="54"/>
      <c r="AF953" s="55"/>
      <c r="AG953" s="43"/>
      <c r="AH953" s="339"/>
      <c r="AI953" s="30"/>
      <c r="AJ953" s="30"/>
      <c r="AK953" s="30"/>
      <c r="AL953" s="30"/>
      <c r="AM953" s="13"/>
      <c r="AN953" s="13"/>
      <c r="AO953" s="13"/>
      <c r="AP953" s="13"/>
      <c r="AQ953" s="13"/>
      <c r="AR953" s="14"/>
      <c r="AS953" s="15"/>
    </row>
    <row r="954" spans="1:45" s="17" customFormat="1" ht="30.75" hidden="1" customHeight="1" x14ac:dyDescent="0.2">
      <c r="A954" s="37" t="s">
        <v>1423</v>
      </c>
      <c r="B954" s="38" t="s">
        <v>1402</v>
      </c>
      <c r="C954" s="45"/>
      <c r="D954" s="31"/>
      <c r="E954" s="31"/>
      <c r="F954" s="268"/>
      <c r="G954" s="269"/>
      <c r="H954" s="269"/>
      <c r="I954" s="270"/>
      <c r="J954" s="210" t="s">
        <v>1429</v>
      </c>
      <c r="K954" s="270"/>
      <c r="L954" s="270"/>
      <c r="M954" s="39"/>
      <c r="N954" s="39"/>
      <c r="O954" s="156"/>
      <c r="P954" s="47"/>
      <c r="Q954" s="57"/>
      <c r="R954" s="338"/>
      <c r="S954" s="272"/>
      <c r="T954" s="273"/>
      <c r="U954" s="40"/>
      <c r="V954" s="277"/>
      <c r="W954" s="269"/>
      <c r="X954" s="269"/>
      <c r="Y954" s="275"/>
      <c r="Z954" s="269"/>
      <c r="AA954" s="57"/>
      <c r="AB954" s="207"/>
      <c r="AC954" s="33"/>
      <c r="AD954" s="189"/>
      <c r="AE954" s="54"/>
      <c r="AF954" s="55"/>
      <c r="AG954" s="43"/>
      <c r="AH954" s="339"/>
      <c r="AI954" s="30"/>
      <c r="AJ954" s="30"/>
      <c r="AK954" s="30"/>
      <c r="AL954" s="30"/>
      <c r="AM954" s="13"/>
      <c r="AN954" s="13"/>
      <c r="AO954" s="13"/>
      <c r="AP954" s="13"/>
      <c r="AQ954" s="13"/>
      <c r="AR954" s="14"/>
      <c r="AS954" s="15"/>
    </row>
    <row r="955" spans="1:45" s="17" customFormat="1" ht="30.75" hidden="1" customHeight="1" x14ac:dyDescent="0.2">
      <c r="A955" s="37"/>
      <c r="B955" s="38"/>
      <c r="C955" s="45"/>
      <c r="D955" s="31"/>
      <c r="E955" s="31"/>
      <c r="F955" s="268"/>
      <c r="G955" s="269"/>
      <c r="H955" s="269"/>
      <c r="I955" s="270"/>
      <c r="J955" s="210"/>
      <c r="K955" s="270"/>
      <c r="L955" s="270"/>
      <c r="M955" s="39"/>
      <c r="N955" s="39"/>
      <c r="O955" s="156"/>
      <c r="P955" s="47"/>
      <c r="Q955" s="57"/>
      <c r="R955" s="338"/>
      <c r="S955" s="272"/>
      <c r="T955" s="273"/>
      <c r="U955" s="40"/>
      <c r="V955" s="277"/>
      <c r="W955" s="269"/>
      <c r="X955" s="269"/>
      <c r="Y955" s="275"/>
      <c r="Z955" s="269"/>
      <c r="AA955" s="57"/>
      <c r="AB955" s="207"/>
      <c r="AC955" s="33"/>
      <c r="AD955" s="189"/>
      <c r="AE955" s="54"/>
      <c r="AF955" s="55"/>
      <c r="AG955" s="43"/>
      <c r="AH955" s="339"/>
      <c r="AI955" s="30"/>
      <c r="AJ955" s="30"/>
      <c r="AK955" s="30"/>
      <c r="AL955" s="30"/>
      <c r="AM955" s="13"/>
      <c r="AN955" s="13"/>
      <c r="AO955" s="13"/>
      <c r="AP955" s="13"/>
      <c r="AQ955" s="13"/>
      <c r="AR955" s="14"/>
      <c r="AS955" s="15"/>
    </row>
    <row r="956" spans="1:45" s="17" customFormat="1" ht="30.95" hidden="1" customHeight="1" x14ac:dyDescent="0.2">
      <c r="A956" s="37" t="s">
        <v>1424</v>
      </c>
      <c r="B956" s="38" t="s">
        <v>1405</v>
      </c>
      <c r="C956" s="45"/>
      <c r="D956" s="31"/>
      <c r="E956" s="31"/>
      <c r="F956" s="268"/>
      <c r="G956" s="269"/>
      <c r="H956" s="269"/>
      <c r="I956" s="270"/>
      <c r="J956" s="210" t="s">
        <v>1429</v>
      </c>
      <c r="K956" s="270"/>
      <c r="L956" s="270"/>
      <c r="M956" s="39"/>
      <c r="N956" s="39"/>
      <c r="O956" s="156"/>
      <c r="P956" s="47"/>
      <c r="Q956" s="57"/>
      <c r="R956" s="338"/>
      <c r="S956" s="272"/>
      <c r="T956" s="273"/>
      <c r="U956" s="40"/>
      <c r="V956" s="277"/>
      <c r="W956" s="269"/>
      <c r="X956" s="269"/>
      <c r="Y956" s="275"/>
      <c r="Z956" s="269"/>
      <c r="AA956" s="57"/>
      <c r="AB956" s="207"/>
      <c r="AC956" s="33"/>
      <c r="AD956" s="189"/>
      <c r="AE956" s="54"/>
      <c r="AF956" s="55"/>
      <c r="AG956" s="43"/>
      <c r="AH956" s="339"/>
      <c r="AI956" s="30"/>
      <c r="AJ956" s="30"/>
      <c r="AK956" s="30"/>
      <c r="AL956" s="30"/>
      <c r="AM956" s="13"/>
      <c r="AN956" s="13"/>
      <c r="AO956" s="13"/>
      <c r="AP956" s="13"/>
      <c r="AQ956" s="13"/>
      <c r="AR956" s="14"/>
      <c r="AS956" s="15"/>
    </row>
    <row r="957" spans="1:45" s="17" customFormat="1" ht="30.95" hidden="1" customHeight="1" x14ac:dyDescent="0.2">
      <c r="A957" s="37"/>
      <c r="B957" s="38"/>
      <c r="C957" s="45"/>
      <c r="D957" s="31"/>
      <c r="E957" s="31"/>
      <c r="F957" s="268"/>
      <c r="G957" s="269"/>
      <c r="H957" s="269"/>
      <c r="I957" s="270"/>
      <c r="J957" s="210"/>
      <c r="K957" s="270"/>
      <c r="L957" s="270"/>
      <c r="M957" s="39"/>
      <c r="N957" s="39"/>
      <c r="O957" s="156"/>
      <c r="P957" s="47"/>
      <c r="Q957" s="57"/>
      <c r="R957" s="338"/>
      <c r="S957" s="272"/>
      <c r="T957" s="273"/>
      <c r="U957" s="40"/>
      <c r="V957" s="277"/>
      <c r="W957" s="269"/>
      <c r="X957" s="269"/>
      <c r="Y957" s="275"/>
      <c r="Z957" s="269"/>
      <c r="AA957" s="57"/>
      <c r="AB957" s="207"/>
      <c r="AC957" s="33"/>
      <c r="AD957" s="189"/>
      <c r="AE957" s="54"/>
      <c r="AF957" s="55"/>
      <c r="AG957" s="43"/>
      <c r="AH957" s="339"/>
      <c r="AI957" s="30"/>
      <c r="AJ957" s="30"/>
      <c r="AK957" s="30"/>
      <c r="AL957" s="30"/>
      <c r="AM957" s="13"/>
      <c r="AN957" s="13"/>
      <c r="AO957" s="13"/>
      <c r="AP957" s="13"/>
      <c r="AQ957" s="13"/>
      <c r="AR957" s="14"/>
      <c r="AS957" s="15"/>
    </row>
    <row r="958" spans="1:45" s="17" customFormat="1" ht="30.95" hidden="1" customHeight="1" x14ac:dyDescent="0.2">
      <c r="A958" s="37" t="s">
        <v>1425</v>
      </c>
      <c r="B958" s="38" t="s">
        <v>1412</v>
      </c>
      <c r="C958" s="45"/>
      <c r="D958" s="31"/>
      <c r="E958" s="31"/>
      <c r="F958" s="268"/>
      <c r="G958" s="269"/>
      <c r="H958" s="269"/>
      <c r="I958" s="270"/>
      <c r="J958" s="210" t="s">
        <v>1430</v>
      </c>
      <c r="K958" s="270"/>
      <c r="L958" s="270"/>
      <c r="M958" s="39"/>
      <c r="N958" s="39"/>
      <c r="O958" s="156"/>
      <c r="P958" s="47"/>
      <c r="Q958" s="57"/>
      <c r="R958" s="338"/>
      <c r="S958" s="272"/>
      <c r="T958" s="273"/>
      <c r="U958" s="40"/>
      <c r="V958" s="277"/>
      <c r="W958" s="269"/>
      <c r="X958" s="269"/>
      <c r="Y958" s="275"/>
      <c r="Z958" s="269"/>
      <c r="AA958" s="57"/>
      <c r="AB958" s="207"/>
      <c r="AC958" s="33"/>
      <c r="AD958" s="189"/>
      <c r="AE958" s="54"/>
      <c r="AF958" s="55"/>
      <c r="AG958" s="43"/>
      <c r="AH958" s="339"/>
      <c r="AI958" s="30"/>
      <c r="AJ958" s="30"/>
      <c r="AK958" s="30"/>
      <c r="AL958" s="30"/>
      <c r="AM958" s="13"/>
      <c r="AN958" s="13"/>
      <c r="AO958" s="13"/>
      <c r="AP958" s="13"/>
      <c r="AQ958" s="13"/>
      <c r="AR958" s="14"/>
      <c r="AS958" s="15"/>
    </row>
    <row r="959" spans="1:45" s="17" customFormat="1" ht="30.95" hidden="1" customHeight="1" x14ac:dyDescent="0.2">
      <c r="A959" s="37"/>
      <c r="B959" s="38"/>
      <c r="C959" s="45"/>
      <c r="D959" s="31"/>
      <c r="E959" s="31"/>
      <c r="F959" s="268"/>
      <c r="G959" s="269"/>
      <c r="H959" s="269"/>
      <c r="I959" s="270"/>
      <c r="J959" s="210"/>
      <c r="K959" s="270"/>
      <c r="L959" s="270"/>
      <c r="M959" s="39"/>
      <c r="N959" s="39"/>
      <c r="O959" s="156"/>
      <c r="P959" s="47"/>
      <c r="Q959" s="57"/>
      <c r="R959" s="338"/>
      <c r="S959" s="272"/>
      <c r="T959" s="273"/>
      <c r="U959" s="40"/>
      <c r="V959" s="277"/>
      <c r="W959" s="269"/>
      <c r="X959" s="269"/>
      <c r="Y959" s="275"/>
      <c r="Z959" s="269"/>
      <c r="AA959" s="57"/>
      <c r="AB959" s="207"/>
      <c r="AC959" s="33"/>
      <c r="AD959" s="189"/>
      <c r="AE959" s="54"/>
      <c r="AF959" s="55"/>
      <c r="AG959" s="43"/>
      <c r="AH959" s="339"/>
      <c r="AI959" s="30"/>
      <c r="AJ959" s="30"/>
      <c r="AK959" s="30"/>
      <c r="AL959" s="30"/>
      <c r="AM959" s="13"/>
      <c r="AN959" s="13"/>
      <c r="AO959" s="13"/>
      <c r="AP959" s="13"/>
      <c r="AQ959" s="13"/>
      <c r="AR959" s="14"/>
      <c r="AS959" s="15"/>
    </row>
    <row r="960" spans="1:45" s="17" customFormat="1" ht="30.95" hidden="1" customHeight="1" x14ac:dyDescent="0.2">
      <c r="A960" s="37" t="s">
        <v>1426</v>
      </c>
      <c r="B960" s="38" t="s">
        <v>1408</v>
      </c>
      <c r="C960" s="45"/>
      <c r="D960" s="31"/>
      <c r="E960" s="31"/>
      <c r="F960" s="268"/>
      <c r="G960" s="269"/>
      <c r="H960" s="269"/>
      <c r="I960" s="270"/>
      <c r="J960" s="210" t="s">
        <v>1430</v>
      </c>
      <c r="K960" s="270"/>
      <c r="L960" s="270"/>
      <c r="M960" s="39"/>
      <c r="N960" s="39"/>
      <c r="O960" s="156"/>
      <c r="P960" s="47"/>
      <c r="Q960" s="57"/>
      <c r="R960" s="338"/>
      <c r="S960" s="272"/>
      <c r="T960" s="273"/>
      <c r="U960" s="40"/>
      <c r="V960" s="277"/>
      <c r="W960" s="269"/>
      <c r="X960" s="269"/>
      <c r="Y960" s="275"/>
      <c r="Z960" s="269"/>
      <c r="AA960" s="57"/>
      <c r="AB960" s="207"/>
      <c r="AC960" s="33"/>
      <c r="AD960" s="189"/>
      <c r="AE960" s="54"/>
      <c r="AF960" s="55"/>
      <c r="AG960" s="43"/>
      <c r="AH960" s="339"/>
      <c r="AI960" s="30"/>
      <c r="AJ960" s="30"/>
      <c r="AK960" s="30"/>
      <c r="AL960" s="30"/>
      <c r="AM960" s="13"/>
      <c r="AN960" s="13"/>
      <c r="AO960" s="13"/>
      <c r="AP960" s="13"/>
      <c r="AQ960" s="13"/>
      <c r="AR960" s="14"/>
      <c r="AS960" s="15"/>
    </row>
    <row r="961" spans="1:45" s="17" customFormat="1" ht="30.95" hidden="1" customHeight="1" x14ac:dyDescent="0.2">
      <c r="A961" s="37"/>
      <c r="B961" s="38"/>
      <c r="C961" s="45"/>
      <c r="D961" s="31"/>
      <c r="E961" s="31"/>
      <c r="F961" s="268"/>
      <c r="G961" s="269"/>
      <c r="H961" s="269"/>
      <c r="I961" s="270"/>
      <c r="J961" s="210"/>
      <c r="K961" s="270"/>
      <c r="L961" s="270"/>
      <c r="M961" s="39"/>
      <c r="N961" s="39"/>
      <c r="O961" s="156"/>
      <c r="P961" s="47"/>
      <c r="Q961" s="57"/>
      <c r="R961" s="338"/>
      <c r="S961" s="272"/>
      <c r="T961" s="273"/>
      <c r="U961" s="40"/>
      <c r="V961" s="277"/>
      <c r="W961" s="269"/>
      <c r="X961" s="269"/>
      <c r="Y961" s="275"/>
      <c r="Z961" s="269"/>
      <c r="AA961" s="57"/>
      <c r="AB961" s="207"/>
      <c r="AC961" s="33"/>
      <c r="AD961" s="189"/>
      <c r="AE961" s="54"/>
      <c r="AF961" s="55"/>
      <c r="AG961" s="43"/>
      <c r="AH961" s="339"/>
      <c r="AI961" s="30"/>
      <c r="AJ961" s="30"/>
      <c r="AK961" s="30"/>
      <c r="AL961" s="30"/>
      <c r="AM961" s="13"/>
      <c r="AN961" s="13"/>
      <c r="AO961" s="13"/>
      <c r="AP961" s="13"/>
      <c r="AQ961" s="13"/>
      <c r="AR961" s="14"/>
      <c r="AS961" s="15"/>
    </row>
    <row r="962" spans="1:45" s="17" customFormat="1" ht="30.95" hidden="1" customHeight="1" x14ac:dyDescent="0.2">
      <c r="A962" s="37" t="s">
        <v>546</v>
      </c>
      <c r="B962" s="38" t="s">
        <v>444</v>
      </c>
      <c r="C962" s="45"/>
      <c r="D962" s="31">
        <v>3723644</v>
      </c>
      <c r="E962" s="31">
        <v>4162054</v>
      </c>
      <c r="F962" s="268" t="str">
        <f>IF(D962="","",VLOOKUP(D962,契約台帳!$A$3:$K$4986,6,FALSE)&amp;VLOOKUP(D962,契約台帳!$A$3:$K$4986,7,FALSE)&amp;VLOOKUP(D962,契約台帳!$A$3:$K$4986,8,FALSE)&amp;VLOOKUP(D962,契約台帳!$A$3:$K$4986,9,FALSE)&amp;VLOOKUP(D962,契約台帳!$A$3:$K$4986,11,FALSE))</f>
        <v>3SNMLBMNQR66F</v>
      </c>
      <c r="G962" s="269" t="str">
        <f>IF(D962="","",VLOOKUP(F962,製品マスタ!$G$5:$H$5002,2,FALSE))</f>
        <v>S</v>
      </c>
      <c r="H962" s="269" t="str">
        <f>IF(D962="","",VLOOKUP(F962,製品マスタ!$G$5:$K$5002,5,FALSE))</f>
        <v>MNQR66F</v>
      </c>
      <c r="I962" s="270" t="str">
        <f>IF(D962="","",VLOOKUP(F962,製品マスタ!$G$5:$L$5002,6,FALSE))</f>
        <v>ＱＲ６６蒸着品</v>
      </c>
      <c r="J962" s="210" t="s">
        <v>935</v>
      </c>
      <c r="K962" s="270">
        <f>IF(D962="","",VLOOKUP(D962,契約台帳!$A$3:$L$4986,12,FALSE))</f>
        <v>25</v>
      </c>
      <c r="L962" s="270" t="str">
        <f>IF(D962="","",INDEX(製品マスタ!$Q$5:$Q$5002,MATCH('S4'!F962&amp;'S4'!K962,製品マスタ!$AO$5:$AO$5002,0)))</f>
        <v>E315</v>
      </c>
      <c r="M962" s="39">
        <v>1100</v>
      </c>
      <c r="N962" s="39">
        <v>6000</v>
      </c>
      <c r="O962" s="156">
        <v>6</v>
      </c>
      <c r="P962" s="47">
        <v>3</v>
      </c>
      <c r="Q962" s="213">
        <v>45170</v>
      </c>
      <c r="R962" s="271">
        <f ca="1">IF(D962="","",IF(OFFSET(D962,-1,0)&lt;&gt;"","",IF(OR(J962="リード付け",J962="巻足し",J962="巻返しリード付け"),M962,VLOOKUP(D962,契約台帳!$A$3:$N$4986,14,FALSE))))</f>
        <v>1100</v>
      </c>
      <c r="S962" s="272">
        <f ca="1">IF(D962="","",IF(OFFSET(D962,-1,0)&lt;&gt;"","",IF(OR(J962="リード付け",J962="巻足し",J962="巻返しリード付け"),M962,VLOOKUP(D962,契約台帳!$A$3:$O$4986,15,FALSE))))</f>
        <v>1100</v>
      </c>
      <c r="T962" s="273">
        <f ca="1">IF(D962="","",IF(J962="リード付け",N962,IF(J962="巻返しリード付け",N962,IF(J962="巻足し",N962*P962+OFFSET(N962,1,0)*OFFSET(P962,1,0),VLOOKUP(D962,契約台帳!$A$3:$P$4986,16,FALSE)))))</f>
        <v>18000</v>
      </c>
      <c r="U962" s="40">
        <v>2</v>
      </c>
      <c r="V962" s="274">
        <f ca="1">IF(D962="","",IF(OFFSET(D962,-2,0)=D962,"",VLOOKUP(D962,契約台帳!$A$3:$R$4986,18,FALSE)))</f>
        <v>6</v>
      </c>
      <c r="W962" s="269" t="str">
        <f ca="1">IF(D962="","",IF(T962="","",IF(OR(J962="巻足し",J962="巻返しリード付け"),"",IF(J962="巻返し",VLOOKUP(F962&amp;K962&amp;M962,製品マスタ!$M$5:$AD$5002,18,FALSE),IF(OR(J962="リード付け",J962="巻返しリード付け"),"原反コア",IF(J962="スリット",VLOOKUP(F962&amp;K962&amp;R962,製品マスタ!$N$5:$AD$5002,17,FALSE),""))))))</f>
        <v/>
      </c>
      <c r="X962" s="269" t="str">
        <f ca="1">IF(D962="","",IF(T962="","",IF(J962="巻足し","",IF(J962="巻返し",VLOOKUP(F962&amp;K962&amp;M962,製品マスタ!$M$5:$AE$5002,19,FALSE),IF(OR(J962="リード付け",J962="巻返しリード付け"),"",IF(J962="スリット",VLOOKUP(F962&amp;K962&amp;R962,製品マスタ!$N$5:$AE$5002,18,FALSE),""))))))</f>
        <v/>
      </c>
      <c r="Y962" s="275">
        <f ca="1">IF(D962="","",IF(T962="","",VLOOKUP(D962,契約台帳!$A$3:$Q$4986,17,FALSE)))</f>
        <v>2</v>
      </c>
      <c r="Z962" s="269" t="str">
        <f ca="1">IF(D962="","",IF(T962="","",VLOOKUP(D962,契約台帳!$A$3:$E$4986,5,FALSE)))</f>
        <v>リンテック㈱</v>
      </c>
      <c r="AA962" s="57"/>
      <c r="AB962" s="207" t="str">
        <f>IFERROR((VLOOKUP(F962&amp;K962&amp;M962,製品マスタ!$M$5:$AM$5002,27,FALSE)),"")</f>
        <v>原反ケース再利用</v>
      </c>
      <c r="AC962" s="33"/>
      <c r="AD962" s="189"/>
      <c r="AE962" s="54"/>
      <c r="AF962" s="55">
        <f>+M962*N962*O962/1000</f>
        <v>39600</v>
      </c>
      <c r="AG962" s="43"/>
      <c r="AH962" s="47"/>
      <c r="AI962" s="30"/>
      <c r="AJ962" s="30"/>
      <c r="AK962" s="30"/>
      <c r="AL962" s="30"/>
      <c r="AM962" s="13"/>
      <c r="AN962" s="13"/>
      <c r="AO962" s="13"/>
      <c r="AP962" s="13"/>
      <c r="AQ962" s="13"/>
      <c r="AR962" s="14"/>
      <c r="AS962" s="15"/>
    </row>
    <row r="963" spans="1:45" s="17" customFormat="1" ht="30.95" hidden="1" customHeight="1" x14ac:dyDescent="0.2">
      <c r="A963" s="37"/>
      <c r="B963" s="38"/>
      <c r="C963" s="45"/>
      <c r="D963" s="31"/>
      <c r="E963" s="31"/>
      <c r="F963" s="268"/>
      <c r="G963" s="269"/>
      <c r="H963" s="269"/>
      <c r="I963" s="270"/>
      <c r="J963" s="210"/>
      <c r="K963" s="270"/>
      <c r="L963" s="270"/>
      <c r="M963" s="39"/>
      <c r="N963" s="39"/>
      <c r="O963" s="156"/>
      <c r="P963" s="47"/>
      <c r="Q963" s="57"/>
      <c r="R963" s="338"/>
      <c r="S963" s="272"/>
      <c r="T963" s="273"/>
      <c r="U963" s="40"/>
      <c r="V963" s="277"/>
      <c r="W963" s="269"/>
      <c r="X963" s="269"/>
      <c r="Y963" s="275"/>
      <c r="Z963" s="269"/>
      <c r="AA963" s="57"/>
      <c r="AB963" s="207"/>
      <c r="AC963" s="33"/>
      <c r="AD963" s="189"/>
      <c r="AE963" s="54"/>
      <c r="AF963" s="55"/>
      <c r="AG963" s="43"/>
      <c r="AH963" s="339"/>
      <c r="AI963" s="30"/>
      <c r="AJ963" s="30"/>
      <c r="AK963" s="30"/>
      <c r="AL963" s="30"/>
      <c r="AM963" s="13"/>
      <c r="AN963" s="13"/>
      <c r="AO963" s="13"/>
      <c r="AP963" s="13"/>
      <c r="AQ963" s="13"/>
      <c r="AR963" s="14"/>
      <c r="AS963" s="15"/>
    </row>
    <row r="964" spans="1:45" s="17" customFormat="1" ht="30.95" hidden="1" customHeight="1" x14ac:dyDescent="0.2">
      <c r="A964" s="37"/>
      <c r="B964" s="38"/>
      <c r="C964" s="45"/>
      <c r="D964" s="31">
        <v>3723643</v>
      </c>
      <c r="E964" s="31">
        <v>4162053</v>
      </c>
      <c r="F964" s="268" t="str">
        <f>IF(D964="","",VLOOKUP(D964,契約台帳!$A$3:$K$4986,6,FALSE)&amp;VLOOKUP(D964,契約台帳!$A$3:$K$4986,7,FALSE)&amp;VLOOKUP(D964,契約台帳!$A$3:$K$4986,8,FALSE)&amp;VLOOKUP(D964,契約台帳!$A$3:$K$4986,9,FALSE)&amp;VLOOKUP(D964,契約台帳!$A$3:$K$4986,11,FALSE))</f>
        <v>3SNMLBMNQR66F</v>
      </c>
      <c r="G964" s="269" t="str">
        <f>IF(D964="","",VLOOKUP(F964,製品マスタ!$G$5:$H$5002,2,FALSE))</f>
        <v>S</v>
      </c>
      <c r="H964" s="269" t="str">
        <f>IF(D964="","",VLOOKUP(F964,製品マスタ!$G$5:$K$5002,5,FALSE))</f>
        <v>MNQR66F</v>
      </c>
      <c r="I964" s="270" t="str">
        <f>IF(D964="","",VLOOKUP(F964,製品マスタ!$G$5:$L$5002,6,FALSE))</f>
        <v>ＱＲ６６蒸着品</v>
      </c>
      <c r="J964" s="210" t="s">
        <v>935</v>
      </c>
      <c r="K964" s="270">
        <f>IF(D964="","",VLOOKUP(D964,契約台帳!$A$3:$L$4986,12,FALSE))</f>
        <v>25</v>
      </c>
      <c r="L964" s="270" t="str">
        <f>IF(D964="","",INDEX(製品マスタ!$Q$5:$Q$5002,MATCH('S4'!F964&amp;'S4'!K964,製品マスタ!$AO$5:$AO$5002,0)))</f>
        <v>E315</v>
      </c>
      <c r="M964" s="39">
        <v>1000</v>
      </c>
      <c r="N964" s="39">
        <v>6000</v>
      </c>
      <c r="O964" s="156">
        <v>6</v>
      </c>
      <c r="P964" s="47">
        <v>3</v>
      </c>
      <c r="Q964" s="213">
        <v>45170</v>
      </c>
      <c r="R964" s="271">
        <f ca="1">IF(D964="","",IF(OFFSET(D964,-1,0)&lt;&gt;"","",IF(OR(J964="リード付け",J964="巻足し",J964="巻返しリード付け"),M964,VLOOKUP(D964,契約台帳!$A$3:$N$4986,14,FALSE))))</f>
        <v>1000</v>
      </c>
      <c r="S964" s="272">
        <f ca="1">IF(D964="","",IF(OFFSET(D964,-1,0)&lt;&gt;"","",IF(OR(J964="リード付け",J964="巻足し",J964="巻返しリード付け"),M964,VLOOKUP(D964,契約台帳!$A$3:$O$4986,15,FALSE))))</f>
        <v>1000</v>
      </c>
      <c r="T964" s="273">
        <f ca="1">IF(D964="","",IF(J964="リード付け",N964,IF(J964="巻返しリード付け",N964,IF(J964="巻足し",N964*P964+OFFSET(N964,1,0)*OFFSET(P964,1,0),VLOOKUP(D964,契約台帳!$A$3:$P$4986,16,FALSE)))))</f>
        <v>18000</v>
      </c>
      <c r="U964" s="40">
        <v>2</v>
      </c>
      <c r="V964" s="274">
        <f ca="1">IF(D964="","",IF(OFFSET(D964,-2,0)=D964,"",VLOOKUP(D964,契約台帳!$A$3:$R$4986,18,FALSE)))</f>
        <v>6</v>
      </c>
      <c r="W964" s="269" t="str">
        <f ca="1">IF(D964="","",IF(T964="","",IF(OR(J964="巻足し",J964="巻返しリード付け"),"",IF(J964="巻返し",VLOOKUP(F964&amp;K964&amp;M964,製品マスタ!$M$5:$AD$5002,18,FALSE),IF(OR(J964="リード付け",J964="巻返しリード付け"),"原反コア",IF(J964="スリット",VLOOKUP(F964&amp;K964&amp;R964,製品マスタ!$N$5:$AD$5002,17,FALSE),""))))))</f>
        <v/>
      </c>
      <c r="X964" s="269" t="str">
        <f ca="1">IF(D964="","",IF(T964="","",IF(J964="巻足し","",IF(J964="巻返し",VLOOKUP(F964&amp;K964&amp;M964,製品マスタ!$M$5:$AE$5002,19,FALSE),IF(OR(J964="リード付け",J964="巻返しリード付け"),"",IF(J964="スリット",VLOOKUP(F964&amp;K964&amp;R964,製品マスタ!$N$5:$AE$5002,18,FALSE),""))))))</f>
        <v/>
      </c>
      <c r="Y964" s="275">
        <f ca="1">IF(D964="","",IF(T964="","",VLOOKUP(D964,契約台帳!$A$3:$Q$4986,17,FALSE)))</f>
        <v>2</v>
      </c>
      <c r="Z964" s="269" t="str">
        <f ca="1">IF(D964="","",IF(T964="","",VLOOKUP(D964,契約台帳!$A$3:$E$4986,5,FALSE)))</f>
        <v>リンテック㈱</v>
      </c>
      <c r="AA964" s="57"/>
      <c r="AB964" s="303" t="str">
        <f>IFERROR((VLOOKUP(F964&amp;K964&amp;M964,製品マスタ!$M$5:$AM$5002,27,FALSE)),"")</f>
        <v>原反ケース再利用</v>
      </c>
      <c r="AC964" s="33"/>
      <c r="AD964" s="189"/>
      <c r="AE964" s="54"/>
      <c r="AF964" s="55">
        <f>+M964*N964*O964/1000</f>
        <v>36000</v>
      </c>
      <c r="AG964" s="43"/>
      <c r="AH964" s="47"/>
      <c r="AI964" s="30"/>
      <c r="AJ964" s="30"/>
      <c r="AK964" s="30"/>
      <c r="AL964" s="30"/>
      <c r="AM964" s="13"/>
      <c r="AN964" s="13"/>
      <c r="AO964" s="13"/>
      <c r="AP964" s="13"/>
      <c r="AQ964" s="13"/>
      <c r="AR964" s="14"/>
      <c r="AS964" s="15"/>
    </row>
    <row r="965" spans="1:45" s="17" customFormat="1" ht="30.95" hidden="1" customHeight="1" x14ac:dyDescent="0.2">
      <c r="A965" s="37"/>
      <c r="B965" s="38"/>
      <c r="C965" s="45"/>
      <c r="D965" s="31"/>
      <c r="E965" s="31"/>
      <c r="F965" s="268"/>
      <c r="G965" s="269"/>
      <c r="H965" s="269"/>
      <c r="I965" s="270"/>
      <c r="J965" s="210"/>
      <c r="K965" s="270"/>
      <c r="L965" s="270"/>
      <c r="M965" s="39"/>
      <c r="N965" s="39"/>
      <c r="O965" s="156"/>
      <c r="P965" s="47"/>
      <c r="Q965" s="57"/>
      <c r="R965" s="338"/>
      <c r="S965" s="272"/>
      <c r="T965" s="273"/>
      <c r="U965" s="40"/>
      <c r="V965" s="277"/>
      <c r="W965" s="269"/>
      <c r="X965" s="269"/>
      <c r="Y965" s="275"/>
      <c r="Z965" s="269"/>
      <c r="AA965" s="57"/>
      <c r="AB965" s="207"/>
      <c r="AC965" s="33"/>
      <c r="AD965" s="189"/>
      <c r="AE965" s="54"/>
      <c r="AF965" s="55"/>
      <c r="AG965" s="43"/>
      <c r="AH965" s="339"/>
      <c r="AI965" s="30"/>
      <c r="AJ965" s="30"/>
      <c r="AK965" s="30"/>
      <c r="AL965" s="30"/>
      <c r="AM965" s="13"/>
      <c r="AN965" s="13"/>
      <c r="AO965" s="13"/>
      <c r="AP965" s="13"/>
      <c r="AQ965" s="13"/>
      <c r="AR965" s="14"/>
      <c r="AS965" s="15"/>
    </row>
    <row r="966" spans="1:45" s="17" customFormat="1" ht="30.95" hidden="1" customHeight="1" x14ac:dyDescent="0.2">
      <c r="A966" s="37" t="s">
        <v>547</v>
      </c>
      <c r="B966" s="38" t="s">
        <v>445</v>
      </c>
      <c r="C966" s="45"/>
      <c r="D966" s="31"/>
      <c r="E966" s="31"/>
      <c r="F966" s="268"/>
      <c r="G966" s="269"/>
      <c r="H966" s="269"/>
      <c r="I966" s="270"/>
      <c r="J966" s="210" t="s">
        <v>448</v>
      </c>
      <c r="K966" s="270"/>
      <c r="L966" s="270"/>
      <c r="M966" s="39"/>
      <c r="N966" s="39"/>
      <c r="O966" s="156"/>
      <c r="P966" s="47"/>
      <c r="Q966" s="57"/>
      <c r="R966" s="338"/>
      <c r="S966" s="272"/>
      <c r="T966" s="273"/>
      <c r="U966" s="40"/>
      <c r="V966" s="277"/>
      <c r="W966" s="269"/>
      <c r="X966" s="269"/>
      <c r="Y966" s="275"/>
      <c r="Z966" s="269"/>
      <c r="AA966" s="57"/>
      <c r="AB966" s="207"/>
      <c r="AC966" s="33"/>
      <c r="AD966" s="189"/>
      <c r="AE966" s="54"/>
      <c r="AF966" s="55"/>
      <c r="AG966" s="43"/>
      <c r="AH966" s="339"/>
      <c r="AI966" s="30"/>
      <c r="AJ966" s="30"/>
      <c r="AK966" s="30"/>
      <c r="AL966" s="30"/>
      <c r="AM966" s="13"/>
      <c r="AN966" s="13"/>
      <c r="AO966" s="13"/>
      <c r="AP966" s="13"/>
      <c r="AQ966" s="13"/>
      <c r="AR966" s="14"/>
      <c r="AS966" s="15"/>
    </row>
    <row r="967" spans="1:45" s="17" customFormat="1" ht="30.95" hidden="1" customHeight="1" x14ac:dyDescent="0.2">
      <c r="A967" s="37"/>
      <c r="B967" s="38"/>
      <c r="C967" s="45"/>
      <c r="D967" s="31"/>
      <c r="E967" s="31"/>
      <c r="F967" s="268"/>
      <c r="G967" s="269"/>
      <c r="H967" s="269"/>
      <c r="I967" s="270"/>
      <c r="J967" s="210"/>
      <c r="K967" s="270"/>
      <c r="L967" s="270"/>
      <c r="M967" s="39"/>
      <c r="N967" s="39"/>
      <c r="O967" s="156"/>
      <c r="P967" s="47"/>
      <c r="Q967" s="57"/>
      <c r="R967" s="338"/>
      <c r="S967" s="272"/>
      <c r="T967" s="273"/>
      <c r="U967" s="40"/>
      <c r="V967" s="277"/>
      <c r="W967" s="269"/>
      <c r="X967" s="269"/>
      <c r="Y967" s="275"/>
      <c r="Z967" s="269"/>
      <c r="AA967" s="57"/>
      <c r="AB967" s="207"/>
      <c r="AC967" s="33"/>
      <c r="AD967" s="189"/>
      <c r="AE967" s="54"/>
      <c r="AF967" s="55"/>
      <c r="AG967" s="43"/>
      <c r="AH967" s="339"/>
      <c r="AI967" s="30"/>
      <c r="AJ967" s="30"/>
      <c r="AK967" s="30"/>
      <c r="AL967" s="30"/>
      <c r="AM967" s="13"/>
      <c r="AN967" s="13"/>
      <c r="AO967" s="13"/>
      <c r="AP967" s="13"/>
      <c r="AQ967" s="13"/>
      <c r="AR967" s="14"/>
      <c r="AS967" s="15"/>
    </row>
    <row r="968" spans="1:45" s="17" customFormat="1" ht="30.95" hidden="1" customHeight="1" x14ac:dyDescent="0.2">
      <c r="A968" s="37" t="s">
        <v>548</v>
      </c>
      <c r="B968" s="38" t="s">
        <v>1427</v>
      </c>
      <c r="C968" s="45"/>
      <c r="D968" s="31"/>
      <c r="E968" s="31"/>
      <c r="F968" s="268"/>
      <c r="G968" s="269"/>
      <c r="H968" s="269"/>
      <c r="I968" s="270"/>
      <c r="J968" s="210" t="s">
        <v>448</v>
      </c>
      <c r="K968" s="270"/>
      <c r="L968" s="270"/>
      <c r="M968" s="39"/>
      <c r="N968" s="39"/>
      <c r="O968" s="156"/>
      <c r="P968" s="47"/>
      <c r="Q968" s="57"/>
      <c r="R968" s="338"/>
      <c r="S968" s="272"/>
      <c r="T968" s="273"/>
      <c r="U968" s="40"/>
      <c r="V968" s="277"/>
      <c r="W968" s="269"/>
      <c r="X968" s="269"/>
      <c r="Y968" s="275"/>
      <c r="Z968" s="269"/>
      <c r="AA968" s="57"/>
      <c r="AB968" s="207"/>
      <c r="AC968" s="33"/>
      <c r="AD968" s="189"/>
      <c r="AE968" s="54"/>
      <c r="AF968" s="55"/>
      <c r="AG968" s="43"/>
      <c r="AH968" s="339"/>
      <c r="AI968" s="30"/>
      <c r="AJ968" s="30"/>
      <c r="AK968" s="30"/>
      <c r="AL968" s="30"/>
      <c r="AM968" s="13"/>
      <c r="AN968" s="13"/>
      <c r="AO968" s="13"/>
      <c r="AP968" s="13"/>
      <c r="AQ968" s="13"/>
      <c r="AR968" s="14"/>
      <c r="AS968" s="15"/>
    </row>
    <row r="969" spans="1:45" s="17" customFormat="1" ht="30.95" hidden="1" customHeight="1" x14ac:dyDescent="0.2">
      <c r="A969" s="37"/>
      <c r="B969" s="38"/>
      <c r="C969" s="45"/>
      <c r="D969" s="31"/>
      <c r="E969" s="31"/>
      <c r="F969" s="268"/>
      <c r="G969" s="269"/>
      <c r="H969" s="269"/>
      <c r="I969" s="270"/>
      <c r="J969" s="210"/>
      <c r="K969" s="270"/>
      <c r="L969" s="270"/>
      <c r="M969" s="39"/>
      <c r="N969" s="39"/>
      <c r="O969" s="156"/>
      <c r="P969" s="47"/>
      <c r="Q969" s="57"/>
      <c r="R969" s="338"/>
      <c r="S969" s="272"/>
      <c r="T969" s="273"/>
      <c r="U969" s="40"/>
      <c r="V969" s="277"/>
      <c r="W969" s="269"/>
      <c r="X969" s="269"/>
      <c r="Y969" s="275"/>
      <c r="Z969" s="269"/>
      <c r="AA969" s="57"/>
      <c r="AB969" s="207"/>
      <c r="AC969" s="33"/>
      <c r="AD969" s="189"/>
      <c r="AE969" s="54"/>
      <c r="AF969" s="55"/>
      <c r="AG969" s="43"/>
      <c r="AH969" s="339"/>
      <c r="AI969" s="30"/>
      <c r="AJ969" s="30"/>
      <c r="AK969" s="30"/>
      <c r="AL969" s="30"/>
      <c r="AM969" s="13"/>
      <c r="AN969" s="13"/>
      <c r="AO969" s="13"/>
      <c r="AP969" s="13"/>
      <c r="AQ969" s="13"/>
      <c r="AR969" s="14"/>
      <c r="AS969" s="15"/>
    </row>
    <row r="970" spans="1:45" s="17" customFormat="1" ht="30.95" hidden="1" customHeight="1" x14ac:dyDescent="0.2">
      <c r="A970" s="37" t="s">
        <v>1447</v>
      </c>
      <c r="B970" s="38" t="s">
        <v>1448</v>
      </c>
      <c r="C970" s="45"/>
      <c r="D970" s="31">
        <v>3723624</v>
      </c>
      <c r="E970" s="31">
        <v>4162025</v>
      </c>
      <c r="F970" s="268" t="str">
        <f>IF(D970="","",VLOOKUP(D970,契約台帳!$A$3:$K$4986,6,FALSE)&amp;VLOOKUP(D970,契約台帳!$A$3:$K$4986,7,FALSE)&amp;VLOOKUP(D970,契約台帳!$A$3:$K$4986,8,FALSE)&amp;VLOOKUP(D970,契約台帳!$A$3:$K$4986,9,FALSE)&amp;VLOOKUP(D970,契約台帳!$A$3:$K$4986,11,FALSE))</f>
        <v>3SNMCLBEYK</v>
      </c>
      <c r="G970" s="269" t="str">
        <f>IF(D970="","",VLOOKUP(F970,製品マスタ!$G$5:$H$5002,2,FALSE))</f>
        <v>S</v>
      </c>
      <c r="H970" s="269" t="str">
        <f>IF(D970="","",VLOOKUP(F970,製品マスタ!$G$5:$K$5002,5,FALSE))</f>
        <v>EYK</v>
      </c>
      <c r="I970" s="270" t="str">
        <f>IF(D970="","",VLOOKUP(F970,製品マスタ!$G$5:$L$5002,6,FALSE))</f>
        <v>メタルミー　ＥＹＫ</v>
      </c>
      <c r="J970" s="210" t="s">
        <v>1164</v>
      </c>
      <c r="K970" s="270">
        <f>IF(D970="","",VLOOKUP(D970,契約台帳!$A$3:$L$4986,12,FALSE))</f>
        <v>50</v>
      </c>
      <c r="L970" s="270" t="str">
        <f>IF(D970="","",INDEX(製品マスタ!$Q$5:$Q$5002,MATCH('S4'!F970&amp;'S4'!K970,製品マスタ!$AO$5:$AO$5002,0)))</f>
        <v>T62M</v>
      </c>
      <c r="M970" s="39">
        <v>1125</v>
      </c>
      <c r="N970" s="39">
        <v>6100</v>
      </c>
      <c r="O970" s="156">
        <v>4</v>
      </c>
      <c r="P970" s="47">
        <v>2</v>
      </c>
      <c r="Q970" s="213">
        <v>45170</v>
      </c>
      <c r="R970" s="271">
        <f ca="1">IF(D970="","",IF(OFFSET(D970,-1,0)&lt;&gt;"","",IF(OR(J970="リード付け",J970="巻足し",J970="巻返しリード付け"),M970,VLOOKUP(D970,契約台帳!$A$3:$N$4986,14,FALSE))))</f>
        <v>1125</v>
      </c>
      <c r="S970" s="272">
        <f ca="1">IF(D970="","",IF(OFFSET(D970,-1,0)&lt;&gt;"","",IF(OR(J970="リード付け",J970="巻足し",J970="巻返しリード付け"),M970,VLOOKUP(D970,契約台帳!$A$3:$O$4986,15,FALSE))))</f>
        <v>1125</v>
      </c>
      <c r="T970" s="273">
        <f ca="1">IF(D970="","",IF(J970="リード付け",N970,IF(J970="巻返しリード付け",N970,IF(J970="巻足し",N970*P970+OFFSET(N970,1,0)*OFFSET(P970,1,0),VLOOKUP(D970,契約台帳!$A$3:$P$4986,16,FALSE)))))</f>
        <v>12200</v>
      </c>
      <c r="U970" s="40">
        <v>2</v>
      </c>
      <c r="V970" s="274">
        <f ca="1">IF(D970="","",IF(OFFSET(D970,-2,0)=D970,"",VLOOKUP(D970,契約台帳!$A$3:$R$4986,18,FALSE)))</f>
        <v>4</v>
      </c>
      <c r="W970" s="269" t="str">
        <f ca="1">IF(D970="","",IF(T970="","",IF(OR(J970="巻足し",J970="巻返しリード付け"),"",IF(J970="巻返し",VLOOKUP(F970&amp;K970&amp;M970,製品マスタ!$M$5:$AD$5002,18,FALSE),IF(OR(J970="リード付け",J970="巻返しリード付け"),"原反コア",IF(J970="スリット",VLOOKUP(F970&amp;K970&amp;R970,製品マスタ!$N$5:$AD$5002,17,FALSE),""))))))</f>
        <v/>
      </c>
      <c r="X970" s="269" t="str">
        <f ca="1">IF(D970="","",IF(T970="","",IF(J970="巻足し","",IF(J970="巻返し",VLOOKUP(F970&amp;K970&amp;M970,製品マスタ!$M$5:$AE$5002,19,FALSE),IF(OR(J970="リード付け",J970="巻返しリード付け"),"",IF(J970="スリット",VLOOKUP(F970&amp;K970&amp;R970,製品マスタ!$N$5:$AE$5002,18,FALSE),""))))))</f>
        <v/>
      </c>
      <c r="Y970" s="275">
        <f ca="1">IF(D970="","",IF(T970="","",VLOOKUP(D970,契約台帳!$A$3:$Q$4986,17,FALSE)))</f>
        <v>2</v>
      </c>
      <c r="Z970" s="269" t="str">
        <f ca="1">IF(D970="","",IF(T970="","",VLOOKUP(D970,契約台帳!$A$3:$E$4986,5,FALSE)))</f>
        <v>新タック化成㈱</v>
      </c>
      <c r="AA970" s="57"/>
      <c r="AB970" s="207" t="str">
        <f>IFERROR((VLOOKUP(F970&amp;K970&amp;M970,製品マスタ!$M$5:$AM$5002,27,FALSE)),"")</f>
        <v>原反ケース再利用</v>
      </c>
      <c r="AC970" s="33"/>
      <c r="AD970" s="189"/>
      <c r="AE970" s="54"/>
      <c r="AF970" s="55">
        <f>+M970*N970*O970/1000</f>
        <v>27450</v>
      </c>
      <c r="AG970" s="43"/>
      <c r="AH970" s="47"/>
      <c r="AI970" s="30"/>
      <c r="AJ970" s="30"/>
      <c r="AK970" s="30"/>
      <c r="AL970" s="30"/>
      <c r="AM970" s="13"/>
      <c r="AN970" s="13"/>
      <c r="AO970" s="13"/>
      <c r="AP970" s="13"/>
      <c r="AQ970" s="13"/>
      <c r="AR970" s="14"/>
      <c r="AS970" s="15"/>
    </row>
    <row r="971" spans="1:45" s="17" customFormat="1" ht="30.95" hidden="1" customHeight="1" x14ac:dyDescent="0.2">
      <c r="A971" s="37"/>
      <c r="B971" s="38"/>
      <c r="C971" s="45"/>
      <c r="D971" s="31"/>
      <c r="E971" s="31"/>
      <c r="F971" s="268"/>
      <c r="G971" s="269"/>
      <c r="H971" s="269"/>
      <c r="I971" s="270"/>
      <c r="J971" s="210"/>
      <c r="K971" s="270"/>
      <c r="L971" s="270"/>
      <c r="M971" s="39"/>
      <c r="N971" s="39"/>
      <c r="O971" s="156"/>
      <c r="P971" s="47"/>
      <c r="Q971" s="57"/>
      <c r="R971" s="338"/>
      <c r="S971" s="272"/>
      <c r="T971" s="273"/>
      <c r="U971" s="40"/>
      <c r="V971" s="277"/>
      <c r="W971" s="269"/>
      <c r="X971" s="269"/>
      <c r="Y971" s="275"/>
      <c r="Z971" s="269"/>
      <c r="AA971" s="57"/>
      <c r="AB971" s="207"/>
      <c r="AC971" s="33"/>
      <c r="AD971" s="189"/>
      <c r="AE971" s="54"/>
      <c r="AF971" s="55"/>
      <c r="AG971" s="43"/>
      <c r="AH971" s="339"/>
      <c r="AI971" s="30"/>
      <c r="AJ971" s="30"/>
      <c r="AK971" s="30"/>
      <c r="AL971" s="30"/>
      <c r="AM971" s="13"/>
      <c r="AN971" s="13"/>
      <c r="AO971" s="13"/>
      <c r="AP971" s="13"/>
      <c r="AQ971" s="13"/>
      <c r="AR971" s="14"/>
      <c r="AS971" s="15"/>
    </row>
    <row r="972" spans="1:45" s="17" customFormat="1" ht="30.95" hidden="1" customHeight="1" x14ac:dyDescent="0.2">
      <c r="A972" s="37"/>
      <c r="B972" s="38"/>
      <c r="C972" s="45"/>
      <c r="D972" s="31">
        <v>3723648</v>
      </c>
      <c r="E972" s="31">
        <v>4162043</v>
      </c>
      <c r="F972" s="268" t="str">
        <f>IF(D972="","",VLOOKUP(D972,契約台帳!$A$3:$K$4986,6,FALSE)&amp;VLOOKUP(D972,契約台帳!$A$3:$K$4986,7,FALSE)&amp;VLOOKUP(D972,契約台帳!$A$3:$K$4986,8,FALSE)&amp;VLOOKUP(D972,契約台帳!$A$3:$K$4986,9,FALSE)&amp;VLOOKUP(D972,契約台帳!$A$3:$K$4986,11,FALSE))</f>
        <v>3SYMLBMSNMBF</v>
      </c>
      <c r="G972" s="269" t="str">
        <f>IF(D972="","",VLOOKUP(F972,製品マスタ!$G$5:$H$5002,2,FALSE))</f>
        <v>S</v>
      </c>
      <c r="H972" s="269" t="str">
        <f>IF(D972="","",VLOOKUP(F972,製品マスタ!$G$5:$K$5002,5,FALSE))</f>
        <v>MSNMBF</v>
      </c>
      <c r="I972" s="270" t="str">
        <f>IF(D972="","",VLOOKUP(F972,製品マスタ!$G$5:$L$5002,6,FALSE))</f>
        <v>ＭＥＴＡＬＵＭＹ　ＳＩＬＶＥＲ　Ｎ－ＭＡＴＴＥ　Ｘ４４Ｍ　Ｂ</v>
      </c>
      <c r="J972" s="210" t="s">
        <v>935</v>
      </c>
      <c r="K972" s="270">
        <f>IF(D972="","",VLOOKUP(D972,契約台帳!$A$3:$L$4986,12,FALSE))</f>
        <v>50</v>
      </c>
      <c r="L972" s="270" t="str">
        <f>IF(D972="","",INDEX(製品マスタ!$Q$5:$Q$5002,MATCH('S4'!F972&amp;'S4'!K972,製品マスタ!$AO$5:$AO$5002,0)))</f>
        <v>X44</v>
      </c>
      <c r="M972" s="39">
        <v>1120</v>
      </c>
      <c r="N972" s="39">
        <v>4000</v>
      </c>
      <c r="O972" s="156">
        <v>3</v>
      </c>
      <c r="P972" s="47">
        <v>3</v>
      </c>
      <c r="Q972" s="213">
        <v>45173</v>
      </c>
      <c r="R972" s="271">
        <f ca="1">IF(D972="","",IF(OFFSET(D972,-1,0)&lt;&gt;"","",IF(OR(J972="リード付け",J972="巻足し",J972="巻返しリード付け"),M972,VLOOKUP(D972,契約台帳!$A$3:$N$4986,14,FALSE))))</f>
        <v>1120</v>
      </c>
      <c r="S972" s="272">
        <f ca="1">IF(D972="","",IF(OFFSET(D972,-1,0)&lt;&gt;"","",IF(OR(J972="リード付け",J972="巻足し",J972="巻返しリード付け"),M972,VLOOKUP(D972,契約台帳!$A$3:$O$4986,15,FALSE))))</f>
        <v>1120</v>
      </c>
      <c r="T972" s="273">
        <f ca="1">IF(D972="","",IF(J972="リード付け",N972,IF(J972="巻返しリード付け",N972,IF(J972="巻足し",N972*P972+OFFSET(N972,1,0)*OFFSET(P972,1,0),VLOOKUP(D972,契約台帳!$A$3:$P$4986,16,FALSE)))))</f>
        <v>12000</v>
      </c>
      <c r="U972" s="40">
        <v>1</v>
      </c>
      <c r="V972" s="274">
        <f ca="1">IF(D972="","",IF(OFFSET(D972,-2,0)=D972,"",VLOOKUP(D972,契約台帳!$A$3:$R$4986,18,FALSE)))</f>
        <v>4</v>
      </c>
      <c r="W972" s="269" t="str">
        <f ca="1">IF(D972="","",IF(T972="","",IF(OR(J972="巻足し",J972="巻返しリード付け"),"",IF(J972="巻返し",VLOOKUP(F972&amp;K972&amp;M972,製品マスタ!$M$5:$AD$5002,18,FALSE),IF(OR(J972="リード付け",J972="巻返しリード付け"),"原反コア",IF(J972="スリット",VLOOKUP(F972&amp;K972&amp;R972,製品マスタ!$N$5:$AD$5002,17,FALSE),""))))))</f>
        <v/>
      </c>
      <c r="X972" s="269" t="str">
        <f ca="1">IF(D972="","",IF(T972="","",IF(J972="巻足し","",IF(J972="巻返し",VLOOKUP(F972&amp;K972&amp;M972,製品マスタ!$M$5:$AE$5002,19,FALSE),IF(OR(J972="リード付け",J972="巻返しリード付け"),"",IF(J972="スリット",VLOOKUP(F972&amp;K972&amp;R972,製品マスタ!$N$5:$AE$5002,18,FALSE),""))))))</f>
        <v/>
      </c>
      <c r="Y972" s="275">
        <f ca="1">IF(D972="","",IF(T972="","",VLOOKUP(D972,契約台帳!$A$3:$Q$4986,17,FALSE)))</f>
        <v>2</v>
      </c>
      <c r="Z972" s="269" t="str">
        <f ca="1">IF(D972="","",IF(T972="","",VLOOKUP(D972,契約台帳!$A$3:$E$4986,5,FALSE)))</f>
        <v>リンテック㈱</v>
      </c>
      <c r="AA972" s="57"/>
      <c r="AB972" s="207">
        <f>IFERROR((VLOOKUP(F972&amp;K972&amp;M972,製品マスタ!$M$5:$AM$5002,27,FALSE)),"")</f>
        <v>0</v>
      </c>
      <c r="AC972" s="33"/>
      <c r="AD972" s="189"/>
      <c r="AE972" s="54"/>
      <c r="AF972" s="55">
        <f>+M972*N972*O972/1000</f>
        <v>13440</v>
      </c>
      <c r="AG972" s="43"/>
      <c r="AH972" s="47"/>
      <c r="AI972" s="30"/>
      <c r="AJ972" s="30"/>
      <c r="AK972" s="30"/>
      <c r="AL972" s="30"/>
      <c r="AM972" s="13"/>
      <c r="AN972" s="13"/>
      <c r="AO972" s="13"/>
      <c r="AP972" s="13"/>
      <c r="AQ972" s="13"/>
      <c r="AR972" s="14"/>
      <c r="AS972" s="15"/>
    </row>
    <row r="973" spans="1:45" s="17" customFormat="1" ht="30.95" hidden="1" customHeight="1" x14ac:dyDescent="0.2">
      <c r="A973" s="37"/>
      <c r="B973" s="38"/>
      <c r="C973" s="45"/>
      <c r="D973" s="31"/>
      <c r="E973" s="31"/>
      <c r="F973" s="268"/>
      <c r="G973" s="269"/>
      <c r="H973" s="269"/>
      <c r="I973" s="270"/>
      <c r="J973" s="210"/>
      <c r="K973" s="270"/>
      <c r="L973" s="270"/>
      <c r="M973" s="39"/>
      <c r="N973" s="39"/>
      <c r="O973" s="156"/>
      <c r="P973" s="47"/>
      <c r="Q973" s="57"/>
      <c r="R973" s="338"/>
      <c r="S973" s="272"/>
      <c r="T973" s="273"/>
      <c r="U973" s="40"/>
      <c r="V973" s="277"/>
      <c r="W973" s="269"/>
      <c r="X973" s="269"/>
      <c r="Y973" s="275"/>
      <c r="Z973" s="269"/>
      <c r="AA973" s="57"/>
      <c r="AB973" s="207"/>
      <c r="AC973" s="33"/>
      <c r="AD973" s="189"/>
      <c r="AE973" s="54"/>
      <c r="AF973" s="55"/>
      <c r="AG973" s="43"/>
      <c r="AH973" s="339"/>
      <c r="AI973" s="30"/>
      <c r="AJ973" s="30"/>
      <c r="AK973" s="30"/>
      <c r="AL973" s="30"/>
      <c r="AM973" s="13"/>
      <c r="AN973" s="13"/>
      <c r="AO973" s="13"/>
      <c r="AP973" s="13"/>
      <c r="AQ973" s="13"/>
      <c r="AR973" s="14"/>
      <c r="AS973" s="15"/>
    </row>
    <row r="974" spans="1:45" s="17" customFormat="1" ht="30.95" hidden="1" customHeight="1" x14ac:dyDescent="0.2">
      <c r="A974" s="37"/>
      <c r="B974" s="38"/>
      <c r="C974" s="45"/>
      <c r="D974" s="31">
        <v>3723648</v>
      </c>
      <c r="E974" s="31">
        <v>4162043</v>
      </c>
      <c r="F974" s="268" t="str">
        <f>IF(D974="","",VLOOKUP(D974,契約台帳!$A$3:$K$4986,6,FALSE)&amp;VLOOKUP(D974,契約台帳!$A$3:$K$4986,7,FALSE)&amp;VLOOKUP(D974,契約台帳!$A$3:$K$4986,8,FALSE)&amp;VLOOKUP(D974,契約台帳!$A$3:$K$4986,9,FALSE)&amp;VLOOKUP(D974,契約台帳!$A$3:$K$4986,11,FALSE))</f>
        <v>3SYMLBMSNMBF</v>
      </c>
      <c r="G974" s="269" t="str">
        <f>IF(D974="","",VLOOKUP(F974,製品マスタ!$G$5:$H$5002,2,FALSE))</f>
        <v>S</v>
      </c>
      <c r="H974" s="269" t="str">
        <f>IF(D974="","",VLOOKUP(F974,製品マスタ!$G$5:$K$5002,5,FALSE))</f>
        <v>MSNMBF</v>
      </c>
      <c r="I974" s="270" t="str">
        <f>IF(D974="","",VLOOKUP(F974,製品マスタ!$G$5:$L$5002,6,FALSE))</f>
        <v>ＭＥＴＡＬＵＭＹ　ＳＩＬＶＥＲ　Ｎ－ＭＡＴＴＥ　Ｘ４４Ｍ　Ｂ</v>
      </c>
      <c r="J974" s="210" t="s">
        <v>935</v>
      </c>
      <c r="K974" s="270">
        <f>IF(D974="","",VLOOKUP(D974,契約台帳!$A$3:$L$4986,12,FALSE))</f>
        <v>50</v>
      </c>
      <c r="L974" s="270" t="str">
        <f>IF(D974="","",INDEX(製品マスタ!$Q$5:$Q$5002,MATCH('S4'!F974&amp;'S4'!K974,製品マスタ!$AO$5:$AO$5002,0)))</f>
        <v>X44</v>
      </c>
      <c r="M974" s="39">
        <v>1120</v>
      </c>
      <c r="N974" s="39">
        <v>4000</v>
      </c>
      <c r="O974" s="156">
        <v>1</v>
      </c>
      <c r="P974" s="47">
        <v>3</v>
      </c>
      <c r="Q974" s="213">
        <v>45173</v>
      </c>
      <c r="R974" s="271">
        <f ca="1">IF(D974="","",IF(OFFSET(D974,-1,0)&lt;&gt;"","",IF(OR(J974="リード付け",J974="巻足し",J974="巻返しリード付け"),M974,VLOOKUP(D974,契約台帳!$A$3:$N$4986,14,FALSE))))</f>
        <v>1120</v>
      </c>
      <c r="S974" s="272">
        <f ca="1">IF(D974="","",IF(OFFSET(D974,-1,0)&lt;&gt;"","",IF(OR(J974="リード付け",J974="巻足し",J974="巻返しリード付け"),M974,VLOOKUP(D974,契約台帳!$A$3:$O$4986,15,FALSE))))</f>
        <v>1120</v>
      </c>
      <c r="T974" s="273">
        <f ca="1">IF(D974="","",IF(J974="リード付け",N974,IF(J974="巻返しリード付け",N974,IF(J974="巻足し",N974*P974+OFFSET(N974,1,0)*OFFSET(P974,1,0),VLOOKUP(D974,契約台帳!$A$3:$P$4986,16,FALSE)))))</f>
        <v>12000</v>
      </c>
      <c r="U974" s="40">
        <v>1</v>
      </c>
      <c r="V974" s="274" t="str">
        <f ca="1">IF(D974="","",IF(OFFSET(D974,-2,0)=D974,"",VLOOKUP(D974,契約台帳!$A$3:$R$4986,18,FALSE)))</f>
        <v/>
      </c>
      <c r="W974" s="269" t="str">
        <f ca="1">IF(D974="","",IF(T974="","",IF(OR(J974="巻足し",J974="巻返しリード付け"),"",IF(J974="巻返し",VLOOKUP(F974&amp;K974&amp;M974,製品マスタ!$M$5:$AD$5002,18,FALSE),IF(OR(J974="リード付け",J974="巻返しリード付け"),"原反コア",IF(J974="スリット",VLOOKUP(F974&amp;K974&amp;R974,製品マスタ!$N$5:$AD$5002,17,FALSE),""))))))</f>
        <v/>
      </c>
      <c r="X974" s="269" t="str">
        <f ca="1">IF(D974="","",IF(T974="","",IF(J974="巻足し","",IF(J974="巻返し",VLOOKUP(F974&amp;K974&amp;M974,製品マスタ!$M$5:$AE$5002,19,FALSE),IF(OR(J974="リード付け",J974="巻返しリード付け"),"",IF(J974="スリット",VLOOKUP(F974&amp;K974&amp;R974,製品マスタ!$N$5:$AE$5002,18,FALSE),""))))))</f>
        <v/>
      </c>
      <c r="Y974" s="275">
        <f ca="1">IF(D974="","",IF(T974="","",VLOOKUP(D974,契約台帳!$A$3:$Q$4986,17,FALSE)))</f>
        <v>2</v>
      </c>
      <c r="Z974" s="269" t="str">
        <f ca="1">IF(D974="","",IF(T974="","",VLOOKUP(D974,契約台帳!$A$3:$E$4986,5,FALSE)))</f>
        <v>リンテック㈱</v>
      </c>
      <c r="AA974" s="57"/>
      <c r="AB974" s="207">
        <f>IFERROR((VLOOKUP(F974&amp;K974&amp;M974,製品マスタ!$M$5:$AM$5002,27,FALSE)),"")</f>
        <v>0</v>
      </c>
      <c r="AC974" s="33"/>
      <c r="AD974" s="189"/>
      <c r="AE974" s="54"/>
      <c r="AF974" s="55">
        <f>+M974*N974*O974/1000</f>
        <v>4480</v>
      </c>
      <c r="AG974" s="43"/>
      <c r="AH974" s="47"/>
      <c r="AI974" s="30"/>
      <c r="AJ974" s="30"/>
      <c r="AK974" s="30"/>
      <c r="AL974" s="30"/>
      <c r="AM974" s="13"/>
      <c r="AN974" s="13"/>
      <c r="AO974" s="13"/>
      <c r="AP974" s="13"/>
      <c r="AQ974" s="13"/>
      <c r="AR974" s="14"/>
      <c r="AS974" s="15"/>
    </row>
    <row r="975" spans="1:45" s="17" customFormat="1" ht="30.95" hidden="1" customHeight="1" x14ac:dyDescent="0.2">
      <c r="A975" s="37"/>
      <c r="B975" s="38"/>
      <c r="C975" s="45"/>
      <c r="D975" s="31">
        <v>3723649</v>
      </c>
      <c r="E975" s="31"/>
      <c r="F975" s="268" t="str">
        <f>IF(D975="","",VLOOKUP(D975,契約台帳!$A$3:$K$4986,6,FALSE)&amp;VLOOKUP(D975,契約台帳!$A$3:$K$4986,7,FALSE)&amp;VLOOKUP(D975,契約台帳!$A$3:$K$4986,8,FALSE)&amp;VLOOKUP(D975,契約台帳!$A$3:$K$4986,9,FALSE)&amp;VLOOKUP(D975,契約台帳!$A$3:$K$4986,11,FALSE))</f>
        <v>3SYMLBMSNMBF</v>
      </c>
      <c r="G975" s="269" t="str">
        <f>IF(D975="","",VLOOKUP(F975,製品マスタ!$G$5:$H$5002,2,FALSE))</f>
        <v>S</v>
      </c>
      <c r="H975" s="269" t="str">
        <f>IF(D975="","",VLOOKUP(F975,製品マスタ!$G$5:$K$5002,5,FALSE))</f>
        <v>MSNMBF</v>
      </c>
      <c r="I975" s="270" t="str">
        <f>IF(D975="","",VLOOKUP(F975,製品マスタ!$G$5:$L$5002,6,FALSE))</f>
        <v>ＭＥＴＡＬＵＭＹ　ＳＩＬＶＥＲ　Ｎ－ＭＡＴＴＥ　Ｘ４４Ｍ　Ｂ</v>
      </c>
      <c r="J975" s="210" t="s">
        <v>935</v>
      </c>
      <c r="K975" s="270">
        <f>IF(D975="","",VLOOKUP(D975,契約台帳!$A$3:$L$4986,12,FALSE))</f>
        <v>50</v>
      </c>
      <c r="L975" s="270" t="str">
        <f>IF(D975="","",INDEX(製品マスタ!$Q$5:$Q$5002,MATCH('S4'!F975&amp;'S4'!K975,製品マスタ!$AO$5:$AO$5002,0)))</f>
        <v>X44</v>
      </c>
      <c r="M975" s="39">
        <v>1120</v>
      </c>
      <c r="N975" s="39">
        <v>4000</v>
      </c>
      <c r="O975" s="156">
        <v>2</v>
      </c>
      <c r="P975" s="47"/>
      <c r="Q975" s="213">
        <v>45173</v>
      </c>
      <c r="R975" s="271" t="str">
        <f ca="1">IF(D975="","",IF(OFFSET(D975,-1,0)&lt;&gt;"","",IF(OR(J975="リード付け",J975="巻足し",J975="巻返しリード付け"),M975,VLOOKUP(D975,契約台帳!$A$3:$N$4986,14,FALSE))))</f>
        <v/>
      </c>
      <c r="S975" s="272" t="str">
        <f ca="1">IF(D975="","",IF(OFFSET(D975,-1,0)&lt;&gt;"","",IF(OR(J975="リード付け",J975="巻足し",J975="巻返しリード付け"),M975,VLOOKUP(D975,契約台帳!$A$3:$O$4986,15,FALSE))))</f>
        <v/>
      </c>
      <c r="T975" s="273">
        <f ca="1">IF(D975="","",IF(J975="リード付け",N975,IF(J975="巻返しリード付け",N975,IF(J975="巻足し",N975*P975+OFFSET(N975,1,0)*OFFSET(P975,1,0),VLOOKUP(D975,契約台帳!$A$3:$P$4986,16,FALSE)))))</f>
        <v>0</v>
      </c>
      <c r="U975" s="40"/>
      <c r="V975" s="274">
        <f ca="1">IF(D975="","",IF(OFFSET(D975,-2,0)=D975,"",VLOOKUP(D975,契約台帳!$A$3:$R$4986,18,FALSE)))</f>
        <v>4</v>
      </c>
      <c r="W975" s="269" t="str">
        <f ca="1">IF(D975="","",IF(T975="","",IF(OR(J975="巻足し",J975="巻返しリード付け"),"",IF(J975="巻返し",VLOOKUP(F975&amp;K975&amp;M975,製品マスタ!$M$5:$AD$5002,18,FALSE),IF(OR(J975="リード付け",J975="巻返しリード付け"),"原反コア",IF(J975="スリット",VLOOKUP(F975&amp;K975&amp;R975,製品マスタ!$N$5:$AD$5002,17,FALSE),""))))))</f>
        <v/>
      </c>
      <c r="X975" s="269" t="str">
        <f ca="1">IF(D975="","",IF(T975="","",IF(J975="巻足し","",IF(J975="巻返し",VLOOKUP(F975&amp;K975&amp;M975,製品マスタ!$M$5:$AE$5002,19,FALSE),IF(OR(J975="リード付け",J975="巻返しリード付け"),"",IF(J975="スリット",VLOOKUP(F975&amp;K975&amp;R975,製品マスタ!$N$5:$AE$5002,18,FALSE),""))))))</f>
        <v/>
      </c>
      <c r="Y975" s="275">
        <f ca="1">IF(D975="","",IF(T975="","",VLOOKUP(D975,契約台帳!$A$3:$Q$4986,17,FALSE)))</f>
        <v>2</v>
      </c>
      <c r="Z975" s="269" t="str">
        <f ca="1">IF(D975="","",IF(T975="","",VLOOKUP(D975,契約台帳!$A$3:$E$4986,5,FALSE)))</f>
        <v>リンテック㈱</v>
      </c>
      <c r="AA975" s="57"/>
      <c r="AB975" s="207">
        <f>IFERROR((VLOOKUP(F975&amp;K975&amp;M975,製品マスタ!$M$5:$AM$5002,27,FALSE)),"")</f>
        <v>0</v>
      </c>
      <c r="AC975" s="33"/>
      <c r="AD975" s="189"/>
      <c r="AE975" s="54"/>
      <c r="AF975" s="55">
        <f>+M975*N975*O975/1000</f>
        <v>8960</v>
      </c>
      <c r="AG975" s="43"/>
      <c r="AH975" s="47"/>
      <c r="AI975" s="30"/>
      <c r="AJ975" s="30"/>
      <c r="AK975" s="30"/>
      <c r="AL975" s="30"/>
      <c r="AM975" s="13"/>
      <c r="AN975" s="13"/>
      <c r="AO975" s="13"/>
      <c r="AP975" s="13"/>
      <c r="AQ975" s="13"/>
      <c r="AR975" s="14"/>
      <c r="AS975" s="15"/>
    </row>
    <row r="976" spans="1:45" s="17" customFormat="1" ht="30.95" hidden="1" customHeight="1" x14ac:dyDescent="0.2">
      <c r="A976" s="37"/>
      <c r="B976" s="38"/>
      <c r="C976" s="45"/>
      <c r="D976" s="31"/>
      <c r="E976" s="31"/>
      <c r="F976" s="268"/>
      <c r="G976" s="269"/>
      <c r="H976" s="269"/>
      <c r="I976" s="270"/>
      <c r="J976" s="210"/>
      <c r="K976" s="270"/>
      <c r="L976" s="270"/>
      <c r="M976" s="39"/>
      <c r="N976" s="39"/>
      <c r="O976" s="156"/>
      <c r="P976" s="47"/>
      <c r="Q976" s="57"/>
      <c r="R976" s="338"/>
      <c r="S976" s="272"/>
      <c r="T976" s="273"/>
      <c r="U976" s="40"/>
      <c r="V976" s="277"/>
      <c r="W976" s="269"/>
      <c r="X976" s="269"/>
      <c r="Y976" s="275"/>
      <c r="Z976" s="269"/>
      <c r="AA976" s="57"/>
      <c r="AB976" s="207"/>
      <c r="AC976" s="33"/>
      <c r="AD976" s="189"/>
      <c r="AE976" s="54"/>
      <c r="AF976" s="55"/>
      <c r="AG976" s="43"/>
      <c r="AH976" s="339"/>
      <c r="AI976" s="30"/>
      <c r="AJ976" s="30"/>
      <c r="AK976" s="30"/>
      <c r="AL976" s="30"/>
      <c r="AM976" s="13"/>
      <c r="AN976" s="13"/>
      <c r="AO976" s="13"/>
      <c r="AP976" s="13"/>
      <c r="AQ976" s="13"/>
      <c r="AR976" s="14"/>
      <c r="AS976" s="15"/>
    </row>
    <row r="977" spans="1:45" s="17" customFormat="1" ht="30.95" hidden="1" customHeight="1" x14ac:dyDescent="0.2">
      <c r="A977" s="37"/>
      <c r="B977" s="38"/>
      <c r="C977" s="45"/>
      <c r="D977" s="31">
        <v>3723649</v>
      </c>
      <c r="E977" s="31">
        <v>4162044</v>
      </c>
      <c r="F977" s="268" t="str">
        <f>IF(D977="","",VLOOKUP(D977,契約台帳!$A$3:$K$4986,6,FALSE)&amp;VLOOKUP(D977,契約台帳!$A$3:$K$4986,7,FALSE)&amp;VLOOKUP(D977,契約台帳!$A$3:$K$4986,8,FALSE)&amp;VLOOKUP(D977,契約台帳!$A$3:$K$4986,9,FALSE)&amp;VLOOKUP(D977,契約台帳!$A$3:$K$4986,11,FALSE))</f>
        <v>3SYMLBMSNMBF</v>
      </c>
      <c r="G977" s="269" t="str">
        <f>IF(D977="","",VLOOKUP(F977,製品マスタ!$G$5:$H$5002,2,FALSE))</f>
        <v>S</v>
      </c>
      <c r="H977" s="269" t="str">
        <f>IF(D977="","",VLOOKUP(F977,製品マスタ!$G$5:$K$5002,5,FALSE))</f>
        <v>MSNMBF</v>
      </c>
      <c r="I977" s="270" t="str">
        <f>IF(D977="","",VLOOKUP(F977,製品マスタ!$G$5:$L$5002,6,FALSE))</f>
        <v>ＭＥＴＡＬＵＭＹ　ＳＩＬＶＥＲ　Ｎ－ＭＡＴＴＥ　Ｘ４４Ｍ　Ｂ</v>
      </c>
      <c r="J977" s="210" t="s">
        <v>935</v>
      </c>
      <c r="K977" s="270">
        <f>IF(D977="","",VLOOKUP(D977,契約台帳!$A$3:$L$4986,12,FALSE))</f>
        <v>50</v>
      </c>
      <c r="L977" s="270" t="str">
        <f>IF(D977="","",INDEX(製品マスタ!$Q$5:$Q$5002,MATCH('S4'!F977&amp;'S4'!K977,製品マスタ!$AO$5:$AO$5002,0)))</f>
        <v>X44</v>
      </c>
      <c r="M977" s="39">
        <v>1120</v>
      </c>
      <c r="N977" s="39">
        <v>4000</v>
      </c>
      <c r="O977" s="156">
        <v>2</v>
      </c>
      <c r="P977" s="47">
        <v>2</v>
      </c>
      <c r="Q977" s="213">
        <v>45173</v>
      </c>
      <c r="R977" s="271">
        <f ca="1">IF(D977="","",IF(OFFSET(D977,-1,0)&lt;&gt;"","",IF(OR(J977="リード付け",J977="巻足し",J977="巻返しリード付け"),M977,VLOOKUP(D977,契約台帳!$A$3:$N$4986,14,FALSE))))</f>
        <v>1120</v>
      </c>
      <c r="S977" s="272">
        <f ca="1">IF(D977="","",IF(OFFSET(D977,-1,0)&lt;&gt;"","",IF(OR(J977="リード付け",J977="巻足し",J977="巻返しリード付け"),M977,VLOOKUP(D977,契約台帳!$A$3:$O$4986,15,FALSE))))</f>
        <v>1120</v>
      </c>
      <c r="T977" s="273">
        <f ca="1">IF(D977="","",IF(J977="リード付け",N977,IF(J977="巻返しリード付け",N977,IF(J977="巻足し",N977*P977+OFFSET(N977,1,0)*OFFSET(P977,1,0),VLOOKUP(D977,契約台帳!$A$3:$P$4986,16,FALSE)))))</f>
        <v>8000</v>
      </c>
      <c r="U977" s="40">
        <v>1</v>
      </c>
      <c r="V977" s="274" t="str">
        <f ca="1">IF(D977="","",IF(OFFSET(D977,-2,0)=D977,"",VLOOKUP(D977,契約台帳!$A$3:$R$4986,18,FALSE)))</f>
        <v/>
      </c>
      <c r="W977" s="269" t="str">
        <f ca="1">IF(D977="","",IF(T977="","",IF(OR(J977="巻足し",J977="巻返しリード付け"),"",IF(J977="巻返し",VLOOKUP(F977&amp;K977&amp;M977,製品マスタ!$M$5:$AD$5002,18,FALSE),IF(OR(J977="リード付け",J977="巻返しリード付け"),"原反コア",IF(J977="スリット",VLOOKUP(F977&amp;K977&amp;R977,製品マスタ!$N$5:$AD$5002,17,FALSE),""))))))</f>
        <v/>
      </c>
      <c r="X977" s="269" t="str">
        <f ca="1">IF(D977="","",IF(T977="","",IF(J977="巻足し","",IF(J977="巻返し",VLOOKUP(F977&amp;K977&amp;M977,製品マスタ!$M$5:$AE$5002,19,FALSE),IF(OR(J977="リード付け",J977="巻返しリード付け"),"",IF(J977="スリット",VLOOKUP(F977&amp;K977&amp;R977,製品マスタ!$N$5:$AE$5002,18,FALSE),""))))))</f>
        <v/>
      </c>
      <c r="Y977" s="275">
        <f ca="1">IF(D977="","",IF(T977="","",VLOOKUP(D977,契約台帳!$A$3:$Q$4986,17,FALSE)))</f>
        <v>2</v>
      </c>
      <c r="Z977" s="269" t="str">
        <f ca="1">IF(D977="","",IF(T977="","",VLOOKUP(D977,契約台帳!$A$3:$E$4986,5,FALSE)))</f>
        <v>リンテック㈱</v>
      </c>
      <c r="AA977" s="57"/>
      <c r="AB977" s="207">
        <f>IFERROR((VLOOKUP(F977&amp;K977&amp;M977,製品マスタ!$M$5:$AM$5002,27,FALSE)),"")</f>
        <v>0</v>
      </c>
      <c r="AC977" s="33"/>
      <c r="AD977" s="189"/>
      <c r="AE977" s="54"/>
      <c r="AF977" s="55">
        <f>+M977*N977*O977/1000</f>
        <v>8960</v>
      </c>
      <c r="AG977" s="43"/>
      <c r="AH977" s="47"/>
      <c r="AI977" s="30"/>
      <c r="AJ977" s="30"/>
      <c r="AK977" s="30"/>
      <c r="AL977" s="30"/>
      <c r="AM977" s="13"/>
      <c r="AN977" s="13"/>
      <c r="AO977" s="13"/>
      <c r="AP977" s="13"/>
      <c r="AQ977" s="13"/>
      <c r="AR977" s="14"/>
      <c r="AS977" s="15"/>
    </row>
    <row r="978" spans="1:45" s="17" customFormat="1" ht="30.95" hidden="1" customHeight="1" x14ac:dyDescent="0.2">
      <c r="A978" s="37"/>
      <c r="B978" s="38"/>
      <c r="C978" s="45"/>
      <c r="D978" s="31"/>
      <c r="E978" s="31"/>
      <c r="F978" s="268"/>
      <c r="G978" s="269"/>
      <c r="H978" s="269"/>
      <c r="I978" s="270"/>
      <c r="J978" s="210"/>
      <c r="K978" s="270"/>
      <c r="L978" s="270"/>
      <c r="M978" s="39"/>
      <c r="N978" s="39"/>
      <c r="O978" s="156"/>
      <c r="P978" s="47"/>
      <c r="Q978" s="57"/>
      <c r="R978" s="338"/>
      <c r="S978" s="272"/>
      <c r="T978" s="273"/>
      <c r="U978" s="40"/>
      <c r="V978" s="277"/>
      <c r="W978" s="269"/>
      <c r="X978" s="269"/>
      <c r="Y978" s="275"/>
      <c r="Z978" s="269"/>
      <c r="AA978" s="57"/>
      <c r="AB978" s="207"/>
      <c r="AC978" s="33"/>
      <c r="AD978" s="189"/>
      <c r="AE978" s="54"/>
      <c r="AF978" s="55"/>
      <c r="AG978" s="43"/>
      <c r="AH978" s="339"/>
      <c r="AI978" s="30"/>
      <c r="AJ978" s="30"/>
      <c r="AK978" s="30"/>
      <c r="AL978" s="30"/>
      <c r="AM978" s="13"/>
      <c r="AN978" s="13"/>
      <c r="AO978" s="13"/>
      <c r="AP978" s="13"/>
      <c r="AQ978" s="13"/>
      <c r="AR978" s="14"/>
      <c r="AS978" s="15"/>
    </row>
    <row r="979" spans="1:45" s="17" customFormat="1" ht="30.95" hidden="1" customHeight="1" x14ac:dyDescent="0.2">
      <c r="A979" s="37"/>
      <c r="B979" s="38"/>
      <c r="C979" s="45"/>
      <c r="D979" s="31">
        <v>3723640</v>
      </c>
      <c r="E979" s="31">
        <v>4162021</v>
      </c>
      <c r="F979" s="268" t="str">
        <f>IF(D979="","",VLOOKUP(D979,契約台帳!$A$3:$K$4986,6,FALSE)&amp;VLOOKUP(D979,契約台帳!$A$3:$K$4986,7,FALSE)&amp;VLOOKUP(D979,契約台帳!$A$3:$K$4986,8,FALSE)&amp;VLOOKUP(D979,契約台帳!$A$3:$K$4986,9,FALSE)&amp;VLOOKUP(D979,契約台帳!$A$3:$K$4986,11,FALSE))</f>
        <v>33SSNMCLBTEKKFV</v>
      </c>
      <c r="G979" s="269" t="str">
        <f>IF(D979="","",VLOOKUP(F979,製品マスタ!$G$5:$H$5002,2,FALSE))</f>
        <v>S</v>
      </c>
      <c r="H979" s="269" t="str">
        <f>IF(D979="","",VLOOKUP(F979,製品マスタ!$G$5:$K$5002,5,FALSE))</f>
        <v>TEKKFV</v>
      </c>
      <c r="I979" s="270" t="str">
        <f>IF(D979="","",VLOOKUP(F979,製品マスタ!$G$5:$L$5002,6,FALSE))</f>
        <v>メタルミー　ＴＥＳ消開封　Ｖ</v>
      </c>
      <c r="J979" s="210" t="s">
        <v>935</v>
      </c>
      <c r="K979" s="270">
        <f>IF(D979="","",VLOOKUP(D979,契約台帳!$A$3:$L$4986,12,FALSE))</f>
        <v>50</v>
      </c>
      <c r="L979" s="270" t="str">
        <f>IF(D979="","",INDEX(製品マスタ!$Q$5:$Q$5002,MATCH('S4'!F979&amp;'S4'!K979,製品マスタ!$AO$5:$AO$5002,0)))</f>
        <v>X44SEPA</v>
      </c>
      <c r="M979" s="39">
        <v>1005</v>
      </c>
      <c r="N979" s="39">
        <v>4100</v>
      </c>
      <c r="O979" s="156">
        <v>3</v>
      </c>
      <c r="P979" s="47">
        <v>3</v>
      </c>
      <c r="Q979" s="213">
        <v>45173</v>
      </c>
      <c r="R979" s="271">
        <f ca="1">IF(D979="","",IF(OFFSET(D979,-1,0)&lt;&gt;"","",IF(OR(J979="リード付け",J979="巻足し",J979="巻返しリード付け"),M979,VLOOKUP(D979,契約台帳!$A$3:$N$4986,14,FALSE))))</f>
        <v>1005</v>
      </c>
      <c r="S979" s="272">
        <f ca="1">IF(D979="","",IF(OFFSET(D979,-1,0)&lt;&gt;"","",IF(OR(J979="リード付け",J979="巻足し",J979="巻返しリード付け"),M979,VLOOKUP(D979,契約台帳!$A$3:$O$4986,15,FALSE))))</f>
        <v>1005</v>
      </c>
      <c r="T979" s="273">
        <f ca="1">IF(D979="","",IF(J979="リード付け",N979,IF(J979="巻返しリード付け",N979,IF(J979="巻足し",N979*P979+OFFSET(N979,1,0)*OFFSET(P979,1,0),VLOOKUP(D979,契約台帳!$A$3:$P$4986,16,FALSE)))))</f>
        <v>12300</v>
      </c>
      <c r="U979" s="40">
        <v>1</v>
      </c>
      <c r="V979" s="274">
        <f ca="1">IF(D979="","",IF(OFFSET(D979,-2,0)=D979,"",VLOOKUP(D979,契約台帳!$A$3:$R$4986,18,FALSE)))</f>
        <v>3</v>
      </c>
      <c r="W979" s="269" t="str">
        <f ca="1">IF(D979="","",IF(T979="","",IF(OR(J979="巻足し",J979="巻返しリード付け"),"",IF(J979="巻返し",VLOOKUP(F979&amp;K979&amp;M979,製品マスタ!$M$5:$AD$5002,18,FALSE),IF(OR(J979="リード付け",J979="巻返しリード付け"),"原反コア",IF(J979="スリット",VLOOKUP(F979&amp;K979&amp;R979,製品マスタ!$N$5:$AD$5002,17,FALSE),""))))))</f>
        <v/>
      </c>
      <c r="X979" s="269" t="str">
        <f ca="1">IF(D979="","",IF(T979="","",IF(J979="巻足し","",IF(J979="巻返し",VLOOKUP(F979&amp;K979&amp;M979,製品マスタ!$M$5:$AE$5002,19,FALSE),IF(OR(J979="リード付け",J979="巻返しリード付け"),"",IF(J979="スリット",VLOOKUP(F979&amp;K979&amp;R979,製品マスタ!$N$5:$AE$5002,18,FALSE),""))))))</f>
        <v/>
      </c>
      <c r="Y979" s="275">
        <f ca="1">IF(D979="","",IF(T979="","",VLOOKUP(D979,契約台帳!$A$3:$Q$4986,17,FALSE)))</f>
        <v>2</v>
      </c>
      <c r="Z979" s="269" t="str">
        <f ca="1">IF(D979="","",IF(T979="","",VLOOKUP(D979,契約台帳!$A$3:$E$4986,5,FALSE)))</f>
        <v>リンテック㈱</v>
      </c>
      <c r="AA979" s="57"/>
      <c r="AB979" s="303">
        <f>IFERROR((VLOOKUP(F979&amp;K979&amp;M979,製品マスタ!$M$5:$AM$5002,27,FALSE)),"")</f>
        <v>0</v>
      </c>
      <c r="AC979" s="33"/>
      <c r="AD979" s="189"/>
      <c r="AE979" s="54"/>
      <c r="AF979" s="55">
        <f>+M979*N979*O979/1000</f>
        <v>12361.5</v>
      </c>
      <c r="AG979" s="43"/>
      <c r="AH979" s="47"/>
      <c r="AI979" s="30"/>
      <c r="AJ979" s="30"/>
      <c r="AK979" s="30"/>
      <c r="AL979" s="30"/>
      <c r="AM979" s="13"/>
      <c r="AN979" s="13"/>
      <c r="AO979" s="13"/>
      <c r="AP979" s="13"/>
      <c r="AQ979" s="13"/>
      <c r="AR979" s="14"/>
      <c r="AS979" s="15"/>
    </row>
    <row r="980" spans="1:45" s="17" customFormat="1" ht="30.95" hidden="1" customHeight="1" x14ac:dyDescent="0.2">
      <c r="A980" s="37"/>
      <c r="B980" s="38"/>
      <c r="C980" s="45"/>
      <c r="D980" s="31"/>
      <c r="E980" s="31"/>
      <c r="F980" s="268"/>
      <c r="G980" s="269"/>
      <c r="H980" s="269"/>
      <c r="I980" s="270"/>
      <c r="J980" s="210"/>
      <c r="K980" s="270"/>
      <c r="L980" s="270"/>
      <c r="M980" s="39"/>
      <c r="N980" s="39"/>
      <c r="O980" s="156"/>
      <c r="P980" s="47"/>
      <c r="Q980" s="57"/>
      <c r="R980" s="338"/>
      <c r="S980" s="272"/>
      <c r="T980" s="273"/>
      <c r="U980" s="40"/>
      <c r="V980" s="277"/>
      <c r="W980" s="269"/>
      <c r="X980" s="269"/>
      <c r="Y980" s="275"/>
      <c r="Z980" s="269"/>
      <c r="AA980" s="57"/>
      <c r="AB980" s="207"/>
      <c r="AC980" s="33"/>
      <c r="AD980" s="189"/>
      <c r="AE980" s="54"/>
      <c r="AF980" s="55"/>
      <c r="AG980" s="43"/>
      <c r="AH980" s="339"/>
      <c r="AI980" s="30"/>
      <c r="AJ980" s="30"/>
      <c r="AK980" s="30"/>
      <c r="AL980" s="30"/>
      <c r="AM980" s="13"/>
      <c r="AN980" s="13"/>
      <c r="AO980" s="13"/>
      <c r="AP980" s="13"/>
      <c r="AQ980" s="13"/>
      <c r="AR980" s="14"/>
      <c r="AS980" s="15"/>
    </row>
    <row r="981" spans="1:45" s="17" customFormat="1" ht="30.95" hidden="1" customHeight="1" x14ac:dyDescent="0.2">
      <c r="A981" s="37"/>
      <c r="B981" s="38"/>
      <c r="C981" s="45"/>
      <c r="D981" s="31">
        <v>3723641</v>
      </c>
      <c r="E981" s="31">
        <v>4162022</v>
      </c>
      <c r="F981" s="268" t="str">
        <f>IF(D981="","",VLOOKUP(D981,契約台帳!$A$3:$K$4986,6,FALSE)&amp;VLOOKUP(D981,契約台帳!$A$3:$K$4986,7,FALSE)&amp;VLOOKUP(D981,契約台帳!$A$3:$K$4986,8,FALSE)&amp;VLOOKUP(D981,契約台帳!$A$3:$K$4986,9,FALSE)&amp;VLOOKUP(D981,契約台帳!$A$3:$K$4986,11,FALSE))</f>
        <v>33SSNMCLBTEKV0V</v>
      </c>
      <c r="G981" s="269" t="str">
        <f>IF(D981="","",VLOOKUP(F981,製品マスタ!$G$5:$H$5002,2,FALSE))</f>
        <v>S</v>
      </c>
      <c r="H981" s="269" t="str">
        <f>IF(D981="","",VLOOKUP(F981,製品マスタ!$G$5:$K$5002,5,FALSE))</f>
        <v>TEKV0V</v>
      </c>
      <c r="I981" s="270" t="str">
        <f>IF(D981="","",VLOOKUP(F981,製品マスタ!$G$5:$L$5002,6,FALSE))</f>
        <v>メタルミー　ＴＥ－Ｓ消　ＶＯＩＤ　Ｖ</v>
      </c>
      <c r="J981" s="210" t="s">
        <v>935</v>
      </c>
      <c r="K981" s="270">
        <f>IF(D981="","",VLOOKUP(D981,契約台帳!$A$3:$L$4986,12,FALSE))</f>
        <v>50</v>
      </c>
      <c r="L981" s="270" t="str">
        <f>IF(D981="","",INDEX(製品マスタ!$Q$5:$Q$5002,MATCH('S4'!F981&amp;'S4'!K981,製品マスタ!$AO$5:$AO$5002,0)))</f>
        <v>X44SEPA</v>
      </c>
      <c r="M981" s="39">
        <v>1005</v>
      </c>
      <c r="N981" s="39">
        <v>4000</v>
      </c>
      <c r="O981" s="156">
        <v>3</v>
      </c>
      <c r="P981" s="47">
        <v>3</v>
      </c>
      <c r="Q981" s="213">
        <v>45173</v>
      </c>
      <c r="R981" s="271">
        <f ca="1">IF(D981="","",IF(OFFSET(D981,-1,0)&lt;&gt;"","",IF(OR(J981="リード付け",J981="巻足し",J981="巻返しリード付け"),M981,VLOOKUP(D981,契約台帳!$A$3:$N$4986,14,FALSE))))</f>
        <v>1005</v>
      </c>
      <c r="S981" s="272">
        <f ca="1">IF(D981="","",IF(OFFSET(D981,-1,0)&lt;&gt;"","",IF(OR(J981="リード付け",J981="巻足し",J981="巻返しリード付け"),M981,VLOOKUP(D981,契約台帳!$A$3:$O$4986,15,FALSE))))</f>
        <v>1005</v>
      </c>
      <c r="T981" s="273">
        <f ca="1">IF(D981="","",IF(J981="リード付け",N981,IF(J981="巻返しリード付け",N981,IF(J981="巻足し",N981*P981+OFFSET(N981,1,0)*OFFSET(P981,1,0),VLOOKUP(D981,契約台帳!$A$3:$P$4986,16,FALSE)))))</f>
        <v>12000</v>
      </c>
      <c r="U981" s="40">
        <v>1</v>
      </c>
      <c r="V981" s="274">
        <f ca="1">IF(D981="","",IF(OFFSET(D981,-2,0)=D981,"",VLOOKUP(D981,契約台帳!$A$3:$R$4986,18,FALSE)))</f>
        <v>3</v>
      </c>
      <c r="W981" s="269" t="str">
        <f ca="1">IF(D981="","",IF(T981="","",IF(OR(J981="巻足し",J981="巻返しリード付け"),"",IF(J981="巻返し",VLOOKUP(F981&amp;K981&amp;M981,製品マスタ!$M$5:$AD$5002,18,FALSE),IF(OR(J981="リード付け",J981="巻返しリード付け"),"原反コア",IF(J981="スリット",VLOOKUP(F981&amp;K981&amp;R981,製品マスタ!$N$5:$AD$5002,17,FALSE),""))))))</f>
        <v/>
      </c>
      <c r="X981" s="269" t="str">
        <f ca="1">IF(D981="","",IF(T981="","",IF(J981="巻足し","",IF(J981="巻返し",VLOOKUP(F981&amp;K981&amp;M981,製品マスタ!$M$5:$AE$5002,19,FALSE),IF(OR(J981="リード付け",J981="巻返しリード付け"),"",IF(J981="スリット",VLOOKUP(F981&amp;K981&amp;R981,製品マスタ!$N$5:$AE$5002,18,FALSE),""))))))</f>
        <v/>
      </c>
      <c r="Y981" s="275">
        <f ca="1">IF(D981="","",IF(T981="","",VLOOKUP(D981,契約台帳!$A$3:$Q$4986,17,FALSE)))</f>
        <v>2</v>
      </c>
      <c r="Z981" s="269" t="str">
        <f ca="1">IF(D981="","",IF(T981="","",VLOOKUP(D981,契約台帳!$A$3:$E$4986,5,FALSE)))</f>
        <v>リンテック㈱</v>
      </c>
      <c r="AA981" s="57"/>
      <c r="AB981" s="303">
        <f>IFERROR((VLOOKUP(F981&amp;K981&amp;M981,製品マスタ!$M$5:$AM$5002,27,FALSE)),"")</f>
        <v>0</v>
      </c>
      <c r="AC981" s="33"/>
      <c r="AD981" s="189"/>
      <c r="AE981" s="54"/>
      <c r="AF981" s="55">
        <f>+M981*N981*O981/1000</f>
        <v>12060</v>
      </c>
      <c r="AG981" s="43"/>
      <c r="AH981" s="47"/>
      <c r="AI981" s="30"/>
      <c r="AJ981" s="30"/>
      <c r="AK981" s="30"/>
      <c r="AL981" s="30"/>
      <c r="AM981" s="13"/>
      <c r="AN981" s="13"/>
      <c r="AO981" s="13"/>
      <c r="AP981" s="13"/>
      <c r="AQ981" s="13"/>
      <c r="AR981" s="14"/>
      <c r="AS981" s="15"/>
    </row>
    <row r="982" spans="1:45" s="17" customFormat="1" ht="30.95" hidden="1" customHeight="1" x14ac:dyDescent="0.2">
      <c r="A982" s="37"/>
      <c r="B982" s="38"/>
      <c r="C982" s="45"/>
      <c r="D982" s="31"/>
      <c r="E982" s="31"/>
      <c r="F982" s="268"/>
      <c r="G982" s="269"/>
      <c r="H982" s="269"/>
      <c r="I982" s="270"/>
      <c r="J982" s="210"/>
      <c r="K982" s="270"/>
      <c r="L982" s="270"/>
      <c r="M982" s="39"/>
      <c r="N982" s="39"/>
      <c r="O982" s="156"/>
      <c r="P982" s="47"/>
      <c r="Q982" s="57"/>
      <c r="R982" s="338"/>
      <c r="S982" s="272"/>
      <c r="T982" s="273"/>
      <c r="U982" s="40"/>
      <c r="V982" s="277"/>
      <c r="W982" s="269"/>
      <c r="X982" s="269"/>
      <c r="Y982" s="275"/>
      <c r="Z982" s="269"/>
      <c r="AA982" s="57"/>
      <c r="AB982" s="207"/>
      <c r="AC982" s="33"/>
      <c r="AD982" s="189"/>
      <c r="AE982" s="54"/>
      <c r="AF982" s="55"/>
      <c r="AG982" s="43"/>
      <c r="AH982" s="339"/>
      <c r="AI982" s="30"/>
      <c r="AJ982" s="30"/>
      <c r="AK982" s="30"/>
      <c r="AL982" s="30"/>
      <c r="AM982" s="13"/>
      <c r="AN982" s="13"/>
      <c r="AO982" s="13"/>
      <c r="AP982" s="13"/>
      <c r="AQ982" s="13"/>
      <c r="AR982" s="14"/>
      <c r="AS982" s="15"/>
    </row>
    <row r="983" spans="1:45" s="17" customFormat="1" ht="30.95" hidden="1" customHeight="1" x14ac:dyDescent="0.2">
      <c r="A983" s="37"/>
      <c r="B983" s="38"/>
      <c r="C983" s="45"/>
      <c r="D983" s="31">
        <v>3723642</v>
      </c>
      <c r="E983" s="31">
        <v>4162023</v>
      </c>
      <c r="F983" s="268" t="str">
        <f>IF(D983="","",VLOOKUP(D983,契約台帳!$A$3:$K$4986,6,FALSE)&amp;VLOOKUP(D983,契約台帳!$A$3:$K$4986,7,FALSE)&amp;VLOOKUP(D983,契約台帳!$A$3:$K$4986,8,FALSE)&amp;VLOOKUP(D983,契約台帳!$A$3:$K$4986,9,FALSE)&amp;VLOOKUP(D983,契約台帳!$A$3:$K$4986,11,FALSE))</f>
        <v>33SSNMCLBTEKV0V</v>
      </c>
      <c r="G983" s="269" t="str">
        <f>IF(D983="","",VLOOKUP(F983,製品マスタ!$G$5:$H$5002,2,FALSE))</f>
        <v>S</v>
      </c>
      <c r="H983" s="269" t="str">
        <f>IF(D983="","",VLOOKUP(F983,製品マスタ!$G$5:$K$5002,5,FALSE))</f>
        <v>TEKV0V</v>
      </c>
      <c r="I983" s="270" t="str">
        <f>IF(D983="","",VLOOKUP(F983,製品マスタ!$G$5:$L$5002,6,FALSE))</f>
        <v>メタルミー　ＴＥ－Ｓ消　ＶＯＩＤ　Ｖ</v>
      </c>
      <c r="J983" s="210" t="s">
        <v>935</v>
      </c>
      <c r="K983" s="270">
        <f>IF(D983="","",VLOOKUP(D983,契約台帳!$A$3:$L$4986,12,FALSE))</f>
        <v>50</v>
      </c>
      <c r="L983" s="270" t="str">
        <f>IF(D983="","",INDEX(製品マスタ!$Q$5:$Q$5002,MATCH('S4'!F983&amp;'S4'!K983,製品マスタ!$AO$5:$AO$5002,0)))</f>
        <v>X44SEPA</v>
      </c>
      <c r="M983" s="39">
        <v>1005</v>
      </c>
      <c r="N983" s="39">
        <v>4100</v>
      </c>
      <c r="O983" s="156">
        <v>3</v>
      </c>
      <c r="P983" s="47">
        <v>3</v>
      </c>
      <c r="Q983" s="213">
        <v>45173</v>
      </c>
      <c r="R983" s="271">
        <f ca="1">IF(D983="","",IF(OFFSET(D983,-1,0)&lt;&gt;"","",IF(OR(J983="リード付け",J983="巻足し",J983="巻返しリード付け"),M983,VLOOKUP(D983,契約台帳!$A$3:$N$4986,14,FALSE))))</f>
        <v>1005</v>
      </c>
      <c r="S983" s="272">
        <f ca="1">IF(D983="","",IF(OFFSET(D983,-1,0)&lt;&gt;"","",IF(OR(J983="リード付け",J983="巻足し",J983="巻返しリード付け"),M983,VLOOKUP(D983,契約台帳!$A$3:$O$4986,15,FALSE))))</f>
        <v>1005</v>
      </c>
      <c r="T983" s="273">
        <f ca="1">IF(D983="","",IF(J983="リード付け",N983,IF(J983="巻返しリード付け",N983,IF(J983="巻足し",N983*P983+OFFSET(N983,1,0)*OFFSET(P983,1,0),VLOOKUP(D983,契約台帳!$A$3:$P$4986,16,FALSE)))))</f>
        <v>12300</v>
      </c>
      <c r="U983" s="40">
        <v>1</v>
      </c>
      <c r="V983" s="274">
        <f ca="1">IF(D983="","",IF(OFFSET(D983,-2,0)=D983,"",VLOOKUP(D983,契約台帳!$A$3:$R$4986,18,FALSE)))</f>
        <v>3</v>
      </c>
      <c r="W983" s="269" t="str">
        <f ca="1">IF(D983="","",IF(T983="","",IF(OR(J983="巻足し",J983="巻返しリード付け"),"",IF(J983="巻返し",VLOOKUP(F983&amp;K983&amp;M983,製品マスタ!$M$5:$AD$5002,18,FALSE),IF(OR(J983="リード付け",J983="巻返しリード付け"),"原反コア",IF(J983="スリット",VLOOKUP(F983&amp;K983&amp;R983,製品マスタ!$N$5:$AD$5002,17,FALSE),""))))))</f>
        <v/>
      </c>
      <c r="X983" s="269" t="str">
        <f ca="1">IF(D983="","",IF(T983="","",IF(J983="巻足し","",IF(J983="巻返し",VLOOKUP(F983&amp;K983&amp;M983,製品マスタ!$M$5:$AE$5002,19,FALSE),IF(OR(J983="リード付け",J983="巻返しリード付け"),"",IF(J983="スリット",VLOOKUP(F983&amp;K983&amp;R983,製品マスタ!$N$5:$AE$5002,18,FALSE),""))))))</f>
        <v/>
      </c>
      <c r="Y983" s="275">
        <f ca="1">IF(D983="","",IF(T983="","",VLOOKUP(D983,契約台帳!$A$3:$Q$4986,17,FALSE)))</f>
        <v>2</v>
      </c>
      <c r="Z983" s="269" t="str">
        <f ca="1">IF(D983="","",IF(T983="","",VLOOKUP(D983,契約台帳!$A$3:$E$4986,5,FALSE)))</f>
        <v>リンテック㈱</v>
      </c>
      <c r="AA983" s="57"/>
      <c r="AB983" s="303">
        <f>IFERROR((VLOOKUP(F983&amp;K983&amp;M983,製品マスタ!$M$5:$AM$5002,27,FALSE)),"")</f>
        <v>0</v>
      </c>
      <c r="AC983" s="33"/>
      <c r="AD983" s="189"/>
      <c r="AE983" s="54"/>
      <c r="AF983" s="55">
        <f>+M983*N983*O983/1000</f>
        <v>12361.5</v>
      </c>
      <c r="AG983" s="43"/>
      <c r="AH983" s="47"/>
      <c r="AI983" s="30"/>
      <c r="AJ983" s="30"/>
      <c r="AK983" s="30"/>
      <c r="AL983" s="30"/>
      <c r="AM983" s="13"/>
      <c r="AN983" s="13"/>
      <c r="AO983" s="13"/>
      <c r="AP983" s="13"/>
      <c r="AQ983" s="13"/>
      <c r="AR983" s="14"/>
      <c r="AS983" s="15"/>
    </row>
    <row r="984" spans="1:45" s="17" customFormat="1" ht="30.95" hidden="1" customHeight="1" x14ac:dyDescent="0.2">
      <c r="A984" s="37"/>
      <c r="B984" s="38"/>
      <c r="C984" s="45"/>
      <c r="D984" s="31"/>
      <c r="E984" s="31"/>
      <c r="F984" s="268"/>
      <c r="G984" s="269"/>
      <c r="H984" s="269"/>
      <c r="I984" s="270"/>
      <c r="J984" s="210"/>
      <c r="K984" s="270"/>
      <c r="L984" s="270"/>
      <c r="M984" s="39"/>
      <c r="N984" s="39"/>
      <c r="O984" s="156"/>
      <c r="P984" s="47"/>
      <c r="Q984" s="57"/>
      <c r="R984" s="338"/>
      <c r="S984" s="272"/>
      <c r="T984" s="273"/>
      <c r="U984" s="40"/>
      <c r="V984" s="277"/>
      <c r="W984" s="269"/>
      <c r="X984" s="269"/>
      <c r="Y984" s="275"/>
      <c r="Z984" s="269"/>
      <c r="AA984" s="57"/>
      <c r="AB984" s="207"/>
      <c r="AC984" s="33"/>
      <c r="AD984" s="189"/>
      <c r="AE984" s="54"/>
      <c r="AF984" s="55"/>
      <c r="AG984" s="43"/>
      <c r="AH984" s="339"/>
      <c r="AI984" s="30"/>
      <c r="AJ984" s="30"/>
      <c r="AK984" s="30"/>
      <c r="AL984" s="30"/>
      <c r="AM984" s="13"/>
      <c r="AN984" s="13"/>
      <c r="AO984" s="13"/>
      <c r="AP984" s="13"/>
      <c r="AQ984" s="13"/>
      <c r="AR984" s="14"/>
      <c r="AS984" s="15"/>
    </row>
    <row r="985" spans="1:45" s="17" customFormat="1" ht="30.95" hidden="1" customHeight="1" x14ac:dyDescent="0.2">
      <c r="A985" s="37" t="s">
        <v>1463</v>
      </c>
      <c r="B985" s="38" t="s">
        <v>1464</v>
      </c>
      <c r="C985" s="45"/>
      <c r="D985" s="31">
        <v>3723629</v>
      </c>
      <c r="E985" s="31">
        <v>4162030</v>
      </c>
      <c r="F985" s="268" t="str">
        <f>IF(D985="","",VLOOKUP(D985,契約台帳!$A$3:$K$4986,6,FALSE)&amp;VLOOKUP(D985,契約台帳!$A$3:$K$4986,7,FALSE)&amp;VLOOKUP(D985,契約台帳!$A$3:$K$4986,8,FALSE)&amp;VLOOKUP(D985,契約台帳!$A$3:$K$4986,9,FALSE)&amp;VLOOKUP(D985,契約台帳!$A$3:$K$4986,11,FALSE))</f>
        <v>3SNMLBMNGKKBF</v>
      </c>
      <c r="G985" s="269" t="str">
        <f>IF(D985="","",VLOOKUP(F985,製品マスタ!$G$5:$H$5002,2,FALSE))</f>
        <v>S</v>
      </c>
      <c r="H985" s="269" t="str">
        <f>IF(D985="","",VLOOKUP(F985,製品マスタ!$G$5:$K$5002,5,FALSE))</f>
        <v>MNGKKBF</v>
      </c>
      <c r="I985" s="270" t="str">
        <f>IF(D985="","",VLOOKUP(F985,製品マスタ!$G$5:$L$5002,6,FALSE))</f>
        <v>メタルミー　ネーマー銀消改　Ｂ</v>
      </c>
      <c r="J985" s="210" t="s">
        <v>935</v>
      </c>
      <c r="K985" s="270">
        <f>IF(D985="","",VLOOKUP(D985,契約台帳!$A$3:$L$4986,12,FALSE))</f>
        <v>50</v>
      </c>
      <c r="L985" s="270" t="str">
        <f>IF(D985="","",INDEX(製品マスタ!$Q$5:$Q$5002,MATCH('S4'!F985&amp;'S4'!K985,製品マスタ!$AO$5:$AO$5002,0)))</f>
        <v>S99-MAT</v>
      </c>
      <c r="M985" s="39">
        <v>1120</v>
      </c>
      <c r="N985" s="39">
        <v>4000</v>
      </c>
      <c r="O985" s="156">
        <v>18</v>
      </c>
      <c r="P985" s="47">
        <v>3</v>
      </c>
      <c r="Q985" s="213">
        <v>45174</v>
      </c>
      <c r="R985" s="271">
        <f ca="1">IF(D985="","",IF(OFFSET(D985,-1,0)&lt;&gt;"","",IF(OR(J985="リード付け",J985="巻足し",J985="巻返しリード付け"),M985,VLOOKUP(D985,契約台帳!$A$3:$N$4986,14,FALSE))))</f>
        <v>1120</v>
      </c>
      <c r="S985" s="272">
        <f ca="1">IF(D985="","",IF(OFFSET(D985,-1,0)&lt;&gt;"","",IF(OR(J985="リード付け",J985="巻足し",J985="巻返しリード付け"),M985,VLOOKUP(D985,契約台帳!$A$3:$O$4986,15,FALSE))))</f>
        <v>1120</v>
      </c>
      <c r="T985" s="273">
        <f ca="1">IF(D985="","",IF(J985="リード付け",N985,IF(J985="巻返しリード付け",N985,IF(J985="巻足し",N985*P985+OFFSET(N985,1,0)*OFFSET(P985,1,0),VLOOKUP(D985,契約台帳!$A$3:$P$4986,16,FALSE)))))</f>
        <v>12000</v>
      </c>
      <c r="U985" s="40">
        <v>6</v>
      </c>
      <c r="V985" s="274">
        <f ca="1">IF(D985="","",IF(OFFSET(D985,-2,0)=D985,"",VLOOKUP(D985,契約台帳!$A$3:$R$4986,18,FALSE)))</f>
        <v>18</v>
      </c>
      <c r="W985" s="269" t="str">
        <f ca="1">IF(D985="","",IF(T985="","",IF(OR(J985="巻足し",J985="巻返しリード付け"),"",IF(J985="巻返し",VLOOKUP(F985&amp;K985&amp;M985,製品マスタ!$M$5:$AD$5002,18,FALSE),IF(OR(J985="リード付け",J985="巻返しリード付け"),"原反コア",IF(J985="スリット",VLOOKUP(F985&amp;K985&amp;R985,製品マスタ!$N$5:$AD$5002,17,FALSE),""))))))</f>
        <v/>
      </c>
      <c r="X985" s="269" t="str">
        <f ca="1">IF(D985="","",IF(T985="","",IF(J985="巻足し","",IF(J985="巻返し",VLOOKUP(F985&amp;K985&amp;M985,製品マスタ!$M$5:$AE$5002,19,FALSE),IF(OR(J985="リード付け",J985="巻返しリード付け"),"",IF(J985="スリット",VLOOKUP(F985&amp;K985&amp;R985,製品マスタ!$N$5:$AE$5002,18,FALSE),""))))))</f>
        <v/>
      </c>
      <c r="Y985" s="275">
        <f ca="1">IF(D985="","",IF(T985="","",VLOOKUP(D985,契約台帳!$A$3:$Q$4986,17,FALSE)))</f>
        <v>2</v>
      </c>
      <c r="Z985" s="269" t="str">
        <f ca="1">IF(D985="","",IF(T985="","",VLOOKUP(D985,契約台帳!$A$3:$E$4986,5,FALSE)))</f>
        <v>リンテック㈱</v>
      </c>
      <c r="AA985" s="57"/>
      <c r="AB985" s="207">
        <f>IFERROR((VLOOKUP(F985&amp;K985&amp;M985,製品マスタ!$M$5:$AM$5002,27,FALSE)),"")</f>
        <v>0</v>
      </c>
      <c r="AC985" s="33"/>
      <c r="AD985" s="189"/>
      <c r="AE985" s="54"/>
      <c r="AF985" s="55">
        <f>+M985*N985*O985/1000</f>
        <v>80640</v>
      </c>
      <c r="AG985" s="43"/>
      <c r="AH985" s="47"/>
      <c r="AI985" s="30"/>
      <c r="AJ985" s="30"/>
      <c r="AK985" s="30"/>
      <c r="AL985" s="30"/>
      <c r="AM985" s="13"/>
      <c r="AN985" s="13"/>
      <c r="AO985" s="13"/>
      <c r="AP985" s="13"/>
      <c r="AQ985" s="13"/>
      <c r="AR985" s="14"/>
      <c r="AS985" s="15"/>
    </row>
    <row r="986" spans="1:45" s="17" customFormat="1" ht="30.95" hidden="1" customHeight="1" x14ac:dyDescent="0.2">
      <c r="A986" s="37"/>
      <c r="B986" s="38"/>
      <c r="C986" s="45"/>
      <c r="D986" s="31"/>
      <c r="E986" s="31"/>
      <c r="F986" s="268"/>
      <c r="G986" s="269"/>
      <c r="H986" s="269"/>
      <c r="I986" s="270"/>
      <c r="J986" s="210"/>
      <c r="K986" s="270"/>
      <c r="L986" s="270"/>
      <c r="M986" s="39"/>
      <c r="N986" s="39"/>
      <c r="O986" s="156"/>
      <c r="P986" s="47"/>
      <c r="Q986" s="57"/>
      <c r="R986" s="338"/>
      <c r="S986" s="272"/>
      <c r="T986" s="273"/>
      <c r="U986" s="40"/>
      <c r="V986" s="277"/>
      <c r="W986" s="269"/>
      <c r="X986" s="269"/>
      <c r="Y986" s="275"/>
      <c r="Z986" s="269"/>
      <c r="AA986" s="57"/>
      <c r="AB986" s="207"/>
      <c r="AC986" s="33"/>
      <c r="AD986" s="189"/>
      <c r="AE986" s="54"/>
      <c r="AF986" s="55"/>
      <c r="AG986" s="43"/>
      <c r="AH986" s="339"/>
      <c r="AI986" s="30"/>
      <c r="AJ986" s="30"/>
      <c r="AK986" s="30"/>
      <c r="AL986" s="30"/>
      <c r="AM986" s="13"/>
      <c r="AN986" s="13"/>
      <c r="AO986" s="13"/>
      <c r="AP986" s="13"/>
      <c r="AQ986" s="13"/>
      <c r="AR986" s="14"/>
      <c r="AS986" s="15"/>
    </row>
    <row r="987" spans="1:45" s="17" customFormat="1" ht="30.95" hidden="1" customHeight="1" x14ac:dyDescent="0.2">
      <c r="A987" s="37" t="s">
        <v>1465</v>
      </c>
      <c r="B987" s="38" t="s">
        <v>1466</v>
      </c>
      <c r="C987" s="45"/>
      <c r="D987" s="31">
        <v>3723632</v>
      </c>
      <c r="E987" s="31">
        <v>4162027</v>
      </c>
      <c r="F987" s="268" t="str">
        <f>IF(D987="","",VLOOKUP(D987,契約台帳!$A$3:$K$4986,6,FALSE)&amp;VLOOKUP(D987,契約台帳!$A$3:$K$4986,7,FALSE)&amp;VLOOKUP(D987,契約台帳!$A$3:$K$4986,8,FALSE)&amp;VLOOKUP(D987,契約台帳!$A$3:$K$4986,9,FALSE)&amp;VLOOKUP(D987,契約台帳!$A$3:$K$4986,11,FALSE))</f>
        <v>3SNMLBMNGKBF</v>
      </c>
      <c r="G987" s="269" t="str">
        <f>IF(D987="","",VLOOKUP(F987,製品マスタ!$G$5:$H$5002,2,FALSE))</f>
        <v>S</v>
      </c>
      <c r="H987" s="269" t="str">
        <f>IF(D987="","",VLOOKUP(F987,製品マスタ!$G$5:$K$5002,5,FALSE))</f>
        <v>MNGKBF</v>
      </c>
      <c r="I987" s="270" t="str">
        <f>IF(D987="","",VLOOKUP(F987,製品マスタ!$G$5:$L$5002,6,FALSE))</f>
        <v>メタルミー　ネーマー銀消　Ｂ</v>
      </c>
      <c r="J987" s="210" t="s">
        <v>935</v>
      </c>
      <c r="K987" s="270">
        <f>IF(D987="","",VLOOKUP(D987,契約台帳!$A$3:$L$4986,12,FALSE))</f>
        <v>50</v>
      </c>
      <c r="L987" s="270" t="str">
        <f>IF(D987="","",INDEX(製品マスタ!$Q$5:$Q$5002,MATCH('S4'!F987&amp;'S4'!K987,製品マスタ!$AO$5:$AO$5002,0)))</f>
        <v>MAT</v>
      </c>
      <c r="M987" s="39">
        <v>1050</v>
      </c>
      <c r="N987" s="39">
        <v>4100</v>
      </c>
      <c r="O987" s="156">
        <v>3</v>
      </c>
      <c r="P987" s="47">
        <v>3</v>
      </c>
      <c r="Q987" s="213">
        <v>45174</v>
      </c>
      <c r="R987" s="271">
        <f ca="1">IF(D987="","",IF(OFFSET(D987,-1,0)&lt;&gt;"","",IF(OR(J987="リード付け",J987="巻足し",J987="巻返しリード付け"),M987,VLOOKUP(D987,契約台帳!$A$3:$N$4986,14,FALSE))))</f>
        <v>1050</v>
      </c>
      <c r="S987" s="272">
        <f ca="1">IF(D987="","",IF(OFFSET(D987,-1,0)&lt;&gt;"","",IF(OR(J987="リード付け",J987="巻足し",J987="巻返しリード付け"),M987,VLOOKUP(D987,契約台帳!$A$3:$O$4986,15,FALSE))))</f>
        <v>1050</v>
      </c>
      <c r="T987" s="273">
        <f ca="1">IF(D987="","",IF(J987="リード付け",N987,IF(J987="巻返しリード付け",N987,IF(J987="巻足し",N987*P987+OFFSET(N987,1,0)*OFFSET(P987,1,0),VLOOKUP(D987,契約台帳!$A$3:$P$4986,16,FALSE)))))</f>
        <v>12300</v>
      </c>
      <c r="U987" s="40">
        <v>1</v>
      </c>
      <c r="V987" s="274">
        <f ca="1">IF(D987="","",IF(OFFSET(D987,-2,0)=D987,"",VLOOKUP(D987,契約台帳!$A$3:$R$4986,18,FALSE)))</f>
        <v>3</v>
      </c>
      <c r="W987" s="269" t="str">
        <f ca="1">IF(D987="","",IF(T987="","",IF(OR(J987="巻足し",J987="巻返しリード付け"),"",IF(J987="巻返し",VLOOKUP(F987&amp;K987&amp;M987,製品マスタ!$M$5:$AD$5002,18,FALSE),IF(OR(J987="リード付け",J987="巻返しリード付け"),"原反コア",IF(J987="スリット",VLOOKUP(F987&amp;K987&amp;R987,製品マスタ!$N$5:$AD$5002,17,FALSE),""))))))</f>
        <v/>
      </c>
      <c r="X987" s="269" t="str">
        <f ca="1">IF(D987="","",IF(T987="","",IF(J987="巻足し","",IF(J987="巻返し",VLOOKUP(F987&amp;K987&amp;M987,製品マスタ!$M$5:$AE$5002,19,FALSE),IF(OR(J987="リード付け",J987="巻返しリード付け"),"",IF(J987="スリット",VLOOKUP(F987&amp;K987&amp;R987,製品マスタ!$N$5:$AE$5002,18,FALSE),""))))))</f>
        <v/>
      </c>
      <c r="Y987" s="275">
        <f ca="1">IF(D987="","",IF(T987="","",VLOOKUP(D987,契約台帳!$A$3:$Q$4986,17,FALSE)))</f>
        <v>2</v>
      </c>
      <c r="Z987" s="269" t="str">
        <f ca="1">IF(D987="","",IF(T987="","",VLOOKUP(D987,契約台帳!$A$3:$E$4986,5,FALSE)))</f>
        <v>リンテック㈱</v>
      </c>
      <c r="AA987" s="57"/>
      <c r="AB987" s="207">
        <f>IFERROR((VLOOKUP(F987&amp;K987&amp;M987,製品マスタ!$M$5:$AM$5002,27,FALSE)),"")</f>
        <v>0</v>
      </c>
      <c r="AC987" s="33"/>
      <c r="AD987" s="189"/>
      <c r="AE987" s="54"/>
      <c r="AF987" s="55">
        <f>+M987*N987*O987/1000</f>
        <v>12915</v>
      </c>
      <c r="AG987" s="43"/>
      <c r="AH987" s="47"/>
      <c r="AI987" s="30"/>
      <c r="AJ987" s="30"/>
      <c r="AK987" s="30"/>
      <c r="AL987" s="30"/>
      <c r="AM987" s="13"/>
      <c r="AN987" s="13"/>
      <c r="AO987" s="13"/>
      <c r="AP987" s="13"/>
      <c r="AQ987" s="13"/>
      <c r="AR987" s="14"/>
      <c r="AS987" s="15"/>
    </row>
    <row r="988" spans="1:45" s="17" customFormat="1" ht="30.95" hidden="1" customHeight="1" x14ac:dyDescent="0.2">
      <c r="A988" s="37"/>
      <c r="B988" s="38"/>
      <c r="C988" s="45"/>
      <c r="D988" s="31"/>
      <c r="E988" s="31"/>
      <c r="F988" s="268"/>
      <c r="G988" s="269"/>
      <c r="H988" s="269"/>
      <c r="I988" s="270"/>
      <c r="J988" s="210"/>
      <c r="K988" s="270"/>
      <c r="L988" s="270"/>
      <c r="M988" s="39"/>
      <c r="N988" s="39"/>
      <c r="O988" s="156"/>
      <c r="P988" s="47"/>
      <c r="Q988" s="57"/>
      <c r="R988" s="338"/>
      <c r="S988" s="272"/>
      <c r="T988" s="273"/>
      <c r="U988" s="40"/>
      <c r="V988" s="277"/>
      <c r="W988" s="269"/>
      <c r="X988" s="269"/>
      <c r="Y988" s="275"/>
      <c r="Z988" s="269"/>
      <c r="AA988" s="57"/>
      <c r="AB988" s="207"/>
      <c r="AC988" s="33"/>
      <c r="AD988" s="189"/>
      <c r="AE988" s="54"/>
      <c r="AF988" s="55"/>
      <c r="AG988" s="43"/>
      <c r="AH988" s="339"/>
      <c r="AI988" s="30"/>
      <c r="AJ988" s="30"/>
      <c r="AK988" s="30"/>
      <c r="AL988" s="30"/>
      <c r="AM988" s="13"/>
      <c r="AN988" s="13"/>
      <c r="AO988" s="13"/>
      <c r="AP988" s="13"/>
      <c r="AQ988" s="13"/>
      <c r="AR988" s="14"/>
      <c r="AS988" s="15"/>
    </row>
    <row r="989" spans="1:45" s="17" customFormat="1" ht="30.95" hidden="1" customHeight="1" x14ac:dyDescent="0.2">
      <c r="A989" s="37"/>
      <c r="B989" s="38"/>
      <c r="C989" s="45"/>
      <c r="D989" s="31">
        <v>3723634</v>
      </c>
      <c r="E989" s="31">
        <v>4162047</v>
      </c>
      <c r="F989" s="268" t="str">
        <f>IF(D989="","",VLOOKUP(D989,契約台帳!$A$3:$K$4986,6,FALSE)&amp;VLOOKUP(D989,契約台帳!$A$3:$K$4986,7,FALSE)&amp;VLOOKUP(D989,契約台帳!$A$3:$K$4986,8,FALSE)&amp;VLOOKUP(D989,契約台帳!$A$3:$K$4986,9,FALSE)&amp;VLOOKUP(D989,契約台帳!$A$3:$K$4986,11,FALSE))</f>
        <v>3SNMCLBNGKVB</v>
      </c>
      <c r="G989" s="269" t="str">
        <f>IF(D989="","",VLOOKUP(F989,製品マスタ!$G$5:$H$5002,2,FALSE))</f>
        <v>S</v>
      </c>
      <c r="H989" s="269" t="str">
        <f>IF(D989="","",VLOOKUP(F989,製品マスタ!$G$5:$K$5002,5,FALSE))</f>
        <v>NGKVB</v>
      </c>
      <c r="I989" s="270" t="str">
        <f>IF(D989="","",VLOOKUP(F989,製品マスタ!$G$5:$L$5002,6,FALSE))</f>
        <v>メタルミー　ネーマー銀消　ＶＢ</v>
      </c>
      <c r="J989" s="210" t="s">
        <v>935</v>
      </c>
      <c r="K989" s="270">
        <f>IF(D989="","",VLOOKUP(D989,契約台帳!$A$3:$L$4986,12,FALSE))</f>
        <v>50</v>
      </c>
      <c r="L989" s="270" t="str">
        <f>IF(D989="","",INDEX(製品マスタ!$Q$5:$Q$5002,MATCH('S4'!F989&amp;'S4'!K989,製品マスタ!$AO$5:$AO$5002,0)))</f>
        <v>MAT</v>
      </c>
      <c r="M989" s="39">
        <v>1005</v>
      </c>
      <c r="N989" s="39">
        <v>4100</v>
      </c>
      <c r="O989" s="156">
        <v>3</v>
      </c>
      <c r="P989" s="47">
        <v>3</v>
      </c>
      <c r="Q989" s="213">
        <v>45174</v>
      </c>
      <c r="R989" s="271">
        <f ca="1">IF(D989="","",IF(OFFSET(D989,-1,0)&lt;&gt;"","",IF(OR(J989="リード付け",J989="巻足し",J989="巻返しリード付け"),M989,VLOOKUP(D989,契約台帳!$A$3:$N$4986,14,FALSE))))</f>
        <v>1005</v>
      </c>
      <c r="S989" s="272">
        <f ca="1">IF(D989="","",IF(OFFSET(D989,-1,0)&lt;&gt;"","",IF(OR(J989="リード付け",J989="巻足し",J989="巻返しリード付け"),M989,VLOOKUP(D989,契約台帳!$A$3:$O$4986,15,FALSE))))</f>
        <v>1005</v>
      </c>
      <c r="T989" s="273">
        <f ca="1">IF(D989="","",IF(J989="リード付け",N989,IF(J989="巻返しリード付け",N989,IF(J989="巻足し",N989*P989+OFFSET(N989,1,0)*OFFSET(P989,1,0),VLOOKUP(D989,契約台帳!$A$3:$P$4986,16,FALSE)))))</f>
        <v>12300</v>
      </c>
      <c r="U989" s="40">
        <v>1</v>
      </c>
      <c r="V989" s="274">
        <f ca="1">IF(D989="","",IF(OFFSET(D989,-2,0)=D989,"",VLOOKUP(D989,契約台帳!$A$3:$R$4986,18,FALSE)))</f>
        <v>3</v>
      </c>
      <c r="W989" s="269" t="str">
        <f ca="1">IF(D989="","",IF(T989="","",IF(OR(J989="巻足し",J989="巻返しリード付け"),"",IF(J989="巻返し",VLOOKUP(F989&amp;K989&amp;M989,製品マスタ!$M$5:$AD$5002,18,FALSE),IF(OR(J989="リード付け",J989="巻返しリード付け"),"原反コア",IF(J989="スリット",VLOOKUP(F989&amp;K989&amp;R989,製品マスタ!$N$5:$AD$5002,17,FALSE),""))))))</f>
        <v/>
      </c>
      <c r="X989" s="269" t="str">
        <f ca="1">IF(D989="","",IF(T989="","",IF(J989="巻足し","",IF(J989="巻返し",VLOOKUP(F989&amp;K989&amp;M989,製品マスタ!$M$5:$AE$5002,19,FALSE),IF(OR(J989="リード付け",J989="巻返しリード付け"),"",IF(J989="スリット",VLOOKUP(F989&amp;K989&amp;R989,製品マスタ!$N$5:$AE$5002,18,FALSE),""))))))</f>
        <v/>
      </c>
      <c r="Y989" s="275">
        <f ca="1">IF(D989="","",IF(T989="","",VLOOKUP(D989,契約台帳!$A$3:$Q$4986,17,FALSE)))</f>
        <v>2</v>
      </c>
      <c r="Z989" s="269" t="str">
        <f ca="1">IF(D989="","",IF(T989="","",VLOOKUP(D989,契約台帳!$A$3:$E$4986,5,FALSE)))</f>
        <v>リンテック㈱</v>
      </c>
      <c r="AA989" s="57"/>
      <c r="AB989" s="207">
        <f>IFERROR((VLOOKUP(F989&amp;K989&amp;M989,製品マスタ!$M$5:$AM$5002,27,FALSE)),"")</f>
        <v>0</v>
      </c>
      <c r="AC989" s="33"/>
      <c r="AD989" s="189"/>
      <c r="AE989" s="54"/>
      <c r="AF989" s="55">
        <f>+M989*N989*O989/1000</f>
        <v>12361.5</v>
      </c>
      <c r="AG989" s="43"/>
      <c r="AH989" s="47"/>
      <c r="AI989" s="30"/>
      <c r="AJ989" s="30"/>
      <c r="AK989" s="30"/>
      <c r="AL989" s="30"/>
      <c r="AM989" s="13"/>
      <c r="AN989" s="13"/>
      <c r="AO989" s="13"/>
      <c r="AP989" s="13"/>
      <c r="AQ989" s="13"/>
      <c r="AR989" s="14"/>
      <c r="AS989" s="15"/>
    </row>
    <row r="990" spans="1:45" s="17" customFormat="1" ht="30.95" hidden="1" customHeight="1" x14ac:dyDescent="0.2">
      <c r="A990" s="37"/>
      <c r="B990" s="38"/>
      <c r="C990" s="45"/>
      <c r="D990" s="31"/>
      <c r="E990" s="31"/>
      <c r="F990" s="268"/>
      <c r="G990" s="269"/>
      <c r="H990" s="269"/>
      <c r="I990" s="270"/>
      <c r="J990" s="210"/>
      <c r="K990" s="270"/>
      <c r="L990" s="270"/>
      <c r="M990" s="39"/>
      <c r="N990" s="39"/>
      <c r="O990" s="156"/>
      <c r="P990" s="47"/>
      <c r="Q990" s="57"/>
      <c r="R990" s="338"/>
      <c r="S990" s="272"/>
      <c r="T990" s="273"/>
      <c r="U990" s="40"/>
      <c r="V990" s="277"/>
      <c r="W990" s="269"/>
      <c r="X990" s="269"/>
      <c r="Y990" s="275"/>
      <c r="Z990" s="269"/>
      <c r="AA990" s="57"/>
      <c r="AB990" s="207"/>
      <c r="AC990" s="33"/>
      <c r="AD990" s="189"/>
      <c r="AE990" s="54"/>
      <c r="AF990" s="55"/>
      <c r="AG990" s="43"/>
      <c r="AH990" s="339"/>
      <c r="AI990" s="30"/>
      <c r="AJ990" s="30"/>
      <c r="AK990" s="30"/>
      <c r="AL990" s="30"/>
      <c r="AM990" s="13"/>
      <c r="AN990" s="13"/>
      <c r="AO990" s="13"/>
      <c r="AP990" s="13"/>
      <c r="AQ990" s="13"/>
      <c r="AR990" s="14"/>
      <c r="AS990" s="15"/>
    </row>
    <row r="991" spans="1:45" s="17" customFormat="1" ht="30.95" hidden="1" customHeight="1" x14ac:dyDescent="0.2">
      <c r="A991" s="37"/>
      <c r="B991" s="38"/>
      <c r="C991" s="45"/>
      <c r="D991" s="31">
        <v>3724504</v>
      </c>
      <c r="E991" s="31">
        <v>4162051</v>
      </c>
      <c r="F991" s="268" t="str">
        <f>IF(D991="","",VLOOKUP(D991,契約台帳!$A$3:$K$4986,6,FALSE)&amp;VLOOKUP(D991,契約台帳!$A$3:$K$4986,7,FALSE)&amp;VLOOKUP(D991,契約台帳!$A$3:$K$4986,8,FALSE)&amp;VLOOKUP(D991,契約台帳!$A$3:$K$4986,9,FALSE)&amp;VLOOKUP(D991,契約台帳!$A$3:$K$4986,11,FALSE))</f>
        <v>3TNMCLBHLGKJV</v>
      </c>
      <c r="G991" s="269" t="str">
        <f>IF(D991="","",VLOOKUP(F991,製品マスタ!$G$5:$H$5002,2,FALSE))</f>
        <v>T</v>
      </c>
      <c r="H991" s="269" t="str">
        <f>IF(D991="","",VLOOKUP(F991,製品マスタ!$G$5:$K$5002,5,FALSE))</f>
        <v>HLGKJV</v>
      </c>
      <c r="I991" s="270" t="str">
        <f>IF(D991="","",VLOOKUP(F991,製品マスタ!$G$5:$L$5002,6,FALSE))</f>
        <v>メタルミー　ヘヤライン　銀消Ｖ</v>
      </c>
      <c r="J991" s="210" t="s">
        <v>935</v>
      </c>
      <c r="K991" s="270">
        <f>IF(D991="","",VLOOKUP(D991,契約台帳!$A$3:$L$4986,12,FALSE))</f>
        <v>50</v>
      </c>
      <c r="L991" s="270" t="str">
        <f>IF(D991="","",INDEX(製品マスタ!$Q$5:$Q$5002,MATCH('S4'!F991&amp;'S4'!K991,製品マスタ!$AO$5:$AO$5002,0)))</f>
        <v>HL-MAT</v>
      </c>
      <c r="M991" s="39">
        <v>1005</v>
      </c>
      <c r="N991" s="39">
        <v>4000</v>
      </c>
      <c r="O991" s="156">
        <v>2</v>
      </c>
      <c r="P991" s="47">
        <v>2</v>
      </c>
      <c r="Q991" s="213">
        <v>45174</v>
      </c>
      <c r="R991" s="271">
        <f ca="1">IF(D991="","",IF(OFFSET(D991,-1,0)&lt;&gt;"","",IF(OR(J991="リード付け",J991="巻足し",J991="巻返しリード付け"),M991,VLOOKUP(D991,契約台帳!$A$3:$N$4986,14,FALSE))))</f>
        <v>1005</v>
      </c>
      <c r="S991" s="272">
        <f ca="1">IF(D991="","",IF(OFFSET(D991,-1,0)&lt;&gt;"","",IF(OR(J991="リード付け",J991="巻足し",J991="巻返しリード付け"),M991,VLOOKUP(D991,契約台帳!$A$3:$O$4986,15,FALSE))))</f>
        <v>1005</v>
      </c>
      <c r="T991" s="273">
        <f ca="1">IF(D991="","",IF(J991="リード付け",N991,IF(J991="巻返しリード付け",N991,IF(J991="巻足し",N991*P991+OFFSET(N991,1,0)*OFFSET(P991,1,0),VLOOKUP(D991,契約台帳!$A$3:$P$4986,16,FALSE)))))</f>
        <v>8000</v>
      </c>
      <c r="U991" s="40">
        <v>1</v>
      </c>
      <c r="V991" s="274">
        <f ca="1">IF(D991="","",IF(OFFSET(D991,-2,0)=D991,"",VLOOKUP(D991,契約台帳!$A$3:$R$4986,18,FALSE)))</f>
        <v>4</v>
      </c>
      <c r="W991" s="269" t="str">
        <f ca="1">IF(D991="","",IF(T991="","",IF(OR(J991="巻足し",J991="巻返しリード付け"),"",IF(J991="巻返し",VLOOKUP(F991&amp;K991&amp;M991,製品マスタ!$M$5:$AD$5002,18,FALSE),IF(OR(J991="リード付け",J991="巻返しリード付け"),"原反コア",IF(J991="スリット",VLOOKUP(F991&amp;K991&amp;R991,製品マスタ!$N$5:$AD$5002,17,FALSE),""))))))</f>
        <v/>
      </c>
      <c r="X991" s="269" t="str">
        <f ca="1">IF(D991="","",IF(T991="","",IF(J991="巻足し","",IF(J991="巻返し",VLOOKUP(F991&amp;K991&amp;M991,製品マスタ!$M$5:$AE$5002,19,FALSE),IF(OR(J991="リード付け",J991="巻返しリード付け"),"",IF(J991="スリット",VLOOKUP(F991&amp;K991&amp;R991,製品マスタ!$N$5:$AE$5002,18,FALSE),""))))))</f>
        <v/>
      </c>
      <c r="Y991" s="275">
        <f ca="1">IF(D991="","",IF(T991="","",VLOOKUP(D991,契約台帳!$A$3:$Q$4986,17,FALSE)))</f>
        <v>2</v>
      </c>
      <c r="Z991" s="269" t="str">
        <f ca="1">IF(D991="","",IF(T991="","",VLOOKUP(D991,契約台帳!$A$3:$E$4986,5,FALSE)))</f>
        <v>リンテック㈱</v>
      </c>
      <c r="AA991" s="57"/>
      <c r="AB991" s="207" t="s">
        <v>774</v>
      </c>
      <c r="AC991" s="33"/>
      <c r="AD991" s="189"/>
      <c r="AE991" s="54"/>
      <c r="AF991" s="55">
        <f>+M991*N991*O991/1000</f>
        <v>8040</v>
      </c>
      <c r="AG991" s="43"/>
      <c r="AH991" s="47"/>
      <c r="AI991" s="30"/>
      <c r="AJ991" s="30"/>
      <c r="AK991" s="30"/>
      <c r="AL991" s="30"/>
      <c r="AM991" s="13"/>
      <c r="AN991" s="13"/>
      <c r="AO991" s="13"/>
      <c r="AP991" s="13"/>
      <c r="AQ991" s="13"/>
      <c r="AR991" s="14"/>
      <c r="AS991" s="15"/>
    </row>
    <row r="992" spans="1:45" s="17" customFormat="1" ht="30.95" hidden="1" customHeight="1" x14ac:dyDescent="0.2">
      <c r="A992" s="37"/>
      <c r="B992" s="38"/>
      <c r="C992" s="45"/>
      <c r="D992" s="31"/>
      <c r="E992" s="31"/>
      <c r="F992" s="268"/>
      <c r="G992" s="269"/>
      <c r="H992" s="269"/>
      <c r="I992" s="270"/>
      <c r="J992" s="210"/>
      <c r="K992" s="270"/>
      <c r="L992" s="270"/>
      <c r="M992" s="39"/>
      <c r="N992" s="39"/>
      <c r="O992" s="156"/>
      <c r="P992" s="47"/>
      <c r="Q992" s="57"/>
      <c r="R992" s="338"/>
      <c r="S992" s="272"/>
      <c r="T992" s="273"/>
      <c r="U992" s="40"/>
      <c r="V992" s="277"/>
      <c r="W992" s="269"/>
      <c r="X992" s="269"/>
      <c r="Y992" s="275"/>
      <c r="Z992" s="269"/>
      <c r="AA992" s="57"/>
      <c r="AB992" s="207"/>
      <c r="AC992" s="33"/>
      <c r="AD992" s="189"/>
      <c r="AE992" s="54"/>
      <c r="AF992" s="55"/>
      <c r="AG992" s="43"/>
      <c r="AH992" s="339"/>
      <c r="AI992" s="30"/>
      <c r="AJ992" s="30"/>
      <c r="AK992" s="30"/>
      <c r="AL992" s="30"/>
      <c r="AM992" s="13"/>
      <c r="AN992" s="13"/>
      <c r="AO992" s="13"/>
      <c r="AP992" s="13"/>
      <c r="AQ992" s="13"/>
      <c r="AR992" s="14"/>
      <c r="AS992" s="15"/>
    </row>
    <row r="993" spans="1:45" s="17" customFormat="1" ht="30.95" hidden="1" customHeight="1" x14ac:dyDescent="0.2">
      <c r="A993" s="37"/>
      <c r="B993" s="38"/>
      <c r="C993" s="45"/>
      <c r="D993" s="31">
        <v>3723645</v>
      </c>
      <c r="E993" s="31">
        <v>4162024</v>
      </c>
      <c r="F993" s="268" t="str">
        <f>IF(D993="","",VLOOKUP(D993,契約台帳!$A$3:$K$4986,6,FALSE)&amp;VLOOKUP(D993,契約台帳!$A$3:$K$4986,7,FALSE)&amp;VLOOKUP(D993,契約台帳!$A$3:$K$4986,8,FALSE)&amp;VLOOKUP(D993,契約台帳!$A$3:$K$4986,9,FALSE)&amp;VLOOKUP(D993,契約台帳!$A$3:$K$4986,11,FALSE))</f>
        <v>3SNMCLBHLGTV</v>
      </c>
      <c r="G993" s="269" t="str">
        <f>IF(D993="","",VLOOKUP(F993,製品マスタ!$G$5:$H$5002,2,FALSE))</f>
        <v>S</v>
      </c>
      <c r="H993" s="269" t="str">
        <f>IF(D993="","",VLOOKUP(F993,製品マスタ!$G$5:$K$5002,5,FALSE))</f>
        <v>HLGTV</v>
      </c>
      <c r="I993" s="270" t="str">
        <f>IF(D993="","",VLOOKUP(F993,製品マスタ!$G$5:$L$5002,6,FALSE))</f>
        <v>メタルミー　ヘヤライン　銀艶Ｖ</v>
      </c>
      <c r="J993" s="210" t="s">
        <v>935</v>
      </c>
      <c r="K993" s="270">
        <f>IF(D993="","",VLOOKUP(D993,契約台帳!$A$3:$L$4986,12,FALSE))</f>
        <v>50</v>
      </c>
      <c r="L993" s="270" t="str">
        <f>IF(D993="","",INDEX(製品マスタ!$Q$5:$Q$5002,MATCH('S4'!F993&amp;'S4'!K993,製品マスタ!$AO$5:$AO$5002,0)))</f>
        <v>BRIGHT</v>
      </c>
      <c r="M993" s="39">
        <v>1005</v>
      </c>
      <c r="N993" s="39">
        <v>4100</v>
      </c>
      <c r="O993" s="156">
        <v>1</v>
      </c>
      <c r="P993" s="47">
        <v>3</v>
      </c>
      <c r="Q993" s="213">
        <v>45174</v>
      </c>
      <c r="R993" s="271">
        <f ca="1">IF(D993="","",IF(OFFSET(D993,-1,0)&lt;&gt;"","",IF(OR(J993="リード付け",J993="巻足し",J993="巻返しリード付け"),M993,VLOOKUP(D993,契約台帳!$A$3:$N$4986,14,FALSE))))</f>
        <v>1005</v>
      </c>
      <c r="S993" s="272">
        <f ca="1">IF(D993="","",IF(OFFSET(D993,-1,0)&lt;&gt;"","",IF(OR(J993="リード付け",J993="巻足し",J993="巻返しリード付け"),M993,VLOOKUP(D993,契約台帳!$A$3:$O$4986,15,FALSE))))</f>
        <v>1005</v>
      </c>
      <c r="T993" s="273">
        <f ca="1">IF(D993="","",IF(J993="リード付け",N993,IF(J993="巻返しリード付け",N993,IF(J993="巻足し",N993*P993+OFFSET(N993,1,0)*OFFSET(P993,1,0),VLOOKUP(D993,契約台帳!$A$3:$P$4986,16,FALSE)))))</f>
        <v>12300</v>
      </c>
      <c r="U993" s="40">
        <v>1</v>
      </c>
      <c r="V993" s="274">
        <f ca="1">IF(D993="","",IF(OFFSET(D993,-2,0)=D993,"",VLOOKUP(D993,契約台帳!$A$3:$R$4986,18,FALSE)))</f>
        <v>1</v>
      </c>
      <c r="W993" s="269" t="str">
        <f ca="1">IF(D993="","",IF(T993="","",IF(OR(J993="巻足し",J993="巻返しリード付け"),"",IF(J993="巻返し",VLOOKUP(F993&amp;K993&amp;M993,製品マスタ!$M$5:$AD$5002,18,FALSE),IF(OR(J993="リード付け",J993="巻返しリード付け"),"原反コア",IF(J993="スリット",VLOOKUP(F993&amp;K993&amp;R993,製品マスタ!$N$5:$AD$5002,17,FALSE),""))))))</f>
        <v/>
      </c>
      <c r="X993" s="269" t="str">
        <f ca="1">IF(D993="","",IF(T993="","",IF(J993="巻足し","",IF(J993="巻返し",VLOOKUP(F993&amp;K993&amp;M993,製品マスタ!$M$5:$AE$5002,19,FALSE),IF(OR(J993="リード付け",J993="巻返しリード付け"),"",IF(J993="スリット",VLOOKUP(F993&amp;K993&amp;R993,製品マスタ!$N$5:$AE$5002,18,FALSE),""))))))</f>
        <v/>
      </c>
      <c r="Y993" s="275">
        <f ca="1">IF(D993="","",IF(T993="","",VLOOKUP(D993,契約台帳!$A$3:$Q$4986,17,FALSE)))</f>
        <v>2</v>
      </c>
      <c r="Z993" s="269" t="str">
        <f ca="1">IF(D993="","",IF(T993="","",VLOOKUP(D993,契約台帳!$A$3:$E$4986,5,FALSE)))</f>
        <v>リンテック㈱</v>
      </c>
      <c r="AA993" s="57"/>
      <c r="AB993" s="303">
        <f>IFERROR((VLOOKUP(F993&amp;K993&amp;M993,製品マスタ!$M$5:$AM$5002,27,FALSE)),"")</f>
        <v>0</v>
      </c>
      <c r="AC993" s="33"/>
      <c r="AD993" s="189"/>
      <c r="AE993" s="54"/>
      <c r="AF993" s="55">
        <f>+M993*N993*O993/1000</f>
        <v>4120.5</v>
      </c>
      <c r="AG993" s="43"/>
      <c r="AH993" s="47"/>
      <c r="AI993" s="30"/>
      <c r="AJ993" s="30"/>
      <c r="AK993" s="30"/>
      <c r="AL993" s="30"/>
      <c r="AM993" s="13"/>
      <c r="AN993" s="13"/>
      <c r="AO993" s="13"/>
      <c r="AP993" s="13"/>
      <c r="AQ993" s="13"/>
      <c r="AR993" s="14"/>
      <c r="AS993" s="15"/>
    </row>
    <row r="994" spans="1:45" s="17" customFormat="1" ht="30.95" hidden="1" customHeight="1" x14ac:dyDescent="0.2">
      <c r="A994" s="37"/>
      <c r="B994" s="38"/>
      <c r="C994" s="45"/>
      <c r="D994" s="31">
        <v>3725778</v>
      </c>
      <c r="E994" s="31"/>
      <c r="F994" s="268" t="str">
        <f>IF(D994="","",VLOOKUP(D994,契約台帳!$A$3:$K$4986,6,FALSE)&amp;VLOOKUP(D994,契約台帳!$A$3:$K$4986,7,FALSE)&amp;VLOOKUP(D994,契約台帳!$A$3:$K$4986,8,FALSE)&amp;VLOOKUP(D994,契約台帳!$A$3:$K$4986,9,FALSE)&amp;VLOOKUP(D994,契約台帳!$A$3:$K$4986,11,FALSE))</f>
        <v>3TNMCLBHLGTV</v>
      </c>
      <c r="G994" s="269" t="str">
        <f>IF(D994="","",VLOOKUP(F994,製品マスタ!$G$5:$H$5002,2,FALSE))</f>
        <v>T</v>
      </c>
      <c r="H994" s="269" t="str">
        <f>IF(D994="","",VLOOKUP(F994,製品マスタ!$G$5:$K$5002,5,FALSE))</f>
        <v>HLGTV</v>
      </c>
      <c r="I994" s="270" t="str">
        <f>IF(D994="","",VLOOKUP(F994,製品マスタ!$G$5:$L$5002,6,FALSE))</f>
        <v>メタルミー　ヘヤライン　銀艶Ｖ</v>
      </c>
      <c r="J994" s="210" t="s">
        <v>935</v>
      </c>
      <c r="K994" s="270">
        <f>IF(D994="","",VLOOKUP(D994,契約台帳!$A$3:$L$4986,12,FALSE))</f>
        <v>50</v>
      </c>
      <c r="L994" s="270" t="str">
        <f>IF(D994="","",INDEX(製品マスタ!$Q$5:$Q$5002,MATCH('S4'!F994&amp;'S4'!K994,製品マスタ!$AO$5:$AO$5002,0)))</f>
        <v>BRIGHT</v>
      </c>
      <c r="M994" s="39">
        <v>1005</v>
      </c>
      <c r="N994" s="39">
        <v>4100</v>
      </c>
      <c r="O994" s="156">
        <v>2</v>
      </c>
      <c r="P994" s="47"/>
      <c r="Q994" s="213">
        <v>45174</v>
      </c>
      <c r="R994" s="271" t="str">
        <f ca="1">IF(D994="","",IF(OFFSET(D994,-1,0)&lt;&gt;"","",IF(OR(J994="リード付け",J994="巻足し",J994="巻返しリード付け"),M994,VLOOKUP(D994,契約台帳!$A$3:$N$4986,14,FALSE))))</f>
        <v/>
      </c>
      <c r="S994" s="272" t="str">
        <f ca="1">IF(D994="","",IF(OFFSET(D994,-1,0)&lt;&gt;"","",IF(OR(J994="リード付け",J994="巻足し",J994="巻返しリード付け"),M994,VLOOKUP(D994,契約台帳!$A$3:$O$4986,15,FALSE))))</f>
        <v/>
      </c>
      <c r="T994" s="273">
        <f ca="1">IF(D994="","",IF(J994="リード付け",N994,IF(J994="巻返しリード付け",N994,IF(J994="巻足し",N994*P994+OFFSET(N994,1,0)*OFFSET(P994,1,0),VLOOKUP(D994,契約台帳!$A$3:$P$4986,16,FALSE)))))</f>
        <v>0</v>
      </c>
      <c r="U994" s="40"/>
      <c r="V994" s="274">
        <f ca="1">IF(D994="","",IF(OFFSET(D994,-2,0)=D994,"",VLOOKUP(D994,契約台帳!$A$3:$R$4986,18,FALSE)))</f>
        <v>5</v>
      </c>
      <c r="W994" s="269" t="str">
        <f ca="1">IF(D994="","",IF(T994="","",IF(OR(J994="巻足し",J994="巻返しリード付け"),"",IF(J994="巻返し",VLOOKUP(F994&amp;K994&amp;M994,製品マスタ!$M$5:$AD$5002,18,FALSE),IF(OR(J994="リード付け",J994="巻返しリード付け"),"原反コア",IF(J994="スリット",VLOOKUP(F994&amp;K994&amp;R994,製品マスタ!$N$5:$AD$5002,17,FALSE),""))))))</f>
        <v/>
      </c>
      <c r="X994" s="269" t="str">
        <f ca="1">IF(D994="","",IF(T994="","",IF(J994="巻足し","",IF(J994="巻返し",VLOOKUP(F994&amp;K994&amp;M994,製品マスタ!$M$5:$AE$5002,19,FALSE),IF(OR(J994="リード付け",J994="巻返しリード付け"),"",IF(J994="スリット",VLOOKUP(F994&amp;K994&amp;R994,製品マスタ!$N$5:$AE$5002,18,FALSE),""))))))</f>
        <v/>
      </c>
      <c r="Y994" s="275">
        <f ca="1">IF(D994="","",IF(T994="","",VLOOKUP(D994,契約台帳!$A$3:$Q$4986,17,FALSE)))</f>
        <v>2</v>
      </c>
      <c r="Z994" s="269" t="str">
        <f ca="1">IF(D994="","",IF(T994="","",VLOOKUP(D994,契約台帳!$A$3:$E$4986,5,FALSE)))</f>
        <v>リンテック㈱</v>
      </c>
      <c r="AA994" s="57"/>
      <c r="AB994" s="207" t="s">
        <v>774</v>
      </c>
      <c r="AC994" s="33"/>
      <c r="AD994" s="189"/>
      <c r="AE994" s="54"/>
      <c r="AF994" s="55">
        <f>+M994*N994*O994/1000</f>
        <v>8241</v>
      </c>
      <c r="AG994" s="43"/>
      <c r="AH994" s="47"/>
      <c r="AI994" s="30"/>
      <c r="AJ994" s="30"/>
      <c r="AK994" s="30"/>
      <c r="AL994" s="30"/>
      <c r="AM994" s="13"/>
      <c r="AN994" s="13"/>
      <c r="AO994" s="13"/>
      <c r="AP994" s="13"/>
      <c r="AQ994" s="13"/>
      <c r="AR994" s="14"/>
      <c r="AS994" s="15"/>
    </row>
    <row r="995" spans="1:45" s="17" customFormat="1" ht="30.95" hidden="1" customHeight="1" x14ac:dyDescent="0.2">
      <c r="A995" s="37"/>
      <c r="B995" s="38"/>
      <c r="C995" s="45"/>
      <c r="D995" s="31"/>
      <c r="E995" s="31"/>
      <c r="F995" s="268"/>
      <c r="G995" s="269"/>
      <c r="H995" s="269"/>
      <c r="I995" s="270"/>
      <c r="J995" s="210"/>
      <c r="K995" s="270"/>
      <c r="L995" s="270"/>
      <c r="M995" s="39"/>
      <c r="N995" s="39"/>
      <c r="O995" s="156"/>
      <c r="P995" s="47"/>
      <c r="Q995" s="57"/>
      <c r="R995" s="338"/>
      <c r="S995" s="272"/>
      <c r="T995" s="273"/>
      <c r="U995" s="40"/>
      <c r="V995" s="277"/>
      <c r="W995" s="269"/>
      <c r="X995" s="269"/>
      <c r="Y995" s="275"/>
      <c r="Z995" s="269"/>
      <c r="AA995" s="57"/>
      <c r="AB995" s="207"/>
      <c r="AC995" s="33"/>
      <c r="AD995" s="189"/>
      <c r="AE995" s="54"/>
      <c r="AF995" s="55"/>
      <c r="AG995" s="43"/>
      <c r="AH995" s="339"/>
      <c r="AI995" s="30"/>
      <c r="AJ995" s="30"/>
      <c r="AK995" s="30"/>
      <c r="AL995" s="30"/>
      <c r="AM995" s="13"/>
      <c r="AN995" s="13"/>
      <c r="AO995" s="13"/>
      <c r="AP995" s="13"/>
      <c r="AQ995" s="13"/>
      <c r="AR995" s="14"/>
      <c r="AS995" s="15"/>
    </row>
    <row r="996" spans="1:45" s="17" customFormat="1" ht="30.95" hidden="1" customHeight="1" x14ac:dyDescent="0.2">
      <c r="A996" s="37"/>
      <c r="B996" s="38"/>
      <c r="C996" s="45"/>
      <c r="D996" s="31">
        <v>3725778</v>
      </c>
      <c r="E996" s="31">
        <v>4162063</v>
      </c>
      <c r="F996" s="268" t="str">
        <f>IF(D996="","",VLOOKUP(D996,契約台帳!$A$3:$K$4986,6,FALSE)&amp;VLOOKUP(D996,契約台帳!$A$3:$K$4986,7,FALSE)&amp;VLOOKUP(D996,契約台帳!$A$3:$K$4986,8,FALSE)&amp;VLOOKUP(D996,契約台帳!$A$3:$K$4986,9,FALSE)&amp;VLOOKUP(D996,契約台帳!$A$3:$K$4986,11,FALSE))</f>
        <v>3TNMCLBHLGTV</v>
      </c>
      <c r="G996" s="269" t="str">
        <f>IF(D996="","",VLOOKUP(F996,製品マスタ!$G$5:$H$5002,2,FALSE))</f>
        <v>T</v>
      </c>
      <c r="H996" s="269" t="str">
        <f>IF(D996="","",VLOOKUP(F996,製品マスタ!$G$5:$K$5002,5,FALSE))</f>
        <v>HLGTV</v>
      </c>
      <c r="I996" s="270" t="str">
        <f>IF(D996="","",VLOOKUP(F996,製品マスタ!$G$5:$L$5002,6,FALSE))</f>
        <v>メタルミー　ヘヤライン　銀艶Ｖ</v>
      </c>
      <c r="J996" s="210" t="s">
        <v>935</v>
      </c>
      <c r="K996" s="270">
        <f>IF(D996="","",VLOOKUP(D996,契約台帳!$A$3:$L$4986,12,FALSE))</f>
        <v>50</v>
      </c>
      <c r="L996" s="270" t="str">
        <f>IF(D996="","",INDEX(製品マスタ!$Q$5:$Q$5002,MATCH('S4'!F996&amp;'S4'!K996,製品マスタ!$AO$5:$AO$5002,0)))</f>
        <v>BRIGHT</v>
      </c>
      <c r="M996" s="39">
        <v>1005</v>
      </c>
      <c r="N996" s="39">
        <v>4100</v>
      </c>
      <c r="O996" s="156">
        <v>3</v>
      </c>
      <c r="P996" s="47">
        <v>3</v>
      </c>
      <c r="Q996" s="213">
        <v>45174</v>
      </c>
      <c r="R996" s="271">
        <f ca="1">IF(D996="","",IF(OFFSET(D996,-1,0)&lt;&gt;"","",IF(OR(J996="リード付け",J996="巻足し",J996="巻返しリード付け"),M996,VLOOKUP(D996,契約台帳!$A$3:$N$4986,14,FALSE))))</f>
        <v>1005</v>
      </c>
      <c r="S996" s="272">
        <f ca="1">IF(D996="","",IF(OFFSET(D996,-1,0)&lt;&gt;"","",IF(OR(J996="リード付け",J996="巻足し",J996="巻返しリード付け"),M996,VLOOKUP(D996,契約台帳!$A$3:$O$4986,15,FALSE))))</f>
        <v>1005</v>
      </c>
      <c r="T996" s="273">
        <f ca="1">IF(D996="","",IF(J996="リード付け",N996,IF(J996="巻返しリード付け",N996,IF(J996="巻足し",N996*P996+OFFSET(N996,1,0)*OFFSET(P996,1,0),VLOOKUP(D996,契約台帳!$A$3:$P$4986,16,FALSE)))))</f>
        <v>12300</v>
      </c>
      <c r="U996" s="40">
        <v>1</v>
      </c>
      <c r="V996" s="274" t="str">
        <f ca="1">IF(D996="","",IF(OFFSET(D996,-2,0)=D996,"",VLOOKUP(D996,契約台帳!$A$3:$R$4986,18,FALSE)))</f>
        <v/>
      </c>
      <c r="W996" s="269" t="str">
        <f ca="1">IF(D996="","",IF(T996="","",IF(OR(J996="巻足し",J996="巻返しリード付け"),"",IF(J996="巻返し",VLOOKUP(F996&amp;K996&amp;M996,製品マスタ!$M$5:$AD$5002,18,FALSE),IF(OR(J996="リード付け",J996="巻返しリード付け"),"原反コア",IF(J996="スリット",VLOOKUP(F996&amp;K996&amp;R996,製品マスタ!$N$5:$AD$5002,17,FALSE),""))))))</f>
        <v/>
      </c>
      <c r="X996" s="269" t="str">
        <f ca="1">IF(D996="","",IF(T996="","",IF(J996="巻足し","",IF(J996="巻返し",VLOOKUP(F996&amp;K996&amp;M996,製品マスタ!$M$5:$AE$5002,19,FALSE),IF(OR(J996="リード付け",J996="巻返しリード付け"),"",IF(J996="スリット",VLOOKUP(F996&amp;K996&amp;R996,製品マスタ!$N$5:$AE$5002,18,FALSE),""))))))</f>
        <v/>
      </c>
      <c r="Y996" s="275">
        <f ca="1">IF(D996="","",IF(T996="","",VLOOKUP(D996,契約台帳!$A$3:$Q$4986,17,FALSE)))</f>
        <v>2</v>
      </c>
      <c r="Z996" s="269" t="str">
        <f ca="1">IF(D996="","",IF(T996="","",VLOOKUP(D996,契約台帳!$A$3:$E$4986,5,FALSE)))</f>
        <v>リンテック㈱</v>
      </c>
      <c r="AA996" s="57"/>
      <c r="AB996" s="207" t="s">
        <v>774</v>
      </c>
      <c r="AC996" s="33"/>
      <c r="AD996" s="189"/>
      <c r="AE996" s="54"/>
      <c r="AF996" s="55">
        <f>+M996*N996*O996/1000</f>
        <v>12361.5</v>
      </c>
      <c r="AG996" s="43"/>
      <c r="AH996" s="47"/>
      <c r="AI996" s="30"/>
      <c r="AJ996" s="30"/>
      <c r="AK996" s="30"/>
      <c r="AL996" s="30"/>
      <c r="AM996" s="13"/>
      <c r="AN996" s="13"/>
      <c r="AO996" s="13"/>
      <c r="AP996" s="13"/>
      <c r="AQ996" s="13"/>
      <c r="AR996" s="14"/>
      <c r="AS996" s="15"/>
    </row>
    <row r="997" spans="1:45" s="17" customFormat="1" ht="30.95" hidden="1" customHeight="1" x14ac:dyDescent="0.2">
      <c r="A997" s="37"/>
      <c r="B997" s="38"/>
      <c r="C997" s="45"/>
      <c r="D997" s="31"/>
      <c r="E997" s="31"/>
      <c r="F997" s="268"/>
      <c r="G997" s="269"/>
      <c r="H997" s="269"/>
      <c r="I997" s="270"/>
      <c r="J997" s="210"/>
      <c r="K997" s="270"/>
      <c r="L997" s="270"/>
      <c r="M997" s="39"/>
      <c r="N997" s="39"/>
      <c r="O997" s="156"/>
      <c r="P997" s="47"/>
      <c r="Q997" s="57"/>
      <c r="R997" s="338"/>
      <c r="S997" s="272"/>
      <c r="T997" s="273"/>
      <c r="U997" s="40"/>
      <c r="V997" s="277"/>
      <c r="W997" s="269"/>
      <c r="X997" s="269"/>
      <c r="Y997" s="275"/>
      <c r="Z997" s="269"/>
      <c r="AA997" s="57"/>
      <c r="AB997" s="207"/>
      <c r="AC997" s="33"/>
      <c r="AD997" s="189"/>
      <c r="AE997" s="54"/>
      <c r="AF997" s="55"/>
      <c r="AG997" s="43"/>
      <c r="AH997" s="339"/>
      <c r="AI997" s="30"/>
      <c r="AJ997" s="30"/>
      <c r="AK997" s="30"/>
      <c r="AL997" s="30"/>
      <c r="AM997" s="13"/>
      <c r="AN997" s="13"/>
      <c r="AO997" s="13"/>
      <c r="AP997" s="13"/>
      <c r="AQ997" s="13"/>
      <c r="AR997" s="14"/>
      <c r="AS997" s="15"/>
    </row>
    <row r="998" spans="1:45" s="17" customFormat="1" ht="30.95" hidden="1" customHeight="1" x14ac:dyDescent="0.2">
      <c r="A998" s="37"/>
      <c r="B998" s="38"/>
      <c r="C998" s="45"/>
      <c r="D998" s="31">
        <v>3723638</v>
      </c>
      <c r="E998" s="31">
        <v>4162055</v>
      </c>
      <c r="F998" s="268" t="str">
        <f>IF(D998="","",VLOOKUP(D998,契約台帳!$A$3:$K$4986,6,FALSE)&amp;VLOOKUP(D998,契約台帳!$A$3:$K$4986,7,FALSE)&amp;VLOOKUP(D998,契約台帳!$A$3:$K$4986,8,FALSE)&amp;VLOOKUP(D998,契約台帳!$A$3:$K$4986,9,FALSE)&amp;VLOOKUP(D998,契約台帳!$A$3:$K$4986,11,FALSE))</f>
        <v>3SNMLBMNNGKBF</v>
      </c>
      <c r="G998" s="269" t="str">
        <f>IF(D998="","",VLOOKUP(F998,製品マスタ!$G$5:$H$5002,2,FALSE))</f>
        <v>S</v>
      </c>
      <c r="H998" s="269" t="str">
        <f>IF(D998="","",VLOOKUP(F998,製品マスタ!$G$5:$K$5002,5,FALSE))</f>
        <v>MNNGKBF</v>
      </c>
      <c r="I998" s="270" t="str">
        <f>IF(D998="","",VLOOKUP(F998,製品マスタ!$G$5:$L$5002,6,FALSE))</f>
        <v>メタルミー　ニューネーマー銀消　Ｂ</v>
      </c>
      <c r="J998" s="210" t="s">
        <v>935</v>
      </c>
      <c r="K998" s="270">
        <f>IF(D998="","",VLOOKUP(D998,契約台帳!$A$3:$L$4986,12,FALSE))</f>
        <v>25</v>
      </c>
      <c r="L998" s="270" t="str">
        <f>IF(D998="","",INDEX(製品マスタ!$Q$5:$Q$5002,MATCH('S4'!F998&amp;'S4'!K998,製品マスタ!$AO$5:$AO$5002,0)))</f>
        <v>X44C</v>
      </c>
      <c r="M998" s="39">
        <v>1005</v>
      </c>
      <c r="N998" s="39">
        <v>8000</v>
      </c>
      <c r="O998" s="156">
        <v>2</v>
      </c>
      <c r="P998" s="47">
        <v>2</v>
      </c>
      <c r="Q998" s="213">
        <v>45175</v>
      </c>
      <c r="R998" s="271">
        <f ca="1">IF(D998="","",IF(OFFSET(D998,-1,0)&lt;&gt;"","",IF(OR(J998="リード付け",J998="巻足し",J998="巻返しリード付け"),M998,VLOOKUP(D998,契約台帳!$A$3:$N$4986,14,FALSE))))</f>
        <v>1005</v>
      </c>
      <c r="S998" s="272">
        <f ca="1">IF(D998="","",IF(OFFSET(D998,-1,0)&lt;&gt;"","",IF(OR(J998="リード付け",J998="巻足し",J998="巻返しリード付け"),M998,VLOOKUP(D998,契約台帳!$A$3:$O$4986,15,FALSE))))</f>
        <v>1005</v>
      </c>
      <c r="T998" s="273">
        <f ca="1">IF(D998="","",IF(J998="リード付け",N998,IF(J998="巻返しリード付け",N998,IF(J998="巻足し",N998*P998+OFFSET(N998,1,0)*OFFSET(P998,1,0),VLOOKUP(D998,契約台帳!$A$3:$P$4986,16,FALSE)))))</f>
        <v>16000</v>
      </c>
      <c r="U998" s="40">
        <v>1</v>
      </c>
      <c r="V998" s="274">
        <f ca="1">IF(D998="","",IF(OFFSET(D998,-2,0)=D998,"",VLOOKUP(D998,契約台帳!$A$3:$R$4986,18,FALSE)))</f>
        <v>8</v>
      </c>
      <c r="W998" s="269" t="str">
        <f ca="1">IF(D998="","",IF(T998="","",IF(OR(J998="巻足し",J998="巻返しリード付け"),"",IF(J998="巻返し",VLOOKUP(F998&amp;K998&amp;M998,製品マスタ!$M$5:$AD$5002,18,FALSE),IF(OR(J998="リード付け",J998="巻返しリード付け"),"原反コア",IF(J998="スリット",VLOOKUP(F998&amp;K998&amp;R998,製品マスタ!$N$5:$AD$5002,17,FALSE),""))))))</f>
        <v/>
      </c>
      <c r="X998" s="269" t="str">
        <f ca="1">IF(D998="","",IF(T998="","",IF(J998="巻足し","",IF(J998="巻返し",VLOOKUP(F998&amp;K998&amp;M998,製品マスタ!$M$5:$AE$5002,19,FALSE),IF(OR(J998="リード付け",J998="巻返しリード付け"),"",IF(J998="スリット",VLOOKUP(F998&amp;K998&amp;R998,製品マスタ!$N$5:$AE$5002,18,FALSE),""))))))</f>
        <v/>
      </c>
      <c r="Y998" s="275">
        <f ca="1">IF(D998="","",IF(T998="","",VLOOKUP(D998,契約台帳!$A$3:$Q$4986,17,FALSE)))</f>
        <v>2</v>
      </c>
      <c r="Z998" s="269" t="str">
        <f ca="1">IF(D998="","",IF(T998="","",VLOOKUP(D998,契約台帳!$A$3:$E$4986,5,FALSE)))</f>
        <v>リンテック㈱</v>
      </c>
      <c r="AA998" s="57"/>
      <c r="AB998" s="303">
        <f>IFERROR((VLOOKUP(F998&amp;K998&amp;M998,製品マスタ!$M$5:$AM$5002,27,FALSE)),"")</f>
        <v>0</v>
      </c>
      <c r="AC998" s="33"/>
      <c r="AD998" s="189"/>
      <c r="AE998" s="54"/>
      <c r="AF998" s="55">
        <f>+M998*N998*O998/1000</f>
        <v>16080</v>
      </c>
      <c r="AG998" s="43"/>
      <c r="AH998" s="47"/>
      <c r="AI998" s="30"/>
      <c r="AJ998" s="30"/>
      <c r="AK998" s="30"/>
      <c r="AL998" s="30"/>
      <c r="AM998" s="13"/>
      <c r="AN998" s="13"/>
      <c r="AO998" s="13"/>
      <c r="AP998" s="13"/>
      <c r="AQ998" s="13"/>
      <c r="AR998" s="14"/>
      <c r="AS998" s="15"/>
    </row>
    <row r="999" spans="1:45" s="17" customFormat="1" ht="30.95" hidden="1" customHeight="1" x14ac:dyDescent="0.2">
      <c r="A999" s="37"/>
      <c r="B999" s="38"/>
      <c r="C999" s="45"/>
      <c r="D999" s="31"/>
      <c r="E999" s="31"/>
      <c r="F999" s="268"/>
      <c r="G999" s="269"/>
      <c r="H999" s="269"/>
      <c r="I999" s="270"/>
      <c r="J999" s="210"/>
      <c r="K999" s="270"/>
      <c r="L999" s="270"/>
      <c r="M999" s="39"/>
      <c r="N999" s="39"/>
      <c r="O999" s="156"/>
      <c r="P999" s="47"/>
      <c r="Q999" s="57"/>
      <c r="R999" s="338"/>
      <c r="S999" s="272"/>
      <c r="T999" s="273"/>
      <c r="U999" s="40"/>
      <c r="V999" s="277"/>
      <c r="W999" s="269"/>
      <c r="X999" s="269"/>
      <c r="Y999" s="275"/>
      <c r="Z999" s="269"/>
      <c r="AA999" s="57"/>
      <c r="AB999" s="207"/>
      <c r="AC999" s="33"/>
      <c r="AD999" s="189"/>
      <c r="AE999" s="54"/>
      <c r="AF999" s="55"/>
      <c r="AG999" s="43"/>
      <c r="AH999" s="339"/>
      <c r="AI999" s="30"/>
      <c r="AJ999" s="30"/>
      <c r="AK999" s="30"/>
      <c r="AL999" s="30"/>
      <c r="AM999" s="13"/>
      <c r="AN999" s="13"/>
      <c r="AO999" s="13"/>
      <c r="AP999" s="13"/>
      <c r="AQ999" s="13"/>
      <c r="AR999" s="14"/>
      <c r="AS999" s="15"/>
    </row>
    <row r="1000" spans="1:45" s="17" customFormat="1" ht="30.95" hidden="1" customHeight="1" x14ac:dyDescent="0.2">
      <c r="A1000" s="37"/>
      <c r="B1000" s="38"/>
      <c r="C1000" s="45"/>
      <c r="D1000" s="31">
        <v>3723638</v>
      </c>
      <c r="E1000" s="31">
        <v>4162055</v>
      </c>
      <c r="F1000" s="268" t="str">
        <f>IF(D1000="","",VLOOKUP(D1000,契約台帳!$A$3:$K$4986,6,FALSE)&amp;VLOOKUP(D1000,契約台帳!$A$3:$K$4986,7,FALSE)&amp;VLOOKUP(D1000,契約台帳!$A$3:$K$4986,8,FALSE)&amp;VLOOKUP(D1000,契約台帳!$A$3:$K$4986,9,FALSE)&amp;VLOOKUP(D1000,契約台帳!$A$3:$K$4986,11,FALSE))</f>
        <v>3SNMLBMNNGKBF</v>
      </c>
      <c r="G1000" s="269" t="str">
        <f>IF(D1000="","",VLOOKUP(F1000,製品マスタ!$G$5:$H$5002,2,FALSE))</f>
        <v>S</v>
      </c>
      <c r="H1000" s="269" t="str">
        <f>IF(D1000="","",VLOOKUP(F1000,製品マスタ!$G$5:$K$5002,5,FALSE))</f>
        <v>MNNGKBF</v>
      </c>
      <c r="I1000" s="270" t="str">
        <f>IF(D1000="","",VLOOKUP(F1000,製品マスタ!$G$5:$L$5002,6,FALSE))</f>
        <v>メタルミー　ニューネーマー銀消　Ｂ</v>
      </c>
      <c r="J1000" s="210" t="s">
        <v>464</v>
      </c>
      <c r="K1000" s="270">
        <f>IF(D1000="","",VLOOKUP(D1000,契約台帳!$A$3:$L$4986,12,FALSE))</f>
        <v>25</v>
      </c>
      <c r="L1000" s="270" t="str">
        <f>IF(D1000="","",INDEX(製品マスタ!$Q$5:$Q$5002,MATCH('S4'!F1000&amp;'S4'!K1000,製品マスタ!$AO$5:$AO$5002,0)))</f>
        <v>X44C</v>
      </c>
      <c r="M1000" s="39">
        <v>1005</v>
      </c>
      <c r="N1000" s="39">
        <v>8000</v>
      </c>
      <c r="O1000" s="156">
        <v>2</v>
      </c>
      <c r="P1000" s="47">
        <v>1</v>
      </c>
      <c r="Q1000" s="213">
        <v>45175</v>
      </c>
      <c r="R1000" s="271">
        <f ca="1">IF(D1000="","",IF(OFFSET(D1000,-1,0)&lt;&gt;"","",IF(OR(J1000="リード付け",J1000="巻足し",J1000="巻返しリード付け"),M1000,VLOOKUP(D1000,契約台帳!$A$3:$N$4986,14,FALSE))))</f>
        <v>1005</v>
      </c>
      <c r="S1000" s="272">
        <f ca="1">IF(D1000="","",IF(OFFSET(D1000,-1,0)&lt;&gt;"","",IF(OR(J1000="リード付け",J1000="巻足し",J1000="巻返しリード付け"),M1000,VLOOKUP(D1000,契約台帳!$A$3:$O$4986,15,FALSE))))</f>
        <v>1005</v>
      </c>
      <c r="T1000" s="273">
        <f ca="1">IF(D1000="","",IF(J1000="リード付け",N1000,IF(J1000="巻返しリード付け",N1000,IF(J1000="巻足し",N1000*P1000+OFFSET(N1000,1,0)*OFFSET(P1000,1,0),VLOOKUP(D1000,契約台帳!$A$3:$P$4986,16,FALSE)))))</f>
        <v>8000</v>
      </c>
      <c r="U1000" s="40">
        <v>2</v>
      </c>
      <c r="V1000" s="274" t="str">
        <f ca="1">IF(D1000="","",IF(OFFSET(D1000,-2,0)=D1000,"",VLOOKUP(D1000,契約台帳!$A$3:$R$4986,18,FALSE)))</f>
        <v/>
      </c>
      <c r="W1000" s="269" t="str">
        <f ca="1">IF(D1000="","",IF(T1000="","",IF(OR(J1000="巻足し",J1000="巻返しリード付け"),"",IF(J1000="巻返し",VLOOKUP(F1000&amp;K1000&amp;M1000,製品マスタ!$M$5:$AD$5002,18,FALSE),IF(OR(J1000="リード付け",J1000="巻返しリード付け"),"原反コア",IF(J1000="スリット",VLOOKUP(F1000&amp;K1000&amp;R1000,製品マスタ!$N$5:$AD$5002,17,FALSE),""))))))</f>
        <v>原反コア</v>
      </c>
      <c r="X1000" s="269" t="str">
        <f ca="1">IF(D1000="","",IF(T1000="","",IF(J1000="巻足し","",IF(J1000="巻返し",VLOOKUP(F1000&amp;K1000&amp;M1000,製品マスタ!$M$5:$AE$5002,19,FALSE),IF(OR(J1000="リード付け",J1000="巻返しリード付け"),"",IF(J1000="スリット",VLOOKUP(F1000&amp;K1000&amp;R1000,製品マスタ!$N$5:$AE$5002,18,FALSE),""))))))</f>
        <v/>
      </c>
      <c r="Y1000" s="275">
        <f ca="1">IF(D1000="","",IF(T1000="","",VLOOKUP(D1000,契約台帳!$A$3:$Q$4986,17,FALSE)))</f>
        <v>2</v>
      </c>
      <c r="Z1000" s="269" t="str">
        <f ca="1">IF(D1000="","",IF(T1000="","",VLOOKUP(D1000,契約台帳!$A$3:$E$4986,5,FALSE)))</f>
        <v>リンテック㈱</v>
      </c>
      <c r="AA1000" s="57"/>
      <c r="AB1000" s="303">
        <f>IFERROR((VLOOKUP(F1000&amp;K1000&amp;M1000,製品マスタ!$M$5:$AM$5002,27,FALSE)),"")</f>
        <v>0</v>
      </c>
      <c r="AC1000" s="33"/>
      <c r="AD1000" s="189"/>
      <c r="AE1000" s="54"/>
      <c r="AF1000" s="55">
        <f>+M1000*N1000*O1000/1000</f>
        <v>16080</v>
      </c>
      <c r="AG1000" s="43"/>
      <c r="AH1000" s="47"/>
      <c r="AI1000" s="30"/>
      <c r="AJ1000" s="30"/>
      <c r="AK1000" s="30"/>
      <c r="AL1000" s="30"/>
      <c r="AM1000" s="13"/>
      <c r="AN1000" s="13"/>
      <c r="AO1000" s="13"/>
      <c r="AP1000" s="13"/>
      <c r="AQ1000" s="13"/>
      <c r="AR1000" s="14"/>
      <c r="AS1000" s="15"/>
    </row>
    <row r="1001" spans="1:45" s="17" customFormat="1" ht="30.95" hidden="1" customHeight="1" x14ac:dyDescent="0.2">
      <c r="A1001" s="37"/>
      <c r="B1001" s="38"/>
      <c r="C1001" s="45"/>
      <c r="D1001" s="31"/>
      <c r="E1001" s="31"/>
      <c r="F1001" s="268"/>
      <c r="G1001" s="269"/>
      <c r="H1001" s="269"/>
      <c r="I1001" s="270"/>
      <c r="J1001" s="210"/>
      <c r="K1001" s="270"/>
      <c r="L1001" s="270"/>
      <c r="M1001" s="39"/>
      <c r="N1001" s="39"/>
      <c r="O1001" s="156"/>
      <c r="P1001" s="47"/>
      <c r="Q1001" s="57"/>
      <c r="R1001" s="338"/>
      <c r="S1001" s="272"/>
      <c r="T1001" s="273"/>
      <c r="U1001" s="40"/>
      <c r="V1001" s="277"/>
      <c r="W1001" s="269"/>
      <c r="X1001" s="269"/>
      <c r="Y1001" s="275"/>
      <c r="Z1001" s="269"/>
      <c r="AA1001" s="57"/>
      <c r="AB1001" s="207"/>
      <c r="AC1001" s="33"/>
      <c r="AD1001" s="189"/>
      <c r="AE1001" s="54"/>
      <c r="AF1001" s="55"/>
      <c r="AG1001" s="43"/>
      <c r="AH1001" s="339"/>
      <c r="AI1001" s="30"/>
      <c r="AJ1001" s="30"/>
      <c r="AK1001" s="30"/>
      <c r="AL1001" s="30"/>
      <c r="AM1001" s="13"/>
      <c r="AN1001" s="13"/>
      <c r="AO1001" s="13"/>
      <c r="AP1001" s="13"/>
      <c r="AQ1001" s="13"/>
      <c r="AR1001" s="14"/>
      <c r="AS1001" s="15"/>
    </row>
    <row r="1002" spans="1:45" s="17" customFormat="1" ht="30.95" hidden="1" customHeight="1" x14ac:dyDescent="0.2">
      <c r="A1002" s="37"/>
      <c r="B1002" s="38"/>
      <c r="C1002" s="45"/>
      <c r="D1002" s="31">
        <v>3723639</v>
      </c>
      <c r="E1002" s="31">
        <v>4162061</v>
      </c>
      <c r="F1002" s="268" t="str">
        <f>IF(D1002="","",VLOOKUP(D1002,契約台帳!$A$3:$K$4986,6,FALSE)&amp;VLOOKUP(D1002,契約台帳!$A$3:$K$4986,7,FALSE)&amp;VLOOKUP(D1002,契約台帳!$A$3:$K$4986,8,FALSE)&amp;VLOOKUP(D1002,契約台帳!$A$3:$K$4986,9,FALSE)&amp;VLOOKUP(D1002,契約台帳!$A$3:$K$4986,11,FALSE))</f>
        <v>3SNMLBMNNGKBF</v>
      </c>
      <c r="G1002" s="269" t="str">
        <f>IF(D1002="","",VLOOKUP(F1002,製品マスタ!$G$5:$H$5002,2,FALSE))</f>
        <v>S</v>
      </c>
      <c r="H1002" s="269" t="str">
        <f>IF(D1002="","",VLOOKUP(F1002,製品マスタ!$G$5:$K$5002,5,FALSE))</f>
        <v>MNNGKBF</v>
      </c>
      <c r="I1002" s="270" t="str">
        <f>IF(D1002="","",VLOOKUP(F1002,製品マスタ!$G$5:$L$5002,6,FALSE))</f>
        <v>メタルミー　ニューネーマー銀消　Ｂ</v>
      </c>
      <c r="J1002" s="210" t="s">
        <v>935</v>
      </c>
      <c r="K1002" s="270">
        <f>IF(D1002="","",VLOOKUP(D1002,契約台帳!$A$3:$L$4986,12,FALSE))</f>
        <v>50</v>
      </c>
      <c r="L1002" s="270" t="str">
        <f>IF(D1002="","",INDEX(製品マスタ!$Q$5:$Q$5002,MATCH('S4'!F1002&amp;'S4'!K1002,製品マスタ!$AO$5:$AO$5002,0)))</f>
        <v>X44</v>
      </c>
      <c r="M1002" s="39">
        <v>1000</v>
      </c>
      <c r="N1002" s="39">
        <v>4000</v>
      </c>
      <c r="O1002" s="156">
        <v>6</v>
      </c>
      <c r="P1002" s="47">
        <v>3</v>
      </c>
      <c r="Q1002" s="213">
        <v>45175</v>
      </c>
      <c r="R1002" s="271">
        <f ca="1">IF(D1002="","",IF(OFFSET(D1002,-1,0)&lt;&gt;"","",IF(OR(J1002="リード付け",J1002="巻足し",J1002="巻返しリード付け"),M1002,VLOOKUP(D1002,契約台帳!$A$3:$N$4986,14,FALSE))))</f>
        <v>1000</v>
      </c>
      <c r="S1002" s="272">
        <f ca="1">IF(D1002="","",IF(OFFSET(D1002,-1,0)&lt;&gt;"","",IF(OR(J1002="リード付け",J1002="巻足し",J1002="巻返しリード付け"),M1002,VLOOKUP(D1002,契約台帳!$A$3:$O$4986,15,FALSE))))</f>
        <v>1000</v>
      </c>
      <c r="T1002" s="273">
        <f ca="1">IF(D1002="","",IF(J1002="リード付け",N1002,IF(J1002="巻返しリード付け",N1002,IF(J1002="巻足し",N1002*P1002+OFFSET(N1002,1,0)*OFFSET(P1002,1,0),VLOOKUP(D1002,契約台帳!$A$3:$P$4986,16,FALSE)))))</f>
        <v>12000</v>
      </c>
      <c r="U1002" s="40">
        <v>2</v>
      </c>
      <c r="V1002" s="274">
        <f ca="1">IF(D1002="","",IF(OFFSET(D1002,-2,0)=D1002,"",VLOOKUP(D1002,契約台帳!$A$3:$R$4986,18,FALSE)))</f>
        <v>12</v>
      </c>
      <c r="W1002" s="269" t="str">
        <f ca="1">IF(D1002="","",IF(T1002="","",IF(OR(J1002="巻足し",J1002="巻返しリード付け"),"",IF(J1002="巻返し",VLOOKUP(F1002&amp;K1002&amp;M1002,製品マスタ!$M$5:$AD$5002,18,FALSE),IF(OR(J1002="リード付け",J1002="巻返しリード付け"),"原反コア",IF(J1002="スリット",VLOOKUP(F1002&amp;K1002&amp;R1002,製品マスタ!$N$5:$AD$5002,17,FALSE),""))))))</f>
        <v/>
      </c>
      <c r="X1002" s="269" t="str">
        <f ca="1">IF(D1002="","",IF(T1002="","",IF(J1002="巻足し","",IF(J1002="巻返し",VLOOKUP(F1002&amp;K1002&amp;M1002,製品マスタ!$M$5:$AE$5002,19,FALSE),IF(OR(J1002="リード付け",J1002="巻返しリード付け"),"",IF(J1002="スリット",VLOOKUP(F1002&amp;K1002&amp;R1002,製品マスタ!$N$5:$AE$5002,18,FALSE),""))))))</f>
        <v/>
      </c>
      <c r="Y1002" s="275">
        <f ca="1">IF(D1002="","",IF(T1002="","",VLOOKUP(D1002,契約台帳!$A$3:$Q$4986,17,FALSE)))</f>
        <v>2</v>
      </c>
      <c r="Z1002" s="269" t="str">
        <f ca="1">IF(D1002="","",IF(T1002="","",VLOOKUP(D1002,契約台帳!$A$3:$E$4986,5,FALSE)))</f>
        <v>リンテック㈱</v>
      </c>
      <c r="AA1002" s="57"/>
      <c r="AB1002" s="303" t="str">
        <f>IFERROR((VLOOKUP(F1002&amp;K1002&amp;M1002,製品マスタ!$M$5:$AM$5002,27,FALSE)),"")</f>
        <v>原反ケース再利用</v>
      </c>
      <c r="AC1002" s="33"/>
      <c r="AD1002" s="189"/>
      <c r="AE1002" s="54"/>
      <c r="AF1002" s="55">
        <f>+M1002*N1002*O1002/1000</f>
        <v>24000</v>
      </c>
      <c r="AG1002" s="43"/>
      <c r="AH1002" s="47"/>
      <c r="AI1002" s="30"/>
      <c r="AJ1002" s="30"/>
      <c r="AK1002" s="30"/>
      <c r="AL1002" s="30"/>
      <c r="AM1002" s="13"/>
      <c r="AN1002" s="13"/>
      <c r="AO1002" s="13"/>
      <c r="AP1002" s="13"/>
      <c r="AQ1002" s="13"/>
      <c r="AR1002" s="14"/>
      <c r="AS1002" s="15"/>
    </row>
    <row r="1003" spans="1:45" s="17" customFormat="1" ht="30.95" hidden="1" customHeight="1" x14ac:dyDescent="0.2">
      <c r="A1003" s="37"/>
      <c r="B1003" s="38"/>
      <c r="C1003" s="45"/>
      <c r="D1003" s="31"/>
      <c r="E1003" s="31"/>
      <c r="F1003" s="268"/>
      <c r="G1003" s="269"/>
      <c r="H1003" s="269"/>
      <c r="I1003" s="270"/>
      <c r="J1003" s="210"/>
      <c r="K1003" s="270"/>
      <c r="L1003" s="270"/>
      <c r="M1003" s="39"/>
      <c r="N1003" s="39"/>
      <c r="O1003" s="156"/>
      <c r="P1003" s="47"/>
      <c r="Q1003" s="57"/>
      <c r="R1003" s="338"/>
      <c r="S1003" s="272"/>
      <c r="T1003" s="273"/>
      <c r="U1003" s="40"/>
      <c r="V1003" s="277"/>
      <c r="W1003" s="269"/>
      <c r="X1003" s="269"/>
      <c r="Y1003" s="275"/>
      <c r="Z1003" s="269"/>
      <c r="AA1003" s="57"/>
      <c r="AB1003" s="207"/>
      <c r="AC1003" s="33"/>
      <c r="AD1003" s="189"/>
      <c r="AE1003" s="54"/>
      <c r="AF1003" s="55"/>
      <c r="AG1003" s="43"/>
      <c r="AH1003" s="339"/>
      <c r="AI1003" s="30"/>
      <c r="AJ1003" s="30"/>
      <c r="AK1003" s="30"/>
      <c r="AL1003" s="30"/>
      <c r="AM1003" s="13"/>
      <c r="AN1003" s="13"/>
      <c r="AO1003" s="13"/>
      <c r="AP1003" s="13"/>
      <c r="AQ1003" s="13"/>
      <c r="AR1003" s="14"/>
      <c r="AS1003" s="15"/>
    </row>
    <row r="1004" spans="1:45" s="17" customFormat="1" ht="30.95" hidden="1" customHeight="1" x14ac:dyDescent="0.2">
      <c r="A1004" s="37" t="s">
        <v>552</v>
      </c>
      <c r="B1004" s="38" t="s">
        <v>443</v>
      </c>
      <c r="C1004" s="45"/>
      <c r="D1004" s="31">
        <v>3723637</v>
      </c>
      <c r="E1004" s="31">
        <v>4162034</v>
      </c>
      <c r="F1004" s="268" t="str">
        <f>IF(D1004="","",VLOOKUP(D1004,契約台帳!$A$3:$K$4986,6,FALSE)&amp;VLOOKUP(D1004,契約台帳!$A$3:$K$4986,7,FALSE)&amp;VLOOKUP(D1004,契約台帳!$A$3:$K$4986,8,FALSE)&amp;VLOOKUP(D1004,契約台帳!$A$3:$K$4986,9,FALSE)&amp;VLOOKUP(D1004,契約台帳!$A$3:$K$4986,11,FALSE))</f>
        <v>3SNMLBMNGTBF</v>
      </c>
      <c r="G1004" s="269" t="str">
        <f>IF(D1004="","",VLOOKUP(F1004,製品マスタ!$G$5:$H$5002,2,FALSE))</f>
        <v>S</v>
      </c>
      <c r="H1004" s="269" t="str">
        <f>IF(D1004="","",VLOOKUP(F1004,製品マスタ!$G$5:$K$5002,5,FALSE))</f>
        <v>MNGTBF</v>
      </c>
      <c r="I1004" s="270" t="str">
        <f>IF(D1004="","",VLOOKUP(F1004,製品マスタ!$G$5:$L$5002,6,FALSE))</f>
        <v>メタルミー　ネーマー　銀艶　Ｂ</v>
      </c>
      <c r="J1004" s="210" t="s">
        <v>935</v>
      </c>
      <c r="K1004" s="270">
        <f>IF(D1004="","",VLOOKUP(D1004,契約台帳!$A$3:$L$4986,12,FALSE))</f>
        <v>50</v>
      </c>
      <c r="L1004" s="270" t="str">
        <f>IF(D1004="","",INDEX(製品マスタ!$Q$5:$Q$5002,MATCH('S4'!F1004&amp;'S4'!K1004,製品マスタ!$AO$5:$AO$5002,0)))</f>
        <v>T62</v>
      </c>
      <c r="M1004" s="39">
        <v>1120</v>
      </c>
      <c r="N1004" s="39">
        <v>5000</v>
      </c>
      <c r="O1004" s="156">
        <v>16</v>
      </c>
      <c r="P1004" s="47">
        <v>2</v>
      </c>
      <c r="Q1004" s="213">
        <v>45170</v>
      </c>
      <c r="R1004" s="271">
        <f ca="1">IF(D1004="","",IF(OFFSET(D1004,-1,0)&lt;&gt;"","",IF(OR(J1004="リード付け",J1004="巻足し",J1004="巻返しリード付け"),M1004,VLOOKUP(D1004,契約台帳!$A$3:$N$4986,14,FALSE))))</f>
        <v>1120</v>
      </c>
      <c r="S1004" s="272">
        <f ca="1">IF(D1004="","",IF(OFFSET(D1004,-1,0)&lt;&gt;"","",IF(OR(J1004="リード付け",J1004="巻足し",J1004="巻返しリード付け"),M1004,VLOOKUP(D1004,契約台帳!$A$3:$O$4986,15,FALSE))))</f>
        <v>1120</v>
      </c>
      <c r="T1004" s="273">
        <f ca="1">IF(D1004="","",IF(J1004="リード付け",N1004,IF(J1004="巻返しリード付け",N1004,IF(J1004="巻足し",N1004*P1004+OFFSET(N1004,1,0)*OFFSET(P1004,1,0),VLOOKUP(D1004,契約台帳!$A$3:$P$4986,16,FALSE)))))</f>
        <v>10000</v>
      </c>
      <c r="U1004" s="40">
        <v>8</v>
      </c>
      <c r="V1004" s="274">
        <f ca="1">IF(D1004="","",IF(OFFSET(D1004,-2,0)=D1004,"",VLOOKUP(D1004,契約台帳!$A$3:$R$4986,18,FALSE)))</f>
        <v>34</v>
      </c>
      <c r="W1004" s="269" t="str">
        <f ca="1">IF(D1004="","",IF(T1004="","",IF(OR(J1004="巻足し",J1004="巻返しリード付け"),"",IF(J1004="巻返し",VLOOKUP(F1004&amp;K1004&amp;M1004,製品マスタ!$M$5:$AD$5002,18,FALSE),IF(OR(J1004="リード付け",J1004="巻返しリード付け"),"原反コア",IF(J1004="スリット",VLOOKUP(F1004&amp;K1004&amp;R1004,製品マスタ!$N$5:$AD$5002,17,FALSE),""))))))</f>
        <v/>
      </c>
      <c r="X1004" s="269" t="str">
        <f ca="1">IF(D1004="","",IF(T1004="","",IF(J1004="巻足し","",IF(J1004="巻返し",VLOOKUP(F1004&amp;K1004&amp;M1004,製品マスタ!$M$5:$AE$5002,19,FALSE),IF(OR(J1004="リード付け",J1004="巻返しリード付け"),"",IF(J1004="スリット",VLOOKUP(F1004&amp;K1004&amp;R1004,製品マスタ!$N$5:$AE$5002,18,FALSE),""))))))</f>
        <v/>
      </c>
      <c r="Y1004" s="275">
        <f ca="1">IF(D1004="","",IF(T1004="","",VLOOKUP(D1004,契約台帳!$A$3:$Q$4986,17,FALSE)))</f>
        <v>2</v>
      </c>
      <c r="Z1004" s="269" t="str">
        <f ca="1">IF(D1004="","",IF(T1004="","",VLOOKUP(D1004,契約台帳!$A$3:$E$4986,5,FALSE)))</f>
        <v>リンテック㈱</v>
      </c>
      <c r="AA1004" s="57"/>
      <c r="AB1004" s="207" t="str">
        <f>IFERROR((VLOOKUP(F1004&amp;K1004&amp;M1004,製品マスタ!$M$5:$AM$5002,27,FALSE)),"")</f>
        <v>原反ケース再利用</v>
      </c>
      <c r="AC1004" s="33"/>
      <c r="AD1004" s="189"/>
      <c r="AE1004" s="54"/>
      <c r="AF1004" s="55">
        <f>+M1004*N1004*O1004/1000</f>
        <v>89600</v>
      </c>
      <c r="AG1004" s="43"/>
      <c r="AH1004" s="47"/>
      <c r="AI1004" s="30"/>
      <c r="AJ1004" s="30"/>
      <c r="AK1004" s="30"/>
      <c r="AL1004" s="30"/>
      <c r="AM1004" s="13"/>
      <c r="AN1004" s="13"/>
      <c r="AO1004" s="13"/>
      <c r="AP1004" s="13"/>
      <c r="AQ1004" s="13"/>
      <c r="AR1004" s="14"/>
      <c r="AS1004" s="15"/>
    </row>
    <row r="1005" spans="1:45" s="17" customFormat="1" ht="30.95" hidden="1" customHeight="1" x14ac:dyDescent="0.2">
      <c r="A1005" s="37"/>
      <c r="B1005" s="38"/>
      <c r="C1005" s="45"/>
      <c r="D1005" s="31"/>
      <c r="E1005" s="31"/>
      <c r="F1005" s="268"/>
      <c r="G1005" s="269"/>
      <c r="H1005" s="269"/>
      <c r="I1005" s="270"/>
      <c r="J1005" s="210"/>
      <c r="K1005" s="270"/>
      <c r="L1005" s="270"/>
      <c r="M1005" s="39"/>
      <c r="N1005" s="39"/>
      <c r="O1005" s="156"/>
      <c r="P1005" s="47"/>
      <c r="Q1005" s="57"/>
      <c r="R1005" s="338"/>
      <c r="S1005" s="272"/>
      <c r="T1005" s="273"/>
      <c r="U1005" s="40"/>
      <c r="V1005" s="277"/>
      <c r="W1005" s="269"/>
      <c r="X1005" s="269"/>
      <c r="Y1005" s="275"/>
      <c r="Z1005" s="269"/>
      <c r="AA1005" s="57"/>
      <c r="AB1005" s="207"/>
      <c r="AC1005" s="33"/>
      <c r="AD1005" s="189"/>
      <c r="AE1005" s="54"/>
      <c r="AF1005" s="55"/>
      <c r="AG1005" s="43"/>
      <c r="AH1005" s="339"/>
      <c r="AI1005" s="30"/>
      <c r="AJ1005" s="30"/>
      <c r="AK1005" s="30"/>
      <c r="AL1005" s="30"/>
      <c r="AM1005" s="13"/>
      <c r="AN1005" s="13"/>
      <c r="AO1005" s="13"/>
      <c r="AP1005" s="13"/>
      <c r="AQ1005" s="13"/>
      <c r="AR1005" s="14"/>
      <c r="AS1005" s="15"/>
    </row>
    <row r="1006" spans="1:45" s="17" customFormat="1" ht="30.95" hidden="1" customHeight="1" x14ac:dyDescent="0.2">
      <c r="A1006" s="37" t="s">
        <v>553</v>
      </c>
      <c r="B1006" s="38" t="s">
        <v>444</v>
      </c>
      <c r="C1006" s="45"/>
      <c r="D1006" s="31">
        <v>3723637</v>
      </c>
      <c r="E1006" s="31">
        <v>4162034</v>
      </c>
      <c r="F1006" s="268" t="str">
        <f>IF(D1006="","",VLOOKUP(D1006,契約台帳!$A$3:$K$4986,6,FALSE)&amp;VLOOKUP(D1006,契約台帳!$A$3:$K$4986,7,FALSE)&amp;VLOOKUP(D1006,契約台帳!$A$3:$K$4986,8,FALSE)&amp;VLOOKUP(D1006,契約台帳!$A$3:$K$4986,9,FALSE)&amp;VLOOKUP(D1006,契約台帳!$A$3:$K$4986,11,FALSE))</f>
        <v>3SNMLBMNGTBF</v>
      </c>
      <c r="G1006" s="269" t="str">
        <f>IF(D1006="","",VLOOKUP(F1006,製品マスタ!$G$5:$H$5002,2,FALSE))</f>
        <v>S</v>
      </c>
      <c r="H1006" s="269" t="str">
        <f>IF(D1006="","",VLOOKUP(F1006,製品マスタ!$G$5:$K$5002,5,FALSE))</f>
        <v>MNGTBF</v>
      </c>
      <c r="I1006" s="270" t="str">
        <f>IF(D1006="","",VLOOKUP(F1006,製品マスタ!$G$5:$L$5002,6,FALSE))</f>
        <v>メタルミー　ネーマー　銀艶　Ｂ</v>
      </c>
      <c r="J1006" s="210" t="s">
        <v>935</v>
      </c>
      <c r="K1006" s="270">
        <f>IF(D1006="","",VLOOKUP(D1006,契約台帳!$A$3:$L$4986,12,FALSE))</f>
        <v>50</v>
      </c>
      <c r="L1006" s="270" t="str">
        <f>IF(D1006="","",INDEX(製品マスタ!$Q$5:$Q$5002,MATCH('S4'!F1006&amp;'S4'!K1006,製品マスタ!$AO$5:$AO$5002,0)))</f>
        <v>T62</v>
      </c>
      <c r="M1006" s="39">
        <v>1120</v>
      </c>
      <c r="N1006" s="39">
        <v>5000</v>
      </c>
      <c r="O1006" s="156">
        <v>18</v>
      </c>
      <c r="P1006" s="47">
        <v>2</v>
      </c>
      <c r="Q1006" s="213">
        <v>45170</v>
      </c>
      <c r="R1006" s="271">
        <f ca="1">IF(D1006="","",IF(OFFSET(D1006,-1,0)&lt;&gt;"","",IF(OR(J1006="リード付け",J1006="巻足し",J1006="巻返しリード付け"),M1006,VLOOKUP(D1006,契約台帳!$A$3:$N$4986,14,FALSE))))</f>
        <v>1120</v>
      </c>
      <c r="S1006" s="272">
        <f ca="1">IF(D1006="","",IF(OFFSET(D1006,-1,0)&lt;&gt;"","",IF(OR(J1006="リード付け",J1006="巻足し",J1006="巻返しリード付け"),M1006,VLOOKUP(D1006,契約台帳!$A$3:$O$4986,15,FALSE))))</f>
        <v>1120</v>
      </c>
      <c r="T1006" s="273">
        <f ca="1">IF(D1006="","",IF(J1006="リード付け",N1006,IF(J1006="巻返しリード付け",N1006,IF(J1006="巻足し",N1006*P1006+OFFSET(N1006,1,0)*OFFSET(P1006,1,0),VLOOKUP(D1006,契約台帳!$A$3:$P$4986,16,FALSE)))))</f>
        <v>10000</v>
      </c>
      <c r="U1006" s="40">
        <v>9</v>
      </c>
      <c r="V1006" s="274" t="str">
        <f ca="1">IF(D1006="","",IF(OFFSET(D1006,-2,0)=D1006,"",VLOOKUP(D1006,契約台帳!$A$3:$R$4986,18,FALSE)))</f>
        <v/>
      </c>
      <c r="W1006" s="269" t="str">
        <f ca="1">IF(D1006="","",IF(T1006="","",IF(OR(J1006="巻足し",J1006="巻返しリード付け"),"",IF(J1006="巻返し",VLOOKUP(F1006&amp;K1006&amp;M1006,製品マスタ!$M$5:$AD$5002,18,FALSE),IF(OR(J1006="リード付け",J1006="巻返しリード付け"),"原反コア",IF(J1006="スリット",VLOOKUP(F1006&amp;K1006&amp;R1006,製品マスタ!$N$5:$AD$5002,17,FALSE),""))))))</f>
        <v/>
      </c>
      <c r="X1006" s="269" t="str">
        <f ca="1">IF(D1006="","",IF(T1006="","",IF(J1006="巻足し","",IF(J1006="巻返し",VLOOKUP(F1006&amp;K1006&amp;M1006,製品マスタ!$M$5:$AE$5002,19,FALSE),IF(OR(J1006="リード付け",J1006="巻返しリード付け"),"",IF(J1006="スリット",VLOOKUP(F1006&amp;K1006&amp;R1006,製品マスタ!$N$5:$AE$5002,18,FALSE),""))))))</f>
        <v/>
      </c>
      <c r="Y1006" s="275">
        <f ca="1">IF(D1006="","",IF(T1006="","",VLOOKUP(D1006,契約台帳!$A$3:$Q$4986,17,FALSE)))</f>
        <v>2</v>
      </c>
      <c r="Z1006" s="269" t="str">
        <f ca="1">IF(D1006="","",IF(T1006="","",VLOOKUP(D1006,契約台帳!$A$3:$E$4986,5,FALSE)))</f>
        <v>リンテック㈱</v>
      </c>
      <c r="AA1006" s="57"/>
      <c r="AB1006" s="207" t="str">
        <f>IFERROR((VLOOKUP(F1006&amp;K1006&amp;M1006,製品マスタ!$M$5:$AM$5002,27,FALSE)),"")</f>
        <v>原反ケース再利用</v>
      </c>
      <c r="AC1006" s="33"/>
      <c r="AD1006" s="189"/>
      <c r="AE1006" s="54"/>
      <c r="AF1006" s="55">
        <f>+M1006*N1006*O1006/1000</f>
        <v>100800</v>
      </c>
      <c r="AG1006" s="43"/>
      <c r="AH1006" s="47"/>
      <c r="AI1006" s="30"/>
      <c r="AJ1006" s="30"/>
      <c r="AK1006" s="30"/>
      <c r="AL1006" s="30"/>
      <c r="AM1006" s="13"/>
      <c r="AN1006" s="13"/>
      <c r="AO1006" s="13"/>
      <c r="AP1006" s="13"/>
      <c r="AQ1006" s="13"/>
      <c r="AR1006" s="14"/>
      <c r="AS1006" s="15"/>
    </row>
    <row r="1007" spans="1:45" s="17" customFormat="1" ht="30.95" hidden="1" customHeight="1" x14ac:dyDescent="0.2">
      <c r="A1007" s="37"/>
      <c r="B1007" s="38"/>
      <c r="C1007" s="45"/>
      <c r="D1007" s="31"/>
      <c r="E1007" s="31"/>
      <c r="F1007" s="268"/>
      <c r="G1007" s="269"/>
      <c r="H1007" s="269"/>
      <c r="I1007" s="270"/>
      <c r="J1007" s="210"/>
      <c r="K1007" s="270"/>
      <c r="L1007" s="270"/>
      <c r="M1007" s="39"/>
      <c r="N1007" s="39"/>
      <c r="O1007" s="156"/>
      <c r="P1007" s="47"/>
      <c r="Q1007" s="57"/>
      <c r="R1007" s="338"/>
      <c r="S1007" s="272"/>
      <c r="T1007" s="273"/>
      <c r="U1007" s="40"/>
      <c r="V1007" s="277"/>
      <c r="W1007" s="269"/>
      <c r="X1007" s="269"/>
      <c r="Y1007" s="275"/>
      <c r="Z1007" s="269"/>
      <c r="AA1007" s="57"/>
      <c r="AB1007" s="207"/>
      <c r="AC1007" s="33"/>
      <c r="AD1007" s="189"/>
      <c r="AE1007" s="54"/>
      <c r="AF1007" s="55"/>
      <c r="AG1007" s="43"/>
      <c r="AH1007" s="339"/>
      <c r="AI1007" s="30"/>
      <c r="AJ1007" s="30"/>
      <c r="AK1007" s="30"/>
      <c r="AL1007" s="30"/>
      <c r="AM1007" s="13"/>
      <c r="AN1007" s="13"/>
      <c r="AO1007" s="13"/>
      <c r="AP1007" s="13"/>
      <c r="AQ1007" s="13"/>
      <c r="AR1007" s="14"/>
      <c r="AS1007" s="15"/>
    </row>
    <row r="1008" spans="1:45" s="17" customFormat="1" ht="30.95" hidden="1" customHeight="1" x14ac:dyDescent="0.2">
      <c r="A1008" s="37" t="s">
        <v>554</v>
      </c>
      <c r="B1008" s="38" t="s">
        <v>445</v>
      </c>
      <c r="C1008" s="45"/>
      <c r="D1008" s="31"/>
      <c r="E1008" s="31"/>
      <c r="F1008" s="268"/>
      <c r="G1008" s="269"/>
      <c r="H1008" s="269"/>
      <c r="I1008" s="270"/>
      <c r="J1008" s="210" t="s">
        <v>448</v>
      </c>
      <c r="K1008" s="270"/>
      <c r="L1008" s="270"/>
      <c r="M1008" s="39"/>
      <c r="N1008" s="39"/>
      <c r="O1008" s="156"/>
      <c r="P1008" s="47"/>
      <c r="Q1008" s="57"/>
      <c r="R1008" s="338"/>
      <c r="S1008" s="272"/>
      <c r="T1008" s="273"/>
      <c r="U1008" s="40"/>
      <c r="V1008" s="277"/>
      <c r="W1008" s="269"/>
      <c r="X1008" s="269"/>
      <c r="Y1008" s="275"/>
      <c r="Z1008" s="269"/>
      <c r="AA1008" s="57"/>
      <c r="AB1008" s="207"/>
      <c r="AC1008" s="33"/>
      <c r="AD1008" s="189"/>
      <c r="AE1008" s="54"/>
      <c r="AF1008" s="55"/>
      <c r="AG1008" s="43"/>
      <c r="AH1008" s="339"/>
      <c r="AI1008" s="30"/>
      <c r="AJ1008" s="30"/>
      <c r="AK1008" s="30"/>
      <c r="AL1008" s="30"/>
      <c r="AM1008" s="13"/>
      <c r="AN1008" s="13"/>
      <c r="AO1008" s="13"/>
      <c r="AP1008" s="13"/>
      <c r="AQ1008" s="13"/>
      <c r="AR1008" s="14"/>
      <c r="AS1008" s="15"/>
    </row>
    <row r="1009" spans="1:45" s="17" customFormat="1" ht="30.95" hidden="1" customHeight="1" x14ac:dyDescent="0.2">
      <c r="A1009" s="37"/>
      <c r="B1009" s="38"/>
      <c r="C1009" s="45"/>
      <c r="D1009" s="31"/>
      <c r="E1009" s="31"/>
      <c r="F1009" s="268"/>
      <c r="G1009" s="269"/>
      <c r="H1009" s="269"/>
      <c r="I1009" s="270"/>
      <c r="J1009" s="210"/>
      <c r="K1009" s="270"/>
      <c r="L1009" s="270"/>
      <c r="M1009" s="39"/>
      <c r="N1009" s="39"/>
      <c r="O1009" s="156"/>
      <c r="P1009" s="47"/>
      <c r="Q1009" s="57"/>
      <c r="R1009" s="338"/>
      <c r="S1009" s="272"/>
      <c r="T1009" s="273"/>
      <c r="U1009" s="40"/>
      <c r="V1009" s="277"/>
      <c r="W1009" s="269"/>
      <c r="X1009" s="269"/>
      <c r="Y1009" s="275"/>
      <c r="Z1009" s="269"/>
      <c r="AA1009" s="57"/>
      <c r="AB1009" s="207"/>
      <c r="AC1009" s="33"/>
      <c r="AD1009" s="189"/>
      <c r="AE1009" s="54"/>
      <c r="AF1009" s="55"/>
      <c r="AG1009" s="43"/>
      <c r="AH1009" s="339"/>
      <c r="AI1009" s="30"/>
      <c r="AJ1009" s="30"/>
      <c r="AK1009" s="30"/>
      <c r="AL1009" s="30"/>
      <c r="AM1009" s="13"/>
      <c r="AN1009" s="13"/>
      <c r="AO1009" s="13"/>
      <c r="AP1009" s="13"/>
      <c r="AQ1009" s="13"/>
      <c r="AR1009" s="14"/>
      <c r="AS1009" s="15"/>
    </row>
    <row r="1010" spans="1:45" s="17" customFormat="1" ht="30.95" hidden="1" customHeight="1" x14ac:dyDescent="0.2">
      <c r="A1010" s="37" t="s">
        <v>555</v>
      </c>
      <c r="B1010" s="38" t="s">
        <v>1427</v>
      </c>
      <c r="C1010" s="45"/>
      <c r="D1010" s="31"/>
      <c r="E1010" s="31"/>
      <c r="F1010" s="268"/>
      <c r="G1010" s="269"/>
      <c r="H1010" s="269"/>
      <c r="I1010" s="270"/>
      <c r="J1010" s="210" t="s">
        <v>448</v>
      </c>
      <c r="K1010" s="270"/>
      <c r="L1010" s="270"/>
      <c r="M1010" s="39"/>
      <c r="N1010" s="39"/>
      <c r="O1010" s="156"/>
      <c r="P1010" s="47"/>
      <c r="Q1010" s="57"/>
      <c r="R1010" s="338"/>
      <c r="S1010" s="272"/>
      <c r="T1010" s="273"/>
      <c r="U1010" s="40"/>
      <c r="V1010" s="277"/>
      <c r="W1010" s="269"/>
      <c r="X1010" s="269"/>
      <c r="Y1010" s="275"/>
      <c r="Z1010" s="269"/>
      <c r="AA1010" s="57"/>
      <c r="AB1010" s="207"/>
      <c r="AC1010" s="33"/>
      <c r="AD1010" s="189"/>
      <c r="AE1010" s="54"/>
      <c r="AF1010" s="55"/>
      <c r="AG1010" s="43"/>
      <c r="AH1010" s="339"/>
      <c r="AI1010" s="30"/>
      <c r="AJ1010" s="30"/>
      <c r="AK1010" s="30"/>
      <c r="AL1010" s="30"/>
      <c r="AM1010" s="13"/>
      <c r="AN1010" s="13"/>
      <c r="AO1010" s="13"/>
      <c r="AP1010" s="13"/>
      <c r="AQ1010" s="13"/>
      <c r="AR1010" s="14"/>
      <c r="AS1010" s="15"/>
    </row>
    <row r="1011" spans="1:45" s="17" customFormat="1" ht="30.95" hidden="1" customHeight="1" x14ac:dyDescent="0.2">
      <c r="A1011" s="37"/>
      <c r="B1011" s="38"/>
      <c r="C1011" s="45"/>
      <c r="D1011" s="31"/>
      <c r="E1011" s="31"/>
      <c r="F1011" s="268"/>
      <c r="G1011" s="269"/>
      <c r="H1011" s="269"/>
      <c r="I1011" s="270"/>
      <c r="J1011" s="210"/>
      <c r="K1011" s="270"/>
      <c r="L1011" s="270"/>
      <c r="M1011" s="39"/>
      <c r="N1011" s="39"/>
      <c r="O1011" s="156"/>
      <c r="P1011" s="47"/>
      <c r="Q1011" s="57"/>
      <c r="R1011" s="338"/>
      <c r="S1011" s="272"/>
      <c r="T1011" s="273"/>
      <c r="U1011" s="40"/>
      <c r="V1011" s="277"/>
      <c r="W1011" s="269"/>
      <c r="X1011" s="269"/>
      <c r="Y1011" s="275"/>
      <c r="Z1011" s="269"/>
      <c r="AA1011" s="57"/>
      <c r="AB1011" s="207"/>
      <c r="AC1011" s="33"/>
      <c r="AD1011" s="189"/>
      <c r="AE1011" s="54"/>
      <c r="AF1011" s="55"/>
      <c r="AG1011" s="43"/>
      <c r="AH1011" s="339"/>
      <c r="AI1011" s="30"/>
      <c r="AJ1011" s="30"/>
      <c r="AK1011" s="30"/>
      <c r="AL1011" s="30"/>
      <c r="AM1011" s="13"/>
      <c r="AN1011" s="13"/>
      <c r="AO1011" s="13"/>
      <c r="AP1011" s="13"/>
      <c r="AQ1011" s="13"/>
      <c r="AR1011" s="14"/>
      <c r="AS1011" s="15"/>
    </row>
    <row r="1012" spans="1:45" s="17" customFormat="1" ht="30.95" hidden="1" customHeight="1" x14ac:dyDescent="0.2">
      <c r="A1012" s="37" t="s">
        <v>556</v>
      </c>
      <c r="B1012" s="38" t="s">
        <v>462</v>
      </c>
      <c r="C1012" s="45"/>
      <c r="D1012" s="31">
        <v>3723647</v>
      </c>
      <c r="E1012" s="31">
        <v>4162039</v>
      </c>
      <c r="F1012" s="268" t="str">
        <f>IF(D1012="","",VLOOKUP(D1012,契約台帳!$A$3:$K$4986,6,FALSE)&amp;VLOOKUP(D1012,契約台帳!$A$3:$K$4986,7,FALSE)&amp;VLOOKUP(D1012,契約台帳!$A$3:$K$4986,8,FALSE)&amp;VLOOKUP(D1012,契約台帳!$A$3:$K$4986,9,FALSE)&amp;VLOOKUP(D1012,契約台帳!$A$3:$K$4986,11,FALSE))</f>
        <v>3SYMLBMSBBF</v>
      </c>
      <c r="G1012" s="269" t="str">
        <f>IF(D1012="","",VLOOKUP(F1012,製品マスタ!$G$5:$H$5002,2,FALSE))</f>
        <v>S</v>
      </c>
      <c r="H1012" s="269" t="str">
        <f>IF(D1012="","",VLOOKUP(F1012,製品マスタ!$G$5:$K$5002,5,FALSE))</f>
        <v>MSBBF</v>
      </c>
      <c r="I1012" s="270" t="str">
        <f>IF(D1012="","",VLOOKUP(F1012,製品マスタ!$G$5:$L$5002,6,FALSE))</f>
        <v>ＭＥＴＡＬＵＭＹ　ＳＩＬＶＥＲ　ＢＲＩＧＨＴ　Ｔ６２Ｍ　Ｂ</v>
      </c>
      <c r="J1012" s="210" t="s">
        <v>935</v>
      </c>
      <c r="K1012" s="270">
        <f>IF(D1012="","",VLOOKUP(D1012,契約台帳!$A$3:$L$4986,12,FALSE))</f>
        <v>50</v>
      </c>
      <c r="L1012" s="270" t="str">
        <f>IF(D1012="","",INDEX(製品マスタ!$Q$5:$Q$5002,MATCH('S4'!F1012&amp;'S4'!K1012,製品マスタ!$AO$5:$AO$5002,0)))</f>
        <v>T62</v>
      </c>
      <c r="M1012" s="39">
        <v>1120</v>
      </c>
      <c r="N1012" s="39">
        <v>5000</v>
      </c>
      <c r="O1012" s="156">
        <v>2</v>
      </c>
      <c r="P1012" s="47">
        <v>2</v>
      </c>
      <c r="Q1012" s="213">
        <v>45173</v>
      </c>
      <c r="R1012" s="271">
        <f ca="1">IF(D1012="","",IF(OFFSET(D1012,-1,0)&lt;&gt;"","",IF(OR(J1012="リード付け",J1012="巻足し",J1012="巻返しリード付け"),M1012,VLOOKUP(D1012,契約台帳!$A$3:$N$4986,14,FALSE))))</f>
        <v>1120</v>
      </c>
      <c r="S1012" s="272">
        <f ca="1">IF(D1012="","",IF(OFFSET(D1012,-1,0)&lt;&gt;"","",IF(OR(J1012="リード付け",J1012="巻足し",J1012="巻返しリード付け"),M1012,VLOOKUP(D1012,契約台帳!$A$3:$O$4986,15,FALSE))))</f>
        <v>1120</v>
      </c>
      <c r="T1012" s="273">
        <f ca="1">IF(D1012="","",IF(J1012="リード付け",N1012,IF(J1012="巻返しリード付け",N1012,IF(J1012="巻足し",N1012*P1012+OFFSET(N1012,1,0)*OFFSET(P1012,1,0),VLOOKUP(D1012,契約台帳!$A$3:$P$4986,16,FALSE)))))</f>
        <v>10000</v>
      </c>
      <c r="U1012" s="40">
        <v>1</v>
      </c>
      <c r="V1012" s="274">
        <f ca="1">IF(D1012="","",IF(OFFSET(D1012,-2,0)=D1012,"",VLOOKUP(D1012,契約台帳!$A$3:$R$4986,18,FALSE)))</f>
        <v>2</v>
      </c>
      <c r="W1012" s="269" t="str">
        <f ca="1">IF(D1012="","",IF(T1012="","",IF(OR(J1012="巻足し",J1012="巻返しリード付け"),"",IF(J1012="巻返し",VLOOKUP(F1012&amp;K1012&amp;M1012,製品マスタ!$M$5:$AD$5002,18,FALSE),IF(OR(J1012="リード付け",J1012="巻返しリード付け"),"原反コア",IF(J1012="スリット",VLOOKUP(F1012&amp;K1012&amp;R1012,製品マスタ!$N$5:$AD$5002,17,FALSE),""))))))</f>
        <v/>
      </c>
      <c r="X1012" s="269" t="str">
        <f ca="1">IF(D1012="","",IF(T1012="","",IF(J1012="巻足し","",IF(J1012="巻返し",VLOOKUP(F1012&amp;K1012&amp;M1012,製品マスタ!$M$5:$AE$5002,19,FALSE),IF(OR(J1012="リード付け",J1012="巻返しリード付け"),"",IF(J1012="スリット",VLOOKUP(F1012&amp;K1012&amp;R1012,製品マスタ!$N$5:$AE$5002,18,FALSE),""))))))</f>
        <v/>
      </c>
      <c r="Y1012" s="275">
        <f ca="1">IF(D1012="","",IF(T1012="","",VLOOKUP(D1012,契約台帳!$A$3:$Q$4986,17,FALSE)))</f>
        <v>2</v>
      </c>
      <c r="Z1012" s="269" t="str">
        <f ca="1">IF(D1012="","",IF(T1012="","",VLOOKUP(D1012,契約台帳!$A$3:$E$4986,5,FALSE)))</f>
        <v>リンテック㈱</v>
      </c>
      <c r="AA1012" s="57"/>
      <c r="AB1012" s="207" t="str">
        <f>IFERROR((VLOOKUP(F1012&amp;K1012&amp;M1012,製品マスタ!$M$5:$AM$5002,27,FALSE)),"")</f>
        <v>原反ケース再利用</v>
      </c>
      <c r="AC1012" s="33"/>
      <c r="AD1012" s="189"/>
      <c r="AE1012" s="54"/>
      <c r="AF1012" s="55">
        <f>+M1012*N1012*O1012/1000</f>
        <v>11200</v>
      </c>
      <c r="AG1012" s="43"/>
      <c r="AH1012" s="47"/>
      <c r="AI1012" s="30"/>
      <c r="AJ1012" s="30"/>
      <c r="AK1012" s="30"/>
      <c r="AL1012" s="30"/>
      <c r="AM1012" s="13"/>
      <c r="AN1012" s="13"/>
      <c r="AO1012" s="13"/>
      <c r="AP1012" s="13"/>
      <c r="AQ1012" s="13"/>
      <c r="AR1012" s="14"/>
      <c r="AS1012" s="15"/>
    </row>
    <row r="1013" spans="1:45" s="17" customFormat="1" ht="30.95" hidden="1" customHeight="1" x14ac:dyDescent="0.2">
      <c r="A1013" s="37"/>
      <c r="B1013" s="38"/>
      <c r="C1013" s="45"/>
      <c r="D1013" s="31"/>
      <c r="E1013" s="31"/>
      <c r="F1013" s="268"/>
      <c r="G1013" s="269"/>
      <c r="H1013" s="269"/>
      <c r="I1013" s="270"/>
      <c r="J1013" s="210"/>
      <c r="K1013" s="270"/>
      <c r="L1013" s="270"/>
      <c r="M1013" s="39"/>
      <c r="N1013" s="39"/>
      <c r="O1013" s="156"/>
      <c r="P1013" s="47"/>
      <c r="Q1013" s="57"/>
      <c r="R1013" s="338"/>
      <c r="S1013" s="272"/>
      <c r="T1013" s="273"/>
      <c r="U1013" s="40"/>
      <c r="V1013" s="277"/>
      <c r="W1013" s="269"/>
      <c r="X1013" s="269"/>
      <c r="Y1013" s="275"/>
      <c r="Z1013" s="269"/>
      <c r="AA1013" s="57"/>
      <c r="AB1013" s="207"/>
      <c r="AC1013" s="33"/>
      <c r="AD1013" s="189"/>
      <c r="AE1013" s="54"/>
      <c r="AF1013" s="55"/>
      <c r="AG1013" s="43"/>
      <c r="AH1013" s="339"/>
      <c r="AI1013" s="30"/>
      <c r="AJ1013" s="30"/>
      <c r="AK1013" s="30"/>
      <c r="AL1013" s="30"/>
      <c r="AM1013" s="13"/>
      <c r="AN1013" s="13"/>
      <c r="AO1013" s="13"/>
      <c r="AP1013" s="13"/>
      <c r="AQ1013" s="13"/>
      <c r="AR1013" s="14"/>
      <c r="AS1013" s="15"/>
    </row>
    <row r="1014" spans="1:45" s="17" customFormat="1" ht="30.95" hidden="1" customHeight="1" x14ac:dyDescent="0.2">
      <c r="A1014" s="37"/>
      <c r="B1014" s="38"/>
      <c r="C1014" s="45"/>
      <c r="D1014" s="31">
        <v>3723650</v>
      </c>
      <c r="E1014" s="31">
        <v>4162040</v>
      </c>
      <c r="F1014" s="268" t="str">
        <f>IF(D1014="","",VLOOKUP(D1014,契約台帳!$A$3:$K$4986,6,FALSE)&amp;VLOOKUP(D1014,契約台帳!$A$3:$K$4986,7,FALSE)&amp;VLOOKUP(D1014,契約台帳!$A$3:$K$4986,8,FALSE)&amp;VLOOKUP(D1014,契約台帳!$A$3:$K$4986,9,FALSE)&amp;VLOOKUP(D1014,契約台帳!$A$3:$K$4986,11,FALSE))</f>
        <v>3SYMLBMSBBF</v>
      </c>
      <c r="G1014" s="269" t="str">
        <f>IF(D1014="","",VLOOKUP(F1014,製品マスタ!$G$5:$H$5002,2,FALSE))</f>
        <v>S</v>
      </c>
      <c r="H1014" s="269" t="str">
        <f>IF(D1014="","",VLOOKUP(F1014,製品マスタ!$G$5:$K$5002,5,FALSE))</f>
        <v>MSBBF</v>
      </c>
      <c r="I1014" s="270" t="str">
        <f>IF(D1014="","",VLOOKUP(F1014,製品マスタ!$G$5:$L$5002,6,FALSE))</f>
        <v>ＭＥＴＡＬＵＭＹ　ＳＩＬＶＥＲ　ＢＲＩＧＨＴ　Ｔ６２Ｍ　Ｂ</v>
      </c>
      <c r="J1014" s="210" t="s">
        <v>935</v>
      </c>
      <c r="K1014" s="270">
        <f>IF(D1014="","",VLOOKUP(D1014,契約台帳!$A$3:$L$4986,12,FALSE))</f>
        <v>50</v>
      </c>
      <c r="L1014" s="270" t="str">
        <f>IF(D1014="","",INDEX(製品マスタ!$Q$5:$Q$5002,MATCH('S4'!F1014&amp;'S4'!K1014,製品マスタ!$AO$5:$AO$5002,0)))</f>
        <v>T62</v>
      </c>
      <c r="M1014" s="39">
        <v>1120</v>
      </c>
      <c r="N1014" s="39">
        <v>5000</v>
      </c>
      <c r="O1014" s="156">
        <v>2</v>
      </c>
      <c r="P1014" s="47">
        <v>2</v>
      </c>
      <c r="Q1014" s="213">
        <v>45173</v>
      </c>
      <c r="R1014" s="271">
        <f ca="1">IF(D1014="","",IF(OFFSET(D1014,-1,0)&lt;&gt;"","",IF(OR(J1014="リード付け",J1014="巻足し",J1014="巻返しリード付け"),M1014,VLOOKUP(D1014,契約台帳!$A$3:$N$4986,14,FALSE))))</f>
        <v>1120</v>
      </c>
      <c r="S1014" s="272">
        <f ca="1">IF(D1014="","",IF(OFFSET(D1014,-1,0)&lt;&gt;"","",IF(OR(J1014="リード付け",J1014="巻足し",J1014="巻返しリード付け"),M1014,VLOOKUP(D1014,契約台帳!$A$3:$O$4986,15,FALSE))))</f>
        <v>1120</v>
      </c>
      <c r="T1014" s="273">
        <f ca="1">IF(D1014="","",IF(J1014="リード付け",N1014,IF(J1014="巻返しリード付け",N1014,IF(J1014="巻足し",N1014*P1014+OFFSET(N1014,1,0)*OFFSET(P1014,1,0),VLOOKUP(D1014,契約台帳!$A$3:$P$4986,16,FALSE)))))</f>
        <v>10000</v>
      </c>
      <c r="U1014" s="40">
        <v>1</v>
      </c>
      <c r="V1014" s="274">
        <f ca="1">IF(D1014="","",IF(OFFSET(D1014,-2,0)=D1014,"",VLOOKUP(D1014,契約台帳!$A$3:$R$4986,18,FALSE)))</f>
        <v>2</v>
      </c>
      <c r="W1014" s="269" t="str">
        <f ca="1">IF(D1014="","",IF(T1014="","",IF(OR(J1014="巻足し",J1014="巻返しリード付け"),"",IF(J1014="巻返し",VLOOKUP(F1014&amp;K1014&amp;M1014,製品マスタ!$M$5:$AD$5002,18,FALSE),IF(OR(J1014="リード付け",J1014="巻返しリード付け"),"原反コア",IF(J1014="スリット",VLOOKUP(F1014&amp;K1014&amp;R1014,製品マスタ!$N$5:$AD$5002,17,FALSE),""))))))</f>
        <v/>
      </c>
      <c r="X1014" s="269" t="str">
        <f ca="1">IF(D1014="","",IF(T1014="","",IF(J1014="巻足し","",IF(J1014="巻返し",VLOOKUP(F1014&amp;K1014&amp;M1014,製品マスタ!$M$5:$AE$5002,19,FALSE),IF(OR(J1014="リード付け",J1014="巻返しリード付け"),"",IF(J1014="スリット",VLOOKUP(F1014&amp;K1014&amp;R1014,製品マスタ!$N$5:$AE$5002,18,FALSE),""))))))</f>
        <v/>
      </c>
      <c r="Y1014" s="275">
        <f ca="1">IF(D1014="","",IF(T1014="","",VLOOKUP(D1014,契約台帳!$A$3:$Q$4986,17,FALSE)))</f>
        <v>2</v>
      </c>
      <c r="Z1014" s="269" t="str">
        <f ca="1">IF(D1014="","",IF(T1014="","",VLOOKUP(D1014,契約台帳!$A$3:$E$4986,5,FALSE)))</f>
        <v>リンテック㈱</v>
      </c>
      <c r="AA1014" s="57"/>
      <c r="AB1014" s="207" t="str">
        <f>IFERROR((VLOOKUP(F1014&amp;K1014&amp;M1014,製品マスタ!$M$5:$AM$5002,27,FALSE)),"")</f>
        <v>原反ケース再利用</v>
      </c>
      <c r="AC1014" s="33"/>
      <c r="AD1014" s="189"/>
      <c r="AE1014" s="54"/>
      <c r="AF1014" s="55">
        <f>+M1014*N1014*O1014/1000</f>
        <v>11200</v>
      </c>
      <c r="AG1014" s="43"/>
      <c r="AH1014" s="47"/>
      <c r="AI1014" s="30"/>
      <c r="AJ1014" s="30"/>
      <c r="AK1014" s="30"/>
      <c r="AL1014" s="30"/>
      <c r="AM1014" s="13"/>
      <c r="AN1014" s="13"/>
      <c r="AO1014" s="13"/>
      <c r="AP1014" s="13"/>
      <c r="AQ1014" s="13"/>
      <c r="AR1014" s="14"/>
      <c r="AS1014" s="15"/>
    </row>
    <row r="1015" spans="1:45" s="17" customFormat="1" ht="30.95" hidden="1" customHeight="1" x14ac:dyDescent="0.2">
      <c r="A1015" s="37"/>
      <c r="B1015" s="38"/>
      <c r="C1015" s="45"/>
      <c r="D1015" s="31"/>
      <c r="E1015" s="31"/>
      <c r="F1015" s="268"/>
      <c r="G1015" s="269"/>
      <c r="H1015" s="269"/>
      <c r="I1015" s="270"/>
      <c r="J1015" s="210"/>
      <c r="K1015" s="270"/>
      <c r="L1015" s="270"/>
      <c r="M1015" s="39"/>
      <c r="N1015" s="39"/>
      <c r="O1015" s="156"/>
      <c r="P1015" s="47"/>
      <c r="Q1015" s="57"/>
      <c r="R1015" s="338"/>
      <c r="S1015" s="272"/>
      <c r="T1015" s="273"/>
      <c r="U1015" s="40"/>
      <c r="V1015" s="277"/>
      <c r="W1015" s="269"/>
      <c r="X1015" s="269"/>
      <c r="Y1015" s="275"/>
      <c r="Z1015" s="269"/>
      <c r="AA1015" s="57"/>
      <c r="AB1015" s="207"/>
      <c r="AC1015" s="33"/>
      <c r="AD1015" s="189"/>
      <c r="AE1015" s="54"/>
      <c r="AF1015" s="55"/>
      <c r="AG1015" s="43"/>
      <c r="AH1015" s="339"/>
      <c r="AI1015" s="30"/>
      <c r="AJ1015" s="30"/>
      <c r="AK1015" s="30"/>
      <c r="AL1015" s="30"/>
      <c r="AM1015" s="13"/>
      <c r="AN1015" s="13"/>
      <c r="AO1015" s="13"/>
      <c r="AP1015" s="13"/>
      <c r="AQ1015" s="13"/>
      <c r="AR1015" s="14"/>
      <c r="AS1015" s="15"/>
    </row>
    <row r="1016" spans="1:45" s="17" customFormat="1" ht="30.95" hidden="1" customHeight="1" x14ac:dyDescent="0.2">
      <c r="A1016" s="37"/>
      <c r="B1016" s="38"/>
      <c r="C1016" s="45"/>
      <c r="D1016" s="31">
        <v>3723630</v>
      </c>
      <c r="E1016" s="31">
        <v>4162031</v>
      </c>
      <c r="F1016" s="268" t="str">
        <f>IF(D1016="","",VLOOKUP(D1016,契約台帳!$A$3:$K$4986,6,FALSE)&amp;VLOOKUP(D1016,契約台帳!$A$3:$K$4986,7,FALSE)&amp;VLOOKUP(D1016,契約台帳!$A$3:$K$4986,8,FALSE)&amp;VLOOKUP(D1016,契約台帳!$A$3:$K$4986,9,FALSE)&amp;VLOOKUP(D1016,契約台帳!$A$3:$K$4986,11,FALSE))</f>
        <v>3SNMLBMNGKKBF</v>
      </c>
      <c r="G1016" s="269" t="str">
        <f>IF(D1016="","",VLOOKUP(F1016,製品マスタ!$G$5:$H$5002,2,FALSE))</f>
        <v>S</v>
      </c>
      <c r="H1016" s="269" t="str">
        <f>IF(D1016="","",VLOOKUP(F1016,製品マスタ!$G$5:$K$5002,5,FALSE))</f>
        <v>MNGKKBF</v>
      </c>
      <c r="I1016" s="270" t="str">
        <f>IF(D1016="","",VLOOKUP(F1016,製品マスタ!$G$5:$L$5002,6,FALSE))</f>
        <v>メタルミー　ネーマー銀消改　Ｂ</v>
      </c>
      <c r="J1016" s="210" t="s">
        <v>935</v>
      </c>
      <c r="K1016" s="270">
        <f>IF(D1016="","",VLOOKUP(D1016,契約台帳!$A$3:$L$4986,12,FALSE))</f>
        <v>50</v>
      </c>
      <c r="L1016" s="270" t="str">
        <f>IF(D1016="","",INDEX(製品マスタ!$Q$5:$Q$5002,MATCH('S4'!F1016&amp;'S4'!K1016,製品マスタ!$AO$5:$AO$5002,0)))</f>
        <v>S99-MAT</v>
      </c>
      <c r="M1016" s="39">
        <v>1120</v>
      </c>
      <c r="N1016" s="39">
        <v>4000</v>
      </c>
      <c r="O1016" s="156">
        <v>9</v>
      </c>
      <c r="P1016" s="47">
        <v>3</v>
      </c>
      <c r="Q1016" s="213">
        <v>45177</v>
      </c>
      <c r="R1016" s="271">
        <f ca="1">IF(D1016="","",IF(OFFSET(D1016,-1,0)&lt;&gt;"","",IF(OR(J1016="リード付け",J1016="巻足し",J1016="巻返しリード付け"),M1016,VLOOKUP(D1016,契約台帳!$A$3:$N$4986,14,FALSE))))</f>
        <v>1120</v>
      </c>
      <c r="S1016" s="272">
        <f ca="1">IF(D1016="","",IF(OFFSET(D1016,-1,0)&lt;&gt;"","",IF(OR(J1016="リード付け",J1016="巻足し",J1016="巻返しリード付け"),M1016,VLOOKUP(D1016,契約台帳!$A$3:$O$4986,15,FALSE))))</f>
        <v>1120</v>
      </c>
      <c r="T1016" s="273">
        <f ca="1">IF(D1016="","",IF(J1016="リード付け",N1016,IF(J1016="巻返しリード付け",N1016,IF(J1016="巻足し",N1016*P1016+OFFSET(N1016,1,0)*OFFSET(P1016,1,0),VLOOKUP(D1016,契約台帳!$A$3:$P$4986,16,FALSE)))))</f>
        <v>12000</v>
      </c>
      <c r="U1016" s="40">
        <v>3</v>
      </c>
      <c r="V1016" s="274">
        <f ca="1">IF(D1016="","",IF(OFFSET(D1016,-2,0)=D1016,"",VLOOKUP(D1016,契約台帳!$A$3:$R$4986,18,FALSE)))</f>
        <v>9</v>
      </c>
      <c r="W1016" s="269" t="str">
        <f ca="1">IF(D1016="","",IF(T1016="","",IF(OR(J1016="巻足し",J1016="巻返しリード付け"),"",IF(J1016="巻返し",VLOOKUP(F1016&amp;K1016&amp;M1016,製品マスタ!$M$5:$AD$5002,18,FALSE),IF(OR(J1016="リード付け",J1016="巻返しリード付け"),"原反コア",IF(J1016="スリット",VLOOKUP(F1016&amp;K1016&amp;R1016,製品マスタ!$N$5:$AD$5002,17,FALSE),""))))))</f>
        <v/>
      </c>
      <c r="X1016" s="269" t="str">
        <f ca="1">IF(D1016="","",IF(T1016="","",IF(J1016="巻足し","",IF(J1016="巻返し",VLOOKUP(F1016&amp;K1016&amp;M1016,製品マスタ!$M$5:$AE$5002,19,FALSE),IF(OR(J1016="リード付け",J1016="巻返しリード付け"),"",IF(J1016="スリット",VLOOKUP(F1016&amp;K1016&amp;R1016,製品マスタ!$N$5:$AE$5002,18,FALSE),""))))))</f>
        <v/>
      </c>
      <c r="Y1016" s="275">
        <f ca="1">IF(D1016="","",IF(T1016="","",VLOOKUP(D1016,契約台帳!$A$3:$Q$4986,17,FALSE)))</f>
        <v>2</v>
      </c>
      <c r="Z1016" s="269" t="str">
        <f ca="1">IF(D1016="","",IF(T1016="","",VLOOKUP(D1016,契約台帳!$A$3:$E$4986,5,FALSE)))</f>
        <v>リンテック㈱</v>
      </c>
      <c r="AA1016" s="57"/>
      <c r="AB1016" s="207">
        <f>IFERROR((VLOOKUP(F1016&amp;K1016&amp;M1016,製品マスタ!$M$5:$AM$5002,27,FALSE)),"")</f>
        <v>0</v>
      </c>
      <c r="AC1016" s="33"/>
      <c r="AD1016" s="189"/>
      <c r="AE1016" s="54"/>
      <c r="AF1016" s="55">
        <f>+M1016*N1016*O1016/1000</f>
        <v>40320</v>
      </c>
      <c r="AG1016" s="43"/>
      <c r="AH1016" s="47"/>
      <c r="AI1016" s="30"/>
      <c r="AJ1016" s="30"/>
      <c r="AK1016" s="30"/>
      <c r="AL1016" s="30"/>
      <c r="AM1016" s="13"/>
      <c r="AN1016" s="13"/>
      <c r="AO1016" s="13"/>
      <c r="AP1016" s="13"/>
      <c r="AQ1016" s="13"/>
      <c r="AR1016" s="14"/>
      <c r="AS1016" s="15"/>
    </row>
    <row r="1017" spans="1:45" s="17" customFormat="1" ht="30.95" hidden="1" customHeight="1" x14ac:dyDescent="0.2">
      <c r="A1017" s="37"/>
      <c r="B1017" s="38"/>
      <c r="C1017" s="45"/>
      <c r="D1017" s="31"/>
      <c r="E1017" s="31"/>
      <c r="F1017" s="268"/>
      <c r="G1017" s="269"/>
      <c r="H1017" s="269"/>
      <c r="I1017" s="270"/>
      <c r="J1017" s="210"/>
      <c r="K1017" s="270"/>
      <c r="L1017" s="270"/>
      <c r="M1017" s="39"/>
      <c r="N1017" s="39"/>
      <c r="O1017" s="156"/>
      <c r="P1017" s="47"/>
      <c r="Q1017" s="57"/>
      <c r="R1017" s="338"/>
      <c r="S1017" s="272"/>
      <c r="T1017" s="273"/>
      <c r="U1017" s="40"/>
      <c r="V1017" s="277"/>
      <c r="W1017" s="269"/>
      <c r="X1017" s="269"/>
      <c r="Y1017" s="275"/>
      <c r="Z1017" s="269"/>
      <c r="AA1017" s="57"/>
      <c r="AB1017" s="207"/>
      <c r="AC1017" s="33"/>
      <c r="AD1017" s="189"/>
      <c r="AE1017" s="54"/>
      <c r="AF1017" s="55"/>
      <c r="AG1017" s="43"/>
      <c r="AH1017" s="339"/>
      <c r="AI1017" s="30"/>
      <c r="AJ1017" s="30"/>
      <c r="AK1017" s="30"/>
      <c r="AL1017" s="30"/>
      <c r="AM1017" s="13"/>
      <c r="AN1017" s="13"/>
      <c r="AO1017" s="13"/>
      <c r="AP1017" s="13"/>
      <c r="AQ1017" s="13"/>
      <c r="AR1017" s="14"/>
      <c r="AS1017" s="15"/>
    </row>
    <row r="1018" spans="1:45" s="17" customFormat="1" ht="30.95" hidden="1" customHeight="1" x14ac:dyDescent="0.2">
      <c r="A1018" s="37"/>
      <c r="B1018" s="38"/>
      <c r="C1018" s="45"/>
      <c r="D1018" s="31">
        <v>3723627</v>
      </c>
      <c r="E1018" s="31">
        <v>4162058</v>
      </c>
      <c r="F1018" s="268" t="str">
        <f>IF(D1018="","",VLOOKUP(D1018,契約台帳!$A$3:$K$4986,6,FALSE)&amp;VLOOKUP(D1018,契約台帳!$A$3:$K$4986,7,FALSE)&amp;VLOOKUP(D1018,契約台帳!$A$3:$K$4986,8,FALSE)&amp;VLOOKUP(D1018,契約台帳!$A$3:$K$4986,9,FALSE)&amp;VLOOKUP(D1018,契約台帳!$A$3:$K$4986,11,FALSE))</f>
        <v>3SNMLBMNGKKBF</v>
      </c>
      <c r="G1018" s="269" t="str">
        <f>IF(D1018="","",VLOOKUP(F1018,製品マスタ!$G$5:$H$5002,2,FALSE))</f>
        <v>S</v>
      </c>
      <c r="H1018" s="269" t="str">
        <f>IF(D1018="","",VLOOKUP(F1018,製品マスタ!$G$5:$K$5002,5,FALSE))</f>
        <v>MNGKKBF</v>
      </c>
      <c r="I1018" s="270" t="str">
        <f>IF(D1018="","",VLOOKUP(F1018,製品マスタ!$G$5:$L$5002,6,FALSE))</f>
        <v>メタルミー　ネーマー銀消改　Ｂ</v>
      </c>
      <c r="J1018" s="210" t="s">
        <v>935</v>
      </c>
      <c r="K1018" s="270">
        <f>IF(D1018="","",VLOOKUP(D1018,契約台帳!$A$3:$L$4986,12,FALSE))</f>
        <v>25</v>
      </c>
      <c r="L1018" s="270" t="str">
        <f>IF(D1018="","",INDEX(製品マスタ!$Q$5:$Q$5002,MATCH('S4'!F1018&amp;'S4'!K1018,製品マスタ!$AO$5:$AO$5002,0)))</f>
        <v>FMATS99</v>
      </c>
      <c r="M1018" s="39">
        <v>1120</v>
      </c>
      <c r="N1018" s="39">
        <v>4000</v>
      </c>
      <c r="O1018" s="156">
        <v>4</v>
      </c>
      <c r="P1018" s="47">
        <v>2</v>
      </c>
      <c r="Q1018" s="213">
        <v>45177</v>
      </c>
      <c r="R1018" s="271">
        <f ca="1">IF(D1018="","",IF(OFFSET(D1018,-1,0)&lt;&gt;"","",IF(OR(J1018="リード付け",J1018="巻足し",J1018="巻返しリード付け"),M1018,VLOOKUP(D1018,契約台帳!$A$3:$N$4986,14,FALSE))))</f>
        <v>1120</v>
      </c>
      <c r="S1018" s="272">
        <f ca="1">IF(D1018="","",IF(OFFSET(D1018,-1,0)&lt;&gt;"","",IF(OR(J1018="リード付け",J1018="巻足し",J1018="巻返しリード付け"),M1018,VLOOKUP(D1018,契約台帳!$A$3:$O$4986,15,FALSE))))</f>
        <v>1120</v>
      </c>
      <c r="T1018" s="273">
        <f ca="1">IF(D1018="","",IF(J1018="リード付け",N1018,IF(J1018="巻返しリード付け",N1018,IF(J1018="巻足し",N1018*P1018+OFFSET(N1018,1,0)*OFFSET(P1018,1,0),VLOOKUP(D1018,契約台帳!$A$3:$P$4986,16,FALSE)))))</f>
        <v>8000</v>
      </c>
      <c r="U1018" s="40">
        <v>2</v>
      </c>
      <c r="V1018" s="274">
        <f ca="1">IF(D1018="","",IF(OFFSET(D1018,-2,0)=D1018,"",VLOOKUP(D1018,契約台帳!$A$3:$R$4986,18,FALSE)))</f>
        <v>4</v>
      </c>
      <c r="W1018" s="269" t="str">
        <f ca="1">IF(D1018="","",IF(T1018="","",IF(OR(J1018="巻足し",J1018="巻返しリード付け"),"",IF(J1018="巻返し",VLOOKUP(F1018&amp;K1018&amp;M1018,製品マスタ!$M$5:$AD$5002,18,FALSE),IF(OR(J1018="リード付け",J1018="巻返しリード付け"),"原反コア",IF(J1018="スリット",VLOOKUP(F1018&amp;K1018&amp;R1018,製品マスタ!$N$5:$AD$5002,17,FALSE),""))))))</f>
        <v/>
      </c>
      <c r="X1018" s="269" t="str">
        <f ca="1">IF(D1018="","",IF(T1018="","",IF(J1018="巻足し","",IF(J1018="巻返し",VLOOKUP(F1018&amp;K1018&amp;M1018,製品マスタ!$M$5:$AE$5002,19,FALSE),IF(OR(J1018="リード付け",J1018="巻返しリード付け"),"",IF(J1018="スリット",VLOOKUP(F1018&amp;K1018&amp;R1018,製品マスタ!$N$5:$AE$5002,18,FALSE),""))))))</f>
        <v/>
      </c>
      <c r="Y1018" s="275">
        <f ca="1">IF(D1018="","",IF(T1018="","",VLOOKUP(D1018,契約台帳!$A$3:$Q$4986,17,FALSE)))</f>
        <v>2</v>
      </c>
      <c r="Z1018" s="269" t="str">
        <f ca="1">IF(D1018="","",IF(T1018="","",VLOOKUP(D1018,契約台帳!$A$3:$E$4986,5,FALSE)))</f>
        <v>リンテック㈱</v>
      </c>
      <c r="AA1018" s="57"/>
      <c r="AB1018" s="207">
        <f>IFERROR((VLOOKUP(F1018&amp;K1018&amp;M1018,製品マスタ!$M$5:$AM$5002,27,FALSE)),"")</f>
        <v>0</v>
      </c>
      <c r="AC1018" s="33"/>
      <c r="AD1018" s="189"/>
      <c r="AE1018" s="54"/>
      <c r="AF1018" s="55">
        <f>+M1018*N1018*O1018/1000</f>
        <v>17920</v>
      </c>
      <c r="AG1018" s="43"/>
      <c r="AH1018" s="47"/>
      <c r="AI1018" s="30"/>
      <c r="AJ1018" s="30"/>
      <c r="AK1018" s="30"/>
      <c r="AL1018" s="30"/>
      <c r="AM1018" s="13"/>
      <c r="AN1018" s="13"/>
      <c r="AO1018" s="13"/>
      <c r="AP1018" s="13"/>
      <c r="AQ1018" s="13"/>
      <c r="AR1018" s="14"/>
      <c r="AS1018" s="15"/>
    </row>
    <row r="1019" spans="1:45" s="17" customFormat="1" ht="30.95" hidden="1" customHeight="1" x14ac:dyDescent="0.2">
      <c r="A1019" s="37"/>
      <c r="B1019" s="38"/>
      <c r="C1019" s="45"/>
      <c r="D1019" s="31"/>
      <c r="E1019" s="31"/>
      <c r="F1019" s="268"/>
      <c r="G1019" s="269"/>
      <c r="H1019" s="269"/>
      <c r="I1019" s="270"/>
      <c r="J1019" s="210"/>
      <c r="K1019" s="270"/>
      <c r="L1019" s="270"/>
      <c r="M1019" s="39"/>
      <c r="N1019" s="39"/>
      <c r="O1019" s="156"/>
      <c r="P1019" s="47"/>
      <c r="Q1019" s="57"/>
      <c r="R1019" s="338"/>
      <c r="S1019" s="272"/>
      <c r="T1019" s="273"/>
      <c r="U1019" s="40"/>
      <c r="V1019" s="277"/>
      <c r="W1019" s="269"/>
      <c r="X1019" s="269"/>
      <c r="Y1019" s="275"/>
      <c r="Z1019" s="269"/>
      <c r="AA1019" s="57"/>
      <c r="AB1019" s="207"/>
      <c r="AC1019" s="33"/>
      <c r="AD1019" s="189"/>
      <c r="AE1019" s="54"/>
      <c r="AF1019" s="55"/>
      <c r="AG1019" s="43"/>
      <c r="AH1019" s="339"/>
      <c r="AI1019" s="30"/>
      <c r="AJ1019" s="30"/>
      <c r="AK1019" s="30"/>
      <c r="AL1019" s="30"/>
      <c r="AM1019" s="13"/>
      <c r="AN1019" s="13"/>
      <c r="AO1019" s="13"/>
      <c r="AP1019" s="13"/>
      <c r="AQ1019" s="13"/>
      <c r="AR1019" s="14"/>
      <c r="AS1019" s="15"/>
    </row>
    <row r="1020" spans="1:45" s="17" customFormat="1" ht="30.95" hidden="1" customHeight="1" x14ac:dyDescent="0.2">
      <c r="A1020" s="37" t="s">
        <v>557</v>
      </c>
      <c r="B1020" s="38" t="s">
        <v>688</v>
      </c>
      <c r="C1020" s="45"/>
      <c r="D1020" s="31">
        <v>3724503</v>
      </c>
      <c r="E1020" s="31">
        <v>4162050</v>
      </c>
      <c r="F1020" s="268" t="str">
        <f>IF(D1020="","",VLOOKUP(D1020,契約台帳!$A$3:$K$4986,6,FALSE)&amp;VLOOKUP(D1020,契約台帳!$A$3:$K$4986,7,FALSE)&amp;VLOOKUP(D1020,契約台帳!$A$3:$K$4986,8,FALSE)&amp;VLOOKUP(D1020,契約台帳!$A$3:$K$4986,9,FALSE)&amp;VLOOKUP(D1020,契約台帳!$A$3:$K$4986,11,FALSE))</f>
        <v>3SNMCLBNGKEYKB</v>
      </c>
      <c r="G1020" s="269" t="str">
        <f>IF(D1020="","",VLOOKUP(F1020,製品マスタ!$G$5:$H$5002,2,FALSE))</f>
        <v>S</v>
      </c>
      <c r="H1020" s="269" t="str">
        <f>IF(D1020="","",VLOOKUP(F1020,製品マスタ!$G$5:$K$5002,5,FALSE))</f>
        <v>NGKEYKB</v>
      </c>
      <c r="I1020" s="270" t="str">
        <f>IF(D1020="","",VLOOKUP(F1020,製品マスタ!$G$5:$L$5002,6,FALSE))</f>
        <v>メタルミー　ネーマー銀消ＥＹＫ　Ｂ</v>
      </c>
      <c r="J1020" s="210" t="s">
        <v>464</v>
      </c>
      <c r="K1020" s="270">
        <f>IF(D1020="","",VLOOKUP(D1020,契約台帳!$A$3:$L$4986,12,FALSE))</f>
        <v>16</v>
      </c>
      <c r="L1020" s="270" t="str">
        <f>IF(D1020="","",INDEX(製品マスタ!$Q$5:$Q$5002,MATCH('S4'!F1020&amp;'S4'!K1020,製品マスタ!$AO$5:$AO$5002,0)))</f>
        <v>LUMIMAT</v>
      </c>
      <c r="M1020" s="39">
        <v>1005</v>
      </c>
      <c r="N1020" s="39">
        <v>3200</v>
      </c>
      <c r="O1020" s="156">
        <v>1</v>
      </c>
      <c r="P1020" s="47">
        <v>1</v>
      </c>
      <c r="Q1020" s="213">
        <v>45177</v>
      </c>
      <c r="R1020" s="271">
        <f ca="1">IF(D1020="","",IF(OFFSET(D1020,-1,0)&lt;&gt;"","",IF(OR(J1020="リード付け",J1020="巻足し",J1020="巻返しリード付け"),M1020,VLOOKUP(D1020,契約台帳!$A$3:$N$4986,14,FALSE))))</f>
        <v>1005</v>
      </c>
      <c r="S1020" s="272">
        <f ca="1">IF(D1020="","",IF(OFFSET(D1020,-1,0)&lt;&gt;"","",IF(OR(J1020="リード付け",J1020="巻足し",J1020="巻返しリード付け"),M1020,VLOOKUP(D1020,契約台帳!$A$3:$O$4986,15,FALSE))))</f>
        <v>1005</v>
      </c>
      <c r="T1020" s="273">
        <f ca="1">IF(D1020="","",IF(J1020="リード付け",N1020,IF(J1020="巻返しリード付け",N1020,IF(J1020="巻足し",N1020*P1020+OFFSET(N1020,1,0)*OFFSET(P1020,1,0),VLOOKUP(D1020,契約台帳!$A$3:$P$4986,16,FALSE)))))</f>
        <v>3200</v>
      </c>
      <c r="U1020" s="40">
        <v>1</v>
      </c>
      <c r="V1020" s="274">
        <f ca="1">IF(D1020="","",IF(OFFSET(D1020,-2,0)=D1020,"",VLOOKUP(D1020,契約台帳!$A$3:$R$4986,18,FALSE)))</f>
        <v>1</v>
      </c>
      <c r="W1020" s="269" t="str">
        <f ca="1">IF(D1020="","",IF(T1020="","",IF(OR(J1020="巻足し",J1020="巻返しリード付け"),"",IF(J1020="巻返し",VLOOKUP(F1020&amp;K1020&amp;M1020,製品マスタ!$M$5:$AD$5002,18,FALSE),IF(OR(J1020="リード付け",J1020="巻返しリード付け"),"原反コア",IF(J1020="スリット",VLOOKUP(F1020&amp;K1020&amp;R1020,製品マスタ!$N$5:$AD$5002,17,FALSE),""))))))</f>
        <v>原反コア</v>
      </c>
      <c r="X1020" s="269" t="str">
        <f ca="1">IF(D1020="","",IF(T1020="","",IF(J1020="巻足し","",IF(J1020="巻返し",VLOOKUP(F1020&amp;K1020&amp;M1020,製品マスタ!$M$5:$AE$5002,19,FALSE),IF(OR(J1020="リード付け",J1020="巻返しリード付け"),"",IF(J1020="スリット",VLOOKUP(F1020&amp;K1020&amp;R1020,製品マスタ!$N$5:$AE$5002,18,FALSE),""))))))</f>
        <v/>
      </c>
      <c r="Y1020" s="275">
        <f ca="1">IF(D1020="","",IF(T1020="","",VLOOKUP(D1020,契約台帳!$A$3:$Q$4986,17,FALSE)))</f>
        <v>2</v>
      </c>
      <c r="Z1020" s="269" t="str">
        <f ca="1">IF(D1020="","",IF(T1020="","",VLOOKUP(D1020,契約台帳!$A$3:$E$4986,5,FALSE)))</f>
        <v>リンテック㈱</v>
      </c>
      <c r="AA1020" s="57"/>
      <c r="AB1020" s="207">
        <f>IFERROR((VLOOKUP(F1020&amp;K1020&amp;M1020,製品マスタ!$M$5:$AM$5002,27,FALSE)),"")</f>
        <v>0</v>
      </c>
      <c r="AC1020" s="33"/>
      <c r="AD1020" s="189"/>
      <c r="AE1020" s="54"/>
      <c r="AF1020" s="55">
        <f>+M1020*N1020*O1020/1000</f>
        <v>3216</v>
      </c>
      <c r="AG1020" s="43"/>
      <c r="AH1020" s="47"/>
      <c r="AI1020" s="30"/>
      <c r="AJ1020" s="30"/>
      <c r="AK1020" s="30"/>
      <c r="AL1020" s="30"/>
      <c r="AM1020" s="13"/>
      <c r="AN1020" s="13"/>
      <c r="AO1020" s="13"/>
      <c r="AP1020" s="13"/>
      <c r="AQ1020" s="13"/>
      <c r="AR1020" s="14"/>
      <c r="AS1020" s="15"/>
    </row>
    <row r="1021" spans="1:45" s="17" customFormat="1" ht="30.95" hidden="1" customHeight="1" x14ac:dyDescent="0.2">
      <c r="A1021" s="37"/>
      <c r="B1021" s="38"/>
      <c r="C1021" s="45"/>
      <c r="D1021" s="31"/>
      <c r="E1021" s="31"/>
      <c r="F1021" s="268"/>
      <c r="G1021" s="269"/>
      <c r="H1021" s="269"/>
      <c r="I1021" s="270"/>
      <c r="J1021" s="210"/>
      <c r="K1021" s="270"/>
      <c r="L1021" s="270"/>
      <c r="M1021" s="39"/>
      <c r="N1021" s="39"/>
      <c r="O1021" s="156"/>
      <c r="P1021" s="47"/>
      <c r="Q1021" s="57"/>
      <c r="R1021" s="338"/>
      <c r="S1021" s="272"/>
      <c r="T1021" s="273"/>
      <c r="U1021" s="40"/>
      <c r="V1021" s="277"/>
      <c r="W1021" s="269"/>
      <c r="X1021" s="269"/>
      <c r="Y1021" s="275"/>
      <c r="Z1021" s="269"/>
      <c r="AA1021" s="57"/>
      <c r="AB1021" s="207"/>
      <c r="AC1021" s="33"/>
      <c r="AD1021" s="189"/>
      <c r="AE1021" s="54"/>
      <c r="AF1021" s="55"/>
      <c r="AG1021" s="43"/>
      <c r="AH1021" s="339"/>
      <c r="AI1021" s="30"/>
      <c r="AJ1021" s="30"/>
      <c r="AK1021" s="30"/>
      <c r="AL1021" s="30"/>
      <c r="AM1021" s="13"/>
      <c r="AN1021" s="13"/>
      <c r="AO1021" s="13"/>
      <c r="AP1021" s="13"/>
      <c r="AQ1021" s="13"/>
      <c r="AR1021" s="14"/>
      <c r="AS1021" s="15"/>
    </row>
    <row r="1022" spans="1:45" s="17" customFormat="1" ht="30.95" hidden="1" customHeight="1" x14ac:dyDescent="0.2">
      <c r="A1022" s="37"/>
      <c r="B1022" s="38"/>
      <c r="C1022" s="45"/>
      <c r="D1022" s="31">
        <v>3723631</v>
      </c>
      <c r="E1022" s="31">
        <v>4162026</v>
      </c>
      <c r="F1022" s="268" t="str">
        <f>IF(D1022="","",VLOOKUP(D1022,契約台帳!$A$3:$K$4986,6,FALSE)&amp;VLOOKUP(D1022,契約台帳!$A$3:$K$4986,7,FALSE)&amp;VLOOKUP(D1022,契約台帳!$A$3:$K$4986,8,FALSE)&amp;VLOOKUP(D1022,契約台帳!$A$3:$K$4986,9,FALSE)&amp;VLOOKUP(D1022,契約台帳!$A$3:$K$4986,11,FALSE))</f>
        <v>3SNMLBMNGKBF</v>
      </c>
      <c r="G1022" s="269" t="str">
        <f>IF(D1022="","",VLOOKUP(F1022,製品マスタ!$G$5:$H$5002,2,FALSE))</f>
        <v>S</v>
      </c>
      <c r="H1022" s="269" t="str">
        <f>IF(D1022="","",VLOOKUP(F1022,製品マスタ!$G$5:$K$5002,5,FALSE))</f>
        <v>MNGKBF</v>
      </c>
      <c r="I1022" s="270" t="str">
        <f>IF(D1022="","",VLOOKUP(F1022,製品マスタ!$G$5:$L$5002,6,FALSE))</f>
        <v>メタルミー　ネーマー銀消　Ｂ</v>
      </c>
      <c r="J1022" s="210" t="s">
        <v>935</v>
      </c>
      <c r="K1022" s="270">
        <f>IF(D1022="","",VLOOKUP(D1022,契約台帳!$A$3:$L$4986,12,FALSE))</f>
        <v>38</v>
      </c>
      <c r="L1022" s="270" t="str">
        <f>IF(D1022="","",INDEX(製品マスタ!$Q$5:$Q$5002,MATCH('S4'!F1022&amp;'S4'!K1022,製品マスタ!$AO$5:$AO$5002,0)))</f>
        <v>LUMIMAT</v>
      </c>
      <c r="M1022" s="39">
        <v>1005</v>
      </c>
      <c r="N1022" s="39">
        <v>4100</v>
      </c>
      <c r="O1022" s="156">
        <v>2</v>
      </c>
      <c r="P1022" s="47">
        <v>2</v>
      </c>
      <c r="Q1022" s="213">
        <v>45177</v>
      </c>
      <c r="R1022" s="271">
        <f ca="1">IF(D1022="","",IF(OFFSET(D1022,-1,0)&lt;&gt;"","",IF(OR(J1022="リード付け",J1022="巻足し",J1022="巻返しリード付け"),M1022,VLOOKUP(D1022,契約台帳!$A$3:$N$4986,14,FALSE))))</f>
        <v>1005</v>
      </c>
      <c r="S1022" s="272">
        <f ca="1">IF(D1022="","",IF(OFFSET(D1022,-1,0)&lt;&gt;"","",IF(OR(J1022="リード付け",J1022="巻足し",J1022="巻返しリード付け"),M1022,VLOOKUP(D1022,契約台帳!$A$3:$O$4986,15,FALSE))))</f>
        <v>1005</v>
      </c>
      <c r="T1022" s="273">
        <f ca="1">IF(D1022="","",IF(J1022="リード付け",N1022,IF(J1022="巻返しリード付け",N1022,IF(J1022="巻足し",N1022*P1022+OFFSET(N1022,1,0)*OFFSET(P1022,1,0),VLOOKUP(D1022,契約台帳!$A$3:$P$4986,16,FALSE)))))</f>
        <v>8200</v>
      </c>
      <c r="U1022" s="40">
        <v>1</v>
      </c>
      <c r="V1022" s="274">
        <f ca="1">IF(D1022="","",IF(OFFSET(D1022,-2,0)=D1022,"",VLOOKUP(D1022,契約台帳!$A$3:$R$4986,18,FALSE)))</f>
        <v>2</v>
      </c>
      <c r="W1022" s="269" t="str">
        <f ca="1">IF(D1022="","",IF(T1022="","",IF(OR(J1022="巻足し",J1022="巻返しリード付け"),"",IF(J1022="巻返し",VLOOKUP(F1022&amp;K1022&amp;M1022,製品マスタ!$M$5:$AD$5002,18,FALSE),IF(OR(J1022="リード付け",J1022="巻返しリード付け"),"原反コア",IF(J1022="スリット",VLOOKUP(F1022&amp;K1022&amp;R1022,製品マスタ!$N$5:$AD$5002,17,FALSE),""))))))</f>
        <v/>
      </c>
      <c r="X1022" s="269" t="str">
        <f ca="1">IF(D1022="","",IF(T1022="","",IF(J1022="巻足し","",IF(J1022="巻返し",VLOOKUP(F1022&amp;K1022&amp;M1022,製品マスタ!$M$5:$AE$5002,19,FALSE),IF(OR(J1022="リード付け",J1022="巻返しリード付け"),"",IF(J1022="スリット",VLOOKUP(F1022&amp;K1022&amp;R1022,製品マスタ!$N$5:$AE$5002,18,FALSE),""))))))</f>
        <v/>
      </c>
      <c r="Y1022" s="275">
        <f ca="1">IF(D1022="","",IF(T1022="","",VLOOKUP(D1022,契約台帳!$A$3:$Q$4986,17,FALSE)))</f>
        <v>2</v>
      </c>
      <c r="Z1022" s="269" t="str">
        <f ca="1">IF(D1022="","",IF(T1022="","",VLOOKUP(D1022,契約台帳!$A$3:$E$4986,5,FALSE)))</f>
        <v>リンテック㈱</v>
      </c>
      <c r="AA1022" s="57"/>
      <c r="AB1022" s="207">
        <f>IFERROR((VLOOKUP(F1022&amp;K1022&amp;M1022,製品マスタ!$M$5:$AM$5002,27,FALSE)),"")</f>
        <v>0</v>
      </c>
      <c r="AC1022" s="33"/>
      <c r="AD1022" s="189"/>
      <c r="AE1022" s="54"/>
      <c r="AF1022" s="55">
        <f>+M1022*N1022*O1022/1000</f>
        <v>8241</v>
      </c>
      <c r="AG1022" s="43"/>
      <c r="AH1022" s="47"/>
      <c r="AI1022" s="30"/>
      <c r="AJ1022" s="30"/>
      <c r="AK1022" s="30"/>
      <c r="AL1022" s="30"/>
      <c r="AM1022" s="13"/>
      <c r="AN1022" s="13"/>
      <c r="AO1022" s="13"/>
      <c r="AP1022" s="13"/>
      <c r="AQ1022" s="13"/>
      <c r="AR1022" s="14"/>
      <c r="AS1022" s="15"/>
    </row>
    <row r="1023" spans="1:45" s="17" customFormat="1" ht="30.95" hidden="1" customHeight="1" x14ac:dyDescent="0.2">
      <c r="A1023" s="37"/>
      <c r="B1023" s="38"/>
      <c r="C1023" s="45"/>
      <c r="D1023" s="31"/>
      <c r="E1023" s="31"/>
      <c r="F1023" s="268"/>
      <c r="G1023" s="269"/>
      <c r="H1023" s="269"/>
      <c r="I1023" s="270"/>
      <c r="J1023" s="210"/>
      <c r="K1023" s="270"/>
      <c r="L1023" s="270"/>
      <c r="M1023" s="39"/>
      <c r="N1023" s="39"/>
      <c r="O1023" s="156"/>
      <c r="P1023" s="47"/>
      <c r="Q1023" s="57"/>
      <c r="R1023" s="338"/>
      <c r="S1023" s="272"/>
      <c r="T1023" s="273"/>
      <c r="U1023" s="40"/>
      <c r="V1023" s="277"/>
      <c r="W1023" s="269"/>
      <c r="X1023" s="269"/>
      <c r="Y1023" s="275"/>
      <c r="Z1023" s="269"/>
      <c r="AA1023" s="57"/>
      <c r="AB1023" s="207"/>
      <c r="AC1023" s="33"/>
      <c r="AD1023" s="189"/>
      <c r="AE1023" s="54"/>
      <c r="AF1023" s="55"/>
      <c r="AG1023" s="43"/>
      <c r="AH1023" s="339"/>
      <c r="AI1023" s="30"/>
      <c r="AJ1023" s="30"/>
      <c r="AK1023" s="30"/>
      <c r="AL1023" s="30"/>
      <c r="AM1023" s="13"/>
      <c r="AN1023" s="13"/>
      <c r="AO1023" s="13"/>
      <c r="AP1023" s="13"/>
      <c r="AQ1023" s="13"/>
      <c r="AR1023" s="14"/>
      <c r="AS1023" s="15"/>
    </row>
    <row r="1024" spans="1:45" s="17" customFormat="1" ht="30.95" hidden="1" customHeight="1" x14ac:dyDescent="0.2">
      <c r="A1024" s="37"/>
      <c r="B1024" s="38"/>
      <c r="C1024" s="45"/>
      <c r="D1024" s="31">
        <v>3723628</v>
      </c>
      <c r="E1024" s="31">
        <v>4162029</v>
      </c>
      <c r="F1024" s="268" t="str">
        <f>IF(D1024="","",VLOOKUP(D1024,契約台帳!$A$3:$K$4986,6,FALSE)&amp;VLOOKUP(D1024,契約台帳!$A$3:$K$4986,7,FALSE)&amp;VLOOKUP(D1024,契約台帳!$A$3:$K$4986,8,FALSE)&amp;VLOOKUP(D1024,契約台帳!$A$3:$K$4986,9,FALSE)&amp;VLOOKUP(D1024,契約台帳!$A$3:$K$4986,11,FALSE))</f>
        <v>3SNMLBMNGKKBF</v>
      </c>
      <c r="G1024" s="269" t="str">
        <f>IF(D1024="","",VLOOKUP(F1024,製品マスタ!$G$5:$H$5002,2,FALSE))</f>
        <v>S</v>
      </c>
      <c r="H1024" s="269" t="str">
        <f>IF(D1024="","",VLOOKUP(F1024,製品マスタ!$G$5:$K$5002,5,FALSE))</f>
        <v>MNGKKBF</v>
      </c>
      <c r="I1024" s="270" t="str">
        <f>IF(D1024="","",VLOOKUP(F1024,製品マスタ!$G$5:$L$5002,6,FALSE))</f>
        <v>メタルミー　ネーマー銀消改　Ｂ</v>
      </c>
      <c r="J1024" s="210" t="s">
        <v>935</v>
      </c>
      <c r="K1024" s="270">
        <f>IF(D1024="","",VLOOKUP(D1024,契約台帳!$A$3:$L$4986,12,FALSE))</f>
        <v>50</v>
      </c>
      <c r="L1024" s="270" t="str">
        <f>IF(D1024="","",INDEX(製品マスタ!$Q$5:$Q$5002,MATCH('S4'!F1024&amp;'S4'!K1024,製品マスタ!$AO$5:$AO$5002,0)))</f>
        <v>S99-MAT</v>
      </c>
      <c r="M1024" s="39">
        <v>1000</v>
      </c>
      <c r="N1024" s="39">
        <v>4000</v>
      </c>
      <c r="O1024" s="156">
        <v>2</v>
      </c>
      <c r="P1024" s="47">
        <v>2</v>
      </c>
      <c r="Q1024" s="213">
        <v>45177</v>
      </c>
      <c r="R1024" s="271">
        <f ca="1">IF(D1024="","",IF(OFFSET(D1024,-1,0)&lt;&gt;"","",IF(OR(J1024="リード付け",J1024="巻足し",J1024="巻返しリード付け"),M1024,VLOOKUP(D1024,契約台帳!$A$3:$N$4986,14,FALSE))))</f>
        <v>1000</v>
      </c>
      <c r="S1024" s="272">
        <f ca="1">IF(D1024="","",IF(OFFSET(D1024,-1,0)&lt;&gt;"","",IF(OR(J1024="リード付け",J1024="巻足し",J1024="巻返しリード付け"),M1024,VLOOKUP(D1024,契約台帳!$A$3:$O$4986,15,FALSE))))</f>
        <v>1000</v>
      </c>
      <c r="T1024" s="273">
        <f ca="1">IF(D1024="","",IF(J1024="リード付け",N1024,IF(J1024="巻返しリード付け",N1024,IF(J1024="巻足し",N1024*P1024+OFFSET(N1024,1,0)*OFFSET(P1024,1,0),VLOOKUP(D1024,契約台帳!$A$3:$P$4986,16,FALSE)))))</f>
        <v>8000</v>
      </c>
      <c r="U1024" s="40">
        <v>1</v>
      </c>
      <c r="V1024" s="274">
        <f ca="1">IF(D1024="","",IF(OFFSET(D1024,-2,0)=D1024,"",VLOOKUP(D1024,契約台帳!$A$3:$R$4986,18,FALSE)))</f>
        <v>2</v>
      </c>
      <c r="W1024" s="269" t="str">
        <f ca="1">IF(D1024="","",IF(T1024="","",IF(OR(J1024="巻足し",J1024="巻返しリード付け"),"",IF(J1024="巻返し",VLOOKUP(F1024&amp;K1024&amp;M1024,製品マスタ!$M$5:$AD$5002,18,FALSE),IF(OR(J1024="リード付け",J1024="巻返しリード付け"),"原反コア",IF(J1024="スリット",VLOOKUP(F1024&amp;K1024&amp;R1024,製品マスタ!$N$5:$AD$5002,17,FALSE),""))))))</f>
        <v/>
      </c>
      <c r="X1024" s="269" t="str">
        <f ca="1">IF(D1024="","",IF(T1024="","",IF(J1024="巻足し","",IF(J1024="巻返し",VLOOKUP(F1024&amp;K1024&amp;M1024,製品マスタ!$M$5:$AE$5002,19,FALSE),IF(OR(J1024="リード付け",J1024="巻返しリード付け"),"",IF(J1024="スリット",VLOOKUP(F1024&amp;K1024&amp;R1024,製品マスタ!$N$5:$AE$5002,18,FALSE),""))))))</f>
        <v/>
      </c>
      <c r="Y1024" s="275">
        <f ca="1">IF(D1024="","",IF(T1024="","",VLOOKUP(D1024,契約台帳!$A$3:$Q$4986,17,FALSE)))</f>
        <v>2</v>
      </c>
      <c r="Z1024" s="269" t="str">
        <f ca="1">IF(D1024="","",IF(T1024="","",VLOOKUP(D1024,契約台帳!$A$3:$E$4986,5,FALSE)))</f>
        <v>リンテック㈱</v>
      </c>
      <c r="AA1024" s="57"/>
      <c r="AB1024" s="207">
        <f>IFERROR((VLOOKUP(F1024&amp;K1024&amp;M1024,製品マスタ!$M$5:$AM$5002,27,FALSE)),"")</f>
        <v>0</v>
      </c>
      <c r="AC1024" s="33"/>
      <c r="AD1024" s="189"/>
      <c r="AE1024" s="54"/>
      <c r="AF1024" s="55">
        <f>+M1024*N1024*O1024/1000</f>
        <v>8000</v>
      </c>
      <c r="AG1024" s="43"/>
      <c r="AH1024" s="47"/>
      <c r="AI1024" s="30"/>
      <c r="AJ1024" s="30"/>
      <c r="AK1024" s="30"/>
      <c r="AL1024" s="30"/>
      <c r="AM1024" s="13"/>
      <c r="AN1024" s="13"/>
      <c r="AO1024" s="13"/>
      <c r="AP1024" s="13"/>
      <c r="AQ1024" s="13"/>
      <c r="AR1024" s="14"/>
      <c r="AS1024" s="15"/>
    </row>
    <row r="1025" spans="1:45" s="17" customFormat="1" ht="30.95" hidden="1" customHeight="1" x14ac:dyDescent="0.2">
      <c r="A1025" s="37"/>
      <c r="B1025" s="38"/>
      <c r="C1025" s="45"/>
      <c r="D1025" s="31"/>
      <c r="E1025" s="31"/>
      <c r="F1025" s="268"/>
      <c r="G1025" s="269"/>
      <c r="H1025" s="269"/>
      <c r="I1025" s="270"/>
      <c r="J1025" s="210"/>
      <c r="K1025" s="270"/>
      <c r="L1025" s="270"/>
      <c r="M1025" s="39"/>
      <c r="N1025" s="39"/>
      <c r="O1025" s="156"/>
      <c r="P1025" s="47"/>
      <c r="Q1025" s="57"/>
      <c r="R1025" s="338"/>
      <c r="S1025" s="272"/>
      <c r="T1025" s="273"/>
      <c r="U1025" s="40"/>
      <c r="V1025" s="277"/>
      <c r="W1025" s="269"/>
      <c r="X1025" s="269"/>
      <c r="Y1025" s="275"/>
      <c r="Z1025" s="269"/>
      <c r="AA1025" s="57"/>
      <c r="AB1025" s="207"/>
      <c r="AC1025" s="33"/>
      <c r="AD1025" s="189"/>
      <c r="AE1025" s="54"/>
      <c r="AF1025" s="55"/>
      <c r="AG1025" s="43"/>
      <c r="AH1025" s="339"/>
      <c r="AI1025" s="30"/>
      <c r="AJ1025" s="30"/>
      <c r="AK1025" s="30"/>
      <c r="AL1025" s="30"/>
      <c r="AM1025" s="13"/>
      <c r="AN1025" s="13"/>
      <c r="AO1025" s="13"/>
      <c r="AP1025" s="13"/>
      <c r="AQ1025" s="13"/>
      <c r="AR1025" s="14"/>
      <c r="AS1025" s="15"/>
    </row>
    <row r="1026" spans="1:45" s="17" customFormat="1" ht="30.95" hidden="1" customHeight="1" x14ac:dyDescent="0.2">
      <c r="A1026" s="37"/>
      <c r="B1026" s="38"/>
      <c r="C1026" s="45"/>
      <c r="D1026" s="31">
        <v>3723639</v>
      </c>
      <c r="E1026" s="31">
        <v>4162061</v>
      </c>
      <c r="F1026" s="268" t="str">
        <f>IF(D1026="","",VLOOKUP(D1026,契約台帳!$A$3:$K$4986,6,FALSE)&amp;VLOOKUP(D1026,契約台帳!$A$3:$K$4986,7,FALSE)&amp;VLOOKUP(D1026,契約台帳!$A$3:$K$4986,8,FALSE)&amp;VLOOKUP(D1026,契約台帳!$A$3:$K$4986,9,FALSE)&amp;VLOOKUP(D1026,契約台帳!$A$3:$K$4986,11,FALSE))</f>
        <v>3SNMLBMNNGKBF</v>
      </c>
      <c r="G1026" s="269" t="str">
        <f>IF(D1026="","",VLOOKUP(F1026,製品マスタ!$G$5:$H$5002,2,FALSE))</f>
        <v>S</v>
      </c>
      <c r="H1026" s="269" t="str">
        <f>IF(D1026="","",VLOOKUP(F1026,製品マスタ!$G$5:$K$5002,5,FALSE))</f>
        <v>MNNGKBF</v>
      </c>
      <c r="I1026" s="270" t="str">
        <f>IF(D1026="","",VLOOKUP(F1026,製品マスタ!$G$5:$L$5002,6,FALSE))</f>
        <v>メタルミー　ニューネーマー銀消　Ｂ</v>
      </c>
      <c r="J1026" s="210" t="s">
        <v>935</v>
      </c>
      <c r="K1026" s="270">
        <f>IF(D1026="","",VLOOKUP(D1026,契約台帳!$A$3:$L$4986,12,FALSE))</f>
        <v>50</v>
      </c>
      <c r="L1026" s="270" t="str">
        <f>IF(D1026="","",INDEX(製品マスタ!$Q$5:$Q$5002,MATCH('S4'!F1026&amp;'S4'!K1026,製品マスタ!$AO$5:$AO$5002,0)))</f>
        <v>X44</v>
      </c>
      <c r="M1026" s="39">
        <v>1000</v>
      </c>
      <c r="N1026" s="39">
        <v>4000</v>
      </c>
      <c r="O1026" s="156">
        <v>6</v>
      </c>
      <c r="P1026" s="47">
        <v>3</v>
      </c>
      <c r="Q1026" s="213">
        <v>45175</v>
      </c>
      <c r="R1026" s="271">
        <f ca="1">IF(D1026="","",IF(OFFSET(D1026,-1,0)&lt;&gt;"","",IF(OR(J1026="リード付け",J1026="巻足し",J1026="巻返しリード付け"),M1026,VLOOKUP(D1026,契約台帳!$A$3:$N$4986,14,FALSE))))</f>
        <v>1000</v>
      </c>
      <c r="S1026" s="272">
        <f ca="1">IF(D1026="","",IF(OFFSET(D1026,-1,0)&lt;&gt;"","",IF(OR(J1026="リード付け",J1026="巻足し",J1026="巻返しリード付け"),M1026,VLOOKUP(D1026,契約台帳!$A$3:$O$4986,15,FALSE))))</f>
        <v>1000</v>
      </c>
      <c r="T1026" s="273">
        <f ca="1">IF(D1026="","",IF(J1026="リード付け",N1026,IF(J1026="巻返しリード付け",N1026,IF(J1026="巻足し",N1026*P1026+OFFSET(N1026,1,0)*OFFSET(P1026,1,0),VLOOKUP(D1026,契約台帳!$A$3:$P$4986,16,FALSE)))))</f>
        <v>12000</v>
      </c>
      <c r="U1026" s="40">
        <v>2</v>
      </c>
      <c r="V1026" s="274">
        <f ca="1">IF(D1026="","",IF(OFFSET(D1026,-2,0)=D1026,"",VLOOKUP(D1026,契約台帳!$A$3:$R$4986,18,FALSE)))</f>
        <v>12</v>
      </c>
      <c r="W1026" s="269" t="str">
        <f ca="1">IF(D1026="","",IF(T1026="","",IF(OR(J1026="巻足し",J1026="巻返しリード付け"),"",IF(J1026="巻返し",VLOOKUP(F1026&amp;K1026&amp;M1026,製品マスタ!$M$5:$AD$5002,18,FALSE),IF(OR(J1026="リード付け",J1026="巻返しリード付け"),"原反コア",IF(J1026="スリット",VLOOKUP(F1026&amp;K1026&amp;R1026,製品マスタ!$N$5:$AD$5002,17,FALSE),""))))))</f>
        <v/>
      </c>
      <c r="X1026" s="269" t="str">
        <f ca="1">IF(D1026="","",IF(T1026="","",IF(J1026="巻足し","",IF(J1026="巻返し",VLOOKUP(F1026&amp;K1026&amp;M1026,製品マスタ!$M$5:$AE$5002,19,FALSE),IF(OR(J1026="リード付け",J1026="巻返しリード付け"),"",IF(J1026="スリット",VLOOKUP(F1026&amp;K1026&amp;R1026,製品マスタ!$N$5:$AE$5002,18,FALSE),""))))))</f>
        <v/>
      </c>
      <c r="Y1026" s="275">
        <f ca="1">IF(D1026="","",IF(T1026="","",VLOOKUP(D1026,契約台帳!$A$3:$Q$4986,17,FALSE)))</f>
        <v>2</v>
      </c>
      <c r="Z1026" s="269" t="str">
        <f ca="1">IF(D1026="","",IF(T1026="","",VLOOKUP(D1026,契約台帳!$A$3:$E$4986,5,FALSE)))</f>
        <v>リンテック㈱</v>
      </c>
      <c r="AA1026" s="57"/>
      <c r="AB1026" s="303" t="str">
        <f>IFERROR((VLOOKUP(F1026&amp;K1026&amp;M1026,製品マスタ!$M$5:$AM$5002,27,FALSE)),"")</f>
        <v>原反ケース再利用</v>
      </c>
      <c r="AC1026" s="33"/>
      <c r="AD1026" s="189"/>
      <c r="AE1026" s="54"/>
      <c r="AF1026" s="55">
        <f>+M1026*N1026*O1026/1000</f>
        <v>24000</v>
      </c>
      <c r="AG1026" s="43"/>
      <c r="AH1026" s="47"/>
      <c r="AI1026" s="30"/>
      <c r="AJ1026" s="30"/>
      <c r="AK1026" s="30"/>
      <c r="AL1026" s="30"/>
      <c r="AM1026" s="13"/>
      <c r="AN1026" s="13"/>
      <c r="AO1026" s="13"/>
      <c r="AP1026" s="13"/>
      <c r="AQ1026" s="13"/>
      <c r="AR1026" s="14"/>
      <c r="AS1026" s="15"/>
    </row>
    <row r="1027" spans="1:45" s="17" customFormat="1" ht="30.95" hidden="1" customHeight="1" x14ac:dyDescent="0.2">
      <c r="A1027" s="37"/>
      <c r="B1027" s="38"/>
      <c r="C1027" s="45"/>
      <c r="D1027" s="31"/>
      <c r="E1027" s="31"/>
      <c r="F1027" s="268"/>
      <c r="G1027" s="269"/>
      <c r="H1027" s="269"/>
      <c r="I1027" s="270"/>
      <c r="J1027" s="210"/>
      <c r="K1027" s="270"/>
      <c r="L1027" s="270"/>
      <c r="M1027" s="39"/>
      <c r="N1027" s="39"/>
      <c r="O1027" s="156"/>
      <c r="P1027" s="47"/>
      <c r="Q1027" s="57"/>
      <c r="R1027" s="338"/>
      <c r="S1027" s="272"/>
      <c r="T1027" s="273"/>
      <c r="U1027" s="40"/>
      <c r="V1027" s="277"/>
      <c r="W1027" s="269"/>
      <c r="X1027" s="269"/>
      <c r="Y1027" s="275"/>
      <c r="Z1027" s="269"/>
      <c r="AA1027" s="57"/>
      <c r="AB1027" s="207"/>
      <c r="AC1027" s="33"/>
      <c r="AD1027" s="189"/>
      <c r="AE1027" s="54"/>
      <c r="AF1027" s="55"/>
      <c r="AG1027" s="43"/>
      <c r="AH1027" s="339"/>
      <c r="AI1027" s="30"/>
      <c r="AJ1027" s="30"/>
      <c r="AK1027" s="30"/>
      <c r="AL1027" s="30"/>
      <c r="AM1027" s="13"/>
      <c r="AN1027" s="13"/>
      <c r="AO1027" s="13"/>
      <c r="AP1027" s="13"/>
      <c r="AQ1027" s="13"/>
      <c r="AR1027" s="14"/>
      <c r="AS1027" s="15"/>
    </row>
    <row r="1028" spans="1:45" s="17" customFormat="1" ht="30.95" hidden="1" customHeight="1" x14ac:dyDescent="0.2">
      <c r="A1028" s="37"/>
      <c r="B1028" s="38"/>
      <c r="C1028" s="45"/>
      <c r="D1028" s="31">
        <v>3725014</v>
      </c>
      <c r="E1028" s="31">
        <v>4162064</v>
      </c>
      <c r="F1028" s="268" t="str">
        <f>IF(D1028="","",VLOOKUP(D1028,契約台帳!$A$3:$K$4986,6,FALSE)&amp;VLOOKUP(D1028,契約台帳!$A$3:$K$4986,7,FALSE)&amp;VLOOKUP(D1028,契約台帳!$A$3:$K$4986,8,FALSE)&amp;VLOOKUP(D1028,契約台帳!$A$3:$K$4986,9,FALSE)&amp;VLOOKUP(D1028,契約台帳!$A$3:$K$4986,11,FALSE))</f>
        <v>3SNMLBMNNGKBF</v>
      </c>
      <c r="G1028" s="269" t="str">
        <f>IF(D1028="","",VLOOKUP(F1028,製品マスタ!$G$5:$H$5002,2,FALSE))</f>
        <v>S</v>
      </c>
      <c r="H1028" s="269" t="str">
        <f>IF(D1028="","",VLOOKUP(F1028,製品マスタ!$G$5:$K$5002,5,FALSE))</f>
        <v>MNNGKBF</v>
      </c>
      <c r="I1028" s="270" t="str">
        <f>IF(D1028="","",VLOOKUP(F1028,製品マスタ!$G$5:$L$5002,6,FALSE))</f>
        <v>メタルミー　ニューネーマー銀消　Ｂ</v>
      </c>
      <c r="J1028" s="210" t="s">
        <v>935</v>
      </c>
      <c r="K1028" s="270">
        <f>IF(D1028="","",VLOOKUP(D1028,契約台帳!$A$3:$L$4986,12,FALSE))</f>
        <v>50</v>
      </c>
      <c r="L1028" s="270" t="str">
        <f>IF(D1028="","",INDEX(製品マスタ!$Q$5:$Q$5002,MATCH('S4'!F1028&amp;'S4'!K1028,製品マスタ!$AO$5:$AO$5002,0)))</f>
        <v>X44</v>
      </c>
      <c r="M1028" s="39">
        <v>1000</v>
      </c>
      <c r="N1028" s="39">
        <v>4000</v>
      </c>
      <c r="O1028" s="156">
        <v>6</v>
      </c>
      <c r="P1028" s="47">
        <v>3</v>
      </c>
      <c r="Q1028" s="213">
        <v>45180</v>
      </c>
      <c r="R1028" s="271">
        <f ca="1">IF(D1028="","",IF(OFFSET(D1028,-1,0)&lt;&gt;"","",IF(OR(J1028="リード付け",J1028="巻足し",J1028="巻返しリード付け"),M1028,VLOOKUP(D1028,契約台帳!$A$3:$N$4986,14,FALSE))))</f>
        <v>1000</v>
      </c>
      <c r="S1028" s="272">
        <f ca="1">IF(D1028="","",IF(OFFSET(D1028,-1,0)&lt;&gt;"","",IF(OR(J1028="リード付け",J1028="巻足し",J1028="巻返しリード付け"),M1028,VLOOKUP(D1028,契約台帳!$A$3:$O$4986,15,FALSE))))</f>
        <v>1000</v>
      </c>
      <c r="T1028" s="273">
        <f ca="1">IF(D1028="","",IF(J1028="リード付け",N1028,IF(J1028="巻返しリード付け",N1028,IF(J1028="巻足し",N1028*P1028+OFFSET(N1028,1,0)*OFFSET(P1028,1,0),VLOOKUP(D1028,契約台帳!$A$3:$P$4986,16,FALSE)))))</f>
        <v>12000</v>
      </c>
      <c r="U1028" s="40">
        <v>2</v>
      </c>
      <c r="V1028" s="274">
        <f ca="1">IF(D1028="","",IF(OFFSET(D1028,-2,0)=D1028,"",VLOOKUP(D1028,契約台帳!$A$3:$R$4986,18,FALSE)))</f>
        <v>6</v>
      </c>
      <c r="W1028" s="269" t="str">
        <f ca="1">IF(D1028="","",IF(T1028="","",IF(OR(J1028="巻足し",J1028="巻返しリード付け"),"",IF(J1028="巻返し",VLOOKUP(F1028&amp;K1028&amp;M1028,製品マスタ!$M$5:$AD$5002,18,FALSE),IF(OR(J1028="リード付け",J1028="巻返しリード付け"),"原反コア",IF(J1028="スリット",VLOOKUP(F1028&amp;K1028&amp;R1028,製品マスタ!$N$5:$AD$5002,17,FALSE),""))))))</f>
        <v/>
      </c>
      <c r="X1028" s="269" t="str">
        <f ca="1">IF(D1028="","",IF(T1028="","",IF(J1028="巻足し","",IF(J1028="巻返し",VLOOKUP(F1028&amp;K1028&amp;M1028,製品マスタ!$M$5:$AE$5002,19,FALSE),IF(OR(J1028="リード付け",J1028="巻返しリード付け"),"",IF(J1028="スリット",VLOOKUP(F1028&amp;K1028&amp;R1028,製品マスタ!$N$5:$AE$5002,18,FALSE),""))))))</f>
        <v/>
      </c>
      <c r="Y1028" s="275">
        <f ca="1">IF(D1028="","",IF(T1028="","",VLOOKUP(D1028,契約台帳!$A$3:$Q$4986,17,FALSE)))</f>
        <v>2</v>
      </c>
      <c r="Z1028" s="269" t="str">
        <f ca="1">IF(D1028="","",IF(T1028="","",VLOOKUP(D1028,契約台帳!$A$3:$E$4986,5,FALSE)))</f>
        <v>リンテック㈱</v>
      </c>
      <c r="AA1028" s="57"/>
      <c r="AB1028" s="207" t="str">
        <f>IFERROR((VLOOKUP(F1028&amp;K1028&amp;M1028,製品マスタ!$M$5:$AM$5002,27,FALSE)),"")</f>
        <v>原反ケース再利用</v>
      </c>
      <c r="AC1028" s="33"/>
      <c r="AD1028" s="189"/>
      <c r="AE1028" s="54"/>
      <c r="AF1028" s="55">
        <f>+M1028*N1028*O1028/1000</f>
        <v>24000</v>
      </c>
      <c r="AG1028" s="43"/>
      <c r="AH1028" s="47"/>
      <c r="AI1028" s="30"/>
      <c r="AJ1028" s="30"/>
      <c r="AK1028" s="30"/>
      <c r="AL1028" s="30"/>
      <c r="AM1028" s="13"/>
      <c r="AN1028" s="13"/>
      <c r="AO1028" s="13"/>
      <c r="AP1028" s="13"/>
      <c r="AQ1028" s="13"/>
      <c r="AR1028" s="14"/>
      <c r="AS1028" s="15"/>
    </row>
    <row r="1029" spans="1:45" s="17" customFormat="1" ht="30.95" hidden="1" customHeight="1" x14ac:dyDescent="0.2">
      <c r="A1029" s="37"/>
      <c r="B1029" s="38"/>
      <c r="C1029" s="45"/>
      <c r="D1029" s="31"/>
      <c r="E1029" s="31"/>
      <c r="F1029" s="268"/>
      <c r="G1029" s="269"/>
      <c r="H1029" s="269"/>
      <c r="I1029" s="270"/>
      <c r="J1029" s="210"/>
      <c r="K1029" s="270"/>
      <c r="L1029" s="270"/>
      <c r="M1029" s="39"/>
      <c r="N1029" s="39"/>
      <c r="O1029" s="156"/>
      <c r="P1029" s="47"/>
      <c r="Q1029" s="57"/>
      <c r="R1029" s="338"/>
      <c r="S1029" s="272"/>
      <c r="T1029" s="273"/>
      <c r="U1029" s="40"/>
      <c r="V1029" s="277"/>
      <c r="W1029" s="269"/>
      <c r="X1029" s="269"/>
      <c r="Y1029" s="275"/>
      <c r="Z1029" s="269"/>
      <c r="AA1029" s="57"/>
      <c r="AB1029" s="207"/>
      <c r="AC1029" s="33"/>
      <c r="AD1029" s="189"/>
      <c r="AE1029" s="54"/>
      <c r="AF1029" s="55"/>
      <c r="AG1029" s="43"/>
      <c r="AH1029" s="339"/>
      <c r="AI1029" s="30"/>
      <c r="AJ1029" s="30"/>
      <c r="AK1029" s="30"/>
      <c r="AL1029" s="30"/>
      <c r="AM1029" s="13"/>
      <c r="AN1029" s="13"/>
      <c r="AO1029" s="13"/>
      <c r="AP1029" s="13"/>
      <c r="AQ1029" s="13"/>
      <c r="AR1029" s="14"/>
      <c r="AS1029" s="15"/>
    </row>
    <row r="1030" spans="1:45" s="17" customFormat="1" ht="30.95" hidden="1" customHeight="1" x14ac:dyDescent="0.2">
      <c r="A1030" s="37" t="s">
        <v>561</v>
      </c>
      <c r="B1030" s="38" t="s">
        <v>442</v>
      </c>
      <c r="C1030" s="45"/>
      <c r="D1030" s="31">
        <v>3725012</v>
      </c>
      <c r="E1030" s="31">
        <v>4162059</v>
      </c>
      <c r="F1030" s="268" t="str">
        <f>IF(D1030="","",VLOOKUP(D1030,契約台帳!$A$3:$K$4986,6,FALSE)&amp;VLOOKUP(D1030,契約台帳!$A$3:$K$4986,7,FALSE)&amp;VLOOKUP(D1030,契約台帳!$A$3:$K$4986,8,FALSE)&amp;VLOOKUP(D1030,契約台帳!$A$3:$K$4986,9,FALSE)&amp;VLOOKUP(D1030,契約台帳!$A$3:$K$4986,11,FALSE))</f>
        <v>3SNMLBMNGKKBF</v>
      </c>
      <c r="G1030" s="269" t="str">
        <f>IF(D1030="","",VLOOKUP(F1030,製品マスタ!$G$5:$H$5002,2,FALSE))</f>
        <v>S</v>
      </c>
      <c r="H1030" s="269" t="str">
        <f>IF(D1030="","",VLOOKUP(F1030,製品マスタ!$G$5:$K$5002,5,FALSE))</f>
        <v>MNGKKBF</v>
      </c>
      <c r="I1030" s="270" t="str">
        <f>IF(D1030="","",VLOOKUP(F1030,製品マスタ!$G$5:$L$5002,6,FALSE))</f>
        <v>メタルミー　ネーマー銀消改　Ｂ</v>
      </c>
      <c r="J1030" s="210" t="s">
        <v>935</v>
      </c>
      <c r="K1030" s="270">
        <f>IF(D1030="","",VLOOKUP(D1030,契約台帳!$A$3:$L$4986,12,FALSE))</f>
        <v>25</v>
      </c>
      <c r="L1030" s="270" t="str">
        <f>IF(D1030="","",INDEX(製品マスタ!$Q$5:$Q$5002,MATCH('S4'!F1030&amp;'S4'!K1030,製品マスタ!$AO$5:$AO$5002,0)))</f>
        <v>FMATS99</v>
      </c>
      <c r="M1030" s="39">
        <v>1120</v>
      </c>
      <c r="N1030" s="39">
        <v>4000</v>
      </c>
      <c r="O1030" s="156">
        <v>3</v>
      </c>
      <c r="P1030" s="47">
        <v>3</v>
      </c>
      <c r="Q1030" s="213">
        <v>45181</v>
      </c>
      <c r="R1030" s="271">
        <f ca="1">IF(D1030="","",IF(OFFSET(D1030,-1,0)&lt;&gt;"","",IF(OR(J1030="リード付け",J1030="巻足し",J1030="巻返しリード付け"),M1030,VLOOKUP(D1030,契約台帳!$A$3:$N$4986,14,FALSE))))</f>
        <v>1120</v>
      </c>
      <c r="S1030" s="272">
        <f ca="1">IF(D1030="","",IF(OFFSET(D1030,-1,0)&lt;&gt;"","",IF(OR(J1030="リード付け",J1030="巻足し",J1030="巻返しリード付け"),M1030,VLOOKUP(D1030,契約台帳!$A$3:$O$4986,15,FALSE))))</f>
        <v>1120</v>
      </c>
      <c r="T1030" s="273">
        <f ca="1">IF(D1030="","",IF(J1030="リード付け",N1030,IF(J1030="巻返しリード付け",N1030,IF(J1030="巻足し",N1030*P1030+OFFSET(N1030,1,0)*OFFSET(P1030,1,0),VLOOKUP(D1030,契約台帳!$A$3:$P$4986,16,FALSE)))))</f>
        <v>12000</v>
      </c>
      <c r="U1030" s="40">
        <v>1</v>
      </c>
      <c r="V1030" s="274">
        <f ca="1">IF(D1030="","",IF(OFFSET(D1030,-2,0)=D1030,"",VLOOKUP(D1030,契約台帳!$A$3:$R$4986,18,FALSE)))</f>
        <v>7</v>
      </c>
      <c r="W1030" s="269" t="str">
        <f ca="1">IF(D1030="","",IF(T1030="","",IF(OR(J1030="巻足し",J1030="巻返しリード付け"),"",IF(J1030="巻返し",VLOOKUP(F1030&amp;K1030&amp;M1030,製品マスタ!$M$5:$AD$5002,18,FALSE),IF(OR(J1030="リード付け",J1030="巻返しリード付け"),"原反コア",IF(J1030="スリット",VLOOKUP(F1030&amp;K1030&amp;R1030,製品マスタ!$N$5:$AD$5002,17,FALSE),""))))))</f>
        <v/>
      </c>
      <c r="X1030" s="269" t="str">
        <f ca="1">IF(D1030="","",IF(T1030="","",IF(J1030="巻足し","",IF(J1030="巻返し",VLOOKUP(F1030&amp;K1030&amp;M1030,製品マスタ!$M$5:$AE$5002,19,FALSE),IF(OR(J1030="リード付け",J1030="巻返しリード付け"),"",IF(J1030="スリット",VLOOKUP(F1030&amp;K1030&amp;R1030,製品マスタ!$N$5:$AE$5002,18,FALSE),""))))))</f>
        <v/>
      </c>
      <c r="Y1030" s="275">
        <f ca="1">IF(D1030="","",IF(T1030="","",VLOOKUP(D1030,契約台帳!$A$3:$Q$4986,17,FALSE)))</f>
        <v>2</v>
      </c>
      <c r="Z1030" s="269" t="str">
        <f ca="1">IF(D1030="","",IF(T1030="","",VLOOKUP(D1030,契約台帳!$A$3:$E$4986,5,FALSE)))</f>
        <v>リンテック㈱</v>
      </c>
      <c r="AA1030" s="57"/>
      <c r="AB1030" s="207">
        <f>IFERROR((VLOOKUP(F1030&amp;K1030&amp;M1030,製品マスタ!$M$5:$AM$5002,27,FALSE)),"")</f>
        <v>0</v>
      </c>
      <c r="AC1030" s="33"/>
      <c r="AD1030" s="189"/>
      <c r="AE1030" s="54"/>
      <c r="AF1030" s="55">
        <f>+M1030*N1030*O1030/1000</f>
        <v>13440</v>
      </c>
      <c r="AG1030" s="43"/>
      <c r="AH1030" s="47"/>
      <c r="AI1030" s="30"/>
      <c r="AJ1030" s="30"/>
      <c r="AK1030" s="30"/>
      <c r="AL1030" s="30"/>
      <c r="AM1030" s="13"/>
      <c r="AN1030" s="13"/>
      <c r="AO1030" s="13"/>
      <c r="AP1030" s="13"/>
      <c r="AQ1030" s="13"/>
      <c r="AR1030" s="14"/>
      <c r="AS1030" s="15"/>
    </row>
    <row r="1031" spans="1:45" s="17" customFormat="1" ht="30.95" hidden="1" customHeight="1" x14ac:dyDescent="0.2">
      <c r="A1031" s="37"/>
      <c r="B1031" s="38"/>
      <c r="C1031" s="45"/>
      <c r="D1031" s="31"/>
      <c r="E1031" s="31"/>
      <c r="F1031" s="268"/>
      <c r="G1031" s="269"/>
      <c r="H1031" s="269"/>
      <c r="I1031" s="270"/>
      <c r="J1031" s="210"/>
      <c r="K1031" s="270"/>
      <c r="L1031" s="270"/>
      <c r="M1031" s="39"/>
      <c r="N1031" s="39"/>
      <c r="O1031" s="156"/>
      <c r="P1031" s="47"/>
      <c r="Q1031" s="57"/>
      <c r="R1031" s="338"/>
      <c r="S1031" s="272"/>
      <c r="T1031" s="273"/>
      <c r="U1031" s="40"/>
      <c r="V1031" s="277"/>
      <c r="W1031" s="269"/>
      <c r="X1031" s="269"/>
      <c r="Y1031" s="275"/>
      <c r="Z1031" s="269"/>
      <c r="AA1031" s="57"/>
      <c r="AB1031" s="207"/>
      <c r="AC1031" s="33"/>
      <c r="AD1031" s="189"/>
      <c r="AE1031" s="54"/>
      <c r="AF1031" s="55"/>
      <c r="AG1031" s="43"/>
      <c r="AH1031" s="339"/>
      <c r="AI1031" s="30"/>
      <c r="AJ1031" s="30"/>
      <c r="AK1031" s="30"/>
      <c r="AL1031" s="30"/>
      <c r="AM1031" s="13"/>
      <c r="AN1031" s="13"/>
      <c r="AO1031" s="13"/>
      <c r="AP1031" s="13"/>
      <c r="AQ1031" s="13"/>
      <c r="AR1031" s="14"/>
      <c r="AS1031" s="15"/>
    </row>
    <row r="1032" spans="1:45" s="17" customFormat="1" ht="30.95" hidden="1" customHeight="1" x14ac:dyDescent="0.2">
      <c r="A1032" s="37"/>
      <c r="B1032" s="38"/>
      <c r="C1032" s="45"/>
      <c r="D1032" s="31">
        <v>3725012</v>
      </c>
      <c r="E1032" s="31">
        <v>4162059</v>
      </c>
      <c r="F1032" s="268" t="str">
        <f>IF(D1032="","",VLOOKUP(D1032,契約台帳!$A$3:$K$4986,6,FALSE)&amp;VLOOKUP(D1032,契約台帳!$A$3:$K$4986,7,FALSE)&amp;VLOOKUP(D1032,契約台帳!$A$3:$K$4986,8,FALSE)&amp;VLOOKUP(D1032,契約台帳!$A$3:$K$4986,9,FALSE)&amp;VLOOKUP(D1032,契約台帳!$A$3:$K$4986,11,FALSE))</f>
        <v>3SNMLBMNGKKBF</v>
      </c>
      <c r="G1032" s="269" t="str">
        <f>IF(D1032="","",VLOOKUP(F1032,製品マスタ!$G$5:$H$5002,2,FALSE))</f>
        <v>S</v>
      </c>
      <c r="H1032" s="269" t="str">
        <f>IF(D1032="","",VLOOKUP(F1032,製品マスタ!$G$5:$K$5002,5,FALSE))</f>
        <v>MNGKKBF</v>
      </c>
      <c r="I1032" s="270" t="str">
        <f>IF(D1032="","",VLOOKUP(F1032,製品マスタ!$G$5:$L$5002,6,FALSE))</f>
        <v>メタルミー　ネーマー銀消改　Ｂ</v>
      </c>
      <c r="J1032" s="210" t="s">
        <v>935</v>
      </c>
      <c r="K1032" s="270">
        <f>IF(D1032="","",VLOOKUP(D1032,契約台帳!$A$3:$L$4986,12,FALSE))</f>
        <v>25</v>
      </c>
      <c r="L1032" s="270" t="str">
        <f>IF(D1032="","",INDEX(製品マスタ!$Q$5:$Q$5002,MATCH('S4'!F1032&amp;'S4'!K1032,製品マスタ!$AO$5:$AO$5002,0)))</f>
        <v>FMATS99</v>
      </c>
      <c r="M1032" s="39">
        <v>1120</v>
      </c>
      <c r="N1032" s="39">
        <v>4000</v>
      </c>
      <c r="O1032" s="156">
        <v>4</v>
      </c>
      <c r="P1032" s="47">
        <v>2</v>
      </c>
      <c r="Q1032" s="213">
        <v>45181</v>
      </c>
      <c r="R1032" s="271">
        <f ca="1">IF(D1032="","",IF(OFFSET(D1032,-1,0)&lt;&gt;"","",IF(OR(J1032="リード付け",J1032="巻足し",J1032="巻返しリード付け"),M1032,VLOOKUP(D1032,契約台帳!$A$3:$N$4986,14,FALSE))))</f>
        <v>1120</v>
      </c>
      <c r="S1032" s="272">
        <f ca="1">IF(D1032="","",IF(OFFSET(D1032,-1,0)&lt;&gt;"","",IF(OR(J1032="リード付け",J1032="巻足し",J1032="巻返しリード付け"),M1032,VLOOKUP(D1032,契約台帳!$A$3:$O$4986,15,FALSE))))</f>
        <v>1120</v>
      </c>
      <c r="T1032" s="273">
        <f ca="1">IF(D1032="","",IF(J1032="リード付け",N1032,IF(J1032="巻返しリード付け",N1032,IF(J1032="巻足し",N1032*P1032+OFFSET(N1032,1,0)*OFFSET(P1032,1,0),VLOOKUP(D1032,契約台帳!$A$3:$P$4986,16,FALSE)))))</f>
        <v>8000</v>
      </c>
      <c r="U1032" s="40">
        <v>2</v>
      </c>
      <c r="V1032" s="274" t="str">
        <f ca="1">IF(D1032="","",IF(OFFSET(D1032,-2,0)=D1032,"",VLOOKUP(D1032,契約台帳!$A$3:$R$4986,18,FALSE)))</f>
        <v/>
      </c>
      <c r="W1032" s="269" t="str">
        <f ca="1">IF(D1032="","",IF(T1032="","",IF(OR(J1032="巻足し",J1032="巻返しリード付け"),"",IF(J1032="巻返し",VLOOKUP(F1032&amp;K1032&amp;M1032,製品マスタ!$M$5:$AD$5002,18,FALSE),IF(OR(J1032="リード付け",J1032="巻返しリード付け"),"原反コア",IF(J1032="スリット",VLOOKUP(F1032&amp;K1032&amp;R1032,製品マスタ!$N$5:$AD$5002,17,FALSE),""))))))</f>
        <v/>
      </c>
      <c r="X1032" s="269" t="str">
        <f ca="1">IF(D1032="","",IF(T1032="","",IF(J1032="巻足し","",IF(J1032="巻返し",VLOOKUP(F1032&amp;K1032&amp;M1032,製品マスタ!$M$5:$AE$5002,19,FALSE),IF(OR(J1032="リード付け",J1032="巻返しリード付け"),"",IF(J1032="スリット",VLOOKUP(F1032&amp;K1032&amp;R1032,製品マスタ!$N$5:$AE$5002,18,FALSE),""))))))</f>
        <v/>
      </c>
      <c r="Y1032" s="275">
        <f ca="1">IF(D1032="","",IF(T1032="","",VLOOKUP(D1032,契約台帳!$A$3:$Q$4986,17,FALSE)))</f>
        <v>2</v>
      </c>
      <c r="Z1032" s="269" t="str">
        <f ca="1">IF(D1032="","",IF(T1032="","",VLOOKUP(D1032,契約台帳!$A$3:$E$4986,5,FALSE)))</f>
        <v>リンテック㈱</v>
      </c>
      <c r="AA1032" s="57"/>
      <c r="AB1032" s="207">
        <f>IFERROR((VLOOKUP(F1032&amp;K1032&amp;M1032,製品マスタ!$M$5:$AM$5002,27,FALSE)),"")</f>
        <v>0</v>
      </c>
      <c r="AC1032" s="33"/>
      <c r="AD1032" s="189"/>
      <c r="AE1032" s="54"/>
      <c r="AF1032" s="55">
        <f>+M1032*N1032*O1032/1000</f>
        <v>17920</v>
      </c>
      <c r="AG1032" s="43"/>
      <c r="AH1032" s="47"/>
      <c r="AI1032" s="30"/>
      <c r="AJ1032" s="30"/>
      <c r="AK1032" s="30"/>
      <c r="AL1032" s="30"/>
      <c r="AM1032" s="13"/>
      <c r="AN1032" s="13"/>
      <c r="AO1032" s="13"/>
      <c r="AP1032" s="13"/>
      <c r="AQ1032" s="13"/>
      <c r="AR1032" s="14"/>
      <c r="AS1032" s="15"/>
    </row>
    <row r="1033" spans="1:45" s="17" customFormat="1" ht="30.95" hidden="1" customHeight="1" x14ac:dyDescent="0.2">
      <c r="A1033" s="37"/>
      <c r="B1033" s="38"/>
      <c r="C1033" s="45"/>
      <c r="D1033" s="31"/>
      <c r="E1033" s="31"/>
      <c r="F1033" s="268"/>
      <c r="G1033" s="269"/>
      <c r="H1033" s="269"/>
      <c r="I1033" s="270"/>
      <c r="J1033" s="210"/>
      <c r="K1033" s="270"/>
      <c r="L1033" s="270"/>
      <c r="M1033" s="39"/>
      <c r="N1033" s="39"/>
      <c r="O1033" s="156"/>
      <c r="P1033" s="47"/>
      <c r="Q1033" s="57"/>
      <c r="R1033" s="338"/>
      <c r="S1033" s="272"/>
      <c r="T1033" s="273"/>
      <c r="U1033" s="40"/>
      <c r="V1033" s="277"/>
      <c r="W1033" s="269"/>
      <c r="X1033" s="269"/>
      <c r="Y1033" s="275"/>
      <c r="Z1033" s="269"/>
      <c r="AA1033" s="57"/>
      <c r="AB1033" s="207"/>
      <c r="AC1033" s="33"/>
      <c r="AD1033" s="189"/>
      <c r="AE1033" s="54"/>
      <c r="AF1033" s="55"/>
      <c r="AG1033" s="43"/>
      <c r="AH1033" s="339"/>
      <c r="AI1033" s="30"/>
      <c r="AJ1033" s="30"/>
      <c r="AK1033" s="30"/>
      <c r="AL1033" s="30"/>
      <c r="AM1033" s="13"/>
      <c r="AN1033" s="13"/>
      <c r="AO1033" s="13"/>
      <c r="AP1033" s="13"/>
      <c r="AQ1033" s="13"/>
      <c r="AR1033" s="14"/>
      <c r="AS1033" s="15"/>
    </row>
    <row r="1034" spans="1:45" s="17" customFormat="1" ht="30.95" hidden="1" customHeight="1" x14ac:dyDescent="0.2">
      <c r="A1034" s="37" t="s">
        <v>562</v>
      </c>
      <c r="B1034" s="38" t="s">
        <v>443</v>
      </c>
      <c r="C1034" s="45"/>
      <c r="D1034" s="31">
        <v>3725013</v>
      </c>
      <c r="E1034" s="31">
        <v>4162060</v>
      </c>
      <c r="F1034" s="268" t="str">
        <f>IF(D1034="","",VLOOKUP(D1034,契約台帳!$A$3:$K$4986,6,FALSE)&amp;VLOOKUP(D1034,契約台帳!$A$3:$K$4986,7,FALSE)&amp;VLOOKUP(D1034,契約台帳!$A$3:$K$4986,8,FALSE)&amp;VLOOKUP(D1034,契約台帳!$A$3:$K$4986,9,FALSE)&amp;VLOOKUP(D1034,契約台帳!$A$3:$K$4986,11,FALSE))</f>
        <v>3SNMLBMNGTBF</v>
      </c>
      <c r="G1034" s="269" t="str">
        <f>IF(D1034="","",VLOOKUP(F1034,製品マスタ!$G$5:$H$5002,2,FALSE))</f>
        <v>S</v>
      </c>
      <c r="H1034" s="269" t="str">
        <f>IF(D1034="","",VLOOKUP(F1034,製品マスタ!$G$5:$K$5002,5,FALSE))</f>
        <v>MNGTBF</v>
      </c>
      <c r="I1034" s="270" t="str">
        <f>IF(D1034="","",VLOOKUP(F1034,製品マスタ!$G$5:$L$5002,6,FALSE))</f>
        <v>メタルミー　ネーマー　銀艶　Ｂ</v>
      </c>
      <c r="J1034" s="210" t="s">
        <v>935</v>
      </c>
      <c r="K1034" s="270">
        <f>IF(D1034="","",VLOOKUP(D1034,契約台帳!$A$3:$L$4986,12,FALSE))</f>
        <v>50</v>
      </c>
      <c r="L1034" s="270" t="str">
        <f>IF(D1034="","",INDEX(製品マスタ!$Q$5:$Q$5002,MATCH('S4'!F1034&amp;'S4'!K1034,製品マスタ!$AO$5:$AO$5002,0)))</f>
        <v>T62</v>
      </c>
      <c r="M1034" s="39">
        <v>1120</v>
      </c>
      <c r="N1034" s="39">
        <v>5000</v>
      </c>
      <c r="O1034" s="156">
        <v>10</v>
      </c>
      <c r="P1034" s="47">
        <v>2</v>
      </c>
      <c r="Q1034" s="213">
        <v>45181</v>
      </c>
      <c r="R1034" s="271">
        <f ca="1">IF(D1034="","",IF(OFFSET(D1034,-1,0)&lt;&gt;"","",IF(OR(J1034="リード付け",J1034="巻足し",J1034="巻返しリード付け"),M1034,VLOOKUP(D1034,契約台帳!$A$3:$N$4986,14,FALSE))))</f>
        <v>1120</v>
      </c>
      <c r="S1034" s="272">
        <f ca="1">IF(D1034="","",IF(OFFSET(D1034,-1,0)&lt;&gt;"","",IF(OR(J1034="リード付け",J1034="巻足し",J1034="巻返しリード付け"),M1034,VLOOKUP(D1034,契約台帳!$A$3:$O$4986,15,FALSE))))</f>
        <v>1120</v>
      </c>
      <c r="T1034" s="273">
        <f ca="1">IF(D1034="","",IF(J1034="リード付け",N1034,IF(J1034="巻返しリード付け",N1034,IF(J1034="巻足し",N1034*P1034+OFFSET(N1034,1,0)*OFFSET(P1034,1,0),VLOOKUP(D1034,契約台帳!$A$3:$P$4986,16,FALSE)))))</f>
        <v>10000</v>
      </c>
      <c r="U1034" s="40">
        <v>5</v>
      </c>
      <c r="V1034" s="274">
        <f ca="1">IF(D1034="","",IF(OFFSET(D1034,-2,0)=D1034,"",VLOOKUP(D1034,契約台帳!$A$3:$R$4986,18,FALSE)))</f>
        <v>28</v>
      </c>
      <c r="W1034" s="269" t="str">
        <f ca="1">IF(D1034="","",IF(T1034="","",IF(OR(J1034="巻足し",J1034="巻返しリード付け"),"",IF(J1034="巻返し",VLOOKUP(F1034&amp;K1034&amp;M1034,製品マスタ!$M$5:$AD$5002,18,FALSE),IF(OR(J1034="リード付け",J1034="巻返しリード付け"),"原反コア",IF(J1034="スリット",VLOOKUP(F1034&amp;K1034&amp;R1034,製品マスタ!$N$5:$AD$5002,17,FALSE),""))))))</f>
        <v/>
      </c>
      <c r="X1034" s="269" t="str">
        <f ca="1">IF(D1034="","",IF(T1034="","",IF(J1034="巻足し","",IF(J1034="巻返し",VLOOKUP(F1034&amp;K1034&amp;M1034,製品マスタ!$M$5:$AE$5002,19,FALSE),IF(OR(J1034="リード付け",J1034="巻返しリード付け"),"",IF(J1034="スリット",VLOOKUP(F1034&amp;K1034&amp;R1034,製品マスタ!$N$5:$AE$5002,18,FALSE),""))))))</f>
        <v/>
      </c>
      <c r="Y1034" s="275">
        <f ca="1">IF(D1034="","",IF(T1034="","",VLOOKUP(D1034,契約台帳!$A$3:$Q$4986,17,FALSE)))</f>
        <v>2</v>
      </c>
      <c r="Z1034" s="269" t="str">
        <f ca="1">IF(D1034="","",IF(T1034="","",VLOOKUP(D1034,契約台帳!$A$3:$E$4986,5,FALSE)))</f>
        <v>リンテック㈱</v>
      </c>
      <c r="AA1034" s="57"/>
      <c r="AB1034" s="207" t="str">
        <f>IFERROR((VLOOKUP(F1034&amp;K1034&amp;M1034,製品マスタ!$M$5:$AM$5002,27,FALSE)),"")</f>
        <v>原反ケース再利用</v>
      </c>
      <c r="AC1034" s="33"/>
      <c r="AD1034" s="189"/>
      <c r="AE1034" s="54"/>
      <c r="AF1034" s="55">
        <f>+M1034*N1034*O1034/1000</f>
        <v>56000</v>
      </c>
      <c r="AG1034" s="43"/>
      <c r="AH1034" s="47"/>
      <c r="AI1034" s="30"/>
      <c r="AJ1034" s="30"/>
      <c r="AK1034" s="30"/>
      <c r="AL1034" s="30"/>
      <c r="AM1034" s="13"/>
      <c r="AN1034" s="13"/>
      <c r="AO1034" s="13"/>
      <c r="AP1034" s="13"/>
      <c r="AQ1034" s="13"/>
      <c r="AR1034" s="14"/>
      <c r="AS1034" s="15"/>
    </row>
    <row r="1035" spans="1:45" s="17" customFormat="1" ht="30.95" hidden="1" customHeight="1" x14ac:dyDescent="0.2">
      <c r="A1035" s="37"/>
      <c r="B1035" s="38"/>
      <c r="C1035" s="45"/>
      <c r="D1035" s="31"/>
      <c r="E1035" s="31"/>
      <c r="F1035" s="268"/>
      <c r="G1035" s="269"/>
      <c r="H1035" s="269"/>
      <c r="I1035" s="270"/>
      <c r="J1035" s="210"/>
      <c r="K1035" s="270"/>
      <c r="L1035" s="270"/>
      <c r="M1035" s="39"/>
      <c r="N1035" s="39"/>
      <c r="O1035" s="156"/>
      <c r="P1035" s="47"/>
      <c r="Q1035" s="57"/>
      <c r="R1035" s="338"/>
      <c r="S1035" s="272"/>
      <c r="T1035" s="273"/>
      <c r="U1035" s="40"/>
      <c r="V1035" s="277"/>
      <c r="W1035" s="269"/>
      <c r="X1035" s="269"/>
      <c r="Y1035" s="275"/>
      <c r="Z1035" s="269"/>
      <c r="AA1035" s="57"/>
      <c r="AB1035" s="207"/>
      <c r="AC1035" s="33"/>
      <c r="AD1035" s="189"/>
      <c r="AE1035" s="54"/>
      <c r="AF1035" s="55"/>
      <c r="AG1035" s="43"/>
      <c r="AH1035" s="339"/>
      <c r="AI1035" s="30"/>
      <c r="AJ1035" s="30"/>
      <c r="AK1035" s="30"/>
      <c r="AL1035" s="30"/>
      <c r="AM1035" s="13"/>
      <c r="AN1035" s="13"/>
      <c r="AO1035" s="13"/>
      <c r="AP1035" s="13"/>
      <c r="AQ1035" s="13"/>
      <c r="AR1035" s="14"/>
      <c r="AS1035" s="15"/>
    </row>
    <row r="1036" spans="1:45" s="17" customFormat="1" ht="30.95" hidden="1" customHeight="1" x14ac:dyDescent="0.2">
      <c r="A1036" s="37" t="s">
        <v>563</v>
      </c>
      <c r="B1036" s="38" t="s">
        <v>444</v>
      </c>
      <c r="C1036" s="45"/>
      <c r="D1036" s="31">
        <v>3725013</v>
      </c>
      <c r="E1036" s="31">
        <v>4162060</v>
      </c>
      <c r="F1036" s="268" t="str">
        <f>IF(D1036="","",VLOOKUP(D1036,契約台帳!$A$3:$K$4986,6,FALSE)&amp;VLOOKUP(D1036,契約台帳!$A$3:$K$4986,7,FALSE)&amp;VLOOKUP(D1036,契約台帳!$A$3:$K$4986,8,FALSE)&amp;VLOOKUP(D1036,契約台帳!$A$3:$K$4986,9,FALSE)&amp;VLOOKUP(D1036,契約台帳!$A$3:$K$4986,11,FALSE))</f>
        <v>3SNMLBMNGTBF</v>
      </c>
      <c r="G1036" s="269" t="str">
        <f>IF(D1036="","",VLOOKUP(F1036,製品マスタ!$G$5:$H$5002,2,FALSE))</f>
        <v>S</v>
      </c>
      <c r="H1036" s="269" t="str">
        <f>IF(D1036="","",VLOOKUP(F1036,製品マスタ!$G$5:$K$5002,5,FALSE))</f>
        <v>MNGTBF</v>
      </c>
      <c r="I1036" s="270" t="str">
        <f>IF(D1036="","",VLOOKUP(F1036,製品マスタ!$G$5:$L$5002,6,FALSE))</f>
        <v>メタルミー　ネーマー　銀艶　Ｂ</v>
      </c>
      <c r="J1036" s="210" t="s">
        <v>935</v>
      </c>
      <c r="K1036" s="270">
        <f>IF(D1036="","",VLOOKUP(D1036,契約台帳!$A$3:$L$4986,12,FALSE))</f>
        <v>50</v>
      </c>
      <c r="L1036" s="270" t="str">
        <f>IF(D1036="","",INDEX(製品マスタ!$Q$5:$Q$5002,MATCH('S4'!F1036&amp;'S4'!K1036,製品マスタ!$AO$5:$AO$5002,0)))</f>
        <v>T62</v>
      </c>
      <c r="M1036" s="39">
        <v>1120</v>
      </c>
      <c r="N1036" s="39">
        <v>5000</v>
      </c>
      <c r="O1036" s="156">
        <v>12</v>
      </c>
      <c r="P1036" s="47">
        <v>2</v>
      </c>
      <c r="Q1036" s="213">
        <v>45181</v>
      </c>
      <c r="R1036" s="271">
        <f ca="1">IF(D1036="","",IF(OFFSET(D1036,-1,0)&lt;&gt;"","",IF(OR(J1036="リード付け",J1036="巻足し",J1036="巻返しリード付け"),M1036,VLOOKUP(D1036,契約台帳!$A$3:$N$4986,14,FALSE))))</f>
        <v>1120</v>
      </c>
      <c r="S1036" s="272">
        <f ca="1">IF(D1036="","",IF(OFFSET(D1036,-1,0)&lt;&gt;"","",IF(OR(J1036="リード付け",J1036="巻足し",J1036="巻返しリード付け"),M1036,VLOOKUP(D1036,契約台帳!$A$3:$O$4986,15,FALSE))))</f>
        <v>1120</v>
      </c>
      <c r="T1036" s="273">
        <f ca="1">IF(D1036="","",IF(J1036="リード付け",N1036,IF(J1036="巻返しリード付け",N1036,IF(J1036="巻足し",N1036*P1036+OFFSET(N1036,1,0)*OFFSET(P1036,1,0),VLOOKUP(D1036,契約台帳!$A$3:$P$4986,16,FALSE)))))</f>
        <v>10000</v>
      </c>
      <c r="U1036" s="40">
        <v>6</v>
      </c>
      <c r="V1036" s="274" t="str">
        <f ca="1">IF(D1036="","",IF(OFFSET(D1036,-2,0)=D1036,"",VLOOKUP(D1036,契約台帳!$A$3:$R$4986,18,FALSE)))</f>
        <v/>
      </c>
      <c r="W1036" s="269" t="str">
        <f ca="1">IF(D1036="","",IF(T1036="","",IF(OR(J1036="巻足し",J1036="巻返しリード付け"),"",IF(J1036="巻返し",VLOOKUP(F1036&amp;K1036&amp;M1036,製品マスタ!$M$5:$AD$5002,18,FALSE),IF(OR(J1036="リード付け",J1036="巻返しリード付け"),"原反コア",IF(J1036="スリット",VLOOKUP(F1036&amp;K1036&amp;R1036,製品マスタ!$N$5:$AD$5002,17,FALSE),""))))))</f>
        <v/>
      </c>
      <c r="X1036" s="269" t="str">
        <f ca="1">IF(D1036="","",IF(T1036="","",IF(J1036="巻足し","",IF(J1036="巻返し",VLOOKUP(F1036&amp;K1036&amp;M1036,製品マスタ!$M$5:$AE$5002,19,FALSE),IF(OR(J1036="リード付け",J1036="巻返しリード付け"),"",IF(J1036="スリット",VLOOKUP(F1036&amp;K1036&amp;R1036,製品マスタ!$N$5:$AE$5002,18,FALSE),""))))))</f>
        <v/>
      </c>
      <c r="Y1036" s="275">
        <f ca="1">IF(D1036="","",IF(T1036="","",VLOOKUP(D1036,契約台帳!$A$3:$Q$4986,17,FALSE)))</f>
        <v>2</v>
      </c>
      <c r="Z1036" s="269" t="str">
        <f ca="1">IF(D1036="","",IF(T1036="","",VLOOKUP(D1036,契約台帳!$A$3:$E$4986,5,FALSE)))</f>
        <v>リンテック㈱</v>
      </c>
      <c r="AA1036" s="57"/>
      <c r="AB1036" s="207" t="str">
        <f>IFERROR((VLOOKUP(F1036&amp;K1036&amp;M1036,製品マスタ!$M$5:$AM$5002,27,FALSE)),"")</f>
        <v>原反ケース再利用</v>
      </c>
      <c r="AC1036" s="33"/>
      <c r="AD1036" s="189"/>
      <c r="AE1036" s="54"/>
      <c r="AF1036" s="55">
        <f>+M1036*N1036*O1036/1000</f>
        <v>67200</v>
      </c>
      <c r="AG1036" s="43"/>
      <c r="AH1036" s="47"/>
      <c r="AI1036" s="30"/>
      <c r="AJ1036" s="30"/>
      <c r="AK1036" s="30"/>
      <c r="AL1036" s="30"/>
      <c r="AM1036" s="13"/>
      <c r="AN1036" s="13"/>
      <c r="AO1036" s="13"/>
      <c r="AP1036" s="13"/>
      <c r="AQ1036" s="13"/>
      <c r="AR1036" s="14"/>
      <c r="AS1036" s="15"/>
    </row>
    <row r="1037" spans="1:45" s="17" customFormat="1" ht="30.95" hidden="1" customHeight="1" x14ac:dyDescent="0.2">
      <c r="A1037" s="37"/>
      <c r="B1037" s="38"/>
      <c r="C1037" s="45"/>
      <c r="D1037" s="31"/>
      <c r="E1037" s="31"/>
      <c r="F1037" s="268"/>
      <c r="G1037" s="269"/>
      <c r="H1037" s="269"/>
      <c r="I1037" s="270"/>
      <c r="J1037" s="210"/>
      <c r="K1037" s="270"/>
      <c r="L1037" s="270"/>
      <c r="M1037" s="39"/>
      <c r="N1037" s="39"/>
      <c r="O1037" s="156"/>
      <c r="P1037" s="47"/>
      <c r="Q1037" s="57"/>
      <c r="R1037" s="338"/>
      <c r="S1037" s="272"/>
      <c r="T1037" s="273"/>
      <c r="U1037" s="40"/>
      <c r="V1037" s="277"/>
      <c r="W1037" s="269"/>
      <c r="X1037" s="269"/>
      <c r="Y1037" s="275"/>
      <c r="Z1037" s="269"/>
      <c r="AA1037" s="57"/>
      <c r="AB1037" s="207"/>
      <c r="AC1037" s="33"/>
      <c r="AD1037" s="189"/>
      <c r="AE1037" s="54"/>
      <c r="AF1037" s="55"/>
      <c r="AG1037" s="43"/>
      <c r="AH1037" s="339"/>
      <c r="AI1037" s="30"/>
      <c r="AJ1037" s="30"/>
      <c r="AK1037" s="30"/>
      <c r="AL1037" s="30"/>
      <c r="AM1037" s="13"/>
      <c r="AN1037" s="13"/>
      <c r="AO1037" s="13"/>
      <c r="AP1037" s="13"/>
      <c r="AQ1037" s="13"/>
      <c r="AR1037" s="14"/>
      <c r="AS1037" s="15"/>
    </row>
    <row r="1038" spans="1:45" s="17" customFormat="1" ht="30.95" hidden="1" customHeight="1" x14ac:dyDescent="0.2">
      <c r="A1038" s="37" t="s">
        <v>1450</v>
      </c>
      <c r="B1038" s="38" t="s">
        <v>1449</v>
      </c>
      <c r="C1038" s="45"/>
      <c r="D1038" s="31"/>
      <c r="E1038" s="31"/>
      <c r="F1038" s="268"/>
      <c r="G1038" s="269"/>
      <c r="H1038" s="269"/>
      <c r="I1038" s="270"/>
      <c r="J1038" s="210" t="s">
        <v>448</v>
      </c>
      <c r="K1038" s="270"/>
      <c r="L1038" s="270"/>
      <c r="M1038" s="39"/>
      <c r="N1038" s="39"/>
      <c r="O1038" s="156"/>
      <c r="P1038" s="47"/>
      <c r="Q1038" s="57"/>
      <c r="R1038" s="338"/>
      <c r="S1038" s="272"/>
      <c r="T1038" s="273"/>
      <c r="U1038" s="40"/>
      <c r="V1038" s="277"/>
      <c r="W1038" s="269"/>
      <c r="X1038" s="269"/>
      <c r="Y1038" s="275"/>
      <c r="Z1038" s="269"/>
      <c r="AA1038" s="57"/>
      <c r="AB1038" s="207"/>
      <c r="AC1038" s="33"/>
      <c r="AD1038" s="189"/>
      <c r="AE1038" s="54"/>
      <c r="AF1038" s="55"/>
      <c r="AG1038" s="43"/>
      <c r="AH1038" s="339"/>
      <c r="AI1038" s="30"/>
      <c r="AJ1038" s="30"/>
      <c r="AK1038" s="30"/>
      <c r="AL1038" s="30"/>
      <c r="AM1038" s="13"/>
      <c r="AN1038" s="13"/>
      <c r="AO1038" s="13"/>
      <c r="AP1038" s="13"/>
      <c r="AQ1038" s="13"/>
      <c r="AR1038" s="14"/>
      <c r="AS1038" s="15"/>
    </row>
    <row r="1039" spans="1:45" s="17" customFormat="1" ht="30.95" hidden="1" customHeight="1" x14ac:dyDescent="0.2">
      <c r="A1039" s="37"/>
      <c r="B1039" s="38"/>
      <c r="C1039" s="45"/>
      <c r="D1039" s="31"/>
      <c r="E1039" s="31"/>
      <c r="F1039" s="268"/>
      <c r="G1039" s="269"/>
      <c r="H1039" s="269"/>
      <c r="I1039" s="270"/>
      <c r="J1039" s="210"/>
      <c r="K1039" s="270"/>
      <c r="L1039" s="270"/>
      <c r="M1039" s="39"/>
      <c r="N1039" s="39"/>
      <c r="O1039" s="156"/>
      <c r="P1039" s="47"/>
      <c r="Q1039" s="57"/>
      <c r="R1039" s="338"/>
      <c r="S1039" s="272"/>
      <c r="T1039" s="273"/>
      <c r="U1039" s="40"/>
      <c r="V1039" s="277"/>
      <c r="W1039" s="269"/>
      <c r="X1039" s="269"/>
      <c r="Y1039" s="275"/>
      <c r="Z1039" s="269"/>
      <c r="AA1039" s="57"/>
      <c r="AB1039" s="207"/>
      <c r="AC1039" s="33"/>
      <c r="AD1039" s="189"/>
      <c r="AE1039" s="54"/>
      <c r="AF1039" s="55"/>
      <c r="AG1039" s="43"/>
      <c r="AH1039" s="339"/>
      <c r="AI1039" s="30"/>
      <c r="AJ1039" s="30"/>
      <c r="AK1039" s="30"/>
      <c r="AL1039" s="30"/>
      <c r="AM1039" s="13"/>
      <c r="AN1039" s="13"/>
      <c r="AO1039" s="13"/>
      <c r="AP1039" s="13"/>
      <c r="AQ1039" s="13"/>
      <c r="AR1039" s="14"/>
      <c r="AS1039" s="15"/>
    </row>
    <row r="1040" spans="1:45" s="17" customFormat="1" ht="30.95" hidden="1" customHeight="1" x14ac:dyDescent="0.2">
      <c r="A1040" s="37" t="s">
        <v>1451</v>
      </c>
      <c r="B1040" s="38" t="s">
        <v>1452</v>
      </c>
      <c r="C1040" s="45"/>
      <c r="D1040" s="31"/>
      <c r="E1040" s="31"/>
      <c r="F1040" s="268"/>
      <c r="G1040" s="269"/>
      <c r="H1040" s="269"/>
      <c r="I1040" s="270"/>
      <c r="J1040" s="210" t="s">
        <v>448</v>
      </c>
      <c r="K1040" s="270"/>
      <c r="L1040" s="270"/>
      <c r="M1040" s="39"/>
      <c r="N1040" s="39"/>
      <c r="O1040" s="156"/>
      <c r="P1040" s="47"/>
      <c r="Q1040" s="57"/>
      <c r="R1040" s="338"/>
      <c r="S1040" s="272"/>
      <c r="T1040" s="273"/>
      <c r="U1040" s="40"/>
      <c r="V1040" s="277"/>
      <c r="W1040" s="269"/>
      <c r="X1040" s="269"/>
      <c r="Y1040" s="275"/>
      <c r="Z1040" s="269"/>
      <c r="AA1040" s="57"/>
      <c r="AB1040" s="207"/>
      <c r="AC1040" s="33"/>
      <c r="AD1040" s="189"/>
      <c r="AE1040" s="54"/>
      <c r="AF1040" s="55"/>
      <c r="AG1040" s="43"/>
      <c r="AH1040" s="339"/>
      <c r="AI1040" s="30"/>
      <c r="AJ1040" s="30"/>
      <c r="AK1040" s="30"/>
      <c r="AL1040" s="30"/>
      <c r="AM1040" s="13"/>
      <c r="AN1040" s="13"/>
      <c r="AO1040" s="13"/>
      <c r="AP1040" s="13"/>
      <c r="AQ1040" s="13"/>
      <c r="AR1040" s="14"/>
      <c r="AS1040" s="15"/>
    </row>
    <row r="1041" spans="1:45" s="17" customFormat="1" ht="30.95" hidden="1" customHeight="1" x14ac:dyDescent="0.2">
      <c r="A1041" s="37"/>
      <c r="B1041" s="38"/>
      <c r="C1041" s="45"/>
      <c r="D1041" s="31"/>
      <c r="E1041" s="31"/>
      <c r="F1041" s="268"/>
      <c r="G1041" s="269"/>
      <c r="H1041" s="269"/>
      <c r="I1041" s="270"/>
      <c r="J1041" s="210"/>
      <c r="K1041" s="270"/>
      <c r="L1041" s="270"/>
      <c r="M1041" s="39"/>
      <c r="N1041" s="39"/>
      <c r="O1041" s="156"/>
      <c r="P1041" s="47"/>
      <c r="Q1041" s="57"/>
      <c r="R1041" s="338"/>
      <c r="S1041" s="272"/>
      <c r="T1041" s="273"/>
      <c r="U1041" s="40"/>
      <c r="V1041" s="277"/>
      <c r="W1041" s="269"/>
      <c r="X1041" s="269"/>
      <c r="Y1041" s="275"/>
      <c r="Z1041" s="269"/>
      <c r="AA1041" s="57"/>
      <c r="AB1041" s="207"/>
      <c r="AC1041" s="33"/>
      <c r="AD1041" s="189"/>
      <c r="AE1041" s="54"/>
      <c r="AF1041" s="55"/>
      <c r="AG1041" s="43"/>
      <c r="AH1041" s="339"/>
      <c r="AI1041" s="30"/>
      <c r="AJ1041" s="30"/>
      <c r="AK1041" s="30"/>
      <c r="AL1041" s="30"/>
      <c r="AM1041" s="13"/>
      <c r="AN1041" s="13"/>
      <c r="AO1041" s="13"/>
      <c r="AP1041" s="13"/>
      <c r="AQ1041" s="13"/>
      <c r="AR1041" s="14"/>
      <c r="AS1041" s="15"/>
    </row>
    <row r="1042" spans="1:45" s="17" customFormat="1" ht="30.95" hidden="1" customHeight="1" x14ac:dyDescent="0.2">
      <c r="A1042" s="37" t="s">
        <v>1453</v>
      </c>
      <c r="B1042" s="38" t="s">
        <v>1448</v>
      </c>
      <c r="C1042" s="45"/>
      <c r="D1042" s="31"/>
      <c r="E1042" s="31"/>
      <c r="F1042" s="268"/>
      <c r="G1042" s="269"/>
      <c r="H1042" s="269"/>
      <c r="I1042" s="270"/>
      <c r="J1042" s="210" t="s">
        <v>1454</v>
      </c>
      <c r="K1042" s="270"/>
      <c r="L1042" s="270"/>
      <c r="M1042" s="39"/>
      <c r="N1042" s="39"/>
      <c r="O1042" s="156"/>
      <c r="P1042" s="47"/>
      <c r="Q1042" s="57"/>
      <c r="R1042" s="338"/>
      <c r="S1042" s="272"/>
      <c r="T1042" s="273"/>
      <c r="U1042" s="40"/>
      <c r="V1042" s="277"/>
      <c r="W1042" s="269"/>
      <c r="X1042" s="269"/>
      <c r="Y1042" s="275"/>
      <c r="Z1042" s="269"/>
      <c r="AA1042" s="57"/>
      <c r="AB1042" s="207"/>
      <c r="AC1042" s="33"/>
      <c r="AD1042" s="189"/>
      <c r="AE1042" s="54"/>
      <c r="AF1042" s="55"/>
      <c r="AG1042" s="43"/>
      <c r="AH1042" s="339"/>
      <c r="AI1042" s="30"/>
      <c r="AJ1042" s="30"/>
      <c r="AK1042" s="30"/>
      <c r="AL1042" s="30"/>
      <c r="AM1042" s="13"/>
      <c r="AN1042" s="13"/>
      <c r="AO1042" s="13"/>
      <c r="AP1042" s="13"/>
      <c r="AQ1042" s="13"/>
      <c r="AR1042" s="14"/>
      <c r="AS1042" s="15"/>
    </row>
    <row r="1043" spans="1:45" s="17" customFormat="1" ht="30.95" hidden="1" customHeight="1" x14ac:dyDescent="0.2">
      <c r="A1043" s="37"/>
      <c r="B1043" s="38"/>
      <c r="C1043" s="45"/>
      <c r="D1043" s="31"/>
      <c r="E1043" s="31"/>
      <c r="F1043" s="268"/>
      <c r="G1043" s="269"/>
      <c r="H1043" s="269"/>
      <c r="I1043" s="270"/>
      <c r="J1043" s="210"/>
      <c r="K1043" s="270"/>
      <c r="L1043" s="270"/>
      <c r="M1043" s="39"/>
      <c r="N1043" s="39"/>
      <c r="O1043" s="156"/>
      <c r="P1043" s="47"/>
      <c r="Q1043" s="57"/>
      <c r="R1043" s="338"/>
      <c r="S1043" s="272"/>
      <c r="T1043" s="273"/>
      <c r="U1043" s="40"/>
      <c r="V1043" s="277"/>
      <c r="W1043" s="269"/>
      <c r="X1043" s="269"/>
      <c r="Y1043" s="275"/>
      <c r="Z1043" s="269"/>
      <c r="AA1043" s="57"/>
      <c r="AB1043" s="207"/>
      <c r="AC1043" s="33"/>
      <c r="AD1043" s="189"/>
      <c r="AE1043" s="54"/>
      <c r="AF1043" s="55"/>
      <c r="AG1043" s="43"/>
      <c r="AH1043" s="339"/>
      <c r="AI1043" s="30"/>
      <c r="AJ1043" s="30"/>
      <c r="AK1043" s="30"/>
      <c r="AL1043" s="30"/>
      <c r="AM1043" s="13"/>
      <c r="AN1043" s="13"/>
      <c r="AO1043" s="13"/>
      <c r="AP1043" s="13"/>
      <c r="AQ1043" s="13"/>
      <c r="AR1043" s="14"/>
      <c r="AS1043" s="15"/>
    </row>
    <row r="1044" spans="1:45" s="17" customFormat="1" ht="30.95" hidden="1" customHeight="1" x14ac:dyDescent="0.2">
      <c r="A1044" s="37" t="s">
        <v>567</v>
      </c>
      <c r="B1044" s="38" t="s">
        <v>688</v>
      </c>
      <c r="C1044" s="45"/>
      <c r="D1044" s="31"/>
      <c r="E1044" s="31"/>
      <c r="F1044" s="268"/>
      <c r="G1044" s="269"/>
      <c r="H1044" s="269"/>
      <c r="I1044" s="270"/>
      <c r="J1044" s="210"/>
      <c r="K1044" s="270"/>
      <c r="L1044" s="270"/>
      <c r="M1044" s="39"/>
      <c r="N1044" s="39"/>
      <c r="O1044" s="156"/>
      <c r="P1044" s="47"/>
      <c r="Q1044" s="57"/>
      <c r="R1044" s="271"/>
      <c r="S1044" s="272"/>
      <c r="T1044" s="273"/>
      <c r="U1044" s="40"/>
      <c r="V1044" s="274"/>
      <c r="W1044" s="269"/>
      <c r="X1044" s="269"/>
      <c r="Y1044" s="275"/>
      <c r="Z1044" s="269"/>
      <c r="AA1044" s="57"/>
      <c r="AB1044" s="207"/>
      <c r="AC1044" s="33"/>
      <c r="AD1044" s="189"/>
      <c r="AE1044" s="54"/>
      <c r="AF1044" s="55"/>
      <c r="AG1044" s="43"/>
      <c r="AH1044" s="47"/>
      <c r="AI1044" s="30"/>
      <c r="AJ1044" s="30"/>
      <c r="AK1044" s="30"/>
      <c r="AL1044" s="30"/>
      <c r="AM1044" s="13"/>
      <c r="AN1044" s="13"/>
      <c r="AO1044" s="13"/>
      <c r="AP1044" s="13"/>
      <c r="AQ1044" s="13"/>
      <c r="AR1044" s="14"/>
      <c r="AS1044" s="15"/>
    </row>
    <row r="1045" spans="1:45" s="17" customFormat="1" ht="30.95" hidden="1" customHeight="1" x14ac:dyDescent="0.2">
      <c r="A1045" s="37"/>
      <c r="B1045" s="38"/>
      <c r="C1045" s="45"/>
      <c r="D1045" s="31"/>
      <c r="E1045" s="31"/>
      <c r="F1045" s="268"/>
      <c r="G1045" s="269"/>
      <c r="H1045" s="269"/>
      <c r="I1045" s="270"/>
      <c r="J1045" s="210"/>
      <c r="K1045" s="270"/>
      <c r="L1045" s="270"/>
      <c r="M1045" s="39"/>
      <c r="N1045" s="39"/>
      <c r="O1045" s="156"/>
      <c r="P1045" s="47"/>
      <c r="Q1045" s="57"/>
      <c r="R1045" s="338"/>
      <c r="S1045" s="272"/>
      <c r="T1045" s="273"/>
      <c r="U1045" s="40"/>
      <c r="V1045" s="277"/>
      <c r="W1045" s="269"/>
      <c r="X1045" s="269"/>
      <c r="Y1045" s="275"/>
      <c r="Z1045" s="269"/>
      <c r="AA1045" s="57"/>
      <c r="AB1045" s="207"/>
      <c r="AC1045" s="33"/>
      <c r="AD1045" s="189"/>
      <c r="AE1045" s="54"/>
      <c r="AF1045" s="55"/>
      <c r="AG1045" s="43"/>
      <c r="AH1045" s="339"/>
      <c r="AI1045" s="30"/>
      <c r="AJ1045" s="30"/>
      <c r="AK1045" s="30"/>
      <c r="AL1045" s="30"/>
      <c r="AM1045" s="13"/>
      <c r="AN1045" s="13"/>
      <c r="AO1045" s="13"/>
      <c r="AP1045" s="13"/>
      <c r="AQ1045" s="13"/>
      <c r="AR1045" s="14"/>
      <c r="AS1045" s="15"/>
    </row>
    <row r="1046" spans="1:45" s="17" customFormat="1" ht="30.95" hidden="1" customHeight="1" x14ac:dyDescent="0.2">
      <c r="A1046" s="37" t="s">
        <v>568</v>
      </c>
      <c r="B1046" s="38" t="s">
        <v>442</v>
      </c>
      <c r="C1046" s="45"/>
      <c r="D1046" s="31">
        <v>3723623</v>
      </c>
      <c r="E1046" s="31">
        <v>4141016</v>
      </c>
      <c r="F1046" s="268" t="str">
        <f>IF(D1046="","",VLOOKUP(D1046,契約台帳!$A$3:$K$4986,6,FALSE)&amp;VLOOKUP(D1046,契約台帳!$A$3:$K$4986,7,FALSE)&amp;VLOOKUP(D1046,契約台帳!$A$3:$K$4986,8,FALSE)&amp;VLOOKUP(D1046,契約台帳!$A$3:$K$4986,9,FALSE)&amp;VLOOKUP(D1046,契約台帳!$A$3:$K$4986,11,FALSE))</f>
        <v>3SNCLBLEYK</v>
      </c>
      <c r="G1046" s="269" t="str">
        <f>IF(D1046="","",VLOOKUP(F1046,製品マスタ!$G$5:$H$5002,2,FALSE))</f>
        <v>S</v>
      </c>
      <c r="H1046" s="269" t="str">
        <f>IF(D1046="","",VLOOKUP(F1046,製品マスタ!$G$5:$K$5002,5,FALSE))</f>
        <v>LEYK</v>
      </c>
      <c r="I1046" s="270" t="str">
        <f>IF(D1046="","",VLOOKUP(F1046,製品マスタ!$G$5:$L$5002,6,FALSE))</f>
        <v>ルミラー　ＥＹＫ</v>
      </c>
      <c r="J1046" s="210" t="s">
        <v>447</v>
      </c>
      <c r="K1046" s="270">
        <f>IF(D1046="","",VLOOKUP(D1046,契約台帳!$A$3:$L$4986,12,FALSE))</f>
        <v>50</v>
      </c>
      <c r="L1046" s="270" t="str">
        <f>IF(D1046="","",INDEX(製品マスタ!$Q$5:$Q$5002,MATCH('S4'!F1046&amp;'S4'!K1046,製品マスタ!$AO$5:$AO$5002,0)))</f>
        <v>T62M</v>
      </c>
      <c r="M1046" s="39">
        <v>1125</v>
      </c>
      <c r="N1046" s="39">
        <v>6100</v>
      </c>
      <c r="O1046" s="156">
        <v>4</v>
      </c>
      <c r="P1046" s="47">
        <v>4</v>
      </c>
      <c r="Q1046" s="57"/>
      <c r="R1046" s="271">
        <f ca="1">IF(D1046="","",IF(OFFSET(D1046,-1,0)&lt;&gt;"","",IF(OR(J1046="リード付け",J1046="巻足し",J1046="巻返しリード付け"),M1046,VLOOKUP(D1046,契約台帳!$A$3:$N$4986,14,FALSE))))</f>
        <v>1120</v>
      </c>
      <c r="S1046" s="272">
        <f ca="1">IF(D1046="","",IF(OFFSET(D1046,-1,0)&lt;&gt;"","",IF(OR(J1046="リード付け",J1046="巻足し",J1046="巻返しリード付け"),M1046,VLOOKUP(D1046,契約台帳!$A$3:$O$4986,15,FALSE))))</f>
        <v>1120</v>
      </c>
      <c r="T1046" s="273">
        <f ca="1">IF(D1046="","",IF(J1046="リード付け",N1046,IF(J1046="巻返しリード付け",N1046,IF(J1046="巻足し",N1046*P1046+OFFSET(N1046,1,0)*OFFSET(P1046,1,0),VLOOKUP(D1046,契約台帳!$A$3:$P$4986,16,FALSE)))))</f>
        <v>6000</v>
      </c>
      <c r="U1046" s="40">
        <v>4</v>
      </c>
      <c r="V1046" s="274">
        <f ca="1">IF(D1046="","",IF(OFFSET(D1046,-2,0)=D1046,"",VLOOKUP(D1046,契約台帳!$A$3:$R$4986,18,FALSE)))</f>
        <v>4</v>
      </c>
      <c r="W1046" s="269" t="str">
        <f ca="1">IF(D1046="","",IF(T1046="","",IF(OR(J1046="巻足し",J1046="巻返しリード付け"),"",IF(J1046="巻返し",VLOOKUP(F1046&amp;K1046&amp;M1046,製品マスタ!$M$5:$AD$5002,18,FALSE),IF(OR(J1046="リード付け",J1046="巻返しリード付け"),"原反コア",IF(J1046="スリット",VLOOKUP(F1046&amp;K1046&amp;R1046,製品マスタ!$N$5:$AD$5002,17,FALSE),""))))))</f>
        <v>6ｲﾝﾁMｺｱ</v>
      </c>
      <c r="X1046" s="269">
        <f ca="1">IF(D1046="","",IF(T1046="","",IF(J1046="巻足し","",IF(J1046="巻返し",VLOOKUP(F1046&amp;K1046&amp;M1046,製品マスタ!$M$5:$AE$5002,19,FALSE),IF(OR(J1046="リード付け",J1046="巻返しリード付け"),"",IF(J1046="スリット",VLOOKUP(F1046&amp;K1046&amp;R1046,製品マスタ!$N$5:$AE$5002,18,FALSE),""))))))</f>
        <v>1140</v>
      </c>
      <c r="Y1046" s="275">
        <f ca="1">IF(D1046="","",IF(T1046="","",VLOOKUP(D1046,契約台帳!$A$3:$Q$4986,17,FALSE)))</f>
        <v>2</v>
      </c>
      <c r="Z1046" s="269" t="str">
        <f ca="1">IF(D1046="","",IF(T1046="","",VLOOKUP(D1046,契約台帳!$A$3:$E$4986,5,FALSE)))</f>
        <v>新タック化成㈱</v>
      </c>
      <c r="AA1046" s="57"/>
      <c r="AB1046" s="207" t="str">
        <f>IFERROR((VLOOKUP(F1046&amp;K1046&amp;M1046,製品マスタ!$M$5:$AM$5002,27,FALSE)),"")</f>
        <v>原反ケース再利用</v>
      </c>
      <c r="AC1046" s="33"/>
      <c r="AD1046" s="189"/>
      <c r="AE1046" s="54"/>
      <c r="AF1046" s="55"/>
      <c r="AG1046" s="43"/>
      <c r="AH1046" s="339"/>
      <c r="AI1046" s="30"/>
      <c r="AJ1046" s="30"/>
      <c r="AK1046" s="30"/>
      <c r="AL1046" s="30"/>
      <c r="AM1046" s="13"/>
      <c r="AN1046" s="13"/>
      <c r="AO1046" s="13"/>
      <c r="AP1046" s="13"/>
      <c r="AQ1046" s="13"/>
      <c r="AR1046" s="14"/>
      <c r="AS1046" s="15"/>
    </row>
    <row r="1047" spans="1:45" s="17" customFormat="1" ht="30.95" hidden="1" customHeight="1" x14ac:dyDescent="0.2">
      <c r="A1047" s="37"/>
      <c r="B1047" s="38"/>
      <c r="C1047" s="45"/>
      <c r="D1047" s="31"/>
      <c r="E1047" s="31"/>
      <c r="F1047" s="268"/>
      <c r="G1047" s="269"/>
      <c r="H1047" s="269"/>
      <c r="I1047" s="270"/>
      <c r="J1047" s="210"/>
      <c r="K1047" s="270"/>
      <c r="L1047" s="270"/>
      <c r="M1047" s="39"/>
      <c r="N1047" s="39"/>
      <c r="O1047" s="156"/>
      <c r="P1047" s="47"/>
      <c r="Q1047" s="57"/>
      <c r="R1047" s="338"/>
      <c r="S1047" s="272"/>
      <c r="T1047" s="273"/>
      <c r="U1047" s="40"/>
      <c r="V1047" s="277"/>
      <c r="W1047" s="269"/>
      <c r="X1047" s="269"/>
      <c r="Y1047" s="275"/>
      <c r="Z1047" s="269"/>
      <c r="AA1047" s="57"/>
      <c r="AB1047" s="207"/>
      <c r="AC1047" s="33"/>
      <c r="AD1047" s="189"/>
      <c r="AE1047" s="54"/>
      <c r="AF1047" s="55"/>
      <c r="AG1047" s="43"/>
      <c r="AH1047" s="339"/>
      <c r="AI1047" s="30"/>
      <c r="AJ1047" s="30"/>
      <c r="AK1047" s="30"/>
      <c r="AL1047" s="30"/>
      <c r="AM1047" s="13"/>
      <c r="AN1047" s="13"/>
      <c r="AO1047" s="13"/>
      <c r="AP1047" s="13"/>
      <c r="AQ1047" s="13"/>
      <c r="AR1047" s="14"/>
      <c r="AS1047" s="15"/>
    </row>
    <row r="1048" spans="1:45" s="17" customFormat="1" ht="30.95" hidden="1" customHeight="1" x14ac:dyDescent="0.2">
      <c r="A1048" s="37"/>
      <c r="B1048" s="38"/>
      <c r="C1048" s="45"/>
      <c r="D1048" s="31">
        <v>3723624</v>
      </c>
      <c r="E1048" s="31">
        <v>4141002</v>
      </c>
      <c r="F1048" s="268" t="str">
        <f>IF(D1048="","",VLOOKUP(D1048,契約台帳!$A$3:$K$4986,6,FALSE)&amp;VLOOKUP(D1048,契約台帳!$A$3:$K$4986,7,FALSE)&amp;VLOOKUP(D1048,契約台帳!$A$3:$K$4986,8,FALSE)&amp;VLOOKUP(D1048,契約台帳!$A$3:$K$4986,9,FALSE)&amp;VLOOKUP(D1048,契約台帳!$A$3:$K$4986,11,FALSE))</f>
        <v>3SNMCLBEYK</v>
      </c>
      <c r="G1048" s="269" t="str">
        <f>IF(D1048="","",VLOOKUP(F1048,製品マスタ!$G$5:$H$5002,2,FALSE))</f>
        <v>S</v>
      </c>
      <c r="H1048" s="269" t="str">
        <f>IF(D1048="","",VLOOKUP(F1048,製品マスタ!$G$5:$K$5002,5,FALSE))</f>
        <v>EYK</v>
      </c>
      <c r="I1048" s="270" t="str">
        <f>IF(D1048="","",VLOOKUP(F1048,製品マスタ!$G$5:$L$5002,6,FALSE))</f>
        <v>メタルミー　ＥＹＫ</v>
      </c>
      <c r="J1048" s="210" t="s">
        <v>447</v>
      </c>
      <c r="K1048" s="270">
        <f>IF(D1048="","",VLOOKUP(D1048,契約台帳!$A$3:$L$4986,12,FALSE))</f>
        <v>50</v>
      </c>
      <c r="L1048" s="270" t="str">
        <f>IF(D1048="","",INDEX(製品マスタ!$Q$5:$Q$5002,MATCH('S4'!F1048&amp;'S4'!K1048,製品マスタ!$AO$5:$AO$5002,0)))</f>
        <v>T62M</v>
      </c>
      <c r="M1048" s="39">
        <v>1125</v>
      </c>
      <c r="N1048" s="39">
        <v>12200</v>
      </c>
      <c r="O1048" s="156">
        <v>2</v>
      </c>
      <c r="P1048" s="47">
        <v>2</v>
      </c>
      <c r="Q1048" s="57"/>
      <c r="R1048" s="271">
        <f ca="1">IF(D1048="","",IF(OFFSET(D1048,-1,0)&lt;&gt;"","",IF(OR(J1048="リード付け",J1048="巻足し",J1048="巻返しリード付け"),M1048,VLOOKUP(D1048,契約台帳!$A$3:$N$4986,14,FALSE))))</f>
        <v>1120</v>
      </c>
      <c r="S1048" s="272">
        <f ca="1">IF(D1048="","",IF(OFFSET(D1048,-1,0)&lt;&gt;"","",IF(OR(J1048="リード付け",J1048="巻足し",J1048="巻返しリード付け"),M1048,VLOOKUP(D1048,契約台帳!$A$3:$O$4986,15,FALSE))))</f>
        <v>1120</v>
      </c>
      <c r="T1048" s="273">
        <f ca="1">IF(D1048="","",IF(J1048="リード付け",N1048,IF(J1048="巻返しリード付け",N1048,IF(J1048="巻足し",N1048*P1048+OFFSET(N1048,1,0)*OFFSET(P1048,1,0),VLOOKUP(D1048,契約台帳!$A$3:$P$4986,16,FALSE)))))</f>
        <v>6000</v>
      </c>
      <c r="U1048" s="40">
        <v>4</v>
      </c>
      <c r="V1048" s="274">
        <f ca="1">IF(D1048="","",IF(OFFSET(D1048,-2,0)=D1048,"",VLOOKUP(D1048,契約台帳!$A$3:$R$4986,18,FALSE)))</f>
        <v>4</v>
      </c>
      <c r="W1048" s="269" t="str">
        <f ca="1">IF(D1048="","",IF(T1048="","",IF(OR(J1048="巻足し",J1048="巻返しリード付け"),"",IF(J1048="巻返し",VLOOKUP(F1048&amp;K1048&amp;M1048,製品マスタ!$M$5:$AD$5002,18,FALSE),IF(OR(J1048="リード付け",J1048="巻返しリード付け"),"原反コア",IF(J1048="スリット",VLOOKUP(F1048&amp;K1048&amp;R1048,製品マスタ!$N$5:$AD$5002,17,FALSE),""))))))</f>
        <v>6ｲﾝﾁMｺｱ</v>
      </c>
      <c r="X1048" s="269">
        <f ca="1">IF(D1048="","",IF(T1048="","",IF(J1048="巻足し","",IF(J1048="巻返し",VLOOKUP(F1048&amp;K1048&amp;M1048,製品マスタ!$M$5:$AE$5002,19,FALSE),IF(OR(J1048="リード付け",J1048="巻返しリード付け"),"",IF(J1048="スリット",VLOOKUP(F1048&amp;K1048&amp;R1048,製品マスタ!$N$5:$AE$5002,18,FALSE),""))))))</f>
        <v>1140</v>
      </c>
      <c r="Y1048" s="275">
        <f ca="1">IF(D1048="","",IF(T1048="","",VLOOKUP(D1048,契約台帳!$A$3:$Q$4986,17,FALSE)))</f>
        <v>2</v>
      </c>
      <c r="Z1048" s="269" t="str">
        <f ca="1">IF(D1048="","",IF(T1048="","",VLOOKUP(D1048,契約台帳!$A$3:$E$4986,5,FALSE)))</f>
        <v>新タック化成㈱</v>
      </c>
      <c r="AA1048" s="57"/>
      <c r="AB1048" s="207" t="str">
        <f>IFERROR((VLOOKUP(F1048&amp;K1048&amp;M1048,製品マスタ!$M$5:$AM$5002,27,FALSE)),"")</f>
        <v>原反ケース再利用</v>
      </c>
      <c r="AC1048" s="33"/>
      <c r="AD1048" s="189"/>
      <c r="AE1048" s="54"/>
      <c r="AF1048" s="55"/>
      <c r="AG1048" s="43"/>
      <c r="AH1048" s="47"/>
      <c r="AI1048" s="30"/>
      <c r="AJ1048" s="30"/>
      <c r="AK1048" s="30"/>
      <c r="AL1048" s="30"/>
      <c r="AM1048" s="13"/>
      <c r="AN1048" s="13"/>
      <c r="AO1048" s="13"/>
      <c r="AP1048" s="13"/>
      <c r="AQ1048" s="13"/>
      <c r="AR1048" s="14"/>
      <c r="AS1048" s="15"/>
    </row>
    <row r="1049" spans="1:45" s="17" customFormat="1" ht="30.95" hidden="1" customHeight="1" x14ac:dyDescent="0.2">
      <c r="A1049" s="37"/>
      <c r="B1049" s="38"/>
      <c r="C1049" s="45"/>
      <c r="D1049" s="31"/>
      <c r="E1049" s="31"/>
      <c r="F1049" s="268"/>
      <c r="G1049" s="269"/>
      <c r="H1049" s="269"/>
      <c r="I1049" s="270"/>
      <c r="J1049" s="210"/>
      <c r="K1049" s="270"/>
      <c r="L1049" s="270"/>
      <c r="M1049" s="39"/>
      <c r="N1049" s="39"/>
      <c r="O1049" s="156"/>
      <c r="P1049" s="47"/>
      <c r="Q1049" s="57"/>
      <c r="R1049" s="338"/>
      <c r="S1049" s="272"/>
      <c r="T1049" s="273"/>
      <c r="U1049" s="40"/>
      <c r="V1049" s="277"/>
      <c r="W1049" s="269"/>
      <c r="X1049" s="269"/>
      <c r="Y1049" s="275"/>
      <c r="Z1049" s="269"/>
      <c r="AA1049" s="57"/>
      <c r="AB1049" s="207"/>
      <c r="AC1049" s="33"/>
      <c r="AD1049" s="189"/>
      <c r="AE1049" s="54"/>
      <c r="AF1049" s="55"/>
      <c r="AG1049" s="43"/>
      <c r="AH1049" s="339"/>
      <c r="AI1049" s="30"/>
      <c r="AJ1049" s="30"/>
      <c r="AK1049" s="30"/>
      <c r="AL1049" s="30"/>
      <c r="AM1049" s="13"/>
      <c r="AN1049" s="13"/>
      <c r="AO1049" s="13"/>
      <c r="AP1049" s="13"/>
      <c r="AQ1049" s="13"/>
      <c r="AR1049" s="14"/>
      <c r="AS1049" s="15"/>
    </row>
    <row r="1050" spans="1:45" s="17" customFormat="1" ht="30.95" hidden="1" customHeight="1" x14ac:dyDescent="0.2">
      <c r="A1050" s="37" t="s">
        <v>569</v>
      </c>
      <c r="B1050" s="38" t="s">
        <v>443</v>
      </c>
      <c r="C1050" s="45"/>
      <c r="D1050" s="31">
        <v>3724503</v>
      </c>
      <c r="E1050" s="31">
        <v>4141012</v>
      </c>
      <c r="F1050" s="268" t="str">
        <f>IF(D1050="","",VLOOKUP(D1050,契約台帳!$A$3:$K$4986,6,FALSE)&amp;VLOOKUP(D1050,契約台帳!$A$3:$K$4986,7,FALSE)&amp;VLOOKUP(D1050,契約台帳!$A$3:$K$4986,8,FALSE)&amp;VLOOKUP(D1050,契約台帳!$A$3:$K$4986,9,FALSE)&amp;VLOOKUP(D1050,契約台帳!$A$3:$K$4986,11,FALSE))</f>
        <v>3SNMCLBNGKEYKB</v>
      </c>
      <c r="G1050" s="269" t="str">
        <f>IF(D1050="","",VLOOKUP(F1050,製品マスタ!$G$5:$H$5002,2,FALSE))</f>
        <v>S</v>
      </c>
      <c r="H1050" s="269" t="str">
        <f>IF(D1050="","",VLOOKUP(F1050,製品マスタ!$G$5:$K$5002,5,FALSE))</f>
        <v>NGKEYKB</v>
      </c>
      <c r="I1050" s="270" t="str">
        <f>IF(D1050="","",VLOOKUP(F1050,製品マスタ!$G$5:$L$5002,6,FALSE))</f>
        <v>メタルミー　ネーマー銀消ＥＹＫ　Ｂ</v>
      </c>
      <c r="J1050" s="210" t="s">
        <v>447</v>
      </c>
      <c r="K1050" s="270">
        <f>IF(D1050="","",VLOOKUP(D1050,契約台帳!$A$3:$L$4986,12,FALSE))</f>
        <v>16</v>
      </c>
      <c r="L1050" s="270" t="str">
        <f>IF(D1050="","",INDEX(製品マスタ!$Q$5:$Q$5002,MATCH('S4'!F1050&amp;'S4'!K1050,製品マスタ!$AO$5:$AO$5002,0)))</f>
        <v>LUMIMAT</v>
      </c>
      <c r="M1050" s="39">
        <v>1005</v>
      </c>
      <c r="N1050" s="39">
        <v>3200</v>
      </c>
      <c r="O1050" s="156">
        <v>1</v>
      </c>
      <c r="P1050" s="47">
        <v>1</v>
      </c>
      <c r="Q1050" s="57"/>
      <c r="R1050" s="271">
        <f ca="1">IF(D1050="","",IF(OFFSET(D1050,-1,0)&lt;&gt;"","",IF(OR(J1050="リード付け",J1050="巻足し",J1050="巻返しリード付け"),M1050,VLOOKUP(D1050,契約台帳!$A$3:$N$4986,14,FALSE))))</f>
        <v>1000</v>
      </c>
      <c r="S1050" s="272">
        <f ca="1">IF(D1050="","",IF(OFFSET(D1050,-1,0)&lt;&gt;"","",IF(OR(J1050="リード付け",J1050="巻足し",J1050="巻返しリード付け"),M1050,VLOOKUP(D1050,契約台帳!$A$3:$O$4986,15,FALSE))))</f>
        <v>1000</v>
      </c>
      <c r="T1050" s="273">
        <f ca="1">IF(D1050="","",IF(J1050="リード付け",N1050,IF(J1050="巻返しリード付け",N1050,IF(J1050="巻足し",N1050*P1050+OFFSET(N1050,1,0)*OFFSET(P1050,1,0),VLOOKUP(D1050,契約台帳!$A$3:$P$4986,16,FALSE)))))</f>
        <v>3200</v>
      </c>
      <c r="U1050" s="40">
        <v>1</v>
      </c>
      <c r="V1050" s="274">
        <f ca="1">IF(D1050="","",IF(OFFSET(D1050,-2,0)=D1050,"",VLOOKUP(D1050,契約台帳!$A$3:$R$4986,18,FALSE)))</f>
        <v>1</v>
      </c>
      <c r="W1050" s="269" t="str">
        <f ca="1">IF(D1050="","",IF(T1050="","",IF(OR(J1050="巻足し",J1050="巻返しリード付け"),"",IF(J1050="巻返し",VLOOKUP(F1050&amp;K1050&amp;M1050,製品マスタ!$M$5:$AD$5002,18,FALSE),IF(OR(J1050="リード付け",J1050="巻返しリード付け"),"原反コア",IF(J1050="スリット",VLOOKUP(F1050&amp;K1050&amp;R1050,製品マスタ!$N$5:$AD$5002,17,FALSE),""))))))</f>
        <v>6ｲﾝﾁMｺｱ</v>
      </c>
      <c r="X1050" s="269">
        <f ca="1">IF(D1050="","",IF(T1050="","",IF(J1050="巻足し","",IF(J1050="巻返し",VLOOKUP(F1050&amp;K1050&amp;M1050,製品マスタ!$M$5:$AE$5002,19,FALSE),IF(OR(J1050="リード付け",J1050="巻返しリード付け"),"",IF(J1050="スリット",VLOOKUP(F1050&amp;K1050&amp;R1050,製品マスタ!$N$5:$AE$5002,18,FALSE),""))))))</f>
        <v>1015</v>
      </c>
      <c r="Y1050" s="275">
        <f ca="1">IF(D1050="","",IF(T1050="","",VLOOKUP(D1050,契約台帳!$A$3:$Q$4986,17,FALSE)))</f>
        <v>2</v>
      </c>
      <c r="Z1050" s="269" t="str">
        <f ca="1">IF(D1050="","",IF(T1050="","",VLOOKUP(D1050,契約台帳!$A$3:$E$4986,5,FALSE)))</f>
        <v>リンテック㈱</v>
      </c>
      <c r="AA1050" s="57"/>
      <c r="AB1050" s="207">
        <f>IFERROR((VLOOKUP(F1050&amp;K1050&amp;M1050,製品マスタ!$M$5:$AM$5002,27,FALSE)),"")</f>
        <v>0</v>
      </c>
      <c r="AC1050" s="33"/>
      <c r="AD1050" s="189"/>
      <c r="AE1050" s="54"/>
      <c r="AF1050" s="55"/>
      <c r="AG1050" s="43"/>
      <c r="AH1050" s="47"/>
      <c r="AI1050" s="30"/>
      <c r="AJ1050" s="30"/>
      <c r="AK1050" s="30"/>
      <c r="AL1050" s="30"/>
      <c r="AM1050" s="13"/>
      <c r="AN1050" s="13"/>
      <c r="AO1050" s="13"/>
      <c r="AP1050" s="13"/>
      <c r="AQ1050" s="13"/>
      <c r="AR1050" s="14"/>
      <c r="AS1050" s="15"/>
    </row>
    <row r="1051" spans="1:45" s="17" customFormat="1" ht="30.95" hidden="1" customHeight="1" x14ac:dyDescent="0.2">
      <c r="A1051" s="37"/>
      <c r="B1051" s="38"/>
      <c r="C1051" s="45"/>
      <c r="D1051" s="31"/>
      <c r="E1051" s="31"/>
      <c r="F1051" s="268"/>
      <c r="G1051" s="269"/>
      <c r="H1051" s="269"/>
      <c r="I1051" s="270"/>
      <c r="J1051" s="210"/>
      <c r="K1051" s="270"/>
      <c r="L1051" s="270"/>
      <c r="M1051" s="39"/>
      <c r="N1051" s="39"/>
      <c r="O1051" s="156"/>
      <c r="P1051" s="47"/>
      <c r="Q1051" s="57"/>
      <c r="R1051" s="338"/>
      <c r="S1051" s="272"/>
      <c r="T1051" s="273"/>
      <c r="U1051" s="40"/>
      <c r="V1051" s="277"/>
      <c r="W1051" s="269"/>
      <c r="X1051" s="269"/>
      <c r="Y1051" s="275"/>
      <c r="Z1051" s="269"/>
      <c r="AA1051" s="57"/>
      <c r="AB1051" s="207"/>
      <c r="AC1051" s="33"/>
      <c r="AD1051" s="189"/>
      <c r="AE1051" s="54"/>
      <c r="AF1051" s="55"/>
      <c r="AG1051" s="43"/>
      <c r="AH1051" s="339"/>
      <c r="AI1051" s="30"/>
      <c r="AJ1051" s="30"/>
      <c r="AK1051" s="30"/>
      <c r="AL1051" s="30"/>
      <c r="AM1051" s="13"/>
      <c r="AN1051" s="13"/>
      <c r="AO1051" s="13"/>
      <c r="AP1051" s="13"/>
      <c r="AQ1051" s="13"/>
      <c r="AR1051" s="14"/>
      <c r="AS1051" s="15"/>
    </row>
    <row r="1052" spans="1:45" s="17" customFormat="1" ht="30.95" hidden="1" customHeight="1" x14ac:dyDescent="0.2">
      <c r="A1052" s="320"/>
      <c r="B1052" s="321"/>
      <c r="C1052" s="45"/>
      <c r="D1052" s="31">
        <v>3723634</v>
      </c>
      <c r="E1052" s="31">
        <v>4141009</v>
      </c>
      <c r="F1052" s="268" t="str">
        <f>IF(D1052="","",VLOOKUP(D1052,契約台帳!$A$3:$K$4986,6,FALSE)&amp;VLOOKUP(D1052,契約台帳!$A$3:$K$4986,7,FALSE)&amp;VLOOKUP(D1052,契約台帳!$A$3:$K$4986,8,FALSE)&amp;VLOOKUP(D1052,契約台帳!$A$3:$K$4986,9,FALSE)&amp;VLOOKUP(D1052,契約台帳!$A$3:$K$4986,11,FALSE))</f>
        <v>3SNMCLBNGKVB</v>
      </c>
      <c r="G1052" s="269" t="str">
        <f>IF(D1052="","",VLOOKUP(F1052,製品マスタ!$G$5:$H$5002,2,FALSE))</f>
        <v>S</v>
      </c>
      <c r="H1052" s="269" t="str">
        <f>IF(D1052="","",VLOOKUP(F1052,製品マスタ!$G$5:$K$5002,5,FALSE))</f>
        <v>NGKVB</v>
      </c>
      <c r="I1052" s="270" t="str">
        <f>IF(D1052="","",VLOOKUP(F1052,製品マスタ!$G$5:$L$5002,6,FALSE))</f>
        <v>メタルミー　ネーマー銀消　ＶＢ</v>
      </c>
      <c r="J1052" s="210" t="s">
        <v>447</v>
      </c>
      <c r="K1052" s="270">
        <f>IF(D1052="","",VLOOKUP(D1052,契約台帳!$A$3:$L$4986,12,FALSE))</f>
        <v>50</v>
      </c>
      <c r="L1052" s="270" t="str">
        <f>IF(D1052="","",INDEX(製品マスタ!$Q$5:$Q$5002,MATCH('S4'!F1052&amp;'S4'!K1052,製品マスタ!$AO$5:$AO$5002,0)))</f>
        <v>MAT</v>
      </c>
      <c r="M1052" s="39">
        <v>1005</v>
      </c>
      <c r="N1052" s="39">
        <v>12300</v>
      </c>
      <c r="O1052" s="156">
        <v>1</v>
      </c>
      <c r="P1052" s="47">
        <v>1</v>
      </c>
      <c r="Q1052" s="57"/>
      <c r="R1052" s="271">
        <f ca="1">IF(D1052="","",IF(OFFSET(D1052,-1,0)&lt;&gt;"","",IF(OR(J1052="リード付け",J1052="巻足し",J1052="巻返しリード付け"),M1052,VLOOKUP(D1052,契約台帳!$A$3:$N$4986,14,FALSE))))</f>
        <v>1005</v>
      </c>
      <c r="S1052" s="272">
        <f ca="1">IF(D1052="","",IF(OFFSET(D1052,-1,0)&lt;&gt;"","",IF(OR(J1052="リード付け",J1052="巻足し",J1052="巻返しリード付け"),M1052,VLOOKUP(D1052,契約台帳!$A$3:$O$4986,15,FALSE))))</f>
        <v>1000</v>
      </c>
      <c r="T1052" s="273">
        <f ca="1">IF(D1052="","",IF(J1052="リード付け",N1052,IF(J1052="巻返しリード付け",N1052,IF(J1052="巻足し",N1052*P1052+OFFSET(N1052,1,0)*OFFSET(P1052,1,0),VLOOKUP(D1052,契約台帳!$A$3:$P$4986,16,FALSE)))))</f>
        <v>4100</v>
      </c>
      <c r="U1052" s="40">
        <v>3</v>
      </c>
      <c r="V1052" s="274">
        <f ca="1">IF(D1052="","",IF(OFFSET(D1052,-2,0)=D1052,"",VLOOKUP(D1052,契約台帳!$A$3:$R$4986,18,FALSE)))</f>
        <v>3</v>
      </c>
      <c r="W1052" s="269" t="str">
        <f ca="1">IF(D1052="","",IF(T1052="","",IF(OR(J1052="巻足し",J1052="巻返しリード付け"),"",IF(J1052="巻返し",VLOOKUP(F1052&amp;K1052&amp;M1052,製品マスタ!$M$5:$AD$5002,18,FALSE),IF(OR(J1052="リード付け",J1052="巻返しリード付け"),"原反コア",IF(J1052="スリット",VLOOKUP(F1052&amp;K1052&amp;R1052,製品マスタ!$N$5:$AD$5002,17,FALSE),""))))))</f>
        <v>6ｲﾝﾁMｺｱ</v>
      </c>
      <c r="X1052" s="269">
        <f ca="1">IF(D1052="","",IF(T1052="","",IF(J1052="巻足し","",IF(J1052="巻返し",VLOOKUP(F1052&amp;K1052&amp;M1052,製品マスタ!$M$5:$AE$5002,19,FALSE),IF(OR(J1052="リード付け",J1052="巻返しリード付け"),"",IF(J1052="スリット",VLOOKUP(F1052&amp;K1052&amp;R1052,製品マスタ!$N$5:$AE$5002,18,FALSE),""))))))</f>
        <v>1015</v>
      </c>
      <c r="Y1052" s="275">
        <f ca="1">IF(D1052="","",IF(T1052="","",VLOOKUP(D1052,契約台帳!$A$3:$Q$4986,17,FALSE)))</f>
        <v>2</v>
      </c>
      <c r="Z1052" s="269" t="str">
        <f ca="1">IF(D1052="","",IF(T1052="","",VLOOKUP(D1052,契約台帳!$A$3:$E$4986,5,FALSE)))</f>
        <v>リンテック㈱</v>
      </c>
      <c r="AA1052" s="57"/>
      <c r="AB1052" s="207">
        <f>IFERROR((VLOOKUP(F1052&amp;K1052&amp;M1052,製品マスタ!$M$5:$AM$5002,27,FALSE)),"")</f>
        <v>0</v>
      </c>
      <c r="AC1052" s="33"/>
      <c r="AD1052" s="189"/>
      <c r="AE1052" s="54"/>
      <c r="AF1052" s="55"/>
      <c r="AG1052" s="43"/>
      <c r="AH1052" s="47"/>
      <c r="AI1052" s="30"/>
      <c r="AJ1052" s="30"/>
      <c r="AK1052" s="30"/>
      <c r="AL1052" s="30"/>
      <c r="AM1052" s="13"/>
      <c r="AN1052" s="13"/>
      <c r="AO1052" s="13"/>
      <c r="AP1052" s="13"/>
      <c r="AQ1052" s="13"/>
      <c r="AR1052" s="14"/>
      <c r="AS1052" s="15"/>
    </row>
    <row r="1053" spans="1:45" s="17" customFormat="1" ht="30.95" hidden="1" customHeight="1" x14ac:dyDescent="0.2">
      <c r="A1053" s="37"/>
      <c r="B1053" s="38"/>
      <c r="C1053" s="45"/>
      <c r="D1053" s="31"/>
      <c r="E1053" s="31"/>
      <c r="F1053" s="268"/>
      <c r="G1053" s="269"/>
      <c r="H1053" s="269"/>
      <c r="I1053" s="270"/>
      <c r="J1053" s="210"/>
      <c r="K1053" s="270"/>
      <c r="L1053" s="270"/>
      <c r="M1053" s="39"/>
      <c r="N1053" s="39"/>
      <c r="O1053" s="156"/>
      <c r="P1053" s="47"/>
      <c r="Q1053" s="57"/>
      <c r="R1053" s="338"/>
      <c r="S1053" s="272"/>
      <c r="T1053" s="273"/>
      <c r="U1053" s="40"/>
      <c r="V1053" s="277"/>
      <c r="W1053" s="269"/>
      <c r="X1053" s="269"/>
      <c r="Y1053" s="275"/>
      <c r="Z1053" s="269"/>
      <c r="AA1053" s="57"/>
      <c r="AB1053" s="207"/>
      <c r="AC1053" s="33"/>
      <c r="AD1053" s="189"/>
      <c r="AE1053" s="54"/>
      <c r="AF1053" s="55"/>
      <c r="AG1053" s="43"/>
      <c r="AH1053" s="339"/>
      <c r="AI1053" s="30"/>
      <c r="AJ1053" s="30"/>
      <c r="AK1053" s="30"/>
      <c r="AL1053" s="30"/>
      <c r="AM1053" s="13"/>
      <c r="AN1053" s="13"/>
      <c r="AO1053" s="13"/>
      <c r="AP1053" s="13"/>
      <c r="AQ1053" s="13"/>
      <c r="AR1053" s="14"/>
      <c r="AS1053" s="15"/>
    </row>
    <row r="1054" spans="1:45" s="17" customFormat="1" ht="30.95" hidden="1" customHeight="1" x14ac:dyDescent="0.2">
      <c r="A1054" s="37"/>
      <c r="B1054" s="38"/>
      <c r="C1054" s="45"/>
      <c r="D1054" s="31">
        <v>3723640</v>
      </c>
      <c r="E1054" s="31">
        <v>4140998</v>
      </c>
      <c r="F1054" s="268" t="str">
        <f>IF(D1054="","",VLOOKUP(D1054,契約台帳!$A$3:$K$4986,6,FALSE)&amp;VLOOKUP(D1054,契約台帳!$A$3:$K$4986,7,FALSE)&amp;VLOOKUP(D1054,契約台帳!$A$3:$K$4986,8,FALSE)&amp;VLOOKUP(D1054,契約台帳!$A$3:$K$4986,9,FALSE)&amp;VLOOKUP(D1054,契約台帳!$A$3:$K$4986,11,FALSE))</f>
        <v>33SSNMCLBTEKKFV</v>
      </c>
      <c r="G1054" s="269" t="str">
        <f>IF(D1054="","",VLOOKUP(F1054,製品マスタ!$G$5:$H$5002,2,FALSE))</f>
        <v>S</v>
      </c>
      <c r="H1054" s="269" t="str">
        <f>IF(D1054="","",VLOOKUP(F1054,製品マスタ!$G$5:$K$5002,5,FALSE))</f>
        <v>TEKKFV</v>
      </c>
      <c r="I1054" s="270" t="str">
        <f>IF(D1054="","",VLOOKUP(F1054,製品マスタ!$G$5:$L$5002,6,FALSE))</f>
        <v>メタルミー　ＴＥＳ消開封　Ｖ</v>
      </c>
      <c r="J1054" s="210" t="s">
        <v>447</v>
      </c>
      <c r="K1054" s="270">
        <f>IF(D1054="","",VLOOKUP(D1054,契約台帳!$A$3:$L$4986,12,FALSE))</f>
        <v>50</v>
      </c>
      <c r="L1054" s="270" t="str">
        <f>IF(D1054="","",INDEX(製品マスタ!$Q$5:$Q$5002,MATCH('S4'!F1054&amp;'S4'!K1054,製品マスタ!$AO$5:$AO$5002,0)))</f>
        <v>X44SEPA</v>
      </c>
      <c r="M1054" s="39">
        <v>1005</v>
      </c>
      <c r="N1054" s="39">
        <v>12000</v>
      </c>
      <c r="O1054" s="156">
        <v>1</v>
      </c>
      <c r="P1054" s="47">
        <v>1</v>
      </c>
      <c r="Q1054" s="57"/>
      <c r="R1054" s="271">
        <f ca="1">IF(D1054="","",IF(OFFSET(D1054,-1,0)&lt;&gt;"","",IF(OR(J1054="リード付け",J1054="巻足し",J1054="巻返しリード付け"),M1054,VLOOKUP(D1054,契約台帳!$A$3:$N$4986,14,FALSE))))</f>
        <v>1005</v>
      </c>
      <c r="S1054" s="272">
        <f ca="1">IF(D1054="","",IF(OFFSET(D1054,-1,0)&lt;&gt;"","",IF(OR(J1054="リード付け",J1054="巻足し",J1054="巻返しリード付け"),M1054,VLOOKUP(D1054,契約台帳!$A$3:$O$4986,15,FALSE))))</f>
        <v>1000</v>
      </c>
      <c r="T1054" s="273">
        <f ca="1">IF(D1054="","",IF(J1054="リード付け",N1054,IF(J1054="巻返しリード付け",N1054,IF(J1054="巻足し",N1054*P1054+OFFSET(N1054,1,0)*OFFSET(P1054,1,0),VLOOKUP(D1054,契約台帳!$A$3:$P$4986,16,FALSE)))))</f>
        <v>4000</v>
      </c>
      <c r="U1054" s="40">
        <v>3</v>
      </c>
      <c r="V1054" s="274">
        <f ca="1">IF(D1054="","",IF(OFFSET(D1054,-2,0)=D1054,"",VLOOKUP(D1054,契約台帳!$A$3:$R$4986,18,FALSE)))</f>
        <v>3</v>
      </c>
      <c r="W1054" s="269" t="str">
        <f ca="1">IF(D1054="","",IF(T1054="","",IF(OR(J1054="巻足し",J1054="巻返しリード付け"),"",IF(J1054="巻返し",VLOOKUP(F1054&amp;K1054&amp;M1054,製品マスタ!$M$5:$AD$5002,18,FALSE),IF(OR(J1054="リード付け",J1054="巻返しリード付け"),"原反コア",IF(J1054="スリット",VLOOKUP(F1054&amp;K1054&amp;R1054,製品マスタ!$N$5:$AD$5002,17,FALSE),""))))))</f>
        <v>6ｲﾝﾁSｺｱ</v>
      </c>
      <c r="X1054" s="269">
        <f ca="1">IF(D1054="","",IF(T1054="","",IF(J1054="巻足し","",IF(J1054="巻返し",VLOOKUP(F1054&amp;K1054&amp;M1054,製品マスタ!$M$5:$AE$5002,19,FALSE),IF(OR(J1054="リード付け",J1054="巻返しリード付け"),"",IF(J1054="スリット",VLOOKUP(F1054&amp;K1054&amp;R1054,製品マスタ!$N$5:$AE$5002,18,FALSE),""))))))</f>
        <v>1015</v>
      </c>
      <c r="Y1054" s="275">
        <f ca="1">IF(D1054="","",IF(T1054="","",VLOOKUP(D1054,契約台帳!$A$3:$Q$4986,17,FALSE)))</f>
        <v>2</v>
      </c>
      <c r="Z1054" s="269" t="str">
        <f ca="1">IF(D1054="","",IF(T1054="","",VLOOKUP(D1054,契約台帳!$A$3:$E$4986,5,FALSE)))</f>
        <v>リンテック㈱</v>
      </c>
      <c r="AA1054" s="57"/>
      <c r="AB1054" s="207"/>
      <c r="AC1054" s="33"/>
      <c r="AD1054" s="189"/>
      <c r="AE1054" s="54"/>
      <c r="AF1054" s="55"/>
      <c r="AG1054" s="43"/>
      <c r="AH1054" s="339"/>
      <c r="AI1054" s="30"/>
      <c r="AJ1054" s="30"/>
      <c r="AK1054" s="30"/>
      <c r="AL1054" s="30"/>
      <c r="AM1054" s="13"/>
      <c r="AN1054" s="13"/>
      <c r="AO1054" s="13"/>
      <c r="AP1054" s="13"/>
      <c r="AQ1054" s="13"/>
      <c r="AR1054" s="14"/>
      <c r="AS1054" s="15"/>
    </row>
    <row r="1055" spans="1:45" s="17" customFormat="1" ht="30.95" hidden="1" customHeight="1" x14ac:dyDescent="0.2">
      <c r="A1055" s="37"/>
      <c r="B1055" s="38"/>
      <c r="C1055" s="45"/>
      <c r="D1055" s="31"/>
      <c r="E1055" s="31"/>
      <c r="F1055" s="268"/>
      <c r="G1055" s="269"/>
      <c r="H1055" s="269"/>
      <c r="I1055" s="270"/>
      <c r="J1055" s="210"/>
      <c r="K1055" s="270"/>
      <c r="L1055" s="270"/>
      <c r="M1055" s="39"/>
      <c r="N1055" s="39"/>
      <c r="O1055" s="156"/>
      <c r="P1055" s="47"/>
      <c r="Q1055" s="57"/>
      <c r="R1055" s="338"/>
      <c r="S1055" s="272"/>
      <c r="T1055" s="273"/>
      <c r="U1055" s="40"/>
      <c r="V1055" s="277"/>
      <c r="W1055" s="269"/>
      <c r="X1055" s="269"/>
      <c r="Y1055" s="275"/>
      <c r="Z1055" s="269"/>
      <c r="AA1055" s="57"/>
      <c r="AB1055" s="207"/>
      <c r="AC1055" s="33"/>
      <c r="AD1055" s="189"/>
      <c r="AE1055" s="54"/>
      <c r="AF1055" s="55"/>
      <c r="AG1055" s="43"/>
      <c r="AH1055" s="339"/>
      <c r="AI1055" s="30"/>
      <c r="AJ1055" s="30"/>
      <c r="AK1055" s="30"/>
      <c r="AL1055" s="30"/>
      <c r="AM1055" s="13"/>
      <c r="AN1055" s="13"/>
      <c r="AO1055" s="13"/>
      <c r="AP1055" s="13"/>
      <c r="AQ1055" s="13"/>
      <c r="AR1055" s="14"/>
      <c r="AS1055" s="15"/>
    </row>
    <row r="1056" spans="1:45" s="17" customFormat="1" ht="30.95" hidden="1" customHeight="1" x14ac:dyDescent="0.2">
      <c r="A1056" s="37"/>
      <c r="B1056" s="38"/>
      <c r="C1056" s="45"/>
      <c r="D1056" s="31">
        <v>3723641</v>
      </c>
      <c r="E1056" s="31">
        <v>4140999</v>
      </c>
      <c r="F1056" s="268" t="str">
        <f>IF(D1056="","",VLOOKUP(D1056,契約台帳!$A$3:$K$4986,6,FALSE)&amp;VLOOKUP(D1056,契約台帳!$A$3:$K$4986,7,FALSE)&amp;VLOOKUP(D1056,契約台帳!$A$3:$K$4986,8,FALSE)&amp;VLOOKUP(D1056,契約台帳!$A$3:$K$4986,9,FALSE)&amp;VLOOKUP(D1056,契約台帳!$A$3:$K$4986,11,FALSE))</f>
        <v>33SSNMCLBTEKV0V</v>
      </c>
      <c r="G1056" s="269" t="str">
        <f>IF(D1056="","",VLOOKUP(F1056,製品マスタ!$G$5:$H$5002,2,FALSE))</f>
        <v>S</v>
      </c>
      <c r="H1056" s="269" t="str">
        <f>IF(D1056="","",VLOOKUP(F1056,製品マスタ!$G$5:$K$5002,5,FALSE))</f>
        <v>TEKV0V</v>
      </c>
      <c r="I1056" s="270" t="str">
        <f>IF(D1056="","",VLOOKUP(F1056,製品マスタ!$G$5:$L$5002,6,FALSE))</f>
        <v>メタルミー　ＴＥ－Ｓ消　ＶＯＩＤ　Ｖ</v>
      </c>
      <c r="J1056" s="210" t="s">
        <v>447</v>
      </c>
      <c r="K1056" s="270">
        <f>IF(D1056="","",VLOOKUP(D1056,契約台帳!$A$3:$L$4986,12,FALSE))</f>
        <v>50</v>
      </c>
      <c r="L1056" s="270" t="str">
        <f>IF(D1056="","",INDEX(製品マスタ!$Q$5:$Q$5002,MATCH('S4'!F1056&amp;'S4'!K1056,製品マスタ!$AO$5:$AO$5002,0)))</f>
        <v>X44SEPA</v>
      </c>
      <c r="M1056" s="39">
        <v>1005</v>
      </c>
      <c r="N1056" s="39">
        <v>12000</v>
      </c>
      <c r="O1056" s="156">
        <v>1</v>
      </c>
      <c r="P1056" s="47">
        <v>1</v>
      </c>
      <c r="Q1056" s="57"/>
      <c r="R1056" s="271">
        <f ca="1">IF(D1056="","",IF(OFFSET(D1056,-1,0)&lt;&gt;"","",IF(OR(J1056="リード付け",J1056="巻足し",J1056="巻返しリード付け"),M1056,VLOOKUP(D1056,契約台帳!$A$3:$N$4986,14,FALSE))))</f>
        <v>1005</v>
      </c>
      <c r="S1056" s="272">
        <f ca="1">IF(D1056="","",IF(OFFSET(D1056,-1,0)&lt;&gt;"","",IF(OR(J1056="リード付け",J1056="巻足し",J1056="巻返しリード付け"),M1056,VLOOKUP(D1056,契約台帳!$A$3:$O$4986,15,FALSE))))</f>
        <v>1000</v>
      </c>
      <c r="T1056" s="273">
        <f ca="1">IF(D1056="","",IF(J1056="リード付け",N1056,IF(J1056="巻返しリード付け",N1056,IF(J1056="巻足し",N1056*P1056+OFFSET(N1056,1,0)*OFFSET(P1056,1,0),VLOOKUP(D1056,契約台帳!$A$3:$P$4986,16,FALSE)))))</f>
        <v>4000</v>
      </c>
      <c r="U1056" s="40">
        <v>3</v>
      </c>
      <c r="V1056" s="274">
        <f ca="1">IF(D1056="","",IF(OFFSET(D1056,-2,0)=D1056,"",VLOOKUP(D1056,契約台帳!$A$3:$R$4986,18,FALSE)))</f>
        <v>3</v>
      </c>
      <c r="W1056" s="269" t="str">
        <f ca="1">IF(D1056="","",IF(T1056="","",IF(OR(J1056="巻足し",J1056="巻返しリード付け"),"",IF(J1056="巻返し",VLOOKUP(F1056&amp;K1056&amp;M1056,製品マスタ!$M$5:$AD$5002,18,FALSE),IF(OR(J1056="リード付け",J1056="巻返しリード付け"),"原反コア",IF(J1056="スリット",VLOOKUP(F1056&amp;K1056&amp;R1056,製品マスタ!$N$5:$AD$5002,17,FALSE),""))))))</f>
        <v>6ｲﾝﾁSｺｱ</v>
      </c>
      <c r="X1056" s="269">
        <f ca="1">IF(D1056="","",IF(T1056="","",IF(J1056="巻足し","",IF(J1056="巻返し",VLOOKUP(F1056&amp;K1056&amp;M1056,製品マスタ!$M$5:$AE$5002,19,FALSE),IF(OR(J1056="リード付け",J1056="巻返しリード付け"),"",IF(J1056="スリット",VLOOKUP(F1056&amp;K1056&amp;R1056,製品マスタ!$N$5:$AE$5002,18,FALSE),""))))))</f>
        <v>1015</v>
      </c>
      <c r="Y1056" s="275">
        <f ca="1">IF(D1056="","",IF(T1056="","",VLOOKUP(D1056,契約台帳!$A$3:$Q$4986,17,FALSE)))</f>
        <v>2</v>
      </c>
      <c r="Z1056" s="269" t="str">
        <f ca="1">IF(D1056="","",IF(T1056="","",VLOOKUP(D1056,契約台帳!$A$3:$E$4986,5,FALSE)))</f>
        <v>リンテック㈱</v>
      </c>
      <c r="AA1056" s="57"/>
      <c r="AB1056" s="207"/>
      <c r="AC1056" s="33"/>
      <c r="AD1056" s="189"/>
      <c r="AE1056" s="54"/>
      <c r="AF1056" s="55"/>
      <c r="AG1056" s="43"/>
      <c r="AH1056" s="339"/>
      <c r="AI1056" s="30"/>
      <c r="AJ1056" s="30"/>
      <c r="AK1056" s="30"/>
      <c r="AL1056" s="30"/>
      <c r="AM1056" s="13"/>
      <c r="AN1056" s="13"/>
      <c r="AO1056" s="13"/>
      <c r="AP1056" s="13"/>
      <c r="AQ1056" s="13"/>
      <c r="AR1056" s="14"/>
      <c r="AS1056" s="15"/>
    </row>
    <row r="1057" spans="1:45" s="17" customFormat="1" ht="30.95" hidden="1" customHeight="1" x14ac:dyDescent="0.2">
      <c r="A1057" s="37"/>
      <c r="B1057" s="38"/>
      <c r="C1057" s="45"/>
      <c r="D1057" s="31"/>
      <c r="E1057" s="31"/>
      <c r="F1057" s="268"/>
      <c r="G1057" s="269"/>
      <c r="H1057" s="269"/>
      <c r="I1057" s="270"/>
      <c r="J1057" s="210"/>
      <c r="K1057" s="270"/>
      <c r="L1057" s="270"/>
      <c r="M1057" s="39"/>
      <c r="N1057" s="39"/>
      <c r="O1057" s="156"/>
      <c r="P1057" s="47"/>
      <c r="Q1057" s="57"/>
      <c r="R1057" s="338"/>
      <c r="S1057" s="272"/>
      <c r="T1057" s="273"/>
      <c r="U1057" s="40"/>
      <c r="V1057" s="277"/>
      <c r="W1057" s="269"/>
      <c r="X1057" s="269"/>
      <c r="Y1057" s="275"/>
      <c r="Z1057" s="269"/>
      <c r="AA1057" s="57"/>
      <c r="AB1057" s="207"/>
      <c r="AC1057" s="33"/>
      <c r="AD1057" s="189"/>
      <c r="AE1057" s="54"/>
      <c r="AF1057" s="55"/>
      <c r="AG1057" s="43"/>
      <c r="AH1057" s="339"/>
      <c r="AI1057" s="30"/>
      <c r="AJ1057" s="30"/>
      <c r="AK1057" s="30"/>
      <c r="AL1057" s="30"/>
      <c r="AM1057" s="13"/>
      <c r="AN1057" s="13"/>
      <c r="AO1057" s="13"/>
      <c r="AP1057" s="13"/>
      <c r="AQ1057" s="13"/>
      <c r="AR1057" s="14"/>
      <c r="AS1057" s="15"/>
    </row>
    <row r="1058" spans="1:45" s="17" customFormat="1" ht="30.95" hidden="1" customHeight="1" x14ac:dyDescent="0.2">
      <c r="A1058" s="37"/>
      <c r="B1058" s="38"/>
      <c r="C1058" s="45"/>
      <c r="D1058" s="31">
        <v>3723642</v>
      </c>
      <c r="E1058" s="31">
        <v>4141000</v>
      </c>
      <c r="F1058" s="268" t="str">
        <f>IF(D1058="","",VLOOKUP(D1058,契約台帳!$A$3:$K$4986,6,FALSE)&amp;VLOOKUP(D1058,契約台帳!$A$3:$K$4986,7,FALSE)&amp;VLOOKUP(D1058,契約台帳!$A$3:$K$4986,8,FALSE)&amp;VLOOKUP(D1058,契約台帳!$A$3:$K$4986,9,FALSE)&amp;VLOOKUP(D1058,契約台帳!$A$3:$K$4986,11,FALSE))</f>
        <v>33SSNMCLBTEKV0V</v>
      </c>
      <c r="G1058" s="269" t="str">
        <f>IF(D1058="","",VLOOKUP(F1058,製品マスタ!$G$5:$H$5002,2,FALSE))</f>
        <v>S</v>
      </c>
      <c r="H1058" s="269" t="str">
        <f>IF(D1058="","",VLOOKUP(F1058,製品マスタ!$G$5:$K$5002,5,FALSE))</f>
        <v>TEKV0V</v>
      </c>
      <c r="I1058" s="270" t="str">
        <f>IF(D1058="","",VLOOKUP(F1058,製品マスタ!$G$5:$L$5002,6,FALSE))</f>
        <v>メタルミー　ＴＥ－Ｓ消　ＶＯＩＤ　Ｖ</v>
      </c>
      <c r="J1058" s="210" t="s">
        <v>447</v>
      </c>
      <c r="K1058" s="270">
        <f>IF(D1058="","",VLOOKUP(D1058,契約台帳!$A$3:$L$4986,12,FALSE))</f>
        <v>50</v>
      </c>
      <c r="L1058" s="270" t="str">
        <f>IF(D1058="","",INDEX(製品マスタ!$Q$5:$Q$5002,MATCH('S4'!F1058&amp;'S4'!K1058,製品マスタ!$AO$5:$AO$5002,0)))</f>
        <v>X44SEPA</v>
      </c>
      <c r="M1058" s="39">
        <v>1005</v>
      </c>
      <c r="N1058" s="39">
        <v>12300</v>
      </c>
      <c r="O1058" s="156">
        <v>1</v>
      </c>
      <c r="P1058" s="47">
        <v>1</v>
      </c>
      <c r="Q1058" s="57"/>
      <c r="R1058" s="271">
        <f ca="1">IF(D1058="","",IF(OFFSET(D1058,-1,0)&lt;&gt;"","",IF(OR(J1058="リード付け",J1058="巻足し",J1058="巻返しリード付け"),M1058,VLOOKUP(D1058,契約台帳!$A$3:$N$4986,14,FALSE))))</f>
        <v>1005</v>
      </c>
      <c r="S1058" s="272">
        <f ca="1">IF(D1058="","",IF(OFFSET(D1058,-1,0)&lt;&gt;"","",IF(OR(J1058="リード付け",J1058="巻足し",J1058="巻返しリード付け"),M1058,VLOOKUP(D1058,契約台帳!$A$3:$O$4986,15,FALSE))))</f>
        <v>1000</v>
      </c>
      <c r="T1058" s="273">
        <f ca="1">IF(D1058="","",IF(J1058="リード付け",N1058,IF(J1058="巻返しリード付け",N1058,IF(J1058="巻足し",N1058*P1058+OFFSET(N1058,1,0)*OFFSET(P1058,1,0),VLOOKUP(D1058,契約台帳!$A$3:$P$4986,16,FALSE)))))</f>
        <v>4100</v>
      </c>
      <c r="U1058" s="40">
        <v>3</v>
      </c>
      <c r="V1058" s="274">
        <f ca="1">IF(D1058="","",IF(OFFSET(D1058,-2,0)=D1058,"",VLOOKUP(D1058,契約台帳!$A$3:$R$4986,18,FALSE)))</f>
        <v>3</v>
      </c>
      <c r="W1058" s="269" t="str">
        <f ca="1">IF(D1058="","",IF(T1058="","",IF(OR(J1058="巻足し",J1058="巻返しリード付け"),"",IF(J1058="巻返し",VLOOKUP(F1058&amp;K1058&amp;M1058,製品マスタ!$M$5:$AD$5002,18,FALSE),IF(OR(J1058="リード付け",J1058="巻返しリード付け"),"原反コア",IF(J1058="スリット",VLOOKUP(F1058&amp;K1058&amp;R1058,製品マスタ!$N$5:$AD$5002,17,FALSE),""))))))</f>
        <v>6ｲﾝﾁSｺｱ</v>
      </c>
      <c r="X1058" s="269">
        <f ca="1">IF(D1058="","",IF(T1058="","",IF(J1058="巻足し","",IF(J1058="巻返し",VLOOKUP(F1058&amp;K1058&amp;M1058,製品マスタ!$M$5:$AE$5002,19,FALSE),IF(OR(J1058="リード付け",J1058="巻返しリード付け"),"",IF(J1058="スリット",VLOOKUP(F1058&amp;K1058&amp;R1058,製品マスタ!$N$5:$AE$5002,18,FALSE),""))))))</f>
        <v>1015</v>
      </c>
      <c r="Y1058" s="275">
        <f ca="1">IF(D1058="","",IF(T1058="","",VLOOKUP(D1058,契約台帳!$A$3:$Q$4986,17,FALSE)))</f>
        <v>2</v>
      </c>
      <c r="Z1058" s="269" t="str">
        <f ca="1">IF(D1058="","",IF(T1058="","",VLOOKUP(D1058,契約台帳!$A$3:$E$4986,5,FALSE)))</f>
        <v>リンテック㈱</v>
      </c>
      <c r="AA1058" s="57"/>
      <c r="AB1058" s="207"/>
      <c r="AC1058" s="33"/>
      <c r="AD1058" s="189"/>
      <c r="AE1058" s="54"/>
      <c r="AF1058" s="55"/>
      <c r="AG1058" s="43"/>
      <c r="AH1058" s="339"/>
      <c r="AI1058" s="30"/>
      <c r="AJ1058" s="30"/>
      <c r="AK1058" s="30"/>
      <c r="AL1058" s="30"/>
      <c r="AM1058" s="13"/>
      <c r="AN1058" s="13"/>
      <c r="AO1058" s="13"/>
      <c r="AP1058" s="13"/>
      <c r="AQ1058" s="13"/>
      <c r="AR1058" s="14"/>
      <c r="AS1058" s="15"/>
    </row>
    <row r="1059" spans="1:45" s="17" customFormat="1" ht="30.95" hidden="1" customHeight="1" x14ac:dyDescent="0.2">
      <c r="A1059" s="37"/>
      <c r="B1059" s="38"/>
      <c r="C1059" s="45"/>
      <c r="D1059" s="31"/>
      <c r="E1059" s="31"/>
      <c r="F1059" s="268"/>
      <c r="G1059" s="269"/>
      <c r="H1059" s="269"/>
      <c r="I1059" s="270"/>
      <c r="J1059" s="210"/>
      <c r="K1059" s="270"/>
      <c r="L1059" s="270"/>
      <c r="M1059" s="39"/>
      <c r="N1059" s="39"/>
      <c r="O1059" s="156"/>
      <c r="P1059" s="47"/>
      <c r="Q1059" s="57"/>
      <c r="R1059" s="338"/>
      <c r="S1059" s="272"/>
      <c r="T1059" s="273"/>
      <c r="U1059" s="40"/>
      <c r="V1059" s="277"/>
      <c r="W1059" s="269"/>
      <c r="X1059" s="269"/>
      <c r="Y1059" s="275"/>
      <c r="Z1059" s="269"/>
      <c r="AA1059" s="57"/>
      <c r="AB1059" s="207"/>
      <c r="AC1059" s="33"/>
      <c r="AD1059" s="189"/>
      <c r="AE1059" s="54"/>
      <c r="AF1059" s="55"/>
      <c r="AG1059" s="43"/>
      <c r="AH1059" s="339"/>
      <c r="AI1059" s="30"/>
      <c r="AJ1059" s="30"/>
      <c r="AK1059" s="30"/>
      <c r="AL1059" s="30"/>
      <c r="AM1059" s="13"/>
      <c r="AN1059" s="13"/>
      <c r="AO1059" s="13"/>
      <c r="AP1059" s="13"/>
      <c r="AQ1059" s="13"/>
      <c r="AR1059" s="14"/>
      <c r="AS1059" s="15"/>
    </row>
    <row r="1060" spans="1:45" s="17" customFormat="1" ht="30.95" hidden="1" customHeight="1" x14ac:dyDescent="0.2">
      <c r="A1060" s="37" t="s">
        <v>570</v>
      </c>
      <c r="B1060" s="38" t="s">
        <v>444</v>
      </c>
      <c r="C1060" s="45"/>
      <c r="D1060" s="31">
        <v>3723645</v>
      </c>
      <c r="E1060" s="31">
        <v>4141001</v>
      </c>
      <c r="F1060" s="268" t="str">
        <f>IF(D1060="","",VLOOKUP(D1060,契約台帳!$A$3:$K$4986,6,FALSE)&amp;VLOOKUP(D1060,契約台帳!$A$3:$K$4986,7,FALSE)&amp;VLOOKUP(D1060,契約台帳!$A$3:$K$4986,8,FALSE)&amp;VLOOKUP(D1060,契約台帳!$A$3:$K$4986,9,FALSE)&amp;VLOOKUP(D1060,契約台帳!$A$3:$K$4986,11,FALSE))</f>
        <v>3SNMCLBHLGTV</v>
      </c>
      <c r="G1060" s="269" t="str">
        <f>IF(D1060="","",VLOOKUP(F1060,製品マスタ!$G$5:$H$5002,2,FALSE))</f>
        <v>S</v>
      </c>
      <c r="H1060" s="269" t="str">
        <f>IF(D1060="","",VLOOKUP(F1060,製品マスタ!$G$5:$K$5002,5,FALSE))</f>
        <v>HLGTV</v>
      </c>
      <c r="I1060" s="270" t="str">
        <f>IF(D1060="","",VLOOKUP(F1060,製品マスタ!$G$5:$L$5002,6,FALSE))</f>
        <v>メタルミー　ヘヤライン　銀艶Ｖ</v>
      </c>
      <c r="J1060" s="210" t="s">
        <v>447</v>
      </c>
      <c r="K1060" s="270">
        <f>IF(D1060="","",VLOOKUP(D1060,契約台帳!$A$3:$L$4986,12,FALSE))</f>
        <v>50</v>
      </c>
      <c r="L1060" s="270" t="str">
        <f>IF(D1060="","",INDEX(製品マスタ!$Q$5:$Q$5002,MATCH('S4'!F1060&amp;'S4'!K1060,製品マスタ!$AO$5:$AO$5002,0)))</f>
        <v>BRIGHT</v>
      </c>
      <c r="M1060" s="39">
        <v>1005</v>
      </c>
      <c r="N1060" s="39">
        <v>12300</v>
      </c>
      <c r="O1060" s="156">
        <v>1</v>
      </c>
      <c r="P1060" s="47">
        <v>1</v>
      </c>
      <c r="Q1060" s="57"/>
      <c r="R1060" s="271">
        <f ca="1">IF(D1060="","",IF(OFFSET(D1060,-1,0)&lt;&gt;"","",IF(OR(J1060="リード付け",J1060="巻足し",J1060="巻返しリード付け"),M1060,VLOOKUP(D1060,契約台帳!$A$3:$N$4986,14,FALSE))))</f>
        <v>1005</v>
      </c>
      <c r="S1060" s="272">
        <f ca="1">IF(D1060="","",IF(OFFSET(D1060,-1,0)&lt;&gt;"","",IF(OR(J1060="リード付け",J1060="巻足し",J1060="巻返しリード付け"),M1060,VLOOKUP(D1060,契約台帳!$A$3:$O$4986,15,FALSE))))</f>
        <v>1000</v>
      </c>
      <c r="T1060" s="273">
        <f ca="1">IF(D1060="","",IF(J1060="リード付け",N1060,IF(J1060="巻返しリード付け",N1060,IF(J1060="巻足し",N1060*P1060+OFFSET(N1060,1,0)*OFFSET(P1060,1,0),VLOOKUP(D1060,契約台帳!$A$3:$P$4986,16,FALSE)))))</f>
        <v>4100</v>
      </c>
      <c r="U1060" s="40">
        <v>1</v>
      </c>
      <c r="V1060" s="274">
        <f ca="1">IF(D1060="","",IF(OFFSET(D1060,-2,0)=D1060,"",VLOOKUP(D1060,契約台帳!$A$3:$R$4986,18,FALSE)))</f>
        <v>1</v>
      </c>
      <c r="W1060" s="269" t="str">
        <f ca="1">IF(D1060="","",IF(T1060="","",IF(OR(J1060="巻足し",J1060="巻返しリード付け"),"",IF(J1060="巻返し",VLOOKUP(F1060&amp;K1060&amp;M1060,製品マスタ!$M$5:$AD$5002,18,FALSE),IF(OR(J1060="リード付け",J1060="巻返しリード付け"),"原反コア",IF(J1060="スリット",VLOOKUP(F1060&amp;K1060&amp;R1060,製品マスタ!$N$5:$AD$5002,17,FALSE),""))))))</f>
        <v>6ｲﾝﾁSｺｱ</v>
      </c>
      <c r="X1060" s="269">
        <f ca="1">IF(D1060="","",IF(T1060="","",IF(J1060="巻足し","",IF(J1060="巻返し",VLOOKUP(F1060&amp;K1060&amp;M1060,製品マスタ!$M$5:$AE$5002,19,FALSE),IF(OR(J1060="リード付け",J1060="巻返しリード付け"),"",IF(J1060="スリット",VLOOKUP(F1060&amp;K1060&amp;R1060,製品マスタ!$N$5:$AE$5002,18,FALSE),""))))))</f>
        <v>1015</v>
      </c>
      <c r="Y1060" s="275">
        <f ca="1">IF(D1060="","",IF(T1060="","",VLOOKUP(D1060,契約台帳!$A$3:$Q$4986,17,FALSE)))</f>
        <v>2</v>
      </c>
      <c r="Z1060" s="269" t="str">
        <f ca="1">IF(D1060="","",IF(T1060="","",VLOOKUP(D1060,契約台帳!$A$3:$E$4986,5,FALSE)))</f>
        <v>リンテック㈱</v>
      </c>
      <c r="AA1060" s="57"/>
      <c r="AB1060" s="207">
        <f>IFERROR((VLOOKUP(F1060&amp;K1060&amp;M1060,製品マスタ!$M$5:$AM$5002,27,FALSE)),"")</f>
        <v>0</v>
      </c>
      <c r="AC1060" s="33"/>
      <c r="AD1060" s="189"/>
      <c r="AE1060" s="54"/>
      <c r="AF1060" s="55"/>
      <c r="AG1060" s="43"/>
      <c r="AH1060" s="47"/>
      <c r="AI1060" s="30"/>
      <c r="AJ1060" s="30"/>
      <c r="AK1060" s="30"/>
      <c r="AL1060" s="30"/>
      <c r="AM1060" s="13"/>
      <c r="AN1060" s="13"/>
      <c r="AO1060" s="13"/>
      <c r="AP1060" s="13"/>
      <c r="AQ1060" s="13"/>
      <c r="AR1060" s="14"/>
      <c r="AS1060" s="15"/>
    </row>
    <row r="1061" spans="1:45" s="17" customFormat="1" ht="30.95" hidden="1" customHeight="1" x14ac:dyDescent="0.2">
      <c r="A1061" s="37"/>
      <c r="B1061" s="38"/>
      <c r="C1061" s="45"/>
      <c r="D1061" s="31">
        <v>3725778</v>
      </c>
      <c r="E1061" s="31"/>
      <c r="F1061" s="268" t="str">
        <f>IF(D1061="","",VLOOKUP(D1061,契約台帳!$A$3:$K$4986,6,FALSE)&amp;VLOOKUP(D1061,契約台帳!$A$3:$K$4986,7,FALSE)&amp;VLOOKUP(D1061,契約台帳!$A$3:$K$4986,8,FALSE)&amp;VLOOKUP(D1061,契約台帳!$A$3:$K$4986,9,FALSE)&amp;VLOOKUP(D1061,契約台帳!$A$3:$K$4986,11,FALSE))</f>
        <v>3TNMCLBHLGTV</v>
      </c>
      <c r="G1061" s="269" t="str">
        <f>IF(D1061="","",VLOOKUP(F1061,製品マスタ!$G$5:$H$5002,2,FALSE))</f>
        <v>T</v>
      </c>
      <c r="H1061" s="269" t="str">
        <f>IF(D1061="","",VLOOKUP(F1061,製品マスタ!$G$5:$K$5002,5,FALSE))</f>
        <v>HLGTV</v>
      </c>
      <c r="I1061" s="270" t="str">
        <f>IF(D1061="","",VLOOKUP(F1061,製品マスタ!$G$5:$L$5002,6,FALSE))</f>
        <v>メタルミー　ヘヤライン　銀艶Ｖ</v>
      </c>
      <c r="J1061" s="210" t="s">
        <v>447</v>
      </c>
      <c r="K1061" s="270">
        <f>IF(D1061="","",VLOOKUP(D1061,契約台帳!$A$3:$L$4986,12,FALSE))</f>
        <v>50</v>
      </c>
      <c r="L1061" s="270" t="str">
        <f>IF(D1061="","",INDEX(製品マスタ!$Q$5:$Q$5002,MATCH('S4'!F1061&amp;'S4'!K1061,製品マスタ!$AO$5:$AO$5002,0)))</f>
        <v>BRIGHT</v>
      </c>
      <c r="M1061" s="39">
        <v>1005</v>
      </c>
      <c r="N1061" s="39"/>
      <c r="O1061" s="156"/>
      <c r="P1061" s="47"/>
      <c r="Q1061" s="57"/>
      <c r="R1061" s="271" t="str">
        <f ca="1">IF(D1061="","",IF(OFFSET(D1061,-1,0)&lt;&gt;"","",IF(OR(J1061="リード付け",J1061="巻足し",J1061="巻返しリード付け"),M1061,VLOOKUP(D1061,契約台帳!$A$3:$N$4986,14,FALSE))))</f>
        <v/>
      </c>
      <c r="S1061" s="272" t="str">
        <f ca="1">IF(D1061="","",IF(OFFSET(D1061,-1,0)&lt;&gt;"","",IF(OR(J1061="リード付け",J1061="巻足し",J1061="巻返しリード付け"),M1061,VLOOKUP(D1061,契約台帳!$A$3:$O$4986,15,FALSE))))</f>
        <v/>
      </c>
      <c r="T1061" s="273">
        <f ca="1">IF(D1061="","",IF(J1061="リード付け",N1061,IF(J1061="巻返しリード付け",N1061,IF(J1061="巻足し",N1061*P1061+OFFSET(N1061,1,0)*OFFSET(P1061,1,0),VLOOKUP(D1061,契約台帳!$A$3:$P$4986,16,FALSE)))))</f>
        <v>4100</v>
      </c>
      <c r="U1061" s="40">
        <v>2</v>
      </c>
      <c r="V1061" s="274">
        <f ca="1">IF(D1061="","",IF(OFFSET(D1061,-2,0)=D1061,"",VLOOKUP(D1061,契約台帳!$A$3:$R$4986,18,FALSE)))</f>
        <v>5</v>
      </c>
      <c r="W1061" s="269" t="str">
        <f ca="1">IF(D1061="","",IF(T1061="","",IF(OR(J1061="巻足し",J1061="巻返しリード付け"),"",IF(J1061="巻返し",VLOOKUP(F1061&amp;K1061&amp;M1061,製品マスタ!$M$5:$AD$5002,18,FALSE),IF(OR(J1061="リード付け",J1061="巻返しリード付け"),"原反コア",IF(J1061="スリット",VLOOKUP(F1061&amp;K1061&amp;R1061,製品マスタ!$N$5:$AD$5002,17,FALSE),""))))))</f>
        <v>6ｲﾝﾁSｺｱ</v>
      </c>
      <c r="X1061" s="269">
        <f ca="1">IF(D1061="","",IF(T1061="","",IF(J1061="巻足し","",IF(J1061="巻返し",VLOOKUP(F1061&amp;K1061&amp;M1061,製品マスタ!$M$5:$AE$5002,19,FALSE),IF(OR(J1061="リード付け",J1061="巻返しリード付け"),"",IF(J1061="スリット",VLOOKUP(F1061&amp;K1061&amp;R1061,製品マスタ!$N$5:$AE$5002,18,FALSE),""))))))</f>
        <v>1015</v>
      </c>
      <c r="Y1061" s="275">
        <f ca="1">IF(D1061="","",IF(T1061="","",VLOOKUP(D1061,契約台帳!$A$3:$Q$4986,17,FALSE)))</f>
        <v>2</v>
      </c>
      <c r="Z1061" s="269" t="str">
        <f ca="1">IF(D1061="","",IF(T1061="","",VLOOKUP(D1061,契約台帳!$A$3:$E$4986,5,FALSE)))</f>
        <v>リンテック㈱</v>
      </c>
      <c r="AA1061" s="57"/>
      <c r="AB1061" s="207" t="s">
        <v>774</v>
      </c>
      <c r="AC1061" s="33"/>
      <c r="AD1061" s="189"/>
      <c r="AE1061" s="54"/>
      <c r="AF1061" s="55"/>
      <c r="AG1061" s="43"/>
      <c r="AH1061" s="47"/>
      <c r="AI1061" s="30"/>
      <c r="AJ1061" s="30"/>
      <c r="AK1061" s="30"/>
      <c r="AL1061" s="30"/>
      <c r="AM1061" s="13"/>
      <c r="AN1061" s="13"/>
      <c r="AO1061" s="13"/>
      <c r="AP1061" s="13"/>
      <c r="AQ1061" s="13"/>
      <c r="AR1061" s="14"/>
      <c r="AS1061" s="15"/>
    </row>
    <row r="1062" spans="1:45" s="17" customFormat="1" ht="30.95" hidden="1" customHeight="1" x14ac:dyDescent="0.2">
      <c r="A1062" s="37"/>
      <c r="B1062" s="38"/>
      <c r="C1062" s="45"/>
      <c r="D1062" s="31"/>
      <c r="E1062" s="31"/>
      <c r="F1062" s="268"/>
      <c r="G1062" s="269"/>
      <c r="H1062" s="269"/>
      <c r="I1062" s="270"/>
      <c r="J1062" s="210"/>
      <c r="K1062" s="270"/>
      <c r="L1062" s="270"/>
      <c r="M1062" s="39"/>
      <c r="N1062" s="39"/>
      <c r="O1062" s="156"/>
      <c r="P1062" s="47"/>
      <c r="Q1062" s="57"/>
      <c r="R1062" s="271"/>
      <c r="S1062" s="272"/>
      <c r="T1062" s="273"/>
      <c r="U1062" s="40"/>
      <c r="V1062" s="274"/>
      <c r="W1062" s="269"/>
      <c r="X1062" s="269"/>
      <c r="Y1062" s="275"/>
      <c r="Z1062" s="269"/>
      <c r="AA1062" s="57"/>
      <c r="AB1062" s="207"/>
      <c r="AC1062" s="33"/>
      <c r="AD1062" s="189"/>
      <c r="AE1062" s="54"/>
      <c r="AF1062" s="55"/>
      <c r="AG1062" s="43"/>
      <c r="AH1062" s="47"/>
      <c r="AI1062" s="30"/>
      <c r="AJ1062" s="30"/>
      <c r="AK1062" s="30"/>
      <c r="AL1062" s="30"/>
      <c r="AM1062" s="13"/>
      <c r="AN1062" s="13"/>
      <c r="AO1062" s="13"/>
      <c r="AP1062" s="13"/>
      <c r="AQ1062" s="13"/>
      <c r="AR1062" s="14"/>
      <c r="AS1062" s="15"/>
    </row>
    <row r="1063" spans="1:45" s="17" customFormat="1" ht="30.95" hidden="1" customHeight="1" x14ac:dyDescent="0.2">
      <c r="A1063" s="37"/>
      <c r="B1063" s="38"/>
      <c r="C1063" s="45"/>
      <c r="D1063" s="31">
        <v>3724504</v>
      </c>
      <c r="E1063" s="31">
        <v>4141013</v>
      </c>
      <c r="F1063" s="268" t="str">
        <f>IF(D1063="","",VLOOKUP(D1063,契約台帳!$A$3:$K$4986,6,FALSE)&amp;VLOOKUP(D1063,契約台帳!$A$3:$K$4986,7,FALSE)&amp;VLOOKUP(D1063,契約台帳!$A$3:$K$4986,8,FALSE)&amp;VLOOKUP(D1063,契約台帳!$A$3:$K$4986,9,FALSE)&amp;VLOOKUP(D1063,契約台帳!$A$3:$K$4986,11,FALSE))</f>
        <v>3TNMCLBHLGKJV</v>
      </c>
      <c r="G1063" s="269" t="str">
        <f>IF(D1063="","",VLOOKUP(F1063,製品マスタ!$G$5:$H$5002,2,FALSE))</f>
        <v>T</v>
      </c>
      <c r="H1063" s="269" t="str">
        <f>IF(D1063="","",VLOOKUP(F1063,製品マスタ!$G$5:$K$5002,5,FALSE))</f>
        <v>HLGKJV</v>
      </c>
      <c r="I1063" s="270" t="str">
        <f>IF(D1063="","",VLOOKUP(F1063,製品マスタ!$G$5:$L$5002,6,FALSE))</f>
        <v>メタルミー　ヘヤライン　銀消Ｖ</v>
      </c>
      <c r="J1063" s="210" t="s">
        <v>447</v>
      </c>
      <c r="K1063" s="270">
        <f>IF(D1063="","",VLOOKUP(D1063,契約台帳!$A$3:$L$4986,12,FALSE))</f>
        <v>50</v>
      </c>
      <c r="L1063" s="270" t="str">
        <f>IF(D1063="","",INDEX(製品マスタ!$Q$5:$Q$5002,MATCH('S4'!F1063&amp;'S4'!K1063,製品マスタ!$AO$5:$AO$5002,0)))</f>
        <v>HL-MAT</v>
      </c>
      <c r="M1063" s="39">
        <v>1005</v>
      </c>
      <c r="N1063" s="39">
        <v>8000</v>
      </c>
      <c r="O1063" s="156">
        <v>1</v>
      </c>
      <c r="P1063" s="47">
        <v>1</v>
      </c>
      <c r="Q1063" s="57"/>
      <c r="R1063" s="271">
        <f ca="1">IF(D1063="","",IF(OFFSET(D1063,-1,0)&lt;&gt;"","",IF(OR(J1063="リード付け",J1063="巻足し",J1063="巻返しリード付け"),M1063,VLOOKUP(D1063,契約台帳!$A$3:$N$4986,14,FALSE))))</f>
        <v>1005</v>
      </c>
      <c r="S1063" s="272">
        <f ca="1">IF(D1063="","",IF(OFFSET(D1063,-1,0)&lt;&gt;"","",IF(OR(J1063="リード付け",J1063="巻足し",J1063="巻返しリード付け"),M1063,VLOOKUP(D1063,契約台帳!$A$3:$O$4986,15,FALSE))))</f>
        <v>1000</v>
      </c>
      <c r="T1063" s="273">
        <f ca="1">IF(D1063="","",IF(J1063="リード付け",N1063,IF(J1063="巻返しリード付け",N1063,IF(J1063="巻足し",N1063*P1063+OFFSET(N1063,1,0)*OFFSET(P1063,1,0),VLOOKUP(D1063,契約台帳!$A$3:$P$4986,16,FALSE)))))</f>
        <v>2000</v>
      </c>
      <c r="U1063" s="40">
        <v>4</v>
      </c>
      <c r="V1063" s="274">
        <f ca="1">IF(D1063="","",IF(OFFSET(D1063,-2,0)=D1063,"",VLOOKUP(D1063,契約台帳!$A$3:$R$4986,18,FALSE)))</f>
        <v>4</v>
      </c>
      <c r="W1063" s="269" t="str">
        <f ca="1">IF(D1063="","",IF(T1063="","",IF(OR(J1063="巻足し",J1063="巻返しリード付け"),"",IF(J1063="巻返し",VLOOKUP(F1063&amp;K1063&amp;M1063,製品マスタ!$M$5:$AD$5002,18,FALSE),IF(OR(J1063="リード付け",J1063="巻返しリード付け"),"原反コア",IF(J1063="スリット",VLOOKUP(F1063&amp;K1063&amp;R1063,製品マスタ!$N$5:$AD$5002,17,FALSE),""))))))</f>
        <v>6ｲﾝﾁSｺｱ</v>
      </c>
      <c r="X1063" s="269">
        <f ca="1">IF(D1063="","",IF(T1063="","",IF(J1063="巻足し","",IF(J1063="巻返し",VLOOKUP(F1063&amp;K1063&amp;M1063,製品マスタ!$M$5:$AE$5002,19,FALSE),IF(OR(J1063="リード付け",J1063="巻返しリード付け"),"",IF(J1063="スリット",VLOOKUP(F1063&amp;K1063&amp;R1063,製品マスタ!$N$5:$AE$5002,18,FALSE),""))))))</f>
        <v>1015</v>
      </c>
      <c r="Y1063" s="275">
        <f ca="1">IF(D1063="","",IF(T1063="","",VLOOKUP(D1063,契約台帳!$A$3:$Q$4986,17,FALSE)))</f>
        <v>2</v>
      </c>
      <c r="Z1063" s="269" t="str">
        <f ca="1">IF(D1063="","",IF(T1063="","",VLOOKUP(D1063,契約台帳!$A$3:$E$4986,5,FALSE)))</f>
        <v>リンテック㈱</v>
      </c>
      <c r="AA1063" s="57"/>
      <c r="AB1063" s="207" t="s">
        <v>774</v>
      </c>
      <c r="AC1063" s="33"/>
      <c r="AD1063" s="189"/>
      <c r="AE1063" s="54"/>
      <c r="AF1063" s="55"/>
      <c r="AG1063" s="43"/>
      <c r="AH1063" s="47"/>
      <c r="AI1063" s="30"/>
      <c r="AJ1063" s="30"/>
      <c r="AK1063" s="30"/>
      <c r="AL1063" s="30"/>
      <c r="AM1063" s="13"/>
      <c r="AN1063" s="13"/>
      <c r="AO1063" s="13"/>
      <c r="AP1063" s="13"/>
      <c r="AQ1063" s="13"/>
      <c r="AR1063" s="14"/>
      <c r="AS1063" s="15"/>
    </row>
    <row r="1064" spans="1:45" s="17" customFormat="1" ht="30.95" hidden="1" customHeight="1" x14ac:dyDescent="0.2">
      <c r="A1064" s="37"/>
      <c r="B1064" s="38"/>
      <c r="C1064" s="45"/>
      <c r="D1064" s="31"/>
      <c r="E1064" s="31"/>
      <c r="F1064" s="268"/>
      <c r="G1064" s="269"/>
      <c r="H1064" s="269"/>
      <c r="I1064" s="270"/>
      <c r="J1064" s="210"/>
      <c r="K1064" s="270"/>
      <c r="L1064" s="270"/>
      <c r="M1064" s="39"/>
      <c r="N1064" s="39"/>
      <c r="O1064" s="156"/>
      <c r="P1064" s="47"/>
      <c r="Q1064" s="57"/>
      <c r="R1064" s="338"/>
      <c r="S1064" s="272"/>
      <c r="T1064" s="273"/>
      <c r="U1064" s="40"/>
      <c r="V1064" s="277"/>
      <c r="W1064" s="269"/>
      <c r="X1064" s="269"/>
      <c r="Y1064" s="275"/>
      <c r="Z1064" s="269"/>
      <c r="AA1064" s="57"/>
      <c r="AB1064" s="207"/>
      <c r="AC1064" s="33"/>
      <c r="AD1064" s="189"/>
      <c r="AE1064" s="54"/>
      <c r="AF1064" s="55"/>
      <c r="AG1064" s="43"/>
      <c r="AH1064" s="47"/>
      <c r="AI1064" s="30"/>
      <c r="AJ1064" s="30"/>
      <c r="AK1064" s="30"/>
      <c r="AL1064" s="30"/>
      <c r="AM1064" s="13"/>
      <c r="AN1064" s="13"/>
      <c r="AO1064" s="13"/>
      <c r="AP1064" s="13"/>
      <c r="AQ1064" s="13"/>
      <c r="AR1064" s="14"/>
      <c r="AS1064" s="15"/>
    </row>
    <row r="1065" spans="1:45" s="17" customFormat="1" ht="30.95" hidden="1" customHeight="1" x14ac:dyDescent="0.2">
      <c r="A1065" s="37" t="s">
        <v>1455</v>
      </c>
      <c r="B1065" s="38" t="s">
        <v>1456</v>
      </c>
      <c r="C1065" s="45"/>
      <c r="D1065" s="31"/>
      <c r="E1065" s="31"/>
      <c r="F1065" s="268"/>
      <c r="G1065" s="269"/>
      <c r="H1065" s="269"/>
      <c r="I1065" s="270"/>
      <c r="J1065" s="210" t="s">
        <v>490</v>
      </c>
      <c r="K1065" s="270"/>
      <c r="L1065" s="270"/>
      <c r="M1065" s="39"/>
      <c r="N1065" s="39"/>
      <c r="O1065" s="156"/>
      <c r="P1065" s="47"/>
      <c r="Q1065" s="57"/>
      <c r="R1065" s="338"/>
      <c r="S1065" s="272"/>
      <c r="T1065" s="273"/>
      <c r="U1065" s="40"/>
      <c r="V1065" s="277"/>
      <c r="W1065" s="269"/>
      <c r="X1065" s="269"/>
      <c r="Y1065" s="275"/>
      <c r="Z1065" s="269"/>
      <c r="AA1065" s="57"/>
      <c r="AB1065" s="207"/>
      <c r="AC1065" s="33"/>
      <c r="AD1065" s="189"/>
      <c r="AE1065" s="54"/>
      <c r="AF1065" s="55"/>
      <c r="AG1065" s="43"/>
      <c r="AH1065" s="47"/>
      <c r="AI1065" s="30"/>
      <c r="AJ1065" s="30"/>
      <c r="AK1065" s="30"/>
      <c r="AL1065" s="30"/>
      <c r="AM1065" s="13"/>
      <c r="AN1065" s="13"/>
      <c r="AO1065" s="13"/>
      <c r="AP1065" s="13"/>
      <c r="AQ1065" s="13"/>
      <c r="AR1065" s="14"/>
      <c r="AS1065" s="15"/>
    </row>
    <row r="1066" spans="1:45" s="17" customFormat="1" ht="30.95" hidden="1" customHeight="1" x14ac:dyDescent="0.2">
      <c r="A1066" s="37"/>
      <c r="B1066" s="38"/>
      <c r="C1066" s="45"/>
      <c r="D1066" s="31"/>
      <c r="E1066" s="31"/>
      <c r="F1066" s="268"/>
      <c r="G1066" s="269"/>
      <c r="H1066" s="269"/>
      <c r="I1066" s="270"/>
      <c r="J1066" s="210"/>
      <c r="K1066" s="270"/>
      <c r="L1066" s="270"/>
      <c r="M1066" s="39"/>
      <c r="N1066" s="39"/>
      <c r="O1066" s="156"/>
      <c r="P1066" s="47"/>
      <c r="Q1066" s="57"/>
      <c r="R1066" s="338"/>
      <c r="S1066" s="272"/>
      <c r="T1066" s="273"/>
      <c r="U1066" s="40"/>
      <c r="V1066" s="277"/>
      <c r="W1066" s="269"/>
      <c r="X1066" s="269"/>
      <c r="Y1066" s="275"/>
      <c r="Z1066" s="269"/>
      <c r="AA1066" s="57"/>
      <c r="AB1066" s="207"/>
      <c r="AC1066" s="33"/>
      <c r="AD1066" s="189"/>
      <c r="AE1066" s="54"/>
      <c r="AF1066" s="55"/>
      <c r="AG1066" s="43"/>
      <c r="AH1066" s="47"/>
      <c r="AI1066" s="30"/>
      <c r="AJ1066" s="30"/>
      <c r="AK1066" s="30"/>
      <c r="AL1066" s="30"/>
      <c r="AM1066" s="13"/>
      <c r="AN1066" s="13"/>
      <c r="AO1066" s="13"/>
      <c r="AP1066" s="13"/>
      <c r="AQ1066" s="13"/>
      <c r="AR1066" s="14"/>
      <c r="AS1066" s="15"/>
    </row>
    <row r="1067" spans="1:45" s="17" customFormat="1" ht="30.95" hidden="1" customHeight="1" x14ac:dyDescent="0.2">
      <c r="A1067" s="37" t="s">
        <v>1457</v>
      </c>
      <c r="B1067" s="38" t="s">
        <v>1458</v>
      </c>
      <c r="C1067" s="45"/>
      <c r="D1067" s="31"/>
      <c r="E1067" s="31"/>
      <c r="F1067" s="268"/>
      <c r="G1067" s="269"/>
      <c r="H1067" s="269"/>
      <c r="I1067" s="270"/>
      <c r="J1067" s="210" t="s">
        <v>1459</v>
      </c>
      <c r="K1067" s="270"/>
      <c r="L1067" s="270"/>
      <c r="M1067" s="39"/>
      <c r="N1067" s="39"/>
      <c r="O1067" s="156"/>
      <c r="P1067" s="47"/>
      <c r="Q1067" s="57"/>
      <c r="R1067" s="338"/>
      <c r="S1067" s="272"/>
      <c r="T1067" s="273"/>
      <c r="U1067" s="40"/>
      <c r="V1067" s="277"/>
      <c r="W1067" s="269"/>
      <c r="X1067" s="269"/>
      <c r="Y1067" s="275"/>
      <c r="Z1067" s="269"/>
      <c r="AA1067" s="57"/>
      <c r="AB1067" s="207"/>
      <c r="AC1067" s="33"/>
      <c r="AD1067" s="189"/>
      <c r="AE1067" s="54"/>
      <c r="AF1067" s="55"/>
      <c r="AG1067" s="43"/>
      <c r="AH1067" s="47"/>
      <c r="AI1067" s="30"/>
      <c r="AJ1067" s="30"/>
      <c r="AK1067" s="30"/>
      <c r="AL1067" s="30"/>
      <c r="AM1067" s="13"/>
      <c r="AN1067" s="13"/>
      <c r="AO1067" s="13"/>
      <c r="AP1067" s="13"/>
      <c r="AQ1067" s="13"/>
      <c r="AR1067" s="14"/>
      <c r="AS1067" s="15"/>
    </row>
    <row r="1068" spans="1:45" s="17" customFormat="1" ht="30.95" hidden="1" customHeight="1" x14ac:dyDescent="0.2">
      <c r="A1068" s="37"/>
      <c r="B1068" s="38"/>
      <c r="C1068" s="45"/>
      <c r="D1068" s="31"/>
      <c r="E1068" s="31"/>
      <c r="F1068" s="268"/>
      <c r="G1068" s="269"/>
      <c r="H1068" s="269"/>
      <c r="I1068" s="270"/>
      <c r="J1068" s="210"/>
      <c r="K1068" s="270"/>
      <c r="L1068" s="270"/>
      <c r="M1068" s="39"/>
      <c r="N1068" s="39"/>
      <c r="O1068" s="156"/>
      <c r="P1068" s="47"/>
      <c r="Q1068" s="57"/>
      <c r="R1068" s="338"/>
      <c r="S1068" s="272"/>
      <c r="T1068" s="273"/>
      <c r="U1068" s="40"/>
      <c r="V1068" s="277"/>
      <c r="W1068" s="269"/>
      <c r="X1068" s="269"/>
      <c r="Y1068" s="275"/>
      <c r="Z1068" s="269"/>
      <c r="AA1068" s="57"/>
      <c r="AB1068" s="207"/>
      <c r="AC1068" s="33"/>
      <c r="AD1068" s="189"/>
      <c r="AE1068" s="54"/>
      <c r="AF1068" s="55"/>
      <c r="AG1068" s="43"/>
      <c r="AH1068" s="47"/>
      <c r="AI1068" s="30"/>
      <c r="AJ1068" s="30"/>
      <c r="AK1068" s="30"/>
      <c r="AL1068" s="30"/>
      <c r="AM1068" s="13"/>
      <c r="AN1068" s="13"/>
      <c r="AO1068" s="13"/>
      <c r="AP1068" s="13"/>
      <c r="AQ1068" s="13"/>
      <c r="AR1068" s="14"/>
      <c r="AS1068" s="15"/>
    </row>
    <row r="1069" spans="1:45" s="17" customFormat="1" ht="30.95" hidden="1" customHeight="1" x14ac:dyDescent="0.2">
      <c r="A1069" s="37" t="s">
        <v>1460</v>
      </c>
      <c r="B1069" s="38" t="s">
        <v>1461</v>
      </c>
      <c r="C1069" s="45"/>
      <c r="D1069" s="31"/>
      <c r="E1069" s="31"/>
      <c r="F1069" s="268"/>
      <c r="G1069" s="269"/>
      <c r="H1069" s="269"/>
      <c r="I1069" s="270"/>
      <c r="J1069" s="210" t="s">
        <v>489</v>
      </c>
      <c r="K1069" s="270"/>
      <c r="L1069" s="270"/>
      <c r="M1069" s="39"/>
      <c r="N1069" s="39"/>
      <c r="O1069" s="156"/>
      <c r="P1069" s="47"/>
      <c r="Q1069" s="57"/>
      <c r="R1069" s="338"/>
      <c r="S1069" s="272"/>
      <c r="T1069" s="273"/>
      <c r="U1069" s="40"/>
      <c r="V1069" s="277"/>
      <c r="W1069" s="269"/>
      <c r="X1069" s="269"/>
      <c r="Y1069" s="275"/>
      <c r="Z1069" s="269"/>
      <c r="AA1069" s="57"/>
      <c r="AB1069" s="207"/>
      <c r="AC1069" s="33"/>
      <c r="AD1069" s="189"/>
      <c r="AE1069" s="54"/>
      <c r="AF1069" s="55"/>
      <c r="AG1069" s="43"/>
      <c r="AH1069" s="47"/>
      <c r="AI1069" s="30"/>
      <c r="AJ1069" s="30"/>
      <c r="AK1069" s="30"/>
      <c r="AL1069" s="30"/>
      <c r="AM1069" s="13"/>
      <c r="AN1069" s="13"/>
      <c r="AO1069" s="13"/>
      <c r="AP1069" s="13"/>
      <c r="AQ1069" s="13"/>
      <c r="AR1069" s="14"/>
      <c r="AS1069" s="15"/>
    </row>
    <row r="1070" spans="1:45" s="17" customFormat="1" ht="30.95" hidden="1" customHeight="1" x14ac:dyDescent="0.2">
      <c r="A1070" s="37"/>
      <c r="B1070" s="38"/>
      <c r="C1070" s="45"/>
      <c r="D1070" s="31"/>
      <c r="E1070" s="31"/>
      <c r="F1070" s="268"/>
      <c r="G1070" s="269"/>
      <c r="H1070" s="269"/>
      <c r="I1070" s="270"/>
      <c r="J1070" s="210"/>
      <c r="K1070" s="270"/>
      <c r="L1070" s="270"/>
      <c r="M1070" s="39"/>
      <c r="N1070" s="39"/>
      <c r="O1070" s="156"/>
      <c r="P1070" s="47"/>
      <c r="Q1070" s="57"/>
      <c r="R1070" s="338"/>
      <c r="S1070" s="272"/>
      <c r="T1070" s="273"/>
      <c r="U1070" s="40"/>
      <c r="V1070" s="277"/>
      <c r="W1070" s="269"/>
      <c r="X1070" s="269"/>
      <c r="Y1070" s="275"/>
      <c r="Z1070" s="269"/>
      <c r="AA1070" s="57"/>
      <c r="AB1070" s="207"/>
      <c r="AC1070" s="33"/>
      <c r="AD1070" s="189"/>
      <c r="AE1070" s="54"/>
      <c r="AF1070" s="55"/>
      <c r="AG1070" s="43"/>
      <c r="AH1070" s="47"/>
      <c r="AI1070" s="30"/>
      <c r="AJ1070" s="30"/>
      <c r="AK1070" s="30"/>
      <c r="AL1070" s="30"/>
      <c r="AM1070" s="13"/>
      <c r="AN1070" s="13"/>
      <c r="AO1070" s="13"/>
      <c r="AP1070" s="13"/>
      <c r="AQ1070" s="13"/>
      <c r="AR1070" s="14"/>
      <c r="AS1070" s="15"/>
    </row>
    <row r="1071" spans="1:45" s="17" customFormat="1" ht="30.95" hidden="1" customHeight="1" x14ac:dyDescent="0.2">
      <c r="A1071" s="37" t="s">
        <v>573</v>
      </c>
      <c r="B1071" s="38" t="s">
        <v>688</v>
      </c>
      <c r="C1071" s="45"/>
      <c r="D1071" s="31"/>
      <c r="E1071" s="31"/>
      <c r="F1071" s="268"/>
      <c r="G1071" s="269"/>
      <c r="H1071" s="269"/>
      <c r="I1071" s="270"/>
      <c r="J1071" s="210" t="s">
        <v>489</v>
      </c>
      <c r="K1071" s="270"/>
      <c r="L1071" s="270"/>
      <c r="M1071" s="39"/>
      <c r="N1071" s="39"/>
      <c r="O1071" s="156"/>
      <c r="P1071" s="47"/>
      <c r="Q1071" s="57"/>
      <c r="R1071" s="338"/>
      <c r="S1071" s="272"/>
      <c r="T1071" s="273"/>
      <c r="U1071" s="40"/>
      <c r="V1071" s="277"/>
      <c r="W1071" s="269"/>
      <c r="X1071" s="269"/>
      <c r="Y1071" s="275"/>
      <c r="Z1071" s="269"/>
      <c r="AA1071" s="57"/>
      <c r="AB1071" s="207"/>
      <c r="AC1071" s="33"/>
      <c r="AD1071" s="189"/>
      <c r="AE1071" s="54"/>
      <c r="AF1071" s="55"/>
      <c r="AG1071" s="43"/>
      <c r="AH1071" s="47"/>
      <c r="AI1071" s="30"/>
      <c r="AJ1071" s="30"/>
      <c r="AK1071" s="30"/>
      <c r="AL1071" s="30"/>
      <c r="AM1071" s="13"/>
      <c r="AN1071" s="13"/>
      <c r="AO1071" s="13"/>
      <c r="AP1071" s="13"/>
      <c r="AQ1071" s="13"/>
      <c r="AR1071" s="14"/>
      <c r="AS1071" s="15"/>
    </row>
    <row r="1072" spans="1:45" s="17" customFormat="1" ht="30.95" hidden="1" customHeight="1" x14ac:dyDescent="0.2">
      <c r="A1072" s="37"/>
      <c r="B1072" s="38"/>
      <c r="C1072" s="45"/>
      <c r="D1072" s="31"/>
      <c r="E1072" s="31"/>
      <c r="F1072" s="268"/>
      <c r="G1072" s="269"/>
      <c r="H1072" s="269"/>
      <c r="I1072" s="270"/>
      <c r="J1072" s="210"/>
      <c r="K1072" s="270"/>
      <c r="L1072" s="270"/>
      <c r="M1072" s="39"/>
      <c r="N1072" s="39"/>
      <c r="O1072" s="156"/>
      <c r="P1072" s="47"/>
      <c r="Q1072" s="57"/>
      <c r="R1072" s="338"/>
      <c r="S1072" s="272"/>
      <c r="T1072" s="273"/>
      <c r="U1072" s="40"/>
      <c r="V1072" s="277"/>
      <c r="W1072" s="269"/>
      <c r="X1072" s="269"/>
      <c r="Y1072" s="275"/>
      <c r="Z1072" s="269"/>
      <c r="AA1072" s="57"/>
      <c r="AB1072" s="207"/>
      <c r="AC1072" s="33"/>
      <c r="AD1072" s="189"/>
      <c r="AE1072" s="54"/>
      <c r="AF1072" s="55"/>
      <c r="AG1072" s="43"/>
      <c r="AH1072" s="47"/>
      <c r="AI1072" s="30"/>
      <c r="AJ1072" s="30"/>
      <c r="AK1072" s="30"/>
      <c r="AL1072" s="30"/>
      <c r="AM1072" s="13"/>
      <c r="AN1072" s="13"/>
      <c r="AO1072" s="13"/>
      <c r="AP1072" s="13"/>
      <c r="AQ1072" s="13"/>
      <c r="AR1072" s="14"/>
      <c r="AS1072" s="15"/>
    </row>
    <row r="1073" spans="1:45" s="17" customFormat="1" ht="30.95" hidden="1" customHeight="1" x14ac:dyDescent="0.2">
      <c r="A1073" s="37"/>
      <c r="B1073" s="38"/>
      <c r="C1073" s="45"/>
      <c r="D1073" s="31">
        <v>3727587</v>
      </c>
      <c r="E1073" s="31">
        <v>4162085</v>
      </c>
      <c r="F1073" s="268" t="str">
        <f>IF(D1073="","",VLOOKUP(D1073,契約台帳!$A$3:$K$4986,6,FALSE)&amp;VLOOKUP(D1073,契約台帳!$A$3:$K$4986,7,FALSE)&amp;VLOOKUP(D1073,契約台帳!$A$3:$K$4986,8,FALSE)&amp;VLOOKUP(D1073,契約台帳!$A$3:$K$4986,9,FALSE)&amp;VLOOKUP(D1073,契約台帳!$A$3:$K$4986,11,FALSE))</f>
        <v>3SNMLBMTSF</v>
      </c>
      <c r="G1073" s="269" t="str">
        <f>IF(D1073="","",VLOOKUP(F1073,製品マスタ!$G$5:$H$5002,2,FALSE))</f>
        <v>S</v>
      </c>
      <c r="H1073" s="269" t="str">
        <f>IF(D1073="","",VLOOKUP(F1073,製品マスタ!$G$5:$K$5002,5,FALSE))</f>
        <v>MTSF</v>
      </c>
      <c r="I1073" s="270" t="str">
        <f>IF(D1073="","",VLOOKUP(F1073,製品マスタ!$G$5:$L$5002,6,FALSE))</f>
        <v>メタルミー　ＴＳ</v>
      </c>
      <c r="J1073" s="210" t="s">
        <v>935</v>
      </c>
      <c r="K1073" s="270">
        <f>IF(D1073="","",VLOOKUP(D1073,契約台帳!$A$3:$L$4986,12,FALSE))</f>
        <v>50</v>
      </c>
      <c r="L1073" s="270" t="str">
        <f>IF(D1073="","",INDEX(製品マスタ!$Q$5:$Q$5002,MATCH('S4'!F1073&amp;'S4'!K1073,製品マスタ!$AO$5:$AO$5002,0)))</f>
        <v>T62M</v>
      </c>
      <c r="M1073" s="39">
        <v>1255</v>
      </c>
      <c r="N1073" s="39">
        <v>6100</v>
      </c>
      <c r="O1073" s="156">
        <v>2</v>
      </c>
      <c r="P1073" s="47">
        <v>2</v>
      </c>
      <c r="Q1073" s="213">
        <v>45194</v>
      </c>
      <c r="R1073" s="271">
        <f ca="1">IF(D1073="","",IF(OFFSET(D1073,-1,0)&lt;&gt;"","",IF(OR(J1073="リード付け",J1073="巻足し",J1073="巻返しリード付け"),M1073,VLOOKUP(D1073,契約台帳!$A$3:$N$4986,14,FALSE))))</f>
        <v>1255</v>
      </c>
      <c r="S1073" s="272">
        <f ca="1">IF(D1073="","",IF(OFFSET(D1073,-1,0)&lt;&gt;"","",IF(OR(J1073="リード付け",J1073="巻足し",J1073="巻返しリード付け"),M1073,VLOOKUP(D1073,契約台帳!$A$3:$O$4986,15,FALSE))))</f>
        <v>1255</v>
      </c>
      <c r="T1073" s="273">
        <f ca="1">IF(D1073="","",IF(J1073="リード付け",N1073,IF(J1073="巻返しリード付け",N1073,IF(J1073="巻足し",N1073*P1073+OFFSET(N1073,1,0)*OFFSET(P1073,1,0),VLOOKUP(D1073,契約台帳!$A$3:$P$4986,16,FALSE)))))</f>
        <v>12200</v>
      </c>
      <c r="U1073" s="40">
        <v>1</v>
      </c>
      <c r="V1073" s="274">
        <f ca="1">IF(D1073="","",IF(OFFSET(D1073,-2,0)=D1073,"",VLOOKUP(D1073,契約台帳!$A$3:$R$4986,18,FALSE)))</f>
        <v>9</v>
      </c>
      <c r="W1073" s="269" t="str">
        <f ca="1">IF(D1073="","",IF(T1073="","",IF(OR(J1073="巻足し",J1073="巻返しリード付け"),"",IF(J1073="巻返し",VLOOKUP(F1073&amp;K1073&amp;M1073,製品マスタ!$M$5:$AD$5002,18,FALSE),IF(OR(J1073="リード付け",J1073="巻返しリード付け"),"原反コア",IF(J1073="スリット",VLOOKUP(F1073&amp;K1073&amp;R1073,製品マスタ!$N$5:$AD$5002,17,FALSE),""))))))</f>
        <v/>
      </c>
      <c r="X1073" s="269" t="str">
        <f ca="1">IF(D1073="","",IF(T1073="","",IF(J1073="巻足し","",IF(J1073="巻返し",VLOOKUP(F1073&amp;K1073&amp;M1073,製品マスタ!$M$5:$AE$5002,19,FALSE),IF(OR(J1073="リード付け",J1073="巻返しリード付け"),"",IF(J1073="スリット",VLOOKUP(F1073&amp;K1073&amp;R1073,製品マスタ!$N$5:$AE$5002,18,FALSE),""))))))</f>
        <v/>
      </c>
      <c r="Y1073" s="275">
        <f ca="1">IF(D1073="","",IF(T1073="","",VLOOKUP(D1073,契約台帳!$A$3:$Q$4986,17,FALSE)))</f>
        <v>2</v>
      </c>
      <c r="Z1073" s="269" t="str">
        <f ca="1">IF(D1073="","",IF(T1073="","",VLOOKUP(D1073,契約台帳!$A$3:$E$4986,5,FALSE)))</f>
        <v xml:space="preserve">日東電工㈱豊橋工場  </v>
      </c>
      <c r="AA1073" s="57"/>
      <c r="AB1073" s="207">
        <f>IFERROR((VLOOKUP(F1073&amp;K1073&amp;M1073,製品マスタ!$M$5:$AM$5002,27,FALSE)),"")</f>
        <v>0</v>
      </c>
      <c r="AC1073" s="33"/>
      <c r="AD1073" s="189"/>
      <c r="AE1073" s="54"/>
      <c r="AF1073" s="55">
        <f>+M1073*N1073*O1073/1000</f>
        <v>15311</v>
      </c>
      <c r="AG1073" s="43"/>
      <c r="AH1073" s="47"/>
      <c r="AI1073" s="30"/>
      <c r="AJ1073" s="30"/>
      <c r="AK1073" s="30"/>
      <c r="AL1073" s="30"/>
      <c r="AM1073" s="13"/>
      <c r="AN1073" s="13"/>
      <c r="AO1073" s="13"/>
      <c r="AP1073" s="13"/>
      <c r="AQ1073" s="13"/>
      <c r="AR1073" s="14"/>
      <c r="AS1073" s="15"/>
    </row>
    <row r="1074" spans="1:45" s="17" customFormat="1" ht="30.95" hidden="1" customHeight="1" x14ac:dyDescent="0.2">
      <c r="A1074" s="37"/>
      <c r="B1074" s="38"/>
      <c r="C1074" s="45"/>
      <c r="D1074" s="31"/>
      <c r="E1074" s="31"/>
      <c r="F1074" s="268"/>
      <c r="G1074" s="269"/>
      <c r="H1074" s="269"/>
      <c r="I1074" s="270"/>
      <c r="J1074" s="210"/>
      <c r="K1074" s="270"/>
      <c r="L1074" s="270"/>
      <c r="M1074" s="39"/>
      <c r="N1074" s="39"/>
      <c r="O1074" s="156"/>
      <c r="P1074" s="47"/>
      <c r="Q1074" s="57"/>
      <c r="R1074" s="338"/>
      <c r="S1074" s="272"/>
      <c r="T1074" s="273"/>
      <c r="U1074" s="40"/>
      <c r="V1074" s="277"/>
      <c r="W1074" s="269"/>
      <c r="X1074" s="269"/>
      <c r="Y1074" s="275"/>
      <c r="Z1074" s="269"/>
      <c r="AA1074" s="57"/>
      <c r="AB1074" s="207"/>
      <c r="AC1074" s="33"/>
      <c r="AD1074" s="189"/>
      <c r="AE1074" s="54"/>
      <c r="AF1074" s="55"/>
      <c r="AG1074" s="43"/>
      <c r="AH1074" s="47"/>
      <c r="AI1074" s="30"/>
      <c r="AJ1074" s="30"/>
      <c r="AK1074" s="30"/>
      <c r="AL1074" s="30"/>
      <c r="AM1074" s="13"/>
      <c r="AN1074" s="13"/>
      <c r="AO1074" s="13"/>
      <c r="AP1074" s="13"/>
      <c r="AQ1074" s="13"/>
      <c r="AR1074" s="14"/>
      <c r="AS1074" s="15"/>
    </row>
    <row r="1075" spans="1:45" s="17" customFormat="1" ht="30.95" hidden="1" customHeight="1" x14ac:dyDescent="0.2">
      <c r="A1075" s="37"/>
      <c r="B1075" s="38"/>
      <c r="C1075" s="45"/>
      <c r="D1075" s="31">
        <v>3727587</v>
      </c>
      <c r="E1075" s="31">
        <v>4162085</v>
      </c>
      <c r="F1075" s="268" t="str">
        <f>IF(D1075="","",VLOOKUP(D1075,契約台帳!$A$3:$K$4986,6,FALSE)&amp;VLOOKUP(D1075,契約台帳!$A$3:$K$4986,7,FALSE)&amp;VLOOKUP(D1075,契約台帳!$A$3:$K$4986,8,FALSE)&amp;VLOOKUP(D1075,契約台帳!$A$3:$K$4986,9,FALSE)&amp;VLOOKUP(D1075,契約台帳!$A$3:$K$4986,11,FALSE))</f>
        <v>3SNMLBMTSF</v>
      </c>
      <c r="G1075" s="269" t="str">
        <f>IF(D1075="","",VLOOKUP(F1075,製品マスタ!$G$5:$H$5002,2,FALSE))</f>
        <v>S</v>
      </c>
      <c r="H1075" s="269" t="str">
        <f>IF(D1075="","",VLOOKUP(F1075,製品マスタ!$G$5:$K$5002,5,FALSE))</f>
        <v>MTSF</v>
      </c>
      <c r="I1075" s="270" t="str">
        <f>IF(D1075="","",VLOOKUP(F1075,製品マスタ!$G$5:$L$5002,6,FALSE))</f>
        <v>メタルミー　ＴＳ</v>
      </c>
      <c r="J1075" s="210" t="s">
        <v>464</v>
      </c>
      <c r="K1075" s="270">
        <f>IF(D1075="","",VLOOKUP(D1075,契約台帳!$A$3:$L$4986,12,FALSE))</f>
        <v>50</v>
      </c>
      <c r="L1075" s="270" t="str">
        <f>IF(D1075="","",INDEX(製品マスタ!$Q$5:$Q$5002,MATCH('S4'!F1075&amp;'S4'!K1075,製品マスタ!$AO$5:$AO$5002,0)))</f>
        <v>T62M</v>
      </c>
      <c r="M1075" s="39">
        <v>1255</v>
      </c>
      <c r="N1075" s="39">
        <v>6100</v>
      </c>
      <c r="O1075" s="156">
        <v>1</v>
      </c>
      <c r="P1075" s="47">
        <v>1</v>
      </c>
      <c r="Q1075" s="213">
        <v>45194</v>
      </c>
      <c r="R1075" s="271">
        <f ca="1">IF(D1075="","",IF(OFFSET(D1075,-1,0)&lt;&gt;"","",IF(OR(J1075="リード付け",J1075="巻足し",J1075="巻返しリード付け"),M1075,VLOOKUP(D1075,契約台帳!$A$3:$N$4986,14,FALSE))))</f>
        <v>1255</v>
      </c>
      <c r="S1075" s="272">
        <f ca="1">IF(D1075="","",IF(OFFSET(D1075,-1,0)&lt;&gt;"","",IF(OR(J1075="リード付け",J1075="巻足し",J1075="巻返しリード付け"),M1075,VLOOKUP(D1075,契約台帳!$A$3:$O$4986,15,FALSE))))</f>
        <v>1255</v>
      </c>
      <c r="T1075" s="273">
        <f ca="1">IF(D1075="","",IF(J1075="リード付け",N1075,IF(J1075="巻返しリード付け",N1075,IF(J1075="巻足し",N1075*P1075+OFFSET(N1075,1,0)*OFFSET(P1075,1,0),VLOOKUP(D1075,契約台帳!$A$3:$P$4986,16,FALSE)))))</f>
        <v>6100</v>
      </c>
      <c r="U1075" s="40">
        <v>1</v>
      </c>
      <c r="V1075" s="274" t="str">
        <f ca="1">IF(D1075="","",IF(OFFSET(D1075,-2,0)=D1075,"",VLOOKUP(D1075,契約台帳!$A$3:$R$4986,18,FALSE)))</f>
        <v/>
      </c>
      <c r="W1075" s="269" t="str">
        <f ca="1">IF(D1075="","",IF(T1075="","",IF(OR(J1075="巻足し",J1075="巻返しリード付け"),"",IF(J1075="巻返し",VLOOKUP(F1075&amp;K1075&amp;M1075,製品マスタ!$M$5:$AD$5002,18,FALSE),IF(OR(J1075="リード付け",J1075="巻返しリード付け"),"原反コア",IF(J1075="スリット",VLOOKUP(F1075&amp;K1075&amp;R1075,製品マスタ!$N$5:$AD$5002,17,FALSE),""))))))</f>
        <v>原反コア</v>
      </c>
      <c r="X1075" s="269" t="str">
        <f ca="1">IF(D1075="","",IF(T1075="","",IF(J1075="巻足し","",IF(J1075="巻返し",VLOOKUP(F1075&amp;K1075&amp;M1075,製品マスタ!$M$5:$AE$5002,19,FALSE),IF(OR(J1075="リード付け",J1075="巻返しリード付け"),"",IF(J1075="スリット",VLOOKUP(F1075&amp;K1075&amp;R1075,製品マスタ!$N$5:$AE$5002,18,FALSE),""))))))</f>
        <v/>
      </c>
      <c r="Y1075" s="275">
        <f ca="1">IF(D1075="","",IF(T1075="","",VLOOKUP(D1075,契約台帳!$A$3:$Q$4986,17,FALSE)))</f>
        <v>2</v>
      </c>
      <c r="Z1075" s="269" t="str">
        <f ca="1">IF(D1075="","",IF(T1075="","",VLOOKUP(D1075,契約台帳!$A$3:$E$4986,5,FALSE)))</f>
        <v xml:space="preserve">日東電工㈱豊橋工場  </v>
      </c>
      <c r="AA1075" s="57"/>
      <c r="AB1075" s="207">
        <f>IFERROR((VLOOKUP(F1075&amp;K1075&amp;M1075,製品マスタ!$M$5:$AM$5002,27,FALSE)),"")</f>
        <v>0</v>
      </c>
      <c r="AC1075" s="33"/>
      <c r="AD1075" s="189"/>
      <c r="AE1075" s="54"/>
      <c r="AF1075" s="55">
        <f>+M1075*N1075*O1075/1000</f>
        <v>7655.5</v>
      </c>
      <c r="AG1075" s="43"/>
      <c r="AH1075" s="47"/>
      <c r="AI1075" s="30"/>
      <c r="AJ1075" s="30"/>
      <c r="AK1075" s="30"/>
      <c r="AL1075" s="30"/>
      <c r="AM1075" s="13"/>
      <c r="AN1075" s="13"/>
      <c r="AO1075" s="13"/>
      <c r="AP1075" s="13"/>
      <c r="AQ1075" s="13"/>
      <c r="AR1075" s="14"/>
      <c r="AS1075" s="15"/>
    </row>
    <row r="1076" spans="1:45" s="17" customFormat="1" ht="30.95" hidden="1" customHeight="1" x14ac:dyDescent="0.2">
      <c r="A1076" s="37"/>
      <c r="B1076" s="38"/>
      <c r="C1076" s="45"/>
      <c r="D1076" s="31"/>
      <c r="E1076" s="31"/>
      <c r="F1076" s="268"/>
      <c r="G1076" s="269"/>
      <c r="H1076" s="269"/>
      <c r="I1076" s="270"/>
      <c r="J1076" s="210"/>
      <c r="K1076" s="270"/>
      <c r="L1076" s="270"/>
      <c r="M1076" s="39"/>
      <c r="N1076" s="39"/>
      <c r="O1076" s="156"/>
      <c r="P1076" s="47"/>
      <c r="Q1076" s="57"/>
      <c r="R1076" s="338"/>
      <c r="S1076" s="272"/>
      <c r="T1076" s="273"/>
      <c r="U1076" s="40"/>
      <c r="V1076" s="277"/>
      <c r="W1076" s="269"/>
      <c r="X1076" s="269"/>
      <c r="Y1076" s="275"/>
      <c r="Z1076" s="269"/>
      <c r="AA1076" s="57"/>
      <c r="AB1076" s="207"/>
      <c r="AC1076" s="33"/>
      <c r="AD1076" s="189"/>
      <c r="AE1076" s="54"/>
      <c r="AF1076" s="55"/>
      <c r="AG1076" s="43"/>
      <c r="AH1076" s="47"/>
      <c r="AI1076" s="30"/>
      <c r="AJ1076" s="30"/>
      <c r="AK1076" s="30"/>
      <c r="AL1076" s="30"/>
      <c r="AM1076" s="13"/>
      <c r="AN1076" s="13"/>
      <c r="AO1076" s="13"/>
      <c r="AP1076" s="13"/>
      <c r="AQ1076" s="13"/>
      <c r="AR1076" s="14"/>
      <c r="AS1076" s="15"/>
    </row>
    <row r="1077" spans="1:45" s="17" customFormat="1" ht="30.95" hidden="1" customHeight="1" x14ac:dyDescent="0.2">
      <c r="A1077" s="37" t="s">
        <v>579</v>
      </c>
      <c r="B1077" s="38" t="s">
        <v>442</v>
      </c>
      <c r="C1077" s="45"/>
      <c r="D1077" s="31">
        <v>3723621</v>
      </c>
      <c r="E1077" s="31">
        <v>4162048</v>
      </c>
      <c r="F1077" s="268" t="str">
        <f>IF(D1077="","",VLOOKUP(D1077,契約台帳!$A$3:$K$4986,6,FALSE)&amp;VLOOKUP(D1077,契約台帳!$A$3:$K$4986,7,FALSE)&amp;VLOOKUP(D1077,契約台帳!$A$3:$K$4986,8,FALSE)&amp;VLOOKUP(D1077,契約台帳!$A$3:$K$4986,9,FALSE)&amp;VLOOKUP(D1077,契約台帳!$A$3:$K$4986,11,FALSE))</f>
        <v>3SNMCLBMSNEYK</v>
      </c>
      <c r="G1077" s="269" t="str">
        <f>IF(D1077="","",VLOOKUP(F1077,製品マスタ!$G$5:$H$5002,2,FALSE))</f>
        <v>S</v>
      </c>
      <c r="H1077" s="269" t="str">
        <f>IF(D1077="","",VLOOKUP(F1077,製品マスタ!$G$5:$K$5002,5,FALSE))</f>
        <v>MSNEYK</v>
      </c>
      <c r="I1077" s="270" t="str">
        <f>IF(D1077="","",VLOOKUP(F1077,製品マスタ!$G$5:$L$5002,6,FALSE))</f>
        <v>ＭＳＮ　ＥＹＫ</v>
      </c>
      <c r="J1077" s="210" t="s">
        <v>935</v>
      </c>
      <c r="K1077" s="270">
        <f>IF(D1077="","",VLOOKUP(D1077,契約台帳!$A$3:$L$4986,12,FALSE))</f>
        <v>50</v>
      </c>
      <c r="L1077" s="270" t="str">
        <f>IF(D1077="","",INDEX(製品マスタ!$Q$5:$Q$5002,MATCH('S4'!F1077&amp;'S4'!K1077,製品マスタ!$AO$5:$AO$5002,0)))</f>
        <v>N-MAT</v>
      </c>
      <c r="M1077" s="39">
        <v>1200</v>
      </c>
      <c r="N1077" s="39">
        <v>6000</v>
      </c>
      <c r="O1077" s="156">
        <v>12</v>
      </c>
      <c r="P1077" s="47">
        <v>2</v>
      </c>
      <c r="Q1077" s="213">
        <v>45190</v>
      </c>
      <c r="R1077" s="271">
        <f ca="1">IF(D1077="","",IF(OFFSET(D1077,-1,0)&lt;&gt;"","",IF(OR(J1077="リード付け",J1077="巻足し",J1077="巻返しリード付け"),M1077,VLOOKUP(D1077,契約台帳!$A$3:$N$4986,14,FALSE))))</f>
        <v>1200</v>
      </c>
      <c r="S1077" s="272">
        <f ca="1">IF(D1077="","",IF(OFFSET(D1077,-1,0)&lt;&gt;"","",IF(OR(J1077="リード付け",J1077="巻足し",J1077="巻返しリード付け"),M1077,VLOOKUP(D1077,契約台帳!$A$3:$O$4986,15,FALSE))))</f>
        <v>1200</v>
      </c>
      <c r="T1077" s="273">
        <f ca="1">IF(D1077="","",IF(J1077="リード付け",N1077,IF(J1077="巻返しリード付け",N1077,IF(J1077="巻足し",N1077*P1077+OFFSET(N1077,1,0)*OFFSET(P1077,1,0),VLOOKUP(D1077,契約台帳!$A$3:$P$4986,16,FALSE)))))</f>
        <v>12000</v>
      </c>
      <c r="U1077" s="40">
        <v>6</v>
      </c>
      <c r="V1077" s="274">
        <f ca="1">IF(D1077="","",IF(OFFSET(D1077,-2,0)=D1077,"",VLOOKUP(D1077,契約台帳!$A$3:$R$4986,18,FALSE)))</f>
        <v>12</v>
      </c>
      <c r="W1077" s="269" t="str">
        <f ca="1">IF(D1077="","",IF(T1077="","",IF(OR(J1077="巻足し",J1077="巻返しリード付け"),"",IF(J1077="巻返し",VLOOKUP(F1077&amp;K1077&amp;M1077,製品マスタ!$M$5:$AD$5002,18,FALSE),IF(OR(J1077="リード付け",J1077="巻返しリード付け"),"原反コア",IF(J1077="スリット",VLOOKUP(F1077&amp;K1077&amp;R1077,製品マスタ!$N$5:$AD$5002,17,FALSE),""))))))</f>
        <v/>
      </c>
      <c r="X1077" s="269" t="str">
        <f ca="1">IF(D1077="","",IF(T1077="","",IF(J1077="巻足し","",IF(J1077="巻返し",VLOOKUP(F1077&amp;K1077&amp;M1077,製品マスタ!$M$5:$AE$5002,19,FALSE),IF(OR(J1077="リード付け",J1077="巻返しリード付け"),"",IF(J1077="スリット",VLOOKUP(F1077&amp;K1077&amp;R1077,製品マスタ!$N$5:$AE$5002,18,FALSE),""))))))</f>
        <v/>
      </c>
      <c r="Y1077" s="275">
        <f ca="1">IF(D1077="","",IF(T1077="","",VLOOKUP(D1077,契約台帳!$A$3:$Q$4986,17,FALSE)))</f>
        <v>2</v>
      </c>
      <c r="Z1077" s="269" t="str">
        <f ca="1">IF(D1077="","",IF(T1077="","",VLOOKUP(D1077,契約台帳!$A$3:$E$4986,5,FALSE)))</f>
        <v>大阪シーリング印刷㈱</v>
      </c>
      <c r="AA1077" s="57"/>
      <c r="AB1077" s="207" t="str">
        <f>IFERROR((VLOOKUP(F1077&amp;K1077&amp;M1077,製品マスタ!$M$5:$AM$5002,27,FALSE)),"")</f>
        <v>原反ケース再利用</v>
      </c>
      <c r="AC1077" s="33"/>
      <c r="AD1077" s="189"/>
      <c r="AE1077" s="54"/>
      <c r="AF1077" s="55">
        <f>+M1077*N1077*O1077/1000</f>
        <v>86400</v>
      </c>
      <c r="AG1077" s="43"/>
      <c r="AH1077" s="47"/>
      <c r="AI1077" s="30"/>
      <c r="AJ1077" s="30"/>
      <c r="AK1077" s="30"/>
      <c r="AL1077" s="30"/>
      <c r="AM1077" s="13"/>
      <c r="AN1077" s="13"/>
      <c r="AO1077" s="13"/>
      <c r="AP1077" s="13"/>
      <c r="AQ1077" s="13"/>
      <c r="AR1077" s="14"/>
      <c r="AS1077" s="15"/>
    </row>
    <row r="1078" spans="1:45" s="17" customFormat="1" ht="30.95" hidden="1" customHeight="1" x14ac:dyDescent="0.2">
      <c r="A1078" s="37"/>
      <c r="B1078" s="38"/>
      <c r="C1078" s="45"/>
      <c r="D1078" s="31"/>
      <c r="E1078" s="31"/>
      <c r="F1078" s="268"/>
      <c r="G1078" s="269"/>
      <c r="H1078" s="269"/>
      <c r="I1078" s="270"/>
      <c r="J1078" s="210"/>
      <c r="K1078" s="270"/>
      <c r="L1078" s="270"/>
      <c r="M1078" s="39"/>
      <c r="N1078" s="39"/>
      <c r="O1078" s="156"/>
      <c r="P1078" s="47"/>
      <c r="Q1078" s="57"/>
      <c r="R1078" s="338"/>
      <c r="S1078" s="272"/>
      <c r="T1078" s="273"/>
      <c r="U1078" s="40"/>
      <c r="V1078" s="277"/>
      <c r="W1078" s="269"/>
      <c r="X1078" s="269"/>
      <c r="Y1078" s="275"/>
      <c r="Z1078" s="269"/>
      <c r="AA1078" s="57"/>
      <c r="AB1078" s="207"/>
      <c r="AC1078" s="33"/>
      <c r="AD1078" s="189"/>
      <c r="AE1078" s="54"/>
      <c r="AF1078" s="55"/>
      <c r="AG1078" s="43"/>
      <c r="AH1078" s="47"/>
      <c r="AI1078" s="30"/>
      <c r="AJ1078" s="30"/>
      <c r="AK1078" s="30"/>
      <c r="AL1078" s="30"/>
      <c r="AM1078" s="13"/>
      <c r="AN1078" s="13"/>
      <c r="AO1078" s="13"/>
      <c r="AP1078" s="13"/>
      <c r="AQ1078" s="13"/>
      <c r="AR1078" s="14"/>
      <c r="AS1078" s="15"/>
    </row>
    <row r="1079" spans="1:45" s="17" customFormat="1" ht="30.95" hidden="1" customHeight="1" x14ac:dyDescent="0.2">
      <c r="A1079" s="37"/>
      <c r="B1079" s="38"/>
      <c r="C1079" s="45"/>
      <c r="D1079" s="31">
        <v>3727591</v>
      </c>
      <c r="E1079" s="31">
        <v>4162086</v>
      </c>
      <c r="F1079" s="268" t="str">
        <f>IF(D1079="","",VLOOKUP(D1079,契約台帳!$A$3:$K$4986,6,FALSE)&amp;VLOOKUP(D1079,契約台帳!$A$3:$K$4986,7,FALSE)&amp;VLOOKUP(D1079,契約台帳!$A$3:$K$4986,8,FALSE)&amp;VLOOKUP(D1079,契約台帳!$A$3:$K$4986,9,FALSE)&amp;VLOOKUP(D1079,契約台帳!$A$3:$K$4986,11,FALSE))</f>
        <v>3SNMCLBWCB</v>
      </c>
      <c r="G1079" s="269" t="str">
        <f>IF(D1079="","",VLOOKUP(F1079,製品マスタ!$G$5:$H$5002,2,FALSE))</f>
        <v>S</v>
      </c>
      <c r="H1079" s="269" t="str">
        <f>IF(D1079="","",VLOOKUP(F1079,製品マスタ!$G$5:$K$5002,5,FALSE))</f>
        <v>WCB</v>
      </c>
      <c r="I1079" s="270" t="str">
        <f>IF(D1079="","",VLOOKUP(F1079,製品マスタ!$G$5:$L$5002,6,FALSE))</f>
        <v>メタルミー　ホワイトコート　（Ｂ）</v>
      </c>
      <c r="J1079" s="210" t="s">
        <v>935</v>
      </c>
      <c r="K1079" s="270">
        <f>IF(D1079="","",VLOOKUP(D1079,契約台帳!$A$3:$L$4986,12,FALSE))</f>
        <v>50</v>
      </c>
      <c r="L1079" s="270" t="str">
        <f>IF(D1079="","",INDEX(製品マスタ!$Q$5:$Q$5002,MATCH('S4'!F1079&amp;'S4'!K1079,製品マスタ!$AO$5:$AO$5002,0)))</f>
        <v>T62M</v>
      </c>
      <c r="M1079" s="39">
        <v>1195</v>
      </c>
      <c r="N1079" s="39">
        <v>6100</v>
      </c>
      <c r="O1079" s="156">
        <v>2</v>
      </c>
      <c r="P1079" s="47">
        <v>2</v>
      </c>
      <c r="Q1079" s="213">
        <v>45196</v>
      </c>
      <c r="R1079" s="271">
        <f ca="1">IF(D1079="","",IF(OFFSET(D1079,-1,0)&lt;&gt;"","",IF(OR(J1079="リード付け",J1079="巻足し",J1079="巻返しリード付け"),M1079,VLOOKUP(D1079,契約台帳!$A$3:$N$4986,14,FALSE))))</f>
        <v>1195</v>
      </c>
      <c r="S1079" s="272">
        <f ca="1">IF(D1079="","",IF(OFFSET(D1079,-1,0)&lt;&gt;"","",IF(OR(J1079="リード付け",J1079="巻足し",J1079="巻返しリード付け"),M1079,VLOOKUP(D1079,契約台帳!$A$3:$O$4986,15,FALSE))))</f>
        <v>1195</v>
      </c>
      <c r="T1079" s="273">
        <f ca="1">IF(D1079="","",IF(J1079="リード付け",N1079,IF(J1079="巻返しリード付け",N1079,IF(J1079="巻足し",N1079*P1079+OFFSET(N1079,1,0)*OFFSET(P1079,1,0),VLOOKUP(D1079,契約台帳!$A$3:$P$4986,16,FALSE)))))</f>
        <v>12200</v>
      </c>
      <c r="U1079" s="40">
        <v>1</v>
      </c>
      <c r="V1079" s="274">
        <f ca="1">IF(D1079="","",IF(OFFSET(D1079,-2,0)=D1079,"",VLOOKUP(D1079,契約台帳!$A$3:$R$4986,18,FALSE)))</f>
        <v>3</v>
      </c>
      <c r="W1079" s="269" t="str">
        <f ca="1">IF(D1079="","",IF(T1079="","",IF(OR(J1079="巻足し",J1079="巻返しリード付け"),"",IF(J1079="巻返し",VLOOKUP(F1079&amp;K1079&amp;M1079,製品マスタ!$M$5:$AD$5002,18,FALSE),IF(OR(J1079="リード付け",J1079="巻返しリード付け"),"原反コア",IF(J1079="スリット",VLOOKUP(F1079&amp;K1079&amp;R1079,製品マスタ!$N$5:$AD$5002,17,FALSE),""))))))</f>
        <v/>
      </c>
      <c r="X1079" s="269" t="str">
        <f ca="1">IF(D1079="","",IF(T1079="","",IF(J1079="巻足し","",IF(J1079="巻返し",VLOOKUP(F1079&amp;K1079&amp;M1079,製品マスタ!$M$5:$AE$5002,19,FALSE),IF(OR(J1079="リード付け",J1079="巻返しリード付け"),"",IF(J1079="スリット",VLOOKUP(F1079&amp;K1079&amp;R1079,製品マスタ!$N$5:$AE$5002,18,FALSE),""))))))</f>
        <v/>
      </c>
      <c r="Y1079" s="275">
        <f ca="1">IF(D1079="","",IF(T1079="","",VLOOKUP(D1079,契約台帳!$A$3:$Q$4986,17,FALSE)))</f>
        <v>2</v>
      </c>
      <c r="Z1079" s="269" t="str">
        <f ca="1">IF(D1079="","",IF(T1079="","",VLOOKUP(D1079,契約台帳!$A$3:$E$4986,5,FALSE)))</f>
        <v xml:space="preserve">新タック化成㈱      </v>
      </c>
      <c r="AA1079" s="57"/>
      <c r="AB1079" s="207" t="str">
        <f>IFERROR((VLOOKUP(F1079&amp;K1079&amp;M1079,製品マスタ!$M$5:$AM$5002,27,FALSE)),"")</f>
        <v/>
      </c>
      <c r="AC1079" s="33"/>
      <c r="AD1079" s="189"/>
      <c r="AE1079" s="54"/>
      <c r="AF1079" s="55">
        <f>+M1079*N1079*O1079/1000</f>
        <v>14579</v>
      </c>
      <c r="AG1079" s="43"/>
      <c r="AH1079" s="47"/>
      <c r="AI1079" s="30"/>
      <c r="AJ1079" s="30"/>
      <c r="AK1079" s="30"/>
      <c r="AL1079" s="30"/>
      <c r="AM1079" s="13"/>
      <c r="AN1079" s="13"/>
      <c r="AO1079" s="13"/>
      <c r="AP1079" s="13"/>
      <c r="AQ1079" s="13"/>
      <c r="AR1079" s="14"/>
      <c r="AS1079" s="15"/>
    </row>
    <row r="1080" spans="1:45" s="17" customFormat="1" ht="30.95" hidden="1" customHeight="1" x14ac:dyDescent="0.2">
      <c r="A1080" s="37"/>
      <c r="B1080" s="38"/>
      <c r="C1080" s="45"/>
      <c r="D1080" s="31"/>
      <c r="E1080" s="31"/>
      <c r="F1080" s="268"/>
      <c r="G1080" s="269"/>
      <c r="H1080" s="269"/>
      <c r="I1080" s="270"/>
      <c r="J1080" s="210"/>
      <c r="K1080" s="270"/>
      <c r="L1080" s="270"/>
      <c r="M1080" s="39"/>
      <c r="N1080" s="39"/>
      <c r="O1080" s="156"/>
      <c r="P1080" s="47"/>
      <c r="Q1080" s="57"/>
      <c r="R1080" s="338"/>
      <c r="S1080" s="272"/>
      <c r="T1080" s="273"/>
      <c r="U1080" s="40"/>
      <c r="V1080" s="277"/>
      <c r="W1080" s="269"/>
      <c r="X1080" s="269"/>
      <c r="Y1080" s="275"/>
      <c r="Z1080" s="269"/>
      <c r="AA1080" s="57"/>
      <c r="AB1080" s="207"/>
      <c r="AC1080" s="33"/>
      <c r="AD1080" s="189"/>
      <c r="AE1080" s="54"/>
      <c r="AF1080" s="55"/>
      <c r="AG1080" s="43"/>
      <c r="AH1080" s="47"/>
      <c r="AI1080" s="30"/>
      <c r="AJ1080" s="30"/>
      <c r="AK1080" s="30"/>
      <c r="AL1080" s="30"/>
      <c r="AM1080" s="13"/>
      <c r="AN1080" s="13"/>
      <c r="AO1080" s="13"/>
      <c r="AP1080" s="13"/>
      <c r="AQ1080" s="13"/>
      <c r="AR1080" s="14"/>
      <c r="AS1080" s="15"/>
    </row>
    <row r="1081" spans="1:45" s="17" customFormat="1" ht="30.95" hidden="1" customHeight="1" x14ac:dyDescent="0.2">
      <c r="A1081" s="37"/>
      <c r="B1081" s="38"/>
      <c r="C1081" s="45"/>
      <c r="D1081" s="31">
        <v>3727591</v>
      </c>
      <c r="E1081" s="31">
        <v>4162086</v>
      </c>
      <c r="F1081" s="268" t="str">
        <f>IF(D1081="","",VLOOKUP(D1081,契約台帳!$A$3:$K$4986,6,FALSE)&amp;VLOOKUP(D1081,契約台帳!$A$3:$K$4986,7,FALSE)&amp;VLOOKUP(D1081,契約台帳!$A$3:$K$4986,8,FALSE)&amp;VLOOKUP(D1081,契約台帳!$A$3:$K$4986,9,FALSE)&amp;VLOOKUP(D1081,契約台帳!$A$3:$K$4986,11,FALSE))</f>
        <v>3SNMCLBWCB</v>
      </c>
      <c r="G1081" s="269" t="str">
        <f>IF(D1081="","",VLOOKUP(F1081,製品マスタ!$G$5:$H$5002,2,FALSE))</f>
        <v>S</v>
      </c>
      <c r="H1081" s="269" t="str">
        <f>IF(D1081="","",VLOOKUP(F1081,製品マスタ!$G$5:$K$5002,5,FALSE))</f>
        <v>WCB</v>
      </c>
      <c r="I1081" s="270" t="str">
        <f>IF(D1081="","",VLOOKUP(F1081,製品マスタ!$G$5:$L$5002,6,FALSE))</f>
        <v>メタルミー　ホワイトコート　（Ｂ）</v>
      </c>
      <c r="J1081" s="210" t="s">
        <v>464</v>
      </c>
      <c r="K1081" s="270">
        <f>IF(D1081="","",VLOOKUP(D1081,契約台帳!$A$3:$L$4986,12,FALSE))</f>
        <v>50</v>
      </c>
      <c r="L1081" s="270" t="str">
        <f>IF(D1081="","",INDEX(製品マスタ!$Q$5:$Q$5002,MATCH('S4'!F1081&amp;'S4'!K1081,製品マスタ!$AO$5:$AO$5002,0)))</f>
        <v>T62M</v>
      </c>
      <c r="M1081" s="39">
        <v>1195</v>
      </c>
      <c r="N1081" s="39">
        <v>6100</v>
      </c>
      <c r="O1081" s="156">
        <v>1</v>
      </c>
      <c r="P1081" s="47">
        <v>1</v>
      </c>
      <c r="Q1081" s="213">
        <v>45196</v>
      </c>
      <c r="R1081" s="271">
        <f ca="1">IF(D1081="","",IF(OFFSET(D1081,-1,0)&lt;&gt;"","",IF(OR(J1081="リード付け",J1081="巻足し",J1081="巻返しリード付け"),M1081,VLOOKUP(D1081,契約台帳!$A$3:$N$4986,14,FALSE))))</f>
        <v>1195</v>
      </c>
      <c r="S1081" s="272">
        <f ca="1">IF(D1081="","",IF(OFFSET(D1081,-1,0)&lt;&gt;"","",IF(OR(J1081="リード付け",J1081="巻足し",J1081="巻返しリード付け"),M1081,VLOOKUP(D1081,契約台帳!$A$3:$O$4986,15,FALSE))))</f>
        <v>1195</v>
      </c>
      <c r="T1081" s="273">
        <f ca="1">IF(D1081="","",IF(J1081="リード付け",N1081,IF(J1081="巻返しリード付け",N1081,IF(J1081="巻足し",N1081*P1081+OFFSET(N1081,1,0)*OFFSET(P1081,1,0),VLOOKUP(D1081,契約台帳!$A$3:$P$4986,16,FALSE)))))</f>
        <v>6100</v>
      </c>
      <c r="U1081" s="40">
        <v>1</v>
      </c>
      <c r="V1081" s="274" t="str">
        <f ca="1">IF(D1081="","",IF(OFFSET(D1081,-2,0)=D1081,"",VLOOKUP(D1081,契約台帳!$A$3:$R$4986,18,FALSE)))</f>
        <v/>
      </c>
      <c r="W1081" s="269" t="str">
        <f ca="1">IF(D1081="","",IF(T1081="","",IF(OR(J1081="巻足し",J1081="巻返しリード付け"),"",IF(J1081="巻返し",VLOOKUP(F1081&amp;K1081&amp;M1081,製品マスタ!$M$5:$AD$5002,18,FALSE),IF(OR(J1081="リード付け",J1081="巻返しリード付け"),"原反コア",IF(J1081="スリット",VLOOKUP(F1081&amp;K1081&amp;R1081,製品マスタ!$N$5:$AD$5002,17,FALSE),""))))))</f>
        <v>原反コア</v>
      </c>
      <c r="X1081" s="269" t="str">
        <f ca="1">IF(D1081="","",IF(T1081="","",IF(J1081="巻足し","",IF(J1081="巻返し",VLOOKUP(F1081&amp;K1081&amp;M1081,製品マスタ!$M$5:$AE$5002,19,FALSE),IF(OR(J1081="リード付け",J1081="巻返しリード付け"),"",IF(J1081="スリット",VLOOKUP(F1081&amp;K1081&amp;R1081,製品マスタ!$N$5:$AE$5002,18,FALSE),""))))))</f>
        <v/>
      </c>
      <c r="Y1081" s="275">
        <f ca="1">IF(D1081="","",IF(T1081="","",VLOOKUP(D1081,契約台帳!$A$3:$Q$4986,17,FALSE)))</f>
        <v>2</v>
      </c>
      <c r="Z1081" s="269" t="str">
        <f ca="1">IF(D1081="","",IF(T1081="","",VLOOKUP(D1081,契約台帳!$A$3:$E$4986,5,FALSE)))</f>
        <v xml:space="preserve">新タック化成㈱      </v>
      </c>
      <c r="AA1081" s="57"/>
      <c r="AB1081" s="207" t="str">
        <f>IFERROR((VLOOKUP(F1081&amp;K1081&amp;M1081,製品マスタ!$M$5:$AM$5002,27,FALSE)),"")</f>
        <v/>
      </c>
      <c r="AC1081" s="33"/>
      <c r="AD1081" s="189"/>
      <c r="AE1081" s="54"/>
      <c r="AF1081" s="55">
        <f>+M1081*N1081*O1081/1000</f>
        <v>7289.5</v>
      </c>
      <c r="AG1081" s="43"/>
      <c r="AH1081" s="47"/>
      <c r="AI1081" s="30"/>
      <c r="AJ1081" s="30"/>
      <c r="AK1081" s="30"/>
      <c r="AL1081" s="30"/>
      <c r="AM1081" s="13"/>
      <c r="AN1081" s="13"/>
      <c r="AO1081" s="13"/>
      <c r="AP1081" s="13"/>
      <c r="AQ1081" s="13"/>
      <c r="AR1081" s="14"/>
      <c r="AS1081" s="15"/>
    </row>
    <row r="1082" spans="1:45" s="17" customFormat="1" ht="30.95" hidden="1" customHeight="1" x14ac:dyDescent="0.2">
      <c r="A1082" s="37"/>
      <c r="B1082" s="38"/>
      <c r="C1082" s="45"/>
      <c r="D1082" s="31"/>
      <c r="E1082" s="31"/>
      <c r="F1082" s="268"/>
      <c r="G1082" s="269"/>
      <c r="H1082" s="269"/>
      <c r="I1082" s="270"/>
      <c r="J1082" s="210"/>
      <c r="K1082" s="270"/>
      <c r="L1082" s="270"/>
      <c r="M1082" s="39"/>
      <c r="N1082" s="39"/>
      <c r="O1082" s="156"/>
      <c r="P1082" s="47"/>
      <c r="Q1082" s="57"/>
      <c r="R1082" s="338"/>
      <c r="S1082" s="272"/>
      <c r="T1082" s="273"/>
      <c r="U1082" s="40"/>
      <c r="V1082" s="277"/>
      <c r="W1082" s="269"/>
      <c r="X1082" s="269"/>
      <c r="Y1082" s="275"/>
      <c r="Z1082" s="269"/>
      <c r="AA1082" s="57"/>
      <c r="AB1082" s="207"/>
      <c r="AC1082" s="33"/>
      <c r="AD1082" s="189"/>
      <c r="AE1082" s="54"/>
      <c r="AF1082" s="55"/>
      <c r="AG1082" s="43"/>
      <c r="AH1082" s="47"/>
      <c r="AI1082" s="30"/>
      <c r="AJ1082" s="30"/>
      <c r="AK1082" s="30"/>
      <c r="AL1082" s="30"/>
      <c r="AM1082" s="13"/>
      <c r="AN1082" s="13"/>
      <c r="AO1082" s="13"/>
      <c r="AP1082" s="13"/>
      <c r="AQ1082" s="13"/>
      <c r="AR1082" s="14"/>
      <c r="AS1082" s="15"/>
    </row>
    <row r="1083" spans="1:45" s="17" customFormat="1" ht="30.95" hidden="1" customHeight="1" x14ac:dyDescent="0.2">
      <c r="A1083" s="37"/>
      <c r="B1083" s="38"/>
      <c r="C1083" s="45"/>
      <c r="D1083" s="31">
        <v>3723625</v>
      </c>
      <c r="E1083" s="31">
        <v>4162049</v>
      </c>
      <c r="F1083" s="268" t="str">
        <f>IF(D1083="","",VLOOKUP(D1083,契約台帳!$A$3:$K$4986,6,FALSE)&amp;VLOOKUP(D1083,契約台帳!$A$3:$K$4986,7,FALSE)&amp;VLOOKUP(D1083,契約台帳!$A$3:$K$4986,8,FALSE)&amp;VLOOKUP(D1083,契約台帳!$A$3:$K$4986,9,FALSE)&amp;VLOOKUP(D1083,契約台帳!$A$3:$K$4986,11,FALSE))</f>
        <v>3SNMCLBMSNEYK</v>
      </c>
      <c r="G1083" s="269" t="str">
        <f>IF(D1083="","",VLOOKUP(F1083,製品マスタ!$G$5:$H$5002,2,FALSE))</f>
        <v>S</v>
      </c>
      <c r="H1083" s="269" t="str">
        <f>IF(D1083="","",VLOOKUP(F1083,製品マスタ!$G$5:$K$5002,5,FALSE))</f>
        <v>MSNEYK</v>
      </c>
      <c r="I1083" s="270" t="str">
        <f>IF(D1083="","",VLOOKUP(F1083,製品マスタ!$G$5:$L$5002,6,FALSE))</f>
        <v>ＭＳＮ　ＥＹＫ</v>
      </c>
      <c r="J1083" s="210" t="s">
        <v>935</v>
      </c>
      <c r="K1083" s="270">
        <f>IF(D1083="","",VLOOKUP(D1083,契約台帳!$A$3:$L$4986,12,FALSE))</f>
        <v>50</v>
      </c>
      <c r="L1083" s="270" t="str">
        <f>IF(D1083="","",INDEX(製品マスタ!$Q$5:$Q$5002,MATCH('S4'!F1083&amp;'S4'!K1083,製品マスタ!$AO$5:$AO$5002,0)))</f>
        <v>N-MAT</v>
      </c>
      <c r="M1083" s="39">
        <v>1120</v>
      </c>
      <c r="N1083" s="39">
        <v>4000</v>
      </c>
      <c r="O1083" s="156">
        <v>4</v>
      </c>
      <c r="P1083" s="47">
        <v>2</v>
      </c>
      <c r="Q1083" s="213">
        <v>45190</v>
      </c>
      <c r="R1083" s="271">
        <f ca="1">IF(D1083="","",IF(OFFSET(D1083,-1,0)&lt;&gt;"","",IF(OR(J1083="リード付け",J1083="巻足し",J1083="巻返しリード付け"),M1083,VLOOKUP(D1083,契約台帳!$A$3:$N$4986,14,FALSE))))</f>
        <v>1120</v>
      </c>
      <c r="S1083" s="272">
        <f ca="1">IF(D1083="","",IF(OFFSET(D1083,-1,0)&lt;&gt;"","",IF(OR(J1083="リード付け",J1083="巻足し",J1083="巻返しリード付け"),M1083,VLOOKUP(D1083,契約台帳!$A$3:$O$4986,15,FALSE))))</f>
        <v>1120</v>
      </c>
      <c r="T1083" s="273">
        <f ca="1">IF(D1083="","",IF(J1083="リード付け",N1083,IF(J1083="巻返しリード付け",N1083,IF(J1083="巻足し",N1083*P1083+OFFSET(N1083,1,0)*OFFSET(P1083,1,0),VLOOKUP(D1083,契約台帳!$A$3:$P$4986,16,FALSE)))))</f>
        <v>8000</v>
      </c>
      <c r="U1083" s="40">
        <v>2</v>
      </c>
      <c r="V1083" s="274">
        <f ca="1">IF(D1083="","",IF(OFFSET(D1083,-2,0)=D1083,"",VLOOKUP(D1083,契約台帳!$A$3:$R$4986,18,FALSE)))</f>
        <v>4</v>
      </c>
      <c r="W1083" s="269" t="str">
        <f ca="1">IF(D1083="","",IF(T1083="","",IF(OR(J1083="巻足し",J1083="巻返しリード付け"),"",IF(J1083="巻返し",VLOOKUP(F1083&amp;K1083&amp;M1083,製品マスタ!$M$5:$AD$5002,18,FALSE),IF(OR(J1083="リード付け",J1083="巻返しリード付け"),"原反コア",IF(J1083="スリット",VLOOKUP(F1083&amp;K1083&amp;R1083,製品マスタ!$N$5:$AD$5002,17,FALSE),""))))))</f>
        <v/>
      </c>
      <c r="X1083" s="269" t="str">
        <f ca="1">IF(D1083="","",IF(T1083="","",IF(J1083="巻足し","",IF(J1083="巻返し",VLOOKUP(F1083&amp;K1083&amp;M1083,製品マスタ!$M$5:$AE$5002,19,FALSE),IF(OR(J1083="リード付け",J1083="巻返しリード付け"),"",IF(J1083="スリット",VLOOKUP(F1083&amp;K1083&amp;R1083,製品マスタ!$N$5:$AE$5002,18,FALSE),""))))))</f>
        <v/>
      </c>
      <c r="Y1083" s="275">
        <f ca="1">IF(D1083="","",IF(T1083="","",VLOOKUP(D1083,契約台帳!$A$3:$Q$4986,17,FALSE)))</f>
        <v>2</v>
      </c>
      <c r="Z1083" s="269" t="str">
        <f ca="1">IF(D1083="","",IF(T1083="","",VLOOKUP(D1083,契約台帳!$A$3:$E$4986,5,FALSE)))</f>
        <v>新タック化成㈱</v>
      </c>
      <c r="AA1083" s="57"/>
      <c r="AB1083" s="207" t="str">
        <f>IFERROR((VLOOKUP(F1083&amp;K1083&amp;M1083,製品マスタ!$M$5:$AM$5002,27,FALSE)),"")</f>
        <v>原反ケース再利用</v>
      </c>
      <c r="AC1083" s="33"/>
      <c r="AD1083" s="189"/>
      <c r="AE1083" s="54"/>
      <c r="AF1083" s="55">
        <f>+M1083*N1083*O1083/1000</f>
        <v>17920</v>
      </c>
      <c r="AG1083" s="43"/>
      <c r="AH1083" s="47"/>
      <c r="AI1083" s="30"/>
      <c r="AJ1083" s="30"/>
      <c r="AK1083" s="30"/>
      <c r="AL1083" s="30"/>
      <c r="AM1083" s="13"/>
      <c r="AN1083" s="13"/>
      <c r="AO1083" s="13"/>
      <c r="AP1083" s="13"/>
      <c r="AQ1083" s="13"/>
      <c r="AR1083" s="14"/>
      <c r="AS1083" s="15"/>
    </row>
    <row r="1084" spans="1:45" s="17" customFormat="1" ht="30.95" hidden="1" customHeight="1" x14ac:dyDescent="0.2">
      <c r="A1084" s="37"/>
      <c r="B1084" s="38"/>
      <c r="C1084" s="45"/>
      <c r="D1084" s="31"/>
      <c r="E1084" s="31"/>
      <c r="F1084" s="268"/>
      <c r="G1084" s="269"/>
      <c r="H1084" s="269"/>
      <c r="I1084" s="270"/>
      <c r="J1084" s="210"/>
      <c r="K1084" s="270"/>
      <c r="L1084" s="270"/>
      <c r="M1084" s="39"/>
      <c r="N1084" s="39"/>
      <c r="O1084" s="156"/>
      <c r="P1084" s="47"/>
      <c r="Q1084" s="57"/>
      <c r="R1084" s="338"/>
      <c r="S1084" s="272"/>
      <c r="T1084" s="273"/>
      <c r="U1084" s="40"/>
      <c r="V1084" s="277"/>
      <c r="W1084" s="269"/>
      <c r="X1084" s="269"/>
      <c r="Y1084" s="275"/>
      <c r="Z1084" s="269"/>
      <c r="AA1084" s="57"/>
      <c r="AB1084" s="207"/>
      <c r="AC1084" s="33"/>
      <c r="AD1084" s="189"/>
      <c r="AE1084" s="54"/>
      <c r="AF1084" s="55"/>
      <c r="AG1084" s="43"/>
      <c r="AH1084" s="47"/>
      <c r="AI1084" s="30"/>
      <c r="AJ1084" s="30"/>
      <c r="AK1084" s="30"/>
      <c r="AL1084" s="30"/>
      <c r="AM1084" s="13"/>
      <c r="AN1084" s="13"/>
      <c r="AO1084" s="13"/>
      <c r="AP1084" s="13"/>
      <c r="AQ1084" s="13"/>
      <c r="AR1084" s="14"/>
      <c r="AS1084" s="15"/>
    </row>
    <row r="1085" spans="1:45" s="17" customFormat="1" ht="30.95" hidden="1" customHeight="1" x14ac:dyDescent="0.2">
      <c r="A1085" s="37" t="s">
        <v>581</v>
      </c>
      <c r="B1085" s="38" t="s">
        <v>443</v>
      </c>
      <c r="C1085" s="45"/>
      <c r="D1085" s="31">
        <v>3725013</v>
      </c>
      <c r="E1085" s="31">
        <v>4162064</v>
      </c>
      <c r="F1085" s="268" t="str">
        <f>IF(D1085="","",VLOOKUP(D1085,契約台帳!$A$3:$K$4986,6,FALSE)&amp;VLOOKUP(D1085,契約台帳!$A$3:$K$4986,7,FALSE)&amp;VLOOKUP(D1085,契約台帳!$A$3:$K$4986,8,FALSE)&amp;VLOOKUP(D1085,契約台帳!$A$3:$K$4986,9,FALSE)&amp;VLOOKUP(D1085,契約台帳!$A$3:$K$4986,11,FALSE))</f>
        <v>3SNMLBMNGTBF</v>
      </c>
      <c r="G1085" s="269" t="str">
        <f>IF(D1085="","",VLOOKUP(F1085,製品マスタ!$G$5:$H$5002,2,FALSE))</f>
        <v>S</v>
      </c>
      <c r="H1085" s="269" t="str">
        <f>IF(D1085="","",VLOOKUP(F1085,製品マスタ!$G$5:$K$5002,5,FALSE))</f>
        <v>MNGTBF</v>
      </c>
      <c r="I1085" s="270" t="str">
        <f>IF(D1085="","",VLOOKUP(F1085,製品マスタ!$G$5:$L$5002,6,FALSE))</f>
        <v>メタルミー　ネーマー　銀艶　Ｂ</v>
      </c>
      <c r="J1085" s="210" t="s">
        <v>935</v>
      </c>
      <c r="K1085" s="270">
        <f>IF(D1085="","",VLOOKUP(D1085,契約台帳!$A$3:$L$4986,12,FALSE))</f>
        <v>50</v>
      </c>
      <c r="L1085" s="270" t="str">
        <f>IF(D1085="","",INDEX(製品マスタ!$Q$5:$Q$5002,MATCH('S4'!F1085&amp;'S4'!K1085,製品マスタ!$AO$5:$AO$5002,0)))</f>
        <v>T62</v>
      </c>
      <c r="M1085" s="39">
        <v>1120</v>
      </c>
      <c r="N1085" s="39">
        <v>5000</v>
      </c>
      <c r="O1085" s="156">
        <v>6</v>
      </c>
      <c r="P1085" s="47">
        <v>2</v>
      </c>
      <c r="Q1085" s="213">
        <v>45195</v>
      </c>
      <c r="R1085" s="271">
        <f ca="1">IF(D1085="","",IF(OFFSET(D1085,-1,0)&lt;&gt;"","",IF(OR(J1085="リード付け",J1085="巻足し",J1085="巻返しリード付け"),M1085,VLOOKUP(D1085,契約台帳!$A$3:$N$4986,14,FALSE))))</f>
        <v>1120</v>
      </c>
      <c r="S1085" s="272">
        <f ca="1">IF(D1085="","",IF(OFFSET(D1085,-1,0)&lt;&gt;"","",IF(OR(J1085="リード付け",J1085="巻足し",J1085="巻返しリード付け"),M1085,VLOOKUP(D1085,契約台帳!$A$3:$O$4986,15,FALSE))))</f>
        <v>1120</v>
      </c>
      <c r="T1085" s="273">
        <f ca="1">IF(D1085="","",IF(J1085="リード付け",N1085,IF(J1085="巻返しリード付け",N1085,IF(J1085="巻足し",N1085*P1085+OFFSET(N1085,1,0)*OFFSET(P1085,1,0),VLOOKUP(D1085,契約台帳!$A$3:$P$4986,16,FALSE)))))</f>
        <v>10000</v>
      </c>
      <c r="U1085" s="40">
        <v>3</v>
      </c>
      <c r="V1085" s="274">
        <f ca="1">IF(D1085="","",IF(OFFSET(D1085,-2,0)=D1085,"",VLOOKUP(D1085,契約台帳!$A$3:$R$4986,18,FALSE)))</f>
        <v>28</v>
      </c>
      <c r="W1085" s="269" t="str">
        <f ca="1">IF(D1085="","",IF(T1085="","",IF(OR(J1085="巻足し",J1085="巻返しリード付け"),"",IF(J1085="巻返し",VLOOKUP(F1085&amp;K1085&amp;M1085,製品マスタ!$M$5:$AD$5002,18,FALSE),IF(OR(J1085="リード付け",J1085="巻返しリード付け"),"原反コア",IF(J1085="スリット",VLOOKUP(F1085&amp;K1085&amp;R1085,製品マスタ!$N$5:$AD$5002,17,FALSE),""))))))</f>
        <v/>
      </c>
      <c r="X1085" s="269" t="str">
        <f ca="1">IF(D1085="","",IF(T1085="","",IF(J1085="巻足し","",IF(J1085="巻返し",VLOOKUP(F1085&amp;K1085&amp;M1085,製品マスタ!$M$5:$AE$5002,19,FALSE),IF(OR(J1085="リード付け",J1085="巻返しリード付け"),"",IF(J1085="スリット",VLOOKUP(F1085&amp;K1085&amp;R1085,製品マスタ!$N$5:$AE$5002,18,FALSE),""))))))</f>
        <v/>
      </c>
      <c r="Y1085" s="275">
        <f ca="1">IF(D1085="","",IF(T1085="","",VLOOKUP(D1085,契約台帳!$A$3:$Q$4986,17,FALSE)))</f>
        <v>2</v>
      </c>
      <c r="Z1085" s="269" t="str">
        <f ca="1">IF(D1085="","",IF(T1085="","",VLOOKUP(D1085,契約台帳!$A$3:$E$4986,5,FALSE)))</f>
        <v>リンテック㈱</v>
      </c>
      <c r="AA1085" s="57"/>
      <c r="AB1085" s="207" t="str">
        <f>IFERROR((VLOOKUP(F1085&amp;K1085&amp;M1085,製品マスタ!$M$5:$AM$5002,27,FALSE)),"")</f>
        <v>原反ケース再利用</v>
      </c>
      <c r="AC1085" s="33"/>
      <c r="AD1085" s="189"/>
      <c r="AE1085" s="54"/>
      <c r="AF1085" s="55">
        <f>+M1085*N1085*O1085/1000</f>
        <v>33600</v>
      </c>
      <c r="AG1085" s="43"/>
      <c r="AH1085" s="47"/>
      <c r="AI1085" s="30"/>
      <c r="AJ1085" s="30"/>
      <c r="AK1085" s="30"/>
      <c r="AL1085" s="30"/>
      <c r="AM1085" s="13"/>
      <c r="AN1085" s="13"/>
      <c r="AO1085" s="13"/>
      <c r="AP1085" s="13"/>
      <c r="AQ1085" s="13"/>
      <c r="AR1085" s="14"/>
      <c r="AS1085" s="15"/>
    </row>
    <row r="1086" spans="1:45" s="17" customFormat="1" ht="30.95" hidden="1" customHeight="1" x14ac:dyDescent="0.2">
      <c r="A1086" s="37"/>
      <c r="B1086" s="38"/>
      <c r="C1086" s="45"/>
      <c r="D1086" s="31"/>
      <c r="E1086" s="31"/>
      <c r="F1086" s="268"/>
      <c r="G1086" s="269"/>
      <c r="H1086" s="269"/>
      <c r="I1086" s="270"/>
      <c r="J1086" s="210"/>
      <c r="K1086" s="270"/>
      <c r="L1086" s="270"/>
      <c r="M1086" s="39"/>
      <c r="N1086" s="39"/>
      <c r="O1086" s="156"/>
      <c r="P1086" s="47"/>
      <c r="Q1086" s="57"/>
      <c r="R1086" s="338"/>
      <c r="S1086" s="272"/>
      <c r="T1086" s="273"/>
      <c r="U1086" s="40"/>
      <c r="V1086" s="277"/>
      <c r="W1086" s="269"/>
      <c r="X1086" s="269"/>
      <c r="Y1086" s="275"/>
      <c r="Z1086" s="269"/>
      <c r="AA1086" s="57"/>
      <c r="AB1086" s="207"/>
      <c r="AC1086" s="33"/>
      <c r="AD1086" s="189"/>
      <c r="AE1086" s="54"/>
      <c r="AF1086" s="55"/>
      <c r="AG1086" s="43"/>
      <c r="AH1086" s="47"/>
      <c r="AI1086" s="30"/>
      <c r="AJ1086" s="30"/>
      <c r="AK1086" s="30"/>
      <c r="AL1086" s="30"/>
      <c r="AM1086" s="13"/>
      <c r="AN1086" s="13"/>
      <c r="AO1086" s="13"/>
      <c r="AP1086" s="13"/>
      <c r="AQ1086" s="13"/>
      <c r="AR1086" s="14"/>
      <c r="AS1086" s="15"/>
    </row>
    <row r="1087" spans="1:45" s="17" customFormat="1" ht="30.95" hidden="1" customHeight="1" x14ac:dyDescent="0.2">
      <c r="A1087" s="37"/>
      <c r="B1087" s="38"/>
      <c r="C1087" s="45"/>
      <c r="D1087" s="31">
        <v>3727600</v>
      </c>
      <c r="E1087" s="31">
        <v>4162075</v>
      </c>
      <c r="F1087" s="268" t="str">
        <f>IF(D1087="","",VLOOKUP(D1087,契約台帳!$A$3:$K$4986,6,FALSE)&amp;VLOOKUP(D1087,契約台帳!$A$3:$K$4986,7,FALSE)&amp;VLOOKUP(D1087,契約台帳!$A$3:$K$4986,8,FALSE)&amp;VLOOKUP(D1087,契約台帳!$A$3:$K$4986,9,FALSE)&amp;VLOOKUP(D1087,契約台帳!$A$3:$K$4986,11,FALSE))</f>
        <v>3SNMLBMNGTBF</v>
      </c>
      <c r="G1087" s="269" t="str">
        <f>IF(D1087="","",VLOOKUP(F1087,製品マスタ!$G$5:$H$5002,2,FALSE))</f>
        <v>S</v>
      </c>
      <c r="H1087" s="269" t="str">
        <f>IF(D1087="","",VLOOKUP(F1087,製品マスタ!$G$5:$K$5002,5,FALSE))</f>
        <v>MNGTBF</v>
      </c>
      <c r="I1087" s="270" t="str">
        <f>IF(D1087="","",VLOOKUP(F1087,製品マスタ!$G$5:$L$5002,6,FALSE))</f>
        <v>メタルミー　ネーマー　銀艶　Ｂ</v>
      </c>
      <c r="J1087" s="210" t="s">
        <v>935</v>
      </c>
      <c r="K1087" s="270">
        <f>IF(D1087="","",VLOOKUP(D1087,契約台帳!$A$3:$L$4986,12,FALSE))</f>
        <v>50</v>
      </c>
      <c r="L1087" s="270" t="str">
        <f>IF(D1087="","",INDEX(製品マスタ!$Q$5:$Q$5002,MATCH('S4'!F1087&amp;'S4'!K1087,製品マスタ!$AO$5:$AO$5002,0)))</f>
        <v>T62</v>
      </c>
      <c r="M1087" s="39">
        <v>1120</v>
      </c>
      <c r="N1087" s="39">
        <v>5000</v>
      </c>
      <c r="O1087" s="156">
        <v>16</v>
      </c>
      <c r="P1087" s="47">
        <v>2</v>
      </c>
      <c r="Q1087" s="213">
        <v>45196</v>
      </c>
      <c r="R1087" s="271">
        <f ca="1">IF(D1087="","",IF(OFFSET(D1087,-1,0)&lt;&gt;"","",IF(OR(J1087="リード付け",J1087="巻足し",J1087="巻返しリード付け"),M1087,VLOOKUP(D1087,契約台帳!$A$3:$N$4986,14,FALSE))))</f>
        <v>1120</v>
      </c>
      <c r="S1087" s="272">
        <f ca="1">IF(D1087="","",IF(OFFSET(D1087,-1,0)&lt;&gt;"","",IF(OR(J1087="リード付け",J1087="巻足し",J1087="巻返しリード付け"),M1087,VLOOKUP(D1087,契約台帳!$A$3:$O$4986,15,FALSE))))</f>
        <v>1120</v>
      </c>
      <c r="T1087" s="273">
        <f ca="1">IF(D1087="","",IF(J1087="リード付け",N1087,IF(J1087="巻返しリード付け",N1087,IF(J1087="巻足し",N1087*P1087+OFFSET(N1087,1,0)*OFFSET(P1087,1,0),VLOOKUP(D1087,契約台帳!$A$3:$P$4986,16,FALSE)))))</f>
        <v>10000</v>
      </c>
      <c r="U1087" s="40">
        <v>8</v>
      </c>
      <c r="V1087" s="274">
        <f ca="1">IF(D1087="","",IF(OFFSET(D1087,-2,0)=D1087,"",VLOOKUP(D1087,契約台帳!$A$3:$R$4986,18,FALSE)))</f>
        <v>36</v>
      </c>
      <c r="W1087" s="269" t="str">
        <f ca="1">IF(D1087="","",IF(T1087="","",IF(OR(J1087="巻足し",J1087="巻返しリード付け"),"",IF(J1087="巻返し",VLOOKUP(F1087&amp;K1087&amp;M1087,製品マスタ!$M$5:$AD$5002,18,FALSE),IF(OR(J1087="リード付け",J1087="巻返しリード付け"),"原反コア",IF(J1087="スリット",VLOOKUP(F1087&amp;K1087&amp;R1087,製品マスタ!$N$5:$AD$5002,17,FALSE),""))))))</f>
        <v/>
      </c>
      <c r="X1087" s="269" t="str">
        <f ca="1">IF(D1087="","",IF(T1087="","",IF(J1087="巻足し","",IF(J1087="巻返し",VLOOKUP(F1087&amp;K1087&amp;M1087,製品マスタ!$M$5:$AE$5002,19,FALSE),IF(OR(J1087="リード付け",J1087="巻返しリード付け"),"",IF(J1087="スリット",VLOOKUP(F1087&amp;K1087&amp;R1087,製品マスタ!$N$5:$AE$5002,18,FALSE),""))))))</f>
        <v/>
      </c>
      <c r="Y1087" s="275">
        <f ca="1">IF(D1087="","",IF(T1087="","",VLOOKUP(D1087,契約台帳!$A$3:$Q$4986,17,FALSE)))</f>
        <v>2</v>
      </c>
      <c r="Z1087" s="269" t="str">
        <f ca="1">IF(D1087="","",IF(T1087="","",VLOOKUP(D1087,契約台帳!$A$3:$E$4986,5,FALSE)))</f>
        <v xml:space="preserve">リンテック㈱        </v>
      </c>
      <c r="AA1087" s="57"/>
      <c r="AB1087" s="207" t="str">
        <f>IFERROR((VLOOKUP(F1087&amp;K1087&amp;M1087,製品マスタ!$M$5:$AM$5002,27,FALSE)),"")</f>
        <v>原反ケース再利用</v>
      </c>
      <c r="AC1087" s="33"/>
      <c r="AD1087" s="189"/>
      <c r="AE1087" s="54"/>
      <c r="AF1087" s="55">
        <f>+M1087*N1087*O1087/1000</f>
        <v>89600</v>
      </c>
      <c r="AG1087" s="43"/>
      <c r="AH1087" s="47"/>
      <c r="AI1087" s="30"/>
      <c r="AJ1087" s="30"/>
      <c r="AK1087" s="30"/>
      <c r="AL1087" s="30"/>
      <c r="AM1087" s="13"/>
      <c r="AN1087" s="13"/>
      <c r="AO1087" s="13"/>
      <c r="AP1087" s="13"/>
      <c r="AQ1087" s="13"/>
      <c r="AR1087" s="14"/>
      <c r="AS1087" s="15"/>
    </row>
    <row r="1088" spans="1:45" s="17" customFormat="1" ht="30.95" hidden="1" customHeight="1" x14ac:dyDescent="0.2">
      <c r="A1088" s="37"/>
      <c r="B1088" s="38"/>
      <c r="C1088" s="45"/>
      <c r="D1088" s="31"/>
      <c r="E1088" s="31"/>
      <c r="F1088" s="268"/>
      <c r="G1088" s="269"/>
      <c r="H1088" s="269"/>
      <c r="I1088" s="270"/>
      <c r="J1088" s="210"/>
      <c r="K1088" s="270"/>
      <c r="L1088" s="270"/>
      <c r="M1088" s="39"/>
      <c r="N1088" s="39"/>
      <c r="O1088" s="156"/>
      <c r="P1088" s="47"/>
      <c r="Q1088" s="57"/>
      <c r="R1088" s="338"/>
      <c r="S1088" s="272"/>
      <c r="T1088" s="273"/>
      <c r="U1088" s="40"/>
      <c r="V1088" s="277"/>
      <c r="W1088" s="269"/>
      <c r="X1088" s="269"/>
      <c r="Y1088" s="275"/>
      <c r="Z1088" s="269"/>
      <c r="AA1088" s="57"/>
      <c r="AB1088" s="207"/>
      <c r="AC1088" s="33"/>
      <c r="AD1088" s="189"/>
      <c r="AE1088" s="54"/>
      <c r="AF1088" s="55"/>
      <c r="AG1088" s="43"/>
      <c r="AH1088" s="47"/>
      <c r="AI1088" s="30"/>
      <c r="AJ1088" s="30"/>
      <c r="AK1088" s="30"/>
      <c r="AL1088" s="30"/>
      <c r="AM1088" s="13"/>
      <c r="AN1088" s="13"/>
      <c r="AO1088" s="13"/>
      <c r="AP1088" s="13"/>
      <c r="AQ1088" s="13"/>
      <c r="AR1088" s="14"/>
      <c r="AS1088" s="15"/>
    </row>
    <row r="1089" spans="1:45" s="17" customFormat="1" ht="30.95" hidden="1" customHeight="1" x14ac:dyDescent="0.2">
      <c r="A1089" s="37" t="s">
        <v>1591</v>
      </c>
      <c r="B1089" s="38" t="s">
        <v>1592</v>
      </c>
      <c r="C1089" s="45"/>
      <c r="D1089" s="31">
        <v>3727600</v>
      </c>
      <c r="E1089" s="31">
        <v>4162075</v>
      </c>
      <c r="F1089" s="268" t="str">
        <f>IF(D1089="","",VLOOKUP(D1089,契約台帳!$A$3:$K$4986,6,FALSE)&amp;VLOOKUP(D1089,契約台帳!$A$3:$K$4986,7,FALSE)&amp;VLOOKUP(D1089,契約台帳!$A$3:$K$4986,8,FALSE)&amp;VLOOKUP(D1089,契約台帳!$A$3:$K$4986,9,FALSE)&amp;VLOOKUP(D1089,契約台帳!$A$3:$K$4986,11,FALSE))</f>
        <v>3SNMLBMNGTBF</v>
      </c>
      <c r="G1089" s="269" t="str">
        <f>IF(D1089="","",VLOOKUP(F1089,製品マスタ!$G$5:$H$5002,2,FALSE))</f>
        <v>S</v>
      </c>
      <c r="H1089" s="269" t="str">
        <f>IF(D1089="","",VLOOKUP(F1089,製品マスタ!$G$5:$K$5002,5,FALSE))</f>
        <v>MNGTBF</v>
      </c>
      <c r="I1089" s="270" t="str">
        <f>IF(D1089="","",VLOOKUP(F1089,製品マスタ!$G$5:$L$5002,6,FALSE))</f>
        <v>メタルミー　ネーマー　銀艶　Ｂ</v>
      </c>
      <c r="J1089" s="210" t="s">
        <v>935</v>
      </c>
      <c r="K1089" s="270">
        <f>IF(D1089="","",VLOOKUP(D1089,契約台帳!$A$3:$L$4986,12,FALSE))</f>
        <v>50</v>
      </c>
      <c r="L1089" s="270" t="str">
        <f>IF(D1089="","",INDEX(製品マスタ!$Q$5:$Q$5002,MATCH('S4'!F1089&amp;'S4'!K1089,製品マスタ!$AO$5:$AO$5002,0)))</f>
        <v>T62</v>
      </c>
      <c r="M1089" s="39">
        <v>1120</v>
      </c>
      <c r="N1089" s="39">
        <v>5000</v>
      </c>
      <c r="O1089" s="156">
        <v>18</v>
      </c>
      <c r="P1089" s="47">
        <v>2</v>
      </c>
      <c r="Q1089" s="213">
        <v>45196</v>
      </c>
      <c r="R1089" s="271">
        <f ca="1">IF(D1089="","",IF(OFFSET(D1089,-1,0)&lt;&gt;"","",IF(OR(J1089="リード付け",J1089="巻足し",J1089="巻返しリード付け"),M1089,VLOOKUP(D1089,契約台帳!$A$3:$N$4986,14,FALSE))))</f>
        <v>1120</v>
      </c>
      <c r="S1089" s="272">
        <f ca="1">IF(D1089="","",IF(OFFSET(D1089,-1,0)&lt;&gt;"","",IF(OR(J1089="リード付け",J1089="巻足し",J1089="巻返しリード付け"),M1089,VLOOKUP(D1089,契約台帳!$A$3:$O$4986,15,FALSE))))</f>
        <v>1120</v>
      </c>
      <c r="T1089" s="273">
        <f ca="1">IF(D1089="","",IF(J1089="リード付け",N1089,IF(J1089="巻返しリード付け",N1089,IF(J1089="巻足し",N1089*P1089+OFFSET(N1089,1,0)*OFFSET(P1089,1,0),VLOOKUP(D1089,契約台帳!$A$3:$P$4986,16,FALSE)))))</f>
        <v>10000</v>
      </c>
      <c r="U1089" s="40">
        <v>9</v>
      </c>
      <c r="V1089" s="274" t="str">
        <f ca="1">IF(D1089="","",IF(OFFSET(D1089,-2,0)=D1089,"",VLOOKUP(D1089,契約台帳!$A$3:$R$4986,18,FALSE)))</f>
        <v/>
      </c>
      <c r="W1089" s="269" t="str">
        <f ca="1">IF(D1089="","",IF(T1089="","",IF(OR(J1089="巻足し",J1089="巻返しリード付け"),"",IF(J1089="巻返し",VLOOKUP(F1089&amp;K1089&amp;M1089,製品マスタ!$M$5:$AD$5002,18,FALSE),IF(OR(J1089="リード付け",J1089="巻返しリード付け"),"原反コア",IF(J1089="スリット",VLOOKUP(F1089&amp;K1089&amp;R1089,製品マスタ!$N$5:$AD$5002,17,FALSE),""))))))</f>
        <v/>
      </c>
      <c r="X1089" s="269" t="str">
        <f ca="1">IF(D1089="","",IF(T1089="","",IF(J1089="巻足し","",IF(J1089="巻返し",VLOOKUP(F1089&amp;K1089&amp;M1089,製品マスタ!$M$5:$AE$5002,19,FALSE),IF(OR(J1089="リード付け",J1089="巻返しリード付け"),"",IF(J1089="スリット",VLOOKUP(F1089&amp;K1089&amp;R1089,製品マスタ!$N$5:$AE$5002,18,FALSE),""))))))</f>
        <v/>
      </c>
      <c r="Y1089" s="275">
        <f ca="1">IF(D1089="","",IF(T1089="","",VLOOKUP(D1089,契約台帳!$A$3:$Q$4986,17,FALSE)))</f>
        <v>2</v>
      </c>
      <c r="Z1089" s="269" t="str">
        <f ca="1">IF(D1089="","",IF(T1089="","",VLOOKUP(D1089,契約台帳!$A$3:$E$4986,5,FALSE)))</f>
        <v xml:space="preserve">リンテック㈱        </v>
      </c>
      <c r="AA1089" s="57"/>
      <c r="AB1089" s="207" t="str">
        <f>IFERROR((VLOOKUP(F1089&amp;K1089&amp;M1089,製品マスタ!$M$5:$AM$5002,27,FALSE)),"")</f>
        <v>原反ケース再利用</v>
      </c>
      <c r="AC1089" s="33"/>
      <c r="AD1089" s="189"/>
      <c r="AE1089" s="54"/>
      <c r="AF1089" s="55">
        <f>+M1089*N1089*O1089/1000</f>
        <v>100800</v>
      </c>
      <c r="AG1089" s="43"/>
      <c r="AH1089" s="47"/>
      <c r="AI1089" s="30"/>
      <c r="AJ1089" s="30"/>
      <c r="AK1089" s="30"/>
      <c r="AL1089" s="30"/>
      <c r="AM1089" s="13"/>
      <c r="AN1089" s="13"/>
      <c r="AO1089" s="13"/>
      <c r="AP1089" s="13"/>
      <c r="AQ1089" s="13"/>
      <c r="AR1089" s="14"/>
      <c r="AS1089" s="15"/>
    </row>
    <row r="1090" spans="1:45" s="17" customFormat="1" ht="30.95" hidden="1" customHeight="1" x14ac:dyDescent="0.2">
      <c r="A1090" s="37"/>
      <c r="B1090" s="38"/>
      <c r="C1090" s="45"/>
      <c r="D1090" s="31"/>
      <c r="E1090" s="31"/>
      <c r="F1090" s="268"/>
      <c r="G1090" s="269"/>
      <c r="H1090" s="269"/>
      <c r="I1090" s="270"/>
      <c r="J1090" s="210"/>
      <c r="K1090" s="270"/>
      <c r="L1090" s="270"/>
      <c r="M1090" s="39"/>
      <c r="N1090" s="39"/>
      <c r="O1090" s="156"/>
      <c r="P1090" s="47"/>
      <c r="Q1090" s="57"/>
      <c r="R1090" s="338"/>
      <c r="S1090" s="272"/>
      <c r="T1090" s="273"/>
      <c r="U1090" s="40"/>
      <c r="V1090" s="277"/>
      <c r="W1090" s="269"/>
      <c r="X1090" s="269"/>
      <c r="Y1090" s="275"/>
      <c r="Z1090" s="269"/>
      <c r="AA1090" s="57"/>
      <c r="AB1090" s="207"/>
      <c r="AC1090" s="33"/>
      <c r="AD1090" s="189"/>
      <c r="AE1090" s="54"/>
      <c r="AF1090" s="55"/>
      <c r="AG1090" s="43"/>
      <c r="AH1090" s="47"/>
      <c r="AI1090" s="30"/>
      <c r="AJ1090" s="30"/>
      <c r="AK1090" s="30"/>
      <c r="AL1090" s="30"/>
      <c r="AM1090" s="13"/>
      <c r="AN1090" s="13"/>
      <c r="AO1090" s="13"/>
      <c r="AP1090" s="13"/>
      <c r="AQ1090" s="13"/>
      <c r="AR1090" s="14"/>
      <c r="AS1090" s="15"/>
    </row>
    <row r="1091" spans="1:45" s="17" customFormat="1" ht="30.95" hidden="1" customHeight="1" x14ac:dyDescent="0.2">
      <c r="A1091" s="37" t="s">
        <v>1593</v>
      </c>
      <c r="B1091" s="38" t="s">
        <v>1594</v>
      </c>
      <c r="C1091" s="45"/>
      <c r="D1091" s="31"/>
      <c r="E1091" s="31"/>
      <c r="F1091" s="268"/>
      <c r="G1091" s="269"/>
      <c r="H1091" s="269"/>
      <c r="I1091" s="270"/>
      <c r="J1091" s="210"/>
      <c r="K1091" s="270"/>
      <c r="L1091" s="270"/>
      <c r="M1091" s="39"/>
      <c r="N1091" s="39"/>
      <c r="O1091" s="156"/>
      <c r="P1091" s="47"/>
      <c r="Q1091" s="57"/>
      <c r="R1091" s="338"/>
      <c r="S1091" s="272"/>
      <c r="T1091" s="273"/>
      <c r="U1091" s="40"/>
      <c r="V1091" s="277"/>
      <c r="W1091" s="269"/>
      <c r="X1091" s="269"/>
      <c r="Y1091" s="275"/>
      <c r="Z1091" s="269"/>
      <c r="AA1091" s="57"/>
      <c r="AB1091" s="207"/>
      <c r="AC1091" s="33"/>
      <c r="AD1091" s="189"/>
      <c r="AE1091" s="54"/>
      <c r="AF1091" s="55"/>
      <c r="AG1091" s="43"/>
      <c r="AH1091" s="47"/>
      <c r="AI1091" s="30"/>
      <c r="AJ1091" s="30"/>
      <c r="AK1091" s="30"/>
      <c r="AL1091" s="30"/>
      <c r="AM1091" s="13"/>
      <c r="AN1091" s="13"/>
      <c r="AO1091" s="13"/>
      <c r="AP1091" s="13"/>
      <c r="AQ1091" s="13"/>
      <c r="AR1091" s="14"/>
      <c r="AS1091" s="15"/>
    </row>
    <row r="1092" spans="1:45" s="17" customFormat="1" ht="30.95" hidden="1" customHeight="1" x14ac:dyDescent="0.2">
      <c r="A1092" s="37"/>
      <c r="B1092" s="38"/>
      <c r="C1092" s="45"/>
      <c r="D1092" s="31"/>
      <c r="E1092" s="31"/>
      <c r="F1092" s="268"/>
      <c r="G1092" s="269"/>
      <c r="H1092" s="269"/>
      <c r="I1092" s="270"/>
      <c r="J1092" s="210"/>
      <c r="K1092" s="270"/>
      <c r="L1092" s="270"/>
      <c r="M1092" s="39"/>
      <c r="N1092" s="39"/>
      <c r="O1092" s="156"/>
      <c r="P1092" s="47"/>
      <c r="Q1092" s="57"/>
      <c r="R1092" s="338"/>
      <c r="S1092" s="272"/>
      <c r="T1092" s="273"/>
      <c r="U1092" s="40"/>
      <c r="V1092" s="277"/>
      <c r="W1092" s="269"/>
      <c r="X1092" s="269"/>
      <c r="Y1092" s="275"/>
      <c r="Z1092" s="269"/>
      <c r="AA1092" s="57"/>
      <c r="AB1092" s="207"/>
      <c r="AC1092" s="33"/>
      <c r="AD1092" s="189"/>
      <c r="AE1092" s="54"/>
      <c r="AF1092" s="55"/>
      <c r="AG1092" s="43"/>
      <c r="AH1092" s="47"/>
      <c r="AI1092" s="30"/>
      <c r="AJ1092" s="30"/>
      <c r="AK1092" s="30"/>
      <c r="AL1092" s="30"/>
      <c r="AM1092" s="13"/>
      <c r="AN1092" s="13"/>
      <c r="AO1092" s="13"/>
      <c r="AP1092" s="13"/>
      <c r="AQ1092" s="13"/>
      <c r="AR1092" s="14"/>
      <c r="AS1092" s="15"/>
    </row>
    <row r="1093" spans="1:45" s="17" customFormat="1" ht="30.95" hidden="1" customHeight="1" x14ac:dyDescent="0.2">
      <c r="A1093" s="37" t="s">
        <v>1595</v>
      </c>
      <c r="B1093" s="38" t="s">
        <v>1596</v>
      </c>
      <c r="C1093" s="45"/>
      <c r="D1093" s="31"/>
      <c r="E1093" s="31"/>
      <c r="F1093" s="268"/>
      <c r="G1093" s="269"/>
      <c r="H1093" s="269"/>
      <c r="I1093" s="270"/>
      <c r="J1093" s="210"/>
      <c r="K1093" s="270"/>
      <c r="L1093" s="270"/>
      <c r="M1093" s="39"/>
      <c r="N1093" s="39"/>
      <c r="O1093" s="156"/>
      <c r="P1093" s="47"/>
      <c r="Q1093" s="57"/>
      <c r="R1093" s="338"/>
      <c r="S1093" s="272"/>
      <c r="T1093" s="273"/>
      <c r="U1093" s="40"/>
      <c r="V1093" s="277"/>
      <c r="W1093" s="269"/>
      <c r="X1093" s="269"/>
      <c r="Y1093" s="275"/>
      <c r="Z1093" s="269"/>
      <c r="AA1093" s="57"/>
      <c r="AB1093" s="207"/>
      <c r="AC1093" s="33"/>
      <c r="AD1093" s="189"/>
      <c r="AE1093" s="54"/>
      <c r="AF1093" s="55"/>
      <c r="AG1093" s="43"/>
      <c r="AH1093" s="47"/>
      <c r="AI1093" s="30"/>
      <c r="AJ1093" s="30"/>
      <c r="AK1093" s="30"/>
      <c r="AL1093" s="30"/>
      <c r="AM1093" s="13"/>
      <c r="AN1093" s="13"/>
      <c r="AO1093" s="13"/>
      <c r="AP1093" s="13"/>
      <c r="AQ1093" s="13"/>
      <c r="AR1093" s="14"/>
      <c r="AS1093" s="15"/>
    </row>
    <row r="1094" spans="1:45" s="17" customFormat="1" ht="30.95" hidden="1" customHeight="1" x14ac:dyDescent="0.2">
      <c r="A1094" s="37"/>
      <c r="B1094" s="38"/>
      <c r="C1094" s="45"/>
      <c r="D1094" s="31"/>
      <c r="E1094" s="31"/>
      <c r="F1094" s="268"/>
      <c r="G1094" s="269"/>
      <c r="H1094" s="269"/>
      <c r="I1094" s="270"/>
      <c r="J1094" s="210"/>
      <c r="K1094" s="270"/>
      <c r="L1094" s="270"/>
      <c r="M1094" s="39"/>
      <c r="N1094" s="39"/>
      <c r="O1094" s="156"/>
      <c r="P1094" s="47"/>
      <c r="Q1094" s="57"/>
      <c r="R1094" s="338"/>
      <c r="S1094" s="272"/>
      <c r="T1094" s="273"/>
      <c r="U1094" s="40"/>
      <c r="V1094" s="277"/>
      <c r="W1094" s="269"/>
      <c r="X1094" s="269"/>
      <c r="Y1094" s="275"/>
      <c r="Z1094" s="269"/>
      <c r="AA1094" s="57"/>
      <c r="AB1094" s="207"/>
      <c r="AC1094" s="33"/>
      <c r="AD1094" s="189"/>
      <c r="AE1094" s="54"/>
      <c r="AF1094" s="55"/>
      <c r="AG1094" s="43"/>
      <c r="AH1094" s="47"/>
      <c r="AI1094" s="30"/>
      <c r="AJ1094" s="30"/>
      <c r="AK1094" s="30"/>
      <c r="AL1094" s="30"/>
      <c r="AM1094" s="13"/>
      <c r="AN1094" s="13"/>
      <c r="AO1094" s="13"/>
      <c r="AP1094" s="13"/>
      <c r="AQ1094" s="13"/>
      <c r="AR1094" s="14"/>
      <c r="AS1094" s="15"/>
    </row>
    <row r="1095" spans="1:45" s="17" customFormat="1" ht="30.95" hidden="1" customHeight="1" x14ac:dyDescent="0.2">
      <c r="A1095" s="37" t="s">
        <v>1597</v>
      </c>
      <c r="B1095" s="38" t="s">
        <v>1598</v>
      </c>
      <c r="C1095" s="45"/>
      <c r="D1095" s="31">
        <v>3727600</v>
      </c>
      <c r="E1095" s="31">
        <v>4162075</v>
      </c>
      <c r="F1095" s="268" t="str">
        <f>IF(D1095="","",VLOOKUP(D1095,契約台帳!$A$3:$K$4986,6,FALSE)&amp;VLOOKUP(D1095,契約台帳!$A$3:$K$4986,7,FALSE)&amp;VLOOKUP(D1095,契約台帳!$A$3:$K$4986,8,FALSE)&amp;VLOOKUP(D1095,契約台帳!$A$3:$K$4986,9,FALSE)&amp;VLOOKUP(D1095,契約台帳!$A$3:$K$4986,11,FALSE))</f>
        <v>3SNMLBMNGTBF</v>
      </c>
      <c r="G1095" s="269" t="str">
        <f>IF(D1095="","",VLOOKUP(F1095,製品マスタ!$G$5:$H$5002,2,FALSE))</f>
        <v>S</v>
      </c>
      <c r="H1095" s="269" t="str">
        <f>IF(D1095="","",VLOOKUP(F1095,製品マスタ!$G$5:$K$5002,5,FALSE))</f>
        <v>MNGTBF</v>
      </c>
      <c r="I1095" s="270" t="str">
        <f>IF(D1095="","",VLOOKUP(F1095,製品マスタ!$G$5:$L$5002,6,FALSE))</f>
        <v>メタルミー　ネーマー　銀艶　Ｂ</v>
      </c>
      <c r="J1095" s="210" t="s">
        <v>935</v>
      </c>
      <c r="K1095" s="270">
        <f>IF(D1095="","",VLOOKUP(D1095,契約台帳!$A$3:$L$4986,12,FALSE))</f>
        <v>50</v>
      </c>
      <c r="L1095" s="270" t="str">
        <f>IF(D1095="","",INDEX(製品マスタ!$Q$5:$Q$5002,MATCH('S4'!F1095&amp;'S4'!K1095,製品マスタ!$AO$5:$AO$5002,0)))</f>
        <v>T62</v>
      </c>
      <c r="M1095" s="39">
        <v>1120</v>
      </c>
      <c r="N1095" s="39">
        <v>5000</v>
      </c>
      <c r="O1095" s="156">
        <v>2</v>
      </c>
      <c r="P1095" s="47">
        <v>2</v>
      </c>
      <c r="Q1095" s="213">
        <v>45196</v>
      </c>
      <c r="R1095" s="271">
        <f ca="1">IF(D1095="","",IF(OFFSET(D1095,-1,0)&lt;&gt;"","",IF(OR(J1095="リード付け",J1095="巻足し",J1095="巻返しリード付け"),M1095,VLOOKUP(D1095,契約台帳!$A$3:$N$4986,14,FALSE))))</f>
        <v>1120</v>
      </c>
      <c r="S1095" s="272">
        <f ca="1">IF(D1095="","",IF(OFFSET(D1095,-1,0)&lt;&gt;"","",IF(OR(J1095="リード付け",J1095="巻足し",J1095="巻返しリード付け"),M1095,VLOOKUP(D1095,契約台帳!$A$3:$O$4986,15,FALSE))))</f>
        <v>1120</v>
      </c>
      <c r="T1095" s="273">
        <f ca="1">IF(D1095="","",IF(J1095="リード付け",N1095,IF(J1095="巻返しリード付け",N1095,IF(J1095="巻足し",N1095*P1095+OFFSET(N1095,1,0)*OFFSET(P1095,1,0),VLOOKUP(D1095,契約台帳!$A$3:$P$4986,16,FALSE)))))</f>
        <v>10000</v>
      </c>
      <c r="U1095" s="40">
        <v>1</v>
      </c>
      <c r="V1095" s="274">
        <f ca="1">IF(D1095="","",IF(OFFSET(D1095,-2,0)=D1095,"",VLOOKUP(D1095,契約台帳!$A$3:$R$4986,18,FALSE)))</f>
        <v>36</v>
      </c>
      <c r="W1095" s="269" t="str">
        <f ca="1">IF(D1095="","",IF(T1095="","",IF(OR(J1095="巻足し",J1095="巻返しリード付け"),"",IF(J1095="巻返し",VLOOKUP(F1095&amp;K1095&amp;M1095,製品マスタ!$M$5:$AD$5002,18,FALSE),IF(OR(J1095="リード付け",J1095="巻返しリード付け"),"原反コア",IF(J1095="スリット",VLOOKUP(F1095&amp;K1095&amp;R1095,製品マスタ!$N$5:$AD$5002,17,FALSE),""))))))</f>
        <v/>
      </c>
      <c r="X1095" s="269" t="str">
        <f ca="1">IF(D1095="","",IF(T1095="","",IF(J1095="巻足し","",IF(J1095="巻返し",VLOOKUP(F1095&amp;K1095&amp;M1095,製品マスタ!$M$5:$AE$5002,19,FALSE),IF(OR(J1095="リード付け",J1095="巻返しリード付け"),"",IF(J1095="スリット",VLOOKUP(F1095&amp;K1095&amp;R1095,製品マスタ!$N$5:$AE$5002,18,FALSE),""))))))</f>
        <v/>
      </c>
      <c r="Y1095" s="275">
        <f ca="1">IF(D1095="","",IF(T1095="","",VLOOKUP(D1095,契約台帳!$A$3:$Q$4986,17,FALSE)))</f>
        <v>2</v>
      </c>
      <c r="Z1095" s="269" t="str">
        <f ca="1">IF(D1095="","",IF(T1095="","",VLOOKUP(D1095,契約台帳!$A$3:$E$4986,5,FALSE)))</f>
        <v xml:space="preserve">リンテック㈱        </v>
      </c>
      <c r="AA1095" s="57"/>
      <c r="AB1095" s="207" t="str">
        <f>IFERROR((VLOOKUP(F1095&amp;K1095&amp;M1095,製品マスタ!$M$5:$AM$5002,27,FALSE)),"")</f>
        <v>原反ケース再利用</v>
      </c>
      <c r="AC1095" s="33"/>
      <c r="AD1095" s="189"/>
      <c r="AE1095" s="54"/>
      <c r="AF1095" s="55"/>
      <c r="AG1095" s="43"/>
      <c r="AH1095" s="47"/>
      <c r="AI1095" s="30"/>
      <c r="AJ1095" s="30"/>
      <c r="AK1095" s="30"/>
      <c r="AL1095" s="30"/>
      <c r="AM1095" s="13"/>
      <c r="AN1095" s="13"/>
      <c r="AO1095" s="13"/>
      <c r="AP1095" s="13"/>
      <c r="AQ1095" s="13"/>
      <c r="AR1095" s="14"/>
      <c r="AS1095" s="15"/>
    </row>
    <row r="1096" spans="1:45" s="17" customFormat="1" ht="30.95" hidden="1" customHeight="1" x14ac:dyDescent="0.2">
      <c r="A1096" s="37"/>
      <c r="B1096" s="38"/>
      <c r="C1096" s="45"/>
      <c r="D1096" s="31"/>
      <c r="E1096" s="31"/>
      <c r="F1096" s="268"/>
      <c r="G1096" s="269"/>
      <c r="H1096" s="269"/>
      <c r="I1096" s="270"/>
      <c r="J1096" s="210"/>
      <c r="K1096" s="270"/>
      <c r="L1096" s="270"/>
      <c r="M1096" s="39"/>
      <c r="N1096" s="39"/>
      <c r="O1096" s="156"/>
      <c r="P1096" s="47"/>
      <c r="Q1096" s="57"/>
      <c r="R1096" s="338"/>
      <c r="S1096" s="272"/>
      <c r="T1096" s="273"/>
      <c r="U1096" s="40"/>
      <c r="V1096" s="277"/>
      <c r="W1096" s="269"/>
      <c r="X1096" s="269"/>
      <c r="Y1096" s="275"/>
      <c r="Z1096" s="269"/>
      <c r="AA1096" s="57"/>
      <c r="AB1096" s="207"/>
      <c r="AC1096" s="33"/>
      <c r="AD1096" s="189"/>
      <c r="AE1096" s="54"/>
      <c r="AF1096" s="55"/>
      <c r="AG1096" s="43"/>
      <c r="AH1096" s="47"/>
      <c r="AI1096" s="30"/>
      <c r="AJ1096" s="30"/>
      <c r="AK1096" s="30"/>
      <c r="AL1096" s="30"/>
      <c r="AM1096" s="13"/>
      <c r="AN1096" s="13"/>
      <c r="AO1096" s="13"/>
      <c r="AP1096" s="13"/>
      <c r="AQ1096" s="13"/>
      <c r="AR1096" s="14"/>
      <c r="AS1096" s="15"/>
    </row>
    <row r="1097" spans="1:45" s="17" customFormat="1" ht="30.95" hidden="1" customHeight="1" x14ac:dyDescent="0.2">
      <c r="A1097" s="37"/>
      <c r="B1097" s="38"/>
      <c r="C1097" s="45"/>
      <c r="D1097" s="31">
        <v>3727612</v>
      </c>
      <c r="E1097" s="31">
        <v>4162081</v>
      </c>
      <c r="F1097" s="268" t="str">
        <f>IF(D1097="","",VLOOKUP(D1097,契約台帳!$A$3:$K$4986,6,FALSE)&amp;VLOOKUP(D1097,契約台帳!$A$3:$K$4986,7,FALSE)&amp;VLOOKUP(D1097,契約台帳!$A$3:$K$4986,8,FALSE)&amp;VLOOKUP(D1097,契約台帳!$A$3:$K$4986,9,FALSE)&amp;VLOOKUP(D1097,契約台帳!$A$3:$K$4986,11,FALSE))</f>
        <v>3SYMLBMSBBF</v>
      </c>
      <c r="G1097" s="269" t="str">
        <f>IF(D1097="","",VLOOKUP(F1097,製品マスタ!$G$5:$H$5002,2,FALSE))</f>
        <v>S</v>
      </c>
      <c r="H1097" s="269" t="str">
        <f>IF(D1097="","",VLOOKUP(F1097,製品マスタ!$G$5:$K$5002,5,FALSE))</f>
        <v>MSBBF</v>
      </c>
      <c r="I1097" s="270" t="str">
        <f>IF(D1097="","",VLOOKUP(F1097,製品マスタ!$G$5:$L$5002,6,FALSE))</f>
        <v>ＭＥＴＡＬＵＭＹ　ＳＩＬＶＥＲ　ＢＲＩＧＨＴ　Ｔ６２Ｍ　Ｂ</v>
      </c>
      <c r="J1097" s="210" t="s">
        <v>935</v>
      </c>
      <c r="K1097" s="270">
        <f>IF(D1097="","",VLOOKUP(D1097,契約台帳!$A$3:$L$4986,12,FALSE))</f>
        <v>50</v>
      </c>
      <c r="L1097" s="270" t="str">
        <f>IF(D1097="","",INDEX(製品マスタ!$Q$5:$Q$5002,MATCH('S4'!F1097&amp;'S4'!K1097,製品マスタ!$AO$5:$AO$5002,0)))</f>
        <v>T62</v>
      </c>
      <c r="M1097" s="39">
        <v>1120</v>
      </c>
      <c r="N1097" s="39">
        <v>5000</v>
      </c>
      <c r="O1097" s="156">
        <v>2</v>
      </c>
      <c r="P1097" s="47">
        <v>2</v>
      </c>
      <c r="Q1097" s="213">
        <v>45196</v>
      </c>
      <c r="R1097" s="271">
        <f ca="1">IF(D1097="","",IF(OFFSET(D1097,-1,0)&lt;&gt;"","",IF(OR(J1097="リード付け",J1097="巻足し",J1097="巻返しリード付け"),M1097,VLOOKUP(D1097,契約台帳!$A$3:$N$4986,14,FALSE))))</f>
        <v>1120</v>
      </c>
      <c r="S1097" s="272">
        <f ca="1">IF(D1097="","",IF(OFFSET(D1097,-1,0)&lt;&gt;"","",IF(OR(J1097="リード付け",J1097="巻足し",J1097="巻返しリード付け"),M1097,VLOOKUP(D1097,契約台帳!$A$3:$O$4986,15,FALSE))))</f>
        <v>1120</v>
      </c>
      <c r="T1097" s="273">
        <f ca="1">IF(D1097="","",IF(J1097="リード付け",N1097,IF(J1097="巻返しリード付け",N1097,IF(J1097="巻足し",N1097*P1097+OFFSET(N1097,1,0)*OFFSET(P1097,1,0),VLOOKUP(D1097,契約台帳!$A$3:$P$4986,16,FALSE)))))</f>
        <v>10000</v>
      </c>
      <c r="U1097" s="40">
        <v>1</v>
      </c>
      <c r="V1097" s="274">
        <f ca="1">IF(D1097="","",IF(OFFSET(D1097,-2,0)=D1097,"",VLOOKUP(D1097,契約台帳!$A$3:$R$4986,18,FALSE)))</f>
        <v>2</v>
      </c>
      <c r="W1097" s="269" t="str">
        <f ca="1">IF(D1097="","",IF(T1097="","",IF(OR(J1097="巻足し",J1097="巻返しリード付け"),"",IF(J1097="巻返し",VLOOKUP(F1097&amp;K1097&amp;M1097,製品マスタ!$M$5:$AD$5002,18,FALSE),IF(OR(J1097="リード付け",J1097="巻返しリード付け"),"原反コア",IF(J1097="スリット",VLOOKUP(F1097&amp;K1097&amp;R1097,製品マスタ!$N$5:$AD$5002,17,FALSE),""))))))</f>
        <v/>
      </c>
      <c r="X1097" s="269" t="str">
        <f ca="1">IF(D1097="","",IF(T1097="","",IF(J1097="巻足し","",IF(J1097="巻返し",VLOOKUP(F1097&amp;K1097&amp;M1097,製品マスタ!$M$5:$AE$5002,19,FALSE),IF(OR(J1097="リード付け",J1097="巻返しリード付け"),"",IF(J1097="スリット",VLOOKUP(F1097&amp;K1097&amp;R1097,製品マスタ!$N$5:$AE$5002,18,FALSE),""))))))</f>
        <v/>
      </c>
      <c r="Y1097" s="275">
        <f ca="1">IF(D1097="","",IF(T1097="","",VLOOKUP(D1097,契約台帳!$A$3:$Q$4986,17,FALSE)))</f>
        <v>2</v>
      </c>
      <c r="Z1097" s="269" t="str">
        <f ca="1">IF(D1097="","",IF(T1097="","",VLOOKUP(D1097,契約台帳!$A$3:$E$4986,5,FALSE)))</f>
        <v xml:space="preserve">リンテック㈱        </v>
      </c>
      <c r="AA1097" s="57"/>
      <c r="AB1097" s="207" t="str">
        <f>IFERROR((VLOOKUP(F1097&amp;K1097&amp;M1097,製品マスタ!$M$5:$AM$5002,27,FALSE)),"")</f>
        <v>原反ケース再利用</v>
      </c>
      <c r="AC1097" s="33"/>
      <c r="AD1097" s="189"/>
      <c r="AE1097" s="54"/>
      <c r="AF1097" s="55"/>
      <c r="AG1097" s="43"/>
      <c r="AH1097" s="47"/>
      <c r="AI1097" s="30"/>
      <c r="AJ1097" s="30"/>
      <c r="AK1097" s="30"/>
      <c r="AL1097" s="30"/>
      <c r="AM1097" s="13"/>
      <c r="AN1097" s="13"/>
      <c r="AO1097" s="13"/>
      <c r="AP1097" s="13"/>
      <c r="AQ1097" s="13"/>
      <c r="AR1097" s="14"/>
      <c r="AS1097" s="15"/>
    </row>
    <row r="1098" spans="1:45" s="17" customFormat="1" ht="30.95" hidden="1" customHeight="1" x14ac:dyDescent="0.2">
      <c r="A1098" s="37"/>
      <c r="B1098" s="38"/>
      <c r="C1098" s="45"/>
      <c r="D1098" s="31"/>
      <c r="E1098" s="31"/>
      <c r="F1098" s="268"/>
      <c r="G1098" s="269"/>
      <c r="H1098" s="269"/>
      <c r="I1098" s="270"/>
      <c r="J1098" s="210"/>
      <c r="K1098" s="270"/>
      <c r="L1098" s="270"/>
      <c r="M1098" s="39"/>
      <c r="N1098" s="39"/>
      <c r="O1098" s="156"/>
      <c r="P1098" s="47"/>
      <c r="Q1098" s="57"/>
      <c r="R1098" s="338"/>
      <c r="S1098" s="272"/>
      <c r="T1098" s="273"/>
      <c r="U1098" s="40"/>
      <c r="V1098" s="277"/>
      <c r="W1098" s="269"/>
      <c r="X1098" s="269"/>
      <c r="Y1098" s="275"/>
      <c r="Z1098" s="269"/>
      <c r="AA1098" s="57"/>
      <c r="AB1098" s="207"/>
      <c r="AC1098" s="33"/>
      <c r="AD1098" s="189"/>
      <c r="AE1098" s="54"/>
      <c r="AF1098" s="55"/>
      <c r="AG1098" s="43"/>
      <c r="AH1098" s="47"/>
      <c r="AI1098" s="30"/>
      <c r="AJ1098" s="30"/>
      <c r="AK1098" s="30"/>
      <c r="AL1098" s="30"/>
      <c r="AM1098" s="13"/>
      <c r="AN1098" s="13"/>
      <c r="AO1098" s="13"/>
      <c r="AP1098" s="13"/>
      <c r="AQ1098" s="13"/>
      <c r="AR1098" s="14"/>
      <c r="AS1098" s="15"/>
    </row>
    <row r="1099" spans="1:45" s="17" customFormat="1" ht="30.75" hidden="1" customHeight="1" x14ac:dyDescent="0.2">
      <c r="A1099" s="37"/>
      <c r="B1099" s="38"/>
      <c r="C1099" s="45"/>
      <c r="D1099" s="31">
        <v>3727611</v>
      </c>
      <c r="E1099" s="31">
        <v>4162090</v>
      </c>
      <c r="F1099" s="268" t="str">
        <f>IF(D1099="","",VLOOKUP(D1099,契約台帳!$A$3:$K$4986,6,FALSE)&amp;VLOOKUP(D1099,契約台帳!$A$3:$K$4986,7,FALSE)&amp;VLOOKUP(D1099,契約台帳!$A$3:$K$4986,8,FALSE)&amp;VLOOKUP(D1099,契約台帳!$A$3:$K$4986,9,FALSE)&amp;VLOOKUP(D1099,契約台帳!$A$3:$K$4986,11,FALSE))</f>
        <v>3SNMLBMNQR66F</v>
      </c>
      <c r="G1099" s="269" t="str">
        <f>IF(D1099="","",VLOOKUP(F1099,製品マスタ!$G$5:$H$5002,2,FALSE))</f>
        <v>S</v>
      </c>
      <c r="H1099" s="269" t="str">
        <f>IF(D1099="","",VLOOKUP(F1099,製品マスタ!$G$5:$K$5002,5,FALSE))</f>
        <v>MNQR66F</v>
      </c>
      <c r="I1099" s="270" t="str">
        <f>IF(D1099="","",VLOOKUP(F1099,製品マスタ!$G$5:$L$5002,6,FALSE))</f>
        <v>ＱＲ６６蒸着品</v>
      </c>
      <c r="J1099" s="210" t="s">
        <v>935</v>
      </c>
      <c r="K1099" s="270">
        <f>IF(D1099="","",VLOOKUP(D1099,契約台帳!$A$3:$L$4986,12,FALSE))</f>
        <v>25</v>
      </c>
      <c r="L1099" s="270" t="str">
        <f>IF(D1099="","",INDEX(製品マスタ!$Q$5:$Q$5002,MATCH('S4'!F1099&amp;'S4'!K1099,製品マスタ!$AO$5:$AO$5002,0)))</f>
        <v>E315</v>
      </c>
      <c r="M1099" s="39">
        <v>1100</v>
      </c>
      <c r="N1099" s="39">
        <v>6000</v>
      </c>
      <c r="O1099" s="156">
        <v>8</v>
      </c>
      <c r="P1099" s="47">
        <v>4</v>
      </c>
      <c r="Q1099" s="213">
        <v>45197</v>
      </c>
      <c r="R1099" s="271">
        <f ca="1">IF(D1099="","",IF(OFFSET(D1099,-1,0)&lt;&gt;"","",IF(OR(J1099="リード付け",J1099="巻足し",J1099="巻返しリード付け"),M1099,VLOOKUP(D1099,契約台帳!$A$3:$N$4986,14,FALSE))))</f>
        <v>1100</v>
      </c>
      <c r="S1099" s="272">
        <f ca="1">IF(D1099="","",IF(OFFSET(D1099,-1,0)&lt;&gt;"","",IF(OR(J1099="リード付け",J1099="巻足し",J1099="巻返しリード付け"),M1099,VLOOKUP(D1099,契約台帳!$A$3:$O$4986,15,FALSE))))</f>
        <v>1100</v>
      </c>
      <c r="T1099" s="273">
        <f ca="1">IF(D1099="","",IF(J1099="リード付け",N1099,IF(J1099="巻返しリード付け",N1099,IF(J1099="巻足し",N1099*P1099+OFFSET(N1099,1,0)*OFFSET(P1099,1,0),VLOOKUP(D1099,契約台帳!$A$3:$P$4986,16,FALSE)))))</f>
        <v>24000</v>
      </c>
      <c r="U1099" s="40">
        <v>2</v>
      </c>
      <c r="V1099" s="274">
        <f ca="1">IF(D1099="","",IF(OFFSET(D1099,-2,0)=D1099,"",VLOOKUP(D1099,契約台帳!$A$3:$R$4986,18,FALSE)))</f>
        <v>8</v>
      </c>
      <c r="W1099" s="269" t="str">
        <f ca="1">IF(D1099="","",IF(T1099="","",IF(OR(J1099="巻足し",J1099="巻返しリード付け"),"",IF(J1099="巻返し",VLOOKUP(F1099&amp;K1099&amp;M1099,製品マスタ!$M$5:$AD$5002,18,FALSE),IF(OR(J1099="リード付け",J1099="巻返しリード付け"),"原反コア",IF(J1099="スリット",VLOOKUP(F1099&amp;K1099&amp;R1099,製品マスタ!$N$5:$AD$5002,17,FALSE),""))))))</f>
        <v/>
      </c>
      <c r="X1099" s="269" t="str">
        <f ca="1">IF(D1099="","",IF(T1099="","",IF(J1099="巻足し","",IF(J1099="巻返し",VLOOKUP(F1099&amp;K1099&amp;M1099,製品マスタ!$M$5:$AE$5002,19,FALSE),IF(OR(J1099="リード付け",J1099="巻返しリード付け"),"",IF(J1099="スリット",VLOOKUP(F1099&amp;K1099&amp;R1099,製品マスタ!$N$5:$AE$5002,18,FALSE),""))))))</f>
        <v/>
      </c>
      <c r="Y1099" s="275">
        <f ca="1">IF(D1099="","",IF(T1099="","",VLOOKUP(D1099,契約台帳!$A$3:$Q$4986,17,FALSE)))</f>
        <v>2</v>
      </c>
      <c r="Z1099" s="269" t="str">
        <f ca="1">IF(D1099="","",IF(T1099="","",VLOOKUP(D1099,契約台帳!$A$3:$E$4986,5,FALSE)))</f>
        <v xml:space="preserve">リンテック㈱        </v>
      </c>
      <c r="AA1099" s="57"/>
      <c r="AB1099" s="207" t="str">
        <f>IFERROR((VLOOKUP(F1099&amp;K1099&amp;M1099,製品マスタ!$M$5:$AM$5002,27,FALSE)),"")</f>
        <v>原反ケース再利用</v>
      </c>
      <c r="AC1099" s="33"/>
      <c r="AD1099" s="395" t="s">
        <v>1605</v>
      </c>
      <c r="AE1099" s="54"/>
      <c r="AF1099" s="55"/>
      <c r="AG1099" s="43"/>
      <c r="AH1099" s="47"/>
      <c r="AI1099" s="30"/>
      <c r="AJ1099" s="30"/>
      <c r="AK1099" s="30"/>
      <c r="AL1099" s="30"/>
      <c r="AM1099" s="13"/>
      <c r="AN1099" s="13"/>
      <c r="AO1099" s="13"/>
      <c r="AP1099" s="13"/>
      <c r="AQ1099" s="13"/>
      <c r="AR1099" s="14"/>
      <c r="AS1099" s="15"/>
    </row>
    <row r="1100" spans="1:45" s="17" customFormat="1" ht="30.95" hidden="1" customHeight="1" x14ac:dyDescent="0.2">
      <c r="A1100" s="37"/>
      <c r="B1100" s="38"/>
      <c r="C1100" s="45"/>
      <c r="D1100" s="31"/>
      <c r="E1100" s="31"/>
      <c r="F1100" s="268"/>
      <c r="G1100" s="269"/>
      <c r="H1100" s="269"/>
      <c r="I1100" s="270"/>
      <c r="J1100" s="210"/>
      <c r="K1100" s="270"/>
      <c r="L1100" s="270"/>
      <c r="M1100" s="39"/>
      <c r="N1100" s="39"/>
      <c r="O1100" s="156"/>
      <c r="P1100" s="47"/>
      <c r="Q1100" s="57"/>
      <c r="R1100" s="338"/>
      <c r="S1100" s="272"/>
      <c r="T1100" s="273"/>
      <c r="U1100" s="40"/>
      <c r="V1100" s="277"/>
      <c r="W1100" s="269"/>
      <c r="X1100" s="269"/>
      <c r="Y1100" s="275"/>
      <c r="Z1100" s="269"/>
      <c r="AA1100" s="57"/>
      <c r="AB1100" s="207"/>
      <c r="AC1100" s="33"/>
      <c r="AD1100" s="189"/>
      <c r="AE1100" s="54"/>
      <c r="AF1100" s="55"/>
      <c r="AG1100" s="43"/>
      <c r="AH1100" s="47"/>
      <c r="AI1100" s="30"/>
      <c r="AJ1100" s="30"/>
      <c r="AK1100" s="30"/>
      <c r="AL1100" s="30"/>
      <c r="AM1100" s="13"/>
      <c r="AN1100" s="13"/>
      <c r="AO1100" s="13"/>
      <c r="AP1100" s="13"/>
      <c r="AQ1100" s="13"/>
      <c r="AR1100" s="14"/>
      <c r="AS1100" s="15"/>
    </row>
    <row r="1101" spans="1:45" s="17" customFormat="1" ht="30.95" hidden="1" customHeight="1" x14ac:dyDescent="0.2">
      <c r="A1101" s="37"/>
      <c r="B1101" s="38"/>
      <c r="C1101" s="45"/>
      <c r="D1101" s="31">
        <v>3727597</v>
      </c>
      <c r="E1101" s="31">
        <v>4162069</v>
      </c>
      <c r="F1101" s="268" t="str">
        <f>IF(D1101="","",VLOOKUP(D1101,契約台帳!$A$3:$K$4986,6,FALSE)&amp;VLOOKUP(D1101,契約台帳!$A$3:$K$4986,7,FALSE)&amp;VLOOKUP(D1101,契約台帳!$A$3:$K$4986,8,FALSE)&amp;VLOOKUP(D1101,契約台帳!$A$3:$K$4986,9,FALSE)&amp;VLOOKUP(D1101,契約台帳!$A$3:$K$4986,11,FALSE))</f>
        <v>3SNMLBMNGKBF</v>
      </c>
      <c r="G1101" s="269" t="str">
        <f>IF(D1101="","",VLOOKUP(F1101,製品マスタ!$G$5:$H$5002,2,FALSE))</f>
        <v>S</v>
      </c>
      <c r="H1101" s="269" t="str">
        <f>IF(D1101="","",VLOOKUP(F1101,製品マスタ!$G$5:$K$5002,5,FALSE))</f>
        <v>MNGKBF</v>
      </c>
      <c r="I1101" s="270" t="str">
        <f>IF(D1101="","",VLOOKUP(F1101,製品マスタ!$G$5:$L$5002,6,FALSE))</f>
        <v>メタルミー　ネーマー銀消　Ｂ</v>
      </c>
      <c r="J1101" s="210" t="s">
        <v>935</v>
      </c>
      <c r="K1101" s="270">
        <f>IF(D1101="","",VLOOKUP(D1101,契約台帳!$A$3:$L$4986,12,FALSE))</f>
        <v>50</v>
      </c>
      <c r="L1101" s="270" t="str">
        <f>IF(D1101="","",INDEX(製品マスタ!$Q$5:$Q$5002,MATCH('S4'!F1101&amp;'S4'!K1101,製品マスタ!$AO$5:$AO$5002,0)))</f>
        <v>MAT</v>
      </c>
      <c r="M1101" s="39">
        <v>1050</v>
      </c>
      <c r="N1101" s="39">
        <v>4100</v>
      </c>
      <c r="O1101" s="156">
        <v>3</v>
      </c>
      <c r="P1101" s="47">
        <v>3</v>
      </c>
      <c r="Q1101" s="213">
        <v>45195</v>
      </c>
      <c r="R1101" s="271">
        <f ca="1">IF(D1101="","",IF(OFFSET(D1101,-1,0)&lt;&gt;"","",IF(OR(J1101="リード付け",J1101="巻足し",J1101="巻返しリード付け"),M1101,VLOOKUP(D1101,契約台帳!$A$3:$N$4986,14,FALSE))))</f>
        <v>1050</v>
      </c>
      <c r="S1101" s="272">
        <f ca="1">IF(D1101="","",IF(OFFSET(D1101,-1,0)&lt;&gt;"","",IF(OR(J1101="リード付け",J1101="巻足し",J1101="巻返しリード付け"),M1101,VLOOKUP(D1101,契約台帳!$A$3:$O$4986,15,FALSE))))</f>
        <v>1050</v>
      </c>
      <c r="T1101" s="273">
        <f ca="1">IF(D1101="","",IF(J1101="リード付け",N1101,IF(J1101="巻返しリード付け",N1101,IF(J1101="巻足し",N1101*P1101+OFFSET(N1101,1,0)*OFFSET(P1101,1,0),VLOOKUP(D1101,契約台帳!$A$3:$P$4986,16,FALSE)))))</f>
        <v>12300</v>
      </c>
      <c r="U1101" s="40">
        <v>1</v>
      </c>
      <c r="V1101" s="274">
        <f ca="1">IF(D1101="","",IF(OFFSET(D1101,-2,0)=D1101,"",VLOOKUP(D1101,契約台帳!$A$3:$R$4986,18,FALSE)))</f>
        <v>5</v>
      </c>
      <c r="W1101" s="269" t="str">
        <f ca="1">IF(D1101="","",IF(T1101="","",IF(OR(J1101="巻足し",J1101="巻返しリード付け"),"",IF(J1101="巻返し",VLOOKUP(F1101&amp;K1101&amp;M1101,製品マスタ!$M$5:$AD$5002,18,FALSE),IF(OR(J1101="リード付け",J1101="巻返しリード付け"),"原反コア",IF(J1101="スリット",VLOOKUP(F1101&amp;K1101&amp;R1101,製品マスタ!$N$5:$AD$5002,17,FALSE),""))))))</f>
        <v/>
      </c>
      <c r="X1101" s="269" t="str">
        <f ca="1">IF(D1101="","",IF(T1101="","",IF(J1101="巻足し","",IF(J1101="巻返し",VLOOKUP(F1101&amp;K1101&amp;M1101,製品マスタ!$M$5:$AE$5002,19,FALSE),IF(OR(J1101="リード付け",J1101="巻返しリード付け"),"",IF(J1101="スリット",VLOOKUP(F1101&amp;K1101&amp;R1101,製品マスタ!$N$5:$AE$5002,18,FALSE),""))))))</f>
        <v/>
      </c>
      <c r="Y1101" s="275">
        <f ca="1">IF(D1101="","",IF(T1101="","",VLOOKUP(D1101,契約台帳!$A$3:$Q$4986,17,FALSE)))</f>
        <v>2</v>
      </c>
      <c r="Z1101" s="269" t="str">
        <f ca="1">IF(D1101="","",IF(T1101="","",VLOOKUP(D1101,契約台帳!$A$3:$E$4986,5,FALSE)))</f>
        <v xml:space="preserve">リンテック㈱        </v>
      </c>
      <c r="AA1101" s="57"/>
      <c r="AB1101" s="207">
        <f>IFERROR((VLOOKUP(F1101&amp;K1101&amp;M1101,製品マスタ!$M$5:$AM$5002,27,FALSE)),"")</f>
        <v>0</v>
      </c>
      <c r="AC1101" s="33"/>
      <c r="AD1101" s="189"/>
      <c r="AE1101" s="54"/>
      <c r="AF1101" s="55"/>
      <c r="AG1101" s="43"/>
      <c r="AH1101" s="47"/>
      <c r="AI1101" s="30"/>
      <c r="AJ1101" s="30"/>
      <c r="AK1101" s="30"/>
      <c r="AL1101" s="30"/>
      <c r="AM1101" s="13"/>
      <c r="AN1101" s="13"/>
      <c r="AO1101" s="13"/>
      <c r="AP1101" s="13"/>
      <c r="AQ1101" s="13"/>
      <c r="AR1101" s="14"/>
      <c r="AS1101" s="15"/>
    </row>
    <row r="1102" spans="1:45" s="17" customFormat="1" ht="30.95" hidden="1" customHeight="1" x14ac:dyDescent="0.2">
      <c r="A1102" s="37"/>
      <c r="B1102" s="38"/>
      <c r="C1102" s="45"/>
      <c r="D1102" s="31"/>
      <c r="E1102" s="31"/>
      <c r="F1102" s="268"/>
      <c r="G1102" s="269"/>
      <c r="H1102" s="269"/>
      <c r="I1102" s="270"/>
      <c r="J1102" s="210"/>
      <c r="K1102" s="270"/>
      <c r="L1102" s="270"/>
      <c r="M1102" s="39"/>
      <c r="N1102" s="39"/>
      <c r="O1102" s="156"/>
      <c r="P1102" s="47"/>
      <c r="Q1102" s="57"/>
      <c r="R1102" s="338"/>
      <c r="S1102" s="272"/>
      <c r="T1102" s="273"/>
      <c r="U1102" s="40"/>
      <c r="V1102" s="277"/>
      <c r="W1102" s="269"/>
      <c r="X1102" s="269"/>
      <c r="Y1102" s="275"/>
      <c r="Z1102" s="269"/>
      <c r="AA1102" s="57"/>
      <c r="AB1102" s="207"/>
      <c r="AC1102" s="33"/>
      <c r="AD1102" s="189"/>
      <c r="AE1102" s="54"/>
      <c r="AF1102" s="55"/>
      <c r="AG1102" s="43"/>
      <c r="AH1102" s="47"/>
      <c r="AI1102" s="30"/>
      <c r="AJ1102" s="30"/>
      <c r="AK1102" s="30"/>
      <c r="AL1102" s="30"/>
      <c r="AM1102" s="13"/>
      <c r="AN1102" s="13"/>
      <c r="AO1102" s="13"/>
      <c r="AP1102" s="13"/>
      <c r="AQ1102" s="13"/>
      <c r="AR1102" s="14"/>
      <c r="AS1102" s="15"/>
    </row>
    <row r="1103" spans="1:45" s="17" customFormat="1" ht="30.95" hidden="1" customHeight="1" x14ac:dyDescent="0.2">
      <c r="A1103" s="37"/>
      <c r="B1103" s="38"/>
      <c r="C1103" s="45"/>
      <c r="D1103" s="31">
        <v>3727597</v>
      </c>
      <c r="E1103" s="31">
        <v>4162069</v>
      </c>
      <c r="F1103" s="268" t="str">
        <f>IF(D1103="","",VLOOKUP(D1103,契約台帳!$A$3:$K$4986,6,FALSE)&amp;VLOOKUP(D1103,契約台帳!$A$3:$K$4986,7,FALSE)&amp;VLOOKUP(D1103,契約台帳!$A$3:$K$4986,8,FALSE)&amp;VLOOKUP(D1103,契約台帳!$A$3:$K$4986,9,FALSE)&amp;VLOOKUP(D1103,契約台帳!$A$3:$K$4986,11,FALSE))</f>
        <v>3SNMLBMNGKBF</v>
      </c>
      <c r="G1103" s="269" t="str">
        <f>IF(D1103="","",VLOOKUP(F1103,製品マスタ!$G$5:$H$5002,2,FALSE))</f>
        <v>S</v>
      </c>
      <c r="H1103" s="269" t="str">
        <f>IF(D1103="","",VLOOKUP(F1103,製品マスタ!$G$5:$K$5002,5,FALSE))</f>
        <v>MNGKBF</v>
      </c>
      <c r="I1103" s="270" t="str">
        <f>IF(D1103="","",VLOOKUP(F1103,製品マスタ!$G$5:$L$5002,6,FALSE))</f>
        <v>メタルミー　ネーマー銀消　Ｂ</v>
      </c>
      <c r="J1103" s="210" t="s">
        <v>935</v>
      </c>
      <c r="K1103" s="270">
        <f>IF(D1103="","",VLOOKUP(D1103,契約台帳!$A$3:$L$4986,12,FALSE))</f>
        <v>50</v>
      </c>
      <c r="L1103" s="270" t="str">
        <f>IF(D1103="","",INDEX(製品マスタ!$Q$5:$Q$5002,MATCH('S4'!F1103&amp;'S4'!K1103,製品マスタ!$AO$5:$AO$5002,0)))</f>
        <v>MAT</v>
      </c>
      <c r="M1103" s="39">
        <v>1050</v>
      </c>
      <c r="N1103" s="39">
        <v>4100</v>
      </c>
      <c r="O1103" s="156">
        <v>2</v>
      </c>
      <c r="P1103" s="47">
        <v>2</v>
      </c>
      <c r="Q1103" s="213">
        <v>45195</v>
      </c>
      <c r="R1103" s="271">
        <f ca="1">IF(D1103="","",IF(OFFSET(D1103,-1,0)&lt;&gt;"","",IF(OR(J1103="リード付け",J1103="巻足し",J1103="巻返しリード付け"),M1103,VLOOKUP(D1103,契約台帳!$A$3:$N$4986,14,FALSE))))</f>
        <v>1050</v>
      </c>
      <c r="S1103" s="272">
        <f ca="1">IF(D1103="","",IF(OFFSET(D1103,-1,0)&lt;&gt;"","",IF(OR(J1103="リード付け",J1103="巻足し",J1103="巻返しリード付け"),M1103,VLOOKUP(D1103,契約台帳!$A$3:$O$4986,15,FALSE))))</f>
        <v>1050</v>
      </c>
      <c r="T1103" s="273">
        <f ca="1">IF(D1103="","",IF(J1103="リード付け",N1103,IF(J1103="巻返しリード付け",N1103,IF(J1103="巻足し",N1103*P1103+OFFSET(N1103,1,0)*OFFSET(P1103,1,0),VLOOKUP(D1103,契約台帳!$A$3:$P$4986,16,FALSE)))))</f>
        <v>8200</v>
      </c>
      <c r="U1103" s="40">
        <v>1</v>
      </c>
      <c r="V1103" s="274" t="str">
        <f ca="1">IF(D1103="","",IF(OFFSET(D1103,-2,0)=D1103,"",VLOOKUP(D1103,契約台帳!$A$3:$R$4986,18,FALSE)))</f>
        <v/>
      </c>
      <c r="W1103" s="269" t="str">
        <f ca="1">IF(D1103="","",IF(T1103="","",IF(OR(J1103="巻足し",J1103="巻返しリード付け"),"",IF(J1103="巻返し",VLOOKUP(F1103&amp;K1103&amp;M1103,製品マスタ!$M$5:$AD$5002,18,FALSE),IF(OR(J1103="リード付け",J1103="巻返しリード付け"),"原反コア",IF(J1103="スリット",VLOOKUP(F1103&amp;K1103&amp;R1103,製品マスタ!$N$5:$AD$5002,17,FALSE),""))))))</f>
        <v/>
      </c>
      <c r="X1103" s="269" t="str">
        <f ca="1">IF(D1103="","",IF(T1103="","",IF(J1103="巻足し","",IF(J1103="巻返し",VLOOKUP(F1103&amp;K1103&amp;M1103,製品マスタ!$M$5:$AE$5002,19,FALSE),IF(OR(J1103="リード付け",J1103="巻返しリード付け"),"",IF(J1103="スリット",VLOOKUP(F1103&amp;K1103&amp;R1103,製品マスタ!$N$5:$AE$5002,18,FALSE),""))))))</f>
        <v/>
      </c>
      <c r="Y1103" s="275">
        <f ca="1">IF(D1103="","",IF(T1103="","",VLOOKUP(D1103,契約台帳!$A$3:$Q$4986,17,FALSE)))</f>
        <v>2</v>
      </c>
      <c r="Z1103" s="269" t="str">
        <f ca="1">IF(D1103="","",IF(T1103="","",VLOOKUP(D1103,契約台帳!$A$3:$E$4986,5,FALSE)))</f>
        <v xml:space="preserve">リンテック㈱        </v>
      </c>
      <c r="AA1103" s="57"/>
      <c r="AB1103" s="207">
        <f>IFERROR((VLOOKUP(F1103&amp;K1103&amp;M1103,製品マスタ!$M$5:$AM$5002,27,FALSE)),"")</f>
        <v>0</v>
      </c>
      <c r="AC1103" s="33"/>
      <c r="AD1103" s="189"/>
      <c r="AE1103" s="54"/>
      <c r="AF1103" s="55"/>
      <c r="AG1103" s="43"/>
      <c r="AH1103" s="47"/>
      <c r="AI1103" s="30"/>
      <c r="AJ1103" s="30"/>
      <c r="AK1103" s="30"/>
      <c r="AL1103" s="30"/>
      <c r="AM1103" s="13"/>
      <c r="AN1103" s="13"/>
      <c r="AO1103" s="13"/>
      <c r="AP1103" s="13"/>
      <c r="AQ1103" s="13"/>
      <c r="AR1103" s="14"/>
      <c r="AS1103" s="15"/>
    </row>
    <row r="1104" spans="1:45" s="17" customFormat="1" ht="30.95" hidden="1" customHeight="1" x14ac:dyDescent="0.2">
      <c r="A1104" s="37"/>
      <c r="B1104" s="38"/>
      <c r="C1104" s="45"/>
      <c r="D1104" s="31"/>
      <c r="E1104" s="31"/>
      <c r="F1104" s="268"/>
      <c r="G1104" s="269"/>
      <c r="H1104" s="269"/>
      <c r="I1104" s="270"/>
      <c r="J1104" s="210"/>
      <c r="K1104" s="270"/>
      <c r="L1104" s="270"/>
      <c r="M1104" s="39"/>
      <c r="N1104" s="39"/>
      <c r="O1104" s="156"/>
      <c r="P1104" s="47"/>
      <c r="Q1104" s="57"/>
      <c r="R1104" s="338"/>
      <c r="S1104" s="272"/>
      <c r="T1104" s="273"/>
      <c r="U1104" s="40"/>
      <c r="V1104" s="277"/>
      <c r="W1104" s="269"/>
      <c r="X1104" s="269"/>
      <c r="Y1104" s="275"/>
      <c r="Z1104" s="269"/>
      <c r="AA1104" s="57"/>
      <c r="AB1104" s="207"/>
      <c r="AC1104" s="33"/>
      <c r="AD1104" s="189"/>
      <c r="AE1104" s="54"/>
      <c r="AF1104" s="55"/>
      <c r="AG1104" s="43"/>
      <c r="AH1104" s="47"/>
      <c r="AI1104" s="30"/>
      <c r="AJ1104" s="30"/>
      <c r="AK1104" s="30"/>
      <c r="AL1104" s="30"/>
      <c r="AM1104" s="13"/>
      <c r="AN1104" s="13"/>
      <c r="AO1104" s="13"/>
      <c r="AP1104" s="13"/>
      <c r="AQ1104" s="13"/>
      <c r="AR1104" s="14"/>
      <c r="AS1104" s="15"/>
    </row>
    <row r="1105" spans="1:45" s="17" customFormat="1" ht="30.95" hidden="1" customHeight="1" x14ac:dyDescent="0.2">
      <c r="A1105" s="37"/>
      <c r="B1105" s="38"/>
      <c r="C1105" s="45"/>
      <c r="D1105" s="31">
        <v>3727596</v>
      </c>
      <c r="E1105" s="31">
        <v>4162068</v>
      </c>
      <c r="F1105" s="268" t="str">
        <f>IF(D1105="","",VLOOKUP(D1105,契約台帳!$A$3:$K$4986,6,FALSE)&amp;VLOOKUP(D1105,契約台帳!$A$3:$K$4986,7,FALSE)&amp;VLOOKUP(D1105,契約台帳!$A$3:$K$4986,8,FALSE)&amp;VLOOKUP(D1105,契約台帳!$A$3:$K$4986,9,FALSE)&amp;VLOOKUP(D1105,契約台帳!$A$3:$K$4986,11,FALSE))</f>
        <v>3SNMLBMNGKBF</v>
      </c>
      <c r="G1105" s="269" t="str">
        <f>IF(D1105="","",VLOOKUP(F1105,製品マスタ!$G$5:$H$5002,2,FALSE))</f>
        <v>S</v>
      </c>
      <c r="H1105" s="269" t="str">
        <f>IF(D1105="","",VLOOKUP(F1105,製品マスタ!$G$5:$K$5002,5,FALSE))</f>
        <v>MNGKBF</v>
      </c>
      <c r="I1105" s="270" t="str">
        <f>IF(D1105="","",VLOOKUP(F1105,製品マスタ!$G$5:$L$5002,6,FALSE))</f>
        <v>メタルミー　ネーマー銀消　Ｂ</v>
      </c>
      <c r="J1105" s="210" t="s">
        <v>935</v>
      </c>
      <c r="K1105" s="270">
        <f>IF(D1105="","",VLOOKUP(D1105,契約台帳!$A$3:$L$4986,12,FALSE))</f>
        <v>38</v>
      </c>
      <c r="L1105" s="270" t="str">
        <f>IF(D1105="","",INDEX(製品マスタ!$Q$5:$Q$5002,MATCH('S4'!F1105&amp;'S4'!K1105,製品マスタ!$AO$5:$AO$5002,0)))</f>
        <v>LUMIMAT</v>
      </c>
      <c r="M1105" s="39">
        <v>1005</v>
      </c>
      <c r="N1105" s="39">
        <v>4100</v>
      </c>
      <c r="O1105" s="156">
        <v>2</v>
      </c>
      <c r="P1105" s="47">
        <v>2</v>
      </c>
      <c r="Q1105" s="213">
        <v>45195</v>
      </c>
      <c r="R1105" s="271">
        <f ca="1">IF(D1105="","",IF(OFFSET(D1105,-1,0)&lt;&gt;"","",IF(OR(J1105="リード付け",J1105="巻足し",J1105="巻返しリード付け"),M1105,VLOOKUP(D1105,契約台帳!$A$3:$N$4986,14,FALSE))))</f>
        <v>1005</v>
      </c>
      <c r="S1105" s="272">
        <f ca="1">IF(D1105="","",IF(OFFSET(D1105,-1,0)&lt;&gt;"","",IF(OR(J1105="リード付け",J1105="巻足し",J1105="巻返しリード付け"),M1105,VLOOKUP(D1105,契約台帳!$A$3:$O$4986,15,FALSE))))</f>
        <v>1005</v>
      </c>
      <c r="T1105" s="273">
        <f ca="1">IF(D1105="","",IF(J1105="リード付け",N1105,IF(J1105="巻返しリード付け",N1105,IF(J1105="巻足し",N1105*P1105+OFFSET(N1105,1,0)*OFFSET(P1105,1,0),VLOOKUP(D1105,契約台帳!$A$3:$P$4986,16,FALSE)))))</f>
        <v>8200</v>
      </c>
      <c r="U1105" s="40">
        <v>1</v>
      </c>
      <c r="V1105" s="274">
        <f ca="1">IF(D1105="","",IF(OFFSET(D1105,-2,0)=D1105,"",VLOOKUP(D1105,契約台帳!$A$3:$R$4986,18,FALSE)))</f>
        <v>2</v>
      </c>
      <c r="W1105" s="269" t="str">
        <f ca="1">IF(D1105="","",IF(T1105="","",IF(OR(J1105="巻足し",J1105="巻返しリード付け"),"",IF(J1105="巻返し",VLOOKUP(F1105&amp;K1105&amp;M1105,製品マスタ!$M$5:$AD$5002,18,FALSE),IF(OR(J1105="リード付け",J1105="巻返しリード付け"),"原反コア",IF(J1105="スリット",VLOOKUP(F1105&amp;K1105&amp;R1105,製品マスタ!$N$5:$AD$5002,17,FALSE),""))))))</f>
        <v/>
      </c>
      <c r="X1105" s="269" t="str">
        <f ca="1">IF(D1105="","",IF(T1105="","",IF(J1105="巻足し","",IF(J1105="巻返し",VLOOKUP(F1105&amp;K1105&amp;M1105,製品マスタ!$M$5:$AE$5002,19,FALSE),IF(OR(J1105="リード付け",J1105="巻返しリード付け"),"",IF(J1105="スリット",VLOOKUP(F1105&amp;K1105&amp;R1105,製品マスタ!$N$5:$AE$5002,18,FALSE),""))))))</f>
        <v/>
      </c>
      <c r="Y1105" s="275">
        <f ca="1">IF(D1105="","",IF(T1105="","",VLOOKUP(D1105,契約台帳!$A$3:$Q$4986,17,FALSE)))</f>
        <v>2</v>
      </c>
      <c r="Z1105" s="269" t="str">
        <f ca="1">IF(D1105="","",IF(T1105="","",VLOOKUP(D1105,契約台帳!$A$3:$E$4986,5,FALSE)))</f>
        <v xml:space="preserve">リンテック㈱        </v>
      </c>
      <c r="AA1105" s="57"/>
      <c r="AB1105" s="207">
        <f>IFERROR((VLOOKUP(F1105&amp;K1105&amp;M1105,製品マスタ!$M$5:$AM$5002,27,FALSE)),"")</f>
        <v>0</v>
      </c>
      <c r="AC1105" s="33"/>
      <c r="AD1105" s="189"/>
      <c r="AE1105" s="54"/>
      <c r="AF1105" s="55"/>
      <c r="AG1105" s="43"/>
      <c r="AH1105" s="47"/>
      <c r="AI1105" s="30"/>
      <c r="AJ1105" s="30"/>
      <c r="AK1105" s="30"/>
      <c r="AL1105" s="30"/>
      <c r="AM1105" s="13"/>
      <c r="AN1105" s="13"/>
      <c r="AO1105" s="13"/>
      <c r="AP1105" s="13"/>
      <c r="AQ1105" s="13"/>
      <c r="AR1105" s="14"/>
      <c r="AS1105" s="15"/>
    </row>
    <row r="1106" spans="1:45" s="17" customFormat="1" ht="30.95" hidden="1" customHeight="1" x14ac:dyDescent="0.2">
      <c r="A1106" s="37"/>
      <c r="B1106" s="38"/>
      <c r="C1106" s="45"/>
      <c r="D1106" s="31"/>
      <c r="E1106" s="31"/>
      <c r="F1106" s="268"/>
      <c r="G1106" s="269"/>
      <c r="H1106" s="269"/>
      <c r="I1106" s="270"/>
      <c r="J1106" s="210"/>
      <c r="K1106" s="270"/>
      <c r="L1106" s="270"/>
      <c r="M1106" s="39"/>
      <c r="N1106" s="39"/>
      <c r="O1106" s="156"/>
      <c r="P1106" s="47"/>
      <c r="Q1106" s="57"/>
      <c r="R1106" s="338"/>
      <c r="S1106" s="272"/>
      <c r="T1106" s="273"/>
      <c r="U1106" s="40"/>
      <c r="V1106" s="277"/>
      <c r="W1106" s="269"/>
      <c r="X1106" s="269"/>
      <c r="Y1106" s="275"/>
      <c r="Z1106" s="269"/>
      <c r="AA1106" s="57"/>
      <c r="AB1106" s="207"/>
      <c r="AC1106" s="33"/>
      <c r="AD1106" s="189"/>
      <c r="AE1106" s="54"/>
      <c r="AF1106" s="55"/>
      <c r="AG1106" s="43"/>
      <c r="AH1106" s="47"/>
      <c r="AI1106" s="30"/>
      <c r="AJ1106" s="30"/>
      <c r="AK1106" s="30"/>
      <c r="AL1106" s="30"/>
      <c r="AM1106" s="13"/>
      <c r="AN1106" s="13"/>
      <c r="AO1106" s="13"/>
      <c r="AP1106" s="13"/>
      <c r="AQ1106" s="13"/>
      <c r="AR1106" s="14"/>
      <c r="AS1106" s="15"/>
    </row>
    <row r="1107" spans="1:45" s="17" customFormat="1" ht="30.95" hidden="1" customHeight="1" x14ac:dyDescent="0.2">
      <c r="A1107" s="37"/>
      <c r="B1107" s="38"/>
      <c r="C1107" s="45"/>
      <c r="D1107" s="31">
        <v>3727607</v>
      </c>
      <c r="E1107" s="31">
        <v>4162067</v>
      </c>
      <c r="F1107" s="268" t="str">
        <f>IF(D1107="","",VLOOKUP(D1107,契約台帳!$A$3:$K$4986,6,FALSE)&amp;VLOOKUP(D1107,契約台帳!$A$3:$K$4986,7,FALSE)&amp;VLOOKUP(D1107,契約台帳!$A$3:$K$4986,8,FALSE)&amp;VLOOKUP(D1107,契約台帳!$A$3:$K$4986,9,FALSE)&amp;VLOOKUP(D1107,契約台帳!$A$3:$K$4986,11,FALSE))</f>
        <v>3SNMCLBDMSV</v>
      </c>
      <c r="G1107" s="269" t="str">
        <f>IF(D1107="","",VLOOKUP(F1107,製品マスタ!$G$5:$H$5002,2,FALSE))</f>
        <v>S</v>
      </c>
      <c r="H1107" s="269" t="str">
        <f>IF(D1107="","",VLOOKUP(F1107,製品マスタ!$G$5:$K$5002,5,FALSE))</f>
        <v>DMSV</v>
      </c>
      <c r="I1107" s="270" t="str">
        <f>IF(D1107="","",VLOOKUP(F1107,製品マスタ!$G$5:$L$5002,6,FALSE))</f>
        <v>ＤＭＳ　Ｖ</v>
      </c>
      <c r="J1107" s="210" t="s">
        <v>935</v>
      </c>
      <c r="K1107" s="270">
        <f>IF(D1107="","",VLOOKUP(D1107,契約台帳!$A$3:$L$4986,12,FALSE))</f>
        <v>50</v>
      </c>
      <c r="L1107" s="270" t="str">
        <f>IF(D1107="","",INDEX(製品マスタ!$Q$5:$Q$5002,MATCH('S4'!F1107&amp;'S4'!K1107,製品マスタ!$AO$5:$AO$5002,0)))</f>
        <v>X44</v>
      </c>
      <c r="M1107" s="39">
        <v>1005</v>
      </c>
      <c r="N1107" s="39">
        <v>4000</v>
      </c>
      <c r="O1107" s="156">
        <v>2</v>
      </c>
      <c r="P1107" s="47">
        <v>2</v>
      </c>
      <c r="Q1107" s="213">
        <v>45201</v>
      </c>
      <c r="R1107" s="271">
        <f ca="1">IF(D1107="","",IF(OFFSET(D1107,-1,0)&lt;&gt;"","",IF(OR(J1107="リード付け",J1107="巻足し",J1107="巻返しリード付け"),M1107,VLOOKUP(D1107,契約台帳!$A$3:$N$4986,14,FALSE))))</f>
        <v>1005</v>
      </c>
      <c r="S1107" s="272">
        <f ca="1">IF(D1107="","",IF(OFFSET(D1107,-1,0)&lt;&gt;"","",IF(OR(J1107="リード付け",J1107="巻足し",J1107="巻返しリード付け"),M1107,VLOOKUP(D1107,契約台帳!$A$3:$O$4986,15,FALSE))))</f>
        <v>1005</v>
      </c>
      <c r="T1107" s="273">
        <f ca="1">IF(D1107="","",IF(J1107="リード付け",N1107,IF(J1107="巻返しリード付け",N1107,IF(J1107="巻足し",N1107*P1107+OFFSET(N1107,1,0)*OFFSET(P1107,1,0),VLOOKUP(D1107,契約台帳!$A$3:$P$4986,16,FALSE)))))</f>
        <v>8000</v>
      </c>
      <c r="U1107" s="40">
        <v>1</v>
      </c>
      <c r="V1107" s="274">
        <f ca="1">IF(D1107="","",IF(OFFSET(D1107,-2,0)=D1107,"",VLOOKUP(D1107,契約台帳!$A$3:$R$4986,18,FALSE)))</f>
        <v>4</v>
      </c>
      <c r="W1107" s="269" t="str">
        <f ca="1">IF(D1107="","",IF(T1107="","",IF(OR(J1107="巻足し",J1107="巻返しリード付け"),"",IF(J1107="巻返し",VLOOKUP(F1107&amp;K1107&amp;M1107,製品マスタ!$M$5:$AD$5002,18,FALSE),IF(OR(J1107="リード付け",J1107="巻返しリード付け"),"原反コア",IF(J1107="スリット",VLOOKUP(F1107&amp;K1107&amp;R1107,製品マスタ!$N$5:$AD$5002,17,FALSE),""))))))</f>
        <v/>
      </c>
      <c r="X1107" s="269" t="str">
        <f ca="1">IF(D1107="","",IF(T1107="","",IF(J1107="巻足し","",IF(J1107="巻返し",VLOOKUP(F1107&amp;K1107&amp;M1107,製品マスタ!$M$5:$AE$5002,19,FALSE),IF(OR(J1107="リード付け",J1107="巻返しリード付け"),"",IF(J1107="スリット",VLOOKUP(F1107&amp;K1107&amp;R1107,製品マスタ!$N$5:$AE$5002,18,FALSE),""))))))</f>
        <v/>
      </c>
      <c r="Y1107" s="275">
        <f ca="1">IF(D1107="","",IF(T1107="","",VLOOKUP(D1107,契約台帳!$A$3:$Q$4986,17,FALSE)))</f>
        <v>2</v>
      </c>
      <c r="Z1107" s="269" t="str">
        <f ca="1">IF(D1107="","",IF(T1107="","",VLOOKUP(D1107,契約台帳!$A$3:$E$4986,5,FALSE)))</f>
        <v xml:space="preserve">リンテック㈱        </v>
      </c>
      <c r="AA1107" s="57"/>
      <c r="AB1107" s="207">
        <f>IFERROR((VLOOKUP(F1107&amp;K1107&amp;M1107,製品マスタ!$M$5:$AM$5002,27,FALSE)),"")</f>
        <v>0</v>
      </c>
      <c r="AC1107" s="33"/>
      <c r="AD1107" s="189"/>
      <c r="AE1107" s="54"/>
      <c r="AF1107" s="55"/>
      <c r="AG1107" s="43"/>
      <c r="AH1107" s="47"/>
      <c r="AI1107" s="30"/>
      <c r="AJ1107" s="30"/>
      <c r="AK1107" s="30"/>
      <c r="AL1107" s="30"/>
      <c r="AM1107" s="13"/>
      <c r="AN1107" s="13"/>
      <c r="AO1107" s="13"/>
      <c r="AP1107" s="13"/>
      <c r="AQ1107" s="13"/>
      <c r="AR1107" s="14"/>
      <c r="AS1107" s="15"/>
    </row>
    <row r="1108" spans="1:45" s="17" customFormat="1" ht="30.95" hidden="1" customHeight="1" x14ac:dyDescent="0.2">
      <c r="A1108" s="37"/>
      <c r="B1108" s="38"/>
      <c r="C1108" s="45"/>
      <c r="D1108" s="31"/>
      <c r="E1108" s="31"/>
      <c r="F1108" s="268"/>
      <c r="G1108" s="269"/>
      <c r="H1108" s="269"/>
      <c r="I1108" s="270"/>
      <c r="J1108" s="210"/>
      <c r="K1108" s="270"/>
      <c r="L1108" s="270"/>
      <c r="M1108" s="39"/>
      <c r="N1108" s="39"/>
      <c r="O1108" s="156"/>
      <c r="P1108" s="47"/>
      <c r="Q1108" s="57"/>
      <c r="R1108" s="338"/>
      <c r="S1108" s="272"/>
      <c r="T1108" s="273"/>
      <c r="U1108" s="40"/>
      <c r="V1108" s="277"/>
      <c r="W1108" s="269"/>
      <c r="X1108" s="269"/>
      <c r="Y1108" s="275"/>
      <c r="Z1108" s="269"/>
      <c r="AA1108" s="57"/>
      <c r="AB1108" s="207"/>
      <c r="AC1108" s="33"/>
      <c r="AD1108" s="189"/>
      <c r="AE1108" s="54"/>
      <c r="AF1108" s="55"/>
      <c r="AG1108" s="43"/>
      <c r="AH1108" s="47"/>
      <c r="AI1108" s="30"/>
      <c r="AJ1108" s="30"/>
      <c r="AK1108" s="30"/>
      <c r="AL1108" s="30"/>
      <c r="AM1108" s="13"/>
      <c r="AN1108" s="13"/>
      <c r="AO1108" s="13"/>
      <c r="AP1108" s="13"/>
      <c r="AQ1108" s="13"/>
      <c r="AR1108" s="14"/>
      <c r="AS1108" s="15"/>
    </row>
    <row r="1109" spans="1:45" s="17" customFormat="1" ht="30.95" hidden="1" customHeight="1" x14ac:dyDescent="0.2">
      <c r="A1109" s="37" t="s">
        <v>586</v>
      </c>
      <c r="B1109" s="38" t="s">
        <v>688</v>
      </c>
      <c r="C1109" s="45"/>
      <c r="D1109" s="31">
        <v>3727601</v>
      </c>
      <c r="E1109" s="31">
        <v>4162091</v>
      </c>
      <c r="F1109" s="268" t="str">
        <f>IF(D1109="","",VLOOKUP(D1109,契約台帳!$A$3:$K$4986,6,FALSE)&amp;VLOOKUP(D1109,契約台帳!$A$3:$K$4986,7,FALSE)&amp;VLOOKUP(D1109,契約台帳!$A$3:$K$4986,8,FALSE)&amp;VLOOKUP(D1109,契約台帳!$A$3:$K$4986,9,FALSE)&amp;VLOOKUP(D1109,契約台帳!$A$3:$K$4986,11,FALSE))</f>
        <v>3SNMLBMNNGKBF</v>
      </c>
      <c r="G1109" s="269" t="str">
        <f>IF(D1109="","",VLOOKUP(F1109,製品マスタ!$G$5:$H$5002,2,FALSE))</f>
        <v>S</v>
      </c>
      <c r="H1109" s="269" t="str">
        <f>IF(D1109="","",VLOOKUP(F1109,製品マスタ!$G$5:$K$5002,5,FALSE))</f>
        <v>MNNGKBF</v>
      </c>
      <c r="I1109" s="270" t="str">
        <f>IF(D1109="","",VLOOKUP(F1109,製品マスタ!$G$5:$L$5002,6,FALSE))</f>
        <v>メタルミー　ニューネーマー銀消　Ｂ</v>
      </c>
      <c r="J1109" s="210" t="s">
        <v>935</v>
      </c>
      <c r="K1109" s="270">
        <f>IF(D1109="","",VLOOKUP(D1109,契約台帳!$A$3:$L$4986,12,FALSE))</f>
        <v>50</v>
      </c>
      <c r="L1109" s="270" t="str">
        <f>IF(D1109="","",INDEX(製品マスタ!$Q$5:$Q$5002,MATCH('S4'!F1109&amp;'S4'!K1109,製品マスタ!$AO$5:$AO$5002,0)))</f>
        <v>X44</v>
      </c>
      <c r="M1109" s="39">
        <v>1000</v>
      </c>
      <c r="N1109" s="39">
        <v>4000</v>
      </c>
      <c r="O1109" s="156">
        <v>15</v>
      </c>
      <c r="P1109" s="47">
        <v>3</v>
      </c>
      <c r="Q1109" s="213">
        <v>45201</v>
      </c>
      <c r="R1109" s="271">
        <f ca="1">IF(D1109="","",IF(OFFSET(D1109,-1,0)&lt;&gt;"","",IF(OR(J1109="リード付け",J1109="巻足し",J1109="巻返しリード付け"),M1109,VLOOKUP(D1109,契約台帳!$A$3:$N$4986,14,FALSE))))</f>
        <v>1000</v>
      </c>
      <c r="S1109" s="272">
        <f ca="1">IF(D1109="","",IF(OFFSET(D1109,-1,0)&lt;&gt;"","",IF(OR(J1109="リード付け",J1109="巻足し",J1109="巻返しリード付け"),M1109,VLOOKUP(D1109,契約台帳!$A$3:$O$4986,15,FALSE))))</f>
        <v>1000</v>
      </c>
      <c r="T1109" s="273">
        <f ca="1">IF(D1109="","",IF(J1109="リード付け",N1109,IF(J1109="巻返しリード付け",N1109,IF(J1109="巻足し",N1109*P1109+OFFSET(N1109,1,0)*OFFSET(P1109,1,0),VLOOKUP(D1109,契約台帳!$A$3:$P$4986,16,FALSE)))))</f>
        <v>12000</v>
      </c>
      <c r="U1109" s="40">
        <v>5</v>
      </c>
      <c r="V1109" s="274">
        <f ca="1">IF(D1109="","",IF(OFFSET(D1109,-2,0)=D1109,"",VLOOKUP(D1109,契約台帳!$A$3:$R$4986,18,FALSE)))</f>
        <v>15</v>
      </c>
      <c r="W1109" s="269" t="str">
        <f ca="1">IF(D1109="","",IF(T1109="","",IF(OR(J1109="巻足し",J1109="巻返しリード付け"),"",IF(J1109="巻返し",VLOOKUP(F1109&amp;K1109&amp;M1109,製品マスタ!$M$5:$AD$5002,18,FALSE),IF(OR(J1109="リード付け",J1109="巻返しリード付け"),"原反コア",IF(J1109="スリット",VLOOKUP(F1109&amp;K1109&amp;R1109,製品マスタ!$N$5:$AD$5002,17,FALSE),""))))))</f>
        <v/>
      </c>
      <c r="X1109" s="269" t="str">
        <f ca="1">IF(D1109="","",IF(T1109="","",IF(J1109="巻足し","",IF(J1109="巻返し",VLOOKUP(F1109&amp;K1109&amp;M1109,製品マスタ!$M$5:$AE$5002,19,FALSE),IF(OR(J1109="リード付け",J1109="巻返しリード付け"),"",IF(J1109="スリット",VLOOKUP(F1109&amp;K1109&amp;R1109,製品マスタ!$N$5:$AE$5002,18,FALSE),""))))))</f>
        <v/>
      </c>
      <c r="Y1109" s="275">
        <f ca="1">IF(D1109="","",IF(T1109="","",VLOOKUP(D1109,契約台帳!$A$3:$Q$4986,17,FALSE)))</f>
        <v>2</v>
      </c>
      <c r="Z1109" s="269" t="str">
        <f ca="1">IF(D1109="","",IF(T1109="","",VLOOKUP(D1109,契約台帳!$A$3:$E$4986,5,FALSE)))</f>
        <v xml:space="preserve">リンテック㈱        </v>
      </c>
      <c r="AA1109" s="57"/>
      <c r="AB1109" s="207" t="str">
        <f>IFERROR((VLOOKUP(F1109&amp;K1109&amp;M1109,製品マスタ!$M$5:$AM$5002,27,FALSE)),"")</f>
        <v>原反ケース再利用</v>
      </c>
      <c r="AC1109" s="33"/>
      <c r="AD1109" s="189"/>
      <c r="AE1109" s="54"/>
      <c r="AF1109" s="55"/>
      <c r="AG1109" s="43"/>
      <c r="AH1109" s="47"/>
      <c r="AI1109" s="30"/>
      <c r="AJ1109" s="30"/>
      <c r="AK1109" s="30"/>
      <c r="AL1109" s="30"/>
      <c r="AM1109" s="13"/>
      <c r="AN1109" s="13"/>
      <c r="AO1109" s="13"/>
      <c r="AP1109" s="13"/>
      <c r="AQ1109" s="13"/>
      <c r="AR1109" s="14"/>
      <c r="AS1109" s="15"/>
    </row>
    <row r="1110" spans="1:45" s="17" customFormat="1" ht="30.95" hidden="1" customHeight="1" x14ac:dyDescent="0.2">
      <c r="A1110" s="37"/>
      <c r="B1110" s="38"/>
      <c r="C1110" s="45"/>
      <c r="D1110" s="31"/>
      <c r="E1110" s="31"/>
      <c r="F1110" s="268"/>
      <c r="G1110" s="269"/>
      <c r="H1110" s="269"/>
      <c r="I1110" s="270"/>
      <c r="J1110" s="210"/>
      <c r="K1110" s="270"/>
      <c r="L1110" s="270"/>
      <c r="M1110" s="39"/>
      <c r="N1110" s="39"/>
      <c r="O1110" s="156"/>
      <c r="P1110" s="47"/>
      <c r="Q1110" s="57"/>
      <c r="R1110" s="338"/>
      <c r="S1110" s="272"/>
      <c r="T1110" s="273"/>
      <c r="U1110" s="40"/>
      <c r="V1110" s="277"/>
      <c r="W1110" s="269"/>
      <c r="X1110" s="269"/>
      <c r="Y1110" s="275"/>
      <c r="Z1110" s="269"/>
      <c r="AA1110" s="57"/>
      <c r="AB1110" s="207"/>
      <c r="AC1110" s="33"/>
      <c r="AD1110" s="189"/>
      <c r="AE1110" s="54"/>
      <c r="AF1110" s="55"/>
      <c r="AG1110" s="43"/>
      <c r="AH1110" s="47"/>
      <c r="AI1110" s="30"/>
      <c r="AJ1110" s="30"/>
      <c r="AK1110" s="30"/>
      <c r="AL1110" s="30"/>
      <c r="AM1110" s="13"/>
      <c r="AN1110" s="13"/>
      <c r="AO1110" s="13"/>
      <c r="AP1110" s="13"/>
      <c r="AQ1110" s="13"/>
      <c r="AR1110" s="14"/>
      <c r="AS1110" s="15"/>
    </row>
    <row r="1111" spans="1:45" s="17" customFormat="1" ht="30.95" hidden="1" customHeight="1" x14ac:dyDescent="0.2">
      <c r="A1111" s="37"/>
      <c r="B1111" s="38"/>
      <c r="C1111" s="45"/>
      <c r="D1111" s="31">
        <v>3727602</v>
      </c>
      <c r="E1111" s="31">
        <v>4162065</v>
      </c>
      <c r="F1111" s="268" t="str">
        <f>IF(D1111="","",VLOOKUP(D1111,契約台帳!$A$3:$K$4986,6,FALSE)&amp;VLOOKUP(D1111,契約台帳!$A$3:$K$4986,7,FALSE)&amp;VLOOKUP(D1111,契約台帳!$A$3:$K$4986,8,FALSE)&amp;VLOOKUP(D1111,契約台帳!$A$3:$K$4986,9,FALSE)&amp;VLOOKUP(D1111,契約台帳!$A$3:$K$4986,11,FALSE))</f>
        <v>33SSNMCLBTEKKFV</v>
      </c>
      <c r="G1111" s="269" t="str">
        <f>IF(D1111="","",VLOOKUP(F1111,製品マスタ!$G$5:$H$5002,2,FALSE))</f>
        <v>S</v>
      </c>
      <c r="H1111" s="269" t="str">
        <f>IF(D1111="","",VLOOKUP(F1111,製品マスタ!$G$5:$K$5002,5,FALSE))</f>
        <v>TEKKFV</v>
      </c>
      <c r="I1111" s="270" t="str">
        <f>IF(D1111="","",VLOOKUP(F1111,製品マスタ!$G$5:$L$5002,6,FALSE))</f>
        <v>メタルミー　ＴＥＳ消開封　Ｖ</v>
      </c>
      <c r="J1111" s="210" t="s">
        <v>935</v>
      </c>
      <c r="K1111" s="270">
        <f>IF(D1111="","",VLOOKUP(D1111,契約台帳!$A$3:$L$4986,12,FALSE))</f>
        <v>50</v>
      </c>
      <c r="L1111" s="270" t="str">
        <f>IF(D1111="","",INDEX(製品マスタ!$Q$5:$Q$5002,MATCH('S4'!F1111&amp;'S4'!K1111,製品マスタ!$AO$5:$AO$5002,0)))</f>
        <v>X44SEPA</v>
      </c>
      <c r="M1111" s="39">
        <v>1005</v>
      </c>
      <c r="N1111" s="39">
        <v>4000</v>
      </c>
      <c r="O1111" s="156">
        <v>2</v>
      </c>
      <c r="P1111" s="47">
        <v>2</v>
      </c>
      <c r="Q1111" s="213">
        <v>45196</v>
      </c>
      <c r="R1111" s="271">
        <f ca="1">IF(D1111="","",IF(OFFSET(D1111,-1,0)&lt;&gt;"","",IF(OR(J1111="リード付け",J1111="巻足し",J1111="巻返しリード付け"),M1111,VLOOKUP(D1111,契約台帳!$A$3:$N$4986,14,FALSE))))</f>
        <v>1005</v>
      </c>
      <c r="S1111" s="272">
        <f ca="1">IF(D1111="","",IF(OFFSET(D1111,-1,0)&lt;&gt;"","",IF(OR(J1111="リード付け",J1111="巻足し",J1111="巻返しリード付け"),M1111,VLOOKUP(D1111,契約台帳!$A$3:$O$4986,15,FALSE))))</f>
        <v>1005</v>
      </c>
      <c r="T1111" s="273">
        <f ca="1">IF(D1111="","",IF(J1111="リード付け",N1111,IF(J1111="巻返しリード付け",N1111,IF(J1111="巻足し",N1111*P1111+OFFSET(N1111,1,0)*OFFSET(P1111,1,0),VLOOKUP(D1111,契約台帳!$A$3:$P$4986,16,FALSE)))))</f>
        <v>8000</v>
      </c>
      <c r="U1111" s="40">
        <v>1</v>
      </c>
      <c r="V1111" s="274">
        <f ca="1">IF(D1111="","",IF(OFFSET(D1111,-2,0)=D1111,"",VLOOKUP(D1111,契約台帳!$A$3:$R$4986,18,FALSE)))</f>
        <v>2</v>
      </c>
      <c r="W1111" s="269" t="str">
        <f ca="1">IF(D1111="","",IF(T1111="","",IF(OR(J1111="巻足し",J1111="巻返しリード付け"),"",IF(J1111="巻返し",VLOOKUP(F1111&amp;K1111&amp;M1111,製品マスタ!$M$5:$AD$5002,18,FALSE),IF(OR(J1111="リード付け",J1111="巻返しリード付け"),"原反コア",IF(J1111="スリット",VLOOKUP(F1111&amp;K1111&amp;R1111,製品マスタ!$N$5:$AD$5002,17,FALSE),""))))))</f>
        <v/>
      </c>
      <c r="X1111" s="269" t="str">
        <f ca="1">IF(D1111="","",IF(T1111="","",IF(J1111="巻足し","",IF(J1111="巻返し",VLOOKUP(F1111&amp;K1111&amp;M1111,製品マスタ!$M$5:$AE$5002,19,FALSE),IF(OR(J1111="リード付け",J1111="巻返しリード付け"),"",IF(J1111="スリット",VLOOKUP(F1111&amp;K1111&amp;R1111,製品マスタ!$N$5:$AE$5002,18,FALSE),""))))))</f>
        <v/>
      </c>
      <c r="Y1111" s="275">
        <f ca="1">IF(D1111="","",IF(T1111="","",VLOOKUP(D1111,契約台帳!$A$3:$Q$4986,17,FALSE)))</f>
        <v>2</v>
      </c>
      <c r="Z1111" s="269" t="str">
        <f ca="1">IF(D1111="","",IF(T1111="","",VLOOKUP(D1111,契約台帳!$A$3:$E$4986,5,FALSE)))</f>
        <v xml:space="preserve">リンテック㈱        </v>
      </c>
      <c r="AA1111" s="57"/>
      <c r="AB1111" s="207">
        <f>IFERROR((VLOOKUP(F1111&amp;K1111&amp;M1111,製品マスタ!$M$5:$AM$5002,27,FALSE)),"")</f>
        <v>0</v>
      </c>
      <c r="AC1111" s="33"/>
      <c r="AD1111" s="189"/>
      <c r="AE1111" s="54"/>
      <c r="AF1111" s="55"/>
      <c r="AG1111" s="43"/>
      <c r="AH1111" s="47"/>
      <c r="AI1111" s="30"/>
      <c r="AJ1111" s="30"/>
      <c r="AK1111" s="30"/>
      <c r="AL1111" s="30"/>
      <c r="AM1111" s="13"/>
      <c r="AN1111" s="13"/>
      <c r="AO1111" s="13"/>
      <c r="AP1111" s="13"/>
      <c r="AQ1111" s="13"/>
      <c r="AR1111" s="14"/>
      <c r="AS1111" s="15"/>
    </row>
    <row r="1112" spans="1:45" s="17" customFormat="1" ht="30.95" hidden="1" customHeight="1" x14ac:dyDescent="0.2">
      <c r="A1112" s="37"/>
      <c r="B1112" s="38"/>
      <c r="C1112" s="45"/>
      <c r="D1112" s="31"/>
      <c r="E1112" s="31"/>
      <c r="F1112" s="268"/>
      <c r="G1112" s="269"/>
      <c r="H1112" s="269"/>
      <c r="I1112" s="270"/>
      <c r="J1112" s="210"/>
      <c r="K1112" s="270"/>
      <c r="L1112" s="270"/>
      <c r="M1112" s="39"/>
      <c r="N1112" s="39"/>
      <c r="O1112" s="156"/>
      <c r="P1112" s="47"/>
      <c r="Q1112" s="57"/>
      <c r="R1112" s="338"/>
      <c r="S1112" s="272"/>
      <c r="T1112" s="273"/>
      <c r="U1112" s="40"/>
      <c r="V1112" s="277"/>
      <c r="W1112" s="269"/>
      <c r="X1112" s="269"/>
      <c r="Y1112" s="275"/>
      <c r="Z1112" s="269"/>
      <c r="AA1112" s="57"/>
      <c r="AB1112" s="207"/>
      <c r="AC1112" s="33"/>
      <c r="AD1112" s="189"/>
      <c r="AE1112" s="54"/>
      <c r="AF1112" s="55"/>
      <c r="AG1112" s="43"/>
      <c r="AH1112" s="47"/>
      <c r="AI1112" s="30"/>
      <c r="AJ1112" s="30"/>
      <c r="AK1112" s="30"/>
      <c r="AL1112" s="30"/>
      <c r="AM1112" s="13"/>
      <c r="AN1112" s="13"/>
      <c r="AO1112" s="13"/>
      <c r="AP1112" s="13"/>
      <c r="AQ1112" s="13"/>
      <c r="AR1112" s="14"/>
      <c r="AS1112" s="15"/>
    </row>
    <row r="1113" spans="1:45" s="17" customFormat="1" ht="30.95" hidden="1" customHeight="1" x14ac:dyDescent="0.2">
      <c r="A1113" s="37"/>
      <c r="B1113" s="38"/>
      <c r="C1113" s="45"/>
      <c r="D1113" s="31">
        <v>3727603</v>
      </c>
      <c r="E1113" s="31">
        <v>4162066</v>
      </c>
      <c r="F1113" s="268" t="str">
        <f>IF(D1113="","",VLOOKUP(D1113,契約台帳!$A$3:$K$4986,6,FALSE)&amp;VLOOKUP(D1113,契約台帳!$A$3:$K$4986,7,FALSE)&amp;VLOOKUP(D1113,契約台帳!$A$3:$K$4986,8,FALSE)&amp;VLOOKUP(D1113,契約台帳!$A$3:$K$4986,9,FALSE)&amp;VLOOKUP(D1113,契約台帳!$A$3:$K$4986,11,FALSE))</f>
        <v>33SSNMCLBTETKFV</v>
      </c>
      <c r="G1113" s="269" t="str">
        <f>IF(D1113="","",VLOOKUP(F1113,製品マスタ!$G$5:$H$5002,2,FALSE))</f>
        <v>S</v>
      </c>
      <c r="H1113" s="269" t="str">
        <f>IF(D1113="","",VLOOKUP(F1113,製品マスタ!$G$5:$K$5002,5,FALSE))</f>
        <v>TETKFV</v>
      </c>
      <c r="I1113" s="270" t="str">
        <f>IF(D1113="","",VLOOKUP(F1113,製品マスタ!$G$5:$L$5002,6,FALSE))</f>
        <v>メタルミー　ＴＥＳ艶開封　Ｖ</v>
      </c>
      <c r="J1113" s="210" t="s">
        <v>935</v>
      </c>
      <c r="K1113" s="270">
        <f>IF(D1113="","",VLOOKUP(D1113,契約台帳!$A$3:$L$4986,12,FALSE))</f>
        <v>50</v>
      </c>
      <c r="L1113" s="270" t="str">
        <f>IF(D1113="","",INDEX(製品マスタ!$Q$5:$Q$5002,MATCH('S4'!F1113&amp;'S4'!K1113,製品マスタ!$AO$5:$AO$5002,0)))</f>
        <v>S28SEPA</v>
      </c>
      <c r="M1113" s="39">
        <v>1005</v>
      </c>
      <c r="N1113" s="39">
        <v>4100</v>
      </c>
      <c r="O1113" s="156">
        <v>2</v>
      </c>
      <c r="P1113" s="47">
        <v>2</v>
      </c>
      <c r="Q1113" s="213">
        <v>45196</v>
      </c>
      <c r="R1113" s="271">
        <f ca="1">IF(D1113="","",IF(OFFSET(D1113,-1,0)&lt;&gt;"","",IF(OR(J1113="リード付け",J1113="巻足し",J1113="巻返しリード付け"),M1113,VLOOKUP(D1113,契約台帳!$A$3:$N$4986,14,FALSE))))</f>
        <v>1005</v>
      </c>
      <c r="S1113" s="272">
        <f ca="1">IF(D1113="","",IF(OFFSET(D1113,-1,0)&lt;&gt;"","",IF(OR(J1113="リード付け",J1113="巻足し",J1113="巻返しリード付け"),M1113,VLOOKUP(D1113,契約台帳!$A$3:$O$4986,15,FALSE))))</f>
        <v>1005</v>
      </c>
      <c r="T1113" s="273">
        <f ca="1">IF(D1113="","",IF(J1113="リード付け",N1113,IF(J1113="巻返しリード付け",N1113,IF(J1113="巻足し",N1113*P1113+OFFSET(N1113,1,0)*OFFSET(P1113,1,0),VLOOKUP(D1113,契約台帳!$A$3:$P$4986,16,FALSE)))))</f>
        <v>8200</v>
      </c>
      <c r="U1113" s="40">
        <v>1</v>
      </c>
      <c r="V1113" s="274">
        <f ca="1">IF(D1113="","",IF(OFFSET(D1113,-2,0)=D1113,"",VLOOKUP(D1113,契約台帳!$A$3:$R$4986,18,FALSE)))</f>
        <v>2</v>
      </c>
      <c r="W1113" s="269" t="str">
        <f ca="1">IF(D1113="","",IF(T1113="","",IF(OR(J1113="巻足し",J1113="巻返しリード付け"),"",IF(J1113="巻返し",VLOOKUP(F1113&amp;K1113&amp;M1113,製品マスタ!$M$5:$AD$5002,18,FALSE),IF(OR(J1113="リード付け",J1113="巻返しリード付け"),"原反コア",IF(J1113="スリット",VLOOKUP(F1113&amp;K1113&amp;R1113,製品マスタ!$N$5:$AD$5002,17,FALSE),""))))))</f>
        <v/>
      </c>
      <c r="X1113" s="269" t="str">
        <f ca="1">IF(D1113="","",IF(T1113="","",IF(J1113="巻足し","",IF(J1113="巻返し",VLOOKUP(F1113&amp;K1113&amp;M1113,製品マスタ!$M$5:$AE$5002,19,FALSE),IF(OR(J1113="リード付け",J1113="巻返しリード付け"),"",IF(J1113="スリット",VLOOKUP(F1113&amp;K1113&amp;R1113,製品マスタ!$N$5:$AE$5002,18,FALSE),""))))))</f>
        <v/>
      </c>
      <c r="Y1113" s="275">
        <f ca="1">IF(D1113="","",IF(T1113="","",VLOOKUP(D1113,契約台帳!$A$3:$Q$4986,17,FALSE)))</f>
        <v>2</v>
      </c>
      <c r="Z1113" s="269" t="str">
        <f ca="1">IF(D1113="","",IF(T1113="","",VLOOKUP(D1113,契約台帳!$A$3:$E$4986,5,FALSE)))</f>
        <v xml:space="preserve">リンテック㈱        </v>
      </c>
      <c r="AA1113" s="57"/>
      <c r="AB1113" s="207">
        <f>IFERROR((VLOOKUP(F1113&amp;K1113&amp;M1113,製品マスタ!$M$5:$AM$5002,27,FALSE)),"")</f>
        <v>0</v>
      </c>
      <c r="AC1113" s="33"/>
      <c r="AD1113" s="189"/>
      <c r="AE1113" s="54"/>
      <c r="AF1113" s="55"/>
      <c r="AG1113" s="43"/>
      <c r="AH1113" s="47"/>
      <c r="AI1113" s="30"/>
      <c r="AJ1113" s="30"/>
      <c r="AK1113" s="30"/>
      <c r="AL1113" s="30"/>
      <c r="AM1113" s="13"/>
      <c r="AN1113" s="13"/>
      <c r="AO1113" s="13"/>
      <c r="AP1113" s="13"/>
      <c r="AQ1113" s="13"/>
      <c r="AR1113" s="14"/>
      <c r="AS1113" s="15"/>
    </row>
    <row r="1114" spans="1:45" s="17" customFormat="1" ht="30.95" hidden="1" customHeight="1" x14ac:dyDescent="0.2">
      <c r="A1114" s="37"/>
      <c r="B1114" s="38"/>
      <c r="C1114" s="45"/>
      <c r="D1114" s="31"/>
      <c r="E1114" s="31"/>
      <c r="F1114" s="268"/>
      <c r="G1114" s="269"/>
      <c r="H1114" s="269"/>
      <c r="I1114" s="270"/>
      <c r="J1114" s="210"/>
      <c r="K1114" s="270"/>
      <c r="L1114" s="270"/>
      <c r="M1114" s="39"/>
      <c r="N1114" s="39"/>
      <c r="O1114" s="156"/>
      <c r="P1114" s="47"/>
      <c r="Q1114" s="57"/>
      <c r="R1114" s="338"/>
      <c r="S1114" s="272"/>
      <c r="T1114" s="273"/>
      <c r="U1114" s="40"/>
      <c r="V1114" s="277"/>
      <c r="W1114" s="269"/>
      <c r="X1114" s="269"/>
      <c r="Y1114" s="275"/>
      <c r="Z1114" s="269"/>
      <c r="AA1114" s="57"/>
      <c r="AB1114" s="207"/>
      <c r="AC1114" s="33"/>
      <c r="AD1114" s="189"/>
      <c r="AE1114" s="54"/>
      <c r="AF1114" s="55"/>
      <c r="AG1114" s="43"/>
      <c r="AH1114" s="47"/>
      <c r="AI1114" s="30"/>
      <c r="AJ1114" s="30"/>
      <c r="AK1114" s="30"/>
      <c r="AL1114" s="30"/>
      <c r="AM1114" s="13"/>
      <c r="AN1114" s="13"/>
      <c r="AO1114" s="13"/>
      <c r="AP1114" s="13"/>
      <c r="AQ1114" s="13"/>
      <c r="AR1114" s="14"/>
      <c r="AS1114" s="15"/>
    </row>
    <row r="1115" spans="1:45" s="17" customFormat="1" ht="30.95" hidden="1" customHeight="1" x14ac:dyDescent="0.2">
      <c r="A1115" s="37" t="s">
        <v>1652</v>
      </c>
      <c r="B1115" s="38" t="s">
        <v>1653</v>
      </c>
      <c r="C1115" s="45"/>
      <c r="D1115" s="31">
        <v>3727604</v>
      </c>
      <c r="E1115" s="31">
        <v>4162087</v>
      </c>
      <c r="F1115" s="268" t="str">
        <f>IF(D1115="","",VLOOKUP(D1115,契約台帳!$A$3:$K$4986,6,FALSE)&amp;VLOOKUP(D1115,契約台帳!$A$3:$K$4986,7,FALSE)&amp;VLOOKUP(D1115,契約台帳!$A$3:$K$4986,8,FALSE)&amp;VLOOKUP(D1115,契約台帳!$A$3:$K$4986,9,FALSE)&amp;VLOOKUP(D1115,契約台帳!$A$3:$K$4986,11,FALSE))</f>
        <v>3TNMCLBHLGKJV</v>
      </c>
      <c r="G1115" s="269" t="str">
        <f>IF(D1115="","",VLOOKUP(F1115,製品マスタ!$G$5:$H$5002,2,FALSE))</f>
        <v>T</v>
      </c>
      <c r="H1115" s="269" t="str">
        <f>IF(D1115="","",VLOOKUP(F1115,製品マスタ!$G$5:$K$5002,5,FALSE))</f>
        <v>HLGKJV</v>
      </c>
      <c r="I1115" s="270" t="str">
        <f>IF(D1115="","",VLOOKUP(F1115,製品マスタ!$G$5:$L$5002,6,FALSE))</f>
        <v>メタルミー　ヘヤライン　銀消Ｖ</v>
      </c>
      <c r="J1115" s="210" t="s">
        <v>935</v>
      </c>
      <c r="K1115" s="270">
        <f>IF(D1115="","",VLOOKUP(D1115,契約台帳!$A$3:$L$4986,12,FALSE))</f>
        <v>50</v>
      </c>
      <c r="L1115" s="270" t="str">
        <f>IF(D1115="","",INDEX(製品マスタ!$Q$5:$Q$5002,MATCH('S4'!F1115&amp;'S4'!K1115,製品マスタ!$AO$5:$AO$5002,0)))</f>
        <v>HL-MAT</v>
      </c>
      <c r="M1115" s="39">
        <v>1005</v>
      </c>
      <c r="N1115" s="39">
        <v>4000</v>
      </c>
      <c r="O1115" s="156">
        <v>2</v>
      </c>
      <c r="P1115" s="47">
        <v>2</v>
      </c>
      <c r="Q1115" s="213">
        <v>45195</v>
      </c>
      <c r="R1115" s="271">
        <f ca="1">IF(D1115="","",IF(OFFSET(D1115,-1,0)&lt;&gt;"","",IF(OR(J1115="リード付け",J1115="巻足し",J1115="巻返しリード付け"),M1115,VLOOKUP(D1115,契約台帳!$A$3:$N$4986,14,FALSE))))</f>
        <v>1005</v>
      </c>
      <c r="S1115" s="272">
        <f ca="1">IF(D1115="","",IF(OFFSET(D1115,-1,0)&lt;&gt;"","",IF(OR(J1115="リード付け",J1115="巻足し",J1115="巻返しリード付け"),M1115,VLOOKUP(D1115,契約台帳!$A$3:$O$4986,15,FALSE))))</f>
        <v>1005</v>
      </c>
      <c r="T1115" s="273">
        <f ca="1">IF(D1115="","",IF(J1115="リード付け",N1115,IF(J1115="巻返しリード付け",N1115,IF(J1115="巻足し",N1115*P1115+OFFSET(N1115,1,0)*OFFSET(P1115,1,0),VLOOKUP(D1115,契約台帳!$A$3:$P$4986,16,FALSE)))))</f>
        <v>8000</v>
      </c>
      <c r="U1115" s="40">
        <v>1</v>
      </c>
      <c r="V1115" s="274">
        <f ca="1">IF(D1115="","",IF(OFFSET(D1115,-2,0)=D1115,"",VLOOKUP(D1115,契約台帳!$A$3:$R$4986,18,FALSE)))</f>
        <v>2</v>
      </c>
      <c r="W1115" s="269" t="str">
        <f ca="1">IF(D1115="","",IF(T1115="","",IF(OR(J1115="巻足し",J1115="巻返しリード付け"),"",IF(J1115="巻返し",VLOOKUP(F1115&amp;K1115&amp;M1115,製品マスタ!$M$5:$AD$5002,18,FALSE),IF(OR(J1115="リード付け",J1115="巻返しリード付け"),"原反コア",IF(J1115="スリット",VLOOKUP(F1115&amp;K1115&amp;R1115,製品マスタ!$N$5:$AD$5002,17,FALSE),""))))))</f>
        <v/>
      </c>
      <c r="X1115" s="269" t="str">
        <f ca="1">IF(D1115="","",IF(T1115="","",IF(J1115="巻足し","",IF(J1115="巻返し",VLOOKUP(F1115&amp;K1115&amp;M1115,製品マスタ!$M$5:$AE$5002,19,FALSE),IF(OR(J1115="リード付け",J1115="巻返しリード付け"),"",IF(J1115="スリット",VLOOKUP(F1115&amp;K1115&amp;R1115,製品マスタ!$N$5:$AE$5002,18,FALSE),""))))))</f>
        <v/>
      </c>
      <c r="Y1115" s="275">
        <f ca="1">IF(D1115="","",IF(T1115="","",VLOOKUP(D1115,契約台帳!$A$3:$Q$4986,17,FALSE)))</f>
        <v>2</v>
      </c>
      <c r="Z1115" s="269" t="str">
        <f ca="1">IF(D1115="","",IF(T1115="","",VLOOKUP(D1115,契約台帳!$A$3:$E$4986,5,FALSE)))</f>
        <v xml:space="preserve">リンテック㈱        </v>
      </c>
      <c r="AA1115" s="57"/>
      <c r="AB1115" s="207" t="s">
        <v>774</v>
      </c>
      <c r="AC1115" s="33"/>
      <c r="AD1115" s="189"/>
      <c r="AE1115" s="54"/>
      <c r="AF1115" s="55"/>
      <c r="AG1115" s="43"/>
      <c r="AH1115" s="47"/>
      <c r="AI1115" s="30"/>
      <c r="AJ1115" s="30"/>
      <c r="AK1115" s="30"/>
      <c r="AL1115" s="30"/>
      <c r="AM1115" s="13"/>
      <c r="AN1115" s="13"/>
      <c r="AO1115" s="13"/>
      <c r="AP1115" s="13"/>
      <c r="AQ1115" s="13"/>
      <c r="AR1115" s="14"/>
      <c r="AS1115" s="15"/>
    </row>
    <row r="1116" spans="1:45" s="17" customFormat="1" ht="30.95" hidden="1" customHeight="1" x14ac:dyDescent="0.2">
      <c r="A1116" s="37"/>
      <c r="B1116" s="38"/>
      <c r="C1116" s="45"/>
      <c r="D1116" s="31"/>
      <c r="E1116" s="31"/>
      <c r="F1116" s="268"/>
      <c r="G1116" s="269"/>
      <c r="H1116" s="269"/>
      <c r="I1116" s="270"/>
      <c r="J1116" s="210"/>
      <c r="K1116" s="270"/>
      <c r="L1116" s="270"/>
      <c r="M1116" s="39"/>
      <c r="N1116" s="39"/>
      <c r="O1116" s="156"/>
      <c r="P1116" s="47"/>
      <c r="Q1116" s="57"/>
      <c r="R1116" s="338"/>
      <c r="S1116" s="272"/>
      <c r="T1116" s="273"/>
      <c r="U1116" s="40"/>
      <c r="V1116" s="277"/>
      <c r="W1116" s="269"/>
      <c r="X1116" s="269"/>
      <c r="Y1116" s="275"/>
      <c r="Z1116" s="269"/>
      <c r="AA1116" s="57"/>
      <c r="AB1116" s="207"/>
      <c r="AC1116" s="33"/>
      <c r="AD1116" s="189"/>
      <c r="AE1116" s="54"/>
      <c r="AF1116" s="55"/>
      <c r="AG1116" s="43"/>
      <c r="AH1116" s="47"/>
      <c r="AI1116" s="30"/>
      <c r="AJ1116" s="30"/>
      <c r="AK1116" s="30"/>
      <c r="AL1116" s="30"/>
      <c r="AM1116" s="13"/>
      <c r="AN1116" s="13"/>
      <c r="AO1116" s="13"/>
      <c r="AP1116" s="13"/>
      <c r="AQ1116" s="13"/>
      <c r="AR1116" s="14"/>
      <c r="AS1116" s="15"/>
    </row>
    <row r="1117" spans="1:45" s="17" customFormat="1" ht="30.95" hidden="1" customHeight="1" x14ac:dyDescent="0.2">
      <c r="A1117" s="37"/>
      <c r="B1117" s="38"/>
      <c r="C1117" s="45"/>
      <c r="D1117" s="31">
        <v>3727608</v>
      </c>
      <c r="E1117" s="31">
        <v>4162076</v>
      </c>
      <c r="F1117" s="268" t="str">
        <f>IF(D1117="","",VLOOKUP(D1117,契約台帳!$A$3:$K$4986,6,FALSE)&amp;VLOOKUP(D1117,契約台帳!$A$3:$K$4986,7,FALSE)&amp;VLOOKUP(D1117,契約台帳!$A$3:$K$4986,8,FALSE)&amp;VLOOKUP(D1117,契約台帳!$A$3:$K$4986,9,FALSE)&amp;VLOOKUP(D1117,契約台帳!$A$3:$K$4986,11,FALSE))</f>
        <v>3SNMLBMNGTBF</v>
      </c>
      <c r="G1117" s="269" t="str">
        <f>IF(D1117="","",VLOOKUP(F1117,製品マスタ!$G$5:$H$5002,2,FALSE))</f>
        <v>S</v>
      </c>
      <c r="H1117" s="269" t="str">
        <f>IF(D1117="","",VLOOKUP(F1117,製品マスタ!$G$5:$K$5002,5,FALSE))</f>
        <v>MNGTBF</v>
      </c>
      <c r="I1117" s="270" t="str">
        <f>IF(D1117="","",VLOOKUP(F1117,製品マスタ!$G$5:$L$5002,6,FALSE))</f>
        <v>メタルミー　ネーマー　銀艶　Ｂ</v>
      </c>
      <c r="J1117" s="210" t="s">
        <v>935</v>
      </c>
      <c r="K1117" s="270">
        <f>IF(D1117="","",VLOOKUP(D1117,契約台帳!$A$3:$L$4986,12,FALSE))</f>
        <v>50</v>
      </c>
      <c r="L1117" s="270" t="str">
        <f>IF(D1117="","",INDEX(製品マスタ!$Q$5:$Q$5002,MATCH('S4'!F1117&amp;'S4'!K1117,製品マスタ!$AO$5:$AO$5002,0)))</f>
        <v>T62</v>
      </c>
      <c r="M1117" s="39">
        <v>1120</v>
      </c>
      <c r="N1117" s="39">
        <v>5000</v>
      </c>
      <c r="O1117" s="156">
        <v>8</v>
      </c>
      <c r="P1117" s="47">
        <v>2</v>
      </c>
      <c r="Q1117" s="213">
        <v>45203</v>
      </c>
      <c r="R1117" s="271">
        <f ca="1">IF(D1117="","",IF(OFFSET(D1117,-1,0)&lt;&gt;"","",IF(OR(J1117="リード付け",J1117="巻足し",J1117="巻返しリード付け"),M1117,VLOOKUP(D1117,契約台帳!$A$3:$N$4986,14,FALSE))))</f>
        <v>1120</v>
      </c>
      <c r="S1117" s="272">
        <f ca="1">IF(D1117="","",IF(OFFSET(D1117,-1,0)&lt;&gt;"","",IF(OR(J1117="リード付け",J1117="巻足し",J1117="巻返しリード付け"),M1117,VLOOKUP(D1117,契約台帳!$A$3:$O$4986,15,FALSE))))</f>
        <v>1120</v>
      </c>
      <c r="T1117" s="273">
        <f ca="1">IF(D1117="","",IF(J1117="リード付け",N1117,IF(J1117="巻返しリード付け",N1117,IF(J1117="巻足し",N1117*P1117+OFFSET(N1117,1,0)*OFFSET(P1117,1,0),VLOOKUP(D1117,契約台帳!$A$3:$P$4986,16,FALSE)))))</f>
        <v>10000</v>
      </c>
      <c r="U1117" s="40">
        <v>4</v>
      </c>
      <c r="V1117" s="274">
        <f ca="1">IF(D1117="","",IF(OFFSET(D1117,-2,0)=D1117,"",VLOOKUP(D1117,契約台帳!$A$3:$R$4986,18,FALSE)))</f>
        <v>46</v>
      </c>
      <c r="W1117" s="269" t="str">
        <f ca="1">IF(D1117="","",IF(T1117="","",IF(OR(J1117="巻足し",J1117="巻返しリード付け"),"",IF(J1117="巻返し",VLOOKUP(F1117&amp;K1117&amp;M1117,製品マスタ!$M$5:$AD$5002,18,FALSE),IF(OR(J1117="リード付け",J1117="巻返しリード付け"),"原反コア",IF(J1117="スリット",VLOOKUP(F1117&amp;K1117&amp;R1117,製品マスタ!$N$5:$AD$5002,17,FALSE),""))))))</f>
        <v/>
      </c>
      <c r="X1117" s="269" t="str">
        <f ca="1">IF(D1117="","",IF(T1117="","",IF(J1117="巻足し","",IF(J1117="巻返し",VLOOKUP(F1117&amp;K1117&amp;M1117,製品マスタ!$M$5:$AE$5002,19,FALSE),IF(OR(J1117="リード付け",J1117="巻返しリード付け"),"",IF(J1117="スリット",VLOOKUP(F1117&amp;K1117&amp;R1117,製品マスタ!$N$5:$AE$5002,18,FALSE),""))))))</f>
        <v/>
      </c>
      <c r="Y1117" s="275">
        <f ca="1">IF(D1117="","",IF(T1117="","",VLOOKUP(D1117,契約台帳!$A$3:$Q$4986,17,FALSE)))</f>
        <v>2</v>
      </c>
      <c r="Z1117" s="269" t="str">
        <f ca="1">IF(D1117="","",IF(T1117="","",VLOOKUP(D1117,契約台帳!$A$3:$E$4986,5,FALSE)))</f>
        <v xml:space="preserve">リンテック㈱        </v>
      </c>
      <c r="AA1117" s="57"/>
      <c r="AB1117" s="207" t="str">
        <f>IFERROR((VLOOKUP(F1117&amp;K1117&amp;M1117,製品マスタ!$M$5:$AM$5002,27,FALSE)),"")</f>
        <v>原反ケース再利用</v>
      </c>
      <c r="AC1117" s="33"/>
      <c r="AD1117" s="395" t="s">
        <v>1605</v>
      </c>
      <c r="AE1117" s="54"/>
      <c r="AF1117" s="55"/>
      <c r="AG1117" s="43"/>
      <c r="AH1117" s="47"/>
      <c r="AI1117" s="30"/>
      <c r="AJ1117" s="30"/>
      <c r="AK1117" s="30"/>
      <c r="AL1117" s="30"/>
      <c r="AM1117" s="13"/>
      <c r="AN1117" s="13"/>
      <c r="AO1117" s="13"/>
      <c r="AP1117" s="13"/>
      <c r="AQ1117" s="13"/>
      <c r="AR1117" s="14"/>
      <c r="AS1117" s="15"/>
    </row>
    <row r="1118" spans="1:45" s="17" customFormat="1" ht="30.95" hidden="1" customHeight="1" x14ac:dyDescent="0.2">
      <c r="A1118" s="37"/>
      <c r="B1118" s="38"/>
      <c r="C1118" s="45"/>
      <c r="D1118" s="31"/>
      <c r="E1118" s="31"/>
      <c r="F1118" s="268"/>
      <c r="G1118" s="269"/>
      <c r="H1118" s="269"/>
      <c r="I1118" s="270"/>
      <c r="J1118" s="210"/>
      <c r="K1118" s="270"/>
      <c r="L1118" s="270"/>
      <c r="M1118" s="39"/>
      <c r="N1118" s="39"/>
      <c r="O1118" s="156"/>
      <c r="P1118" s="47"/>
      <c r="Q1118" s="57"/>
      <c r="R1118" s="338"/>
      <c r="S1118" s="272"/>
      <c r="T1118" s="273"/>
      <c r="U1118" s="40"/>
      <c r="V1118" s="277"/>
      <c r="W1118" s="269"/>
      <c r="X1118" s="269"/>
      <c r="Y1118" s="275"/>
      <c r="Z1118" s="269"/>
      <c r="AA1118" s="57"/>
      <c r="AB1118" s="207"/>
      <c r="AC1118" s="33"/>
      <c r="AD1118" s="189"/>
      <c r="AE1118" s="54"/>
      <c r="AF1118" s="55"/>
      <c r="AG1118" s="43"/>
      <c r="AH1118" s="47"/>
      <c r="AI1118" s="30"/>
      <c r="AJ1118" s="30"/>
      <c r="AK1118" s="30"/>
      <c r="AL1118" s="30"/>
      <c r="AM1118" s="13"/>
      <c r="AN1118" s="13"/>
      <c r="AO1118" s="13"/>
      <c r="AP1118" s="13"/>
      <c r="AQ1118" s="13"/>
      <c r="AR1118" s="14"/>
      <c r="AS1118" s="15"/>
    </row>
    <row r="1119" spans="1:45" s="17" customFormat="1" ht="30.95" hidden="1" customHeight="1" x14ac:dyDescent="0.2">
      <c r="A1119" s="37" t="s">
        <v>588</v>
      </c>
      <c r="B1119" s="38" t="s">
        <v>443</v>
      </c>
      <c r="C1119" s="45"/>
      <c r="D1119" s="31">
        <v>3727608</v>
      </c>
      <c r="E1119" s="31">
        <v>4162076</v>
      </c>
      <c r="F1119" s="268" t="str">
        <f>IF(D1119="","",VLOOKUP(D1119,契約台帳!$A$3:$K$4986,6,FALSE)&amp;VLOOKUP(D1119,契約台帳!$A$3:$K$4986,7,FALSE)&amp;VLOOKUP(D1119,契約台帳!$A$3:$K$4986,8,FALSE)&amp;VLOOKUP(D1119,契約台帳!$A$3:$K$4986,9,FALSE)&amp;VLOOKUP(D1119,契約台帳!$A$3:$K$4986,11,FALSE))</f>
        <v>3SNMLBMNGTBF</v>
      </c>
      <c r="G1119" s="269" t="str">
        <f>IF(D1119="","",VLOOKUP(F1119,製品マスタ!$G$5:$H$5002,2,FALSE))</f>
        <v>S</v>
      </c>
      <c r="H1119" s="269" t="str">
        <f>IF(D1119="","",VLOOKUP(F1119,製品マスタ!$G$5:$K$5002,5,FALSE))</f>
        <v>MNGTBF</v>
      </c>
      <c r="I1119" s="270" t="str">
        <f>IF(D1119="","",VLOOKUP(F1119,製品マスタ!$G$5:$L$5002,6,FALSE))</f>
        <v>メタルミー　ネーマー　銀艶　Ｂ</v>
      </c>
      <c r="J1119" s="210" t="s">
        <v>935</v>
      </c>
      <c r="K1119" s="270">
        <f>IF(D1119="","",VLOOKUP(D1119,契約台帳!$A$3:$L$4986,12,FALSE))</f>
        <v>50</v>
      </c>
      <c r="L1119" s="270" t="str">
        <f>IF(D1119="","",INDEX(製品マスタ!$Q$5:$Q$5002,MATCH('S4'!F1119&amp;'S4'!K1119,製品マスタ!$AO$5:$AO$5002,0)))</f>
        <v>T62</v>
      </c>
      <c r="M1119" s="39">
        <v>1120</v>
      </c>
      <c r="N1119" s="39">
        <v>5000</v>
      </c>
      <c r="O1119" s="156">
        <v>16</v>
      </c>
      <c r="P1119" s="47">
        <v>2</v>
      </c>
      <c r="Q1119" s="213">
        <v>45203</v>
      </c>
      <c r="R1119" s="271">
        <f ca="1">IF(D1119="","",IF(OFFSET(D1119,-1,0)&lt;&gt;"","",IF(OR(J1119="リード付け",J1119="巻足し",J1119="巻返しリード付け"),M1119,VLOOKUP(D1119,契約台帳!$A$3:$N$4986,14,FALSE))))</f>
        <v>1120</v>
      </c>
      <c r="S1119" s="272">
        <f ca="1">IF(D1119="","",IF(OFFSET(D1119,-1,0)&lt;&gt;"","",IF(OR(J1119="リード付け",J1119="巻足し",J1119="巻返しリード付け"),M1119,VLOOKUP(D1119,契約台帳!$A$3:$O$4986,15,FALSE))))</f>
        <v>1120</v>
      </c>
      <c r="T1119" s="273">
        <f ca="1">IF(D1119="","",IF(J1119="リード付け",N1119,IF(J1119="巻返しリード付け",N1119,IF(J1119="巻足し",N1119*P1119+OFFSET(N1119,1,0)*OFFSET(P1119,1,0),VLOOKUP(D1119,契約台帳!$A$3:$P$4986,16,FALSE)))))</f>
        <v>10000</v>
      </c>
      <c r="U1119" s="40">
        <v>8</v>
      </c>
      <c r="V1119" s="274" t="str">
        <f ca="1">IF(D1119="","",IF(OFFSET(D1119,-2,0)=D1119,"",VLOOKUP(D1119,契約台帳!$A$3:$R$4986,18,FALSE)))</f>
        <v/>
      </c>
      <c r="W1119" s="269" t="str">
        <f ca="1">IF(D1119="","",IF(T1119="","",IF(OR(J1119="巻足し",J1119="巻返しリード付け"),"",IF(J1119="巻返し",VLOOKUP(F1119&amp;K1119&amp;M1119,製品マスタ!$M$5:$AD$5002,18,FALSE),IF(OR(J1119="リード付け",J1119="巻返しリード付け"),"原反コア",IF(J1119="スリット",VLOOKUP(F1119&amp;K1119&amp;R1119,製品マスタ!$N$5:$AD$5002,17,FALSE),""))))))</f>
        <v/>
      </c>
      <c r="X1119" s="269" t="str">
        <f ca="1">IF(D1119="","",IF(T1119="","",IF(J1119="巻足し","",IF(J1119="巻返し",VLOOKUP(F1119&amp;K1119&amp;M1119,製品マスタ!$M$5:$AE$5002,19,FALSE),IF(OR(J1119="リード付け",J1119="巻返しリード付け"),"",IF(J1119="スリット",VLOOKUP(F1119&amp;K1119&amp;R1119,製品マスタ!$N$5:$AE$5002,18,FALSE),""))))))</f>
        <v/>
      </c>
      <c r="Y1119" s="275">
        <f ca="1">IF(D1119="","",IF(T1119="","",VLOOKUP(D1119,契約台帳!$A$3:$Q$4986,17,FALSE)))</f>
        <v>2</v>
      </c>
      <c r="Z1119" s="269" t="str">
        <f ca="1">IF(D1119="","",IF(T1119="","",VLOOKUP(D1119,契約台帳!$A$3:$E$4986,5,FALSE)))</f>
        <v xml:space="preserve">リンテック㈱        </v>
      </c>
      <c r="AA1119" s="57"/>
      <c r="AB1119" s="207" t="str">
        <f>IFERROR((VLOOKUP(F1119&amp;K1119&amp;M1119,製品マスタ!$M$5:$AM$5002,27,FALSE)),"")</f>
        <v>原反ケース再利用</v>
      </c>
      <c r="AC1119" s="33"/>
      <c r="AD1119" s="395" t="s">
        <v>1605</v>
      </c>
      <c r="AE1119" s="54"/>
      <c r="AF1119" s="55"/>
      <c r="AG1119" s="43"/>
      <c r="AH1119" s="47"/>
      <c r="AI1119" s="30"/>
      <c r="AJ1119" s="30"/>
      <c r="AK1119" s="30"/>
      <c r="AL1119" s="30"/>
      <c r="AM1119" s="13"/>
      <c r="AN1119" s="13"/>
      <c r="AO1119" s="13"/>
      <c r="AP1119" s="13"/>
      <c r="AQ1119" s="13"/>
      <c r="AR1119" s="14"/>
      <c r="AS1119" s="15"/>
    </row>
    <row r="1120" spans="1:45" s="17" customFormat="1" ht="30.95" hidden="1" customHeight="1" x14ac:dyDescent="0.2">
      <c r="A1120" s="37"/>
      <c r="B1120" s="38"/>
      <c r="C1120" s="45"/>
      <c r="D1120" s="31"/>
      <c r="E1120" s="31"/>
      <c r="F1120" s="268"/>
      <c r="G1120" s="269"/>
      <c r="H1120" s="269"/>
      <c r="I1120" s="270"/>
      <c r="J1120" s="210"/>
      <c r="K1120" s="270"/>
      <c r="L1120" s="270"/>
      <c r="M1120" s="39"/>
      <c r="N1120" s="39"/>
      <c r="O1120" s="156"/>
      <c r="P1120" s="47"/>
      <c r="Q1120" s="57"/>
      <c r="R1120" s="338"/>
      <c r="S1120" s="272"/>
      <c r="T1120" s="273"/>
      <c r="U1120" s="40"/>
      <c r="V1120" s="277"/>
      <c r="W1120" s="269"/>
      <c r="X1120" s="269"/>
      <c r="Y1120" s="275"/>
      <c r="Z1120" s="269"/>
      <c r="AA1120" s="57"/>
      <c r="AB1120" s="207"/>
      <c r="AC1120" s="33"/>
      <c r="AD1120" s="189"/>
      <c r="AE1120" s="54"/>
      <c r="AF1120" s="55"/>
      <c r="AG1120" s="43"/>
      <c r="AH1120" s="47"/>
      <c r="AI1120" s="30"/>
      <c r="AJ1120" s="30"/>
      <c r="AK1120" s="30"/>
      <c r="AL1120" s="30"/>
      <c r="AM1120" s="13"/>
      <c r="AN1120" s="13"/>
      <c r="AO1120" s="13"/>
      <c r="AP1120" s="13"/>
      <c r="AQ1120" s="13"/>
      <c r="AR1120" s="14"/>
      <c r="AS1120" s="15"/>
    </row>
    <row r="1121" spans="1:45" s="17" customFormat="1" ht="30.75" hidden="1" customHeight="1" x14ac:dyDescent="0.2">
      <c r="A1121" s="37" t="s">
        <v>589</v>
      </c>
      <c r="B1121" s="38" t="s">
        <v>444</v>
      </c>
      <c r="C1121" s="45"/>
      <c r="D1121" s="31">
        <v>3727608</v>
      </c>
      <c r="E1121" s="31">
        <v>4162076</v>
      </c>
      <c r="F1121" s="268" t="str">
        <f>IF(D1121="","",VLOOKUP(D1121,契約台帳!$A$3:$K$4986,6,FALSE)&amp;VLOOKUP(D1121,契約台帳!$A$3:$K$4986,7,FALSE)&amp;VLOOKUP(D1121,契約台帳!$A$3:$K$4986,8,FALSE)&amp;VLOOKUP(D1121,契約台帳!$A$3:$K$4986,9,FALSE)&amp;VLOOKUP(D1121,契約台帳!$A$3:$K$4986,11,FALSE))</f>
        <v>3SNMLBMNGTBF</v>
      </c>
      <c r="G1121" s="269" t="str">
        <f>IF(D1121="","",VLOOKUP(F1121,製品マスタ!$G$5:$H$5002,2,FALSE))</f>
        <v>S</v>
      </c>
      <c r="H1121" s="269" t="str">
        <f>IF(D1121="","",VLOOKUP(F1121,製品マスタ!$G$5:$K$5002,5,FALSE))</f>
        <v>MNGTBF</v>
      </c>
      <c r="I1121" s="270" t="str">
        <f>IF(D1121="","",VLOOKUP(F1121,製品マスタ!$G$5:$L$5002,6,FALSE))</f>
        <v>メタルミー　ネーマー　銀艶　Ｂ</v>
      </c>
      <c r="J1121" s="210" t="s">
        <v>935</v>
      </c>
      <c r="K1121" s="270">
        <f>IF(D1121="","",VLOOKUP(D1121,契約台帳!$A$3:$L$4986,12,FALSE))</f>
        <v>50</v>
      </c>
      <c r="L1121" s="270" t="str">
        <f>IF(D1121="","",INDEX(製品マスタ!$Q$5:$Q$5002,MATCH('S4'!F1121&amp;'S4'!K1121,製品マスタ!$AO$5:$AO$5002,0)))</f>
        <v>T62</v>
      </c>
      <c r="M1121" s="39">
        <v>1120</v>
      </c>
      <c r="N1121" s="39">
        <v>5000</v>
      </c>
      <c r="O1121" s="156">
        <v>16</v>
      </c>
      <c r="P1121" s="47">
        <v>2</v>
      </c>
      <c r="Q1121" s="213">
        <v>45203</v>
      </c>
      <c r="R1121" s="271">
        <f ca="1">IF(D1121="","",IF(OFFSET(D1121,-1,0)&lt;&gt;"","",IF(OR(J1121="リード付け",J1121="巻足し",J1121="巻返しリード付け"),M1121,VLOOKUP(D1121,契約台帳!$A$3:$N$4986,14,FALSE))))</f>
        <v>1120</v>
      </c>
      <c r="S1121" s="272">
        <f ca="1">IF(D1121="","",IF(OFFSET(D1121,-1,0)&lt;&gt;"","",IF(OR(J1121="リード付け",J1121="巻足し",J1121="巻返しリード付け"),M1121,VLOOKUP(D1121,契約台帳!$A$3:$O$4986,15,FALSE))))</f>
        <v>1120</v>
      </c>
      <c r="T1121" s="273">
        <f ca="1">IF(D1121="","",IF(J1121="リード付け",N1121,IF(J1121="巻返しリード付け",N1121,IF(J1121="巻足し",N1121*P1121+OFFSET(N1121,1,0)*OFFSET(P1121,1,0),VLOOKUP(D1121,契約台帳!$A$3:$P$4986,16,FALSE)))))</f>
        <v>10000</v>
      </c>
      <c r="U1121" s="40">
        <v>8</v>
      </c>
      <c r="V1121" s="274" t="str">
        <f ca="1">IF(D1121="","",IF(OFFSET(D1121,-2,0)=D1121,"",VLOOKUP(D1121,契約台帳!$A$3:$R$4986,18,FALSE)))</f>
        <v/>
      </c>
      <c r="W1121" s="269" t="str">
        <f ca="1">IF(D1121="","",IF(T1121="","",IF(OR(J1121="巻足し",J1121="巻返しリード付け"),"",IF(J1121="巻返し",VLOOKUP(F1121&amp;K1121&amp;M1121,製品マスタ!$M$5:$AD$5002,18,FALSE),IF(OR(J1121="リード付け",J1121="巻返しリード付け"),"原反コア",IF(J1121="スリット",VLOOKUP(F1121&amp;K1121&amp;R1121,製品マスタ!$N$5:$AD$5002,17,FALSE),""))))))</f>
        <v/>
      </c>
      <c r="X1121" s="269" t="str">
        <f ca="1">IF(D1121="","",IF(T1121="","",IF(J1121="巻足し","",IF(J1121="巻返し",VLOOKUP(F1121&amp;K1121&amp;M1121,製品マスタ!$M$5:$AE$5002,19,FALSE),IF(OR(J1121="リード付け",J1121="巻返しリード付け"),"",IF(J1121="スリット",VLOOKUP(F1121&amp;K1121&amp;R1121,製品マスタ!$N$5:$AE$5002,18,FALSE),""))))))</f>
        <v/>
      </c>
      <c r="Y1121" s="275">
        <f ca="1">IF(D1121="","",IF(T1121="","",VLOOKUP(D1121,契約台帳!$A$3:$Q$4986,17,FALSE)))</f>
        <v>2</v>
      </c>
      <c r="Z1121" s="269" t="str">
        <f ca="1">IF(D1121="","",IF(T1121="","",VLOOKUP(D1121,契約台帳!$A$3:$E$4986,5,FALSE)))</f>
        <v xml:space="preserve">リンテック㈱        </v>
      </c>
      <c r="AA1121" s="57"/>
      <c r="AB1121" s="207" t="str">
        <f>IFERROR((VLOOKUP(F1121&amp;K1121&amp;M1121,製品マスタ!$M$5:$AM$5002,27,FALSE)),"")</f>
        <v>原反ケース再利用</v>
      </c>
      <c r="AC1121" s="33"/>
      <c r="AD1121" s="395" t="s">
        <v>1605</v>
      </c>
      <c r="AE1121" s="54"/>
      <c r="AF1121" s="55"/>
      <c r="AG1121" s="43"/>
      <c r="AH1121" s="47"/>
      <c r="AI1121" s="30"/>
      <c r="AJ1121" s="30"/>
      <c r="AK1121" s="30"/>
      <c r="AL1121" s="30"/>
      <c r="AM1121" s="13"/>
      <c r="AN1121" s="13"/>
      <c r="AO1121" s="13"/>
      <c r="AP1121" s="13"/>
      <c r="AQ1121" s="13"/>
      <c r="AR1121" s="14"/>
      <c r="AS1121" s="15"/>
    </row>
    <row r="1122" spans="1:45" s="17" customFormat="1" ht="30.95" hidden="1" customHeight="1" x14ac:dyDescent="0.2">
      <c r="A1122" s="37"/>
      <c r="B1122" s="38"/>
      <c r="C1122" s="45"/>
      <c r="D1122" s="31"/>
      <c r="E1122" s="31"/>
      <c r="F1122" s="268"/>
      <c r="G1122" s="269"/>
      <c r="H1122" s="269"/>
      <c r="I1122" s="270"/>
      <c r="J1122" s="210"/>
      <c r="K1122" s="270"/>
      <c r="L1122" s="270"/>
      <c r="M1122" s="39"/>
      <c r="N1122" s="39"/>
      <c r="O1122" s="156"/>
      <c r="P1122" s="47"/>
      <c r="Q1122" s="57"/>
      <c r="R1122" s="338"/>
      <c r="S1122" s="272"/>
      <c r="T1122" s="273"/>
      <c r="U1122" s="40"/>
      <c r="V1122" s="277"/>
      <c r="W1122" s="269"/>
      <c r="X1122" s="269"/>
      <c r="Y1122" s="275"/>
      <c r="Z1122" s="269"/>
      <c r="AA1122" s="57"/>
      <c r="AB1122" s="207"/>
      <c r="AC1122" s="33"/>
      <c r="AD1122" s="189"/>
      <c r="AE1122" s="54"/>
      <c r="AF1122" s="55"/>
      <c r="AG1122" s="43"/>
      <c r="AH1122" s="47"/>
      <c r="AI1122" s="30"/>
      <c r="AJ1122" s="30"/>
      <c r="AK1122" s="30"/>
      <c r="AL1122" s="30"/>
      <c r="AM1122" s="13"/>
      <c r="AN1122" s="13"/>
      <c r="AO1122" s="13"/>
      <c r="AP1122" s="13"/>
      <c r="AQ1122" s="13"/>
      <c r="AR1122" s="14"/>
      <c r="AS1122" s="15"/>
    </row>
    <row r="1123" spans="1:45" s="17" customFormat="1" ht="30.95" hidden="1" customHeight="1" x14ac:dyDescent="0.2">
      <c r="A1123" s="37" t="s">
        <v>590</v>
      </c>
      <c r="B1123" s="38" t="s">
        <v>445</v>
      </c>
      <c r="C1123" s="45"/>
      <c r="D1123" s="31"/>
      <c r="E1123" s="31"/>
      <c r="F1123" s="268"/>
      <c r="G1123" s="269"/>
      <c r="H1123" s="269"/>
      <c r="I1123" s="270"/>
      <c r="J1123" s="210" t="s">
        <v>448</v>
      </c>
      <c r="K1123" s="270"/>
      <c r="L1123" s="270"/>
      <c r="M1123" s="39"/>
      <c r="N1123" s="39"/>
      <c r="O1123" s="156"/>
      <c r="P1123" s="47"/>
      <c r="Q1123" s="57"/>
      <c r="R1123" s="338"/>
      <c r="S1123" s="272"/>
      <c r="T1123" s="273"/>
      <c r="U1123" s="40"/>
      <c r="V1123" s="277"/>
      <c r="W1123" s="269"/>
      <c r="X1123" s="269"/>
      <c r="Y1123" s="275"/>
      <c r="Z1123" s="269"/>
      <c r="AA1123" s="57"/>
      <c r="AB1123" s="207"/>
      <c r="AC1123" s="33"/>
      <c r="AD1123" s="189"/>
      <c r="AE1123" s="54"/>
      <c r="AF1123" s="55"/>
      <c r="AG1123" s="43"/>
      <c r="AH1123" s="47"/>
      <c r="AI1123" s="30"/>
      <c r="AJ1123" s="30"/>
      <c r="AK1123" s="30"/>
      <c r="AL1123" s="30"/>
      <c r="AM1123" s="13"/>
      <c r="AN1123" s="13"/>
      <c r="AO1123" s="13"/>
      <c r="AP1123" s="13"/>
      <c r="AQ1123" s="13"/>
      <c r="AR1123" s="14"/>
      <c r="AS1123" s="15"/>
    </row>
    <row r="1124" spans="1:45" s="17" customFormat="1" ht="30.95" hidden="1" customHeight="1" x14ac:dyDescent="0.2">
      <c r="A1124" s="37"/>
      <c r="B1124" s="38"/>
      <c r="C1124" s="45"/>
      <c r="D1124" s="31"/>
      <c r="E1124" s="31"/>
      <c r="F1124" s="268"/>
      <c r="G1124" s="269"/>
      <c r="H1124" s="269"/>
      <c r="I1124" s="270"/>
      <c r="J1124" s="210"/>
      <c r="K1124" s="270"/>
      <c r="L1124" s="270"/>
      <c r="M1124" s="39"/>
      <c r="N1124" s="39"/>
      <c r="O1124" s="156"/>
      <c r="P1124" s="47"/>
      <c r="Q1124" s="57"/>
      <c r="R1124" s="338"/>
      <c r="S1124" s="272"/>
      <c r="T1124" s="273"/>
      <c r="U1124" s="40"/>
      <c r="V1124" s="277"/>
      <c r="W1124" s="269"/>
      <c r="X1124" s="269"/>
      <c r="Y1124" s="275"/>
      <c r="Z1124" s="269"/>
      <c r="AA1124" s="57"/>
      <c r="AB1124" s="207"/>
      <c r="AC1124" s="33"/>
      <c r="AD1124" s="189"/>
      <c r="AE1124" s="54"/>
      <c r="AF1124" s="55"/>
      <c r="AG1124" s="43"/>
      <c r="AH1124" s="47"/>
      <c r="AI1124" s="30"/>
      <c r="AJ1124" s="30"/>
      <c r="AK1124" s="30"/>
      <c r="AL1124" s="30"/>
      <c r="AM1124" s="13"/>
      <c r="AN1124" s="13"/>
      <c r="AO1124" s="13"/>
      <c r="AP1124" s="13"/>
      <c r="AQ1124" s="13"/>
      <c r="AR1124" s="14"/>
      <c r="AS1124" s="15"/>
    </row>
    <row r="1125" spans="1:45" s="17" customFormat="1" ht="30.95" hidden="1" customHeight="1" x14ac:dyDescent="0.2">
      <c r="A1125" s="37" t="s">
        <v>591</v>
      </c>
      <c r="B1125" s="38" t="s">
        <v>446</v>
      </c>
      <c r="C1125" s="45"/>
      <c r="D1125" s="31"/>
      <c r="E1125" s="31"/>
      <c r="F1125" s="268"/>
      <c r="G1125" s="269"/>
      <c r="H1125" s="269"/>
      <c r="I1125" s="270"/>
      <c r="J1125" s="210" t="s">
        <v>448</v>
      </c>
      <c r="K1125" s="270"/>
      <c r="L1125" s="270"/>
      <c r="M1125" s="39"/>
      <c r="N1125" s="39"/>
      <c r="O1125" s="156"/>
      <c r="P1125" s="47"/>
      <c r="Q1125" s="57"/>
      <c r="R1125" s="338"/>
      <c r="S1125" s="272"/>
      <c r="T1125" s="273"/>
      <c r="U1125" s="40"/>
      <c r="V1125" s="277"/>
      <c r="W1125" s="269"/>
      <c r="X1125" s="269"/>
      <c r="Y1125" s="275"/>
      <c r="Z1125" s="269"/>
      <c r="AA1125" s="57"/>
      <c r="AB1125" s="207"/>
      <c r="AC1125" s="33"/>
      <c r="AD1125" s="189"/>
      <c r="AE1125" s="54"/>
      <c r="AF1125" s="55"/>
      <c r="AG1125" s="43"/>
      <c r="AH1125" s="47"/>
      <c r="AI1125" s="30"/>
      <c r="AJ1125" s="30"/>
      <c r="AK1125" s="30"/>
      <c r="AL1125" s="30"/>
      <c r="AM1125" s="13"/>
      <c r="AN1125" s="13"/>
      <c r="AO1125" s="13"/>
      <c r="AP1125" s="13"/>
      <c r="AQ1125" s="13"/>
      <c r="AR1125" s="14"/>
      <c r="AS1125" s="15"/>
    </row>
    <row r="1126" spans="1:45" s="17" customFormat="1" ht="30.95" hidden="1" customHeight="1" x14ac:dyDescent="0.2">
      <c r="A1126" s="37"/>
      <c r="B1126" s="38"/>
      <c r="C1126" s="45"/>
      <c r="D1126" s="31"/>
      <c r="E1126" s="31"/>
      <c r="F1126" s="268"/>
      <c r="G1126" s="269"/>
      <c r="H1126" s="269"/>
      <c r="I1126" s="270"/>
      <c r="J1126" s="210"/>
      <c r="K1126" s="270"/>
      <c r="L1126" s="270"/>
      <c r="M1126" s="39"/>
      <c r="N1126" s="39"/>
      <c r="O1126" s="156"/>
      <c r="P1126" s="47"/>
      <c r="Q1126" s="57"/>
      <c r="R1126" s="338"/>
      <c r="S1126" s="272"/>
      <c r="T1126" s="273"/>
      <c r="U1126" s="40"/>
      <c r="V1126" s="277"/>
      <c r="W1126" s="269"/>
      <c r="X1126" s="269"/>
      <c r="Y1126" s="275"/>
      <c r="Z1126" s="269"/>
      <c r="AA1126" s="57"/>
      <c r="AB1126" s="207"/>
      <c r="AC1126" s="33"/>
      <c r="AD1126" s="189"/>
      <c r="AE1126" s="54"/>
      <c r="AF1126" s="55"/>
      <c r="AG1126" s="43"/>
      <c r="AH1126" s="47"/>
      <c r="AI1126" s="30"/>
      <c r="AJ1126" s="30"/>
      <c r="AK1126" s="30"/>
      <c r="AL1126" s="30"/>
      <c r="AM1126" s="13"/>
      <c r="AN1126" s="13"/>
      <c r="AO1126" s="13"/>
      <c r="AP1126" s="13"/>
      <c r="AQ1126" s="13"/>
      <c r="AR1126" s="14"/>
      <c r="AS1126" s="15"/>
    </row>
    <row r="1127" spans="1:45" s="17" customFormat="1" ht="30.95" hidden="1" customHeight="1" x14ac:dyDescent="0.2">
      <c r="A1127" s="37" t="s">
        <v>592</v>
      </c>
      <c r="B1127" s="38" t="s">
        <v>462</v>
      </c>
      <c r="C1127" s="45"/>
      <c r="D1127" s="31"/>
      <c r="E1127" s="31"/>
      <c r="F1127" s="268"/>
      <c r="G1127" s="269"/>
      <c r="H1127" s="269"/>
      <c r="I1127" s="270"/>
      <c r="J1127" s="210" t="s">
        <v>448</v>
      </c>
      <c r="K1127" s="270"/>
      <c r="L1127" s="270"/>
      <c r="M1127" s="39"/>
      <c r="N1127" s="39"/>
      <c r="O1127" s="156"/>
      <c r="P1127" s="47"/>
      <c r="Q1127" s="57"/>
      <c r="R1127" s="338"/>
      <c r="S1127" s="272"/>
      <c r="T1127" s="273"/>
      <c r="U1127" s="40"/>
      <c r="V1127" s="277"/>
      <c r="W1127" s="269"/>
      <c r="X1127" s="269"/>
      <c r="Y1127" s="275"/>
      <c r="Z1127" s="269"/>
      <c r="AA1127" s="57"/>
      <c r="AB1127" s="207"/>
      <c r="AC1127" s="33"/>
      <c r="AD1127" s="189"/>
      <c r="AE1127" s="54"/>
      <c r="AF1127" s="55"/>
      <c r="AG1127" s="43"/>
      <c r="AH1127" s="47"/>
      <c r="AI1127" s="30"/>
      <c r="AJ1127" s="30"/>
      <c r="AK1127" s="30"/>
      <c r="AL1127" s="30"/>
      <c r="AM1127" s="13"/>
      <c r="AN1127" s="13"/>
      <c r="AO1127" s="13"/>
      <c r="AP1127" s="13"/>
      <c r="AQ1127" s="13"/>
      <c r="AR1127" s="14"/>
      <c r="AS1127" s="15"/>
    </row>
    <row r="1128" spans="1:45" s="17" customFormat="1" ht="30.95" hidden="1" customHeight="1" x14ac:dyDescent="0.2">
      <c r="A1128" s="37"/>
      <c r="B1128" s="38"/>
      <c r="C1128" s="45"/>
      <c r="D1128" s="31"/>
      <c r="E1128" s="31"/>
      <c r="F1128" s="268"/>
      <c r="G1128" s="269"/>
      <c r="H1128" s="269"/>
      <c r="I1128" s="270"/>
      <c r="J1128" s="210"/>
      <c r="K1128" s="270"/>
      <c r="L1128" s="270"/>
      <c r="M1128" s="39"/>
      <c r="N1128" s="39"/>
      <c r="O1128" s="156"/>
      <c r="P1128" s="47"/>
      <c r="Q1128" s="57"/>
      <c r="R1128" s="338"/>
      <c r="S1128" s="272"/>
      <c r="T1128" s="273"/>
      <c r="U1128" s="40"/>
      <c r="V1128" s="277"/>
      <c r="W1128" s="269"/>
      <c r="X1128" s="269"/>
      <c r="Y1128" s="275"/>
      <c r="Z1128" s="269"/>
      <c r="AA1128" s="57"/>
      <c r="AB1128" s="207"/>
      <c r="AC1128" s="33"/>
      <c r="AD1128" s="189"/>
      <c r="AE1128" s="54"/>
      <c r="AF1128" s="55"/>
      <c r="AG1128" s="43"/>
      <c r="AH1128" s="47"/>
      <c r="AI1128" s="30"/>
      <c r="AJ1128" s="30"/>
      <c r="AK1128" s="30"/>
      <c r="AL1128" s="30"/>
      <c r="AM1128" s="13"/>
      <c r="AN1128" s="13"/>
      <c r="AO1128" s="13"/>
      <c r="AP1128" s="13"/>
      <c r="AQ1128" s="13"/>
      <c r="AR1128" s="14"/>
      <c r="AS1128" s="15"/>
    </row>
    <row r="1129" spans="1:45" s="17" customFormat="1" ht="30.95" hidden="1" customHeight="1" x14ac:dyDescent="0.2">
      <c r="A1129" s="37" t="s">
        <v>593</v>
      </c>
      <c r="B1129" s="38" t="s">
        <v>688</v>
      </c>
      <c r="C1129" s="45"/>
      <c r="D1129" s="31">
        <v>3723630</v>
      </c>
      <c r="E1129" s="31">
        <v>4151452</v>
      </c>
      <c r="F1129" s="268" t="str">
        <f>IF(D1129="","",VLOOKUP(D1129,契約台帳!$A$3:$K$4986,6,FALSE)&amp;VLOOKUP(D1129,契約台帳!$A$3:$K$4986,7,FALSE)&amp;VLOOKUP(D1129,契約台帳!$A$3:$K$4986,8,FALSE)&amp;VLOOKUP(D1129,契約台帳!$A$3:$K$4986,9,FALSE)&amp;VLOOKUP(D1129,契約台帳!$A$3:$K$4986,11,FALSE))</f>
        <v>3SNMLBMNGKKBF</v>
      </c>
      <c r="G1129" s="269" t="str">
        <f>IF(D1129="","",VLOOKUP(F1129,製品マスタ!$G$5:$H$5002,2,FALSE))</f>
        <v>S</v>
      </c>
      <c r="H1129" s="269" t="str">
        <f>IF(D1129="","",VLOOKUP(F1129,製品マスタ!$G$5:$K$5002,5,FALSE))</f>
        <v>MNGKKBF</v>
      </c>
      <c r="I1129" s="270" t="str">
        <f>IF(D1129="","",VLOOKUP(F1129,製品マスタ!$G$5:$L$5002,6,FALSE))</f>
        <v>メタルミー　ネーマー銀消改　Ｂ</v>
      </c>
      <c r="J1129" s="210" t="s">
        <v>447</v>
      </c>
      <c r="K1129" s="270">
        <f>IF(D1129="","",VLOOKUP(D1129,契約台帳!$A$3:$L$4986,12,FALSE))</f>
        <v>50</v>
      </c>
      <c r="L1129" s="270" t="str">
        <f>IF(D1129="","",INDEX(製品マスタ!$Q$5:$Q$5002,MATCH('S4'!F1129&amp;'S4'!K1129,製品マスタ!$AO$5:$AO$5002,0)))</f>
        <v>S99-MAT</v>
      </c>
      <c r="M1129" s="39">
        <v>1120</v>
      </c>
      <c r="N1129" s="39">
        <v>12000</v>
      </c>
      <c r="O1129" s="156">
        <v>2</v>
      </c>
      <c r="P1129" s="47">
        <v>2</v>
      </c>
      <c r="Q1129" s="57"/>
      <c r="R1129" s="271">
        <f ca="1">IF(D1129="","",IF(OFFSET(D1129,-1,0)&lt;&gt;"","",IF(OR(J1129="リード付け",J1129="巻足し",J1129="巻返しリード付け"),M1129,VLOOKUP(D1129,契約台帳!$A$3:$N$4986,14,FALSE))))</f>
        <v>1120</v>
      </c>
      <c r="S1129" s="272">
        <f ca="1">IF(D1129="","",IF(OFFSET(D1129,-1,0)&lt;&gt;"","",IF(OR(J1129="リード付け",J1129="巻足し",J1129="巻返しリード付け"),M1129,VLOOKUP(D1129,契約台帳!$A$3:$O$4986,15,FALSE))))</f>
        <v>1120</v>
      </c>
      <c r="T1129" s="273">
        <f ca="1">IF(D1129="","",IF(J1129="リード付け",N1129,IF(J1129="巻返しリード付け",N1129,IF(J1129="巻足し",N1129*P1129+OFFSET(N1129,1,0)*OFFSET(P1129,1,0),VLOOKUP(D1129,契約台帳!$A$3:$P$4986,16,FALSE)))))</f>
        <v>4000</v>
      </c>
      <c r="U1129" s="40">
        <v>6</v>
      </c>
      <c r="V1129" s="274">
        <f ca="1">IF(D1129="","",IF(OFFSET(D1129,-2,0)=D1129,"",VLOOKUP(D1129,契約台帳!$A$3:$R$4986,18,FALSE)))</f>
        <v>9</v>
      </c>
      <c r="W1129" s="269" t="str">
        <f ca="1">IF(D1129="","",IF(T1129="","",IF(OR(J1129="巻足し",J1129="巻返しリード付け"),"",IF(J1129="巻返し",VLOOKUP(F1129&amp;K1129&amp;M1129,製品マスタ!$M$5:$AD$5002,18,FALSE),IF(OR(J1129="リード付け",J1129="巻返しリード付け"),"原反コア",IF(J1129="スリット",VLOOKUP(F1129&amp;K1129&amp;R1129,製品マスタ!$N$5:$AD$5002,17,FALSE),""))))))</f>
        <v>6ｲﾝﾁSｺｱ</v>
      </c>
      <c r="X1129" s="269">
        <f ca="1">IF(D1129="","",IF(T1129="","",IF(J1129="巻足し","",IF(J1129="巻返し",VLOOKUP(F1129&amp;K1129&amp;M1129,製品マスタ!$M$5:$AE$5002,19,FALSE),IF(OR(J1129="リード付け",J1129="巻返しリード付け"),"",IF(J1129="スリット",VLOOKUP(F1129&amp;K1129&amp;R1129,製品マスタ!$N$5:$AE$5002,18,FALSE),""))))))</f>
        <v>1125</v>
      </c>
      <c r="Y1129" s="275">
        <f ca="1">IF(D1129="","",IF(T1129="","",VLOOKUP(D1129,契約台帳!$A$3:$Q$4986,17,FALSE)))</f>
        <v>2</v>
      </c>
      <c r="Z1129" s="269" t="str">
        <f ca="1">IF(D1129="","",IF(T1129="","",VLOOKUP(D1129,契約台帳!$A$3:$E$4986,5,FALSE)))</f>
        <v>リンテック㈱</v>
      </c>
      <c r="AA1129" s="57"/>
      <c r="AB1129" s="207">
        <f>IFERROR((VLOOKUP(F1129&amp;K1129&amp;M1129,製品マスタ!$M$5:$AM$5002,27,FALSE)),"")</f>
        <v>0</v>
      </c>
      <c r="AC1129" s="33"/>
      <c r="AD1129" s="395"/>
      <c r="AE1129" s="54" t="str">
        <f>IF(F1129="","",+F1129&amp;K1129)</f>
        <v>3SNMLBMNGKKBF50</v>
      </c>
      <c r="AF1129" s="55">
        <f>+M1129*N1129*O1129/1000</f>
        <v>26880</v>
      </c>
      <c r="AG1129" s="43">
        <f>IF(AE1129="","",VLOOKUP(AE1129,原価マスタ!$A$2:$AJ$1693,13,FALSE))</f>
        <v>99</v>
      </c>
      <c r="AH1129" s="47">
        <f>IF(AG1129="","",+AF1129*AG1129/100)</f>
        <v>26611.200000000001</v>
      </c>
      <c r="AI1129" s="30"/>
      <c r="AJ1129" s="30"/>
      <c r="AK1129" s="30"/>
      <c r="AL1129" s="30"/>
      <c r="AM1129" s="13"/>
      <c r="AN1129" s="13"/>
      <c r="AO1129" s="13"/>
      <c r="AP1129" s="13"/>
      <c r="AQ1129" s="13"/>
      <c r="AR1129" s="14"/>
      <c r="AS1129" s="15"/>
    </row>
    <row r="1130" spans="1:45" s="17" customFormat="1" ht="30.95" hidden="1" customHeight="1" x14ac:dyDescent="0.2">
      <c r="A1130" s="37"/>
      <c r="B1130" s="38"/>
      <c r="C1130" s="45"/>
      <c r="D1130" s="31"/>
      <c r="E1130" s="31"/>
      <c r="F1130" s="268"/>
      <c r="G1130" s="269"/>
      <c r="H1130" s="269"/>
      <c r="I1130" s="270"/>
      <c r="J1130" s="210"/>
      <c r="K1130" s="270"/>
      <c r="L1130" s="270"/>
      <c r="M1130" s="39"/>
      <c r="N1130" s="39"/>
      <c r="O1130" s="156"/>
      <c r="P1130" s="47"/>
      <c r="Q1130" s="57"/>
      <c r="R1130" s="338"/>
      <c r="S1130" s="272"/>
      <c r="T1130" s="273"/>
      <c r="U1130" s="40"/>
      <c r="V1130" s="277"/>
      <c r="W1130" s="269"/>
      <c r="X1130" s="269"/>
      <c r="Y1130" s="275"/>
      <c r="Z1130" s="269"/>
      <c r="AA1130" s="57"/>
      <c r="AB1130" s="207"/>
      <c r="AC1130" s="33"/>
      <c r="AD1130" s="189"/>
      <c r="AE1130" s="54"/>
      <c r="AF1130" s="55"/>
      <c r="AG1130" s="43"/>
      <c r="AH1130" s="47"/>
      <c r="AI1130" s="30"/>
      <c r="AJ1130" s="30"/>
      <c r="AK1130" s="30"/>
      <c r="AL1130" s="30"/>
      <c r="AM1130" s="13"/>
      <c r="AN1130" s="13"/>
      <c r="AO1130" s="13"/>
      <c r="AP1130" s="13"/>
      <c r="AQ1130" s="13"/>
      <c r="AR1130" s="14"/>
      <c r="AS1130" s="15"/>
    </row>
    <row r="1131" spans="1:45" s="17" customFormat="1" ht="30.95" hidden="1" customHeight="1" x14ac:dyDescent="0.2">
      <c r="A1131" s="37"/>
      <c r="B1131" s="38"/>
      <c r="C1131" s="45"/>
      <c r="D1131" s="31">
        <v>3723628</v>
      </c>
      <c r="E1131" s="31">
        <v>4151450</v>
      </c>
      <c r="F1131" s="268" t="str">
        <f>IF(D1131="","",VLOOKUP(D1131,契約台帳!$A$3:$K$4986,6,FALSE)&amp;VLOOKUP(D1131,契約台帳!$A$3:$K$4986,7,FALSE)&amp;VLOOKUP(D1131,契約台帳!$A$3:$K$4986,8,FALSE)&amp;VLOOKUP(D1131,契約台帳!$A$3:$K$4986,9,FALSE)&amp;VLOOKUP(D1131,契約台帳!$A$3:$K$4986,11,FALSE))</f>
        <v>3SNMLBMNGKKBF</v>
      </c>
      <c r="G1131" s="269" t="str">
        <f>IF(D1131="","",VLOOKUP(F1131,製品マスタ!$G$5:$H$5002,2,FALSE))</f>
        <v>S</v>
      </c>
      <c r="H1131" s="269" t="str">
        <f>IF(D1131="","",VLOOKUP(F1131,製品マスタ!$G$5:$K$5002,5,FALSE))</f>
        <v>MNGKKBF</v>
      </c>
      <c r="I1131" s="270" t="str">
        <f>IF(D1131="","",VLOOKUP(F1131,製品マスタ!$G$5:$L$5002,6,FALSE))</f>
        <v>メタルミー　ネーマー銀消改　Ｂ</v>
      </c>
      <c r="J1131" s="210" t="s">
        <v>447</v>
      </c>
      <c r="K1131" s="270">
        <f>IF(D1131="","",VLOOKUP(D1131,契約台帳!$A$3:$L$4986,12,FALSE))</f>
        <v>50</v>
      </c>
      <c r="L1131" s="270" t="str">
        <f>IF(D1131="","",INDEX(製品マスタ!$Q$5:$Q$5002,MATCH('S4'!F1131&amp;'S4'!K1131,製品マスタ!$AO$5:$AO$5002,0)))</f>
        <v>S99-MAT</v>
      </c>
      <c r="M1131" s="39">
        <v>1000</v>
      </c>
      <c r="N1131" s="39">
        <v>8000</v>
      </c>
      <c r="O1131" s="156">
        <v>1</v>
      </c>
      <c r="P1131" s="47">
        <v>1</v>
      </c>
      <c r="Q1131" s="57"/>
      <c r="R1131" s="271">
        <f ca="1">IF(D1131="","",IF(OFFSET(D1131,-1,0)&lt;&gt;"","",IF(OR(J1131="リード付け",J1131="巻足し",J1131="巻返しリード付け"),M1131,VLOOKUP(D1131,契約台帳!$A$3:$N$4986,14,FALSE))))</f>
        <v>1000</v>
      </c>
      <c r="S1131" s="272">
        <f ca="1">IF(D1131="","",IF(OFFSET(D1131,-1,0)&lt;&gt;"","",IF(OR(J1131="リード付け",J1131="巻足し",J1131="巻返しリード付け"),M1131,VLOOKUP(D1131,契約台帳!$A$3:$O$4986,15,FALSE))))</f>
        <v>1000</v>
      </c>
      <c r="T1131" s="273">
        <f ca="1">IF(D1131="","",IF(J1131="リード付け",N1131,IF(J1131="巻返しリード付け",N1131,IF(J1131="巻足し",N1131*P1131+OFFSET(N1131,1,0)*OFFSET(P1131,1,0),VLOOKUP(D1131,契約台帳!$A$3:$P$4986,16,FALSE)))))</f>
        <v>4000</v>
      </c>
      <c r="U1131" s="40">
        <v>2</v>
      </c>
      <c r="V1131" s="274">
        <f ca="1">IF(D1131="","",IF(OFFSET(D1131,-2,0)=D1131,"",VLOOKUP(D1131,契約台帳!$A$3:$R$4986,18,FALSE)))</f>
        <v>2</v>
      </c>
      <c r="W1131" s="269" t="str">
        <f ca="1">IF(D1131="","",IF(T1131="","",IF(OR(J1131="巻足し",J1131="巻返しリード付け"),"",IF(J1131="巻返し",VLOOKUP(F1131&amp;K1131&amp;M1131,製品マスタ!$M$5:$AD$5002,18,FALSE),IF(OR(J1131="リード付け",J1131="巻返しリード付け"),"原反コア",IF(J1131="スリット",VLOOKUP(F1131&amp;K1131&amp;R1131,製品マスタ!$N$5:$AD$5002,17,FALSE),""))))))</f>
        <v>6ｲﾝﾁSｺｱ</v>
      </c>
      <c r="X1131" s="269">
        <f ca="1">IF(D1131="","",IF(T1131="","",IF(J1131="巻足し","",IF(J1131="巻返し",VLOOKUP(F1131&amp;K1131&amp;M1131,製品マスタ!$M$5:$AE$5002,19,FALSE),IF(OR(J1131="リード付け",J1131="巻返しリード付け"),"",IF(J1131="スリット",VLOOKUP(F1131&amp;K1131&amp;R1131,製品マスタ!$N$5:$AE$5002,18,FALSE),""))))))</f>
        <v>1005</v>
      </c>
      <c r="Y1131" s="275">
        <f ca="1">IF(D1131="","",IF(T1131="","",VLOOKUP(D1131,契約台帳!$A$3:$Q$4986,17,FALSE)))</f>
        <v>2</v>
      </c>
      <c r="Z1131" s="269" t="str">
        <f ca="1">IF(D1131="","",IF(T1131="","",VLOOKUP(D1131,契約台帳!$A$3:$E$4986,5,FALSE)))</f>
        <v>リンテック㈱</v>
      </c>
      <c r="AA1131" s="57"/>
      <c r="AB1131" s="207">
        <f>IFERROR((VLOOKUP(F1131&amp;K1131&amp;M1131,製品マスタ!$M$5:$AM$5002,27,FALSE)),"")</f>
        <v>0</v>
      </c>
      <c r="AC1131" s="33"/>
      <c r="AD1131" s="395"/>
      <c r="AE1131" s="54" t="str">
        <f>IF(F1131="","",+F1131&amp;K1131)</f>
        <v>3SNMLBMNGKKBF50</v>
      </c>
      <c r="AF1131" s="55">
        <f>+M1131*N1131*O1131/1000</f>
        <v>8000</v>
      </c>
      <c r="AG1131" s="43">
        <f>IF(AE1131="","",VLOOKUP(AE1131,原価マスタ!$A$2:$AJ$1693,13,FALSE))</f>
        <v>99</v>
      </c>
      <c r="AH1131" s="47">
        <f>IF(AG1131="","",+AF1131*AG1131/100)</f>
        <v>7920</v>
      </c>
      <c r="AI1131" s="30"/>
      <c r="AJ1131" s="30"/>
      <c r="AK1131" s="30"/>
      <c r="AL1131" s="30"/>
      <c r="AM1131" s="13"/>
      <c r="AN1131" s="13"/>
      <c r="AO1131" s="13"/>
      <c r="AP1131" s="13"/>
      <c r="AQ1131" s="13"/>
      <c r="AR1131" s="14"/>
      <c r="AS1131" s="15"/>
    </row>
    <row r="1132" spans="1:45" s="17" customFormat="1" ht="30.95" hidden="1" customHeight="1" x14ac:dyDescent="0.2">
      <c r="A1132" s="37"/>
      <c r="B1132" s="38"/>
      <c r="C1132" s="45"/>
      <c r="D1132" s="31"/>
      <c r="E1132" s="31"/>
      <c r="F1132" s="268"/>
      <c r="G1132" s="269"/>
      <c r="H1132" s="269"/>
      <c r="I1132" s="270"/>
      <c r="J1132" s="210"/>
      <c r="K1132" s="270"/>
      <c r="L1132" s="270"/>
      <c r="M1132" s="39"/>
      <c r="N1132" s="39"/>
      <c r="O1132" s="156"/>
      <c r="P1132" s="47"/>
      <c r="Q1132" s="57"/>
      <c r="R1132" s="338"/>
      <c r="S1132" s="272"/>
      <c r="T1132" s="273"/>
      <c r="U1132" s="40"/>
      <c r="V1132" s="277"/>
      <c r="W1132" s="269"/>
      <c r="X1132" s="269"/>
      <c r="Y1132" s="275"/>
      <c r="Z1132" s="269"/>
      <c r="AA1132" s="57"/>
      <c r="AB1132" s="207"/>
      <c r="AC1132" s="33"/>
      <c r="AD1132" s="189"/>
      <c r="AE1132" s="54"/>
      <c r="AF1132" s="55"/>
      <c r="AG1132" s="43"/>
      <c r="AH1132" s="47"/>
      <c r="AI1132" s="30"/>
      <c r="AJ1132" s="30"/>
      <c r="AK1132" s="30"/>
      <c r="AL1132" s="30"/>
      <c r="AM1132" s="13"/>
      <c r="AN1132" s="13"/>
      <c r="AO1132" s="13"/>
      <c r="AP1132" s="13"/>
      <c r="AQ1132" s="13"/>
      <c r="AR1132" s="14"/>
      <c r="AS1132" s="15"/>
    </row>
    <row r="1133" spans="1:45" s="17" customFormat="1" ht="30.75" hidden="1" customHeight="1" x14ac:dyDescent="0.2">
      <c r="A1133" s="37"/>
      <c r="B1133" s="38"/>
      <c r="C1133" s="45"/>
      <c r="D1133" s="31">
        <v>3727608</v>
      </c>
      <c r="E1133" s="31">
        <v>4162076</v>
      </c>
      <c r="F1133" s="268" t="str">
        <f>IF(D1133="","",VLOOKUP(D1133,契約台帳!$A$3:$K$4986,6,FALSE)&amp;VLOOKUP(D1133,契約台帳!$A$3:$K$4986,7,FALSE)&amp;VLOOKUP(D1133,契約台帳!$A$3:$K$4986,8,FALSE)&amp;VLOOKUP(D1133,契約台帳!$A$3:$K$4986,9,FALSE)&amp;VLOOKUP(D1133,契約台帳!$A$3:$K$4986,11,FALSE))</f>
        <v>3SNMLBMNGTBF</v>
      </c>
      <c r="G1133" s="269" t="str">
        <f>IF(D1133="","",VLOOKUP(F1133,製品マスタ!$G$5:$H$5002,2,FALSE))</f>
        <v>S</v>
      </c>
      <c r="H1133" s="269" t="str">
        <f>IF(D1133="","",VLOOKUP(F1133,製品マスタ!$G$5:$K$5002,5,FALSE))</f>
        <v>MNGTBF</v>
      </c>
      <c r="I1133" s="270" t="str">
        <f>IF(D1133="","",VLOOKUP(F1133,製品マスタ!$G$5:$L$5002,6,FALSE))</f>
        <v>メタルミー　ネーマー　銀艶　Ｂ</v>
      </c>
      <c r="J1133" s="210" t="s">
        <v>935</v>
      </c>
      <c r="K1133" s="270">
        <f>IF(D1133="","",VLOOKUP(D1133,契約台帳!$A$3:$L$4986,12,FALSE))</f>
        <v>50</v>
      </c>
      <c r="L1133" s="270" t="str">
        <f>IF(D1133="","",INDEX(製品マスタ!$Q$5:$Q$5002,MATCH('S4'!F1133&amp;'S4'!K1133,製品マスタ!$AO$5:$AO$5002,0)))</f>
        <v>T62</v>
      </c>
      <c r="M1133" s="39">
        <v>1120</v>
      </c>
      <c r="N1133" s="39">
        <v>5000</v>
      </c>
      <c r="O1133" s="156">
        <v>6</v>
      </c>
      <c r="P1133" s="47">
        <v>2</v>
      </c>
      <c r="Q1133" s="213">
        <v>45209</v>
      </c>
      <c r="R1133" s="271">
        <f ca="1">IF(D1133="","",IF(OFFSET(D1133,-1,0)&lt;&gt;"","",IF(OR(J1133="リード付け",J1133="巻足し",J1133="巻返しリード付け"),M1133,VLOOKUP(D1133,契約台帳!$A$3:$N$4986,14,FALSE))))</f>
        <v>1120</v>
      </c>
      <c r="S1133" s="272">
        <f ca="1">IF(D1133="","",IF(OFFSET(D1133,-1,0)&lt;&gt;"","",IF(OR(J1133="リード付け",J1133="巻足し",J1133="巻返しリード付け"),M1133,VLOOKUP(D1133,契約台帳!$A$3:$O$4986,15,FALSE))))</f>
        <v>1120</v>
      </c>
      <c r="T1133" s="273">
        <f ca="1">IF(D1133="","",IF(J1133="リード付け",N1133,IF(J1133="巻返しリード付け",N1133,IF(J1133="巻足し",N1133*P1133+OFFSET(N1133,1,0)*OFFSET(P1133,1,0),VLOOKUP(D1133,契約台帳!$A$3:$P$4986,16,FALSE)))))</f>
        <v>10000</v>
      </c>
      <c r="U1133" s="40">
        <v>3</v>
      </c>
      <c r="V1133" s="274">
        <f ca="1">IF(D1133="","",IF(OFFSET(D1133,-2,0)=D1133,"",VLOOKUP(D1133,契約台帳!$A$3:$R$4986,18,FALSE)))</f>
        <v>46</v>
      </c>
      <c r="W1133" s="269" t="str">
        <f ca="1">IF(D1133="","",IF(T1133="","",IF(OR(J1133="巻足し",J1133="巻返しリード付け"),"",IF(J1133="巻返し",VLOOKUP(F1133&amp;K1133&amp;M1133,製品マスタ!$M$5:$AD$5002,18,FALSE),IF(OR(J1133="リード付け",J1133="巻返しリード付け"),"原反コア",IF(J1133="スリット",VLOOKUP(F1133&amp;K1133&amp;R1133,製品マスタ!$N$5:$AD$5002,17,FALSE),""))))))</f>
        <v/>
      </c>
      <c r="X1133" s="269" t="str">
        <f ca="1">IF(D1133="","",IF(T1133="","",IF(J1133="巻足し","",IF(J1133="巻返し",VLOOKUP(F1133&amp;K1133&amp;M1133,製品マスタ!$M$5:$AE$5002,19,FALSE),IF(OR(J1133="リード付け",J1133="巻返しリード付け"),"",IF(J1133="スリット",VLOOKUP(F1133&amp;K1133&amp;R1133,製品マスタ!$N$5:$AE$5002,18,FALSE),""))))))</f>
        <v/>
      </c>
      <c r="Y1133" s="275">
        <f ca="1">IF(D1133="","",IF(T1133="","",VLOOKUP(D1133,契約台帳!$A$3:$Q$4986,17,FALSE)))</f>
        <v>2</v>
      </c>
      <c r="Z1133" s="269" t="str">
        <f ca="1">IF(D1133="","",IF(T1133="","",VLOOKUP(D1133,契約台帳!$A$3:$E$4986,5,FALSE)))</f>
        <v xml:space="preserve">リンテック㈱        </v>
      </c>
      <c r="AA1133" s="57"/>
      <c r="AB1133" s="207" t="str">
        <f>IFERROR((VLOOKUP(F1133&amp;K1133&amp;M1133,製品マスタ!$M$5:$AM$5002,27,FALSE)),"")</f>
        <v>原反ケース再利用</v>
      </c>
      <c r="AC1133" s="33"/>
      <c r="AD1133" s="395" t="s">
        <v>1605</v>
      </c>
      <c r="AE1133" s="54"/>
      <c r="AF1133" s="55"/>
      <c r="AG1133" s="43"/>
      <c r="AH1133" s="47"/>
      <c r="AI1133" s="30"/>
      <c r="AJ1133" s="30"/>
      <c r="AK1133" s="30"/>
      <c r="AL1133" s="30"/>
      <c r="AM1133" s="13"/>
      <c r="AN1133" s="13"/>
      <c r="AO1133" s="13"/>
      <c r="AP1133" s="13"/>
      <c r="AQ1133" s="13"/>
      <c r="AR1133" s="14"/>
      <c r="AS1133" s="15"/>
    </row>
    <row r="1134" spans="1:45" s="17" customFormat="1" ht="30.95" hidden="1" customHeight="1" x14ac:dyDescent="0.2">
      <c r="A1134" s="37"/>
      <c r="B1134" s="38"/>
      <c r="C1134" s="45"/>
      <c r="D1134" s="31"/>
      <c r="E1134" s="31"/>
      <c r="F1134" s="268"/>
      <c r="G1134" s="269"/>
      <c r="H1134" s="269"/>
      <c r="I1134" s="270"/>
      <c r="J1134" s="210"/>
      <c r="K1134" s="270"/>
      <c r="L1134" s="270"/>
      <c r="M1134" s="39"/>
      <c r="N1134" s="39"/>
      <c r="O1134" s="156"/>
      <c r="P1134" s="47"/>
      <c r="Q1134" s="57"/>
      <c r="R1134" s="338"/>
      <c r="S1134" s="272"/>
      <c r="T1134" s="273"/>
      <c r="U1134" s="40"/>
      <c r="V1134" s="277"/>
      <c r="W1134" s="269"/>
      <c r="X1134" s="269"/>
      <c r="Y1134" s="275"/>
      <c r="Z1134" s="269"/>
      <c r="AA1134" s="57"/>
      <c r="AB1134" s="207"/>
      <c r="AC1134" s="33"/>
      <c r="AD1134" s="189"/>
      <c r="AE1134" s="54"/>
      <c r="AF1134" s="55"/>
      <c r="AG1134" s="43"/>
      <c r="AH1134" s="47"/>
      <c r="AI1134" s="30"/>
      <c r="AJ1134" s="30"/>
      <c r="AK1134" s="30"/>
      <c r="AL1134" s="30"/>
      <c r="AM1134" s="13"/>
      <c r="AN1134" s="13"/>
      <c r="AO1134" s="13"/>
      <c r="AP1134" s="13"/>
      <c r="AQ1134" s="13"/>
      <c r="AR1134" s="14"/>
      <c r="AS1134" s="15"/>
    </row>
    <row r="1135" spans="1:45" s="17" customFormat="1" ht="30.95" hidden="1" customHeight="1" x14ac:dyDescent="0.2">
      <c r="A1135" s="37" t="s">
        <v>594</v>
      </c>
      <c r="B1135" s="38" t="s">
        <v>442</v>
      </c>
      <c r="C1135" s="45"/>
      <c r="D1135" s="31">
        <v>3727594</v>
      </c>
      <c r="E1135" s="31">
        <v>4162071</v>
      </c>
      <c r="F1135" s="268" t="str">
        <f>IF(D1135="","",VLOOKUP(D1135,契約台帳!$A$3:$K$4986,6,FALSE)&amp;VLOOKUP(D1135,契約台帳!$A$3:$K$4986,7,FALSE)&amp;VLOOKUP(D1135,契約台帳!$A$3:$K$4986,8,FALSE)&amp;VLOOKUP(D1135,契約台帳!$A$3:$K$4986,9,FALSE)&amp;VLOOKUP(D1135,契約台帳!$A$3:$K$4986,11,FALSE))</f>
        <v>3SNMLBMNGKKBF</v>
      </c>
      <c r="G1135" s="269" t="str">
        <f>IF(D1135="","",VLOOKUP(F1135,製品マスタ!$G$5:$H$5002,2,FALSE))</f>
        <v>S</v>
      </c>
      <c r="H1135" s="269" t="str">
        <f>IF(D1135="","",VLOOKUP(F1135,製品マスタ!$G$5:$K$5002,5,FALSE))</f>
        <v>MNGKKBF</v>
      </c>
      <c r="I1135" s="270" t="str">
        <f>IF(D1135="","",VLOOKUP(F1135,製品マスタ!$G$5:$L$5002,6,FALSE))</f>
        <v>メタルミー　ネーマー銀消改　Ｂ</v>
      </c>
      <c r="J1135" s="210" t="s">
        <v>935</v>
      </c>
      <c r="K1135" s="270">
        <f>IF(D1135="","",VLOOKUP(D1135,契約台帳!$A$3:$L$4986,12,FALSE))</f>
        <v>50</v>
      </c>
      <c r="L1135" s="270" t="str">
        <f>IF(D1135="","",INDEX(製品マスタ!$Q$5:$Q$5002,MATCH('S4'!F1135&amp;'S4'!K1135,製品マスタ!$AO$5:$AO$5002,0)))</f>
        <v>S99-MAT</v>
      </c>
      <c r="M1135" s="39">
        <v>1120</v>
      </c>
      <c r="N1135" s="39">
        <v>4000</v>
      </c>
      <c r="O1135" s="156">
        <v>3</v>
      </c>
      <c r="P1135" s="47">
        <v>3</v>
      </c>
      <c r="Q1135" s="213">
        <v>45203</v>
      </c>
      <c r="R1135" s="271">
        <f ca="1">IF(D1135="","",IF(OFFSET(D1135,-1,0)&lt;&gt;"","",IF(OR(J1135="リード付け",J1135="巻足し",J1135="巻返しリード付け"),M1135,VLOOKUP(D1135,契約台帳!$A$3:$N$4986,14,FALSE))))</f>
        <v>1120</v>
      </c>
      <c r="S1135" s="272">
        <f ca="1">IF(D1135="","",IF(OFFSET(D1135,-1,0)&lt;&gt;"","",IF(OR(J1135="リード付け",J1135="巻足し",J1135="巻返しリード付け"),M1135,VLOOKUP(D1135,契約台帳!$A$3:$O$4986,15,FALSE))))</f>
        <v>1120</v>
      </c>
      <c r="T1135" s="273">
        <f ca="1">IF(D1135="","",IF(J1135="リード付け",N1135,IF(J1135="巻返しリード付け",N1135,IF(J1135="巻足し",N1135*P1135+OFFSET(N1135,1,0)*OFFSET(P1135,1,0),VLOOKUP(D1135,契約台帳!$A$3:$P$4986,16,FALSE)))))</f>
        <v>12000</v>
      </c>
      <c r="U1135" s="40">
        <v>1</v>
      </c>
      <c r="V1135" s="274">
        <f ca="1">IF(D1135="","",IF(OFFSET(D1135,-2,0)=D1135,"",VLOOKUP(D1135,契約台帳!$A$3:$R$4986,18,FALSE)))</f>
        <v>18</v>
      </c>
      <c r="W1135" s="269" t="str">
        <f ca="1">IF(D1135="","",IF(T1135="","",IF(OR(J1135="巻足し",J1135="巻返しリード付け"),"",IF(J1135="巻返し",VLOOKUP(F1135&amp;K1135&amp;M1135,製品マスタ!$M$5:$AD$5002,18,FALSE),IF(OR(J1135="リード付け",J1135="巻返しリード付け"),"原反コア",IF(J1135="スリット",VLOOKUP(F1135&amp;K1135&amp;R1135,製品マスタ!$N$5:$AD$5002,17,FALSE),""))))))</f>
        <v/>
      </c>
      <c r="X1135" s="269" t="str">
        <f ca="1">IF(D1135="","",IF(T1135="","",IF(J1135="巻足し","",IF(J1135="巻返し",VLOOKUP(F1135&amp;K1135&amp;M1135,製品マスタ!$M$5:$AE$5002,19,FALSE),IF(OR(J1135="リード付け",J1135="巻返しリード付け"),"",IF(J1135="スリット",VLOOKUP(F1135&amp;K1135&amp;R1135,製品マスタ!$N$5:$AE$5002,18,FALSE),""))))))</f>
        <v/>
      </c>
      <c r="Y1135" s="275">
        <f ca="1">IF(D1135="","",IF(T1135="","",VLOOKUP(D1135,契約台帳!$A$3:$Q$4986,17,FALSE)))</f>
        <v>2</v>
      </c>
      <c r="Z1135" s="269" t="str">
        <f ca="1">IF(D1135="","",IF(T1135="","",VLOOKUP(D1135,契約台帳!$A$3:$E$4986,5,FALSE)))</f>
        <v xml:space="preserve">リンテック㈱        </v>
      </c>
      <c r="AA1135" s="57"/>
      <c r="AB1135" s="207">
        <f>IFERROR((VLOOKUP(F1135&amp;K1135&amp;M1135,製品マスタ!$M$5:$AM$5002,27,FALSE)),"")</f>
        <v>0</v>
      </c>
      <c r="AC1135" s="33"/>
      <c r="AD1135" s="189"/>
      <c r="AE1135" s="54"/>
      <c r="AF1135" s="55"/>
      <c r="AG1135" s="43"/>
      <c r="AH1135" s="47"/>
      <c r="AI1135" s="30"/>
      <c r="AJ1135" s="30"/>
      <c r="AK1135" s="30"/>
      <c r="AL1135" s="30"/>
      <c r="AM1135" s="13"/>
      <c r="AN1135" s="13"/>
      <c r="AO1135" s="13"/>
      <c r="AP1135" s="13"/>
      <c r="AQ1135" s="13"/>
      <c r="AR1135" s="14"/>
      <c r="AS1135" s="15"/>
    </row>
    <row r="1136" spans="1:45" s="17" customFormat="1" ht="30.95" hidden="1" customHeight="1" x14ac:dyDescent="0.2">
      <c r="A1136" s="37"/>
      <c r="B1136" s="38"/>
      <c r="C1136" s="45"/>
      <c r="D1136" s="31"/>
      <c r="E1136" s="31"/>
      <c r="F1136" s="268"/>
      <c r="G1136" s="269"/>
      <c r="H1136" s="269"/>
      <c r="I1136" s="270"/>
      <c r="J1136" s="210"/>
      <c r="K1136" s="270"/>
      <c r="L1136" s="270"/>
      <c r="M1136" s="39"/>
      <c r="N1136" s="39"/>
      <c r="O1136" s="156"/>
      <c r="P1136" s="47"/>
      <c r="Q1136" s="57"/>
      <c r="R1136" s="338"/>
      <c r="S1136" s="272"/>
      <c r="T1136" s="273"/>
      <c r="U1136" s="40"/>
      <c r="V1136" s="277"/>
      <c r="W1136" s="269"/>
      <c r="X1136" s="269"/>
      <c r="Y1136" s="275"/>
      <c r="Z1136" s="269"/>
      <c r="AA1136" s="57"/>
      <c r="AB1136" s="207"/>
      <c r="AC1136" s="33"/>
      <c r="AD1136" s="189"/>
      <c r="AE1136" s="54"/>
      <c r="AF1136" s="55"/>
      <c r="AG1136" s="43"/>
      <c r="AH1136" s="47"/>
      <c r="AI1136" s="30"/>
      <c r="AJ1136" s="30"/>
      <c r="AK1136" s="30"/>
      <c r="AL1136" s="30"/>
      <c r="AM1136" s="13"/>
      <c r="AN1136" s="13"/>
      <c r="AO1136" s="13"/>
      <c r="AP1136" s="13"/>
      <c r="AQ1136" s="13"/>
      <c r="AR1136" s="14"/>
      <c r="AS1136" s="15"/>
    </row>
    <row r="1137" spans="1:45" s="17" customFormat="1" ht="30.95" hidden="1" customHeight="1" x14ac:dyDescent="0.2">
      <c r="A1137" s="37"/>
      <c r="B1137" s="38"/>
      <c r="C1137" s="45"/>
      <c r="D1137" s="31">
        <v>3727593</v>
      </c>
      <c r="E1137" s="31">
        <v>4162070</v>
      </c>
      <c r="F1137" s="268" t="str">
        <f>IF(D1137="","",VLOOKUP(D1137,契約台帳!$A$3:$K$4986,6,FALSE)&amp;VLOOKUP(D1137,契約台帳!$A$3:$K$4986,7,FALSE)&amp;VLOOKUP(D1137,契約台帳!$A$3:$K$4986,8,FALSE)&amp;VLOOKUP(D1137,契約台帳!$A$3:$K$4986,9,FALSE)&amp;VLOOKUP(D1137,契約台帳!$A$3:$K$4986,11,FALSE))</f>
        <v>3SNMLBMNGKKBF</v>
      </c>
      <c r="G1137" s="269" t="str">
        <f>IF(D1137="","",VLOOKUP(F1137,製品マスタ!$G$5:$H$5002,2,FALSE))</f>
        <v>S</v>
      </c>
      <c r="H1137" s="269" t="str">
        <f>IF(D1137="","",VLOOKUP(F1137,製品マスタ!$G$5:$K$5002,5,FALSE))</f>
        <v>MNGKKBF</v>
      </c>
      <c r="I1137" s="270" t="str">
        <f>IF(D1137="","",VLOOKUP(F1137,製品マスタ!$G$5:$L$5002,6,FALSE))</f>
        <v>メタルミー　ネーマー銀消改　Ｂ</v>
      </c>
      <c r="J1137" s="210" t="s">
        <v>935</v>
      </c>
      <c r="K1137" s="270">
        <f>IF(D1137="","",VLOOKUP(D1137,契約台帳!$A$3:$L$4986,12,FALSE))</f>
        <v>25</v>
      </c>
      <c r="L1137" s="270" t="str">
        <f>IF(D1137="","",INDEX(製品マスタ!$Q$5:$Q$5002,MATCH('S4'!F1137&amp;'S4'!K1137,製品マスタ!$AO$5:$AO$5002,0)))</f>
        <v>FMATS99</v>
      </c>
      <c r="M1137" s="39">
        <v>1120</v>
      </c>
      <c r="N1137" s="39">
        <v>4000</v>
      </c>
      <c r="O1137" s="156">
        <v>3</v>
      </c>
      <c r="P1137" s="47">
        <v>3</v>
      </c>
      <c r="Q1137" s="213">
        <v>45209</v>
      </c>
      <c r="R1137" s="271">
        <f ca="1">IF(D1137="","",IF(OFFSET(D1137,-1,0)&lt;&gt;"","",IF(OR(J1137="リード付け",J1137="巻足し",J1137="巻返しリード付け"),M1137,VLOOKUP(D1137,契約台帳!$A$3:$N$4986,14,FALSE))))</f>
        <v>1120</v>
      </c>
      <c r="S1137" s="272">
        <f ca="1">IF(D1137="","",IF(OFFSET(D1137,-1,0)&lt;&gt;"","",IF(OR(J1137="リード付け",J1137="巻足し",J1137="巻返しリード付け"),M1137,VLOOKUP(D1137,契約台帳!$A$3:$O$4986,15,FALSE))))</f>
        <v>1120</v>
      </c>
      <c r="T1137" s="273">
        <f ca="1">IF(D1137="","",IF(J1137="リード付け",N1137,IF(J1137="巻返しリード付け",N1137,IF(J1137="巻足し",N1137*P1137+OFFSET(N1137,1,0)*OFFSET(P1137,1,0),VLOOKUP(D1137,契約台帳!$A$3:$P$4986,16,FALSE)))))</f>
        <v>12000</v>
      </c>
      <c r="U1137" s="40">
        <v>3</v>
      </c>
      <c r="V1137" s="274">
        <f ca="1">IF(D1137="","",IF(OFFSET(D1137,-2,0)=D1137,"",VLOOKUP(D1137,契約台帳!$A$3:$R$4986,18,FALSE)))</f>
        <v>3</v>
      </c>
      <c r="W1137" s="269" t="str">
        <f ca="1">IF(D1137="","",IF(T1137="","",IF(OR(J1137="巻足し",J1137="巻返しリード付け"),"",IF(J1137="巻返し",VLOOKUP(F1137&amp;K1137&amp;M1137,製品マスタ!$M$5:$AD$5002,18,FALSE),IF(OR(J1137="リード付け",J1137="巻返しリード付け"),"原反コア",IF(J1137="スリット",VLOOKUP(F1137&amp;K1137&amp;R1137,製品マスタ!$N$5:$AD$5002,17,FALSE),""))))))</f>
        <v/>
      </c>
      <c r="X1137" s="269" t="str">
        <f ca="1">IF(D1137="","",IF(T1137="","",IF(J1137="巻足し","",IF(J1137="巻返し",VLOOKUP(F1137&amp;K1137&amp;M1137,製品マスタ!$M$5:$AE$5002,19,FALSE),IF(OR(J1137="リード付け",J1137="巻返しリード付け"),"",IF(J1137="スリット",VLOOKUP(F1137&amp;K1137&amp;R1137,製品マスタ!$N$5:$AE$5002,18,FALSE),""))))))</f>
        <v/>
      </c>
      <c r="Y1137" s="275">
        <f ca="1">IF(D1137="","",IF(T1137="","",VLOOKUP(D1137,契約台帳!$A$3:$Q$4986,17,FALSE)))</f>
        <v>2</v>
      </c>
      <c r="Z1137" s="269" t="str">
        <f ca="1">IF(D1137="","",IF(T1137="","",VLOOKUP(D1137,契約台帳!$A$3:$E$4986,5,FALSE)))</f>
        <v xml:space="preserve">リンテック㈱        </v>
      </c>
      <c r="AA1137" s="57"/>
      <c r="AB1137" s="207">
        <f>IFERROR((VLOOKUP(F1137&amp;K1137&amp;M1137,製品マスタ!$M$5:$AM$5002,27,FALSE)),"")</f>
        <v>0</v>
      </c>
      <c r="AC1137" s="33"/>
      <c r="AD1137" s="189"/>
      <c r="AE1137" s="54"/>
      <c r="AF1137" s="55"/>
      <c r="AG1137" s="43"/>
      <c r="AH1137" s="47"/>
      <c r="AI1137" s="30"/>
      <c r="AJ1137" s="30"/>
      <c r="AK1137" s="30"/>
      <c r="AL1137" s="30"/>
      <c r="AM1137" s="13"/>
      <c r="AN1137" s="13"/>
      <c r="AO1137" s="13"/>
      <c r="AP1137" s="13"/>
      <c r="AQ1137" s="13"/>
      <c r="AR1137" s="14"/>
      <c r="AS1137" s="15"/>
    </row>
    <row r="1138" spans="1:45" s="17" customFormat="1" ht="30.95" hidden="1" customHeight="1" x14ac:dyDescent="0.2">
      <c r="A1138" s="37"/>
      <c r="B1138" s="38"/>
      <c r="C1138" s="45"/>
      <c r="D1138" s="31"/>
      <c r="E1138" s="31"/>
      <c r="F1138" s="268"/>
      <c r="G1138" s="269"/>
      <c r="H1138" s="269"/>
      <c r="I1138" s="270"/>
      <c r="J1138" s="210"/>
      <c r="K1138" s="270"/>
      <c r="L1138" s="270"/>
      <c r="M1138" s="39"/>
      <c r="N1138" s="39"/>
      <c r="O1138" s="156"/>
      <c r="P1138" s="47"/>
      <c r="Q1138" s="57"/>
      <c r="R1138" s="338"/>
      <c r="S1138" s="272"/>
      <c r="T1138" s="273"/>
      <c r="U1138" s="40"/>
      <c r="V1138" s="277"/>
      <c r="W1138" s="269"/>
      <c r="X1138" s="269"/>
      <c r="Y1138" s="275"/>
      <c r="Z1138" s="269"/>
      <c r="AA1138" s="57"/>
      <c r="AB1138" s="207"/>
      <c r="AC1138" s="33"/>
      <c r="AD1138" s="189"/>
      <c r="AE1138" s="54"/>
      <c r="AF1138" s="55"/>
      <c r="AG1138" s="43"/>
      <c r="AH1138" s="47"/>
      <c r="AI1138" s="30"/>
      <c r="AJ1138" s="30"/>
      <c r="AK1138" s="30"/>
      <c r="AL1138" s="30"/>
      <c r="AM1138" s="13"/>
      <c r="AN1138" s="13"/>
      <c r="AO1138" s="13"/>
      <c r="AP1138" s="13"/>
      <c r="AQ1138" s="13"/>
      <c r="AR1138" s="14"/>
      <c r="AS1138" s="15"/>
    </row>
    <row r="1139" spans="1:45" s="17" customFormat="1" ht="30.75" hidden="1" customHeight="1" x14ac:dyDescent="0.2">
      <c r="A1139" s="37"/>
      <c r="B1139" s="38"/>
      <c r="C1139" s="45"/>
      <c r="D1139" s="31">
        <v>3727609</v>
      </c>
      <c r="E1139" s="31">
        <v>4162092</v>
      </c>
      <c r="F1139" s="268" t="str">
        <f>IF(D1139="","",VLOOKUP(D1139,契約台帳!$A$3:$K$4986,6,FALSE)&amp;VLOOKUP(D1139,契約台帳!$A$3:$K$4986,7,FALSE)&amp;VLOOKUP(D1139,契約台帳!$A$3:$K$4986,8,FALSE)&amp;VLOOKUP(D1139,契約台帳!$A$3:$K$4986,9,FALSE)&amp;VLOOKUP(D1139,契約台帳!$A$3:$K$4986,11,FALSE))</f>
        <v>3SNMLBMNNGKBF</v>
      </c>
      <c r="G1139" s="269" t="str">
        <f>IF(D1139="","",VLOOKUP(F1139,製品マスタ!$G$5:$H$5002,2,FALSE))</f>
        <v>S</v>
      </c>
      <c r="H1139" s="269" t="str">
        <f>IF(D1139="","",VLOOKUP(F1139,製品マスタ!$G$5:$K$5002,5,FALSE))</f>
        <v>MNNGKBF</v>
      </c>
      <c r="I1139" s="270" t="str">
        <f>IF(D1139="","",VLOOKUP(F1139,製品マスタ!$G$5:$L$5002,6,FALSE))</f>
        <v>メタルミー　ニューネーマー銀消　Ｂ</v>
      </c>
      <c r="J1139" s="210" t="s">
        <v>935</v>
      </c>
      <c r="K1139" s="270">
        <f>IF(D1139="","",VLOOKUP(D1139,契約台帳!$A$3:$L$4986,12,FALSE))</f>
        <v>50</v>
      </c>
      <c r="L1139" s="270" t="str">
        <f>IF(D1139="","",INDEX(製品マスタ!$Q$5:$Q$5002,MATCH('S4'!F1139&amp;'S4'!K1139,製品マスタ!$AO$5:$AO$5002,0)))</f>
        <v>X44</v>
      </c>
      <c r="M1139" s="39">
        <v>1000</v>
      </c>
      <c r="N1139" s="39">
        <v>4000</v>
      </c>
      <c r="O1139" s="156">
        <v>3</v>
      </c>
      <c r="P1139" s="47">
        <v>3</v>
      </c>
      <c r="Q1139" s="213">
        <v>45209</v>
      </c>
      <c r="R1139" s="271">
        <f ca="1">IF(D1139="","",IF(OFFSET(D1139,-1,0)&lt;&gt;"","",IF(OR(J1139="リード付け",J1139="巻足し",J1139="巻返しリード付け"),M1139,VLOOKUP(D1139,契約台帳!$A$3:$N$4986,14,FALSE))))</f>
        <v>1000</v>
      </c>
      <c r="S1139" s="272">
        <f ca="1">IF(D1139="","",IF(OFFSET(D1139,-1,0)&lt;&gt;"","",IF(OR(J1139="リード付け",J1139="巻足し",J1139="巻返しリード付け"),M1139,VLOOKUP(D1139,契約台帳!$A$3:$O$4986,15,FALSE))))</f>
        <v>1000</v>
      </c>
      <c r="T1139" s="273">
        <f ca="1">IF(D1139="","",IF(J1139="リード付け",N1139,IF(J1139="巻返しリード付け",N1139,IF(J1139="巻足し",N1139*P1139+OFFSET(N1139,1,0)*OFFSET(P1139,1,0),VLOOKUP(D1139,契約台帳!$A$3:$P$4986,16,FALSE)))))</f>
        <v>12000</v>
      </c>
      <c r="U1139" s="40">
        <v>1</v>
      </c>
      <c r="V1139" s="274">
        <f ca="1">IF(D1139="","",IF(OFFSET(D1139,-2,0)=D1139,"",VLOOKUP(D1139,契約台帳!$A$3:$R$4986,18,FALSE)))</f>
        <v>4</v>
      </c>
      <c r="W1139" s="269" t="str">
        <f ca="1">IF(D1139="","",IF(T1139="","",IF(OR(J1139="巻足し",J1139="巻返しリード付け"),"",IF(J1139="巻返し",VLOOKUP(F1139&amp;K1139&amp;M1139,製品マスタ!$M$5:$AD$5002,18,FALSE),IF(OR(J1139="リード付け",J1139="巻返しリード付け"),"原反コア",IF(J1139="スリット",VLOOKUP(F1139&amp;K1139&amp;R1139,製品マスタ!$N$5:$AD$5002,17,FALSE),""))))))</f>
        <v/>
      </c>
      <c r="X1139" s="269" t="str">
        <f ca="1">IF(D1139="","",IF(T1139="","",IF(J1139="巻足し","",IF(J1139="巻返し",VLOOKUP(F1139&amp;K1139&amp;M1139,製品マスタ!$M$5:$AE$5002,19,FALSE),IF(OR(J1139="リード付け",J1139="巻返しリード付け"),"",IF(J1139="スリット",VLOOKUP(F1139&amp;K1139&amp;R1139,製品マスタ!$N$5:$AE$5002,18,FALSE),""))))))</f>
        <v/>
      </c>
      <c r="Y1139" s="275">
        <f ca="1">IF(D1139="","",IF(T1139="","",VLOOKUP(D1139,契約台帳!$A$3:$Q$4986,17,FALSE)))</f>
        <v>2</v>
      </c>
      <c r="Z1139" s="269" t="str">
        <f ca="1">IF(D1139="","",IF(T1139="","",VLOOKUP(D1139,契約台帳!$A$3:$E$4986,5,FALSE)))</f>
        <v xml:space="preserve">リンテック㈱        </v>
      </c>
      <c r="AA1139" s="57"/>
      <c r="AB1139" s="207" t="str">
        <f>IFERROR((VLOOKUP(F1139&amp;K1139&amp;M1139,製品マスタ!$M$5:$AM$5002,27,FALSE)),"")</f>
        <v>原反ケース再利用</v>
      </c>
      <c r="AC1139" s="33"/>
      <c r="AD1139" s="395" t="s">
        <v>1605</v>
      </c>
      <c r="AE1139" s="54"/>
      <c r="AF1139" s="55"/>
      <c r="AG1139" s="43"/>
      <c r="AH1139" s="47"/>
      <c r="AI1139" s="30"/>
      <c r="AJ1139" s="30"/>
      <c r="AK1139" s="30"/>
      <c r="AL1139" s="30"/>
      <c r="AM1139" s="13"/>
      <c r="AN1139" s="13"/>
      <c r="AO1139" s="13"/>
      <c r="AP1139" s="13"/>
      <c r="AQ1139" s="13"/>
      <c r="AR1139" s="14"/>
      <c r="AS1139" s="15"/>
    </row>
    <row r="1140" spans="1:45" s="17" customFormat="1" ht="30.95" hidden="1" customHeight="1" x14ac:dyDescent="0.2">
      <c r="A1140" s="37"/>
      <c r="B1140" s="38"/>
      <c r="C1140" s="45"/>
      <c r="D1140" s="31"/>
      <c r="E1140" s="31"/>
      <c r="F1140" s="268"/>
      <c r="G1140" s="269"/>
      <c r="H1140" s="269"/>
      <c r="I1140" s="270"/>
      <c r="J1140" s="210"/>
      <c r="K1140" s="270"/>
      <c r="L1140" s="270"/>
      <c r="M1140" s="39"/>
      <c r="N1140" s="39"/>
      <c r="O1140" s="156"/>
      <c r="P1140" s="47"/>
      <c r="Q1140" s="57"/>
      <c r="R1140" s="338"/>
      <c r="S1140" s="272"/>
      <c r="T1140" s="273"/>
      <c r="U1140" s="40"/>
      <c r="V1140" s="277"/>
      <c r="W1140" s="269"/>
      <c r="X1140" s="269"/>
      <c r="Y1140" s="275"/>
      <c r="Z1140" s="269"/>
      <c r="AA1140" s="57"/>
      <c r="AB1140" s="207"/>
      <c r="AC1140" s="33"/>
      <c r="AD1140" s="189"/>
      <c r="AE1140" s="54"/>
      <c r="AF1140" s="55"/>
      <c r="AG1140" s="43"/>
      <c r="AH1140" s="47"/>
      <c r="AI1140" s="30"/>
      <c r="AJ1140" s="30"/>
      <c r="AK1140" s="30"/>
      <c r="AL1140" s="30"/>
      <c r="AM1140" s="13"/>
      <c r="AN1140" s="13"/>
      <c r="AO1140" s="13"/>
      <c r="AP1140" s="13"/>
      <c r="AQ1140" s="13"/>
      <c r="AR1140" s="14"/>
      <c r="AS1140" s="15"/>
    </row>
    <row r="1141" spans="1:45" s="17" customFormat="1" ht="30.75" hidden="1" customHeight="1" x14ac:dyDescent="0.2">
      <c r="A1141" s="37" t="s">
        <v>1661</v>
      </c>
      <c r="B1141" s="38" t="s">
        <v>1662</v>
      </c>
      <c r="C1141" s="45"/>
      <c r="D1141" s="31">
        <v>3727609</v>
      </c>
      <c r="E1141" s="31">
        <v>4162092</v>
      </c>
      <c r="F1141" s="268" t="str">
        <f>IF(D1141="","",VLOOKUP(D1141,契約台帳!$A$3:$K$4986,6,FALSE)&amp;VLOOKUP(D1141,契約台帳!$A$3:$K$4986,7,FALSE)&amp;VLOOKUP(D1141,契約台帳!$A$3:$K$4986,8,FALSE)&amp;VLOOKUP(D1141,契約台帳!$A$3:$K$4986,9,FALSE)&amp;VLOOKUP(D1141,契約台帳!$A$3:$K$4986,11,FALSE))</f>
        <v>3SNMLBMNNGKBF</v>
      </c>
      <c r="G1141" s="269" t="str">
        <f>IF(D1141="","",VLOOKUP(F1141,製品マスタ!$G$5:$H$5002,2,FALSE))</f>
        <v>S</v>
      </c>
      <c r="H1141" s="269" t="str">
        <f>IF(D1141="","",VLOOKUP(F1141,製品マスタ!$G$5:$K$5002,5,FALSE))</f>
        <v>MNNGKBF</v>
      </c>
      <c r="I1141" s="270" t="str">
        <f>IF(D1141="","",VLOOKUP(F1141,製品マスタ!$G$5:$L$5002,6,FALSE))</f>
        <v>メタルミー　ニューネーマー銀消　Ｂ</v>
      </c>
      <c r="J1141" s="210" t="s">
        <v>935</v>
      </c>
      <c r="K1141" s="270">
        <f>IF(D1141="","",VLOOKUP(D1141,契約台帳!$A$3:$L$4986,12,FALSE))</f>
        <v>50</v>
      </c>
      <c r="L1141" s="270" t="str">
        <f>IF(D1141="","",INDEX(製品マスタ!$Q$5:$Q$5002,MATCH('S4'!F1141&amp;'S4'!K1141,製品マスタ!$AO$5:$AO$5002,0)))</f>
        <v>X44</v>
      </c>
      <c r="M1141" s="39">
        <v>1000</v>
      </c>
      <c r="N1141" s="39">
        <v>4000</v>
      </c>
      <c r="O1141" s="156">
        <v>1</v>
      </c>
      <c r="P1141" s="47">
        <v>3</v>
      </c>
      <c r="Q1141" s="213">
        <v>45209</v>
      </c>
      <c r="R1141" s="271">
        <f ca="1">IF(D1141="","",IF(OFFSET(D1141,-1,0)&lt;&gt;"","",IF(OR(J1141="リード付け",J1141="巻足し",J1141="巻返しリード付け"),M1141,VLOOKUP(D1141,契約台帳!$A$3:$N$4986,14,FALSE))))</f>
        <v>1000</v>
      </c>
      <c r="S1141" s="272">
        <f ca="1">IF(D1141="","",IF(OFFSET(D1141,-1,0)&lt;&gt;"","",IF(OR(J1141="リード付け",J1141="巻足し",J1141="巻返しリード付け"),M1141,VLOOKUP(D1141,契約台帳!$A$3:$O$4986,15,FALSE))))</f>
        <v>1000</v>
      </c>
      <c r="T1141" s="273">
        <f ca="1">IF(D1141="","",IF(J1141="リード付け",N1141,IF(J1141="巻返しリード付け",N1141,IF(J1141="巻足し",N1141*P1141+OFFSET(N1141,1,0)*OFFSET(P1141,1,0),VLOOKUP(D1141,契約台帳!$A$3:$P$4986,16,FALSE)))))</f>
        <v>12000</v>
      </c>
      <c r="U1141" s="40">
        <v>1</v>
      </c>
      <c r="V1141" s="274" t="str">
        <f ca="1">IF(D1141="","",IF(OFFSET(D1141,-2,0)=D1141,"",VLOOKUP(D1141,契約台帳!$A$3:$R$4986,18,FALSE)))</f>
        <v/>
      </c>
      <c r="W1141" s="269" t="str">
        <f ca="1">IF(D1141="","",IF(T1141="","",IF(OR(J1141="巻足し",J1141="巻返しリード付け"),"",IF(J1141="巻返し",VLOOKUP(F1141&amp;K1141&amp;M1141,製品マスタ!$M$5:$AD$5002,18,FALSE),IF(OR(J1141="リード付け",J1141="巻返しリード付け"),"原反コア",IF(J1141="スリット",VLOOKUP(F1141&amp;K1141&amp;R1141,製品マスタ!$N$5:$AD$5002,17,FALSE),""))))))</f>
        <v/>
      </c>
      <c r="X1141" s="269" t="str">
        <f ca="1">IF(D1141="","",IF(T1141="","",IF(J1141="巻足し","",IF(J1141="巻返し",VLOOKUP(F1141&amp;K1141&amp;M1141,製品マスタ!$M$5:$AE$5002,19,FALSE),IF(OR(J1141="リード付け",J1141="巻返しリード付け"),"",IF(J1141="スリット",VLOOKUP(F1141&amp;K1141&amp;R1141,製品マスタ!$N$5:$AE$5002,18,FALSE),""))))))</f>
        <v/>
      </c>
      <c r="Y1141" s="275">
        <f ca="1">IF(D1141="","",IF(T1141="","",VLOOKUP(D1141,契約台帳!$A$3:$Q$4986,17,FALSE)))</f>
        <v>2</v>
      </c>
      <c r="Z1141" s="269" t="str">
        <f ca="1">IF(D1141="","",IF(T1141="","",VLOOKUP(D1141,契約台帳!$A$3:$E$4986,5,FALSE)))</f>
        <v xml:space="preserve">リンテック㈱        </v>
      </c>
      <c r="AA1141" s="57"/>
      <c r="AB1141" s="207" t="str">
        <f>IFERROR((VLOOKUP(F1141&amp;K1141&amp;M1141,製品マスタ!$M$5:$AM$5002,27,FALSE)),"")</f>
        <v>原反ケース再利用</v>
      </c>
      <c r="AC1141" s="33"/>
      <c r="AD1141" s="395" t="s">
        <v>1605</v>
      </c>
      <c r="AE1141" s="54"/>
      <c r="AF1141" s="55"/>
      <c r="AG1141" s="43"/>
      <c r="AH1141" s="47"/>
      <c r="AI1141" s="30"/>
      <c r="AJ1141" s="30"/>
      <c r="AK1141" s="30"/>
      <c r="AL1141" s="30"/>
      <c r="AM1141" s="13"/>
      <c r="AN1141" s="13"/>
      <c r="AO1141" s="13"/>
      <c r="AP1141" s="13"/>
      <c r="AQ1141" s="13"/>
      <c r="AR1141" s="14"/>
      <c r="AS1141" s="15"/>
    </row>
    <row r="1142" spans="1:45" s="17" customFormat="1" ht="30.75" hidden="1" customHeight="1" x14ac:dyDescent="0.2">
      <c r="A1142" s="37"/>
      <c r="B1142" s="38"/>
      <c r="C1142" s="45"/>
      <c r="D1142" s="31">
        <v>3727610</v>
      </c>
      <c r="E1142" s="31"/>
      <c r="F1142" s="268" t="str">
        <f>IF(D1142="","",VLOOKUP(D1142,契約台帳!$A$3:$K$4986,6,FALSE)&amp;VLOOKUP(D1142,契約台帳!$A$3:$K$4986,7,FALSE)&amp;VLOOKUP(D1142,契約台帳!$A$3:$K$4986,8,FALSE)&amp;VLOOKUP(D1142,契約台帳!$A$3:$K$4986,9,FALSE)&amp;VLOOKUP(D1142,契約台帳!$A$3:$K$4986,11,FALSE))</f>
        <v>3SNMLBMNNGKBF</v>
      </c>
      <c r="G1142" s="269" t="str">
        <f>IF(D1142="","",VLOOKUP(F1142,製品マスタ!$G$5:$H$5002,2,FALSE))</f>
        <v>S</v>
      </c>
      <c r="H1142" s="269" t="str">
        <f>IF(D1142="","",VLOOKUP(F1142,製品マスタ!$G$5:$K$5002,5,FALSE))</f>
        <v>MNNGKBF</v>
      </c>
      <c r="I1142" s="270" t="str">
        <f>IF(D1142="","",VLOOKUP(F1142,製品マスタ!$G$5:$L$5002,6,FALSE))</f>
        <v>メタルミー　ニューネーマー銀消　Ｂ</v>
      </c>
      <c r="J1142" s="210" t="s">
        <v>935</v>
      </c>
      <c r="K1142" s="270">
        <f>IF(D1142="","",VLOOKUP(D1142,契約台帳!$A$3:$L$4986,12,FALSE))</f>
        <v>50</v>
      </c>
      <c r="L1142" s="270" t="str">
        <f>IF(D1142="","",INDEX(製品マスタ!$Q$5:$Q$5002,MATCH('S4'!F1142&amp;'S4'!K1142,製品マスタ!$AO$5:$AO$5002,0)))</f>
        <v>X44</v>
      </c>
      <c r="M1142" s="39">
        <v>1000</v>
      </c>
      <c r="N1142" s="39">
        <v>4000</v>
      </c>
      <c r="O1142" s="156">
        <v>2</v>
      </c>
      <c r="P1142" s="47"/>
      <c r="Q1142" s="57">
        <v>45211</v>
      </c>
      <c r="R1142" s="271" t="str">
        <f ca="1">IF(D1142="","",IF(OFFSET(D1142,-1,0)&lt;&gt;"","",IF(OR(J1142="リード付け",J1142="巻足し",J1142="巻返しリード付け"),M1142,VLOOKUP(D1142,契約台帳!$A$3:$N$4986,14,FALSE))))</f>
        <v/>
      </c>
      <c r="S1142" s="272" t="str">
        <f ca="1">IF(D1142="","",IF(OFFSET(D1142,-1,0)&lt;&gt;"","",IF(OR(J1142="リード付け",J1142="巻足し",J1142="巻返しリード付け"),M1142,VLOOKUP(D1142,契約台帳!$A$3:$O$4986,15,FALSE))))</f>
        <v/>
      </c>
      <c r="T1142" s="273">
        <f ca="1">IF(D1142="","",IF(J1142="リード付け",N1142,IF(J1142="巻返しリード付け",N1142,IF(J1142="巻足し",N1142*P1142+OFFSET(N1142,1,0)*OFFSET(P1142,1,0),VLOOKUP(D1142,契約台帳!$A$3:$P$4986,16,FALSE)))))</f>
        <v>0</v>
      </c>
      <c r="U1142" s="40"/>
      <c r="V1142" s="274">
        <f ca="1">IF(D1142="","",IF(OFFSET(D1142,-2,0)=D1142,"",VLOOKUP(D1142,契約台帳!$A$3:$R$4986,18,FALSE)))</f>
        <v>11</v>
      </c>
      <c r="W1142" s="269" t="str">
        <f ca="1">IF(D1142="","",IF(T1142="","",IF(OR(J1142="巻足し",J1142="巻返しリード付け"),"",IF(J1142="巻返し",VLOOKUP(F1142&amp;K1142&amp;M1142,製品マスタ!$M$5:$AD$5002,18,FALSE),IF(OR(J1142="リード付け",J1142="巻返しリード付け"),"原反コア",IF(J1142="スリット",VLOOKUP(F1142&amp;K1142&amp;R1142,製品マスタ!$N$5:$AD$5002,17,FALSE),""))))))</f>
        <v/>
      </c>
      <c r="X1142" s="269" t="str">
        <f ca="1">IF(D1142="","",IF(T1142="","",IF(J1142="巻足し","",IF(J1142="巻返し",VLOOKUP(F1142&amp;K1142&amp;M1142,製品マスタ!$M$5:$AE$5002,19,FALSE),IF(OR(J1142="リード付け",J1142="巻返しリード付け"),"",IF(J1142="スリット",VLOOKUP(F1142&amp;K1142&amp;R1142,製品マスタ!$N$5:$AE$5002,18,FALSE),""))))))</f>
        <v/>
      </c>
      <c r="Y1142" s="275">
        <f ca="1">IF(D1142="","",IF(T1142="","",VLOOKUP(D1142,契約台帳!$A$3:$Q$4986,17,FALSE)))</f>
        <v>2</v>
      </c>
      <c r="Z1142" s="269" t="str">
        <f ca="1">IF(D1142="","",IF(T1142="","",VLOOKUP(D1142,契約台帳!$A$3:$E$4986,5,FALSE)))</f>
        <v xml:space="preserve">リンテック㈱        </v>
      </c>
      <c r="AA1142" s="57"/>
      <c r="AB1142" s="207" t="str">
        <f>IFERROR((VLOOKUP(F1142&amp;K1142&amp;M1142,製品マスタ!$M$5:$AM$5002,27,FALSE)),"")</f>
        <v>原反ケース再利用</v>
      </c>
      <c r="AC1142" s="33"/>
      <c r="AD1142" s="395" t="s">
        <v>1605</v>
      </c>
      <c r="AE1142" s="54"/>
      <c r="AF1142" s="55"/>
      <c r="AG1142" s="43"/>
      <c r="AH1142" s="47"/>
      <c r="AI1142" s="30"/>
      <c r="AJ1142" s="30"/>
      <c r="AK1142" s="30"/>
      <c r="AL1142" s="30"/>
      <c r="AM1142" s="13"/>
      <c r="AN1142" s="13"/>
      <c r="AO1142" s="13"/>
      <c r="AP1142" s="13"/>
      <c r="AQ1142" s="13"/>
      <c r="AR1142" s="14"/>
      <c r="AS1142" s="15"/>
    </row>
    <row r="1143" spans="1:45" s="17" customFormat="1" ht="30.95" hidden="1" customHeight="1" x14ac:dyDescent="0.2">
      <c r="A1143" s="37"/>
      <c r="B1143" s="38"/>
      <c r="C1143" s="45"/>
      <c r="D1143" s="31"/>
      <c r="E1143" s="31"/>
      <c r="F1143" s="268"/>
      <c r="G1143" s="269"/>
      <c r="H1143" s="269"/>
      <c r="I1143" s="270"/>
      <c r="J1143" s="210"/>
      <c r="K1143" s="270"/>
      <c r="L1143" s="270"/>
      <c r="M1143" s="39"/>
      <c r="N1143" s="39"/>
      <c r="O1143" s="156"/>
      <c r="P1143" s="47"/>
      <c r="Q1143" s="57"/>
      <c r="R1143" s="338"/>
      <c r="S1143" s="272"/>
      <c r="T1143" s="273"/>
      <c r="U1143" s="40"/>
      <c r="V1143" s="277"/>
      <c r="W1143" s="269"/>
      <c r="X1143" s="269"/>
      <c r="Y1143" s="275"/>
      <c r="Z1143" s="269"/>
      <c r="AA1143" s="57"/>
      <c r="AB1143" s="207"/>
      <c r="AC1143" s="33"/>
      <c r="AD1143" s="189"/>
      <c r="AE1143" s="54"/>
      <c r="AF1143" s="55"/>
      <c r="AG1143" s="43"/>
      <c r="AH1143" s="47"/>
      <c r="AI1143" s="30"/>
      <c r="AJ1143" s="30"/>
      <c r="AK1143" s="30"/>
      <c r="AL1143" s="30"/>
      <c r="AM1143" s="13"/>
      <c r="AN1143" s="13"/>
      <c r="AO1143" s="13"/>
      <c r="AP1143" s="13"/>
      <c r="AQ1143" s="13"/>
      <c r="AR1143" s="14"/>
      <c r="AS1143" s="15"/>
    </row>
    <row r="1144" spans="1:45" s="17" customFormat="1" ht="30.75" hidden="1" customHeight="1" x14ac:dyDescent="0.2">
      <c r="A1144" s="37"/>
      <c r="B1144" s="38"/>
      <c r="C1144" s="45"/>
      <c r="D1144" s="31">
        <v>3727610</v>
      </c>
      <c r="E1144" s="31">
        <v>4162093</v>
      </c>
      <c r="F1144" s="268" t="str">
        <f>IF(D1144="","",VLOOKUP(D1144,契約台帳!$A$3:$K$4986,6,FALSE)&amp;VLOOKUP(D1144,契約台帳!$A$3:$K$4986,7,FALSE)&amp;VLOOKUP(D1144,契約台帳!$A$3:$K$4986,8,FALSE)&amp;VLOOKUP(D1144,契約台帳!$A$3:$K$4986,9,FALSE)&amp;VLOOKUP(D1144,契約台帳!$A$3:$K$4986,11,FALSE))</f>
        <v>3SNMLBMNNGKBF</v>
      </c>
      <c r="G1144" s="269" t="str">
        <f>IF(D1144="","",VLOOKUP(F1144,製品マスタ!$G$5:$H$5002,2,FALSE))</f>
        <v>S</v>
      </c>
      <c r="H1144" s="269" t="str">
        <f>IF(D1144="","",VLOOKUP(F1144,製品マスタ!$G$5:$K$5002,5,FALSE))</f>
        <v>MNNGKBF</v>
      </c>
      <c r="I1144" s="270" t="str">
        <f>IF(D1144="","",VLOOKUP(F1144,製品マスタ!$G$5:$L$5002,6,FALSE))</f>
        <v>メタルミー　ニューネーマー銀消　Ｂ</v>
      </c>
      <c r="J1144" s="210" t="s">
        <v>935</v>
      </c>
      <c r="K1144" s="270">
        <f>IF(D1144="","",VLOOKUP(D1144,契約台帳!$A$3:$L$4986,12,FALSE))</f>
        <v>50</v>
      </c>
      <c r="L1144" s="270" t="str">
        <f>IF(D1144="","",INDEX(製品マスタ!$Q$5:$Q$5002,MATCH('S4'!F1144&amp;'S4'!K1144,製品マスタ!$AO$5:$AO$5002,0)))</f>
        <v>X44</v>
      </c>
      <c r="M1144" s="39">
        <v>1000</v>
      </c>
      <c r="N1144" s="39">
        <v>4000</v>
      </c>
      <c r="O1144" s="156">
        <v>9</v>
      </c>
      <c r="P1144" s="47">
        <v>3</v>
      </c>
      <c r="Q1144" s="57">
        <v>45211</v>
      </c>
      <c r="R1144" s="271">
        <f ca="1">IF(D1144="","",IF(OFFSET(D1144,-1,0)&lt;&gt;"","",IF(OR(J1144="リード付け",J1144="巻足し",J1144="巻返しリード付け"),M1144,VLOOKUP(D1144,契約台帳!$A$3:$N$4986,14,FALSE))))</f>
        <v>1000</v>
      </c>
      <c r="S1144" s="272">
        <f ca="1">IF(D1144="","",IF(OFFSET(D1144,-1,0)&lt;&gt;"","",IF(OR(J1144="リード付け",J1144="巻足し",J1144="巻返しリード付け"),M1144,VLOOKUP(D1144,契約台帳!$A$3:$O$4986,15,FALSE))))</f>
        <v>1000</v>
      </c>
      <c r="T1144" s="273">
        <f ca="1">IF(D1144="","",IF(J1144="リード付け",N1144,IF(J1144="巻返しリード付け",N1144,IF(J1144="巻足し",N1144*P1144+OFFSET(N1144,1,0)*OFFSET(P1144,1,0),VLOOKUP(D1144,契約台帳!$A$3:$P$4986,16,FALSE)))))</f>
        <v>12000</v>
      </c>
      <c r="U1144" s="40">
        <v>3</v>
      </c>
      <c r="V1144" s="274" t="str">
        <f ca="1">IF(D1144="","",IF(OFFSET(D1144,-2,0)=D1144,"",VLOOKUP(D1144,契約台帳!$A$3:$R$4986,18,FALSE)))</f>
        <v/>
      </c>
      <c r="W1144" s="269" t="str">
        <f ca="1">IF(D1144="","",IF(T1144="","",IF(OR(J1144="巻足し",J1144="巻返しリード付け"),"",IF(J1144="巻返し",VLOOKUP(F1144&amp;K1144&amp;M1144,製品マスタ!$M$5:$AD$5002,18,FALSE),IF(OR(J1144="リード付け",J1144="巻返しリード付け"),"原反コア",IF(J1144="スリット",VLOOKUP(F1144&amp;K1144&amp;R1144,製品マスタ!$N$5:$AD$5002,17,FALSE),""))))))</f>
        <v/>
      </c>
      <c r="X1144" s="269" t="str">
        <f ca="1">IF(D1144="","",IF(T1144="","",IF(J1144="巻足し","",IF(J1144="巻返し",VLOOKUP(F1144&amp;K1144&amp;M1144,製品マスタ!$M$5:$AE$5002,19,FALSE),IF(OR(J1144="リード付け",J1144="巻返しリード付け"),"",IF(J1144="スリット",VLOOKUP(F1144&amp;K1144&amp;R1144,製品マスタ!$N$5:$AE$5002,18,FALSE),""))))))</f>
        <v/>
      </c>
      <c r="Y1144" s="275">
        <f ca="1">IF(D1144="","",IF(T1144="","",VLOOKUP(D1144,契約台帳!$A$3:$Q$4986,17,FALSE)))</f>
        <v>2</v>
      </c>
      <c r="Z1144" s="269" t="str">
        <f ca="1">IF(D1144="","",IF(T1144="","",VLOOKUP(D1144,契約台帳!$A$3:$E$4986,5,FALSE)))</f>
        <v xml:space="preserve">リンテック㈱        </v>
      </c>
      <c r="AA1144" s="57"/>
      <c r="AB1144" s="207" t="str">
        <f>IFERROR((VLOOKUP(F1144&amp;K1144&amp;M1144,製品マスタ!$M$5:$AM$5002,27,FALSE)),"")</f>
        <v>原反ケース再利用</v>
      </c>
      <c r="AC1144" s="33"/>
      <c r="AD1144" s="395" t="s">
        <v>1605</v>
      </c>
      <c r="AE1144" s="54"/>
      <c r="AF1144" s="55"/>
      <c r="AG1144" s="43"/>
      <c r="AH1144" s="47"/>
      <c r="AI1144" s="30"/>
      <c r="AJ1144" s="30"/>
      <c r="AK1144" s="30"/>
      <c r="AL1144" s="30"/>
      <c r="AM1144" s="13"/>
      <c r="AN1144" s="13"/>
      <c r="AO1144" s="13"/>
      <c r="AP1144" s="13"/>
      <c r="AQ1144" s="13"/>
      <c r="AR1144" s="14"/>
      <c r="AS1144" s="15"/>
    </row>
    <row r="1145" spans="1:45" s="17" customFormat="1" ht="30.95" hidden="1" customHeight="1" x14ac:dyDescent="0.2">
      <c r="A1145" s="37"/>
      <c r="B1145" s="38"/>
      <c r="C1145" s="45"/>
      <c r="D1145" s="31"/>
      <c r="E1145" s="31"/>
      <c r="F1145" s="268"/>
      <c r="G1145" s="269"/>
      <c r="H1145" s="269"/>
      <c r="I1145" s="270"/>
      <c r="J1145" s="210"/>
      <c r="K1145" s="270"/>
      <c r="L1145" s="270"/>
      <c r="M1145" s="39"/>
      <c r="N1145" s="39"/>
      <c r="O1145" s="156"/>
      <c r="P1145" s="47"/>
      <c r="Q1145" s="57"/>
      <c r="R1145" s="338"/>
      <c r="S1145" s="272"/>
      <c r="T1145" s="273"/>
      <c r="U1145" s="40"/>
      <c r="V1145" s="277"/>
      <c r="W1145" s="269"/>
      <c r="X1145" s="269"/>
      <c r="Y1145" s="275"/>
      <c r="Z1145" s="269"/>
      <c r="AA1145" s="57"/>
      <c r="AB1145" s="207"/>
      <c r="AC1145" s="33"/>
      <c r="AD1145" s="189"/>
      <c r="AE1145" s="54"/>
      <c r="AF1145" s="55"/>
      <c r="AG1145" s="43"/>
      <c r="AH1145" s="47"/>
      <c r="AI1145" s="30"/>
      <c r="AJ1145" s="30"/>
      <c r="AK1145" s="30"/>
      <c r="AL1145" s="30"/>
      <c r="AM1145" s="13"/>
      <c r="AN1145" s="13"/>
      <c r="AO1145" s="13"/>
      <c r="AP1145" s="13"/>
      <c r="AQ1145" s="13"/>
      <c r="AR1145" s="14"/>
      <c r="AS1145" s="15"/>
    </row>
    <row r="1146" spans="1:45" s="17" customFormat="1" ht="30.95" hidden="1" customHeight="1" x14ac:dyDescent="0.2">
      <c r="A1146" s="37" t="s">
        <v>596</v>
      </c>
      <c r="B1146" s="38" t="s">
        <v>444</v>
      </c>
      <c r="C1146" s="45"/>
      <c r="D1146" s="31">
        <v>3727594</v>
      </c>
      <c r="E1146" s="31">
        <v>4162071</v>
      </c>
      <c r="F1146" s="268" t="str">
        <f>IF(D1146="","",VLOOKUP(D1146,契約台帳!$A$3:$K$4986,6,FALSE)&amp;VLOOKUP(D1146,契約台帳!$A$3:$K$4986,7,FALSE)&amp;VLOOKUP(D1146,契約台帳!$A$3:$K$4986,8,FALSE)&amp;VLOOKUP(D1146,契約台帳!$A$3:$K$4986,9,FALSE)&amp;VLOOKUP(D1146,契約台帳!$A$3:$K$4986,11,FALSE))</f>
        <v>3SNMLBMNGKKBF</v>
      </c>
      <c r="G1146" s="269" t="str">
        <f>IF(D1146="","",VLOOKUP(F1146,製品マスタ!$G$5:$H$5002,2,FALSE))</f>
        <v>S</v>
      </c>
      <c r="H1146" s="269" t="str">
        <f>IF(D1146="","",VLOOKUP(F1146,製品マスタ!$G$5:$K$5002,5,FALSE))</f>
        <v>MNGKKBF</v>
      </c>
      <c r="I1146" s="270" t="str">
        <f>IF(D1146="","",VLOOKUP(F1146,製品マスタ!$G$5:$L$5002,6,FALSE))</f>
        <v>メタルミー　ネーマー銀消改　Ｂ</v>
      </c>
      <c r="J1146" s="210" t="s">
        <v>935</v>
      </c>
      <c r="K1146" s="270">
        <f>IF(D1146="","",VLOOKUP(D1146,契約台帳!$A$3:$L$4986,12,FALSE))</f>
        <v>50</v>
      </c>
      <c r="L1146" s="270" t="str">
        <f>IF(D1146="","",INDEX(製品マスタ!$Q$5:$Q$5002,MATCH('S4'!F1146&amp;'S4'!K1146,製品マスタ!$AO$5:$AO$5002,0)))</f>
        <v>S99-MAT</v>
      </c>
      <c r="M1146" s="39">
        <v>1120</v>
      </c>
      <c r="N1146" s="39">
        <v>4000</v>
      </c>
      <c r="O1146" s="156">
        <v>6</v>
      </c>
      <c r="P1146" s="47">
        <v>3</v>
      </c>
      <c r="Q1146" s="213">
        <v>45203</v>
      </c>
      <c r="R1146" s="271">
        <f ca="1">IF(D1146="","",IF(OFFSET(D1146,-1,0)&lt;&gt;"","",IF(OR(J1146="リード付け",J1146="巻足し",J1146="巻返しリード付け"),M1146,VLOOKUP(D1146,契約台帳!$A$3:$N$4986,14,FALSE))))</f>
        <v>1120</v>
      </c>
      <c r="S1146" s="272">
        <f ca="1">IF(D1146="","",IF(OFFSET(D1146,-1,0)&lt;&gt;"","",IF(OR(J1146="リード付け",J1146="巻足し",J1146="巻返しリード付け"),M1146,VLOOKUP(D1146,契約台帳!$A$3:$O$4986,15,FALSE))))</f>
        <v>1120</v>
      </c>
      <c r="T1146" s="273">
        <f ca="1">IF(D1146="","",IF(J1146="リード付け",N1146,IF(J1146="巻返しリード付け",N1146,IF(J1146="巻足し",N1146*P1146+OFFSET(N1146,1,0)*OFFSET(P1146,1,0),VLOOKUP(D1146,契約台帳!$A$3:$P$4986,16,FALSE)))))</f>
        <v>12000</v>
      </c>
      <c r="U1146" s="40">
        <v>2</v>
      </c>
      <c r="V1146" s="274">
        <f ca="1">IF(D1146="","",IF(OFFSET(D1146,-2,0)=D1146,"",VLOOKUP(D1146,契約台帳!$A$3:$R$4986,18,FALSE)))</f>
        <v>18</v>
      </c>
      <c r="W1146" s="269" t="str">
        <f ca="1">IF(D1146="","",IF(T1146="","",IF(OR(J1146="巻足し",J1146="巻返しリード付け"),"",IF(J1146="巻返し",VLOOKUP(F1146&amp;K1146&amp;M1146,製品マスタ!$M$5:$AD$5002,18,FALSE),IF(OR(J1146="リード付け",J1146="巻返しリード付け"),"原反コア",IF(J1146="スリット",VLOOKUP(F1146&amp;K1146&amp;R1146,製品マスタ!$N$5:$AD$5002,17,FALSE),""))))))</f>
        <v/>
      </c>
      <c r="X1146" s="269" t="str">
        <f ca="1">IF(D1146="","",IF(T1146="","",IF(J1146="巻足し","",IF(J1146="巻返し",VLOOKUP(F1146&amp;K1146&amp;M1146,製品マスタ!$M$5:$AE$5002,19,FALSE),IF(OR(J1146="リード付け",J1146="巻返しリード付け"),"",IF(J1146="スリット",VLOOKUP(F1146&amp;K1146&amp;R1146,製品マスタ!$N$5:$AE$5002,18,FALSE),""))))))</f>
        <v/>
      </c>
      <c r="Y1146" s="275">
        <f ca="1">IF(D1146="","",IF(T1146="","",VLOOKUP(D1146,契約台帳!$A$3:$Q$4986,17,FALSE)))</f>
        <v>2</v>
      </c>
      <c r="Z1146" s="269" t="str">
        <f ca="1">IF(D1146="","",IF(T1146="","",VLOOKUP(D1146,契約台帳!$A$3:$E$4986,5,FALSE)))</f>
        <v xml:space="preserve">リンテック㈱        </v>
      </c>
      <c r="AA1146" s="57"/>
      <c r="AB1146" s="207">
        <f>IFERROR((VLOOKUP(F1146&amp;K1146&amp;M1146,製品マスタ!$M$5:$AM$5002,27,FALSE)),"")</f>
        <v>0</v>
      </c>
      <c r="AC1146" s="33"/>
      <c r="AD1146" s="189"/>
      <c r="AE1146" s="54"/>
      <c r="AF1146" s="55"/>
      <c r="AG1146" s="43"/>
      <c r="AH1146" s="47"/>
      <c r="AI1146" s="30"/>
      <c r="AJ1146" s="30"/>
      <c r="AK1146" s="30"/>
      <c r="AL1146" s="30"/>
      <c r="AM1146" s="13"/>
      <c r="AN1146" s="13"/>
      <c r="AO1146" s="13"/>
      <c r="AP1146" s="13"/>
      <c r="AQ1146" s="13"/>
      <c r="AR1146" s="14"/>
      <c r="AS1146" s="15"/>
    </row>
    <row r="1147" spans="1:45" s="17" customFormat="1" ht="30.95" hidden="1" customHeight="1" x14ac:dyDescent="0.2">
      <c r="A1147" s="37"/>
      <c r="B1147" s="38"/>
      <c r="C1147" s="45"/>
      <c r="D1147" s="31"/>
      <c r="E1147" s="31"/>
      <c r="F1147" s="268"/>
      <c r="G1147" s="269"/>
      <c r="H1147" s="269"/>
      <c r="I1147" s="270"/>
      <c r="J1147" s="210"/>
      <c r="K1147" s="270"/>
      <c r="L1147" s="270"/>
      <c r="M1147" s="39"/>
      <c r="N1147" s="39"/>
      <c r="O1147" s="156"/>
      <c r="P1147" s="47"/>
      <c r="Q1147" s="57"/>
      <c r="R1147" s="338"/>
      <c r="S1147" s="272"/>
      <c r="T1147" s="273"/>
      <c r="U1147" s="40"/>
      <c r="V1147" s="277"/>
      <c r="W1147" s="269"/>
      <c r="X1147" s="269"/>
      <c r="Y1147" s="275"/>
      <c r="Z1147" s="269"/>
      <c r="AA1147" s="57"/>
      <c r="AB1147" s="207"/>
      <c r="AC1147" s="33"/>
      <c r="AD1147" s="189"/>
      <c r="AE1147" s="54"/>
      <c r="AF1147" s="55"/>
      <c r="AG1147" s="43"/>
      <c r="AH1147" s="47"/>
      <c r="AI1147" s="30"/>
      <c r="AJ1147" s="30"/>
      <c r="AK1147" s="30"/>
      <c r="AL1147" s="30"/>
      <c r="AM1147" s="13"/>
      <c r="AN1147" s="13"/>
      <c r="AO1147" s="13"/>
      <c r="AP1147" s="13"/>
      <c r="AQ1147" s="13"/>
      <c r="AR1147" s="14"/>
      <c r="AS1147" s="15"/>
    </row>
    <row r="1148" spans="1:45" s="17" customFormat="1" ht="30.95" hidden="1" customHeight="1" x14ac:dyDescent="0.2">
      <c r="A1148" s="37"/>
      <c r="B1148" s="38"/>
      <c r="C1148" s="45"/>
      <c r="D1148" s="31">
        <v>3727605</v>
      </c>
      <c r="E1148" s="31">
        <v>4162088</v>
      </c>
      <c r="F1148" s="268" t="str">
        <f>IF(D1148="","",VLOOKUP(D1148,契約台帳!$A$3:$K$4986,6,FALSE)&amp;VLOOKUP(D1148,契約台帳!$A$3:$K$4986,7,FALSE)&amp;VLOOKUP(D1148,契約台帳!$A$3:$K$4986,8,FALSE)&amp;VLOOKUP(D1148,契約台帳!$A$3:$K$4986,9,FALSE)&amp;VLOOKUP(D1148,契約台帳!$A$3:$K$4986,11,FALSE))</f>
        <v>3TNMCLBHLGTV</v>
      </c>
      <c r="G1148" s="269" t="str">
        <f>IF(D1148="","",VLOOKUP(F1148,製品マスタ!$G$5:$H$5002,2,FALSE))</f>
        <v>T</v>
      </c>
      <c r="H1148" s="269" t="str">
        <f>IF(D1148="","",VLOOKUP(F1148,製品マスタ!$G$5:$K$5002,5,FALSE))</f>
        <v>HLGTV</v>
      </c>
      <c r="I1148" s="270" t="str">
        <f>IF(D1148="","",VLOOKUP(F1148,製品マスタ!$G$5:$L$5002,6,FALSE))</f>
        <v>メタルミー　ヘヤライン　銀艶Ｖ</v>
      </c>
      <c r="J1148" s="210" t="s">
        <v>935</v>
      </c>
      <c r="K1148" s="270">
        <f>IF(D1148="","",VLOOKUP(D1148,契約台帳!$A$3:$L$4986,12,FALSE))</f>
        <v>50</v>
      </c>
      <c r="L1148" s="270" t="str">
        <f>IF(D1148="","",INDEX(製品マスタ!$Q$5:$Q$5002,MATCH('S4'!F1148&amp;'S4'!K1148,製品マスタ!$AO$5:$AO$5002,0)))</f>
        <v>BRIGHT</v>
      </c>
      <c r="M1148" s="39">
        <v>1005</v>
      </c>
      <c r="N1148" s="39">
        <v>4100</v>
      </c>
      <c r="O1148" s="156">
        <v>1</v>
      </c>
      <c r="P1148" s="47">
        <v>3</v>
      </c>
      <c r="Q1148" s="213">
        <v>45195</v>
      </c>
      <c r="R1148" s="271">
        <f ca="1">IF(D1148="","",IF(OFFSET(D1148,-1,0)&lt;&gt;"","",IF(OR(J1148="リード付け",J1148="巻足し",J1148="巻返しリード付け"),M1148,VLOOKUP(D1148,契約台帳!$A$3:$N$4986,14,FALSE))))</f>
        <v>1005</v>
      </c>
      <c r="S1148" s="272">
        <f ca="1">IF(D1148="","",IF(OFFSET(D1148,-1,0)&lt;&gt;"","",IF(OR(J1148="リード付け",J1148="巻足し",J1148="巻返しリード付け"),M1148,VLOOKUP(D1148,契約台帳!$A$3:$O$4986,15,FALSE))))</f>
        <v>1005</v>
      </c>
      <c r="T1148" s="273">
        <f ca="1">IF(D1148="","",IF(J1148="リード付け",N1148,IF(J1148="巻返しリード付け",N1148,IF(J1148="巻足し",N1148*P1148+OFFSET(N1148,1,0)*OFFSET(P1148,1,0),VLOOKUP(D1148,契約台帳!$A$3:$P$4986,16,FALSE)))))</f>
        <v>12300</v>
      </c>
      <c r="U1148" s="40">
        <v>1</v>
      </c>
      <c r="V1148" s="274">
        <f ca="1">IF(D1148="","",IF(OFFSET(D1148,-2,0)=D1148,"",VLOOKUP(D1148,契約台帳!$A$3:$R$4986,18,FALSE)))</f>
        <v>2</v>
      </c>
      <c r="W1148" s="269" t="str">
        <f ca="1">IF(D1148="","",IF(T1148="","",IF(OR(J1148="巻足し",J1148="巻返しリード付け"),"",IF(J1148="巻返し",VLOOKUP(F1148&amp;K1148&amp;M1148,製品マスタ!$M$5:$AD$5002,18,FALSE),IF(OR(J1148="リード付け",J1148="巻返しリード付け"),"原反コア",IF(J1148="スリット",VLOOKUP(F1148&amp;K1148&amp;R1148,製品マスタ!$N$5:$AD$5002,17,FALSE),""))))))</f>
        <v/>
      </c>
      <c r="X1148" s="269" t="str">
        <f ca="1">IF(D1148="","",IF(T1148="","",IF(J1148="巻足し","",IF(J1148="巻返し",VLOOKUP(F1148&amp;K1148&amp;M1148,製品マスタ!$M$5:$AE$5002,19,FALSE),IF(OR(J1148="リード付け",J1148="巻返しリード付け"),"",IF(J1148="スリット",VLOOKUP(F1148&amp;K1148&amp;R1148,製品マスタ!$N$5:$AE$5002,18,FALSE),""))))))</f>
        <v/>
      </c>
      <c r="Y1148" s="275">
        <f ca="1">IF(D1148="","",IF(T1148="","",VLOOKUP(D1148,契約台帳!$A$3:$Q$4986,17,FALSE)))</f>
        <v>2</v>
      </c>
      <c r="Z1148" s="269" t="str">
        <f ca="1">IF(D1148="","",IF(T1148="","",VLOOKUP(D1148,契約台帳!$A$3:$E$4986,5,FALSE)))</f>
        <v xml:space="preserve">リンテック㈱        </v>
      </c>
      <c r="AA1148" s="57"/>
      <c r="AB1148" s="207" t="s">
        <v>774</v>
      </c>
      <c r="AC1148" s="33"/>
      <c r="AD1148" s="189"/>
      <c r="AE1148" s="54"/>
      <c r="AF1148" s="55"/>
      <c r="AG1148" s="43"/>
      <c r="AH1148" s="47"/>
      <c r="AI1148" s="30"/>
      <c r="AJ1148" s="30"/>
      <c r="AK1148" s="30"/>
      <c r="AL1148" s="30"/>
      <c r="AM1148" s="13"/>
      <c r="AN1148" s="13"/>
      <c r="AO1148" s="13"/>
      <c r="AP1148" s="13"/>
      <c r="AQ1148" s="13"/>
      <c r="AR1148" s="14"/>
      <c r="AS1148" s="15"/>
    </row>
    <row r="1149" spans="1:45" s="17" customFormat="1" ht="30.95" hidden="1" customHeight="1" x14ac:dyDescent="0.2">
      <c r="A1149" s="37"/>
      <c r="B1149" s="38"/>
      <c r="C1149" s="45"/>
      <c r="D1149" s="31">
        <v>3727606</v>
      </c>
      <c r="E1149" s="31"/>
      <c r="F1149" s="268" t="str">
        <f>IF(D1149="","",VLOOKUP(D1149,契約台帳!$A$3:$K$4986,6,FALSE)&amp;VLOOKUP(D1149,契約台帳!$A$3:$K$4986,7,FALSE)&amp;VLOOKUP(D1149,契約台帳!$A$3:$K$4986,8,FALSE)&amp;VLOOKUP(D1149,契約台帳!$A$3:$K$4986,9,FALSE)&amp;VLOOKUP(D1149,契約台帳!$A$3:$K$4986,11,FALSE))</f>
        <v>3TNMCLBHLGTV</v>
      </c>
      <c r="G1149" s="269" t="str">
        <f>IF(D1149="","",VLOOKUP(F1149,製品マスタ!$G$5:$H$5002,2,FALSE))</f>
        <v>T</v>
      </c>
      <c r="H1149" s="269" t="str">
        <f>IF(D1149="","",VLOOKUP(F1149,製品マスタ!$G$5:$K$5002,5,FALSE))</f>
        <v>HLGTV</v>
      </c>
      <c r="I1149" s="270" t="str">
        <f>IF(D1149="","",VLOOKUP(F1149,製品マスタ!$G$5:$L$5002,6,FALSE))</f>
        <v>メタルミー　ヘヤライン　銀艶Ｖ</v>
      </c>
      <c r="J1149" s="210" t="s">
        <v>935</v>
      </c>
      <c r="K1149" s="270">
        <f>IF(D1149="","",VLOOKUP(D1149,契約台帳!$A$3:$L$4986,12,FALSE))</f>
        <v>50</v>
      </c>
      <c r="L1149" s="270" t="str">
        <f>IF(D1149="","",INDEX(製品マスタ!$Q$5:$Q$5002,MATCH('S4'!F1149&amp;'S4'!K1149,製品マスタ!$AO$5:$AO$5002,0)))</f>
        <v>BRIGHT</v>
      </c>
      <c r="M1149" s="39">
        <v>1005</v>
      </c>
      <c r="N1149" s="39">
        <v>4100</v>
      </c>
      <c r="O1149" s="156">
        <v>2</v>
      </c>
      <c r="P1149" s="47"/>
      <c r="Q1149" s="213">
        <v>45195</v>
      </c>
      <c r="R1149" s="271" t="str">
        <f ca="1">IF(D1149="","",IF(OFFSET(D1149,-1,0)&lt;&gt;"","",IF(OR(J1149="リード付け",J1149="巻足し",J1149="巻返しリード付け"),M1149,VLOOKUP(D1149,契約台帳!$A$3:$N$4986,14,FALSE))))</f>
        <v/>
      </c>
      <c r="S1149" s="272" t="str">
        <f ca="1">IF(D1149="","",IF(OFFSET(D1149,-1,0)&lt;&gt;"","",IF(OR(J1149="リード付け",J1149="巻足し",J1149="巻返しリード付け"),M1149,VLOOKUP(D1149,契約台帳!$A$3:$O$4986,15,FALSE))))</f>
        <v/>
      </c>
      <c r="T1149" s="273">
        <f ca="1">IF(D1149="","",IF(J1149="リード付け",N1149,IF(J1149="巻返しリード付け",N1149,IF(J1149="巻足し",N1149*P1149+OFFSET(N1149,1,0)*OFFSET(P1149,1,0),VLOOKUP(D1149,契約台帳!$A$3:$P$4986,16,FALSE)))))</f>
        <v>0</v>
      </c>
      <c r="U1149" s="40"/>
      <c r="V1149" s="274">
        <f ca="1">IF(D1149="","",IF(OFFSET(D1149,-2,0)=D1149,"",VLOOKUP(D1149,契約台帳!$A$3:$R$4986,18,FALSE)))</f>
        <v>5</v>
      </c>
      <c r="W1149" s="269" t="str">
        <f ca="1">IF(D1149="","",IF(T1149="","",IF(OR(J1149="巻足し",J1149="巻返しリード付け"),"",IF(J1149="巻返し",VLOOKUP(F1149&amp;K1149&amp;M1149,製品マスタ!$M$5:$AD$5002,18,FALSE),IF(OR(J1149="リード付け",J1149="巻返しリード付け"),"原反コア",IF(J1149="スリット",VLOOKUP(F1149&amp;K1149&amp;R1149,製品マスタ!$N$5:$AD$5002,17,FALSE),""))))))</f>
        <v/>
      </c>
      <c r="X1149" s="269" t="str">
        <f ca="1">IF(D1149="","",IF(T1149="","",IF(J1149="巻足し","",IF(J1149="巻返し",VLOOKUP(F1149&amp;K1149&amp;M1149,製品マスタ!$M$5:$AE$5002,19,FALSE),IF(OR(J1149="リード付け",J1149="巻返しリード付け"),"",IF(J1149="スリット",VLOOKUP(F1149&amp;K1149&amp;R1149,製品マスタ!$N$5:$AE$5002,18,FALSE),""))))))</f>
        <v/>
      </c>
      <c r="Y1149" s="275">
        <f ca="1">IF(D1149="","",IF(T1149="","",VLOOKUP(D1149,契約台帳!$A$3:$Q$4986,17,FALSE)))</f>
        <v>2</v>
      </c>
      <c r="Z1149" s="269" t="str">
        <f ca="1">IF(D1149="","",IF(T1149="","",VLOOKUP(D1149,契約台帳!$A$3:$E$4986,5,FALSE)))</f>
        <v xml:space="preserve">リンテック㈱        </v>
      </c>
      <c r="AA1149" s="57"/>
      <c r="AB1149" s="207" t="s">
        <v>774</v>
      </c>
      <c r="AC1149" s="33"/>
      <c r="AD1149" s="189"/>
      <c r="AE1149" s="54"/>
      <c r="AF1149" s="55"/>
      <c r="AG1149" s="43"/>
      <c r="AH1149" s="47"/>
      <c r="AI1149" s="30"/>
      <c r="AJ1149" s="30"/>
      <c r="AK1149" s="30"/>
      <c r="AL1149" s="30"/>
      <c r="AM1149" s="13"/>
      <c r="AN1149" s="13"/>
      <c r="AO1149" s="13"/>
      <c r="AP1149" s="13"/>
      <c r="AQ1149" s="13"/>
      <c r="AR1149" s="14"/>
      <c r="AS1149" s="15"/>
    </row>
    <row r="1150" spans="1:45" s="17" customFormat="1" ht="30.95" hidden="1" customHeight="1" x14ac:dyDescent="0.2">
      <c r="A1150" s="37"/>
      <c r="B1150" s="38"/>
      <c r="C1150" s="45"/>
      <c r="D1150" s="31"/>
      <c r="E1150" s="31"/>
      <c r="F1150" s="268"/>
      <c r="G1150" s="269"/>
      <c r="H1150" s="269"/>
      <c r="I1150" s="270"/>
      <c r="J1150" s="210"/>
      <c r="K1150" s="270"/>
      <c r="L1150" s="270"/>
      <c r="M1150" s="39"/>
      <c r="N1150" s="39"/>
      <c r="O1150" s="156"/>
      <c r="P1150" s="47"/>
      <c r="Q1150" s="57"/>
      <c r="R1150" s="338"/>
      <c r="S1150" s="272"/>
      <c r="T1150" s="273"/>
      <c r="U1150" s="40"/>
      <c r="V1150" s="277"/>
      <c r="W1150" s="269"/>
      <c r="X1150" s="269"/>
      <c r="Y1150" s="275"/>
      <c r="Z1150" s="269"/>
      <c r="AA1150" s="57"/>
      <c r="AB1150" s="207"/>
      <c r="AC1150" s="33"/>
      <c r="AD1150" s="189"/>
      <c r="AE1150" s="54"/>
      <c r="AF1150" s="55"/>
      <c r="AG1150" s="43"/>
      <c r="AH1150" s="47"/>
      <c r="AI1150" s="30"/>
      <c r="AJ1150" s="30"/>
      <c r="AK1150" s="30"/>
      <c r="AL1150" s="30"/>
      <c r="AM1150" s="13"/>
      <c r="AN1150" s="13"/>
      <c r="AO1150" s="13"/>
      <c r="AP1150" s="13"/>
      <c r="AQ1150" s="13"/>
      <c r="AR1150" s="14"/>
      <c r="AS1150" s="15"/>
    </row>
    <row r="1151" spans="1:45" s="17" customFormat="1" ht="30.95" hidden="1" customHeight="1" x14ac:dyDescent="0.2">
      <c r="A1151" s="37" t="s">
        <v>597</v>
      </c>
      <c r="B1151" s="38" t="s">
        <v>445</v>
      </c>
      <c r="C1151" s="45"/>
      <c r="D1151" s="31">
        <v>3728961</v>
      </c>
      <c r="E1151" s="31">
        <v>4162094</v>
      </c>
      <c r="F1151" s="268" t="s">
        <v>1603</v>
      </c>
      <c r="G1151" s="269" t="s">
        <v>1604</v>
      </c>
      <c r="H1151" s="269" t="s">
        <v>212</v>
      </c>
      <c r="I1151" s="270" t="s">
        <v>1606</v>
      </c>
      <c r="J1151" s="210" t="s">
        <v>935</v>
      </c>
      <c r="K1151" s="270">
        <v>75</v>
      </c>
      <c r="L1151" s="270" t="s">
        <v>215</v>
      </c>
      <c r="M1151" s="39">
        <v>1000</v>
      </c>
      <c r="N1151" s="39">
        <v>2000</v>
      </c>
      <c r="O1151" s="156">
        <v>15</v>
      </c>
      <c r="P1151" s="47">
        <v>3</v>
      </c>
      <c r="Q1151" s="213">
        <v>45205</v>
      </c>
      <c r="R1151" s="338">
        <v>1000</v>
      </c>
      <c r="S1151" s="272">
        <v>1000</v>
      </c>
      <c r="T1151" s="273">
        <v>6000</v>
      </c>
      <c r="U1151" s="40">
        <v>5</v>
      </c>
      <c r="V1151" s="277">
        <v>19</v>
      </c>
      <c r="W1151" s="269" t="s">
        <v>928</v>
      </c>
      <c r="X1151" s="269" t="s">
        <v>928</v>
      </c>
      <c r="Y1151" s="275">
        <v>2</v>
      </c>
      <c r="Z1151" s="269" t="s">
        <v>1511</v>
      </c>
      <c r="AA1151" s="57"/>
      <c r="AB1151" s="207" t="s">
        <v>774</v>
      </c>
      <c r="AC1151" s="33"/>
      <c r="AD1151" s="189"/>
      <c r="AE1151" s="54"/>
      <c r="AF1151" s="55"/>
      <c r="AG1151" s="43"/>
      <c r="AH1151" s="47"/>
      <c r="AI1151" s="30"/>
      <c r="AJ1151" s="30"/>
      <c r="AK1151" s="30"/>
      <c r="AL1151" s="30"/>
      <c r="AM1151" s="13"/>
      <c r="AN1151" s="13"/>
      <c r="AO1151" s="13"/>
      <c r="AP1151" s="13"/>
      <c r="AQ1151" s="13"/>
      <c r="AR1151" s="14"/>
      <c r="AS1151" s="15"/>
    </row>
    <row r="1152" spans="1:45" s="17" customFormat="1" ht="30.95" hidden="1" customHeight="1" x14ac:dyDescent="0.2">
      <c r="A1152" s="37"/>
      <c r="B1152" s="38"/>
      <c r="C1152" s="45"/>
      <c r="D1152" s="31"/>
      <c r="E1152" s="31"/>
      <c r="F1152" s="268"/>
      <c r="G1152" s="269"/>
      <c r="H1152" s="269"/>
      <c r="I1152" s="270"/>
      <c r="J1152" s="210"/>
      <c r="K1152" s="270"/>
      <c r="L1152" s="270"/>
      <c r="M1152" s="39"/>
      <c r="N1152" s="39"/>
      <c r="O1152" s="156"/>
      <c r="P1152" s="47"/>
      <c r="Q1152" s="57"/>
      <c r="R1152" s="338"/>
      <c r="S1152" s="272"/>
      <c r="T1152" s="273"/>
      <c r="U1152" s="40"/>
      <c r="V1152" s="277"/>
      <c r="W1152" s="269"/>
      <c r="X1152" s="269"/>
      <c r="Y1152" s="275"/>
      <c r="Z1152" s="269"/>
      <c r="AA1152" s="57"/>
      <c r="AB1152" s="207"/>
      <c r="AC1152" s="33"/>
      <c r="AD1152" s="189"/>
      <c r="AE1152" s="54"/>
      <c r="AF1152" s="55"/>
      <c r="AG1152" s="43"/>
      <c r="AH1152" s="47"/>
      <c r="AI1152" s="30"/>
      <c r="AJ1152" s="30"/>
      <c r="AK1152" s="30"/>
      <c r="AL1152" s="30"/>
      <c r="AM1152" s="13"/>
      <c r="AN1152" s="13"/>
      <c r="AO1152" s="13"/>
      <c r="AP1152" s="13"/>
      <c r="AQ1152" s="13"/>
      <c r="AR1152" s="14"/>
      <c r="AS1152" s="15"/>
    </row>
    <row r="1153" spans="1:45" s="17" customFormat="1" ht="30.95" hidden="1" customHeight="1" x14ac:dyDescent="0.2">
      <c r="A1153" s="37"/>
      <c r="B1153" s="38"/>
      <c r="C1153" s="45"/>
      <c r="D1153" s="31">
        <v>3728961</v>
      </c>
      <c r="E1153" s="31">
        <v>4162094</v>
      </c>
      <c r="F1153" s="268" t="s">
        <v>1603</v>
      </c>
      <c r="G1153" s="269" t="s">
        <v>1604</v>
      </c>
      <c r="H1153" s="269" t="s">
        <v>212</v>
      </c>
      <c r="I1153" s="270" t="s">
        <v>1606</v>
      </c>
      <c r="J1153" s="210" t="s">
        <v>935</v>
      </c>
      <c r="K1153" s="270">
        <v>75</v>
      </c>
      <c r="L1153" s="270" t="s">
        <v>215</v>
      </c>
      <c r="M1153" s="39">
        <v>1000</v>
      </c>
      <c r="N1153" s="39">
        <v>2000</v>
      </c>
      <c r="O1153" s="156">
        <v>4</v>
      </c>
      <c r="P1153" s="47">
        <v>2</v>
      </c>
      <c r="Q1153" s="213">
        <v>45205</v>
      </c>
      <c r="R1153" s="338">
        <v>1000</v>
      </c>
      <c r="S1153" s="272">
        <v>1000</v>
      </c>
      <c r="T1153" s="273">
        <v>4000</v>
      </c>
      <c r="U1153" s="40">
        <v>2</v>
      </c>
      <c r="V1153" s="277">
        <v>19</v>
      </c>
      <c r="W1153" s="269" t="s">
        <v>928</v>
      </c>
      <c r="X1153" s="269" t="s">
        <v>928</v>
      </c>
      <c r="Y1153" s="275">
        <v>2</v>
      </c>
      <c r="Z1153" s="269" t="s">
        <v>1511</v>
      </c>
      <c r="AA1153" s="57"/>
      <c r="AB1153" s="207" t="s">
        <v>774</v>
      </c>
      <c r="AC1153" s="33"/>
      <c r="AD1153" s="189"/>
      <c r="AE1153" s="54"/>
      <c r="AF1153" s="55"/>
      <c r="AG1153" s="43"/>
      <c r="AH1153" s="47"/>
      <c r="AI1153" s="30"/>
      <c r="AJ1153" s="30"/>
      <c r="AK1153" s="30"/>
      <c r="AL1153" s="30"/>
      <c r="AM1153" s="13"/>
      <c r="AN1153" s="13"/>
      <c r="AO1153" s="13"/>
      <c r="AP1153" s="13"/>
      <c r="AQ1153" s="13"/>
      <c r="AR1153" s="14"/>
      <c r="AS1153" s="15"/>
    </row>
    <row r="1154" spans="1:45" s="17" customFormat="1" ht="30.95" hidden="1" customHeight="1" x14ac:dyDescent="0.2">
      <c r="A1154" s="37"/>
      <c r="B1154" s="38"/>
      <c r="C1154" s="45"/>
      <c r="D1154" s="31"/>
      <c r="E1154" s="31"/>
      <c r="F1154" s="268"/>
      <c r="G1154" s="269"/>
      <c r="H1154" s="269"/>
      <c r="I1154" s="270"/>
      <c r="J1154" s="210"/>
      <c r="K1154" s="270"/>
      <c r="L1154" s="270"/>
      <c r="M1154" s="39"/>
      <c r="N1154" s="39"/>
      <c r="O1154" s="156"/>
      <c r="P1154" s="47"/>
      <c r="Q1154" s="57"/>
      <c r="R1154" s="338"/>
      <c r="S1154" s="272"/>
      <c r="T1154" s="273"/>
      <c r="U1154" s="40"/>
      <c r="V1154" s="277"/>
      <c r="W1154" s="269"/>
      <c r="X1154" s="269"/>
      <c r="Y1154" s="275"/>
      <c r="Z1154" s="269"/>
      <c r="AA1154" s="57"/>
      <c r="AB1154" s="207"/>
      <c r="AC1154" s="33"/>
      <c r="AD1154" s="189"/>
      <c r="AE1154" s="54"/>
      <c r="AF1154" s="55"/>
      <c r="AG1154" s="43"/>
      <c r="AH1154" s="47"/>
      <c r="AI1154" s="30"/>
      <c r="AJ1154" s="30"/>
      <c r="AK1154" s="30"/>
      <c r="AL1154" s="30"/>
      <c r="AM1154" s="13"/>
      <c r="AN1154" s="13"/>
      <c r="AO1154" s="13"/>
      <c r="AP1154" s="13"/>
      <c r="AQ1154" s="13"/>
      <c r="AR1154" s="14"/>
      <c r="AS1154" s="15"/>
    </row>
    <row r="1155" spans="1:45" s="17" customFormat="1" ht="30.95" hidden="1" customHeight="1" x14ac:dyDescent="0.2">
      <c r="A1155" s="37" t="s">
        <v>598</v>
      </c>
      <c r="B1155" s="38" t="s">
        <v>446</v>
      </c>
      <c r="C1155" s="45"/>
      <c r="D1155" s="31"/>
      <c r="E1155" s="31"/>
      <c r="F1155" s="268"/>
      <c r="G1155" s="269"/>
      <c r="H1155" s="269"/>
      <c r="I1155" s="270"/>
      <c r="J1155" s="210" t="s">
        <v>448</v>
      </c>
      <c r="K1155" s="270"/>
      <c r="L1155" s="270"/>
      <c r="M1155" s="39"/>
      <c r="N1155" s="39"/>
      <c r="O1155" s="156"/>
      <c r="P1155" s="47"/>
      <c r="Q1155" s="57"/>
      <c r="R1155" s="338"/>
      <c r="S1155" s="272"/>
      <c r="T1155" s="273"/>
      <c r="U1155" s="40"/>
      <c r="V1155" s="277"/>
      <c r="W1155" s="269"/>
      <c r="X1155" s="269"/>
      <c r="Y1155" s="275"/>
      <c r="Z1155" s="269"/>
      <c r="AA1155" s="57"/>
      <c r="AB1155" s="207"/>
      <c r="AC1155" s="33"/>
      <c r="AD1155" s="189"/>
      <c r="AE1155" s="54"/>
      <c r="AF1155" s="55"/>
      <c r="AG1155" s="43"/>
      <c r="AH1155" s="47"/>
      <c r="AI1155" s="30"/>
      <c r="AJ1155" s="30"/>
      <c r="AK1155" s="30"/>
      <c r="AL1155" s="30"/>
      <c r="AM1155" s="13"/>
      <c r="AN1155" s="13"/>
      <c r="AO1155" s="13"/>
      <c r="AP1155" s="13"/>
      <c r="AQ1155" s="13"/>
      <c r="AR1155" s="14"/>
      <c r="AS1155" s="15"/>
    </row>
    <row r="1156" spans="1:45" s="17" customFormat="1" ht="30.95" hidden="1" customHeight="1" x14ac:dyDescent="0.2">
      <c r="A1156" s="37"/>
      <c r="B1156" s="38"/>
      <c r="C1156" s="45"/>
      <c r="D1156" s="31"/>
      <c r="E1156" s="31"/>
      <c r="F1156" s="268"/>
      <c r="G1156" s="269"/>
      <c r="H1156" s="269"/>
      <c r="I1156" s="270"/>
      <c r="J1156" s="210"/>
      <c r="K1156" s="270"/>
      <c r="L1156" s="270"/>
      <c r="M1156" s="39"/>
      <c r="N1156" s="39"/>
      <c r="O1156" s="156"/>
      <c r="P1156" s="47"/>
      <c r="Q1156" s="57"/>
      <c r="R1156" s="338"/>
      <c r="S1156" s="272"/>
      <c r="T1156" s="273"/>
      <c r="U1156" s="40"/>
      <c r="V1156" s="277"/>
      <c r="W1156" s="269"/>
      <c r="X1156" s="269"/>
      <c r="Y1156" s="275"/>
      <c r="Z1156" s="269"/>
      <c r="AA1156" s="57"/>
      <c r="AB1156" s="207"/>
      <c r="AC1156" s="33"/>
      <c r="AD1156" s="189"/>
      <c r="AE1156" s="54"/>
      <c r="AF1156" s="55"/>
      <c r="AG1156" s="43"/>
      <c r="AH1156" s="47"/>
      <c r="AI1156" s="30"/>
      <c r="AJ1156" s="30"/>
      <c r="AK1156" s="30"/>
      <c r="AL1156" s="30"/>
      <c r="AM1156" s="13"/>
      <c r="AN1156" s="13"/>
      <c r="AO1156" s="13"/>
      <c r="AP1156" s="13"/>
      <c r="AQ1156" s="13"/>
      <c r="AR1156" s="14"/>
      <c r="AS1156" s="15"/>
    </row>
    <row r="1157" spans="1:45" s="17" customFormat="1" ht="30.6" hidden="1" customHeight="1" x14ac:dyDescent="0.2">
      <c r="A1157" s="37" t="s">
        <v>1654</v>
      </c>
      <c r="B1157" s="38" t="s">
        <v>1655</v>
      </c>
      <c r="C1157" s="45"/>
      <c r="D1157" s="31">
        <v>3727591</v>
      </c>
      <c r="E1157" s="31">
        <v>4141023</v>
      </c>
      <c r="F1157" s="268" t="str">
        <f>IF(D1157="","",VLOOKUP(D1157,契約台帳!$A$3:$K$4986,6,FALSE)&amp;VLOOKUP(D1157,契約台帳!$A$3:$K$4986,7,FALSE)&amp;VLOOKUP(D1157,契約台帳!$A$3:$K$4986,8,FALSE)&amp;VLOOKUP(D1157,契約台帳!$A$3:$K$4986,9,FALSE)&amp;VLOOKUP(D1157,契約台帳!$A$3:$K$4986,11,FALSE))</f>
        <v>3SNMCLBWCB</v>
      </c>
      <c r="G1157" s="269" t="str">
        <f>IF(D1157="","",VLOOKUP(F1157,製品マスタ!$G$5:$H$5002,2,FALSE))</f>
        <v>S</v>
      </c>
      <c r="H1157" s="269" t="str">
        <f>IF(D1157="","",VLOOKUP(F1157,製品マスタ!$G$5:$K$5002,5,FALSE))</f>
        <v>WCB</v>
      </c>
      <c r="I1157" s="270" t="str">
        <f>IF(D1157="","",VLOOKUP(F1157,製品マスタ!$G$5:$L$5002,6,FALSE))</f>
        <v>メタルミー　ホワイトコート　（Ｂ）</v>
      </c>
      <c r="J1157" s="210" t="s">
        <v>463</v>
      </c>
      <c r="K1157" s="270">
        <f>IF(D1157="","",VLOOKUP(D1157,契約台帳!$A$3:$L$4986,12,FALSE))</f>
        <v>50</v>
      </c>
      <c r="L1157" s="270" t="str">
        <f>IF(D1157="","",INDEX(製品マスタ!$Q$5:$Q$5002,MATCH('S4'!F1157&amp;'S4'!K1157,製品マスタ!$AO$5:$AO$5002,0)))</f>
        <v>T62M</v>
      </c>
      <c r="M1157" s="39">
        <v>1195</v>
      </c>
      <c r="N1157" s="39">
        <v>12200</v>
      </c>
      <c r="O1157" s="156">
        <v>1</v>
      </c>
      <c r="P1157" s="47">
        <v>1</v>
      </c>
      <c r="Q1157" s="57"/>
      <c r="R1157" s="271">
        <f ca="1">IF(D1157="","",IF(OFFSET(D1157,-1,0)&lt;&gt;"","",IF(OR(J1157="リード付け",J1157="巻足し",J1157="巻返しリード付け"),M1157,VLOOKUP(D1157,契約台帳!$A$3:$N$4986,14,FALSE))))</f>
        <v>1120</v>
      </c>
      <c r="S1157" s="272">
        <f ca="1">IF(D1157="","",IF(OFFSET(D1157,-1,0)&lt;&gt;"","",IF(OR(J1157="リード付け",J1157="巻足し",J1157="巻返しリード付け"),M1157,VLOOKUP(D1157,契約台帳!$A$3:$O$4986,15,FALSE))))</f>
        <v>1120</v>
      </c>
      <c r="T1157" s="273">
        <v>6000</v>
      </c>
      <c r="U1157" s="40">
        <v>2</v>
      </c>
      <c r="V1157" s="274">
        <f ca="1">IF(D1157="","",IF(OFFSET(D1157,-2,0)=D1157,"",VLOOKUP(D1157,契約台帳!$A$3:$R$4986,18,FALSE)))</f>
        <v>3</v>
      </c>
      <c r="W1157" s="269" t="str">
        <f ca="1">IF(D1157="","",IF(T1157="","",IF(OR(J1157="巻足し",J1157="巻返しリード付け"),"",IF(J1157="巻返し",VLOOKUP(F1157&amp;K1157&amp;M1157,製品マスタ!$M$5:$AD$5002,18,FALSE),IF(OR(J1157="リード付け",J1157="巻返しリード付け"),"原反コア",IF(J1157="スリット",VLOOKUP(F1157&amp;K1157&amp;R1157,製品マスタ!$N$5:$AD$5002,17,FALSE),""))))))</f>
        <v>6ｲﾝﾁSｺｱ</v>
      </c>
      <c r="X1157" s="269">
        <f ca="1">IF(D1157="","",IF(T1157="","",IF(J1157="巻足し","",IF(J1157="巻返し",VLOOKUP(F1157&amp;K1157&amp;M1157,製品マスタ!$M$5:$AE$5002,19,FALSE),IF(OR(J1157="リード付け",J1157="巻返しリード付け"),"",IF(J1157="スリット",VLOOKUP(F1157&amp;K1157&amp;R1157,製品マスタ!$N$5:$AE$5002,18,FALSE),""))))))</f>
        <v>1140</v>
      </c>
      <c r="Y1157" s="275">
        <f>IF(D1157="","",IF(T1157="","",VLOOKUP(D1157,契約台帳!$A$3:$Q$4986,17,FALSE)))</f>
        <v>2</v>
      </c>
      <c r="Z1157" s="269" t="str">
        <f>IF(D1157="","",IF(T1157="","",VLOOKUP(D1157,契約台帳!$A$3:$E$4986,5,FALSE)))</f>
        <v xml:space="preserve">新タック化成㈱      </v>
      </c>
      <c r="AA1157" s="57"/>
      <c r="AB1157" s="207"/>
      <c r="AC1157" s="33"/>
      <c r="AD1157" s="189"/>
      <c r="AE1157" s="54"/>
      <c r="AF1157" s="55"/>
      <c r="AG1157" s="43"/>
      <c r="AH1157" s="47"/>
      <c r="AI1157" s="30"/>
      <c r="AJ1157" s="30"/>
      <c r="AK1157" s="30"/>
      <c r="AL1157" s="30"/>
      <c r="AM1157" s="13"/>
      <c r="AN1157" s="13"/>
      <c r="AO1157" s="13"/>
      <c r="AP1157" s="13"/>
      <c r="AQ1157" s="13"/>
      <c r="AR1157" s="14"/>
      <c r="AS1157" s="15"/>
    </row>
    <row r="1158" spans="1:45" s="17" customFormat="1" ht="30.95" hidden="1" customHeight="1" x14ac:dyDescent="0.2">
      <c r="A1158" s="37"/>
      <c r="B1158" s="38"/>
      <c r="C1158" s="45"/>
      <c r="D1158" s="31"/>
      <c r="E1158" s="31"/>
      <c r="F1158" s="268"/>
      <c r="G1158" s="269"/>
      <c r="H1158" s="269"/>
      <c r="I1158" s="270"/>
      <c r="J1158" s="210"/>
      <c r="K1158" s="270"/>
      <c r="L1158" s="270"/>
      <c r="M1158" s="39"/>
      <c r="N1158" s="39"/>
      <c r="O1158" s="156"/>
      <c r="P1158" s="47"/>
      <c r="Q1158" s="57"/>
      <c r="R1158" s="338"/>
      <c r="S1158" s="272"/>
      <c r="T1158" s="273"/>
      <c r="U1158" s="40"/>
      <c r="V1158" s="277"/>
      <c r="W1158" s="269"/>
      <c r="X1158" s="269"/>
      <c r="Y1158" s="275"/>
      <c r="Z1158" s="269"/>
      <c r="AA1158" s="57"/>
      <c r="AB1158" s="207"/>
      <c r="AC1158" s="33"/>
      <c r="AD1158" s="189"/>
      <c r="AE1158" s="54"/>
      <c r="AF1158" s="55"/>
      <c r="AG1158" s="43"/>
      <c r="AH1158" s="47"/>
      <c r="AI1158" s="30"/>
      <c r="AJ1158" s="30"/>
      <c r="AK1158" s="30"/>
      <c r="AL1158" s="30"/>
      <c r="AM1158" s="13"/>
      <c r="AN1158" s="13"/>
      <c r="AO1158" s="13"/>
      <c r="AP1158" s="13"/>
      <c r="AQ1158" s="13"/>
      <c r="AR1158" s="14"/>
      <c r="AS1158" s="15"/>
    </row>
    <row r="1159" spans="1:45" s="17" customFormat="1" ht="30.75" hidden="1" customHeight="1" x14ac:dyDescent="0.2">
      <c r="A1159" s="37"/>
      <c r="B1159" s="38"/>
      <c r="C1159" s="45"/>
      <c r="D1159" s="31">
        <v>3727591</v>
      </c>
      <c r="E1159" s="31">
        <v>4141023</v>
      </c>
      <c r="F1159" s="268" t="str">
        <f>IF(D1159="","",VLOOKUP(D1159,契約台帳!$A$3:$K$4986,6,FALSE)&amp;VLOOKUP(D1159,契約台帳!$A$3:$K$4986,7,FALSE)&amp;VLOOKUP(D1159,契約台帳!$A$3:$K$4986,8,FALSE)&amp;VLOOKUP(D1159,契約台帳!$A$3:$K$4986,9,FALSE)&amp;VLOOKUP(D1159,契約台帳!$A$3:$K$4986,11,FALSE))</f>
        <v>3SNMCLBWCB</v>
      </c>
      <c r="G1159" s="269" t="str">
        <f>IF(D1159="","",VLOOKUP(F1159,製品マスタ!$G$5:$H$5002,2,FALSE))</f>
        <v>S</v>
      </c>
      <c r="H1159" s="269" t="str">
        <f>IF(D1159="","",VLOOKUP(F1159,製品マスタ!$G$5:$K$5002,5,FALSE))</f>
        <v>WCB</v>
      </c>
      <c r="I1159" s="270" t="str">
        <f>IF(D1159="","",VLOOKUP(F1159,製品マスタ!$G$5:$L$5002,6,FALSE))</f>
        <v>メタルミー　ホワイトコート　（Ｂ）</v>
      </c>
      <c r="J1159" s="210" t="s">
        <v>463</v>
      </c>
      <c r="K1159" s="270">
        <f>IF(D1159="","",VLOOKUP(D1159,契約台帳!$A$3:$L$4986,12,FALSE))</f>
        <v>50</v>
      </c>
      <c r="L1159" s="270" t="str">
        <f>IF(D1159="","",INDEX(製品マスタ!$Q$5:$Q$5002,MATCH('S4'!F1159&amp;'S4'!K1159,製品マスタ!$AO$5:$AO$5002,0)))</f>
        <v>T62M</v>
      </c>
      <c r="M1159" s="39">
        <v>1195</v>
      </c>
      <c r="N1159" s="39">
        <v>6100</v>
      </c>
      <c r="O1159" s="156">
        <v>1</v>
      </c>
      <c r="P1159" s="47">
        <v>1</v>
      </c>
      <c r="Q1159" s="57"/>
      <c r="R1159" s="271">
        <f ca="1">IF(D1159="","",IF(OFFSET(D1159,-1,0)&lt;&gt;"","",IF(OR(J1159="リード付け",J1159="巻足し",J1159="巻返しリード付け"),M1159,VLOOKUP(D1159,契約台帳!$A$3:$N$4986,14,FALSE))))</f>
        <v>1120</v>
      </c>
      <c r="S1159" s="272">
        <f ca="1">IF(D1159="","",IF(OFFSET(D1159,-1,0)&lt;&gt;"","",IF(OR(J1159="リード付け",J1159="巻足し",J1159="巻返しリード付け"),M1159,VLOOKUP(D1159,契約台帳!$A$3:$O$4986,15,FALSE))))</f>
        <v>1120</v>
      </c>
      <c r="T1159" s="273">
        <v>6000</v>
      </c>
      <c r="U1159" s="40">
        <v>1</v>
      </c>
      <c r="V1159" s="274" t="str">
        <f ca="1">IF(D1159="","",IF(OFFSET(D1159,-2,0)=D1159,"",VLOOKUP(D1159,契約台帳!$A$3:$R$4986,18,FALSE)))</f>
        <v/>
      </c>
      <c r="W1159" s="269" t="str">
        <f ca="1">IF(D1159="","",IF(T1159="","",IF(OR(J1159="巻足し",J1159="巻返しリード付け"),"",IF(J1159="巻返し",VLOOKUP(F1159&amp;K1159&amp;M1159,製品マスタ!$M$5:$AD$5002,18,FALSE),IF(OR(J1159="リード付け",J1159="巻返しリード付け"),"原反コア",IF(J1159="スリット",VLOOKUP(F1159&amp;K1159&amp;R1159,製品マスタ!$N$5:$AD$5002,17,FALSE),""))))))</f>
        <v>6ｲﾝﾁSｺｱ</v>
      </c>
      <c r="X1159" s="269">
        <f ca="1">IF(D1159="","",IF(T1159="","",IF(J1159="巻足し","",IF(J1159="巻返し",VLOOKUP(F1159&amp;K1159&amp;M1159,製品マスタ!$M$5:$AE$5002,19,FALSE),IF(OR(J1159="リード付け",J1159="巻返しリード付け"),"",IF(J1159="スリット",VLOOKUP(F1159&amp;K1159&amp;R1159,製品マスタ!$N$5:$AE$5002,18,FALSE),""))))))</f>
        <v>1140</v>
      </c>
      <c r="Y1159" s="275">
        <f>IF(D1159="","",IF(T1159="","",VLOOKUP(D1159,契約台帳!$A$3:$Q$4986,17,FALSE)))</f>
        <v>2</v>
      </c>
      <c r="Z1159" s="269" t="str">
        <f>IF(D1159="","",IF(T1159="","",VLOOKUP(D1159,契約台帳!$A$3:$E$4986,5,FALSE)))</f>
        <v xml:space="preserve">新タック化成㈱      </v>
      </c>
      <c r="AA1159" s="57"/>
      <c r="AB1159" s="207" t="str">
        <f>IFERROR((VLOOKUP(F1159&amp;K1159&amp;M1159,製品マスタ!$M$5:$AM$5002,27,FALSE)),"")</f>
        <v/>
      </c>
      <c r="AC1159" s="33"/>
      <c r="AD1159" s="189"/>
      <c r="AE1159" s="54"/>
      <c r="AF1159" s="55"/>
      <c r="AG1159" s="43"/>
      <c r="AH1159" s="47"/>
      <c r="AI1159" s="30"/>
      <c r="AJ1159" s="30"/>
      <c r="AK1159" s="30"/>
      <c r="AL1159" s="30"/>
      <c r="AM1159" s="13"/>
      <c r="AN1159" s="13"/>
      <c r="AO1159" s="13"/>
      <c r="AP1159" s="13"/>
      <c r="AQ1159" s="13"/>
      <c r="AR1159" s="14"/>
      <c r="AS1159" s="15"/>
    </row>
    <row r="1160" spans="1:45" s="17" customFormat="1" ht="30.95" hidden="1" customHeight="1" x14ac:dyDescent="0.2">
      <c r="A1160" s="37"/>
      <c r="B1160" s="38"/>
      <c r="C1160" s="45"/>
      <c r="D1160" s="31"/>
      <c r="E1160" s="31"/>
      <c r="F1160" s="268"/>
      <c r="G1160" s="269"/>
      <c r="H1160" s="269"/>
      <c r="I1160" s="270"/>
      <c r="J1160" s="210"/>
      <c r="K1160" s="270"/>
      <c r="L1160" s="270"/>
      <c r="M1160" s="39"/>
      <c r="N1160" s="39"/>
      <c r="O1160" s="156"/>
      <c r="P1160" s="47"/>
      <c r="Q1160" s="57"/>
      <c r="R1160" s="338"/>
      <c r="S1160" s="272"/>
      <c r="T1160" s="273"/>
      <c r="U1160" s="40"/>
      <c r="V1160" s="277"/>
      <c r="W1160" s="269"/>
      <c r="X1160" s="269"/>
      <c r="Y1160" s="275"/>
      <c r="Z1160" s="269"/>
      <c r="AA1160" s="57"/>
      <c r="AB1160" s="207"/>
      <c r="AC1160" s="33"/>
      <c r="AD1160" s="189"/>
      <c r="AE1160" s="54"/>
      <c r="AF1160" s="55"/>
      <c r="AG1160" s="43"/>
      <c r="AH1160" s="47"/>
      <c r="AI1160" s="30"/>
      <c r="AJ1160" s="30"/>
      <c r="AK1160" s="30"/>
      <c r="AL1160" s="30"/>
      <c r="AM1160" s="13"/>
      <c r="AN1160" s="13"/>
      <c r="AO1160" s="13"/>
      <c r="AP1160" s="13"/>
      <c r="AQ1160" s="13"/>
      <c r="AR1160" s="14"/>
      <c r="AS1160" s="15"/>
    </row>
    <row r="1161" spans="1:45" s="17" customFormat="1" ht="30.75" hidden="1" customHeight="1" x14ac:dyDescent="0.2">
      <c r="A1161" s="37" t="s">
        <v>600</v>
      </c>
      <c r="B1161" s="38" t="s">
        <v>688</v>
      </c>
      <c r="C1161" s="45"/>
      <c r="D1161" s="31">
        <v>3727601</v>
      </c>
      <c r="E1161" s="31">
        <v>4141027</v>
      </c>
      <c r="F1161" s="268" t="str">
        <f>IF(D1161="","",VLOOKUP(D1161,契約台帳!$A$3:$K$4986,6,FALSE)&amp;VLOOKUP(D1161,契約台帳!$A$3:$K$4986,7,FALSE)&amp;VLOOKUP(D1161,契約台帳!$A$3:$K$4986,8,FALSE)&amp;VLOOKUP(D1161,契約台帳!$A$3:$K$4986,9,FALSE)&amp;VLOOKUP(D1161,契約台帳!$A$3:$K$4986,11,FALSE))</f>
        <v>3SNMLBMNNGKBF</v>
      </c>
      <c r="G1161" s="269" t="str">
        <f>IF(D1161="","",VLOOKUP(F1161,製品マスタ!$G$5:$H$5002,2,FALSE))</f>
        <v>S</v>
      </c>
      <c r="H1161" s="269" t="str">
        <f>IF(D1161="","",VLOOKUP(F1161,製品マスタ!$G$5:$K$5002,5,FALSE))</f>
        <v>MNNGKBF</v>
      </c>
      <c r="I1161" s="270" t="str">
        <f>IF(D1161="","",VLOOKUP(F1161,製品マスタ!$G$5:$L$5002,6,FALSE))</f>
        <v>メタルミー　ニューネーマー銀消　Ｂ</v>
      </c>
      <c r="J1161" s="210" t="s">
        <v>447</v>
      </c>
      <c r="K1161" s="270">
        <f>IF(D1161="","",VLOOKUP(D1161,契約台帳!$A$3:$L$4986,12,FALSE))</f>
        <v>50</v>
      </c>
      <c r="L1161" s="270" t="str">
        <f>IF(D1161="","",INDEX(製品マスタ!$Q$5:$Q$5002,MATCH('S4'!F1161&amp;'S4'!K1161,製品マスタ!$AO$5:$AO$5002,0)))</f>
        <v>X44</v>
      </c>
      <c r="M1161" s="39">
        <v>1000</v>
      </c>
      <c r="N1161" s="39">
        <v>12000</v>
      </c>
      <c r="O1161" s="156">
        <v>5</v>
      </c>
      <c r="P1161" s="47">
        <v>5</v>
      </c>
      <c r="Q1161" s="57"/>
      <c r="R1161" s="271">
        <f ca="1">IF(D1161="","",IF(OFFSET(D1161,-1,0)&lt;&gt;"","",IF(OR(J1161="リード付け",J1161="巻足し",J1161="巻返しリード付け"),M1161,VLOOKUP(D1161,契約台帳!$A$3:$N$4986,14,FALSE))))</f>
        <v>1000</v>
      </c>
      <c r="S1161" s="272">
        <f ca="1">IF(D1161="","",IF(OFFSET(D1161,-1,0)&lt;&gt;"","",IF(OR(J1161="リード付け",J1161="巻足し",J1161="巻返しリード付け"),M1161,VLOOKUP(D1161,契約台帳!$A$3:$O$4986,15,FALSE))))</f>
        <v>1000</v>
      </c>
      <c r="T1161" s="273">
        <f ca="1">IF(D1161="","",IF(J1161="リード付け",N1161,IF(J1161="巻返しリード付け",N1161,IF(J1161="巻足し",N1161*P1161+OFFSET(N1161,1,0)*OFFSET(P1161,1,0),VLOOKUP(D1161,契約台帳!$A$3:$P$4986,16,FALSE)))))</f>
        <v>4000</v>
      </c>
      <c r="U1161" s="40">
        <v>15</v>
      </c>
      <c r="V1161" s="274">
        <f ca="1">IF(D1161="","",IF(OFFSET(D1161,-2,0)=D1161,"",VLOOKUP(D1161,契約台帳!$A$3:$R$4986,18,FALSE)))</f>
        <v>15</v>
      </c>
      <c r="W1161" s="269" t="str">
        <f ca="1">IF(D1161="","",IF(T1161="","",IF(OR(J1161="巻足し",J1161="巻返しリード付け"),"",IF(J1161="巻返し",VLOOKUP(F1161&amp;K1161&amp;M1161,製品マスタ!$M$5:$AD$5002,18,FALSE),IF(OR(J1161="リード付け",J1161="巻返しリード付け"),"原反コア",IF(J1161="スリット",VLOOKUP(F1161&amp;K1161&amp;R1161,製品マスタ!$N$5:$AD$5002,17,FALSE),""))))))</f>
        <v>6ｲﾝﾁSｺｱ</v>
      </c>
      <c r="X1161" s="269">
        <f ca="1">IF(D1161="","",IF(T1161="","",IF(J1161="巻足し","",IF(J1161="巻返し",VLOOKUP(F1161&amp;K1161&amp;M1161,製品マスタ!$M$5:$AE$5002,19,FALSE),IF(OR(J1161="リード付け",J1161="巻返しリード付け"),"",IF(J1161="スリット",VLOOKUP(F1161&amp;K1161&amp;R1161,製品マスタ!$N$5:$AE$5002,18,FALSE),""))))))</f>
        <v>1005</v>
      </c>
      <c r="Y1161" s="275">
        <f ca="1">IF(D1161="","",IF(T1161="","",VLOOKUP(D1161,契約台帳!$A$3:$Q$4986,17,FALSE)))</f>
        <v>2</v>
      </c>
      <c r="Z1161" s="269" t="str">
        <f ca="1">IF(D1161="","",IF(T1161="","",VLOOKUP(D1161,契約台帳!$A$3:$E$4986,5,FALSE)))</f>
        <v xml:space="preserve">リンテック㈱        </v>
      </c>
      <c r="AA1161" s="57"/>
      <c r="AB1161" s="207"/>
      <c r="AC1161" s="33"/>
      <c r="AD1161" s="189"/>
      <c r="AE1161" s="54" t="str">
        <f>IF(F1161="","",+F1161&amp;K1161)</f>
        <v>3SNMLBMNNGKBF50</v>
      </c>
      <c r="AF1161" s="55">
        <f>+M1161*N1161*O1161/1000</f>
        <v>60000</v>
      </c>
      <c r="AG1161" s="43">
        <f>IF(AE1161="","",VLOOKUP(AE1161,原価マスタ!$A$2:$AJ$1693,13,FALSE))</f>
        <v>99</v>
      </c>
      <c r="AH1161" s="47">
        <f>IF(AG1161="","",+AF1161*AG1161/100)</f>
        <v>59400</v>
      </c>
      <c r="AI1161" s="30"/>
      <c r="AJ1161" s="30"/>
      <c r="AK1161" s="30"/>
      <c r="AL1161" s="30"/>
      <c r="AM1161" s="13"/>
      <c r="AN1161" s="13"/>
      <c r="AO1161" s="13"/>
      <c r="AP1161" s="13"/>
      <c r="AQ1161" s="13"/>
      <c r="AR1161" s="14"/>
      <c r="AS1161" s="15"/>
    </row>
    <row r="1162" spans="1:45" s="17" customFormat="1" ht="30.95" hidden="1" customHeight="1" x14ac:dyDescent="0.2">
      <c r="A1162" s="37"/>
      <c r="B1162" s="38"/>
      <c r="C1162" s="45"/>
      <c r="D1162" s="31"/>
      <c r="E1162" s="31"/>
      <c r="F1162" s="268"/>
      <c r="G1162" s="269"/>
      <c r="H1162" s="269"/>
      <c r="I1162" s="270"/>
      <c r="J1162" s="210"/>
      <c r="K1162" s="270"/>
      <c r="L1162" s="270"/>
      <c r="M1162" s="39"/>
      <c r="N1162" s="39"/>
      <c r="O1162" s="156"/>
      <c r="P1162" s="47"/>
      <c r="Q1162" s="57"/>
      <c r="R1162" s="338"/>
      <c r="S1162" s="272"/>
      <c r="T1162" s="273"/>
      <c r="U1162" s="40"/>
      <c r="V1162" s="277"/>
      <c r="W1162" s="269"/>
      <c r="X1162" s="269"/>
      <c r="Y1162" s="275"/>
      <c r="Z1162" s="269"/>
      <c r="AA1162" s="57"/>
      <c r="AB1162" s="207"/>
      <c r="AC1162" s="33"/>
      <c r="AD1162" s="189"/>
      <c r="AE1162" s="54"/>
      <c r="AF1162" s="55"/>
      <c r="AG1162" s="43"/>
      <c r="AH1162" s="47"/>
      <c r="AI1162" s="30"/>
      <c r="AJ1162" s="30"/>
      <c r="AK1162" s="30"/>
      <c r="AL1162" s="30"/>
      <c r="AM1162" s="13"/>
      <c r="AN1162" s="13"/>
      <c r="AO1162" s="13"/>
      <c r="AP1162" s="13"/>
      <c r="AQ1162" s="13"/>
      <c r="AR1162" s="14"/>
      <c r="AS1162" s="15"/>
    </row>
    <row r="1163" spans="1:45" s="17" customFormat="1" ht="30.95" hidden="1" customHeight="1" x14ac:dyDescent="0.2">
      <c r="A1163" s="37" t="s">
        <v>1633</v>
      </c>
      <c r="B1163" s="38" t="s">
        <v>1630</v>
      </c>
      <c r="C1163" s="45"/>
      <c r="D1163" s="31">
        <v>3723621</v>
      </c>
      <c r="E1163" s="31">
        <v>4141010</v>
      </c>
      <c r="F1163" s="268" t="str">
        <f>IF(D1163="","",VLOOKUP(D1163,契約台帳!$A$3:$K$4986,6,FALSE)&amp;VLOOKUP(D1163,契約台帳!$A$3:$K$4986,7,FALSE)&amp;VLOOKUP(D1163,契約台帳!$A$3:$K$4986,8,FALSE)&amp;VLOOKUP(D1163,契約台帳!$A$3:$K$4986,9,FALSE)&amp;VLOOKUP(D1163,契約台帳!$A$3:$K$4986,11,FALSE))</f>
        <v>3SNMCLBMSNEYK</v>
      </c>
      <c r="G1163" s="269" t="str">
        <f>IF(D1163="","",VLOOKUP(F1163,製品マスタ!$G$5:$H$5002,2,FALSE))</f>
        <v>S</v>
      </c>
      <c r="H1163" s="269" t="str">
        <f>IF(D1163="","",VLOOKUP(F1163,製品マスタ!$G$5:$K$5002,5,FALSE))</f>
        <v>MSNEYK</v>
      </c>
      <c r="I1163" s="270" t="str">
        <f>IF(D1163="","",VLOOKUP(F1163,製品マスタ!$G$5:$L$5002,6,FALSE))</f>
        <v>ＭＳＮ　ＥＹＫ</v>
      </c>
      <c r="J1163" s="210" t="s">
        <v>447</v>
      </c>
      <c r="K1163" s="270">
        <f>IF(D1163="","",VLOOKUP(D1163,契約台帳!$A$3:$L$4986,12,FALSE))</f>
        <v>50</v>
      </c>
      <c r="L1163" s="270" t="str">
        <f>IF(D1163="","",INDEX(製品マスタ!$Q$5:$Q$5002,MATCH('S4'!F1163&amp;'S4'!K1163,製品マスタ!$AO$5:$AO$5002,0)))</f>
        <v>N-MAT</v>
      </c>
      <c r="M1163" s="39">
        <v>1200</v>
      </c>
      <c r="N1163" s="39">
        <v>12000</v>
      </c>
      <c r="O1163" s="156">
        <v>6</v>
      </c>
      <c r="P1163" s="47">
        <v>6</v>
      </c>
      <c r="Q1163" s="57"/>
      <c r="R1163" s="271">
        <f ca="1">IF(D1163="","",IF(OFFSET(D1163,-1,0)&lt;&gt;"","",IF(OR(J1163="リード付け",J1163="巻足し",J1163="巻返しリード付け"),M1163,VLOOKUP(D1163,契約台帳!$A$3:$N$4986,14,FALSE))))</f>
        <v>1200</v>
      </c>
      <c r="S1163" s="272">
        <f ca="1">IF(D1163="","",IF(OFFSET(D1163,-1,0)&lt;&gt;"","",IF(OR(J1163="リード付け",J1163="巻足し",J1163="巻返しリード付け"),M1163,VLOOKUP(D1163,契約台帳!$A$3:$O$4986,15,FALSE))))</f>
        <v>1190</v>
      </c>
      <c r="T1163" s="273">
        <f ca="1">IF(D1163="","",IF(J1163="リード付け",N1163,IF(J1163="巻返しリード付け",N1163,IF(J1163="巻足し",N1163*P1163+OFFSET(N1163,1,0)*OFFSET(P1163,1,0),VLOOKUP(D1163,契約台帳!$A$3:$P$4986,16,FALSE)))))</f>
        <v>6000</v>
      </c>
      <c r="U1163" s="40">
        <v>12</v>
      </c>
      <c r="V1163" s="274">
        <f ca="1">IF(D1163="","",IF(OFFSET(D1163,-2,0)=D1163,"",VLOOKUP(D1163,契約台帳!$A$3:$R$4986,18,FALSE)))</f>
        <v>12</v>
      </c>
      <c r="W1163" s="269" t="str">
        <f ca="1">IF(D1163="","",IF(T1163="","",IF(OR(J1163="巻足し",J1163="巻返しリード付け"),"",IF(J1163="巻返し",VLOOKUP(F1163&amp;K1163&amp;M1163,製品マスタ!$M$5:$AD$5002,18,FALSE),IF(OR(J1163="リード付け",J1163="巻返しリード付け"),"原反コア",IF(J1163="スリット",VLOOKUP(F1163&amp;K1163&amp;R1163,製品マスタ!$N$5:$AD$5002,17,FALSE),""))))))</f>
        <v>6ｲﾝﾁMｺｱ</v>
      </c>
      <c r="X1163" s="269">
        <f ca="1">IF(D1163="","",IF(T1163="","",IF(J1163="巻足し","",IF(J1163="巻返し",VLOOKUP(F1163&amp;K1163&amp;M1163,製品マスタ!$M$5:$AE$5002,19,FALSE),IF(OR(J1163="リード付け",J1163="巻返しリード付け"),"",IF(J1163="スリット",VLOOKUP(F1163&amp;K1163&amp;R1163,製品マスタ!$N$5:$AE$5002,18,FALSE),""))))))</f>
        <v>1220</v>
      </c>
      <c r="Y1163" s="275">
        <f ca="1">IF(D1163="","",IF(T1163="","",VLOOKUP(D1163,契約台帳!$A$3:$Q$4986,17,FALSE)))</f>
        <v>2</v>
      </c>
      <c r="Z1163" s="269" t="str">
        <f ca="1">IF(D1163="","",IF(T1163="","",VLOOKUP(D1163,契約台帳!$A$3:$E$4986,5,FALSE)))</f>
        <v>大阪シーリング印刷㈱</v>
      </c>
      <c r="AA1163" s="57"/>
      <c r="AB1163" s="207" t="str">
        <f>IFERROR((VLOOKUP(F1163&amp;K1163&amp;M1163,製品マスタ!$M$5:$AM$5002,27,FALSE)),"")</f>
        <v>原反ケース再利用</v>
      </c>
      <c r="AC1163" s="33"/>
      <c r="AD1163" s="189"/>
      <c r="AE1163" s="54"/>
      <c r="AF1163" s="55"/>
      <c r="AG1163" s="43"/>
      <c r="AH1163" s="47"/>
      <c r="AI1163" s="30"/>
      <c r="AJ1163" s="30"/>
      <c r="AK1163" s="30"/>
      <c r="AL1163" s="30"/>
      <c r="AM1163" s="13"/>
      <c r="AN1163" s="13"/>
      <c r="AO1163" s="13"/>
      <c r="AP1163" s="13"/>
      <c r="AQ1163" s="13"/>
      <c r="AR1163" s="14"/>
      <c r="AS1163" s="15"/>
    </row>
    <row r="1164" spans="1:45" s="17" customFormat="1" ht="30.95" hidden="1" customHeight="1" x14ac:dyDescent="0.2">
      <c r="A1164" s="37"/>
      <c r="B1164" s="38"/>
      <c r="C1164" s="45"/>
      <c r="D1164" s="31"/>
      <c r="E1164" s="31"/>
      <c r="F1164" s="268"/>
      <c r="G1164" s="269"/>
      <c r="H1164" s="269"/>
      <c r="I1164" s="270"/>
      <c r="J1164" s="210"/>
      <c r="K1164" s="270"/>
      <c r="L1164" s="270"/>
      <c r="M1164" s="39"/>
      <c r="N1164" s="39"/>
      <c r="O1164" s="156"/>
      <c r="P1164" s="47"/>
      <c r="Q1164" s="57"/>
      <c r="R1164" s="338"/>
      <c r="S1164" s="272"/>
      <c r="T1164" s="273"/>
      <c r="U1164" s="40"/>
      <c r="V1164" s="277"/>
      <c r="W1164" s="269"/>
      <c r="X1164" s="269"/>
      <c r="Y1164" s="275"/>
      <c r="Z1164" s="269"/>
      <c r="AA1164" s="57"/>
      <c r="AB1164" s="207"/>
      <c r="AC1164" s="33"/>
      <c r="AD1164" s="189"/>
      <c r="AE1164" s="54"/>
      <c r="AF1164" s="55"/>
      <c r="AG1164" s="43"/>
      <c r="AH1164" s="47"/>
      <c r="AI1164" s="30"/>
      <c r="AJ1164" s="30"/>
      <c r="AK1164" s="30"/>
      <c r="AL1164" s="30"/>
      <c r="AM1164" s="13"/>
      <c r="AN1164" s="13"/>
      <c r="AO1164" s="13"/>
      <c r="AP1164" s="13"/>
      <c r="AQ1164" s="13"/>
      <c r="AR1164" s="14"/>
      <c r="AS1164" s="15"/>
    </row>
    <row r="1165" spans="1:45" s="17" customFormat="1" ht="30.95" hidden="1" customHeight="1" x14ac:dyDescent="0.2">
      <c r="A1165" s="37"/>
      <c r="B1165" s="38"/>
      <c r="C1165" s="45"/>
      <c r="D1165" s="31">
        <v>3723625</v>
      </c>
      <c r="E1165" s="31">
        <v>4141011</v>
      </c>
      <c r="F1165" s="268" t="str">
        <f>IF(D1165="","",VLOOKUP(D1165,契約台帳!$A$3:$K$4986,6,FALSE)&amp;VLOOKUP(D1165,契約台帳!$A$3:$K$4986,7,FALSE)&amp;VLOOKUP(D1165,契約台帳!$A$3:$K$4986,8,FALSE)&amp;VLOOKUP(D1165,契約台帳!$A$3:$K$4986,9,FALSE)&amp;VLOOKUP(D1165,契約台帳!$A$3:$K$4986,11,FALSE))</f>
        <v>3SNMCLBMSNEYK</v>
      </c>
      <c r="G1165" s="269" t="str">
        <f>IF(D1165="","",VLOOKUP(F1165,製品マスタ!$G$5:$H$5002,2,FALSE))</f>
        <v>S</v>
      </c>
      <c r="H1165" s="269" t="str">
        <f>IF(D1165="","",VLOOKUP(F1165,製品マスタ!$G$5:$K$5002,5,FALSE))</f>
        <v>MSNEYK</v>
      </c>
      <c r="I1165" s="270" t="str">
        <f>IF(D1165="","",VLOOKUP(F1165,製品マスタ!$G$5:$L$5002,6,FALSE))</f>
        <v>ＭＳＮ　ＥＹＫ</v>
      </c>
      <c r="J1165" s="210" t="s">
        <v>447</v>
      </c>
      <c r="K1165" s="270">
        <f>IF(D1165="","",VLOOKUP(D1165,契約台帳!$A$3:$L$4986,12,FALSE))</f>
        <v>50</v>
      </c>
      <c r="L1165" s="270" t="str">
        <f>IF(D1165="","",INDEX(製品マスタ!$Q$5:$Q$5002,MATCH('S4'!F1165&amp;'S4'!K1165,製品マスタ!$AO$5:$AO$5002,0)))</f>
        <v>N-MAT</v>
      </c>
      <c r="M1165" s="39">
        <v>1120</v>
      </c>
      <c r="N1165" s="39">
        <v>8000</v>
      </c>
      <c r="O1165" s="156">
        <v>2</v>
      </c>
      <c r="P1165" s="47">
        <v>2</v>
      </c>
      <c r="Q1165" s="57"/>
      <c r="R1165" s="271">
        <f ca="1">IF(D1165="","",IF(OFFSET(D1165,-1,0)&lt;&gt;"","",IF(OR(J1165="リード付け",J1165="巻足し",J1165="巻返しリード付け"),M1165,VLOOKUP(D1165,契約台帳!$A$3:$N$4986,14,FALSE))))</f>
        <v>1120</v>
      </c>
      <c r="S1165" s="272">
        <f ca="1">IF(D1165="","",IF(OFFSET(D1165,-1,0)&lt;&gt;"","",IF(OR(J1165="リード付け",J1165="巻足し",J1165="巻返しリード付け"),M1165,VLOOKUP(D1165,契約台帳!$A$3:$O$4986,15,FALSE))))</f>
        <v>1120</v>
      </c>
      <c r="T1165" s="273">
        <f ca="1">IF(D1165="","",IF(J1165="リード付け",N1165,IF(J1165="巻返しリード付け",N1165,IF(J1165="巻足し",N1165*P1165+OFFSET(N1165,1,0)*OFFSET(P1165,1,0),VLOOKUP(D1165,契約台帳!$A$3:$P$4986,16,FALSE)))))</f>
        <v>4000</v>
      </c>
      <c r="U1165" s="40">
        <v>4</v>
      </c>
      <c r="V1165" s="274">
        <f ca="1">IF(D1165="","",IF(OFFSET(D1165,-2,0)=D1165,"",VLOOKUP(D1165,契約台帳!$A$3:$R$4986,18,FALSE)))</f>
        <v>4</v>
      </c>
      <c r="W1165" s="269" t="str">
        <f ca="1">IF(D1165="","",IF(T1165="","",IF(OR(J1165="巻足し",J1165="巻返しリード付け"),"",IF(J1165="巻返し",VLOOKUP(F1165&amp;K1165&amp;M1165,製品マスタ!$M$5:$AD$5002,18,FALSE),IF(OR(J1165="リード付け",J1165="巻返しリード付け"),"原反コア",IF(J1165="スリット",VLOOKUP(F1165&amp;K1165&amp;R1165,製品マスタ!$N$5:$AD$5002,17,FALSE),""))))))</f>
        <v>6ｲﾝﾁMｺｱ</v>
      </c>
      <c r="X1165" s="269">
        <f ca="1">IF(D1165="","",IF(T1165="","",IF(J1165="巻足し","",IF(J1165="巻返し",VLOOKUP(F1165&amp;K1165&amp;M1165,製品マスタ!$M$5:$AE$5002,19,FALSE),IF(OR(J1165="リード付け",J1165="巻返しリード付け"),"",IF(J1165="スリット",VLOOKUP(F1165&amp;K1165&amp;R1165,製品マスタ!$N$5:$AE$5002,18,FALSE),""))))))</f>
        <v>1140</v>
      </c>
      <c r="Y1165" s="275">
        <f ca="1">IF(D1165="","",IF(T1165="","",VLOOKUP(D1165,契約台帳!$A$3:$Q$4986,17,FALSE)))</f>
        <v>2</v>
      </c>
      <c r="Z1165" s="269" t="str">
        <f ca="1">IF(D1165="","",IF(T1165="","",VLOOKUP(D1165,契約台帳!$A$3:$E$4986,5,FALSE)))</f>
        <v>新タック化成㈱</v>
      </c>
      <c r="AA1165" s="57"/>
      <c r="AB1165" s="303" t="str">
        <f>IFERROR((VLOOKUP(F1165&amp;K1165&amp;M1165,製品マスタ!$M$5:$AM$5002,27,FALSE)),"")</f>
        <v>原反ケース再利用</v>
      </c>
      <c r="AC1165" s="33"/>
      <c r="AD1165" s="189"/>
      <c r="AE1165" s="54"/>
      <c r="AF1165" s="55"/>
      <c r="AG1165" s="43"/>
      <c r="AH1165" s="47"/>
      <c r="AI1165" s="30"/>
      <c r="AJ1165" s="30"/>
      <c r="AK1165" s="30"/>
      <c r="AL1165" s="30"/>
      <c r="AM1165" s="13"/>
      <c r="AN1165" s="13"/>
      <c r="AO1165" s="13"/>
      <c r="AP1165" s="13"/>
      <c r="AQ1165" s="13"/>
      <c r="AR1165" s="14"/>
      <c r="AS1165" s="15"/>
    </row>
    <row r="1166" spans="1:45" s="17" customFormat="1" ht="30.95" hidden="1" customHeight="1" x14ac:dyDescent="0.2">
      <c r="A1166" s="37"/>
      <c r="B1166" s="38"/>
      <c r="C1166" s="45"/>
      <c r="D1166" s="31"/>
      <c r="E1166" s="31"/>
      <c r="F1166" s="268"/>
      <c r="G1166" s="269"/>
      <c r="H1166" s="269"/>
      <c r="I1166" s="270"/>
      <c r="J1166" s="210"/>
      <c r="K1166" s="270"/>
      <c r="L1166" s="270"/>
      <c r="M1166" s="39"/>
      <c r="N1166" s="39"/>
      <c r="O1166" s="156"/>
      <c r="P1166" s="47"/>
      <c r="Q1166" s="57"/>
      <c r="R1166" s="338"/>
      <c r="S1166" s="272"/>
      <c r="T1166" s="273"/>
      <c r="U1166" s="40"/>
      <c r="V1166" s="277"/>
      <c r="W1166" s="269"/>
      <c r="X1166" s="269"/>
      <c r="Y1166" s="275"/>
      <c r="Z1166" s="269"/>
      <c r="AA1166" s="57"/>
      <c r="AB1166" s="207"/>
      <c r="AC1166" s="33"/>
      <c r="AD1166" s="189"/>
      <c r="AE1166" s="54"/>
      <c r="AF1166" s="55"/>
      <c r="AG1166" s="43"/>
      <c r="AH1166" s="47"/>
      <c r="AI1166" s="30"/>
      <c r="AJ1166" s="30"/>
      <c r="AK1166" s="30"/>
      <c r="AL1166" s="30"/>
      <c r="AM1166" s="13"/>
      <c r="AN1166" s="13"/>
      <c r="AO1166" s="13"/>
      <c r="AP1166" s="13"/>
      <c r="AQ1166" s="13"/>
      <c r="AR1166" s="14"/>
      <c r="AS1166" s="15"/>
    </row>
    <row r="1167" spans="1:45" s="17" customFormat="1" ht="30.95" hidden="1" customHeight="1" x14ac:dyDescent="0.2">
      <c r="A1167" s="37" t="s">
        <v>1634</v>
      </c>
      <c r="B1167" s="38" t="s">
        <v>1620</v>
      </c>
      <c r="C1167" s="45"/>
      <c r="D1167" s="31">
        <v>3727607</v>
      </c>
      <c r="E1167" s="31">
        <v>4141020</v>
      </c>
      <c r="F1167" s="268" t="str">
        <f>IF(D1167="","",VLOOKUP(D1167,契約台帳!$A$3:$K$4986,6,FALSE)&amp;VLOOKUP(D1167,契約台帳!$A$3:$K$4986,7,FALSE)&amp;VLOOKUP(D1167,契約台帳!$A$3:$K$4986,8,FALSE)&amp;VLOOKUP(D1167,契約台帳!$A$3:$K$4986,9,FALSE)&amp;VLOOKUP(D1167,契約台帳!$A$3:$K$4986,11,FALSE))</f>
        <v>3SNMCLBDMSV</v>
      </c>
      <c r="G1167" s="269" t="str">
        <f>IF(D1167="","",VLOOKUP(F1167,製品マスタ!$G$5:$H$5002,2,FALSE))</f>
        <v>S</v>
      </c>
      <c r="H1167" s="269" t="str">
        <f>IF(D1167="","",VLOOKUP(F1167,製品マスタ!$G$5:$K$5002,5,FALSE))</f>
        <v>DMSV</v>
      </c>
      <c r="I1167" s="270" t="str">
        <f>IF(D1167="","",VLOOKUP(F1167,製品マスタ!$G$5:$L$5002,6,FALSE))</f>
        <v>ＤＭＳ　Ｖ</v>
      </c>
      <c r="J1167" s="210" t="s">
        <v>447</v>
      </c>
      <c r="K1167" s="270">
        <f>IF(D1167="","",VLOOKUP(D1167,契約台帳!$A$3:$L$4986,12,FALSE))</f>
        <v>50</v>
      </c>
      <c r="L1167" s="270" t="str">
        <f>IF(D1167="","",INDEX(製品マスタ!$Q$5:$Q$5002,MATCH('S4'!F1167&amp;'S4'!K1167,製品マスタ!$AO$5:$AO$5002,0)))</f>
        <v>X44</v>
      </c>
      <c r="M1167" s="39">
        <v>1005</v>
      </c>
      <c r="N1167" s="39">
        <v>8000</v>
      </c>
      <c r="O1167" s="156">
        <v>1</v>
      </c>
      <c r="P1167" s="47">
        <v>1</v>
      </c>
      <c r="Q1167" s="57"/>
      <c r="R1167" s="271">
        <f ca="1">IF(D1167="","",IF(OFFSET(D1167,-1,0)&lt;&gt;"","",IF(OR(J1167="リード付け",J1167="巻足し",J1167="巻返しリード付け"),M1167,VLOOKUP(D1167,契約台帳!$A$3:$N$4986,14,FALSE))))</f>
        <v>1005</v>
      </c>
      <c r="S1167" s="272">
        <f ca="1">IF(D1167="","",IF(OFFSET(D1167,-1,0)&lt;&gt;"","",IF(OR(J1167="リード付け",J1167="巻足し",J1167="巻返しリード付け"),M1167,VLOOKUP(D1167,契約台帳!$A$3:$O$4986,15,FALSE))))</f>
        <v>1000</v>
      </c>
      <c r="T1167" s="273">
        <f ca="1">IF(D1167="","",IF(J1167="リード付け",N1167,IF(J1167="巻返しリード付け",N1167,IF(J1167="巻足し",N1167*P1167+OFFSET(N1167,1,0)*OFFSET(P1167,1,0),VLOOKUP(D1167,契約台帳!$A$3:$P$4986,16,FALSE)))))</f>
        <v>2000</v>
      </c>
      <c r="U1167" s="40">
        <v>4</v>
      </c>
      <c r="V1167" s="274">
        <f ca="1">IF(D1167="","",IF(OFFSET(D1167,-2,0)=D1167,"",VLOOKUP(D1167,契約台帳!$A$3:$R$4986,18,FALSE)))</f>
        <v>4</v>
      </c>
      <c r="W1167" s="269" t="str">
        <f ca="1">IF(D1167="","",IF(T1167="","",IF(OR(J1167="巻足し",J1167="巻返しリード付け"),"",IF(J1167="巻返し",VLOOKUP(F1167&amp;K1167&amp;M1167,製品マスタ!$M$5:$AD$5002,18,FALSE),IF(OR(J1167="リード付け",J1167="巻返しリード付け"),"原反コア",IF(J1167="スリット",VLOOKUP(F1167&amp;K1167&amp;R1167,製品マスタ!$N$5:$AD$5002,17,FALSE),""))))))</f>
        <v>6ｲﾝﾁMｺｱ</v>
      </c>
      <c r="X1167" s="269">
        <f ca="1">IF(D1167="","",IF(T1167="","",IF(J1167="巻足し","",IF(J1167="巻返し",VLOOKUP(F1167&amp;K1167&amp;M1167,製品マスタ!$M$5:$AE$5002,19,FALSE),IF(OR(J1167="リード付け",J1167="巻返しリード付け"),"",IF(J1167="スリット",VLOOKUP(F1167&amp;K1167&amp;R1167,製品マスタ!$N$5:$AE$5002,18,FALSE),""))))))</f>
        <v>1020</v>
      </c>
      <c r="Y1167" s="275">
        <f ca="1">IF(D1167="","",IF(T1167="","",VLOOKUP(D1167,契約台帳!$A$3:$Q$4986,17,FALSE)))</f>
        <v>2</v>
      </c>
      <c r="Z1167" s="269" t="str">
        <f ca="1">IF(D1167="","",IF(T1167="","",VLOOKUP(D1167,契約台帳!$A$3:$E$4986,5,FALSE)))</f>
        <v xml:space="preserve">リンテック㈱        </v>
      </c>
      <c r="AA1167" s="57"/>
      <c r="AB1167" s="207">
        <f>IFERROR((VLOOKUP(F1167&amp;K1167&amp;M1167,製品マスタ!$M$5:$AM$5002,27,FALSE)),"")</f>
        <v>0</v>
      </c>
      <c r="AC1167" s="33"/>
      <c r="AD1167" s="189"/>
      <c r="AE1167" s="54"/>
      <c r="AF1167" s="55"/>
      <c r="AG1167" s="43"/>
      <c r="AH1167" s="47"/>
      <c r="AI1167" s="30"/>
      <c r="AJ1167" s="30"/>
      <c r="AK1167" s="30"/>
      <c r="AL1167" s="30"/>
      <c r="AM1167" s="13"/>
      <c r="AN1167" s="13"/>
      <c r="AO1167" s="13"/>
      <c r="AP1167" s="13"/>
      <c r="AQ1167" s="13"/>
      <c r="AR1167" s="14"/>
      <c r="AS1167" s="15"/>
    </row>
    <row r="1168" spans="1:45" s="17" customFormat="1" ht="30.95" hidden="1" customHeight="1" x14ac:dyDescent="0.2">
      <c r="A1168" s="37"/>
      <c r="B1168" s="38"/>
      <c r="C1168" s="45"/>
      <c r="D1168" s="31"/>
      <c r="E1168" s="31"/>
      <c r="F1168" s="268"/>
      <c r="G1168" s="269"/>
      <c r="H1168" s="269"/>
      <c r="I1168" s="270"/>
      <c r="J1168" s="210"/>
      <c r="K1168" s="270"/>
      <c r="L1168" s="270"/>
      <c r="M1168" s="39"/>
      <c r="N1168" s="39"/>
      <c r="O1168" s="156"/>
      <c r="P1168" s="47"/>
      <c r="Q1168" s="57"/>
      <c r="R1168" s="338"/>
      <c r="S1168" s="272"/>
      <c r="T1168" s="273"/>
      <c r="U1168" s="40"/>
      <c r="V1168" s="277"/>
      <c r="W1168" s="269"/>
      <c r="X1168" s="269"/>
      <c r="Y1168" s="275"/>
      <c r="Z1168" s="269"/>
      <c r="AA1168" s="57"/>
      <c r="AB1168" s="207"/>
      <c r="AC1168" s="33"/>
      <c r="AD1168" s="189"/>
      <c r="AE1168" s="54"/>
      <c r="AF1168" s="55"/>
      <c r="AG1168" s="43"/>
      <c r="AH1168" s="47"/>
      <c r="AI1168" s="30"/>
      <c r="AJ1168" s="30"/>
      <c r="AK1168" s="30"/>
      <c r="AL1168" s="30"/>
      <c r="AM1168" s="13"/>
      <c r="AN1168" s="13"/>
      <c r="AO1168" s="13"/>
      <c r="AP1168" s="13"/>
      <c r="AQ1168" s="13"/>
      <c r="AR1168" s="14"/>
      <c r="AS1168" s="15"/>
    </row>
    <row r="1169" spans="1:45" s="17" customFormat="1" ht="30.95" hidden="1" customHeight="1" x14ac:dyDescent="0.2">
      <c r="A1169" s="37"/>
      <c r="B1169" s="38"/>
      <c r="C1169" s="45"/>
      <c r="D1169" s="31">
        <v>3727603</v>
      </c>
      <c r="E1169" s="31">
        <v>4141019</v>
      </c>
      <c r="F1169" s="268" t="str">
        <f>IF(D1169="","",VLOOKUP(D1169,契約台帳!$A$3:$K$4986,6,FALSE)&amp;VLOOKUP(D1169,契約台帳!$A$3:$K$4986,7,FALSE)&amp;VLOOKUP(D1169,契約台帳!$A$3:$K$4986,8,FALSE)&amp;VLOOKUP(D1169,契約台帳!$A$3:$K$4986,9,FALSE)&amp;VLOOKUP(D1169,契約台帳!$A$3:$K$4986,11,FALSE))</f>
        <v>33SSNMCLBTETKFV</v>
      </c>
      <c r="G1169" s="269" t="str">
        <f>IF(D1169="","",VLOOKUP(F1169,製品マスタ!$G$5:$H$5002,2,FALSE))</f>
        <v>S</v>
      </c>
      <c r="H1169" s="269" t="str">
        <f>IF(D1169="","",VLOOKUP(F1169,製品マスタ!$G$5:$K$5002,5,FALSE))</f>
        <v>TETKFV</v>
      </c>
      <c r="I1169" s="270" t="str">
        <f>IF(D1169="","",VLOOKUP(F1169,製品マスタ!$G$5:$L$5002,6,FALSE))</f>
        <v>メタルミー　ＴＥＳ艶開封　Ｖ</v>
      </c>
      <c r="J1169" s="210" t="s">
        <v>447</v>
      </c>
      <c r="K1169" s="270">
        <f>IF(D1169="","",VLOOKUP(D1169,契約台帳!$A$3:$L$4986,12,FALSE))</f>
        <v>50</v>
      </c>
      <c r="L1169" s="270" t="str">
        <f>IF(D1169="","",INDEX(製品マスタ!$Q$5:$Q$5002,MATCH('S4'!F1169&amp;'S4'!K1169,製品マスタ!$AO$5:$AO$5002,0)))</f>
        <v>S28SEPA</v>
      </c>
      <c r="M1169" s="39">
        <v>1005</v>
      </c>
      <c r="N1169" s="39">
        <v>8200</v>
      </c>
      <c r="O1169" s="156">
        <v>1</v>
      </c>
      <c r="P1169" s="47">
        <v>1</v>
      </c>
      <c r="Q1169" s="57"/>
      <c r="R1169" s="271">
        <f ca="1">IF(D1169="","",IF(OFFSET(D1169,-1,0)&lt;&gt;"","",IF(OR(J1169="リード付け",J1169="巻足し",J1169="巻返しリード付け"),M1169,VLOOKUP(D1169,契約台帳!$A$3:$N$4986,14,FALSE))))</f>
        <v>1005</v>
      </c>
      <c r="S1169" s="272">
        <f ca="1">IF(D1169="","",IF(OFFSET(D1169,-1,0)&lt;&gt;"","",IF(OR(J1169="リード付け",J1169="巻足し",J1169="巻返しリード付け"),M1169,VLOOKUP(D1169,契約台帳!$A$3:$O$4986,15,FALSE))))</f>
        <v>1000</v>
      </c>
      <c r="T1169" s="273">
        <f ca="1">IF(D1169="","",IF(J1169="リード付け",N1169,IF(J1169="巻返しリード付け",N1169,IF(J1169="巻足し",N1169*P1169+OFFSET(N1169,1,0)*OFFSET(P1169,1,0),VLOOKUP(D1169,契約台帳!$A$3:$P$4986,16,FALSE)))))</f>
        <v>4100</v>
      </c>
      <c r="U1169" s="40">
        <v>2</v>
      </c>
      <c r="V1169" s="274">
        <f ca="1">IF(D1169="","",IF(OFFSET(D1169,-2,0)=D1169,"",VLOOKUP(D1169,契約台帳!$A$3:$R$4986,18,FALSE)))</f>
        <v>2</v>
      </c>
      <c r="W1169" s="269" t="str">
        <f ca="1">IF(D1169="","",IF(T1169="","",IF(OR(J1169="巻足し",J1169="巻返しリード付け"),"",IF(J1169="巻返し",VLOOKUP(F1169&amp;K1169&amp;M1169,製品マスタ!$M$5:$AD$5002,18,FALSE),IF(OR(J1169="リード付け",J1169="巻返しリード付け"),"原反コア",IF(J1169="スリット",VLOOKUP(F1169&amp;K1169&amp;R1169,製品マスタ!$N$5:$AD$5002,17,FALSE),""))))))</f>
        <v>6ｲﾝﾁSｺｱ</v>
      </c>
      <c r="X1169" s="269">
        <f ca="1">IF(D1169="","",IF(T1169="","",IF(J1169="巻足し","",IF(J1169="巻返し",VLOOKUP(F1169&amp;K1169&amp;M1169,製品マスタ!$M$5:$AE$5002,19,FALSE),IF(OR(J1169="リード付け",J1169="巻返しリード付け"),"",IF(J1169="スリット",VLOOKUP(F1169&amp;K1169&amp;R1169,製品マスタ!$N$5:$AE$5002,18,FALSE),""))))))</f>
        <v>1015</v>
      </c>
      <c r="Y1169" s="275">
        <f ca="1">IF(D1169="","",IF(T1169="","",VLOOKUP(D1169,契約台帳!$A$3:$Q$4986,17,FALSE)))</f>
        <v>2</v>
      </c>
      <c r="Z1169" s="269" t="str">
        <f ca="1">IF(D1169="","",IF(T1169="","",VLOOKUP(D1169,契約台帳!$A$3:$E$4986,5,FALSE)))</f>
        <v xml:space="preserve">リンテック㈱        </v>
      </c>
      <c r="AA1169" s="57"/>
      <c r="AB1169" s="207"/>
      <c r="AC1169" s="33"/>
      <c r="AD1169" s="189"/>
      <c r="AE1169" s="54"/>
      <c r="AF1169" s="55"/>
      <c r="AG1169" s="43"/>
      <c r="AH1169" s="47"/>
      <c r="AI1169" s="30"/>
      <c r="AJ1169" s="30"/>
      <c r="AK1169" s="30"/>
      <c r="AL1169" s="30"/>
      <c r="AM1169" s="13"/>
      <c r="AN1169" s="13"/>
      <c r="AO1169" s="13"/>
      <c r="AP1169" s="13"/>
      <c r="AQ1169" s="13"/>
      <c r="AR1169" s="14"/>
      <c r="AS1169" s="15"/>
    </row>
    <row r="1170" spans="1:45" s="17" customFormat="1" ht="30.95" hidden="1" customHeight="1" x14ac:dyDescent="0.2">
      <c r="A1170" s="37"/>
      <c r="B1170" s="38"/>
      <c r="C1170" s="45"/>
      <c r="D1170" s="31"/>
      <c r="E1170" s="31"/>
      <c r="F1170" s="268"/>
      <c r="G1170" s="269"/>
      <c r="H1170" s="269"/>
      <c r="I1170" s="270"/>
      <c r="J1170" s="210"/>
      <c r="K1170" s="270"/>
      <c r="L1170" s="270"/>
      <c r="M1170" s="39"/>
      <c r="N1170" s="39"/>
      <c r="O1170" s="156"/>
      <c r="P1170" s="47"/>
      <c r="Q1170" s="57"/>
      <c r="R1170" s="338"/>
      <c r="S1170" s="272"/>
      <c r="T1170" s="273"/>
      <c r="U1170" s="40"/>
      <c r="V1170" s="277"/>
      <c r="W1170" s="269"/>
      <c r="X1170" s="269"/>
      <c r="Y1170" s="275"/>
      <c r="Z1170" s="269"/>
      <c r="AA1170" s="57"/>
      <c r="AB1170" s="207"/>
      <c r="AC1170" s="33"/>
      <c r="AD1170" s="189"/>
      <c r="AE1170" s="54"/>
      <c r="AF1170" s="55"/>
      <c r="AG1170" s="43"/>
      <c r="AH1170" s="47"/>
      <c r="AI1170" s="30"/>
      <c r="AJ1170" s="30"/>
      <c r="AK1170" s="30"/>
      <c r="AL1170" s="30"/>
      <c r="AM1170" s="13"/>
      <c r="AN1170" s="13"/>
      <c r="AO1170" s="13"/>
      <c r="AP1170" s="13"/>
      <c r="AQ1170" s="13"/>
      <c r="AR1170" s="14"/>
      <c r="AS1170" s="15"/>
    </row>
    <row r="1171" spans="1:45" s="17" customFormat="1" ht="30.95" hidden="1" customHeight="1" x14ac:dyDescent="0.2">
      <c r="A1171" s="37"/>
      <c r="B1171" s="38"/>
      <c r="C1171" s="45"/>
      <c r="D1171" s="31">
        <v>3727602</v>
      </c>
      <c r="E1171" s="31">
        <v>4141018</v>
      </c>
      <c r="F1171" s="268" t="str">
        <f>IF(D1171="","",VLOOKUP(D1171,契約台帳!$A$3:$K$4986,6,FALSE)&amp;VLOOKUP(D1171,契約台帳!$A$3:$K$4986,7,FALSE)&amp;VLOOKUP(D1171,契約台帳!$A$3:$K$4986,8,FALSE)&amp;VLOOKUP(D1171,契約台帳!$A$3:$K$4986,9,FALSE)&amp;VLOOKUP(D1171,契約台帳!$A$3:$K$4986,11,FALSE))</f>
        <v>33SSNMCLBTEKKFV</v>
      </c>
      <c r="G1171" s="269" t="str">
        <f>IF(D1171="","",VLOOKUP(F1171,製品マスタ!$G$5:$H$5002,2,FALSE))</f>
        <v>S</v>
      </c>
      <c r="H1171" s="269" t="str">
        <f>IF(D1171="","",VLOOKUP(F1171,製品マスタ!$G$5:$K$5002,5,FALSE))</f>
        <v>TEKKFV</v>
      </c>
      <c r="I1171" s="270" t="str">
        <f>IF(D1171="","",VLOOKUP(F1171,製品マスタ!$G$5:$L$5002,6,FALSE))</f>
        <v>メタルミー　ＴＥＳ消開封　Ｖ</v>
      </c>
      <c r="J1171" s="210" t="s">
        <v>447</v>
      </c>
      <c r="K1171" s="270">
        <f>IF(D1171="","",VLOOKUP(D1171,契約台帳!$A$3:$L$4986,12,FALSE))</f>
        <v>50</v>
      </c>
      <c r="L1171" s="270" t="str">
        <f>IF(D1171="","",INDEX(製品マスタ!$Q$5:$Q$5002,MATCH('S4'!F1171&amp;'S4'!K1171,製品マスタ!$AO$5:$AO$5002,0)))</f>
        <v>X44SEPA</v>
      </c>
      <c r="M1171" s="39">
        <v>1005</v>
      </c>
      <c r="N1171" s="39">
        <v>8000</v>
      </c>
      <c r="O1171" s="156">
        <v>1</v>
      </c>
      <c r="P1171" s="47">
        <v>1</v>
      </c>
      <c r="Q1171" s="57"/>
      <c r="R1171" s="271">
        <f ca="1">IF(D1171="","",IF(OFFSET(D1171,-1,0)&lt;&gt;"","",IF(OR(J1171="リード付け",J1171="巻足し",J1171="巻返しリード付け"),M1171,VLOOKUP(D1171,契約台帳!$A$3:$N$4986,14,FALSE))))</f>
        <v>1005</v>
      </c>
      <c r="S1171" s="272">
        <f ca="1">IF(D1171="","",IF(OFFSET(D1171,-1,0)&lt;&gt;"","",IF(OR(J1171="リード付け",J1171="巻足し",J1171="巻返しリード付け"),M1171,VLOOKUP(D1171,契約台帳!$A$3:$O$4986,15,FALSE))))</f>
        <v>1000</v>
      </c>
      <c r="T1171" s="273">
        <f ca="1">IF(D1171="","",IF(J1171="リード付け",N1171,IF(J1171="巻返しリード付け",N1171,IF(J1171="巻足し",N1171*P1171+OFFSET(N1171,1,0)*OFFSET(P1171,1,0),VLOOKUP(D1171,契約台帳!$A$3:$P$4986,16,FALSE)))))</f>
        <v>4000</v>
      </c>
      <c r="U1171" s="40">
        <v>2</v>
      </c>
      <c r="V1171" s="274">
        <f ca="1">IF(D1171="","",IF(OFFSET(D1171,-2,0)=D1171,"",VLOOKUP(D1171,契約台帳!$A$3:$R$4986,18,FALSE)))</f>
        <v>2</v>
      </c>
      <c r="W1171" s="269" t="str">
        <f ca="1">IF(D1171="","",IF(T1171="","",IF(OR(J1171="巻足し",J1171="巻返しリード付け"),"",IF(J1171="巻返し",VLOOKUP(F1171&amp;K1171&amp;M1171,製品マスタ!$M$5:$AD$5002,18,FALSE),IF(OR(J1171="リード付け",J1171="巻返しリード付け"),"原反コア",IF(J1171="スリット",VLOOKUP(F1171&amp;K1171&amp;R1171,製品マスタ!$N$5:$AD$5002,17,FALSE),""))))))</f>
        <v>6ｲﾝﾁSｺｱ</v>
      </c>
      <c r="X1171" s="269">
        <f ca="1">IF(D1171="","",IF(T1171="","",IF(J1171="巻足し","",IF(J1171="巻返し",VLOOKUP(F1171&amp;K1171&amp;M1171,製品マスタ!$M$5:$AE$5002,19,FALSE),IF(OR(J1171="リード付け",J1171="巻返しリード付け"),"",IF(J1171="スリット",VLOOKUP(F1171&amp;K1171&amp;R1171,製品マスタ!$N$5:$AE$5002,18,FALSE),""))))))</f>
        <v>1015</v>
      </c>
      <c r="Y1171" s="275">
        <f ca="1">IF(D1171="","",IF(T1171="","",VLOOKUP(D1171,契約台帳!$A$3:$Q$4986,17,FALSE)))</f>
        <v>2</v>
      </c>
      <c r="Z1171" s="269" t="str">
        <f ca="1">IF(D1171="","",IF(T1171="","",VLOOKUP(D1171,契約台帳!$A$3:$E$4986,5,FALSE)))</f>
        <v xml:space="preserve">リンテック㈱        </v>
      </c>
      <c r="AA1171" s="57"/>
      <c r="AB1171" s="207"/>
      <c r="AC1171" s="33"/>
      <c r="AD1171" s="189"/>
      <c r="AE1171" s="54"/>
      <c r="AF1171" s="55"/>
      <c r="AG1171" s="43"/>
      <c r="AH1171" s="47"/>
      <c r="AI1171" s="30"/>
      <c r="AJ1171" s="30"/>
      <c r="AK1171" s="30"/>
      <c r="AL1171" s="30"/>
      <c r="AM1171" s="13"/>
      <c r="AN1171" s="13"/>
      <c r="AO1171" s="13"/>
      <c r="AP1171" s="13"/>
      <c r="AQ1171" s="13"/>
      <c r="AR1171" s="14"/>
      <c r="AS1171" s="15"/>
    </row>
    <row r="1172" spans="1:45" s="17" customFormat="1" ht="30.95" hidden="1" customHeight="1" x14ac:dyDescent="0.2">
      <c r="A1172" s="37"/>
      <c r="B1172" s="38"/>
      <c r="C1172" s="45"/>
      <c r="D1172" s="31"/>
      <c r="E1172" s="31"/>
      <c r="F1172" s="268"/>
      <c r="G1172" s="269"/>
      <c r="H1172" s="269"/>
      <c r="I1172" s="270"/>
      <c r="J1172" s="210"/>
      <c r="K1172" s="270"/>
      <c r="L1172" s="270"/>
      <c r="M1172" s="39"/>
      <c r="N1172" s="39"/>
      <c r="O1172" s="156"/>
      <c r="P1172" s="47"/>
      <c r="Q1172" s="57"/>
      <c r="R1172" s="338"/>
      <c r="S1172" s="272"/>
      <c r="T1172" s="273"/>
      <c r="U1172" s="40"/>
      <c r="V1172" s="277"/>
      <c r="W1172" s="269"/>
      <c r="X1172" s="269"/>
      <c r="Y1172" s="275"/>
      <c r="Z1172" s="269"/>
      <c r="AA1172" s="57"/>
      <c r="AB1172" s="207"/>
      <c r="AC1172" s="33"/>
      <c r="AD1172" s="189"/>
      <c r="AE1172" s="54"/>
      <c r="AF1172" s="55"/>
      <c r="AG1172" s="43"/>
      <c r="AH1172" s="47"/>
      <c r="AI1172" s="30"/>
      <c r="AJ1172" s="30"/>
      <c r="AK1172" s="30"/>
      <c r="AL1172" s="30"/>
      <c r="AM1172" s="13"/>
      <c r="AN1172" s="13"/>
      <c r="AO1172" s="13"/>
      <c r="AP1172" s="13"/>
      <c r="AQ1172" s="13"/>
      <c r="AR1172" s="14"/>
      <c r="AS1172" s="15"/>
    </row>
    <row r="1173" spans="1:45" s="17" customFormat="1" ht="30.95" hidden="1" customHeight="1" x14ac:dyDescent="0.2">
      <c r="A1173" s="37"/>
      <c r="B1173" s="38"/>
      <c r="C1173" s="45"/>
      <c r="D1173" s="31">
        <v>3727984</v>
      </c>
      <c r="E1173" s="31">
        <v>4141030</v>
      </c>
      <c r="F1173" s="268" t="str">
        <f>IF(D1173="","",VLOOKUP(D1173,契約台帳!$A$3:$K$4986,6,FALSE)&amp;VLOOKUP(D1173,契約台帳!$A$3:$K$4986,7,FALSE)&amp;VLOOKUP(D1173,契約台帳!$A$3:$K$4986,8,FALSE)&amp;VLOOKUP(D1173,契約台帳!$A$3:$K$4986,9,FALSE)&amp;VLOOKUP(D1173,契約台帳!$A$3:$K$4986,11,FALSE))</f>
        <v>3TNMCLBHLKTV</v>
      </c>
      <c r="G1173" s="269" t="str">
        <f>IF(D1173="","",VLOOKUP(F1173,製品マスタ!$G$5:$H$5002,2,FALSE))</f>
        <v>T</v>
      </c>
      <c r="H1173" s="269" t="str">
        <f>IF(D1173="","",VLOOKUP(F1173,製品マスタ!$G$5:$K$5002,5,FALSE))</f>
        <v>HLKTV</v>
      </c>
      <c r="I1173" s="270" t="str">
        <f>IF(D1173="","",VLOOKUP(F1173,製品マスタ!$G$5:$L$5002,6,FALSE))</f>
        <v>メタルミー　ヘヤライン金艶　Ｖ</v>
      </c>
      <c r="J1173" s="210" t="s">
        <v>447</v>
      </c>
      <c r="K1173" s="270">
        <f>IF(D1173="","",VLOOKUP(D1173,契約台帳!$A$3:$L$4986,12,FALSE))</f>
        <v>50</v>
      </c>
      <c r="L1173" s="270" t="str">
        <f>IF(D1173="","",INDEX(製品マスタ!$Q$5:$Q$5002,MATCH('S4'!F1173&amp;'S4'!K1173,製品マスタ!$AO$5:$AO$5002,0)))</f>
        <v>HL50/EC</v>
      </c>
      <c r="M1173" s="39">
        <v>1030</v>
      </c>
      <c r="N1173" s="39">
        <v>4000</v>
      </c>
      <c r="O1173" s="156">
        <v>2</v>
      </c>
      <c r="P1173" s="47">
        <v>2</v>
      </c>
      <c r="Q1173" s="57"/>
      <c r="R1173" s="271">
        <f ca="1">IF(D1173="","",IF(OFFSET(D1173,-1,0)&lt;&gt;"","",IF(OR(J1173="リード付け",J1173="巻足し",J1173="巻返しリード付け"),M1173,VLOOKUP(D1173,契約台帳!$A$3:$N$4986,14,FALSE))))</f>
        <v>1000</v>
      </c>
      <c r="S1173" s="272">
        <f ca="1">IF(D1173="","",IF(OFFSET(D1173,-1,0)&lt;&gt;"","",IF(OR(J1173="リード付け",J1173="巻足し",J1173="巻返しリード付け"),M1173,VLOOKUP(D1173,契約台帳!$A$3:$O$4986,15,FALSE))))</f>
        <v>1000</v>
      </c>
      <c r="T1173" s="273">
        <f ca="1">IF(D1173="","",IF(J1173="リード付け",N1173,IF(J1173="巻返しリード付け",N1173,IF(J1173="巻足し",N1173*P1173+OFFSET(N1173,1,0)*OFFSET(P1173,1,0),VLOOKUP(D1173,契約台帳!$A$3:$P$4986,16,FALSE)))))</f>
        <v>2000</v>
      </c>
      <c r="U1173" s="40">
        <v>4</v>
      </c>
      <c r="V1173" s="274">
        <f ca="1">IF(D1173="","",IF(OFFSET(D1173,-2,0)=D1173,"",VLOOKUP(D1173,契約台帳!$A$3:$R$4986,18,FALSE)))</f>
        <v>4</v>
      </c>
      <c r="W1173" s="269" t="str">
        <f ca="1">IF(D1173="","",IF(T1173="","",IF(OR(J1173="巻足し",J1173="巻返しリード付け"),"",IF(J1173="巻返し",VLOOKUP(F1173&amp;K1173&amp;M1173,製品マスタ!$M$5:$AD$5002,18,FALSE),IF(OR(J1173="リード付け",J1173="巻返しリード付け"),"原反コア",IF(J1173="スリット",VLOOKUP(F1173&amp;K1173&amp;R1173,製品マスタ!$N$5:$AD$5002,17,FALSE),""))))))</f>
        <v>6ｲﾝﾁSｺｱ</v>
      </c>
      <c r="X1173" s="269">
        <f ca="1">IF(D1173="","",IF(T1173="","",IF(J1173="巻足し","",IF(J1173="巻返し",VLOOKUP(F1173&amp;K1173&amp;M1173,製品マスタ!$M$5:$AE$5002,19,FALSE),IF(OR(J1173="リード付け",J1173="巻返しリード付け"),"",IF(J1173="スリット",VLOOKUP(F1173&amp;K1173&amp;R1173,製品マスタ!$N$5:$AE$5002,18,FALSE),""))))))</f>
        <v>1015</v>
      </c>
      <c r="Y1173" s="275">
        <f ca="1">IF(D1173="","",IF(T1173="","",VLOOKUP(D1173,契約台帳!$A$3:$Q$4986,17,FALSE)))</f>
        <v>2</v>
      </c>
      <c r="Z1173" s="269" t="str">
        <f ca="1">IF(D1173="","",IF(T1173="","",VLOOKUP(D1173,契約台帳!$A$3:$E$4986,5,FALSE)))</f>
        <v xml:space="preserve">リンテック㈱        </v>
      </c>
      <c r="AA1173" s="57"/>
      <c r="AB1173" s="207" t="s">
        <v>774</v>
      </c>
      <c r="AC1173" s="33"/>
      <c r="AD1173" s="189"/>
      <c r="AE1173" s="54"/>
      <c r="AF1173" s="55"/>
      <c r="AG1173" s="43"/>
      <c r="AH1173" s="47"/>
      <c r="AI1173" s="30"/>
      <c r="AJ1173" s="30"/>
      <c r="AK1173" s="30"/>
      <c r="AL1173" s="30"/>
      <c r="AM1173" s="13"/>
      <c r="AN1173" s="13"/>
      <c r="AO1173" s="13"/>
      <c r="AP1173" s="13"/>
      <c r="AQ1173" s="13"/>
      <c r="AR1173" s="14"/>
      <c r="AS1173" s="15"/>
    </row>
    <row r="1174" spans="1:45" s="17" customFormat="1" ht="30.95" hidden="1" customHeight="1" x14ac:dyDescent="0.2">
      <c r="A1174" s="37"/>
      <c r="B1174" s="38"/>
      <c r="C1174" s="45"/>
      <c r="D1174" s="31"/>
      <c r="E1174" s="31"/>
      <c r="F1174" s="268"/>
      <c r="G1174" s="269"/>
      <c r="H1174" s="269"/>
      <c r="I1174" s="270"/>
      <c r="J1174" s="210"/>
      <c r="K1174" s="270"/>
      <c r="L1174" s="270"/>
      <c r="M1174" s="39"/>
      <c r="N1174" s="39"/>
      <c r="O1174" s="156"/>
      <c r="P1174" s="47"/>
      <c r="Q1174" s="57"/>
      <c r="R1174" s="338"/>
      <c r="S1174" s="272"/>
      <c r="T1174" s="273"/>
      <c r="U1174" s="40"/>
      <c r="V1174" s="277"/>
      <c r="W1174" s="269"/>
      <c r="X1174" s="269"/>
      <c r="Y1174" s="275"/>
      <c r="Z1174" s="269"/>
      <c r="AA1174" s="57"/>
      <c r="AB1174" s="207"/>
      <c r="AC1174" s="33"/>
      <c r="AD1174" s="189"/>
      <c r="AE1174" s="54"/>
      <c r="AF1174" s="55"/>
      <c r="AG1174" s="43"/>
      <c r="AH1174" s="47"/>
      <c r="AI1174" s="30"/>
      <c r="AJ1174" s="30"/>
      <c r="AK1174" s="30"/>
      <c r="AL1174" s="30"/>
      <c r="AM1174" s="13"/>
      <c r="AN1174" s="13"/>
      <c r="AO1174" s="13"/>
      <c r="AP1174" s="13"/>
      <c r="AQ1174" s="13"/>
      <c r="AR1174" s="14"/>
      <c r="AS1174" s="15"/>
    </row>
    <row r="1175" spans="1:45" s="17" customFormat="1" ht="30.95" hidden="1" customHeight="1" x14ac:dyDescent="0.2">
      <c r="A1175" s="37"/>
      <c r="B1175" s="38"/>
      <c r="C1175" s="45"/>
      <c r="D1175" s="31">
        <v>3727605</v>
      </c>
      <c r="E1175" s="31">
        <v>4141025</v>
      </c>
      <c r="F1175" s="268" t="str">
        <f>IF(D1175="","",VLOOKUP(D1175,契約台帳!$A$3:$K$4986,6,FALSE)&amp;VLOOKUP(D1175,契約台帳!$A$3:$K$4986,7,FALSE)&amp;VLOOKUP(D1175,契約台帳!$A$3:$K$4986,8,FALSE)&amp;VLOOKUP(D1175,契約台帳!$A$3:$K$4986,9,FALSE)&amp;VLOOKUP(D1175,契約台帳!$A$3:$K$4986,11,FALSE))</f>
        <v>3TNMCLBHLGTV</v>
      </c>
      <c r="G1175" s="269" t="str">
        <f>IF(D1175="","",VLOOKUP(F1175,製品マスタ!$G$5:$H$5002,2,FALSE))</f>
        <v>T</v>
      </c>
      <c r="H1175" s="269" t="str">
        <f>IF(D1175="","",VLOOKUP(F1175,製品マスタ!$G$5:$K$5002,5,FALSE))</f>
        <v>HLGTV</v>
      </c>
      <c r="I1175" s="270" t="str">
        <f>IF(D1175="","",VLOOKUP(F1175,製品マスタ!$G$5:$L$5002,6,FALSE))</f>
        <v>メタルミー　ヘヤライン　銀艶Ｖ</v>
      </c>
      <c r="J1175" s="210" t="s">
        <v>447</v>
      </c>
      <c r="K1175" s="270">
        <f>IF(D1175="","",VLOOKUP(D1175,契約台帳!$A$3:$L$4986,12,FALSE))</f>
        <v>50</v>
      </c>
      <c r="L1175" s="270" t="str">
        <f>IF(D1175="","",INDEX(製品マスタ!$Q$5:$Q$5002,MATCH('S4'!F1175&amp;'S4'!K1175,製品マスタ!$AO$5:$AO$5002,0)))</f>
        <v>BRIGHT</v>
      </c>
      <c r="M1175" s="39">
        <v>1005</v>
      </c>
      <c r="N1175" s="39">
        <v>8200</v>
      </c>
      <c r="O1175" s="156">
        <v>1</v>
      </c>
      <c r="P1175" s="47">
        <v>1</v>
      </c>
      <c r="Q1175" s="57"/>
      <c r="R1175" s="271">
        <f ca="1">IF(D1175="","",IF(OFFSET(D1175,-1,0)&lt;&gt;"","",IF(OR(J1175="リード付け",J1175="巻足し",J1175="巻返しリード付け"),M1175,VLOOKUP(D1175,契約台帳!$A$3:$N$4986,14,FALSE))))</f>
        <v>1005</v>
      </c>
      <c r="S1175" s="272">
        <f ca="1">IF(D1175="","",IF(OFFSET(D1175,-1,0)&lt;&gt;"","",IF(OR(J1175="リード付け",J1175="巻足し",J1175="巻返しリード付け"),M1175,VLOOKUP(D1175,契約台帳!$A$3:$O$4986,15,FALSE))))</f>
        <v>1000</v>
      </c>
      <c r="T1175" s="273">
        <f ca="1">IF(D1175="","",IF(J1175="リード付け",N1175,IF(J1175="巻返しリード付け",N1175,IF(J1175="巻足し",N1175*P1175+OFFSET(N1175,1,0)*OFFSET(P1175,1,0),VLOOKUP(D1175,契約台帳!$A$3:$P$4986,16,FALSE)))))</f>
        <v>2000</v>
      </c>
      <c r="U1175" s="40">
        <v>2</v>
      </c>
      <c r="V1175" s="274">
        <f ca="1">IF(D1175="","",IF(OFFSET(D1175,-2,0)=D1175,"",VLOOKUP(D1175,契約台帳!$A$3:$R$4986,18,FALSE)))</f>
        <v>2</v>
      </c>
      <c r="W1175" s="269" t="str">
        <f ca="1">IF(D1175="","",IF(T1175="","",IF(OR(J1175="巻足し",J1175="巻返しリード付け"),"",IF(J1175="巻返し",VLOOKUP(F1175&amp;K1175&amp;M1175,製品マスタ!$M$5:$AD$5002,18,FALSE),IF(OR(J1175="リード付け",J1175="巻返しリード付け"),"原反コア",IF(J1175="スリット",VLOOKUP(F1175&amp;K1175&amp;R1175,製品マスタ!$N$5:$AD$5002,17,FALSE),""))))))</f>
        <v>6ｲﾝﾁSｺｱ</v>
      </c>
      <c r="X1175" s="269">
        <f ca="1">IF(D1175="","",IF(T1175="","",IF(J1175="巻足し","",IF(J1175="巻返し",VLOOKUP(F1175&amp;K1175&amp;M1175,製品マスタ!$M$5:$AE$5002,19,FALSE),IF(OR(J1175="リード付け",J1175="巻返しリード付け"),"",IF(J1175="スリット",VLOOKUP(F1175&amp;K1175&amp;R1175,製品マスタ!$N$5:$AE$5002,18,FALSE),""))))))</f>
        <v>1015</v>
      </c>
      <c r="Y1175" s="275">
        <f ca="1">IF(D1175="","",IF(T1175="","",VLOOKUP(D1175,契約台帳!$A$3:$Q$4986,17,FALSE)))</f>
        <v>2</v>
      </c>
      <c r="Z1175" s="269" t="str">
        <f ca="1">IF(D1175="","",IF(T1175="","",VLOOKUP(D1175,契約台帳!$A$3:$E$4986,5,FALSE)))</f>
        <v xml:space="preserve">リンテック㈱        </v>
      </c>
      <c r="AA1175" s="57"/>
      <c r="AB1175" s="207" t="s">
        <v>774</v>
      </c>
      <c r="AC1175" s="33"/>
      <c r="AD1175" s="189"/>
      <c r="AE1175" s="54"/>
      <c r="AF1175" s="55"/>
      <c r="AG1175" s="43"/>
      <c r="AH1175" s="47"/>
      <c r="AI1175" s="30"/>
      <c r="AJ1175" s="30"/>
      <c r="AK1175" s="30"/>
      <c r="AL1175" s="30"/>
      <c r="AM1175" s="13"/>
      <c r="AN1175" s="13"/>
      <c r="AO1175" s="13"/>
      <c r="AP1175" s="13"/>
      <c r="AQ1175" s="13"/>
      <c r="AR1175" s="14"/>
      <c r="AS1175" s="15"/>
    </row>
    <row r="1176" spans="1:45" s="17" customFormat="1" ht="30.95" hidden="1" customHeight="1" x14ac:dyDescent="0.2">
      <c r="A1176" s="37"/>
      <c r="B1176" s="38"/>
      <c r="C1176" s="45"/>
      <c r="D1176" s="31">
        <v>3727606</v>
      </c>
      <c r="E1176" s="31"/>
      <c r="F1176" s="268" t="str">
        <f>IF(D1176="","",VLOOKUP(D1176,契約台帳!$A$3:$K$4986,6,FALSE)&amp;VLOOKUP(D1176,契約台帳!$A$3:$K$4986,7,FALSE)&amp;VLOOKUP(D1176,契約台帳!$A$3:$K$4986,8,FALSE)&amp;VLOOKUP(D1176,契約台帳!$A$3:$K$4986,9,FALSE)&amp;VLOOKUP(D1176,契約台帳!$A$3:$K$4986,11,FALSE))</f>
        <v>3TNMCLBHLGTV</v>
      </c>
      <c r="G1176" s="269" t="str">
        <f>IF(D1176="","",VLOOKUP(F1176,製品マスタ!$G$5:$H$5002,2,FALSE))</f>
        <v>T</v>
      </c>
      <c r="H1176" s="269" t="str">
        <f>IF(D1176="","",VLOOKUP(F1176,製品マスタ!$G$5:$K$5002,5,FALSE))</f>
        <v>HLGTV</v>
      </c>
      <c r="I1176" s="270" t="str">
        <f>IF(D1176="","",VLOOKUP(F1176,製品マスタ!$G$5:$L$5002,6,FALSE))</f>
        <v>メタルミー　ヘヤライン　銀艶Ｖ</v>
      </c>
      <c r="J1176" s="210" t="s">
        <v>447</v>
      </c>
      <c r="K1176" s="270">
        <f>IF(D1176="","",VLOOKUP(D1176,契約台帳!$A$3:$L$4986,12,FALSE))</f>
        <v>50</v>
      </c>
      <c r="L1176" s="270" t="str">
        <f>IF(D1176="","",INDEX(製品マスタ!$Q$5:$Q$5002,MATCH('S4'!F1176&amp;'S4'!K1176,製品マスタ!$AO$5:$AO$5002,0)))</f>
        <v>BRIGHT</v>
      </c>
      <c r="M1176" s="39">
        <v>1005</v>
      </c>
      <c r="N1176" s="39"/>
      <c r="O1176" s="156"/>
      <c r="P1176" s="47"/>
      <c r="Q1176" s="57"/>
      <c r="R1176" s="271" t="str">
        <f ca="1">IF(D1176="","",IF(OFFSET(D1176,-1,0)&lt;&gt;"","",IF(OR(J1176="リード付け",J1176="巻足し",J1176="巻返しリード付け"),M1176,VLOOKUP(D1176,契約台帳!$A$3:$N$4986,14,FALSE))))</f>
        <v/>
      </c>
      <c r="S1176" s="272" t="str">
        <f ca="1">IF(D1176="","",IF(OFFSET(D1176,-1,0)&lt;&gt;"","",IF(OR(J1176="リード付け",J1176="巻足し",J1176="巻返しリード付け"),M1176,VLOOKUP(D1176,契約台帳!$A$3:$O$4986,15,FALSE))))</f>
        <v/>
      </c>
      <c r="T1176" s="273">
        <f ca="1">IF(D1176="","",IF(J1176="リード付け",N1176,IF(J1176="巻返しリード付け",N1176,IF(J1176="巻足し",N1176*P1176+OFFSET(N1176,1,0)*OFFSET(P1176,1,0),VLOOKUP(D1176,契約台帳!$A$3:$P$4986,16,FALSE)))))</f>
        <v>4100</v>
      </c>
      <c r="U1176" s="40">
        <v>1</v>
      </c>
      <c r="V1176" s="274">
        <f ca="1">IF(D1176="","",IF(OFFSET(D1176,-2,0)=D1176,"",VLOOKUP(D1176,契約台帳!$A$3:$R$4986,18,FALSE)))</f>
        <v>5</v>
      </c>
      <c r="W1176" s="269" t="str">
        <f ca="1">IF(D1176="","",IF(T1176="","",IF(OR(J1176="巻足し",J1176="巻返しリード付け"),"",IF(J1176="巻返し",VLOOKUP(F1176&amp;K1176&amp;M1176,製品マスタ!$M$5:$AD$5002,18,FALSE),IF(OR(J1176="リード付け",J1176="巻返しリード付け"),"原反コア",IF(J1176="スリット",VLOOKUP(F1176&amp;K1176&amp;R1176,製品マスタ!$N$5:$AD$5002,17,FALSE),""))))))</f>
        <v>6ｲﾝﾁSｺｱ</v>
      </c>
      <c r="X1176" s="269">
        <f ca="1">IF(D1176="","",IF(T1176="","",IF(J1176="巻足し","",IF(J1176="巻返し",VLOOKUP(F1176&amp;K1176&amp;M1176,製品マスタ!$M$5:$AE$5002,19,FALSE),IF(OR(J1176="リード付け",J1176="巻返しリード付け"),"",IF(J1176="スリット",VLOOKUP(F1176&amp;K1176&amp;R1176,製品マスタ!$N$5:$AE$5002,18,FALSE),""))))))</f>
        <v>1015</v>
      </c>
      <c r="Y1176" s="275">
        <f ca="1">IF(D1176="","",IF(T1176="","",VLOOKUP(D1176,契約台帳!$A$3:$Q$4986,17,FALSE)))</f>
        <v>2</v>
      </c>
      <c r="Z1176" s="269" t="str">
        <f ca="1">IF(D1176="","",IF(T1176="","",VLOOKUP(D1176,契約台帳!$A$3:$E$4986,5,FALSE)))</f>
        <v xml:space="preserve">リンテック㈱        </v>
      </c>
      <c r="AA1176" s="57"/>
      <c r="AB1176" s="207" t="s">
        <v>774</v>
      </c>
      <c r="AC1176" s="33"/>
      <c r="AD1176" s="189"/>
      <c r="AE1176" s="54"/>
      <c r="AF1176" s="55"/>
      <c r="AG1176" s="43"/>
      <c r="AH1176" s="47"/>
      <c r="AI1176" s="30"/>
      <c r="AJ1176" s="30"/>
      <c r="AK1176" s="30"/>
      <c r="AL1176" s="30"/>
      <c r="AM1176" s="13"/>
      <c r="AN1176" s="13"/>
      <c r="AO1176" s="13"/>
      <c r="AP1176" s="13"/>
      <c r="AQ1176" s="13"/>
      <c r="AR1176" s="14"/>
      <c r="AS1176" s="15"/>
    </row>
    <row r="1177" spans="1:45" s="17" customFormat="1" ht="30.95" hidden="1" customHeight="1" x14ac:dyDescent="0.2">
      <c r="A1177" s="37"/>
      <c r="B1177" s="38"/>
      <c r="C1177" s="45"/>
      <c r="D1177" s="31"/>
      <c r="E1177" s="31"/>
      <c r="F1177" s="268"/>
      <c r="G1177" s="269"/>
      <c r="H1177" s="269"/>
      <c r="I1177" s="270"/>
      <c r="J1177" s="210"/>
      <c r="K1177" s="270"/>
      <c r="L1177" s="270"/>
      <c r="M1177" s="39"/>
      <c r="N1177" s="39"/>
      <c r="O1177" s="156"/>
      <c r="P1177" s="47"/>
      <c r="Q1177" s="57"/>
      <c r="R1177" s="338"/>
      <c r="S1177" s="272"/>
      <c r="T1177" s="273"/>
      <c r="U1177" s="40"/>
      <c r="V1177" s="277"/>
      <c r="W1177" s="269"/>
      <c r="X1177" s="269"/>
      <c r="Y1177" s="275"/>
      <c r="Z1177" s="269"/>
      <c r="AA1177" s="57"/>
      <c r="AB1177" s="207"/>
      <c r="AC1177" s="33"/>
      <c r="AD1177" s="189"/>
      <c r="AE1177" s="54"/>
      <c r="AF1177" s="55"/>
      <c r="AG1177" s="43"/>
      <c r="AH1177" s="47"/>
      <c r="AI1177" s="30"/>
      <c r="AJ1177" s="30"/>
      <c r="AK1177" s="30"/>
      <c r="AL1177" s="30"/>
      <c r="AM1177" s="13"/>
      <c r="AN1177" s="13"/>
      <c r="AO1177" s="13"/>
      <c r="AP1177" s="13"/>
      <c r="AQ1177" s="13"/>
      <c r="AR1177" s="14"/>
      <c r="AS1177" s="15"/>
    </row>
    <row r="1178" spans="1:45" s="17" customFormat="1" ht="30.95" hidden="1" customHeight="1" x14ac:dyDescent="0.2">
      <c r="A1178" s="37" t="s">
        <v>1635</v>
      </c>
      <c r="B1178" s="38" t="s">
        <v>1622</v>
      </c>
      <c r="C1178" s="45"/>
      <c r="D1178" s="31">
        <v>3727609</v>
      </c>
      <c r="E1178" s="31">
        <v>4141028</v>
      </c>
      <c r="F1178" s="268" t="str">
        <f>IF(D1178="","",VLOOKUP(D1178,契約台帳!$A$3:$K$4986,6,FALSE)&amp;VLOOKUP(D1178,契約台帳!$A$3:$K$4986,7,FALSE)&amp;VLOOKUP(D1178,契約台帳!$A$3:$K$4986,8,FALSE)&amp;VLOOKUP(D1178,契約台帳!$A$3:$K$4986,9,FALSE)&amp;VLOOKUP(D1178,契約台帳!$A$3:$K$4986,11,FALSE))</f>
        <v>3SNMLBMNNGKBF</v>
      </c>
      <c r="G1178" s="269" t="str">
        <f>IF(D1178="","",VLOOKUP(F1178,製品マスタ!$G$5:$H$5002,2,FALSE))</f>
        <v>S</v>
      </c>
      <c r="H1178" s="269" t="str">
        <f>IF(D1178="","",VLOOKUP(F1178,製品マスタ!$G$5:$K$5002,5,FALSE))</f>
        <v>MNNGKBF</v>
      </c>
      <c r="I1178" s="270" t="str">
        <f>IF(D1178="","",VLOOKUP(F1178,製品マスタ!$G$5:$L$5002,6,FALSE))</f>
        <v>メタルミー　ニューネーマー銀消　Ｂ</v>
      </c>
      <c r="J1178" s="210" t="s">
        <v>447</v>
      </c>
      <c r="K1178" s="270">
        <f>IF(D1178="","",VLOOKUP(D1178,契約台帳!$A$3:$L$4986,12,FALSE))</f>
        <v>50</v>
      </c>
      <c r="L1178" s="270" t="str">
        <f>IF(D1178="","",INDEX(製品マスタ!$Q$5:$Q$5002,MATCH('S4'!F1178&amp;'S4'!K1178,製品マスタ!$AO$5:$AO$5002,0)))</f>
        <v>X44</v>
      </c>
      <c r="M1178" s="39">
        <v>1000</v>
      </c>
      <c r="N1178" s="39">
        <v>12000</v>
      </c>
      <c r="O1178" s="156">
        <v>1</v>
      </c>
      <c r="P1178" s="47">
        <v>1</v>
      </c>
      <c r="Q1178" s="57"/>
      <c r="R1178" s="271">
        <f ca="1">IF(D1178="","",IF(OFFSET(D1178,-1,0)&lt;&gt;"","",IF(OR(J1178="リード付け",J1178="巻足し",J1178="巻返しリード付け"),M1178,VLOOKUP(D1178,契約台帳!$A$3:$N$4986,14,FALSE))))</f>
        <v>1000</v>
      </c>
      <c r="S1178" s="272">
        <f ca="1">IF(D1178="","",IF(OFFSET(D1178,-1,0)&lt;&gt;"","",IF(OR(J1178="リード付け",J1178="巻足し",J1178="巻返しリード付け"),M1178,VLOOKUP(D1178,契約台帳!$A$3:$O$4986,15,FALSE))))</f>
        <v>1000</v>
      </c>
      <c r="T1178" s="273">
        <f ca="1">IF(D1178="","",IF(J1178="リード付け",N1178,IF(J1178="巻返しリード付け",N1178,IF(J1178="巻足し",N1178*P1178+OFFSET(N1178,1,0)*OFFSET(P1178,1,0),VLOOKUP(D1178,契約台帳!$A$3:$P$4986,16,FALSE)))))</f>
        <v>4000</v>
      </c>
      <c r="U1178" s="40">
        <v>3</v>
      </c>
      <c r="V1178" s="274">
        <f ca="1">IF(D1178="","",IF(OFFSET(D1178,-2,0)=D1178,"",VLOOKUP(D1178,契約台帳!$A$3:$R$4986,18,FALSE)))</f>
        <v>4</v>
      </c>
      <c r="W1178" s="269" t="str">
        <f ca="1">IF(D1178="","",IF(T1178="","",IF(OR(J1178="巻足し",J1178="巻返しリード付け"),"",IF(J1178="巻返し",VLOOKUP(F1178&amp;K1178&amp;M1178,製品マスタ!$M$5:$AD$5002,18,FALSE),IF(OR(J1178="リード付け",J1178="巻返しリード付け"),"原反コア",IF(J1178="スリット",VLOOKUP(F1178&amp;K1178&amp;R1178,製品マスタ!$N$5:$AD$5002,17,FALSE),""))))))</f>
        <v>6ｲﾝﾁSｺｱ</v>
      </c>
      <c r="X1178" s="269">
        <f ca="1">IF(D1178="","",IF(T1178="","",IF(J1178="巻足し","",IF(J1178="巻返し",VLOOKUP(F1178&amp;K1178&amp;M1178,製品マスタ!$M$5:$AE$5002,19,FALSE),IF(OR(J1178="リード付け",J1178="巻返しリード付け"),"",IF(J1178="スリット",VLOOKUP(F1178&amp;K1178&amp;R1178,製品マスタ!$N$5:$AE$5002,18,FALSE),""))))))</f>
        <v>1005</v>
      </c>
      <c r="Y1178" s="275">
        <f ca="1">IF(D1178="","",IF(T1178="","",VLOOKUP(D1178,契約台帳!$A$3:$Q$4986,17,FALSE)))</f>
        <v>2</v>
      </c>
      <c r="Z1178" s="269" t="str">
        <f ca="1">IF(D1178="","",IF(T1178="","",VLOOKUP(D1178,契約台帳!$A$3:$E$4986,5,FALSE)))</f>
        <v xml:space="preserve">リンテック㈱        </v>
      </c>
      <c r="AA1178" s="57"/>
      <c r="AB1178" s="207"/>
      <c r="AC1178" s="33"/>
      <c r="AD1178" s="189"/>
      <c r="AE1178" s="54" t="str">
        <f>IF(F1178="","",+F1178&amp;K1178)</f>
        <v>3SNMLBMNNGKBF50</v>
      </c>
      <c r="AF1178" s="55">
        <f>+M1178*N1178*O1178/1000</f>
        <v>12000</v>
      </c>
      <c r="AG1178" s="43">
        <f>IF(AE1178="","",VLOOKUP(AE1178,原価マスタ!$A$2:$AJ$1693,13,FALSE))</f>
        <v>99</v>
      </c>
      <c r="AH1178" s="47">
        <f>IF(AG1178="","",+AF1178*AG1178/100)</f>
        <v>11880</v>
      </c>
      <c r="AI1178" s="30"/>
      <c r="AJ1178" s="30"/>
      <c r="AK1178" s="30"/>
      <c r="AL1178" s="30"/>
      <c r="AM1178" s="13"/>
      <c r="AN1178" s="13"/>
      <c r="AO1178" s="13"/>
      <c r="AP1178" s="13"/>
      <c r="AQ1178" s="13"/>
      <c r="AR1178" s="14"/>
      <c r="AS1178" s="15"/>
    </row>
    <row r="1179" spans="1:45" s="17" customFormat="1" ht="30.95" hidden="1" customHeight="1" x14ac:dyDescent="0.2">
      <c r="A1179" s="37"/>
      <c r="B1179" s="38"/>
      <c r="C1179" s="45"/>
      <c r="D1179" s="31"/>
      <c r="E1179" s="31"/>
      <c r="F1179" s="268"/>
      <c r="G1179" s="269"/>
      <c r="H1179" s="269"/>
      <c r="I1179" s="270"/>
      <c r="J1179" s="210"/>
      <c r="K1179" s="270"/>
      <c r="L1179" s="270"/>
      <c r="M1179" s="39"/>
      <c r="N1179" s="39"/>
      <c r="O1179" s="156"/>
      <c r="P1179" s="47"/>
      <c r="Q1179" s="57"/>
      <c r="R1179" s="338"/>
      <c r="S1179" s="272"/>
      <c r="T1179" s="273"/>
      <c r="U1179" s="40"/>
      <c r="V1179" s="277"/>
      <c r="W1179" s="269"/>
      <c r="X1179" s="269"/>
      <c r="Y1179" s="275"/>
      <c r="Z1179" s="269"/>
      <c r="AA1179" s="57"/>
      <c r="AB1179" s="207"/>
      <c r="AC1179" s="33"/>
      <c r="AD1179" s="189"/>
      <c r="AE1179" s="54"/>
      <c r="AF1179" s="55"/>
      <c r="AG1179" s="43"/>
      <c r="AH1179" s="47"/>
      <c r="AI1179" s="30"/>
      <c r="AJ1179" s="30"/>
      <c r="AK1179" s="30"/>
      <c r="AL1179" s="30"/>
      <c r="AM1179" s="13"/>
      <c r="AN1179" s="13"/>
      <c r="AO1179" s="13"/>
      <c r="AP1179" s="13"/>
      <c r="AQ1179" s="13"/>
      <c r="AR1179" s="14"/>
      <c r="AS1179" s="15"/>
    </row>
    <row r="1180" spans="1:45" s="17" customFormat="1" ht="30.95" hidden="1" customHeight="1" x14ac:dyDescent="0.2">
      <c r="A1180" s="37"/>
      <c r="B1180" s="38"/>
      <c r="C1180" s="45"/>
      <c r="D1180" s="31">
        <v>3727609</v>
      </c>
      <c r="E1180" s="31">
        <v>4141028</v>
      </c>
      <c r="F1180" s="268" t="str">
        <f>IF(D1180="","",VLOOKUP(D1180,契約台帳!$A$3:$K$4986,6,FALSE)&amp;VLOOKUP(D1180,契約台帳!$A$3:$K$4986,7,FALSE)&amp;VLOOKUP(D1180,契約台帳!$A$3:$K$4986,8,FALSE)&amp;VLOOKUP(D1180,契約台帳!$A$3:$K$4986,9,FALSE)&amp;VLOOKUP(D1180,契約台帳!$A$3:$K$4986,11,FALSE))</f>
        <v>3SNMLBMNNGKBF</v>
      </c>
      <c r="G1180" s="269" t="str">
        <f>IF(D1180="","",VLOOKUP(F1180,製品マスタ!$G$5:$H$5002,2,FALSE))</f>
        <v>S</v>
      </c>
      <c r="H1180" s="269" t="str">
        <f>IF(D1180="","",VLOOKUP(F1180,製品マスタ!$G$5:$K$5002,5,FALSE))</f>
        <v>MNNGKBF</v>
      </c>
      <c r="I1180" s="270" t="str">
        <f>IF(D1180="","",VLOOKUP(F1180,製品マスタ!$G$5:$L$5002,6,FALSE))</f>
        <v>メタルミー　ニューネーマー銀消　Ｂ</v>
      </c>
      <c r="J1180" s="210" t="s">
        <v>447</v>
      </c>
      <c r="K1180" s="270">
        <f>IF(D1180="","",VLOOKUP(D1180,契約台帳!$A$3:$L$4986,12,FALSE))</f>
        <v>50</v>
      </c>
      <c r="L1180" s="270" t="str">
        <f>IF(D1180="","",INDEX(製品マスタ!$Q$5:$Q$5002,MATCH('S4'!F1180&amp;'S4'!K1180,製品マスタ!$AO$5:$AO$5002,0)))</f>
        <v>X44</v>
      </c>
      <c r="M1180" s="39">
        <v>1000</v>
      </c>
      <c r="N1180" s="39">
        <v>12000</v>
      </c>
      <c r="O1180" s="156">
        <v>1</v>
      </c>
      <c r="P1180" s="47">
        <v>1</v>
      </c>
      <c r="Q1180" s="57"/>
      <c r="R1180" s="271">
        <f ca="1">IF(D1180="","",IF(OFFSET(D1180,-1,0)&lt;&gt;"","",IF(OR(J1180="リード付け",J1180="巻足し",J1180="巻返しリード付け"),M1180,VLOOKUP(D1180,契約台帳!$A$3:$N$4986,14,FALSE))))</f>
        <v>1000</v>
      </c>
      <c r="S1180" s="272">
        <f ca="1">IF(D1180="","",IF(OFFSET(D1180,-1,0)&lt;&gt;"","",IF(OR(J1180="リード付け",J1180="巻足し",J1180="巻返しリード付け"),M1180,VLOOKUP(D1180,契約台帳!$A$3:$O$4986,15,FALSE))))</f>
        <v>1000</v>
      </c>
      <c r="T1180" s="273">
        <f ca="1">IF(D1180="","",IF(J1180="リード付け",N1180,IF(J1180="巻返しリード付け",N1180,IF(J1180="巻足し",N1180*P1180+OFFSET(N1180,1,0)*OFFSET(P1180,1,0),VLOOKUP(D1180,契約台帳!$A$3:$P$4986,16,FALSE)))))</f>
        <v>4000</v>
      </c>
      <c r="U1180" s="40">
        <v>1</v>
      </c>
      <c r="V1180" s="274" t="str">
        <f ca="1">IF(D1180="","",IF(OFFSET(D1180,-2,0)=D1180,"",VLOOKUP(D1180,契約台帳!$A$3:$R$4986,18,FALSE)))</f>
        <v/>
      </c>
      <c r="W1180" s="269" t="str">
        <f ca="1">IF(D1180="","",IF(T1180="","",IF(OR(J1180="巻足し",J1180="巻返しリード付け"),"",IF(J1180="巻返し",VLOOKUP(F1180&amp;K1180&amp;M1180,製品マスタ!$M$5:$AD$5002,18,FALSE),IF(OR(J1180="リード付け",J1180="巻返しリード付け"),"原反コア",IF(J1180="スリット",VLOOKUP(F1180&amp;K1180&amp;R1180,製品マスタ!$N$5:$AD$5002,17,FALSE),""))))))</f>
        <v>6ｲﾝﾁSｺｱ</v>
      </c>
      <c r="X1180" s="269">
        <f ca="1">IF(D1180="","",IF(T1180="","",IF(J1180="巻足し","",IF(J1180="巻返し",VLOOKUP(F1180&amp;K1180&amp;M1180,製品マスタ!$M$5:$AE$5002,19,FALSE),IF(OR(J1180="リード付け",J1180="巻返しリード付け"),"",IF(J1180="スリット",VLOOKUP(F1180&amp;K1180&amp;R1180,製品マスタ!$N$5:$AE$5002,18,FALSE),""))))))</f>
        <v>1005</v>
      </c>
      <c r="Y1180" s="275">
        <f ca="1">IF(D1180="","",IF(T1180="","",VLOOKUP(D1180,契約台帳!$A$3:$Q$4986,17,FALSE)))</f>
        <v>2</v>
      </c>
      <c r="Z1180" s="269" t="str">
        <f ca="1">IF(D1180="","",IF(T1180="","",VLOOKUP(D1180,契約台帳!$A$3:$E$4986,5,FALSE)))</f>
        <v xml:space="preserve">リンテック㈱        </v>
      </c>
      <c r="AA1180" s="57"/>
      <c r="AB1180" s="207"/>
      <c r="AC1180" s="33"/>
      <c r="AD1180" s="189"/>
      <c r="AE1180" s="54" t="str">
        <f>IF(F1180="","",+F1180&amp;K1180)</f>
        <v>3SNMLBMNNGKBF50</v>
      </c>
      <c r="AF1180" s="55">
        <f>+M1180*N1180*O1180/1000</f>
        <v>12000</v>
      </c>
      <c r="AG1180" s="43">
        <f>IF(AE1180="","",VLOOKUP(AE1180,原価マスタ!$A$2:$AJ$1693,13,FALSE))</f>
        <v>99</v>
      </c>
      <c r="AH1180" s="47">
        <f>IF(AG1180="","",+AF1180*AG1180/100)</f>
        <v>11880</v>
      </c>
      <c r="AI1180" s="30"/>
      <c r="AJ1180" s="30"/>
      <c r="AK1180" s="30"/>
      <c r="AL1180" s="30"/>
      <c r="AM1180" s="13"/>
      <c r="AN1180" s="13"/>
      <c r="AO1180" s="13"/>
      <c r="AP1180" s="13"/>
      <c r="AQ1180" s="13"/>
      <c r="AR1180" s="14"/>
      <c r="AS1180" s="15"/>
    </row>
    <row r="1181" spans="1:45" s="17" customFormat="1" ht="30.95" hidden="1" customHeight="1" x14ac:dyDescent="0.2">
      <c r="A1181" s="37"/>
      <c r="B1181" s="38"/>
      <c r="C1181" s="45"/>
      <c r="D1181" s="31">
        <v>3727610</v>
      </c>
      <c r="E1181" s="31"/>
      <c r="F1181" s="268" t="str">
        <f>IF(D1181="","",VLOOKUP(D1181,契約台帳!$A$3:$K$4986,6,FALSE)&amp;VLOOKUP(D1181,契約台帳!$A$3:$K$4986,7,FALSE)&amp;VLOOKUP(D1181,契約台帳!$A$3:$K$4986,8,FALSE)&amp;VLOOKUP(D1181,契約台帳!$A$3:$K$4986,9,FALSE)&amp;VLOOKUP(D1181,契約台帳!$A$3:$K$4986,11,FALSE))</f>
        <v>3SNMLBMNNGKBF</v>
      </c>
      <c r="G1181" s="269" t="str">
        <f>IF(D1181="","",VLOOKUP(F1181,製品マスタ!$G$5:$H$5002,2,FALSE))</f>
        <v>S</v>
      </c>
      <c r="H1181" s="269" t="str">
        <f>IF(D1181="","",VLOOKUP(F1181,製品マスタ!$G$5:$K$5002,5,FALSE))</f>
        <v>MNNGKBF</v>
      </c>
      <c r="I1181" s="270" t="str">
        <f>IF(D1181="","",VLOOKUP(F1181,製品マスタ!$G$5:$L$5002,6,FALSE))</f>
        <v>メタルミー　ニューネーマー銀消　Ｂ</v>
      </c>
      <c r="J1181" s="210" t="s">
        <v>447</v>
      </c>
      <c r="K1181" s="270">
        <f>IF(D1181="","",VLOOKUP(D1181,契約台帳!$A$3:$L$4986,12,FALSE))</f>
        <v>50</v>
      </c>
      <c r="L1181" s="270" t="str">
        <f>IF(D1181="","",INDEX(製品マスタ!$Q$5:$Q$5002,MATCH('S4'!F1181&amp;'S4'!K1181,製品マスタ!$AO$5:$AO$5002,0)))</f>
        <v>X44</v>
      </c>
      <c r="M1181" s="39">
        <v>1000</v>
      </c>
      <c r="N1181" s="39"/>
      <c r="O1181" s="156"/>
      <c r="P1181" s="47"/>
      <c r="Q1181" s="57"/>
      <c r="R1181" s="271" t="str">
        <f ca="1">IF(D1181="","",IF(OFFSET(D1181,-1,0)&lt;&gt;"","",IF(OR(J1181="リード付け",J1181="巻足し",J1181="巻返しリード付け"),M1181,VLOOKUP(D1181,契約台帳!$A$3:$N$4986,14,FALSE))))</f>
        <v/>
      </c>
      <c r="S1181" s="272" t="str">
        <f ca="1">IF(D1181="","",IF(OFFSET(D1181,-1,0)&lt;&gt;"","",IF(OR(J1181="リード付け",J1181="巻足し",J1181="巻返しリード付け"),M1181,VLOOKUP(D1181,契約台帳!$A$3:$O$4986,15,FALSE))))</f>
        <v/>
      </c>
      <c r="T1181" s="273">
        <f ca="1">IF(D1181="","",IF(J1181="リード付け",N1181,IF(J1181="巻返しリード付け",N1181,IF(J1181="巻足し",N1181*P1181+OFFSET(N1181,1,0)*OFFSET(P1181,1,0),VLOOKUP(D1181,契約台帳!$A$3:$P$4986,16,FALSE)))))</f>
        <v>4000</v>
      </c>
      <c r="U1181" s="40">
        <v>2</v>
      </c>
      <c r="V1181" s="274">
        <f ca="1">IF(D1181="","",IF(OFFSET(D1181,-2,0)=D1181,"",VLOOKUP(D1181,契約台帳!$A$3:$R$4986,18,FALSE)))</f>
        <v>11</v>
      </c>
      <c r="W1181" s="269" t="str">
        <f ca="1">IF(D1181="","",IF(T1181="","",IF(OR(J1181="巻足し",J1181="巻返しリード付け"),"",IF(J1181="巻返し",VLOOKUP(F1181&amp;K1181&amp;M1181,製品マスタ!$M$5:$AD$5002,18,FALSE),IF(OR(J1181="リード付け",J1181="巻返しリード付け"),"原反コア",IF(J1181="スリット",VLOOKUP(F1181&amp;K1181&amp;R1181,製品マスタ!$N$5:$AD$5002,17,FALSE),""))))))</f>
        <v>6ｲﾝﾁSｺｱ</v>
      </c>
      <c r="X1181" s="269">
        <f ca="1">IF(D1181="","",IF(T1181="","",IF(J1181="巻足し","",IF(J1181="巻返し",VLOOKUP(F1181&amp;K1181&amp;M1181,製品マスタ!$M$5:$AE$5002,19,FALSE),IF(OR(J1181="リード付け",J1181="巻返しリード付け"),"",IF(J1181="スリット",VLOOKUP(F1181&amp;K1181&amp;R1181,製品マスタ!$N$5:$AE$5002,18,FALSE),""))))))</f>
        <v>1005</v>
      </c>
      <c r="Y1181" s="275">
        <f ca="1">IF(D1181="","",IF(T1181="","",VLOOKUP(D1181,契約台帳!$A$3:$Q$4986,17,FALSE)))</f>
        <v>2</v>
      </c>
      <c r="Z1181" s="269" t="str">
        <f ca="1">IF(D1181="","",IF(T1181="","",VLOOKUP(D1181,契約台帳!$A$3:$E$4986,5,FALSE)))</f>
        <v xml:space="preserve">リンテック㈱        </v>
      </c>
      <c r="AA1181" s="57"/>
      <c r="AB1181" s="207"/>
      <c r="AC1181" s="33"/>
      <c r="AD1181" s="189"/>
      <c r="AE1181" s="54"/>
      <c r="AF1181" s="55"/>
      <c r="AG1181" s="43"/>
      <c r="AH1181" s="47"/>
      <c r="AI1181" s="30"/>
      <c r="AJ1181" s="30"/>
      <c r="AK1181" s="30"/>
      <c r="AL1181" s="30"/>
      <c r="AM1181" s="13"/>
      <c r="AN1181" s="13"/>
      <c r="AO1181" s="13"/>
      <c r="AP1181" s="13"/>
      <c r="AQ1181" s="13"/>
      <c r="AR1181" s="14"/>
      <c r="AS1181" s="15"/>
    </row>
    <row r="1182" spans="1:45" s="17" customFormat="1" ht="30.95" hidden="1" customHeight="1" x14ac:dyDescent="0.2">
      <c r="A1182" s="37"/>
      <c r="B1182" s="38"/>
      <c r="C1182" s="45"/>
      <c r="D1182" s="31"/>
      <c r="E1182" s="31"/>
      <c r="F1182" s="268"/>
      <c r="G1182" s="269"/>
      <c r="H1182" s="269"/>
      <c r="I1182" s="270"/>
      <c r="J1182" s="210"/>
      <c r="K1182" s="270"/>
      <c r="L1182" s="270"/>
      <c r="M1182" s="39"/>
      <c r="N1182" s="39"/>
      <c r="O1182" s="156"/>
      <c r="P1182" s="47"/>
      <c r="Q1182" s="57"/>
      <c r="R1182" s="338"/>
      <c r="S1182" s="272"/>
      <c r="T1182" s="273"/>
      <c r="U1182" s="40"/>
      <c r="V1182" s="277"/>
      <c r="W1182" s="269"/>
      <c r="X1182" s="269"/>
      <c r="Y1182" s="275"/>
      <c r="Z1182" s="269"/>
      <c r="AA1182" s="57"/>
      <c r="AB1182" s="207"/>
      <c r="AC1182" s="33"/>
      <c r="AD1182" s="189"/>
      <c r="AE1182" s="54"/>
      <c r="AF1182" s="55"/>
      <c r="AG1182" s="43"/>
      <c r="AH1182" s="47"/>
      <c r="AI1182" s="30"/>
      <c r="AJ1182" s="30"/>
      <c r="AK1182" s="30"/>
      <c r="AL1182" s="30"/>
      <c r="AM1182" s="13"/>
      <c r="AN1182" s="13"/>
      <c r="AO1182" s="13"/>
      <c r="AP1182" s="13"/>
      <c r="AQ1182" s="13"/>
      <c r="AR1182" s="14"/>
      <c r="AS1182" s="15"/>
    </row>
    <row r="1183" spans="1:45" s="17" customFormat="1" ht="30.95" hidden="1" customHeight="1" x14ac:dyDescent="0.2">
      <c r="A1183" s="37"/>
      <c r="B1183" s="38"/>
      <c r="C1183" s="45"/>
      <c r="D1183" s="31">
        <v>3727610</v>
      </c>
      <c r="E1183" s="31">
        <v>4141029</v>
      </c>
      <c r="F1183" s="268" t="str">
        <f>IF(D1183="","",VLOOKUP(D1183,契約台帳!$A$3:$K$4986,6,FALSE)&amp;VLOOKUP(D1183,契約台帳!$A$3:$K$4986,7,FALSE)&amp;VLOOKUP(D1183,契約台帳!$A$3:$K$4986,8,FALSE)&amp;VLOOKUP(D1183,契約台帳!$A$3:$K$4986,9,FALSE)&amp;VLOOKUP(D1183,契約台帳!$A$3:$K$4986,11,FALSE))</f>
        <v>3SNMLBMNNGKBF</v>
      </c>
      <c r="G1183" s="269" t="str">
        <f>IF(D1183="","",VLOOKUP(F1183,製品マスタ!$G$5:$H$5002,2,FALSE))</f>
        <v>S</v>
      </c>
      <c r="H1183" s="269" t="str">
        <f>IF(D1183="","",VLOOKUP(F1183,製品マスタ!$G$5:$K$5002,5,FALSE))</f>
        <v>MNNGKBF</v>
      </c>
      <c r="I1183" s="270" t="str">
        <f>IF(D1183="","",VLOOKUP(F1183,製品マスタ!$G$5:$L$5002,6,FALSE))</f>
        <v>メタルミー　ニューネーマー銀消　Ｂ</v>
      </c>
      <c r="J1183" s="210" t="s">
        <v>447</v>
      </c>
      <c r="K1183" s="270">
        <f>IF(D1183="","",VLOOKUP(D1183,契約台帳!$A$3:$L$4986,12,FALSE))</f>
        <v>50</v>
      </c>
      <c r="L1183" s="270" t="str">
        <f>IF(D1183="","",INDEX(製品マスタ!$Q$5:$Q$5002,MATCH('S4'!F1183&amp;'S4'!K1183,製品マスタ!$AO$5:$AO$5002,0)))</f>
        <v>X44</v>
      </c>
      <c r="M1183" s="39">
        <v>1000</v>
      </c>
      <c r="N1183" s="39">
        <v>12000</v>
      </c>
      <c r="O1183" s="156">
        <v>3</v>
      </c>
      <c r="P1183" s="47">
        <v>3</v>
      </c>
      <c r="Q1183" s="57"/>
      <c r="R1183" s="271">
        <f ca="1">IF(D1183="","",IF(OFFSET(D1183,-1,0)&lt;&gt;"","",IF(OR(J1183="リード付け",J1183="巻足し",J1183="巻返しリード付け"),M1183,VLOOKUP(D1183,契約台帳!$A$3:$N$4986,14,FALSE))))</f>
        <v>1000</v>
      </c>
      <c r="S1183" s="272">
        <f ca="1">IF(D1183="","",IF(OFFSET(D1183,-1,0)&lt;&gt;"","",IF(OR(J1183="リード付け",J1183="巻足し",J1183="巻返しリード付け"),M1183,VLOOKUP(D1183,契約台帳!$A$3:$O$4986,15,FALSE))))</f>
        <v>1000</v>
      </c>
      <c r="T1183" s="273">
        <f ca="1">IF(D1183="","",IF(J1183="リード付け",N1183,IF(J1183="巻返しリード付け",N1183,IF(J1183="巻足し",N1183*P1183+OFFSET(N1183,1,0)*OFFSET(P1183,1,0),VLOOKUP(D1183,契約台帳!$A$3:$P$4986,16,FALSE)))))</f>
        <v>4000</v>
      </c>
      <c r="U1183" s="40">
        <v>9</v>
      </c>
      <c r="V1183" s="274" t="str">
        <f ca="1">IF(D1183="","",IF(OFFSET(D1183,-2,0)=D1183,"",VLOOKUP(D1183,契約台帳!$A$3:$R$4986,18,FALSE)))</f>
        <v/>
      </c>
      <c r="W1183" s="269" t="str">
        <f ca="1">IF(D1183="","",IF(T1183="","",IF(OR(J1183="巻足し",J1183="巻返しリード付け"),"",IF(J1183="巻返し",VLOOKUP(F1183&amp;K1183&amp;M1183,製品マスタ!$M$5:$AD$5002,18,FALSE),IF(OR(J1183="リード付け",J1183="巻返しリード付け"),"原反コア",IF(J1183="スリット",VLOOKUP(F1183&amp;K1183&amp;R1183,製品マスタ!$N$5:$AD$5002,17,FALSE),""))))))</f>
        <v>6ｲﾝﾁSｺｱ</v>
      </c>
      <c r="X1183" s="269">
        <f ca="1">IF(D1183="","",IF(T1183="","",IF(J1183="巻足し","",IF(J1183="巻返し",VLOOKUP(F1183&amp;K1183&amp;M1183,製品マスタ!$M$5:$AE$5002,19,FALSE),IF(OR(J1183="リード付け",J1183="巻返しリード付け"),"",IF(J1183="スリット",VLOOKUP(F1183&amp;K1183&amp;R1183,製品マスタ!$N$5:$AE$5002,18,FALSE),""))))))</f>
        <v>1005</v>
      </c>
      <c r="Y1183" s="275">
        <f ca="1">IF(D1183="","",IF(T1183="","",VLOOKUP(D1183,契約台帳!$A$3:$Q$4986,17,FALSE)))</f>
        <v>2</v>
      </c>
      <c r="Z1183" s="269" t="str">
        <f ca="1">IF(D1183="","",IF(T1183="","",VLOOKUP(D1183,契約台帳!$A$3:$E$4986,5,FALSE)))</f>
        <v xml:space="preserve">リンテック㈱        </v>
      </c>
      <c r="AA1183" s="57"/>
      <c r="AB1183" s="207"/>
      <c r="AC1183" s="33"/>
      <c r="AD1183" s="189"/>
      <c r="AE1183" s="54" t="str">
        <f>IF(F1183="","",+F1183&amp;K1183)</f>
        <v>3SNMLBMNNGKBF50</v>
      </c>
      <c r="AF1183" s="55">
        <f>+M1183*N1183*O1183/1000</f>
        <v>36000</v>
      </c>
      <c r="AG1183" s="43">
        <f>IF(AE1183="","",VLOOKUP(AE1183,原価マスタ!$A$2:$AJ$1693,13,FALSE))</f>
        <v>99</v>
      </c>
      <c r="AH1183" s="47">
        <f>IF(AG1183="","",+AF1183*AG1183/100)</f>
        <v>35640</v>
      </c>
      <c r="AI1183" s="30"/>
      <c r="AJ1183" s="30"/>
      <c r="AK1183" s="30"/>
      <c r="AL1183" s="30"/>
      <c r="AM1183" s="13"/>
      <c r="AN1183" s="13"/>
      <c r="AO1183" s="13"/>
      <c r="AP1183" s="13"/>
      <c r="AQ1183" s="13"/>
      <c r="AR1183" s="14"/>
      <c r="AS1183" s="15"/>
    </row>
    <row r="1184" spans="1:45" s="17" customFormat="1" ht="30.95" hidden="1" customHeight="1" x14ac:dyDescent="0.2">
      <c r="A1184" s="37"/>
      <c r="B1184" s="38"/>
      <c r="C1184" s="45"/>
      <c r="D1184" s="31"/>
      <c r="E1184" s="31"/>
      <c r="F1184" s="268"/>
      <c r="G1184" s="269"/>
      <c r="H1184" s="269"/>
      <c r="I1184" s="270"/>
      <c r="J1184" s="210"/>
      <c r="K1184" s="270"/>
      <c r="L1184" s="270"/>
      <c r="M1184" s="39"/>
      <c r="N1184" s="39"/>
      <c r="O1184" s="156"/>
      <c r="P1184" s="47"/>
      <c r="Q1184" s="57"/>
      <c r="R1184" s="338"/>
      <c r="S1184" s="272"/>
      <c r="T1184" s="273"/>
      <c r="U1184" s="40"/>
      <c r="V1184" s="277"/>
      <c r="W1184" s="269"/>
      <c r="X1184" s="269"/>
      <c r="Y1184" s="275"/>
      <c r="Z1184" s="269"/>
      <c r="AA1184" s="57"/>
      <c r="AB1184" s="207"/>
      <c r="AC1184" s="33"/>
      <c r="AD1184" s="189"/>
      <c r="AE1184" s="54"/>
      <c r="AF1184" s="55"/>
      <c r="AG1184" s="43"/>
      <c r="AH1184" s="47"/>
      <c r="AI1184" s="30"/>
      <c r="AJ1184" s="30"/>
      <c r="AK1184" s="30"/>
      <c r="AL1184" s="30"/>
      <c r="AM1184" s="13"/>
      <c r="AN1184" s="13"/>
      <c r="AO1184" s="13"/>
      <c r="AP1184" s="13"/>
      <c r="AQ1184" s="13"/>
      <c r="AR1184" s="14"/>
      <c r="AS1184" s="15"/>
    </row>
    <row r="1185" spans="1:45" s="17" customFormat="1" ht="30.95" hidden="1" customHeight="1" x14ac:dyDescent="0.2">
      <c r="A1185" s="37" t="s">
        <v>1636</v>
      </c>
      <c r="B1185" s="38" t="s">
        <v>1624</v>
      </c>
      <c r="C1185" s="45"/>
      <c r="D1185" s="31"/>
      <c r="E1185" s="31"/>
      <c r="F1185" s="268"/>
      <c r="G1185" s="269"/>
      <c r="H1185" s="269"/>
      <c r="I1185" s="270"/>
      <c r="J1185" s="210" t="s">
        <v>1632</v>
      </c>
      <c r="K1185" s="270"/>
      <c r="L1185" s="270"/>
      <c r="M1185" s="39"/>
      <c r="N1185" s="39"/>
      <c r="O1185" s="156"/>
      <c r="P1185" s="47"/>
      <c r="Q1185" s="57"/>
      <c r="R1185" s="338"/>
      <c r="S1185" s="272"/>
      <c r="T1185" s="273"/>
      <c r="U1185" s="40"/>
      <c r="V1185" s="277"/>
      <c r="W1185" s="269"/>
      <c r="X1185" s="269"/>
      <c r="Y1185" s="275"/>
      <c r="Z1185" s="269"/>
      <c r="AA1185" s="57"/>
      <c r="AB1185" s="207"/>
      <c r="AC1185" s="33"/>
      <c r="AD1185" s="189"/>
      <c r="AE1185" s="54"/>
      <c r="AF1185" s="55"/>
      <c r="AG1185" s="43"/>
      <c r="AH1185" s="47"/>
      <c r="AI1185" s="30"/>
      <c r="AJ1185" s="30"/>
      <c r="AK1185" s="30"/>
      <c r="AL1185" s="30"/>
      <c r="AM1185" s="13"/>
      <c r="AN1185" s="13"/>
      <c r="AO1185" s="13"/>
      <c r="AP1185" s="13"/>
      <c r="AQ1185" s="13"/>
      <c r="AR1185" s="14"/>
      <c r="AS1185" s="15"/>
    </row>
    <row r="1186" spans="1:45" s="17" customFormat="1" ht="30.95" hidden="1" customHeight="1" x14ac:dyDescent="0.2">
      <c r="A1186" s="37"/>
      <c r="B1186" s="38"/>
      <c r="C1186" s="45"/>
      <c r="D1186" s="31"/>
      <c r="E1186" s="31"/>
      <c r="F1186" s="268"/>
      <c r="G1186" s="269"/>
      <c r="H1186" s="269"/>
      <c r="I1186" s="270"/>
      <c r="J1186" s="210"/>
      <c r="K1186" s="270"/>
      <c r="L1186" s="270"/>
      <c r="M1186" s="39"/>
      <c r="N1186" s="39"/>
      <c r="O1186" s="156"/>
      <c r="P1186" s="47"/>
      <c r="Q1186" s="57"/>
      <c r="R1186" s="338"/>
      <c r="S1186" s="272"/>
      <c r="T1186" s="273"/>
      <c r="U1186" s="40"/>
      <c r="V1186" s="277"/>
      <c r="W1186" s="269"/>
      <c r="X1186" s="269"/>
      <c r="Y1186" s="275"/>
      <c r="Z1186" s="269"/>
      <c r="AA1186" s="57"/>
      <c r="AB1186" s="207"/>
      <c r="AC1186" s="33"/>
      <c r="AD1186" s="189"/>
      <c r="AE1186" s="54"/>
      <c r="AF1186" s="55"/>
      <c r="AG1186" s="43"/>
      <c r="AH1186" s="47"/>
      <c r="AI1186" s="30"/>
      <c r="AJ1186" s="30"/>
      <c r="AK1186" s="30"/>
      <c r="AL1186" s="30"/>
      <c r="AM1186" s="13"/>
      <c r="AN1186" s="13"/>
      <c r="AO1186" s="13"/>
      <c r="AP1186" s="13"/>
      <c r="AQ1186" s="13"/>
      <c r="AR1186" s="14"/>
      <c r="AS1186" s="15"/>
    </row>
    <row r="1187" spans="1:45" s="17" customFormat="1" ht="30.95" hidden="1" customHeight="1" x14ac:dyDescent="0.2">
      <c r="A1187" s="37" t="s">
        <v>1637</v>
      </c>
      <c r="B1187" s="38" t="s">
        <v>1626</v>
      </c>
      <c r="C1187" s="45"/>
      <c r="D1187" s="31"/>
      <c r="E1187" s="31"/>
      <c r="F1187" s="268"/>
      <c r="G1187" s="269"/>
      <c r="H1187" s="269"/>
      <c r="I1187" s="270"/>
      <c r="J1187" s="210" t="s">
        <v>1632</v>
      </c>
      <c r="K1187" s="270"/>
      <c r="L1187" s="270"/>
      <c r="M1187" s="39"/>
      <c r="N1187" s="39"/>
      <c r="O1187" s="156"/>
      <c r="P1187" s="47"/>
      <c r="Q1187" s="57"/>
      <c r="R1187" s="338"/>
      <c r="S1187" s="272"/>
      <c r="T1187" s="273"/>
      <c r="U1187" s="40"/>
      <c r="V1187" s="277"/>
      <c r="W1187" s="269"/>
      <c r="X1187" s="269"/>
      <c r="Y1187" s="275"/>
      <c r="Z1187" s="269"/>
      <c r="AA1187" s="57"/>
      <c r="AB1187" s="207"/>
      <c r="AC1187" s="33"/>
      <c r="AD1187" s="189"/>
      <c r="AE1187" s="54"/>
      <c r="AF1187" s="55"/>
      <c r="AG1187" s="43"/>
      <c r="AH1187" s="47"/>
      <c r="AI1187" s="30"/>
      <c r="AJ1187" s="30"/>
      <c r="AK1187" s="30"/>
      <c r="AL1187" s="30"/>
      <c r="AM1187" s="13"/>
      <c r="AN1187" s="13"/>
      <c r="AO1187" s="13"/>
      <c r="AP1187" s="13"/>
      <c r="AQ1187" s="13"/>
      <c r="AR1187" s="14"/>
      <c r="AS1187" s="15"/>
    </row>
    <row r="1188" spans="1:45" s="17" customFormat="1" ht="30.95" hidden="1" customHeight="1" x14ac:dyDescent="0.2">
      <c r="A1188" s="37"/>
      <c r="B1188" s="38"/>
      <c r="C1188" s="45"/>
      <c r="D1188" s="31"/>
      <c r="E1188" s="31"/>
      <c r="F1188" s="268"/>
      <c r="G1188" s="269"/>
      <c r="H1188" s="269"/>
      <c r="I1188" s="270"/>
      <c r="J1188" s="210"/>
      <c r="K1188" s="270"/>
      <c r="L1188" s="270"/>
      <c r="M1188" s="39"/>
      <c r="N1188" s="39"/>
      <c r="O1188" s="156"/>
      <c r="P1188" s="47"/>
      <c r="Q1188" s="57"/>
      <c r="R1188" s="338"/>
      <c r="S1188" s="272"/>
      <c r="T1188" s="273"/>
      <c r="U1188" s="40"/>
      <c r="V1188" s="277"/>
      <c r="W1188" s="269"/>
      <c r="X1188" s="269"/>
      <c r="Y1188" s="275"/>
      <c r="Z1188" s="269"/>
      <c r="AA1188" s="57"/>
      <c r="AB1188" s="207"/>
      <c r="AC1188" s="33"/>
      <c r="AD1188" s="189"/>
      <c r="AE1188" s="54"/>
      <c r="AF1188" s="55"/>
      <c r="AG1188" s="43"/>
      <c r="AH1188" s="47"/>
      <c r="AI1188" s="30"/>
      <c r="AJ1188" s="30"/>
      <c r="AK1188" s="30"/>
      <c r="AL1188" s="30"/>
      <c r="AM1188" s="13"/>
      <c r="AN1188" s="13"/>
      <c r="AO1188" s="13"/>
      <c r="AP1188" s="13"/>
      <c r="AQ1188" s="13"/>
      <c r="AR1188" s="14"/>
      <c r="AS1188" s="15"/>
    </row>
    <row r="1189" spans="1:45" s="17" customFormat="1" ht="30.95" hidden="1" customHeight="1" x14ac:dyDescent="0.2">
      <c r="A1189" s="37" t="s">
        <v>1638</v>
      </c>
      <c r="B1189" s="38" t="s">
        <v>1628</v>
      </c>
      <c r="C1189" s="45"/>
      <c r="D1189" s="31"/>
      <c r="E1189" s="31"/>
      <c r="F1189" s="268"/>
      <c r="G1189" s="269"/>
      <c r="H1189" s="269"/>
      <c r="I1189" s="270"/>
      <c r="J1189" s="210" t="s">
        <v>490</v>
      </c>
      <c r="K1189" s="270"/>
      <c r="L1189" s="270"/>
      <c r="M1189" s="39"/>
      <c r="N1189" s="39"/>
      <c r="O1189" s="156"/>
      <c r="P1189" s="47"/>
      <c r="Q1189" s="57"/>
      <c r="R1189" s="271"/>
      <c r="S1189" s="272"/>
      <c r="T1189" s="273"/>
      <c r="U1189" s="40"/>
      <c r="V1189" s="274"/>
      <c r="W1189" s="269"/>
      <c r="X1189" s="269"/>
      <c r="Y1189" s="275"/>
      <c r="Z1189" s="269"/>
      <c r="AA1189" s="57"/>
      <c r="AB1189" s="207"/>
      <c r="AC1189" s="33"/>
      <c r="AD1189" s="189"/>
      <c r="AE1189" s="54" t="str">
        <f>IF(F1189="","",+F1189&amp;K1189)</f>
        <v/>
      </c>
      <c r="AF1189" s="55">
        <f>+M1189*N1189*O1189/1000</f>
        <v>0</v>
      </c>
      <c r="AG1189" s="43" t="str">
        <f>IF(AE1189="","",VLOOKUP(AE1189,原価マスタ!$A$2:$AJ$1693,13,FALSE))</f>
        <v/>
      </c>
      <c r="AH1189" s="47" t="str">
        <f>IF(AG1189="","",+AF1189*AG1189/100)</f>
        <v/>
      </c>
      <c r="AI1189" s="30"/>
      <c r="AJ1189" s="30"/>
      <c r="AK1189" s="30"/>
      <c r="AL1189" s="30"/>
      <c r="AM1189" s="13"/>
      <c r="AN1189" s="13"/>
      <c r="AO1189" s="13"/>
      <c r="AP1189" s="13"/>
      <c r="AQ1189" s="13"/>
      <c r="AR1189" s="14"/>
      <c r="AS1189" s="15"/>
    </row>
    <row r="1190" spans="1:45" s="17" customFormat="1" ht="30.95" hidden="1" customHeight="1" x14ac:dyDescent="0.2">
      <c r="A1190" s="37"/>
      <c r="B1190" s="38"/>
      <c r="C1190" s="45"/>
      <c r="D1190" s="31"/>
      <c r="E1190" s="31"/>
      <c r="F1190" s="268"/>
      <c r="G1190" s="269"/>
      <c r="H1190" s="269"/>
      <c r="I1190" s="270"/>
      <c r="J1190" s="210"/>
      <c r="K1190" s="270"/>
      <c r="L1190" s="270"/>
      <c r="M1190" s="39"/>
      <c r="N1190" s="39"/>
      <c r="O1190" s="156"/>
      <c r="P1190" s="47"/>
      <c r="Q1190" s="57"/>
      <c r="R1190" s="338"/>
      <c r="S1190" s="272"/>
      <c r="T1190" s="273"/>
      <c r="U1190" s="40"/>
      <c r="V1190" s="277"/>
      <c r="W1190" s="269"/>
      <c r="X1190" s="269"/>
      <c r="Y1190" s="275"/>
      <c r="Z1190" s="269"/>
      <c r="AA1190" s="57"/>
      <c r="AB1190" s="207"/>
      <c r="AC1190" s="33"/>
      <c r="AD1190" s="189"/>
      <c r="AE1190" s="54"/>
      <c r="AF1190" s="55"/>
      <c r="AG1190" s="43"/>
      <c r="AH1190" s="47"/>
      <c r="AI1190" s="30"/>
      <c r="AJ1190" s="30"/>
      <c r="AK1190" s="30"/>
      <c r="AL1190" s="30"/>
      <c r="AM1190" s="13"/>
      <c r="AN1190" s="13"/>
      <c r="AO1190" s="13"/>
      <c r="AP1190" s="13"/>
      <c r="AQ1190" s="13"/>
      <c r="AR1190" s="14"/>
      <c r="AS1190" s="15"/>
    </row>
    <row r="1191" spans="1:45" s="233" customFormat="1" ht="30.95" hidden="1" customHeight="1" x14ac:dyDescent="0.2">
      <c r="A1191" s="217"/>
      <c r="B1191" s="218"/>
      <c r="C1191" s="280"/>
      <c r="D1191" s="219"/>
      <c r="E1191" s="219"/>
      <c r="F1191" s="281"/>
      <c r="G1191" s="282"/>
      <c r="H1191" s="282"/>
      <c r="I1191" s="283"/>
      <c r="J1191" s="289"/>
      <c r="K1191" s="283"/>
      <c r="L1191" s="283"/>
      <c r="M1191" s="221"/>
      <c r="N1191" s="221"/>
      <c r="O1191" s="290"/>
      <c r="P1191" s="222"/>
      <c r="Q1191" s="213"/>
      <c r="R1191" s="383"/>
      <c r="S1191" s="292"/>
      <c r="T1191" s="293"/>
      <c r="U1191" s="224"/>
      <c r="V1191" s="285"/>
      <c r="W1191" s="282"/>
      <c r="X1191" s="282"/>
      <c r="Y1191" s="287"/>
      <c r="Z1191" s="282"/>
      <c r="AA1191" s="213"/>
      <c r="AB1191" s="288"/>
      <c r="AC1191" s="225"/>
      <c r="AD1191" s="226"/>
      <c r="AE1191" s="227"/>
      <c r="AF1191" s="228"/>
      <c r="AG1191" s="223"/>
      <c r="AH1191" s="234">
        <f>SUM(AH1129:AH1190)</f>
        <v>153331.20000000001</v>
      </c>
      <c r="AI1191" s="229"/>
      <c r="AJ1191" s="229"/>
      <c r="AK1191" s="229"/>
      <c r="AL1191" s="229"/>
      <c r="AM1191" s="230"/>
      <c r="AN1191" s="230"/>
      <c r="AO1191" s="230"/>
      <c r="AP1191" s="230"/>
      <c r="AQ1191" s="230"/>
      <c r="AR1191" s="231"/>
      <c r="AS1191" s="232"/>
    </row>
    <row r="1192" spans="1:45" s="17" customFormat="1" ht="30.95" hidden="1" customHeight="1" x14ac:dyDescent="0.2">
      <c r="A1192" s="37"/>
      <c r="B1192" s="38"/>
      <c r="C1192" s="45"/>
      <c r="D1192" s="31"/>
      <c r="E1192" s="31"/>
      <c r="F1192" s="268"/>
      <c r="G1192" s="269"/>
      <c r="H1192" s="269"/>
      <c r="I1192" s="270"/>
      <c r="J1192" s="210"/>
      <c r="K1192" s="270"/>
      <c r="L1192" s="270"/>
      <c r="M1192" s="39"/>
      <c r="N1192" s="39"/>
      <c r="O1192" s="156"/>
      <c r="P1192" s="47"/>
      <c r="Q1192" s="57"/>
      <c r="R1192" s="338"/>
      <c r="S1192" s="272"/>
      <c r="T1192" s="273"/>
      <c r="U1192" s="40"/>
      <c r="V1192" s="277"/>
      <c r="W1192" s="269"/>
      <c r="X1192" s="269"/>
      <c r="Y1192" s="275"/>
      <c r="Z1192" s="269"/>
      <c r="AA1192" s="57"/>
      <c r="AB1192" s="207"/>
      <c r="AC1192" s="33"/>
      <c r="AD1192" s="189"/>
      <c r="AE1192" s="54"/>
      <c r="AF1192" s="55"/>
      <c r="AG1192" s="43"/>
      <c r="AH1192" s="47"/>
      <c r="AI1192" s="30"/>
      <c r="AJ1192" s="30"/>
      <c r="AK1192" s="30"/>
      <c r="AL1192" s="30"/>
      <c r="AM1192" s="13"/>
      <c r="AN1192" s="13"/>
      <c r="AO1192" s="13"/>
      <c r="AP1192" s="13"/>
      <c r="AQ1192" s="13"/>
      <c r="AR1192" s="14"/>
      <c r="AS1192" s="15"/>
    </row>
    <row r="1193" spans="1:45" s="17" customFormat="1" ht="30.95" hidden="1" customHeight="1" x14ac:dyDescent="0.2">
      <c r="A1193" s="37" t="s">
        <v>1639</v>
      </c>
      <c r="B1193" s="38" t="s">
        <v>1629</v>
      </c>
      <c r="C1193" s="45"/>
      <c r="D1193" s="31"/>
      <c r="E1193" s="31"/>
      <c r="F1193" s="268"/>
      <c r="G1193" s="269"/>
      <c r="H1193" s="269"/>
      <c r="I1193" s="270"/>
      <c r="J1193" s="210" t="s">
        <v>1646</v>
      </c>
      <c r="K1193" s="270"/>
      <c r="L1193" s="270"/>
      <c r="M1193" s="39"/>
      <c r="N1193" s="39"/>
      <c r="O1193" s="156"/>
      <c r="P1193" s="47"/>
      <c r="Q1193" s="57"/>
      <c r="R1193" s="338"/>
      <c r="S1193" s="272"/>
      <c r="T1193" s="273"/>
      <c r="U1193" s="40"/>
      <c r="V1193" s="277"/>
      <c r="W1193" s="269"/>
      <c r="X1193" s="269"/>
      <c r="Y1193" s="275"/>
      <c r="Z1193" s="269"/>
      <c r="AA1193" s="57"/>
      <c r="AB1193" s="207"/>
      <c r="AC1193" s="33"/>
      <c r="AD1193" s="189"/>
      <c r="AE1193" s="54"/>
      <c r="AF1193" s="55"/>
      <c r="AG1193" s="43"/>
      <c r="AH1193" s="47"/>
      <c r="AI1193" s="30"/>
      <c r="AJ1193" s="30"/>
      <c r="AK1193" s="30"/>
      <c r="AL1193" s="30"/>
      <c r="AM1193" s="13"/>
      <c r="AN1193" s="13"/>
      <c r="AO1193" s="13"/>
      <c r="AP1193" s="13"/>
      <c r="AQ1193" s="13"/>
      <c r="AR1193" s="14"/>
      <c r="AS1193" s="15"/>
    </row>
    <row r="1194" spans="1:45" s="17" customFormat="1" ht="30.95" hidden="1" customHeight="1" x14ac:dyDescent="0.2">
      <c r="A1194" s="37"/>
      <c r="B1194" s="38"/>
      <c r="C1194" s="45"/>
      <c r="D1194" s="31"/>
      <c r="E1194" s="31"/>
      <c r="F1194" s="268"/>
      <c r="G1194" s="269"/>
      <c r="H1194" s="269"/>
      <c r="I1194" s="270"/>
      <c r="J1194" s="210"/>
      <c r="K1194" s="270"/>
      <c r="L1194" s="270"/>
      <c r="M1194" s="39"/>
      <c r="N1194" s="39"/>
      <c r="O1194" s="156"/>
      <c r="P1194" s="47"/>
      <c r="Q1194" s="57"/>
      <c r="R1194" s="338"/>
      <c r="S1194" s="272"/>
      <c r="T1194" s="273"/>
      <c r="U1194" s="40"/>
      <c r="V1194" s="277"/>
      <c r="W1194" s="269"/>
      <c r="X1194" s="269"/>
      <c r="Y1194" s="275"/>
      <c r="Z1194" s="269"/>
      <c r="AA1194" s="57"/>
      <c r="AB1194" s="207"/>
      <c r="AC1194" s="33"/>
      <c r="AD1194" s="189"/>
      <c r="AE1194" s="54"/>
      <c r="AF1194" s="55"/>
      <c r="AG1194" s="43"/>
      <c r="AH1194" s="47"/>
      <c r="AI1194" s="30"/>
      <c r="AJ1194" s="30"/>
      <c r="AK1194" s="30"/>
      <c r="AL1194" s="30"/>
      <c r="AM1194" s="13"/>
      <c r="AN1194" s="13"/>
      <c r="AO1194" s="13"/>
      <c r="AP1194" s="13"/>
      <c r="AQ1194" s="13"/>
      <c r="AR1194" s="14"/>
      <c r="AS1194" s="15"/>
    </row>
    <row r="1195" spans="1:45" s="17" customFormat="1" ht="30.95" hidden="1" customHeight="1" x14ac:dyDescent="0.2">
      <c r="A1195" s="37" t="s">
        <v>1642</v>
      </c>
      <c r="B1195" s="38" t="s">
        <v>1630</v>
      </c>
      <c r="C1195" s="45"/>
      <c r="D1195" s="31"/>
      <c r="E1195" s="31"/>
      <c r="F1195" s="268"/>
      <c r="G1195" s="269"/>
      <c r="H1195" s="269"/>
      <c r="I1195" s="270"/>
      <c r="J1195" s="210" t="s">
        <v>489</v>
      </c>
      <c r="K1195" s="270"/>
      <c r="L1195" s="270"/>
      <c r="M1195" s="39"/>
      <c r="N1195" s="39"/>
      <c r="O1195" s="156"/>
      <c r="P1195" s="47"/>
      <c r="Q1195" s="57"/>
      <c r="R1195" s="338"/>
      <c r="S1195" s="272"/>
      <c r="T1195" s="273"/>
      <c r="U1195" s="40"/>
      <c r="V1195" s="277"/>
      <c r="W1195" s="269"/>
      <c r="X1195" s="269"/>
      <c r="Y1195" s="275"/>
      <c r="Z1195" s="269"/>
      <c r="AA1195" s="57"/>
      <c r="AB1195" s="207"/>
      <c r="AC1195" s="33"/>
      <c r="AD1195" s="189"/>
      <c r="AE1195" s="54"/>
      <c r="AF1195" s="55"/>
      <c r="AG1195" s="43"/>
      <c r="AH1195" s="47"/>
      <c r="AI1195" s="30"/>
      <c r="AJ1195" s="30"/>
      <c r="AK1195" s="30"/>
      <c r="AL1195" s="30"/>
      <c r="AM1195" s="13"/>
      <c r="AN1195" s="13"/>
      <c r="AO1195" s="13"/>
      <c r="AP1195" s="13"/>
      <c r="AQ1195" s="13"/>
      <c r="AR1195" s="14"/>
      <c r="AS1195" s="15"/>
    </row>
    <row r="1196" spans="1:45" s="17" customFormat="1" ht="30.95" hidden="1" customHeight="1" x14ac:dyDescent="0.2">
      <c r="A1196" s="37"/>
      <c r="B1196" s="38"/>
      <c r="C1196" s="45"/>
      <c r="D1196" s="31"/>
      <c r="E1196" s="31"/>
      <c r="F1196" s="268"/>
      <c r="G1196" s="269"/>
      <c r="H1196" s="269"/>
      <c r="I1196" s="270"/>
      <c r="J1196" s="210"/>
      <c r="K1196" s="270"/>
      <c r="L1196" s="270"/>
      <c r="M1196" s="39"/>
      <c r="N1196" s="39"/>
      <c r="O1196" s="156"/>
      <c r="P1196" s="47"/>
      <c r="Q1196" s="57"/>
      <c r="R1196" s="338"/>
      <c r="S1196" s="272"/>
      <c r="T1196" s="273"/>
      <c r="U1196" s="40"/>
      <c r="V1196" s="277"/>
      <c r="W1196" s="269"/>
      <c r="X1196" s="269"/>
      <c r="Y1196" s="275"/>
      <c r="Z1196" s="269"/>
      <c r="AA1196" s="57"/>
      <c r="AB1196" s="207"/>
      <c r="AC1196" s="33"/>
      <c r="AD1196" s="189"/>
      <c r="AE1196" s="54"/>
      <c r="AF1196" s="55"/>
      <c r="AG1196" s="43"/>
      <c r="AH1196" s="47"/>
      <c r="AI1196" s="30"/>
      <c r="AJ1196" s="30"/>
      <c r="AK1196" s="30"/>
      <c r="AL1196" s="30"/>
      <c r="AM1196" s="13"/>
      <c r="AN1196" s="13"/>
      <c r="AO1196" s="13"/>
      <c r="AP1196" s="13"/>
      <c r="AQ1196" s="13"/>
      <c r="AR1196" s="14"/>
      <c r="AS1196" s="15"/>
    </row>
    <row r="1197" spans="1:45" s="17" customFormat="1" ht="30.95" hidden="1" customHeight="1" x14ac:dyDescent="0.2">
      <c r="A1197" s="37" t="s">
        <v>1643</v>
      </c>
      <c r="B1197" s="38" t="s">
        <v>1620</v>
      </c>
      <c r="C1197" s="45"/>
      <c r="D1197" s="31"/>
      <c r="E1197" s="31"/>
      <c r="F1197" s="268"/>
      <c r="G1197" s="269"/>
      <c r="H1197" s="269"/>
      <c r="I1197" s="301" t="s">
        <v>1732</v>
      </c>
      <c r="J1197" s="210" t="s">
        <v>1651</v>
      </c>
      <c r="K1197" s="270"/>
      <c r="L1197" s="270"/>
      <c r="M1197" s="39"/>
      <c r="N1197" s="39"/>
      <c r="O1197" s="156"/>
      <c r="P1197" s="47"/>
      <c r="Q1197" s="57"/>
      <c r="R1197" s="338"/>
      <c r="S1197" s="272"/>
      <c r="T1197" s="273"/>
      <c r="U1197" s="40"/>
      <c r="V1197" s="277"/>
      <c r="W1197" s="269"/>
      <c r="X1197" s="269"/>
      <c r="Y1197" s="275"/>
      <c r="Z1197" s="269"/>
      <c r="AA1197" s="57"/>
      <c r="AB1197" s="207"/>
      <c r="AC1197" s="33"/>
      <c r="AD1197" s="189"/>
      <c r="AE1197" s="54"/>
      <c r="AF1197" s="55"/>
      <c r="AG1197" s="43"/>
      <c r="AH1197" s="47"/>
      <c r="AI1197" s="30"/>
      <c r="AJ1197" s="30"/>
      <c r="AK1197" s="30"/>
      <c r="AL1197" s="30"/>
      <c r="AM1197" s="13"/>
      <c r="AN1197" s="13"/>
      <c r="AO1197" s="13"/>
      <c r="AP1197" s="13"/>
      <c r="AQ1197" s="13"/>
      <c r="AR1197" s="14"/>
      <c r="AS1197" s="15"/>
    </row>
    <row r="1198" spans="1:45" s="17" customFormat="1" ht="30.95" hidden="1" customHeight="1" x14ac:dyDescent="0.2">
      <c r="A1198" s="37"/>
      <c r="B1198" s="38"/>
      <c r="C1198" s="45"/>
      <c r="D1198" s="31"/>
      <c r="E1198" s="31"/>
      <c r="F1198" s="268"/>
      <c r="G1198" s="269"/>
      <c r="H1198" s="269"/>
      <c r="I1198" s="270"/>
      <c r="J1198" s="210"/>
      <c r="K1198" s="270"/>
      <c r="L1198" s="270"/>
      <c r="M1198" s="39"/>
      <c r="N1198" s="39"/>
      <c r="O1198" s="156"/>
      <c r="P1198" s="47"/>
      <c r="Q1198" s="57"/>
      <c r="R1198" s="338"/>
      <c r="S1198" s="272"/>
      <c r="T1198" s="273"/>
      <c r="U1198" s="40"/>
      <c r="V1198" s="277"/>
      <c r="W1198" s="269"/>
      <c r="X1198" s="269"/>
      <c r="Y1198" s="275"/>
      <c r="Z1198" s="269"/>
      <c r="AA1198" s="57"/>
      <c r="AB1198" s="207"/>
      <c r="AC1198" s="33"/>
      <c r="AD1198" s="189"/>
      <c r="AE1198" s="54"/>
      <c r="AF1198" s="55"/>
      <c r="AG1198" s="43"/>
      <c r="AH1198" s="47"/>
      <c r="AI1198" s="30"/>
      <c r="AJ1198" s="30"/>
      <c r="AK1198" s="30"/>
      <c r="AL1198" s="30"/>
      <c r="AM1198" s="13"/>
      <c r="AN1198" s="13"/>
      <c r="AO1198" s="13"/>
      <c r="AP1198" s="13"/>
      <c r="AQ1198" s="13"/>
      <c r="AR1198" s="14"/>
      <c r="AS1198" s="15"/>
    </row>
    <row r="1199" spans="1:45" s="17" customFormat="1" ht="30.95" hidden="1" customHeight="1" x14ac:dyDescent="0.2">
      <c r="A1199" s="37"/>
      <c r="B1199" s="38"/>
      <c r="C1199" s="45"/>
      <c r="D1199" s="31">
        <v>3732043</v>
      </c>
      <c r="E1199" s="31">
        <v>4162130</v>
      </c>
      <c r="F1199" s="268" t="str">
        <f>IF(D1199="","",VLOOKUP(D1199,契約台帳!$A$3:$K$4986,6,FALSE)&amp;VLOOKUP(D1199,契約台帳!$A$3:$K$4986,7,FALSE)&amp;VLOOKUP(D1199,契約台帳!$A$3:$K$4986,8,FALSE)&amp;VLOOKUP(D1199,契約台帳!$A$3:$K$4986,9,FALSE)&amp;VLOOKUP(D1199,契約台帳!$A$3:$K$4986,11,FALSE))</f>
        <v>3SNMCLBMSNEYK</v>
      </c>
      <c r="G1199" s="269" t="str">
        <f>IF(D1199="","",VLOOKUP(F1199,製品マスタ!$G$5:$H$5002,2,FALSE))</f>
        <v>S</v>
      </c>
      <c r="H1199" s="269" t="str">
        <f>IF(D1199="","",VLOOKUP(F1199,製品マスタ!$G$5:$K$5002,5,FALSE))</f>
        <v>MSNEYK</v>
      </c>
      <c r="I1199" s="270" t="str">
        <f>IF(D1199="","",VLOOKUP(F1199,製品マスタ!$G$5:$L$5002,6,FALSE))</f>
        <v>ＭＳＮ　ＥＹＫ</v>
      </c>
      <c r="J1199" s="210" t="s">
        <v>935</v>
      </c>
      <c r="K1199" s="270">
        <f>IF(D1199="","",VLOOKUP(D1199,契約台帳!$A$3:$L$4986,12,FALSE))</f>
        <v>50</v>
      </c>
      <c r="L1199" s="270" t="str">
        <f>IF(D1199="","",INDEX(製品マスタ!$Q$5:$Q$5002,MATCH('S4'!F1199&amp;'S4'!K1199,製品マスタ!$AO$5:$AO$5002,0)))</f>
        <v>N-MAT</v>
      </c>
      <c r="M1199" s="39">
        <v>1200</v>
      </c>
      <c r="N1199" s="39">
        <v>6000</v>
      </c>
      <c r="O1199" s="156">
        <v>6</v>
      </c>
      <c r="P1199" s="47">
        <v>2</v>
      </c>
      <c r="Q1199" s="213">
        <v>45224</v>
      </c>
      <c r="R1199" s="271">
        <f ca="1">IF(D1199="","",IF(OFFSET(D1199,-1,0)&lt;&gt;"","",IF(OR(J1199="リード付け",J1199="巻足し",J1199="巻返しリード付け"),M1199,VLOOKUP(D1199,契約台帳!$A$3:$N$4986,14,FALSE))))</f>
        <v>1200</v>
      </c>
      <c r="S1199" s="272">
        <f ca="1">IF(D1199="","",IF(OFFSET(D1199,-1,0)&lt;&gt;"","",IF(OR(J1199="リード付け",J1199="巻足し",J1199="巻返しリード付け"),M1199,VLOOKUP(D1199,契約台帳!$A$3:$O$4986,15,FALSE))))</f>
        <v>1200</v>
      </c>
      <c r="T1199" s="273">
        <f ca="1">IF(D1199="","",IF(J1199="リード付け",N1199,IF(J1199="巻返しリード付け",N1199,IF(J1199="巻足し",N1199*P1199+OFFSET(N1199,1,0)*OFFSET(P1199,1,0),VLOOKUP(D1199,契約台帳!$A$3:$P$4986,16,FALSE)))))</f>
        <v>12000</v>
      </c>
      <c r="U1199" s="40">
        <v>3</v>
      </c>
      <c r="V1199" s="274">
        <v>6</v>
      </c>
      <c r="W1199" s="269" t="str">
        <f ca="1">IF(D1199="","",IF(T1199="","",IF(OR(J1199="巻足し",J1199="巻返しリード付け"),"",IF(J1199="巻返し",VLOOKUP(F1199&amp;K1199&amp;M1199,製品マスタ!$M$5:$AD$5002,18,FALSE),IF(OR(J1199="リード付け",J1199="巻返しリード付け"),"原反コア",IF(J1199="スリット",VLOOKUP(F1199&amp;K1199&amp;R1199,製品マスタ!$N$5:$AD$5002,17,FALSE),""))))))</f>
        <v/>
      </c>
      <c r="X1199" s="269" t="str">
        <f ca="1">IF(D1199="","",IF(T1199="","",IF(J1199="巻足し","",IF(J1199="巻返し",VLOOKUP(F1199&amp;K1199&amp;M1199,製品マスタ!$M$5:$AE$5002,19,FALSE),IF(OR(J1199="リード付け",J1199="巻返しリード付け"),"",IF(J1199="スリット",VLOOKUP(F1199&amp;K1199&amp;R1199,製品マスタ!$N$5:$AE$5002,18,FALSE),""))))))</f>
        <v/>
      </c>
      <c r="Y1199" s="275">
        <f ca="1">IF(D1199="","",IF(T1199="","",VLOOKUP(D1199,契約台帳!$A$3:$Q$4986,17,FALSE)))</f>
        <v>2</v>
      </c>
      <c r="Z1199" s="269" t="str">
        <f ca="1">IF(D1199="","",IF(T1199="","",VLOOKUP(D1199,契約台帳!$A$3:$E$4986,5,FALSE)))</f>
        <v>大阪シーリング印刷㈱</v>
      </c>
      <c r="AA1199" s="57"/>
      <c r="AB1199" s="207" t="str">
        <f>IFERROR((VLOOKUP(F1199&amp;K1199&amp;M1199,製品マスタ!$M$5:$AM$5002,27,FALSE)),"")</f>
        <v>原反ケース再利用</v>
      </c>
      <c r="AC1199" s="33"/>
      <c r="AD1199" s="189"/>
      <c r="AE1199" s="54"/>
      <c r="AF1199" s="55">
        <f>+M1199*N1199*O1199/1000</f>
        <v>43200</v>
      </c>
      <c r="AG1199" s="43"/>
      <c r="AH1199" s="47"/>
      <c r="AI1199" s="30"/>
      <c r="AJ1199" s="30"/>
      <c r="AK1199" s="30"/>
      <c r="AL1199" s="30"/>
      <c r="AM1199" s="13"/>
      <c r="AN1199" s="13"/>
      <c r="AO1199" s="13"/>
      <c r="AP1199" s="13"/>
      <c r="AQ1199" s="13"/>
      <c r="AR1199" s="14"/>
      <c r="AS1199" s="15"/>
    </row>
    <row r="1200" spans="1:45" s="17" customFormat="1" ht="30.95" hidden="1" customHeight="1" x14ac:dyDescent="0.2">
      <c r="A1200" s="37"/>
      <c r="B1200" s="38"/>
      <c r="C1200" s="45"/>
      <c r="D1200" s="31"/>
      <c r="E1200" s="31"/>
      <c r="F1200" s="268"/>
      <c r="G1200" s="269"/>
      <c r="H1200" s="269"/>
      <c r="I1200" s="270"/>
      <c r="J1200" s="210"/>
      <c r="K1200" s="270"/>
      <c r="L1200" s="270"/>
      <c r="M1200" s="39"/>
      <c r="N1200" s="39"/>
      <c r="O1200" s="156"/>
      <c r="P1200" s="47"/>
      <c r="Q1200" s="57"/>
      <c r="R1200" s="338"/>
      <c r="S1200" s="272"/>
      <c r="T1200" s="273"/>
      <c r="U1200" s="40"/>
      <c r="V1200" s="277"/>
      <c r="W1200" s="269"/>
      <c r="X1200" s="269"/>
      <c r="Y1200" s="275"/>
      <c r="Z1200" s="269"/>
      <c r="AA1200" s="57"/>
      <c r="AB1200" s="207"/>
      <c r="AC1200" s="33"/>
      <c r="AD1200" s="189"/>
      <c r="AE1200" s="54"/>
      <c r="AF1200" s="55"/>
      <c r="AG1200" s="43"/>
      <c r="AH1200" s="47"/>
      <c r="AI1200" s="30"/>
      <c r="AJ1200" s="30"/>
      <c r="AK1200" s="30"/>
      <c r="AL1200" s="30"/>
      <c r="AM1200" s="13"/>
      <c r="AN1200" s="13"/>
      <c r="AO1200" s="13"/>
      <c r="AP1200" s="13"/>
      <c r="AQ1200" s="13"/>
      <c r="AR1200" s="14"/>
      <c r="AS1200" s="15"/>
    </row>
    <row r="1201" spans="1:45" s="17" customFormat="1" ht="30.95" hidden="1" customHeight="1" x14ac:dyDescent="0.2">
      <c r="A1201" s="37" t="s">
        <v>637</v>
      </c>
      <c r="B1201" s="38" t="s">
        <v>444</v>
      </c>
      <c r="C1201" s="45"/>
      <c r="D1201" s="31">
        <v>3731374</v>
      </c>
      <c r="E1201" s="31">
        <v>4162116</v>
      </c>
      <c r="F1201" s="268" t="str">
        <f>IF(D1201="","",VLOOKUP(D1201,契約台帳!$A$3:$K$4986,6,FALSE)&amp;VLOOKUP(D1201,契約台帳!$A$3:$K$4986,7,FALSE)&amp;VLOOKUP(D1201,契約台帳!$A$3:$K$4986,8,FALSE)&amp;VLOOKUP(D1201,契約台帳!$A$3:$K$4986,9,FALSE)&amp;VLOOKUP(D1201,契約台帳!$A$3:$K$4986,11,FALSE))</f>
        <v>3SYMLBMSBBF</v>
      </c>
      <c r="G1201" s="269" t="str">
        <f>IF(D1201="","",VLOOKUP(F1201,製品マスタ!$G$5:$H$5002,2,FALSE))</f>
        <v>S</v>
      </c>
      <c r="H1201" s="269" t="str">
        <f>IF(D1201="","",VLOOKUP(F1201,製品マスタ!$G$5:$K$5002,5,FALSE))</f>
        <v>MSBBF</v>
      </c>
      <c r="I1201" s="270" t="str">
        <f>IF(D1201="","",VLOOKUP(F1201,製品マスタ!$G$5:$L$5002,6,FALSE))</f>
        <v>ＭＥＴＡＬＵＭＹ　ＳＩＬＶＥＲ　ＢＲＩＧＨＴ　Ｔ６２Ｍ　Ｂ</v>
      </c>
      <c r="J1201" s="210" t="s">
        <v>935</v>
      </c>
      <c r="K1201" s="270">
        <f>IF(D1201="","",VLOOKUP(D1201,契約台帳!$A$3:$L$4986,12,FALSE))</f>
        <v>50</v>
      </c>
      <c r="L1201" s="270" t="str">
        <f>IF(D1201="","",INDEX(製品マスタ!$Q$5:$Q$5002,MATCH('S4'!F1201&amp;'S4'!K1201,製品マスタ!$AO$5:$AO$5002,0)))</f>
        <v>T62</v>
      </c>
      <c r="M1201" s="39">
        <v>1120</v>
      </c>
      <c r="N1201" s="39">
        <v>5000</v>
      </c>
      <c r="O1201" s="156">
        <v>2</v>
      </c>
      <c r="P1201" s="47">
        <v>2</v>
      </c>
      <c r="Q1201" s="213">
        <v>45226</v>
      </c>
      <c r="R1201" s="271">
        <f ca="1">IF(D1201="","",IF(OFFSET(D1201,-1,0)&lt;&gt;"","",IF(OR(J1201="リード付け",J1201="巻足し",J1201="巻返しリード付け"),M1201,VLOOKUP(D1201,契約台帳!$A$3:$N$4986,14,FALSE))))</f>
        <v>1120</v>
      </c>
      <c r="S1201" s="272">
        <f ca="1">IF(D1201="","",IF(OFFSET(D1201,-1,0)&lt;&gt;"","",IF(OR(J1201="リード付け",J1201="巻足し",J1201="巻返しリード付け"),M1201,VLOOKUP(D1201,契約台帳!$A$3:$O$4986,15,FALSE))))</f>
        <v>1120</v>
      </c>
      <c r="T1201" s="273">
        <f ca="1">IF(D1201="","",IF(J1201="リード付け",N1201,IF(J1201="巻返しリード付け",N1201,IF(J1201="巻足し",N1201*P1201+OFFSET(N1201,1,0)*OFFSET(P1201,1,0),VLOOKUP(D1201,契約台帳!$A$3:$P$4986,16,FALSE)))))</f>
        <v>10000</v>
      </c>
      <c r="U1201" s="40">
        <v>1</v>
      </c>
      <c r="V1201" s="274">
        <f ca="1">IF(D1201="","",IF(OFFSET(D1201,-2,0)=D1201,"",VLOOKUP(D1201,契約台帳!$A$3:$R$4986,18,FALSE)))</f>
        <v>2</v>
      </c>
      <c r="W1201" s="269" t="str">
        <f ca="1">IF(D1201="","",IF(T1201="","",IF(OR(J1201="巻足し",J1201="巻返しリード付け"),"",IF(J1201="巻返し",VLOOKUP(F1201&amp;K1201&amp;M1201,製品マスタ!$M$5:$AD$5002,18,FALSE),IF(OR(J1201="リード付け",J1201="巻返しリード付け"),"原反コア",IF(J1201="スリット",VLOOKUP(F1201&amp;K1201&amp;R1201,製品マスタ!$N$5:$AD$5002,17,FALSE),""))))))</f>
        <v/>
      </c>
      <c r="X1201" s="269" t="str">
        <f ca="1">IF(D1201="","",IF(T1201="","",IF(J1201="巻足し","",IF(J1201="巻返し",VLOOKUP(F1201&amp;K1201&amp;M1201,製品マスタ!$M$5:$AE$5002,19,FALSE),IF(OR(J1201="リード付け",J1201="巻返しリード付け"),"",IF(J1201="スリット",VLOOKUP(F1201&amp;K1201&amp;R1201,製品マスタ!$N$5:$AE$5002,18,FALSE),""))))))</f>
        <v/>
      </c>
      <c r="Y1201" s="275">
        <f ca="1">IF(D1201="","",IF(T1201="","",VLOOKUP(D1201,契約台帳!$A$3:$Q$4986,17,FALSE)))</f>
        <v>2</v>
      </c>
      <c r="Z1201" s="269" t="str">
        <f ca="1">IF(D1201="","",IF(T1201="","",VLOOKUP(D1201,契約台帳!$A$3:$E$4986,5,FALSE)))</f>
        <v>リンテック㈱</v>
      </c>
      <c r="AA1201" s="57"/>
      <c r="AB1201" s="207" t="str">
        <f>IFERROR((VLOOKUP(F1201&amp;K1201&amp;M1201,製品マスタ!$M$5:$AM$5002,27,FALSE)),"")</f>
        <v>原反ケース再利用</v>
      </c>
      <c r="AC1201" s="33"/>
      <c r="AD1201" s="189"/>
      <c r="AE1201" s="54"/>
      <c r="AF1201" s="55"/>
      <c r="AG1201" s="43"/>
      <c r="AH1201" s="47"/>
      <c r="AI1201" s="30"/>
      <c r="AJ1201" s="30"/>
      <c r="AK1201" s="30"/>
      <c r="AL1201" s="30"/>
      <c r="AM1201" s="13"/>
      <c r="AN1201" s="13"/>
      <c r="AO1201" s="13"/>
      <c r="AP1201" s="13"/>
      <c r="AQ1201" s="13"/>
      <c r="AR1201" s="14"/>
      <c r="AS1201" s="15"/>
    </row>
    <row r="1202" spans="1:45" s="17" customFormat="1" ht="30.95" hidden="1" customHeight="1" x14ac:dyDescent="0.2">
      <c r="A1202" s="37"/>
      <c r="B1202" s="38"/>
      <c r="C1202" s="45"/>
      <c r="D1202" s="31"/>
      <c r="E1202" s="31"/>
      <c r="F1202" s="268"/>
      <c r="G1202" s="269"/>
      <c r="H1202" s="269"/>
      <c r="I1202" s="270"/>
      <c r="J1202" s="210"/>
      <c r="K1202" s="270"/>
      <c r="L1202" s="270"/>
      <c r="M1202" s="39"/>
      <c r="N1202" s="39"/>
      <c r="O1202" s="156"/>
      <c r="P1202" s="47"/>
      <c r="Q1202" s="57"/>
      <c r="R1202" s="338"/>
      <c r="S1202" s="272"/>
      <c r="T1202" s="273"/>
      <c r="U1202" s="40"/>
      <c r="V1202" s="277"/>
      <c r="W1202" s="269"/>
      <c r="X1202" s="269"/>
      <c r="Y1202" s="275"/>
      <c r="Z1202" s="269"/>
      <c r="AA1202" s="57"/>
      <c r="AB1202" s="207"/>
      <c r="AC1202" s="33"/>
      <c r="AD1202" s="189"/>
      <c r="AE1202" s="54"/>
      <c r="AF1202" s="55"/>
      <c r="AG1202" s="43"/>
      <c r="AH1202" s="47"/>
      <c r="AI1202" s="30"/>
      <c r="AJ1202" s="30"/>
      <c r="AK1202" s="30"/>
      <c r="AL1202" s="30"/>
      <c r="AM1202" s="13"/>
      <c r="AN1202" s="13"/>
      <c r="AO1202" s="13"/>
      <c r="AP1202" s="13"/>
      <c r="AQ1202" s="13"/>
      <c r="AR1202" s="14"/>
      <c r="AS1202" s="15"/>
    </row>
    <row r="1203" spans="1:45" s="17" customFormat="1" ht="30.95" hidden="1" customHeight="1" x14ac:dyDescent="0.2">
      <c r="A1203" s="37"/>
      <c r="B1203" s="38"/>
      <c r="C1203" s="45"/>
      <c r="D1203" s="31">
        <v>3731376</v>
      </c>
      <c r="E1203" s="31">
        <v>4162117</v>
      </c>
      <c r="F1203" s="268" t="str">
        <f>IF(D1203="","",VLOOKUP(D1203,契約台帳!$A$3:$K$4986,6,FALSE)&amp;VLOOKUP(D1203,契約台帳!$A$3:$K$4986,7,FALSE)&amp;VLOOKUP(D1203,契約台帳!$A$3:$K$4986,8,FALSE)&amp;VLOOKUP(D1203,契約台帳!$A$3:$K$4986,9,FALSE)&amp;VLOOKUP(D1203,契約台帳!$A$3:$K$4986,11,FALSE))</f>
        <v>3SYMLBMSBBF</v>
      </c>
      <c r="G1203" s="269" t="str">
        <f>IF(D1203="","",VLOOKUP(F1203,製品マスタ!$G$5:$H$5002,2,FALSE))</f>
        <v>S</v>
      </c>
      <c r="H1203" s="269" t="str">
        <f>IF(D1203="","",VLOOKUP(F1203,製品マスタ!$G$5:$K$5002,5,FALSE))</f>
        <v>MSBBF</v>
      </c>
      <c r="I1203" s="270" t="str">
        <f>IF(D1203="","",VLOOKUP(F1203,製品マスタ!$G$5:$L$5002,6,FALSE))</f>
        <v>ＭＥＴＡＬＵＭＹ　ＳＩＬＶＥＲ　ＢＲＩＧＨＴ　Ｔ６２Ｍ　Ｂ</v>
      </c>
      <c r="J1203" s="210" t="s">
        <v>935</v>
      </c>
      <c r="K1203" s="270">
        <f>IF(D1203="","",VLOOKUP(D1203,契約台帳!$A$3:$L$4986,12,FALSE))</f>
        <v>50</v>
      </c>
      <c r="L1203" s="270" t="str">
        <f>IF(D1203="","",INDEX(製品マスタ!$Q$5:$Q$5002,MATCH('S4'!F1203&amp;'S4'!K1203,製品マスタ!$AO$5:$AO$5002,0)))</f>
        <v>T62</v>
      </c>
      <c r="M1203" s="39">
        <v>1120</v>
      </c>
      <c r="N1203" s="39">
        <v>5000</v>
      </c>
      <c r="O1203" s="156">
        <v>2</v>
      </c>
      <c r="P1203" s="47">
        <v>2</v>
      </c>
      <c r="Q1203" s="213">
        <v>45226</v>
      </c>
      <c r="R1203" s="271">
        <f ca="1">IF(D1203="","",IF(OFFSET(D1203,-1,0)&lt;&gt;"","",IF(OR(J1203="リード付け",J1203="巻足し",J1203="巻返しリード付け"),M1203,VLOOKUP(D1203,契約台帳!$A$3:$N$4986,14,FALSE))))</f>
        <v>1120</v>
      </c>
      <c r="S1203" s="272">
        <f ca="1">IF(D1203="","",IF(OFFSET(D1203,-1,0)&lt;&gt;"","",IF(OR(J1203="リード付け",J1203="巻足し",J1203="巻返しリード付け"),M1203,VLOOKUP(D1203,契約台帳!$A$3:$O$4986,15,FALSE))))</f>
        <v>1120</v>
      </c>
      <c r="T1203" s="273">
        <f ca="1">IF(D1203="","",IF(J1203="リード付け",N1203,IF(J1203="巻返しリード付け",N1203,IF(J1203="巻足し",N1203*P1203+OFFSET(N1203,1,0)*OFFSET(P1203,1,0),VLOOKUP(D1203,契約台帳!$A$3:$P$4986,16,FALSE)))))</f>
        <v>10000</v>
      </c>
      <c r="U1203" s="40">
        <v>1</v>
      </c>
      <c r="V1203" s="274">
        <f ca="1">IF(D1203="","",IF(OFFSET(D1203,-2,0)=D1203,"",VLOOKUP(D1203,契約台帳!$A$3:$R$4986,18,FALSE)))</f>
        <v>2</v>
      </c>
      <c r="W1203" s="269" t="str">
        <f ca="1">IF(D1203="","",IF(T1203="","",IF(OR(J1203="巻足し",J1203="巻返しリード付け"),"",IF(J1203="巻返し",VLOOKUP(F1203&amp;K1203&amp;M1203,製品マスタ!$M$5:$AD$5002,18,FALSE),IF(OR(J1203="リード付け",J1203="巻返しリード付け"),"原反コア",IF(J1203="スリット",VLOOKUP(F1203&amp;K1203&amp;R1203,製品マスタ!$N$5:$AD$5002,17,FALSE),""))))))</f>
        <v/>
      </c>
      <c r="X1203" s="269" t="str">
        <f ca="1">IF(D1203="","",IF(T1203="","",IF(J1203="巻足し","",IF(J1203="巻返し",VLOOKUP(F1203&amp;K1203&amp;M1203,製品マスタ!$M$5:$AE$5002,19,FALSE),IF(OR(J1203="リード付け",J1203="巻返しリード付け"),"",IF(J1203="スリット",VLOOKUP(F1203&amp;K1203&amp;R1203,製品マスタ!$N$5:$AE$5002,18,FALSE),""))))))</f>
        <v/>
      </c>
      <c r="Y1203" s="275">
        <f ca="1">IF(D1203="","",IF(T1203="","",VLOOKUP(D1203,契約台帳!$A$3:$Q$4986,17,FALSE)))</f>
        <v>2</v>
      </c>
      <c r="Z1203" s="269" t="str">
        <f ca="1">IF(D1203="","",IF(T1203="","",VLOOKUP(D1203,契約台帳!$A$3:$E$4986,5,FALSE)))</f>
        <v>リンテック㈱</v>
      </c>
      <c r="AA1203" s="57"/>
      <c r="AB1203" s="207" t="str">
        <f>IFERROR((VLOOKUP(F1203&amp;K1203&amp;M1203,製品マスタ!$M$5:$AM$5002,27,FALSE)),"")</f>
        <v>原反ケース再利用</v>
      </c>
      <c r="AC1203" s="33"/>
      <c r="AD1203" s="189"/>
      <c r="AE1203" s="54"/>
      <c r="AF1203" s="55"/>
      <c r="AG1203" s="43"/>
      <c r="AH1203" s="47"/>
      <c r="AI1203" s="30"/>
      <c r="AJ1203" s="30"/>
      <c r="AK1203" s="30"/>
      <c r="AL1203" s="30"/>
      <c r="AM1203" s="13"/>
      <c r="AN1203" s="13"/>
      <c r="AO1203" s="13"/>
      <c r="AP1203" s="13"/>
      <c r="AQ1203" s="13"/>
      <c r="AR1203" s="14"/>
      <c r="AS1203" s="15"/>
    </row>
    <row r="1204" spans="1:45" s="17" customFormat="1" ht="30.95" hidden="1" customHeight="1" x14ac:dyDescent="0.2">
      <c r="A1204" s="37"/>
      <c r="B1204" s="38"/>
      <c r="C1204" s="45"/>
      <c r="D1204" s="31"/>
      <c r="E1204" s="31"/>
      <c r="F1204" s="268"/>
      <c r="G1204" s="269"/>
      <c r="H1204" s="269"/>
      <c r="I1204" s="270"/>
      <c r="J1204" s="210"/>
      <c r="K1204" s="270"/>
      <c r="L1204" s="270"/>
      <c r="M1204" s="39"/>
      <c r="N1204" s="39"/>
      <c r="O1204" s="156"/>
      <c r="P1204" s="47"/>
      <c r="Q1204" s="57"/>
      <c r="R1204" s="338"/>
      <c r="S1204" s="272"/>
      <c r="T1204" s="273"/>
      <c r="U1204" s="40"/>
      <c r="V1204" s="277"/>
      <c r="W1204" s="269"/>
      <c r="X1204" s="269"/>
      <c r="Y1204" s="275"/>
      <c r="Z1204" s="269"/>
      <c r="AA1204" s="57"/>
      <c r="AB1204" s="207"/>
      <c r="AC1204" s="33"/>
      <c r="AD1204" s="189"/>
      <c r="AE1204" s="54"/>
      <c r="AF1204" s="55"/>
      <c r="AG1204" s="43"/>
      <c r="AH1204" s="47"/>
      <c r="AI1204" s="30"/>
      <c r="AJ1204" s="30"/>
      <c r="AK1204" s="30"/>
      <c r="AL1204" s="30"/>
      <c r="AM1204" s="13"/>
      <c r="AN1204" s="13"/>
      <c r="AO1204" s="13"/>
      <c r="AP1204" s="13"/>
      <c r="AQ1204" s="13"/>
      <c r="AR1204" s="14"/>
      <c r="AS1204" s="15"/>
    </row>
    <row r="1205" spans="1:45" s="17" customFormat="1" ht="30.95" hidden="1" customHeight="1" x14ac:dyDescent="0.2">
      <c r="A1205" s="37"/>
      <c r="B1205" s="38"/>
      <c r="C1205" s="45"/>
      <c r="D1205" s="31">
        <v>3731355</v>
      </c>
      <c r="E1205" s="31">
        <v>4162111</v>
      </c>
      <c r="F1205" s="268" t="str">
        <f>IF(D1205="","",VLOOKUP(D1205,契約台帳!$A$3:$K$4986,6,FALSE)&amp;VLOOKUP(D1205,契約台帳!$A$3:$K$4986,7,FALSE)&amp;VLOOKUP(D1205,契約台帳!$A$3:$K$4986,8,FALSE)&amp;VLOOKUP(D1205,契約台帳!$A$3:$K$4986,9,FALSE)&amp;VLOOKUP(D1205,契約台帳!$A$3:$K$4986,11,FALSE))</f>
        <v>3SNMLBMNGTBF</v>
      </c>
      <c r="G1205" s="269" t="str">
        <f>IF(D1205="","",VLOOKUP(F1205,製品マスタ!$G$5:$H$5002,2,FALSE))</f>
        <v>S</v>
      </c>
      <c r="H1205" s="269" t="str">
        <f>IF(D1205="","",VLOOKUP(F1205,製品マスタ!$G$5:$K$5002,5,FALSE))</f>
        <v>MNGTBF</v>
      </c>
      <c r="I1205" s="270" t="str">
        <f>IF(D1205="","",VLOOKUP(F1205,製品マスタ!$G$5:$L$5002,6,FALSE))</f>
        <v>メタルミー　ネーマー　銀艶　Ｂ</v>
      </c>
      <c r="J1205" s="210" t="s">
        <v>935</v>
      </c>
      <c r="K1205" s="270">
        <f>IF(D1205="","",VLOOKUP(D1205,契約台帳!$A$3:$L$4986,12,FALSE))</f>
        <v>50</v>
      </c>
      <c r="L1205" s="270" t="str">
        <f>IF(D1205="","",INDEX(製品マスタ!$Q$5:$Q$5002,MATCH('S4'!F1205&amp;'S4'!K1205,製品マスタ!$AO$5:$AO$5002,0)))</f>
        <v>T62</v>
      </c>
      <c r="M1205" s="39">
        <v>1120</v>
      </c>
      <c r="N1205" s="39">
        <v>5000</v>
      </c>
      <c r="O1205" s="156">
        <v>14</v>
      </c>
      <c r="P1205" s="47">
        <v>2</v>
      </c>
      <c r="Q1205" s="213">
        <v>45225</v>
      </c>
      <c r="R1205" s="271">
        <f ca="1">IF(D1205="","",IF(OFFSET(D1205,-1,0)&lt;&gt;"","",IF(OR(J1205="リード付け",J1205="巻足し",J1205="巻返しリード付け"),M1205,VLOOKUP(D1205,契約台帳!$A$3:$N$4986,14,FALSE))))</f>
        <v>1120</v>
      </c>
      <c r="S1205" s="272">
        <f ca="1">IF(D1205="","",IF(OFFSET(D1205,-1,0)&lt;&gt;"","",IF(OR(J1205="リード付け",J1205="巻足し",J1205="巻返しリード付け"),M1205,VLOOKUP(D1205,契約台帳!$A$3:$O$4986,15,FALSE))))</f>
        <v>1120</v>
      </c>
      <c r="T1205" s="273">
        <f ca="1">IF(D1205="","",IF(J1205="リード付け",N1205,IF(J1205="巻返しリード付け",N1205,IF(J1205="巻足し",N1205*P1205+OFFSET(N1205,1,0)*OFFSET(P1205,1,0),VLOOKUP(D1205,契約台帳!$A$3:$P$4986,16,FALSE)))))</f>
        <v>10000</v>
      </c>
      <c r="U1205" s="40">
        <v>7</v>
      </c>
      <c r="V1205" s="274">
        <f ca="1">IF(D1205="","",IF(OFFSET(D1205,-2,0)=D1205,"",VLOOKUP(D1205,契約台帳!$A$3:$R$4986,18,FALSE)))</f>
        <v>30</v>
      </c>
      <c r="W1205" s="269" t="str">
        <f ca="1">IF(D1205="","",IF(T1205="","",IF(OR(J1205="巻足し",J1205="巻返しリード付け"),"",IF(J1205="巻返し",VLOOKUP(F1205&amp;K1205&amp;M1205,製品マスタ!$M$5:$AD$5002,18,FALSE),IF(OR(J1205="リード付け",J1205="巻返しリード付け"),"原反コア",IF(J1205="スリット",VLOOKUP(F1205&amp;K1205&amp;R1205,製品マスタ!$N$5:$AD$5002,17,FALSE),""))))))</f>
        <v/>
      </c>
      <c r="X1205" s="269" t="str">
        <f ca="1">IF(D1205="","",IF(T1205="","",IF(J1205="巻足し","",IF(J1205="巻返し",VLOOKUP(F1205&amp;K1205&amp;M1205,製品マスタ!$M$5:$AE$5002,19,FALSE),IF(OR(J1205="リード付け",J1205="巻返しリード付け"),"",IF(J1205="スリット",VLOOKUP(F1205&amp;K1205&amp;R1205,製品マスタ!$N$5:$AE$5002,18,FALSE),""))))))</f>
        <v/>
      </c>
      <c r="Y1205" s="275">
        <f ca="1">IF(D1205="","",IF(T1205="","",VLOOKUP(D1205,契約台帳!$A$3:$Q$4986,17,FALSE)))</f>
        <v>2</v>
      </c>
      <c r="Z1205" s="269" t="str">
        <f ca="1">IF(D1205="","",IF(T1205="","",VLOOKUP(D1205,契約台帳!$A$3:$E$4986,5,FALSE)))</f>
        <v>リンテック㈱</v>
      </c>
      <c r="AA1205" s="57"/>
      <c r="AB1205" s="207" t="str">
        <f>IFERROR((VLOOKUP(F1205&amp;K1205&amp;M1205,製品マスタ!$M$5:$AM$5002,27,FALSE)),"")</f>
        <v>原反ケース再利用</v>
      </c>
      <c r="AC1205" s="33"/>
      <c r="AD1205" s="189"/>
      <c r="AE1205" s="54"/>
      <c r="AF1205" s="55">
        <f>+M1205*N1205*O1205/1000</f>
        <v>78400</v>
      </c>
      <c r="AG1205" s="43"/>
      <c r="AH1205" s="47"/>
      <c r="AI1205" s="30"/>
      <c r="AJ1205" s="30"/>
      <c r="AK1205" s="30"/>
      <c r="AL1205" s="30"/>
      <c r="AM1205" s="13"/>
      <c r="AN1205" s="13"/>
      <c r="AO1205" s="13"/>
      <c r="AP1205" s="13"/>
      <c r="AQ1205" s="13"/>
      <c r="AR1205" s="14"/>
      <c r="AS1205" s="15"/>
    </row>
    <row r="1206" spans="1:45" s="17" customFormat="1" ht="30.95" hidden="1" customHeight="1" x14ac:dyDescent="0.2">
      <c r="A1206" s="37"/>
      <c r="B1206" s="38"/>
      <c r="C1206" s="45"/>
      <c r="D1206" s="31"/>
      <c r="E1206" s="31"/>
      <c r="F1206" s="268"/>
      <c r="G1206" s="269"/>
      <c r="H1206" s="269"/>
      <c r="I1206" s="270"/>
      <c r="J1206" s="210"/>
      <c r="K1206" s="270"/>
      <c r="L1206" s="270"/>
      <c r="M1206" s="39"/>
      <c r="N1206" s="39"/>
      <c r="O1206" s="156"/>
      <c r="P1206" s="47"/>
      <c r="Q1206" s="57"/>
      <c r="R1206" s="338"/>
      <c r="S1206" s="272"/>
      <c r="T1206" s="273"/>
      <c r="U1206" s="40"/>
      <c r="V1206" s="277"/>
      <c r="W1206" s="269"/>
      <c r="X1206" s="269"/>
      <c r="Y1206" s="275"/>
      <c r="Z1206" s="269"/>
      <c r="AA1206" s="57"/>
      <c r="AB1206" s="207"/>
      <c r="AC1206" s="33"/>
      <c r="AD1206" s="189"/>
      <c r="AE1206" s="54"/>
      <c r="AF1206" s="55"/>
      <c r="AG1206" s="43"/>
      <c r="AH1206" s="47"/>
      <c r="AI1206" s="30"/>
      <c r="AJ1206" s="30"/>
      <c r="AK1206" s="30"/>
      <c r="AL1206" s="30"/>
      <c r="AM1206" s="13"/>
      <c r="AN1206" s="13"/>
      <c r="AO1206" s="13"/>
      <c r="AP1206" s="13"/>
      <c r="AQ1206" s="13"/>
      <c r="AR1206" s="14"/>
      <c r="AS1206" s="15"/>
    </row>
    <row r="1207" spans="1:45" s="17" customFormat="1" ht="30.95" hidden="1" customHeight="1" x14ac:dyDescent="0.2">
      <c r="A1207" s="37" t="s">
        <v>1644</v>
      </c>
      <c r="B1207" s="38" t="s">
        <v>1624</v>
      </c>
      <c r="C1207" s="45"/>
      <c r="D1207" s="31"/>
      <c r="E1207" s="31"/>
      <c r="F1207" s="268"/>
      <c r="G1207" s="269"/>
      <c r="H1207" s="269"/>
      <c r="I1207" s="270"/>
      <c r="J1207" s="210" t="s">
        <v>1632</v>
      </c>
      <c r="K1207" s="270"/>
      <c r="L1207" s="270"/>
      <c r="M1207" s="39"/>
      <c r="N1207" s="39"/>
      <c r="O1207" s="156"/>
      <c r="P1207" s="47"/>
      <c r="Q1207" s="57"/>
      <c r="R1207" s="338"/>
      <c r="S1207" s="272"/>
      <c r="T1207" s="273"/>
      <c r="U1207" s="40"/>
      <c r="V1207" s="277"/>
      <c r="W1207" s="269"/>
      <c r="X1207" s="269"/>
      <c r="Y1207" s="275"/>
      <c r="Z1207" s="269"/>
      <c r="AA1207" s="57"/>
      <c r="AB1207" s="207"/>
      <c r="AC1207" s="33"/>
      <c r="AD1207" s="189"/>
      <c r="AE1207" s="54"/>
      <c r="AF1207" s="55"/>
      <c r="AG1207" s="43"/>
      <c r="AH1207" s="47"/>
      <c r="AI1207" s="30"/>
      <c r="AJ1207" s="30"/>
      <c r="AK1207" s="30"/>
      <c r="AL1207" s="30"/>
      <c r="AM1207" s="13"/>
      <c r="AN1207" s="13"/>
      <c r="AO1207" s="13"/>
      <c r="AP1207" s="13"/>
      <c r="AQ1207" s="13"/>
      <c r="AR1207" s="14"/>
      <c r="AS1207" s="15"/>
    </row>
    <row r="1208" spans="1:45" s="17" customFormat="1" ht="30.95" hidden="1" customHeight="1" x14ac:dyDescent="0.2">
      <c r="A1208" s="37"/>
      <c r="B1208" s="38"/>
      <c r="C1208" s="45"/>
      <c r="D1208" s="31"/>
      <c r="E1208" s="31"/>
      <c r="F1208" s="268"/>
      <c r="G1208" s="269"/>
      <c r="H1208" s="269"/>
      <c r="I1208" s="270"/>
      <c r="J1208" s="210"/>
      <c r="K1208" s="270"/>
      <c r="L1208" s="270"/>
      <c r="M1208" s="39"/>
      <c r="N1208" s="39"/>
      <c r="O1208" s="156"/>
      <c r="P1208" s="47"/>
      <c r="Q1208" s="57"/>
      <c r="R1208" s="338"/>
      <c r="S1208" s="272"/>
      <c r="T1208" s="273"/>
      <c r="U1208" s="40"/>
      <c r="V1208" s="277"/>
      <c r="W1208" s="269"/>
      <c r="X1208" s="269"/>
      <c r="Y1208" s="275"/>
      <c r="Z1208" s="269"/>
      <c r="AA1208" s="57"/>
      <c r="AB1208" s="207"/>
      <c r="AC1208" s="33"/>
      <c r="AD1208" s="189"/>
      <c r="AE1208" s="54"/>
      <c r="AF1208" s="55"/>
      <c r="AG1208" s="43"/>
      <c r="AH1208" s="47"/>
      <c r="AI1208" s="30"/>
      <c r="AJ1208" s="30"/>
      <c r="AK1208" s="30"/>
      <c r="AL1208" s="30"/>
      <c r="AM1208" s="13"/>
      <c r="AN1208" s="13"/>
      <c r="AO1208" s="13"/>
      <c r="AP1208" s="13"/>
      <c r="AQ1208" s="13"/>
      <c r="AR1208" s="14"/>
      <c r="AS1208" s="15"/>
    </row>
    <row r="1209" spans="1:45" s="17" customFormat="1" ht="30.95" hidden="1" customHeight="1" x14ac:dyDescent="0.2">
      <c r="A1209" s="37" t="s">
        <v>1645</v>
      </c>
      <c r="B1209" s="38" t="s">
        <v>1626</v>
      </c>
      <c r="C1209" s="45"/>
      <c r="D1209" s="31"/>
      <c r="E1209" s="31"/>
      <c r="F1209" s="268"/>
      <c r="G1209" s="269"/>
      <c r="H1209" s="269"/>
      <c r="I1209" s="270"/>
      <c r="J1209" s="210" t="s">
        <v>1632</v>
      </c>
      <c r="K1209" s="270"/>
      <c r="L1209" s="270"/>
      <c r="M1209" s="39"/>
      <c r="N1209" s="39"/>
      <c r="O1209" s="156"/>
      <c r="P1209" s="47"/>
      <c r="Q1209" s="57"/>
      <c r="R1209" s="338"/>
      <c r="S1209" s="272"/>
      <c r="T1209" s="273"/>
      <c r="U1209" s="40"/>
      <c r="V1209" s="277"/>
      <c r="W1209" s="269"/>
      <c r="X1209" s="269"/>
      <c r="Y1209" s="275"/>
      <c r="Z1209" s="269"/>
      <c r="AA1209" s="57"/>
      <c r="AB1209" s="207"/>
      <c r="AC1209" s="33"/>
      <c r="AD1209" s="189"/>
      <c r="AE1209" s="54"/>
      <c r="AF1209" s="55"/>
      <c r="AG1209" s="43"/>
      <c r="AH1209" s="47"/>
      <c r="AI1209" s="30"/>
      <c r="AJ1209" s="30"/>
      <c r="AK1209" s="30"/>
      <c r="AL1209" s="30"/>
      <c r="AM1209" s="13"/>
      <c r="AN1209" s="13"/>
      <c r="AO1209" s="13"/>
      <c r="AP1209" s="13"/>
      <c r="AQ1209" s="13"/>
      <c r="AR1209" s="14"/>
      <c r="AS1209" s="15"/>
    </row>
    <row r="1210" spans="1:45" s="17" customFormat="1" ht="30.95" hidden="1" customHeight="1" x14ac:dyDescent="0.2">
      <c r="A1210" s="37"/>
      <c r="B1210" s="38"/>
      <c r="C1210" s="45"/>
      <c r="D1210" s="31"/>
      <c r="E1210" s="31"/>
      <c r="F1210" s="268"/>
      <c r="G1210" s="269"/>
      <c r="H1210" s="269"/>
      <c r="I1210" s="270"/>
      <c r="J1210" s="210"/>
      <c r="K1210" s="270"/>
      <c r="L1210" s="270"/>
      <c r="M1210" s="39"/>
      <c r="N1210" s="39"/>
      <c r="O1210" s="156"/>
      <c r="P1210" s="47"/>
      <c r="Q1210" s="57"/>
      <c r="R1210" s="338"/>
      <c r="S1210" s="272"/>
      <c r="T1210" s="273"/>
      <c r="U1210" s="40"/>
      <c r="V1210" s="277"/>
      <c r="W1210" s="269"/>
      <c r="X1210" s="269"/>
      <c r="Y1210" s="275"/>
      <c r="Z1210" s="269"/>
      <c r="AA1210" s="57"/>
      <c r="AB1210" s="207"/>
      <c r="AC1210" s="33"/>
      <c r="AD1210" s="189"/>
      <c r="AE1210" s="54"/>
      <c r="AF1210" s="55"/>
      <c r="AG1210" s="43"/>
      <c r="AH1210" s="47"/>
      <c r="AI1210" s="30"/>
      <c r="AJ1210" s="30"/>
      <c r="AK1210" s="30"/>
      <c r="AL1210" s="30"/>
      <c r="AM1210" s="13"/>
      <c r="AN1210" s="13"/>
      <c r="AO1210" s="13"/>
      <c r="AP1210" s="13"/>
      <c r="AQ1210" s="13"/>
      <c r="AR1210" s="14"/>
      <c r="AS1210" s="15"/>
    </row>
    <row r="1211" spans="1:45" s="17" customFormat="1" ht="30.95" hidden="1" customHeight="1" x14ac:dyDescent="0.2">
      <c r="A1211" s="37" t="s">
        <v>638</v>
      </c>
      <c r="B1211" s="38" t="s">
        <v>462</v>
      </c>
      <c r="C1211" s="45"/>
      <c r="D1211" s="31">
        <v>3731355</v>
      </c>
      <c r="E1211" s="31">
        <v>4162111</v>
      </c>
      <c r="F1211" s="268" t="str">
        <f>IF(D1211="","",VLOOKUP(D1211,契約台帳!$A$3:$K$4986,6,FALSE)&amp;VLOOKUP(D1211,契約台帳!$A$3:$K$4986,7,FALSE)&amp;VLOOKUP(D1211,契約台帳!$A$3:$K$4986,8,FALSE)&amp;VLOOKUP(D1211,契約台帳!$A$3:$K$4986,9,FALSE)&amp;VLOOKUP(D1211,契約台帳!$A$3:$K$4986,11,FALSE))</f>
        <v>3SNMLBMNGTBF</v>
      </c>
      <c r="G1211" s="269" t="str">
        <f>IF(D1211="","",VLOOKUP(F1211,製品マスタ!$G$5:$H$5002,2,FALSE))</f>
        <v>S</v>
      </c>
      <c r="H1211" s="269" t="str">
        <f>IF(D1211="","",VLOOKUP(F1211,製品マスタ!$G$5:$K$5002,5,FALSE))</f>
        <v>MNGTBF</v>
      </c>
      <c r="I1211" s="270" t="str">
        <f>IF(D1211="","",VLOOKUP(F1211,製品マスタ!$G$5:$L$5002,6,FALSE))</f>
        <v>メタルミー　ネーマー　銀艶　Ｂ</v>
      </c>
      <c r="J1211" s="210" t="s">
        <v>935</v>
      </c>
      <c r="K1211" s="270">
        <f>IF(D1211="","",VLOOKUP(D1211,契約台帳!$A$3:$L$4986,12,FALSE))</f>
        <v>50</v>
      </c>
      <c r="L1211" s="270" t="str">
        <f>IF(D1211="","",INDEX(製品マスタ!$Q$5:$Q$5002,MATCH('S4'!F1211&amp;'S4'!K1211,製品マスタ!$AO$5:$AO$5002,0)))</f>
        <v>T62</v>
      </c>
      <c r="M1211" s="39">
        <v>1120</v>
      </c>
      <c r="N1211" s="39">
        <v>5000</v>
      </c>
      <c r="O1211" s="156">
        <v>16</v>
      </c>
      <c r="P1211" s="47">
        <v>2</v>
      </c>
      <c r="Q1211" s="213">
        <v>45225</v>
      </c>
      <c r="R1211" s="271">
        <f ca="1">IF(D1211="","",IF(OFFSET(D1211,-1,0)&lt;&gt;"","",IF(OR(J1211="リード付け",J1211="巻足し",J1211="巻返しリード付け"),M1211,VLOOKUP(D1211,契約台帳!$A$3:$N$4986,14,FALSE))))</f>
        <v>1120</v>
      </c>
      <c r="S1211" s="272">
        <f ca="1">IF(D1211="","",IF(OFFSET(D1211,-1,0)&lt;&gt;"","",IF(OR(J1211="リード付け",J1211="巻足し",J1211="巻返しリード付け"),M1211,VLOOKUP(D1211,契約台帳!$A$3:$O$4986,15,FALSE))))</f>
        <v>1120</v>
      </c>
      <c r="T1211" s="273">
        <f ca="1">IF(D1211="","",IF(J1211="リード付け",N1211,IF(J1211="巻返しリード付け",N1211,IF(J1211="巻足し",N1211*P1211+OFFSET(N1211,1,0)*OFFSET(P1211,1,0),VLOOKUP(D1211,契約台帳!$A$3:$P$4986,16,FALSE)))))</f>
        <v>10000</v>
      </c>
      <c r="U1211" s="40">
        <v>8</v>
      </c>
      <c r="V1211" s="274">
        <f ca="1">IF(D1211="","",IF(OFFSET(D1211,-2,0)=D1211,"",VLOOKUP(D1211,契約台帳!$A$3:$R$4986,18,FALSE)))</f>
        <v>30</v>
      </c>
      <c r="W1211" s="269" t="str">
        <f ca="1">IF(D1211="","",IF(T1211="","",IF(OR(J1211="巻足し",J1211="巻返しリード付け"),"",IF(J1211="巻返し",VLOOKUP(F1211&amp;K1211&amp;M1211,製品マスタ!$M$5:$AD$5002,18,FALSE),IF(OR(J1211="リード付け",J1211="巻返しリード付け"),"原反コア",IF(J1211="スリット",VLOOKUP(F1211&amp;K1211&amp;R1211,製品マスタ!$N$5:$AD$5002,17,FALSE),""))))))</f>
        <v/>
      </c>
      <c r="X1211" s="269" t="str">
        <f ca="1">IF(D1211="","",IF(T1211="","",IF(J1211="巻足し","",IF(J1211="巻返し",VLOOKUP(F1211&amp;K1211&amp;M1211,製品マスタ!$M$5:$AE$5002,19,FALSE),IF(OR(J1211="リード付け",J1211="巻返しリード付け"),"",IF(J1211="スリット",VLOOKUP(F1211&amp;K1211&amp;R1211,製品マスタ!$N$5:$AE$5002,18,FALSE),""))))))</f>
        <v/>
      </c>
      <c r="Y1211" s="275">
        <f ca="1">IF(D1211="","",IF(T1211="","",VLOOKUP(D1211,契約台帳!$A$3:$Q$4986,17,FALSE)))</f>
        <v>2</v>
      </c>
      <c r="Z1211" s="269" t="str">
        <f ca="1">IF(D1211="","",IF(T1211="","",VLOOKUP(D1211,契約台帳!$A$3:$E$4986,5,FALSE)))</f>
        <v>リンテック㈱</v>
      </c>
      <c r="AA1211" s="57"/>
      <c r="AB1211" s="207" t="str">
        <f>IFERROR((VLOOKUP(F1211&amp;K1211&amp;M1211,製品マスタ!$M$5:$AM$5002,27,FALSE)),"")</f>
        <v>原反ケース再利用</v>
      </c>
      <c r="AC1211" s="33"/>
      <c r="AD1211" s="189"/>
      <c r="AE1211" s="54"/>
      <c r="AF1211" s="55">
        <f>+M1211*N1211*O1211/1000</f>
        <v>89600</v>
      </c>
      <c r="AG1211" s="43"/>
      <c r="AH1211" s="47"/>
      <c r="AI1211" s="30"/>
      <c r="AJ1211" s="30"/>
      <c r="AK1211" s="30"/>
      <c r="AL1211" s="30"/>
      <c r="AM1211" s="13"/>
      <c r="AN1211" s="13"/>
      <c r="AO1211" s="13"/>
      <c r="AP1211" s="13"/>
      <c r="AQ1211" s="13"/>
      <c r="AR1211" s="14"/>
      <c r="AS1211" s="15"/>
    </row>
    <row r="1212" spans="1:45" s="17" customFormat="1" ht="30.95" hidden="1" customHeight="1" x14ac:dyDescent="0.2">
      <c r="A1212" s="37"/>
      <c r="B1212" s="38"/>
      <c r="C1212" s="45"/>
      <c r="D1212" s="31"/>
      <c r="E1212" s="31"/>
      <c r="F1212" s="268"/>
      <c r="G1212" s="269"/>
      <c r="H1212" s="269"/>
      <c r="I1212" s="270"/>
      <c r="J1212" s="210"/>
      <c r="K1212" s="270"/>
      <c r="L1212" s="270"/>
      <c r="M1212" s="39"/>
      <c r="N1212" s="39"/>
      <c r="O1212" s="156"/>
      <c r="P1212" s="47"/>
      <c r="Q1212" s="57"/>
      <c r="R1212" s="338"/>
      <c r="S1212" s="272"/>
      <c r="T1212" s="273"/>
      <c r="U1212" s="40"/>
      <c r="V1212" s="277"/>
      <c r="W1212" s="269"/>
      <c r="X1212" s="269"/>
      <c r="Y1212" s="275"/>
      <c r="Z1212" s="269"/>
      <c r="AA1212" s="57"/>
      <c r="AB1212" s="207"/>
      <c r="AC1212" s="33"/>
      <c r="AD1212" s="189"/>
      <c r="AE1212" s="54"/>
      <c r="AF1212" s="55"/>
      <c r="AG1212" s="43"/>
      <c r="AH1212" s="47"/>
      <c r="AI1212" s="30"/>
      <c r="AJ1212" s="30"/>
      <c r="AK1212" s="30"/>
      <c r="AL1212" s="30"/>
      <c r="AM1212" s="13"/>
      <c r="AN1212" s="13"/>
      <c r="AO1212" s="13"/>
      <c r="AP1212" s="13"/>
      <c r="AQ1212" s="13"/>
      <c r="AR1212" s="14"/>
      <c r="AS1212" s="15"/>
    </row>
    <row r="1213" spans="1:45" s="17" customFormat="1" ht="30.95" hidden="1" customHeight="1" x14ac:dyDescent="0.2">
      <c r="A1213" s="37"/>
      <c r="B1213" s="38"/>
      <c r="C1213" s="45"/>
      <c r="D1213" s="31">
        <v>3731371</v>
      </c>
      <c r="E1213" s="31">
        <v>4162122</v>
      </c>
      <c r="F1213" s="268" t="str">
        <f>IF(D1213="","",VLOOKUP(D1213,契約台帳!$A$3:$K$4986,6,FALSE)&amp;VLOOKUP(D1213,契約台帳!$A$3:$K$4986,7,FALSE)&amp;VLOOKUP(D1213,契約台帳!$A$3:$K$4986,8,FALSE)&amp;VLOOKUP(D1213,契約台帳!$A$3:$K$4986,9,FALSE)&amp;VLOOKUP(D1213,契約台帳!$A$3:$K$4986,11,FALSE))</f>
        <v>3SYMLBMSSMBF</v>
      </c>
      <c r="G1213" s="269" t="str">
        <f>IF(D1213="","",VLOOKUP(F1213,製品マスタ!$G$5:$H$5002,2,FALSE))</f>
        <v>S</v>
      </c>
      <c r="H1213" s="269" t="str">
        <f>IF(D1213="","",VLOOKUP(F1213,製品マスタ!$G$5:$K$5002,5,FALSE))</f>
        <v>MSSMBF</v>
      </c>
      <c r="I1213" s="270" t="str">
        <f>IF(D1213="","",VLOOKUP(F1213,製品マスタ!$G$5:$L$5002,6,FALSE))</f>
        <v>ＭＥＴＡＬＵＭＹ　ＳＩＬＶＥＲ　Ｓ－ＭＡＴＴＥ　Ｓ２８ＭＭ　Ｂ</v>
      </c>
      <c r="J1213" s="210" t="s">
        <v>935</v>
      </c>
      <c r="K1213" s="270">
        <f>IF(D1213="","",VLOOKUP(D1213,契約台帳!$A$3:$L$4986,12,FALSE))</f>
        <v>25</v>
      </c>
      <c r="L1213" s="270" t="str">
        <f>IF(D1213="","",INDEX(製品マスタ!$Q$5:$Q$5002,MATCH('S4'!F1213&amp;'S4'!K1213,製品マスタ!$AO$5:$AO$5002,0)))</f>
        <v>LI-MAT</v>
      </c>
      <c r="M1213" s="39">
        <v>1120</v>
      </c>
      <c r="N1213" s="39">
        <v>8000</v>
      </c>
      <c r="O1213" s="156">
        <v>2</v>
      </c>
      <c r="P1213" s="47">
        <v>2</v>
      </c>
      <c r="Q1213" s="213">
        <v>45226</v>
      </c>
      <c r="R1213" s="271">
        <f ca="1">IF(D1213="","",IF(OFFSET(D1213,-1,0)&lt;&gt;"","",IF(OR(J1213="リード付け",J1213="巻足し",J1213="巻返しリード付け"),M1213,VLOOKUP(D1213,契約台帳!$A$3:$N$4986,14,FALSE))))</f>
        <v>1120</v>
      </c>
      <c r="S1213" s="272">
        <f ca="1">IF(D1213="","",IF(OFFSET(D1213,-1,0)&lt;&gt;"","",IF(OR(J1213="リード付け",J1213="巻足し",J1213="巻返しリード付け"),M1213,VLOOKUP(D1213,契約台帳!$A$3:$O$4986,15,FALSE))))</f>
        <v>1120</v>
      </c>
      <c r="T1213" s="273">
        <f ca="1">IF(D1213="","",IF(J1213="リード付け",N1213,IF(J1213="巻返しリード付け",N1213,IF(J1213="巻足し",N1213*P1213+OFFSET(N1213,1,0)*OFFSET(P1213,1,0),VLOOKUP(D1213,契約台帳!$A$3:$P$4986,16,FALSE)))))</f>
        <v>16000</v>
      </c>
      <c r="U1213" s="40">
        <v>1</v>
      </c>
      <c r="V1213" s="274">
        <f ca="1">IF(D1213="","",IF(OFFSET(D1213,-2,0)=D1213,"",VLOOKUP(D1213,契約台帳!$A$3:$R$4986,18,FALSE)))</f>
        <v>2</v>
      </c>
      <c r="W1213" s="269" t="str">
        <f ca="1">IF(D1213="","",IF(T1213="","",IF(OR(J1213="巻足し",J1213="巻返しリード付け"),"",IF(J1213="巻返し",VLOOKUP(F1213&amp;K1213&amp;M1213,製品マスタ!$M$5:$AD$5002,18,FALSE),IF(OR(J1213="リード付け",J1213="巻返しリード付け"),"原反コア",IF(J1213="スリット",VLOOKUP(F1213&amp;K1213&amp;R1213,製品マスタ!$N$5:$AD$5002,17,FALSE),""))))))</f>
        <v/>
      </c>
      <c r="X1213" s="269" t="str">
        <f ca="1">IF(D1213="","",IF(T1213="","",IF(J1213="巻足し","",IF(J1213="巻返し",VLOOKUP(F1213&amp;K1213&amp;M1213,製品マスタ!$M$5:$AE$5002,19,FALSE),IF(OR(J1213="リード付け",J1213="巻返しリード付け"),"",IF(J1213="スリット",VLOOKUP(F1213&amp;K1213&amp;R1213,製品マスタ!$N$5:$AE$5002,18,FALSE),""))))))</f>
        <v/>
      </c>
      <c r="Y1213" s="275">
        <f ca="1">IF(D1213="","",IF(T1213="","",VLOOKUP(D1213,契約台帳!$A$3:$Q$4986,17,FALSE)))</f>
        <v>2</v>
      </c>
      <c r="Z1213" s="269" t="str">
        <f ca="1">IF(D1213="","",IF(T1213="","",VLOOKUP(D1213,契約台帳!$A$3:$E$4986,5,FALSE)))</f>
        <v>リンテック㈱</v>
      </c>
      <c r="AA1213" s="57"/>
      <c r="AB1213" s="207">
        <f>IFERROR((VLOOKUP(F1213&amp;K1213&amp;M1213,製品マスタ!$M$5:$AM$5002,27,FALSE)),"")</f>
        <v>0</v>
      </c>
      <c r="AC1213" s="33"/>
      <c r="AD1213" s="189"/>
      <c r="AE1213" s="54"/>
      <c r="AF1213" s="55">
        <f>+M1213*N1213*O1213/1000</f>
        <v>17920</v>
      </c>
      <c r="AG1213" s="43"/>
      <c r="AH1213" s="47"/>
      <c r="AI1213" s="30"/>
      <c r="AJ1213" s="30"/>
      <c r="AK1213" s="30"/>
      <c r="AL1213" s="30"/>
      <c r="AM1213" s="13"/>
      <c r="AN1213" s="13"/>
      <c r="AO1213" s="13"/>
      <c r="AP1213" s="13"/>
      <c r="AQ1213" s="13"/>
      <c r="AR1213" s="14"/>
      <c r="AS1213" s="15"/>
    </row>
    <row r="1214" spans="1:45" s="17" customFormat="1" ht="30.95" hidden="1" customHeight="1" x14ac:dyDescent="0.2">
      <c r="A1214" s="37"/>
      <c r="B1214" s="38"/>
      <c r="C1214" s="45"/>
      <c r="D1214" s="31"/>
      <c r="E1214" s="31"/>
      <c r="F1214" s="268"/>
      <c r="G1214" s="269"/>
      <c r="H1214" s="269"/>
      <c r="I1214" s="270"/>
      <c r="J1214" s="210"/>
      <c r="K1214" s="270"/>
      <c r="L1214" s="270"/>
      <c r="M1214" s="39"/>
      <c r="N1214" s="39"/>
      <c r="O1214" s="156"/>
      <c r="P1214" s="47"/>
      <c r="Q1214" s="57"/>
      <c r="R1214" s="338"/>
      <c r="S1214" s="272"/>
      <c r="T1214" s="273"/>
      <c r="U1214" s="40"/>
      <c r="V1214" s="277"/>
      <c r="W1214" s="269"/>
      <c r="X1214" s="269"/>
      <c r="Y1214" s="275"/>
      <c r="Z1214" s="269"/>
      <c r="AA1214" s="57"/>
      <c r="AB1214" s="207"/>
      <c r="AC1214" s="33"/>
      <c r="AD1214" s="189"/>
      <c r="AE1214" s="54"/>
      <c r="AF1214" s="55"/>
      <c r="AG1214" s="43"/>
      <c r="AH1214" s="47"/>
      <c r="AI1214" s="30"/>
      <c r="AJ1214" s="30"/>
      <c r="AK1214" s="30"/>
      <c r="AL1214" s="30"/>
      <c r="AM1214" s="13"/>
      <c r="AN1214" s="13"/>
      <c r="AO1214" s="13"/>
      <c r="AP1214" s="13"/>
      <c r="AQ1214" s="13"/>
      <c r="AR1214" s="14"/>
      <c r="AS1214" s="15"/>
    </row>
    <row r="1215" spans="1:45" s="17" customFormat="1" ht="30.95" hidden="1" customHeight="1" x14ac:dyDescent="0.2">
      <c r="A1215" s="37"/>
      <c r="B1215" s="38"/>
      <c r="C1215" s="45"/>
      <c r="D1215" s="31">
        <v>3731372</v>
      </c>
      <c r="E1215" s="31">
        <v>4162123</v>
      </c>
      <c r="F1215" s="268" t="str">
        <f>IF(D1215="","",VLOOKUP(D1215,契約台帳!$A$3:$K$4986,6,FALSE)&amp;VLOOKUP(D1215,契約台帳!$A$3:$K$4986,7,FALSE)&amp;VLOOKUP(D1215,契約台帳!$A$3:$K$4986,8,FALSE)&amp;VLOOKUP(D1215,契約台帳!$A$3:$K$4986,9,FALSE)&amp;VLOOKUP(D1215,契約台帳!$A$3:$K$4986,11,FALSE))</f>
        <v>3SYMLBMSSMBF</v>
      </c>
      <c r="G1215" s="269" t="str">
        <f>IF(D1215="","",VLOOKUP(F1215,製品マスタ!$G$5:$H$5002,2,FALSE))</f>
        <v>S</v>
      </c>
      <c r="H1215" s="269" t="str">
        <f>IF(D1215="","",VLOOKUP(F1215,製品マスタ!$G$5:$K$5002,5,FALSE))</f>
        <v>MSSMBF</v>
      </c>
      <c r="I1215" s="270" t="str">
        <f>IF(D1215="","",VLOOKUP(F1215,製品マスタ!$G$5:$L$5002,6,FALSE))</f>
        <v>ＭＥＴＡＬＵＭＹ　ＳＩＬＶＥＲ　Ｓ－ＭＡＴＴＥ　Ｓ２８ＭＭ　Ｂ</v>
      </c>
      <c r="J1215" s="210" t="s">
        <v>1733</v>
      </c>
      <c r="K1215" s="270">
        <f>IF(D1215="","",VLOOKUP(D1215,契約台帳!$A$3:$L$4986,12,FALSE))</f>
        <v>25</v>
      </c>
      <c r="L1215" s="270" t="str">
        <f>IF(D1215="","",INDEX(製品マスタ!$Q$5:$Q$5002,MATCH('S4'!F1215&amp;'S4'!K1215,製品マスタ!$AO$5:$AO$5002,0)))</f>
        <v>LI-MAT</v>
      </c>
      <c r="M1215" s="39">
        <v>1120</v>
      </c>
      <c r="N1215" s="39">
        <v>8000</v>
      </c>
      <c r="O1215" s="156">
        <v>1</v>
      </c>
      <c r="P1215" s="47">
        <v>1</v>
      </c>
      <c r="Q1215" s="213">
        <v>45226</v>
      </c>
      <c r="R1215" s="271">
        <f ca="1">IF(D1215="","",IF(OFFSET(D1215,-1,0)&lt;&gt;"","",IF(OR(J1215="リード付け",J1215="巻足し",J1215="巻返しリード付け"),M1215,VLOOKUP(D1215,契約台帳!$A$3:$N$4986,14,FALSE))))</f>
        <v>1120</v>
      </c>
      <c r="S1215" s="272">
        <f ca="1">IF(D1215="","",IF(OFFSET(D1215,-1,0)&lt;&gt;"","",IF(OR(J1215="リード付け",J1215="巻足し",J1215="巻返しリード付け"),M1215,VLOOKUP(D1215,契約台帳!$A$3:$O$4986,15,FALSE))))</f>
        <v>1120</v>
      </c>
      <c r="T1215" s="273">
        <f ca="1">IF(D1215="","",IF(J1215="リード付け",N1215,IF(J1215="巻返しリード付け",N1215,IF(J1215="巻足し",N1215*P1215+OFFSET(N1215,1,0)*OFFSET(P1215,1,0),VLOOKUP(D1215,契約台帳!$A$3:$P$4986,16,FALSE)))))</f>
        <v>8000</v>
      </c>
      <c r="U1215" s="40">
        <v>1</v>
      </c>
      <c r="V1215" s="274">
        <f ca="1">IF(D1215="","",IF(OFFSET(D1215,-2,0)=D1215,"",VLOOKUP(D1215,契約台帳!$A$3:$R$4986,18,FALSE)))</f>
        <v>1</v>
      </c>
      <c r="W1215" s="269" t="str">
        <f ca="1">IF(D1215="","",IF(T1215="","",IF(OR(J1215="巻足し",J1215="巻返しリード付け"),"",IF(J1215="巻返し",VLOOKUP(F1215&amp;K1215&amp;M1215,製品マスタ!$M$5:$AD$5002,18,FALSE),IF(OR(J1215="リード付け",J1215="巻返しリード付け"),"原反コア",IF(J1215="スリット",VLOOKUP(F1215&amp;K1215&amp;R1215,製品マスタ!$N$5:$AD$5002,17,FALSE),""))))))</f>
        <v/>
      </c>
      <c r="X1215" s="269" t="str">
        <f ca="1">IF(D1215="","",IF(T1215="","",IF(J1215="巻足し","",IF(J1215="巻返し",VLOOKUP(F1215&amp;K1215&amp;M1215,製品マスタ!$M$5:$AE$5002,19,FALSE),IF(OR(J1215="リード付け",J1215="巻返しリード付け"),"",IF(J1215="スリット",VLOOKUP(F1215&amp;K1215&amp;R1215,製品マスタ!$N$5:$AE$5002,18,FALSE),""))))))</f>
        <v/>
      </c>
      <c r="Y1215" s="275">
        <f ca="1">IF(D1215="","",IF(T1215="","",VLOOKUP(D1215,契約台帳!$A$3:$Q$4986,17,FALSE)))</f>
        <v>2</v>
      </c>
      <c r="Z1215" s="269" t="str">
        <f ca="1">IF(D1215="","",IF(T1215="","",VLOOKUP(D1215,契約台帳!$A$3:$E$4986,5,FALSE)))</f>
        <v>リンテック㈱</v>
      </c>
      <c r="AA1215" s="57"/>
      <c r="AB1215" s="207">
        <f>IFERROR((VLOOKUP(F1215&amp;K1215&amp;M1215,製品マスタ!$M$5:$AM$5002,27,FALSE)),"")</f>
        <v>0</v>
      </c>
      <c r="AC1215" s="33"/>
      <c r="AD1215" s="189"/>
      <c r="AE1215" s="54"/>
      <c r="AF1215" s="55">
        <f>+M1215*N1215*O1215/1000</f>
        <v>8960</v>
      </c>
      <c r="AG1215" s="43"/>
      <c r="AH1215" s="47"/>
      <c r="AI1215" s="30"/>
      <c r="AJ1215" s="30"/>
      <c r="AK1215" s="30"/>
      <c r="AL1215" s="30"/>
      <c r="AM1215" s="13"/>
      <c r="AN1215" s="13"/>
      <c r="AO1215" s="13"/>
      <c r="AP1215" s="13"/>
      <c r="AQ1215" s="13"/>
      <c r="AR1215" s="14"/>
      <c r="AS1215" s="15"/>
    </row>
    <row r="1216" spans="1:45" s="17" customFormat="1" ht="30.95" hidden="1" customHeight="1" x14ac:dyDescent="0.2">
      <c r="A1216" s="37"/>
      <c r="B1216" s="38"/>
      <c r="C1216" s="45"/>
      <c r="D1216" s="31"/>
      <c r="E1216" s="31"/>
      <c r="F1216" s="268"/>
      <c r="G1216" s="269"/>
      <c r="H1216" s="269"/>
      <c r="I1216" s="270"/>
      <c r="J1216" s="210"/>
      <c r="K1216" s="270"/>
      <c r="L1216" s="270"/>
      <c r="M1216" s="39"/>
      <c r="N1216" s="39"/>
      <c r="O1216" s="156"/>
      <c r="P1216" s="47"/>
      <c r="Q1216" s="57"/>
      <c r="R1216" s="338"/>
      <c r="S1216" s="272"/>
      <c r="T1216" s="273"/>
      <c r="U1216" s="40"/>
      <c r="V1216" s="277"/>
      <c r="W1216" s="269"/>
      <c r="X1216" s="269"/>
      <c r="Y1216" s="275"/>
      <c r="Z1216" s="269"/>
      <c r="AA1216" s="57"/>
      <c r="AB1216" s="207"/>
      <c r="AC1216" s="33"/>
      <c r="AD1216" s="189"/>
      <c r="AE1216" s="54"/>
      <c r="AF1216" s="55"/>
      <c r="AG1216" s="43"/>
      <c r="AH1216" s="47"/>
      <c r="AI1216" s="30"/>
      <c r="AJ1216" s="30"/>
      <c r="AK1216" s="30"/>
      <c r="AL1216" s="30"/>
      <c r="AM1216" s="13"/>
      <c r="AN1216" s="13"/>
      <c r="AO1216" s="13"/>
      <c r="AP1216" s="13"/>
      <c r="AQ1216" s="13"/>
      <c r="AR1216" s="14"/>
      <c r="AS1216" s="15"/>
    </row>
    <row r="1217" spans="1:45" s="17" customFormat="1" ht="30.95" hidden="1" customHeight="1" x14ac:dyDescent="0.2">
      <c r="A1217" s="37" t="s">
        <v>639</v>
      </c>
      <c r="B1217" s="38" t="s">
        <v>688</v>
      </c>
      <c r="C1217" s="45"/>
      <c r="D1217" s="31">
        <v>3731373</v>
      </c>
      <c r="E1217" s="31">
        <v>4162124</v>
      </c>
      <c r="F1217" s="268" t="str">
        <f>IF(D1217="","",VLOOKUP(D1217,契約台帳!$A$3:$K$4986,6,FALSE)&amp;VLOOKUP(D1217,契約台帳!$A$3:$K$4986,7,FALSE)&amp;VLOOKUP(D1217,契約台帳!$A$3:$K$4986,8,FALSE)&amp;VLOOKUP(D1217,契約台帳!$A$3:$K$4986,9,FALSE)&amp;VLOOKUP(D1217,契約台帳!$A$3:$K$4986,11,FALSE))</f>
        <v>3SYMLBMSSMBF</v>
      </c>
      <c r="G1217" s="269" t="str">
        <f>IF(D1217="","",VLOOKUP(F1217,製品マスタ!$G$5:$H$5002,2,FALSE))</f>
        <v>S</v>
      </c>
      <c r="H1217" s="269" t="str">
        <f>IF(D1217="","",VLOOKUP(F1217,製品マスタ!$G$5:$K$5002,5,FALSE))</f>
        <v>MSSMBF</v>
      </c>
      <c r="I1217" s="270" t="str">
        <f>IF(D1217="","",VLOOKUP(F1217,製品マスタ!$G$5:$L$5002,6,FALSE))</f>
        <v>ＭＥＴＡＬＵＭＹ　ＳＩＬＶＥＲ　Ｓ－ＭＡＴＴＥ　Ｓ２８ＭＭ　Ｂ</v>
      </c>
      <c r="J1217" s="210" t="s">
        <v>935</v>
      </c>
      <c r="K1217" s="270">
        <f>IF(D1217="","",VLOOKUP(D1217,契約台帳!$A$3:$L$4986,12,FALSE))</f>
        <v>50</v>
      </c>
      <c r="L1217" s="270" t="e">
        <f>IF(D1217="","",INDEX(製品マスタ!$Q$5:$Q$5002,MATCH('S4'!F1217&amp;'S4'!K1217,製品マスタ!$AO$5:$AO$5002,0)))</f>
        <v>#N/A</v>
      </c>
      <c r="M1217" s="39">
        <v>1120</v>
      </c>
      <c r="N1217" s="39">
        <v>4000</v>
      </c>
      <c r="O1217" s="156">
        <v>4</v>
      </c>
      <c r="P1217" s="47">
        <v>2</v>
      </c>
      <c r="Q1217" s="213">
        <v>45226</v>
      </c>
      <c r="R1217" s="271">
        <f ca="1">IF(D1217="","",IF(OFFSET(D1217,-1,0)&lt;&gt;"","",IF(OR(J1217="リード付け",J1217="巻足し",J1217="巻返しリード付け"),M1217,VLOOKUP(D1217,契約台帳!$A$3:$N$4986,14,FALSE))))</f>
        <v>1120</v>
      </c>
      <c r="S1217" s="272">
        <f ca="1">IF(D1217="","",IF(OFFSET(D1217,-1,0)&lt;&gt;"","",IF(OR(J1217="リード付け",J1217="巻足し",J1217="巻返しリード付け"),M1217,VLOOKUP(D1217,契約台帳!$A$3:$O$4986,15,FALSE))))</f>
        <v>1120</v>
      </c>
      <c r="T1217" s="273">
        <f ca="1">IF(D1217="","",IF(J1217="リード付け",N1217,IF(J1217="巻返しリード付け",N1217,IF(J1217="巻足し",N1217*P1217+OFFSET(N1217,1,0)*OFFSET(P1217,1,0),VLOOKUP(D1217,契約台帳!$A$3:$P$4986,16,FALSE)))))</f>
        <v>8000</v>
      </c>
      <c r="U1217" s="40">
        <v>2</v>
      </c>
      <c r="V1217" s="274">
        <f ca="1">IF(D1217="","",IF(OFFSET(D1217,-2,0)=D1217,"",VLOOKUP(D1217,契約台帳!$A$3:$R$4986,18,FALSE)))</f>
        <v>4</v>
      </c>
      <c r="W1217" s="269" t="str">
        <f ca="1">IF(D1217="","",IF(T1217="","",IF(OR(J1217="巻足し",J1217="巻返しリード付け"),"",IF(J1217="巻返し",VLOOKUP(F1217&amp;K1217&amp;M1217,製品マスタ!$M$5:$AD$5002,18,FALSE),IF(OR(J1217="リード付け",J1217="巻返しリード付け"),"原反コア",IF(J1217="スリット",VLOOKUP(F1217&amp;K1217&amp;R1217,製品マスタ!$N$5:$AD$5002,17,FALSE),""))))))</f>
        <v/>
      </c>
      <c r="X1217" s="269" t="str">
        <f ca="1">IF(D1217="","",IF(T1217="","",IF(J1217="巻足し","",IF(J1217="巻返し",VLOOKUP(F1217&amp;K1217&amp;M1217,製品マスタ!$M$5:$AE$5002,19,FALSE),IF(OR(J1217="リード付け",J1217="巻返しリード付け"),"",IF(J1217="スリット",VLOOKUP(F1217&amp;K1217&amp;R1217,製品マスタ!$N$5:$AE$5002,18,FALSE),""))))))</f>
        <v/>
      </c>
      <c r="Y1217" s="275">
        <f ca="1">IF(D1217="","",IF(T1217="","",VLOOKUP(D1217,契約台帳!$A$3:$Q$4986,17,FALSE)))</f>
        <v>2</v>
      </c>
      <c r="Z1217" s="269" t="str">
        <f ca="1">IF(D1217="","",IF(T1217="","",VLOOKUP(D1217,契約台帳!$A$3:$E$4986,5,FALSE)))</f>
        <v>リンテック㈱</v>
      </c>
      <c r="AA1217" s="57"/>
      <c r="AB1217" s="207" t="str">
        <f>IFERROR((VLOOKUP(F1217&amp;K1217&amp;M1217,製品マスタ!$M$5:$AM$5002,27,FALSE)),"")</f>
        <v/>
      </c>
      <c r="AC1217" s="33"/>
      <c r="AD1217" s="189"/>
      <c r="AE1217" s="54"/>
      <c r="AF1217" s="55">
        <f>+M1217*N1217*O1217/1000</f>
        <v>17920</v>
      </c>
      <c r="AG1217" s="43"/>
      <c r="AH1217" s="47"/>
      <c r="AI1217" s="30"/>
      <c r="AJ1217" s="30"/>
      <c r="AK1217" s="30"/>
      <c r="AL1217" s="30"/>
      <c r="AM1217" s="13"/>
      <c r="AN1217" s="13"/>
      <c r="AO1217" s="13"/>
      <c r="AP1217" s="13"/>
      <c r="AQ1217" s="13"/>
      <c r="AR1217" s="14"/>
      <c r="AS1217" s="15"/>
    </row>
    <row r="1218" spans="1:45" s="17" customFormat="1" ht="30.95" hidden="1" customHeight="1" x14ac:dyDescent="0.2">
      <c r="A1218" s="37"/>
      <c r="B1218" s="38"/>
      <c r="C1218" s="45"/>
      <c r="D1218" s="31"/>
      <c r="E1218" s="31"/>
      <c r="F1218" s="268"/>
      <c r="G1218" s="269"/>
      <c r="H1218" s="269"/>
      <c r="I1218" s="270"/>
      <c r="J1218" s="210"/>
      <c r="K1218" s="270"/>
      <c r="L1218" s="270"/>
      <c r="M1218" s="39"/>
      <c r="N1218" s="39"/>
      <c r="O1218" s="156"/>
      <c r="P1218" s="47"/>
      <c r="Q1218" s="57"/>
      <c r="R1218" s="338"/>
      <c r="S1218" s="272"/>
      <c r="T1218" s="273"/>
      <c r="U1218" s="40"/>
      <c r="V1218" s="277"/>
      <c r="W1218" s="269"/>
      <c r="X1218" s="269"/>
      <c r="Y1218" s="275"/>
      <c r="Z1218" s="269"/>
      <c r="AA1218" s="57"/>
      <c r="AB1218" s="207"/>
      <c r="AC1218" s="33"/>
      <c r="AD1218" s="189"/>
      <c r="AE1218" s="54"/>
      <c r="AF1218" s="55"/>
      <c r="AG1218" s="43"/>
      <c r="AH1218" s="47"/>
      <c r="AI1218" s="30"/>
      <c r="AJ1218" s="30"/>
      <c r="AK1218" s="30"/>
      <c r="AL1218" s="30"/>
      <c r="AM1218" s="13"/>
      <c r="AN1218" s="13"/>
      <c r="AO1218" s="13"/>
      <c r="AP1218" s="13"/>
      <c r="AQ1218" s="13"/>
      <c r="AR1218" s="14"/>
      <c r="AS1218" s="15"/>
    </row>
    <row r="1219" spans="1:45" s="17" customFormat="1" ht="30.95" hidden="1" customHeight="1" x14ac:dyDescent="0.2">
      <c r="A1219" s="37"/>
      <c r="B1219" s="38"/>
      <c r="C1219" s="45"/>
      <c r="D1219" s="31">
        <v>3731375</v>
      </c>
      <c r="E1219" s="31">
        <v>4162120</v>
      </c>
      <c r="F1219" s="268" t="str">
        <f>IF(D1219="","",VLOOKUP(D1219,契約台帳!$A$3:$K$4986,6,FALSE)&amp;VLOOKUP(D1219,契約台帳!$A$3:$K$4986,7,FALSE)&amp;VLOOKUP(D1219,契約台帳!$A$3:$K$4986,8,FALSE)&amp;VLOOKUP(D1219,契約台帳!$A$3:$K$4986,9,FALSE)&amp;VLOOKUP(D1219,契約台帳!$A$3:$K$4986,11,FALSE))</f>
        <v>3SYMLBMSNMBF</v>
      </c>
      <c r="G1219" s="269" t="str">
        <f>IF(D1219="","",VLOOKUP(F1219,製品マスタ!$G$5:$H$5002,2,FALSE))</f>
        <v>S</v>
      </c>
      <c r="H1219" s="269" t="str">
        <f>IF(D1219="","",VLOOKUP(F1219,製品マスタ!$G$5:$K$5002,5,FALSE))</f>
        <v>MSNMBF</v>
      </c>
      <c r="I1219" s="270" t="str">
        <f>IF(D1219="","",VLOOKUP(F1219,製品マスタ!$G$5:$L$5002,6,FALSE))</f>
        <v>ＭＥＴＡＬＵＭＹ　ＳＩＬＶＥＲ　Ｎ－ＭＡＴＴＥ　Ｘ４４Ｍ　Ｂ</v>
      </c>
      <c r="J1219" s="210" t="s">
        <v>935</v>
      </c>
      <c r="K1219" s="270">
        <f>IF(D1219="","",VLOOKUP(D1219,契約台帳!$A$3:$L$4986,12,FALSE))</f>
        <v>50</v>
      </c>
      <c r="L1219" s="270" t="str">
        <f>IF(D1219="","",INDEX(製品マスタ!$Q$5:$Q$5002,MATCH('S4'!F1219&amp;'S4'!K1219,製品マスタ!$AO$5:$AO$5002,0)))</f>
        <v>X44</v>
      </c>
      <c r="M1219" s="39">
        <v>1120</v>
      </c>
      <c r="N1219" s="39">
        <v>4000</v>
      </c>
      <c r="O1219" s="156">
        <v>2</v>
      </c>
      <c r="P1219" s="47">
        <v>2</v>
      </c>
      <c r="Q1219" s="213">
        <v>45226</v>
      </c>
      <c r="R1219" s="271">
        <f ca="1">IF(D1219="","",IF(OFFSET(D1219,-1,0)&lt;&gt;"","",IF(OR(J1219="リード付け",J1219="巻足し",J1219="巻返しリード付け"),M1219,VLOOKUP(D1219,契約台帳!$A$3:$N$4986,14,FALSE))))</f>
        <v>1120</v>
      </c>
      <c r="S1219" s="272">
        <f ca="1">IF(D1219="","",IF(OFFSET(D1219,-1,0)&lt;&gt;"","",IF(OR(J1219="リード付け",J1219="巻足し",J1219="巻返しリード付け"),M1219,VLOOKUP(D1219,契約台帳!$A$3:$O$4986,15,FALSE))))</f>
        <v>1120</v>
      </c>
      <c r="T1219" s="273">
        <f ca="1">IF(D1219="","",IF(J1219="リード付け",N1219,IF(J1219="巻返しリード付け",N1219,IF(J1219="巻足し",N1219*P1219+OFFSET(N1219,1,0)*OFFSET(P1219,1,0),VLOOKUP(D1219,契約台帳!$A$3:$P$4986,16,FALSE)))))</f>
        <v>8000</v>
      </c>
      <c r="U1219" s="40">
        <v>1</v>
      </c>
      <c r="V1219" s="274">
        <f ca="1">IF(D1219="","",IF(OFFSET(D1219,-2,0)=D1219,"",VLOOKUP(D1219,契約台帳!$A$3:$R$4986,18,FALSE)))</f>
        <v>2</v>
      </c>
      <c r="W1219" s="269" t="str">
        <f ca="1">IF(D1219="","",IF(T1219="","",IF(OR(J1219="巻足し",J1219="巻返しリード付け"),"",IF(J1219="巻返し",VLOOKUP(F1219&amp;K1219&amp;M1219,製品マスタ!$M$5:$AD$5002,18,FALSE),IF(OR(J1219="リード付け",J1219="巻返しリード付け"),"原反コア",IF(J1219="スリット",VLOOKUP(F1219&amp;K1219&amp;R1219,製品マスタ!$N$5:$AD$5002,17,FALSE),""))))))</f>
        <v/>
      </c>
      <c r="X1219" s="269" t="str">
        <f ca="1">IF(D1219="","",IF(T1219="","",IF(J1219="巻足し","",IF(J1219="巻返し",VLOOKUP(F1219&amp;K1219&amp;M1219,製品マスタ!$M$5:$AE$5002,19,FALSE),IF(OR(J1219="リード付け",J1219="巻返しリード付け"),"",IF(J1219="スリット",VLOOKUP(F1219&amp;K1219&amp;R1219,製品マスタ!$N$5:$AE$5002,18,FALSE),""))))))</f>
        <v/>
      </c>
      <c r="Y1219" s="275">
        <f ca="1">IF(D1219="","",IF(T1219="","",VLOOKUP(D1219,契約台帳!$A$3:$Q$4986,17,FALSE)))</f>
        <v>2</v>
      </c>
      <c r="Z1219" s="269" t="str">
        <f ca="1">IF(D1219="","",IF(T1219="","",VLOOKUP(D1219,契約台帳!$A$3:$E$4986,5,FALSE)))</f>
        <v>リンテック㈱</v>
      </c>
      <c r="AA1219" s="57"/>
      <c r="AB1219" s="207">
        <f>IFERROR((VLOOKUP(F1219&amp;K1219&amp;M1219,製品マスタ!$M$5:$AM$5002,27,FALSE)),"")</f>
        <v>0</v>
      </c>
      <c r="AC1219" s="33"/>
      <c r="AD1219" s="189"/>
      <c r="AE1219" s="54"/>
      <c r="AF1219" s="55">
        <f>+M1219*N1219*O1219/1000</f>
        <v>8960</v>
      </c>
      <c r="AG1219" s="43"/>
      <c r="AH1219" s="47"/>
      <c r="AI1219" s="30"/>
      <c r="AJ1219" s="30"/>
      <c r="AK1219" s="30"/>
      <c r="AL1219" s="30"/>
      <c r="AM1219" s="13"/>
      <c r="AN1219" s="13"/>
      <c r="AO1219" s="13"/>
      <c r="AP1219" s="13"/>
      <c r="AQ1219" s="13"/>
      <c r="AR1219" s="14"/>
      <c r="AS1219" s="15"/>
    </row>
    <row r="1220" spans="1:45" s="17" customFormat="1" ht="30.95" hidden="1" customHeight="1" x14ac:dyDescent="0.2">
      <c r="A1220" s="37"/>
      <c r="B1220" s="38"/>
      <c r="C1220" s="45"/>
      <c r="D1220" s="31"/>
      <c r="E1220" s="31"/>
      <c r="F1220" s="268"/>
      <c r="G1220" s="269"/>
      <c r="H1220" s="269"/>
      <c r="I1220" s="270"/>
      <c r="J1220" s="210"/>
      <c r="K1220" s="270"/>
      <c r="L1220" s="270"/>
      <c r="M1220" s="39"/>
      <c r="N1220" s="39"/>
      <c r="O1220" s="156"/>
      <c r="P1220" s="47"/>
      <c r="Q1220" s="57"/>
      <c r="R1220" s="338"/>
      <c r="S1220" s="272"/>
      <c r="T1220" s="273"/>
      <c r="U1220" s="40"/>
      <c r="V1220" s="277"/>
      <c r="W1220" s="269"/>
      <c r="X1220" s="269"/>
      <c r="Y1220" s="275"/>
      <c r="Z1220" s="269"/>
      <c r="AA1220" s="57"/>
      <c r="AB1220" s="207"/>
      <c r="AC1220" s="33"/>
      <c r="AD1220" s="189"/>
      <c r="AE1220" s="54"/>
      <c r="AF1220" s="55"/>
      <c r="AG1220" s="43"/>
      <c r="AH1220" s="47"/>
      <c r="AI1220" s="30"/>
      <c r="AJ1220" s="30"/>
      <c r="AK1220" s="30"/>
      <c r="AL1220" s="30"/>
      <c r="AM1220" s="13"/>
      <c r="AN1220" s="13"/>
      <c r="AO1220" s="13"/>
      <c r="AP1220" s="13"/>
      <c r="AQ1220" s="13"/>
      <c r="AR1220" s="14"/>
      <c r="AS1220" s="15"/>
    </row>
    <row r="1221" spans="1:45" s="17" customFormat="1" ht="30.95" hidden="1" customHeight="1" x14ac:dyDescent="0.2">
      <c r="A1221" s="37"/>
      <c r="B1221" s="38"/>
      <c r="C1221" s="45"/>
      <c r="D1221" s="31">
        <v>3731377</v>
      </c>
      <c r="E1221" s="31">
        <v>4162121</v>
      </c>
      <c r="F1221" s="268" t="str">
        <f>IF(D1221="","",VLOOKUP(D1221,契約台帳!$A$3:$K$4986,6,FALSE)&amp;VLOOKUP(D1221,契約台帳!$A$3:$K$4986,7,FALSE)&amp;VLOOKUP(D1221,契約台帳!$A$3:$K$4986,8,FALSE)&amp;VLOOKUP(D1221,契約台帳!$A$3:$K$4986,9,FALSE)&amp;VLOOKUP(D1221,契約台帳!$A$3:$K$4986,11,FALSE))</f>
        <v>3SYMLBMSNMBF</v>
      </c>
      <c r="G1221" s="269" t="str">
        <f>IF(D1221="","",VLOOKUP(F1221,製品マスタ!$G$5:$H$5002,2,FALSE))</f>
        <v>S</v>
      </c>
      <c r="H1221" s="269" t="str">
        <f>IF(D1221="","",VLOOKUP(F1221,製品マスタ!$G$5:$K$5002,5,FALSE))</f>
        <v>MSNMBF</v>
      </c>
      <c r="I1221" s="270" t="str">
        <f>IF(D1221="","",VLOOKUP(F1221,製品マスタ!$G$5:$L$5002,6,FALSE))</f>
        <v>ＭＥＴＡＬＵＭＹ　ＳＩＬＶＥＲ　Ｎ－ＭＡＴＴＥ　Ｘ４４Ｍ　Ｂ</v>
      </c>
      <c r="J1221" s="210" t="s">
        <v>935</v>
      </c>
      <c r="K1221" s="270">
        <f>IF(D1221="","",VLOOKUP(D1221,契約台帳!$A$3:$L$4986,12,FALSE))</f>
        <v>50</v>
      </c>
      <c r="L1221" s="270" t="str">
        <f>IF(D1221="","",INDEX(製品マスタ!$Q$5:$Q$5002,MATCH('S4'!F1221&amp;'S4'!K1221,製品マスタ!$AO$5:$AO$5002,0)))</f>
        <v>X44</v>
      </c>
      <c r="M1221" s="39">
        <v>1120</v>
      </c>
      <c r="N1221" s="39">
        <v>4000</v>
      </c>
      <c r="O1221" s="156">
        <v>4</v>
      </c>
      <c r="P1221" s="47">
        <v>2</v>
      </c>
      <c r="Q1221" s="213">
        <v>45226</v>
      </c>
      <c r="R1221" s="271">
        <f ca="1">IF(D1221="","",IF(OFFSET(D1221,-1,0)&lt;&gt;"","",IF(OR(J1221="リード付け",J1221="巻足し",J1221="巻返しリード付け"),M1221,VLOOKUP(D1221,契約台帳!$A$3:$N$4986,14,FALSE))))</f>
        <v>1120</v>
      </c>
      <c r="S1221" s="272">
        <f ca="1">IF(D1221="","",IF(OFFSET(D1221,-1,0)&lt;&gt;"","",IF(OR(J1221="リード付け",J1221="巻足し",J1221="巻返しリード付け"),M1221,VLOOKUP(D1221,契約台帳!$A$3:$O$4986,15,FALSE))))</f>
        <v>1120</v>
      </c>
      <c r="T1221" s="273">
        <f ca="1">IF(D1221="","",IF(J1221="リード付け",N1221,IF(J1221="巻返しリード付け",N1221,IF(J1221="巻足し",N1221*P1221+OFFSET(N1221,1,0)*OFFSET(P1221,1,0),VLOOKUP(D1221,契約台帳!$A$3:$P$4986,16,FALSE)))))</f>
        <v>8000</v>
      </c>
      <c r="U1221" s="40">
        <v>2</v>
      </c>
      <c r="V1221" s="274">
        <f ca="1">IF(D1221="","",IF(OFFSET(D1221,-2,0)=D1221,"",VLOOKUP(D1221,契約台帳!$A$3:$R$4986,18,FALSE)))</f>
        <v>4</v>
      </c>
      <c r="W1221" s="269" t="str">
        <f ca="1">IF(D1221="","",IF(T1221="","",IF(OR(J1221="巻足し",J1221="巻返しリード付け"),"",IF(J1221="巻返し",VLOOKUP(F1221&amp;K1221&amp;M1221,製品マスタ!$M$5:$AD$5002,18,FALSE),IF(OR(J1221="リード付け",J1221="巻返しリード付け"),"原反コア",IF(J1221="スリット",VLOOKUP(F1221&amp;K1221&amp;R1221,製品マスタ!$N$5:$AD$5002,17,FALSE),""))))))</f>
        <v/>
      </c>
      <c r="X1221" s="269" t="str">
        <f ca="1">IF(D1221="","",IF(T1221="","",IF(J1221="巻足し","",IF(J1221="巻返し",VLOOKUP(F1221&amp;K1221&amp;M1221,製品マスタ!$M$5:$AE$5002,19,FALSE),IF(OR(J1221="リード付け",J1221="巻返しリード付け"),"",IF(J1221="スリット",VLOOKUP(F1221&amp;K1221&amp;R1221,製品マスタ!$N$5:$AE$5002,18,FALSE),""))))))</f>
        <v/>
      </c>
      <c r="Y1221" s="275">
        <f ca="1">IF(D1221="","",IF(T1221="","",VLOOKUP(D1221,契約台帳!$A$3:$Q$4986,17,FALSE)))</f>
        <v>2</v>
      </c>
      <c r="Z1221" s="269" t="str">
        <f ca="1">IF(D1221="","",IF(T1221="","",VLOOKUP(D1221,契約台帳!$A$3:$E$4986,5,FALSE)))</f>
        <v>リンテック㈱</v>
      </c>
      <c r="AA1221" s="57"/>
      <c r="AB1221" s="207">
        <f>IFERROR((VLOOKUP(F1221&amp;K1221&amp;M1221,製品マスタ!$M$5:$AM$5002,27,FALSE)),"")</f>
        <v>0</v>
      </c>
      <c r="AC1221" s="33"/>
      <c r="AD1221" s="189"/>
      <c r="AE1221" s="54"/>
      <c r="AF1221" s="55">
        <f>+M1221*N1221*O1221/1000</f>
        <v>17920</v>
      </c>
      <c r="AG1221" s="43"/>
      <c r="AH1221" s="47"/>
      <c r="AI1221" s="30"/>
      <c r="AJ1221" s="30"/>
      <c r="AK1221" s="30"/>
      <c r="AL1221" s="30"/>
      <c r="AM1221" s="13"/>
      <c r="AN1221" s="13"/>
      <c r="AO1221" s="13"/>
      <c r="AP1221" s="13"/>
      <c r="AQ1221" s="13"/>
      <c r="AR1221" s="14"/>
      <c r="AS1221" s="15"/>
    </row>
    <row r="1222" spans="1:45" s="17" customFormat="1" ht="30.95" hidden="1" customHeight="1" x14ac:dyDescent="0.2">
      <c r="A1222" s="37"/>
      <c r="B1222" s="38"/>
      <c r="C1222" s="45"/>
      <c r="D1222" s="31"/>
      <c r="E1222" s="31"/>
      <c r="F1222" s="268"/>
      <c r="G1222" s="269"/>
      <c r="H1222" s="269"/>
      <c r="I1222" s="270"/>
      <c r="J1222" s="210"/>
      <c r="K1222" s="270"/>
      <c r="L1222" s="270"/>
      <c r="M1222" s="39"/>
      <c r="N1222" s="39"/>
      <c r="O1222" s="156"/>
      <c r="P1222" s="47"/>
      <c r="Q1222" s="57"/>
      <c r="R1222" s="338"/>
      <c r="S1222" s="272"/>
      <c r="T1222" s="273"/>
      <c r="U1222" s="40"/>
      <c r="V1222" s="277"/>
      <c r="W1222" s="269"/>
      <c r="X1222" s="269"/>
      <c r="Y1222" s="275"/>
      <c r="Z1222" s="269"/>
      <c r="AA1222" s="57"/>
      <c r="AB1222" s="207"/>
      <c r="AC1222" s="33"/>
      <c r="AD1222" s="189"/>
      <c r="AE1222" s="54"/>
      <c r="AF1222" s="55"/>
      <c r="AG1222" s="43"/>
      <c r="AH1222" s="47"/>
      <c r="AI1222" s="30"/>
      <c r="AJ1222" s="30"/>
      <c r="AK1222" s="30"/>
      <c r="AL1222" s="30"/>
      <c r="AM1222" s="13"/>
      <c r="AN1222" s="13"/>
      <c r="AO1222" s="13"/>
      <c r="AP1222" s="13"/>
      <c r="AQ1222" s="13"/>
      <c r="AR1222" s="14"/>
      <c r="AS1222" s="15"/>
    </row>
    <row r="1223" spans="1:45" s="17" customFormat="1" ht="30.75" hidden="1" customHeight="1" x14ac:dyDescent="0.2">
      <c r="A1223" s="37"/>
      <c r="B1223" s="38"/>
      <c r="C1223" s="45"/>
      <c r="D1223" s="31">
        <v>3731366</v>
      </c>
      <c r="E1223" s="31">
        <v>4162132</v>
      </c>
      <c r="F1223" s="268" t="str">
        <f>IF(D1223="","",VLOOKUP(D1223,契約台帳!$A$3:$K$4986,6,FALSE)&amp;VLOOKUP(D1223,契約台帳!$A$3:$K$4986,7,FALSE)&amp;VLOOKUP(D1223,契約台帳!$A$3:$K$4986,8,FALSE)&amp;VLOOKUP(D1223,契約台帳!$A$3:$K$4986,9,FALSE)&amp;VLOOKUP(D1223,契約台帳!$A$3:$K$4986,11,FALSE))</f>
        <v>3SNMLBMNQR66F</v>
      </c>
      <c r="G1223" s="269" t="str">
        <f>IF(D1223="","",VLOOKUP(F1223,製品マスタ!$G$5:$H$5002,2,FALSE))</f>
        <v>S</v>
      </c>
      <c r="H1223" s="269" t="str">
        <f>IF(D1223="","",VLOOKUP(F1223,製品マスタ!$G$5:$K$5002,5,FALSE))</f>
        <v>MNQR66F</v>
      </c>
      <c r="I1223" s="270" t="str">
        <f>IF(D1223="","",VLOOKUP(F1223,製品マスタ!$G$5:$L$5002,6,FALSE))</f>
        <v>ＱＲ６６蒸着品</v>
      </c>
      <c r="J1223" s="210" t="s">
        <v>935</v>
      </c>
      <c r="K1223" s="270">
        <f>IF(D1223="","",VLOOKUP(D1223,契約台帳!$A$3:$L$4986,12,FALSE))</f>
        <v>25</v>
      </c>
      <c r="L1223" s="270" t="str">
        <f>IF(D1223="","",INDEX(製品マスタ!$Q$5:$Q$5002,MATCH('S4'!F1223&amp;'S4'!K1223,製品マスタ!$AO$5:$AO$5002,0)))</f>
        <v>E315</v>
      </c>
      <c r="M1223" s="39">
        <v>1100</v>
      </c>
      <c r="N1223" s="39">
        <v>6000</v>
      </c>
      <c r="O1223" s="156">
        <v>4</v>
      </c>
      <c r="P1223" s="47">
        <v>4</v>
      </c>
      <c r="Q1223" s="213">
        <v>45226</v>
      </c>
      <c r="R1223" s="271">
        <f ca="1">IF(D1223="","",IF(OFFSET(D1223,-1,0)&lt;&gt;"","",IF(OR(J1223="リード付け",J1223="巻足し",J1223="巻返しリード付け"),M1223,VLOOKUP(D1223,契約台帳!$A$3:$N$4986,14,FALSE))))</f>
        <v>1100</v>
      </c>
      <c r="S1223" s="272">
        <f ca="1">IF(D1223="","",IF(OFFSET(D1223,-1,0)&lt;&gt;"","",IF(OR(J1223="リード付け",J1223="巻足し",J1223="巻返しリード付け"),M1223,VLOOKUP(D1223,契約台帳!$A$3:$O$4986,15,FALSE))))</f>
        <v>1100</v>
      </c>
      <c r="T1223" s="273">
        <f ca="1">IF(D1223="","",IF(J1223="リード付け",N1223,IF(J1223="巻返しリード付け",N1223,IF(J1223="巻足し",N1223*P1223+OFFSET(N1223,1,0)*OFFSET(P1223,1,0),VLOOKUP(D1223,契約台帳!$A$3:$P$4986,16,FALSE)))))</f>
        <v>24000</v>
      </c>
      <c r="U1223" s="40">
        <v>1</v>
      </c>
      <c r="V1223" s="274">
        <f ca="1">IF(D1223="","",IF(OFFSET(D1223,-2,0)=D1223,"",VLOOKUP(D1223,契約台帳!$A$3:$R$4986,18,FALSE)))</f>
        <v>12</v>
      </c>
      <c r="W1223" s="269" t="str">
        <f ca="1">IF(D1223="","",IF(T1223="","",IF(OR(J1223="巻足し",J1223="巻返しリード付け"),"",IF(J1223="巻返し",VLOOKUP(F1223&amp;K1223&amp;M1223,製品マスタ!$M$5:$AD$5002,18,FALSE),IF(OR(J1223="リード付け",J1223="巻返しリード付け"),"原反コア",IF(J1223="スリット",VLOOKUP(F1223&amp;K1223&amp;R1223,製品マスタ!$N$5:$AD$5002,17,FALSE),""))))))</f>
        <v/>
      </c>
      <c r="X1223" s="269" t="str">
        <f ca="1">IF(D1223="","",IF(T1223="","",IF(J1223="巻足し","",IF(J1223="巻返し",VLOOKUP(F1223&amp;K1223&amp;M1223,製品マスタ!$M$5:$AE$5002,19,FALSE),IF(OR(J1223="リード付け",J1223="巻返しリード付け"),"",IF(J1223="スリット",VLOOKUP(F1223&amp;K1223&amp;R1223,製品マスタ!$N$5:$AE$5002,18,FALSE),""))))))</f>
        <v/>
      </c>
      <c r="Y1223" s="275">
        <f ca="1">IF(D1223="","",IF(T1223="","",VLOOKUP(D1223,契約台帳!$A$3:$Q$4986,17,FALSE)))</f>
        <v>2</v>
      </c>
      <c r="Z1223" s="269" t="str">
        <f ca="1">IF(D1223="","",IF(T1223="","",VLOOKUP(D1223,契約台帳!$A$3:$E$4986,5,FALSE)))</f>
        <v>リンテック㈱</v>
      </c>
      <c r="AA1223" s="57"/>
      <c r="AB1223" s="207" t="str">
        <f>IFERROR((VLOOKUP(F1223&amp;K1223&amp;M1223,製品マスタ!$M$5:$AM$5002,27,FALSE)),"")</f>
        <v>原反ケース再利用</v>
      </c>
      <c r="AC1223" s="33"/>
      <c r="AD1223" s="395"/>
      <c r="AE1223" s="54"/>
      <c r="AF1223" s="55">
        <f>+M1223*N1223*O1223/1000</f>
        <v>26400</v>
      </c>
      <c r="AG1223" s="43"/>
      <c r="AH1223" s="47"/>
      <c r="AI1223" s="30"/>
      <c r="AJ1223" s="30"/>
      <c r="AK1223" s="30"/>
      <c r="AL1223" s="30"/>
      <c r="AM1223" s="13"/>
      <c r="AN1223" s="13"/>
      <c r="AO1223" s="13"/>
      <c r="AP1223" s="13"/>
      <c r="AQ1223" s="13"/>
      <c r="AR1223" s="14"/>
      <c r="AS1223" s="15"/>
    </row>
    <row r="1224" spans="1:45" s="17" customFormat="1" ht="30.95" hidden="1" customHeight="1" x14ac:dyDescent="0.2">
      <c r="A1224" s="37"/>
      <c r="B1224" s="38"/>
      <c r="C1224" s="45"/>
      <c r="D1224" s="31"/>
      <c r="E1224" s="31"/>
      <c r="F1224" s="268"/>
      <c r="G1224" s="269"/>
      <c r="H1224" s="269"/>
      <c r="I1224" s="270"/>
      <c r="J1224" s="210"/>
      <c r="K1224" s="270"/>
      <c r="L1224" s="270"/>
      <c r="M1224" s="39"/>
      <c r="N1224" s="39"/>
      <c r="O1224" s="156"/>
      <c r="P1224" s="47"/>
      <c r="Q1224" s="57"/>
      <c r="R1224" s="338"/>
      <c r="S1224" s="272"/>
      <c r="T1224" s="273"/>
      <c r="U1224" s="40"/>
      <c r="V1224" s="277"/>
      <c r="W1224" s="269"/>
      <c r="X1224" s="269"/>
      <c r="Y1224" s="275"/>
      <c r="Z1224" s="269"/>
      <c r="AA1224" s="57"/>
      <c r="AB1224" s="207"/>
      <c r="AC1224" s="33"/>
      <c r="AD1224" s="189"/>
      <c r="AE1224" s="54"/>
      <c r="AF1224" s="55"/>
      <c r="AG1224" s="43"/>
      <c r="AH1224" s="47"/>
      <c r="AI1224" s="30"/>
      <c r="AJ1224" s="30"/>
      <c r="AK1224" s="30"/>
      <c r="AL1224" s="30"/>
      <c r="AM1224" s="13"/>
      <c r="AN1224" s="13"/>
      <c r="AO1224" s="13"/>
      <c r="AP1224" s="13"/>
      <c r="AQ1224" s="13"/>
      <c r="AR1224" s="14"/>
      <c r="AS1224" s="15"/>
    </row>
    <row r="1225" spans="1:45" s="17" customFormat="1" ht="30.75" hidden="1" customHeight="1" x14ac:dyDescent="0.2">
      <c r="A1225" s="37"/>
      <c r="B1225" s="38"/>
      <c r="C1225" s="45"/>
      <c r="D1225" s="31">
        <v>3731366</v>
      </c>
      <c r="E1225" s="31">
        <v>4162132</v>
      </c>
      <c r="F1225" s="268" t="str">
        <f>IF(D1225="","",VLOOKUP(D1225,契約台帳!$A$3:$K$4986,6,FALSE)&amp;VLOOKUP(D1225,契約台帳!$A$3:$K$4986,7,FALSE)&amp;VLOOKUP(D1225,契約台帳!$A$3:$K$4986,8,FALSE)&amp;VLOOKUP(D1225,契約台帳!$A$3:$K$4986,9,FALSE)&amp;VLOOKUP(D1225,契約台帳!$A$3:$K$4986,11,FALSE))</f>
        <v>3SNMLBMNQR66F</v>
      </c>
      <c r="G1225" s="269" t="str">
        <f>IF(D1225="","",VLOOKUP(F1225,製品マスタ!$G$5:$H$5002,2,FALSE))</f>
        <v>S</v>
      </c>
      <c r="H1225" s="269" t="str">
        <f>IF(D1225="","",VLOOKUP(F1225,製品マスタ!$G$5:$K$5002,5,FALSE))</f>
        <v>MNQR66F</v>
      </c>
      <c r="I1225" s="270" t="str">
        <f>IF(D1225="","",VLOOKUP(F1225,製品マスタ!$G$5:$L$5002,6,FALSE))</f>
        <v>ＱＲ６６蒸着品</v>
      </c>
      <c r="J1225" s="210" t="s">
        <v>935</v>
      </c>
      <c r="K1225" s="270">
        <f>IF(D1225="","",VLOOKUP(D1225,契約台帳!$A$3:$L$4986,12,FALSE))</f>
        <v>25</v>
      </c>
      <c r="L1225" s="270" t="str">
        <f>IF(D1225="","",INDEX(製品マスタ!$Q$5:$Q$5002,MATCH('S4'!F1225&amp;'S4'!K1225,製品マスタ!$AO$5:$AO$5002,0)))</f>
        <v>E315</v>
      </c>
      <c r="M1225" s="39">
        <v>1100</v>
      </c>
      <c r="N1225" s="39">
        <v>6000</v>
      </c>
      <c r="O1225" s="156">
        <v>8</v>
      </c>
      <c r="P1225" s="47">
        <v>4</v>
      </c>
      <c r="Q1225" s="213">
        <v>45226</v>
      </c>
      <c r="R1225" s="271">
        <f ca="1">IF(D1225="","",IF(OFFSET(D1225,-1,0)&lt;&gt;"","",IF(OR(J1225="リード付け",J1225="巻足し",J1225="巻返しリード付け"),M1225,VLOOKUP(D1225,契約台帳!$A$3:$N$4986,14,FALSE))))</f>
        <v>1100</v>
      </c>
      <c r="S1225" s="272">
        <f ca="1">IF(D1225="","",IF(OFFSET(D1225,-1,0)&lt;&gt;"","",IF(OR(J1225="リード付け",J1225="巻足し",J1225="巻返しリード付け"),M1225,VLOOKUP(D1225,契約台帳!$A$3:$O$4986,15,FALSE))))</f>
        <v>1100</v>
      </c>
      <c r="T1225" s="273">
        <f ca="1">IF(D1225="","",IF(J1225="リード付け",N1225,IF(J1225="巻返しリード付け",N1225,IF(J1225="巻足し",N1225*P1225+OFFSET(N1225,1,0)*OFFSET(P1225,1,0),VLOOKUP(D1225,契約台帳!$A$3:$P$4986,16,FALSE)))))</f>
        <v>24000</v>
      </c>
      <c r="U1225" s="40">
        <v>2</v>
      </c>
      <c r="V1225" s="274" t="str">
        <f ca="1">IF(D1225="","",IF(OFFSET(D1225,-2,0)=D1225,"",VLOOKUP(D1225,契約台帳!$A$3:$R$4986,18,FALSE)))</f>
        <v/>
      </c>
      <c r="W1225" s="269" t="str">
        <f ca="1">IF(D1225="","",IF(T1225="","",IF(OR(J1225="巻足し",J1225="巻返しリード付け"),"",IF(J1225="巻返し",VLOOKUP(F1225&amp;K1225&amp;M1225,製品マスタ!$M$5:$AD$5002,18,FALSE),IF(OR(J1225="リード付け",J1225="巻返しリード付け"),"原反コア",IF(J1225="スリット",VLOOKUP(F1225&amp;K1225&amp;R1225,製品マスタ!$N$5:$AD$5002,17,FALSE),""))))))</f>
        <v/>
      </c>
      <c r="X1225" s="269" t="str">
        <f ca="1">IF(D1225="","",IF(T1225="","",IF(J1225="巻足し","",IF(J1225="巻返し",VLOOKUP(F1225&amp;K1225&amp;M1225,製品マスタ!$M$5:$AE$5002,19,FALSE),IF(OR(J1225="リード付け",J1225="巻返しリード付け"),"",IF(J1225="スリット",VLOOKUP(F1225&amp;K1225&amp;R1225,製品マスタ!$N$5:$AE$5002,18,FALSE),""))))))</f>
        <v/>
      </c>
      <c r="Y1225" s="275">
        <f ca="1">IF(D1225="","",IF(T1225="","",VLOOKUP(D1225,契約台帳!$A$3:$Q$4986,17,FALSE)))</f>
        <v>2</v>
      </c>
      <c r="Z1225" s="269" t="str">
        <f ca="1">IF(D1225="","",IF(T1225="","",VLOOKUP(D1225,契約台帳!$A$3:$E$4986,5,FALSE)))</f>
        <v>リンテック㈱</v>
      </c>
      <c r="AA1225" s="57"/>
      <c r="AB1225" s="207" t="str">
        <f>IFERROR((VLOOKUP(F1225&amp;K1225&amp;M1225,製品マスタ!$M$5:$AM$5002,27,FALSE)),"")</f>
        <v>原反ケース再利用</v>
      </c>
      <c r="AC1225" s="33"/>
      <c r="AD1225" s="395"/>
      <c r="AE1225" s="54"/>
      <c r="AF1225" s="55">
        <f>+M1225*N1225*O1225/1000</f>
        <v>52800</v>
      </c>
      <c r="AG1225" s="43"/>
      <c r="AH1225" s="47"/>
      <c r="AI1225" s="30"/>
      <c r="AJ1225" s="30"/>
      <c r="AK1225" s="30"/>
      <c r="AL1225" s="30"/>
      <c r="AM1225" s="13"/>
      <c r="AN1225" s="13"/>
      <c r="AO1225" s="13"/>
      <c r="AP1225" s="13"/>
      <c r="AQ1225" s="13"/>
      <c r="AR1225" s="14"/>
      <c r="AS1225" s="15"/>
    </row>
    <row r="1226" spans="1:45" s="17" customFormat="1" ht="30.95" hidden="1" customHeight="1" x14ac:dyDescent="0.2">
      <c r="A1226" s="37"/>
      <c r="B1226" s="38"/>
      <c r="C1226" s="45"/>
      <c r="D1226" s="31"/>
      <c r="E1226" s="31"/>
      <c r="F1226" s="268"/>
      <c r="G1226" s="269"/>
      <c r="H1226" s="269"/>
      <c r="I1226" s="270"/>
      <c r="J1226" s="210"/>
      <c r="K1226" s="270"/>
      <c r="L1226" s="270"/>
      <c r="M1226" s="39"/>
      <c r="N1226" s="39"/>
      <c r="O1226" s="156"/>
      <c r="P1226" s="47"/>
      <c r="Q1226" s="57"/>
      <c r="R1226" s="338"/>
      <c r="S1226" s="272"/>
      <c r="T1226" s="273"/>
      <c r="U1226" s="40"/>
      <c r="V1226" s="277"/>
      <c r="W1226" s="269"/>
      <c r="X1226" s="269"/>
      <c r="Y1226" s="275"/>
      <c r="Z1226" s="269"/>
      <c r="AA1226" s="57"/>
      <c r="AB1226" s="207"/>
      <c r="AC1226" s="33"/>
      <c r="AD1226" s="189"/>
      <c r="AE1226" s="54"/>
      <c r="AF1226" s="55"/>
      <c r="AG1226" s="43"/>
      <c r="AH1226" s="47"/>
      <c r="AI1226" s="30"/>
      <c r="AJ1226" s="30"/>
      <c r="AK1226" s="30"/>
      <c r="AL1226" s="30"/>
      <c r="AM1226" s="13"/>
      <c r="AN1226" s="13"/>
      <c r="AO1226" s="13"/>
      <c r="AP1226" s="13"/>
      <c r="AQ1226" s="13"/>
      <c r="AR1226" s="14"/>
      <c r="AS1226" s="15"/>
    </row>
    <row r="1227" spans="1:45" s="17" customFormat="1" ht="30.95" hidden="1" customHeight="1" x14ac:dyDescent="0.2">
      <c r="A1227" s="37"/>
      <c r="B1227" s="38"/>
      <c r="C1227" s="45"/>
      <c r="D1227" s="31">
        <v>3732645</v>
      </c>
      <c r="E1227" s="31">
        <v>4162133</v>
      </c>
      <c r="F1227" s="268" t="str">
        <f>IF(D1227="","",VLOOKUP(D1227,契約台帳!$A$3:$K$4986,6,FALSE)&amp;VLOOKUP(D1227,契約台帳!$A$3:$K$4986,7,FALSE)&amp;VLOOKUP(D1227,契約台帳!$A$3:$K$4986,8,FALSE)&amp;VLOOKUP(D1227,契約台帳!$A$3:$K$4986,9,FALSE)&amp;VLOOKUP(D1227,契約台帳!$A$3:$K$4986,11,FALSE))</f>
        <v>3SNMLBMDMSJF</v>
      </c>
      <c r="G1227" s="269" t="str">
        <f>IF(D1227="","",VLOOKUP(F1227,製品マスタ!$G$5:$H$5002,2,FALSE))</f>
        <v>S</v>
      </c>
      <c r="H1227" s="269" t="str">
        <f>IF(D1227="","",VLOOKUP(F1227,製品マスタ!$G$5:$K$5002,5,FALSE))</f>
        <v>MDMSJF</v>
      </c>
      <c r="I1227" s="270" t="str">
        <f>IF(D1227="","",VLOOKUP(F1227,製品マスタ!$G$5:$L$5002,6,FALSE))</f>
        <v>ＤＭＳ蒸着（Ｘ－４４）</v>
      </c>
      <c r="J1227" s="210" t="s">
        <v>935</v>
      </c>
      <c r="K1227" s="270">
        <f>IF(D1227="","",VLOOKUP(D1227,契約台帳!$A$3:$L$4986,12,FALSE))</f>
        <v>50</v>
      </c>
      <c r="L1227" s="270" t="str">
        <f>IF(D1227="","",INDEX(製品マスタ!$Q$5:$Q$5002,MATCH('S4'!F1227&amp;'S4'!K1227,製品マスタ!$AO$5:$AO$5002,0)))</f>
        <v>X44</v>
      </c>
      <c r="M1227" s="39">
        <v>1020</v>
      </c>
      <c r="N1227" s="39">
        <v>4000</v>
      </c>
      <c r="O1227" s="156">
        <v>2</v>
      </c>
      <c r="P1227" s="47">
        <v>2</v>
      </c>
      <c r="Q1227" s="213">
        <v>45230</v>
      </c>
      <c r="R1227" s="271">
        <f ca="1">IF(D1227="","",IF(OFFSET(D1227,-1,0)&lt;&gt;"","",IF(OR(J1227="リード付け",J1227="巻足し",J1227="巻返しリード付け"),M1227,VLOOKUP(D1227,契約台帳!$A$3:$N$4986,14,FALSE))))</f>
        <v>1020</v>
      </c>
      <c r="S1227" s="272">
        <f ca="1">IF(D1227="","",IF(OFFSET(D1227,-1,0)&lt;&gt;"","",IF(OR(J1227="リード付け",J1227="巻足し",J1227="巻返しリード付け"),M1227,VLOOKUP(D1227,契約台帳!$A$3:$O$4986,15,FALSE))))</f>
        <v>1020</v>
      </c>
      <c r="T1227" s="273">
        <f ca="1">IF(D1227="","",IF(J1227="リード付け",N1227,IF(J1227="巻返しリード付け",N1227,IF(J1227="巻足し",N1227*P1227+OFFSET(N1227,1,0)*OFFSET(P1227,1,0),VLOOKUP(D1227,契約台帳!$A$3:$P$4986,16,FALSE)))))</f>
        <v>8000</v>
      </c>
      <c r="U1227" s="40">
        <v>1</v>
      </c>
      <c r="V1227" s="274">
        <f ca="1">IF(D1227="","",IF(OFFSET(D1227,-2,0)=D1227,"",VLOOKUP(D1227,契約台帳!$A$3:$R$4986,18,FALSE)))</f>
        <v>4</v>
      </c>
      <c r="W1227" s="269" t="str">
        <f ca="1">IF(D1227="","",IF(T1227="","",IF(OR(J1227="巻足し",J1227="巻返しリード付け"),"",IF(J1227="巻返し",VLOOKUP(F1227&amp;K1227&amp;M1227,製品マスタ!$M$5:$AD$5002,18,FALSE),IF(OR(J1227="リード付け",J1227="巻返しリード付け"),"原反コア",IF(J1227="スリット",VLOOKUP(F1227&amp;K1227&amp;R1227,製品マスタ!$N$5:$AD$5002,17,FALSE),""))))))</f>
        <v/>
      </c>
      <c r="X1227" s="269" t="str">
        <f ca="1">IF(D1227="","",IF(T1227="","",IF(J1227="巻足し","",IF(J1227="巻返し",VLOOKUP(F1227&amp;K1227&amp;M1227,製品マスタ!$M$5:$AE$5002,19,FALSE),IF(OR(J1227="リード付け",J1227="巻返しリード付け"),"",IF(J1227="スリット",VLOOKUP(F1227&amp;K1227&amp;R1227,製品マスタ!$N$5:$AE$5002,18,FALSE),""))))))</f>
        <v/>
      </c>
      <c r="Y1227" s="275">
        <f ca="1">IF(D1227="","",IF(T1227="","",VLOOKUP(D1227,契約台帳!$A$3:$Q$4986,17,FALSE)))</f>
        <v>2</v>
      </c>
      <c r="Z1227" s="269" t="str">
        <f ca="1">IF(D1227="","",IF(T1227="","",VLOOKUP(D1227,契約台帳!$A$3:$E$4986,5,FALSE)))</f>
        <v>五洋紙工㈱</v>
      </c>
      <c r="AA1227" s="57"/>
      <c r="AB1227" s="207">
        <f>IFERROR((VLOOKUP(F1227&amp;K1227&amp;M1227,製品マスタ!$M$5:$AM$5002,27,FALSE)),"")</f>
        <v>0</v>
      </c>
      <c r="AC1227" s="33"/>
      <c r="AD1227" s="189"/>
      <c r="AE1227" s="54"/>
      <c r="AF1227" s="55">
        <f>+M1227*N1227*O1227/1000</f>
        <v>8160</v>
      </c>
      <c r="AG1227" s="43"/>
      <c r="AH1227" s="47"/>
      <c r="AI1227" s="30"/>
      <c r="AJ1227" s="30"/>
      <c r="AK1227" s="30"/>
      <c r="AL1227" s="30"/>
      <c r="AM1227" s="13"/>
      <c r="AN1227" s="13"/>
      <c r="AO1227" s="13"/>
      <c r="AP1227" s="13"/>
      <c r="AQ1227" s="13"/>
      <c r="AR1227" s="14"/>
      <c r="AS1227" s="15"/>
    </row>
    <row r="1228" spans="1:45" s="17" customFormat="1" ht="30.95" hidden="1" customHeight="1" x14ac:dyDescent="0.2">
      <c r="A1228" s="37"/>
      <c r="B1228" s="38"/>
      <c r="C1228" s="45"/>
      <c r="D1228" s="31"/>
      <c r="E1228" s="31"/>
      <c r="F1228" s="268"/>
      <c r="G1228" s="269"/>
      <c r="H1228" s="269"/>
      <c r="I1228" s="270"/>
      <c r="J1228" s="210"/>
      <c r="K1228" s="270"/>
      <c r="L1228" s="270"/>
      <c r="M1228" s="39"/>
      <c r="N1228" s="39"/>
      <c r="O1228" s="156"/>
      <c r="P1228" s="47"/>
      <c r="Q1228" s="57"/>
      <c r="R1228" s="338"/>
      <c r="S1228" s="272"/>
      <c r="T1228" s="273"/>
      <c r="U1228" s="40"/>
      <c r="V1228" s="277"/>
      <c r="W1228" s="269"/>
      <c r="X1228" s="269"/>
      <c r="Y1228" s="275"/>
      <c r="Z1228" s="269"/>
      <c r="AA1228" s="57"/>
      <c r="AB1228" s="207"/>
      <c r="AC1228" s="33"/>
      <c r="AD1228" s="189"/>
      <c r="AE1228" s="54"/>
      <c r="AF1228" s="55"/>
      <c r="AG1228" s="43"/>
      <c r="AH1228" s="47"/>
      <c r="AI1228" s="30"/>
      <c r="AJ1228" s="30"/>
      <c r="AK1228" s="30"/>
      <c r="AL1228" s="30"/>
      <c r="AM1228" s="13"/>
      <c r="AN1228" s="13"/>
      <c r="AO1228" s="13"/>
      <c r="AP1228" s="13"/>
      <c r="AQ1228" s="13"/>
      <c r="AR1228" s="14"/>
      <c r="AS1228" s="15"/>
    </row>
    <row r="1229" spans="1:45" s="17" customFormat="1" ht="30.75" hidden="1" customHeight="1" x14ac:dyDescent="0.2">
      <c r="A1229" s="37" t="s">
        <v>640</v>
      </c>
      <c r="B1229" s="38" t="s">
        <v>442</v>
      </c>
      <c r="C1229" s="45"/>
      <c r="D1229" s="31">
        <v>3731365</v>
      </c>
      <c r="E1229" s="31">
        <v>4162131</v>
      </c>
      <c r="F1229" s="268" t="str">
        <f>IF(D1229="","",VLOOKUP(D1229,契約台帳!$A$3:$K$4986,6,FALSE)&amp;VLOOKUP(D1229,契約台帳!$A$3:$K$4986,7,FALSE)&amp;VLOOKUP(D1229,契約台帳!$A$3:$K$4986,8,FALSE)&amp;VLOOKUP(D1229,契約台帳!$A$3:$K$4986,9,FALSE)&amp;VLOOKUP(D1229,契約台帳!$A$3:$K$4986,11,FALSE))</f>
        <v>3SNMLBMNQR66F</v>
      </c>
      <c r="G1229" s="269" t="str">
        <f>IF(D1229="","",VLOOKUP(F1229,製品マスタ!$G$5:$H$5002,2,FALSE))</f>
        <v>S</v>
      </c>
      <c r="H1229" s="269" t="str">
        <f>IF(D1229="","",VLOOKUP(F1229,製品マスタ!$G$5:$K$5002,5,FALSE))</f>
        <v>MNQR66F</v>
      </c>
      <c r="I1229" s="270" t="str">
        <f>IF(D1229="","",VLOOKUP(F1229,製品マスタ!$G$5:$L$5002,6,FALSE))</f>
        <v>ＱＲ６６蒸着品</v>
      </c>
      <c r="J1229" s="210" t="s">
        <v>935</v>
      </c>
      <c r="K1229" s="270">
        <f>IF(D1229="","",VLOOKUP(D1229,契約台帳!$A$3:$L$4986,12,FALSE))</f>
        <v>25</v>
      </c>
      <c r="L1229" s="270" t="str">
        <f>IF(D1229="","",INDEX(製品マスタ!$Q$5:$Q$5002,MATCH('S4'!F1229&amp;'S4'!K1229,製品マスタ!$AO$5:$AO$5002,0)))</f>
        <v>E315</v>
      </c>
      <c r="M1229" s="39">
        <v>1000</v>
      </c>
      <c r="N1229" s="39">
        <v>6000</v>
      </c>
      <c r="O1229" s="156">
        <v>8</v>
      </c>
      <c r="P1229" s="47">
        <v>4</v>
      </c>
      <c r="Q1229" s="213">
        <v>45226</v>
      </c>
      <c r="R1229" s="271">
        <f ca="1">IF(D1229="","",IF(OFFSET(D1229,-1,0)&lt;&gt;"","",IF(OR(J1229="リード付け",J1229="巻足し",J1229="巻返しリード付け"),M1229,VLOOKUP(D1229,契約台帳!$A$3:$N$4986,14,FALSE))))</f>
        <v>1000</v>
      </c>
      <c r="S1229" s="272">
        <f ca="1">IF(D1229="","",IF(OFFSET(D1229,-1,0)&lt;&gt;"","",IF(OR(J1229="リード付け",J1229="巻足し",J1229="巻返しリード付け"),M1229,VLOOKUP(D1229,契約台帳!$A$3:$O$4986,15,FALSE))))</f>
        <v>1000</v>
      </c>
      <c r="T1229" s="273">
        <f ca="1">IF(D1229="","",IF(J1229="リード付け",N1229,IF(J1229="巻返しリード付け",N1229,IF(J1229="巻足し",N1229*P1229+OFFSET(N1229,1,0)*OFFSET(P1229,1,0),VLOOKUP(D1229,契約台帳!$A$3:$P$4986,16,FALSE)))))</f>
        <v>24000</v>
      </c>
      <c r="U1229" s="40">
        <v>2</v>
      </c>
      <c r="V1229" s="274">
        <f ca="1">IF(D1229="","",IF(OFFSET(D1229,-2,0)=D1229,"",VLOOKUP(D1229,契約台帳!$A$3:$R$4986,18,FALSE)))</f>
        <v>8</v>
      </c>
      <c r="W1229" s="269" t="str">
        <f ca="1">IF(D1229="","",IF(T1229="","",IF(OR(J1229="巻足し",J1229="巻返しリード付け"),"",IF(J1229="巻返し",VLOOKUP(F1229&amp;K1229&amp;M1229,製品マスタ!$M$5:$AD$5002,18,FALSE),IF(OR(J1229="リード付け",J1229="巻返しリード付け"),"原反コア",IF(J1229="スリット",VLOOKUP(F1229&amp;K1229&amp;R1229,製品マスタ!$N$5:$AD$5002,17,FALSE),""))))))</f>
        <v/>
      </c>
      <c r="X1229" s="269" t="str">
        <f ca="1">IF(D1229="","",IF(T1229="","",IF(J1229="巻足し","",IF(J1229="巻返し",VLOOKUP(F1229&amp;K1229&amp;M1229,製品マスタ!$M$5:$AE$5002,19,FALSE),IF(OR(J1229="リード付け",J1229="巻返しリード付け"),"",IF(J1229="スリット",VLOOKUP(F1229&amp;K1229&amp;R1229,製品マスタ!$N$5:$AE$5002,18,FALSE),""))))))</f>
        <v/>
      </c>
      <c r="Y1229" s="275">
        <f ca="1">IF(D1229="","",IF(T1229="","",VLOOKUP(D1229,契約台帳!$A$3:$Q$4986,17,FALSE)))</f>
        <v>2</v>
      </c>
      <c r="Z1229" s="269" t="str">
        <f ca="1">IF(D1229="","",IF(T1229="","",VLOOKUP(D1229,契約台帳!$A$3:$E$4986,5,FALSE)))</f>
        <v>リンテック㈱</v>
      </c>
      <c r="AA1229" s="57"/>
      <c r="AB1229" s="207" t="str">
        <f>IFERROR((VLOOKUP(F1229&amp;K1229&amp;M1229,製品マスタ!$M$5:$AM$5002,27,FALSE)),"")</f>
        <v>原反ケース再利用</v>
      </c>
      <c r="AC1229" s="33"/>
      <c r="AD1229" s="395"/>
      <c r="AE1229" s="54"/>
      <c r="AF1229" s="55">
        <f>+M1229*N1229*O1229/1000</f>
        <v>48000</v>
      </c>
      <c r="AG1229" s="43"/>
      <c r="AH1229" s="47"/>
      <c r="AI1229" s="30"/>
      <c r="AJ1229" s="30"/>
      <c r="AK1229" s="30"/>
      <c r="AL1229" s="30"/>
      <c r="AM1229" s="13"/>
      <c r="AN1229" s="13"/>
      <c r="AO1229" s="13"/>
      <c r="AP1229" s="13"/>
      <c r="AQ1229" s="13"/>
      <c r="AR1229" s="14"/>
      <c r="AS1229" s="15"/>
    </row>
    <row r="1230" spans="1:45" s="17" customFormat="1" ht="30.95" hidden="1" customHeight="1" x14ac:dyDescent="0.2">
      <c r="A1230" s="37"/>
      <c r="B1230" s="38"/>
      <c r="C1230" s="45"/>
      <c r="D1230" s="31"/>
      <c r="E1230" s="31"/>
      <c r="F1230" s="268"/>
      <c r="G1230" s="269"/>
      <c r="H1230" s="269"/>
      <c r="I1230" s="270"/>
      <c r="J1230" s="210"/>
      <c r="K1230" s="270"/>
      <c r="L1230" s="270"/>
      <c r="M1230" s="39"/>
      <c r="N1230" s="39"/>
      <c r="O1230" s="156"/>
      <c r="P1230" s="47"/>
      <c r="Q1230" s="57"/>
      <c r="R1230" s="338"/>
      <c r="S1230" s="272"/>
      <c r="T1230" s="273"/>
      <c r="U1230" s="40"/>
      <c r="V1230" s="277"/>
      <c r="W1230" s="269"/>
      <c r="X1230" s="269"/>
      <c r="Y1230" s="275"/>
      <c r="Z1230" s="269"/>
      <c r="AA1230" s="57"/>
      <c r="AB1230" s="207"/>
      <c r="AC1230" s="33"/>
      <c r="AD1230" s="189"/>
      <c r="AE1230" s="54"/>
      <c r="AF1230" s="55"/>
      <c r="AG1230" s="43"/>
      <c r="AH1230" s="47"/>
      <c r="AI1230" s="30"/>
      <c r="AJ1230" s="30"/>
      <c r="AK1230" s="30"/>
      <c r="AL1230" s="30"/>
      <c r="AM1230" s="13"/>
      <c r="AN1230" s="13"/>
      <c r="AO1230" s="13"/>
      <c r="AP1230" s="13"/>
      <c r="AQ1230" s="13"/>
      <c r="AR1230" s="14"/>
      <c r="AS1230" s="15"/>
    </row>
    <row r="1231" spans="1:45" s="17" customFormat="1" ht="30.95" hidden="1" customHeight="1" x14ac:dyDescent="0.2">
      <c r="A1231" s="37"/>
      <c r="B1231" s="38"/>
      <c r="C1231" s="45"/>
      <c r="D1231" s="31">
        <v>3731342</v>
      </c>
      <c r="E1231" s="31">
        <v>4162125</v>
      </c>
      <c r="F1231" s="268" t="str">
        <f>IF(D1231="","",VLOOKUP(D1231,契約台帳!$A$3:$K$4986,6,FALSE)&amp;VLOOKUP(D1231,契約台帳!$A$3:$K$4986,7,FALSE)&amp;VLOOKUP(D1231,契約台帳!$A$3:$K$4986,8,FALSE)&amp;VLOOKUP(D1231,契約台帳!$A$3:$K$4986,9,FALSE)&amp;VLOOKUP(D1231,契約台帳!$A$3:$K$4986,11,FALSE))</f>
        <v>3SNMLBMTSF</v>
      </c>
      <c r="G1231" s="269" t="str">
        <f>IF(D1231="","",VLOOKUP(F1231,製品マスタ!$G$5:$H$5002,2,FALSE))</f>
        <v>S</v>
      </c>
      <c r="H1231" s="269" t="str">
        <f>IF(D1231="","",VLOOKUP(F1231,製品マスタ!$G$5:$K$5002,5,FALSE))</f>
        <v>MTSF</v>
      </c>
      <c r="I1231" s="270" t="str">
        <f>IF(D1231="","",VLOOKUP(F1231,製品マスタ!$G$5:$L$5002,6,FALSE))</f>
        <v>メタルミー　ＴＳ</v>
      </c>
      <c r="J1231" s="210" t="s">
        <v>935</v>
      </c>
      <c r="K1231" s="270">
        <f>IF(D1231="","",VLOOKUP(D1231,契約台帳!$A$3:$L$4986,12,FALSE))</f>
        <v>50</v>
      </c>
      <c r="L1231" s="270" t="str">
        <f>IF(D1231="","",INDEX(製品マスタ!$Q$5:$Q$5002,MATCH('S4'!F1231&amp;'S4'!K1231,製品マスタ!$AO$5:$AO$5002,0)))</f>
        <v>T62M</v>
      </c>
      <c r="M1231" s="39">
        <v>1255</v>
      </c>
      <c r="N1231" s="39">
        <v>6100</v>
      </c>
      <c r="O1231" s="156">
        <v>6</v>
      </c>
      <c r="P1231" s="47">
        <v>2</v>
      </c>
      <c r="Q1231" s="213">
        <v>45226</v>
      </c>
      <c r="R1231" s="271">
        <f ca="1">IF(D1231="","",IF(OFFSET(D1231,-1,0)&lt;&gt;"","",IF(OR(J1231="リード付け",J1231="巻足し",J1231="巻返しリード付け"),M1231,VLOOKUP(D1231,契約台帳!$A$3:$N$4986,14,FALSE))))</f>
        <v>1255</v>
      </c>
      <c r="S1231" s="272">
        <f ca="1">IF(D1231="","",IF(OFFSET(D1231,-1,0)&lt;&gt;"","",IF(OR(J1231="リード付け",J1231="巻足し",J1231="巻返しリード付け"),M1231,VLOOKUP(D1231,契約台帳!$A$3:$O$4986,15,FALSE))))</f>
        <v>1255</v>
      </c>
      <c r="T1231" s="273">
        <f ca="1">IF(D1231="","",IF(J1231="リード付け",N1231,IF(J1231="巻返しリード付け",N1231,IF(J1231="巻足し",N1231*P1231+OFFSET(N1231,1,0)*OFFSET(P1231,1,0),VLOOKUP(D1231,契約台帳!$A$3:$P$4986,16,FALSE)))))</f>
        <v>12200</v>
      </c>
      <c r="U1231" s="40">
        <v>3</v>
      </c>
      <c r="V1231" s="274">
        <f ca="1">IF(D1231="","",IF(OFFSET(D1231,-2,0)=D1231,"",VLOOKUP(D1231,契約台帳!$A$3:$R$4986,18,FALSE)))</f>
        <v>18</v>
      </c>
      <c r="W1231" s="269" t="str">
        <f ca="1">IF(D1231="","",IF(T1231="","",IF(OR(J1231="巻足し",J1231="巻返しリード付け"),"",IF(J1231="巻返し",VLOOKUP(F1231&amp;K1231&amp;M1231,製品マスタ!$M$5:$AD$5002,18,FALSE),IF(OR(J1231="リード付け",J1231="巻返しリード付け"),"原反コア",IF(J1231="スリット",VLOOKUP(F1231&amp;K1231&amp;R1231,製品マスタ!$N$5:$AD$5002,17,FALSE),""))))))</f>
        <v/>
      </c>
      <c r="X1231" s="269" t="str">
        <f ca="1">IF(D1231="","",IF(T1231="","",IF(J1231="巻足し","",IF(J1231="巻返し",VLOOKUP(F1231&amp;K1231&amp;M1231,製品マスタ!$M$5:$AE$5002,19,FALSE),IF(OR(J1231="リード付け",J1231="巻返しリード付け"),"",IF(J1231="スリット",VLOOKUP(F1231&amp;K1231&amp;R1231,製品マスタ!$N$5:$AE$5002,18,FALSE),""))))))</f>
        <v/>
      </c>
      <c r="Y1231" s="275">
        <f ca="1">IF(D1231="","",IF(T1231="","",VLOOKUP(D1231,契約台帳!$A$3:$Q$4986,17,FALSE)))</f>
        <v>2</v>
      </c>
      <c r="Z1231" s="269" t="str">
        <f ca="1">IF(D1231="","",IF(T1231="","",VLOOKUP(D1231,契約台帳!$A$3:$E$4986,5,FALSE)))</f>
        <v>日東電工㈱豊橋工場</v>
      </c>
      <c r="AA1231" s="57"/>
      <c r="AB1231" s="207">
        <f>IFERROR((VLOOKUP(F1231&amp;K1231&amp;M1231,製品マスタ!$M$5:$AM$5002,27,FALSE)),"")</f>
        <v>0</v>
      </c>
      <c r="AC1231" s="33"/>
      <c r="AD1231" s="189"/>
      <c r="AE1231" s="54"/>
      <c r="AF1231" s="55">
        <f>+M1231*N1231*O1231/1000</f>
        <v>45933</v>
      </c>
      <c r="AG1231" s="43"/>
      <c r="AH1231" s="47"/>
      <c r="AI1231" s="30"/>
      <c r="AJ1231" s="30"/>
      <c r="AK1231" s="30"/>
      <c r="AL1231" s="30"/>
      <c r="AM1231" s="13"/>
      <c r="AN1231" s="13"/>
      <c r="AO1231" s="13"/>
      <c r="AP1231" s="13"/>
      <c r="AQ1231" s="13"/>
      <c r="AR1231" s="14"/>
      <c r="AS1231" s="15"/>
    </row>
    <row r="1232" spans="1:45" s="17" customFormat="1" ht="30.95" hidden="1" customHeight="1" x14ac:dyDescent="0.2">
      <c r="A1232" s="37"/>
      <c r="B1232" s="38"/>
      <c r="C1232" s="45"/>
      <c r="D1232" s="31"/>
      <c r="E1232" s="31"/>
      <c r="F1232" s="268"/>
      <c r="G1232" s="269"/>
      <c r="H1232" s="269"/>
      <c r="I1232" s="270"/>
      <c r="J1232" s="210"/>
      <c r="K1232" s="270"/>
      <c r="L1232" s="270"/>
      <c r="M1232" s="39"/>
      <c r="N1232" s="39"/>
      <c r="O1232" s="156"/>
      <c r="P1232" s="47"/>
      <c r="Q1232" s="57"/>
      <c r="R1232" s="338"/>
      <c r="S1232" s="272"/>
      <c r="T1232" s="273"/>
      <c r="U1232" s="40"/>
      <c r="V1232" s="277"/>
      <c r="W1232" s="269"/>
      <c r="X1232" s="269"/>
      <c r="Y1232" s="275"/>
      <c r="Z1232" s="269"/>
      <c r="AA1232" s="57"/>
      <c r="AB1232" s="207"/>
      <c r="AC1232" s="33"/>
      <c r="AD1232" s="189"/>
      <c r="AE1232" s="54"/>
      <c r="AF1232" s="55"/>
      <c r="AG1232" s="43"/>
      <c r="AH1232" s="47"/>
      <c r="AI1232" s="30"/>
      <c r="AJ1232" s="30"/>
      <c r="AK1232" s="30"/>
      <c r="AL1232" s="30"/>
      <c r="AM1232" s="13"/>
      <c r="AN1232" s="13"/>
      <c r="AO1232" s="13"/>
      <c r="AP1232" s="13"/>
      <c r="AQ1232" s="13"/>
      <c r="AR1232" s="14"/>
      <c r="AS1232" s="15"/>
    </row>
    <row r="1233" spans="1:45" s="17" customFormat="1" ht="30.95" hidden="1" customHeight="1" x14ac:dyDescent="0.2">
      <c r="A1233" s="37"/>
      <c r="B1233" s="38"/>
      <c r="C1233" s="45"/>
      <c r="D1233" s="31">
        <v>3732676</v>
      </c>
      <c r="E1233" s="31">
        <v>4162140</v>
      </c>
      <c r="F1233" s="268" t="str">
        <f>IF(D1233="","",VLOOKUP(D1233,契約台帳!$A$3:$K$4986,6,FALSE)&amp;VLOOKUP(D1233,契約台帳!$A$3:$K$4986,7,FALSE)&amp;VLOOKUP(D1233,契約台帳!$A$3:$K$4986,8,FALSE)&amp;VLOOKUP(D1233,契約台帳!$A$3:$K$4986,9,FALSE)&amp;VLOOKUP(D1233,契約台帳!$A$3:$K$4986,11,FALSE))</f>
        <v>3HSNMCLBWCB</v>
      </c>
      <c r="G1233" s="269" t="str">
        <f>IF(D1233="","",VLOOKUP(F1233,製品マスタ!$G$5:$H$5002,2,FALSE))</f>
        <v>S</v>
      </c>
      <c r="H1233" s="269" t="str">
        <f>IF(D1233="","",VLOOKUP(F1233,製品マスタ!$G$5:$K$5002,5,FALSE))</f>
        <v>WCB</v>
      </c>
      <c r="I1233" s="270" t="str">
        <f>IF(D1233="","",VLOOKUP(F1233,製品マスタ!$G$5:$L$5002,6,FALSE))</f>
        <v>メタルミー　ホワイトコート　（Ｂ）</v>
      </c>
      <c r="J1233" s="210" t="s">
        <v>935</v>
      </c>
      <c r="K1233" s="270">
        <f>IF(D1233="","",VLOOKUP(D1233,契約台帳!$A$3:$L$4986,12,FALSE))</f>
        <v>50</v>
      </c>
      <c r="L1233" s="270" t="s">
        <v>1759</v>
      </c>
      <c r="M1233" s="39">
        <v>1195</v>
      </c>
      <c r="N1233" s="39">
        <v>6100</v>
      </c>
      <c r="O1233" s="156">
        <v>2</v>
      </c>
      <c r="P1233" s="47">
        <v>2</v>
      </c>
      <c r="Q1233" s="213">
        <v>45231</v>
      </c>
      <c r="R1233" s="271">
        <f ca="1">IF(D1233="","",IF(OFFSET(D1233,-1,0)&lt;&gt;"","",IF(OR(J1233="リード付け",J1233="巻足し",J1233="巻返しリード付け"),M1233,VLOOKUP(D1233,契約台帳!$A$3:$N$4986,14,FALSE))))</f>
        <v>1195</v>
      </c>
      <c r="S1233" s="272">
        <f ca="1">IF(D1233="","",IF(OFFSET(D1233,-1,0)&lt;&gt;"","",IF(OR(J1233="リード付け",J1233="巻足し",J1233="巻返しリード付け"),M1233,VLOOKUP(D1233,契約台帳!$A$3:$O$4986,15,FALSE))))</f>
        <v>1195</v>
      </c>
      <c r="T1233" s="273">
        <f ca="1">IF(D1233="","",IF(J1233="リード付け",N1233,IF(J1233="巻返しリード付け",N1233,IF(J1233="巻足し",N1233*P1233+OFFSET(N1233,1,0)*OFFSET(P1233,1,0),VLOOKUP(D1233,契約台帳!$A$3:$P$4986,16,FALSE)))))</f>
        <v>12200</v>
      </c>
      <c r="U1233" s="40">
        <v>1</v>
      </c>
      <c r="V1233" s="274">
        <v>2</v>
      </c>
      <c r="W1233" s="269" t="str">
        <f ca="1">IF(D1233="","",IF(T1233="","",IF(OR(J1233="巻足し",J1233="巻返しリード付け"),"",IF(J1233="巻返し",VLOOKUP(F1233&amp;K1233&amp;M1233,製品マスタ!$M$5:$AD$5002,18,FALSE),IF(OR(J1233="リード付け",J1233="巻返しリード付け"),"原反コア",IF(J1233="スリット",VLOOKUP(F1233&amp;K1233&amp;R1233,製品マスタ!$N$5:$AD$5002,17,FALSE),""))))))</f>
        <v/>
      </c>
      <c r="X1233" s="269" t="str">
        <f ca="1">IF(D1233="","",IF(T1233="","",IF(J1233="巻足し","",IF(J1233="巻返し",VLOOKUP(F1233&amp;K1233&amp;M1233,製品マスタ!$M$5:$AE$5002,19,FALSE),IF(OR(J1233="リード付け",J1233="巻返しリード付け"),"",IF(J1233="スリット",VLOOKUP(F1233&amp;K1233&amp;R1233,製品マスタ!$N$5:$AE$5002,18,FALSE),""))))))</f>
        <v/>
      </c>
      <c r="Y1233" s="275">
        <f ca="1">IF(D1233="","",IF(T1233="","",VLOOKUP(D1233,契約台帳!$A$3:$Q$4986,17,FALSE)))</f>
        <v>2</v>
      </c>
      <c r="Z1233" s="269" t="str">
        <f ca="1">IF(D1233="","",IF(T1233="","",VLOOKUP(D1233,契約台帳!$A$3:$E$4986,5,FALSE)))</f>
        <v>新タック化成㈱</v>
      </c>
      <c r="AA1233" s="57"/>
      <c r="AB1233" s="207" t="str">
        <f>IFERROR((VLOOKUP(F1233&amp;K1233&amp;M1233,製品マスタ!$M$5:$AM$5002,27,FALSE)),"")</f>
        <v/>
      </c>
      <c r="AC1233" s="33"/>
      <c r="AD1233" s="189"/>
      <c r="AE1233" s="54"/>
      <c r="AF1233" s="55">
        <f>+M1233*N1233*O1233/1000</f>
        <v>14579</v>
      </c>
      <c r="AG1233" s="43"/>
      <c r="AH1233" s="47"/>
      <c r="AI1233" s="30"/>
      <c r="AJ1233" s="30"/>
      <c r="AK1233" s="30"/>
      <c r="AL1233" s="30"/>
      <c r="AM1233" s="13"/>
      <c r="AN1233" s="13"/>
      <c r="AO1233" s="13"/>
      <c r="AP1233" s="13"/>
      <c r="AQ1233" s="13"/>
      <c r="AR1233" s="14"/>
      <c r="AS1233" s="15"/>
    </row>
    <row r="1234" spans="1:45" s="17" customFormat="1" ht="30.95" hidden="1" customHeight="1" x14ac:dyDescent="0.2">
      <c r="A1234" s="37"/>
      <c r="B1234" s="38"/>
      <c r="C1234" s="45"/>
      <c r="D1234" s="31"/>
      <c r="E1234" s="31"/>
      <c r="F1234" s="268"/>
      <c r="G1234" s="269"/>
      <c r="H1234" s="269"/>
      <c r="I1234" s="270"/>
      <c r="J1234" s="210"/>
      <c r="K1234" s="270"/>
      <c r="L1234" s="270"/>
      <c r="M1234" s="39"/>
      <c r="N1234" s="39"/>
      <c r="O1234" s="156"/>
      <c r="P1234" s="47"/>
      <c r="Q1234" s="57"/>
      <c r="R1234" s="338"/>
      <c r="S1234" s="272"/>
      <c r="T1234" s="273"/>
      <c r="U1234" s="40"/>
      <c r="V1234" s="277"/>
      <c r="W1234" s="269"/>
      <c r="X1234" s="269"/>
      <c r="Y1234" s="275"/>
      <c r="Z1234" s="269"/>
      <c r="AA1234" s="57"/>
      <c r="AB1234" s="207"/>
      <c r="AC1234" s="33"/>
      <c r="AD1234" s="189"/>
      <c r="AE1234" s="54"/>
      <c r="AF1234" s="55"/>
      <c r="AG1234" s="43"/>
      <c r="AH1234" s="47"/>
      <c r="AI1234" s="30"/>
      <c r="AJ1234" s="30"/>
      <c r="AK1234" s="30"/>
      <c r="AL1234" s="30"/>
      <c r="AM1234" s="13"/>
      <c r="AN1234" s="13"/>
      <c r="AO1234" s="13"/>
      <c r="AP1234" s="13"/>
      <c r="AQ1234" s="13"/>
      <c r="AR1234" s="14"/>
      <c r="AS1234" s="15"/>
    </row>
    <row r="1235" spans="1:45" s="17" customFormat="1" ht="30.95" hidden="1" customHeight="1" x14ac:dyDescent="0.2">
      <c r="A1235" s="37" t="s">
        <v>641</v>
      </c>
      <c r="B1235" s="38" t="s">
        <v>443</v>
      </c>
      <c r="C1235" s="45"/>
      <c r="D1235" s="31">
        <v>3732649</v>
      </c>
      <c r="E1235" s="31">
        <v>4162134</v>
      </c>
      <c r="F1235" s="268" t="str">
        <f>IF(D1235="","",VLOOKUP(D1235,契約台帳!$A$3:$K$4986,6,FALSE)&amp;VLOOKUP(D1235,契約台帳!$A$3:$K$4986,7,FALSE)&amp;VLOOKUP(D1235,契約台帳!$A$3:$K$4986,8,FALSE)&amp;VLOOKUP(D1235,契約台帳!$A$3:$K$4986,9,FALSE)&amp;VLOOKUP(D1235,契約台帳!$A$3:$K$4986,11,FALSE))</f>
        <v>3SNMCLBEYK</v>
      </c>
      <c r="G1235" s="269" t="str">
        <f>IF(D1235="","",VLOOKUP(F1235,製品マスタ!$G$5:$H$5002,2,FALSE))</f>
        <v>S</v>
      </c>
      <c r="H1235" s="269" t="str">
        <f>IF(D1235="","",VLOOKUP(F1235,製品マスタ!$G$5:$K$5002,5,FALSE))</f>
        <v>EYK</v>
      </c>
      <c r="I1235" s="270" t="str">
        <f>IF(D1235="","",VLOOKUP(F1235,製品マスタ!$G$5:$L$5002,6,FALSE))</f>
        <v>メタルミー　ＥＹＫ</v>
      </c>
      <c r="J1235" s="210" t="s">
        <v>1164</v>
      </c>
      <c r="K1235" s="270">
        <f>IF(D1235="","",VLOOKUP(D1235,契約台帳!$A$3:$L$4986,12,FALSE))</f>
        <v>50</v>
      </c>
      <c r="L1235" s="270" t="str">
        <f>IF(D1235="","",INDEX(製品マスタ!$Q$5:$Q$5002,MATCH('S4'!F1235&amp;'S4'!K1235,製品マスタ!$AO$5:$AO$5002,0)))</f>
        <v>T62M</v>
      </c>
      <c r="M1235" s="39">
        <v>1125</v>
      </c>
      <c r="N1235" s="39">
        <v>6100</v>
      </c>
      <c r="O1235" s="156">
        <v>4</v>
      </c>
      <c r="P1235" s="47">
        <v>2</v>
      </c>
      <c r="Q1235" s="213">
        <v>45226</v>
      </c>
      <c r="R1235" s="271">
        <f ca="1">IF(D1235="","",IF(OFFSET(D1235,-1,0)&lt;&gt;"","",IF(OR(J1235="リード付け",J1235="巻足し",J1235="巻返しリード付け"),M1235,VLOOKUP(D1235,契約台帳!$A$3:$N$4986,14,FALSE))))</f>
        <v>1125</v>
      </c>
      <c r="S1235" s="272">
        <f ca="1">IF(D1235="","",IF(OFFSET(D1235,-1,0)&lt;&gt;"","",IF(OR(J1235="リード付け",J1235="巻足し",J1235="巻返しリード付け"),M1235,VLOOKUP(D1235,契約台帳!$A$3:$O$4986,15,FALSE))))</f>
        <v>1125</v>
      </c>
      <c r="T1235" s="273">
        <f ca="1">IF(D1235="","",IF(J1235="リード付け",N1235,IF(J1235="巻返しリード付け",N1235,IF(J1235="巻足し",N1235*P1235+OFFSET(N1235,1,0)*OFFSET(P1235,1,0),VLOOKUP(D1235,契約台帳!$A$3:$P$4986,16,FALSE)))))</f>
        <v>12200</v>
      </c>
      <c r="U1235" s="40">
        <v>2</v>
      </c>
      <c r="V1235" s="274">
        <f ca="1">IF(D1235="","",IF(OFFSET(D1235,-2,0)=D1235,"",VLOOKUP(D1235,契約台帳!$A$3:$R$4986,18,FALSE)))</f>
        <v>4</v>
      </c>
      <c r="W1235" s="269" t="str">
        <f ca="1">IF(D1235="","",IF(T1235="","",IF(OR(J1235="巻足し",J1235="巻返しリード付け"),"",IF(J1235="巻返し",VLOOKUP(F1235&amp;K1235&amp;M1235,製品マスタ!$M$5:$AD$5002,18,FALSE),IF(OR(J1235="リード付け",J1235="巻返しリード付け"),"原反コア",IF(J1235="スリット",VLOOKUP(F1235&amp;K1235&amp;R1235,製品マスタ!$N$5:$AD$5002,17,FALSE),""))))))</f>
        <v/>
      </c>
      <c r="X1235" s="269" t="str">
        <f ca="1">IF(D1235="","",IF(T1235="","",IF(J1235="巻足し","",IF(J1235="巻返し",VLOOKUP(F1235&amp;K1235&amp;M1235,製品マスタ!$M$5:$AE$5002,19,FALSE),IF(OR(J1235="リード付け",J1235="巻返しリード付け"),"",IF(J1235="スリット",VLOOKUP(F1235&amp;K1235&amp;R1235,製品マスタ!$N$5:$AE$5002,18,FALSE),""))))))</f>
        <v/>
      </c>
      <c r="Y1235" s="275">
        <f ca="1">IF(D1235="","",IF(T1235="","",VLOOKUP(D1235,契約台帳!$A$3:$Q$4986,17,FALSE)))</f>
        <v>2</v>
      </c>
      <c r="Z1235" s="269" t="str">
        <f ca="1">IF(D1235="","",IF(T1235="","",VLOOKUP(D1235,契約台帳!$A$3:$E$4986,5,FALSE)))</f>
        <v>新タック化成㈱</v>
      </c>
      <c r="AA1235" s="57"/>
      <c r="AB1235" s="207" t="str">
        <f>IFERROR((VLOOKUP(F1235&amp;K1235&amp;M1235,製品マスタ!$M$5:$AM$5002,27,FALSE)),"")</f>
        <v>原反ケース再利用</v>
      </c>
      <c r="AC1235" s="33"/>
      <c r="AD1235" s="189"/>
      <c r="AE1235" s="54"/>
      <c r="AF1235" s="55">
        <f>+M1235*N1235*O1235/1000</f>
        <v>27450</v>
      </c>
      <c r="AG1235" s="43"/>
      <c r="AH1235" s="47"/>
      <c r="AI1235" s="30"/>
      <c r="AJ1235" s="30"/>
      <c r="AK1235" s="30"/>
      <c r="AL1235" s="30"/>
      <c r="AM1235" s="13"/>
      <c r="AN1235" s="13"/>
      <c r="AO1235" s="13"/>
      <c r="AP1235" s="13"/>
      <c r="AQ1235" s="13"/>
      <c r="AR1235" s="14"/>
      <c r="AS1235" s="15"/>
    </row>
    <row r="1236" spans="1:45" s="17" customFormat="1" ht="30.95" hidden="1" customHeight="1" x14ac:dyDescent="0.2">
      <c r="A1236" s="37"/>
      <c r="B1236" s="38"/>
      <c r="C1236" s="45"/>
      <c r="D1236" s="31"/>
      <c r="E1236" s="31"/>
      <c r="F1236" s="268"/>
      <c r="G1236" s="269"/>
      <c r="H1236" s="269"/>
      <c r="I1236" s="270"/>
      <c r="J1236" s="210"/>
      <c r="K1236" s="270"/>
      <c r="L1236" s="270"/>
      <c r="M1236" s="39"/>
      <c r="N1236" s="39"/>
      <c r="O1236" s="156"/>
      <c r="P1236" s="47"/>
      <c r="Q1236" s="57"/>
      <c r="R1236" s="338"/>
      <c r="S1236" s="272"/>
      <c r="T1236" s="273"/>
      <c r="U1236" s="40"/>
      <c r="V1236" s="277"/>
      <c r="W1236" s="269"/>
      <c r="X1236" s="269"/>
      <c r="Y1236" s="275"/>
      <c r="Z1236" s="269"/>
      <c r="AA1236" s="57"/>
      <c r="AB1236" s="207"/>
      <c r="AC1236" s="33"/>
      <c r="AD1236" s="189"/>
      <c r="AE1236" s="54"/>
      <c r="AF1236" s="55"/>
      <c r="AG1236" s="43"/>
      <c r="AH1236" s="47"/>
      <c r="AI1236" s="30"/>
      <c r="AJ1236" s="30"/>
      <c r="AK1236" s="30"/>
      <c r="AL1236" s="30"/>
      <c r="AM1236" s="13"/>
      <c r="AN1236" s="13"/>
      <c r="AO1236" s="13"/>
      <c r="AP1236" s="13"/>
      <c r="AQ1236" s="13"/>
      <c r="AR1236" s="14"/>
      <c r="AS1236" s="15"/>
    </row>
    <row r="1237" spans="1:45" s="17" customFormat="1" ht="30.95" hidden="1" customHeight="1" x14ac:dyDescent="0.2">
      <c r="A1237" s="37"/>
      <c r="B1237" s="38"/>
      <c r="C1237" s="45"/>
      <c r="D1237" s="31">
        <v>3727592</v>
      </c>
      <c r="E1237" s="31">
        <v>4162136</v>
      </c>
      <c r="F1237" s="268" t="str">
        <f>IF(D1237="","",VLOOKUP(D1237,契約台帳!$A$3:$K$4986,6,FALSE)&amp;VLOOKUP(D1237,契約台帳!$A$3:$K$4986,7,FALSE)&amp;VLOOKUP(D1237,契約台帳!$A$3:$K$4986,8,FALSE)&amp;VLOOKUP(D1237,契約台帳!$A$3:$K$4986,9,FALSE)&amp;VLOOKUP(D1237,契約台帳!$A$3:$K$4986,11,FALSE))</f>
        <v>3SNMCLBMSNEYK</v>
      </c>
      <c r="G1237" s="269" t="str">
        <f>IF(D1237="","",VLOOKUP(F1237,製品マスタ!$G$5:$H$5002,2,FALSE))</f>
        <v>S</v>
      </c>
      <c r="H1237" s="269" t="str">
        <f>IF(D1237="","",VLOOKUP(F1237,製品マスタ!$G$5:$K$5002,5,FALSE))</f>
        <v>MSNEYK</v>
      </c>
      <c r="I1237" s="270" t="str">
        <f>IF(D1237="","",VLOOKUP(F1237,製品マスタ!$G$5:$L$5002,6,FALSE))</f>
        <v>ＭＳＮ　ＥＹＫ</v>
      </c>
      <c r="J1237" s="210" t="s">
        <v>935</v>
      </c>
      <c r="K1237" s="270">
        <f>IF(D1237="","",VLOOKUP(D1237,契約台帳!$A$3:$L$4986,12,FALSE))</f>
        <v>50</v>
      </c>
      <c r="L1237" s="270" t="str">
        <f>IF(D1237="","",INDEX(製品マスタ!$Q$5:$Q$5002,MATCH('S4'!F1237&amp;'S4'!K1237,製品マスタ!$AO$5:$AO$5002,0)))</f>
        <v>N-MAT</v>
      </c>
      <c r="M1237" s="39">
        <v>1120</v>
      </c>
      <c r="N1237" s="39">
        <v>4000</v>
      </c>
      <c r="O1237" s="156">
        <v>6</v>
      </c>
      <c r="P1237" s="47">
        <v>3</v>
      </c>
      <c r="Q1237" s="213">
        <v>45224</v>
      </c>
      <c r="R1237" s="271">
        <f ca="1">IF(D1237="","",IF(OFFSET(D1237,-1,0)&lt;&gt;"","",IF(OR(J1237="リード付け",J1237="巻足し",J1237="巻返しリード付け"),M1237,VLOOKUP(D1237,契約台帳!$A$3:$N$4986,14,FALSE))))</f>
        <v>1120</v>
      </c>
      <c r="S1237" s="272">
        <f ca="1">IF(D1237="","",IF(OFFSET(D1237,-1,0)&lt;&gt;"","",IF(OR(J1237="リード付け",J1237="巻足し",J1237="巻返しリード付け"),M1237,VLOOKUP(D1237,契約台帳!$A$3:$O$4986,15,FALSE))))</f>
        <v>1120</v>
      </c>
      <c r="T1237" s="273">
        <f ca="1">IF(D1237="","",IF(J1237="リード付け",N1237,IF(J1237="巻返しリード付け",N1237,IF(J1237="巻足し",N1237*P1237+OFFSET(N1237,1,0)*OFFSET(P1237,1,0),VLOOKUP(D1237,契約台帳!$A$3:$P$4986,16,FALSE)))))</f>
        <v>12000</v>
      </c>
      <c r="U1237" s="40">
        <v>2</v>
      </c>
      <c r="V1237" s="274">
        <f ca="1">IF(D1237="","",IF(OFFSET(D1237,-2,0)=D1237,"",VLOOKUP(D1237,契約台帳!$A$3:$R$4986,18,FALSE)))</f>
        <v>6</v>
      </c>
      <c r="W1237" s="269" t="str">
        <f ca="1">IF(D1237="","",IF(T1237="","",IF(OR(J1237="巻足し",J1237="巻返しリード付け"),"",IF(J1237="巻返し",VLOOKUP(F1237&amp;K1237&amp;M1237,製品マスタ!$M$5:$AD$5002,18,FALSE),IF(OR(J1237="リード付け",J1237="巻返しリード付け"),"原反コア",IF(J1237="スリット",VLOOKUP(F1237&amp;K1237&amp;R1237,製品マスタ!$N$5:$AD$5002,17,FALSE),""))))))</f>
        <v/>
      </c>
      <c r="X1237" s="269" t="str">
        <f ca="1">IF(D1237="","",IF(T1237="","",IF(J1237="巻足し","",IF(J1237="巻返し",VLOOKUP(F1237&amp;K1237&amp;M1237,製品マスタ!$M$5:$AE$5002,19,FALSE),IF(OR(J1237="リード付け",J1237="巻返しリード付け"),"",IF(J1237="スリット",VLOOKUP(F1237&amp;K1237&amp;R1237,製品マスタ!$N$5:$AE$5002,18,FALSE),""))))))</f>
        <v/>
      </c>
      <c r="Y1237" s="275">
        <f ca="1">IF(D1237="","",IF(T1237="","",VLOOKUP(D1237,契約台帳!$A$3:$Q$4986,17,FALSE)))</f>
        <v>2</v>
      </c>
      <c r="Z1237" s="269" t="str">
        <f ca="1">IF(D1237="","",IF(T1237="","",VLOOKUP(D1237,契約台帳!$A$3:$E$4986,5,FALSE)))</f>
        <v xml:space="preserve">新タック化成㈱      </v>
      </c>
      <c r="AA1237" s="57"/>
      <c r="AB1237" s="303" t="str">
        <f>IFERROR((VLOOKUP(F1237&amp;K1237&amp;M1237,製品マスタ!$M$5:$AM$5002,27,FALSE)),"")</f>
        <v>原反ケース再利用</v>
      </c>
      <c r="AC1237" s="33"/>
      <c r="AD1237" s="189"/>
      <c r="AE1237" s="54"/>
      <c r="AF1237" s="55">
        <f>+M1237*N1237*O1237/1000</f>
        <v>26880</v>
      </c>
      <c r="AG1237" s="43"/>
      <c r="AH1237" s="47"/>
      <c r="AI1237" s="30"/>
      <c r="AJ1237" s="30"/>
      <c r="AK1237" s="30"/>
      <c r="AL1237" s="30"/>
      <c r="AM1237" s="13"/>
      <c r="AN1237" s="13"/>
      <c r="AO1237" s="13"/>
      <c r="AP1237" s="13"/>
      <c r="AQ1237" s="13"/>
      <c r="AR1237" s="14"/>
      <c r="AS1237" s="15"/>
    </row>
    <row r="1238" spans="1:45" s="17" customFormat="1" ht="30.95" hidden="1" customHeight="1" x14ac:dyDescent="0.2">
      <c r="A1238" s="37"/>
      <c r="B1238" s="38"/>
      <c r="C1238" s="45"/>
      <c r="D1238" s="31"/>
      <c r="E1238" s="31"/>
      <c r="F1238" s="268"/>
      <c r="G1238" s="269"/>
      <c r="H1238" s="269"/>
      <c r="I1238" s="270"/>
      <c r="J1238" s="210"/>
      <c r="K1238" s="270"/>
      <c r="L1238" s="270"/>
      <c r="M1238" s="39"/>
      <c r="N1238" s="39"/>
      <c r="O1238" s="156"/>
      <c r="P1238" s="47"/>
      <c r="Q1238" s="57"/>
      <c r="R1238" s="338"/>
      <c r="S1238" s="272"/>
      <c r="T1238" s="273"/>
      <c r="U1238" s="40"/>
      <c r="V1238" s="277"/>
      <c r="W1238" s="269"/>
      <c r="X1238" s="269"/>
      <c r="Y1238" s="275"/>
      <c r="Z1238" s="269"/>
      <c r="AA1238" s="57"/>
      <c r="AB1238" s="207"/>
      <c r="AC1238" s="33"/>
      <c r="AD1238" s="189"/>
      <c r="AE1238" s="54"/>
      <c r="AF1238" s="55"/>
      <c r="AG1238" s="43"/>
      <c r="AH1238" s="47"/>
      <c r="AI1238" s="30"/>
      <c r="AJ1238" s="30"/>
      <c r="AK1238" s="30"/>
      <c r="AL1238" s="30"/>
      <c r="AM1238" s="13"/>
      <c r="AN1238" s="13"/>
      <c r="AO1238" s="13"/>
      <c r="AP1238" s="13"/>
      <c r="AQ1238" s="13"/>
      <c r="AR1238" s="14"/>
      <c r="AS1238" s="15"/>
    </row>
    <row r="1239" spans="1:45" s="17" customFormat="1" ht="30.95" hidden="1" customHeight="1" x14ac:dyDescent="0.2">
      <c r="A1239" s="37"/>
      <c r="B1239" s="38"/>
      <c r="C1239" s="45"/>
      <c r="D1239" s="31">
        <v>3731348</v>
      </c>
      <c r="E1239" s="31">
        <v>4162106</v>
      </c>
      <c r="F1239" s="268" t="str">
        <f>IF(D1239="","",VLOOKUP(D1239,契約台帳!$A$3:$K$4986,6,FALSE)&amp;VLOOKUP(D1239,契約台帳!$A$3:$K$4986,7,FALSE)&amp;VLOOKUP(D1239,契約台帳!$A$3:$K$4986,8,FALSE)&amp;VLOOKUP(D1239,契約台帳!$A$3:$K$4986,9,FALSE)&amp;VLOOKUP(D1239,契約台帳!$A$3:$K$4986,11,FALSE))</f>
        <v>3SNMLBMNGKKBF</v>
      </c>
      <c r="G1239" s="269" t="str">
        <f>IF(D1239="","",VLOOKUP(F1239,製品マスタ!$G$5:$H$5002,2,FALSE))</f>
        <v>S</v>
      </c>
      <c r="H1239" s="269" t="str">
        <f>IF(D1239="","",VLOOKUP(F1239,製品マスタ!$G$5:$K$5002,5,FALSE))</f>
        <v>MNGKKBF</v>
      </c>
      <c r="I1239" s="270" t="str">
        <f>IF(D1239="","",VLOOKUP(F1239,製品マスタ!$G$5:$L$5002,6,FALSE))</f>
        <v>メタルミー　ネーマー銀消改　Ｂ</v>
      </c>
      <c r="J1239" s="210" t="s">
        <v>935</v>
      </c>
      <c r="K1239" s="270">
        <f>IF(D1239="","",VLOOKUP(D1239,契約台帳!$A$3:$L$4986,12,FALSE))</f>
        <v>25</v>
      </c>
      <c r="L1239" s="270" t="str">
        <f>IF(D1239="","",INDEX(製品マスタ!$Q$5:$Q$5002,MATCH('S4'!F1239&amp;'S4'!K1239,製品マスタ!$AO$5:$AO$5002,0)))</f>
        <v>FMATS99</v>
      </c>
      <c r="M1239" s="39">
        <v>1120</v>
      </c>
      <c r="N1239" s="39">
        <v>4000</v>
      </c>
      <c r="O1239" s="156">
        <v>6</v>
      </c>
      <c r="P1239" s="47">
        <v>3</v>
      </c>
      <c r="Q1239" s="213">
        <v>45231</v>
      </c>
      <c r="R1239" s="271">
        <f ca="1">IF(D1239="","",IF(OFFSET(D1239,-1,0)&lt;&gt;"","",IF(OR(J1239="リード付け",J1239="巻足し",J1239="巻返しリード付け"),M1239,VLOOKUP(D1239,契約台帳!$A$3:$N$4986,14,FALSE))))</f>
        <v>1120</v>
      </c>
      <c r="S1239" s="272">
        <f ca="1">IF(D1239="","",IF(OFFSET(D1239,-1,0)&lt;&gt;"","",IF(OR(J1239="リード付け",J1239="巻足し",J1239="巻返しリード付け"),M1239,VLOOKUP(D1239,契約台帳!$A$3:$O$4986,15,FALSE))))</f>
        <v>1120</v>
      </c>
      <c r="T1239" s="273">
        <f ca="1">IF(D1239="","",IF(J1239="リード付け",N1239,IF(J1239="巻返しリード付け",N1239,IF(J1239="巻足し",N1239*P1239+OFFSET(N1239,1,0)*OFFSET(P1239,1,0),VLOOKUP(D1239,契約台帳!$A$3:$P$4986,16,FALSE)))))</f>
        <v>12000</v>
      </c>
      <c r="U1239" s="40">
        <v>2</v>
      </c>
      <c r="V1239" s="274">
        <f ca="1">IF(D1239="","",IF(OFFSET(D1239,-2,0)=D1239,"",VLOOKUP(D1239,契約台帳!$A$3:$R$4986,18,FALSE)))</f>
        <v>6</v>
      </c>
      <c r="W1239" s="269" t="str">
        <f ca="1">IF(D1239="","",IF(T1239="","",IF(OR(J1239="巻足し",J1239="巻返しリード付け"),"",IF(J1239="巻返し",VLOOKUP(F1239&amp;K1239&amp;M1239,製品マスタ!$M$5:$AD$5002,18,FALSE),IF(OR(J1239="リード付け",J1239="巻返しリード付け"),"原反コア",IF(J1239="スリット",VLOOKUP(F1239&amp;K1239&amp;R1239,製品マスタ!$N$5:$AD$5002,17,FALSE),""))))))</f>
        <v/>
      </c>
      <c r="X1239" s="269" t="str">
        <f ca="1">IF(D1239="","",IF(T1239="","",IF(J1239="巻足し","",IF(J1239="巻返し",VLOOKUP(F1239&amp;K1239&amp;M1239,製品マスタ!$M$5:$AE$5002,19,FALSE),IF(OR(J1239="リード付け",J1239="巻返しリード付け"),"",IF(J1239="スリット",VLOOKUP(F1239&amp;K1239&amp;R1239,製品マスタ!$N$5:$AE$5002,18,FALSE),""))))))</f>
        <v/>
      </c>
      <c r="Y1239" s="275">
        <f ca="1">IF(D1239="","",IF(T1239="","",VLOOKUP(D1239,契約台帳!$A$3:$Q$4986,17,FALSE)))</f>
        <v>2</v>
      </c>
      <c r="Z1239" s="269" t="str">
        <f ca="1">IF(D1239="","",IF(T1239="","",VLOOKUP(D1239,契約台帳!$A$3:$E$4986,5,FALSE)))</f>
        <v>リンテック㈱</v>
      </c>
      <c r="AA1239" s="57"/>
      <c r="AB1239" s="207">
        <f>IFERROR((VLOOKUP(F1239&amp;K1239&amp;M1239,製品マスタ!$M$5:$AM$5002,27,FALSE)),"")</f>
        <v>0</v>
      </c>
      <c r="AC1239" s="33"/>
      <c r="AD1239" s="189"/>
      <c r="AE1239" s="54"/>
      <c r="AF1239" s="55">
        <f>+M1239*N1239*O1239/1000</f>
        <v>26880</v>
      </c>
      <c r="AG1239" s="43"/>
      <c r="AH1239" s="47"/>
      <c r="AI1239" s="30"/>
      <c r="AJ1239" s="30"/>
      <c r="AK1239" s="30"/>
      <c r="AL1239" s="30"/>
      <c r="AM1239" s="13"/>
      <c r="AN1239" s="13"/>
      <c r="AO1239" s="13"/>
      <c r="AP1239" s="13"/>
      <c r="AQ1239" s="13"/>
      <c r="AR1239" s="14"/>
      <c r="AS1239" s="15"/>
    </row>
    <row r="1240" spans="1:45" s="17" customFormat="1" ht="30.95" hidden="1" customHeight="1" x14ac:dyDescent="0.2">
      <c r="A1240" s="37"/>
      <c r="B1240" s="38"/>
      <c r="C1240" s="45"/>
      <c r="D1240" s="31"/>
      <c r="E1240" s="31"/>
      <c r="F1240" s="268"/>
      <c r="G1240" s="269"/>
      <c r="H1240" s="269"/>
      <c r="I1240" s="270"/>
      <c r="J1240" s="210"/>
      <c r="K1240" s="270"/>
      <c r="L1240" s="270"/>
      <c r="M1240" s="39"/>
      <c r="N1240" s="39"/>
      <c r="O1240" s="156"/>
      <c r="P1240" s="47"/>
      <c r="Q1240" s="57"/>
      <c r="R1240" s="338"/>
      <c r="S1240" s="272"/>
      <c r="T1240" s="273"/>
      <c r="U1240" s="40"/>
      <c r="V1240" s="277"/>
      <c r="W1240" s="269"/>
      <c r="X1240" s="269"/>
      <c r="Y1240" s="275"/>
      <c r="Z1240" s="269"/>
      <c r="AA1240" s="57"/>
      <c r="AB1240" s="207"/>
      <c r="AC1240" s="33"/>
      <c r="AD1240" s="189"/>
      <c r="AE1240" s="54"/>
      <c r="AF1240" s="55"/>
      <c r="AG1240" s="43"/>
      <c r="AH1240" s="47"/>
      <c r="AI1240" s="30"/>
      <c r="AJ1240" s="30"/>
      <c r="AK1240" s="30"/>
      <c r="AL1240" s="30"/>
      <c r="AM1240" s="13"/>
      <c r="AN1240" s="13"/>
      <c r="AO1240" s="13"/>
      <c r="AP1240" s="13"/>
      <c r="AQ1240" s="13"/>
      <c r="AR1240" s="14"/>
      <c r="AS1240" s="15"/>
    </row>
    <row r="1241" spans="1:45" s="17" customFormat="1" ht="30.95" hidden="1" customHeight="1" x14ac:dyDescent="0.2">
      <c r="A1241" s="37"/>
      <c r="B1241" s="38"/>
      <c r="C1241" s="45"/>
      <c r="D1241" s="31">
        <v>3731356</v>
      </c>
      <c r="E1241" s="31">
        <v>4162127</v>
      </c>
      <c r="F1241" s="268" t="str">
        <f>IF(D1241="","",VLOOKUP(D1241,契約台帳!$A$3:$K$4986,6,FALSE)&amp;VLOOKUP(D1241,契約台帳!$A$3:$K$4986,7,FALSE)&amp;VLOOKUP(D1241,契約台帳!$A$3:$K$4986,8,FALSE)&amp;VLOOKUP(D1241,契約台帳!$A$3:$K$4986,9,FALSE)&amp;VLOOKUP(D1241,契約台帳!$A$3:$K$4986,11,FALSE))</f>
        <v>3SNMCLBNGTVB</v>
      </c>
      <c r="G1241" s="269" t="str">
        <f>IF(D1241="","",VLOOKUP(F1241,製品マスタ!$G$5:$H$5002,2,FALSE))</f>
        <v>S</v>
      </c>
      <c r="H1241" s="269" t="str">
        <f>IF(D1241="","",VLOOKUP(F1241,製品マスタ!$G$5:$K$5002,5,FALSE))</f>
        <v>NGTVB</v>
      </c>
      <c r="I1241" s="270" t="str">
        <f>IF(D1241="","",VLOOKUP(F1241,製品マスタ!$G$5:$L$5002,6,FALSE))</f>
        <v>メタルミー　ネーマー　銀艶ＶＢ</v>
      </c>
      <c r="J1241" s="210" t="s">
        <v>574</v>
      </c>
      <c r="K1241" s="270">
        <f>IF(D1241="","",VLOOKUP(D1241,契約台帳!$A$3:$L$4986,12,FALSE))</f>
        <v>50</v>
      </c>
      <c r="L1241" s="270" t="str">
        <f>IF(D1241="","",INDEX(製品マスタ!$Q$5:$Q$5002,MATCH('S4'!F1241&amp;'S4'!K1241,製品マスタ!$AO$5:$AO$5002,0)))</f>
        <v>T62M</v>
      </c>
      <c r="M1241" s="39">
        <v>1040</v>
      </c>
      <c r="N1241" s="39">
        <v>6000</v>
      </c>
      <c r="O1241" s="156">
        <v>1</v>
      </c>
      <c r="P1241" s="47">
        <v>1</v>
      </c>
      <c r="Q1241" s="213">
        <v>45231</v>
      </c>
      <c r="R1241" s="271">
        <f ca="1">IF(D1241="","",IF(OFFSET(D1241,-1,0)&lt;&gt;"","",IF(OR(J1241="リード付け",J1241="巻足し",J1241="巻返しリード付け"),M1241,VLOOKUP(D1241,契約台帳!$A$3:$N$4986,14,FALSE))))</f>
        <v>1040</v>
      </c>
      <c r="S1241" s="272">
        <f ca="1">IF(D1241="","",IF(OFFSET(D1241,-1,0)&lt;&gt;"","",IF(OR(J1241="リード付け",J1241="巻足し",J1241="巻返しリード付け"),M1241,VLOOKUP(D1241,契約台帳!$A$3:$O$4986,15,FALSE))))</f>
        <v>1040</v>
      </c>
      <c r="T1241" s="273">
        <f ca="1">IF(D1241="","",IF(J1241="リード付け",N1241,IF(J1241="巻返しリード付け",N1241,IF(J1241="巻足し",N1241*P1241+OFFSET(N1241,1,0)*OFFSET(P1241,1,0),VLOOKUP(D1241,契約台帳!$A$3:$P$4986,16,FALSE)))))</f>
        <v>6000</v>
      </c>
      <c r="U1241" s="40">
        <v>1</v>
      </c>
      <c r="V1241" s="274">
        <f ca="1">IF(D1241="","",IF(OFFSET(D1241,-2,0)=D1241,"",VLOOKUP(D1241,契約台帳!$A$3:$R$4986,18,FALSE)))</f>
        <v>2</v>
      </c>
      <c r="W1241" s="269" t="str">
        <f ca="1">IF(D1241="","",IF(T1241="","",IF(OR(J1241="巻足し",J1241="巻返しリード付け"),"",IF(J1241="巻返し",VLOOKUP(F1241&amp;K1241&amp;M1241,製品マスタ!$M$5:$AD$5002,18,FALSE),IF(OR(J1241="リード付け",J1241="巻返しリード付け"),"原反コア",IF(J1241="スリット",VLOOKUP(F1241&amp;K1241&amp;R1241,製品マスタ!$N$5:$AD$5002,17,FALSE),""))))))</f>
        <v/>
      </c>
      <c r="X1241" s="269" t="str">
        <f ca="1">IF(D1241="","",IF(T1241="","",IF(J1241="巻足し","",IF(J1241="巻返し",VLOOKUP(F1241&amp;K1241&amp;M1241,製品マスタ!$M$5:$AE$5002,19,FALSE),IF(OR(J1241="リード付け",J1241="巻返しリード付け"),"",IF(J1241="スリット",VLOOKUP(F1241&amp;K1241&amp;R1241,製品マスタ!$N$5:$AE$5002,18,FALSE),""))))))</f>
        <v/>
      </c>
      <c r="Y1241" s="275">
        <f ca="1">IF(D1241="","",IF(T1241="","",VLOOKUP(D1241,契約台帳!$A$3:$Q$4986,17,FALSE)))</f>
        <v>2</v>
      </c>
      <c r="Z1241" s="269" t="str">
        <f ca="1">IF(D1241="","",IF(T1241="","",VLOOKUP(D1241,契約台帳!$A$3:$E$4986,5,FALSE)))</f>
        <v>リンテック㈱</v>
      </c>
      <c r="AA1241" s="57"/>
      <c r="AB1241" s="207">
        <f>IFERROR((VLOOKUP(F1241&amp;K1241&amp;M1241,製品マスタ!$M$5:$AM$5002,27,FALSE)),"")</f>
        <v>0</v>
      </c>
      <c r="AC1241" s="33"/>
      <c r="AD1241" s="189"/>
      <c r="AE1241" s="54"/>
      <c r="AF1241" s="55">
        <f>+M1241*N1241*O1241/1000</f>
        <v>6240</v>
      </c>
      <c r="AG1241" s="43"/>
      <c r="AH1241" s="47"/>
      <c r="AI1241" s="30"/>
      <c r="AJ1241" s="30"/>
      <c r="AK1241" s="30"/>
      <c r="AL1241" s="30"/>
      <c r="AM1241" s="13"/>
      <c r="AN1241" s="13"/>
      <c r="AO1241" s="13"/>
      <c r="AP1241" s="13"/>
      <c r="AQ1241" s="13"/>
      <c r="AR1241" s="14"/>
      <c r="AS1241" s="15"/>
    </row>
    <row r="1242" spans="1:45" s="17" customFormat="1" ht="30.95" hidden="1" customHeight="1" x14ac:dyDescent="0.2">
      <c r="A1242" s="37"/>
      <c r="B1242" s="38"/>
      <c r="C1242" s="45"/>
      <c r="D1242" s="31"/>
      <c r="E1242" s="31"/>
      <c r="F1242" s="268"/>
      <c r="G1242" s="269"/>
      <c r="H1242" s="269"/>
      <c r="I1242" s="270"/>
      <c r="J1242" s="210"/>
      <c r="K1242" s="270"/>
      <c r="L1242" s="270"/>
      <c r="M1242" s="39"/>
      <c r="N1242" s="39"/>
      <c r="O1242" s="156"/>
      <c r="P1242" s="47"/>
      <c r="Q1242" s="57"/>
      <c r="R1242" s="338"/>
      <c r="S1242" s="272"/>
      <c r="T1242" s="273"/>
      <c r="U1242" s="40"/>
      <c r="V1242" s="277"/>
      <c r="W1242" s="269"/>
      <c r="X1242" s="269"/>
      <c r="Y1242" s="275"/>
      <c r="Z1242" s="269"/>
      <c r="AA1242" s="57"/>
      <c r="AB1242" s="207"/>
      <c r="AC1242" s="33"/>
      <c r="AD1242" s="189"/>
      <c r="AE1242" s="54"/>
      <c r="AF1242" s="55"/>
      <c r="AG1242" s="43"/>
      <c r="AH1242" s="47"/>
      <c r="AI1242" s="30"/>
      <c r="AJ1242" s="30"/>
      <c r="AK1242" s="30"/>
      <c r="AL1242" s="30"/>
      <c r="AM1242" s="13"/>
      <c r="AN1242" s="13"/>
      <c r="AO1242" s="13"/>
      <c r="AP1242" s="13"/>
      <c r="AQ1242" s="13"/>
      <c r="AR1242" s="14"/>
      <c r="AS1242" s="15"/>
    </row>
    <row r="1243" spans="1:45" s="17" customFormat="1" ht="30.95" hidden="1" customHeight="1" x14ac:dyDescent="0.2">
      <c r="A1243" s="37" t="s">
        <v>1734</v>
      </c>
      <c r="B1243" s="38" t="s">
        <v>1737</v>
      </c>
      <c r="C1243" s="45"/>
      <c r="D1243" s="31"/>
      <c r="E1243" s="31"/>
      <c r="F1243" s="268"/>
      <c r="G1243" s="269"/>
      <c r="H1243" s="269"/>
      <c r="I1243" s="270"/>
      <c r="J1243" s="210" t="s">
        <v>1740</v>
      </c>
      <c r="K1243" s="270"/>
      <c r="L1243" s="270"/>
      <c r="M1243" s="39"/>
      <c r="N1243" s="39"/>
      <c r="O1243" s="156"/>
      <c r="P1243" s="47"/>
      <c r="Q1243" s="57"/>
      <c r="R1243" s="338"/>
      <c r="S1243" s="272"/>
      <c r="T1243" s="273"/>
      <c r="U1243" s="40"/>
      <c r="V1243" s="277"/>
      <c r="W1243" s="269"/>
      <c r="X1243" s="269"/>
      <c r="Y1243" s="275"/>
      <c r="Z1243" s="269"/>
      <c r="AA1243" s="57"/>
      <c r="AB1243" s="207"/>
      <c r="AC1243" s="33"/>
      <c r="AD1243" s="189"/>
      <c r="AE1243" s="54"/>
      <c r="AF1243" s="55"/>
      <c r="AG1243" s="43"/>
      <c r="AH1243" s="47"/>
      <c r="AI1243" s="30"/>
      <c r="AJ1243" s="30"/>
      <c r="AK1243" s="30"/>
      <c r="AL1243" s="30"/>
      <c r="AM1243" s="13"/>
      <c r="AN1243" s="13"/>
      <c r="AO1243" s="13"/>
      <c r="AP1243" s="13"/>
      <c r="AQ1243" s="13"/>
      <c r="AR1243" s="14"/>
      <c r="AS1243" s="15"/>
    </row>
    <row r="1244" spans="1:45" s="17" customFormat="1" ht="30.95" hidden="1" customHeight="1" x14ac:dyDescent="0.2">
      <c r="A1244" s="37"/>
      <c r="B1244" s="38"/>
      <c r="C1244" s="45"/>
      <c r="D1244" s="31"/>
      <c r="E1244" s="31"/>
      <c r="F1244" s="268"/>
      <c r="G1244" s="269"/>
      <c r="H1244" s="269"/>
      <c r="I1244" s="270"/>
      <c r="J1244" s="210"/>
      <c r="K1244" s="270"/>
      <c r="L1244" s="270"/>
      <c r="M1244" s="39"/>
      <c r="N1244" s="39"/>
      <c r="O1244" s="156"/>
      <c r="P1244" s="47"/>
      <c r="Q1244" s="57"/>
      <c r="R1244" s="338"/>
      <c r="S1244" s="272"/>
      <c r="T1244" s="273"/>
      <c r="U1244" s="40"/>
      <c r="V1244" s="277"/>
      <c r="W1244" s="269"/>
      <c r="X1244" s="269"/>
      <c r="Y1244" s="275"/>
      <c r="Z1244" s="269"/>
      <c r="AA1244" s="57"/>
      <c r="AB1244" s="207"/>
      <c r="AC1244" s="33"/>
      <c r="AD1244" s="189"/>
      <c r="AE1244" s="54"/>
      <c r="AF1244" s="55"/>
      <c r="AG1244" s="43"/>
      <c r="AH1244" s="47"/>
      <c r="AI1244" s="30"/>
      <c r="AJ1244" s="30"/>
      <c r="AK1244" s="30"/>
      <c r="AL1244" s="30"/>
      <c r="AM1244" s="13"/>
      <c r="AN1244" s="13"/>
      <c r="AO1244" s="13"/>
      <c r="AP1244" s="13"/>
      <c r="AQ1244" s="13"/>
      <c r="AR1244" s="14"/>
      <c r="AS1244" s="15"/>
    </row>
    <row r="1245" spans="1:45" s="17" customFormat="1" ht="30.95" hidden="1" customHeight="1" x14ac:dyDescent="0.2">
      <c r="A1245" s="37" t="s">
        <v>1735</v>
      </c>
      <c r="B1245" s="38" t="s">
        <v>1738</v>
      </c>
      <c r="C1245" s="45"/>
      <c r="D1245" s="31"/>
      <c r="E1245" s="31"/>
      <c r="F1245" s="268"/>
      <c r="G1245" s="269"/>
      <c r="H1245" s="269"/>
      <c r="I1245" s="270"/>
      <c r="J1245" s="210" t="s">
        <v>1740</v>
      </c>
      <c r="K1245" s="270"/>
      <c r="L1245" s="270"/>
      <c r="M1245" s="39"/>
      <c r="N1245" s="39"/>
      <c r="O1245" s="156"/>
      <c r="P1245" s="47"/>
      <c r="Q1245" s="57"/>
      <c r="R1245" s="338"/>
      <c r="S1245" s="272"/>
      <c r="T1245" s="273"/>
      <c r="U1245" s="40"/>
      <c r="V1245" s="277"/>
      <c r="W1245" s="269"/>
      <c r="X1245" s="269"/>
      <c r="Y1245" s="275"/>
      <c r="Z1245" s="269"/>
      <c r="AA1245" s="57"/>
      <c r="AB1245" s="207"/>
      <c r="AC1245" s="33"/>
      <c r="AD1245" s="189"/>
      <c r="AE1245" s="54"/>
      <c r="AF1245" s="55"/>
      <c r="AG1245" s="43"/>
      <c r="AH1245" s="47"/>
      <c r="AI1245" s="30"/>
      <c r="AJ1245" s="30"/>
      <c r="AK1245" s="30"/>
      <c r="AL1245" s="30"/>
      <c r="AM1245" s="13"/>
      <c r="AN1245" s="13"/>
      <c r="AO1245" s="13"/>
      <c r="AP1245" s="13"/>
      <c r="AQ1245" s="13"/>
      <c r="AR1245" s="14"/>
      <c r="AS1245" s="15"/>
    </row>
    <row r="1246" spans="1:45" s="17" customFormat="1" ht="30.95" hidden="1" customHeight="1" x14ac:dyDescent="0.2">
      <c r="A1246" s="37"/>
      <c r="B1246" s="38"/>
      <c r="C1246" s="45"/>
      <c r="D1246" s="31"/>
      <c r="E1246" s="31"/>
      <c r="F1246" s="268"/>
      <c r="G1246" s="269"/>
      <c r="H1246" s="269"/>
      <c r="I1246" s="270"/>
      <c r="J1246" s="210"/>
      <c r="K1246" s="270"/>
      <c r="L1246" s="270"/>
      <c r="M1246" s="39"/>
      <c r="N1246" s="39"/>
      <c r="O1246" s="156"/>
      <c r="P1246" s="47"/>
      <c r="Q1246" s="57"/>
      <c r="R1246" s="338"/>
      <c r="S1246" s="272"/>
      <c r="T1246" s="273"/>
      <c r="U1246" s="40"/>
      <c r="V1246" s="277"/>
      <c r="W1246" s="269"/>
      <c r="X1246" s="269"/>
      <c r="Y1246" s="275"/>
      <c r="Z1246" s="269"/>
      <c r="AA1246" s="57"/>
      <c r="AB1246" s="207"/>
      <c r="AC1246" s="33"/>
      <c r="AD1246" s="189"/>
      <c r="AE1246" s="54"/>
      <c r="AF1246" s="55"/>
      <c r="AG1246" s="43"/>
      <c r="AH1246" s="47"/>
      <c r="AI1246" s="30"/>
      <c r="AJ1246" s="30"/>
      <c r="AK1246" s="30"/>
      <c r="AL1246" s="30"/>
      <c r="AM1246" s="13"/>
      <c r="AN1246" s="13"/>
      <c r="AO1246" s="13"/>
      <c r="AP1246" s="13"/>
      <c r="AQ1246" s="13"/>
      <c r="AR1246" s="14"/>
      <c r="AS1246" s="15"/>
    </row>
    <row r="1247" spans="1:45" s="17" customFormat="1" ht="30.95" hidden="1" customHeight="1" x14ac:dyDescent="0.2">
      <c r="A1247" s="37" t="s">
        <v>1736</v>
      </c>
      <c r="B1247" s="38" t="s">
        <v>1739</v>
      </c>
      <c r="C1247" s="45"/>
      <c r="D1247" s="31"/>
      <c r="E1247" s="31"/>
      <c r="F1247" s="268"/>
      <c r="G1247" s="269"/>
      <c r="H1247" s="269"/>
      <c r="I1247" s="270"/>
      <c r="J1247" s="210" t="s">
        <v>1740</v>
      </c>
      <c r="K1247" s="270"/>
      <c r="L1247" s="270"/>
      <c r="M1247" s="39"/>
      <c r="N1247" s="39"/>
      <c r="O1247" s="156"/>
      <c r="P1247" s="47"/>
      <c r="Q1247" s="57"/>
      <c r="R1247" s="338"/>
      <c r="S1247" s="272"/>
      <c r="T1247" s="273"/>
      <c r="U1247" s="40"/>
      <c r="V1247" s="277"/>
      <c r="W1247" s="269"/>
      <c r="X1247" s="269"/>
      <c r="Y1247" s="275"/>
      <c r="Z1247" s="269"/>
      <c r="AA1247" s="57"/>
      <c r="AB1247" s="207"/>
      <c r="AC1247" s="33"/>
      <c r="AD1247" s="189"/>
      <c r="AE1247" s="54"/>
      <c r="AF1247" s="55"/>
      <c r="AG1247" s="43"/>
      <c r="AH1247" s="47"/>
      <c r="AI1247" s="30"/>
      <c r="AJ1247" s="30"/>
      <c r="AK1247" s="30"/>
      <c r="AL1247" s="30"/>
      <c r="AM1247" s="13"/>
      <c r="AN1247" s="13"/>
      <c r="AO1247" s="13"/>
      <c r="AP1247" s="13"/>
      <c r="AQ1247" s="13"/>
      <c r="AR1247" s="14"/>
      <c r="AS1247" s="15"/>
    </row>
    <row r="1248" spans="1:45" s="17" customFormat="1" ht="30.95" hidden="1" customHeight="1" x14ac:dyDescent="0.2">
      <c r="A1248" s="37"/>
      <c r="B1248" s="38"/>
      <c r="C1248" s="45"/>
      <c r="D1248" s="31"/>
      <c r="E1248" s="31"/>
      <c r="F1248" s="268"/>
      <c r="G1248" s="269"/>
      <c r="H1248" s="269"/>
      <c r="I1248" s="270"/>
      <c r="J1248" s="210"/>
      <c r="K1248" s="270"/>
      <c r="L1248" s="270"/>
      <c r="M1248" s="39"/>
      <c r="N1248" s="39"/>
      <c r="O1248" s="156"/>
      <c r="P1248" s="47"/>
      <c r="Q1248" s="57"/>
      <c r="R1248" s="338"/>
      <c r="S1248" s="272"/>
      <c r="T1248" s="273"/>
      <c r="U1248" s="40"/>
      <c r="V1248" s="277"/>
      <c r="W1248" s="269"/>
      <c r="X1248" s="269"/>
      <c r="Y1248" s="275"/>
      <c r="Z1248" s="269"/>
      <c r="AA1248" s="57"/>
      <c r="AB1248" s="207"/>
      <c r="AC1248" s="33"/>
      <c r="AD1248" s="189"/>
      <c r="AE1248" s="54"/>
      <c r="AF1248" s="55"/>
      <c r="AG1248" s="43"/>
      <c r="AH1248" s="47"/>
      <c r="AI1248" s="30"/>
      <c r="AJ1248" s="30"/>
      <c r="AK1248" s="30"/>
      <c r="AL1248" s="30"/>
      <c r="AM1248" s="13"/>
      <c r="AN1248" s="13"/>
      <c r="AO1248" s="13"/>
      <c r="AP1248" s="13"/>
      <c r="AQ1248" s="13"/>
      <c r="AR1248" s="14"/>
      <c r="AS1248" s="15"/>
    </row>
    <row r="1249" spans="1:45" s="17" customFormat="1" ht="30.75" hidden="1" customHeight="1" x14ac:dyDescent="0.2">
      <c r="A1249" s="37" t="s">
        <v>642</v>
      </c>
      <c r="B1249" s="38" t="s">
        <v>462</v>
      </c>
      <c r="C1249" s="45"/>
      <c r="D1249" s="31">
        <v>3731358</v>
      </c>
      <c r="E1249" s="31">
        <v>4162113</v>
      </c>
      <c r="F1249" s="268" t="str">
        <f>IF(D1249="","",VLOOKUP(D1249,契約台帳!$A$3:$K$4986,6,FALSE)&amp;VLOOKUP(D1249,契約台帳!$A$3:$K$4986,7,FALSE)&amp;VLOOKUP(D1249,契約台帳!$A$3:$K$4986,8,FALSE)&amp;VLOOKUP(D1249,契約台帳!$A$3:$K$4986,9,FALSE)&amp;VLOOKUP(D1249,契約台帳!$A$3:$K$4986,11,FALSE))</f>
        <v>3SNMLBMNNGKBF</v>
      </c>
      <c r="G1249" s="269" t="str">
        <f>IF(D1249="","",VLOOKUP(F1249,製品マスタ!$G$5:$H$5002,2,FALSE))</f>
        <v>S</v>
      </c>
      <c r="H1249" s="269" t="str">
        <f>IF(D1249="","",VLOOKUP(F1249,製品マスタ!$G$5:$K$5002,5,FALSE))</f>
        <v>MNNGKBF</v>
      </c>
      <c r="I1249" s="270" t="str">
        <f>IF(D1249="","",VLOOKUP(F1249,製品マスタ!$G$5:$L$5002,6,FALSE))</f>
        <v>メタルミー　ニューネーマー銀消　Ｂ</v>
      </c>
      <c r="J1249" s="210" t="s">
        <v>935</v>
      </c>
      <c r="K1249" s="270">
        <f>IF(D1249="","",VLOOKUP(D1249,契約台帳!$A$3:$L$4986,12,FALSE))</f>
        <v>50</v>
      </c>
      <c r="L1249" s="270" t="str">
        <f>IF(D1249="","",INDEX(製品マスタ!$Q$5:$Q$5002,MATCH('S4'!F1249&amp;'S4'!K1249,製品マスタ!$AO$5:$AO$5002,0)))</f>
        <v>X44</v>
      </c>
      <c r="M1249" s="39">
        <v>1000</v>
      </c>
      <c r="N1249" s="39">
        <v>4000</v>
      </c>
      <c r="O1249" s="156">
        <v>18</v>
      </c>
      <c r="P1249" s="47">
        <v>3</v>
      </c>
      <c r="Q1249" s="57">
        <v>45231</v>
      </c>
      <c r="R1249" s="271">
        <f ca="1">IF(D1249="","",IF(OFFSET(D1249,-1,0)&lt;&gt;"","",IF(OR(J1249="リード付け",J1249="巻足し",J1249="巻返しリード付け"),M1249,VLOOKUP(D1249,契約台帳!$A$3:$N$4986,14,FALSE))))</f>
        <v>1000</v>
      </c>
      <c r="S1249" s="272">
        <f ca="1">IF(D1249="","",IF(OFFSET(D1249,-1,0)&lt;&gt;"","",IF(OR(J1249="リード付け",J1249="巻足し",J1249="巻返しリード付け"),M1249,VLOOKUP(D1249,契約台帳!$A$3:$O$4986,15,FALSE))))</f>
        <v>1000</v>
      </c>
      <c r="T1249" s="273">
        <f ca="1">IF(D1249="","",IF(J1249="リード付け",N1249,IF(J1249="巻返しリード付け",N1249,IF(J1249="巻足し",N1249*P1249+OFFSET(N1249,1,0)*OFFSET(P1249,1,0),VLOOKUP(D1249,契約台帳!$A$3:$P$4986,16,FALSE)))))</f>
        <v>12000</v>
      </c>
      <c r="U1249" s="40">
        <v>6</v>
      </c>
      <c r="V1249" s="274">
        <f ca="1">IF(D1249="","",IF(OFFSET(D1249,-2,0)=D1249,"",VLOOKUP(D1249,契約台帳!$A$3:$R$4986,18,FALSE)))</f>
        <v>20</v>
      </c>
      <c r="W1249" s="269" t="str">
        <f ca="1">IF(D1249="","",IF(T1249="","",IF(OR(J1249="巻足し",J1249="巻返しリード付け"),"",IF(J1249="巻返し",VLOOKUP(F1249&amp;K1249&amp;M1249,製品マスタ!$M$5:$AD$5002,18,FALSE),IF(OR(J1249="リード付け",J1249="巻返しリード付け"),"原反コア",IF(J1249="スリット",VLOOKUP(F1249&amp;K1249&amp;R1249,製品マスタ!$N$5:$AD$5002,17,FALSE),""))))))</f>
        <v/>
      </c>
      <c r="X1249" s="269" t="str">
        <f ca="1">IF(D1249="","",IF(T1249="","",IF(J1249="巻足し","",IF(J1249="巻返し",VLOOKUP(F1249&amp;K1249&amp;M1249,製品マスタ!$M$5:$AE$5002,19,FALSE),IF(OR(J1249="リード付け",J1249="巻返しリード付け"),"",IF(J1249="スリット",VLOOKUP(F1249&amp;K1249&amp;R1249,製品マスタ!$N$5:$AE$5002,18,FALSE),""))))))</f>
        <v/>
      </c>
      <c r="Y1249" s="275">
        <f ca="1">IF(D1249="","",IF(T1249="","",VLOOKUP(D1249,契約台帳!$A$3:$Q$4986,17,FALSE)))</f>
        <v>2</v>
      </c>
      <c r="Z1249" s="269" t="str">
        <f ca="1">IF(D1249="","",IF(T1249="","",VLOOKUP(D1249,契約台帳!$A$3:$E$4986,5,FALSE)))</f>
        <v>リンテック㈱</v>
      </c>
      <c r="AA1249" s="57"/>
      <c r="AB1249" s="207" t="str">
        <f>IFERROR((VLOOKUP(F1249&amp;K1249&amp;M1249,製品マスタ!$M$5:$AM$5002,27,FALSE)),"")</f>
        <v>原反ケース再利用</v>
      </c>
      <c r="AC1249" s="33"/>
      <c r="AD1249" s="395"/>
      <c r="AE1249" s="54"/>
      <c r="AF1249" s="55">
        <f>+M1249*N1249*O1249/1000</f>
        <v>72000</v>
      </c>
      <c r="AG1249" s="43"/>
      <c r="AH1249" s="47"/>
      <c r="AI1249" s="30"/>
      <c r="AJ1249" s="30"/>
      <c r="AK1249" s="30"/>
      <c r="AL1249" s="30"/>
      <c r="AM1249" s="13"/>
      <c r="AN1249" s="13"/>
      <c r="AO1249" s="13"/>
      <c r="AP1249" s="13"/>
      <c r="AQ1249" s="13"/>
      <c r="AR1249" s="14"/>
      <c r="AS1249" s="15"/>
    </row>
    <row r="1250" spans="1:45" s="17" customFormat="1" ht="30.95" hidden="1" customHeight="1" x14ac:dyDescent="0.2">
      <c r="A1250" s="37"/>
      <c r="B1250" s="38"/>
      <c r="C1250" s="45"/>
      <c r="D1250" s="31"/>
      <c r="E1250" s="31"/>
      <c r="F1250" s="268"/>
      <c r="G1250" s="269"/>
      <c r="H1250" s="269"/>
      <c r="I1250" s="270"/>
      <c r="J1250" s="210"/>
      <c r="K1250" s="270"/>
      <c r="L1250" s="270"/>
      <c r="M1250" s="39"/>
      <c r="N1250" s="39"/>
      <c r="O1250" s="156"/>
      <c r="P1250" s="47"/>
      <c r="Q1250" s="57"/>
      <c r="R1250" s="338"/>
      <c r="S1250" s="272"/>
      <c r="T1250" s="273"/>
      <c r="U1250" s="40"/>
      <c r="V1250" s="277"/>
      <c r="W1250" s="269"/>
      <c r="X1250" s="269"/>
      <c r="Y1250" s="275"/>
      <c r="Z1250" s="269"/>
      <c r="AA1250" s="57"/>
      <c r="AB1250" s="207"/>
      <c r="AC1250" s="33"/>
      <c r="AD1250" s="189"/>
      <c r="AE1250" s="54"/>
      <c r="AF1250" s="55"/>
      <c r="AG1250" s="43"/>
      <c r="AH1250" s="47"/>
      <c r="AI1250" s="30"/>
      <c r="AJ1250" s="30"/>
      <c r="AK1250" s="30"/>
      <c r="AL1250" s="30"/>
      <c r="AM1250" s="13"/>
      <c r="AN1250" s="13"/>
      <c r="AO1250" s="13"/>
      <c r="AP1250" s="13"/>
      <c r="AQ1250" s="13"/>
      <c r="AR1250" s="14"/>
      <c r="AS1250" s="15"/>
    </row>
    <row r="1251" spans="1:45" s="17" customFormat="1" ht="30.75" hidden="1" customHeight="1" x14ac:dyDescent="0.2">
      <c r="A1251" s="37"/>
      <c r="B1251" s="38"/>
      <c r="C1251" s="45"/>
      <c r="D1251" s="31">
        <v>3731358</v>
      </c>
      <c r="E1251" s="31">
        <v>4162113</v>
      </c>
      <c r="F1251" s="268" t="str">
        <f>IF(D1251="","",VLOOKUP(D1251,契約台帳!$A$3:$K$4986,6,FALSE)&amp;VLOOKUP(D1251,契約台帳!$A$3:$K$4986,7,FALSE)&amp;VLOOKUP(D1251,契約台帳!$A$3:$K$4986,8,FALSE)&amp;VLOOKUP(D1251,契約台帳!$A$3:$K$4986,9,FALSE)&amp;VLOOKUP(D1251,契約台帳!$A$3:$K$4986,11,FALSE))</f>
        <v>3SNMLBMNNGKBF</v>
      </c>
      <c r="G1251" s="269" t="str">
        <f>IF(D1251="","",VLOOKUP(F1251,製品マスタ!$G$5:$H$5002,2,FALSE))</f>
        <v>S</v>
      </c>
      <c r="H1251" s="269" t="str">
        <f>IF(D1251="","",VLOOKUP(F1251,製品マスタ!$G$5:$K$5002,5,FALSE))</f>
        <v>MNNGKBF</v>
      </c>
      <c r="I1251" s="270" t="str">
        <f>IF(D1251="","",VLOOKUP(F1251,製品マスタ!$G$5:$L$5002,6,FALSE))</f>
        <v>メタルミー　ニューネーマー銀消　Ｂ</v>
      </c>
      <c r="J1251" s="210" t="s">
        <v>935</v>
      </c>
      <c r="K1251" s="270">
        <f>IF(D1251="","",VLOOKUP(D1251,契約台帳!$A$3:$L$4986,12,FALSE))</f>
        <v>50</v>
      </c>
      <c r="L1251" s="270" t="str">
        <f>IF(D1251="","",INDEX(製品マスタ!$Q$5:$Q$5002,MATCH('S4'!F1251&amp;'S4'!K1251,製品マスタ!$AO$5:$AO$5002,0)))</f>
        <v>X44</v>
      </c>
      <c r="M1251" s="39">
        <v>1000</v>
      </c>
      <c r="N1251" s="39">
        <v>4000</v>
      </c>
      <c r="O1251" s="156">
        <v>2</v>
      </c>
      <c r="P1251" s="47">
        <v>2</v>
      </c>
      <c r="Q1251" s="57">
        <v>45231</v>
      </c>
      <c r="R1251" s="271">
        <f ca="1">IF(D1251="","",IF(OFFSET(D1251,-1,0)&lt;&gt;"","",IF(OR(J1251="リード付け",J1251="巻足し",J1251="巻返しリード付け"),M1251,VLOOKUP(D1251,契約台帳!$A$3:$N$4986,14,FALSE))))</f>
        <v>1000</v>
      </c>
      <c r="S1251" s="272">
        <f ca="1">IF(D1251="","",IF(OFFSET(D1251,-1,0)&lt;&gt;"","",IF(OR(J1251="リード付け",J1251="巻足し",J1251="巻返しリード付け"),M1251,VLOOKUP(D1251,契約台帳!$A$3:$O$4986,15,FALSE))))</f>
        <v>1000</v>
      </c>
      <c r="T1251" s="273">
        <f ca="1">IF(D1251="","",IF(J1251="リード付け",N1251,IF(J1251="巻返しリード付け",N1251,IF(J1251="巻足し",N1251*P1251+OFFSET(N1251,1,0)*OFFSET(P1251,1,0),VLOOKUP(D1251,契約台帳!$A$3:$P$4986,16,FALSE)))))</f>
        <v>8000</v>
      </c>
      <c r="U1251" s="40">
        <v>1</v>
      </c>
      <c r="V1251" s="274" t="str">
        <f ca="1">IF(D1251="","",IF(OFFSET(D1251,-2,0)=D1251,"",VLOOKUP(D1251,契約台帳!$A$3:$R$4986,18,FALSE)))</f>
        <v/>
      </c>
      <c r="W1251" s="269" t="str">
        <f ca="1">IF(D1251="","",IF(T1251="","",IF(OR(J1251="巻足し",J1251="巻返しリード付け"),"",IF(J1251="巻返し",VLOOKUP(F1251&amp;K1251&amp;M1251,製品マスタ!$M$5:$AD$5002,18,FALSE),IF(OR(J1251="リード付け",J1251="巻返しリード付け"),"原反コア",IF(J1251="スリット",VLOOKUP(F1251&amp;K1251&amp;R1251,製品マスタ!$N$5:$AD$5002,17,FALSE),""))))))</f>
        <v/>
      </c>
      <c r="X1251" s="269" t="str">
        <f ca="1">IF(D1251="","",IF(T1251="","",IF(J1251="巻足し","",IF(J1251="巻返し",VLOOKUP(F1251&amp;K1251&amp;M1251,製品マスタ!$M$5:$AE$5002,19,FALSE),IF(OR(J1251="リード付け",J1251="巻返しリード付け"),"",IF(J1251="スリット",VLOOKUP(F1251&amp;K1251&amp;R1251,製品マスタ!$N$5:$AE$5002,18,FALSE),""))))))</f>
        <v/>
      </c>
      <c r="Y1251" s="275">
        <f ca="1">IF(D1251="","",IF(T1251="","",VLOOKUP(D1251,契約台帳!$A$3:$Q$4986,17,FALSE)))</f>
        <v>2</v>
      </c>
      <c r="Z1251" s="269" t="str">
        <f ca="1">IF(D1251="","",IF(T1251="","",VLOOKUP(D1251,契約台帳!$A$3:$E$4986,5,FALSE)))</f>
        <v>リンテック㈱</v>
      </c>
      <c r="AA1251" s="57"/>
      <c r="AB1251" s="207" t="str">
        <f>IFERROR((VLOOKUP(F1251&amp;K1251&amp;M1251,製品マスタ!$M$5:$AM$5002,27,FALSE)),"")</f>
        <v>原反ケース再利用</v>
      </c>
      <c r="AC1251" s="33"/>
      <c r="AD1251" s="395"/>
      <c r="AE1251" s="54"/>
      <c r="AF1251" s="55">
        <f>+M1251*N1251*O1251/1000</f>
        <v>8000</v>
      </c>
      <c r="AG1251" s="43"/>
      <c r="AH1251" s="47"/>
      <c r="AI1251" s="30"/>
      <c r="AJ1251" s="30"/>
      <c r="AK1251" s="30"/>
      <c r="AL1251" s="30"/>
      <c r="AM1251" s="13"/>
      <c r="AN1251" s="13"/>
      <c r="AO1251" s="13"/>
      <c r="AP1251" s="13"/>
      <c r="AQ1251" s="13"/>
      <c r="AR1251" s="14"/>
      <c r="AS1251" s="15"/>
    </row>
    <row r="1252" spans="1:45" s="17" customFormat="1" ht="30.95" hidden="1" customHeight="1" x14ac:dyDescent="0.2">
      <c r="A1252" s="37"/>
      <c r="B1252" s="38"/>
      <c r="C1252" s="45"/>
      <c r="D1252" s="31"/>
      <c r="E1252" s="31"/>
      <c r="F1252" s="268"/>
      <c r="G1252" s="269"/>
      <c r="H1252" s="269"/>
      <c r="I1252" s="270"/>
      <c r="J1252" s="210"/>
      <c r="K1252" s="270"/>
      <c r="L1252" s="270"/>
      <c r="M1252" s="39"/>
      <c r="N1252" s="39"/>
      <c r="O1252" s="156"/>
      <c r="P1252" s="47"/>
      <c r="Q1252" s="57"/>
      <c r="R1252" s="338"/>
      <c r="S1252" s="272"/>
      <c r="T1252" s="273"/>
      <c r="U1252" s="40"/>
      <c r="V1252" s="277"/>
      <c r="W1252" s="269"/>
      <c r="X1252" s="269"/>
      <c r="Y1252" s="275"/>
      <c r="Z1252" s="269"/>
      <c r="AA1252" s="57"/>
      <c r="AB1252" s="207"/>
      <c r="AC1252" s="33"/>
      <c r="AD1252" s="189"/>
      <c r="AE1252" s="54"/>
      <c r="AF1252" s="55"/>
      <c r="AG1252" s="43"/>
      <c r="AH1252" s="47"/>
      <c r="AI1252" s="30"/>
      <c r="AJ1252" s="30"/>
      <c r="AK1252" s="30"/>
      <c r="AL1252" s="30"/>
      <c r="AM1252" s="13"/>
      <c r="AN1252" s="13"/>
      <c r="AO1252" s="13"/>
      <c r="AP1252" s="13"/>
      <c r="AQ1252" s="13"/>
      <c r="AR1252" s="14"/>
      <c r="AS1252" s="15"/>
    </row>
    <row r="1253" spans="1:45" s="17" customFormat="1" ht="30.95" hidden="1" customHeight="1" x14ac:dyDescent="0.2">
      <c r="A1253" s="37" t="s">
        <v>1789</v>
      </c>
      <c r="B1253" s="38" t="s">
        <v>1790</v>
      </c>
      <c r="C1253" s="45"/>
      <c r="D1253" s="31">
        <v>3727594</v>
      </c>
      <c r="E1253" s="31">
        <v>4162146</v>
      </c>
      <c r="F1253" s="268" t="str">
        <f>IF(D1253="","",VLOOKUP(D1253,契約台帳!$A$3:$K$4986,6,FALSE)&amp;VLOOKUP(D1253,契約台帳!$A$3:$K$4986,7,FALSE)&amp;VLOOKUP(D1253,契約台帳!$A$3:$K$4986,8,FALSE)&amp;VLOOKUP(D1253,契約台帳!$A$3:$K$4986,9,FALSE)&amp;VLOOKUP(D1253,契約台帳!$A$3:$K$4986,11,FALSE))</f>
        <v>3SNMLBMNGKKBF</v>
      </c>
      <c r="G1253" s="269" t="str">
        <f>IF(D1253="","",VLOOKUP(F1253,製品マスタ!$G$5:$H$5002,2,FALSE))</f>
        <v>S</v>
      </c>
      <c r="H1253" s="269" t="str">
        <f>IF(D1253="","",VLOOKUP(F1253,製品マスタ!$G$5:$K$5002,5,FALSE))</f>
        <v>MNGKKBF</v>
      </c>
      <c r="I1253" s="270" t="str">
        <f>IF(D1253="","",VLOOKUP(F1253,製品マスタ!$G$5:$L$5002,6,FALSE))</f>
        <v>メタルミー　ネーマー銀消改　Ｂ</v>
      </c>
      <c r="J1253" s="210" t="s">
        <v>935</v>
      </c>
      <c r="K1253" s="270">
        <f>IF(D1253="","",VLOOKUP(D1253,契約台帳!$A$3:$L$4986,12,FALSE))</f>
        <v>50</v>
      </c>
      <c r="L1253" s="270" t="str">
        <f>IF(D1253="","",INDEX(製品マスタ!$Q$5:$Q$5002,MATCH('S4'!F1253&amp;'S4'!K1253,製品マスタ!$AO$5:$AO$5002,0)))</f>
        <v>S99-MAT</v>
      </c>
      <c r="M1253" s="39">
        <v>1120</v>
      </c>
      <c r="N1253" s="39">
        <v>4000</v>
      </c>
      <c r="O1253" s="156">
        <v>9</v>
      </c>
      <c r="P1253" s="47">
        <v>3</v>
      </c>
      <c r="Q1253" s="213">
        <v>45203</v>
      </c>
      <c r="R1253" s="271">
        <f ca="1">IF(D1253="","",IF(OFFSET(D1253,-1,0)&lt;&gt;"","",IF(OR(J1253="リード付け",J1253="巻足し",J1253="巻返しリード付け"),M1253,VLOOKUP(D1253,契約台帳!$A$3:$N$4986,14,FALSE))))</f>
        <v>1120</v>
      </c>
      <c r="S1253" s="272">
        <f ca="1">IF(D1253="","",IF(OFFSET(D1253,-1,0)&lt;&gt;"","",IF(OR(J1253="リード付け",J1253="巻足し",J1253="巻返しリード付け"),M1253,VLOOKUP(D1253,契約台帳!$A$3:$O$4986,15,FALSE))))</f>
        <v>1120</v>
      </c>
      <c r="T1253" s="273">
        <f ca="1">IF(D1253="","",IF(J1253="リード付け",N1253,IF(J1253="巻返しリード付け",N1253,IF(J1253="巻足し",N1253*P1253+OFFSET(N1253,1,0)*OFFSET(P1253,1,0),VLOOKUP(D1253,契約台帳!$A$3:$P$4986,16,FALSE)))))</f>
        <v>12000</v>
      </c>
      <c r="U1253" s="40">
        <v>3</v>
      </c>
      <c r="V1253" s="274">
        <f ca="1">IF(D1253="","",IF(OFFSET(D1253,-2,0)=D1253,"",VLOOKUP(D1253,契約台帳!$A$3:$R$4986,18,FALSE)))</f>
        <v>18</v>
      </c>
      <c r="W1253" s="269" t="str">
        <f ca="1">IF(D1253="","",IF(T1253="","",IF(OR(J1253="巻足し",J1253="巻返しリード付け"),"",IF(J1253="巻返し",VLOOKUP(F1253&amp;K1253&amp;M1253,製品マスタ!$M$5:$AD$5002,18,FALSE),IF(OR(J1253="リード付け",J1253="巻返しリード付け"),"原反コア",IF(J1253="スリット",VLOOKUP(F1253&amp;K1253&amp;R1253,製品マスタ!$N$5:$AD$5002,17,FALSE),""))))))</f>
        <v/>
      </c>
      <c r="X1253" s="269" t="str">
        <f ca="1">IF(D1253="","",IF(T1253="","",IF(J1253="巻足し","",IF(J1253="巻返し",VLOOKUP(F1253&amp;K1253&amp;M1253,製品マスタ!$M$5:$AE$5002,19,FALSE),IF(OR(J1253="リード付け",J1253="巻返しリード付け"),"",IF(J1253="スリット",VLOOKUP(F1253&amp;K1253&amp;R1253,製品マスタ!$N$5:$AE$5002,18,FALSE),""))))))</f>
        <v/>
      </c>
      <c r="Y1253" s="275">
        <f ca="1">IF(D1253="","",IF(T1253="","",VLOOKUP(D1253,契約台帳!$A$3:$Q$4986,17,FALSE)))</f>
        <v>2</v>
      </c>
      <c r="Z1253" s="269" t="str">
        <f ca="1">IF(D1253="","",IF(T1253="","",VLOOKUP(D1253,契約台帳!$A$3:$E$4986,5,FALSE)))</f>
        <v xml:space="preserve">リンテック㈱        </v>
      </c>
      <c r="AA1253" s="57"/>
      <c r="AB1253" s="207">
        <f>IFERROR((VLOOKUP(F1253&amp;K1253&amp;M1253,製品マスタ!$M$5:$AM$5002,27,FALSE)),"")</f>
        <v>0</v>
      </c>
      <c r="AC1253" s="33"/>
      <c r="AD1253" s="189"/>
      <c r="AE1253" s="54"/>
      <c r="AF1253" s="55">
        <f>+M1253*N1253*O1253/1000</f>
        <v>40320</v>
      </c>
      <c r="AG1253" s="43"/>
      <c r="AH1253" s="47"/>
      <c r="AI1253" s="30"/>
      <c r="AJ1253" s="30"/>
      <c r="AK1253" s="30"/>
      <c r="AL1253" s="30"/>
      <c r="AM1253" s="13"/>
      <c r="AN1253" s="13"/>
      <c r="AO1253" s="13"/>
      <c r="AP1253" s="13"/>
      <c r="AQ1253" s="13"/>
      <c r="AR1253" s="14"/>
      <c r="AS1253" s="15"/>
    </row>
    <row r="1254" spans="1:45" s="17" customFormat="1" ht="30.95" hidden="1" customHeight="1" x14ac:dyDescent="0.2">
      <c r="A1254" s="37"/>
      <c r="B1254" s="38"/>
      <c r="C1254" s="45"/>
      <c r="D1254" s="31"/>
      <c r="E1254" s="31"/>
      <c r="F1254" s="268"/>
      <c r="G1254" s="269"/>
      <c r="H1254" s="269"/>
      <c r="I1254" s="270"/>
      <c r="J1254" s="210"/>
      <c r="K1254" s="270"/>
      <c r="L1254" s="270"/>
      <c r="M1254" s="39"/>
      <c r="N1254" s="39"/>
      <c r="O1254" s="156"/>
      <c r="P1254" s="47"/>
      <c r="Q1254" s="57"/>
      <c r="R1254" s="338"/>
      <c r="S1254" s="272"/>
      <c r="T1254" s="273"/>
      <c r="U1254" s="40"/>
      <c r="V1254" s="277"/>
      <c r="W1254" s="269"/>
      <c r="X1254" s="269"/>
      <c r="Y1254" s="275"/>
      <c r="Z1254" s="269"/>
      <c r="AA1254" s="57"/>
      <c r="AB1254" s="207"/>
      <c r="AC1254" s="33"/>
      <c r="AD1254" s="189"/>
      <c r="AE1254" s="54"/>
      <c r="AF1254" s="55"/>
      <c r="AG1254" s="43"/>
      <c r="AH1254" s="47"/>
      <c r="AI1254" s="30"/>
      <c r="AJ1254" s="30"/>
      <c r="AK1254" s="30"/>
      <c r="AL1254" s="30"/>
      <c r="AM1254" s="13"/>
      <c r="AN1254" s="13"/>
      <c r="AO1254" s="13"/>
      <c r="AP1254" s="13"/>
      <c r="AQ1254" s="13"/>
      <c r="AR1254" s="14"/>
      <c r="AS1254" s="15"/>
    </row>
    <row r="1255" spans="1:45" s="17" customFormat="1" ht="30.95" hidden="1" customHeight="1" x14ac:dyDescent="0.2">
      <c r="A1255" s="37"/>
      <c r="B1255" s="38"/>
      <c r="C1255" s="45"/>
      <c r="D1255" s="31">
        <v>3727595</v>
      </c>
      <c r="E1255" s="31">
        <v>4162072</v>
      </c>
      <c r="F1255" s="268" t="str">
        <f>IF(D1255="","",VLOOKUP(D1255,契約台帳!$A$3:$K$4986,6,FALSE)&amp;VLOOKUP(D1255,契約台帳!$A$3:$K$4986,7,FALSE)&amp;VLOOKUP(D1255,契約台帳!$A$3:$K$4986,8,FALSE)&amp;VLOOKUP(D1255,契約台帳!$A$3:$K$4986,9,FALSE)&amp;VLOOKUP(D1255,契約台帳!$A$3:$K$4986,11,FALSE))</f>
        <v>3SNMLBMNGKKBF</v>
      </c>
      <c r="G1255" s="269" t="str">
        <f>IF(D1255="","",VLOOKUP(F1255,製品マスタ!$G$5:$H$5002,2,FALSE))</f>
        <v>S</v>
      </c>
      <c r="H1255" s="269" t="str">
        <f>IF(D1255="","",VLOOKUP(F1255,製品マスタ!$G$5:$K$5002,5,FALSE))</f>
        <v>MNGKKBF</v>
      </c>
      <c r="I1255" s="270" t="str">
        <f>IF(D1255="","",VLOOKUP(F1255,製品マスタ!$G$5:$L$5002,6,FALSE))</f>
        <v>メタルミー　ネーマー銀消改　Ｂ</v>
      </c>
      <c r="J1255" s="210" t="s">
        <v>935</v>
      </c>
      <c r="K1255" s="270">
        <f>IF(D1255="","",VLOOKUP(D1255,契約台帳!$A$3:$L$4986,12,FALSE))</f>
        <v>50</v>
      </c>
      <c r="L1255" s="270" t="str">
        <f>IF(D1255="","",INDEX(製品マスタ!$Q$5:$Q$5002,MATCH('S4'!F1255&amp;'S4'!K1255,製品マスタ!$AO$5:$AO$5002,0)))</f>
        <v>S99-MAT</v>
      </c>
      <c r="M1255" s="39">
        <v>1120</v>
      </c>
      <c r="N1255" s="39">
        <v>4000</v>
      </c>
      <c r="O1255" s="156">
        <v>9</v>
      </c>
      <c r="P1255" s="47">
        <v>3</v>
      </c>
      <c r="Q1255" s="213">
        <v>45205</v>
      </c>
      <c r="R1255" s="271">
        <f ca="1">IF(D1255="","",IF(OFFSET(D1255,-1,0)&lt;&gt;"","",IF(OR(J1255="リード付け",J1255="巻足し",J1255="巻返しリード付け"),M1255,VLOOKUP(D1255,契約台帳!$A$3:$N$4986,14,FALSE))))</f>
        <v>1120</v>
      </c>
      <c r="S1255" s="272">
        <f ca="1">IF(D1255="","",IF(OFFSET(D1255,-1,0)&lt;&gt;"","",IF(OR(J1255="リード付け",J1255="巻足し",J1255="巻返しリード付け"),M1255,VLOOKUP(D1255,契約台帳!$A$3:$O$4986,15,FALSE))))</f>
        <v>1120</v>
      </c>
      <c r="T1255" s="273">
        <f ca="1">IF(D1255="","",IF(J1255="リード付け",N1255,IF(J1255="巻返しリード付け",N1255,IF(J1255="巻足し",N1255*P1255+OFFSET(N1255,1,0)*OFFSET(P1255,1,0),VLOOKUP(D1255,契約台帳!$A$3:$P$4986,16,FALSE)))))</f>
        <v>12000</v>
      </c>
      <c r="U1255" s="40">
        <v>3</v>
      </c>
      <c r="V1255" s="274">
        <f ca="1">IF(D1255="","",IF(OFFSET(D1255,-2,0)=D1255,"",VLOOKUP(D1255,契約台帳!$A$3:$R$4986,18,FALSE)))</f>
        <v>9</v>
      </c>
      <c r="W1255" s="269" t="str">
        <f ca="1">IF(D1255="","",IF(T1255="","",IF(OR(J1255="巻足し",J1255="巻返しリード付け"),"",IF(J1255="巻返し",VLOOKUP(F1255&amp;K1255&amp;M1255,製品マスタ!$M$5:$AD$5002,18,FALSE),IF(OR(J1255="リード付け",J1255="巻返しリード付け"),"原反コア",IF(J1255="スリット",VLOOKUP(F1255&amp;K1255&amp;R1255,製品マスタ!$N$5:$AD$5002,17,FALSE),""))))))</f>
        <v/>
      </c>
      <c r="X1255" s="269" t="str">
        <f ca="1">IF(D1255="","",IF(T1255="","",IF(J1255="巻足し","",IF(J1255="巻返し",VLOOKUP(F1255&amp;K1255&amp;M1255,製品マスタ!$M$5:$AE$5002,19,FALSE),IF(OR(J1255="リード付け",J1255="巻返しリード付け"),"",IF(J1255="スリット",VLOOKUP(F1255&amp;K1255&amp;R1255,製品マスタ!$N$5:$AE$5002,18,FALSE),""))))))</f>
        <v/>
      </c>
      <c r="Y1255" s="275">
        <f ca="1">IF(D1255="","",IF(T1255="","",VLOOKUP(D1255,契約台帳!$A$3:$Q$4986,17,FALSE)))</f>
        <v>2</v>
      </c>
      <c r="Z1255" s="269" t="str">
        <f ca="1">IF(D1255="","",IF(T1255="","",VLOOKUP(D1255,契約台帳!$A$3:$E$4986,5,FALSE)))</f>
        <v xml:space="preserve">リンテック㈱        </v>
      </c>
      <c r="AA1255" s="57"/>
      <c r="AB1255" s="207">
        <f>IFERROR((VLOOKUP(F1255&amp;K1255&amp;M1255,製品マスタ!$M$5:$AM$5002,27,FALSE)),"")</f>
        <v>0</v>
      </c>
      <c r="AC1255" s="33"/>
      <c r="AD1255" s="189"/>
      <c r="AE1255" s="54"/>
      <c r="AF1255" s="55">
        <f>+M1255*N1255*O1255/1000</f>
        <v>40320</v>
      </c>
      <c r="AG1255" s="43"/>
      <c r="AH1255" s="47"/>
      <c r="AI1255" s="30"/>
      <c r="AJ1255" s="30"/>
      <c r="AK1255" s="30"/>
      <c r="AL1255" s="30"/>
      <c r="AM1255" s="13"/>
      <c r="AN1255" s="13"/>
      <c r="AO1255" s="13"/>
      <c r="AP1255" s="13"/>
      <c r="AQ1255" s="13"/>
      <c r="AR1255" s="14"/>
      <c r="AS1255" s="15"/>
    </row>
    <row r="1256" spans="1:45" s="17" customFormat="1" ht="30.95" hidden="1" customHeight="1" x14ac:dyDescent="0.2">
      <c r="A1256" s="37"/>
      <c r="B1256" s="38"/>
      <c r="C1256" s="45"/>
      <c r="D1256" s="31"/>
      <c r="E1256" s="31"/>
      <c r="F1256" s="268"/>
      <c r="G1256" s="269"/>
      <c r="H1256" s="269"/>
      <c r="I1256" s="270"/>
      <c r="J1256" s="210"/>
      <c r="K1256" s="270"/>
      <c r="L1256" s="270"/>
      <c r="M1256" s="39"/>
      <c r="N1256" s="39"/>
      <c r="O1256" s="156"/>
      <c r="P1256" s="47"/>
      <c r="Q1256" s="57"/>
      <c r="R1256" s="338"/>
      <c r="S1256" s="272"/>
      <c r="T1256" s="273"/>
      <c r="U1256" s="40"/>
      <c r="V1256" s="277"/>
      <c r="W1256" s="269"/>
      <c r="X1256" s="269"/>
      <c r="Y1256" s="275"/>
      <c r="Z1256" s="269"/>
      <c r="AA1256" s="57"/>
      <c r="AB1256" s="207"/>
      <c r="AC1256" s="33"/>
      <c r="AD1256" s="189"/>
      <c r="AE1256" s="54"/>
      <c r="AF1256" s="55"/>
      <c r="AG1256" s="43"/>
      <c r="AH1256" s="47"/>
      <c r="AI1256" s="30"/>
      <c r="AJ1256" s="30"/>
      <c r="AK1256" s="30"/>
      <c r="AL1256" s="30"/>
      <c r="AM1256" s="13"/>
      <c r="AN1256" s="13"/>
      <c r="AO1256" s="13"/>
      <c r="AP1256" s="13"/>
      <c r="AQ1256" s="13"/>
      <c r="AR1256" s="14"/>
      <c r="AS1256" s="15"/>
    </row>
    <row r="1257" spans="1:45" s="17" customFormat="1" ht="30.95" hidden="1" customHeight="1" x14ac:dyDescent="0.2">
      <c r="A1257" s="37" t="s">
        <v>643</v>
      </c>
      <c r="B1257" s="38" t="s">
        <v>442</v>
      </c>
      <c r="C1257" s="45"/>
      <c r="D1257" s="31">
        <v>3731351</v>
      </c>
      <c r="E1257" s="31">
        <v>4162104</v>
      </c>
      <c r="F1257" s="268" t="str">
        <f>IF(D1257="","",VLOOKUP(D1257,契約台帳!$A$3:$K$4986,6,FALSE)&amp;VLOOKUP(D1257,契約台帳!$A$3:$K$4986,7,FALSE)&amp;VLOOKUP(D1257,契約台帳!$A$3:$K$4986,8,FALSE)&amp;VLOOKUP(D1257,契約台帳!$A$3:$K$4986,9,FALSE)&amp;VLOOKUP(D1257,契約台帳!$A$3:$K$4986,11,FALSE))</f>
        <v>3SNMLBMNGKBF</v>
      </c>
      <c r="G1257" s="269" t="str">
        <f>IF(D1257="","",VLOOKUP(F1257,製品マスタ!$G$5:$H$5002,2,FALSE))</f>
        <v>S</v>
      </c>
      <c r="H1257" s="269" t="str">
        <f>IF(D1257="","",VLOOKUP(F1257,製品マスタ!$G$5:$K$5002,5,FALSE))</f>
        <v>MNGKBF</v>
      </c>
      <c r="I1257" s="270" t="str">
        <f>IF(D1257="","",VLOOKUP(F1257,製品マスタ!$G$5:$L$5002,6,FALSE))</f>
        <v>メタルミー　ネーマー銀消　Ｂ</v>
      </c>
      <c r="J1257" s="210" t="s">
        <v>935</v>
      </c>
      <c r="K1257" s="270">
        <f>IF(D1257="","",VLOOKUP(D1257,契約台帳!$A$3:$L$4986,12,FALSE))</f>
        <v>50</v>
      </c>
      <c r="L1257" s="270" t="str">
        <f>IF(D1257="","",INDEX(製品マスタ!$Q$5:$Q$5002,MATCH('S4'!F1257&amp;'S4'!K1257,製品マスタ!$AO$5:$AO$5002,0)))</f>
        <v>MAT</v>
      </c>
      <c r="M1257" s="39">
        <v>1050</v>
      </c>
      <c r="N1257" s="39">
        <v>4100</v>
      </c>
      <c r="O1257" s="156">
        <v>3</v>
      </c>
      <c r="P1257" s="47">
        <v>3</v>
      </c>
      <c r="Q1257" s="213">
        <v>45237</v>
      </c>
      <c r="R1257" s="271">
        <f ca="1">IF(D1257="","",IF(OFFSET(D1257,-1,0)&lt;&gt;"","",IF(OR(J1257="リード付け",J1257="巻足し",J1257="巻返しリード付け"),M1257,VLOOKUP(D1257,契約台帳!$A$3:$N$4986,14,FALSE))))</f>
        <v>1050</v>
      </c>
      <c r="S1257" s="272">
        <f ca="1">IF(D1257="","",IF(OFFSET(D1257,-1,0)&lt;&gt;"","",IF(OR(J1257="リード付け",J1257="巻足し",J1257="巻返しリード付け"),M1257,VLOOKUP(D1257,契約台帳!$A$3:$O$4986,15,FALSE))))</f>
        <v>1050</v>
      </c>
      <c r="T1257" s="273">
        <f ca="1">IF(D1257="","",IF(J1257="リード付け",N1257,IF(J1257="巻返しリード付け",N1257,IF(J1257="巻足し",N1257*P1257+OFFSET(N1257,1,0)*OFFSET(P1257,1,0),VLOOKUP(D1257,契約台帳!$A$3:$P$4986,16,FALSE)))))</f>
        <v>12300</v>
      </c>
      <c r="U1257" s="40">
        <v>1</v>
      </c>
      <c r="V1257" s="274">
        <f ca="1">IF(D1257="","",IF(OFFSET(D1257,-2,0)=D1257,"",VLOOKUP(D1257,契約台帳!$A$3:$R$4986,18,FALSE)))</f>
        <v>5</v>
      </c>
      <c r="W1257" s="269" t="str">
        <f ca="1">IF(D1257="","",IF(T1257="","",IF(OR(J1257="巻足し",J1257="巻返しリード付け"),"",IF(J1257="巻返し",VLOOKUP(F1257&amp;K1257&amp;M1257,製品マスタ!$M$5:$AD$5002,18,FALSE),IF(OR(J1257="リード付け",J1257="巻返しリード付け"),"原反コア",IF(J1257="スリット",VLOOKUP(F1257&amp;K1257&amp;R1257,製品マスタ!$N$5:$AD$5002,17,FALSE),""))))))</f>
        <v/>
      </c>
      <c r="X1257" s="269" t="str">
        <f ca="1">IF(D1257="","",IF(T1257="","",IF(J1257="巻足し","",IF(J1257="巻返し",VLOOKUP(F1257&amp;K1257&amp;M1257,製品マスタ!$M$5:$AE$5002,19,FALSE),IF(OR(J1257="リード付け",J1257="巻返しリード付け"),"",IF(J1257="スリット",VLOOKUP(F1257&amp;K1257&amp;R1257,製品マスタ!$N$5:$AE$5002,18,FALSE),""))))))</f>
        <v/>
      </c>
      <c r="Y1257" s="275">
        <f ca="1">IF(D1257="","",IF(T1257="","",VLOOKUP(D1257,契約台帳!$A$3:$Q$4986,17,FALSE)))</f>
        <v>2</v>
      </c>
      <c r="Z1257" s="269" t="str">
        <f ca="1">IF(D1257="","",IF(T1257="","",VLOOKUP(D1257,契約台帳!$A$3:$E$4986,5,FALSE)))</f>
        <v>リンテック㈱</v>
      </c>
      <c r="AA1257" s="57"/>
      <c r="AB1257" s="207">
        <f>IFERROR((VLOOKUP(F1257&amp;K1257&amp;M1257,製品マスタ!$M$5:$AM$5002,27,FALSE)),"")</f>
        <v>0</v>
      </c>
      <c r="AC1257" s="33"/>
      <c r="AD1257" s="189"/>
      <c r="AE1257" s="54"/>
      <c r="AF1257" s="55">
        <f>+M1257*N1257*O1257/1000</f>
        <v>12915</v>
      </c>
      <c r="AG1257" s="43"/>
      <c r="AH1257" s="47"/>
      <c r="AI1257" s="30"/>
      <c r="AJ1257" s="30"/>
      <c r="AK1257" s="30"/>
      <c r="AL1257" s="30"/>
      <c r="AM1257" s="13"/>
      <c r="AN1257" s="13"/>
      <c r="AO1257" s="13"/>
      <c r="AP1257" s="13"/>
      <c r="AQ1257" s="13"/>
      <c r="AR1257" s="14"/>
      <c r="AS1257" s="15"/>
    </row>
    <row r="1258" spans="1:45" s="17" customFormat="1" ht="30.95" hidden="1" customHeight="1" x14ac:dyDescent="0.2">
      <c r="A1258" s="37"/>
      <c r="B1258" s="38"/>
      <c r="C1258" s="45"/>
      <c r="D1258" s="31"/>
      <c r="E1258" s="31"/>
      <c r="F1258" s="268"/>
      <c r="G1258" s="269"/>
      <c r="H1258" s="269"/>
      <c r="I1258" s="270"/>
      <c r="J1258" s="210"/>
      <c r="K1258" s="270"/>
      <c r="L1258" s="270"/>
      <c r="M1258" s="39"/>
      <c r="N1258" s="39"/>
      <c r="O1258" s="156"/>
      <c r="P1258" s="47"/>
      <c r="Q1258" s="57"/>
      <c r="R1258" s="338"/>
      <c r="S1258" s="272"/>
      <c r="T1258" s="273"/>
      <c r="U1258" s="40"/>
      <c r="V1258" s="277"/>
      <c r="W1258" s="269"/>
      <c r="X1258" s="269"/>
      <c r="Y1258" s="275"/>
      <c r="Z1258" s="269"/>
      <c r="AA1258" s="57"/>
      <c r="AB1258" s="207"/>
      <c r="AC1258" s="33"/>
      <c r="AD1258" s="189"/>
      <c r="AE1258" s="54"/>
      <c r="AF1258" s="55"/>
      <c r="AG1258" s="43"/>
      <c r="AH1258" s="47"/>
      <c r="AI1258" s="30"/>
      <c r="AJ1258" s="30"/>
      <c r="AK1258" s="30"/>
      <c r="AL1258" s="30"/>
      <c r="AM1258" s="13"/>
      <c r="AN1258" s="13"/>
      <c r="AO1258" s="13"/>
      <c r="AP1258" s="13"/>
      <c r="AQ1258" s="13"/>
      <c r="AR1258" s="14"/>
      <c r="AS1258" s="15"/>
    </row>
    <row r="1259" spans="1:45" s="17" customFormat="1" ht="30.95" hidden="1" customHeight="1" x14ac:dyDescent="0.2">
      <c r="A1259" s="37"/>
      <c r="B1259" s="38"/>
      <c r="C1259" s="45"/>
      <c r="D1259" s="31">
        <v>3731351</v>
      </c>
      <c r="E1259" s="31">
        <v>4162104</v>
      </c>
      <c r="F1259" s="268" t="str">
        <f>IF(D1259="","",VLOOKUP(D1259,契約台帳!$A$3:$K$4986,6,FALSE)&amp;VLOOKUP(D1259,契約台帳!$A$3:$K$4986,7,FALSE)&amp;VLOOKUP(D1259,契約台帳!$A$3:$K$4986,8,FALSE)&amp;VLOOKUP(D1259,契約台帳!$A$3:$K$4986,9,FALSE)&amp;VLOOKUP(D1259,契約台帳!$A$3:$K$4986,11,FALSE))</f>
        <v>3SNMLBMNGKBF</v>
      </c>
      <c r="G1259" s="269" t="str">
        <f>IF(D1259="","",VLOOKUP(F1259,製品マスタ!$G$5:$H$5002,2,FALSE))</f>
        <v>S</v>
      </c>
      <c r="H1259" s="269" t="str">
        <f>IF(D1259="","",VLOOKUP(F1259,製品マスタ!$G$5:$K$5002,5,FALSE))</f>
        <v>MNGKBF</v>
      </c>
      <c r="I1259" s="270" t="str">
        <f>IF(D1259="","",VLOOKUP(F1259,製品マスタ!$G$5:$L$5002,6,FALSE))</f>
        <v>メタルミー　ネーマー銀消　Ｂ</v>
      </c>
      <c r="J1259" s="210" t="s">
        <v>935</v>
      </c>
      <c r="K1259" s="270">
        <f>IF(D1259="","",VLOOKUP(D1259,契約台帳!$A$3:$L$4986,12,FALSE))</f>
        <v>50</v>
      </c>
      <c r="L1259" s="270" t="str">
        <f>IF(D1259="","",INDEX(製品マスタ!$Q$5:$Q$5002,MATCH('S4'!F1259&amp;'S4'!K1259,製品マスタ!$AO$5:$AO$5002,0)))</f>
        <v>MAT</v>
      </c>
      <c r="M1259" s="39">
        <v>1050</v>
      </c>
      <c r="N1259" s="39">
        <v>4100</v>
      </c>
      <c r="O1259" s="156">
        <v>2</v>
      </c>
      <c r="P1259" s="47">
        <v>2</v>
      </c>
      <c r="Q1259" s="213">
        <v>45237</v>
      </c>
      <c r="R1259" s="271">
        <f ca="1">IF(D1259="","",IF(OFFSET(D1259,-1,0)&lt;&gt;"","",IF(OR(J1259="リード付け",J1259="巻足し",J1259="巻返しリード付け"),M1259,VLOOKUP(D1259,契約台帳!$A$3:$N$4986,14,FALSE))))</f>
        <v>1050</v>
      </c>
      <c r="S1259" s="272">
        <f ca="1">IF(D1259="","",IF(OFFSET(D1259,-1,0)&lt;&gt;"","",IF(OR(J1259="リード付け",J1259="巻足し",J1259="巻返しリード付け"),M1259,VLOOKUP(D1259,契約台帳!$A$3:$O$4986,15,FALSE))))</f>
        <v>1050</v>
      </c>
      <c r="T1259" s="273">
        <f ca="1">IF(D1259="","",IF(J1259="リード付け",N1259,IF(J1259="巻返しリード付け",N1259,IF(J1259="巻足し",N1259*P1259+OFFSET(N1259,1,0)*OFFSET(P1259,1,0),VLOOKUP(D1259,契約台帳!$A$3:$P$4986,16,FALSE)))))</f>
        <v>8200</v>
      </c>
      <c r="U1259" s="40">
        <v>1</v>
      </c>
      <c r="V1259" s="274" t="str">
        <f ca="1">IF(D1259="","",IF(OFFSET(D1259,-2,0)=D1259,"",VLOOKUP(D1259,契約台帳!$A$3:$R$4986,18,FALSE)))</f>
        <v/>
      </c>
      <c r="W1259" s="269" t="str">
        <f ca="1">IF(D1259="","",IF(T1259="","",IF(OR(J1259="巻足し",J1259="巻返しリード付け"),"",IF(J1259="巻返し",VLOOKUP(F1259&amp;K1259&amp;M1259,製品マスタ!$M$5:$AD$5002,18,FALSE),IF(OR(J1259="リード付け",J1259="巻返しリード付け"),"原反コア",IF(J1259="スリット",VLOOKUP(F1259&amp;K1259&amp;R1259,製品マスタ!$N$5:$AD$5002,17,FALSE),""))))))</f>
        <v/>
      </c>
      <c r="X1259" s="269" t="str">
        <f ca="1">IF(D1259="","",IF(T1259="","",IF(J1259="巻足し","",IF(J1259="巻返し",VLOOKUP(F1259&amp;K1259&amp;M1259,製品マスタ!$M$5:$AE$5002,19,FALSE),IF(OR(J1259="リード付け",J1259="巻返しリード付け"),"",IF(J1259="スリット",VLOOKUP(F1259&amp;K1259&amp;R1259,製品マスタ!$N$5:$AE$5002,18,FALSE),""))))))</f>
        <v/>
      </c>
      <c r="Y1259" s="275">
        <f ca="1">IF(D1259="","",IF(T1259="","",VLOOKUP(D1259,契約台帳!$A$3:$Q$4986,17,FALSE)))</f>
        <v>2</v>
      </c>
      <c r="Z1259" s="269" t="str">
        <f ca="1">IF(D1259="","",IF(T1259="","",VLOOKUP(D1259,契約台帳!$A$3:$E$4986,5,FALSE)))</f>
        <v>リンテック㈱</v>
      </c>
      <c r="AA1259" s="57"/>
      <c r="AB1259" s="207">
        <f>IFERROR((VLOOKUP(F1259&amp;K1259&amp;M1259,製品マスタ!$M$5:$AM$5002,27,FALSE)),"")</f>
        <v>0</v>
      </c>
      <c r="AC1259" s="33"/>
      <c r="AD1259" s="189"/>
      <c r="AE1259" s="54"/>
      <c r="AF1259" s="55">
        <f>+M1259*N1259*O1259/1000</f>
        <v>8610</v>
      </c>
      <c r="AG1259" s="43"/>
      <c r="AH1259" s="47"/>
      <c r="AI1259" s="30"/>
      <c r="AJ1259" s="30"/>
      <c r="AK1259" s="30"/>
      <c r="AL1259" s="30"/>
      <c r="AM1259" s="13"/>
      <c r="AN1259" s="13"/>
      <c r="AO1259" s="13"/>
      <c r="AP1259" s="13"/>
      <c r="AQ1259" s="13"/>
      <c r="AR1259" s="14"/>
      <c r="AS1259" s="15"/>
    </row>
    <row r="1260" spans="1:45" s="17" customFormat="1" ht="30.95" hidden="1" customHeight="1" x14ac:dyDescent="0.2">
      <c r="A1260" s="37"/>
      <c r="B1260" s="38"/>
      <c r="C1260" s="45"/>
      <c r="D1260" s="31"/>
      <c r="E1260" s="31"/>
      <c r="F1260" s="268"/>
      <c r="G1260" s="269"/>
      <c r="H1260" s="269"/>
      <c r="I1260" s="270"/>
      <c r="J1260" s="210"/>
      <c r="K1260" s="270"/>
      <c r="L1260" s="270"/>
      <c r="M1260" s="39"/>
      <c r="N1260" s="39"/>
      <c r="O1260" s="156"/>
      <c r="P1260" s="47"/>
      <c r="Q1260" s="57"/>
      <c r="R1260" s="338"/>
      <c r="S1260" s="272"/>
      <c r="T1260" s="273"/>
      <c r="U1260" s="40"/>
      <c r="V1260" s="277"/>
      <c r="W1260" s="269"/>
      <c r="X1260" s="269"/>
      <c r="Y1260" s="275"/>
      <c r="Z1260" s="269"/>
      <c r="AA1260" s="57"/>
      <c r="AB1260" s="207"/>
      <c r="AC1260" s="33"/>
      <c r="AD1260" s="189"/>
      <c r="AE1260" s="54"/>
      <c r="AF1260" s="55"/>
      <c r="AG1260" s="43"/>
      <c r="AH1260" s="47"/>
      <c r="AI1260" s="30"/>
      <c r="AJ1260" s="30"/>
      <c r="AK1260" s="30"/>
      <c r="AL1260" s="30"/>
      <c r="AM1260" s="13"/>
      <c r="AN1260" s="13"/>
      <c r="AO1260" s="13"/>
      <c r="AP1260" s="13"/>
      <c r="AQ1260" s="13"/>
      <c r="AR1260" s="14"/>
      <c r="AS1260" s="15"/>
    </row>
    <row r="1261" spans="1:45" s="17" customFormat="1" ht="30.95" hidden="1" customHeight="1" x14ac:dyDescent="0.2">
      <c r="A1261" s="37"/>
      <c r="B1261" s="38"/>
      <c r="C1261" s="45"/>
      <c r="D1261" s="31">
        <v>3731359</v>
      </c>
      <c r="E1261" s="31">
        <v>4162096</v>
      </c>
      <c r="F1261" s="268" t="str">
        <f>IF(D1261="","",VLOOKUP(D1261,契約台帳!$A$3:$K$4986,6,FALSE)&amp;VLOOKUP(D1261,契約台帳!$A$3:$K$4986,7,FALSE)&amp;VLOOKUP(D1261,契約台帳!$A$3:$K$4986,8,FALSE)&amp;VLOOKUP(D1261,契約台帳!$A$3:$K$4986,9,FALSE)&amp;VLOOKUP(D1261,契約台帳!$A$3:$K$4986,11,FALSE))</f>
        <v>33SSNMCLBTEKKFV</v>
      </c>
      <c r="G1261" s="269" t="str">
        <f>IF(D1261="","",VLOOKUP(F1261,製品マスタ!$G$5:$H$5002,2,FALSE))</f>
        <v>S</v>
      </c>
      <c r="H1261" s="269" t="str">
        <f>IF(D1261="","",VLOOKUP(F1261,製品マスタ!$G$5:$K$5002,5,FALSE))</f>
        <v>TEKKFV</v>
      </c>
      <c r="I1261" s="270" t="str">
        <f>IF(D1261="","",VLOOKUP(F1261,製品マスタ!$G$5:$L$5002,6,FALSE))</f>
        <v>メタルミー　ＴＥＳ消開封　Ｖ</v>
      </c>
      <c r="J1261" s="210" t="s">
        <v>935</v>
      </c>
      <c r="K1261" s="270">
        <f>IF(D1261="","",VLOOKUP(D1261,契約台帳!$A$3:$L$4986,12,FALSE))</f>
        <v>50</v>
      </c>
      <c r="L1261" s="270" t="str">
        <f>IF(D1261="","",INDEX(製品マスタ!$Q$5:$Q$5002,MATCH('S4'!F1261&amp;'S4'!K1261,製品マスタ!$AO$5:$AO$5002,0)))</f>
        <v>X44SEPA</v>
      </c>
      <c r="M1261" s="39">
        <v>1005</v>
      </c>
      <c r="N1261" s="39">
        <v>4000</v>
      </c>
      <c r="O1261" s="156">
        <v>6</v>
      </c>
      <c r="P1261" s="47">
        <v>3</v>
      </c>
      <c r="Q1261" s="213">
        <v>45238</v>
      </c>
      <c r="R1261" s="271">
        <f ca="1">IF(D1261="","",IF(OFFSET(D1261,-1,0)&lt;&gt;"","",IF(OR(J1261="リード付け",J1261="巻足し",J1261="巻返しリード付け"),M1261,VLOOKUP(D1261,契約台帳!$A$3:$N$4986,14,FALSE))))</f>
        <v>1005</v>
      </c>
      <c r="S1261" s="272">
        <f ca="1">IF(D1261="","",IF(OFFSET(D1261,-1,0)&lt;&gt;"","",IF(OR(J1261="リード付け",J1261="巻足し",J1261="巻返しリード付け"),M1261,VLOOKUP(D1261,契約台帳!$A$3:$O$4986,15,FALSE))))</f>
        <v>1005</v>
      </c>
      <c r="T1261" s="273">
        <f ca="1">IF(D1261="","",IF(J1261="リード付け",N1261,IF(J1261="巻返しリード付け",N1261,IF(J1261="巻足し",N1261*P1261+OFFSET(N1261,1,0)*OFFSET(P1261,1,0),VLOOKUP(D1261,契約台帳!$A$3:$P$4986,16,FALSE)))))</f>
        <v>12000</v>
      </c>
      <c r="U1261" s="40">
        <v>2</v>
      </c>
      <c r="V1261" s="274">
        <f ca="1">IF(D1261="","",IF(OFFSET(D1261,-2,0)=D1261,"",VLOOKUP(D1261,契約台帳!$A$3:$R$4986,18,FALSE)))</f>
        <v>6</v>
      </c>
      <c r="W1261" s="269" t="str">
        <f ca="1">IF(D1261="","",IF(T1261="","",IF(OR(J1261="巻足し",J1261="巻返しリード付け"),"",IF(J1261="巻返し",VLOOKUP(F1261&amp;K1261&amp;M1261,製品マスタ!$M$5:$AD$5002,18,FALSE),IF(OR(J1261="リード付け",J1261="巻返しリード付け"),"原反コア",IF(J1261="スリット",VLOOKUP(F1261&amp;K1261&amp;R1261,製品マスタ!$N$5:$AD$5002,17,FALSE),""))))))</f>
        <v/>
      </c>
      <c r="X1261" s="269" t="str">
        <f ca="1">IF(D1261="","",IF(T1261="","",IF(J1261="巻足し","",IF(J1261="巻返し",VLOOKUP(F1261&amp;K1261&amp;M1261,製品マスタ!$M$5:$AE$5002,19,FALSE),IF(OR(J1261="リード付け",J1261="巻返しリード付け"),"",IF(J1261="スリット",VLOOKUP(F1261&amp;K1261&amp;R1261,製品マスタ!$N$5:$AE$5002,18,FALSE),""))))))</f>
        <v/>
      </c>
      <c r="Y1261" s="275">
        <f ca="1">IF(D1261="","",IF(T1261="","",VLOOKUP(D1261,契約台帳!$A$3:$Q$4986,17,FALSE)))</f>
        <v>2</v>
      </c>
      <c r="Z1261" s="269" t="str">
        <f ca="1">IF(D1261="","",IF(T1261="","",VLOOKUP(D1261,契約台帳!$A$3:$E$4986,5,FALSE)))</f>
        <v>リンテック㈱</v>
      </c>
      <c r="AA1261" s="57"/>
      <c r="AB1261" s="207">
        <f>IFERROR((VLOOKUP(F1261&amp;K1261&amp;M1261,製品マスタ!$M$5:$AM$5002,27,FALSE)),"")</f>
        <v>0</v>
      </c>
      <c r="AC1261" s="33"/>
      <c r="AD1261" s="189"/>
      <c r="AE1261" s="54"/>
      <c r="AF1261" s="55">
        <f>+M1261*N1261*O1261/1000</f>
        <v>24120</v>
      </c>
      <c r="AG1261" s="43"/>
      <c r="AH1261" s="47"/>
      <c r="AI1261" s="30"/>
      <c r="AJ1261" s="30"/>
      <c r="AK1261" s="30"/>
      <c r="AL1261" s="30"/>
      <c r="AM1261" s="13"/>
      <c r="AN1261" s="13"/>
      <c r="AO1261" s="13"/>
      <c r="AP1261" s="13"/>
      <c r="AQ1261" s="13"/>
      <c r="AR1261" s="14"/>
      <c r="AS1261" s="15"/>
    </row>
    <row r="1262" spans="1:45" s="17" customFormat="1" ht="30.95" hidden="1" customHeight="1" x14ac:dyDescent="0.2">
      <c r="A1262" s="37"/>
      <c r="B1262" s="38"/>
      <c r="C1262" s="45"/>
      <c r="D1262" s="31"/>
      <c r="E1262" s="31"/>
      <c r="F1262" s="268"/>
      <c r="G1262" s="269"/>
      <c r="H1262" s="269"/>
      <c r="I1262" s="270"/>
      <c r="J1262" s="210"/>
      <c r="K1262" s="270"/>
      <c r="L1262" s="270"/>
      <c r="M1262" s="39"/>
      <c r="N1262" s="39"/>
      <c r="O1262" s="156"/>
      <c r="P1262" s="47"/>
      <c r="Q1262" s="57"/>
      <c r="R1262" s="338"/>
      <c r="S1262" s="272"/>
      <c r="T1262" s="273"/>
      <c r="U1262" s="40"/>
      <c r="V1262" s="277"/>
      <c r="W1262" s="269"/>
      <c r="X1262" s="269"/>
      <c r="Y1262" s="275"/>
      <c r="Z1262" s="269"/>
      <c r="AA1262" s="57"/>
      <c r="AB1262" s="207"/>
      <c r="AC1262" s="33"/>
      <c r="AD1262" s="189"/>
      <c r="AE1262" s="54"/>
      <c r="AF1262" s="55"/>
      <c r="AG1262" s="43"/>
      <c r="AH1262" s="47"/>
      <c r="AI1262" s="30"/>
      <c r="AJ1262" s="30"/>
      <c r="AK1262" s="30"/>
      <c r="AL1262" s="30"/>
      <c r="AM1262" s="13"/>
      <c r="AN1262" s="13"/>
      <c r="AO1262" s="13"/>
      <c r="AP1262" s="13"/>
      <c r="AQ1262" s="13"/>
      <c r="AR1262" s="14"/>
      <c r="AS1262" s="15"/>
    </row>
    <row r="1263" spans="1:45" s="17" customFormat="1" ht="30.95" hidden="1" customHeight="1" x14ac:dyDescent="0.2">
      <c r="A1263" s="37"/>
      <c r="B1263" s="38"/>
      <c r="C1263" s="45"/>
      <c r="D1263" s="31">
        <v>3731360</v>
      </c>
      <c r="E1263" s="31">
        <v>4162097</v>
      </c>
      <c r="F1263" s="268" t="str">
        <f>IF(D1263="","",VLOOKUP(D1263,契約台帳!$A$3:$K$4986,6,FALSE)&amp;VLOOKUP(D1263,契約台帳!$A$3:$K$4986,7,FALSE)&amp;VLOOKUP(D1263,契約台帳!$A$3:$K$4986,8,FALSE)&amp;VLOOKUP(D1263,契約台帳!$A$3:$K$4986,9,FALSE)&amp;VLOOKUP(D1263,契約台帳!$A$3:$K$4986,11,FALSE))</f>
        <v>33SSNMCLBTEKV0V</v>
      </c>
      <c r="G1263" s="269" t="str">
        <f>IF(D1263="","",VLOOKUP(F1263,製品マスタ!$G$5:$H$5002,2,FALSE))</f>
        <v>S</v>
      </c>
      <c r="H1263" s="269" t="str">
        <f>IF(D1263="","",VLOOKUP(F1263,製品マスタ!$G$5:$K$5002,5,FALSE))</f>
        <v>TEKV0V</v>
      </c>
      <c r="I1263" s="270" t="str">
        <f>IF(D1263="","",VLOOKUP(F1263,製品マスタ!$G$5:$L$5002,6,FALSE))</f>
        <v>メタルミー　ＴＥ－Ｓ消　ＶＯＩＤ　Ｖ</v>
      </c>
      <c r="J1263" s="210" t="s">
        <v>935</v>
      </c>
      <c r="K1263" s="270">
        <f>IF(D1263="","",VLOOKUP(D1263,契約台帳!$A$3:$L$4986,12,FALSE))</f>
        <v>50</v>
      </c>
      <c r="L1263" s="270" t="str">
        <f>IF(D1263="","",INDEX(製品マスタ!$Q$5:$Q$5002,MATCH('S4'!F1263&amp;'S4'!K1263,製品マスタ!$AO$5:$AO$5002,0)))</f>
        <v>X44SEPA</v>
      </c>
      <c r="M1263" s="39">
        <v>1005</v>
      </c>
      <c r="N1263" s="39">
        <v>4000</v>
      </c>
      <c r="O1263" s="156">
        <v>9</v>
      </c>
      <c r="P1263" s="47">
        <v>3</v>
      </c>
      <c r="Q1263" s="213">
        <v>45238</v>
      </c>
      <c r="R1263" s="271">
        <f ca="1">IF(D1263="","",IF(OFFSET(D1263,-1,0)&lt;&gt;"","",IF(OR(J1263="リード付け",J1263="巻足し",J1263="巻返しリード付け"),M1263,VLOOKUP(D1263,契約台帳!$A$3:$N$4986,14,FALSE))))</f>
        <v>1005</v>
      </c>
      <c r="S1263" s="272">
        <f ca="1">IF(D1263="","",IF(OFFSET(D1263,-1,0)&lt;&gt;"","",IF(OR(J1263="リード付け",J1263="巻足し",J1263="巻返しリード付け"),M1263,VLOOKUP(D1263,契約台帳!$A$3:$O$4986,15,FALSE))))</f>
        <v>1005</v>
      </c>
      <c r="T1263" s="273">
        <f ca="1">IF(D1263="","",IF(J1263="リード付け",N1263,IF(J1263="巻返しリード付け",N1263,IF(J1263="巻足し",N1263*P1263+OFFSET(N1263,1,0)*OFFSET(P1263,1,0),VLOOKUP(D1263,契約台帳!$A$3:$P$4986,16,FALSE)))))</f>
        <v>12000</v>
      </c>
      <c r="U1263" s="40">
        <v>3</v>
      </c>
      <c r="V1263" s="274">
        <f ca="1">IF(D1263="","",IF(OFFSET(D1263,-2,0)=D1263,"",VLOOKUP(D1263,契約台帳!$A$3:$R$4986,18,FALSE)))</f>
        <v>9</v>
      </c>
      <c r="W1263" s="269" t="str">
        <f ca="1">IF(D1263="","",IF(T1263="","",IF(OR(J1263="巻足し",J1263="巻返しリード付け"),"",IF(J1263="巻返し",VLOOKUP(F1263&amp;K1263&amp;M1263,製品マスタ!$M$5:$AD$5002,18,FALSE),IF(OR(J1263="リード付け",J1263="巻返しリード付け"),"原反コア",IF(J1263="スリット",VLOOKUP(F1263&amp;K1263&amp;R1263,製品マスタ!$N$5:$AD$5002,17,FALSE),""))))))</f>
        <v/>
      </c>
      <c r="X1263" s="269" t="str">
        <f ca="1">IF(D1263="","",IF(T1263="","",IF(J1263="巻足し","",IF(J1263="巻返し",VLOOKUP(F1263&amp;K1263&amp;M1263,製品マスタ!$M$5:$AE$5002,19,FALSE),IF(OR(J1263="リード付け",J1263="巻返しリード付け"),"",IF(J1263="スリット",VLOOKUP(F1263&amp;K1263&amp;R1263,製品マスタ!$N$5:$AE$5002,18,FALSE),""))))))</f>
        <v/>
      </c>
      <c r="Y1263" s="275">
        <f ca="1">IF(D1263="","",IF(T1263="","",VLOOKUP(D1263,契約台帳!$A$3:$Q$4986,17,FALSE)))</f>
        <v>2</v>
      </c>
      <c r="Z1263" s="269" t="str">
        <f ca="1">IF(D1263="","",IF(T1263="","",VLOOKUP(D1263,契約台帳!$A$3:$E$4986,5,FALSE)))</f>
        <v>リンテック㈱</v>
      </c>
      <c r="AA1263" s="57"/>
      <c r="AB1263" s="207">
        <f>IFERROR((VLOOKUP(F1263&amp;K1263&amp;M1263,製品マスタ!$M$5:$AM$5002,27,FALSE)),"")</f>
        <v>0</v>
      </c>
      <c r="AC1263" s="33"/>
      <c r="AD1263" s="189"/>
      <c r="AE1263" s="54"/>
      <c r="AF1263" s="55">
        <f>+M1263*N1263*O1263/1000</f>
        <v>36180</v>
      </c>
      <c r="AG1263" s="43"/>
      <c r="AH1263" s="47"/>
      <c r="AI1263" s="30"/>
      <c r="AJ1263" s="30"/>
      <c r="AK1263" s="30"/>
      <c r="AL1263" s="30"/>
      <c r="AM1263" s="13"/>
      <c r="AN1263" s="13"/>
      <c r="AO1263" s="13"/>
      <c r="AP1263" s="13"/>
      <c r="AQ1263" s="13"/>
      <c r="AR1263" s="14"/>
      <c r="AS1263" s="15"/>
    </row>
    <row r="1264" spans="1:45" s="17" customFormat="1" ht="30.95" hidden="1" customHeight="1" x14ac:dyDescent="0.2">
      <c r="A1264" s="37"/>
      <c r="B1264" s="38"/>
      <c r="C1264" s="45"/>
      <c r="D1264" s="31"/>
      <c r="E1264" s="31"/>
      <c r="F1264" s="268"/>
      <c r="G1264" s="269"/>
      <c r="H1264" s="269"/>
      <c r="I1264" s="270"/>
      <c r="J1264" s="210"/>
      <c r="K1264" s="270"/>
      <c r="L1264" s="270"/>
      <c r="M1264" s="39"/>
      <c r="N1264" s="39"/>
      <c r="O1264" s="156"/>
      <c r="P1264" s="47"/>
      <c r="Q1264" s="57"/>
      <c r="R1264" s="338"/>
      <c r="S1264" s="272"/>
      <c r="T1264" s="273"/>
      <c r="U1264" s="40"/>
      <c r="V1264" s="277"/>
      <c r="W1264" s="269"/>
      <c r="X1264" s="269"/>
      <c r="Y1264" s="275"/>
      <c r="Z1264" s="269"/>
      <c r="AA1264" s="57"/>
      <c r="AB1264" s="207"/>
      <c r="AC1264" s="33"/>
      <c r="AD1264" s="189"/>
      <c r="AE1264" s="54"/>
      <c r="AF1264" s="55"/>
      <c r="AG1264" s="43"/>
      <c r="AH1264" s="47"/>
      <c r="AI1264" s="30"/>
      <c r="AJ1264" s="30"/>
      <c r="AK1264" s="30"/>
      <c r="AL1264" s="30"/>
      <c r="AM1264" s="13"/>
      <c r="AN1264" s="13"/>
      <c r="AO1264" s="13"/>
      <c r="AP1264" s="13"/>
      <c r="AQ1264" s="13"/>
      <c r="AR1264" s="14"/>
      <c r="AS1264" s="15"/>
    </row>
    <row r="1265" spans="1:45" s="17" customFormat="1" ht="30.95" hidden="1" customHeight="1" x14ac:dyDescent="0.2">
      <c r="A1265" s="37" t="s">
        <v>644</v>
      </c>
      <c r="B1265" s="38" t="s">
        <v>443</v>
      </c>
      <c r="C1265" s="45"/>
      <c r="D1265" s="31">
        <v>3731361</v>
      </c>
      <c r="E1265" s="31">
        <v>4162098</v>
      </c>
      <c r="F1265" s="268" t="str">
        <f>IF(D1265="","",VLOOKUP(D1265,契約台帳!$A$3:$K$4986,6,FALSE)&amp;VLOOKUP(D1265,契約台帳!$A$3:$K$4986,7,FALSE)&amp;VLOOKUP(D1265,契約台帳!$A$3:$K$4986,8,FALSE)&amp;VLOOKUP(D1265,契約台帳!$A$3:$K$4986,9,FALSE)&amp;VLOOKUP(D1265,契約台帳!$A$3:$K$4986,11,FALSE))</f>
        <v>33SSNMCLBTEKV0V</v>
      </c>
      <c r="G1265" s="269" t="str">
        <f>IF(D1265="","",VLOOKUP(F1265,製品マスタ!$G$5:$H$5002,2,FALSE))</f>
        <v>S</v>
      </c>
      <c r="H1265" s="269" t="str">
        <f>IF(D1265="","",VLOOKUP(F1265,製品マスタ!$G$5:$K$5002,5,FALSE))</f>
        <v>TEKV0V</v>
      </c>
      <c r="I1265" s="270" t="str">
        <f>IF(D1265="","",VLOOKUP(F1265,製品マスタ!$G$5:$L$5002,6,FALSE))</f>
        <v>メタルミー　ＴＥ－Ｓ消　ＶＯＩＤ　Ｖ</v>
      </c>
      <c r="J1265" s="210" t="s">
        <v>935</v>
      </c>
      <c r="K1265" s="270">
        <f>IF(D1265="","",VLOOKUP(D1265,契約台帳!$A$3:$L$4986,12,FALSE))</f>
        <v>50</v>
      </c>
      <c r="L1265" s="270" t="str">
        <f>IF(D1265="","",INDEX(製品マスタ!$Q$5:$Q$5002,MATCH('S4'!F1265&amp;'S4'!K1265,製品マスタ!$AO$5:$AO$5002,0)))</f>
        <v>X44SEPA</v>
      </c>
      <c r="M1265" s="39">
        <v>1005</v>
      </c>
      <c r="N1265" s="39">
        <v>4100</v>
      </c>
      <c r="O1265" s="156">
        <v>3</v>
      </c>
      <c r="P1265" s="47">
        <v>3</v>
      </c>
      <c r="Q1265" s="213">
        <v>45238</v>
      </c>
      <c r="R1265" s="271">
        <f ca="1">IF(D1265="","",IF(OFFSET(D1265,-1,0)&lt;&gt;"","",IF(OR(J1265="リード付け",J1265="巻足し",J1265="巻返しリード付け"),M1265,VLOOKUP(D1265,契約台帳!$A$3:$N$4986,14,FALSE))))</f>
        <v>1005</v>
      </c>
      <c r="S1265" s="272">
        <f ca="1">IF(D1265="","",IF(OFFSET(D1265,-1,0)&lt;&gt;"","",IF(OR(J1265="リード付け",J1265="巻足し",J1265="巻返しリード付け"),M1265,VLOOKUP(D1265,契約台帳!$A$3:$O$4986,15,FALSE))))</f>
        <v>1005</v>
      </c>
      <c r="T1265" s="273">
        <f ca="1">IF(D1265="","",IF(J1265="リード付け",N1265,IF(J1265="巻返しリード付け",N1265,IF(J1265="巻足し",N1265*P1265+OFFSET(N1265,1,0)*OFFSET(P1265,1,0),VLOOKUP(D1265,契約台帳!$A$3:$P$4986,16,FALSE)))))</f>
        <v>12300</v>
      </c>
      <c r="U1265" s="40">
        <v>1</v>
      </c>
      <c r="V1265" s="274">
        <f ca="1">IF(D1265="","",IF(OFFSET(D1265,-2,0)=D1265,"",VLOOKUP(D1265,契約台帳!$A$3:$R$4986,18,FALSE)))</f>
        <v>3</v>
      </c>
      <c r="W1265" s="269" t="str">
        <f ca="1">IF(D1265="","",IF(T1265="","",IF(OR(J1265="巻足し",J1265="巻返しリード付け"),"",IF(J1265="巻返し",VLOOKUP(F1265&amp;K1265&amp;M1265,製品マスタ!$M$5:$AD$5002,18,FALSE),IF(OR(J1265="リード付け",J1265="巻返しリード付け"),"原反コア",IF(J1265="スリット",VLOOKUP(F1265&amp;K1265&amp;R1265,製品マスタ!$N$5:$AD$5002,17,FALSE),""))))))</f>
        <v/>
      </c>
      <c r="X1265" s="269" t="str">
        <f ca="1">IF(D1265="","",IF(T1265="","",IF(J1265="巻足し","",IF(J1265="巻返し",VLOOKUP(F1265&amp;K1265&amp;M1265,製品マスタ!$M$5:$AE$5002,19,FALSE),IF(OR(J1265="リード付け",J1265="巻返しリード付け"),"",IF(J1265="スリット",VLOOKUP(F1265&amp;K1265&amp;R1265,製品マスタ!$N$5:$AE$5002,18,FALSE),""))))))</f>
        <v/>
      </c>
      <c r="Y1265" s="275">
        <f ca="1">IF(D1265="","",IF(T1265="","",VLOOKUP(D1265,契約台帳!$A$3:$Q$4986,17,FALSE)))</f>
        <v>2</v>
      </c>
      <c r="Z1265" s="269" t="str">
        <f ca="1">IF(D1265="","",IF(T1265="","",VLOOKUP(D1265,契約台帳!$A$3:$E$4986,5,FALSE)))</f>
        <v>リンテック㈱</v>
      </c>
      <c r="AA1265" s="57"/>
      <c r="AB1265" s="207">
        <f>IFERROR((VLOOKUP(F1265&amp;K1265&amp;M1265,製品マスタ!$M$5:$AM$5002,27,FALSE)),"")</f>
        <v>0</v>
      </c>
      <c r="AC1265" s="33"/>
      <c r="AD1265" s="189"/>
      <c r="AE1265" s="54"/>
      <c r="AF1265" s="55">
        <f>+M1265*N1265*O1265/1000</f>
        <v>12361.5</v>
      </c>
      <c r="AG1265" s="43"/>
      <c r="AH1265" s="47"/>
      <c r="AI1265" s="30"/>
      <c r="AJ1265" s="30"/>
      <c r="AK1265" s="30"/>
      <c r="AL1265" s="30"/>
      <c r="AM1265" s="13"/>
      <c r="AN1265" s="13"/>
      <c r="AO1265" s="13"/>
      <c r="AP1265" s="13"/>
      <c r="AQ1265" s="13"/>
      <c r="AR1265" s="14"/>
      <c r="AS1265" s="15"/>
    </row>
    <row r="1266" spans="1:45" s="17" customFormat="1" ht="30.95" hidden="1" customHeight="1" x14ac:dyDescent="0.2">
      <c r="A1266" s="37"/>
      <c r="B1266" s="38"/>
      <c r="C1266" s="45"/>
      <c r="D1266" s="31"/>
      <c r="E1266" s="31"/>
      <c r="F1266" s="268"/>
      <c r="G1266" s="269"/>
      <c r="H1266" s="269"/>
      <c r="I1266" s="270"/>
      <c r="J1266" s="210"/>
      <c r="K1266" s="270"/>
      <c r="L1266" s="270"/>
      <c r="M1266" s="39"/>
      <c r="N1266" s="39"/>
      <c r="O1266" s="156"/>
      <c r="P1266" s="47"/>
      <c r="Q1266" s="57"/>
      <c r="R1266" s="338"/>
      <c r="S1266" s="272"/>
      <c r="T1266" s="273"/>
      <c r="U1266" s="40"/>
      <c r="V1266" s="277"/>
      <c r="W1266" s="269"/>
      <c r="X1266" s="269"/>
      <c r="Y1266" s="275"/>
      <c r="Z1266" s="269"/>
      <c r="AA1266" s="57"/>
      <c r="AB1266" s="207"/>
      <c r="AC1266" s="33"/>
      <c r="AD1266" s="189"/>
      <c r="AE1266" s="54"/>
      <c r="AF1266" s="55"/>
      <c r="AG1266" s="43"/>
      <c r="AH1266" s="47"/>
      <c r="AI1266" s="30"/>
      <c r="AJ1266" s="30"/>
      <c r="AK1266" s="30"/>
      <c r="AL1266" s="30"/>
      <c r="AM1266" s="13"/>
      <c r="AN1266" s="13"/>
      <c r="AO1266" s="13"/>
      <c r="AP1266" s="13"/>
      <c r="AQ1266" s="13"/>
      <c r="AR1266" s="14"/>
      <c r="AS1266" s="15"/>
    </row>
    <row r="1267" spans="1:45" s="17" customFormat="1" ht="30.95" hidden="1" customHeight="1" x14ac:dyDescent="0.2">
      <c r="A1267" s="37"/>
      <c r="B1267" s="38"/>
      <c r="C1267" s="45"/>
      <c r="D1267" s="31">
        <v>3731362</v>
      </c>
      <c r="E1267" s="31">
        <v>4162099</v>
      </c>
      <c r="F1267" s="268" t="str">
        <f>IF(D1267="","",VLOOKUP(D1267,契約台帳!$A$3:$K$4986,6,FALSE)&amp;VLOOKUP(D1267,契約台帳!$A$3:$K$4986,7,FALSE)&amp;VLOOKUP(D1267,契約台帳!$A$3:$K$4986,8,FALSE)&amp;VLOOKUP(D1267,契約台帳!$A$3:$K$4986,9,FALSE)&amp;VLOOKUP(D1267,契約台帳!$A$3:$K$4986,11,FALSE))</f>
        <v>33SSNMCLBTETKFV</v>
      </c>
      <c r="G1267" s="269" t="str">
        <f>IF(D1267="","",VLOOKUP(F1267,製品マスタ!$G$5:$H$5002,2,FALSE))</f>
        <v>S</v>
      </c>
      <c r="H1267" s="269" t="str">
        <f>IF(D1267="","",VLOOKUP(F1267,製品マスタ!$G$5:$K$5002,5,FALSE))</f>
        <v>TETKFV</v>
      </c>
      <c r="I1267" s="270" t="str">
        <f>IF(D1267="","",VLOOKUP(F1267,製品マスタ!$G$5:$L$5002,6,FALSE))</f>
        <v>メタルミー　ＴＥＳ艶開封　Ｖ</v>
      </c>
      <c r="J1267" s="210" t="s">
        <v>935</v>
      </c>
      <c r="K1267" s="270">
        <f>IF(D1267="","",VLOOKUP(D1267,契約台帳!$A$3:$L$4986,12,FALSE))</f>
        <v>50</v>
      </c>
      <c r="L1267" s="270" t="str">
        <f>IF(D1267="","",INDEX(製品マスタ!$Q$5:$Q$5002,MATCH('S4'!F1267&amp;'S4'!K1267,製品マスタ!$AO$5:$AO$5002,0)))</f>
        <v>S28SEPA</v>
      </c>
      <c r="M1267" s="39">
        <v>1005</v>
      </c>
      <c r="N1267" s="39">
        <v>4100</v>
      </c>
      <c r="O1267" s="156">
        <v>2</v>
      </c>
      <c r="P1267" s="47">
        <v>2</v>
      </c>
      <c r="Q1267" s="213">
        <v>45238</v>
      </c>
      <c r="R1267" s="271">
        <f ca="1">IF(D1267="","",IF(OFFSET(D1267,-1,0)&lt;&gt;"","",IF(OR(J1267="リード付け",J1267="巻足し",J1267="巻返しリード付け"),M1267,VLOOKUP(D1267,契約台帳!$A$3:$N$4986,14,FALSE))))</f>
        <v>1005</v>
      </c>
      <c r="S1267" s="272">
        <f ca="1">IF(D1267="","",IF(OFFSET(D1267,-1,0)&lt;&gt;"","",IF(OR(J1267="リード付け",J1267="巻足し",J1267="巻返しリード付け"),M1267,VLOOKUP(D1267,契約台帳!$A$3:$O$4986,15,FALSE))))</f>
        <v>1005</v>
      </c>
      <c r="T1267" s="273">
        <f ca="1">IF(D1267="","",IF(J1267="リード付け",N1267,IF(J1267="巻返しリード付け",N1267,IF(J1267="巻足し",N1267*P1267+OFFSET(N1267,1,0)*OFFSET(P1267,1,0),VLOOKUP(D1267,契約台帳!$A$3:$P$4986,16,FALSE)))))</f>
        <v>8200</v>
      </c>
      <c r="U1267" s="40">
        <v>1</v>
      </c>
      <c r="V1267" s="274">
        <f ca="1">IF(D1267="","",IF(OFFSET(D1267,-2,0)=D1267,"",VLOOKUP(D1267,契約台帳!$A$3:$R$4986,18,FALSE)))</f>
        <v>2</v>
      </c>
      <c r="W1267" s="269" t="str">
        <f ca="1">IF(D1267="","",IF(T1267="","",IF(OR(J1267="巻足し",J1267="巻返しリード付け"),"",IF(J1267="巻返し",VLOOKUP(F1267&amp;K1267&amp;M1267,製品マスタ!$M$5:$AD$5002,18,FALSE),IF(OR(J1267="リード付け",J1267="巻返しリード付け"),"原反コア",IF(J1267="スリット",VLOOKUP(F1267&amp;K1267&amp;R1267,製品マスタ!$N$5:$AD$5002,17,FALSE),""))))))</f>
        <v/>
      </c>
      <c r="X1267" s="269" t="str">
        <f ca="1">IF(D1267="","",IF(T1267="","",IF(J1267="巻足し","",IF(J1267="巻返し",VLOOKUP(F1267&amp;K1267&amp;M1267,製品マスタ!$M$5:$AE$5002,19,FALSE),IF(OR(J1267="リード付け",J1267="巻返しリード付け"),"",IF(J1267="スリット",VLOOKUP(F1267&amp;K1267&amp;R1267,製品マスタ!$N$5:$AE$5002,18,FALSE),""))))))</f>
        <v/>
      </c>
      <c r="Y1267" s="275">
        <f ca="1">IF(D1267="","",IF(T1267="","",VLOOKUP(D1267,契約台帳!$A$3:$Q$4986,17,FALSE)))</f>
        <v>2</v>
      </c>
      <c r="Z1267" s="269" t="str">
        <f ca="1">IF(D1267="","",IF(T1267="","",VLOOKUP(D1267,契約台帳!$A$3:$E$4986,5,FALSE)))</f>
        <v>リンテック㈱</v>
      </c>
      <c r="AA1267" s="57"/>
      <c r="AB1267" s="207">
        <f>IFERROR((VLOOKUP(F1267&amp;K1267&amp;M1267,製品マスタ!$M$5:$AM$5002,27,FALSE)),"")</f>
        <v>0</v>
      </c>
      <c r="AC1267" s="33"/>
      <c r="AD1267" s="189"/>
      <c r="AE1267" s="54"/>
      <c r="AF1267" s="55">
        <f>+M1267*N1267*O1267/1000</f>
        <v>8241</v>
      </c>
      <c r="AG1267" s="43"/>
      <c r="AH1267" s="47"/>
      <c r="AI1267" s="30"/>
      <c r="AJ1267" s="30"/>
      <c r="AK1267" s="30"/>
      <c r="AL1267" s="30"/>
      <c r="AM1267" s="13"/>
      <c r="AN1267" s="13"/>
      <c r="AO1267" s="13"/>
      <c r="AP1267" s="13"/>
      <c r="AQ1267" s="13"/>
      <c r="AR1267" s="14"/>
      <c r="AS1267" s="15"/>
    </row>
    <row r="1268" spans="1:45" s="17" customFormat="1" ht="30.95" hidden="1" customHeight="1" x14ac:dyDescent="0.2">
      <c r="A1268" s="37"/>
      <c r="B1268" s="38"/>
      <c r="C1268" s="45"/>
      <c r="D1268" s="31"/>
      <c r="E1268" s="31"/>
      <c r="F1268" s="268"/>
      <c r="G1268" s="269"/>
      <c r="H1268" s="269"/>
      <c r="I1268" s="270"/>
      <c r="J1268" s="210"/>
      <c r="K1268" s="270"/>
      <c r="L1268" s="270"/>
      <c r="M1268" s="39"/>
      <c r="N1268" s="39"/>
      <c r="O1268" s="156"/>
      <c r="P1268" s="47"/>
      <c r="Q1268" s="57"/>
      <c r="R1268" s="338"/>
      <c r="S1268" s="272"/>
      <c r="T1268" s="273"/>
      <c r="U1268" s="40"/>
      <c r="V1268" s="277"/>
      <c r="W1268" s="269"/>
      <c r="X1268" s="269"/>
      <c r="Y1268" s="275"/>
      <c r="Z1268" s="269"/>
      <c r="AA1268" s="57"/>
      <c r="AB1268" s="207"/>
      <c r="AC1268" s="33"/>
      <c r="AD1268" s="189"/>
      <c r="AE1268" s="54"/>
      <c r="AF1268" s="55"/>
      <c r="AG1268" s="43"/>
      <c r="AH1268" s="47"/>
      <c r="AI1268" s="30"/>
      <c r="AJ1268" s="30"/>
      <c r="AK1268" s="30"/>
      <c r="AL1268" s="30"/>
      <c r="AM1268" s="13"/>
      <c r="AN1268" s="13"/>
      <c r="AO1268" s="13"/>
      <c r="AP1268" s="13"/>
      <c r="AQ1268" s="13"/>
      <c r="AR1268" s="14"/>
      <c r="AS1268" s="15"/>
    </row>
    <row r="1269" spans="1:45" s="17" customFormat="1" ht="30.95" hidden="1" customHeight="1" x14ac:dyDescent="0.2">
      <c r="A1269" s="37"/>
      <c r="B1269" s="38"/>
      <c r="C1269" s="45"/>
      <c r="D1269" s="31">
        <v>3732679</v>
      </c>
      <c r="E1269" s="31">
        <v>4162141</v>
      </c>
      <c r="F1269" s="268" t="str">
        <f>IF(D1269="","",VLOOKUP(D1269,契約台帳!$A$3:$K$4986,6,FALSE)&amp;VLOOKUP(D1269,契約台帳!$A$3:$K$4986,7,FALSE)&amp;VLOOKUP(D1269,契約台帳!$A$3:$K$4986,8,FALSE)&amp;VLOOKUP(D1269,契約台帳!$A$3:$K$4986,9,FALSE)&amp;VLOOKUP(D1269,契約台帳!$A$3:$K$4986,11,FALSE))</f>
        <v>3TNMCLBHLGKJV</v>
      </c>
      <c r="G1269" s="269" t="str">
        <f>IF(D1269="","",VLOOKUP(F1269,製品マスタ!$G$5:$H$5002,2,FALSE))</f>
        <v>T</v>
      </c>
      <c r="H1269" s="269" t="str">
        <f>IF(D1269="","",VLOOKUP(F1269,製品マスタ!$G$5:$K$5002,5,FALSE))</f>
        <v>HLGKJV</v>
      </c>
      <c r="I1269" s="270" t="str">
        <f>IF(D1269="","",VLOOKUP(F1269,製品マスタ!$G$5:$L$5002,6,FALSE))</f>
        <v>メタルミー　ヘヤライン　銀消Ｖ</v>
      </c>
      <c r="J1269" s="210" t="s">
        <v>935</v>
      </c>
      <c r="K1269" s="270">
        <f>IF(D1269="","",VLOOKUP(D1269,契約台帳!$A$3:$L$4986,12,FALSE))</f>
        <v>50</v>
      </c>
      <c r="L1269" s="270" t="str">
        <f>IF(D1269="","",INDEX(製品マスタ!$Q$5:$Q$5002,MATCH('S4'!F1269&amp;'S4'!K1269,製品マスタ!$AO$5:$AO$5002,0)))</f>
        <v>HL-MAT</v>
      </c>
      <c r="M1269" s="39">
        <v>1005</v>
      </c>
      <c r="N1269" s="39">
        <v>4000</v>
      </c>
      <c r="O1269" s="156">
        <v>2</v>
      </c>
      <c r="P1269" s="47">
        <v>2</v>
      </c>
      <c r="Q1269" s="213">
        <v>45237</v>
      </c>
      <c r="R1269" s="271">
        <f ca="1">IF(D1269="","",IF(OFFSET(D1269,-1,0)&lt;&gt;"","",IF(OR(J1269="リード付け",J1269="巻足し",J1269="巻返しリード付け"),M1269,VLOOKUP(D1269,契約台帳!$A$3:$N$4986,14,FALSE))))</f>
        <v>1005</v>
      </c>
      <c r="S1269" s="272">
        <f ca="1">IF(D1269="","",IF(OFFSET(D1269,-1,0)&lt;&gt;"","",IF(OR(J1269="リード付け",J1269="巻足し",J1269="巻返しリード付け"),M1269,VLOOKUP(D1269,契約台帳!$A$3:$O$4986,15,FALSE))))</f>
        <v>1005</v>
      </c>
      <c r="T1269" s="273">
        <f ca="1">IF(D1269="","",IF(J1269="リード付け",N1269,IF(J1269="巻返しリード付け",N1269,IF(J1269="巻足し",N1269*P1269+OFFSET(N1269,1,0)*OFFSET(P1269,1,0),VLOOKUP(D1269,契約台帳!$A$3:$P$4986,16,FALSE)))))</f>
        <v>8000</v>
      </c>
      <c r="U1269" s="40">
        <v>1</v>
      </c>
      <c r="V1269" s="274">
        <f ca="1">IF(D1269="","",IF(OFFSET(D1269,-2,0)=D1269,"",VLOOKUP(D1269,契約台帳!$A$3:$R$4986,18,FALSE)))</f>
        <v>2</v>
      </c>
      <c r="W1269" s="269" t="str">
        <f ca="1">IF(D1269="","",IF(T1269="","",IF(OR(J1269="巻足し",J1269="巻返しリード付け"),"",IF(J1269="巻返し",VLOOKUP(F1269&amp;K1269&amp;M1269,製品マスタ!$M$5:$AD$5002,18,FALSE),IF(OR(J1269="リード付け",J1269="巻返しリード付け"),"原反コア",IF(J1269="スリット",VLOOKUP(F1269&amp;K1269&amp;R1269,製品マスタ!$N$5:$AD$5002,17,FALSE),""))))))</f>
        <v/>
      </c>
      <c r="X1269" s="269" t="str">
        <f ca="1">IF(D1269="","",IF(T1269="","",IF(J1269="巻足し","",IF(J1269="巻返し",VLOOKUP(F1269&amp;K1269&amp;M1269,製品マスタ!$M$5:$AE$5002,19,FALSE),IF(OR(J1269="リード付け",J1269="巻返しリード付け"),"",IF(J1269="スリット",VLOOKUP(F1269&amp;K1269&amp;R1269,製品マスタ!$N$5:$AE$5002,18,FALSE),""))))))</f>
        <v/>
      </c>
      <c r="Y1269" s="275">
        <f ca="1">IF(D1269="","",IF(T1269="","",VLOOKUP(D1269,契約台帳!$A$3:$Q$4986,17,FALSE)))</f>
        <v>2</v>
      </c>
      <c r="Z1269" s="269" t="str">
        <f ca="1">IF(D1269="","",IF(T1269="","",VLOOKUP(D1269,契約台帳!$A$3:$E$4986,5,FALSE)))</f>
        <v>リンテック㈱</v>
      </c>
      <c r="AA1269" s="57"/>
      <c r="AB1269" s="207" t="s">
        <v>774</v>
      </c>
      <c r="AC1269" s="33"/>
      <c r="AD1269" s="189"/>
      <c r="AE1269" s="54"/>
      <c r="AF1269" s="55">
        <f>+M1269*N1269*O1269/1000</f>
        <v>8040</v>
      </c>
      <c r="AG1269" s="43"/>
      <c r="AH1269" s="47"/>
      <c r="AI1269" s="30"/>
      <c r="AJ1269" s="30"/>
      <c r="AK1269" s="30"/>
      <c r="AL1269" s="30"/>
      <c r="AM1269" s="13"/>
      <c r="AN1269" s="13"/>
      <c r="AO1269" s="13"/>
      <c r="AP1269" s="13"/>
      <c r="AQ1269" s="13"/>
      <c r="AR1269" s="14"/>
      <c r="AS1269" s="15"/>
    </row>
    <row r="1270" spans="1:45" s="17" customFormat="1" ht="30.95" hidden="1" customHeight="1" x14ac:dyDescent="0.2">
      <c r="A1270" s="37"/>
      <c r="B1270" s="38"/>
      <c r="C1270" s="45"/>
      <c r="D1270" s="31"/>
      <c r="E1270" s="31"/>
      <c r="F1270" s="268"/>
      <c r="G1270" s="269"/>
      <c r="H1270" s="269"/>
      <c r="I1270" s="270"/>
      <c r="J1270" s="210"/>
      <c r="K1270" s="270"/>
      <c r="L1270" s="270"/>
      <c r="M1270" s="39"/>
      <c r="N1270" s="39"/>
      <c r="O1270" s="156"/>
      <c r="P1270" s="47"/>
      <c r="Q1270" s="57"/>
      <c r="R1270" s="338"/>
      <c r="S1270" s="272"/>
      <c r="T1270" s="273"/>
      <c r="U1270" s="40"/>
      <c r="V1270" s="277"/>
      <c r="W1270" s="269"/>
      <c r="X1270" s="269"/>
      <c r="Y1270" s="275"/>
      <c r="Z1270" s="269"/>
      <c r="AA1270" s="57"/>
      <c r="AB1270" s="207"/>
      <c r="AC1270" s="33"/>
      <c r="AD1270" s="189"/>
      <c r="AE1270" s="54"/>
      <c r="AF1270" s="55"/>
      <c r="AG1270" s="43"/>
      <c r="AH1270" s="47"/>
      <c r="AI1270" s="30"/>
      <c r="AJ1270" s="30"/>
      <c r="AK1270" s="30"/>
      <c r="AL1270" s="30"/>
      <c r="AM1270" s="13"/>
      <c r="AN1270" s="13"/>
      <c r="AO1270" s="13"/>
      <c r="AP1270" s="13"/>
      <c r="AQ1270" s="13"/>
      <c r="AR1270" s="14"/>
      <c r="AS1270" s="15"/>
    </row>
    <row r="1271" spans="1:45" s="17" customFormat="1" ht="30.6" hidden="1" customHeight="1" x14ac:dyDescent="0.2">
      <c r="A1271" s="37"/>
      <c r="B1271" s="38"/>
      <c r="C1271" s="45"/>
      <c r="D1271" s="31">
        <v>3732681</v>
      </c>
      <c r="E1271" s="31">
        <v>4162142</v>
      </c>
      <c r="F1271" s="268" t="str">
        <f>IF(D1271="","",VLOOKUP(D1271,契約台帳!$A$3:$K$4986,6,FALSE)&amp;VLOOKUP(D1271,契約台帳!$A$3:$K$4986,7,FALSE)&amp;VLOOKUP(D1271,契約台帳!$A$3:$K$4986,8,FALSE)&amp;VLOOKUP(D1271,契約台帳!$A$3:$K$4986,9,FALSE)&amp;VLOOKUP(D1271,契約台帳!$A$3:$K$4986,11,FALSE))</f>
        <v>3TNMCLBHLGTV</v>
      </c>
      <c r="G1271" s="269" t="str">
        <f>IF(D1271="","",VLOOKUP(F1271,製品マスタ!$G$5:$H$5002,2,FALSE))</f>
        <v>T</v>
      </c>
      <c r="H1271" s="269" t="str">
        <f>IF(D1271="","",VLOOKUP(F1271,製品マスタ!$G$5:$K$5002,5,FALSE))</f>
        <v>HLGTV</v>
      </c>
      <c r="I1271" s="270" t="str">
        <f>IF(D1271="","",VLOOKUP(F1271,製品マスタ!$G$5:$L$5002,6,FALSE))</f>
        <v>メタルミー　ヘヤライン　銀艶Ｖ</v>
      </c>
      <c r="J1271" s="210" t="s">
        <v>574</v>
      </c>
      <c r="K1271" s="270">
        <f>IF(D1271="","",VLOOKUP(D1271,契約台帳!$A$3:$L$4986,12,FALSE))</f>
        <v>25</v>
      </c>
      <c r="L1271" s="270" t="s">
        <v>178</v>
      </c>
      <c r="M1271" s="39">
        <v>1005</v>
      </c>
      <c r="N1271" s="39">
        <v>8000</v>
      </c>
      <c r="O1271" s="156">
        <v>1</v>
      </c>
      <c r="P1271" s="47">
        <v>1</v>
      </c>
      <c r="Q1271" s="213">
        <v>45239</v>
      </c>
      <c r="R1271" s="271">
        <f ca="1">IF(D1271="","",IF(OFFSET(D1271,-1,0)&lt;&gt;"","",IF(OR(J1271="リード付け",J1271="巻足し",J1271="巻返しリード付け"),M1271,VLOOKUP(D1271,契約台帳!$A$3:$N$4986,14,FALSE))))</f>
        <v>1005</v>
      </c>
      <c r="S1271" s="272">
        <f ca="1">IF(D1271="","",IF(OFFSET(D1271,-1,0)&lt;&gt;"","",IF(OR(J1271="リード付け",J1271="巻足し",J1271="巻返しリード付け"),M1271,VLOOKUP(D1271,契約台帳!$A$3:$O$4986,15,FALSE))))</f>
        <v>1005</v>
      </c>
      <c r="T1271" s="273">
        <f ca="1">IF(D1271="","",IF(J1271="リード付け",N1271,IF(J1271="巻返しリード付け",N1271,IF(J1271="巻足し",N1271*P1271+OFFSET(N1271,1,0)*OFFSET(P1271,1,0),VLOOKUP(D1271,契約台帳!$A$3:$P$4986,16,FALSE)))))</f>
        <v>8000</v>
      </c>
      <c r="U1271" s="40">
        <v>1</v>
      </c>
      <c r="V1271" s="274">
        <f ca="1">IF(D1271="","",IF(OFFSET(D1271,-2,0)=D1271,"",VLOOKUP(D1271,契約台帳!$A$3:$R$4986,18,FALSE)))</f>
        <v>4</v>
      </c>
      <c r="W1271" s="269" t="str">
        <f ca="1">IF(D1271="","",IF(T1271="","",IF(OR(J1271="巻足し",J1271="巻返しリード付け"),"",IF(J1271="巻返し",VLOOKUP(F1271&amp;K1271&amp;M1271,製品マスタ!$M$5:$AD$5002,18,FALSE),IF(OR(J1271="リード付け",J1271="巻返しリード付け"),"原反コア",IF(J1271="スリット",VLOOKUP(F1271&amp;K1271&amp;R1271,製品マスタ!$N$5:$AD$5002,17,FALSE),""))))))</f>
        <v/>
      </c>
      <c r="X1271" s="269" t="str">
        <f ca="1">IF(D1271="","",IF(T1271="","",IF(J1271="巻足し","",IF(J1271="巻返し",VLOOKUP(F1271&amp;K1271&amp;M1271,製品マスタ!$M$5:$AE$5002,19,FALSE),IF(OR(J1271="リード付け",J1271="巻返しリード付け"),"",IF(J1271="スリット",VLOOKUP(F1271&amp;K1271&amp;R1271,製品マスタ!$N$5:$AE$5002,18,FALSE),""))))))</f>
        <v/>
      </c>
      <c r="Y1271" s="275">
        <f ca="1">IF(D1271="","",IF(T1271="","",VLOOKUP(D1271,契約台帳!$A$3:$Q$4986,17,FALSE)))</f>
        <v>2</v>
      </c>
      <c r="Z1271" s="269" t="str">
        <f ca="1">IF(D1271="","",IF(T1271="","",VLOOKUP(D1271,契約台帳!$A$3:$E$4986,5,FALSE)))</f>
        <v>リンテック㈱</v>
      </c>
      <c r="AA1271" s="57"/>
      <c r="AB1271" s="207" t="s">
        <v>774</v>
      </c>
      <c r="AC1271" s="33"/>
      <c r="AD1271" s="189"/>
      <c r="AE1271" s="54"/>
      <c r="AF1271" s="55">
        <f>+M1271*N1271*O1271/1000</f>
        <v>8040</v>
      </c>
      <c r="AG1271" s="43"/>
      <c r="AH1271" s="47"/>
      <c r="AI1271" s="30"/>
      <c r="AJ1271" s="30"/>
      <c r="AK1271" s="30"/>
      <c r="AL1271" s="30"/>
      <c r="AM1271" s="13"/>
      <c r="AN1271" s="13"/>
      <c r="AO1271" s="13"/>
      <c r="AP1271" s="13"/>
      <c r="AQ1271" s="13"/>
      <c r="AR1271" s="14"/>
      <c r="AS1271" s="15"/>
    </row>
    <row r="1272" spans="1:45" s="17" customFormat="1" ht="30.95" hidden="1" customHeight="1" x14ac:dyDescent="0.2">
      <c r="A1272" s="37"/>
      <c r="B1272" s="38"/>
      <c r="C1272" s="45"/>
      <c r="D1272" s="31"/>
      <c r="E1272" s="31"/>
      <c r="F1272" s="268"/>
      <c r="G1272" s="269"/>
      <c r="H1272" s="269"/>
      <c r="I1272" s="270"/>
      <c r="J1272" s="210"/>
      <c r="K1272" s="270"/>
      <c r="L1272" s="270"/>
      <c r="M1272" s="39"/>
      <c r="N1272" s="39"/>
      <c r="O1272" s="156"/>
      <c r="P1272" s="47"/>
      <c r="Q1272" s="57"/>
      <c r="R1272" s="338"/>
      <c r="S1272" s="272"/>
      <c r="T1272" s="273"/>
      <c r="U1272" s="40"/>
      <c r="V1272" s="277"/>
      <c r="W1272" s="269"/>
      <c r="X1272" s="269"/>
      <c r="Y1272" s="275"/>
      <c r="Z1272" s="269"/>
      <c r="AA1272" s="57"/>
      <c r="AB1272" s="207"/>
      <c r="AC1272" s="33"/>
      <c r="AD1272" s="189"/>
      <c r="AE1272" s="54"/>
      <c r="AF1272" s="55"/>
      <c r="AG1272" s="43"/>
      <c r="AH1272" s="47"/>
      <c r="AI1272" s="30"/>
      <c r="AJ1272" s="30"/>
      <c r="AK1272" s="30"/>
      <c r="AL1272" s="30"/>
      <c r="AM1272" s="13"/>
      <c r="AN1272" s="13"/>
      <c r="AO1272" s="13"/>
      <c r="AP1272" s="13"/>
      <c r="AQ1272" s="13"/>
      <c r="AR1272" s="14"/>
      <c r="AS1272" s="15"/>
    </row>
    <row r="1273" spans="1:45" s="17" customFormat="1" ht="30.95" hidden="1" customHeight="1" x14ac:dyDescent="0.2">
      <c r="A1273" s="37"/>
      <c r="B1273" s="38"/>
      <c r="C1273" s="45"/>
      <c r="D1273" s="31">
        <v>3731347</v>
      </c>
      <c r="E1273" s="31">
        <v>4162105</v>
      </c>
      <c r="F1273" s="268" t="str">
        <f>IF(D1273="","",VLOOKUP(D1273,契約台帳!$A$3:$K$4986,6,FALSE)&amp;VLOOKUP(D1273,契約台帳!$A$3:$K$4986,7,FALSE)&amp;VLOOKUP(D1273,契約台帳!$A$3:$K$4986,8,FALSE)&amp;VLOOKUP(D1273,契約台帳!$A$3:$K$4986,9,FALSE)&amp;VLOOKUP(D1273,契約台帳!$A$3:$K$4986,11,FALSE))</f>
        <v>3SNMLBMNGKKBF</v>
      </c>
      <c r="G1273" s="269" t="str">
        <f>IF(D1273="","",VLOOKUP(F1273,製品マスタ!$G$5:$H$5002,2,FALSE))</f>
        <v>S</v>
      </c>
      <c r="H1273" s="269" t="str">
        <f>IF(D1273="","",VLOOKUP(F1273,製品マスタ!$G$5:$K$5002,5,FALSE))</f>
        <v>MNGKKBF</v>
      </c>
      <c r="I1273" s="270" t="str">
        <f>IF(D1273="","",VLOOKUP(F1273,製品マスタ!$G$5:$L$5002,6,FALSE))</f>
        <v>メタルミー　ネーマー銀消改　Ｂ</v>
      </c>
      <c r="J1273" s="210" t="s">
        <v>935</v>
      </c>
      <c r="K1273" s="270">
        <f>IF(D1273="","",VLOOKUP(D1273,契約台帳!$A$3:$L$4986,12,FALSE))</f>
        <v>25</v>
      </c>
      <c r="L1273" s="270" t="str">
        <f>IF(D1273="","",INDEX(製品マスタ!$Q$5:$Q$5002,MATCH('S4'!F1273&amp;'S4'!K1273,製品マスタ!$AO$5:$AO$5002,0)))</f>
        <v>FMATS99</v>
      </c>
      <c r="M1273" s="39">
        <v>1000</v>
      </c>
      <c r="N1273" s="39">
        <v>4000</v>
      </c>
      <c r="O1273" s="156">
        <v>2</v>
      </c>
      <c r="P1273" s="47">
        <v>2</v>
      </c>
      <c r="Q1273" s="213">
        <v>45239</v>
      </c>
      <c r="R1273" s="271">
        <f ca="1">IF(D1273="","",IF(OFFSET(D1273,-1,0)&lt;&gt;"","",IF(OR(J1273="リード付け",J1273="巻足し",J1273="巻返しリード付け"),M1273,VLOOKUP(D1273,契約台帳!$A$3:$N$4986,14,FALSE))))</f>
        <v>1000</v>
      </c>
      <c r="S1273" s="272">
        <f ca="1">IF(D1273="","",IF(OFFSET(D1273,-1,0)&lt;&gt;"","",IF(OR(J1273="リード付け",J1273="巻足し",J1273="巻返しリード付け"),M1273,VLOOKUP(D1273,契約台帳!$A$3:$O$4986,15,FALSE))))</f>
        <v>1000</v>
      </c>
      <c r="T1273" s="273">
        <f ca="1">IF(D1273="","",IF(J1273="リード付け",N1273,IF(J1273="巻返しリード付け",N1273,IF(J1273="巻足し",N1273*P1273+OFFSET(N1273,1,0)*OFFSET(P1273,1,0),VLOOKUP(D1273,契約台帳!$A$3:$P$4986,16,FALSE)))))</f>
        <v>8000</v>
      </c>
      <c r="U1273" s="40">
        <v>1</v>
      </c>
      <c r="V1273" s="274">
        <f ca="1">IF(D1273="","",IF(OFFSET(D1273,-2,0)=D1273,"",VLOOKUP(D1273,契約台帳!$A$3:$R$4986,18,FALSE)))</f>
        <v>2</v>
      </c>
      <c r="W1273" s="269" t="str">
        <f ca="1">IF(D1273="","",IF(T1273="","",IF(OR(J1273="巻足し",J1273="巻返しリード付け"),"",IF(J1273="巻返し",VLOOKUP(F1273&amp;K1273&amp;M1273,製品マスタ!$M$5:$AD$5002,18,FALSE),IF(OR(J1273="リード付け",J1273="巻返しリード付け"),"原反コア",IF(J1273="スリット",VLOOKUP(F1273&amp;K1273&amp;R1273,製品マスタ!$N$5:$AD$5002,17,FALSE),""))))))</f>
        <v/>
      </c>
      <c r="X1273" s="269" t="str">
        <f ca="1">IF(D1273="","",IF(T1273="","",IF(J1273="巻足し","",IF(J1273="巻返し",VLOOKUP(F1273&amp;K1273&amp;M1273,製品マスタ!$M$5:$AE$5002,19,FALSE),IF(OR(J1273="リード付け",J1273="巻返しリード付け"),"",IF(J1273="スリット",VLOOKUP(F1273&amp;K1273&amp;R1273,製品マスタ!$N$5:$AE$5002,18,FALSE),""))))))</f>
        <v/>
      </c>
      <c r="Y1273" s="275">
        <f ca="1">IF(D1273="","",IF(T1273="","",VLOOKUP(D1273,契約台帳!$A$3:$Q$4986,17,FALSE)))</f>
        <v>2</v>
      </c>
      <c r="Z1273" s="269" t="str">
        <f ca="1">IF(D1273="","",IF(T1273="","",VLOOKUP(D1273,契約台帳!$A$3:$E$4986,5,FALSE)))</f>
        <v>リンテック㈱</v>
      </c>
      <c r="AA1273" s="57"/>
      <c r="AB1273" s="207">
        <f>IFERROR((VLOOKUP(F1273&amp;K1273&amp;M1273,製品マスタ!$M$5:$AM$5002,27,FALSE)),"")</f>
        <v>0</v>
      </c>
      <c r="AC1273" s="33"/>
      <c r="AD1273" s="189"/>
      <c r="AE1273" s="54"/>
      <c r="AF1273" s="55">
        <f>+M1273*N1273*O1273/1000</f>
        <v>8000</v>
      </c>
      <c r="AG1273" s="43"/>
      <c r="AH1273" s="47"/>
      <c r="AI1273" s="30"/>
      <c r="AJ1273" s="30"/>
      <c r="AK1273" s="30"/>
      <c r="AL1273" s="30"/>
      <c r="AM1273" s="13"/>
      <c r="AN1273" s="13"/>
      <c r="AO1273" s="13"/>
      <c r="AP1273" s="13"/>
      <c r="AQ1273" s="13"/>
      <c r="AR1273" s="14"/>
      <c r="AS1273" s="15"/>
    </row>
    <row r="1274" spans="1:45" s="17" customFormat="1" ht="30.95" hidden="1" customHeight="1" x14ac:dyDescent="0.2">
      <c r="A1274" s="37"/>
      <c r="B1274" s="38"/>
      <c r="C1274" s="45"/>
      <c r="D1274" s="31"/>
      <c r="E1274" s="31"/>
      <c r="F1274" s="268"/>
      <c r="G1274" s="269"/>
      <c r="H1274" s="269"/>
      <c r="I1274" s="270"/>
      <c r="J1274" s="210"/>
      <c r="K1274" s="270"/>
      <c r="L1274" s="270"/>
      <c r="M1274" s="39"/>
      <c r="N1274" s="39"/>
      <c r="O1274" s="156"/>
      <c r="P1274" s="47"/>
      <c r="Q1274" s="57"/>
      <c r="R1274" s="338"/>
      <c r="S1274" s="272"/>
      <c r="T1274" s="273"/>
      <c r="U1274" s="40"/>
      <c r="V1274" s="277"/>
      <c r="W1274" s="269"/>
      <c r="X1274" s="269"/>
      <c r="Y1274" s="275"/>
      <c r="Z1274" s="269"/>
      <c r="AA1274" s="57"/>
      <c r="AB1274" s="207"/>
      <c r="AC1274" s="33"/>
      <c r="AD1274" s="189"/>
      <c r="AE1274" s="54"/>
      <c r="AF1274" s="55"/>
      <c r="AG1274" s="43"/>
      <c r="AH1274" s="47"/>
      <c r="AI1274" s="30"/>
      <c r="AJ1274" s="30"/>
      <c r="AK1274" s="30"/>
      <c r="AL1274" s="30"/>
      <c r="AM1274" s="13"/>
      <c r="AN1274" s="13"/>
      <c r="AO1274" s="13"/>
      <c r="AP1274" s="13"/>
      <c r="AQ1274" s="13"/>
      <c r="AR1274" s="14"/>
      <c r="AS1274" s="15"/>
    </row>
    <row r="1275" spans="1:45" s="17" customFormat="1" ht="30.95" hidden="1" customHeight="1" x14ac:dyDescent="0.2">
      <c r="A1275" s="37"/>
      <c r="B1275" s="38"/>
      <c r="C1275" s="45"/>
      <c r="D1275" s="31">
        <v>3732871</v>
      </c>
      <c r="E1275" s="31">
        <v>4162148</v>
      </c>
      <c r="F1275" s="268" t="str">
        <f>IF(D1275="","",VLOOKUP(D1275,契約台帳!$A$3:$K$4986,6,FALSE)&amp;VLOOKUP(D1275,契約台帳!$A$3:$K$4986,7,FALSE)&amp;VLOOKUP(D1275,契約台帳!$A$3:$K$4986,8,FALSE)&amp;VLOOKUP(D1275,契約台帳!$A$3:$K$4986,9,FALSE)&amp;VLOOKUP(D1275,契約台帳!$A$3:$K$4986,11,FALSE))</f>
        <v>3HSNMLBMTSF</v>
      </c>
      <c r="G1275" s="269" t="str">
        <f>IF(D1275="","",VLOOKUP(F1275,製品マスタ!$G$5:$H$5002,2,FALSE))</f>
        <v>S</v>
      </c>
      <c r="H1275" s="269" t="str">
        <f>IF(D1275="","",VLOOKUP(F1275,製品マスタ!$G$5:$K$5002,5,FALSE))</f>
        <v>MTSF</v>
      </c>
      <c r="I1275" s="270" t="str">
        <f>IF(D1275="","",VLOOKUP(F1275,製品マスタ!$G$5:$L$5002,6,FALSE))</f>
        <v>メタルミー　ＴＳ</v>
      </c>
      <c r="J1275" s="210" t="s">
        <v>464</v>
      </c>
      <c r="K1275" s="270">
        <f>IF(D1275="","",VLOOKUP(D1275,契約台帳!$A$3:$L$4986,12,FALSE))</f>
        <v>50</v>
      </c>
      <c r="L1275" s="270" t="str">
        <f>IF(D1275="","",INDEX(製品マスタ!$Q$5:$Q$5002,MATCH('S4'!F1275&amp;'S4'!K1275,製品マスタ!$AO$5:$AO$5002,0)))</f>
        <v>T62M</v>
      </c>
      <c r="M1275" s="39">
        <v>1195</v>
      </c>
      <c r="N1275" s="39">
        <v>6100</v>
      </c>
      <c r="O1275" s="156">
        <v>1</v>
      </c>
      <c r="P1275" s="47">
        <v>1</v>
      </c>
      <c r="Q1275" s="213">
        <v>45238</v>
      </c>
      <c r="R1275" s="271">
        <f ca="1">IF(D1275="","",IF(OFFSET(D1275,-1,0)&lt;&gt;"","",IF(OR(J1275="リード付け",J1275="巻足し",J1275="巻返しリード付け"),M1275,VLOOKUP(D1275,契約台帳!$A$3:$N$4986,14,FALSE))))</f>
        <v>1195</v>
      </c>
      <c r="S1275" s="272">
        <f ca="1">IF(D1275="","",IF(OFFSET(D1275,-1,0)&lt;&gt;"","",IF(OR(J1275="リード付け",J1275="巻足し",J1275="巻返しリード付け"),M1275,VLOOKUP(D1275,契約台帳!$A$3:$O$4986,15,FALSE))))</f>
        <v>1195</v>
      </c>
      <c r="T1275" s="273">
        <f ca="1">IF(D1275="","",IF(J1275="リード付け",N1275,IF(J1275="巻返しリード付け",N1275,IF(J1275="巻足し",N1275*P1275+OFFSET(N1275,1,0)*OFFSET(P1275,1,0),VLOOKUP(D1275,契約台帳!$A$3:$P$4986,16,FALSE)))))</f>
        <v>6100</v>
      </c>
      <c r="U1275" s="40">
        <v>1</v>
      </c>
      <c r="V1275" s="274">
        <f ca="1">IF(D1275="","",IF(OFFSET(D1275,-2,0)=D1275,"",VLOOKUP(D1275,契約台帳!$A$3:$R$4986,18,FALSE)))</f>
        <v>6</v>
      </c>
      <c r="W1275" s="269" t="str">
        <f ca="1">IF(D1275="","",IF(T1275="","",IF(OR(J1275="巻足し",J1275="巻返しリード付け"),"",IF(J1275="巻返し",VLOOKUP(F1275&amp;K1275&amp;M1275,製品マスタ!$M$5:$AD$5002,18,FALSE),IF(OR(J1275="リード付け",J1275="巻返しリード付け"),"原反コア",IF(J1275="スリット",VLOOKUP(F1275&amp;K1275&amp;R1275,製品マスタ!$N$5:$AD$5002,17,FALSE),""))))))</f>
        <v>原反コア</v>
      </c>
      <c r="X1275" s="269" t="str">
        <f ca="1">IF(D1275="","",IF(T1275="","",IF(J1275="巻足し","",IF(J1275="巻返し",VLOOKUP(F1275&amp;K1275&amp;M1275,製品マスタ!$M$5:$AE$5002,19,FALSE),IF(OR(J1275="リード付け",J1275="巻返しリード付け"),"",IF(J1275="スリット",VLOOKUP(F1275&amp;K1275&amp;R1275,製品マスタ!$N$5:$AE$5002,18,FALSE),""))))))</f>
        <v/>
      </c>
      <c r="Y1275" s="275">
        <f ca="1">IF(D1275="","",IF(T1275="","",VLOOKUP(D1275,契約台帳!$A$3:$Q$4986,17,FALSE)))</f>
        <v>2</v>
      </c>
      <c r="Z1275" s="269" t="str">
        <f ca="1">IF(D1275="","",IF(T1275="","",VLOOKUP(D1275,契約台帳!$A$3:$E$4986,5,FALSE)))</f>
        <v>パナック㈱亀山工場</v>
      </c>
      <c r="AA1275" s="57"/>
      <c r="AB1275" s="207">
        <f>IFERROR((VLOOKUP(F1275&amp;K1275&amp;M1275,製品マスタ!$M$5:$AM$5002,27,FALSE)),"")</f>
        <v>0</v>
      </c>
      <c r="AC1275" s="33"/>
      <c r="AD1275" s="189"/>
      <c r="AE1275" s="54"/>
      <c r="AF1275" s="55">
        <f>+M1275*N1275*O1275/1000</f>
        <v>7289.5</v>
      </c>
      <c r="AG1275" s="43"/>
      <c r="AH1275" s="47"/>
      <c r="AI1275" s="30"/>
      <c r="AJ1275" s="30"/>
      <c r="AK1275" s="30"/>
      <c r="AL1275" s="30"/>
      <c r="AM1275" s="13"/>
      <c r="AN1275" s="13"/>
      <c r="AO1275" s="13"/>
      <c r="AP1275" s="13"/>
      <c r="AQ1275" s="13"/>
      <c r="AR1275" s="14"/>
      <c r="AS1275" s="15"/>
    </row>
    <row r="1276" spans="1:45" s="17" customFormat="1" ht="30.95" hidden="1" customHeight="1" x14ac:dyDescent="0.2">
      <c r="A1276" s="37"/>
      <c r="B1276" s="38"/>
      <c r="C1276" s="45"/>
      <c r="D1276" s="31"/>
      <c r="E1276" s="31"/>
      <c r="F1276" s="268"/>
      <c r="G1276" s="269"/>
      <c r="H1276" s="269"/>
      <c r="I1276" s="270"/>
      <c r="J1276" s="210"/>
      <c r="K1276" s="270"/>
      <c r="L1276" s="270"/>
      <c r="M1276" s="39"/>
      <c r="N1276" s="39"/>
      <c r="O1276" s="156"/>
      <c r="P1276" s="47"/>
      <c r="Q1276" s="57"/>
      <c r="R1276" s="338"/>
      <c r="S1276" s="272"/>
      <c r="T1276" s="273"/>
      <c r="U1276" s="40"/>
      <c r="V1276" s="277"/>
      <c r="W1276" s="269"/>
      <c r="X1276" s="269"/>
      <c r="Y1276" s="275"/>
      <c r="Z1276" s="269"/>
      <c r="AA1276" s="57"/>
      <c r="AB1276" s="207"/>
      <c r="AC1276" s="33"/>
      <c r="AD1276" s="189"/>
      <c r="AE1276" s="54"/>
      <c r="AF1276" s="55"/>
      <c r="AG1276" s="43"/>
      <c r="AH1276" s="47"/>
      <c r="AI1276" s="30"/>
      <c r="AJ1276" s="30"/>
      <c r="AK1276" s="30"/>
      <c r="AL1276" s="30"/>
      <c r="AM1276" s="13"/>
      <c r="AN1276" s="13"/>
      <c r="AO1276" s="13"/>
      <c r="AP1276" s="13"/>
      <c r="AQ1276" s="13"/>
      <c r="AR1276" s="14"/>
      <c r="AS1276" s="15"/>
    </row>
    <row r="1277" spans="1:45" s="17" customFormat="1" ht="30.95" hidden="1" customHeight="1" x14ac:dyDescent="0.2">
      <c r="A1277" s="37" t="s">
        <v>1799</v>
      </c>
      <c r="B1277" s="38" t="s">
        <v>1800</v>
      </c>
      <c r="C1277" s="45"/>
      <c r="D1277" s="31">
        <v>3731349</v>
      </c>
      <c r="E1277" s="31">
        <v>4162107</v>
      </c>
      <c r="F1277" s="268" t="str">
        <f>IF(D1277="","",VLOOKUP(D1277,契約台帳!$A$3:$K$4986,6,FALSE)&amp;VLOOKUP(D1277,契約台帳!$A$3:$K$4986,7,FALSE)&amp;VLOOKUP(D1277,契約台帳!$A$3:$K$4986,8,FALSE)&amp;VLOOKUP(D1277,契約台帳!$A$3:$K$4986,9,FALSE)&amp;VLOOKUP(D1277,契約台帳!$A$3:$K$4986,11,FALSE))</f>
        <v>3SNMLBMNGKKBF</v>
      </c>
      <c r="G1277" s="269" t="str">
        <f>IF(D1277="","",VLOOKUP(F1277,製品マスタ!$G$5:$H$5002,2,FALSE))</f>
        <v>S</v>
      </c>
      <c r="H1277" s="269" t="str">
        <f>IF(D1277="","",VLOOKUP(F1277,製品マスタ!$G$5:$K$5002,5,FALSE))</f>
        <v>MNGKKBF</v>
      </c>
      <c r="I1277" s="270" t="str">
        <f>IF(D1277="","",VLOOKUP(F1277,製品マスタ!$G$5:$L$5002,6,FALSE))</f>
        <v>メタルミー　ネーマー銀消改　Ｂ</v>
      </c>
      <c r="J1277" s="210" t="s">
        <v>935</v>
      </c>
      <c r="K1277" s="270">
        <f>IF(D1277="","",VLOOKUP(D1277,契約台帳!$A$3:$L$4986,12,FALSE))</f>
        <v>50</v>
      </c>
      <c r="L1277" s="270" t="str">
        <f>IF(D1277="","",INDEX(製品マスタ!$Q$5:$Q$5002,MATCH('S4'!F1277&amp;'S4'!K1277,製品マスタ!$AO$5:$AO$5002,0)))</f>
        <v>S99-MAT</v>
      </c>
      <c r="M1277" s="39">
        <v>1120</v>
      </c>
      <c r="N1277" s="39">
        <v>4000</v>
      </c>
      <c r="O1277" s="156">
        <v>18</v>
      </c>
      <c r="P1277" s="47">
        <v>3</v>
      </c>
      <c r="Q1277" s="213">
        <v>45236</v>
      </c>
      <c r="R1277" s="271">
        <f ca="1">IF(D1277="","",IF(OFFSET(D1277,-1,0)&lt;&gt;"","",IF(OR(J1277="リード付け",J1277="巻足し",J1277="巻返しリード付け"),M1277,VLOOKUP(D1277,契約台帳!$A$3:$N$4986,14,FALSE))))</f>
        <v>1120</v>
      </c>
      <c r="S1277" s="272">
        <f ca="1">IF(D1277="","",IF(OFFSET(D1277,-1,0)&lt;&gt;"","",IF(OR(J1277="リード付け",J1277="巻足し",J1277="巻返しリード付け"),M1277,VLOOKUP(D1277,契約台帳!$A$3:$O$4986,15,FALSE))))</f>
        <v>1120</v>
      </c>
      <c r="T1277" s="273">
        <f ca="1">IF(D1277="","",IF(J1277="リード付け",N1277,IF(J1277="巻返しリード付け",N1277,IF(J1277="巻足し",N1277*P1277+OFFSET(N1277,1,0)*OFFSET(P1277,1,0),VLOOKUP(D1277,契約台帳!$A$3:$P$4986,16,FALSE)))))</f>
        <v>12000</v>
      </c>
      <c r="U1277" s="40">
        <v>6</v>
      </c>
      <c r="V1277" s="274">
        <f ca="1">IF(D1277="","",IF(OFFSET(D1277,-2,0)=D1277,"",VLOOKUP(D1277,契約台帳!$A$3:$R$4986,18,FALSE)))</f>
        <v>18</v>
      </c>
      <c r="W1277" s="269" t="str">
        <f ca="1">IF(D1277="","",IF(T1277="","",IF(OR(J1277="巻足し",J1277="巻返しリード付け"),"",IF(J1277="巻返し",VLOOKUP(F1277&amp;K1277&amp;M1277,製品マスタ!$M$5:$AD$5002,18,FALSE),IF(OR(J1277="リード付け",J1277="巻返しリード付け"),"原反コア",IF(J1277="スリット",VLOOKUP(F1277&amp;K1277&amp;R1277,製品マスタ!$N$5:$AD$5002,17,FALSE),""))))))</f>
        <v/>
      </c>
      <c r="X1277" s="269" t="str">
        <f ca="1">IF(D1277="","",IF(T1277="","",IF(J1277="巻足し","",IF(J1277="巻返し",VLOOKUP(F1277&amp;K1277&amp;M1277,製品マスタ!$M$5:$AE$5002,19,FALSE),IF(OR(J1277="リード付け",J1277="巻返しリード付け"),"",IF(J1277="スリット",VLOOKUP(F1277&amp;K1277&amp;R1277,製品マスタ!$N$5:$AE$5002,18,FALSE),""))))))</f>
        <v/>
      </c>
      <c r="Y1277" s="275">
        <f ca="1">IF(D1277="","",IF(T1277="","",VLOOKUP(D1277,契約台帳!$A$3:$Q$4986,17,FALSE)))</f>
        <v>2</v>
      </c>
      <c r="Z1277" s="269" t="str">
        <f ca="1">IF(D1277="","",IF(T1277="","",VLOOKUP(D1277,契約台帳!$A$3:$E$4986,5,FALSE)))</f>
        <v>リンテック㈱</v>
      </c>
      <c r="AA1277" s="57"/>
      <c r="AB1277" s="207">
        <f>IFERROR((VLOOKUP(F1277&amp;K1277&amp;M1277,製品マスタ!$M$5:$AM$5002,27,FALSE)),"")</f>
        <v>0</v>
      </c>
      <c r="AC1277" s="33"/>
      <c r="AD1277" s="189"/>
      <c r="AE1277" s="54"/>
      <c r="AF1277" s="55">
        <f>+M1277*N1277*O1277/1000</f>
        <v>80640</v>
      </c>
      <c r="AG1277" s="43"/>
      <c r="AH1277" s="47"/>
      <c r="AI1277" s="30"/>
      <c r="AJ1277" s="30"/>
      <c r="AK1277" s="30"/>
      <c r="AL1277" s="30"/>
      <c r="AM1277" s="13"/>
      <c r="AN1277" s="13"/>
      <c r="AO1277" s="13"/>
      <c r="AP1277" s="13"/>
      <c r="AQ1277" s="13"/>
      <c r="AR1277" s="14"/>
      <c r="AS1277" s="15"/>
    </row>
    <row r="1278" spans="1:45" s="17" customFormat="1" ht="30.95" hidden="1" customHeight="1" x14ac:dyDescent="0.2">
      <c r="A1278" s="37"/>
      <c r="B1278" s="38"/>
      <c r="C1278" s="45"/>
      <c r="D1278" s="31"/>
      <c r="E1278" s="31"/>
      <c r="F1278" s="268"/>
      <c r="G1278" s="269"/>
      <c r="H1278" s="269"/>
      <c r="I1278" s="270"/>
      <c r="J1278" s="210"/>
      <c r="K1278" s="270"/>
      <c r="L1278" s="270"/>
      <c r="M1278" s="39"/>
      <c r="N1278" s="39"/>
      <c r="O1278" s="156"/>
      <c r="P1278" s="47"/>
      <c r="Q1278" s="57"/>
      <c r="R1278" s="338"/>
      <c r="S1278" s="272"/>
      <c r="T1278" s="273"/>
      <c r="U1278" s="40"/>
      <c r="V1278" s="277"/>
      <c r="W1278" s="269"/>
      <c r="X1278" s="269"/>
      <c r="Y1278" s="275"/>
      <c r="Z1278" s="269"/>
      <c r="AA1278" s="57"/>
      <c r="AB1278" s="207"/>
      <c r="AC1278" s="33"/>
      <c r="AD1278" s="189"/>
      <c r="AE1278" s="54"/>
      <c r="AF1278" s="55"/>
      <c r="AG1278" s="43"/>
      <c r="AH1278" s="47"/>
      <c r="AI1278" s="30"/>
      <c r="AJ1278" s="30"/>
      <c r="AK1278" s="30"/>
      <c r="AL1278" s="30"/>
      <c r="AM1278" s="13"/>
      <c r="AN1278" s="13"/>
      <c r="AO1278" s="13"/>
      <c r="AP1278" s="13"/>
      <c r="AQ1278" s="13"/>
      <c r="AR1278" s="14"/>
      <c r="AS1278" s="15"/>
    </row>
    <row r="1279" spans="1:45" s="17" customFormat="1" ht="30.95" hidden="1" customHeight="1" x14ac:dyDescent="0.2">
      <c r="A1279" s="37" t="s">
        <v>1741</v>
      </c>
      <c r="B1279" s="38" t="s">
        <v>1738</v>
      </c>
      <c r="C1279" s="45"/>
      <c r="D1279" s="31"/>
      <c r="E1279" s="31"/>
      <c r="F1279" s="268"/>
      <c r="G1279" s="269"/>
      <c r="H1279" s="269"/>
      <c r="I1279" s="270"/>
      <c r="J1279" s="210" t="s">
        <v>1740</v>
      </c>
      <c r="K1279" s="270"/>
      <c r="L1279" s="270"/>
      <c r="M1279" s="39"/>
      <c r="N1279" s="39"/>
      <c r="O1279" s="156"/>
      <c r="P1279" s="47"/>
      <c r="Q1279" s="57"/>
      <c r="R1279" s="338"/>
      <c r="S1279" s="272"/>
      <c r="T1279" s="273"/>
      <c r="U1279" s="40"/>
      <c r="V1279" s="277"/>
      <c r="W1279" s="269"/>
      <c r="X1279" s="269"/>
      <c r="Y1279" s="275"/>
      <c r="Z1279" s="269"/>
      <c r="AA1279" s="57"/>
      <c r="AB1279" s="207"/>
      <c r="AC1279" s="33"/>
      <c r="AD1279" s="189"/>
      <c r="AE1279" s="54"/>
      <c r="AF1279" s="55"/>
      <c r="AG1279" s="43"/>
      <c r="AH1279" s="47"/>
      <c r="AI1279" s="30"/>
      <c r="AJ1279" s="30"/>
      <c r="AK1279" s="30"/>
      <c r="AL1279" s="30"/>
      <c r="AM1279" s="13"/>
      <c r="AN1279" s="13"/>
      <c r="AO1279" s="13"/>
      <c r="AP1279" s="13"/>
      <c r="AQ1279" s="13"/>
      <c r="AR1279" s="14"/>
      <c r="AS1279" s="15"/>
    </row>
    <row r="1280" spans="1:45" s="17" customFormat="1" ht="30.95" hidden="1" customHeight="1" x14ac:dyDescent="0.2">
      <c r="A1280" s="37"/>
      <c r="B1280" s="38"/>
      <c r="C1280" s="45"/>
      <c r="D1280" s="31"/>
      <c r="E1280" s="31"/>
      <c r="F1280" s="268"/>
      <c r="G1280" s="269"/>
      <c r="H1280" s="269"/>
      <c r="I1280" s="270"/>
      <c r="J1280" s="210"/>
      <c r="K1280" s="270"/>
      <c r="L1280" s="270"/>
      <c r="M1280" s="39"/>
      <c r="N1280" s="39"/>
      <c r="O1280" s="156"/>
      <c r="P1280" s="47"/>
      <c r="Q1280" s="57"/>
      <c r="R1280" s="338"/>
      <c r="S1280" s="272"/>
      <c r="T1280" s="273"/>
      <c r="U1280" s="40"/>
      <c r="V1280" s="277"/>
      <c r="W1280" s="269"/>
      <c r="X1280" s="269"/>
      <c r="Y1280" s="275"/>
      <c r="Z1280" s="269"/>
      <c r="AA1280" s="57"/>
      <c r="AB1280" s="207"/>
      <c r="AC1280" s="33"/>
      <c r="AD1280" s="189"/>
      <c r="AE1280" s="54"/>
      <c r="AF1280" s="55"/>
      <c r="AG1280" s="43"/>
      <c r="AH1280" s="47"/>
      <c r="AI1280" s="30"/>
      <c r="AJ1280" s="30"/>
      <c r="AK1280" s="30"/>
      <c r="AL1280" s="30"/>
      <c r="AM1280" s="13"/>
      <c r="AN1280" s="13"/>
      <c r="AO1280" s="13"/>
      <c r="AP1280" s="13"/>
      <c r="AQ1280" s="13"/>
      <c r="AR1280" s="14"/>
      <c r="AS1280" s="15"/>
    </row>
    <row r="1281" spans="1:45" s="17" customFormat="1" ht="30.95" hidden="1" customHeight="1" x14ac:dyDescent="0.2">
      <c r="A1281" s="37" t="s">
        <v>1742</v>
      </c>
      <c r="B1281" s="38" t="s">
        <v>1739</v>
      </c>
      <c r="C1281" s="45"/>
      <c r="D1281" s="31"/>
      <c r="E1281" s="31"/>
      <c r="F1281" s="268"/>
      <c r="G1281" s="269"/>
      <c r="H1281" s="269"/>
      <c r="I1281" s="270"/>
      <c r="J1281" s="210" t="s">
        <v>1740</v>
      </c>
      <c r="K1281" s="270"/>
      <c r="L1281" s="270"/>
      <c r="M1281" s="39"/>
      <c r="N1281" s="39"/>
      <c r="O1281" s="156"/>
      <c r="P1281" s="47"/>
      <c r="Q1281" s="57"/>
      <c r="R1281" s="338"/>
      <c r="S1281" s="272"/>
      <c r="T1281" s="273"/>
      <c r="U1281" s="40"/>
      <c r="V1281" s="277"/>
      <c r="W1281" s="269"/>
      <c r="X1281" s="269"/>
      <c r="Y1281" s="275"/>
      <c r="Z1281" s="269"/>
      <c r="AA1281" s="57"/>
      <c r="AB1281" s="207"/>
      <c r="AC1281" s="33"/>
      <c r="AD1281" s="189"/>
      <c r="AE1281" s="54"/>
      <c r="AF1281" s="55"/>
      <c r="AG1281" s="43"/>
      <c r="AH1281" s="47"/>
      <c r="AI1281" s="30"/>
      <c r="AJ1281" s="30"/>
      <c r="AK1281" s="30"/>
      <c r="AL1281" s="30"/>
      <c r="AM1281" s="13"/>
      <c r="AN1281" s="13"/>
      <c r="AO1281" s="13"/>
      <c r="AP1281" s="13"/>
      <c r="AQ1281" s="13"/>
      <c r="AR1281" s="14"/>
      <c r="AS1281" s="15"/>
    </row>
    <row r="1282" spans="1:45" s="17" customFormat="1" ht="30.95" hidden="1" customHeight="1" x14ac:dyDescent="0.2">
      <c r="A1282" s="37"/>
      <c r="B1282" s="38"/>
      <c r="C1282" s="45"/>
      <c r="D1282" s="31"/>
      <c r="E1282" s="31"/>
      <c r="F1282" s="268"/>
      <c r="G1282" s="269"/>
      <c r="H1282" s="269"/>
      <c r="I1282" s="270"/>
      <c r="J1282" s="210"/>
      <c r="K1282" s="270"/>
      <c r="L1282" s="270"/>
      <c r="M1282" s="39"/>
      <c r="N1282" s="39"/>
      <c r="O1282" s="156"/>
      <c r="P1282" s="47"/>
      <c r="Q1282" s="57"/>
      <c r="R1282" s="338"/>
      <c r="S1282" s="272"/>
      <c r="T1282" s="273"/>
      <c r="U1282" s="40"/>
      <c r="V1282" s="277"/>
      <c r="W1282" s="269"/>
      <c r="X1282" s="269"/>
      <c r="Y1282" s="275"/>
      <c r="Z1282" s="269"/>
      <c r="AA1282" s="57"/>
      <c r="AB1282" s="207"/>
      <c r="AC1282" s="33"/>
      <c r="AD1282" s="189"/>
      <c r="AE1282" s="54"/>
      <c r="AF1282" s="55"/>
      <c r="AG1282" s="43"/>
      <c r="AH1282" s="47"/>
      <c r="AI1282" s="30"/>
      <c r="AJ1282" s="30"/>
      <c r="AK1282" s="30"/>
      <c r="AL1282" s="30"/>
      <c r="AM1282" s="13"/>
      <c r="AN1282" s="13"/>
      <c r="AO1282" s="13"/>
      <c r="AP1282" s="13"/>
      <c r="AQ1282" s="13"/>
      <c r="AR1282" s="14"/>
      <c r="AS1282" s="15"/>
    </row>
    <row r="1283" spans="1:45" s="17" customFormat="1" ht="30.95" hidden="1" customHeight="1" x14ac:dyDescent="0.2">
      <c r="A1283" s="37" t="s">
        <v>1791</v>
      </c>
      <c r="B1283" s="38" t="s">
        <v>1792</v>
      </c>
      <c r="C1283" s="45"/>
      <c r="D1283" s="31">
        <v>3731350</v>
      </c>
      <c r="E1283" s="31">
        <v>4162108</v>
      </c>
      <c r="F1283" s="268" t="str">
        <f>IF(D1283="","",VLOOKUP(D1283,契約台帳!$A$3:$K$4986,6,FALSE)&amp;VLOOKUP(D1283,契約台帳!$A$3:$K$4986,7,FALSE)&amp;VLOOKUP(D1283,契約台帳!$A$3:$K$4986,8,FALSE)&amp;VLOOKUP(D1283,契約台帳!$A$3:$K$4986,9,FALSE)&amp;VLOOKUP(D1283,契約台帳!$A$3:$K$4986,11,FALSE))</f>
        <v>3SNMLBMNGKKBF</v>
      </c>
      <c r="G1283" s="269" t="str">
        <f>IF(D1283="","",VLOOKUP(F1283,製品マスタ!$G$5:$H$5002,2,FALSE))</f>
        <v>S</v>
      </c>
      <c r="H1283" s="269" t="str">
        <f>IF(D1283="","",VLOOKUP(F1283,製品マスタ!$G$5:$K$5002,5,FALSE))</f>
        <v>MNGKKBF</v>
      </c>
      <c r="I1283" s="270" t="str">
        <f>IF(D1283="","",VLOOKUP(F1283,製品マスタ!$G$5:$L$5002,6,FALSE))</f>
        <v>メタルミー　ネーマー銀消改　Ｂ</v>
      </c>
      <c r="J1283" s="210" t="s">
        <v>935</v>
      </c>
      <c r="K1283" s="270">
        <f>IF(D1283="","",VLOOKUP(D1283,契約台帳!$A$3:$L$4986,12,FALSE))</f>
        <v>50</v>
      </c>
      <c r="L1283" s="270" t="str">
        <f>IF(D1283="","",INDEX(製品マスタ!$Q$5:$Q$5002,MATCH('S4'!F1283&amp;'S4'!K1283,製品マスタ!$AO$5:$AO$5002,0)))</f>
        <v>S99-MAT</v>
      </c>
      <c r="M1283" s="39">
        <v>1120</v>
      </c>
      <c r="N1283" s="39">
        <v>4000</v>
      </c>
      <c r="O1283" s="156">
        <v>18</v>
      </c>
      <c r="P1283" s="47">
        <v>3</v>
      </c>
      <c r="Q1283" s="213">
        <v>45240</v>
      </c>
      <c r="R1283" s="271">
        <f ca="1">IF(D1283="","",IF(OFFSET(D1283,-1,0)&lt;&gt;"","",IF(OR(J1283="リード付け",J1283="巻足し",J1283="巻返しリード付け"),M1283,VLOOKUP(D1283,契約台帳!$A$3:$N$4986,14,FALSE))))</f>
        <v>1120</v>
      </c>
      <c r="S1283" s="272">
        <f ca="1">IF(D1283="","",IF(OFFSET(D1283,-1,0)&lt;&gt;"","",IF(OR(J1283="リード付け",J1283="巻足し",J1283="巻返しリード付け"),M1283,VLOOKUP(D1283,契約台帳!$A$3:$O$4986,15,FALSE))))</f>
        <v>1120</v>
      </c>
      <c r="T1283" s="273">
        <f ca="1">IF(D1283="","",IF(J1283="リード付け",N1283,IF(J1283="巻返しリード付け",N1283,IF(J1283="巻足し",N1283*P1283+OFFSET(N1283,1,0)*OFFSET(P1283,1,0),VLOOKUP(D1283,契約台帳!$A$3:$P$4986,16,FALSE)))))</f>
        <v>12000</v>
      </c>
      <c r="U1283" s="40">
        <v>6</v>
      </c>
      <c r="V1283" s="274">
        <f ca="1">IF(D1283="","",IF(OFFSET(D1283,-2,0)=D1283,"",VLOOKUP(D1283,契約台帳!$A$3:$R$4986,18,FALSE)))</f>
        <v>18</v>
      </c>
      <c r="W1283" s="269" t="str">
        <f ca="1">IF(D1283="","",IF(T1283="","",IF(OR(J1283="巻足し",J1283="巻返しリード付け"),"",IF(J1283="巻返し",VLOOKUP(F1283&amp;K1283&amp;M1283,製品マスタ!$M$5:$AD$5002,18,FALSE),IF(OR(J1283="リード付け",J1283="巻返しリード付け"),"原反コア",IF(J1283="スリット",VLOOKUP(F1283&amp;K1283&amp;R1283,製品マスタ!$N$5:$AD$5002,17,FALSE),""))))))</f>
        <v/>
      </c>
      <c r="X1283" s="269" t="str">
        <f ca="1">IF(D1283="","",IF(T1283="","",IF(J1283="巻足し","",IF(J1283="巻返し",VLOOKUP(F1283&amp;K1283&amp;M1283,製品マスタ!$M$5:$AE$5002,19,FALSE),IF(OR(J1283="リード付け",J1283="巻返しリード付け"),"",IF(J1283="スリット",VLOOKUP(F1283&amp;K1283&amp;R1283,製品マスタ!$N$5:$AE$5002,18,FALSE),""))))))</f>
        <v/>
      </c>
      <c r="Y1283" s="275">
        <f ca="1">IF(D1283="","",IF(T1283="","",VLOOKUP(D1283,契約台帳!$A$3:$Q$4986,17,FALSE)))</f>
        <v>2</v>
      </c>
      <c r="Z1283" s="269" t="str">
        <f ca="1">IF(D1283="","",IF(T1283="","",VLOOKUP(D1283,契約台帳!$A$3:$E$4986,5,FALSE)))</f>
        <v>リンテック㈱</v>
      </c>
      <c r="AA1283" s="57"/>
      <c r="AB1283" s="207">
        <f>IFERROR((VLOOKUP(F1283&amp;K1283&amp;M1283,製品マスタ!$M$5:$AM$5002,27,FALSE)),"")</f>
        <v>0</v>
      </c>
      <c r="AC1283" s="33"/>
      <c r="AD1283" s="189"/>
      <c r="AE1283" s="54"/>
      <c r="AF1283" s="55">
        <f>+M1283*N1283*O1283/1000</f>
        <v>80640</v>
      </c>
      <c r="AG1283" s="43"/>
      <c r="AH1283" s="47"/>
      <c r="AI1283" s="30"/>
      <c r="AJ1283" s="30"/>
      <c r="AK1283" s="30"/>
      <c r="AL1283" s="30"/>
      <c r="AM1283" s="13"/>
      <c r="AN1283" s="13"/>
      <c r="AO1283" s="13"/>
      <c r="AP1283" s="13"/>
      <c r="AQ1283" s="13"/>
      <c r="AR1283" s="14"/>
      <c r="AS1283" s="15"/>
    </row>
    <row r="1284" spans="1:45" s="17" customFormat="1" ht="30.95" hidden="1" customHeight="1" x14ac:dyDescent="0.2">
      <c r="A1284" s="37"/>
      <c r="B1284" s="38"/>
      <c r="C1284" s="45"/>
      <c r="D1284" s="31"/>
      <c r="E1284" s="31"/>
      <c r="F1284" s="268"/>
      <c r="G1284" s="269"/>
      <c r="H1284" s="269"/>
      <c r="I1284" s="270"/>
      <c r="J1284" s="210"/>
      <c r="K1284" s="270"/>
      <c r="L1284" s="270"/>
      <c r="M1284" s="39"/>
      <c r="N1284" s="39"/>
      <c r="O1284" s="156"/>
      <c r="P1284" s="47"/>
      <c r="Q1284" s="57"/>
      <c r="R1284" s="338"/>
      <c r="S1284" s="272"/>
      <c r="T1284" s="273"/>
      <c r="U1284" s="40"/>
      <c r="V1284" s="277"/>
      <c r="W1284" s="269"/>
      <c r="X1284" s="269"/>
      <c r="Y1284" s="275"/>
      <c r="Z1284" s="269"/>
      <c r="AA1284" s="57"/>
      <c r="AB1284" s="207"/>
      <c r="AC1284" s="33"/>
      <c r="AD1284" s="189"/>
      <c r="AE1284" s="54"/>
      <c r="AF1284" s="55"/>
      <c r="AG1284" s="43"/>
      <c r="AH1284" s="47"/>
      <c r="AI1284" s="30"/>
      <c r="AJ1284" s="30"/>
      <c r="AK1284" s="30"/>
      <c r="AL1284" s="30"/>
      <c r="AM1284" s="13"/>
      <c r="AN1284" s="13"/>
      <c r="AO1284" s="13"/>
      <c r="AP1284" s="13"/>
      <c r="AQ1284" s="13"/>
      <c r="AR1284" s="14"/>
      <c r="AS1284" s="15"/>
    </row>
    <row r="1285" spans="1:45" s="17" customFormat="1" ht="30.95" hidden="1" customHeight="1" x14ac:dyDescent="0.2">
      <c r="A1285" s="37" t="s">
        <v>1793</v>
      </c>
      <c r="B1285" s="38" t="s">
        <v>1790</v>
      </c>
      <c r="C1285" s="45"/>
      <c r="D1285" s="31"/>
      <c r="E1285" s="31"/>
      <c r="F1285" s="268"/>
      <c r="G1285" s="269"/>
      <c r="H1285" s="269"/>
      <c r="I1285" s="270"/>
      <c r="J1285" s="210"/>
      <c r="K1285" s="270"/>
      <c r="L1285" s="270"/>
      <c r="M1285" s="39"/>
      <c r="N1285" s="39"/>
      <c r="O1285" s="156"/>
      <c r="P1285" s="47"/>
      <c r="Q1285" s="57"/>
      <c r="R1285" s="338"/>
      <c r="S1285" s="272"/>
      <c r="T1285" s="273"/>
      <c r="U1285" s="40"/>
      <c r="V1285" s="277"/>
      <c r="W1285" s="269"/>
      <c r="X1285" s="269"/>
      <c r="Y1285" s="275"/>
      <c r="Z1285" s="269"/>
      <c r="AA1285" s="57"/>
      <c r="AB1285" s="207"/>
      <c r="AC1285" s="33"/>
      <c r="AD1285" s="189"/>
      <c r="AE1285" s="54"/>
      <c r="AF1285" s="55"/>
      <c r="AG1285" s="43"/>
      <c r="AH1285" s="47"/>
      <c r="AI1285" s="30"/>
      <c r="AJ1285" s="30"/>
      <c r="AK1285" s="30"/>
      <c r="AL1285" s="30"/>
      <c r="AM1285" s="13"/>
      <c r="AN1285" s="13"/>
      <c r="AO1285" s="13"/>
      <c r="AP1285" s="13"/>
      <c r="AQ1285" s="13"/>
      <c r="AR1285" s="14"/>
      <c r="AS1285" s="15"/>
    </row>
    <row r="1286" spans="1:45" s="17" customFormat="1" ht="30.95" hidden="1" customHeight="1" x14ac:dyDescent="0.2">
      <c r="A1286" s="37"/>
      <c r="B1286" s="38"/>
      <c r="C1286" s="45"/>
      <c r="D1286" s="31"/>
      <c r="E1286" s="31"/>
      <c r="F1286" s="268"/>
      <c r="G1286" s="269"/>
      <c r="H1286" s="269"/>
      <c r="I1286" s="270"/>
      <c r="J1286" s="210"/>
      <c r="K1286" s="270"/>
      <c r="L1286" s="270"/>
      <c r="M1286" s="39"/>
      <c r="N1286" s="39"/>
      <c r="O1286" s="156"/>
      <c r="P1286" s="47"/>
      <c r="Q1286" s="57"/>
      <c r="R1286" s="338"/>
      <c r="S1286" s="272"/>
      <c r="T1286" s="273"/>
      <c r="U1286" s="40"/>
      <c r="V1286" s="277"/>
      <c r="W1286" s="269"/>
      <c r="X1286" s="269"/>
      <c r="Y1286" s="275"/>
      <c r="Z1286" s="269"/>
      <c r="AA1286" s="57"/>
      <c r="AB1286" s="207"/>
      <c r="AC1286" s="33"/>
      <c r="AD1286" s="189"/>
      <c r="AE1286" s="54"/>
      <c r="AF1286" s="55"/>
      <c r="AG1286" s="43"/>
      <c r="AH1286" s="47"/>
      <c r="AI1286" s="30"/>
      <c r="AJ1286" s="30"/>
      <c r="AK1286" s="30"/>
      <c r="AL1286" s="30"/>
      <c r="AM1286" s="13"/>
      <c r="AN1286" s="13"/>
      <c r="AO1286" s="13"/>
      <c r="AP1286" s="13"/>
      <c r="AQ1286" s="13"/>
      <c r="AR1286" s="14"/>
      <c r="AS1286" s="15"/>
    </row>
    <row r="1287" spans="1:45" s="17" customFormat="1" ht="30.95" hidden="1" customHeight="1" x14ac:dyDescent="0.2">
      <c r="A1287" s="37" t="s">
        <v>649</v>
      </c>
      <c r="B1287" s="38" t="s">
        <v>442</v>
      </c>
      <c r="C1287" s="45"/>
      <c r="D1287" s="31"/>
      <c r="E1287" s="31"/>
      <c r="F1287" s="268" t="str">
        <f>IF(D1287="","",VLOOKUP(D1287,契約台帳!$A$3:$K$4986,6,FALSE)&amp;VLOOKUP(D1287,契約台帳!$A$3:$K$4986,7,FALSE)&amp;VLOOKUP(D1287,契約台帳!$A$3:$K$4986,8,FALSE)&amp;VLOOKUP(D1287,契約台帳!$A$3:$K$4986,9,FALSE)&amp;VLOOKUP(D1287,契約台帳!$A$3:$K$4986,11,FALSE))</f>
        <v/>
      </c>
      <c r="G1287" s="269" t="str">
        <f>IF(D1287="","",VLOOKUP(F1287,製品マスタ!$G$5:$H$5002,2,FALSE))</f>
        <v/>
      </c>
      <c r="H1287" s="269" t="str">
        <f>IF(D1287="","",VLOOKUP(F1287,製品マスタ!$G$5:$K$5002,5,FALSE))</f>
        <v/>
      </c>
      <c r="I1287" s="270" t="str">
        <f>IF(D1287="","",VLOOKUP(F1287,製品マスタ!$G$5:$L$5002,6,FALSE))</f>
        <v/>
      </c>
      <c r="J1287" s="210"/>
      <c r="K1287" s="270" t="str">
        <f>IF(D1287="","",VLOOKUP(D1287,契約台帳!$A$3:$L$4986,12,FALSE))</f>
        <v/>
      </c>
      <c r="L1287" s="270" t="str">
        <f>IF(D1287="","",INDEX(製品マスタ!$Q$5:$Q$5002,MATCH('S4'!F1287&amp;'S4'!K1287,製品マスタ!$AO$5:$AO$5002,0)))</f>
        <v/>
      </c>
      <c r="M1287" s="39"/>
      <c r="N1287" s="39"/>
      <c r="O1287" s="156"/>
      <c r="P1287" s="47"/>
      <c r="Q1287" s="57"/>
      <c r="R1287" s="271" t="str">
        <f ca="1">IF(D1287="","",IF(OFFSET(D1287,-1,0)&lt;&gt;"","",IF(OR(J1287="リード付け",J1287="巻足し",J1287="巻返しリード付け"),M1287,VLOOKUP(D1287,契約台帳!$A$3:$N$4986,14,FALSE))))</f>
        <v/>
      </c>
      <c r="S1287" s="272" t="str">
        <f ca="1">IF(D1287="","",IF(OFFSET(D1287,-1,0)&lt;&gt;"","",IF(OR(J1287="リード付け",J1287="巻足し",J1287="巻返しリード付け"),M1287,VLOOKUP(D1287,契約台帳!$A$3:$O$4986,15,FALSE))))</f>
        <v/>
      </c>
      <c r="T1287" s="273" t="str">
        <f ca="1">IF(D1287="","",IF(J1287="リード付け",N1287,IF(J1287="巻返しリード付け",N1287,IF(J1287="巻足し",N1287*P1287+OFFSET(N1287,1,0)*OFFSET(P1287,1,0),VLOOKUP(D1287,契約台帳!$A$3:$P$4986,16,FALSE)))))</f>
        <v/>
      </c>
      <c r="U1287" s="40"/>
      <c r="V1287" s="274" t="str">
        <f ca="1">IF(D1287="","",IF(OFFSET(D1287,-2,0)=D1287,"",VLOOKUP(D1287,契約台帳!$A$3:$R$4986,18,FALSE)))</f>
        <v/>
      </c>
      <c r="W1287" s="269" t="str">
        <f>IF(D1287="","",IF(T1287="","",IF(OR(J1287="巻足し",J1287="巻返しリード付け"),"",IF(J1287="巻返し",VLOOKUP(F1287&amp;K1287&amp;M1287,製品マスタ!$M$5:$AD$5002,18,FALSE),IF(OR(J1287="リード付け",J1287="巻返しリード付け"),"原反コア",IF(J1287="スリット",VLOOKUP(F1287&amp;K1287&amp;R1287,製品マスタ!$N$5:$AD$5002,17,FALSE),""))))))</f>
        <v/>
      </c>
      <c r="X1287" s="269" t="str">
        <f>IF(D1287="","",IF(T1287="","",IF(J1287="巻足し","",IF(J1287="巻返し",VLOOKUP(F1287&amp;K1287&amp;M1287,製品マスタ!$M$5:$AE$5002,19,FALSE),IF(OR(J1287="リード付け",J1287="巻返しリード付け"),"",IF(J1287="スリット",VLOOKUP(F1287&amp;K1287&amp;R1287,製品マスタ!$N$5:$AE$5002,18,FALSE),""))))))</f>
        <v/>
      </c>
      <c r="Y1287" s="275" t="str">
        <f>IF(D1287="","",IF(T1287="","",VLOOKUP(D1287,契約台帳!$A$3:$Q$4986,17,FALSE)))</f>
        <v/>
      </c>
      <c r="Z1287" s="269" t="str">
        <f>IF(D1287="","",IF(T1287="","",VLOOKUP(D1287,契約台帳!$A$3:$E$4986,5,FALSE)))</f>
        <v/>
      </c>
      <c r="AA1287" s="57"/>
      <c r="AB1287" s="207"/>
      <c r="AC1287" s="33"/>
      <c r="AD1287" s="189"/>
      <c r="AE1287" s="54" t="str">
        <f>IF(F1287="","",+F1287&amp;K1287)</f>
        <v/>
      </c>
      <c r="AF1287" s="55">
        <f>+M1287*N1287*O1287/1000</f>
        <v>0</v>
      </c>
      <c r="AG1287" s="43" t="str">
        <f>IF(AE1287="","",VLOOKUP(AE1287,原価マスタ!$A$2:$AJ$1693,13,FALSE))</f>
        <v/>
      </c>
      <c r="AH1287" s="47" t="str">
        <f>IF(AG1287="","",+AF1287*AG1287/100)</f>
        <v/>
      </c>
      <c r="AI1287" s="30"/>
      <c r="AJ1287" s="30"/>
      <c r="AK1287" s="30"/>
      <c r="AL1287" s="30"/>
      <c r="AM1287" s="13"/>
      <c r="AN1287" s="13"/>
      <c r="AO1287" s="13"/>
      <c r="AP1287" s="13"/>
      <c r="AQ1287" s="13"/>
      <c r="AR1287" s="14"/>
      <c r="AS1287" s="15"/>
    </row>
    <row r="1288" spans="1:45" s="17" customFormat="1" ht="30.95" hidden="1" customHeight="1" x14ac:dyDescent="0.2">
      <c r="A1288" s="37"/>
      <c r="B1288" s="38"/>
      <c r="C1288" s="45"/>
      <c r="D1288" s="31"/>
      <c r="E1288" s="31"/>
      <c r="F1288" s="268"/>
      <c r="G1288" s="269"/>
      <c r="H1288" s="269"/>
      <c r="I1288" s="270"/>
      <c r="J1288" s="210"/>
      <c r="K1288" s="270"/>
      <c r="L1288" s="270"/>
      <c r="M1288" s="39"/>
      <c r="N1288" s="39"/>
      <c r="O1288" s="156"/>
      <c r="P1288" s="47"/>
      <c r="Q1288" s="57"/>
      <c r="R1288" s="338"/>
      <c r="S1288" s="272"/>
      <c r="T1288" s="273"/>
      <c r="U1288" s="40"/>
      <c r="V1288" s="277"/>
      <c r="W1288" s="269"/>
      <c r="X1288" s="269"/>
      <c r="Y1288" s="275"/>
      <c r="Z1288" s="269"/>
      <c r="AA1288" s="57"/>
      <c r="AB1288" s="207"/>
      <c r="AC1288" s="33"/>
      <c r="AD1288" s="189"/>
      <c r="AE1288" s="54"/>
      <c r="AF1288" s="55"/>
      <c r="AG1288" s="43"/>
      <c r="AH1288" s="47"/>
      <c r="AI1288" s="30"/>
      <c r="AJ1288" s="30"/>
      <c r="AK1288" s="30"/>
      <c r="AL1288" s="30"/>
      <c r="AM1288" s="13"/>
      <c r="AN1288" s="13"/>
      <c r="AO1288" s="13"/>
      <c r="AP1288" s="13"/>
      <c r="AQ1288" s="13"/>
      <c r="AR1288" s="14"/>
      <c r="AS1288" s="15"/>
    </row>
    <row r="1289" spans="1:45" s="17" customFormat="1" ht="30.95" hidden="1" customHeight="1" x14ac:dyDescent="0.2">
      <c r="A1289" s="37" t="s">
        <v>650</v>
      </c>
      <c r="B1289" s="38" t="s">
        <v>443</v>
      </c>
      <c r="C1289" s="45"/>
      <c r="D1289" s="31">
        <v>3731358</v>
      </c>
      <c r="E1289" s="31">
        <v>4151517</v>
      </c>
      <c r="F1289" s="268" t="str">
        <f>IF(D1289="","",VLOOKUP(D1289,契約台帳!$A$3:$K$4986,6,FALSE)&amp;VLOOKUP(D1289,契約台帳!$A$3:$K$4986,7,FALSE)&amp;VLOOKUP(D1289,契約台帳!$A$3:$K$4986,8,FALSE)&amp;VLOOKUP(D1289,契約台帳!$A$3:$K$4986,9,FALSE)&amp;VLOOKUP(D1289,契約台帳!$A$3:$K$4986,11,FALSE))</f>
        <v>3SNMLBMNNGKBF</v>
      </c>
      <c r="G1289" s="269" t="str">
        <f>IF(D1289="","",VLOOKUP(F1289,製品マスタ!$G$5:$H$5002,2,FALSE))</f>
        <v>S</v>
      </c>
      <c r="H1289" s="269" t="str">
        <f>IF(D1289="","",VLOOKUP(F1289,製品マスタ!$G$5:$K$5002,5,FALSE))</f>
        <v>MNNGKBF</v>
      </c>
      <c r="I1289" s="270" t="str">
        <f>IF(D1289="","",VLOOKUP(F1289,製品マスタ!$G$5:$L$5002,6,FALSE))</f>
        <v>メタルミー　ニューネーマー銀消　Ｂ</v>
      </c>
      <c r="J1289" s="210" t="s">
        <v>447</v>
      </c>
      <c r="K1289" s="270">
        <f>IF(D1289="","",VLOOKUP(D1289,契約台帳!$A$3:$L$4986,12,FALSE))</f>
        <v>50</v>
      </c>
      <c r="L1289" s="270" t="str">
        <f>IF(D1289="","",INDEX(製品マスタ!$Q$5:$Q$5002,MATCH('S4'!F1289&amp;'S4'!K1289,製品マスタ!$AO$5:$AO$5002,0)))</f>
        <v>X44</v>
      </c>
      <c r="M1289" s="39">
        <v>1000</v>
      </c>
      <c r="N1289" s="39">
        <v>12000</v>
      </c>
      <c r="O1289" s="156">
        <v>6</v>
      </c>
      <c r="P1289" s="47">
        <v>6</v>
      </c>
      <c r="Q1289" s="57"/>
      <c r="R1289" s="271">
        <f ca="1">IF(D1289="","",IF(OFFSET(D1289,-1,0)&lt;&gt;"","",IF(OR(J1289="リード付け",J1289="巻足し",J1289="巻返しリード付け"),M1289,VLOOKUP(D1289,契約台帳!$A$3:$N$4986,14,FALSE))))</f>
        <v>1000</v>
      </c>
      <c r="S1289" s="272">
        <f ca="1">IF(D1289="","",IF(OFFSET(D1289,-1,0)&lt;&gt;"","",IF(OR(J1289="リード付け",J1289="巻足し",J1289="巻返しリード付け"),M1289,VLOOKUP(D1289,契約台帳!$A$3:$O$4986,15,FALSE))))</f>
        <v>1000</v>
      </c>
      <c r="T1289" s="273">
        <f ca="1">IF(D1289="","",IF(J1289="リード付け",N1289,IF(J1289="巻返しリード付け",N1289,IF(J1289="巻足し",N1289*P1289+OFFSET(N1289,1,0)*OFFSET(P1289,1,0),VLOOKUP(D1289,契約台帳!$A$3:$P$4986,16,FALSE)))))</f>
        <v>4000</v>
      </c>
      <c r="U1289" s="40">
        <v>18</v>
      </c>
      <c r="V1289" s="274">
        <f ca="1">IF(D1289="","",IF(OFFSET(D1289,-2,0)=D1289,"",VLOOKUP(D1289,契約台帳!$A$3:$R$4986,18,FALSE)))</f>
        <v>20</v>
      </c>
      <c r="W1289" s="269" t="str">
        <f ca="1">IF(D1289="","",IF(T1289="","",IF(OR(J1289="巻足し",J1289="巻返しリード付け"),"",IF(J1289="巻返し",VLOOKUP(F1289&amp;K1289&amp;M1289,製品マスタ!$M$5:$AD$5002,18,FALSE),IF(OR(J1289="リード付け",J1289="巻返しリード付け"),"原反コア",IF(J1289="スリット",VLOOKUP(F1289&amp;K1289&amp;R1289,製品マスタ!$N$5:$AD$5002,17,FALSE),""))))))</f>
        <v>6ｲﾝﾁSｺｱ</v>
      </c>
      <c r="X1289" s="269">
        <f ca="1">IF(D1289="","",IF(T1289="","",IF(J1289="巻足し","",IF(J1289="巻返し",VLOOKUP(F1289&amp;K1289&amp;M1289,製品マスタ!$M$5:$AE$5002,19,FALSE),IF(OR(J1289="リード付け",J1289="巻返しリード付け"),"",IF(J1289="スリット",VLOOKUP(F1289&amp;K1289&amp;R1289,製品マスタ!$N$5:$AE$5002,18,FALSE),""))))))</f>
        <v>1005</v>
      </c>
      <c r="Y1289" s="275">
        <f ca="1">IF(D1289="","",IF(T1289="","",VLOOKUP(D1289,契約台帳!$A$3:$Q$4986,17,FALSE)))</f>
        <v>2</v>
      </c>
      <c r="Z1289" s="269" t="str">
        <f ca="1">IF(D1289="","",IF(T1289="","",VLOOKUP(D1289,契約台帳!$A$3:$E$4986,5,FALSE)))</f>
        <v>リンテック㈱</v>
      </c>
      <c r="AA1289" s="57"/>
      <c r="AB1289" s="207" t="s">
        <v>1083</v>
      </c>
      <c r="AC1289" s="33"/>
      <c r="AD1289" s="189"/>
      <c r="AE1289" s="54" t="str">
        <f>IF(F1289="","",+F1289&amp;K1289)</f>
        <v>3SNMLBMNNGKBF50</v>
      </c>
      <c r="AF1289" s="55">
        <f>+M1289*N1289*O1289/1000</f>
        <v>72000</v>
      </c>
      <c r="AG1289" s="43">
        <f>IF(AE1289="","",VLOOKUP(AE1289,原価マスタ!$A$2:$AJ$1693,13,FALSE))</f>
        <v>99</v>
      </c>
      <c r="AH1289" s="47">
        <f>IF(AG1289="","",+AF1289*AG1289/100)</f>
        <v>71280</v>
      </c>
      <c r="AI1289" s="30"/>
      <c r="AJ1289" s="30"/>
      <c r="AK1289" s="30"/>
      <c r="AL1289" s="30"/>
      <c r="AM1289" s="13"/>
      <c r="AN1289" s="13"/>
      <c r="AO1289" s="13"/>
      <c r="AP1289" s="13"/>
      <c r="AQ1289" s="13"/>
      <c r="AR1289" s="14"/>
      <c r="AS1289" s="15"/>
    </row>
    <row r="1290" spans="1:45" s="17" customFormat="1" ht="30.95" hidden="1" customHeight="1" x14ac:dyDescent="0.2">
      <c r="A1290" s="37"/>
      <c r="B1290" s="38"/>
      <c r="C1290" s="45"/>
      <c r="D1290" s="31"/>
      <c r="E1290" s="31"/>
      <c r="F1290" s="268"/>
      <c r="G1290" s="269"/>
      <c r="H1290" s="269"/>
      <c r="I1290" s="270"/>
      <c r="J1290" s="210"/>
      <c r="K1290" s="270"/>
      <c r="L1290" s="270"/>
      <c r="M1290" s="39"/>
      <c r="N1290" s="39"/>
      <c r="O1290" s="156"/>
      <c r="P1290" s="47"/>
      <c r="Q1290" s="57"/>
      <c r="R1290" s="338"/>
      <c r="S1290" s="272"/>
      <c r="T1290" s="273"/>
      <c r="U1290" s="40"/>
      <c r="V1290" s="277"/>
      <c r="W1290" s="269"/>
      <c r="X1290" s="269"/>
      <c r="Y1290" s="275"/>
      <c r="Z1290" s="269"/>
      <c r="AA1290" s="57"/>
      <c r="AB1290" s="412" t="s">
        <v>1805</v>
      </c>
      <c r="AC1290" s="33"/>
      <c r="AD1290" s="189"/>
      <c r="AE1290" s="54"/>
      <c r="AF1290" s="55"/>
      <c r="AG1290" s="43"/>
      <c r="AH1290" s="47"/>
      <c r="AI1290" s="30"/>
      <c r="AJ1290" s="30"/>
      <c r="AK1290" s="30"/>
      <c r="AL1290" s="30"/>
      <c r="AM1290" s="13"/>
      <c r="AN1290" s="13"/>
      <c r="AO1290" s="13"/>
      <c r="AP1290" s="13"/>
      <c r="AQ1290" s="13"/>
      <c r="AR1290" s="14"/>
      <c r="AS1290" s="15"/>
    </row>
    <row r="1291" spans="1:45" s="17" customFormat="1" ht="30.95" hidden="1" customHeight="1" x14ac:dyDescent="0.2">
      <c r="A1291" s="37" t="s">
        <v>1806</v>
      </c>
      <c r="B1291" s="38" t="s">
        <v>1807</v>
      </c>
      <c r="C1291" s="45"/>
      <c r="D1291" s="31">
        <v>3731358</v>
      </c>
      <c r="E1291" s="31">
        <v>4151517</v>
      </c>
      <c r="F1291" s="268" t="str">
        <f>IF(D1291="","",VLOOKUP(D1291,契約台帳!$A$3:$K$4986,6,FALSE)&amp;VLOOKUP(D1291,契約台帳!$A$3:$K$4986,7,FALSE)&amp;VLOOKUP(D1291,契約台帳!$A$3:$K$4986,8,FALSE)&amp;VLOOKUP(D1291,契約台帳!$A$3:$K$4986,9,FALSE)&amp;VLOOKUP(D1291,契約台帳!$A$3:$K$4986,11,FALSE))</f>
        <v>3SNMLBMNNGKBF</v>
      </c>
      <c r="G1291" s="269" t="str">
        <f>IF(D1291="","",VLOOKUP(F1291,製品マスタ!$G$5:$H$5002,2,FALSE))</f>
        <v>S</v>
      </c>
      <c r="H1291" s="269" t="str">
        <f>IF(D1291="","",VLOOKUP(F1291,製品マスタ!$G$5:$K$5002,5,FALSE))</f>
        <v>MNNGKBF</v>
      </c>
      <c r="I1291" s="270" t="str">
        <f>IF(D1291="","",VLOOKUP(F1291,製品マスタ!$G$5:$L$5002,6,FALSE))</f>
        <v>メタルミー　ニューネーマー銀消　Ｂ</v>
      </c>
      <c r="J1291" s="210" t="s">
        <v>447</v>
      </c>
      <c r="K1291" s="270">
        <f>IF(D1291="","",VLOOKUP(D1291,契約台帳!$A$3:$L$4986,12,FALSE))</f>
        <v>50</v>
      </c>
      <c r="L1291" s="270" t="str">
        <f>IF(D1291="","",INDEX(製品マスタ!$Q$5:$Q$5002,MATCH('S4'!F1291&amp;'S4'!K1291,製品マスタ!$AO$5:$AO$5002,0)))</f>
        <v>X44</v>
      </c>
      <c r="M1291" s="39">
        <v>1000</v>
      </c>
      <c r="N1291" s="39">
        <v>8000</v>
      </c>
      <c r="O1291" s="156">
        <v>1</v>
      </c>
      <c r="P1291" s="47">
        <v>1</v>
      </c>
      <c r="Q1291" s="57"/>
      <c r="R1291" s="271">
        <f ca="1">IF(D1291="","",IF(OFFSET(D1291,-1,0)&lt;&gt;"","",IF(OR(J1291="リード付け",J1291="巻足し",J1291="巻返しリード付け"),M1291,VLOOKUP(D1291,契約台帳!$A$3:$N$4986,14,FALSE))))</f>
        <v>1000</v>
      </c>
      <c r="S1291" s="272">
        <f ca="1">IF(D1291="","",IF(OFFSET(D1291,-1,0)&lt;&gt;"","",IF(OR(J1291="リード付け",J1291="巻足し",J1291="巻返しリード付け"),M1291,VLOOKUP(D1291,契約台帳!$A$3:$O$4986,15,FALSE))))</f>
        <v>1000</v>
      </c>
      <c r="T1291" s="273">
        <f ca="1">IF(D1291="","",IF(J1291="リード付け",N1291,IF(J1291="巻返しリード付け",N1291,IF(J1291="巻足し",N1291*P1291+OFFSET(N1291,1,0)*OFFSET(P1291,1,0),VLOOKUP(D1291,契約台帳!$A$3:$P$4986,16,FALSE)))))</f>
        <v>4000</v>
      </c>
      <c r="U1291" s="40">
        <v>2</v>
      </c>
      <c r="V1291" s="274" t="str">
        <f ca="1">IF(D1291="","",IF(OFFSET(D1291,-2,0)=D1291,"",VLOOKUP(D1291,契約台帳!$A$3:$R$4986,18,FALSE)))</f>
        <v/>
      </c>
      <c r="W1291" s="269" t="str">
        <f ca="1">IF(D1291="","",IF(T1291="","",IF(OR(J1291="巻足し",J1291="巻返しリード付け"),"",IF(J1291="巻返し",VLOOKUP(F1291&amp;K1291&amp;M1291,製品マスタ!$M$5:$AD$5002,18,FALSE),IF(OR(J1291="リード付け",J1291="巻返しリード付け"),"原反コア",IF(J1291="スリット",VLOOKUP(F1291&amp;K1291&amp;R1291,製品マスタ!$N$5:$AD$5002,17,FALSE),""))))))</f>
        <v>6ｲﾝﾁSｺｱ</v>
      </c>
      <c r="X1291" s="269">
        <f ca="1">IF(D1291="","",IF(T1291="","",IF(J1291="巻足し","",IF(J1291="巻返し",VLOOKUP(F1291&amp;K1291&amp;M1291,製品マスタ!$M$5:$AE$5002,19,FALSE),IF(OR(J1291="リード付け",J1291="巻返しリード付け"),"",IF(J1291="スリット",VLOOKUP(F1291&amp;K1291&amp;R1291,製品マスタ!$N$5:$AE$5002,18,FALSE),""))))))</f>
        <v>1005</v>
      </c>
      <c r="Y1291" s="275">
        <f ca="1">IF(D1291="","",IF(T1291="","",VLOOKUP(D1291,契約台帳!$A$3:$Q$4986,17,FALSE)))</f>
        <v>2</v>
      </c>
      <c r="Z1291" s="269" t="str">
        <f ca="1">IF(D1291="","",IF(T1291="","",VLOOKUP(D1291,契約台帳!$A$3:$E$4986,5,FALSE)))</f>
        <v>リンテック㈱</v>
      </c>
      <c r="AA1291" s="57"/>
      <c r="AB1291" s="207" t="s">
        <v>1083</v>
      </c>
      <c r="AC1291" s="33"/>
      <c r="AD1291" s="189"/>
      <c r="AE1291" s="54" t="str">
        <f>IF(F1291="","",+F1291&amp;K1291)</f>
        <v>3SNMLBMNNGKBF50</v>
      </c>
      <c r="AF1291" s="55">
        <f>+M1291*N1291*O1291/1000</f>
        <v>8000</v>
      </c>
      <c r="AG1291" s="43">
        <f>IF(AE1291="","",VLOOKUP(AE1291,原価マスタ!$A$2:$AJ$1693,13,FALSE))</f>
        <v>99</v>
      </c>
      <c r="AH1291" s="47">
        <f>IF(AG1291="","",+AF1291*AG1291/100)</f>
        <v>7920</v>
      </c>
      <c r="AI1291" s="30"/>
      <c r="AJ1291" s="30"/>
      <c r="AK1291" s="30"/>
      <c r="AL1291" s="30"/>
      <c r="AM1291" s="13"/>
      <c r="AN1291" s="13"/>
      <c r="AO1291" s="13"/>
      <c r="AP1291" s="13"/>
      <c r="AQ1291" s="13"/>
      <c r="AR1291" s="14"/>
      <c r="AS1291" s="15"/>
    </row>
    <row r="1292" spans="1:45" s="17" customFormat="1" ht="30.95" hidden="1" customHeight="1" x14ac:dyDescent="0.2">
      <c r="A1292" s="37"/>
      <c r="B1292" s="38"/>
      <c r="C1292" s="45"/>
      <c r="D1292" s="31"/>
      <c r="E1292" s="31"/>
      <c r="F1292" s="268"/>
      <c r="G1292" s="269"/>
      <c r="H1292" s="269"/>
      <c r="I1292" s="270"/>
      <c r="J1292" s="210"/>
      <c r="K1292" s="270"/>
      <c r="L1292" s="270"/>
      <c r="M1292" s="39"/>
      <c r="N1292" s="39"/>
      <c r="O1292" s="156"/>
      <c r="P1292" s="47"/>
      <c r="Q1292" s="57"/>
      <c r="R1292" s="338"/>
      <c r="S1292" s="272"/>
      <c r="T1292" s="273"/>
      <c r="U1292" s="40"/>
      <c r="V1292" s="277"/>
      <c r="W1292" s="269"/>
      <c r="X1292" s="269"/>
      <c r="Y1292" s="275"/>
      <c r="Z1292" s="269"/>
      <c r="AA1292" s="57"/>
      <c r="AB1292" s="412" t="s">
        <v>1805</v>
      </c>
      <c r="AC1292" s="33"/>
      <c r="AD1292" s="189"/>
      <c r="AE1292" s="54"/>
      <c r="AF1292" s="55"/>
      <c r="AG1292" s="43"/>
      <c r="AH1292" s="47"/>
      <c r="AI1292" s="30"/>
      <c r="AJ1292" s="30"/>
      <c r="AK1292" s="30"/>
      <c r="AL1292" s="30"/>
      <c r="AM1292" s="13"/>
      <c r="AN1292" s="13"/>
      <c r="AO1292" s="13"/>
      <c r="AP1292" s="13"/>
      <c r="AQ1292" s="13"/>
      <c r="AR1292" s="14"/>
      <c r="AS1292" s="15"/>
    </row>
    <row r="1293" spans="1:45" s="17" customFormat="1" ht="30.95" hidden="1" customHeight="1" x14ac:dyDescent="0.2">
      <c r="A1293" s="37"/>
      <c r="B1293" s="38"/>
      <c r="C1293" s="45"/>
      <c r="D1293" s="31">
        <v>3731373</v>
      </c>
      <c r="E1293" s="31">
        <v>4151525</v>
      </c>
      <c r="F1293" s="268" t="str">
        <f>IF(D1293="","",VLOOKUP(D1293,契約台帳!$A$3:$K$4986,6,FALSE)&amp;VLOOKUP(D1293,契約台帳!$A$3:$K$4986,7,FALSE)&amp;VLOOKUP(D1293,契約台帳!$A$3:$K$4986,8,FALSE)&amp;VLOOKUP(D1293,契約台帳!$A$3:$K$4986,9,FALSE)&amp;VLOOKUP(D1293,契約台帳!$A$3:$K$4986,11,FALSE))</f>
        <v>3SYMLBMSSMBF</v>
      </c>
      <c r="G1293" s="269" t="str">
        <f>IF(D1293="","",VLOOKUP(F1293,製品マスタ!$G$5:$H$5002,2,FALSE))</f>
        <v>S</v>
      </c>
      <c r="H1293" s="269" t="str">
        <f>IF(D1293="","",VLOOKUP(F1293,製品マスタ!$G$5:$K$5002,5,FALSE))</f>
        <v>MSSMBF</v>
      </c>
      <c r="I1293" s="270" t="str">
        <f>IF(D1293="","",VLOOKUP(F1293,製品マスタ!$G$5:$L$5002,6,FALSE))</f>
        <v>ＭＥＴＡＬＵＭＹ　ＳＩＬＶＥＲ　Ｓ－ＭＡＴＴＥ　Ｓ２８ＭＭ　Ｂ</v>
      </c>
      <c r="J1293" s="210" t="s">
        <v>447</v>
      </c>
      <c r="K1293" s="270">
        <f>IF(D1293="","",VLOOKUP(D1293,契約台帳!$A$3:$L$4986,12,FALSE))</f>
        <v>50</v>
      </c>
      <c r="L1293" s="270" t="e">
        <f>IF(D1293="","",INDEX(製品マスタ!$Q$5:$Q$5002,MATCH('S4'!F1293&amp;'S4'!K1293,製品マスタ!$AO$5:$AO$5002,0)))</f>
        <v>#N/A</v>
      </c>
      <c r="M1293" s="39">
        <v>1120</v>
      </c>
      <c r="N1293" s="39">
        <v>8000</v>
      </c>
      <c r="O1293" s="156">
        <v>2</v>
      </c>
      <c r="P1293" s="47">
        <v>2</v>
      </c>
      <c r="Q1293" s="57"/>
      <c r="R1293" s="271">
        <f ca="1">IF(D1293="","",IF(OFFSET(D1293,-1,0)&lt;&gt;"","",IF(OR(J1293="リード付け",J1293="巻足し",J1293="巻返しリード付け"),M1293,VLOOKUP(D1293,契約台帳!$A$3:$N$4986,14,FALSE))))</f>
        <v>1120</v>
      </c>
      <c r="S1293" s="272">
        <f ca="1">IF(D1293="","",IF(OFFSET(D1293,-1,0)&lt;&gt;"","",IF(OR(J1293="リード付け",J1293="巻足し",J1293="巻返しリード付け"),M1293,VLOOKUP(D1293,契約台帳!$A$3:$O$4986,15,FALSE))))</f>
        <v>1120</v>
      </c>
      <c r="T1293" s="273">
        <f ca="1">IF(D1293="","",IF(J1293="リード付け",N1293,IF(J1293="巻返しリード付け",N1293,IF(J1293="巻足し",N1293*P1293+OFFSET(N1293,1,0)*OFFSET(P1293,1,0),VLOOKUP(D1293,契約台帳!$A$3:$P$4986,16,FALSE)))))</f>
        <v>4000</v>
      </c>
      <c r="U1293" s="40">
        <v>4</v>
      </c>
      <c r="V1293" s="274">
        <f ca="1">IF(D1293="","",IF(OFFSET(D1293,-2,0)=D1293,"",VLOOKUP(D1293,契約台帳!$A$3:$R$4986,18,FALSE)))</f>
        <v>4</v>
      </c>
      <c r="W1293" s="269" t="e">
        <f ca="1">IF(D1293="","",IF(T1293="","",IF(OR(J1293="巻足し",J1293="巻返しリード付け"),"",IF(J1293="巻返し",VLOOKUP(F1293&amp;K1293&amp;M1293,製品マスタ!$M$5:$AD$5002,18,FALSE),IF(OR(J1293="リード付け",J1293="巻返しリード付け"),"原反コア",IF(J1293="スリット",VLOOKUP(F1293&amp;K1293&amp;R1293,製品マスタ!$N$5:$AD$5002,17,FALSE),""))))))</f>
        <v>#N/A</v>
      </c>
      <c r="X1293" s="269" t="e">
        <f ca="1">IF(D1293="","",IF(T1293="","",IF(J1293="巻足し","",IF(J1293="巻返し",VLOOKUP(F1293&amp;K1293&amp;M1293,製品マスタ!$M$5:$AE$5002,19,FALSE),IF(OR(J1293="リード付け",J1293="巻返しリード付け"),"",IF(J1293="スリット",VLOOKUP(F1293&amp;K1293&amp;R1293,製品マスタ!$N$5:$AE$5002,18,FALSE),""))))))</f>
        <v>#N/A</v>
      </c>
      <c r="Y1293" s="275">
        <f ca="1">IF(D1293="","",IF(T1293="","",VLOOKUP(D1293,契約台帳!$A$3:$Q$4986,17,FALSE)))</f>
        <v>2</v>
      </c>
      <c r="Z1293" s="269" t="str">
        <f ca="1">IF(D1293="","",IF(T1293="","",VLOOKUP(D1293,契約台帳!$A$3:$E$4986,5,FALSE)))</f>
        <v>リンテック㈱</v>
      </c>
      <c r="AA1293" s="57"/>
      <c r="AB1293" s="207" t="s">
        <v>1083</v>
      </c>
      <c r="AC1293" s="33"/>
      <c r="AD1293" s="189"/>
      <c r="AE1293" s="54" t="str">
        <f>IF(F1293="","",+F1293&amp;K1293)</f>
        <v>3SYMLBMSSMBF50</v>
      </c>
      <c r="AF1293" s="55">
        <f>+M1293*N1293*O1293/1000</f>
        <v>17920</v>
      </c>
      <c r="AG1293" s="43">
        <f>IF(AE1293="","",VLOOKUP(AE1293,原価マスタ!$A$2:$AJ$1693,13,FALSE))</f>
        <v>98</v>
      </c>
      <c r="AH1293" s="47">
        <f>IF(AG1293="","",+AF1293*AG1293/100)</f>
        <v>17561.599999999999</v>
      </c>
      <c r="AI1293" s="30"/>
      <c r="AJ1293" s="30"/>
      <c r="AK1293" s="30"/>
      <c r="AL1293" s="30"/>
      <c r="AM1293" s="13"/>
      <c r="AN1293" s="13"/>
      <c r="AO1293" s="13"/>
      <c r="AP1293" s="13"/>
      <c r="AQ1293" s="13"/>
      <c r="AR1293" s="14"/>
      <c r="AS1293" s="15"/>
    </row>
    <row r="1294" spans="1:45" s="17" customFormat="1" ht="30.95" hidden="1" customHeight="1" x14ac:dyDescent="0.2">
      <c r="A1294" s="37"/>
      <c r="B1294" s="38"/>
      <c r="C1294" s="45"/>
      <c r="D1294" s="31"/>
      <c r="E1294" s="31"/>
      <c r="F1294" s="268"/>
      <c r="G1294" s="269"/>
      <c r="H1294" s="269"/>
      <c r="I1294" s="270"/>
      <c r="J1294" s="210"/>
      <c r="K1294" s="270"/>
      <c r="L1294" s="270"/>
      <c r="M1294" s="39"/>
      <c r="N1294" s="39"/>
      <c r="O1294" s="156"/>
      <c r="P1294" s="47"/>
      <c r="Q1294" s="57"/>
      <c r="R1294" s="338"/>
      <c r="S1294" s="272"/>
      <c r="T1294" s="273"/>
      <c r="U1294" s="40"/>
      <c r="V1294" s="277"/>
      <c r="W1294" s="269"/>
      <c r="X1294" s="269"/>
      <c r="Y1294" s="275"/>
      <c r="Z1294" s="269"/>
      <c r="AA1294" s="57"/>
      <c r="AB1294" s="412" t="s">
        <v>1805</v>
      </c>
      <c r="AC1294" s="33"/>
      <c r="AD1294" s="189"/>
      <c r="AE1294" s="54"/>
      <c r="AF1294" s="55"/>
      <c r="AG1294" s="43"/>
      <c r="AH1294" s="47"/>
      <c r="AI1294" s="30"/>
      <c r="AJ1294" s="30"/>
      <c r="AK1294" s="30"/>
      <c r="AL1294" s="30"/>
      <c r="AM1294" s="13"/>
      <c r="AN1294" s="13"/>
      <c r="AO1294" s="13"/>
      <c r="AP1294" s="13"/>
      <c r="AQ1294" s="13"/>
      <c r="AR1294" s="14"/>
      <c r="AS1294" s="15"/>
    </row>
    <row r="1295" spans="1:45" s="17" customFormat="1" ht="30.95" hidden="1" customHeight="1" x14ac:dyDescent="0.2">
      <c r="A1295" s="37"/>
      <c r="B1295" s="38"/>
      <c r="C1295" s="45"/>
      <c r="D1295" s="31">
        <v>3731375</v>
      </c>
      <c r="E1295" s="31">
        <v>4151521</v>
      </c>
      <c r="F1295" s="268" t="str">
        <f>IF(D1295="","",VLOOKUP(D1295,契約台帳!$A$3:$K$4986,6,FALSE)&amp;VLOOKUP(D1295,契約台帳!$A$3:$K$4986,7,FALSE)&amp;VLOOKUP(D1295,契約台帳!$A$3:$K$4986,8,FALSE)&amp;VLOOKUP(D1295,契約台帳!$A$3:$K$4986,9,FALSE)&amp;VLOOKUP(D1295,契約台帳!$A$3:$K$4986,11,FALSE))</f>
        <v>3SYMLBMSNMBF</v>
      </c>
      <c r="G1295" s="269" t="str">
        <f>IF(D1295="","",VLOOKUP(F1295,製品マスタ!$G$5:$H$5002,2,FALSE))</f>
        <v>S</v>
      </c>
      <c r="H1295" s="269" t="str">
        <f>IF(D1295="","",VLOOKUP(F1295,製品マスタ!$G$5:$K$5002,5,FALSE))</f>
        <v>MSNMBF</v>
      </c>
      <c r="I1295" s="270" t="str">
        <f>IF(D1295="","",VLOOKUP(F1295,製品マスタ!$G$5:$L$5002,6,FALSE))</f>
        <v>ＭＥＴＡＬＵＭＹ　ＳＩＬＶＥＲ　Ｎ－ＭＡＴＴＥ　Ｘ４４Ｍ　Ｂ</v>
      </c>
      <c r="J1295" s="210" t="s">
        <v>447</v>
      </c>
      <c r="K1295" s="270">
        <f>IF(D1295="","",VLOOKUP(D1295,契約台帳!$A$3:$L$4986,12,FALSE))</f>
        <v>50</v>
      </c>
      <c r="L1295" s="270" t="str">
        <f>IF(D1295="","",INDEX(製品マスタ!$Q$5:$Q$5002,MATCH('S4'!F1295&amp;'S4'!K1295,製品マスタ!$AO$5:$AO$5002,0)))</f>
        <v>X44</v>
      </c>
      <c r="M1295" s="39">
        <v>1120</v>
      </c>
      <c r="N1295" s="39">
        <v>8000</v>
      </c>
      <c r="O1295" s="156">
        <v>1</v>
      </c>
      <c r="P1295" s="47">
        <v>1</v>
      </c>
      <c r="Q1295" s="57"/>
      <c r="R1295" s="271">
        <f ca="1">IF(D1295="","",IF(OFFSET(D1295,-1,0)&lt;&gt;"","",IF(OR(J1295="リード付け",J1295="巻足し",J1295="巻返しリード付け"),M1295,VLOOKUP(D1295,契約台帳!$A$3:$N$4986,14,FALSE))))</f>
        <v>1120</v>
      </c>
      <c r="S1295" s="272">
        <f ca="1">IF(D1295="","",IF(OFFSET(D1295,-1,0)&lt;&gt;"","",IF(OR(J1295="リード付け",J1295="巻足し",J1295="巻返しリード付け"),M1295,VLOOKUP(D1295,契約台帳!$A$3:$O$4986,15,FALSE))))</f>
        <v>1120</v>
      </c>
      <c r="T1295" s="273">
        <f ca="1">IF(D1295="","",IF(J1295="リード付け",N1295,IF(J1295="巻返しリード付け",N1295,IF(J1295="巻足し",N1295*P1295+OFFSET(N1295,1,0)*OFFSET(P1295,1,0),VLOOKUP(D1295,契約台帳!$A$3:$P$4986,16,FALSE)))))</f>
        <v>4000</v>
      </c>
      <c r="U1295" s="40">
        <v>2</v>
      </c>
      <c r="V1295" s="274">
        <f ca="1">IF(D1295="","",IF(OFFSET(D1295,-2,0)=D1295,"",VLOOKUP(D1295,契約台帳!$A$3:$R$4986,18,FALSE)))</f>
        <v>2</v>
      </c>
      <c r="W1295" s="269" t="str">
        <f ca="1">IF(D1295="","",IF(T1295="","",IF(OR(J1295="巻足し",J1295="巻返しリード付け"),"",IF(J1295="巻返し",VLOOKUP(F1295&amp;K1295&amp;M1295,製品マスタ!$M$5:$AD$5002,18,FALSE),IF(OR(J1295="リード付け",J1295="巻返しリード付け"),"原反コア",IF(J1295="スリット",VLOOKUP(F1295&amp;K1295&amp;R1295,製品マスタ!$N$5:$AD$5002,17,FALSE),""))))))</f>
        <v>6ｲﾝﾁMｺｱ</v>
      </c>
      <c r="X1295" s="269">
        <f ca="1">IF(D1295="","",IF(T1295="","",IF(J1295="巻足し","",IF(J1295="巻返し",VLOOKUP(F1295&amp;K1295&amp;M1295,製品マスタ!$M$5:$AE$5002,19,FALSE),IF(OR(J1295="リード付け",J1295="巻返しリード付け"),"",IF(J1295="スリット",VLOOKUP(F1295&amp;K1295&amp;R1295,製品マスタ!$N$5:$AE$5002,18,FALSE),""))))))</f>
        <v>1125</v>
      </c>
      <c r="Y1295" s="275">
        <f ca="1">IF(D1295="","",IF(T1295="","",VLOOKUP(D1295,契約台帳!$A$3:$Q$4986,17,FALSE)))</f>
        <v>2</v>
      </c>
      <c r="Z1295" s="269" t="str">
        <f ca="1">IF(D1295="","",IF(T1295="","",VLOOKUP(D1295,契約台帳!$A$3:$E$4986,5,FALSE)))</f>
        <v>リンテック㈱</v>
      </c>
      <c r="AA1295" s="57"/>
      <c r="AB1295" s="207" t="s">
        <v>1083</v>
      </c>
      <c r="AC1295" s="33"/>
      <c r="AD1295" s="189"/>
      <c r="AE1295" s="54" t="str">
        <f>IF(F1295="","",+F1295&amp;K1295)</f>
        <v>3SYMLBMSNMBF50</v>
      </c>
      <c r="AF1295" s="55">
        <f>+M1295*N1295*O1295/1000</f>
        <v>8960</v>
      </c>
      <c r="AG1295" s="43">
        <f>IF(AE1295="","",VLOOKUP(AE1295,原価マスタ!$A$2:$AJ$1693,13,FALSE))</f>
        <v>98.8</v>
      </c>
      <c r="AH1295" s="47">
        <f>IF(AG1295="","",+AF1295*AG1295/100)</f>
        <v>8852.48</v>
      </c>
      <c r="AI1295" s="30"/>
      <c r="AJ1295" s="30"/>
      <c r="AK1295" s="30"/>
      <c r="AL1295" s="30"/>
      <c r="AM1295" s="13"/>
      <c r="AN1295" s="13"/>
      <c r="AO1295" s="13"/>
      <c r="AP1295" s="13"/>
      <c r="AQ1295" s="13"/>
      <c r="AR1295" s="14"/>
      <c r="AS1295" s="15"/>
    </row>
    <row r="1296" spans="1:45" s="17" customFormat="1" ht="30.95" hidden="1" customHeight="1" x14ac:dyDescent="0.2">
      <c r="A1296" s="37"/>
      <c r="B1296" s="38"/>
      <c r="C1296" s="45"/>
      <c r="D1296" s="31"/>
      <c r="E1296" s="31"/>
      <c r="F1296" s="268"/>
      <c r="G1296" s="269"/>
      <c r="H1296" s="269"/>
      <c r="I1296" s="270"/>
      <c r="J1296" s="210"/>
      <c r="K1296" s="270"/>
      <c r="L1296" s="270"/>
      <c r="M1296" s="39"/>
      <c r="N1296" s="39"/>
      <c r="O1296" s="156"/>
      <c r="P1296" s="47"/>
      <c r="Q1296" s="57"/>
      <c r="R1296" s="338"/>
      <c r="S1296" s="272"/>
      <c r="T1296" s="273"/>
      <c r="U1296" s="40"/>
      <c r="V1296" s="277"/>
      <c r="W1296" s="269"/>
      <c r="X1296" s="269"/>
      <c r="Y1296" s="275"/>
      <c r="Z1296" s="269"/>
      <c r="AA1296" s="57"/>
      <c r="AB1296" s="412" t="s">
        <v>1805</v>
      </c>
      <c r="AC1296" s="33"/>
      <c r="AD1296" s="189"/>
      <c r="AE1296" s="54"/>
      <c r="AF1296" s="55"/>
      <c r="AG1296" s="43"/>
      <c r="AH1296" s="47"/>
      <c r="AI1296" s="30"/>
      <c r="AJ1296" s="30"/>
      <c r="AK1296" s="30"/>
      <c r="AL1296" s="30"/>
      <c r="AM1296" s="13"/>
      <c r="AN1296" s="13"/>
      <c r="AO1296" s="13"/>
      <c r="AP1296" s="13"/>
      <c r="AQ1296" s="13"/>
      <c r="AR1296" s="14"/>
      <c r="AS1296" s="15"/>
    </row>
    <row r="1297" spans="1:45" s="17" customFormat="1" ht="30.95" hidden="1" customHeight="1" x14ac:dyDescent="0.2">
      <c r="A1297" s="37"/>
      <c r="B1297" s="38"/>
      <c r="C1297" s="45"/>
      <c r="D1297" s="31">
        <v>3731377</v>
      </c>
      <c r="E1297" s="31">
        <v>4151522</v>
      </c>
      <c r="F1297" s="268" t="str">
        <f>IF(D1297="","",VLOOKUP(D1297,契約台帳!$A$3:$K$4986,6,FALSE)&amp;VLOOKUP(D1297,契約台帳!$A$3:$K$4986,7,FALSE)&amp;VLOOKUP(D1297,契約台帳!$A$3:$K$4986,8,FALSE)&amp;VLOOKUP(D1297,契約台帳!$A$3:$K$4986,9,FALSE)&amp;VLOOKUP(D1297,契約台帳!$A$3:$K$4986,11,FALSE))</f>
        <v>3SYMLBMSNMBF</v>
      </c>
      <c r="G1297" s="269" t="str">
        <f>IF(D1297="","",VLOOKUP(F1297,製品マスタ!$G$5:$H$5002,2,FALSE))</f>
        <v>S</v>
      </c>
      <c r="H1297" s="269" t="str">
        <f>IF(D1297="","",VLOOKUP(F1297,製品マスタ!$G$5:$K$5002,5,FALSE))</f>
        <v>MSNMBF</v>
      </c>
      <c r="I1297" s="270" t="str">
        <f>IF(D1297="","",VLOOKUP(F1297,製品マスタ!$G$5:$L$5002,6,FALSE))</f>
        <v>ＭＥＴＡＬＵＭＹ　ＳＩＬＶＥＲ　Ｎ－ＭＡＴＴＥ　Ｘ４４Ｍ　Ｂ</v>
      </c>
      <c r="J1297" s="210" t="s">
        <v>447</v>
      </c>
      <c r="K1297" s="270">
        <f>IF(D1297="","",VLOOKUP(D1297,契約台帳!$A$3:$L$4986,12,FALSE))</f>
        <v>50</v>
      </c>
      <c r="L1297" s="270" t="str">
        <f>IF(D1297="","",INDEX(製品マスタ!$Q$5:$Q$5002,MATCH('S4'!F1297&amp;'S4'!K1297,製品マスタ!$AO$5:$AO$5002,0)))</f>
        <v>X44</v>
      </c>
      <c r="M1297" s="39">
        <v>1120</v>
      </c>
      <c r="N1297" s="39">
        <v>8000</v>
      </c>
      <c r="O1297" s="156">
        <v>2</v>
      </c>
      <c r="P1297" s="47">
        <v>2</v>
      </c>
      <c r="Q1297" s="57"/>
      <c r="R1297" s="271">
        <f ca="1">IF(D1297="","",IF(OFFSET(D1297,-1,0)&lt;&gt;"","",IF(OR(J1297="リード付け",J1297="巻足し",J1297="巻返しリード付け"),M1297,VLOOKUP(D1297,契約台帳!$A$3:$N$4986,14,FALSE))))</f>
        <v>1120</v>
      </c>
      <c r="S1297" s="272">
        <f ca="1">IF(D1297="","",IF(OFFSET(D1297,-1,0)&lt;&gt;"","",IF(OR(J1297="リード付け",J1297="巻足し",J1297="巻返しリード付け"),M1297,VLOOKUP(D1297,契約台帳!$A$3:$O$4986,15,FALSE))))</f>
        <v>1120</v>
      </c>
      <c r="T1297" s="273">
        <f ca="1">IF(D1297="","",IF(J1297="リード付け",N1297,IF(J1297="巻返しリード付け",N1297,IF(J1297="巻足し",N1297*P1297+OFFSET(N1297,1,0)*OFFSET(P1297,1,0),VLOOKUP(D1297,契約台帳!$A$3:$P$4986,16,FALSE)))))</f>
        <v>4000</v>
      </c>
      <c r="U1297" s="40">
        <v>4</v>
      </c>
      <c r="V1297" s="274">
        <f ca="1">IF(D1297="","",IF(OFFSET(D1297,-2,0)=D1297,"",VLOOKUP(D1297,契約台帳!$A$3:$R$4986,18,FALSE)))</f>
        <v>4</v>
      </c>
      <c r="W1297" s="269" t="str">
        <f ca="1">IF(D1297="","",IF(T1297="","",IF(OR(J1297="巻足し",J1297="巻返しリード付け"),"",IF(J1297="巻返し",VLOOKUP(F1297&amp;K1297&amp;M1297,製品マスタ!$M$5:$AD$5002,18,FALSE),IF(OR(J1297="リード付け",J1297="巻返しリード付け"),"原反コア",IF(J1297="スリット",VLOOKUP(F1297&amp;K1297&amp;R1297,製品マスタ!$N$5:$AD$5002,17,FALSE),""))))))</f>
        <v>6ｲﾝﾁMｺｱ</v>
      </c>
      <c r="X1297" s="269">
        <f ca="1">IF(D1297="","",IF(T1297="","",IF(J1297="巻足し","",IF(J1297="巻返し",VLOOKUP(F1297&amp;K1297&amp;M1297,製品マスタ!$M$5:$AE$5002,19,FALSE),IF(OR(J1297="リード付け",J1297="巻返しリード付け"),"",IF(J1297="スリット",VLOOKUP(F1297&amp;K1297&amp;R1297,製品マスタ!$N$5:$AE$5002,18,FALSE),""))))))</f>
        <v>1125</v>
      </c>
      <c r="Y1297" s="275">
        <f ca="1">IF(D1297="","",IF(T1297="","",VLOOKUP(D1297,契約台帳!$A$3:$Q$4986,17,FALSE)))</f>
        <v>2</v>
      </c>
      <c r="Z1297" s="269" t="str">
        <f ca="1">IF(D1297="","",IF(T1297="","",VLOOKUP(D1297,契約台帳!$A$3:$E$4986,5,FALSE)))</f>
        <v>リンテック㈱</v>
      </c>
      <c r="AA1297" s="57"/>
      <c r="AB1297" s="207" t="s">
        <v>1083</v>
      </c>
      <c r="AC1297" s="33"/>
      <c r="AD1297" s="189"/>
      <c r="AE1297" s="54" t="str">
        <f>IF(F1297="","",+F1297&amp;K1297)</f>
        <v>3SYMLBMSNMBF50</v>
      </c>
      <c r="AF1297" s="55">
        <f>+M1297*N1297*O1297/1000</f>
        <v>17920</v>
      </c>
      <c r="AG1297" s="43">
        <f>IF(AE1297="","",VLOOKUP(AE1297,原価マスタ!$A$2:$AJ$1693,13,FALSE))</f>
        <v>98.8</v>
      </c>
      <c r="AH1297" s="47">
        <f>IF(AG1297="","",+AF1297*AG1297/100)</f>
        <v>17704.96</v>
      </c>
      <c r="AI1297" s="30"/>
      <c r="AJ1297" s="30"/>
      <c r="AK1297" s="30"/>
      <c r="AL1297" s="30"/>
      <c r="AM1297" s="13"/>
      <c r="AN1297" s="13"/>
      <c r="AO1297" s="13"/>
      <c r="AP1297" s="13"/>
      <c r="AQ1297" s="13"/>
      <c r="AR1297" s="14"/>
      <c r="AS1297" s="15"/>
    </row>
    <row r="1298" spans="1:45" s="17" customFormat="1" ht="30.95" hidden="1" customHeight="1" x14ac:dyDescent="0.2">
      <c r="A1298" s="37"/>
      <c r="B1298" s="38"/>
      <c r="C1298" s="45"/>
      <c r="D1298" s="31"/>
      <c r="E1298" s="31"/>
      <c r="F1298" s="268"/>
      <c r="G1298" s="269"/>
      <c r="H1298" s="269"/>
      <c r="I1298" s="270"/>
      <c r="J1298" s="210"/>
      <c r="K1298" s="270"/>
      <c r="L1298" s="270"/>
      <c r="M1298" s="39"/>
      <c r="N1298" s="39"/>
      <c r="O1298" s="156"/>
      <c r="P1298" s="47"/>
      <c r="Q1298" s="57"/>
      <c r="R1298" s="338"/>
      <c r="S1298" s="272"/>
      <c r="T1298" s="273"/>
      <c r="U1298" s="40"/>
      <c r="V1298" s="277"/>
      <c r="W1298" s="269"/>
      <c r="X1298" s="269"/>
      <c r="Y1298" s="275"/>
      <c r="Z1298" s="269"/>
      <c r="AA1298" s="57"/>
      <c r="AB1298" s="412" t="s">
        <v>1805</v>
      </c>
      <c r="AC1298" s="33"/>
      <c r="AD1298" s="189"/>
      <c r="AE1298" s="54"/>
      <c r="AF1298" s="55"/>
      <c r="AG1298" s="43"/>
      <c r="AH1298" s="47"/>
      <c r="AI1298" s="30"/>
      <c r="AJ1298" s="30"/>
      <c r="AK1298" s="30"/>
      <c r="AL1298" s="30"/>
      <c r="AM1298" s="13"/>
      <c r="AN1298" s="13"/>
      <c r="AO1298" s="13"/>
      <c r="AP1298" s="13"/>
      <c r="AQ1298" s="13"/>
      <c r="AR1298" s="14"/>
      <c r="AS1298" s="15"/>
    </row>
    <row r="1299" spans="1:45" s="17" customFormat="1" ht="30.95" hidden="1" customHeight="1" x14ac:dyDescent="0.2">
      <c r="A1299" s="37" t="s">
        <v>1743</v>
      </c>
      <c r="B1299" s="38" t="s">
        <v>1738</v>
      </c>
      <c r="C1299" s="45"/>
      <c r="D1299" s="31"/>
      <c r="E1299" s="31"/>
      <c r="F1299" s="268"/>
      <c r="G1299" s="269"/>
      <c r="H1299" s="269"/>
      <c r="I1299" s="270"/>
      <c r="J1299" s="210" t="s">
        <v>1740</v>
      </c>
      <c r="K1299" s="270"/>
      <c r="L1299" s="270"/>
      <c r="M1299" s="39"/>
      <c r="N1299" s="39"/>
      <c r="O1299" s="156"/>
      <c r="P1299" s="47"/>
      <c r="Q1299" s="57"/>
      <c r="R1299" s="338"/>
      <c r="S1299" s="272"/>
      <c r="T1299" s="273"/>
      <c r="U1299" s="40"/>
      <c r="V1299" s="277"/>
      <c r="W1299" s="269"/>
      <c r="X1299" s="269"/>
      <c r="Y1299" s="275"/>
      <c r="Z1299" s="269"/>
      <c r="AA1299" s="57"/>
      <c r="AB1299" s="207"/>
      <c r="AC1299" s="33"/>
      <c r="AD1299" s="189"/>
      <c r="AE1299" s="54"/>
      <c r="AF1299" s="55"/>
      <c r="AG1299" s="43"/>
      <c r="AH1299" s="47"/>
      <c r="AI1299" s="30"/>
      <c r="AJ1299" s="30"/>
      <c r="AK1299" s="30"/>
      <c r="AL1299" s="30"/>
      <c r="AM1299" s="13"/>
      <c r="AN1299" s="13"/>
      <c r="AO1299" s="13"/>
      <c r="AP1299" s="13"/>
      <c r="AQ1299" s="13"/>
      <c r="AR1299" s="14"/>
      <c r="AS1299" s="15"/>
    </row>
    <row r="1300" spans="1:45" s="17" customFormat="1" ht="30.95" hidden="1" customHeight="1" x14ac:dyDescent="0.2">
      <c r="A1300" s="37"/>
      <c r="B1300" s="38"/>
      <c r="C1300" s="45"/>
      <c r="D1300" s="31"/>
      <c r="E1300" s="31"/>
      <c r="F1300" s="268"/>
      <c r="G1300" s="269"/>
      <c r="H1300" s="269"/>
      <c r="I1300" s="270"/>
      <c r="J1300" s="210"/>
      <c r="K1300" s="270"/>
      <c r="L1300" s="270"/>
      <c r="M1300" s="39"/>
      <c r="N1300" s="39"/>
      <c r="O1300" s="156"/>
      <c r="P1300" s="47"/>
      <c r="Q1300" s="57"/>
      <c r="R1300" s="338"/>
      <c r="S1300" s="272"/>
      <c r="T1300" s="273"/>
      <c r="U1300" s="40"/>
      <c r="V1300" s="277"/>
      <c r="W1300" s="269"/>
      <c r="X1300" s="269"/>
      <c r="Y1300" s="275"/>
      <c r="Z1300" s="269"/>
      <c r="AA1300" s="57"/>
      <c r="AB1300" s="207"/>
      <c r="AC1300" s="33"/>
      <c r="AD1300" s="189"/>
      <c r="AE1300" s="54"/>
      <c r="AF1300" s="55"/>
      <c r="AG1300" s="43"/>
      <c r="AH1300" s="47"/>
      <c r="AI1300" s="30"/>
      <c r="AJ1300" s="30"/>
      <c r="AK1300" s="30"/>
      <c r="AL1300" s="30"/>
      <c r="AM1300" s="13"/>
      <c r="AN1300" s="13"/>
      <c r="AO1300" s="13"/>
      <c r="AP1300" s="13"/>
      <c r="AQ1300" s="13"/>
      <c r="AR1300" s="14"/>
      <c r="AS1300" s="15"/>
    </row>
    <row r="1301" spans="1:45" s="17" customFormat="1" ht="30.95" hidden="1" customHeight="1" x14ac:dyDescent="0.2">
      <c r="A1301" s="37" t="s">
        <v>1744</v>
      </c>
      <c r="B1301" s="342" t="s">
        <v>1739</v>
      </c>
      <c r="C1301" s="45"/>
      <c r="D1301" s="31"/>
      <c r="E1301" s="31"/>
      <c r="F1301" s="268"/>
      <c r="G1301" s="269"/>
      <c r="H1301" s="269"/>
      <c r="I1301" s="270"/>
      <c r="J1301" s="210" t="s">
        <v>1740</v>
      </c>
      <c r="K1301" s="270"/>
      <c r="L1301" s="270"/>
      <c r="M1301" s="39"/>
      <c r="N1301" s="39"/>
      <c r="O1301" s="156"/>
      <c r="P1301" s="47"/>
      <c r="Q1301" s="57"/>
      <c r="R1301" s="338"/>
      <c r="S1301" s="272"/>
      <c r="T1301" s="273"/>
      <c r="U1301" s="40"/>
      <c r="V1301" s="277"/>
      <c r="W1301" s="269"/>
      <c r="X1301" s="269"/>
      <c r="Y1301" s="275"/>
      <c r="Z1301" s="269"/>
      <c r="AA1301" s="57"/>
      <c r="AB1301" s="207"/>
      <c r="AC1301" s="33"/>
      <c r="AD1301" s="189"/>
      <c r="AE1301" s="54"/>
      <c r="AF1301" s="55"/>
      <c r="AG1301" s="43"/>
      <c r="AH1301" s="47"/>
      <c r="AI1301" s="30"/>
      <c r="AJ1301" s="30"/>
      <c r="AK1301" s="30"/>
      <c r="AL1301" s="30"/>
      <c r="AM1301" s="13"/>
      <c r="AN1301" s="13"/>
      <c r="AO1301" s="13"/>
      <c r="AP1301" s="13"/>
      <c r="AQ1301" s="13"/>
      <c r="AR1301" s="14"/>
      <c r="AS1301" s="15"/>
    </row>
    <row r="1302" spans="1:45" s="17" customFormat="1" ht="30.95" hidden="1" customHeight="1" x14ac:dyDescent="0.2">
      <c r="A1302" s="37"/>
      <c r="B1302" s="38"/>
      <c r="C1302" s="45"/>
      <c r="D1302" s="31"/>
      <c r="E1302" s="31"/>
      <c r="F1302" s="268"/>
      <c r="G1302" s="269"/>
      <c r="H1302" s="269"/>
      <c r="I1302" s="270"/>
      <c r="J1302" s="210"/>
      <c r="K1302" s="270"/>
      <c r="L1302" s="270"/>
      <c r="M1302" s="39"/>
      <c r="N1302" s="39"/>
      <c r="O1302" s="156"/>
      <c r="P1302" s="47"/>
      <c r="Q1302" s="57"/>
      <c r="R1302" s="338"/>
      <c r="S1302" s="272"/>
      <c r="T1302" s="273"/>
      <c r="U1302" s="40"/>
      <c r="V1302" s="277"/>
      <c r="W1302" s="269"/>
      <c r="X1302" s="269"/>
      <c r="Y1302" s="275"/>
      <c r="Z1302" s="269"/>
      <c r="AA1302" s="57"/>
      <c r="AB1302" s="207"/>
      <c r="AC1302" s="33"/>
      <c r="AD1302" s="189"/>
      <c r="AE1302" s="54"/>
      <c r="AF1302" s="55"/>
      <c r="AG1302" s="43"/>
      <c r="AH1302" s="47"/>
      <c r="AI1302" s="30"/>
      <c r="AJ1302" s="30"/>
      <c r="AK1302" s="30"/>
      <c r="AL1302" s="30"/>
      <c r="AM1302" s="13"/>
      <c r="AN1302" s="13"/>
      <c r="AO1302" s="13"/>
      <c r="AP1302" s="13"/>
      <c r="AQ1302" s="13"/>
      <c r="AR1302" s="14"/>
      <c r="AS1302" s="15"/>
    </row>
    <row r="1303" spans="1:45" s="17" customFormat="1" ht="30.95" hidden="1" customHeight="1" x14ac:dyDescent="0.2">
      <c r="A1303" s="37" t="s">
        <v>1781</v>
      </c>
      <c r="B1303" s="38" t="s">
        <v>1782</v>
      </c>
      <c r="C1303" s="45"/>
      <c r="D1303" s="31"/>
      <c r="E1303" s="31"/>
      <c r="F1303" s="268"/>
      <c r="G1303" s="269"/>
      <c r="H1303" s="269"/>
      <c r="I1303" s="270"/>
      <c r="J1303" s="210"/>
      <c r="K1303" s="270"/>
      <c r="L1303" s="270"/>
      <c r="M1303" s="39"/>
      <c r="N1303" s="39"/>
      <c r="O1303" s="156"/>
      <c r="P1303" s="47"/>
      <c r="Q1303" s="57"/>
      <c r="R1303" s="338"/>
      <c r="S1303" s="272"/>
      <c r="T1303" s="273"/>
      <c r="U1303" s="40"/>
      <c r="V1303" s="277"/>
      <c r="W1303" s="269"/>
      <c r="X1303" s="269"/>
      <c r="Y1303" s="275"/>
      <c r="Z1303" s="269"/>
      <c r="AA1303" s="57"/>
      <c r="AB1303" s="207"/>
      <c r="AC1303" s="33"/>
      <c r="AD1303" s="189"/>
      <c r="AE1303" s="54"/>
      <c r="AF1303" s="55"/>
      <c r="AG1303" s="43"/>
      <c r="AH1303" s="47"/>
      <c r="AI1303" s="30"/>
      <c r="AJ1303" s="30"/>
      <c r="AK1303" s="30"/>
      <c r="AL1303" s="30"/>
      <c r="AM1303" s="13"/>
      <c r="AN1303" s="13"/>
      <c r="AO1303" s="13"/>
      <c r="AP1303" s="13"/>
      <c r="AQ1303" s="13"/>
      <c r="AR1303" s="14"/>
      <c r="AS1303" s="15"/>
    </row>
    <row r="1304" spans="1:45" s="17" customFormat="1" ht="30.95" hidden="1" customHeight="1" x14ac:dyDescent="0.2">
      <c r="A1304" s="37"/>
      <c r="B1304" s="38"/>
      <c r="C1304" s="45"/>
      <c r="D1304" s="31"/>
      <c r="E1304" s="31"/>
      <c r="F1304" s="268"/>
      <c r="G1304" s="269"/>
      <c r="H1304" s="269"/>
      <c r="I1304" s="270"/>
      <c r="J1304" s="210"/>
      <c r="K1304" s="270"/>
      <c r="L1304" s="270"/>
      <c r="M1304" s="39"/>
      <c r="N1304" s="39"/>
      <c r="O1304" s="156"/>
      <c r="P1304" s="47"/>
      <c r="Q1304" s="57"/>
      <c r="R1304" s="338"/>
      <c r="S1304" s="272"/>
      <c r="T1304" s="273"/>
      <c r="U1304" s="40"/>
      <c r="V1304" s="277"/>
      <c r="W1304" s="269"/>
      <c r="X1304" s="269"/>
      <c r="Y1304" s="275"/>
      <c r="Z1304" s="269"/>
      <c r="AA1304" s="57"/>
      <c r="AB1304" s="207"/>
      <c r="AC1304" s="33"/>
      <c r="AD1304" s="189"/>
      <c r="AE1304" s="54"/>
      <c r="AF1304" s="55"/>
      <c r="AG1304" s="43"/>
      <c r="AH1304" s="47"/>
      <c r="AI1304" s="30"/>
      <c r="AJ1304" s="30"/>
      <c r="AK1304" s="30"/>
      <c r="AL1304" s="30"/>
      <c r="AM1304" s="13"/>
      <c r="AN1304" s="13"/>
      <c r="AO1304" s="13"/>
      <c r="AP1304" s="13"/>
      <c r="AQ1304" s="13"/>
      <c r="AR1304" s="14"/>
      <c r="AS1304" s="15"/>
    </row>
    <row r="1305" spans="1:45" s="17" customFormat="1" ht="30.95" hidden="1" customHeight="1" x14ac:dyDescent="0.2">
      <c r="A1305" s="37" t="s">
        <v>1783</v>
      </c>
      <c r="B1305" s="38" t="s">
        <v>1784</v>
      </c>
      <c r="C1305" s="45"/>
      <c r="D1305" s="31">
        <v>3731344</v>
      </c>
      <c r="E1305" s="31">
        <v>4141060</v>
      </c>
      <c r="F1305" s="268" t="str">
        <f>IF(D1305="","",VLOOKUP(D1305,契約台帳!$A$3:$K$4986,6,FALSE)&amp;VLOOKUP(D1305,契約台帳!$A$3:$K$4986,7,FALSE)&amp;VLOOKUP(D1305,契約台帳!$A$3:$K$4986,8,FALSE)&amp;VLOOKUP(D1305,契約台帳!$A$3:$K$4986,9,FALSE)&amp;VLOOKUP(D1305,契約台帳!$A$3:$K$4986,11,FALSE))</f>
        <v>3SNCLBLEYK</v>
      </c>
      <c r="G1305" s="269" t="str">
        <f>IF(D1305="","",VLOOKUP(F1305,製品マスタ!$G$5:$H$5002,2,FALSE))</f>
        <v>S</v>
      </c>
      <c r="H1305" s="269" t="str">
        <f>IF(D1305="","",VLOOKUP(F1305,製品マスタ!$G$5:$K$5002,5,FALSE))</f>
        <v>LEYK</v>
      </c>
      <c r="I1305" s="270" t="str">
        <f>IF(D1305="","",VLOOKUP(F1305,製品マスタ!$G$5:$L$5002,6,FALSE))</f>
        <v>ルミラー　ＥＹＫ</v>
      </c>
      <c r="J1305" s="210" t="s">
        <v>447</v>
      </c>
      <c r="K1305" s="270">
        <f>IF(D1305="","",VLOOKUP(D1305,契約台帳!$A$3:$L$4986,12,FALSE))</f>
        <v>50</v>
      </c>
      <c r="L1305" s="270" t="str">
        <f>IF(D1305="","",INDEX(製品マスタ!$Q$5:$Q$5002,MATCH('S4'!F1305&amp;'S4'!K1305,製品マスタ!$AO$5:$AO$5002,0)))</f>
        <v>T62M</v>
      </c>
      <c r="M1305" s="39">
        <v>1125</v>
      </c>
      <c r="N1305" s="39">
        <v>6100</v>
      </c>
      <c r="O1305" s="156">
        <v>7</v>
      </c>
      <c r="P1305" s="47">
        <v>8</v>
      </c>
      <c r="Q1305" s="57"/>
      <c r="R1305" s="271">
        <f ca="1">IF(D1305="","",IF(OFFSET(D1305,-1,0)&lt;&gt;"","",IF(OR(J1305="リード付け",J1305="巻足し",J1305="巻返しリード付け"),M1305,VLOOKUP(D1305,契約台帳!$A$3:$N$4986,14,FALSE))))</f>
        <v>1120</v>
      </c>
      <c r="S1305" s="272">
        <f ca="1">IF(D1305="","",IF(OFFSET(D1305,-1,0)&lt;&gt;"","",IF(OR(J1305="リード付け",J1305="巻足し",J1305="巻返しリード付け"),M1305,VLOOKUP(D1305,契約台帳!$A$3:$O$4986,15,FALSE))))</f>
        <v>1120</v>
      </c>
      <c r="T1305" s="273">
        <f ca="1">IF(D1305="","",IF(J1305="リード付け",N1305,IF(J1305="巻返しリード付け",N1305,IF(J1305="巻足し",N1305*P1305+OFFSET(N1305,1,0)*OFFSET(P1305,1,0),VLOOKUP(D1305,契約台帳!$A$3:$P$4986,16,FALSE)))))</f>
        <v>6000</v>
      </c>
      <c r="U1305" s="40">
        <v>7</v>
      </c>
      <c r="V1305" s="274">
        <f ca="1">IF(D1305="","",IF(OFFSET(D1305,-2,0)=D1305,"",VLOOKUP(D1305,契約台帳!$A$3:$R$4986,18,FALSE)))</f>
        <v>8</v>
      </c>
      <c r="W1305" s="269" t="str">
        <f ca="1">IF(D1305="","",IF(T1305="","",IF(OR(J1305="巻足し",J1305="巻返しリード付け"),"",IF(J1305="巻返し",VLOOKUP(F1305&amp;K1305&amp;M1305,製品マスタ!$M$5:$AD$5002,18,FALSE),IF(OR(J1305="リード付け",J1305="巻返しリード付け"),"原反コア",IF(J1305="スリット",VLOOKUP(F1305&amp;K1305&amp;R1305,製品マスタ!$N$5:$AD$5002,17,FALSE),""))))))</f>
        <v>6ｲﾝﾁMｺｱ</v>
      </c>
      <c r="X1305" s="269">
        <f ca="1">IF(D1305="","",IF(T1305="","",IF(J1305="巻足し","",IF(J1305="巻返し",VLOOKUP(F1305&amp;K1305&amp;M1305,製品マスタ!$M$5:$AE$5002,19,FALSE),IF(OR(J1305="リード付け",J1305="巻返しリード付け"),"",IF(J1305="スリット",VLOOKUP(F1305&amp;K1305&amp;R1305,製品マスタ!$N$5:$AE$5002,18,FALSE),""))))))</f>
        <v>1140</v>
      </c>
      <c r="Y1305" s="275">
        <f ca="1">IF(D1305="","",IF(T1305="","",VLOOKUP(D1305,契約台帳!$A$3:$Q$4986,17,FALSE)))</f>
        <v>2</v>
      </c>
      <c r="Z1305" s="269" t="str">
        <f ca="1">IF(D1305="","",IF(T1305="","",VLOOKUP(D1305,契約台帳!$A$3:$E$4986,5,FALSE)))</f>
        <v>新タック化成㈱</v>
      </c>
      <c r="AA1305" s="57"/>
      <c r="AB1305" s="207"/>
      <c r="AC1305" s="33"/>
      <c r="AD1305" s="189"/>
      <c r="AE1305" s="54"/>
      <c r="AF1305" s="55"/>
      <c r="AG1305" s="43"/>
      <c r="AH1305" s="47"/>
      <c r="AI1305" s="30"/>
      <c r="AJ1305" s="30"/>
      <c r="AK1305" s="30"/>
      <c r="AL1305" s="30"/>
      <c r="AM1305" s="13"/>
      <c r="AN1305" s="13"/>
      <c r="AO1305" s="13"/>
      <c r="AP1305" s="13"/>
      <c r="AQ1305" s="13"/>
      <c r="AR1305" s="14"/>
      <c r="AS1305" s="15"/>
    </row>
    <row r="1306" spans="1:45" s="17" customFormat="1" ht="30.95" hidden="1" customHeight="1" x14ac:dyDescent="0.2">
      <c r="A1306" s="37"/>
      <c r="B1306" s="38"/>
      <c r="C1306" s="45"/>
      <c r="D1306" s="31"/>
      <c r="E1306" s="31"/>
      <c r="F1306" s="268"/>
      <c r="G1306" s="269"/>
      <c r="H1306" s="269"/>
      <c r="I1306" s="270"/>
      <c r="J1306" s="210"/>
      <c r="K1306" s="270"/>
      <c r="L1306" s="270"/>
      <c r="M1306" s="39"/>
      <c r="N1306" s="39"/>
      <c r="O1306" s="156"/>
      <c r="P1306" s="47"/>
      <c r="Q1306" s="57"/>
      <c r="R1306" s="338"/>
      <c r="S1306" s="272"/>
      <c r="T1306" s="273"/>
      <c r="U1306" s="40"/>
      <c r="V1306" s="277"/>
      <c r="W1306" s="269"/>
      <c r="X1306" s="269"/>
      <c r="Y1306" s="275"/>
      <c r="Z1306" s="269"/>
      <c r="AA1306" s="57"/>
      <c r="AB1306" s="207"/>
      <c r="AC1306" s="33"/>
      <c r="AD1306" s="189"/>
      <c r="AE1306" s="54"/>
      <c r="AF1306" s="55"/>
      <c r="AG1306" s="43"/>
      <c r="AH1306" s="47"/>
      <c r="AI1306" s="30"/>
      <c r="AJ1306" s="30"/>
      <c r="AK1306" s="30"/>
      <c r="AL1306" s="30"/>
      <c r="AM1306" s="13"/>
      <c r="AN1306" s="13"/>
      <c r="AO1306" s="13"/>
      <c r="AP1306" s="13"/>
      <c r="AQ1306" s="13"/>
      <c r="AR1306" s="14"/>
      <c r="AS1306" s="15"/>
    </row>
    <row r="1307" spans="1:45" s="17" customFormat="1" ht="30.95" hidden="1" customHeight="1" x14ac:dyDescent="0.2">
      <c r="A1307" s="37"/>
      <c r="B1307" s="38"/>
      <c r="C1307" s="45"/>
      <c r="D1307" s="31">
        <v>3731345</v>
      </c>
      <c r="E1307" s="31">
        <v>4141049</v>
      </c>
      <c r="F1307" s="268" t="str">
        <f>IF(D1307="","",VLOOKUP(D1307,契約台帳!$A$3:$K$4986,6,FALSE)&amp;VLOOKUP(D1307,契約台帳!$A$3:$K$4986,7,FALSE)&amp;VLOOKUP(D1307,契約台帳!$A$3:$K$4986,8,FALSE)&amp;VLOOKUP(D1307,契約台帳!$A$3:$K$4986,9,FALSE)&amp;VLOOKUP(D1307,契約台帳!$A$3:$K$4986,11,FALSE))</f>
        <v>3SNMCLBEYK</v>
      </c>
      <c r="G1307" s="269" t="str">
        <f>IF(D1307="","",VLOOKUP(F1307,製品マスタ!$G$5:$H$5002,2,FALSE))</f>
        <v>S</v>
      </c>
      <c r="H1307" s="269" t="str">
        <f>IF(D1307="","",VLOOKUP(F1307,製品マスタ!$G$5:$K$5002,5,FALSE))</f>
        <v>EYK</v>
      </c>
      <c r="I1307" s="270" t="str">
        <f>IF(D1307="","",VLOOKUP(F1307,製品マスタ!$G$5:$L$5002,6,FALSE))</f>
        <v>メタルミー　ＥＹＫ</v>
      </c>
      <c r="J1307" s="210" t="s">
        <v>447</v>
      </c>
      <c r="K1307" s="270">
        <f>IF(D1307="","",VLOOKUP(D1307,契約台帳!$A$3:$L$4986,12,FALSE))</f>
        <v>50</v>
      </c>
      <c r="L1307" s="270" t="str">
        <f>IF(D1307="","",INDEX(製品マスタ!$Q$5:$Q$5002,MATCH('S4'!F1307&amp;'S4'!K1307,製品マスタ!$AO$5:$AO$5002,0)))</f>
        <v>T62M</v>
      </c>
      <c r="M1307" s="39">
        <v>1125</v>
      </c>
      <c r="N1307" s="39">
        <v>12200</v>
      </c>
      <c r="O1307" s="156">
        <v>2</v>
      </c>
      <c r="P1307" s="47">
        <v>2</v>
      </c>
      <c r="Q1307" s="57"/>
      <c r="R1307" s="271">
        <f ca="1">IF(D1307="","",IF(OFFSET(D1307,-1,0)&lt;&gt;"","",IF(OR(J1307="リード付け",J1307="巻足し",J1307="巻返しリード付け"),M1307,VLOOKUP(D1307,契約台帳!$A$3:$N$4986,14,FALSE))))</f>
        <v>1120</v>
      </c>
      <c r="S1307" s="272">
        <f ca="1">IF(D1307="","",IF(OFFSET(D1307,-1,0)&lt;&gt;"","",IF(OR(J1307="リード付け",J1307="巻足し",J1307="巻返しリード付け"),M1307,VLOOKUP(D1307,契約台帳!$A$3:$O$4986,15,FALSE))))</f>
        <v>1120</v>
      </c>
      <c r="T1307" s="273">
        <f ca="1">IF(D1307="","",IF(J1307="リード付け",N1307,IF(J1307="巻返しリード付け",N1307,IF(J1307="巻足し",N1307*P1307+OFFSET(N1307,1,0)*OFFSET(P1307,1,0),VLOOKUP(D1307,契約台帳!$A$3:$P$4986,16,FALSE)))))</f>
        <v>6000</v>
      </c>
      <c r="U1307" s="40">
        <v>4</v>
      </c>
      <c r="V1307" s="274">
        <f ca="1">IF(D1307="","",IF(OFFSET(D1307,-2,0)=D1307,"",VLOOKUP(D1307,契約台帳!$A$3:$R$4986,18,FALSE)))</f>
        <v>4</v>
      </c>
      <c r="W1307" s="269" t="str">
        <f ca="1">IF(D1307="","",IF(T1307="","",IF(OR(J1307="巻足し",J1307="巻返しリード付け"),"",IF(J1307="巻返し",VLOOKUP(F1307&amp;K1307&amp;M1307,製品マスタ!$M$5:$AD$5002,18,FALSE),IF(OR(J1307="リード付け",J1307="巻返しリード付け"),"原反コア",IF(J1307="スリット",VLOOKUP(F1307&amp;K1307&amp;R1307,製品マスタ!$N$5:$AD$5002,17,FALSE),""))))))</f>
        <v>6ｲﾝﾁMｺｱ</v>
      </c>
      <c r="X1307" s="269">
        <f ca="1">IF(D1307="","",IF(T1307="","",IF(J1307="巻足し","",IF(J1307="巻返し",VLOOKUP(F1307&amp;K1307&amp;M1307,製品マスタ!$M$5:$AE$5002,19,FALSE),IF(OR(J1307="リード付け",J1307="巻返しリード付け"),"",IF(J1307="スリット",VLOOKUP(F1307&amp;K1307&amp;R1307,製品マスタ!$N$5:$AE$5002,18,FALSE),""))))))</f>
        <v>1140</v>
      </c>
      <c r="Y1307" s="275">
        <f ca="1">IF(D1307="","",IF(T1307="","",VLOOKUP(D1307,契約台帳!$A$3:$Q$4986,17,FALSE)))</f>
        <v>2</v>
      </c>
      <c r="Z1307" s="269" t="str">
        <f ca="1">IF(D1307="","",IF(T1307="","",VLOOKUP(D1307,契約台帳!$A$3:$E$4986,5,FALSE)))</f>
        <v>新タック化成㈱</v>
      </c>
      <c r="AA1307" s="57"/>
      <c r="AB1307" s="207"/>
      <c r="AC1307" s="33"/>
      <c r="AD1307" s="189"/>
      <c r="AE1307" s="54"/>
      <c r="AF1307" s="55"/>
      <c r="AG1307" s="43"/>
      <c r="AH1307" s="47"/>
      <c r="AI1307" s="30"/>
      <c r="AJ1307" s="30"/>
      <c r="AK1307" s="30"/>
      <c r="AL1307" s="30"/>
      <c r="AM1307" s="13"/>
      <c r="AN1307" s="13"/>
      <c r="AO1307" s="13"/>
      <c r="AP1307" s="13"/>
      <c r="AQ1307" s="13"/>
      <c r="AR1307" s="14"/>
      <c r="AS1307" s="15"/>
    </row>
    <row r="1308" spans="1:45" s="17" customFormat="1" ht="30.95" hidden="1" customHeight="1" x14ac:dyDescent="0.2">
      <c r="A1308" s="37"/>
      <c r="B1308" s="38"/>
      <c r="C1308" s="45"/>
      <c r="D1308" s="31"/>
      <c r="E1308" s="31"/>
      <c r="F1308" s="268"/>
      <c r="G1308" s="269"/>
      <c r="H1308" s="269"/>
      <c r="I1308" s="270"/>
      <c r="J1308" s="210"/>
      <c r="K1308" s="270"/>
      <c r="L1308" s="270"/>
      <c r="M1308" s="39"/>
      <c r="N1308" s="39"/>
      <c r="O1308" s="156"/>
      <c r="P1308" s="47"/>
      <c r="Q1308" s="57"/>
      <c r="R1308" s="338"/>
      <c r="S1308" s="272"/>
      <c r="T1308" s="273"/>
      <c r="U1308" s="40"/>
      <c r="V1308" s="277"/>
      <c r="W1308" s="269"/>
      <c r="X1308" s="269"/>
      <c r="Y1308" s="275"/>
      <c r="Z1308" s="269"/>
      <c r="AA1308" s="57"/>
      <c r="AB1308" s="207"/>
      <c r="AC1308" s="33"/>
      <c r="AD1308" s="189"/>
      <c r="AE1308" s="54"/>
      <c r="AF1308" s="55"/>
      <c r="AG1308" s="43"/>
      <c r="AH1308" s="47"/>
      <c r="AI1308" s="30"/>
      <c r="AJ1308" s="30"/>
      <c r="AK1308" s="30"/>
      <c r="AL1308" s="30"/>
      <c r="AM1308" s="13"/>
      <c r="AN1308" s="13"/>
      <c r="AO1308" s="13"/>
      <c r="AP1308" s="13"/>
      <c r="AQ1308" s="13"/>
      <c r="AR1308" s="14"/>
      <c r="AS1308" s="15"/>
    </row>
    <row r="1309" spans="1:45" s="17" customFormat="1" ht="30.95" hidden="1" customHeight="1" x14ac:dyDescent="0.2">
      <c r="A1309" s="37" t="s">
        <v>1785</v>
      </c>
      <c r="B1309" s="38" t="s">
        <v>1786</v>
      </c>
      <c r="C1309" s="45"/>
      <c r="D1309" s="31">
        <v>3732043</v>
      </c>
      <c r="E1309" s="31">
        <v>4141048</v>
      </c>
      <c r="F1309" s="268" t="str">
        <f>IF(D1309="","",VLOOKUP(D1309,契約台帳!$A$3:$K$4986,6,FALSE)&amp;VLOOKUP(D1309,契約台帳!$A$3:$K$4986,7,FALSE)&amp;VLOOKUP(D1309,契約台帳!$A$3:$K$4986,8,FALSE)&amp;VLOOKUP(D1309,契約台帳!$A$3:$K$4986,9,FALSE)&amp;VLOOKUP(D1309,契約台帳!$A$3:$K$4986,11,FALSE))</f>
        <v>3SNMCLBMSNEYK</v>
      </c>
      <c r="G1309" s="269" t="str">
        <f>IF(D1309="","",VLOOKUP(F1309,製品マスタ!$G$5:$H$5002,2,FALSE))</f>
        <v>S</v>
      </c>
      <c r="H1309" s="269" t="str">
        <f>IF(D1309="","",VLOOKUP(F1309,製品マスタ!$G$5:$K$5002,5,FALSE))</f>
        <v>MSNEYK</v>
      </c>
      <c r="I1309" s="270" t="str">
        <f>IF(D1309="","",VLOOKUP(F1309,製品マスタ!$G$5:$L$5002,6,FALSE))</f>
        <v>ＭＳＮ　ＥＹＫ</v>
      </c>
      <c r="J1309" s="210" t="s">
        <v>447</v>
      </c>
      <c r="K1309" s="270">
        <f>IF(D1309="","",VLOOKUP(D1309,契約台帳!$A$3:$L$4986,12,FALSE))</f>
        <v>50</v>
      </c>
      <c r="L1309" s="270" t="str">
        <f>IF(D1309="","",INDEX(製品マスタ!$Q$5:$Q$5002,MATCH('S4'!F1309&amp;'S4'!K1309,製品マスタ!$AO$5:$AO$5002,0)))</f>
        <v>N-MAT</v>
      </c>
      <c r="M1309" s="39">
        <v>1200</v>
      </c>
      <c r="N1309" s="39">
        <v>12000</v>
      </c>
      <c r="O1309" s="156">
        <v>3</v>
      </c>
      <c r="P1309" s="47">
        <v>3</v>
      </c>
      <c r="Q1309" s="57"/>
      <c r="R1309" s="271">
        <f ca="1">IF(D1309="","",IF(OFFSET(D1309,-1,0)&lt;&gt;"","",IF(OR(J1309="リード付け",J1309="巻足し",J1309="巻返しリード付け"),M1309,VLOOKUP(D1309,契約台帳!$A$3:$N$4986,14,FALSE))))</f>
        <v>1200</v>
      </c>
      <c r="S1309" s="272">
        <f ca="1">IF(D1309="","",IF(OFFSET(D1309,-1,0)&lt;&gt;"","",IF(OR(J1309="リード付け",J1309="巻足し",J1309="巻返しリード付け"),M1309,VLOOKUP(D1309,契約台帳!$A$3:$O$4986,15,FALSE))))</f>
        <v>1190</v>
      </c>
      <c r="T1309" s="273">
        <f ca="1">IF(D1309="","",IF(J1309="リード付け",N1309,IF(J1309="巻返しリード付け",N1309,IF(J1309="巻足し",N1309*P1309+OFFSET(N1309,1,0)*OFFSET(P1309,1,0),VLOOKUP(D1309,契約台帳!$A$3:$P$4986,16,FALSE)))))</f>
        <v>6000</v>
      </c>
      <c r="U1309" s="40">
        <v>6</v>
      </c>
      <c r="V1309" s="274">
        <f ca="1">IF(D1309="","",IF(OFFSET(D1309,-2,0)=D1309,"",VLOOKUP(D1309,契約台帳!$A$3:$R$4986,18,FALSE)))</f>
        <v>6</v>
      </c>
      <c r="W1309" s="269" t="str">
        <f ca="1">IF(D1309="","",IF(T1309="","",IF(OR(J1309="巻足し",J1309="巻返しリード付け"),"",IF(J1309="巻返し",VLOOKUP(F1309&amp;K1309&amp;M1309,製品マスタ!$M$5:$AD$5002,18,FALSE),IF(OR(J1309="リード付け",J1309="巻返しリード付け"),"原反コア",IF(J1309="スリット",VLOOKUP(F1309&amp;K1309&amp;R1309,製品マスタ!$N$5:$AD$5002,17,FALSE),""))))))</f>
        <v>6ｲﾝﾁMｺｱ</v>
      </c>
      <c r="X1309" s="269">
        <f ca="1">IF(D1309="","",IF(T1309="","",IF(J1309="巻足し","",IF(J1309="巻返し",VLOOKUP(F1309&amp;K1309&amp;M1309,製品マスタ!$M$5:$AE$5002,19,FALSE),IF(OR(J1309="リード付け",J1309="巻返しリード付け"),"",IF(J1309="スリット",VLOOKUP(F1309&amp;K1309&amp;R1309,製品マスタ!$N$5:$AE$5002,18,FALSE),""))))))</f>
        <v>1220</v>
      </c>
      <c r="Y1309" s="275">
        <f ca="1">IF(D1309="","",IF(T1309="","",VLOOKUP(D1309,契約台帳!$A$3:$Q$4986,17,FALSE)))</f>
        <v>2</v>
      </c>
      <c r="Z1309" s="269" t="str">
        <f ca="1">IF(D1309="","",IF(T1309="","",VLOOKUP(D1309,契約台帳!$A$3:$E$4986,5,FALSE)))</f>
        <v>大阪シーリング印刷㈱</v>
      </c>
      <c r="AA1309" s="57"/>
      <c r="AB1309" s="207"/>
      <c r="AC1309" s="33"/>
      <c r="AD1309" s="189"/>
      <c r="AE1309" s="54"/>
      <c r="AF1309" s="55"/>
      <c r="AG1309" s="43"/>
      <c r="AH1309" s="47"/>
      <c r="AI1309" s="30"/>
      <c r="AJ1309" s="30"/>
      <c r="AK1309" s="30"/>
      <c r="AL1309" s="30"/>
      <c r="AM1309" s="13"/>
      <c r="AN1309" s="13"/>
      <c r="AO1309" s="13"/>
      <c r="AP1309" s="13"/>
      <c r="AQ1309" s="13"/>
      <c r="AR1309" s="14"/>
      <c r="AS1309" s="15"/>
    </row>
    <row r="1310" spans="1:45" s="17" customFormat="1" ht="30.95" hidden="1" customHeight="1" x14ac:dyDescent="0.2">
      <c r="A1310" s="37"/>
      <c r="B1310" s="38"/>
      <c r="C1310" s="45"/>
      <c r="D1310" s="31"/>
      <c r="E1310" s="31"/>
      <c r="F1310" s="268"/>
      <c r="G1310" s="269"/>
      <c r="H1310" s="269"/>
      <c r="I1310" s="270"/>
      <c r="J1310" s="210"/>
      <c r="K1310" s="270"/>
      <c r="L1310" s="270"/>
      <c r="M1310" s="39"/>
      <c r="N1310" s="39"/>
      <c r="O1310" s="156"/>
      <c r="P1310" s="47"/>
      <c r="Q1310" s="57"/>
      <c r="R1310" s="338"/>
      <c r="S1310" s="272"/>
      <c r="T1310" s="273"/>
      <c r="U1310" s="40"/>
      <c r="V1310" s="277"/>
      <c r="W1310" s="269"/>
      <c r="X1310" s="269"/>
      <c r="Y1310" s="275"/>
      <c r="Z1310" s="269"/>
      <c r="AA1310" s="57"/>
      <c r="AB1310" s="207"/>
      <c r="AC1310" s="33"/>
      <c r="AD1310" s="189"/>
      <c r="AE1310" s="54"/>
      <c r="AF1310" s="55"/>
      <c r="AG1310" s="43"/>
      <c r="AH1310" s="47"/>
      <c r="AI1310" s="30"/>
      <c r="AJ1310" s="30"/>
      <c r="AK1310" s="30"/>
      <c r="AL1310" s="30"/>
      <c r="AM1310" s="13"/>
      <c r="AN1310" s="13"/>
      <c r="AO1310" s="13"/>
      <c r="AP1310" s="13"/>
      <c r="AQ1310" s="13"/>
      <c r="AR1310" s="14"/>
      <c r="AS1310" s="15"/>
    </row>
    <row r="1311" spans="1:45" s="17" customFormat="1" ht="30.95" hidden="1" customHeight="1" x14ac:dyDescent="0.2">
      <c r="A1311" s="37"/>
      <c r="B1311" s="38"/>
      <c r="C1311" s="45"/>
      <c r="D1311" s="31">
        <v>3727592</v>
      </c>
      <c r="E1311" s="31">
        <v>4141022</v>
      </c>
      <c r="F1311" s="268" t="str">
        <f>IF(D1311="","",VLOOKUP(D1311,契約台帳!$A$3:$K$4986,6,FALSE)&amp;VLOOKUP(D1311,契約台帳!$A$3:$K$4986,7,FALSE)&amp;VLOOKUP(D1311,契約台帳!$A$3:$K$4986,8,FALSE)&amp;VLOOKUP(D1311,契約台帳!$A$3:$K$4986,9,FALSE)&amp;VLOOKUP(D1311,契約台帳!$A$3:$K$4986,11,FALSE))</f>
        <v>3SNMCLBMSNEYK</v>
      </c>
      <c r="G1311" s="269" t="str">
        <f>IF(D1311="","",VLOOKUP(F1311,製品マスタ!$G$5:$H$5002,2,FALSE))</f>
        <v>S</v>
      </c>
      <c r="H1311" s="269" t="str">
        <f>IF(D1311="","",VLOOKUP(F1311,製品マスタ!$G$5:$K$5002,5,FALSE))</f>
        <v>MSNEYK</v>
      </c>
      <c r="I1311" s="270" t="str">
        <f>IF(D1311="","",VLOOKUP(F1311,製品マスタ!$G$5:$L$5002,6,FALSE))</f>
        <v>ＭＳＮ　ＥＹＫ</v>
      </c>
      <c r="J1311" s="210" t="s">
        <v>447</v>
      </c>
      <c r="K1311" s="270">
        <f>IF(D1311="","",VLOOKUP(D1311,契約台帳!$A$3:$L$4986,12,FALSE))</f>
        <v>50</v>
      </c>
      <c r="L1311" s="270" t="str">
        <f>IF(D1311="","",INDEX(製品マスタ!$Q$5:$Q$5002,MATCH('S4'!F1311&amp;'S4'!K1311,製品マスタ!$AO$5:$AO$5002,0)))</f>
        <v>N-MAT</v>
      </c>
      <c r="M1311" s="39">
        <v>1120</v>
      </c>
      <c r="N1311" s="39">
        <v>8000</v>
      </c>
      <c r="O1311" s="156">
        <v>3</v>
      </c>
      <c r="P1311" s="47">
        <v>3</v>
      </c>
      <c r="Q1311" s="57"/>
      <c r="R1311" s="271">
        <f ca="1">IF(D1311="","",IF(OFFSET(D1311,-1,0)&lt;&gt;"","",IF(OR(J1311="リード付け",J1311="巻足し",J1311="巻返しリード付け"),M1311,VLOOKUP(D1311,契約台帳!$A$3:$N$4986,14,FALSE))))</f>
        <v>1120</v>
      </c>
      <c r="S1311" s="272">
        <f ca="1">IF(D1311="","",IF(OFFSET(D1311,-1,0)&lt;&gt;"","",IF(OR(J1311="リード付け",J1311="巻足し",J1311="巻返しリード付け"),M1311,VLOOKUP(D1311,契約台帳!$A$3:$O$4986,15,FALSE))))</f>
        <v>1120</v>
      </c>
      <c r="T1311" s="273">
        <f ca="1">IF(D1311="","",IF(J1311="リード付け",N1311,IF(J1311="巻返しリード付け",N1311,IF(J1311="巻足し",N1311*P1311+OFFSET(N1311,1,0)*OFFSET(P1311,1,0),VLOOKUP(D1311,契約台帳!$A$3:$P$4986,16,FALSE)))))</f>
        <v>4000</v>
      </c>
      <c r="U1311" s="40">
        <v>6</v>
      </c>
      <c r="V1311" s="274">
        <f ca="1">IF(D1311="","",IF(OFFSET(D1311,-2,0)=D1311,"",VLOOKUP(D1311,契約台帳!$A$3:$R$4986,18,FALSE)))</f>
        <v>6</v>
      </c>
      <c r="W1311" s="269" t="str">
        <f ca="1">IF(D1311="","",IF(T1311="","",IF(OR(J1311="巻足し",J1311="巻返しリード付け"),"",IF(J1311="巻返し",VLOOKUP(F1311&amp;K1311&amp;M1311,製品マスタ!$M$5:$AD$5002,18,FALSE),IF(OR(J1311="リード付け",J1311="巻返しリード付け"),"原反コア",IF(J1311="スリット",VLOOKUP(F1311&amp;K1311&amp;R1311,製品マスタ!$N$5:$AD$5002,17,FALSE),""))))))</f>
        <v>6ｲﾝﾁMｺｱ</v>
      </c>
      <c r="X1311" s="269">
        <f ca="1">IF(D1311="","",IF(T1311="","",IF(J1311="巻足し","",IF(J1311="巻返し",VLOOKUP(F1311&amp;K1311&amp;M1311,製品マスタ!$M$5:$AE$5002,19,FALSE),IF(OR(J1311="リード付け",J1311="巻返しリード付け"),"",IF(J1311="スリット",VLOOKUP(F1311&amp;K1311&amp;R1311,製品マスタ!$N$5:$AE$5002,18,FALSE),""))))))</f>
        <v>1140</v>
      </c>
      <c r="Y1311" s="275">
        <f ca="1">IF(D1311="","",IF(T1311="","",VLOOKUP(D1311,契約台帳!$A$3:$Q$4986,17,FALSE)))</f>
        <v>2</v>
      </c>
      <c r="Z1311" s="269" t="str">
        <f ca="1">IF(D1311="","",IF(T1311="","",VLOOKUP(D1311,契約台帳!$A$3:$E$4986,5,FALSE)))</f>
        <v xml:space="preserve">新タック化成㈱      </v>
      </c>
      <c r="AA1311" s="57"/>
      <c r="AB1311" s="207"/>
      <c r="AC1311" s="33"/>
      <c r="AD1311" s="189"/>
      <c r="AE1311" s="54"/>
      <c r="AF1311" s="55"/>
      <c r="AG1311" s="43"/>
      <c r="AH1311" s="47"/>
      <c r="AI1311" s="30"/>
      <c r="AJ1311" s="30"/>
      <c r="AK1311" s="30"/>
      <c r="AL1311" s="30"/>
      <c r="AM1311" s="13"/>
      <c r="AN1311" s="13"/>
      <c r="AO1311" s="13"/>
      <c r="AP1311" s="13"/>
      <c r="AQ1311" s="13"/>
      <c r="AR1311" s="14"/>
      <c r="AS1311" s="15"/>
    </row>
    <row r="1312" spans="1:45" s="17" customFormat="1" ht="30.95" hidden="1" customHeight="1" x14ac:dyDescent="0.2">
      <c r="A1312" s="37"/>
      <c r="B1312" s="38"/>
      <c r="C1312" s="45"/>
      <c r="D1312" s="31"/>
      <c r="E1312" s="31"/>
      <c r="F1312" s="268"/>
      <c r="G1312" s="269"/>
      <c r="H1312" s="269"/>
      <c r="I1312" s="270"/>
      <c r="J1312" s="210"/>
      <c r="K1312" s="270"/>
      <c r="L1312" s="270"/>
      <c r="M1312" s="39"/>
      <c r="N1312" s="39"/>
      <c r="O1312" s="156"/>
      <c r="P1312" s="47"/>
      <c r="Q1312" s="57"/>
      <c r="R1312" s="338"/>
      <c r="S1312" s="272"/>
      <c r="T1312" s="273"/>
      <c r="U1312" s="40"/>
      <c r="V1312" s="277"/>
      <c r="W1312" s="269"/>
      <c r="X1312" s="269"/>
      <c r="Y1312" s="275"/>
      <c r="Z1312" s="269"/>
      <c r="AA1312" s="57"/>
      <c r="AB1312" s="207"/>
      <c r="AC1312" s="33"/>
      <c r="AD1312" s="189"/>
      <c r="AE1312" s="54"/>
      <c r="AF1312" s="55"/>
      <c r="AG1312" s="43"/>
      <c r="AH1312" s="47"/>
      <c r="AI1312" s="30"/>
      <c r="AJ1312" s="30"/>
      <c r="AK1312" s="30"/>
      <c r="AL1312" s="30"/>
      <c r="AM1312" s="13"/>
      <c r="AN1312" s="13"/>
      <c r="AO1312" s="13"/>
      <c r="AP1312" s="13"/>
      <c r="AQ1312" s="13"/>
      <c r="AR1312" s="14"/>
      <c r="AS1312" s="15"/>
    </row>
    <row r="1313" spans="1:45" s="17" customFormat="1" ht="30.95" hidden="1" customHeight="1" x14ac:dyDescent="0.2">
      <c r="A1313" s="37"/>
      <c r="B1313" s="38"/>
      <c r="C1313" s="45"/>
      <c r="D1313" s="31">
        <v>3731370</v>
      </c>
      <c r="E1313" s="31">
        <v>4141061</v>
      </c>
      <c r="F1313" s="268" t="str">
        <f>IF(D1313="","",VLOOKUP(D1313,契約台帳!$A$3:$K$4986,6,FALSE)&amp;VLOOKUP(D1313,契約台帳!$A$3:$K$4986,7,FALSE)&amp;VLOOKUP(D1313,契約台帳!$A$3:$K$4986,8,FALSE)&amp;VLOOKUP(D1313,契約台帳!$A$3:$K$4986,9,FALSE)&amp;VLOOKUP(D1313,契約台帳!$A$3:$K$4986,11,FALSE))</f>
        <v>3SNCLBLMEYK</v>
      </c>
      <c r="G1313" s="269" t="str">
        <f>IF(D1313="","",VLOOKUP(F1313,製品マスタ!$G$5:$H$5002,2,FALSE))</f>
        <v>S</v>
      </c>
      <c r="H1313" s="269" t="str">
        <f>IF(D1313="","",VLOOKUP(F1313,製品マスタ!$G$5:$K$5002,5,FALSE))</f>
        <v>LMEYK</v>
      </c>
      <c r="I1313" s="270" t="str">
        <f>IF(D1313="","",VLOOKUP(F1313,製品マスタ!$G$5:$L$5002,6,FALSE))</f>
        <v>ルミマットＥＹＫ</v>
      </c>
      <c r="J1313" s="210" t="s">
        <v>447</v>
      </c>
      <c r="K1313" s="270">
        <f>IF(D1313="","",VLOOKUP(D1313,契約台帳!$A$3:$L$4986,12,FALSE))</f>
        <v>38</v>
      </c>
      <c r="L1313" s="270" t="str">
        <f>IF(D1313="","",INDEX(製品マスタ!$Q$5:$Q$5002,MATCH('S4'!F1313&amp;'S4'!K1313,製品マスタ!$AO$5:$AO$5002,0)))</f>
        <v>LUMIMAT</v>
      </c>
      <c r="M1313" s="39">
        <v>1005</v>
      </c>
      <c r="N1313" s="39">
        <v>8000</v>
      </c>
      <c r="O1313" s="156">
        <v>2</v>
      </c>
      <c r="P1313" s="47">
        <v>2</v>
      </c>
      <c r="Q1313" s="57"/>
      <c r="R1313" s="271">
        <f ca="1">IF(D1313="","",IF(OFFSET(D1313,-1,0)&lt;&gt;"","",IF(OR(J1313="リード付け",J1313="巻足し",J1313="巻返しリード付け"),M1313,VLOOKUP(D1313,契約台帳!$A$3:$N$4986,14,FALSE))))</f>
        <v>1005</v>
      </c>
      <c r="S1313" s="272">
        <f ca="1">IF(D1313="","",IF(OFFSET(D1313,-1,0)&lt;&gt;"","",IF(OR(J1313="リード付け",J1313="巻足し",J1313="巻返しリード付け"),M1313,VLOOKUP(D1313,契約台帳!$A$3:$O$4986,15,FALSE))))</f>
        <v>1000</v>
      </c>
      <c r="T1313" s="273">
        <f ca="1">IF(D1313="","",IF(J1313="リード付け",N1313,IF(J1313="巻返しリード付け",N1313,IF(J1313="巻足し",N1313*P1313+OFFSET(N1313,1,0)*OFFSET(P1313,1,0),VLOOKUP(D1313,契約台帳!$A$3:$P$4986,16,FALSE)))))</f>
        <v>4000</v>
      </c>
      <c r="U1313" s="40">
        <v>4</v>
      </c>
      <c r="V1313" s="274">
        <f ca="1">IF(D1313="","",IF(OFFSET(D1313,-2,0)=D1313,"",VLOOKUP(D1313,契約台帳!$A$3:$R$4986,18,FALSE)))</f>
        <v>4</v>
      </c>
      <c r="W1313" s="269" t="str">
        <f ca="1">IF(D1313="","",IF(T1313="","",IF(OR(J1313="巻足し",J1313="巻返しリード付け"),"",IF(J1313="巻返し",VLOOKUP(F1313&amp;K1313&amp;M1313,製品マスタ!$M$5:$AD$5002,18,FALSE),IF(OR(J1313="リード付け",J1313="巻返しリード付け"),"原反コア",IF(J1313="スリット",VLOOKUP(F1313&amp;K1313&amp;R1313,製品マスタ!$N$5:$AD$5002,17,FALSE),""))))))</f>
        <v>3ｲﾝﾁSｺｱ</v>
      </c>
      <c r="X1313" s="269">
        <f ca="1">IF(D1313="","",IF(T1313="","",IF(J1313="巻足し","",IF(J1313="巻返し",VLOOKUP(F1313&amp;K1313&amp;M1313,製品マスタ!$M$5:$AE$5002,19,FALSE),IF(OR(J1313="リード付け",J1313="巻返しリード付け"),"",IF(J1313="スリット",VLOOKUP(F1313&amp;K1313&amp;R1313,製品マスタ!$N$5:$AE$5002,18,FALSE),""))))))</f>
        <v>1015</v>
      </c>
      <c r="Y1313" s="275">
        <f ca="1">IF(D1313="","",IF(T1313="","",VLOOKUP(D1313,契約台帳!$A$3:$Q$4986,17,FALSE)))</f>
        <v>2</v>
      </c>
      <c r="Z1313" s="269" t="str">
        <f ca="1">IF(D1313="","",IF(T1313="","",VLOOKUP(D1313,契約台帳!$A$3:$E$4986,5,FALSE)))</f>
        <v>リンテック㈱</v>
      </c>
      <c r="AA1313" s="57"/>
      <c r="AB1313" s="207"/>
      <c r="AC1313" s="33"/>
      <c r="AD1313" s="189"/>
      <c r="AE1313" s="54"/>
      <c r="AF1313" s="55"/>
      <c r="AG1313" s="43"/>
      <c r="AH1313" s="47"/>
      <c r="AI1313" s="30"/>
      <c r="AJ1313" s="30"/>
      <c r="AK1313" s="30"/>
      <c r="AL1313" s="30"/>
      <c r="AM1313" s="13"/>
      <c r="AN1313" s="13"/>
      <c r="AO1313" s="13"/>
      <c r="AP1313" s="13"/>
      <c r="AQ1313" s="13"/>
      <c r="AR1313" s="14"/>
      <c r="AS1313" s="15"/>
    </row>
    <row r="1314" spans="1:45" s="17" customFormat="1" ht="30.95" hidden="1" customHeight="1" x14ac:dyDescent="0.2">
      <c r="A1314" s="37"/>
      <c r="B1314" s="38"/>
      <c r="C1314" s="45"/>
      <c r="D1314" s="31"/>
      <c r="E1314" s="31"/>
      <c r="F1314" s="268"/>
      <c r="G1314" s="269"/>
      <c r="H1314" s="269"/>
      <c r="I1314" s="270"/>
      <c r="J1314" s="210"/>
      <c r="K1314" s="270"/>
      <c r="L1314" s="270"/>
      <c r="M1314" s="39"/>
      <c r="N1314" s="39"/>
      <c r="O1314" s="156"/>
      <c r="P1314" s="47"/>
      <c r="Q1314" s="57"/>
      <c r="R1314" s="338"/>
      <c r="S1314" s="272"/>
      <c r="T1314" s="273"/>
      <c r="U1314" s="40"/>
      <c r="V1314" s="277"/>
      <c r="W1314" s="269"/>
      <c r="X1314" s="269"/>
      <c r="Y1314" s="275"/>
      <c r="Z1314" s="269"/>
      <c r="AA1314" s="57"/>
      <c r="AB1314" s="207"/>
      <c r="AC1314" s="33"/>
      <c r="AD1314" s="189"/>
      <c r="AE1314" s="54"/>
      <c r="AF1314" s="55"/>
      <c r="AG1314" s="43"/>
      <c r="AH1314" s="47"/>
      <c r="AI1314" s="30"/>
      <c r="AJ1314" s="30"/>
      <c r="AK1314" s="30"/>
      <c r="AL1314" s="30"/>
      <c r="AM1314" s="13"/>
      <c r="AN1314" s="13"/>
      <c r="AO1314" s="13"/>
      <c r="AP1314" s="13"/>
      <c r="AQ1314" s="13"/>
      <c r="AR1314" s="14"/>
      <c r="AS1314" s="15"/>
    </row>
    <row r="1315" spans="1:45" s="17" customFormat="1" ht="30.95" hidden="1" customHeight="1" x14ac:dyDescent="0.2">
      <c r="A1315" s="37" t="s">
        <v>1787</v>
      </c>
      <c r="B1315" s="38" t="s">
        <v>1779</v>
      </c>
      <c r="C1315" s="45"/>
      <c r="D1315" s="31">
        <v>3731356</v>
      </c>
      <c r="E1315" s="31">
        <v>4141046</v>
      </c>
      <c r="F1315" s="268" t="str">
        <f>IF(D1315="","",VLOOKUP(D1315,契約台帳!$A$3:$K$4986,6,FALSE)&amp;VLOOKUP(D1315,契約台帳!$A$3:$K$4986,7,FALSE)&amp;VLOOKUP(D1315,契約台帳!$A$3:$K$4986,8,FALSE)&amp;VLOOKUP(D1315,契約台帳!$A$3:$K$4986,9,FALSE)&amp;VLOOKUP(D1315,契約台帳!$A$3:$K$4986,11,FALSE))</f>
        <v>3SNMCLBNGTVB</v>
      </c>
      <c r="G1315" s="269" t="str">
        <f>IF(D1315="","",VLOOKUP(F1315,製品マスタ!$G$5:$H$5002,2,FALSE))</f>
        <v>S</v>
      </c>
      <c r="H1315" s="269" t="str">
        <f>IF(D1315="","",VLOOKUP(F1315,製品マスタ!$G$5:$K$5002,5,FALSE))</f>
        <v>NGTVB</v>
      </c>
      <c r="I1315" s="270" t="str">
        <f>IF(D1315="","",VLOOKUP(F1315,製品マスタ!$G$5:$L$5002,6,FALSE))</f>
        <v>メタルミー　ネーマー　銀艶ＶＢ</v>
      </c>
      <c r="J1315" s="210" t="s">
        <v>447</v>
      </c>
      <c r="K1315" s="270">
        <f>IF(D1315="","",VLOOKUP(D1315,契約台帳!$A$3:$L$4986,12,FALSE))</f>
        <v>50</v>
      </c>
      <c r="L1315" s="270" t="str">
        <f>IF(D1315="","",INDEX(製品マスタ!$Q$5:$Q$5002,MATCH('S4'!F1315&amp;'S4'!K1315,製品マスタ!$AO$5:$AO$5002,0)))</f>
        <v>T62M</v>
      </c>
      <c r="M1315" s="39">
        <v>1040</v>
      </c>
      <c r="N1315" s="39">
        <v>6000</v>
      </c>
      <c r="O1315" s="156">
        <v>1</v>
      </c>
      <c r="P1315" s="47">
        <v>1</v>
      </c>
      <c r="Q1315" s="57"/>
      <c r="R1315" s="271">
        <f ca="1">IF(D1315="","",IF(OFFSET(D1315,-1,0)&lt;&gt;"","",IF(OR(J1315="リード付け",J1315="巻足し",J1315="巻返しリード付け"),M1315,VLOOKUP(D1315,契約台帳!$A$3:$N$4986,14,FALSE))))</f>
        <v>1000</v>
      </c>
      <c r="S1315" s="272">
        <f ca="1">IF(D1315="","",IF(OFFSET(D1315,-1,0)&lt;&gt;"","",IF(OR(J1315="リード付け",J1315="巻足し",J1315="巻返しリード付け"),M1315,VLOOKUP(D1315,契約台帳!$A$3:$O$4986,15,FALSE))))</f>
        <v>1000</v>
      </c>
      <c r="T1315" s="273">
        <f ca="1">IF(D1315="","",IF(J1315="リード付け",N1315,IF(J1315="巻返しリード付け",N1315,IF(J1315="巻足し",N1315*P1315+OFFSET(N1315,1,0)*OFFSET(P1315,1,0),VLOOKUP(D1315,契約台帳!$A$3:$P$4986,16,FALSE)))))</f>
        <v>3000</v>
      </c>
      <c r="U1315" s="40">
        <v>2</v>
      </c>
      <c r="V1315" s="274">
        <f ca="1">IF(D1315="","",IF(OFFSET(D1315,-2,0)=D1315,"",VLOOKUP(D1315,契約台帳!$A$3:$R$4986,18,FALSE)))</f>
        <v>2</v>
      </c>
      <c r="W1315" s="269" t="str">
        <f ca="1">IF(D1315="","",IF(T1315="","",IF(OR(J1315="巻足し",J1315="巻返しリード付け"),"",IF(J1315="巻返し",VLOOKUP(F1315&amp;K1315&amp;M1315,製品マスタ!$M$5:$AD$5002,18,FALSE),IF(OR(J1315="リード付け",J1315="巻返しリード付け"),"原反コア",IF(J1315="スリット",VLOOKUP(F1315&amp;K1315&amp;R1315,製品マスタ!$N$5:$AD$5002,17,FALSE),""))))))</f>
        <v>6ｲﾝﾁMｺｱ</v>
      </c>
      <c r="X1315" s="269">
        <f ca="1">IF(D1315="","",IF(T1315="","",IF(J1315="巻足し","",IF(J1315="巻返し",VLOOKUP(F1315&amp;K1315&amp;M1315,製品マスタ!$M$5:$AE$5002,19,FALSE),IF(OR(J1315="リード付け",J1315="巻返しリード付け"),"",IF(J1315="スリット",VLOOKUP(F1315&amp;K1315&amp;R1315,製品マスタ!$N$5:$AE$5002,18,FALSE),""))))))</f>
        <v>1015</v>
      </c>
      <c r="Y1315" s="275">
        <f ca="1">IF(D1315="","",IF(T1315="","",VLOOKUP(D1315,契約台帳!$A$3:$Q$4986,17,FALSE)))</f>
        <v>2</v>
      </c>
      <c r="Z1315" s="269" t="str">
        <f ca="1">IF(D1315="","",IF(T1315="","",VLOOKUP(D1315,契約台帳!$A$3:$E$4986,5,FALSE)))</f>
        <v>リンテック㈱</v>
      </c>
      <c r="AA1315" s="57"/>
      <c r="AB1315" s="207"/>
      <c r="AC1315" s="33"/>
      <c r="AD1315" s="189"/>
      <c r="AE1315" s="54"/>
      <c r="AF1315" s="55"/>
      <c r="AG1315" s="43"/>
      <c r="AH1315" s="47"/>
      <c r="AI1315" s="30"/>
      <c r="AJ1315" s="30"/>
      <c r="AK1315" s="30"/>
      <c r="AL1315" s="30"/>
      <c r="AM1315" s="13"/>
      <c r="AN1315" s="13"/>
      <c r="AO1315" s="13"/>
      <c r="AP1315" s="13"/>
      <c r="AQ1315" s="13"/>
      <c r="AR1315" s="14"/>
      <c r="AS1315" s="15"/>
    </row>
    <row r="1316" spans="1:45" s="17" customFormat="1" ht="30.95" hidden="1" customHeight="1" x14ac:dyDescent="0.2">
      <c r="A1316" s="37"/>
      <c r="B1316" s="38"/>
      <c r="C1316" s="45"/>
      <c r="D1316" s="31"/>
      <c r="E1316" s="31"/>
      <c r="F1316" s="268"/>
      <c r="G1316" s="269"/>
      <c r="H1316" s="269"/>
      <c r="I1316" s="270"/>
      <c r="J1316" s="210"/>
      <c r="K1316" s="270"/>
      <c r="L1316" s="270"/>
      <c r="M1316" s="39"/>
      <c r="N1316" s="39"/>
      <c r="O1316" s="156"/>
      <c r="P1316" s="47"/>
      <c r="Q1316" s="57"/>
      <c r="R1316" s="338"/>
      <c r="S1316" s="272"/>
      <c r="T1316" s="273"/>
      <c r="U1316" s="40"/>
      <c r="V1316" s="277"/>
      <c r="W1316" s="269"/>
      <c r="X1316" s="269"/>
      <c r="Y1316" s="275"/>
      <c r="Z1316" s="269"/>
      <c r="AA1316" s="57"/>
      <c r="AB1316" s="207"/>
      <c r="AC1316" s="33"/>
      <c r="AD1316" s="189"/>
      <c r="AE1316" s="54"/>
      <c r="AF1316" s="55"/>
      <c r="AG1316" s="43"/>
      <c r="AH1316" s="47"/>
      <c r="AI1316" s="30"/>
      <c r="AJ1316" s="30"/>
      <c r="AK1316" s="30"/>
      <c r="AL1316" s="30"/>
      <c r="AM1316" s="13"/>
      <c r="AN1316" s="13"/>
      <c r="AO1316" s="13"/>
      <c r="AP1316" s="13"/>
      <c r="AQ1316" s="13"/>
      <c r="AR1316" s="14"/>
      <c r="AS1316" s="15"/>
    </row>
    <row r="1317" spans="1:45" s="17" customFormat="1" ht="30.95" hidden="1" customHeight="1" x14ac:dyDescent="0.2">
      <c r="A1317" s="37"/>
      <c r="B1317" s="38"/>
      <c r="C1317" s="45"/>
      <c r="D1317" s="31">
        <v>3731362</v>
      </c>
      <c r="E1317" s="31">
        <v>4141037</v>
      </c>
      <c r="F1317" s="268" t="str">
        <f>IF(D1317="","",VLOOKUP(D1317,契約台帳!$A$3:$K$4986,6,FALSE)&amp;VLOOKUP(D1317,契約台帳!$A$3:$K$4986,7,FALSE)&amp;VLOOKUP(D1317,契約台帳!$A$3:$K$4986,8,FALSE)&amp;VLOOKUP(D1317,契約台帳!$A$3:$K$4986,9,FALSE)&amp;VLOOKUP(D1317,契約台帳!$A$3:$K$4986,11,FALSE))</f>
        <v>33SSNMCLBTETKFV</v>
      </c>
      <c r="G1317" s="269" t="str">
        <f>IF(D1317="","",VLOOKUP(F1317,製品マスタ!$G$5:$H$5002,2,FALSE))</f>
        <v>S</v>
      </c>
      <c r="H1317" s="269" t="str">
        <f>IF(D1317="","",VLOOKUP(F1317,製品マスタ!$G$5:$K$5002,5,FALSE))</f>
        <v>TETKFV</v>
      </c>
      <c r="I1317" s="270" t="str">
        <f>IF(D1317="","",VLOOKUP(F1317,製品マスタ!$G$5:$L$5002,6,FALSE))</f>
        <v>メタルミー　ＴＥＳ艶開封　Ｖ</v>
      </c>
      <c r="J1317" s="210" t="s">
        <v>447</v>
      </c>
      <c r="K1317" s="270">
        <f>IF(D1317="","",VLOOKUP(D1317,契約台帳!$A$3:$L$4986,12,FALSE))</f>
        <v>50</v>
      </c>
      <c r="L1317" s="270" t="str">
        <f>IF(D1317="","",INDEX(製品マスタ!$Q$5:$Q$5002,MATCH('S4'!F1317&amp;'S4'!K1317,製品マスタ!$AO$5:$AO$5002,0)))</f>
        <v>S28SEPA</v>
      </c>
      <c r="M1317" s="39">
        <v>1005</v>
      </c>
      <c r="N1317" s="39">
        <v>8200</v>
      </c>
      <c r="O1317" s="156">
        <v>1</v>
      </c>
      <c r="P1317" s="47">
        <v>1</v>
      </c>
      <c r="Q1317" s="57"/>
      <c r="R1317" s="271">
        <f ca="1">IF(D1317="","",IF(OFFSET(D1317,-1,0)&lt;&gt;"","",IF(OR(J1317="リード付け",J1317="巻足し",J1317="巻返しリード付け"),M1317,VLOOKUP(D1317,契約台帳!$A$3:$N$4986,14,FALSE))))</f>
        <v>1005</v>
      </c>
      <c r="S1317" s="272">
        <f ca="1">IF(D1317="","",IF(OFFSET(D1317,-1,0)&lt;&gt;"","",IF(OR(J1317="リード付け",J1317="巻足し",J1317="巻返しリード付け"),M1317,VLOOKUP(D1317,契約台帳!$A$3:$O$4986,15,FALSE))))</f>
        <v>1000</v>
      </c>
      <c r="T1317" s="273">
        <f ca="1">IF(D1317="","",IF(J1317="リード付け",N1317,IF(J1317="巻返しリード付け",N1317,IF(J1317="巻足し",N1317*P1317+OFFSET(N1317,1,0)*OFFSET(P1317,1,0),VLOOKUP(D1317,契約台帳!$A$3:$P$4986,16,FALSE)))))</f>
        <v>4100</v>
      </c>
      <c r="U1317" s="40">
        <v>2</v>
      </c>
      <c r="V1317" s="274">
        <f ca="1">IF(D1317="","",IF(OFFSET(D1317,-2,0)=D1317,"",VLOOKUP(D1317,契約台帳!$A$3:$R$4986,18,FALSE)))</f>
        <v>2</v>
      </c>
      <c r="W1317" s="269" t="str">
        <f ca="1">IF(D1317="","",IF(T1317="","",IF(OR(J1317="巻足し",J1317="巻返しリード付け"),"",IF(J1317="巻返し",VLOOKUP(F1317&amp;K1317&amp;M1317,製品マスタ!$M$5:$AD$5002,18,FALSE),IF(OR(J1317="リード付け",J1317="巻返しリード付け"),"原反コア",IF(J1317="スリット",VLOOKUP(F1317&amp;K1317&amp;R1317,製品マスタ!$N$5:$AD$5002,17,FALSE),""))))))</f>
        <v>6ｲﾝﾁSｺｱ</v>
      </c>
      <c r="X1317" s="269">
        <f ca="1">IF(D1317="","",IF(T1317="","",IF(J1317="巻足し","",IF(J1317="巻返し",VLOOKUP(F1317&amp;K1317&amp;M1317,製品マスタ!$M$5:$AE$5002,19,FALSE),IF(OR(J1317="リード付け",J1317="巻返しリード付け"),"",IF(J1317="スリット",VLOOKUP(F1317&amp;K1317&amp;R1317,製品マスタ!$N$5:$AE$5002,18,FALSE),""))))))</f>
        <v>1015</v>
      </c>
      <c r="Y1317" s="275">
        <f ca="1">IF(D1317="","",IF(T1317="","",VLOOKUP(D1317,契約台帳!$A$3:$Q$4986,17,FALSE)))</f>
        <v>2</v>
      </c>
      <c r="Z1317" s="269" t="str">
        <f ca="1">IF(D1317="","",IF(T1317="","",VLOOKUP(D1317,契約台帳!$A$3:$E$4986,5,FALSE)))</f>
        <v>リンテック㈱</v>
      </c>
      <c r="AA1317" s="57"/>
      <c r="AB1317" s="207"/>
      <c r="AC1317" s="33"/>
      <c r="AD1317" s="189"/>
      <c r="AE1317" s="54"/>
      <c r="AF1317" s="55"/>
      <c r="AG1317" s="43"/>
      <c r="AH1317" s="47"/>
      <c r="AI1317" s="30"/>
      <c r="AJ1317" s="30"/>
      <c r="AK1317" s="30"/>
      <c r="AL1317" s="30"/>
      <c r="AM1317" s="13"/>
      <c r="AN1317" s="13"/>
      <c r="AO1317" s="13"/>
      <c r="AP1317" s="13"/>
      <c r="AQ1317" s="13"/>
      <c r="AR1317" s="14"/>
      <c r="AS1317" s="15"/>
    </row>
    <row r="1318" spans="1:45" s="17" customFormat="1" ht="30.95" hidden="1" customHeight="1" x14ac:dyDescent="0.2">
      <c r="A1318" s="37"/>
      <c r="B1318" s="38"/>
      <c r="C1318" s="45"/>
      <c r="D1318" s="31"/>
      <c r="E1318" s="31"/>
      <c r="F1318" s="268"/>
      <c r="G1318" s="269"/>
      <c r="H1318" s="269"/>
      <c r="I1318" s="270"/>
      <c r="J1318" s="210"/>
      <c r="K1318" s="270"/>
      <c r="L1318" s="270"/>
      <c r="M1318" s="39"/>
      <c r="N1318" s="39"/>
      <c r="O1318" s="156"/>
      <c r="P1318" s="47"/>
      <c r="Q1318" s="57"/>
      <c r="R1318" s="338"/>
      <c r="S1318" s="272"/>
      <c r="T1318" s="273"/>
      <c r="U1318" s="40"/>
      <c r="V1318" s="277"/>
      <c r="W1318" s="269"/>
      <c r="X1318" s="269"/>
      <c r="Y1318" s="275"/>
      <c r="Z1318" s="269"/>
      <c r="AA1318" s="57"/>
      <c r="AB1318" s="207"/>
      <c r="AC1318" s="33"/>
      <c r="AD1318" s="189"/>
      <c r="AE1318" s="54"/>
      <c r="AF1318" s="55"/>
      <c r="AG1318" s="43"/>
      <c r="AH1318" s="47"/>
      <c r="AI1318" s="30"/>
      <c r="AJ1318" s="30"/>
      <c r="AK1318" s="30"/>
      <c r="AL1318" s="30"/>
      <c r="AM1318" s="13"/>
      <c r="AN1318" s="13"/>
      <c r="AO1318" s="13"/>
      <c r="AP1318" s="13"/>
      <c r="AQ1318" s="13"/>
      <c r="AR1318" s="14"/>
      <c r="AS1318" s="15"/>
    </row>
    <row r="1319" spans="1:45" s="17" customFormat="1" ht="30.95" hidden="1" customHeight="1" x14ac:dyDescent="0.2">
      <c r="A1319" s="37"/>
      <c r="B1319" s="38"/>
      <c r="C1319" s="45"/>
      <c r="D1319" s="31">
        <v>3731359</v>
      </c>
      <c r="E1319" s="31">
        <v>4141034</v>
      </c>
      <c r="F1319" s="268" t="str">
        <f>IF(D1319="","",VLOOKUP(D1319,契約台帳!$A$3:$K$4986,6,FALSE)&amp;VLOOKUP(D1319,契約台帳!$A$3:$K$4986,7,FALSE)&amp;VLOOKUP(D1319,契約台帳!$A$3:$K$4986,8,FALSE)&amp;VLOOKUP(D1319,契約台帳!$A$3:$K$4986,9,FALSE)&amp;VLOOKUP(D1319,契約台帳!$A$3:$K$4986,11,FALSE))</f>
        <v>33SSNMCLBTEKKFV</v>
      </c>
      <c r="G1319" s="269" t="str">
        <f>IF(D1319="","",VLOOKUP(F1319,製品マスタ!$G$5:$H$5002,2,FALSE))</f>
        <v>S</v>
      </c>
      <c r="H1319" s="269" t="str">
        <f>IF(D1319="","",VLOOKUP(F1319,製品マスタ!$G$5:$K$5002,5,FALSE))</f>
        <v>TEKKFV</v>
      </c>
      <c r="I1319" s="270" t="str">
        <f>IF(D1319="","",VLOOKUP(F1319,製品マスタ!$G$5:$L$5002,6,FALSE))</f>
        <v>メタルミー　ＴＥＳ消開封　Ｖ</v>
      </c>
      <c r="J1319" s="210" t="s">
        <v>447</v>
      </c>
      <c r="K1319" s="270">
        <f>IF(D1319="","",VLOOKUP(D1319,契約台帳!$A$3:$L$4986,12,FALSE))</f>
        <v>50</v>
      </c>
      <c r="L1319" s="270" t="str">
        <f>IF(D1319="","",INDEX(製品マスタ!$Q$5:$Q$5002,MATCH('S4'!F1319&amp;'S4'!K1319,製品マスタ!$AO$5:$AO$5002,0)))</f>
        <v>X44SEPA</v>
      </c>
      <c r="M1319" s="39">
        <v>1005</v>
      </c>
      <c r="N1319" s="39">
        <v>12000</v>
      </c>
      <c r="O1319" s="156">
        <v>2</v>
      </c>
      <c r="P1319" s="47">
        <v>2</v>
      </c>
      <c r="Q1319" s="57"/>
      <c r="R1319" s="271">
        <f ca="1">IF(D1319="","",IF(OFFSET(D1319,-1,0)&lt;&gt;"","",IF(OR(J1319="リード付け",J1319="巻足し",J1319="巻返しリード付け"),M1319,VLOOKUP(D1319,契約台帳!$A$3:$N$4986,14,FALSE))))</f>
        <v>1005</v>
      </c>
      <c r="S1319" s="272">
        <f ca="1">IF(D1319="","",IF(OFFSET(D1319,-1,0)&lt;&gt;"","",IF(OR(J1319="リード付け",J1319="巻足し",J1319="巻返しリード付け"),M1319,VLOOKUP(D1319,契約台帳!$A$3:$O$4986,15,FALSE))))</f>
        <v>1000</v>
      </c>
      <c r="T1319" s="273">
        <f ca="1">IF(D1319="","",IF(J1319="リード付け",N1319,IF(J1319="巻返しリード付け",N1319,IF(J1319="巻足し",N1319*P1319+OFFSET(N1319,1,0)*OFFSET(P1319,1,0),VLOOKUP(D1319,契約台帳!$A$3:$P$4986,16,FALSE)))))</f>
        <v>4000</v>
      </c>
      <c r="U1319" s="40">
        <v>6</v>
      </c>
      <c r="V1319" s="274">
        <f ca="1">IF(D1319="","",IF(OFFSET(D1319,-2,0)=D1319,"",VLOOKUP(D1319,契約台帳!$A$3:$R$4986,18,FALSE)))</f>
        <v>6</v>
      </c>
      <c r="W1319" s="269" t="str">
        <f ca="1">IF(D1319="","",IF(T1319="","",IF(OR(J1319="巻足し",J1319="巻返しリード付け"),"",IF(J1319="巻返し",VLOOKUP(F1319&amp;K1319&amp;M1319,製品マスタ!$M$5:$AD$5002,18,FALSE),IF(OR(J1319="リード付け",J1319="巻返しリード付け"),"原反コア",IF(J1319="スリット",VLOOKUP(F1319&amp;K1319&amp;R1319,製品マスタ!$N$5:$AD$5002,17,FALSE),""))))))</f>
        <v>6ｲﾝﾁSｺｱ</v>
      </c>
      <c r="X1319" s="269">
        <f ca="1">IF(D1319="","",IF(T1319="","",IF(J1319="巻足し","",IF(J1319="巻返し",VLOOKUP(F1319&amp;K1319&amp;M1319,製品マスタ!$M$5:$AE$5002,19,FALSE),IF(OR(J1319="リード付け",J1319="巻返しリード付け"),"",IF(J1319="スリット",VLOOKUP(F1319&amp;K1319&amp;R1319,製品マスタ!$N$5:$AE$5002,18,FALSE),""))))))</f>
        <v>1015</v>
      </c>
      <c r="Y1319" s="275">
        <f ca="1">IF(D1319="","",IF(T1319="","",VLOOKUP(D1319,契約台帳!$A$3:$Q$4986,17,FALSE)))</f>
        <v>2</v>
      </c>
      <c r="Z1319" s="269" t="str">
        <f ca="1">IF(D1319="","",IF(T1319="","",VLOOKUP(D1319,契約台帳!$A$3:$E$4986,5,FALSE)))</f>
        <v>リンテック㈱</v>
      </c>
      <c r="AA1319" s="57"/>
      <c r="AB1319" s="207"/>
      <c r="AC1319" s="33"/>
      <c r="AD1319" s="189"/>
      <c r="AE1319" s="54"/>
      <c r="AF1319" s="55"/>
      <c r="AG1319" s="43"/>
      <c r="AH1319" s="47"/>
      <c r="AI1319" s="30"/>
      <c r="AJ1319" s="30"/>
      <c r="AK1319" s="30"/>
      <c r="AL1319" s="30"/>
      <c r="AM1319" s="13"/>
      <c r="AN1319" s="13"/>
      <c r="AO1319" s="13"/>
      <c r="AP1319" s="13"/>
      <c r="AQ1319" s="13"/>
      <c r="AR1319" s="14"/>
      <c r="AS1319" s="15"/>
    </row>
    <row r="1320" spans="1:45" s="17" customFormat="1" ht="30.95" hidden="1" customHeight="1" x14ac:dyDescent="0.2">
      <c r="A1320" s="37"/>
      <c r="B1320" s="38"/>
      <c r="C1320" s="45"/>
      <c r="D1320" s="31"/>
      <c r="E1320" s="31"/>
      <c r="F1320" s="268"/>
      <c r="G1320" s="269"/>
      <c r="H1320" s="269"/>
      <c r="I1320" s="270"/>
      <c r="J1320" s="210"/>
      <c r="K1320" s="270"/>
      <c r="L1320" s="270"/>
      <c r="M1320" s="39"/>
      <c r="N1320" s="39"/>
      <c r="O1320" s="156"/>
      <c r="P1320" s="47"/>
      <c r="Q1320" s="57"/>
      <c r="R1320" s="338"/>
      <c r="S1320" s="272"/>
      <c r="T1320" s="273"/>
      <c r="U1320" s="40"/>
      <c r="V1320" s="277"/>
      <c r="W1320" s="269"/>
      <c r="X1320" s="269"/>
      <c r="Y1320" s="275"/>
      <c r="Z1320" s="269"/>
      <c r="AA1320" s="57"/>
      <c r="AB1320" s="207"/>
      <c r="AC1320" s="33"/>
      <c r="AD1320" s="189"/>
      <c r="AE1320" s="54"/>
      <c r="AF1320" s="55"/>
      <c r="AG1320" s="43"/>
      <c r="AH1320" s="47"/>
      <c r="AI1320" s="30"/>
      <c r="AJ1320" s="30"/>
      <c r="AK1320" s="30"/>
      <c r="AL1320" s="30"/>
      <c r="AM1320" s="13"/>
      <c r="AN1320" s="13"/>
      <c r="AO1320" s="13"/>
      <c r="AP1320" s="13"/>
      <c r="AQ1320" s="13"/>
      <c r="AR1320" s="14"/>
      <c r="AS1320" s="15"/>
    </row>
    <row r="1321" spans="1:45" s="17" customFormat="1" ht="30.95" hidden="1" customHeight="1" x14ac:dyDescent="0.2">
      <c r="A1321" s="37" t="s">
        <v>1788</v>
      </c>
      <c r="B1321" s="38" t="s">
        <v>1780</v>
      </c>
      <c r="C1321" s="45"/>
      <c r="D1321" s="31">
        <v>3731360</v>
      </c>
      <c r="E1321" s="31">
        <v>4141035</v>
      </c>
      <c r="F1321" s="268" t="str">
        <f>IF(D1321="","",VLOOKUP(D1321,契約台帳!$A$3:$K$4986,6,FALSE)&amp;VLOOKUP(D1321,契約台帳!$A$3:$K$4986,7,FALSE)&amp;VLOOKUP(D1321,契約台帳!$A$3:$K$4986,8,FALSE)&amp;VLOOKUP(D1321,契約台帳!$A$3:$K$4986,9,FALSE)&amp;VLOOKUP(D1321,契約台帳!$A$3:$K$4986,11,FALSE))</f>
        <v>33SSNMCLBTEKV0V</v>
      </c>
      <c r="G1321" s="269" t="str">
        <f>IF(D1321="","",VLOOKUP(F1321,製品マスタ!$G$5:$H$5002,2,FALSE))</f>
        <v>S</v>
      </c>
      <c r="H1321" s="269" t="str">
        <f>IF(D1321="","",VLOOKUP(F1321,製品マスタ!$G$5:$K$5002,5,FALSE))</f>
        <v>TEKV0V</v>
      </c>
      <c r="I1321" s="270" t="str">
        <f>IF(D1321="","",VLOOKUP(F1321,製品マスタ!$G$5:$L$5002,6,FALSE))</f>
        <v>メタルミー　ＴＥ－Ｓ消　ＶＯＩＤ　Ｖ</v>
      </c>
      <c r="J1321" s="210" t="s">
        <v>447</v>
      </c>
      <c r="K1321" s="270">
        <f>IF(D1321="","",VLOOKUP(D1321,契約台帳!$A$3:$L$4986,12,FALSE))</f>
        <v>50</v>
      </c>
      <c r="L1321" s="270" t="str">
        <f>IF(D1321="","",INDEX(製品マスタ!$Q$5:$Q$5002,MATCH('S4'!F1321&amp;'S4'!K1321,製品マスタ!$AO$5:$AO$5002,0)))</f>
        <v>X44SEPA</v>
      </c>
      <c r="M1321" s="39">
        <v>1005</v>
      </c>
      <c r="N1321" s="39">
        <v>12000</v>
      </c>
      <c r="O1321" s="156">
        <v>3</v>
      </c>
      <c r="P1321" s="47">
        <v>3</v>
      </c>
      <c r="Q1321" s="57"/>
      <c r="R1321" s="271">
        <f ca="1">IF(D1321="","",IF(OFFSET(D1321,-1,0)&lt;&gt;"","",IF(OR(J1321="リード付け",J1321="巻足し",J1321="巻返しリード付け"),M1321,VLOOKUP(D1321,契約台帳!$A$3:$N$4986,14,FALSE))))</f>
        <v>1005</v>
      </c>
      <c r="S1321" s="272">
        <f ca="1">IF(D1321="","",IF(OFFSET(D1321,-1,0)&lt;&gt;"","",IF(OR(J1321="リード付け",J1321="巻足し",J1321="巻返しリード付け"),M1321,VLOOKUP(D1321,契約台帳!$A$3:$O$4986,15,FALSE))))</f>
        <v>1000</v>
      </c>
      <c r="T1321" s="273">
        <f ca="1">IF(D1321="","",IF(J1321="リード付け",N1321,IF(J1321="巻返しリード付け",N1321,IF(J1321="巻足し",N1321*P1321+OFFSET(N1321,1,0)*OFFSET(P1321,1,0),VLOOKUP(D1321,契約台帳!$A$3:$P$4986,16,FALSE)))))</f>
        <v>4000</v>
      </c>
      <c r="U1321" s="40">
        <v>9</v>
      </c>
      <c r="V1321" s="274">
        <f ca="1">IF(D1321="","",IF(OFFSET(D1321,-2,0)=D1321,"",VLOOKUP(D1321,契約台帳!$A$3:$R$4986,18,FALSE)))</f>
        <v>9</v>
      </c>
      <c r="W1321" s="269" t="str">
        <f ca="1">IF(D1321="","",IF(T1321="","",IF(OR(J1321="巻足し",J1321="巻返しリード付け"),"",IF(J1321="巻返し",VLOOKUP(F1321&amp;K1321&amp;M1321,製品マスタ!$M$5:$AD$5002,18,FALSE),IF(OR(J1321="リード付け",J1321="巻返しリード付け"),"原反コア",IF(J1321="スリット",VLOOKUP(F1321&amp;K1321&amp;R1321,製品マスタ!$N$5:$AD$5002,17,FALSE),""))))))</f>
        <v>6ｲﾝﾁSｺｱ</v>
      </c>
      <c r="X1321" s="269">
        <f ca="1">IF(D1321="","",IF(T1321="","",IF(J1321="巻足し","",IF(J1321="巻返し",VLOOKUP(F1321&amp;K1321&amp;M1321,製品マスタ!$M$5:$AE$5002,19,FALSE),IF(OR(J1321="リード付け",J1321="巻返しリード付け"),"",IF(J1321="スリット",VLOOKUP(F1321&amp;K1321&amp;R1321,製品マスタ!$N$5:$AE$5002,18,FALSE),""))))))</f>
        <v>1015</v>
      </c>
      <c r="Y1321" s="275">
        <f ca="1">IF(D1321="","",IF(T1321="","",VLOOKUP(D1321,契約台帳!$A$3:$Q$4986,17,FALSE)))</f>
        <v>2</v>
      </c>
      <c r="Z1321" s="269" t="str">
        <f ca="1">IF(D1321="","",IF(T1321="","",VLOOKUP(D1321,契約台帳!$A$3:$E$4986,5,FALSE)))</f>
        <v>リンテック㈱</v>
      </c>
      <c r="AA1321" s="57"/>
      <c r="AB1321" s="207"/>
      <c r="AC1321" s="33"/>
      <c r="AD1321" s="189"/>
      <c r="AE1321" s="54"/>
      <c r="AF1321" s="55"/>
      <c r="AG1321" s="43"/>
      <c r="AH1321" s="47"/>
      <c r="AI1321" s="30"/>
      <c r="AJ1321" s="30"/>
      <c r="AK1321" s="30"/>
      <c r="AL1321" s="30"/>
      <c r="AM1321" s="13"/>
      <c r="AN1321" s="13"/>
      <c r="AO1321" s="13"/>
      <c r="AP1321" s="13"/>
      <c r="AQ1321" s="13"/>
      <c r="AR1321" s="14"/>
      <c r="AS1321" s="15"/>
    </row>
    <row r="1322" spans="1:45" s="17" customFormat="1" ht="30.95" hidden="1" customHeight="1" x14ac:dyDescent="0.2">
      <c r="A1322" s="37"/>
      <c r="B1322" s="38"/>
      <c r="C1322" s="45"/>
      <c r="D1322" s="31"/>
      <c r="E1322" s="31"/>
      <c r="F1322" s="268"/>
      <c r="G1322" s="269"/>
      <c r="H1322" s="269"/>
      <c r="I1322" s="270"/>
      <c r="J1322" s="210"/>
      <c r="K1322" s="270"/>
      <c r="L1322" s="270"/>
      <c r="M1322" s="39"/>
      <c r="N1322" s="39"/>
      <c r="O1322" s="156"/>
      <c r="P1322" s="47"/>
      <c r="Q1322" s="57"/>
      <c r="R1322" s="338"/>
      <c r="S1322" s="272"/>
      <c r="T1322" s="273"/>
      <c r="U1322" s="40"/>
      <c r="V1322" s="277"/>
      <c r="W1322" s="269"/>
      <c r="X1322" s="269"/>
      <c r="Y1322" s="275"/>
      <c r="Z1322" s="269"/>
      <c r="AA1322" s="57"/>
      <c r="AB1322" s="207"/>
      <c r="AC1322" s="33"/>
      <c r="AD1322" s="189"/>
      <c r="AE1322" s="54"/>
      <c r="AF1322" s="55"/>
      <c r="AG1322" s="43"/>
      <c r="AH1322" s="47"/>
      <c r="AI1322" s="30"/>
      <c r="AJ1322" s="30"/>
      <c r="AK1322" s="30"/>
      <c r="AL1322" s="30"/>
      <c r="AM1322" s="13"/>
      <c r="AN1322" s="13"/>
      <c r="AO1322" s="13"/>
      <c r="AP1322" s="13"/>
      <c r="AQ1322" s="13"/>
      <c r="AR1322" s="14"/>
      <c r="AS1322" s="15"/>
    </row>
    <row r="1323" spans="1:45" s="17" customFormat="1" ht="30.95" hidden="1" customHeight="1" x14ac:dyDescent="0.2">
      <c r="A1323" s="37"/>
      <c r="B1323" s="38"/>
      <c r="C1323" s="45"/>
      <c r="D1323" s="31">
        <v>3731361</v>
      </c>
      <c r="E1323" s="31">
        <v>4141036</v>
      </c>
      <c r="F1323" s="268" t="str">
        <f>IF(D1323="","",VLOOKUP(D1323,契約台帳!$A$3:$K$4986,6,FALSE)&amp;VLOOKUP(D1323,契約台帳!$A$3:$K$4986,7,FALSE)&amp;VLOOKUP(D1323,契約台帳!$A$3:$K$4986,8,FALSE)&amp;VLOOKUP(D1323,契約台帳!$A$3:$K$4986,9,FALSE)&amp;VLOOKUP(D1323,契約台帳!$A$3:$K$4986,11,FALSE))</f>
        <v>33SSNMCLBTEKV0V</v>
      </c>
      <c r="G1323" s="269" t="str">
        <f>IF(D1323="","",VLOOKUP(F1323,製品マスタ!$G$5:$H$5002,2,FALSE))</f>
        <v>S</v>
      </c>
      <c r="H1323" s="269" t="str">
        <f>IF(D1323="","",VLOOKUP(F1323,製品マスタ!$G$5:$K$5002,5,FALSE))</f>
        <v>TEKV0V</v>
      </c>
      <c r="I1323" s="270" t="str">
        <f>IF(D1323="","",VLOOKUP(F1323,製品マスタ!$G$5:$L$5002,6,FALSE))</f>
        <v>メタルミー　ＴＥ－Ｓ消　ＶＯＩＤ　Ｖ</v>
      </c>
      <c r="J1323" s="210" t="s">
        <v>447</v>
      </c>
      <c r="K1323" s="270">
        <f>IF(D1323="","",VLOOKUP(D1323,契約台帳!$A$3:$L$4986,12,FALSE))</f>
        <v>50</v>
      </c>
      <c r="L1323" s="270" t="str">
        <f>IF(D1323="","",INDEX(製品マスタ!$Q$5:$Q$5002,MATCH('S4'!F1323&amp;'S4'!K1323,製品マスタ!$AO$5:$AO$5002,0)))</f>
        <v>X44SEPA</v>
      </c>
      <c r="M1323" s="39">
        <v>1005</v>
      </c>
      <c r="N1323" s="39">
        <v>12300</v>
      </c>
      <c r="O1323" s="156">
        <v>1</v>
      </c>
      <c r="P1323" s="47">
        <v>1</v>
      </c>
      <c r="Q1323" s="57"/>
      <c r="R1323" s="271">
        <f ca="1">IF(D1323="","",IF(OFFSET(D1323,-1,0)&lt;&gt;"","",IF(OR(J1323="リード付け",J1323="巻足し",J1323="巻返しリード付け"),M1323,VLOOKUP(D1323,契約台帳!$A$3:$N$4986,14,FALSE))))</f>
        <v>1005</v>
      </c>
      <c r="S1323" s="272">
        <f ca="1">IF(D1323="","",IF(OFFSET(D1323,-1,0)&lt;&gt;"","",IF(OR(J1323="リード付け",J1323="巻足し",J1323="巻返しリード付け"),M1323,VLOOKUP(D1323,契約台帳!$A$3:$O$4986,15,FALSE))))</f>
        <v>1000</v>
      </c>
      <c r="T1323" s="273">
        <f ca="1">IF(D1323="","",IF(J1323="リード付け",N1323,IF(J1323="巻返しリード付け",N1323,IF(J1323="巻足し",N1323*P1323+OFFSET(N1323,1,0)*OFFSET(P1323,1,0),VLOOKUP(D1323,契約台帳!$A$3:$P$4986,16,FALSE)))))</f>
        <v>4100</v>
      </c>
      <c r="U1323" s="40">
        <v>3</v>
      </c>
      <c r="V1323" s="274">
        <f ca="1">IF(D1323="","",IF(OFFSET(D1323,-2,0)=D1323,"",VLOOKUP(D1323,契約台帳!$A$3:$R$4986,18,FALSE)))</f>
        <v>3</v>
      </c>
      <c r="W1323" s="269" t="str">
        <f ca="1">IF(D1323="","",IF(T1323="","",IF(OR(J1323="巻足し",J1323="巻返しリード付け"),"",IF(J1323="巻返し",VLOOKUP(F1323&amp;K1323&amp;M1323,製品マスタ!$M$5:$AD$5002,18,FALSE),IF(OR(J1323="リード付け",J1323="巻返しリード付け"),"原反コア",IF(J1323="スリット",VLOOKUP(F1323&amp;K1323&amp;R1323,製品マスタ!$N$5:$AD$5002,17,FALSE),""))))))</f>
        <v>6ｲﾝﾁSｺｱ</v>
      </c>
      <c r="X1323" s="269">
        <f ca="1">IF(D1323="","",IF(T1323="","",IF(J1323="巻足し","",IF(J1323="巻返し",VLOOKUP(F1323&amp;K1323&amp;M1323,製品マスタ!$M$5:$AE$5002,19,FALSE),IF(OR(J1323="リード付け",J1323="巻返しリード付け"),"",IF(J1323="スリット",VLOOKUP(F1323&amp;K1323&amp;R1323,製品マスタ!$N$5:$AE$5002,18,FALSE),""))))))</f>
        <v>1015</v>
      </c>
      <c r="Y1323" s="275">
        <f ca="1">IF(D1323="","",IF(T1323="","",VLOOKUP(D1323,契約台帳!$A$3:$Q$4986,17,FALSE)))</f>
        <v>2</v>
      </c>
      <c r="Z1323" s="269" t="str">
        <f ca="1">IF(D1323="","",IF(T1323="","",VLOOKUP(D1323,契約台帳!$A$3:$E$4986,5,FALSE)))</f>
        <v>リンテック㈱</v>
      </c>
      <c r="AA1323" s="57"/>
      <c r="AB1323" s="207"/>
      <c r="AC1323" s="33"/>
      <c r="AD1323" s="189"/>
      <c r="AE1323" s="54"/>
      <c r="AF1323" s="55"/>
      <c r="AG1323" s="43"/>
      <c r="AH1323" s="47"/>
      <c r="AI1323" s="30"/>
      <c r="AJ1323" s="30"/>
      <c r="AK1323" s="30"/>
      <c r="AL1323" s="30"/>
      <c r="AM1323" s="13"/>
      <c r="AN1323" s="13"/>
      <c r="AO1323" s="13"/>
      <c r="AP1323" s="13"/>
      <c r="AQ1323" s="13"/>
      <c r="AR1323" s="14"/>
      <c r="AS1323" s="15"/>
    </row>
    <row r="1324" spans="1:45" s="17" customFormat="1" ht="30.95" hidden="1" customHeight="1" x14ac:dyDescent="0.2">
      <c r="A1324" s="37"/>
      <c r="B1324" s="38"/>
      <c r="C1324" s="45"/>
      <c r="D1324" s="31"/>
      <c r="E1324" s="31"/>
      <c r="F1324" s="268"/>
      <c r="G1324" s="269"/>
      <c r="H1324" s="269"/>
      <c r="I1324" s="270"/>
      <c r="J1324" s="210"/>
      <c r="K1324" s="270"/>
      <c r="L1324" s="270"/>
      <c r="M1324" s="39"/>
      <c r="N1324" s="39"/>
      <c r="O1324" s="156"/>
      <c r="P1324" s="47"/>
      <c r="Q1324" s="57"/>
      <c r="R1324" s="338"/>
      <c r="S1324" s="272"/>
      <c r="T1324" s="273"/>
      <c r="U1324" s="40"/>
      <c r="V1324" s="277"/>
      <c r="W1324" s="269"/>
      <c r="X1324" s="269"/>
      <c r="Y1324" s="275"/>
      <c r="Z1324" s="269"/>
      <c r="AA1324" s="57"/>
      <c r="AB1324" s="207"/>
      <c r="AC1324" s="33"/>
      <c r="AD1324" s="189"/>
      <c r="AE1324" s="54"/>
      <c r="AF1324" s="55"/>
      <c r="AG1324" s="43"/>
      <c r="AH1324" s="47"/>
      <c r="AI1324" s="30"/>
      <c r="AJ1324" s="30"/>
      <c r="AK1324" s="30"/>
      <c r="AL1324" s="30"/>
      <c r="AM1324" s="13"/>
      <c r="AN1324" s="13"/>
      <c r="AO1324" s="13"/>
      <c r="AP1324" s="13"/>
      <c r="AQ1324" s="13"/>
      <c r="AR1324" s="14"/>
      <c r="AS1324" s="15"/>
    </row>
    <row r="1325" spans="1:45" s="17" customFormat="1" ht="30.95" hidden="1" customHeight="1" x14ac:dyDescent="0.2">
      <c r="A1325" s="37"/>
      <c r="B1325" s="38"/>
      <c r="C1325" s="45"/>
      <c r="D1325" s="31">
        <v>3733362</v>
      </c>
      <c r="E1325" s="31">
        <v>4141063</v>
      </c>
      <c r="F1325" s="268" t="str">
        <f>IF(D1325="","",VLOOKUP(D1325,契約台帳!$A$3:$K$4986,6,FALSE)&amp;VLOOKUP(D1325,契約台帳!$A$3:$K$4986,7,FALSE)&amp;VLOOKUP(D1325,契約台帳!$A$3:$K$4986,8,FALSE)&amp;VLOOKUP(D1325,契約台帳!$A$3:$K$4986,9,FALSE)&amp;VLOOKUP(D1325,契約台帳!$A$3:$K$4986,11,FALSE))</f>
        <v>3TNMCLBHLKTV</v>
      </c>
      <c r="G1325" s="269" t="str">
        <f>IF(D1325="","",VLOOKUP(F1325,製品マスタ!$G$5:$H$5002,2,FALSE))</f>
        <v>T</v>
      </c>
      <c r="H1325" s="269" t="str">
        <f>IF(D1325="","",VLOOKUP(F1325,製品マスタ!$G$5:$K$5002,5,FALSE))</f>
        <v>HLKTV</v>
      </c>
      <c r="I1325" s="270" t="str">
        <f>IF(D1325="","",VLOOKUP(F1325,製品マスタ!$G$5:$L$5002,6,FALSE))</f>
        <v>メタルミー　ヘヤライン金艶　Ｖ</v>
      </c>
      <c r="J1325" s="210" t="s">
        <v>447</v>
      </c>
      <c r="K1325" s="270">
        <f>IF(D1325="","",VLOOKUP(D1325,契約台帳!$A$3:$L$4986,12,FALSE))</f>
        <v>25</v>
      </c>
      <c r="L1325" s="270" t="str">
        <f>IF(D1325="","",INDEX(製品マスタ!$Q$5:$Q$5002,MATCH('S4'!F1325&amp;'S4'!K1325,製品マスタ!$AO$5:$AO$5002,0)))</f>
        <v>HL25/EC</v>
      </c>
      <c r="M1325" s="39">
        <v>1030</v>
      </c>
      <c r="N1325" s="39">
        <v>4000</v>
      </c>
      <c r="O1325" s="156">
        <v>1</v>
      </c>
      <c r="P1325" s="47">
        <v>1</v>
      </c>
      <c r="Q1325" s="57"/>
      <c r="R1325" s="271">
        <f ca="1">IF(D1325="","",IF(OFFSET(D1325,-1,0)&lt;&gt;"","",IF(OR(J1325="リード付け",J1325="巻足し",J1325="巻返しリード付け"),M1325,VLOOKUP(D1325,契約台帳!$A$3:$N$4986,14,FALSE))))</f>
        <v>1000</v>
      </c>
      <c r="S1325" s="272">
        <f ca="1">IF(D1325="","",IF(OFFSET(D1325,-1,0)&lt;&gt;"","",IF(OR(J1325="リード付け",J1325="巻足し",J1325="巻返しリード付け"),M1325,VLOOKUP(D1325,契約台帳!$A$3:$O$4986,15,FALSE))))</f>
        <v>1000</v>
      </c>
      <c r="T1325" s="273">
        <f ca="1">IF(D1325="","",IF(J1325="リード付け",N1325,IF(J1325="巻返しリード付け",N1325,IF(J1325="巻足し",N1325*P1325+OFFSET(N1325,1,0)*OFFSET(P1325,1,0),VLOOKUP(D1325,契約台帳!$A$3:$P$4986,16,FALSE)))))</f>
        <v>2000</v>
      </c>
      <c r="U1325" s="40">
        <v>2</v>
      </c>
      <c r="V1325" s="274">
        <f ca="1">IF(D1325="","",IF(OFFSET(D1325,-2,0)=D1325,"",VLOOKUP(D1325,契約台帳!$A$3:$R$4986,18,FALSE)))</f>
        <v>2</v>
      </c>
      <c r="W1325" s="269" t="str">
        <f ca="1">IF(D1325="","",IF(T1325="","",IF(OR(J1325="巻足し",J1325="巻返しリード付け"),"",IF(J1325="巻返し",VLOOKUP(F1325&amp;K1325&amp;M1325,製品マスタ!$M$5:$AD$5002,18,FALSE),IF(OR(J1325="リード付け",J1325="巻返しリード付け"),"原反コア",IF(J1325="スリット",VLOOKUP(F1325&amp;K1325&amp;R1325,製品マスタ!$N$5:$AD$5002,17,FALSE),""))))))</f>
        <v>6ｲﾝﾁSｺｱ</v>
      </c>
      <c r="X1325" s="269">
        <f ca="1">IF(D1325="","",IF(T1325="","",IF(J1325="巻足し","",IF(J1325="巻返し",VLOOKUP(F1325&amp;K1325&amp;M1325,製品マスタ!$M$5:$AE$5002,19,FALSE),IF(OR(J1325="リード付け",J1325="巻返しリード付け"),"",IF(J1325="スリット",VLOOKUP(F1325&amp;K1325&amp;R1325,製品マスタ!$N$5:$AE$5002,18,FALSE),""))))))</f>
        <v>1015</v>
      </c>
      <c r="Y1325" s="275">
        <f ca="1">IF(D1325="","",IF(T1325="","",VLOOKUP(D1325,契約台帳!$A$3:$Q$4986,17,FALSE)))</f>
        <v>2</v>
      </c>
      <c r="Z1325" s="269" t="str">
        <f ca="1">IF(D1325="","",IF(T1325="","",VLOOKUP(D1325,契約台帳!$A$3:$E$4986,5,FALSE)))</f>
        <v>リンテック㈱</v>
      </c>
      <c r="AA1325" s="57"/>
      <c r="AB1325" s="207" t="s">
        <v>774</v>
      </c>
      <c r="AC1325" s="33"/>
      <c r="AD1325" s="189"/>
      <c r="AE1325" s="54"/>
      <c r="AF1325" s="55"/>
      <c r="AG1325" s="43"/>
      <c r="AH1325" s="47"/>
      <c r="AI1325" s="30"/>
      <c r="AJ1325" s="30"/>
      <c r="AK1325" s="30"/>
      <c r="AL1325" s="30"/>
      <c r="AM1325" s="13"/>
      <c r="AN1325" s="13"/>
      <c r="AO1325" s="13"/>
      <c r="AP1325" s="13"/>
      <c r="AQ1325" s="13"/>
      <c r="AR1325" s="14"/>
      <c r="AS1325" s="15"/>
    </row>
    <row r="1326" spans="1:45" s="17" customFormat="1" ht="30.95" hidden="1" customHeight="1" x14ac:dyDescent="0.2">
      <c r="A1326" s="37"/>
      <c r="B1326" s="38"/>
      <c r="C1326" s="45"/>
      <c r="D1326" s="31"/>
      <c r="E1326" s="31"/>
      <c r="F1326" s="268"/>
      <c r="G1326" s="269"/>
      <c r="H1326" s="269"/>
      <c r="I1326" s="270"/>
      <c r="J1326" s="210"/>
      <c r="K1326" s="270"/>
      <c r="L1326" s="270"/>
      <c r="M1326" s="39"/>
      <c r="N1326" s="39"/>
      <c r="O1326" s="156"/>
      <c r="P1326" s="47"/>
      <c r="Q1326" s="57"/>
      <c r="R1326" s="338"/>
      <c r="S1326" s="272"/>
      <c r="T1326" s="273"/>
      <c r="U1326" s="40"/>
      <c r="V1326" s="277"/>
      <c r="W1326" s="269"/>
      <c r="X1326" s="269"/>
      <c r="Y1326" s="275"/>
      <c r="Z1326" s="269"/>
      <c r="AA1326" s="57"/>
      <c r="AB1326" s="207"/>
      <c r="AC1326" s="33"/>
      <c r="AD1326" s="189"/>
      <c r="AE1326" s="54"/>
      <c r="AF1326" s="55"/>
      <c r="AG1326" s="43"/>
      <c r="AH1326" s="47"/>
      <c r="AI1326" s="30"/>
      <c r="AJ1326" s="30"/>
      <c r="AK1326" s="30"/>
      <c r="AL1326" s="30"/>
      <c r="AM1326" s="13"/>
      <c r="AN1326" s="13"/>
      <c r="AO1326" s="13"/>
      <c r="AP1326" s="13"/>
      <c r="AQ1326" s="13"/>
      <c r="AR1326" s="14"/>
      <c r="AS1326" s="15"/>
    </row>
    <row r="1327" spans="1:45" s="17" customFormat="1" ht="30.95" hidden="1" customHeight="1" x14ac:dyDescent="0.2">
      <c r="A1327" s="37"/>
      <c r="B1327" s="38"/>
      <c r="C1327" s="45"/>
      <c r="D1327" s="31">
        <v>3732679</v>
      </c>
      <c r="E1327" s="31">
        <v>4141056</v>
      </c>
      <c r="F1327" s="268" t="str">
        <f>IF(D1327="","",VLOOKUP(D1327,契約台帳!$A$3:$K$4986,6,FALSE)&amp;VLOOKUP(D1327,契約台帳!$A$3:$K$4986,7,FALSE)&amp;VLOOKUP(D1327,契約台帳!$A$3:$K$4986,8,FALSE)&amp;VLOOKUP(D1327,契約台帳!$A$3:$K$4986,9,FALSE)&amp;VLOOKUP(D1327,契約台帳!$A$3:$K$4986,11,FALSE))</f>
        <v>3TNMCLBHLGKJV</v>
      </c>
      <c r="G1327" s="269" t="str">
        <f>IF(D1327="","",VLOOKUP(F1327,製品マスタ!$G$5:$H$5002,2,FALSE))</f>
        <v>T</v>
      </c>
      <c r="H1327" s="269" t="str">
        <f>IF(D1327="","",VLOOKUP(F1327,製品マスタ!$G$5:$K$5002,5,FALSE))</f>
        <v>HLGKJV</v>
      </c>
      <c r="I1327" s="270" t="str">
        <f>IF(D1327="","",VLOOKUP(F1327,製品マスタ!$G$5:$L$5002,6,FALSE))</f>
        <v>メタルミー　ヘヤライン　銀消Ｖ</v>
      </c>
      <c r="J1327" s="210" t="s">
        <v>447</v>
      </c>
      <c r="K1327" s="270">
        <f>IF(D1327="","",VLOOKUP(D1327,契約台帳!$A$3:$L$4986,12,FALSE))</f>
        <v>50</v>
      </c>
      <c r="L1327" s="270" t="str">
        <f>IF(D1327="","",INDEX(製品マスタ!$Q$5:$Q$5002,MATCH('S4'!F1327&amp;'S4'!K1327,製品マスタ!$AO$5:$AO$5002,0)))</f>
        <v>HL-MAT</v>
      </c>
      <c r="M1327" s="39">
        <v>1005</v>
      </c>
      <c r="N1327" s="39">
        <v>8000</v>
      </c>
      <c r="O1327" s="156">
        <v>1</v>
      </c>
      <c r="P1327" s="47">
        <v>1</v>
      </c>
      <c r="Q1327" s="57"/>
      <c r="R1327" s="271">
        <f ca="1">IF(D1327="","",IF(OFFSET(D1327,-1,0)&lt;&gt;"","",IF(OR(J1327="リード付け",J1327="巻足し",J1327="巻返しリード付け"),M1327,VLOOKUP(D1327,契約台帳!$A$3:$N$4986,14,FALSE))))</f>
        <v>1005</v>
      </c>
      <c r="S1327" s="272">
        <f ca="1">IF(D1327="","",IF(OFFSET(D1327,-1,0)&lt;&gt;"","",IF(OR(J1327="リード付け",J1327="巻足し",J1327="巻返しリード付け"),M1327,VLOOKUP(D1327,契約台帳!$A$3:$O$4986,15,FALSE))))</f>
        <v>1000</v>
      </c>
      <c r="T1327" s="273">
        <f ca="1">IF(D1327="","",IF(J1327="リード付け",N1327,IF(J1327="巻返しリード付け",N1327,IF(J1327="巻足し",N1327*P1327+OFFSET(N1327,1,0)*OFFSET(P1327,1,0),VLOOKUP(D1327,契約台帳!$A$3:$P$4986,16,FALSE)))))</f>
        <v>4000</v>
      </c>
      <c r="U1327" s="40">
        <v>2</v>
      </c>
      <c r="V1327" s="274">
        <f ca="1">IF(D1327="","",IF(OFFSET(D1327,-2,0)=D1327,"",VLOOKUP(D1327,契約台帳!$A$3:$R$4986,18,FALSE)))</f>
        <v>2</v>
      </c>
      <c r="W1327" s="269" t="str">
        <f ca="1">IF(D1327="","",IF(T1327="","",IF(OR(J1327="巻足し",J1327="巻返しリード付け"),"",IF(J1327="巻返し",VLOOKUP(F1327&amp;K1327&amp;M1327,製品マスタ!$M$5:$AD$5002,18,FALSE),IF(OR(J1327="リード付け",J1327="巻返しリード付け"),"原反コア",IF(J1327="スリット",VLOOKUP(F1327&amp;K1327&amp;R1327,製品マスタ!$N$5:$AD$5002,17,FALSE),""))))))</f>
        <v>6ｲﾝﾁSｺｱ</v>
      </c>
      <c r="X1327" s="269">
        <f ca="1">IF(D1327="","",IF(T1327="","",IF(J1327="巻足し","",IF(J1327="巻返し",VLOOKUP(F1327&amp;K1327&amp;M1327,製品マスタ!$M$5:$AE$5002,19,FALSE),IF(OR(J1327="リード付け",J1327="巻返しリード付け"),"",IF(J1327="スリット",VLOOKUP(F1327&amp;K1327&amp;R1327,製品マスタ!$N$5:$AE$5002,18,FALSE),""))))))</f>
        <v>1015</v>
      </c>
      <c r="Y1327" s="275">
        <f ca="1">IF(D1327="","",IF(T1327="","",VLOOKUP(D1327,契約台帳!$A$3:$Q$4986,17,FALSE)))</f>
        <v>2</v>
      </c>
      <c r="Z1327" s="269" t="str">
        <f ca="1">IF(D1327="","",IF(T1327="","",VLOOKUP(D1327,契約台帳!$A$3:$E$4986,5,FALSE)))</f>
        <v>リンテック㈱</v>
      </c>
      <c r="AA1327" s="57"/>
      <c r="AB1327" s="207" t="s">
        <v>774</v>
      </c>
      <c r="AC1327" s="33"/>
      <c r="AD1327" s="189"/>
      <c r="AE1327" s="54"/>
      <c r="AF1327" s="55"/>
      <c r="AG1327" s="43"/>
      <c r="AH1327" s="47"/>
      <c r="AI1327" s="30"/>
      <c r="AJ1327" s="30"/>
      <c r="AK1327" s="30"/>
      <c r="AL1327" s="30"/>
      <c r="AM1327" s="13"/>
      <c r="AN1327" s="13"/>
      <c r="AO1327" s="13"/>
      <c r="AP1327" s="13"/>
      <c r="AQ1327" s="13"/>
      <c r="AR1327" s="14"/>
      <c r="AS1327" s="15"/>
    </row>
    <row r="1328" spans="1:45" s="17" customFormat="1" ht="30.95" hidden="1" customHeight="1" x14ac:dyDescent="0.2">
      <c r="A1328" s="37"/>
      <c r="B1328" s="38"/>
      <c r="C1328" s="45"/>
      <c r="D1328" s="31"/>
      <c r="E1328" s="31"/>
      <c r="F1328" s="268"/>
      <c r="G1328" s="269"/>
      <c r="H1328" s="269"/>
      <c r="I1328" s="270"/>
      <c r="J1328" s="210"/>
      <c r="K1328" s="270"/>
      <c r="L1328" s="270"/>
      <c r="M1328" s="39"/>
      <c r="N1328" s="39"/>
      <c r="O1328" s="156"/>
      <c r="P1328" s="47"/>
      <c r="Q1328" s="57"/>
      <c r="R1328" s="338"/>
      <c r="S1328" s="272"/>
      <c r="T1328" s="273"/>
      <c r="U1328" s="40"/>
      <c r="V1328" s="277"/>
      <c r="W1328" s="269"/>
      <c r="X1328" s="269"/>
      <c r="Y1328" s="275"/>
      <c r="Z1328" s="269"/>
      <c r="AA1328" s="57"/>
      <c r="AB1328" s="207"/>
      <c r="AC1328" s="33"/>
      <c r="AD1328" s="189"/>
      <c r="AE1328" s="54"/>
      <c r="AF1328" s="55"/>
      <c r="AG1328" s="43"/>
      <c r="AH1328" s="47"/>
      <c r="AI1328" s="30"/>
      <c r="AJ1328" s="30"/>
      <c r="AK1328" s="30"/>
      <c r="AL1328" s="30"/>
      <c r="AM1328" s="13"/>
      <c r="AN1328" s="13"/>
      <c r="AO1328" s="13"/>
      <c r="AP1328" s="13"/>
      <c r="AQ1328" s="13"/>
      <c r="AR1328" s="14"/>
      <c r="AS1328" s="15"/>
    </row>
    <row r="1329" spans="1:45" s="17" customFormat="1" ht="30.95" hidden="1" customHeight="1" x14ac:dyDescent="0.2">
      <c r="A1329" s="37" t="s">
        <v>658</v>
      </c>
      <c r="B1329" s="38" t="s">
        <v>445</v>
      </c>
      <c r="C1329" s="45"/>
      <c r="D1329" s="31"/>
      <c r="E1329" s="31"/>
      <c r="F1329" s="268"/>
      <c r="G1329" s="269"/>
      <c r="H1329" s="269"/>
      <c r="I1329" s="270"/>
      <c r="J1329" s="210" t="s">
        <v>448</v>
      </c>
      <c r="K1329" s="270"/>
      <c r="L1329" s="270"/>
      <c r="M1329" s="39"/>
      <c r="N1329" s="39"/>
      <c r="O1329" s="156"/>
      <c r="P1329" s="47"/>
      <c r="Q1329" s="57"/>
      <c r="R1329" s="338"/>
      <c r="S1329" s="272"/>
      <c r="T1329" s="273"/>
      <c r="U1329" s="40"/>
      <c r="V1329" s="277"/>
      <c r="W1329" s="269"/>
      <c r="X1329" s="269"/>
      <c r="Y1329" s="275"/>
      <c r="Z1329" s="269"/>
      <c r="AA1329" s="57"/>
      <c r="AB1329" s="207"/>
      <c r="AC1329" s="33"/>
      <c r="AD1329" s="189"/>
      <c r="AE1329" s="54"/>
      <c r="AF1329" s="55"/>
      <c r="AG1329" s="43"/>
      <c r="AH1329" s="47"/>
      <c r="AI1329" s="30"/>
      <c r="AJ1329" s="30"/>
      <c r="AK1329" s="30"/>
      <c r="AL1329" s="30"/>
      <c r="AM1329" s="13"/>
      <c r="AN1329" s="13"/>
      <c r="AO1329" s="13"/>
      <c r="AP1329" s="13"/>
      <c r="AQ1329" s="13"/>
      <c r="AR1329" s="14"/>
      <c r="AS1329" s="15"/>
    </row>
    <row r="1330" spans="1:45" s="17" customFormat="1" ht="30.95" hidden="1" customHeight="1" x14ac:dyDescent="0.2">
      <c r="A1330" s="37"/>
      <c r="B1330" s="38"/>
      <c r="C1330" s="45"/>
      <c r="D1330" s="31"/>
      <c r="E1330" s="31"/>
      <c r="F1330" s="268"/>
      <c r="G1330" s="269"/>
      <c r="H1330" s="269"/>
      <c r="I1330" s="270"/>
      <c r="J1330" s="210"/>
      <c r="K1330" s="270"/>
      <c r="L1330" s="270"/>
      <c r="M1330" s="39"/>
      <c r="N1330" s="39"/>
      <c r="O1330" s="156"/>
      <c r="P1330" s="47"/>
      <c r="Q1330" s="57"/>
      <c r="R1330" s="338"/>
      <c r="S1330" s="272"/>
      <c r="T1330" s="273"/>
      <c r="U1330" s="40"/>
      <c r="V1330" s="277"/>
      <c r="W1330" s="269"/>
      <c r="X1330" s="269"/>
      <c r="Y1330" s="275"/>
      <c r="Z1330" s="269"/>
      <c r="AA1330" s="57"/>
      <c r="AB1330" s="207"/>
      <c r="AC1330" s="33"/>
      <c r="AD1330" s="189"/>
      <c r="AE1330" s="54"/>
      <c r="AF1330" s="55"/>
      <c r="AG1330" s="43"/>
      <c r="AH1330" s="47"/>
      <c r="AI1330" s="30"/>
      <c r="AJ1330" s="30"/>
      <c r="AK1330" s="30"/>
      <c r="AL1330" s="30"/>
      <c r="AM1330" s="13"/>
      <c r="AN1330" s="13"/>
      <c r="AO1330" s="13"/>
      <c r="AP1330" s="13"/>
      <c r="AQ1330" s="13"/>
      <c r="AR1330" s="14"/>
      <c r="AS1330" s="15"/>
    </row>
    <row r="1331" spans="1:45" s="17" customFormat="1" ht="30.95" hidden="1" customHeight="1" x14ac:dyDescent="0.2">
      <c r="A1331" s="37" t="s">
        <v>659</v>
      </c>
      <c r="B1331" s="342" t="s">
        <v>446</v>
      </c>
      <c r="C1331" s="45"/>
      <c r="D1331" s="31"/>
      <c r="E1331" s="31"/>
      <c r="F1331" s="268"/>
      <c r="G1331" s="269"/>
      <c r="H1331" s="269"/>
      <c r="I1331" s="270"/>
      <c r="J1331" s="210" t="s">
        <v>448</v>
      </c>
      <c r="K1331" s="270"/>
      <c r="L1331" s="270"/>
      <c r="M1331" s="39"/>
      <c r="N1331" s="39"/>
      <c r="O1331" s="156"/>
      <c r="P1331" s="47"/>
      <c r="Q1331" s="57"/>
      <c r="R1331" s="338"/>
      <c r="S1331" s="272"/>
      <c r="T1331" s="273"/>
      <c r="U1331" s="40"/>
      <c r="V1331" s="277"/>
      <c r="W1331" s="269"/>
      <c r="X1331" s="269"/>
      <c r="Y1331" s="275"/>
      <c r="Z1331" s="269"/>
      <c r="AA1331" s="57"/>
      <c r="AB1331" s="207"/>
      <c r="AC1331" s="33"/>
      <c r="AD1331" s="189"/>
      <c r="AE1331" s="54"/>
      <c r="AF1331" s="55"/>
      <c r="AG1331" s="43"/>
      <c r="AH1331" s="47"/>
      <c r="AI1331" s="30"/>
      <c r="AJ1331" s="30"/>
      <c r="AK1331" s="30"/>
      <c r="AL1331" s="30"/>
      <c r="AM1331" s="13"/>
      <c r="AN1331" s="13"/>
      <c r="AO1331" s="13"/>
      <c r="AP1331" s="13"/>
      <c r="AQ1331" s="13"/>
      <c r="AR1331" s="14"/>
      <c r="AS1331" s="15"/>
    </row>
    <row r="1332" spans="1:45" s="17" customFormat="1" ht="30.95" hidden="1" customHeight="1" x14ac:dyDescent="0.2">
      <c r="A1332" s="37"/>
      <c r="B1332" s="38"/>
      <c r="C1332" s="45"/>
      <c r="D1332" s="31"/>
      <c r="E1332" s="31"/>
      <c r="F1332" s="268"/>
      <c r="G1332" s="269"/>
      <c r="H1332" s="269"/>
      <c r="I1332" s="270"/>
      <c r="J1332" s="210"/>
      <c r="K1332" s="270"/>
      <c r="L1332" s="270"/>
      <c r="M1332" s="39"/>
      <c r="N1332" s="39"/>
      <c r="O1332" s="156"/>
      <c r="P1332" s="47"/>
      <c r="Q1332" s="57"/>
      <c r="R1332" s="338"/>
      <c r="S1332" s="272"/>
      <c r="T1332" s="273"/>
      <c r="U1332" s="40"/>
      <c r="V1332" s="277"/>
      <c r="W1332" s="269"/>
      <c r="X1332" s="269"/>
      <c r="Y1332" s="275"/>
      <c r="Z1332" s="269"/>
      <c r="AA1332" s="57"/>
      <c r="AB1332" s="207"/>
      <c r="AC1332" s="33"/>
      <c r="AD1332" s="189"/>
      <c r="AE1332" s="54"/>
      <c r="AF1332" s="55"/>
      <c r="AG1332" s="43"/>
      <c r="AH1332" s="47"/>
      <c r="AI1332" s="30"/>
      <c r="AJ1332" s="30"/>
      <c r="AK1332" s="30"/>
      <c r="AL1332" s="30"/>
      <c r="AM1332" s="13"/>
      <c r="AN1332" s="13"/>
      <c r="AO1332" s="13"/>
      <c r="AP1332" s="13"/>
      <c r="AQ1332" s="13"/>
      <c r="AR1332" s="14"/>
      <c r="AS1332" s="15"/>
    </row>
    <row r="1333" spans="1:45" s="17" customFormat="1" ht="30.95" hidden="1" customHeight="1" x14ac:dyDescent="0.2">
      <c r="A1333" s="37" t="s">
        <v>660</v>
      </c>
      <c r="B1333" s="38" t="s">
        <v>462</v>
      </c>
      <c r="C1333" s="45"/>
      <c r="D1333" s="31">
        <v>3732681</v>
      </c>
      <c r="E1333" s="31">
        <v>4141057</v>
      </c>
      <c r="F1333" s="268" t="str">
        <f>IF(D1333="","",VLOOKUP(D1333,契約台帳!$A$3:$K$4986,6,FALSE)&amp;VLOOKUP(D1333,契約台帳!$A$3:$K$4986,7,FALSE)&amp;VLOOKUP(D1333,契約台帳!$A$3:$K$4986,8,FALSE)&amp;VLOOKUP(D1333,契約台帳!$A$3:$K$4986,9,FALSE)&amp;VLOOKUP(D1333,契約台帳!$A$3:$K$4986,11,FALSE))</f>
        <v>3TNMCLBHLGTV</v>
      </c>
      <c r="G1333" s="269" t="str">
        <f>IF(D1333="","",VLOOKUP(F1333,製品マスタ!$G$5:$H$5002,2,FALSE))</f>
        <v>T</v>
      </c>
      <c r="H1333" s="269" t="str">
        <f>IF(D1333="","",VLOOKUP(F1333,製品マスタ!$G$5:$K$5002,5,FALSE))</f>
        <v>HLGTV</v>
      </c>
      <c r="I1333" s="270" t="str">
        <f>IF(D1333="","",VLOOKUP(F1333,製品マスタ!$G$5:$L$5002,6,FALSE))</f>
        <v>メタルミー　ヘヤライン　銀艶Ｖ</v>
      </c>
      <c r="J1333" s="210" t="s">
        <v>447</v>
      </c>
      <c r="K1333" s="270">
        <f>IF(D1333="","",VLOOKUP(D1333,契約台帳!$A$3:$L$4986,12,FALSE))</f>
        <v>25</v>
      </c>
      <c r="L1333" s="270" t="s">
        <v>178</v>
      </c>
      <c r="M1333" s="39">
        <v>1005</v>
      </c>
      <c r="N1333" s="39">
        <v>8000</v>
      </c>
      <c r="O1333" s="156">
        <v>1</v>
      </c>
      <c r="P1333" s="47">
        <v>1</v>
      </c>
      <c r="Q1333" s="57"/>
      <c r="R1333" s="271">
        <f ca="1">IF(D1333="","",IF(OFFSET(D1333,-1,0)&lt;&gt;"","",IF(OR(J1333="リード付け",J1333="巻足し",J1333="巻返しリード付け"),M1333,VLOOKUP(D1333,契約台帳!$A$3:$N$4986,14,FALSE))))</f>
        <v>1005</v>
      </c>
      <c r="S1333" s="272">
        <f ca="1">IF(D1333="","",IF(OFFSET(D1333,-1,0)&lt;&gt;"","",IF(OR(J1333="リード付け",J1333="巻足し",J1333="巻返しリード付け"),M1333,VLOOKUP(D1333,契約台帳!$A$3:$O$4986,15,FALSE))))</f>
        <v>1000</v>
      </c>
      <c r="T1333" s="273">
        <f ca="1">IF(D1333="","",IF(J1333="リード付け",N1333,IF(J1333="巻返しリード付け",N1333,IF(J1333="巻足し",N1333*P1333+OFFSET(N1333,1,0)*OFFSET(P1333,1,0),VLOOKUP(D1333,契約台帳!$A$3:$P$4986,16,FALSE)))))</f>
        <v>2000</v>
      </c>
      <c r="U1333" s="40">
        <v>4</v>
      </c>
      <c r="V1333" s="274">
        <f ca="1">IF(D1333="","",IF(OFFSET(D1333,-2,0)=D1333,"",VLOOKUP(D1333,契約台帳!$A$3:$R$4986,18,FALSE)))</f>
        <v>4</v>
      </c>
      <c r="W1333" s="269" t="s">
        <v>806</v>
      </c>
      <c r="X1333" s="269">
        <v>1015</v>
      </c>
      <c r="Y1333" s="275">
        <f ca="1">IF(D1333="","",IF(T1333="","",VLOOKUP(D1333,契約台帳!$A$3:$Q$4986,17,FALSE)))</f>
        <v>2</v>
      </c>
      <c r="Z1333" s="269" t="str">
        <f ca="1">IF(D1333="","",IF(T1333="","",VLOOKUP(D1333,契約台帳!$A$3:$E$4986,5,FALSE)))</f>
        <v>リンテック㈱</v>
      </c>
      <c r="AA1333" s="57"/>
      <c r="AB1333" s="207" t="s">
        <v>774</v>
      </c>
      <c r="AC1333" s="33"/>
      <c r="AD1333" s="189"/>
      <c r="AE1333" s="54"/>
      <c r="AF1333" s="55"/>
      <c r="AG1333" s="43"/>
      <c r="AH1333" s="47"/>
      <c r="AI1333" s="30"/>
      <c r="AJ1333" s="30"/>
      <c r="AK1333" s="30"/>
      <c r="AL1333" s="30"/>
      <c r="AM1333" s="13"/>
      <c r="AN1333" s="13"/>
      <c r="AO1333" s="13"/>
      <c r="AP1333" s="13"/>
      <c r="AQ1333" s="13"/>
      <c r="AR1333" s="14"/>
      <c r="AS1333" s="15"/>
    </row>
    <row r="1334" spans="1:45" s="17" customFormat="1" ht="30.95" hidden="1" customHeight="1" x14ac:dyDescent="0.2">
      <c r="A1334" s="37"/>
      <c r="B1334" s="38"/>
      <c r="C1334" s="45"/>
      <c r="D1334" s="31"/>
      <c r="E1334" s="31"/>
      <c r="F1334" s="268"/>
      <c r="G1334" s="269"/>
      <c r="H1334" s="269"/>
      <c r="I1334" s="270"/>
      <c r="J1334" s="210"/>
      <c r="K1334" s="270"/>
      <c r="L1334" s="270"/>
      <c r="M1334" s="39"/>
      <c r="N1334" s="39"/>
      <c r="O1334" s="156"/>
      <c r="P1334" s="47"/>
      <c r="Q1334" s="57"/>
      <c r="R1334" s="338"/>
      <c r="S1334" s="272"/>
      <c r="T1334" s="273"/>
      <c r="U1334" s="40"/>
      <c r="V1334" s="277"/>
      <c r="W1334" s="269"/>
      <c r="X1334" s="269"/>
      <c r="Y1334" s="275"/>
      <c r="Z1334" s="269"/>
      <c r="AA1334" s="57"/>
      <c r="AB1334" s="207"/>
      <c r="AC1334" s="33"/>
      <c r="AD1334" s="189"/>
      <c r="AE1334" s="54"/>
      <c r="AF1334" s="55"/>
      <c r="AG1334" s="43"/>
      <c r="AH1334" s="47"/>
      <c r="AI1334" s="30"/>
      <c r="AJ1334" s="30"/>
      <c r="AK1334" s="30"/>
      <c r="AL1334" s="30"/>
      <c r="AM1334" s="13"/>
      <c r="AN1334" s="13"/>
      <c r="AO1334" s="13"/>
      <c r="AP1334" s="13"/>
      <c r="AQ1334" s="13"/>
      <c r="AR1334" s="14"/>
      <c r="AS1334" s="15"/>
    </row>
    <row r="1335" spans="1:45" s="17" customFormat="1" ht="30.6" hidden="1" customHeight="1" x14ac:dyDescent="0.2">
      <c r="A1335" s="37"/>
      <c r="B1335" s="38"/>
      <c r="C1335" s="45"/>
      <c r="D1335" s="31">
        <v>3732676</v>
      </c>
      <c r="E1335" s="31">
        <v>4141055</v>
      </c>
      <c r="F1335" s="268" t="str">
        <f>IF(D1335="","",VLOOKUP(D1335,契約台帳!$A$3:$K$4986,6,FALSE)&amp;VLOOKUP(D1335,契約台帳!$A$3:$K$4986,7,FALSE)&amp;VLOOKUP(D1335,契約台帳!$A$3:$K$4986,8,FALSE)&amp;VLOOKUP(D1335,契約台帳!$A$3:$K$4986,9,FALSE)&amp;VLOOKUP(D1335,契約台帳!$A$3:$K$4986,11,FALSE))</f>
        <v>3HSNMCLBWCB</v>
      </c>
      <c r="G1335" s="269" t="str">
        <f>IF(D1335="","",VLOOKUP(F1335,製品マスタ!$G$5:$H$5002,2,FALSE))</f>
        <v>S</v>
      </c>
      <c r="H1335" s="269" t="str">
        <f>IF(D1335="","",VLOOKUP(F1335,製品マスタ!$G$5:$K$5002,5,FALSE))</f>
        <v>WCB</v>
      </c>
      <c r="I1335" s="270" t="str">
        <f>IF(D1335="","",VLOOKUP(F1335,製品マスタ!$G$5:$L$5002,6,FALSE))</f>
        <v>メタルミー　ホワイトコート　（Ｂ）</v>
      </c>
      <c r="J1335" s="210" t="s">
        <v>463</v>
      </c>
      <c r="K1335" s="270">
        <f>IF(D1335="","",VLOOKUP(D1335,契約台帳!$A$3:$L$4986,12,FALSE))</f>
        <v>50</v>
      </c>
      <c r="L1335" s="270" t="s">
        <v>1759</v>
      </c>
      <c r="M1335" s="39">
        <v>1195</v>
      </c>
      <c r="N1335" s="39">
        <v>12200</v>
      </c>
      <c r="O1335" s="156">
        <v>1</v>
      </c>
      <c r="P1335" s="47">
        <v>1</v>
      </c>
      <c r="Q1335" s="57"/>
      <c r="R1335" s="271">
        <f ca="1">IF(D1335="","",IF(OFFSET(D1335,-1,0)&lt;&gt;"","",IF(OR(J1335="リード付け",J1335="巻足し",J1335="巻返しリード付け"),M1335,VLOOKUP(D1335,契約台帳!$A$3:$N$4986,14,FALSE))))</f>
        <v>1120</v>
      </c>
      <c r="S1335" s="272">
        <f ca="1">IF(D1335="","",IF(OFFSET(D1335,-1,0)&lt;&gt;"","",IF(OR(J1335="リード付け",J1335="巻足し",J1335="巻返しリード付け"),M1335,VLOOKUP(D1335,契約台帳!$A$3:$O$4986,15,FALSE))))</f>
        <v>1120</v>
      </c>
      <c r="T1335" s="273">
        <v>6000</v>
      </c>
      <c r="U1335" s="40">
        <v>2</v>
      </c>
      <c r="V1335" s="274">
        <f ca="1">IF(D1335="","",IF(OFFSET(D1335,-2,0)=D1335,"",VLOOKUP(D1335,契約台帳!$A$3:$R$4986,18,FALSE)))</f>
        <v>2</v>
      </c>
      <c r="W1335" s="269" t="s">
        <v>806</v>
      </c>
      <c r="X1335" s="269">
        <v>1140</v>
      </c>
      <c r="Y1335" s="275">
        <f>IF(D1335="","",IF(T1335="","",VLOOKUP(D1335,契約台帳!$A$3:$Q$4986,17,FALSE)))</f>
        <v>2</v>
      </c>
      <c r="Z1335" s="269" t="str">
        <f>IF(D1335="","",IF(T1335="","",VLOOKUP(D1335,契約台帳!$A$3:$E$4986,5,FALSE)))</f>
        <v>新タック化成㈱</v>
      </c>
      <c r="AA1335" s="57"/>
      <c r="AB1335" s="207"/>
      <c r="AC1335" s="33"/>
      <c r="AD1335" s="189"/>
      <c r="AE1335" s="54"/>
      <c r="AF1335" s="55"/>
      <c r="AG1335" s="43"/>
      <c r="AH1335" s="47"/>
      <c r="AI1335" s="30"/>
      <c r="AJ1335" s="30"/>
      <c r="AK1335" s="30"/>
      <c r="AL1335" s="30"/>
      <c r="AM1335" s="13"/>
      <c r="AN1335" s="13"/>
      <c r="AO1335" s="13"/>
      <c r="AP1335" s="13"/>
      <c r="AQ1335" s="13"/>
      <c r="AR1335" s="14"/>
      <c r="AS1335" s="15"/>
    </row>
    <row r="1336" spans="1:45" s="17" customFormat="1" ht="30.95" hidden="1" customHeight="1" x14ac:dyDescent="0.2">
      <c r="A1336" s="37"/>
      <c r="B1336" s="38"/>
      <c r="C1336" s="45"/>
      <c r="D1336" s="31"/>
      <c r="E1336" s="31"/>
      <c r="F1336" s="268"/>
      <c r="G1336" s="269"/>
      <c r="H1336" s="269"/>
      <c r="I1336" s="270"/>
      <c r="J1336" s="210"/>
      <c r="K1336" s="270"/>
      <c r="L1336" s="270"/>
      <c r="M1336" s="39"/>
      <c r="N1336" s="39"/>
      <c r="O1336" s="156"/>
      <c r="P1336" s="47"/>
      <c r="Q1336" s="57"/>
      <c r="R1336" s="338"/>
      <c r="S1336" s="272"/>
      <c r="T1336" s="273"/>
      <c r="U1336" s="40"/>
      <c r="V1336" s="277"/>
      <c r="W1336" s="269"/>
      <c r="X1336" s="269"/>
      <c r="Y1336" s="275"/>
      <c r="Z1336" s="269"/>
      <c r="AA1336" s="57"/>
      <c r="AB1336" s="207"/>
      <c r="AC1336" s="33"/>
      <c r="AD1336" s="189"/>
      <c r="AE1336" s="54"/>
      <c r="AF1336" s="55"/>
      <c r="AG1336" s="43"/>
      <c r="AH1336" s="47"/>
      <c r="AI1336" s="30"/>
      <c r="AJ1336" s="30"/>
      <c r="AK1336" s="30"/>
      <c r="AL1336" s="30"/>
      <c r="AM1336" s="13"/>
      <c r="AN1336" s="13"/>
      <c r="AO1336" s="13"/>
      <c r="AP1336" s="13"/>
      <c r="AQ1336" s="13"/>
      <c r="AR1336" s="14"/>
      <c r="AS1336" s="15"/>
    </row>
    <row r="1337" spans="1:45" s="17" customFormat="1" ht="30.95" hidden="1" customHeight="1" x14ac:dyDescent="0.2">
      <c r="A1337" s="37"/>
      <c r="B1337" s="38"/>
      <c r="C1337" s="45"/>
      <c r="D1337" s="31">
        <v>3731344</v>
      </c>
      <c r="E1337" s="31">
        <v>4141062</v>
      </c>
      <c r="F1337" s="268" t="str">
        <f>IF(D1337="","",VLOOKUP(D1337,契約台帳!$A$3:$K$4986,6,FALSE)&amp;VLOOKUP(D1337,契約台帳!$A$3:$K$4986,7,FALSE)&amp;VLOOKUP(D1337,契約台帳!$A$3:$K$4986,8,FALSE)&amp;VLOOKUP(D1337,契約台帳!$A$3:$K$4986,9,FALSE)&amp;VLOOKUP(D1337,契約台帳!$A$3:$K$4986,11,FALSE))</f>
        <v>3SNCLBLEYK</v>
      </c>
      <c r="G1337" s="269" t="str">
        <f>IF(D1337="","",VLOOKUP(F1337,製品マスタ!$G$5:$H$5002,2,FALSE))</f>
        <v>S</v>
      </c>
      <c r="H1337" s="269" t="str">
        <f>IF(D1337="","",VLOOKUP(F1337,製品マスタ!$G$5:$K$5002,5,FALSE))</f>
        <v>LEYK</v>
      </c>
      <c r="I1337" s="270" t="str">
        <f>IF(D1337="","",VLOOKUP(F1337,製品マスタ!$G$5:$L$5002,6,FALSE))</f>
        <v>ルミラー　ＥＹＫ</v>
      </c>
      <c r="J1337" s="210" t="s">
        <v>447</v>
      </c>
      <c r="K1337" s="270">
        <f>IF(D1337="","",VLOOKUP(D1337,契約台帳!$A$3:$L$4986,12,FALSE))</f>
        <v>50</v>
      </c>
      <c r="L1337" s="270" t="str">
        <f>IF(D1337="","",INDEX(製品マスタ!$Q$5:$Q$5002,MATCH('S4'!F1337&amp;'S4'!K1337,製品マスタ!$AO$5:$AO$5002,0)))</f>
        <v>T62M</v>
      </c>
      <c r="M1337" s="39">
        <v>1125</v>
      </c>
      <c r="N1337" s="39">
        <v>6100</v>
      </c>
      <c r="O1337" s="156">
        <v>1</v>
      </c>
      <c r="P1337" s="47">
        <v>8</v>
      </c>
      <c r="Q1337" s="57"/>
      <c r="R1337" s="271">
        <f ca="1">IF(D1337="","",IF(OFFSET(D1337,-1,0)&lt;&gt;"","",IF(OR(J1337="リード付け",J1337="巻足し",J1337="巻返しリード付け"),M1337,VLOOKUP(D1337,契約台帳!$A$3:$N$4986,14,FALSE))))</f>
        <v>1120</v>
      </c>
      <c r="S1337" s="272">
        <f ca="1">IF(D1337="","",IF(OFFSET(D1337,-1,0)&lt;&gt;"","",IF(OR(J1337="リード付け",J1337="巻足し",J1337="巻返しリード付け"),M1337,VLOOKUP(D1337,契約台帳!$A$3:$O$4986,15,FALSE))))</f>
        <v>1120</v>
      </c>
      <c r="T1337" s="273">
        <f ca="1">IF(D1337="","",IF(J1337="リード付け",N1337,IF(J1337="巻返しリード付け",N1337,IF(J1337="巻足し",N1337*P1337+OFFSET(N1337,1,0)*OFFSET(P1337,1,0),VLOOKUP(D1337,契約台帳!$A$3:$P$4986,16,FALSE)))))</f>
        <v>6000</v>
      </c>
      <c r="U1337" s="40">
        <v>1</v>
      </c>
      <c r="V1337" s="274">
        <f ca="1">IF(D1337="","",IF(OFFSET(D1337,-2,0)=D1337,"",VLOOKUP(D1337,契約台帳!$A$3:$R$4986,18,FALSE)))</f>
        <v>8</v>
      </c>
      <c r="W1337" s="269" t="str">
        <f ca="1">IF(D1337="","",IF(T1337="","",IF(OR(J1337="巻足し",J1337="巻返しリード付け"),"",IF(J1337="巻返し",VLOOKUP(F1337&amp;K1337&amp;M1337,製品マスタ!$M$5:$AD$5002,18,FALSE),IF(OR(J1337="リード付け",J1337="巻返しリード付け"),"原反コア",IF(J1337="スリット",VLOOKUP(F1337&amp;K1337&amp;R1337,製品マスタ!$N$5:$AD$5002,17,FALSE),""))))))</f>
        <v>6ｲﾝﾁMｺｱ</v>
      </c>
      <c r="X1337" s="269">
        <f ca="1">IF(D1337="","",IF(T1337="","",IF(J1337="巻足し","",IF(J1337="巻返し",VLOOKUP(F1337&amp;K1337&amp;M1337,製品マスタ!$M$5:$AE$5002,19,FALSE),IF(OR(J1337="リード付け",J1337="巻返しリード付け"),"",IF(J1337="スリット",VLOOKUP(F1337&amp;K1337&amp;R1337,製品マスタ!$N$5:$AE$5002,18,FALSE),""))))))</f>
        <v>1140</v>
      </c>
      <c r="Y1337" s="275">
        <f ca="1">IF(D1337="","",IF(T1337="","",VLOOKUP(D1337,契約台帳!$A$3:$Q$4986,17,FALSE)))</f>
        <v>2</v>
      </c>
      <c r="Z1337" s="269" t="str">
        <f ca="1">IF(D1337="","",IF(T1337="","",VLOOKUP(D1337,契約台帳!$A$3:$E$4986,5,FALSE)))</f>
        <v>新タック化成㈱</v>
      </c>
      <c r="AA1337" s="57"/>
      <c r="AB1337" s="207"/>
      <c r="AC1337" s="33"/>
      <c r="AD1337" s="189"/>
      <c r="AE1337" s="54"/>
      <c r="AF1337" s="55"/>
      <c r="AG1337" s="43"/>
      <c r="AH1337" s="47"/>
      <c r="AI1337" s="30"/>
      <c r="AJ1337" s="30"/>
      <c r="AK1337" s="30"/>
      <c r="AL1337" s="30"/>
      <c r="AM1337" s="13"/>
      <c r="AN1337" s="13"/>
      <c r="AO1337" s="13"/>
      <c r="AP1337" s="13"/>
      <c r="AQ1337" s="13"/>
      <c r="AR1337" s="14"/>
      <c r="AS1337" s="15"/>
    </row>
    <row r="1338" spans="1:45" s="17" customFormat="1" ht="30.95" hidden="1" customHeight="1" x14ac:dyDescent="0.2">
      <c r="A1338" s="37"/>
      <c r="B1338" s="38"/>
      <c r="C1338" s="45"/>
      <c r="D1338" s="31"/>
      <c r="E1338" s="31"/>
      <c r="F1338" s="268"/>
      <c r="G1338" s="269"/>
      <c r="H1338" s="269"/>
      <c r="I1338" s="270"/>
      <c r="J1338" s="210"/>
      <c r="K1338" s="270"/>
      <c r="L1338" s="270"/>
      <c r="M1338" s="39"/>
      <c r="N1338" s="39"/>
      <c r="O1338" s="156"/>
      <c r="P1338" s="47"/>
      <c r="Q1338" s="57"/>
      <c r="R1338" s="338"/>
      <c r="S1338" s="272"/>
      <c r="T1338" s="273"/>
      <c r="U1338" s="40"/>
      <c r="V1338" s="277"/>
      <c r="W1338" s="269"/>
      <c r="X1338" s="269"/>
      <c r="Y1338" s="275"/>
      <c r="Z1338" s="269"/>
      <c r="AA1338" s="57"/>
      <c r="AB1338" s="207"/>
      <c r="AC1338" s="33"/>
      <c r="AD1338" s="189"/>
      <c r="AE1338" s="54"/>
      <c r="AF1338" s="55"/>
      <c r="AG1338" s="43"/>
      <c r="AH1338" s="47"/>
      <c r="AI1338" s="30"/>
      <c r="AJ1338" s="30"/>
      <c r="AK1338" s="30"/>
      <c r="AL1338" s="30"/>
      <c r="AM1338" s="13"/>
      <c r="AN1338" s="13"/>
      <c r="AO1338" s="13"/>
      <c r="AP1338" s="13"/>
      <c r="AQ1338" s="13"/>
      <c r="AR1338" s="14"/>
      <c r="AS1338" s="15"/>
    </row>
    <row r="1339" spans="1:45" s="233" customFormat="1" ht="30.95" hidden="1" customHeight="1" x14ac:dyDescent="0.2">
      <c r="A1339" s="217"/>
      <c r="B1339" s="218"/>
      <c r="C1339" s="280"/>
      <c r="D1339" s="219"/>
      <c r="E1339" s="219"/>
      <c r="F1339" s="281"/>
      <c r="G1339" s="282"/>
      <c r="H1339" s="282"/>
      <c r="I1339" s="283"/>
      <c r="J1339" s="289"/>
      <c r="K1339" s="283"/>
      <c r="L1339" s="283"/>
      <c r="M1339" s="221"/>
      <c r="N1339" s="221"/>
      <c r="O1339" s="290"/>
      <c r="P1339" s="222"/>
      <c r="Q1339" s="213"/>
      <c r="R1339" s="383"/>
      <c r="S1339" s="292"/>
      <c r="T1339" s="293"/>
      <c r="U1339" s="224"/>
      <c r="V1339" s="285"/>
      <c r="W1339" s="282"/>
      <c r="X1339" s="282"/>
      <c r="Y1339" s="287"/>
      <c r="Z1339" s="282"/>
      <c r="AA1339" s="213"/>
      <c r="AB1339" s="288"/>
      <c r="AC1339" s="225"/>
      <c r="AD1339" s="226"/>
      <c r="AE1339" s="227"/>
      <c r="AF1339" s="228"/>
      <c r="AG1339" s="223"/>
      <c r="AH1339" s="234">
        <f>SUM(AH1287:AH1299)</f>
        <v>123319.04000000001</v>
      </c>
      <c r="AI1339" s="229"/>
      <c r="AJ1339" s="229"/>
      <c r="AK1339" s="229"/>
      <c r="AL1339" s="229"/>
      <c r="AM1339" s="230"/>
      <c r="AN1339" s="230"/>
      <c r="AO1339" s="230"/>
      <c r="AP1339" s="230"/>
      <c r="AQ1339" s="230"/>
      <c r="AR1339" s="231"/>
      <c r="AS1339" s="232"/>
    </row>
    <row r="1340" spans="1:45" s="17" customFormat="1" ht="30.95" hidden="1" customHeight="1" x14ac:dyDescent="0.2">
      <c r="A1340" s="37"/>
      <c r="B1340" s="38"/>
      <c r="C1340" s="45"/>
      <c r="D1340" s="31"/>
      <c r="E1340" s="31"/>
      <c r="F1340" s="268"/>
      <c r="G1340" s="269"/>
      <c r="H1340" s="269"/>
      <c r="I1340" s="270"/>
      <c r="J1340" s="210"/>
      <c r="K1340" s="270"/>
      <c r="L1340" s="270"/>
      <c r="M1340" s="39"/>
      <c r="N1340" s="39"/>
      <c r="O1340" s="156"/>
      <c r="P1340" s="47"/>
      <c r="Q1340" s="57"/>
      <c r="R1340" s="338"/>
      <c r="S1340" s="272"/>
      <c r="T1340" s="273"/>
      <c r="U1340" s="40"/>
      <c r="V1340" s="277"/>
      <c r="W1340" s="269"/>
      <c r="X1340" s="269"/>
      <c r="Y1340" s="275"/>
      <c r="Z1340" s="269"/>
      <c r="AA1340" s="57"/>
      <c r="AB1340" s="207"/>
      <c r="AC1340" s="33"/>
      <c r="AD1340" s="189"/>
      <c r="AE1340" s="54"/>
      <c r="AF1340" s="55"/>
      <c r="AG1340" s="43"/>
      <c r="AH1340" s="47"/>
      <c r="AI1340" s="30"/>
      <c r="AJ1340" s="30"/>
      <c r="AK1340" s="30"/>
      <c r="AL1340" s="30"/>
      <c r="AM1340" s="13"/>
      <c r="AN1340" s="13"/>
      <c r="AO1340" s="13"/>
      <c r="AP1340" s="13"/>
      <c r="AQ1340" s="13"/>
      <c r="AR1340" s="14"/>
      <c r="AS1340" s="15"/>
    </row>
    <row r="1341" spans="1:45" s="17" customFormat="1" ht="30.95" hidden="1" customHeight="1" x14ac:dyDescent="0.2">
      <c r="A1341" s="37" t="s">
        <v>661</v>
      </c>
      <c r="B1341" s="38" t="s">
        <v>688</v>
      </c>
      <c r="C1341" s="45"/>
      <c r="D1341" s="31"/>
      <c r="E1341" s="31"/>
      <c r="F1341" s="268"/>
      <c r="G1341" s="269"/>
      <c r="H1341" s="269"/>
      <c r="I1341" s="270"/>
      <c r="J1341" s="210" t="s">
        <v>665</v>
      </c>
      <c r="K1341" s="270"/>
      <c r="L1341" s="270"/>
      <c r="M1341" s="39"/>
      <c r="N1341" s="39"/>
      <c r="O1341" s="156"/>
      <c r="P1341" s="47"/>
      <c r="Q1341" s="57"/>
      <c r="R1341" s="338"/>
      <c r="S1341" s="272"/>
      <c r="T1341" s="273"/>
      <c r="U1341" s="40"/>
      <c r="V1341" s="277"/>
      <c r="W1341" s="269"/>
      <c r="X1341" s="269"/>
      <c r="Y1341" s="275"/>
      <c r="Z1341" s="269"/>
      <c r="AA1341" s="57"/>
      <c r="AB1341" s="207"/>
      <c r="AC1341" s="33"/>
      <c r="AD1341" s="189"/>
      <c r="AE1341" s="54"/>
      <c r="AF1341" s="55"/>
      <c r="AG1341" s="43"/>
      <c r="AH1341" s="47"/>
      <c r="AI1341" s="30"/>
      <c r="AJ1341" s="30"/>
      <c r="AK1341" s="30"/>
      <c r="AL1341" s="30"/>
      <c r="AM1341" s="13"/>
      <c r="AN1341" s="13"/>
      <c r="AO1341" s="13"/>
      <c r="AP1341" s="13"/>
      <c r="AQ1341" s="13"/>
      <c r="AR1341" s="14"/>
      <c r="AS1341" s="15"/>
    </row>
    <row r="1342" spans="1:45" s="17" customFormat="1" ht="30.95" hidden="1" customHeight="1" x14ac:dyDescent="0.2">
      <c r="A1342" s="37"/>
      <c r="B1342" s="38"/>
      <c r="C1342" s="45"/>
      <c r="D1342" s="31"/>
      <c r="E1342" s="31"/>
      <c r="F1342" s="268"/>
      <c r="G1342" s="269"/>
      <c r="H1342" s="269"/>
      <c r="I1342" s="270"/>
      <c r="J1342" s="210"/>
      <c r="K1342" s="270"/>
      <c r="L1342" s="270"/>
      <c r="M1342" s="39"/>
      <c r="N1342" s="39"/>
      <c r="O1342" s="156"/>
      <c r="P1342" s="47"/>
      <c r="Q1342" s="57"/>
      <c r="R1342" s="338"/>
      <c r="S1342" s="272"/>
      <c r="T1342" s="273"/>
      <c r="U1342" s="40"/>
      <c r="V1342" s="277"/>
      <c r="W1342" s="269"/>
      <c r="X1342" s="269"/>
      <c r="Y1342" s="275"/>
      <c r="Z1342" s="269"/>
      <c r="AA1342" s="57"/>
      <c r="AB1342" s="207"/>
      <c r="AC1342" s="33"/>
      <c r="AD1342" s="189"/>
      <c r="AE1342" s="54"/>
      <c r="AF1342" s="55"/>
      <c r="AG1342" s="43"/>
      <c r="AH1342" s="47"/>
      <c r="AI1342" s="30"/>
      <c r="AJ1342" s="30"/>
      <c r="AK1342" s="30"/>
      <c r="AL1342" s="30"/>
      <c r="AM1342" s="13"/>
      <c r="AN1342" s="13"/>
      <c r="AO1342" s="13"/>
      <c r="AP1342" s="13"/>
      <c r="AQ1342" s="13"/>
      <c r="AR1342" s="14"/>
      <c r="AS1342" s="15"/>
    </row>
    <row r="1343" spans="1:45" s="17" customFormat="1" ht="30.95" hidden="1" customHeight="1" x14ac:dyDescent="0.2">
      <c r="A1343" s="37"/>
      <c r="B1343" s="38"/>
      <c r="C1343" s="45"/>
      <c r="D1343" s="31">
        <v>3735117</v>
      </c>
      <c r="E1343" s="31">
        <v>4162175</v>
      </c>
      <c r="F1343" s="268" t="str">
        <f>IF(D1343="","",VLOOKUP(D1343,契約台帳!$A$3:$K$4986,6,FALSE)&amp;VLOOKUP(D1343,契約台帳!$A$3:$K$4986,7,FALSE)&amp;VLOOKUP(D1343,契約台帳!$A$3:$K$4986,8,FALSE)&amp;VLOOKUP(D1343,契約台帳!$A$3:$K$4986,9,FALSE)&amp;VLOOKUP(D1343,契約台帳!$A$3:$K$4986,11,FALSE))</f>
        <v>3HSNMLBMNGTBF</v>
      </c>
      <c r="G1343" s="269" t="str">
        <f>IF(D1343="","",VLOOKUP(F1343,製品マスタ!$G$5:$H$5002,2,FALSE))</f>
        <v>S</v>
      </c>
      <c r="H1343" s="269" t="str">
        <f>IF(D1343="","",VLOOKUP(F1343,製品マスタ!$G$5:$K$5002,5,FALSE))</f>
        <v>MNGTBF</v>
      </c>
      <c r="I1343" s="270" t="str">
        <f>IF(D1343="","",VLOOKUP(F1343,製品マスタ!$G$5:$L$5002,6,FALSE))</f>
        <v>メタルミー　ネーマー　銀艶　Ｂ</v>
      </c>
      <c r="J1343" s="210" t="s">
        <v>935</v>
      </c>
      <c r="K1343" s="270">
        <f>IF(D1343="","",VLOOKUP(D1343,契約台帳!$A$3:$L$4986,12,FALSE))</f>
        <v>50</v>
      </c>
      <c r="L1343" s="270" t="str">
        <f>IF(D1343="","",INDEX(製品マスタ!$Q$5:$Q$5002,MATCH('S4'!F1343&amp;'S4'!K1343,製品マスタ!$AO$5:$AO$5002,0)))</f>
        <v>T62M</v>
      </c>
      <c r="M1343" s="39">
        <v>1195</v>
      </c>
      <c r="N1343" s="39">
        <v>6100</v>
      </c>
      <c r="O1343" s="156">
        <v>6</v>
      </c>
      <c r="P1343" s="47">
        <v>2</v>
      </c>
      <c r="Q1343" s="213">
        <v>45258</v>
      </c>
      <c r="R1343" s="271">
        <f ca="1">IF(D1343="","",IF(OFFSET(D1343,-1,0)&lt;&gt;"","",IF(OR(J1343="リード付け",J1343="巻足し",J1343="巻返しリード付け"),M1343,VLOOKUP(D1343,契約台帳!$A$3:$N$4986,14,FALSE))))</f>
        <v>1195</v>
      </c>
      <c r="S1343" s="272">
        <f ca="1">IF(D1343="","",IF(OFFSET(D1343,-1,0)&lt;&gt;"","",IF(OR(J1343="リード付け",J1343="巻足し",J1343="巻返しリード付け"),M1343,VLOOKUP(D1343,契約台帳!$A$3:$O$4986,15,FALSE))))</f>
        <v>1195</v>
      </c>
      <c r="T1343" s="273">
        <v>10200</v>
      </c>
      <c r="U1343" s="40">
        <v>3</v>
      </c>
      <c r="V1343" s="274">
        <f ca="1">IF(D1343="","",IF(OFFSET(D1343,-2,0)=D1343,"",VLOOKUP(D1343,契約台帳!$A$3:$R$4986,18,FALSE)))</f>
        <v>25</v>
      </c>
      <c r="W1343" s="269" t="str">
        <f>IF(D1343="","",IF(T1343="","",IF(OR(J1343="巻足し",J1343="巻返しリード付け"),"",IF(J1343="巻返し",VLOOKUP(F1343&amp;K1343&amp;M1343,製品マスタ!$M$5:$AD$5002,18,FALSE),IF(OR(J1343="リード付け",J1343="巻返しリード付け"),"原反コア",IF(J1343="スリット",VLOOKUP(F1343&amp;K1343&amp;R1343,製品マスタ!$N$5:$AD$5002,17,FALSE),""))))))</f>
        <v/>
      </c>
      <c r="X1343" s="269" t="str">
        <f>IF(D1343="","",IF(T1343="","",IF(J1343="巻足し","",IF(J1343="巻返し",VLOOKUP(F1343&amp;K1343&amp;M1343,製品マスタ!$M$5:$AE$5002,19,FALSE),IF(OR(J1343="リード付け",J1343="巻返しリード付け"),"",IF(J1343="スリット",VLOOKUP(F1343&amp;K1343&amp;R1343,製品マスタ!$N$5:$AE$5002,18,FALSE),""))))))</f>
        <v/>
      </c>
      <c r="Y1343" s="275">
        <f>IF(D1343="","",IF(T1343="","",VLOOKUP(D1343,契約台帳!$A$3:$Q$4986,17,FALSE)))</f>
        <v>2</v>
      </c>
      <c r="Z1343" s="269" t="str">
        <f>IF(D1343="","",IF(T1343="","",VLOOKUP(D1343,契約台帳!$A$3:$E$4986,5,FALSE)))</f>
        <v>リンテック㈱</v>
      </c>
      <c r="AA1343" s="57"/>
      <c r="AB1343" s="207" t="str">
        <f>IFERROR((VLOOKUP(F1343&amp;K1343&amp;M1343,製品マスタ!$M$5:$AM$5002,27,FALSE)),"")</f>
        <v>原反ケース再利用</v>
      </c>
      <c r="AC1343" s="33"/>
      <c r="AD1343" s="189"/>
      <c r="AE1343" s="54"/>
      <c r="AF1343" s="55">
        <f>+M1343*N1343*O1343/1000</f>
        <v>43737</v>
      </c>
      <c r="AG1343" s="43"/>
      <c r="AH1343" s="47"/>
      <c r="AI1343" s="30"/>
      <c r="AJ1343" s="30"/>
      <c r="AK1343" s="30"/>
      <c r="AL1343" s="30"/>
      <c r="AM1343" s="13"/>
      <c r="AN1343" s="13"/>
      <c r="AO1343" s="13"/>
      <c r="AP1343" s="13"/>
      <c r="AQ1343" s="13"/>
      <c r="AR1343" s="14"/>
      <c r="AS1343" s="15"/>
    </row>
    <row r="1344" spans="1:45" s="17" customFormat="1" ht="30.95" hidden="1" customHeight="1" x14ac:dyDescent="0.2">
      <c r="A1344" s="37"/>
      <c r="B1344" s="38"/>
      <c r="C1344" s="45"/>
      <c r="D1344" s="31"/>
      <c r="E1344" s="31"/>
      <c r="F1344" s="268"/>
      <c r="G1344" s="269"/>
      <c r="H1344" s="269"/>
      <c r="I1344" s="270"/>
      <c r="J1344" s="210"/>
      <c r="K1344" s="270"/>
      <c r="L1344" s="270"/>
      <c r="M1344" s="39"/>
      <c r="N1344" s="39"/>
      <c r="O1344" s="156"/>
      <c r="P1344" s="47"/>
      <c r="Q1344" s="57"/>
      <c r="R1344" s="338"/>
      <c r="S1344" s="272"/>
      <c r="T1344" s="273"/>
      <c r="U1344" s="40"/>
      <c r="V1344" s="277"/>
      <c r="W1344" s="269"/>
      <c r="X1344" s="269"/>
      <c r="Y1344" s="275"/>
      <c r="Z1344" s="269"/>
      <c r="AA1344" s="57"/>
      <c r="AB1344" s="207"/>
      <c r="AC1344" s="33"/>
      <c r="AD1344" s="189"/>
      <c r="AE1344" s="54"/>
      <c r="AF1344" s="55"/>
      <c r="AG1344" s="43"/>
      <c r="AH1344" s="47"/>
      <c r="AI1344" s="30"/>
      <c r="AJ1344" s="30"/>
      <c r="AK1344" s="30"/>
      <c r="AL1344" s="30"/>
      <c r="AM1344" s="13"/>
      <c r="AN1344" s="13"/>
      <c r="AO1344" s="13"/>
      <c r="AP1344" s="13"/>
      <c r="AQ1344" s="13"/>
      <c r="AR1344" s="14"/>
      <c r="AS1344" s="15"/>
    </row>
    <row r="1345" spans="1:45" s="17" customFormat="1" ht="30.95" hidden="1" customHeight="1" x14ac:dyDescent="0.2">
      <c r="A1345" s="37" t="s">
        <v>664</v>
      </c>
      <c r="B1345" s="38" t="s">
        <v>442</v>
      </c>
      <c r="C1345" s="45"/>
      <c r="D1345" s="31">
        <v>3735117</v>
      </c>
      <c r="E1345" s="31">
        <v>4162175</v>
      </c>
      <c r="F1345" s="268" t="str">
        <f>IF(D1345="","",VLOOKUP(D1345,契約台帳!$A$3:$K$4986,6,FALSE)&amp;VLOOKUP(D1345,契約台帳!$A$3:$K$4986,7,FALSE)&amp;VLOOKUP(D1345,契約台帳!$A$3:$K$4986,8,FALSE)&amp;VLOOKUP(D1345,契約台帳!$A$3:$K$4986,9,FALSE)&amp;VLOOKUP(D1345,契約台帳!$A$3:$K$4986,11,FALSE))</f>
        <v>3HSNMLBMNGTBF</v>
      </c>
      <c r="G1345" s="269" t="str">
        <f>IF(D1345="","",VLOOKUP(F1345,製品マスタ!$G$5:$H$5002,2,FALSE))</f>
        <v>S</v>
      </c>
      <c r="H1345" s="269" t="str">
        <f>IF(D1345="","",VLOOKUP(F1345,製品マスタ!$G$5:$K$5002,5,FALSE))</f>
        <v>MNGTBF</v>
      </c>
      <c r="I1345" s="270" t="str">
        <f>IF(D1345="","",VLOOKUP(F1345,製品マスタ!$G$5:$L$5002,6,FALSE))</f>
        <v>メタルミー　ネーマー　銀艶　Ｂ</v>
      </c>
      <c r="J1345" s="210" t="s">
        <v>935</v>
      </c>
      <c r="K1345" s="270">
        <f>IF(D1345="","",VLOOKUP(D1345,契約台帳!$A$3:$L$4986,12,FALSE))</f>
        <v>50</v>
      </c>
      <c r="L1345" s="270" t="str">
        <f>IF(D1345="","",INDEX(製品マスタ!$Q$5:$Q$5002,MATCH('S4'!F1345&amp;'S4'!K1345,製品マスタ!$AO$5:$AO$5002,0)))</f>
        <v>T62M</v>
      </c>
      <c r="M1345" s="39">
        <v>1195</v>
      </c>
      <c r="N1345" s="39">
        <v>6100</v>
      </c>
      <c r="O1345" s="156">
        <v>18</v>
      </c>
      <c r="P1345" s="47">
        <v>2</v>
      </c>
      <c r="Q1345" s="213">
        <v>45258</v>
      </c>
      <c r="R1345" s="271">
        <f ca="1">IF(D1345="","",IF(OFFSET(D1345,-1,0)&lt;&gt;"","",IF(OR(J1345="リード付け",J1345="巻足し",J1345="巻返しリード付け"),M1345,VLOOKUP(D1345,契約台帳!$A$3:$N$4986,14,FALSE))))</f>
        <v>1195</v>
      </c>
      <c r="S1345" s="272">
        <f ca="1">IF(D1345="","",IF(OFFSET(D1345,-1,0)&lt;&gt;"","",IF(OR(J1345="リード付け",J1345="巻足し",J1345="巻返しリード付け"),M1345,VLOOKUP(D1345,契約台帳!$A$3:$O$4986,15,FALSE))))</f>
        <v>1195</v>
      </c>
      <c r="T1345" s="273">
        <v>10200</v>
      </c>
      <c r="U1345" s="40">
        <v>9</v>
      </c>
      <c r="V1345" s="274" t="str">
        <f ca="1">IF(D1345="","",IF(OFFSET(D1345,-2,0)=D1345,"",VLOOKUP(D1345,契約台帳!$A$3:$R$4986,18,FALSE)))</f>
        <v/>
      </c>
      <c r="W1345" s="269" t="str">
        <f>IF(D1345="","",IF(T1345="","",IF(OR(J1345="巻足し",J1345="巻返しリード付け"),"",IF(J1345="巻返し",VLOOKUP(F1345&amp;K1345&amp;M1345,製品マスタ!$M$5:$AD$5002,18,FALSE),IF(OR(J1345="リード付け",J1345="巻返しリード付け"),"原反コア",IF(J1345="スリット",VLOOKUP(F1345&amp;K1345&amp;R1345,製品マスタ!$N$5:$AD$5002,17,FALSE),""))))))</f>
        <v/>
      </c>
      <c r="X1345" s="269" t="str">
        <f>IF(D1345="","",IF(T1345="","",IF(J1345="巻足し","",IF(J1345="巻返し",VLOOKUP(F1345&amp;K1345&amp;M1345,製品マスタ!$M$5:$AE$5002,19,FALSE),IF(OR(J1345="リード付け",J1345="巻返しリード付け"),"",IF(J1345="スリット",VLOOKUP(F1345&amp;K1345&amp;R1345,製品マスタ!$N$5:$AE$5002,18,FALSE),""))))))</f>
        <v/>
      </c>
      <c r="Y1345" s="275">
        <f>IF(D1345="","",IF(T1345="","",VLOOKUP(D1345,契約台帳!$A$3:$Q$4986,17,FALSE)))</f>
        <v>2</v>
      </c>
      <c r="Z1345" s="269" t="str">
        <f>IF(D1345="","",IF(T1345="","",VLOOKUP(D1345,契約台帳!$A$3:$E$4986,5,FALSE)))</f>
        <v>リンテック㈱</v>
      </c>
      <c r="AA1345" s="57"/>
      <c r="AB1345" s="207" t="str">
        <f>IFERROR((VLOOKUP(F1345&amp;K1345&amp;M1345,製品マスタ!$M$5:$AM$5002,27,FALSE)),"")</f>
        <v>原反ケース再利用</v>
      </c>
      <c r="AC1345" s="33"/>
      <c r="AD1345" s="189"/>
      <c r="AE1345" s="54"/>
      <c r="AF1345" s="55">
        <f>+M1345*N1345*O1345/1000</f>
        <v>131211</v>
      </c>
      <c r="AG1345" s="43"/>
      <c r="AH1345" s="47"/>
      <c r="AI1345" s="30"/>
      <c r="AJ1345" s="30"/>
      <c r="AK1345" s="30"/>
      <c r="AL1345" s="30"/>
      <c r="AM1345" s="13"/>
      <c r="AN1345" s="13"/>
      <c r="AO1345" s="13"/>
      <c r="AP1345" s="13"/>
      <c r="AQ1345" s="13"/>
      <c r="AR1345" s="14"/>
      <c r="AS1345" s="15"/>
    </row>
    <row r="1346" spans="1:45" s="17" customFormat="1" ht="30.95" hidden="1" customHeight="1" x14ac:dyDescent="0.2">
      <c r="A1346" s="37"/>
      <c r="B1346" s="38"/>
      <c r="C1346" s="45"/>
      <c r="D1346" s="31"/>
      <c r="E1346" s="31"/>
      <c r="F1346" s="268"/>
      <c r="G1346" s="269"/>
      <c r="H1346" s="269"/>
      <c r="I1346" s="270"/>
      <c r="J1346" s="210"/>
      <c r="K1346" s="270"/>
      <c r="L1346" s="270"/>
      <c r="M1346" s="39"/>
      <c r="N1346" s="39"/>
      <c r="O1346" s="156"/>
      <c r="P1346" s="47"/>
      <c r="Q1346" s="57"/>
      <c r="R1346" s="338"/>
      <c r="S1346" s="272"/>
      <c r="T1346" s="273"/>
      <c r="U1346" s="40"/>
      <c r="V1346" s="277"/>
      <c r="W1346" s="269"/>
      <c r="X1346" s="269"/>
      <c r="Y1346" s="275"/>
      <c r="Z1346" s="269"/>
      <c r="AA1346" s="57"/>
      <c r="AB1346" s="207"/>
      <c r="AC1346" s="33"/>
      <c r="AD1346" s="189"/>
      <c r="AE1346" s="54"/>
      <c r="AF1346" s="55"/>
      <c r="AG1346" s="43"/>
      <c r="AH1346" s="47"/>
      <c r="AI1346" s="30"/>
      <c r="AJ1346" s="30"/>
      <c r="AK1346" s="30"/>
      <c r="AL1346" s="30"/>
      <c r="AM1346" s="13"/>
      <c r="AN1346" s="13"/>
      <c r="AO1346" s="13"/>
      <c r="AP1346" s="13"/>
      <c r="AQ1346" s="13"/>
      <c r="AR1346" s="14"/>
      <c r="AS1346" s="15"/>
    </row>
    <row r="1347" spans="1:45" s="17" customFormat="1" ht="30.95" hidden="1" customHeight="1" x14ac:dyDescent="0.2">
      <c r="A1347" s="37" t="s">
        <v>669</v>
      </c>
      <c r="B1347" s="38" t="s">
        <v>443</v>
      </c>
      <c r="C1347" s="45"/>
      <c r="D1347" s="31">
        <v>3735102</v>
      </c>
      <c r="E1347" s="31">
        <v>4162152</v>
      </c>
      <c r="F1347" s="268" t="str">
        <f>IF(D1347="","",VLOOKUP(D1347,契約台帳!$A$3:$K$4986,6,FALSE)&amp;VLOOKUP(D1347,契約台帳!$A$3:$K$4986,7,FALSE)&amp;VLOOKUP(D1347,契約台帳!$A$3:$K$4986,8,FALSE)&amp;VLOOKUP(D1347,契約台帳!$A$3:$K$4986,9,FALSE)&amp;VLOOKUP(D1347,契約台帳!$A$3:$K$4986,11,FALSE))</f>
        <v>3HSNMCLBWCB</v>
      </c>
      <c r="G1347" s="269" t="str">
        <f>IF(D1347="","",VLOOKUP(F1347,製品マスタ!$G$5:$H$5002,2,FALSE))</f>
        <v>S</v>
      </c>
      <c r="H1347" s="269" t="str">
        <f>IF(D1347="","",VLOOKUP(F1347,製品マスタ!$G$5:$K$5002,5,FALSE))</f>
        <v>WCB</v>
      </c>
      <c r="I1347" s="270" t="str">
        <f>IF(D1347="","",VLOOKUP(F1347,製品マスタ!$G$5:$L$5002,6,FALSE))</f>
        <v>メタルミー　ホワイトコート　（Ｂ）</v>
      </c>
      <c r="J1347" s="210" t="s">
        <v>935</v>
      </c>
      <c r="K1347" s="270">
        <f>IF(D1347="","",VLOOKUP(D1347,契約台帳!$A$3:$L$4986,12,FALSE))</f>
        <v>50</v>
      </c>
      <c r="L1347" s="270" t="s">
        <v>151</v>
      </c>
      <c r="M1347" s="39">
        <v>1195</v>
      </c>
      <c r="N1347" s="39">
        <v>6100</v>
      </c>
      <c r="O1347" s="156">
        <v>2</v>
      </c>
      <c r="P1347" s="47">
        <v>2</v>
      </c>
      <c r="Q1347" s="213">
        <v>45258</v>
      </c>
      <c r="R1347" s="271">
        <f ca="1">IF(D1347="","",IF(OFFSET(D1347,-1,0)&lt;&gt;"","",IF(OR(J1347="リード付け",J1347="巻足し",J1347="巻返しリード付け"),M1347,VLOOKUP(D1347,契約台帳!$A$3:$N$4986,14,FALSE))))</f>
        <v>1195</v>
      </c>
      <c r="S1347" s="272">
        <f ca="1">IF(D1347="","",IF(OFFSET(D1347,-1,0)&lt;&gt;"","",IF(OR(J1347="リード付け",J1347="巻足し",J1347="巻返しリード付け"),M1347,VLOOKUP(D1347,契約台帳!$A$3:$O$4986,15,FALSE))))</f>
        <v>1195</v>
      </c>
      <c r="T1347" s="273">
        <v>10600</v>
      </c>
      <c r="U1347" s="40">
        <v>1</v>
      </c>
      <c r="V1347" s="274">
        <f ca="1">IF(D1347="","",IF(OFFSET(D1347,-2,0)=D1347,"",VLOOKUP(D1347,契約台帳!$A$3:$R$4986,18,FALSE)))</f>
        <v>3</v>
      </c>
      <c r="W1347" s="269" t="str">
        <f>IF(D1347="","",IF(T1347="","",IF(OR(J1347="巻足し",J1347="巻返しリード付け"),"",IF(J1347="巻返し",VLOOKUP(F1347&amp;K1347&amp;M1347,製品マスタ!$M$5:$AD$5002,18,FALSE),IF(OR(J1347="リード付け",J1347="巻返しリード付け"),"原反コア",IF(J1347="スリット",VLOOKUP(F1347&amp;K1347&amp;R1347,製品マスタ!$N$5:$AD$5002,17,FALSE),""))))))</f>
        <v/>
      </c>
      <c r="X1347" s="269" t="str">
        <f>IF(D1347="","",IF(T1347="","",IF(J1347="巻足し","",IF(J1347="巻返し",VLOOKUP(F1347&amp;K1347&amp;M1347,製品マスタ!$M$5:$AE$5002,19,FALSE),IF(OR(J1347="リード付け",J1347="巻返しリード付け"),"",IF(J1347="スリット",VLOOKUP(F1347&amp;K1347&amp;R1347,製品マスタ!$N$5:$AE$5002,18,FALSE),""))))))</f>
        <v/>
      </c>
      <c r="Y1347" s="275">
        <f>IF(D1347="","",IF(T1347="","",VLOOKUP(D1347,契約台帳!$A$3:$Q$4986,17,FALSE)))</f>
        <v>2</v>
      </c>
      <c r="Z1347" s="269" t="str">
        <f>IF(D1347="","",IF(T1347="","",VLOOKUP(D1347,契約台帳!$A$3:$E$4986,5,FALSE)))</f>
        <v>新タック化成㈱</v>
      </c>
      <c r="AA1347" s="57"/>
      <c r="AB1347" s="207" t="str">
        <f>IFERROR((VLOOKUP(F1347&amp;K1347&amp;M1347,製品マスタ!$M$5:$AM$5002,27,FALSE)),"")</f>
        <v/>
      </c>
      <c r="AC1347" s="33"/>
      <c r="AD1347" s="189"/>
      <c r="AE1347" s="54"/>
      <c r="AF1347" s="55">
        <f>+M1347*N1347*O1347/1000</f>
        <v>14579</v>
      </c>
      <c r="AG1347" s="43"/>
      <c r="AH1347" s="47"/>
      <c r="AI1347" s="30"/>
      <c r="AJ1347" s="30"/>
      <c r="AK1347" s="30"/>
      <c r="AL1347" s="30"/>
      <c r="AM1347" s="13"/>
      <c r="AN1347" s="13"/>
      <c r="AO1347" s="13"/>
      <c r="AP1347" s="13"/>
      <c r="AQ1347" s="13"/>
      <c r="AR1347" s="14"/>
      <c r="AS1347" s="15"/>
    </row>
    <row r="1348" spans="1:45" s="17" customFormat="1" ht="30.95" hidden="1" customHeight="1" x14ac:dyDescent="0.2">
      <c r="A1348" s="37"/>
      <c r="B1348" s="38"/>
      <c r="C1348" s="45"/>
      <c r="D1348" s="31"/>
      <c r="E1348" s="31"/>
      <c r="F1348" s="268"/>
      <c r="G1348" s="269"/>
      <c r="H1348" s="269"/>
      <c r="I1348" s="270"/>
      <c r="J1348" s="210"/>
      <c r="K1348" s="270"/>
      <c r="L1348" s="270"/>
      <c r="M1348" s="39"/>
      <c r="N1348" s="39"/>
      <c r="O1348" s="156"/>
      <c r="P1348" s="47"/>
      <c r="Q1348" s="57"/>
      <c r="R1348" s="338"/>
      <c r="S1348" s="272"/>
      <c r="T1348" s="273"/>
      <c r="U1348" s="40"/>
      <c r="V1348" s="277"/>
      <c r="W1348" s="269"/>
      <c r="X1348" s="269"/>
      <c r="Y1348" s="275"/>
      <c r="Z1348" s="269"/>
      <c r="AA1348" s="57"/>
      <c r="AB1348" s="207"/>
      <c r="AC1348" s="33"/>
      <c r="AD1348" s="189"/>
      <c r="AE1348" s="54"/>
      <c r="AF1348" s="55"/>
      <c r="AG1348" s="43"/>
      <c r="AH1348" s="47"/>
      <c r="AI1348" s="30"/>
      <c r="AJ1348" s="30"/>
      <c r="AK1348" s="30"/>
      <c r="AL1348" s="30"/>
      <c r="AM1348" s="13"/>
      <c r="AN1348" s="13"/>
      <c r="AO1348" s="13"/>
      <c r="AP1348" s="13"/>
      <c r="AQ1348" s="13"/>
      <c r="AR1348" s="14"/>
      <c r="AS1348" s="15"/>
    </row>
    <row r="1349" spans="1:45" s="17" customFormat="1" ht="30.95" hidden="1" customHeight="1" x14ac:dyDescent="0.2">
      <c r="A1349" s="37"/>
      <c r="B1349" s="38"/>
      <c r="C1349" s="45"/>
      <c r="D1349" s="31">
        <v>3735102</v>
      </c>
      <c r="E1349" s="31">
        <v>4162152</v>
      </c>
      <c r="F1349" s="268" t="str">
        <f>IF(D1349="","",VLOOKUP(D1349,契約台帳!$A$3:$K$4986,6,FALSE)&amp;VLOOKUP(D1349,契約台帳!$A$3:$K$4986,7,FALSE)&amp;VLOOKUP(D1349,契約台帳!$A$3:$K$4986,8,FALSE)&amp;VLOOKUP(D1349,契約台帳!$A$3:$K$4986,9,FALSE)&amp;VLOOKUP(D1349,契約台帳!$A$3:$K$4986,11,FALSE))</f>
        <v>3HSNMCLBWCB</v>
      </c>
      <c r="G1349" s="269" t="str">
        <f>IF(D1349="","",VLOOKUP(F1349,製品マスタ!$G$5:$H$5002,2,FALSE))</f>
        <v>S</v>
      </c>
      <c r="H1349" s="269" t="str">
        <f>IF(D1349="","",VLOOKUP(F1349,製品マスタ!$G$5:$K$5002,5,FALSE))</f>
        <v>WCB</v>
      </c>
      <c r="I1349" s="270" t="str">
        <f>IF(D1349="","",VLOOKUP(F1349,製品マスタ!$G$5:$L$5002,6,FALSE))</f>
        <v>メタルミー　ホワイトコート　（Ｂ）</v>
      </c>
      <c r="J1349" s="210" t="s">
        <v>464</v>
      </c>
      <c r="K1349" s="270">
        <f>IF(D1349="","",VLOOKUP(D1349,契約台帳!$A$3:$L$4986,12,FALSE))</f>
        <v>50</v>
      </c>
      <c r="L1349" s="270" t="s">
        <v>151</v>
      </c>
      <c r="M1349" s="39">
        <v>1195</v>
      </c>
      <c r="N1349" s="39">
        <v>6100</v>
      </c>
      <c r="O1349" s="156">
        <v>1</v>
      </c>
      <c r="P1349" s="47">
        <v>1</v>
      </c>
      <c r="Q1349" s="213">
        <v>45258</v>
      </c>
      <c r="R1349" s="271">
        <f ca="1">IF(D1349="","",IF(OFFSET(D1349,-1,0)&lt;&gt;"","",IF(OR(J1349="リード付け",J1349="巻足し",J1349="巻返しリード付け"),M1349,VLOOKUP(D1349,契約台帳!$A$3:$N$4986,14,FALSE))))</f>
        <v>1195</v>
      </c>
      <c r="S1349" s="272">
        <f ca="1">IF(D1349="","",IF(OFFSET(D1349,-1,0)&lt;&gt;"","",IF(OR(J1349="リード付け",J1349="巻足し",J1349="巻返しリード付け"),M1349,VLOOKUP(D1349,契約台帳!$A$3:$O$4986,15,FALSE))))</f>
        <v>1195</v>
      </c>
      <c r="T1349" s="273">
        <v>5300</v>
      </c>
      <c r="U1349" s="40">
        <v>1</v>
      </c>
      <c r="V1349" s="274" t="str">
        <f ca="1">IF(D1349="","",IF(OFFSET(D1349,-2,0)=D1349,"",VLOOKUP(D1349,契約台帳!$A$3:$R$4986,18,FALSE)))</f>
        <v/>
      </c>
      <c r="W1349" s="269"/>
      <c r="X1349" s="269" t="str">
        <f>IF(D1349="","",IF(T1349="","",IF(J1349="巻足し","",IF(J1349="巻返し",VLOOKUP(F1349&amp;K1349&amp;M1349,製品マスタ!$M$5:$AE$5002,19,FALSE),IF(OR(J1349="リード付け",J1349="巻返しリード付け"),"",IF(J1349="スリット",VLOOKUP(F1349&amp;K1349&amp;R1349,製品マスタ!$N$5:$AE$5002,18,FALSE),""))))))</f>
        <v/>
      </c>
      <c r="Y1349" s="275">
        <f>IF(D1349="","",IF(T1349="","",VLOOKUP(D1349,契約台帳!$A$3:$Q$4986,17,FALSE)))</f>
        <v>2</v>
      </c>
      <c r="Z1349" s="269" t="str">
        <f>IF(D1349="","",IF(T1349="","",VLOOKUP(D1349,契約台帳!$A$3:$E$4986,5,FALSE)))</f>
        <v>新タック化成㈱</v>
      </c>
      <c r="AA1349" s="57"/>
      <c r="AB1349" s="207" t="str">
        <f>IFERROR((VLOOKUP(F1349&amp;K1349&amp;M1349,製品マスタ!$M$5:$AM$5002,27,FALSE)),"")</f>
        <v/>
      </c>
      <c r="AC1349" s="33"/>
      <c r="AD1349" s="189"/>
      <c r="AE1349" s="54"/>
      <c r="AF1349" s="55">
        <f>+M1349*N1349*O1349/1000</f>
        <v>7289.5</v>
      </c>
      <c r="AG1349" s="43"/>
      <c r="AH1349" s="47"/>
      <c r="AI1349" s="30"/>
      <c r="AJ1349" s="30"/>
      <c r="AK1349" s="30"/>
      <c r="AL1349" s="30"/>
      <c r="AM1349" s="13"/>
      <c r="AN1349" s="13"/>
      <c r="AO1349" s="13"/>
      <c r="AP1349" s="13"/>
      <c r="AQ1349" s="13"/>
      <c r="AR1349" s="14"/>
      <c r="AS1349" s="15"/>
    </row>
    <row r="1350" spans="1:45" s="17" customFormat="1" ht="30.95" hidden="1" customHeight="1" x14ac:dyDescent="0.2">
      <c r="A1350" s="37"/>
      <c r="B1350" s="38"/>
      <c r="C1350" s="45"/>
      <c r="D1350" s="31"/>
      <c r="E1350" s="31"/>
      <c r="F1350" s="268"/>
      <c r="G1350" s="269"/>
      <c r="H1350" s="269"/>
      <c r="I1350" s="270"/>
      <c r="J1350" s="210"/>
      <c r="K1350" s="270"/>
      <c r="L1350" s="270"/>
      <c r="M1350" s="39"/>
      <c r="N1350" s="39"/>
      <c r="O1350" s="156"/>
      <c r="P1350" s="47"/>
      <c r="Q1350" s="57"/>
      <c r="R1350" s="338"/>
      <c r="S1350" s="272"/>
      <c r="T1350" s="273"/>
      <c r="U1350" s="40"/>
      <c r="V1350" s="277"/>
      <c r="W1350" s="269"/>
      <c r="X1350" s="269"/>
      <c r="Y1350" s="275"/>
      <c r="Z1350" s="269"/>
      <c r="AA1350" s="57"/>
      <c r="AB1350" s="207"/>
      <c r="AC1350" s="33"/>
      <c r="AD1350" s="189"/>
      <c r="AE1350" s="54"/>
      <c r="AF1350" s="55"/>
      <c r="AG1350" s="43"/>
      <c r="AH1350" s="47"/>
      <c r="AI1350" s="30"/>
      <c r="AJ1350" s="30"/>
      <c r="AK1350" s="30"/>
      <c r="AL1350" s="30"/>
      <c r="AM1350" s="13"/>
      <c r="AN1350" s="13"/>
      <c r="AO1350" s="13"/>
      <c r="AP1350" s="13"/>
      <c r="AQ1350" s="13"/>
      <c r="AR1350" s="14"/>
      <c r="AS1350" s="15"/>
    </row>
    <row r="1351" spans="1:45" s="17" customFormat="1" ht="30.95" hidden="1" customHeight="1" x14ac:dyDescent="0.2">
      <c r="A1351" s="37"/>
      <c r="B1351" s="38"/>
      <c r="C1351" s="45"/>
      <c r="D1351" s="31">
        <v>3735101</v>
      </c>
      <c r="E1351" s="31">
        <v>4162176</v>
      </c>
      <c r="F1351" s="268" t="str">
        <f>IF(D1351="","",VLOOKUP(D1351,契約台帳!$A$3:$K$4986,6,FALSE)&amp;VLOOKUP(D1351,契約台帳!$A$3:$K$4986,7,FALSE)&amp;VLOOKUP(D1351,契約台帳!$A$3:$K$4986,8,FALSE)&amp;VLOOKUP(D1351,契約台帳!$A$3:$K$4986,9,FALSE)&amp;VLOOKUP(D1351,契約台帳!$A$3:$K$4986,11,FALSE))</f>
        <v>3XSNMCLBEYK</v>
      </c>
      <c r="G1351" s="269" t="str">
        <f>IF(D1351="","",VLOOKUP(F1351,製品マスタ!$G$5:$H$5002,2,FALSE))</f>
        <v>S</v>
      </c>
      <c r="H1351" s="269" t="str">
        <f>IF(D1351="","",VLOOKUP(F1351,製品マスタ!$G$5:$K$5002,5,FALSE))</f>
        <v>EYK</v>
      </c>
      <c r="I1351" s="270" t="str">
        <f>IF(D1351="","",VLOOKUP(F1351,製品マスタ!$G$5:$L$5002,6,FALSE))</f>
        <v>メタルミー　ＥＹＫ</v>
      </c>
      <c r="J1351" s="210" t="s">
        <v>935</v>
      </c>
      <c r="K1351" s="270">
        <f>IF(D1351="","",VLOOKUP(D1351,契約台帳!$A$3:$L$4986,12,FALSE))</f>
        <v>50</v>
      </c>
      <c r="L1351" s="270" t="str">
        <f>IF(D1351="","",INDEX(製品マスタ!$Q$5:$Q$5002,MATCH('S4'!F1351&amp;'S4'!K1351,製品マスタ!$AO$5:$AO$5002,0)))</f>
        <v>T62M</v>
      </c>
      <c r="M1351" s="39">
        <v>1195</v>
      </c>
      <c r="N1351" s="39">
        <v>6100</v>
      </c>
      <c r="O1351" s="156">
        <v>2</v>
      </c>
      <c r="P1351" s="47">
        <v>2</v>
      </c>
      <c r="Q1351" s="213">
        <v>45258</v>
      </c>
      <c r="R1351" s="271">
        <f ca="1">IF(D1351="","",IF(OFFSET(D1351,-1,0)&lt;&gt;"","",IF(OR(J1351="リード付け",J1351="巻足し",J1351="巻返しリード付け"),M1351,VLOOKUP(D1351,契約台帳!$A$3:$N$4986,14,FALSE))))</f>
        <v>1195</v>
      </c>
      <c r="S1351" s="272">
        <f ca="1">IF(D1351="","",IF(OFFSET(D1351,-1,0)&lt;&gt;"","",IF(OR(J1351="リード付け",J1351="巻足し",J1351="巻返しリード付け"),M1351,VLOOKUP(D1351,契約台帳!$A$3:$O$4986,15,FALSE))))</f>
        <v>1195</v>
      </c>
      <c r="T1351" s="273">
        <f ca="1">IF(D1351="","",IF(J1351="リード付け",N1351,IF(J1351="巻返しリード付け",N1351,IF(J1351="巻足し",N1351*P1351+OFFSET(N1351,1,0)*OFFSET(P1351,1,0),VLOOKUP(D1351,契約台帳!$A$3:$P$4986,16,FALSE)))))</f>
        <v>12200</v>
      </c>
      <c r="U1351" s="40">
        <v>1</v>
      </c>
      <c r="V1351" s="274">
        <f ca="1">IF(D1351="","",IF(OFFSET(D1351,-2,0)=D1351,"",VLOOKUP(D1351,契約台帳!$A$3:$R$4986,18,FALSE)))</f>
        <v>2</v>
      </c>
      <c r="W1351" s="269" t="str">
        <f ca="1">IF(D1351="","",IF(T1351="","",IF(OR(J1351="巻足し",J1351="巻返しリード付け"),"",IF(J1351="巻返し",VLOOKUP(F1351&amp;K1351&amp;M1351,製品マスタ!$M$5:$AD$5002,18,FALSE),IF(OR(J1351="リード付け",J1351="巻返しリード付け"),"原反コア",IF(J1351="スリット",VLOOKUP(F1351&amp;K1351&amp;R1351,製品マスタ!$N$5:$AD$5002,17,FALSE),""))))))</f>
        <v/>
      </c>
      <c r="X1351" s="269" t="str">
        <f ca="1">IF(D1351="","",IF(T1351="","",IF(J1351="巻足し","",IF(J1351="巻返し",VLOOKUP(F1351&amp;K1351&amp;M1351,製品マスタ!$M$5:$AE$5002,19,FALSE),IF(OR(J1351="リード付け",J1351="巻返しリード付け"),"",IF(J1351="スリット",VLOOKUP(F1351&amp;K1351&amp;R1351,製品マスタ!$N$5:$AE$5002,18,FALSE),""))))))</f>
        <v/>
      </c>
      <c r="Y1351" s="275">
        <f ca="1">IF(D1351="","",IF(T1351="","",VLOOKUP(D1351,契約台帳!$A$3:$Q$4986,17,FALSE)))</f>
        <v>2</v>
      </c>
      <c r="Z1351" s="269" t="str">
        <f ca="1">IF(D1351="","",IF(T1351="","",VLOOKUP(D1351,契約台帳!$A$3:$E$4986,5,FALSE)))</f>
        <v>新タック化成㈱</v>
      </c>
      <c r="AA1351" s="57"/>
      <c r="AB1351" s="207" t="str">
        <f>IFERROR((VLOOKUP(F1351&amp;K1351&amp;M1351,製品マスタ!$M$5:$AM$5002,27,FALSE)),"")</f>
        <v>原反ケース再利用</v>
      </c>
      <c r="AC1351" s="33"/>
      <c r="AD1351" s="189"/>
      <c r="AE1351" s="54"/>
      <c r="AF1351" s="55">
        <f>+M1351*N1351*O1351/1000</f>
        <v>14579</v>
      </c>
      <c r="AG1351" s="43"/>
      <c r="AH1351" s="47"/>
      <c r="AI1351" s="30"/>
      <c r="AJ1351" s="30"/>
      <c r="AK1351" s="30"/>
      <c r="AL1351" s="30"/>
      <c r="AM1351" s="13"/>
      <c r="AN1351" s="13"/>
      <c r="AO1351" s="13"/>
      <c r="AP1351" s="13"/>
      <c r="AQ1351" s="13"/>
      <c r="AR1351" s="14"/>
      <c r="AS1351" s="15"/>
    </row>
    <row r="1352" spans="1:45" s="17" customFormat="1" ht="30.95" hidden="1" customHeight="1" x14ac:dyDescent="0.2">
      <c r="A1352" s="37"/>
      <c r="B1352" s="38"/>
      <c r="C1352" s="45"/>
      <c r="D1352" s="31"/>
      <c r="E1352" s="31"/>
      <c r="F1352" s="268"/>
      <c r="G1352" s="269"/>
      <c r="H1352" s="269"/>
      <c r="I1352" s="270"/>
      <c r="J1352" s="210"/>
      <c r="K1352" s="270"/>
      <c r="L1352" s="270"/>
      <c r="M1352" s="39"/>
      <c r="N1352" s="39"/>
      <c r="O1352" s="156"/>
      <c r="P1352" s="47"/>
      <c r="Q1352" s="57"/>
      <c r="R1352" s="338"/>
      <c r="S1352" s="272"/>
      <c r="T1352" s="273"/>
      <c r="U1352" s="40"/>
      <c r="V1352" s="277"/>
      <c r="W1352" s="269"/>
      <c r="X1352" s="269"/>
      <c r="Y1352" s="275"/>
      <c r="Z1352" s="269"/>
      <c r="AA1352" s="57"/>
      <c r="AB1352" s="207"/>
      <c r="AC1352" s="33"/>
      <c r="AD1352" s="189"/>
      <c r="AE1352" s="54"/>
      <c r="AF1352" s="55"/>
      <c r="AG1352" s="43"/>
      <c r="AH1352" s="47"/>
      <c r="AI1352" s="30"/>
      <c r="AJ1352" s="30"/>
      <c r="AK1352" s="30"/>
      <c r="AL1352" s="30"/>
      <c r="AM1352" s="13"/>
      <c r="AN1352" s="13"/>
      <c r="AO1352" s="13"/>
      <c r="AP1352" s="13"/>
      <c r="AQ1352" s="13"/>
      <c r="AR1352" s="14"/>
      <c r="AS1352" s="15"/>
    </row>
    <row r="1353" spans="1:45" s="17" customFormat="1" ht="30.95" hidden="1" customHeight="1" x14ac:dyDescent="0.2">
      <c r="A1353" s="37"/>
      <c r="B1353" s="38"/>
      <c r="C1353" s="45"/>
      <c r="D1353" s="31">
        <v>3735903</v>
      </c>
      <c r="E1353" s="31">
        <v>4162177</v>
      </c>
      <c r="F1353" s="268" t="str">
        <f>IF(D1353="","",VLOOKUP(D1353,契約台帳!$A$3:$K$4986,6,FALSE)&amp;VLOOKUP(D1353,契約台帳!$A$3:$K$4986,7,FALSE)&amp;VLOOKUP(D1353,契約台帳!$A$3:$K$4986,8,FALSE)&amp;VLOOKUP(D1353,契約台帳!$A$3:$K$4986,9,FALSE)&amp;VLOOKUP(D1353,契約台帳!$A$3:$K$4986,11,FALSE))</f>
        <v>3SNMCLBMSNEYK</v>
      </c>
      <c r="G1353" s="269" t="str">
        <f>IF(D1353="","",VLOOKUP(F1353,製品マスタ!$G$5:$H$5002,2,FALSE))</f>
        <v>S</v>
      </c>
      <c r="H1353" s="269" t="str">
        <f>IF(D1353="","",VLOOKUP(F1353,製品マスタ!$G$5:$K$5002,5,FALSE))</f>
        <v>MSNEYK</v>
      </c>
      <c r="I1353" s="270" t="str">
        <f>IF(D1353="","",VLOOKUP(F1353,製品マスタ!$G$5:$L$5002,6,FALSE))</f>
        <v>ＭＳＮ　ＥＹＫ</v>
      </c>
      <c r="J1353" s="210" t="s">
        <v>935</v>
      </c>
      <c r="K1353" s="270">
        <f>IF(D1353="","",VLOOKUP(D1353,契約台帳!$A$3:$L$4986,12,FALSE))</f>
        <v>50</v>
      </c>
      <c r="L1353" s="270" t="str">
        <f>IF(D1353="","",INDEX(製品マスタ!$Q$5:$Q$5002,MATCH('S4'!F1353&amp;'S4'!K1353,製品マスタ!$AO$5:$AO$5002,0)))</f>
        <v>N-MAT</v>
      </c>
      <c r="M1353" s="39">
        <v>1120</v>
      </c>
      <c r="N1353" s="39">
        <v>4000</v>
      </c>
      <c r="O1353" s="156">
        <v>6</v>
      </c>
      <c r="P1353" s="47">
        <v>3</v>
      </c>
      <c r="Q1353" s="213">
        <v>45245</v>
      </c>
      <c r="R1353" s="271">
        <f ca="1">IF(D1353="","",IF(OFFSET(D1353,-1,0)&lt;&gt;"","",IF(OR(J1353="リード付け",J1353="巻足し",J1353="巻返しリード付け"),M1353,VLOOKUP(D1353,契約台帳!$A$3:$N$4986,14,FALSE))))</f>
        <v>1120</v>
      </c>
      <c r="S1353" s="272">
        <f ca="1">IF(D1353="","",IF(OFFSET(D1353,-1,0)&lt;&gt;"","",IF(OR(J1353="リード付け",J1353="巻足し",J1353="巻返しリード付け"),M1353,VLOOKUP(D1353,契約台帳!$A$3:$O$4986,15,FALSE))))</f>
        <v>1120</v>
      </c>
      <c r="T1353" s="273">
        <f ca="1">IF(D1353="","",IF(J1353="リード付け",N1353,IF(J1353="巻返しリード付け",N1353,IF(J1353="巻足し",N1353*P1353+OFFSET(N1353,1,0)*OFFSET(P1353,1,0),VLOOKUP(D1353,契約台帳!$A$3:$P$4986,16,FALSE)))))</f>
        <v>12000</v>
      </c>
      <c r="U1353" s="40">
        <v>2</v>
      </c>
      <c r="V1353" s="274">
        <f ca="1">IF(D1353="","",IF(OFFSET(D1353,-2,0)=D1353,"",VLOOKUP(D1353,契約台帳!$A$3:$R$4986,18,FALSE)))</f>
        <v>6</v>
      </c>
      <c r="W1353" s="269" t="str">
        <f ca="1">IF(D1353="","",IF(T1353="","",IF(OR(J1353="巻足し",J1353="巻返しリード付け"),"",IF(J1353="巻返し",VLOOKUP(F1353&amp;K1353&amp;M1353,製品マスタ!$M$5:$AD$5002,18,FALSE),IF(OR(J1353="リード付け",J1353="巻返しリード付け"),"原反コア",IF(J1353="スリット",VLOOKUP(F1353&amp;K1353&amp;R1353,製品マスタ!$N$5:$AD$5002,17,FALSE),""))))))</f>
        <v/>
      </c>
      <c r="X1353" s="269" t="str">
        <f ca="1">IF(D1353="","",IF(T1353="","",IF(J1353="巻足し","",IF(J1353="巻返し",VLOOKUP(F1353&amp;K1353&amp;M1353,製品マスタ!$M$5:$AE$5002,19,FALSE),IF(OR(J1353="リード付け",J1353="巻返しリード付け"),"",IF(J1353="スリット",VLOOKUP(F1353&amp;K1353&amp;R1353,製品マスタ!$N$5:$AE$5002,18,FALSE),""))))))</f>
        <v/>
      </c>
      <c r="Y1353" s="275">
        <f ca="1">IF(D1353="","",IF(T1353="","",VLOOKUP(D1353,契約台帳!$A$3:$Q$4986,17,FALSE)))</f>
        <v>2</v>
      </c>
      <c r="Z1353" s="269" t="str">
        <f ca="1">IF(D1353="","",IF(T1353="","",VLOOKUP(D1353,契約台帳!$A$3:$E$4986,5,FALSE)))</f>
        <v>新タック化成㈱</v>
      </c>
      <c r="AA1353" s="57"/>
      <c r="AB1353" s="207" t="str">
        <f>IFERROR((VLOOKUP(F1353&amp;K1353&amp;M1353,製品マスタ!$M$5:$AM$5002,27,FALSE)),"")</f>
        <v>原反ケース再利用</v>
      </c>
      <c r="AC1353" s="33"/>
      <c r="AD1353" s="189"/>
      <c r="AE1353" s="54"/>
      <c r="AF1353" s="55">
        <f>+M1353*N1353*O1353/1000</f>
        <v>26880</v>
      </c>
      <c r="AG1353" s="43"/>
      <c r="AH1353" s="47"/>
      <c r="AI1353" s="30"/>
      <c r="AJ1353" s="30"/>
      <c r="AK1353" s="30"/>
      <c r="AL1353" s="30"/>
      <c r="AM1353" s="13"/>
      <c r="AN1353" s="13"/>
      <c r="AO1353" s="13"/>
      <c r="AP1353" s="13"/>
      <c r="AQ1353" s="13"/>
      <c r="AR1353" s="14"/>
      <c r="AS1353" s="15"/>
    </row>
    <row r="1354" spans="1:45" s="17" customFormat="1" ht="30.95" hidden="1" customHeight="1" x14ac:dyDescent="0.2">
      <c r="A1354" s="37"/>
      <c r="B1354" s="38"/>
      <c r="C1354" s="45"/>
      <c r="D1354" s="31"/>
      <c r="E1354" s="31"/>
      <c r="F1354" s="268"/>
      <c r="G1354" s="269"/>
      <c r="H1354" s="269"/>
      <c r="I1354" s="270"/>
      <c r="J1354" s="210"/>
      <c r="K1354" s="270"/>
      <c r="L1354" s="270"/>
      <c r="M1354" s="39"/>
      <c r="N1354" s="39"/>
      <c r="O1354" s="156"/>
      <c r="P1354" s="47"/>
      <c r="Q1354" s="57"/>
      <c r="R1354" s="338"/>
      <c r="S1354" s="272"/>
      <c r="T1354" s="273"/>
      <c r="U1354" s="40"/>
      <c r="V1354" s="277"/>
      <c r="W1354" s="269"/>
      <c r="X1354" s="269"/>
      <c r="Y1354" s="275"/>
      <c r="Z1354" s="269"/>
      <c r="AA1354" s="57"/>
      <c r="AB1354" s="207"/>
      <c r="AC1354" s="33"/>
      <c r="AD1354" s="189"/>
      <c r="AE1354" s="54"/>
      <c r="AF1354" s="55"/>
      <c r="AG1354" s="43"/>
      <c r="AH1354" s="47"/>
      <c r="AI1354" s="30"/>
      <c r="AJ1354" s="30"/>
      <c r="AK1354" s="30"/>
      <c r="AL1354" s="30"/>
      <c r="AM1354" s="13"/>
      <c r="AN1354" s="13"/>
      <c r="AO1354" s="13"/>
      <c r="AP1354" s="13"/>
      <c r="AQ1354" s="13"/>
      <c r="AR1354" s="14"/>
      <c r="AS1354" s="15"/>
    </row>
    <row r="1355" spans="1:45" s="17" customFormat="1" ht="30.95" hidden="1" customHeight="1" x14ac:dyDescent="0.2">
      <c r="A1355" s="37" t="s">
        <v>670</v>
      </c>
      <c r="B1355" s="38" t="s">
        <v>444</v>
      </c>
      <c r="C1355" s="45"/>
      <c r="D1355" s="31">
        <v>3735105</v>
      </c>
      <c r="E1355" s="31">
        <v>4162158</v>
      </c>
      <c r="F1355" s="268" t="str">
        <f>IF(D1355="","",VLOOKUP(D1355,契約台帳!$A$3:$K$4986,6,FALSE)&amp;VLOOKUP(D1355,契約台帳!$A$3:$K$4986,7,FALSE)&amp;VLOOKUP(D1355,契約台帳!$A$3:$K$4986,8,FALSE)&amp;VLOOKUP(D1355,契約台帳!$A$3:$K$4986,9,FALSE)&amp;VLOOKUP(D1355,契約台帳!$A$3:$K$4986,11,FALSE))</f>
        <v>3SNMLBMNGKKBF</v>
      </c>
      <c r="G1355" s="269" t="str">
        <f>IF(D1355="","",VLOOKUP(F1355,製品マスタ!$G$5:$H$5002,2,FALSE))</f>
        <v>S</v>
      </c>
      <c r="H1355" s="269" t="str">
        <f>IF(D1355="","",VLOOKUP(F1355,製品マスタ!$G$5:$K$5002,5,FALSE))</f>
        <v>MNGKKBF</v>
      </c>
      <c r="I1355" s="270" t="str">
        <f>IF(D1355="","",VLOOKUP(F1355,製品マスタ!$G$5:$L$5002,6,FALSE))</f>
        <v>メタルミー　ネーマー銀消改　Ｂ</v>
      </c>
      <c r="J1355" s="210" t="s">
        <v>935</v>
      </c>
      <c r="K1355" s="270">
        <f>IF(D1355="","",VLOOKUP(D1355,契約台帳!$A$3:$L$4986,12,FALSE))</f>
        <v>25</v>
      </c>
      <c r="L1355" s="270" t="str">
        <f>IF(D1355="","",INDEX(製品マスタ!$Q$5:$Q$5002,MATCH('S4'!F1355&amp;'S4'!K1355,製品マスタ!$AO$5:$AO$5002,0)))</f>
        <v>FMATS99</v>
      </c>
      <c r="M1355" s="39">
        <v>1120</v>
      </c>
      <c r="N1355" s="39">
        <v>4000</v>
      </c>
      <c r="O1355" s="156">
        <v>9</v>
      </c>
      <c r="P1355" s="47">
        <v>3</v>
      </c>
      <c r="Q1355" s="213">
        <v>45261</v>
      </c>
      <c r="R1355" s="271">
        <f ca="1">IF(D1355="","",IF(OFFSET(D1355,-1,0)&lt;&gt;"","",IF(OR(J1355="リード付け",J1355="巻足し",J1355="巻返しリード付け"),M1355,VLOOKUP(D1355,契約台帳!$A$3:$N$4986,14,FALSE))))</f>
        <v>1120</v>
      </c>
      <c r="S1355" s="272">
        <f ca="1">IF(D1355="","",IF(OFFSET(D1355,-1,0)&lt;&gt;"","",IF(OR(J1355="リード付け",J1355="巻足し",J1355="巻返しリード付け"),M1355,VLOOKUP(D1355,契約台帳!$A$3:$O$4986,15,FALSE))))</f>
        <v>1120</v>
      </c>
      <c r="T1355" s="273">
        <f ca="1">IF(D1355="","",IF(J1355="リード付け",N1355,IF(J1355="巻返しリード付け",N1355,IF(J1355="巻足し",N1355*P1355+OFFSET(N1355,1,0)*OFFSET(P1355,1,0),VLOOKUP(D1355,契約台帳!$A$3:$P$4986,16,FALSE)))))</f>
        <v>12000</v>
      </c>
      <c r="U1355" s="40">
        <v>3</v>
      </c>
      <c r="V1355" s="274">
        <f ca="1">IF(D1355="","",IF(OFFSET(D1355,-2,0)=D1355,"",VLOOKUP(D1355,契約台帳!$A$3:$R$4986,18,FALSE)))</f>
        <v>9</v>
      </c>
      <c r="W1355" s="269" t="str">
        <f ca="1">IF(D1355="","",IF(T1355="","",IF(OR(J1355="巻足し",J1355="巻返しリード付け"),"",IF(J1355="巻返し",VLOOKUP(F1355&amp;K1355&amp;M1355,製品マスタ!$M$5:$AD$5002,18,FALSE),IF(OR(J1355="リード付け",J1355="巻返しリード付け"),"原反コア",IF(J1355="スリット",VLOOKUP(F1355&amp;K1355&amp;R1355,製品マスタ!$N$5:$AD$5002,17,FALSE),""))))))</f>
        <v/>
      </c>
      <c r="X1355" s="269" t="str">
        <f ca="1">IF(D1355="","",IF(T1355="","",IF(J1355="巻足し","",IF(J1355="巻返し",VLOOKUP(F1355&amp;K1355&amp;M1355,製品マスタ!$M$5:$AE$5002,19,FALSE),IF(OR(J1355="リード付け",J1355="巻返しリード付け"),"",IF(J1355="スリット",VLOOKUP(F1355&amp;K1355&amp;R1355,製品マスタ!$N$5:$AE$5002,18,FALSE),""))))))</f>
        <v/>
      </c>
      <c r="Y1355" s="275">
        <f ca="1">IF(D1355="","",IF(T1355="","",VLOOKUP(D1355,契約台帳!$A$3:$Q$4986,17,FALSE)))</f>
        <v>2</v>
      </c>
      <c r="Z1355" s="269" t="str">
        <f ca="1">IF(D1355="","",IF(T1355="","",VLOOKUP(D1355,契約台帳!$A$3:$E$4986,5,FALSE)))</f>
        <v>リンテック㈱</v>
      </c>
      <c r="AA1355" s="57"/>
      <c r="AB1355" s="207">
        <f>IFERROR((VLOOKUP(F1355&amp;K1355&amp;M1355,製品マスタ!$M$5:$AM$5002,27,FALSE)),"")</f>
        <v>0</v>
      </c>
      <c r="AC1355" s="33"/>
      <c r="AD1355" s="189"/>
      <c r="AE1355" s="54"/>
      <c r="AF1355" s="55">
        <f>+M1355*N1355*O1355/1000</f>
        <v>40320</v>
      </c>
      <c r="AG1355" s="43"/>
      <c r="AH1355" s="47"/>
      <c r="AI1355" s="30"/>
      <c r="AJ1355" s="30"/>
      <c r="AK1355" s="30"/>
      <c r="AL1355" s="30"/>
      <c r="AM1355" s="13"/>
      <c r="AN1355" s="13"/>
      <c r="AO1355" s="13"/>
      <c r="AP1355" s="13"/>
      <c r="AQ1355" s="13"/>
      <c r="AR1355" s="14"/>
      <c r="AS1355" s="15"/>
    </row>
    <row r="1356" spans="1:45" s="17" customFormat="1" ht="30.95" hidden="1" customHeight="1" x14ac:dyDescent="0.2">
      <c r="A1356" s="37"/>
      <c r="B1356" s="38"/>
      <c r="C1356" s="45"/>
      <c r="D1356" s="31"/>
      <c r="E1356" s="31"/>
      <c r="F1356" s="268"/>
      <c r="G1356" s="269"/>
      <c r="H1356" s="269"/>
      <c r="I1356" s="270"/>
      <c r="J1356" s="210"/>
      <c r="K1356" s="270"/>
      <c r="L1356" s="270"/>
      <c r="M1356" s="39"/>
      <c r="N1356" s="39"/>
      <c r="O1356" s="156"/>
      <c r="P1356" s="47"/>
      <c r="Q1356" s="57"/>
      <c r="R1356" s="338"/>
      <c r="S1356" s="272"/>
      <c r="T1356" s="273"/>
      <c r="U1356" s="40"/>
      <c r="V1356" s="277"/>
      <c r="W1356" s="269"/>
      <c r="X1356" s="269"/>
      <c r="Y1356" s="275"/>
      <c r="Z1356" s="269"/>
      <c r="AA1356" s="57"/>
      <c r="AB1356" s="207"/>
      <c r="AC1356" s="33"/>
      <c r="AD1356" s="189"/>
      <c r="AE1356" s="54"/>
      <c r="AF1356" s="55"/>
      <c r="AG1356" s="43"/>
      <c r="AH1356" s="47"/>
      <c r="AI1356" s="30"/>
      <c r="AJ1356" s="30"/>
      <c r="AK1356" s="30"/>
      <c r="AL1356" s="30"/>
      <c r="AM1356" s="13"/>
      <c r="AN1356" s="13"/>
      <c r="AO1356" s="13"/>
      <c r="AP1356" s="13"/>
      <c r="AQ1356" s="13"/>
      <c r="AR1356" s="14"/>
      <c r="AS1356" s="15"/>
    </row>
    <row r="1357" spans="1:45" s="17" customFormat="1" ht="30.95" hidden="1" customHeight="1" x14ac:dyDescent="0.2">
      <c r="A1357" s="37"/>
      <c r="B1357" s="38"/>
      <c r="C1357" s="45"/>
      <c r="D1357" s="31">
        <v>3735110</v>
      </c>
      <c r="E1357" s="31">
        <v>4162153</v>
      </c>
      <c r="F1357" s="268" t="str">
        <f>IF(D1357="","",VLOOKUP(D1357,契約台帳!$A$3:$K$4986,6,FALSE)&amp;VLOOKUP(D1357,契約台帳!$A$3:$K$4986,7,FALSE)&amp;VLOOKUP(D1357,契約台帳!$A$3:$K$4986,8,FALSE)&amp;VLOOKUP(D1357,契約台帳!$A$3:$K$4986,9,FALSE)&amp;VLOOKUP(D1357,契約台帳!$A$3:$K$4986,11,FALSE))</f>
        <v>3SNMLBMNGKBF</v>
      </c>
      <c r="G1357" s="269" t="str">
        <f>IF(D1357="","",VLOOKUP(F1357,製品マスタ!$G$5:$H$5002,2,FALSE))</f>
        <v>S</v>
      </c>
      <c r="H1357" s="269" t="str">
        <f>IF(D1357="","",VLOOKUP(F1357,製品マスタ!$G$5:$K$5002,5,FALSE))</f>
        <v>MNGKBF</v>
      </c>
      <c r="I1357" s="270" t="str">
        <f>IF(D1357="","",VLOOKUP(F1357,製品マスタ!$G$5:$L$5002,6,FALSE))</f>
        <v>メタルミー　ネーマー銀消　Ｂ</v>
      </c>
      <c r="J1357" s="210" t="s">
        <v>935</v>
      </c>
      <c r="K1357" s="270">
        <f>IF(D1357="","",VLOOKUP(D1357,契約台帳!$A$3:$L$4986,12,FALSE))</f>
        <v>25</v>
      </c>
      <c r="L1357" s="270" t="str">
        <f>IF(D1357="","",INDEX(製品マスタ!$Q$5:$Q$5002,MATCH('S4'!F1357&amp;'S4'!K1357,製品マスタ!$AO$5:$AO$5002,0)))</f>
        <v>LUMIMAT</v>
      </c>
      <c r="M1357" s="39">
        <v>1050</v>
      </c>
      <c r="N1357" s="39">
        <v>4000</v>
      </c>
      <c r="O1357" s="156">
        <v>2</v>
      </c>
      <c r="P1357" s="47">
        <v>2</v>
      </c>
      <c r="Q1357" s="213">
        <v>45261</v>
      </c>
      <c r="R1357" s="271">
        <f ca="1">IF(D1357="","",IF(OFFSET(D1357,-1,0)&lt;&gt;"","",IF(OR(J1357="リード付け",J1357="巻足し",J1357="巻返しリード付け"),M1357,VLOOKUP(D1357,契約台帳!$A$3:$N$4986,14,FALSE))))</f>
        <v>1050</v>
      </c>
      <c r="S1357" s="272">
        <f ca="1">IF(D1357="","",IF(OFFSET(D1357,-1,0)&lt;&gt;"","",IF(OR(J1357="リード付け",J1357="巻足し",J1357="巻返しリード付け"),M1357,VLOOKUP(D1357,契約台帳!$A$3:$O$4986,15,FALSE))))</f>
        <v>1050</v>
      </c>
      <c r="T1357" s="273">
        <f ca="1">IF(D1357="","",IF(J1357="リード付け",N1357,IF(J1357="巻返しリード付け",N1357,IF(J1357="巻足し",N1357*P1357+OFFSET(N1357,1,0)*OFFSET(P1357,1,0),VLOOKUP(D1357,契約台帳!$A$3:$P$4986,16,FALSE)))))</f>
        <v>8000</v>
      </c>
      <c r="U1357" s="40">
        <v>1</v>
      </c>
      <c r="V1357" s="274">
        <f ca="1">IF(D1357="","",IF(OFFSET(D1357,-2,0)=D1357,"",VLOOKUP(D1357,契約台帳!$A$3:$R$4986,18,FALSE)))</f>
        <v>2</v>
      </c>
      <c r="W1357" s="269" t="str">
        <f ca="1">IF(D1357="","",IF(T1357="","",IF(OR(J1357="巻足し",J1357="巻返しリード付け"),"",IF(J1357="巻返し",VLOOKUP(F1357&amp;K1357&amp;M1357,製品マスタ!$M$5:$AD$5002,18,FALSE),IF(OR(J1357="リード付け",J1357="巻返しリード付け"),"原反コア",IF(J1357="スリット",VLOOKUP(F1357&amp;K1357&amp;R1357,製品マスタ!$N$5:$AD$5002,17,FALSE),""))))))</f>
        <v/>
      </c>
      <c r="X1357" s="269" t="str">
        <f ca="1">IF(D1357="","",IF(T1357="","",IF(J1357="巻足し","",IF(J1357="巻返し",VLOOKUP(F1357&amp;K1357&amp;M1357,製品マスタ!$M$5:$AE$5002,19,FALSE),IF(OR(J1357="リード付け",J1357="巻返しリード付け"),"",IF(J1357="スリット",VLOOKUP(F1357&amp;K1357&amp;R1357,製品マスタ!$N$5:$AE$5002,18,FALSE),""))))))</f>
        <v/>
      </c>
      <c r="Y1357" s="275">
        <f ca="1">IF(D1357="","",IF(T1357="","",VLOOKUP(D1357,契約台帳!$A$3:$Q$4986,17,FALSE)))</f>
        <v>2</v>
      </c>
      <c r="Z1357" s="269" t="str">
        <f ca="1">IF(D1357="","",IF(T1357="","",VLOOKUP(D1357,契約台帳!$A$3:$E$4986,5,FALSE)))</f>
        <v>リンテック㈱</v>
      </c>
      <c r="AA1357" s="57"/>
      <c r="AB1357" s="207">
        <f>IFERROR((VLOOKUP(F1357&amp;K1357&amp;M1357,製品マスタ!$M$5:$AM$5002,27,FALSE)),"")</f>
        <v>0</v>
      </c>
      <c r="AC1357" s="33"/>
      <c r="AD1357" s="189"/>
      <c r="AE1357" s="54"/>
      <c r="AF1357" s="55">
        <f>+M1357*N1357*O1357/1000</f>
        <v>8400</v>
      </c>
      <c r="AG1357" s="43"/>
      <c r="AH1357" s="47"/>
      <c r="AI1357" s="30"/>
      <c r="AJ1357" s="30"/>
      <c r="AK1357" s="30"/>
      <c r="AL1357" s="30"/>
      <c r="AM1357" s="13"/>
      <c r="AN1357" s="13"/>
      <c r="AO1357" s="13"/>
      <c r="AP1357" s="13"/>
      <c r="AQ1357" s="13"/>
      <c r="AR1357" s="14"/>
      <c r="AS1357" s="15"/>
    </row>
    <row r="1358" spans="1:45" s="17" customFormat="1" ht="30.95" hidden="1" customHeight="1" x14ac:dyDescent="0.2">
      <c r="A1358" s="37"/>
      <c r="B1358" s="38"/>
      <c r="C1358" s="45"/>
      <c r="D1358" s="31"/>
      <c r="E1358" s="31"/>
      <c r="F1358" s="268"/>
      <c r="G1358" s="269"/>
      <c r="H1358" s="269"/>
      <c r="I1358" s="270"/>
      <c r="J1358" s="210"/>
      <c r="K1358" s="270"/>
      <c r="L1358" s="270"/>
      <c r="M1358" s="39"/>
      <c r="N1358" s="39"/>
      <c r="O1358" s="156"/>
      <c r="P1358" s="47"/>
      <c r="Q1358" s="57"/>
      <c r="R1358" s="338"/>
      <c r="S1358" s="272"/>
      <c r="T1358" s="273"/>
      <c r="U1358" s="40"/>
      <c r="V1358" s="277"/>
      <c r="W1358" s="269"/>
      <c r="X1358" s="269"/>
      <c r="Y1358" s="275"/>
      <c r="Z1358" s="269"/>
      <c r="AA1358" s="57"/>
      <c r="AB1358" s="207"/>
      <c r="AC1358" s="33"/>
      <c r="AD1358" s="189"/>
      <c r="AE1358" s="54"/>
      <c r="AF1358" s="55"/>
      <c r="AG1358" s="43"/>
      <c r="AH1358" s="47"/>
      <c r="AI1358" s="30"/>
      <c r="AJ1358" s="30"/>
      <c r="AK1358" s="30"/>
      <c r="AL1358" s="30"/>
      <c r="AM1358" s="13"/>
      <c r="AN1358" s="13"/>
      <c r="AO1358" s="13"/>
      <c r="AP1358" s="13"/>
      <c r="AQ1358" s="13"/>
      <c r="AR1358" s="14"/>
      <c r="AS1358" s="15"/>
    </row>
    <row r="1359" spans="1:45" s="17" customFormat="1" ht="30.95" hidden="1" customHeight="1" x14ac:dyDescent="0.2">
      <c r="A1359" s="37"/>
      <c r="B1359" s="38"/>
      <c r="C1359" s="45"/>
      <c r="D1359" s="31">
        <v>3735111</v>
      </c>
      <c r="E1359" s="31">
        <v>4162155</v>
      </c>
      <c r="F1359" s="268" t="str">
        <f>IF(D1359="","",VLOOKUP(D1359,契約台帳!$A$3:$K$4986,6,FALSE)&amp;VLOOKUP(D1359,契約台帳!$A$3:$K$4986,7,FALSE)&amp;VLOOKUP(D1359,契約台帳!$A$3:$K$4986,8,FALSE)&amp;VLOOKUP(D1359,契約台帳!$A$3:$K$4986,9,FALSE)&amp;VLOOKUP(D1359,契約台帳!$A$3:$K$4986,11,FALSE))</f>
        <v>3SNMLBMNGKBF</v>
      </c>
      <c r="G1359" s="269" t="str">
        <f>IF(D1359="","",VLOOKUP(F1359,製品マスタ!$G$5:$H$5002,2,FALSE))</f>
        <v>S</v>
      </c>
      <c r="H1359" s="269" t="str">
        <f>IF(D1359="","",VLOOKUP(F1359,製品マスタ!$G$5:$K$5002,5,FALSE))</f>
        <v>MNGKBF</v>
      </c>
      <c r="I1359" s="270" t="str">
        <f>IF(D1359="","",VLOOKUP(F1359,製品マスタ!$G$5:$L$5002,6,FALSE))</f>
        <v>メタルミー　ネーマー銀消　Ｂ</v>
      </c>
      <c r="J1359" s="210" t="s">
        <v>935</v>
      </c>
      <c r="K1359" s="270">
        <f>IF(D1359="","",VLOOKUP(D1359,契約台帳!$A$3:$L$4986,12,FALSE))</f>
        <v>50</v>
      </c>
      <c r="L1359" s="270" t="str">
        <f>IF(D1359="","",INDEX(製品マスタ!$Q$5:$Q$5002,MATCH('S4'!F1359&amp;'S4'!K1359,製品マスタ!$AO$5:$AO$5002,0)))</f>
        <v>MAT</v>
      </c>
      <c r="M1359" s="39">
        <v>1050</v>
      </c>
      <c r="N1359" s="39">
        <v>4100</v>
      </c>
      <c r="O1359" s="156">
        <v>3</v>
      </c>
      <c r="P1359" s="47">
        <v>3</v>
      </c>
      <c r="Q1359" s="213">
        <v>45261</v>
      </c>
      <c r="R1359" s="271">
        <f ca="1">IF(D1359="","",IF(OFFSET(D1359,-1,0)&lt;&gt;"","",IF(OR(J1359="リード付け",J1359="巻足し",J1359="巻返しリード付け"),M1359,VLOOKUP(D1359,契約台帳!$A$3:$N$4986,14,FALSE))))</f>
        <v>1050</v>
      </c>
      <c r="S1359" s="272">
        <f ca="1">IF(D1359="","",IF(OFFSET(D1359,-1,0)&lt;&gt;"","",IF(OR(J1359="リード付け",J1359="巻足し",J1359="巻返しリード付け"),M1359,VLOOKUP(D1359,契約台帳!$A$3:$O$4986,15,FALSE))))</f>
        <v>1050</v>
      </c>
      <c r="T1359" s="273">
        <f ca="1">IF(D1359="","",IF(J1359="リード付け",N1359,IF(J1359="巻返しリード付け",N1359,IF(J1359="巻足し",N1359*P1359+OFFSET(N1359,1,0)*OFFSET(P1359,1,0),VLOOKUP(D1359,契約台帳!$A$3:$P$4986,16,FALSE)))))</f>
        <v>12300</v>
      </c>
      <c r="U1359" s="40">
        <v>1</v>
      </c>
      <c r="V1359" s="274">
        <f ca="1">IF(D1359="","",IF(OFFSET(D1359,-2,0)=D1359,"",VLOOKUP(D1359,契約台帳!$A$3:$R$4986,18,FALSE)))</f>
        <v>3</v>
      </c>
      <c r="W1359" s="269" t="str">
        <f ca="1">IF(D1359="","",IF(T1359="","",IF(OR(J1359="巻足し",J1359="巻返しリード付け"),"",IF(J1359="巻返し",VLOOKUP(F1359&amp;K1359&amp;M1359,製品マスタ!$M$5:$AD$5002,18,FALSE),IF(OR(J1359="リード付け",J1359="巻返しリード付け"),"原反コア",IF(J1359="スリット",VLOOKUP(F1359&amp;K1359&amp;R1359,製品マスタ!$N$5:$AD$5002,17,FALSE),""))))))</f>
        <v/>
      </c>
      <c r="X1359" s="269" t="str">
        <f ca="1">IF(D1359="","",IF(T1359="","",IF(J1359="巻足し","",IF(J1359="巻返し",VLOOKUP(F1359&amp;K1359&amp;M1359,製品マスタ!$M$5:$AE$5002,19,FALSE),IF(OR(J1359="リード付け",J1359="巻返しリード付け"),"",IF(J1359="スリット",VLOOKUP(F1359&amp;K1359&amp;R1359,製品マスタ!$N$5:$AE$5002,18,FALSE),""))))))</f>
        <v/>
      </c>
      <c r="Y1359" s="275">
        <f ca="1">IF(D1359="","",IF(T1359="","",VLOOKUP(D1359,契約台帳!$A$3:$Q$4986,17,FALSE)))</f>
        <v>2</v>
      </c>
      <c r="Z1359" s="269" t="str">
        <f ca="1">IF(D1359="","",IF(T1359="","",VLOOKUP(D1359,契約台帳!$A$3:$E$4986,5,FALSE)))</f>
        <v>リンテック㈱</v>
      </c>
      <c r="AA1359" s="57"/>
      <c r="AB1359" s="207">
        <f>IFERROR((VLOOKUP(F1359&amp;K1359&amp;M1359,製品マスタ!$M$5:$AM$5002,27,FALSE)),"")</f>
        <v>0</v>
      </c>
      <c r="AC1359" s="33"/>
      <c r="AD1359" s="189"/>
      <c r="AE1359" s="54"/>
      <c r="AF1359" s="55">
        <f>+M1359*N1359*O1359/1000</f>
        <v>12915</v>
      </c>
      <c r="AG1359" s="43"/>
      <c r="AH1359" s="47"/>
      <c r="AI1359" s="30"/>
      <c r="AJ1359" s="30"/>
      <c r="AK1359" s="30"/>
      <c r="AL1359" s="30"/>
      <c r="AM1359" s="13"/>
      <c r="AN1359" s="13"/>
      <c r="AO1359" s="13"/>
      <c r="AP1359" s="13"/>
      <c r="AQ1359" s="13"/>
      <c r="AR1359" s="14"/>
      <c r="AS1359" s="15"/>
    </row>
    <row r="1360" spans="1:45" s="17" customFormat="1" ht="30.95" hidden="1" customHeight="1" x14ac:dyDescent="0.2">
      <c r="A1360" s="37"/>
      <c r="B1360" s="38"/>
      <c r="C1360" s="45"/>
      <c r="D1360" s="31"/>
      <c r="E1360" s="31"/>
      <c r="F1360" s="268"/>
      <c r="G1360" s="269"/>
      <c r="H1360" s="269"/>
      <c r="I1360" s="270"/>
      <c r="J1360" s="210"/>
      <c r="K1360" s="270"/>
      <c r="L1360" s="270"/>
      <c r="M1360" s="39"/>
      <c r="N1360" s="39"/>
      <c r="O1360" s="156"/>
      <c r="P1360" s="47"/>
      <c r="Q1360" s="57"/>
      <c r="R1360" s="338"/>
      <c r="S1360" s="272"/>
      <c r="T1360" s="273"/>
      <c r="U1360" s="40"/>
      <c r="V1360" s="277"/>
      <c r="W1360" s="269"/>
      <c r="X1360" s="269"/>
      <c r="Y1360" s="275"/>
      <c r="Z1360" s="269"/>
      <c r="AA1360" s="57"/>
      <c r="AB1360" s="207"/>
      <c r="AC1360" s="33"/>
      <c r="AD1360" s="189"/>
      <c r="AE1360" s="54"/>
      <c r="AF1360" s="55"/>
      <c r="AG1360" s="43"/>
      <c r="AH1360" s="47"/>
      <c r="AI1360" s="30"/>
      <c r="AJ1360" s="30"/>
      <c r="AK1360" s="30"/>
      <c r="AL1360" s="30"/>
      <c r="AM1360" s="13"/>
      <c r="AN1360" s="13"/>
      <c r="AO1360" s="13"/>
      <c r="AP1360" s="13"/>
      <c r="AQ1360" s="13"/>
      <c r="AR1360" s="14"/>
      <c r="AS1360" s="15"/>
    </row>
    <row r="1361" spans="1:45" s="17" customFormat="1" ht="30.95" hidden="1" customHeight="1" x14ac:dyDescent="0.2">
      <c r="A1361" s="37"/>
      <c r="B1361" s="38"/>
      <c r="C1361" s="45"/>
      <c r="D1361" s="31">
        <v>3735109</v>
      </c>
      <c r="E1361" s="31">
        <v>4162154</v>
      </c>
      <c r="F1361" s="268" t="str">
        <f>IF(D1361="","",VLOOKUP(D1361,契約台帳!$A$3:$K$4986,6,FALSE)&amp;VLOOKUP(D1361,契約台帳!$A$3:$K$4986,7,FALSE)&amp;VLOOKUP(D1361,契約台帳!$A$3:$K$4986,8,FALSE)&amp;VLOOKUP(D1361,契約台帳!$A$3:$K$4986,9,FALSE)&amp;VLOOKUP(D1361,契約台帳!$A$3:$K$4986,11,FALSE))</f>
        <v>3SNMLBMNGKBF</v>
      </c>
      <c r="G1361" s="269" t="str">
        <f>IF(D1361="","",VLOOKUP(F1361,製品マスタ!$G$5:$H$5002,2,FALSE))</f>
        <v>S</v>
      </c>
      <c r="H1361" s="269" t="str">
        <f>IF(D1361="","",VLOOKUP(F1361,製品マスタ!$G$5:$K$5002,5,FALSE))</f>
        <v>MNGKBF</v>
      </c>
      <c r="I1361" s="270" t="str">
        <f>IF(D1361="","",VLOOKUP(F1361,製品マスタ!$G$5:$L$5002,6,FALSE))</f>
        <v>メタルミー　ネーマー銀消　Ｂ</v>
      </c>
      <c r="J1361" s="210" t="s">
        <v>935</v>
      </c>
      <c r="K1361" s="270">
        <f>IF(D1361="","",VLOOKUP(D1361,契約台帳!$A$3:$L$4986,12,FALSE))</f>
        <v>38</v>
      </c>
      <c r="L1361" s="270" t="str">
        <f>IF(D1361="","",INDEX(製品マスタ!$Q$5:$Q$5002,MATCH('S4'!F1361&amp;'S4'!K1361,製品マスタ!$AO$5:$AO$5002,0)))</f>
        <v>LUMIMAT</v>
      </c>
      <c r="M1361" s="39">
        <v>1005</v>
      </c>
      <c r="N1361" s="39">
        <v>4100</v>
      </c>
      <c r="O1361" s="156">
        <v>2</v>
      </c>
      <c r="P1361" s="47">
        <v>2</v>
      </c>
      <c r="Q1361" s="213">
        <v>45261</v>
      </c>
      <c r="R1361" s="271">
        <f ca="1">IF(D1361="","",IF(OFFSET(D1361,-1,0)&lt;&gt;"","",IF(OR(J1361="リード付け",J1361="巻足し",J1361="巻返しリード付け"),M1361,VLOOKUP(D1361,契約台帳!$A$3:$N$4986,14,FALSE))))</f>
        <v>1005</v>
      </c>
      <c r="S1361" s="272">
        <f ca="1">IF(D1361="","",IF(OFFSET(D1361,-1,0)&lt;&gt;"","",IF(OR(J1361="リード付け",J1361="巻足し",J1361="巻返しリード付け"),M1361,VLOOKUP(D1361,契約台帳!$A$3:$O$4986,15,FALSE))))</f>
        <v>1005</v>
      </c>
      <c r="T1361" s="273">
        <f ca="1">IF(D1361="","",IF(J1361="リード付け",N1361,IF(J1361="巻返しリード付け",N1361,IF(J1361="巻足し",N1361*P1361+OFFSET(N1361,1,0)*OFFSET(P1361,1,0),VLOOKUP(D1361,契約台帳!$A$3:$P$4986,16,FALSE)))))</f>
        <v>8200</v>
      </c>
      <c r="U1361" s="40">
        <v>1</v>
      </c>
      <c r="V1361" s="274">
        <f ca="1">IF(D1361="","",IF(OFFSET(D1361,-2,0)=D1361,"",VLOOKUP(D1361,契約台帳!$A$3:$R$4986,18,FALSE)))</f>
        <v>2</v>
      </c>
      <c r="W1361" s="269" t="str">
        <f ca="1">IF(D1361="","",IF(T1361="","",IF(OR(J1361="巻足し",J1361="巻返しリード付け"),"",IF(J1361="巻返し",VLOOKUP(F1361&amp;K1361&amp;M1361,製品マスタ!$M$5:$AD$5002,18,FALSE),IF(OR(J1361="リード付け",J1361="巻返しリード付け"),"原反コア",IF(J1361="スリット",VLOOKUP(F1361&amp;K1361&amp;R1361,製品マスタ!$N$5:$AD$5002,17,FALSE),""))))))</f>
        <v/>
      </c>
      <c r="X1361" s="269" t="str">
        <f ca="1">IF(D1361="","",IF(T1361="","",IF(J1361="巻足し","",IF(J1361="巻返し",VLOOKUP(F1361&amp;K1361&amp;M1361,製品マスタ!$M$5:$AE$5002,19,FALSE),IF(OR(J1361="リード付け",J1361="巻返しリード付け"),"",IF(J1361="スリット",VLOOKUP(F1361&amp;K1361&amp;R1361,製品マスタ!$N$5:$AE$5002,18,FALSE),""))))))</f>
        <v/>
      </c>
      <c r="Y1361" s="275">
        <f ca="1">IF(D1361="","",IF(T1361="","",VLOOKUP(D1361,契約台帳!$A$3:$Q$4986,17,FALSE)))</f>
        <v>2</v>
      </c>
      <c r="Z1361" s="269" t="str">
        <f ca="1">IF(D1361="","",IF(T1361="","",VLOOKUP(D1361,契約台帳!$A$3:$E$4986,5,FALSE)))</f>
        <v>リンテック㈱</v>
      </c>
      <c r="AA1361" s="57"/>
      <c r="AB1361" s="207">
        <f>IFERROR((VLOOKUP(F1361&amp;K1361&amp;M1361,製品マスタ!$M$5:$AM$5002,27,FALSE)),"")</f>
        <v>0</v>
      </c>
      <c r="AC1361" s="33"/>
      <c r="AD1361" s="189"/>
      <c r="AE1361" s="54"/>
      <c r="AF1361" s="55">
        <f>+M1361*N1361*O1361/1000</f>
        <v>8241</v>
      </c>
      <c r="AG1361" s="43"/>
      <c r="AH1361" s="47"/>
      <c r="AI1361" s="30"/>
      <c r="AJ1361" s="30"/>
      <c r="AK1361" s="30"/>
      <c r="AL1361" s="30"/>
      <c r="AM1361" s="13"/>
      <c r="AN1361" s="13"/>
      <c r="AO1361" s="13"/>
      <c r="AP1361" s="13"/>
      <c r="AQ1361" s="13"/>
      <c r="AR1361" s="14"/>
      <c r="AS1361" s="15"/>
    </row>
    <row r="1362" spans="1:45" s="17" customFormat="1" ht="30.95" hidden="1" customHeight="1" x14ac:dyDescent="0.2">
      <c r="A1362" s="37"/>
      <c r="B1362" s="38"/>
      <c r="C1362" s="45"/>
      <c r="D1362" s="31"/>
      <c r="E1362" s="31"/>
      <c r="F1362" s="268"/>
      <c r="G1362" s="269"/>
      <c r="H1362" s="269"/>
      <c r="I1362" s="270"/>
      <c r="J1362" s="210"/>
      <c r="K1362" s="270"/>
      <c r="L1362" s="270"/>
      <c r="M1362" s="39"/>
      <c r="N1362" s="39"/>
      <c r="O1362" s="156"/>
      <c r="P1362" s="47"/>
      <c r="Q1362" s="57"/>
      <c r="R1362" s="338"/>
      <c r="S1362" s="272"/>
      <c r="T1362" s="273"/>
      <c r="U1362" s="40"/>
      <c r="V1362" s="277"/>
      <c r="W1362" s="269"/>
      <c r="X1362" s="269"/>
      <c r="Y1362" s="275"/>
      <c r="Z1362" s="269"/>
      <c r="AA1362" s="57"/>
      <c r="AB1362" s="207"/>
      <c r="AC1362" s="33"/>
      <c r="AD1362" s="189"/>
      <c r="AE1362" s="54"/>
      <c r="AF1362" s="55"/>
      <c r="AG1362" s="43"/>
      <c r="AH1362" s="47"/>
      <c r="AI1362" s="30"/>
      <c r="AJ1362" s="30"/>
      <c r="AK1362" s="30"/>
      <c r="AL1362" s="30"/>
      <c r="AM1362" s="13"/>
      <c r="AN1362" s="13"/>
      <c r="AO1362" s="13"/>
      <c r="AP1362" s="13"/>
      <c r="AQ1362" s="13"/>
      <c r="AR1362" s="14"/>
      <c r="AS1362" s="15"/>
    </row>
    <row r="1363" spans="1:45" s="17" customFormat="1" ht="30.95" hidden="1" customHeight="1" x14ac:dyDescent="0.2">
      <c r="A1363" s="37"/>
      <c r="B1363" s="38"/>
      <c r="C1363" s="45"/>
      <c r="D1363" s="31">
        <v>3735120</v>
      </c>
      <c r="E1363" s="31">
        <v>4162178</v>
      </c>
      <c r="F1363" s="268" t="str">
        <f>IF(D1363="","",VLOOKUP(D1363,契約台帳!$A$3:$K$4986,6,FALSE)&amp;VLOOKUP(D1363,契約台帳!$A$3:$K$4986,7,FALSE)&amp;VLOOKUP(D1363,契約台帳!$A$3:$K$4986,8,FALSE)&amp;VLOOKUP(D1363,契約台帳!$A$3:$K$4986,9,FALSE)&amp;VLOOKUP(D1363,契約台帳!$A$3:$K$4986,11,FALSE))</f>
        <v>3SNMLBMNNGKBF</v>
      </c>
      <c r="G1363" s="269" t="str">
        <f>IF(D1363="","",VLOOKUP(F1363,製品マスタ!$G$5:$H$5002,2,FALSE))</f>
        <v>S</v>
      </c>
      <c r="H1363" s="269" t="str">
        <f>IF(D1363="","",VLOOKUP(F1363,製品マスタ!$G$5:$K$5002,5,FALSE))</f>
        <v>MNNGKBF</v>
      </c>
      <c r="I1363" s="270" t="str">
        <f>IF(D1363="","",VLOOKUP(F1363,製品マスタ!$G$5:$L$5002,6,FALSE))</f>
        <v>メタルミー　ニューネーマー銀消　Ｂ</v>
      </c>
      <c r="J1363" s="210" t="s">
        <v>935</v>
      </c>
      <c r="K1363" s="270">
        <f>IF(D1363="","",VLOOKUP(D1363,契約台帳!$A$3:$L$4986,12,FALSE))</f>
        <v>25</v>
      </c>
      <c r="L1363" s="270" t="str">
        <f>IF(D1363="","",INDEX(製品マスタ!$Q$5:$Q$5002,MATCH('S4'!F1363&amp;'S4'!K1363,製品マスタ!$AO$5:$AO$5002,0)))</f>
        <v>X44C</v>
      </c>
      <c r="M1363" s="39">
        <v>1005</v>
      </c>
      <c r="N1363" s="39">
        <v>8000</v>
      </c>
      <c r="O1363" s="156">
        <v>2</v>
      </c>
      <c r="P1363" s="47">
        <v>2</v>
      </c>
      <c r="Q1363" s="213">
        <v>45261</v>
      </c>
      <c r="R1363" s="271">
        <f ca="1">IF(D1363="","",IF(OFFSET(D1363,-1,0)&lt;&gt;"","",IF(OR(J1363="リード付け",J1363="巻足し",J1363="巻返しリード付け"),M1363,VLOOKUP(D1363,契約台帳!$A$3:$N$4986,14,FALSE))))</f>
        <v>1005</v>
      </c>
      <c r="S1363" s="272">
        <f ca="1">IF(D1363="","",IF(OFFSET(D1363,-1,0)&lt;&gt;"","",IF(OR(J1363="リード付け",J1363="巻足し",J1363="巻返しリード付け"),M1363,VLOOKUP(D1363,契約台帳!$A$3:$O$4986,15,FALSE))))</f>
        <v>1005</v>
      </c>
      <c r="T1363" s="273">
        <f ca="1">IF(D1363="","",IF(J1363="リード付け",N1363,IF(J1363="巻返しリード付け",N1363,IF(J1363="巻足し",N1363*P1363+OFFSET(N1363,1,0)*OFFSET(P1363,1,0),VLOOKUP(D1363,契約台帳!$A$3:$P$4986,16,FALSE)))))</f>
        <v>16000</v>
      </c>
      <c r="U1363" s="40">
        <v>1</v>
      </c>
      <c r="V1363" s="274">
        <f ca="1">IF(D1363="","",IF(OFFSET(D1363,-2,0)=D1363,"",VLOOKUP(D1363,契約台帳!$A$3:$R$4986,18,FALSE)))</f>
        <v>4</v>
      </c>
      <c r="W1363" s="269" t="str">
        <f ca="1">IF(D1363="","",IF(T1363="","",IF(OR(J1363="巻足し",J1363="巻返しリード付け"),"",IF(J1363="巻返し",VLOOKUP(F1363&amp;K1363&amp;M1363,製品マスタ!$M$5:$AD$5002,18,FALSE),IF(OR(J1363="リード付け",J1363="巻返しリード付け"),"原反コア",IF(J1363="スリット",VLOOKUP(F1363&amp;K1363&amp;R1363,製品マスタ!$N$5:$AD$5002,17,FALSE),""))))))</f>
        <v/>
      </c>
      <c r="X1363" s="269" t="str">
        <f ca="1">IF(D1363="","",IF(T1363="","",IF(J1363="巻足し","",IF(J1363="巻返し",VLOOKUP(F1363&amp;K1363&amp;M1363,製品マスタ!$M$5:$AE$5002,19,FALSE),IF(OR(J1363="リード付け",J1363="巻返しリード付け"),"",IF(J1363="スリット",VLOOKUP(F1363&amp;K1363&amp;R1363,製品マスタ!$N$5:$AE$5002,18,FALSE),""))))))</f>
        <v/>
      </c>
      <c r="Y1363" s="275">
        <f ca="1">IF(D1363="","",IF(T1363="","",VLOOKUP(D1363,契約台帳!$A$3:$Q$4986,17,FALSE)))</f>
        <v>2</v>
      </c>
      <c r="Z1363" s="269" t="str">
        <f ca="1">IF(D1363="","",IF(T1363="","",VLOOKUP(D1363,契約台帳!$A$3:$E$4986,5,FALSE)))</f>
        <v>リンテック㈱</v>
      </c>
      <c r="AA1363" s="57"/>
      <c r="AB1363" s="207">
        <f>IFERROR((VLOOKUP(F1363&amp;K1363&amp;M1363,製品マスタ!$M$5:$AM$5002,27,FALSE)),"")</f>
        <v>0</v>
      </c>
      <c r="AC1363" s="33"/>
      <c r="AD1363" s="189"/>
      <c r="AE1363" s="54"/>
      <c r="AF1363" s="55">
        <f>+M1363*N1363*O1363/1000</f>
        <v>16080</v>
      </c>
      <c r="AG1363" s="43"/>
      <c r="AH1363" s="47"/>
      <c r="AI1363" s="30"/>
      <c r="AJ1363" s="30"/>
      <c r="AK1363" s="30"/>
      <c r="AL1363" s="30"/>
      <c r="AM1363" s="13"/>
      <c r="AN1363" s="13"/>
      <c r="AO1363" s="13"/>
      <c r="AP1363" s="13"/>
      <c r="AQ1363" s="13"/>
      <c r="AR1363" s="14"/>
      <c r="AS1363" s="15"/>
    </row>
    <row r="1364" spans="1:45" s="17" customFormat="1" ht="30.95" hidden="1" customHeight="1" x14ac:dyDescent="0.2">
      <c r="A1364" s="37"/>
      <c r="B1364" s="38"/>
      <c r="C1364" s="45"/>
      <c r="D1364" s="31"/>
      <c r="E1364" s="31"/>
      <c r="F1364" s="268"/>
      <c r="G1364" s="269"/>
      <c r="H1364" s="269"/>
      <c r="I1364" s="270"/>
      <c r="J1364" s="210"/>
      <c r="K1364" s="270"/>
      <c r="L1364" s="270"/>
      <c r="M1364" s="39"/>
      <c r="N1364" s="39"/>
      <c r="O1364" s="156"/>
      <c r="P1364" s="47"/>
      <c r="Q1364" s="57"/>
      <c r="R1364" s="338"/>
      <c r="S1364" s="272"/>
      <c r="T1364" s="273"/>
      <c r="U1364" s="40"/>
      <c r="V1364" s="277"/>
      <c r="W1364" s="269"/>
      <c r="X1364" s="269"/>
      <c r="Y1364" s="275"/>
      <c r="Z1364" s="269"/>
      <c r="AA1364" s="57"/>
      <c r="AB1364" s="207"/>
      <c r="AC1364" s="33"/>
      <c r="AD1364" s="189"/>
      <c r="AE1364" s="54"/>
      <c r="AF1364" s="55"/>
      <c r="AG1364" s="43"/>
      <c r="AH1364" s="47"/>
      <c r="AI1364" s="30"/>
      <c r="AJ1364" s="30"/>
      <c r="AK1364" s="30"/>
      <c r="AL1364" s="30"/>
      <c r="AM1364" s="13"/>
      <c r="AN1364" s="13"/>
      <c r="AO1364" s="13"/>
      <c r="AP1364" s="13"/>
      <c r="AQ1364" s="13"/>
      <c r="AR1364" s="14"/>
      <c r="AS1364" s="15"/>
    </row>
    <row r="1365" spans="1:45" s="17" customFormat="1" ht="30.95" hidden="1" customHeight="1" x14ac:dyDescent="0.2">
      <c r="A1365" s="37" t="s">
        <v>671</v>
      </c>
      <c r="B1365" s="38" t="s">
        <v>445</v>
      </c>
      <c r="C1365" s="45"/>
      <c r="D1365" s="31"/>
      <c r="E1365" s="31"/>
      <c r="F1365" s="268"/>
      <c r="G1365" s="269"/>
      <c r="H1365" s="269"/>
      <c r="I1365" s="270"/>
      <c r="J1365" s="210" t="s">
        <v>448</v>
      </c>
      <c r="K1365" s="270"/>
      <c r="L1365" s="270"/>
      <c r="M1365" s="39"/>
      <c r="N1365" s="39"/>
      <c r="O1365" s="156"/>
      <c r="P1365" s="47"/>
      <c r="Q1365" s="57"/>
      <c r="R1365" s="338"/>
      <c r="S1365" s="272"/>
      <c r="T1365" s="273"/>
      <c r="U1365" s="40"/>
      <c r="V1365" s="277"/>
      <c r="W1365" s="269"/>
      <c r="X1365" s="269"/>
      <c r="Y1365" s="275"/>
      <c r="Z1365" s="269"/>
      <c r="AA1365" s="57"/>
      <c r="AB1365" s="207"/>
      <c r="AC1365" s="33"/>
      <c r="AD1365" s="189"/>
      <c r="AE1365" s="54"/>
      <c r="AF1365" s="55"/>
      <c r="AG1365" s="43"/>
      <c r="AH1365" s="47"/>
      <c r="AI1365" s="30"/>
      <c r="AJ1365" s="30"/>
      <c r="AK1365" s="30"/>
      <c r="AL1365" s="30"/>
      <c r="AM1365" s="13"/>
      <c r="AN1365" s="13"/>
      <c r="AO1365" s="13"/>
      <c r="AP1365" s="13"/>
      <c r="AQ1365" s="13"/>
      <c r="AR1365" s="14"/>
      <c r="AS1365" s="15"/>
    </row>
    <row r="1366" spans="1:45" s="17" customFormat="1" ht="30.95" hidden="1" customHeight="1" x14ac:dyDescent="0.2">
      <c r="A1366" s="37"/>
      <c r="B1366" s="38"/>
      <c r="C1366" s="45"/>
      <c r="D1366" s="31"/>
      <c r="E1366" s="31"/>
      <c r="F1366" s="268"/>
      <c r="G1366" s="269"/>
      <c r="H1366" s="269"/>
      <c r="I1366" s="270"/>
      <c r="J1366" s="210"/>
      <c r="K1366" s="270"/>
      <c r="L1366" s="270"/>
      <c r="M1366" s="39"/>
      <c r="N1366" s="39"/>
      <c r="O1366" s="156"/>
      <c r="P1366" s="47"/>
      <c r="Q1366" s="57"/>
      <c r="R1366" s="338"/>
      <c r="S1366" s="272"/>
      <c r="T1366" s="273"/>
      <c r="U1366" s="40"/>
      <c r="V1366" s="277"/>
      <c r="W1366" s="269"/>
      <c r="X1366" s="269"/>
      <c r="Y1366" s="275"/>
      <c r="Z1366" s="269"/>
      <c r="AA1366" s="57"/>
      <c r="AB1366" s="207"/>
      <c r="AC1366" s="33"/>
      <c r="AD1366" s="189"/>
      <c r="AE1366" s="54"/>
      <c r="AF1366" s="55"/>
      <c r="AG1366" s="43"/>
      <c r="AH1366" s="47"/>
      <c r="AI1366" s="30"/>
      <c r="AJ1366" s="30"/>
      <c r="AK1366" s="30"/>
      <c r="AL1366" s="30"/>
      <c r="AM1366" s="13"/>
      <c r="AN1366" s="13"/>
      <c r="AO1366" s="13"/>
      <c r="AP1366" s="13"/>
      <c r="AQ1366" s="13"/>
      <c r="AR1366" s="14"/>
      <c r="AS1366" s="15"/>
    </row>
    <row r="1367" spans="1:45" s="17" customFormat="1" ht="30.95" hidden="1" customHeight="1" x14ac:dyDescent="0.2">
      <c r="A1367" s="37" t="s">
        <v>672</v>
      </c>
      <c r="B1367" s="342" t="s">
        <v>446</v>
      </c>
      <c r="C1367" s="45"/>
      <c r="D1367" s="31"/>
      <c r="E1367" s="31"/>
      <c r="F1367" s="268"/>
      <c r="G1367" s="269"/>
      <c r="H1367" s="269"/>
      <c r="I1367" s="270"/>
      <c r="J1367" s="210" t="s">
        <v>448</v>
      </c>
      <c r="K1367" s="270"/>
      <c r="L1367" s="270"/>
      <c r="M1367" s="39"/>
      <c r="N1367" s="39"/>
      <c r="O1367" s="156"/>
      <c r="P1367" s="47"/>
      <c r="Q1367" s="57"/>
      <c r="R1367" s="338"/>
      <c r="S1367" s="272"/>
      <c r="T1367" s="273"/>
      <c r="U1367" s="40"/>
      <c r="V1367" s="277"/>
      <c r="W1367" s="269"/>
      <c r="X1367" s="269"/>
      <c r="Y1367" s="275"/>
      <c r="Z1367" s="269"/>
      <c r="AA1367" s="57"/>
      <c r="AB1367" s="207"/>
      <c r="AC1367" s="33"/>
      <c r="AD1367" s="189"/>
      <c r="AE1367" s="54"/>
      <c r="AF1367" s="55"/>
      <c r="AG1367" s="43"/>
      <c r="AH1367" s="47"/>
      <c r="AI1367" s="30"/>
      <c r="AJ1367" s="30"/>
      <c r="AK1367" s="30"/>
      <c r="AL1367" s="30"/>
      <c r="AM1367" s="13"/>
      <c r="AN1367" s="13"/>
      <c r="AO1367" s="13"/>
      <c r="AP1367" s="13"/>
      <c r="AQ1367" s="13"/>
      <c r="AR1367" s="14"/>
      <c r="AS1367" s="15"/>
    </row>
    <row r="1368" spans="1:45" s="17" customFormat="1" ht="30.95" hidden="1" customHeight="1" x14ac:dyDescent="0.2">
      <c r="A1368" s="37"/>
      <c r="B1368" s="38"/>
      <c r="C1368" s="45"/>
      <c r="D1368" s="31"/>
      <c r="E1368" s="31"/>
      <c r="F1368" s="268"/>
      <c r="G1368" s="269"/>
      <c r="H1368" s="269"/>
      <c r="I1368" s="270"/>
      <c r="J1368" s="210"/>
      <c r="K1368" s="270"/>
      <c r="L1368" s="270"/>
      <c r="M1368" s="39"/>
      <c r="N1368" s="39"/>
      <c r="O1368" s="156"/>
      <c r="P1368" s="47"/>
      <c r="Q1368" s="57"/>
      <c r="R1368" s="338"/>
      <c r="S1368" s="272"/>
      <c r="T1368" s="273"/>
      <c r="U1368" s="40"/>
      <c r="V1368" s="277"/>
      <c r="W1368" s="269"/>
      <c r="X1368" s="269"/>
      <c r="Y1368" s="275"/>
      <c r="Z1368" s="269"/>
      <c r="AA1368" s="57"/>
      <c r="AB1368" s="207"/>
      <c r="AC1368" s="33"/>
      <c r="AD1368" s="189"/>
      <c r="AE1368" s="54"/>
      <c r="AF1368" s="55"/>
      <c r="AG1368" s="43"/>
      <c r="AH1368" s="47"/>
      <c r="AI1368" s="30"/>
      <c r="AJ1368" s="30"/>
      <c r="AK1368" s="30"/>
      <c r="AL1368" s="30"/>
      <c r="AM1368" s="13"/>
      <c r="AN1368" s="13"/>
      <c r="AO1368" s="13"/>
      <c r="AP1368" s="13"/>
      <c r="AQ1368" s="13"/>
      <c r="AR1368" s="14"/>
      <c r="AS1368" s="15"/>
    </row>
    <row r="1369" spans="1:45" s="17" customFormat="1" ht="30.95" hidden="1" customHeight="1" x14ac:dyDescent="0.2">
      <c r="A1369" s="37" t="s">
        <v>673</v>
      </c>
      <c r="B1369" s="38" t="s">
        <v>462</v>
      </c>
      <c r="C1369" s="45"/>
      <c r="D1369" s="31">
        <v>3735121</v>
      </c>
      <c r="E1369" s="31">
        <v>4162166</v>
      </c>
      <c r="F1369" s="268" t="str">
        <f>IF(D1369="","",VLOOKUP(D1369,契約台帳!$A$3:$K$4986,6,FALSE)&amp;VLOOKUP(D1369,契約台帳!$A$3:$K$4986,7,FALSE)&amp;VLOOKUP(D1369,契約台帳!$A$3:$K$4986,8,FALSE)&amp;VLOOKUP(D1369,契約台帳!$A$3:$K$4986,9,FALSE)&amp;VLOOKUP(D1369,契約台帳!$A$3:$K$4986,11,FALSE))</f>
        <v>3SNMLBMNNGKBF</v>
      </c>
      <c r="G1369" s="269" t="str">
        <f>IF(D1369="","",VLOOKUP(F1369,製品マスタ!$G$5:$H$5002,2,FALSE))</f>
        <v>S</v>
      </c>
      <c r="H1369" s="269" t="str">
        <f>IF(D1369="","",VLOOKUP(F1369,製品マスタ!$G$5:$K$5002,5,FALSE))</f>
        <v>MNNGKBF</v>
      </c>
      <c r="I1369" s="270" t="str">
        <f>IF(D1369="","",VLOOKUP(F1369,製品マスタ!$G$5:$L$5002,6,FALSE))</f>
        <v>メタルミー　ニューネーマー銀消　Ｂ</v>
      </c>
      <c r="J1369" s="210" t="s">
        <v>935</v>
      </c>
      <c r="K1369" s="270">
        <f>IF(D1369="","",VLOOKUP(D1369,契約台帳!$A$3:$L$4986,12,FALSE))</f>
        <v>50</v>
      </c>
      <c r="L1369" s="270" t="str">
        <f>IF(D1369="","",INDEX(製品マスタ!$Q$5:$Q$5002,MATCH('S4'!F1369&amp;'S4'!K1369,製品マスタ!$AO$5:$AO$5002,0)))</f>
        <v>X44</v>
      </c>
      <c r="M1369" s="39">
        <v>1000</v>
      </c>
      <c r="N1369" s="39">
        <v>4000</v>
      </c>
      <c r="O1369" s="156">
        <v>6</v>
      </c>
      <c r="P1369" s="47">
        <v>3</v>
      </c>
      <c r="Q1369" s="213">
        <v>45261</v>
      </c>
      <c r="R1369" s="271">
        <f ca="1">IF(D1369="","",IF(OFFSET(D1369,-1,0)&lt;&gt;"","",IF(OR(J1369="リード付け",J1369="巻足し",J1369="巻返しリード付け"),M1369,VLOOKUP(D1369,契約台帳!$A$3:$N$4986,14,FALSE))))</f>
        <v>1000</v>
      </c>
      <c r="S1369" s="272">
        <f ca="1">IF(D1369="","",IF(OFFSET(D1369,-1,0)&lt;&gt;"","",IF(OR(J1369="リード付け",J1369="巻足し",J1369="巻返しリード付け"),M1369,VLOOKUP(D1369,契約台帳!$A$3:$O$4986,15,FALSE))))</f>
        <v>1000</v>
      </c>
      <c r="T1369" s="273">
        <f ca="1">IF(D1369="","",IF(J1369="リード付け",N1369,IF(J1369="巻返しリード付け",N1369,IF(J1369="巻足し",N1369*P1369+OFFSET(N1369,1,0)*OFFSET(P1369,1,0),VLOOKUP(D1369,契約台帳!$A$3:$P$4986,16,FALSE)))))</f>
        <v>12000</v>
      </c>
      <c r="U1369" s="40">
        <v>2</v>
      </c>
      <c r="V1369" s="274">
        <f ca="1">IF(D1369="","",IF(OFFSET(D1369,-2,0)=D1369,"",VLOOKUP(D1369,契約台帳!$A$3:$R$4986,18,FALSE)))</f>
        <v>10</v>
      </c>
      <c r="W1369" s="269" t="str">
        <f ca="1">IF(D1369="","",IF(T1369="","",IF(OR(J1369="巻足し",J1369="巻返しリード付け"),"",IF(J1369="巻返し",VLOOKUP(F1369&amp;K1369&amp;M1369,製品マスタ!$M$5:$AD$5002,18,FALSE),IF(OR(J1369="リード付け",J1369="巻返しリード付け"),"原反コア",IF(J1369="スリット",VLOOKUP(F1369&amp;K1369&amp;R1369,製品マスタ!$N$5:$AD$5002,17,FALSE),""))))))</f>
        <v/>
      </c>
      <c r="X1369" s="269" t="str">
        <f ca="1">IF(D1369="","",IF(T1369="","",IF(J1369="巻足し","",IF(J1369="巻返し",VLOOKUP(F1369&amp;K1369&amp;M1369,製品マスタ!$M$5:$AE$5002,19,FALSE),IF(OR(J1369="リード付け",J1369="巻返しリード付け"),"",IF(J1369="スリット",VLOOKUP(F1369&amp;K1369&amp;R1369,製品マスタ!$N$5:$AE$5002,18,FALSE),""))))))</f>
        <v/>
      </c>
      <c r="Y1369" s="275">
        <f ca="1">IF(D1369="","",IF(T1369="","",VLOOKUP(D1369,契約台帳!$A$3:$Q$4986,17,FALSE)))</f>
        <v>2</v>
      </c>
      <c r="Z1369" s="269" t="str">
        <f ca="1">IF(D1369="","",IF(T1369="","",VLOOKUP(D1369,契約台帳!$A$3:$E$4986,5,FALSE)))</f>
        <v>リンテック㈱</v>
      </c>
      <c r="AA1369" s="57"/>
      <c r="AB1369" s="207" t="str">
        <f>IFERROR((VLOOKUP(F1369&amp;K1369&amp;M1369,製品マスタ!$M$5:$AM$5002,27,FALSE)),"")</f>
        <v>原反ケース再利用</v>
      </c>
      <c r="AC1369" s="33"/>
      <c r="AD1369" s="189"/>
      <c r="AE1369" s="54"/>
      <c r="AF1369" s="55">
        <f>+M1369*N1369*O1369/1000</f>
        <v>24000</v>
      </c>
      <c r="AG1369" s="43"/>
      <c r="AH1369" s="47"/>
      <c r="AI1369" s="30"/>
      <c r="AJ1369" s="30"/>
      <c r="AK1369" s="30"/>
      <c r="AL1369" s="30"/>
      <c r="AM1369" s="13"/>
      <c r="AN1369" s="13"/>
      <c r="AO1369" s="13"/>
      <c r="AP1369" s="13"/>
      <c r="AQ1369" s="13"/>
      <c r="AR1369" s="14"/>
      <c r="AS1369" s="15"/>
    </row>
    <row r="1370" spans="1:45" s="17" customFormat="1" ht="30.95" hidden="1" customHeight="1" x14ac:dyDescent="0.2">
      <c r="A1370" s="37"/>
      <c r="B1370" s="38"/>
      <c r="C1370" s="45"/>
      <c r="D1370" s="31"/>
      <c r="E1370" s="31"/>
      <c r="F1370" s="268"/>
      <c r="G1370" s="269"/>
      <c r="H1370" s="269"/>
      <c r="I1370" s="270"/>
      <c r="J1370" s="210"/>
      <c r="K1370" s="270"/>
      <c r="L1370" s="270"/>
      <c r="M1370" s="39"/>
      <c r="N1370" s="39"/>
      <c r="O1370" s="156"/>
      <c r="P1370" s="47"/>
      <c r="Q1370" s="57"/>
      <c r="R1370" s="338"/>
      <c r="S1370" s="272"/>
      <c r="T1370" s="273"/>
      <c r="U1370" s="40"/>
      <c r="V1370" s="277"/>
      <c r="W1370" s="269"/>
      <c r="X1370" s="269"/>
      <c r="Y1370" s="275"/>
      <c r="Z1370" s="269"/>
      <c r="AA1370" s="57"/>
      <c r="AB1370" s="207"/>
      <c r="AC1370" s="33"/>
      <c r="AD1370" s="189"/>
      <c r="AE1370" s="54"/>
      <c r="AF1370" s="55"/>
      <c r="AG1370" s="43"/>
      <c r="AH1370" s="47"/>
      <c r="AI1370" s="30"/>
      <c r="AJ1370" s="30"/>
      <c r="AK1370" s="30"/>
      <c r="AL1370" s="30"/>
      <c r="AM1370" s="13"/>
      <c r="AN1370" s="13"/>
      <c r="AO1370" s="13"/>
      <c r="AP1370" s="13"/>
      <c r="AQ1370" s="13"/>
      <c r="AR1370" s="14"/>
      <c r="AS1370" s="15"/>
    </row>
    <row r="1371" spans="1:45" s="17" customFormat="1" ht="30.95" hidden="1" customHeight="1" x14ac:dyDescent="0.2">
      <c r="A1371" s="37"/>
      <c r="B1371" s="38"/>
      <c r="C1371" s="45"/>
      <c r="D1371" s="31">
        <v>3735121</v>
      </c>
      <c r="E1371" s="31">
        <v>4162166</v>
      </c>
      <c r="F1371" s="268" t="str">
        <f>IF(D1371="","",VLOOKUP(D1371,契約台帳!$A$3:$K$4986,6,FALSE)&amp;VLOOKUP(D1371,契約台帳!$A$3:$K$4986,7,FALSE)&amp;VLOOKUP(D1371,契約台帳!$A$3:$K$4986,8,FALSE)&amp;VLOOKUP(D1371,契約台帳!$A$3:$K$4986,9,FALSE)&amp;VLOOKUP(D1371,契約台帳!$A$3:$K$4986,11,FALSE))</f>
        <v>3SNMLBMNNGKBF</v>
      </c>
      <c r="G1371" s="269" t="str">
        <f>IF(D1371="","",VLOOKUP(F1371,製品マスタ!$G$5:$H$5002,2,FALSE))</f>
        <v>S</v>
      </c>
      <c r="H1371" s="269" t="str">
        <f>IF(D1371="","",VLOOKUP(F1371,製品マスタ!$G$5:$K$5002,5,FALSE))</f>
        <v>MNNGKBF</v>
      </c>
      <c r="I1371" s="270" t="str">
        <f>IF(D1371="","",VLOOKUP(F1371,製品マスタ!$G$5:$L$5002,6,FALSE))</f>
        <v>メタルミー　ニューネーマー銀消　Ｂ</v>
      </c>
      <c r="J1371" s="210" t="s">
        <v>935</v>
      </c>
      <c r="K1371" s="270">
        <f>IF(D1371="","",VLOOKUP(D1371,契約台帳!$A$3:$L$4986,12,FALSE))</f>
        <v>50</v>
      </c>
      <c r="L1371" s="270" t="str">
        <f>IF(D1371="","",INDEX(製品マスタ!$Q$5:$Q$5002,MATCH('S4'!F1371&amp;'S4'!K1371,製品マスタ!$AO$5:$AO$5002,0)))</f>
        <v>X44</v>
      </c>
      <c r="M1371" s="39">
        <v>1000</v>
      </c>
      <c r="N1371" s="39">
        <v>4000</v>
      </c>
      <c r="O1371" s="156">
        <v>4</v>
      </c>
      <c r="P1371" s="47">
        <v>2</v>
      </c>
      <c r="Q1371" s="213">
        <v>45261</v>
      </c>
      <c r="R1371" s="271">
        <f ca="1">IF(D1371="","",IF(OFFSET(D1371,-1,0)&lt;&gt;"","",IF(OR(J1371="リード付け",J1371="巻足し",J1371="巻返しリード付け"),M1371,VLOOKUP(D1371,契約台帳!$A$3:$N$4986,14,FALSE))))</f>
        <v>1000</v>
      </c>
      <c r="S1371" s="272">
        <f ca="1">IF(D1371="","",IF(OFFSET(D1371,-1,0)&lt;&gt;"","",IF(OR(J1371="リード付け",J1371="巻足し",J1371="巻返しリード付け"),M1371,VLOOKUP(D1371,契約台帳!$A$3:$O$4986,15,FALSE))))</f>
        <v>1000</v>
      </c>
      <c r="T1371" s="273">
        <f ca="1">IF(D1371="","",IF(J1371="リード付け",N1371,IF(J1371="巻返しリード付け",N1371,IF(J1371="巻足し",N1371*P1371+OFFSET(N1371,1,0)*OFFSET(P1371,1,0),VLOOKUP(D1371,契約台帳!$A$3:$P$4986,16,FALSE)))))</f>
        <v>8000</v>
      </c>
      <c r="U1371" s="40">
        <v>2</v>
      </c>
      <c r="V1371" s="274" t="str">
        <f ca="1">IF(D1371="","",IF(OFFSET(D1371,-2,0)=D1371,"",VLOOKUP(D1371,契約台帳!$A$3:$R$4986,18,FALSE)))</f>
        <v/>
      </c>
      <c r="W1371" s="269" t="str">
        <f ca="1">IF(D1371="","",IF(T1371="","",IF(OR(J1371="巻足し",J1371="巻返しリード付け"),"",IF(J1371="巻返し",VLOOKUP(F1371&amp;K1371&amp;M1371,製品マスタ!$M$5:$AD$5002,18,FALSE),IF(OR(J1371="リード付け",J1371="巻返しリード付け"),"原反コア",IF(J1371="スリット",VLOOKUP(F1371&amp;K1371&amp;R1371,製品マスタ!$N$5:$AD$5002,17,FALSE),""))))))</f>
        <v/>
      </c>
      <c r="X1371" s="269" t="str">
        <f ca="1">IF(D1371="","",IF(T1371="","",IF(J1371="巻足し","",IF(J1371="巻返し",VLOOKUP(F1371&amp;K1371&amp;M1371,製品マスタ!$M$5:$AE$5002,19,FALSE),IF(OR(J1371="リード付け",J1371="巻返しリード付け"),"",IF(J1371="スリット",VLOOKUP(F1371&amp;K1371&amp;R1371,製品マスタ!$N$5:$AE$5002,18,FALSE),""))))))</f>
        <v/>
      </c>
      <c r="Y1371" s="275">
        <f ca="1">IF(D1371="","",IF(T1371="","",VLOOKUP(D1371,契約台帳!$A$3:$Q$4986,17,FALSE)))</f>
        <v>2</v>
      </c>
      <c r="Z1371" s="269" t="str">
        <f ca="1">IF(D1371="","",IF(T1371="","",VLOOKUP(D1371,契約台帳!$A$3:$E$4986,5,FALSE)))</f>
        <v>リンテック㈱</v>
      </c>
      <c r="AA1371" s="57"/>
      <c r="AB1371" s="207" t="str">
        <f>IFERROR((VLOOKUP(F1371&amp;K1371&amp;M1371,製品マスタ!$M$5:$AM$5002,27,FALSE)),"")</f>
        <v>原反ケース再利用</v>
      </c>
      <c r="AC1371" s="33"/>
      <c r="AD1371" s="189"/>
      <c r="AE1371" s="54"/>
      <c r="AF1371" s="55">
        <f>+M1371*N1371*O1371/1000</f>
        <v>16000</v>
      </c>
      <c r="AG1371" s="43"/>
      <c r="AH1371" s="47"/>
      <c r="AI1371" s="30"/>
      <c r="AJ1371" s="30"/>
      <c r="AK1371" s="30"/>
      <c r="AL1371" s="30"/>
      <c r="AM1371" s="13"/>
      <c r="AN1371" s="13"/>
      <c r="AO1371" s="13"/>
      <c r="AP1371" s="13"/>
      <c r="AQ1371" s="13"/>
      <c r="AR1371" s="14"/>
      <c r="AS1371" s="15"/>
    </row>
    <row r="1372" spans="1:45" s="17" customFormat="1" ht="30.95" hidden="1" customHeight="1" x14ac:dyDescent="0.2">
      <c r="A1372" s="37"/>
      <c r="B1372" s="38"/>
      <c r="C1372" s="45"/>
      <c r="D1372" s="31"/>
      <c r="E1372" s="31"/>
      <c r="F1372" s="268"/>
      <c r="G1372" s="269"/>
      <c r="H1372" s="269"/>
      <c r="I1372" s="270"/>
      <c r="J1372" s="210"/>
      <c r="K1372" s="270"/>
      <c r="L1372" s="270"/>
      <c r="M1372" s="39"/>
      <c r="N1372" s="39"/>
      <c r="O1372" s="156"/>
      <c r="P1372" s="47"/>
      <c r="Q1372" s="57"/>
      <c r="R1372" s="338"/>
      <c r="S1372" s="272"/>
      <c r="T1372" s="273"/>
      <c r="U1372" s="40"/>
      <c r="V1372" s="277"/>
      <c r="W1372" s="269"/>
      <c r="X1372" s="269"/>
      <c r="Y1372" s="275"/>
      <c r="Z1372" s="269"/>
      <c r="AA1372" s="57"/>
      <c r="AB1372" s="207"/>
      <c r="AC1372" s="33"/>
      <c r="AD1372" s="189"/>
      <c r="AE1372" s="54"/>
      <c r="AF1372" s="55"/>
      <c r="AG1372" s="43"/>
      <c r="AH1372" s="47"/>
      <c r="AI1372" s="30"/>
      <c r="AJ1372" s="30"/>
      <c r="AK1372" s="30"/>
      <c r="AL1372" s="30"/>
      <c r="AM1372" s="13"/>
      <c r="AN1372" s="13"/>
      <c r="AO1372" s="13"/>
      <c r="AP1372" s="13"/>
      <c r="AQ1372" s="13"/>
      <c r="AR1372" s="14"/>
      <c r="AS1372" s="15"/>
    </row>
    <row r="1373" spans="1:45" s="17" customFormat="1" ht="30.6" hidden="1" customHeight="1" x14ac:dyDescent="0.2">
      <c r="A1373" s="37"/>
      <c r="B1373" s="38"/>
      <c r="C1373" s="45"/>
      <c r="D1373" s="31">
        <v>3735122</v>
      </c>
      <c r="E1373" s="31">
        <v>4162149</v>
      </c>
      <c r="F1373" s="268" t="str">
        <f>IF(D1373="","",VLOOKUP(D1373,契約台帳!$A$3:$K$4986,6,FALSE)&amp;VLOOKUP(D1373,契約台帳!$A$3:$K$4986,7,FALSE)&amp;VLOOKUP(D1373,契約台帳!$A$3:$K$4986,8,FALSE)&amp;VLOOKUP(D1373,契約台帳!$A$3:$K$4986,9,FALSE)&amp;VLOOKUP(D1373,契約台帳!$A$3:$K$4986,11,FALSE))</f>
        <v>33SSNMCLBTEKKFV</v>
      </c>
      <c r="G1373" s="269" t="str">
        <f>IF(D1373="","",VLOOKUP(F1373,製品マスタ!$G$5:$H$5002,2,FALSE))</f>
        <v>S</v>
      </c>
      <c r="H1373" s="269" t="str">
        <f>IF(D1373="","",VLOOKUP(F1373,製品マスタ!$G$5:$K$5002,5,FALSE))</f>
        <v>TEKKFV</v>
      </c>
      <c r="I1373" s="270" t="str">
        <f>IF(D1373="","",VLOOKUP(F1373,製品マスタ!$G$5:$L$5002,6,FALSE))</f>
        <v>メタルミー　ＴＥＳ消開封　Ｖ</v>
      </c>
      <c r="J1373" s="210" t="s">
        <v>935</v>
      </c>
      <c r="K1373" s="270">
        <f>IF(D1373="","",VLOOKUP(D1373,契約台帳!$A$3:$L$4986,12,FALSE))</f>
        <v>50</v>
      </c>
      <c r="L1373" s="270" t="str">
        <f>IF(D1373="","",INDEX(製品マスタ!$Q$5:$Q$5002,MATCH('S4'!F1373&amp;'S4'!K1373,製品マスタ!$AO$5:$AO$5002,0)))</f>
        <v>X44SEPA</v>
      </c>
      <c r="M1373" s="39">
        <v>1005</v>
      </c>
      <c r="N1373" s="39">
        <v>4000</v>
      </c>
      <c r="O1373" s="156">
        <v>4</v>
      </c>
      <c r="P1373" s="47">
        <v>2</v>
      </c>
      <c r="Q1373" s="213">
        <v>45264</v>
      </c>
      <c r="R1373" s="271">
        <f ca="1">IF(D1373="","",IF(OFFSET(D1373,-1,0)&lt;&gt;"","",IF(OR(J1373="リード付け",J1373="巻足し",J1373="巻返しリード付け"),M1373,VLOOKUP(D1373,契約台帳!$A$3:$N$4986,14,FALSE))))</f>
        <v>1005</v>
      </c>
      <c r="S1373" s="272">
        <f ca="1">IF(D1373="","",IF(OFFSET(D1373,-1,0)&lt;&gt;"","",IF(OR(J1373="リード付け",J1373="巻足し",J1373="巻返しリード付け"),M1373,VLOOKUP(D1373,契約台帳!$A$3:$O$4986,15,FALSE))))</f>
        <v>1005</v>
      </c>
      <c r="T1373" s="273">
        <f ca="1">IF(D1373="","",IF(J1373="リード付け",N1373,IF(J1373="巻返しリード付け",N1373,IF(J1373="巻足し",N1373*P1373+OFFSET(N1373,1,0)*OFFSET(P1373,1,0),VLOOKUP(D1373,契約台帳!$A$3:$P$4986,16,FALSE)))))</f>
        <v>8000</v>
      </c>
      <c r="U1373" s="40">
        <v>2</v>
      </c>
      <c r="V1373" s="274">
        <f ca="1">IF(D1373="","",IF(OFFSET(D1373,-2,0)=D1373,"",VLOOKUP(D1373,契約台帳!$A$3:$R$4986,18,FALSE)))</f>
        <v>4</v>
      </c>
      <c r="W1373" s="269" t="str">
        <f ca="1">IF(D1373="","",IF(T1373="","",IF(OR(J1373="巻足し",J1373="巻返しリード付け"),"",IF(J1373="巻返し",VLOOKUP(F1373&amp;K1373&amp;M1373,製品マスタ!$M$5:$AD$5002,18,FALSE),IF(OR(J1373="リード付け",J1373="巻返しリード付け"),"原反コア",IF(J1373="スリット",VLOOKUP(F1373&amp;K1373&amp;R1373,製品マスタ!$N$5:$AD$5002,17,FALSE),""))))))</f>
        <v/>
      </c>
      <c r="X1373" s="269" t="str">
        <f ca="1">IF(D1373="","",IF(T1373="","",IF(J1373="巻足し","",IF(J1373="巻返し",VLOOKUP(F1373&amp;K1373&amp;M1373,製品マスタ!$M$5:$AE$5002,19,FALSE),IF(OR(J1373="リード付け",J1373="巻返しリード付け"),"",IF(J1373="スリット",VLOOKUP(F1373&amp;K1373&amp;R1373,製品マスタ!$N$5:$AE$5002,18,FALSE),""))))))</f>
        <v/>
      </c>
      <c r="Y1373" s="275">
        <f ca="1">IF(D1373="","",IF(T1373="","",VLOOKUP(D1373,契約台帳!$A$3:$Q$4986,17,FALSE)))</f>
        <v>2</v>
      </c>
      <c r="Z1373" s="269" t="str">
        <f ca="1">IF(D1373="","",IF(T1373="","",VLOOKUP(D1373,契約台帳!$A$3:$E$4986,5,FALSE)))</f>
        <v>リンテック㈱</v>
      </c>
      <c r="AA1373" s="57"/>
      <c r="AB1373" s="207">
        <f>IFERROR((VLOOKUP(F1373&amp;K1373&amp;M1373,製品マスタ!$M$5:$AM$5002,27,FALSE)),"")</f>
        <v>0</v>
      </c>
      <c r="AC1373" s="33"/>
      <c r="AD1373" s="189"/>
      <c r="AE1373" s="54"/>
      <c r="AF1373" s="55">
        <f>+M1373*N1373*O1373/1000</f>
        <v>16080</v>
      </c>
      <c r="AG1373" s="43"/>
      <c r="AH1373" s="47"/>
      <c r="AI1373" s="30"/>
      <c r="AJ1373" s="30"/>
      <c r="AK1373" s="30"/>
      <c r="AL1373" s="30"/>
      <c r="AM1373" s="13"/>
      <c r="AN1373" s="13"/>
      <c r="AO1373" s="13"/>
      <c r="AP1373" s="13"/>
      <c r="AQ1373" s="13"/>
      <c r="AR1373" s="14"/>
      <c r="AS1373" s="15"/>
    </row>
    <row r="1374" spans="1:45" s="17" customFormat="1" ht="30.95" hidden="1" customHeight="1" x14ac:dyDescent="0.2">
      <c r="A1374" s="37"/>
      <c r="B1374" s="38"/>
      <c r="C1374" s="45"/>
      <c r="D1374" s="31"/>
      <c r="E1374" s="31"/>
      <c r="F1374" s="268"/>
      <c r="G1374" s="269"/>
      <c r="H1374" s="269"/>
      <c r="I1374" s="270"/>
      <c r="J1374" s="210"/>
      <c r="K1374" s="270"/>
      <c r="L1374" s="270"/>
      <c r="M1374" s="39"/>
      <c r="N1374" s="39"/>
      <c r="O1374" s="156"/>
      <c r="P1374" s="47"/>
      <c r="Q1374" s="57"/>
      <c r="R1374" s="338"/>
      <c r="S1374" s="272"/>
      <c r="T1374" s="273"/>
      <c r="U1374" s="40"/>
      <c r="V1374" s="277"/>
      <c r="W1374" s="269"/>
      <c r="X1374" s="269"/>
      <c r="Y1374" s="275"/>
      <c r="Z1374" s="269"/>
      <c r="AA1374" s="57"/>
      <c r="AB1374" s="207"/>
      <c r="AC1374" s="33"/>
      <c r="AD1374" s="189"/>
      <c r="AE1374" s="54"/>
      <c r="AF1374" s="55"/>
      <c r="AG1374" s="43"/>
      <c r="AH1374" s="47"/>
      <c r="AI1374" s="30"/>
      <c r="AJ1374" s="30"/>
      <c r="AK1374" s="30"/>
      <c r="AL1374" s="30"/>
      <c r="AM1374" s="13"/>
      <c r="AN1374" s="13"/>
      <c r="AO1374" s="13"/>
      <c r="AP1374" s="13"/>
      <c r="AQ1374" s="13"/>
      <c r="AR1374" s="14"/>
      <c r="AS1374" s="15"/>
    </row>
    <row r="1375" spans="1:45" s="17" customFormat="1" ht="30.6" hidden="1" customHeight="1" x14ac:dyDescent="0.2">
      <c r="A1375" s="37"/>
      <c r="B1375" s="38"/>
      <c r="C1375" s="45"/>
      <c r="D1375" s="31">
        <v>3735123</v>
      </c>
      <c r="E1375" s="31">
        <v>4162150</v>
      </c>
      <c r="F1375" s="268" t="str">
        <f>IF(D1375="","",VLOOKUP(D1375,契約台帳!$A$3:$K$4986,6,FALSE)&amp;VLOOKUP(D1375,契約台帳!$A$3:$K$4986,7,FALSE)&amp;VLOOKUP(D1375,契約台帳!$A$3:$K$4986,8,FALSE)&amp;VLOOKUP(D1375,契約台帳!$A$3:$K$4986,9,FALSE)&amp;VLOOKUP(D1375,契約台帳!$A$3:$K$4986,11,FALSE))</f>
        <v>33SSNMCLBTEKV0V</v>
      </c>
      <c r="G1375" s="269" t="str">
        <f>IF(D1375="","",VLOOKUP(F1375,製品マスタ!$G$5:$H$5002,2,FALSE))</f>
        <v>S</v>
      </c>
      <c r="H1375" s="269" t="str">
        <f>IF(D1375="","",VLOOKUP(F1375,製品マスタ!$G$5:$K$5002,5,FALSE))</f>
        <v>TEKV0V</v>
      </c>
      <c r="I1375" s="270" t="str">
        <f>IF(D1375="","",VLOOKUP(F1375,製品マスタ!$G$5:$L$5002,6,FALSE))</f>
        <v>メタルミー　ＴＥ－Ｓ消　ＶＯＩＤ　Ｖ</v>
      </c>
      <c r="J1375" s="210" t="s">
        <v>935</v>
      </c>
      <c r="K1375" s="270">
        <f>IF(D1375="","",VLOOKUP(D1375,契約台帳!$A$3:$L$4986,12,FALSE))</f>
        <v>50</v>
      </c>
      <c r="L1375" s="270" t="str">
        <f>IF(D1375="","",INDEX(製品マスタ!$Q$5:$Q$5002,MATCH('S4'!F1375&amp;'S4'!K1375,製品マスタ!$AO$5:$AO$5002,0)))</f>
        <v>X44SEPA</v>
      </c>
      <c r="M1375" s="39">
        <v>1005</v>
      </c>
      <c r="N1375" s="39">
        <v>4000</v>
      </c>
      <c r="O1375" s="156">
        <v>3</v>
      </c>
      <c r="P1375" s="47">
        <v>3</v>
      </c>
      <c r="Q1375" s="213">
        <v>45264</v>
      </c>
      <c r="R1375" s="271">
        <f ca="1">IF(D1375="","",IF(OFFSET(D1375,-1,0)&lt;&gt;"","",IF(OR(J1375="リード付け",J1375="巻足し",J1375="巻返しリード付け"),M1375,VLOOKUP(D1375,契約台帳!$A$3:$N$4986,14,FALSE))))</f>
        <v>1005</v>
      </c>
      <c r="S1375" s="272">
        <f ca="1">IF(D1375="","",IF(OFFSET(D1375,-1,0)&lt;&gt;"","",IF(OR(J1375="リード付け",J1375="巻足し",J1375="巻返しリード付け"),M1375,VLOOKUP(D1375,契約台帳!$A$3:$O$4986,15,FALSE))))</f>
        <v>1005</v>
      </c>
      <c r="T1375" s="273">
        <f ca="1">IF(D1375="","",IF(J1375="リード付け",N1375,IF(J1375="巻返しリード付け",N1375,IF(J1375="巻足し",N1375*P1375+OFFSET(N1375,1,0)*OFFSET(P1375,1,0),VLOOKUP(D1375,契約台帳!$A$3:$P$4986,16,FALSE)))))</f>
        <v>12000</v>
      </c>
      <c r="U1375" s="40">
        <v>1</v>
      </c>
      <c r="V1375" s="274">
        <f ca="1">IF(D1375="","",IF(OFFSET(D1375,-2,0)=D1375,"",VLOOKUP(D1375,契約台帳!$A$3:$R$4986,18,FALSE)))</f>
        <v>5</v>
      </c>
      <c r="W1375" s="269" t="str">
        <f ca="1">IF(D1375="","",IF(T1375="","",IF(OR(J1375="巻足し",J1375="巻返しリード付け"),"",IF(J1375="巻返し",VLOOKUP(F1375&amp;K1375&amp;M1375,製品マスタ!$M$5:$AD$5002,18,FALSE),IF(OR(J1375="リード付け",J1375="巻返しリード付け"),"原反コア",IF(J1375="スリット",VLOOKUP(F1375&amp;K1375&amp;R1375,製品マスタ!$N$5:$AD$5002,17,FALSE),""))))))</f>
        <v/>
      </c>
      <c r="X1375" s="269" t="str">
        <f ca="1">IF(D1375="","",IF(T1375="","",IF(J1375="巻足し","",IF(J1375="巻返し",VLOOKUP(F1375&amp;K1375&amp;M1375,製品マスタ!$M$5:$AE$5002,19,FALSE),IF(OR(J1375="リード付け",J1375="巻返しリード付け"),"",IF(J1375="スリット",VLOOKUP(F1375&amp;K1375&amp;R1375,製品マスタ!$N$5:$AE$5002,18,FALSE),""))))))</f>
        <v/>
      </c>
      <c r="Y1375" s="275">
        <f ca="1">IF(D1375="","",IF(T1375="","",VLOOKUP(D1375,契約台帳!$A$3:$Q$4986,17,FALSE)))</f>
        <v>2</v>
      </c>
      <c r="Z1375" s="269" t="str">
        <f ca="1">IF(D1375="","",IF(T1375="","",VLOOKUP(D1375,契約台帳!$A$3:$E$4986,5,FALSE)))</f>
        <v>リンテック㈱</v>
      </c>
      <c r="AA1375" s="57"/>
      <c r="AB1375" s="207">
        <f>IFERROR((VLOOKUP(F1375&amp;K1375&amp;M1375,製品マスタ!$M$5:$AM$5002,27,FALSE)),"")</f>
        <v>0</v>
      </c>
      <c r="AC1375" s="33"/>
      <c r="AD1375" s="189"/>
      <c r="AE1375" s="54"/>
      <c r="AF1375" s="55">
        <f>+M1375*N1375*O1375/1000</f>
        <v>12060</v>
      </c>
      <c r="AG1375" s="43"/>
      <c r="AH1375" s="47"/>
      <c r="AI1375" s="30"/>
      <c r="AJ1375" s="30"/>
      <c r="AK1375" s="30"/>
      <c r="AL1375" s="30"/>
      <c r="AM1375" s="13"/>
      <c r="AN1375" s="13"/>
      <c r="AO1375" s="13"/>
      <c r="AP1375" s="13"/>
      <c r="AQ1375" s="13"/>
      <c r="AR1375" s="14"/>
      <c r="AS1375" s="15"/>
    </row>
    <row r="1376" spans="1:45" s="17" customFormat="1" ht="30.95" hidden="1" customHeight="1" x14ac:dyDescent="0.2">
      <c r="A1376" s="37"/>
      <c r="B1376" s="38"/>
      <c r="C1376" s="45"/>
      <c r="D1376" s="31"/>
      <c r="E1376" s="31"/>
      <c r="F1376" s="268"/>
      <c r="G1376" s="269"/>
      <c r="H1376" s="269"/>
      <c r="I1376" s="270"/>
      <c r="J1376" s="210"/>
      <c r="K1376" s="270"/>
      <c r="L1376" s="270"/>
      <c r="M1376" s="39"/>
      <c r="N1376" s="39"/>
      <c r="O1376" s="156"/>
      <c r="P1376" s="47"/>
      <c r="Q1376" s="57"/>
      <c r="R1376" s="338"/>
      <c r="S1376" s="272"/>
      <c r="T1376" s="273"/>
      <c r="U1376" s="40"/>
      <c r="V1376" s="277"/>
      <c r="W1376" s="269"/>
      <c r="X1376" s="269"/>
      <c r="Y1376" s="275"/>
      <c r="Z1376" s="269"/>
      <c r="AA1376" s="57"/>
      <c r="AB1376" s="207"/>
      <c r="AC1376" s="33"/>
      <c r="AD1376" s="189"/>
      <c r="AE1376" s="54"/>
      <c r="AF1376" s="55"/>
      <c r="AG1376" s="43"/>
      <c r="AH1376" s="47"/>
      <c r="AI1376" s="30"/>
      <c r="AJ1376" s="30"/>
      <c r="AK1376" s="30"/>
      <c r="AL1376" s="30"/>
      <c r="AM1376" s="13"/>
      <c r="AN1376" s="13"/>
      <c r="AO1376" s="13"/>
      <c r="AP1376" s="13"/>
      <c r="AQ1376" s="13"/>
      <c r="AR1376" s="14"/>
      <c r="AS1376" s="15"/>
    </row>
    <row r="1377" spans="1:45" s="17" customFormat="1" ht="30.6" hidden="1" customHeight="1" x14ac:dyDescent="0.2">
      <c r="A1377" s="37"/>
      <c r="B1377" s="38"/>
      <c r="C1377" s="45"/>
      <c r="D1377" s="31">
        <v>3735123</v>
      </c>
      <c r="E1377" s="31">
        <v>4162150</v>
      </c>
      <c r="F1377" s="268" t="str">
        <f>IF(D1377="","",VLOOKUP(D1377,契約台帳!$A$3:$K$4986,6,FALSE)&amp;VLOOKUP(D1377,契約台帳!$A$3:$K$4986,7,FALSE)&amp;VLOOKUP(D1377,契約台帳!$A$3:$K$4986,8,FALSE)&amp;VLOOKUP(D1377,契約台帳!$A$3:$K$4986,9,FALSE)&amp;VLOOKUP(D1377,契約台帳!$A$3:$K$4986,11,FALSE))</f>
        <v>33SSNMCLBTEKV0V</v>
      </c>
      <c r="G1377" s="269" t="str">
        <f>IF(D1377="","",VLOOKUP(F1377,製品マスタ!$G$5:$H$5002,2,FALSE))</f>
        <v>S</v>
      </c>
      <c r="H1377" s="269" t="str">
        <f>IF(D1377="","",VLOOKUP(F1377,製品マスタ!$G$5:$K$5002,5,FALSE))</f>
        <v>TEKV0V</v>
      </c>
      <c r="I1377" s="270" t="str">
        <f>IF(D1377="","",VLOOKUP(F1377,製品マスタ!$G$5:$L$5002,6,FALSE))</f>
        <v>メタルミー　ＴＥ－Ｓ消　ＶＯＩＤ　Ｖ</v>
      </c>
      <c r="J1377" s="210" t="s">
        <v>935</v>
      </c>
      <c r="K1377" s="270">
        <f>IF(D1377="","",VLOOKUP(D1377,契約台帳!$A$3:$L$4986,12,FALSE))</f>
        <v>50</v>
      </c>
      <c r="L1377" s="270" t="str">
        <f>IF(D1377="","",INDEX(製品マスタ!$Q$5:$Q$5002,MATCH('S4'!F1377&amp;'S4'!K1377,製品マスタ!$AO$5:$AO$5002,0)))</f>
        <v>X44SEPA</v>
      </c>
      <c r="M1377" s="39">
        <v>1005</v>
      </c>
      <c r="N1377" s="39">
        <v>4000</v>
      </c>
      <c r="O1377" s="156">
        <v>2</v>
      </c>
      <c r="P1377" s="47">
        <v>2</v>
      </c>
      <c r="Q1377" s="213">
        <v>45264</v>
      </c>
      <c r="R1377" s="271">
        <f ca="1">IF(D1377="","",IF(OFFSET(D1377,-1,0)&lt;&gt;"","",IF(OR(J1377="リード付け",J1377="巻足し",J1377="巻返しリード付け"),M1377,VLOOKUP(D1377,契約台帳!$A$3:$N$4986,14,FALSE))))</f>
        <v>1005</v>
      </c>
      <c r="S1377" s="272">
        <f ca="1">IF(D1377="","",IF(OFFSET(D1377,-1,0)&lt;&gt;"","",IF(OR(J1377="リード付け",J1377="巻足し",J1377="巻返しリード付け"),M1377,VLOOKUP(D1377,契約台帳!$A$3:$O$4986,15,FALSE))))</f>
        <v>1005</v>
      </c>
      <c r="T1377" s="273">
        <f ca="1">IF(D1377="","",IF(J1377="リード付け",N1377,IF(J1377="巻返しリード付け",N1377,IF(J1377="巻足し",N1377*P1377+OFFSET(N1377,1,0)*OFFSET(P1377,1,0),VLOOKUP(D1377,契約台帳!$A$3:$P$4986,16,FALSE)))))</f>
        <v>8000</v>
      </c>
      <c r="U1377" s="40">
        <v>1</v>
      </c>
      <c r="V1377" s="274" t="str">
        <f ca="1">IF(D1377="","",IF(OFFSET(D1377,-2,0)=D1377,"",VLOOKUP(D1377,契約台帳!$A$3:$R$4986,18,FALSE)))</f>
        <v/>
      </c>
      <c r="W1377" s="269" t="str">
        <f ca="1">IF(D1377="","",IF(T1377="","",IF(OR(J1377="巻足し",J1377="巻返しリード付け"),"",IF(J1377="巻返し",VLOOKUP(F1377&amp;K1377&amp;M1377,製品マスタ!$M$5:$AD$5002,18,FALSE),IF(OR(J1377="リード付け",J1377="巻返しリード付け"),"原反コア",IF(J1377="スリット",VLOOKUP(F1377&amp;K1377&amp;R1377,製品マスタ!$N$5:$AD$5002,17,FALSE),""))))))</f>
        <v/>
      </c>
      <c r="X1377" s="269" t="str">
        <f ca="1">IF(D1377="","",IF(T1377="","",IF(J1377="巻足し","",IF(J1377="巻返し",VLOOKUP(F1377&amp;K1377&amp;M1377,製品マスタ!$M$5:$AE$5002,19,FALSE),IF(OR(J1377="リード付け",J1377="巻返しリード付け"),"",IF(J1377="スリット",VLOOKUP(F1377&amp;K1377&amp;R1377,製品マスタ!$N$5:$AE$5002,18,FALSE),""))))))</f>
        <v/>
      </c>
      <c r="Y1377" s="275">
        <f ca="1">IF(D1377="","",IF(T1377="","",VLOOKUP(D1377,契約台帳!$A$3:$Q$4986,17,FALSE)))</f>
        <v>2</v>
      </c>
      <c r="Z1377" s="269" t="str">
        <f ca="1">IF(D1377="","",IF(T1377="","",VLOOKUP(D1377,契約台帳!$A$3:$E$4986,5,FALSE)))</f>
        <v>リンテック㈱</v>
      </c>
      <c r="AA1377" s="57"/>
      <c r="AB1377" s="207">
        <f>IFERROR((VLOOKUP(F1377&amp;K1377&amp;M1377,製品マスタ!$M$5:$AM$5002,27,FALSE)),"")</f>
        <v>0</v>
      </c>
      <c r="AC1377" s="33"/>
      <c r="AD1377" s="189"/>
      <c r="AE1377" s="54"/>
      <c r="AF1377" s="55">
        <f>+M1377*N1377*O1377/1000</f>
        <v>8040</v>
      </c>
      <c r="AG1377" s="43"/>
      <c r="AH1377" s="47"/>
      <c r="AI1377" s="30"/>
      <c r="AJ1377" s="30"/>
      <c r="AK1377" s="30"/>
      <c r="AL1377" s="30"/>
      <c r="AM1377" s="13"/>
      <c r="AN1377" s="13"/>
      <c r="AO1377" s="13"/>
      <c r="AP1377" s="13"/>
      <c r="AQ1377" s="13"/>
      <c r="AR1377" s="14"/>
      <c r="AS1377" s="15"/>
    </row>
    <row r="1378" spans="1:45" s="17" customFormat="1" ht="30.95" hidden="1" customHeight="1" x14ac:dyDescent="0.2">
      <c r="A1378" s="37"/>
      <c r="B1378" s="38"/>
      <c r="C1378" s="45"/>
      <c r="D1378" s="31"/>
      <c r="E1378" s="31"/>
      <c r="F1378" s="268"/>
      <c r="G1378" s="269"/>
      <c r="H1378" s="269"/>
      <c r="I1378" s="270"/>
      <c r="J1378" s="210"/>
      <c r="K1378" s="270"/>
      <c r="L1378" s="270"/>
      <c r="M1378" s="39"/>
      <c r="N1378" s="39"/>
      <c r="O1378" s="156"/>
      <c r="P1378" s="47"/>
      <c r="Q1378" s="57"/>
      <c r="R1378" s="338"/>
      <c r="S1378" s="272"/>
      <c r="T1378" s="273"/>
      <c r="U1378" s="40"/>
      <c r="V1378" s="277"/>
      <c r="W1378" s="269"/>
      <c r="X1378" s="269"/>
      <c r="Y1378" s="275"/>
      <c r="Z1378" s="269"/>
      <c r="AA1378" s="57"/>
      <c r="AB1378" s="207"/>
      <c r="AC1378" s="33"/>
      <c r="AD1378" s="189"/>
      <c r="AE1378" s="54"/>
      <c r="AF1378" s="55"/>
      <c r="AG1378" s="43"/>
      <c r="AH1378" s="47"/>
      <c r="AI1378" s="30"/>
      <c r="AJ1378" s="30"/>
      <c r="AK1378" s="30"/>
      <c r="AL1378" s="30"/>
      <c r="AM1378" s="13"/>
      <c r="AN1378" s="13"/>
      <c r="AO1378" s="13"/>
      <c r="AP1378" s="13"/>
      <c r="AQ1378" s="13"/>
      <c r="AR1378" s="14"/>
      <c r="AS1378" s="15"/>
    </row>
    <row r="1379" spans="1:45" s="17" customFormat="1" ht="30.6" hidden="1" customHeight="1" x14ac:dyDescent="0.2">
      <c r="A1379" s="37" t="s">
        <v>1874</v>
      </c>
      <c r="B1379" s="38" t="s">
        <v>1875</v>
      </c>
      <c r="C1379" s="45"/>
      <c r="D1379" s="31">
        <v>3727606</v>
      </c>
      <c r="E1379" s="31">
        <v>4162147</v>
      </c>
      <c r="F1379" s="268" t="str">
        <f>IF(D1379="","",VLOOKUP(D1379,契約台帳!$A$3:$K$4986,6,FALSE)&amp;VLOOKUP(D1379,契約台帳!$A$3:$K$4986,7,FALSE)&amp;VLOOKUP(D1379,契約台帳!$A$3:$K$4986,8,FALSE)&amp;VLOOKUP(D1379,契約台帳!$A$3:$K$4986,9,FALSE)&amp;VLOOKUP(D1379,契約台帳!$A$3:$K$4986,11,FALSE))</f>
        <v>3TNMCLBHLGTV</v>
      </c>
      <c r="G1379" s="269" t="str">
        <f>IF(D1379="","",VLOOKUP(F1379,製品マスタ!$G$5:$H$5002,2,FALSE))</f>
        <v>T</v>
      </c>
      <c r="H1379" s="269" t="str">
        <f>IF(D1379="","",VLOOKUP(F1379,製品マスタ!$G$5:$K$5002,5,FALSE))</f>
        <v>HLGTV</v>
      </c>
      <c r="I1379" s="270" t="str">
        <f>IF(D1379="","",VLOOKUP(F1379,製品マスタ!$G$5:$L$5002,6,FALSE))</f>
        <v>メタルミー　ヘヤライン　銀艶Ｖ</v>
      </c>
      <c r="J1379" s="210" t="s">
        <v>935</v>
      </c>
      <c r="K1379" s="270">
        <f>IF(D1379="","",VLOOKUP(D1379,契約台帳!$A$3:$L$4986,12,FALSE))</f>
        <v>50</v>
      </c>
      <c r="L1379" s="270" t="str">
        <f>IF(D1379="","",INDEX(製品マスタ!$Q$5:$Q$5002,MATCH('S4'!F1379&amp;'S4'!K1379,製品マスタ!$AO$5:$AO$5002,0)))</f>
        <v>BRIGHT</v>
      </c>
      <c r="M1379" s="39">
        <v>1005</v>
      </c>
      <c r="N1379" s="39">
        <v>4100</v>
      </c>
      <c r="O1379" s="156">
        <v>3</v>
      </c>
      <c r="P1379" s="47">
        <v>3</v>
      </c>
      <c r="Q1379" s="213">
        <v>45195</v>
      </c>
      <c r="R1379" s="271">
        <f ca="1">IF(D1379="","",IF(OFFSET(D1379,-1,0)&lt;&gt;"","",IF(OR(J1379="リード付け",J1379="巻足し",J1379="巻返しリード付け"),M1379,VLOOKUP(D1379,契約台帳!$A$3:$N$4986,14,FALSE))))</f>
        <v>1005</v>
      </c>
      <c r="S1379" s="272">
        <f ca="1">IF(D1379="","",IF(OFFSET(D1379,-1,0)&lt;&gt;"","",IF(OR(J1379="リード付け",J1379="巻足し",J1379="巻返しリード付け"),M1379,VLOOKUP(D1379,契約台帳!$A$3:$O$4986,15,FALSE))))</f>
        <v>1005</v>
      </c>
      <c r="T1379" s="273">
        <f ca="1">IF(D1379="","",IF(J1379="リード付け",N1379,IF(J1379="巻返しリード付け",N1379,IF(J1379="巻足し",N1379*P1379+OFFSET(N1379,1,0)*OFFSET(P1379,1,0),VLOOKUP(D1379,契約台帳!$A$3:$P$4986,16,FALSE)))))</f>
        <v>12300</v>
      </c>
      <c r="U1379" s="40">
        <v>1</v>
      </c>
      <c r="V1379" s="274">
        <f ca="1">IF(D1379="","",IF(OFFSET(D1379,-2,0)=D1379,"",VLOOKUP(D1379,契約台帳!$A$3:$R$4986,18,FALSE)))</f>
        <v>5</v>
      </c>
      <c r="W1379" s="269" t="str">
        <f ca="1">IF(D1379="","",IF(T1379="","",IF(OR(J1379="巻足し",J1379="巻返しリード付け"),"",IF(J1379="巻返し",VLOOKUP(F1379&amp;K1379&amp;M1379,製品マスタ!$M$5:$AD$5002,18,FALSE),IF(OR(J1379="リード付け",J1379="巻返しリード付け"),"原反コア",IF(J1379="スリット",VLOOKUP(F1379&amp;K1379&amp;R1379,製品マスタ!$N$5:$AD$5002,17,FALSE),""))))))</f>
        <v/>
      </c>
      <c r="X1379" s="269" t="str">
        <f ca="1">IF(D1379="","",IF(T1379="","",IF(J1379="巻足し","",IF(J1379="巻返し",VLOOKUP(F1379&amp;K1379&amp;M1379,製品マスタ!$M$5:$AE$5002,19,FALSE),IF(OR(J1379="リード付け",J1379="巻返しリード付け"),"",IF(J1379="スリット",VLOOKUP(F1379&amp;K1379&amp;R1379,製品マスタ!$N$5:$AE$5002,18,FALSE),""))))))</f>
        <v/>
      </c>
      <c r="Y1379" s="275">
        <f ca="1">IF(D1379="","",IF(T1379="","",VLOOKUP(D1379,契約台帳!$A$3:$Q$4986,17,FALSE)))</f>
        <v>2</v>
      </c>
      <c r="Z1379" s="269" t="str">
        <f ca="1">IF(D1379="","",IF(T1379="","",VLOOKUP(D1379,契約台帳!$A$3:$E$4986,5,FALSE)))</f>
        <v xml:space="preserve">リンテック㈱        </v>
      </c>
      <c r="AA1379" s="57"/>
      <c r="AB1379" s="207" t="s">
        <v>774</v>
      </c>
      <c r="AC1379" s="33"/>
      <c r="AD1379" s="189"/>
      <c r="AE1379" s="54"/>
      <c r="AF1379" s="55">
        <f>+M1379*N1379*O1379/1000</f>
        <v>12361.5</v>
      </c>
      <c r="AG1379" s="43"/>
      <c r="AH1379" s="47"/>
      <c r="AI1379" s="30"/>
      <c r="AJ1379" s="30"/>
      <c r="AK1379" s="30"/>
      <c r="AL1379" s="30"/>
      <c r="AM1379" s="13"/>
      <c r="AN1379" s="13"/>
      <c r="AO1379" s="13"/>
      <c r="AP1379" s="13"/>
      <c r="AQ1379" s="13"/>
      <c r="AR1379" s="14"/>
      <c r="AS1379" s="15"/>
    </row>
    <row r="1380" spans="1:45" s="17" customFormat="1" ht="30.95" hidden="1" customHeight="1" x14ac:dyDescent="0.2">
      <c r="A1380" s="37"/>
      <c r="B1380" s="38"/>
      <c r="C1380" s="45"/>
      <c r="D1380" s="31"/>
      <c r="E1380" s="31"/>
      <c r="F1380" s="268"/>
      <c r="G1380" s="269"/>
      <c r="H1380" s="269"/>
      <c r="I1380" s="270"/>
      <c r="J1380" s="210"/>
      <c r="K1380" s="270"/>
      <c r="L1380" s="270"/>
      <c r="M1380" s="39"/>
      <c r="N1380" s="39"/>
      <c r="O1380" s="156"/>
      <c r="P1380" s="47"/>
      <c r="Q1380" s="57"/>
      <c r="R1380" s="338"/>
      <c r="S1380" s="272"/>
      <c r="T1380" s="273"/>
      <c r="U1380" s="40"/>
      <c r="V1380" s="277"/>
      <c r="W1380" s="269"/>
      <c r="X1380" s="269"/>
      <c r="Y1380" s="275"/>
      <c r="Z1380" s="269"/>
      <c r="AA1380" s="57"/>
      <c r="AB1380" s="207"/>
      <c r="AC1380" s="33"/>
      <c r="AD1380" s="189"/>
      <c r="AE1380" s="54"/>
      <c r="AF1380" s="55"/>
      <c r="AG1380" s="43"/>
      <c r="AH1380" s="47"/>
      <c r="AI1380" s="30"/>
      <c r="AJ1380" s="30"/>
      <c r="AK1380" s="30"/>
      <c r="AL1380" s="30"/>
      <c r="AM1380" s="13"/>
      <c r="AN1380" s="13"/>
      <c r="AO1380" s="13"/>
      <c r="AP1380" s="13"/>
      <c r="AQ1380" s="13"/>
      <c r="AR1380" s="14"/>
      <c r="AS1380" s="15"/>
    </row>
    <row r="1381" spans="1:45" s="17" customFormat="1" ht="30.95" hidden="1" customHeight="1" x14ac:dyDescent="0.2">
      <c r="A1381" s="37"/>
      <c r="B1381" s="38"/>
      <c r="C1381" s="45"/>
      <c r="D1381" s="31">
        <v>3732680</v>
      </c>
      <c r="E1381" s="31">
        <v>4162143</v>
      </c>
      <c r="F1381" s="268" t="str">
        <f>IF(D1381="","",VLOOKUP(D1381,契約台帳!$A$3:$K$4986,6,FALSE)&amp;VLOOKUP(D1381,契約台帳!$A$3:$K$4986,7,FALSE)&amp;VLOOKUP(D1381,契約台帳!$A$3:$K$4986,8,FALSE)&amp;VLOOKUP(D1381,契約台帳!$A$3:$K$4986,9,FALSE)&amp;VLOOKUP(D1381,契約台帳!$A$3:$K$4986,11,FALSE))</f>
        <v>3TNMCLBHLGTV</v>
      </c>
      <c r="G1381" s="269" t="str">
        <f>IF(D1381="","",VLOOKUP(F1381,製品マスタ!$G$5:$H$5002,2,FALSE))</f>
        <v>T</v>
      </c>
      <c r="H1381" s="269" t="str">
        <f>IF(D1381="","",VLOOKUP(F1381,製品マスタ!$G$5:$K$5002,5,FALSE))</f>
        <v>HLGTV</v>
      </c>
      <c r="I1381" s="270" t="str">
        <f>IF(D1381="","",VLOOKUP(F1381,製品マスタ!$G$5:$L$5002,6,FALSE))</f>
        <v>メタルミー　ヘヤライン　銀艶Ｖ</v>
      </c>
      <c r="J1381" s="210" t="s">
        <v>935</v>
      </c>
      <c r="K1381" s="270">
        <f>IF(D1381="","",VLOOKUP(D1381,契約台帳!$A$3:$L$4986,12,FALSE))</f>
        <v>50</v>
      </c>
      <c r="L1381" s="270" t="str">
        <f>IF(D1381="","",INDEX(製品マスタ!$Q$5:$Q$5002,MATCH('S4'!F1381&amp;'S4'!K1381,製品マスタ!$AO$5:$AO$5002,0)))</f>
        <v>BRIGHT</v>
      </c>
      <c r="M1381" s="39">
        <v>1005</v>
      </c>
      <c r="N1381" s="39">
        <v>4100</v>
      </c>
      <c r="O1381" s="156">
        <v>3</v>
      </c>
      <c r="P1381" s="47">
        <v>3</v>
      </c>
      <c r="Q1381" s="213">
        <v>45237</v>
      </c>
      <c r="R1381" s="271">
        <f ca="1">IF(D1381="","",IF(OFFSET(D1381,-1,0)&lt;&gt;"","",IF(OR(J1381="リード付け",J1381="巻足し",J1381="巻返しリード付け"),M1381,VLOOKUP(D1381,契約台帳!$A$3:$N$4986,14,FALSE))))</f>
        <v>1005</v>
      </c>
      <c r="S1381" s="272">
        <f ca="1">IF(D1381="","",IF(OFFSET(D1381,-1,0)&lt;&gt;"","",IF(OR(J1381="リード付け",J1381="巻足し",J1381="巻返しリード付け"),M1381,VLOOKUP(D1381,契約台帳!$A$3:$O$4986,15,FALSE))))</f>
        <v>1005</v>
      </c>
      <c r="T1381" s="273">
        <f ca="1">IF(D1381="","",IF(J1381="リード付け",N1381,IF(J1381="巻返しリード付け",N1381,IF(J1381="巻足し",N1381*P1381+OFFSET(N1381,1,0)*OFFSET(P1381,1,0),VLOOKUP(D1381,契約台帳!$A$3:$P$4986,16,FALSE)))))</f>
        <v>12300</v>
      </c>
      <c r="U1381" s="40">
        <v>1</v>
      </c>
      <c r="V1381" s="274">
        <f ca="1">IF(D1381="","",IF(OFFSET(D1381,-2,0)=D1381,"",VLOOKUP(D1381,契約台帳!$A$3:$R$4986,18,FALSE)))</f>
        <v>4</v>
      </c>
      <c r="W1381" s="269" t="str">
        <f ca="1">IF(D1381="","",IF(T1381="","",IF(OR(J1381="巻足し",J1381="巻返しリード付け"),"",IF(J1381="巻返し",VLOOKUP(F1381&amp;K1381&amp;M1381,製品マスタ!$M$5:$AD$5002,18,FALSE),IF(OR(J1381="リード付け",J1381="巻返しリード付け"),"原反コア",IF(J1381="スリット",VLOOKUP(F1381&amp;K1381&amp;R1381,製品マスタ!$N$5:$AD$5002,17,FALSE),""))))))</f>
        <v/>
      </c>
      <c r="X1381" s="269" t="str">
        <f ca="1">IF(D1381="","",IF(T1381="","",IF(J1381="巻足し","",IF(J1381="巻返し",VLOOKUP(F1381&amp;K1381&amp;M1381,製品マスタ!$M$5:$AE$5002,19,FALSE),IF(OR(J1381="リード付け",J1381="巻返しリード付け"),"",IF(J1381="スリット",VLOOKUP(F1381&amp;K1381&amp;R1381,製品マスタ!$N$5:$AE$5002,18,FALSE),""))))))</f>
        <v/>
      </c>
      <c r="Y1381" s="275">
        <f ca="1">IF(D1381="","",IF(T1381="","",VLOOKUP(D1381,契約台帳!$A$3:$Q$4986,17,FALSE)))</f>
        <v>2</v>
      </c>
      <c r="Z1381" s="269" t="str">
        <f ca="1">IF(D1381="","",IF(T1381="","",VLOOKUP(D1381,契約台帳!$A$3:$E$4986,5,FALSE)))</f>
        <v>リンテック㈱</v>
      </c>
      <c r="AA1381" s="57"/>
      <c r="AB1381" s="207" t="s">
        <v>774</v>
      </c>
      <c r="AC1381" s="33"/>
      <c r="AD1381" s="189"/>
      <c r="AE1381" s="54"/>
      <c r="AF1381" s="55">
        <f>+M1381*N1381*O1381/1000</f>
        <v>12361.5</v>
      </c>
      <c r="AG1381" s="43"/>
      <c r="AH1381" s="47"/>
      <c r="AI1381" s="30"/>
      <c r="AJ1381" s="30"/>
      <c r="AK1381" s="30"/>
      <c r="AL1381" s="30"/>
      <c r="AM1381" s="13"/>
      <c r="AN1381" s="13"/>
      <c r="AO1381" s="13"/>
      <c r="AP1381" s="13"/>
      <c r="AQ1381" s="13"/>
      <c r="AR1381" s="14"/>
      <c r="AS1381" s="15"/>
    </row>
    <row r="1382" spans="1:45" s="17" customFormat="1" ht="30.95" hidden="1" customHeight="1" x14ac:dyDescent="0.2">
      <c r="A1382" s="37"/>
      <c r="B1382" s="38"/>
      <c r="C1382" s="45"/>
      <c r="D1382" s="31"/>
      <c r="E1382" s="31"/>
      <c r="F1382" s="268"/>
      <c r="G1382" s="269"/>
      <c r="H1382" s="269"/>
      <c r="I1382" s="270"/>
      <c r="J1382" s="210"/>
      <c r="K1382" s="270"/>
      <c r="L1382" s="270"/>
      <c r="M1382" s="39"/>
      <c r="N1382" s="39"/>
      <c r="O1382" s="156"/>
      <c r="P1382" s="47"/>
      <c r="Q1382" s="57"/>
      <c r="R1382" s="338"/>
      <c r="S1382" s="272"/>
      <c r="T1382" s="273"/>
      <c r="U1382" s="40"/>
      <c r="V1382" s="277"/>
      <c r="W1382" s="269"/>
      <c r="X1382" s="269"/>
      <c r="Y1382" s="275"/>
      <c r="Z1382" s="269"/>
      <c r="AA1382" s="57"/>
      <c r="AB1382" s="207"/>
      <c r="AC1382" s="33"/>
      <c r="AD1382" s="189"/>
      <c r="AE1382" s="54"/>
      <c r="AF1382" s="55"/>
      <c r="AG1382" s="43"/>
      <c r="AH1382" s="47"/>
      <c r="AI1382" s="30"/>
      <c r="AJ1382" s="30"/>
      <c r="AK1382" s="30"/>
      <c r="AL1382" s="30"/>
      <c r="AM1382" s="13"/>
      <c r="AN1382" s="13"/>
      <c r="AO1382" s="13"/>
      <c r="AP1382" s="13"/>
      <c r="AQ1382" s="13"/>
      <c r="AR1382" s="14"/>
      <c r="AS1382" s="15"/>
    </row>
    <row r="1383" spans="1:45" s="17" customFormat="1" ht="30.95" hidden="1" customHeight="1" x14ac:dyDescent="0.2">
      <c r="A1383" s="37"/>
      <c r="B1383" s="38"/>
      <c r="C1383" s="45"/>
      <c r="D1383" s="31" t="s">
        <v>1276</v>
      </c>
      <c r="E1383" s="31" t="s">
        <v>1277</v>
      </c>
      <c r="F1383" s="268" t="s">
        <v>1304</v>
      </c>
      <c r="G1383" s="269" t="s">
        <v>269</v>
      </c>
      <c r="H1383" s="269" t="s">
        <v>1318</v>
      </c>
      <c r="I1383" s="270" t="s">
        <v>1316</v>
      </c>
      <c r="J1383" s="210" t="s">
        <v>935</v>
      </c>
      <c r="K1383" s="270">
        <v>50</v>
      </c>
      <c r="L1383" s="270" t="s">
        <v>1320</v>
      </c>
      <c r="M1383" s="39">
        <v>1000</v>
      </c>
      <c r="N1383" s="39">
        <v>2000</v>
      </c>
      <c r="O1383" s="156">
        <v>1</v>
      </c>
      <c r="P1383" s="47">
        <v>1</v>
      </c>
      <c r="Q1383" s="213">
        <v>45259</v>
      </c>
      <c r="R1383" s="271">
        <v>1000</v>
      </c>
      <c r="S1383" s="272">
        <v>1000</v>
      </c>
      <c r="T1383" s="273">
        <v>2500</v>
      </c>
      <c r="U1383" s="40">
        <v>1</v>
      </c>
      <c r="V1383" s="274">
        <v>2</v>
      </c>
      <c r="W1383" s="269" t="s">
        <v>928</v>
      </c>
      <c r="X1383" s="269" t="s">
        <v>928</v>
      </c>
      <c r="Y1383" s="275">
        <v>2</v>
      </c>
      <c r="Z1383" s="269" t="s">
        <v>116</v>
      </c>
      <c r="AA1383" s="57"/>
      <c r="AB1383" s="303" t="s">
        <v>774</v>
      </c>
      <c r="AC1383" s="33"/>
      <c r="AD1383" s="189"/>
      <c r="AE1383" s="54"/>
      <c r="AF1383" s="55"/>
      <c r="AG1383" s="43"/>
      <c r="AH1383" s="47"/>
      <c r="AI1383" s="30"/>
      <c r="AJ1383" s="30"/>
      <c r="AK1383" s="30"/>
      <c r="AL1383" s="30"/>
      <c r="AM1383" s="13"/>
      <c r="AN1383" s="13"/>
      <c r="AO1383" s="13"/>
      <c r="AP1383" s="13"/>
      <c r="AQ1383" s="13"/>
      <c r="AR1383" s="14"/>
      <c r="AS1383" s="15"/>
    </row>
    <row r="1384" spans="1:45" s="17" customFormat="1" ht="30.95" hidden="1" customHeight="1" x14ac:dyDescent="0.2">
      <c r="A1384" s="37"/>
      <c r="B1384" s="38"/>
      <c r="C1384" s="45"/>
      <c r="D1384" s="31" t="s">
        <v>1276</v>
      </c>
      <c r="E1384" s="31" t="s">
        <v>1277</v>
      </c>
      <c r="F1384" s="268" t="s">
        <v>1304</v>
      </c>
      <c r="G1384" s="269" t="s">
        <v>269</v>
      </c>
      <c r="H1384" s="269" t="s">
        <v>1319</v>
      </c>
      <c r="I1384" s="270" t="s">
        <v>1317</v>
      </c>
      <c r="J1384" s="210" t="s">
        <v>935</v>
      </c>
      <c r="K1384" s="270">
        <v>25</v>
      </c>
      <c r="L1384" s="270" t="s">
        <v>831</v>
      </c>
      <c r="M1384" s="39">
        <v>1000</v>
      </c>
      <c r="N1384" s="39">
        <v>500</v>
      </c>
      <c r="O1384" s="156">
        <v>1</v>
      </c>
      <c r="P1384" s="47"/>
      <c r="Q1384" s="213">
        <v>45259</v>
      </c>
      <c r="R1384" s="271" t="s">
        <v>928</v>
      </c>
      <c r="S1384" s="272" t="s">
        <v>928</v>
      </c>
      <c r="T1384" s="273">
        <v>0</v>
      </c>
      <c r="U1384" s="40"/>
      <c r="V1384" s="274"/>
      <c r="W1384" s="269" t="s">
        <v>928</v>
      </c>
      <c r="X1384" s="269" t="s">
        <v>928</v>
      </c>
      <c r="Y1384" s="275">
        <v>2</v>
      </c>
      <c r="Z1384" s="269" t="s">
        <v>116</v>
      </c>
      <c r="AA1384" s="57"/>
      <c r="AB1384" s="303" t="s">
        <v>774</v>
      </c>
      <c r="AC1384" s="33"/>
      <c r="AD1384" s="189"/>
      <c r="AE1384" s="54"/>
      <c r="AF1384" s="55"/>
      <c r="AG1384" s="43"/>
      <c r="AH1384" s="47"/>
      <c r="AI1384" s="30"/>
      <c r="AJ1384" s="30"/>
      <c r="AK1384" s="30"/>
      <c r="AL1384" s="30"/>
      <c r="AM1384" s="13"/>
      <c r="AN1384" s="13"/>
      <c r="AO1384" s="13"/>
      <c r="AP1384" s="13"/>
      <c r="AQ1384" s="13"/>
      <c r="AR1384" s="14"/>
      <c r="AS1384" s="15"/>
    </row>
    <row r="1385" spans="1:45" s="17" customFormat="1" ht="30.95" hidden="1" customHeight="1" x14ac:dyDescent="0.2">
      <c r="A1385" s="37"/>
      <c r="B1385" s="38"/>
      <c r="C1385" s="45"/>
      <c r="D1385" s="31"/>
      <c r="E1385" s="31"/>
      <c r="F1385" s="268"/>
      <c r="G1385" s="269"/>
      <c r="H1385" s="269"/>
      <c r="I1385" s="270"/>
      <c r="J1385" s="210"/>
      <c r="K1385" s="270"/>
      <c r="L1385" s="270"/>
      <c r="M1385" s="39"/>
      <c r="N1385" s="39"/>
      <c r="O1385" s="156"/>
      <c r="P1385" s="47"/>
      <c r="Q1385" s="57"/>
      <c r="R1385" s="338"/>
      <c r="S1385" s="272"/>
      <c r="T1385" s="273"/>
      <c r="U1385" s="40"/>
      <c r="V1385" s="277"/>
      <c r="W1385" s="269"/>
      <c r="X1385" s="269"/>
      <c r="Y1385" s="275"/>
      <c r="Z1385" s="269"/>
      <c r="AA1385" s="57"/>
      <c r="AB1385" s="207"/>
      <c r="AC1385" s="33"/>
      <c r="AD1385" s="189"/>
      <c r="AE1385" s="54"/>
      <c r="AF1385" s="55"/>
      <c r="AG1385" s="43"/>
      <c r="AH1385" s="47"/>
      <c r="AI1385" s="30"/>
      <c r="AJ1385" s="30"/>
      <c r="AK1385" s="30"/>
      <c r="AL1385" s="30"/>
      <c r="AM1385" s="13"/>
      <c r="AN1385" s="13"/>
      <c r="AO1385" s="13"/>
      <c r="AP1385" s="13"/>
      <c r="AQ1385" s="13"/>
      <c r="AR1385" s="14"/>
      <c r="AS1385" s="15"/>
    </row>
    <row r="1386" spans="1:45" s="17" customFormat="1" ht="30.95" hidden="1" customHeight="1" x14ac:dyDescent="0.2">
      <c r="A1386" s="37"/>
      <c r="B1386" s="38"/>
      <c r="C1386" s="45"/>
      <c r="D1386" s="31">
        <v>3735118</v>
      </c>
      <c r="E1386" s="31">
        <v>4162183</v>
      </c>
      <c r="F1386" s="268" t="str">
        <f>IF(D1386="","",VLOOKUP(D1386,契約台帳!$A$3:$K$4986,6,FALSE)&amp;VLOOKUP(D1386,契約台帳!$A$3:$K$4986,7,FALSE)&amp;VLOOKUP(D1386,契約台帳!$A$3:$K$4986,8,FALSE)&amp;VLOOKUP(D1386,契約台帳!$A$3:$K$4986,9,FALSE)&amp;VLOOKUP(D1386,契約台帳!$A$3:$K$4986,11,FALSE))</f>
        <v>3SNMLBMNGTBF</v>
      </c>
      <c r="G1386" s="269" t="str">
        <f>IF(D1386="","",VLOOKUP(F1386,製品マスタ!$G$5:$H$5002,2,FALSE))</f>
        <v>S</v>
      </c>
      <c r="H1386" s="269" t="str">
        <f>IF(D1386="","",VLOOKUP(F1386,製品マスタ!$G$5:$K$5002,5,FALSE))</f>
        <v>MNGTBF</v>
      </c>
      <c r="I1386" s="270" t="str">
        <f>IF(D1386="","",VLOOKUP(F1386,製品マスタ!$G$5:$L$5002,6,FALSE))</f>
        <v>メタルミー　ネーマー　銀艶　Ｂ</v>
      </c>
      <c r="J1386" s="210" t="s">
        <v>935</v>
      </c>
      <c r="K1386" s="270">
        <f>IF(D1386="","",VLOOKUP(D1386,契約台帳!$A$3:$L$4986,12,FALSE))</f>
        <v>50</v>
      </c>
      <c r="L1386" s="270" t="str">
        <f>IF(D1386="","",INDEX(製品マスタ!$Q$5:$Q$5002,MATCH('S4'!F1386&amp;'S4'!K1386,製品マスタ!$AO$5:$AO$5002,0)))</f>
        <v>T62</v>
      </c>
      <c r="M1386" s="39">
        <v>1120</v>
      </c>
      <c r="N1386" s="39">
        <v>5000</v>
      </c>
      <c r="O1386" s="156">
        <v>4</v>
      </c>
      <c r="P1386" s="47">
        <v>2</v>
      </c>
      <c r="Q1386" s="213">
        <v>45264</v>
      </c>
      <c r="R1386" s="271">
        <f ca="1">IF(D1386="","",IF(OFFSET(D1386,-1,0)&lt;&gt;"","",IF(OR(J1386="リード付け",J1386="巻足し",J1386="巻返しリード付け"),M1386,VLOOKUP(D1386,契約台帳!$A$3:$N$4986,14,FALSE))))</f>
        <v>1120</v>
      </c>
      <c r="S1386" s="272">
        <f ca="1">IF(D1386="","",IF(OFFSET(D1386,-1,0)&lt;&gt;"","",IF(OR(J1386="リード付け",J1386="巻足し",J1386="巻返しリード付け"),M1386,VLOOKUP(D1386,契約台帳!$A$3:$O$4986,15,FALSE))))</f>
        <v>1120</v>
      </c>
      <c r="T1386" s="273">
        <f ca="1">IF(D1386="","",IF(J1386="リード付け",N1386,IF(J1386="巻返しリード付け",N1386,IF(J1386="巻足し",N1386*P1386+OFFSET(N1386,1,0)*OFFSET(P1386,1,0),VLOOKUP(D1386,契約台帳!$A$3:$P$4986,16,FALSE)))))</f>
        <v>10000</v>
      </c>
      <c r="U1386" s="40">
        <v>2</v>
      </c>
      <c r="V1386" s="274">
        <f ca="1">IF(D1386="","",IF(OFFSET(D1386,-2,0)=D1386,"",VLOOKUP(D1386,契約台帳!$A$3:$R$4986,18,FALSE)))</f>
        <v>4</v>
      </c>
      <c r="W1386" s="269" t="str">
        <f ca="1">IF(D1386="","",IF(T1386="","",IF(OR(J1386="巻足し",J1386="巻返しリード付け"),"",IF(J1386="巻返し",VLOOKUP(F1386&amp;K1386&amp;M1386,製品マスタ!$M$5:$AD$5002,18,FALSE),IF(OR(J1386="リード付け",J1386="巻返しリード付け"),"原反コア",IF(J1386="スリット",VLOOKUP(F1386&amp;K1386&amp;R1386,製品マスタ!$N$5:$AD$5002,17,FALSE),""))))))</f>
        <v/>
      </c>
      <c r="X1386" s="269" t="str">
        <f ca="1">IF(D1386="","",IF(T1386="","",IF(J1386="巻足し","",IF(J1386="巻返し",VLOOKUP(F1386&amp;K1386&amp;M1386,製品マスタ!$M$5:$AE$5002,19,FALSE),IF(OR(J1386="リード付け",J1386="巻返しリード付け"),"",IF(J1386="スリット",VLOOKUP(F1386&amp;K1386&amp;R1386,製品マスタ!$N$5:$AE$5002,18,FALSE),""))))))</f>
        <v/>
      </c>
      <c r="Y1386" s="275">
        <f ca="1">IF(D1386="","",IF(T1386="","",VLOOKUP(D1386,契約台帳!$A$3:$Q$4986,17,FALSE)))</f>
        <v>2</v>
      </c>
      <c r="Z1386" s="269" t="str">
        <f ca="1">IF(D1386="","",IF(T1386="","",VLOOKUP(D1386,契約台帳!$A$3:$E$4986,5,FALSE)))</f>
        <v>リンテック㈱</v>
      </c>
      <c r="AA1386" s="57"/>
      <c r="AB1386" s="207" t="str">
        <f>IFERROR((VLOOKUP(F1386&amp;K1386&amp;M1386,製品マスタ!$M$5:$AM$5002,27,FALSE)),"")</f>
        <v>原反ケース再利用</v>
      </c>
      <c r="AC1386" s="33"/>
      <c r="AD1386" s="189"/>
      <c r="AE1386" s="54"/>
      <c r="AF1386" s="55">
        <f>+M1386*N1386*O1386/1000</f>
        <v>22400</v>
      </c>
      <c r="AG1386" s="43"/>
      <c r="AH1386" s="47"/>
      <c r="AI1386" s="30"/>
      <c r="AJ1386" s="30"/>
      <c r="AK1386" s="30"/>
      <c r="AL1386" s="30"/>
      <c r="AM1386" s="13"/>
      <c r="AN1386" s="13"/>
      <c r="AO1386" s="13"/>
      <c r="AP1386" s="13"/>
      <c r="AQ1386" s="13"/>
      <c r="AR1386" s="14"/>
      <c r="AS1386" s="15"/>
    </row>
    <row r="1387" spans="1:45" s="17" customFormat="1" ht="30.95" hidden="1" customHeight="1" x14ac:dyDescent="0.2">
      <c r="A1387" s="37"/>
      <c r="B1387" s="38"/>
      <c r="C1387" s="45"/>
      <c r="D1387" s="31"/>
      <c r="E1387" s="31"/>
      <c r="F1387" s="268"/>
      <c r="G1387" s="269"/>
      <c r="H1387" s="269"/>
      <c r="I1387" s="301" t="s">
        <v>1870</v>
      </c>
      <c r="J1387" s="210"/>
      <c r="K1387" s="270"/>
      <c r="L1387" s="270"/>
      <c r="M1387" s="39"/>
      <c r="N1387" s="39"/>
      <c r="O1387" s="156"/>
      <c r="P1387" s="47"/>
      <c r="Q1387" s="57"/>
      <c r="R1387" s="338"/>
      <c r="S1387" s="272"/>
      <c r="T1387" s="273"/>
      <c r="U1387" s="40"/>
      <c r="V1387" s="277"/>
      <c r="W1387" s="269"/>
      <c r="X1387" s="269"/>
      <c r="Y1387" s="275"/>
      <c r="Z1387" s="269"/>
      <c r="AA1387" s="57"/>
      <c r="AB1387" s="207"/>
      <c r="AC1387" s="33"/>
      <c r="AD1387" s="189"/>
      <c r="AE1387" s="54"/>
      <c r="AF1387" s="55"/>
      <c r="AG1387" s="43"/>
      <c r="AH1387" s="47"/>
      <c r="AI1387" s="30"/>
      <c r="AJ1387" s="30"/>
      <c r="AK1387" s="30"/>
      <c r="AL1387" s="30"/>
      <c r="AM1387" s="13"/>
      <c r="AN1387" s="13"/>
      <c r="AO1387" s="13"/>
      <c r="AP1387" s="13"/>
      <c r="AQ1387" s="13"/>
      <c r="AR1387" s="14"/>
      <c r="AS1387" s="15"/>
    </row>
    <row r="1388" spans="1:45" s="17" customFormat="1" ht="30.95" hidden="1" customHeight="1" x14ac:dyDescent="0.2">
      <c r="A1388" s="37"/>
      <c r="B1388" s="38"/>
      <c r="C1388" s="45"/>
      <c r="D1388" s="31">
        <v>3735119</v>
      </c>
      <c r="E1388" s="31">
        <v>4162185</v>
      </c>
      <c r="F1388" s="268" t="str">
        <f>IF(D1388="","",VLOOKUP(D1388,契約台帳!$A$3:$K$4986,6,FALSE)&amp;VLOOKUP(D1388,契約台帳!$A$3:$K$4986,7,FALSE)&amp;VLOOKUP(D1388,契約台帳!$A$3:$K$4986,8,FALSE)&amp;VLOOKUP(D1388,契約台帳!$A$3:$K$4986,9,FALSE)&amp;VLOOKUP(D1388,契約台帳!$A$3:$K$4986,11,FALSE))</f>
        <v>3XSNMLBMNGTBF</v>
      </c>
      <c r="G1388" s="269" t="str">
        <f>IF(D1388="","",VLOOKUP(F1388,製品マスタ!$G$5:$H$5002,2,FALSE))</f>
        <v>S</v>
      </c>
      <c r="H1388" s="269" t="str">
        <f>IF(D1388="","",VLOOKUP(F1388,製品マスタ!$G$5:$K$5002,5,FALSE))</f>
        <v>MNGTBF</v>
      </c>
      <c r="I1388" s="270" t="str">
        <f>IF(D1388="","",VLOOKUP(F1388,製品マスタ!$G$5:$L$5002,6,FALSE))</f>
        <v>メタルミー　ネーマー　銀艶　Ｂ</v>
      </c>
      <c r="J1388" s="210" t="s">
        <v>935</v>
      </c>
      <c r="K1388" s="270">
        <f>IF(D1388="","",VLOOKUP(D1388,契約台帳!$A$3:$L$4986,12,FALSE))</f>
        <v>50</v>
      </c>
      <c r="L1388" s="270" t="str">
        <f>IF(D1388="","",INDEX(製品マスタ!$Q$5:$Q$5002,MATCH('S4'!F1388&amp;'S4'!K1388,製品マスタ!$AO$5:$AO$5002,0)))</f>
        <v>T62</v>
      </c>
      <c r="M1388" s="39">
        <v>1120</v>
      </c>
      <c r="N1388" s="39">
        <v>5000</v>
      </c>
      <c r="O1388" s="156">
        <v>4</v>
      </c>
      <c r="P1388" s="47">
        <v>2</v>
      </c>
      <c r="Q1388" s="213">
        <v>45264</v>
      </c>
      <c r="R1388" s="271">
        <f ca="1">IF(D1388="","",IF(OFFSET(D1388,-1,0)&lt;&gt;"","",IF(OR(J1388="リード付け",J1388="巻足し",J1388="巻返しリード付け"),M1388,VLOOKUP(D1388,契約台帳!$A$3:$N$4986,14,FALSE))))</f>
        <v>1120</v>
      </c>
      <c r="S1388" s="272">
        <f ca="1">IF(D1388="","",IF(OFFSET(D1388,-1,0)&lt;&gt;"","",IF(OR(J1388="リード付け",J1388="巻足し",J1388="巻返しリード付け"),M1388,VLOOKUP(D1388,契約台帳!$A$3:$O$4986,15,FALSE))))</f>
        <v>1120</v>
      </c>
      <c r="T1388" s="273">
        <f ca="1">IF(D1388="","",IF(J1388="リード付け",N1388,IF(J1388="巻返しリード付け",N1388,IF(J1388="巻足し",N1388*P1388+OFFSET(N1388,1,0)*OFFSET(P1388,1,0),VLOOKUP(D1388,契約台帳!$A$3:$P$4986,16,FALSE)))))</f>
        <v>10000</v>
      </c>
      <c r="U1388" s="40">
        <v>2</v>
      </c>
      <c r="V1388" s="274">
        <f ca="1">IF(D1388="","",IF(OFFSET(D1388,-2,0)=D1388,"",VLOOKUP(D1388,契約台帳!$A$3:$R$4986,18,FALSE)))</f>
        <v>4</v>
      </c>
      <c r="W1388" s="269" t="str">
        <f ca="1">IF(D1388="","",IF(T1388="","",IF(OR(J1388="巻足し",J1388="巻返しリード付け"),"",IF(J1388="巻返し",VLOOKUP(F1388&amp;K1388&amp;M1388,製品マスタ!$M$5:$AD$5002,18,FALSE),IF(OR(J1388="リード付け",J1388="巻返しリード付け"),"原反コア",IF(J1388="スリット",VLOOKUP(F1388&amp;K1388&amp;R1388,製品マスタ!$N$5:$AD$5002,17,FALSE),""))))))</f>
        <v/>
      </c>
      <c r="X1388" s="269" t="str">
        <f ca="1">IF(D1388="","",IF(T1388="","",IF(J1388="巻足し","",IF(J1388="巻返し",VLOOKUP(F1388&amp;K1388&amp;M1388,製品マスタ!$M$5:$AE$5002,19,FALSE),IF(OR(J1388="リード付け",J1388="巻返しリード付け"),"",IF(J1388="スリット",VLOOKUP(F1388&amp;K1388&amp;R1388,製品マスタ!$N$5:$AE$5002,18,FALSE),""))))))</f>
        <v/>
      </c>
      <c r="Y1388" s="275">
        <f ca="1">IF(D1388="","",IF(T1388="","",VLOOKUP(D1388,契約台帳!$A$3:$Q$4986,17,FALSE)))</f>
        <v>2</v>
      </c>
      <c r="Z1388" s="269" t="str">
        <f ca="1">IF(D1388="","",IF(T1388="","",VLOOKUP(D1388,契約台帳!$A$3:$E$4986,5,FALSE)))</f>
        <v>リンテック㈱</v>
      </c>
      <c r="AA1388" s="57"/>
      <c r="AB1388" s="207" t="str">
        <f>IFERROR((VLOOKUP(F1388&amp;K1388&amp;M1388,製品マスタ!$M$5:$AM$5002,27,FALSE)),"")</f>
        <v>原反ケース再利用</v>
      </c>
      <c r="AC1388" s="33"/>
      <c r="AD1388" s="189"/>
      <c r="AE1388" s="54"/>
      <c r="AF1388" s="55">
        <f>+M1388*N1388*O1388/1000</f>
        <v>22400</v>
      </c>
      <c r="AG1388" s="43"/>
      <c r="AH1388" s="47"/>
      <c r="AI1388" s="30"/>
      <c r="AJ1388" s="30"/>
      <c r="AK1388" s="30"/>
      <c r="AL1388" s="30"/>
      <c r="AM1388" s="13"/>
      <c r="AN1388" s="13"/>
      <c r="AO1388" s="13"/>
      <c r="AP1388" s="13"/>
      <c r="AQ1388" s="13"/>
      <c r="AR1388" s="14"/>
      <c r="AS1388" s="15"/>
    </row>
    <row r="1389" spans="1:45" s="17" customFormat="1" ht="30.95" hidden="1" customHeight="1" x14ac:dyDescent="0.2">
      <c r="A1389" s="37"/>
      <c r="B1389" s="38"/>
      <c r="C1389" s="45"/>
      <c r="D1389" s="31"/>
      <c r="E1389" s="31"/>
      <c r="F1389" s="268"/>
      <c r="G1389" s="269"/>
      <c r="H1389" s="269"/>
      <c r="I1389" s="301" t="s">
        <v>1871</v>
      </c>
      <c r="J1389" s="210"/>
      <c r="K1389" s="270"/>
      <c r="L1389" s="270"/>
      <c r="M1389" s="39"/>
      <c r="N1389" s="39"/>
      <c r="O1389" s="156"/>
      <c r="P1389" s="47"/>
      <c r="Q1389" s="57"/>
      <c r="R1389" s="338"/>
      <c r="S1389" s="272"/>
      <c r="T1389" s="273"/>
      <c r="U1389" s="40"/>
      <c r="V1389" s="277"/>
      <c r="W1389" s="269"/>
      <c r="X1389" s="269"/>
      <c r="Y1389" s="275"/>
      <c r="Z1389" s="269"/>
      <c r="AA1389" s="57"/>
      <c r="AB1389" s="207"/>
      <c r="AC1389" s="33"/>
      <c r="AD1389" s="189"/>
      <c r="AE1389" s="54"/>
      <c r="AF1389" s="55"/>
      <c r="AG1389" s="43"/>
      <c r="AH1389" s="47"/>
      <c r="AI1389" s="30"/>
      <c r="AJ1389" s="30"/>
      <c r="AK1389" s="30"/>
      <c r="AL1389" s="30"/>
      <c r="AM1389" s="13"/>
      <c r="AN1389" s="13"/>
      <c r="AO1389" s="13"/>
      <c r="AP1389" s="13"/>
      <c r="AQ1389" s="13"/>
      <c r="AR1389" s="14"/>
      <c r="AS1389" s="15"/>
    </row>
    <row r="1390" spans="1:45" s="17" customFormat="1" ht="30.95" hidden="1" customHeight="1" x14ac:dyDescent="0.2">
      <c r="A1390" s="37" t="s">
        <v>674</v>
      </c>
      <c r="B1390" s="38" t="s">
        <v>688</v>
      </c>
      <c r="C1390" s="45"/>
      <c r="D1390" s="31">
        <v>3735128</v>
      </c>
      <c r="E1390" s="31">
        <v>4162180</v>
      </c>
      <c r="F1390" s="268" t="str">
        <f>IF(D1390="","",VLOOKUP(D1390,契約台帳!$A$3:$K$4986,6,FALSE)&amp;VLOOKUP(D1390,契約台帳!$A$3:$K$4986,7,FALSE)&amp;VLOOKUP(D1390,契約台帳!$A$3:$K$4986,8,FALSE)&amp;VLOOKUP(D1390,契約台帳!$A$3:$K$4986,9,FALSE)&amp;VLOOKUP(D1390,契約台帳!$A$3:$K$4986,11,FALSE))</f>
        <v>3SNMLBMNQR66F</v>
      </c>
      <c r="G1390" s="269" t="str">
        <f>IF(D1390="","",VLOOKUP(F1390,製品マスタ!$G$5:$H$5002,2,FALSE))</f>
        <v>S</v>
      </c>
      <c r="H1390" s="269" t="str">
        <f>IF(D1390="","",VLOOKUP(F1390,製品マスタ!$G$5:$K$5002,5,FALSE))</f>
        <v>MNQR66F</v>
      </c>
      <c r="I1390" s="270" t="str">
        <f>IF(D1390="","",VLOOKUP(F1390,製品マスタ!$G$5:$L$5002,6,FALSE))</f>
        <v>ＱＲ６６蒸着品</v>
      </c>
      <c r="J1390" s="210" t="s">
        <v>935</v>
      </c>
      <c r="K1390" s="270">
        <f>IF(D1390="","",VLOOKUP(D1390,契約台帳!$A$3:$L$4986,12,FALSE))</f>
        <v>25</v>
      </c>
      <c r="L1390" s="270" t="str">
        <f>IF(D1390="","",INDEX(製品マスタ!$Q$5:$Q$5002,MATCH('S4'!F1390&amp;'S4'!K1390,製品マスタ!$AO$5:$AO$5002,0)))</f>
        <v>E315</v>
      </c>
      <c r="M1390" s="39">
        <v>1100</v>
      </c>
      <c r="N1390" s="39">
        <v>6000</v>
      </c>
      <c r="O1390" s="156">
        <v>16</v>
      </c>
      <c r="P1390" s="47">
        <v>4</v>
      </c>
      <c r="Q1390" s="213">
        <v>45266</v>
      </c>
      <c r="R1390" s="271">
        <f ca="1">IF(D1390="","",IF(OFFSET(D1390,-1,0)&lt;&gt;"","",IF(OR(J1390="リード付け",J1390="巻足し",J1390="巻返しリード付け"),M1390,VLOOKUP(D1390,契約台帳!$A$3:$N$4986,14,FALSE))))</f>
        <v>1100</v>
      </c>
      <c r="S1390" s="272">
        <f ca="1">IF(D1390="","",IF(OFFSET(D1390,-1,0)&lt;&gt;"","",IF(OR(J1390="リード付け",J1390="巻足し",J1390="巻返しリード付け"),M1390,VLOOKUP(D1390,契約台帳!$A$3:$O$4986,15,FALSE))))</f>
        <v>1100</v>
      </c>
      <c r="T1390" s="273">
        <f ca="1">IF(D1390="","",IF(J1390="リード付け",N1390,IF(J1390="巻返しリード付け",N1390,IF(J1390="巻足し",N1390*P1390+OFFSET(N1390,1,0)*OFFSET(P1390,1,0),VLOOKUP(D1390,契約台帳!$A$3:$P$4986,16,FALSE)))))</f>
        <v>24000</v>
      </c>
      <c r="U1390" s="40">
        <v>4</v>
      </c>
      <c r="V1390" s="274">
        <f ca="1">IF(D1390="","",IF(OFFSET(D1390,-2,0)=D1390,"",VLOOKUP(D1390,契約台帳!$A$3:$R$4986,18,FALSE)))</f>
        <v>20</v>
      </c>
      <c r="W1390" s="269" t="str">
        <f ca="1">IF(D1390="","",IF(T1390="","",IF(OR(J1390="巻足し",J1390="巻返しリード付け"),"",IF(J1390="巻返し",VLOOKUP(F1390&amp;K1390&amp;M1390,製品マスタ!$M$5:$AD$5002,18,FALSE),IF(OR(J1390="リード付け",J1390="巻返しリード付け"),"原反コア",IF(J1390="スリット",VLOOKUP(F1390&amp;K1390&amp;R1390,製品マスタ!$N$5:$AD$5002,17,FALSE),""))))))</f>
        <v/>
      </c>
      <c r="X1390" s="269" t="str">
        <f ca="1">IF(D1390="","",IF(T1390="","",IF(J1390="巻足し","",IF(J1390="巻返し",VLOOKUP(F1390&amp;K1390&amp;M1390,製品マスタ!$M$5:$AE$5002,19,FALSE),IF(OR(J1390="リード付け",J1390="巻返しリード付け"),"",IF(J1390="スリット",VLOOKUP(F1390&amp;K1390&amp;R1390,製品マスタ!$N$5:$AE$5002,18,FALSE),""))))))</f>
        <v/>
      </c>
      <c r="Y1390" s="275">
        <f ca="1">IF(D1390="","",IF(T1390="","",VLOOKUP(D1390,契約台帳!$A$3:$Q$4986,17,FALSE)))</f>
        <v>2</v>
      </c>
      <c r="Z1390" s="269" t="str">
        <f ca="1">IF(D1390="","",IF(T1390="","",VLOOKUP(D1390,契約台帳!$A$3:$E$4986,5,FALSE)))</f>
        <v>リンテック㈱</v>
      </c>
      <c r="AA1390" s="57"/>
      <c r="AB1390" s="207" t="str">
        <f>IFERROR((VLOOKUP(F1390&amp;K1390&amp;M1390,製品マスタ!$M$5:$AM$5002,27,FALSE)),"")</f>
        <v>原反ケース再利用</v>
      </c>
      <c r="AC1390" s="33"/>
      <c r="AD1390" s="189"/>
      <c r="AE1390" s="54"/>
      <c r="AF1390" s="55">
        <f>+M1390*N1390*O1390/1000</f>
        <v>105600</v>
      </c>
      <c r="AG1390" s="43"/>
      <c r="AH1390" s="47"/>
      <c r="AI1390" s="30"/>
      <c r="AJ1390" s="30"/>
      <c r="AK1390" s="30"/>
      <c r="AL1390" s="30"/>
      <c r="AM1390" s="13"/>
      <c r="AN1390" s="13"/>
      <c r="AO1390" s="13"/>
      <c r="AP1390" s="13"/>
      <c r="AQ1390" s="13"/>
      <c r="AR1390" s="14"/>
      <c r="AS1390" s="15"/>
    </row>
    <row r="1391" spans="1:45" s="17" customFormat="1" ht="30.95" hidden="1" customHeight="1" x14ac:dyDescent="0.2">
      <c r="A1391" s="37"/>
      <c r="B1391" s="38"/>
      <c r="C1391" s="45"/>
      <c r="D1391" s="31"/>
      <c r="E1391" s="31"/>
      <c r="F1391" s="268"/>
      <c r="G1391" s="269"/>
      <c r="H1391" s="269"/>
      <c r="I1391" s="270"/>
      <c r="J1391" s="210"/>
      <c r="K1391" s="270"/>
      <c r="L1391" s="270"/>
      <c r="M1391" s="39"/>
      <c r="N1391" s="39"/>
      <c r="O1391" s="156"/>
      <c r="P1391" s="47"/>
      <c r="Q1391" s="57"/>
      <c r="R1391" s="338"/>
      <c r="S1391" s="272"/>
      <c r="T1391" s="273"/>
      <c r="U1391" s="40"/>
      <c r="V1391" s="277"/>
      <c r="W1391" s="269"/>
      <c r="X1391" s="269"/>
      <c r="Y1391" s="275"/>
      <c r="Z1391" s="269"/>
      <c r="AA1391" s="57"/>
      <c r="AB1391" s="207"/>
      <c r="AC1391" s="33"/>
      <c r="AD1391" s="189"/>
      <c r="AE1391" s="54"/>
      <c r="AF1391" s="55"/>
      <c r="AG1391" s="43"/>
      <c r="AH1391" s="47"/>
      <c r="AI1391" s="30"/>
      <c r="AJ1391" s="30"/>
      <c r="AK1391" s="30"/>
      <c r="AL1391" s="30"/>
      <c r="AM1391" s="13"/>
      <c r="AN1391" s="13"/>
      <c r="AO1391" s="13"/>
      <c r="AP1391" s="13"/>
      <c r="AQ1391" s="13"/>
      <c r="AR1391" s="14"/>
      <c r="AS1391" s="15"/>
    </row>
    <row r="1392" spans="1:45" s="17" customFormat="1" ht="30.95" hidden="1" customHeight="1" x14ac:dyDescent="0.2">
      <c r="A1392" s="37" t="s">
        <v>675</v>
      </c>
      <c r="B1392" s="38" t="s">
        <v>443</v>
      </c>
      <c r="C1392" s="45"/>
      <c r="D1392" s="31">
        <v>3735128</v>
      </c>
      <c r="E1392" s="31">
        <v>4162180</v>
      </c>
      <c r="F1392" s="268" t="str">
        <f>IF(D1392="","",VLOOKUP(D1392,契約台帳!$A$3:$K$4986,6,FALSE)&amp;VLOOKUP(D1392,契約台帳!$A$3:$K$4986,7,FALSE)&amp;VLOOKUP(D1392,契約台帳!$A$3:$K$4986,8,FALSE)&amp;VLOOKUP(D1392,契約台帳!$A$3:$K$4986,9,FALSE)&amp;VLOOKUP(D1392,契約台帳!$A$3:$K$4986,11,FALSE))</f>
        <v>3SNMLBMNQR66F</v>
      </c>
      <c r="G1392" s="269" t="str">
        <f>IF(D1392="","",VLOOKUP(F1392,製品マスタ!$G$5:$H$5002,2,FALSE))</f>
        <v>S</v>
      </c>
      <c r="H1392" s="269" t="str">
        <f>IF(D1392="","",VLOOKUP(F1392,製品マスタ!$G$5:$K$5002,5,FALSE))</f>
        <v>MNQR66F</v>
      </c>
      <c r="I1392" s="270" t="str">
        <f>IF(D1392="","",VLOOKUP(F1392,製品マスタ!$G$5:$L$5002,6,FALSE))</f>
        <v>ＱＲ６６蒸着品</v>
      </c>
      <c r="J1392" s="210" t="s">
        <v>935</v>
      </c>
      <c r="K1392" s="270">
        <f>IF(D1392="","",VLOOKUP(D1392,契約台帳!$A$3:$L$4986,12,FALSE))</f>
        <v>25</v>
      </c>
      <c r="L1392" s="270" t="str">
        <f>IF(D1392="","",INDEX(製品マスタ!$Q$5:$Q$5002,MATCH('S4'!F1392&amp;'S4'!K1392,製品マスタ!$AO$5:$AO$5002,0)))</f>
        <v>E315</v>
      </c>
      <c r="M1392" s="39">
        <v>1100</v>
      </c>
      <c r="N1392" s="39">
        <v>6000</v>
      </c>
      <c r="O1392" s="156">
        <v>4</v>
      </c>
      <c r="P1392" s="47">
        <v>4</v>
      </c>
      <c r="Q1392" s="213">
        <v>45266</v>
      </c>
      <c r="R1392" s="271">
        <f ca="1">IF(D1392="","",IF(OFFSET(D1392,-1,0)&lt;&gt;"","",IF(OR(J1392="リード付け",J1392="巻足し",J1392="巻返しリード付け"),M1392,VLOOKUP(D1392,契約台帳!$A$3:$N$4986,14,FALSE))))</f>
        <v>1100</v>
      </c>
      <c r="S1392" s="272">
        <f ca="1">IF(D1392="","",IF(OFFSET(D1392,-1,0)&lt;&gt;"","",IF(OR(J1392="リード付け",J1392="巻足し",J1392="巻返しリード付け"),M1392,VLOOKUP(D1392,契約台帳!$A$3:$O$4986,15,FALSE))))</f>
        <v>1100</v>
      </c>
      <c r="T1392" s="273">
        <f ca="1">IF(D1392="","",IF(J1392="リード付け",N1392,IF(J1392="巻返しリード付け",N1392,IF(J1392="巻足し",N1392*P1392+OFFSET(N1392,1,0)*OFFSET(P1392,1,0),VLOOKUP(D1392,契約台帳!$A$3:$P$4986,16,FALSE)))))</f>
        <v>24000</v>
      </c>
      <c r="U1392" s="40">
        <v>1</v>
      </c>
      <c r="V1392" s="274" t="str">
        <f ca="1">IF(D1392="","",IF(OFFSET(D1392,-2,0)=D1392,"",VLOOKUP(D1392,契約台帳!$A$3:$R$4986,18,FALSE)))</f>
        <v/>
      </c>
      <c r="W1392" s="269" t="str">
        <f ca="1">IF(D1392="","",IF(T1392="","",IF(OR(J1392="巻足し",J1392="巻返しリード付け"),"",IF(J1392="巻返し",VLOOKUP(F1392&amp;K1392&amp;M1392,製品マスタ!$M$5:$AD$5002,18,FALSE),IF(OR(J1392="リード付け",J1392="巻返しリード付け"),"原反コア",IF(J1392="スリット",VLOOKUP(F1392&amp;K1392&amp;R1392,製品マスタ!$N$5:$AD$5002,17,FALSE),""))))))</f>
        <v/>
      </c>
      <c r="X1392" s="269" t="str">
        <f ca="1">IF(D1392="","",IF(T1392="","",IF(J1392="巻足し","",IF(J1392="巻返し",VLOOKUP(F1392&amp;K1392&amp;M1392,製品マスタ!$M$5:$AE$5002,19,FALSE),IF(OR(J1392="リード付け",J1392="巻返しリード付け"),"",IF(J1392="スリット",VLOOKUP(F1392&amp;K1392&amp;R1392,製品マスタ!$N$5:$AE$5002,18,FALSE),""))))))</f>
        <v/>
      </c>
      <c r="Y1392" s="275">
        <f ca="1">IF(D1392="","",IF(T1392="","",VLOOKUP(D1392,契約台帳!$A$3:$Q$4986,17,FALSE)))</f>
        <v>2</v>
      </c>
      <c r="Z1392" s="269" t="str">
        <f ca="1">IF(D1392="","",IF(T1392="","",VLOOKUP(D1392,契約台帳!$A$3:$E$4986,5,FALSE)))</f>
        <v>リンテック㈱</v>
      </c>
      <c r="AA1392" s="57"/>
      <c r="AB1392" s="207" t="str">
        <f>IFERROR((VLOOKUP(F1392&amp;K1392&amp;M1392,製品マスタ!$M$5:$AM$5002,27,FALSE)),"")</f>
        <v>原反ケース再利用</v>
      </c>
      <c r="AC1392" s="33"/>
      <c r="AD1392" s="189"/>
      <c r="AE1392" s="54"/>
      <c r="AF1392" s="55">
        <f>+M1392*N1392*O1392/1000</f>
        <v>26400</v>
      </c>
      <c r="AG1392" s="43"/>
      <c r="AH1392" s="47"/>
      <c r="AI1392" s="30"/>
      <c r="AJ1392" s="30"/>
      <c r="AK1392" s="30"/>
      <c r="AL1392" s="30"/>
      <c r="AM1392" s="13"/>
      <c r="AN1392" s="13"/>
      <c r="AO1392" s="13"/>
      <c r="AP1392" s="13"/>
      <c r="AQ1392" s="13"/>
      <c r="AR1392" s="14"/>
      <c r="AS1392" s="15"/>
    </row>
    <row r="1393" spans="1:45" s="17" customFormat="1" ht="30.95" hidden="1" customHeight="1" x14ac:dyDescent="0.2">
      <c r="A1393" s="37"/>
      <c r="B1393" s="38"/>
      <c r="C1393" s="45"/>
      <c r="D1393" s="31"/>
      <c r="E1393" s="31"/>
      <c r="F1393" s="268"/>
      <c r="G1393" s="269"/>
      <c r="H1393" s="269"/>
      <c r="I1393" s="270"/>
      <c r="J1393" s="210"/>
      <c r="K1393" s="270"/>
      <c r="L1393" s="270"/>
      <c r="M1393" s="39"/>
      <c r="N1393" s="39"/>
      <c r="O1393" s="156"/>
      <c r="P1393" s="47"/>
      <c r="Q1393" s="57"/>
      <c r="R1393" s="338"/>
      <c r="S1393" s="272"/>
      <c r="T1393" s="273"/>
      <c r="U1393" s="40"/>
      <c r="V1393" s="277"/>
      <c r="W1393" s="269"/>
      <c r="X1393" s="269"/>
      <c r="Y1393" s="275"/>
      <c r="Z1393" s="269"/>
      <c r="AA1393" s="57"/>
      <c r="AB1393" s="207"/>
      <c r="AC1393" s="33"/>
      <c r="AD1393" s="189"/>
      <c r="AE1393" s="54"/>
      <c r="AF1393" s="55"/>
      <c r="AG1393" s="43"/>
      <c r="AH1393" s="47"/>
      <c r="AI1393" s="30"/>
      <c r="AJ1393" s="30"/>
      <c r="AK1393" s="30"/>
      <c r="AL1393" s="30"/>
      <c r="AM1393" s="13"/>
      <c r="AN1393" s="13"/>
      <c r="AO1393" s="13"/>
      <c r="AP1393" s="13"/>
      <c r="AQ1393" s="13"/>
      <c r="AR1393" s="14"/>
      <c r="AS1393" s="15"/>
    </row>
    <row r="1394" spans="1:45" s="17" customFormat="1" ht="30.95" hidden="1" customHeight="1" x14ac:dyDescent="0.2">
      <c r="A1394" s="37"/>
      <c r="B1394" s="38"/>
      <c r="C1394" s="45"/>
      <c r="D1394" s="31">
        <v>3735127</v>
      </c>
      <c r="E1394" s="31">
        <v>4162179</v>
      </c>
      <c r="F1394" s="268" t="str">
        <f>IF(D1394="","",VLOOKUP(D1394,契約台帳!$A$3:$K$4986,6,FALSE)&amp;VLOOKUP(D1394,契約台帳!$A$3:$K$4986,7,FALSE)&amp;VLOOKUP(D1394,契約台帳!$A$3:$K$4986,8,FALSE)&amp;VLOOKUP(D1394,契約台帳!$A$3:$K$4986,9,FALSE)&amp;VLOOKUP(D1394,契約台帳!$A$3:$K$4986,11,FALSE))</f>
        <v>3SNMLBMNQR66F</v>
      </c>
      <c r="G1394" s="269" t="str">
        <f>IF(D1394="","",VLOOKUP(F1394,製品マスタ!$G$5:$H$5002,2,FALSE))</f>
        <v>S</v>
      </c>
      <c r="H1394" s="269" t="str">
        <f>IF(D1394="","",VLOOKUP(F1394,製品マスタ!$G$5:$K$5002,5,FALSE))</f>
        <v>MNQR66F</v>
      </c>
      <c r="I1394" s="270" t="str">
        <f>IF(D1394="","",VLOOKUP(F1394,製品マスタ!$G$5:$L$5002,6,FALSE))</f>
        <v>ＱＲ６６蒸着品</v>
      </c>
      <c r="J1394" s="210" t="s">
        <v>935</v>
      </c>
      <c r="K1394" s="270">
        <f>IF(D1394="","",VLOOKUP(D1394,契約台帳!$A$3:$L$4986,12,FALSE))</f>
        <v>25</v>
      </c>
      <c r="L1394" s="270" t="str">
        <f>IF(D1394="","",INDEX(製品マスタ!$Q$5:$Q$5002,MATCH('S4'!F1394&amp;'S4'!K1394,製品マスタ!$AO$5:$AO$5002,0)))</f>
        <v>E315</v>
      </c>
      <c r="M1394" s="39">
        <v>1000</v>
      </c>
      <c r="N1394" s="39">
        <v>6000</v>
      </c>
      <c r="O1394" s="156">
        <v>3</v>
      </c>
      <c r="P1394" s="47">
        <v>3</v>
      </c>
      <c r="Q1394" s="213">
        <v>45266</v>
      </c>
      <c r="R1394" s="271">
        <f ca="1">IF(D1394="","",IF(OFFSET(D1394,-1,0)&lt;&gt;"","",IF(OR(J1394="リード付け",J1394="巻足し",J1394="巻返しリード付け"),M1394,VLOOKUP(D1394,契約台帳!$A$3:$N$4986,14,FALSE))))</f>
        <v>1000</v>
      </c>
      <c r="S1394" s="272">
        <f ca="1">IF(D1394="","",IF(OFFSET(D1394,-1,0)&lt;&gt;"","",IF(OR(J1394="リード付け",J1394="巻足し",J1394="巻返しリード付け"),M1394,VLOOKUP(D1394,契約台帳!$A$3:$O$4986,15,FALSE))))</f>
        <v>1000</v>
      </c>
      <c r="T1394" s="273">
        <f ca="1">IF(D1394="","",IF(J1394="リード付け",N1394,IF(J1394="巻返しリード付け",N1394,IF(J1394="巻足し",N1394*P1394+OFFSET(N1394,1,0)*OFFSET(P1394,1,0),VLOOKUP(D1394,契約台帳!$A$3:$P$4986,16,FALSE)))))</f>
        <v>18000</v>
      </c>
      <c r="U1394" s="40">
        <v>1</v>
      </c>
      <c r="V1394" s="274">
        <f ca="1">IF(D1394="","",IF(OFFSET(D1394,-2,0)=D1394,"",VLOOKUP(D1394,契約台帳!$A$3:$R$4986,18,FALSE)))</f>
        <v>3</v>
      </c>
      <c r="W1394" s="269" t="str">
        <f ca="1">IF(D1394="","",IF(T1394="","",IF(OR(J1394="巻足し",J1394="巻返しリード付け"),"",IF(J1394="巻返し",VLOOKUP(F1394&amp;K1394&amp;M1394,製品マスタ!$M$5:$AD$5002,18,FALSE),IF(OR(J1394="リード付け",J1394="巻返しリード付け"),"原反コア",IF(J1394="スリット",VLOOKUP(F1394&amp;K1394&amp;R1394,製品マスタ!$N$5:$AD$5002,17,FALSE),""))))))</f>
        <v/>
      </c>
      <c r="X1394" s="269" t="str">
        <f ca="1">IF(D1394="","",IF(T1394="","",IF(J1394="巻足し","",IF(J1394="巻返し",VLOOKUP(F1394&amp;K1394&amp;M1394,製品マスタ!$M$5:$AE$5002,19,FALSE),IF(OR(J1394="リード付け",J1394="巻返しリード付け"),"",IF(J1394="スリット",VLOOKUP(F1394&amp;K1394&amp;R1394,製品マスタ!$N$5:$AE$5002,18,FALSE),""))))))</f>
        <v/>
      </c>
      <c r="Y1394" s="275">
        <f ca="1">IF(D1394="","",IF(T1394="","",VLOOKUP(D1394,契約台帳!$A$3:$Q$4986,17,FALSE)))</f>
        <v>2</v>
      </c>
      <c r="Z1394" s="269" t="str">
        <f ca="1">IF(D1394="","",IF(T1394="","",VLOOKUP(D1394,契約台帳!$A$3:$E$4986,5,FALSE)))</f>
        <v>リンテック㈱</v>
      </c>
      <c r="AA1394" s="57"/>
      <c r="AB1394" s="207" t="str">
        <f>IFERROR((VLOOKUP(F1394&amp;K1394&amp;M1394,製品マスタ!$M$5:$AM$5002,27,FALSE)),"")</f>
        <v>原反ケース再利用</v>
      </c>
      <c r="AC1394" s="33"/>
      <c r="AD1394" s="189"/>
      <c r="AE1394" s="54"/>
      <c r="AF1394" s="55">
        <f>+M1394*N1394*O1394/1000</f>
        <v>18000</v>
      </c>
      <c r="AG1394" s="43"/>
      <c r="AH1394" s="47"/>
      <c r="AI1394" s="30"/>
      <c r="AJ1394" s="30"/>
      <c r="AK1394" s="30"/>
      <c r="AL1394" s="30"/>
      <c r="AM1394" s="13"/>
      <c r="AN1394" s="13"/>
      <c r="AO1394" s="13"/>
      <c r="AP1394" s="13"/>
      <c r="AQ1394" s="13"/>
      <c r="AR1394" s="14"/>
      <c r="AS1394" s="15"/>
    </row>
    <row r="1395" spans="1:45" s="17" customFormat="1" ht="30.95" hidden="1" customHeight="1" x14ac:dyDescent="0.2">
      <c r="A1395" s="37"/>
      <c r="B1395" s="38"/>
      <c r="C1395" s="45"/>
      <c r="D1395" s="31"/>
      <c r="E1395" s="31"/>
      <c r="F1395" s="268"/>
      <c r="G1395" s="269"/>
      <c r="H1395" s="269"/>
      <c r="I1395" s="270"/>
      <c r="J1395" s="210"/>
      <c r="K1395" s="270"/>
      <c r="L1395" s="270"/>
      <c r="M1395" s="39"/>
      <c r="N1395" s="39"/>
      <c r="O1395" s="156"/>
      <c r="P1395" s="47"/>
      <c r="Q1395" s="57"/>
      <c r="R1395" s="338"/>
      <c r="S1395" s="272"/>
      <c r="T1395" s="273"/>
      <c r="U1395" s="40"/>
      <c r="V1395" s="277"/>
      <c r="W1395" s="269"/>
      <c r="X1395" s="269"/>
      <c r="Y1395" s="275"/>
      <c r="Z1395" s="269"/>
      <c r="AA1395" s="57"/>
      <c r="AB1395" s="207"/>
      <c r="AC1395" s="33"/>
      <c r="AD1395" s="189"/>
      <c r="AE1395" s="54"/>
      <c r="AF1395" s="55"/>
      <c r="AG1395" s="43"/>
      <c r="AH1395" s="47"/>
      <c r="AI1395" s="30"/>
      <c r="AJ1395" s="30"/>
      <c r="AK1395" s="30"/>
      <c r="AL1395" s="30"/>
      <c r="AM1395" s="13"/>
      <c r="AN1395" s="13"/>
      <c r="AO1395" s="13"/>
      <c r="AP1395" s="13"/>
      <c r="AQ1395" s="13"/>
      <c r="AR1395" s="14"/>
      <c r="AS1395" s="15"/>
    </row>
    <row r="1396" spans="1:45" s="17" customFormat="1" ht="30.95" hidden="1" customHeight="1" x14ac:dyDescent="0.2">
      <c r="A1396" s="37"/>
      <c r="B1396" s="38"/>
      <c r="C1396" s="45"/>
      <c r="D1396" s="31">
        <v>3735107</v>
      </c>
      <c r="E1396" s="31">
        <v>4162160</v>
      </c>
      <c r="F1396" s="268" t="str">
        <f>IF(D1396="","",VLOOKUP(D1396,契約台帳!$A$3:$K$4986,6,FALSE)&amp;VLOOKUP(D1396,契約台帳!$A$3:$K$4986,7,FALSE)&amp;VLOOKUP(D1396,契約台帳!$A$3:$K$4986,8,FALSE)&amp;VLOOKUP(D1396,契約台帳!$A$3:$K$4986,9,FALSE)&amp;VLOOKUP(D1396,契約台帳!$A$3:$K$4986,11,FALSE))</f>
        <v>3SNMLBMNGKKBF</v>
      </c>
      <c r="G1396" s="269" t="str">
        <f>IF(D1396="","",VLOOKUP(F1396,製品マスタ!$G$5:$H$5002,2,FALSE))</f>
        <v>S</v>
      </c>
      <c r="H1396" s="269" t="str">
        <f>IF(D1396="","",VLOOKUP(F1396,製品マスタ!$G$5:$K$5002,5,FALSE))</f>
        <v>MNGKKBF</v>
      </c>
      <c r="I1396" s="270" t="str">
        <f>IF(D1396="","",VLOOKUP(F1396,製品マスタ!$G$5:$L$5002,6,FALSE))</f>
        <v>メタルミー　ネーマー銀消改　Ｂ</v>
      </c>
      <c r="J1396" s="210" t="s">
        <v>935</v>
      </c>
      <c r="K1396" s="270">
        <f>IF(D1396="","",VLOOKUP(D1396,契約台帳!$A$3:$L$4986,12,FALSE))</f>
        <v>50</v>
      </c>
      <c r="L1396" s="270" t="str">
        <f>IF(D1396="","",INDEX(製品マスタ!$Q$5:$Q$5002,MATCH('S4'!F1396&amp;'S4'!K1396,製品マスタ!$AO$5:$AO$5002,0)))</f>
        <v>S99-MAT</v>
      </c>
      <c r="M1396" s="39">
        <v>1120</v>
      </c>
      <c r="N1396" s="39">
        <v>4000</v>
      </c>
      <c r="O1396" s="156">
        <v>9</v>
      </c>
      <c r="P1396" s="47">
        <v>3</v>
      </c>
      <c r="Q1396" s="213">
        <v>45266</v>
      </c>
      <c r="R1396" s="271">
        <f ca="1">IF(D1396="","",IF(OFFSET(D1396,-1,0)&lt;&gt;"","",IF(OR(J1396="リード付け",J1396="巻足し",J1396="巻返しリード付け"),M1396,VLOOKUP(D1396,契約台帳!$A$3:$N$4986,14,FALSE))))</f>
        <v>1120</v>
      </c>
      <c r="S1396" s="272">
        <f ca="1">IF(D1396="","",IF(OFFSET(D1396,-1,0)&lt;&gt;"","",IF(OR(J1396="リード付け",J1396="巻足し",J1396="巻返しリード付け"),M1396,VLOOKUP(D1396,契約台帳!$A$3:$O$4986,15,FALSE))))</f>
        <v>1120</v>
      </c>
      <c r="T1396" s="273">
        <f ca="1">IF(D1396="","",IF(J1396="リード付け",N1396,IF(J1396="巻返しリード付け",N1396,IF(J1396="巻足し",N1396*P1396+OFFSET(N1396,1,0)*OFFSET(P1396,1,0),VLOOKUP(D1396,契約台帳!$A$3:$P$4986,16,FALSE)))))</f>
        <v>12000</v>
      </c>
      <c r="U1396" s="40">
        <v>3</v>
      </c>
      <c r="V1396" s="274">
        <f ca="1">IF(D1396="","",IF(OFFSET(D1396,-2,0)=D1396,"",VLOOKUP(D1396,契約台帳!$A$3:$R$4986,18,FALSE)))</f>
        <v>15</v>
      </c>
      <c r="W1396" s="269" t="str">
        <f ca="1">IF(D1396="","",IF(T1396="","",IF(OR(J1396="巻足し",J1396="巻返しリード付け"),"",IF(J1396="巻返し",VLOOKUP(F1396&amp;K1396&amp;M1396,製品マスタ!$M$5:$AD$5002,18,FALSE),IF(OR(J1396="リード付け",J1396="巻返しリード付け"),"原反コア",IF(J1396="スリット",VLOOKUP(F1396&amp;K1396&amp;R1396,製品マスタ!$N$5:$AD$5002,17,FALSE),""))))))</f>
        <v/>
      </c>
      <c r="X1396" s="269" t="str">
        <f ca="1">IF(D1396="","",IF(T1396="","",IF(J1396="巻足し","",IF(J1396="巻返し",VLOOKUP(F1396&amp;K1396&amp;M1396,製品マスタ!$M$5:$AE$5002,19,FALSE),IF(OR(J1396="リード付け",J1396="巻返しリード付け"),"",IF(J1396="スリット",VLOOKUP(F1396&amp;K1396&amp;R1396,製品マスタ!$N$5:$AE$5002,18,FALSE),""))))))</f>
        <v/>
      </c>
      <c r="Y1396" s="275">
        <f ca="1">IF(D1396="","",IF(T1396="","",VLOOKUP(D1396,契約台帳!$A$3:$Q$4986,17,FALSE)))</f>
        <v>2</v>
      </c>
      <c r="Z1396" s="269" t="str">
        <f ca="1">IF(D1396="","",IF(T1396="","",VLOOKUP(D1396,契約台帳!$A$3:$E$4986,5,FALSE)))</f>
        <v>リンテック㈱</v>
      </c>
      <c r="AA1396" s="57"/>
      <c r="AB1396" s="207">
        <f>IFERROR((VLOOKUP(F1396&amp;K1396&amp;M1396,製品マスタ!$M$5:$AM$5002,27,FALSE)),"")</f>
        <v>0</v>
      </c>
      <c r="AC1396" s="33"/>
      <c r="AD1396" s="189"/>
      <c r="AE1396" s="54"/>
      <c r="AF1396" s="55">
        <f>+M1396*N1396*O1396/1000</f>
        <v>40320</v>
      </c>
      <c r="AG1396" s="43"/>
      <c r="AH1396" s="47"/>
      <c r="AI1396" s="30"/>
      <c r="AJ1396" s="30"/>
      <c r="AK1396" s="30"/>
      <c r="AL1396" s="30"/>
      <c r="AM1396" s="13"/>
      <c r="AN1396" s="13"/>
      <c r="AO1396" s="13"/>
      <c r="AP1396" s="13"/>
      <c r="AQ1396" s="13"/>
      <c r="AR1396" s="14"/>
      <c r="AS1396" s="15"/>
    </row>
    <row r="1397" spans="1:45" s="17" customFormat="1" ht="30.95" hidden="1" customHeight="1" x14ac:dyDescent="0.2">
      <c r="A1397" s="37"/>
      <c r="B1397" s="38"/>
      <c r="C1397" s="45"/>
      <c r="D1397" s="31"/>
      <c r="E1397" s="31"/>
      <c r="F1397" s="268"/>
      <c r="G1397" s="269"/>
      <c r="H1397" s="269"/>
      <c r="I1397" s="270"/>
      <c r="J1397" s="210"/>
      <c r="K1397" s="270"/>
      <c r="L1397" s="270"/>
      <c r="M1397" s="39"/>
      <c r="N1397" s="39"/>
      <c r="O1397" s="156"/>
      <c r="P1397" s="47"/>
      <c r="Q1397" s="57"/>
      <c r="R1397" s="338"/>
      <c r="S1397" s="272"/>
      <c r="T1397" s="273"/>
      <c r="U1397" s="40"/>
      <c r="V1397" s="277"/>
      <c r="W1397" s="269"/>
      <c r="X1397" s="269"/>
      <c r="Y1397" s="275"/>
      <c r="Z1397" s="269"/>
      <c r="AA1397" s="57"/>
      <c r="AB1397" s="207"/>
      <c r="AC1397" s="33"/>
      <c r="AD1397" s="189"/>
      <c r="AE1397" s="54"/>
      <c r="AF1397" s="55"/>
      <c r="AG1397" s="43"/>
      <c r="AH1397" s="47"/>
      <c r="AI1397" s="30"/>
      <c r="AJ1397" s="30"/>
      <c r="AK1397" s="30"/>
      <c r="AL1397" s="30"/>
      <c r="AM1397" s="13"/>
      <c r="AN1397" s="13"/>
      <c r="AO1397" s="13"/>
      <c r="AP1397" s="13"/>
      <c r="AQ1397" s="13"/>
      <c r="AR1397" s="14"/>
      <c r="AS1397" s="15"/>
    </row>
    <row r="1398" spans="1:45" s="17" customFormat="1" ht="30.95" hidden="1" customHeight="1" x14ac:dyDescent="0.2">
      <c r="A1398" s="37" t="s">
        <v>676</v>
      </c>
      <c r="B1398" s="38" t="s">
        <v>444</v>
      </c>
      <c r="C1398" s="45"/>
      <c r="D1398" s="31">
        <v>3735107</v>
      </c>
      <c r="E1398" s="31">
        <v>4162160</v>
      </c>
      <c r="F1398" s="268" t="str">
        <f>IF(D1398="","",VLOOKUP(D1398,契約台帳!$A$3:$K$4986,6,FALSE)&amp;VLOOKUP(D1398,契約台帳!$A$3:$K$4986,7,FALSE)&amp;VLOOKUP(D1398,契約台帳!$A$3:$K$4986,8,FALSE)&amp;VLOOKUP(D1398,契約台帳!$A$3:$K$4986,9,FALSE)&amp;VLOOKUP(D1398,契約台帳!$A$3:$K$4986,11,FALSE))</f>
        <v>3SNMLBMNGKKBF</v>
      </c>
      <c r="G1398" s="269" t="str">
        <f>IF(D1398="","",VLOOKUP(F1398,製品マスタ!$G$5:$H$5002,2,FALSE))</f>
        <v>S</v>
      </c>
      <c r="H1398" s="269" t="str">
        <f>IF(D1398="","",VLOOKUP(F1398,製品マスタ!$G$5:$K$5002,5,FALSE))</f>
        <v>MNGKKBF</v>
      </c>
      <c r="I1398" s="270" t="str">
        <f>IF(D1398="","",VLOOKUP(F1398,製品マスタ!$G$5:$L$5002,6,FALSE))</f>
        <v>メタルミー　ネーマー銀消改　Ｂ</v>
      </c>
      <c r="J1398" s="210" t="s">
        <v>935</v>
      </c>
      <c r="K1398" s="270">
        <f>IF(D1398="","",VLOOKUP(D1398,契約台帳!$A$3:$L$4986,12,FALSE))</f>
        <v>50</v>
      </c>
      <c r="L1398" s="270" t="str">
        <f>IF(D1398="","",INDEX(製品マスタ!$Q$5:$Q$5002,MATCH('S4'!F1398&amp;'S4'!K1398,製品マスタ!$AO$5:$AO$5002,0)))</f>
        <v>S99-MAT</v>
      </c>
      <c r="M1398" s="39">
        <v>1120</v>
      </c>
      <c r="N1398" s="39">
        <v>4000</v>
      </c>
      <c r="O1398" s="156">
        <v>6</v>
      </c>
      <c r="P1398" s="47">
        <v>3</v>
      </c>
      <c r="Q1398" s="213">
        <v>45266</v>
      </c>
      <c r="R1398" s="271">
        <f ca="1">IF(D1398="","",IF(OFFSET(D1398,-1,0)&lt;&gt;"","",IF(OR(J1398="リード付け",J1398="巻足し",J1398="巻返しリード付け"),M1398,VLOOKUP(D1398,契約台帳!$A$3:$N$4986,14,FALSE))))</f>
        <v>1120</v>
      </c>
      <c r="S1398" s="272">
        <f ca="1">IF(D1398="","",IF(OFFSET(D1398,-1,0)&lt;&gt;"","",IF(OR(J1398="リード付け",J1398="巻足し",J1398="巻返しリード付け"),M1398,VLOOKUP(D1398,契約台帳!$A$3:$O$4986,15,FALSE))))</f>
        <v>1120</v>
      </c>
      <c r="T1398" s="273">
        <f ca="1">IF(D1398="","",IF(J1398="リード付け",N1398,IF(J1398="巻返しリード付け",N1398,IF(J1398="巻足し",N1398*P1398+OFFSET(N1398,1,0)*OFFSET(P1398,1,0),VLOOKUP(D1398,契約台帳!$A$3:$P$4986,16,FALSE)))))</f>
        <v>12000</v>
      </c>
      <c r="U1398" s="40">
        <v>2</v>
      </c>
      <c r="V1398" s="274" t="str">
        <f ca="1">IF(D1398="","",IF(OFFSET(D1398,-2,0)=D1398,"",VLOOKUP(D1398,契約台帳!$A$3:$R$4986,18,FALSE)))</f>
        <v/>
      </c>
      <c r="W1398" s="269" t="str">
        <f ca="1">IF(D1398="","",IF(T1398="","",IF(OR(J1398="巻足し",J1398="巻返しリード付け"),"",IF(J1398="巻返し",VLOOKUP(F1398&amp;K1398&amp;M1398,製品マスタ!$M$5:$AD$5002,18,FALSE),IF(OR(J1398="リード付け",J1398="巻返しリード付け"),"原反コア",IF(J1398="スリット",VLOOKUP(F1398&amp;K1398&amp;R1398,製品マスタ!$N$5:$AD$5002,17,FALSE),""))))))</f>
        <v/>
      </c>
      <c r="X1398" s="269" t="str">
        <f ca="1">IF(D1398="","",IF(T1398="","",IF(J1398="巻足し","",IF(J1398="巻返し",VLOOKUP(F1398&amp;K1398&amp;M1398,製品マスタ!$M$5:$AE$5002,19,FALSE),IF(OR(J1398="リード付け",J1398="巻返しリード付け"),"",IF(J1398="スリット",VLOOKUP(F1398&amp;K1398&amp;R1398,製品マスタ!$N$5:$AE$5002,18,FALSE),""))))))</f>
        <v/>
      </c>
      <c r="Y1398" s="275">
        <f ca="1">IF(D1398="","",IF(T1398="","",VLOOKUP(D1398,契約台帳!$A$3:$Q$4986,17,FALSE)))</f>
        <v>2</v>
      </c>
      <c r="Z1398" s="269" t="str">
        <f ca="1">IF(D1398="","",IF(T1398="","",VLOOKUP(D1398,契約台帳!$A$3:$E$4986,5,FALSE)))</f>
        <v>リンテック㈱</v>
      </c>
      <c r="AA1398" s="57"/>
      <c r="AB1398" s="207">
        <f>IFERROR((VLOOKUP(F1398&amp;K1398&amp;M1398,製品マスタ!$M$5:$AM$5002,27,FALSE)),"")</f>
        <v>0</v>
      </c>
      <c r="AC1398" s="33"/>
      <c r="AD1398" s="189"/>
      <c r="AE1398" s="54"/>
      <c r="AF1398" s="55">
        <f>+M1398*N1398*O1398/1000</f>
        <v>26880</v>
      </c>
      <c r="AG1398" s="43"/>
      <c r="AH1398" s="47"/>
      <c r="AI1398" s="30"/>
      <c r="AJ1398" s="30"/>
      <c r="AK1398" s="30"/>
      <c r="AL1398" s="30"/>
      <c r="AM1398" s="13"/>
      <c r="AN1398" s="13"/>
      <c r="AO1398" s="13"/>
      <c r="AP1398" s="13"/>
      <c r="AQ1398" s="13"/>
      <c r="AR1398" s="14"/>
      <c r="AS1398" s="15"/>
    </row>
    <row r="1399" spans="1:45" s="17" customFormat="1" ht="30.95" hidden="1" customHeight="1" x14ac:dyDescent="0.2">
      <c r="A1399" s="37"/>
      <c r="B1399" s="38"/>
      <c r="C1399" s="45"/>
      <c r="D1399" s="31"/>
      <c r="E1399" s="31"/>
      <c r="F1399" s="268"/>
      <c r="G1399" s="269"/>
      <c r="H1399" s="269"/>
      <c r="I1399" s="270"/>
      <c r="J1399" s="210"/>
      <c r="K1399" s="270"/>
      <c r="L1399" s="270"/>
      <c r="M1399" s="39"/>
      <c r="N1399" s="39"/>
      <c r="O1399" s="156"/>
      <c r="P1399" s="47"/>
      <c r="Q1399" s="57"/>
      <c r="R1399" s="338"/>
      <c r="S1399" s="272"/>
      <c r="T1399" s="273"/>
      <c r="U1399" s="40"/>
      <c r="V1399" s="277"/>
      <c r="W1399" s="269"/>
      <c r="X1399" s="269"/>
      <c r="Y1399" s="275"/>
      <c r="Z1399" s="269"/>
      <c r="AA1399" s="57"/>
      <c r="AB1399" s="207"/>
      <c r="AC1399" s="33"/>
      <c r="AD1399" s="189"/>
      <c r="AE1399" s="54"/>
      <c r="AF1399" s="55"/>
      <c r="AG1399" s="43"/>
      <c r="AH1399" s="47"/>
      <c r="AI1399" s="30"/>
      <c r="AJ1399" s="30"/>
      <c r="AK1399" s="30"/>
      <c r="AL1399" s="30"/>
      <c r="AM1399" s="13"/>
      <c r="AN1399" s="13"/>
      <c r="AO1399" s="13"/>
      <c r="AP1399" s="13"/>
      <c r="AQ1399" s="13"/>
      <c r="AR1399" s="14"/>
      <c r="AS1399" s="15"/>
    </row>
    <row r="1400" spans="1:45" s="17" customFormat="1" ht="30.95" hidden="1" customHeight="1" x14ac:dyDescent="0.2">
      <c r="A1400" s="37"/>
      <c r="B1400" s="38"/>
      <c r="C1400" s="45"/>
      <c r="D1400" s="31">
        <v>3735108</v>
      </c>
      <c r="E1400" s="31">
        <v>4162161</v>
      </c>
      <c r="F1400" s="268" t="str">
        <f>IF(D1400="","",VLOOKUP(D1400,契約台帳!$A$3:$K$4986,6,FALSE)&amp;VLOOKUP(D1400,契約台帳!$A$3:$K$4986,7,FALSE)&amp;VLOOKUP(D1400,契約台帳!$A$3:$K$4986,8,FALSE)&amp;VLOOKUP(D1400,契約台帳!$A$3:$K$4986,9,FALSE)&amp;VLOOKUP(D1400,契約台帳!$A$3:$K$4986,11,FALSE))</f>
        <v>3SNMLBMNGKKBF</v>
      </c>
      <c r="G1400" s="269" t="str">
        <f>IF(D1400="","",VLOOKUP(F1400,製品マスタ!$G$5:$H$5002,2,FALSE))</f>
        <v>S</v>
      </c>
      <c r="H1400" s="269" t="str">
        <f>IF(D1400="","",VLOOKUP(F1400,製品マスタ!$G$5:$K$5002,5,FALSE))</f>
        <v>MNGKKBF</v>
      </c>
      <c r="I1400" s="270" t="str">
        <f>IF(D1400="","",VLOOKUP(F1400,製品マスタ!$G$5:$L$5002,6,FALSE))</f>
        <v>メタルミー　ネーマー銀消改　Ｂ</v>
      </c>
      <c r="J1400" s="210" t="s">
        <v>935</v>
      </c>
      <c r="K1400" s="270">
        <f>IF(D1400="","",VLOOKUP(D1400,契約台帳!$A$3:$L$4986,12,FALSE))</f>
        <v>50</v>
      </c>
      <c r="L1400" s="270" t="str">
        <f>IF(D1400="","",INDEX(製品マスタ!$Q$5:$Q$5002,MATCH('S4'!F1400&amp;'S4'!K1400,製品マスタ!$AO$5:$AO$5002,0)))</f>
        <v>S99-MAT</v>
      </c>
      <c r="M1400" s="39">
        <v>1120</v>
      </c>
      <c r="N1400" s="39">
        <v>4000</v>
      </c>
      <c r="O1400" s="156">
        <v>12</v>
      </c>
      <c r="P1400" s="47">
        <v>3</v>
      </c>
      <c r="Q1400" s="213">
        <v>45268</v>
      </c>
      <c r="R1400" s="271">
        <f ca="1">IF(D1400="","",IF(OFFSET(D1400,-1,0)&lt;&gt;"","",IF(OR(J1400="リード付け",J1400="巻足し",J1400="巻返しリード付け"),M1400,VLOOKUP(D1400,契約台帳!$A$3:$N$4986,14,FALSE))))</f>
        <v>1120</v>
      </c>
      <c r="S1400" s="272">
        <f ca="1">IF(D1400="","",IF(OFFSET(D1400,-1,0)&lt;&gt;"","",IF(OR(J1400="リード付け",J1400="巻足し",J1400="巻返しリード付け"),M1400,VLOOKUP(D1400,契約台帳!$A$3:$O$4986,15,FALSE))))</f>
        <v>1120</v>
      </c>
      <c r="T1400" s="273">
        <f ca="1">IF(D1400="","",IF(J1400="リード付け",N1400,IF(J1400="巻返しリード付け",N1400,IF(J1400="巻足し",N1400*P1400+OFFSET(N1400,1,0)*OFFSET(P1400,1,0),VLOOKUP(D1400,契約台帳!$A$3:$P$4986,16,FALSE)))))</f>
        <v>12000</v>
      </c>
      <c r="U1400" s="40">
        <v>4</v>
      </c>
      <c r="V1400" s="274">
        <f ca="1">IF(D1400="","",IF(OFFSET(D1400,-2,0)=D1400,"",VLOOKUP(D1400,契約台帳!$A$3:$R$4986,18,FALSE)))</f>
        <v>15</v>
      </c>
      <c r="W1400" s="269" t="str">
        <f ca="1">IF(D1400="","",IF(T1400="","",IF(OR(J1400="巻足し",J1400="巻返しリード付け"),"",IF(J1400="巻返し",VLOOKUP(F1400&amp;K1400&amp;M1400,製品マスタ!$M$5:$AD$5002,18,FALSE),IF(OR(J1400="リード付け",J1400="巻返しリード付け"),"原反コア",IF(J1400="スリット",VLOOKUP(F1400&amp;K1400&amp;R1400,製品マスタ!$N$5:$AD$5002,17,FALSE),""))))))</f>
        <v/>
      </c>
      <c r="X1400" s="269" t="str">
        <f ca="1">IF(D1400="","",IF(T1400="","",IF(J1400="巻足し","",IF(J1400="巻返し",VLOOKUP(F1400&amp;K1400&amp;M1400,製品マスタ!$M$5:$AE$5002,19,FALSE),IF(OR(J1400="リード付け",J1400="巻返しリード付け"),"",IF(J1400="スリット",VLOOKUP(F1400&amp;K1400&amp;R1400,製品マスタ!$N$5:$AE$5002,18,FALSE),""))))))</f>
        <v/>
      </c>
      <c r="Y1400" s="275">
        <f ca="1">IF(D1400="","",IF(T1400="","",VLOOKUP(D1400,契約台帳!$A$3:$Q$4986,17,FALSE)))</f>
        <v>2</v>
      </c>
      <c r="Z1400" s="269" t="str">
        <f ca="1">IF(D1400="","",IF(T1400="","",VLOOKUP(D1400,契約台帳!$A$3:$E$4986,5,FALSE)))</f>
        <v>リンテック㈱</v>
      </c>
      <c r="AA1400" s="57"/>
      <c r="AB1400" s="207">
        <f>IFERROR((VLOOKUP(F1400&amp;K1400&amp;M1400,製品マスタ!$M$5:$AM$5002,27,FALSE)),"")</f>
        <v>0</v>
      </c>
      <c r="AC1400" s="33"/>
      <c r="AD1400" s="189"/>
      <c r="AE1400" s="54"/>
      <c r="AF1400" s="55">
        <f>+M1400*N1400*O1400/1000</f>
        <v>53760</v>
      </c>
      <c r="AG1400" s="43"/>
      <c r="AH1400" s="47"/>
      <c r="AI1400" s="30"/>
      <c r="AJ1400" s="30"/>
      <c r="AK1400" s="30"/>
      <c r="AL1400" s="30"/>
      <c r="AM1400" s="13"/>
      <c r="AN1400" s="13"/>
      <c r="AO1400" s="13"/>
      <c r="AP1400" s="13"/>
      <c r="AQ1400" s="13"/>
      <c r="AR1400" s="14"/>
      <c r="AS1400" s="15"/>
    </row>
    <row r="1401" spans="1:45" s="17" customFormat="1" ht="30.95" hidden="1" customHeight="1" x14ac:dyDescent="0.2">
      <c r="A1401" s="37"/>
      <c r="B1401" s="38"/>
      <c r="C1401" s="45"/>
      <c r="D1401" s="31"/>
      <c r="E1401" s="31"/>
      <c r="F1401" s="268"/>
      <c r="G1401" s="269"/>
      <c r="H1401" s="269"/>
      <c r="I1401" s="270"/>
      <c r="J1401" s="210"/>
      <c r="K1401" s="270"/>
      <c r="L1401" s="270"/>
      <c r="M1401" s="39"/>
      <c r="N1401" s="39"/>
      <c r="O1401" s="156"/>
      <c r="P1401" s="47"/>
      <c r="Q1401" s="57"/>
      <c r="R1401" s="338"/>
      <c r="S1401" s="272"/>
      <c r="T1401" s="273"/>
      <c r="U1401" s="40"/>
      <c r="V1401" s="277"/>
      <c r="W1401" s="269"/>
      <c r="X1401" s="269"/>
      <c r="Y1401" s="275"/>
      <c r="Z1401" s="269"/>
      <c r="AA1401" s="57"/>
      <c r="AB1401" s="207"/>
      <c r="AC1401" s="33"/>
      <c r="AD1401" s="189"/>
      <c r="AE1401" s="54"/>
      <c r="AF1401" s="55"/>
      <c r="AG1401" s="43"/>
      <c r="AH1401" s="47"/>
      <c r="AI1401" s="30"/>
      <c r="AJ1401" s="30"/>
      <c r="AK1401" s="30"/>
      <c r="AL1401" s="30"/>
      <c r="AM1401" s="13"/>
      <c r="AN1401" s="13"/>
      <c r="AO1401" s="13"/>
      <c r="AP1401" s="13"/>
      <c r="AQ1401" s="13"/>
      <c r="AR1401" s="14"/>
      <c r="AS1401" s="15"/>
    </row>
    <row r="1402" spans="1:45" s="17" customFormat="1" ht="30.95" hidden="1" customHeight="1" x14ac:dyDescent="0.2">
      <c r="A1402" s="37" t="s">
        <v>1826</v>
      </c>
      <c r="B1402" s="38" t="s">
        <v>1827</v>
      </c>
      <c r="C1402" s="45"/>
      <c r="D1402" s="31"/>
      <c r="E1402" s="31"/>
      <c r="F1402" s="268"/>
      <c r="G1402" s="269"/>
      <c r="H1402" s="269"/>
      <c r="I1402" s="270"/>
      <c r="J1402" s="210" t="s">
        <v>448</v>
      </c>
      <c r="K1402" s="270"/>
      <c r="L1402" s="270"/>
      <c r="M1402" s="39"/>
      <c r="N1402" s="39"/>
      <c r="O1402" s="156"/>
      <c r="P1402" s="47"/>
      <c r="Q1402" s="57"/>
      <c r="R1402" s="338"/>
      <c r="S1402" s="272"/>
      <c r="T1402" s="273"/>
      <c r="U1402" s="40"/>
      <c r="V1402" s="277"/>
      <c r="W1402" s="269"/>
      <c r="X1402" s="269"/>
      <c r="Y1402" s="275"/>
      <c r="Z1402" s="269"/>
      <c r="AA1402" s="57"/>
      <c r="AB1402" s="207"/>
      <c r="AC1402" s="33"/>
      <c r="AD1402" s="189"/>
      <c r="AE1402" s="54"/>
      <c r="AF1402" s="55"/>
      <c r="AG1402" s="43"/>
      <c r="AH1402" s="47"/>
      <c r="AI1402" s="30"/>
      <c r="AJ1402" s="30"/>
      <c r="AK1402" s="30"/>
      <c r="AL1402" s="30"/>
      <c r="AM1402" s="13"/>
      <c r="AN1402" s="13"/>
      <c r="AO1402" s="13"/>
      <c r="AP1402" s="13"/>
      <c r="AQ1402" s="13"/>
      <c r="AR1402" s="14"/>
      <c r="AS1402" s="15"/>
    </row>
    <row r="1403" spans="1:45" s="17" customFormat="1" ht="30.95" hidden="1" customHeight="1" x14ac:dyDescent="0.2">
      <c r="A1403" s="37"/>
      <c r="B1403" s="38"/>
      <c r="C1403" s="45"/>
      <c r="D1403" s="31"/>
      <c r="E1403" s="31"/>
      <c r="F1403" s="268"/>
      <c r="G1403" s="269"/>
      <c r="H1403" s="269"/>
      <c r="I1403" s="270"/>
      <c r="J1403" s="210"/>
      <c r="K1403" s="270"/>
      <c r="L1403" s="270"/>
      <c r="M1403" s="39"/>
      <c r="N1403" s="39"/>
      <c r="O1403" s="156"/>
      <c r="P1403" s="47"/>
      <c r="Q1403" s="57"/>
      <c r="R1403" s="338"/>
      <c r="S1403" s="272"/>
      <c r="T1403" s="273"/>
      <c r="U1403" s="40"/>
      <c r="V1403" s="277"/>
      <c r="W1403" s="269"/>
      <c r="X1403" s="269"/>
      <c r="Y1403" s="275"/>
      <c r="Z1403" s="269"/>
      <c r="AA1403" s="57"/>
      <c r="AB1403" s="207"/>
      <c r="AC1403" s="33"/>
      <c r="AD1403" s="189"/>
      <c r="AE1403" s="54"/>
      <c r="AF1403" s="55"/>
      <c r="AG1403" s="43"/>
      <c r="AH1403" s="47"/>
      <c r="AI1403" s="30"/>
      <c r="AJ1403" s="30"/>
      <c r="AK1403" s="30"/>
      <c r="AL1403" s="30"/>
      <c r="AM1403" s="13"/>
      <c r="AN1403" s="13"/>
      <c r="AO1403" s="13"/>
      <c r="AP1403" s="13"/>
      <c r="AQ1403" s="13"/>
      <c r="AR1403" s="14"/>
      <c r="AS1403" s="15"/>
    </row>
    <row r="1404" spans="1:45" s="17" customFormat="1" ht="30.95" hidden="1" customHeight="1" x14ac:dyDescent="0.2">
      <c r="A1404" s="37" t="s">
        <v>1828</v>
      </c>
      <c r="B1404" s="38" t="s">
        <v>1829</v>
      </c>
      <c r="C1404" s="45"/>
      <c r="D1404" s="31"/>
      <c r="E1404" s="31"/>
      <c r="F1404" s="268"/>
      <c r="G1404" s="269"/>
      <c r="H1404" s="269"/>
      <c r="I1404" s="270"/>
      <c r="J1404" s="210" t="s">
        <v>448</v>
      </c>
      <c r="K1404" s="270"/>
      <c r="L1404" s="270"/>
      <c r="M1404" s="39"/>
      <c r="N1404" s="39"/>
      <c r="O1404" s="156"/>
      <c r="P1404" s="47"/>
      <c r="Q1404" s="57"/>
      <c r="R1404" s="338"/>
      <c r="S1404" s="272"/>
      <c r="T1404" s="273"/>
      <c r="U1404" s="40"/>
      <c r="V1404" s="277"/>
      <c r="W1404" s="269"/>
      <c r="X1404" s="269"/>
      <c r="Y1404" s="275"/>
      <c r="Z1404" s="269"/>
      <c r="AA1404" s="57"/>
      <c r="AB1404" s="207"/>
      <c r="AC1404" s="33"/>
      <c r="AD1404" s="189"/>
      <c r="AE1404" s="54"/>
      <c r="AF1404" s="55"/>
      <c r="AG1404" s="43"/>
      <c r="AH1404" s="47"/>
      <c r="AI1404" s="30"/>
      <c r="AJ1404" s="30"/>
      <c r="AK1404" s="30"/>
      <c r="AL1404" s="30"/>
      <c r="AM1404" s="13"/>
      <c r="AN1404" s="13"/>
      <c r="AO1404" s="13"/>
      <c r="AP1404" s="13"/>
      <c r="AQ1404" s="13"/>
      <c r="AR1404" s="14"/>
      <c r="AS1404" s="15"/>
    </row>
    <row r="1405" spans="1:45" s="17" customFormat="1" ht="30.95" hidden="1" customHeight="1" x14ac:dyDescent="0.2">
      <c r="A1405" s="37"/>
      <c r="B1405" s="38"/>
      <c r="C1405" s="45"/>
      <c r="D1405" s="31"/>
      <c r="E1405" s="31"/>
      <c r="F1405" s="268"/>
      <c r="G1405" s="269"/>
      <c r="H1405" s="269"/>
      <c r="I1405" s="270"/>
      <c r="J1405" s="210"/>
      <c r="K1405" s="270"/>
      <c r="L1405" s="270"/>
      <c r="M1405" s="39"/>
      <c r="N1405" s="39"/>
      <c r="O1405" s="156"/>
      <c r="P1405" s="47"/>
      <c r="Q1405" s="57"/>
      <c r="R1405" s="338"/>
      <c r="S1405" s="272"/>
      <c r="T1405" s="273"/>
      <c r="U1405" s="40"/>
      <c r="V1405" s="277"/>
      <c r="W1405" s="269"/>
      <c r="X1405" s="269"/>
      <c r="Y1405" s="275"/>
      <c r="Z1405" s="269"/>
      <c r="AA1405" s="57"/>
      <c r="AB1405" s="207"/>
      <c r="AC1405" s="33"/>
      <c r="AD1405" s="189"/>
      <c r="AE1405" s="54"/>
      <c r="AF1405" s="55"/>
      <c r="AG1405" s="43"/>
      <c r="AH1405" s="47"/>
      <c r="AI1405" s="30"/>
      <c r="AJ1405" s="30"/>
      <c r="AK1405" s="30"/>
      <c r="AL1405" s="30"/>
      <c r="AM1405" s="13"/>
      <c r="AN1405" s="13"/>
      <c r="AO1405" s="13"/>
      <c r="AP1405" s="13"/>
      <c r="AQ1405" s="13"/>
      <c r="AR1405" s="14"/>
      <c r="AS1405" s="15"/>
    </row>
    <row r="1406" spans="1:45" s="17" customFormat="1" ht="30.95" hidden="1" customHeight="1" x14ac:dyDescent="0.2">
      <c r="A1406" s="37" t="s">
        <v>1830</v>
      </c>
      <c r="B1406" s="38" t="s">
        <v>1831</v>
      </c>
      <c r="C1406" s="45"/>
      <c r="D1406" s="31">
        <v>3735108</v>
      </c>
      <c r="E1406" s="31">
        <v>4162161</v>
      </c>
      <c r="F1406" s="268" t="str">
        <f>IF(D1406="","",VLOOKUP(D1406,契約台帳!$A$3:$K$4986,6,FALSE)&amp;VLOOKUP(D1406,契約台帳!$A$3:$K$4986,7,FALSE)&amp;VLOOKUP(D1406,契約台帳!$A$3:$K$4986,8,FALSE)&amp;VLOOKUP(D1406,契約台帳!$A$3:$K$4986,9,FALSE)&amp;VLOOKUP(D1406,契約台帳!$A$3:$K$4986,11,FALSE))</f>
        <v>3SNMLBMNGKKBF</v>
      </c>
      <c r="G1406" s="269" t="str">
        <f>IF(D1406="","",VLOOKUP(F1406,製品マスタ!$G$5:$H$5002,2,FALSE))</f>
        <v>S</v>
      </c>
      <c r="H1406" s="269" t="str">
        <f>IF(D1406="","",VLOOKUP(F1406,製品マスタ!$G$5:$K$5002,5,FALSE))</f>
        <v>MNGKKBF</v>
      </c>
      <c r="I1406" s="270" t="str">
        <f>IF(D1406="","",VLOOKUP(F1406,製品マスタ!$G$5:$L$5002,6,FALSE))</f>
        <v>メタルミー　ネーマー銀消改　Ｂ</v>
      </c>
      <c r="J1406" s="210" t="s">
        <v>935</v>
      </c>
      <c r="K1406" s="270">
        <f>IF(D1406="","",VLOOKUP(D1406,契約台帳!$A$3:$L$4986,12,FALSE))</f>
        <v>50</v>
      </c>
      <c r="L1406" s="270" t="str">
        <f>IF(D1406="","",INDEX(製品マスタ!$Q$5:$Q$5002,MATCH('S4'!F1406&amp;'S4'!K1406,製品マスタ!$AO$5:$AO$5002,0)))</f>
        <v>S99-MAT</v>
      </c>
      <c r="M1406" s="39">
        <v>1120</v>
      </c>
      <c r="N1406" s="39">
        <v>4000</v>
      </c>
      <c r="O1406" s="156">
        <v>3</v>
      </c>
      <c r="P1406" s="47">
        <v>3</v>
      </c>
      <c r="Q1406" s="213">
        <v>45268</v>
      </c>
      <c r="R1406" s="271">
        <f ca="1">IF(D1406="","",IF(OFFSET(D1406,-1,0)&lt;&gt;"","",IF(OR(J1406="リード付け",J1406="巻足し",J1406="巻返しリード付け"),M1406,VLOOKUP(D1406,契約台帳!$A$3:$N$4986,14,FALSE))))</f>
        <v>1120</v>
      </c>
      <c r="S1406" s="272">
        <f ca="1">IF(D1406="","",IF(OFFSET(D1406,-1,0)&lt;&gt;"","",IF(OR(J1406="リード付け",J1406="巻足し",J1406="巻返しリード付け"),M1406,VLOOKUP(D1406,契約台帳!$A$3:$O$4986,15,FALSE))))</f>
        <v>1120</v>
      </c>
      <c r="T1406" s="273">
        <f ca="1">IF(D1406="","",IF(J1406="リード付け",N1406,IF(J1406="巻返しリード付け",N1406,IF(J1406="巻足し",N1406*P1406+OFFSET(N1406,1,0)*OFFSET(P1406,1,0),VLOOKUP(D1406,契約台帳!$A$3:$P$4986,16,FALSE)))))</f>
        <v>12000</v>
      </c>
      <c r="U1406" s="40">
        <v>1</v>
      </c>
      <c r="V1406" s="274">
        <f ca="1">IF(D1406="","",IF(OFFSET(D1406,-2,0)=D1406,"",VLOOKUP(D1406,契約台帳!$A$3:$R$4986,18,FALSE)))</f>
        <v>15</v>
      </c>
      <c r="W1406" s="269" t="str">
        <f ca="1">IF(D1406="","",IF(T1406="","",IF(OR(J1406="巻足し",J1406="巻返しリード付け"),"",IF(J1406="巻返し",VLOOKUP(F1406&amp;K1406&amp;M1406,製品マスタ!$M$5:$AD$5002,18,FALSE),IF(OR(J1406="リード付け",J1406="巻返しリード付け"),"原反コア",IF(J1406="スリット",VLOOKUP(F1406&amp;K1406&amp;R1406,製品マスタ!$N$5:$AD$5002,17,FALSE),""))))))</f>
        <v/>
      </c>
      <c r="X1406" s="269" t="str">
        <f ca="1">IF(D1406="","",IF(T1406="","",IF(J1406="巻足し","",IF(J1406="巻返し",VLOOKUP(F1406&amp;K1406&amp;M1406,製品マスタ!$M$5:$AE$5002,19,FALSE),IF(OR(J1406="リード付け",J1406="巻返しリード付け"),"",IF(J1406="スリット",VLOOKUP(F1406&amp;K1406&amp;R1406,製品マスタ!$N$5:$AE$5002,18,FALSE),""))))))</f>
        <v/>
      </c>
      <c r="Y1406" s="275">
        <f ca="1">IF(D1406="","",IF(T1406="","",VLOOKUP(D1406,契約台帳!$A$3:$Q$4986,17,FALSE)))</f>
        <v>2</v>
      </c>
      <c r="Z1406" s="269" t="str">
        <f ca="1">IF(D1406="","",IF(T1406="","",VLOOKUP(D1406,契約台帳!$A$3:$E$4986,5,FALSE)))</f>
        <v>リンテック㈱</v>
      </c>
      <c r="AA1406" s="57"/>
      <c r="AB1406" s="207">
        <f>IFERROR((VLOOKUP(F1406&amp;K1406&amp;M1406,製品マスタ!$M$5:$AM$5002,27,FALSE)),"")</f>
        <v>0</v>
      </c>
      <c r="AC1406" s="33"/>
      <c r="AD1406" s="189"/>
      <c r="AE1406" s="54"/>
      <c r="AF1406" s="55">
        <f>+M1406*N1406*O1406/1000</f>
        <v>13440</v>
      </c>
      <c r="AG1406" s="43"/>
      <c r="AH1406" s="47"/>
      <c r="AI1406" s="30"/>
      <c r="AJ1406" s="30"/>
      <c r="AK1406" s="30"/>
      <c r="AL1406" s="30"/>
      <c r="AM1406" s="13"/>
      <c r="AN1406" s="13"/>
      <c r="AO1406" s="13"/>
      <c r="AP1406" s="13"/>
      <c r="AQ1406" s="13"/>
      <c r="AR1406" s="14"/>
      <c r="AS1406" s="15"/>
    </row>
    <row r="1407" spans="1:45" s="17" customFormat="1" ht="30.95" hidden="1" customHeight="1" x14ac:dyDescent="0.2">
      <c r="A1407" s="37"/>
      <c r="B1407" s="38"/>
      <c r="C1407" s="45"/>
      <c r="D1407" s="31"/>
      <c r="E1407" s="31"/>
      <c r="F1407" s="268"/>
      <c r="G1407" s="269"/>
      <c r="H1407" s="269"/>
      <c r="I1407" s="270"/>
      <c r="J1407" s="210"/>
      <c r="K1407" s="270"/>
      <c r="L1407" s="270"/>
      <c r="M1407" s="39"/>
      <c r="N1407" s="39"/>
      <c r="O1407" s="156"/>
      <c r="P1407" s="47"/>
      <c r="Q1407" s="57"/>
      <c r="R1407" s="338"/>
      <c r="S1407" s="272"/>
      <c r="T1407" s="273"/>
      <c r="U1407" s="40"/>
      <c r="V1407" s="277"/>
      <c r="W1407" s="269"/>
      <c r="X1407" s="269"/>
      <c r="Y1407" s="275"/>
      <c r="Z1407" s="269"/>
      <c r="AA1407" s="57"/>
      <c r="AB1407" s="207"/>
      <c r="AC1407" s="33"/>
      <c r="AD1407" s="189"/>
      <c r="AE1407" s="54"/>
      <c r="AF1407" s="55"/>
      <c r="AG1407" s="43"/>
      <c r="AH1407" s="47"/>
      <c r="AI1407" s="30"/>
      <c r="AJ1407" s="30"/>
      <c r="AK1407" s="30"/>
      <c r="AL1407" s="30"/>
      <c r="AM1407" s="13"/>
      <c r="AN1407" s="13"/>
      <c r="AO1407" s="13"/>
      <c r="AP1407" s="13"/>
      <c r="AQ1407" s="13"/>
      <c r="AR1407" s="14"/>
      <c r="AS1407" s="15"/>
    </row>
    <row r="1408" spans="1:45" s="17" customFormat="1" ht="30.95" hidden="1" customHeight="1" x14ac:dyDescent="0.2">
      <c r="A1408" s="37"/>
      <c r="B1408" s="38"/>
      <c r="C1408" s="45"/>
      <c r="D1408" s="31">
        <v>3735112</v>
      </c>
      <c r="E1408" s="31">
        <v>4162156</v>
      </c>
      <c r="F1408" s="268" t="str">
        <f>IF(D1408="","",VLOOKUP(D1408,契約台帳!$A$3:$K$4986,6,FALSE)&amp;VLOOKUP(D1408,契約台帳!$A$3:$K$4986,7,FALSE)&amp;VLOOKUP(D1408,契約台帳!$A$3:$K$4986,8,FALSE)&amp;VLOOKUP(D1408,契約台帳!$A$3:$K$4986,9,FALSE)&amp;VLOOKUP(D1408,契約台帳!$A$3:$K$4986,11,FALSE))</f>
        <v>3SNMLBMNGKBF</v>
      </c>
      <c r="G1408" s="269" t="str">
        <f>IF(D1408="","",VLOOKUP(F1408,製品マスタ!$G$5:$H$5002,2,FALSE))</f>
        <v>S</v>
      </c>
      <c r="H1408" s="269" t="str">
        <f>IF(D1408="","",VLOOKUP(F1408,製品マスタ!$G$5:$K$5002,5,FALSE))</f>
        <v>MNGKBF</v>
      </c>
      <c r="I1408" s="270" t="str">
        <f>IF(D1408="","",VLOOKUP(F1408,製品マスタ!$G$5:$L$5002,6,FALSE))</f>
        <v>メタルミー　ネーマー銀消　Ｂ</v>
      </c>
      <c r="J1408" s="210" t="s">
        <v>935</v>
      </c>
      <c r="K1408" s="270">
        <f>IF(D1408="","",VLOOKUP(D1408,契約台帳!$A$3:$L$4986,12,FALSE))</f>
        <v>75</v>
      </c>
      <c r="L1408" s="270" t="str">
        <f>IF(D1408="","",INDEX(製品マスタ!$Q$5:$Q$5002,MATCH('S4'!F1408&amp;'S4'!K1408,製品マスタ!$AO$5:$AO$5002,0)))</f>
        <v>MAT</v>
      </c>
      <c r="M1408" s="39">
        <v>1050</v>
      </c>
      <c r="N1408" s="39">
        <v>2000</v>
      </c>
      <c r="O1408" s="156">
        <v>2</v>
      </c>
      <c r="P1408" s="47">
        <v>2</v>
      </c>
      <c r="Q1408" s="213">
        <v>45271</v>
      </c>
      <c r="R1408" s="271">
        <f ca="1">IF(D1408="","",IF(OFFSET(D1408,-1,0)&lt;&gt;"","",IF(OR(J1408="リード付け",J1408="巻足し",J1408="巻返しリード付け"),M1408,VLOOKUP(D1408,契約台帳!$A$3:$N$4986,14,FALSE))))</f>
        <v>1050</v>
      </c>
      <c r="S1408" s="272">
        <f ca="1">IF(D1408="","",IF(OFFSET(D1408,-1,0)&lt;&gt;"","",IF(OR(J1408="リード付け",J1408="巻足し",J1408="巻返しリード付け"),M1408,VLOOKUP(D1408,契約台帳!$A$3:$O$4986,15,FALSE))))</f>
        <v>1050</v>
      </c>
      <c r="T1408" s="273">
        <f ca="1">IF(D1408="","",IF(J1408="リード付け",N1408,IF(J1408="巻返しリード付け",N1408,IF(J1408="巻足し",N1408*P1408+OFFSET(N1408,1,0)*OFFSET(P1408,1,0),VLOOKUP(D1408,契約台帳!$A$3:$P$4986,16,FALSE)))))</f>
        <v>4000</v>
      </c>
      <c r="U1408" s="40">
        <v>1</v>
      </c>
      <c r="V1408" s="274">
        <f ca="1">IF(D1408="","",IF(OFFSET(D1408,-2,0)=D1408,"",VLOOKUP(D1408,契約台帳!$A$3:$R$4986,18,FALSE)))</f>
        <v>2</v>
      </c>
      <c r="W1408" s="269" t="str">
        <f ca="1">IF(D1408="","",IF(T1408="","",IF(OR(J1408="巻足し",J1408="巻返しリード付け"),"",IF(J1408="巻返し",VLOOKUP(F1408&amp;K1408&amp;M1408,製品マスタ!$M$5:$AD$5002,18,FALSE),IF(OR(J1408="リード付け",J1408="巻返しリード付け"),"原反コア",IF(J1408="スリット",VLOOKUP(F1408&amp;K1408&amp;R1408,製品マスタ!$N$5:$AD$5002,17,FALSE),""))))))</f>
        <v/>
      </c>
      <c r="X1408" s="269" t="str">
        <f ca="1">IF(D1408="","",IF(T1408="","",IF(J1408="巻足し","",IF(J1408="巻返し",VLOOKUP(F1408&amp;K1408&amp;M1408,製品マスタ!$M$5:$AE$5002,19,FALSE),IF(OR(J1408="リード付け",J1408="巻返しリード付け"),"",IF(J1408="スリット",VLOOKUP(F1408&amp;K1408&amp;R1408,製品マスタ!$N$5:$AE$5002,18,FALSE),""))))))</f>
        <v/>
      </c>
      <c r="Y1408" s="275">
        <f ca="1">IF(D1408="","",IF(T1408="","",VLOOKUP(D1408,契約台帳!$A$3:$Q$4986,17,FALSE)))</f>
        <v>2</v>
      </c>
      <c r="Z1408" s="269" t="str">
        <f ca="1">IF(D1408="","",IF(T1408="","",VLOOKUP(D1408,契約台帳!$A$3:$E$4986,5,FALSE)))</f>
        <v>リンテック㈱</v>
      </c>
      <c r="AA1408" s="57"/>
      <c r="AB1408" s="207">
        <f>IFERROR((VLOOKUP(F1408&amp;K1408&amp;M1408,製品マスタ!$M$5:$AM$5002,27,FALSE)),"")</f>
        <v>0</v>
      </c>
      <c r="AC1408" s="33"/>
      <c r="AD1408" s="189"/>
      <c r="AE1408" s="54"/>
      <c r="AF1408" s="55">
        <f>+M1408*N1408*O1408/1000</f>
        <v>4200</v>
      </c>
      <c r="AG1408" s="43"/>
      <c r="AH1408" s="47"/>
      <c r="AI1408" s="30"/>
      <c r="AJ1408" s="30"/>
      <c r="AK1408" s="30"/>
      <c r="AL1408" s="30"/>
      <c r="AM1408" s="13"/>
      <c r="AN1408" s="13"/>
      <c r="AO1408" s="13"/>
      <c r="AP1408" s="13"/>
      <c r="AQ1408" s="13"/>
      <c r="AR1408" s="14"/>
      <c r="AS1408" s="15"/>
    </row>
    <row r="1409" spans="1:45" s="17" customFormat="1" ht="30.95" hidden="1" customHeight="1" x14ac:dyDescent="0.2">
      <c r="A1409" s="37"/>
      <c r="B1409" s="38"/>
      <c r="C1409" s="45"/>
      <c r="D1409" s="31"/>
      <c r="E1409" s="31"/>
      <c r="F1409" s="268"/>
      <c r="G1409" s="269"/>
      <c r="H1409" s="269"/>
      <c r="I1409" s="270"/>
      <c r="J1409" s="210"/>
      <c r="K1409" s="270"/>
      <c r="L1409" s="270"/>
      <c r="M1409" s="39"/>
      <c r="N1409" s="39"/>
      <c r="O1409" s="156"/>
      <c r="P1409" s="47"/>
      <c r="Q1409" s="57"/>
      <c r="R1409" s="338"/>
      <c r="S1409" s="272"/>
      <c r="T1409" s="273"/>
      <c r="U1409" s="40"/>
      <c r="V1409" s="277"/>
      <c r="W1409" s="269"/>
      <c r="X1409" s="269"/>
      <c r="Y1409" s="275"/>
      <c r="Z1409" s="269"/>
      <c r="AA1409" s="57"/>
      <c r="AB1409" s="207"/>
      <c r="AC1409" s="33"/>
      <c r="AD1409" s="189"/>
      <c r="AE1409" s="54"/>
      <c r="AF1409" s="55"/>
      <c r="AG1409" s="43"/>
      <c r="AH1409" s="47"/>
      <c r="AI1409" s="30"/>
      <c r="AJ1409" s="30"/>
      <c r="AK1409" s="30"/>
      <c r="AL1409" s="30"/>
      <c r="AM1409" s="13"/>
      <c r="AN1409" s="13"/>
      <c r="AO1409" s="13"/>
      <c r="AP1409" s="13"/>
      <c r="AQ1409" s="13"/>
      <c r="AR1409" s="14"/>
      <c r="AS1409" s="15"/>
    </row>
    <row r="1410" spans="1:45" s="17" customFormat="1" ht="30.6" hidden="1" customHeight="1" x14ac:dyDescent="0.2">
      <c r="A1410" s="37"/>
      <c r="B1410" s="38"/>
      <c r="C1410" s="45"/>
      <c r="D1410" s="31">
        <v>3735104</v>
      </c>
      <c r="E1410" s="31">
        <v>4162157</v>
      </c>
      <c r="F1410" s="268" t="str">
        <f>IF(D1410="","",VLOOKUP(D1410,契約台帳!$A$3:$K$4986,6,FALSE)&amp;VLOOKUP(D1410,契約台帳!$A$3:$K$4986,7,FALSE)&amp;VLOOKUP(D1410,契約台帳!$A$3:$K$4986,8,FALSE)&amp;VLOOKUP(D1410,契約台帳!$A$3:$K$4986,9,FALSE)&amp;VLOOKUP(D1410,契約台帳!$A$3:$K$4986,11,FALSE))</f>
        <v>3SNMLBMNGKKBF</v>
      </c>
      <c r="G1410" s="269" t="str">
        <f>IF(D1410="","",VLOOKUP(F1410,製品マスタ!$G$5:$H$5002,2,FALSE))</f>
        <v>S</v>
      </c>
      <c r="H1410" s="269" t="str">
        <f>IF(D1410="","",VLOOKUP(F1410,製品マスタ!$G$5:$K$5002,5,FALSE))</f>
        <v>MNGKKBF</v>
      </c>
      <c r="I1410" s="270" t="str">
        <f>IF(D1410="","",VLOOKUP(F1410,製品マスタ!$G$5:$L$5002,6,FALSE))</f>
        <v>メタルミー　ネーマー銀消改　Ｂ</v>
      </c>
      <c r="J1410" s="210" t="s">
        <v>935</v>
      </c>
      <c r="K1410" s="270">
        <f>IF(D1410="","",VLOOKUP(D1410,契約台帳!$A$3:$L$4986,12,FALSE))</f>
        <v>25</v>
      </c>
      <c r="L1410" s="270" t="str">
        <f>IF(D1410="","",INDEX(製品マスタ!$Q$5:$Q$5002,MATCH('S4'!F1410&amp;'S4'!K1410,製品マスタ!$AO$5:$AO$5002,0)))</f>
        <v>FMATS99</v>
      </c>
      <c r="M1410" s="39">
        <v>1000</v>
      </c>
      <c r="N1410" s="39">
        <v>4000</v>
      </c>
      <c r="O1410" s="156">
        <v>2</v>
      </c>
      <c r="P1410" s="47">
        <v>2</v>
      </c>
      <c r="Q1410" s="213">
        <v>45268</v>
      </c>
      <c r="R1410" s="271">
        <f ca="1">IF(D1410="","",IF(OFFSET(D1410,-1,0)&lt;&gt;"","",IF(OR(J1410="リード付け",J1410="巻足し",J1410="巻返しリード付け"),M1410,VLOOKUP(D1410,契約台帳!$A$3:$N$4986,14,FALSE))))</f>
        <v>1000</v>
      </c>
      <c r="S1410" s="272">
        <f ca="1">IF(D1410="","",IF(OFFSET(D1410,-1,0)&lt;&gt;"","",IF(OR(J1410="リード付け",J1410="巻足し",J1410="巻返しリード付け"),M1410,VLOOKUP(D1410,契約台帳!$A$3:$O$4986,15,FALSE))))</f>
        <v>1000</v>
      </c>
      <c r="T1410" s="273">
        <f ca="1">IF(D1410="","",IF(J1410="リード付け",N1410,IF(J1410="巻返しリード付け",N1410,IF(J1410="巻足し",N1410*P1410+OFFSET(N1410,1,0)*OFFSET(P1410,1,0),VLOOKUP(D1410,契約台帳!$A$3:$P$4986,16,FALSE)))))</f>
        <v>8000</v>
      </c>
      <c r="U1410" s="40">
        <v>1</v>
      </c>
      <c r="V1410" s="274">
        <f ca="1">IF(D1410="","",IF(OFFSET(D1410,-2,0)=D1410,"",VLOOKUP(D1410,契約台帳!$A$3:$R$4986,18,FALSE)))</f>
        <v>2</v>
      </c>
      <c r="W1410" s="269" t="str">
        <f ca="1">IF(D1410="","",IF(T1410="","",IF(OR(J1410="巻足し",J1410="巻返しリード付け"),"",IF(J1410="巻返し",VLOOKUP(F1410&amp;K1410&amp;M1410,製品マスタ!$M$5:$AD$5002,18,FALSE),IF(OR(J1410="リード付け",J1410="巻返しリード付け"),"原反コア",IF(J1410="スリット",VLOOKUP(F1410&amp;K1410&amp;R1410,製品マスタ!$N$5:$AD$5002,17,FALSE),""))))))</f>
        <v/>
      </c>
      <c r="X1410" s="269" t="str">
        <f ca="1">IF(D1410="","",IF(T1410="","",IF(J1410="巻足し","",IF(J1410="巻返し",VLOOKUP(F1410&amp;K1410&amp;M1410,製品マスタ!$M$5:$AE$5002,19,FALSE),IF(OR(J1410="リード付け",J1410="巻返しリード付け"),"",IF(J1410="スリット",VLOOKUP(F1410&amp;K1410&amp;R1410,製品マスタ!$N$5:$AE$5002,18,FALSE),""))))))</f>
        <v/>
      </c>
      <c r="Y1410" s="275">
        <f ca="1">IF(D1410="","",IF(T1410="","",VLOOKUP(D1410,契約台帳!$A$3:$Q$4986,17,FALSE)))</f>
        <v>2</v>
      </c>
      <c r="Z1410" s="269" t="str">
        <f ca="1">IF(D1410="","",IF(T1410="","",VLOOKUP(D1410,契約台帳!$A$3:$E$4986,5,FALSE)))</f>
        <v>リンテック㈱</v>
      </c>
      <c r="AA1410" s="57"/>
      <c r="AB1410" s="207">
        <f>IFERROR((VLOOKUP(F1410&amp;K1410&amp;M1410,製品マスタ!$M$5:$AM$5002,27,FALSE)),"")</f>
        <v>0</v>
      </c>
      <c r="AC1410" s="33"/>
      <c r="AD1410" s="189"/>
      <c r="AE1410" s="54"/>
      <c r="AF1410" s="55">
        <f>+M1410*N1410*O1410/1000</f>
        <v>8000</v>
      </c>
      <c r="AG1410" s="43"/>
      <c r="AH1410" s="47"/>
      <c r="AI1410" s="30"/>
      <c r="AJ1410" s="30"/>
      <c r="AK1410" s="30"/>
      <c r="AL1410" s="30"/>
      <c r="AM1410" s="13"/>
      <c r="AN1410" s="13"/>
      <c r="AO1410" s="13"/>
      <c r="AP1410" s="13"/>
      <c r="AQ1410" s="13"/>
      <c r="AR1410" s="14"/>
      <c r="AS1410" s="15"/>
    </row>
    <row r="1411" spans="1:45" s="17" customFormat="1" ht="30.95" hidden="1" customHeight="1" x14ac:dyDescent="0.2">
      <c r="A1411" s="37"/>
      <c r="B1411" s="38"/>
      <c r="C1411" s="45"/>
      <c r="D1411" s="31"/>
      <c r="E1411" s="31"/>
      <c r="F1411" s="268"/>
      <c r="G1411" s="269"/>
      <c r="H1411" s="269"/>
      <c r="I1411" s="270"/>
      <c r="J1411" s="210"/>
      <c r="K1411" s="270"/>
      <c r="L1411" s="270"/>
      <c r="M1411" s="39"/>
      <c r="N1411" s="39"/>
      <c r="O1411" s="156"/>
      <c r="P1411" s="47"/>
      <c r="Q1411" s="57"/>
      <c r="R1411" s="338"/>
      <c r="S1411" s="272"/>
      <c r="T1411" s="273"/>
      <c r="U1411" s="40"/>
      <c r="V1411" s="277"/>
      <c r="W1411" s="269"/>
      <c r="X1411" s="269"/>
      <c r="Y1411" s="275"/>
      <c r="Z1411" s="269"/>
      <c r="AA1411" s="57"/>
      <c r="AB1411" s="207"/>
      <c r="AC1411" s="33"/>
      <c r="AD1411" s="189"/>
      <c r="AE1411" s="54"/>
      <c r="AF1411" s="55"/>
      <c r="AG1411" s="43"/>
      <c r="AH1411" s="47"/>
      <c r="AI1411" s="30"/>
      <c r="AJ1411" s="30"/>
      <c r="AK1411" s="30"/>
      <c r="AL1411" s="30"/>
      <c r="AM1411" s="13"/>
      <c r="AN1411" s="13"/>
      <c r="AO1411" s="13"/>
      <c r="AP1411" s="13"/>
      <c r="AQ1411" s="13"/>
      <c r="AR1411" s="14"/>
      <c r="AS1411" s="15"/>
    </row>
    <row r="1412" spans="1:45" s="17" customFormat="1" ht="30.6" hidden="1" customHeight="1" x14ac:dyDescent="0.2">
      <c r="A1412" s="37"/>
      <c r="B1412" s="38"/>
      <c r="C1412" s="45"/>
      <c r="D1412" s="31">
        <v>3735106</v>
      </c>
      <c r="E1412" s="31">
        <v>4162159</v>
      </c>
      <c r="F1412" s="268" t="str">
        <f>IF(D1412="","",VLOOKUP(D1412,契約台帳!$A$3:$K$4986,6,FALSE)&amp;VLOOKUP(D1412,契約台帳!$A$3:$K$4986,7,FALSE)&amp;VLOOKUP(D1412,契約台帳!$A$3:$K$4986,8,FALSE)&amp;VLOOKUP(D1412,契約台帳!$A$3:$K$4986,9,FALSE)&amp;VLOOKUP(D1412,契約台帳!$A$3:$K$4986,11,FALSE))</f>
        <v>3SNMLBMNGKKBF</v>
      </c>
      <c r="G1412" s="269" t="str">
        <f>IF(D1412="","",VLOOKUP(F1412,製品マスタ!$G$5:$H$5002,2,FALSE))</f>
        <v>S</v>
      </c>
      <c r="H1412" s="269" t="str">
        <f>IF(D1412="","",VLOOKUP(F1412,製品マスタ!$G$5:$K$5002,5,FALSE))</f>
        <v>MNGKKBF</v>
      </c>
      <c r="I1412" s="270" t="str">
        <f>IF(D1412="","",VLOOKUP(F1412,製品マスタ!$G$5:$L$5002,6,FALSE))</f>
        <v>メタルミー　ネーマー銀消改　Ｂ</v>
      </c>
      <c r="J1412" s="210" t="s">
        <v>935</v>
      </c>
      <c r="K1412" s="270">
        <f>IF(D1412="","",VLOOKUP(D1412,契約台帳!$A$3:$L$4986,12,FALSE))</f>
        <v>50</v>
      </c>
      <c r="L1412" s="270" t="str">
        <f>IF(D1412="","",INDEX(製品マスタ!$Q$5:$Q$5002,MATCH('S4'!F1412&amp;'S4'!K1412,製品マスタ!$AO$5:$AO$5002,0)))</f>
        <v>S99-MAT</v>
      </c>
      <c r="M1412" s="39">
        <v>1000</v>
      </c>
      <c r="N1412" s="39">
        <v>4000</v>
      </c>
      <c r="O1412" s="156">
        <v>3</v>
      </c>
      <c r="P1412" s="47">
        <v>3</v>
      </c>
      <c r="Q1412" s="213">
        <v>45271</v>
      </c>
      <c r="R1412" s="271">
        <f ca="1">IF(D1412="","",IF(OFFSET(D1412,-1,0)&lt;&gt;"","",IF(OR(J1412="リード付け",J1412="巻足し",J1412="巻返しリード付け"),M1412,VLOOKUP(D1412,契約台帳!$A$3:$N$4986,14,FALSE))))</f>
        <v>1000</v>
      </c>
      <c r="S1412" s="272">
        <f ca="1">IF(D1412="","",IF(OFFSET(D1412,-1,0)&lt;&gt;"","",IF(OR(J1412="リード付け",J1412="巻足し",J1412="巻返しリード付け"),M1412,VLOOKUP(D1412,契約台帳!$A$3:$O$4986,15,FALSE))))</f>
        <v>1000</v>
      </c>
      <c r="T1412" s="273">
        <f ca="1">IF(D1412="","",IF(J1412="リード付け",N1412,IF(J1412="巻返しリード付け",N1412,IF(J1412="巻足し",N1412*P1412+OFFSET(N1412,1,0)*OFFSET(P1412,1,0),VLOOKUP(D1412,契約台帳!$A$3:$P$4986,16,FALSE)))))</f>
        <v>12000</v>
      </c>
      <c r="U1412" s="40">
        <v>1</v>
      </c>
      <c r="V1412" s="274">
        <f ca="1">IF(D1412="","",IF(OFFSET(D1412,-2,0)=D1412,"",VLOOKUP(D1412,契約台帳!$A$3:$R$4986,18,FALSE)))</f>
        <v>3</v>
      </c>
      <c r="W1412" s="269" t="str">
        <f ca="1">IF(D1412="","",IF(T1412="","",IF(OR(J1412="巻足し",J1412="巻返しリード付け"),"",IF(J1412="巻返し",VLOOKUP(F1412&amp;K1412&amp;M1412,製品マスタ!$M$5:$AD$5002,18,FALSE),IF(OR(J1412="リード付け",J1412="巻返しリード付け"),"原反コア",IF(J1412="スリット",VLOOKUP(F1412&amp;K1412&amp;R1412,製品マスタ!$N$5:$AD$5002,17,FALSE),""))))))</f>
        <v/>
      </c>
      <c r="X1412" s="269" t="str">
        <f ca="1">IF(D1412="","",IF(T1412="","",IF(J1412="巻足し","",IF(J1412="巻返し",VLOOKUP(F1412&amp;K1412&amp;M1412,製品マスタ!$M$5:$AE$5002,19,FALSE),IF(OR(J1412="リード付け",J1412="巻返しリード付け"),"",IF(J1412="スリット",VLOOKUP(F1412&amp;K1412&amp;R1412,製品マスタ!$N$5:$AE$5002,18,FALSE),""))))))</f>
        <v/>
      </c>
      <c r="Y1412" s="275">
        <f ca="1">IF(D1412="","",IF(T1412="","",VLOOKUP(D1412,契約台帳!$A$3:$Q$4986,17,FALSE)))</f>
        <v>2</v>
      </c>
      <c r="Z1412" s="269" t="str">
        <f ca="1">IF(D1412="","",IF(T1412="","",VLOOKUP(D1412,契約台帳!$A$3:$E$4986,5,FALSE)))</f>
        <v>リンテック㈱</v>
      </c>
      <c r="AA1412" s="57"/>
      <c r="AB1412" s="207">
        <f>IFERROR((VLOOKUP(F1412&amp;K1412&amp;M1412,製品マスタ!$M$5:$AM$5002,27,FALSE)),"")</f>
        <v>0</v>
      </c>
      <c r="AC1412" s="33"/>
      <c r="AD1412" s="189"/>
      <c r="AE1412" s="54"/>
      <c r="AF1412" s="55">
        <f>+M1412*N1412*O1412/1000</f>
        <v>12000</v>
      </c>
      <c r="AG1412" s="43"/>
      <c r="AH1412" s="47"/>
      <c r="AI1412" s="30"/>
      <c r="AJ1412" s="30"/>
      <c r="AK1412" s="30"/>
      <c r="AL1412" s="30"/>
      <c r="AM1412" s="13"/>
      <c r="AN1412" s="13"/>
      <c r="AO1412" s="13"/>
      <c r="AP1412" s="13"/>
      <c r="AQ1412" s="13"/>
      <c r="AR1412" s="14"/>
      <c r="AS1412" s="15"/>
    </row>
    <row r="1413" spans="1:45" s="17" customFormat="1" ht="30.95" hidden="1" customHeight="1" x14ac:dyDescent="0.2">
      <c r="A1413" s="37"/>
      <c r="B1413" s="38"/>
      <c r="C1413" s="45"/>
      <c r="D1413" s="31"/>
      <c r="E1413" s="31"/>
      <c r="F1413" s="268"/>
      <c r="G1413" s="269"/>
      <c r="H1413" s="269"/>
      <c r="I1413" s="270"/>
      <c r="J1413" s="210"/>
      <c r="K1413" s="270"/>
      <c r="L1413" s="270"/>
      <c r="M1413" s="39"/>
      <c r="N1413" s="39"/>
      <c r="O1413" s="156"/>
      <c r="P1413" s="47"/>
      <c r="Q1413" s="57"/>
      <c r="R1413" s="338"/>
      <c r="S1413" s="272"/>
      <c r="T1413" s="273"/>
      <c r="U1413" s="40"/>
      <c r="V1413" s="277"/>
      <c r="W1413" s="269"/>
      <c r="X1413" s="269"/>
      <c r="Y1413" s="275"/>
      <c r="Z1413" s="269"/>
      <c r="AA1413" s="57"/>
      <c r="AB1413" s="207"/>
      <c r="AC1413" s="33"/>
      <c r="AD1413" s="189"/>
      <c r="AE1413" s="54"/>
      <c r="AF1413" s="55"/>
      <c r="AG1413" s="43"/>
      <c r="AH1413" s="47"/>
      <c r="AI1413" s="30"/>
      <c r="AJ1413" s="30"/>
      <c r="AK1413" s="30"/>
      <c r="AL1413" s="30"/>
      <c r="AM1413" s="13"/>
      <c r="AN1413" s="13"/>
      <c r="AO1413" s="13"/>
      <c r="AP1413" s="13"/>
      <c r="AQ1413" s="13"/>
      <c r="AR1413" s="14"/>
      <c r="AS1413" s="15"/>
    </row>
    <row r="1414" spans="1:45" s="17" customFormat="1" ht="30.6" hidden="1" customHeight="1" x14ac:dyDescent="0.2">
      <c r="A1414" s="37"/>
      <c r="B1414" s="38"/>
      <c r="C1414" s="45"/>
      <c r="D1414" s="31">
        <v>3735113</v>
      </c>
      <c r="E1414" s="31">
        <v>4162170</v>
      </c>
      <c r="F1414" s="268" t="str">
        <f>IF(D1414="","",VLOOKUP(D1414,契約台帳!$A$3:$K$4986,6,FALSE)&amp;VLOOKUP(D1414,契約台帳!$A$3:$K$4986,7,FALSE)&amp;VLOOKUP(D1414,契約台帳!$A$3:$K$4986,8,FALSE)&amp;VLOOKUP(D1414,契約台帳!$A$3:$K$4986,9,FALSE)&amp;VLOOKUP(D1414,契約台帳!$A$3:$K$4986,11,FALSE))</f>
        <v>3SNMCLBNGKVB</v>
      </c>
      <c r="G1414" s="269" t="str">
        <f>IF(D1414="","",VLOOKUP(F1414,製品マスタ!$G$5:$H$5002,2,FALSE))</f>
        <v>S</v>
      </c>
      <c r="H1414" s="269" t="str">
        <f>IF(D1414="","",VLOOKUP(F1414,製品マスタ!$G$5:$K$5002,5,FALSE))</f>
        <v>NGKVB</v>
      </c>
      <c r="I1414" s="270" t="str">
        <f>IF(D1414="","",VLOOKUP(F1414,製品マスタ!$G$5:$L$5002,6,FALSE))</f>
        <v>メタルミー　ネーマー銀消　ＶＢ</v>
      </c>
      <c r="J1414" s="210" t="s">
        <v>935</v>
      </c>
      <c r="K1414" s="270">
        <f>IF(D1414="","",VLOOKUP(D1414,契約台帳!$A$3:$L$4986,12,FALSE))</f>
        <v>50</v>
      </c>
      <c r="L1414" s="270" t="str">
        <f>IF(D1414="","",INDEX(製品マスタ!$Q$5:$Q$5002,MATCH('S4'!F1414&amp;'S4'!K1414,製品マスタ!$AO$5:$AO$5002,0)))</f>
        <v>MAT</v>
      </c>
      <c r="M1414" s="39">
        <v>1005</v>
      </c>
      <c r="N1414" s="39">
        <v>4100</v>
      </c>
      <c r="O1414" s="156">
        <v>6</v>
      </c>
      <c r="P1414" s="47">
        <v>3</v>
      </c>
      <c r="Q1414" s="213">
        <v>45271</v>
      </c>
      <c r="R1414" s="271">
        <f ca="1">IF(D1414="","",IF(OFFSET(D1414,-1,0)&lt;&gt;"","",IF(OR(J1414="リード付け",J1414="巻足し",J1414="巻返しリード付け"),M1414,VLOOKUP(D1414,契約台帳!$A$3:$N$4986,14,FALSE))))</f>
        <v>1005</v>
      </c>
      <c r="S1414" s="272">
        <f ca="1">IF(D1414="","",IF(OFFSET(D1414,-1,0)&lt;&gt;"","",IF(OR(J1414="リード付け",J1414="巻足し",J1414="巻返しリード付け"),M1414,VLOOKUP(D1414,契約台帳!$A$3:$O$4986,15,FALSE))))</f>
        <v>1005</v>
      </c>
      <c r="T1414" s="273">
        <f ca="1">IF(D1414="","",IF(J1414="リード付け",N1414,IF(J1414="巻返しリード付け",N1414,IF(J1414="巻足し",N1414*P1414+OFFSET(N1414,1,0)*OFFSET(P1414,1,0),VLOOKUP(D1414,契約台帳!$A$3:$P$4986,16,FALSE)))))</f>
        <v>12300</v>
      </c>
      <c r="U1414" s="40">
        <v>2</v>
      </c>
      <c r="V1414" s="274">
        <f ca="1">IF(D1414="","",IF(OFFSET(D1414,-2,0)=D1414,"",VLOOKUP(D1414,契約台帳!$A$3:$R$4986,18,FALSE)))</f>
        <v>6</v>
      </c>
      <c r="W1414" s="269" t="str">
        <f ca="1">IF(D1414="","",IF(T1414="","",IF(OR(J1414="巻足し",J1414="巻返しリード付け"),"",IF(J1414="巻返し",VLOOKUP(F1414&amp;K1414&amp;M1414,製品マスタ!$M$5:$AD$5002,18,FALSE),IF(OR(J1414="リード付け",J1414="巻返しリード付け"),"原反コア",IF(J1414="スリット",VLOOKUP(F1414&amp;K1414&amp;R1414,製品マスタ!$N$5:$AD$5002,17,FALSE),""))))))</f>
        <v/>
      </c>
      <c r="X1414" s="269" t="str">
        <f ca="1">IF(D1414="","",IF(T1414="","",IF(J1414="巻足し","",IF(J1414="巻返し",VLOOKUP(F1414&amp;K1414&amp;M1414,製品マスタ!$M$5:$AE$5002,19,FALSE),IF(OR(J1414="リード付け",J1414="巻返しリード付け"),"",IF(J1414="スリット",VLOOKUP(F1414&amp;K1414&amp;R1414,製品マスタ!$N$5:$AE$5002,18,FALSE),""))))))</f>
        <v/>
      </c>
      <c r="Y1414" s="275">
        <f ca="1">IF(D1414="","",IF(T1414="","",VLOOKUP(D1414,契約台帳!$A$3:$Q$4986,17,FALSE)))</f>
        <v>2</v>
      </c>
      <c r="Z1414" s="269" t="str">
        <f ca="1">IF(D1414="","",IF(T1414="","",VLOOKUP(D1414,契約台帳!$A$3:$E$4986,5,FALSE)))</f>
        <v>リンテック㈱</v>
      </c>
      <c r="AA1414" s="57"/>
      <c r="AB1414" s="207">
        <f>IFERROR((VLOOKUP(F1414&amp;K1414&amp;M1414,製品マスタ!$M$5:$AM$5002,27,FALSE)),"")</f>
        <v>0</v>
      </c>
      <c r="AC1414" s="33"/>
      <c r="AD1414" s="189"/>
      <c r="AE1414" s="54"/>
      <c r="AF1414" s="55">
        <f>+M1414*N1414*O1414/1000</f>
        <v>24723</v>
      </c>
      <c r="AG1414" s="43"/>
      <c r="AH1414" s="47"/>
      <c r="AI1414" s="30"/>
      <c r="AJ1414" s="30"/>
      <c r="AK1414" s="30"/>
      <c r="AL1414" s="30"/>
      <c r="AM1414" s="13"/>
      <c r="AN1414" s="13"/>
      <c r="AO1414" s="13"/>
      <c r="AP1414" s="13"/>
      <c r="AQ1414" s="13"/>
      <c r="AR1414" s="14"/>
      <c r="AS1414" s="15"/>
    </row>
    <row r="1415" spans="1:45" s="17" customFormat="1" ht="30.95" hidden="1" customHeight="1" x14ac:dyDescent="0.2">
      <c r="A1415" s="37"/>
      <c r="B1415" s="38"/>
      <c r="C1415" s="45"/>
      <c r="D1415" s="31"/>
      <c r="E1415" s="31"/>
      <c r="F1415" s="268"/>
      <c r="G1415" s="269"/>
      <c r="H1415" s="269"/>
      <c r="I1415" s="270"/>
      <c r="J1415" s="210"/>
      <c r="K1415" s="270"/>
      <c r="L1415" s="270"/>
      <c r="M1415" s="39"/>
      <c r="N1415" s="39"/>
      <c r="O1415" s="156"/>
      <c r="P1415" s="47"/>
      <c r="Q1415" s="57"/>
      <c r="R1415" s="338"/>
      <c r="S1415" s="272"/>
      <c r="T1415" s="273"/>
      <c r="U1415" s="40"/>
      <c r="V1415" s="277"/>
      <c r="W1415" s="269"/>
      <c r="X1415" s="269"/>
      <c r="Y1415" s="275"/>
      <c r="Z1415" s="269"/>
      <c r="AA1415" s="57"/>
      <c r="AB1415" s="207"/>
      <c r="AC1415" s="33"/>
      <c r="AD1415" s="189"/>
      <c r="AE1415" s="54"/>
      <c r="AF1415" s="55"/>
      <c r="AG1415" s="43"/>
      <c r="AH1415" s="47"/>
      <c r="AI1415" s="30"/>
      <c r="AJ1415" s="30"/>
      <c r="AK1415" s="30"/>
      <c r="AL1415" s="30"/>
      <c r="AM1415" s="13"/>
      <c r="AN1415" s="13"/>
      <c r="AO1415" s="13"/>
      <c r="AP1415" s="13"/>
      <c r="AQ1415" s="13"/>
      <c r="AR1415" s="14"/>
      <c r="AS1415" s="15"/>
    </row>
    <row r="1416" spans="1:45" s="17" customFormat="1" ht="30.6" hidden="1" customHeight="1" x14ac:dyDescent="0.2">
      <c r="A1416" s="37" t="s">
        <v>1876</v>
      </c>
      <c r="B1416" s="38" t="s">
        <v>1875</v>
      </c>
      <c r="C1416" s="45"/>
      <c r="D1416" s="31">
        <v>3735125</v>
      </c>
      <c r="E1416" s="31">
        <v>4162171</v>
      </c>
      <c r="F1416" s="268" t="str">
        <f>IF(D1416="","",VLOOKUP(D1416,契約台帳!$A$3:$K$4986,6,FALSE)&amp;VLOOKUP(D1416,契約台帳!$A$3:$K$4986,7,FALSE)&amp;VLOOKUP(D1416,契約台帳!$A$3:$K$4986,8,FALSE)&amp;VLOOKUP(D1416,契約台帳!$A$3:$K$4986,9,FALSE)&amp;VLOOKUP(D1416,契約台帳!$A$3:$K$4986,11,FALSE))</f>
        <v>3SNMCLBTETV0V</v>
      </c>
      <c r="G1416" s="269" t="str">
        <f>IF(D1416="","",VLOOKUP(F1416,製品マスタ!$G$5:$H$5002,2,FALSE))</f>
        <v>S</v>
      </c>
      <c r="H1416" s="269" t="str">
        <f>IF(D1416="","",VLOOKUP(F1416,製品マスタ!$G$5:$K$5002,5,FALSE))</f>
        <v>TETV0V</v>
      </c>
      <c r="I1416" s="270" t="str">
        <f>IF(D1416="","",VLOOKUP(F1416,製品マスタ!$G$5:$L$5002,6,FALSE))</f>
        <v>メタルミー　ＴＥＳ艶ＶＯＩＤＶ</v>
      </c>
      <c r="J1416" s="210" t="s">
        <v>935</v>
      </c>
      <c r="K1416" s="270">
        <f>IF(D1416="","",VLOOKUP(D1416,契約台帳!$A$3:$L$4986,12,FALSE))</f>
        <v>50</v>
      </c>
      <c r="L1416" s="270" t="str">
        <f>IF(D1416="","",INDEX(製品マスタ!$Q$5:$Q$5002,MATCH('S4'!F1416&amp;'S4'!K1416,製品マスタ!$AO$5:$AO$5002,0)))</f>
        <v>S28SEPA</v>
      </c>
      <c r="M1416" s="39">
        <v>1005</v>
      </c>
      <c r="N1416" s="39">
        <v>4100</v>
      </c>
      <c r="O1416" s="156">
        <v>2</v>
      </c>
      <c r="P1416" s="47">
        <v>2</v>
      </c>
      <c r="Q1416" s="213">
        <v>45271</v>
      </c>
      <c r="R1416" s="271">
        <f ca="1">IF(D1416="","",IF(OFFSET(D1416,-1,0)&lt;&gt;"","",IF(OR(J1416="リード付け",J1416="巻足し",J1416="巻返しリード付け"),M1416,VLOOKUP(D1416,契約台帳!$A$3:$N$4986,14,FALSE))))</f>
        <v>1005</v>
      </c>
      <c r="S1416" s="272">
        <f ca="1">IF(D1416="","",IF(OFFSET(D1416,-1,0)&lt;&gt;"","",IF(OR(J1416="リード付け",J1416="巻足し",J1416="巻返しリード付け"),M1416,VLOOKUP(D1416,契約台帳!$A$3:$O$4986,15,FALSE))))</f>
        <v>1005</v>
      </c>
      <c r="T1416" s="273">
        <f ca="1">IF(D1416="","",IF(J1416="リード付け",N1416,IF(J1416="巻返しリード付け",N1416,IF(J1416="巻足し",N1416*P1416+OFFSET(N1416,1,0)*OFFSET(P1416,1,0),VLOOKUP(D1416,契約台帳!$A$3:$P$4986,16,FALSE)))))</f>
        <v>8200</v>
      </c>
      <c r="U1416" s="40">
        <v>1</v>
      </c>
      <c r="V1416" s="274">
        <f ca="1">IF(D1416="","",IF(OFFSET(D1416,-2,0)=D1416,"",VLOOKUP(D1416,契約台帳!$A$3:$R$4986,18,FALSE)))</f>
        <v>2</v>
      </c>
      <c r="W1416" s="269" t="str">
        <f ca="1">IF(D1416="","",IF(T1416="","",IF(OR(J1416="巻足し",J1416="巻返しリード付け"),"",IF(J1416="巻返し",VLOOKUP(F1416&amp;K1416&amp;M1416,製品マスタ!$M$5:$AD$5002,18,FALSE),IF(OR(J1416="リード付け",J1416="巻返しリード付け"),"原反コア",IF(J1416="スリット",VLOOKUP(F1416&amp;K1416&amp;R1416,製品マスタ!$N$5:$AD$5002,17,FALSE),""))))))</f>
        <v/>
      </c>
      <c r="X1416" s="269" t="str">
        <f ca="1">IF(D1416="","",IF(T1416="","",IF(J1416="巻足し","",IF(J1416="巻返し",VLOOKUP(F1416&amp;K1416&amp;M1416,製品マスタ!$M$5:$AE$5002,19,FALSE),IF(OR(J1416="リード付け",J1416="巻返しリード付け"),"",IF(J1416="スリット",VLOOKUP(F1416&amp;K1416&amp;R1416,製品マスタ!$N$5:$AE$5002,18,FALSE),""))))))</f>
        <v/>
      </c>
      <c r="Y1416" s="275">
        <f ca="1">IF(D1416="","",IF(T1416="","",VLOOKUP(D1416,契約台帳!$A$3:$Q$4986,17,FALSE)))</f>
        <v>2</v>
      </c>
      <c r="Z1416" s="269" t="str">
        <f ca="1">IF(D1416="","",IF(T1416="","",VLOOKUP(D1416,契約台帳!$A$3:$E$4986,5,FALSE)))</f>
        <v>リンテック㈱</v>
      </c>
      <c r="AA1416" s="57"/>
      <c r="AB1416" s="207">
        <f>IFERROR((VLOOKUP(F1416&amp;K1416&amp;M1416,製品マスタ!$M$5:$AM$5002,27,FALSE)),"")</f>
        <v>0</v>
      </c>
      <c r="AC1416" s="33"/>
      <c r="AD1416" s="189"/>
      <c r="AE1416" s="54"/>
      <c r="AF1416" s="55">
        <f>+M1416*N1416*O1416/1000</f>
        <v>8241</v>
      </c>
      <c r="AG1416" s="43"/>
      <c r="AH1416" s="47"/>
      <c r="AI1416" s="30"/>
      <c r="AJ1416" s="30"/>
      <c r="AK1416" s="30"/>
      <c r="AL1416" s="30"/>
      <c r="AM1416" s="13"/>
      <c r="AN1416" s="13"/>
      <c r="AO1416" s="13"/>
      <c r="AP1416" s="13"/>
      <c r="AQ1416" s="13"/>
      <c r="AR1416" s="14"/>
      <c r="AS1416" s="15"/>
    </row>
    <row r="1417" spans="1:45" s="17" customFormat="1" ht="30.95" hidden="1" customHeight="1" x14ac:dyDescent="0.2">
      <c r="A1417" s="37"/>
      <c r="B1417" s="38"/>
      <c r="C1417" s="45"/>
      <c r="D1417" s="31"/>
      <c r="E1417" s="31"/>
      <c r="F1417" s="268"/>
      <c r="G1417" s="269"/>
      <c r="H1417" s="269"/>
      <c r="I1417" s="270"/>
      <c r="J1417" s="210"/>
      <c r="K1417" s="270"/>
      <c r="L1417" s="270"/>
      <c r="M1417" s="39"/>
      <c r="N1417" s="39"/>
      <c r="O1417" s="156"/>
      <c r="P1417" s="47"/>
      <c r="Q1417" s="57"/>
      <c r="R1417" s="338"/>
      <c r="S1417" s="272"/>
      <c r="T1417" s="273"/>
      <c r="U1417" s="40"/>
      <c r="V1417" s="277"/>
      <c r="W1417" s="269"/>
      <c r="X1417" s="269"/>
      <c r="Y1417" s="275"/>
      <c r="Z1417" s="269"/>
      <c r="AA1417" s="57"/>
      <c r="AB1417" s="207"/>
      <c r="AC1417" s="33"/>
      <c r="AD1417" s="189"/>
      <c r="AE1417" s="54"/>
      <c r="AF1417" s="55"/>
      <c r="AG1417" s="43"/>
      <c r="AH1417" s="47"/>
      <c r="AI1417" s="30"/>
      <c r="AJ1417" s="30"/>
      <c r="AK1417" s="30"/>
      <c r="AL1417" s="30"/>
      <c r="AM1417" s="13"/>
      <c r="AN1417" s="13"/>
      <c r="AO1417" s="13"/>
      <c r="AP1417" s="13"/>
      <c r="AQ1417" s="13"/>
      <c r="AR1417" s="14"/>
      <c r="AS1417" s="15"/>
    </row>
    <row r="1418" spans="1:45" s="17" customFormat="1" ht="30.6" hidden="1" customHeight="1" x14ac:dyDescent="0.2">
      <c r="A1418" s="37"/>
      <c r="B1418" s="38"/>
      <c r="C1418" s="45"/>
      <c r="D1418" s="31">
        <v>3735124</v>
      </c>
      <c r="E1418" s="31">
        <v>4162151</v>
      </c>
      <c r="F1418" s="268" t="str">
        <f>IF(D1418="","",VLOOKUP(D1418,契約台帳!$A$3:$K$4986,6,FALSE)&amp;VLOOKUP(D1418,契約台帳!$A$3:$K$4986,7,FALSE)&amp;VLOOKUP(D1418,契約台帳!$A$3:$K$4986,8,FALSE)&amp;VLOOKUP(D1418,契約台帳!$A$3:$K$4986,9,FALSE)&amp;VLOOKUP(D1418,契約台帳!$A$3:$K$4986,11,FALSE))</f>
        <v>33SSNMCLBTETKFV</v>
      </c>
      <c r="G1418" s="269" t="str">
        <f>IF(D1418="","",VLOOKUP(F1418,製品マスタ!$G$5:$H$5002,2,FALSE))</f>
        <v>S</v>
      </c>
      <c r="H1418" s="269" t="str">
        <f>IF(D1418="","",VLOOKUP(F1418,製品マスタ!$G$5:$K$5002,5,FALSE))</f>
        <v>TETKFV</v>
      </c>
      <c r="I1418" s="270" t="str">
        <f>IF(D1418="","",VLOOKUP(F1418,製品マスタ!$G$5:$L$5002,6,FALSE))</f>
        <v>メタルミー　ＴＥＳ艶開封　Ｖ</v>
      </c>
      <c r="J1418" s="210" t="s">
        <v>935</v>
      </c>
      <c r="K1418" s="270">
        <f>IF(D1418="","",VLOOKUP(D1418,契約台帳!$A$3:$L$4986,12,FALSE))</f>
        <v>50</v>
      </c>
      <c r="L1418" s="270" t="str">
        <f>IF(D1418="","",INDEX(製品マスタ!$Q$5:$Q$5002,MATCH('S4'!F1418&amp;'S4'!K1418,製品マスタ!$AO$5:$AO$5002,0)))</f>
        <v>S28SEPA</v>
      </c>
      <c r="M1418" s="39">
        <v>1005</v>
      </c>
      <c r="N1418" s="39">
        <v>4100</v>
      </c>
      <c r="O1418" s="156">
        <v>9</v>
      </c>
      <c r="P1418" s="47">
        <v>3</v>
      </c>
      <c r="Q1418" s="213">
        <v>45271</v>
      </c>
      <c r="R1418" s="271">
        <f ca="1">IF(D1418="","",IF(OFFSET(D1418,-1,0)&lt;&gt;"","",IF(OR(J1418="リード付け",J1418="巻足し",J1418="巻返しリード付け"),M1418,VLOOKUP(D1418,契約台帳!$A$3:$N$4986,14,FALSE))))</f>
        <v>1005</v>
      </c>
      <c r="S1418" s="272">
        <f ca="1">IF(D1418="","",IF(OFFSET(D1418,-1,0)&lt;&gt;"","",IF(OR(J1418="リード付け",J1418="巻足し",J1418="巻返しリード付け"),M1418,VLOOKUP(D1418,契約台帳!$A$3:$O$4986,15,FALSE))))</f>
        <v>1005</v>
      </c>
      <c r="T1418" s="273">
        <f ca="1">IF(D1418="","",IF(J1418="リード付け",N1418,IF(J1418="巻返しリード付け",N1418,IF(J1418="巻足し",N1418*P1418+OFFSET(N1418,1,0)*OFFSET(P1418,1,0),VLOOKUP(D1418,契約台帳!$A$3:$P$4986,16,FALSE)))))</f>
        <v>12300</v>
      </c>
      <c r="U1418" s="40">
        <v>3</v>
      </c>
      <c r="V1418" s="274">
        <f ca="1">IF(D1418="","",IF(OFFSET(D1418,-2,0)=D1418,"",VLOOKUP(D1418,契約台帳!$A$3:$R$4986,18,FALSE)))</f>
        <v>9</v>
      </c>
      <c r="W1418" s="269" t="str">
        <f ca="1">IF(D1418="","",IF(T1418="","",IF(OR(J1418="巻足し",J1418="巻返しリード付け"),"",IF(J1418="巻返し",VLOOKUP(F1418&amp;K1418&amp;M1418,製品マスタ!$M$5:$AD$5002,18,FALSE),IF(OR(J1418="リード付け",J1418="巻返しリード付け"),"原反コア",IF(J1418="スリット",VLOOKUP(F1418&amp;K1418&amp;R1418,製品マスタ!$N$5:$AD$5002,17,FALSE),""))))))</f>
        <v/>
      </c>
      <c r="X1418" s="269" t="str">
        <f ca="1">IF(D1418="","",IF(T1418="","",IF(J1418="巻足し","",IF(J1418="巻返し",VLOOKUP(F1418&amp;K1418&amp;M1418,製品マスタ!$M$5:$AE$5002,19,FALSE),IF(OR(J1418="リード付け",J1418="巻返しリード付け"),"",IF(J1418="スリット",VLOOKUP(F1418&amp;K1418&amp;R1418,製品マスタ!$N$5:$AE$5002,18,FALSE),""))))))</f>
        <v/>
      </c>
      <c r="Y1418" s="275">
        <f ca="1">IF(D1418="","",IF(T1418="","",VLOOKUP(D1418,契約台帳!$A$3:$Q$4986,17,FALSE)))</f>
        <v>2</v>
      </c>
      <c r="Z1418" s="269" t="str">
        <f ca="1">IF(D1418="","",IF(T1418="","",VLOOKUP(D1418,契約台帳!$A$3:$E$4986,5,FALSE)))</f>
        <v>リンテック㈱</v>
      </c>
      <c r="AA1418" s="57"/>
      <c r="AB1418" s="207">
        <f>IFERROR((VLOOKUP(F1418&amp;K1418&amp;M1418,製品マスタ!$M$5:$AM$5002,27,FALSE)),"")</f>
        <v>0</v>
      </c>
      <c r="AC1418" s="33"/>
      <c r="AD1418" s="189"/>
      <c r="AE1418" s="54"/>
      <c r="AF1418" s="55">
        <f>+M1418*N1418*O1418/1000</f>
        <v>37084.5</v>
      </c>
      <c r="AG1418" s="43"/>
      <c r="AH1418" s="47"/>
      <c r="AI1418" s="30"/>
      <c r="AJ1418" s="30"/>
      <c r="AK1418" s="30"/>
      <c r="AL1418" s="30"/>
      <c r="AM1418" s="13"/>
      <c r="AN1418" s="13"/>
      <c r="AO1418" s="13"/>
      <c r="AP1418" s="13"/>
      <c r="AQ1418" s="13"/>
      <c r="AR1418" s="14"/>
      <c r="AS1418" s="15"/>
    </row>
    <row r="1419" spans="1:45" s="17" customFormat="1" ht="30.95" hidden="1" customHeight="1" x14ac:dyDescent="0.2">
      <c r="A1419" s="37"/>
      <c r="B1419" s="38"/>
      <c r="C1419" s="45"/>
      <c r="D1419" s="31"/>
      <c r="E1419" s="31"/>
      <c r="F1419" s="268"/>
      <c r="G1419" s="269"/>
      <c r="H1419" s="269"/>
      <c r="I1419" s="270"/>
      <c r="J1419" s="210"/>
      <c r="K1419" s="270"/>
      <c r="L1419" s="270"/>
      <c r="M1419" s="39"/>
      <c r="N1419" s="39"/>
      <c r="O1419" s="156"/>
      <c r="P1419" s="47"/>
      <c r="Q1419" s="57"/>
      <c r="R1419" s="338"/>
      <c r="S1419" s="272"/>
      <c r="T1419" s="273"/>
      <c r="U1419" s="40"/>
      <c r="V1419" s="277"/>
      <c r="W1419" s="269"/>
      <c r="X1419" s="269"/>
      <c r="Y1419" s="275"/>
      <c r="Z1419" s="269"/>
      <c r="AA1419" s="57"/>
      <c r="AB1419" s="207"/>
      <c r="AC1419" s="33"/>
      <c r="AD1419" s="189"/>
      <c r="AE1419" s="54"/>
      <c r="AF1419" s="55"/>
      <c r="AG1419" s="43"/>
      <c r="AH1419" s="47"/>
      <c r="AI1419" s="30"/>
      <c r="AJ1419" s="30"/>
      <c r="AK1419" s="30"/>
      <c r="AL1419" s="30"/>
      <c r="AM1419" s="13"/>
      <c r="AN1419" s="13"/>
      <c r="AO1419" s="13"/>
      <c r="AP1419" s="13"/>
      <c r="AQ1419" s="13"/>
      <c r="AR1419" s="14"/>
      <c r="AS1419" s="15"/>
    </row>
    <row r="1420" spans="1:45" s="17" customFormat="1" ht="30.6" hidden="1" customHeight="1" x14ac:dyDescent="0.2">
      <c r="A1420" s="37"/>
      <c r="B1420" s="38"/>
      <c r="C1420" s="45"/>
      <c r="D1420" s="31">
        <v>3735129</v>
      </c>
      <c r="E1420" s="31">
        <v>4162172</v>
      </c>
      <c r="F1420" s="268" t="str">
        <f>IF(D1420="","",VLOOKUP(D1420,契約台帳!$A$3:$K$4986,6,FALSE)&amp;VLOOKUP(D1420,契約台帳!$A$3:$K$4986,7,FALSE)&amp;VLOOKUP(D1420,契約台帳!$A$3:$K$4986,8,FALSE)&amp;VLOOKUP(D1420,契約台帳!$A$3:$K$4986,9,FALSE)&amp;VLOOKUP(D1420,契約台帳!$A$3:$K$4986,11,FALSE))</f>
        <v>3TNMCLBHLGKJV</v>
      </c>
      <c r="G1420" s="269" t="str">
        <f>IF(D1420="","",VLOOKUP(F1420,製品マスタ!$G$5:$H$5002,2,FALSE))</f>
        <v>T</v>
      </c>
      <c r="H1420" s="269" t="str">
        <f>IF(D1420="","",VLOOKUP(F1420,製品マスタ!$G$5:$K$5002,5,FALSE))</f>
        <v>HLGKJV</v>
      </c>
      <c r="I1420" s="270" t="str">
        <f>IF(D1420="","",VLOOKUP(F1420,製品マスタ!$G$5:$L$5002,6,FALSE))</f>
        <v>メタルミー　ヘヤライン　銀消Ｖ</v>
      </c>
      <c r="J1420" s="210" t="s">
        <v>935</v>
      </c>
      <c r="K1420" s="270">
        <f>IF(D1420="","",VLOOKUP(D1420,契約台帳!$A$3:$L$4986,12,FALSE))</f>
        <v>50</v>
      </c>
      <c r="L1420" s="270" t="str">
        <f>IF(D1420="","",INDEX(製品マスタ!$Q$5:$Q$5002,MATCH('S4'!F1420&amp;'S4'!K1420,製品マスタ!$AO$5:$AO$5002,0)))</f>
        <v>HL-MAT</v>
      </c>
      <c r="M1420" s="39">
        <v>1005</v>
      </c>
      <c r="N1420" s="39">
        <v>4000</v>
      </c>
      <c r="O1420" s="156">
        <v>2</v>
      </c>
      <c r="P1420" s="47">
        <v>2</v>
      </c>
      <c r="Q1420" s="213">
        <v>45272</v>
      </c>
      <c r="R1420" s="271">
        <f ca="1">IF(D1420="","",IF(OFFSET(D1420,-1,0)&lt;&gt;"","",IF(OR(J1420="リード付け",J1420="巻足し",J1420="巻返しリード付け"),M1420,VLOOKUP(D1420,契約台帳!$A$3:$N$4986,14,FALSE))))</f>
        <v>1005</v>
      </c>
      <c r="S1420" s="272">
        <f ca="1">IF(D1420="","",IF(OFFSET(D1420,-1,0)&lt;&gt;"","",IF(OR(J1420="リード付け",J1420="巻足し",J1420="巻返しリード付け"),M1420,VLOOKUP(D1420,契約台帳!$A$3:$O$4986,15,FALSE))))</f>
        <v>1005</v>
      </c>
      <c r="T1420" s="273">
        <f ca="1">IF(D1420="","",IF(J1420="リード付け",N1420,IF(J1420="巻返しリード付け",N1420,IF(J1420="巻足し",N1420*P1420+OFFSET(N1420,1,0)*OFFSET(P1420,1,0),VLOOKUP(D1420,契約台帳!$A$3:$P$4986,16,FALSE)))))</f>
        <v>8000</v>
      </c>
      <c r="U1420" s="40">
        <v>1</v>
      </c>
      <c r="V1420" s="274">
        <f ca="1">IF(D1420="","",IF(OFFSET(D1420,-2,0)=D1420,"",VLOOKUP(D1420,契約台帳!$A$3:$R$4986,18,FALSE)))</f>
        <v>4</v>
      </c>
      <c r="W1420" s="269" t="str">
        <f ca="1">IF(D1420="","",IF(T1420="","",IF(OR(J1420="巻足し",J1420="巻返しリード付け"),"",IF(J1420="巻返し",VLOOKUP(F1420&amp;K1420&amp;M1420,製品マスタ!$M$5:$AD$5002,18,FALSE),IF(OR(J1420="リード付け",J1420="巻返しリード付け"),"原反コア",IF(J1420="スリット",VLOOKUP(F1420&amp;K1420&amp;R1420,製品マスタ!$N$5:$AD$5002,17,FALSE),""))))))</f>
        <v/>
      </c>
      <c r="X1420" s="269" t="str">
        <f ca="1">IF(D1420="","",IF(T1420="","",IF(J1420="巻足し","",IF(J1420="巻返し",VLOOKUP(F1420&amp;K1420&amp;M1420,製品マスタ!$M$5:$AE$5002,19,FALSE),IF(OR(J1420="リード付け",J1420="巻返しリード付け"),"",IF(J1420="スリット",VLOOKUP(F1420&amp;K1420&amp;R1420,製品マスタ!$N$5:$AE$5002,18,FALSE),""))))))</f>
        <v/>
      </c>
      <c r="Y1420" s="275">
        <f ca="1">IF(D1420="","",IF(T1420="","",VLOOKUP(D1420,契約台帳!$A$3:$Q$4986,17,FALSE)))</f>
        <v>2</v>
      </c>
      <c r="Z1420" s="269" t="str">
        <f ca="1">IF(D1420="","",IF(T1420="","",VLOOKUP(D1420,契約台帳!$A$3:$E$4986,5,FALSE)))</f>
        <v>リンテック㈱</v>
      </c>
      <c r="AA1420" s="57"/>
      <c r="AB1420" s="207">
        <f>IFERROR((VLOOKUP(F1420&amp;K1420&amp;M1420,製品マスタ!$M$5:$AM$5002,27,FALSE)),"")</f>
        <v>0</v>
      </c>
      <c r="AC1420" s="33"/>
      <c r="AD1420" s="189"/>
      <c r="AE1420" s="54"/>
      <c r="AF1420" s="55">
        <f>+M1420*N1420*O1420/1000</f>
        <v>8040</v>
      </c>
      <c r="AG1420" s="43"/>
      <c r="AH1420" s="47"/>
      <c r="AI1420" s="30"/>
      <c r="AJ1420" s="30"/>
      <c r="AK1420" s="30"/>
      <c r="AL1420" s="30"/>
      <c r="AM1420" s="13"/>
      <c r="AN1420" s="13"/>
      <c r="AO1420" s="13"/>
      <c r="AP1420" s="13"/>
      <c r="AQ1420" s="13"/>
      <c r="AR1420" s="14"/>
      <c r="AS1420" s="15"/>
    </row>
    <row r="1421" spans="1:45" s="17" customFormat="1" ht="30.95" hidden="1" customHeight="1" x14ac:dyDescent="0.2">
      <c r="A1421" s="37"/>
      <c r="B1421" s="38"/>
      <c r="C1421" s="45"/>
      <c r="D1421" s="31"/>
      <c r="E1421" s="31"/>
      <c r="F1421" s="268"/>
      <c r="G1421" s="269"/>
      <c r="H1421" s="269"/>
      <c r="I1421" s="270"/>
      <c r="J1421" s="210"/>
      <c r="K1421" s="270"/>
      <c r="L1421" s="270"/>
      <c r="M1421" s="39"/>
      <c r="N1421" s="39"/>
      <c r="O1421" s="156"/>
      <c r="P1421" s="47"/>
      <c r="Q1421" s="57"/>
      <c r="R1421" s="338"/>
      <c r="S1421" s="272"/>
      <c r="T1421" s="273"/>
      <c r="U1421" s="40"/>
      <c r="V1421" s="277"/>
      <c r="W1421" s="269"/>
      <c r="X1421" s="269"/>
      <c r="Y1421" s="275"/>
      <c r="Z1421" s="269"/>
      <c r="AA1421" s="57"/>
      <c r="AB1421" s="207"/>
      <c r="AC1421" s="33"/>
      <c r="AD1421" s="189"/>
      <c r="AE1421" s="54"/>
      <c r="AF1421" s="55"/>
      <c r="AG1421" s="43"/>
      <c r="AH1421" s="47"/>
      <c r="AI1421" s="30"/>
      <c r="AJ1421" s="30"/>
      <c r="AK1421" s="30"/>
      <c r="AL1421" s="30"/>
      <c r="AM1421" s="13"/>
      <c r="AN1421" s="13"/>
      <c r="AO1421" s="13"/>
      <c r="AP1421" s="13"/>
      <c r="AQ1421" s="13"/>
      <c r="AR1421" s="14"/>
      <c r="AS1421" s="15"/>
    </row>
    <row r="1422" spans="1:45" s="17" customFormat="1" ht="30.95" hidden="1" customHeight="1" x14ac:dyDescent="0.2">
      <c r="A1422" s="37"/>
      <c r="B1422" s="38"/>
      <c r="C1422" s="45"/>
      <c r="D1422" s="31">
        <v>3732680</v>
      </c>
      <c r="E1422" s="31">
        <v>4162184</v>
      </c>
      <c r="F1422" s="268" t="str">
        <f>IF(D1422="","",VLOOKUP(D1422,契約台帳!$A$3:$K$4986,6,FALSE)&amp;VLOOKUP(D1422,契約台帳!$A$3:$K$4986,7,FALSE)&amp;VLOOKUP(D1422,契約台帳!$A$3:$K$4986,8,FALSE)&amp;VLOOKUP(D1422,契約台帳!$A$3:$K$4986,9,FALSE)&amp;VLOOKUP(D1422,契約台帳!$A$3:$K$4986,11,FALSE))</f>
        <v>3TNMCLBHLGTV</v>
      </c>
      <c r="G1422" s="269" t="str">
        <f>IF(D1422="","",VLOOKUP(F1422,製品マスタ!$G$5:$H$5002,2,FALSE))</f>
        <v>T</v>
      </c>
      <c r="H1422" s="269" t="str">
        <f>IF(D1422="","",VLOOKUP(F1422,製品マスタ!$G$5:$K$5002,5,FALSE))</f>
        <v>HLGTV</v>
      </c>
      <c r="I1422" s="270" t="str">
        <f>IF(D1422="","",VLOOKUP(F1422,製品マスタ!$G$5:$L$5002,6,FALSE))</f>
        <v>メタルミー　ヘヤライン　銀艶Ｖ</v>
      </c>
      <c r="J1422" s="210" t="s">
        <v>935</v>
      </c>
      <c r="K1422" s="270">
        <f>IF(D1422="","",VLOOKUP(D1422,契約台帳!$A$3:$L$4986,12,FALSE))</f>
        <v>50</v>
      </c>
      <c r="L1422" s="270" t="str">
        <f>IF(D1422="","",INDEX(製品マスタ!$Q$5:$Q$5002,MATCH('S4'!F1422&amp;'S4'!K1422,製品マスタ!$AO$5:$AO$5002,0)))</f>
        <v>BRIGHT</v>
      </c>
      <c r="M1422" s="39">
        <v>1005</v>
      </c>
      <c r="N1422" s="39">
        <v>4100</v>
      </c>
      <c r="O1422" s="156">
        <v>1</v>
      </c>
      <c r="P1422" s="47">
        <v>2</v>
      </c>
      <c r="Q1422" s="213">
        <v>45237</v>
      </c>
      <c r="R1422" s="271">
        <f ca="1">IF(D1422="","",IF(OFFSET(D1422,-1,0)&lt;&gt;"","",IF(OR(J1422="リード付け",J1422="巻足し",J1422="巻返しリード付け"),M1422,VLOOKUP(D1422,契約台帳!$A$3:$N$4986,14,FALSE))))</f>
        <v>1005</v>
      </c>
      <c r="S1422" s="272">
        <f ca="1">IF(D1422="","",IF(OFFSET(D1422,-1,0)&lt;&gt;"","",IF(OR(J1422="リード付け",J1422="巻足し",J1422="巻返しリード付け"),M1422,VLOOKUP(D1422,契約台帳!$A$3:$O$4986,15,FALSE))))</f>
        <v>1005</v>
      </c>
      <c r="T1422" s="273">
        <f ca="1">IF(D1422="","",IF(J1422="リード付け",N1422,IF(J1422="巻返しリード付け",N1422,IF(J1422="巻足し",N1422*P1422+OFFSET(N1422,1,0)*OFFSET(P1422,1,0),VLOOKUP(D1422,契約台帳!$A$3:$P$4986,16,FALSE)))))</f>
        <v>8200</v>
      </c>
      <c r="U1422" s="40">
        <v>1</v>
      </c>
      <c r="V1422" s="274">
        <f ca="1">IF(D1422="","",IF(OFFSET(D1422,-2,0)=D1422,"",VLOOKUP(D1422,契約台帳!$A$3:$R$4986,18,FALSE)))</f>
        <v>4</v>
      </c>
      <c r="W1422" s="269" t="str">
        <f ca="1">IF(D1422="","",IF(T1422="","",IF(OR(J1422="巻足し",J1422="巻返しリード付け"),"",IF(J1422="巻返し",VLOOKUP(F1422&amp;K1422&amp;M1422,製品マスタ!$M$5:$AD$5002,18,FALSE),IF(OR(J1422="リード付け",J1422="巻返しリード付け"),"原反コア",IF(J1422="スリット",VLOOKUP(F1422&amp;K1422&amp;R1422,製品マスタ!$N$5:$AD$5002,17,FALSE),""))))))</f>
        <v/>
      </c>
      <c r="X1422" s="269" t="str">
        <f ca="1">IF(D1422="","",IF(T1422="","",IF(J1422="巻足し","",IF(J1422="巻返し",VLOOKUP(F1422&amp;K1422&amp;M1422,製品マスタ!$M$5:$AE$5002,19,FALSE),IF(OR(J1422="リード付け",J1422="巻返しリード付け"),"",IF(J1422="スリット",VLOOKUP(F1422&amp;K1422&amp;R1422,製品マスタ!$N$5:$AE$5002,18,FALSE),""))))))</f>
        <v/>
      </c>
      <c r="Y1422" s="275">
        <f ca="1">IF(D1422="","",IF(T1422="","",VLOOKUP(D1422,契約台帳!$A$3:$Q$4986,17,FALSE)))</f>
        <v>2</v>
      </c>
      <c r="Z1422" s="269" t="str">
        <f ca="1">IF(D1422="","",IF(T1422="","",VLOOKUP(D1422,契約台帳!$A$3:$E$4986,5,FALSE)))</f>
        <v>リンテック㈱</v>
      </c>
      <c r="AA1422" s="57"/>
      <c r="AB1422" s="207" t="s">
        <v>774</v>
      </c>
      <c r="AC1422" s="33"/>
      <c r="AD1422" s="189"/>
      <c r="AE1422" s="54"/>
      <c r="AF1422" s="55">
        <f>+M1422*N1422*O1422/1000</f>
        <v>4120.5</v>
      </c>
      <c r="AG1422" s="43"/>
      <c r="AH1422" s="47"/>
      <c r="AI1422" s="30"/>
      <c r="AJ1422" s="30"/>
      <c r="AK1422" s="30"/>
      <c r="AL1422" s="30"/>
      <c r="AM1422" s="13"/>
      <c r="AN1422" s="13"/>
      <c r="AO1422" s="13"/>
      <c r="AP1422" s="13"/>
      <c r="AQ1422" s="13"/>
      <c r="AR1422" s="14"/>
      <c r="AS1422" s="15"/>
    </row>
    <row r="1423" spans="1:45" s="17" customFormat="1" ht="30.95" hidden="1" customHeight="1" x14ac:dyDescent="0.2">
      <c r="A1423" s="37"/>
      <c r="B1423" s="38"/>
      <c r="C1423" s="45"/>
      <c r="D1423" s="31">
        <v>3735131</v>
      </c>
      <c r="E1423" s="31"/>
      <c r="F1423" s="268" t="str">
        <f>IF(D1423="","",VLOOKUP(D1423,契約台帳!$A$3:$K$4986,6,FALSE)&amp;VLOOKUP(D1423,契約台帳!$A$3:$K$4986,7,FALSE)&amp;VLOOKUP(D1423,契約台帳!$A$3:$K$4986,8,FALSE)&amp;VLOOKUP(D1423,契約台帳!$A$3:$K$4986,9,FALSE)&amp;VLOOKUP(D1423,契約台帳!$A$3:$K$4986,11,FALSE))</f>
        <v>3TNMCLBHLGTV</v>
      </c>
      <c r="G1423" s="269" t="str">
        <f>IF(D1423="","",VLOOKUP(F1423,製品マスタ!$G$5:$H$5002,2,FALSE))</f>
        <v>T</v>
      </c>
      <c r="H1423" s="269" t="str">
        <f>IF(D1423="","",VLOOKUP(F1423,製品マスタ!$G$5:$K$5002,5,FALSE))</f>
        <v>HLGTV</v>
      </c>
      <c r="I1423" s="270" t="str">
        <f>IF(D1423="","",VLOOKUP(F1423,製品マスタ!$G$5:$L$5002,6,FALSE))</f>
        <v>メタルミー　ヘヤライン　銀艶Ｖ</v>
      </c>
      <c r="J1423" s="210" t="s">
        <v>935</v>
      </c>
      <c r="K1423" s="270">
        <f>IF(D1423="","",VLOOKUP(D1423,契約台帳!$A$3:$L$4986,12,FALSE))</f>
        <v>50</v>
      </c>
      <c r="L1423" s="270" t="str">
        <f>IF(D1423="","",INDEX(製品マスタ!$Q$5:$Q$5002,MATCH('S4'!F1423&amp;'S4'!K1423,製品マスタ!$AO$5:$AO$5002,0)))</f>
        <v>BRIGHT</v>
      </c>
      <c r="M1423" s="39">
        <v>1005</v>
      </c>
      <c r="N1423" s="39">
        <v>4100</v>
      </c>
      <c r="O1423" s="156">
        <v>1</v>
      </c>
      <c r="P1423" s="47"/>
      <c r="Q1423" s="213">
        <v>45272</v>
      </c>
      <c r="R1423" s="271" t="str">
        <f ca="1">IF(D1423="","",IF(OFFSET(D1423,-1,0)&lt;&gt;"","",IF(OR(J1423="リード付け",J1423="巻足し",J1423="巻返しリード付け"),M1423,VLOOKUP(D1423,契約台帳!$A$3:$N$4986,14,FALSE))))</f>
        <v/>
      </c>
      <c r="S1423" s="272" t="str">
        <f ca="1">IF(D1423="","",IF(OFFSET(D1423,-1,0)&lt;&gt;"","",IF(OR(J1423="リード付け",J1423="巻足し",J1423="巻返しリード付け"),M1423,VLOOKUP(D1423,契約台帳!$A$3:$O$4986,15,FALSE))))</f>
        <v/>
      </c>
      <c r="T1423" s="273">
        <f ca="1">IF(D1423="","",IF(J1423="リード付け",N1423,IF(J1423="巻返しリード付け",N1423,IF(J1423="巻足し",N1423*P1423+OFFSET(N1423,1,0)*OFFSET(P1423,1,0),VLOOKUP(D1423,契約台帳!$A$3:$P$4986,16,FALSE)))))</f>
        <v>0</v>
      </c>
      <c r="U1423" s="40"/>
      <c r="V1423" s="274">
        <f ca="1">IF(D1423="","",IF(OFFSET(D1423,-2,0)=D1423,"",VLOOKUP(D1423,契約台帳!$A$3:$R$4986,18,FALSE)))</f>
        <v>3</v>
      </c>
      <c r="W1423" s="269" t="str">
        <f ca="1">IF(D1423="","",IF(T1423="","",IF(OR(J1423="巻足し",J1423="巻返しリード付け"),"",IF(J1423="巻返し",VLOOKUP(F1423&amp;K1423&amp;M1423,製品マスタ!$M$5:$AD$5002,18,FALSE),IF(OR(J1423="リード付け",J1423="巻返しリード付け"),"原反コア",IF(J1423="スリット",VLOOKUP(F1423&amp;K1423&amp;R1423,製品マスタ!$N$5:$AD$5002,17,FALSE),""))))))</f>
        <v/>
      </c>
      <c r="X1423" s="269" t="str">
        <f ca="1">IF(D1423="","",IF(T1423="","",IF(J1423="巻足し","",IF(J1423="巻返し",VLOOKUP(F1423&amp;K1423&amp;M1423,製品マスタ!$M$5:$AE$5002,19,FALSE),IF(OR(J1423="リード付け",J1423="巻返しリード付け"),"",IF(J1423="スリット",VLOOKUP(F1423&amp;K1423&amp;R1423,製品マスタ!$N$5:$AE$5002,18,FALSE),""))))))</f>
        <v/>
      </c>
      <c r="Y1423" s="275">
        <f ca="1">IF(D1423="","",IF(T1423="","",VLOOKUP(D1423,契約台帳!$A$3:$Q$4986,17,FALSE)))</f>
        <v>2</v>
      </c>
      <c r="Z1423" s="269" t="str">
        <f ca="1">IF(D1423="","",IF(T1423="","",VLOOKUP(D1423,契約台帳!$A$3:$E$4986,5,FALSE)))</f>
        <v>リンテック㈱</v>
      </c>
      <c r="AA1423" s="57"/>
      <c r="AB1423" s="207" t="s">
        <v>774</v>
      </c>
      <c r="AC1423" s="33"/>
      <c r="AD1423" s="189"/>
      <c r="AE1423" s="54"/>
      <c r="AF1423" s="55">
        <f>+M1423*N1423*O1423/1000</f>
        <v>4120.5</v>
      </c>
      <c r="AG1423" s="43"/>
      <c r="AH1423" s="47"/>
      <c r="AI1423" s="30"/>
      <c r="AJ1423" s="30"/>
      <c r="AK1423" s="30"/>
      <c r="AL1423" s="30"/>
      <c r="AM1423" s="13"/>
      <c r="AN1423" s="13"/>
      <c r="AO1423" s="13"/>
      <c r="AP1423" s="13"/>
      <c r="AQ1423" s="13"/>
      <c r="AR1423" s="14"/>
      <c r="AS1423" s="15"/>
    </row>
    <row r="1424" spans="1:45" s="17" customFormat="1" ht="30.95" hidden="1" customHeight="1" x14ac:dyDescent="0.2">
      <c r="A1424" s="37"/>
      <c r="B1424" s="38"/>
      <c r="C1424" s="45"/>
      <c r="D1424" s="31"/>
      <c r="E1424" s="31"/>
      <c r="F1424" s="268"/>
      <c r="G1424" s="269"/>
      <c r="H1424" s="269"/>
      <c r="I1424" s="270"/>
      <c r="J1424" s="210"/>
      <c r="K1424" s="270"/>
      <c r="L1424" s="270"/>
      <c r="M1424" s="39"/>
      <c r="N1424" s="39"/>
      <c r="O1424" s="156"/>
      <c r="P1424" s="47"/>
      <c r="Q1424" s="57"/>
      <c r="R1424" s="338"/>
      <c r="S1424" s="272"/>
      <c r="T1424" s="273"/>
      <c r="U1424" s="40"/>
      <c r="V1424" s="277"/>
      <c r="W1424" s="269"/>
      <c r="X1424" s="269"/>
      <c r="Y1424" s="275"/>
      <c r="Z1424" s="269"/>
      <c r="AA1424" s="57"/>
      <c r="AB1424" s="207"/>
      <c r="AC1424" s="33"/>
      <c r="AD1424" s="189"/>
      <c r="AE1424" s="54"/>
      <c r="AF1424" s="55"/>
      <c r="AG1424" s="43"/>
      <c r="AH1424" s="47"/>
      <c r="AI1424" s="30"/>
      <c r="AJ1424" s="30"/>
      <c r="AK1424" s="30"/>
      <c r="AL1424" s="30"/>
      <c r="AM1424" s="13"/>
      <c r="AN1424" s="13"/>
      <c r="AO1424" s="13"/>
      <c r="AP1424" s="13"/>
      <c r="AQ1424" s="13"/>
      <c r="AR1424" s="14"/>
      <c r="AS1424" s="15"/>
    </row>
    <row r="1425" spans="1:45" s="17" customFormat="1" ht="30.95" hidden="1" customHeight="1" x14ac:dyDescent="0.2">
      <c r="A1425" s="37" t="s">
        <v>1872</v>
      </c>
      <c r="B1425" s="38" t="s">
        <v>1873</v>
      </c>
      <c r="C1425" s="45"/>
      <c r="D1425" s="31">
        <v>3735131</v>
      </c>
      <c r="E1425" s="31">
        <v>4162174</v>
      </c>
      <c r="F1425" s="268" t="str">
        <f>IF(D1425="","",VLOOKUP(D1425,契約台帳!$A$3:$K$4986,6,FALSE)&amp;VLOOKUP(D1425,契約台帳!$A$3:$K$4986,7,FALSE)&amp;VLOOKUP(D1425,契約台帳!$A$3:$K$4986,8,FALSE)&amp;VLOOKUP(D1425,契約台帳!$A$3:$K$4986,9,FALSE)&amp;VLOOKUP(D1425,契約台帳!$A$3:$K$4986,11,FALSE))</f>
        <v>3TNMCLBHLGTV</v>
      </c>
      <c r="G1425" s="269" t="str">
        <f>IF(D1425="","",VLOOKUP(F1425,製品マスタ!$G$5:$H$5002,2,FALSE))</f>
        <v>T</v>
      </c>
      <c r="H1425" s="269" t="str">
        <f>IF(D1425="","",VLOOKUP(F1425,製品マスタ!$G$5:$K$5002,5,FALSE))</f>
        <v>HLGTV</v>
      </c>
      <c r="I1425" s="270" t="str">
        <f>IF(D1425="","",VLOOKUP(F1425,製品マスタ!$G$5:$L$5002,6,FALSE))</f>
        <v>メタルミー　ヘヤライン　銀艶Ｖ</v>
      </c>
      <c r="J1425" s="210" t="s">
        <v>935</v>
      </c>
      <c r="K1425" s="270">
        <f>IF(D1425="","",VLOOKUP(D1425,契約台帳!$A$3:$L$4986,12,FALSE))</f>
        <v>50</v>
      </c>
      <c r="L1425" s="270" t="str">
        <f>IF(D1425="","",INDEX(製品マスタ!$Q$5:$Q$5002,MATCH('S4'!F1425&amp;'S4'!K1425,製品マスタ!$AO$5:$AO$5002,0)))</f>
        <v>BRIGHT</v>
      </c>
      <c r="M1425" s="39">
        <v>1005</v>
      </c>
      <c r="N1425" s="39">
        <v>4100</v>
      </c>
      <c r="O1425" s="156">
        <v>2</v>
      </c>
      <c r="P1425" s="47">
        <v>2</v>
      </c>
      <c r="Q1425" s="213">
        <v>45272</v>
      </c>
      <c r="R1425" s="271">
        <f ca="1">IF(D1425="","",IF(OFFSET(D1425,-1,0)&lt;&gt;"","",IF(OR(J1425="リード付け",J1425="巻足し",J1425="巻返しリード付け"),M1425,VLOOKUP(D1425,契約台帳!$A$3:$N$4986,14,FALSE))))</f>
        <v>1005</v>
      </c>
      <c r="S1425" s="272">
        <f ca="1">IF(D1425="","",IF(OFFSET(D1425,-1,0)&lt;&gt;"","",IF(OR(J1425="リード付け",J1425="巻足し",J1425="巻返しリード付け"),M1425,VLOOKUP(D1425,契約台帳!$A$3:$O$4986,15,FALSE))))</f>
        <v>1005</v>
      </c>
      <c r="T1425" s="273">
        <f ca="1">IF(D1425="","",IF(J1425="リード付け",N1425,IF(J1425="巻返しリード付け",N1425,IF(J1425="巻足し",N1425*P1425+OFFSET(N1425,1,0)*OFFSET(P1425,1,0),VLOOKUP(D1425,契約台帳!$A$3:$P$4986,16,FALSE)))))</f>
        <v>8200</v>
      </c>
      <c r="U1425" s="40">
        <v>1</v>
      </c>
      <c r="V1425" s="274" t="str">
        <f ca="1">IF(D1425="","",IF(OFFSET(D1425,-2,0)=D1425,"",VLOOKUP(D1425,契約台帳!$A$3:$R$4986,18,FALSE)))</f>
        <v/>
      </c>
      <c r="W1425" s="269" t="str">
        <f ca="1">IF(D1425="","",IF(T1425="","",IF(OR(J1425="巻足し",J1425="巻返しリード付け"),"",IF(J1425="巻返し",VLOOKUP(F1425&amp;K1425&amp;M1425,製品マスタ!$M$5:$AD$5002,18,FALSE),IF(OR(J1425="リード付け",J1425="巻返しリード付け"),"原反コア",IF(J1425="スリット",VLOOKUP(F1425&amp;K1425&amp;R1425,製品マスタ!$N$5:$AD$5002,17,FALSE),""))))))</f>
        <v/>
      </c>
      <c r="X1425" s="269" t="str">
        <f ca="1">IF(D1425="","",IF(T1425="","",IF(J1425="巻足し","",IF(J1425="巻返し",VLOOKUP(F1425&amp;K1425&amp;M1425,製品マスタ!$M$5:$AE$5002,19,FALSE),IF(OR(J1425="リード付け",J1425="巻返しリード付け"),"",IF(J1425="スリット",VLOOKUP(F1425&amp;K1425&amp;R1425,製品マスタ!$N$5:$AE$5002,18,FALSE),""))))))</f>
        <v/>
      </c>
      <c r="Y1425" s="275">
        <f ca="1">IF(D1425="","",IF(T1425="","",VLOOKUP(D1425,契約台帳!$A$3:$Q$4986,17,FALSE)))</f>
        <v>2</v>
      </c>
      <c r="Z1425" s="269" t="str">
        <f ca="1">IF(D1425="","",IF(T1425="","",VLOOKUP(D1425,契約台帳!$A$3:$E$4986,5,FALSE)))</f>
        <v>リンテック㈱</v>
      </c>
      <c r="AA1425" s="57"/>
      <c r="AB1425" s="207" t="s">
        <v>774</v>
      </c>
      <c r="AC1425" s="33"/>
      <c r="AD1425" s="189"/>
      <c r="AE1425" s="54"/>
      <c r="AF1425" s="55">
        <f>+M1425*N1425*O1425/1000</f>
        <v>8241</v>
      </c>
      <c r="AG1425" s="43"/>
      <c r="AH1425" s="47"/>
      <c r="AI1425" s="30"/>
      <c r="AJ1425" s="30"/>
      <c r="AK1425" s="30"/>
      <c r="AL1425" s="30"/>
      <c r="AM1425" s="13"/>
      <c r="AN1425" s="13"/>
      <c r="AO1425" s="13"/>
      <c r="AP1425" s="13"/>
      <c r="AQ1425" s="13"/>
      <c r="AR1425" s="14"/>
      <c r="AS1425" s="15"/>
    </row>
    <row r="1426" spans="1:45" s="17" customFormat="1" ht="30.95" hidden="1" customHeight="1" x14ac:dyDescent="0.2">
      <c r="A1426" s="37"/>
      <c r="B1426" s="38"/>
      <c r="C1426" s="45"/>
      <c r="D1426" s="31"/>
      <c r="E1426" s="31"/>
      <c r="F1426" s="268"/>
      <c r="G1426" s="269"/>
      <c r="H1426" s="269"/>
      <c r="I1426" s="270"/>
      <c r="J1426" s="210"/>
      <c r="K1426" s="270"/>
      <c r="L1426" s="270"/>
      <c r="M1426" s="39"/>
      <c r="N1426" s="39"/>
      <c r="O1426" s="156"/>
      <c r="P1426" s="47"/>
      <c r="Q1426" s="57"/>
      <c r="R1426" s="338"/>
      <c r="S1426" s="272"/>
      <c r="T1426" s="273"/>
      <c r="U1426" s="40"/>
      <c r="V1426" s="277"/>
      <c r="W1426" s="269"/>
      <c r="X1426" s="269"/>
      <c r="Y1426" s="275"/>
      <c r="Z1426" s="269"/>
      <c r="AA1426" s="57"/>
      <c r="AB1426" s="207"/>
      <c r="AC1426" s="33"/>
      <c r="AD1426" s="189"/>
      <c r="AE1426" s="54"/>
      <c r="AF1426" s="55"/>
      <c r="AG1426" s="43"/>
      <c r="AH1426" s="47"/>
      <c r="AI1426" s="30"/>
      <c r="AJ1426" s="30"/>
      <c r="AK1426" s="30"/>
      <c r="AL1426" s="30"/>
      <c r="AM1426" s="13"/>
      <c r="AN1426" s="13"/>
      <c r="AO1426" s="13"/>
      <c r="AP1426" s="13"/>
      <c r="AQ1426" s="13"/>
      <c r="AR1426" s="14"/>
      <c r="AS1426" s="15"/>
    </row>
    <row r="1427" spans="1:45" s="17" customFormat="1" ht="30.6" hidden="1" customHeight="1" x14ac:dyDescent="0.2">
      <c r="A1427" s="37"/>
      <c r="B1427" s="38"/>
      <c r="C1427" s="45"/>
      <c r="D1427" s="31">
        <v>3735130</v>
      </c>
      <c r="E1427" s="31">
        <v>4162173</v>
      </c>
      <c r="F1427" s="268" t="str">
        <f>IF(D1427="","",VLOOKUP(D1427,契約台帳!$A$3:$K$4986,6,FALSE)&amp;VLOOKUP(D1427,契約台帳!$A$3:$K$4986,7,FALSE)&amp;VLOOKUP(D1427,契約台帳!$A$3:$K$4986,8,FALSE)&amp;VLOOKUP(D1427,契約台帳!$A$3:$K$4986,9,FALSE)&amp;VLOOKUP(D1427,契約台帳!$A$3:$K$4986,11,FALSE))</f>
        <v>3TNMCLBHLGTV</v>
      </c>
      <c r="G1427" s="269" t="str">
        <f>IF(D1427="","",VLOOKUP(F1427,製品マスタ!$G$5:$H$5002,2,FALSE))</f>
        <v>T</v>
      </c>
      <c r="H1427" s="269" t="str">
        <f>IF(D1427="","",VLOOKUP(F1427,製品マスタ!$G$5:$K$5002,5,FALSE))</f>
        <v>HLGTV</v>
      </c>
      <c r="I1427" s="270" t="str">
        <f>IF(D1427="","",VLOOKUP(F1427,製品マスタ!$G$5:$L$5002,6,FALSE))</f>
        <v>メタルミー　ヘヤライン　銀艶Ｖ</v>
      </c>
      <c r="J1427" s="210" t="s">
        <v>464</v>
      </c>
      <c r="K1427" s="270">
        <f>IF(D1427="","",VLOOKUP(D1427,契約台帳!$A$3:$L$4986,12,FALSE))</f>
        <v>25</v>
      </c>
      <c r="L1427" s="270" t="s">
        <v>178</v>
      </c>
      <c r="M1427" s="39">
        <v>1005</v>
      </c>
      <c r="N1427" s="39">
        <v>8000</v>
      </c>
      <c r="O1427" s="156">
        <v>1</v>
      </c>
      <c r="P1427" s="47">
        <v>1</v>
      </c>
      <c r="Q1427" s="213">
        <v>45272</v>
      </c>
      <c r="R1427" s="271">
        <f ca="1">IF(D1427="","",IF(OFFSET(D1427,-1,0)&lt;&gt;"","",IF(OR(J1427="リード付け",J1427="巻足し",J1427="巻返しリード付け"),M1427,VLOOKUP(D1427,契約台帳!$A$3:$N$4986,14,FALSE))))</f>
        <v>1005</v>
      </c>
      <c r="S1427" s="272">
        <f ca="1">IF(D1427="","",IF(OFFSET(D1427,-1,0)&lt;&gt;"","",IF(OR(J1427="リード付け",J1427="巻足し",J1427="巻返しリード付け"),M1427,VLOOKUP(D1427,契約台帳!$A$3:$O$4986,15,FALSE))))</f>
        <v>1005</v>
      </c>
      <c r="T1427" s="273">
        <f ca="1">IF(D1427="","",IF(J1427="リード付け",N1427,IF(J1427="巻返しリード付け",N1427,IF(J1427="巻足し",N1427*P1427+OFFSET(N1427,1,0)*OFFSET(P1427,1,0),VLOOKUP(D1427,契約台帳!$A$3:$P$4986,16,FALSE)))))</f>
        <v>8000</v>
      </c>
      <c r="U1427" s="40">
        <v>1</v>
      </c>
      <c r="V1427" s="274">
        <f ca="1">IF(D1427="","",IF(OFFSET(D1427,-2,0)=D1427,"",VLOOKUP(D1427,契約台帳!$A$3:$R$4986,18,FALSE)))</f>
        <v>4</v>
      </c>
      <c r="W1427" s="269" t="str">
        <f ca="1">IF(D1427="","",IF(T1427="","",IF(OR(J1427="巻足し",J1427="巻返しリード付け"),"",IF(J1427="巻返し",VLOOKUP(F1427&amp;K1427&amp;M1427,製品マスタ!$M$5:$AD$5002,18,FALSE),IF(OR(J1427="リード付け",J1427="巻返しリード付け"),"原反コア",IF(J1427="スリット",VLOOKUP(F1427&amp;K1427&amp;R1427,製品マスタ!$N$5:$AD$5002,17,FALSE),""))))))</f>
        <v>原反コア</v>
      </c>
      <c r="X1427" s="269" t="str">
        <f ca="1">IF(D1427="","",IF(T1427="","",IF(J1427="巻足し","",IF(J1427="巻返し",VLOOKUP(F1427&amp;K1427&amp;M1427,製品マスタ!$M$5:$AE$5002,19,FALSE),IF(OR(J1427="リード付け",J1427="巻返しリード付け"),"",IF(J1427="スリット",VLOOKUP(F1427&amp;K1427&amp;R1427,製品マスタ!$N$5:$AE$5002,18,FALSE),""))))))</f>
        <v/>
      </c>
      <c r="Y1427" s="275">
        <f ca="1">IF(D1427="","",IF(T1427="","",VLOOKUP(D1427,契約台帳!$A$3:$Q$4986,17,FALSE)))</f>
        <v>2</v>
      </c>
      <c r="Z1427" s="269" t="str">
        <f ca="1">IF(D1427="","",IF(T1427="","",VLOOKUP(D1427,契約台帳!$A$3:$E$4986,5,FALSE)))</f>
        <v>リンテック㈱</v>
      </c>
      <c r="AA1427" s="57"/>
      <c r="AB1427" s="207" t="s">
        <v>774</v>
      </c>
      <c r="AC1427" s="33"/>
      <c r="AD1427" s="189"/>
      <c r="AE1427" s="54"/>
      <c r="AF1427" s="55">
        <f>+M1427*N1427*O1427/1000</f>
        <v>8040</v>
      </c>
      <c r="AG1427" s="43"/>
      <c r="AH1427" s="47"/>
      <c r="AI1427" s="30"/>
      <c r="AJ1427" s="30"/>
      <c r="AK1427" s="30"/>
      <c r="AL1427" s="30"/>
      <c r="AM1427" s="13"/>
      <c r="AN1427" s="13"/>
      <c r="AO1427" s="13"/>
      <c r="AP1427" s="13"/>
      <c r="AQ1427" s="13"/>
      <c r="AR1427" s="14"/>
      <c r="AS1427" s="15"/>
    </row>
    <row r="1428" spans="1:45" s="17" customFormat="1" ht="30.95" hidden="1" customHeight="1" x14ac:dyDescent="0.2">
      <c r="A1428" s="37"/>
      <c r="B1428" s="38"/>
      <c r="C1428" s="45"/>
      <c r="D1428" s="31"/>
      <c r="E1428" s="31"/>
      <c r="F1428" s="268"/>
      <c r="G1428" s="269"/>
      <c r="H1428" s="269"/>
      <c r="I1428" s="270"/>
      <c r="J1428" s="210"/>
      <c r="K1428" s="270"/>
      <c r="L1428" s="270"/>
      <c r="M1428" s="39"/>
      <c r="N1428" s="39"/>
      <c r="O1428" s="156"/>
      <c r="P1428" s="47"/>
      <c r="Q1428" s="57"/>
      <c r="R1428" s="338"/>
      <c r="S1428" s="272"/>
      <c r="T1428" s="273"/>
      <c r="U1428" s="40"/>
      <c r="V1428" s="277"/>
      <c r="W1428" s="269"/>
      <c r="X1428" s="269"/>
      <c r="Y1428" s="275"/>
      <c r="Z1428" s="269"/>
      <c r="AA1428" s="57"/>
      <c r="AB1428" s="207"/>
      <c r="AC1428" s="33"/>
      <c r="AD1428" s="189"/>
      <c r="AE1428" s="54"/>
      <c r="AF1428" s="55"/>
      <c r="AG1428" s="43"/>
      <c r="AH1428" s="47"/>
      <c r="AI1428" s="30"/>
      <c r="AJ1428" s="30"/>
      <c r="AK1428" s="30"/>
      <c r="AL1428" s="30"/>
      <c r="AM1428" s="13"/>
      <c r="AN1428" s="13"/>
      <c r="AO1428" s="13"/>
      <c r="AP1428" s="13"/>
      <c r="AQ1428" s="13"/>
      <c r="AR1428" s="14"/>
      <c r="AS1428" s="15"/>
    </row>
    <row r="1429" spans="1:45" s="17" customFormat="1" ht="30.95" hidden="1" customHeight="1" x14ac:dyDescent="0.2">
      <c r="A1429" s="37" t="s">
        <v>683</v>
      </c>
      <c r="B1429" s="38" t="s">
        <v>443</v>
      </c>
      <c r="C1429" s="45"/>
      <c r="D1429" s="31">
        <v>3731350</v>
      </c>
      <c r="E1429" s="31">
        <v>4162108</v>
      </c>
      <c r="F1429" s="268" t="str">
        <f>IF(D1429="","",VLOOKUP(D1429,契約台帳!$A$3:$K$4986,6,FALSE)&amp;VLOOKUP(D1429,契約台帳!$A$3:$K$4986,7,FALSE)&amp;VLOOKUP(D1429,契約台帳!$A$3:$K$4986,8,FALSE)&amp;VLOOKUP(D1429,契約台帳!$A$3:$K$4986,9,FALSE)&amp;VLOOKUP(D1429,契約台帳!$A$3:$K$4986,11,FALSE))</f>
        <v>3SNMLBMNGKKBF</v>
      </c>
      <c r="G1429" s="269" t="str">
        <f>IF(D1429="","",VLOOKUP(F1429,製品マスタ!$G$5:$H$5002,2,FALSE))</f>
        <v>S</v>
      </c>
      <c r="H1429" s="269" t="str">
        <f>IF(D1429="","",VLOOKUP(F1429,製品マスタ!$G$5:$K$5002,5,FALSE))</f>
        <v>MNGKKBF</v>
      </c>
      <c r="I1429" s="270" t="str">
        <f>IF(D1429="","",VLOOKUP(F1429,製品マスタ!$G$5:$L$5002,6,FALSE))</f>
        <v>メタルミー　ネーマー銀消改　Ｂ</v>
      </c>
      <c r="J1429" s="210" t="s">
        <v>935</v>
      </c>
      <c r="K1429" s="270">
        <f>IF(D1429="","",VLOOKUP(D1429,契約台帳!$A$3:$L$4986,12,FALSE))</f>
        <v>50</v>
      </c>
      <c r="L1429" s="270" t="str">
        <f>IF(D1429="","",INDEX(製品マスタ!$Q$5:$Q$5002,MATCH('S4'!F1429&amp;'S4'!K1429,製品マスタ!$AO$5:$AO$5002,0)))</f>
        <v>S99-MAT</v>
      </c>
      <c r="M1429" s="39">
        <v>1120</v>
      </c>
      <c r="N1429" s="39">
        <v>4000</v>
      </c>
      <c r="O1429" s="156">
        <v>18</v>
      </c>
      <c r="P1429" s="47">
        <v>3</v>
      </c>
      <c r="Q1429" s="213">
        <v>45240</v>
      </c>
      <c r="R1429" s="271">
        <f ca="1">IF(D1429="","",IF(OFFSET(D1429,-1,0)&lt;&gt;"","",IF(OR(J1429="リード付け",J1429="巻足し",J1429="巻返しリード付け"),M1429,VLOOKUP(D1429,契約台帳!$A$3:$N$4986,14,FALSE))))</f>
        <v>1120</v>
      </c>
      <c r="S1429" s="272">
        <f ca="1">IF(D1429="","",IF(OFFSET(D1429,-1,0)&lt;&gt;"","",IF(OR(J1429="リード付け",J1429="巻足し",J1429="巻返しリード付け"),M1429,VLOOKUP(D1429,契約台帳!$A$3:$O$4986,15,FALSE))))</f>
        <v>1120</v>
      </c>
      <c r="T1429" s="273">
        <f ca="1">IF(D1429="","",IF(J1429="リード付け",N1429,IF(J1429="巻返しリード付け",N1429,IF(J1429="巻足し",N1429*P1429+OFFSET(N1429,1,0)*OFFSET(P1429,1,0),VLOOKUP(D1429,契約台帳!$A$3:$P$4986,16,FALSE)))))</f>
        <v>12000</v>
      </c>
      <c r="U1429" s="40">
        <v>6</v>
      </c>
      <c r="V1429" s="274">
        <f ca="1">IF(D1429="","",IF(OFFSET(D1429,-2,0)=D1429,"",VLOOKUP(D1429,契約台帳!$A$3:$R$4986,18,FALSE)))</f>
        <v>18</v>
      </c>
      <c r="W1429" s="269" t="str">
        <f ca="1">IF(D1429="","",IF(T1429="","",IF(OR(J1429="巻足し",J1429="巻返しリード付け"),"",IF(J1429="巻返し",VLOOKUP(F1429&amp;K1429&amp;M1429,製品マスタ!$M$5:$AD$5002,18,FALSE),IF(OR(J1429="リード付け",J1429="巻返しリード付け"),"原反コア",IF(J1429="スリット",VLOOKUP(F1429&amp;K1429&amp;R1429,製品マスタ!$N$5:$AD$5002,17,FALSE),""))))))</f>
        <v/>
      </c>
      <c r="X1429" s="269" t="str">
        <f ca="1">IF(D1429="","",IF(T1429="","",IF(J1429="巻足し","",IF(J1429="巻返し",VLOOKUP(F1429&amp;K1429&amp;M1429,製品マスタ!$M$5:$AE$5002,19,FALSE),IF(OR(J1429="リード付け",J1429="巻返しリード付け"),"",IF(J1429="スリット",VLOOKUP(F1429&amp;K1429&amp;R1429,製品マスタ!$N$5:$AE$5002,18,FALSE),""))))))</f>
        <v/>
      </c>
      <c r="Y1429" s="275">
        <f ca="1">IF(D1429="","",IF(T1429="","",VLOOKUP(D1429,契約台帳!$A$3:$Q$4986,17,FALSE)))</f>
        <v>2</v>
      </c>
      <c r="Z1429" s="269" t="str">
        <f ca="1">IF(D1429="","",IF(T1429="","",VLOOKUP(D1429,契約台帳!$A$3:$E$4986,5,FALSE)))</f>
        <v>リンテック㈱</v>
      </c>
      <c r="AA1429" s="57"/>
      <c r="AB1429" s="207">
        <f>IFERROR((VLOOKUP(F1429&amp;K1429&amp;M1429,製品マスタ!$M$5:$AM$5002,27,FALSE)),"")</f>
        <v>0</v>
      </c>
      <c r="AC1429" s="33"/>
      <c r="AD1429" s="189"/>
      <c r="AE1429" s="54"/>
      <c r="AF1429" s="55">
        <f>+M1429*N1429*O1429/1000</f>
        <v>80640</v>
      </c>
      <c r="AG1429" s="43"/>
      <c r="AH1429" s="47"/>
      <c r="AI1429" s="30"/>
      <c r="AJ1429" s="30"/>
      <c r="AK1429" s="30"/>
      <c r="AL1429" s="30"/>
      <c r="AM1429" s="13"/>
      <c r="AN1429" s="13"/>
      <c r="AO1429" s="13"/>
      <c r="AP1429" s="13"/>
      <c r="AQ1429" s="13"/>
      <c r="AR1429" s="14"/>
      <c r="AS1429" s="15"/>
    </row>
    <row r="1430" spans="1:45" s="17" customFormat="1" ht="30.95" hidden="1" customHeight="1" x14ac:dyDescent="0.2">
      <c r="A1430" s="37"/>
      <c r="B1430" s="38"/>
      <c r="C1430" s="45"/>
      <c r="D1430" s="31"/>
      <c r="E1430" s="31"/>
      <c r="F1430" s="268"/>
      <c r="G1430" s="269"/>
      <c r="H1430" s="269"/>
      <c r="I1430" s="301"/>
      <c r="J1430" s="210"/>
      <c r="K1430" s="270"/>
      <c r="L1430" s="270"/>
      <c r="M1430" s="39"/>
      <c r="N1430" s="39"/>
      <c r="O1430" s="156"/>
      <c r="P1430" s="47"/>
      <c r="Q1430" s="57"/>
      <c r="R1430" s="338"/>
      <c r="S1430" s="272"/>
      <c r="T1430" s="273"/>
      <c r="U1430" s="40"/>
      <c r="V1430" s="277"/>
      <c r="W1430" s="269"/>
      <c r="X1430" s="269"/>
      <c r="Y1430" s="275"/>
      <c r="Z1430" s="269"/>
      <c r="AA1430" s="57"/>
      <c r="AB1430" s="207"/>
      <c r="AC1430" s="33"/>
      <c r="AD1430" s="189"/>
      <c r="AE1430" s="54"/>
      <c r="AF1430" s="55"/>
      <c r="AG1430" s="43"/>
      <c r="AH1430" s="47"/>
      <c r="AI1430" s="30"/>
      <c r="AJ1430" s="30"/>
      <c r="AK1430" s="30"/>
      <c r="AL1430" s="30"/>
      <c r="AM1430" s="13"/>
      <c r="AN1430" s="13"/>
      <c r="AO1430" s="13"/>
      <c r="AP1430" s="13"/>
      <c r="AQ1430" s="13"/>
      <c r="AR1430" s="14"/>
      <c r="AS1430" s="15"/>
    </row>
    <row r="1431" spans="1:45" s="17" customFormat="1" ht="30.95" hidden="1" customHeight="1" x14ac:dyDescent="0.2">
      <c r="A1431" s="37"/>
      <c r="B1431" s="38"/>
      <c r="C1431" s="45"/>
      <c r="D1431" s="31">
        <v>3735116</v>
      </c>
      <c r="E1431" s="31">
        <v>4162162</v>
      </c>
      <c r="F1431" s="268" t="str">
        <f>IF(D1431="","",VLOOKUP(D1431,契約台帳!$A$3:$K$4986,6,FALSE)&amp;VLOOKUP(D1431,契約台帳!$A$3:$K$4986,7,FALSE)&amp;VLOOKUP(D1431,契約台帳!$A$3:$K$4986,8,FALSE)&amp;VLOOKUP(D1431,契約台帳!$A$3:$K$4986,9,FALSE)&amp;VLOOKUP(D1431,契約台帳!$A$3:$K$4986,11,FALSE))</f>
        <v>3SNMLBMNGTBF</v>
      </c>
      <c r="G1431" s="269" t="str">
        <f>IF(D1431="","",VLOOKUP(F1431,製品マスタ!$G$5:$H$5002,2,FALSE))</f>
        <v>S</v>
      </c>
      <c r="H1431" s="269" t="str">
        <f>IF(D1431="","",VLOOKUP(F1431,製品マスタ!$G$5:$K$5002,5,FALSE))</f>
        <v>MNGTBF</v>
      </c>
      <c r="I1431" s="270" t="str">
        <f>IF(D1431="","",VLOOKUP(F1431,製品マスタ!$G$5:$L$5002,6,FALSE))</f>
        <v>メタルミー　ネーマー　銀艶　Ｂ</v>
      </c>
      <c r="J1431" s="210" t="s">
        <v>464</v>
      </c>
      <c r="K1431" s="270">
        <f>IF(D1431="","",VLOOKUP(D1431,契約台帳!$A$3:$L$4986,12,FALSE))</f>
        <v>25</v>
      </c>
      <c r="L1431" s="270" t="str">
        <f>IF(D1431="","",INDEX(製品マスタ!$Q$5:$Q$5002,MATCH('S4'!F1431&amp;'S4'!K1431,製品マスタ!$AO$5:$AO$5002,0)))</f>
        <v>T62M</v>
      </c>
      <c r="M1431" s="39">
        <v>1005</v>
      </c>
      <c r="N1431" s="39">
        <v>12100</v>
      </c>
      <c r="O1431" s="156">
        <v>5</v>
      </c>
      <c r="P1431" s="47">
        <v>1</v>
      </c>
      <c r="Q1431" s="213">
        <v>45274</v>
      </c>
      <c r="R1431" s="271">
        <f ca="1">IF(D1431="","",IF(OFFSET(D1431,-1,0)&lt;&gt;"","",IF(OR(J1431="リード付け",J1431="巻足し",J1431="巻返しリード付け"),M1431,VLOOKUP(D1431,契約台帳!$A$3:$N$4986,14,FALSE))))</f>
        <v>1005</v>
      </c>
      <c r="S1431" s="272">
        <f ca="1">IF(D1431="","",IF(OFFSET(D1431,-1,0)&lt;&gt;"","",IF(OR(J1431="リード付け",J1431="巻足し",J1431="巻返しリード付け"),M1431,VLOOKUP(D1431,契約台帳!$A$3:$O$4986,15,FALSE))))</f>
        <v>1005</v>
      </c>
      <c r="T1431" s="273">
        <f ca="1">IF(D1431="","",IF(J1431="リード付け",N1431,IF(J1431="巻返しリード付け",N1431,IF(J1431="巻足し",N1431*P1431+OFFSET(N1431,1,0)*OFFSET(P1431,1,0),VLOOKUP(D1431,契約台帳!$A$3:$P$4986,16,FALSE)))))</f>
        <v>12100</v>
      </c>
      <c r="U1431" s="40">
        <v>5</v>
      </c>
      <c r="V1431" s="274">
        <f ca="1">IF(D1431="","",IF(OFFSET(D1431,-2,0)=D1431,"",VLOOKUP(D1431,契約台帳!$A$3:$R$4986,18,FALSE)))</f>
        <v>15</v>
      </c>
      <c r="W1431" s="269" t="str">
        <f ca="1">IF(D1431="","",IF(T1431="","",IF(OR(J1431="巻足し",J1431="巻返しリード付け"),"",IF(J1431="巻返し",VLOOKUP(F1431&amp;K1431&amp;M1431,製品マスタ!$M$5:$AD$5002,18,FALSE),IF(OR(J1431="リード付け",J1431="巻返しリード付け"),"原反コア",IF(J1431="スリット",VLOOKUP(F1431&amp;K1431&amp;R1431,製品マスタ!$N$5:$AD$5002,17,FALSE),""))))))</f>
        <v>原反コア</v>
      </c>
      <c r="X1431" s="269" t="str">
        <f ca="1">IF(D1431="","",IF(T1431="","",IF(J1431="巻足し","",IF(J1431="巻返し",VLOOKUP(F1431&amp;K1431&amp;M1431,製品マスタ!$M$5:$AE$5002,19,FALSE),IF(OR(J1431="リード付け",J1431="巻返しリード付け"),"",IF(J1431="スリット",VLOOKUP(F1431&amp;K1431&amp;R1431,製品マスタ!$N$5:$AE$5002,18,FALSE),""))))))</f>
        <v/>
      </c>
      <c r="Y1431" s="275">
        <f ca="1">IF(D1431="","",IF(T1431="","",VLOOKUP(D1431,契約台帳!$A$3:$Q$4986,17,FALSE)))</f>
        <v>2</v>
      </c>
      <c r="Z1431" s="269" t="str">
        <f ca="1">IF(D1431="","",IF(T1431="","",VLOOKUP(D1431,契約台帳!$A$3:$E$4986,5,FALSE)))</f>
        <v>リンテック㈱</v>
      </c>
      <c r="AA1431" s="57"/>
      <c r="AB1431" s="207">
        <f>IFERROR((VLOOKUP(F1431&amp;K1431&amp;M1431,製品マスタ!$M$5:$AM$5002,27,FALSE)),"")</f>
        <v>0</v>
      </c>
      <c r="AC1431" s="33"/>
      <c r="AD1431" s="189"/>
      <c r="AE1431" s="54"/>
      <c r="AF1431" s="55">
        <f>+M1431*N1431*O1431/1000</f>
        <v>60802.5</v>
      </c>
      <c r="AG1431" s="43"/>
      <c r="AH1431" s="47"/>
      <c r="AI1431" s="30"/>
      <c r="AJ1431" s="30"/>
      <c r="AK1431" s="30"/>
      <c r="AL1431" s="30"/>
      <c r="AM1431" s="13"/>
      <c r="AN1431" s="13"/>
      <c r="AO1431" s="13"/>
      <c r="AP1431" s="13"/>
      <c r="AQ1431" s="13"/>
      <c r="AR1431" s="14"/>
      <c r="AS1431" s="15"/>
    </row>
    <row r="1432" spans="1:45" s="17" customFormat="1" ht="30.95" hidden="1" customHeight="1" x14ac:dyDescent="0.2">
      <c r="A1432" s="37"/>
      <c r="B1432" s="38"/>
      <c r="C1432" s="45"/>
      <c r="D1432" s="31"/>
      <c r="E1432" s="31"/>
      <c r="F1432" s="268"/>
      <c r="G1432" s="269"/>
      <c r="H1432" s="269"/>
      <c r="I1432" s="270"/>
      <c r="J1432" s="210"/>
      <c r="K1432" s="270"/>
      <c r="L1432" s="270"/>
      <c r="M1432" s="39"/>
      <c r="N1432" s="39"/>
      <c r="O1432" s="156"/>
      <c r="P1432" s="47"/>
      <c r="Q1432" s="57"/>
      <c r="R1432" s="338"/>
      <c r="S1432" s="272"/>
      <c r="T1432" s="273"/>
      <c r="U1432" s="40"/>
      <c r="V1432" s="277"/>
      <c r="W1432" s="269"/>
      <c r="X1432" s="269"/>
      <c r="Y1432" s="275"/>
      <c r="Z1432" s="269"/>
      <c r="AA1432" s="57"/>
      <c r="AB1432" s="207"/>
      <c r="AC1432" s="33"/>
      <c r="AD1432" s="189"/>
      <c r="AE1432" s="54"/>
      <c r="AF1432" s="55"/>
      <c r="AG1432" s="43"/>
      <c r="AH1432" s="47"/>
      <c r="AI1432" s="30"/>
      <c r="AJ1432" s="30"/>
      <c r="AK1432" s="30"/>
      <c r="AL1432" s="30"/>
      <c r="AM1432" s="13"/>
      <c r="AN1432" s="13"/>
      <c r="AO1432" s="13"/>
      <c r="AP1432" s="13"/>
      <c r="AQ1432" s="13"/>
      <c r="AR1432" s="14"/>
      <c r="AS1432" s="15"/>
    </row>
    <row r="1433" spans="1:45" s="17" customFormat="1" ht="30.95" hidden="1" customHeight="1" x14ac:dyDescent="0.2">
      <c r="A1433" s="37"/>
      <c r="B1433" s="38"/>
      <c r="C1433" s="45"/>
      <c r="D1433" s="31">
        <v>3737453</v>
      </c>
      <c r="E1433" s="31">
        <v>4162187</v>
      </c>
      <c r="F1433" s="268" t="str">
        <f>IF(D1433="","",VLOOKUP(D1433,契約台帳!$A$3:$K$4986,6,FALSE)&amp;VLOOKUP(D1433,契約台帳!$A$3:$K$4986,7,FALSE)&amp;VLOOKUP(D1433,契約台帳!$A$3:$K$4986,8,FALSE)&amp;VLOOKUP(D1433,契約台帳!$A$3:$K$4986,9,FALSE)&amp;VLOOKUP(D1433,契約台帳!$A$3:$K$4986,11,FALSE))</f>
        <v>3SYMLBMSNMBF</v>
      </c>
      <c r="G1433" s="269" t="str">
        <f>IF(D1433="","",VLOOKUP(F1433,製品マスタ!$G$5:$H$5002,2,FALSE))</f>
        <v>S</v>
      </c>
      <c r="H1433" s="269" t="str">
        <f>IF(D1433="","",VLOOKUP(F1433,製品マスタ!$G$5:$K$5002,5,FALSE))</f>
        <v>MSNMBF</v>
      </c>
      <c r="I1433" s="270" t="str">
        <f>IF(D1433="","",VLOOKUP(F1433,製品マスタ!$G$5:$L$5002,6,FALSE))</f>
        <v>ＭＥＴＡＬＵＭＹ　ＳＩＬＶＥＲ　Ｎ－ＭＡＴＴＥ　Ｘ４４Ｍ　Ｂ</v>
      </c>
      <c r="J1433" s="210" t="s">
        <v>935</v>
      </c>
      <c r="K1433" s="270">
        <f>IF(D1433="","",VLOOKUP(D1433,契約台帳!$A$3:$L$4986,12,FALSE))</f>
        <v>50</v>
      </c>
      <c r="L1433" s="270" t="str">
        <f>IF(D1433="","",INDEX(製品マスタ!$Q$5:$Q$5002,MATCH('S4'!F1433&amp;'S4'!K1433,製品マスタ!$AO$5:$AO$5002,0)))</f>
        <v>X44</v>
      </c>
      <c r="M1433" s="39">
        <v>1120</v>
      </c>
      <c r="N1433" s="39">
        <v>4000</v>
      </c>
      <c r="O1433" s="156">
        <v>4</v>
      </c>
      <c r="P1433" s="47">
        <v>2</v>
      </c>
      <c r="Q1433" s="213">
        <v>45274</v>
      </c>
      <c r="R1433" s="271">
        <f ca="1">IF(D1433="","",IF(OFFSET(D1433,-1,0)&lt;&gt;"","",IF(OR(J1433="リード付け",J1433="巻足し",J1433="巻返しリード付け"),M1433,VLOOKUP(D1433,契約台帳!$A$3:$N$4986,14,FALSE))))</f>
        <v>1120</v>
      </c>
      <c r="S1433" s="272">
        <f ca="1">IF(D1433="","",IF(OFFSET(D1433,-1,0)&lt;&gt;"","",IF(OR(J1433="リード付け",J1433="巻足し",J1433="巻返しリード付け"),M1433,VLOOKUP(D1433,契約台帳!$A$3:$O$4986,15,FALSE))))</f>
        <v>1120</v>
      </c>
      <c r="T1433" s="273">
        <f ca="1">IF(D1433="","",IF(J1433="リード付け",N1433,IF(J1433="巻返しリード付け",N1433,IF(J1433="巻足し",N1433*P1433+OFFSET(N1433,1,0)*OFFSET(P1433,1,0),VLOOKUP(D1433,契約台帳!$A$3:$P$4986,16,FALSE)))))</f>
        <v>8000</v>
      </c>
      <c r="U1433" s="40">
        <v>2</v>
      </c>
      <c r="V1433" s="274">
        <f ca="1">IF(D1433="","",IF(OFFSET(D1433,-2,0)=D1433,"",VLOOKUP(D1433,契約台帳!$A$3:$R$4986,18,FALSE)))</f>
        <v>4</v>
      </c>
      <c r="W1433" s="269" t="str">
        <f ca="1">IF(D1433="","",IF(T1433="","",IF(OR(J1433="巻足し",J1433="巻返しリード付け"),"",IF(J1433="巻返し",VLOOKUP(F1433&amp;K1433&amp;M1433,製品マスタ!$M$5:$AD$5002,18,FALSE),IF(OR(J1433="リード付け",J1433="巻返しリード付け"),"原反コア",IF(J1433="スリット",VLOOKUP(F1433&amp;K1433&amp;R1433,製品マスタ!$N$5:$AD$5002,17,FALSE),""))))))</f>
        <v/>
      </c>
      <c r="X1433" s="269" t="str">
        <f ca="1">IF(D1433="","",IF(T1433="","",IF(J1433="巻足し","",IF(J1433="巻返し",VLOOKUP(F1433&amp;K1433&amp;M1433,製品マスタ!$M$5:$AE$5002,19,FALSE),IF(OR(J1433="リード付け",J1433="巻返しリード付け"),"",IF(J1433="スリット",VLOOKUP(F1433&amp;K1433&amp;R1433,製品マスタ!$N$5:$AE$5002,18,FALSE),""))))))</f>
        <v/>
      </c>
      <c r="Y1433" s="275">
        <f ca="1">IF(D1433="","",IF(T1433="","",VLOOKUP(D1433,契約台帳!$A$3:$Q$4986,17,FALSE)))</f>
        <v>2</v>
      </c>
      <c r="Z1433" s="269" t="str">
        <f ca="1">IF(D1433="","",IF(T1433="","",VLOOKUP(D1433,契約台帳!$A$3:$E$4986,5,FALSE)))</f>
        <v>リンテック㈱</v>
      </c>
      <c r="AA1433" s="57"/>
      <c r="AB1433" s="207">
        <f>IFERROR((VLOOKUP(F1433&amp;K1433&amp;M1433,製品マスタ!$M$5:$AM$5002,27,FALSE)),"")</f>
        <v>0</v>
      </c>
      <c r="AC1433" s="33"/>
      <c r="AD1433" s="189"/>
      <c r="AE1433" s="54"/>
      <c r="AF1433" s="55">
        <f>+M1433*N1433*O1433/1000</f>
        <v>17920</v>
      </c>
      <c r="AG1433" s="43"/>
      <c r="AH1433" s="47"/>
      <c r="AI1433" s="30"/>
      <c r="AJ1433" s="30"/>
      <c r="AK1433" s="30"/>
      <c r="AL1433" s="30"/>
      <c r="AM1433" s="13"/>
      <c r="AN1433" s="13"/>
      <c r="AO1433" s="13"/>
      <c r="AP1433" s="13"/>
      <c r="AQ1433" s="13"/>
      <c r="AR1433" s="14"/>
      <c r="AS1433" s="15"/>
    </row>
    <row r="1434" spans="1:45" s="17" customFormat="1" ht="30.95" hidden="1" customHeight="1" x14ac:dyDescent="0.2">
      <c r="A1434" s="37"/>
      <c r="B1434" s="38"/>
      <c r="C1434" s="45"/>
      <c r="D1434" s="31"/>
      <c r="E1434" s="31"/>
      <c r="F1434" s="268"/>
      <c r="G1434" s="269"/>
      <c r="H1434" s="269"/>
      <c r="I1434" s="270"/>
      <c r="J1434" s="210"/>
      <c r="K1434" s="270"/>
      <c r="L1434" s="270"/>
      <c r="M1434" s="39"/>
      <c r="N1434" s="39"/>
      <c r="O1434" s="156"/>
      <c r="P1434" s="47"/>
      <c r="Q1434" s="57"/>
      <c r="R1434" s="338"/>
      <c r="S1434" s="272"/>
      <c r="T1434" s="273"/>
      <c r="U1434" s="40"/>
      <c r="V1434" s="277"/>
      <c r="W1434" s="269"/>
      <c r="X1434" s="269"/>
      <c r="Y1434" s="275"/>
      <c r="Z1434" s="269"/>
      <c r="AA1434" s="57"/>
      <c r="AB1434" s="207"/>
      <c r="AC1434" s="33"/>
      <c r="AD1434" s="189"/>
      <c r="AE1434" s="54"/>
      <c r="AF1434" s="55"/>
      <c r="AG1434" s="43"/>
      <c r="AH1434" s="47"/>
      <c r="AI1434" s="30"/>
      <c r="AJ1434" s="30"/>
      <c r="AK1434" s="30"/>
      <c r="AL1434" s="30"/>
      <c r="AM1434" s="13"/>
      <c r="AN1434" s="13"/>
      <c r="AO1434" s="13"/>
      <c r="AP1434" s="13"/>
      <c r="AQ1434" s="13"/>
      <c r="AR1434" s="14"/>
      <c r="AS1434" s="15"/>
    </row>
    <row r="1435" spans="1:45" s="17" customFormat="1" ht="30.95" hidden="1" customHeight="1" x14ac:dyDescent="0.2">
      <c r="A1435" s="37" t="s">
        <v>1882</v>
      </c>
      <c r="B1435" s="38" t="s">
        <v>444</v>
      </c>
      <c r="C1435" s="45"/>
      <c r="D1435" s="31">
        <v>3732646</v>
      </c>
      <c r="E1435" s="31">
        <v>4162135</v>
      </c>
      <c r="F1435" s="268" t="str">
        <f>IF(D1435="","",VLOOKUP(D1435,契約台帳!$A$3:$K$4986,6,FALSE)&amp;VLOOKUP(D1435,契約台帳!$A$3:$K$4986,7,FALSE)&amp;VLOOKUP(D1435,契約台帳!$A$3:$K$4986,8,FALSE)&amp;VLOOKUP(D1435,契約台帳!$A$3:$K$4986,9,FALSE)&amp;VLOOKUP(D1435,契約台帳!$A$3:$K$4986,11,FALSE))</f>
        <v>3SNMCLBMSNEYK</v>
      </c>
      <c r="G1435" s="269" t="str">
        <f>IF(D1435="","",VLOOKUP(F1435,製品マスタ!$G$5:$H$5002,2,FALSE))</f>
        <v>S</v>
      </c>
      <c r="H1435" s="269" t="str">
        <f>IF(D1435="","",VLOOKUP(F1435,製品マスタ!$G$5:$K$5002,5,FALSE))</f>
        <v>MSNEYK</v>
      </c>
      <c r="I1435" s="270" t="str">
        <f>IF(D1435="","",VLOOKUP(F1435,製品マスタ!$G$5:$L$5002,6,FALSE))</f>
        <v>ＭＳＮ　ＥＹＫ</v>
      </c>
      <c r="J1435" s="210" t="s">
        <v>935</v>
      </c>
      <c r="K1435" s="270">
        <f>IF(D1435="","",VLOOKUP(D1435,契約台帳!$A$3:$L$4986,12,FALSE))</f>
        <v>50</v>
      </c>
      <c r="L1435" s="270" t="str">
        <f>IF(D1435="","",INDEX(製品マスタ!$Q$5:$Q$5002,MATCH('S4'!F1435&amp;'S4'!K1435,製品マスタ!$AO$5:$AO$5002,0)))</f>
        <v>N-MAT</v>
      </c>
      <c r="M1435" s="39">
        <v>1200</v>
      </c>
      <c r="N1435" s="39">
        <v>6000</v>
      </c>
      <c r="O1435" s="156">
        <v>4</v>
      </c>
      <c r="P1435" s="47">
        <v>2</v>
      </c>
      <c r="Q1435" s="213">
        <v>45275</v>
      </c>
      <c r="R1435" s="271">
        <f ca="1">IF(D1435="","",IF(OFFSET(D1435,-1,0)&lt;&gt;"","",IF(OR(J1435="リード付け",J1435="巻足し",J1435="巻返しリード付け"),M1435,VLOOKUP(D1435,契約台帳!$A$3:$N$4986,14,FALSE))))</f>
        <v>1200</v>
      </c>
      <c r="S1435" s="272">
        <f ca="1">IF(D1435="","",IF(OFFSET(D1435,-1,0)&lt;&gt;"","",IF(OR(J1435="リード付け",J1435="巻足し",J1435="巻返しリード付け"),M1435,VLOOKUP(D1435,契約台帳!$A$3:$O$4986,15,FALSE))))</f>
        <v>1200</v>
      </c>
      <c r="T1435" s="273">
        <f ca="1">IF(D1435="","",IF(J1435="リード付け",N1435,IF(J1435="巻返しリード付け",N1435,IF(J1435="巻足し",N1435*P1435+OFFSET(N1435,1,0)*OFFSET(P1435,1,0),VLOOKUP(D1435,契約台帳!$A$3:$P$4986,16,FALSE)))))</f>
        <v>12000</v>
      </c>
      <c r="U1435" s="40">
        <v>2</v>
      </c>
      <c r="V1435" s="274">
        <f ca="1">IF(D1435="","",IF(OFFSET(D1435,-2,0)=D1435,"",VLOOKUP(D1435,契約台帳!$A$3:$R$4986,18,FALSE)))</f>
        <v>4</v>
      </c>
      <c r="W1435" s="269" t="str">
        <f ca="1">IF(D1435="","",IF(T1435="","",IF(OR(J1435="巻足し",J1435="巻返しリード付け"),"",IF(J1435="巻返し",VLOOKUP(F1435&amp;K1435&amp;M1435,製品マスタ!$M$5:$AD$5002,18,FALSE),IF(OR(J1435="リード付け",J1435="巻返しリード付け"),"原反コア",IF(J1435="スリット",VLOOKUP(F1435&amp;K1435&amp;R1435,製品マスタ!$N$5:$AD$5002,17,FALSE),""))))))</f>
        <v/>
      </c>
      <c r="X1435" s="269" t="str">
        <f ca="1">IF(D1435="","",IF(T1435="","",IF(J1435="巻足し","",IF(J1435="巻返し",VLOOKUP(F1435&amp;K1435&amp;M1435,製品マスタ!$M$5:$AE$5002,19,FALSE),IF(OR(J1435="リード付け",J1435="巻返しリード付け"),"",IF(J1435="スリット",VLOOKUP(F1435&amp;K1435&amp;R1435,製品マスタ!$N$5:$AE$5002,18,FALSE),""))))))</f>
        <v/>
      </c>
      <c r="Y1435" s="275">
        <f ca="1">IF(D1435="","",IF(T1435="","",VLOOKUP(D1435,契約台帳!$A$3:$Q$4986,17,FALSE)))</f>
        <v>2</v>
      </c>
      <c r="Z1435" s="269" t="str">
        <f ca="1">IF(D1435="","",IF(T1435="","",VLOOKUP(D1435,契約台帳!$A$3:$E$4986,5,FALSE)))</f>
        <v>大阪シーリング印刷㈱</v>
      </c>
      <c r="AA1435" s="57"/>
      <c r="AB1435" s="207" t="str">
        <f>IFERROR((VLOOKUP(F1435&amp;K1435&amp;M1435,製品マスタ!$M$5:$AM$5002,27,FALSE)),"")</f>
        <v>原反ケース再利用</v>
      </c>
      <c r="AC1435" s="33"/>
      <c r="AD1435" s="189"/>
      <c r="AE1435" s="54"/>
      <c r="AF1435" s="55">
        <f>+M1435*N1435*O1435/1000</f>
        <v>28800</v>
      </c>
      <c r="AG1435" s="43"/>
      <c r="AH1435" s="47"/>
      <c r="AI1435" s="30"/>
      <c r="AJ1435" s="30"/>
      <c r="AK1435" s="30"/>
      <c r="AL1435" s="30"/>
      <c r="AM1435" s="13"/>
      <c r="AN1435" s="13"/>
      <c r="AO1435" s="13"/>
      <c r="AP1435" s="13"/>
      <c r="AQ1435" s="13"/>
      <c r="AR1435" s="14"/>
      <c r="AS1435" s="15"/>
    </row>
    <row r="1436" spans="1:45" s="17" customFormat="1" ht="30.95" hidden="1" customHeight="1" x14ac:dyDescent="0.2">
      <c r="A1436" s="37"/>
      <c r="B1436" s="38"/>
      <c r="C1436" s="45"/>
      <c r="D1436" s="31"/>
      <c r="E1436" s="31"/>
      <c r="F1436" s="268"/>
      <c r="G1436" s="269"/>
      <c r="H1436" s="269"/>
      <c r="I1436" s="270"/>
      <c r="J1436" s="210"/>
      <c r="K1436" s="270"/>
      <c r="L1436" s="270"/>
      <c r="M1436" s="39"/>
      <c r="N1436" s="39"/>
      <c r="O1436" s="156"/>
      <c r="P1436" s="47"/>
      <c r="Q1436" s="57"/>
      <c r="R1436" s="338"/>
      <c r="S1436" s="272"/>
      <c r="T1436" s="273"/>
      <c r="U1436" s="40"/>
      <c r="V1436" s="277"/>
      <c r="W1436" s="269"/>
      <c r="X1436" s="269"/>
      <c r="Y1436" s="275"/>
      <c r="Z1436" s="269"/>
      <c r="AA1436" s="57"/>
      <c r="AB1436" s="207"/>
      <c r="AC1436" s="33"/>
      <c r="AD1436" s="189"/>
      <c r="AE1436" s="54"/>
      <c r="AF1436" s="55"/>
      <c r="AG1436" s="43"/>
      <c r="AH1436" s="47"/>
      <c r="AI1436" s="30"/>
      <c r="AJ1436" s="30"/>
      <c r="AK1436" s="30"/>
      <c r="AL1436" s="30"/>
      <c r="AM1436" s="13"/>
      <c r="AN1436" s="13"/>
      <c r="AO1436" s="13"/>
      <c r="AP1436" s="13"/>
      <c r="AQ1436" s="13"/>
      <c r="AR1436" s="14"/>
      <c r="AS1436" s="15"/>
    </row>
    <row r="1437" spans="1:45" s="17" customFormat="1" ht="30.95" hidden="1" customHeight="1" x14ac:dyDescent="0.2">
      <c r="A1437" s="37" t="s">
        <v>1832</v>
      </c>
      <c r="B1437" s="38" t="s">
        <v>1827</v>
      </c>
      <c r="C1437" s="45"/>
      <c r="D1437" s="31"/>
      <c r="E1437" s="31"/>
      <c r="F1437" s="268"/>
      <c r="G1437" s="269"/>
      <c r="H1437" s="269"/>
      <c r="I1437" s="270"/>
      <c r="J1437" s="210" t="s">
        <v>448</v>
      </c>
      <c r="K1437" s="270"/>
      <c r="L1437" s="270"/>
      <c r="M1437" s="39"/>
      <c r="N1437" s="39"/>
      <c r="O1437" s="156"/>
      <c r="P1437" s="47"/>
      <c r="Q1437" s="57"/>
      <c r="R1437" s="338"/>
      <c r="S1437" s="272"/>
      <c r="T1437" s="273"/>
      <c r="U1437" s="40"/>
      <c r="V1437" s="277"/>
      <c r="W1437" s="269"/>
      <c r="X1437" s="269"/>
      <c r="Y1437" s="275"/>
      <c r="Z1437" s="269"/>
      <c r="AA1437" s="57"/>
      <c r="AB1437" s="207"/>
      <c r="AC1437" s="33"/>
      <c r="AD1437" s="189"/>
      <c r="AE1437" s="54"/>
      <c r="AF1437" s="55"/>
      <c r="AG1437" s="43"/>
      <c r="AH1437" s="47"/>
      <c r="AI1437" s="30"/>
      <c r="AJ1437" s="30"/>
      <c r="AK1437" s="30"/>
      <c r="AL1437" s="30"/>
      <c r="AM1437" s="13"/>
      <c r="AN1437" s="13"/>
      <c r="AO1437" s="13"/>
      <c r="AP1437" s="13"/>
      <c r="AQ1437" s="13"/>
      <c r="AR1437" s="14"/>
      <c r="AS1437" s="15"/>
    </row>
    <row r="1438" spans="1:45" s="17" customFormat="1" ht="30.95" hidden="1" customHeight="1" x14ac:dyDescent="0.2">
      <c r="A1438" s="37"/>
      <c r="B1438" s="38"/>
      <c r="C1438" s="45"/>
      <c r="D1438" s="31"/>
      <c r="E1438" s="31"/>
      <c r="F1438" s="268"/>
      <c r="G1438" s="269"/>
      <c r="H1438" s="269"/>
      <c r="I1438" s="270"/>
      <c r="J1438" s="210"/>
      <c r="K1438" s="270"/>
      <c r="L1438" s="270"/>
      <c r="M1438" s="39"/>
      <c r="N1438" s="39"/>
      <c r="O1438" s="156"/>
      <c r="P1438" s="47"/>
      <c r="Q1438" s="57"/>
      <c r="R1438" s="338"/>
      <c r="S1438" s="272"/>
      <c r="T1438" s="273"/>
      <c r="U1438" s="40"/>
      <c r="V1438" s="277"/>
      <c r="W1438" s="269"/>
      <c r="X1438" s="269"/>
      <c r="Y1438" s="275"/>
      <c r="Z1438" s="269"/>
      <c r="AA1438" s="57"/>
      <c r="AB1438" s="207"/>
      <c r="AC1438" s="33"/>
      <c r="AD1438" s="189"/>
      <c r="AE1438" s="54"/>
      <c r="AF1438" s="55"/>
      <c r="AG1438" s="43"/>
      <c r="AH1438" s="47"/>
      <c r="AI1438" s="30"/>
      <c r="AJ1438" s="30"/>
      <c r="AK1438" s="30"/>
      <c r="AL1438" s="30"/>
      <c r="AM1438" s="13"/>
      <c r="AN1438" s="13"/>
      <c r="AO1438" s="13"/>
      <c r="AP1438" s="13"/>
      <c r="AQ1438" s="13"/>
      <c r="AR1438" s="14"/>
      <c r="AS1438" s="15"/>
    </row>
    <row r="1439" spans="1:45" s="17" customFormat="1" ht="30.95" hidden="1" customHeight="1" x14ac:dyDescent="0.2">
      <c r="A1439" s="37" t="s">
        <v>1833</v>
      </c>
      <c r="B1439" s="38" t="s">
        <v>1829</v>
      </c>
      <c r="C1439" s="45"/>
      <c r="D1439" s="31"/>
      <c r="E1439" s="31"/>
      <c r="F1439" s="268"/>
      <c r="G1439" s="269"/>
      <c r="H1439" s="269"/>
      <c r="I1439" s="270"/>
      <c r="J1439" s="210" t="s">
        <v>448</v>
      </c>
      <c r="K1439" s="270"/>
      <c r="L1439" s="270"/>
      <c r="M1439" s="39"/>
      <c r="N1439" s="39"/>
      <c r="O1439" s="156"/>
      <c r="P1439" s="47"/>
      <c r="Q1439" s="57"/>
      <c r="R1439" s="338"/>
      <c r="S1439" s="272"/>
      <c r="T1439" s="273"/>
      <c r="U1439" s="40"/>
      <c r="V1439" s="277"/>
      <c r="W1439" s="269"/>
      <c r="X1439" s="269"/>
      <c r="Y1439" s="275"/>
      <c r="Z1439" s="269"/>
      <c r="AA1439" s="57"/>
      <c r="AB1439" s="207"/>
      <c r="AC1439" s="33"/>
      <c r="AD1439" s="189"/>
      <c r="AE1439" s="54"/>
      <c r="AF1439" s="55"/>
      <c r="AG1439" s="43"/>
      <c r="AH1439" s="47"/>
      <c r="AI1439" s="30"/>
      <c r="AJ1439" s="30"/>
      <c r="AK1439" s="30"/>
      <c r="AL1439" s="30"/>
      <c r="AM1439" s="13"/>
      <c r="AN1439" s="13"/>
      <c r="AO1439" s="13"/>
      <c r="AP1439" s="13"/>
      <c r="AQ1439" s="13"/>
      <c r="AR1439" s="14"/>
      <c r="AS1439" s="15"/>
    </row>
    <row r="1440" spans="1:45" s="17" customFormat="1" ht="30.95" hidden="1" customHeight="1" x14ac:dyDescent="0.2">
      <c r="A1440" s="37"/>
      <c r="B1440" s="38"/>
      <c r="C1440" s="45"/>
      <c r="D1440" s="31"/>
      <c r="E1440" s="31"/>
      <c r="F1440" s="268"/>
      <c r="G1440" s="269"/>
      <c r="H1440" s="269"/>
      <c r="I1440" s="270"/>
      <c r="J1440" s="210"/>
      <c r="K1440" s="270"/>
      <c r="L1440" s="270"/>
      <c r="M1440" s="39"/>
      <c r="N1440" s="39"/>
      <c r="O1440" s="156"/>
      <c r="P1440" s="47"/>
      <c r="Q1440" s="57"/>
      <c r="R1440" s="338"/>
      <c r="S1440" s="272"/>
      <c r="T1440" s="273"/>
      <c r="U1440" s="40"/>
      <c r="V1440" s="277"/>
      <c r="W1440" s="269"/>
      <c r="X1440" s="269"/>
      <c r="Y1440" s="275"/>
      <c r="Z1440" s="269"/>
      <c r="AA1440" s="57"/>
      <c r="AB1440" s="207"/>
      <c r="AC1440" s="33"/>
      <c r="AD1440" s="189"/>
      <c r="AE1440" s="54"/>
      <c r="AF1440" s="55"/>
      <c r="AG1440" s="43"/>
      <c r="AH1440" s="47"/>
      <c r="AI1440" s="30"/>
      <c r="AJ1440" s="30"/>
      <c r="AK1440" s="30"/>
      <c r="AL1440" s="30"/>
      <c r="AM1440" s="13"/>
      <c r="AN1440" s="13"/>
      <c r="AO1440" s="13"/>
      <c r="AP1440" s="13"/>
      <c r="AQ1440" s="13"/>
      <c r="AR1440" s="14"/>
      <c r="AS1440" s="15"/>
    </row>
    <row r="1441" spans="1:45" s="17" customFormat="1" ht="30.95" hidden="1" customHeight="1" x14ac:dyDescent="0.2">
      <c r="A1441" s="37" t="s">
        <v>678</v>
      </c>
      <c r="B1441" s="38" t="s">
        <v>462</v>
      </c>
      <c r="C1441" s="45"/>
      <c r="D1441" s="31">
        <v>3735102</v>
      </c>
      <c r="E1441" s="31">
        <v>4141067</v>
      </c>
      <c r="F1441" s="268" t="str">
        <f>IF(D1441="","",VLOOKUP(D1441,契約台帳!$A$3:$K$4986,6,FALSE)&amp;VLOOKUP(D1441,契約台帳!$A$3:$K$4986,7,FALSE)&amp;VLOOKUP(D1441,契約台帳!$A$3:$K$4986,8,FALSE)&amp;VLOOKUP(D1441,契約台帳!$A$3:$K$4986,9,FALSE)&amp;VLOOKUP(D1441,契約台帳!$A$3:$K$4986,11,FALSE))</f>
        <v>3HSNMCLBWCB</v>
      </c>
      <c r="G1441" s="269" t="str">
        <f>IF(D1441="","",VLOOKUP(F1441,製品マスタ!$G$5:$H$5002,2,FALSE))</f>
        <v>S</v>
      </c>
      <c r="H1441" s="269" t="str">
        <f>IF(D1441="","",VLOOKUP(F1441,製品マスタ!$G$5:$K$5002,5,FALSE))</f>
        <v>WCB</v>
      </c>
      <c r="I1441" s="270" t="str">
        <f>IF(D1441="","",VLOOKUP(F1441,製品マスタ!$G$5:$L$5002,6,FALSE))</f>
        <v>メタルミー　ホワイトコート　（Ｂ）</v>
      </c>
      <c r="J1441" s="210" t="s">
        <v>463</v>
      </c>
      <c r="K1441" s="270">
        <f>IF(D1441="","",VLOOKUP(D1441,契約台帳!$A$3:$L$4986,12,FALSE))</f>
        <v>50</v>
      </c>
      <c r="L1441" s="270" t="s">
        <v>1759</v>
      </c>
      <c r="M1441" s="39">
        <v>1195</v>
      </c>
      <c r="N1441" s="39">
        <v>10600</v>
      </c>
      <c r="O1441" s="156">
        <v>1</v>
      </c>
      <c r="P1441" s="47">
        <v>1</v>
      </c>
      <c r="Q1441" s="57"/>
      <c r="R1441" s="271">
        <f ca="1">IF(D1441="","",IF(OFFSET(D1441,-1,0)&lt;&gt;"","",IF(OR(J1441="リード付け",J1441="巻足し",J1441="巻返しリード付け"),M1441,VLOOKUP(D1441,契約台帳!$A$3:$N$4986,14,FALSE))))</f>
        <v>1120</v>
      </c>
      <c r="S1441" s="272">
        <f ca="1">IF(D1441="","",IF(OFFSET(D1441,-1,0)&lt;&gt;"","",IF(OR(J1441="リード付け",J1441="巻足し",J1441="巻返しリード付け"),M1441,VLOOKUP(D1441,契約台帳!$A$3:$O$4986,15,FALSE))))</f>
        <v>1120</v>
      </c>
      <c r="T1441" s="273">
        <f ca="1">IF(D1441="","",IF(J1441="リード付け",N1441,IF(J1441="巻返しリード付け",N1441,IF(J1441="巻足し",N1441*P1441+OFFSET(N1441,1,0)*OFFSET(P1441,1,0),VLOOKUP(D1441,契約台帳!$A$3:$P$4986,16,FALSE)))))</f>
        <v>5000</v>
      </c>
      <c r="U1441" s="40">
        <v>2</v>
      </c>
      <c r="V1441" s="274">
        <f ca="1">IF(D1441="","",IF(OFFSET(D1441,-2,0)=D1441,"",VLOOKUP(D1441,契約台帳!$A$3:$R$4986,18,FALSE)))</f>
        <v>3</v>
      </c>
      <c r="W1441" s="269" t="s">
        <v>806</v>
      </c>
      <c r="X1441" s="269">
        <v>1140</v>
      </c>
      <c r="Y1441" s="275">
        <f ca="1">IF(D1441="","",IF(T1441="","",VLOOKUP(D1441,契約台帳!$A$3:$Q$4986,17,FALSE)))</f>
        <v>2</v>
      </c>
      <c r="Z1441" s="269" t="str">
        <f ca="1">IF(D1441="","",IF(T1441="","",VLOOKUP(D1441,契約台帳!$A$3:$E$4986,5,FALSE)))</f>
        <v>新タック化成㈱</v>
      </c>
      <c r="AA1441" s="57"/>
      <c r="AB1441" s="207"/>
      <c r="AC1441" s="33"/>
      <c r="AD1441" s="189"/>
      <c r="AE1441" s="54"/>
      <c r="AF1441" s="55"/>
      <c r="AG1441" s="43"/>
      <c r="AH1441" s="47"/>
      <c r="AI1441" s="30"/>
      <c r="AJ1441" s="30"/>
      <c r="AK1441" s="30"/>
      <c r="AL1441" s="30"/>
      <c r="AM1441" s="13"/>
      <c r="AN1441" s="13"/>
      <c r="AO1441" s="13"/>
      <c r="AP1441" s="13"/>
      <c r="AQ1441" s="13"/>
      <c r="AR1441" s="14"/>
      <c r="AS1441" s="15"/>
    </row>
    <row r="1442" spans="1:45" s="17" customFormat="1" ht="30.95" hidden="1" customHeight="1" x14ac:dyDescent="0.2">
      <c r="A1442" s="37"/>
      <c r="B1442" s="38"/>
      <c r="C1442" s="45"/>
      <c r="D1442" s="31"/>
      <c r="E1442" s="31"/>
      <c r="F1442" s="268"/>
      <c r="G1442" s="269"/>
      <c r="H1442" s="269"/>
      <c r="I1442" s="270"/>
      <c r="J1442" s="210"/>
      <c r="K1442" s="270"/>
      <c r="L1442" s="270"/>
      <c r="M1442" s="39"/>
      <c r="N1442" s="39"/>
      <c r="O1442" s="156"/>
      <c r="P1442" s="47"/>
      <c r="Q1442" s="57"/>
      <c r="R1442" s="338"/>
      <c r="S1442" s="272"/>
      <c r="T1442" s="273"/>
      <c r="U1442" s="40"/>
      <c r="V1442" s="277"/>
      <c r="W1442" s="269"/>
      <c r="X1442" s="269"/>
      <c r="Y1442" s="275"/>
      <c r="Z1442" s="269"/>
      <c r="AA1442" s="57"/>
      <c r="AB1442" s="207"/>
      <c r="AC1442" s="33"/>
      <c r="AD1442" s="189"/>
      <c r="AE1442" s="54"/>
      <c r="AF1442" s="55"/>
      <c r="AG1442" s="43"/>
      <c r="AH1442" s="47"/>
      <c r="AI1442" s="30"/>
      <c r="AJ1442" s="30"/>
      <c r="AK1442" s="30"/>
      <c r="AL1442" s="30"/>
      <c r="AM1442" s="13"/>
      <c r="AN1442" s="13"/>
      <c r="AO1442" s="13"/>
      <c r="AP1442" s="13"/>
      <c r="AQ1442" s="13"/>
      <c r="AR1442" s="14"/>
      <c r="AS1442" s="15"/>
    </row>
    <row r="1443" spans="1:45" s="17" customFormat="1" ht="30.95" hidden="1" customHeight="1" x14ac:dyDescent="0.2">
      <c r="A1443" s="37"/>
      <c r="B1443" s="38"/>
      <c r="C1443" s="45"/>
      <c r="D1443" s="31">
        <v>3735102</v>
      </c>
      <c r="E1443" s="31">
        <v>4141067</v>
      </c>
      <c r="F1443" s="268" t="str">
        <f>IF(D1443="","",VLOOKUP(D1443,契約台帳!$A$3:$K$4986,6,FALSE)&amp;VLOOKUP(D1443,契約台帳!$A$3:$K$4986,7,FALSE)&amp;VLOOKUP(D1443,契約台帳!$A$3:$K$4986,8,FALSE)&amp;VLOOKUP(D1443,契約台帳!$A$3:$K$4986,9,FALSE)&amp;VLOOKUP(D1443,契約台帳!$A$3:$K$4986,11,FALSE))</f>
        <v>3HSNMCLBWCB</v>
      </c>
      <c r="G1443" s="269" t="str">
        <f>IF(D1443="","",VLOOKUP(F1443,製品マスタ!$G$5:$H$5002,2,FALSE))</f>
        <v>S</v>
      </c>
      <c r="H1443" s="269" t="str">
        <f>IF(D1443="","",VLOOKUP(F1443,製品マスタ!$G$5:$K$5002,5,FALSE))</f>
        <v>WCB</v>
      </c>
      <c r="I1443" s="270" t="str">
        <f>IF(D1443="","",VLOOKUP(F1443,製品マスタ!$G$5:$L$5002,6,FALSE))</f>
        <v>メタルミー　ホワイトコート　（Ｂ）</v>
      </c>
      <c r="J1443" s="210" t="s">
        <v>463</v>
      </c>
      <c r="K1443" s="270">
        <f>IF(D1443="","",VLOOKUP(D1443,契約台帳!$A$3:$L$4986,12,FALSE))</f>
        <v>50</v>
      </c>
      <c r="L1443" s="270" t="s">
        <v>1759</v>
      </c>
      <c r="M1443" s="39">
        <v>1195</v>
      </c>
      <c r="N1443" s="39">
        <v>5300</v>
      </c>
      <c r="O1443" s="156">
        <v>1</v>
      </c>
      <c r="P1443" s="47">
        <v>1</v>
      </c>
      <c r="Q1443" s="57"/>
      <c r="R1443" s="271">
        <f ca="1">IF(D1443="","",IF(OFFSET(D1443,-1,0)&lt;&gt;"","",IF(OR(J1443="リード付け",J1443="巻足し",J1443="巻返しリード付け"),M1443,VLOOKUP(D1443,契約台帳!$A$3:$N$4986,14,FALSE))))</f>
        <v>1120</v>
      </c>
      <c r="S1443" s="272">
        <f ca="1">IF(D1443="","",IF(OFFSET(D1443,-1,0)&lt;&gt;"","",IF(OR(J1443="リード付け",J1443="巻足し",J1443="巻返しリード付け"),M1443,VLOOKUP(D1443,契約台帳!$A$3:$O$4986,15,FALSE))))</f>
        <v>1120</v>
      </c>
      <c r="T1443" s="273">
        <f ca="1">IF(D1443="","",IF(J1443="リード付け",N1443,IF(J1443="巻返しリード付け",N1443,IF(J1443="巻足し",N1443*P1443+OFFSET(N1443,1,0)*OFFSET(P1443,1,0),VLOOKUP(D1443,契約台帳!$A$3:$P$4986,16,FALSE)))))</f>
        <v>5000</v>
      </c>
      <c r="U1443" s="40">
        <v>1</v>
      </c>
      <c r="V1443" s="274" t="str">
        <f ca="1">IF(D1443="","",IF(OFFSET(D1443,-2,0)=D1443,"",VLOOKUP(D1443,契約台帳!$A$3:$R$4986,18,FALSE)))</f>
        <v/>
      </c>
      <c r="W1443" s="269" t="s">
        <v>806</v>
      </c>
      <c r="X1443" s="269">
        <v>1140</v>
      </c>
      <c r="Y1443" s="275">
        <f ca="1">IF(D1443="","",IF(T1443="","",VLOOKUP(D1443,契約台帳!$A$3:$Q$4986,17,FALSE)))</f>
        <v>2</v>
      </c>
      <c r="Z1443" s="269" t="str">
        <f ca="1">IF(D1443="","",IF(T1443="","",VLOOKUP(D1443,契約台帳!$A$3:$E$4986,5,FALSE)))</f>
        <v>新タック化成㈱</v>
      </c>
      <c r="AA1443" s="57"/>
      <c r="AB1443" s="207"/>
      <c r="AC1443" s="33"/>
      <c r="AD1443" s="189"/>
      <c r="AE1443" s="54"/>
      <c r="AF1443" s="55"/>
      <c r="AG1443" s="43"/>
      <c r="AH1443" s="47"/>
      <c r="AI1443" s="30"/>
      <c r="AJ1443" s="30"/>
      <c r="AK1443" s="30"/>
      <c r="AL1443" s="30"/>
      <c r="AM1443" s="13"/>
      <c r="AN1443" s="13"/>
      <c r="AO1443" s="13"/>
      <c r="AP1443" s="13"/>
      <c r="AQ1443" s="13"/>
      <c r="AR1443" s="14"/>
      <c r="AS1443" s="15"/>
    </row>
    <row r="1444" spans="1:45" s="17" customFormat="1" ht="30.95" hidden="1" customHeight="1" x14ac:dyDescent="0.2">
      <c r="A1444" s="37"/>
      <c r="B1444" s="38"/>
      <c r="C1444" s="45"/>
      <c r="D1444" s="31"/>
      <c r="E1444" s="31"/>
      <c r="F1444" s="268"/>
      <c r="G1444" s="269"/>
      <c r="H1444" s="269"/>
      <c r="I1444" s="270"/>
      <c r="J1444" s="210"/>
      <c r="K1444" s="270"/>
      <c r="L1444" s="270"/>
      <c r="M1444" s="39"/>
      <c r="N1444" s="39"/>
      <c r="O1444" s="156"/>
      <c r="P1444" s="47"/>
      <c r="Q1444" s="57"/>
      <c r="R1444" s="338"/>
      <c r="S1444" s="272"/>
      <c r="T1444" s="273"/>
      <c r="U1444" s="40"/>
      <c r="V1444" s="277"/>
      <c r="W1444" s="269"/>
      <c r="X1444" s="269"/>
      <c r="Y1444" s="275"/>
      <c r="Z1444" s="269"/>
      <c r="AA1444" s="57"/>
      <c r="AB1444" s="207"/>
      <c r="AC1444" s="33"/>
      <c r="AD1444" s="189"/>
      <c r="AE1444" s="54"/>
      <c r="AF1444" s="55"/>
      <c r="AG1444" s="43"/>
      <c r="AH1444" s="47"/>
      <c r="AI1444" s="30"/>
      <c r="AJ1444" s="30"/>
      <c r="AK1444" s="30"/>
      <c r="AL1444" s="30"/>
      <c r="AM1444" s="13"/>
      <c r="AN1444" s="13"/>
      <c r="AO1444" s="13"/>
      <c r="AP1444" s="13"/>
      <c r="AQ1444" s="13"/>
      <c r="AR1444" s="14"/>
      <c r="AS1444" s="15"/>
    </row>
    <row r="1445" spans="1:45" s="17" customFormat="1" ht="30.95" hidden="1" customHeight="1" x14ac:dyDescent="0.2">
      <c r="A1445" s="37" t="s">
        <v>1849</v>
      </c>
      <c r="B1445" s="38" t="s">
        <v>1844</v>
      </c>
      <c r="C1445" s="45"/>
      <c r="D1445" s="31"/>
      <c r="E1445" s="31"/>
      <c r="F1445" s="268"/>
      <c r="G1445" s="269"/>
      <c r="H1445" s="269"/>
      <c r="I1445" s="270"/>
      <c r="J1445" s="210"/>
      <c r="K1445" s="270"/>
      <c r="L1445" s="270"/>
      <c r="M1445" s="39"/>
      <c r="N1445" s="39"/>
      <c r="O1445" s="156"/>
      <c r="P1445" s="47"/>
      <c r="Q1445" s="57"/>
      <c r="R1445" s="338"/>
      <c r="S1445" s="272"/>
      <c r="T1445" s="273"/>
      <c r="U1445" s="40"/>
      <c r="V1445" s="277"/>
      <c r="W1445" s="269"/>
      <c r="X1445" s="269"/>
      <c r="Y1445" s="275"/>
      <c r="Z1445" s="269"/>
      <c r="AA1445" s="57"/>
      <c r="AB1445" s="207"/>
      <c r="AC1445" s="33"/>
      <c r="AD1445" s="189"/>
      <c r="AE1445" s="54"/>
      <c r="AF1445" s="55"/>
      <c r="AG1445" s="43"/>
      <c r="AH1445" s="47"/>
      <c r="AI1445" s="30"/>
      <c r="AJ1445" s="30"/>
      <c r="AK1445" s="30"/>
      <c r="AL1445" s="30"/>
      <c r="AM1445" s="13"/>
      <c r="AN1445" s="13"/>
      <c r="AO1445" s="13"/>
      <c r="AP1445" s="13"/>
      <c r="AQ1445" s="13"/>
      <c r="AR1445" s="14"/>
      <c r="AS1445" s="15"/>
    </row>
    <row r="1446" spans="1:45" s="17" customFormat="1" ht="30.95" hidden="1" customHeight="1" x14ac:dyDescent="0.2">
      <c r="A1446" s="37"/>
      <c r="B1446" s="38"/>
      <c r="C1446" s="45"/>
      <c r="D1446" s="31"/>
      <c r="E1446" s="31"/>
      <c r="F1446" s="268"/>
      <c r="G1446" s="269"/>
      <c r="H1446" s="269"/>
      <c r="I1446" s="270"/>
      <c r="J1446" s="210"/>
      <c r="K1446" s="270"/>
      <c r="L1446" s="270"/>
      <c r="M1446" s="39"/>
      <c r="N1446" s="39"/>
      <c r="O1446" s="156"/>
      <c r="P1446" s="47"/>
      <c r="Q1446" s="57"/>
      <c r="R1446" s="338"/>
      <c r="S1446" s="272"/>
      <c r="T1446" s="273"/>
      <c r="U1446" s="40"/>
      <c r="V1446" s="277"/>
      <c r="W1446" s="269"/>
      <c r="X1446" s="269"/>
      <c r="Y1446" s="275"/>
      <c r="Z1446" s="269"/>
      <c r="AA1446" s="57"/>
      <c r="AB1446" s="207"/>
      <c r="AC1446" s="33"/>
      <c r="AD1446" s="189"/>
      <c r="AE1446" s="54"/>
      <c r="AF1446" s="55"/>
      <c r="AG1446" s="43"/>
      <c r="AH1446" s="47"/>
      <c r="AI1446" s="30"/>
      <c r="AJ1446" s="30"/>
      <c r="AK1446" s="30"/>
      <c r="AL1446" s="30"/>
      <c r="AM1446" s="13"/>
      <c r="AN1446" s="13"/>
      <c r="AO1446" s="13"/>
      <c r="AP1446" s="13"/>
      <c r="AQ1446" s="13"/>
      <c r="AR1446" s="14"/>
      <c r="AS1446" s="15"/>
    </row>
    <row r="1447" spans="1:45" s="17" customFormat="1" ht="30.95" hidden="1" customHeight="1" x14ac:dyDescent="0.2">
      <c r="A1447" s="37" t="s">
        <v>1850</v>
      </c>
      <c r="B1447" s="38" t="s">
        <v>1845</v>
      </c>
      <c r="C1447" s="45"/>
      <c r="D1447" s="31">
        <v>3735101</v>
      </c>
      <c r="E1447" s="31">
        <v>4141076</v>
      </c>
      <c r="F1447" s="268" t="str">
        <f>IF(D1447="","",VLOOKUP(D1447,契約台帳!$A$3:$K$4986,6,FALSE)&amp;VLOOKUP(D1447,契約台帳!$A$3:$K$4986,7,FALSE)&amp;VLOOKUP(D1447,契約台帳!$A$3:$K$4986,8,FALSE)&amp;VLOOKUP(D1447,契約台帳!$A$3:$K$4986,9,FALSE)&amp;VLOOKUP(D1447,契約台帳!$A$3:$K$4986,11,FALSE))</f>
        <v>3XSNMCLBEYK</v>
      </c>
      <c r="G1447" s="269" t="str">
        <f>IF(D1447="","",VLOOKUP(F1447,製品マスタ!$G$5:$H$5002,2,FALSE))</f>
        <v>S</v>
      </c>
      <c r="H1447" s="269" t="str">
        <f>IF(D1447="","",VLOOKUP(F1447,製品マスタ!$G$5:$K$5002,5,FALSE))</f>
        <v>EYK</v>
      </c>
      <c r="I1447" s="270" t="str">
        <f>IF(D1447="","",VLOOKUP(F1447,製品マスタ!$G$5:$L$5002,6,FALSE))</f>
        <v>メタルミー　ＥＹＫ</v>
      </c>
      <c r="J1447" s="210" t="s">
        <v>447</v>
      </c>
      <c r="K1447" s="270">
        <f>IF(D1447="","",VLOOKUP(D1447,契約台帳!$A$3:$L$4986,12,FALSE))</f>
        <v>50</v>
      </c>
      <c r="L1447" s="270" t="str">
        <f>IF(D1447="","",INDEX(製品マスタ!$Q$5:$Q$5002,MATCH('S4'!F1447&amp;'S4'!K1447,製品マスタ!$AO$5:$AO$5002,0)))</f>
        <v>T62M</v>
      </c>
      <c r="M1447" s="39">
        <v>1195</v>
      </c>
      <c r="N1447" s="39">
        <v>12200</v>
      </c>
      <c r="O1447" s="156">
        <v>1</v>
      </c>
      <c r="P1447" s="47">
        <v>1</v>
      </c>
      <c r="Q1447" s="57"/>
      <c r="R1447" s="271">
        <f ca="1">IF(D1447="","",IF(OFFSET(D1447,-1,0)&lt;&gt;"","",IF(OR(J1447="リード付け",J1447="巻足し",J1447="巻返しリード付け"),M1447,VLOOKUP(D1447,契約台帳!$A$3:$N$4986,14,FALSE))))</f>
        <v>1120</v>
      </c>
      <c r="S1447" s="272">
        <f ca="1">IF(D1447="","",IF(OFFSET(D1447,-1,0)&lt;&gt;"","",IF(OR(J1447="リード付け",J1447="巻足し",J1447="巻返しリード付け"),M1447,VLOOKUP(D1447,契約台帳!$A$3:$O$4986,15,FALSE))))</f>
        <v>1120</v>
      </c>
      <c r="T1447" s="273">
        <f ca="1">IF(D1447="","",IF(J1447="リード付け",N1447,IF(J1447="巻返しリード付け",N1447,IF(J1447="巻足し",N1447*P1447+OFFSET(N1447,1,0)*OFFSET(P1447,1,0),VLOOKUP(D1447,契約台帳!$A$3:$P$4986,16,FALSE)))))</f>
        <v>6000</v>
      </c>
      <c r="U1447" s="40">
        <v>2</v>
      </c>
      <c r="V1447" s="274">
        <f ca="1">IF(D1447="","",IF(OFFSET(D1447,-2,0)=D1447,"",VLOOKUP(D1447,契約台帳!$A$3:$R$4986,18,FALSE)))</f>
        <v>2</v>
      </c>
      <c r="W1447" s="269" t="str">
        <f ca="1">IF(D1447="","",IF(T1447="","",IF(OR(J1447="巻足し",J1447="巻返しリード付け"),"",IF(J1447="巻返し",VLOOKUP(F1447&amp;K1447&amp;M1447,製品マスタ!$M$5:$AD$5002,18,FALSE),IF(OR(J1447="リード付け",J1447="巻返しリード付け"),"原反コア",IF(J1447="スリット",VLOOKUP(F1447&amp;K1447&amp;R1447,製品マスタ!$N$5:$AD$5002,17,FALSE),""))))))</f>
        <v>6ｲﾝﾁMｺｱ</v>
      </c>
      <c r="X1447" s="269">
        <f ca="1">IF(D1447="","",IF(T1447="","",IF(J1447="巻足し","",IF(J1447="巻返し",VLOOKUP(F1447&amp;K1447&amp;M1447,製品マスタ!$M$5:$AE$5002,19,FALSE),IF(OR(J1447="リード付け",J1447="巻返しリード付け"),"",IF(J1447="スリット",VLOOKUP(F1447&amp;K1447&amp;R1447,製品マスタ!$N$5:$AE$5002,18,FALSE),""))))))</f>
        <v>1140</v>
      </c>
      <c r="Y1447" s="275">
        <f ca="1">IF(D1447="","",IF(T1447="","",VLOOKUP(D1447,契約台帳!$A$3:$Q$4986,17,FALSE)))</f>
        <v>2</v>
      </c>
      <c r="Z1447" s="269" t="str">
        <f ca="1">IF(D1447="","",IF(T1447="","",VLOOKUP(D1447,契約台帳!$A$3:$E$4986,5,FALSE)))</f>
        <v>新タック化成㈱</v>
      </c>
      <c r="AA1447" s="57"/>
      <c r="AB1447" s="207"/>
      <c r="AC1447" s="33"/>
      <c r="AD1447" s="189"/>
      <c r="AE1447" s="54"/>
      <c r="AF1447" s="55"/>
      <c r="AG1447" s="43"/>
      <c r="AH1447" s="47"/>
      <c r="AI1447" s="30"/>
      <c r="AJ1447" s="30"/>
      <c r="AK1447" s="30"/>
      <c r="AL1447" s="30"/>
      <c r="AM1447" s="13"/>
      <c r="AN1447" s="13"/>
      <c r="AO1447" s="13"/>
      <c r="AP1447" s="13"/>
      <c r="AQ1447" s="13"/>
      <c r="AR1447" s="14"/>
      <c r="AS1447" s="15"/>
    </row>
    <row r="1448" spans="1:45" s="17" customFormat="1" ht="30.95" hidden="1" customHeight="1" x14ac:dyDescent="0.2">
      <c r="A1448" s="37"/>
      <c r="B1448" s="38"/>
      <c r="C1448" s="45"/>
      <c r="D1448" s="31"/>
      <c r="E1448" s="31"/>
      <c r="F1448" s="268"/>
      <c r="G1448" s="269"/>
      <c r="H1448" s="269"/>
      <c r="I1448" s="270"/>
      <c r="J1448" s="210"/>
      <c r="K1448" s="270"/>
      <c r="L1448" s="270"/>
      <c r="M1448" s="39"/>
      <c r="N1448" s="39"/>
      <c r="O1448" s="156"/>
      <c r="P1448" s="47"/>
      <c r="Q1448" s="57"/>
      <c r="R1448" s="338"/>
      <c r="S1448" s="272"/>
      <c r="T1448" s="273"/>
      <c r="U1448" s="40"/>
      <c r="V1448" s="277"/>
      <c r="W1448" s="269"/>
      <c r="X1448" s="269"/>
      <c r="Y1448" s="275"/>
      <c r="Z1448" s="269"/>
      <c r="AA1448" s="57"/>
      <c r="AB1448" s="207"/>
      <c r="AC1448" s="33"/>
      <c r="AD1448" s="189"/>
      <c r="AE1448" s="54"/>
      <c r="AF1448" s="55"/>
      <c r="AG1448" s="43"/>
      <c r="AH1448" s="47"/>
      <c r="AI1448" s="30"/>
      <c r="AJ1448" s="30"/>
      <c r="AK1448" s="30"/>
      <c r="AL1448" s="30"/>
      <c r="AM1448" s="13"/>
      <c r="AN1448" s="13"/>
      <c r="AO1448" s="13"/>
      <c r="AP1448" s="13"/>
      <c r="AQ1448" s="13"/>
      <c r="AR1448" s="14"/>
      <c r="AS1448" s="15"/>
    </row>
    <row r="1449" spans="1:45" s="17" customFormat="1" ht="30.95" hidden="1" customHeight="1" x14ac:dyDescent="0.2">
      <c r="A1449" s="37"/>
      <c r="B1449" s="38"/>
      <c r="C1449" s="45"/>
      <c r="D1449" s="31">
        <v>3732646</v>
      </c>
      <c r="E1449" s="31">
        <v>4141050</v>
      </c>
      <c r="F1449" s="268" t="str">
        <f>IF(D1449="","",VLOOKUP(D1449,契約台帳!$A$3:$K$4986,6,FALSE)&amp;VLOOKUP(D1449,契約台帳!$A$3:$K$4986,7,FALSE)&amp;VLOOKUP(D1449,契約台帳!$A$3:$K$4986,8,FALSE)&amp;VLOOKUP(D1449,契約台帳!$A$3:$K$4986,9,FALSE)&amp;VLOOKUP(D1449,契約台帳!$A$3:$K$4986,11,FALSE))</f>
        <v>3SNMCLBMSNEYK</v>
      </c>
      <c r="G1449" s="269" t="str">
        <f>IF(D1449="","",VLOOKUP(F1449,製品マスタ!$G$5:$H$5002,2,FALSE))</f>
        <v>S</v>
      </c>
      <c r="H1449" s="269" t="str">
        <f>IF(D1449="","",VLOOKUP(F1449,製品マスタ!$G$5:$K$5002,5,FALSE))</f>
        <v>MSNEYK</v>
      </c>
      <c r="I1449" s="270" t="str">
        <f>IF(D1449="","",VLOOKUP(F1449,製品マスタ!$G$5:$L$5002,6,FALSE))</f>
        <v>ＭＳＮ　ＥＹＫ</v>
      </c>
      <c r="J1449" s="210" t="s">
        <v>447</v>
      </c>
      <c r="K1449" s="270">
        <f>IF(D1449="","",VLOOKUP(D1449,契約台帳!$A$3:$L$4986,12,FALSE))</f>
        <v>50</v>
      </c>
      <c r="L1449" s="270" t="str">
        <f>IF(D1449="","",INDEX(製品マスタ!$Q$5:$Q$5002,MATCH('S4'!F1449&amp;'S4'!K1449,製品マスタ!$AO$5:$AO$5002,0)))</f>
        <v>N-MAT</v>
      </c>
      <c r="M1449" s="39">
        <v>1200</v>
      </c>
      <c r="N1449" s="39">
        <v>12000</v>
      </c>
      <c r="O1449" s="156">
        <v>1</v>
      </c>
      <c r="P1449" s="47">
        <v>2</v>
      </c>
      <c r="Q1449" s="57"/>
      <c r="R1449" s="271">
        <f ca="1">IF(D1449="","",IF(OFFSET(D1449,-1,0)&lt;&gt;"","",IF(OR(J1449="リード付け",J1449="巻足し",J1449="巻返しリード付け"),M1449,VLOOKUP(D1449,契約台帳!$A$3:$N$4986,14,FALSE))))</f>
        <v>1200</v>
      </c>
      <c r="S1449" s="272">
        <f ca="1">IF(D1449="","",IF(OFFSET(D1449,-1,0)&lt;&gt;"","",IF(OR(J1449="リード付け",J1449="巻足し",J1449="巻返しリード付け"),M1449,VLOOKUP(D1449,契約台帳!$A$3:$O$4986,15,FALSE))))</f>
        <v>1190</v>
      </c>
      <c r="T1449" s="273">
        <f ca="1">IF(D1449="","",IF(J1449="リード付け",N1449,IF(J1449="巻返しリード付け",N1449,IF(J1449="巻足し",N1449*P1449+OFFSET(N1449,1,0)*OFFSET(P1449,1,0),VLOOKUP(D1449,契約台帳!$A$3:$P$4986,16,FALSE)))))</f>
        <v>6000</v>
      </c>
      <c r="U1449" s="40">
        <v>2</v>
      </c>
      <c r="V1449" s="274">
        <f ca="1">IF(D1449="","",IF(OFFSET(D1449,-2,0)=D1449,"",VLOOKUP(D1449,契約台帳!$A$3:$R$4986,18,FALSE)))</f>
        <v>4</v>
      </c>
      <c r="W1449" s="269" t="str">
        <f ca="1">IF(D1449="","",IF(T1449="","",IF(OR(J1449="巻足し",J1449="巻返しリード付け"),"",IF(J1449="巻返し",VLOOKUP(F1449&amp;K1449&amp;M1449,製品マスタ!$M$5:$AD$5002,18,FALSE),IF(OR(J1449="リード付け",J1449="巻返しリード付け"),"原反コア",IF(J1449="スリット",VLOOKUP(F1449&amp;K1449&amp;R1449,製品マスタ!$N$5:$AD$5002,17,FALSE),""))))))</f>
        <v>6ｲﾝﾁMｺｱ</v>
      </c>
      <c r="X1449" s="269">
        <f ca="1">IF(D1449="","",IF(T1449="","",IF(J1449="巻足し","",IF(J1449="巻返し",VLOOKUP(F1449&amp;K1449&amp;M1449,製品マスタ!$M$5:$AE$5002,19,FALSE),IF(OR(J1449="リード付け",J1449="巻返しリード付け"),"",IF(J1449="スリット",VLOOKUP(F1449&amp;K1449&amp;R1449,製品マスタ!$N$5:$AE$5002,18,FALSE),""))))))</f>
        <v>1220</v>
      </c>
      <c r="Y1449" s="275">
        <f ca="1">IF(D1449="","",IF(T1449="","",VLOOKUP(D1449,契約台帳!$A$3:$Q$4986,17,FALSE)))</f>
        <v>2</v>
      </c>
      <c r="Z1449" s="269" t="str">
        <f ca="1">IF(D1449="","",IF(T1449="","",VLOOKUP(D1449,契約台帳!$A$3:$E$4986,5,FALSE)))</f>
        <v>大阪シーリング印刷㈱</v>
      </c>
      <c r="AA1449" s="57"/>
      <c r="AB1449" s="207"/>
      <c r="AC1449" s="33"/>
      <c r="AD1449" s="189"/>
      <c r="AE1449" s="54"/>
      <c r="AF1449" s="55"/>
      <c r="AG1449" s="43"/>
      <c r="AH1449" s="47"/>
      <c r="AI1449" s="30"/>
      <c r="AJ1449" s="30"/>
      <c r="AK1449" s="30"/>
      <c r="AL1449" s="30"/>
      <c r="AM1449" s="13"/>
      <c r="AN1449" s="13"/>
      <c r="AO1449" s="13"/>
      <c r="AP1449" s="13"/>
      <c r="AQ1449" s="13"/>
      <c r="AR1449" s="14"/>
      <c r="AS1449" s="15"/>
    </row>
    <row r="1450" spans="1:45" s="17" customFormat="1" ht="30.95" hidden="1" customHeight="1" x14ac:dyDescent="0.2">
      <c r="A1450" s="37"/>
      <c r="B1450" s="38"/>
      <c r="C1450" s="45"/>
      <c r="D1450" s="31"/>
      <c r="E1450" s="31"/>
      <c r="F1450" s="268"/>
      <c r="G1450" s="269"/>
      <c r="H1450" s="269"/>
      <c r="I1450" s="270"/>
      <c r="J1450" s="210"/>
      <c r="K1450" s="270"/>
      <c r="L1450" s="270"/>
      <c r="M1450" s="39"/>
      <c r="N1450" s="39"/>
      <c r="O1450" s="156"/>
      <c r="P1450" s="47"/>
      <c r="Q1450" s="57"/>
      <c r="R1450" s="338"/>
      <c r="S1450" s="272"/>
      <c r="T1450" s="273"/>
      <c r="U1450" s="40"/>
      <c r="V1450" s="277"/>
      <c r="W1450" s="269"/>
      <c r="X1450" s="269"/>
      <c r="Y1450" s="275"/>
      <c r="Z1450" s="269"/>
      <c r="AA1450" s="57"/>
      <c r="AB1450" s="207"/>
      <c r="AC1450" s="33"/>
      <c r="AD1450" s="189"/>
      <c r="AE1450" s="54"/>
      <c r="AF1450" s="55"/>
      <c r="AG1450" s="43"/>
      <c r="AH1450" s="47"/>
      <c r="AI1450" s="30"/>
      <c r="AJ1450" s="30"/>
      <c r="AK1450" s="30"/>
      <c r="AL1450" s="30"/>
      <c r="AM1450" s="13"/>
      <c r="AN1450" s="13"/>
      <c r="AO1450" s="13"/>
      <c r="AP1450" s="13"/>
      <c r="AQ1450" s="13"/>
      <c r="AR1450" s="14"/>
      <c r="AS1450" s="15"/>
    </row>
    <row r="1451" spans="1:45" s="17" customFormat="1" ht="30.95" hidden="1" customHeight="1" x14ac:dyDescent="0.2">
      <c r="A1451" s="37"/>
      <c r="B1451" s="38"/>
      <c r="C1451" s="45"/>
      <c r="D1451" s="31">
        <v>3735903</v>
      </c>
      <c r="E1451" s="31">
        <v>4141078</v>
      </c>
      <c r="F1451" s="268" t="str">
        <f>IF(D1451="","",VLOOKUP(D1451,契約台帳!$A$3:$K$4986,6,FALSE)&amp;VLOOKUP(D1451,契約台帳!$A$3:$K$4986,7,FALSE)&amp;VLOOKUP(D1451,契約台帳!$A$3:$K$4986,8,FALSE)&amp;VLOOKUP(D1451,契約台帳!$A$3:$K$4986,9,FALSE)&amp;VLOOKUP(D1451,契約台帳!$A$3:$K$4986,11,FALSE))</f>
        <v>3SNMCLBMSNEYK</v>
      </c>
      <c r="G1451" s="269" t="str">
        <f>IF(D1451="","",VLOOKUP(F1451,製品マスタ!$G$5:$H$5002,2,FALSE))</f>
        <v>S</v>
      </c>
      <c r="H1451" s="269" t="str">
        <f>IF(D1451="","",VLOOKUP(F1451,製品マスタ!$G$5:$K$5002,5,FALSE))</f>
        <v>MSNEYK</v>
      </c>
      <c r="I1451" s="270" t="str">
        <f>IF(D1451="","",VLOOKUP(F1451,製品マスタ!$G$5:$L$5002,6,FALSE))</f>
        <v>ＭＳＮ　ＥＹＫ</v>
      </c>
      <c r="J1451" s="210" t="s">
        <v>447</v>
      </c>
      <c r="K1451" s="270">
        <f>IF(D1451="","",VLOOKUP(D1451,契約台帳!$A$3:$L$4986,12,FALSE))</f>
        <v>50</v>
      </c>
      <c r="L1451" s="270" t="str">
        <f>IF(D1451="","",INDEX(製品マスタ!$Q$5:$Q$5002,MATCH('S4'!F1451&amp;'S4'!K1451,製品マスタ!$AO$5:$AO$5002,0)))</f>
        <v>N-MAT</v>
      </c>
      <c r="M1451" s="39">
        <v>1120</v>
      </c>
      <c r="N1451" s="39">
        <v>12000</v>
      </c>
      <c r="O1451" s="156">
        <v>2</v>
      </c>
      <c r="P1451" s="47">
        <v>2</v>
      </c>
      <c r="Q1451" s="57"/>
      <c r="R1451" s="271">
        <f ca="1">IF(D1451="","",IF(OFFSET(D1451,-1,0)&lt;&gt;"","",IF(OR(J1451="リード付け",J1451="巻足し",J1451="巻返しリード付け"),M1451,VLOOKUP(D1451,契約台帳!$A$3:$N$4986,14,FALSE))))</f>
        <v>1120</v>
      </c>
      <c r="S1451" s="272">
        <f ca="1">IF(D1451="","",IF(OFFSET(D1451,-1,0)&lt;&gt;"","",IF(OR(J1451="リード付け",J1451="巻足し",J1451="巻返しリード付け"),M1451,VLOOKUP(D1451,契約台帳!$A$3:$O$4986,15,FALSE))))</f>
        <v>1120</v>
      </c>
      <c r="T1451" s="273">
        <f ca="1">IF(D1451="","",IF(J1451="リード付け",N1451,IF(J1451="巻返しリード付け",N1451,IF(J1451="巻足し",N1451*P1451+OFFSET(N1451,1,0)*OFFSET(P1451,1,0),VLOOKUP(D1451,契約台帳!$A$3:$P$4986,16,FALSE)))))</f>
        <v>4000</v>
      </c>
      <c r="U1451" s="40">
        <v>6</v>
      </c>
      <c r="V1451" s="274">
        <f ca="1">IF(D1451="","",IF(OFFSET(D1451,-2,0)=D1451,"",VLOOKUP(D1451,契約台帳!$A$3:$R$4986,18,FALSE)))</f>
        <v>6</v>
      </c>
      <c r="W1451" s="269" t="str">
        <f ca="1">IF(D1451="","",IF(T1451="","",IF(OR(J1451="巻足し",J1451="巻返しリード付け"),"",IF(J1451="巻返し",VLOOKUP(F1451&amp;K1451&amp;M1451,製品マスタ!$M$5:$AD$5002,18,FALSE),IF(OR(J1451="リード付け",J1451="巻返しリード付け"),"原反コア",IF(J1451="スリット",VLOOKUP(F1451&amp;K1451&amp;R1451,製品マスタ!$N$5:$AD$5002,17,FALSE),""))))))</f>
        <v>6ｲﾝﾁMｺｱ</v>
      </c>
      <c r="X1451" s="269">
        <f ca="1">IF(D1451="","",IF(T1451="","",IF(J1451="巻足し","",IF(J1451="巻返し",VLOOKUP(F1451&amp;K1451&amp;M1451,製品マスタ!$M$5:$AE$5002,19,FALSE),IF(OR(J1451="リード付け",J1451="巻返しリード付け"),"",IF(J1451="スリット",VLOOKUP(F1451&amp;K1451&amp;R1451,製品マスタ!$N$5:$AE$5002,18,FALSE),""))))))</f>
        <v>1140</v>
      </c>
      <c r="Y1451" s="275">
        <f ca="1">IF(D1451="","",IF(T1451="","",VLOOKUP(D1451,契約台帳!$A$3:$Q$4986,17,FALSE)))</f>
        <v>2</v>
      </c>
      <c r="Z1451" s="269" t="str">
        <f ca="1">IF(D1451="","",IF(T1451="","",VLOOKUP(D1451,契約台帳!$A$3:$E$4986,5,FALSE)))</f>
        <v>新タック化成㈱</v>
      </c>
      <c r="AA1451" s="57"/>
      <c r="AB1451" s="207"/>
      <c r="AC1451" s="33"/>
      <c r="AD1451" s="189"/>
      <c r="AE1451" s="54"/>
      <c r="AF1451" s="55"/>
      <c r="AG1451" s="43"/>
      <c r="AH1451" s="47"/>
      <c r="AI1451" s="30"/>
      <c r="AJ1451" s="30"/>
      <c r="AK1451" s="30"/>
      <c r="AL1451" s="30"/>
      <c r="AM1451" s="13"/>
      <c r="AN1451" s="13"/>
      <c r="AO1451" s="13"/>
      <c r="AP1451" s="13"/>
      <c r="AQ1451" s="13"/>
      <c r="AR1451" s="14"/>
      <c r="AS1451" s="15"/>
    </row>
    <row r="1452" spans="1:45" s="17" customFormat="1" ht="30.95" hidden="1" customHeight="1" x14ac:dyDescent="0.2">
      <c r="A1452" s="37"/>
      <c r="B1452" s="38"/>
      <c r="C1452" s="45"/>
      <c r="D1452" s="31"/>
      <c r="E1452" s="31"/>
      <c r="F1452" s="268"/>
      <c r="G1452" s="269"/>
      <c r="H1452" s="269"/>
      <c r="I1452" s="270"/>
      <c r="J1452" s="210"/>
      <c r="K1452" s="270"/>
      <c r="L1452" s="270"/>
      <c r="M1452" s="39"/>
      <c r="N1452" s="39"/>
      <c r="O1452" s="156"/>
      <c r="P1452" s="47"/>
      <c r="Q1452" s="57"/>
      <c r="R1452" s="338"/>
      <c r="S1452" s="272"/>
      <c r="T1452" s="273"/>
      <c r="U1452" s="40"/>
      <c r="V1452" s="277"/>
      <c r="W1452" s="269"/>
      <c r="X1452" s="269"/>
      <c r="Y1452" s="275"/>
      <c r="Z1452" s="269"/>
      <c r="AA1452" s="57"/>
      <c r="AB1452" s="207"/>
      <c r="AC1452" s="33"/>
      <c r="AD1452" s="189"/>
      <c r="AE1452" s="54"/>
      <c r="AF1452" s="55"/>
      <c r="AG1452" s="43"/>
      <c r="AH1452" s="47"/>
      <c r="AI1452" s="30"/>
      <c r="AJ1452" s="30"/>
      <c r="AK1452" s="30"/>
      <c r="AL1452" s="30"/>
      <c r="AM1452" s="13"/>
      <c r="AN1452" s="13"/>
      <c r="AO1452" s="13"/>
      <c r="AP1452" s="13"/>
      <c r="AQ1452" s="13"/>
      <c r="AR1452" s="14"/>
      <c r="AS1452" s="15"/>
    </row>
    <row r="1453" spans="1:45" s="17" customFormat="1" ht="30.95" hidden="1" customHeight="1" x14ac:dyDescent="0.2">
      <c r="A1453" s="37" t="s">
        <v>686</v>
      </c>
      <c r="B1453" s="38" t="s">
        <v>443</v>
      </c>
      <c r="C1453" s="45"/>
      <c r="D1453" s="31">
        <v>3735132</v>
      </c>
      <c r="E1453" s="31">
        <v>4141077</v>
      </c>
      <c r="F1453" s="268" t="str">
        <f>IF(D1453="","",VLOOKUP(D1453,契約台帳!$A$3:$K$4986,6,FALSE)&amp;VLOOKUP(D1453,契約台帳!$A$3:$K$4986,7,FALSE)&amp;VLOOKUP(D1453,契約台帳!$A$3:$K$4986,8,FALSE)&amp;VLOOKUP(D1453,契約台帳!$A$3:$K$4986,9,FALSE)&amp;VLOOKUP(D1453,契約台帳!$A$3:$K$4986,11,FALSE))</f>
        <v>3SNCLBLMEYK</v>
      </c>
      <c r="G1453" s="269" t="str">
        <f>IF(D1453="","",VLOOKUP(F1453,製品マスタ!$G$5:$H$5002,2,FALSE))</f>
        <v>S</v>
      </c>
      <c r="H1453" s="269" t="str">
        <f>IF(D1453="","",VLOOKUP(F1453,製品マスタ!$G$5:$K$5002,5,FALSE))</f>
        <v>LMEYK</v>
      </c>
      <c r="I1453" s="270" t="str">
        <f>IF(D1453="","",VLOOKUP(F1453,製品マスタ!$G$5:$L$5002,6,FALSE))</f>
        <v>ルミマットＥＹＫ</v>
      </c>
      <c r="J1453" s="210" t="s">
        <v>447</v>
      </c>
      <c r="K1453" s="270">
        <f>IF(D1453="","",VLOOKUP(D1453,契約台帳!$A$3:$L$4986,12,FALSE))</f>
        <v>38</v>
      </c>
      <c r="L1453" s="270" t="str">
        <f>IF(D1453="","",INDEX(製品マスタ!$Q$5:$Q$5002,MATCH('S4'!F1453&amp;'S4'!K1453,製品マスタ!$AO$5:$AO$5002,0)))</f>
        <v>LUMIMAT</v>
      </c>
      <c r="M1453" s="39">
        <v>1005</v>
      </c>
      <c r="N1453" s="39">
        <v>8000</v>
      </c>
      <c r="O1453" s="156">
        <v>1</v>
      </c>
      <c r="P1453" s="47">
        <v>1</v>
      </c>
      <c r="Q1453" s="57"/>
      <c r="R1453" s="271">
        <f ca="1">IF(D1453="","",IF(OFFSET(D1453,-1,0)&lt;&gt;"","",IF(OR(J1453="リード付け",J1453="巻足し",J1453="巻返しリード付け"),M1453,VLOOKUP(D1453,契約台帳!$A$3:$N$4986,14,FALSE))))</f>
        <v>1005</v>
      </c>
      <c r="S1453" s="272">
        <f ca="1">IF(D1453="","",IF(OFFSET(D1453,-1,0)&lt;&gt;"","",IF(OR(J1453="リード付け",J1453="巻足し",J1453="巻返しリード付け"),M1453,VLOOKUP(D1453,契約台帳!$A$3:$O$4986,15,FALSE))))</f>
        <v>1000</v>
      </c>
      <c r="T1453" s="273">
        <f ca="1">IF(D1453="","",IF(J1453="リード付け",N1453,IF(J1453="巻返しリード付け",N1453,IF(J1453="巻足し",N1453*P1453+OFFSET(N1453,1,0)*OFFSET(P1453,1,0),VLOOKUP(D1453,契約台帳!$A$3:$P$4986,16,FALSE)))))</f>
        <v>4000</v>
      </c>
      <c r="U1453" s="40">
        <v>2</v>
      </c>
      <c r="V1453" s="274">
        <f ca="1">IF(D1453="","",IF(OFFSET(D1453,-2,0)=D1453,"",VLOOKUP(D1453,契約台帳!$A$3:$R$4986,18,FALSE)))</f>
        <v>2</v>
      </c>
      <c r="W1453" s="269" t="str">
        <f ca="1">IF(D1453="","",IF(T1453="","",IF(OR(J1453="巻足し",J1453="巻返しリード付け"),"",IF(J1453="巻返し",VLOOKUP(F1453&amp;K1453&amp;M1453,製品マスタ!$M$5:$AD$5002,18,FALSE),IF(OR(J1453="リード付け",J1453="巻返しリード付け"),"原反コア",IF(J1453="スリット",VLOOKUP(F1453&amp;K1453&amp;R1453,製品マスタ!$N$5:$AD$5002,17,FALSE),""))))))</f>
        <v>3ｲﾝﾁSｺｱ</v>
      </c>
      <c r="X1453" s="269">
        <f ca="1">IF(D1453="","",IF(T1453="","",IF(J1453="巻足し","",IF(J1453="巻返し",VLOOKUP(F1453&amp;K1453&amp;M1453,製品マスタ!$M$5:$AE$5002,19,FALSE),IF(OR(J1453="リード付け",J1453="巻返しリード付け"),"",IF(J1453="スリット",VLOOKUP(F1453&amp;K1453&amp;R1453,製品マスタ!$N$5:$AE$5002,18,FALSE),""))))))</f>
        <v>1015</v>
      </c>
      <c r="Y1453" s="275">
        <f ca="1">IF(D1453="","",IF(T1453="","",VLOOKUP(D1453,契約台帳!$A$3:$Q$4986,17,FALSE)))</f>
        <v>2</v>
      </c>
      <c r="Z1453" s="269" t="str">
        <f ca="1">IF(D1453="","",IF(T1453="","",VLOOKUP(D1453,契約台帳!$A$3:$E$4986,5,FALSE)))</f>
        <v>リンテック㈱</v>
      </c>
      <c r="AA1453" s="57"/>
      <c r="AB1453" s="207"/>
      <c r="AC1453" s="33"/>
      <c r="AD1453" s="189"/>
      <c r="AE1453" s="54"/>
      <c r="AF1453" s="55"/>
      <c r="AG1453" s="43"/>
      <c r="AH1453" s="47"/>
      <c r="AI1453" s="30"/>
      <c r="AJ1453" s="30"/>
      <c r="AK1453" s="30"/>
      <c r="AL1453" s="30"/>
      <c r="AM1453" s="13"/>
      <c r="AN1453" s="13"/>
      <c r="AO1453" s="13"/>
      <c r="AP1453" s="13"/>
      <c r="AQ1453" s="13"/>
      <c r="AR1453" s="14"/>
      <c r="AS1453" s="15"/>
    </row>
    <row r="1454" spans="1:45" s="17" customFormat="1" ht="30.95" hidden="1" customHeight="1" x14ac:dyDescent="0.2">
      <c r="A1454" s="37"/>
      <c r="B1454" s="38"/>
      <c r="C1454" s="45"/>
      <c r="D1454" s="31"/>
      <c r="E1454" s="31"/>
      <c r="F1454" s="268"/>
      <c r="G1454" s="269"/>
      <c r="H1454" s="269"/>
      <c r="I1454" s="270"/>
      <c r="J1454" s="210"/>
      <c r="K1454" s="270"/>
      <c r="L1454" s="270"/>
      <c r="M1454" s="39"/>
      <c r="N1454" s="39"/>
      <c r="O1454" s="156"/>
      <c r="P1454" s="47"/>
      <c r="Q1454" s="57"/>
      <c r="R1454" s="338"/>
      <c r="S1454" s="272"/>
      <c r="T1454" s="273"/>
      <c r="U1454" s="40"/>
      <c r="V1454" s="277"/>
      <c r="W1454" s="269"/>
      <c r="X1454" s="269"/>
      <c r="Y1454" s="275"/>
      <c r="Z1454" s="269"/>
      <c r="AA1454" s="57"/>
      <c r="AB1454" s="207"/>
      <c r="AC1454" s="33"/>
      <c r="AD1454" s="189"/>
      <c r="AE1454" s="54"/>
      <c r="AF1454" s="55"/>
      <c r="AG1454" s="43"/>
      <c r="AH1454" s="47"/>
      <c r="AI1454" s="30"/>
      <c r="AJ1454" s="30"/>
      <c r="AK1454" s="30"/>
      <c r="AL1454" s="30"/>
      <c r="AM1454" s="13"/>
      <c r="AN1454" s="13"/>
      <c r="AO1454" s="13"/>
      <c r="AP1454" s="13"/>
      <c r="AQ1454" s="13"/>
      <c r="AR1454" s="14"/>
      <c r="AS1454" s="15"/>
    </row>
    <row r="1455" spans="1:45" s="17" customFormat="1" ht="30.95" hidden="1" customHeight="1" x14ac:dyDescent="0.2">
      <c r="A1455" s="37"/>
      <c r="B1455" s="38"/>
      <c r="C1455" s="45"/>
      <c r="D1455" s="31">
        <v>3735124</v>
      </c>
      <c r="E1455" s="31">
        <v>4141066</v>
      </c>
      <c r="F1455" s="268" t="str">
        <f>IF(D1455="","",VLOOKUP(D1455,契約台帳!$A$3:$K$4986,6,FALSE)&amp;VLOOKUP(D1455,契約台帳!$A$3:$K$4986,7,FALSE)&amp;VLOOKUP(D1455,契約台帳!$A$3:$K$4986,8,FALSE)&amp;VLOOKUP(D1455,契約台帳!$A$3:$K$4986,9,FALSE)&amp;VLOOKUP(D1455,契約台帳!$A$3:$K$4986,11,FALSE))</f>
        <v>33SSNMCLBTETKFV</v>
      </c>
      <c r="G1455" s="269" t="str">
        <f>IF(D1455="","",VLOOKUP(F1455,製品マスタ!$G$5:$H$5002,2,FALSE))</f>
        <v>S</v>
      </c>
      <c r="H1455" s="269" t="str">
        <f>IF(D1455="","",VLOOKUP(F1455,製品マスタ!$G$5:$K$5002,5,FALSE))</f>
        <v>TETKFV</v>
      </c>
      <c r="I1455" s="270" t="str">
        <f>IF(D1455="","",VLOOKUP(F1455,製品マスタ!$G$5:$L$5002,6,FALSE))</f>
        <v>メタルミー　ＴＥＳ艶開封　Ｖ</v>
      </c>
      <c r="J1455" s="210" t="s">
        <v>447</v>
      </c>
      <c r="K1455" s="270">
        <f>IF(D1455="","",VLOOKUP(D1455,契約台帳!$A$3:$L$4986,12,FALSE))</f>
        <v>50</v>
      </c>
      <c r="L1455" s="270" t="str">
        <f>IF(D1455="","",INDEX(製品マスタ!$Q$5:$Q$5002,MATCH('S4'!F1455&amp;'S4'!K1455,製品マスタ!$AO$5:$AO$5002,0)))</f>
        <v>S28SEPA</v>
      </c>
      <c r="M1455" s="39">
        <v>1005</v>
      </c>
      <c r="N1455" s="39">
        <v>12300</v>
      </c>
      <c r="O1455" s="156">
        <v>3</v>
      </c>
      <c r="P1455" s="47">
        <v>3</v>
      </c>
      <c r="Q1455" s="57"/>
      <c r="R1455" s="271">
        <f ca="1">IF(D1455="","",IF(OFFSET(D1455,-1,0)&lt;&gt;"","",IF(OR(J1455="リード付け",J1455="巻足し",J1455="巻返しリード付け"),M1455,VLOOKUP(D1455,契約台帳!$A$3:$N$4986,14,FALSE))))</f>
        <v>1005</v>
      </c>
      <c r="S1455" s="272">
        <f ca="1">IF(D1455="","",IF(OFFSET(D1455,-1,0)&lt;&gt;"","",IF(OR(J1455="リード付け",J1455="巻足し",J1455="巻返しリード付け"),M1455,VLOOKUP(D1455,契約台帳!$A$3:$O$4986,15,FALSE))))</f>
        <v>1000</v>
      </c>
      <c r="T1455" s="273">
        <f ca="1">IF(D1455="","",IF(J1455="リード付け",N1455,IF(J1455="巻返しリード付け",N1455,IF(J1455="巻足し",N1455*P1455+OFFSET(N1455,1,0)*OFFSET(P1455,1,0),VLOOKUP(D1455,契約台帳!$A$3:$P$4986,16,FALSE)))))</f>
        <v>4100</v>
      </c>
      <c r="U1455" s="40">
        <v>9</v>
      </c>
      <c r="V1455" s="274">
        <f ca="1">IF(D1455="","",IF(OFFSET(D1455,-2,0)=D1455,"",VLOOKUP(D1455,契約台帳!$A$3:$R$4986,18,FALSE)))</f>
        <v>9</v>
      </c>
      <c r="W1455" s="269" t="str">
        <f ca="1">IF(D1455="","",IF(T1455="","",IF(OR(J1455="巻足し",J1455="巻返しリード付け"),"",IF(J1455="巻返し",VLOOKUP(F1455&amp;K1455&amp;M1455,製品マスタ!$M$5:$AD$5002,18,FALSE),IF(OR(J1455="リード付け",J1455="巻返しリード付け"),"原反コア",IF(J1455="スリット",VLOOKUP(F1455&amp;K1455&amp;R1455,製品マスタ!$N$5:$AD$5002,17,FALSE),""))))))</f>
        <v>6ｲﾝﾁSｺｱ</v>
      </c>
      <c r="X1455" s="269">
        <f ca="1">IF(D1455="","",IF(T1455="","",IF(J1455="巻足し","",IF(J1455="巻返し",VLOOKUP(F1455&amp;K1455&amp;M1455,製品マスタ!$M$5:$AE$5002,19,FALSE),IF(OR(J1455="リード付け",J1455="巻返しリード付け"),"",IF(J1455="スリット",VLOOKUP(F1455&amp;K1455&amp;R1455,製品マスタ!$N$5:$AE$5002,18,FALSE),""))))))</f>
        <v>1015</v>
      </c>
      <c r="Y1455" s="275">
        <f ca="1">IF(D1455="","",IF(T1455="","",VLOOKUP(D1455,契約台帳!$A$3:$Q$4986,17,FALSE)))</f>
        <v>2</v>
      </c>
      <c r="Z1455" s="269" t="str">
        <f ca="1">IF(D1455="","",IF(T1455="","",VLOOKUP(D1455,契約台帳!$A$3:$E$4986,5,FALSE)))</f>
        <v>リンテック㈱</v>
      </c>
      <c r="AA1455" s="57"/>
      <c r="AB1455" s="207"/>
      <c r="AC1455" s="33"/>
      <c r="AD1455" s="189"/>
      <c r="AE1455" s="54"/>
      <c r="AF1455" s="55"/>
      <c r="AG1455" s="43"/>
      <c r="AH1455" s="47"/>
      <c r="AI1455" s="30"/>
      <c r="AJ1455" s="30"/>
      <c r="AK1455" s="30"/>
      <c r="AL1455" s="30"/>
      <c r="AM1455" s="13"/>
      <c r="AN1455" s="13"/>
      <c r="AO1455" s="13"/>
      <c r="AP1455" s="13"/>
      <c r="AQ1455" s="13"/>
      <c r="AR1455" s="14"/>
      <c r="AS1455" s="15"/>
    </row>
    <row r="1456" spans="1:45" s="17" customFormat="1" ht="30.95" hidden="1" customHeight="1" x14ac:dyDescent="0.2">
      <c r="A1456" s="37"/>
      <c r="B1456" s="38"/>
      <c r="C1456" s="45"/>
      <c r="D1456" s="31"/>
      <c r="E1456" s="31"/>
      <c r="F1456" s="268"/>
      <c r="G1456" s="269"/>
      <c r="H1456" s="269"/>
      <c r="I1456" s="270"/>
      <c r="J1456" s="210"/>
      <c r="K1456" s="270"/>
      <c r="L1456" s="270"/>
      <c r="M1456" s="39"/>
      <c r="N1456" s="39"/>
      <c r="O1456" s="156"/>
      <c r="P1456" s="47"/>
      <c r="Q1456" s="57"/>
      <c r="R1456" s="338"/>
      <c r="S1456" s="272"/>
      <c r="T1456" s="273"/>
      <c r="U1456" s="40"/>
      <c r="V1456" s="277"/>
      <c r="W1456" s="269"/>
      <c r="X1456" s="269"/>
      <c r="Y1456" s="275"/>
      <c r="Z1456" s="269"/>
      <c r="AA1456" s="57"/>
      <c r="AB1456" s="207"/>
      <c r="AC1456" s="33"/>
      <c r="AD1456" s="189"/>
      <c r="AE1456" s="54"/>
      <c r="AF1456" s="55"/>
      <c r="AG1456" s="43"/>
      <c r="AH1456" s="47"/>
      <c r="AI1456" s="30"/>
      <c r="AJ1456" s="30"/>
      <c r="AK1456" s="30"/>
      <c r="AL1456" s="30"/>
      <c r="AM1456" s="13"/>
      <c r="AN1456" s="13"/>
      <c r="AO1456" s="13"/>
      <c r="AP1456" s="13"/>
      <c r="AQ1456" s="13"/>
      <c r="AR1456" s="14"/>
      <c r="AS1456" s="15"/>
    </row>
    <row r="1457" spans="1:45" s="17" customFormat="1" ht="30.95" hidden="1" customHeight="1" x14ac:dyDescent="0.2">
      <c r="A1457" s="37"/>
      <c r="B1457" s="38"/>
      <c r="C1457" s="45"/>
      <c r="D1457" s="31">
        <v>3735125</v>
      </c>
      <c r="E1457" s="31">
        <v>4141072</v>
      </c>
      <c r="F1457" s="268" t="str">
        <f>IF(D1457="","",VLOOKUP(D1457,契約台帳!$A$3:$K$4986,6,FALSE)&amp;VLOOKUP(D1457,契約台帳!$A$3:$K$4986,7,FALSE)&amp;VLOOKUP(D1457,契約台帳!$A$3:$K$4986,8,FALSE)&amp;VLOOKUP(D1457,契約台帳!$A$3:$K$4986,9,FALSE)&amp;VLOOKUP(D1457,契約台帳!$A$3:$K$4986,11,FALSE))</f>
        <v>3SNMCLBTETV0V</v>
      </c>
      <c r="G1457" s="269" t="str">
        <f>IF(D1457="","",VLOOKUP(F1457,製品マスタ!$G$5:$H$5002,2,FALSE))</f>
        <v>S</v>
      </c>
      <c r="H1457" s="269" t="str">
        <f>IF(D1457="","",VLOOKUP(F1457,製品マスタ!$G$5:$K$5002,5,FALSE))</f>
        <v>TETV0V</v>
      </c>
      <c r="I1457" s="270" t="str">
        <f>IF(D1457="","",VLOOKUP(F1457,製品マスタ!$G$5:$L$5002,6,FALSE))</f>
        <v>メタルミー　ＴＥＳ艶ＶＯＩＤＶ</v>
      </c>
      <c r="J1457" s="210" t="s">
        <v>447</v>
      </c>
      <c r="K1457" s="270">
        <f>IF(D1457="","",VLOOKUP(D1457,契約台帳!$A$3:$L$4986,12,FALSE))</f>
        <v>50</v>
      </c>
      <c r="L1457" s="270" t="str">
        <f>IF(D1457="","",INDEX(製品マスタ!$Q$5:$Q$5002,MATCH('S4'!F1457&amp;'S4'!K1457,製品マスタ!$AO$5:$AO$5002,0)))</f>
        <v>S28SEPA</v>
      </c>
      <c r="M1457" s="39">
        <v>1005</v>
      </c>
      <c r="N1457" s="39">
        <v>8200</v>
      </c>
      <c r="O1457" s="156">
        <v>1</v>
      </c>
      <c r="P1457" s="47">
        <v>1</v>
      </c>
      <c r="Q1457" s="57"/>
      <c r="R1457" s="271">
        <f ca="1">IF(D1457="","",IF(OFFSET(D1457,-1,0)&lt;&gt;"","",IF(OR(J1457="リード付け",J1457="巻足し",J1457="巻返しリード付け"),M1457,VLOOKUP(D1457,契約台帳!$A$3:$N$4986,14,FALSE))))</f>
        <v>1005</v>
      </c>
      <c r="S1457" s="272">
        <f ca="1">IF(D1457="","",IF(OFFSET(D1457,-1,0)&lt;&gt;"","",IF(OR(J1457="リード付け",J1457="巻足し",J1457="巻返しリード付け"),M1457,VLOOKUP(D1457,契約台帳!$A$3:$O$4986,15,FALSE))))</f>
        <v>1000</v>
      </c>
      <c r="T1457" s="273">
        <f ca="1">IF(D1457="","",IF(J1457="リード付け",N1457,IF(J1457="巻返しリード付け",N1457,IF(J1457="巻足し",N1457*P1457+OFFSET(N1457,1,0)*OFFSET(P1457,1,0),VLOOKUP(D1457,契約台帳!$A$3:$P$4986,16,FALSE)))))</f>
        <v>4100</v>
      </c>
      <c r="U1457" s="40">
        <v>2</v>
      </c>
      <c r="V1457" s="274">
        <f ca="1">IF(D1457="","",IF(OFFSET(D1457,-2,0)=D1457,"",VLOOKUP(D1457,契約台帳!$A$3:$R$4986,18,FALSE)))</f>
        <v>2</v>
      </c>
      <c r="W1457" s="269" t="str">
        <f ca="1">IF(D1457="","",IF(T1457="","",IF(OR(J1457="巻足し",J1457="巻返しリード付け"),"",IF(J1457="巻返し",VLOOKUP(F1457&amp;K1457&amp;M1457,製品マスタ!$M$5:$AD$5002,18,FALSE),IF(OR(J1457="リード付け",J1457="巻返しリード付け"),"原反コア",IF(J1457="スリット",VLOOKUP(F1457&amp;K1457&amp;R1457,製品マスタ!$N$5:$AD$5002,17,FALSE),""))))))</f>
        <v>6ｲﾝﾁSｺｱ</v>
      </c>
      <c r="X1457" s="269">
        <f ca="1">IF(D1457="","",IF(T1457="","",IF(J1457="巻足し","",IF(J1457="巻返し",VLOOKUP(F1457&amp;K1457&amp;M1457,製品マスタ!$M$5:$AE$5002,19,FALSE),IF(OR(J1457="リード付け",J1457="巻返しリード付け"),"",IF(J1457="スリット",VLOOKUP(F1457&amp;K1457&amp;R1457,製品マスタ!$N$5:$AE$5002,18,FALSE),""))))))</f>
        <v>1015</v>
      </c>
      <c r="Y1457" s="275">
        <f ca="1">IF(D1457="","",IF(T1457="","",VLOOKUP(D1457,契約台帳!$A$3:$Q$4986,17,FALSE)))</f>
        <v>2</v>
      </c>
      <c r="Z1457" s="269" t="str">
        <f ca="1">IF(D1457="","",IF(T1457="","",VLOOKUP(D1457,契約台帳!$A$3:$E$4986,5,FALSE)))</f>
        <v>リンテック㈱</v>
      </c>
      <c r="AA1457" s="57"/>
      <c r="AB1457" s="207"/>
      <c r="AC1457" s="33"/>
      <c r="AD1457" s="189"/>
      <c r="AE1457" s="54"/>
      <c r="AF1457" s="55"/>
      <c r="AG1457" s="43"/>
      <c r="AH1457" s="47"/>
      <c r="AI1457" s="30"/>
      <c r="AJ1457" s="30"/>
      <c r="AK1457" s="30"/>
      <c r="AL1457" s="30"/>
      <c r="AM1457" s="13"/>
      <c r="AN1457" s="13"/>
      <c r="AO1457" s="13"/>
      <c r="AP1457" s="13"/>
      <c r="AQ1457" s="13"/>
      <c r="AR1457" s="14"/>
      <c r="AS1457" s="15"/>
    </row>
    <row r="1458" spans="1:45" s="17" customFormat="1" ht="30.95" hidden="1" customHeight="1" x14ac:dyDescent="0.2">
      <c r="A1458" s="37"/>
      <c r="B1458" s="38"/>
      <c r="C1458" s="45"/>
      <c r="D1458" s="31"/>
      <c r="E1458" s="31"/>
      <c r="F1458" s="268"/>
      <c r="G1458" s="269"/>
      <c r="H1458" s="269"/>
      <c r="I1458" s="270"/>
      <c r="J1458" s="210"/>
      <c r="K1458" s="270"/>
      <c r="L1458" s="270"/>
      <c r="M1458" s="39"/>
      <c r="N1458" s="39"/>
      <c r="O1458" s="156"/>
      <c r="P1458" s="47"/>
      <c r="Q1458" s="57"/>
      <c r="R1458" s="338"/>
      <c r="S1458" s="272"/>
      <c r="T1458" s="273"/>
      <c r="U1458" s="40"/>
      <c r="V1458" s="277"/>
      <c r="W1458" s="269"/>
      <c r="X1458" s="269"/>
      <c r="Y1458" s="275"/>
      <c r="Z1458" s="269"/>
      <c r="AA1458" s="57"/>
      <c r="AB1458" s="207"/>
      <c r="AC1458" s="33"/>
      <c r="AD1458" s="189"/>
      <c r="AE1458" s="54"/>
      <c r="AF1458" s="55"/>
      <c r="AG1458" s="43"/>
      <c r="AH1458" s="47"/>
      <c r="AI1458" s="30"/>
      <c r="AJ1458" s="30"/>
      <c r="AK1458" s="30"/>
      <c r="AL1458" s="30"/>
      <c r="AM1458" s="13"/>
      <c r="AN1458" s="13"/>
      <c r="AO1458" s="13"/>
      <c r="AP1458" s="13"/>
      <c r="AQ1458" s="13"/>
      <c r="AR1458" s="14"/>
      <c r="AS1458" s="15"/>
    </row>
    <row r="1459" spans="1:45" s="17" customFormat="1" ht="30.95" hidden="1" customHeight="1" x14ac:dyDescent="0.2">
      <c r="A1459" s="37" t="s">
        <v>687</v>
      </c>
      <c r="B1459" s="38" t="s">
        <v>444</v>
      </c>
      <c r="C1459" s="45"/>
      <c r="D1459" s="31">
        <v>3735113</v>
      </c>
      <c r="E1459" s="31">
        <v>4141071</v>
      </c>
      <c r="F1459" s="268" t="str">
        <f>IF(D1459="","",VLOOKUP(D1459,契約台帳!$A$3:$K$4986,6,FALSE)&amp;VLOOKUP(D1459,契約台帳!$A$3:$K$4986,7,FALSE)&amp;VLOOKUP(D1459,契約台帳!$A$3:$K$4986,8,FALSE)&amp;VLOOKUP(D1459,契約台帳!$A$3:$K$4986,9,FALSE)&amp;VLOOKUP(D1459,契約台帳!$A$3:$K$4986,11,FALSE))</f>
        <v>3SNMCLBNGKVB</v>
      </c>
      <c r="G1459" s="269" t="str">
        <f>IF(D1459="","",VLOOKUP(F1459,製品マスタ!$G$5:$H$5002,2,FALSE))</f>
        <v>S</v>
      </c>
      <c r="H1459" s="269" t="str">
        <f>IF(D1459="","",VLOOKUP(F1459,製品マスタ!$G$5:$K$5002,5,FALSE))</f>
        <v>NGKVB</v>
      </c>
      <c r="I1459" s="270" t="str">
        <f>IF(D1459="","",VLOOKUP(F1459,製品マスタ!$G$5:$L$5002,6,FALSE))</f>
        <v>メタルミー　ネーマー銀消　ＶＢ</v>
      </c>
      <c r="J1459" s="210" t="s">
        <v>447</v>
      </c>
      <c r="K1459" s="270">
        <f>IF(D1459="","",VLOOKUP(D1459,契約台帳!$A$3:$L$4986,12,FALSE))</f>
        <v>50</v>
      </c>
      <c r="L1459" s="270" t="str">
        <f>IF(D1459="","",INDEX(製品マスタ!$Q$5:$Q$5002,MATCH('S4'!F1459&amp;'S4'!K1459,製品マスタ!$AO$5:$AO$5002,0)))</f>
        <v>MAT</v>
      </c>
      <c r="M1459" s="39">
        <v>1005</v>
      </c>
      <c r="N1459" s="39">
        <v>12300</v>
      </c>
      <c r="O1459" s="156">
        <v>2</v>
      </c>
      <c r="P1459" s="47">
        <v>2</v>
      </c>
      <c r="Q1459" s="57"/>
      <c r="R1459" s="271">
        <f ca="1">IF(D1459="","",IF(OFFSET(D1459,-1,0)&lt;&gt;"","",IF(OR(J1459="リード付け",J1459="巻足し",J1459="巻返しリード付け"),M1459,VLOOKUP(D1459,契約台帳!$A$3:$N$4986,14,FALSE))))</f>
        <v>1005</v>
      </c>
      <c r="S1459" s="272">
        <f ca="1">IF(D1459="","",IF(OFFSET(D1459,-1,0)&lt;&gt;"","",IF(OR(J1459="リード付け",J1459="巻足し",J1459="巻返しリード付け"),M1459,VLOOKUP(D1459,契約台帳!$A$3:$O$4986,15,FALSE))))</f>
        <v>1000</v>
      </c>
      <c r="T1459" s="273">
        <f ca="1">IF(D1459="","",IF(J1459="リード付け",N1459,IF(J1459="巻返しリード付け",N1459,IF(J1459="巻足し",N1459*P1459+OFFSET(N1459,1,0)*OFFSET(P1459,1,0),VLOOKUP(D1459,契約台帳!$A$3:$P$4986,16,FALSE)))))</f>
        <v>4100</v>
      </c>
      <c r="U1459" s="40">
        <v>6</v>
      </c>
      <c r="V1459" s="274">
        <f ca="1">IF(D1459="","",IF(OFFSET(D1459,-2,0)=D1459,"",VLOOKUP(D1459,契約台帳!$A$3:$R$4986,18,FALSE)))</f>
        <v>6</v>
      </c>
      <c r="W1459" s="269" t="str">
        <f ca="1">IF(D1459="","",IF(T1459="","",IF(OR(J1459="巻足し",J1459="巻返しリード付け"),"",IF(J1459="巻返し",VLOOKUP(F1459&amp;K1459&amp;M1459,製品マスタ!$M$5:$AD$5002,18,FALSE),IF(OR(J1459="リード付け",J1459="巻返しリード付け"),"原反コア",IF(J1459="スリット",VLOOKUP(F1459&amp;K1459&amp;R1459,製品マスタ!$N$5:$AD$5002,17,FALSE),""))))))</f>
        <v>6ｲﾝﾁMｺｱ</v>
      </c>
      <c r="X1459" s="269">
        <f ca="1">IF(D1459="","",IF(T1459="","",IF(J1459="巻足し","",IF(J1459="巻返し",VLOOKUP(F1459&amp;K1459&amp;M1459,製品マスタ!$M$5:$AE$5002,19,FALSE),IF(OR(J1459="リード付け",J1459="巻返しリード付け"),"",IF(J1459="スリット",VLOOKUP(F1459&amp;K1459&amp;R1459,製品マスタ!$N$5:$AE$5002,18,FALSE),""))))))</f>
        <v>1015</v>
      </c>
      <c r="Y1459" s="275">
        <f ca="1">IF(D1459="","",IF(T1459="","",VLOOKUP(D1459,契約台帳!$A$3:$Q$4986,17,FALSE)))</f>
        <v>2</v>
      </c>
      <c r="Z1459" s="269" t="str">
        <f ca="1">IF(D1459="","",IF(T1459="","",VLOOKUP(D1459,契約台帳!$A$3:$E$4986,5,FALSE)))</f>
        <v>リンテック㈱</v>
      </c>
      <c r="AA1459" s="57"/>
      <c r="AB1459" s="207"/>
      <c r="AC1459" s="33"/>
      <c r="AD1459" s="189"/>
      <c r="AE1459" s="54"/>
      <c r="AF1459" s="55"/>
      <c r="AG1459" s="43"/>
      <c r="AH1459" s="47"/>
      <c r="AI1459" s="30"/>
      <c r="AJ1459" s="30"/>
      <c r="AK1459" s="30"/>
      <c r="AL1459" s="30"/>
      <c r="AM1459" s="13"/>
      <c r="AN1459" s="13"/>
      <c r="AO1459" s="13"/>
      <c r="AP1459" s="13"/>
      <c r="AQ1459" s="13"/>
      <c r="AR1459" s="14"/>
      <c r="AS1459" s="15"/>
    </row>
    <row r="1460" spans="1:45" s="17" customFormat="1" ht="30.95" hidden="1" customHeight="1" x14ac:dyDescent="0.2">
      <c r="A1460" s="37"/>
      <c r="B1460" s="38"/>
      <c r="C1460" s="45"/>
      <c r="D1460" s="31"/>
      <c r="E1460" s="31"/>
      <c r="F1460" s="268"/>
      <c r="G1460" s="269"/>
      <c r="H1460" s="269"/>
      <c r="I1460" s="270"/>
      <c r="J1460" s="210"/>
      <c r="K1460" s="270"/>
      <c r="L1460" s="270"/>
      <c r="M1460" s="39"/>
      <c r="N1460" s="39"/>
      <c r="O1460" s="156"/>
      <c r="P1460" s="47"/>
      <c r="Q1460" s="57"/>
      <c r="R1460" s="338"/>
      <c r="S1460" s="272"/>
      <c r="T1460" s="273"/>
      <c r="U1460" s="40"/>
      <c r="V1460" s="277"/>
      <c r="W1460" s="269"/>
      <c r="X1460" s="269"/>
      <c r="Y1460" s="275"/>
      <c r="Z1460" s="269"/>
      <c r="AA1460" s="57"/>
      <c r="AB1460" s="207"/>
      <c r="AC1460" s="33"/>
      <c r="AD1460" s="189"/>
      <c r="AE1460" s="54"/>
      <c r="AF1460" s="55"/>
      <c r="AG1460" s="43"/>
      <c r="AH1460" s="47"/>
      <c r="AI1460" s="30"/>
      <c r="AJ1460" s="30"/>
      <c r="AK1460" s="30"/>
      <c r="AL1460" s="30"/>
      <c r="AM1460" s="13"/>
      <c r="AN1460" s="13"/>
      <c r="AO1460" s="13"/>
      <c r="AP1460" s="13"/>
      <c r="AQ1460" s="13"/>
      <c r="AR1460" s="14"/>
      <c r="AS1460" s="15"/>
    </row>
    <row r="1461" spans="1:45" s="17" customFormat="1" ht="30.95" hidden="1" customHeight="1" x14ac:dyDescent="0.2">
      <c r="A1461" s="37"/>
      <c r="B1461" s="38"/>
      <c r="C1461" s="45"/>
      <c r="D1461" s="31">
        <v>3735122</v>
      </c>
      <c r="E1461" s="31">
        <v>4141064</v>
      </c>
      <c r="F1461" s="268" t="str">
        <f>IF(D1461="","",VLOOKUP(D1461,契約台帳!$A$3:$K$4986,6,FALSE)&amp;VLOOKUP(D1461,契約台帳!$A$3:$K$4986,7,FALSE)&amp;VLOOKUP(D1461,契約台帳!$A$3:$K$4986,8,FALSE)&amp;VLOOKUP(D1461,契約台帳!$A$3:$K$4986,9,FALSE)&amp;VLOOKUP(D1461,契約台帳!$A$3:$K$4986,11,FALSE))</f>
        <v>33SSNMCLBTEKKFV</v>
      </c>
      <c r="G1461" s="269" t="str">
        <f>IF(D1461="","",VLOOKUP(F1461,製品マスタ!$G$5:$H$5002,2,FALSE))</f>
        <v>S</v>
      </c>
      <c r="H1461" s="269" t="str">
        <f>IF(D1461="","",VLOOKUP(F1461,製品マスタ!$G$5:$K$5002,5,FALSE))</f>
        <v>TEKKFV</v>
      </c>
      <c r="I1461" s="270" t="str">
        <f>IF(D1461="","",VLOOKUP(F1461,製品マスタ!$G$5:$L$5002,6,FALSE))</f>
        <v>メタルミー　ＴＥＳ消開封　Ｖ</v>
      </c>
      <c r="J1461" s="210" t="s">
        <v>447</v>
      </c>
      <c r="K1461" s="270">
        <f>IF(D1461="","",VLOOKUP(D1461,契約台帳!$A$3:$L$4986,12,FALSE))</f>
        <v>50</v>
      </c>
      <c r="L1461" s="270" t="str">
        <f>IF(D1461="","",INDEX(製品マスタ!$Q$5:$Q$5002,MATCH('S4'!F1461&amp;'S4'!K1461,製品マスタ!$AO$5:$AO$5002,0)))</f>
        <v>X44SEPA</v>
      </c>
      <c r="M1461" s="39">
        <v>1005</v>
      </c>
      <c r="N1461" s="39">
        <v>8000</v>
      </c>
      <c r="O1461" s="156">
        <v>2</v>
      </c>
      <c r="P1461" s="47">
        <v>2</v>
      </c>
      <c r="Q1461" s="57"/>
      <c r="R1461" s="271">
        <f ca="1">IF(D1461="","",IF(OFFSET(D1461,-1,0)&lt;&gt;"","",IF(OR(J1461="リード付け",J1461="巻足し",J1461="巻返しリード付け"),M1461,VLOOKUP(D1461,契約台帳!$A$3:$N$4986,14,FALSE))))</f>
        <v>1005</v>
      </c>
      <c r="S1461" s="272">
        <f ca="1">IF(D1461="","",IF(OFFSET(D1461,-1,0)&lt;&gt;"","",IF(OR(J1461="リード付け",J1461="巻足し",J1461="巻返しリード付け"),M1461,VLOOKUP(D1461,契約台帳!$A$3:$O$4986,15,FALSE))))</f>
        <v>1000</v>
      </c>
      <c r="T1461" s="273">
        <f ca="1">IF(D1461="","",IF(J1461="リード付け",N1461,IF(J1461="巻返しリード付け",N1461,IF(J1461="巻足し",N1461*P1461+OFFSET(N1461,1,0)*OFFSET(P1461,1,0),VLOOKUP(D1461,契約台帳!$A$3:$P$4986,16,FALSE)))))</f>
        <v>4000</v>
      </c>
      <c r="U1461" s="40">
        <v>4</v>
      </c>
      <c r="V1461" s="274">
        <f ca="1">IF(D1461="","",IF(OFFSET(D1461,-2,0)=D1461,"",VLOOKUP(D1461,契約台帳!$A$3:$R$4986,18,FALSE)))</f>
        <v>4</v>
      </c>
      <c r="W1461" s="269" t="str">
        <f ca="1">IF(D1461="","",IF(T1461="","",IF(OR(J1461="巻足し",J1461="巻返しリード付け"),"",IF(J1461="巻返し",VLOOKUP(F1461&amp;K1461&amp;M1461,製品マスタ!$M$5:$AD$5002,18,FALSE),IF(OR(J1461="リード付け",J1461="巻返しリード付け"),"原反コア",IF(J1461="スリット",VLOOKUP(F1461&amp;K1461&amp;R1461,製品マスタ!$N$5:$AD$5002,17,FALSE),""))))))</f>
        <v>6ｲﾝﾁSｺｱ</v>
      </c>
      <c r="X1461" s="269">
        <f ca="1">IF(D1461="","",IF(T1461="","",IF(J1461="巻足し","",IF(J1461="巻返し",VLOOKUP(F1461&amp;K1461&amp;M1461,製品マスタ!$M$5:$AE$5002,19,FALSE),IF(OR(J1461="リード付け",J1461="巻返しリード付け"),"",IF(J1461="スリット",VLOOKUP(F1461&amp;K1461&amp;R1461,製品マスタ!$N$5:$AE$5002,18,FALSE),""))))))</f>
        <v>1015</v>
      </c>
      <c r="Y1461" s="275">
        <f ca="1">IF(D1461="","",IF(T1461="","",VLOOKUP(D1461,契約台帳!$A$3:$Q$4986,17,FALSE)))</f>
        <v>2</v>
      </c>
      <c r="Z1461" s="269" t="str">
        <f ca="1">IF(D1461="","",IF(T1461="","",VLOOKUP(D1461,契約台帳!$A$3:$E$4986,5,FALSE)))</f>
        <v>リンテック㈱</v>
      </c>
      <c r="AA1461" s="57"/>
      <c r="AB1461" s="207"/>
      <c r="AC1461" s="33"/>
      <c r="AD1461" s="189"/>
      <c r="AE1461" s="54"/>
      <c r="AF1461" s="55"/>
      <c r="AG1461" s="43"/>
      <c r="AH1461" s="47"/>
      <c r="AI1461" s="30"/>
      <c r="AJ1461" s="30"/>
      <c r="AK1461" s="30"/>
      <c r="AL1461" s="30"/>
      <c r="AM1461" s="13"/>
      <c r="AN1461" s="13"/>
      <c r="AO1461" s="13"/>
      <c r="AP1461" s="13"/>
      <c r="AQ1461" s="13"/>
      <c r="AR1461" s="14"/>
      <c r="AS1461" s="15"/>
    </row>
    <row r="1462" spans="1:45" s="17" customFormat="1" ht="30.95" hidden="1" customHeight="1" x14ac:dyDescent="0.2">
      <c r="A1462" s="37"/>
      <c r="B1462" s="38"/>
      <c r="C1462" s="45"/>
      <c r="D1462" s="31"/>
      <c r="E1462" s="31"/>
      <c r="F1462" s="268"/>
      <c r="G1462" s="269"/>
      <c r="H1462" s="269"/>
      <c r="I1462" s="270"/>
      <c r="J1462" s="210"/>
      <c r="K1462" s="270"/>
      <c r="L1462" s="270"/>
      <c r="M1462" s="39"/>
      <c r="N1462" s="39"/>
      <c r="O1462" s="156"/>
      <c r="P1462" s="47"/>
      <c r="Q1462" s="57"/>
      <c r="R1462" s="338"/>
      <c r="S1462" s="272"/>
      <c r="T1462" s="273"/>
      <c r="U1462" s="40"/>
      <c r="V1462" s="277"/>
      <c r="W1462" s="269"/>
      <c r="X1462" s="269"/>
      <c r="Y1462" s="275"/>
      <c r="Z1462" s="269"/>
      <c r="AA1462" s="57"/>
      <c r="AB1462" s="207"/>
      <c r="AC1462" s="33"/>
      <c r="AD1462" s="189"/>
      <c r="AE1462" s="54"/>
      <c r="AF1462" s="55"/>
      <c r="AG1462" s="43"/>
      <c r="AH1462" s="47"/>
      <c r="AI1462" s="30"/>
      <c r="AJ1462" s="30"/>
      <c r="AK1462" s="30"/>
      <c r="AL1462" s="30"/>
      <c r="AM1462" s="13"/>
      <c r="AN1462" s="13"/>
      <c r="AO1462" s="13"/>
      <c r="AP1462" s="13"/>
      <c r="AQ1462" s="13"/>
      <c r="AR1462" s="14"/>
      <c r="AS1462" s="15"/>
    </row>
    <row r="1463" spans="1:45" s="17" customFormat="1" ht="30.95" hidden="1" customHeight="1" x14ac:dyDescent="0.2">
      <c r="A1463" s="37"/>
      <c r="B1463" s="38"/>
      <c r="C1463" s="45"/>
      <c r="D1463" s="31">
        <v>3735123</v>
      </c>
      <c r="E1463" s="31">
        <v>4141065</v>
      </c>
      <c r="F1463" s="268" t="str">
        <f>IF(D1463="","",VLOOKUP(D1463,契約台帳!$A$3:$K$4986,6,FALSE)&amp;VLOOKUP(D1463,契約台帳!$A$3:$K$4986,7,FALSE)&amp;VLOOKUP(D1463,契約台帳!$A$3:$K$4986,8,FALSE)&amp;VLOOKUP(D1463,契約台帳!$A$3:$K$4986,9,FALSE)&amp;VLOOKUP(D1463,契約台帳!$A$3:$K$4986,11,FALSE))</f>
        <v>33SSNMCLBTEKV0V</v>
      </c>
      <c r="G1463" s="269" t="str">
        <f>IF(D1463="","",VLOOKUP(F1463,製品マスタ!$G$5:$H$5002,2,FALSE))</f>
        <v>S</v>
      </c>
      <c r="H1463" s="269" t="str">
        <f>IF(D1463="","",VLOOKUP(F1463,製品マスタ!$G$5:$K$5002,5,FALSE))</f>
        <v>TEKV0V</v>
      </c>
      <c r="I1463" s="270" t="str">
        <f>IF(D1463="","",VLOOKUP(F1463,製品マスタ!$G$5:$L$5002,6,FALSE))</f>
        <v>メタルミー　ＴＥ－Ｓ消　ＶＯＩＤ　Ｖ</v>
      </c>
      <c r="J1463" s="210" t="s">
        <v>447</v>
      </c>
      <c r="K1463" s="270">
        <f>IF(D1463="","",VLOOKUP(D1463,契約台帳!$A$3:$L$4986,12,FALSE))</f>
        <v>50</v>
      </c>
      <c r="L1463" s="270" t="str">
        <f>IF(D1463="","",INDEX(製品マスタ!$Q$5:$Q$5002,MATCH('S4'!F1463&amp;'S4'!K1463,製品マスタ!$AO$5:$AO$5002,0)))</f>
        <v>X44SEPA</v>
      </c>
      <c r="M1463" s="39">
        <v>1005</v>
      </c>
      <c r="N1463" s="39">
        <v>12000</v>
      </c>
      <c r="O1463" s="156">
        <v>1</v>
      </c>
      <c r="P1463" s="47">
        <v>1</v>
      </c>
      <c r="Q1463" s="57"/>
      <c r="R1463" s="271">
        <f ca="1">IF(D1463="","",IF(OFFSET(D1463,-1,0)&lt;&gt;"","",IF(OR(J1463="リード付け",J1463="巻足し",J1463="巻返しリード付け"),M1463,VLOOKUP(D1463,契約台帳!$A$3:$N$4986,14,FALSE))))</f>
        <v>1005</v>
      </c>
      <c r="S1463" s="272">
        <f ca="1">IF(D1463="","",IF(OFFSET(D1463,-1,0)&lt;&gt;"","",IF(OR(J1463="リード付け",J1463="巻足し",J1463="巻返しリード付け"),M1463,VLOOKUP(D1463,契約台帳!$A$3:$O$4986,15,FALSE))))</f>
        <v>1000</v>
      </c>
      <c r="T1463" s="273">
        <f ca="1">IF(D1463="","",IF(J1463="リード付け",N1463,IF(J1463="巻返しリード付け",N1463,IF(J1463="巻足し",N1463*P1463+OFFSET(N1463,1,0)*OFFSET(P1463,1,0),VLOOKUP(D1463,契約台帳!$A$3:$P$4986,16,FALSE)))))</f>
        <v>4000</v>
      </c>
      <c r="U1463" s="40">
        <v>3</v>
      </c>
      <c r="V1463" s="274">
        <f ca="1">IF(D1463="","",IF(OFFSET(D1463,-2,0)=D1463,"",VLOOKUP(D1463,契約台帳!$A$3:$R$4986,18,FALSE)))</f>
        <v>5</v>
      </c>
      <c r="W1463" s="269" t="str">
        <f ca="1">IF(D1463="","",IF(T1463="","",IF(OR(J1463="巻足し",J1463="巻返しリード付け"),"",IF(J1463="巻返し",VLOOKUP(F1463&amp;K1463&amp;M1463,製品マスタ!$M$5:$AD$5002,18,FALSE),IF(OR(J1463="リード付け",J1463="巻返しリード付け"),"原反コア",IF(J1463="スリット",VLOOKUP(F1463&amp;K1463&amp;R1463,製品マスタ!$N$5:$AD$5002,17,FALSE),""))))))</f>
        <v>6ｲﾝﾁSｺｱ</v>
      </c>
      <c r="X1463" s="269">
        <f ca="1">IF(D1463="","",IF(T1463="","",IF(J1463="巻足し","",IF(J1463="巻返し",VLOOKUP(F1463&amp;K1463&amp;M1463,製品マスタ!$M$5:$AE$5002,19,FALSE),IF(OR(J1463="リード付け",J1463="巻返しリード付け"),"",IF(J1463="スリット",VLOOKUP(F1463&amp;K1463&amp;R1463,製品マスタ!$N$5:$AE$5002,18,FALSE),""))))))</f>
        <v>1015</v>
      </c>
      <c r="Y1463" s="275">
        <f ca="1">IF(D1463="","",IF(T1463="","",VLOOKUP(D1463,契約台帳!$A$3:$Q$4986,17,FALSE)))</f>
        <v>2</v>
      </c>
      <c r="Z1463" s="269" t="str">
        <f ca="1">IF(D1463="","",IF(T1463="","",VLOOKUP(D1463,契約台帳!$A$3:$E$4986,5,FALSE)))</f>
        <v>リンテック㈱</v>
      </c>
      <c r="AA1463" s="57"/>
      <c r="AB1463" s="207"/>
      <c r="AC1463" s="33"/>
      <c r="AD1463" s="189"/>
      <c r="AE1463" s="54"/>
      <c r="AF1463" s="55"/>
      <c r="AG1463" s="43"/>
      <c r="AH1463" s="47"/>
      <c r="AI1463" s="30"/>
      <c r="AJ1463" s="30"/>
      <c r="AK1463" s="30"/>
      <c r="AL1463" s="30"/>
      <c r="AM1463" s="13"/>
      <c r="AN1463" s="13"/>
      <c r="AO1463" s="13"/>
      <c r="AP1463" s="13"/>
      <c r="AQ1463" s="13"/>
      <c r="AR1463" s="14"/>
      <c r="AS1463" s="15"/>
    </row>
    <row r="1464" spans="1:45" s="17" customFormat="1" ht="30.95" hidden="1" customHeight="1" x14ac:dyDescent="0.2">
      <c r="A1464" s="37"/>
      <c r="B1464" s="38"/>
      <c r="C1464" s="45"/>
      <c r="D1464" s="31"/>
      <c r="E1464" s="31"/>
      <c r="F1464" s="268"/>
      <c r="G1464" s="269"/>
      <c r="H1464" s="269"/>
      <c r="I1464" s="270"/>
      <c r="J1464" s="210"/>
      <c r="K1464" s="270"/>
      <c r="L1464" s="270"/>
      <c r="M1464" s="39"/>
      <c r="N1464" s="39"/>
      <c r="O1464" s="156"/>
      <c r="P1464" s="47"/>
      <c r="Q1464" s="57"/>
      <c r="R1464" s="338"/>
      <c r="S1464" s="272"/>
      <c r="T1464" s="273"/>
      <c r="U1464" s="40"/>
      <c r="V1464" s="277"/>
      <c r="W1464" s="269"/>
      <c r="X1464" s="269"/>
      <c r="Y1464" s="275"/>
      <c r="Z1464" s="269"/>
      <c r="AA1464" s="57"/>
      <c r="AB1464" s="207"/>
      <c r="AC1464" s="33"/>
      <c r="AD1464" s="189"/>
      <c r="AE1464" s="54"/>
      <c r="AF1464" s="55"/>
      <c r="AG1464" s="43"/>
      <c r="AH1464" s="47"/>
      <c r="AI1464" s="30"/>
      <c r="AJ1464" s="30"/>
      <c r="AK1464" s="30"/>
      <c r="AL1464" s="30"/>
      <c r="AM1464" s="13"/>
      <c r="AN1464" s="13"/>
      <c r="AO1464" s="13"/>
      <c r="AP1464" s="13"/>
      <c r="AQ1464" s="13"/>
      <c r="AR1464" s="14"/>
      <c r="AS1464" s="15"/>
    </row>
    <row r="1465" spans="1:45" s="17" customFormat="1" ht="30.95" hidden="1" customHeight="1" x14ac:dyDescent="0.2">
      <c r="A1465" s="37" t="s">
        <v>732</v>
      </c>
      <c r="B1465" s="38" t="s">
        <v>445</v>
      </c>
      <c r="C1465" s="45"/>
      <c r="D1465" s="31">
        <v>3735123</v>
      </c>
      <c r="E1465" s="31">
        <v>4141065</v>
      </c>
      <c r="F1465" s="268" t="str">
        <f>IF(D1465="","",VLOOKUP(D1465,契約台帳!$A$3:$K$4986,6,FALSE)&amp;VLOOKUP(D1465,契約台帳!$A$3:$K$4986,7,FALSE)&amp;VLOOKUP(D1465,契約台帳!$A$3:$K$4986,8,FALSE)&amp;VLOOKUP(D1465,契約台帳!$A$3:$K$4986,9,FALSE)&amp;VLOOKUP(D1465,契約台帳!$A$3:$K$4986,11,FALSE))</f>
        <v>33SSNMCLBTEKV0V</v>
      </c>
      <c r="G1465" s="269" t="str">
        <f>IF(D1465="","",VLOOKUP(F1465,製品マスタ!$G$5:$H$5002,2,FALSE))</f>
        <v>S</v>
      </c>
      <c r="H1465" s="269" t="str">
        <f>IF(D1465="","",VLOOKUP(F1465,製品マスタ!$G$5:$K$5002,5,FALSE))</f>
        <v>TEKV0V</v>
      </c>
      <c r="I1465" s="270" t="str">
        <f>IF(D1465="","",VLOOKUP(F1465,製品マスタ!$G$5:$L$5002,6,FALSE))</f>
        <v>メタルミー　ＴＥ－Ｓ消　ＶＯＩＤ　Ｖ</v>
      </c>
      <c r="J1465" s="210" t="s">
        <v>447</v>
      </c>
      <c r="K1465" s="270">
        <f>IF(D1465="","",VLOOKUP(D1465,契約台帳!$A$3:$L$4986,12,FALSE))</f>
        <v>50</v>
      </c>
      <c r="L1465" s="270" t="str">
        <f>IF(D1465="","",INDEX(製品マスタ!$Q$5:$Q$5002,MATCH('S4'!F1465&amp;'S4'!K1465,製品マスタ!$AO$5:$AO$5002,0)))</f>
        <v>X44SEPA</v>
      </c>
      <c r="M1465" s="39">
        <v>1005</v>
      </c>
      <c r="N1465" s="39">
        <v>8000</v>
      </c>
      <c r="O1465" s="156">
        <v>1</v>
      </c>
      <c r="P1465" s="47">
        <v>1</v>
      </c>
      <c r="Q1465" s="57"/>
      <c r="R1465" s="271">
        <f ca="1">IF(D1465="","",IF(OFFSET(D1465,-1,0)&lt;&gt;"","",IF(OR(J1465="リード付け",J1465="巻足し",J1465="巻返しリード付け"),M1465,VLOOKUP(D1465,契約台帳!$A$3:$N$4986,14,FALSE))))</f>
        <v>1005</v>
      </c>
      <c r="S1465" s="272">
        <f ca="1">IF(D1465="","",IF(OFFSET(D1465,-1,0)&lt;&gt;"","",IF(OR(J1465="リード付け",J1465="巻足し",J1465="巻返しリード付け"),M1465,VLOOKUP(D1465,契約台帳!$A$3:$O$4986,15,FALSE))))</f>
        <v>1000</v>
      </c>
      <c r="T1465" s="273">
        <f ca="1">IF(D1465="","",IF(J1465="リード付け",N1465,IF(J1465="巻返しリード付け",N1465,IF(J1465="巻足し",N1465*P1465+OFFSET(N1465,1,0)*OFFSET(P1465,1,0),VLOOKUP(D1465,契約台帳!$A$3:$P$4986,16,FALSE)))))</f>
        <v>4000</v>
      </c>
      <c r="U1465" s="40">
        <v>2</v>
      </c>
      <c r="V1465" s="274" t="str">
        <f ca="1">IF(D1465="","",IF(OFFSET(D1465,-2,0)=D1465,"",VLOOKUP(D1465,契約台帳!$A$3:$R$4986,18,FALSE)))</f>
        <v/>
      </c>
      <c r="W1465" s="269" t="str">
        <f ca="1">IF(D1465="","",IF(T1465="","",IF(OR(J1465="巻足し",J1465="巻返しリード付け"),"",IF(J1465="巻返し",VLOOKUP(F1465&amp;K1465&amp;M1465,製品マスタ!$M$5:$AD$5002,18,FALSE),IF(OR(J1465="リード付け",J1465="巻返しリード付け"),"原反コア",IF(J1465="スリット",VLOOKUP(F1465&amp;K1465&amp;R1465,製品マスタ!$N$5:$AD$5002,17,FALSE),""))))))</f>
        <v>6ｲﾝﾁSｺｱ</v>
      </c>
      <c r="X1465" s="269">
        <f ca="1">IF(D1465="","",IF(T1465="","",IF(J1465="巻足し","",IF(J1465="巻返し",VLOOKUP(F1465&amp;K1465&amp;M1465,製品マスタ!$M$5:$AE$5002,19,FALSE),IF(OR(J1465="リード付け",J1465="巻返しリード付け"),"",IF(J1465="スリット",VLOOKUP(F1465&amp;K1465&amp;R1465,製品マスタ!$N$5:$AE$5002,18,FALSE),""))))))</f>
        <v>1015</v>
      </c>
      <c r="Y1465" s="275">
        <f ca="1">IF(D1465="","",IF(T1465="","",VLOOKUP(D1465,契約台帳!$A$3:$Q$4986,17,FALSE)))</f>
        <v>2</v>
      </c>
      <c r="Z1465" s="269" t="str">
        <f ca="1">IF(D1465="","",IF(T1465="","",VLOOKUP(D1465,契約台帳!$A$3:$E$4986,5,FALSE)))</f>
        <v>リンテック㈱</v>
      </c>
      <c r="AA1465" s="57"/>
      <c r="AB1465" s="207"/>
      <c r="AC1465" s="33"/>
      <c r="AD1465" s="189"/>
      <c r="AE1465" s="54"/>
      <c r="AF1465" s="55"/>
      <c r="AG1465" s="43"/>
      <c r="AH1465" s="47"/>
      <c r="AI1465" s="30"/>
      <c r="AJ1465" s="30"/>
      <c r="AK1465" s="30"/>
      <c r="AL1465" s="30"/>
      <c r="AM1465" s="13"/>
      <c r="AN1465" s="13"/>
      <c r="AO1465" s="13"/>
      <c r="AP1465" s="13"/>
      <c r="AQ1465" s="13"/>
      <c r="AR1465" s="14"/>
      <c r="AS1465" s="15"/>
    </row>
    <row r="1466" spans="1:45" s="17" customFormat="1" ht="30.95" hidden="1" customHeight="1" x14ac:dyDescent="0.2">
      <c r="A1466" s="37"/>
      <c r="B1466" s="38"/>
      <c r="C1466" s="45"/>
      <c r="D1466" s="31"/>
      <c r="E1466" s="31"/>
      <c r="F1466" s="268"/>
      <c r="G1466" s="269"/>
      <c r="H1466" s="269"/>
      <c r="I1466" s="270"/>
      <c r="J1466" s="210"/>
      <c r="K1466" s="270"/>
      <c r="L1466" s="270"/>
      <c r="M1466" s="39"/>
      <c r="N1466" s="39"/>
      <c r="O1466" s="156"/>
      <c r="P1466" s="47"/>
      <c r="Q1466" s="57"/>
      <c r="R1466" s="338"/>
      <c r="S1466" s="272"/>
      <c r="T1466" s="273"/>
      <c r="U1466" s="40"/>
      <c r="V1466" s="277"/>
      <c r="W1466" s="269"/>
      <c r="X1466" s="269"/>
      <c r="Y1466" s="275"/>
      <c r="Z1466" s="269"/>
      <c r="AA1466" s="57"/>
      <c r="AB1466" s="207"/>
      <c r="AC1466" s="33"/>
      <c r="AD1466" s="189"/>
      <c r="AE1466" s="54"/>
      <c r="AF1466" s="55"/>
      <c r="AG1466" s="43"/>
      <c r="AH1466" s="47"/>
      <c r="AI1466" s="30"/>
      <c r="AJ1466" s="30"/>
      <c r="AK1466" s="30"/>
      <c r="AL1466" s="30"/>
      <c r="AM1466" s="13"/>
      <c r="AN1466" s="13"/>
      <c r="AO1466" s="13"/>
      <c r="AP1466" s="13"/>
      <c r="AQ1466" s="13"/>
      <c r="AR1466" s="14"/>
      <c r="AS1466" s="15"/>
    </row>
    <row r="1467" spans="1:45" s="17" customFormat="1" ht="30.95" hidden="1" customHeight="1" x14ac:dyDescent="0.2">
      <c r="A1467" s="37"/>
      <c r="B1467" s="38"/>
      <c r="C1467" s="45"/>
      <c r="D1467" s="31">
        <v>3735129</v>
      </c>
      <c r="E1467" s="31">
        <v>4141073</v>
      </c>
      <c r="F1467" s="268" t="str">
        <f>IF(D1467="","",VLOOKUP(D1467,契約台帳!$A$3:$K$4986,6,FALSE)&amp;VLOOKUP(D1467,契約台帳!$A$3:$K$4986,7,FALSE)&amp;VLOOKUP(D1467,契約台帳!$A$3:$K$4986,8,FALSE)&amp;VLOOKUP(D1467,契約台帳!$A$3:$K$4986,9,FALSE)&amp;VLOOKUP(D1467,契約台帳!$A$3:$K$4986,11,FALSE))</f>
        <v>3TNMCLBHLGKJV</v>
      </c>
      <c r="G1467" s="269" t="str">
        <f>IF(D1467="","",VLOOKUP(F1467,製品マスタ!$G$5:$H$5002,2,FALSE))</f>
        <v>T</v>
      </c>
      <c r="H1467" s="269" t="str">
        <f>IF(D1467="","",VLOOKUP(F1467,製品マスタ!$G$5:$K$5002,5,FALSE))</f>
        <v>HLGKJV</v>
      </c>
      <c r="I1467" s="270" t="str">
        <f>IF(D1467="","",VLOOKUP(F1467,製品マスタ!$G$5:$L$5002,6,FALSE))</f>
        <v>メタルミー　ヘヤライン　銀消Ｖ</v>
      </c>
      <c r="J1467" s="210" t="s">
        <v>447</v>
      </c>
      <c r="K1467" s="270">
        <f>IF(D1467="","",VLOOKUP(D1467,契約台帳!$A$3:$L$4986,12,FALSE))</f>
        <v>50</v>
      </c>
      <c r="L1467" s="270" t="str">
        <f>IF(D1467="","",INDEX(製品マスタ!$Q$5:$Q$5002,MATCH('S4'!F1467&amp;'S4'!K1467,製品マスタ!$AO$5:$AO$5002,0)))</f>
        <v>HL-MAT</v>
      </c>
      <c r="M1467" s="39">
        <v>1005</v>
      </c>
      <c r="N1467" s="39">
        <v>8000</v>
      </c>
      <c r="O1467" s="156">
        <v>1</v>
      </c>
      <c r="P1467" s="47">
        <v>1</v>
      </c>
      <c r="Q1467" s="57"/>
      <c r="R1467" s="271">
        <f ca="1">IF(D1467="","",IF(OFFSET(D1467,-1,0)&lt;&gt;"","",IF(OR(J1467="リード付け",J1467="巻足し",J1467="巻返しリード付け"),M1467,VLOOKUP(D1467,契約台帳!$A$3:$N$4986,14,FALSE))))</f>
        <v>1005</v>
      </c>
      <c r="S1467" s="272">
        <f ca="1">IF(D1467="","",IF(OFFSET(D1467,-1,0)&lt;&gt;"","",IF(OR(J1467="リード付け",J1467="巻足し",J1467="巻返しリード付け"),M1467,VLOOKUP(D1467,契約台帳!$A$3:$O$4986,15,FALSE))))</f>
        <v>1000</v>
      </c>
      <c r="T1467" s="273">
        <f ca="1">IF(D1467="","",IF(J1467="リード付け",N1467,IF(J1467="巻返しリード付け",N1467,IF(J1467="巻足し",N1467*P1467+OFFSET(N1467,1,0)*OFFSET(P1467,1,0),VLOOKUP(D1467,契約台帳!$A$3:$P$4986,16,FALSE)))))</f>
        <v>2000</v>
      </c>
      <c r="U1467" s="40">
        <v>4</v>
      </c>
      <c r="V1467" s="274">
        <f ca="1">IF(D1467="","",IF(OFFSET(D1467,-2,0)=D1467,"",VLOOKUP(D1467,契約台帳!$A$3:$R$4986,18,FALSE)))</f>
        <v>4</v>
      </c>
      <c r="W1467" s="269" t="str">
        <f ca="1">IF(D1467="","",IF(T1467="","",IF(OR(J1467="巻足し",J1467="巻返しリード付け"),"",IF(J1467="巻返し",VLOOKUP(F1467&amp;K1467&amp;M1467,製品マスタ!$M$5:$AD$5002,18,FALSE),IF(OR(J1467="リード付け",J1467="巻返しリード付け"),"原反コア",IF(J1467="スリット",VLOOKUP(F1467&amp;K1467&amp;R1467,製品マスタ!$N$5:$AD$5002,17,FALSE),""))))))</f>
        <v>6ｲﾝﾁSｺｱ</v>
      </c>
      <c r="X1467" s="269">
        <f ca="1">IF(D1467="","",IF(T1467="","",IF(J1467="巻足し","",IF(J1467="巻返し",VLOOKUP(F1467&amp;K1467&amp;M1467,製品マスタ!$M$5:$AE$5002,19,FALSE),IF(OR(J1467="リード付け",J1467="巻返しリード付け"),"",IF(J1467="スリット",VLOOKUP(F1467&amp;K1467&amp;R1467,製品マスタ!$N$5:$AE$5002,18,FALSE),""))))))</f>
        <v>1015</v>
      </c>
      <c r="Y1467" s="275">
        <f ca="1">IF(D1467="","",IF(T1467="","",VLOOKUP(D1467,契約台帳!$A$3:$Q$4986,17,FALSE)))</f>
        <v>2</v>
      </c>
      <c r="Z1467" s="269" t="str">
        <f ca="1">IF(D1467="","",IF(T1467="","",VLOOKUP(D1467,契約台帳!$A$3:$E$4986,5,FALSE)))</f>
        <v>リンテック㈱</v>
      </c>
      <c r="AA1467" s="57"/>
      <c r="AB1467" s="303" t="s">
        <v>774</v>
      </c>
      <c r="AC1467" s="33"/>
      <c r="AD1467" s="189"/>
      <c r="AE1467" s="54"/>
      <c r="AF1467" s="55"/>
      <c r="AG1467" s="43"/>
      <c r="AH1467" s="47"/>
      <c r="AI1467" s="30"/>
      <c r="AJ1467" s="30"/>
      <c r="AK1467" s="30"/>
      <c r="AL1467" s="30"/>
      <c r="AM1467" s="13"/>
      <c r="AN1467" s="13"/>
      <c r="AO1467" s="13"/>
      <c r="AP1467" s="13"/>
      <c r="AQ1467" s="13"/>
      <c r="AR1467" s="14"/>
      <c r="AS1467" s="15"/>
    </row>
    <row r="1468" spans="1:45" s="17" customFormat="1" ht="30.95" hidden="1" customHeight="1" x14ac:dyDescent="0.2">
      <c r="A1468" s="37"/>
      <c r="B1468" s="38"/>
      <c r="C1468" s="45"/>
      <c r="D1468" s="31"/>
      <c r="E1468" s="31"/>
      <c r="F1468" s="268"/>
      <c r="G1468" s="269"/>
      <c r="H1468" s="269"/>
      <c r="I1468" s="270"/>
      <c r="J1468" s="210"/>
      <c r="K1468" s="270"/>
      <c r="L1468" s="270"/>
      <c r="M1468" s="39"/>
      <c r="N1468" s="39"/>
      <c r="O1468" s="156"/>
      <c r="P1468" s="47"/>
      <c r="Q1468" s="57"/>
      <c r="R1468" s="338"/>
      <c r="S1468" s="272"/>
      <c r="T1468" s="273"/>
      <c r="U1468" s="40"/>
      <c r="V1468" s="277"/>
      <c r="W1468" s="269"/>
      <c r="X1468" s="269"/>
      <c r="Y1468" s="275"/>
      <c r="Z1468" s="269"/>
      <c r="AA1468" s="57"/>
      <c r="AB1468" s="207"/>
      <c r="AC1468" s="33"/>
      <c r="AD1468" s="189"/>
      <c r="AE1468" s="54"/>
      <c r="AF1468" s="55"/>
      <c r="AG1468" s="43"/>
      <c r="AH1468" s="47"/>
      <c r="AI1468" s="30"/>
      <c r="AJ1468" s="30"/>
      <c r="AK1468" s="30"/>
      <c r="AL1468" s="30"/>
      <c r="AM1468" s="13"/>
      <c r="AN1468" s="13"/>
      <c r="AO1468" s="13"/>
      <c r="AP1468" s="13"/>
      <c r="AQ1468" s="13"/>
      <c r="AR1468" s="14"/>
      <c r="AS1468" s="15"/>
    </row>
    <row r="1469" spans="1:45" s="17" customFormat="1" ht="30.95" hidden="1" customHeight="1" x14ac:dyDescent="0.2">
      <c r="A1469" s="37"/>
      <c r="B1469" s="38"/>
      <c r="C1469" s="45"/>
      <c r="D1469" s="31">
        <v>3727606</v>
      </c>
      <c r="E1469" s="31">
        <v>4141033</v>
      </c>
      <c r="F1469" s="268" t="str">
        <f>IF(D1469="","",VLOOKUP(D1469,契約台帳!$A$3:$K$4986,6,FALSE)&amp;VLOOKUP(D1469,契約台帳!$A$3:$K$4986,7,FALSE)&amp;VLOOKUP(D1469,契約台帳!$A$3:$K$4986,8,FALSE)&amp;VLOOKUP(D1469,契約台帳!$A$3:$K$4986,9,FALSE)&amp;VLOOKUP(D1469,契約台帳!$A$3:$K$4986,11,FALSE))</f>
        <v>3TNMCLBHLGTV</v>
      </c>
      <c r="G1469" s="269" t="str">
        <f>IF(D1469="","",VLOOKUP(F1469,製品マスタ!$G$5:$H$5002,2,FALSE))</f>
        <v>T</v>
      </c>
      <c r="H1469" s="269" t="str">
        <f>IF(D1469="","",VLOOKUP(F1469,製品マスタ!$G$5:$K$5002,5,FALSE))</f>
        <v>HLGTV</v>
      </c>
      <c r="I1469" s="270" t="str">
        <f>IF(D1469="","",VLOOKUP(F1469,製品マスタ!$G$5:$L$5002,6,FALSE))</f>
        <v>メタルミー　ヘヤライン　銀艶Ｖ</v>
      </c>
      <c r="J1469" s="210" t="s">
        <v>447</v>
      </c>
      <c r="K1469" s="270">
        <f>IF(D1469="","",VLOOKUP(D1469,契約台帳!$A$3:$L$4986,12,FALSE))</f>
        <v>50</v>
      </c>
      <c r="L1469" s="270" t="str">
        <f>IF(D1469="","",INDEX(製品マスタ!$Q$5:$Q$5002,MATCH('S4'!F1469&amp;'S4'!K1469,製品マスタ!$AO$5:$AO$5002,0)))</f>
        <v>BRIGHT</v>
      </c>
      <c r="M1469" s="39">
        <v>1005</v>
      </c>
      <c r="N1469" s="39">
        <v>12300</v>
      </c>
      <c r="O1469" s="156">
        <v>1</v>
      </c>
      <c r="P1469" s="47">
        <v>1</v>
      </c>
      <c r="Q1469" s="57"/>
      <c r="R1469" s="271">
        <f ca="1">IF(D1469="","",IF(OFFSET(D1469,-1,0)&lt;&gt;"","",IF(OR(J1469="リード付け",J1469="巻足し",J1469="巻返しリード付け"),M1469,VLOOKUP(D1469,契約台帳!$A$3:$N$4986,14,FALSE))))</f>
        <v>1005</v>
      </c>
      <c r="S1469" s="272">
        <f ca="1">IF(D1469="","",IF(OFFSET(D1469,-1,0)&lt;&gt;"","",IF(OR(J1469="リード付け",J1469="巻足し",J1469="巻返しリード付け"),M1469,VLOOKUP(D1469,契約台帳!$A$3:$O$4986,15,FALSE))))</f>
        <v>1000</v>
      </c>
      <c r="T1469" s="273">
        <f ca="1">IF(D1469="","",IF(J1469="リード付け",N1469,IF(J1469="巻返しリード付け",N1469,IF(J1469="巻足し",N1469*P1469+OFFSET(N1469,1,0)*OFFSET(P1469,1,0),VLOOKUP(D1469,契約台帳!$A$3:$P$4986,16,FALSE)))))</f>
        <v>4100</v>
      </c>
      <c r="U1469" s="40">
        <v>3</v>
      </c>
      <c r="V1469" s="274">
        <f ca="1">IF(D1469="","",IF(OFFSET(D1469,-2,0)=D1469,"",VLOOKUP(D1469,契約台帳!$A$3:$R$4986,18,FALSE)))</f>
        <v>5</v>
      </c>
      <c r="W1469" s="269" t="str">
        <f ca="1">IF(D1469="","",IF(T1469="","",IF(OR(J1469="巻足し",J1469="巻返しリード付け"),"",IF(J1469="巻返し",VLOOKUP(F1469&amp;K1469&amp;M1469,製品マスタ!$M$5:$AD$5002,18,FALSE),IF(OR(J1469="リード付け",J1469="巻返しリード付け"),"原反コア",IF(J1469="スリット",VLOOKUP(F1469&amp;K1469&amp;R1469,製品マスタ!$N$5:$AD$5002,17,FALSE),""))))))</f>
        <v>6ｲﾝﾁSｺｱ</v>
      </c>
      <c r="X1469" s="269">
        <f ca="1">IF(D1469="","",IF(T1469="","",IF(J1469="巻足し","",IF(J1469="巻返し",VLOOKUP(F1469&amp;K1469&amp;M1469,製品マスタ!$M$5:$AE$5002,19,FALSE),IF(OR(J1469="リード付け",J1469="巻返しリード付け"),"",IF(J1469="スリット",VLOOKUP(F1469&amp;K1469&amp;R1469,製品マスタ!$N$5:$AE$5002,18,FALSE),""))))))</f>
        <v>1015</v>
      </c>
      <c r="Y1469" s="275">
        <f ca="1">IF(D1469="","",IF(T1469="","",VLOOKUP(D1469,契約台帳!$A$3:$Q$4986,17,FALSE)))</f>
        <v>2</v>
      </c>
      <c r="Z1469" s="269" t="str">
        <f ca="1">IF(D1469="","",IF(T1469="","",VLOOKUP(D1469,契約台帳!$A$3:$E$4986,5,FALSE)))</f>
        <v xml:space="preserve">リンテック㈱        </v>
      </c>
      <c r="AA1469" s="57"/>
      <c r="AB1469" s="303" t="s">
        <v>774</v>
      </c>
      <c r="AC1469" s="33"/>
      <c r="AD1469" s="189"/>
      <c r="AE1469" s="54"/>
      <c r="AF1469" s="55"/>
      <c r="AG1469" s="43"/>
      <c r="AH1469" s="47"/>
      <c r="AI1469" s="30"/>
      <c r="AJ1469" s="30"/>
      <c r="AK1469" s="30"/>
      <c r="AL1469" s="30"/>
      <c r="AM1469" s="13"/>
      <c r="AN1469" s="13"/>
      <c r="AO1469" s="13"/>
      <c r="AP1469" s="13"/>
      <c r="AQ1469" s="13"/>
      <c r="AR1469" s="14"/>
      <c r="AS1469" s="15"/>
    </row>
    <row r="1470" spans="1:45" s="17" customFormat="1" ht="30.95" hidden="1" customHeight="1" x14ac:dyDescent="0.2">
      <c r="A1470" s="37"/>
      <c r="B1470" s="38"/>
      <c r="C1470" s="45"/>
      <c r="D1470" s="31"/>
      <c r="E1470" s="31"/>
      <c r="F1470" s="268"/>
      <c r="G1470" s="269"/>
      <c r="H1470" s="269"/>
      <c r="I1470" s="270"/>
      <c r="J1470" s="210"/>
      <c r="K1470" s="270"/>
      <c r="L1470" s="270"/>
      <c r="M1470" s="39"/>
      <c r="N1470" s="39"/>
      <c r="O1470" s="156"/>
      <c r="P1470" s="47"/>
      <c r="Q1470" s="57"/>
      <c r="R1470" s="338"/>
      <c r="S1470" s="272"/>
      <c r="T1470" s="273"/>
      <c r="U1470" s="40"/>
      <c r="V1470" s="277"/>
      <c r="W1470" s="269"/>
      <c r="X1470" s="269"/>
      <c r="Y1470" s="275"/>
      <c r="Z1470" s="269"/>
      <c r="AA1470" s="57"/>
      <c r="AB1470" s="207"/>
      <c r="AC1470" s="33"/>
      <c r="AD1470" s="189"/>
      <c r="AE1470" s="54"/>
      <c r="AF1470" s="55"/>
      <c r="AG1470" s="43"/>
      <c r="AH1470" s="47"/>
      <c r="AI1470" s="30"/>
      <c r="AJ1470" s="30"/>
      <c r="AK1470" s="30"/>
      <c r="AL1470" s="30"/>
      <c r="AM1470" s="13"/>
      <c r="AN1470" s="13"/>
      <c r="AO1470" s="13"/>
      <c r="AP1470" s="13"/>
      <c r="AQ1470" s="13"/>
      <c r="AR1470" s="14"/>
      <c r="AS1470" s="15"/>
    </row>
    <row r="1471" spans="1:45" s="17" customFormat="1" ht="30.95" hidden="1" customHeight="1" x14ac:dyDescent="0.2">
      <c r="A1471" s="37"/>
      <c r="B1471" s="38"/>
      <c r="C1471" s="45"/>
      <c r="D1471" s="31">
        <v>3732680</v>
      </c>
      <c r="E1471" s="31">
        <v>4041058</v>
      </c>
      <c r="F1471" s="268" t="str">
        <f>IF(D1471="","",VLOOKUP(D1471,契約台帳!$A$3:$K$4986,6,FALSE)&amp;VLOOKUP(D1471,契約台帳!$A$3:$K$4986,7,FALSE)&amp;VLOOKUP(D1471,契約台帳!$A$3:$K$4986,8,FALSE)&amp;VLOOKUP(D1471,契約台帳!$A$3:$K$4986,9,FALSE)&amp;VLOOKUP(D1471,契約台帳!$A$3:$K$4986,11,FALSE))</f>
        <v>3TNMCLBHLGTV</v>
      </c>
      <c r="G1471" s="269" t="str">
        <f>IF(D1471="","",VLOOKUP(F1471,製品マスタ!$G$5:$H$5002,2,FALSE))</f>
        <v>T</v>
      </c>
      <c r="H1471" s="269" t="str">
        <f>IF(D1471="","",VLOOKUP(F1471,製品マスタ!$G$5:$K$5002,5,FALSE))</f>
        <v>HLGTV</v>
      </c>
      <c r="I1471" s="270" t="str">
        <f>IF(D1471="","",VLOOKUP(F1471,製品マスタ!$G$5:$L$5002,6,FALSE))</f>
        <v>メタルミー　ヘヤライン　銀艶Ｖ</v>
      </c>
      <c r="J1471" s="210" t="s">
        <v>447</v>
      </c>
      <c r="K1471" s="270">
        <f>IF(D1471="","",VLOOKUP(D1471,契約台帳!$A$3:$L$4986,12,FALSE))</f>
        <v>50</v>
      </c>
      <c r="L1471" s="270" t="str">
        <f>IF(D1471="","",INDEX(製品マスタ!$Q$5:$Q$5002,MATCH('S4'!F1471&amp;'S4'!K1471,製品マスタ!$AO$5:$AO$5002,0)))</f>
        <v>BRIGHT</v>
      </c>
      <c r="M1471" s="39">
        <v>1005</v>
      </c>
      <c r="N1471" s="39">
        <v>12300</v>
      </c>
      <c r="O1471" s="156">
        <v>1</v>
      </c>
      <c r="P1471" s="47">
        <v>1</v>
      </c>
      <c r="Q1471" s="57"/>
      <c r="R1471" s="271">
        <f ca="1">IF(D1471="","",IF(OFFSET(D1471,-1,0)&lt;&gt;"","",IF(OR(J1471="リード付け",J1471="巻足し",J1471="巻返しリード付け"),M1471,VLOOKUP(D1471,契約台帳!$A$3:$N$4986,14,FALSE))))</f>
        <v>1005</v>
      </c>
      <c r="S1471" s="272">
        <f ca="1">IF(D1471="","",IF(OFFSET(D1471,-1,0)&lt;&gt;"","",IF(OR(J1471="リード付け",J1471="巻足し",J1471="巻返しリード付け"),M1471,VLOOKUP(D1471,契約台帳!$A$3:$O$4986,15,FALSE))))</f>
        <v>1000</v>
      </c>
      <c r="T1471" s="273">
        <f ca="1">IF(D1471="","",IF(J1471="リード付け",N1471,IF(J1471="巻返しリード付け",N1471,IF(J1471="巻足し",N1471*P1471+OFFSET(N1471,1,0)*OFFSET(P1471,1,0),VLOOKUP(D1471,契約台帳!$A$3:$P$4986,16,FALSE)))))</f>
        <v>4100</v>
      </c>
      <c r="U1471" s="40">
        <v>3</v>
      </c>
      <c r="V1471" s="274">
        <f ca="1">IF(D1471="","",IF(OFFSET(D1471,-2,0)=D1471,"",VLOOKUP(D1471,契約台帳!$A$3:$R$4986,18,FALSE)))</f>
        <v>4</v>
      </c>
      <c r="W1471" s="269" t="str">
        <f ca="1">IF(D1471="","",IF(T1471="","",IF(OR(J1471="巻足し",J1471="巻返しリード付け"),"",IF(J1471="巻返し",VLOOKUP(F1471&amp;K1471&amp;M1471,製品マスタ!$M$5:$AD$5002,18,FALSE),IF(OR(J1471="リード付け",J1471="巻返しリード付け"),"原反コア",IF(J1471="スリット",VLOOKUP(F1471&amp;K1471&amp;R1471,製品マスタ!$N$5:$AD$5002,17,FALSE),""))))))</f>
        <v>6ｲﾝﾁSｺｱ</v>
      </c>
      <c r="X1471" s="269">
        <f ca="1">IF(D1471="","",IF(T1471="","",IF(J1471="巻足し","",IF(J1471="巻返し",VLOOKUP(F1471&amp;K1471&amp;M1471,製品マスタ!$M$5:$AE$5002,19,FALSE),IF(OR(J1471="リード付け",J1471="巻返しリード付け"),"",IF(J1471="スリット",VLOOKUP(F1471&amp;K1471&amp;R1471,製品マスタ!$N$5:$AE$5002,18,FALSE),""))))))</f>
        <v>1015</v>
      </c>
      <c r="Y1471" s="275">
        <f ca="1">IF(D1471="","",IF(T1471="","",VLOOKUP(D1471,契約台帳!$A$3:$Q$4986,17,FALSE)))</f>
        <v>2</v>
      </c>
      <c r="Z1471" s="269" t="str">
        <f ca="1">IF(D1471="","",IF(T1471="","",VLOOKUP(D1471,契約台帳!$A$3:$E$4986,5,FALSE)))</f>
        <v>リンテック㈱</v>
      </c>
      <c r="AA1471" s="57"/>
      <c r="AB1471" s="303" t="s">
        <v>774</v>
      </c>
      <c r="AC1471" s="33"/>
      <c r="AD1471" s="189"/>
      <c r="AE1471" s="54"/>
      <c r="AF1471" s="55"/>
      <c r="AG1471" s="43"/>
      <c r="AH1471" s="47"/>
      <c r="AI1471" s="30"/>
      <c r="AJ1471" s="30"/>
      <c r="AK1471" s="30"/>
      <c r="AL1471" s="30"/>
      <c r="AM1471" s="13"/>
      <c r="AN1471" s="13"/>
      <c r="AO1471" s="13"/>
      <c r="AP1471" s="13"/>
      <c r="AQ1471" s="13"/>
      <c r="AR1471" s="14"/>
      <c r="AS1471" s="15"/>
    </row>
    <row r="1472" spans="1:45" s="17" customFormat="1" ht="30.95" hidden="1" customHeight="1" x14ac:dyDescent="0.2">
      <c r="A1472" s="37"/>
      <c r="B1472" s="38"/>
      <c r="C1472" s="45"/>
      <c r="D1472" s="31"/>
      <c r="E1472" s="31"/>
      <c r="F1472" s="268"/>
      <c r="G1472" s="269"/>
      <c r="H1472" s="269"/>
      <c r="I1472" s="270"/>
      <c r="J1472" s="210"/>
      <c r="K1472" s="270"/>
      <c r="L1472" s="270"/>
      <c r="M1472" s="39"/>
      <c r="N1472" s="39"/>
      <c r="O1472" s="156"/>
      <c r="P1472" s="47"/>
      <c r="Q1472" s="57"/>
      <c r="R1472" s="338"/>
      <c r="S1472" s="272"/>
      <c r="T1472" s="273"/>
      <c r="U1472" s="40"/>
      <c r="V1472" s="277"/>
      <c r="W1472" s="269"/>
      <c r="X1472" s="269"/>
      <c r="Y1472" s="275"/>
      <c r="Z1472" s="269"/>
      <c r="AA1472" s="57"/>
      <c r="AB1472" s="207"/>
      <c r="AC1472" s="33"/>
      <c r="AD1472" s="189"/>
      <c r="AE1472" s="54"/>
      <c r="AF1472" s="55"/>
      <c r="AG1472" s="43"/>
      <c r="AH1472" s="47"/>
      <c r="AI1472" s="30"/>
      <c r="AJ1472" s="30"/>
      <c r="AK1472" s="30"/>
      <c r="AL1472" s="30"/>
      <c r="AM1472" s="13"/>
      <c r="AN1472" s="13"/>
      <c r="AO1472" s="13"/>
      <c r="AP1472" s="13"/>
      <c r="AQ1472" s="13"/>
      <c r="AR1472" s="14"/>
      <c r="AS1472" s="15"/>
    </row>
    <row r="1473" spans="1:45" s="17" customFormat="1" ht="30.95" hidden="1" customHeight="1" x14ac:dyDescent="0.2">
      <c r="A1473" s="37" t="s">
        <v>733</v>
      </c>
      <c r="B1473" s="38" t="s">
        <v>446</v>
      </c>
      <c r="C1473" s="45"/>
      <c r="D1473" s="31"/>
      <c r="E1473" s="31"/>
      <c r="F1473" s="268"/>
      <c r="G1473" s="269"/>
      <c r="H1473" s="269"/>
      <c r="I1473" s="270"/>
      <c r="J1473" s="210" t="s">
        <v>448</v>
      </c>
      <c r="K1473" s="270"/>
      <c r="L1473" s="270"/>
      <c r="M1473" s="39"/>
      <c r="N1473" s="39"/>
      <c r="O1473" s="156"/>
      <c r="P1473" s="47"/>
      <c r="Q1473" s="57"/>
      <c r="R1473" s="338"/>
      <c r="S1473" s="272"/>
      <c r="T1473" s="273"/>
      <c r="U1473" s="40"/>
      <c r="V1473" s="277"/>
      <c r="W1473" s="269"/>
      <c r="X1473" s="269"/>
      <c r="Y1473" s="275"/>
      <c r="Z1473" s="269"/>
      <c r="AA1473" s="57"/>
      <c r="AB1473" s="207"/>
      <c r="AC1473" s="33"/>
      <c r="AD1473" s="189"/>
      <c r="AE1473" s="54"/>
      <c r="AF1473" s="55"/>
      <c r="AG1473" s="43"/>
      <c r="AH1473" s="47"/>
      <c r="AI1473" s="30"/>
      <c r="AJ1473" s="30"/>
      <c r="AK1473" s="30"/>
      <c r="AL1473" s="30"/>
      <c r="AM1473" s="13"/>
      <c r="AN1473" s="13"/>
      <c r="AO1473" s="13"/>
      <c r="AP1473" s="13"/>
      <c r="AQ1473" s="13"/>
      <c r="AR1473" s="14"/>
      <c r="AS1473" s="15"/>
    </row>
    <row r="1474" spans="1:45" s="17" customFormat="1" ht="30.95" hidden="1" customHeight="1" x14ac:dyDescent="0.2">
      <c r="A1474" s="37"/>
      <c r="B1474" s="38"/>
      <c r="C1474" s="45"/>
      <c r="D1474" s="31"/>
      <c r="E1474" s="31"/>
      <c r="F1474" s="268"/>
      <c r="G1474" s="269"/>
      <c r="H1474" s="269"/>
      <c r="I1474" s="270"/>
      <c r="J1474" s="210"/>
      <c r="K1474" s="270"/>
      <c r="L1474" s="270"/>
      <c r="M1474" s="39"/>
      <c r="N1474" s="39"/>
      <c r="O1474" s="156"/>
      <c r="P1474" s="47"/>
      <c r="Q1474" s="57"/>
      <c r="R1474" s="338"/>
      <c r="S1474" s="272"/>
      <c r="T1474" s="273"/>
      <c r="U1474" s="40"/>
      <c r="V1474" s="277"/>
      <c r="W1474" s="269"/>
      <c r="X1474" s="269"/>
      <c r="Y1474" s="275"/>
      <c r="Z1474" s="269"/>
      <c r="AA1474" s="57"/>
      <c r="AB1474" s="207"/>
      <c r="AC1474" s="33"/>
      <c r="AD1474" s="189"/>
      <c r="AE1474" s="54"/>
      <c r="AF1474" s="55"/>
      <c r="AG1474" s="43"/>
      <c r="AH1474" s="47"/>
      <c r="AI1474" s="30"/>
      <c r="AJ1474" s="30"/>
      <c r="AK1474" s="30"/>
      <c r="AL1474" s="30"/>
      <c r="AM1474" s="13"/>
      <c r="AN1474" s="13"/>
      <c r="AO1474" s="13"/>
      <c r="AP1474" s="13"/>
      <c r="AQ1474" s="13"/>
      <c r="AR1474" s="14"/>
      <c r="AS1474" s="15"/>
    </row>
    <row r="1475" spans="1:45" s="17" customFormat="1" ht="30.95" hidden="1" customHeight="1" x14ac:dyDescent="0.2">
      <c r="A1475" s="37" t="s">
        <v>734</v>
      </c>
      <c r="B1475" s="38" t="s">
        <v>462</v>
      </c>
      <c r="C1475" s="45"/>
      <c r="D1475" s="31">
        <v>3732680</v>
      </c>
      <c r="E1475" s="31">
        <v>4041058</v>
      </c>
      <c r="F1475" s="268" t="str">
        <f>IF(D1475="","",VLOOKUP(D1475,契約台帳!$A$3:$K$4986,6,FALSE)&amp;VLOOKUP(D1475,契約台帳!$A$3:$K$4986,7,FALSE)&amp;VLOOKUP(D1475,契約台帳!$A$3:$K$4986,8,FALSE)&amp;VLOOKUP(D1475,契約台帳!$A$3:$K$4986,9,FALSE)&amp;VLOOKUP(D1475,契約台帳!$A$3:$K$4986,11,FALSE))</f>
        <v>3TNMCLBHLGTV</v>
      </c>
      <c r="G1475" s="269" t="str">
        <f>IF(D1475="","",VLOOKUP(F1475,製品マスタ!$G$5:$H$5002,2,FALSE))</f>
        <v>T</v>
      </c>
      <c r="H1475" s="269" t="str">
        <f>IF(D1475="","",VLOOKUP(F1475,製品マスタ!$G$5:$K$5002,5,FALSE))</f>
        <v>HLGTV</v>
      </c>
      <c r="I1475" s="270" t="str">
        <f>IF(D1475="","",VLOOKUP(F1475,製品マスタ!$G$5:$L$5002,6,FALSE))</f>
        <v>メタルミー　ヘヤライン　銀艶Ｖ</v>
      </c>
      <c r="J1475" s="210" t="s">
        <v>447</v>
      </c>
      <c r="K1475" s="270">
        <f>IF(D1475="","",VLOOKUP(D1475,契約台帳!$A$3:$L$4986,12,FALSE))</f>
        <v>50</v>
      </c>
      <c r="L1475" s="270" t="str">
        <f>IF(D1475="","",INDEX(製品マスタ!$Q$5:$Q$5002,MATCH('S4'!F1475&amp;'S4'!K1475,製品マスタ!$AO$5:$AO$5002,0)))</f>
        <v>BRIGHT</v>
      </c>
      <c r="M1475" s="39">
        <v>1005</v>
      </c>
      <c r="N1475" s="39">
        <v>8200</v>
      </c>
      <c r="O1475" s="156">
        <v>1</v>
      </c>
      <c r="P1475" s="47">
        <v>1</v>
      </c>
      <c r="Q1475" s="57"/>
      <c r="R1475" s="271">
        <f ca="1">IF(D1475="","",IF(OFFSET(D1475,-1,0)&lt;&gt;"","",IF(OR(J1475="リード付け",J1475="巻足し",J1475="巻返しリード付け"),M1475,VLOOKUP(D1475,契約台帳!$A$3:$N$4986,14,FALSE))))</f>
        <v>1005</v>
      </c>
      <c r="S1475" s="272">
        <f ca="1">IF(D1475="","",IF(OFFSET(D1475,-1,0)&lt;&gt;"","",IF(OR(J1475="リード付け",J1475="巻足し",J1475="巻返しリード付け"),M1475,VLOOKUP(D1475,契約台帳!$A$3:$O$4986,15,FALSE))))</f>
        <v>1000</v>
      </c>
      <c r="T1475" s="273">
        <f ca="1">IF(D1475="","",IF(J1475="リード付け",N1475,IF(J1475="巻返しリード付け",N1475,IF(J1475="巻足し",N1475*P1475+OFFSET(N1475,1,0)*OFFSET(P1475,1,0),VLOOKUP(D1475,契約台帳!$A$3:$P$4986,16,FALSE)))))</f>
        <v>4100</v>
      </c>
      <c r="U1475" s="40">
        <v>1</v>
      </c>
      <c r="V1475" s="274">
        <f ca="1">IF(D1475="","",IF(OFFSET(D1475,-2,0)=D1475,"",VLOOKUP(D1475,契約台帳!$A$3:$R$4986,18,FALSE)))</f>
        <v>4</v>
      </c>
      <c r="W1475" s="269" t="str">
        <f ca="1">IF(D1475="","",IF(T1475="","",IF(OR(J1475="巻足し",J1475="巻返しリード付け"),"",IF(J1475="巻返し",VLOOKUP(F1475&amp;K1475&amp;M1475,製品マスタ!$M$5:$AD$5002,18,FALSE),IF(OR(J1475="リード付け",J1475="巻返しリード付け"),"原反コア",IF(J1475="スリット",VLOOKUP(F1475&amp;K1475&amp;R1475,製品マスタ!$N$5:$AD$5002,17,FALSE),""))))))</f>
        <v>6ｲﾝﾁSｺｱ</v>
      </c>
      <c r="X1475" s="269">
        <f ca="1">IF(D1475="","",IF(T1475="","",IF(J1475="巻足し","",IF(J1475="巻返し",VLOOKUP(F1475&amp;K1475&amp;M1475,製品マスタ!$M$5:$AE$5002,19,FALSE),IF(OR(J1475="リード付け",J1475="巻返しリード付け"),"",IF(J1475="スリット",VLOOKUP(F1475&amp;K1475&amp;R1475,製品マスタ!$N$5:$AE$5002,18,FALSE),""))))))</f>
        <v>1015</v>
      </c>
      <c r="Y1475" s="275">
        <f ca="1">IF(D1475="","",IF(T1475="","",VLOOKUP(D1475,契約台帳!$A$3:$Q$4986,17,FALSE)))</f>
        <v>2</v>
      </c>
      <c r="Z1475" s="269" t="str">
        <f ca="1">IF(D1475="","",IF(T1475="","",VLOOKUP(D1475,契約台帳!$A$3:$E$4986,5,FALSE)))</f>
        <v>リンテック㈱</v>
      </c>
      <c r="AA1475" s="57"/>
      <c r="AB1475" s="303" t="s">
        <v>774</v>
      </c>
      <c r="AC1475" s="33"/>
      <c r="AD1475" s="189"/>
      <c r="AE1475" s="54"/>
      <c r="AF1475" s="55"/>
      <c r="AG1475" s="43"/>
      <c r="AH1475" s="47"/>
      <c r="AI1475" s="30"/>
      <c r="AJ1475" s="30"/>
      <c r="AK1475" s="30"/>
      <c r="AL1475" s="30"/>
      <c r="AM1475" s="13"/>
      <c r="AN1475" s="13"/>
      <c r="AO1475" s="13"/>
      <c r="AP1475" s="13"/>
      <c r="AQ1475" s="13"/>
      <c r="AR1475" s="14"/>
      <c r="AS1475" s="15"/>
    </row>
    <row r="1476" spans="1:45" s="17" customFormat="1" ht="30.95" hidden="1" customHeight="1" x14ac:dyDescent="0.2">
      <c r="A1476" s="37"/>
      <c r="B1476" s="38"/>
      <c r="C1476" s="45"/>
      <c r="D1476" s="31">
        <v>3735131</v>
      </c>
      <c r="E1476" s="31"/>
      <c r="F1476" s="268" t="str">
        <f>IF(D1476="","",VLOOKUP(D1476,契約台帳!$A$3:$K$4986,6,FALSE)&amp;VLOOKUP(D1476,契約台帳!$A$3:$K$4986,7,FALSE)&amp;VLOOKUP(D1476,契約台帳!$A$3:$K$4986,8,FALSE)&amp;VLOOKUP(D1476,契約台帳!$A$3:$K$4986,9,FALSE)&amp;VLOOKUP(D1476,契約台帳!$A$3:$K$4986,11,FALSE))</f>
        <v>3TNMCLBHLGTV</v>
      </c>
      <c r="G1476" s="269" t="str">
        <f>IF(D1476="","",VLOOKUP(F1476,製品マスタ!$G$5:$H$5002,2,FALSE))</f>
        <v>T</v>
      </c>
      <c r="H1476" s="269" t="str">
        <f>IF(D1476="","",VLOOKUP(F1476,製品マスタ!$G$5:$K$5002,5,FALSE))</f>
        <v>HLGTV</v>
      </c>
      <c r="I1476" s="270" t="str">
        <f>IF(D1476="","",VLOOKUP(F1476,製品マスタ!$G$5:$L$5002,6,FALSE))</f>
        <v>メタルミー　ヘヤライン　銀艶Ｖ</v>
      </c>
      <c r="J1476" s="210" t="s">
        <v>447</v>
      </c>
      <c r="K1476" s="270">
        <f>IF(D1476="","",VLOOKUP(D1476,契約台帳!$A$3:$L$4986,12,FALSE))</f>
        <v>50</v>
      </c>
      <c r="L1476" s="270" t="str">
        <f>IF(D1476="","",INDEX(製品マスタ!$Q$5:$Q$5002,MATCH('S4'!F1476&amp;'S4'!K1476,製品マスタ!$AO$5:$AO$5002,0)))</f>
        <v>BRIGHT</v>
      </c>
      <c r="M1476" s="39">
        <v>1005</v>
      </c>
      <c r="N1476" s="39"/>
      <c r="O1476" s="156"/>
      <c r="P1476" s="47"/>
      <c r="Q1476" s="57"/>
      <c r="R1476" s="271" t="str">
        <f ca="1">IF(D1476="","",IF(OFFSET(D1476,-1,0)&lt;&gt;"","",IF(OR(J1476="リード付け",J1476="巻足し",J1476="巻返しリード付け"),M1476,VLOOKUP(D1476,契約台帳!$A$3:$N$4986,14,FALSE))))</f>
        <v/>
      </c>
      <c r="S1476" s="272" t="str">
        <f ca="1">IF(D1476="","",IF(OFFSET(D1476,-1,0)&lt;&gt;"","",IF(OR(J1476="リード付け",J1476="巻足し",J1476="巻返しリード付け"),M1476,VLOOKUP(D1476,契約台帳!$A$3:$O$4986,15,FALSE))))</f>
        <v/>
      </c>
      <c r="T1476" s="273">
        <f ca="1">IF(D1476="","",IF(J1476="リード付け",N1476,IF(J1476="巻返しリード付け",N1476,IF(J1476="巻足し",N1476*P1476+OFFSET(N1476,1,0)*OFFSET(P1476,1,0),VLOOKUP(D1476,契約台帳!$A$3:$P$4986,16,FALSE)))))</f>
        <v>4100</v>
      </c>
      <c r="U1476" s="40">
        <v>1</v>
      </c>
      <c r="V1476" s="274">
        <f ca="1">IF(D1476="","",IF(OFFSET(D1476,-2,0)=D1476,"",VLOOKUP(D1476,契約台帳!$A$3:$R$4986,18,FALSE)))</f>
        <v>3</v>
      </c>
      <c r="W1476" s="269" t="str">
        <f ca="1">IF(D1476="","",IF(T1476="","",IF(OR(J1476="巻足し",J1476="巻返しリード付け"),"",IF(J1476="巻返し",VLOOKUP(F1476&amp;K1476&amp;M1476,製品マスタ!$M$5:$AD$5002,18,FALSE),IF(OR(J1476="リード付け",J1476="巻返しリード付け"),"原反コア",IF(J1476="スリット",VLOOKUP(F1476&amp;K1476&amp;R1476,製品マスタ!$N$5:$AD$5002,17,FALSE),""))))))</f>
        <v>6ｲﾝﾁSｺｱ</v>
      </c>
      <c r="X1476" s="269">
        <f ca="1">IF(D1476="","",IF(T1476="","",IF(J1476="巻足し","",IF(J1476="巻返し",VLOOKUP(F1476&amp;K1476&amp;M1476,製品マスタ!$M$5:$AE$5002,19,FALSE),IF(OR(J1476="リード付け",J1476="巻返しリード付け"),"",IF(J1476="スリット",VLOOKUP(F1476&amp;K1476&amp;R1476,製品マスタ!$N$5:$AE$5002,18,FALSE),""))))))</f>
        <v>1015</v>
      </c>
      <c r="Y1476" s="275">
        <f ca="1">IF(D1476="","",IF(T1476="","",VLOOKUP(D1476,契約台帳!$A$3:$Q$4986,17,FALSE)))</f>
        <v>2</v>
      </c>
      <c r="Z1476" s="269" t="str">
        <f ca="1">IF(D1476="","",IF(T1476="","",VLOOKUP(D1476,契約台帳!$A$3:$E$4986,5,FALSE)))</f>
        <v>リンテック㈱</v>
      </c>
      <c r="AA1476" s="57"/>
      <c r="AB1476" s="303" t="s">
        <v>774</v>
      </c>
      <c r="AC1476" s="33"/>
      <c r="AD1476" s="189"/>
      <c r="AE1476" s="54"/>
      <c r="AF1476" s="55"/>
      <c r="AG1476" s="43"/>
      <c r="AH1476" s="47"/>
      <c r="AI1476" s="30"/>
      <c r="AJ1476" s="30"/>
      <c r="AK1476" s="30"/>
      <c r="AL1476" s="30"/>
      <c r="AM1476" s="13"/>
      <c r="AN1476" s="13"/>
      <c r="AO1476" s="13"/>
      <c r="AP1476" s="13"/>
      <c r="AQ1476" s="13"/>
      <c r="AR1476" s="14"/>
      <c r="AS1476" s="15"/>
    </row>
    <row r="1477" spans="1:45" s="17" customFormat="1" ht="30.95" hidden="1" customHeight="1" x14ac:dyDescent="0.2">
      <c r="A1477" s="37"/>
      <c r="B1477" s="38"/>
      <c r="C1477" s="45"/>
      <c r="D1477" s="31"/>
      <c r="E1477" s="31"/>
      <c r="F1477" s="268"/>
      <c r="G1477" s="269"/>
      <c r="H1477" s="269"/>
      <c r="I1477" s="270"/>
      <c r="J1477" s="210"/>
      <c r="K1477" s="270"/>
      <c r="L1477" s="270"/>
      <c r="M1477" s="39"/>
      <c r="N1477" s="39"/>
      <c r="O1477" s="156"/>
      <c r="P1477" s="47"/>
      <c r="Q1477" s="57"/>
      <c r="R1477" s="338"/>
      <c r="S1477" s="272"/>
      <c r="T1477" s="273"/>
      <c r="U1477" s="40"/>
      <c r="V1477" s="277"/>
      <c r="W1477" s="269"/>
      <c r="X1477" s="269"/>
      <c r="Y1477" s="275"/>
      <c r="Z1477" s="269"/>
      <c r="AA1477" s="57"/>
      <c r="AB1477" s="207"/>
      <c r="AC1477" s="33"/>
      <c r="AD1477" s="189"/>
      <c r="AE1477" s="54"/>
      <c r="AF1477" s="55"/>
      <c r="AG1477" s="43"/>
      <c r="AH1477" s="47"/>
      <c r="AI1477" s="30"/>
      <c r="AJ1477" s="30"/>
      <c r="AK1477" s="30"/>
      <c r="AL1477" s="30"/>
      <c r="AM1477" s="13"/>
      <c r="AN1477" s="13"/>
      <c r="AO1477" s="13"/>
      <c r="AP1477" s="13"/>
      <c r="AQ1477" s="13"/>
      <c r="AR1477" s="14"/>
      <c r="AS1477" s="15"/>
    </row>
    <row r="1478" spans="1:45" s="17" customFormat="1" ht="30.95" hidden="1" customHeight="1" x14ac:dyDescent="0.2">
      <c r="A1478" s="37"/>
      <c r="B1478" s="38"/>
      <c r="C1478" s="45"/>
      <c r="D1478" s="31">
        <v>3735130</v>
      </c>
      <c r="E1478" s="31">
        <v>4141074</v>
      </c>
      <c r="F1478" s="268" t="str">
        <f>IF(D1478="","",VLOOKUP(D1478,契約台帳!$A$3:$K$4986,6,FALSE)&amp;VLOOKUP(D1478,契約台帳!$A$3:$K$4986,7,FALSE)&amp;VLOOKUP(D1478,契約台帳!$A$3:$K$4986,8,FALSE)&amp;VLOOKUP(D1478,契約台帳!$A$3:$K$4986,9,FALSE)&amp;VLOOKUP(D1478,契約台帳!$A$3:$K$4986,11,FALSE))</f>
        <v>3TNMCLBHLGTV</v>
      </c>
      <c r="G1478" s="269" t="str">
        <f>IF(D1478="","",VLOOKUP(F1478,製品マスタ!$G$5:$H$5002,2,FALSE))</f>
        <v>T</v>
      </c>
      <c r="H1478" s="269" t="str">
        <f>IF(D1478="","",VLOOKUP(F1478,製品マスタ!$G$5:$K$5002,5,FALSE))</f>
        <v>HLGTV</v>
      </c>
      <c r="I1478" s="270" t="str">
        <f>IF(D1478="","",VLOOKUP(F1478,製品マスタ!$G$5:$L$5002,6,FALSE))</f>
        <v>メタルミー　ヘヤライン　銀艶Ｖ</v>
      </c>
      <c r="J1478" s="210" t="s">
        <v>447</v>
      </c>
      <c r="K1478" s="270">
        <f>IF(D1478="","",VLOOKUP(D1478,契約台帳!$A$3:$L$4986,12,FALSE))</f>
        <v>25</v>
      </c>
      <c r="L1478" s="270" t="s">
        <v>178</v>
      </c>
      <c r="M1478" s="39">
        <v>1005</v>
      </c>
      <c r="N1478" s="39">
        <v>8000</v>
      </c>
      <c r="O1478" s="156">
        <v>1</v>
      </c>
      <c r="P1478" s="47">
        <v>1</v>
      </c>
      <c r="Q1478" s="57"/>
      <c r="R1478" s="271">
        <f ca="1">IF(D1478="","",IF(OFFSET(D1478,-1,0)&lt;&gt;"","",IF(OR(J1478="リード付け",J1478="巻足し",J1478="巻返しリード付け"),M1478,VLOOKUP(D1478,契約台帳!$A$3:$N$4986,14,FALSE))))</f>
        <v>1005</v>
      </c>
      <c r="S1478" s="272">
        <f ca="1">IF(D1478="","",IF(OFFSET(D1478,-1,0)&lt;&gt;"","",IF(OR(J1478="リード付け",J1478="巻足し",J1478="巻返しリード付け"),M1478,VLOOKUP(D1478,契約台帳!$A$3:$O$4986,15,FALSE))))</f>
        <v>1000</v>
      </c>
      <c r="T1478" s="273">
        <f ca="1">IF(D1478="","",IF(J1478="リード付け",N1478,IF(J1478="巻返しリード付け",N1478,IF(J1478="巻足し",N1478*P1478+OFFSET(N1478,1,0)*OFFSET(P1478,1,0),VLOOKUP(D1478,契約台帳!$A$3:$P$4986,16,FALSE)))))</f>
        <v>2000</v>
      </c>
      <c r="U1478" s="40">
        <v>4</v>
      </c>
      <c r="V1478" s="274">
        <f ca="1">IF(D1478="","",IF(OFFSET(D1478,-2,0)=D1478,"",VLOOKUP(D1478,契約台帳!$A$3:$R$4986,18,FALSE)))</f>
        <v>4</v>
      </c>
      <c r="W1478" s="269" t="s">
        <v>806</v>
      </c>
      <c r="X1478" s="269">
        <v>1015</v>
      </c>
      <c r="Y1478" s="275">
        <f ca="1">IF(D1478="","",IF(T1478="","",VLOOKUP(D1478,契約台帳!$A$3:$Q$4986,17,FALSE)))</f>
        <v>2</v>
      </c>
      <c r="Z1478" s="269" t="str">
        <f ca="1">IF(D1478="","",IF(T1478="","",VLOOKUP(D1478,契約台帳!$A$3:$E$4986,5,FALSE)))</f>
        <v>リンテック㈱</v>
      </c>
      <c r="AA1478" s="57"/>
      <c r="AB1478" s="303" t="s">
        <v>774</v>
      </c>
      <c r="AC1478" s="33"/>
      <c r="AD1478" s="189"/>
      <c r="AE1478" s="54"/>
      <c r="AF1478" s="55"/>
      <c r="AG1478" s="43"/>
      <c r="AH1478" s="47"/>
      <c r="AI1478" s="30"/>
      <c r="AJ1478" s="30"/>
      <c r="AK1478" s="30"/>
      <c r="AL1478" s="30"/>
      <c r="AM1478" s="13"/>
      <c r="AN1478" s="13"/>
      <c r="AO1478" s="13"/>
      <c r="AP1478" s="13"/>
      <c r="AQ1478" s="13"/>
      <c r="AR1478" s="14"/>
      <c r="AS1478" s="15"/>
    </row>
    <row r="1479" spans="1:45" s="17" customFormat="1" ht="30.95" hidden="1" customHeight="1" x14ac:dyDescent="0.2">
      <c r="A1479" s="37"/>
      <c r="B1479" s="38"/>
      <c r="C1479" s="45"/>
      <c r="D1479" s="31"/>
      <c r="E1479" s="31"/>
      <c r="F1479" s="268"/>
      <c r="G1479" s="269"/>
      <c r="H1479" s="269"/>
      <c r="I1479" s="270"/>
      <c r="J1479" s="210"/>
      <c r="K1479" s="270"/>
      <c r="L1479" s="270"/>
      <c r="M1479" s="39"/>
      <c r="N1479" s="39"/>
      <c r="O1479" s="156"/>
      <c r="P1479" s="47"/>
      <c r="Q1479" s="57"/>
      <c r="R1479" s="338"/>
      <c r="S1479" s="272"/>
      <c r="T1479" s="273"/>
      <c r="U1479" s="40"/>
      <c r="V1479" s="277"/>
      <c r="W1479" s="269"/>
      <c r="X1479" s="269"/>
      <c r="Y1479" s="275"/>
      <c r="Z1479" s="269"/>
      <c r="AA1479" s="57"/>
      <c r="AB1479" s="207"/>
      <c r="AC1479" s="33"/>
      <c r="AD1479" s="189"/>
      <c r="AE1479" s="54"/>
      <c r="AF1479" s="55"/>
      <c r="AG1479" s="43"/>
      <c r="AH1479" s="47"/>
      <c r="AI1479" s="30"/>
      <c r="AJ1479" s="30"/>
      <c r="AK1479" s="30"/>
      <c r="AL1479" s="30"/>
      <c r="AM1479" s="13"/>
      <c r="AN1479" s="13"/>
      <c r="AO1479" s="13"/>
      <c r="AP1479" s="13"/>
      <c r="AQ1479" s="13"/>
      <c r="AR1479" s="14"/>
      <c r="AS1479" s="15"/>
    </row>
    <row r="1480" spans="1:45" s="17" customFormat="1" ht="30.6" hidden="1" customHeight="1" x14ac:dyDescent="0.2">
      <c r="A1480" s="37" t="s">
        <v>1851</v>
      </c>
      <c r="B1480" s="38" t="s">
        <v>1844</v>
      </c>
      <c r="C1480" s="45"/>
      <c r="D1480" s="31" t="s">
        <v>1276</v>
      </c>
      <c r="E1480" s="31" t="s">
        <v>1277</v>
      </c>
      <c r="F1480" s="268" t="s">
        <v>1304</v>
      </c>
      <c r="G1480" s="269" t="s">
        <v>269</v>
      </c>
      <c r="H1480" s="269" t="s">
        <v>1318</v>
      </c>
      <c r="I1480" s="270" t="s">
        <v>1316</v>
      </c>
      <c r="J1480" s="32" t="s">
        <v>447</v>
      </c>
      <c r="K1480" s="270">
        <v>50</v>
      </c>
      <c r="L1480" s="270" t="s">
        <v>1320</v>
      </c>
      <c r="M1480" s="39">
        <v>1000</v>
      </c>
      <c r="N1480" s="39">
        <v>2000</v>
      </c>
      <c r="O1480" s="156">
        <v>1</v>
      </c>
      <c r="P1480" s="415"/>
      <c r="Q1480" s="57"/>
      <c r="R1480" s="271">
        <v>1000</v>
      </c>
      <c r="S1480" s="272">
        <v>1000</v>
      </c>
      <c r="T1480" s="273">
        <v>2000</v>
      </c>
      <c r="U1480" s="40">
        <v>1</v>
      </c>
      <c r="V1480" s="274">
        <v>1</v>
      </c>
      <c r="W1480" s="269" t="s">
        <v>806</v>
      </c>
      <c r="X1480" s="269">
        <v>1015</v>
      </c>
      <c r="Y1480" s="275">
        <v>2</v>
      </c>
      <c r="Z1480" s="269" t="s">
        <v>116</v>
      </c>
      <c r="AA1480" s="57" t="s">
        <v>1254</v>
      </c>
      <c r="AB1480" s="207" t="s">
        <v>774</v>
      </c>
      <c r="AC1480" s="33"/>
      <c r="AD1480" s="189"/>
      <c r="AE1480" s="54"/>
      <c r="AF1480" s="55"/>
      <c r="AG1480" s="43"/>
      <c r="AH1480" s="47"/>
      <c r="AI1480" s="30"/>
      <c r="AJ1480" s="30"/>
      <c r="AK1480" s="30"/>
      <c r="AL1480" s="30"/>
      <c r="AM1480" s="13"/>
      <c r="AN1480" s="13"/>
      <c r="AO1480" s="13"/>
      <c r="AP1480" s="13"/>
      <c r="AQ1480" s="13"/>
      <c r="AR1480" s="14"/>
      <c r="AS1480" s="15"/>
    </row>
    <row r="1481" spans="1:45" s="17" customFormat="1" ht="30.95" hidden="1" customHeight="1" x14ac:dyDescent="0.2">
      <c r="A1481" s="37"/>
      <c r="B1481" s="38"/>
      <c r="C1481" s="45"/>
      <c r="D1481" s="31" t="s">
        <v>1276</v>
      </c>
      <c r="E1481" s="31" t="s">
        <v>1277</v>
      </c>
      <c r="F1481" s="268" t="s">
        <v>1304</v>
      </c>
      <c r="G1481" s="269" t="s">
        <v>269</v>
      </c>
      <c r="H1481" s="269" t="s">
        <v>1319</v>
      </c>
      <c r="I1481" s="270" t="s">
        <v>1317</v>
      </c>
      <c r="J1481" s="32"/>
      <c r="K1481" s="270">
        <v>25</v>
      </c>
      <c r="L1481" s="270" t="s">
        <v>831</v>
      </c>
      <c r="M1481" s="39">
        <v>1000</v>
      </c>
      <c r="N1481" s="39">
        <v>500</v>
      </c>
      <c r="O1481" s="156"/>
      <c r="P1481" s="415"/>
      <c r="Q1481" s="57"/>
      <c r="R1481" s="338">
        <v>1000</v>
      </c>
      <c r="S1481" s="272">
        <v>1000</v>
      </c>
      <c r="T1481" s="273">
        <v>500</v>
      </c>
      <c r="U1481" s="40">
        <v>1</v>
      </c>
      <c r="V1481" s="277">
        <v>1</v>
      </c>
      <c r="W1481" s="269"/>
      <c r="X1481" s="269"/>
      <c r="Y1481" s="275"/>
      <c r="Z1481" s="269"/>
      <c r="AA1481" s="57" t="s">
        <v>1254</v>
      </c>
      <c r="AB1481" s="207" t="s">
        <v>774</v>
      </c>
      <c r="AC1481" s="33"/>
      <c r="AD1481" s="189"/>
      <c r="AE1481" s="54"/>
      <c r="AF1481" s="55"/>
      <c r="AG1481" s="43"/>
      <c r="AH1481" s="47"/>
      <c r="AI1481" s="30"/>
      <c r="AJ1481" s="30"/>
      <c r="AK1481" s="30"/>
      <c r="AL1481" s="30"/>
      <c r="AM1481" s="13"/>
      <c r="AN1481" s="13"/>
      <c r="AO1481" s="13"/>
      <c r="AP1481" s="13"/>
      <c r="AQ1481" s="13"/>
      <c r="AR1481" s="14"/>
      <c r="AS1481" s="15"/>
    </row>
    <row r="1482" spans="1:45" s="17" customFormat="1" ht="30.95" hidden="1" customHeight="1" x14ac:dyDescent="0.2">
      <c r="A1482" s="37"/>
      <c r="B1482" s="38"/>
      <c r="C1482" s="45"/>
      <c r="D1482" s="31"/>
      <c r="E1482" s="31"/>
      <c r="F1482" s="268"/>
      <c r="G1482" s="269"/>
      <c r="H1482" s="269"/>
      <c r="I1482" s="270"/>
      <c r="J1482" s="210"/>
      <c r="K1482" s="270"/>
      <c r="L1482" s="270"/>
      <c r="M1482" s="39"/>
      <c r="N1482" s="39"/>
      <c r="O1482" s="156"/>
      <c r="P1482" s="47"/>
      <c r="Q1482" s="57"/>
      <c r="R1482" s="338"/>
      <c r="S1482" s="272"/>
      <c r="T1482" s="273"/>
      <c r="U1482" s="40"/>
      <c r="V1482" s="277"/>
      <c r="W1482" s="269"/>
      <c r="X1482" s="269"/>
      <c r="Y1482" s="275"/>
      <c r="Z1482" s="269"/>
      <c r="AA1482" s="57"/>
      <c r="AB1482" s="207"/>
      <c r="AC1482" s="33"/>
      <c r="AD1482" s="189"/>
      <c r="AE1482" s="54"/>
      <c r="AF1482" s="55"/>
      <c r="AG1482" s="43"/>
      <c r="AH1482" s="47"/>
      <c r="AI1482" s="30"/>
      <c r="AJ1482" s="30"/>
      <c r="AK1482" s="30"/>
      <c r="AL1482" s="30"/>
      <c r="AM1482" s="13"/>
      <c r="AN1482" s="13"/>
      <c r="AO1482" s="13"/>
      <c r="AP1482" s="13"/>
      <c r="AQ1482" s="13"/>
      <c r="AR1482" s="14"/>
      <c r="AS1482" s="15"/>
    </row>
    <row r="1483" spans="1:45" s="17" customFormat="1" ht="30.95" hidden="1" customHeight="1" x14ac:dyDescent="0.2">
      <c r="A1483" s="37" t="s">
        <v>1852</v>
      </c>
      <c r="B1483" s="38" t="s">
        <v>1845</v>
      </c>
      <c r="C1483" s="45"/>
      <c r="D1483" s="31"/>
      <c r="E1483" s="31"/>
      <c r="F1483" s="268"/>
      <c r="G1483" s="269"/>
      <c r="H1483" s="269"/>
      <c r="I1483" s="270"/>
      <c r="J1483" s="210" t="s">
        <v>1888</v>
      </c>
      <c r="K1483" s="270"/>
      <c r="L1483" s="270"/>
      <c r="M1483" s="39"/>
      <c r="N1483" s="39"/>
      <c r="O1483" s="156"/>
      <c r="P1483" s="47"/>
      <c r="Q1483" s="57"/>
      <c r="R1483" s="338"/>
      <c r="S1483" s="272"/>
      <c r="T1483" s="273"/>
      <c r="U1483" s="40"/>
      <c r="V1483" s="277"/>
      <c r="W1483" s="269"/>
      <c r="X1483" s="269"/>
      <c r="Y1483" s="275"/>
      <c r="Z1483" s="269"/>
      <c r="AA1483" s="57"/>
      <c r="AB1483" s="207"/>
      <c r="AC1483" s="33"/>
      <c r="AD1483" s="189"/>
      <c r="AE1483" s="54"/>
      <c r="AF1483" s="55"/>
      <c r="AG1483" s="43"/>
      <c r="AH1483" s="47"/>
      <c r="AI1483" s="30"/>
      <c r="AJ1483" s="30"/>
      <c r="AK1483" s="30"/>
      <c r="AL1483" s="30"/>
      <c r="AM1483" s="13"/>
      <c r="AN1483" s="13"/>
      <c r="AO1483" s="13"/>
      <c r="AP1483" s="13"/>
      <c r="AQ1483" s="13"/>
      <c r="AR1483" s="14"/>
      <c r="AS1483" s="15"/>
    </row>
    <row r="1484" spans="1:45" s="17" customFormat="1" ht="30.95" hidden="1" customHeight="1" x14ac:dyDescent="0.2">
      <c r="A1484" s="37"/>
      <c r="B1484" s="38"/>
      <c r="C1484" s="45"/>
      <c r="D1484" s="31"/>
      <c r="E1484" s="31"/>
      <c r="F1484" s="268"/>
      <c r="G1484" s="269"/>
      <c r="H1484" s="269"/>
      <c r="I1484" s="270"/>
      <c r="J1484" s="210"/>
      <c r="K1484" s="270"/>
      <c r="L1484" s="270"/>
      <c r="M1484" s="39"/>
      <c r="N1484" s="39"/>
      <c r="O1484" s="156"/>
      <c r="P1484" s="47"/>
      <c r="Q1484" s="57"/>
      <c r="R1484" s="338"/>
      <c r="S1484" s="272"/>
      <c r="T1484" s="273"/>
      <c r="U1484" s="40"/>
      <c r="V1484" s="277"/>
      <c r="W1484" s="269"/>
      <c r="X1484" s="269"/>
      <c r="Y1484" s="275"/>
      <c r="Z1484" s="269"/>
      <c r="AA1484" s="57"/>
      <c r="AB1484" s="207"/>
      <c r="AC1484" s="33"/>
      <c r="AD1484" s="189"/>
      <c r="AE1484" s="54"/>
      <c r="AF1484" s="55"/>
      <c r="AG1484" s="43"/>
      <c r="AH1484" s="47"/>
      <c r="AI1484" s="30"/>
      <c r="AJ1484" s="30"/>
      <c r="AK1484" s="30"/>
      <c r="AL1484" s="30"/>
      <c r="AM1484" s="13"/>
      <c r="AN1484" s="13"/>
      <c r="AO1484" s="13"/>
      <c r="AP1484" s="13"/>
      <c r="AQ1484" s="13"/>
      <c r="AR1484" s="14"/>
      <c r="AS1484" s="15"/>
    </row>
    <row r="1485" spans="1:45" s="17" customFormat="1" ht="30.95" hidden="1" customHeight="1" x14ac:dyDescent="0.2">
      <c r="A1485" s="37" t="s">
        <v>1853</v>
      </c>
      <c r="B1485" s="38" t="s">
        <v>1846</v>
      </c>
      <c r="C1485" s="45"/>
      <c r="D1485" s="31"/>
      <c r="E1485" s="31"/>
      <c r="F1485" s="268"/>
      <c r="G1485" s="269"/>
      <c r="H1485" s="269"/>
      <c r="I1485" s="270"/>
      <c r="J1485" s="210" t="s">
        <v>1889</v>
      </c>
      <c r="K1485" s="270"/>
      <c r="L1485" s="270"/>
      <c r="M1485" s="39"/>
      <c r="N1485" s="39"/>
      <c r="O1485" s="156"/>
      <c r="P1485" s="47"/>
      <c r="Q1485" s="57"/>
      <c r="R1485" s="338"/>
      <c r="S1485" s="272"/>
      <c r="T1485" s="273"/>
      <c r="U1485" s="40"/>
      <c r="V1485" s="277"/>
      <c r="W1485" s="269"/>
      <c r="X1485" s="269"/>
      <c r="Y1485" s="275"/>
      <c r="Z1485" s="269"/>
      <c r="AA1485" s="57"/>
      <c r="AB1485" s="207"/>
      <c r="AC1485" s="33"/>
      <c r="AD1485" s="189"/>
      <c r="AE1485" s="54"/>
      <c r="AF1485" s="55"/>
      <c r="AG1485" s="43"/>
      <c r="AH1485" s="47"/>
      <c r="AI1485" s="30"/>
      <c r="AJ1485" s="30"/>
      <c r="AK1485" s="30"/>
      <c r="AL1485" s="30"/>
      <c r="AM1485" s="13"/>
      <c r="AN1485" s="13"/>
      <c r="AO1485" s="13"/>
      <c r="AP1485" s="13"/>
      <c r="AQ1485" s="13"/>
      <c r="AR1485" s="14"/>
      <c r="AS1485" s="15"/>
    </row>
    <row r="1486" spans="1:45" s="17" customFormat="1" ht="30.95" hidden="1" customHeight="1" x14ac:dyDescent="0.2">
      <c r="A1486" s="37"/>
      <c r="B1486" s="38"/>
      <c r="C1486" s="45"/>
      <c r="D1486" s="31"/>
      <c r="E1486" s="31"/>
      <c r="F1486" s="268"/>
      <c r="G1486" s="269"/>
      <c r="H1486" s="269"/>
      <c r="I1486" s="270"/>
      <c r="J1486" s="210"/>
      <c r="K1486" s="270"/>
      <c r="L1486" s="270"/>
      <c r="M1486" s="39"/>
      <c r="N1486" s="39"/>
      <c r="O1486" s="156"/>
      <c r="P1486" s="47"/>
      <c r="Q1486" s="57"/>
      <c r="R1486" s="338"/>
      <c r="S1486" s="272"/>
      <c r="T1486" s="273"/>
      <c r="U1486" s="40"/>
      <c r="V1486" s="277"/>
      <c r="W1486" s="269"/>
      <c r="X1486" s="269"/>
      <c r="Y1486" s="275"/>
      <c r="Z1486" s="269"/>
      <c r="AA1486" s="57"/>
      <c r="AB1486" s="207"/>
      <c r="AC1486" s="33"/>
      <c r="AD1486" s="189"/>
      <c r="AE1486" s="54"/>
      <c r="AF1486" s="55"/>
      <c r="AG1486" s="43"/>
      <c r="AH1486" s="47"/>
      <c r="AI1486" s="30"/>
      <c r="AJ1486" s="30"/>
      <c r="AK1486" s="30"/>
      <c r="AL1486" s="30"/>
      <c r="AM1486" s="13"/>
      <c r="AN1486" s="13"/>
      <c r="AO1486" s="13"/>
      <c r="AP1486" s="13"/>
      <c r="AQ1486" s="13"/>
      <c r="AR1486" s="14"/>
      <c r="AS1486" s="15"/>
    </row>
    <row r="1487" spans="1:45" s="17" customFormat="1" ht="30.95" hidden="1" customHeight="1" x14ac:dyDescent="0.2">
      <c r="A1487" s="37" t="s">
        <v>1868</v>
      </c>
      <c r="B1487" s="38" t="s">
        <v>1842</v>
      </c>
      <c r="C1487" s="45"/>
      <c r="D1487" s="31"/>
      <c r="E1487" s="31"/>
      <c r="F1487" s="268"/>
      <c r="G1487" s="269"/>
      <c r="H1487" s="269"/>
      <c r="I1487" s="270"/>
      <c r="J1487" s="210" t="s">
        <v>1867</v>
      </c>
      <c r="K1487" s="270"/>
      <c r="L1487" s="270"/>
      <c r="M1487" s="39"/>
      <c r="N1487" s="39"/>
      <c r="O1487" s="156"/>
      <c r="P1487" s="47"/>
      <c r="Q1487" s="57"/>
      <c r="R1487" s="338"/>
      <c r="S1487" s="272"/>
      <c r="T1487" s="273"/>
      <c r="U1487" s="40"/>
      <c r="V1487" s="277"/>
      <c r="W1487" s="269"/>
      <c r="X1487" s="269"/>
      <c r="Y1487" s="275"/>
      <c r="Z1487" s="269"/>
      <c r="AA1487" s="57"/>
      <c r="AB1487" s="207"/>
      <c r="AC1487" s="33"/>
      <c r="AD1487" s="189"/>
      <c r="AE1487" s="54"/>
      <c r="AF1487" s="55"/>
      <c r="AG1487" s="43"/>
      <c r="AH1487" s="47"/>
      <c r="AI1487" s="30"/>
      <c r="AJ1487" s="30"/>
      <c r="AK1487" s="30"/>
      <c r="AL1487" s="30"/>
      <c r="AM1487" s="13"/>
      <c r="AN1487" s="13"/>
      <c r="AO1487" s="13"/>
      <c r="AP1487" s="13"/>
      <c r="AQ1487" s="13"/>
      <c r="AR1487" s="14"/>
      <c r="AS1487" s="15"/>
    </row>
    <row r="1488" spans="1:45" s="17" customFormat="1" ht="30.95" hidden="1" customHeight="1" x14ac:dyDescent="0.2">
      <c r="A1488" s="37"/>
      <c r="B1488" s="38"/>
      <c r="C1488" s="45"/>
      <c r="D1488" s="31"/>
      <c r="E1488" s="31"/>
      <c r="F1488" s="268"/>
      <c r="G1488" s="269"/>
      <c r="H1488" s="269"/>
      <c r="I1488" s="270"/>
      <c r="J1488" s="210"/>
      <c r="K1488" s="270"/>
      <c r="L1488" s="270"/>
      <c r="M1488" s="39"/>
      <c r="N1488" s="39"/>
      <c r="O1488" s="156"/>
      <c r="P1488" s="47"/>
      <c r="Q1488" s="57"/>
      <c r="R1488" s="338"/>
      <c r="S1488" s="272"/>
      <c r="T1488" s="273"/>
      <c r="U1488" s="40"/>
      <c r="V1488" s="277"/>
      <c r="W1488" s="269"/>
      <c r="X1488" s="269"/>
      <c r="Y1488" s="275"/>
      <c r="Z1488" s="269"/>
      <c r="AA1488" s="57"/>
      <c r="AB1488" s="207"/>
      <c r="AC1488" s="33"/>
      <c r="AD1488" s="189"/>
      <c r="AE1488" s="54"/>
      <c r="AF1488" s="55"/>
      <c r="AG1488" s="43"/>
      <c r="AH1488" s="47"/>
      <c r="AI1488" s="30"/>
      <c r="AJ1488" s="30"/>
      <c r="AK1488" s="30"/>
      <c r="AL1488" s="30"/>
      <c r="AM1488" s="13"/>
      <c r="AN1488" s="13"/>
      <c r="AO1488" s="13"/>
      <c r="AP1488" s="13"/>
      <c r="AQ1488" s="13"/>
      <c r="AR1488" s="14"/>
      <c r="AS1488" s="15"/>
    </row>
    <row r="1489" spans="1:45" s="17" customFormat="1" ht="30.95" hidden="1" customHeight="1" x14ac:dyDescent="0.2">
      <c r="A1489" s="37" t="s">
        <v>1855</v>
      </c>
      <c r="B1489" s="38" t="s">
        <v>1397</v>
      </c>
      <c r="C1489" s="45"/>
      <c r="D1489" s="31"/>
      <c r="E1489" s="31"/>
      <c r="F1489" s="268"/>
      <c r="G1489" s="269"/>
      <c r="H1489" s="269"/>
      <c r="I1489" s="270"/>
      <c r="J1489" s="210" t="s">
        <v>1867</v>
      </c>
      <c r="K1489" s="270"/>
      <c r="L1489" s="270"/>
      <c r="M1489" s="39"/>
      <c r="N1489" s="39"/>
      <c r="O1489" s="156"/>
      <c r="P1489" s="47"/>
      <c r="Q1489" s="57"/>
      <c r="R1489" s="338"/>
      <c r="S1489" s="272"/>
      <c r="T1489" s="273"/>
      <c r="U1489" s="40"/>
      <c r="V1489" s="277"/>
      <c r="W1489" s="269"/>
      <c r="X1489" s="269"/>
      <c r="Y1489" s="275"/>
      <c r="Z1489" s="269"/>
      <c r="AA1489" s="57"/>
      <c r="AB1489" s="207"/>
      <c r="AC1489" s="33"/>
      <c r="AD1489" s="189"/>
      <c r="AE1489" s="54"/>
      <c r="AF1489" s="55"/>
      <c r="AG1489" s="43"/>
      <c r="AH1489" s="47"/>
      <c r="AI1489" s="30"/>
      <c r="AJ1489" s="30"/>
      <c r="AK1489" s="30"/>
      <c r="AL1489" s="30"/>
      <c r="AM1489" s="13"/>
      <c r="AN1489" s="13"/>
      <c r="AO1489" s="13"/>
      <c r="AP1489" s="13"/>
      <c r="AQ1489" s="13"/>
      <c r="AR1489" s="14"/>
      <c r="AS1489" s="15"/>
    </row>
    <row r="1490" spans="1:45" s="17" customFormat="1" ht="30.95" hidden="1" customHeight="1" x14ac:dyDescent="0.2">
      <c r="A1490" s="37"/>
      <c r="B1490" s="38"/>
      <c r="C1490" s="45"/>
      <c r="D1490" s="31"/>
      <c r="E1490" s="31"/>
      <c r="F1490" s="268"/>
      <c r="G1490" s="269"/>
      <c r="H1490" s="269"/>
      <c r="I1490" s="270"/>
      <c r="J1490" s="210"/>
      <c r="K1490" s="270"/>
      <c r="L1490" s="270"/>
      <c r="M1490" s="39"/>
      <c r="N1490" s="39"/>
      <c r="O1490" s="156"/>
      <c r="P1490" s="47"/>
      <c r="Q1490" s="57"/>
      <c r="R1490" s="338"/>
      <c r="S1490" s="272"/>
      <c r="T1490" s="273"/>
      <c r="U1490" s="40"/>
      <c r="V1490" s="277"/>
      <c r="W1490" s="269"/>
      <c r="X1490" s="269"/>
      <c r="Y1490" s="275"/>
      <c r="Z1490" s="269"/>
      <c r="AA1490" s="57"/>
      <c r="AB1490" s="207"/>
      <c r="AC1490" s="33"/>
      <c r="AD1490" s="189"/>
      <c r="AE1490" s="54"/>
      <c r="AF1490" s="55"/>
      <c r="AG1490" s="43"/>
      <c r="AH1490" s="47"/>
      <c r="AI1490" s="30"/>
      <c r="AJ1490" s="30"/>
      <c r="AK1490" s="30"/>
      <c r="AL1490" s="30"/>
      <c r="AM1490" s="13"/>
      <c r="AN1490" s="13"/>
      <c r="AO1490" s="13"/>
      <c r="AP1490" s="13"/>
      <c r="AQ1490" s="13"/>
      <c r="AR1490" s="14"/>
      <c r="AS1490" s="15"/>
    </row>
    <row r="1491" spans="1:45" s="17" customFormat="1" ht="30.95" hidden="1" customHeight="1" x14ac:dyDescent="0.2">
      <c r="A1491" s="37" t="s">
        <v>1856</v>
      </c>
      <c r="B1491" s="38" t="s">
        <v>392</v>
      </c>
      <c r="C1491" s="45"/>
      <c r="D1491" s="31"/>
      <c r="E1491" s="31"/>
      <c r="F1491" s="268"/>
      <c r="G1491" s="269"/>
      <c r="H1491" s="269"/>
      <c r="I1491" s="270"/>
      <c r="J1491" s="210" t="s">
        <v>1867</v>
      </c>
      <c r="K1491" s="270"/>
      <c r="L1491" s="270"/>
      <c r="M1491" s="39"/>
      <c r="N1491" s="39"/>
      <c r="O1491" s="156"/>
      <c r="P1491" s="47"/>
      <c r="Q1491" s="57"/>
      <c r="R1491" s="338"/>
      <c r="S1491" s="272"/>
      <c r="T1491" s="273"/>
      <c r="U1491" s="40"/>
      <c r="V1491" s="277"/>
      <c r="W1491" s="269"/>
      <c r="X1491" s="269"/>
      <c r="Y1491" s="275"/>
      <c r="Z1491" s="269"/>
      <c r="AA1491" s="57"/>
      <c r="AB1491" s="207"/>
      <c r="AC1491" s="33"/>
      <c r="AD1491" s="189"/>
      <c r="AE1491" s="54"/>
      <c r="AF1491" s="55"/>
      <c r="AG1491" s="43"/>
      <c r="AH1491" s="47"/>
      <c r="AI1491" s="30"/>
      <c r="AJ1491" s="30"/>
      <c r="AK1491" s="30"/>
      <c r="AL1491" s="30"/>
      <c r="AM1491" s="13"/>
      <c r="AN1491" s="13"/>
      <c r="AO1491" s="13"/>
      <c r="AP1491" s="13"/>
      <c r="AQ1491" s="13"/>
      <c r="AR1491" s="14"/>
      <c r="AS1491" s="15"/>
    </row>
    <row r="1492" spans="1:45" s="17" customFormat="1" ht="30.95" hidden="1" customHeight="1" x14ac:dyDescent="0.2">
      <c r="A1492" s="37"/>
      <c r="B1492" s="38"/>
      <c r="C1492" s="45"/>
      <c r="D1492" s="31"/>
      <c r="E1492" s="31"/>
      <c r="F1492" s="268"/>
      <c r="G1492" s="269"/>
      <c r="H1492" s="269"/>
      <c r="I1492" s="270"/>
      <c r="J1492" s="210"/>
      <c r="K1492" s="270"/>
      <c r="L1492" s="270"/>
      <c r="M1492" s="39"/>
      <c r="N1492" s="39"/>
      <c r="O1492" s="156"/>
      <c r="P1492" s="47"/>
      <c r="Q1492" s="57"/>
      <c r="R1492" s="338"/>
      <c r="S1492" s="272"/>
      <c r="T1492" s="273"/>
      <c r="U1492" s="40"/>
      <c r="V1492" s="277"/>
      <c r="W1492" s="269"/>
      <c r="X1492" s="269"/>
      <c r="Y1492" s="275"/>
      <c r="Z1492" s="269"/>
      <c r="AA1492" s="57"/>
      <c r="AB1492" s="207"/>
      <c r="AC1492" s="33"/>
      <c r="AD1492" s="189"/>
      <c r="AE1492" s="54"/>
      <c r="AF1492" s="55"/>
      <c r="AG1492" s="43"/>
      <c r="AH1492" s="47"/>
      <c r="AI1492" s="30"/>
      <c r="AJ1492" s="30"/>
      <c r="AK1492" s="30"/>
      <c r="AL1492" s="30"/>
      <c r="AM1492" s="13"/>
      <c r="AN1492" s="13"/>
      <c r="AO1492" s="13"/>
      <c r="AP1492" s="13"/>
      <c r="AQ1492" s="13"/>
      <c r="AR1492" s="14"/>
      <c r="AS1492" s="15"/>
    </row>
    <row r="1493" spans="1:45" s="17" customFormat="1" ht="30.95" hidden="1" customHeight="1" x14ac:dyDescent="0.2">
      <c r="A1493" s="37" t="s">
        <v>1857</v>
      </c>
      <c r="B1493" s="38" t="s">
        <v>1402</v>
      </c>
      <c r="C1493" s="45"/>
      <c r="D1493" s="31"/>
      <c r="E1493" s="31"/>
      <c r="F1493" s="268"/>
      <c r="G1493" s="269"/>
      <c r="H1493" s="269"/>
      <c r="I1493" s="270"/>
      <c r="J1493" s="210" t="s">
        <v>1867</v>
      </c>
      <c r="K1493" s="270"/>
      <c r="L1493" s="270"/>
      <c r="M1493" s="39"/>
      <c r="N1493" s="39"/>
      <c r="O1493" s="156"/>
      <c r="P1493" s="47"/>
      <c r="Q1493" s="57"/>
      <c r="R1493" s="338"/>
      <c r="S1493" s="272"/>
      <c r="T1493" s="273"/>
      <c r="U1493" s="40"/>
      <c r="V1493" s="277"/>
      <c r="W1493" s="269"/>
      <c r="X1493" s="269"/>
      <c r="Y1493" s="275"/>
      <c r="Z1493" s="269"/>
      <c r="AA1493" s="57"/>
      <c r="AB1493" s="207"/>
      <c r="AC1493" s="33"/>
      <c r="AD1493" s="189"/>
      <c r="AE1493" s="54"/>
      <c r="AF1493" s="55"/>
      <c r="AG1493" s="43"/>
      <c r="AH1493" s="47"/>
      <c r="AI1493" s="30"/>
      <c r="AJ1493" s="30"/>
      <c r="AK1493" s="30"/>
      <c r="AL1493" s="30"/>
      <c r="AM1493" s="13"/>
      <c r="AN1493" s="13"/>
      <c r="AO1493" s="13"/>
      <c r="AP1493" s="13"/>
      <c r="AQ1493" s="13"/>
      <c r="AR1493" s="14"/>
      <c r="AS1493" s="15"/>
    </row>
    <row r="1494" spans="1:45" s="17" customFormat="1" ht="30.95" hidden="1" customHeight="1" x14ac:dyDescent="0.2">
      <c r="A1494" s="37"/>
      <c r="B1494" s="38"/>
      <c r="C1494" s="45"/>
      <c r="D1494" s="31"/>
      <c r="E1494" s="31"/>
      <c r="F1494" s="268"/>
      <c r="G1494" s="269"/>
      <c r="H1494" s="269"/>
      <c r="I1494" s="270"/>
      <c r="J1494" s="210"/>
      <c r="K1494" s="270"/>
      <c r="L1494" s="270"/>
      <c r="M1494" s="39"/>
      <c r="N1494" s="39"/>
      <c r="O1494" s="156"/>
      <c r="P1494" s="47"/>
      <c r="Q1494" s="57"/>
      <c r="R1494" s="338"/>
      <c r="S1494" s="272"/>
      <c r="T1494" s="273"/>
      <c r="U1494" s="40"/>
      <c r="V1494" s="277"/>
      <c r="W1494" s="269"/>
      <c r="X1494" s="269"/>
      <c r="Y1494" s="275"/>
      <c r="Z1494" s="269"/>
      <c r="AA1494" s="57"/>
      <c r="AB1494" s="207"/>
      <c r="AC1494" s="33"/>
      <c r="AD1494" s="189"/>
      <c r="AE1494" s="54"/>
      <c r="AF1494" s="55"/>
      <c r="AG1494" s="43"/>
      <c r="AH1494" s="47"/>
      <c r="AI1494" s="30"/>
      <c r="AJ1494" s="30"/>
      <c r="AK1494" s="30"/>
      <c r="AL1494" s="30"/>
      <c r="AM1494" s="13"/>
      <c r="AN1494" s="13"/>
      <c r="AO1494" s="13"/>
      <c r="AP1494" s="13"/>
      <c r="AQ1494" s="13"/>
      <c r="AR1494" s="14"/>
      <c r="AS1494" s="15"/>
    </row>
    <row r="1495" spans="1:45" s="17" customFormat="1" ht="30.95" hidden="1" customHeight="1" x14ac:dyDescent="0.2">
      <c r="A1495" s="37" t="s">
        <v>1858</v>
      </c>
      <c r="B1495" s="38" t="s">
        <v>1405</v>
      </c>
      <c r="C1495" s="45"/>
      <c r="D1495" s="31"/>
      <c r="E1495" s="31"/>
      <c r="F1495" s="268"/>
      <c r="G1495" s="269"/>
      <c r="H1495" s="269"/>
      <c r="I1495" s="270"/>
      <c r="J1495" s="210" t="s">
        <v>1867</v>
      </c>
      <c r="K1495" s="270"/>
      <c r="L1495" s="270"/>
      <c r="M1495" s="39"/>
      <c r="N1495" s="39"/>
      <c r="O1495" s="156"/>
      <c r="P1495" s="47"/>
      <c r="Q1495" s="57"/>
      <c r="R1495" s="338"/>
      <c r="S1495" s="272"/>
      <c r="T1495" s="273"/>
      <c r="U1495" s="40"/>
      <c r="V1495" s="277"/>
      <c r="W1495" s="269"/>
      <c r="X1495" s="269"/>
      <c r="Y1495" s="275"/>
      <c r="Z1495" s="269"/>
      <c r="AA1495" s="57"/>
      <c r="AB1495" s="207"/>
      <c r="AC1495" s="33"/>
      <c r="AD1495" s="189"/>
      <c r="AE1495" s="54"/>
      <c r="AF1495" s="55"/>
      <c r="AG1495" s="43"/>
      <c r="AH1495" s="47"/>
      <c r="AI1495" s="30"/>
      <c r="AJ1495" s="30"/>
      <c r="AK1495" s="30"/>
      <c r="AL1495" s="30"/>
      <c r="AM1495" s="13"/>
      <c r="AN1495" s="13"/>
      <c r="AO1495" s="13"/>
      <c r="AP1495" s="13"/>
      <c r="AQ1495" s="13"/>
      <c r="AR1495" s="14"/>
      <c r="AS1495" s="15"/>
    </row>
    <row r="1496" spans="1:45" s="17" customFormat="1" ht="30.95" hidden="1" customHeight="1" x14ac:dyDescent="0.2">
      <c r="A1496" s="37"/>
      <c r="B1496" s="38"/>
      <c r="C1496" s="45"/>
      <c r="D1496" s="31"/>
      <c r="E1496" s="31"/>
      <c r="F1496" s="268"/>
      <c r="G1496" s="269"/>
      <c r="H1496" s="269"/>
      <c r="I1496" s="270"/>
      <c r="J1496" s="210"/>
      <c r="K1496" s="270"/>
      <c r="L1496" s="270"/>
      <c r="M1496" s="39"/>
      <c r="N1496" s="39"/>
      <c r="O1496" s="156"/>
      <c r="P1496" s="47"/>
      <c r="Q1496" s="57"/>
      <c r="R1496" s="338"/>
      <c r="S1496" s="272"/>
      <c r="T1496" s="273"/>
      <c r="U1496" s="40"/>
      <c r="V1496" s="277"/>
      <c r="W1496" s="269"/>
      <c r="X1496" s="269"/>
      <c r="Y1496" s="275"/>
      <c r="Z1496" s="269"/>
      <c r="AA1496" s="57"/>
      <c r="AB1496" s="207"/>
      <c r="AC1496" s="33"/>
      <c r="AD1496" s="189"/>
      <c r="AE1496" s="54"/>
      <c r="AF1496" s="55"/>
      <c r="AG1496" s="43"/>
      <c r="AH1496" s="47"/>
      <c r="AI1496" s="30"/>
      <c r="AJ1496" s="30"/>
      <c r="AK1496" s="30"/>
      <c r="AL1496" s="30"/>
      <c r="AM1496" s="13"/>
      <c r="AN1496" s="13"/>
      <c r="AO1496" s="13"/>
      <c r="AP1496" s="13"/>
      <c r="AQ1496" s="13"/>
      <c r="AR1496" s="14"/>
      <c r="AS1496" s="15"/>
    </row>
    <row r="1497" spans="1:45" s="17" customFormat="1" ht="30.95" hidden="1" customHeight="1" x14ac:dyDescent="0.2">
      <c r="A1497" s="37" t="s">
        <v>1859</v>
      </c>
      <c r="B1497" s="38" t="s">
        <v>1412</v>
      </c>
      <c r="C1497" s="45"/>
      <c r="D1497" s="31"/>
      <c r="E1497" s="31"/>
      <c r="F1497" s="268"/>
      <c r="G1497" s="269"/>
      <c r="H1497" s="269"/>
      <c r="I1497" s="270"/>
      <c r="J1497" s="210" t="s">
        <v>1867</v>
      </c>
      <c r="K1497" s="270"/>
      <c r="L1497" s="270"/>
      <c r="M1497" s="39"/>
      <c r="N1497" s="39"/>
      <c r="O1497" s="156"/>
      <c r="P1497" s="47"/>
      <c r="Q1497" s="57"/>
      <c r="R1497" s="338"/>
      <c r="S1497" s="272"/>
      <c r="T1497" s="273"/>
      <c r="U1497" s="40"/>
      <c r="V1497" s="277"/>
      <c r="W1497" s="269"/>
      <c r="X1497" s="269"/>
      <c r="Y1497" s="275"/>
      <c r="Z1497" s="269"/>
      <c r="AA1497" s="57"/>
      <c r="AB1497" s="207"/>
      <c r="AC1497" s="33"/>
      <c r="AD1497" s="189"/>
      <c r="AE1497" s="54"/>
      <c r="AF1497" s="55"/>
      <c r="AG1497" s="43"/>
      <c r="AH1497" s="47"/>
      <c r="AI1497" s="30"/>
      <c r="AJ1497" s="30"/>
      <c r="AK1497" s="30"/>
      <c r="AL1497" s="30"/>
      <c r="AM1497" s="13"/>
      <c r="AN1497" s="13"/>
      <c r="AO1497" s="13"/>
      <c r="AP1497" s="13"/>
      <c r="AQ1497" s="13"/>
      <c r="AR1497" s="14"/>
      <c r="AS1497" s="15"/>
    </row>
    <row r="1498" spans="1:45" s="17" customFormat="1" ht="30.95" hidden="1" customHeight="1" x14ac:dyDescent="0.2">
      <c r="A1498" s="37"/>
      <c r="B1498" s="38"/>
      <c r="C1498" s="45"/>
      <c r="D1498" s="31"/>
      <c r="E1498" s="31"/>
      <c r="F1498" s="268"/>
      <c r="G1498" s="269"/>
      <c r="H1498" s="269"/>
      <c r="I1498" s="270"/>
      <c r="J1498" s="210"/>
      <c r="K1498" s="270"/>
      <c r="L1498" s="270"/>
      <c r="M1498" s="39"/>
      <c r="N1498" s="39"/>
      <c r="O1498" s="156"/>
      <c r="P1498" s="47"/>
      <c r="Q1498" s="57"/>
      <c r="R1498" s="338"/>
      <c r="S1498" s="272"/>
      <c r="T1498" s="273"/>
      <c r="U1498" s="40"/>
      <c r="V1498" s="277"/>
      <c r="W1498" s="269"/>
      <c r="X1498" s="269"/>
      <c r="Y1498" s="275"/>
      <c r="Z1498" s="269"/>
      <c r="AA1498" s="57"/>
      <c r="AB1498" s="207"/>
      <c r="AC1498" s="33"/>
      <c r="AD1498" s="189"/>
      <c r="AE1498" s="54"/>
      <c r="AF1498" s="55"/>
      <c r="AG1498" s="43"/>
      <c r="AH1498" s="47"/>
      <c r="AI1498" s="30"/>
      <c r="AJ1498" s="30"/>
      <c r="AK1498" s="30"/>
      <c r="AL1498" s="30"/>
      <c r="AM1498" s="13"/>
      <c r="AN1498" s="13"/>
      <c r="AO1498" s="13"/>
      <c r="AP1498" s="13"/>
      <c r="AQ1498" s="13"/>
      <c r="AR1498" s="14"/>
      <c r="AS1498" s="15"/>
    </row>
    <row r="1499" spans="1:45" s="17" customFormat="1" ht="30.95" hidden="1" customHeight="1" x14ac:dyDescent="0.2">
      <c r="A1499" s="37" t="s">
        <v>1860</v>
      </c>
      <c r="B1499" s="38" t="s">
        <v>1408</v>
      </c>
      <c r="C1499" s="45"/>
      <c r="D1499" s="31"/>
      <c r="E1499" s="31"/>
      <c r="F1499" s="268"/>
      <c r="G1499" s="269"/>
      <c r="H1499" s="269"/>
      <c r="I1499" s="270"/>
      <c r="J1499" s="210" t="s">
        <v>1867</v>
      </c>
      <c r="K1499" s="270"/>
      <c r="L1499" s="270"/>
      <c r="M1499" s="39"/>
      <c r="N1499" s="39"/>
      <c r="O1499" s="156"/>
      <c r="P1499" s="47"/>
      <c r="Q1499" s="57"/>
      <c r="R1499" s="338"/>
      <c r="S1499" s="272"/>
      <c r="T1499" s="273"/>
      <c r="U1499" s="40"/>
      <c r="V1499" s="277"/>
      <c r="W1499" s="269"/>
      <c r="X1499" s="269"/>
      <c r="Y1499" s="275"/>
      <c r="Z1499" s="269"/>
      <c r="AA1499" s="57"/>
      <c r="AB1499" s="207"/>
      <c r="AC1499" s="33"/>
      <c r="AD1499" s="189"/>
      <c r="AE1499" s="54"/>
      <c r="AF1499" s="55"/>
      <c r="AG1499" s="43"/>
      <c r="AH1499" s="47"/>
      <c r="AI1499" s="30"/>
      <c r="AJ1499" s="30"/>
      <c r="AK1499" s="30"/>
      <c r="AL1499" s="30"/>
      <c r="AM1499" s="13"/>
      <c r="AN1499" s="13"/>
      <c r="AO1499" s="13"/>
      <c r="AP1499" s="13"/>
      <c r="AQ1499" s="13"/>
      <c r="AR1499" s="14"/>
      <c r="AS1499" s="15"/>
    </row>
    <row r="1500" spans="1:45" s="17" customFormat="1" ht="30.95" hidden="1" customHeight="1" x14ac:dyDescent="0.2">
      <c r="A1500" s="37"/>
      <c r="B1500" s="38"/>
      <c r="C1500" s="45"/>
      <c r="D1500" s="31"/>
      <c r="E1500" s="31"/>
      <c r="F1500" s="268"/>
      <c r="G1500" s="269"/>
      <c r="H1500" s="269"/>
      <c r="I1500" s="270"/>
      <c r="J1500" s="210"/>
      <c r="K1500" s="270"/>
      <c r="L1500" s="270"/>
      <c r="M1500" s="39"/>
      <c r="N1500" s="39"/>
      <c r="O1500" s="156"/>
      <c r="P1500" s="47"/>
      <c r="Q1500" s="57"/>
      <c r="R1500" s="338"/>
      <c r="S1500" s="272"/>
      <c r="T1500" s="273"/>
      <c r="U1500" s="40"/>
      <c r="V1500" s="277"/>
      <c r="W1500" s="269"/>
      <c r="X1500" s="269"/>
      <c r="Y1500" s="275"/>
      <c r="Z1500" s="269"/>
      <c r="AA1500" s="57"/>
      <c r="AB1500" s="207"/>
      <c r="AC1500" s="33"/>
      <c r="AD1500" s="189"/>
      <c r="AE1500" s="54"/>
      <c r="AF1500" s="55"/>
      <c r="AG1500" s="43"/>
      <c r="AH1500" s="47"/>
      <c r="AI1500" s="30"/>
      <c r="AJ1500" s="30"/>
      <c r="AK1500" s="30"/>
      <c r="AL1500" s="30"/>
      <c r="AM1500" s="13"/>
      <c r="AN1500" s="13"/>
      <c r="AO1500" s="13"/>
      <c r="AP1500" s="13"/>
      <c r="AQ1500" s="13"/>
      <c r="AR1500" s="14"/>
      <c r="AS1500" s="15"/>
    </row>
    <row r="1501" spans="1:45" s="17" customFormat="1" ht="30.95" hidden="1" customHeight="1" x14ac:dyDescent="0.2">
      <c r="A1501" s="37" t="s">
        <v>1861</v>
      </c>
      <c r="B1501" s="38" t="s">
        <v>1409</v>
      </c>
      <c r="C1501" s="45"/>
      <c r="D1501" s="31"/>
      <c r="E1501" s="31"/>
      <c r="F1501" s="268"/>
      <c r="G1501" s="269"/>
      <c r="H1501" s="269"/>
      <c r="I1501" s="270"/>
      <c r="J1501" s="210" t="s">
        <v>1866</v>
      </c>
      <c r="K1501" s="270"/>
      <c r="L1501" s="270"/>
      <c r="M1501" s="39"/>
      <c r="N1501" s="39"/>
      <c r="O1501" s="156"/>
      <c r="P1501" s="47"/>
      <c r="Q1501" s="57"/>
      <c r="R1501" s="338"/>
      <c r="S1501" s="272"/>
      <c r="T1501" s="273"/>
      <c r="U1501" s="40"/>
      <c r="V1501" s="277"/>
      <c r="W1501" s="269"/>
      <c r="X1501" s="269"/>
      <c r="Y1501" s="275"/>
      <c r="Z1501" s="269"/>
      <c r="AA1501" s="57"/>
      <c r="AB1501" s="207"/>
      <c r="AC1501" s="33"/>
      <c r="AD1501" s="189"/>
      <c r="AE1501" s="54"/>
      <c r="AF1501" s="55"/>
      <c r="AG1501" s="43"/>
      <c r="AH1501" s="47"/>
      <c r="AI1501" s="30"/>
      <c r="AJ1501" s="30"/>
      <c r="AK1501" s="30"/>
      <c r="AL1501" s="30"/>
      <c r="AM1501" s="13"/>
      <c r="AN1501" s="13"/>
      <c r="AO1501" s="13"/>
      <c r="AP1501" s="13"/>
      <c r="AQ1501" s="13"/>
      <c r="AR1501" s="14"/>
      <c r="AS1501" s="15"/>
    </row>
    <row r="1502" spans="1:45" s="17" customFormat="1" ht="30.95" hidden="1" customHeight="1" x14ac:dyDescent="0.2">
      <c r="A1502" s="37"/>
      <c r="B1502" s="38"/>
      <c r="C1502" s="45"/>
      <c r="D1502" s="31"/>
      <c r="E1502" s="31"/>
      <c r="F1502" s="268"/>
      <c r="G1502" s="269"/>
      <c r="H1502" s="269"/>
      <c r="I1502" s="270"/>
      <c r="J1502" s="210"/>
      <c r="K1502" s="270"/>
      <c r="L1502" s="270"/>
      <c r="M1502" s="39"/>
      <c r="N1502" s="39"/>
      <c r="O1502" s="156"/>
      <c r="P1502" s="47"/>
      <c r="Q1502" s="57"/>
      <c r="R1502" s="338"/>
      <c r="S1502" s="272"/>
      <c r="T1502" s="273"/>
      <c r="U1502" s="40"/>
      <c r="V1502" s="277"/>
      <c r="W1502" s="269"/>
      <c r="X1502" s="269"/>
      <c r="Y1502" s="275"/>
      <c r="Z1502" s="269"/>
      <c r="AA1502" s="57"/>
      <c r="AB1502" s="207"/>
      <c r="AC1502" s="33"/>
      <c r="AD1502" s="189"/>
      <c r="AE1502" s="54"/>
      <c r="AF1502" s="55"/>
      <c r="AG1502" s="43"/>
      <c r="AH1502" s="47"/>
      <c r="AI1502" s="30"/>
      <c r="AJ1502" s="30"/>
      <c r="AK1502" s="30"/>
      <c r="AL1502" s="30"/>
      <c r="AM1502" s="13"/>
      <c r="AN1502" s="13"/>
      <c r="AO1502" s="13"/>
      <c r="AP1502" s="13"/>
      <c r="AQ1502" s="13"/>
      <c r="AR1502" s="14"/>
      <c r="AS1502" s="15"/>
    </row>
    <row r="1503" spans="1:45" s="17" customFormat="1" ht="30.95" hidden="1" customHeight="1" x14ac:dyDescent="0.2">
      <c r="A1503" s="37" t="s">
        <v>1862</v>
      </c>
      <c r="B1503" s="38" t="s">
        <v>1397</v>
      </c>
      <c r="C1503" s="45"/>
      <c r="D1503" s="31"/>
      <c r="E1503" s="31"/>
      <c r="F1503" s="268"/>
      <c r="G1503" s="269"/>
      <c r="H1503" s="269"/>
      <c r="I1503" s="270"/>
      <c r="J1503" s="210" t="s">
        <v>1888</v>
      </c>
      <c r="K1503" s="270"/>
      <c r="L1503" s="270"/>
      <c r="M1503" s="39"/>
      <c r="N1503" s="39"/>
      <c r="O1503" s="156"/>
      <c r="P1503" s="47"/>
      <c r="Q1503" s="57"/>
      <c r="R1503" s="338"/>
      <c r="S1503" s="272"/>
      <c r="T1503" s="273"/>
      <c r="U1503" s="40"/>
      <c r="V1503" s="277"/>
      <c r="W1503" s="269"/>
      <c r="X1503" s="269"/>
      <c r="Y1503" s="275"/>
      <c r="Z1503" s="269"/>
      <c r="AA1503" s="57"/>
      <c r="AB1503" s="207"/>
      <c r="AC1503" s="33"/>
      <c r="AD1503" s="189"/>
      <c r="AE1503" s="54"/>
      <c r="AF1503" s="55"/>
      <c r="AG1503" s="43"/>
      <c r="AH1503" s="47"/>
      <c r="AI1503" s="30"/>
      <c r="AJ1503" s="30"/>
      <c r="AK1503" s="30"/>
      <c r="AL1503" s="30"/>
      <c r="AM1503" s="13"/>
      <c r="AN1503" s="13"/>
      <c r="AO1503" s="13"/>
      <c r="AP1503" s="13"/>
      <c r="AQ1503" s="13"/>
      <c r="AR1503" s="14"/>
      <c r="AS1503" s="15"/>
    </row>
    <row r="1504" spans="1:45" s="17" customFormat="1" ht="30.95" hidden="1" customHeight="1" x14ac:dyDescent="0.2">
      <c r="A1504" s="37"/>
      <c r="B1504" s="38"/>
      <c r="C1504" s="45"/>
      <c r="D1504" s="31"/>
      <c r="E1504" s="31"/>
      <c r="F1504" s="268"/>
      <c r="G1504" s="269"/>
      <c r="H1504" s="269"/>
      <c r="I1504" s="270"/>
      <c r="J1504" s="210"/>
      <c r="K1504" s="270"/>
      <c r="L1504" s="270"/>
      <c r="M1504" s="39"/>
      <c r="N1504" s="39"/>
      <c r="O1504" s="156"/>
      <c r="P1504" s="47"/>
      <c r="Q1504" s="57"/>
      <c r="R1504" s="338"/>
      <c r="S1504" s="272"/>
      <c r="T1504" s="273"/>
      <c r="U1504" s="40"/>
      <c r="V1504" s="277"/>
      <c r="W1504" s="269"/>
      <c r="X1504" s="269"/>
      <c r="Y1504" s="275"/>
      <c r="Z1504" s="269"/>
      <c r="AA1504" s="57"/>
      <c r="AB1504" s="207"/>
      <c r="AC1504" s="33"/>
      <c r="AD1504" s="189"/>
      <c r="AE1504" s="54"/>
      <c r="AF1504" s="55"/>
      <c r="AG1504" s="43"/>
      <c r="AH1504" s="47"/>
      <c r="AI1504" s="30"/>
      <c r="AJ1504" s="30"/>
      <c r="AK1504" s="30"/>
      <c r="AL1504" s="30"/>
      <c r="AM1504" s="13"/>
      <c r="AN1504" s="13"/>
      <c r="AO1504" s="13"/>
      <c r="AP1504" s="13"/>
      <c r="AQ1504" s="13"/>
      <c r="AR1504" s="14"/>
      <c r="AS1504" s="15"/>
    </row>
    <row r="1505" spans="1:45" s="17" customFormat="1" ht="30.95" hidden="1" customHeight="1" x14ac:dyDescent="0.2">
      <c r="A1505" s="37" t="s">
        <v>1863</v>
      </c>
      <c r="B1505" s="38" t="s">
        <v>392</v>
      </c>
      <c r="C1505" s="45"/>
      <c r="D1505" s="31"/>
      <c r="E1505" s="31"/>
      <c r="F1505" s="268"/>
      <c r="G1505" s="269"/>
      <c r="H1505" s="269"/>
      <c r="I1505" s="270"/>
      <c r="J1505" s="210" t="s">
        <v>1867</v>
      </c>
      <c r="K1505" s="270"/>
      <c r="L1505" s="270"/>
      <c r="M1505" s="39"/>
      <c r="N1505" s="39"/>
      <c r="O1505" s="156"/>
      <c r="P1505" s="47"/>
      <c r="Q1505" s="57"/>
      <c r="R1505" s="338"/>
      <c r="S1505" s="272"/>
      <c r="T1505" s="273"/>
      <c r="U1505" s="40"/>
      <c r="V1505" s="277"/>
      <c r="W1505" s="269"/>
      <c r="X1505" s="269"/>
      <c r="Y1505" s="275"/>
      <c r="Z1505" s="269"/>
      <c r="AA1505" s="57"/>
      <c r="AB1505" s="207"/>
      <c r="AC1505" s="33"/>
      <c r="AD1505" s="189"/>
      <c r="AE1505" s="54"/>
      <c r="AF1505" s="55"/>
      <c r="AG1505" s="43"/>
      <c r="AH1505" s="47"/>
      <c r="AI1505" s="30"/>
      <c r="AJ1505" s="30"/>
      <c r="AK1505" s="30"/>
      <c r="AL1505" s="30"/>
      <c r="AM1505" s="13"/>
      <c r="AN1505" s="13"/>
      <c r="AO1505" s="13"/>
      <c r="AP1505" s="13"/>
      <c r="AQ1505" s="13"/>
      <c r="AR1505" s="14"/>
      <c r="AS1505" s="15"/>
    </row>
    <row r="1506" spans="1:45" s="17" customFormat="1" ht="30.95" hidden="1" customHeight="1" x14ac:dyDescent="0.2">
      <c r="A1506" s="37"/>
      <c r="B1506" s="38"/>
      <c r="C1506" s="45"/>
      <c r="D1506" s="31"/>
      <c r="E1506" s="31"/>
      <c r="F1506" s="268"/>
      <c r="G1506" s="269"/>
      <c r="H1506" s="269"/>
      <c r="I1506" s="270"/>
      <c r="J1506" s="210"/>
      <c r="K1506" s="270"/>
      <c r="L1506" s="270"/>
      <c r="M1506" s="39"/>
      <c r="N1506" s="39"/>
      <c r="O1506" s="156"/>
      <c r="P1506" s="47"/>
      <c r="Q1506" s="57"/>
      <c r="R1506" s="338"/>
      <c r="S1506" s="272"/>
      <c r="T1506" s="273"/>
      <c r="U1506" s="40"/>
      <c r="V1506" s="277"/>
      <c r="W1506" s="269"/>
      <c r="X1506" s="269"/>
      <c r="Y1506" s="275"/>
      <c r="Z1506" s="269"/>
      <c r="AA1506" s="57"/>
      <c r="AB1506" s="207"/>
      <c r="AC1506" s="33"/>
      <c r="AD1506" s="189"/>
      <c r="AE1506" s="54"/>
      <c r="AF1506" s="55"/>
      <c r="AG1506" s="43"/>
      <c r="AH1506" s="47"/>
      <c r="AI1506" s="30"/>
      <c r="AJ1506" s="30"/>
      <c r="AK1506" s="30"/>
      <c r="AL1506" s="30"/>
      <c r="AM1506" s="13"/>
      <c r="AN1506" s="13"/>
      <c r="AO1506" s="13"/>
      <c r="AP1506" s="13"/>
      <c r="AQ1506" s="13"/>
      <c r="AR1506" s="14"/>
      <c r="AS1506" s="15"/>
    </row>
    <row r="1507" spans="1:45" s="17" customFormat="1" ht="30.95" hidden="1" customHeight="1" x14ac:dyDescent="0.2">
      <c r="A1507" s="37" t="s">
        <v>1864</v>
      </c>
      <c r="B1507" s="38" t="s">
        <v>1402</v>
      </c>
      <c r="C1507" s="45"/>
      <c r="D1507" s="31"/>
      <c r="E1507" s="31"/>
      <c r="F1507" s="268"/>
      <c r="G1507" s="269"/>
      <c r="H1507" s="269"/>
      <c r="I1507" s="270"/>
      <c r="J1507" s="210" t="s">
        <v>1867</v>
      </c>
      <c r="K1507" s="270"/>
      <c r="L1507" s="270"/>
      <c r="M1507" s="39"/>
      <c r="N1507" s="39"/>
      <c r="O1507" s="156"/>
      <c r="P1507" s="47"/>
      <c r="Q1507" s="57"/>
      <c r="R1507" s="338"/>
      <c r="S1507" s="272"/>
      <c r="T1507" s="273"/>
      <c r="U1507" s="40"/>
      <c r="V1507" s="277"/>
      <c r="W1507" s="269"/>
      <c r="X1507" s="269"/>
      <c r="Y1507" s="275"/>
      <c r="Z1507" s="269"/>
      <c r="AA1507" s="57"/>
      <c r="AB1507" s="207"/>
      <c r="AC1507" s="33"/>
      <c r="AD1507" s="189"/>
      <c r="AE1507" s="54"/>
      <c r="AF1507" s="55"/>
      <c r="AG1507" s="43"/>
      <c r="AH1507" s="47"/>
      <c r="AI1507" s="30"/>
      <c r="AJ1507" s="30"/>
      <c r="AK1507" s="30"/>
      <c r="AL1507" s="30"/>
      <c r="AM1507" s="13"/>
      <c r="AN1507" s="13"/>
      <c r="AO1507" s="13"/>
      <c r="AP1507" s="13"/>
      <c r="AQ1507" s="13"/>
      <c r="AR1507" s="14"/>
      <c r="AS1507" s="15"/>
    </row>
    <row r="1508" spans="1:45" s="17" customFormat="1" ht="30.95" hidden="1" customHeight="1" x14ac:dyDescent="0.2">
      <c r="A1508" s="37"/>
      <c r="B1508" s="38"/>
      <c r="C1508" s="45"/>
      <c r="D1508" s="31"/>
      <c r="E1508" s="31"/>
      <c r="F1508" s="268"/>
      <c r="G1508" s="269"/>
      <c r="H1508" s="269"/>
      <c r="I1508" s="270"/>
      <c r="J1508" s="210"/>
      <c r="K1508" s="270"/>
      <c r="L1508" s="270"/>
      <c r="M1508" s="39"/>
      <c r="N1508" s="39"/>
      <c r="O1508" s="156"/>
      <c r="P1508" s="47"/>
      <c r="Q1508" s="57"/>
      <c r="R1508" s="338"/>
      <c r="S1508" s="272"/>
      <c r="T1508" s="273"/>
      <c r="U1508" s="40"/>
      <c r="V1508" s="277"/>
      <c r="W1508" s="269"/>
      <c r="X1508" s="269"/>
      <c r="Y1508" s="275"/>
      <c r="Z1508" s="269"/>
      <c r="AA1508" s="57"/>
      <c r="AB1508" s="207"/>
      <c r="AC1508" s="33"/>
      <c r="AD1508" s="189"/>
      <c r="AE1508" s="54"/>
      <c r="AF1508" s="55"/>
      <c r="AG1508" s="43"/>
      <c r="AH1508" s="47"/>
      <c r="AI1508" s="30"/>
      <c r="AJ1508" s="30"/>
      <c r="AK1508" s="30"/>
      <c r="AL1508" s="30"/>
      <c r="AM1508" s="13"/>
      <c r="AN1508" s="13"/>
      <c r="AO1508" s="13"/>
      <c r="AP1508" s="13"/>
      <c r="AQ1508" s="13"/>
      <c r="AR1508" s="14"/>
      <c r="AS1508" s="15"/>
    </row>
    <row r="1509" spans="1:45" s="17" customFormat="1" ht="30.95" hidden="1" customHeight="1" x14ac:dyDescent="0.2">
      <c r="A1509" s="37" t="s">
        <v>1865</v>
      </c>
      <c r="B1509" s="38" t="s">
        <v>1405</v>
      </c>
      <c r="C1509" s="45"/>
      <c r="D1509" s="31"/>
      <c r="E1509" s="31"/>
      <c r="F1509" s="268"/>
      <c r="G1509" s="269"/>
      <c r="H1509" s="269"/>
      <c r="I1509" s="270"/>
      <c r="J1509" s="210" t="s">
        <v>1888</v>
      </c>
      <c r="K1509" s="270"/>
      <c r="L1509" s="270"/>
      <c r="M1509" s="39"/>
      <c r="N1509" s="39"/>
      <c r="O1509" s="156"/>
      <c r="P1509" s="47"/>
      <c r="Q1509" s="57"/>
      <c r="R1509" s="338"/>
      <c r="S1509" s="272"/>
      <c r="T1509" s="273"/>
      <c r="U1509" s="40"/>
      <c r="V1509" s="277"/>
      <c r="W1509" s="269"/>
      <c r="X1509" s="269"/>
      <c r="Y1509" s="275"/>
      <c r="Z1509" s="269"/>
      <c r="AA1509" s="57"/>
      <c r="AB1509" s="207"/>
      <c r="AC1509" s="33"/>
      <c r="AD1509" s="189"/>
      <c r="AE1509" s="54"/>
      <c r="AF1509" s="55"/>
      <c r="AG1509" s="43"/>
      <c r="AH1509" s="47"/>
      <c r="AI1509" s="30"/>
      <c r="AJ1509" s="30"/>
      <c r="AK1509" s="30"/>
      <c r="AL1509" s="30"/>
      <c r="AM1509" s="13"/>
      <c r="AN1509" s="13"/>
      <c r="AO1509" s="13"/>
      <c r="AP1509" s="13"/>
      <c r="AQ1509" s="13"/>
      <c r="AR1509" s="14"/>
      <c r="AS1509" s="15"/>
    </row>
    <row r="1510" spans="1:45" s="17" customFormat="1" ht="30.95" hidden="1" customHeight="1" x14ac:dyDescent="0.2">
      <c r="A1510" s="37"/>
      <c r="B1510" s="38"/>
      <c r="C1510" s="45"/>
      <c r="D1510" s="31"/>
      <c r="E1510" s="31"/>
      <c r="F1510" s="268"/>
      <c r="G1510" s="269"/>
      <c r="H1510" s="269"/>
      <c r="I1510" s="270"/>
      <c r="J1510" s="210"/>
      <c r="K1510" s="270"/>
      <c r="L1510" s="270"/>
      <c r="M1510" s="39"/>
      <c r="N1510" s="39"/>
      <c r="O1510" s="156"/>
      <c r="P1510" s="47"/>
      <c r="Q1510" s="57"/>
      <c r="R1510" s="338"/>
      <c r="S1510" s="272"/>
      <c r="T1510" s="273"/>
      <c r="U1510" s="40"/>
      <c r="V1510" s="277"/>
      <c r="W1510" s="269"/>
      <c r="X1510" s="269"/>
      <c r="Y1510" s="275"/>
      <c r="Z1510" s="269"/>
      <c r="AA1510" s="57"/>
      <c r="AB1510" s="207"/>
      <c r="AC1510" s="33"/>
      <c r="AD1510" s="189"/>
      <c r="AE1510" s="54"/>
      <c r="AF1510" s="55"/>
      <c r="AG1510" s="43"/>
      <c r="AH1510" s="47"/>
      <c r="AI1510" s="30"/>
      <c r="AJ1510" s="30"/>
      <c r="AK1510" s="30"/>
      <c r="AL1510" s="30"/>
      <c r="AM1510" s="13"/>
      <c r="AN1510" s="13"/>
      <c r="AO1510" s="13"/>
      <c r="AP1510" s="13"/>
      <c r="AQ1510" s="13"/>
      <c r="AR1510" s="14"/>
      <c r="AS1510" s="15"/>
    </row>
    <row r="1511" spans="1:45" s="17" customFormat="1" ht="30.95" hidden="1" customHeight="1" x14ac:dyDescent="0.2">
      <c r="A1511" s="37" t="s">
        <v>1891</v>
      </c>
      <c r="B1511" s="38" t="s">
        <v>1412</v>
      </c>
      <c r="C1511" s="45"/>
      <c r="D1511" s="31"/>
      <c r="E1511" s="31"/>
      <c r="F1511" s="268"/>
      <c r="G1511" s="269"/>
      <c r="H1511" s="269"/>
      <c r="I1511" s="270"/>
      <c r="J1511" s="210" t="s">
        <v>1888</v>
      </c>
      <c r="K1511" s="270"/>
      <c r="L1511" s="270"/>
      <c r="M1511" s="39"/>
      <c r="N1511" s="39"/>
      <c r="O1511" s="156"/>
      <c r="P1511" s="47"/>
      <c r="Q1511" s="57"/>
      <c r="R1511" s="338"/>
      <c r="S1511" s="272"/>
      <c r="T1511" s="273"/>
      <c r="U1511" s="40"/>
      <c r="V1511" s="277"/>
      <c r="W1511" s="269"/>
      <c r="X1511" s="269"/>
      <c r="Y1511" s="275"/>
      <c r="Z1511" s="269"/>
      <c r="AA1511" s="57"/>
      <c r="AB1511" s="207"/>
      <c r="AC1511" s="33"/>
      <c r="AD1511" s="189"/>
      <c r="AE1511" s="54"/>
      <c r="AF1511" s="55"/>
      <c r="AG1511" s="43"/>
      <c r="AH1511" s="47"/>
      <c r="AI1511" s="30"/>
      <c r="AJ1511" s="30"/>
      <c r="AK1511" s="30"/>
      <c r="AL1511" s="30"/>
      <c r="AM1511" s="13"/>
      <c r="AN1511" s="13"/>
      <c r="AO1511" s="13"/>
      <c r="AP1511" s="13"/>
      <c r="AQ1511" s="13"/>
      <c r="AR1511" s="14"/>
      <c r="AS1511" s="15"/>
    </row>
    <row r="1512" spans="1:45" s="17" customFormat="1" ht="30.95" hidden="1" customHeight="1" x14ac:dyDescent="0.2">
      <c r="A1512" s="37"/>
      <c r="B1512" s="38"/>
      <c r="C1512" s="45"/>
      <c r="D1512" s="31"/>
      <c r="E1512" s="31"/>
      <c r="F1512" s="268"/>
      <c r="G1512" s="269"/>
      <c r="H1512" s="269"/>
      <c r="I1512" s="270"/>
      <c r="J1512" s="210"/>
      <c r="K1512" s="270"/>
      <c r="L1512" s="270"/>
      <c r="M1512" s="39"/>
      <c r="N1512" s="39"/>
      <c r="O1512" s="156"/>
      <c r="P1512" s="47"/>
      <c r="Q1512" s="57"/>
      <c r="R1512" s="338"/>
      <c r="S1512" s="272"/>
      <c r="T1512" s="273"/>
      <c r="U1512" s="40"/>
      <c r="V1512" s="277"/>
      <c r="W1512" s="269"/>
      <c r="X1512" s="269"/>
      <c r="Y1512" s="275"/>
      <c r="Z1512" s="269"/>
      <c r="AA1512" s="57"/>
      <c r="AB1512" s="207"/>
      <c r="AC1512" s="33"/>
      <c r="AD1512" s="189"/>
      <c r="AE1512" s="54"/>
      <c r="AF1512" s="55"/>
      <c r="AG1512" s="43"/>
      <c r="AH1512" s="47"/>
      <c r="AI1512" s="30"/>
      <c r="AJ1512" s="30"/>
      <c r="AK1512" s="30"/>
      <c r="AL1512" s="30"/>
      <c r="AM1512" s="13"/>
      <c r="AN1512" s="13"/>
      <c r="AO1512" s="13"/>
      <c r="AP1512" s="13"/>
      <c r="AQ1512" s="13"/>
      <c r="AR1512" s="14"/>
      <c r="AS1512" s="15"/>
    </row>
    <row r="1513" spans="1:45" s="17" customFormat="1" ht="30.95" hidden="1" customHeight="1" x14ac:dyDescent="0.2">
      <c r="A1513" s="37" t="s">
        <v>1892</v>
      </c>
      <c r="B1513" s="38" t="s">
        <v>1408</v>
      </c>
      <c r="C1513" s="45"/>
      <c r="D1513" s="31"/>
      <c r="E1513" s="31"/>
      <c r="F1513" s="268"/>
      <c r="G1513" s="269"/>
      <c r="H1513" s="269"/>
      <c r="I1513" s="270"/>
      <c r="J1513" s="210" t="s">
        <v>1888</v>
      </c>
      <c r="K1513" s="270"/>
      <c r="L1513" s="270"/>
      <c r="M1513" s="39"/>
      <c r="N1513" s="39"/>
      <c r="O1513" s="156"/>
      <c r="P1513" s="47"/>
      <c r="Q1513" s="57"/>
      <c r="R1513" s="338"/>
      <c r="S1513" s="272"/>
      <c r="T1513" s="273"/>
      <c r="U1513" s="40"/>
      <c r="V1513" s="277"/>
      <c r="W1513" s="269"/>
      <c r="X1513" s="269"/>
      <c r="Y1513" s="275"/>
      <c r="Z1513" s="269"/>
      <c r="AA1513" s="57"/>
      <c r="AB1513" s="207"/>
      <c r="AC1513" s="33"/>
      <c r="AD1513" s="189"/>
      <c r="AE1513" s="54"/>
      <c r="AF1513" s="55"/>
      <c r="AG1513" s="43"/>
      <c r="AH1513" s="47"/>
      <c r="AI1513" s="30"/>
      <c r="AJ1513" s="30"/>
      <c r="AK1513" s="30"/>
      <c r="AL1513" s="30"/>
      <c r="AM1513" s="13"/>
      <c r="AN1513" s="13"/>
      <c r="AO1513" s="13"/>
      <c r="AP1513" s="13"/>
      <c r="AQ1513" s="13"/>
      <c r="AR1513" s="14"/>
      <c r="AS1513" s="15"/>
    </row>
    <row r="1514" spans="1:45" s="17" customFormat="1" ht="30.95" hidden="1" customHeight="1" x14ac:dyDescent="0.2">
      <c r="A1514" s="37"/>
      <c r="B1514" s="38"/>
      <c r="C1514" s="45"/>
      <c r="D1514" s="31"/>
      <c r="E1514" s="31"/>
      <c r="F1514" s="268"/>
      <c r="G1514" s="269"/>
      <c r="H1514" s="269"/>
      <c r="I1514" s="270"/>
      <c r="J1514" s="210"/>
      <c r="K1514" s="270"/>
      <c r="L1514" s="270"/>
      <c r="M1514" s="39"/>
      <c r="N1514" s="39"/>
      <c r="O1514" s="156"/>
      <c r="P1514" s="47"/>
      <c r="Q1514" s="57"/>
      <c r="R1514" s="338"/>
      <c r="S1514" s="272"/>
      <c r="T1514" s="273"/>
      <c r="U1514" s="40"/>
      <c r="V1514" s="277"/>
      <c r="W1514" s="269"/>
      <c r="X1514" s="269"/>
      <c r="Y1514" s="275"/>
      <c r="Z1514" s="269"/>
      <c r="AA1514" s="57"/>
      <c r="AB1514" s="207"/>
      <c r="AC1514" s="33"/>
      <c r="AD1514" s="189"/>
      <c r="AE1514" s="54"/>
      <c r="AF1514" s="55"/>
      <c r="AG1514" s="43"/>
      <c r="AH1514" s="47"/>
      <c r="AI1514" s="30"/>
      <c r="AJ1514" s="30"/>
      <c r="AK1514" s="30"/>
      <c r="AL1514" s="30"/>
      <c r="AM1514" s="13"/>
      <c r="AN1514" s="13"/>
      <c r="AO1514" s="13"/>
      <c r="AP1514" s="13"/>
      <c r="AQ1514" s="13"/>
      <c r="AR1514" s="14"/>
      <c r="AS1514" s="15"/>
    </row>
    <row r="1515" spans="1:45" s="17" customFormat="1" ht="30.95" hidden="1" customHeight="1" x14ac:dyDescent="0.2">
      <c r="A1515" s="37" t="s">
        <v>1893</v>
      </c>
      <c r="B1515" s="38" t="s">
        <v>1409</v>
      </c>
      <c r="C1515" s="45"/>
      <c r="D1515" s="31"/>
      <c r="E1515" s="31"/>
      <c r="F1515" s="268"/>
      <c r="G1515" s="269"/>
      <c r="H1515" s="269"/>
      <c r="I1515" s="270"/>
      <c r="J1515" s="210" t="s">
        <v>1888</v>
      </c>
      <c r="K1515" s="270"/>
      <c r="L1515" s="270"/>
      <c r="M1515" s="39"/>
      <c r="N1515" s="39"/>
      <c r="O1515" s="156"/>
      <c r="P1515" s="47"/>
      <c r="Q1515" s="57"/>
      <c r="R1515" s="338"/>
      <c r="S1515" s="272"/>
      <c r="T1515" s="273"/>
      <c r="U1515" s="40"/>
      <c r="V1515" s="277"/>
      <c r="W1515" s="269"/>
      <c r="X1515" s="269"/>
      <c r="Y1515" s="275"/>
      <c r="Z1515" s="269"/>
      <c r="AA1515" s="57"/>
      <c r="AB1515" s="207"/>
      <c r="AC1515" s="33"/>
      <c r="AD1515" s="189"/>
      <c r="AE1515" s="54"/>
      <c r="AF1515" s="55"/>
      <c r="AG1515" s="43"/>
      <c r="AH1515" s="47"/>
      <c r="AI1515" s="30"/>
      <c r="AJ1515" s="30"/>
      <c r="AK1515" s="30"/>
      <c r="AL1515" s="30"/>
      <c r="AM1515" s="13"/>
      <c r="AN1515" s="13"/>
      <c r="AO1515" s="13"/>
      <c r="AP1515" s="13"/>
      <c r="AQ1515" s="13"/>
      <c r="AR1515" s="14"/>
      <c r="AS1515" s="15"/>
    </row>
    <row r="1516" spans="1:45" s="17" customFormat="1" ht="30.95" hidden="1" customHeight="1" x14ac:dyDescent="0.2">
      <c r="A1516" s="37"/>
      <c r="B1516" s="38"/>
      <c r="C1516" s="45"/>
      <c r="D1516" s="31"/>
      <c r="E1516" s="31"/>
      <c r="F1516" s="268"/>
      <c r="G1516" s="269"/>
      <c r="H1516" s="269"/>
      <c r="I1516" s="270"/>
      <c r="J1516" s="210"/>
      <c r="K1516" s="270"/>
      <c r="L1516" s="270"/>
      <c r="M1516" s="39"/>
      <c r="N1516" s="39"/>
      <c r="O1516" s="156"/>
      <c r="P1516" s="47"/>
      <c r="Q1516" s="57"/>
      <c r="R1516" s="338"/>
      <c r="S1516" s="272"/>
      <c r="T1516" s="273"/>
      <c r="U1516" s="40"/>
      <c r="V1516" s="277"/>
      <c r="W1516" s="269"/>
      <c r="X1516" s="269"/>
      <c r="Y1516" s="275"/>
      <c r="Z1516" s="269"/>
      <c r="AA1516" s="57"/>
      <c r="AB1516" s="207"/>
      <c r="AC1516" s="33"/>
      <c r="AD1516" s="189"/>
      <c r="AE1516" s="54"/>
      <c r="AF1516" s="55"/>
      <c r="AG1516" s="43"/>
      <c r="AH1516" s="47"/>
      <c r="AI1516" s="30"/>
      <c r="AJ1516" s="30"/>
      <c r="AK1516" s="30"/>
      <c r="AL1516" s="30"/>
      <c r="AM1516" s="13"/>
      <c r="AN1516" s="13"/>
      <c r="AO1516" s="13"/>
      <c r="AP1516" s="13"/>
      <c r="AQ1516" s="13"/>
      <c r="AR1516" s="14"/>
      <c r="AS1516" s="15"/>
    </row>
    <row r="1517" spans="1:45" s="17" customFormat="1" ht="30.95" hidden="1" customHeight="1" x14ac:dyDescent="0.2">
      <c r="A1517" s="37" t="s">
        <v>1894</v>
      </c>
      <c r="B1517" s="38" t="s">
        <v>1397</v>
      </c>
      <c r="C1517" s="45"/>
      <c r="D1517" s="31"/>
      <c r="E1517" s="31"/>
      <c r="F1517" s="268"/>
      <c r="G1517" s="269"/>
      <c r="H1517" s="269"/>
      <c r="I1517" s="270"/>
      <c r="J1517" s="210" t="s">
        <v>1888</v>
      </c>
      <c r="K1517" s="270"/>
      <c r="L1517" s="270"/>
      <c r="M1517" s="39"/>
      <c r="N1517" s="39"/>
      <c r="O1517" s="156"/>
      <c r="P1517" s="47"/>
      <c r="Q1517" s="57"/>
      <c r="R1517" s="338"/>
      <c r="S1517" s="272"/>
      <c r="T1517" s="273"/>
      <c r="U1517" s="40"/>
      <c r="V1517" s="277"/>
      <c r="W1517" s="269"/>
      <c r="X1517" s="269"/>
      <c r="Y1517" s="275"/>
      <c r="Z1517" s="269"/>
      <c r="AA1517" s="57"/>
      <c r="AB1517" s="207"/>
      <c r="AC1517" s="33"/>
      <c r="AD1517" s="189"/>
      <c r="AE1517" s="54"/>
      <c r="AF1517" s="55"/>
      <c r="AG1517" s="43"/>
      <c r="AH1517" s="47"/>
      <c r="AI1517" s="30"/>
      <c r="AJ1517" s="30"/>
      <c r="AK1517" s="30"/>
      <c r="AL1517" s="30"/>
      <c r="AM1517" s="13"/>
      <c r="AN1517" s="13"/>
      <c r="AO1517" s="13"/>
      <c r="AP1517" s="13"/>
      <c r="AQ1517" s="13"/>
      <c r="AR1517" s="14"/>
      <c r="AS1517" s="15"/>
    </row>
    <row r="1518" spans="1:45" s="17" customFormat="1" ht="30.95" hidden="1" customHeight="1" x14ac:dyDescent="0.2">
      <c r="A1518" s="37"/>
      <c r="B1518" s="38"/>
      <c r="C1518" s="45"/>
      <c r="D1518" s="31"/>
      <c r="E1518" s="31"/>
      <c r="F1518" s="268"/>
      <c r="G1518" s="269"/>
      <c r="H1518" s="269"/>
      <c r="I1518" s="270"/>
      <c r="J1518" s="210"/>
      <c r="K1518" s="270"/>
      <c r="L1518" s="270"/>
      <c r="M1518" s="39"/>
      <c r="N1518" s="39"/>
      <c r="O1518" s="156"/>
      <c r="P1518" s="47"/>
      <c r="Q1518" s="57"/>
      <c r="R1518" s="338"/>
      <c r="S1518" s="272"/>
      <c r="T1518" s="273"/>
      <c r="U1518" s="40"/>
      <c r="V1518" s="277"/>
      <c r="W1518" s="269"/>
      <c r="X1518" s="269"/>
      <c r="Y1518" s="275"/>
      <c r="Z1518" s="269"/>
      <c r="AA1518" s="57"/>
      <c r="AB1518" s="207"/>
      <c r="AC1518" s="33"/>
      <c r="AD1518" s="189"/>
      <c r="AE1518" s="54"/>
      <c r="AF1518" s="55"/>
      <c r="AG1518" s="43"/>
      <c r="AH1518" s="47"/>
      <c r="AI1518" s="30"/>
      <c r="AJ1518" s="30"/>
      <c r="AK1518" s="30"/>
      <c r="AL1518" s="30"/>
      <c r="AM1518" s="13"/>
      <c r="AN1518" s="13"/>
      <c r="AO1518" s="13"/>
      <c r="AP1518" s="13"/>
      <c r="AQ1518" s="13"/>
      <c r="AR1518" s="14"/>
      <c r="AS1518" s="15"/>
    </row>
    <row r="1519" spans="1:45" s="17" customFormat="1" ht="30.95" hidden="1" customHeight="1" x14ac:dyDescent="0.2">
      <c r="A1519" s="37" t="s">
        <v>1895</v>
      </c>
      <c r="B1519" s="38" t="s">
        <v>392</v>
      </c>
      <c r="C1519" s="45"/>
      <c r="D1519" s="31"/>
      <c r="E1519" s="31"/>
      <c r="F1519" s="268"/>
      <c r="G1519" s="269"/>
      <c r="H1519" s="269"/>
      <c r="I1519" s="270"/>
      <c r="J1519" s="210" t="s">
        <v>448</v>
      </c>
      <c r="K1519" s="270"/>
      <c r="L1519" s="270"/>
      <c r="M1519" s="39"/>
      <c r="N1519" s="39"/>
      <c r="O1519" s="156"/>
      <c r="P1519" s="47"/>
      <c r="Q1519" s="57"/>
      <c r="R1519" s="338"/>
      <c r="S1519" s="272"/>
      <c r="T1519" s="273"/>
      <c r="U1519" s="40"/>
      <c r="V1519" s="277"/>
      <c r="W1519" s="269"/>
      <c r="X1519" s="269"/>
      <c r="Y1519" s="275"/>
      <c r="Z1519" s="269"/>
      <c r="AA1519" s="57"/>
      <c r="AB1519" s="207"/>
      <c r="AC1519" s="33"/>
      <c r="AD1519" s="189"/>
      <c r="AE1519" s="54"/>
      <c r="AF1519" s="55"/>
      <c r="AG1519" s="43"/>
      <c r="AH1519" s="47"/>
      <c r="AI1519" s="30"/>
      <c r="AJ1519" s="30"/>
      <c r="AK1519" s="30"/>
      <c r="AL1519" s="30"/>
      <c r="AM1519" s="13"/>
      <c r="AN1519" s="13"/>
      <c r="AO1519" s="13"/>
      <c r="AP1519" s="13"/>
      <c r="AQ1519" s="13"/>
      <c r="AR1519" s="14"/>
      <c r="AS1519" s="15"/>
    </row>
    <row r="1520" spans="1:45" s="17" customFormat="1" ht="30.95" hidden="1" customHeight="1" x14ac:dyDescent="0.2">
      <c r="A1520" s="37"/>
      <c r="B1520" s="38"/>
      <c r="C1520" s="45"/>
      <c r="D1520" s="31"/>
      <c r="E1520" s="31"/>
      <c r="F1520" s="268"/>
      <c r="G1520" s="269"/>
      <c r="H1520" s="269"/>
      <c r="I1520" s="270"/>
      <c r="J1520" s="210"/>
      <c r="K1520" s="270"/>
      <c r="L1520" s="270"/>
      <c r="M1520" s="39"/>
      <c r="N1520" s="39"/>
      <c r="O1520" s="156"/>
      <c r="P1520" s="47"/>
      <c r="Q1520" s="57"/>
      <c r="R1520" s="338"/>
      <c r="S1520" s="272"/>
      <c r="T1520" s="273"/>
      <c r="U1520" s="40"/>
      <c r="V1520" s="277"/>
      <c r="W1520" s="269"/>
      <c r="X1520" s="269"/>
      <c r="Y1520" s="275"/>
      <c r="Z1520" s="269"/>
      <c r="AA1520" s="57"/>
      <c r="AB1520" s="207"/>
      <c r="AC1520" s="33"/>
      <c r="AD1520" s="189"/>
      <c r="AE1520" s="54"/>
      <c r="AF1520" s="55"/>
      <c r="AG1520" s="43"/>
      <c r="AH1520" s="47"/>
      <c r="AI1520" s="30"/>
      <c r="AJ1520" s="30"/>
      <c r="AK1520" s="30"/>
      <c r="AL1520" s="30"/>
      <c r="AM1520" s="13"/>
      <c r="AN1520" s="13"/>
      <c r="AO1520" s="13"/>
      <c r="AP1520" s="13"/>
      <c r="AQ1520" s="13"/>
      <c r="AR1520" s="14"/>
      <c r="AS1520" s="15"/>
    </row>
    <row r="1521" spans="1:45" s="17" customFormat="1" ht="30.95" hidden="1" customHeight="1" x14ac:dyDescent="0.2">
      <c r="A1521" s="37" t="s">
        <v>1896</v>
      </c>
      <c r="B1521" s="38" t="s">
        <v>1402</v>
      </c>
      <c r="C1521" s="45"/>
      <c r="D1521" s="31"/>
      <c r="E1521" s="31"/>
      <c r="F1521" s="268"/>
      <c r="G1521" s="269"/>
      <c r="H1521" s="269"/>
      <c r="I1521" s="270"/>
      <c r="J1521" s="210" t="s">
        <v>1888</v>
      </c>
      <c r="K1521" s="270"/>
      <c r="L1521" s="270"/>
      <c r="M1521" s="39"/>
      <c r="N1521" s="39"/>
      <c r="O1521" s="156"/>
      <c r="P1521" s="47"/>
      <c r="Q1521" s="57"/>
      <c r="R1521" s="338"/>
      <c r="S1521" s="272"/>
      <c r="T1521" s="273"/>
      <c r="U1521" s="40"/>
      <c r="V1521" s="277"/>
      <c r="W1521" s="269"/>
      <c r="X1521" s="269"/>
      <c r="Y1521" s="275"/>
      <c r="Z1521" s="269"/>
      <c r="AA1521" s="57"/>
      <c r="AB1521" s="207"/>
      <c r="AC1521" s="33"/>
      <c r="AD1521" s="189"/>
      <c r="AE1521" s="54"/>
      <c r="AF1521" s="55"/>
      <c r="AG1521" s="43"/>
      <c r="AH1521" s="47"/>
      <c r="AI1521" s="30"/>
      <c r="AJ1521" s="30"/>
      <c r="AK1521" s="30"/>
      <c r="AL1521" s="30"/>
      <c r="AM1521" s="13"/>
      <c r="AN1521" s="13"/>
      <c r="AO1521" s="13"/>
      <c r="AP1521" s="13"/>
      <c r="AQ1521" s="13"/>
      <c r="AR1521" s="14"/>
      <c r="AS1521" s="15"/>
    </row>
    <row r="1522" spans="1:45" s="17" customFormat="1" ht="30.95" hidden="1" customHeight="1" x14ac:dyDescent="0.2">
      <c r="A1522" s="37"/>
      <c r="B1522" s="38"/>
      <c r="C1522" s="45"/>
      <c r="D1522" s="31"/>
      <c r="E1522" s="31"/>
      <c r="F1522" s="268"/>
      <c r="G1522" s="269"/>
      <c r="H1522" s="269"/>
      <c r="I1522" s="270"/>
      <c r="J1522" s="210"/>
      <c r="K1522" s="270"/>
      <c r="L1522" s="270"/>
      <c r="M1522" s="39"/>
      <c r="N1522" s="39"/>
      <c r="O1522" s="156"/>
      <c r="P1522" s="47"/>
      <c r="Q1522" s="57"/>
      <c r="R1522" s="338"/>
      <c r="S1522" s="272"/>
      <c r="T1522" s="273"/>
      <c r="U1522" s="40"/>
      <c r="V1522" s="277"/>
      <c r="W1522" s="269"/>
      <c r="X1522" s="269"/>
      <c r="Y1522" s="275"/>
      <c r="Z1522" s="269"/>
      <c r="AA1522" s="57"/>
      <c r="AB1522" s="207"/>
      <c r="AC1522" s="33"/>
      <c r="AD1522" s="189"/>
      <c r="AE1522" s="54"/>
      <c r="AF1522" s="55"/>
      <c r="AG1522" s="43"/>
      <c r="AH1522" s="47"/>
      <c r="AI1522" s="30"/>
      <c r="AJ1522" s="30"/>
      <c r="AK1522" s="30"/>
      <c r="AL1522" s="30"/>
      <c r="AM1522" s="13"/>
      <c r="AN1522" s="13"/>
      <c r="AO1522" s="13"/>
      <c r="AP1522" s="13"/>
      <c r="AQ1522" s="13"/>
      <c r="AR1522" s="14"/>
      <c r="AS1522" s="15"/>
    </row>
    <row r="1523" spans="1:45" s="17" customFormat="1" ht="30.95" hidden="1" customHeight="1" x14ac:dyDescent="0.2">
      <c r="A1523" s="37" t="s">
        <v>1897</v>
      </c>
      <c r="B1523" s="38" t="s">
        <v>1405</v>
      </c>
      <c r="C1523" s="45"/>
      <c r="D1523" s="31"/>
      <c r="E1523" s="31"/>
      <c r="F1523" s="268"/>
      <c r="G1523" s="269"/>
      <c r="H1523" s="269"/>
      <c r="I1523" s="270"/>
      <c r="J1523" s="210" t="s">
        <v>1888</v>
      </c>
      <c r="K1523" s="270"/>
      <c r="L1523" s="270"/>
      <c r="M1523" s="39"/>
      <c r="N1523" s="39"/>
      <c r="O1523" s="156"/>
      <c r="P1523" s="47"/>
      <c r="Q1523" s="57"/>
      <c r="R1523" s="338"/>
      <c r="S1523" s="272"/>
      <c r="T1523" s="273"/>
      <c r="U1523" s="40"/>
      <c r="V1523" s="277"/>
      <c r="W1523" s="269"/>
      <c r="X1523" s="269"/>
      <c r="Y1523" s="275"/>
      <c r="Z1523" s="269"/>
      <c r="AA1523" s="57"/>
      <c r="AB1523" s="207"/>
      <c r="AC1523" s="33"/>
      <c r="AD1523" s="189"/>
      <c r="AE1523" s="54"/>
      <c r="AF1523" s="55"/>
      <c r="AG1523" s="43"/>
      <c r="AH1523" s="47"/>
      <c r="AI1523" s="30"/>
      <c r="AJ1523" s="30"/>
      <c r="AK1523" s="30"/>
      <c r="AL1523" s="30"/>
      <c r="AM1523" s="13"/>
      <c r="AN1523" s="13"/>
      <c r="AO1523" s="13"/>
      <c r="AP1523" s="13"/>
      <c r="AQ1523" s="13"/>
      <c r="AR1523" s="14"/>
      <c r="AS1523" s="15"/>
    </row>
    <row r="1524" spans="1:45" s="17" customFormat="1" ht="30.95" hidden="1" customHeight="1" x14ac:dyDescent="0.2">
      <c r="A1524" s="37"/>
      <c r="B1524" s="38"/>
      <c r="C1524" s="45"/>
      <c r="D1524" s="31"/>
      <c r="E1524" s="31"/>
      <c r="F1524" s="268"/>
      <c r="G1524" s="269"/>
      <c r="H1524" s="269"/>
      <c r="I1524" s="270"/>
      <c r="J1524" s="210"/>
      <c r="K1524" s="270"/>
      <c r="L1524" s="270"/>
      <c r="M1524" s="39"/>
      <c r="N1524" s="39"/>
      <c r="O1524" s="156"/>
      <c r="P1524" s="47"/>
      <c r="Q1524" s="57"/>
      <c r="R1524" s="338"/>
      <c r="S1524" s="272"/>
      <c r="T1524" s="273"/>
      <c r="U1524" s="40"/>
      <c r="V1524" s="277"/>
      <c r="W1524" s="269"/>
      <c r="X1524" s="269"/>
      <c r="Y1524" s="275"/>
      <c r="Z1524" s="269"/>
      <c r="AA1524" s="57"/>
      <c r="AB1524" s="207"/>
      <c r="AC1524" s="33"/>
      <c r="AD1524" s="189"/>
      <c r="AE1524" s="54"/>
      <c r="AF1524" s="55"/>
      <c r="AG1524" s="43"/>
      <c r="AH1524" s="47"/>
      <c r="AI1524" s="30"/>
      <c r="AJ1524" s="30"/>
      <c r="AK1524" s="30"/>
      <c r="AL1524" s="30"/>
      <c r="AM1524" s="13"/>
      <c r="AN1524" s="13"/>
      <c r="AO1524" s="13"/>
      <c r="AP1524" s="13"/>
      <c r="AQ1524" s="13"/>
      <c r="AR1524" s="14"/>
      <c r="AS1524" s="15"/>
    </row>
    <row r="1525" spans="1:45" s="17" customFormat="1" ht="30.95" hidden="1" customHeight="1" x14ac:dyDescent="0.2">
      <c r="A1525" s="37" t="s">
        <v>1898</v>
      </c>
      <c r="B1525" s="38" t="s">
        <v>1412</v>
      </c>
      <c r="C1525" s="45"/>
      <c r="D1525" s="31"/>
      <c r="E1525" s="31"/>
      <c r="F1525" s="268"/>
      <c r="G1525" s="269"/>
      <c r="H1525" s="269"/>
      <c r="I1525" s="270"/>
      <c r="J1525" s="210" t="s">
        <v>1888</v>
      </c>
      <c r="K1525" s="270"/>
      <c r="L1525" s="270"/>
      <c r="M1525" s="39"/>
      <c r="N1525" s="39"/>
      <c r="O1525" s="156"/>
      <c r="P1525" s="47"/>
      <c r="Q1525" s="57"/>
      <c r="R1525" s="338"/>
      <c r="S1525" s="272"/>
      <c r="T1525" s="273"/>
      <c r="U1525" s="40"/>
      <c r="V1525" s="277"/>
      <c r="W1525" s="269"/>
      <c r="X1525" s="269"/>
      <c r="Y1525" s="275"/>
      <c r="Z1525" s="269"/>
      <c r="AA1525" s="57"/>
      <c r="AB1525" s="207"/>
      <c r="AC1525" s="33"/>
      <c r="AD1525" s="189"/>
      <c r="AE1525" s="54"/>
      <c r="AF1525" s="55"/>
      <c r="AG1525" s="43"/>
      <c r="AH1525" s="47"/>
      <c r="AI1525" s="30"/>
      <c r="AJ1525" s="30"/>
      <c r="AK1525" s="30"/>
      <c r="AL1525" s="30"/>
      <c r="AM1525" s="13"/>
      <c r="AN1525" s="13"/>
      <c r="AO1525" s="13"/>
      <c r="AP1525" s="13"/>
      <c r="AQ1525" s="13"/>
      <c r="AR1525" s="14"/>
      <c r="AS1525" s="15"/>
    </row>
    <row r="1526" spans="1:45" s="17" customFormat="1" ht="30.95" hidden="1" customHeight="1" x14ac:dyDescent="0.2">
      <c r="A1526" s="37"/>
      <c r="B1526" s="38"/>
      <c r="C1526" s="45"/>
      <c r="D1526" s="31"/>
      <c r="E1526" s="31"/>
      <c r="F1526" s="268"/>
      <c r="G1526" s="269"/>
      <c r="H1526" s="269"/>
      <c r="I1526" s="270"/>
      <c r="J1526" s="210"/>
      <c r="K1526" s="270"/>
      <c r="L1526" s="270"/>
      <c r="M1526" s="39"/>
      <c r="N1526" s="39"/>
      <c r="O1526" s="156"/>
      <c r="P1526" s="47"/>
      <c r="Q1526" s="57"/>
      <c r="R1526" s="338"/>
      <c r="S1526" s="272"/>
      <c r="T1526" s="273"/>
      <c r="U1526" s="40"/>
      <c r="V1526" s="277"/>
      <c r="W1526" s="269"/>
      <c r="X1526" s="269"/>
      <c r="Y1526" s="275"/>
      <c r="Z1526" s="269"/>
      <c r="AA1526" s="57"/>
      <c r="AB1526" s="207"/>
      <c r="AC1526" s="33"/>
      <c r="AD1526" s="189"/>
      <c r="AE1526" s="54"/>
      <c r="AF1526" s="55"/>
      <c r="AG1526" s="43"/>
      <c r="AH1526" s="47"/>
      <c r="AI1526" s="30"/>
      <c r="AJ1526" s="30"/>
      <c r="AK1526" s="30"/>
      <c r="AL1526" s="30"/>
      <c r="AM1526" s="13"/>
      <c r="AN1526" s="13"/>
      <c r="AO1526" s="13"/>
      <c r="AP1526" s="13"/>
      <c r="AQ1526" s="13"/>
      <c r="AR1526" s="14"/>
      <c r="AS1526" s="15"/>
    </row>
    <row r="1527" spans="1:45" s="17" customFormat="1" ht="30.95" hidden="1" customHeight="1" x14ac:dyDescent="0.2">
      <c r="A1527" s="37" t="s">
        <v>1899</v>
      </c>
      <c r="B1527" s="38" t="s">
        <v>1408</v>
      </c>
      <c r="C1527" s="45"/>
      <c r="D1527" s="31"/>
      <c r="E1527" s="31"/>
      <c r="F1527" s="268"/>
      <c r="G1527" s="269"/>
      <c r="H1527" s="269"/>
      <c r="I1527" s="270"/>
      <c r="J1527" s="210" t="s">
        <v>1888</v>
      </c>
      <c r="K1527" s="270"/>
      <c r="L1527" s="270"/>
      <c r="M1527" s="39"/>
      <c r="N1527" s="39"/>
      <c r="O1527" s="156"/>
      <c r="P1527" s="47"/>
      <c r="Q1527" s="57"/>
      <c r="R1527" s="338"/>
      <c r="S1527" s="272"/>
      <c r="T1527" s="273"/>
      <c r="U1527" s="40"/>
      <c r="V1527" s="277"/>
      <c r="W1527" s="269"/>
      <c r="X1527" s="269"/>
      <c r="Y1527" s="275"/>
      <c r="Z1527" s="269"/>
      <c r="AA1527" s="57"/>
      <c r="AB1527" s="207"/>
      <c r="AC1527" s="33"/>
      <c r="AD1527" s="189"/>
      <c r="AE1527" s="54"/>
      <c r="AF1527" s="55"/>
      <c r="AG1527" s="43"/>
      <c r="AH1527" s="47"/>
      <c r="AI1527" s="30"/>
      <c r="AJ1527" s="30"/>
      <c r="AK1527" s="30"/>
      <c r="AL1527" s="30"/>
      <c r="AM1527" s="13"/>
      <c r="AN1527" s="13"/>
      <c r="AO1527" s="13"/>
      <c r="AP1527" s="13"/>
      <c r="AQ1527" s="13"/>
      <c r="AR1527" s="14"/>
      <c r="AS1527" s="15"/>
    </row>
    <row r="1528" spans="1:45" s="17" customFormat="1" ht="30.95" hidden="1" customHeight="1" x14ac:dyDescent="0.2">
      <c r="A1528" s="37"/>
      <c r="B1528" s="38"/>
      <c r="C1528" s="45"/>
      <c r="D1528" s="31"/>
      <c r="E1528" s="31"/>
      <c r="F1528" s="268"/>
      <c r="G1528" s="269"/>
      <c r="H1528" s="269"/>
      <c r="I1528" s="270"/>
      <c r="J1528" s="210"/>
      <c r="K1528" s="270"/>
      <c r="L1528" s="270"/>
      <c r="M1528" s="39"/>
      <c r="N1528" s="39"/>
      <c r="O1528" s="156"/>
      <c r="P1528" s="47"/>
      <c r="Q1528" s="57"/>
      <c r="R1528" s="338"/>
      <c r="S1528" s="272"/>
      <c r="T1528" s="273"/>
      <c r="U1528" s="40"/>
      <c r="V1528" s="277"/>
      <c r="W1528" s="269"/>
      <c r="X1528" s="269"/>
      <c r="Y1528" s="275"/>
      <c r="Z1528" s="269"/>
      <c r="AA1528" s="57"/>
      <c r="AB1528" s="207"/>
      <c r="AC1528" s="33"/>
      <c r="AD1528" s="189"/>
      <c r="AE1528" s="54"/>
      <c r="AF1528" s="55"/>
      <c r="AG1528" s="43"/>
      <c r="AH1528" s="47"/>
      <c r="AI1528" s="30"/>
      <c r="AJ1528" s="30"/>
      <c r="AK1528" s="30"/>
      <c r="AL1528" s="30"/>
      <c r="AM1528" s="13"/>
      <c r="AN1528" s="13"/>
      <c r="AO1528" s="13"/>
      <c r="AP1528" s="13"/>
      <c r="AQ1528" s="13"/>
      <c r="AR1528" s="14"/>
      <c r="AS1528" s="15"/>
    </row>
    <row r="1529" spans="1:45" s="17" customFormat="1" ht="30.95" hidden="1" customHeight="1" x14ac:dyDescent="0.2">
      <c r="A1529" s="37" t="s">
        <v>1900</v>
      </c>
      <c r="B1529" s="38" t="s">
        <v>1409</v>
      </c>
      <c r="C1529" s="45"/>
      <c r="D1529" s="31"/>
      <c r="E1529" s="31"/>
      <c r="F1529" s="268"/>
      <c r="G1529" s="269"/>
      <c r="H1529" s="269"/>
      <c r="I1529" s="270"/>
      <c r="J1529" s="210" t="s">
        <v>1888</v>
      </c>
      <c r="K1529" s="270"/>
      <c r="L1529" s="270"/>
      <c r="M1529" s="39"/>
      <c r="N1529" s="39"/>
      <c r="O1529" s="156"/>
      <c r="P1529" s="47"/>
      <c r="Q1529" s="57"/>
      <c r="R1529" s="338"/>
      <c r="S1529" s="272"/>
      <c r="T1529" s="273"/>
      <c r="U1529" s="40"/>
      <c r="V1529" s="277"/>
      <c r="W1529" s="269"/>
      <c r="X1529" s="269"/>
      <c r="Y1529" s="275"/>
      <c r="Z1529" s="269"/>
      <c r="AA1529" s="57"/>
      <c r="AB1529" s="207"/>
      <c r="AC1529" s="33"/>
      <c r="AD1529" s="189"/>
      <c r="AE1529" s="54"/>
      <c r="AF1529" s="55"/>
      <c r="AG1529" s="43"/>
      <c r="AH1529" s="47"/>
      <c r="AI1529" s="30"/>
      <c r="AJ1529" s="30"/>
      <c r="AK1529" s="30"/>
      <c r="AL1529" s="30"/>
      <c r="AM1529" s="13"/>
      <c r="AN1529" s="13"/>
      <c r="AO1529" s="13"/>
      <c r="AP1529" s="13"/>
      <c r="AQ1529" s="13"/>
      <c r="AR1529" s="14"/>
      <c r="AS1529" s="15"/>
    </row>
    <row r="1530" spans="1:45" s="17" customFormat="1" ht="30.95" hidden="1" customHeight="1" x14ac:dyDescent="0.2">
      <c r="A1530" s="37"/>
      <c r="B1530" s="38"/>
      <c r="C1530" s="45"/>
      <c r="D1530" s="31"/>
      <c r="E1530" s="31"/>
      <c r="F1530" s="268"/>
      <c r="G1530" s="269"/>
      <c r="H1530" s="269"/>
      <c r="I1530" s="270"/>
      <c r="J1530" s="210"/>
      <c r="K1530" s="270"/>
      <c r="L1530" s="270"/>
      <c r="M1530" s="39"/>
      <c r="N1530" s="39"/>
      <c r="O1530" s="156"/>
      <c r="P1530" s="47"/>
      <c r="Q1530" s="57"/>
      <c r="R1530" s="338"/>
      <c r="S1530" s="272"/>
      <c r="T1530" s="273"/>
      <c r="U1530" s="40"/>
      <c r="V1530" s="277"/>
      <c r="W1530" s="269"/>
      <c r="X1530" s="269"/>
      <c r="Y1530" s="275"/>
      <c r="Z1530" s="269"/>
      <c r="AA1530" s="57"/>
      <c r="AB1530" s="207"/>
      <c r="AC1530" s="33"/>
      <c r="AD1530" s="189"/>
      <c r="AE1530" s="54"/>
      <c r="AF1530" s="55"/>
      <c r="AG1530" s="43"/>
      <c r="AH1530" s="47"/>
      <c r="AI1530" s="30"/>
      <c r="AJ1530" s="30"/>
      <c r="AK1530" s="30"/>
      <c r="AL1530" s="30"/>
      <c r="AM1530" s="13"/>
      <c r="AN1530" s="13"/>
      <c r="AO1530" s="13"/>
      <c r="AP1530" s="13"/>
      <c r="AQ1530" s="13"/>
      <c r="AR1530" s="14"/>
      <c r="AS1530" s="15"/>
    </row>
    <row r="1531" spans="1:45" s="17" customFormat="1" ht="30.95" hidden="1" customHeight="1" x14ac:dyDescent="0.2">
      <c r="A1531" s="37" t="s">
        <v>1901</v>
      </c>
      <c r="B1531" s="38" t="s">
        <v>1397</v>
      </c>
      <c r="C1531" s="45"/>
      <c r="D1531" s="31"/>
      <c r="E1531" s="31"/>
      <c r="F1531" s="268"/>
      <c r="G1531" s="269"/>
      <c r="H1531" s="269"/>
      <c r="I1531" s="270"/>
      <c r="J1531" s="210" t="s">
        <v>448</v>
      </c>
      <c r="K1531" s="270"/>
      <c r="L1531" s="270"/>
      <c r="M1531" s="39"/>
      <c r="N1531" s="39"/>
      <c r="O1531" s="156"/>
      <c r="P1531" s="47"/>
      <c r="Q1531" s="57"/>
      <c r="R1531" s="338"/>
      <c r="S1531" s="272"/>
      <c r="T1531" s="273"/>
      <c r="U1531" s="40"/>
      <c r="V1531" s="277"/>
      <c r="W1531" s="269"/>
      <c r="X1531" s="269"/>
      <c r="Y1531" s="275"/>
      <c r="Z1531" s="269"/>
      <c r="AA1531" s="57"/>
      <c r="AB1531" s="207"/>
      <c r="AC1531" s="33"/>
      <c r="AD1531" s="189"/>
      <c r="AE1531" s="54"/>
      <c r="AF1531" s="55"/>
      <c r="AG1531" s="43"/>
      <c r="AH1531" s="47"/>
      <c r="AI1531" s="30"/>
      <c r="AJ1531" s="30"/>
      <c r="AK1531" s="30"/>
      <c r="AL1531" s="30"/>
      <c r="AM1531" s="13"/>
      <c r="AN1531" s="13"/>
      <c r="AO1531" s="13"/>
      <c r="AP1531" s="13"/>
      <c r="AQ1531" s="13"/>
      <c r="AR1531" s="14"/>
      <c r="AS1531" s="15"/>
    </row>
    <row r="1532" spans="1:45" s="17" customFormat="1" ht="30.95" hidden="1" customHeight="1" x14ac:dyDescent="0.2">
      <c r="A1532" s="37"/>
      <c r="B1532" s="38"/>
      <c r="C1532" s="45"/>
      <c r="D1532" s="31"/>
      <c r="E1532" s="31"/>
      <c r="F1532" s="268"/>
      <c r="G1532" s="269"/>
      <c r="H1532" s="269"/>
      <c r="I1532" s="270"/>
      <c r="J1532" s="210"/>
      <c r="K1532" s="270"/>
      <c r="L1532" s="270"/>
      <c r="M1532" s="39"/>
      <c r="N1532" s="39"/>
      <c r="O1532" s="156"/>
      <c r="P1532" s="47"/>
      <c r="Q1532" s="57"/>
      <c r="R1532" s="338"/>
      <c r="S1532" s="272"/>
      <c r="T1532" s="273"/>
      <c r="U1532" s="40"/>
      <c r="V1532" s="277"/>
      <c r="W1532" s="269"/>
      <c r="X1532" s="269"/>
      <c r="Y1532" s="275"/>
      <c r="Z1532" s="269"/>
      <c r="AA1532" s="57"/>
      <c r="AB1532" s="207"/>
      <c r="AC1532" s="33"/>
      <c r="AD1532" s="189"/>
      <c r="AE1532" s="54"/>
      <c r="AF1532" s="55"/>
      <c r="AG1532" s="43"/>
      <c r="AH1532" s="47"/>
      <c r="AI1532" s="30"/>
      <c r="AJ1532" s="30"/>
      <c r="AK1532" s="30"/>
      <c r="AL1532" s="30"/>
      <c r="AM1532" s="13"/>
      <c r="AN1532" s="13"/>
      <c r="AO1532" s="13"/>
      <c r="AP1532" s="13"/>
      <c r="AQ1532" s="13"/>
      <c r="AR1532" s="14"/>
      <c r="AS1532" s="15"/>
    </row>
    <row r="1533" spans="1:45" s="17" customFormat="1" ht="30.95" hidden="1" customHeight="1" x14ac:dyDescent="0.2">
      <c r="A1533" s="37" t="s">
        <v>1902</v>
      </c>
      <c r="B1533" s="38" t="s">
        <v>392</v>
      </c>
      <c r="C1533" s="45"/>
      <c r="D1533" s="31"/>
      <c r="E1533" s="31"/>
      <c r="F1533" s="268"/>
      <c r="G1533" s="269"/>
      <c r="H1533" s="269"/>
      <c r="I1533" s="270"/>
      <c r="J1533" s="210" t="s">
        <v>448</v>
      </c>
      <c r="K1533" s="270"/>
      <c r="L1533" s="270"/>
      <c r="M1533" s="39"/>
      <c r="N1533" s="39"/>
      <c r="O1533" s="156"/>
      <c r="P1533" s="47"/>
      <c r="Q1533" s="57"/>
      <c r="R1533" s="338"/>
      <c r="S1533" s="272"/>
      <c r="T1533" s="273"/>
      <c r="U1533" s="40"/>
      <c r="V1533" s="277"/>
      <c r="W1533" s="269"/>
      <c r="X1533" s="269"/>
      <c r="Y1533" s="275"/>
      <c r="Z1533" s="269"/>
      <c r="AA1533" s="57"/>
      <c r="AB1533" s="207"/>
      <c r="AC1533" s="33"/>
      <c r="AD1533" s="189"/>
      <c r="AE1533" s="54"/>
      <c r="AF1533" s="55"/>
      <c r="AG1533" s="43"/>
      <c r="AH1533" s="47"/>
      <c r="AI1533" s="30"/>
      <c r="AJ1533" s="30"/>
      <c r="AK1533" s="30"/>
      <c r="AL1533" s="30"/>
      <c r="AM1533" s="13"/>
      <c r="AN1533" s="13"/>
      <c r="AO1533" s="13"/>
      <c r="AP1533" s="13"/>
      <c r="AQ1533" s="13"/>
      <c r="AR1533" s="14"/>
      <c r="AS1533" s="15"/>
    </row>
    <row r="1534" spans="1:45" s="17" customFormat="1" ht="30.95" hidden="1" customHeight="1" x14ac:dyDescent="0.2">
      <c r="A1534" s="37"/>
      <c r="B1534" s="38"/>
      <c r="C1534" s="45"/>
      <c r="D1534" s="31"/>
      <c r="E1534" s="31"/>
      <c r="F1534" s="268"/>
      <c r="G1534" s="269"/>
      <c r="H1534" s="269"/>
      <c r="I1534" s="270"/>
      <c r="J1534" s="210"/>
      <c r="K1534" s="270"/>
      <c r="L1534" s="270"/>
      <c r="M1534" s="39"/>
      <c r="N1534" s="39"/>
      <c r="O1534" s="156"/>
      <c r="P1534" s="47"/>
      <c r="Q1534" s="57"/>
      <c r="R1534" s="338"/>
      <c r="S1534" s="272"/>
      <c r="T1534" s="273"/>
      <c r="U1534" s="40"/>
      <c r="V1534" s="277"/>
      <c r="W1534" s="269"/>
      <c r="X1534" s="269"/>
      <c r="Y1534" s="275"/>
      <c r="Z1534" s="269"/>
      <c r="AA1534" s="57"/>
      <c r="AB1534" s="207"/>
      <c r="AC1534" s="33"/>
      <c r="AD1534" s="189"/>
      <c r="AE1534" s="54"/>
      <c r="AF1534" s="55"/>
      <c r="AG1534" s="43"/>
      <c r="AH1534" s="47"/>
      <c r="AI1534" s="30"/>
      <c r="AJ1534" s="30"/>
      <c r="AK1534" s="30"/>
      <c r="AL1534" s="30"/>
      <c r="AM1534" s="13"/>
      <c r="AN1534" s="13"/>
      <c r="AO1534" s="13"/>
      <c r="AP1534" s="13"/>
      <c r="AQ1534" s="13"/>
      <c r="AR1534" s="14"/>
      <c r="AS1534" s="15"/>
    </row>
    <row r="1535" spans="1:45" s="17" customFormat="1" ht="30.95" hidden="1" customHeight="1" x14ac:dyDescent="0.2">
      <c r="A1535" s="37" t="s">
        <v>1903</v>
      </c>
      <c r="B1535" s="38" t="s">
        <v>1402</v>
      </c>
      <c r="C1535" s="45"/>
      <c r="D1535" s="31"/>
      <c r="E1535" s="31"/>
      <c r="F1535" s="268"/>
      <c r="G1535" s="269"/>
      <c r="H1535" s="269"/>
      <c r="I1535" s="270"/>
      <c r="J1535" s="210" t="s">
        <v>1888</v>
      </c>
      <c r="K1535" s="270"/>
      <c r="L1535" s="270"/>
      <c r="M1535" s="39"/>
      <c r="N1535" s="39"/>
      <c r="O1535" s="156"/>
      <c r="P1535" s="47"/>
      <c r="Q1535" s="57"/>
      <c r="R1535" s="338"/>
      <c r="S1535" s="272"/>
      <c r="T1535" s="273"/>
      <c r="U1535" s="40"/>
      <c r="V1535" s="277"/>
      <c r="W1535" s="269"/>
      <c r="X1535" s="269"/>
      <c r="Y1535" s="275"/>
      <c r="Z1535" s="269"/>
      <c r="AA1535" s="57"/>
      <c r="AB1535" s="207"/>
      <c r="AC1535" s="33"/>
      <c r="AD1535" s="189"/>
      <c r="AE1535" s="54"/>
      <c r="AF1535" s="55"/>
      <c r="AG1535" s="43"/>
      <c r="AH1535" s="47"/>
      <c r="AI1535" s="30"/>
      <c r="AJ1535" s="30"/>
      <c r="AK1535" s="30"/>
      <c r="AL1535" s="30"/>
      <c r="AM1535" s="13"/>
      <c r="AN1535" s="13"/>
      <c r="AO1535" s="13"/>
      <c r="AP1535" s="13"/>
      <c r="AQ1535" s="13"/>
      <c r="AR1535" s="14"/>
      <c r="AS1535" s="15"/>
    </row>
    <row r="1536" spans="1:45" s="17" customFormat="1" ht="30.95" hidden="1" customHeight="1" x14ac:dyDescent="0.2">
      <c r="A1536" s="37"/>
      <c r="B1536" s="38"/>
      <c r="C1536" s="45"/>
      <c r="D1536" s="31"/>
      <c r="E1536" s="31"/>
      <c r="F1536" s="268"/>
      <c r="G1536" s="269"/>
      <c r="H1536" s="269"/>
      <c r="I1536" s="270"/>
      <c r="J1536" s="210"/>
      <c r="K1536" s="270"/>
      <c r="L1536" s="270"/>
      <c r="M1536" s="39"/>
      <c r="N1536" s="39"/>
      <c r="O1536" s="156"/>
      <c r="P1536" s="47"/>
      <c r="Q1536" s="57"/>
      <c r="R1536" s="338"/>
      <c r="S1536" s="272"/>
      <c r="T1536" s="273"/>
      <c r="U1536" s="40"/>
      <c r="V1536" s="277"/>
      <c r="W1536" s="269"/>
      <c r="X1536" s="269"/>
      <c r="Y1536" s="275"/>
      <c r="Z1536" s="269"/>
      <c r="AA1536" s="57"/>
      <c r="AB1536" s="207"/>
      <c r="AC1536" s="33"/>
      <c r="AD1536" s="189"/>
      <c r="AE1536" s="54"/>
      <c r="AF1536" s="55"/>
      <c r="AG1536" s="43"/>
      <c r="AH1536" s="47"/>
      <c r="AI1536" s="30"/>
      <c r="AJ1536" s="30"/>
      <c r="AK1536" s="30"/>
      <c r="AL1536" s="30"/>
      <c r="AM1536" s="13"/>
      <c r="AN1536" s="13"/>
      <c r="AO1536" s="13"/>
      <c r="AP1536" s="13"/>
      <c r="AQ1536" s="13"/>
      <c r="AR1536" s="14"/>
      <c r="AS1536" s="15"/>
    </row>
    <row r="1537" spans="1:45" s="17" customFormat="1" ht="30.95" hidden="1" customHeight="1" x14ac:dyDescent="0.2">
      <c r="A1537" s="37" t="s">
        <v>1904</v>
      </c>
      <c r="B1537" s="38" t="s">
        <v>1405</v>
      </c>
      <c r="C1537" s="45"/>
      <c r="D1537" s="31"/>
      <c r="E1537" s="31"/>
      <c r="F1537" s="268"/>
      <c r="G1537" s="269"/>
      <c r="H1537" s="269"/>
      <c r="I1537" s="270"/>
      <c r="J1537" s="210" t="s">
        <v>1888</v>
      </c>
      <c r="K1537" s="270"/>
      <c r="L1537" s="270"/>
      <c r="M1537" s="39"/>
      <c r="N1537" s="39"/>
      <c r="O1537" s="156"/>
      <c r="P1537" s="47"/>
      <c r="Q1537" s="57"/>
      <c r="R1537" s="338"/>
      <c r="S1537" s="272"/>
      <c r="T1537" s="273"/>
      <c r="U1537" s="40"/>
      <c r="V1537" s="277"/>
      <c r="W1537" s="269"/>
      <c r="X1537" s="269"/>
      <c r="Y1537" s="275"/>
      <c r="Z1537" s="269"/>
      <c r="AA1537" s="57"/>
      <c r="AB1537" s="207"/>
      <c r="AC1537" s="33"/>
      <c r="AD1537" s="189"/>
      <c r="AE1537" s="54"/>
      <c r="AF1537" s="55"/>
      <c r="AG1537" s="43"/>
      <c r="AH1537" s="47"/>
      <c r="AI1537" s="30"/>
      <c r="AJ1537" s="30"/>
      <c r="AK1537" s="30"/>
      <c r="AL1537" s="30"/>
      <c r="AM1537" s="13"/>
      <c r="AN1537" s="13"/>
      <c r="AO1537" s="13"/>
      <c r="AP1537" s="13"/>
      <c r="AQ1537" s="13"/>
      <c r="AR1537" s="14"/>
      <c r="AS1537" s="15"/>
    </row>
    <row r="1538" spans="1:45" s="17" customFormat="1" ht="30.95" hidden="1" customHeight="1" x14ac:dyDescent="0.2">
      <c r="A1538" s="37"/>
      <c r="B1538" s="38"/>
      <c r="C1538" s="45"/>
      <c r="D1538" s="31"/>
      <c r="E1538" s="31"/>
      <c r="F1538" s="268"/>
      <c r="G1538" s="269"/>
      <c r="H1538" s="269"/>
      <c r="I1538" s="270"/>
      <c r="J1538" s="210"/>
      <c r="K1538" s="270"/>
      <c r="L1538" s="270"/>
      <c r="M1538" s="39"/>
      <c r="N1538" s="39"/>
      <c r="O1538" s="156"/>
      <c r="P1538" s="47"/>
      <c r="Q1538" s="57"/>
      <c r="R1538" s="338"/>
      <c r="S1538" s="272"/>
      <c r="T1538" s="273"/>
      <c r="U1538" s="40"/>
      <c r="V1538" s="277"/>
      <c r="W1538" s="269"/>
      <c r="X1538" s="269"/>
      <c r="Y1538" s="275"/>
      <c r="Z1538" s="269"/>
      <c r="AA1538" s="57"/>
      <c r="AB1538" s="207"/>
      <c r="AC1538" s="33"/>
      <c r="AD1538" s="189"/>
      <c r="AE1538" s="54"/>
      <c r="AF1538" s="55"/>
      <c r="AG1538" s="43"/>
      <c r="AH1538" s="47"/>
      <c r="AI1538" s="30"/>
      <c r="AJ1538" s="30"/>
      <c r="AK1538" s="30"/>
      <c r="AL1538" s="30"/>
      <c r="AM1538" s="13"/>
      <c r="AN1538" s="13"/>
      <c r="AO1538" s="13"/>
      <c r="AP1538" s="13"/>
      <c r="AQ1538" s="13"/>
      <c r="AR1538" s="14"/>
      <c r="AS1538" s="15"/>
    </row>
    <row r="1539" spans="1:45" s="17" customFormat="1" ht="30.95" hidden="1" customHeight="1" x14ac:dyDescent="0.2">
      <c r="A1539" s="37" t="s">
        <v>1905</v>
      </c>
      <c r="B1539" s="38" t="s">
        <v>1412</v>
      </c>
      <c r="C1539" s="45"/>
      <c r="D1539" s="31"/>
      <c r="E1539" s="31"/>
      <c r="F1539" s="268"/>
      <c r="G1539" s="269"/>
      <c r="H1539" s="269"/>
      <c r="I1539" s="270"/>
      <c r="J1539" s="210" t="s">
        <v>1888</v>
      </c>
      <c r="K1539" s="270"/>
      <c r="L1539" s="270"/>
      <c r="M1539" s="39"/>
      <c r="N1539" s="39"/>
      <c r="O1539" s="156"/>
      <c r="P1539" s="47"/>
      <c r="Q1539" s="57"/>
      <c r="R1539" s="338"/>
      <c r="S1539" s="272"/>
      <c r="T1539" s="273"/>
      <c r="U1539" s="40"/>
      <c r="V1539" s="277"/>
      <c r="W1539" s="269"/>
      <c r="X1539" s="269"/>
      <c r="Y1539" s="275"/>
      <c r="Z1539" s="269"/>
      <c r="AA1539" s="57"/>
      <c r="AB1539" s="207"/>
      <c r="AC1539" s="33"/>
      <c r="AD1539" s="189"/>
      <c r="AE1539" s="54"/>
      <c r="AF1539" s="55"/>
      <c r="AG1539" s="43"/>
      <c r="AH1539" s="47"/>
      <c r="AI1539" s="30"/>
      <c r="AJ1539" s="30"/>
      <c r="AK1539" s="30"/>
      <c r="AL1539" s="30"/>
      <c r="AM1539" s="13"/>
      <c r="AN1539" s="13"/>
      <c r="AO1539" s="13"/>
      <c r="AP1539" s="13"/>
      <c r="AQ1539" s="13"/>
      <c r="AR1539" s="14"/>
      <c r="AS1539" s="15"/>
    </row>
    <row r="1540" spans="1:45" s="17" customFormat="1" ht="30.95" hidden="1" customHeight="1" x14ac:dyDescent="0.2">
      <c r="A1540" s="37"/>
      <c r="B1540" s="38"/>
      <c r="C1540" s="45"/>
      <c r="D1540" s="31"/>
      <c r="E1540" s="31"/>
      <c r="F1540" s="268"/>
      <c r="G1540" s="269"/>
      <c r="H1540" s="269"/>
      <c r="I1540" s="270"/>
      <c r="J1540" s="210"/>
      <c r="K1540" s="270"/>
      <c r="L1540" s="270"/>
      <c r="M1540" s="39"/>
      <c r="N1540" s="39"/>
      <c r="O1540" s="156"/>
      <c r="P1540" s="47"/>
      <c r="Q1540" s="57"/>
      <c r="R1540" s="338"/>
      <c r="S1540" s="272"/>
      <c r="T1540" s="273"/>
      <c r="U1540" s="40"/>
      <c r="V1540" s="277"/>
      <c r="W1540" s="269"/>
      <c r="X1540" s="269"/>
      <c r="Y1540" s="275"/>
      <c r="Z1540" s="269"/>
      <c r="AA1540" s="57"/>
      <c r="AB1540" s="207"/>
      <c r="AC1540" s="33"/>
      <c r="AD1540" s="189"/>
      <c r="AE1540" s="54"/>
      <c r="AF1540" s="55"/>
      <c r="AG1540" s="43"/>
      <c r="AH1540" s="47"/>
      <c r="AI1540" s="30"/>
      <c r="AJ1540" s="30"/>
      <c r="AK1540" s="30"/>
      <c r="AL1540" s="30"/>
      <c r="AM1540" s="13"/>
      <c r="AN1540" s="13"/>
      <c r="AO1540" s="13"/>
      <c r="AP1540" s="13"/>
      <c r="AQ1540" s="13"/>
      <c r="AR1540" s="14"/>
      <c r="AS1540" s="15"/>
    </row>
    <row r="1541" spans="1:45" s="17" customFormat="1" ht="30.95" hidden="1" customHeight="1" x14ac:dyDescent="0.2">
      <c r="A1541" s="37" t="s">
        <v>1906</v>
      </c>
      <c r="B1541" s="38" t="s">
        <v>1408</v>
      </c>
      <c r="C1541" s="45"/>
      <c r="D1541" s="31"/>
      <c r="E1541" s="31"/>
      <c r="F1541" s="268"/>
      <c r="G1541" s="269"/>
      <c r="H1541" s="269"/>
      <c r="I1541" s="270"/>
      <c r="J1541" s="210" t="s">
        <v>1888</v>
      </c>
      <c r="K1541" s="270"/>
      <c r="L1541" s="270"/>
      <c r="M1541" s="39"/>
      <c r="N1541" s="39"/>
      <c r="O1541" s="156"/>
      <c r="P1541" s="47"/>
      <c r="Q1541" s="57"/>
      <c r="R1541" s="338"/>
      <c r="S1541" s="272"/>
      <c r="T1541" s="273"/>
      <c r="U1541" s="40"/>
      <c r="V1541" s="277"/>
      <c r="W1541" s="269"/>
      <c r="X1541" s="269"/>
      <c r="Y1541" s="275"/>
      <c r="Z1541" s="269"/>
      <c r="AA1541" s="57"/>
      <c r="AB1541" s="207"/>
      <c r="AC1541" s="33"/>
      <c r="AD1541" s="189"/>
      <c r="AE1541" s="54"/>
      <c r="AF1541" s="55"/>
      <c r="AG1541" s="43"/>
      <c r="AH1541" s="47"/>
      <c r="AI1541" s="30"/>
      <c r="AJ1541" s="30"/>
      <c r="AK1541" s="30"/>
      <c r="AL1541" s="30"/>
      <c r="AM1541" s="13"/>
      <c r="AN1541" s="13"/>
      <c r="AO1541" s="13"/>
      <c r="AP1541" s="13"/>
      <c r="AQ1541" s="13"/>
      <c r="AR1541" s="14"/>
      <c r="AS1541" s="15"/>
    </row>
    <row r="1542" spans="1:45" s="17" customFormat="1" ht="30.95" hidden="1" customHeight="1" x14ac:dyDescent="0.2">
      <c r="A1542" s="37"/>
      <c r="B1542" s="38"/>
      <c r="C1542" s="45"/>
      <c r="D1542" s="31"/>
      <c r="E1542" s="31"/>
      <c r="F1542" s="268"/>
      <c r="G1542" s="269"/>
      <c r="H1542" s="269"/>
      <c r="I1542" s="270"/>
      <c r="J1542" s="210"/>
      <c r="K1542" s="270"/>
      <c r="L1542" s="270"/>
      <c r="M1542" s="39"/>
      <c r="N1542" s="39"/>
      <c r="O1542" s="156"/>
      <c r="P1542" s="47"/>
      <c r="Q1542" s="57"/>
      <c r="R1542" s="338"/>
      <c r="S1542" s="272"/>
      <c r="T1542" s="273"/>
      <c r="U1542" s="40"/>
      <c r="V1542" s="277"/>
      <c r="W1542" s="269"/>
      <c r="X1542" s="269"/>
      <c r="Y1542" s="275"/>
      <c r="Z1542" s="269"/>
      <c r="AA1542" s="57"/>
      <c r="AB1542" s="207"/>
      <c r="AC1542" s="33"/>
      <c r="AD1542" s="189"/>
      <c r="AE1542" s="54"/>
      <c r="AF1542" s="55"/>
      <c r="AG1542" s="43"/>
      <c r="AH1542" s="47"/>
      <c r="AI1542" s="30"/>
      <c r="AJ1542" s="30"/>
      <c r="AK1542" s="30"/>
      <c r="AL1542" s="30"/>
      <c r="AM1542" s="13"/>
      <c r="AN1542" s="13"/>
      <c r="AO1542" s="13"/>
      <c r="AP1542" s="13"/>
      <c r="AQ1542" s="13"/>
      <c r="AR1542" s="14"/>
      <c r="AS1542" s="15"/>
    </row>
    <row r="1543" spans="1:45" s="17" customFormat="1" ht="30.95" hidden="1" customHeight="1" x14ac:dyDescent="0.2">
      <c r="A1543" s="37" t="s">
        <v>1907</v>
      </c>
      <c r="B1543" s="38" t="s">
        <v>1409</v>
      </c>
      <c r="C1543" s="45"/>
      <c r="D1543" s="31"/>
      <c r="E1543" s="31"/>
      <c r="F1543" s="268"/>
      <c r="G1543" s="269"/>
      <c r="H1543" s="269"/>
      <c r="I1543" s="270"/>
      <c r="J1543" s="210" t="s">
        <v>1888</v>
      </c>
      <c r="K1543" s="270"/>
      <c r="L1543" s="270"/>
      <c r="M1543" s="39"/>
      <c r="N1543" s="39"/>
      <c r="O1543" s="156"/>
      <c r="P1543" s="47"/>
      <c r="Q1543" s="57"/>
      <c r="R1543" s="338"/>
      <c r="S1543" s="272"/>
      <c r="T1543" s="273"/>
      <c r="U1543" s="40"/>
      <c r="V1543" s="277"/>
      <c r="W1543" s="269"/>
      <c r="X1543" s="269"/>
      <c r="Y1543" s="275"/>
      <c r="Z1543" s="269"/>
      <c r="AA1543" s="57"/>
      <c r="AB1543" s="207"/>
      <c r="AC1543" s="33"/>
      <c r="AD1543" s="189"/>
      <c r="AE1543" s="54"/>
      <c r="AF1543" s="55"/>
      <c r="AG1543" s="43"/>
      <c r="AH1543" s="47"/>
      <c r="AI1543" s="30"/>
      <c r="AJ1543" s="30"/>
      <c r="AK1543" s="30"/>
      <c r="AL1543" s="30"/>
      <c r="AM1543" s="13"/>
      <c r="AN1543" s="13"/>
      <c r="AO1543" s="13"/>
      <c r="AP1543" s="13"/>
      <c r="AQ1543" s="13"/>
      <c r="AR1543" s="14"/>
      <c r="AS1543" s="15"/>
    </row>
    <row r="1544" spans="1:45" s="17" customFormat="1" ht="30.95" hidden="1" customHeight="1" x14ac:dyDescent="0.2">
      <c r="A1544" s="37"/>
      <c r="B1544" s="38"/>
      <c r="C1544" s="45"/>
      <c r="D1544" s="31"/>
      <c r="E1544" s="31"/>
      <c r="F1544" s="268"/>
      <c r="G1544" s="269"/>
      <c r="H1544" s="269"/>
      <c r="I1544" s="270"/>
      <c r="J1544" s="210"/>
      <c r="K1544" s="270"/>
      <c r="L1544" s="270"/>
      <c r="M1544" s="39"/>
      <c r="N1544" s="39"/>
      <c r="O1544" s="156"/>
      <c r="P1544" s="47"/>
      <c r="Q1544" s="57"/>
      <c r="R1544" s="338"/>
      <c r="S1544" s="272"/>
      <c r="T1544" s="273"/>
      <c r="U1544" s="40"/>
      <c r="V1544" s="277"/>
      <c r="W1544" s="269"/>
      <c r="X1544" s="269"/>
      <c r="Y1544" s="275"/>
      <c r="Z1544" s="269"/>
      <c r="AA1544" s="57"/>
      <c r="AB1544" s="207"/>
      <c r="AC1544" s="33"/>
      <c r="AD1544" s="189"/>
      <c r="AE1544" s="54"/>
      <c r="AF1544" s="55"/>
      <c r="AG1544" s="43"/>
      <c r="AH1544" s="47"/>
      <c r="AI1544" s="30"/>
      <c r="AJ1544" s="30"/>
      <c r="AK1544" s="30"/>
      <c r="AL1544" s="30"/>
      <c r="AM1544" s="13"/>
      <c r="AN1544" s="13"/>
      <c r="AO1544" s="13"/>
      <c r="AP1544" s="13"/>
      <c r="AQ1544" s="13"/>
      <c r="AR1544" s="14"/>
      <c r="AS1544" s="15"/>
    </row>
    <row r="1545" spans="1:45" s="17" customFormat="1" ht="30.95" hidden="1" customHeight="1" x14ac:dyDescent="0.2">
      <c r="A1545" s="37" t="s">
        <v>1908</v>
      </c>
      <c r="B1545" s="38" t="s">
        <v>1397</v>
      </c>
      <c r="C1545" s="45"/>
      <c r="D1545" s="31"/>
      <c r="E1545" s="31"/>
      <c r="F1545" s="268"/>
      <c r="G1545" s="269"/>
      <c r="H1545" s="269"/>
      <c r="I1545" s="270"/>
      <c r="J1545" s="210" t="s">
        <v>448</v>
      </c>
      <c r="K1545" s="270"/>
      <c r="L1545" s="270"/>
      <c r="M1545" s="39"/>
      <c r="N1545" s="39"/>
      <c r="O1545" s="156"/>
      <c r="P1545" s="47"/>
      <c r="Q1545" s="57"/>
      <c r="R1545" s="338"/>
      <c r="S1545" s="272"/>
      <c r="T1545" s="273"/>
      <c r="U1545" s="40"/>
      <c r="V1545" s="277"/>
      <c r="W1545" s="269"/>
      <c r="X1545" s="269"/>
      <c r="Y1545" s="275"/>
      <c r="Z1545" s="269"/>
      <c r="AA1545" s="57"/>
      <c r="AB1545" s="207"/>
      <c r="AC1545" s="33"/>
      <c r="AD1545" s="189"/>
      <c r="AE1545" s="54"/>
      <c r="AF1545" s="55"/>
      <c r="AG1545" s="43"/>
      <c r="AH1545" s="47"/>
      <c r="AI1545" s="30"/>
      <c r="AJ1545" s="30"/>
      <c r="AK1545" s="30"/>
      <c r="AL1545" s="30"/>
      <c r="AM1545" s="13"/>
      <c r="AN1545" s="13"/>
      <c r="AO1545" s="13"/>
      <c r="AP1545" s="13"/>
      <c r="AQ1545" s="13"/>
      <c r="AR1545" s="14"/>
      <c r="AS1545" s="15"/>
    </row>
    <row r="1546" spans="1:45" s="17" customFormat="1" ht="30.95" hidden="1" customHeight="1" x14ac:dyDescent="0.2">
      <c r="A1546" s="37"/>
      <c r="B1546" s="38"/>
      <c r="C1546" s="45"/>
      <c r="D1546" s="31"/>
      <c r="E1546" s="31"/>
      <c r="F1546" s="268"/>
      <c r="G1546" s="269"/>
      <c r="H1546" s="269"/>
      <c r="I1546" s="270"/>
      <c r="J1546" s="210"/>
      <c r="K1546" s="270"/>
      <c r="L1546" s="270"/>
      <c r="M1546" s="39"/>
      <c r="N1546" s="39"/>
      <c r="O1546" s="156"/>
      <c r="P1546" s="47"/>
      <c r="Q1546" s="57"/>
      <c r="R1546" s="338"/>
      <c r="S1546" s="272"/>
      <c r="T1546" s="273"/>
      <c r="U1546" s="40"/>
      <c r="V1546" s="277"/>
      <c r="W1546" s="269"/>
      <c r="X1546" s="269"/>
      <c r="Y1546" s="275"/>
      <c r="Z1546" s="269"/>
      <c r="AA1546" s="57"/>
      <c r="AB1546" s="207"/>
      <c r="AC1546" s="33"/>
      <c r="AD1546" s="189"/>
      <c r="AE1546" s="54"/>
      <c r="AF1546" s="55"/>
      <c r="AG1546" s="43"/>
      <c r="AH1546" s="47"/>
      <c r="AI1546" s="30"/>
      <c r="AJ1546" s="30"/>
      <c r="AK1546" s="30"/>
      <c r="AL1546" s="30"/>
      <c r="AM1546" s="13"/>
      <c r="AN1546" s="13"/>
      <c r="AO1546" s="13"/>
      <c r="AP1546" s="13"/>
      <c r="AQ1546" s="13"/>
      <c r="AR1546" s="14"/>
      <c r="AS1546" s="15"/>
    </row>
    <row r="1547" spans="1:45" s="17" customFormat="1" ht="30.95" hidden="1" customHeight="1" x14ac:dyDescent="0.2">
      <c r="A1547" s="37" t="s">
        <v>1909</v>
      </c>
      <c r="B1547" s="38" t="s">
        <v>392</v>
      </c>
      <c r="C1547" s="45"/>
      <c r="D1547" s="31"/>
      <c r="E1547" s="31"/>
      <c r="F1547" s="268"/>
      <c r="G1547" s="269"/>
      <c r="H1547" s="269"/>
      <c r="I1547" s="270"/>
      <c r="J1547" s="210" t="s">
        <v>448</v>
      </c>
      <c r="K1547" s="270"/>
      <c r="L1547" s="270"/>
      <c r="M1547" s="39"/>
      <c r="N1547" s="39"/>
      <c r="O1547" s="156"/>
      <c r="P1547" s="47"/>
      <c r="Q1547" s="57"/>
      <c r="R1547" s="338"/>
      <c r="S1547" s="272"/>
      <c r="T1547" s="273"/>
      <c r="U1547" s="40"/>
      <c r="V1547" s="277"/>
      <c r="W1547" s="269"/>
      <c r="X1547" s="269"/>
      <c r="Y1547" s="275"/>
      <c r="Z1547" s="269"/>
      <c r="AA1547" s="57"/>
      <c r="AB1547" s="207"/>
      <c r="AC1547" s="33"/>
      <c r="AD1547" s="189"/>
      <c r="AE1547" s="54"/>
      <c r="AF1547" s="55"/>
      <c r="AG1547" s="43"/>
      <c r="AH1547" s="47"/>
      <c r="AI1547" s="30"/>
      <c r="AJ1547" s="30"/>
      <c r="AK1547" s="30"/>
      <c r="AL1547" s="30"/>
      <c r="AM1547" s="13"/>
      <c r="AN1547" s="13"/>
      <c r="AO1547" s="13"/>
      <c r="AP1547" s="13"/>
      <c r="AQ1547" s="13"/>
      <c r="AR1547" s="14"/>
      <c r="AS1547" s="15"/>
    </row>
    <row r="1548" spans="1:45" s="17" customFormat="1" ht="30.95" hidden="1" customHeight="1" x14ac:dyDescent="0.2">
      <c r="A1548" s="37"/>
      <c r="B1548" s="38"/>
      <c r="C1548" s="45"/>
      <c r="D1548" s="31"/>
      <c r="E1548" s="31"/>
      <c r="F1548" s="268"/>
      <c r="G1548" s="269"/>
      <c r="H1548" s="269"/>
      <c r="I1548" s="270"/>
      <c r="J1548" s="210"/>
      <c r="K1548" s="270"/>
      <c r="L1548" s="270"/>
      <c r="M1548" s="39"/>
      <c r="N1548" s="39"/>
      <c r="O1548" s="156"/>
      <c r="P1548" s="47"/>
      <c r="Q1548" s="57"/>
      <c r="R1548" s="338"/>
      <c r="S1548" s="272"/>
      <c r="T1548" s="273"/>
      <c r="U1548" s="40"/>
      <c r="V1548" s="277"/>
      <c r="W1548" s="269"/>
      <c r="X1548" s="269"/>
      <c r="Y1548" s="275"/>
      <c r="Z1548" s="269"/>
      <c r="AA1548" s="57"/>
      <c r="AB1548" s="207"/>
      <c r="AC1548" s="33"/>
      <c r="AD1548" s="189"/>
      <c r="AE1548" s="54"/>
      <c r="AF1548" s="55"/>
      <c r="AG1548" s="43"/>
      <c r="AH1548" s="47"/>
      <c r="AI1548" s="30"/>
      <c r="AJ1548" s="30"/>
      <c r="AK1548" s="30"/>
      <c r="AL1548" s="30"/>
      <c r="AM1548" s="13"/>
      <c r="AN1548" s="13"/>
      <c r="AO1548" s="13"/>
      <c r="AP1548" s="13"/>
      <c r="AQ1548" s="13"/>
      <c r="AR1548" s="14"/>
      <c r="AS1548" s="15"/>
    </row>
    <row r="1549" spans="1:45" s="17" customFormat="1" ht="30.95" hidden="1" customHeight="1" x14ac:dyDescent="0.2">
      <c r="A1549" s="37" t="s">
        <v>1910</v>
      </c>
      <c r="B1549" s="38" t="s">
        <v>1402</v>
      </c>
      <c r="C1549" s="45"/>
      <c r="D1549" s="31"/>
      <c r="E1549" s="31"/>
      <c r="F1549" s="268"/>
      <c r="G1549" s="269"/>
      <c r="H1549" s="269"/>
      <c r="I1549" s="270"/>
      <c r="J1549" s="210" t="s">
        <v>1888</v>
      </c>
      <c r="K1549" s="270"/>
      <c r="L1549" s="270"/>
      <c r="M1549" s="39"/>
      <c r="N1549" s="39"/>
      <c r="O1549" s="156"/>
      <c r="P1549" s="47"/>
      <c r="Q1549" s="57"/>
      <c r="R1549" s="338"/>
      <c r="S1549" s="272"/>
      <c r="T1549" s="273"/>
      <c r="U1549" s="40"/>
      <c r="V1549" s="277"/>
      <c r="W1549" s="269"/>
      <c r="X1549" s="269"/>
      <c r="Y1549" s="275"/>
      <c r="Z1549" s="269"/>
      <c r="AA1549" s="57"/>
      <c r="AB1549" s="207"/>
      <c r="AC1549" s="33"/>
      <c r="AD1549" s="189"/>
      <c r="AE1549" s="54"/>
      <c r="AF1549" s="55"/>
      <c r="AG1549" s="43"/>
      <c r="AH1549" s="47"/>
      <c r="AI1549" s="30"/>
      <c r="AJ1549" s="30"/>
      <c r="AK1549" s="30"/>
      <c r="AL1549" s="30"/>
      <c r="AM1549" s="13"/>
      <c r="AN1549" s="13"/>
      <c r="AO1549" s="13"/>
      <c r="AP1549" s="13"/>
      <c r="AQ1549" s="13"/>
      <c r="AR1549" s="14"/>
      <c r="AS1549" s="15"/>
    </row>
    <row r="1550" spans="1:45" s="17" customFormat="1" ht="30.95" hidden="1" customHeight="1" x14ac:dyDescent="0.2">
      <c r="A1550" s="37"/>
      <c r="B1550" s="38"/>
      <c r="C1550" s="45"/>
      <c r="D1550" s="31"/>
      <c r="E1550" s="31"/>
      <c r="F1550" s="268"/>
      <c r="G1550" s="269"/>
      <c r="H1550" s="269"/>
      <c r="I1550" s="270"/>
      <c r="J1550" s="210"/>
      <c r="K1550" s="270"/>
      <c r="L1550" s="270"/>
      <c r="M1550" s="39"/>
      <c r="N1550" s="39"/>
      <c r="O1550" s="156"/>
      <c r="P1550" s="47"/>
      <c r="Q1550" s="57"/>
      <c r="R1550" s="338"/>
      <c r="S1550" s="272"/>
      <c r="T1550" s="273"/>
      <c r="U1550" s="40"/>
      <c r="V1550" s="277"/>
      <c r="W1550" s="269"/>
      <c r="X1550" s="269"/>
      <c r="Y1550" s="275"/>
      <c r="Z1550" s="269"/>
      <c r="AA1550" s="57"/>
      <c r="AB1550" s="207"/>
      <c r="AC1550" s="33"/>
      <c r="AD1550" s="189"/>
      <c r="AE1550" s="54"/>
      <c r="AF1550" s="55"/>
      <c r="AG1550" s="43"/>
      <c r="AH1550" s="47"/>
      <c r="AI1550" s="30"/>
      <c r="AJ1550" s="30"/>
      <c r="AK1550" s="30"/>
      <c r="AL1550" s="30"/>
      <c r="AM1550" s="13"/>
      <c r="AN1550" s="13"/>
      <c r="AO1550" s="13"/>
      <c r="AP1550" s="13"/>
      <c r="AQ1550" s="13"/>
      <c r="AR1550" s="14"/>
      <c r="AS1550" s="15"/>
    </row>
    <row r="1551" spans="1:45" s="17" customFormat="1" ht="30.95" hidden="1" customHeight="1" x14ac:dyDescent="0.2">
      <c r="A1551" s="37" t="s">
        <v>1911</v>
      </c>
      <c r="B1551" s="38" t="s">
        <v>1405</v>
      </c>
      <c r="C1551" s="45"/>
      <c r="D1551" s="31"/>
      <c r="E1551" s="31"/>
      <c r="F1551" s="268"/>
      <c r="G1551" s="269"/>
      <c r="H1551" s="269"/>
      <c r="I1551" s="270"/>
      <c r="J1551" s="210" t="s">
        <v>1888</v>
      </c>
      <c r="K1551" s="270"/>
      <c r="L1551" s="270"/>
      <c r="M1551" s="39"/>
      <c r="N1551" s="39"/>
      <c r="O1551" s="156"/>
      <c r="P1551" s="47"/>
      <c r="Q1551" s="57"/>
      <c r="R1551" s="338"/>
      <c r="S1551" s="272"/>
      <c r="T1551" s="273"/>
      <c r="U1551" s="40"/>
      <c r="V1551" s="277"/>
      <c r="W1551" s="269"/>
      <c r="X1551" s="269"/>
      <c r="Y1551" s="275"/>
      <c r="Z1551" s="269"/>
      <c r="AA1551" s="57"/>
      <c r="AB1551" s="207"/>
      <c r="AC1551" s="33"/>
      <c r="AD1551" s="189"/>
      <c r="AE1551" s="54"/>
      <c r="AF1551" s="55"/>
      <c r="AG1551" s="43"/>
      <c r="AH1551" s="47"/>
      <c r="AI1551" s="30"/>
      <c r="AJ1551" s="30"/>
      <c r="AK1551" s="30"/>
      <c r="AL1551" s="30"/>
      <c r="AM1551" s="13"/>
      <c r="AN1551" s="13"/>
      <c r="AO1551" s="13"/>
      <c r="AP1551" s="13"/>
      <c r="AQ1551" s="13"/>
      <c r="AR1551" s="14"/>
      <c r="AS1551" s="15"/>
    </row>
    <row r="1552" spans="1:45" s="17" customFormat="1" ht="30.95" hidden="1" customHeight="1" x14ac:dyDescent="0.2">
      <c r="A1552" s="37"/>
      <c r="B1552" s="38"/>
      <c r="C1552" s="45"/>
      <c r="D1552" s="31"/>
      <c r="E1552" s="31"/>
      <c r="F1552" s="268"/>
      <c r="G1552" s="269"/>
      <c r="H1552" s="269"/>
      <c r="I1552" s="270"/>
      <c r="J1552" s="210"/>
      <c r="K1552" s="270"/>
      <c r="L1552" s="270"/>
      <c r="M1552" s="39"/>
      <c r="N1552" s="39"/>
      <c r="O1552" s="156"/>
      <c r="P1552" s="47"/>
      <c r="Q1552" s="57"/>
      <c r="R1552" s="338"/>
      <c r="S1552" s="272"/>
      <c r="T1552" s="273"/>
      <c r="U1552" s="40"/>
      <c r="V1552" s="277"/>
      <c r="W1552" s="269"/>
      <c r="X1552" s="269"/>
      <c r="Y1552" s="275"/>
      <c r="Z1552" s="269"/>
      <c r="AA1552" s="57"/>
      <c r="AB1552" s="207"/>
      <c r="AC1552" s="33"/>
      <c r="AD1552" s="189"/>
      <c r="AE1552" s="54"/>
      <c r="AF1552" s="55"/>
      <c r="AG1552" s="43"/>
      <c r="AH1552" s="47"/>
      <c r="AI1552" s="30"/>
      <c r="AJ1552" s="30"/>
      <c r="AK1552" s="30"/>
      <c r="AL1552" s="30"/>
      <c r="AM1552" s="13"/>
      <c r="AN1552" s="13"/>
      <c r="AO1552" s="13"/>
      <c r="AP1552" s="13"/>
      <c r="AQ1552" s="13"/>
      <c r="AR1552" s="14"/>
      <c r="AS1552" s="15"/>
    </row>
    <row r="1553" spans="1:45" s="17" customFormat="1" ht="30.95" hidden="1" customHeight="1" x14ac:dyDescent="0.2">
      <c r="A1553" s="37" t="s">
        <v>1912</v>
      </c>
      <c r="B1553" s="38" t="s">
        <v>1412</v>
      </c>
      <c r="C1553" s="45"/>
      <c r="D1553" s="31"/>
      <c r="E1553" s="31"/>
      <c r="F1553" s="268"/>
      <c r="G1553" s="269"/>
      <c r="H1553" s="269"/>
      <c r="I1553" s="270"/>
      <c r="J1553" s="210" t="s">
        <v>1888</v>
      </c>
      <c r="K1553" s="270"/>
      <c r="L1553" s="270"/>
      <c r="M1553" s="39"/>
      <c r="N1553" s="39"/>
      <c r="O1553" s="156"/>
      <c r="P1553" s="47"/>
      <c r="Q1553" s="57"/>
      <c r="R1553" s="338"/>
      <c r="S1553" s="272"/>
      <c r="T1553" s="273"/>
      <c r="U1553" s="40"/>
      <c r="V1553" s="277"/>
      <c r="W1553" s="269"/>
      <c r="X1553" s="269"/>
      <c r="Y1553" s="275"/>
      <c r="Z1553" s="269"/>
      <c r="AA1553" s="57"/>
      <c r="AB1553" s="207"/>
      <c r="AC1553" s="33"/>
      <c r="AD1553" s="189"/>
      <c r="AE1553" s="54"/>
      <c r="AF1553" s="55"/>
      <c r="AG1553" s="43"/>
      <c r="AH1553" s="47"/>
      <c r="AI1553" s="30"/>
      <c r="AJ1553" s="30"/>
      <c r="AK1553" s="30"/>
      <c r="AL1553" s="30"/>
      <c r="AM1553" s="13"/>
      <c r="AN1553" s="13"/>
      <c r="AO1553" s="13"/>
      <c r="AP1553" s="13"/>
      <c r="AQ1553" s="13"/>
      <c r="AR1553" s="14"/>
      <c r="AS1553" s="15"/>
    </row>
    <row r="1554" spans="1:45" s="17" customFormat="1" ht="30.95" hidden="1" customHeight="1" x14ac:dyDescent="0.2">
      <c r="A1554" s="37"/>
      <c r="B1554" s="38"/>
      <c r="C1554" s="45"/>
      <c r="D1554" s="31"/>
      <c r="E1554" s="31"/>
      <c r="F1554" s="268"/>
      <c r="G1554" s="269"/>
      <c r="H1554" s="269"/>
      <c r="I1554" s="270"/>
      <c r="J1554" s="210"/>
      <c r="K1554" s="270"/>
      <c r="L1554" s="270"/>
      <c r="M1554" s="39"/>
      <c r="N1554" s="39"/>
      <c r="O1554" s="156"/>
      <c r="P1554" s="47"/>
      <c r="Q1554" s="57"/>
      <c r="R1554" s="338"/>
      <c r="S1554" s="272"/>
      <c r="T1554" s="273"/>
      <c r="U1554" s="40"/>
      <c r="V1554" s="277"/>
      <c r="W1554" s="269"/>
      <c r="X1554" s="269"/>
      <c r="Y1554" s="275"/>
      <c r="Z1554" s="269"/>
      <c r="AA1554" s="57"/>
      <c r="AB1554" s="207"/>
      <c r="AC1554" s="33"/>
      <c r="AD1554" s="189"/>
      <c r="AE1554" s="54"/>
      <c r="AF1554" s="55"/>
      <c r="AG1554" s="43"/>
      <c r="AH1554" s="47"/>
      <c r="AI1554" s="30"/>
      <c r="AJ1554" s="30"/>
      <c r="AK1554" s="30"/>
      <c r="AL1554" s="30"/>
      <c r="AM1554" s="13"/>
      <c r="AN1554" s="13"/>
      <c r="AO1554" s="13"/>
      <c r="AP1554" s="13"/>
      <c r="AQ1554" s="13"/>
      <c r="AR1554" s="14"/>
      <c r="AS1554" s="15"/>
    </row>
    <row r="1555" spans="1:45" s="17" customFormat="1" ht="30.95" hidden="1" customHeight="1" x14ac:dyDescent="0.2">
      <c r="A1555" s="37" t="s">
        <v>1913</v>
      </c>
      <c r="B1555" s="38" t="s">
        <v>1915</v>
      </c>
      <c r="C1555" s="45"/>
      <c r="D1555" s="31"/>
      <c r="E1555" s="31"/>
      <c r="F1555" s="268"/>
      <c r="G1555" s="269"/>
      <c r="H1555" s="269"/>
      <c r="I1555" s="270"/>
      <c r="J1555" s="210" t="s">
        <v>1888</v>
      </c>
      <c r="K1555" s="270"/>
      <c r="L1555" s="270"/>
      <c r="M1555" s="39"/>
      <c r="N1555" s="39"/>
      <c r="O1555" s="156"/>
      <c r="P1555" s="47"/>
      <c r="Q1555" s="57"/>
      <c r="R1555" s="338"/>
      <c r="S1555" s="272"/>
      <c r="T1555" s="273"/>
      <c r="U1555" s="40"/>
      <c r="V1555" s="277"/>
      <c r="W1555" s="269"/>
      <c r="X1555" s="269"/>
      <c r="Y1555" s="275"/>
      <c r="Z1555" s="269"/>
      <c r="AA1555" s="57"/>
      <c r="AB1555" s="207"/>
      <c r="AC1555" s="33"/>
      <c r="AD1555" s="189"/>
      <c r="AE1555" s="54"/>
      <c r="AF1555" s="55"/>
      <c r="AG1555" s="43"/>
      <c r="AH1555" s="47"/>
      <c r="AI1555" s="30"/>
      <c r="AJ1555" s="30"/>
      <c r="AK1555" s="30"/>
      <c r="AL1555" s="30"/>
      <c r="AM1555" s="13"/>
      <c r="AN1555" s="13"/>
      <c r="AO1555" s="13"/>
      <c r="AP1555" s="13"/>
      <c r="AQ1555" s="13"/>
      <c r="AR1555" s="14"/>
      <c r="AS1555" s="15"/>
    </row>
    <row r="1556" spans="1:45" s="17" customFormat="1" ht="30.95" hidden="1" customHeight="1" x14ac:dyDescent="0.2">
      <c r="A1556" s="37"/>
      <c r="B1556" s="38"/>
      <c r="C1556" s="45"/>
      <c r="D1556" s="31"/>
      <c r="E1556" s="31"/>
      <c r="F1556" s="268"/>
      <c r="G1556" s="269"/>
      <c r="H1556" s="269"/>
      <c r="I1556" s="270"/>
      <c r="J1556" s="210"/>
      <c r="K1556" s="270"/>
      <c r="L1556" s="270"/>
      <c r="M1556" s="39"/>
      <c r="N1556" s="39"/>
      <c r="O1556" s="156"/>
      <c r="P1556" s="47"/>
      <c r="Q1556" s="57"/>
      <c r="R1556" s="338"/>
      <c r="S1556" s="272"/>
      <c r="T1556" s="273"/>
      <c r="U1556" s="40"/>
      <c r="V1556" s="277"/>
      <c r="W1556" s="269"/>
      <c r="X1556" s="269"/>
      <c r="Y1556" s="275"/>
      <c r="Z1556" s="269"/>
      <c r="AA1556" s="57"/>
      <c r="AB1556" s="207"/>
      <c r="AC1556" s="33"/>
      <c r="AD1556" s="189"/>
      <c r="AE1556" s="54"/>
      <c r="AF1556" s="55"/>
      <c r="AG1556" s="43"/>
      <c r="AH1556" s="47"/>
      <c r="AI1556" s="30"/>
      <c r="AJ1556" s="30"/>
      <c r="AK1556" s="30"/>
      <c r="AL1556" s="30"/>
      <c r="AM1556" s="13"/>
      <c r="AN1556" s="13"/>
      <c r="AO1556" s="13"/>
      <c r="AP1556" s="13"/>
      <c r="AQ1556" s="13"/>
      <c r="AR1556" s="14"/>
      <c r="AS1556" s="15"/>
    </row>
    <row r="1557" spans="1:45" s="17" customFormat="1" ht="30.95" hidden="1" customHeight="1" x14ac:dyDescent="0.2">
      <c r="A1557" s="37" t="s">
        <v>1918</v>
      </c>
      <c r="B1557" s="38" t="s">
        <v>1409</v>
      </c>
      <c r="C1557" s="45"/>
      <c r="D1557" s="31"/>
      <c r="E1557" s="31"/>
      <c r="F1557" s="268"/>
      <c r="G1557" s="269"/>
      <c r="H1557" s="269"/>
      <c r="I1557" s="270"/>
      <c r="J1557" s="210" t="s">
        <v>1888</v>
      </c>
      <c r="K1557" s="270"/>
      <c r="L1557" s="270"/>
      <c r="M1557" s="39"/>
      <c r="N1557" s="39"/>
      <c r="O1557" s="156"/>
      <c r="P1557" s="47"/>
      <c r="Q1557" s="57"/>
      <c r="R1557" s="338"/>
      <c r="S1557" s="272"/>
      <c r="T1557" s="273"/>
      <c r="U1557" s="40"/>
      <c r="V1557" s="277"/>
      <c r="W1557" s="269"/>
      <c r="X1557" s="269"/>
      <c r="Y1557" s="275"/>
      <c r="Z1557" s="269"/>
      <c r="AA1557" s="57"/>
      <c r="AB1557" s="207"/>
      <c r="AC1557" s="33"/>
      <c r="AD1557" s="189"/>
      <c r="AE1557" s="54"/>
      <c r="AF1557" s="55"/>
      <c r="AG1557" s="43"/>
      <c r="AH1557" s="47"/>
      <c r="AI1557" s="30"/>
      <c r="AJ1557" s="30"/>
      <c r="AK1557" s="30"/>
      <c r="AL1557" s="30"/>
      <c r="AM1557" s="13"/>
      <c r="AN1557" s="13"/>
      <c r="AO1557" s="13"/>
      <c r="AP1557" s="13"/>
      <c r="AQ1557" s="13"/>
      <c r="AR1557" s="14"/>
      <c r="AS1557" s="15"/>
    </row>
    <row r="1558" spans="1:45" s="17" customFormat="1" ht="30.95" hidden="1" customHeight="1" x14ac:dyDescent="0.2">
      <c r="A1558" s="37"/>
      <c r="B1558" s="38"/>
      <c r="C1558" s="45"/>
      <c r="D1558" s="31"/>
      <c r="E1558" s="31"/>
      <c r="F1558" s="268"/>
      <c r="G1558" s="269"/>
      <c r="H1558" s="269"/>
      <c r="I1558" s="270"/>
      <c r="J1558" s="210"/>
      <c r="K1558" s="270"/>
      <c r="L1558" s="270"/>
      <c r="M1558" s="39"/>
      <c r="N1558" s="39"/>
      <c r="O1558" s="156"/>
      <c r="P1558" s="47"/>
      <c r="Q1558" s="57"/>
      <c r="R1558" s="338"/>
      <c r="S1558" s="272"/>
      <c r="T1558" s="273"/>
      <c r="U1558" s="40"/>
      <c r="V1558" s="277"/>
      <c r="W1558" s="269"/>
      <c r="X1558" s="269"/>
      <c r="Y1558" s="275"/>
      <c r="Z1558" s="269"/>
      <c r="AA1558" s="57"/>
      <c r="AB1558" s="207"/>
      <c r="AC1558" s="33"/>
      <c r="AD1558" s="189"/>
      <c r="AE1558" s="54"/>
      <c r="AF1558" s="55"/>
      <c r="AG1558" s="43"/>
      <c r="AH1558" s="47"/>
      <c r="AI1558" s="30"/>
      <c r="AJ1558" s="30"/>
      <c r="AK1558" s="30"/>
      <c r="AL1558" s="30"/>
      <c r="AM1558" s="13"/>
      <c r="AN1558" s="13"/>
      <c r="AO1558" s="13"/>
      <c r="AP1558" s="13"/>
      <c r="AQ1558" s="13"/>
      <c r="AR1558" s="14"/>
      <c r="AS1558" s="15"/>
    </row>
    <row r="1559" spans="1:45" s="17" customFormat="1" ht="30.95" hidden="1" customHeight="1" x14ac:dyDescent="0.2">
      <c r="A1559" s="37" t="s">
        <v>1919</v>
      </c>
      <c r="B1559" s="38" t="s">
        <v>1397</v>
      </c>
      <c r="C1559" s="45"/>
      <c r="D1559" s="31"/>
      <c r="E1559" s="31"/>
      <c r="F1559" s="268"/>
      <c r="G1559" s="269"/>
      <c r="H1559" s="269"/>
      <c r="I1559" s="270"/>
      <c r="J1559" s="210" t="s">
        <v>448</v>
      </c>
      <c r="K1559" s="270"/>
      <c r="L1559" s="270"/>
      <c r="M1559" s="39"/>
      <c r="N1559" s="39"/>
      <c r="O1559" s="156"/>
      <c r="P1559" s="47"/>
      <c r="Q1559" s="57"/>
      <c r="R1559" s="338"/>
      <c r="S1559" s="272"/>
      <c r="T1559" s="273"/>
      <c r="U1559" s="40"/>
      <c r="V1559" s="277"/>
      <c r="W1559" s="269"/>
      <c r="X1559" s="269"/>
      <c r="Y1559" s="275"/>
      <c r="Z1559" s="269"/>
      <c r="AA1559" s="57"/>
      <c r="AB1559" s="207"/>
      <c r="AC1559" s="33"/>
      <c r="AD1559" s="189"/>
      <c r="AE1559" s="54"/>
      <c r="AF1559" s="55"/>
      <c r="AG1559" s="43"/>
      <c r="AH1559" s="47"/>
      <c r="AI1559" s="30"/>
      <c r="AJ1559" s="30"/>
      <c r="AK1559" s="30"/>
      <c r="AL1559" s="30"/>
      <c r="AM1559" s="13"/>
      <c r="AN1559" s="13"/>
      <c r="AO1559" s="13"/>
      <c r="AP1559" s="13"/>
      <c r="AQ1559" s="13"/>
      <c r="AR1559" s="14"/>
      <c r="AS1559" s="15"/>
    </row>
    <row r="1560" spans="1:45" s="17" customFormat="1" ht="30.95" hidden="1" customHeight="1" x14ac:dyDescent="0.2">
      <c r="A1560" s="37"/>
      <c r="B1560" s="38"/>
      <c r="C1560" s="45"/>
      <c r="D1560" s="31"/>
      <c r="E1560" s="31"/>
      <c r="F1560" s="268"/>
      <c r="G1560" s="269"/>
      <c r="H1560" s="269"/>
      <c r="I1560" s="270"/>
      <c r="J1560" s="210"/>
      <c r="K1560" s="270"/>
      <c r="L1560" s="270"/>
      <c r="M1560" s="39"/>
      <c r="N1560" s="39"/>
      <c r="O1560" s="156"/>
      <c r="P1560" s="47"/>
      <c r="Q1560" s="57"/>
      <c r="R1560" s="338"/>
      <c r="S1560" s="272"/>
      <c r="T1560" s="273"/>
      <c r="U1560" s="40"/>
      <c r="V1560" s="277"/>
      <c r="W1560" s="269"/>
      <c r="X1560" s="269"/>
      <c r="Y1560" s="275"/>
      <c r="Z1560" s="269"/>
      <c r="AA1560" s="57"/>
      <c r="AB1560" s="207"/>
      <c r="AC1560" s="33"/>
      <c r="AD1560" s="189"/>
      <c r="AE1560" s="54"/>
      <c r="AF1560" s="55"/>
      <c r="AG1560" s="43"/>
      <c r="AH1560" s="47"/>
      <c r="AI1560" s="30"/>
      <c r="AJ1560" s="30"/>
      <c r="AK1560" s="30"/>
      <c r="AL1560" s="30"/>
      <c r="AM1560" s="13"/>
      <c r="AN1560" s="13"/>
      <c r="AO1560" s="13"/>
      <c r="AP1560" s="13"/>
      <c r="AQ1560" s="13"/>
      <c r="AR1560" s="14"/>
      <c r="AS1560" s="15"/>
    </row>
    <row r="1561" spans="1:45" s="17" customFormat="1" ht="30.95" hidden="1" customHeight="1" x14ac:dyDescent="0.2">
      <c r="A1561" s="37" t="s">
        <v>1920</v>
      </c>
      <c r="B1561" s="38" t="s">
        <v>392</v>
      </c>
      <c r="C1561" s="45"/>
      <c r="D1561" s="31"/>
      <c r="E1561" s="31"/>
      <c r="F1561" s="268"/>
      <c r="G1561" s="269"/>
      <c r="H1561" s="269"/>
      <c r="I1561" s="270"/>
      <c r="J1561" s="210" t="s">
        <v>448</v>
      </c>
      <c r="K1561" s="270"/>
      <c r="L1561" s="270"/>
      <c r="M1561" s="39"/>
      <c r="N1561" s="39"/>
      <c r="O1561" s="156"/>
      <c r="P1561" s="47"/>
      <c r="Q1561" s="57"/>
      <c r="R1561" s="338"/>
      <c r="S1561" s="272"/>
      <c r="T1561" s="273"/>
      <c r="U1561" s="40"/>
      <c r="V1561" s="277"/>
      <c r="W1561" s="269"/>
      <c r="X1561" s="269"/>
      <c r="Y1561" s="275"/>
      <c r="Z1561" s="269"/>
      <c r="AA1561" s="57"/>
      <c r="AB1561" s="207"/>
      <c r="AC1561" s="33"/>
      <c r="AD1561" s="189"/>
      <c r="AE1561" s="54"/>
      <c r="AF1561" s="55"/>
      <c r="AG1561" s="43"/>
      <c r="AH1561" s="47"/>
      <c r="AI1561" s="30"/>
      <c r="AJ1561" s="30"/>
      <c r="AK1561" s="30"/>
      <c r="AL1561" s="30"/>
      <c r="AM1561" s="13"/>
      <c r="AN1561" s="13"/>
      <c r="AO1561" s="13"/>
      <c r="AP1561" s="13"/>
      <c r="AQ1561" s="13"/>
      <c r="AR1561" s="14"/>
      <c r="AS1561" s="15"/>
    </row>
    <row r="1562" spans="1:45" s="17" customFormat="1" ht="30.95" hidden="1" customHeight="1" x14ac:dyDescent="0.2">
      <c r="A1562" s="37"/>
      <c r="B1562" s="38"/>
      <c r="C1562" s="45"/>
      <c r="D1562" s="31"/>
      <c r="E1562" s="31"/>
      <c r="F1562" s="268"/>
      <c r="G1562" s="269"/>
      <c r="H1562" s="269"/>
      <c r="I1562" s="270"/>
      <c r="J1562" s="210"/>
      <c r="K1562" s="270"/>
      <c r="L1562" s="270"/>
      <c r="M1562" s="39"/>
      <c r="N1562" s="39"/>
      <c r="O1562" s="156"/>
      <c r="P1562" s="47"/>
      <c r="Q1562" s="57"/>
      <c r="R1562" s="338"/>
      <c r="S1562" s="272"/>
      <c r="T1562" s="273"/>
      <c r="U1562" s="40"/>
      <c r="V1562" s="277"/>
      <c r="W1562" s="269"/>
      <c r="X1562" s="269"/>
      <c r="Y1562" s="275"/>
      <c r="Z1562" s="269"/>
      <c r="AA1562" s="57"/>
      <c r="AB1562" s="207"/>
      <c r="AC1562" s="33"/>
      <c r="AD1562" s="189"/>
      <c r="AE1562" s="54"/>
      <c r="AF1562" s="55"/>
      <c r="AG1562" s="43"/>
      <c r="AH1562" s="47"/>
      <c r="AI1562" s="30"/>
      <c r="AJ1562" s="30"/>
      <c r="AK1562" s="30"/>
      <c r="AL1562" s="30"/>
      <c r="AM1562" s="13"/>
      <c r="AN1562" s="13"/>
      <c r="AO1562" s="13"/>
      <c r="AP1562" s="13"/>
      <c r="AQ1562" s="13"/>
      <c r="AR1562" s="14"/>
      <c r="AS1562" s="15"/>
    </row>
    <row r="1563" spans="1:45" s="17" customFormat="1" ht="30.95" hidden="1" customHeight="1" x14ac:dyDescent="0.2">
      <c r="A1563" s="37" t="s">
        <v>1921</v>
      </c>
      <c r="B1563" s="38" t="s">
        <v>1402</v>
      </c>
      <c r="C1563" s="45"/>
      <c r="D1563" s="31"/>
      <c r="E1563" s="31"/>
      <c r="F1563" s="268"/>
      <c r="G1563" s="269"/>
      <c r="H1563" s="269"/>
      <c r="I1563" s="270"/>
      <c r="J1563" s="210" t="s">
        <v>1888</v>
      </c>
      <c r="K1563" s="270"/>
      <c r="L1563" s="270"/>
      <c r="M1563" s="39"/>
      <c r="N1563" s="39"/>
      <c r="O1563" s="156"/>
      <c r="P1563" s="47"/>
      <c r="Q1563" s="57"/>
      <c r="R1563" s="338"/>
      <c r="S1563" s="272"/>
      <c r="T1563" s="273"/>
      <c r="U1563" s="40"/>
      <c r="V1563" s="277"/>
      <c r="W1563" s="269"/>
      <c r="X1563" s="269"/>
      <c r="Y1563" s="275"/>
      <c r="Z1563" s="269"/>
      <c r="AA1563" s="57"/>
      <c r="AB1563" s="207"/>
      <c r="AC1563" s="33"/>
      <c r="AD1563" s="189"/>
      <c r="AE1563" s="54"/>
      <c r="AF1563" s="55"/>
      <c r="AG1563" s="43"/>
      <c r="AH1563" s="47"/>
      <c r="AI1563" s="30"/>
      <c r="AJ1563" s="30"/>
      <c r="AK1563" s="30"/>
      <c r="AL1563" s="30"/>
      <c r="AM1563" s="13"/>
      <c r="AN1563" s="13"/>
      <c r="AO1563" s="13"/>
      <c r="AP1563" s="13"/>
      <c r="AQ1563" s="13"/>
      <c r="AR1563" s="14"/>
      <c r="AS1563" s="15"/>
    </row>
    <row r="1564" spans="1:45" s="17" customFormat="1" ht="30.95" hidden="1" customHeight="1" x14ac:dyDescent="0.2">
      <c r="A1564" s="37"/>
      <c r="B1564" s="38"/>
      <c r="C1564" s="45"/>
      <c r="D1564" s="31"/>
      <c r="E1564" s="31"/>
      <c r="F1564" s="268"/>
      <c r="G1564" s="269"/>
      <c r="H1564" s="269"/>
      <c r="I1564" s="270"/>
      <c r="J1564" s="210"/>
      <c r="K1564" s="270"/>
      <c r="L1564" s="270"/>
      <c r="M1564" s="39"/>
      <c r="N1564" s="39"/>
      <c r="O1564" s="156"/>
      <c r="P1564" s="47"/>
      <c r="Q1564" s="57"/>
      <c r="R1564" s="338"/>
      <c r="S1564" s="272"/>
      <c r="T1564" s="273"/>
      <c r="U1564" s="40"/>
      <c r="V1564" s="277"/>
      <c r="W1564" s="269"/>
      <c r="X1564" s="269"/>
      <c r="Y1564" s="275"/>
      <c r="Z1564" s="269"/>
      <c r="AA1564" s="57"/>
      <c r="AB1564" s="207"/>
      <c r="AC1564" s="33"/>
      <c r="AD1564" s="189"/>
      <c r="AE1564" s="54"/>
      <c r="AF1564" s="55"/>
      <c r="AG1564" s="43"/>
      <c r="AH1564" s="47"/>
      <c r="AI1564" s="30"/>
      <c r="AJ1564" s="30"/>
      <c r="AK1564" s="30"/>
      <c r="AL1564" s="30"/>
      <c r="AM1564" s="13"/>
      <c r="AN1564" s="13"/>
      <c r="AO1564" s="13"/>
      <c r="AP1564" s="13"/>
      <c r="AQ1564" s="13"/>
      <c r="AR1564" s="14"/>
      <c r="AS1564" s="15"/>
    </row>
    <row r="1565" spans="1:45" s="17" customFormat="1" ht="30.95" hidden="1" customHeight="1" x14ac:dyDescent="0.2">
      <c r="A1565" s="37" t="s">
        <v>1922</v>
      </c>
      <c r="B1565" s="38" t="s">
        <v>1405</v>
      </c>
      <c r="C1565" s="45"/>
      <c r="D1565" s="31"/>
      <c r="E1565" s="31"/>
      <c r="F1565" s="268"/>
      <c r="G1565" s="269"/>
      <c r="H1565" s="269"/>
      <c r="I1565" s="270"/>
      <c r="J1565" s="210" t="s">
        <v>1888</v>
      </c>
      <c r="K1565" s="270"/>
      <c r="L1565" s="270"/>
      <c r="M1565" s="39"/>
      <c r="N1565" s="39"/>
      <c r="O1565" s="156"/>
      <c r="P1565" s="47"/>
      <c r="Q1565" s="57"/>
      <c r="R1565" s="338"/>
      <c r="S1565" s="272"/>
      <c r="T1565" s="273"/>
      <c r="U1565" s="40"/>
      <c r="V1565" s="277"/>
      <c r="W1565" s="269"/>
      <c r="X1565" s="269"/>
      <c r="Y1565" s="275"/>
      <c r="Z1565" s="269"/>
      <c r="AA1565" s="57"/>
      <c r="AB1565" s="207"/>
      <c r="AC1565" s="33"/>
      <c r="AD1565" s="189"/>
      <c r="AE1565" s="54"/>
      <c r="AF1565" s="55"/>
      <c r="AG1565" s="43"/>
      <c r="AH1565" s="47"/>
      <c r="AI1565" s="30"/>
      <c r="AJ1565" s="30"/>
      <c r="AK1565" s="30"/>
      <c r="AL1565" s="30"/>
      <c r="AM1565" s="13"/>
      <c r="AN1565" s="13"/>
      <c r="AO1565" s="13"/>
      <c r="AP1565" s="13"/>
      <c r="AQ1565" s="13"/>
      <c r="AR1565" s="14"/>
      <c r="AS1565" s="15"/>
    </row>
    <row r="1566" spans="1:45" s="17" customFormat="1" ht="30.95" hidden="1" customHeight="1" x14ac:dyDescent="0.2">
      <c r="A1566" s="37"/>
      <c r="B1566" s="38"/>
      <c r="C1566" s="45"/>
      <c r="D1566" s="31"/>
      <c r="E1566" s="31"/>
      <c r="F1566" s="268"/>
      <c r="G1566" s="269"/>
      <c r="H1566" s="269"/>
      <c r="I1566" s="270"/>
      <c r="J1566" s="210"/>
      <c r="K1566" s="270"/>
      <c r="L1566" s="270"/>
      <c r="M1566" s="39"/>
      <c r="N1566" s="39"/>
      <c r="O1566" s="156"/>
      <c r="P1566" s="47"/>
      <c r="Q1566" s="57"/>
      <c r="R1566" s="338"/>
      <c r="S1566" s="272"/>
      <c r="T1566" s="273"/>
      <c r="U1566" s="40"/>
      <c r="V1566" s="277"/>
      <c r="W1566" s="269"/>
      <c r="X1566" s="269"/>
      <c r="Y1566" s="275"/>
      <c r="Z1566" s="269"/>
      <c r="AA1566" s="57"/>
      <c r="AB1566" s="207"/>
      <c r="AC1566" s="33"/>
      <c r="AD1566" s="189"/>
      <c r="AE1566" s="54"/>
      <c r="AF1566" s="55"/>
      <c r="AG1566" s="43"/>
      <c r="AH1566" s="47"/>
      <c r="AI1566" s="30"/>
      <c r="AJ1566" s="30"/>
      <c r="AK1566" s="30"/>
      <c r="AL1566" s="30"/>
      <c r="AM1566" s="13"/>
      <c r="AN1566" s="13"/>
      <c r="AO1566" s="13"/>
      <c r="AP1566" s="13"/>
      <c r="AQ1566" s="13"/>
      <c r="AR1566" s="14"/>
      <c r="AS1566" s="15"/>
    </row>
    <row r="1567" spans="1:45" s="17" customFormat="1" ht="30.95" hidden="1" customHeight="1" x14ac:dyDescent="0.2">
      <c r="A1567" s="37" t="s">
        <v>1923</v>
      </c>
      <c r="B1567" s="38" t="s">
        <v>1412</v>
      </c>
      <c r="C1567" s="45"/>
      <c r="D1567" s="31"/>
      <c r="E1567" s="31"/>
      <c r="F1567" s="268"/>
      <c r="G1567" s="269"/>
      <c r="H1567" s="269"/>
      <c r="I1567" s="270"/>
      <c r="J1567" s="210" t="s">
        <v>1888</v>
      </c>
      <c r="K1567" s="270"/>
      <c r="L1567" s="270"/>
      <c r="M1567" s="39"/>
      <c r="N1567" s="39"/>
      <c r="O1567" s="156"/>
      <c r="P1567" s="47"/>
      <c r="Q1567" s="57"/>
      <c r="R1567" s="338"/>
      <c r="S1567" s="272"/>
      <c r="T1567" s="273"/>
      <c r="U1567" s="40"/>
      <c r="V1567" s="277"/>
      <c r="W1567" s="269"/>
      <c r="X1567" s="269"/>
      <c r="Y1567" s="275"/>
      <c r="Z1567" s="269"/>
      <c r="AA1567" s="57"/>
      <c r="AB1567" s="207"/>
      <c r="AC1567" s="33"/>
      <c r="AD1567" s="189"/>
      <c r="AE1567" s="54"/>
      <c r="AF1567" s="55"/>
      <c r="AG1567" s="43"/>
      <c r="AH1567" s="47"/>
      <c r="AI1567" s="30"/>
      <c r="AJ1567" s="30"/>
      <c r="AK1567" s="30"/>
      <c r="AL1567" s="30"/>
      <c r="AM1567" s="13"/>
      <c r="AN1567" s="13"/>
      <c r="AO1567" s="13"/>
      <c r="AP1567" s="13"/>
      <c r="AQ1567" s="13"/>
      <c r="AR1567" s="14"/>
      <c r="AS1567" s="15"/>
    </row>
    <row r="1568" spans="1:45" s="17" customFormat="1" ht="30.95" hidden="1" customHeight="1" x14ac:dyDescent="0.2">
      <c r="A1568" s="37"/>
      <c r="B1568" s="38"/>
      <c r="C1568" s="45"/>
      <c r="D1568" s="31"/>
      <c r="E1568" s="31"/>
      <c r="F1568" s="268"/>
      <c r="G1568" s="269"/>
      <c r="H1568" s="269"/>
      <c r="I1568" s="270"/>
      <c r="J1568" s="210"/>
      <c r="K1568" s="270"/>
      <c r="L1568" s="270"/>
      <c r="M1568" s="39"/>
      <c r="N1568" s="39"/>
      <c r="O1568" s="156"/>
      <c r="P1568" s="47"/>
      <c r="Q1568" s="57"/>
      <c r="R1568" s="338"/>
      <c r="S1568" s="272"/>
      <c r="T1568" s="273"/>
      <c r="U1568" s="40"/>
      <c r="V1568" s="277"/>
      <c r="W1568" s="269"/>
      <c r="X1568" s="269"/>
      <c r="Y1568" s="275"/>
      <c r="Z1568" s="269"/>
      <c r="AA1568" s="57"/>
      <c r="AB1568" s="207"/>
      <c r="AC1568" s="33"/>
      <c r="AD1568" s="189"/>
      <c r="AE1568" s="54"/>
      <c r="AF1568" s="55"/>
      <c r="AG1568" s="43"/>
      <c r="AH1568" s="47"/>
      <c r="AI1568" s="30"/>
      <c r="AJ1568" s="30"/>
      <c r="AK1568" s="30"/>
      <c r="AL1568" s="30"/>
      <c r="AM1568" s="13"/>
      <c r="AN1568" s="13"/>
      <c r="AO1568" s="13"/>
      <c r="AP1568" s="13"/>
      <c r="AQ1568" s="13"/>
      <c r="AR1568" s="14"/>
      <c r="AS1568" s="15"/>
    </row>
    <row r="1569" spans="1:45" s="17" customFormat="1" ht="30.95" hidden="1" customHeight="1" x14ac:dyDescent="0.2">
      <c r="A1569" s="37" t="s">
        <v>1924</v>
      </c>
      <c r="B1569" s="38" t="s">
        <v>1408</v>
      </c>
      <c r="C1569" s="45"/>
      <c r="D1569" s="31"/>
      <c r="E1569" s="31"/>
      <c r="F1569" s="268"/>
      <c r="G1569" s="269"/>
      <c r="H1569" s="269"/>
      <c r="I1569" s="270"/>
      <c r="J1569" s="210" t="s">
        <v>1888</v>
      </c>
      <c r="K1569" s="270"/>
      <c r="L1569" s="270"/>
      <c r="M1569" s="39"/>
      <c r="N1569" s="39"/>
      <c r="O1569" s="156"/>
      <c r="P1569" s="47"/>
      <c r="Q1569" s="57"/>
      <c r="R1569" s="338"/>
      <c r="S1569" s="272"/>
      <c r="T1569" s="273"/>
      <c r="U1569" s="40"/>
      <c r="V1569" s="277"/>
      <c r="W1569" s="269"/>
      <c r="X1569" s="269"/>
      <c r="Y1569" s="275"/>
      <c r="Z1569" s="269"/>
      <c r="AA1569" s="57"/>
      <c r="AB1569" s="207"/>
      <c r="AC1569" s="33"/>
      <c r="AD1569" s="189"/>
      <c r="AE1569" s="54"/>
      <c r="AF1569" s="55"/>
      <c r="AG1569" s="43"/>
      <c r="AH1569" s="47"/>
      <c r="AI1569" s="30"/>
      <c r="AJ1569" s="30"/>
      <c r="AK1569" s="30"/>
      <c r="AL1569" s="30"/>
      <c r="AM1569" s="13"/>
      <c r="AN1569" s="13"/>
      <c r="AO1569" s="13"/>
      <c r="AP1569" s="13"/>
      <c r="AQ1569" s="13"/>
      <c r="AR1569" s="14"/>
      <c r="AS1569" s="15"/>
    </row>
    <row r="1570" spans="1:45" s="17" customFormat="1" ht="30.95" hidden="1" customHeight="1" x14ac:dyDescent="0.2">
      <c r="A1570" s="37"/>
      <c r="B1570" s="38"/>
      <c r="C1570" s="45"/>
      <c r="D1570" s="31"/>
      <c r="E1570" s="31"/>
      <c r="F1570" s="268"/>
      <c r="G1570" s="269"/>
      <c r="H1570" s="269"/>
      <c r="I1570" s="270"/>
      <c r="J1570" s="210"/>
      <c r="K1570" s="270"/>
      <c r="L1570" s="270"/>
      <c r="M1570" s="39"/>
      <c r="N1570" s="39"/>
      <c r="O1570" s="156"/>
      <c r="P1570" s="47"/>
      <c r="Q1570" s="57"/>
      <c r="R1570" s="338"/>
      <c r="S1570" s="272"/>
      <c r="T1570" s="273"/>
      <c r="U1570" s="40"/>
      <c r="V1570" s="277"/>
      <c r="W1570" s="269"/>
      <c r="X1570" s="269"/>
      <c r="Y1570" s="275"/>
      <c r="Z1570" s="269"/>
      <c r="AA1570" s="57"/>
      <c r="AB1570" s="207"/>
      <c r="AC1570" s="33"/>
      <c r="AD1570" s="189"/>
      <c r="AE1570" s="54"/>
      <c r="AF1570" s="55"/>
      <c r="AG1570" s="43"/>
      <c r="AH1570" s="47"/>
      <c r="AI1570" s="30"/>
      <c r="AJ1570" s="30"/>
      <c r="AK1570" s="30"/>
      <c r="AL1570" s="30"/>
      <c r="AM1570" s="13"/>
      <c r="AN1570" s="13"/>
      <c r="AO1570" s="13"/>
      <c r="AP1570" s="13"/>
      <c r="AQ1570" s="13"/>
      <c r="AR1570" s="14"/>
      <c r="AS1570" s="15"/>
    </row>
    <row r="1571" spans="1:45" s="17" customFormat="1" ht="30.95" hidden="1" customHeight="1" x14ac:dyDescent="0.2">
      <c r="A1571" s="37" t="s">
        <v>1925</v>
      </c>
      <c r="B1571" s="38" t="s">
        <v>1409</v>
      </c>
      <c r="C1571" s="45"/>
      <c r="D1571" s="31"/>
      <c r="E1571" s="31"/>
      <c r="F1571" s="268"/>
      <c r="G1571" s="269"/>
      <c r="H1571" s="269"/>
      <c r="I1571" s="270"/>
      <c r="J1571" s="210" t="s">
        <v>1888</v>
      </c>
      <c r="K1571" s="270"/>
      <c r="L1571" s="270"/>
      <c r="M1571" s="39"/>
      <c r="N1571" s="39"/>
      <c r="O1571" s="156"/>
      <c r="P1571" s="47"/>
      <c r="Q1571" s="57"/>
      <c r="R1571" s="338"/>
      <c r="S1571" s="272"/>
      <c r="T1571" s="273"/>
      <c r="U1571" s="40"/>
      <c r="V1571" s="277"/>
      <c r="W1571" s="269"/>
      <c r="X1571" s="269"/>
      <c r="Y1571" s="275"/>
      <c r="Z1571" s="269"/>
      <c r="AA1571" s="57"/>
      <c r="AB1571" s="207"/>
      <c r="AC1571" s="33"/>
      <c r="AD1571" s="189"/>
      <c r="AE1571" s="54"/>
      <c r="AF1571" s="55"/>
      <c r="AG1571" s="43"/>
      <c r="AH1571" s="47"/>
      <c r="AI1571" s="30"/>
      <c r="AJ1571" s="30"/>
      <c r="AK1571" s="30"/>
      <c r="AL1571" s="30"/>
      <c r="AM1571" s="13"/>
      <c r="AN1571" s="13"/>
      <c r="AO1571" s="13"/>
      <c r="AP1571" s="13"/>
      <c r="AQ1571" s="13"/>
      <c r="AR1571" s="14"/>
      <c r="AS1571" s="15"/>
    </row>
    <row r="1572" spans="1:45" s="17" customFormat="1" ht="30.95" hidden="1" customHeight="1" x14ac:dyDescent="0.2">
      <c r="A1572" s="37"/>
      <c r="B1572" s="38"/>
      <c r="C1572" s="45"/>
      <c r="D1572" s="31"/>
      <c r="E1572" s="31"/>
      <c r="F1572" s="268"/>
      <c r="G1572" s="269"/>
      <c r="H1572" s="269"/>
      <c r="I1572" s="270"/>
      <c r="J1572" s="210"/>
      <c r="K1572" s="270"/>
      <c r="L1572" s="270"/>
      <c r="M1572" s="39"/>
      <c r="N1572" s="39"/>
      <c r="O1572" s="156"/>
      <c r="P1572" s="47"/>
      <c r="Q1572" s="57"/>
      <c r="R1572" s="338"/>
      <c r="S1572" s="272"/>
      <c r="T1572" s="273"/>
      <c r="U1572" s="40"/>
      <c r="V1572" s="277"/>
      <c r="W1572" s="269"/>
      <c r="X1572" s="269"/>
      <c r="Y1572" s="275"/>
      <c r="Z1572" s="269"/>
      <c r="AA1572" s="57"/>
      <c r="AB1572" s="207"/>
      <c r="AC1572" s="33"/>
      <c r="AD1572" s="189"/>
      <c r="AE1572" s="54"/>
      <c r="AF1572" s="55"/>
      <c r="AG1572" s="43"/>
      <c r="AH1572" s="47"/>
      <c r="AI1572" s="30"/>
      <c r="AJ1572" s="30"/>
      <c r="AK1572" s="30"/>
      <c r="AL1572" s="30"/>
      <c r="AM1572" s="13"/>
      <c r="AN1572" s="13"/>
      <c r="AO1572" s="13"/>
      <c r="AP1572" s="13"/>
      <c r="AQ1572" s="13"/>
      <c r="AR1572" s="14"/>
      <c r="AS1572" s="15"/>
    </row>
    <row r="1573" spans="1:45" s="17" customFormat="1" ht="30.95" hidden="1" customHeight="1" x14ac:dyDescent="0.2">
      <c r="A1573" s="37" t="s">
        <v>1926</v>
      </c>
      <c r="B1573" s="38" t="s">
        <v>1397</v>
      </c>
      <c r="C1573" s="45"/>
      <c r="D1573" s="31"/>
      <c r="E1573" s="31"/>
      <c r="F1573" s="268"/>
      <c r="G1573" s="269"/>
      <c r="H1573" s="269"/>
      <c r="I1573" s="270"/>
      <c r="J1573" s="210" t="s">
        <v>448</v>
      </c>
      <c r="K1573" s="270"/>
      <c r="L1573" s="270"/>
      <c r="M1573" s="39"/>
      <c r="N1573" s="39"/>
      <c r="O1573" s="156"/>
      <c r="P1573" s="47"/>
      <c r="Q1573" s="57"/>
      <c r="R1573" s="338"/>
      <c r="S1573" s="272"/>
      <c r="T1573" s="273"/>
      <c r="U1573" s="40"/>
      <c r="V1573" s="277"/>
      <c r="W1573" s="269"/>
      <c r="X1573" s="269"/>
      <c r="Y1573" s="275"/>
      <c r="Z1573" s="269"/>
      <c r="AA1573" s="57"/>
      <c r="AB1573" s="207"/>
      <c r="AC1573" s="33"/>
      <c r="AD1573" s="189"/>
      <c r="AE1573" s="54"/>
      <c r="AF1573" s="55"/>
      <c r="AG1573" s="43"/>
      <c r="AH1573" s="47"/>
      <c r="AI1573" s="30"/>
      <c r="AJ1573" s="30"/>
      <c r="AK1573" s="30"/>
      <c r="AL1573" s="30"/>
      <c r="AM1573" s="13"/>
      <c r="AN1573" s="13"/>
      <c r="AO1573" s="13"/>
      <c r="AP1573" s="13"/>
      <c r="AQ1573" s="13"/>
      <c r="AR1573" s="14"/>
      <c r="AS1573" s="15"/>
    </row>
    <row r="1574" spans="1:45" s="17" customFormat="1" ht="30.95" hidden="1" customHeight="1" x14ac:dyDescent="0.2">
      <c r="A1574" s="37"/>
      <c r="B1574" s="38"/>
      <c r="C1574" s="45"/>
      <c r="D1574" s="31"/>
      <c r="E1574" s="31"/>
      <c r="F1574" s="268"/>
      <c r="G1574" s="269"/>
      <c r="H1574" s="269"/>
      <c r="I1574" s="270"/>
      <c r="J1574" s="210"/>
      <c r="K1574" s="270"/>
      <c r="L1574" s="270"/>
      <c r="M1574" s="39"/>
      <c r="N1574" s="39"/>
      <c r="O1574" s="156"/>
      <c r="P1574" s="47"/>
      <c r="Q1574" s="57"/>
      <c r="R1574" s="338"/>
      <c r="S1574" s="272"/>
      <c r="T1574" s="273"/>
      <c r="U1574" s="40"/>
      <c r="V1574" s="277"/>
      <c r="W1574" s="269"/>
      <c r="X1574" s="269"/>
      <c r="Y1574" s="275"/>
      <c r="Z1574" s="269"/>
      <c r="AA1574" s="57"/>
      <c r="AB1574" s="207"/>
      <c r="AC1574" s="33"/>
      <c r="AD1574" s="189"/>
      <c r="AE1574" s="54"/>
      <c r="AF1574" s="55"/>
      <c r="AG1574" s="43"/>
      <c r="AH1574" s="47"/>
      <c r="AI1574" s="30"/>
      <c r="AJ1574" s="30"/>
      <c r="AK1574" s="30"/>
      <c r="AL1574" s="30"/>
      <c r="AM1574" s="13"/>
      <c r="AN1574" s="13"/>
      <c r="AO1574" s="13"/>
      <c r="AP1574" s="13"/>
      <c r="AQ1574" s="13"/>
      <c r="AR1574" s="14"/>
      <c r="AS1574" s="15"/>
    </row>
    <row r="1575" spans="1:45" s="17" customFormat="1" ht="30.95" hidden="1" customHeight="1" x14ac:dyDescent="0.2">
      <c r="A1575" s="37" t="s">
        <v>1927</v>
      </c>
      <c r="B1575" s="38" t="s">
        <v>392</v>
      </c>
      <c r="C1575" s="45"/>
      <c r="D1575" s="31"/>
      <c r="E1575" s="31"/>
      <c r="F1575" s="268"/>
      <c r="G1575" s="269"/>
      <c r="H1575" s="269"/>
      <c r="I1575" s="270"/>
      <c r="J1575" s="210" t="s">
        <v>448</v>
      </c>
      <c r="K1575" s="270"/>
      <c r="L1575" s="270"/>
      <c r="M1575" s="39"/>
      <c r="N1575" s="39"/>
      <c r="O1575" s="156"/>
      <c r="P1575" s="47"/>
      <c r="Q1575" s="57"/>
      <c r="R1575" s="338"/>
      <c r="S1575" s="272"/>
      <c r="T1575" s="273"/>
      <c r="U1575" s="40"/>
      <c r="V1575" s="277"/>
      <c r="W1575" s="269"/>
      <c r="X1575" s="269"/>
      <c r="Y1575" s="275"/>
      <c r="Z1575" s="269"/>
      <c r="AA1575" s="57"/>
      <c r="AB1575" s="207"/>
      <c r="AC1575" s="33"/>
      <c r="AD1575" s="189"/>
      <c r="AE1575" s="54"/>
      <c r="AF1575" s="55"/>
      <c r="AG1575" s="43"/>
      <c r="AH1575" s="47"/>
      <c r="AI1575" s="30"/>
      <c r="AJ1575" s="30"/>
      <c r="AK1575" s="30"/>
      <c r="AL1575" s="30"/>
      <c r="AM1575" s="13"/>
      <c r="AN1575" s="13"/>
      <c r="AO1575" s="13"/>
      <c r="AP1575" s="13"/>
      <c r="AQ1575" s="13"/>
      <c r="AR1575" s="14"/>
      <c r="AS1575" s="15"/>
    </row>
    <row r="1576" spans="1:45" s="17" customFormat="1" ht="30.95" hidden="1" customHeight="1" x14ac:dyDescent="0.2">
      <c r="A1576" s="37"/>
      <c r="B1576" s="38"/>
      <c r="C1576" s="45"/>
      <c r="D1576" s="31"/>
      <c r="E1576" s="31"/>
      <c r="F1576" s="268"/>
      <c r="G1576" s="269"/>
      <c r="H1576" s="269"/>
      <c r="I1576" s="270"/>
      <c r="J1576" s="210"/>
      <c r="K1576" s="270"/>
      <c r="L1576" s="270"/>
      <c r="M1576" s="39"/>
      <c r="N1576" s="39"/>
      <c r="O1576" s="156"/>
      <c r="P1576" s="47"/>
      <c r="Q1576" s="57"/>
      <c r="R1576" s="338"/>
      <c r="S1576" s="272"/>
      <c r="T1576" s="273"/>
      <c r="U1576" s="40"/>
      <c r="V1576" s="277"/>
      <c r="W1576" s="269"/>
      <c r="X1576" s="269"/>
      <c r="Y1576" s="275"/>
      <c r="Z1576" s="269"/>
      <c r="AA1576" s="57"/>
      <c r="AB1576" s="207"/>
      <c r="AC1576" s="33"/>
      <c r="AD1576" s="189"/>
      <c r="AE1576" s="54"/>
      <c r="AF1576" s="55"/>
      <c r="AG1576" s="43"/>
      <c r="AH1576" s="47"/>
      <c r="AI1576" s="30"/>
      <c r="AJ1576" s="30"/>
      <c r="AK1576" s="30"/>
      <c r="AL1576" s="30"/>
      <c r="AM1576" s="13"/>
      <c r="AN1576" s="13"/>
      <c r="AO1576" s="13"/>
      <c r="AP1576" s="13"/>
      <c r="AQ1576" s="13"/>
      <c r="AR1576" s="14"/>
      <c r="AS1576" s="15"/>
    </row>
    <row r="1577" spans="1:45" s="17" customFormat="1" ht="30.95" hidden="1" customHeight="1" x14ac:dyDescent="0.2">
      <c r="A1577" s="37" t="s">
        <v>1928</v>
      </c>
      <c r="B1577" s="38" t="s">
        <v>1402</v>
      </c>
      <c r="C1577" s="45"/>
      <c r="D1577" s="31"/>
      <c r="E1577" s="31"/>
      <c r="F1577" s="268"/>
      <c r="G1577" s="269"/>
      <c r="H1577" s="269"/>
      <c r="I1577" s="270"/>
      <c r="J1577" s="210" t="s">
        <v>1866</v>
      </c>
      <c r="K1577" s="270"/>
      <c r="L1577" s="270"/>
      <c r="M1577" s="39"/>
      <c r="N1577" s="39"/>
      <c r="O1577" s="156"/>
      <c r="P1577" s="47"/>
      <c r="Q1577" s="57"/>
      <c r="R1577" s="338"/>
      <c r="S1577" s="272"/>
      <c r="T1577" s="273"/>
      <c r="U1577" s="40"/>
      <c r="V1577" s="277"/>
      <c r="W1577" s="269"/>
      <c r="X1577" s="269"/>
      <c r="Y1577" s="275"/>
      <c r="Z1577" s="269"/>
      <c r="AA1577" s="57"/>
      <c r="AB1577" s="207"/>
      <c r="AC1577" s="33"/>
      <c r="AD1577" s="189"/>
      <c r="AE1577" s="54"/>
      <c r="AF1577" s="55"/>
      <c r="AG1577" s="43"/>
      <c r="AH1577" s="47"/>
      <c r="AI1577" s="30"/>
      <c r="AJ1577" s="30"/>
      <c r="AK1577" s="30"/>
      <c r="AL1577" s="30"/>
      <c r="AM1577" s="13"/>
      <c r="AN1577" s="13"/>
      <c r="AO1577" s="13"/>
      <c r="AP1577" s="13"/>
      <c r="AQ1577" s="13"/>
      <c r="AR1577" s="14"/>
      <c r="AS1577" s="15"/>
    </row>
    <row r="1578" spans="1:45" s="17" customFormat="1" ht="30.95" hidden="1" customHeight="1" x14ac:dyDescent="0.2">
      <c r="A1578" s="37"/>
      <c r="B1578" s="38"/>
      <c r="C1578" s="45"/>
      <c r="D1578" s="31"/>
      <c r="E1578" s="31"/>
      <c r="F1578" s="268"/>
      <c r="G1578" s="269"/>
      <c r="H1578" s="269"/>
      <c r="I1578" s="270"/>
      <c r="J1578" s="210"/>
      <c r="K1578" s="270"/>
      <c r="L1578" s="270"/>
      <c r="M1578" s="39"/>
      <c r="N1578" s="39"/>
      <c r="O1578" s="156"/>
      <c r="P1578" s="47"/>
      <c r="Q1578" s="57"/>
      <c r="R1578" s="338"/>
      <c r="S1578" s="272"/>
      <c r="T1578" s="273"/>
      <c r="U1578" s="40"/>
      <c r="V1578" s="277"/>
      <c r="W1578" s="269"/>
      <c r="X1578" s="269"/>
      <c r="Y1578" s="275"/>
      <c r="Z1578" s="269"/>
      <c r="AA1578" s="57"/>
      <c r="AB1578" s="207"/>
      <c r="AC1578" s="33"/>
      <c r="AD1578" s="189"/>
      <c r="AE1578" s="54"/>
      <c r="AF1578" s="55"/>
      <c r="AG1578" s="43"/>
      <c r="AH1578" s="47"/>
      <c r="AI1578" s="30"/>
      <c r="AJ1578" s="30"/>
      <c r="AK1578" s="30"/>
      <c r="AL1578" s="30"/>
      <c r="AM1578" s="13"/>
      <c r="AN1578" s="13"/>
      <c r="AO1578" s="13"/>
      <c r="AP1578" s="13"/>
      <c r="AQ1578" s="13"/>
      <c r="AR1578" s="14"/>
      <c r="AS1578" s="15"/>
    </row>
    <row r="1579" spans="1:45" s="17" customFormat="1" ht="30.95" hidden="1" customHeight="1" x14ac:dyDescent="0.2">
      <c r="A1579" s="37" t="s">
        <v>1929</v>
      </c>
      <c r="B1579" s="38" t="s">
        <v>1405</v>
      </c>
      <c r="C1579" s="45"/>
      <c r="D1579" s="31"/>
      <c r="E1579" s="31"/>
      <c r="F1579" s="268"/>
      <c r="G1579" s="269"/>
      <c r="H1579" s="269"/>
      <c r="I1579" s="270"/>
      <c r="J1579" s="210" t="s">
        <v>1990</v>
      </c>
      <c r="K1579" s="270"/>
      <c r="L1579" s="270"/>
      <c r="M1579" s="39"/>
      <c r="N1579" s="39"/>
      <c r="O1579" s="156"/>
      <c r="P1579" s="47"/>
      <c r="Q1579" s="57"/>
      <c r="R1579" s="338"/>
      <c r="S1579" s="272"/>
      <c r="T1579" s="273"/>
      <c r="U1579" s="40"/>
      <c r="V1579" s="277"/>
      <c r="W1579" s="269"/>
      <c r="X1579" s="269"/>
      <c r="Y1579" s="275"/>
      <c r="Z1579" s="269"/>
      <c r="AA1579" s="57"/>
      <c r="AB1579" s="207"/>
      <c r="AC1579" s="33"/>
      <c r="AD1579" s="189"/>
      <c r="AE1579" s="54"/>
      <c r="AF1579" s="55"/>
      <c r="AG1579" s="43"/>
      <c r="AH1579" s="47"/>
      <c r="AI1579" s="30"/>
      <c r="AJ1579" s="30"/>
      <c r="AK1579" s="30"/>
      <c r="AL1579" s="30"/>
      <c r="AM1579" s="13"/>
      <c r="AN1579" s="13"/>
      <c r="AO1579" s="13"/>
      <c r="AP1579" s="13"/>
      <c r="AQ1579" s="13"/>
      <c r="AR1579" s="14"/>
      <c r="AS1579" s="15"/>
    </row>
    <row r="1580" spans="1:45" s="17" customFormat="1" ht="30.95" hidden="1" customHeight="1" x14ac:dyDescent="0.2">
      <c r="A1580" s="37"/>
      <c r="B1580" s="38"/>
      <c r="C1580" s="45"/>
      <c r="D1580" s="31"/>
      <c r="E1580" s="31"/>
      <c r="F1580" s="268"/>
      <c r="G1580" s="269"/>
      <c r="H1580" s="269"/>
      <c r="I1580" s="270"/>
      <c r="J1580" s="210"/>
      <c r="K1580" s="270"/>
      <c r="L1580" s="270"/>
      <c r="M1580" s="39"/>
      <c r="N1580" s="39"/>
      <c r="O1580" s="156"/>
      <c r="P1580" s="47"/>
      <c r="Q1580" s="57"/>
      <c r="R1580" s="338"/>
      <c r="S1580" s="272"/>
      <c r="T1580" s="273"/>
      <c r="U1580" s="40"/>
      <c r="V1580" s="277"/>
      <c r="W1580" s="269"/>
      <c r="X1580" s="269"/>
      <c r="Y1580" s="275"/>
      <c r="Z1580" s="269"/>
      <c r="AA1580" s="57"/>
      <c r="AB1580" s="207"/>
      <c r="AC1580" s="33"/>
      <c r="AD1580" s="189"/>
      <c r="AE1580" s="54"/>
      <c r="AF1580" s="55"/>
      <c r="AG1580" s="43"/>
      <c r="AH1580" s="47"/>
      <c r="AI1580" s="30"/>
      <c r="AJ1580" s="30"/>
      <c r="AK1580" s="30"/>
      <c r="AL1580" s="30"/>
      <c r="AM1580" s="13"/>
      <c r="AN1580" s="13"/>
      <c r="AO1580" s="13"/>
      <c r="AP1580" s="13"/>
      <c r="AQ1580" s="13"/>
      <c r="AR1580" s="14"/>
      <c r="AS1580" s="15"/>
    </row>
    <row r="1581" spans="1:45" s="17" customFormat="1" ht="30.95" hidden="1" customHeight="1" x14ac:dyDescent="0.2">
      <c r="A1581" s="37" t="s">
        <v>1930</v>
      </c>
      <c r="B1581" s="38" t="s">
        <v>1412</v>
      </c>
      <c r="C1581" s="45"/>
      <c r="D1581" s="31"/>
      <c r="E1581" s="31"/>
      <c r="F1581" s="268"/>
      <c r="G1581" s="269"/>
      <c r="H1581" s="269"/>
      <c r="I1581" s="270"/>
      <c r="J1581" s="210" t="s">
        <v>1990</v>
      </c>
      <c r="K1581" s="270"/>
      <c r="L1581" s="270"/>
      <c r="M1581" s="39"/>
      <c r="N1581" s="39"/>
      <c r="O1581" s="156"/>
      <c r="P1581" s="47"/>
      <c r="Q1581" s="57"/>
      <c r="R1581" s="338"/>
      <c r="S1581" s="272"/>
      <c r="T1581" s="273"/>
      <c r="U1581" s="40"/>
      <c r="V1581" s="277"/>
      <c r="W1581" s="269"/>
      <c r="X1581" s="269"/>
      <c r="Y1581" s="275"/>
      <c r="Z1581" s="269"/>
      <c r="AA1581" s="57"/>
      <c r="AB1581" s="207"/>
      <c r="AC1581" s="33"/>
      <c r="AD1581" s="189"/>
      <c r="AE1581" s="54"/>
      <c r="AF1581" s="55"/>
      <c r="AG1581" s="43"/>
      <c r="AH1581" s="47"/>
      <c r="AI1581" s="30"/>
      <c r="AJ1581" s="30"/>
      <c r="AK1581" s="30"/>
      <c r="AL1581" s="30"/>
      <c r="AM1581" s="13"/>
      <c r="AN1581" s="13"/>
      <c r="AO1581" s="13"/>
      <c r="AP1581" s="13"/>
      <c r="AQ1581" s="13"/>
      <c r="AR1581" s="14"/>
      <c r="AS1581" s="15"/>
    </row>
    <row r="1582" spans="1:45" s="17" customFormat="1" ht="30.95" hidden="1" customHeight="1" x14ac:dyDescent="0.2">
      <c r="A1582" s="37"/>
      <c r="B1582" s="38"/>
      <c r="C1582" s="45"/>
      <c r="D1582" s="31"/>
      <c r="E1582" s="31"/>
      <c r="F1582" s="268"/>
      <c r="G1582" s="269"/>
      <c r="H1582" s="269"/>
      <c r="I1582" s="270"/>
      <c r="J1582" s="210"/>
      <c r="K1582" s="270"/>
      <c r="L1582" s="270"/>
      <c r="M1582" s="39"/>
      <c r="N1582" s="39"/>
      <c r="O1582" s="156"/>
      <c r="P1582" s="47"/>
      <c r="Q1582" s="57"/>
      <c r="R1582" s="338"/>
      <c r="S1582" s="272"/>
      <c r="T1582" s="273"/>
      <c r="U1582" s="40"/>
      <c r="V1582" s="277"/>
      <c r="W1582" s="269"/>
      <c r="X1582" s="269"/>
      <c r="Y1582" s="275"/>
      <c r="Z1582" s="269"/>
      <c r="AA1582" s="57"/>
      <c r="AB1582" s="207"/>
      <c r="AC1582" s="33"/>
      <c r="AD1582" s="189"/>
      <c r="AE1582" s="54"/>
      <c r="AF1582" s="55"/>
      <c r="AG1582" s="43"/>
      <c r="AH1582" s="47"/>
      <c r="AI1582" s="30"/>
      <c r="AJ1582" s="30"/>
      <c r="AK1582" s="30"/>
      <c r="AL1582" s="30"/>
      <c r="AM1582" s="13"/>
      <c r="AN1582" s="13"/>
      <c r="AO1582" s="13"/>
      <c r="AP1582" s="13"/>
      <c r="AQ1582" s="13"/>
      <c r="AR1582" s="14"/>
      <c r="AS1582" s="15"/>
    </row>
    <row r="1583" spans="1:45" s="17" customFormat="1" ht="30.95" hidden="1" customHeight="1" x14ac:dyDescent="0.2">
      <c r="A1583" s="37" t="s">
        <v>1960</v>
      </c>
      <c r="B1583" s="38" t="s">
        <v>443</v>
      </c>
      <c r="C1583" s="45"/>
      <c r="D1583" s="31"/>
      <c r="E1583" s="31"/>
      <c r="F1583" s="268"/>
      <c r="G1583" s="269"/>
      <c r="H1583" s="269"/>
      <c r="I1583" s="270"/>
      <c r="J1583" s="210" t="s">
        <v>1990</v>
      </c>
      <c r="K1583" s="270"/>
      <c r="L1583" s="270"/>
      <c r="M1583" s="39"/>
      <c r="N1583" s="39"/>
      <c r="O1583" s="156"/>
      <c r="P1583" s="47"/>
      <c r="Q1583" s="57"/>
      <c r="R1583" s="338"/>
      <c r="S1583" s="272"/>
      <c r="T1583" s="273"/>
      <c r="U1583" s="40"/>
      <c r="V1583" s="277"/>
      <c r="W1583" s="269"/>
      <c r="X1583" s="269"/>
      <c r="Y1583" s="275"/>
      <c r="Z1583" s="269"/>
      <c r="AA1583" s="57"/>
      <c r="AB1583" s="207"/>
      <c r="AC1583" s="33"/>
      <c r="AD1583" s="189"/>
      <c r="AE1583" s="54"/>
      <c r="AF1583" s="55"/>
      <c r="AG1583" s="43"/>
      <c r="AH1583" s="47"/>
      <c r="AI1583" s="30"/>
      <c r="AJ1583" s="30"/>
      <c r="AK1583" s="30"/>
      <c r="AL1583" s="30"/>
      <c r="AM1583" s="13"/>
      <c r="AN1583" s="13"/>
      <c r="AO1583" s="13"/>
      <c r="AP1583" s="13"/>
      <c r="AQ1583" s="13"/>
      <c r="AR1583" s="14"/>
      <c r="AS1583" s="15"/>
    </row>
    <row r="1584" spans="1:45" s="17" customFormat="1" ht="30.95" hidden="1" customHeight="1" x14ac:dyDescent="0.2">
      <c r="A1584" s="37"/>
      <c r="B1584" s="38"/>
      <c r="C1584" s="45"/>
      <c r="D1584" s="31"/>
      <c r="E1584" s="31"/>
      <c r="F1584" s="268"/>
      <c r="G1584" s="269"/>
      <c r="H1584" s="269"/>
      <c r="I1584" s="270"/>
      <c r="J1584" s="210"/>
      <c r="K1584" s="270"/>
      <c r="L1584" s="270"/>
      <c r="M1584" s="39"/>
      <c r="N1584" s="39"/>
      <c r="O1584" s="156"/>
      <c r="P1584" s="47"/>
      <c r="Q1584" s="57"/>
      <c r="R1584" s="338"/>
      <c r="S1584" s="272"/>
      <c r="T1584" s="273"/>
      <c r="U1584" s="40"/>
      <c r="V1584" s="277"/>
      <c r="W1584" s="269"/>
      <c r="X1584" s="269"/>
      <c r="Y1584" s="275"/>
      <c r="Z1584" s="269"/>
      <c r="AA1584" s="57"/>
      <c r="AB1584" s="207"/>
      <c r="AC1584" s="33"/>
      <c r="AD1584" s="189"/>
      <c r="AE1584" s="54"/>
      <c r="AF1584" s="55"/>
      <c r="AG1584" s="43"/>
      <c r="AH1584" s="47"/>
      <c r="AI1584" s="30"/>
      <c r="AJ1584" s="30"/>
      <c r="AK1584" s="30"/>
      <c r="AL1584" s="30"/>
      <c r="AM1584" s="13"/>
      <c r="AN1584" s="13"/>
      <c r="AO1584" s="13"/>
      <c r="AP1584" s="13"/>
      <c r="AQ1584" s="13"/>
      <c r="AR1584" s="14"/>
      <c r="AS1584" s="15"/>
    </row>
    <row r="1585" spans="1:45" s="17" customFormat="1" ht="30.95" hidden="1" customHeight="1" x14ac:dyDescent="0.2">
      <c r="A1585" s="37" t="s">
        <v>1965</v>
      </c>
      <c r="B1585" s="38" t="s">
        <v>444</v>
      </c>
      <c r="C1585" s="45"/>
      <c r="D1585" s="31"/>
      <c r="E1585" s="31"/>
      <c r="F1585" s="268"/>
      <c r="G1585" s="269"/>
      <c r="H1585" s="269"/>
      <c r="I1585" s="270"/>
      <c r="J1585" s="210" t="s">
        <v>1990</v>
      </c>
      <c r="K1585" s="270"/>
      <c r="L1585" s="270"/>
      <c r="M1585" s="39"/>
      <c r="N1585" s="39"/>
      <c r="O1585" s="156"/>
      <c r="P1585" s="47"/>
      <c r="Q1585" s="57"/>
      <c r="R1585" s="338"/>
      <c r="S1585" s="272"/>
      <c r="T1585" s="273"/>
      <c r="U1585" s="40"/>
      <c r="V1585" s="277"/>
      <c r="W1585" s="269"/>
      <c r="X1585" s="269"/>
      <c r="Y1585" s="275"/>
      <c r="Z1585" s="269"/>
      <c r="AA1585" s="57"/>
      <c r="AB1585" s="207"/>
      <c r="AC1585" s="33"/>
      <c r="AD1585" s="189"/>
      <c r="AE1585" s="54"/>
      <c r="AF1585" s="55"/>
      <c r="AG1585" s="43"/>
      <c r="AH1585" s="47"/>
      <c r="AI1585" s="30"/>
      <c r="AJ1585" s="30"/>
      <c r="AK1585" s="30"/>
      <c r="AL1585" s="30"/>
      <c r="AM1585" s="13"/>
      <c r="AN1585" s="13"/>
      <c r="AO1585" s="13"/>
      <c r="AP1585" s="13"/>
      <c r="AQ1585" s="13"/>
      <c r="AR1585" s="14"/>
      <c r="AS1585" s="15"/>
    </row>
    <row r="1586" spans="1:45" s="17" customFormat="1" ht="30.95" hidden="1" customHeight="1" x14ac:dyDescent="0.2">
      <c r="A1586" s="37"/>
      <c r="B1586" s="38"/>
      <c r="C1586" s="45"/>
      <c r="D1586" s="31"/>
      <c r="E1586" s="31"/>
      <c r="F1586" s="268"/>
      <c r="G1586" s="269"/>
      <c r="H1586" s="269"/>
      <c r="I1586" s="270"/>
      <c r="J1586" s="210"/>
      <c r="K1586" s="270"/>
      <c r="L1586" s="270"/>
      <c r="M1586" s="39"/>
      <c r="N1586" s="39"/>
      <c r="O1586" s="156"/>
      <c r="P1586" s="47"/>
      <c r="Q1586" s="57"/>
      <c r="R1586" s="338"/>
      <c r="S1586" s="272"/>
      <c r="T1586" s="273"/>
      <c r="U1586" s="40"/>
      <c r="V1586" s="277"/>
      <c r="W1586" s="269"/>
      <c r="X1586" s="269"/>
      <c r="Y1586" s="275"/>
      <c r="Z1586" s="269"/>
      <c r="AA1586" s="57"/>
      <c r="AB1586" s="207"/>
      <c r="AC1586" s="33"/>
      <c r="AD1586" s="189"/>
      <c r="AE1586" s="54"/>
      <c r="AF1586" s="55"/>
      <c r="AG1586" s="43"/>
      <c r="AH1586" s="47"/>
      <c r="AI1586" s="30"/>
      <c r="AJ1586" s="30"/>
      <c r="AK1586" s="30"/>
      <c r="AL1586" s="30"/>
      <c r="AM1586" s="13"/>
      <c r="AN1586" s="13"/>
      <c r="AO1586" s="13"/>
      <c r="AP1586" s="13"/>
      <c r="AQ1586" s="13"/>
      <c r="AR1586" s="14"/>
      <c r="AS1586" s="15"/>
    </row>
    <row r="1587" spans="1:45" s="17" customFormat="1" ht="30.95" hidden="1" customHeight="1" x14ac:dyDescent="0.2">
      <c r="A1587" s="37" t="s">
        <v>1966</v>
      </c>
      <c r="B1587" s="38" t="s">
        <v>445</v>
      </c>
      <c r="C1587" s="45"/>
      <c r="D1587" s="31"/>
      <c r="E1587" s="31"/>
      <c r="F1587" s="268"/>
      <c r="G1587" s="269"/>
      <c r="H1587" s="269"/>
      <c r="I1587" s="270"/>
      <c r="J1587" s="210" t="s">
        <v>665</v>
      </c>
      <c r="K1587" s="270"/>
      <c r="L1587" s="270"/>
      <c r="M1587" s="39"/>
      <c r="N1587" s="39"/>
      <c r="O1587" s="156"/>
      <c r="P1587" s="47"/>
      <c r="Q1587" s="57"/>
      <c r="R1587" s="338"/>
      <c r="S1587" s="272"/>
      <c r="T1587" s="273"/>
      <c r="U1587" s="40"/>
      <c r="V1587" s="277"/>
      <c r="W1587" s="269"/>
      <c r="X1587" s="269"/>
      <c r="Y1587" s="275"/>
      <c r="Z1587" s="269"/>
      <c r="AA1587" s="57"/>
      <c r="AB1587" s="207"/>
      <c r="AC1587" s="33"/>
      <c r="AD1587" s="189"/>
      <c r="AE1587" s="54"/>
      <c r="AF1587" s="55"/>
      <c r="AG1587" s="43"/>
      <c r="AH1587" s="47"/>
      <c r="AI1587" s="30"/>
      <c r="AJ1587" s="30"/>
      <c r="AK1587" s="30"/>
      <c r="AL1587" s="30"/>
      <c r="AM1587" s="13"/>
      <c r="AN1587" s="13"/>
      <c r="AO1587" s="13"/>
      <c r="AP1587" s="13"/>
      <c r="AQ1587" s="13"/>
      <c r="AR1587" s="14"/>
      <c r="AS1587" s="15"/>
    </row>
    <row r="1588" spans="1:45" s="17" customFormat="1" ht="30.95" hidden="1" customHeight="1" x14ac:dyDescent="0.2">
      <c r="A1588" s="37"/>
      <c r="B1588" s="38"/>
      <c r="C1588" s="45"/>
      <c r="D1588" s="31"/>
      <c r="E1588" s="31"/>
      <c r="F1588" s="268"/>
      <c r="G1588" s="269"/>
      <c r="H1588" s="269"/>
      <c r="I1588" s="270"/>
      <c r="J1588" s="210"/>
      <c r="K1588" s="270"/>
      <c r="L1588" s="270"/>
      <c r="M1588" s="39"/>
      <c r="N1588" s="39"/>
      <c r="O1588" s="156"/>
      <c r="P1588" s="47"/>
      <c r="Q1588" s="57"/>
      <c r="R1588" s="338"/>
      <c r="S1588" s="272"/>
      <c r="T1588" s="273"/>
      <c r="U1588" s="40"/>
      <c r="V1588" s="277"/>
      <c r="W1588" s="269"/>
      <c r="X1588" s="269"/>
      <c r="Y1588" s="275"/>
      <c r="Z1588" s="269"/>
      <c r="AA1588" s="57"/>
      <c r="AB1588" s="207"/>
      <c r="AC1588" s="33"/>
      <c r="AD1588" s="189"/>
      <c r="AE1588" s="54"/>
      <c r="AF1588" s="55"/>
      <c r="AG1588" s="43"/>
      <c r="AH1588" s="47"/>
      <c r="AI1588" s="30"/>
      <c r="AJ1588" s="30"/>
      <c r="AK1588" s="30"/>
      <c r="AL1588" s="30"/>
      <c r="AM1588" s="13"/>
      <c r="AN1588" s="13"/>
      <c r="AO1588" s="13"/>
      <c r="AP1588" s="13"/>
      <c r="AQ1588" s="13"/>
      <c r="AR1588" s="14"/>
      <c r="AS1588" s="15"/>
    </row>
    <row r="1589" spans="1:45" s="17" customFormat="1" ht="30.95" hidden="1" customHeight="1" x14ac:dyDescent="0.2">
      <c r="A1589" s="37" t="s">
        <v>1933</v>
      </c>
      <c r="B1589" s="38" t="s">
        <v>392</v>
      </c>
      <c r="C1589" s="45"/>
      <c r="D1589" s="31"/>
      <c r="E1589" s="31"/>
      <c r="F1589" s="268"/>
      <c r="G1589" s="269"/>
      <c r="H1589" s="269"/>
      <c r="I1589" s="270"/>
      <c r="J1589" s="210" t="s">
        <v>448</v>
      </c>
      <c r="K1589" s="270"/>
      <c r="L1589" s="270"/>
      <c r="M1589" s="39"/>
      <c r="N1589" s="39"/>
      <c r="O1589" s="156"/>
      <c r="P1589" s="47"/>
      <c r="Q1589" s="57"/>
      <c r="R1589" s="338"/>
      <c r="S1589" s="272"/>
      <c r="T1589" s="273"/>
      <c r="U1589" s="40"/>
      <c r="V1589" s="277"/>
      <c r="W1589" s="269"/>
      <c r="X1589" s="269"/>
      <c r="Y1589" s="275"/>
      <c r="Z1589" s="269"/>
      <c r="AA1589" s="57"/>
      <c r="AB1589" s="207"/>
      <c r="AC1589" s="33"/>
      <c r="AD1589" s="189"/>
      <c r="AE1589" s="54"/>
      <c r="AF1589" s="55"/>
      <c r="AG1589" s="43"/>
      <c r="AH1589" s="47"/>
      <c r="AI1589" s="30"/>
      <c r="AJ1589" s="30"/>
      <c r="AK1589" s="30"/>
      <c r="AL1589" s="30"/>
      <c r="AM1589" s="13"/>
      <c r="AN1589" s="13"/>
      <c r="AO1589" s="13"/>
      <c r="AP1589" s="13"/>
      <c r="AQ1589" s="13"/>
      <c r="AR1589" s="14"/>
      <c r="AS1589" s="15"/>
    </row>
    <row r="1590" spans="1:45" s="17" customFormat="1" ht="30.95" hidden="1" customHeight="1" x14ac:dyDescent="0.2">
      <c r="A1590" s="37"/>
      <c r="B1590" s="38"/>
      <c r="C1590" s="45"/>
      <c r="D1590" s="31"/>
      <c r="E1590" s="31"/>
      <c r="F1590" s="268"/>
      <c r="G1590" s="269"/>
      <c r="H1590" s="269"/>
      <c r="I1590" s="270"/>
      <c r="J1590" s="210"/>
      <c r="K1590" s="270"/>
      <c r="L1590" s="270"/>
      <c r="M1590" s="39"/>
      <c r="N1590" s="39"/>
      <c r="O1590" s="156"/>
      <c r="P1590" s="47"/>
      <c r="Q1590" s="57"/>
      <c r="R1590" s="338"/>
      <c r="S1590" s="272"/>
      <c r="T1590" s="273"/>
      <c r="U1590" s="40"/>
      <c r="V1590" s="277"/>
      <c r="W1590" s="269"/>
      <c r="X1590" s="269"/>
      <c r="Y1590" s="275"/>
      <c r="Z1590" s="269"/>
      <c r="AA1590" s="57"/>
      <c r="AB1590" s="207"/>
      <c r="AC1590" s="33"/>
      <c r="AD1590" s="189"/>
      <c r="AE1590" s="54"/>
      <c r="AF1590" s="55"/>
      <c r="AG1590" s="43"/>
      <c r="AH1590" s="47"/>
      <c r="AI1590" s="30"/>
      <c r="AJ1590" s="30"/>
      <c r="AK1590" s="30"/>
      <c r="AL1590" s="30"/>
      <c r="AM1590" s="13"/>
      <c r="AN1590" s="13"/>
      <c r="AO1590" s="13"/>
      <c r="AP1590" s="13"/>
      <c r="AQ1590" s="13"/>
      <c r="AR1590" s="14"/>
      <c r="AS1590" s="15"/>
    </row>
    <row r="1591" spans="1:45" s="17" customFormat="1" ht="30.95" hidden="1" customHeight="1" x14ac:dyDescent="0.2">
      <c r="A1591" s="37" t="s">
        <v>1968</v>
      </c>
      <c r="B1591" s="38" t="s">
        <v>1969</v>
      </c>
      <c r="C1591" s="45"/>
      <c r="D1591" s="31"/>
      <c r="E1591" s="31"/>
      <c r="F1591" s="268"/>
      <c r="G1591" s="269"/>
      <c r="H1591" s="269"/>
      <c r="I1591" s="270"/>
      <c r="J1591" s="210" t="s">
        <v>665</v>
      </c>
      <c r="K1591" s="270"/>
      <c r="L1591" s="270"/>
      <c r="M1591" s="39"/>
      <c r="N1591" s="39"/>
      <c r="O1591" s="156"/>
      <c r="P1591" s="47"/>
      <c r="Q1591" s="57"/>
      <c r="R1591" s="338"/>
      <c r="S1591" s="272"/>
      <c r="T1591" s="273"/>
      <c r="U1591" s="40"/>
      <c r="V1591" s="277"/>
      <c r="W1591" s="269"/>
      <c r="X1591" s="269"/>
      <c r="Y1591" s="275"/>
      <c r="Z1591" s="269"/>
      <c r="AA1591" s="57"/>
      <c r="AB1591" s="207"/>
      <c r="AC1591" s="33"/>
      <c r="AD1591" s="189"/>
      <c r="AE1591" s="54"/>
      <c r="AF1591" s="55"/>
      <c r="AG1591" s="43"/>
      <c r="AH1591" s="47"/>
      <c r="AI1591" s="30"/>
      <c r="AJ1591" s="30"/>
      <c r="AK1591" s="30"/>
      <c r="AL1591" s="30"/>
      <c r="AM1591" s="13"/>
      <c r="AN1591" s="13"/>
      <c r="AO1591" s="13"/>
      <c r="AP1591" s="13"/>
      <c r="AQ1591" s="13"/>
      <c r="AR1591" s="14"/>
      <c r="AS1591" s="15"/>
    </row>
    <row r="1592" spans="1:45" s="17" customFormat="1" ht="30.95" hidden="1" customHeight="1" x14ac:dyDescent="0.2">
      <c r="A1592" s="37"/>
      <c r="B1592" s="38"/>
      <c r="C1592" s="45"/>
      <c r="D1592" s="31"/>
      <c r="E1592" s="31"/>
      <c r="F1592" s="268"/>
      <c r="G1592" s="269"/>
      <c r="H1592" s="269"/>
      <c r="I1592" s="270"/>
      <c r="J1592" s="210"/>
      <c r="K1592" s="270"/>
      <c r="L1592" s="270"/>
      <c r="M1592" s="39"/>
      <c r="N1592" s="39"/>
      <c r="O1592" s="156"/>
      <c r="P1592" s="47"/>
      <c r="Q1592" s="57"/>
      <c r="R1592" s="338"/>
      <c r="S1592" s="272"/>
      <c r="T1592" s="273"/>
      <c r="U1592" s="40"/>
      <c r="V1592" s="277"/>
      <c r="W1592" s="269"/>
      <c r="X1592" s="269"/>
      <c r="Y1592" s="275"/>
      <c r="Z1592" s="269"/>
      <c r="AA1592" s="57"/>
      <c r="AB1592" s="207"/>
      <c r="AC1592" s="33"/>
      <c r="AD1592" s="189"/>
      <c r="AE1592" s="54"/>
      <c r="AF1592" s="55"/>
      <c r="AG1592" s="43"/>
      <c r="AH1592" s="47"/>
      <c r="AI1592" s="30"/>
      <c r="AJ1592" s="30"/>
      <c r="AK1592" s="30"/>
      <c r="AL1592" s="30"/>
      <c r="AM1592" s="13"/>
      <c r="AN1592" s="13"/>
      <c r="AO1592" s="13"/>
      <c r="AP1592" s="13"/>
      <c r="AQ1592" s="13"/>
      <c r="AR1592" s="14"/>
      <c r="AS1592" s="15"/>
    </row>
    <row r="1593" spans="1:45" s="17" customFormat="1" ht="30.95" hidden="1" customHeight="1" x14ac:dyDescent="0.2">
      <c r="A1593" s="37" t="s">
        <v>1987</v>
      </c>
      <c r="B1593" s="38" t="s">
        <v>1973</v>
      </c>
      <c r="C1593" s="45"/>
      <c r="D1593" s="31">
        <v>3741600</v>
      </c>
      <c r="E1593" s="31">
        <v>4162218</v>
      </c>
      <c r="F1593" s="268" t="str">
        <f>IF(D1593="","",VLOOKUP(D1593,契約台帳!$A$3:$K$4986,6,FALSE)&amp;VLOOKUP(D1593,契約台帳!$A$3:$K$4986,7,FALSE)&amp;VLOOKUP(D1593,契約台帳!$A$3:$K$4986,8,FALSE)&amp;VLOOKUP(D1593,契約台帳!$A$3:$K$4986,9,FALSE)&amp;VLOOKUP(D1593,契約台帳!$A$3:$K$4986,11,FALSE))</f>
        <v>3SNMLBMTSF</v>
      </c>
      <c r="G1593" s="269" t="str">
        <f>IF(D1593="","",VLOOKUP(F1593,製品マスタ!$G$5:$H$5002,2,FALSE))</f>
        <v>S</v>
      </c>
      <c r="H1593" s="269" t="str">
        <f>IF(D1593="","",VLOOKUP(F1593,製品マスタ!$G$5:$K$5002,5,FALSE))</f>
        <v>MTSF</v>
      </c>
      <c r="I1593" s="270" t="str">
        <f>IF(D1593="","",VLOOKUP(F1593,製品マスタ!$G$5:$L$5002,6,FALSE))</f>
        <v>メタルミー　ＴＳ</v>
      </c>
      <c r="J1593" s="210" t="s">
        <v>935</v>
      </c>
      <c r="K1593" s="270">
        <f>IF(D1593="","",VLOOKUP(D1593,契約台帳!$A$3:$L$4986,12,FALSE))</f>
        <v>50</v>
      </c>
      <c r="L1593" s="270" t="str">
        <f>IF(D1593="","",INDEX(製品マスタ!$Q$5:$Q$5002,MATCH('S4'!F1593&amp;'S4'!K1593,製品マスタ!$AO$5:$AO$5002,0)))</f>
        <v>T62M</v>
      </c>
      <c r="M1593" s="39">
        <v>1255</v>
      </c>
      <c r="N1593" s="39">
        <v>6100</v>
      </c>
      <c r="O1593" s="156">
        <v>6</v>
      </c>
      <c r="P1593" s="47">
        <v>2</v>
      </c>
      <c r="Q1593" s="213">
        <v>45335</v>
      </c>
      <c r="R1593" s="271">
        <f ca="1">IF(D1593="","",IF(OFFSET(D1593,-1,0)&lt;&gt;"","",IF(OR(J1593="リード付け",J1593="巻足し",J1593="巻返しリード付け"),M1593,VLOOKUP(D1593,契約台帳!$A$3:$N$4986,14,FALSE))))</f>
        <v>1255</v>
      </c>
      <c r="S1593" s="272">
        <f ca="1">IF(D1593="","",IF(OFFSET(D1593,-1,0)&lt;&gt;"","",IF(OR(J1593="リード付け",J1593="巻足し",J1593="巻返しリード付け"),M1593,VLOOKUP(D1593,契約台帳!$A$3:$O$4986,15,FALSE))))</f>
        <v>1255</v>
      </c>
      <c r="T1593" s="273">
        <f ca="1">IF(D1593="","",IF(J1593="リード付け",N1593,IF(J1593="巻返しリード付け",N1593,IF(J1593="巻足し",N1593*P1593+OFFSET(N1593,1,0)*OFFSET(P1593,1,0),VLOOKUP(D1593,契約台帳!$A$3:$P$4986,16,FALSE)))))</f>
        <v>12200</v>
      </c>
      <c r="U1593" s="40">
        <v>3</v>
      </c>
      <c r="V1593" s="274">
        <f ca="1">IF(D1593="","",IF(OFFSET(D1593,-2,0)=D1593,"",VLOOKUP(D1593,契約台帳!$A$3:$R$4986,18,FALSE)))</f>
        <v>21</v>
      </c>
      <c r="W1593" s="269" t="str">
        <f ca="1">IF(D1593="","",IF(T1593="","",IF(OR(J1593="巻足し",J1593="巻返しリード付け"),"",IF(J1593="巻返し",VLOOKUP(F1593&amp;K1593&amp;M1593,製品マスタ!$M$5:$AD$5002,18,FALSE),IF(OR(J1593="リード付け",J1593="巻返しリード付け"),"原反コア",IF(J1593="スリット",VLOOKUP(F1593&amp;K1593&amp;R1593,製品マスタ!$N$5:$AD$5002,17,FALSE),""))))))</f>
        <v/>
      </c>
      <c r="X1593" s="269" t="str">
        <f ca="1">IF(D1593="","",IF(T1593="","",IF(J1593="巻足し","",IF(J1593="巻返し",VLOOKUP(F1593&amp;K1593&amp;M1593,製品マスタ!$M$5:$AE$5002,19,FALSE),IF(OR(J1593="リード付け",J1593="巻返しリード付け"),"",IF(J1593="スリット",VLOOKUP(F1593&amp;K1593&amp;R1593,製品マスタ!$N$5:$AE$5002,18,FALSE),""))))))</f>
        <v/>
      </c>
      <c r="Y1593" s="275">
        <f ca="1">IF(D1593="","",IF(T1593="","",VLOOKUP(D1593,契約台帳!$A$3:$Q$4986,17,FALSE)))</f>
        <v>2</v>
      </c>
      <c r="Z1593" s="269" t="str">
        <f ca="1">IF(D1593="","",IF(T1593="","",VLOOKUP(D1593,契約台帳!$A$3:$E$4986,5,FALSE)))</f>
        <v>日東電工㈱豊橋工場</v>
      </c>
      <c r="AA1593" s="57"/>
      <c r="AB1593" s="207">
        <f>IFERROR((VLOOKUP(F1593&amp;K1593&amp;M1593,製品マスタ!$M$5:$AM$5002,27,FALSE)),"")</f>
        <v>0</v>
      </c>
      <c r="AC1593" s="33"/>
      <c r="AD1593" s="189"/>
      <c r="AE1593" s="54"/>
      <c r="AF1593" s="55">
        <f>+M1593*N1593*O1593/1000</f>
        <v>45933</v>
      </c>
      <c r="AG1593" s="43"/>
      <c r="AH1593" s="47"/>
      <c r="AI1593" s="30"/>
      <c r="AJ1593" s="30"/>
      <c r="AK1593" s="30"/>
      <c r="AL1593" s="30"/>
      <c r="AM1593" s="13"/>
      <c r="AN1593" s="13"/>
      <c r="AO1593" s="13"/>
      <c r="AP1593" s="13"/>
      <c r="AQ1593" s="13"/>
      <c r="AR1593" s="14"/>
      <c r="AS1593" s="15"/>
    </row>
    <row r="1594" spans="1:45" s="17" customFormat="1" ht="30.95" hidden="1" customHeight="1" x14ac:dyDescent="0.2">
      <c r="A1594" s="37"/>
      <c r="B1594" s="38"/>
      <c r="C1594" s="45"/>
      <c r="D1594" s="31"/>
      <c r="E1594" s="31"/>
      <c r="F1594" s="268"/>
      <c r="G1594" s="269"/>
      <c r="H1594" s="269"/>
      <c r="I1594" s="270"/>
      <c r="J1594" s="210"/>
      <c r="K1594" s="270"/>
      <c r="L1594" s="270"/>
      <c r="M1594" s="39"/>
      <c r="N1594" s="39"/>
      <c r="O1594" s="156"/>
      <c r="P1594" s="47"/>
      <c r="Q1594" s="419"/>
      <c r="R1594" s="338"/>
      <c r="S1594" s="272"/>
      <c r="T1594" s="273"/>
      <c r="U1594" s="40"/>
      <c r="V1594" s="277"/>
      <c r="W1594" s="269"/>
      <c r="X1594" s="269"/>
      <c r="Y1594" s="275"/>
      <c r="Z1594" s="269"/>
      <c r="AA1594" s="57"/>
      <c r="AB1594" s="207"/>
      <c r="AC1594" s="33"/>
      <c r="AD1594" s="189"/>
      <c r="AE1594" s="54"/>
      <c r="AF1594" s="55"/>
      <c r="AG1594" s="43"/>
      <c r="AH1594" s="47"/>
      <c r="AI1594" s="30"/>
      <c r="AJ1594" s="30"/>
      <c r="AK1594" s="30"/>
      <c r="AL1594" s="30"/>
      <c r="AM1594" s="13"/>
      <c r="AN1594" s="13"/>
      <c r="AO1594" s="13"/>
      <c r="AP1594" s="13"/>
      <c r="AQ1594" s="13"/>
      <c r="AR1594" s="14"/>
      <c r="AS1594" s="15"/>
    </row>
    <row r="1595" spans="1:45" s="17" customFormat="1" ht="30.95" hidden="1" customHeight="1" x14ac:dyDescent="0.2">
      <c r="A1595" s="37"/>
      <c r="B1595" s="38"/>
      <c r="C1595" s="45"/>
      <c r="D1595" s="31">
        <v>3741600</v>
      </c>
      <c r="E1595" s="31">
        <v>4162217</v>
      </c>
      <c r="F1595" s="268" t="str">
        <f>IF(D1595="","",VLOOKUP(D1595,契約台帳!$A$3:$K$4986,6,FALSE)&amp;VLOOKUP(D1595,契約台帳!$A$3:$K$4986,7,FALSE)&amp;VLOOKUP(D1595,契約台帳!$A$3:$K$4986,8,FALSE)&amp;VLOOKUP(D1595,契約台帳!$A$3:$K$4986,9,FALSE)&amp;VLOOKUP(D1595,契約台帳!$A$3:$K$4986,11,FALSE))</f>
        <v>3SNMLBMTSF</v>
      </c>
      <c r="G1595" s="269" t="str">
        <f>IF(D1595="","",VLOOKUP(F1595,製品マスタ!$G$5:$H$5002,2,FALSE))</f>
        <v>S</v>
      </c>
      <c r="H1595" s="269" t="str">
        <f>IF(D1595="","",VLOOKUP(F1595,製品マスタ!$G$5:$K$5002,5,FALSE))</f>
        <v>MTSF</v>
      </c>
      <c r="I1595" s="270" t="str">
        <f>IF(D1595="","",VLOOKUP(F1595,製品マスタ!$G$5:$L$5002,6,FALSE))</f>
        <v>メタルミー　ＴＳ</v>
      </c>
      <c r="J1595" s="210" t="s">
        <v>935</v>
      </c>
      <c r="K1595" s="270">
        <f>IF(D1595="","",VLOOKUP(D1595,契約台帳!$A$3:$L$4986,12,FALSE))</f>
        <v>50</v>
      </c>
      <c r="L1595" s="270" t="str">
        <f>IF(D1595="","",INDEX(製品マスタ!$Q$5:$Q$5002,MATCH('S4'!F1595&amp;'S4'!K1595,製品マスタ!$AO$5:$AO$5002,0)))</f>
        <v>T62M</v>
      </c>
      <c r="M1595" s="39">
        <v>1255</v>
      </c>
      <c r="N1595" s="39">
        <v>6100</v>
      </c>
      <c r="O1595" s="156">
        <v>1</v>
      </c>
      <c r="P1595" s="47">
        <v>2</v>
      </c>
      <c r="Q1595" s="213">
        <v>45335</v>
      </c>
      <c r="R1595" s="271">
        <f ca="1">IF(D1595="","",IF(OFFSET(D1595,-1,0)&lt;&gt;"","",IF(OR(J1595="リード付け",J1595="巻足し",J1595="巻返しリード付け"),M1595,VLOOKUP(D1595,契約台帳!$A$3:$N$4986,14,FALSE))))</f>
        <v>1255</v>
      </c>
      <c r="S1595" s="272">
        <f ca="1">IF(D1595="","",IF(OFFSET(D1595,-1,0)&lt;&gt;"","",IF(OR(J1595="リード付け",J1595="巻足し",J1595="巻返しリード付け"),M1595,VLOOKUP(D1595,契約台帳!$A$3:$O$4986,15,FALSE))))</f>
        <v>1255</v>
      </c>
      <c r="T1595" s="273">
        <f ca="1">IF(D1595="","",IF(J1595="リード付け",N1595,IF(J1595="巻返しリード付け",N1595,IF(J1595="巻足し",N1595*P1595+OFFSET(N1595,1,0)*OFFSET(P1595,1,0),VLOOKUP(D1595,契約台帳!$A$3:$P$4986,16,FALSE)))))</f>
        <v>12200</v>
      </c>
      <c r="U1595" s="40">
        <v>1</v>
      </c>
      <c r="V1595" s="274" t="str">
        <f ca="1">IF(D1595="","",IF(OFFSET(D1595,-2,0)=D1595,"",VLOOKUP(D1595,契約台帳!$A$3:$R$4986,18,FALSE)))</f>
        <v/>
      </c>
      <c r="W1595" s="269" t="str">
        <f ca="1">IF(D1595="","",IF(T1595="","",IF(OR(J1595="巻足し",J1595="巻返しリード付け"),"",IF(J1595="巻返し",VLOOKUP(F1595&amp;K1595&amp;M1595,製品マスタ!$M$5:$AD$5002,18,FALSE),IF(OR(J1595="リード付け",J1595="巻返しリード付け"),"原反コア",IF(J1595="スリット",VLOOKUP(F1595&amp;K1595&amp;R1595,製品マスタ!$N$5:$AD$5002,17,FALSE),""))))))</f>
        <v/>
      </c>
      <c r="X1595" s="269" t="str">
        <f ca="1">IF(D1595="","",IF(T1595="","",IF(J1595="巻足し","",IF(J1595="巻返し",VLOOKUP(F1595&amp;K1595&amp;M1595,製品マスタ!$M$5:$AE$5002,19,FALSE),IF(OR(J1595="リード付け",J1595="巻返しリード付け"),"",IF(J1595="スリット",VLOOKUP(F1595&amp;K1595&amp;R1595,製品マスタ!$N$5:$AE$5002,18,FALSE),""))))))</f>
        <v/>
      </c>
      <c r="Y1595" s="275">
        <f ca="1">IF(D1595="","",IF(T1595="","",VLOOKUP(D1595,契約台帳!$A$3:$Q$4986,17,FALSE)))</f>
        <v>2</v>
      </c>
      <c r="Z1595" s="269" t="str">
        <f ca="1">IF(D1595="","",IF(T1595="","",VLOOKUP(D1595,契約台帳!$A$3:$E$4986,5,FALSE)))</f>
        <v>日東電工㈱豊橋工場</v>
      </c>
      <c r="AA1595" s="57"/>
      <c r="AB1595" s="207">
        <f>IFERROR((VLOOKUP(F1595&amp;K1595&amp;M1595,製品マスタ!$M$5:$AM$5002,27,FALSE)),"")</f>
        <v>0</v>
      </c>
      <c r="AC1595" s="33"/>
      <c r="AD1595" s="189"/>
      <c r="AE1595" s="54"/>
      <c r="AF1595" s="55">
        <f>+M1595*N1595*O1595/1000</f>
        <v>7655.5</v>
      </c>
      <c r="AG1595" s="43"/>
      <c r="AH1595" s="47"/>
      <c r="AI1595" s="30"/>
      <c r="AJ1595" s="30"/>
      <c r="AK1595" s="30"/>
      <c r="AL1595" s="30"/>
      <c r="AM1595" s="13"/>
      <c r="AN1595" s="13"/>
      <c r="AO1595" s="13"/>
      <c r="AP1595" s="13"/>
      <c r="AQ1595" s="13"/>
      <c r="AR1595" s="14"/>
      <c r="AS1595" s="15"/>
    </row>
    <row r="1596" spans="1:45" s="17" customFormat="1" ht="30.95" hidden="1" customHeight="1" x14ac:dyDescent="0.2">
      <c r="A1596" s="37"/>
      <c r="B1596" s="38"/>
      <c r="C1596" s="45"/>
      <c r="D1596" s="31">
        <v>3744746</v>
      </c>
      <c r="E1596" s="31"/>
      <c r="F1596" s="268" t="str">
        <f>IF(D1596="","",VLOOKUP(D1596,契約台帳!$A$3:$K$4986,6,FALSE)&amp;VLOOKUP(D1596,契約台帳!$A$3:$K$4986,7,FALSE)&amp;VLOOKUP(D1596,契約台帳!$A$3:$K$4986,8,FALSE)&amp;VLOOKUP(D1596,契約台帳!$A$3:$K$4986,9,FALSE)&amp;VLOOKUP(D1596,契約台帳!$A$3:$K$4986,11,FALSE))</f>
        <v>3TNMLBMTSF</v>
      </c>
      <c r="G1596" s="269" t="str">
        <f>IF(D1596="","",VLOOKUP(F1596,製品マスタ!$G$5:$H$5002,2,FALSE))</f>
        <v>T</v>
      </c>
      <c r="H1596" s="269" t="str">
        <f>IF(D1596="","",VLOOKUP(F1596,製品マスタ!$G$5:$K$5002,5,FALSE))</f>
        <v>MTSF</v>
      </c>
      <c r="I1596" s="270" t="str">
        <f>IF(D1596="","",VLOOKUP(F1596,製品マスタ!$G$5:$L$5002,6,FALSE))</f>
        <v>メタルミー　ＴＳ</v>
      </c>
      <c r="J1596" s="210" t="s">
        <v>935</v>
      </c>
      <c r="K1596" s="270">
        <f>IF(D1596="","",VLOOKUP(D1596,契約台帳!$A$3:$L$4986,12,FALSE))</f>
        <v>50</v>
      </c>
      <c r="L1596" s="270" t="str">
        <f>IF(D1596="","",INDEX(製品マスタ!$Q$5:$Q$5002,MATCH('S4'!F1596&amp;'S4'!K1596,製品マスタ!$AO$5:$AO$5002,0)))</f>
        <v>T62M</v>
      </c>
      <c r="M1596" s="39">
        <v>1255</v>
      </c>
      <c r="N1596" s="39">
        <v>6100</v>
      </c>
      <c r="O1596" s="156">
        <v>1</v>
      </c>
      <c r="P1596" s="47"/>
      <c r="Q1596" s="213">
        <v>45335</v>
      </c>
      <c r="R1596" s="271" t="str">
        <f ca="1">IF(D1596="","",IF(OFFSET(D1596,-1,0)&lt;&gt;"","",IF(OR(J1596="リード付け",J1596="巻足し",J1596="巻返しリード付け"),M1596,VLOOKUP(D1596,契約台帳!$A$3:$N$4986,14,FALSE))))</f>
        <v/>
      </c>
      <c r="S1596" s="272" t="str">
        <f ca="1">IF(D1596="","",IF(OFFSET(D1596,-1,0)&lt;&gt;"","",IF(OR(J1596="リード付け",J1596="巻足し",J1596="巻返しリード付け"),M1596,VLOOKUP(D1596,契約台帳!$A$3:$O$4986,15,FALSE))))</f>
        <v/>
      </c>
      <c r="T1596" s="273">
        <f ca="1">IF(D1596="","",IF(J1596="リード付け",N1596,IF(J1596="巻返しリード付け",N1596,IF(J1596="巻足し",N1596*P1596+OFFSET(N1596,1,0)*OFFSET(P1596,1,0),VLOOKUP(D1596,契約台帳!$A$3:$P$4986,16,FALSE)))))</f>
        <v>0</v>
      </c>
      <c r="U1596" s="40"/>
      <c r="V1596" s="274">
        <f ca="1">IF(D1596="","",IF(OFFSET(D1596,-2,0)=D1596,"",VLOOKUP(D1596,契約台帳!$A$3:$R$4986,18,FALSE)))</f>
        <v>2</v>
      </c>
      <c r="W1596" s="269" t="str">
        <f ca="1">IF(D1596="","",IF(T1596="","",IF(OR(J1596="巻足し",J1596="巻返しリード付け"),"",IF(J1596="巻返し",VLOOKUP(F1596&amp;K1596&amp;M1596,製品マスタ!$M$5:$AD$5002,18,FALSE),IF(OR(J1596="リード付け",J1596="巻返しリード付け"),"原反コア",IF(J1596="スリット",VLOOKUP(F1596&amp;K1596&amp;R1596,製品マスタ!$N$5:$AD$5002,17,FALSE),""))))))</f>
        <v/>
      </c>
      <c r="X1596" s="269" t="str">
        <f ca="1">IF(D1596="","",IF(T1596="","",IF(J1596="巻足し","",IF(J1596="巻返し",VLOOKUP(F1596&amp;K1596&amp;M1596,製品マスタ!$M$5:$AE$5002,19,FALSE),IF(OR(J1596="リード付け",J1596="巻返しリード付け"),"",IF(J1596="スリット",VLOOKUP(F1596&amp;K1596&amp;R1596,製品マスタ!$N$5:$AE$5002,18,FALSE),""))))))</f>
        <v/>
      </c>
      <c r="Y1596" s="275">
        <f ca="1">IF(D1596="","",IF(T1596="","",VLOOKUP(D1596,契約台帳!$A$3:$Q$4986,17,FALSE)))</f>
        <v>2</v>
      </c>
      <c r="Z1596" s="269" t="str">
        <f ca="1">IF(D1596="","",IF(T1596="","",VLOOKUP(D1596,契約台帳!$A$3:$E$4986,5,FALSE)))</f>
        <v>日東電工㈱豊橋工場</v>
      </c>
      <c r="AA1596" s="57"/>
      <c r="AB1596" s="207" t="s">
        <v>774</v>
      </c>
      <c r="AC1596" s="33"/>
      <c r="AD1596" s="189"/>
      <c r="AE1596" s="54"/>
      <c r="AF1596" s="55">
        <f>+M1596*N1596*O1596/1000</f>
        <v>7655.5</v>
      </c>
      <c r="AG1596" s="43"/>
      <c r="AH1596" s="47"/>
      <c r="AI1596" s="30"/>
      <c r="AJ1596" s="30"/>
      <c r="AK1596" s="30"/>
      <c r="AL1596" s="30"/>
      <c r="AM1596" s="13"/>
      <c r="AN1596" s="13"/>
      <c r="AO1596" s="13"/>
      <c r="AP1596" s="13"/>
      <c r="AQ1596" s="13"/>
      <c r="AR1596" s="14"/>
      <c r="AS1596" s="15"/>
    </row>
    <row r="1597" spans="1:45" s="17" customFormat="1" ht="30.95" hidden="1" customHeight="1" x14ac:dyDescent="0.2">
      <c r="A1597" s="37"/>
      <c r="B1597" s="38"/>
      <c r="C1597" s="45"/>
      <c r="D1597" s="31"/>
      <c r="E1597" s="31"/>
      <c r="F1597" s="268"/>
      <c r="G1597" s="269"/>
      <c r="H1597" s="269"/>
      <c r="I1597" s="270"/>
      <c r="J1597" s="210"/>
      <c r="K1597" s="270"/>
      <c r="L1597" s="270"/>
      <c r="M1597" s="39"/>
      <c r="N1597" s="39"/>
      <c r="O1597" s="156"/>
      <c r="P1597" s="47"/>
      <c r="Q1597" s="419"/>
      <c r="R1597" s="338"/>
      <c r="S1597" s="272"/>
      <c r="T1597" s="273"/>
      <c r="U1597" s="40"/>
      <c r="V1597" s="277"/>
      <c r="W1597" s="269"/>
      <c r="X1597" s="269"/>
      <c r="Y1597" s="275"/>
      <c r="Z1597" s="269"/>
      <c r="AA1597" s="57"/>
      <c r="AB1597" s="207"/>
      <c r="AC1597" s="33"/>
      <c r="AD1597" s="189"/>
      <c r="AE1597" s="54"/>
      <c r="AF1597" s="55"/>
      <c r="AG1597" s="43"/>
      <c r="AH1597" s="47"/>
      <c r="AI1597" s="30"/>
      <c r="AJ1597" s="30"/>
      <c r="AK1597" s="30"/>
      <c r="AL1597" s="30"/>
      <c r="AM1597" s="13"/>
      <c r="AN1597" s="13"/>
      <c r="AO1597" s="13"/>
      <c r="AP1597" s="13"/>
      <c r="AQ1597" s="13"/>
      <c r="AR1597" s="14"/>
      <c r="AS1597" s="15"/>
    </row>
    <row r="1598" spans="1:45" s="17" customFormat="1" ht="30.95" hidden="1" customHeight="1" x14ac:dyDescent="0.2">
      <c r="A1598" s="37"/>
      <c r="B1598" s="38"/>
      <c r="C1598" s="45"/>
      <c r="D1598" s="31">
        <v>3741612</v>
      </c>
      <c r="E1598" s="31">
        <v>4162203</v>
      </c>
      <c r="F1598" s="268" t="str">
        <f>IF(D1598="","",VLOOKUP(D1598,契約台帳!$A$3:$K$4986,6,FALSE)&amp;VLOOKUP(D1598,契約台帳!$A$3:$K$4986,7,FALSE)&amp;VLOOKUP(D1598,契約台帳!$A$3:$K$4986,8,FALSE)&amp;VLOOKUP(D1598,契約台帳!$A$3:$K$4986,9,FALSE)&amp;VLOOKUP(D1598,契約台帳!$A$3:$K$4986,11,FALSE))</f>
        <v>3SNMLBMNGTBF</v>
      </c>
      <c r="G1598" s="269" t="str">
        <f>IF(D1598="","",VLOOKUP(F1598,製品マスタ!$G$5:$H$5002,2,FALSE))</f>
        <v>S</v>
      </c>
      <c r="H1598" s="269" t="str">
        <f>IF(D1598="","",VLOOKUP(F1598,製品マスタ!$G$5:$K$5002,5,FALSE))</f>
        <v>MNGTBF</v>
      </c>
      <c r="I1598" s="270" t="str">
        <f>IF(D1598="","",VLOOKUP(F1598,製品マスタ!$G$5:$L$5002,6,FALSE))</f>
        <v>メタルミー　ネーマー　銀艶　Ｂ</v>
      </c>
      <c r="J1598" s="210" t="s">
        <v>935</v>
      </c>
      <c r="K1598" s="270">
        <f>IF(D1598="","",VLOOKUP(D1598,契約台帳!$A$3:$L$4986,12,FALSE))</f>
        <v>50</v>
      </c>
      <c r="L1598" s="270" t="str">
        <f>IF(D1598="","",INDEX(製品マスタ!$Q$5:$Q$5002,MATCH('S4'!F1598&amp;'S4'!K1598,製品マスタ!$AO$5:$AO$5002,0)))</f>
        <v>T62</v>
      </c>
      <c r="M1598" s="39">
        <v>1120</v>
      </c>
      <c r="N1598" s="39">
        <v>5000</v>
      </c>
      <c r="O1598" s="156">
        <v>10</v>
      </c>
      <c r="P1598" s="47">
        <v>2</v>
      </c>
      <c r="Q1598" s="213">
        <v>45335</v>
      </c>
      <c r="R1598" s="271">
        <f ca="1">IF(D1598="","",IF(OFFSET(D1598,-1,0)&lt;&gt;"","",IF(OR(J1598="リード付け",J1598="巻足し",J1598="巻返しリード付け"),M1598,VLOOKUP(D1598,契約台帳!$A$3:$N$4986,14,FALSE))))</f>
        <v>1120</v>
      </c>
      <c r="S1598" s="272">
        <f ca="1">IF(D1598="","",IF(OFFSET(D1598,-1,0)&lt;&gt;"","",IF(OR(J1598="リード付け",J1598="巻足し",J1598="巻返しリード付け"),M1598,VLOOKUP(D1598,契約台帳!$A$3:$O$4986,15,FALSE))))</f>
        <v>1120</v>
      </c>
      <c r="T1598" s="273">
        <f ca="1">IF(D1598="","",IF(J1598="リード付け",N1598,IF(J1598="巻返しリード付け",N1598,IF(J1598="巻足し",N1598*P1598+OFFSET(N1598,1,0)*OFFSET(P1598,1,0),VLOOKUP(D1598,契約台帳!$A$3:$P$4986,16,FALSE)))))</f>
        <v>10000</v>
      </c>
      <c r="U1598" s="40">
        <v>5</v>
      </c>
      <c r="V1598" s="274">
        <f ca="1">IF(D1598="","",IF(OFFSET(D1598,-2,0)=D1598,"",VLOOKUP(D1598,契約台帳!$A$3:$R$4986,18,FALSE)))</f>
        <v>24</v>
      </c>
      <c r="W1598" s="269" t="str">
        <f ca="1">IF(D1598="","",IF(T1598="","",IF(OR(J1598="巻足し",J1598="巻返しリード付け"),"",IF(J1598="巻返し",VLOOKUP(F1598&amp;K1598&amp;M1598,製品マスタ!$M$5:$AD$5002,18,FALSE),IF(OR(J1598="リード付け",J1598="巻返しリード付け"),"原反コア",IF(J1598="スリット",VLOOKUP(F1598&amp;K1598&amp;R1598,製品マスタ!$N$5:$AD$5002,17,FALSE),""))))))</f>
        <v/>
      </c>
      <c r="X1598" s="269" t="str">
        <f ca="1">IF(D1598="","",IF(T1598="","",IF(J1598="巻足し","",IF(J1598="巻返し",VLOOKUP(F1598&amp;K1598&amp;M1598,製品マスタ!$M$5:$AE$5002,19,FALSE),IF(OR(J1598="リード付け",J1598="巻返しリード付け"),"",IF(J1598="スリット",VLOOKUP(F1598&amp;K1598&amp;R1598,製品マスタ!$N$5:$AE$5002,18,FALSE),""))))))</f>
        <v/>
      </c>
      <c r="Y1598" s="275">
        <f ca="1">IF(D1598="","",IF(T1598="","",VLOOKUP(D1598,契約台帳!$A$3:$Q$4986,17,FALSE)))</f>
        <v>2</v>
      </c>
      <c r="Z1598" s="269" t="str">
        <f ca="1">IF(D1598="","",IF(T1598="","",VLOOKUP(D1598,契約台帳!$A$3:$E$4986,5,FALSE)))</f>
        <v>リンテック㈱</v>
      </c>
      <c r="AA1598" s="57"/>
      <c r="AB1598" s="207" t="str">
        <f>IFERROR((VLOOKUP(F1598&amp;K1598&amp;M1598,製品マスタ!$M$5:$AM$5002,27,FALSE)),"")</f>
        <v>原反ケース再利用</v>
      </c>
      <c r="AC1598" s="33"/>
      <c r="AD1598" s="189"/>
      <c r="AE1598" s="54"/>
      <c r="AF1598" s="55">
        <f>+M1598*N1598*O1598/1000</f>
        <v>56000</v>
      </c>
      <c r="AG1598" s="43"/>
      <c r="AH1598" s="47"/>
      <c r="AI1598" s="30"/>
      <c r="AJ1598" s="30"/>
      <c r="AK1598" s="30"/>
      <c r="AL1598" s="30"/>
      <c r="AM1598" s="13"/>
      <c r="AN1598" s="13"/>
      <c r="AO1598" s="13"/>
      <c r="AP1598" s="13"/>
      <c r="AQ1598" s="13"/>
      <c r="AR1598" s="14"/>
      <c r="AS1598" s="15"/>
    </row>
    <row r="1599" spans="1:45" s="17" customFormat="1" ht="30.95" hidden="1" customHeight="1" x14ac:dyDescent="0.2">
      <c r="A1599" s="37"/>
      <c r="B1599" s="38"/>
      <c r="C1599" s="45"/>
      <c r="D1599" s="31"/>
      <c r="E1599" s="31"/>
      <c r="F1599" s="268"/>
      <c r="G1599" s="269"/>
      <c r="H1599" s="269"/>
      <c r="I1599" s="270"/>
      <c r="J1599" s="210"/>
      <c r="K1599" s="270"/>
      <c r="L1599" s="270"/>
      <c r="M1599" s="39"/>
      <c r="N1599" s="39"/>
      <c r="O1599" s="156"/>
      <c r="P1599" s="47"/>
      <c r="Q1599" s="419"/>
      <c r="R1599" s="338"/>
      <c r="S1599" s="272"/>
      <c r="T1599" s="273"/>
      <c r="U1599" s="40"/>
      <c r="V1599" s="277"/>
      <c r="W1599" s="269"/>
      <c r="X1599" s="269"/>
      <c r="Y1599" s="275"/>
      <c r="Z1599" s="269"/>
      <c r="AA1599" s="57"/>
      <c r="AB1599" s="207"/>
      <c r="AC1599" s="33"/>
      <c r="AD1599" s="189"/>
      <c r="AE1599" s="54"/>
      <c r="AF1599" s="55"/>
      <c r="AG1599" s="43"/>
      <c r="AH1599" s="47"/>
      <c r="AI1599" s="30"/>
      <c r="AJ1599" s="30"/>
      <c r="AK1599" s="30"/>
      <c r="AL1599" s="30"/>
      <c r="AM1599" s="13"/>
      <c r="AN1599" s="13"/>
      <c r="AO1599" s="13"/>
      <c r="AP1599" s="13"/>
      <c r="AQ1599" s="13"/>
      <c r="AR1599" s="14"/>
      <c r="AS1599" s="15"/>
    </row>
    <row r="1600" spans="1:45" s="17" customFormat="1" ht="30.95" hidden="1" customHeight="1" x14ac:dyDescent="0.2">
      <c r="A1600" s="37" t="s">
        <v>1988</v>
      </c>
      <c r="B1600" s="38" t="s">
        <v>1975</v>
      </c>
      <c r="C1600" s="45"/>
      <c r="D1600" s="31">
        <v>3741612</v>
      </c>
      <c r="E1600" s="31">
        <v>4162203</v>
      </c>
      <c r="F1600" s="268" t="str">
        <f>IF(D1600="","",VLOOKUP(D1600,契約台帳!$A$3:$K$4986,6,FALSE)&amp;VLOOKUP(D1600,契約台帳!$A$3:$K$4986,7,FALSE)&amp;VLOOKUP(D1600,契約台帳!$A$3:$K$4986,8,FALSE)&amp;VLOOKUP(D1600,契約台帳!$A$3:$K$4986,9,FALSE)&amp;VLOOKUP(D1600,契約台帳!$A$3:$K$4986,11,FALSE))</f>
        <v>3SNMLBMNGTBF</v>
      </c>
      <c r="G1600" s="269" t="str">
        <f>IF(D1600="","",VLOOKUP(F1600,製品マスタ!$G$5:$H$5002,2,FALSE))</f>
        <v>S</v>
      </c>
      <c r="H1600" s="269" t="str">
        <f>IF(D1600="","",VLOOKUP(F1600,製品マスタ!$G$5:$K$5002,5,FALSE))</f>
        <v>MNGTBF</v>
      </c>
      <c r="I1600" s="270" t="str">
        <f>IF(D1600="","",VLOOKUP(F1600,製品マスタ!$G$5:$L$5002,6,FALSE))</f>
        <v>メタルミー　ネーマー　銀艶　Ｂ</v>
      </c>
      <c r="J1600" s="210" t="s">
        <v>935</v>
      </c>
      <c r="K1600" s="270">
        <f>IF(D1600="","",VLOOKUP(D1600,契約台帳!$A$3:$L$4986,12,FALSE))</f>
        <v>50</v>
      </c>
      <c r="L1600" s="270" t="str">
        <f>IF(D1600="","",INDEX(製品マスタ!$Q$5:$Q$5002,MATCH('S4'!F1600&amp;'S4'!K1600,製品マスタ!$AO$5:$AO$5002,0)))</f>
        <v>T62</v>
      </c>
      <c r="M1600" s="39">
        <v>1120</v>
      </c>
      <c r="N1600" s="39">
        <v>5000</v>
      </c>
      <c r="O1600" s="156">
        <v>14</v>
      </c>
      <c r="P1600" s="47">
        <v>2</v>
      </c>
      <c r="Q1600" s="213">
        <v>45335</v>
      </c>
      <c r="R1600" s="271">
        <f ca="1">IF(D1600="","",IF(OFFSET(D1600,-1,0)&lt;&gt;"","",IF(OR(J1600="リード付け",J1600="巻足し",J1600="巻返しリード付け"),M1600,VLOOKUP(D1600,契約台帳!$A$3:$N$4986,14,FALSE))))</f>
        <v>1120</v>
      </c>
      <c r="S1600" s="272">
        <f ca="1">IF(D1600="","",IF(OFFSET(D1600,-1,0)&lt;&gt;"","",IF(OR(J1600="リード付け",J1600="巻足し",J1600="巻返しリード付け"),M1600,VLOOKUP(D1600,契約台帳!$A$3:$O$4986,15,FALSE))))</f>
        <v>1120</v>
      </c>
      <c r="T1600" s="273">
        <f ca="1">IF(D1600="","",IF(J1600="リード付け",N1600,IF(J1600="巻返しリード付け",N1600,IF(J1600="巻足し",N1600*P1600+OFFSET(N1600,1,0)*OFFSET(P1600,1,0),VLOOKUP(D1600,契約台帳!$A$3:$P$4986,16,FALSE)))))</f>
        <v>10000</v>
      </c>
      <c r="U1600" s="40">
        <v>7</v>
      </c>
      <c r="V1600" s="274" t="str">
        <f ca="1">IF(D1600="","",IF(OFFSET(D1600,-2,0)=D1600,"",VLOOKUP(D1600,契約台帳!$A$3:$R$4986,18,FALSE)))</f>
        <v/>
      </c>
      <c r="W1600" s="269" t="str">
        <f ca="1">IF(D1600="","",IF(T1600="","",IF(OR(J1600="巻足し",J1600="巻返しリード付け"),"",IF(J1600="巻返し",VLOOKUP(F1600&amp;K1600&amp;M1600,製品マスタ!$M$5:$AD$5002,18,FALSE),IF(OR(J1600="リード付け",J1600="巻返しリード付け"),"原反コア",IF(J1600="スリット",VLOOKUP(F1600&amp;K1600&amp;R1600,製品マスタ!$N$5:$AD$5002,17,FALSE),""))))))</f>
        <v/>
      </c>
      <c r="X1600" s="269" t="str">
        <f ca="1">IF(D1600="","",IF(T1600="","",IF(J1600="巻足し","",IF(J1600="巻返し",VLOOKUP(F1600&amp;K1600&amp;M1600,製品マスタ!$M$5:$AE$5002,19,FALSE),IF(OR(J1600="リード付け",J1600="巻返しリード付け"),"",IF(J1600="スリット",VLOOKUP(F1600&amp;K1600&amp;R1600,製品マスタ!$N$5:$AE$5002,18,FALSE),""))))))</f>
        <v/>
      </c>
      <c r="Y1600" s="275">
        <f ca="1">IF(D1600="","",IF(T1600="","",VLOOKUP(D1600,契約台帳!$A$3:$Q$4986,17,FALSE)))</f>
        <v>2</v>
      </c>
      <c r="Z1600" s="269" t="str">
        <f ca="1">IF(D1600="","",IF(T1600="","",VLOOKUP(D1600,契約台帳!$A$3:$E$4986,5,FALSE)))</f>
        <v>リンテック㈱</v>
      </c>
      <c r="AA1600" s="57"/>
      <c r="AB1600" s="207" t="str">
        <f>IFERROR((VLOOKUP(F1600&amp;K1600&amp;M1600,製品マスタ!$M$5:$AM$5002,27,FALSE)),"")</f>
        <v>原反ケース再利用</v>
      </c>
      <c r="AC1600" s="33"/>
      <c r="AD1600" s="189"/>
      <c r="AE1600" s="54"/>
      <c r="AF1600" s="55">
        <f>+M1600*N1600*O1600/1000</f>
        <v>78400</v>
      </c>
      <c r="AG1600" s="43"/>
      <c r="AH1600" s="47"/>
      <c r="AI1600" s="30"/>
      <c r="AJ1600" s="30"/>
      <c r="AK1600" s="30"/>
      <c r="AL1600" s="30"/>
      <c r="AM1600" s="13"/>
      <c r="AN1600" s="13"/>
      <c r="AO1600" s="13"/>
      <c r="AP1600" s="13"/>
      <c r="AQ1600" s="13"/>
      <c r="AR1600" s="14"/>
      <c r="AS1600" s="15"/>
    </row>
    <row r="1601" spans="1:45" s="17" customFormat="1" ht="30.95" hidden="1" customHeight="1" x14ac:dyDescent="0.2">
      <c r="A1601" s="37"/>
      <c r="B1601" s="38"/>
      <c r="C1601" s="45"/>
      <c r="D1601" s="31"/>
      <c r="E1601" s="31"/>
      <c r="F1601" s="268"/>
      <c r="G1601" s="269"/>
      <c r="H1601" s="269"/>
      <c r="I1601" s="270"/>
      <c r="J1601" s="210"/>
      <c r="K1601" s="270"/>
      <c r="L1601" s="270"/>
      <c r="M1601" s="39"/>
      <c r="N1601" s="39"/>
      <c r="O1601" s="156"/>
      <c r="P1601" s="47"/>
      <c r="Q1601" s="419"/>
      <c r="R1601" s="338"/>
      <c r="S1601" s="272"/>
      <c r="T1601" s="273"/>
      <c r="U1601" s="40"/>
      <c r="V1601" s="277"/>
      <c r="W1601" s="269"/>
      <c r="X1601" s="269"/>
      <c r="Y1601" s="275"/>
      <c r="Z1601" s="269"/>
      <c r="AA1601" s="57"/>
      <c r="AB1601" s="207"/>
      <c r="AC1601" s="33"/>
      <c r="AD1601" s="189"/>
      <c r="AE1601" s="54"/>
      <c r="AF1601" s="55"/>
      <c r="AG1601" s="43"/>
      <c r="AH1601" s="47"/>
      <c r="AI1601" s="30"/>
      <c r="AJ1601" s="30"/>
      <c r="AK1601" s="30"/>
      <c r="AL1601" s="30"/>
      <c r="AM1601" s="13"/>
      <c r="AN1601" s="13"/>
      <c r="AO1601" s="13"/>
      <c r="AP1601" s="13"/>
      <c r="AQ1601" s="13"/>
      <c r="AR1601" s="14"/>
      <c r="AS1601" s="15"/>
    </row>
    <row r="1602" spans="1:45" s="17" customFormat="1" ht="30.95" hidden="1" customHeight="1" x14ac:dyDescent="0.2">
      <c r="A1602" s="37"/>
      <c r="B1602" s="38"/>
      <c r="C1602" s="45"/>
      <c r="D1602" s="31">
        <v>3741626</v>
      </c>
      <c r="E1602" s="31">
        <v>4162208</v>
      </c>
      <c r="F1602" s="268" t="str">
        <f>IF(D1602="","",VLOOKUP(D1602,契約台帳!$A$3:$K$4986,6,FALSE)&amp;VLOOKUP(D1602,契約台帳!$A$3:$K$4986,7,FALSE)&amp;VLOOKUP(D1602,契約台帳!$A$3:$K$4986,8,FALSE)&amp;VLOOKUP(D1602,契約台帳!$A$3:$K$4986,9,FALSE)&amp;VLOOKUP(D1602,契約台帳!$A$3:$K$4986,11,FALSE))</f>
        <v>3SYMLBMSBBF</v>
      </c>
      <c r="G1602" s="269" t="str">
        <f>IF(D1602="","",VLOOKUP(F1602,製品マスタ!$G$5:$H$5002,2,FALSE))</f>
        <v>S</v>
      </c>
      <c r="H1602" s="269" t="str">
        <f>IF(D1602="","",VLOOKUP(F1602,製品マスタ!$G$5:$K$5002,5,FALSE))</f>
        <v>MSBBF</v>
      </c>
      <c r="I1602" s="270" t="str">
        <f>IF(D1602="","",VLOOKUP(F1602,製品マスタ!$G$5:$L$5002,6,FALSE))</f>
        <v>ＭＥＴＡＬＵＭＹ　ＳＩＬＶＥＲ　ＢＲＩＧＨＴ　Ｔ６２Ｍ　Ｂ</v>
      </c>
      <c r="J1602" s="210" t="s">
        <v>935</v>
      </c>
      <c r="K1602" s="270">
        <f>IF(D1602="","",VLOOKUP(D1602,契約台帳!$A$3:$L$4986,12,FALSE))</f>
        <v>50</v>
      </c>
      <c r="L1602" s="270" t="str">
        <f>IF(D1602="","",INDEX(製品マスタ!$Q$5:$Q$5002,MATCH('S4'!F1602&amp;'S4'!K1602,製品マスタ!$AO$5:$AO$5002,0)))</f>
        <v>T62</v>
      </c>
      <c r="M1602" s="39">
        <v>1120</v>
      </c>
      <c r="N1602" s="39">
        <v>5000</v>
      </c>
      <c r="O1602" s="156">
        <v>2</v>
      </c>
      <c r="P1602" s="47">
        <v>2</v>
      </c>
      <c r="Q1602" s="213">
        <v>45336</v>
      </c>
      <c r="R1602" s="271">
        <f ca="1">IF(D1602="","",IF(OFFSET(D1602,-1,0)&lt;&gt;"","",IF(OR(J1602="リード付け",J1602="巻足し",J1602="巻返しリード付け"),M1602,VLOOKUP(D1602,契約台帳!$A$3:$N$4986,14,FALSE))))</f>
        <v>1120</v>
      </c>
      <c r="S1602" s="272">
        <f ca="1">IF(D1602="","",IF(OFFSET(D1602,-1,0)&lt;&gt;"","",IF(OR(J1602="リード付け",J1602="巻足し",J1602="巻返しリード付け"),M1602,VLOOKUP(D1602,契約台帳!$A$3:$O$4986,15,FALSE))))</f>
        <v>1120</v>
      </c>
      <c r="T1602" s="273">
        <f ca="1">IF(D1602="","",IF(J1602="リード付け",N1602,IF(J1602="巻返しリード付け",N1602,IF(J1602="巻足し",N1602*P1602+OFFSET(N1602,1,0)*OFFSET(P1602,1,0),VLOOKUP(D1602,契約台帳!$A$3:$P$4986,16,FALSE)))))</f>
        <v>10000</v>
      </c>
      <c r="U1602" s="40">
        <v>1</v>
      </c>
      <c r="V1602" s="274">
        <f ca="1">IF(D1602="","",IF(OFFSET(D1602,-2,0)=D1602,"",VLOOKUP(D1602,契約台帳!$A$3:$R$4986,18,FALSE)))</f>
        <v>2</v>
      </c>
      <c r="W1602" s="269" t="str">
        <f ca="1">IF(D1602="","",IF(T1602="","",IF(OR(J1602="巻足し",J1602="巻返しリード付け"),"",IF(J1602="巻返し",VLOOKUP(F1602&amp;K1602&amp;M1602,製品マスタ!$M$5:$AD$5002,18,FALSE),IF(OR(J1602="リード付け",J1602="巻返しリード付け"),"原反コア",IF(J1602="スリット",VLOOKUP(F1602&amp;K1602&amp;R1602,製品マスタ!$N$5:$AD$5002,17,FALSE),""))))))</f>
        <v/>
      </c>
      <c r="X1602" s="269" t="str">
        <f ca="1">IF(D1602="","",IF(T1602="","",IF(J1602="巻足し","",IF(J1602="巻返し",VLOOKUP(F1602&amp;K1602&amp;M1602,製品マスタ!$M$5:$AE$5002,19,FALSE),IF(OR(J1602="リード付け",J1602="巻返しリード付け"),"",IF(J1602="スリット",VLOOKUP(F1602&amp;K1602&amp;R1602,製品マスタ!$N$5:$AE$5002,18,FALSE),""))))))</f>
        <v/>
      </c>
      <c r="Y1602" s="275">
        <f ca="1">IF(D1602="","",IF(T1602="","",VLOOKUP(D1602,契約台帳!$A$3:$Q$4986,17,FALSE)))</f>
        <v>2</v>
      </c>
      <c r="Z1602" s="269" t="str">
        <f ca="1">IF(D1602="","",IF(T1602="","",VLOOKUP(D1602,契約台帳!$A$3:$E$4986,5,FALSE)))</f>
        <v>リンテック㈱</v>
      </c>
      <c r="AA1602" s="57"/>
      <c r="AB1602" s="207" t="str">
        <f>IFERROR((VLOOKUP(F1602&amp;K1602&amp;M1602,製品マスタ!$M$5:$AM$5002,27,FALSE)),"")</f>
        <v>原反ケース再利用</v>
      </c>
      <c r="AC1602" s="33"/>
      <c r="AD1602" s="189"/>
      <c r="AE1602" s="54"/>
      <c r="AF1602" s="55">
        <f>+M1602*N1602*O1602/1000</f>
        <v>11200</v>
      </c>
      <c r="AG1602" s="43"/>
      <c r="AH1602" s="47"/>
      <c r="AI1602" s="30"/>
      <c r="AJ1602" s="30"/>
      <c r="AK1602" s="30"/>
      <c r="AL1602" s="30"/>
      <c r="AM1602" s="13"/>
      <c r="AN1602" s="13"/>
      <c r="AO1602" s="13"/>
      <c r="AP1602" s="13"/>
      <c r="AQ1602" s="13"/>
      <c r="AR1602" s="14"/>
      <c r="AS1602" s="15"/>
    </row>
    <row r="1603" spans="1:45" s="17" customFormat="1" ht="30.95" hidden="1" customHeight="1" x14ac:dyDescent="0.2">
      <c r="A1603" s="37"/>
      <c r="B1603" s="38"/>
      <c r="C1603" s="45"/>
      <c r="D1603" s="31"/>
      <c r="E1603" s="31"/>
      <c r="F1603" s="268"/>
      <c r="G1603" s="269"/>
      <c r="H1603" s="269"/>
      <c r="I1603" s="270"/>
      <c r="J1603" s="210"/>
      <c r="K1603" s="270"/>
      <c r="L1603" s="270"/>
      <c r="M1603" s="39"/>
      <c r="N1603" s="39"/>
      <c r="O1603" s="156"/>
      <c r="P1603" s="47"/>
      <c r="Q1603" s="419"/>
      <c r="R1603" s="338"/>
      <c r="S1603" s="272"/>
      <c r="T1603" s="273"/>
      <c r="U1603" s="40"/>
      <c r="V1603" s="277"/>
      <c r="W1603" s="269"/>
      <c r="X1603" s="269"/>
      <c r="Y1603" s="275"/>
      <c r="Z1603" s="269"/>
      <c r="AA1603" s="57"/>
      <c r="AB1603" s="207"/>
      <c r="AC1603" s="33"/>
      <c r="AD1603" s="189"/>
      <c r="AE1603" s="54"/>
      <c r="AF1603" s="55"/>
      <c r="AG1603" s="43"/>
      <c r="AH1603" s="47"/>
      <c r="AI1603" s="30"/>
      <c r="AJ1603" s="30"/>
      <c r="AK1603" s="30"/>
      <c r="AL1603" s="30"/>
      <c r="AM1603" s="13"/>
      <c r="AN1603" s="13"/>
      <c r="AO1603" s="13"/>
      <c r="AP1603" s="13"/>
      <c r="AQ1603" s="13"/>
      <c r="AR1603" s="14"/>
      <c r="AS1603" s="15"/>
    </row>
    <row r="1604" spans="1:45" s="17" customFormat="1" ht="30.95" hidden="1" customHeight="1" x14ac:dyDescent="0.2">
      <c r="A1604" s="37" t="s">
        <v>1937</v>
      </c>
      <c r="B1604" s="38" t="s">
        <v>1408</v>
      </c>
      <c r="C1604" s="45"/>
      <c r="D1604" s="31">
        <v>3741625</v>
      </c>
      <c r="E1604" s="31">
        <v>4126209</v>
      </c>
      <c r="F1604" s="268" t="str">
        <f>IF(D1604="","",VLOOKUP(D1604,契約台帳!$A$3:$K$4986,6,FALSE)&amp;VLOOKUP(D1604,契約台帳!$A$3:$K$4986,7,FALSE)&amp;VLOOKUP(D1604,契約台帳!$A$3:$K$4986,8,FALSE)&amp;VLOOKUP(D1604,契約台帳!$A$3:$K$4986,9,FALSE)&amp;VLOOKUP(D1604,契約台帳!$A$3:$K$4986,11,FALSE))</f>
        <v>3SYMLBMSNMBF</v>
      </c>
      <c r="G1604" s="269" t="str">
        <f>IF(D1604="","",VLOOKUP(F1604,製品マスタ!$G$5:$H$5002,2,FALSE))</f>
        <v>S</v>
      </c>
      <c r="H1604" s="269" t="str">
        <f>IF(D1604="","",VLOOKUP(F1604,製品マスタ!$G$5:$K$5002,5,FALSE))</f>
        <v>MSNMBF</v>
      </c>
      <c r="I1604" s="270" t="str">
        <f>IF(D1604="","",VLOOKUP(F1604,製品マスタ!$G$5:$L$5002,6,FALSE))</f>
        <v>ＭＥＴＡＬＵＭＹ　ＳＩＬＶＥＲ　Ｎ－ＭＡＴＴＥ　Ｘ４４Ｍ　Ｂ</v>
      </c>
      <c r="J1604" s="210" t="s">
        <v>935</v>
      </c>
      <c r="K1604" s="270">
        <f>IF(D1604="","",VLOOKUP(D1604,契約台帳!$A$3:$L$4986,12,FALSE))</f>
        <v>50</v>
      </c>
      <c r="L1604" s="270" t="str">
        <f>IF(D1604="","",INDEX(製品マスタ!$Q$5:$Q$5002,MATCH('S4'!F1604&amp;'S4'!K1604,製品マスタ!$AO$5:$AO$5002,0)))</f>
        <v>X44</v>
      </c>
      <c r="M1604" s="39">
        <v>1120</v>
      </c>
      <c r="N1604" s="39">
        <v>4000</v>
      </c>
      <c r="O1604" s="156">
        <v>2</v>
      </c>
      <c r="P1604" s="47">
        <v>2</v>
      </c>
      <c r="Q1604" s="213">
        <v>45336</v>
      </c>
      <c r="R1604" s="271">
        <f ca="1">IF(D1604="","",IF(OFFSET(D1604,-1,0)&lt;&gt;"","",IF(OR(J1604="リード付け",J1604="巻足し",J1604="巻返しリード付け"),M1604,VLOOKUP(D1604,契約台帳!$A$3:$N$4986,14,FALSE))))</f>
        <v>1120</v>
      </c>
      <c r="S1604" s="272">
        <f ca="1">IF(D1604="","",IF(OFFSET(D1604,-1,0)&lt;&gt;"","",IF(OR(J1604="リード付け",J1604="巻足し",J1604="巻返しリード付け"),M1604,VLOOKUP(D1604,契約台帳!$A$3:$O$4986,15,FALSE))))</f>
        <v>1120</v>
      </c>
      <c r="T1604" s="273">
        <f ca="1">IF(D1604="","",IF(J1604="リード付け",N1604,IF(J1604="巻返しリード付け",N1604,IF(J1604="巻足し",N1604*P1604+OFFSET(N1604,1,0)*OFFSET(P1604,1,0),VLOOKUP(D1604,契約台帳!$A$3:$P$4986,16,FALSE)))))</f>
        <v>8000</v>
      </c>
      <c r="U1604" s="40">
        <v>1</v>
      </c>
      <c r="V1604" s="274">
        <f ca="1">IF(D1604="","",IF(OFFSET(D1604,-2,0)=D1604,"",VLOOKUP(D1604,契約台帳!$A$3:$R$4986,18,FALSE)))</f>
        <v>2</v>
      </c>
      <c r="W1604" s="269" t="str">
        <f ca="1">IF(D1604="","",IF(T1604="","",IF(OR(J1604="巻足し",J1604="巻返しリード付け"),"",IF(J1604="巻返し",VLOOKUP(F1604&amp;K1604&amp;M1604,製品マスタ!$M$5:$AD$5002,18,FALSE),IF(OR(J1604="リード付け",J1604="巻返しリード付け"),"原反コア",IF(J1604="スリット",VLOOKUP(F1604&amp;K1604&amp;R1604,製品マスタ!$N$5:$AD$5002,17,FALSE),""))))))</f>
        <v/>
      </c>
      <c r="X1604" s="269" t="str">
        <f ca="1">IF(D1604="","",IF(T1604="","",IF(J1604="巻足し","",IF(J1604="巻返し",VLOOKUP(F1604&amp;K1604&amp;M1604,製品マスタ!$M$5:$AE$5002,19,FALSE),IF(OR(J1604="リード付け",J1604="巻返しリード付け"),"",IF(J1604="スリット",VLOOKUP(F1604&amp;K1604&amp;R1604,製品マスタ!$N$5:$AE$5002,18,FALSE),""))))))</f>
        <v/>
      </c>
      <c r="Y1604" s="275">
        <f ca="1">IF(D1604="","",IF(T1604="","",VLOOKUP(D1604,契約台帳!$A$3:$Q$4986,17,FALSE)))</f>
        <v>2</v>
      </c>
      <c r="Z1604" s="269" t="str">
        <f ca="1">IF(D1604="","",IF(T1604="","",VLOOKUP(D1604,契約台帳!$A$3:$E$4986,5,FALSE)))</f>
        <v>リンテック㈱</v>
      </c>
      <c r="AA1604" s="57"/>
      <c r="AB1604" s="207">
        <f>IFERROR((VLOOKUP(F1604&amp;K1604&amp;M1604,製品マスタ!$M$5:$AM$5002,27,FALSE)),"")</f>
        <v>0</v>
      </c>
      <c r="AC1604" s="33"/>
      <c r="AD1604" s="189"/>
      <c r="AE1604" s="54"/>
      <c r="AF1604" s="55">
        <f>+M1604*N1604*O1604/1000</f>
        <v>8960</v>
      </c>
      <c r="AG1604" s="43"/>
      <c r="AH1604" s="47"/>
      <c r="AI1604" s="30"/>
      <c r="AJ1604" s="30"/>
      <c r="AK1604" s="30"/>
      <c r="AL1604" s="30"/>
      <c r="AM1604" s="13"/>
      <c r="AN1604" s="13"/>
      <c r="AO1604" s="13"/>
      <c r="AP1604" s="13"/>
      <c r="AQ1604" s="13"/>
      <c r="AR1604" s="14"/>
      <c r="AS1604" s="15"/>
    </row>
    <row r="1605" spans="1:45" s="17" customFormat="1" ht="30.95" hidden="1" customHeight="1" x14ac:dyDescent="0.2">
      <c r="A1605" s="37"/>
      <c r="B1605" s="38"/>
      <c r="C1605" s="45"/>
      <c r="D1605" s="31"/>
      <c r="E1605" s="31"/>
      <c r="F1605" s="268"/>
      <c r="G1605" s="269"/>
      <c r="H1605" s="269"/>
      <c r="I1605" s="270"/>
      <c r="J1605" s="210"/>
      <c r="K1605" s="270"/>
      <c r="L1605" s="270"/>
      <c r="M1605" s="39"/>
      <c r="N1605" s="39"/>
      <c r="O1605" s="156"/>
      <c r="P1605" s="47"/>
      <c r="Q1605" s="419"/>
      <c r="R1605" s="338"/>
      <c r="S1605" s="272"/>
      <c r="T1605" s="273"/>
      <c r="U1605" s="40"/>
      <c r="V1605" s="277"/>
      <c r="W1605" s="269"/>
      <c r="X1605" s="269"/>
      <c r="Y1605" s="275"/>
      <c r="Z1605" s="269"/>
      <c r="AA1605" s="57"/>
      <c r="AB1605" s="207"/>
      <c r="AC1605" s="33"/>
      <c r="AD1605" s="189"/>
      <c r="AE1605" s="54"/>
      <c r="AF1605" s="55"/>
      <c r="AG1605" s="43"/>
      <c r="AH1605" s="47"/>
      <c r="AI1605" s="30"/>
      <c r="AJ1605" s="30"/>
      <c r="AK1605" s="30"/>
      <c r="AL1605" s="30"/>
      <c r="AM1605" s="13"/>
      <c r="AN1605" s="13"/>
      <c r="AO1605" s="13"/>
      <c r="AP1605" s="13"/>
      <c r="AQ1605" s="13"/>
      <c r="AR1605" s="14"/>
      <c r="AS1605" s="15"/>
    </row>
    <row r="1606" spans="1:45" s="17" customFormat="1" ht="30.75" hidden="1" customHeight="1" x14ac:dyDescent="0.2">
      <c r="A1606" s="37"/>
      <c r="B1606" s="38"/>
      <c r="C1606" s="45"/>
      <c r="D1606" s="31">
        <v>3741627</v>
      </c>
      <c r="E1606" s="31">
        <v>4162210</v>
      </c>
      <c r="F1606" s="268" t="str">
        <f>IF(D1606="","",VLOOKUP(D1606,契約台帳!$A$3:$K$4986,6,FALSE)&amp;VLOOKUP(D1606,契約台帳!$A$3:$K$4986,7,FALSE)&amp;VLOOKUP(D1606,契約台帳!$A$3:$K$4986,8,FALSE)&amp;VLOOKUP(D1606,契約台帳!$A$3:$K$4986,9,FALSE)&amp;VLOOKUP(D1606,契約台帳!$A$3:$K$4986,11,FALSE))</f>
        <v>3SYMLBMSNMBF</v>
      </c>
      <c r="G1606" s="269" t="str">
        <f>IF(D1606="","",VLOOKUP(F1606,製品マスタ!$G$5:$H$5002,2,FALSE))</f>
        <v>S</v>
      </c>
      <c r="H1606" s="269" t="str">
        <f>IF(D1606="","",VLOOKUP(F1606,製品マスタ!$G$5:$K$5002,5,FALSE))</f>
        <v>MSNMBF</v>
      </c>
      <c r="I1606" s="270" t="str">
        <f>IF(D1606="","",VLOOKUP(F1606,製品マスタ!$G$5:$L$5002,6,FALSE))</f>
        <v>ＭＥＴＡＬＵＭＹ　ＳＩＬＶＥＲ　Ｎ－ＭＡＴＴＥ　Ｘ４４Ｍ　Ｂ</v>
      </c>
      <c r="J1606" s="210" t="s">
        <v>935</v>
      </c>
      <c r="K1606" s="270">
        <f>IF(D1606="","",VLOOKUP(D1606,契約台帳!$A$3:$L$4986,12,FALSE))</f>
        <v>50</v>
      </c>
      <c r="L1606" s="270" t="str">
        <f>IF(D1606="","",INDEX(製品マスタ!$Q$5:$Q$5002,MATCH('S4'!F1606&amp;'S4'!K1606,製品マスタ!$AO$5:$AO$5002,0)))</f>
        <v>X44</v>
      </c>
      <c r="M1606" s="39">
        <v>1120</v>
      </c>
      <c r="N1606" s="39">
        <v>4000</v>
      </c>
      <c r="O1606" s="156">
        <v>4</v>
      </c>
      <c r="P1606" s="47">
        <v>2</v>
      </c>
      <c r="Q1606" s="213">
        <v>45336</v>
      </c>
      <c r="R1606" s="271">
        <f ca="1">IF(D1606="","",IF(OFFSET(D1606,-1,0)&lt;&gt;"","",IF(OR(J1606="リード付け",J1606="巻足し",J1606="巻返しリード付け"),M1606,VLOOKUP(D1606,契約台帳!$A$3:$N$4986,14,FALSE))))</f>
        <v>1120</v>
      </c>
      <c r="S1606" s="272">
        <f ca="1">IF(D1606="","",IF(OFFSET(D1606,-1,0)&lt;&gt;"","",IF(OR(J1606="リード付け",J1606="巻足し",J1606="巻返しリード付け"),M1606,VLOOKUP(D1606,契約台帳!$A$3:$O$4986,15,FALSE))))</f>
        <v>1120</v>
      </c>
      <c r="T1606" s="273">
        <f ca="1">IF(D1606="","",IF(J1606="リード付け",N1606,IF(J1606="巻返しリード付け",N1606,IF(J1606="巻足し",N1606*P1606+OFFSET(N1606,1,0)*OFFSET(P1606,1,0),VLOOKUP(D1606,契約台帳!$A$3:$P$4986,16,FALSE)))))</f>
        <v>8000</v>
      </c>
      <c r="U1606" s="40">
        <v>2</v>
      </c>
      <c r="V1606" s="274">
        <f ca="1">IF(D1606="","",IF(OFFSET(D1606,-2,0)=D1606,"",VLOOKUP(D1606,契約台帳!$A$3:$R$4986,18,FALSE)))</f>
        <v>4</v>
      </c>
      <c r="W1606" s="269" t="str">
        <f ca="1">IF(D1606="","",IF(T1606="","",IF(OR(J1606="巻足し",J1606="巻返しリード付け"),"",IF(J1606="巻返し",VLOOKUP(F1606&amp;K1606&amp;M1606,製品マスタ!$M$5:$AD$5002,18,FALSE),IF(OR(J1606="リード付け",J1606="巻返しリード付け"),"原反コア",IF(J1606="スリット",VLOOKUP(F1606&amp;K1606&amp;R1606,製品マスタ!$N$5:$AD$5002,17,FALSE),""))))))</f>
        <v/>
      </c>
      <c r="X1606" s="269" t="str">
        <f ca="1">IF(D1606="","",IF(T1606="","",IF(J1606="巻足し","",IF(J1606="巻返し",VLOOKUP(F1606&amp;K1606&amp;M1606,製品マスタ!$M$5:$AE$5002,19,FALSE),IF(OR(J1606="リード付け",J1606="巻返しリード付け"),"",IF(J1606="スリット",VLOOKUP(F1606&amp;K1606&amp;R1606,製品マスタ!$N$5:$AE$5002,18,FALSE),""))))))</f>
        <v/>
      </c>
      <c r="Y1606" s="275">
        <f ca="1">IF(D1606="","",IF(T1606="","",VLOOKUP(D1606,契約台帳!$A$3:$Q$4986,17,FALSE)))</f>
        <v>2</v>
      </c>
      <c r="Z1606" s="269" t="str">
        <f ca="1">IF(D1606="","",IF(T1606="","",VLOOKUP(D1606,契約台帳!$A$3:$E$4986,5,FALSE)))</f>
        <v>リンテック㈱</v>
      </c>
      <c r="AA1606" s="57"/>
      <c r="AB1606" s="207">
        <f>IFERROR((VLOOKUP(F1606&amp;K1606&amp;M1606,製品マスタ!$M$5:$AM$5002,27,FALSE)),"")</f>
        <v>0</v>
      </c>
      <c r="AC1606" s="33"/>
      <c r="AD1606" s="189"/>
      <c r="AE1606" s="54"/>
      <c r="AF1606" s="55">
        <f>+M1606*N1606*O1606/1000</f>
        <v>17920</v>
      </c>
      <c r="AG1606" s="43"/>
      <c r="AH1606" s="47"/>
      <c r="AI1606" s="30"/>
      <c r="AJ1606" s="30"/>
      <c r="AK1606" s="30"/>
      <c r="AL1606" s="30"/>
      <c r="AM1606" s="13"/>
      <c r="AN1606" s="13"/>
      <c r="AO1606" s="13"/>
      <c r="AP1606" s="13"/>
      <c r="AQ1606" s="13"/>
      <c r="AR1606" s="14"/>
      <c r="AS1606" s="15"/>
    </row>
    <row r="1607" spans="1:45" s="17" customFormat="1" ht="30.95" hidden="1" customHeight="1" x14ac:dyDescent="0.2">
      <c r="A1607" s="37"/>
      <c r="B1607" s="38"/>
      <c r="C1607" s="45"/>
      <c r="D1607" s="31"/>
      <c r="E1607" s="31"/>
      <c r="F1607" s="268"/>
      <c r="G1607" s="269"/>
      <c r="H1607" s="269"/>
      <c r="I1607" s="270"/>
      <c r="J1607" s="210"/>
      <c r="K1607" s="270"/>
      <c r="L1607" s="270"/>
      <c r="M1607" s="39"/>
      <c r="N1607" s="39"/>
      <c r="O1607" s="156"/>
      <c r="P1607" s="47"/>
      <c r="Q1607" s="419"/>
      <c r="R1607" s="338"/>
      <c r="S1607" s="272"/>
      <c r="T1607" s="273"/>
      <c r="U1607" s="40"/>
      <c r="V1607" s="277"/>
      <c r="W1607" s="269"/>
      <c r="X1607" s="269"/>
      <c r="Y1607" s="275"/>
      <c r="Z1607" s="269"/>
      <c r="AA1607" s="57"/>
      <c r="AB1607" s="207"/>
      <c r="AC1607" s="33"/>
      <c r="AD1607" s="189"/>
      <c r="AE1607" s="54"/>
      <c r="AF1607" s="55"/>
      <c r="AG1607" s="43"/>
      <c r="AH1607" s="47"/>
      <c r="AI1607" s="30"/>
      <c r="AJ1607" s="30"/>
      <c r="AK1607" s="30"/>
      <c r="AL1607" s="30"/>
      <c r="AM1607" s="13"/>
      <c r="AN1607" s="13"/>
      <c r="AO1607" s="13"/>
      <c r="AP1607" s="13"/>
      <c r="AQ1607" s="13"/>
      <c r="AR1607" s="14"/>
      <c r="AS1607" s="15"/>
    </row>
    <row r="1608" spans="1:45" s="17" customFormat="1" ht="30.95" hidden="1" customHeight="1" x14ac:dyDescent="0.2">
      <c r="A1608" s="37"/>
      <c r="B1608" s="38"/>
      <c r="C1608" s="45"/>
      <c r="D1608" s="31">
        <v>3741628</v>
      </c>
      <c r="E1608" s="31">
        <v>4162211</v>
      </c>
      <c r="F1608" s="268" t="str">
        <f>IF(D1608="","",VLOOKUP(D1608,契約台帳!$A$3:$K$4986,6,FALSE)&amp;VLOOKUP(D1608,契約台帳!$A$3:$K$4986,7,FALSE)&amp;VLOOKUP(D1608,契約台帳!$A$3:$K$4986,8,FALSE)&amp;VLOOKUP(D1608,契約台帳!$A$3:$K$4986,9,FALSE)&amp;VLOOKUP(D1608,契約台帳!$A$3:$K$4986,11,FALSE))</f>
        <v>3SYMLBMSNMBF</v>
      </c>
      <c r="G1608" s="269" t="str">
        <f>IF(D1608="","",VLOOKUP(F1608,製品マスタ!$G$5:$H$5002,2,FALSE))</f>
        <v>S</v>
      </c>
      <c r="H1608" s="269" t="str">
        <f>IF(D1608="","",VLOOKUP(F1608,製品マスタ!$G$5:$K$5002,5,FALSE))</f>
        <v>MSNMBF</v>
      </c>
      <c r="I1608" s="270" t="str">
        <f>IF(D1608="","",VLOOKUP(F1608,製品マスタ!$G$5:$L$5002,6,FALSE))</f>
        <v>ＭＥＴＡＬＵＭＹ　ＳＩＬＶＥＲ　Ｎ－ＭＡＴＴＥ　Ｘ４４Ｍ　Ｂ</v>
      </c>
      <c r="J1608" s="210" t="s">
        <v>935</v>
      </c>
      <c r="K1608" s="270">
        <f>IF(D1608="","",VLOOKUP(D1608,契約台帳!$A$3:$L$4986,12,FALSE))</f>
        <v>50</v>
      </c>
      <c r="L1608" s="270" t="str">
        <f>IF(D1608="","",INDEX(製品マスタ!$Q$5:$Q$5002,MATCH('S4'!F1608&amp;'S4'!K1608,製品マスタ!$AO$5:$AO$5002,0)))</f>
        <v>X44</v>
      </c>
      <c r="M1608" s="39">
        <v>1120</v>
      </c>
      <c r="N1608" s="39">
        <v>4000</v>
      </c>
      <c r="O1608" s="156">
        <v>4</v>
      </c>
      <c r="P1608" s="47">
        <v>2</v>
      </c>
      <c r="Q1608" s="213">
        <v>45336</v>
      </c>
      <c r="R1608" s="271">
        <f ca="1">IF(D1608="","",IF(OFFSET(D1608,-1,0)&lt;&gt;"","",IF(OR(J1608="リード付け",J1608="巻足し",J1608="巻返しリード付け"),M1608,VLOOKUP(D1608,契約台帳!$A$3:$N$4986,14,FALSE))))</f>
        <v>1120</v>
      </c>
      <c r="S1608" s="272">
        <f ca="1">IF(D1608="","",IF(OFFSET(D1608,-1,0)&lt;&gt;"","",IF(OR(J1608="リード付け",J1608="巻足し",J1608="巻返しリード付け"),M1608,VLOOKUP(D1608,契約台帳!$A$3:$O$4986,15,FALSE))))</f>
        <v>1120</v>
      </c>
      <c r="T1608" s="273">
        <f ca="1">IF(D1608="","",IF(J1608="リード付け",N1608,IF(J1608="巻返しリード付け",N1608,IF(J1608="巻足し",N1608*P1608+OFFSET(N1608,1,0)*OFFSET(P1608,1,0),VLOOKUP(D1608,契約台帳!$A$3:$P$4986,16,FALSE)))))</f>
        <v>8000</v>
      </c>
      <c r="U1608" s="40">
        <v>2</v>
      </c>
      <c r="V1608" s="274">
        <f ca="1">IF(D1608="","",IF(OFFSET(D1608,-2,0)=D1608,"",VLOOKUP(D1608,契約台帳!$A$3:$R$4986,18,FALSE)))</f>
        <v>4</v>
      </c>
      <c r="W1608" s="269" t="str">
        <f ca="1">IF(D1608="","",IF(T1608="","",IF(OR(J1608="巻足し",J1608="巻返しリード付け"),"",IF(J1608="巻返し",VLOOKUP(F1608&amp;K1608&amp;M1608,製品マスタ!$M$5:$AD$5002,18,FALSE),IF(OR(J1608="リード付け",J1608="巻返しリード付け"),"原反コア",IF(J1608="スリット",VLOOKUP(F1608&amp;K1608&amp;R1608,製品マスタ!$N$5:$AD$5002,17,FALSE),""))))))</f>
        <v/>
      </c>
      <c r="X1608" s="269" t="str">
        <f ca="1">IF(D1608="","",IF(T1608="","",IF(J1608="巻足し","",IF(J1608="巻返し",VLOOKUP(F1608&amp;K1608&amp;M1608,製品マスタ!$M$5:$AE$5002,19,FALSE),IF(OR(J1608="リード付け",J1608="巻返しリード付け"),"",IF(J1608="スリット",VLOOKUP(F1608&amp;K1608&amp;R1608,製品マスタ!$N$5:$AE$5002,18,FALSE),""))))))</f>
        <v/>
      </c>
      <c r="Y1608" s="275">
        <f ca="1">IF(D1608="","",IF(T1608="","",VLOOKUP(D1608,契約台帳!$A$3:$Q$4986,17,FALSE)))</f>
        <v>2</v>
      </c>
      <c r="Z1608" s="269" t="str">
        <f ca="1">IF(D1608="","",IF(T1608="","",VLOOKUP(D1608,契約台帳!$A$3:$E$4986,5,FALSE)))</f>
        <v>リンテック㈱</v>
      </c>
      <c r="AA1608" s="57"/>
      <c r="AB1608" s="207">
        <f>IFERROR((VLOOKUP(F1608&amp;K1608&amp;M1608,製品マスタ!$M$5:$AM$5002,27,FALSE)),"")</f>
        <v>0</v>
      </c>
      <c r="AC1608" s="33"/>
      <c r="AD1608" s="189"/>
      <c r="AE1608" s="54"/>
      <c r="AF1608" s="55">
        <f>+M1608*N1608*O1608/1000</f>
        <v>17920</v>
      </c>
      <c r="AG1608" s="43"/>
      <c r="AH1608" s="47"/>
      <c r="AI1608" s="30"/>
      <c r="AJ1608" s="30"/>
      <c r="AK1608" s="30"/>
      <c r="AL1608" s="30"/>
      <c r="AM1608" s="13"/>
      <c r="AN1608" s="13"/>
      <c r="AO1608" s="13"/>
      <c r="AP1608" s="13"/>
      <c r="AQ1608" s="13"/>
      <c r="AR1608" s="14"/>
      <c r="AS1608" s="15"/>
    </row>
    <row r="1609" spans="1:45" s="17" customFormat="1" ht="30.95" hidden="1" customHeight="1" x14ac:dyDescent="0.2">
      <c r="A1609" s="37"/>
      <c r="B1609" s="38"/>
      <c r="C1609" s="45"/>
      <c r="D1609" s="31"/>
      <c r="E1609" s="31"/>
      <c r="F1609" s="268"/>
      <c r="G1609" s="269"/>
      <c r="H1609" s="269"/>
      <c r="I1609" s="270"/>
      <c r="J1609" s="210"/>
      <c r="K1609" s="270"/>
      <c r="L1609" s="270"/>
      <c r="M1609" s="39"/>
      <c r="N1609" s="39"/>
      <c r="O1609" s="156"/>
      <c r="P1609" s="47"/>
      <c r="Q1609" s="419"/>
      <c r="R1609" s="338"/>
      <c r="S1609" s="272"/>
      <c r="T1609" s="273"/>
      <c r="U1609" s="40"/>
      <c r="V1609" s="277"/>
      <c r="W1609" s="269"/>
      <c r="X1609" s="269"/>
      <c r="Y1609" s="275"/>
      <c r="Z1609" s="269"/>
      <c r="AA1609" s="57"/>
      <c r="AB1609" s="207"/>
      <c r="AC1609" s="33"/>
      <c r="AD1609" s="189"/>
      <c r="AE1609" s="54"/>
      <c r="AF1609" s="55"/>
      <c r="AG1609" s="43"/>
      <c r="AH1609" s="47"/>
      <c r="AI1609" s="30"/>
      <c r="AJ1609" s="30"/>
      <c r="AK1609" s="30"/>
      <c r="AL1609" s="30"/>
      <c r="AM1609" s="13"/>
      <c r="AN1609" s="13"/>
      <c r="AO1609" s="13"/>
      <c r="AP1609" s="13"/>
      <c r="AQ1609" s="13"/>
      <c r="AR1609" s="14"/>
      <c r="AS1609" s="15"/>
    </row>
    <row r="1610" spans="1:45" s="17" customFormat="1" ht="30.75" hidden="1" customHeight="1" x14ac:dyDescent="0.2">
      <c r="A1610" s="37"/>
      <c r="B1610" s="38"/>
      <c r="C1610" s="45"/>
      <c r="D1610" s="31">
        <v>3741602</v>
      </c>
      <c r="E1610" s="31">
        <v>4162198</v>
      </c>
      <c r="F1610" s="268" t="str">
        <f>IF(D1610="","",VLOOKUP(D1610,契約台帳!$A$3:$K$4986,6,FALSE)&amp;VLOOKUP(D1610,契約台帳!$A$3:$K$4986,7,FALSE)&amp;VLOOKUP(D1610,契約台帳!$A$3:$K$4986,8,FALSE)&amp;VLOOKUP(D1610,契約台帳!$A$3:$K$4986,9,FALSE)&amp;VLOOKUP(D1610,契約台帳!$A$3:$K$4986,11,FALSE))</f>
        <v>3SNMLBMNGKKBF</v>
      </c>
      <c r="G1610" s="269" t="str">
        <f>IF(D1610="","",VLOOKUP(F1610,製品マスタ!$G$5:$H$5002,2,FALSE))</f>
        <v>S</v>
      </c>
      <c r="H1610" s="269" t="str">
        <f>IF(D1610="","",VLOOKUP(F1610,製品マスタ!$G$5:$K$5002,5,FALSE))</f>
        <v>MNGKKBF</v>
      </c>
      <c r="I1610" s="270" t="str">
        <f>IF(D1610="","",VLOOKUP(F1610,製品マスタ!$G$5:$L$5002,6,FALSE))</f>
        <v>メタルミー　ネーマー銀消改　Ｂ</v>
      </c>
      <c r="J1610" s="210" t="s">
        <v>935</v>
      </c>
      <c r="K1610" s="270">
        <f>IF(D1610="","",VLOOKUP(D1610,契約台帳!$A$3:$L$4986,12,FALSE))</f>
        <v>25</v>
      </c>
      <c r="L1610" s="270" t="str">
        <f>IF(D1610="","",INDEX(製品マスタ!$Q$5:$Q$5002,MATCH('S4'!F1610&amp;'S4'!K1610,製品マスタ!$AO$5:$AO$5002,0)))</f>
        <v>FMATS99</v>
      </c>
      <c r="M1610" s="39">
        <v>1120</v>
      </c>
      <c r="N1610" s="39">
        <v>4000</v>
      </c>
      <c r="O1610" s="156">
        <v>6</v>
      </c>
      <c r="P1610" s="47">
        <v>3</v>
      </c>
      <c r="Q1610" s="213">
        <v>45337</v>
      </c>
      <c r="R1610" s="271">
        <f ca="1">IF(D1610="","",IF(OFFSET(D1610,-1,0)&lt;&gt;"","",IF(OR(J1610="リード付け",J1610="巻足し",J1610="巻返しリード付け"),M1610,VLOOKUP(D1610,契約台帳!$A$3:$N$4986,14,FALSE))))</f>
        <v>1120</v>
      </c>
      <c r="S1610" s="272">
        <f ca="1">IF(D1610="","",IF(OFFSET(D1610,-1,0)&lt;&gt;"","",IF(OR(J1610="リード付け",J1610="巻足し",J1610="巻返しリード付け"),M1610,VLOOKUP(D1610,契約台帳!$A$3:$O$4986,15,FALSE))))</f>
        <v>1120</v>
      </c>
      <c r="T1610" s="273">
        <f ca="1">IF(D1610="","",IF(J1610="リード付け",N1610,IF(J1610="巻返しリード付け",N1610,IF(J1610="巻足し",N1610*P1610+OFFSET(N1610,1,0)*OFFSET(P1610,1,0),VLOOKUP(D1610,契約台帳!$A$3:$P$4986,16,FALSE)))))</f>
        <v>12000</v>
      </c>
      <c r="U1610" s="40">
        <v>2</v>
      </c>
      <c r="V1610" s="274">
        <f ca="1">IF(D1610="","",IF(OFFSET(D1610,-2,0)=D1610,"",VLOOKUP(D1610,契約台帳!$A$3:$R$4986,18,FALSE)))</f>
        <v>6</v>
      </c>
      <c r="W1610" s="269" t="str">
        <f ca="1">IF(D1610="","",IF(T1610="","",IF(OR(J1610="巻足し",J1610="巻返しリード付け"),"",IF(J1610="巻返し",VLOOKUP(F1610&amp;K1610&amp;M1610,製品マスタ!$M$5:$AD$5002,18,FALSE),IF(OR(J1610="リード付け",J1610="巻返しリード付け"),"原反コア",IF(J1610="スリット",VLOOKUP(F1610&amp;K1610&amp;R1610,製品マスタ!$N$5:$AD$5002,17,FALSE),""))))))</f>
        <v/>
      </c>
      <c r="X1610" s="269" t="str">
        <f ca="1">IF(D1610="","",IF(T1610="","",IF(J1610="巻足し","",IF(J1610="巻返し",VLOOKUP(F1610&amp;K1610&amp;M1610,製品マスタ!$M$5:$AE$5002,19,FALSE),IF(OR(J1610="リード付け",J1610="巻返しリード付け"),"",IF(J1610="スリット",VLOOKUP(F1610&amp;K1610&amp;R1610,製品マスタ!$N$5:$AE$5002,18,FALSE),""))))))</f>
        <v/>
      </c>
      <c r="Y1610" s="275">
        <f ca="1">IF(D1610="","",IF(T1610="","",VLOOKUP(D1610,契約台帳!$A$3:$Q$4986,17,FALSE)))</f>
        <v>2</v>
      </c>
      <c r="Z1610" s="269" t="str">
        <f ca="1">IF(D1610="","",IF(T1610="","",VLOOKUP(D1610,契約台帳!$A$3:$E$4986,5,FALSE)))</f>
        <v>リンテック㈱</v>
      </c>
      <c r="AA1610" s="57"/>
      <c r="AB1610" s="207">
        <f>IFERROR((VLOOKUP(F1610&amp;K1610&amp;M1610,製品マスタ!$M$5:$AM$5002,27,FALSE)),"")</f>
        <v>0</v>
      </c>
      <c r="AC1610" s="33"/>
      <c r="AD1610" s="189"/>
      <c r="AE1610" s="54"/>
      <c r="AF1610" s="55">
        <f>+M1610*N1610*O1610/1000</f>
        <v>26880</v>
      </c>
      <c r="AG1610" s="43"/>
      <c r="AH1610" s="47"/>
      <c r="AI1610" s="30"/>
      <c r="AJ1610" s="30"/>
      <c r="AK1610" s="30"/>
      <c r="AL1610" s="30"/>
      <c r="AM1610" s="13"/>
      <c r="AN1610" s="13"/>
      <c r="AO1610" s="13"/>
      <c r="AP1610" s="13"/>
      <c r="AQ1610" s="13"/>
      <c r="AR1610" s="14"/>
      <c r="AS1610" s="15"/>
    </row>
    <row r="1611" spans="1:45" s="17" customFormat="1" ht="30.75" hidden="1" customHeight="1" x14ac:dyDescent="0.2">
      <c r="A1611" s="37"/>
      <c r="B1611" s="38"/>
      <c r="C1611" s="45"/>
      <c r="D1611" s="31"/>
      <c r="E1611" s="31"/>
      <c r="F1611" s="268"/>
      <c r="G1611" s="269"/>
      <c r="H1611" s="269"/>
      <c r="I1611" s="270"/>
      <c r="J1611" s="210"/>
      <c r="K1611" s="270"/>
      <c r="L1611" s="270"/>
      <c r="M1611" s="39"/>
      <c r="N1611" s="39"/>
      <c r="O1611" s="156"/>
      <c r="P1611" s="47"/>
      <c r="Q1611" s="57"/>
      <c r="R1611" s="338"/>
      <c r="S1611" s="272"/>
      <c r="T1611" s="273"/>
      <c r="U1611" s="40"/>
      <c r="V1611" s="277"/>
      <c r="W1611" s="269"/>
      <c r="X1611" s="269"/>
      <c r="Y1611" s="275"/>
      <c r="Z1611" s="269"/>
      <c r="AA1611" s="57"/>
      <c r="AB1611" s="207"/>
      <c r="AC1611" s="33"/>
      <c r="AD1611" s="189"/>
      <c r="AE1611" s="54"/>
      <c r="AF1611" s="55"/>
      <c r="AG1611" s="43"/>
      <c r="AH1611" s="47"/>
      <c r="AI1611" s="30"/>
      <c r="AJ1611" s="30"/>
      <c r="AK1611" s="30"/>
      <c r="AL1611" s="30"/>
      <c r="AM1611" s="13"/>
      <c r="AN1611" s="13"/>
      <c r="AO1611" s="13"/>
      <c r="AP1611" s="13"/>
      <c r="AQ1611" s="13"/>
      <c r="AR1611" s="14"/>
      <c r="AS1611" s="15"/>
    </row>
    <row r="1612" spans="1:45" s="17" customFormat="1" ht="30.95" hidden="1" customHeight="1" x14ac:dyDescent="0.2">
      <c r="A1612" s="37"/>
      <c r="B1612" s="38"/>
      <c r="C1612" s="45"/>
      <c r="D1612" s="31">
        <v>3741607</v>
      </c>
      <c r="E1612" s="31">
        <v>4162196</v>
      </c>
      <c r="F1612" s="268" t="str">
        <f>IF(D1612="","",VLOOKUP(D1612,契約台帳!$A$3:$K$4986,6,FALSE)&amp;VLOOKUP(D1612,契約台帳!$A$3:$K$4986,7,FALSE)&amp;VLOOKUP(D1612,契約台帳!$A$3:$K$4986,8,FALSE)&amp;VLOOKUP(D1612,契約台帳!$A$3:$K$4986,9,FALSE)&amp;VLOOKUP(D1612,契約台帳!$A$3:$K$4986,11,FALSE))</f>
        <v>3SNMLBMNGKBF</v>
      </c>
      <c r="G1612" s="269" t="str">
        <f>IF(D1612="","",VLOOKUP(F1612,製品マスタ!$G$5:$H$5002,2,FALSE))</f>
        <v>S</v>
      </c>
      <c r="H1612" s="269" t="str">
        <f>IF(D1612="","",VLOOKUP(F1612,製品マスタ!$G$5:$K$5002,5,FALSE))</f>
        <v>MNGKBF</v>
      </c>
      <c r="I1612" s="270" t="str">
        <f>IF(D1612="","",VLOOKUP(F1612,製品マスタ!$G$5:$L$5002,6,FALSE))</f>
        <v>メタルミー　ネーマー銀消　Ｂ</v>
      </c>
      <c r="J1612" s="210" t="s">
        <v>935</v>
      </c>
      <c r="K1612" s="270">
        <f>IF(D1612="","",VLOOKUP(D1612,契約台帳!$A$3:$L$4986,12,FALSE))</f>
        <v>75</v>
      </c>
      <c r="L1612" s="270" t="str">
        <f>IF(D1612="","",INDEX(製品マスタ!$Q$5:$Q$5002,MATCH('S4'!F1612&amp;'S4'!K1612,製品マスタ!$AO$5:$AO$5002,0)))</f>
        <v>MAT</v>
      </c>
      <c r="M1612" s="39">
        <v>1050</v>
      </c>
      <c r="N1612" s="39">
        <v>2000</v>
      </c>
      <c r="O1612" s="156">
        <v>2</v>
      </c>
      <c r="P1612" s="47">
        <v>2</v>
      </c>
      <c r="Q1612" s="213">
        <v>45341</v>
      </c>
      <c r="R1612" s="271">
        <f ca="1">IF(D1612="","",IF(OFFSET(D1612,-1,0)&lt;&gt;"","",IF(OR(J1612="リード付け",J1612="巻足し",J1612="巻返しリード付け"),M1612,VLOOKUP(D1612,契約台帳!$A$3:$N$4986,14,FALSE))))</f>
        <v>1050</v>
      </c>
      <c r="S1612" s="272">
        <f ca="1">IF(D1612="","",IF(OFFSET(D1612,-1,0)&lt;&gt;"","",IF(OR(J1612="リード付け",J1612="巻足し",J1612="巻返しリード付け"),M1612,VLOOKUP(D1612,契約台帳!$A$3:$O$4986,15,FALSE))))</f>
        <v>1050</v>
      </c>
      <c r="T1612" s="273">
        <f ca="1">IF(D1612="","",IF(J1612="リード付け",N1612,IF(J1612="巻返しリード付け",N1612,IF(J1612="巻足し",N1612*P1612+OFFSET(N1612,1,0)*OFFSET(P1612,1,0),VLOOKUP(D1612,契約台帳!$A$3:$P$4986,16,FALSE)))))</f>
        <v>4000</v>
      </c>
      <c r="U1612" s="40">
        <v>1</v>
      </c>
      <c r="V1612" s="274">
        <f ca="1">IF(D1612="","",IF(OFFSET(D1612,-2,0)=D1612,"",VLOOKUP(D1612,契約台帳!$A$3:$R$4986,18,FALSE)))</f>
        <v>2</v>
      </c>
      <c r="W1612" s="269" t="str">
        <f ca="1">IF(D1612="","",IF(T1612="","",IF(OR(J1612="巻足し",J1612="巻返しリード付け"),"",IF(J1612="巻返し",VLOOKUP(F1612&amp;K1612&amp;M1612,製品マスタ!$M$5:$AD$5002,18,FALSE),IF(OR(J1612="リード付け",J1612="巻返しリード付け"),"原反コア",IF(J1612="スリット",VLOOKUP(F1612&amp;K1612&amp;R1612,製品マスタ!$N$5:$AD$5002,17,FALSE),""))))))</f>
        <v/>
      </c>
      <c r="X1612" s="269" t="str">
        <f ca="1">IF(D1612="","",IF(T1612="","",IF(J1612="巻足し","",IF(J1612="巻返し",VLOOKUP(F1612&amp;K1612&amp;M1612,製品マスタ!$M$5:$AE$5002,19,FALSE),IF(OR(J1612="リード付け",J1612="巻返しリード付け"),"",IF(J1612="スリット",VLOOKUP(F1612&amp;K1612&amp;R1612,製品マスタ!$N$5:$AE$5002,18,FALSE),""))))))</f>
        <v/>
      </c>
      <c r="Y1612" s="275">
        <f ca="1">IF(D1612="","",IF(T1612="","",VLOOKUP(D1612,契約台帳!$A$3:$Q$4986,17,FALSE)))</f>
        <v>2</v>
      </c>
      <c r="Z1612" s="269" t="str">
        <f ca="1">IF(D1612="","",IF(T1612="","",VLOOKUP(D1612,契約台帳!$A$3:$E$4986,5,FALSE)))</f>
        <v>リンテック㈱</v>
      </c>
      <c r="AA1612" s="57"/>
      <c r="AB1612" s="207">
        <f>IFERROR((VLOOKUP(F1612&amp;K1612&amp;M1612,製品マスタ!$M$5:$AM$5002,27,FALSE)),"")</f>
        <v>0</v>
      </c>
      <c r="AC1612" s="33"/>
      <c r="AD1612" s="189"/>
      <c r="AE1612" s="54"/>
      <c r="AF1612" s="55">
        <f>+M1612*N1612*O1612/1000</f>
        <v>4200</v>
      </c>
      <c r="AG1612" s="43"/>
      <c r="AH1612" s="47"/>
      <c r="AI1612" s="30"/>
      <c r="AJ1612" s="30"/>
      <c r="AK1612" s="30"/>
      <c r="AL1612" s="30"/>
      <c r="AM1612" s="13"/>
      <c r="AN1612" s="13"/>
      <c r="AO1612" s="13"/>
      <c r="AP1612" s="13"/>
      <c r="AQ1612" s="13"/>
      <c r="AR1612" s="14"/>
      <c r="AS1612" s="15"/>
    </row>
    <row r="1613" spans="1:45" s="17" customFormat="1" ht="30.95" hidden="1" customHeight="1" x14ac:dyDescent="0.2">
      <c r="A1613" s="37"/>
      <c r="B1613" s="38"/>
      <c r="C1613" s="45"/>
      <c r="D1613" s="31"/>
      <c r="E1613" s="31"/>
      <c r="F1613" s="268"/>
      <c r="G1613" s="269"/>
      <c r="H1613" s="269"/>
      <c r="I1613" s="270"/>
      <c r="J1613" s="210"/>
      <c r="K1613" s="270"/>
      <c r="L1613" s="270"/>
      <c r="M1613" s="39"/>
      <c r="N1613" s="39"/>
      <c r="O1613" s="156"/>
      <c r="P1613" s="47"/>
      <c r="Q1613" s="57"/>
      <c r="R1613" s="338"/>
      <c r="S1613" s="272"/>
      <c r="T1613" s="273"/>
      <c r="U1613" s="40"/>
      <c r="V1613" s="277"/>
      <c r="W1613" s="269"/>
      <c r="X1613" s="269"/>
      <c r="Y1613" s="275"/>
      <c r="Z1613" s="269"/>
      <c r="AA1613" s="57"/>
      <c r="AB1613" s="207"/>
      <c r="AC1613" s="33"/>
      <c r="AD1613" s="189"/>
      <c r="AE1613" s="54"/>
      <c r="AF1613" s="55"/>
      <c r="AG1613" s="43"/>
      <c r="AH1613" s="47"/>
      <c r="AI1613" s="30"/>
      <c r="AJ1613" s="30"/>
      <c r="AK1613" s="30"/>
      <c r="AL1613" s="30"/>
      <c r="AM1613" s="13"/>
      <c r="AN1613" s="13"/>
      <c r="AO1613" s="13"/>
      <c r="AP1613" s="13"/>
      <c r="AQ1613" s="13"/>
      <c r="AR1613" s="14"/>
      <c r="AS1613" s="15"/>
    </row>
    <row r="1614" spans="1:45" s="17" customFormat="1" ht="30.95" hidden="1" customHeight="1" x14ac:dyDescent="0.2">
      <c r="A1614" s="37"/>
      <c r="B1614" s="38"/>
      <c r="C1614" s="45"/>
      <c r="D1614" s="31">
        <v>3741613</v>
      </c>
      <c r="E1614" s="31">
        <v>4162204</v>
      </c>
      <c r="F1614" s="268" t="str">
        <f>IF(D1614="","",VLOOKUP(D1614,契約台帳!$A$3:$K$4986,6,FALSE)&amp;VLOOKUP(D1614,契約台帳!$A$3:$K$4986,7,FALSE)&amp;VLOOKUP(D1614,契約台帳!$A$3:$K$4986,8,FALSE)&amp;VLOOKUP(D1614,契約台帳!$A$3:$K$4986,9,FALSE)&amp;VLOOKUP(D1614,契約台帳!$A$3:$K$4986,11,FALSE))</f>
        <v>3SNMLBMNNGKBF</v>
      </c>
      <c r="G1614" s="269" t="str">
        <f>IF(D1614="","",VLOOKUP(F1614,製品マスタ!$G$5:$H$5002,2,FALSE))</f>
        <v>S</v>
      </c>
      <c r="H1614" s="269" t="str">
        <f>IF(D1614="","",VLOOKUP(F1614,製品マスタ!$G$5:$K$5002,5,FALSE))</f>
        <v>MNNGKBF</v>
      </c>
      <c r="I1614" s="270" t="str">
        <f>IF(D1614="","",VLOOKUP(F1614,製品マスタ!$G$5:$L$5002,6,FALSE))</f>
        <v>メタルミー　ニューネーマー銀消　Ｂ</v>
      </c>
      <c r="J1614" s="210" t="s">
        <v>935</v>
      </c>
      <c r="K1614" s="270">
        <f>IF(D1614="","",VLOOKUP(D1614,契約台帳!$A$3:$L$4986,12,FALSE))</f>
        <v>25</v>
      </c>
      <c r="L1614" s="270" t="str">
        <f>IF(D1614="","",INDEX(製品マスタ!$Q$5:$Q$5002,MATCH('S4'!F1614&amp;'S4'!K1614,製品マスタ!$AO$5:$AO$5002,0)))</f>
        <v>X44C</v>
      </c>
      <c r="M1614" s="39">
        <v>1005</v>
      </c>
      <c r="N1614" s="39">
        <v>8000</v>
      </c>
      <c r="O1614" s="156">
        <v>2</v>
      </c>
      <c r="P1614" s="47">
        <v>2</v>
      </c>
      <c r="Q1614" s="213">
        <v>45337</v>
      </c>
      <c r="R1614" s="271">
        <f ca="1">IF(D1614="","",IF(OFFSET(D1614,-1,0)&lt;&gt;"","",IF(OR(J1614="リード付け",J1614="巻足し",J1614="巻返しリード付け"),M1614,VLOOKUP(D1614,契約台帳!$A$3:$N$4986,14,FALSE))))</f>
        <v>1005</v>
      </c>
      <c r="S1614" s="272">
        <f ca="1">IF(D1614="","",IF(OFFSET(D1614,-1,0)&lt;&gt;"","",IF(OR(J1614="リード付け",J1614="巻足し",J1614="巻返しリード付け"),M1614,VLOOKUP(D1614,契約台帳!$A$3:$O$4986,15,FALSE))))</f>
        <v>1005</v>
      </c>
      <c r="T1614" s="273">
        <f ca="1">IF(D1614="","",IF(J1614="リード付け",N1614,IF(J1614="巻返しリード付け",N1614,IF(J1614="巻足し",N1614*P1614+OFFSET(N1614,1,0)*OFFSET(P1614,1,0),VLOOKUP(D1614,契約台帳!$A$3:$P$4986,16,FALSE)))))</f>
        <v>16000</v>
      </c>
      <c r="U1614" s="40">
        <v>1</v>
      </c>
      <c r="V1614" s="274">
        <f ca="1">IF(D1614="","",IF(OFFSET(D1614,-2,0)=D1614,"",VLOOKUP(D1614,契約台帳!$A$3:$R$4986,18,FALSE)))</f>
        <v>4</v>
      </c>
      <c r="W1614" s="269" t="str">
        <f ca="1">IF(D1614="","",IF(T1614="","",IF(OR(J1614="巻足し",J1614="巻返しリード付け"),"",IF(J1614="巻返し",VLOOKUP(F1614&amp;K1614&amp;M1614,製品マスタ!$M$5:$AD$5002,18,FALSE),IF(OR(J1614="リード付け",J1614="巻返しリード付け"),"原反コア",IF(J1614="スリット",VLOOKUP(F1614&amp;K1614&amp;R1614,製品マスタ!$N$5:$AD$5002,17,FALSE),""))))))</f>
        <v/>
      </c>
      <c r="X1614" s="269" t="str">
        <f ca="1">IF(D1614="","",IF(T1614="","",IF(J1614="巻足し","",IF(J1614="巻返し",VLOOKUP(F1614&amp;K1614&amp;M1614,製品マスタ!$M$5:$AE$5002,19,FALSE),IF(OR(J1614="リード付け",J1614="巻返しリード付け"),"",IF(J1614="スリット",VLOOKUP(F1614&amp;K1614&amp;R1614,製品マスタ!$N$5:$AE$5002,18,FALSE),""))))))</f>
        <v/>
      </c>
      <c r="Y1614" s="275">
        <f ca="1">IF(D1614="","",IF(T1614="","",VLOOKUP(D1614,契約台帳!$A$3:$Q$4986,17,FALSE)))</f>
        <v>2</v>
      </c>
      <c r="Z1614" s="269" t="str">
        <f ca="1">IF(D1614="","",IF(T1614="","",VLOOKUP(D1614,契約台帳!$A$3:$E$4986,5,FALSE)))</f>
        <v>リンテック㈱</v>
      </c>
      <c r="AA1614" s="57"/>
      <c r="AB1614" s="207">
        <f>IFERROR((VLOOKUP(F1614&amp;K1614&amp;M1614,製品マスタ!$M$5:$AM$5002,27,FALSE)),"")</f>
        <v>0</v>
      </c>
      <c r="AC1614" s="33"/>
      <c r="AD1614" s="189"/>
      <c r="AE1614" s="54"/>
      <c r="AF1614" s="55">
        <f>+M1614*N1614*O1614/1000</f>
        <v>16080</v>
      </c>
      <c r="AG1614" s="43"/>
      <c r="AH1614" s="47"/>
      <c r="AI1614" s="30"/>
      <c r="AJ1614" s="30"/>
      <c r="AK1614" s="30"/>
      <c r="AL1614" s="30"/>
      <c r="AM1614" s="13"/>
      <c r="AN1614" s="13"/>
      <c r="AO1614" s="13"/>
      <c r="AP1614" s="13"/>
      <c r="AQ1614" s="13"/>
      <c r="AR1614" s="14"/>
      <c r="AS1614" s="15"/>
    </row>
    <row r="1615" spans="1:45" s="17" customFormat="1" ht="30.95" hidden="1" customHeight="1" x14ac:dyDescent="0.2">
      <c r="A1615" s="37"/>
      <c r="B1615" s="38"/>
      <c r="C1615" s="45"/>
      <c r="D1615" s="31"/>
      <c r="E1615" s="31"/>
      <c r="F1615" s="268"/>
      <c r="G1615" s="269"/>
      <c r="H1615" s="269"/>
      <c r="I1615" s="270"/>
      <c r="J1615" s="210"/>
      <c r="K1615" s="270"/>
      <c r="L1615" s="270"/>
      <c r="M1615" s="39"/>
      <c r="N1615" s="39"/>
      <c r="O1615" s="156"/>
      <c r="P1615" s="47"/>
      <c r="Q1615" s="57"/>
      <c r="R1615" s="338"/>
      <c r="S1615" s="272"/>
      <c r="T1615" s="273"/>
      <c r="U1615" s="40"/>
      <c r="V1615" s="277"/>
      <c r="W1615" s="269"/>
      <c r="X1615" s="269"/>
      <c r="Y1615" s="275"/>
      <c r="Z1615" s="269"/>
      <c r="AA1615" s="57"/>
      <c r="AB1615" s="207"/>
      <c r="AC1615" s="33"/>
      <c r="AD1615" s="189"/>
      <c r="AE1615" s="54"/>
      <c r="AF1615" s="55"/>
      <c r="AG1615" s="43"/>
      <c r="AH1615" s="47"/>
      <c r="AI1615" s="30"/>
      <c r="AJ1615" s="30"/>
      <c r="AK1615" s="30"/>
      <c r="AL1615" s="30"/>
      <c r="AM1615" s="13"/>
      <c r="AN1615" s="13"/>
      <c r="AO1615" s="13"/>
      <c r="AP1615" s="13"/>
      <c r="AQ1615" s="13"/>
      <c r="AR1615" s="14"/>
      <c r="AS1615" s="15"/>
    </row>
    <row r="1616" spans="1:45" s="17" customFormat="1" ht="30.95" hidden="1" customHeight="1" x14ac:dyDescent="0.2">
      <c r="A1616" s="37" t="s">
        <v>1977</v>
      </c>
      <c r="B1616" s="38" t="s">
        <v>1971</v>
      </c>
      <c r="C1616" s="45"/>
      <c r="D1616" s="31"/>
      <c r="E1616" s="31"/>
      <c r="F1616" s="268"/>
      <c r="G1616" s="269"/>
      <c r="H1616" s="269"/>
      <c r="I1616" s="270"/>
      <c r="J1616" s="210" t="s">
        <v>448</v>
      </c>
      <c r="K1616" s="270"/>
      <c r="L1616" s="270"/>
      <c r="M1616" s="39"/>
      <c r="N1616" s="39"/>
      <c r="O1616" s="156"/>
      <c r="P1616" s="47"/>
      <c r="Q1616" s="57"/>
      <c r="R1616" s="338"/>
      <c r="S1616" s="272"/>
      <c r="T1616" s="273"/>
      <c r="U1616" s="40"/>
      <c r="V1616" s="277"/>
      <c r="W1616" s="269"/>
      <c r="X1616" s="269"/>
      <c r="Y1616" s="275"/>
      <c r="Z1616" s="269"/>
      <c r="AA1616" s="57"/>
      <c r="AB1616" s="207"/>
      <c r="AC1616" s="33"/>
      <c r="AD1616" s="189"/>
      <c r="AE1616" s="54"/>
      <c r="AF1616" s="55"/>
      <c r="AG1616" s="43"/>
      <c r="AH1616" s="47"/>
      <c r="AI1616" s="30"/>
      <c r="AJ1616" s="30"/>
      <c r="AK1616" s="30"/>
      <c r="AL1616" s="30"/>
      <c r="AM1616" s="13"/>
      <c r="AN1616" s="13"/>
      <c r="AO1616" s="13"/>
      <c r="AP1616" s="13"/>
      <c r="AQ1616" s="13"/>
      <c r="AR1616" s="14"/>
      <c r="AS1616" s="15"/>
    </row>
    <row r="1617" spans="1:45" s="17" customFormat="1" ht="30.95" hidden="1" customHeight="1" x14ac:dyDescent="0.2">
      <c r="A1617" s="37"/>
      <c r="B1617" s="38"/>
      <c r="C1617" s="45"/>
      <c r="D1617" s="31"/>
      <c r="E1617" s="31"/>
      <c r="F1617" s="268"/>
      <c r="G1617" s="269"/>
      <c r="H1617" s="269"/>
      <c r="I1617" s="270"/>
      <c r="J1617" s="210"/>
      <c r="K1617" s="270"/>
      <c r="L1617" s="270"/>
      <c r="M1617" s="39"/>
      <c r="N1617" s="39"/>
      <c r="O1617" s="156"/>
      <c r="P1617" s="47"/>
      <c r="Q1617" s="57"/>
      <c r="R1617" s="338"/>
      <c r="S1617" s="272"/>
      <c r="T1617" s="273"/>
      <c r="U1617" s="40"/>
      <c r="V1617" s="277"/>
      <c r="W1617" s="269"/>
      <c r="X1617" s="269"/>
      <c r="Y1617" s="275"/>
      <c r="Z1617" s="269"/>
      <c r="AA1617" s="57"/>
      <c r="AB1617" s="207"/>
      <c r="AC1617" s="33"/>
      <c r="AD1617" s="189"/>
      <c r="AE1617" s="54"/>
      <c r="AF1617" s="55"/>
      <c r="AG1617" s="43"/>
      <c r="AH1617" s="47"/>
      <c r="AI1617" s="30"/>
      <c r="AJ1617" s="30"/>
      <c r="AK1617" s="30"/>
      <c r="AL1617" s="30"/>
      <c r="AM1617" s="13"/>
      <c r="AN1617" s="13"/>
      <c r="AO1617" s="13"/>
      <c r="AP1617" s="13"/>
      <c r="AQ1617" s="13"/>
      <c r="AR1617" s="14"/>
      <c r="AS1617" s="15"/>
    </row>
    <row r="1618" spans="1:45" s="17" customFormat="1" ht="30.95" hidden="1" customHeight="1" x14ac:dyDescent="0.2">
      <c r="A1618" s="37" t="s">
        <v>1978</v>
      </c>
      <c r="B1618" s="38" t="s">
        <v>1979</v>
      </c>
      <c r="C1618" s="45"/>
      <c r="D1618" s="31"/>
      <c r="E1618" s="31"/>
      <c r="F1618" s="268"/>
      <c r="G1618" s="269"/>
      <c r="H1618" s="269"/>
      <c r="I1618" s="270"/>
      <c r="J1618" s="210" t="s">
        <v>448</v>
      </c>
      <c r="K1618" s="270"/>
      <c r="L1618" s="270"/>
      <c r="M1618" s="39"/>
      <c r="N1618" s="39"/>
      <c r="O1618" s="156"/>
      <c r="P1618" s="47"/>
      <c r="Q1618" s="57"/>
      <c r="R1618" s="338"/>
      <c r="S1618" s="272"/>
      <c r="T1618" s="273"/>
      <c r="U1618" s="40"/>
      <c r="V1618" s="277"/>
      <c r="W1618" s="269"/>
      <c r="X1618" s="269"/>
      <c r="Y1618" s="275"/>
      <c r="Z1618" s="269"/>
      <c r="AA1618" s="57"/>
      <c r="AB1618" s="207"/>
      <c r="AC1618" s="33"/>
      <c r="AD1618" s="189"/>
      <c r="AE1618" s="54"/>
      <c r="AF1618" s="55"/>
      <c r="AG1618" s="43"/>
      <c r="AH1618" s="47"/>
      <c r="AI1618" s="30"/>
      <c r="AJ1618" s="30"/>
      <c r="AK1618" s="30"/>
      <c r="AL1618" s="30"/>
      <c r="AM1618" s="13"/>
      <c r="AN1618" s="13"/>
      <c r="AO1618" s="13"/>
      <c r="AP1618" s="13"/>
      <c r="AQ1618" s="13"/>
      <c r="AR1618" s="14"/>
      <c r="AS1618" s="15"/>
    </row>
    <row r="1619" spans="1:45" s="17" customFormat="1" ht="30.95" hidden="1" customHeight="1" x14ac:dyDescent="0.2">
      <c r="A1619" s="37"/>
      <c r="B1619" s="38"/>
      <c r="C1619" s="45"/>
      <c r="D1619" s="31"/>
      <c r="E1619" s="31"/>
      <c r="F1619" s="268"/>
      <c r="G1619" s="269"/>
      <c r="H1619" s="269"/>
      <c r="I1619" s="270"/>
      <c r="J1619" s="210"/>
      <c r="K1619" s="270"/>
      <c r="L1619" s="270"/>
      <c r="M1619" s="39"/>
      <c r="N1619" s="39"/>
      <c r="O1619" s="156"/>
      <c r="P1619" s="47"/>
      <c r="Q1619" s="57"/>
      <c r="R1619" s="338"/>
      <c r="S1619" s="272"/>
      <c r="T1619" s="273"/>
      <c r="U1619" s="40"/>
      <c r="V1619" s="277"/>
      <c r="W1619" s="269"/>
      <c r="X1619" s="269"/>
      <c r="Y1619" s="275"/>
      <c r="Z1619" s="269"/>
      <c r="AA1619" s="57"/>
      <c r="AB1619" s="207"/>
      <c r="AC1619" s="33"/>
      <c r="AD1619" s="189"/>
      <c r="AE1619" s="54"/>
      <c r="AF1619" s="55"/>
      <c r="AG1619" s="43"/>
      <c r="AH1619" s="47"/>
      <c r="AI1619" s="30"/>
      <c r="AJ1619" s="30"/>
      <c r="AK1619" s="30"/>
      <c r="AL1619" s="30"/>
      <c r="AM1619" s="13"/>
      <c r="AN1619" s="13"/>
      <c r="AO1619" s="13"/>
      <c r="AP1619" s="13"/>
      <c r="AQ1619" s="13"/>
      <c r="AR1619" s="14"/>
      <c r="AS1619" s="15"/>
    </row>
    <row r="1620" spans="1:45" s="17" customFormat="1" ht="30.95" hidden="1" customHeight="1" x14ac:dyDescent="0.2">
      <c r="A1620" s="37" t="s">
        <v>1980</v>
      </c>
      <c r="B1620" s="38" t="s">
        <v>1981</v>
      </c>
      <c r="C1620" s="45"/>
      <c r="D1620" s="31"/>
      <c r="E1620" s="31"/>
      <c r="F1620" s="268"/>
      <c r="G1620" s="269"/>
      <c r="H1620" s="269"/>
      <c r="I1620" s="270"/>
      <c r="J1620" s="210" t="s">
        <v>448</v>
      </c>
      <c r="K1620" s="270"/>
      <c r="L1620" s="270"/>
      <c r="M1620" s="39"/>
      <c r="N1620" s="39"/>
      <c r="O1620" s="156"/>
      <c r="P1620" s="47"/>
      <c r="Q1620" s="57"/>
      <c r="R1620" s="338"/>
      <c r="S1620" s="272"/>
      <c r="T1620" s="273"/>
      <c r="U1620" s="40"/>
      <c r="V1620" s="277"/>
      <c r="W1620" s="269"/>
      <c r="X1620" s="269"/>
      <c r="Y1620" s="275"/>
      <c r="Z1620" s="269"/>
      <c r="AA1620" s="57"/>
      <c r="AB1620" s="207"/>
      <c r="AC1620" s="33"/>
      <c r="AD1620" s="189"/>
      <c r="AE1620" s="54"/>
      <c r="AF1620" s="55"/>
      <c r="AG1620" s="43"/>
      <c r="AH1620" s="47"/>
      <c r="AI1620" s="30"/>
      <c r="AJ1620" s="30"/>
      <c r="AK1620" s="30"/>
      <c r="AL1620" s="30"/>
      <c r="AM1620" s="13"/>
      <c r="AN1620" s="13"/>
      <c r="AO1620" s="13"/>
      <c r="AP1620" s="13"/>
      <c r="AQ1620" s="13"/>
      <c r="AR1620" s="14"/>
      <c r="AS1620" s="15"/>
    </row>
    <row r="1621" spans="1:45" s="17" customFormat="1" ht="30.95" hidden="1" customHeight="1" x14ac:dyDescent="0.2">
      <c r="A1621" s="37"/>
      <c r="B1621" s="38"/>
      <c r="C1621" s="45"/>
      <c r="D1621" s="31"/>
      <c r="E1621" s="31"/>
      <c r="F1621" s="268"/>
      <c r="G1621" s="269"/>
      <c r="H1621" s="269"/>
      <c r="I1621" s="270"/>
      <c r="J1621" s="210"/>
      <c r="K1621" s="270"/>
      <c r="L1621" s="270"/>
      <c r="M1621" s="39"/>
      <c r="N1621" s="39"/>
      <c r="O1621" s="156"/>
      <c r="P1621" s="47"/>
      <c r="Q1621" s="57"/>
      <c r="R1621" s="338"/>
      <c r="S1621" s="272"/>
      <c r="T1621" s="273"/>
      <c r="U1621" s="40"/>
      <c r="V1621" s="277"/>
      <c r="W1621" s="269"/>
      <c r="X1621" s="269"/>
      <c r="Y1621" s="275"/>
      <c r="Z1621" s="269"/>
      <c r="AA1621" s="57"/>
      <c r="AB1621" s="207"/>
      <c r="AC1621" s="33"/>
      <c r="AD1621" s="189"/>
      <c r="AE1621" s="54"/>
      <c r="AF1621" s="55"/>
      <c r="AG1621" s="43"/>
      <c r="AH1621" s="47"/>
      <c r="AI1621" s="30"/>
      <c r="AJ1621" s="30"/>
      <c r="AK1621" s="30"/>
      <c r="AL1621" s="30"/>
      <c r="AM1621" s="13"/>
      <c r="AN1621" s="13"/>
      <c r="AO1621" s="13"/>
      <c r="AP1621" s="13"/>
      <c r="AQ1621" s="13"/>
      <c r="AR1621" s="14"/>
      <c r="AS1621" s="15"/>
    </row>
    <row r="1622" spans="1:45" s="17" customFormat="1" ht="30.95" hidden="1" customHeight="1" x14ac:dyDescent="0.2">
      <c r="A1622" s="37" t="s">
        <v>1982</v>
      </c>
      <c r="B1622" s="38" t="s">
        <v>1969</v>
      </c>
      <c r="C1622" s="45"/>
      <c r="D1622" s="31">
        <v>3741621</v>
      </c>
      <c r="E1622" s="31">
        <v>4162206</v>
      </c>
      <c r="F1622" s="268" t="str">
        <f>IF(D1622="","",VLOOKUP(D1622,契約台帳!$A$3:$K$4986,6,FALSE)&amp;VLOOKUP(D1622,契約台帳!$A$3:$K$4986,7,FALSE)&amp;VLOOKUP(D1622,契約台帳!$A$3:$K$4986,8,FALSE)&amp;VLOOKUP(D1622,契約台帳!$A$3:$K$4986,9,FALSE)&amp;VLOOKUP(D1622,契約台帳!$A$3:$K$4986,11,FALSE))</f>
        <v>3SNMLBMNQR66F</v>
      </c>
      <c r="G1622" s="269" t="str">
        <f>IF(D1622="","",VLOOKUP(F1622,製品マスタ!$G$5:$H$5002,2,FALSE))</f>
        <v>S</v>
      </c>
      <c r="H1622" s="269" t="str">
        <f>IF(D1622="","",VLOOKUP(F1622,製品マスタ!$G$5:$K$5002,5,FALSE))</f>
        <v>MNQR66F</v>
      </c>
      <c r="I1622" s="270" t="str">
        <f>IF(D1622="","",VLOOKUP(F1622,製品マスタ!$G$5:$L$5002,6,FALSE))</f>
        <v>ＱＲ６６蒸着品</v>
      </c>
      <c r="J1622" s="210" t="s">
        <v>935</v>
      </c>
      <c r="K1622" s="270">
        <f>IF(D1622="","",VLOOKUP(D1622,契約台帳!$A$3:$L$4986,12,FALSE))</f>
        <v>25</v>
      </c>
      <c r="L1622" s="270" t="str">
        <f>IF(D1622="","",INDEX(製品マスタ!$Q$5:$Q$5002,MATCH('S4'!F1622&amp;'S4'!K1622,製品マスタ!$AO$5:$AO$5002,0)))</f>
        <v>E315</v>
      </c>
      <c r="M1622" s="39">
        <v>1000</v>
      </c>
      <c r="N1622" s="39">
        <v>6000</v>
      </c>
      <c r="O1622" s="156">
        <v>3</v>
      </c>
      <c r="P1622" s="47">
        <v>3</v>
      </c>
      <c r="Q1622" s="213">
        <v>45337</v>
      </c>
      <c r="R1622" s="271">
        <f ca="1">IF(D1622="","",IF(OFFSET(D1622,-1,0)&lt;&gt;"","",IF(OR(J1622="リード付け",J1622="巻足し",J1622="巻返しリード付け"),M1622,VLOOKUP(D1622,契約台帳!$A$3:$N$4986,14,FALSE))))</f>
        <v>1000</v>
      </c>
      <c r="S1622" s="272">
        <f ca="1">IF(D1622="","",IF(OFFSET(D1622,-1,0)&lt;&gt;"","",IF(OR(J1622="リード付け",J1622="巻足し",J1622="巻返しリード付け"),M1622,VLOOKUP(D1622,契約台帳!$A$3:$O$4986,15,FALSE))))</f>
        <v>1000</v>
      </c>
      <c r="T1622" s="273">
        <f ca="1">IF(D1622="","",IF(J1622="リード付け",N1622,IF(J1622="巻返しリード付け",N1622,IF(J1622="巻足し",N1622*P1622+OFFSET(N1622,1,0)*OFFSET(P1622,1,0),VLOOKUP(D1622,契約台帳!$A$3:$P$4986,16,FALSE)))))</f>
        <v>18000</v>
      </c>
      <c r="U1622" s="40">
        <v>1</v>
      </c>
      <c r="V1622" s="274">
        <f ca="1">IF(D1622="","",IF(OFFSET(D1622,-2,0)=D1622,"",VLOOKUP(D1622,契約台帳!$A$3:$R$4986,18,FALSE)))</f>
        <v>3</v>
      </c>
      <c r="W1622" s="269" t="str">
        <f ca="1">IF(D1622="","",IF(T1622="","",IF(OR(J1622="巻足し",J1622="巻返しリード付け"),"",IF(J1622="巻返し",VLOOKUP(F1622&amp;K1622&amp;M1622,製品マスタ!$M$5:$AD$5002,18,FALSE),IF(OR(J1622="リード付け",J1622="巻返しリード付け"),"原反コア",IF(J1622="スリット",VLOOKUP(F1622&amp;K1622&amp;R1622,製品マスタ!$N$5:$AD$5002,17,FALSE),""))))))</f>
        <v/>
      </c>
      <c r="X1622" s="269" t="str">
        <f ca="1">IF(D1622="","",IF(T1622="","",IF(J1622="巻足し","",IF(J1622="巻返し",VLOOKUP(F1622&amp;K1622&amp;M1622,製品マスタ!$M$5:$AE$5002,19,FALSE),IF(OR(J1622="リード付け",J1622="巻返しリード付け"),"",IF(J1622="スリット",VLOOKUP(F1622&amp;K1622&amp;R1622,製品マスタ!$N$5:$AE$5002,18,FALSE),""))))))</f>
        <v/>
      </c>
      <c r="Y1622" s="275">
        <f ca="1">IF(D1622="","",IF(T1622="","",VLOOKUP(D1622,契約台帳!$A$3:$Q$4986,17,FALSE)))</f>
        <v>2</v>
      </c>
      <c r="Z1622" s="269" t="str">
        <f ca="1">IF(D1622="","",IF(T1622="","",VLOOKUP(D1622,契約台帳!$A$3:$E$4986,5,FALSE)))</f>
        <v>リンテック㈱</v>
      </c>
      <c r="AA1622" s="57"/>
      <c r="AB1622" s="207" t="str">
        <f>IFERROR((VLOOKUP(F1622&amp;K1622&amp;M1622,製品マスタ!$M$5:$AM$5002,27,FALSE)),"")</f>
        <v>原反ケース再利用</v>
      </c>
      <c r="AC1622" s="33"/>
      <c r="AD1622" s="189"/>
      <c r="AE1622" s="54"/>
      <c r="AF1622" s="55">
        <f>+M1622*N1622*O1622/1000</f>
        <v>18000</v>
      </c>
      <c r="AG1622" s="43"/>
      <c r="AH1622" s="47"/>
      <c r="AI1622" s="30"/>
      <c r="AJ1622" s="30"/>
      <c r="AK1622" s="30"/>
      <c r="AL1622" s="30"/>
      <c r="AM1622" s="13"/>
      <c r="AN1622" s="13"/>
      <c r="AO1622" s="13"/>
      <c r="AP1622" s="13"/>
      <c r="AQ1622" s="13"/>
      <c r="AR1622" s="14"/>
      <c r="AS1622" s="15"/>
    </row>
    <row r="1623" spans="1:45" s="17" customFormat="1" ht="30.95" hidden="1" customHeight="1" x14ac:dyDescent="0.2">
      <c r="A1623" s="37"/>
      <c r="B1623" s="38"/>
      <c r="C1623" s="45"/>
      <c r="D1623" s="31"/>
      <c r="E1623" s="31"/>
      <c r="F1623" s="268"/>
      <c r="G1623" s="269"/>
      <c r="H1623" s="269"/>
      <c r="I1623" s="270"/>
      <c r="J1623" s="210"/>
      <c r="K1623" s="270"/>
      <c r="L1623" s="270"/>
      <c r="M1623" s="39"/>
      <c r="N1623" s="39"/>
      <c r="O1623" s="156"/>
      <c r="P1623" s="47"/>
      <c r="Q1623" s="57"/>
      <c r="R1623" s="338"/>
      <c r="S1623" s="272"/>
      <c r="T1623" s="273"/>
      <c r="U1623" s="40"/>
      <c r="V1623" s="277"/>
      <c r="W1623" s="269"/>
      <c r="X1623" s="269"/>
      <c r="Y1623" s="275"/>
      <c r="Z1623" s="269"/>
      <c r="AA1623" s="57"/>
      <c r="AB1623" s="207"/>
      <c r="AC1623" s="33"/>
      <c r="AD1623" s="189"/>
      <c r="AE1623" s="54"/>
      <c r="AF1623" s="55"/>
      <c r="AG1623" s="43"/>
      <c r="AH1623" s="47"/>
      <c r="AI1623" s="30"/>
      <c r="AJ1623" s="30"/>
      <c r="AK1623" s="30"/>
      <c r="AL1623" s="30"/>
      <c r="AM1623" s="13"/>
      <c r="AN1623" s="13"/>
      <c r="AO1623" s="13"/>
      <c r="AP1623" s="13"/>
      <c r="AQ1623" s="13"/>
      <c r="AR1623" s="14"/>
      <c r="AS1623" s="15"/>
    </row>
    <row r="1624" spans="1:45" s="17" customFormat="1" ht="30.95" hidden="1" customHeight="1" x14ac:dyDescent="0.2">
      <c r="A1624" s="37"/>
      <c r="B1624" s="38"/>
      <c r="C1624" s="45"/>
      <c r="D1624" s="31">
        <v>3741614</v>
      </c>
      <c r="E1624" s="31">
        <v>4162205</v>
      </c>
      <c r="F1624" s="268" t="str">
        <f>IF(D1624="","",VLOOKUP(D1624,契約台帳!$A$3:$K$4986,6,FALSE)&amp;VLOOKUP(D1624,契約台帳!$A$3:$K$4986,7,FALSE)&amp;VLOOKUP(D1624,契約台帳!$A$3:$K$4986,8,FALSE)&amp;VLOOKUP(D1624,契約台帳!$A$3:$K$4986,9,FALSE)&amp;VLOOKUP(D1624,契約台帳!$A$3:$K$4986,11,FALSE))</f>
        <v>3SNMLBMNNGKBF</v>
      </c>
      <c r="G1624" s="269" t="str">
        <f>IF(D1624="","",VLOOKUP(F1624,製品マスタ!$G$5:$H$5002,2,FALSE))</f>
        <v>S</v>
      </c>
      <c r="H1624" s="269" t="str">
        <f>IF(D1624="","",VLOOKUP(F1624,製品マスタ!$G$5:$K$5002,5,FALSE))</f>
        <v>MNNGKBF</v>
      </c>
      <c r="I1624" s="270" t="str">
        <f>IF(D1624="","",VLOOKUP(F1624,製品マスタ!$G$5:$L$5002,6,FALSE))</f>
        <v>メタルミー　ニューネーマー銀消　Ｂ</v>
      </c>
      <c r="J1624" s="210" t="s">
        <v>935</v>
      </c>
      <c r="K1624" s="270">
        <f>IF(D1624="","",VLOOKUP(D1624,契約台帳!$A$3:$L$4986,12,FALSE))</f>
        <v>50</v>
      </c>
      <c r="L1624" s="270" t="str">
        <f>IF(D1624="","",INDEX(製品マスタ!$Q$5:$Q$5002,MATCH('S4'!F1624&amp;'S4'!K1624,製品マスタ!$AO$5:$AO$5002,0)))</f>
        <v>X44</v>
      </c>
      <c r="M1624" s="39">
        <v>1000</v>
      </c>
      <c r="N1624" s="39">
        <v>4000</v>
      </c>
      <c r="O1624" s="156">
        <v>24</v>
      </c>
      <c r="P1624" s="47">
        <v>3</v>
      </c>
      <c r="Q1624" s="213">
        <v>45342</v>
      </c>
      <c r="R1624" s="271">
        <f ca="1">IF(D1624="","",IF(OFFSET(D1624,-1,0)&lt;&gt;"","",IF(OR(J1624="リード付け",J1624="巻足し",J1624="巻返しリード付け"),M1624,VLOOKUP(D1624,契約台帳!$A$3:$N$4986,14,FALSE))))</f>
        <v>1000</v>
      </c>
      <c r="S1624" s="272">
        <f ca="1">IF(D1624="","",IF(OFFSET(D1624,-1,0)&lt;&gt;"","",IF(OR(J1624="リード付け",J1624="巻足し",J1624="巻返しリード付け"),M1624,VLOOKUP(D1624,契約台帳!$A$3:$O$4986,15,FALSE))))</f>
        <v>1000</v>
      </c>
      <c r="T1624" s="273">
        <f ca="1">IF(D1624="","",IF(J1624="リード付け",N1624,IF(J1624="巻返しリード付け",N1624,IF(J1624="巻足し",N1624*P1624+OFFSET(N1624,1,0)*OFFSET(P1624,1,0),VLOOKUP(D1624,契約台帳!$A$3:$P$4986,16,FALSE)))))</f>
        <v>12000</v>
      </c>
      <c r="U1624" s="40">
        <v>8</v>
      </c>
      <c r="V1624" s="274">
        <f ca="1">IF(D1624="","",IF(OFFSET(D1624,-2,0)=D1624,"",VLOOKUP(D1624,契約台帳!$A$3:$R$4986,18,FALSE)))</f>
        <v>24</v>
      </c>
      <c r="W1624" s="269" t="str">
        <f ca="1">IF(D1624="","",IF(T1624="","",IF(OR(J1624="巻足し",J1624="巻返しリード付け"),"",IF(J1624="巻返し",VLOOKUP(F1624&amp;K1624&amp;M1624,製品マスタ!$M$5:$AD$5002,18,FALSE),IF(OR(J1624="リード付け",J1624="巻返しリード付け"),"原反コア",IF(J1624="スリット",VLOOKUP(F1624&amp;K1624&amp;R1624,製品マスタ!$N$5:$AD$5002,17,FALSE),""))))))</f>
        <v/>
      </c>
      <c r="X1624" s="269" t="str">
        <f ca="1">IF(D1624="","",IF(T1624="","",IF(J1624="巻足し","",IF(J1624="巻返し",VLOOKUP(F1624&amp;K1624&amp;M1624,製品マスタ!$M$5:$AE$5002,19,FALSE),IF(OR(J1624="リード付け",J1624="巻返しリード付け"),"",IF(J1624="スリット",VLOOKUP(F1624&amp;K1624&amp;R1624,製品マスタ!$N$5:$AE$5002,18,FALSE),""))))))</f>
        <v/>
      </c>
      <c r="Y1624" s="275">
        <f ca="1">IF(D1624="","",IF(T1624="","",VLOOKUP(D1624,契約台帳!$A$3:$Q$4986,17,FALSE)))</f>
        <v>2</v>
      </c>
      <c r="Z1624" s="269" t="str">
        <f ca="1">IF(D1624="","",IF(T1624="","",VLOOKUP(D1624,契約台帳!$A$3:$E$4986,5,FALSE)))</f>
        <v>リンテック㈱</v>
      </c>
      <c r="AA1624" s="57"/>
      <c r="AB1624" s="207" t="str">
        <f>IFERROR((VLOOKUP(F1624&amp;K1624&amp;M1624,製品マスタ!$M$5:$AM$5002,27,FALSE)),"")</f>
        <v>原反ケース再利用</v>
      </c>
      <c r="AC1624" s="33"/>
      <c r="AD1624" s="189"/>
      <c r="AE1624" s="54"/>
      <c r="AF1624" s="55">
        <f>+M1624*N1624*O1624/1000</f>
        <v>96000</v>
      </c>
      <c r="AG1624" s="43"/>
      <c r="AH1624" s="47"/>
      <c r="AI1624" s="30"/>
      <c r="AJ1624" s="30"/>
      <c r="AK1624" s="30"/>
      <c r="AL1624" s="30"/>
      <c r="AM1624" s="13"/>
      <c r="AN1624" s="13"/>
      <c r="AO1624" s="13"/>
      <c r="AP1624" s="13"/>
      <c r="AQ1624" s="13"/>
      <c r="AR1624" s="14"/>
      <c r="AS1624" s="15"/>
    </row>
    <row r="1625" spans="1:45" s="17" customFormat="1" ht="30.95" hidden="1" customHeight="1" x14ac:dyDescent="0.2">
      <c r="A1625" s="37"/>
      <c r="B1625" s="38"/>
      <c r="C1625" s="45"/>
      <c r="D1625" s="31"/>
      <c r="E1625" s="31"/>
      <c r="F1625" s="268"/>
      <c r="G1625" s="269"/>
      <c r="H1625" s="269"/>
      <c r="I1625" s="270"/>
      <c r="J1625" s="210"/>
      <c r="K1625" s="270"/>
      <c r="L1625" s="270"/>
      <c r="M1625" s="39"/>
      <c r="N1625" s="39"/>
      <c r="O1625" s="156"/>
      <c r="P1625" s="47"/>
      <c r="Q1625" s="57"/>
      <c r="R1625" s="338"/>
      <c r="S1625" s="272"/>
      <c r="T1625" s="273"/>
      <c r="U1625" s="40"/>
      <c r="V1625" s="277"/>
      <c r="W1625" s="269"/>
      <c r="X1625" s="269"/>
      <c r="Y1625" s="275"/>
      <c r="Z1625" s="269"/>
      <c r="AA1625" s="57"/>
      <c r="AB1625" s="207"/>
      <c r="AC1625" s="33"/>
      <c r="AD1625" s="189"/>
      <c r="AE1625" s="54"/>
      <c r="AF1625" s="55"/>
      <c r="AG1625" s="43"/>
      <c r="AH1625" s="47"/>
      <c r="AI1625" s="30"/>
      <c r="AJ1625" s="30"/>
      <c r="AK1625" s="30"/>
      <c r="AL1625" s="30"/>
      <c r="AM1625" s="13"/>
      <c r="AN1625" s="13"/>
      <c r="AO1625" s="13"/>
      <c r="AP1625" s="13"/>
      <c r="AQ1625" s="13"/>
      <c r="AR1625" s="14"/>
      <c r="AS1625" s="15"/>
    </row>
    <row r="1626" spans="1:45" s="17" customFormat="1" ht="30.75" hidden="1" customHeight="1" x14ac:dyDescent="0.2">
      <c r="A1626" s="37" t="s">
        <v>1972</v>
      </c>
      <c r="B1626" s="38" t="s">
        <v>1973</v>
      </c>
      <c r="C1626" s="45"/>
      <c r="D1626" s="31">
        <v>3741623</v>
      </c>
      <c r="E1626" s="31">
        <v>4162215</v>
      </c>
      <c r="F1626" s="268" t="str">
        <f>IF(D1626="","",VLOOKUP(D1626,契約台帳!$A$3:$K$4986,6,FALSE)&amp;VLOOKUP(D1626,契約台帳!$A$3:$K$4986,7,FALSE)&amp;VLOOKUP(D1626,契約台帳!$A$3:$K$4986,8,FALSE)&amp;VLOOKUP(D1626,契約台帳!$A$3:$K$4986,9,FALSE)&amp;VLOOKUP(D1626,契約台帳!$A$3:$K$4986,11,FALSE))</f>
        <v>3TNMCLBHLGTV</v>
      </c>
      <c r="G1626" s="269" t="str">
        <f>IF(D1626="","",VLOOKUP(F1626,製品マスタ!$G$5:$H$5002,2,FALSE))</f>
        <v>T</v>
      </c>
      <c r="H1626" s="269" t="str">
        <f>IF(D1626="","",VLOOKUP(F1626,製品マスタ!$G$5:$K$5002,5,FALSE))</f>
        <v>HLGTV</v>
      </c>
      <c r="I1626" s="270" t="str">
        <f>IF(D1626="","",VLOOKUP(F1626,製品マスタ!$G$5:$L$5002,6,FALSE))</f>
        <v>メタルミー　ヘヤライン　銀艶Ｖ</v>
      </c>
      <c r="J1626" s="210" t="s">
        <v>935</v>
      </c>
      <c r="K1626" s="270">
        <f>IF(D1626="","",VLOOKUP(D1626,契約台帳!$A$3:$L$4986,12,FALSE))</f>
        <v>50</v>
      </c>
      <c r="L1626" s="270" t="str">
        <f>IF(D1626="","",INDEX(製品マスタ!$Q$5:$Q$5002,MATCH('S4'!F1626&amp;'S4'!K1626,製品マスタ!$AO$5:$AO$5002,0)))</f>
        <v>BRIGHT</v>
      </c>
      <c r="M1626" s="39">
        <v>1005</v>
      </c>
      <c r="N1626" s="39">
        <v>4100</v>
      </c>
      <c r="O1626" s="156">
        <v>9</v>
      </c>
      <c r="P1626" s="47">
        <v>3</v>
      </c>
      <c r="Q1626" s="213">
        <v>45341</v>
      </c>
      <c r="R1626" s="271">
        <f ca="1">IF(D1626="","",IF(OFFSET(D1626,-1,0)&lt;&gt;"","",IF(OR(J1626="リード付け",J1626="巻足し",J1626="巻返しリード付け"),M1626,VLOOKUP(D1626,契約台帳!$A$3:$N$4986,14,FALSE))))</f>
        <v>1005</v>
      </c>
      <c r="S1626" s="272">
        <f ca="1">IF(D1626="","",IF(OFFSET(D1626,-1,0)&lt;&gt;"","",IF(OR(J1626="リード付け",J1626="巻足し",J1626="巻返しリード付け"),M1626,VLOOKUP(D1626,契約台帳!$A$3:$O$4986,15,FALSE))))</f>
        <v>1005</v>
      </c>
      <c r="T1626" s="273">
        <f ca="1">IF(D1626="","",IF(J1626="リード付け",N1626,IF(J1626="巻返しリード付け",N1626,IF(J1626="巻足し",N1626*P1626+OFFSET(N1626,1,0)*OFFSET(P1626,1,0),VLOOKUP(D1626,契約台帳!$A$3:$P$4986,16,FALSE)))))</f>
        <v>12300</v>
      </c>
      <c r="U1626" s="40">
        <v>3</v>
      </c>
      <c r="V1626" s="274">
        <f ca="1">IF(D1626="","",IF(OFFSET(D1626,-2,0)=D1626,"",VLOOKUP(D1626,契約台帳!$A$3:$R$4986,18,FALSE)))</f>
        <v>9</v>
      </c>
      <c r="W1626" s="269" t="str">
        <f ca="1">IF(D1626="","",IF(T1626="","",IF(OR(J1626="巻足し",J1626="巻返しリード付け"),"",IF(J1626="巻返し",VLOOKUP(F1626&amp;K1626&amp;M1626,製品マスタ!$M$5:$AD$5002,18,FALSE),IF(OR(J1626="リード付け",J1626="巻返しリード付け"),"原反コア",IF(J1626="スリット",VLOOKUP(F1626&amp;K1626&amp;R1626,製品マスタ!$N$5:$AD$5002,17,FALSE),""))))))</f>
        <v/>
      </c>
      <c r="X1626" s="269" t="str">
        <f ca="1">IF(D1626="","",IF(T1626="","",IF(J1626="巻足し","",IF(J1626="巻返し",VLOOKUP(F1626&amp;K1626&amp;M1626,製品マスタ!$M$5:$AE$5002,19,FALSE),IF(OR(J1626="リード付け",J1626="巻返しリード付け"),"",IF(J1626="スリット",VLOOKUP(F1626&amp;K1626&amp;R1626,製品マスタ!$N$5:$AE$5002,18,FALSE),""))))))</f>
        <v/>
      </c>
      <c r="Y1626" s="275">
        <f ca="1">IF(D1626="","",IF(T1626="","",VLOOKUP(D1626,契約台帳!$A$3:$Q$4986,17,FALSE)))</f>
        <v>2</v>
      </c>
      <c r="Z1626" s="269" t="str">
        <f ca="1">IF(D1626="","",IF(T1626="","",VLOOKUP(D1626,契約台帳!$A$3:$E$4986,5,FALSE)))</f>
        <v>リンテック㈱</v>
      </c>
      <c r="AA1626" s="57"/>
      <c r="AB1626" s="207" t="s">
        <v>774</v>
      </c>
      <c r="AC1626" s="33"/>
      <c r="AD1626" s="189"/>
      <c r="AE1626" s="54"/>
      <c r="AF1626" s="55">
        <f>+M1626*N1626*O1626/1000</f>
        <v>37084.5</v>
      </c>
      <c r="AG1626" s="43"/>
      <c r="AH1626" s="47"/>
      <c r="AI1626" s="30"/>
      <c r="AJ1626" s="30"/>
      <c r="AK1626" s="30"/>
      <c r="AL1626" s="30"/>
      <c r="AM1626" s="13"/>
      <c r="AN1626" s="13"/>
      <c r="AO1626" s="13"/>
      <c r="AP1626" s="13"/>
      <c r="AQ1626" s="13"/>
      <c r="AR1626" s="14"/>
      <c r="AS1626" s="15"/>
    </row>
    <row r="1627" spans="1:45" s="17" customFormat="1" ht="30.95" hidden="1" customHeight="1" x14ac:dyDescent="0.2">
      <c r="A1627" s="37"/>
      <c r="B1627" s="38"/>
      <c r="C1627" s="45"/>
      <c r="D1627" s="31"/>
      <c r="E1627" s="31"/>
      <c r="F1627" s="268"/>
      <c r="G1627" s="269"/>
      <c r="H1627" s="269"/>
      <c r="I1627" s="270"/>
      <c r="J1627" s="210"/>
      <c r="K1627" s="270"/>
      <c r="L1627" s="270"/>
      <c r="M1627" s="39"/>
      <c r="N1627" s="39"/>
      <c r="O1627" s="156"/>
      <c r="P1627" s="47"/>
      <c r="Q1627" s="57"/>
      <c r="R1627" s="338"/>
      <c r="S1627" s="272"/>
      <c r="T1627" s="273"/>
      <c r="U1627" s="40"/>
      <c r="V1627" s="277"/>
      <c r="W1627" s="269"/>
      <c r="X1627" s="269"/>
      <c r="Y1627" s="275"/>
      <c r="Z1627" s="269"/>
      <c r="AA1627" s="57"/>
      <c r="AB1627" s="207"/>
      <c r="AC1627" s="33"/>
      <c r="AD1627" s="189"/>
      <c r="AE1627" s="54"/>
      <c r="AF1627" s="55"/>
      <c r="AG1627" s="43"/>
      <c r="AH1627" s="47"/>
      <c r="AI1627" s="30"/>
      <c r="AJ1627" s="30"/>
      <c r="AK1627" s="30"/>
      <c r="AL1627" s="30"/>
      <c r="AM1627" s="13"/>
      <c r="AN1627" s="13"/>
      <c r="AO1627" s="13"/>
      <c r="AP1627" s="13"/>
      <c r="AQ1627" s="13"/>
      <c r="AR1627" s="14"/>
      <c r="AS1627" s="15"/>
    </row>
    <row r="1628" spans="1:45" s="17" customFormat="1" ht="30.95" hidden="1" customHeight="1" x14ac:dyDescent="0.2">
      <c r="A1628" s="37"/>
      <c r="B1628" s="38"/>
      <c r="C1628" s="45"/>
      <c r="D1628" s="31">
        <v>3741604</v>
      </c>
      <c r="E1628" s="31">
        <v>4162200</v>
      </c>
      <c r="F1628" s="268" t="str">
        <f>IF(D1628="","",VLOOKUP(D1628,契約台帳!$A$3:$K$4986,6,FALSE)&amp;VLOOKUP(D1628,契約台帳!$A$3:$K$4986,7,FALSE)&amp;VLOOKUP(D1628,契約台帳!$A$3:$K$4986,8,FALSE)&amp;VLOOKUP(D1628,契約台帳!$A$3:$K$4986,9,FALSE)&amp;VLOOKUP(D1628,契約台帳!$A$3:$K$4986,11,FALSE))</f>
        <v>3SNMLBMNGKKBF</v>
      </c>
      <c r="G1628" s="269" t="str">
        <f>IF(D1628="","",VLOOKUP(F1628,製品マスタ!$G$5:$H$5002,2,FALSE))</f>
        <v>S</v>
      </c>
      <c r="H1628" s="269" t="str">
        <f>IF(D1628="","",VLOOKUP(F1628,製品マスタ!$G$5:$K$5002,5,FALSE))</f>
        <v>MNGKKBF</v>
      </c>
      <c r="I1628" s="270" t="str">
        <f>IF(D1628="","",VLOOKUP(F1628,製品マスタ!$G$5:$L$5002,6,FALSE))</f>
        <v>メタルミー　ネーマー銀消改　Ｂ</v>
      </c>
      <c r="J1628" s="210" t="s">
        <v>935</v>
      </c>
      <c r="K1628" s="270">
        <f>IF(D1628="","",VLOOKUP(D1628,契約台帳!$A$3:$L$4986,12,FALSE))</f>
        <v>50</v>
      </c>
      <c r="L1628" s="270" t="str">
        <f>IF(D1628="","",INDEX(製品マスタ!$Q$5:$Q$5002,MATCH('S4'!F1628&amp;'S4'!K1628,製品マスタ!$AO$5:$AO$5002,0)))</f>
        <v>S99-MAT</v>
      </c>
      <c r="M1628" s="39">
        <v>1120</v>
      </c>
      <c r="N1628" s="39">
        <v>4000</v>
      </c>
      <c r="O1628" s="156">
        <v>15</v>
      </c>
      <c r="P1628" s="47">
        <v>3</v>
      </c>
      <c r="Q1628" s="213">
        <v>45344</v>
      </c>
      <c r="R1628" s="271">
        <f ca="1">IF(D1628="","",IF(OFFSET(D1628,-1,0)&lt;&gt;"","",IF(OR(J1628="リード付け",J1628="巻足し",J1628="巻返しリード付け"),M1628,VLOOKUP(D1628,契約台帳!$A$3:$N$4986,14,FALSE))))</f>
        <v>1120</v>
      </c>
      <c r="S1628" s="272">
        <f ca="1">IF(D1628="","",IF(OFFSET(D1628,-1,0)&lt;&gt;"","",IF(OR(J1628="リード付け",J1628="巻足し",J1628="巻返しリード付け"),M1628,VLOOKUP(D1628,契約台帳!$A$3:$O$4986,15,FALSE))))</f>
        <v>1120</v>
      </c>
      <c r="T1628" s="273">
        <f ca="1">IF(D1628="","",IF(J1628="リード付け",N1628,IF(J1628="巻返しリード付け",N1628,IF(J1628="巻足し",N1628*P1628+OFFSET(N1628,1,0)*OFFSET(P1628,1,0),VLOOKUP(D1628,契約台帳!$A$3:$P$4986,16,FALSE)))))</f>
        <v>12000</v>
      </c>
      <c r="U1628" s="40">
        <v>5</v>
      </c>
      <c r="V1628" s="274">
        <f ca="1">IF(D1628="","",IF(OFFSET(D1628,-2,0)=D1628,"",VLOOKUP(D1628,契約台帳!$A$3:$R$4986,18,FALSE)))</f>
        <v>36</v>
      </c>
      <c r="W1628" s="269" t="str">
        <f ca="1">IF(D1628="","",IF(T1628="","",IF(OR(J1628="巻足し",J1628="巻返しリード付け"),"",IF(J1628="巻返し",VLOOKUP(F1628&amp;K1628&amp;M1628,製品マスタ!$M$5:$AD$5002,18,FALSE),IF(OR(J1628="リード付け",J1628="巻返しリード付け"),"原反コア",IF(J1628="スリット",VLOOKUP(F1628&amp;K1628&amp;R1628,製品マスタ!$N$5:$AD$5002,17,FALSE),""))))))</f>
        <v/>
      </c>
      <c r="X1628" s="269" t="str">
        <f ca="1">IF(D1628="","",IF(T1628="","",IF(J1628="巻足し","",IF(J1628="巻返し",VLOOKUP(F1628&amp;K1628&amp;M1628,製品マスタ!$M$5:$AE$5002,19,FALSE),IF(OR(J1628="リード付け",J1628="巻返しリード付け"),"",IF(J1628="スリット",VLOOKUP(F1628&amp;K1628&amp;R1628,製品マスタ!$N$5:$AE$5002,18,FALSE),""))))))</f>
        <v/>
      </c>
      <c r="Y1628" s="275">
        <f ca="1">IF(D1628="","",IF(T1628="","",VLOOKUP(D1628,契約台帳!$A$3:$Q$4986,17,FALSE)))</f>
        <v>2</v>
      </c>
      <c r="Z1628" s="269" t="str">
        <f ca="1">IF(D1628="","",IF(T1628="","",VLOOKUP(D1628,契約台帳!$A$3:$E$4986,5,FALSE)))</f>
        <v>リンテック㈱</v>
      </c>
      <c r="AA1628" s="57"/>
      <c r="AB1628" s="207">
        <f>IFERROR((VLOOKUP(F1628&amp;K1628&amp;M1628,製品マスタ!$M$5:$AM$5002,27,FALSE)),"")</f>
        <v>0</v>
      </c>
      <c r="AC1628" s="33"/>
      <c r="AD1628" s="189"/>
      <c r="AE1628" s="54"/>
      <c r="AF1628" s="55">
        <f>+M1628*N1628*O1628/1000</f>
        <v>67200</v>
      </c>
      <c r="AG1628" s="43"/>
      <c r="AH1628" s="47"/>
      <c r="AI1628" s="30"/>
      <c r="AJ1628" s="30"/>
      <c r="AK1628" s="30"/>
      <c r="AL1628" s="30"/>
      <c r="AM1628" s="13"/>
      <c r="AN1628" s="13"/>
      <c r="AO1628" s="13"/>
      <c r="AP1628" s="13"/>
      <c r="AQ1628" s="13"/>
      <c r="AR1628" s="14"/>
      <c r="AS1628" s="15"/>
    </row>
    <row r="1629" spans="1:45" s="17" customFormat="1" ht="30.95" hidden="1" customHeight="1" x14ac:dyDescent="0.2">
      <c r="A1629" s="37"/>
      <c r="B1629" s="38"/>
      <c r="C1629" s="45"/>
      <c r="D1629" s="31"/>
      <c r="E1629" s="31"/>
      <c r="F1629" s="268"/>
      <c r="G1629" s="269"/>
      <c r="H1629" s="269"/>
      <c r="I1629" s="270"/>
      <c r="J1629" s="210"/>
      <c r="K1629" s="270"/>
      <c r="L1629" s="270"/>
      <c r="M1629" s="39"/>
      <c r="N1629" s="39"/>
      <c r="O1629" s="156"/>
      <c r="P1629" s="47"/>
      <c r="Q1629" s="57"/>
      <c r="R1629" s="338"/>
      <c r="S1629" s="272"/>
      <c r="T1629" s="273"/>
      <c r="U1629" s="40"/>
      <c r="V1629" s="277"/>
      <c r="W1629" s="269"/>
      <c r="X1629" s="269"/>
      <c r="Y1629" s="275"/>
      <c r="Z1629" s="269"/>
      <c r="AA1629" s="57"/>
      <c r="AB1629" s="207"/>
      <c r="AC1629" s="33"/>
      <c r="AD1629" s="189"/>
      <c r="AE1629" s="54"/>
      <c r="AF1629" s="55"/>
      <c r="AG1629" s="43"/>
      <c r="AH1629" s="47"/>
      <c r="AI1629" s="30"/>
      <c r="AJ1629" s="30"/>
      <c r="AK1629" s="30"/>
      <c r="AL1629" s="30"/>
      <c r="AM1629" s="13"/>
      <c r="AN1629" s="13"/>
      <c r="AO1629" s="13"/>
      <c r="AP1629" s="13"/>
      <c r="AQ1629" s="13"/>
      <c r="AR1629" s="14"/>
      <c r="AS1629" s="15"/>
    </row>
    <row r="1630" spans="1:45" s="17" customFormat="1" ht="30.95" hidden="1" customHeight="1" x14ac:dyDescent="0.2">
      <c r="A1630" s="37" t="s">
        <v>1974</v>
      </c>
      <c r="B1630" s="38" t="s">
        <v>1975</v>
      </c>
      <c r="C1630" s="45"/>
      <c r="D1630" s="31">
        <v>3741604</v>
      </c>
      <c r="E1630" s="31">
        <v>4162200</v>
      </c>
      <c r="F1630" s="268" t="str">
        <f>IF(D1630="","",VLOOKUP(D1630,契約台帳!$A$3:$K$4986,6,FALSE)&amp;VLOOKUP(D1630,契約台帳!$A$3:$K$4986,7,FALSE)&amp;VLOOKUP(D1630,契約台帳!$A$3:$K$4986,8,FALSE)&amp;VLOOKUP(D1630,契約台帳!$A$3:$K$4986,9,FALSE)&amp;VLOOKUP(D1630,契約台帳!$A$3:$K$4986,11,FALSE))</f>
        <v>3SNMLBMNGKKBF</v>
      </c>
      <c r="G1630" s="269" t="str">
        <f>IF(D1630="","",VLOOKUP(F1630,製品マスタ!$G$5:$H$5002,2,FALSE))</f>
        <v>S</v>
      </c>
      <c r="H1630" s="269" t="str">
        <f>IF(D1630="","",VLOOKUP(F1630,製品マスタ!$G$5:$K$5002,5,FALSE))</f>
        <v>MNGKKBF</v>
      </c>
      <c r="I1630" s="270" t="str">
        <f>IF(D1630="","",VLOOKUP(F1630,製品マスタ!$G$5:$L$5002,6,FALSE))</f>
        <v>メタルミー　ネーマー銀消改　Ｂ</v>
      </c>
      <c r="J1630" s="210" t="s">
        <v>935</v>
      </c>
      <c r="K1630" s="270">
        <f>IF(D1630="","",VLOOKUP(D1630,契約台帳!$A$3:$L$4986,12,FALSE))</f>
        <v>50</v>
      </c>
      <c r="L1630" s="270" t="str">
        <f>IF(D1630="","",INDEX(製品マスタ!$Q$5:$Q$5002,MATCH('S4'!F1630&amp;'S4'!K1630,製品マスタ!$AO$5:$AO$5002,0)))</f>
        <v>S99-MAT</v>
      </c>
      <c r="M1630" s="39">
        <v>1120</v>
      </c>
      <c r="N1630" s="39">
        <v>4000</v>
      </c>
      <c r="O1630" s="156">
        <v>21</v>
      </c>
      <c r="P1630" s="47">
        <v>3</v>
      </c>
      <c r="Q1630" s="213">
        <v>45344</v>
      </c>
      <c r="R1630" s="271">
        <f ca="1">IF(D1630="","",IF(OFFSET(D1630,-1,0)&lt;&gt;"","",IF(OR(J1630="リード付け",J1630="巻足し",J1630="巻返しリード付け"),M1630,VLOOKUP(D1630,契約台帳!$A$3:$N$4986,14,FALSE))))</f>
        <v>1120</v>
      </c>
      <c r="S1630" s="272">
        <f ca="1">IF(D1630="","",IF(OFFSET(D1630,-1,0)&lt;&gt;"","",IF(OR(J1630="リード付け",J1630="巻足し",J1630="巻返しリード付け"),M1630,VLOOKUP(D1630,契約台帳!$A$3:$O$4986,15,FALSE))))</f>
        <v>1120</v>
      </c>
      <c r="T1630" s="273">
        <f ca="1">IF(D1630="","",IF(J1630="リード付け",N1630,IF(J1630="巻返しリード付け",N1630,IF(J1630="巻足し",N1630*P1630+OFFSET(N1630,1,0)*OFFSET(P1630,1,0),VLOOKUP(D1630,契約台帳!$A$3:$P$4986,16,FALSE)))))</f>
        <v>12000</v>
      </c>
      <c r="U1630" s="40">
        <v>7</v>
      </c>
      <c r="V1630" s="274" t="str">
        <f ca="1">IF(D1630="","",IF(OFFSET(D1630,-2,0)=D1630,"",VLOOKUP(D1630,契約台帳!$A$3:$R$4986,18,FALSE)))</f>
        <v/>
      </c>
      <c r="W1630" s="269" t="str">
        <f ca="1">IF(D1630="","",IF(T1630="","",IF(OR(J1630="巻足し",J1630="巻返しリード付け"),"",IF(J1630="巻返し",VLOOKUP(F1630&amp;K1630&amp;M1630,製品マスタ!$M$5:$AD$5002,18,FALSE),IF(OR(J1630="リード付け",J1630="巻返しリード付け"),"原反コア",IF(J1630="スリット",VLOOKUP(F1630&amp;K1630&amp;R1630,製品マスタ!$N$5:$AD$5002,17,FALSE),""))))))</f>
        <v/>
      </c>
      <c r="X1630" s="269" t="str">
        <f ca="1">IF(D1630="","",IF(T1630="","",IF(J1630="巻足し","",IF(J1630="巻返し",VLOOKUP(F1630&amp;K1630&amp;M1630,製品マスタ!$M$5:$AE$5002,19,FALSE),IF(OR(J1630="リード付け",J1630="巻返しリード付け"),"",IF(J1630="スリット",VLOOKUP(F1630&amp;K1630&amp;R1630,製品マスタ!$N$5:$AE$5002,18,FALSE),""))))))</f>
        <v/>
      </c>
      <c r="Y1630" s="275">
        <f ca="1">IF(D1630="","",IF(T1630="","",VLOOKUP(D1630,契約台帳!$A$3:$Q$4986,17,FALSE)))</f>
        <v>2</v>
      </c>
      <c r="Z1630" s="269" t="str">
        <f ca="1">IF(D1630="","",IF(T1630="","",VLOOKUP(D1630,契約台帳!$A$3:$E$4986,5,FALSE)))</f>
        <v>リンテック㈱</v>
      </c>
      <c r="AA1630" s="57"/>
      <c r="AB1630" s="207">
        <f>IFERROR((VLOOKUP(F1630&amp;K1630&amp;M1630,製品マスタ!$M$5:$AM$5002,27,FALSE)),"")</f>
        <v>0</v>
      </c>
      <c r="AC1630" s="33"/>
      <c r="AD1630" s="189"/>
      <c r="AE1630" s="54"/>
      <c r="AF1630" s="55">
        <f>+M1630*N1630*O1630/1000</f>
        <v>94080</v>
      </c>
      <c r="AG1630" s="43"/>
      <c r="AH1630" s="47"/>
      <c r="AI1630" s="30"/>
      <c r="AJ1630" s="30"/>
      <c r="AK1630" s="30"/>
      <c r="AL1630" s="30"/>
      <c r="AM1630" s="13"/>
      <c r="AN1630" s="13"/>
      <c r="AO1630" s="13"/>
      <c r="AP1630" s="13"/>
      <c r="AQ1630" s="13"/>
      <c r="AR1630" s="14"/>
      <c r="AS1630" s="15"/>
    </row>
    <row r="1631" spans="1:45" s="17" customFormat="1" ht="30.95" hidden="1" customHeight="1" x14ac:dyDescent="0.2">
      <c r="A1631" s="37"/>
      <c r="B1631" s="38"/>
      <c r="C1631" s="45"/>
      <c r="D1631" s="31"/>
      <c r="E1631" s="31"/>
      <c r="F1631" s="268"/>
      <c r="G1631" s="269"/>
      <c r="H1631" s="269"/>
      <c r="I1631" s="270"/>
      <c r="J1631" s="210"/>
      <c r="K1631" s="270"/>
      <c r="L1631" s="270"/>
      <c r="M1631" s="39"/>
      <c r="N1631" s="39"/>
      <c r="O1631" s="156"/>
      <c r="P1631" s="47"/>
      <c r="Q1631" s="57"/>
      <c r="R1631" s="338"/>
      <c r="S1631" s="272"/>
      <c r="T1631" s="273"/>
      <c r="U1631" s="40"/>
      <c r="V1631" s="277"/>
      <c r="W1631" s="269"/>
      <c r="X1631" s="269"/>
      <c r="Y1631" s="275"/>
      <c r="Z1631" s="269"/>
      <c r="AA1631" s="57"/>
      <c r="AB1631" s="207"/>
      <c r="AC1631" s="33"/>
      <c r="AD1631" s="189"/>
      <c r="AE1631" s="54"/>
      <c r="AF1631" s="55"/>
      <c r="AG1631" s="43"/>
      <c r="AH1631" s="47"/>
      <c r="AI1631" s="30"/>
      <c r="AJ1631" s="30"/>
      <c r="AK1631" s="30"/>
      <c r="AL1631" s="30"/>
      <c r="AM1631" s="13"/>
      <c r="AN1631" s="13"/>
      <c r="AO1631" s="13"/>
      <c r="AP1631" s="13"/>
      <c r="AQ1631" s="13"/>
      <c r="AR1631" s="14"/>
      <c r="AS1631" s="15"/>
    </row>
    <row r="1632" spans="1:45" s="17" customFormat="1" ht="30.95" hidden="1" customHeight="1" x14ac:dyDescent="0.2">
      <c r="A1632" s="37" t="s">
        <v>1983</v>
      </c>
      <c r="B1632" s="38" t="s">
        <v>1976</v>
      </c>
      <c r="C1632" s="45"/>
      <c r="D1632" s="31"/>
      <c r="E1632" s="31"/>
      <c r="F1632" s="268"/>
      <c r="G1632" s="269"/>
      <c r="H1632" s="269"/>
      <c r="I1632" s="270"/>
      <c r="J1632" s="418" t="s">
        <v>1989</v>
      </c>
      <c r="K1632" s="270"/>
      <c r="L1632" s="270"/>
      <c r="M1632" s="39"/>
      <c r="N1632" s="39"/>
      <c r="O1632" s="156"/>
      <c r="P1632" s="47"/>
      <c r="Q1632" s="57"/>
      <c r="R1632" s="338"/>
      <c r="S1632" s="272"/>
      <c r="T1632" s="273"/>
      <c r="U1632" s="40"/>
      <c r="V1632" s="277"/>
      <c r="W1632" s="269"/>
      <c r="X1632" s="269"/>
      <c r="Y1632" s="275"/>
      <c r="Z1632" s="269"/>
      <c r="AA1632" s="57"/>
      <c r="AB1632" s="207"/>
      <c r="AC1632" s="33"/>
      <c r="AD1632" s="189"/>
      <c r="AE1632" s="54"/>
      <c r="AF1632" s="55"/>
      <c r="AG1632" s="43"/>
      <c r="AH1632" s="47"/>
      <c r="AI1632" s="30"/>
      <c r="AJ1632" s="30"/>
      <c r="AK1632" s="30"/>
      <c r="AL1632" s="30"/>
      <c r="AM1632" s="13"/>
      <c r="AN1632" s="13"/>
      <c r="AO1632" s="13"/>
      <c r="AP1632" s="13"/>
      <c r="AQ1632" s="13"/>
      <c r="AR1632" s="14"/>
      <c r="AS1632" s="15"/>
    </row>
    <row r="1633" spans="1:45" s="17" customFormat="1" ht="30.95" hidden="1" customHeight="1" x14ac:dyDescent="0.2">
      <c r="A1633" s="37"/>
      <c r="B1633" s="38"/>
      <c r="C1633" s="45"/>
      <c r="D1633" s="31"/>
      <c r="E1633" s="31"/>
      <c r="F1633" s="268"/>
      <c r="G1633" s="269"/>
      <c r="H1633" s="269"/>
      <c r="I1633" s="270"/>
      <c r="J1633" s="210"/>
      <c r="K1633" s="270"/>
      <c r="L1633" s="270"/>
      <c r="M1633" s="39"/>
      <c r="N1633" s="39"/>
      <c r="O1633" s="156"/>
      <c r="P1633" s="47"/>
      <c r="Q1633" s="57"/>
      <c r="R1633" s="338"/>
      <c r="S1633" s="272"/>
      <c r="T1633" s="273"/>
      <c r="U1633" s="40"/>
      <c r="V1633" s="277"/>
      <c r="W1633" s="269"/>
      <c r="X1633" s="269"/>
      <c r="Y1633" s="275"/>
      <c r="Z1633" s="269"/>
      <c r="AA1633" s="57"/>
      <c r="AB1633" s="207"/>
      <c r="AC1633" s="33"/>
      <c r="AD1633" s="189"/>
      <c r="AE1633" s="54"/>
      <c r="AF1633" s="55"/>
      <c r="AG1633" s="43"/>
      <c r="AH1633" s="47"/>
      <c r="AI1633" s="30"/>
      <c r="AJ1633" s="30"/>
      <c r="AK1633" s="30"/>
      <c r="AL1633" s="30"/>
      <c r="AM1633" s="13"/>
      <c r="AN1633" s="13"/>
      <c r="AO1633" s="13"/>
      <c r="AP1633" s="13"/>
      <c r="AQ1633" s="13"/>
      <c r="AR1633" s="14"/>
      <c r="AS1633" s="15"/>
    </row>
    <row r="1634" spans="1:45" s="17" customFormat="1" ht="30.95" hidden="1" customHeight="1" x14ac:dyDescent="0.2">
      <c r="A1634" s="37" t="s">
        <v>1970</v>
      </c>
      <c r="B1634" s="38" t="s">
        <v>1971</v>
      </c>
      <c r="C1634" s="45"/>
      <c r="D1634" s="31">
        <v>3741622</v>
      </c>
      <c r="E1634" s="31">
        <v>4162207</v>
      </c>
      <c r="F1634" s="268" t="str">
        <f>IF(D1634="","",VLOOKUP(D1634,契約台帳!$A$3:$K$4986,6,FALSE)&amp;VLOOKUP(D1634,契約台帳!$A$3:$K$4986,7,FALSE)&amp;VLOOKUP(D1634,契約台帳!$A$3:$K$4986,8,FALSE)&amp;VLOOKUP(D1634,契約台帳!$A$3:$K$4986,9,FALSE)&amp;VLOOKUP(D1634,契約台帳!$A$3:$K$4986,11,FALSE))</f>
        <v>3SNMLBMNQR66F</v>
      </c>
      <c r="G1634" s="269" t="str">
        <f>IF(D1634="","",VLOOKUP(F1634,製品マスタ!$G$5:$H$5002,2,FALSE))</f>
        <v>S</v>
      </c>
      <c r="H1634" s="269" t="str">
        <f>IF(D1634="","",VLOOKUP(F1634,製品マスタ!$G$5:$K$5002,5,FALSE))</f>
        <v>MNQR66F</v>
      </c>
      <c r="I1634" s="270" t="str">
        <f>IF(D1634="","",VLOOKUP(F1634,製品マスタ!$G$5:$L$5002,6,FALSE))</f>
        <v>ＱＲ６６蒸着品</v>
      </c>
      <c r="J1634" s="210" t="s">
        <v>935</v>
      </c>
      <c r="K1634" s="270">
        <f>IF(D1634="","",VLOOKUP(D1634,契約台帳!$A$3:$L$4986,12,FALSE))</f>
        <v>25</v>
      </c>
      <c r="L1634" s="270" t="str">
        <f>IF(D1634="","",INDEX(製品マスタ!$Q$5:$Q$5002,MATCH('S4'!F1634&amp;'S4'!K1634,製品マスタ!$AO$5:$AO$5002,0)))</f>
        <v>E315</v>
      </c>
      <c r="M1634" s="39">
        <v>1100</v>
      </c>
      <c r="N1634" s="39">
        <v>6000</v>
      </c>
      <c r="O1634" s="156">
        <v>18</v>
      </c>
      <c r="P1634" s="47">
        <v>3</v>
      </c>
      <c r="Q1634" s="213">
        <v>45348</v>
      </c>
      <c r="R1634" s="271">
        <f ca="1">IF(D1634="","",IF(OFFSET(D1634,-1,0)&lt;&gt;"","",IF(OR(J1634="リード付け",J1634="巻足し",J1634="巻返しリード付け"),M1634,VLOOKUP(D1634,契約台帳!$A$3:$N$4986,14,FALSE))))</f>
        <v>1100</v>
      </c>
      <c r="S1634" s="272">
        <f ca="1">IF(D1634="","",IF(OFFSET(D1634,-1,0)&lt;&gt;"","",IF(OR(J1634="リード付け",J1634="巻足し",J1634="巻返しリード付け"),M1634,VLOOKUP(D1634,契約台帳!$A$3:$O$4986,15,FALSE))))</f>
        <v>1100</v>
      </c>
      <c r="T1634" s="273">
        <f ca="1">IF(D1634="","",IF(J1634="リード付け",N1634,IF(J1634="巻返しリード付け",N1634,IF(J1634="巻足し",N1634*P1634+OFFSET(N1634,1,0)*OFFSET(P1634,1,0),VLOOKUP(D1634,契約台帳!$A$3:$P$4986,16,FALSE)))))</f>
        <v>18000</v>
      </c>
      <c r="U1634" s="40">
        <v>6</v>
      </c>
      <c r="V1634" s="274">
        <f ca="1">IF(D1634="","",IF(OFFSET(D1634,-2,0)=D1634,"",VLOOKUP(D1634,契約台帳!$A$3:$R$4986,18,FALSE)))</f>
        <v>20</v>
      </c>
      <c r="W1634" s="269" t="str">
        <f ca="1">IF(D1634="","",IF(T1634="","",IF(OR(J1634="巻足し",J1634="巻返しリード付け"),"",IF(J1634="巻返し",VLOOKUP(F1634&amp;K1634&amp;M1634,製品マスタ!$M$5:$AD$5002,18,FALSE),IF(OR(J1634="リード付け",J1634="巻返しリード付け"),"原反コア",IF(J1634="スリット",VLOOKUP(F1634&amp;K1634&amp;R1634,製品マスタ!$N$5:$AD$5002,17,FALSE),""))))))</f>
        <v/>
      </c>
      <c r="X1634" s="269" t="str">
        <f ca="1">IF(D1634="","",IF(T1634="","",IF(J1634="巻足し","",IF(J1634="巻返し",VLOOKUP(F1634&amp;K1634&amp;M1634,製品マスタ!$M$5:$AE$5002,19,FALSE),IF(OR(J1634="リード付け",J1634="巻返しリード付け"),"",IF(J1634="スリット",VLOOKUP(F1634&amp;K1634&amp;R1634,製品マスタ!$N$5:$AE$5002,18,FALSE),""))))))</f>
        <v/>
      </c>
      <c r="Y1634" s="275">
        <f ca="1">IF(D1634="","",IF(T1634="","",VLOOKUP(D1634,契約台帳!$A$3:$Q$4986,17,FALSE)))</f>
        <v>2</v>
      </c>
      <c r="Z1634" s="269" t="str">
        <f ca="1">IF(D1634="","",IF(T1634="","",VLOOKUP(D1634,契約台帳!$A$3:$E$4986,5,FALSE)))</f>
        <v>リンテック㈱</v>
      </c>
      <c r="AA1634" s="57"/>
      <c r="AB1634" s="207" t="str">
        <f>IFERROR((VLOOKUP(F1634&amp;K1634&amp;M1634,製品マスタ!$M$5:$AM$5002,27,FALSE)),"")</f>
        <v>原反ケース再利用</v>
      </c>
      <c r="AC1634" s="33"/>
      <c r="AD1634" s="189"/>
      <c r="AE1634" s="54"/>
      <c r="AF1634" s="55">
        <f>+M1634*N1634*O1634/1000</f>
        <v>118800</v>
      </c>
      <c r="AG1634" s="43"/>
      <c r="AH1634" s="47"/>
      <c r="AI1634" s="30"/>
      <c r="AJ1634" s="30"/>
      <c r="AK1634" s="30"/>
      <c r="AL1634" s="30"/>
      <c r="AM1634" s="13"/>
      <c r="AN1634" s="13"/>
      <c r="AO1634" s="13"/>
      <c r="AP1634" s="13"/>
      <c r="AQ1634" s="13"/>
      <c r="AR1634" s="14"/>
      <c r="AS1634" s="15"/>
    </row>
    <row r="1635" spans="1:45" s="17" customFormat="1" ht="30.95" hidden="1" customHeight="1" x14ac:dyDescent="0.2">
      <c r="A1635" s="37"/>
      <c r="B1635" s="38"/>
      <c r="C1635" s="45"/>
      <c r="D1635" s="31"/>
      <c r="E1635" s="31"/>
      <c r="F1635" s="268"/>
      <c r="G1635" s="269"/>
      <c r="H1635" s="269"/>
      <c r="I1635" s="270"/>
      <c r="J1635" s="210"/>
      <c r="K1635" s="270"/>
      <c r="L1635" s="270"/>
      <c r="M1635" s="39"/>
      <c r="N1635" s="39"/>
      <c r="O1635" s="156"/>
      <c r="P1635" s="47"/>
      <c r="Q1635" s="57"/>
      <c r="R1635" s="338"/>
      <c r="S1635" s="272"/>
      <c r="T1635" s="273"/>
      <c r="U1635" s="40"/>
      <c r="V1635" s="277"/>
      <c r="W1635" s="269"/>
      <c r="X1635" s="269"/>
      <c r="Y1635" s="275"/>
      <c r="Z1635" s="269"/>
      <c r="AA1635" s="57"/>
      <c r="AB1635" s="207"/>
      <c r="AC1635" s="33"/>
      <c r="AD1635" s="189"/>
      <c r="AE1635" s="54"/>
      <c r="AF1635" s="55"/>
      <c r="AG1635" s="43"/>
      <c r="AH1635" s="47"/>
      <c r="AI1635" s="30"/>
      <c r="AJ1635" s="30"/>
      <c r="AK1635" s="30"/>
      <c r="AL1635" s="30"/>
      <c r="AM1635" s="13"/>
      <c r="AN1635" s="13"/>
      <c r="AO1635" s="13"/>
      <c r="AP1635" s="13"/>
      <c r="AQ1635" s="13"/>
      <c r="AR1635" s="14"/>
      <c r="AS1635" s="15"/>
    </row>
    <row r="1636" spans="1:45" s="17" customFormat="1" ht="30.95" hidden="1" customHeight="1" x14ac:dyDescent="0.2">
      <c r="A1636" s="37"/>
      <c r="B1636" s="38"/>
      <c r="C1636" s="45"/>
      <c r="D1636" s="31">
        <v>3741622</v>
      </c>
      <c r="E1636" s="31">
        <v>4162207</v>
      </c>
      <c r="F1636" s="268" t="str">
        <f>IF(D1636="","",VLOOKUP(D1636,契約台帳!$A$3:$K$4986,6,FALSE)&amp;VLOOKUP(D1636,契約台帳!$A$3:$K$4986,7,FALSE)&amp;VLOOKUP(D1636,契約台帳!$A$3:$K$4986,8,FALSE)&amp;VLOOKUP(D1636,契約台帳!$A$3:$K$4986,9,FALSE)&amp;VLOOKUP(D1636,契約台帳!$A$3:$K$4986,11,FALSE))</f>
        <v>3SNMLBMNQR66F</v>
      </c>
      <c r="G1636" s="269" t="str">
        <f>IF(D1636="","",VLOOKUP(F1636,製品マスタ!$G$5:$H$5002,2,FALSE))</f>
        <v>S</v>
      </c>
      <c r="H1636" s="269" t="str">
        <f>IF(D1636="","",VLOOKUP(F1636,製品マスタ!$G$5:$K$5002,5,FALSE))</f>
        <v>MNQR66F</v>
      </c>
      <c r="I1636" s="270" t="str">
        <f>IF(D1636="","",VLOOKUP(F1636,製品マスタ!$G$5:$L$5002,6,FALSE))</f>
        <v>ＱＲ６６蒸着品</v>
      </c>
      <c r="J1636" s="210" t="s">
        <v>935</v>
      </c>
      <c r="K1636" s="270">
        <f>IF(D1636="","",VLOOKUP(D1636,契約台帳!$A$3:$L$4986,12,FALSE))</f>
        <v>25</v>
      </c>
      <c r="L1636" s="270" t="str">
        <f>IF(D1636="","",INDEX(製品マスタ!$Q$5:$Q$5002,MATCH('S4'!F1636&amp;'S4'!K1636,製品マスタ!$AO$5:$AO$5002,0)))</f>
        <v>E315</v>
      </c>
      <c r="M1636" s="39">
        <v>1100</v>
      </c>
      <c r="N1636" s="39">
        <v>6000</v>
      </c>
      <c r="O1636" s="156">
        <v>2</v>
      </c>
      <c r="P1636" s="47">
        <v>2</v>
      </c>
      <c r="Q1636" s="213">
        <v>45348</v>
      </c>
      <c r="R1636" s="271">
        <f ca="1">IF(D1636="","",IF(OFFSET(D1636,-1,0)&lt;&gt;"","",IF(OR(J1636="リード付け",J1636="巻足し",J1636="巻返しリード付け"),M1636,VLOOKUP(D1636,契約台帳!$A$3:$N$4986,14,FALSE))))</f>
        <v>1100</v>
      </c>
      <c r="S1636" s="272">
        <f ca="1">IF(D1636="","",IF(OFFSET(D1636,-1,0)&lt;&gt;"","",IF(OR(J1636="リード付け",J1636="巻足し",J1636="巻返しリード付け"),M1636,VLOOKUP(D1636,契約台帳!$A$3:$O$4986,15,FALSE))))</f>
        <v>1100</v>
      </c>
      <c r="T1636" s="273">
        <f ca="1">IF(D1636="","",IF(J1636="リード付け",N1636,IF(J1636="巻返しリード付け",N1636,IF(J1636="巻足し",N1636*P1636+OFFSET(N1636,1,0)*OFFSET(P1636,1,0),VLOOKUP(D1636,契約台帳!$A$3:$P$4986,16,FALSE)))))</f>
        <v>12000</v>
      </c>
      <c r="U1636" s="40">
        <v>1</v>
      </c>
      <c r="V1636" s="274" t="str">
        <f ca="1">IF(D1636="","",IF(OFFSET(D1636,-2,0)=D1636,"",VLOOKUP(D1636,契約台帳!$A$3:$R$4986,18,FALSE)))</f>
        <v/>
      </c>
      <c r="W1636" s="269" t="str">
        <f ca="1">IF(D1636="","",IF(T1636="","",IF(OR(J1636="巻足し",J1636="巻返しリード付け"),"",IF(J1636="巻返し",VLOOKUP(F1636&amp;K1636&amp;M1636,製品マスタ!$M$5:$AD$5002,18,FALSE),IF(OR(J1636="リード付け",J1636="巻返しリード付け"),"原反コア",IF(J1636="スリット",VLOOKUP(F1636&amp;K1636&amp;R1636,製品マスタ!$N$5:$AD$5002,17,FALSE),""))))))</f>
        <v/>
      </c>
      <c r="X1636" s="269" t="str">
        <f ca="1">IF(D1636="","",IF(T1636="","",IF(J1636="巻足し","",IF(J1636="巻返し",VLOOKUP(F1636&amp;K1636&amp;M1636,製品マスタ!$M$5:$AE$5002,19,FALSE),IF(OR(J1636="リード付け",J1636="巻返しリード付け"),"",IF(J1636="スリット",VLOOKUP(F1636&amp;K1636&amp;R1636,製品マスタ!$N$5:$AE$5002,18,FALSE),""))))))</f>
        <v/>
      </c>
      <c r="Y1636" s="275">
        <f ca="1">IF(D1636="","",IF(T1636="","",VLOOKUP(D1636,契約台帳!$A$3:$Q$4986,17,FALSE)))</f>
        <v>2</v>
      </c>
      <c r="Z1636" s="269" t="str">
        <f ca="1">IF(D1636="","",IF(T1636="","",VLOOKUP(D1636,契約台帳!$A$3:$E$4986,5,FALSE)))</f>
        <v>リンテック㈱</v>
      </c>
      <c r="AA1636" s="57"/>
      <c r="AB1636" s="207" t="str">
        <f>IFERROR((VLOOKUP(F1636&amp;K1636&amp;M1636,製品マスタ!$M$5:$AM$5002,27,FALSE)),"")</f>
        <v>原反ケース再利用</v>
      </c>
      <c r="AC1636" s="33"/>
      <c r="AD1636" s="189"/>
      <c r="AE1636" s="54"/>
      <c r="AF1636" s="55">
        <f>+M1636*N1636*O1636/1000</f>
        <v>13200</v>
      </c>
      <c r="AG1636" s="43"/>
      <c r="AH1636" s="47"/>
      <c r="AI1636" s="30"/>
      <c r="AJ1636" s="30"/>
      <c r="AK1636" s="30"/>
      <c r="AL1636" s="30"/>
      <c r="AM1636" s="13"/>
      <c r="AN1636" s="13"/>
      <c r="AO1636" s="13"/>
      <c r="AP1636" s="13"/>
      <c r="AQ1636" s="13"/>
      <c r="AR1636" s="14"/>
      <c r="AS1636" s="15"/>
    </row>
    <row r="1637" spans="1:45" s="17" customFormat="1" ht="30.95" hidden="1" customHeight="1" x14ac:dyDescent="0.2">
      <c r="A1637" s="37"/>
      <c r="B1637" s="38"/>
      <c r="C1637" s="45"/>
      <c r="D1637" s="31"/>
      <c r="E1637" s="31"/>
      <c r="F1637" s="268"/>
      <c r="G1637" s="269"/>
      <c r="H1637" s="269"/>
      <c r="I1637" s="270"/>
      <c r="J1637" s="210"/>
      <c r="K1637" s="270"/>
      <c r="L1637" s="270"/>
      <c r="M1637" s="39"/>
      <c r="N1637" s="39"/>
      <c r="O1637" s="156"/>
      <c r="P1637" s="47"/>
      <c r="Q1637" s="57"/>
      <c r="R1637" s="338"/>
      <c r="S1637" s="272"/>
      <c r="T1637" s="273"/>
      <c r="U1637" s="40"/>
      <c r="V1637" s="277"/>
      <c r="W1637" s="269"/>
      <c r="X1637" s="269"/>
      <c r="Y1637" s="275"/>
      <c r="Z1637" s="269"/>
      <c r="AA1637" s="57"/>
      <c r="AB1637" s="207"/>
      <c r="AC1637" s="33"/>
      <c r="AD1637" s="189"/>
      <c r="AE1637" s="54"/>
      <c r="AF1637" s="55"/>
      <c r="AG1637" s="43"/>
      <c r="AH1637" s="47"/>
      <c r="AI1637" s="30"/>
      <c r="AJ1637" s="30"/>
      <c r="AK1637" s="30"/>
      <c r="AL1637" s="30"/>
      <c r="AM1637" s="13"/>
      <c r="AN1637" s="13"/>
      <c r="AO1637" s="13"/>
      <c r="AP1637" s="13"/>
      <c r="AQ1637" s="13"/>
      <c r="AR1637" s="14"/>
      <c r="AS1637" s="15"/>
    </row>
    <row r="1638" spans="1:45" s="17" customFormat="1" ht="30.95" hidden="1" customHeight="1" x14ac:dyDescent="0.2">
      <c r="A1638" s="37" t="s">
        <v>1984</v>
      </c>
      <c r="B1638" s="38" t="s">
        <v>1979</v>
      </c>
      <c r="C1638" s="45"/>
      <c r="D1638" s="31"/>
      <c r="E1638" s="31"/>
      <c r="F1638" s="268"/>
      <c r="G1638" s="269"/>
      <c r="H1638" s="269"/>
      <c r="I1638" s="270"/>
      <c r="J1638" s="210" t="s">
        <v>448</v>
      </c>
      <c r="K1638" s="270"/>
      <c r="L1638" s="270"/>
      <c r="M1638" s="39"/>
      <c r="N1638" s="39"/>
      <c r="O1638" s="156"/>
      <c r="P1638" s="47"/>
      <c r="Q1638" s="57"/>
      <c r="R1638" s="338"/>
      <c r="S1638" s="272"/>
      <c r="T1638" s="273"/>
      <c r="U1638" s="40"/>
      <c r="V1638" s="277"/>
      <c r="W1638" s="269"/>
      <c r="X1638" s="269"/>
      <c r="Y1638" s="275"/>
      <c r="Z1638" s="269"/>
      <c r="AA1638" s="57"/>
      <c r="AB1638" s="207"/>
      <c r="AC1638" s="33"/>
      <c r="AD1638" s="189"/>
      <c r="AE1638" s="54"/>
      <c r="AF1638" s="55"/>
      <c r="AG1638" s="43"/>
      <c r="AH1638" s="47"/>
      <c r="AI1638" s="30"/>
      <c r="AJ1638" s="30"/>
      <c r="AK1638" s="30"/>
      <c r="AL1638" s="30"/>
      <c r="AM1638" s="13"/>
      <c r="AN1638" s="13"/>
      <c r="AO1638" s="13"/>
      <c r="AP1638" s="13"/>
      <c r="AQ1638" s="13"/>
      <c r="AR1638" s="14"/>
      <c r="AS1638" s="15"/>
    </row>
    <row r="1639" spans="1:45" s="17" customFormat="1" ht="30.95" hidden="1" customHeight="1" x14ac:dyDescent="0.2">
      <c r="A1639" s="37"/>
      <c r="B1639" s="38"/>
      <c r="C1639" s="45"/>
      <c r="D1639" s="31"/>
      <c r="E1639" s="31"/>
      <c r="F1639" s="268"/>
      <c r="G1639" s="269"/>
      <c r="H1639" s="269"/>
      <c r="I1639" s="270"/>
      <c r="J1639" s="210"/>
      <c r="K1639" s="270"/>
      <c r="L1639" s="270"/>
      <c r="M1639" s="39"/>
      <c r="N1639" s="39"/>
      <c r="O1639" s="156"/>
      <c r="P1639" s="47"/>
      <c r="Q1639" s="57"/>
      <c r="R1639" s="338"/>
      <c r="S1639" s="272"/>
      <c r="T1639" s="273"/>
      <c r="U1639" s="40"/>
      <c r="V1639" s="277"/>
      <c r="W1639" s="269"/>
      <c r="X1639" s="269"/>
      <c r="Y1639" s="275"/>
      <c r="Z1639" s="269"/>
      <c r="AA1639" s="57"/>
      <c r="AB1639" s="207"/>
      <c r="AC1639" s="33"/>
      <c r="AD1639" s="189"/>
      <c r="AE1639" s="54"/>
      <c r="AF1639" s="55"/>
      <c r="AG1639" s="43"/>
      <c r="AH1639" s="47"/>
      <c r="AI1639" s="30"/>
      <c r="AJ1639" s="30"/>
      <c r="AK1639" s="30"/>
      <c r="AL1639" s="30"/>
      <c r="AM1639" s="13"/>
      <c r="AN1639" s="13"/>
      <c r="AO1639" s="13"/>
      <c r="AP1639" s="13"/>
      <c r="AQ1639" s="13"/>
      <c r="AR1639" s="14"/>
      <c r="AS1639" s="15"/>
    </row>
    <row r="1640" spans="1:45" s="17" customFormat="1" ht="30.95" hidden="1" customHeight="1" x14ac:dyDescent="0.2">
      <c r="A1640" s="37" t="s">
        <v>1985</v>
      </c>
      <c r="B1640" s="38" t="s">
        <v>1981</v>
      </c>
      <c r="C1640" s="45"/>
      <c r="D1640" s="31"/>
      <c r="E1640" s="31"/>
      <c r="F1640" s="268"/>
      <c r="G1640" s="269"/>
      <c r="H1640" s="269"/>
      <c r="I1640" s="270"/>
      <c r="J1640" s="210" t="s">
        <v>448</v>
      </c>
      <c r="K1640" s="270"/>
      <c r="L1640" s="270"/>
      <c r="M1640" s="39"/>
      <c r="N1640" s="39"/>
      <c r="O1640" s="156"/>
      <c r="P1640" s="47"/>
      <c r="Q1640" s="57"/>
      <c r="R1640" s="338"/>
      <c r="S1640" s="272"/>
      <c r="T1640" s="273"/>
      <c r="U1640" s="40"/>
      <c r="V1640" s="277"/>
      <c r="W1640" s="269"/>
      <c r="X1640" s="269"/>
      <c r="Y1640" s="275"/>
      <c r="Z1640" s="269"/>
      <c r="AA1640" s="57"/>
      <c r="AB1640" s="207"/>
      <c r="AC1640" s="33"/>
      <c r="AD1640" s="189"/>
      <c r="AE1640" s="54"/>
      <c r="AF1640" s="55"/>
      <c r="AG1640" s="43"/>
      <c r="AH1640" s="47"/>
      <c r="AI1640" s="30"/>
      <c r="AJ1640" s="30"/>
      <c r="AK1640" s="30"/>
      <c r="AL1640" s="30"/>
      <c r="AM1640" s="13"/>
      <c r="AN1640" s="13"/>
      <c r="AO1640" s="13"/>
      <c r="AP1640" s="13"/>
      <c r="AQ1640" s="13"/>
      <c r="AR1640" s="14"/>
      <c r="AS1640" s="15"/>
    </row>
    <row r="1641" spans="1:45" s="17" customFormat="1" ht="30.95" hidden="1" customHeight="1" x14ac:dyDescent="0.2">
      <c r="A1641" s="37"/>
      <c r="B1641" s="38"/>
      <c r="C1641" s="45"/>
      <c r="D1641" s="31"/>
      <c r="E1641" s="31"/>
      <c r="F1641" s="268"/>
      <c r="G1641" s="269"/>
      <c r="H1641" s="269"/>
      <c r="I1641" s="270"/>
      <c r="J1641" s="210"/>
      <c r="K1641" s="270"/>
      <c r="L1641" s="270"/>
      <c r="M1641" s="39"/>
      <c r="N1641" s="39"/>
      <c r="O1641" s="156"/>
      <c r="P1641" s="47"/>
      <c r="Q1641" s="57"/>
      <c r="R1641" s="338"/>
      <c r="S1641" s="272"/>
      <c r="T1641" s="273"/>
      <c r="U1641" s="40"/>
      <c r="V1641" s="277"/>
      <c r="W1641" s="269"/>
      <c r="X1641" s="269"/>
      <c r="Y1641" s="275"/>
      <c r="Z1641" s="269"/>
      <c r="AA1641" s="57"/>
      <c r="AB1641" s="207"/>
      <c r="AC1641" s="33"/>
      <c r="AD1641" s="189"/>
      <c r="AE1641" s="54"/>
      <c r="AF1641" s="55"/>
      <c r="AG1641" s="43"/>
      <c r="AH1641" s="47"/>
      <c r="AI1641" s="30"/>
      <c r="AJ1641" s="30"/>
      <c r="AK1641" s="30"/>
      <c r="AL1641" s="30"/>
      <c r="AM1641" s="13"/>
      <c r="AN1641" s="13"/>
      <c r="AO1641" s="13"/>
      <c r="AP1641" s="13"/>
      <c r="AQ1641" s="13"/>
      <c r="AR1641" s="14"/>
      <c r="AS1641" s="15"/>
    </row>
    <row r="1642" spans="1:45" s="17" customFormat="1" ht="30.95" hidden="1" customHeight="1" x14ac:dyDescent="0.2">
      <c r="A1642" s="37" t="s">
        <v>1986</v>
      </c>
      <c r="B1642" s="38" t="s">
        <v>1969</v>
      </c>
      <c r="C1642" s="45"/>
      <c r="D1642" s="31">
        <v>3741606</v>
      </c>
      <c r="E1642" s="31">
        <v>4162195</v>
      </c>
      <c r="F1642" s="268" t="str">
        <f>IF(D1642="","",VLOOKUP(D1642,契約台帳!$A$3:$K$4986,6,FALSE)&amp;VLOOKUP(D1642,契約台帳!$A$3:$K$4986,7,FALSE)&amp;VLOOKUP(D1642,契約台帳!$A$3:$K$4986,8,FALSE)&amp;VLOOKUP(D1642,契約台帳!$A$3:$K$4986,9,FALSE)&amp;VLOOKUP(D1642,契約台帳!$A$3:$K$4986,11,FALSE))</f>
        <v>3SNMLBMNGKBF</v>
      </c>
      <c r="G1642" s="269" t="str">
        <f>IF(D1642="","",VLOOKUP(F1642,製品マスタ!$G$5:$H$5002,2,FALSE))</f>
        <v>S</v>
      </c>
      <c r="H1642" s="269" t="str">
        <f>IF(D1642="","",VLOOKUP(F1642,製品マスタ!$G$5:$K$5002,5,FALSE))</f>
        <v>MNGKBF</v>
      </c>
      <c r="I1642" s="270" t="str">
        <f>IF(D1642="","",VLOOKUP(F1642,製品マスタ!$G$5:$L$5002,6,FALSE))</f>
        <v>メタルミー　ネーマー銀消　Ｂ</v>
      </c>
      <c r="J1642" s="210" t="s">
        <v>935</v>
      </c>
      <c r="K1642" s="270">
        <f>IF(D1642="","",VLOOKUP(D1642,契約台帳!$A$3:$L$4986,12,FALSE))</f>
        <v>50</v>
      </c>
      <c r="L1642" s="270" t="str">
        <f>IF(D1642="","",INDEX(製品マスタ!$Q$5:$Q$5002,MATCH('S4'!F1642&amp;'S4'!K1642,製品マスタ!$AO$5:$AO$5002,0)))</f>
        <v>MAT</v>
      </c>
      <c r="M1642" s="39">
        <v>1050</v>
      </c>
      <c r="N1642" s="39">
        <v>4100</v>
      </c>
      <c r="O1642" s="156">
        <v>6</v>
      </c>
      <c r="P1642" s="47">
        <v>3</v>
      </c>
      <c r="Q1642" s="213">
        <v>45348</v>
      </c>
      <c r="R1642" s="271">
        <f ca="1">IF(D1642="","",IF(OFFSET(D1642,-1,0)&lt;&gt;"","",IF(OR(J1642="リード付け",J1642="巻足し",J1642="巻返しリード付け"),M1642,VLOOKUP(D1642,契約台帳!$A$3:$N$4986,14,FALSE))))</f>
        <v>1050</v>
      </c>
      <c r="S1642" s="272">
        <f ca="1">IF(D1642="","",IF(OFFSET(D1642,-1,0)&lt;&gt;"","",IF(OR(J1642="リード付け",J1642="巻足し",J1642="巻返しリード付け"),M1642,VLOOKUP(D1642,契約台帳!$A$3:$O$4986,15,FALSE))))</f>
        <v>1050</v>
      </c>
      <c r="T1642" s="273">
        <f ca="1">IF(D1642="","",IF(J1642="リード付け",N1642,IF(J1642="巻返しリード付け",N1642,IF(J1642="巻足し",N1642*P1642+OFFSET(N1642,1,0)*OFFSET(P1642,1,0),VLOOKUP(D1642,契約台帳!$A$3:$P$4986,16,FALSE)))))</f>
        <v>12300</v>
      </c>
      <c r="U1642" s="40">
        <v>2</v>
      </c>
      <c r="V1642" s="274">
        <f ca="1">IF(D1642="","",IF(OFFSET(D1642,-2,0)=D1642,"",VLOOKUP(D1642,契約台帳!$A$3:$R$4986,18,FALSE)))</f>
        <v>6</v>
      </c>
      <c r="W1642" s="269" t="str">
        <f ca="1">IF(D1642="","",IF(T1642="","",IF(OR(J1642="巻足し",J1642="巻返しリード付け"),"",IF(J1642="巻返し",VLOOKUP(F1642&amp;K1642&amp;M1642,製品マスタ!$M$5:$AD$5002,18,FALSE),IF(OR(J1642="リード付け",J1642="巻返しリード付け"),"原反コア",IF(J1642="スリット",VLOOKUP(F1642&amp;K1642&amp;R1642,製品マスタ!$N$5:$AD$5002,17,FALSE),""))))))</f>
        <v/>
      </c>
      <c r="X1642" s="269" t="str">
        <f ca="1">IF(D1642="","",IF(T1642="","",IF(J1642="巻足し","",IF(J1642="巻返し",VLOOKUP(F1642&amp;K1642&amp;M1642,製品マスタ!$M$5:$AE$5002,19,FALSE),IF(OR(J1642="リード付け",J1642="巻返しリード付け"),"",IF(J1642="スリット",VLOOKUP(F1642&amp;K1642&amp;R1642,製品マスタ!$N$5:$AE$5002,18,FALSE),""))))))</f>
        <v/>
      </c>
      <c r="Y1642" s="275">
        <f ca="1">IF(D1642="","",IF(T1642="","",VLOOKUP(D1642,契約台帳!$A$3:$Q$4986,17,FALSE)))</f>
        <v>2</v>
      </c>
      <c r="Z1642" s="269" t="str">
        <f ca="1">IF(D1642="","",IF(T1642="","",VLOOKUP(D1642,契約台帳!$A$3:$E$4986,5,FALSE)))</f>
        <v>リンテック㈱</v>
      </c>
      <c r="AA1642" s="57"/>
      <c r="AB1642" s="207">
        <f>IFERROR((VLOOKUP(F1642&amp;K1642&amp;M1642,製品マスタ!$M$5:$AM$5002,27,FALSE)),"")</f>
        <v>0</v>
      </c>
      <c r="AC1642" s="33"/>
      <c r="AD1642" s="189"/>
      <c r="AE1642" s="54"/>
      <c r="AF1642" s="55">
        <f>+M1642*N1642*O1642/1000</f>
        <v>25830</v>
      </c>
      <c r="AG1642" s="43"/>
      <c r="AH1642" s="47"/>
      <c r="AI1642" s="30"/>
      <c r="AJ1642" s="30"/>
      <c r="AK1642" s="30"/>
      <c r="AL1642" s="30"/>
      <c r="AM1642" s="13"/>
      <c r="AN1642" s="13"/>
      <c r="AO1642" s="13"/>
      <c r="AP1642" s="13"/>
      <c r="AQ1642" s="13"/>
      <c r="AR1642" s="14"/>
      <c r="AS1642" s="15"/>
    </row>
    <row r="1643" spans="1:45" s="17" customFormat="1" ht="30.95" hidden="1" customHeight="1" x14ac:dyDescent="0.2">
      <c r="A1643" s="37"/>
      <c r="B1643" s="38"/>
      <c r="C1643" s="45"/>
      <c r="D1643" s="31"/>
      <c r="E1643" s="31"/>
      <c r="F1643" s="268"/>
      <c r="G1643" s="269"/>
      <c r="H1643" s="269"/>
      <c r="I1643" s="270"/>
      <c r="J1643" s="210"/>
      <c r="K1643" s="270"/>
      <c r="L1643" s="270"/>
      <c r="M1643" s="39"/>
      <c r="N1643" s="39"/>
      <c r="O1643" s="156"/>
      <c r="P1643" s="47"/>
      <c r="Q1643" s="57"/>
      <c r="R1643" s="338"/>
      <c r="S1643" s="272"/>
      <c r="T1643" s="273"/>
      <c r="U1643" s="40"/>
      <c r="V1643" s="277"/>
      <c r="W1643" s="269"/>
      <c r="X1643" s="269"/>
      <c r="Y1643" s="275"/>
      <c r="Z1643" s="269"/>
      <c r="AA1643" s="57"/>
      <c r="AB1643" s="207"/>
      <c r="AC1643" s="33"/>
      <c r="AD1643" s="189"/>
      <c r="AE1643" s="54"/>
      <c r="AF1643" s="55"/>
      <c r="AG1643" s="43"/>
      <c r="AH1643" s="47"/>
      <c r="AI1643" s="30"/>
      <c r="AJ1643" s="30"/>
      <c r="AK1643" s="30"/>
      <c r="AL1643" s="30"/>
      <c r="AM1643" s="13"/>
      <c r="AN1643" s="13"/>
      <c r="AO1643" s="13"/>
      <c r="AP1643" s="13"/>
      <c r="AQ1643" s="13"/>
      <c r="AR1643" s="14"/>
      <c r="AS1643" s="15"/>
    </row>
    <row r="1644" spans="1:45" s="17" customFormat="1" ht="30.95" hidden="1" customHeight="1" x14ac:dyDescent="0.2">
      <c r="A1644" s="37"/>
      <c r="B1644" s="38"/>
      <c r="C1644" s="45"/>
      <c r="D1644" s="31">
        <v>3741605</v>
      </c>
      <c r="E1644" s="31">
        <v>4162194</v>
      </c>
      <c r="F1644" s="268" t="str">
        <f>IF(D1644="","",VLOOKUP(D1644,契約台帳!$A$3:$K$4986,6,FALSE)&amp;VLOOKUP(D1644,契約台帳!$A$3:$K$4986,7,FALSE)&amp;VLOOKUP(D1644,契約台帳!$A$3:$K$4986,8,FALSE)&amp;VLOOKUP(D1644,契約台帳!$A$3:$K$4986,9,FALSE)&amp;VLOOKUP(D1644,契約台帳!$A$3:$K$4986,11,FALSE))</f>
        <v>3SNMLBMNGKBF</v>
      </c>
      <c r="G1644" s="269" t="str">
        <f>IF(D1644="","",VLOOKUP(F1644,製品マスタ!$G$5:$H$5002,2,FALSE))</f>
        <v>S</v>
      </c>
      <c r="H1644" s="269" t="str">
        <f>IF(D1644="","",VLOOKUP(F1644,製品マスタ!$G$5:$K$5002,5,FALSE))</f>
        <v>MNGKBF</v>
      </c>
      <c r="I1644" s="270" t="str">
        <f>IF(D1644="","",VLOOKUP(F1644,製品マスタ!$G$5:$L$5002,6,FALSE))</f>
        <v>メタルミー　ネーマー銀消　Ｂ</v>
      </c>
      <c r="J1644" s="210" t="s">
        <v>935</v>
      </c>
      <c r="K1644" s="270">
        <f>IF(D1644="","",VLOOKUP(D1644,契約台帳!$A$3:$L$4986,12,FALSE))</f>
        <v>38</v>
      </c>
      <c r="L1644" s="270" t="str">
        <f>IF(D1644="","",INDEX(製品マスタ!$Q$5:$Q$5002,MATCH('S4'!F1644&amp;'S4'!K1644,製品マスタ!$AO$5:$AO$5002,0)))</f>
        <v>LUMIMAT</v>
      </c>
      <c r="M1644" s="39">
        <v>1005</v>
      </c>
      <c r="N1644" s="39">
        <v>4100</v>
      </c>
      <c r="O1644" s="156">
        <v>3</v>
      </c>
      <c r="P1644" s="47">
        <v>3</v>
      </c>
      <c r="Q1644" s="213">
        <v>45348</v>
      </c>
      <c r="R1644" s="271">
        <f ca="1">IF(D1644="","",IF(OFFSET(D1644,-1,0)&lt;&gt;"","",IF(OR(J1644="リード付け",J1644="巻足し",J1644="巻返しリード付け"),M1644,VLOOKUP(D1644,契約台帳!$A$3:$N$4986,14,FALSE))))</f>
        <v>1005</v>
      </c>
      <c r="S1644" s="272">
        <f ca="1">IF(D1644="","",IF(OFFSET(D1644,-1,0)&lt;&gt;"","",IF(OR(J1644="リード付け",J1644="巻足し",J1644="巻返しリード付け"),M1644,VLOOKUP(D1644,契約台帳!$A$3:$O$4986,15,FALSE))))</f>
        <v>1005</v>
      </c>
      <c r="T1644" s="273">
        <f ca="1">IF(D1644="","",IF(J1644="リード付け",N1644,IF(J1644="巻返しリード付け",N1644,IF(J1644="巻足し",N1644*P1644+OFFSET(N1644,1,0)*OFFSET(P1644,1,0),VLOOKUP(D1644,契約台帳!$A$3:$P$4986,16,FALSE)))))</f>
        <v>12300</v>
      </c>
      <c r="U1644" s="40">
        <v>1</v>
      </c>
      <c r="V1644" s="274">
        <f ca="1">IF(D1644="","",IF(OFFSET(D1644,-2,0)=D1644,"",VLOOKUP(D1644,契約台帳!$A$3:$R$4986,18,FALSE)))</f>
        <v>3</v>
      </c>
      <c r="W1644" s="269" t="str">
        <f ca="1">IF(D1644="","",IF(T1644="","",IF(OR(J1644="巻足し",J1644="巻返しリード付け"),"",IF(J1644="巻返し",VLOOKUP(F1644&amp;K1644&amp;M1644,製品マスタ!$M$5:$AD$5002,18,FALSE),IF(OR(J1644="リード付け",J1644="巻返しリード付け"),"原反コア",IF(J1644="スリット",VLOOKUP(F1644&amp;K1644&amp;R1644,製品マスタ!$N$5:$AD$5002,17,FALSE),""))))))</f>
        <v/>
      </c>
      <c r="X1644" s="269" t="str">
        <f ca="1">IF(D1644="","",IF(T1644="","",IF(J1644="巻足し","",IF(J1644="巻返し",VLOOKUP(F1644&amp;K1644&amp;M1644,製品マスタ!$M$5:$AE$5002,19,FALSE),IF(OR(J1644="リード付け",J1644="巻返しリード付け"),"",IF(J1644="スリット",VLOOKUP(F1644&amp;K1644&amp;R1644,製品マスタ!$N$5:$AE$5002,18,FALSE),""))))))</f>
        <v/>
      </c>
      <c r="Y1644" s="275">
        <f ca="1">IF(D1644="","",IF(T1644="","",VLOOKUP(D1644,契約台帳!$A$3:$Q$4986,17,FALSE)))</f>
        <v>2</v>
      </c>
      <c r="Z1644" s="269" t="str">
        <f ca="1">IF(D1644="","",IF(T1644="","",VLOOKUP(D1644,契約台帳!$A$3:$E$4986,5,FALSE)))</f>
        <v>リンテック㈱</v>
      </c>
      <c r="AA1644" s="57"/>
      <c r="AB1644" s="207">
        <f>IFERROR((VLOOKUP(F1644&amp;K1644&amp;M1644,製品マスタ!$M$5:$AM$5002,27,FALSE)),"")</f>
        <v>0</v>
      </c>
      <c r="AC1644" s="33"/>
      <c r="AD1644" s="189"/>
      <c r="AE1644" s="54"/>
      <c r="AF1644" s="55">
        <f>+M1644*N1644*O1644/1000</f>
        <v>12361.5</v>
      </c>
      <c r="AG1644" s="43"/>
      <c r="AH1644" s="47"/>
      <c r="AI1644" s="30"/>
      <c r="AJ1644" s="30"/>
      <c r="AK1644" s="30"/>
      <c r="AL1644" s="30"/>
      <c r="AM1644" s="13"/>
      <c r="AN1644" s="13"/>
      <c r="AO1644" s="13"/>
      <c r="AP1644" s="13"/>
      <c r="AQ1644" s="13"/>
      <c r="AR1644" s="14"/>
      <c r="AS1644" s="15"/>
    </row>
    <row r="1645" spans="1:45" s="17" customFormat="1" ht="30.95" hidden="1" customHeight="1" x14ac:dyDescent="0.2">
      <c r="A1645" s="37"/>
      <c r="B1645" s="38"/>
      <c r="C1645" s="45"/>
      <c r="D1645" s="31"/>
      <c r="E1645" s="31"/>
      <c r="F1645" s="268"/>
      <c r="G1645" s="269"/>
      <c r="H1645" s="269"/>
      <c r="I1645" s="270"/>
      <c r="J1645" s="210"/>
      <c r="K1645" s="270"/>
      <c r="L1645" s="270"/>
      <c r="M1645" s="39"/>
      <c r="N1645" s="39"/>
      <c r="O1645" s="156"/>
      <c r="P1645" s="47"/>
      <c r="Q1645" s="57"/>
      <c r="R1645" s="338"/>
      <c r="S1645" s="272"/>
      <c r="T1645" s="273"/>
      <c r="U1645" s="40"/>
      <c r="V1645" s="277"/>
      <c r="W1645" s="269"/>
      <c r="X1645" s="269"/>
      <c r="Y1645" s="275"/>
      <c r="Z1645" s="269"/>
      <c r="AA1645" s="57"/>
      <c r="AB1645" s="207"/>
      <c r="AC1645" s="33"/>
      <c r="AD1645" s="189"/>
      <c r="AE1645" s="54"/>
      <c r="AF1645" s="55"/>
      <c r="AG1645" s="43"/>
      <c r="AH1645" s="47"/>
      <c r="AI1645" s="30"/>
      <c r="AJ1645" s="30"/>
      <c r="AK1645" s="30"/>
      <c r="AL1645" s="30"/>
      <c r="AM1645" s="13"/>
      <c r="AN1645" s="13"/>
      <c r="AO1645" s="13"/>
      <c r="AP1645" s="13"/>
      <c r="AQ1645" s="13"/>
      <c r="AR1645" s="14"/>
      <c r="AS1645" s="15"/>
    </row>
    <row r="1646" spans="1:45" s="17" customFormat="1" ht="30.6" hidden="1" customHeight="1" x14ac:dyDescent="0.2">
      <c r="A1646" s="37"/>
      <c r="B1646" s="38"/>
      <c r="C1646" s="45"/>
      <c r="D1646" s="31">
        <v>3741601</v>
      </c>
      <c r="E1646" s="31">
        <v>4162197</v>
      </c>
      <c r="F1646" s="268" t="str">
        <f>IF(D1646="","",VLOOKUP(D1646,契約台帳!$A$3:$K$4986,6,FALSE)&amp;VLOOKUP(D1646,契約台帳!$A$3:$K$4986,7,FALSE)&amp;VLOOKUP(D1646,契約台帳!$A$3:$K$4986,8,FALSE)&amp;VLOOKUP(D1646,契約台帳!$A$3:$K$4986,9,FALSE)&amp;VLOOKUP(D1646,契約台帳!$A$3:$K$4986,11,FALSE))</f>
        <v>3SNMLBMNGKKBF</v>
      </c>
      <c r="G1646" s="269" t="str">
        <f>IF(D1646="","",VLOOKUP(F1646,製品マスタ!$G$5:$H$5002,2,FALSE))</f>
        <v>S</v>
      </c>
      <c r="H1646" s="269" t="str">
        <f>IF(D1646="","",VLOOKUP(F1646,製品マスタ!$G$5:$K$5002,5,FALSE))</f>
        <v>MNGKKBF</v>
      </c>
      <c r="I1646" s="270" t="str">
        <f>IF(D1646="","",VLOOKUP(F1646,製品マスタ!$G$5:$L$5002,6,FALSE))</f>
        <v>メタルミー　ネーマー銀消改　Ｂ</v>
      </c>
      <c r="J1646" s="210" t="s">
        <v>935</v>
      </c>
      <c r="K1646" s="270">
        <f>IF(D1646="","",VLOOKUP(D1646,契約台帳!$A$3:$L$4986,12,FALSE))</f>
        <v>25</v>
      </c>
      <c r="L1646" s="270" t="str">
        <f>IF(D1646="","",INDEX(製品マスタ!$Q$5:$Q$5002,MATCH('S4'!F1646&amp;'S4'!K1646,製品マスタ!$AO$5:$AO$5002,0)))</f>
        <v>FMATS99</v>
      </c>
      <c r="M1646" s="39">
        <v>1000</v>
      </c>
      <c r="N1646" s="39">
        <v>4000</v>
      </c>
      <c r="O1646" s="156">
        <v>3</v>
      </c>
      <c r="P1646" s="47">
        <v>3</v>
      </c>
      <c r="Q1646" s="213">
        <v>45348</v>
      </c>
      <c r="R1646" s="271">
        <f ca="1">IF(D1646="","",IF(OFFSET(D1646,-1,0)&lt;&gt;"","",IF(OR(J1646="リード付け",J1646="巻足し",J1646="巻返しリード付け"),M1646,VLOOKUP(D1646,契約台帳!$A$3:$N$4986,14,FALSE))))</f>
        <v>1000</v>
      </c>
      <c r="S1646" s="272">
        <f ca="1">IF(D1646="","",IF(OFFSET(D1646,-1,0)&lt;&gt;"","",IF(OR(J1646="リード付け",J1646="巻足し",J1646="巻返しリード付け"),M1646,VLOOKUP(D1646,契約台帳!$A$3:$O$4986,15,FALSE))))</f>
        <v>1000</v>
      </c>
      <c r="T1646" s="273">
        <f ca="1">IF(D1646="","",IF(J1646="リード付け",N1646,IF(J1646="巻返しリード付け",N1646,IF(J1646="巻足し",N1646*P1646+OFFSET(N1646,1,0)*OFFSET(P1646,1,0),VLOOKUP(D1646,契約台帳!$A$3:$P$4986,16,FALSE)))))</f>
        <v>12000</v>
      </c>
      <c r="U1646" s="40">
        <v>1</v>
      </c>
      <c r="V1646" s="274">
        <f ca="1">IF(D1646="","",IF(OFFSET(D1646,-2,0)=D1646,"",VLOOKUP(D1646,契約台帳!$A$3:$R$4986,18,FALSE)))</f>
        <v>3</v>
      </c>
      <c r="W1646" s="269" t="str">
        <f ca="1">IF(D1646="","",IF(T1646="","",IF(OR(J1646="巻足し",J1646="巻返しリード付け"),"",IF(J1646="巻返し",VLOOKUP(F1646&amp;K1646&amp;M1646,製品マスタ!$M$5:$AD$5002,18,FALSE),IF(OR(J1646="リード付け",J1646="巻返しリード付け"),"原反コア",IF(J1646="スリット",VLOOKUP(F1646&amp;K1646&amp;R1646,製品マスタ!$N$5:$AD$5002,17,FALSE),""))))))</f>
        <v/>
      </c>
      <c r="X1646" s="269" t="str">
        <f ca="1">IF(D1646="","",IF(T1646="","",IF(J1646="巻足し","",IF(J1646="巻返し",VLOOKUP(F1646&amp;K1646&amp;M1646,製品マスタ!$M$5:$AE$5002,19,FALSE),IF(OR(J1646="リード付け",J1646="巻返しリード付け"),"",IF(J1646="スリット",VLOOKUP(F1646&amp;K1646&amp;R1646,製品マスタ!$N$5:$AE$5002,18,FALSE),""))))))</f>
        <v/>
      </c>
      <c r="Y1646" s="275">
        <f ca="1">IF(D1646="","",IF(T1646="","",VLOOKUP(D1646,契約台帳!$A$3:$Q$4986,17,FALSE)))</f>
        <v>2</v>
      </c>
      <c r="Z1646" s="269" t="str">
        <f ca="1">IF(D1646="","",IF(T1646="","",VLOOKUP(D1646,契約台帳!$A$3:$E$4986,5,FALSE)))</f>
        <v>リンテック㈱</v>
      </c>
      <c r="AA1646" s="57"/>
      <c r="AB1646" s="207">
        <f>IFERROR((VLOOKUP(F1646&amp;K1646&amp;M1646,製品マスタ!$M$5:$AM$5002,27,FALSE)),"")</f>
        <v>0</v>
      </c>
      <c r="AC1646" s="33"/>
      <c r="AD1646" s="189"/>
      <c r="AE1646" s="54"/>
      <c r="AF1646" s="55">
        <f>+M1646*N1646*O1646/1000</f>
        <v>12000</v>
      </c>
      <c r="AG1646" s="43"/>
      <c r="AH1646" s="47"/>
      <c r="AI1646" s="30"/>
      <c r="AJ1646" s="30"/>
      <c r="AK1646" s="30"/>
      <c r="AL1646" s="30"/>
      <c r="AM1646" s="13"/>
      <c r="AN1646" s="13"/>
      <c r="AO1646" s="13"/>
      <c r="AP1646" s="13"/>
      <c r="AQ1646" s="13"/>
      <c r="AR1646" s="14"/>
      <c r="AS1646" s="15"/>
    </row>
    <row r="1647" spans="1:45" s="17" customFormat="1" ht="30.95" hidden="1" customHeight="1" x14ac:dyDescent="0.2">
      <c r="A1647" s="37"/>
      <c r="B1647" s="38"/>
      <c r="C1647" s="45"/>
      <c r="D1647" s="31"/>
      <c r="E1647" s="31"/>
      <c r="F1647" s="268"/>
      <c r="G1647" s="269"/>
      <c r="H1647" s="269"/>
      <c r="I1647" s="270"/>
      <c r="J1647" s="210"/>
      <c r="K1647" s="270"/>
      <c r="L1647" s="270"/>
      <c r="M1647" s="39"/>
      <c r="N1647" s="39"/>
      <c r="O1647" s="156"/>
      <c r="P1647" s="47"/>
      <c r="Q1647" s="57"/>
      <c r="R1647" s="338"/>
      <c r="S1647" s="272"/>
      <c r="T1647" s="273"/>
      <c r="U1647" s="40"/>
      <c r="V1647" s="277"/>
      <c r="W1647" s="269"/>
      <c r="X1647" s="269"/>
      <c r="Y1647" s="275"/>
      <c r="Z1647" s="269"/>
      <c r="AA1647" s="57"/>
      <c r="AB1647" s="207"/>
      <c r="AC1647" s="33"/>
      <c r="AD1647" s="189"/>
      <c r="AE1647" s="54"/>
      <c r="AF1647" s="55"/>
      <c r="AG1647" s="43"/>
      <c r="AH1647" s="47"/>
      <c r="AI1647" s="30"/>
      <c r="AJ1647" s="30"/>
      <c r="AK1647" s="30"/>
      <c r="AL1647" s="30"/>
      <c r="AM1647" s="13"/>
      <c r="AN1647" s="13"/>
      <c r="AO1647" s="13"/>
      <c r="AP1647" s="13"/>
      <c r="AQ1647" s="13"/>
      <c r="AR1647" s="14"/>
      <c r="AS1647" s="15"/>
    </row>
    <row r="1648" spans="1:45" s="17" customFormat="1" ht="30.6" hidden="1" customHeight="1" x14ac:dyDescent="0.2">
      <c r="A1648" s="37"/>
      <c r="B1648" s="38"/>
      <c r="C1648" s="45"/>
      <c r="D1648" s="31">
        <v>3741603</v>
      </c>
      <c r="E1648" s="31">
        <v>4162199</v>
      </c>
      <c r="F1648" s="268" t="str">
        <f>IF(D1648="","",VLOOKUP(D1648,契約台帳!$A$3:$K$4986,6,FALSE)&amp;VLOOKUP(D1648,契約台帳!$A$3:$K$4986,7,FALSE)&amp;VLOOKUP(D1648,契約台帳!$A$3:$K$4986,8,FALSE)&amp;VLOOKUP(D1648,契約台帳!$A$3:$K$4986,9,FALSE)&amp;VLOOKUP(D1648,契約台帳!$A$3:$K$4986,11,FALSE))</f>
        <v>3SNMLBMNGKKBF</v>
      </c>
      <c r="G1648" s="269" t="str">
        <f>IF(D1648="","",VLOOKUP(F1648,製品マスタ!$G$5:$H$5002,2,FALSE))</f>
        <v>S</v>
      </c>
      <c r="H1648" s="269" t="str">
        <f>IF(D1648="","",VLOOKUP(F1648,製品マスタ!$G$5:$K$5002,5,FALSE))</f>
        <v>MNGKKBF</v>
      </c>
      <c r="I1648" s="270" t="str">
        <f>IF(D1648="","",VLOOKUP(F1648,製品マスタ!$G$5:$L$5002,6,FALSE))</f>
        <v>メタルミー　ネーマー銀消改　Ｂ</v>
      </c>
      <c r="J1648" s="210" t="s">
        <v>935</v>
      </c>
      <c r="K1648" s="270">
        <f>IF(D1648="","",VLOOKUP(D1648,契約台帳!$A$3:$L$4986,12,FALSE))</f>
        <v>50</v>
      </c>
      <c r="L1648" s="270" t="str">
        <f>IF(D1648="","",INDEX(製品マスタ!$Q$5:$Q$5002,MATCH('S4'!F1648&amp;'S4'!K1648,製品マスタ!$AO$5:$AO$5002,0)))</f>
        <v>S99-MAT</v>
      </c>
      <c r="M1648" s="39">
        <v>1000</v>
      </c>
      <c r="N1648" s="39">
        <v>4000</v>
      </c>
      <c r="O1648" s="156">
        <v>3</v>
      </c>
      <c r="P1648" s="47">
        <v>3</v>
      </c>
      <c r="Q1648" s="213">
        <v>45348</v>
      </c>
      <c r="R1648" s="271">
        <f ca="1">IF(D1648="","",IF(OFFSET(D1648,-1,0)&lt;&gt;"","",IF(OR(J1648="リード付け",J1648="巻足し",J1648="巻返しリード付け"),M1648,VLOOKUP(D1648,契約台帳!$A$3:$N$4986,14,FALSE))))</f>
        <v>1000</v>
      </c>
      <c r="S1648" s="272">
        <f ca="1">IF(D1648="","",IF(OFFSET(D1648,-1,0)&lt;&gt;"","",IF(OR(J1648="リード付け",J1648="巻足し",J1648="巻返しリード付け"),M1648,VLOOKUP(D1648,契約台帳!$A$3:$O$4986,15,FALSE))))</f>
        <v>1000</v>
      </c>
      <c r="T1648" s="273">
        <f ca="1">IF(D1648="","",IF(J1648="リード付け",N1648,IF(J1648="巻返しリード付け",N1648,IF(J1648="巻足し",N1648*P1648+OFFSET(N1648,1,0)*OFFSET(P1648,1,0),VLOOKUP(D1648,契約台帳!$A$3:$P$4986,16,FALSE)))))</f>
        <v>12000</v>
      </c>
      <c r="U1648" s="40">
        <v>1</v>
      </c>
      <c r="V1648" s="274">
        <f ca="1">IF(D1648="","",IF(OFFSET(D1648,-2,0)=D1648,"",VLOOKUP(D1648,契約台帳!$A$3:$R$4986,18,FALSE)))</f>
        <v>3</v>
      </c>
      <c r="W1648" s="269" t="str">
        <f ca="1">IF(D1648="","",IF(T1648="","",IF(OR(J1648="巻足し",J1648="巻返しリード付け"),"",IF(J1648="巻返し",VLOOKUP(F1648&amp;K1648&amp;M1648,製品マスタ!$M$5:$AD$5002,18,FALSE),IF(OR(J1648="リード付け",J1648="巻返しリード付け"),"原反コア",IF(J1648="スリット",VLOOKUP(F1648&amp;K1648&amp;R1648,製品マスタ!$N$5:$AD$5002,17,FALSE),""))))))</f>
        <v/>
      </c>
      <c r="X1648" s="269" t="str">
        <f ca="1">IF(D1648="","",IF(T1648="","",IF(J1648="巻足し","",IF(J1648="巻返し",VLOOKUP(F1648&amp;K1648&amp;M1648,製品マスタ!$M$5:$AE$5002,19,FALSE),IF(OR(J1648="リード付け",J1648="巻返しリード付け"),"",IF(J1648="スリット",VLOOKUP(F1648&amp;K1648&amp;R1648,製品マスタ!$N$5:$AE$5002,18,FALSE),""))))))</f>
        <v/>
      </c>
      <c r="Y1648" s="275">
        <f ca="1">IF(D1648="","",IF(T1648="","",VLOOKUP(D1648,契約台帳!$A$3:$Q$4986,17,FALSE)))</f>
        <v>2</v>
      </c>
      <c r="Z1648" s="269" t="str">
        <f ca="1">IF(D1648="","",IF(T1648="","",VLOOKUP(D1648,契約台帳!$A$3:$E$4986,5,FALSE)))</f>
        <v>リンテック㈱</v>
      </c>
      <c r="AA1648" s="57"/>
      <c r="AB1648" s="207">
        <f>IFERROR((VLOOKUP(F1648&amp;K1648&amp;M1648,製品マスタ!$M$5:$AM$5002,27,FALSE)),"")</f>
        <v>0</v>
      </c>
      <c r="AC1648" s="33"/>
      <c r="AD1648" s="189"/>
      <c r="AE1648" s="54"/>
      <c r="AF1648" s="55">
        <f>+M1648*N1648*O1648/1000</f>
        <v>12000</v>
      </c>
      <c r="AG1648" s="43"/>
      <c r="AH1648" s="47"/>
      <c r="AI1648" s="30"/>
      <c r="AJ1648" s="30"/>
      <c r="AK1648" s="30"/>
      <c r="AL1648" s="30"/>
      <c r="AM1648" s="13"/>
      <c r="AN1648" s="13"/>
      <c r="AO1648" s="13"/>
      <c r="AP1648" s="13"/>
      <c r="AQ1648" s="13"/>
      <c r="AR1648" s="14"/>
      <c r="AS1648" s="15"/>
    </row>
    <row r="1649" spans="1:45" s="17" customFormat="1" ht="30.6" hidden="1" customHeight="1" x14ac:dyDescent="0.2">
      <c r="A1649" s="37"/>
      <c r="B1649" s="38"/>
      <c r="C1649" s="45"/>
      <c r="D1649" s="31"/>
      <c r="E1649" s="31"/>
      <c r="F1649" s="268"/>
      <c r="G1649" s="269"/>
      <c r="H1649" s="269"/>
      <c r="I1649" s="270"/>
      <c r="J1649" s="210"/>
      <c r="K1649" s="270"/>
      <c r="L1649" s="270"/>
      <c r="M1649" s="39"/>
      <c r="N1649" s="39"/>
      <c r="O1649" s="156"/>
      <c r="P1649" s="47"/>
      <c r="Q1649" s="57"/>
      <c r="R1649" s="338"/>
      <c r="S1649" s="272"/>
      <c r="T1649" s="273"/>
      <c r="U1649" s="40"/>
      <c r="V1649" s="277"/>
      <c r="W1649" s="269"/>
      <c r="X1649" s="269"/>
      <c r="Y1649" s="275"/>
      <c r="Z1649" s="269"/>
      <c r="AA1649" s="57"/>
      <c r="AB1649" s="207"/>
      <c r="AC1649" s="33"/>
      <c r="AD1649" s="189"/>
      <c r="AE1649" s="54"/>
      <c r="AF1649" s="55"/>
      <c r="AG1649" s="43"/>
      <c r="AH1649" s="47"/>
      <c r="AI1649" s="30"/>
      <c r="AJ1649" s="30"/>
      <c r="AK1649" s="30"/>
      <c r="AL1649" s="30"/>
      <c r="AM1649" s="13"/>
      <c r="AN1649" s="13"/>
      <c r="AO1649" s="13"/>
      <c r="AP1649" s="13"/>
      <c r="AQ1649" s="13"/>
      <c r="AR1649" s="14"/>
      <c r="AS1649" s="15"/>
    </row>
    <row r="1650" spans="1:45" s="17" customFormat="1" ht="30.6" hidden="1" customHeight="1" x14ac:dyDescent="0.2">
      <c r="A1650" s="37" t="s">
        <v>2274</v>
      </c>
      <c r="B1650" s="38" t="s">
        <v>2275</v>
      </c>
      <c r="C1650" s="45"/>
      <c r="D1650" s="31">
        <v>3744892</v>
      </c>
      <c r="E1650" s="31">
        <v>4162225</v>
      </c>
      <c r="F1650" s="268" t="str">
        <f>IF(D1650="","",VLOOKUP(D1650,契約台帳!$A$3:$K$4986,6,FALSE)&amp;VLOOKUP(D1650,契約台帳!$A$3:$K$4986,7,FALSE)&amp;VLOOKUP(D1650,契約台帳!$A$3:$K$4986,8,FALSE)&amp;VLOOKUP(D1650,契約台帳!$A$3:$K$4986,9,FALSE)&amp;VLOOKUP(D1650,契約台帳!$A$3:$K$4986,11,FALSE))</f>
        <v>3SNMCLBMSNEYK</v>
      </c>
      <c r="G1650" s="269" t="str">
        <f>IF(D1650="","",VLOOKUP(F1650,製品マスタ!$G$5:$H$5002,2,FALSE))</f>
        <v>S</v>
      </c>
      <c r="H1650" s="269" t="str">
        <f>IF(D1650="","",VLOOKUP(F1650,製品マスタ!$G$5:$K$5002,5,FALSE))</f>
        <v>MSNEYK</v>
      </c>
      <c r="I1650" s="270" t="str">
        <f>IF(D1650="","",VLOOKUP(F1650,製品マスタ!$G$5:$L$5002,6,FALSE))</f>
        <v>ＭＳＮ　ＥＹＫ</v>
      </c>
      <c r="J1650" s="210" t="s">
        <v>935</v>
      </c>
      <c r="K1650" s="270">
        <f>IF(D1650="","",VLOOKUP(D1650,契約台帳!$A$3:$L$4986,12,FALSE))</f>
        <v>50</v>
      </c>
      <c r="L1650" s="270" t="str">
        <f>IF(D1650="","",INDEX(製品マスタ!$Q$5:$Q$5002,MATCH('S4'!F1650&amp;'S4'!K1650,製品マスタ!$AO$5:$AO$5002,0)))</f>
        <v>N-MAT</v>
      </c>
      <c r="M1650" s="39">
        <v>1200</v>
      </c>
      <c r="N1650" s="39">
        <v>6000</v>
      </c>
      <c r="O1650" s="156">
        <v>8</v>
      </c>
      <c r="P1650" s="47">
        <v>2</v>
      </c>
      <c r="Q1650" s="213">
        <v>45352</v>
      </c>
      <c r="R1650" s="271">
        <f ca="1">IF(D1650="","",IF(OFFSET(D1650,-1,0)&lt;&gt;"","",IF(OR(J1650="リード付け",J1650="巻足し",J1650="巻返しリード付け"),M1650,VLOOKUP(D1650,契約台帳!$A$3:$N$4986,14,FALSE))))</f>
        <v>1200</v>
      </c>
      <c r="S1650" s="272">
        <f ca="1">IF(D1650="","",IF(OFFSET(D1650,-1,0)&lt;&gt;"","",IF(OR(J1650="リード付け",J1650="巻足し",J1650="巻返しリード付け"),M1650,VLOOKUP(D1650,契約台帳!$A$3:$O$4986,15,FALSE))))</f>
        <v>1200</v>
      </c>
      <c r="T1650" s="273">
        <f ca="1">IF(D1650="","",IF(J1650="リード付け",N1650,IF(J1650="巻返しリード付け",N1650,IF(J1650="巻足し",N1650*P1650+OFFSET(N1650,1,0)*OFFSET(P1650,1,0),VLOOKUP(D1650,契約台帳!$A$3:$P$4986,16,FALSE)))))</f>
        <v>12000</v>
      </c>
      <c r="U1650" s="40">
        <v>4</v>
      </c>
      <c r="V1650" s="274">
        <f ca="1">IF(D1650="","",IF(OFFSET(D1650,-2,0)=D1650,"",VLOOKUP(D1650,契約台帳!$A$3:$R$4986,18,FALSE)))</f>
        <v>8</v>
      </c>
      <c r="W1650" s="269" t="str">
        <f ca="1">IF(D1650="","",IF(T1650="","",IF(OR(J1650="巻足し",J1650="巻返しリード付け"),"",IF(J1650="巻返し",VLOOKUP(F1650&amp;K1650&amp;M1650,製品マスタ!$M$5:$AD$5002,18,FALSE),IF(OR(J1650="リード付け",J1650="巻返しリード付け"),"原反コア",IF(J1650="スリット",VLOOKUP(F1650&amp;K1650&amp;R1650,製品マスタ!$N$5:$AD$5002,17,FALSE),""))))))</f>
        <v/>
      </c>
      <c r="X1650" s="269" t="str">
        <f ca="1">IF(D1650="","",IF(T1650="","",IF(J1650="巻足し","",IF(J1650="巻返し",VLOOKUP(F1650&amp;K1650&amp;M1650,製品マスタ!$M$5:$AE$5002,19,FALSE),IF(OR(J1650="リード付け",J1650="巻返しリード付け"),"",IF(J1650="スリット",VLOOKUP(F1650&amp;K1650&amp;R1650,製品マスタ!$N$5:$AE$5002,18,FALSE),""))))))</f>
        <v/>
      </c>
      <c r="Y1650" s="275">
        <f ca="1">IF(D1650="","",IF(T1650="","",VLOOKUP(D1650,契約台帳!$A$3:$Q$4986,17,FALSE)))</f>
        <v>2</v>
      </c>
      <c r="Z1650" s="269" t="str">
        <f ca="1">IF(D1650="","",IF(T1650="","",VLOOKUP(D1650,契約台帳!$A$3:$E$4986,5,FALSE)))</f>
        <v>大阪シーリング印刷㈱</v>
      </c>
      <c r="AA1650" s="57"/>
      <c r="AB1650" s="207" t="str">
        <f>IFERROR((VLOOKUP(F1650&amp;K1650&amp;M1650,製品マスタ!$M$5:$AM$5002,27,FALSE)),"")</f>
        <v>原反ケース再利用</v>
      </c>
      <c r="AC1650" s="33"/>
      <c r="AD1650" s="189"/>
      <c r="AE1650" s="54"/>
      <c r="AF1650" s="55">
        <f>+M1650*N1650*O1650/1000</f>
        <v>57600</v>
      </c>
      <c r="AG1650" s="43"/>
      <c r="AH1650" s="47"/>
      <c r="AI1650" s="30"/>
      <c r="AJ1650" s="30"/>
      <c r="AK1650" s="30"/>
      <c r="AL1650" s="30"/>
      <c r="AM1650" s="13"/>
      <c r="AN1650" s="13"/>
      <c r="AO1650" s="13"/>
      <c r="AP1650" s="13"/>
      <c r="AQ1650" s="13"/>
      <c r="AR1650" s="14"/>
      <c r="AS1650" s="15"/>
    </row>
    <row r="1651" spans="1:45" s="17" customFormat="1" ht="30.95" hidden="1" customHeight="1" x14ac:dyDescent="0.2">
      <c r="A1651" s="37"/>
      <c r="B1651" s="38"/>
      <c r="C1651" s="45"/>
      <c r="D1651" s="31"/>
      <c r="E1651" s="31"/>
      <c r="F1651" s="268"/>
      <c r="G1651" s="269"/>
      <c r="H1651" s="269"/>
      <c r="I1651" s="270"/>
      <c r="J1651" s="210"/>
      <c r="K1651" s="270"/>
      <c r="L1651" s="270"/>
      <c r="M1651" s="39"/>
      <c r="N1651" s="39"/>
      <c r="O1651" s="156"/>
      <c r="P1651" s="47"/>
      <c r="Q1651" s="57"/>
      <c r="R1651" s="338"/>
      <c r="S1651" s="272"/>
      <c r="T1651" s="273"/>
      <c r="U1651" s="40"/>
      <c r="V1651" s="277"/>
      <c r="W1651" s="269"/>
      <c r="X1651" s="269"/>
      <c r="Y1651" s="275"/>
      <c r="Z1651" s="269"/>
      <c r="AA1651" s="57"/>
      <c r="AB1651" s="207"/>
      <c r="AC1651" s="33"/>
      <c r="AD1651" s="189"/>
      <c r="AE1651" s="54"/>
      <c r="AF1651" s="55"/>
      <c r="AG1651" s="43"/>
      <c r="AH1651" s="47"/>
      <c r="AI1651" s="30"/>
      <c r="AJ1651" s="30"/>
      <c r="AK1651" s="30"/>
      <c r="AL1651" s="30"/>
      <c r="AM1651" s="13"/>
      <c r="AN1651" s="13"/>
      <c r="AO1651" s="13"/>
      <c r="AP1651" s="13"/>
      <c r="AQ1651" s="13"/>
      <c r="AR1651" s="14"/>
      <c r="AS1651" s="15"/>
    </row>
    <row r="1652" spans="1:45" s="17" customFormat="1" ht="30.6" hidden="1" customHeight="1" x14ac:dyDescent="0.2">
      <c r="A1652" s="37"/>
      <c r="B1652" s="38"/>
      <c r="C1652" s="45"/>
      <c r="D1652" s="31">
        <v>3746133</v>
      </c>
      <c r="E1652" s="31">
        <v>4162246</v>
      </c>
      <c r="F1652" s="268" t="str">
        <f>IF(D1652="","",VLOOKUP(D1652,契約台帳!$A$3:$K$4986,6,FALSE)&amp;VLOOKUP(D1652,契約台帳!$A$3:$K$4986,7,FALSE)&amp;VLOOKUP(D1652,契約台帳!$A$3:$K$4986,8,FALSE)&amp;VLOOKUP(D1652,契約台帳!$A$3:$K$4986,9,FALSE)&amp;VLOOKUP(D1652,契約台帳!$A$3:$K$4986,11,FALSE))</f>
        <v>3XSNMCLBEYK</v>
      </c>
      <c r="G1652" s="269" t="str">
        <f>IF(D1652="","",VLOOKUP(F1652,製品マスタ!$G$5:$H$5002,2,FALSE))</f>
        <v>S</v>
      </c>
      <c r="H1652" s="269" t="str">
        <f>IF(D1652="","",VLOOKUP(F1652,製品マスタ!$G$5:$K$5002,5,FALSE))</f>
        <v>EYK</v>
      </c>
      <c r="I1652" s="270" t="str">
        <f>IF(D1652="","",VLOOKUP(F1652,製品マスタ!$G$5:$L$5002,6,FALSE))</f>
        <v>メタルミー　ＥＹＫ</v>
      </c>
      <c r="J1652" s="210" t="s">
        <v>935</v>
      </c>
      <c r="K1652" s="270">
        <f>IF(D1652="","",VLOOKUP(D1652,契約台帳!$A$3:$L$4986,12,FALSE))</f>
        <v>50</v>
      </c>
      <c r="L1652" s="270" t="str">
        <f>IF(D1652="","",INDEX(製品マスタ!$Q$5:$Q$5002,MATCH('S4'!F1652&amp;'S4'!K1652,製品マスタ!$AO$5:$AO$5002,0)))</f>
        <v>T62M</v>
      </c>
      <c r="M1652" s="39">
        <v>1195</v>
      </c>
      <c r="N1652" s="39">
        <v>6100</v>
      </c>
      <c r="O1652" s="156">
        <v>2</v>
      </c>
      <c r="P1652" s="47">
        <v>2</v>
      </c>
      <c r="Q1652" s="213">
        <v>45355</v>
      </c>
      <c r="R1652" s="271">
        <f ca="1">IF(D1652="","",IF(OFFSET(D1652,-1,0)&lt;&gt;"","",IF(OR(J1652="リード付け",J1652="巻足し",J1652="巻返しリード付け"),M1652,VLOOKUP(D1652,契約台帳!$A$3:$N$4986,14,FALSE))))</f>
        <v>1195</v>
      </c>
      <c r="S1652" s="272">
        <f ca="1">IF(D1652="","",IF(OFFSET(D1652,-1,0)&lt;&gt;"","",IF(OR(J1652="リード付け",J1652="巻足し",J1652="巻返しリード付け"),M1652,VLOOKUP(D1652,契約台帳!$A$3:$O$4986,15,FALSE))))</f>
        <v>1195</v>
      </c>
      <c r="T1652" s="273">
        <f ca="1">IF(D1652="","",IF(J1652="リード付け",N1652,IF(J1652="巻返しリード付け",N1652,IF(J1652="巻足し",N1652*P1652+OFFSET(N1652,1,0)*OFFSET(P1652,1,0),VLOOKUP(D1652,契約台帳!$A$3:$P$4986,16,FALSE)))))</f>
        <v>12200</v>
      </c>
      <c r="U1652" s="40">
        <v>1</v>
      </c>
      <c r="V1652" s="274">
        <f ca="1">IF(D1652="","",IF(OFFSET(D1652,-2,0)=D1652,"",VLOOKUP(D1652,契約台帳!$A$3:$R$4986,18,FALSE)))</f>
        <v>2</v>
      </c>
      <c r="W1652" s="269" t="str">
        <f ca="1">IF(D1652="","",IF(T1652="","",IF(OR(J1652="巻足し",J1652="巻返しリード付け"),"",IF(J1652="巻返し",VLOOKUP(F1652&amp;K1652&amp;M1652,製品マスタ!$M$5:$AD$5002,18,FALSE),IF(OR(J1652="リード付け",J1652="巻返しリード付け"),"原反コア",IF(J1652="スリット",VLOOKUP(F1652&amp;K1652&amp;R1652,製品マスタ!$N$5:$AD$5002,17,FALSE),""))))))</f>
        <v/>
      </c>
      <c r="X1652" s="269" t="str">
        <f ca="1">IF(D1652="","",IF(T1652="","",IF(J1652="巻足し","",IF(J1652="巻返し",VLOOKUP(F1652&amp;K1652&amp;M1652,製品マスタ!$M$5:$AE$5002,19,FALSE),IF(OR(J1652="リード付け",J1652="巻返しリード付け"),"",IF(J1652="スリット",VLOOKUP(F1652&amp;K1652&amp;R1652,製品マスタ!$N$5:$AE$5002,18,FALSE),""))))))</f>
        <v/>
      </c>
      <c r="Y1652" s="275">
        <f ca="1">IF(D1652="","",IF(T1652="","",VLOOKUP(D1652,契約台帳!$A$3:$Q$4986,17,FALSE)))</f>
        <v>2</v>
      </c>
      <c r="Z1652" s="269" t="str">
        <f ca="1">IF(D1652="","",IF(T1652="","",VLOOKUP(D1652,契約台帳!$A$3:$E$4986,5,FALSE)))</f>
        <v>新タック化成㈱</v>
      </c>
      <c r="AA1652" s="57"/>
      <c r="AB1652" s="207" t="str">
        <f>IFERROR((VLOOKUP(F1652&amp;K1652&amp;M1652,製品マスタ!$M$5:$AM$5002,27,FALSE)),"")</f>
        <v>原反ケース再利用</v>
      </c>
      <c r="AC1652" s="33"/>
      <c r="AD1652" s="189"/>
      <c r="AE1652" s="54"/>
      <c r="AF1652" s="55">
        <f>+M1652*N1652*O1652/1000</f>
        <v>14579</v>
      </c>
      <c r="AG1652" s="43"/>
      <c r="AH1652" s="47"/>
      <c r="AI1652" s="30"/>
      <c r="AJ1652" s="30"/>
      <c r="AK1652" s="30"/>
      <c r="AL1652" s="30"/>
      <c r="AM1652" s="13"/>
      <c r="AN1652" s="13"/>
      <c r="AO1652" s="13"/>
      <c r="AP1652" s="13"/>
      <c r="AQ1652" s="13"/>
      <c r="AR1652" s="14"/>
      <c r="AS1652" s="15"/>
    </row>
    <row r="1653" spans="1:45" s="17" customFormat="1" ht="30.95" hidden="1" customHeight="1" x14ac:dyDescent="0.2">
      <c r="A1653" s="37"/>
      <c r="B1653" s="38"/>
      <c r="C1653" s="45"/>
      <c r="D1653" s="31"/>
      <c r="E1653" s="31"/>
      <c r="F1653" s="268"/>
      <c r="G1653" s="269"/>
      <c r="H1653" s="269"/>
      <c r="I1653" s="270"/>
      <c r="J1653" s="210"/>
      <c r="K1653" s="270"/>
      <c r="L1653" s="270"/>
      <c r="M1653" s="39"/>
      <c r="N1653" s="39"/>
      <c r="O1653" s="156"/>
      <c r="P1653" s="47"/>
      <c r="Q1653" s="57"/>
      <c r="R1653" s="338"/>
      <c r="S1653" s="272"/>
      <c r="T1653" s="273"/>
      <c r="U1653" s="40"/>
      <c r="V1653" s="277"/>
      <c r="W1653" s="269"/>
      <c r="X1653" s="269"/>
      <c r="Y1653" s="275"/>
      <c r="Z1653" s="269"/>
      <c r="AA1653" s="57"/>
      <c r="AB1653" s="207"/>
      <c r="AC1653" s="33"/>
      <c r="AD1653" s="189"/>
      <c r="AE1653" s="54"/>
      <c r="AF1653" s="55"/>
      <c r="AG1653" s="43"/>
      <c r="AH1653" s="47"/>
      <c r="AI1653" s="30"/>
      <c r="AJ1653" s="30"/>
      <c r="AK1653" s="30"/>
      <c r="AL1653" s="30"/>
      <c r="AM1653" s="13"/>
      <c r="AN1653" s="13"/>
      <c r="AO1653" s="13"/>
      <c r="AP1653" s="13"/>
      <c r="AQ1653" s="13"/>
      <c r="AR1653" s="14"/>
      <c r="AS1653" s="15"/>
    </row>
    <row r="1654" spans="1:45" s="17" customFormat="1" ht="30" hidden="1" customHeight="1" x14ac:dyDescent="0.2">
      <c r="A1654" s="37"/>
      <c r="B1654" s="38"/>
      <c r="C1654" s="45"/>
      <c r="D1654" s="31">
        <v>3744891</v>
      </c>
      <c r="E1654" s="31">
        <v>4162243</v>
      </c>
      <c r="F1654" s="268" t="str">
        <f>IF(D1654="","",VLOOKUP(D1654,契約台帳!$A$3:$K$4986,6,FALSE)&amp;VLOOKUP(D1654,契約台帳!$A$3:$K$4986,7,FALSE)&amp;VLOOKUP(D1654,契約台帳!$A$3:$K$4986,8,FALSE)&amp;VLOOKUP(D1654,契約台帳!$A$3:$K$4986,9,FALSE)&amp;VLOOKUP(D1654,契約台帳!$A$3:$K$4986,11,FALSE))</f>
        <v>3SYMLBMSSMBF</v>
      </c>
      <c r="G1654" s="269" t="str">
        <f>IF(D1654="","",VLOOKUP(F1654,製品マスタ!$G$5:$H$5002,2,FALSE))</f>
        <v>S</v>
      </c>
      <c r="H1654" s="269" t="str">
        <f>IF(D1654="","",VLOOKUP(F1654,製品マスタ!$G$5:$K$5002,5,FALSE))</f>
        <v>MSSMBF</v>
      </c>
      <c r="I1654" s="270" t="str">
        <f>IF(D1654="","",VLOOKUP(F1654,製品マスタ!$G$5:$L$5002,6,FALSE))</f>
        <v>ＭＥＴＡＬＵＭＹ　ＳＩＬＶＥＲ　Ｓ－ＭＡＴＴＥ　Ｓ２８ＭＭ　Ｂ</v>
      </c>
      <c r="J1654" s="210" t="s">
        <v>935</v>
      </c>
      <c r="K1654" s="270">
        <f>IF(D1654="","",VLOOKUP(D1654,契約台帳!$A$3:$L$4986,12,FALSE))</f>
        <v>50</v>
      </c>
      <c r="L1654" s="270" t="e">
        <f>IF(D1654="","",INDEX(製品マスタ!$Q$5:$Q$5002,MATCH('S4'!F1654&amp;'S4'!K1654,製品マスタ!$AO$5:$AO$5002,0)))</f>
        <v>#N/A</v>
      </c>
      <c r="M1654" s="39">
        <v>1120</v>
      </c>
      <c r="N1654" s="39">
        <v>4000</v>
      </c>
      <c r="O1654" s="156">
        <v>6</v>
      </c>
      <c r="P1654" s="47">
        <v>3</v>
      </c>
      <c r="Q1654" s="213">
        <v>45355</v>
      </c>
      <c r="R1654" s="271">
        <f ca="1">IF(D1654="","",IF(OFFSET(D1654,-1,0)&lt;&gt;"","",IF(OR(J1654="リード付け",J1654="巻足し",J1654="巻返しリード付け"),M1654,VLOOKUP(D1654,契約台帳!$A$3:$N$4986,14,FALSE))))</f>
        <v>1120</v>
      </c>
      <c r="S1654" s="272">
        <f ca="1">IF(D1654="","",IF(OFFSET(D1654,-1,0)&lt;&gt;"","",IF(OR(J1654="リード付け",J1654="巻足し",J1654="巻返しリード付け"),M1654,VLOOKUP(D1654,契約台帳!$A$3:$O$4986,15,FALSE))))</f>
        <v>1120</v>
      </c>
      <c r="T1654" s="273">
        <f ca="1">IF(D1654="","",IF(J1654="リード付け",N1654,IF(J1654="巻返しリード付け",N1654,IF(J1654="巻足し",N1654*P1654+OFFSET(N1654,1,0)*OFFSET(P1654,1,0),VLOOKUP(D1654,契約台帳!$A$3:$P$4986,16,FALSE)))))</f>
        <v>12000</v>
      </c>
      <c r="U1654" s="40">
        <v>2</v>
      </c>
      <c r="V1654" s="274">
        <f ca="1">IF(D1654="","",IF(OFFSET(D1654,-2,0)=D1654,"",VLOOKUP(D1654,契約台帳!$A$3:$R$4986,18,FALSE)))</f>
        <v>8</v>
      </c>
      <c r="W1654" s="269" t="str">
        <f ca="1">IF(D1654="","",IF(T1654="","",IF(OR(J1654="巻足し",J1654="巻返しリード付け"),"",IF(J1654="巻返し",VLOOKUP(F1654&amp;K1654&amp;M1654,製品マスタ!$M$5:$AD$5002,18,FALSE),IF(OR(J1654="リード付け",J1654="巻返しリード付け"),"原反コア",IF(J1654="スリット",VLOOKUP(F1654&amp;K1654&amp;R1654,製品マスタ!$N$5:$AD$5002,17,FALSE),""))))))</f>
        <v/>
      </c>
      <c r="X1654" s="269" t="str">
        <f ca="1">IF(D1654="","",IF(T1654="","",IF(J1654="巻足し","",IF(J1654="巻返し",VLOOKUP(F1654&amp;K1654&amp;M1654,製品マスタ!$M$5:$AE$5002,19,FALSE),IF(OR(J1654="リード付け",J1654="巻返しリード付け"),"",IF(J1654="スリット",VLOOKUP(F1654&amp;K1654&amp;R1654,製品マスタ!$N$5:$AE$5002,18,FALSE),""))))))</f>
        <v/>
      </c>
      <c r="Y1654" s="275">
        <f ca="1">IF(D1654="","",IF(T1654="","",VLOOKUP(D1654,契約台帳!$A$3:$Q$4986,17,FALSE)))</f>
        <v>2</v>
      </c>
      <c r="Z1654" s="269" t="str">
        <f ca="1">IF(D1654="","",IF(T1654="","",VLOOKUP(D1654,契約台帳!$A$3:$E$4986,5,FALSE)))</f>
        <v>リンテック㈱</v>
      </c>
      <c r="AA1654" s="57"/>
      <c r="AB1654" s="207" t="str">
        <f>IFERROR((VLOOKUP(F1654&amp;K1654&amp;M1654,製品マスタ!$M$5:$AM$5002,27,FALSE)),"")</f>
        <v/>
      </c>
      <c r="AC1654" s="33"/>
      <c r="AD1654" s="189"/>
      <c r="AE1654" s="54"/>
      <c r="AF1654" s="55">
        <f>+M1654*N1654*O1654/1000</f>
        <v>26880</v>
      </c>
      <c r="AG1654" s="43"/>
      <c r="AH1654" s="47"/>
      <c r="AI1654" s="30"/>
      <c r="AJ1654" s="30"/>
      <c r="AK1654" s="30"/>
      <c r="AL1654" s="30"/>
      <c r="AM1654" s="13"/>
      <c r="AN1654" s="13"/>
      <c r="AO1654" s="13"/>
      <c r="AP1654" s="13"/>
      <c r="AQ1654" s="13"/>
      <c r="AR1654" s="14"/>
      <c r="AS1654" s="15"/>
    </row>
    <row r="1655" spans="1:45" s="17" customFormat="1" ht="30.95" hidden="1" customHeight="1" x14ac:dyDescent="0.2">
      <c r="A1655" s="37"/>
      <c r="B1655" s="38"/>
      <c r="C1655" s="45"/>
      <c r="D1655" s="31"/>
      <c r="E1655" s="31"/>
      <c r="F1655" s="268"/>
      <c r="G1655" s="269"/>
      <c r="H1655" s="269"/>
      <c r="I1655" s="270"/>
      <c r="J1655" s="210"/>
      <c r="K1655" s="270"/>
      <c r="L1655" s="270"/>
      <c r="M1655" s="39"/>
      <c r="N1655" s="39"/>
      <c r="O1655" s="156"/>
      <c r="P1655" s="47"/>
      <c r="Q1655" s="57"/>
      <c r="R1655" s="338"/>
      <c r="S1655" s="272"/>
      <c r="T1655" s="273"/>
      <c r="U1655" s="40"/>
      <c r="V1655" s="277"/>
      <c r="W1655" s="269"/>
      <c r="X1655" s="269"/>
      <c r="Y1655" s="275"/>
      <c r="Z1655" s="269"/>
      <c r="AA1655" s="57"/>
      <c r="AB1655" s="207"/>
      <c r="AC1655" s="33"/>
      <c r="AD1655" s="189"/>
      <c r="AE1655" s="54"/>
      <c r="AF1655" s="55"/>
      <c r="AG1655" s="43"/>
      <c r="AH1655" s="47"/>
      <c r="AI1655" s="30"/>
      <c r="AJ1655" s="30"/>
      <c r="AK1655" s="30"/>
      <c r="AL1655" s="30"/>
      <c r="AM1655" s="13"/>
      <c r="AN1655" s="13"/>
      <c r="AO1655" s="13"/>
      <c r="AP1655" s="13"/>
      <c r="AQ1655" s="13"/>
      <c r="AR1655" s="14"/>
      <c r="AS1655" s="15"/>
    </row>
    <row r="1656" spans="1:45" s="17" customFormat="1" ht="30" hidden="1" customHeight="1" x14ac:dyDescent="0.2">
      <c r="A1656" s="37" t="s">
        <v>2276</v>
      </c>
      <c r="B1656" s="38" t="s">
        <v>2277</v>
      </c>
      <c r="C1656" s="45"/>
      <c r="D1656" s="31">
        <v>3744891</v>
      </c>
      <c r="E1656" s="31">
        <v>4162243</v>
      </c>
      <c r="F1656" s="268" t="str">
        <f>IF(D1656="","",VLOOKUP(D1656,契約台帳!$A$3:$K$4986,6,FALSE)&amp;VLOOKUP(D1656,契約台帳!$A$3:$K$4986,7,FALSE)&amp;VLOOKUP(D1656,契約台帳!$A$3:$K$4986,8,FALSE)&amp;VLOOKUP(D1656,契約台帳!$A$3:$K$4986,9,FALSE)&amp;VLOOKUP(D1656,契約台帳!$A$3:$K$4986,11,FALSE))</f>
        <v>3SYMLBMSSMBF</v>
      </c>
      <c r="G1656" s="269" t="str">
        <f>IF(D1656="","",VLOOKUP(F1656,製品マスタ!$G$5:$H$5002,2,FALSE))</f>
        <v>S</v>
      </c>
      <c r="H1656" s="269" t="str">
        <f>IF(D1656="","",VLOOKUP(F1656,製品マスタ!$G$5:$K$5002,5,FALSE))</f>
        <v>MSSMBF</v>
      </c>
      <c r="I1656" s="270" t="str">
        <f>IF(D1656="","",VLOOKUP(F1656,製品マスタ!$G$5:$L$5002,6,FALSE))</f>
        <v>ＭＥＴＡＬＵＭＹ　ＳＩＬＶＥＲ　Ｓ－ＭＡＴＴＥ　Ｓ２８ＭＭ　Ｂ</v>
      </c>
      <c r="J1656" s="210" t="s">
        <v>935</v>
      </c>
      <c r="K1656" s="270">
        <f>IF(D1656="","",VLOOKUP(D1656,契約台帳!$A$3:$L$4986,12,FALSE))</f>
        <v>50</v>
      </c>
      <c r="L1656" s="270" t="e">
        <f>IF(D1656="","",INDEX(製品マスタ!$Q$5:$Q$5002,MATCH('S4'!F1656&amp;'S4'!K1656,製品マスタ!$AO$5:$AO$5002,0)))</f>
        <v>#N/A</v>
      </c>
      <c r="M1656" s="39">
        <v>1120</v>
      </c>
      <c r="N1656" s="39">
        <v>4000</v>
      </c>
      <c r="O1656" s="156">
        <v>2</v>
      </c>
      <c r="P1656" s="47">
        <v>2</v>
      </c>
      <c r="Q1656" s="213">
        <v>45355</v>
      </c>
      <c r="R1656" s="271">
        <f ca="1">IF(D1656="","",IF(OFFSET(D1656,-1,0)&lt;&gt;"","",IF(OR(J1656="リード付け",J1656="巻足し",J1656="巻返しリード付け"),M1656,VLOOKUP(D1656,契約台帳!$A$3:$N$4986,14,FALSE))))</f>
        <v>1120</v>
      </c>
      <c r="S1656" s="272">
        <f ca="1">IF(D1656="","",IF(OFFSET(D1656,-1,0)&lt;&gt;"","",IF(OR(J1656="リード付け",J1656="巻足し",J1656="巻返しリード付け"),M1656,VLOOKUP(D1656,契約台帳!$A$3:$O$4986,15,FALSE))))</f>
        <v>1120</v>
      </c>
      <c r="T1656" s="273">
        <f ca="1">IF(D1656="","",IF(J1656="リード付け",N1656,IF(J1656="巻返しリード付け",N1656,IF(J1656="巻足し",N1656*P1656+OFFSET(N1656,1,0)*OFFSET(P1656,1,0),VLOOKUP(D1656,契約台帳!$A$3:$P$4986,16,FALSE)))))</f>
        <v>8000</v>
      </c>
      <c r="U1656" s="40">
        <v>1</v>
      </c>
      <c r="V1656" s="274" t="str">
        <f ca="1">IF(D1656="","",IF(OFFSET(D1656,-2,0)=D1656,"",VLOOKUP(D1656,契約台帳!$A$3:$R$4986,18,FALSE)))</f>
        <v/>
      </c>
      <c r="W1656" s="269" t="str">
        <f ca="1">IF(D1656="","",IF(T1656="","",IF(OR(J1656="巻足し",J1656="巻返しリード付け"),"",IF(J1656="巻返し",VLOOKUP(F1656&amp;K1656&amp;M1656,製品マスタ!$M$5:$AD$5002,18,FALSE),IF(OR(J1656="リード付け",J1656="巻返しリード付け"),"原反コア",IF(J1656="スリット",VLOOKUP(F1656&amp;K1656&amp;R1656,製品マスタ!$N$5:$AD$5002,17,FALSE),""))))))</f>
        <v/>
      </c>
      <c r="X1656" s="269" t="str">
        <f ca="1">IF(D1656="","",IF(T1656="","",IF(J1656="巻足し","",IF(J1656="巻返し",VLOOKUP(F1656&amp;K1656&amp;M1656,製品マスタ!$M$5:$AE$5002,19,FALSE),IF(OR(J1656="リード付け",J1656="巻返しリード付け"),"",IF(J1656="スリット",VLOOKUP(F1656&amp;K1656&amp;R1656,製品マスタ!$N$5:$AE$5002,18,FALSE),""))))))</f>
        <v/>
      </c>
      <c r="Y1656" s="275">
        <f ca="1">IF(D1656="","",IF(T1656="","",VLOOKUP(D1656,契約台帳!$A$3:$Q$4986,17,FALSE)))</f>
        <v>2</v>
      </c>
      <c r="Z1656" s="269" t="str">
        <f ca="1">IF(D1656="","",IF(T1656="","",VLOOKUP(D1656,契約台帳!$A$3:$E$4986,5,FALSE)))</f>
        <v>リンテック㈱</v>
      </c>
      <c r="AA1656" s="57"/>
      <c r="AB1656" s="207" t="str">
        <f>IFERROR((VLOOKUP(F1656&amp;K1656&amp;M1656,製品マスタ!$M$5:$AM$5002,27,FALSE)),"")</f>
        <v/>
      </c>
      <c r="AC1656" s="33"/>
      <c r="AD1656" s="189"/>
      <c r="AE1656" s="54"/>
      <c r="AF1656" s="55">
        <f>+M1656*N1656*O1656/1000</f>
        <v>8960</v>
      </c>
      <c r="AG1656" s="43"/>
      <c r="AH1656" s="47"/>
      <c r="AI1656" s="30"/>
      <c r="AJ1656" s="30"/>
      <c r="AK1656" s="30"/>
      <c r="AL1656" s="30"/>
      <c r="AM1656" s="13"/>
      <c r="AN1656" s="13"/>
      <c r="AO1656" s="13"/>
      <c r="AP1656" s="13"/>
      <c r="AQ1656" s="13"/>
      <c r="AR1656" s="14"/>
      <c r="AS1656" s="15"/>
    </row>
    <row r="1657" spans="1:45" s="17" customFormat="1" ht="30.95" hidden="1" customHeight="1" x14ac:dyDescent="0.2">
      <c r="A1657" s="37"/>
      <c r="B1657" s="38"/>
      <c r="C1657" s="45"/>
      <c r="D1657" s="31"/>
      <c r="E1657" s="31"/>
      <c r="F1657" s="268"/>
      <c r="G1657" s="269"/>
      <c r="H1657" s="269"/>
      <c r="I1657" s="270"/>
      <c r="J1657" s="210"/>
      <c r="K1657" s="270"/>
      <c r="L1657" s="270"/>
      <c r="M1657" s="39"/>
      <c r="N1657" s="39"/>
      <c r="O1657" s="156"/>
      <c r="P1657" s="47"/>
      <c r="Q1657" s="57"/>
      <c r="R1657" s="338"/>
      <c r="S1657" s="272"/>
      <c r="T1657" s="273"/>
      <c r="U1657" s="40"/>
      <c r="V1657" s="277"/>
      <c r="W1657" s="269"/>
      <c r="X1657" s="269"/>
      <c r="Y1657" s="275"/>
      <c r="Z1657" s="269"/>
      <c r="AA1657" s="57"/>
      <c r="AB1657" s="207"/>
      <c r="AC1657" s="33"/>
      <c r="AD1657" s="189"/>
      <c r="AE1657" s="54"/>
      <c r="AF1657" s="55"/>
      <c r="AG1657" s="43"/>
      <c r="AH1657" s="47"/>
      <c r="AI1657" s="30"/>
      <c r="AJ1657" s="30"/>
      <c r="AK1657" s="30"/>
      <c r="AL1657" s="30"/>
      <c r="AM1657" s="13"/>
      <c r="AN1657" s="13"/>
      <c r="AO1657" s="13"/>
      <c r="AP1657" s="13"/>
      <c r="AQ1657" s="13"/>
      <c r="AR1657" s="14"/>
      <c r="AS1657" s="15"/>
    </row>
    <row r="1658" spans="1:45" s="17" customFormat="1" ht="30" hidden="1" customHeight="1" x14ac:dyDescent="0.2">
      <c r="A1658" s="37"/>
      <c r="B1658" s="38"/>
      <c r="C1658" s="45"/>
      <c r="D1658" s="31">
        <v>3745646</v>
      </c>
      <c r="E1658" s="31">
        <v>4162239</v>
      </c>
      <c r="F1658" s="268" t="str">
        <f>IF(D1658="","",VLOOKUP(D1658,契約台帳!$A$3:$K$4986,6,FALSE)&amp;VLOOKUP(D1658,契約台帳!$A$3:$K$4986,7,FALSE)&amp;VLOOKUP(D1658,契約台帳!$A$3:$K$4986,8,FALSE)&amp;VLOOKUP(D1658,契約台帳!$A$3:$K$4986,9,FALSE)&amp;VLOOKUP(D1658,契約台帳!$A$3:$K$4986,11,FALSE))</f>
        <v>3SYMLBMSSMBF</v>
      </c>
      <c r="G1658" s="269" t="str">
        <f>IF(D1658="","",VLOOKUP(F1658,製品マスタ!$G$5:$H$5002,2,FALSE))</f>
        <v>S</v>
      </c>
      <c r="H1658" s="269" t="str">
        <f>IF(D1658="","",VLOOKUP(F1658,製品マスタ!$G$5:$K$5002,5,FALSE))</f>
        <v>MSSMBF</v>
      </c>
      <c r="I1658" s="270" t="str">
        <f>IF(D1658="","",VLOOKUP(F1658,製品マスタ!$G$5:$L$5002,6,FALSE))</f>
        <v>ＭＥＴＡＬＵＭＹ　ＳＩＬＶＥＲ　Ｓ－ＭＡＴＴＥ　Ｓ２８ＭＭ　Ｂ</v>
      </c>
      <c r="J1658" s="210" t="s">
        <v>464</v>
      </c>
      <c r="K1658" s="270">
        <f>IF(D1658="","",VLOOKUP(D1658,契約台帳!$A$3:$L$4986,12,FALSE))</f>
        <v>25</v>
      </c>
      <c r="L1658" s="270" t="str">
        <f>IF(D1658="","",INDEX(製品マスタ!$Q$5:$Q$5002,MATCH('S4'!F1658&amp;'S4'!K1658,製品マスタ!$AO$5:$AO$5002,0)))</f>
        <v>LI-MAT</v>
      </c>
      <c r="M1658" s="39">
        <v>1120</v>
      </c>
      <c r="N1658" s="39">
        <v>8000</v>
      </c>
      <c r="O1658" s="156">
        <v>2</v>
      </c>
      <c r="P1658" s="47">
        <v>1</v>
      </c>
      <c r="Q1658" s="213">
        <v>45355</v>
      </c>
      <c r="R1658" s="271">
        <f ca="1">IF(D1658="","",IF(OFFSET(D1658,-1,0)&lt;&gt;"","",IF(OR(J1658="リード付け",J1658="巻足し",J1658="巻返しリード付け"),M1658,VLOOKUP(D1658,契約台帳!$A$3:$N$4986,14,FALSE))))</f>
        <v>1120</v>
      </c>
      <c r="S1658" s="272">
        <f ca="1">IF(D1658="","",IF(OFFSET(D1658,-1,0)&lt;&gt;"","",IF(OR(J1658="リード付け",J1658="巻足し",J1658="巻返しリード付け"),M1658,VLOOKUP(D1658,契約台帳!$A$3:$O$4986,15,FALSE))))</f>
        <v>1120</v>
      </c>
      <c r="T1658" s="273">
        <f ca="1">IF(D1658="","",IF(J1658="リード付け",N1658,IF(J1658="巻返しリード付け",N1658,IF(J1658="巻足し",N1658*P1658+OFFSET(N1658,1,0)*OFFSET(P1658,1,0),VLOOKUP(D1658,契約台帳!$A$3:$P$4986,16,FALSE)))))</f>
        <v>8000</v>
      </c>
      <c r="U1658" s="40">
        <v>2</v>
      </c>
      <c r="V1658" s="274">
        <f ca="1">IF(D1658="","",IF(OFFSET(D1658,-2,0)=D1658,"",VLOOKUP(D1658,契約台帳!$A$3:$R$4986,18,FALSE)))</f>
        <v>2</v>
      </c>
      <c r="W1658" s="269" t="str">
        <f ca="1">IF(D1658="","",IF(T1658="","",IF(OR(J1658="巻足し",J1658="巻返しリード付け"),"",IF(J1658="巻返し",VLOOKUP(F1658&amp;K1658&amp;M1658,製品マスタ!$M$5:$AD$5002,18,FALSE),IF(OR(J1658="リード付け",J1658="巻返しリード付け"),"原反コア",IF(J1658="スリット",VLOOKUP(F1658&amp;K1658&amp;R1658,製品マスタ!$N$5:$AD$5002,17,FALSE),""))))))</f>
        <v>原反コア</v>
      </c>
      <c r="X1658" s="269" t="str">
        <f ca="1">IF(D1658="","",IF(T1658="","",IF(J1658="巻足し","",IF(J1658="巻返し",VLOOKUP(F1658&amp;K1658&amp;M1658,製品マスタ!$M$5:$AE$5002,19,FALSE),IF(OR(J1658="リード付け",J1658="巻返しリード付け"),"",IF(J1658="スリット",VLOOKUP(F1658&amp;K1658&amp;R1658,製品マスタ!$N$5:$AE$5002,18,FALSE),""))))))</f>
        <v/>
      </c>
      <c r="Y1658" s="275">
        <f ca="1">IF(D1658="","",IF(T1658="","",VLOOKUP(D1658,契約台帳!$A$3:$Q$4986,17,FALSE)))</f>
        <v>2</v>
      </c>
      <c r="Z1658" s="269" t="str">
        <f ca="1">IF(D1658="","",IF(T1658="","",VLOOKUP(D1658,契約台帳!$A$3:$E$4986,5,FALSE)))</f>
        <v>リンテック㈱</v>
      </c>
      <c r="AA1658" s="57"/>
      <c r="AB1658" s="207">
        <f>IFERROR((VLOOKUP(F1658&amp;K1658&amp;M1658,製品マスタ!$M$5:$AM$5002,27,FALSE)),"")</f>
        <v>0</v>
      </c>
      <c r="AC1658" s="33"/>
      <c r="AD1658" s="189"/>
      <c r="AE1658" s="54"/>
      <c r="AF1658" s="55">
        <f>+M1658*N1658*O1658/1000</f>
        <v>17920</v>
      </c>
      <c r="AG1658" s="43"/>
      <c r="AH1658" s="47"/>
      <c r="AI1658" s="30"/>
      <c r="AJ1658" s="30"/>
      <c r="AK1658" s="30"/>
      <c r="AL1658" s="30"/>
      <c r="AM1658" s="13"/>
      <c r="AN1658" s="13"/>
      <c r="AO1658" s="13"/>
      <c r="AP1658" s="13"/>
      <c r="AQ1658" s="13"/>
      <c r="AR1658" s="14"/>
      <c r="AS1658" s="15"/>
    </row>
    <row r="1659" spans="1:45" s="17" customFormat="1" ht="30.95" hidden="1" customHeight="1" x14ac:dyDescent="0.2">
      <c r="A1659" s="37"/>
      <c r="B1659" s="38"/>
      <c r="C1659" s="45"/>
      <c r="D1659" s="31"/>
      <c r="E1659" s="31"/>
      <c r="F1659" s="268"/>
      <c r="G1659" s="269"/>
      <c r="H1659" s="269"/>
      <c r="I1659" s="270"/>
      <c r="J1659" s="210"/>
      <c r="K1659" s="270"/>
      <c r="L1659" s="270"/>
      <c r="M1659" s="39"/>
      <c r="N1659" s="39"/>
      <c r="O1659" s="156"/>
      <c r="P1659" s="47"/>
      <c r="Q1659" s="57"/>
      <c r="R1659" s="338"/>
      <c r="S1659" s="272"/>
      <c r="T1659" s="273"/>
      <c r="U1659" s="40"/>
      <c r="V1659" s="277"/>
      <c r="W1659" s="269"/>
      <c r="X1659" s="269"/>
      <c r="Y1659" s="275"/>
      <c r="Z1659" s="269"/>
      <c r="AA1659" s="57"/>
      <c r="AB1659" s="207"/>
      <c r="AC1659" s="33"/>
      <c r="AD1659" s="189"/>
      <c r="AE1659" s="54"/>
      <c r="AF1659" s="55"/>
      <c r="AG1659" s="43"/>
      <c r="AH1659" s="47"/>
      <c r="AI1659" s="30"/>
      <c r="AJ1659" s="30"/>
      <c r="AK1659" s="30"/>
      <c r="AL1659" s="30"/>
      <c r="AM1659" s="13"/>
      <c r="AN1659" s="13"/>
      <c r="AO1659" s="13"/>
      <c r="AP1659" s="13"/>
      <c r="AQ1659" s="13"/>
      <c r="AR1659" s="14"/>
      <c r="AS1659" s="15"/>
    </row>
    <row r="1660" spans="1:45" s="17" customFormat="1" ht="30.6" hidden="1" customHeight="1" x14ac:dyDescent="0.2">
      <c r="A1660" s="37"/>
      <c r="B1660" s="38"/>
      <c r="C1660" s="45"/>
      <c r="D1660" s="31">
        <v>3744890</v>
      </c>
      <c r="E1660" s="31">
        <v>4162236</v>
      </c>
      <c r="F1660" s="268" t="str">
        <f>IF(D1660="","",VLOOKUP(D1660,契約台帳!$A$3:$K$4986,6,FALSE)&amp;VLOOKUP(D1660,契約台帳!$A$3:$K$4986,7,FALSE)&amp;VLOOKUP(D1660,契約台帳!$A$3:$K$4986,8,FALSE)&amp;VLOOKUP(D1660,契約台帳!$A$3:$K$4986,9,FALSE)&amp;VLOOKUP(D1660,契約台帳!$A$3:$K$4986,11,FALSE))</f>
        <v>3SYMLBMSNMBF</v>
      </c>
      <c r="G1660" s="269" t="str">
        <f>IF(D1660="","",VLOOKUP(F1660,製品マスタ!$G$5:$H$5002,2,FALSE))</f>
        <v>S</v>
      </c>
      <c r="H1660" s="269" t="str">
        <f>IF(D1660="","",VLOOKUP(F1660,製品マスタ!$G$5:$K$5002,5,FALSE))</f>
        <v>MSNMBF</v>
      </c>
      <c r="I1660" s="270" t="str">
        <f>IF(D1660="","",VLOOKUP(F1660,製品マスタ!$G$5:$L$5002,6,FALSE))</f>
        <v>ＭＥＴＡＬＵＭＹ　ＳＩＬＶＥＲ　Ｎ－ＭＡＴＴＥ　Ｘ４４Ｍ　Ｂ</v>
      </c>
      <c r="J1660" s="210" t="s">
        <v>935</v>
      </c>
      <c r="K1660" s="270">
        <f>IF(D1660="","",VLOOKUP(D1660,契約台帳!$A$3:$L$4986,12,FALSE))</f>
        <v>50</v>
      </c>
      <c r="L1660" s="270" t="str">
        <f>IF(D1660="","",INDEX(製品マスタ!$Q$5:$Q$5002,MATCH('S4'!F1660&amp;'S4'!K1660,製品マスタ!$AO$5:$AO$5002,0)))</f>
        <v>X44</v>
      </c>
      <c r="M1660" s="39">
        <v>1120</v>
      </c>
      <c r="N1660" s="39">
        <v>4000</v>
      </c>
      <c r="O1660" s="156">
        <v>2</v>
      </c>
      <c r="P1660" s="47">
        <v>2</v>
      </c>
      <c r="Q1660" s="213">
        <v>45355</v>
      </c>
      <c r="R1660" s="271">
        <f ca="1">IF(D1660="","",IF(OFFSET(D1660,-1,0)&lt;&gt;"","",IF(OR(J1660="リード付け",J1660="巻足し",J1660="巻返しリード付け"),M1660,VLOOKUP(D1660,契約台帳!$A$3:$N$4986,14,FALSE))))</f>
        <v>1120</v>
      </c>
      <c r="S1660" s="272">
        <f ca="1">IF(D1660="","",IF(OFFSET(D1660,-1,0)&lt;&gt;"","",IF(OR(J1660="リード付け",J1660="巻足し",J1660="巻返しリード付け"),M1660,VLOOKUP(D1660,契約台帳!$A$3:$O$4986,15,FALSE))))</f>
        <v>1120</v>
      </c>
      <c r="T1660" s="273">
        <f ca="1">IF(D1660="","",IF(J1660="リード付け",N1660,IF(J1660="巻返しリード付け",N1660,IF(J1660="巻足し",N1660*P1660+OFFSET(N1660,1,0)*OFFSET(P1660,1,0),VLOOKUP(D1660,契約台帳!$A$3:$P$4986,16,FALSE)))))</f>
        <v>8000</v>
      </c>
      <c r="U1660" s="40">
        <v>1</v>
      </c>
      <c r="V1660" s="274">
        <f ca="1">IF(D1660="","",IF(OFFSET(D1660,-2,0)=D1660,"",VLOOKUP(D1660,契約台帳!$A$3:$R$4986,18,FALSE)))</f>
        <v>2</v>
      </c>
      <c r="W1660" s="269" t="str">
        <f ca="1">IF(D1660="","",IF(T1660="","",IF(OR(J1660="巻足し",J1660="巻返しリード付け"),"",IF(J1660="巻返し",VLOOKUP(F1660&amp;K1660&amp;M1660,製品マスタ!$M$5:$AD$5002,18,FALSE),IF(OR(J1660="リード付け",J1660="巻返しリード付け"),"原反コア",IF(J1660="スリット",VLOOKUP(F1660&amp;K1660&amp;R1660,製品マスタ!$N$5:$AD$5002,17,FALSE),""))))))</f>
        <v/>
      </c>
      <c r="X1660" s="269" t="str">
        <f ca="1">IF(D1660="","",IF(T1660="","",IF(J1660="巻足し","",IF(J1660="巻返し",VLOOKUP(F1660&amp;K1660&amp;M1660,製品マスタ!$M$5:$AE$5002,19,FALSE),IF(OR(J1660="リード付け",J1660="巻返しリード付け"),"",IF(J1660="スリット",VLOOKUP(F1660&amp;K1660&amp;R1660,製品マスタ!$N$5:$AE$5002,18,FALSE),""))))))</f>
        <v/>
      </c>
      <c r="Y1660" s="275">
        <f ca="1">IF(D1660="","",IF(T1660="","",VLOOKUP(D1660,契約台帳!$A$3:$Q$4986,17,FALSE)))</f>
        <v>2</v>
      </c>
      <c r="Z1660" s="269" t="str">
        <f ca="1">IF(D1660="","",IF(T1660="","",VLOOKUP(D1660,契約台帳!$A$3:$E$4986,5,FALSE)))</f>
        <v>リンテック㈱</v>
      </c>
      <c r="AA1660" s="57"/>
      <c r="AB1660" s="207">
        <f>IFERROR((VLOOKUP(F1660&amp;K1660&amp;M1660,製品マスタ!$M$5:$AM$5002,27,FALSE)),"")</f>
        <v>0</v>
      </c>
      <c r="AC1660" s="33"/>
      <c r="AD1660" s="189"/>
      <c r="AE1660" s="54"/>
      <c r="AF1660" s="55">
        <f>+M1660*N1660*O1660/1000</f>
        <v>8960</v>
      </c>
      <c r="AG1660" s="43"/>
      <c r="AH1660" s="47"/>
      <c r="AI1660" s="30"/>
      <c r="AJ1660" s="30"/>
      <c r="AK1660" s="30"/>
      <c r="AL1660" s="30"/>
      <c r="AM1660" s="13"/>
      <c r="AN1660" s="13"/>
      <c r="AO1660" s="13"/>
      <c r="AP1660" s="13"/>
      <c r="AQ1660" s="13"/>
      <c r="AR1660" s="14"/>
      <c r="AS1660" s="15"/>
    </row>
    <row r="1661" spans="1:45" s="17" customFormat="1" ht="30.95" hidden="1" customHeight="1" x14ac:dyDescent="0.2">
      <c r="A1661" s="37"/>
      <c r="B1661" s="38"/>
      <c r="C1661" s="45"/>
      <c r="D1661" s="31"/>
      <c r="E1661" s="31"/>
      <c r="F1661" s="268"/>
      <c r="G1661" s="269"/>
      <c r="H1661" s="269"/>
      <c r="I1661" s="270"/>
      <c r="J1661" s="210"/>
      <c r="K1661" s="270"/>
      <c r="L1661" s="270"/>
      <c r="M1661" s="39"/>
      <c r="N1661" s="39"/>
      <c r="O1661" s="156"/>
      <c r="P1661" s="47"/>
      <c r="Q1661" s="57"/>
      <c r="R1661" s="338"/>
      <c r="S1661" s="272"/>
      <c r="T1661" s="273"/>
      <c r="U1661" s="40"/>
      <c r="V1661" s="277"/>
      <c r="W1661" s="269"/>
      <c r="X1661" s="269"/>
      <c r="Y1661" s="275"/>
      <c r="Z1661" s="269"/>
      <c r="AA1661" s="57"/>
      <c r="AB1661" s="207"/>
      <c r="AC1661" s="33"/>
      <c r="AD1661" s="189"/>
      <c r="AE1661" s="54"/>
      <c r="AF1661" s="55"/>
      <c r="AG1661" s="43"/>
      <c r="AH1661" s="47"/>
      <c r="AI1661" s="30"/>
      <c r="AJ1661" s="30"/>
      <c r="AK1661" s="30"/>
      <c r="AL1661" s="30"/>
      <c r="AM1661" s="13"/>
      <c r="AN1661" s="13"/>
      <c r="AO1661" s="13"/>
      <c r="AP1661" s="13"/>
      <c r="AQ1661" s="13"/>
      <c r="AR1661" s="14"/>
      <c r="AS1661" s="15"/>
    </row>
    <row r="1662" spans="1:45" s="17" customFormat="1" ht="30.6" hidden="1" customHeight="1" x14ac:dyDescent="0.2">
      <c r="A1662" s="37"/>
      <c r="B1662" s="38"/>
      <c r="C1662" s="45"/>
      <c r="D1662" s="31">
        <v>3744884</v>
      </c>
      <c r="E1662" s="31">
        <v>4162242</v>
      </c>
      <c r="F1662" s="268" t="str">
        <f>IF(D1662="","",VLOOKUP(D1662,契約台帳!$A$3:$K$4986,6,FALSE)&amp;VLOOKUP(D1662,契約台帳!$A$3:$K$4986,7,FALSE)&amp;VLOOKUP(D1662,契約台帳!$A$3:$K$4986,8,FALSE)&amp;VLOOKUP(D1662,契約台帳!$A$3:$K$4986,9,FALSE)&amp;VLOOKUP(D1662,契約台帳!$A$3:$K$4986,11,FALSE))</f>
        <v>3SNMLBMNGTBF</v>
      </c>
      <c r="G1662" s="269" t="str">
        <f>IF(D1662="","",VLOOKUP(F1662,製品マスタ!$G$5:$H$5002,2,FALSE))</f>
        <v>S</v>
      </c>
      <c r="H1662" s="269" t="str">
        <f>IF(D1662="","",VLOOKUP(F1662,製品マスタ!$G$5:$K$5002,5,FALSE))</f>
        <v>MNGTBF</v>
      </c>
      <c r="I1662" s="270" t="str">
        <f>IF(D1662="","",VLOOKUP(F1662,製品マスタ!$G$5:$L$5002,6,FALSE))</f>
        <v>メタルミー　ネーマー　銀艶　Ｂ</v>
      </c>
      <c r="J1662" s="210" t="s">
        <v>935</v>
      </c>
      <c r="K1662" s="270">
        <f>IF(D1662="","",VLOOKUP(D1662,契約台帳!$A$3:$L$4986,12,FALSE))</f>
        <v>50</v>
      </c>
      <c r="L1662" s="270" t="str">
        <f>IF(D1662="","",INDEX(製品マスタ!$Q$5:$Q$5002,MATCH('S4'!F1662&amp;'S4'!K1662,製品マスタ!$AO$5:$AO$5002,0)))</f>
        <v>T62</v>
      </c>
      <c r="M1662" s="39">
        <v>1120</v>
      </c>
      <c r="N1662" s="39">
        <v>5000</v>
      </c>
      <c r="O1662" s="156">
        <v>14</v>
      </c>
      <c r="P1662" s="47">
        <v>2</v>
      </c>
      <c r="Q1662" s="213">
        <v>45355</v>
      </c>
      <c r="R1662" s="271">
        <f ca="1">IF(D1662="","",IF(OFFSET(D1662,-1,0)&lt;&gt;"","",IF(OR(J1662="リード付け",J1662="巻足し",J1662="巻返しリード付け"),M1662,VLOOKUP(D1662,契約台帳!$A$3:$N$4986,14,FALSE))))</f>
        <v>1120</v>
      </c>
      <c r="S1662" s="272">
        <f ca="1">IF(D1662="","",IF(OFFSET(D1662,-1,0)&lt;&gt;"","",IF(OR(J1662="リード付け",J1662="巻足し",J1662="巻返しリード付け"),M1662,VLOOKUP(D1662,契約台帳!$A$3:$O$4986,15,FALSE))))</f>
        <v>1120</v>
      </c>
      <c r="T1662" s="273">
        <f ca="1">IF(D1662="","",IF(J1662="リード付け",N1662,IF(J1662="巻返しリード付け",N1662,IF(J1662="巻足し",N1662*P1662+OFFSET(N1662,1,0)*OFFSET(P1662,1,0),VLOOKUP(D1662,契約台帳!$A$3:$P$4986,16,FALSE)))))</f>
        <v>10000</v>
      </c>
      <c r="U1662" s="40">
        <v>7</v>
      </c>
      <c r="V1662" s="274">
        <f ca="1">IF(D1662="","",IF(OFFSET(D1662,-2,0)=D1662,"",VLOOKUP(D1662,契約台帳!$A$3:$R$4986,18,FALSE)))</f>
        <v>14</v>
      </c>
      <c r="W1662" s="269" t="str">
        <f ca="1">IF(D1662="","",IF(T1662="","",IF(OR(J1662="巻足し",J1662="巻返しリード付け"),"",IF(J1662="巻返し",VLOOKUP(F1662&amp;K1662&amp;M1662,製品マスタ!$M$5:$AD$5002,18,FALSE),IF(OR(J1662="リード付け",J1662="巻返しリード付け"),"原反コア",IF(J1662="スリット",VLOOKUP(F1662&amp;K1662&amp;R1662,製品マスタ!$N$5:$AD$5002,17,FALSE),""))))))</f>
        <v/>
      </c>
      <c r="X1662" s="269" t="str">
        <f ca="1">IF(D1662="","",IF(T1662="","",IF(J1662="巻足し","",IF(J1662="巻返し",VLOOKUP(F1662&amp;K1662&amp;M1662,製品マスタ!$M$5:$AE$5002,19,FALSE),IF(OR(J1662="リード付け",J1662="巻返しリード付け"),"",IF(J1662="スリット",VLOOKUP(F1662&amp;K1662&amp;R1662,製品マスタ!$N$5:$AE$5002,18,FALSE),""))))))</f>
        <v/>
      </c>
      <c r="Y1662" s="275">
        <f ca="1">IF(D1662="","",IF(T1662="","",VLOOKUP(D1662,契約台帳!$A$3:$Q$4986,17,FALSE)))</f>
        <v>2</v>
      </c>
      <c r="Z1662" s="269" t="str">
        <f ca="1">IF(D1662="","",IF(T1662="","",VLOOKUP(D1662,契約台帳!$A$3:$E$4986,5,FALSE)))</f>
        <v>リンテック㈱</v>
      </c>
      <c r="AA1662" s="57"/>
      <c r="AB1662" s="207" t="str">
        <f>IFERROR((VLOOKUP(F1662&amp;K1662&amp;M1662,製品マスタ!$M$5:$AM$5002,27,FALSE)),"")</f>
        <v>原反ケース再利用</v>
      </c>
      <c r="AC1662" s="33"/>
      <c r="AD1662" s="189"/>
      <c r="AE1662" s="54"/>
      <c r="AF1662" s="55">
        <f>+M1662*N1662*O1662/1000</f>
        <v>78400</v>
      </c>
      <c r="AG1662" s="43"/>
      <c r="AH1662" s="47"/>
      <c r="AI1662" s="30"/>
      <c r="AJ1662" s="30"/>
      <c r="AK1662" s="30"/>
      <c r="AL1662" s="30"/>
      <c r="AM1662" s="13"/>
      <c r="AN1662" s="13"/>
      <c r="AO1662" s="13"/>
      <c r="AP1662" s="13"/>
      <c r="AQ1662" s="13"/>
      <c r="AR1662" s="14"/>
      <c r="AS1662" s="15"/>
    </row>
    <row r="1663" spans="1:45" s="17" customFormat="1" ht="30.95" hidden="1" customHeight="1" x14ac:dyDescent="0.2">
      <c r="A1663" s="37"/>
      <c r="B1663" s="38"/>
      <c r="C1663" s="45"/>
      <c r="D1663" s="31"/>
      <c r="E1663" s="31"/>
      <c r="F1663" s="268"/>
      <c r="G1663" s="269"/>
      <c r="H1663" s="269"/>
      <c r="I1663" s="270"/>
      <c r="J1663" s="210"/>
      <c r="K1663" s="270"/>
      <c r="L1663" s="270"/>
      <c r="M1663" s="39"/>
      <c r="N1663" s="39"/>
      <c r="O1663" s="156"/>
      <c r="P1663" s="47"/>
      <c r="Q1663" s="57"/>
      <c r="R1663" s="338"/>
      <c r="S1663" s="272"/>
      <c r="T1663" s="273"/>
      <c r="U1663" s="40"/>
      <c r="V1663" s="277"/>
      <c r="W1663" s="269"/>
      <c r="X1663" s="269"/>
      <c r="Y1663" s="275"/>
      <c r="Z1663" s="269"/>
      <c r="AA1663" s="57"/>
      <c r="AB1663" s="207"/>
      <c r="AC1663" s="33"/>
      <c r="AD1663" s="189"/>
      <c r="AE1663" s="54"/>
      <c r="AF1663" s="55"/>
      <c r="AG1663" s="43"/>
      <c r="AH1663" s="47"/>
      <c r="AI1663" s="30"/>
      <c r="AJ1663" s="30"/>
      <c r="AK1663" s="30"/>
      <c r="AL1663" s="30"/>
      <c r="AM1663" s="13"/>
      <c r="AN1663" s="13"/>
      <c r="AO1663" s="13"/>
      <c r="AP1663" s="13"/>
      <c r="AQ1663" s="13"/>
      <c r="AR1663" s="14"/>
      <c r="AS1663" s="15"/>
    </row>
    <row r="1664" spans="1:45" s="17" customFormat="1" ht="30.6" hidden="1" customHeight="1" x14ac:dyDescent="0.2">
      <c r="A1664" s="37" t="s">
        <v>946</v>
      </c>
      <c r="B1664" s="38" t="s">
        <v>443</v>
      </c>
      <c r="C1664" s="45"/>
      <c r="D1664" s="31">
        <v>3745648</v>
      </c>
      <c r="E1664" s="31">
        <v>4162237</v>
      </c>
      <c r="F1664" s="268" t="str">
        <f>IF(D1664="","",VLOOKUP(D1664,契約台帳!$A$3:$K$4986,6,FALSE)&amp;VLOOKUP(D1664,契約台帳!$A$3:$K$4986,7,FALSE)&amp;VLOOKUP(D1664,契約台帳!$A$3:$K$4986,8,FALSE)&amp;VLOOKUP(D1664,契約台帳!$A$3:$K$4986,9,FALSE)&amp;VLOOKUP(D1664,契約台帳!$A$3:$K$4986,11,FALSE))</f>
        <v>3SYMLBMSNMBF</v>
      </c>
      <c r="G1664" s="269" t="str">
        <f>IF(D1664="","",VLOOKUP(F1664,製品マスタ!$G$5:$H$5002,2,FALSE))</f>
        <v>S</v>
      </c>
      <c r="H1664" s="269" t="str">
        <f>IF(D1664="","",VLOOKUP(F1664,製品マスタ!$G$5:$K$5002,5,FALSE))</f>
        <v>MSNMBF</v>
      </c>
      <c r="I1664" s="270" t="str">
        <f>IF(D1664="","",VLOOKUP(F1664,製品マスタ!$G$5:$L$5002,6,FALSE))</f>
        <v>ＭＥＴＡＬＵＭＹ　ＳＩＬＶＥＲ　Ｎ－ＭＡＴＴＥ　Ｘ４４Ｍ　Ｂ</v>
      </c>
      <c r="J1664" s="210" t="s">
        <v>935</v>
      </c>
      <c r="K1664" s="270">
        <f>IF(D1664="","",VLOOKUP(D1664,契約台帳!$A$3:$L$4986,12,FALSE))</f>
        <v>50</v>
      </c>
      <c r="L1664" s="270" t="str">
        <f>IF(D1664="","",INDEX(製品マスタ!$Q$5:$Q$5002,MATCH('S4'!F1664&amp;'S4'!K1664,製品マスタ!$AO$5:$AO$5002,0)))</f>
        <v>X44</v>
      </c>
      <c r="M1664" s="39">
        <v>1120</v>
      </c>
      <c r="N1664" s="39">
        <v>4000</v>
      </c>
      <c r="O1664" s="156">
        <v>4</v>
      </c>
      <c r="P1664" s="47">
        <v>2</v>
      </c>
      <c r="Q1664" s="213">
        <v>45356</v>
      </c>
      <c r="R1664" s="271">
        <f ca="1">IF(D1664="","",IF(OFFSET(D1664,-1,0)&lt;&gt;"","",IF(OR(J1664="リード付け",J1664="巻足し",J1664="巻返しリード付け"),M1664,VLOOKUP(D1664,契約台帳!$A$3:$N$4986,14,FALSE))))</f>
        <v>1120</v>
      </c>
      <c r="S1664" s="272">
        <f ca="1">IF(D1664="","",IF(OFFSET(D1664,-1,0)&lt;&gt;"","",IF(OR(J1664="リード付け",J1664="巻足し",J1664="巻返しリード付け"),M1664,VLOOKUP(D1664,契約台帳!$A$3:$O$4986,15,FALSE))))</f>
        <v>1120</v>
      </c>
      <c r="T1664" s="273">
        <f ca="1">IF(D1664="","",IF(J1664="リード付け",N1664,IF(J1664="巻返しリード付け",N1664,IF(J1664="巻足し",N1664*P1664+OFFSET(N1664,1,0)*OFFSET(P1664,1,0),VLOOKUP(D1664,契約台帳!$A$3:$P$4986,16,FALSE)))))</f>
        <v>8000</v>
      </c>
      <c r="U1664" s="40">
        <v>2</v>
      </c>
      <c r="V1664" s="274">
        <f ca="1">IF(D1664="","",IF(OFFSET(D1664,-2,0)=D1664,"",VLOOKUP(D1664,契約台帳!$A$3:$R$4986,18,FALSE)))</f>
        <v>4</v>
      </c>
      <c r="W1664" s="269" t="str">
        <f ca="1">IF(D1664="","",IF(T1664="","",IF(OR(J1664="巻足し",J1664="巻返しリード付け"),"",IF(J1664="巻返し",VLOOKUP(F1664&amp;K1664&amp;M1664,製品マスタ!$M$5:$AD$5002,18,FALSE),IF(OR(J1664="リード付け",J1664="巻返しリード付け"),"原反コア",IF(J1664="スリット",VLOOKUP(F1664&amp;K1664&amp;R1664,製品マスタ!$N$5:$AD$5002,17,FALSE),""))))))</f>
        <v/>
      </c>
      <c r="X1664" s="269" t="str">
        <f ca="1">IF(D1664="","",IF(T1664="","",IF(J1664="巻足し","",IF(J1664="巻返し",VLOOKUP(F1664&amp;K1664&amp;M1664,製品マスタ!$M$5:$AE$5002,19,FALSE),IF(OR(J1664="リード付け",J1664="巻返しリード付け"),"",IF(J1664="スリット",VLOOKUP(F1664&amp;K1664&amp;R1664,製品マスタ!$N$5:$AE$5002,18,FALSE),""))))))</f>
        <v/>
      </c>
      <c r="Y1664" s="275">
        <f ca="1">IF(D1664="","",IF(T1664="","",VLOOKUP(D1664,契約台帳!$A$3:$Q$4986,17,FALSE)))</f>
        <v>2</v>
      </c>
      <c r="Z1664" s="269" t="str">
        <f ca="1">IF(D1664="","",IF(T1664="","",VLOOKUP(D1664,契約台帳!$A$3:$E$4986,5,FALSE)))</f>
        <v>リンテック㈱</v>
      </c>
      <c r="AA1664" s="57"/>
      <c r="AB1664" s="207">
        <f>IFERROR((VLOOKUP(F1664&amp;K1664&amp;M1664,製品マスタ!$M$5:$AM$5002,27,FALSE)),"")</f>
        <v>0</v>
      </c>
      <c r="AC1664" s="33"/>
      <c r="AD1664" s="189"/>
      <c r="AE1664" s="54"/>
      <c r="AF1664" s="55">
        <f>+M1664*N1664*O1664/1000</f>
        <v>17920</v>
      </c>
      <c r="AG1664" s="43"/>
      <c r="AH1664" s="47"/>
      <c r="AI1664" s="30"/>
      <c r="AJ1664" s="30"/>
      <c r="AK1664" s="30"/>
      <c r="AL1664" s="30"/>
      <c r="AM1664" s="13"/>
      <c r="AN1664" s="13"/>
      <c r="AO1664" s="13"/>
      <c r="AP1664" s="13"/>
      <c r="AQ1664" s="13"/>
      <c r="AR1664" s="14"/>
      <c r="AS1664" s="15"/>
    </row>
    <row r="1665" spans="1:45" s="17" customFormat="1" ht="30.95" hidden="1" customHeight="1" x14ac:dyDescent="0.2">
      <c r="A1665" s="37"/>
      <c r="B1665" s="38"/>
      <c r="C1665" s="45"/>
      <c r="D1665" s="31"/>
      <c r="E1665" s="31"/>
      <c r="F1665" s="268"/>
      <c r="G1665" s="269"/>
      <c r="H1665" s="269"/>
      <c r="I1665" s="270"/>
      <c r="J1665" s="210"/>
      <c r="K1665" s="270"/>
      <c r="L1665" s="270"/>
      <c r="M1665" s="39"/>
      <c r="N1665" s="39"/>
      <c r="O1665" s="156"/>
      <c r="P1665" s="47"/>
      <c r="Q1665" s="57"/>
      <c r="R1665" s="338"/>
      <c r="S1665" s="272"/>
      <c r="T1665" s="273"/>
      <c r="U1665" s="40"/>
      <c r="V1665" s="277"/>
      <c r="W1665" s="269"/>
      <c r="X1665" s="269"/>
      <c r="Y1665" s="275"/>
      <c r="Z1665" s="269"/>
      <c r="AA1665" s="57"/>
      <c r="AB1665" s="207"/>
      <c r="AC1665" s="33"/>
      <c r="AD1665" s="189"/>
      <c r="AE1665" s="54"/>
      <c r="AF1665" s="55"/>
      <c r="AG1665" s="43"/>
      <c r="AH1665" s="47"/>
      <c r="AI1665" s="30"/>
      <c r="AJ1665" s="30"/>
      <c r="AK1665" s="30"/>
      <c r="AL1665" s="30"/>
      <c r="AM1665" s="13"/>
      <c r="AN1665" s="13"/>
      <c r="AO1665" s="13"/>
      <c r="AP1665" s="13"/>
      <c r="AQ1665" s="13"/>
      <c r="AR1665" s="14"/>
      <c r="AS1665" s="15"/>
    </row>
    <row r="1666" spans="1:45" s="17" customFormat="1" ht="30.6" hidden="1" customHeight="1" x14ac:dyDescent="0.2">
      <c r="A1666" s="37"/>
      <c r="B1666" s="38"/>
      <c r="C1666" s="45"/>
      <c r="D1666" s="31">
        <v>3745649</v>
      </c>
      <c r="E1666" s="31">
        <v>4162238</v>
      </c>
      <c r="F1666" s="268" t="str">
        <f>IF(D1666="","",VLOOKUP(D1666,契約台帳!$A$3:$K$4986,6,FALSE)&amp;VLOOKUP(D1666,契約台帳!$A$3:$K$4986,7,FALSE)&amp;VLOOKUP(D1666,契約台帳!$A$3:$K$4986,8,FALSE)&amp;VLOOKUP(D1666,契約台帳!$A$3:$K$4986,9,FALSE)&amp;VLOOKUP(D1666,契約台帳!$A$3:$K$4986,11,FALSE))</f>
        <v>3SYMLBMSNMBF</v>
      </c>
      <c r="G1666" s="269" t="str">
        <f>IF(D1666="","",VLOOKUP(F1666,製品マスタ!$G$5:$H$5002,2,FALSE))</f>
        <v>S</v>
      </c>
      <c r="H1666" s="269" t="str">
        <f>IF(D1666="","",VLOOKUP(F1666,製品マスタ!$G$5:$K$5002,5,FALSE))</f>
        <v>MSNMBF</v>
      </c>
      <c r="I1666" s="270" t="str">
        <f>IF(D1666="","",VLOOKUP(F1666,製品マスタ!$G$5:$L$5002,6,FALSE))</f>
        <v>ＭＥＴＡＬＵＭＹ　ＳＩＬＶＥＲ　Ｎ－ＭＡＴＴＥ　Ｘ４４Ｍ　Ｂ</v>
      </c>
      <c r="J1666" s="210" t="s">
        <v>935</v>
      </c>
      <c r="K1666" s="270">
        <f>IF(D1666="","",VLOOKUP(D1666,契約台帳!$A$3:$L$4986,12,FALSE))</f>
        <v>50</v>
      </c>
      <c r="L1666" s="270" t="str">
        <f>IF(D1666="","",INDEX(製品マスタ!$Q$5:$Q$5002,MATCH('S4'!F1666&amp;'S4'!K1666,製品マスタ!$AO$5:$AO$5002,0)))</f>
        <v>X44</v>
      </c>
      <c r="M1666" s="39">
        <v>1120</v>
      </c>
      <c r="N1666" s="39">
        <v>4000</v>
      </c>
      <c r="O1666" s="156">
        <v>10</v>
      </c>
      <c r="P1666" s="47">
        <v>2</v>
      </c>
      <c r="Q1666" s="213">
        <v>45356</v>
      </c>
      <c r="R1666" s="271">
        <f ca="1">IF(D1666="","",IF(OFFSET(D1666,-1,0)&lt;&gt;"","",IF(OR(J1666="リード付け",J1666="巻足し",J1666="巻返しリード付け"),M1666,VLOOKUP(D1666,契約台帳!$A$3:$N$4986,14,FALSE))))</f>
        <v>1120</v>
      </c>
      <c r="S1666" s="272">
        <f ca="1">IF(D1666="","",IF(OFFSET(D1666,-1,0)&lt;&gt;"","",IF(OR(J1666="リード付け",J1666="巻足し",J1666="巻返しリード付け"),M1666,VLOOKUP(D1666,契約台帳!$A$3:$O$4986,15,FALSE))))</f>
        <v>1120</v>
      </c>
      <c r="T1666" s="273">
        <f ca="1">IF(D1666="","",IF(J1666="リード付け",N1666,IF(J1666="巻返しリード付け",N1666,IF(J1666="巻足し",N1666*P1666+OFFSET(N1666,1,0)*OFFSET(P1666,1,0),VLOOKUP(D1666,契約台帳!$A$3:$P$4986,16,FALSE)))))</f>
        <v>8000</v>
      </c>
      <c r="U1666" s="40">
        <v>5</v>
      </c>
      <c r="V1666" s="274">
        <f ca="1">IF(D1666="","",IF(OFFSET(D1666,-2,0)=D1666,"",VLOOKUP(D1666,契約台帳!$A$3:$R$4986,18,FALSE)))</f>
        <v>10</v>
      </c>
      <c r="W1666" s="269" t="str">
        <f ca="1">IF(D1666="","",IF(T1666="","",IF(OR(J1666="巻足し",J1666="巻返しリード付け"),"",IF(J1666="巻返し",VLOOKUP(F1666&amp;K1666&amp;M1666,製品マスタ!$M$5:$AD$5002,18,FALSE),IF(OR(J1666="リード付け",J1666="巻返しリード付け"),"原反コア",IF(J1666="スリット",VLOOKUP(F1666&amp;K1666&amp;R1666,製品マスタ!$N$5:$AD$5002,17,FALSE),""))))))</f>
        <v/>
      </c>
      <c r="X1666" s="269" t="str">
        <f ca="1">IF(D1666="","",IF(T1666="","",IF(J1666="巻足し","",IF(J1666="巻返し",VLOOKUP(F1666&amp;K1666&amp;M1666,製品マスタ!$M$5:$AE$5002,19,FALSE),IF(OR(J1666="リード付け",J1666="巻返しリード付け"),"",IF(J1666="スリット",VLOOKUP(F1666&amp;K1666&amp;R1666,製品マスタ!$N$5:$AE$5002,18,FALSE),""))))))</f>
        <v/>
      </c>
      <c r="Y1666" s="275">
        <f ca="1">IF(D1666="","",IF(T1666="","",VLOOKUP(D1666,契約台帳!$A$3:$Q$4986,17,FALSE)))</f>
        <v>2</v>
      </c>
      <c r="Z1666" s="269" t="str">
        <f ca="1">IF(D1666="","",IF(T1666="","",VLOOKUP(D1666,契約台帳!$A$3:$E$4986,5,FALSE)))</f>
        <v>リンテック㈱</v>
      </c>
      <c r="AA1666" s="57"/>
      <c r="AB1666" s="207">
        <f>IFERROR((VLOOKUP(F1666&amp;K1666&amp;M1666,製品マスタ!$M$5:$AM$5002,27,FALSE)),"")</f>
        <v>0</v>
      </c>
      <c r="AC1666" s="33"/>
      <c r="AD1666" s="189"/>
      <c r="AE1666" s="54"/>
      <c r="AF1666" s="55">
        <f>+M1666*N1666*O1666/1000</f>
        <v>44800</v>
      </c>
      <c r="AG1666" s="43"/>
      <c r="AH1666" s="47"/>
      <c r="AI1666" s="30"/>
      <c r="AJ1666" s="30"/>
      <c r="AK1666" s="30"/>
      <c r="AL1666" s="30"/>
      <c r="AM1666" s="13"/>
      <c r="AN1666" s="13"/>
      <c r="AO1666" s="13"/>
      <c r="AP1666" s="13"/>
      <c r="AQ1666" s="13"/>
      <c r="AR1666" s="14"/>
      <c r="AS1666" s="15"/>
    </row>
    <row r="1667" spans="1:45" s="17" customFormat="1" ht="30.95" hidden="1" customHeight="1" x14ac:dyDescent="0.2">
      <c r="A1667" s="37"/>
      <c r="B1667" s="38"/>
      <c r="C1667" s="45"/>
      <c r="D1667" s="31"/>
      <c r="E1667" s="31"/>
      <c r="F1667" s="268"/>
      <c r="G1667" s="269"/>
      <c r="H1667" s="269"/>
      <c r="I1667" s="270"/>
      <c r="J1667" s="210"/>
      <c r="K1667" s="270"/>
      <c r="L1667" s="270"/>
      <c r="M1667" s="39"/>
      <c r="N1667" s="39"/>
      <c r="O1667" s="156"/>
      <c r="P1667" s="47"/>
      <c r="Q1667" s="57"/>
      <c r="R1667" s="338"/>
      <c r="S1667" s="272"/>
      <c r="T1667" s="273"/>
      <c r="U1667" s="40"/>
      <c r="V1667" s="277"/>
      <c r="W1667" s="269"/>
      <c r="X1667" s="269"/>
      <c r="Y1667" s="275"/>
      <c r="Z1667" s="269"/>
      <c r="AA1667" s="57"/>
      <c r="AB1667" s="207"/>
      <c r="AC1667" s="33"/>
      <c r="AD1667" s="189"/>
      <c r="AE1667" s="54"/>
      <c r="AF1667" s="55"/>
      <c r="AG1667" s="43"/>
      <c r="AH1667" s="47"/>
      <c r="AI1667" s="30"/>
      <c r="AJ1667" s="30"/>
      <c r="AK1667" s="30"/>
      <c r="AL1667" s="30"/>
      <c r="AM1667" s="13"/>
      <c r="AN1667" s="13"/>
      <c r="AO1667" s="13"/>
      <c r="AP1667" s="13"/>
      <c r="AQ1667" s="13"/>
      <c r="AR1667" s="14"/>
      <c r="AS1667" s="15"/>
    </row>
    <row r="1668" spans="1:45" s="17" customFormat="1" ht="30.6" hidden="1" customHeight="1" x14ac:dyDescent="0.2">
      <c r="A1668" s="37"/>
      <c r="B1668" s="38"/>
      <c r="C1668" s="45"/>
      <c r="D1668" s="31">
        <v>3744889</v>
      </c>
      <c r="E1668" s="31">
        <v>4162224</v>
      </c>
      <c r="F1668" s="268" t="str">
        <f>IF(D1668="","",VLOOKUP(D1668,契約台帳!$A$3:$K$4986,6,FALSE)&amp;VLOOKUP(D1668,契約台帳!$A$3:$K$4986,7,FALSE)&amp;VLOOKUP(D1668,契約台帳!$A$3:$K$4986,8,FALSE)&amp;VLOOKUP(D1668,契約台帳!$A$3:$K$4986,9,FALSE)&amp;VLOOKUP(D1668,契約台帳!$A$3:$K$4986,11,FALSE))</f>
        <v>3SYMLBMSBBF</v>
      </c>
      <c r="G1668" s="269" t="str">
        <f>IF(D1668="","",VLOOKUP(F1668,製品マスタ!$G$5:$H$5002,2,FALSE))</f>
        <v>S</v>
      </c>
      <c r="H1668" s="269" t="str">
        <f>IF(D1668="","",VLOOKUP(F1668,製品マスタ!$G$5:$K$5002,5,FALSE))</f>
        <v>MSBBF</v>
      </c>
      <c r="I1668" s="270" t="str">
        <f>IF(D1668="","",VLOOKUP(F1668,製品マスタ!$G$5:$L$5002,6,FALSE))</f>
        <v>ＭＥＴＡＬＵＭＹ　ＳＩＬＶＥＲ　ＢＲＩＧＨＴ　Ｔ６２Ｍ　Ｂ</v>
      </c>
      <c r="J1668" s="210" t="s">
        <v>935</v>
      </c>
      <c r="K1668" s="270">
        <f>IF(D1668="","",VLOOKUP(D1668,契約台帳!$A$3:$L$4986,12,FALSE))</f>
        <v>50</v>
      </c>
      <c r="L1668" s="270" t="str">
        <f>IF(D1668="","",INDEX(製品マスタ!$Q$5:$Q$5002,MATCH('S4'!F1668&amp;'S4'!K1668,製品マスタ!$AO$5:$AO$5002,0)))</f>
        <v>T62</v>
      </c>
      <c r="M1668" s="39">
        <v>1120</v>
      </c>
      <c r="N1668" s="39">
        <v>5000</v>
      </c>
      <c r="O1668" s="156">
        <v>2</v>
      </c>
      <c r="P1668" s="47">
        <v>2</v>
      </c>
      <c r="Q1668" s="213">
        <v>45355</v>
      </c>
      <c r="R1668" s="271">
        <f ca="1">IF(D1668="","",IF(OFFSET(D1668,-1,0)&lt;&gt;"","",IF(OR(J1668="リード付け",J1668="巻足し",J1668="巻返しリード付け"),M1668,VLOOKUP(D1668,契約台帳!$A$3:$N$4986,14,FALSE))))</f>
        <v>1120</v>
      </c>
      <c r="S1668" s="272">
        <f ca="1">IF(D1668="","",IF(OFFSET(D1668,-1,0)&lt;&gt;"","",IF(OR(J1668="リード付け",J1668="巻足し",J1668="巻返しリード付け"),M1668,VLOOKUP(D1668,契約台帳!$A$3:$O$4986,15,FALSE))))</f>
        <v>1120</v>
      </c>
      <c r="T1668" s="273">
        <f ca="1">IF(D1668="","",IF(J1668="リード付け",N1668,IF(J1668="巻返しリード付け",N1668,IF(J1668="巻足し",N1668*P1668+OFFSET(N1668,1,0)*OFFSET(P1668,1,0),VLOOKUP(D1668,契約台帳!$A$3:$P$4986,16,FALSE)))))</f>
        <v>10000</v>
      </c>
      <c r="U1668" s="40">
        <v>1</v>
      </c>
      <c r="V1668" s="274">
        <f ca="1">IF(D1668="","",IF(OFFSET(D1668,-2,0)=D1668,"",VLOOKUP(D1668,契約台帳!$A$3:$R$4986,18,FALSE)))</f>
        <v>2</v>
      </c>
      <c r="W1668" s="269" t="str">
        <f ca="1">IF(D1668="","",IF(T1668="","",IF(OR(J1668="巻足し",J1668="巻返しリード付け"),"",IF(J1668="巻返し",VLOOKUP(F1668&amp;K1668&amp;M1668,製品マスタ!$M$5:$AD$5002,18,FALSE),IF(OR(J1668="リード付け",J1668="巻返しリード付け"),"原反コア",IF(J1668="スリット",VLOOKUP(F1668&amp;K1668&amp;R1668,製品マスタ!$N$5:$AD$5002,17,FALSE),""))))))</f>
        <v/>
      </c>
      <c r="X1668" s="269" t="str">
        <f ca="1">IF(D1668="","",IF(T1668="","",IF(J1668="巻足し","",IF(J1668="巻返し",VLOOKUP(F1668&amp;K1668&amp;M1668,製品マスタ!$M$5:$AE$5002,19,FALSE),IF(OR(J1668="リード付け",J1668="巻返しリード付け"),"",IF(J1668="スリット",VLOOKUP(F1668&amp;K1668&amp;R1668,製品マスタ!$N$5:$AE$5002,18,FALSE),""))))))</f>
        <v/>
      </c>
      <c r="Y1668" s="275">
        <f ca="1">IF(D1668="","",IF(T1668="","",VLOOKUP(D1668,契約台帳!$A$3:$Q$4986,17,FALSE)))</f>
        <v>2</v>
      </c>
      <c r="Z1668" s="269" t="str">
        <f ca="1">IF(D1668="","",IF(T1668="","",VLOOKUP(D1668,契約台帳!$A$3:$E$4986,5,FALSE)))</f>
        <v>リンテック㈱</v>
      </c>
      <c r="AA1668" s="57"/>
      <c r="AB1668" s="207" t="str">
        <f>IFERROR((VLOOKUP(F1668&amp;K1668&amp;M1668,製品マスタ!$M$5:$AM$5002,27,FALSE)),"")</f>
        <v>原反ケース再利用</v>
      </c>
      <c r="AC1668" s="33"/>
      <c r="AD1668" s="189"/>
      <c r="AE1668" s="54"/>
      <c r="AF1668" s="55">
        <f>+M1668*N1668*O1668/1000</f>
        <v>11200</v>
      </c>
      <c r="AG1668" s="43"/>
      <c r="AH1668" s="47"/>
      <c r="AI1668" s="30"/>
      <c r="AJ1668" s="30"/>
      <c r="AK1668" s="30"/>
      <c r="AL1668" s="30"/>
      <c r="AM1668" s="13"/>
      <c r="AN1668" s="13"/>
      <c r="AO1668" s="13"/>
      <c r="AP1668" s="13"/>
      <c r="AQ1668" s="13"/>
      <c r="AR1668" s="14"/>
      <c r="AS1668" s="15"/>
    </row>
    <row r="1669" spans="1:45" s="17" customFormat="1" ht="30.95" hidden="1" customHeight="1" x14ac:dyDescent="0.2">
      <c r="A1669" s="37"/>
      <c r="B1669" s="38"/>
      <c r="C1669" s="45"/>
      <c r="D1669" s="31"/>
      <c r="E1669" s="31"/>
      <c r="F1669" s="268"/>
      <c r="G1669" s="269"/>
      <c r="H1669" s="269"/>
      <c r="I1669" s="270"/>
      <c r="J1669" s="210"/>
      <c r="K1669" s="270"/>
      <c r="L1669" s="270"/>
      <c r="M1669" s="39"/>
      <c r="N1669" s="39"/>
      <c r="O1669" s="156"/>
      <c r="P1669" s="47"/>
      <c r="Q1669" s="57"/>
      <c r="R1669" s="338"/>
      <c r="S1669" s="272"/>
      <c r="T1669" s="273"/>
      <c r="U1669" s="40"/>
      <c r="V1669" s="277"/>
      <c r="W1669" s="269"/>
      <c r="X1669" s="269"/>
      <c r="Y1669" s="275"/>
      <c r="Z1669" s="269"/>
      <c r="AA1669" s="57"/>
      <c r="AB1669" s="207"/>
      <c r="AC1669" s="33"/>
      <c r="AD1669" s="189"/>
      <c r="AE1669" s="54"/>
      <c r="AF1669" s="55"/>
      <c r="AG1669" s="43"/>
      <c r="AH1669" s="47"/>
      <c r="AI1669" s="30"/>
      <c r="AJ1669" s="30"/>
      <c r="AK1669" s="30"/>
      <c r="AL1669" s="30"/>
      <c r="AM1669" s="13"/>
      <c r="AN1669" s="13"/>
      <c r="AO1669" s="13"/>
      <c r="AP1669" s="13"/>
      <c r="AQ1669" s="13"/>
      <c r="AR1669" s="14"/>
      <c r="AS1669" s="15"/>
    </row>
    <row r="1670" spans="1:45" s="17" customFormat="1" ht="30.6" hidden="1" customHeight="1" x14ac:dyDescent="0.2">
      <c r="A1670" s="37"/>
      <c r="B1670" s="38"/>
      <c r="C1670" s="45"/>
      <c r="D1670" s="31">
        <v>3745647</v>
      </c>
      <c r="E1670" s="31">
        <v>4162247</v>
      </c>
      <c r="F1670" s="268" t="str">
        <f>IF(D1670="","",VLOOKUP(D1670,契約台帳!$A$3:$K$4986,6,FALSE)&amp;VLOOKUP(D1670,契約台帳!$A$3:$K$4986,7,FALSE)&amp;VLOOKUP(D1670,契約台帳!$A$3:$K$4986,8,FALSE)&amp;VLOOKUP(D1670,契約台帳!$A$3:$K$4986,9,FALSE)&amp;VLOOKUP(D1670,契約台帳!$A$3:$K$4986,11,FALSE))</f>
        <v>3SYMLBMSBBF</v>
      </c>
      <c r="G1670" s="269" t="str">
        <f>IF(D1670="","",VLOOKUP(F1670,製品マスタ!$G$5:$H$5002,2,FALSE))</f>
        <v>S</v>
      </c>
      <c r="H1670" s="269" t="str">
        <f>IF(D1670="","",VLOOKUP(F1670,製品マスタ!$G$5:$K$5002,5,FALSE))</f>
        <v>MSBBF</v>
      </c>
      <c r="I1670" s="270" t="str">
        <f>IF(D1670="","",VLOOKUP(F1670,製品マスタ!$G$5:$L$5002,6,FALSE))</f>
        <v>ＭＥＴＡＬＵＭＹ　ＳＩＬＶＥＲ　ＢＲＩＧＨＴ　Ｔ６２Ｍ　Ｂ</v>
      </c>
      <c r="J1670" s="210" t="s">
        <v>464</v>
      </c>
      <c r="K1670" s="270">
        <f>IF(D1670="","",VLOOKUP(D1670,契約台帳!$A$3:$L$4986,12,FALSE))</f>
        <v>25</v>
      </c>
      <c r="L1670" s="270" t="str">
        <f>IF(D1670="","",INDEX(製品マスタ!$Q$5:$Q$5002,MATCH('S4'!F1670&amp;'S4'!K1670,製品マスタ!$AO$5:$AO$5002,0)))</f>
        <v>T62</v>
      </c>
      <c r="M1670" s="39">
        <v>1120</v>
      </c>
      <c r="N1670" s="39">
        <v>8000</v>
      </c>
      <c r="O1670" s="156">
        <v>1</v>
      </c>
      <c r="P1670" s="47">
        <v>1</v>
      </c>
      <c r="Q1670" s="213">
        <v>45356</v>
      </c>
      <c r="R1670" s="271">
        <f ca="1">IF(D1670="","",IF(OFFSET(D1670,-1,0)&lt;&gt;"","",IF(OR(J1670="リード付け",J1670="巻足し",J1670="巻返しリード付け"),M1670,VLOOKUP(D1670,契約台帳!$A$3:$N$4986,14,FALSE))))</f>
        <v>1120</v>
      </c>
      <c r="S1670" s="272">
        <f ca="1">IF(D1670="","",IF(OFFSET(D1670,-1,0)&lt;&gt;"","",IF(OR(J1670="リード付け",J1670="巻足し",J1670="巻返しリード付け"),M1670,VLOOKUP(D1670,契約台帳!$A$3:$O$4986,15,FALSE))))</f>
        <v>1120</v>
      </c>
      <c r="T1670" s="273">
        <f ca="1">IF(D1670="","",IF(J1670="リード付け",N1670,IF(J1670="巻返しリード付け",N1670,IF(J1670="巻足し",N1670*P1670+OFFSET(N1670,1,0)*OFFSET(P1670,1,0),VLOOKUP(D1670,契約台帳!$A$3:$P$4986,16,FALSE)))))</f>
        <v>8000</v>
      </c>
      <c r="U1670" s="40">
        <v>1</v>
      </c>
      <c r="V1670" s="274">
        <f ca="1">IF(D1670="","",IF(OFFSET(D1670,-2,0)=D1670,"",VLOOKUP(D1670,契約台帳!$A$3:$R$4986,18,FALSE)))</f>
        <v>2</v>
      </c>
      <c r="W1670" s="269" t="str">
        <f ca="1">IF(D1670="","",IF(T1670="","",IF(OR(J1670="巻足し",J1670="巻返しリード付け"),"",IF(J1670="巻返し",VLOOKUP(F1670&amp;K1670&amp;M1670,製品マスタ!$M$5:$AD$5002,18,FALSE),IF(OR(J1670="リード付け",J1670="巻返しリード付け"),"原反コア",IF(J1670="スリット",VLOOKUP(F1670&amp;K1670&amp;R1670,製品マスタ!$N$5:$AD$5002,17,FALSE),""))))))</f>
        <v>原反コア</v>
      </c>
      <c r="X1670" s="269" t="str">
        <f ca="1">IF(D1670="","",IF(T1670="","",IF(J1670="巻足し","",IF(J1670="巻返し",VLOOKUP(F1670&amp;K1670&amp;M1670,製品マスタ!$M$5:$AE$5002,19,FALSE),IF(OR(J1670="リード付け",J1670="巻返しリード付け"),"",IF(J1670="スリット",VLOOKUP(F1670&amp;K1670&amp;R1670,製品マスタ!$N$5:$AE$5002,18,FALSE),""))))))</f>
        <v/>
      </c>
      <c r="Y1670" s="275">
        <f ca="1">IF(D1670="","",IF(T1670="","",VLOOKUP(D1670,契約台帳!$A$3:$Q$4986,17,FALSE)))</f>
        <v>2</v>
      </c>
      <c r="Z1670" s="269" t="str">
        <f ca="1">IF(D1670="","",IF(T1670="","",VLOOKUP(D1670,契約台帳!$A$3:$E$4986,5,FALSE)))</f>
        <v>リンテック㈱</v>
      </c>
      <c r="AA1670" s="57"/>
      <c r="AB1670" s="207">
        <f>IFERROR((VLOOKUP(F1670&amp;K1670&amp;M1670,製品マスタ!$M$5:$AM$5002,27,FALSE)),"")</f>
        <v>0</v>
      </c>
      <c r="AC1670" s="33"/>
      <c r="AD1670" s="189"/>
      <c r="AE1670" s="54"/>
      <c r="AF1670" s="55">
        <f>+M1670*N1670*O1670/1000</f>
        <v>8960</v>
      </c>
      <c r="AG1670" s="43"/>
      <c r="AH1670" s="47"/>
      <c r="AI1670" s="30"/>
      <c r="AJ1670" s="30"/>
      <c r="AK1670" s="30"/>
      <c r="AL1670" s="30"/>
      <c r="AM1670" s="13"/>
      <c r="AN1670" s="13"/>
      <c r="AO1670" s="13"/>
      <c r="AP1670" s="13"/>
      <c r="AQ1670" s="13"/>
      <c r="AR1670" s="14"/>
      <c r="AS1670" s="15"/>
    </row>
    <row r="1671" spans="1:45" s="17" customFormat="1" ht="30.95" hidden="1" customHeight="1" x14ac:dyDescent="0.2">
      <c r="A1671" s="37"/>
      <c r="B1671" s="38"/>
      <c r="C1671" s="45"/>
      <c r="D1671" s="31"/>
      <c r="E1671" s="31"/>
      <c r="F1671" s="268"/>
      <c r="G1671" s="269"/>
      <c r="H1671" s="269"/>
      <c r="I1671" s="270"/>
      <c r="J1671" s="210"/>
      <c r="K1671" s="270"/>
      <c r="L1671" s="270"/>
      <c r="M1671" s="39"/>
      <c r="N1671" s="39"/>
      <c r="O1671" s="156"/>
      <c r="P1671" s="47"/>
      <c r="Q1671" s="57"/>
      <c r="R1671" s="338"/>
      <c r="S1671" s="272"/>
      <c r="T1671" s="273"/>
      <c r="U1671" s="40"/>
      <c r="V1671" s="277"/>
      <c r="W1671" s="269"/>
      <c r="X1671" s="269"/>
      <c r="Y1671" s="275"/>
      <c r="Z1671" s="269"/>
      <c r="AA1671" s="57"/>
      <c r="AB1671" s="207"/>
      <c r="AC1671" s="33"/>
      <c r="AD1671" s="189"/>
      <c r="AE1671" s="54"/>
      <c r="AF1671" s="55"/>
      <c r="AG1671" s="43"/>
      <c r="AH1671" s="47"/>
      <c r="AI1671" s="30"/>
      <c r="AJ1671" s="30"/>
      <c r="AK1671" s="30"/>
      <c r="AL1671" s="30"/>
      <c r="AM1671" s="13"/>
      <c r="AN1671" s="13"/>
      <c r="AO1671" s="13"/>
      <c r="AP1671" s="13"/>
      <c r="AQ1671" s="13"/>
      <c r="AR1671" s="14"/>
      <c r="AS1671" s="15"/>
    </row>
    <row r="1672" spans="1:45" s="17" customFormat="1" ht="30.6" hidden="1" customHeight="1" x14ac:dyDescent="0.2">
      <c r="A1672" s="37" t="s">
        <v>2272</v>
      </c>
      <c r="B1672" s="38" t="s">
        <v>2273</v>
      </c>
      <c r="C1672" s="45"/>
      <c r="D1672" s="31">
        <v>3744883</v>
      </c>
      <c r="E1672" s="31">
        <v>4162222</v>
      </c>
      <c r="F1672" s="268" t="str">
        <f>IF(D1672="","",VLOOKUP(D1672,契約台帳!$A$3:$K$4986,6,FALSE)&amp;VLOOKUP(D1672,契約台帳!$A$3:$K$4986,7,FALSE)&amp;VLOOKUP(D1672,契約台帳!$A$3:$K$4986,8,FALSE)&amp;VLOOKUP(D1672,契約台帳!$A$3:$K$4986,9,FALSE)&amp;VLOOKUP(D1672,契約台帳!$A$3:$K$4986,11,FALSE))</f>
        <v>3SNMLBMNGKKBF</v>
      </c>
      <c r="G1672" s="269" t="str">
        <f>IF(D1672="","",VLOOKUP(F1672,製品マスタ!$G$5:$H$5002,2,FALSE))</f>
        <v>S</v>
      </c>
      <c r="H1672" s="269" t="str">
        <f>IF(D1672="","",VLOOKUP(F1672,製品マスタ!$G$5:$K$5002,5,FALSE))</f>
        <v>MNGKKBF</v>
      </c>
      <c r="I1672" s="270" t="str">
        <f>IF(D1672="","",VLOOKUP(F1672,製品マスタ!$G$5:$L$5002,6,FALSE))</f>
        <v>メタルミー　ネーマー銀消改　Ｂ</v>
      </c>
      <c r="J1672" s="210" t="s">
        <v>935</v>
      </c>
      <c r="K1672" s="270">
        <f>IF(D1672="","",VLOOKUP(D1672,契約台帳!$A$3:$L$4986,12,FALSE))</f>
        <v>50</v>
      </c>
      <c r="L1672" s="270" t="str">
        <f>IF(D1672="","",INDEX(製品マスタ!$Q$5:$Q$5002,MATCH('S4'!F1672&amp;'S4'!K1672,製品マスタ!$AO$5:$AO$5002,0)))</f>
        <v>S99-MAT</v>
      </c>
      <c r="M1672" s="39">
        <v>1120</v>
      </c>
      <c r="N1672" s="39">
        <v>4000</v>
      </c>
      <c r="O1672" s="156">
        <v>12</v>
      </c>
      <c r="P1672" s="47">
        <v>3</v>
      </c>
      <c r="Q1672" s="213">
        <v>45356</v>
      </c>
      <c r="R1672" s="271">
        <f ca="1">IF(D1672="","",IF(OFFSET(D1672,-1,0)&lt;&gt;"","",IF(OR(J1672="リード付け",J1672="巻足し",J1672="巻返しリード付け"),M1672,VLOOKUP(D1672,契約台帳!$A$3:$N$4986,14,FALSE))))</f>
        <v>1120</v>
      </c>
      <c r="S1672" s="272">
        <f ca="1">IF(D1672="","",IF(OFFSET(D1672,-1,0)&lt;&gt;"","",IF(OR(J1672="リード付け",J1672="巻足し",J1672="巻返しリード付け"),M1672,VLOOKUP(D1672,契約台帳!$A$3:$O$4986,15,FALSE))))</f>
        <v>1120</v>
      </c>
      <c r="T1672" s="273">
        <f ca="1">IF(D1672="","",IF(J1672="リード付け",N1672,IF(J1672="巻返しリード付け",N1672,IF(J1672="巻足し",N1672*P1672+OFFSET(N1672,1,0)*OFFSET(P1672,1,0),VLOOKUP(D1672,契約台帳!$A$3:$P$4986,16,FALSE)))))</f>
        <v>12000</v>
      </c>
      <c r="U1672" s="40">
        <v>4</v>
      </c>
      <c r="V1672" s="274">
        <f ca="1">IF(D1672="","",IF(OFFSET(D1672,-2,0)=D1672,"",VLOOKUP(D1672,契約台帳!$A$3:$R$4986,18,FALSE)))</f>
        <v>12</v>
      </c>
      <c r="W1672" s="269" t="str">
        <f ca="1">IF(D1672="","",IF(T1672="","",IF(OR(J1672="巻足し",J1672="巻返しリード付け"),"",IF(J1672="巻返し",VLOOKUP(F1672&amp;K1672&amp;M1672,製品マスタ!$M$5:$AD$5002,18,FALSE),IF(OR(J1672="リード付け",J1672="巻返しリード付け"),"原反コア",IF(J1672="スリット",VLOOKUP(F1672&amp;K1672&amp;R1672,製品マスタ!$N$5:$AD$5002,17,FALSE),""))))))</f>
        <v/>
      </c>
      <c r="X1672" s="269" t="str">
        <f ca="1">IF(D1672="","",IF(T1672="","",IF(J1672="巻足し","",IF(J1672="巻返し",VLOOKUP(F1672&amp;K1672&amp;M1672,製品マスタ!$M$5:$AE$5002,19,FALSE),IF(OR(J1672="リード付け",J1672="巻返しリード付け"),"",IF(J1672="スリット",VLOOKUP(F1672&amp;K1672&amp;R1672,製品マスタ!$N$5:$AE$5002,18,FALSE),""))))))</f>
        <v/>
      </c>
      <c r="Y1672" s="275">
        <f ca="1">IF(D1672="","",IF(T1672="","",VLOOKUP(D1672,契約台帳!$A$3:$Q$4986,17,FALSE)))</f>
        <v>2</v>
      </c>
      <c r="Z1672" s="269" t="str">
        <f ca="1">IF(D1672="","",IF(T1672="","",VLOOKUP(D1672,契約台帳!$A$3:$E$4986,5,FALSE)))</f>
        <v>リンテック㈱</v>
      </c>
      <c r="AA1672" s="57"/>
      <c r="AB1672" s="207">
        <f>IFERROR((VLOOKUP(F1672&amp;K1672&amp;M1672,製品マスタ!$M$5:$AM$5002,27,FALSE)),"")</f>
        <v>0</v>
      </c>
      <c r="AC1672" s="33"/>
      <c r="AD1672" s="189"/>
      <c r="AE1672" s="54"/>
      <c r="AF1672" s="55">
        <f>+M1672*N1672*O1672/1000</f>
        <v>53760</v>
      </c>
      <c r="AG1672" s="43"/>
      <c r="AH1672" s="47"/>
      <c r="AI1672" s="30"/>
      <c r="AJ1672" s="30"/>
      <c r="AK1672" s="30"/>
      <c r="AL1672" s="30"/>
      <c r="AM1672" s="13"/>
      <c r="AN1672" s="13"/>
      <c r="AO1672" s="13"/>
      <c r="AP1672" s="13"/>
      <c r="AQ1672" s="13"/>
      <c r="AR1672" s="14"/>
      <c r="AS1672" s="15"/>
    </row>
    <row r="1673" spans="1:45" s="17" customFormat="1" ht="30.95" hidden="1" customHeight="1" x14ac:dyDescent="0.2">
      <c r="A1673" s="37"/>
      <c r="B1673" s="38"/>
      <c r="C1673" s="45"/>
      <c r="D1673" s="31"/>
      <c r="E1673" s="31"/>
      <c r="F1673" s="268"/>
      <c r="G1673" s="269"/>
      <c r="H1673" s="269"/>
      <c r="I1673" s="270"/>
      <c r="J1673" s="210"/>
      <c r="K1673" s="270"/>
      <c r="L1673" s="270"/>
      <c r="M1673" s="39"/>
      <c r="N1673" s="39"/>
      <c r="O1673" s="156"/>
      <c r="P1673" s="47"/>
      <c r="Q1673" s="57"/>
      <c r="R1673" s="338"/>
      <c r="S1673" s="272"/>
      <c r="T1673" s="273"/>
      <c r="U1673" s="40"/>
      <c r="V1673" s="277"/>
      <c r="W1673" s="269"/>
      <c r="X1673" s="269"/>
      <c r="Y1673" s="275"/>
      <c r="Z1673" s="269"/>
      <c r="AA1673" s="57"/>
      <c r="AB1673" s="207"/>
      <c r="AC1673" s="33"/>
      <c r="AD1673" s="189"/>
      <c r="AE1673" s="54"/>
      <c r="AF1673" s="55"/>
      <c r="AG1673" s="43"/>
      <c r="AH1673" s="47"/>
      <c r="AI1673" s="30"/>
      <c r="AJ1673" s="30"/>
      <c r="AK1673" s="30"/>
      <c r="AL1673" s="30"/>
      <c r="AM1673" s="13"/>
      <c r="AN1673" s="13"/>
      <c r="AO1673" s="13"/>
      <c r="AP1673" s="13"/>
      <c r="AQ1673" s="13"/>
      <c r="AR1673" s="14"/>
      <c r="AS1673" s="15"/>
    </row>
    <row r="1674" spans="1:45" s="17" customFormat="1" ht="30.95" hidden="1" customHeight="1" x14ac:dyDescent="0.2">
      <c r="A1674" s="37"/>
      <c r="B1674" s="38"/>
      <c r="C1674" s="45"/>
      <c r="D1674" s="31" t="s">
        <v>1276</v>
      </c>
      <c r="E1674" s="414" t="s">
        <v>1277</v>
      </c>
      <c r="F1674" s="268" t="s">
        <v>1304</v>
      </c>
      <c r="G1674" s="269" t="s">
        <v>269</v>
      </c>
      <c r="H1674" s="269" t="s">
        <v>319</v>
      </c>
      <c r="I1674" s="270" t="s">
        <v>2270</v>
      </c>
      <c r="J1674" s="210" t="s">
        <v>935</v>
      </c>
      <c r="K1674" s="270">
        <v>50</v>
      </c>
      <c r="L1674" s="270" t="s">
        <v>831</v>
      </c>
      <c r="M1674" s="39">
        <v>1030</v>
      </c>
      <c r="N1674" s="39">
        <v>4100</v>
      </c>
      <c r="O1674" s="156">
        <v>1</v>
      </c>
      <c r="P1674" s="47">
        <v>2</v>
      </c>
      <c r="Q1674" s="57"/>
      <c r="R1674" s="271">
        <v>1030</v>
      </c>
      <c r="S1674" s="272">
        <v>1030</v>
      </c>
      <c r="T1674" s="273">
        <v>8200</v>
      </c>
      <c r="U1674" s="40">
        <v>1</v>
      </c>
      <c r="V1674" s="274">
        <v>1</v>
      </c>
      <c r="W1674" s="269" t="s">
        <v>928</v>
      </c>
      <c r="X1674" s="269" t="s">
        <v>928</v>
      </c>
      <c r="Y1674" s="275">
        <v>2</v>
      </c>
      <c r="Z1674" s="269" t="s">
        <v>116</v>
      </c>
      <c r="AA1674" s="57"/>
      <c r="AB1674" s="303" t="s">
        <v>774</v>
      </c>
      <c r="AC1674" s="33"/>
      <c r="AD1674" s="189"/>
      <c r="AE1674" s="54"/>
      <c r="AF1674" s="55"/>
      <c r="AG1674" s="43"/>
      <c r="AH1674" s="47"/>
      <c r="AI1674" s="30"/>
      <c r="AJ1674" s="30"/>
      <c r="AK1674" s="30"/>
      <c r="AL1674" s="30"/>
      <c r="AM1674" s="13"/>
      <c r="AN1674" s="13"/>
      <c r="AO1674" s="13"/>
      <c r="AP1674" s="13"/>
      <c r="AQ1674" s="13"/>
      <c r="AR1674" s="14"/>
      <c r="AS1674" s="15"/>
    </row>
    <row r="1675" spans="1:45" s="17" customFormat="1" ht="30.95" hidden="1" customHeight="1" x14ac:dyDescent="0.2">
      <c r="A1675" s="37"/>
      <c r="B1675" s="38"/>
      <c r="C1675" s="45"/>
      <c r="D1675" s="31" t="s">
        <v>1276</v>
      </c>
      <c r="E1675" s="414" t="s">
        <v>1277</v>
      </c>
      <c r="F1675" s="268" t="s">
        <v>1304</v>
      </c>
      <c r="G1675" s="269" t="s">
        <v>269</v>
      </c>
      <c r="H1675" s="269" t="s">
        <v>322</v>
      </c>
      <c r="I1675" s="270" t="s">
        <v>2271</v>
      </c>
      <c r="J1675" s="210" t="s">
        <v>935</v>
      </c>
      <c r="K1675" s="270">
        <v>50</v>
      </c>
      <c r="L1675" s="270" t="s">
        <v>831</v>
      </c>
      <c r="M1675" s="39">
        <v>1030</v>
      </c>
      <c r="N1675" s="39">
        <v>4100</v>
      </c>
      <c r="O1675" s="156">
        <v>1</v>
      </c>
      <c r="P1675" s="47"/>
      <c r="Q1675" s="57"/>
      <c r="R1675" s="271" t="s">
        <v>928</v>
      </c>
      <c r="S1675" s="272" t="s">
        <v>928</v>
      </c>
      <c r="T1675" s="273">
        <v>0</v>
      </c>
      <c r="U1675" s="40"/>
      <c r="V1675" s="274">
        <v>1</v>
      </c>
      <c r="W1675" s="269" t="s">
        <v>928</v>
      </c>
      <c r="X1675" s="269" t="s">
        <v>928</v>
      </c>
      <c r="Y1675" s="275">
        <v>2</v>
      </c>
      <c r="Z1675" s="269" t="s">
        <v>116</v>
      </c>
      <c r="AA1675" s="57"/>
      <c r="AB1675" s="303" t="s">
        <v>774</v>
      </c>
      <c r="AC1675" s="33"/>
      <c r="AD1675" s="189"/>
      <c r="AE1675" s="54"/>
      <c r="AF1675" s="55"/>
      <c r="AG1675" s="43"/>
      <c r="AH1675" s="47"/>
      <c r="AI1675" s="30"/>
      <c r="AJ1675" s="30"/>
      <c r="AK1675" s="30"/>
      <c r="AL1675" s="30"/>
      <c r="AM1675" s="13"/>
      <c r="AN1675" s="13"/>
      <c r="AO1675" s="13"/>
      <c r="AP1675" s="13"/>
      <c r="AQ1675" s="13"/>
      <c r="AR1675" s="14"/>
      <c r="AS1675" s="15"/>
    </row>
    <row r="1676" spans="1:45" s="17" customFormat="1" ht="30.95" hidden="1" customHeight="1" x14ac:dyDescent="0.2">
      <c r="A1676" s="37"/>
      <c r="B1676" s="38"/>
      <c r="C1676" s="45"/>
      <c r="D1676" s="31"/>
      <c r="E1676" s="31"/>
      <c r="F1676" s="268"/>
      <c r="G1676" s="269"/>
      <c r="H1676" s="269"/>
      <c r="I1676" s="270"/>
      <c r="J1676" s="210"/>
      <c r="K1676" s="270"/>
      <c r="L1676" s="270"/>
      <c r="M1676" s="39"/>
      <c r="N1676" s="39"/>
      <c r="O1676" s="156"/>
      <c r="P1676" s="47"/>
      <c r="Q1676" s="57"/>
      <c r="R1676" s="338"/>
      <c r="S1676" s="272"/>
      <c r="T1676" s="273"/>
      <c r="U1676" s="40"/>
      <c r="V1676" s="277"/>
      <c r="W1676" s="269"/>
      <c r="X1676" s="269"/>
      <c r="Y1676" s="275"/>
      <c r="Z1676" s="269"/>
      <c r="AA1676" s="57"/>
      <c r="AB1676" s="207"/>
      <c r="AC1676" s="33"/>
      <c r="AD1676" s="189"/>
      <c r="AE1676" s="54"/>
      <c r="AF1676" s="55"/>
      <c r="AG1676" s="43"/>
      <c r="AH1676" s="47"/>
      <c r="AI1676" s="30"/>
      <c r="AJ1676" s="30"/>
      <c r="AK1676" s="30"/>
      <c r="AL1676" s="30"/>
      <c r="AM1676" s="13"/>
      <c r="AN1676" s="13"/>
      <c r="AO1676" s="13"/>
      <c r="AP1676" s="13"/>
      <c r="AQ1676" s="13"/>
      <c r="AR1676" s="14"/>
      <c r="AS1676" s="15"/>
    </row>
    <row r="1677" spans="1:45" s="17" customFormat="1" ht="30.95" hidden="1" customHeight="1" x14ac:dyDescent="0.2">
      <c r="A1677" s="37"/>
      <c r="B1677" s="38"/>
      <c r="C1677" s="45"/>
      <c r="D1677" s="31">
        <v>3741619</v>
      </c>
      <c r="E1677" s="31">
        <v>4162214</v>
      </c>
      <c r="F1677" s="268" t="str">
        <f>IF(D1677="","",VLOOKUP(D1677,契約台帳!$A$3:$K$4986,6,FALSE)&amp;VLOOKUP(D1677,契約台帳!$A$3:$K$4986,7,FALSE)&amp;VLOOKUP(D1677,契約台帳!$A$3:$K$4986,8,FALSE)&amp;VLOOKUP(D1677,契約台帳!$A$3:$K$4986,9,FALSE)&amp;VLOOKUP(D1677,契約台帳!$A$3:$K$4986,11,FALSE))</f>
        <v>3SNMCLBTETV0V</v>
      </c>
      <c r="G1677" s="269" t="str">
        <f>IF(D1677="","",VLOOKUP(F1677,製品マスタ!$G$5:$H$5002,2,FALSE))</f>
        <v>S</v>
      </c>
      <c r="H1677" s="269" t="str">
        <f>IF(D1677="","",VLOOKUP(F1677,製品マスタ!$G$5:$K$5002,5,FALSE))</f>
        <v>TETV0V</v>
      </c>
      <c r="I1677" s="270" t="str">
        <f>IF(D1677="","",VLOOKUP(F1677,製品マスタ!$G$5:$L$5002,6,FALSE))</f>
        <v>メタルミー　ＴＥＳ艶ＶＯＩＤＶ</v>
      </c>
      <c r="J1677" s="210" t="s">
        <v>935</v>
      </c>
      <c r="K1677" s="270">
        <f>IF(D1677="","",VLOOKUP(D1677,契約台帳!$A$3:$L$4986,12,FALSE))</f>
        <v>50</v>
      </c>
      <c r="L1677" s="270" t="str">
        <f>IF(D1677="","",INDEX(製品マスタ!$Q$5:$Q$5002,MATCH('S4'!F1677&amp;'S4'!K1677,製品マスタ!$AO$5:$AO$5002,0)))</f>
        <v>S28SEPA</v>
      </c>
      <c r="M1677" s="39">
        <v>1005</v>
      </c>
      <c r="N1677" s="39">
        <v>4100</v>
      </c>
      <c r="O1677" s="156">
        <v>2</v>
      </c>
      <c r="P1677" s="47">
        <v>2</v>
      </c>
      <c r="Q1677" s="213">
        <v>45349</v>
      </c>
      <c r="R1677" s="271">
        <f ca="1">IF(D1677="","",IF(OFFSET(D1677,-1,0)&lt;&gt;"","",IF(OR(J1677="リード付け",J1677="巻足し",J1677="巻返しリード付け"),M1677,VLOOKUP(D1677,契約台帳!$A$3:$N$4986,14,FALSE))))</f>
        <v>1005</v>
      </c>
      <c r="S1677" s="272">
        <f ca="1">IF(D1677="","",IF(OFFSET(D1677,-1,0)&lt;&gt;"","",IF(OR(J1677="リード付け",J1677="巻足し",J1677="巻返しリード付け"),M1677,VLOOKUP(D1677,契約台帳!$A$3:$O$4986,15,FALSE))))</f>
        <v>1005</v>
      </c>
      <c r="T1677" s="273">
        <f ca="1">IF(D1677="","",IF(J1677="リード付け",N1677,IF(J1677="巻返しリード付け",N1677,IF(J1677="巻足し",N1677*P1677+OFFSET(N1677,1,0)*OFFSET(P1677,1,0),VLOOKUP(D1677,契約台帳!$A$3:$P$4986,16,FALSE)))))</f>
        <v>8200</v>
      </c>
      <c r="U1677" s="40">
        <v>1</v>
      </c>
      <c r="V1677" s="274">
        <f ca="1">IF(D1677="","",IF(OFFSET(D1677,-2,0)=D1677,"",VLOOKUP(D1677,契約台帳!$A$3:$R$4986,18,FALSE)))</f>
        <v>2</v>
      </c>
      <c r="W1677" s="269" t="str">
        <f ca="1">IF(D1677="","",IF(T1677="","",IF(OR(J1677="巻足し",J1677="巻返しリード付け"),"",IF(J1677="巻返し",VLOOKUP(F1677&amp;K1677&amp;M1677,製品マスタ!$M$5:$AD$5002,18,FALSE),IF(OR(J1677="リード付け",J1677="巻返しリード付け"),"原反コア",IF(J1677="スリット",VLOOKUP(F1677&amp;K1677&amp;R1677,製品マスタ!$N$5:$AD$5002,17,FALSE),""))))))</f>
        <v/>
      </c>
      <c r="X1677" s="269" t="str">
        <f ca="1">IF(D1677="","",IF(T1677="","",IF(J1677="巻足し","",IF(J1677="巻返し",VLOOKUP(F1677&amp;K1677&amp;M1677,製品マスタ!$M$5:$AE$5002,19,FALSE),IF(OR(J1677="リード付け",J1677="巻返しリード付け"),"",IF(J1677="スリット",VLOOKUP(F1677&amp;K1677&amp;R1677,製品マスタ!$N$5:$AE$5002,18,FALSE),""))))))</f>
        <v/>
      </c>
      <c r="Y1677" s="275">
        <f ca="1">IF(D1677="","",IF(T1677="","",VLOOKUP(D1677,契約台帳!$A$3:$Q$4986,17,FALSE)))</f>
        <v>2</v>
      </c>
      <c r="Z1677" s="269" t="str">
        <f ca="1">IF(D1677="","",IF(T1677="","",VLOOKUP(D1677,契約台帳!$A$3:$E$4986,5,FALSE)))</f>
        <v>リンテック㈱</v>
      </c>
      <c r="AA1677" s="57"/>
      <c r="AB1677" s="207">
        <f>IFERROR((VLOOKUP(F1677&amp;K1677&amp;M1677,製品マスタ!$M$5:$AM$5002,27,FALSE)),"")</f>
        <v>0</v>
      </c>
      <c r="AC1677" s="33"/>
      <c r="AD1677" s="189"/>
      <c r="AE1677" s="54"/>
      <c r="AF1677" s="55">
        <f>+M1677*N1677*O1677/1000</f>
        <v>8241</v>
      </c>
      <c r="AG1677" s="43"/>
      <c r="AH1677" s="47"/>
      <c r="AI1677" s="30"/>
      <c r="AJ1677" s="30"/>
      <c r="AK1677" s="30"/>
      <c r="AL1677" s="30"/>
      <c r="AM1677" s="13"/>
      <c r="AN1677" s="13"/>
      <c r="AO1677" s="13"/>
      <c r="AP1677" s="13"/>
      <c r="AQ1677" s="13"/>
      <c r="AR1677" s="14"/>
      <c r="AS1677" s="15"/>
    </row>
    <row r="1678" spans="1:45" s="17" customFormat="1" ht="30.95" hidden="1" customHeight="1" x14ac:dyDescent="0.2">
      <c r="A1678" s="37"/>
      <c r="B1678" s="38"/>
      <c r="C1678" s="45"/>
      <c r="D1678" s="31"/>
      <c r="E1678" s="31"/>
      <c r="F1678" s="268"/>
      <c r="G1678" s="269"/>
      <c r="H1678" s="269"/>
      <c r="I1678" s="270"/>
      <c r="J1678" s="210"/>
      <c r="K1678" s="270"/>
      <c r="L1678" s="270"/>
      <c r="M1678" s="39"/>
      <c r="N1678" s="39"/>
      <c r="O1678" s="156"/>
      <c r="P1678" s="47"/>
      <c r="Q1678" s="57"/>
      <c r="R1678" s="338"/>
      <c r="S1678" s="272"/>
      <c r="T1678" s="273"/>
      <c r="U1678" s="40"/>
      <c r="V1678" s="277"/>
      <c r="W1678" s="269"/>
      <c r="X1678" s="269"/>
      <c r="Y1678" s="275"/>
      <c r="Z1678" s="269"/>
      <c r="AA1678" s="57"/>
      <c r="AB1678" s="207"/>
      <c r="AC1678" s="33"/>
      <c r="AD1678" s="189"/>
      <c r="AE1678" s="54"/>
      <c r="AF1678" s="55"/>
      <c r="AG1678" s="43"/>
      <c r="AH1678" s="47"/>
      <c r="AI1678" s="30"/>
      <c r="AJ1678" s="30"/>
      <c r="AK1678" s="30"/>
      <c r="AL1678" s="30"/>
      <c r="AM1678" s="13"/>
      <c r="AN1678" s="13"/>
      <c r="AO1678" s="13"/>
      <c r="AP1678" s="13"/>
      <c r="AQ1678" s="13"/>
      <c r="AR1678" s="14"/>
      <c r="AS1678" s="15"/>
    </row>
    <row r="1679" spans="1:45" s="17" customFormat="1" ht="30.95" hidden="1" customHeight="1" x14ac:dyDescent="0.2">
      <c r="A1679" s="37" t="s">
        <v>949</v>
      </c>
      <c r="B1679" s="38" t="s">
        <v>445</v>
      </c>
      <c r="C1679" s="45"/>
      <c r="D1679" s="31"/>
      <c r="E1679" s="31"/>
      <c r="F1679" s="268"/>
      <c r="G1679" s="269"/>
      <c r="H1679" s="269"/>
      <c r="I1679" s="270"/>
      <c r="J1679" s="210" t="s">
        <v>448</v>
      </c>
      <c r="K1679" s="270"/>
      <c r="L1679" s="270"/>
      <c r="M1679" s="39"/>
      <c r="N1679" s="39"/>
      <c r="O1679" s="156"/>
      <c r="P1679" s="47"/>
      <c r="Q1679" s="57"/>
      <c r="R1679" s="338"/>
      <c r="S1679" s="272"/>
      <c r="T1679" s="273"/>
      <c r="U1679" s="40"/>
      <c r="V1679" s="277"/>
      <c r="W1679" s="269"/>
      <c r="X1679" s="269"/>
      <c r="Y1679" s="275"/>
      <c r="Z1679" s="269"/>
      <c r="AA1679" s="57"/>
      <c r="AB1679" s="207"/>
      <c r="AC1679" s="33"/>
      <c r="AD1679" s="189"/>
      <c r="AE1679" s="54"/>
      <c r="AF1679" s="55"/>
      <c r="AG1679" s="43"/>
      <c r="AH1679" s="47"/>
      <c r="AI1679" s="30"/>
      <c r="AJ1679" s="30"/>
      <c r="AK1679" s="30"/>
      <c r="AL1679" s="30"/>
      <c r="AM1679" s="13"/>
      <c r="AN1679" s="13"/>
      <c r="AO1679" s="13"/>
      <c r="AP1679" s="13"/>
      <c r="AQ1679" s="13"/>
      <c r="AR1679" s="14"/>
      <c r="AS1679" s="15"/>
    </row>
    <row r="1680" spans="1:45" s="17" customFormat="1" ht="30.95" hidden="1" customHeight="1" x14ac:dyDescent="0.2">
      <c r="A1680" s="37"/>
      <c r="B1680" s="38"/>
      <c r="C1680" s="45"/>
      <c r="D1680" s="31"/>
      <c r="E1680" s="31"/>
      <c r="F1680" s="268"/>
      <c r="G1680" s="269"/>
      <c r="H1680" s="269"/>
      <c r="I1680" s="270"/>
      <c r="J1680" s="210"/>
      <c r="K1680" s="270"/>
      <c r="L1680" s="270"/>
      <c r="M1680" s="39"/>
      <c r="N1680" s="39"/>
      <c r="O1680" s="156"/>
      <c r="P1680" s="47"/>
      <c r="Q1680" s="57"/>
      <c r="R1680" s="338"/>
      <c r="S1680" s="272"/>
      <c r="T1680" s="273"/>
      <c r="U1680" s="40"/>
      <c r="V1680" s="277"/>
      <c r="W1680" s="269"/>
      <c r="X1680" s="269"/>
      <c r="Y1680" s="275"/>
      <c r="Z1680" s="269"/>
      <c r="AA1680" s="57"/>
      <c r="AB1680" s="207"/>
      <c r="AC1680" s="33"/>
      <c r="AD1680" s="189"/>
      <c r="AE1680" s="54"/>
      <c r="AF1680" s="55"/>
      <c r="AG1680" s="43"/>
      <c r="AH1680" s="47"/>
      <c r="AI1680" s="30"/>
      <c r="AJ1680" s="30"/>
      <c r="AK1680" s="30"/>
      <c r="AL1680" s="30"/>
      <c r="AM1680" s="13"/>
      <c r="AN1680" s="13"/>
      <c r="AO1680" s="13"/>
      <c r="AP1680" s="13"/>
      <c r="AQ1680" s="13"/>
      <c r="AR1680" s="14"/>
      <c r="AS1680" s="15"/>
    </row>
    <row r="1681" spans="1:45" s="17" customFormat="1" ht="30.95" hidden="1" customHeight="1" x14ac:dyDescent="0.2">
      <c r="A1681" s="37" t="s">
        <v>950</v>
      </c>
      <c r="B1681" s="38" t="s">
        <v>446</v>
      </c>
      <c r="C1681" s="45"/>
      <c r="D1681" s="31"/>
      <c r="E1681" s="31"/>
      <c r="F1681" s="268"/>
      <c r="G1681" s="269"/>
      <c r="H1681" s="269"/>
      <c r="I1681" s="270"/>
      <c r="J1681" s="210" t="s">
        <v>448</v>
      </c>
      <c r="K1681" s="270"/>
      <c r="L1681" s="270"/>
      <c r="M1681" s="39"/>
      <c r="N1681" s="39"/>
      <c r="O1681" s="156"/>
      <c r="P1681" s="47"/>
      <c r="Q1681" s="57"/>
      <c r="R1681" s="338"/>
      <c r="S1681" s="272"/>
      <c r="T1681" s="273"/>
      <c r="U1681" s="40"/>
      <c r="V1681" s="277"/>
      <c r="W1681" s="269"/>
      <c r="X1681" s="269"/>
      <c r="Y1681" s="275"/>
      <c r="Z1681" s="269"/>
      <c r="AA1681" s="57"/>
      <c r="AB1681" s="207"/>
      <c r="AC1681" s="33"/>
      <c r="AD1681" s="189"/>
      <c r="AE1681" s="54"/>
      <c r="AF1681" s="55"/>
      <c r="AG1681" s="43"/>
      <c r="AH1681" s="47"/>
      <c r="AI1681" s="30"/>
      <c r="AJ1681" s="30"/>
      <c r="AK1681" s="30"/>
      <c r="AL1681" s="30"/>
      <c r="AM1681" s="13"/>
      <c r="AN1681" s="13"/>
      <c r="AO1681" s="13"/>
      <c r="AP1681" s="13"/>
      <c r="AQ1681" s="13"/>
      <c r="AR1681" s="14"/>
      <c r="AS1681" s="15"/>
    </row>
    <row r="1682" spans="1:45" s="17" customFormat="1" ht="30.95" hidden="1" customHeight="1" x14ac:dyDescent="0.2">
      <c r="A1682" s="37"/>
      <c r="B1682" s="38"/>
      <c r="C1682" s="45"/>
      <c r="D1682" s="31"/>
      <c r="E1682" s="31"/>
      <c r="F1682" s="268"/>
      <c r="G1682" s="269"/>
      <c r="H1682" s="269"/>
      <c r="I1682" s="270"/>
      <c r="J1682" s="210"/>
      <c r="K1682" s="270"/>
      <c r="L1682" s="270"/>
      <c r="M1682" s="39"/>
      <c r="N1682" s="39"/>
      <c r="O1682" s="156"/>
      <c r="P1682" s="47"/>
      <c r="Q1682" s="57"/>
      <c r="R1682" s="338"/>
      <c r="S1682" s="272"/>
      <c r="T1682" s="273"/>
      <c r="U1682" s="40"/>
      <c r="V1682" s="277"/>
      <c r="W1682" s="269"/>
      <c r="X1682" s="269"/>
      <c r="Y1682" s="275"/>
      <c r="Z1682" s="269"/>
      <c r="AA1682" s="57"/>
      <c r="AB1682" s="207"/>
      <c r="AC1682" s="33"/>
      <c r="AD1682" s="189"/>
      <c r="AE1682" s="54"/>
      <c r="AF1682" s="55"/>
      <c r="AG1682" s="43"/>
      <c r="AH1682" s="47"/>
      <c r="AI1682" s="30"/>
      <c r="AJ1682" s="30"/>
      <c r="AK1682" s="30"/>
      <c r="AL1682" s="30"/>
      <c r="AM1682" s="13"/>
      <c r="AN1682" s="13"/>
      <c r="AO1682" s="13"/>
      <c r="AP1682" s="13"/>
      <c r="AQ1682" s="13"/>
      <c r="AR1682" s="14"/>
      <c r="AS1682" s="15"/>
    </row>
    <row r="1683" spans="1:45" s="17" customFormat="1" ht="30.95" hidden="1" customHeight="1" x14ac:dyDescent="0.2">
      <c r="A1683" s="37" t="s">
        <v>2280</v>
      </c>
      <c r="B1683" s="38" t="s">
        <v>2281</v>
      </c>
      <c r="C1683" s="45"/>
      <c r="D1683" s="31">
        <v>3741618</v>
      </c>
      <c r="E1683" s="31">
        <v>4162193</v>
      </c>
      <c r="F1683" s="268" t="str">
        <f>IF(D1683="","",VLOOKUP(D1683,契約台帳!$A$3:$K$4986,6,FALSE)&amp;VLOOKUP(D1683,契約台帳!$A$3:$K$4986,7,FALSE)&amp;VLOOKUP(D1683,契約台帳!$A$3:$K$4986,8,FALSE)&amp;VLOOKUP(D1683,契約台帳!$A$3:$K$4986,9,FALSE)&amp;VLOOKUP(D1683,契約台帳!$A$3:$K$4986,11,FALSE))</f>
        <v>33SSNMCLBTETKFV</v>
      </c>
      <c r="G1683" s="269" t="str">
        <f>IF(D1683="","",VLOOKUP(F1683,製品マスタ!$G$5:$H$5002,2,FALSE))</f>
        <v>S</v>
      </c>
      <c r="H1683" s="269" t="str">
        <f>IF(D1683="","",VLOOKUP(F1683,製品マスタ!$G$5:$K$5002,5,FALSE))</f>
        <v>TETKFV</v>
      </c>
      <c r="I1683" s="270" t="str">
        <f>IF(D1683="","",VLOOKUP(F1683,製品マスタ!$G$5:$L$5002,6,FALSE))</f>
        <v>メタルミー　ＴＥＳ艶開封　Ｖ</v>
      </c>
      <c r="J1683" s="210" t="s">
        <v>935</v>
      </c>
      <c r="K1683" s="270">
        <f>IF(D1683="","",VLOOKUP(D1683,契約台帳!$A$3:$L$4986,12,FALSE))</f>
        <v>50</v>
      </c>
      <c r="L1683" s="270" t="str">
        <f>IF(D1683="","",INDEX(製品マスタ!$Q$5:$Q$5002,MATCH('S4'!F1683&amp;'S4'!K1683,製品マスタ!$AO$5:$AO$5002,0)))</f>
        <v>S28SEPA</v>
      </c>
      <c r="M1683" s="39">
        <v>1005</v>
      </c>
      <c r="N1683" s="39">
        <v>4100</v>
      </c>
      <c r="O1683" s="156">
        <v>6</v>
      </c>
      <c r="P1683" s="47">
        <v>3</v>
      </c>
      <c r="Q1683" s="213">
        <v>45349</v>
      </c>
      <c r="R1683" s="271">
        <f ca="1">IF(D1683="","",IF(OFFSET(D1683,-1,0)&lt;&gt;"","",IF(OR(J1683="リード付け",J1683="巻足し",J1683="巻返しリード付け"),M1683,VLOOKUP(D1683,契約台帳!$A$3:$N$4986,14,FALSE))))</f>
        <v>1005</v>
      </c>
      <c r="S1683" s="272">
        <f ca="1">IF(D1683="","",IF(OFFSET(D1683,-1,0)&lt;&gt;"","",IF(OR(J1683="リード付け",J1683="巻足し",J1683="巻返しリード付け"),M1683,VLOOKUP(D1683,契約台帳!$A$3:$O$4986,15,FALSE))))</f>
        <v>1005</v>
      </c>
      <c r="T1683" s="273">
        <f ca="1">IF(D1683="","",IF(J1683="リード付け",N1683,IF(J1683="巻返しリード付け",N1683,IF(J1683="巻足し",N1683*P1683+OFFSET(N1683,1,0)*OFFSET(P1683,1,0),VLOOKUP(D1683,契約台帳!$A$3:$P$4986,16,FALSE)))))</f>
        <v>12300</v>
      </c>
      <c r="U1683" s="40">
        <v>2</v>
      </c>
      <c r="V1683" s="274">
        <f ca="1">IF(D1683="","",IF(OFFSET(D1683,-2,0)=D1683,"",VLOOKUP(D1683,契約台帳!$A$3:$R$4986,18,FALSE)))</f>
        <v>6</v>
      </c>
      <c r="W1683" s="269" t="str">
        <f ca="1">IF(D1683="","",IF(T1683="","",IF(OR(J1683="巻足し",J1683="巻返しリード付け"),"",IF(J1683="巻返し",VLOOKUP(F1683&amp;K1683&amp;M1683,製品マスタ!$M$5:$AD$5002,18,FALSE),IF(OR(J1683="リード付け",J1683="巻返しリード付け"),"原反コア",IF(J1683="スリット",VLOOKUP(F1683&amp;K1683&amp;R1683,製品マスタ!$N$5:$AD$5002,17,FALSE),""))))))</f>
        <v/>
      </c>
      <c r="X1683" s="269" t="str">
        <f ca="1">IF(D1683="","",IF(T1683="","",IF(J1683="巻足し","",IF(J1683="巻返し",VLOOKUP(F1683&amp;K1683&amp;M1683,製品マスタ!$M$5:$AE$5002,19,FALSE),IF(OR(J1683="リード付け",J1683="巻返しリード付け"),"",IF(J1683="スリット",VLOOKUP(F1683&amp;K1683&amp;R1683,製品マスタ!$N$5:$AE$5002,18,FALSE),""))))))</f>
        <v/>
      </c>
      <c r="Y1683" s="275">
        <f ca="1">IF(D1683="","",IF(T1683="","",VLOOKUP(D1683,契約台帳!$A$3:$Q$4986,17,FALSE)))</f>
        <v>2</v>
      </c>
      <c r="Z1683" s="269" t="str">
        <f ca="1">IF(D1683="","",IF(T1683="","",VLOOKUP(D1683,契約台帳!$A$3:$E$4986,5,FALSE)))</f>
        <v>リンテック㈱</v>
      </c>
      <c r="AA1683" s="57"/>
      <c r="AB1683" s="207">
        <f>IFERROR((VLOOKUP(F1683&amp;K1683&amp;M1683,製品マスタ!$M$5:$AM$5002,27,FALSE)),"")</f>
        <v>0</v>
      </c>
      <c r="AC1683" s="33"/>
      <c r="AD1683" s="189"/>
      <c r="AE1683" s="54"/>
      <c r="AF1683" s="55">
        <f>+M1683*N1683*O1683/1000</f>
        <v>24723</v>
      </c>
      <c r="AG1683" s="43"/>
      <c r="AH1683" s="47"/>
      <c r="AI1683" s="30"/>
      <c r="AJ1683" s="30"/>
      <c r="AK1683" s="30"/>
      <c r="AL1683" s="30"/>
      <c r="AM1683" s="13"/>
      <c r="AN1683" s="13"/>
      <c r="AO1683" s="13"/>
      <c r="AP1683" s="13"/>
      <c r="AQ1683" s="13"/>
      <c r="AR1683" s="14"/>
      <c r="AS1683" s="15"/>
    </row>
    <row r="1684" spans="1:45" s="17" customFormat="1" ht="30.95" hidden="1" customHeight="1" x14ac:dyDescent="0.2">
      <c r="A1684" s="37"/>
      <c r="B1684" s="38"/>
      <c r="C1684" s="45"/>
      <c r="D1684" s="31"/>
      <c r="E1684" s="31"/>
      <c r="F1684" s="268"/>
      <c r="G1684" s="269"/>
      <c r="H1684" s="269"/>
      <c r="I1684" s="270"/>
      <c r="J1684" s="210"/>
      <c r="K1684" s="270"/>
      <c r="L1684" s="270"/>
      <c r="M1684" s="39"/>
      <c r="N1684" s="39"/>
      <c r="O1684" s="156"/>
      <c r="P1684" s="47"/>
      <c r="Q1684" s="57"/>
      <c r="R1684" s="338"/>
      <c r="S1684" s="272"/>
      <c r="T1684" s="273"/>
      <c r="U1684" s="40"/>
      <c r="V1684" s="277"/>
      <c r="W1684" s="269"/>
      <c r="X1684" s="269"/>
      <c r="Y1684" s="275"/>
      <c r="Z1684" s="269"/>
      <c r="AA1684" s="57"/>
      <c r="AB1684" s="207"/>
      <c r="AC1684" s="33"/>
      <c r="AD1684" s="189"/>
      <c r="AE1684" s="54"/>
      <c r="AF1684" s="55"/>
      <c r="AG1684" s="43"/>
      <c r="AH1684" s="47"/>
      <c r="AI1684" s="30"/>
      <c r="AJ1684" s="30"/>
      <c r="AK1684" s="30"/>
      <c r="AL1684" s="30"/>
      <c r="AM1684" s="13"/>
      <c r="AN1684" s="13"/>
      <c r="AO1684" s="13"/>
      <c r="AP1684" s="13"/>
      <c r="AQ1684" s="13"/>
      <c r="AR1684" s="14"/>
      <c r="AS1684" s="15"/>
    </row>
    <row r="1685" spans="1:45" s="17" customFormat="1" ht="30.6" hidden="1" customHeight="1" x14ac:dyDescent="0.2">
      <c r="A1685" s="37"/>
      <c r="B1685" s="38"/>
      <c r="C1685" s="45"/>
      <c r="D1685" s="31">
        <v>3744881</v>
      </c>
      <c r="E1685" s="31">
        <v>4162231</v>
      </c>
      <c r="F1685" s="268" t="str">
        <f>IF(D1685="","",VLOOKUP(D1685,契約台帳!$A$3:$K$4986,6,FALSE)&amp;VLOOKUP(D1685,契約台帳!$A$3:$K$4986,7,FALSE)&amp;VLOOKUP(D1685,契約台帳!$A$3:$K$4986,8,FALSE)&amp;VLOOKUP(D1685,契約台帳!$A$3:$K$4986,9,FALSE)&amp;VLOOKUP(D1685,契約台帳!$A$3:$K$4986,11,FALSE))</f>
        <v>33SSNMCLBTETKFV</v>
      </c>
      <c r="G1685" s="269" t="str">
        <f>IF(D1685="","",VLOOKUP(F1685,製品マスタ!$G$5:$H$5002,2,FALSE))</f>
        <v>S</v>
      </c>
      <c r="H1685" s="269" t="str">
        <f>IF(D1685="","",VLOOKUP(F1685,製品マスタ!$G$5:$K$5002,5,FALSE))</f>
        <v>TETKFV</v>
      </c>
      <c r="I1685" s="270" t="str">
        <f>IF(D1685="","",VLOOKUP(F1685,製品マスタ!$G$5:$L$5002,6,FALSE))</f>
        <v>メタルミー　ＴＥＳ艶開封　Ｖ</v>
      </c>
      <c r="J1685" s="210" t="s">
        <v>935</v>
      </c>
      <c r="K1685" s="270">
        <f>IF(D1685="","",VLOOKUP(D1685,契約台帳!$A$3:$L$4986,12,FALSE))</f>
        <v>50</v>
      </c>
      <c r="L1685" s="270" t="str">
        <f>IF(D1685="","",INDEX(製品マスタ!$Q$5:$Q$5002,MATCH('S4'!F1685&amp;'S4'!K1685,製品マスタ!$AO$5:$AO$5002,0)))</f>
        <v>S28SEPA</v>
      </c>
      <c r="M1685" s="39">
        <v>1005</v>
      </c>
      <c r="N1685" s="39">
        <v>4100</v>
      </c>
      <c r="O1685" s="156">
        <v>6</v>
      </c>
      <c r="P1685" s="47">
        <v>3</v>
      </c>
      <c r="Q1685" s="213">
        <v>45359</v>
      </c>
      <c r="R1685" s="271">
        <f ca="1">IF(D1685="","",IF(OFFSET(D1685,-1,0)&lt;&gt;"","",IF(OR(J1685="リード付け",J1685="巻足し",J1685="巻返しリード付け"),M1685,VLOOKUP(D1685,契約台帳!$A$3:$N$4986,14,FALSE))))</f>
        <v>1005</v>
      </c>
      <c r="S1685" s="272">
        <f ca="1">IF(D1685="","",IF(OFFSET(D1685,-1,0)&lt;&gt;"","",IF(OR(J1685="リード付け",J1685="巻足し",J1685="巻返しリード付け"),M1685,VLOOKUP(D1685,契約台帳!$A$3:$O$4986,15,FALSE))))</f>
        <v>1005</v>
      </c>
      <c r="T1685" s="273">
        <f ca="1">IF(D1685="","",IF(J1685="リード付け",N1685,IF(J1685="巻返しリード付け",N1685,IF(J1685="巻足し",N1685*P1685+OFFSET(N1685,1,0)*OFFSET(P1685,1,0),VLOOKUP(D1685,契約台帳!$A$3:$P$4986,16,FALSE)))))</f>
        <v>12300</v>
      </c>
      <c r="U1685" s="40">
        <v>2</v>
      </c>
      <c r="V1685" s="274">
        <f ca="1">IF(D1685="","",IF(OFFSET(D1685,-2,0)=D1685,"",VLOOKUP(D1685,契約台帳!$A$3:$R$4986,18,FALSE)))</f>
        <v>6</v>
      </c>
      <c r="W1685" s="269" t="str">
        <f ca="1">IF(D1685="","",IF(T1685="","",IF(OR(J1685="巻足し",J1685="巻返しリード付け"),"",IF(J1685="巻返し",VLOOKUP(F1685&amp;K1685&amp;M1685,製品マスタ!$M$5:$AD$5002,18,FALSE),IF(OR(J1685="リード付け",J1685="巻返しリード付け"),"原反コア",IF(J1685="スリット",VLOOKUP(F1685&amp;K1685&amp;R1685,製品マスタ!$N$5:$AD$5002,17,FALSE),""))))))</f>
        <v/>
      </c>
      <c r="X1685" s="269" t="str">
        <f ca="1">IF(D1685="","",IF(T1685="","",IF(J1685="巻足し","",IF(J1685="巻返し",VLOOKUP(F1685&amp;K1685&amp;M1685,製品マスタ!$M$5:$AE$5002,19,FALSE),IF(OR(J1685="リード付け",J1685="巻返しリード付け"),"",IF(J1685="スリット",VLOOKUP(F1685&amp;K1685&amp;R1685,製品マスタ!$N$5:$AE$5002,18,FALSE),""))))))</f>
        <v/>
      </c>
      <c r="Y1685" s="275">
        <f ca="1">IF(D1685="","",IF(T1685="","",VLOOKUP(D1685,契約台帳!$A$3:$Q$4986,17,FALSE)))</f>
        <v>2</v>
      </c>
      <c r="Z1685" s="269" t="str">
        <f ca="1">IF(D1685="","",IF(T1685="","",VLOOKUP(D1685,契約台帳!$A$3:$E$4986,5,FALSE)))</f>
        <v>リンテック㈱</v>
      </c>
      <c r="AA1685" s="57"/>
      <c r="AB1685" s="207">
        <f>IFERROR((VLOOKUP(F1685&amp;K1685&amp;M1685,製品マスタ!$M$5:$AM$5002,27,FALSE)),"")</f>
        <v>0</v>
      </c>
      <c r="AC1685" s="33"/>
      <c r="AD1685" s="189"/>
      <c r="AE1685" s="54"/>
      <c r="AF1685" s="55">
        <f>+M1685*N1685*O1685/1000</f>
        <v>24723</v>
      </c>
      <c r="AG1685" s="43"/>
      <c r="AH1685" s="47"/>
      <c r="AI1685" s="30"/>
      <c r="AJ1685" s="30"/>
      <c r="AK1685" s="30"/>
      <c r="AL1685" s="30"/>
      <c r="AM1685" s="13"/>
      <c r="AN1685" s="13"/>
      <c r="AO1685" s="13"/>
      <c r="AP1685" s="13"/>
      <c r="AQ1685" s="13"/>
      <c r="AR1685" s="14"/>
      <c r="AS1685" s="15"/>
    </row>
    <row r="1686" spans="1:45" s="17" customFormat="1" ht="30.95" hidden="1" customHeight="1" x14ac:dyDescent="0.2">
      <c r="A1686" s="37"/>
      <c r="B1686" s="38"/>
      <c r="C1686" s="45"/>
      <c r="D1686" s="31"/>
      <c r="E1686" s="31"/>
      <c r="F1686" s="268"/>
      <c r="G1686" s="269"/>
      <c r="H1686" s="269"/>
      <c r="I1686" s="270"/>
      <c r="J1686" s="210"/>
      <c r="K1686" s="270"/>
      <c r="L1686" s="270"/>
      <c r="M1686" s="39"/>
      <c r="N1686" s="39"/>
      <c r="O1686" s="156"/>
      <c r="P1686" s="47"/>
      <c r="Q1686" s="57"/>
      <c r="R1686" s="338"/>
      <c r="S1686" s="272"/>
      <c r="T1686" s="273"/>
      <c r="U1686" s="40"/>
      <c r="V1686" s="277"/>
      <c r="W1686" s="269"/>
      <c r="X1686" s="269"/>
      <c r="Y1686" s="275"/>
      <c r="Z1686" s="269"/>
      <c r="AA1686" s="57"/>
      <c r="AB1686" s="207"/>
      <c r="AC1686" s="33"/>
      <c r="AD1686" s="189"/>
      <c r="AE1686" s="54"/>
      <c r="AF1686" s="55"/>
      <c r="AG1686" s="43"/>
      <c r="AH1686" s="47"/>
      <c r="AI1686" s="30"/>
      <c r="AJ1686" s="30"/>
      <c r="AK1686" s="30"/>
      <c r="AL1686" s="30"/>
      <c r="AM1686" s="13"/>
      <c r="AN1686" s="13"/>
      <c r="AO1686" s="13"/>
      <c r="AP1686" s="13"/>
      <c r="AQ1686" s="13"/>
      <c r="AR1686" s="14"/>
      <c r="AS1686" s="15"/>
    </row>
    <row r="1687" spans="1:45" s="17" customFormat="1" ht="30.6" hidden="1" customHeight="1" x14ac:dyDescent="0.2">
      <c r="A1687" s="37"/>
      <c r="B1687" s="38"/>
      <c r="C1687" s="45"/>
      <c r="D1687" s="31">
        <v>3744882</v>
      </c>
      <c r="E1687" s="31">
        <v>4162244</v>
      </c>
      <c r="F1687" s="268" t="str">
        <f>IF(D1687="","",VLOOKUP(D1687,契約台帳!$A$3:$K$4986,6,FALSE)&amp;VLOOKUP(D1687,契約台帳!$A$3:$K$4986,7,FALSE)&amp;VLOOKUP(D1687,契約台帳!$A$3:$K$4986,8,FALSE)&amp;VLOOKUP(D1687,契約台帳!$A$3:$K$4986,9,FALSE)&amp;VLOOKUP(D1687,契約台帳!$A$3:$K$4986,11,FALSE))</f>
        <v>3SNMCLBTETV0V</v>
      </c>
      <c r="G1687" s="269" t="str">
        <f>IF(D1687="","",VLOOKUP(F1687,製品マスタ!$G$5:$H$5002,2,FALSE))</f>
        <v>S</v>
      </c>
      <c r="H1687" s="269" t="str">
        <f>IF(D1687="","",VLOOKUP(F1687,製品マスタ!$G$5:$K$5002,5,FALSE))</f>
        <v>TETV0V</v>
      </c>
      <c r="I1687" s="270" t="str">
        <f>IF(D1687="","",VLOOKUP(F1687,製品マスタ!$G$5:$L$5002,6,FALSE))</f>
        <v>メタルミー　ＴＥＳ艶ＶＯＩＤＶ</v>
      </c>
      <c r="J1687" s="210" t="s">
        <v>935</v>
      </c>
      <c r="K1687" s="270">
        <f>IF(D1687="","",VLOOKUP(D1687,契約台帳!$A$3:$L$4986,12,FALSE))</f>
        <v>50</v>
      </c>
      <c r="L1687" s="270" t="str">
        <f>IF(D1687="","",INDEX(製品マスタ!$Q$5:$Q$5002,MATCH('S4'!F1687&amp;'S4'!K1687,製品マスタ!$AO$5:$AO$5002,0)))</f>
        <v>S28SEPA</v>
      </c>
      <c r="M1687" s="39">
        <v>1005</v>
      </c>
      <c r="N1687" s="39">
        <v>4100</v>
      </c>
      <c r="O1687" s="156">
        <v>2</v>
      </c>
      <c r="P1687" s="47">
        <v>2</v>
      </c>
      <c r="Q1687" s="213">
        <v>45359</v>
      </c>
      <c r="R1687" s="271">
        <f ca="1">IF(D1687="","",IF(OFFSET(D1687,-1,0)&lt;&gt;"","",IF(OR(J1687="リード付け",J1687="巻足し",J1687="巻返しリード付け"),M1687,VLOOKUP(D1687,契約台帳!$A$3:$N$4986,14,FALSE))))</f>
        <v>1005</v>
      </c>
      <c r="S1687" s="272">
        <f ca="1">IF(D1687="","",IF(OFFSET(D1687,-1,0)&lt;&gt;"","",IF(OR(J1687="リード付け",J1687="巻足し",J1687="巻返しリード付け"),M1687,VLOOKUP(D1687,契約台帳!$A$3:$O$4986,15,FALSE))))</f>
        <v>1005</v>
      </c>
      <c r="T1687" s="273">
        <f ca="1">IF(D1687="","",IF(J1687="リード付け",N1687,IF(J1687="巻返しリード付け",N1687,IF(J1687="巻足し",N1687*P1687+OFFSET(N1687,1,0)*OFFSET(P1687,1,0),VLOOKUP(D1687,契約台帳!$A$3:$P$4986,16,FALSE)))))</f>
        <v>8200</v>
      </c>
      <c r="U1687" s="40">
        <v>1</v>
      </c>
      <c r="V1687" s="274">
        <f ca="1">IF(D1687="","",IF(OFFSET(D1687,-2,0)=D1687,"",VLOOKUP(D1687,契約台帳!$A$3:$R$4986,18,FALSE)))</f>
        <v>2</v>
      </c>
      <c r="W1687" s="269" t="str">
        <f ca="1">IF(D1687="","",IF(T1687="","",IF(OR(J1687="巻足し",J1687="巻返しリード付け"),"",IF(J1687="巻返し",VLOOKUP(F1687&amp;K1687&amp;M1687,製品マスタ!$M$5:$AD$5002,18,FALSE),IF(OR(J1687="リード付け",J1687="巻返しリード付け"),"原反コア",IF(J1687="スリット",VLOOKUP(F1687&amp;K1687&amp;R1687,製品マスタ!$N$5:$AD$5002,17,FALSE),""))))))</f>
        <v/>
      </c>
      <c r="X1687" s="269" t="str">
        <f ca="1">IF(D1687="","",IF(T1687="","",IF(J1687="巻足し","",IF(J1687="巻返し",VLOOKUP(F1687&amp;K1687&amp;M1687,製品マスタ!$M$5:$AE$5002,19,FALSE),IF(OR(J1687="リード付け",J1687="巻返しリード付け"),"",IF(J1687="スリット",VLOOKUP(F1687&amp;K1687&amp;R1687,製品マスタ!$N$5:$AE$5002,18,FALSE),""))))))</f>
        <v/>
      </c>
      <c r="Y1687" s="275">
        <f ca="1">IF(D1687="","",IF(T1687="","",VLOOKUP(D1687,契約台帳!$A$3:$Q$4986,17,FALSE)))</f>
        <v>2</v>
      </c>
      <c r="Z1687" s="269" t="str">
        <f ca="1">IF(D1687="","",IF(T1687="","",VLOOKUP(D1687,契約台帳!$A$3:$E$4986,5,FALSE)))</f>
        <v>リンテック㈱</v>
      </c>
      <c r="AA1687" s="57"/>
      <c r="AB1687" s="207">
        <f>IFERROR((VLOOKUP(F1687&amp;K1687&amp;M1687,製品マスタ!$M$5:$AM$5002,27,FALSE)),"")</f>
        <v>0</v>
      </c>
      <c r="AC1687" s="33"/>
      <c r="AD1687" s="189"/>
      <c r="AE1687" s="54"/>
      <c r="AF1687" s="55">
        <f>+M1687*N1687*O1687/1000</f>
        <v>8241</v>
      </c>
      <c r="AG1687" s="43"/>
      <c r="AH1687" s="47"/>
      <c r="AI1687" s="30"/>
      <c r="AJ1687" s="30"/>
      <c r="AK1687" s="30"/>
      <c r="AL1687" s="30"/>
      <c r="AM1687" s="13"/>
      <c r="AN1687" s="13"/>
      <c r="AO1687" s="13"/>
      <c r="AP1687" s="13"/>
      <c r="AQ1687" s="13"/>
      <c r="AR1687" s="14"/>
      <c r="AS1687" s="15"/>
    </row>
    <row r="1688" spans="1:45" s="17" customFormat="1" ht="30.95" hidden="1" customHeight="1" x14ac:dyDescent="0.2">
      <c r="A1688" s="37"/>
      <c r="B1688" s="38"/>
      <c r="C1688" s="45"/>
      <c r="D1688" s="31"/>
      <c r="E1688" s="31"/>
      <c r="F1688" s="268"/>
      <c r="G1688" s="269"/>
      <c r="H1688" s="269"/>
      <c r="I1688" s="270"/>
      <c r="J1688" s="210"/>
      <c r="K1688" s="270"/>
      <c r="L1688" s="270"/>
      <c r="M1688" s="39"/>
      <c r="N1688" s="39"/>
      <c r="O1688" s="156"/>
      <c r="P1688" s="47"/>
      <c r="Q1688" s="57"/>
      <c r="R1688" s="338"/>
      <c r="S1688" s="272"/>
      <c r="T1688" s="273"/>
      <c r="U1688" s="40"/>
      <c r="V1688" s="277"/>
      <c r="W1688" s="269"/>
      <c r="X1688" s="269"/>
      <c r="Y1688" s="275"/>
      <c r="Z1688" s="269"/>
      <c r="AA1688" s="57"/>
      <c r="AB1688" s="207"/>
      <c r="AC1688" s="33"/>
      <c r="AD1688" s="189"/>
      <c r="AE1688" s="54"/>
      <c r="AF1688" s="55"/>
      <c r="AG1688" s="43"/>
      <c r="AH1688" s="47"/>
      <c r="AI1688" s="30"/>
      <c r="AJ1688" s="30"/>
      <c r="AK1688" s="30"/>
      <c r="AL1688" s="30"/>
      <c r="AM1688" s="13"/>
      <c r="AN1688" s="13"/>
      <c r="AO1688" s="13"/>
      <c r="AP1688" s="13"/>
      <c r="AQ1688" s="13"/>
      <c r="AR1688" s="14"/>
      <c r="AS1688" s="15"/>
    </row>
    <row r="1689" spans="1:45" s="17" customFormat="1" ht="30.6" hidden="1" customHeight="1" x14ac:dyDescent="0.2">
      <c r="A1689" s="37"/>
      <c r="B1689" s="38"/>
      <c r="C1689" s="45"/>
      <c r="D1689" s="31">
        <v>3741608</v>
      </c>
      <c r="E1689" s="31">
        <v>4162213</v>
      </c>
      <c r="F1689" s="268" t="str">
        <f>IF(D1689="","",VLOOKUP(D1689,契約台帳!$A$3:$K$4986,6,FALSE)&amp;VLOOKUP(D1689,契約台帳!$A$3:$K$4986,7,FALSE)&amp;VLOOKUP(D1689,契約台帳!$A$3:$K$4986,8,FALSE)&amp;VLOOKUP(D1689,契約台帳!$A$3:$K$4986,9,FALSE)&amp;VLOOKUP(D1689,契約台帳!$A$3:$K$4986,11,FALSE))</f>
        <v>3SNMCLBNGKVB</v>
      </c>
      <c r="G1689" s="269" t="str">
        <f>IF(D1689="","",VLOOKUP(F1689,製品マスタ!$G$5:$H$5002,2,FALSE))</f>
        <v>S</v>
      </c>
      <c r="H1689" s="269" t="str">
        <f>IF(D1689="","",VLOOKUP(F1689,製品マスタ!$G$5:$K$5002,5,FALSE))</f>
        <v>NGKVB</v>
      </c>
      <c r="I1689" s="270" t="str">
        <f>IF(D1689="","",VLOOKUP(F1689,製品マスタ!$G$5:$L$5002,6,FALSE))</f>
        <v>メタルミー　ネーマー銀消　ＶＢ</v>
      </c>
      <c r="J1689" s="210" t="s">
        <v>935</v>
      </c>
      <c r="K1689" s="270">
        <f>IF(D1689="","",VLOOKUP(D1689,契約台帳!$A$3:$L$4986,12,FALSE))</f>
        <v>50</v>
      </c>
      <c r="L1689" s="270" t="str">
        <f>IF(D1689="","",INDEX(製品マスタ!$Q$5:$Q$5002,MATCH('S4'!F1689&amp;'S4'!K1689,製品マスタ!$AO$5:$AO$5002,0)))</f>
        <v>MAT</v>
      </c>
      <c r="M1689" s="39">
        <v>1005</v>
      </c>
      <c r="N1689" s="39">
        <v>4100</v>
      </c>
      <c r="O1689" s="156">
        <v>3</v>
      </c>
      <c r="P1689" s="47">
        <v>3</v>
      </c>
      <c r="Q1689" s="213">
        <v>45348</v>
      </c>
      <c r="R1689" s="271">
        <f ca="1">IF(D1689="","",IF(OFFSET(D1689,-1,0)&lt;&gt;"","",IF(OR(J1689="リード付け",J1689="巻足し",J1689="巻返しリード付け"),M1689,VLOOKUP(D1689,契約台帳!$A$3:$N$4986,14,FALSE))))</f>
        <v>1005</v>
      </c>
      <c r="S1689" s="272">
        <f ca="1">IF(D1689="","",IF(OFFSET(D1689,-1,0)&lt;&gt;"","",IF(OR(J1689="リード付け",J1689="巻足し",J1689="巻返しリード付け"),M1689,VLOOKUP(D1689,契約台帳!$A$3:$O$4986,15,FALSE))))</f>
        <v>1005</v>
      </c>
      <c r="T1689" s="273">
        <f ca="1">IF(D1689="","",IF(J1689="リード付け",N1689,IF(J1689="巻返しリード付け",N1689,IF(J1689="巻足し",N1689*P1689+OFFSET(N1689,1,0)*OFFSET(P1689,1,0),VLOOKUP(D1689,契約台帳!$A$3:$P$4986,16,FALSE)))))</f>
        <v>12300</v>
      </c>
      <c r="U1689" s="40">
        <v>1</v>
      </c>
      <c r="V1689" s="274">
        <f ca="1">IF(D1689="","",IF(OFFSET(D1689,-2,0)=D1689,"",VLOOKUP(D1689,契約台帳!$A$3:$R$4986,18,FALSE)))</f>
        <v>3</v>
      </c>
      <c r="W1689" s="269" t="str">
        <f ca="1">IF(D1689="","",IF(T1689="","",IF(OR(J1689="巻足し",J1689="巻返しリード付け"),"",IF(J1689="巻返し",VLOOKUP(F1689&amp;K1689&amp;M1689,製品マスタ!$M$5:$AD$5002,18,FALSE),IF(OR(J1689="リード付け",J1689="巻返しリード付け"),"原反コア",IF(J1689="スリット",VLOOKUP(F1689&amp;K1689&amp;R1689,製品マスタ!$N$5:$AD$5002,17,FALSE),""))))))</f>
        <v/>
      </c>
      <c r="X1689" s="269" t="str">
        <f ca="1">IF(D1689="","",IF(T1689="","",IF(J1689="巻足し","",IF(J1689="巻返し",VLOOKUP(F1689&amp;K1689&amp;M1689,製品マスタ!$M$5:$AE$5002,19,FALSE),IF(OR(J1689="リード付け",J1689="巻返しリード付け"),"",IF(J1689="スリット",VLOOKUP(F1689&amp;K1689&amp;R1689,製品マスタ!$N$5:$AE$5002,18,FALSE),""))))))</f>
        <v/>
      </c>
      <c r="Y1689" s="275">
        <f ca="1">IF(D1689="","",IF(T1689="","",VLOOKUP(D1689,契約台帳!$A$3:$Q$4986,17,FALSE)))</f>
        <v>2</v>
      </c>
      <c r="Z1689" s="269" t="str">
        <f ca="1">IF(D1689="","",IF(T1689="","",VLOOKUP(D1689,契約台帳!$A$3:$E$4986,5,FALSE)))</f>
        <v>リンテック㈱</v>
      </c>
      <c r="AA1689" s="57"/>
      <c r="AB1689" s="207">
        <f>IFERROR((VLOOKUP(F1689&amp;K1689&amp;M1689,製品マスタ!$M$5:$AM$5002,27,FALSE)),"")</f>
        <v>0</v>
      </c>
      <c r="AC1689" s="33"/>
      <c r="AD1689" s="189"/>
      <c r="AE1689" s="54"/>
      <c r="AF1689" s="55">
        <f>+M1689*N1689*O1689/1000</f>
        <v>12361.5</v>
      </c>
      <c r="AG1689" s="43"/>
      <c r="AH1689" s="47"/>
      <c r="AI1689" s="30"/>
      <c r="AJ1689" s="30"/>
      <c r="AK1689" s="30"/>
      <c r="AL1689" s="30"/>
      <c r="AM1689" s="13"/>
      <c r="AN1689" s="13"/>
      <c r="AO1689" s="13"/>
      <c r="AP1689" s="13"/>
      <c r="AQ1689" s="13"/>
      <c r="AR1689" s="14"/>
      <c r="AS1689" s="15"/>
    </row>
    <row r="1690" spans="1:45" s="17" customFormat="1" ht="30.95" hidden="1" customHeight="1" x14ac:dyDescent="0.2">
      <c r="A1690" s="37"/>
      <c r="B1690" s="38"/>
      <c r="C1690" s="45"/>
      <c r="D1690" s="31"/>
      <c r="E1690" s="31"/>
      <c r="F1690" s="268"/>
      <c r="G1690" s="269"/>
      <c r="H1690" s="269"/>
      <c r="I1690" s="270"/>
      <c r="J1690" s="210"/>
      <c r="K1690" s="270"/>
      <c r="L1690" s="270"/>
      <c r="M1690" s="39"/>
      <c r="N1690" s="39"/>
      <c r="O1690" s="156"/>
      <c r="P1690" s="47"/>
      <c r="Q1690" s="57"/>
      <c r="R1690" s="338"/>
      <c r="S1690" s="272"/>
      <c r="T1690" s="273"/>
      <c r="U1690" s="40"/>
      <c r="V1690" s="277"/>
      <c r="W1690" s="269"/>
      <c r="X1690" s="269"/>
      <c r="Y1690" s="275"/>
      <c r="Z1690" s="269"/>
      <c r="AA1690" s="57"/>
      <c r="AB1690" s="207"/>
      <c r="AC1690" s="33"/>
      <c r="AD1690" s="189"/>
      <c r="AE1690" s="54"/>
      <c r="AF1690" s="55"/>
      <c r="AG1690" s="43"/>
      <c r="AH1690" s="47"/>
      <c r="AI1690" s="30"/>
      <c r="AJ1690" s="30"/>
      <c r="AK1690" s="30"/>
      <c r="AL1690" s="30"/>
      <c r="AM1690" s="13"/>
      <c r="AN1690" s="13"/>
      <c r="AO1690" s="13"/>
      <c r="AP1690" s="13"/>
      <c r="AQ1690" s="13"/>
      <c r="AR1690" s="14"/>
      <c r="AS1690" s="15"/>
    </row>
    <row r="1691" spans="1:45" s="17" customFormat="1" ht="30.6" hidden="1" customHeight="1" x14ac:dyDescent="0.2">
      <c r="A1691" s="37" t="s">
        <v>2278</v>
      </c>
      <c r="B1691" s="38" t="s">
        <v>2275</v>
      </c>
      <c r="C1691" s="45"/>
      <c r="D1691" s="31">
        <v>3741615</v>
      </c>
      <c r="E1691" s="31">
        <v>4162190</v>
      </c>
      <c r="F1691" s="268" t="str">
        <f>IF(D1691="","",VLOOKUP(D1691,契約台帳!$A$3:$K$4986,6,FALSE)&amp;VLOOKUP(D1691,契約台帳!$A$3:$K$4986,7,FALSE)&amp;VLOOKUP(D1691,契約台帳!$A$3:$K$4986,8,FALSE)&amp;VLOOKUP(D1691,契約台帳!$A$3:$K$4986,9,FALSE)&amp;VLOOKUP(D1691,契約台帳!$A$3:$K$4986,11,FALSE))</f>
        <v>33SSNMCLBTEKKFV</v>
      </c>
      <c r="G1691" s="269" t="str">
        <f>IF(D1691="","",VLOOKUP(F1691,製品マスタ!$G$5:$H$5002,2,FALSE))</f>
        <v>S</v>
      </c>
      <c r="H1691" s="269" t="str">
        <f>IF(D1691="","",VLOOKUP(F1691,製品マスタ!$G$5:$K$5002,5,FALSE))</f>
        <v>TEKKFV</v>
      </c>
      <c r="I1691" s="270" t="str">
        <f>IF(D1691="","",VLOOKUP(F1691,製品マスタ!$G$5:$L$5002,6,FALSE))</f>
        <v>メタルミー　ＴＥＳ消開封　Ｖ</v>
      </c>
      <c r="J1691" s="210" t="s">
        <v>935</v>
      </c>
      <c r="K1691" s="270">
        <f>IF(D1691="","",VLOOKUP(D1691,契約台帳!$A$3:$L$4986,12,FALSE))</f>
        <v>50</v>
      </c>
      <c r="L1691" s="270" t="str">
        <f>IF(D1691="","",INDEX(製品マスタ!$Q$5:$Q$5002,MATCH('S4'!F1691&amp;'S4'!K1691,製品マスタ!$AO$5:$AO$5002,0)))</f>
        <v>X44SEPA</v>
      </c>
      <c r="M1691" s="39">
        <v>1005</v>
      </c>
      <c r="N1691" s="39">
        <v>4000</v>
      </c>
      <c r="O1691" s="156">
        <v>6</v>
      </c>
      <c r="P1691" s="47">
        <v>3</v>
      </c>
      <c r="Q1691" s="213">
        <v>45349</v>
      </c>
      <c r="R1691" s="271">
        <f ca="1">IF(D1691="","",IF(OFFSET(D1691,-1,0)&lt;&gt;"","",IF(OR(J1691="リード付け",J1691="巻足し",J1691="巻返しリード付け"),M1691,VLOOKUP(D1691,契約台帳!$A$3:$N$4986,14,FALSE))))</f>
        <v>1005</v>
      </c>
      <c r="S1691" s="272">
        <f ca="1">IF(D1691="","",IF(OFFSET(D1691,-1,0)&lt;&gt;"","",IF(OR(J1691="リード付け",J1691="巻足し",J1691="巻返しリード付け"),M1691,VLOOKUP(D1691,契約台帳!$A$3:$O$4986,15,FALSE))))</f>
        <v>1005</v>
      </c>
      <c r="T1691" s="273">
        <f ca="1">IF(D1691="","",IF(J1691="リード付け",N1691,IF(J1691="巻返しリード付け",N1691,IF(J1691="巻足し",N1691*P1691+OFFSET(N1691,1,0)*OFFSET(P1691,1,0),VLOOKUP(D1691,契約台帳!$A$3:$P$4986,16,FALSE)))))</f>
        <v>12000</v>
      </c>
      <c r="U1691" s="40">
        <v>2</v>
      </c>
      <c r="V1691" s="274">
        <f ca="1">IF(D1691="","",IF(OFFSET(D1691,-2,0)=D1691,"",VLOOKUP(D1691,契約台帳!$A$3:$R$4986,18,FALSE)))</f>
        <v>6</v>
      </c>
      <c r="W1691" s="269" t="str">
        <f ca="1">IF(D1691="","",IF(T1691="","",IF(OR(J1691="巻足し",J1691="巻返しリード付け"),"",IF(J1691="巻返し",VLOOKUP(F1691&amp;K1691&amp;M1691,製品マスタ!$M$5:$AD$5002,18,FALSE),IF(OR(J1691="リード付け",J1691="巻返しリード付け"),"原反コア",IF(J1691="スリット",VLOOKUP(F1691&amp;K1691&amp;R1691,製品マスタ!$N$5:$AD$5002,17,FALSE),""))))))</f>
        <v/>
      </c>
      <c r="X1691" s="269" t="str">
        <f ca="1">IF(D1691="","",IF(T1691="","",IF(J1691="巻足し","",IF(J1691="巻返し",VLOOKUP(F1691&amp;K1691&amp;M1691,製品マスタ!$M$5:$AE$5002,19,FALSE),IF(OR(J1691="リード付け",J1691="巻返しリード付け"),"",IF(J1691="スリット",VLOOKUP(F1691&amp;K1691&amp;R1691,製品マスタ!$N$5:$AE$5002,18,FALSE),""))))))</f>
        <v/>
      </c>
      <c r="Y1691" s="275">
        <f ca="1">IF(D1691="","",IF(T1691="","",VLOOKUP(D1691,契約台帳!$A$3:$Q$4986,17,FALSE)))</f>
        <v>2</v>
      </c>
      <c r="Z1691" s="269" t="str">
        <f ca="1">IF(D1691="","",IF(T1691="","",VLOOKUP(D1691,契約台帳!$A$3:$E$4986,5,FALSE)))</f>
        <v>リンテック㈱</v>
      </c>
      <c r="AA1691" s="57"/>
      <c r="AB1691" s="207">
        <f>IFERROR((VLOOKUP(F1691&amp;K1691&amp;M1691,製品マスタ!$M$5:$AM$5002,27,FALSE)),"")</f>
        <v>0</v>
      </c>
      <c r="AC1691" s="33"/>
      <c r="AD1691" s="189"/>
      <c r="AE1691" s="54"/>
      <c r="AF1691" s="55">
        <f>+M1691*N1691*O1691/1000</f>
        <v>24120</v>
      </c>
      <c r="AG1691" s="43"/>
      <c r="AH1691" s="47"/>
      <c r="AI1691" s="30"/>
      <c r="AJ1691" s="30"/>
      <c r="AK1691" s="30"/>
      <c r="AL1691" s="30"/>
      <c r="AM1691" s="13"/>
      <c r="AN1691" s="13"/>
      <c r="AO1691" s="13"/>
      <c r="AP1691" s="13"/>
      <c r="AQ1691" s="13"/>
      <c r="AR1691" s="14"/>
      <c r="AS1691" s="15"/>
    </row>
    <row r="1692" spans="1:45" s="17" customFormat="1" ht="30.95" hidden="1" customHeight="1" x14ac:dyDescent="0.2">
      <c r="A1692" s="37"/>
      <c r="B1692" s="38"/>
      <c r="C1692" s="45"/>
      <c r="D1692" s="31"/>
      <c r="E1692" s="31"/>
      <c r="F1692" s="268"/>
      <c r="G1692" s="269"/>
      <c r="H1692" s="269"/>
      <c r="I1692" s="270"/>
      <c r="J1692" s="210"/>
      <c r="K1692" s="270"/>
      <c r="L1692" s="270"/>
      <c r="M1692" s="39"/>
      <c r="N1692" s="39"/>
      <c r="O1692" s="156"/>
      <c r="P1692" s="47"/>
      <c r="Q1692" s="57"/>
      <c r="R1692" s="338"/>
      <c r="S1692" s="272"/>
      <c r="T1692" s="273"/>
      <c r="U1692" s="40"/>
      <c r="V1692" s="277"/>
      <c r="W1692" s="269"/>
      <c r="X1692" s="269"/>
      <c r="Y1692" s="275"/>
      <c r="Z1692" s="269"/>
      <c r="AA1692" s="57"/>
      <c r="AB1692" s="207"/>
      <c r="AC1692" s="33"/>
      <c r="AD1692" s="189"/>
      <c r="AE1692" s="54"/>
      <c r="AF1692" s="55"/>
      <c r="AG1692" s="43"/>
      <c r="AH1692" s="47"/>
      <c r="AI1692" s="30"/>
      <c r="AJ1692" s="30"/>
      <c r="AK1692" s="30"/>
      <c r="AL1692" s="30"/>
      <c r="AM1692" s="13"/>
      <c r="AN1692" s="13"/>
      <c r="AO1692" s="13"/>
      <c r="AP1692" s="13"/>
      <c r="AQ1692" s="13"/>
      <c r="AR1692" s="14"/>
      <c r="AS1692" s="15"/>
    </row>
    <row r="1693" spans="1:45" s="17" customFormat="1" ht="30.6" hidden="1" customHeight="1" x14ac:dyDescent="0.2">
      <c r="A1693" s="37"/>
      <c r="B1693" s="38"/>
      <c r="C1693" s="45"/>
      <c r="D1693" s="31">
        <v>3741616</v>
      </c>
      <c r="E1693" s="31">
        <v>4162191</v>
      </c>
      <c r="F1693" s="268" t="str">
        <f>IF(D1693="","",VLOOKUP(D1693,契約台帳!$A$3:$K$4986,6,FALSE)&amp;VLOOKUP(D1693,契約台帳!$A$3:$K$4986,7,FALSE)&amp;VLOOKUP(D1693,契約台帳!$A$3:$K$4986,8,FALSE)&amp;VLOOKUP(D1693,契約台帳!$A$3:$K$4986,9,FALSE)&amp;VLOOKUP(D1693,契約台帳!$A$3:$K$4986,11,FALSE))</f>
        <v>33SSNMCLBTEKV0V</v>
      </c>
      <c r="G1693" s="269" t="str">
        <f>IF(D1693="","",VLOOKUP(F1693,製品マスタ!$G$5:$H$5002,2,FALSE))</f>
        <v>S</v>
      </c>
      <c r="H1693" s="269" t="str">
        <f>IF(D1693="","",VLOOKUP(F1693,製品マスタ!$G$5:$K$5002,5,FALSE))</f>
        <v>TEKV0V</v>
      </c>
      <c r="I1693" s="270" t="str">
        <f>IF(D1693="","",VLOOKUP(F1693,製品マスタ!$G$5:$L$5002,6,FALSE))</f>
        <v>メタルミー　ＴＥ－Ｓ消　ＶＯＩＤ　Ｖ</v>
      </c>
      <c r="J1693" s="210" t="s">
        <v>935</v>
      </c>
      <c r="K1693" s="270">
        <f>IF(D1693="","",VLOOKUP(D1693,契約台帳!$A$3:$L$4986,12,FALSE))</f>
        <v>50</v>
      </c>
      <c r="L1693" s="270" t="str">
        <f>IF(D1693="","",INDEX(製品マスタ!$Q$5:$Q$5002,MATCH('S4'!F1693&amp;'S4'!K1693,製品マスタ!$AO$5:$AO$5002,0)))</f>
        <v>X44SEPA</v>
      </c>
      <c r="M1693" s="39">
        <v>1005</v>
      </c>
      <c r="N1693" s="39">
        <v>4000</v>
      </c>
      <c r="O1693" s="156">
        <v>6</v>
      </c>
      <c r="P1693" s="47">
        <v>3</v>
      </c>
      <c r="Q1693" s="213">
        <v>45349</v>
      </c>
      <c r="R1693" s="271">
        <f ca="1">IF(D1693="","",IF(OFFSET(D1693,-1,0)&lt;&gt;"","",IF(OR(J1693="リード付け",J1693="巻足し",J1693="巻返しリード付け"),M1693,VLOOKUP(D1693,契約台帳!$A$3:$N$4986,14,FALSE))))</f>
        <v>1005</v>
      </c>
      <c r="S1693" s="272">
        <f ca="1">IF(D1693="","",IF(OFFSET(D1693,-1,0)&lt;&gt;"","",IF(OR(J1693="リード付け",J1693="巻足し",J1693="巻返しリード付け"),M1693,VLOOKUP(D1693,契約台帳!$A$3:$O$4986,15,FALSE))))</f>
        <v>1005</v>
      </c>
      <c r="T1693" s="273">
        <f ca="1">IF(D1693="","",IF(J1693="リード付け",N1693,IF(J1693="巻返しリード付け",N1693,IF(J1693="巻足し",N1693*P1693+OFFSET(N1693,1,0)*OFFSET(P1693,1,0),VLOOKUP(D1693,契約台帳!$A$3:$P$4986,16,FALSE)))))</f>
        <v>12000</v>
      </c>
      <c r="U1693" s="40">
        <v>2</v>
      </c>
      <c r="V1693" s="274">
        <f ca="1">IF(D1693="","",IF(OFFSET(D1693,-2,0)=D1693,"",VLOOKUP(D1693,契約台帳!$A$3:$R$4986,18,FALSE)))</f>
        <v>8</v>
      </c>
      <c r="W1693" s="269" t="str">
        <f ca="1">IF(D1693="","",IF(T1693="","",IF(OR(J1693="巻足し",J1693="巻返しリード付け"),"",IF(J1693="巻返し",VLOOKUP(F1693&amp;K1693&amp;M1693,製品マスタ!$M$5:$AD$5002,18,FALSE),IF(OR(J1693="リード付け",J1693="巻返しリード付け"),"原反コア",IF(J1693="スリット",VLOOKUP(F1693&amp;K1693&amp;R1693,製品マスタ!$N$5:$AD$5002,17,FALSE),""))))))</f>
        <v/>
      </c>
      <c r="X1693" s="269" t="str">
        <f ca="1">IF(D1693="","",IF(T1693="","",IF(J1693="巻足し","",IF(J1693="巻返し",VLOOKUP(F1693&amp;K1693&amp;M1693,製品マスタ!$M$5:$AE$5002,19,FALSE),IF(OR(J1693="リード付け",J1693="巻返しリード付け"),"",IF(J1693="スリット",VLOOKUP(F1693&amp;K1693&amp;R1693,製品マスタ!$N$5:$AE$5002,18,FALSE),""))))))</f>
        <v/>
      </c>
      <c r="Y1693" s="275">
        <f ca="1">IF(D1693="","",IF(T1693="","",VLOOKUP(D1693,契約台帳!$A$3:$Q$4986,17,FALSE)))</f>
        <v>2</v>
      </c>
      <c r="Z1693" s="269" t="str">
        <f ca="1">IF(D1693="","",IF(T1693="","",VLOOKUP(D1693,契約台帳!$A$3:$E$4986,5,FALSE)))</f>
        <v>リンテック㈱</v>
      </c>
      <c r="AA1693" s="57"/>
      <c r="AB1693" s="207">
        <f>IFERROR((VLOOKUP(F1693&amp;K1693&amp;M1693,製品マスタ!$M$5:$AM$5002,27,FALSE)),"")</f>
        <v>0</v>
      </c>
      <c r="AC1693" s="33"/>
      <c r="AD1693" s="189"/>
      <c r="AE1693" s="54"/>
      <c r="AF1693" s="55">
        <f>+M1693*N1693*O1693/1000</f>
        <v>24120</v>
      </c>
      <c r="AG1693" s="43"/>
      <c r="AH1693" s="47"/>
      <c r="AI1693" s="30"/>
      <c r="AJ1693" s="30"/>
      <c r="AK1693" s="30"/>
      <c r="AL1693" s="30"/>
      <c r="AM1693" s="13"/>
      <c r="AN1693" s="13"/>
      <c r="AO1693" s="13"/>
      <c r="AP1693" s="13"/>
      <c r="AQ1693" s="13"/>
      <c r="AR1693" s="14"/>
      <c r="AS1693" s="15"/>
    </row>
    <row r="1694" spans="1:45" s="17" customFormat="1" ht="30.95" hidden="1" customHeight="1" x14ac:dyDescent="0.2">
      <c r="A1694" s="37"/>
      <c r="B1694" s="38"/>
      <c r="C1694" s="45"/>
      <c r="D1694" s="31"/>
      <c r="E1694" s="31"/>
      <c r="F1694" s="268"/>
      <c r="G1694" s="269"/>
      <c r="H1694" s="269"/>
      <c r="I1694" s="270"/>
      <c r="J1694" s="210"/>
      <c r="K1694" s="270"/>
      <c r="L1694" s="270"/>
      <c r="M1694" s="39"/>
      <c r="N1694" s="39"/>
      <c r="O1694" s="156"/>
      <c r="P1694" s="47"/>
      <c r="Q1694" s="57"/>
      <c r="R1694" s="338"/>
      <c r="S1694" s="272"/>
      <c r="T1694" s="273"/>
      <c r="U1694" s="40"/>
      <c r="V1694" s="277"/>
      <c r="W1694" s="269"/>
      <c r="X1694" s="269"/>
      <c r="Y1694" s="275"/>
      <c r="Z1694" s="269"/>
      <c r="AA1694" s="57"/>
      <c r="AB1694" s="207"/>
      <c r="AC1694" s="33"/>
      <c r="AD1694" s="189"/>
      <c r="AE1694" s="54"/>
      <c r="AF1694" s="55"/>
      <c r="AG1694" s="43"/>
      <c r="AH1694" s="47"/>
      <c r="AI1694" s="30"/>
      <c r="AJ1694" s="30"/>
      <c r="AK1694" s="30"/>
      <c r="AL1694" s="30"/>
      <c r="AM1694" s="13"/>
      <c r="AN1694" s="13"/>
      <c r="AO1694" s="13"/>
      <c r="AP1694" s="13"/>
      <c r="AQ1694" s="13"/>
      <c r="AR1694" s="14"/>
      <c r="AS1694" s="15"/>
    </row>
    <row r="1695" spans="1:45" s="17" customFormat="1" ht="30.6" hidden="1" customHeight="1" x14ac:dyDescent="0.2">
      <c r="A1695" s="37"/>
      <c r="B1695" s="38"/>
      <c r="C1695" s="45"/>
      <c r="D1695" s="31">
        <v>3741616</v>
      </c>
      <c r="E1695" s="31">
        <v>4162191</v>
      </c>
      <c r="F1695" s="268" t="str">
        <f>IF(D1695="","",VLOOKUP(D1695,契約台帳!$A$3:$K$4986,6,FALSE)&amp;VLOOKUP(D1695,契約台帳!$A$3:$K$4986,7,FALSE)&amp;VLOOKUP(D1695,契約台帳!$A$3:$K$4986,8,FALSE)&amp;VLOOKUP(D1695,契約台帳!$A$3:$K$4986,9,FALSE)&amp;VLOOKUP(D1695,契約台帳!$A$3:$K$4986,11,FALSE))</f>
        <v>33SSNMCLBTEKV0V</v>
      </c>
      <c r="G1695" s="269" t="str">
        <f>IF(D1695="","",VLOOKUP(F1695,製品マスタ!$G$5:$H$5002,2,FALSE))</f>
        <v>S</v>
      </c>
      <c r="H1695" s="269" t="str">
        <f>IF(D1695="","",VLOOKUP(F1695,製品マスタ!$G$5:$K$5002,5,FALSE))</f>
        <v>TEKV0V</v>
      </c>
      <c r="I1695" s="270" t="str">
        <f>IF(D1695="","",VLOOKUP(F1695,製品マスタ!$G$5:$L$5002,6,FALSE))</f>
        <v>メタルミー　ＴＥ－Ｓ消　ＶＯＩＤ　Ｖ</v>
      </c>
      <c r="J1695" s="210" t="s">
        <v>935</v>
      </c>
      <c r="K1695" s="270">
        <f>IF(D1695="","",VLOOKUP(D1695,契約台帳!$A$3:$L$4986,12,FALSE))</f>
        <v>50</v>
      </c>
      <c r="L1695" s="270" t="str">
        <f>IF(D1695="","",INDEX(製品マスタ!$Q$5:$Q$5002,MATCH('S4'!F1695&amp;'S4'!K1695,製品マスタ!$AO$5:$AO$5002,0)))</f>
        <v>X44SEPA</v>
      </c>
      <c r="M1695" s="39">
        <v>1005</v>
      </c>
      <c r="N1695" s="39">
        <v>4000</v>
      </c>
      <c r="O1695" s="156">
        <v>2</v>
      </c>
      <c r="P1695" s="47">
        <v>3</v>
      </c>
      <c r="Q1695" s="213">
        <v>45349</v>
      </c>
      <c r="R1695" s="271">
        <f ca="1">IF(D1695="","",IF(OFFSET(D1695,-1,0)&lt;&gt;"","",IF(OR(J1695="リード付け",J1695="巻足し",J1695="巻返しリード付け"),M1695,VLOOKUP(D1695,契約台帳!$A$3:$N$4986,14,FALSE))))</f>
        <v>1005</v>
      </c>
      <c r="S1695" s="272">
        <f ca="1">IF(D1695="","",IF(OFFSET(D1695,-1,0)&lt;&gt;"","",IF(OR(J1695="リード付け",J1695="巻足し",J1695="巻返しリード付け"),M1695,VLOOKUP(D1695,契約台帳!$A$3:$O$4986,15,FALSE))))</f>
        <v>1005</v>
      </c>
      <c r="T1695" s="273">
        <f ca="1">IF(D1695="","",IF(J1695="リード付け",N1695,IF(J1695="巻返しリード付け",N1695,IF(J1695="巻足し",N1695*P1695+OFFSET(N1695,1,0)*OFFSET(P1695,1,0),VLOOKUP(D1695,契約台帳!$A$3:$P$4986,16,FALSE)))))</f>
        <v>12000</v>
      </c>
      <c r="U1695" s="40">
        <v>1</v>
      </c>
      <c r="V1695" s="274" t="str">
        <f ca="1">IF(D1695="","",IF(OFFSET(D1695,-2,0)=D1695,"",VLOOKUP(D1695,契約台帳!$A$3:$R$4986,18,FALSE)))</f>
        <v/>
      </c>
      <c r="W1695" s="269" t="str">
        <f ca="1">IF(D1695="","",IF(T1695="","",IF(OR(J1695="巻足し",J1695="巻返しリード付け"),"",IF(J1695="巻返し",VLOOKUP(F1695&amp;K1695&amp;M1695,製品マスタ!$M$5:$AD$5002,18,FALSE),IF(OR(J1695="リード付け",J1695="巻返しリード付け"),"原反コア",IF(J1695="スリット",VLOOKUP(F1695&amp;K1695&amp;R1695,製品マスタ!$N$5:$AD$5002,17,FALSE),""))))))</f>
        <v/>
      </c>
      <c r="X1695" s="269" t="str">
        <f ca="1">IF(D1695="","",IF(T1695="","",IF(J1695="巻足し","",IF(J1695="巻返し",VLOOKUP(F1695&amp;K1695&amp;M1695,製品マスタ!$M$5:$AE$5002,19,FALSE),IF(OR(J1695="リード付け",J1695="巻返しリード付け"),"",IF(J1695="スリット",VLOOKUP(F1695&amp;K1695&amp;R1695,製品マスタ!$N$5:$AE$5002,18,FALSE),""))))))</f>
        <v/>
      </c>
      <c r="Y1695" s="275">
        <f ca="1">IF(D1695="","",IF(T1695="","",VLOOKUP(D1695,契約台帳!$A$3:$Q$4986,17,FALSE)))</f>
        <v>2</v>
      </c>
      <c r="Z1695" s="269" t="str">
        <f ca="1">IF(D1695="","",IF(T1695="","",VLOOKUP(D1695,契約台帳!$A$3:$E$4986,5,FALSE)))</f>
        <v>リンテック㈱</v>
      </c>
      <c r="AA1695" s="57"/>
      <c r="AB1695" s="207">
        <f>IFERROR((VLOOKUP(F1695&amp;K1695&amp;M1695,製品マスタ!$M$5:$AM$5002,27,FALSE)),"")</f>
        <v>0</v>
      </c>
      <c r="AC1695" s="33"/>
      <c r="AD1695" s="189"/>
      <c r="AE1695" s="54"/>
      <c r="AF1695" s="55">
        <f>+M1695*N1695*O1695/1000</f>
        <v>8040</v>
      </c>
      <c r="AG1695" s="43"/>
      <c r="AH1695" s="47"/>
      <c r="AI1695" s="30"/>
      <c r="AJ1695" s="30"/>
      <c r="AK1695" s="30"/>
      <c r="AL1695" s="30"/>
      <c r="AM1695" s="13"/>
      <c r="AN1695" s="13"/>
      <c r="AO1695" s="13"/>
      <c r="AP1695" s="13"/>
      <c r="AQ1695" s="13"/>
      <c r="AR1695" s="14"/>
      <c r="AS1695" s="15"/>
    </row>
    <row r="1696" spans="1:45" s="17" customFormat="1" ht="30.6" hidden="1" customHeight="1" x14ac:dyDescent="0.2">
      <c r="A1696" s="37"/>
      <c r="B1696" s="38"/>
      <c r="C1696" s="45"/>
      <c r="D1696" s="31">
        <v>3741617</v>
      </c>
      <c r="E1696" s="31">
        <v>4162192</v>
      </c>
      <c r="F1696" s="268" t="str">
        <f>IF(D1696="","",VLOOKUP(D1696,契約台帳!$A$3:$K$4986,6,FALSE)&amp;VLOOKUP(D1696,契約台帳!$A$3:$K$4986,7,FALSE)&amp;VLOOKUP(D1696,契約台帳!$A$3:$K$4986,8,FALSE)&amp;VLOOKUP(D1696,契約台帳!$A$3:$K$4986,9,FALSE)&amp;VLOOKUP(D1696,契約台帳!$A$3:$K$4986,11,FALSE))</f>
        <v>33SSYMCLBTEKV0V</v>
      </c>
      <c r="G1696" s="269" t="str">
        <f>IF(D1696="","",VLOOKUP(F1696,製品マスタ!$G$5:$H$5002,2,FALSE))</f>
        <v>S</v>
      </c>
      <c r="H1696" s="269" t="str">
        <f>IF(D1696="","",VLOOKUP(F1696,製品マスタ!$G$5:$K$5002,5,FALSE))</f>
        <v>TEKV0V</v>
      </c>
      <c r="I1696" s="270" t="str">
        <f>IF(D1696="","",VLOOKUP(F1696,製品マスタ!$G$5:$L$5002,6,FALSE))</f>
        <v>メタルミー　ＴＥ－Ｓ消　ＶＯＩＤ　Ｖ</v>
      </c>
      <c r="J1696" s="210" t="s">
        <v>935</v>
      </c>
      <c r="K1696" s="270">
        <f>IF(D1696="","",VLOOKUP(D1696,契約台帳!$A$3:$L$4986,12,FALSE))</f>
        <v>50</v>
      </c>
      <c r="L1696" s="270" t="str">
        <f>IF(D1696="","",INDEX(製品マスタ!$Q$5:$Q$5002,MATCH('S4'!F1696&amp;'S4'!K1696,製品マスタ!$AO$5:$AO$5002,0)))</f>
        <v>X44SEPA</v>
      </c>
      <c r="M1696" s="39">
        <v>1005</v>
      </c>
      <c r="N1696" s="39">
        <v>4000</v>
      </c>
      <c r="O1696" s="156">
        <v>1</v>
      </c>
      <c r="P1696" s="47"/>
      <c r="Q1696" s="57"/>
      <c r="R1696" s="271" t="str">
        <f ca="1">IF(D1696="","",IF(OFFSET(D1696,-1,0)&lt;&gt;"","",IF(OR(J1696="リード付け",J1696="巻足し",J1696="巻返しリード付け"),M1696,VLOOKUP(D1696,契約台帳!$A$3:$N$4986,14,FALSE))))</f>
        <v/>
      </c>
      <c r="S1696" s="272" t="str">
        <f ca="1">IF(D1696="","",IF(OFFSET(D1696,-1,0)&lt;&gt;"","",IF(OR(J1696="リード付け",J1696="巻足し",J1696="巻返しリード付け"),M1696,VLOOKUP(D1696,契約台帳!$A$3:$O$4986,15,FALSE))))</f>
        <v/>
      </c>
      <c r="T1696" s="273">
        <f ca="1">IF(D1696="","",IF(J1696="リード付け",N1696,IF(J1696="巻返しリード付け",N1696,IF(J1696="巻足し",N1696*P1696+OFFSET(N1696,1,0)*OFFSET(P1696,1,0),VLOOKUP(D1696,契約台帳!$A$3:$P$4986,16,FALSE)))))</f>
        <v>0</v>
      </c>
      <c r="U1696" s="40"/>
      <c r="V1696" s="274">
        <f ca="1">IF(D1696="","",IF(OFFSET(D1696,-2,0)=D1696,"",VLOOKUP(D1696,契約台帳!$A$3:$R$4986,18,FALSE)))</f>
        <v>1</v>
      </c>
      <c r="W1696" s="269" t="str">
        <f ca="1">IF(D1696="","",IF(T1696="","",IF(OR(J1696="巻足し",J1696="巻返しリード付け"),"",IF(J1696="巻返し",VLOOKUP(F1696&amp;K1696&amp;M1696,製品マスタ!$M$5:$AD$5002,18,FALSE),IF(OR(J1696="リード付け",J1696="巻返しリード付け"),"原反コア",IF(J1696="スリット",VLOOKUP(F1696&amp;K1696&amp;R1696,製品マスタ!$N$5:$AD$5002,17,FALSE),""))))))</f>
        <v/>
      </c>
      <c r="X1696" s="269" t="str">
        <f ca="1">IF(D1696="","",IF(T1696="","",IF(J1696="巻足し","",IF(J1696="巻返し",VLOOKUP(F1696&amp;K1696&amp;M1696,製品マスタ!$M$5:$AE$5002,19,FALSE),IF(OR(J1696="リード付け",J1696="巻返しリード付け"),"",IF(J1696="スリット",VLOOKUP(F1696&amp;K1696&amp;R1696,製品マスタ!$N$5:$AE$5002,18,FALSE),""))))))</f>
        <v/>
      </c>
      <c r="Y1696" s="275">
        <f ca="1">IF(D1696="","",IF(T1696="","",VLOOKUP(D1696,契約台帳!$A$3:$Q$4986,17,FALSE)))</f>
        <v>2</v>
      </c>
      <c r="Z1696" s="269" t="str">
        <f ca="1">IF(D1696="","",IF(T1696="","",VLOOKUP(D1696,契約台帳!$A$3:$E$4986,5,FALSE)))</f>
        <v>リンテック㈱</v>
      </c>
      <c r="AA1696" s="57"/>
      <c r="AB1696" s="424" t="s">
        <v>2242</v>
      </c>
      <c r="AC1696" s="33"/>
      <c r="AD1696" s="189"/>
      <c r="AE1696" s="54"/>
      <c r="AF1696" s="55">
        <f>+M1696*N1696*O1696/1000</f>
        <v>4020</v>
      </c>
      <c r="AG1696" s="43"/>
      <c r="AH1696" s="47"/>
      <c r="AI1696" s="30"/>
      <c r="AJ1696" s="30"/>
      <c r="AK1696" s="30"/>
      <c r="AL1696" s="30"/>
      <c r="AM1696" s="13"/>
      <c r="AN1696" s="13"/>
      <c r="AO1696" s="13"/>
      <c r="AP1696" s="13"/>
      <c r="AQ1696" s="13"/>
      <c r="AR1696" s="14"/>
      <c r="AS1696" s="15"/>
    </row>
    <row r="1697" spans="1:45" s="17" customFormat="1" ht="30.95" hidden="1" customHeight="1" x14ac:dyDescent="0.2">
      <c r="A1697" s="37"/>
      <c r="B1697" s="38"/>
      <c r="C1697" s="45"/>
      <c r="D1697" s="31"/>
      <c r="E1697" s="31"/>
      <c r="F1697" s="268"/>
      <c r="G1697" s="269"/>
      <c r="H1697" s="269"/>
      <c r="I1697" s="270"/>
      <c r="J1697" s="210"/>
      <c r="K1697" s="270"/>
      <c r="L1697" s="270"/>
      <c r="M1697" s="39"/>
      <c r="N1697" s="39"/>
      <c r="O1697" s="156"/>
      <c r="P1697" s="47"/>
      <c r="Q1697" s="57"/>
      <c r="R1697" s="338"/>
      <c r="S1697" s="272"/>
      <c r="T1697" s="273"/>
      <c r="U1697" s="40"/>
      <c r="V1697" s="277"/>
      <c r="W1697" s="269"/>
      <c r="X1697" s="269"/>
      <c r="Y1697" s="275"/>
      <c r="Z1697" s="269"/>
      <c r="AA1697" s="57"/>
      <c r="AB1697" s="207"/>
      <c r="AC1697" s="33"/>
      <c r="AD1697" s="189"/>
      <c r="AE1697" s="54"/>
      <c r="AF1697" s="55"/>
      <c r="AG1697" s="43"/>
      <c r="AH1697" s="47"/>
      <c r="AI1697" s="30"/>
      <c r="AJ1697" s="30"/>
      <c r="AK1697" s="30"/>
      <c r="AL1697" s="30"/>
      <c r="AM1697" s="13"/>
      <c r="AN1697" s="13"/>
      <c r="AO1697" s="13"/>
      <c r="AP1697" s="13"/>
      <c r="AQ1697" s="13"/>
      <c r="AR1697" s="14"/>
      <c r="AS1697" s="15"/>
    </row>
    <row r="1698" spans="1:45" s="17" customFormat="1" ht="30.6" hidden="1" customHeight="1" x14ac:dyDescent="0.2">
      <c r="A1698" s="37"/>
      <c r="B1698" s="38"/>
      <c r="C1698" s="45"/>
      <c r="D1698" s="31">
        <v>3744888</v>
      </c>
      <c r="E1698" s="31">
        <v>4162241</v>
      </c>
      <c r="F1698" s="268" t="str">
        <f>IF(D1698="","",VLOOKUP(D1698,契約台帳!$A$3:$K$4986,6,FALSE)&amp;VLOOKUP(D1698,契約台帳!$A$3:$K$4986,7,FALSE)&amp;VLOOKUP(D1698,契約台帳!$A$3:$K$4986,8,FALSE)&amp;VLOOKUP(D1698,契約台帳!$A$3:$K$4986,9,FALSE)&amp;VLOOKUP(D1698,契約台帳!$A$3:$K$4986,11,FALSE))</f>
        <v>33SSNMCLBTEKV0V</v>
      </c>
      <c r="G1698" s="269" t="str">
        <f>IF(D1698="","",VLOOKUP(F1698,製品マスタ!$G$5:$H$5002,2,FALSE))</f>
        <v>S</v>
      </c>
      <c r="H1698" s="269" t="str">
        <f>IF(D1698="","",VLOOKUP(F1698,製品マスタ!$G$5:$K$5002,5,FALSE))</f>
        <v>TEKV0V</v>
      </c>
      <c r="I1698" s="270" t="str">
        <f>IF(D1698="","",VLOOKUP(F1698,製品マスタ!$G$5:$L$5002,6,FALSE))</f>
        <v>メタルミー　ＴＥ－Ｓ消　ＶＯＩＤ　Ｖ</v>
      </c>
      <c r="J1698" s="210" t="s">
        <v>935</v>
      </c>
      <c r="K1698" s="270">
        <f>IF(D1698="","",VLOOKUP(D1698,契約台帳!$A$3:$L$4986,12,FALSE))</f>
        <v>50</v>
      </c>
      <c r="L1698" s="270" t="str">
        <f>IF(D1698="","",INDEX(製品マスタ!$Q$5:$Q$5002,MATCH('S4'!F1698&amp;'S4'!K1698,製品マスタ!$AO$5:$AO$5002,0)))</f>
        <v>X44SEPA</v>
      </c>
      <c r="M1698" s="39">
        <v>1005</v>
      </c>
      <c r="N1698" s="39">
        <v>4000</v>
      </c>
      <c r="O1698" s="156">
        <v>6</v>
      </c>
      <c r="P1698" s="47">
        <v>3</v>
      </c>
      <c r="Q1698" s="213">
        <v>45359</v>
      </c>
      <c r="R1698" s="271">
        <f ca="1">IF(D1698="","",IF(OFFSET(D1698,-1,0)&lt;&gt;"","",IF(OR(J1698="リード付け",J1698="巻足し",J1698="巻返しリード付け"),M1698,VLOOKUP(D1698,契約台帳!$A$3:$N$4986,14,FALSE))))</f>
        <v>1005</v>
      </c>
      <c r="S1698" s="272">
        <f ca="1">IF(D1698="","",IF(OFFSET(D1698,-1,0)&lt;&gt;"","",IF(OR(J1698="リード付け",J1698="巻足し",J1698="巻返しリード付け"),M1698,VLOOKUP(D1698,契約台帳!$A$3:$O$4986,15,FALSE))))</f>
        <v>1005</v>
      </c>
      <c r="T1698" s="273">
        <f ca="1">IF(D1698="","",IF(J1698="リード付け",N1698,IF(J1698="巻返しリード付け",N1698,IF(J1698="巻足し",N1698*P1698+OFFSET(N1698,1,0)*OFFSET(P1698,1,0),VLOOKUP(D1698,契約台帳!$A$3:$P$4986,16,FALSE)))))</f>
        <v>12000</v>
      </c>
      <c r="U1698" s="40">
        <v>2</v>
      </c>
      <c r="V1698" s="274">
        <f ca="1">IF(D1698="","",IF(OFFSET(D1698,-2,0)=D1698,"",VLOOKUP(D1698,契約台帳!$A$3:$R$4986,18,FALSE)))</f>
        <v>6</v>
      </c>
      <c r="W1698" s="269" t="str">
        <f ca="1">IF(D1698="","",IF(T1698="","",IF(OR(J1698="巻足し",J1698="巻返しリード付け"),"",IF(J1698="巻返し",VLOOKUP(F1698&amp;K1698&amp;M1698,製品マスタ!$M$5:$AD$5002,18,FALSE),IF(OR(J1698="リード付け",J1698="巻返しリード付け"),"原反コア",IF(J1698="スリット",VLOOKUP(F1698&amp;K1698&amp;R1698,製品マスタ!$N$5:$AD$5002,17,FALSE),""))))))</f>
        <v/>
      </c>
      <c r="X1698" s="269" t="str">
        <f ca="1">IF(D1698="","",IF(T1698="","",IF(J1698="巻足し","",IF(J1698="巻返し",VLOOKUP(F1698&amp;K1698&amp;M1698,製品マスタ!$M$5:$AE$5002,19,FALSE),IF(OR(J1698="リード付け",J1698="巻返しリード付け"),"",IF(J1698="スリット",VLOOKUP(F1698&amp;K1698&amp;R1698,製品マスタ!$N$5:$AE$5002,18,FALSE),""))))))</f>
        <v/>
      </c>
      <c r="Y1698" s="275">
        <f ca="1">IF(D1698="","",IF(T1698="","",VLOOKUP(D1698,契約台帳!$A$3:$Q$4986,17,FALSE)))</f>
        <v>2</v>
      </c>
      <c r="Z1698" s="269" t="str">
        <f ca="1">IF(D1698="","",IF(T1698="","",VLOOKUP(D1698,契約台帳!$A$3:$E$4986,5,FALSE)))</f>
        <v>リンテック㈱</v>
      </c>
      <c r="AA1698" s="57"/>
      <c r="AB1698" s="207">
        <f>IFERROR((VLOOKUP(F1698&amp;K1698&amp;M1698,製品マスタ!$M$5:$AM$5002,27,FALSE)),"")</f>
        <v>0</v>
      </c>
      <c r="AC1698" s="33"/>
      <c r="AD1698" s="189"/>
      <c r="AE1698" s="54"/>
      <c r="AF1698" s="55">
        <f>+M1698*N1698*O1698/1000</f>
        <v>24120</v>
      </c>
      <c r="AG1698" s="43"/>
      <c r="AH1698" s="47"/>
      <c r="AI1698" s="30"/>
      <c r="AJ1698" s="30"/>
      <c r="AK1698" s="30"/>
      <c r="AL1698" s="30"/>
      <c r="AM1698" s="13"/>
      <c r="AN1698" s="13"/>
      <c r="AO1698" s="13"/>
      <c r="AP1698" s="13"/>
      <c r="AQ1698" s="13"/>
      <c r="AR1698" s="14"/>
      <c r="AS1698" s="15"/>
    </row>
    <row r="1699" spans="1:45" s="17" customFormat="1" ht="30.95" hidden="1" customHeight="1" x14ac:dyDescent="0.2">
      <c r="A1699" s="37"/>
      <c r="B1699" s="38"/>
      <c r="C1699" s="45"/>
      <c r="D1699" s="31"/>
      <c r="E1699" s="31"/>
      <c r="F1699" s="268"/>
      <c r="G1699" s="269"/>
      <c r="H1699" s="269"/>
      <c r="I1699" s="270"/>
      <c r="J1699" s="210"/>
      <c r="K1699" s="270"/>
      <c r="L1699" s="270"/>
      <c r="M1699" s="39"/>
      <c r="N1699" s="39"/>
      <c r="O1699" s="156"/>
      <c r="P1699" s="47"/>
      <c r="Q1699" s="57"/>
      <c r="R1699" s="338"/>
      <c r="S1699" s="272"/>
      <c r="T1699" s="273"/>
      <c r="U1699" s="40"/>
      <c r="V1699" s="277"/>
      <c r="W1699" s="269"/>
      <c r="X1699" s="269"/>
      <c r="Y1699" s="275"/>
      <c r="Z1699" s="269"/>
      <c r="AA1699" s="57"/>
      <c r="AB1699" s="207"/>
      <c r="AC1699" s="33"/>
      <c r="AD1699" s="189"/>
      <c r="AE1699" s="54"/>
      <c r="AF1699" s="55"/>
      <c r="AG1699" s="43"/>
      <c r="AH1699" s="47"/>
      <c r="AI1699" s="30"/>
      <c r="AJ1699" s="30"/>
      <c r="AK1699" s="30"/>
      <c r="AL1699" s="30"/>
      <c r="AM1699" s="13"/>
      <c r="AN1699" s="13"/>
      <c r="AO1699" s="13"/>
      <c r="AP1699" s="13"/>
      <c r="AQ1699" s="13"/>
      <c r="AR1699" s="14"/>
      <c r="AS1699" s="15"/>
    </row>
    <row r="1700" spans="1:45" s="17" customFormat="1" ht="30.6" hidden="1" customHeight="1" x14ac:dyDescent="0.2">
      <c r="A1700" s="37" t="s">
        <v>2279</v>
      </c>
      <c r="B1700" s="38" t="s">
        <v>2277</v>
      </c>
      <c r="C1700" s="45"/>
      <c r="D1700" s="31">
        <v>3745509</v>
      </c>
      <c r="E1700" s="31">
        <v>4162234</v>
      </c>
      <c r="F1700" s="268" t="str">
        <f>IF(D1700="","",VLOOKUP(D1700,契約台帳!$A$3:$K$4986,6,FALSE)&amp;VLOOKUP(D1700,契約台帳!$A$3:$K$4986,7,FALSE)&amp;VLOOKUP(D1700,契約台帳!$A$3:$K$4986,8,FALSE)&amp;VLOOKUP(D1700,契約台帳!$A$3:$K$4986,9,FALSE)&amp;VLOOKUP(D1700,契約台帳!$A$3:$K$4986,11,FALSE))</f>
        <v>33SSNMCLBTEKKFV</v>
      </c>
      <c r="G1700" s="269" t="str">
        <f>IF(D1700="","",VLOOKUP(F1700,製品マスタ!$G$5:$H$5002,2,FALSE))</f>
        <v>S</v>
      </c>
      <c r="H1700" s="269" t="str">
        <f>IF(D1700="","",VLOOKUP(F1700,製品マスタ!$G$5:$K$5002,5,FALSE))</f>
        <v>TEKKFV</v>
      </c>
      <c r="I1700" s="270" t="str">
        <f>IF(D1700="","",VLOOKUP(F1700,製品マスタ!$G$5:$L$5002,6,FALSE))</f>
        <v>メタルミー　ＴＥＳ消開封　Ｖ</v>
      </c>
      <c r="J1700" s="210" t="s">
        <v>464</v>
      </c>
      <c r="K1700" s="270">
        <f>IF(D1700="","",VLOOKUP(D1700,契約台帳!$A$3:$L$4986,12,FALSE))</f>
        <v>38</v>
      </c>
      <c r="L1700" s="270" t="str">
        <f>IF(D1700="","",INDEX(製品マスタ!$Q$5:$Q$5002,MATCH('S4'!F1700&amp;'S4'!K1700,製品マスタ!$AO$5:$AO$5002,0)))</f>
        <v>X44SEPA</v>
      </c>
      <c r="M1700" s="39">
        <v>1005</v>
      </c>
      <c r="N1700" s="39">
        <v>2000</v>
      </c>
      <c r="O1700" s="156">
        <v>1</v>
      </c>
      <c r="P1700" s="47">
        <v>1</v>
      </c>
      <c r="Q1700" s="213">
        <v>45359</v>
      </c>
      <c r="R1700" s="271">
        <f ca="1">IF(D1700="","",IF(OFFSET(D1700,-1,0)&lt;&gt;"","",IF(OR(J1700="リード付け",J1700="巻足し",J1700="巻返しリード付け"),M1700,VLOOKUP(D1700,契約台帳!$A$3:$N$4986,14,FALSE))))</f>
        <v>1005</v>
      </c>
      <c r="S1700" s="272">
        <f ca="1">IF(D1700="","",IF(OFFSET(D1700,-1,0)&lt;&gt;"","",IF(OR(J1700="リード付け",J1700="巻足し",J1700="巻返しリード付け"),M1700,VLOOKUP(D1700,契約台帳!$A$3:$O$4986,15,FALSE))))</f>
        <v>1005</v>
      </c>
      <c r="T1700" s="273">
        <f ca="1">IF(D1700="","",IF(J1700="リード付け",N1700,IF(J1700="巻返しリード付け",N1700,IF(J1700="巻足し",N1700*P1700+OFFSET(N1700,1,0)*OFFSET(P1700,1,0),VLOOKUP(D1700,契約台帳!$A$3:$P$4986,16,FALSE)))))</f>
        <v>2000</v>
      </c>
      <c r="U1700" s="40">
        <v>1</v>
      </c>
      <c r="V1700" s="274">
        <f ca="1">IF(D1700="","",IF(OFFSET(D1700,-2,0)=D1700,"",VLOOKUP(D1700,契約台帳!$A$3:$R$4986,18,FALSE)))</f>
        <v>1</v>
      </c>
      <c r="W1700" s="269" t="str">
        <f ca="1">IF(D1700="","",IF(T1700="","",IF(OR(J1700="巻足し",J1700="巻返しリード付け"),"",IF(J1700="巻返し",VLOOKUP(F1700&amp;K1700&amp;M1700,製品マスタ!$M$5:$AD$5002,18,FALSE),IF(OR(J1700="リード付け",J1700="巻返しリード付け"),"原反コア",IF(J1700="スリット",VLOOKUP(F1700&amp;K1700&amp;R1700,製品マスタ!$N$5:$AD$5002,17,FALSE),""))))))</f>
        <v>原反コア</v>
      </c>
      <c r="X1700" s="269" t="str">
        <f ca="1">IF(D1700="","",IF(T1700="","",IF(J1700="巻足し","",IF(J1700="巻返し",VLOOKUP(F1700&amp;K1700&amp;M1700,製品マスタ!$M$5:$AE$5002,19,FALSE),IF(OR(J1700="リード付け",J1700="巻返しリード付け"),"",IF(J1700="スリット",VLOOKUP(F1700&amp;K1700&amp;R1700,製品マスタ!$N$5:$AE$5002,18,FALSE),""))))))</f>
        <v/>
      </c>
      <c r="Y1700" s="275">
        <f ca="1">IF(D1700="","",IF(T1700="","",VLOOKUP(D1700,契約台帳!$A$3:$Q$4986,17,FALSE)))</f>
        <v>2</v>
      </c>
      <c r="Z1700" s="269" t="str">
        <f ca="1">IF(D1700="","",IF(T1700="","",VLOOKUP(D1700,契約台帳!$A$3:$E$4986,5,FALSE)))</f>
        <v>リンテック㈱</v>
      </c>
      <c r="AA1700" s="57"/>
      <c r="AB1700" s="207">
        <f>IFERROR((VLOOKUP(F1700&amp;K1700&amp;M1700,製品マスタ!$M$5:$AM$5002,27,FALSE)),"")</f>
        <v>0</v>
      </c>
      <c r="AC1700" s="33"/>
      <c r="AD1700" s="189"/>
      <c r="AE1700" s="54"/>
      <c r="AF1700" s="55"/>
      <c r="AG1700" s="43"/>
      <c r="AH1700" s="47"/>
      <c r="AI1700" s="30"/>
      <c r="AJ1700" s="30"/>
      <c r="AK1700" s="30"/>
      <c r="AL1700" s="30"/>
      <c r="AM1700" s="13"/>
      <c r="AN1700" s="13"/>
      <c r="AO1700" s="13"/>
      <c r="AP1700" s="13"/>
      <c r="AQ1700" s="13"/>
      <c r="AR1700" s="14"/>
      <c r="AS1700" s="15"/>
    </row>
    <row r="1701" spans="1:45" s="17" customFormat="1" ht="30.95" hidden="1" customHeight="1" x14ac:dyDescent="0.2">
      <c r="A1701" s="37"/>
      <c r="B1701" s="38"/>
      <c r="C1701" s="45"/>
      <c r="D1701" s="31"/>
      <c r="E1701" s="31"/>
      <c r="F1701" s="268"/>
      <c r="G1701" s="269"/>
      <c r="H1701" s="269"/>
      <c r="I1701" s="270"/>
      <c r="J1701" s="210"/>
      <c r="K1701" s="270"/>
      <c r="L1701" s="270"/>
      <c r="M1701" s="39"/>
      <c r="N1701" s="39"/>
      <c r="O1701" s="156"/>
      <c r="P1701" s="47"/>
      <c r="Q1701" s="57"/>
      <c r="R1701" s="338"/>
      <c r="S1701" s="272"/>
      <c r="T1701" s="273"/>
      <c r="U1701" s="40"/>
      <c r="V1701" s="277"/>
      <c r="W1701" s="269"/>
      <c r="X1701" s="269"/>
      <c r="Y1701" s="275"/>
      <c r="Z1701" s="269"/>
      <c r="AA1701" s="57"/>
      <c r="AB1701" s="207"/>
      <c r="AC1701" s="33"/>
      <c r="AD1701" s="189"/>
      <c r="AE1701" s="54"/>
      <c r="AF1701" s="55"/>
      <c r="AG1701" s="43"/>
      <c r="AH1701" s="47"/>
      <c r="AI1701" s="30"/>
      <c r="AJ1701" s="30"/>
      <c r="AK1701" s="30"/>
      <c r="AL1701" s="30"/>
      <c r="AM1701" s="13"/>
      <c r="AN1701" s="13"/>
      <c r="AO1701" s="13"/>
      <c r="AP1701" s="13"/>
      <c r="AQ1701" s="13"/>
      <c r="AR1701" s="14"/>
      <c r="AS1701" s="15"/>
    </row>
    <row r="1702" spans="1:45" s="17" customFormat="1" ht="30.6" hidden="1" customHeight="1" x14ac:dyDescent="0.2">
      <c r="A1702" s="37"/>
      <c r="B1702" s="38"/>
      <c r="C1702" s="45"/>
      <c r="D1702" s="31">
        <v>3745895</v>
      </c>
      <c r="E1702" s="31">
        <v>4162245</v>
      </c>
      <c r="F1702" s="268" t="str">
        <f>IF(D1702="","",VLOOKUP(D1702,契約台帳!$A$3:$K$4986,6,FALSE)&amp;VLOOKUP(D1702,契約台帳!$A$3:$K$4986,7,FALSE)&amp;VLOOKUP(D1702,契約台帳!$A$3:$K$4986,8,FALSE)&amp;VLOOKUP(D1702,契約台帳!$A$3:$K$4986,9,FALSE)&amp;VLOOKUP(D1702,契約台帳!$A$3:$K$4986,11,FALSE))</f>
        <v>3TNMCLBHLGTV</v>
      </c>
      <c r="G1702" s="269" t="str">
        <f>IF(D1702="","",VLOOKUP(F1702,製品マスタ!$G$5:$H$5002,2,FALSE))</f>
        <v>T</v>
      </c>
      <c r="H1702" s="269" t="str">
        <f>IF(D1702="","",VLOOKUP(F1702,製品マスタ!$G$5:$K$5002,5,FALSE))</f>
        <v>HLGTV</v>
      </c>
      <c r="I1702" s="270" t="str">
        <f>IF(D1702="","",VLOOKUP(F1702,製品マスタ!$G$5:$L$5002,6,FALSE))</f>
        <v>メタルミー　ヘヤライン　銀艶Ｖ</v>
      </c>
      <c r="J1702" s="210" t="s">
        <v>935</v>
      </c>
      <c r="K1702" s="270">
        <f>IF(D1702="","",VLOOKUP(D1702,契約台帳!$A$3:$L$4986,12,FALSE))</f>
        <v>50</v>
      </c>
      <c r="L1702" s="270" t="str">
        <f>IF(D1702="","",INDEX(製品マスタ!$Q$5:$Q$5002,MATCH('S4'!F1702&amp;'S4'!K1702,製品マスタ!$AO$5:$AO$5002,0)))</f>
        <v>BRIGHT</v>
      </c>
      <c r="M1702" s="39">
        <v>1005</v>
      </c>
      <c r="N1702" s="39">
        <v>4100</v>
      </c>
      <c r="O1702" s="156">
        <v>3</v>
      </c>
      <c r="P1702" s="47">
        <v>3</v>
      </c>
      <c r="Q1702" s="213">
        <v>45359</v>
      </c>
      <c r="R1702" s="271">
        <f ca="1">IF(D1702="","",IF(OFFSET(D1702,-1,0)&lt;&gt;"","",IF(OR(J1702="リード付け",J1702="巻足し",J1702="巻返しリード付け"),M1702,VLOOKUP(D1702,契約台帳!$A$3:$N$4986,14,FALSE))))</f>
        <v>1005</v>
      </c>
      <c r="S1702" s="272">
        <f ca="1">IF(D1702="","",IF(OFFSET(D1702,-1,0)&lt;&gt;"","",IF(OR(J1702="リード付け",J1702="巻足し",J1702="巻返しリード付け"),M1702,VLOOKUP(D1702,契約台帳!$A$3:$O$4986,15,FALSE))))</f>
        <v>1005</v>
      </c>
      <c r="T1702" s="273">
        <f ca="1">IF(D1702="","",IF(J1702="リード付け",N1702,IF(J1702="巻返しリード付け",N1702,IF(J1702="巻足し",N1702*P1702+OFFSET(N1702,1,0)*OFFSET(P1702,1,0),VLOOKUP(D1702,契約台帳!$A$3:$P$4986,16,FALSE)))))</f>
        <v>12300</v>
      </c>
      <c r="U1702" s="40">
        <v>1</v>
      </c>
      <c r="V1702" s="274">
        <f ca="1">IF(D1702="","",IF(OFFSET(D1702,-2,0)=D1702,"",VLOOKUP(D1702,契約台帳!$A$3:$R$4986,18,FALSE)))</f>
        <v>3</v>
      </c>
      <c r="W1702" s="269" t="str">
        <f ca="1">IF(D1702="","",IF(T1702="","",IF(OR(J1702="巻足し",J1702="巻返しリード付け"),"",IF(J1702="巻返し",VLOOKUP(F1702&amp;K1702&amp;M1702,製品マスタ!$M$5:$AD$5002,18,FALSE),IF(OR(J1702="リード付け",J1702="巻返しリード付け"),"原反コア",IF(J1702="スリット",VLOOKUP(F1702&amp;K1702&amp;R1702,製品マスタ!$N$5:$AD$5002,17,FALSE),""))))))</f>
        <v/>
      </c>
      <c r="X1702" s="269" t="str">
        <f ca="1">IF(D1702="","",IF(T1702="","",IF(J1702="巻足し","",IF(J1702="巻返し",VLOOKUP(F1702&amp;K1702&amp;M1702,製品マスタ!$M$5:$AE$5002,19,FALSE),IF(OR(J1702="リード付け",J1702="巻返しリード付け"),"",IF(J1702="スリット",VLOOKUP(F1702&amp;K1702&amp;R1702,製品マスタ!$N$5:$AE$5002,18,FALSE),""))))))</f>
        <v/>
      </c>
      <c r="Y1702" s="275">
        <f ca="1">IF(D1702="","",IF(T1702="","",VLOOKUP(D1702,契約台帳!$A$3:$Q$4986,17,FALSE)))</f>
        <v>2</v>
      </c>
      <c r="Z1702" s="269" t="str">
        <f ca="1">IF(D1702="","",IF(T1702="","",VLOOKUP(D1702,契約台帳!$A$3:$E$4986,5,FALSE)))</f>
        <v>リンテック㈱</v>
      </c>
      <c r="AA1702" s="57"/>
      <c r="AB1702" s="207">
        <f>IFERROR((VLOOKUP(F1702&amp;K1702&amp;M1702,製品マスタ!$M$5:$AM$5002,27,FALSE)),"")</f>
        <v>0</v>
      </c>
      <c r="AC1702" s="33"/>
      <c r="AD1702" s="189"/>
      <c r="AE1702" s="54"/>
      <c r="AF1702" s="55">
        <f>+M1702*N1702*O1702/1000</f>
        <v>12361.5</v>
      </c>
      <c r="AG1702" s="43"/>
      <c r="AH1702" s="47"/>
      <c r="AI1702" s="30"/>
      <c r="AJ1702" s="30"/>
      <c r="AK1702" s="30"/>
      <c r="AL1702" s="30"/>
      <c r="AM1702" s="13"/>
      <c r="AN1702" s="13"/>
      <c r="AO1702" s="13"/>
      <c r="AP1702" s="13"/>
      <c r="AQ1702" s="13"/>
      <c r="AR1702" s="14"/>
      <c r="AS1702" s="15"/>
    </row>
    <row r="1703" spans="1:45" s="17" customFormat="1" ht="30.95" hidden="1" customHeight="1" x14ac:dyDescent="0.2">
      <c r="A1703" s="37"/>
      <c r="B1703" s="38"/>
      <c r="C1703" s="45"/>
      <c r="D1703" s="31"/>
      <c r="E1703" s="31"/>
      <c r="F1703" s="268"/>
      <c r="G1703" s="269"/>
      <c r="H1703" s="269"/>
      <c r="I1703" s="270"/>
      <c r="J1703" s="210"/>
      <c r="K1703" s="270"/>
      <c r="L1703" s="270"/>
      <c r="M1703" s="39"/>
      <c r="N1703" s="39"/>
      <c r="O1703" s="156"/>
      <c r="P1703" s="47"/>
      <c r="Q1703" s="57"/>
      <c r="R1703" s="338"/>
      <c r="S1703" s="272"/>
      <c r="T1703" s="273"/>
      <c r="U1703" s="40"/>
      <c r="V1703" s="277"/>
      <c r="W1703" s="269"/>
      <c r="X1703" s="269"/>
      <c r="Y1703" s="275"/>
      <c r="Z1703" s="269"/>
      <c r="AA1703" s="57"/>
      <c r="AB1703" s="207"/>
      <c r="AC1703" s="33"/>
      <c r="AD1703" s="189"/>
      <c r="AE1703" s="54"/>
      <c r="AF1703" s="55"/>
      <c r="AG1703" s="43"/>
      <c r="AH1703" s="47"/>
      <c r="AI1703" s="30"/>
      <c r="AJ1703" s="30"/>
      <c r="AK1703" s="30"/>
      <c r="AL1703" s="30"/>
      <c r="AM1703" s="13"/>
      <c r="AN1703" s="13"/>
      <c r="AO1703" s="13"/>
      <c r="AP1703" s="13"/>
      <c r="AQ1703" s="13"/>
      <c r="AR1703" s="14"/>
      <c r="AS1703" s="15"/>
    </row>
    <row r="1704" spans="1:45" s="17" customFormat="1" ht="30.95" hidden="1" customHeight="1" x14ac:dyDescent="0.2">
      <c r="A1704" s="37" t="s">
        <v>2300</v>
      </c>
      <c r="B1704" s="38" t="s">
        <v>2301</v>
      </c>
      <c r="C1704" s="45"/>
      <c r="D1704" s="31"/>
      <c r="E1704" s="31"/>
      <c r="F1704" s="268"/>
      <c r="G1704" s="269"/>
      <c r="H1704" s="269"/>
      <c r="I1704" s="270"/>
      <c r="J1704" s="210"/>
      <c r="K1704" s="270"/>
      <c r="L1704" s="270"/>
      <c r="M1704" s="39"/>
      <c r="N1704" s="39"/>
      <c r="O1704" s="156"/>
      <c r="P1704" s="47"/>
      <c r="Q1704" s="57"/>
      <c r="R1704" s="338"/>
      <c r="S1704" s="272"/>
      <c r="T1704" s="273"/>
      <c r="U1704" s="40"/>
      <c r="V1704" s="277"/>
      <c r="W1704" s="269"/>
      <c r="X1704" s="269"/>
      <c r="Y1704" s="275"/>
      <c r="Z1704" s="269"/>
      <c r="AA1704" s="57"/>
      <c r="AB1704" s="207"/>
      <c r="AC1704" s="33"/>
      <c r="AD1704" s="189"/>
      <c r="AE1704" s="54"/>
      <c r="AF1704" s="55"/>
      <c r="AG1704" s="43"/>
      <c r="AH1704" s="47"/>
      <c r="AI1704" s="30"/>
      <c r="AJ1704" s="30"/>
      <c r="AK1704" s="30"/>
      <c r="AL1704" s="30"/>
      <c r="AM1704" s="13"/>
      <c r="AN1704" s="13"/>
      <c r="AO1704" s="13"/>
      <c r="AP1704" s="13"/>
      <c r="AQ1704" s="13"/>
      <c r="AR1704" s="14"/>
      <c r="AS1704" s="15"/>
    </row>
    <row r="1705" spans="1:45" s="17" customFormat="1" ht="30.95" hidden="1" customHeight="1" x14ac:dyDescent="0.2">
      <c r="A1705" s="37"/>
      <c r="B1705" s="38"/>
      <c r="C1705" s="45"/>
      <c r="D1705" s="31"/>
      <c r="E1705" s="31"/>
      <c r="F1705" s="268"/>
      <c r="G1705" s="269"/>
      <c r="H1705" s="269"/>
      <c r="I1705" s="270"/>
      <c r="J1705" s="210"/>
      <c r="K1705" s="270"/>
      <c r="L1705" s="270"/>
      <c r="M1705" s="39"/>
      <c r="N1705" s="39"/>
      <c r="O1705" s="156"/>
      <c r="P1705" s="47"/>
      <c r="Q1705" s="57"/>
      <c r="R1705" s="338"/>
      <c r="S1705" s="272"/>
      <c r="T1705" s="273"/>
      <c r="U1705" s="40"/>
      <c r="V1705" s="277"/>
      <c r="W1705" s="269"/>
      <c r="X1705" s="269"/>
      <c r="Y1705" s="275"/>
      <c r="Z1705" s="269"/>
      <c r="AA1705" s="57"/>
      <c r="AB1705" s="207"/>
      <c r="AC1705" s="33"/>
      <c r="AD1705" s="189"/>
      <c r="AE1705" s="54"/>
      <c r="AF1705" s="55"/>
      <c r="AG1705" s="43"/>
      <c r="AH1705" s="47"/>
      <c r="AI1705" s="30"/>
      <c r="AJ1705" s="30"/>
      <c r="AK1705" s="30"/>
      <c r="AL1705" s="30"/>
      <c r="AM1705" s="13"/>
      <c r="AN1705" s="13"/>
      <c r="AO1705" s="13"/>
      <c r="AP1705" s="13"/>
      <c r="AQ1705" s="13"/>
      <c r="AR1705" s="14"/>
      <c r="AS1705" s="15"/>
    </row>
    <row r="1706" spans="1:45" s="17" customFormat="1" ht="30.95" hidden="1" customHeight="1" x14ac:dyDescent="0.2">
      <c r="A1706" s="37" t="s">
        <v>2302</v>
      </c>
      <c r="B1706" s="38" t="s">
        <v>2303</v>
      </c>
      <c r="C1706" s="45"/>
      <c r="D1706" s="31"/>
      <c r="E1706" s="31"/>
      <c r="F1706" s="268"/>
      <c r="G1706" s="269"/>
      <c r="H1706" s="269"/>
      <c r="I1706" s="270"/>
      <c r="J1706" s="210"/>
      <c r="K1706" s="270"/>
      <c r="L1706" s="270"/>
      <c r="M1706" s="39"/>
      <c r="N1706" s="39"/>
      <c r="O1706" s="156"/>
      <c r="P1706" s="47"/>
      <c r="Q1706" s="57"/>
      <c r="R1706" s="338"/>
      <c r="S1706" s="272"/>
      <c r="T1706" s="273"/>
      <c r="U1706" s="40"/>
      <c r="V1706" s="277"/>
      <c r="W1706" s="269"/>
      <c r="X1706" s="269"/>
      <c r="Y1706" s="275"/>
      <c r="Z1706" s="269"/>
      <c r="AA1706" s="57"/>
      <c r="AB1706" s="207"/>
      <c r="AC1706" s="33"/>
      <c r="AD1706" s="189"/>
      <c r="AE1706" s="54"/>
      <c r="AF1706" s="55"/>
      <c r="AG1706" s="43"/>
      <c r="AH1706" s="47"/>
      <c r="AI1706" s="30"/>
      <c r="AJ1706" s="30"/>
      <c r="AK1706" s="30"/>
      <c r="AL1706" s="30"/>
      <c r="AM1706" s="13"/>
      <c r="AN1706" s="13"/>
      <c r="AO1706" s="13"/>
      <c r="AP1706" s="13"/>
      <c r="AQ1706" s="13"/>
      <c r="AR1706" s="14"/>
      <c r="AS1706" s="15"/>
    </row>
    <row r="1707" spans="1:45" s="17" customFormat="1" ht="30.95" hidden="1" customHeight="1" x14ac:dyDescent="0.2">
      <c r="A1707" s="37"/>
      <c r="B1707" s="38"/>
      <c r="C1707" s="45"/>
      <c r="D1707" s="31"/>
      <c r="E1707" s="31"/>
      <c r="F1707" s="268"/>
      <c r="G1707" s="269"/>
      <c r="H1707" s="269"/>
      <c r="I1707" s="270"/>
      <c r="J1707" s="210"/>
      <c r="K1707" s="270"/>
      <c r="L1707" s="270"/>
      <c r="M1707" s="39"/>
      <c r="N1707" s="39"/>
      <c r="O1707" s="156"/>
      <c r="P1707" s="47"/>
      <c r="Q1707" s="57"/>
      <c r="R1707" s="338"/>
      <c r="S1707" s="272"/>
      <c r="T1707" s="273"/>
      <c r="U1707" s="40"/>
      <c r="V1707" s="277"/>
      <c r="W1707" s="269"/>
      <c r="X1707" s="269"/>
      <c r="Y1707" s="275"/>
      <c r="Z1707" s="269"/>
      <c r="AA1707" s="57"/>
      <c r="AB1707" s="207"/>
      <c r="AC1707" s="33"/>
      <c r="AD1707" s="189"/>
      <c r="AE1707" s="54"/>
      <c r="AF1707" s="55"/>
      <c r="AG1707" s="43"/>
      <c r="AH1707" s="47"/>
      <c r="AI1707" s="30"/>
      <c r="AJ1707" s="30"/>
      <c r="AK1707" s="30"/>
      <c r="AL1707" s="30"/>
      <c r="AM1707" s="13"/>
      <c r="AN1707" s="13"/>
      <c r="AO1707" s="13"/>
      <c r="AP1707" s="13"/>
      <c r="AQ1707" s="13"/>
      <c r="AR1707" s="14"/>
      <c r="AS1707" s="15"/>
    </row>
    <row r="1708" spans="1:45" s="17" customFormat="1" ht="30.95" hidden="1" customHeight="1" x14ac:dyDescent="0.2">
      <c r="A1708" s="37" t="s">
        <v>2304</v>
      </c>
      <c r="B1708" s="38" t="s">
        <v>2305</v>
      </c>
      <c r="C1708" s="45"/>
      <c r="D1708" s="31"/>
      <c r="E1708" s="31"/>
      <c r="F1708" s="268"/>
      <c r="G1708" s="269"/>
      <c r="H1708" s="269"/>
      <c r="I1708" s="270"/>
      <c r="J1708" s="210" t="s">
        <v>448</v>
      </c>
      <c r="K1708" s="270"/>
      <c r="L1708" s="270"/>
      <c r="M1708" s="39"/>
      <c r="N1708" s="39"/>
      <c r="O1708" s="156"/>
      <c r="P1708" s="47"/>
      <c r="Q1708" s="57"/>
      <c r="R1708" s="338"/>
      <c r="S1708" s="272"/>
      <c r="T1708" s="273"/>
      <c r="U1708" s="40"/>
      <c r="V1708" s="277"/>
      <c r="W1708" s="269"/>
      <c r="X1708" s="269"/>
      <c r="Y1708" s="275"/>
      <c r="Z1708" s="269"/>
      <c r="AA1708" s="57"/>
      <c r="AB1708" s="207"/>
      <c r="AC1708" s="33"/>
      <c r="AD1708" s="189"/>
      <c r="AE1708" s="54"/>
      <c r="AF1708" s="55"/>
      <c r="AG1708" s="43"/>
      <c r="AH1708" s="47"/>
      <c r="AI1708" s="30"/>
      <c r="AJ1708" s="30"/>
      <c r="AK1708" s="30"/>
      <c r="AL1708" s="30"/>
      <c r="AM1708" s="13"/>
      <c r="AN1708" s="13"/>
      <c r="AO1708" s="13"/>
      <c r="AP1708" s="13"/>
      <c r="AQ1708" s="13"/>
      <c r="AR1708" s="14"/>
      <c r="AS1708" s="15"/>
    </row>
    <row r="1709" spans="1:45" s="17" customFormat="1" ht="30.95" hidden="1" customHeight="1" x14ac:dyDescent="0.2">
      <c r="A1709" s="37"/>
      <c r="B1709" s="38"/>
      <c r="C1709" s="45"/>
      <c r="D1709" s="31"/>
      <c r="E1709" s="31"/>
      <c r="F1709" s="268"/>
      <c r="G1709" s="269"/>
      <c r="H1709" s="269"/>
      <c r="I1709" s="270"/>
      <c r="J1709" s="210"/>
      <c r="K1709" s="270"/>
      <c r="L1709" s="270"/>
      <c r="M1709" s="39"/>
      <c r="N1709" s="39"/>
      <c r="O1709" s="156"/>
      <c r="P1709" s="47"/>
      <c r="Q1709" s="57"/>
      <c r="R1709" s="338"/>
      <c r="S1709" s="272"/>
      <c r="T1709" s="273"/>
      <c r="U1709" s="40"/>
      <c r="V1709" s="277"/>
      <c r="W1709" s="269"/>
      <c r="X1709" s="269"/>
      <c r="Y1709" s="275"/>
      <c r="Z1709" s="269"/>
      <c r="AA1709" s="57"/>
      <c r="AB1709" s="207"/>
      <c r="AC1709" s="33"/>
      <c r="AD1709" s="189"/>
      <c r="AE1709" s="54"/>
      <c r="AF1709" s="55"/>
      <c r="AG1709" s="43"/>
      <c r="AH1709" s="47"/>
      <c r="AI1709" s="30"/>
      <c r="AJ1709" s="30"/>
      <c r="AK1709" s="30"/>
      <c r="AL1709" s="30"/>
      <c r="AM1709" s="13"/>
      <c r="AN1709" s="13"/>
      <c r="AO1709" s="13"/>
      <c r="AP1709" s="13"/>
      <c r="AQ1709" s="13"/>
      <c r="AR1709" s="14"/>
      <c r="AS1709" s="15"/>
    </row>
    <row r="1710" spans="1:45" s="17" customFormat="1" ht="30.95" hidden="1" customHeight="1" x14ac:dyDescent="0.2">
      <c r="A1710" s="37" t="s">
        <v>2306</v>
      </c>
      <c r="B1710" s="38" t="s">
        <v>2307</v>
      </c>
      <c r="C1710" s="45"/>
      <c r="D1710" s="31"/>
      <c r="E1710" s="31"/>
      <c r="F1710" s="268"/>
      <c r="G1710" s="269"/>
      <c r="H1710" s="269"/>
      <c r="I1710" s="270"/>
      <c r="J1710" s="210" t="s">
        <v>448</v>
      </c>
      <c r="K1710" s="270"/>
      <c r="L1710" s="270"/>
      <c r="M1710" s="39"/>
      <c r="N1710" s="39"/>
      <c r="O1710" s="156"/>
      <c r="P1710" s="47"/>
      <c r="Q1710" s="57"/>
      <c r="R1710" s="338"/>
      <c r="S1710" s="272"/>
      <c r="T1710" s="273"/>
      <c r="U1710" s="40"/>
      <c r="V1710" s="277"/>
      <c r="W1710" s="269"/>
      <c r="X1710" s="269"/>
      <c r="Y1710" s="275"/>
      <c r="Z1710" s="269"/>
      <c r="AA1710" s="57"/>
      <c r="AB1710" s="207"/>
      <c r="AC1710" s="33"/>
      <c r="AD1710" s="189"/>
      <c r="AE1710" s="54"/>
      <c r="AF1710" s="55"/>
      <c r="AG1710" s="43"/>
      <c r="AH1710" s="47"/>
      <c r="AI1710" s="30"/>
      <c r="AJ1710" s="30"/>
      <c r="AK1710" s="30"/>
      <c r="AL1710" s="30"/>
      <c r="AM1710" s="13"/>
      <c r="AN1710" s="13"/>
      <c r="AO1710" s="13"/>
      <c r="AP1710" s="13"/>
      <c r="AQ1710" s="13"/>
      <c r="AR1710" s="14"/>
      <c r="AS1710" s="15"/>
    </row>
    <row r="1711" spans="1:45" s="17" customFormat="1" ht="30.95" hidden="1" customHeight="1" x14ac:dyDescent="0.2">
      <c r="A1711" s="37"/>
      <c r="B1711" s="38"/>
      <c r="C1711" s="45"/>
      <c r="D1711" s="31"/>
      <c r="E1711" s="31"/>
      <c r="F1711" s="268"/>
      <c r="G1711" s="269"/>
      <c r="H1711" s="269"/>
      <c r="I1711" s="270"/>
      <c r="J1711" s="210"/>
      <c r="K1711" s="270"/>
      <c r="L1711" s="270"/>
      <c r="M1711" s="39"/>
      <c r="N1711" s="39"/>
      <c r="O1711" s="156"/>
      <c r="P1711" s="47"/>
      <c r="Q1711" s="57"/>
      <c r="R1711" s="338"/>
      <c r="S1711" s="272"/>
      <c r="T1711" s="273"/>
      <c r="U1711" s="40"/>
      <c r="V1711" s="277"/>
      <c r="W1711" s="269"/>
      <c r="X1711" s="269"/>
      <c r="Y1711" s="275"/>
      <c r="Z1711" s="269"/>
      <c r="AA1711" s="57"/>
      <c r="AB1711" s="207"/>
      <c r="AC1711" s="33"/>
      <c r="AD1711" s="189"/>
      <c r="AE1711" s="54"/>
      <c r="AF1711" s="55"/>
      <c r="AG1711" s="43"/>
      <c r="AH1711" s="47"/>
      <c r="AI1711" s="30"/>
      <c r="AJ1711" s="30"/>
      <c r="AK1711" s="30"/>
      <c r="AL1711" s="30"/>
      <c r="AM1711" s="13"/>
      <c r="AN1711" s="13"/>
      <c r="AO1711" s="13"/>
      <c r="AP1711" s="13"/>
      <c r="AQ1711" s="13"/>
      <c r="AR1711" s="14"/>
      <c r="AS1711" s="15"/>
    </row>
    <row r="1712" spans="1:45" s="17" customFormat="1" ht="30.95" hidden="1" customHeight="1" x14ac:dyDescent="0.2">
      <c r="A1712" s="37" t="s">
        <v>2308</v>
      </c>
      <c r="B1712" s="38" t="s">
        <v>2309</v>
      </c>
      <c r="C1712" s="45"/>
      <c r="D1712" s="31"/>
      <c r="E1712" s="31"/>
      <c r="F1712" s="268"/>
      <c r="G1712" s="269"/>
      <c r="H1712" s="269"/>
      <c r="I1712" s="270"/>
      <c r="J1712" s="210"/>
      <c r="K1712" s="270"/>
      <c r="L1712" s="270"/>
      <c r="M1712" s="39"/>
      <c r="N1712" s="39"/>
      <c r="O1712" s="156"/>
      <c r="P1712" s="47"/>
      <c r="Q1712" s="57"/>
      <c r="R1712" s="338"/>
      <c r="S1712" s="272"/>
      <c r="T1712" s="273"/>
      <c r="U1712" s="40"/>
      <c r="V1712" s="277"/>
      <c r="W1712" s="269"/>
      <c r="X1712" s="269"/>
      <c r="Y1712" s="275"/>
      <c r="Z1712" s="269"/>
      <c r="AA1712" s="57"/>
      <c r="AB1712" s="207"/>
      <c r="AC1712" s="33"/>
      <c r="AD1712" s="189"/>
      <c r="AE1712" s="54"/>
      <c r="AF1712" s="55"/>
      <c r="AG1712" s="43"/>
      <c r="AH1712" s="47"/>
      <c r="AI1712" s="30"/>
      <c r="AJ1712" s="30"/>
      <c r="AK1712" s="30"/>
      <c r="AL1712" s="30"/>
      <c r="AM1712" s="13"/>
      <c r="AN1712" s="13"/>
      <c r="AO1712" s="13"/>
      <c r="AP1712" s="13"/>
      <c r="AQ1712" s="13"/>
      <c r="AR1712" s="14"/>
      <c r="AS1712" s="15"/>
    </row>
    <row r="1713" spans="1:45" s="17" customFormat="1" ht="30.95" hidden="1" customHeight="1" x14ac:dyDescent="0.2">
      <c r="A1713" s="37"/>
      <c r="B1713" s="38"/>
      <c r="C1713" s="45"/>
      <c r="D1713" s="31"/>
      <c r="E1713" s="31"/>
      <c r="F1713" s="268"/>
      <c r="G1713" s="269"/>
      <c r="H1713" s="269"/>
      <c r="I1713" s="270"/>
      <c r="J1713" s="210"/>
      <c r="K1713" s="270"/>
      <c r="L1713" s="270"/>
      <c r="M1713" s="39"/>
      <c r="N1713" s="39"/>
      <c r="O1713" s="156"/>
      <c r="P1713" s="47"/>
      <c r="Q1713" s="57"/>
      <c r="R1713" s="338"/>
      <c r="S1713" s="272"/>
      <c r="T1713" s="273"/>
      <c r="U1713" s="40"/>
      <c r="V1713" s="277"/>
      <c r="W1713" s="269"/>
      <c r="X1713" s="269"/>
      <c r="Y1713" s="275"/>
      <c r="Z1713" s="269"/>
      <c r="AA1713" s="57"/>
      <c r="AB1713" s="207"/>
      <c r="AC1713" s="33"/>
      <c r="AD1713" s="189"/>
      <c r="AE1713" s="54"/>
      <c r="AF1713" s="55"/>
      <c r="AG1713" s="43"/>
      <c r="AH1713" s="47"/>
      <c r="AI1713" s="30"/>
      <c r="AJ1713" s="30"/>
      <c r="AK1713" s="30"/>
      <c r="AL1713" s="30"/>
      <c r="AM1713" s="13"/>
      <c r="AN1713" s="13"/>
      <c r="AO1713" s="13"/>
      <c r="AP1713" s="13"/>
      <c r="AQ1713" s="13"/>
      <c r="AR1713" s="14"/>
      <c r="AS1713" s="15"/>
    </row>
    <row r="1714" spans="1:45" s="17" customFormat="1" ht="30.95" hidden="1" customHeight="1" x14ac:dyDescent="0.2">
      <c r="A1714" s="37" t="s">
        <v>968</v>
      </c>
      <c r="B1714" s="38" t="s">
        <v>688</v>
      </c>
      <c r="C1714" s="45"/>
      <c r="D1714" s="31">
        <v>3746133</v>
      </c>
      <c r="E1714" s="31">
        <v>4141106</v>
      </c>
      <c r="F1714" s="268" t="str">
        <f>IF(D1714="","",VLOOKUP(D1714,契約台帳!$A$3:$K$4986,6,FALSE)&amp;VLOOKUP(D1714,契約台帳!$A$3:$K$4986,7,FALSE)&amp;VLOOKUP(D1714,契約台帳!$A$3:$K$4986,8,FALSE)&amp;VLOOKUP(D1714,契約台帳!$A$3:$K$4986,9,FALSE)&amp;VLOOKUP(D1714,契約台帳!$A$3:$K$4986,11,FALSE))</f>
        <v>3XSNMCLBEYK</v>
      </c>
      <c r="G1714" s="269" t="str">
        <f>IF(D1714="","",VLOOKUP(F1714,製品マスタ!$G$5:$H$5002,2,FALSE))</f>
        <v>S</v>
      </c>
      <c r="H1714" s="269" t="str">
        <f>IF(D1714="","",VLOOKUP(F1714,製品マスタ!$G$5:$K$5002,5,FALSE))</f>
        <v>EYK</v>
      </c>
      <c r="I1714" s="270" t="str">
        <f>IF(D1714="","",VLOOKUP(F1714,製品マスタ!$G$5:$L$5002,6,FALSE))</f>
        <v>メタルミー　ＥＹＫ</v>
      </c>
      <c r="J1714" s="210" t="s">
        <v>447</v>
      </c>
      <c r="K1714" s="270">
        <f>IF(D1714="","",VLOOKUP(D1714,契約台帳!$A$3:$L$4986,12,FALSE))</f>
        <v>50</v>
      </c>
      <c r="L1714" s="270" t="str">
        <f>IF(D1714="","",INDEX(製品マスタ!$Q$5:$Q$5002,MATCH('S4'!F1714&amp;'S4'!K1714,製品マスタ!$AO$5:$AO$5002,0)))</f>
        <v>T62M</v>
      </c>
      <c r="M1714" s="39">
        <v>1195</v>
      </c>
      <c r="N1714" s="39">
        <v>12200</v>
      </c>
      <c r="O1714" s="156">
        <v>1</v>
      </c>
      <c r="P1714" s="47">
        <v>1</v>
      </c>
      <c r="Q1714" s="57"/>
      <c r="R1714" s="271">
        <f ca="1">IF(D1714="","",IF(OFFSET(D1714,-1,0)&lt;&gt;"","",IF(OR(J1714="リード付け",J1714="巻足し",J1714="巻返しリード付け"),M1714,VLOOKUP(D1714,契約台帳!$A$3:$N$4986,14,FALSE))))</f>
        <v>1120</v>
      </c>
      <c r="S1714" s="272">
        <f ca="1">IF(D1714="","",IF(OFFSET(D1714,-1,0)&lt;&gt;"","",IF(OR(J1714="リード付け",J1714="巻足し",J1714="巻返しリード付け"),M1714,VLOOKUP(D1714,契約台帳!$A$3:$O$4986,15,FALSE))))</f>
        <v>1120</v>
      </c>
      <c r="T1714" s="273">
        <f ca="1">IF(D1714="","",IF(J1714="リード付け",N1714,IF(J1714="巻返しリード付け",N1714,IF(J1714="巻足し",N1714*P1714+OFFSET(N1714,1,0)*OFFSET(P1714,1,0),VLOOKUP(D1714,契約台帳!$A$3:$P$4986,16,FALSE)))))</f>
        <v>6000</v>
      </c>
      <c r="U1714" s="40">
        <v>2</v>
      </c>
      <c r="V1714" s="274">
        <f ca="1">IF(D1714="","",IF(OFFSET(D1714,-2,0)=D1714,"",VLOOKUP(D1714,契約台帳!$A$3:$R$4986,18,FALSE)))</f>
        <v>2</v>
      </c>
      <c r="W1714" s="269" t="str">
        <f ca="1">IF(D1714="","",IF(T1714="","",IF(OR(J1714="巻足し",J1714="巻返しリード付け"),"",IF(J1714="巻返し",VLOOKUP(F1714&amp;K1714&amp;M1714,製品マスタ!$M$5:$AD$5002,18,FALSE),IF(OR(J1714="リード付け",J1714="巻返しリード付け"),"原反コア",IF(J1714="スリット",VLOOKUP(F1714&amp;K1714&amp;R1714,製品マスタ!$N$5:$AD$5002,17,FALSE),""))))))</f>
        <v>6ｲﾝﾁMｺｱ</v>
      </c>
      <c r="X1714" s="269">
        <f ca="1">IF(D1714="","",IF(T1714="","",IF(J1714="巻足し","",IF(J1714="巻返し",VLOOKUP(F1714&amp;K1714&amp;M1714,製品マスタ!$M$5:$AE$5002,19,FALSE),IF(OR(J1714="リード付け",J1714="巻返しリード付け"),"",IF(J1714="スリット",VLOOKUP(F1714&amp;K1714&amp;R1714,製品マスタ!$N$5:$AE$5002,18,FALSE),""))))))</f>
        <v>1140</v>
      </c>
      <c r="Y1714" s="275">
        <f ca="1">IF(D1714="","",IF(T1714="","",VLOOKUP(D1714,契約台帳!$A$3:$Q$4986,17,FALSE)))</f>
        <v>2</v>
      </c>
      <c r="Z1714" s="269" t="str">
        <f ca="1">IF(D1714="","",IF(T1714="","",VLOOKUP(D1714,契約台帳!$A$3:$E$4986,5,FALSE)))</f>
        <v>新タック化成㈱</v>
      </c>
      <c r="AA1714" s="57"/>
      <c r="AB1714" s="207"/>
      <c r="AC1714" s="33"/>
      <c r="AD1714" s="189"/>
      <c r="AE1714" s="54"/>
      <c r="AF1714" s="55"/>
      <c r="AG1714" s="43"/>
      <c r="AH1714" s="47"/>
      <c r="AI1714" s="30"/>
      <c r="AJ1714" s="30"/>
      <c r="AK1714" s="30"/>
      <c r="AL1714" s="30"/>
      <c r="AM1714" s="13"/>
      <c r="AN1714" s="13"/>
      <c r="AO1714" s="13"/>
      <c r="AP1714" s="13"/>
      <c r="AQ1714" s="13"/>
      <c r="AR1714" s="14"/>
      <c r="AS1714" s="15"/>
    </row>
    <row r="1715" spans="1:45" s="17" customFormat="1" ht="30.95" hidden="1" customHeight="1" x14ac:dyDescent="0.2">
      <c r="A1715" s="37"/>
      <c r="B1715" s="38"/>
      <c r="C1715" s="45"/>
      <c r="D1715" s="31"/>
      <c r="E1715" s="31"/>
      <c r="F1715" s="268"/>
      <c r="G1715" s="269"/>
      <c r="H1715" s="269"/>
      <c r="I1715" s="270"/>
      <c r="J1715" s="210"/>
      <c r="K1715" s="270"/>
      <c r="L1715" s="270"/>
      <c r="M1715" s="39"/>
      <c r="N1715" s="39"/>
      <c r="O1715" s="156"/>
      <c r="P1715" s="47"/>
      <c r="Q1715" s="57"/>
      <c r="R1715" s="338"/>
      <c r="S1715" s="272"/>
      <c r="T1715" s="273"/>
      <c r="U1715" s="40"/>
      <c r="V1715" s="277"/>
      <c r="W1715" s="269"/>
      <c r="X1715" s="269"/>
      <c r="Y1715" s="275"/>
      <c r="Z1715" s="269"/>
      <c r="AA1715" s="57"/>
      <c r="AB1715" s="207"/>
      <c r="AC1715" s="33"/>
      <c r="AD1715" s="189"/>
      <c r="AE1715" s="54"/>
      <c r="AF1715" s="55"/>
      <c r="AG1715" s="43"/>
      <c r="AH1715" s="47"/>
      <c r="AI1715" s="30"/>
      <c r="AJ1715" s="30"/>
      <c r="AK1715" s="30"/>
      <c r="AL1715" s="30"/>
      <c r="AM1715" s="13"/>
      <c r="AN1715" s="13"/>
      <c r="AO1715" s="13"/>
      <c r="AP1715" s="13"/>
      <c r="AQ1715" s="13"/>
      <c r="AR1715" s="14"/>
      <c r="AS1715" s="15"/>
    </row>
    <row r="1716" spans="1:45" s="17" customFormat="1" ht="30.95" hidden="1" customHeight="1" x14ac:dyDescent="0.2">
      <c r="A1716" s="37"/>
      <c r="B1716" s="38"/>
      <c r="C1716" s="45"/>
      <c r="D1716" s="31">
        <v>3744886</v>
      </c>
      <c r="E1716" s="31">
        <v>4141108</v>
      </c>
      <c r="F1716" s="268" t="str">
        <f>IF(D1716="","",VLOOKUP(D1716,契約台帳!$A$3:$K$4986,6,FALSE)&amp;VLOOKUP(D1716,契約台帳!$A$3:$K$4986,7,FALSE)&amp;VLOOKUP(D1716,契約台帳!$A$3:$K$4986,8,FALSE)&amp;VLOOKUP(D1716,契約台帳!$A$3:$K$4986,9,FALSE)&amp;VLOOKUP(D1716,契約台帳!$A$3:$K$4986,11,FALSE))</f>
        <v>3SNCLBLMEYK</v>
      </c>
      <c r="G1716" s="269" t="str">
        <f>IF(D1716="","",VLOOKUP(F1716,製品マスタ!$G$5:$H$5002,2,FALSE))</f>
        <v>S</v>
      </c>
      <c r="H1716" s="269" t="str">
        <f>IF(D1716="","",VLOOKUP(F1716,製品マスタ!$G$5:$K$5002,5,FALSE))</f>
        <v>LMEYK</v>
      </c>
      <c r="I1716" s="270" t="str">
        <f>IF(D1716="","",VLOOKUP(F1716,製品マスタ!$G$5:$L$5002,6,FALSE))</f>
        <v>ルミマットＥＹＫ</v>
      </c>
      <c r="J1716" s="210" t="s">
        <v>447</v>
      </c>
      <c r="K1716" s="270">
        <f>IF(D1716="","",VLOOKUP(D1716,契約台帳!$A$3:$L$4986,12,FALSE))</f>
        <v>38</v>
      </c>
      <c r="L1716" s="270" t="str">
        <f>IF(D1716="","",INDEX(製品マスタ!$Q$5:$Q$5002,MATCH('S4'!F1716&amp;'S4'!K1716,製品マスタ!$AO$5:$AO$5002,0)))</f>
        <v>LUMIMAT</v>
      </c>
      <c r="M1716" s="39">
        <v>1005</v>
      </c>
      <c r="N1716" s="39">
        <v>8000</v>
      </c>
      <c r="O1716" s="156">
        <v>3</v>
      </c>
      <c r="P1716" s="47">
        <v>3</v>
      </c>
      <c r="Q1716" s="57"/>
      <c r="R1716" s="271">
        <f ca="1">IF(D1716="","",IF(OFFSET(D1716,-1,0)&lt;&gt;"","",IF(OR(J1716="リード付け",J1716="巻足し",J1716="巻返しリード付け"),M1716,VLOOKUP(D1716,契約台帳!$A$3:$N$4986,14,FALSE))))</f>
        <v>1005</v>
      </c>
      <c r="S1716" s="272">
        <f ca="1">IF(D1716="","",IF(OFFSET(D1716,-1,0)&lt;&gt;"","",IF(OR(J1716="リード付け",J1716="巻足し",J1716="巻返しリード付け"),M1716,VLOOKUP(D1716,契約台帳!$A$3:$O$4986,15,FALSE))))</f>
        <v>1000</v>
      </c>
      <c r="T1716" s="273">
        <f ca="1">IF(D1716="","",IF(J1716="リード付け",N1716,IF(J1716="巻返しリード付け",N1716,IF(J1716="巻足し",N1716*P1716+OFFSET(N1716,1,0)*OFFSET(P1716,1,0),VLOOKUP(D1716,契約台帳!$A$3:$P$4986,16,FALSE)))))</f>
        <v>4000</v>
      </c>
      <c r="U1716" s="40">
        <v>6</v>
      </c>
      <c r="V1716" s="274">
        <f ca="1">IF(D1716="","",IF(OFFSET(D1716,-2,0)=D1716,"",VLOOKUP(D1716,契約台帳!$A$3:$R$4986,18,FALSE)))</f>
        <v>6</v>
      </c>
      <c r="W1716" s="269" t="str">
        <f ca="1">IF(D1716="","",IF(T1716="","",IF(OR(J1716="巻足し",J1716="巻返しリード付け"),"",IF(J1716="巻返し",VLOOKUP(F1716&amp;K1716&amp;M1716,製品マスタ!$M$5:$AD$5002,18,FALSE),IF(OR(J1716="リード付け",J1716="巻返しリード付け"),"原反コア",IF(J1716="スリット",VLOOKUP(F1716&amp;K1716&amp;R1716,製品マスタ!$N$5:$AD$5002,17,FALSE),""))))))</f>
        <v>3ｲﾝﾁSｺｱ</v>
      </c>
      <c r="X1716" s="269">
        <f ca="1">IF(D1716="","",IF(T1716="","",IF(J1716="巻足し","",IF(J1716="巻返し",VLOOKUP(F1716&amp;K1716&amp;M1716,製品マスタ!$M$5:$AE$5002,19,FALSE),IF(OR(J1716="リード付け",J1716="巻返しリード付け"),"",IF(J1716="スリット",VLOOKUP(F1716&amp;K1716&amp;R1716,製品マスタ!$N$5:$AE$5002,18,FALSE),""))))))</f>
        <v>1015</v>
      </c>
      <c r="Y1716" s="275">
        <f ca="1">IF(D1716="","",IF(T1716="","",VLOOKUP(D1716,契約台帳!$A$3:$Q$4986,17,FALSE)))</f>
        <v>2</v>
      </c>
      <c r="Z1716" s="269" t="str">
        <f ca="1">IF(D1716="","",IF(T1716="","",VLOOKUP(D1716,契約台帳!$A$3:$E$4986,5,FALSE)))</f>
        <v>リンテック㈱</v>
      </c>
      <c r="AA1716" s="57"/>
      <c r="AB1716" s="207"/>
      <c r="AC1716" s="33"/>
      <c r="AD1716" s="189"/>
      <c r="AE1716" s="54"/>
      <c r="AF1716" s="55"/>
      <c r="AG1716" s="43"/>
      <c r="AH1716" s="47"/>
      <c r="AI1716" s="30"/>
      <c r="AJ1716" s="30"/>
      <c r="AK1716" s="30"/>
      <c r="AL1716" s="30"/>
      <c r="AM1716" s="13"/>
      <c r="AN1716" s="13"/>
      <c r="AO1716" s="13"/>
      <c r="AP1716" s="13"/>
      <c r="AQ1716" s="13"/>
      <c r="AR1716" s="14"/>
      <c r="AS1716" s="15"/>
    </row>
    <row r="1717" spans="1:45" s="17" customFormat="1" ht="30.95" hidden="1" customHeight="1" x14ac:dyDescent="0.2">
      <c r="A1717" s="37"/>
      <c r="B1717" s="38"/>
      <c r="C1717" s="45"/>
      <c r="D1717" s="31"/>
      <c r="E1717" s="31"/>
      <c r="F1717" s="268"/>
      <c r="G1717" s="269"/>
      <c r="H1717" s="269"/>
      <c r="I1717" s="270"/>
      <c r="J1717" s="210"/>
      <c r="K1717" s="270"/>
      <c r="L1717" s="270"/>
      <c r="M1717" s="39"/>
      <c r="N1717" s="39"/>
      <c r="O1717" s="156"/>
      <c r="P1717" s="47"/>
      <c r="Q1717" s="57"/>
      <c r="R1717" s="338"/>
      <c r="S1717" s="272"/>
      <c r="T1717" s="273"/>
      <c r="U1717" s="40"/>
      <c r="V1717" s="277"/>
      <c r="W1717" s="269"/>
      <c r="X1717" s="269"/>
      <c r="Y1717" s="275"/>
      <c r="Z1717" s="269"/>
      <c r="AA1717" s="57"/>
      <c r="AB1717" s="207"/>
      <c r="AC1717" s="33"/>
      <c r="AD1717" s="189"/>
      <c r="AE1717" s="54"/>
      <c r="AF1717" s="55"/>
      <c r="AG1717" s="43"/>
      <c r="AH1717" s="47"/>
      <c r="AI1717" s="30"/>
      <c r="AJ1717" s="30"/>
      <c r="AK1717" s="30"/>
      <c r="AL1717" s="30"/>
      <c r="AM1717" s="13"/>
      <c r="AN1717" s="13"/>
      <c r="AO1717" s="13"/>
      <c r="AP1717" s="13"/>
      <c r="AQ1717" s="13"/>
      <c r="AR1717" s="14"/>
      <c r="AS1717" s="15"/>
    </row>
    <row r="1718" spans="1:45" s="17" customFormat="1" ht="30.95" hidden="1" customHeight="1" x14ac:dyDescent="0.2">
      <c r="A1718" s="37" t="s">
        <v>2311</v>
      </c>
      <c r="B1718" s="38" t="s">
        <v>2312</v>
      </c>
      <c r="C1718" s="45"/>
      <c r="D1718" s="31">
        <v>3741618</v>
      </c>
      <c r="E1718" s="31">
        <v>4141085</v>
      </c>
      <c r="F1718" s="268" t="str">
        <f>IF(D1718="","",VLOOKUP(D1718,契約台帳!$A$3:$K$4986,6,FALSE)&amp;VLOOKUP(D1718,契約台帳!$A$3:$K$4986,7,FALSE)&amp;VLOOKUP(D1718,契約台帳!$A$3:$K$4986,8,FALSE)&amp;VLOOKUP(D1718,契約台帳!$A$3:$K$4986,9,FALSE)&amp;VLOOKUP(D1718,契約台帳!$A$3:$K$4986,11,FALSE))</f>
        <v>33SSNMCLBTETKFV</v>
      </c>
      <c r="G1718" s="269" t="str">
        <f>IF(D1718="","",VLOOKUP(F1718,製品マスタ!$G$5:$H$5002,2,FALSE))</f>
        <v>S</v>
      </c>
      <c r="H1718" s="269" t="str">
        <f>IF(D1718="","",VLOOKUP(F1718,製品マスタ!$G$5:$K$5002,5,FALSE))</f>
        <v>TETKFV</v>
      </c>
      <c r="I1718" s="270" t="str">
        <f>IF(D1718="","",VLOOKUP(F1718,製品マスタ!$G$5:$L$5002,6,FALSE))</f>
        <v>メタルミー　ＴＥＳ艶開封　Ｖ</v>
      </c>
      <c r="J1718" s="210" t="s">
        <v>447</v>
      </c>
      <c r="K1718" s="270">
        <f>IF(D1718="","",VLOOKUP(D1718,契約台帳!$A$3:$L$4986,12,FALSE))</f>
        <v>50</v>
      </c>
      <c r="L1718" s="270" t="str">
        <f>IF(D1718="","",INDEX(製品マスタ!$Q$5:$Q$5002,MATCH('S4'!F1718&amp;'S4'!K1718,製品マスタ!$AO$5:$AO$5002,0)))</f>
        <v>S28SEPA</v>
      </c>
      <c r="M1718" s="39">
        <v>1005</v>
      </c>
      <c r="N1718" s="39">
        <v>12300</v>
      </c>
      <c r="O1718" s="156">
        <v>2</v>
      </c>
      <c r="P1718" s="47">
        <v>2</v>
      </c>
      <c r="Q1718" s="57"/>
      <c r="R1718" s="271">
        <f ca="1">IF(D1718="","",IF(OFFSET(D1718,-1,0)&lt;&gt;"","",IF(OR(J1718="リード付け",J1718="巻足し",J1718="巻返しリード付け"),M1718,VLOOKUP(D1718,契約台帳!$A$3:$N$4986,14,FALSE))))</f>
        <v>1005</v>
      </c>
      <c r="S1718" s="272">
        <f ca="1">IF(D1718="","",IF(OFFSET(D1718,-1,0)&lt;&gt;"","",IF(OR(J1718="リード付け",J1718="巻足し",J1718="巻返しリード付け"),M1718,VLOOKUP(D1718,契約台帳!$A$3:$O$4986,15,FALSE))))</f>
        <v>1000</v>
      </c>
      <c r="T1718" s="273">
        <f ca="1">IF(D1718="","",IF(J1718="リード付け",N1718,IF(J1718="巻返しリード付け",N1718,IF(J1718="巻足し",N1718*P1718+OFFSET(N1718,1,0)*OFFSET(P1718,1,0),VLOOKUP(D1718,契約台帳!$A$3:$P$4986,16,FALSE)))))</f>
        <v>4100</v>
      </c>
      <c r="U1718" s="40">
        <v>6</v>
      </c>
      <c r="V1718" s="274">
        <f ca="1">IF(D1718="","",IF(OFFSET(D1718,-2,0)=D1718,"",VLOOKUP(D1718,契約台帳!$A$3:$R$4986,18,FALSE)))</f>
        <v>6</v>
      </c>
      <c r="W1718" s="269" t="str">
        <f ca="1">IF(D1718="","",IF(T1718="","",IF(OR(J1718="巻足し",J1718="巻返しリード付け"),"",IF(J1718="巻返し",VLOOKUP(F1718&amp;K1718&amp;M1718,製品マスタ!$M$5:$AD$5002,18,FALSE),IF(OR(J1718="リード付け",J1718="巻返しリード付け"),"原反コア",IF(J1718="スリット",VLOOKUP(F1718&amp;K1718&amp;R1718,製品マスタ!$N$5:$AD$5002,17,FALSE),""))))))</f>
        <v>6ｲﾝﾁSｺｱ</v>
      </c>
      <c r="X1718" s="269">
        <f ca="1">IF(D1718="","",IF(T1718="","",IF(J1718="巻足し","",IF(J1718="巻返し",VLOOKUP(F1718&amp;K1718&amp;M1718,製品マスタ!$M$5:$AE$5002,19,FALSE),IF(OR(J1718="リード付け",J1718="巻返しリード付け"),"",IF(J1718="スリット",VLOOKUP(F1718&amp;K1718&amp;R1718,製品マスタ!$N$5:$AE$5002,18,FALSE),""))))))</f>
        <v>1015</v>
      </c>
      <c r="Y1718" s="275">
        <f ca="1">IF(D1718="","",IF(T1718="","",VLOOKUP(D1718,契約台帳!$A$3:$Q$4986,17,FALSE)))</f>
        <v>2</v>
      </c>
      <c r="Z1718" s="269" t="str">
        <f ca="1">IF(D1718="","",IF(T1718="","",VLOOKUP(D1718,契約台帳!$A$3:$E$4986,5,FALSE)))</f>
        <v>リンテック㈱</v>
      </c>
      <c r="AA1718" s="57"/>
      <c r="AB1718" s="207"/>
      <c r="AC1718" s="33"/>
      <c r="AD1718" s="189"/>
      <c r="AE1718" s="54"/>
      <c r="AF1718" s="55"/>
      <c r="AG1718" s="43"/>
      <c r="AH1718" s="47"/>
      <c r="AI1718" s="30"/>
      <c r="AJ1718" s="30"/>
      <c r="AK1718" s="30"/>
      <c r="AL1718" s="30"/>
      <c r="AM1718" s="13"/>
      <c r="AN1718" s="13"/>
      <c r="AO1718" s="13"/>
      <c r="AP1718" s="13"/>
      <c r="AQ1718" s="13"/>
      <c r="AR1718" s="14"/>
      <c r="AS1718" s="15"/>
    </row>
    <row r="1719" spans="1:45" s="17" customFormat="1" ht="30.95" hidden="1" customHeight="1" x14ac:dyDescent="0.2">
      <c r="A1719" s="37"/>
      <c r="B1719" s="38"/>
      <c r="C1719" s="45"/>
      <c r="D1719" s="31"/>
      <c r="E1719" s="31"/>
      <c r="F1719" s="268" t="str">
        <f>IF(D1719="","",VLOOKUP(D1719,契約台帳!$A$3:$K$4986,6,FALSE)&amp;VLOOKUP(D1719,契約台帳!$A$3:$K$4986,7,FALSE)&amp;VLOOKUP(D1719,契約台帳!$A$3:$K$4986,8,FALSE)&amp;VLOOKUP(D1719,契約台帳!$A$3:$K$4986,9,FALSE)&amp;VLOOKUP(D1719,契約台帳!$A$3:$K$4986,11,FALSE))</f>
        <v/>
      </c>
      <c r="G1719" s="269" t="str">
        <f>IF(D1719="","",VLOOKUP(F1719,製品マスタ!$G$5:$H$5002,2,FALSE))</f>
        <v/>
      </c>
      <c r="H1719" s="269" t="str">
        <f>IF(D1719="","",VLOOKUP(F1719,製品マスタ!$G$5:$K$5002,5,FALSE))</f>
        <v/>
      </c>
      <c r="I1719" s="270" t="str">
        <f>IF(D1719="","",VLOOKUP(F1719,製品マスタ!$G$5:$L$5002,6,FALSE))</f>
        <v/>
      </c>
      <c r="J1719" s="210"/>
      <c r="K1719" s="270" t="str">
        <f>IF(D1719="","",VLOOKUP(D1719,契約台帳!$A$3:$L$4986,12,FALSE))</f>
        <v/>
      </c>
      <c r="L1719" s="270" t="str">
        <f>IF(D1719="","",INDEX(製品マスタ!$Q$5:$Q$5002,MATCH('S4'!F1719&amp;'S4'!K1719,製品マスタ!$AO$5:$AO$5002,0)))</f>
        <v/>
      </c>
      <c r="M1719" s="39"/>
      <c r="N1719" s="39"/>
      <c r="O1719" s="156"/>
      <c r="P1719" s="47"/>
      <c r="Q1719" s="57"/>
      <c r="R1719" s="271" t="str">
        <f ca="1">IF(D1719="","",IF(OFFSET(D1719,-1,0)&lt;&gt;"","",IF(OR(J1719="リード付け",J1719="巻足し",J1719="巻返しリード付け"),M1719,VLOOKUP(D1719,契約台帳!$A$3:$N$4986,14,FALSE))))</f>
        <v/>
      </c>
      <c r="S1719" s="272" t="str">
        <f ca="1">IF(D1719="","",IF(OFFSET(D1719,-1,0)&lt;&gt;"","",IF(OR(J1719="リード付け",J1719="巻足し",J1719="巻返しリード付け"),M1719,VLOOKUP(D1719,契約台帳!$A$3:$O$4986,15,FALSE))))</f>
        <v/>
      </c>
      <c r="T1719" s="273" t="str">
        <f ca="1">IF(D1719="","",IF(J1719="リード付け",N1719,IF(J1719="巻返しリード付け",N1719,IF(J1719="巻足し",N1719*P1719+OFFSET(N1719,1,0)*OFFSET(P1719,1,0),VLOOKUP(D1719,契約台帳!$A$3:$P$4986,16,FALSE)))))</f>
        <v/>
      </c>
      <c r="U1719" s="40"/>
      <c r="V1719" s="274" t="str">
        <f ca="1">IF(D1719="","",IF(OFFSET(D1719,-2,0)=D1719,"",VLOOKUP(D1719,契約台帳!$A$3:$R$4986,18,FALSE)))</f>
        <v/>
      </c>
      <c r="W1719" s="269" t="str">
        <f>IF(D1719="","",IF(T1719="","",IF(OR(J1719="巻足し",J1719="巻返しリード付け"),"",IF(J1719="巻返し",VLOOKUP(F1719&amp;K1719&amp;M1719,製品マスタ!$M$5:$AD$5002,18,FALSE),IF(OR(J1719="リード付け",J1719="巻返しリード付け"),"原反コア",IF(J1719="スリット",VLOOKUP(F1719&amp;K1719&amp;R1719,製品マスタ!$N$5:$AD$5002,17,FALSE),""))))))</f>
        <v/>
      </c>
      <c r="X1719" s="269" t="str">
        <f>IF(D1719="","",IF(T1719="","",IF(J1719="巻足し","",IF(J1719="巻返し",VLOOKUP(F1719&amp;K1719&amp;M1719,製品マスタ!$M$5:$AE$5002,19,FALSE),IF(OR(J1719="リード付け",J1719="巻返しリード付け"),"",IF(J1719="スリット",VLOOKUP(F1719&amp;K1719&amp;R1719,製品マスタ!$N$5:$AE$5002,18,FALSE),""))))))</f>
        <v/>
      </c>
      <c r="Y1719" s="275" t="str">
        <f>IF(D1719="","",IF(T1719="","",VLOOKUP(D1719,契約台帳!$A$3:$Q$4986,17,FALSE)))</f>
        <v/>
      </c>
      <c r="Z1719" s="269" t="str">
        <f>IF(D1719="","",IF(T1719="","",VLOOKUP(D1719,契約台帳!$A$3:$E$4986,5,FALSE)))</f>
        <v/>
      </c>
      <c r="AA1719" s="57"/>
      <c r="AB1719" s="207"/>
      <c r="AC1719" s="33"/>
      <c r="AD1719" s="189"/>
      <c r="AE1719" s="54"/>
      <c r="AF1719" s="55"/>
      <c r="AG1719" s="43"/>
      <c r="AH1719" s="47"/>
      <c r="AI1719" s="30"/>
      <c r="AJ1719" s="30"/>
      <c r="AK1719" s="30"/>
      <c r="AL1719" s="30"/>
      <c r="AM1719" s="13"/>
      <c r="AN1719" s="13"/>
      <c r="AO1719" s="13"/>
      <c r="AP1719" s="13"/>
      <c r="AQ1719" s="13"/>
      <c r="AR1719" s="14"/>
      <c r="AS1719" s="15"/>
    </row>
    <row r="1720" spans="1:45" s="17" customFormat="1" ht="30.95" hidden="1" customHeight="1" x14ac:dyDescent="0.2">
      <c r="A1720" s="37"/>
      <c r="B1720" s="38"/>
      <c r="C1720" s="45"/>
      <c r="D1720" s="31">
        <v>3744881</v>
      </c>
      <c r="E1720" s="31">
        <v>4141099</v>
      </c>
      <c r="F1720" s="268" t="str">
        <f>IF(D1720="","",VLOOKUP(D1720,契約台帳!$A$3:$K$4986,6,FALSE)&amp;VLOOKUP(D1720,契約台帳!$A$3:$K$4986,7,FALSE)&amp;VLOOKUP(D1720,契約台帳!$A$3:$K$4986,8,FALSE)&amp;VLOOKUP(D1720,契約台帳!$A$3:$K$4986,9,FALSE)&amp;VLOOKUP(D1720,契約台帳!$A$3:$K$4986,11,FALSE))</f>
        <v>33SSNMCLBTETKFV</v>
      </c>
      <c r="G1720" s="269" t="str">
        <f>IF(D1720="","",VLOOKUP(F1720,製品マスタ!$G$5:$H$5002,2,FALSE))</f>
        <v>S</v>
      </c>
      <c r="H1720" s="269" t="str">
        <f>IF(D1720="","",VLOOKUP(F1720,製品マスタ!$G$5:$K$5002,5,FALSE))</f>
        <v>TETKFV</v>
      </c>
      <c r="I1720" s="270" t="str">
        <f>IF(D1720="","",VLOOKUP(F1720,製品マスタ!$G$5:$L$5002,6,FALSE))</f>
        <v>メタルミー　ＴＥＳ艶開封　Ｖ</v>
      </c>
      <c r="J1720" s="210" t="s">
        <v>447</v>
      </c>
      <c r="K1720" s="270">
        <f>IF(D1720="","",VLOOKUP(D1720,契約台帳!$A$3:$L$4986,12,FALSE))</f>
        <v>50</v>
      </c>
      <c r="L1720" s="270" t="str">
        <f>IF(D1720="","",INDEX(製品マスタ!$Q$5:$Q$5002,MATCH('S4'!F1720&amp;'S4'!K1720,製品マスタ!$AO$5:$AO$5002,0)))</f>
        <v>S28SEPA</v>
      </c>
      <c r="M1720" s="39">
        <v>1005</v>
      </c>
      <c r="N1720" s="39">
        <v>12300</v>
      </c>
      <c r="O1720" s="156">
        <v>2</v>
      </c>
      <c r="P1720" s="47">
        <v>2</v>
      </c>
      <c r="Q1720" s="57"/>
      <c r="R1720" s="271">
        <f ca="1">IF(D1720="","",IF(OFFSET(D1720,-1,0)&lt;&gt;"","",IF(OR(J1720="リード付け",J1720="巻足し",J1720="巻返しリード付け"),M1720,VLOOKUP(D1720,契約台帳!$A$3:$N$4986,14,FALSE))))</f>
        <v>1005</v>
      </c>
      <c r="S1720" s="272">
        <f ca="1">IF(D1720="","",IF(OFFSET(D1720,-1,0)&lt;&gt;"","",IF(OR(J1720="リード付け",J1720="巻足し",J1720="巻返しリード付け"),M1720,VLOOKUP(D1720,契約台帳!$A$3:$O$4986,15,FALSE))))</f>
        <v>1000</v>
      </c>
      <c r="T1720" s="273">
        <f ca="1">IF(D1720="","",IF(J1720="リード付け",N1720,IF(J1720="巻返しリード付け",N1720,IF(J1720="巻足し",N1720*P1720+OFFSET(N1720,1,0)*OFFSET(P1720,1,0),VLOOKUP(D1720,契約台帳!$A$3:$P$4986,16,FALSE)))))</f>
        <v>4100</v>
      </c>
      <c r="U1720" s="40">
        <v>6</v>
      </c>
      <c r="V1720" s="274">
        <v>6</v>
      </c>
      <c r="W1720" s="269" t="str">
        <f ca="1">IF(D1720="","",IF(T1720="","",IF(OR(J1720="巻足し",J1720="巻返しリード付け"),"",IF(J1720="巻返し",VLOOKUP(F1720&amp;K1720&amp;M1720,製品マスタ!$M$5:$AD$5002,18,FALSE),IF(OR(J1720="リード付け",J1720="巻返しリード付け"),"原反コア",IF(J1720="スリット",VLOOKUP(F1720&amp;K1720&amp;R1720,製品マスタ!$N$5:$AD$5002,17,FALSE),""))))))</f>
        <v>6ｲﾝﾁSｺｱ</v>
      </c>
      <c r="X1720" s="269">
        <f ca="1">IF(D1720="","",IF(T1720="","",IF(J1720="巻足し","",IF(J1720="巻返し",VLOOKUP(F1720&amp;K1720&amp;M1720,製品マスタ!$M$5:$AE$5002,19,FALSE),IF(OR(J1720="リード付け",J1720="巻返しリード付け"),"",IF(J1720="スリット",VLOOKUP(F1720&amp;K1720&amp;R1720,製品マスタ!$N$5:$AE$5002,18,FALSE),""))))))</f>
        <v>1015</v>
      </c>
      <c r="Y1720" s="275">
        <f ca="1">IF(D1720="","",IF(T1720="","",VLOOKUP(D1720,契約台帳!$A$3:$Q$4986,17,FALSE)))</f>
        <v>2</v>
      </c>
      <c r="Z1720" s="269" t="str">
        <f ca="1">IF(D1720="","",IF(T1720="","",VLOOKUP(D1720,契約台帳!$A$3:$E$4986,5,FALSE)))</f>
        <v>リンテック㈱</v>
      </c>
      <c r="AA1720" s="57"/>
      <c r="AB1720" s="207"/>
      <c r="AC1720" s="33"/>
      <c r="AD1720" s="189"/>
      <c r="AE1720" s="54"/>
      <c r="AF1720" s="55"/>
      <c r="AG1720" s="43"/>
      <c r="AH1720" s="47"/>
      <c r="AI1720" s="30"/>
      <c r="AJ1720" s="30"/>
      <c r="AK1720" s="30"/>
      <c r="AL1720" s="30"/>
      <c r="AM1720" s="13"/>
      <c r="AN1720" s="13"/>
      <c r="AO1720" s="13"/>
      <c r="AP1720" s="13"/>
      <c r="AQ1720" s="13"/>
      <c r="AR1720" s="14"/>
      <c r="AS1720" s="15"/>
    </row>
    <row r="1721" spans="1:45" s="17" customFormat="1" ht="30.95" hidden="1" customHeight="1" x14ac:dyDescent="0.2">
      <c r="A1721" s="37"/>
      <c r="B1721" s="38"/>
      <c r="C1721" s="45"/>
      <c r="D1721" s="31"/>
      <c r="E1721" s="31"/>
      <c r="F1721" s="268"/>
      <c r="G1721" s="269"/>
      <c r="H1721" s="269"/>
      <c r="I1721" s="270"/>
      <c r="J1721" s="210"/>
      <c r="K1721" s="270"/>
      <c r="L1721" s="270"/>
      <c r="M1721" s="39"/>
      <c r="N1721" s="39"/>
      <c r="O1721" s="156"/>
      <c r="P1721" s="47"/>
      <c r="Q1721" s="57"/>
      <c r="R1721" s="338"/>
      <c r="S1721" s="272"/>
      <c r="T1721" s="273"/>
      <c r="U1721" s="40"/>
      <c r="V1721" s="277"/>
      <c r="W1721" s="269"/>
      <c r="X1721" s="269"/>
      <c r="Y1721" s="275"/>
      <c r="Z1721" s="269"/>
      <c r="AA1721" s="57"/>
      <c r="AB1721" s="207"/>
      <c r="AC1721" s="33"/>
      <c r="AD1721" s="189"/>
      <c r="AE1721" s="54"/>
      <c r="AF1721" s="55"/>
      <c r="AG1721" s="43"/>
      <c r="AH1721" s="47"/>
      <c r="AI1721" s="30"/>
      <c r="AJ1721" s="30"/>
      <c r="AK1721" s="30"/>
      <c r="AL1721" s="30"/>
      <c r="AM1721" s="13"/>
      <c r="AN1721" s="13"/>
      <c r="AO1721" s="13"/>
      <c r="AP1721" s="13"/>
      <c r="AQ1721" s="13"/>
      <c r="AR1721" s="14"/>
      <c r="AS1721" s="15"/>
    </row>
    <row r="1722" spans="1:45" s="17" customFormat="1" ht="30.95" hidden="1" customHeight="1" x14ac:dyDescent="0.2">
      <c r="A1722" s="37"/>
      <c r="B1722" s="38"/>
      <c r="C1722" s="45"/>
      <c r="D1722" s="31">
        <v>3741619</v>
      </c>
      <c r="E1722" s="31">
        <v>4141090</v>
      </c>
      <c r="F1722" s="268" t="str">
        <f>IF(D1722="","",VLOOKUP(D1722,契約台帳!$A$3:$K$4986,6,FALSE)&amp;VLOOKUP(D1722,契約台帳!$A$3:$K$4986,7,FALSE)&amp;VLOOKUP(D1722,契約台帳!$A$3:$K$4986,8,FALSE)&amp;VLOOKUP(D1722,契約台帳!$A$3:$K$4986,9,FALSE)&amp;VLOOKUP(D1722,契約台帳!$A$3:$K$4986,11,FALSE))</f>
        <v>3SNMCLBTETV0V</v>
      </c>
      <c r="G1722" s="269" t="str">
        <f>IF(D1722="","",VLOOKUP(F1722,製品マスタ!$G$5:$H$5002,2,FALSE))</f>
        <v>S</v>
      </c>
      <c r="H1722" s="269" t="str">
        <f>IF(D1722="","",VLOOKUP(F1722,製品マスタ!$G$5:$K$5002,5,FALSE))</f>
        <v>TETV0V</v>
      </c>
      <c r="I1722" s="270" t="str">
        <f>IF(D1722="","",VLOOKUP(F1722,製品マスタ!$G$5:$L$5002,6,FALSE))</f>
        <v>メタルミー　ＴＥＳ艶ＶＯＩＤＶ</v>
      </c>
      <c r="J1722" s="210" t="s">
        <v>447</v>
      </c>
      <c r="K1722" s="270">
        <f>IF(D1722="","",VLOOKUP(D1722,契約台帳!$A$3:$L$4986,12,FALSE))</f>
        <v>50</v>
      </c>
      <c r="L1722" s="270" t="str">
        <f>IF(D1722="","",INDEX(製品マスタ!$Q$5:$Q$5002,MATCH('S4'!F1722&amp;'S4'!K1722,製品マスタ!$AO$5:$AO$5002,0)))</f>
        <v>S28SEPA</v>
      </c>
      <c r="M1722" s="39">
        <v>1005</v>
      </c>
      <c r="N1722" s="39">
        <v>8200</v>
      </c>
      <c r="O1722" s="156">
        <v>1</v>
      </c>
      <c r="P1722" s="47">
        <v>1</v>
      </c>
      <c r="Q1722" s="57"/>
      <c r="R1722" s="271">
        <f ca="1">IF(D1722="","",IF(OFFSET(D1722,-1,0)&lt;&gt;"","",IF(OR(J1722="リード付け",J1722="巻足し",J1722="巻返しリード付け"),M1722,VLOOKUP(D1722,契約台帳!$A$3:$N$4986,14,FALSE))))</f>
        <v>1005</v>
      </c>
      <c r="S1722" s="272">
        <f ca="1">IF(D1722="","",IF(OFFSET(D1722,-1,0)&lt;&gt;"","",IF(OR(J1722="リード付け",J1722="巻足し",J1722="巻返しリード付け"),M1722,VLOOKUP(D1722,契約台帳!$A$3:$O$4986,15,FALSE))))</f>
        <v>1000</v>
      </c>
      <c r="T1722" s="273">
        <f ca="1">IF(D1722="","",IF(J1722="リード付け",N1722,IF(J1722="巻返しリード付け",N1722,IF(J1722="巻足し",N1722*P1722+OFFSET(N1722,1,0)*OFFSET(P1722,1,0),VLOOKUP(D1722,契約台帳!$A$3:$P$4986,16,FALSE)))))</f>
        <v>4100</v>
      </c>
      <c r="U1722" s="40">
        <v>2</v>
      </c>
      <c r="V1722" s="274">
        <f ca="1">IF(D1722="","",IF(OFFSET(D1722,-2,0)=D1722,"",VLOOKUP(D1722,契約台帳!$A$3:$R$4986,18,FALSE)))</f>
        <v>2</v>
      </c>
      <c r="W1722" s="269" t="str">
        <f ca="1">IF(D1722="","",IF(T1722="","",IF(OR(J1722="巻足し",J1722="巻返しリード付け"),"",IF(J1722="巻返し",VLOOKUP(F1722&amp;K1722&amp;M1722,製品マスタ!$M$5:$AD$5002,18,FALSE),IF(OR(J1722="リード付け",J1722="巻返しリード付け"),"原反コア",IF(J1722="スリット",VLOOKUP(F1722&amp;K1722&amp;R1722,製品マスタ!$N$5:$AD$5002,17,FALSE),""))))))</f>
        <v>6ｲﾝﾁSｺｱ</v>
      </c>
      <c r="X1722" s="269">
        <f ca="1">IF(D1722="","",IF(T1722="","",IF(J1722="巻足し","",IF(J1722="巻返し",VLOOKUP(F1722&amp;K1722&amp;M1722,製品マスタ!$M$5:$AE$5002,19,FALSE),IF(OR(J1722="リード付け",J1722="巻返しリード付け"),"",IF(J1722="スリット",VLOOKUP(F1722&amp;K1722&amp;R1722,製品マスタ!$N$5:$AE$5002,18,FALSE),""))))))</f>
        <v>1015</v>
      </c>
      <c r="Y1722" s="275">
        <f ca="1">IF(D1722="","",IF(T1722="","",VLOOKUP(D1722,契約台帳!$A$3:$Q$4986,17,FALSE)))</f>
        <v>2</v>
      </c>
      <c r="Z1722" s="269" t="str">
        <f ca="1">IF(D1722="","",IF(T1722="","",VLOOKUP(D1722,契約台帳!$A$3:$E$4986,5,FALSE)))</f>
        <v>リンテック㈱</v>
      </c>
      <c r="AA1722" s="57"/>
      <c r="AB1722" s="207"/>
      <c r="AC1722" s="33"/>
      <c r="AD1722" s="189"/>
      <c r="AE1722" s="54"/>
      <c r="AF1722" s="55"/>
      <c r="AG1722" s="43"/>
      <c r="AH1722" s="47"/>
      <c r="AI1722" s="30"/>
      <c r="AJ1722" s="30"/>
      <c r="AK1722" s="30"/>
      <c r="AL1722" s="30"/>
      <c r="AM1722" s="13"/>
      <c r="AN1722" s="13"/>
      <c r="AO1722" s="13"/>
      <c r="AP1722" s="13"/>
      <c r="AQ1722" s="13"/>
      <c r="AR1722" s="14"/>
      <c r="AS1722" s="15"/>
    </row>
    <row r="1723" spans="1:45" s="17" customFormat="1" ht="30.95" hidden="1" customHeight="1" x14ac:dyDescent="0.2">
      <c r="A1723" s="37"/>
      <c r="B1723" s="38"/>
      <c r="C1723" s="45"/>
      <c r="D1723" s="31"/>
      <c r="E1723" s="31"/>
      <c r="F1723" s="268"/>
      <c r="G1723" s="269"/>
      <c r="H1723" s="269"/>
      <c r="I1723" s="270"/>
      <c r="J1723" s="210"/>
      <c r="K1723" s="270"/>
      <c r="L1723" s="270"/>
      <c r="M1723" s="39"/>
      <c r="N1723" s="39"/>
      <c r="O1723" s="39"/>
      <c r="P1723" s="47"/>
      <c r="Q1723" s="57"/>
      <c r="R1723" s="271"/>
      <c r="S1723" s="272"/>
      <c r="T1723" s="273"/>
      <c r="U1723" s="40"/>
      <c r="V1723" s="274"/>
      <c r="W1723" s="269"/>
      <c r="X1723" s="269"/>
      <c r="Y1723" s="275"/>
      <c r="Z1723" s="269"/>
      <c r="AA1723" s="57"/>
      <c r="AB1723" s="207"/>
      <c r="AC1723" s="33"/>
      <c r="AD1723" s="189"/>
      <c r="AE1723" s="54"/>
      <c r="AF1723" s="55"/>
      <c r="AG1723" s="43"/>
      <c r="AH1723" s="47"/>
      <c r="AI1723" s="30"/>
      <c r="AJ1723" s="30"/>
      <c r="AK1723" s="30"/>
      <c r="AL1723" s="30"/>
      <c r="AM1723" s="13"/>
      <c r="AN1723" s="13"/>
      <c r="AO1723" s="13"/>
      <c r="AP1723" s="13"/>
      <c r="AQ1723" s="13"/>
      <c r="AR1723" s="14"/>
      <c r="AS1723" s="15"/>
    </row>
    <row r="1724" spans="1:45" s="17" customFormat="1" ht="30.95" hidden="1" customHeight="1" x14ac:dyDescent="0.2">
      <c r="A1724" s="37" t="s">
        <v>2313</v>
      </c>
      <c r="B1724" s="38" t="s">
        <v>2301</v>
      </c>
      <c r="C1724" s="45"/>
      <c r="D1724" s="31">
        <v>3744882</v>
      </c>
      <c r="E1724" s="31">
        <v>4141104</v>
      </c>
      <c r="F1724" s="268" t="str">
        <f>IF(D1724="","",VLOOKUP(D1724,契約台帳!$A$3:$K$4986,6,FALSE)&amp;VLOOKUP(D1724,契約台帳!$A$3:$K$4986,7,FALSE)&amp;VLOOKUP(D1724,契約台帳!$A$3:$K$4986,8,FALSE)&amp;VLOOKUP(D1724,契約台帳!$A$3:$K$4986,9,FALSE)&amp;VLOOKUP(D1724,契約台帳!$A$3:$K$4986,11,FALSE))</f>
        <v>3SNMCLBTETV0V</v>
      </c>
      <c r="G1724" s="269" t="str">
        <f>IF(D1724="","",VLOOKUP(F1724,製品マスタ!$G$5:$H$5002,2,FALSE))</f>
        <v>S</v>
      </c>
      <c r="H1724" s="269" t="str">
        <f>IF(D1724="","",VLOOKUP(F1724,製品マスタ!$G$5:$K$5002,5,FALSE))</f>
        <v>TETV0V</v>
      </c>
      <c r="I1724" s="270" t="str">
        <f>IF(D1724="","",VLOOKUP(F1724,製品マスタ!$G$5:$L$5002,6,FALSE))</f>
        <v>メタルミー　ＴＥＳ艶ＶＯＩＤＶ</v>
      </c>
      <c r="J1724" s="210" t="s">
        <v>447</v>
      </c>
      <c r="K1724" s="270">
        <f>IF(D1724="","",VLOOKUP(D1724,契約台帳!$A$3:$L$4986,12,FALSE))</f>
        <v>50</v>
      </c>
      <c r="L1724" s="270" t="str">
        <f>IF(D1724="","",INDEX(製品マスタ!$Q$5:$Q$5002,MATCH('S4'!F1724&amp;'S4'!K1724,製品マスタ!$AO$5:$AO$5002,0)))</f>
        <v>S28SEPA</v>
      </c>
      <c r="M1724" s="39">
        <v>1005</v>
      </c>
      <c r="N1724" s="39">
        <v>8200</v>
      </c>
      <c r="O1724" s="156">
        <v>1</v>
      </c>
      <c r="P1724" s="47">
        <v>1</v>
      </c>
      <c r="Q1724" s="57"/>
      <c r="R1724" s="271">
        <f ca="1">IF(D1724="","",IF(OFFSET(D1724,-1,0)&lt;&gt;"","",IF(OR(J1724="リード付け",J1724="巻足し",J1724="巻返しリード付け"),M1724,VLOOKUP(D1724,契約台帳!$A$3:$N$4986,14,FALSE))))</f>
        <v>1005</v>
      </c>
      <c r="S1724" s="272">
        <f ca="1">IF(D1724="","",IF(OFFSET(D1724,-1,0)&lt;&gt;"","",IF(OR(J1724="リード付け",J1724="巻足し",J1724="巻返しリード付け"),M1724,VLOOKUP(D1724,契約台帳!$A$3:$O$4986,15,FALSE))))</f>
        <v>1000</v>
      </c>
      <c r="T1724" s="273">
        <f ca="1">IF(D1724="","",IF(J1724="リード付け",N1724,IF(J1724="巻返しリード付け",N1724,IF(J1724="巻足し",N1724*P1724+OFFSET(N1724,1,0)*OFFSET(P1724,1,0),VLOOKUP(D1724,契約台帳!$A$3:$P$4986,16,FALSE)))))</f>
        <v>4100</v>
      </c>
      <c r="U1724" s="40">
        <v>2</v>
      </c>
      <c r="V1724" s="274">
        <f ca="1">IF(D1724="","",IF(OFFSET(D1724,-2,0)=D1724,"",VLOOKUP(D1724,契約台帳!$A$3:$R$4986,18,FALSE)))</f>
        <v>2</v>
      </c>
      <c r="W1724" s="269" t="str">
        <f ca="1">IF(D1724="","",IF(T1724="","",IF(OR(J1724="巻足し",J1724="巻返しリード付け"),"",IF(J1724="巻返し",VLOOKUP(F1724&amp;K1724&amp;M1724,製品マスタ!$M$5:$AD$5002,18,FALSE),IF(OR(J1724="リード付け",J1724="巻返しリード付け"),"原反コア",IF(J1724="スリット",VLOOKUP(F1724&amp;K1724&amp;R1724,製品マスタ!$N$5:$AD$5002,17,FALSE),""))))))</f>
        <v>6ｲﾝﾁSｺｱ</v>
      </c>
      <c r="X1724" s="269">
        <f ca="1">IF(D1724="","",IF(T1724="","",IF(J1724="巻足し","",IF(J1724="巻返し",VLOOKUP(F1724&amp;K1724&amp;M1724,製品マスタ!$M$5:$AE$5002,19,FALSE),IF(OR(J1724="リード付け",J1724="巻返しリード付け"),"",IF(J1724="スリット",VLOOKUP(F1724&amp;K1724&amp;R1724,製品マスタ!$N$5:$AE$5002,18,FALSE),""))))))</f>
        <v>1015</v>
      </c>
      <c r="Y1724" s="275">
        <f ca="1">IF(D1724="","",IF(T1724="","",VLOOKUP(D1724,契約台帳!$A$3:$Q$4986,17,FALSE)))</f>
        <v>2</v>
      </c>
      <c r="Z1724" s="269" t="str">
        <f ca="1">IF(D1724="","",IF(T1724="","",VLOOKUP(D1724,契約台帳!$A$3:$E$4986,5,FALSE)))</f>
        <v>リンテック㈱</v>
      </c>
      <c r="AA1724" s="57"/>
      <c r="AB1724" s="207"/>
      <c r="AC1724" s="33"/>
      <c r="AD1724" s="189"/>
      <c r="AE1724" s="54"/>
      <c r="AF1724" s="55"/>
      <c r="AG1724" s="43"/>
      <c r="AH1724" s="47"/>
      <c r="AI1724" s="30"/>
      <c r="AJ1724" s="30"/>
      <c r="AK1724" s="30"/>
      <c r="AL1724" s="30"/>
      <c r="AM1724" s="13"/>
      <c r="AN1724" s="13"/>
      <c r="AO1724" s="13"/>
      <c r="AP1724" s="13"/>
      <c r="AQ1724" s="13"/>
      <c r="AR1724" s="14"/>
      <c r="AS1724" s="15"/>
    </row>
    <row r="1725" spans="1:45" s="17" customFormat="1" ht="30.95" hidden="1" customHeight="1" x14ac:dyDescent="0.2">
      <c r="A1725" s="37"/>
      <c r="B1725" s="38"/>
      <c r="C1725" s="45"/>
      <c r="D1725" s="31"/>
      <c r="E1725" s="31"/>
      <c r="F1725" s="268"/>
      <c r="G1725" s="269"/>
      <c r="H1725" s="269"/>
      <c r="I1725" s="270"/>
      <c r="J1725" s="210"/>
      <c r="K1725" s="270"/>
      <c r="L1725" s="270"/>
      <c r="M1725" s="39"/>
      <c r="N1725" s="39"/>
      <c r="O1725" s="39"/>
      <c r="P1725" s="47"/>
      <c r="Q1725" s="57"/>
      <c r="R1725" s="271"/>
      <c r="S1725" s="272"/>
      <c r="T1725" s="273"/>
      <c r="U1725" s="40"/>
      <c r="V1725" s="274"/>
      <c r="W1725" s="269"/>
      <c r="X1725" s="269"/>
      <c r="Y1725" s="275"/>
      <c r="Z1725" s="269"/>
      <c r="AA1725" s="57"/>
      <c r="AB1725" s="207"/>
      <c r="AC1725" s="33"/>
      <c r="AD1725" s="189"/>
      <c r="AE1725" s="54"/>
      <c r="AF1725" s="55"/>
      <c r="AG1725" s="43"/>
      <c r="AH1725" s="47"/>
      <c r="AI1725" s="30"/>
      <c r="AJ1725" s="30"/>
      <c r="AK1725" s="30"/>
      <c r="AL1725" s="30"/>
      <c r="AM1725" s="13"/>
      <c r="AN1725" s="13"/>
      <c r="AO1725" s="13"/>
      <c r="AP1725" s="13"/>
      <c r="AQ1725" s="13"/>
      <c r="AR1725" s="14"/>
      <c r="AS1725" s="15"/>
    </row>
    <row r="1726" spans="1:45" s="17" customFormat="1" ht="30.95" hidden="1" customHeight="1" x14ac:dyDescent="0.2">
      <c r="A1726" s="37"/>
      <c r="B1726" s="38"/>
      <c r="C1726" s="45"/>
      <c r="D1726" s="31">
        <v>3741608</v>
      </c>
      <c r="E1726" s="31">
        <v>4141089</v>
      </c>
      <c r="F1726" s="268" t="str">
        <f>IF(D1726="","",VLOOKUP(D1726,契約台帳!$A$3:$K$4986,6,FALSE)&amp;VLOOKUP(D1726,契約台帳!$A$3:$K$4986,7,FALSE)&amp;VLOOKUP(D1726,契約台帳!$A$3:$K$4986,8,FALSE)&amp;VLOOKUP(D1726,契約台帳!$A$3:$K$4986,9,FALSE)&amp;VLOOKUP(D1726,契約台帳!$A$3:$K$4986,11,FALSE))</f>
        <v>3SNMCLBNGKVB</v>
      </c>
      <c r="G1726" s="269" t="str">
        <f>IF(D1726="","",VLOOKUP(F1726,製品マスタ!$G$5:$H$5002,2,FALSE))</f>
        <v>S</v>
      </c>
      <c r="H1726" s="269" t="str">
        <f>IF(D1726="","",VLOOKUP(F1726,製品マスタ!$G$5:$K$5002,5,FALSE))</f>
        <v>NGKVB</v>
      </c>
      <c r="I1726" s="270" t="str">
        <f>IF(D1726="","",VLOOKUP(F1726,製品マスタ!$G$5:$L$5002,6,FALSE))</f>
        <v>メタルミー　ネーマー銀消　ＶＢ</v>
      </c>
      <c r="J1726" s="210" t="s">
        <v>447</v>
      </c>
      <c r="K1726" s="270">
        <f>IF(D1726="","",VLOOKUP(D1726,契約台帳!$A$3:$L$4986,12,FALSE))</f>
        <v>50</v>
      </c>
      <c r="L1726" s="270" t="str">
        <f>IF(D1726="","",INDEX(製品マスタ!$Q$5:$Q$5002,MATCH('S4'!F1726&amp;'S4'!K1726,製品マスタ!$AO$5:$AO$5002,0)))</f>
        <v>MAT</v>
      </c>
      <c r="M1726" s="39">
        <v>1005</v>
      </c>
      <c r="N1726" s="39">
        <v>12300</v>
      </c>
      <c r="O1726" s="156">
        <v>1</v>
      </c>
      <c r="P1726" s="47">
        <v>1</v>
      </c>
      <c r="Q1726" s="57"/>
      <c r="R1726" s="271">
        <f ca="1">IF(D1726="","",IF(OFFSET(D1726,-1,0)&lt;&gt;"","",IF(OR(J1726="リード付け",J1726="巻足し",J1726="巻返しリード付け"),M1726,VLOOKUP(D1726,契約台帳!$A$3:$N$4986,14,FALSE))))</f>
        <v>1005</v>
      </c>
      <c r="S1726" s="272">
        <f ca="1">IF(D1726="","",IF(OFFSET(D1726,-1,0)&lt;&gt;"","",IF(OR(J1726="リード付け",J1726="巻足し",J1726="巻返しリード付け"),M1726,VLOOKUP(D1726,契約台帳!$A$3:$O$4986,15,FALSE))))</f>
        <v>1000</v>
      </c>
      <c r="T1726" s="273">
        <f ca="1">IF(D1726="","",IF(J1726="リード付け",N1726,IF(J1726="巻返しリード付け",N1726,IF(J1726="巻足し",N1726*P1726+OFFSET(N1726,1,0)*OFFSET(P1726,1,0),VLOOKUP(D1726,契約台帳!$A$3:$P$4986,16,FALSE)))))</f>
        <v>4100</v>
      </c>
      <c r="U1726" s="40">
        <v>3</v>
      </c>
      <c r="V1726" s="274">
        <f ca="1">IF(D1726="","",IF(OFFSET(D1726,-2,0)=D1726,"",VLOOKUP(D1726,契約台帳!$A$3:$R$4986,18,FALSE)))</f>
        <v>3</v>
      </c>
      <c r="W1726" s="269" t="str">
        <f ca="1">IF(D1726="","",IF(T1726="","",IF(OR(J1726="巻足し",J1726="巻返しリード付け"),"",IF(J1726="巻返し",VLOOKUP(F1726&amp;K1726&amp;M1726,製品マスタ!$M$5:$AD$5002,18,FALSE),IF(OR(J1726="リード付け",J1726="巻返しリード付け"),"原反コア",IF(J1726="スリット",VLOOKUP(F1726&amp;K1726&amp;R1726,製品マスタ!$N$5:$AD$5002,17,FALSE),""))))))</f>
        <v>6ｲﾝﾁMｺｱ</v>
      </c>
      <c r="X1726" s="269">
        <f ca="1">IF(D1726="","",IF(T1726="","",IF(J1726="巻足し","",IF(J1726="巻返し",VLOOKUP(F1726&amp;K1726&amp;M1726,製品マスタ!$M$5:$AE$5002,19,FALSE),IF(OR(J1726="リード付け",J1726="巻返しリード付け"),"",IF(J1726="スリット",VLOOKUP(F1726&amp;K1726&amp;R1726,製品マスタ!$N$5:$AE$5002,18,FALSE),""))))))</f>
        <v>1015</v>
      </c>
      <c r="Y1726" s="275">
        <f ca="1">IF(D1726="","",IF(T1726="","",VLOOKUP(D1726,契約台帳!$A$3:$Q$4986,17,FALSE)))</f>
        <v>2</v>
      </c>
      <c r="Z1726" s="269" t="str">
        <f ca="1">IF(D1726="","",IF(T1726="","",VLOOKUP(D1726,契約台帳!$A$3:$E$4986,5,FALSE)))</f>
        <v>リンテック㈱</v>
      </c>
      <c r="AA1726" s="57"/>
      <c r="AB1726" s="207"/>
      <c r="AC1726" s="33"/>
      <c r="AD1726" s="189"/>
      <c r="AE1726" s="54"/>
      <c r="AF1726" s="55"/>
      <c r="AG1726" s="43"/>
      <c r="AH1726" s="47"/>
      <c r="AI1726" s="30"/>
      <c r="AJ1726" s="30"/>
      <c r="AK1726" s="30"/>
      <c r="AL1726" s="30"/>
      <c r="AM1726" s="13"/>
      <c r="AN1726" s="13"/>
      <c r="AO1726" s="13"/>
      <c r="AP1726" s="13"/>
      <c r="AQ1726" s="13"/>
      <c r="AR1726" s="14"/>
      <c r="AS1726" s="15"/>
    </row>
    <row r="1727" spans="1:45" s="17" customFormat="1" ht="30.95" hidden="1" customHeight="1" x14ac:dyDescent="0.2">
      <c r="A1727" s="37"/>
      <c r="B1727" s="38"/>
      <c r="C1727" s="45"/>
      <c r="D1727" s="31"/>
      <c r="E1727" s="31"/>
      <c r="F1727" s="268"/>
      <c r="G1727" s="269"/>
      <c r="H1727" s="269"/>
      <c r="I1727" s="270"/>
      <c r="J1727" s="210"/>
      <c r="K1727" s="270"/>
      <c r="L1727" s="270"/>
      <c r="M1727" s="39"/>
      <c r="N1727" s="39"/>
      <c r="O1727" s="156"/>
      <c r="P1727" s="47"/>
      <c r="Q1727" s="57"/>
      <c r="R1727" s="338"/>
      <c r="S1727" s="272"/>
      <c r="T1727" s="273"/>
      <c r="U1727" s="40"/>
      <c r="V1727" s="277"/>
      <c r="W1727" s="269"/>
      <c r="X1727" s="269"/>
      <c r="Y1727" s="275"/>
      <c r="Z1727" s="269"/>
      <c r="AA1727" s="57"/>
      <c r="AB1727" s="207"/>
      <c r="AC1727" s="33"/>
      <c r="AD1727" s="189"/>
      <c r="AE1727" s="54"/>
      <c r="AF1727" s="55"/>
      <c r="AG1727" s="43"/>
      <c r="AH1727" s="47"/>
      <c r="AI1727" s="30"/>
      <c r="AJ1727" s="30"/>
      <c r="AK1727" s="30"/>
      <c r="AL1727" s="30"/>
      <c r="AM1727" s="13"/>
      <c r="AN1727" s="13"/>
      <c r="AO1727" s="13"/>
      <c r="AP1727" s="13"/>
      <c r="AQ1727" s="13"/>
      <c r="AR1727" s="14"/>
      <c r="AS1727" s="15"/>
    </row>
    <row r="1728" spans="1:45" s="17" customFormat="1" ht="30.95" hidden="1" customHeight="1" x14ac:dyDescent="0.2">
      <c r="A1728" s="37"/>
      <c r="B1728" s="38"/>
      <c r="C1728" s="45"/>
      <c r="D1728" s="31">
        <v>3741616</v>
      </c>
      <c r="E1728" s="31">
        <v>4141083</v>
      </c>
      <c r="F1728" s="268" t="str">
        <f>IF(D1728="","",VLOOKUP(D1728,契約台帳!$A$3:$K$4986,6,FALSE)&amp;VLOOKUP(D1728,契約台帳!$A$3:$K$4986,7,FALSE)&amp;VLOOKUP(D1728,契約台帳!$A$3:$K$4986,8,FALSE)&amp;VLOOKUP(D1728,契約台帳!$A$3:$K$4986,9,FALSE)&amp;VLOOKUP(D1728,契約台帳!$A$3:$K$4986,11,FALSE))</f>
        <v>33SSNMCLBTEKV0V</v>
      </c>
      <c r="G1728" s="269" t="str">
        <f>IF(D1728="","",VLOOKUP(F1728,製品マスタ!$G$5:$H$5002,2,FALSE))</f>
        <v>S</v>
      </c>
      <c r="H1728" s="269" t="str">
        <f>IF(D1728="","",VLOOKUP(F1728,製品マスタ!$G$5:$K$5002,5,FALSE))</f>
        <v>TEKV0V</v>
      </c>
      <c r="I1728" s="270" t="str">
        <f>IF(D1728="","",VLOOKUP(F1728,製品マスタ!$G$5:$L$5002,6,FALSE))</f>
        <v>メタルミー　ＴＥ－Ｓ消　ＶＯＩＤ　Ｖ</v>
      </c>
      <c r="J1728" s="210" t="s">
        <v>447</v>
      </c>
      <c r="K1728" s="270">
        <f>IF(D1728="","",VLOOKUP(D1728,契約台帳!$A$3:$L$4986,12,FALSE))</f>
        <v>50</v>
      </c>
      <c r="L1728" s="270" t="str">
        <f>IF(D1728="","",INDEX(製品マスタ!$Q$5:$Q$5002,MATCH('S4'!F1728&amp;'S4'!K1728,製品マスタ!$AO$5:$AO$5002,0)))</f>
        <v>X44SEPA</v>
      </c>
      <c r="M1728" s="39">
        <v>1005</v>
      </c>
      <c r="N1728" s="39">
        <v>12000</v>
      </c>
      <c r="O1728" s="156">
        <v>2</v>
      </c>
      <c r="P1728" s="47">
        <v>3</v>
      </c>
      <c r="Q1728" s="57"/>
      <c r="R1728" s="271">
        <f ca="1">IF(D1728="","",IF(OFFSET(D1728,-1,0)&lt;&gt;"","",IF(OR(J1728="リード付け",J1728="巻足し",J1728="巻返しリード付け"),M1728,VLOOKUP(D1728,契約台帳!$A$3:$N$4986,14,FALSE))))</f>
        <v>1005</v>
      </c>
      <c r="S1728" s="272">
        <f ca="1">IF(D1728="","",IF(OFFSET(D1728,-1,0)&lt;&gt;"","",IF(OR(J1728="リード付け",J1728="巻足し",J1728="巻返しリード付け"),M1728,VLOOKUP(D1728,契約台帳!$A$3:$O$4986,15,FALSE))))</f>
        <v>1000</v>
      </c>
      <c r="T1728" s="273">
        <f ca="1">IF(D1728="","",IF(J1728="リード付け",N1728,IF(J1728="巻返しリード付け",N1728,IF(J1728="巻足し",N1728*P1728+OFFSET(N1728,1,0)*OFFSET(P1728,1,0),VLOOKUP(D1728,契約台帳!$A$3:$P$4986,16,FALSE)))))</f>
        <v>4000</v>
      </c>
      <c r="U1728" s="40">
        <v>6</v>
      </c>
      <c r="V1728" s="274">
        <v>8</v>
      </c>
      <c r="W1728" s="269" t="str">
        <f ca="1">IF(D1728="","",IF(T1728="","",IF(OR(J1728="巻足し",J1728="巻返しリード付け"),"",IF(J1728="巻返し",VLOOKUP(F1728&amp;K1728&amp;M1728,製品マスタ!$M$5:$AD$5002,18,FALSE),IF(OR(J1728="リード付け",J1728="巻返しリード付け"),"原反コア",IF(J1728="スリット",VLOOKUP(F1728&amp;K1728&amp;R1728,製品マスタ!$N$5:$AD$5002,17,FALSE),""))))))</f>
        <v>6ｲﾝﾁSｺｱ</v>
      </c>
      <c r="X1728" s="269">
        <f ca="1">IF(D1728="","",IF(T1728="","",IF(J1728="巻足し","",IF(J1728="巻返し",VLOOKUP(F1728&amp;K1728&amp;M1728,製品マスタ!$M$5:$AE$5002,19,FALSE),IF(OR(J1728="リード付け",J1728="巻返しリード付け"),"",IF(J1728="スリット",VLOOKUP(F1728&amp;K1728&amp;R1728,製品マスタ!$N$5:$AE$5002,18,FALSE),""))))))</f>
        <v>1015</v>
      </c>
      <c r="Y1728" s="275">
        <f ca="1">IF(D1728="","",IF(T1728="","",VLOOKUP(D1728,契約台帳!$A$3:$Q$4986,17,FALSE)))</f>
        <v>2</v>
      </c>
      <c r="Z1728" s="269" t="str">
        <f ca="1">IF(D1728="","",IF(T1728="","",VLOOKUP(D1728,契約台帳!$A$3:$E$4986,5,FALSE)))</f>
        <v>リンテック㈱</v>
      </c>
      <c r="AA1728" s="57"/>
      <c r="AB1728" s="207"/>
      <c r="AC1728" s="33"/>
      <c r="AD1728" s="189"/>
      <c r="AE1728" s="54"/>
      <c r="AF1728" s="55"/>
      <c r="AG1728" s="43"/>
      <c r="AH1728" s="47"/>
      <c r="AI1728" s="30"/>
      <c r="AJ1728" s="30"/>
      <c r="AK1728" s="30"/>
      <c r="AL1728" s="30"/>
      <c r="AM1728" s="13"/>
      <c r="AN1728" s="13"/>
      <c r="AO1728" s="13"/>
      <c r="AP1728" s="13"/>
      <c r="AQ1728" s="13"/>
      <c r="AR1728" s="14"/>
      <c r="AS1728" s="15"/>
    </row>
    <row r="1729" spans="1:45" s="17" customFormat="1" ht="30.95" hidden="1" customHeight="1" x14ac:dyDescent="0.2">
      <c r="A1729" s="37"/>
      <c r="B1729" s="38"/>
      <c r="C1729" s="45"/>
      <c r="D1729" s="31"/>
      <c r="E1729" s="31"/>
      <c r="F1729" s="268"/>
      <c r="G1729" s="269"/>
      <c r="H1729" s="269"/>
      <c r="I1729" s="270"/>
      <c r="J1729" s="210"/>
      <c r="K1729" s="270"/>
      <c r="L1729" s="270"/>
      <c r="M1729" s="39"/>
      <c r="N1729" s="39"/>
      <c r="O1729" s="156"/>
      <c r="P1729" s="47"/>
      <c r="Q1729" s="57"/>
      <c r="R1729" s="271"/>
      <c r="S1729" s="272"/>
      <c r="T1729" s="273"/>
      <c r="U1729" s="40"/>
      <c r="V1729" s="274"/>
      <c r="W1729" s="269"/>
      <c r="X1729" s="269"/>
      <c r="Y1729" s="275"/>
      <c r="Z1729" s="269"/>
      <c r="AA1729" s="57"/>
      <c r="AB1729" s="207"/>
      <c r="AC1729" s="33"/>
      <c r="AD1729" s="189"/>
      <c r="AE1729" s="54"/>
      <c r="AF1729" s="55"/>
      <c r="AG1729" s="43"/>
      <c r="AH1729" s="47"/>
      <c r="AI1729" s="30"/>
      <c r="AJ1729" s="30"/>
      <c r="AK1729" s="30"/>
      <c r="AL1729" s="30"/>
      <c r="AM1729" s="13"/>
      <c r="AN1729" s="13"/>
      <c r="AO1729" s="13"/>
      <c r="AP1729" s="13"/>
      <c r="AQ1729" s="13"/>
      <c r="AR1729" s="14"/>
      <c r="AS1729" s="15"/>
    </row>
    <row r="1730" spans="1:45" s="17" customFormat="1" ht="30.95" hidden="1" customHeight="1" x14ac:dyDescent="0.2">
      <c r="A1730" s="37" t="s">
        <v>995</v>
      </c>
      <c r="B1730" s="38" t="s">
        <v>444</v>
      </c>
      <c r="C1730" s="45"/>
      <c r="D1730" s="31">
        <v>3741616</v>
      </c>
      <c r="E1730" s="31">
        <v>4141083</v>
      </c>
      <c r="F1730" s="268" t="str">
        <f>IF(D1730="","",VLOOKUP(D1730,契約台帳!$A$3:$K$4986,6,FALSE)&amp;VLOOKUP(D1730,契約台帳!$A$3:$K$4986,7,FALSE)&amp;VLOOKUP(D1730,契約台帳!$A$3:$K$4986,8,FALSE)&amp;VLOOKUP(D1730,契約台帳!$A$3:$K$4986,9,FALSE)&amp;VLOOKUP(D1730,契約台帳!$A$3:$K$4986,11,FALSE))</f>
        <v>33SSNMCLBTEKV0V</v>
      </c>
      <c r="G1730" s="269" t="str">
        <f>IF(D1730="","",VLOOKUP(F1730,製品マスタ!$G$5:$H$5002,2,FALSE))</f>
        <v>S</v>
      </c>
      <c r="H1730" s="269" t="str">
        <f>IF(D1730="","",VLOOKUP(F1730,製品マスタ!$G$5:$K$5002,5,FALSE))</f>
        <v>TEKV0V</v>
      </c>
      <c r="I1730" s="270" t="str">
        <f>IF(D1730="","",VLOOKUP(F1730,製品マスタ!$G$5:$L$5002,6,FALSE))</f>
        <v>メタルミー　ＴＥ－Ｓ消　ＶＯＩＤ　Ｖ</v>
      </c>
      <c r="J1730" s="210" t="s">
        <v>447</v>
      </c>
      <c r="K1730" s="270">
        <f>IF(D1730="","",VLOOKUP(D1730,契約台帳!$A$3:$L$4986,12,FALSE))</f>
        <v>50</v>
      </c>
      <c r="L1730" s="270" t="str">
        <f>IF(D1730="","",INDEX(製品マスタ!$Q$5:$Q$5002,MATCH('S4'!F1730&amp;'S4'!K1730,製品マスタ!$AO$5:$AO$5002,0)))</f>
        <v>X44SEPA</v>
      </c>
      <c r="M1730" s="39">
        <v>1005</v>
      </c>
      <c r="N1730" s="39">
        <v>12000</v>
      </c>
      <c r="O1730" s="156">
        <v>1</v>
      </c>
      <c r="P1730" s="47">
        <v>3</v>
      </c>
      <c r="Q1730" s="57"/>
      <c r="R1730" s="271">
        <f ca="1">IF(D1730="","",IF(OFFSET(D1730,-1,0)&lt;&gt;"","",IF(OR(J1730="リード付け",J1730="巻足し",J1730="巻返しリード付け"),M1730,VLOOKUP(D1730,契約台帳!$A$3:$N$4986,14,FALSE))))</f>
        <v>1005</v>
      </c>
      <c r="S1730" s="272">
        <f ca="1">IF(D1730="","",IF(OFFSET(D1730,-1,0)&lt;&gt;"","",IF(OR(J1730="リード付け",J1730="巻足し",J1730="巻返しリード付け"),M1730,VLOOKUP(D1730,契約台帳!$A$3:$O$4986,15,FALSE))))</f>
        <v>1000</v>
      </c>
      <c r="T1730" s="273">
        <f ca="1">IF(D1730="","",IF(J1730="リード付け",N1730,IF(J1730="巻返しリード付け",N1730,IF(J1730="巻足し",N1730*P1730+OFFSET(N1730,1,0)*OFFSET(P1730,1,0),VLOOKUP(D1730,契約台帳!$A$3:$P$4986,16,FALSE)))))</f>
        <v>4000</v>
      </c>
      <c r="U1730" s="40">
        <v>2</v>
      </c>
      <c r="V1730" s="274">
        <v>8</v>
      </c>
      <c r="W1730" s="269" t="str">
        <f ca="1">IF(D1730="","",IF(T1730="","",IF(OR(J1730="巻足し",J1730="巻返しリード付け"),"",IF(J1730="巻返し",VLOOKUP(F1730&amp;K1730&amp;M1730,製品マスタ!$M$5:$AD$5002,18,FALSE),IF(OR(J1730="リード付け",J1730="巻返しリード付け"),"原反コア",IF(J1730="スリット",VLOOKUP(F1730&amp;K1730&amp;R1730,製品マスタ!$N$5:$AD$5002,17,FALSE),""))))))</f>
        <v>6ｲﾝﾁSｺｱ</v>
      </c>
      <c r="X1730" s="269">
        <f ca="1">IF(D1730="","",IF(T1730="","",IF(J1730="巻足し","",IF(J1730="巻返し",VLOOKUP(F1730&amp;K1730&amp;M1730,製品マスタ!$M$5:$AE$5002,19,FALSE),IF(OR(J1730="リード付け",J1730="巻返しリード付け"),"",IF(J1730="スリット",VLOOKUP(F1730&amp;K1730&amp;R1730,製品マスタ!$N$5:$AE$5002,18,FALSE),""))))))</f>
        <v>1015</v>
      </c>
      <c r="Y1730" s="275">
        <f ca="1">IF(D1730="","",IF(T1730="","",VLOOKUP(D1730,契約台帳!$A$3:$Q$4986,17,FALSE)))</f>
        <v>2</v>
      </c>
      <c r="Z1730" s="269" t="str">
        <f ca="1">IF(D1730="","",IF(T1730="","",VLOOKUP(D1730,契約台帳!$A$3:$E$4986,5,FALSE)))</f>
        <v>リンテック㈱</v>
      </c>
      <c r="AA1730" s="57"/>
      <c r="AB1730" s="207"/>
      <c r="AC1730" s="33"/>
      <c r="AD1730" s="189"/>
      <c r="AE1730" s="54"/>
      <c r="AF1730" s="55"/>
      <c r="AG1730" s="43"/>
      <c r="AH1730" s="47"/>
      <c r="AI1730" s="30"/>
      <c r="AJ1730" s="30"/>
      <c r="AK1730" s="30"/>
      <c r="AL1730" s="30"/>
      <c r="AM1730" s="13"/>
      <c r="AN1730" s="13"/>
      <c r="AO1730" s="13"/>
      <c r="AP1730" s="13"/>
      <c r="AQ1730" s="13"/>
      <c r="AR1730" s="14"/>
      <c r="AS1730" s="15"/>
    </row>
    <row r="1731" spans="1:45" s="17" customFormat="1" ht="30.95" hidden="1" customHeight="1" x14ac:dyDescent="0.2">
      <c r="A1731" s="37"/>
      <c r="B1731" s="38"/>
      <c r="C1731" s="45"/>
      <c r="D1731" s="31">
        <v>3741617</v>
      </c>
      <c r="E1731" s="31"/>
      <c r="F1731" s="268" t="str">
        <f>IF(D1731="","",VLOOKUP(D1731,契約台帳!$A$3:$K$4986,6,FALSE)&amp;VLOOKUP(D1731,契約台帳!$A$3:$K$4986,7,FALSE)&amp;VLOOKUP(D1731,契約台帳!$A$3:$K$4986,8,FALSE)&amp;VLOOKUP(D1731,契約台帳!$A$3:$K$4986,9,FALSE)&amp;VLOOKUP(D1731,契約台帳!$A$3:$K$4986,11,FALSE))</f>
        <v>33SSYMCLBTEKV0V</v>
      </c>
      <c r="G1731" s="269" t="str">
        <f>IF(D1731="","",VLOOKUP(F1731,製品マスタ!$G$5:$H$5002,2,FALSE))</f>
        <v>S</v>
      </c>
      <c r="H1731" s="269" t="str">
        <f>IF(D1731="","",VLOOKUP(F1731,製品マスタ!$G$5:$K$5002,5,FALSE))</f>
        <v>TEKV0V</v>
      </c>
      <c r="I1731" s="270" t="str">
        <f>IF(D1731="","",VLOOKUP(F1731,製品マスタ!$G$5:$L$5002,6,FALSE))</f>
        <v>メタルミー　ＴＥ－Ｓ消　ＶＯＩＤ　Ｖ</v>
      </c>
      <c r="J1731" s="210" t="s">
        <v>447</v>
      </c>
      <c r="K1731" s="270">
        <f>IF(D1731="","",VLOOKUP(D1731,契約台帳!$A$3:$L$4986,12,FALSE))</f>
        <v>50</v>
      </c>
      <c r="L1731" s="270" t="str">
        <f>IF(D1731="","",INDEX(製品マスタ!$Q$5:$Q$5002,MATCH('S4'!F1731&amp;'S4'!K1731,製品マスタ!$AO$5:$AO$5002,0)))</f>
        <v>X44SEPA</v>
      </c>
      <c r="M1731" s="39">
        <v>1005</v>
      </c>
      <c r="N1731" s="39"/>
      <c r="O1731" s="156"/>
      <c r="P1731" s="47"/>
      <c r="Q1731" s="57"/>
      <c r="R1731" s="271">
        <v>1005</v>
      </c>
      <c r="S1731" s="272">
        <v>1000</v>
      </c>
      <c r="T1731" s="273">
        <f ca="1">IF(D1731="","",IF(J1731="リード付け",N1731,IF(J1731="巻返しリード付け",N1731,IF(J1731="巻足し",N1731*P1731+OFFSET(N1731,1,0)*OFFSET(P1731,1,0),VLOOKUP(D1731,契約台帳!$A$3:$P$4986,16,FALSE)))))</f>
        <v>4000</v>
      </c>
      <c r="U1731" s="40">
        <v>1</v>
      </c>
      <c r="V1731" s="274">
        <f ca="1">IF(D1731="","",IF(OFFSET(D1731,-2,0)=D1731,"",VLOOKUP(D1731,契約台帳!$A$3:$R$4986,18,FALSE)))</f>
        <v>1</v>
      </c>
      <c r="W1731" s="269" t="str">
        <f ca="1">IF(D1731="","",IF(T1731="","",IF(OR(J1731="巻足し",J1731="巻返しリード付け"),"",IF(J1731="巻返し",VLOOKUP(F1731&amp;K1731&amp;M1731,製品マスタ!$M$5:$AD$5002,18,FALSE),IF(OR(J1731="リード付け",J1731="巻返しリード付け"),"原反コア",IF(J1731="スリット",VLOOKUP(F1731&amp;K1731&amp;R1731,製品マスタ!$N$5:$AD$5002,17,FALSE),""))))))</f>
        <v>6ｲﾝﾁSｺｱ</v>
      </c>
      <c r="X1731" s="269">
        <f ca="1">IF(D1731="","",IF(T1731="","",IF(J1731="巻足し","",IF(J1731="巻返し",VLOOKUP(F1731&amp;K1731&amp;M1731,製品マスタ!$M$5:$AE$5002,19,FALSE),IF(OR(J1731="リード付け",J1731="巻返しリード付け"),"",IF(J1731="スリット",VLOOKUP(F1731&amp;K1731&amp;R1731,製品マスタ!$N$5:$AE$5002,18,FALSE),""))))))</f>
        <v>1015</v>
      </c>
      <c r="Y1731" s="275">
        <f ca="1">IF(D1731="","",IF(T1731="","",VLOOKUP(D1731,契約台帳!$A$3:$Q$4986,17,FALSE)))</f>
        <v>2</v>
      </c>
      <c r="Z1731" s="269" t="str">
        <f ca="1">IF(D1731="","",IF(T1731="","",VLOOKUP(D1731,契約台帳!$A$3:$E$4986,5,FALSE)))</f>
        <v>リンテック㈱</v>
      </c>
      <c r="AA1731" s="57"/>
      <c r="AB1731" s="429" t="s">
        <v>2330</v>
      </c>
      <c r="AC1731" s="33"/>
      <c r="AD1731" s="189"/>
      <c r="AE1731" s="54"/>
      <c r="AF1731" s="55"/>
      <c r="AG1731" s="43"/>
      <c r="AH1731" s="47"/>
      <c r="AI1731" s="30"/>
      <c r="AJ1731" s="30"/>
      <c r="AK1731" s="30"/>
      <c r="AL1731" s="30"/>
      <c r="AM1731" s="13"/>
      <c r="AN1731" s="13"/>
      <c r="AO1731" s="13"/>
      <c r="AP1731" s="13"/>
      <c r="AQ1731" s="13"/>
      <c r="AR1731" s="14"/>
      <c r="AS1731" s="15"/>
    </row>
    <row r="1732" spans="1:45" s="17" customFormat="1" ht="30.95" hidden="1" customHeight="1" x14ac:dyDescent="0.2">
      <c r="A1732" s="37"/>
      <c r="B1732" s="38"/>
      <c r="C1732" s="45"/>
      <c r="D1732" s="31"/>
      <c r="E1732" s="31"/>
      <c r="F1732" s="268" t="str">
        <f>IF(D1732="","",VLOOKUP(D1732,契約台帳!$A$3:$K$4986,6,FALSE)&amp;VLOOKUP(D1732,契約台帳!$A$3:$K$4986,7,FALSE)&amp;VLOOKUP(D1732,契約台帳!$A$3:$K$4986,8,FALSE)&amp;VLOOKUP(D1732,契約台帳!$A$3:$K$4986,9,FALSE)&amp;VLOOKUP(D1732,契約台帳!$A$3:$K$4986,11,FALSE))</f>
        <v/>
      </c>
      <c r="G1732" s="269" t="str">
        <f>IF(D1732="","",VLOOKUP(F1732,製品マスタ!$G$5:$H$5002,2,FALSE))</f>
        <v/>
      </c>
      <c r="H1732" s="269" t="str">
        <f>IF(D1732="","",VLOOKUP(F1732,製品マスタ!$G$5:$K$5002,5,FALSE))</f>
        <v/>
      </c>
      <c r="I1732" s="270" t="str">
        <f>IF(D1732="","",VLOOKUP(F1732,製品マスタ!$G$5:$L$5002,6,FALSE))</f>
        <v/>
      </c>
      <c r="J1732" s="210"/>
      <c r="K1732" s="270" t="str">
        <f>IF(D1732="","",VLOOKUP(D1732,契約台帳!$A$3:$L$4986,12,FALSE))</f>
        <v/>
      </c>
      <c r="L1732" s="270" t="str">
        <f>IF(D1732="","",INDEX(製品マスタ!$Q$5:$Q$5002,MATCH('S4'!F1732&amp;'S4'!K1732,製品マスタ!$AO$5:$AO$5002,0)))</f>
        <v/>
      </c>
      <c r="M1732" s="39"/>
      <c r="N1732" s="39"/>
      <c r="O1732" s="156"/>
      <c r="P1732" s="47"/>
      <c r="Q1732" s="57"/>
      <c r="R1732" s="271" t="str">
        <f ca="1">IF(D1732="","",IF(OFFSET(D1732,-1,0)&lt;&gt;"","",IF(OR(J1732="リード付け",J1732="巻足し",J1732="巻返しリード付け"),M1732,VLOOKUP(D1732,契約台帳!$A$3:$N$4986,14,FALSE))))</f>
        <v/>
      </c>
      <c r="S1732" s="272" t="str">
        <f ca="1">IF(D1732="","",IF(OFFSET(D1732,-1,0)&lt;&gt;"","",IF(OR(J1732="リード付け",J1732="巻足し",J1732="巻返しリード付け"),M1732,VLOOKUP(D1732,契約台帳!$A$3:$O$4986,15,FALSE))))</f>
        <v/>
      </c>
      <c r="T1732" s="273" t="str">
        <f ca="1">IF(D1732="","",IF(J1732="リード付け",N1732,IF(J1732="巻返しリード付け",N1732,IF(J1732="巻足し",N1732*P1732+OFFSET(N1732,1,0)*OFFSET(P1732,1,0),VLOOKUP(D1732,契約台帳!$A$3:$P$4986,16,FALSE)))))</f>
        <v/>
      </c>
      <c r="U1732" s="40"/>
      <c r="V1732" s="274" t="str">
        <f ca="1">IF(D1732="","",IF(OFFSET(D1732,-2,0)=D1732,"",VLOOKUP(D1732,契約台帳!$A$3:$R$4986,18,FALSE)))</f>
        <v/>
      </c>
      <c r="W1732" s="269" t="str">
        <f>IF(D1732="","",IF(T1732="","",IF(OR(J1732="巻足し",J1732="巻返しリード付け"),"",IF(J1732="巻返し",VLOOKUP(F1732&amp;K1732&amp;M1732,製品マスタ!$M$5:$AD$5002,18,FALSE),IF(OR(J1732="リード付け",J1732="巻返しリード付け"),"原反コア",IF(J1732="スリット",VLOOKUP(F1732&amp;K1732&amp;R1732,製品マスタ!$N$5:$AD$5002,17,FALSE),""))))))</f>
        <v/>
      </c>
      <c r="X1732" s="269" t="str">
        <f>IF(D1732="","",IF(T1732="","",IF(J1732="巻足し","",IF(J1732="巻返し",VLOOKUP(F1732&amp;K1732&amp;M1732,製品マスタ!$M$5:$AE$5002,19,FALSE),IF(OR(J1732="リード付け",J1732="巻返しリード付け"),"",IF(J1732="スリット",VLOOKUP(F1732&amp;K1732&amp;R1732,製品マスタ!$N$5:$AE$5002,18,FALSE),""))))))</f>
        <v/>
      </c>
      <c r="Y1732" s="275" t="str">
        <f>IF(D1732="","",IF(T1732="","",VLOOKUP(D1732,契約台帳!$A$3:$Q$4986,17,FALSE)))</f>
        <v/>
      </c>
      <c r="Z1732" s="269" t="str">
        <f>IF(D1732="","",IF(T1732="","",VLOOKUP(D1732,契約台帳!$A$3:$E$4986,5,FALSE)))</f>
        <v/>
      </c>
      <c r="AA1732" s="57"/>
      <c r="AB1732" s="207"/>
      <c r="AC1732" s="33"/>
      <c r="AD1732" s="189"/>
      <c r="AE1732" s="54"/>
      <c r="AF1732" s="55"/>
      <c r="AG1732" s="43"/>
      <c r="AH1732" s="47"/>
      <c r="AI1732" s="30"/>
      <c r="AJ1732" s="30"/>
      <c r="AK1732" s="30"/>
      <c r="AL1732" s="30"/>
      <c r="AM1732" s="13"/>
      <c r="AN1732" s="13"/>
      <c r="AO1732" s="13"/>
      <c r="AP1732" s="13"/>
      <c r="AQ1732" s="13"/>
      <c r="AR1732" s="14"/>
      <c r="AS1732" s="15"/>
    </row>
    <row r="1733" spans="1:45" s="17" customFormat="1" ht="30.95" hidden="1" customHeight="1" x14ac:dyDescent="0.2">
      <c r="A1733" s="37"/>
      <c r="B1733" s="38"/>
      <c r="C1733" s="45"/>
      <c r="D1733" s="31">
        <v>3744888</v>
      </c>
      <c r="E1733" s="31">
        <v>4141103</v>
      </c>
      <c r="F1733" s="268" t="str">
        <f>IF(D1733="","",VLOOKUP(D1733,契約台帳!$A$3:$K$4986,6,FALSE)&amp;VLOOKUP(D1733,契約台帳!$A$3:$K$4986,7,FALSE)&amp;VLOOKUP(D1733,契約台帳!$A$3:$K$4986,8,FALSE)&amp;VLOOKUP(D1733,契約台帳!$A$3:$K$4986,9,FALSE)&amp;VLOOKUP(D1733,契約台帳!$A$3:$K$4986,11,FALSE))</f>
        <v>33SSNMCLBTEKV0V</v>
      </c>
      <c r="G1733" s="269" t="str">
        <f>IF(D1733="","",VLOOKUP(F1733,製品マスタ!$G$5:$H$5002,2,FALSE))</f>
        <v>S</v>
      </c>
      <c r="H1733" s="269" t="str">
        <f>IF(D1733="","",VLOOKUP(F1733,製品マスタ!$G$5:$K$5002,5,FALSE))</f>
        <v>TEKV0V</v>
      </c>
      <c r="I1733" s="270" t="str">
        <f>IF(D1733="","",VLOOKUP(F1733,製品マスタ!$G$5:$L$5002,6,FALSE))</f>
        <v>メタルミー　ＴＥ－Ｓ消　ＶＯＩＤ　Ｖ</v>
      </c>
      <c r="J1733" s="210" t="s">
        <v>447</v>
      </c>
      <c r="K1733" s="270">
        <f>IF(D1733="","",VLOOKUP(D1733,契約台帳!$A$3:$L$4986,12,FALSE))</f>
        <v>50</v>
      </c>
      <c r="L1733" s="270" t="str">
        <f>IF(D1733="","",INDEX(製品マスタ!$Q$5:$Q$5002,MATCH('S4'!F1733&amp;'S4'!K1733,製品マスタ!$AO$5:$AO$5002,0)))</f>
        <v>X44SEPA</v>
      </c>
      <c r="M1733" s="39">
        <v>1005</v>
      </c>
      <c r="N1733" s="39">
        <v>12000</v>
      </c>
      <c r="O1733" s="156">
        <v>2</v>
      </c>
      <c r="P1733" s="47">
        <v>2</v>
      </c>
      <c r="Q1733" s="57"/>
      <c r="R1733" s="271">
        <f ca="1">IF(D1733="","",IF(OFFSET(D1733,-1,0)&lt;&gt;"","",IF(OR(J1733="リード付け",J1733="巻足し",J1733="巻返しリード付け"),M1733,VLOOKUP(D1733,契約台帳!$A$3:$N$4986,14,FALSE))))</f>
        <v>1005</v>
      </c>
      <c r="S1733" s="272">
        <f ca="1">IF(D1733="","",IF(OFFSET(D1733,-1,0)&lt;&gt;"","",IF(OR(J1733="リード付け",J1733="巻足し",J1733="巻返しリード付け"),M1733,VLOOKUP(D1733,契約台帳!$A$3:$O$4986,15,FALSE))))</f>
        <v>1000</v>
      </c>
      <c r="T1733" s="273">
        <f ca="1">IF(D1733="","",IF(J1733="リード付け",N1733,IF(J1733="巻返しリード付け",N1733,IF(J1733="巻足し",N1733*P1733+OFFSET(N1733,1,0)*OFFSET(P1733,1,0),VLOOKUP(D1733,契約台帳!$A$3:$P$4986,16,FALSE)))))</f>
        <v>4000</v>
      </c>
      <c r="U1733" s="40">
        <v>6</v>
      </c>
      <c r="V1733" s="274">
        <v>6</v>
      </c>
      <c r="W1733" s="269" t="str">
        <f ca="1">IF(D1733="","",IF(T1733="","",IF(OR(J1733="巻足し",J1733="巻返しリード付け"),"",IF(J1733="巻返し",VLOOKUP(F1733&amp;K1733&amp;M1733,製品マスタ!$M$5:$AD$5002,18,FALSE),IF(OR(J1733="リード付け",J1733="巻返しリード付け"),"原反コア",IF(J1733="スリット",VLOOKUP(F1733&amp;K1733&amp;R1733,製品マスタ!$N$5:$AD$5002,17,FALSE),""))))))</f>
        <v>6ｲﾝﾁSｺｱ</v>
      </c>
      <c r="X1733" s="269">
        <f ca="1">IF(D1733="","",IF(T1733="","",IF(J1733="巻足し","",IF(J1733="巻返し",VLOOKUP(F1733&amp;K1733&amp;M1733,製品マスタ!$M$5:$AE$5002,19,FALSE),IF(OR(J1733="リード付け",J1733="巻返しリード付け"),"",IF(J1733="スリット",VLOOKUP(F1733&amp;K1733&amp;R1733,製品マスタ!$N$5:$AE$5002,18,FALSE),""))))))</f>
        <v>1015</v>
      </c>
      <c r="Y1733" s="275">
        <f ca="1">IF(D1733="","",IF(T1733="","",VLOOKUP(D1733,契約台帳!$A$3:$Q$4986,17,FALSE)))</f>
        <v>2</v>
      </c>
      <c r="Z1733" s="269" t="str">
        <f ca="1">IF(D1733="","",IF(T1733="","",VLOOKUP(D1733,契約台帳!$A$3:$E$4986,5,FALSE)))</f>
        <v>リンテック㈱</v>
      </c>
      <c r="AA1733" s="57"/>
      <c r="AB1733" s="207"/>
      <c r="AC1733" s="33"/>
      <c r="AD1733" s="189"/>
      <c r="AE1733" s="54"/>
      <c r="AF1733" s="55"/>
      <c r="AG1733" s="43"/>
      <c r="AH1733" s="47"/>
      <c r="AI1733" s="30"/>
      <c r="AJ1733" s="30"/>
      <c r="AK1733" s="30"/>
      <c r="AL1733" s="30"/>
      <c r="AM1733" s="13"/>
      <c r="AN1733" s="13"/>
      <c r="AO1733" s="13"/>
      <c r="AP1733" s="13"/>
      <c r="AQ1733" s="13"/>
      <c r="AR1733" s="14"/>
      <c r="AS1733" s="15"/>
    </row>
    <row r="1734" spans="1:45" s="17" customFormat="1" ht="30.95" hidden="1" customHeight="1" x14ac:dyDescent="0.2">
      <c r="A1734" s="37"/>
      <c r="B1734" s="38"/>
      <c r="C1734" s="45"/>
      <c r="D1734" s="31"/>
      <c r="E1734" s="31"/>
      <c r="F1734" s="268"/>
      <c r="G1734" s="269"/>
      <c r="H1734" s="269"/>
      <c r="I1734" s="270"/>
      <c r="J1734" s="210"/>
      <c r="K1734" s="270"/>
      <c r="L1734" s="270"/>
      <c r="M1734" s="39"/>
      <c r="N1734" s="39"/>
      <c r="O1734" s="39"/>
      <c r="P1734" s="47"/>
      <c r="Q1734" s="57"/>
      <c r="R1734" s="271"/>
      <c r="S1734" s="272"/>
      <c r="T1734" s="273"/>
      <c r="U1734" s="40"/>
      <c r="V1734" s="274"/>
      <c r="W1734" s="269"/>
      <c r="X1734" s="269"/>
      <c r="Y1734" s="275"/>
      <c r="Z1734" s="269"/>
      <c r="AA1734" s="57"/>
      <c r="AB1734" s="207"/>
      <c r="AC1734" s="33"/>
      <c r="AD1734" s="189"/>
      <c r="AE1734" s="54"/>
      <c r="AF1734" s="55"/>
      <c r="AG1734" s="43"/>
      <c r="AH1734" s="47"/>
      <c r="AI1734" s="30"/>
      <c r="AJ1734" s="30"/>
      <c r="AK1734" s="30"/>
      <c r="AL1734" s="30"/>
      <c r="AM1734" s="13"/>
      <c r="AN1734" s="13"/>
      <c r="AO1734" s="13"/>
      <c r="AP1734" s="13"/>
      <c r="AQ1734" s="13"/>
      <c r="AR1734" s="14"/>
      <c r="AS1734" s="15"/>
    </row>
    <row r="1735" spans="1:45" s="17" customFormat="1" ht="30.95" hidden="1" customHeight="1" x14ac:dyDescent="0.2">
      <c r="A1735" s="37"/>
      <c r="B1735" s="38"/>
      <c r="C1735" s="45"/>
      <c r="D1735" s="31">
        <v>3741615</v>
      </c>
      <c r="E1735" s="31">
        <v>4141082</v>
      </c>
      <c r="F1735" s="268" t="str">
        <f>IF(D1735="","",VLOOKUP(D1735,契約台帳!$A$3:$K$4986,6,FALSE)&amp;VLOOKUP(D1735,契約台帳!$A$3:$K$4986,7,FALSE)&amp;VLOOKUP(D1735,契約台帳!$A$3:$K$4986,8,FALSE)&amp;VLOOKUP(D1735,契約台帳!$A$3:$K$4986,9,FALSE)&amp;VLOOKUP(D1735,契約台帳!$A$3:$K$4986,11,FALSE))</f>
        <v>33SSNMCLBTEKKFV</v>
      </c>
      <c r="G1735" s="269" t="str">
        <f>IF(D1735="","",VLOOKUP(F1735,製品マスタ!$G$5:$H$5002,2,FALSE))</f>
        <v>S</v>
      </c>
      <c r="H1735" s="269" t="str">
        <f>IF(D1735="","",VLOOKUP(F1735,製品マスタ!$G$5:$K$5002,5,FALSE))</f>
        <v>TEKKFV</v>
      </c>
      <c r="I1735" s="270" t="str">
        <f>IF(D1735="","",VLOOKUP(F1735,製品マスタ!$G$5:$L$5002,6,FALSE))</f>
        <v>メタルミー　ＴＥＳ消開封　Ｖ</v>
      </c>
      <c r="J1735" s="210" t="s">
        <v>447</v>
      </c>
      <c r="K1735" s="270">
        <f>IF(D1735="","",VLOOKUP(D1735,契約台帳!$A$3:$L$4986,12,FALSE))</f>
        <v>50</v>
      </c>
      <c r="L1735" s="270" t="str">
        <f>IF(D1735="","",INDEX(製品マスタ!$Q$5:$Q$5002,MATCH('S4'!F1735&amp;'S4'!K1735,製品マスタ!$AO$5:$AO$5002,0)))</f>
        <v>X44SEPA</v>
      </c>
      <c r="M1735" s="39">
        <v>1005</v>
      </c>
      <c r="N1735" s="39">
        <v>12000</v>
      </c>
      <c r="O1735" s="156">
        <v>2</v>
      </c>
      <c r="P1735" s="47">
        <v>2</v>
      </c>
      <c r="Q1735" s="57"/>
      <c r="R1735" s="271">
        <f ca="1">IF(D1735="","",IF(OFFSET(D1735,-1,0)&lt;&gt;"","",IF(OR(J1735="リード付け",J1735="巻足し",J1735="巻返しリード付け"),M1735,VLOOKUP(D1735,契約台帳!$A$3:$N$4986,14,FALSE))))</f>
        <v>1005</v>
      </c>
      <c r="S1735" s="272">
        <f ca="1">IF(D1735="","",IF(OFFSET(D1735,-1,0)&lt;&gt;"","",IF(OR(J1735="リード付け",J1735="巻足し",J1735="巻返しリード付け"),M1735,VLOOKUP(D1735,契約台帳!$A$3:$O$4986,15,FALSE))))</f>
        <v>1000</v>
      </c>
      <c r="T1735" s="273">
        <f ca="1">IF(D1735="","",IF(J1735="リード付け",N1735,IF(J1735="巻返しリード付け",N1735,IF(J1735="巻足し",N1735*P1735+OFFSET(N1735,1,0)*OFFSET(P1735,1,0),VLOOKUP(D1735,契約台帳!$A$3:$P$4986,16,FALSE)))))</f>
        <v>4000</v>
      </c>
      <c r="U1735" s="40">
        <v>6</v>
      </c>
      <c r="V1735" s="274">
        <f ca="1">IF(D1735="","",IF(OFFSET(D1735,-2,0)=D1735,"",VLOOKUP(D1735,契約台帳!$A$3:$R$4986,18,FALSE)))</f>
        <v>6</v>
      </c>
      <c r="W1735" s="269" t="str">
        <f ca="1">IF(D1735="","",IF(T1735="","",IF(OR(J1735="巻足し",J1735="巻返しリード付け"),"",IF(J1735="巻返し",VLOOKUP(F1735&amp;K1735&amp;M1735,製品マスタ!$M$5:$AD$5002,18,FALSE),IF(OR(J1735="リード付け",J1735="巻返しリード付け"),"原反コア",IF(J1735="スリット",VLOOKUP(F1735&amp;K1735&amp;R1735,製品マスタ!$N$5:$AD$5002,17,FALSE),""))))))</f>
        <v>6ｲﾝﾁSｺｱ</v>
      </c>
      <c r="X1735" s="269">
        <f ca="1">IF(D1735="","",IF(T1735="","",IF(J1735="巻足し","",IF(J1735="巻返し",VLOOKUP(F1735&amp;K1735&amp;M1735,製品マスタ!$M$5:$AE$5002,19,FALSE),IF(OR(J1735="リード付け",J1735="巻返しリード付け"),"",IF(J1735="スリット",VLOOKUP(F1735&amp;K1735&amp;R1735,製品マスタ!$N$5:$AE$5002,18,FALSE),""))))))</f>
        <v>1015</v>
      </c>
      <c r="Y1735" s="275">
        <f ca="1">IF(D1735="","",IF(T1735="","",VLOOKUP(D1735,契約台帳!$A$3:$Q$4986,17,FALSE)))</f>
        <v>2</v>
      </c>
      <c r="Z1735" s="269" t="str">
        <f ca="1">IF(D1735="","",IF(T1735="","",VLOOKUP(D1735,契約台帳!$A$3:$E$4986,5,FALSE)))</f>
        <v>リンテック㈱</v>
      </c>
      <c r="AA1735" s="57"/>
      <c r="AB1735" s="207"/>
      <c r="AC1735" s="33"/>
      <c r="AD1735" s="189"/>
      <c r="AE1735" s="54"/>
      <c r="AF1735" s="55"/>
      <c r="AG1735" s="43"/>
      <c r="AH1735" s="47"/>
      <c r="AI1735" s="30"/>
      <c r="AJ1735" s="30"/>
      <c r="AK1735" s="30"/>
      <c r="AL1735" s="30"/>
      <c r="AM1735" s="13"/>
      <c r="AN1735" s="13"/>
      <c r="AO1735" s="13"/>
      <c r="AP1735" s="13"/>
      <c r="AQ1735" s="13"/>
      <c r="AR1735" s="14"/>
      <c r="AS1735" s="15"/>
    </row>
    <row r="1736" spans="1:45" s="17" customFormat="1" ht="30.95" hidden="1" customHeight="1" x14ac:dyDescent="0.2">
      <c r="A1736" s="37"/>
      <c r="B1736" s="38"/>
      <c r="C1736" s="45"/>
      <c r="D1736" s="31"/>
      <c r="E1736" s="31"/>
      <c r="F1736" s="268"/>
      <c r="G1736" s="269"/>
      <c r="H1736" s="269"/>
      <c r="I1736" s="270"/>
      <c r="J1736" s="210"/>
      <c r="K1736" s="270"/>
      <c r="L1736" s="270"/>
      <c r="M1736" s="39"/>
      <c r="N1736" s="39"/>
      <c r="O1736" s="156"/>
      <c r="P1736" s="47"/>
      <c r="Q1736" s="57"/>
      <c r="R1736" s="271"/>
      <c r="S1736" s="272"/>
      <c r="T1736" s="273"/>
      <c r="U1736" s="40"/>
      <c r="V1736" s="274"/>
      <c r="W1736" s="269"/>
      <c r="X1736" s="269"/>
      <c r="Y1736" s="275"/>
      <c r="Z1736" s="269"/>
      <c r="AA1736" s="57"/>
      <c r="AB1736" s="207"/>
      <c r="AC1736" s="33"/>
      <c r="AD1736" s="189"/>
      <c r="AE1736" s="54"/>
      <c r="AF1736" s="55"/>
      <c r="AG1736" s="43"/>
      <c r="AH1736" s="47"/>
      <c r="AI1736" s="30"/>
      <c r="AJ1736" s="30"/>
      <c r="AK1736" s="30"/>
      <c r="AL1736" s="30"/>
      <c r="AM1736" s="13"/>
      <c r="AN1736" s="13"/>
      <c r="AO1736" s="13"/>
      <c r="AP1736" s="13"/>
      <c r="AQ1736" s="13"/>
      <c r="AR1736" s="14"/>
      <c r="AS1736" s="15"/>
    </row>
    <row r="1737" spans="1:45" s="17" customFormat="1" ht="30.6" hidden="1" customHeight="1" x14ac:dyDescent="0.2">
      <c r="A1737" s="37"/>
      <c r="B1737" s="38"/>
      <c r="C1737" s="45"/>
      <c r="D1737" s="31">
        <v>3745509</v>
      </c>
      <c r="E1737" s="31">
        <v>4141101</v>
      </c>
      <c r="F1737" s="268" t="str">
        <f>IF(D1737="","",VLOOKUP(D1737,契約台帳!$A$3:$K$4986,6,FALSE)&amp;VLOOKUP(D1737,契約台帳!$A$3:$K$4986,7,FALSE)&amp;VLOOKUP(D1737,契約台帳!$A$3:$K$4986,8,FALSE)&amp;VLOOKUP(D1737,契約台帳!$A$3:$K$4986,9,FALSE)&amp;VLOOKUP(D1737,契約台帳!$A$3:$K$4986,11,FALSE))</f>
        <v>33SSNMCLBTEKKFV</v>
      </c>
      <c r="G1737" s="269" t="str">
        <f>IF(D1737="","",VLOOKUP(F1737,製品マスタ!$G$5:$H$5002,2,FALSE))</f>
        <v>S</v>
      </c>
      <c r="H1737" s="269" t="str">
        <f>IF(D1737="","",VLOOKUP(F1737,製品マスタ!$G$5:$K$5002,5,FALSE))</f>
        <v>TEKKFV</v>
      </c>
      <c r="I1737" s="270" t="str">
        <f>IF(D1737="","",VLOOKUP(F1737,製品マスタ!$G$5:$L$5002,6,FALSE))</f>
        <v>メタルミー　ＴＥＳ消開封　Ｖ</v>
      </c>
      <c r="J1737" s="210" t="s">
        <v>447</v>
      </c>
      <c r="K1737" s="270">
        <f>IF(D1737="","",VLOOKUP(D1737,契約台帳!$A$3:$L$4986,12,FALSE))</f>
        <v>38</v>
      </c>
      <c r="L1737" s="270" t="str">
        <f>IF(D1737="","",INDEX(製品マスタ!$Q$5:$Q$5002,MATCH('S4'!F1737&amp;'S4'!K1737,製品マスタ!$AO$5:$AO$5002,0)))</f>
        <v>X44SEPA</v>
      </c>
      <c r="M1737" s="39">
        <v>1005</v>
      </c>
      <c r="N1737" s="39">
        <v>2000</v>
      </c>
      <c r="O1737" s="156">
        <v>1</v>
      </c>
      <c r="P1737" s="47">
        <v>1</v>
      </c>
      <c r="Q1737" s="57"/>
      <c r="R1737" s="271">
        <f ca="1">IF(D1737="","",IF(OFFSET(D1737,-1,0)&lt;&gt;"","",IF(OR(J1737="リード付け",J1737="巻足し",J1737="巻返しリード付け"),M1737,VLOOKUP(D1737,契約台帳!$A$3:$N$4986,14,FALSE))))</f>
        <v>1005</v>
      </c>
      <c r="S1737" s="272">
        <f ca="1">IF(D1737="","",IF(OFFSET(D1737,-1,0)&lt;&gt;"","",IF(OR(J1737="リード付け",J1737="巻足し",J1737="巻返しリード付け"),M1737,VLOOKUP(D1737,契約台帳!$A$3:$O$4986,15,FALSE))))</f>
        <v>1000</v>
      </c>
      <c r="T1737" s="273">
        <f ca="1">IF(D1737="","",IF(J1737="リード付け",N1737,IF(J1737="巻返しリード付け",N1737,IF(J1737="巻足し",N1737*P1737+OFFSET(N1737,1,0)*OFFSET(P1737,1,0),VLOOKUP(D1737,契約台帳!$A$3:$P$4986,16,FALSE)))))</f>
        <v>2000</v>
      </c>
      <c r="U1737" s="40">
        <v>1</v>
      </c>
      <c r="V1737" s="274">
        <f ca="1">IF(D1737="","",IF(OFFSET(D1737,-2,0)=D1737,"",VLOOKUP(D1737,契約台帳!$A$3:$R$4986,18,FALSE)))</f>
        <v>1</v>
      </c>
      <c r="W1737" s="269" t="str">
        <f ca="1">IF(D1737="","",IF(T1737="","",IF(OR(J1737="巻足し",J1737="巻返しリード付け"),"",IF(J1737="巻返し",VLOOKUP(F1737&amp;K1737&amp;M1737,製品マスタ!$M$5:$AD$5002,18,FALSE),IF(OR(J1737="リード付け",J1737="巻返しリード付け"),"原反コア",IF(J1737="スリット",VLOOKUP(F1737&amp;K1737&amp;R1737,製品マスタ!$N$5:$AD$5002,17,FALSE),""))))))</f>
        <v>6ｲﾝﾁSｺｱ</v>
      </c>
      <c r="X1737" s="269">
        <f ca="1">IF(D1737="","",IF(T1737="","",IF(J1737="巻足し","",IF(J1737="巻返し",VLOOKUP(F1737&amp;K1737&amp;M1737,製品マスタ!$M$5:$AE$5002,19,FALSE),IF(OR(J1737="リード付け",J1737="巻返しリード付け"),"",IF(J1737="スリット",VLOOKUP(F1737&amp;K1737&amp;R1737,製品マスタ!$N$5:$AE$5002,18,FALSE),""))))))</f>
        <v>1015</v>
      </c>
      <c r="Y1737" s="275">
        <f ca="1">IF(D1737="","",IF(T1737="","",VLOOKUP(D1737,契約台帳!$A$3:$Q$4986,17,FALSE)))</f>
        <v>2</v>
      </c>
      <c r="Z1737" s="269" t="str">
        <f ca="1">IF(D1737="","",IF(T1737="","",VLOOKUP(D1737,契約台帳!$A$3:$E$4986,5,FALSE)))</f>
        <v>リンテック㈱</v>
      </c>
      <c r="AA1737" s="57"/>
      <c r="AB1737" s="207">
        <f>IFERROR((VLOOKUP(F1737&amp;K1737&amp;M1737,製品マスタ!$M$5:$AM$5002,27,FALSE)),"")</f>
        <v>0</v>
      </c>
      <c r="AC1737" s="33"/>
      <c r="AD1737" s="189"/>
      <c r="AE1737" s="54"/>
      <c r="AF1737" s="55"/>
      <c r="AG1737" s="43"/>
      <c r="AH1737" s="47"/>
      <c r="AI1737" s="30"/>
      <c r="AJ1737" s="30"/>
      <c r="AK1737" s="30"/>
      <c r="AL1737" s="30"/>
      <c r="AM1737" s="13"/>
      <c r="AN1737" s="13"/>
      <c r="AO1737" s="13"/>
      <c r="AP1737" s="13"/>
      <c r="AQ1737" s="13"/>
      <c r="AR1737" s="14"/>
      <c r="AS1737" s="15"/>
    </row>
    <row r="1738" spans="1:45" s="17" customFormat="1" ht="30.95" hidden="1" customHeight="1" x14ac:dyDescent="0.2">
      <c r="A1738" s="37"/>
      <c r="B1738" s="38"/>
      <c r="C1738" s="45"/>
      <c r="D1738" s="31"/>
      <c r="E1738" s="31"/>
      <c r="F1738" s="268"/>
      <c r="G1738" s="269"/>
      <c r="H1738" s="269"/>
      <c r="I1738" s="270"/>
      <c r="J1738" s="210"/>
      <c r="K1738" s="270"/>
      <c r="L1738" s="270"/>
      <c r="M1738" s="39"/>
      <c r="N1738" s="39"/>
      <c r="O1738" s="156"/>
      <c r="P1738" s="47"/>
      <c r="Q1738" s="57"/>
      <c r="R1738" s="338"/>
      <c r="S1738" s="272"/>
      <c r="T1738" s="273"/>
      <c r="U1738" s="40"/>
      <c r="V1738" s="277"/>
      <c r="W1738" s="269"/>
      <c r="X1738" s="269"/>
      <c r="Y1738" s="275"/>
      <c r="Z1738" s="269"/>
      <c r="AA1738" s="57"/>
      <c r="AB1738" s="207"/>
      <c r="AC1738" s="33"/>
      <c r="AD1738" s="189"/>
      <c r="AE1738" s="54"/>
      <c r="AF1738" s="55"/>
      <c r="AG1738" s="43"/>
      <c r="AH1738" s="47"/>
      <c r="AI1738" s="30"/>
      <c r="AJ1738" s="30"/>
      <c r="AK1738" s="30"/>
      <c r="AL1738" s="30"/>
      <c r="AM1738" s="13"/>
      <c r="AN1738" s="13"/>
      <c r="AO1738" s="13"/>
      <c r="AP1738" s="13"/>
      <c r="AQ1738" s="13"/>
      <c r="AR1738" s="14"/>
      <c r="AS1738" s="15"/>
    </row>
    <row r="1739" spans="1:45" s="17" customFormat="1" ht="30.6" hidden="1" customHeight="1" x14ac:dyDescent="0.2">
      <c r="A1739" s="37" t="s">
        <v>2331</v>
      </c>
      <c r="B1739" s="38" t="s">
        <v>445</v>
      </c>
      <c r="C1739" s="45"/>
      <c r="D1739" s="31">
        <v>3748890</v>
      </c>
      <c r="E1739" s="31">
        <v>4141109</v>
      </c>
      <c r="F1739" s="268" t="str">
        <f>IF(D1739="","",VLOOKUP(D1739,契約台帳!$A$3:$K$4986,6,FALSE)&amp;VLOOKUP(D1739,契約台帳!$A$3:$K$4986,7,FALSE)&amp;VLOOKUP(D1739,契約台帳!$A$3:$K$4986,8,FALSE)&amp;VLOOKUP(D1739,契約台帳!$A$3:$K$4986,9,FALSE)&amp;VLOOKUP(D1739,契約台帳!$A$3:$K$4986,11,FALSE))</f>
        <v>3TNMCLBHLKTV</v>
      </c>
      <c r="G1739" s="269" t="str">
        <f>IF(D1739="","",VLOOKUP(F1739,製品マスタ!$G$5:$H$5002,2,FALSE))</f>
        <v>T</v>
      </c>
      <c r="H1739" s="269" t="str">
        <f>IF(D1739="","",VLOOKUP(F1739,製品マスタ!$G$5:$K$5002,5,FALSE))</f>
        <v>HLKTV</v>
      </c>
      <c r="I1739" s="270" t="str">
        <f>IF(D1739="","",VLOOKUP(F1739,製品マスタ!$G$5:$L$5002,6,FALSE))</f>
        <v>メタルミー　ヘヤライン金艶　Ｖ</v>
      </c>
      <c r="J1739" s="210" t="s">
        <v>447</v>
      </c>
      <c r="K1739" s="270">
        <f>IF(D1739="","",VLOOKUP(D1739,契約台帳!$A$3:$L$4986,12,FALSE))</f>
        <v>25</v>
      </c>
      <c r="L1739" s="270" t="str">
        <f>IF(D1739="","",INDEX(製品マスタ!$Q$5:$Q$5002,MATCH('S4'!F1739&amp;'S4'!K1739,製品マスタ!$AO$5:$AO$5002,0)))</f>
        <v>HL25/EC</v>
      </c>
      <c r="M1739" s="39">
        <v>1030</v>
      </c>
      <c r="N1739" s="39">
        <v>2000</v>
      </c>
      <c r="O1739" s="156">
        <v>1</v>
      </c>
      <c r="P1739" s="47">
        <v>1</v>
      </c>
      <c r="Q1739" s="57"/>
      <c r="R1739" s="271">
        <f ca="1">IF(D1739="","",IF(OFFSET(D1739,-1,0)&lt;&gt;"","",IF(OR(J1739="リード付け",J1739="巻足し",J1739="巻返しリード付け"),M1739,VLOOKUP(D1739,契約台帳!$A$3:$N$4986,14,FALSE))))</f>
        <v>1000</v>
      </c>
      <c r="S1739" s="272">
        <f ca="1">IF(D1739="","",IF(OFFSET(D1739,-1,0)&lt;&gt;"","",IF(OR(J1739="リード付け",J1739="巻足し",J1739="巻返しリード付け"),M1739,VLOOKUP(D1739,契約台帳!$A$3:$O$4986,15,FALSE))))</f>
        <v>1000</v>
      </c>
      <c r="T1739" s="273">
        <f ca="1">IF(D1739="","",IF(J1739="リード付け",N1739,IF(J1739="巻返しリード付け",N1739,IF(J1739="巻足し",N1739*P1739+OFFSET(N1739,1,0)*OFFSET(P1739,1,0),VLOOKUP(D1739,契約台帳!$A$3:$P$4986,16,FALSE)))))</f>
        <v>2000</v>
      </c>
      <c r="U1739" s="40">
        <v>2</v>
      </c>
      <c r="V1739" s="274">
        <f ca="1">IF(D1739="","",IF(OFFSET(D1739,-2,0)=D1739,"",VLOOKUP(D1739,契約台帳!$A$3:$R$4986,18,FALSE)))</f>
        <v>2</v>
      </c>
      <c r="W1739" s="269" t="str">
        <f ca="1">IF(D1739="","",IF(T1739="","",IF(OR(J1739="巻足し",J1739="巻返しリード付け"),"",IF(J1739="巻返し",VLOOKUP(F1739&amp;K1739&amp;M1739,製品マスタ!$M$5:$AD$5002,18,FALSE),IF(OR(J1739="リード付け",J1739="巻返しリード付け"),"原反コア",IF(J1739="スリット",VLOOKUP(F1739&amp;K1739&amp;R1739,製品マスタ!$N$5:$AD$5002,17,FALSE),""))))))</f>
        <v>6ｲﾝﾁSｺｱ</v>
      </c>
      <c r="X1739" s="269">
        <f ca="1">IF(D1739="","",IF(T1739="","",IF(J1739="巻足し","",IF(J1739="巻返し",VLOOKUP(F1739&amp;K1739&amp;M1739,製品マスタ!$M$5:$AE$5002,19,FALSE),IF(OR(J1739="リード付け",J1739="巻返しリード付け"),"",IF(J1739="スリット",VLOOKUP(F1739&amp;K1739&amp;R1739,製品マスタ!$N$5:$AE$5002,18,FALSE),""))))))</f>
        <v>1015</v>
      </c>
      <c r="Y1739" s="275">
        <f ca="1">IF(D1739="","",IF(T1739="","",VLOOKUP(D1739,契約台帳!$A$3:$Q$4986,17,FALSE)))</f>
        <v>2</v>
      </c>
      <c r="Z1739" s="269" t="str">
        <f ca="1">IF(D1739="","",IF(T1739="","",VLOOKUP(D1739,契約台帳!$A$3:$E$4986,5,FALSE)))</f>
        <v>リンテック㈱</v>
      </c>
      <c r="AA1739" s="57"/>
      <c r="AB1739" s="303" t="s">
        <v>774</v>
      </c>
      <c r="AC1739" s="33"/>
      <c r="AD1739" s="189"/>
      <c r="AE1739" s="54"/>
      <c r="AF1739" s="55"/>
      <c r="AG1739" s="43"/>
      <c r="AH1739" s="47"/>
      <c r="AI1739" s="30"/>
      <c r="AJ1739" s="30"/>
      <c r="AK1739" s="30"/>
      <c r="AL1739" s="30"/>
      <c r="AM1739" s="13"/>
      <c r="AN1739" s="13"/>
      <c r="AO1739" s="13"/>
      <c r="AP1739" s="13"/>
      <c r="AQ1739" s="13"/>
      <c r="AR1739" s="14"/>
      <c r="AS1739" s="15"/>
    </row>
    <row r="1740" spans="1:45" s="17" customFormat="1" ht="30.95" hidden="1" customHeight="1" x14ac:dyDescent="0.2">
      <c r="A1740" s="37"/>
      <c r="B1740" s="38"/>
      <c r="C1740" s="45"/>
      <c r="D1740" s="31"/>
      <c r="E1740" s="31"/>
      <c r="F1740" s="268"/>
      <c r="G1740" s="269"/>
      <c r="H1740" s="269"/>
      <c r="I1740" s="270"/>
      <c r="J1740" s="210"/>
      <c r="K1740" s="270"/>
      <c r="L1740" s="270"/>
      <c r="M1740" s="39"/>
      <c r="N1740" s="39"/>
      <c r="O1740" s="156"/>
      <c r="P1740" s="47"/>
      <c r="Q1740" s="57"/>
      <c r="R1740" s="338"/>
      <c r="S1740" s="272"/>
      <c r="T1740" s="273"/>
      <c r="U1740" s="40"/>
      <c r="V1740" s="277"/>
      <c r="W1740" s="269"/>
      <c r="X1740" s="269"/>
      <c r="Y1740" s="275"/>
      <c r="Z1740" s="269"/>
      <c r="AA1740" s="57"/>
      <c r="AB1740" s="207"/>
      <c r="AC1740" s="33"/>
      <c r="AD1740" s="189"/>
      <c r="AE1740" s="54"/>
      <c r="AF1740" s="55"/>
      <c r="AG1740" s="43"/>
      <c r="AH1740" s="47"/>
      <c r="AI1740" s="30"/>
      <c r="AJ1740" s="30"/>
      <c r="AK1740" s="30"/>
      <c r="AL1740" s="30"/>
      <c r="AM1740" s="13"/>
      <c r="AN1740" s="13"/>
      <c r="AO1740" s="13"/>
      <c r="AP1740" s="13"/>
      <c r="AQ1740" s="13"/>
      <c r="AR1740" s="14"/>
      <c r="AS1740" s="15"/>
    </row>
    <row r="1741" spans="1:45" s="337" customFormat="1" ht="30.95" hidden="1" customHeight="1" x14ac:dyDescent="0.2">
      <c r="A1741" s="320"/>
      <c r="B1741" s="321"/>
      <c r="C1741" s="322"/>
      <c r="D1741" s="279" t="s">
        <v>1276</v>
      </c>
      <c r="E1741" s="430" t="s">
        <v>1277</v>
      </c>
      <c r="F1741" s="362" t="s">
        <v>1304</v>
      </c>
      <c r="G1741" s="363" t="s">
        <v>269</v>
      </c>
      <c r="H1741" s="363" t="s">
        <v>319</v>
      </c>
      <c r="I1741" s="207" t="s">
        <v>2353</v>
      </c>
      <c r="J1741" s="325" t="s">
        <v>447</v>
      </c>
      <c r="K1741" s="207">
        <v>50</v>
      </c>
      <c r="L1741" s="207" t="s">
        <v>831</v>
      </c>
      <c r="M1741" s="326">
        <v>1030</v>
      </c>
      <c r="N1741" s="326">
        <v>8200</v>
      </c>
      <c r="O1741" s="327">
        <v>1</v>
      </c>
      <c r="P1741" s="175">
        <v>1</v>
      </c>
      <c r="Q1741" s="329"/>
      <c r="R1741" s="431">
        <v>1000</v>
      </c>
      <c r="S1741" s="432">
        <v>1000</v>
      </c>
      <c r="T1741" s="432">
        <v>500</v>
      </c>
      <c r="U1741" s="183">
        <v>1</v>
      </c>
      <c r="V1741" s="433">
        <v>1</v>
      </c>
      <c r="W1741" s="363" t="s">
        <v>928</v>
      </c>
      <c r="X1741" s="363" t="s">
        <v>928</v>
      </c>
      <c r="Y1741" s="363">
        <v>2</v>
      </c>
      <c r="Z1741" s="363" t="s">
        <v>116</v>
      </c>
      <c r="AA1741" s="329"/>
      <c r="AB1741" s="207" t="s">
        <v>2352</v>
      </c>
      <c r="AC1741" s="330"/>
      <c r="AD1741" s="331"/>
      <c r="AE1741" s="332"/>
      <c r="AF1741" s="216"/>
      <c r="AG1741" s="328"/>
      <c r="AH1741" s="175"/>
      <c r="AI1741" s="333"/>
      <c r="AJ1741" s="333"/>
      <c r="AK1741" s="333"/>
      <c r="AL1741" s="333"/>
      <c r="AM1741" s="334"/>
      <c r="AN1741" s="334"/>
      <c r="AO1741" s="334"/>
      <c r="AP1741" s="334"/>
      <c r="AQ1741" s="334"/>
      <c r="AR1741" s="335"/>
      <c r="AS1741" s="336"/>
    </row>
    <row r="1742" spans="1:45" s="337" customFormat="1" ht="30.95" hidden="1" customHeight="1" x14ac:dyDescent="0.2">
      <c r="A1742" s="320"/>
      <c r="B1742" s="321"/>
      <c r="C1742" s="322"/>
      <c r="D1742" s="279" t="s">
        <v>1276</v>
      </c>
      <c r="E1742" s="430" t="s">
        <v>1277</v>
      </c>
      <c r="F1742" s="362" t="s">
        <v>1304</v>
      </c>
      <c r="G1742" s="363" t="s">
        <v>269</v>
      </c>
      <c r="H1742" s="363" t="s">
        <v>322</v>
      </c>
      <c r="I1742" s="207" t="s">
        <v>2354</v>
      </c>
      <c r="J1742" s="325" t="s">
        <v>447</v>
      </c>
      <c r="K1742" s="207">
        <v>50</v>
      </c>
      <c r="L1742" s="207" t="s">
        <v>831</v>
      </c>
      <c r="M1742" s="326">
        <v>1030</v>
      </c>
      <c r="N1742" s="326"/>
      <c r="O1742" s="327"/>
      <c r="P1742" s="175"/>
      <c r="Q1742" s="329"/>
      <c r="R1742" s="431">
        <v>1000</v>
      </c>
      <c r="S1742" s="432">
        <v>1000</v>
      </c>
      <c r="T1742" s="432">
        <v>500</v>
      </c>
      <c r="U1742" s="183">
        <v>1</v>
      </c>
      <c r="V1742" s="433">
        <v>1</v>
      </c>
      <c r="W1742" s="363" t="s">
        <v>928</v>
      </c>
      <c r="X1742" s="363" t="s">
        <v>928</v>
      </c>
      <c r="Y1742" s="363">
        <v>2</v>
      </c>
      <c r="Z1742" s="363" t="s">
        <v>116</v>
      </c>
      <c r="AA1742" s="329"/>
      <c r="AB1742" s="207" t="s">
        <v>2352</v>
      </c>
      <c r="AC1742" s="330"/>
      <c r="AD1742" s="331"/>
      <c r="AE1742" s="332"/>
      <c r="AF1742" s="216"/>
      <c r="AG1742" s="328"/>
      <c r="AH1742" s="175"/>
      <c r="AI1742" s="333"/>
      <c r="AJ1742" s="333"/>
      <c r="AK1742" s="333"/>
      <c r="AL1742" s="333"/>
      <c r="AM1742" s="334"/>
      <c r="AN1742" s="334"/>
      <c r="AO1742" s="334"/>
      <c r="AP1742" s="334"/>
      <c r="AQ1742" s="334"/>
      <c r="AR1742" s="335"/>
      <c r="AS1742" s="336"/>
    </row>
    <row r="1743" spans="1:45" s="17" customFormat="1" ht="30.95" hidden="1" customHeight="1" x14ac:dyDescent="0.2">
      <c r="A1743" s="37"/>
      <c r="B1743" s="38"/>
      <c r="C1743" s="45"/>
      <c r="D1743" s="31"/>
      <c r="E1743" s="31"/>
      <c r="F1743" s="268"/>
      <c r="G1743" s="269"/>
      <c r="H1743" s="269"/>
      <c r="I1743" s="270"/>
      <c r="J1743" s="210"/>
      <c r="K1743" s="270"/>
      <c r="L1743" s="270"/>
      <c r="M1743" s="39"/>
      <c r="N1743" s="39"/>
      <c r="O1743" s="156"/>
      <c r="P1743" s="47"/>
      <c r="Q1743" s="57"/>
      <c r="R1743" s="338"/>
      <c r="S1743" s="272"/>
      <c r="T1743" s="273"/>
      <c r="U1743" s="40"/>
      <c r="V1743" s="277"/>
      <c r="W1743" s="269"/>
      <c r="X1743" s="269"/>
      <c r="Y1743" s="275"/>
      <c r="Z1743" s="269"/>
      <c r="AA1743" s="57"/>
      <c r="AB1743" s="207"/>
      <c r="AC1743" s="33"/>
      <c r="AD1743" s="189"/>
      <c r="AE1743" s="54"/>
      <c r="AF1743" s="55"/>
      <c r="AG1743" s="43"/>
      <c r="AH1743" s="47"/>
      <c r="AI1743" s="30"/>
      <c r="AJ1743" s="30"/>
      <c r="AK1743" s="30"/>
      <c r="AL1743" s="30"/>
      <c r="AM1743" s="13"/>
      <c r="AN1743" s="13"/>
      <c r="AO1743" s="13"/>
      <c r="AP1743" s="13"/>
      <c r="AQ1743" s="13"/>
      <c r="AR1743" s="14"/>
      <c r="AS1743" s="15"/>
    </row>
    <row r="1744" spans="1:45" s="17" customFormat="1" ht="30.95" hidden="1" customHeight="1" x14ac:dyDescent="0.2">
      <c r="A1744" s="37"/>
      <c r="B1744" s="38"/>
      <c r="C1744" s="45"/>
      <c r="D1744" s="31"/>
      <c r="E1744" s="31"/>
      <c r="F1744" s="268"/>
      <c r="G1744" s="269"/>
      <c r="H1744" s="269"/>
      <c r="I1744" s="270"/>
      <c r="J1744" s="210" t="s">
        <v>490</v>
      </c>
      <c r="K1744" s="270"/>
      <c r="L1744" s="270"/>
      <c r="M1744" s="39"/>
      <c r="N1744" s="39"/>
      <c r="O1744" s="156"/>
      <c r="P1744" s="47"/>
      <c r="Q1744" s="57"/>
      <c r="R1744" s="338"/>
      <c r="S1744" s="272"/>
      <c r="T1744" s="273"/>
      <c r="U1744" s="40"/>
      <c r="V1744" s="277"/>
      <c r="W1744" s="269"/>
      <c r="X1744" s="269"/>
      <c r="Y1744" s="275"/>
      <c r="Z1744" s="269"/>
      <c r="AA1744" s="57"/>
      <c r="AB1744" s="207"/>
      <c r="AC1744" s="33"/>
      <c r="AD1744" s="189"/>
      <c r="AE1744" s="54"/>
      <c r="AF1744" s="55"/>
      <c r="AG1744" s="43"/>
      <c r="AH1744" s="47"/>
      <c r="AI1744" s="30"/>
      <c r="AJ1744" s="30"/>
      <c r="AK1744" s="30"/>
      <c r="AL1744" s="30"/>
      <c r="AM1744" s="13"/>
      <c r="AN1744" s="13"/>
      <c r="AO1744" s="13"/>
      <c r="AP1744" s="13"/>
      <c r="AQ1744" s="13"/>
      <c r="AR1744" s="14"/>
      <c r="AS1744" s="15"/>
    </row>
    <row r="1745" spans="1:45" s="17" customFormat="1" ht="30.95" hidden="1" customHeight="1" x14ac:dyDescent="0.2">
      <c r="A1745" s="37"/>
      <c r="B1745" s="38"/>
      <c r="C1745" s="45"/>
      <c r="D1745" s="31"/>
      <c r="E1745" s="31"/>
      <c r="F1745" s="268"/>
      <c r="G1745" s="269"/>
      <c r="H1745" s="269"/>
      <c r="I1745" s="270"/>
      <c r="J1745" s="210"/>
      <c r="K1745" s="270"/>
      <c r="L1745" s="270"/>
      <c r="M1745" s="39"/>
      <c r="N1745" s="39"/>
      <c r="O1745" s="156"/>
      <c r="P1745" s="47"/>
      <c r="Q1745" s="57"/>
      <c r="R1745" s="338"/>
      <c r="S1745" s="272"/>
      <c r="T1745" s="273"/>
      <c r="U1745" s="40"/>
      <c r="V1745" s="277"/>
      <c r="W1745" s="269"/>
      <c r="X1745" s="269"/>
      <c r="Y1745" s="275"/>
      <c r="Z1745" s="269"/>
      <c r="AA1745" s="57"/>
      <c r="AB1745" s="207"/>
      <c r="AC1745" s="33"/>
      <c r="AD1745" s="189"/>
      <c r="AE1745" s="54"/>
      <c r="AF1745" s="55"/>
      <c r="AG1745" s="43"/>
      <c r="AH1745" s="47"/>
      <c r="AI1745" s="30"/>
      <c r="AJ1745" s="30"/>
      <c r="AK1745" s="30"/>
      <c r="AL1745" s="30"/>
      <c r="AM1745" s="13"/>
      <c r="AN1745" s="13"/>
      <c r="AO1745" s="13"/>
      <c r="AP1745" s="13"/>
      <c r="AQ1745" s="13"/>
      <c r="AR1745" s="14"/>
      <c r="AS1745" s="15"/>
    </row>
    <row r="1746" spans="1:45" s="17" customFormat="1" ht="30.95" hidden="1" customHeight="1" x14ac:dyDescent="0.2">
      <c r="A1746" s="37" t="s">
        <v>2314</v>
      </c>
      <c r="B1746" s="38" t="s">
        <v>2307</v>
      </c>
      <c r="C1746" s="45"/>
      <c r="D1746" s="31"/>
      <c r="E1746" s="31"/>
      <c r="F1746" s="268"/>
      <c r="G1746" s="269"/>
      <c r="H1746" s="269"/>
      <c r="I1746" s="270"/>
      <c r="J1746" s="210" t="s">
        <v>2315</v>
      </c>
      <c r="K1746" s="270"/>
      <c r="L1746" s="270"/>
      <c r="M1746" s="39"/>
      <c r="N1746" s="39"/>
      <c r="O1746" s="156"/>
      <c r="P1746" s="47"/>
      <c r="Q1746" s="57"/>
      <c r="R1746" s="338"/>
      <c r="S1746" s="272"/>
      <c r="T1746" s="273"/>
      <c r="U1746" s="40"/>
      <c r="V1746" s="277"/>
      <c r="W1746" s="269"/>
      <c r="X1746" s="269"/>
      <c r="Y1746" s="275"/>
      <c r="Z1746" s="269"/>
      <c r="AA1746" s="57"/>
      <c r="AB1746" s="207"/>
      <c r="AC1746" s="33"/>
      <c r="AD1746" s="189"/>
      <c r="AE1746" s="54"/>
      <c r="AF1746" s="55"/>
      <c r="AG1746" s="43"/>
      <c r="AH1746" s="47"/>
      <c r="AI1746" s="30"/>
      <c r="AJ1746" s="30"/>
      <c r="AK1746" s="30"/>
      <c r="AL1746" s="30"/>
      <c r="AM1746" s="13"/>
      <c r="AN1746" s="13"/>
      <c r="AO1746" s="13"/>
      <c r="AP1746" s="13"/>
      <c r="AQ1746" s="13"/>
      <c r="AR1746" s="14"/>
      <c r="AS1746" s="15"/>
    </row>
    <row r="1747" spans="1:45" s="17" customFormat="1" ht="30.95" hidden="1" customHeight="1" x14ac:dyDescent="0.2">
      <c r="A1747" s="37"/>
      <c r="B1747" s="38"/>
      <c r="C1747" s="45"/>
      <c r="D1747" s="31"/>
      <c r="E1747" s="31"/>
      <c r="F1747" s="268"/>
      <c r="G1747" s="269"/>
      <c r="H1747" s="269"/>
      <c r="I1747" s="270"/>
      <c r="J1747" s="210"/>
      <c r="K1747" s="270"/>
      <c r="L1747" s="270"/>
      <c r="M1747" s="39"/>
      <c r="N1747" s="39"/>
      <c r="O1747" s="156"/>
      <c r="P1747" s="47"/>
      <c r="Q1747" s="57"/>
      <c r="R1747" s="338"/>
      <c r="S1747" s="272"/>
      <c r="T1747" s="273"/>
      <c r="U1747" s="40"/>
      <c r="V1747" s="277"/>
      <c r="W1747" s="269"/>
      <c r="X1747" s="269"/>
      <c r="Y1747" s="275"/>
      <c r="Z1747" s="269"/>
      <c r="AA1747" s="57"/>
      <c r="AB1747" s="207"/>
      <c r="AC1747" s="33"/>
      <c r="AD1747" s="189"/>
      <c r="AE1747" s="54"/>
      <c r="AF1747" s="55"/>
      <c r="AG1747" s="43"/>
      <c r="AH1747" s="47"/>
      <c r="AI1747" s="30"/>
      <c r="AJ1747" s="30"/>
      <c r="AK1747" s="30"/>
      <c r="AL1747" s="30"/>
      <c r="AM1747" s="13"/>
      <c r="AN1747" s="13"/>
      <c r="AO1747" s="13"/>
      <c r="AP1747" s="13"/>
      <c r="AQ1747" s="13"/>
      <c r="AR1747" s="14"/>
      <c r="AS1747" s="15"/>
    </row>
    <row r="1748" spans="1:45" s="17" customFormat="1" ht="30.95" hidden="1" customHeight="1" x14ac:dyDescent="0.2">
      <c r="A1748" s="37" t="s">
        <v>2316</v>
      </c>
      <c r="B1748" s="38" t="s">
        <v>2309</v>
      </c>
      <c r="C1748" s="45"/>
      <c r="D1748" s="31"/>
      <c r="E1748" s="31"/>
      <c r="F1748" s="268"/>
      <c r="G1748" s="269"/>
      <c r="H1748" s="269"/>
      <c r="I1748" s="270"/>
      <c r="J1748" s="210" t="s">
        <v>489</v>
      </c>
      <c r="K1748" s="270"/>
      <c r="L1748" s="270"/>
      <c r="M1748" s="39"/>
      <c r="N1748" s="39"/>
      <c r="O1748" s="156"/>
      <c r="P1748" s="47"/>
      <c r="Q1748" s="57"/>
      <c r="R1748" s="338"/>
      <c r="S1748" s="272"/>
      <c r="T1748" s="273"/>
      <c r="U1748" s="40"/>
      <c r="V1748" s="277"/>
      <c r="W1748" s="269"/>
      <c r="X1748" s="269"/>
      <c r="Y1748" s="275"/>
      <c r="Z1748" s="269"/>
      <c r="AA1748" s="57"/>
      <c r="AB1748" s="207"/>
      <c r="AC1748" s="33"/>
      <c r="AD1748" s="189"/>
      <c r="AE1748" s="54"/>
      <c r="AF1748" s="55"/>
      <c r="AG1748" s="43"/>
      <c r="AH1748" s="47"/>
      <c r="AI1748" s="30"/>
      <c r="AJ1748" s="30"/>
      <c r="AK1748" s="30"/>
      <c r="AL1748" s="30"/>
      <c r="AM1748" s="13"/>
      <c r="AN1748" s="13"/>
      <c r="AO1748" s="13"/>
      <c r="AP1748" s="13"/>
      <c r="AQ1748" s="13"/>
      <c r="AR1748" s="14"/>
      <c r="AS1748" s="15"/>
    </row>
    <row r="1749" spans="1:45" s="17" customFormat="1" ht="30.95" hidden="1" customHeight="1" x14ac:dyDescent="0.2">
      <c r="A1749" s="37"/>
      <c r="B1749" s="38"/>
      <c r="C1749" s="45"/>
      <c r="D1749" s="31"/>
      <c r="E1749" s="31"/>
      <c r="F1749" s="268"/>
      <c r="G1749" s="269"/>
      <c r="H1749" s="269"/>
      <c r="I1749" s="270"/>
      <c r="J1749" s="210"/>
      <c r="K1749" s="270"/>
      <c r="L1749" s="270"/>
      <c r="M1749" s="39"/>
      <c r="N1749" s="39"/>
      <c r="O1749" s="156"/>
      <c r="P1749" s="47"/>
      <c r="Q1749" s="57"/>
      <c r="R1749" s="338"/>
      <c r="S1749" s="272"/>
      <c r="T1749" s="273"/>
      <c r="U1749" s="40"/>
      <c r="V1749" s="277"/>
      <c r="W1749" s="269"/>
      <c r="X1749" s="269"/>
      <c r="Y1749" s="275"/>
      <c r="Z1749" s="269"/>
      <c r="AA1749" s="57"/>
      <c r="AB1749" s="207"/>
      <c r="AC1749" s="33"/>
      <c r="AD1749" s="189"/>
      <c r="AE1749" s="54"/>
      <c r="AF1749" s="55"/>
      <c r="AG1749" s="43"/>
      <c r="AH1749" s="47"/>
      <c r="AI1749" s="30"/>
      <c r="AJ1749" s="30"/>
      <c r="AK1749" s="30"/>
      <c r="AL1749" s="30"/>
      <c r="AM1749" s="13"/>
      <c r="AN1749" s="13"/>
      <c r="AO1749" s="13"/>
      <c r="AP1749" s="13"/>
      <c r="AQ1749" s="13"/>
      <c r="AR1749" s="14"/>
      <c r="AS1749" s="15"/>
    </row>
    <row r="1750" spans="1:45" s="17" customFormat="1" ht="30.95" hidden="1" customHeight="1" x14ac:dyDescent="0.2">
      <c r="A1750" s="37" t="s">
        <v>2317</v>
      </c>
      <c r="B1750" s="38" t="s">
        <v>2310</v>
      </c>
      <c r="C1750" s="45"/>
      <c r="D1750" s="31"/>
      <c r="E1750" s="31"/>
      <c r="F1750" s="268"/>
      <c r="G1750" s="269"/>
      <c r="H1750" s="269"/>
      <c r="I1750" s="270"/>
      <c r="J1750" s="210" t="s">
        <v>489</v>
      </c>
      <c r="K1750" s="270"/>
      <c r="L1750" s="270"/>
      <c r="M1750" s="39"/>
      <c r="N1750" s="39"/>
      <c r="O1750" s="156"/>
      <c r="P1750" s="47"/>
      <c r="Q1750" s="57"/>
      <c r="R1750" s="338"/>
      <c r="S1750" s="272"/>
      <c r="T1750" s="273"/>
      <c r="U1750" s="40"/>
      <c r="V1750" s="277"/>
      <c r="W1750" s="269"/>
      <c r="X1750" s="269"/>
      <c r="Y1750" s="275"/>
      <c r="Z1750" s="269"/>
      <c r="AA1750" s="57"/>
      <c r="AB1750" s="207"/>
      <c r="AC1750" s="33"/>
      <c r="AD1750" s="189"/>
      <c r="AE1750" s="54"/>
      <c r="AF1750" s="55"/>
      <c r="AG1750" s="43"/>
      <c r="AH1750" s="47"/>
      <c r="AI1750" s="30"/>
      <c r="AJ1750" s="30"/>
      <c r="AK1750" s="30"/>
      <c r="AL1750" s="30"/>
      <c r="AM1750" s="13"/>
      <c r="AN1750" s="13"/>
      <c r="AO1750" s="13"/>
      <c r="AP1750" s="13"/>
      <c r="AQ1750" s="13"/>
      <c r="AR1750" s="14"/>
      <c r="AS1750" s="15"/>
    </row>
    <row r="1751" spans="1:45" s="17" customFormat="1" ht="30.95" hidden="1" customHeight="1" x14ac:dyDescent="0.2">
      <c r="A1751" s="37"/>
      <c r="B1751" s="38"/>
      <c r="C1751" s="45"/>
      <c r="D1751" s="31"/>
      <c r="E1751" s="31"/>
      <c r="F1751" s="268"/>
      <c r="G1751" s="269"/>
      <c r="H1751" s="269"/>
      <c r="I1751" s="270"/>
      <c r="J1751" s="210"/>
      <c r="K1751" s="270"/>
      <c r="L1751" s="270"/>
      <c r="M1751" s="39"/>
      <c r="N1751" s="39"/>
      <c r="O1751" s="156"/>
      <c r="P1751" s="47"/>
      <c r="Q1751" s="57"/>
      <c r="R1751" s="338"/>
      <c r="S1751" s="272"/>
      <c r="T1751" s="273"/>
      <c r="U1751" s="40"/>
      <c r="V1751" s="277"/>
      <c r="W1751" s="269"/>
      <c r="X1751" s="269"/>
      <c r="Y1751" s="275"/>
      <c r="Z1751" s="269"/>
      <c r="AA1751" s="57"/>
      <c r="AB1751" s="207"/>
      <c r="AC1751" s="33"/>
      <c r="AD1751" s="189"/>
      <c r="AE1751" s="54"/>
      <c r="AF1751" s="55"/>
      <c r="AG1751" s="43"/>
      <c r="AH1751" s="47"/>
      <c r="AI1751" s="30"/>
      <c r="AJ1751" s="30"/>
      <c r="AK1751" s="30"/>
      <c r="AL1751" s="30"/>
      <c r="AM1751" s="13"/>
      <c r="AN1751" s="13"/>
      <c r="AO1751" s="13"/>
      <c r="AP1751" s="13"/>
      <c r="AQ1751" s="13"/>
      <c r="AR1751" s="14"/>
      <c r="AS1751" s="15"/>
    </row>
    <row r="1752" spans="1:45" s="17" customFormat="1" ht="30.6" hidden="1" customHeight="1" x14ac:dyDescent="0.2">
      <c r="A1752" s="37" t="s">
        <v>975</v>
      </c>
      <c r="B1752" s="38" t="s">
        <v>442</v>
      </c>
      <c r="C1752" s="45"/>
      <c r="D1752" s="31">
        <v>3750059</v>
      </c>
      <c r="E1752" s="31">
        <v>4162284</v>
      </c>
      <c r="F1752" s="268" t="str">
        <f>IF(D1752="","",VLOOKUP(D1752,契約台帳!$A$3:$K$4986,6,FALSE)&amp;VLOOKUP(D1752,契約台帳!$A$3:$K$4986,7,FALSE)&amp;VLOOKUP(D1752,契約台帳!$A$3:$K$4986,8,FALSE)&amp;VLOOKUP(D1752,契約台帳!$A$3:$K$4986,9,FALSE)&amp;VLOOKUP(D1752,契約台帳!$A$3:$K$4986,11,FALSE))</f>
        <v>3SNMLBMTSF</v>
      </c>
      <c r="G1752" s="269" t="str">
        <f>IF(D1752="","",VLOOKUP(F1752,製品マスタ!$G$5:$H$5002,2,FALSE))</f>
        <v>S</v>
      </c>
      <c r="H1752" s="269" t="str">
        <f>IF(D1752="","",VLOOKUP(F1752,製品マスタ!$G$5:$K$5002,5,FALSE))</f>
        <v>MTSF</v>
      </c>
      <c r="I1752" s="270" t="str">
        <f>IF(D1752="","",VLOOKUP(F1752,製品マスタ!$G$5:$L$5002,6,FALSE))</f>
        <v>メタルミー　ＴＳ</v>
      </c>
      <c r="J1752" s="210" t="s">
        <v>935</v>
      </c>
      <c r="K1752" s="270">
        <f>IF(D1752="","",VLOOKUP(D1752,契約台帳!$A$3:$L$4986,12,FALSE))</f>
        <v>50</v>
      </c>
      <c r="L1752" s="270" t="str">
        <f>IF(D1752="","",INDEX(製品マスタ!$Q$5:$Q$5002,MATCH('S4'!F1752&amp;'S4'!K1752,製品マスタ!$AO$5:$AO$5002,0)))</f>
        <v>T62M</v>
      </c>
      <c r="M1752" s="39">
        <v>1255</v>
      </c>
      <c r="N1752" s="39">
        <v>6100</v>
      </c>
      <c r="O1752" s="156">
        <v>2</v>
      </c>
      <c r="P1752" s="47">
        <v>2</v>
      </c>
      <c r="Q1752" s="213">
        <v>45377</v>
      </c>
      <c r="R1752" s="271">
        <f ca="1">IF(D1752="","",IF(OFFSET(D1752,-1,0)&lt;&gt;"","",IF(OR(J1752="リード付け",J1752="巻足し",J1752="巻返しリード付け"),M1752,VLOOKUP(D1752,契約台帳!$A$3:$N$4986,14,FALSE))))</f>
        <v>1255</v>
      </c>
      <c r="S1752" s="272">
        <f ca="1">IF(D1752="","",IF(OFFSET(D1752,-1,0)&lt;&gt;"","",IF(OR(J1752="リード付け",J1752="巻足し",J1752="巻返しリード付け"),M1752,VLOOKUP(D1752,契約台帳!$A$3:$O$4986,15,FALSE))))</f>
        <v>1255</v>
      </c>
      <c r="T1752" s="273">
        <f ca="1">IF(D1752="","",IF(J1752="リード付け",N1752,IF(J1752="巻返しリード付け",N1752,IF(J1752="巻足し",N1752*P1752+OFFSET(N1752,1,0)*OFFSET(P1752,1,0),VLOOKUP(D1752,契約台帳!$A$3:$P$4986,16,FALSE)))))</f>
        <v>12200</v>
      </c>
      <c r="U1752" s="40">
        <v>1</v>
      </c>
      <c r="V1752" s="274">
        <f ca="1">IF(D1752="","",IF(OFFSET(D1752,-2,0)=D1752,"",VLOOKUP(D1752,契約台帳!$A$3:$R$4986,18,FALSE)))</f>
        <v>6</v>
      </c>
      <c r="W1752" s="269" t="str">
        <f ca="1">IF(D1752="","",IF(T1752="","",IF(OR(J1752="巻足し",J1752="巻返しリード付け"),"",IF(J1752="巻返し",VLOOKUP(F1752&amp;K1752&amp;M1752,製品マスタ!$M$5:$AD$5002,18,FALSE),IF(OR(J1752="リード付け",J1752="巻返しリード付け"),"原反コア",IF(J1752="スリット",VLOOKUP(F1752&amp;K1752&amp;R1752,製品マスタ!$N$5:$AD$5002,17,FALSE),""))))))</f>
        <v/>
      </c>
      <c r="X1752" s="269" t="str">
        <f ca="1">IF(D1752="","",IF(T1752="","",IF(J1752="巻足し","",IF(J1752="巻返し",VLOOKUP(F1752&amp;K1752&amp;M1752,製品マスタ!$M$5:$AE$5002,19,FALSE),IF(OR(J1752="リード付け",J1752="巻返しリード付け"),"",IF(J1752="スリット",VLOOKUP(F1752&amp;K1752&amp;R1752,製品マスタ!$N$5:$AE$5002,18,FALSE),""))))))</f>
        <v/>
      </c>
      <c r="Y1752" s="275">
        <f ca="1">IF(D1752="","",IF(T1752="","",VLOOKUP(D1752,契約台帳!$A$3:$Q$4986,17,FALSE)))</f>
        <v>2</v>
      </c>
      <c r="Z1752" s="269" t="str">
        <f ca="1">IF(D1752="","",IF(T1752="","",VLOOKUP(D1752,契約台帳!$A$3:$E$4986,5,FALSE)))</f>
        <v>日東電工㈱豊橋工場</v>
      </c>
      <c r="AA1752" s="57"/>
      <c r="AB1752" s="207">
        <f>IFERROR((VLOOKUP(F1752&amp;K1752&amp;M1752,製品マスタ!$M$5:$AM$5002,27,FALSE)),"")</f>
        <v>0</v>
      </c>
      <c r="AC1752" s="33"/>
      <c r="AD1752" s="189"/>
      <c r="AE1752" s="54"/>
      <c r="AF1752" s="55">
        <f>+M1752*N1752*O1752/1000</f>
        <v>15311</v>
      </c>
      <c r="AG1752" s="43"/>
      <c r="AH1752" s="47"/>
      <c r="AI1752" s="30"/>
      <c r="AJ1752" s="30"/>
      <c r="AK1752" s="30"/>
      <c r="AL1752" s="30"/>
      <c r="AM1752" s="13"/>
      <c r="AN1752" s="13"/>
      <c r="AO1752" s="13"/>
      <c r="AP1752" s="13"/>
      <c r="AQ1752" s="13"/>
      <c r="AR1752" s="14"/>
      <c r="AS1752" s="15"/>
    </row>
    <row r="1753" spans="1:45" s="17" customFormat="1" ht="30.95" hidden="1" customHeight="1" x14ac:dyDescent="0.2">
      <c r="A1753" s="37"/>
      <c r="B1753" s="38"/>
      <c r="C1753" s="45"/>
      <c r="D1753" s="31"/>
      <c r="E1753" s="31"/>
      <c r="F1753" s="268"/>
      <c r="G1753" s="269"/>
      <c r="H1753" s="269"/>
      <c r="I1753" s="270"/>
      <c r="J1753" s="210"/>
      <c r="K1753" s="270"/>
      <c r="L1753" s="270"/>
      <c r="M1753" s="39"/>
      <c r="N1753" s="39"/>
      <c r="O1753" s="156"/>
      <c r="P1753" s="47"/>
      <c r="Q1753" s="57"/>
      <c r="R1753" s="338"/>
      <c r="S1753" s="272"/>
      <c r="T1753" s="273"/>
      <c r="U1753" s="40"/>
      <c r="V1753" s="277"/>
      <c r="W1753" s="269"/>
      <c r="X1753" s="269"/>
      <c r="Y1753" s="275"/>
      <c r="Z1753" s="269"/>
      <c r="AA1753" s="57"/>
      <c r="AB1753" s="207"/>
      <c r="AC1753" s="33"/>
      <c r="AD1753" s="189"/>
      <c r="AE1753" s="54"/>
      <c r="AF1753" s="55"/>
      <c r="AG1753" s="43"/>
      <c r="AH1753" s="47"/>
      <c r="AI1753" s="30"/>
      <c r="AJ1753" s="30"/>
      <c r="AK1753" s="30"/>
      <c r="AL1753" s="30"/>
      <c r="AM1753" s="13"/>
      <c r="AN1753" s="13"/>
      <c r="AO1753" s="13"/>
      <c r="AP1753" s="13"/>
      <c r="AQ1753" s="13"/>
      <c r="AR1753" s="14"/>
      <c r="AS1753" s="15"/>
    </row>
    <row r="1754" spans="1:45" s="17" customFormat="1" ht="30.6" hidden="1" customHeight="1" x14ac:dyDescent="0.2">
      <c r="A1754" s="37"/>
      <c r="B1754" s="38"/>
      <c r="C1754" s="45"/>
      <c r="D1754" s="31">
        <v>3750061</v>
      </c>
      <c r="E1754" s="31">
        <v>4162257</v>
      </c>
      <c r="F1754" s="268" t="str">
        <f>IF(D1754="","",VLOOKUP(D1754,契約台帳!$A$3:$K$4986,6,FALSE)&amp;VLOOKUP(D1754,契約台帳!$A$3:$K$4986,7,FALSE)&amp;VLOOKUP(D1754,契約台帳!$A$3:$K$4986,8,FALSE)&amp;VLOOKUP(D1754,契約台帳!$A$3:$K$4986,9,FALSE)&amp;VLOOKUP(D1754,契約台帳!$A$3:$K$4986,11,FALSE))</f>
        <v>3XSNMCLBEYK</v>
      </c>
      <c r="G1754" s="269" t="str">
        <f>IF(D1754="","",VLOOKUP(F1754,製品マスタ!$G$5:$H$5002,2,FALSE))</f>
        <v>S</v>
      </c>
      <c r="H1754" s="269" t="str">
        <f>IF(D1754="","",VLOOKUP(F1754,製品マスタ!$G$5:$K$5002,5,FALSE))</f>
        <v>EYK</v>
      </c>
      <c r="I1754" s="270" t="str">
        <f>IF(D1754="","",VLOOKUP(F1754,製品マスタ!$G$5:$L$5002,6,FALSE))</f>
        <v>メタルミー　ＥＹＫ</v>
      </c>
      <c r="J1754" s="210" t="s">
        <v>935</v>
      </c>
      <c r="K1754" s="270">
        <f>IF(D1754="","",VLOOKUP(D1754,契約台帳!$A$3:$L$4986,12,FALSE))</f>
        <v>50</v>
      </c>
      <c r="L1754" s="270" t="str">
        <f>IF(D1754="","",INDEX(製品マスタ!$Q$5:$Q$5002,MATCH('S4'!F1754&amp;'S4'!K1754,製品マスタ!$AO$5:$AO$5002,0)))</f>
        <v>T62M</v>
      </c>
      <c r="M1754" s="39">
        <v>1195</v>
      </c>
      <c r="N1754" s="39">
        <v>6100</v>
      </c>
      <c r="O1754" s="156">
        <v>2</v>
      </c>
      <c r="P1754" s="47">
        <v>2</v>
      </c>
      <c r="Q1754" s="213">
        <v>45377</v>
      </c>
      <c r="R1754" s="271">
        <f ca="1">IF(D1754="","",IF(OFFSET(D1754,-1,0)&lt;&gt;"","",IF(OR(J1754="リード付け",J1754="巻足し",J1754="巻返しリード付け"),M1754,VLOOKUP(D1754,契約台帳!$A$3:$N$4986,14,FALSE))))</f>
        <v>1195</v>
      </c>
      <c r="S1754" s="272">
        <f ca="1">IF(D1754="","",IF(OFFSET(D1754,-1,0)&lt;&gt;"","",IF(OR(J1754="リード付け",J1754="巻足し",J1754="巻返しリード付け"),M1754,VLOOKUP(D1754,契約台帳!$A$3:$O$4986,15,FALSE))))</f>
        <v>1195</v>
      </c>
      <c r="T1754" s="273">
        <f ca="1">IF(D1754="","",IF(J1754="リード付け",N1754,IF(J1754="巻返しリード付け",N1754,IF(J1754="巻足し",N1754*P1754+OFFSET(N1754,1,0)*OFFSET(P1754,1,0),VLOOKUP(D1754,契約台帳!$A$3:$P$4986,16,FALSE)))))</f>
        <v>12200</v>
      </c>
      <c r="U1754" s="40">
        <v>1</v>
      </c>
      <c r="V1754" s="274">
        <f ca="1">IF(D1754="","",IF(OFFSET(D1754,-2,0)=D1754,"",VLOOKUP(D1754,契約台帳!$A$3:$R$4986,18,FALSE)))</f>
        <v>3</v>
      </c>
      <c r="W1754" s="269" t="str">
        <f ca="1">IF(D1754="","",IF(T1754="","",IF(OR(J1754="巻足し",J1754="巻返しリード付け"),"",IF(J1754="巻返し",VLOOKUP(F1754&amp;K1754&amp;M1754,製品マスタ!$M$5:$AD$5002,18,FALSE),IF(OR(J1754="リード付け",J1754="巻返しリード付け"),"原反コア",IF(J1754="スリット",VLOOKUP(F1754&amp;K1754&amp;R1754,製品マスタ!$N$5:$AD$5002,17,FALSE),""))))))</f>
        <v/>
      </c>
      <c r="X1754" s="269" t="str">
        <f ca="1">IF(D1754="","",IF(T1754="","",IF(J1754="巻足し","",IF(J1754="巻返し",VLOOKUP(F1754&amp;K1754&amp;M1754,製品マスタ!$M$5:$AE$5002,19,FALSE),IF(OR(J1754="リード付け",J1754="巻返しリード付け"),"",IF(J1754="スリット",VLOOKUP(F1754&amp;K1754&amp;R1754,製品マスタ!$N$5:$AE$5002,18,FALSE),""))))))</f>
        <v/>
      </c>
      <c r="Y1754" s="275">
        <f ca="1">IF(D1754="","",IF(T1754="","",VLOOKUP(D1754,契約台帳!$A$3:$Q$4986,17,FALSE)))</f>
        <v>2</v>
      </c>
      <c r="Z1754" s="269" t="str">
        <f ca="1">IF(D1754="","",IF(T1754="","",VLOOKUP(D1754,契約台帳!$A$3:$E$4986,5,FALSE)))</f>
        <v>新タック化成㈱</v>
      </c>
      <c r="AA1754" s="57"/>
      <c r="AB1754" s="207" t="str">
        <f>IFERROR((VLOOKUP(F1754&amp;K1754&amp;M1754,製品マスタ!$M$5:$AM$5002,27,FALSE)),"")</f>
        <v>原反ケース再利用</v>
      </c>
      <c r="AC1754" s="33"/>
      <c r="AD1754" s="189"/>
      <c r="AE1754" s="54"/>
      <c r="AF1754" s="55">
        <f>+M1754*N1754*O1754/1000</f>
        <v>14579</v>
      </c>
      <c r="AG1754" s="43"/>
      <c r="AH1754" s="47"/>
      <c r="AI1754" s="30"/>
      <c r="AJ1754" s="30"/>
      <c r="AK1754" s="30"/>
      <c r="AL1754" s="30"/>
      <c r="AM1754" s="13"/>
      <c r="AN1754" s="13"/>
      <c r="AO1754" s="13"/>
      <c r="AP1754" s="13"/>
      <c r="AQ1754" s="13"/>
      <c r="AR1754" s="14"/>
      <c r="AS1754" s="15"/>
    </row>
    <row r="1755" spans="1:45" s="17" customFormat="1" ht="30.95" hidden="1" customHeight="1" x14ac:dyDescent="0.2">
      <c r="A1755" s="37"/>
      <c r="B1755" s="38"/>
      <c r="C1755" s="45"/>
      <c r="D1755" s="31"/>
      <c r="E1755" s="31"/>
      <c r="F1755" s="268"/>
      <c r="G1755" s="269"/>
      <c r="H1755" s="269"/>
      <c r="I1755" s="270"/>
      <c r="J1755" s="210"/>
      <c r="K1755" s="270"/>
      <c r="L1755" s="270"/>
      <c r="M1755" s="39"/>
      <c r="N1755" s="39"/>
      <c r="O1755" s="156"/>
      <c r="P1755" s="47"/>
      <c r="Q1755" s="57"/>
      <c r="R1755" s="338"/>
      <c r="S1755" s="272"/>
      <c r="T1755" s="273"/>
      <c r="U1755" s="40"/>
      <c r="V1755" s="277"/>
      <c r="W1755" s="269"/>
      <c r="X1755" s="269"/>
      <c r="Y1755" s="275"/>
      <c r="Z1755" s="269"/>
      <c r="AA1755" s="57"/>
      <c r="AB1755" s="207"/>
      <c r="AC1755" s="33"/>
      <c r="AD1755" s="189"/>
      <c r="AE1755" s="54"/>
      <c r="AF1755" s="55"/>
      <c r="AG1755" s="43"/>
      <c r="AH1755" s="47"/>
      <c r="AI1755" s="30"/>
      <c r="AJ1755" s="30"/>
      <c r="AK1755" s="30"/>
      <c r="AL1755" s="30"/>
      <c r="AM1755" s="13"/>
      <c r="AN1755" s="13"/>
      <c r="AO1755" s="13"/>
      <c r="AP1755" s="13"/>
      <c r="AQ1755" s="13"/>
      <c r="AR1755" s="14"/>
      <c r="AS1755" s="15"/>
    </row>
    <row r="1756" spans="1:45" s="17" customFormat="1" ht="30.6" hidden="1" customHeight="1" x14ac:dyDescent="0.2">
      <c r="A1756" s="37"/>
      <c r="B1756" s="38"/>
      <c r="C1756" s="45"/>
      <c r="D1756" s="31">
        <v>3750061</v>
      </c>
      <c r="E1756" s="31">
        <v>4162257</v>
      </c>
      <c r="F1756" s="268" t="str">
        <f>IF(D1756="","",VLOOKUP(D1756,契約台帳!$A$3:$K$4986,6,FALSE)&amp;VLOOKUP(D1756,契約台帳!$A$3:$K$4986,7,FALSE)&amp;VLOOKUP(D1756,契約台帳!$A$3:$K$4986,8,FALSE)&amp;VLOOKUP(D1756,契約台帳!$A$3:$K$4986,9,FALSE)&amp;VLOOKUP(D1756,契約台帳!$A$3:$K$4986,11,FALSE))</f>
        <v>3XSNMCLBEYK</v>
      </c>
      <c r="G1756" s="269" t="str">
        <f>IF(D1756="","",VLOOKUP(F1756,製品マスタ!$G$5:$H$5002,2,FALSE))</f>
        <v>S</v>
      </c>
      <c r="H1756" s="269" t="str">
        <f>IF(D1756="","",VLOOKUP(F1756,製品マスタ!$G$5:$K$5002,5,FALSE))</f>
        <v>EYK</v>
      </c>
      <c r="I1756" s="270" t="str">
        <f>IF(D1756="","",VLOOKUP(F1756,製品マスタ!$G$5:$L$5002,6,FALSE))</f>
        <v>メタルミー　ＥＹＫ</v>
      </c>
      <c r="J1756" s="210" t="s">
        <v>935</v>
      </c>
      <c r="K1756" s="270">
        <f>IF(D1756="","",VLOOKUP(D1756,契約台帳!$A$3:$L$4986,12,FALSE))</f>
        <v>50</v>
      </c>
      <c r="L1756" s="270" t="str">
        <f>IF(D1756="","",INDEX(製品マスタ!$Q$5:$Q$5002,MATCH('S4'!F1756&amp;'S4'!K1756,製品マスタ!$AO$5:$AO$5002,0)))</f>
        <v>T62M</v>
      </c>
      <c r="M1756" s="39">
        <v>1195</v>
      </c>
      <c r="N1756" s="39">
        <v>6100</v>
      </c>
      <c r="O1756" s="156">
        <v>1</v>
      </c>
      <c r="P1756" s="47">
        <v>2</v>
      </c>
      <c r="Q1756" s="213">
        <v>45377</v>
      </c>
      <c r="R1756" s="271">
        <f ca="1">IF(D1756="","",IF(OFFSET(D1756,-1,0)&lt;&gt;"","",IF(OR(J1756="リード付け",J1756="巻足し",J1756="巻返しリード付け"),M1756,VLOOKUP(D1756,契約台帳!$A$3:$N$4986,14,FALSE))))</f>
        <v>1195</v>
      </c>
      <c r="S1756" s="272">
        <f ca="1">IF(D1756="","",IF(OFFSET(D1756,-1,0)&lt;&gt;"","",IF(OR(J1756="リード付け",J1756="巻足し",J1756="巻返しリード付け"),M1756,VLOOKUP(D1756,契約台帳!$A$3:$O$4986,15,FALSE))))</f>
        <v>1195</v>
      </c>
      <c r="T1756" s="273">
        <f ca="1">IF(D1756="","",IF(J1756="リード付け",N1756,IF(J1756="巻返しリード付け",N1756,IF(J1756="巻足し",N1756*P1756+OFFSET(N1756,1,0)*OFFSET(P1756,1,0),VLOOKUP(D1756,契約台帳!$A$3:$P$4986,16,FALSE)))))</f>
        <v>12200</v>
      </c>
      <c r="U1756" s="40">
        <v>1</v>
      </c>
      <c r="V1756" s="274" t="str">
        <f ca="1">IF(D1756="","",IF(OFFSET(D1756,-2,0)=D1756,"",VLOOKUP(D1756,契約台帳!$A$3:$R$4986,18,FALSE)))</f>
        <v/>
      </c>
      <c r="W1756" s="269" t="str">
        <f ca="1">IF(D1756="","",IF(T1756="","",IF(OR(J1756="巻足し",J1756="巻返しリード付け"),"",IF(J1756="巻返し",VLOOKUP(F1756&amp;K1756&amp;M1756,製品マスタ!$M$5:$AD$5002,18,FALSE),IF(OR(J1756="リード付け",J1756="巻返しリード付け"),"原反コア",IF(J1756="スリット",VLOOKUP(F1756&amp;K1756&amp;R1756,製品マスタ!$N$5:$AD$5002,17,FALSE),""))))))</f>
        <v/>
      </c>
      <c r="X1756" s="269" t="str">
        <f ca="1">IF(D1756="","",IF(T1756="","",IF(J1756="巻足し","",IF(J1756="巻返し",VLOOKUP(F1756&amp;K1756&amp;M1756,製品マスタ!$M$5:$AE$5002,19,FALSE),IF(OR(J1756="リード付け",J1756="巻返しリード付け"),"",IF(J1756="スリット",VLOOKUP(F1756&amp;K1756&amp;R1756,製品マスタ!$N$5:$AE$5002,18,FALSE),""))))))</f>
        <v/>
      </c>
      <c r="Y1756" s="275">
        <f ca="1">IF(D1756="","",IF(T1756="","",VLOOKUP(D1756,契約台帳!$A$3:$Q$4986,17,FALSE)))</f>
        <v>2</v>
      </c>
      <c r="Z1756" s="269" t="str">
        <f ca="1">IF(D1756="","",IF(T1756="","",VLOOKUP(D1756,契約台帳!$A$3:$E$4986,5,FALSE)))</f>
        <v>新タック化成㈱</v>
      </c>
      <c r="AA1756" s="57"/>
      <c r="AB1756" s="207" t="str">
        <f>IFERROR((VLOOKUP(F1756&amp;K1756&amp;M1756,製品マスタ!$M$5:$AM$5002,27,FALSE)),"")</f>
        <v>原反ケース再利用</v>
      </c>
      <c r="AC1756" s="33"/>
      <c r="AD1756" s="189"/>
      <c r="AE1756" s="54"/>
      <c r="AF1756" s="55">
        <f>+M1756*N1756*O1756/1000</f>
        <v>7289.5</v>
      </c>
      <c r="AG1756" s="43"/>
      <c r="AH1756" s="47"/>
      <c r="AI1756" s="30"/>
      <c r="AJ1756" s="30"/>
      <c r="AK1756" s="30"/>
      <c r="AL1756" s="30"/>
      <c r="AM1756" s="13"/>
      <c r="AN1756" s="13"/>
      <c r="AO1756" s="13"/>
      <c r="AP1756" s="13"/>
      <c r="AQ1756" s="13"/>
      <c r="AR1756" s="14"/>
      <c r="AS1756" s="15"/>
    </row>
    <row r="1757" spans="1:45" s="17" customFormat="1" ht="30.6" hidden="1" customHeight="1" x14ac:dyDescent="0.2">
      <c r="A1757" s="37"/>
      <c r="B1757" s="38"/>
      <c r="C1757" s="45"/>
      <c r="D1757" s="31">
        <v>3750062</v>
      </c>
      <c r="E1757" s="31"/>
      <c r="F1757" s="268" t="str">
        <f>IF(D1757="","",VLOOKUP(D1757,契約台帳!$A$3:$K$4986,6,FALSE)&amp;VLOOKUP(D1757,契約台帳!$A$3:$K$4986,7,FALSE)&amp;VLOOKUP(D1757,契約台帳!$A$3:$K$4986,8,FALSE)&amp;VLOOKUP(D1757,契約台帳!$A$3:$K$4986,9,FALSE)&amp;VLOOKUP(D1757,契約台帳!$A$3:$K$4986,11,FALSE))</f>
        <v>3XSNMCLBEYK</v>
      </c>
      <c r="G1757" s="269" t="str">
        <f>IF(D1757="","",VLOOKUP(F1757,製品マスタ!$G$5:$H$5002,2,FALSE))</f>
        <v>S</v>
      </c>
      <c r="H1757" s="269" t="str">
        <f>IF(D1757="","",VLOOKUP(F1757,製品マスタ!$G$5:$K$5002,5,FALSE))</f>
        <v>EYK</v>
      </c>
      <c r="I1757" s="270" t="str">
        <f>IF(D1757="","",VLOOKUP(F1757,製品マスタ!$G$5:$L$5002,6,FALSE))</f>
        <v>メタルミー　ＥＹＫ</v>
      </c>
      <c r="J1757" s="210" t="s">
        <v>935</v>
      </c>
      <c r="K1757" s="270">
        <f>IF(D1757="","",VLOOKUP(D1757,契約台帳!$A$3:$L$4986,12,FALSE))</f>
        <v>50</v>
      </c>
      <c r="L1757" s="270" t="str">
        <f>IF(D1757="","",INDEX(製品マスタ!$Q$5:$Q$5002,MATCH('S4'!F1757&amp;'S4'!K1757,製品マスタ!$AO$5:$AO$5002,0)))</f>
        <v>T62M</v>
      </c>
      <c r="M1757" s="39">
        <v>1195</v>
      </c>
      <c r="N1757" s="39">
        <v>6100</v>
      </c>
      <c r="O1757" s="156">
        <v>1</v>
      </c>
      <c r="P1757" s="47"/>
      <c r="Q1757" s="213">
        <v>45377</v>
      </c>
      <c r="R1757" s="271" t="str">
        <f ca="1">IF(D1757="","",IF(OFFSET(D1757,-1,0)&lt;&gt;"","",IF(OR(J1757="リード付け",J1757="巻足し",J1757="巻返しリード付け"),M1757,VLOOKUP(D1757,契約台帳!$A$3:$N$4986,14,FALSE))))</f>
        <v/>
      </c>
      <c r="S1757" s="272" t="str">
        <f ca="1">IF(D1757="","",IF(OFFSET(D1757,-1,0)&lt;&gt;"","",IF(OR(J1757="リード付け",J1757="巻足し",J1757="巻返しリード付け"),M1757,VLOOKUP(D1757,契約台帳!$A$3:$O$4986,15,FALSE))))</f>
        <v/>
      </c>
      <c r="T1757" s="273">
        <f ca="1">IF(D1757="","",IF(J1757="リード付け",N1757,IF(J1757="巻返しリード付け",N1757,IF(J1757="巻足し",N1757*P1757+OFFSET(N1757,1,0)*OFFSET(P1757,1,0),VLOOKUP(D1757,契約台帳!$A$3:$P$4986,16,FALSE)))))</f>
        <v>0</v>
      </c>
      <c r="U1757" s="40"/>
      <c r="V1757" s="274">
        <f ca="1">IF(D1757="","",IF(OFFSET(D1757,-2,0)=D1757,"",VLOOKUP(D1757,契約台帳!$A$3:$R$4986,18,FALSE)))</f>
        <v>1</v>
      </c>
      <c r="W1757" s="269" t="str">
        <f ca="1">IF(D1757="","",IF(T1757="","",IF(OR(J1757="巻足し",J1757="巻返しリード付け"),"",IF(J1757="巻返し",VLOOKUP(F1757&amp;K1757&amp;M1757,製品マスタ!$M$5:$AD$5002,18,FALSE),IF(OR(J1757="リード付け",J1757="巻返しリード付け"),"原反コア",IF(J1757="スリット",VLOOKUP(F1757&amp;K1757&amp;R1757,製品マスタ!$N$5:$AD$5002,17,FALSE),""))))))</f>
        <v/>
      </c>
      <c r="X1757" s="269" t="str">
        <f ca="1">IF(D1757="","",IF(T1757="","",IF(J1757="巻足し","",IF(J1757="巻返し",VLOOKUP(F1757&amp;K1757&amp;M1757,製品マスタ!$M$5:$AE$5002,19,FALSE),IF(OR(J1757="リード付け",J1757="巻返しリード付け"),"",IF(J1757="スリット",VLOOKUP(F1757&amp;K1757&amp;R1757,製品マスタ!$N$5:$AE$5002,18,FALSE),""))))))</f>
        <v/>
      </c>
      <c r="Y1757" s="275">
        <f ca="1">IF(D1757="","",IF(T1757="","",VLOOKUP(D1757,契約台帳!$A$3:$Q$4986,17,FALSE)))</f>
        <v>2</v>
      </c>
      <c r="Z1757" s="269" t="str">
        <f ca="1">IF(D1757="","",IF(T1757="","",VLOOKUP(D1757,契約台帳!$A$3:$E$4986,5,FALSE)))</f>
        <v>新タック化成㈱</v>
      </c>
      <c r="AA1757" s="57"/>
      <c r="AB1757" s="207" t="str">
        <f>IFERROR((VLOOKUP(F1757&amp;K1757&amp;M1757,製品マスタ!$M$5:$AM$5002,27,FALSE)),"")</f>
        <v>原反ケース再利用</v>
      </c>
      <c r="AC1757" s="33"/>
      <c r="AD1757" s="189"/>
      <c r="AE1757" s="54"/>
      <c r="AF1757" s="55">
        <f>+M1757*N1757*O1757/1000</f>
        <v>7289.5</v>
      </c>
      <c r="AG1757" s="43"/>
      <c r="AH1757" s="47"/>
      <c r="AI1757" s="30"/>
      <c r="AJ1757" s="30"/>
      <c r="AK1757" s="30"/>
      <c r="AL1757" s="30"/>
      <c r="AM1757" s="13"/>
      <c r="AN1757" s="13"/>
      <c r="AO1757" s="13"/>
      <c r="AP1757" s="13"/>
      <c r="AQ1757" s="13"/>
      <c r="AR1757" s="14"/>
      <c r="AS1757" s="15"/>
    </row>
    <row r="1758" spans="1:45" s="17" customFormat="1" ht="30.95" hidden="1" customHeight="1" x14ac:dyDescent="0.2">
      <c r="A1758" s="37"/>
      <c r="B1758" s="38"/>
      <c r="C1758" s="45"/>
      <c r="D1758" s="31"/>
      <c r="E1758" s="31"/>
      <c r="F1758" s="268"/>
      <c r="G1758" s="269"/>
      <c r="H1758" s="269"/>
      <c r="I1758" s="270"/>
      <c r="J1758" s="210"/>
      <c r="K1758" s="270"/>
      <c r="L1758" s="270"/>
      <c r="M1758" s="39"/>
      <c r="N1758" s="39"/>
      <c r="O1758" s="156"/>
      <c r="P1758" s="47"/>
      <c r="Q1758" s="57"/>
      <c r="R1758" s="338"/>
      <c r="S1758" s="272"/>
      <c r="T1758" s="273"/>
      <c r="U1758" s="40"/>
      <c r="V1758" s="277"/>
      <c r="W1758" s="269"/>
      <c r="X1758" s="269"/>
      <c r="Y1758" s="275"/>
      <c r="Z1758" s="269"/>
      <c r="AA1758" s="57"/>
      <c r="AB1758" s="207"/>
      <c r="AC1758" s="33"/>
      <c r="AD1758" s="189"/>
      <c r="AE1758" s="54"/>
      <c r="AF1758" s="55"/>
      <c r="AG1758" s="43"/>
      <c r="AH1758" s="47"/>
      <c r="AI1758" s="30"/>
      <c r="AJ1758" s="30"/>
      <c r="AK1758" s="30"/>
      <c r="AL1758" s="30"/>
      <c r="AM1758" s="13"/>
      <c r="AN1758" s="13"/>
      <c r="AO1758" s="13"/>
      <c r="AP1758" s="13"/>
      <c r="AQ1758" s="13"/>
      <c r="AR1758" s="14"/>
      <c r="AS1758" s="15"/>
    </row>
    <row r="1759" spans="1:45" s="17" customFormat="1" ht="30.6" hidden="1" customHeight="1" x14ac:dyDescent="0.2">
      <c r="A1759" s="37"/>
      <c r="B1759" s="38"/>
      <c r="C1759" s="45"/>
      <c r="D1759" s="31">
        <v>3750071</v>
      </c>
      <c r="E1759" s="31">
        <v>4162264</v>
      </c>
      <c r="F1759" s="268" t="str">
        <f>IF(D1759="","",VLOOKUP(D1759,契約台帳!$A$3:$K$4986,6,FALSE)&amp;VLOOKUP(D1759,契約台帳!$A$3:$K$4986,7,FALSE)&amp;VLOOKUP(D1759,契約台帳!$A$3:$K$4986,8,FALSE)&amp;VLOOKUP(D1759,契約台帳!$A$3:$K$4986,9,FALSE)&amp;VLOOKUP(D1759,契約台帳!$A$3:$K$4986,11,FALSE))</f>
        <v>3SNMLBMNGTBF</v>
      </c>
      <c r="G1759" s="269" t="str">
        <f>IF(D1759="","",VLOOKUP(F1759,製品マスタ!$G$5:$H$5002,2,FALSE))</f>
        <v>S</v>
      </c>
      <c r="H1759" s="269" t="str">
        <f>IF(D1759="","",VLOOKUP(F1759,製品マスタ!$G$5:$K$5002,5,FALSE))</f>
        <v>MNGTBF</v>
      </c>
      <c r="I1759" s="270" t="str">
        <f>IF(D1759="","",VLOOKUP(F1759,製品マスタ!$G$5:$L$5002,6,FALSE))</f>
        <v>メタルミー　ネーマー　銀艶　Ｂ</v>
      </c>
      <c r="J1759" s="210" t="s">
        <v>935</v>
      </c>
      <c r="K1759" s="270">
        <f>IF(D1759="","",VLOOKUP(D1759,契約台帳!$A$3:$L$4986,12,FALSE))</f>
        <v>50</v>
      </c>
      <c r="L1759" s="270" t="str">
        <f>IF(D1759="","",INDEX(製品マスタ!$Q$5:$Q$5002,MATCH('S4'!F1759&amp;'S4'!K1759,製品マスタ!$AO$5:$AO$5002,0)))</f>
        <v>T62</v>
      </c>
      <c r="M1759" s="39">
        <v>1120</v>
      </c>
      <c r="N1759" s="39">
        <v>5000</v>
      </c>
      <c r="O1759" s="156">
        <v>14</v>
      </c>
      <c r="P1759" s="47">
        <v>2</v>
      </c>
      <c r="Q1759" s="213">
        <v>45377</v>
      </c>
      <c r="R1759" s="271">
        <f ca="1">IF(D1759="","",IF(OFFSET(D1759,-1,0)&lt;&gt;"","",IF(OR(J1759="リード付け",J1759="巻足し",J1759="巻返しリード付け"),M1759,VLOOKUP(D1759,契約台帳!$A$3:$N$4986,14,FALSE))))</f>
        <v>1120</v>
      </c>
      <c r="S1759" s="272">
        <f ca="1">IF(D1759="","",IF(OFFSET(D1759,-1,0)&lt;&gt;"","",IF(OR(J1759="リード付け",J1759="巻足し",J1759="巻返しリード付け"),M1759,VLOOKUP(D1759,契約台帳!$A$3:$O$4986,15,FALSE))))</f>
        <v>1120</v>
      </c>
      <c r="T1759" s="273">
        <f ca="1">IF(D1759="","",IF(J1759="リード付け",N1759,IF(J1759="巻返しリード付け",N1759,IF(J1759="巻足し",N1759*P1759+OFFSET(N1759,1,0)*OFFSET(P1759,1,0),VLOOKUP(D1759,契約台帳!$A$3:$P$4986,16,FALSE)))))</f>
        <v>10000</v>
      </c>
      <c r="U1759" s="40">
        <v>7</v>
      </c>
      <c r="V1759" s="274">
        <f ca="1">IF(D1759="","",IF(OFFSET(D1759,-2,0)=D1759,"",VLOOKUP(D1759,契約台帳!$A$3:$R$4986,18,FALSE)))</f>
        <v>50</v>
      </c>
      <c r="W1759" s="269" t="str">
        <f ca="1">IF(D1759="","",IF(T1759="","",IF(OR(J1759="巻足し",J1759="巻返しリード付け"),"",IF(J1759="巻返し",VLOOKUP(F1759&amp;K1759&amp;M1759,製品マスタ!$M$5:$AD$5002,18,FALSE),IF(OR(J1759="リード付け",J1759="巻返しリード付け"),"原反コア",IF(J1759="スリット",VLOOKUP(F1759&amp;K1759&amp;R1759,製品マスタ!$N$5:$AD$5002,17,FALSE),""))))))</f>
        <v/>
      </c>
      <c r="X1759" s="269" t="str">
        <f ca="1">IF(D1759="","",IF(T1759="","",IF(J1759="巻足し","",IF(J1759="巻返し",VLOOKUP(F1759&amp;K1759&amp;M1759,製品マスタ!$M$5:$AE$5002,19,FALSE),IF(OR(J1759="リード付け",J1759="巻返しリード付け"),"",IF(J1759="スリット",VLOOKUP(F1759&amp;K1759&amp;R1759,製品マスタ!$N$5:$AE$5002,18,FALSE),""))))))</f>
        <v/>
      </c>
      <c r="Y1759" s="275">
        <f ca="1">IF(D1759="","",IF(T1759="","",VLOOKUP(D1759,契約台帳!$A$3:$Q$4986,17,FALSE)))</f>
        <v>2</v>
      </c>
      <c r="Z1759" s="269" t="str">
        <f ca="1">IF(D1759="","",IF(T1759="","",VLOOKUP(D1759,契約台帳!$A$3:$E$4986,5,FALSE)))</f>
        <v>リンテック㈱</v>
      </c>
      <c r="AA1759" s="57"/>
      <c r="AB1759" s="207" t="str">
        <f>IFERROR((VLOOKUP(F1759&amp;K1759&amp;M1759,製品マスタ!$M$5:$AM$5002,27,FALSE)),"")</f>
        <v>原反ケース再利用</v>
      </c>
      <c r="AC1759" s="33"/>
      <c r="AD1759" s="189"/>
      <c r="AE1759" s="54"/>
      <c r="AF1759" s="55">
        <f>+M1759*N1759*O1759/1000</f>
        <v>78400</v>
      </c>
      <c r="AG1759" s="43"/>
      <c r="AH1759" s="47"/>
      <c r="AI1759" s="30"/>
      <c r="AJ1759" s="30"/>
      <c r="AK1759" s="30"/>
      <c r="AL1759" s="30"/>
      <c r="AM1759" s="13"/>
      <c r="AN1759" s="13"/>
      <c r="AO1759" s="13"/>
      <c r="AP1759" s="13"/>
      <c r="AQ1759" s="13"/>
      <c r="AR1759" s="14"/>
      <c r="AS1759" s="15"/>
    </row>
    <row r="1760" spans="1:45" s="17" customFormat="1" ht="30.95" hidden="1" customHeight="1" x14ac:dyDescent="0.2">
      <c r="A1760" s="37"/>
      <c r="B1760" s="38"/>
      <c r="C1760" s="45"/>
      <c r="D1760" s="31"/>
      <c r="E1760" s="31"/>
      <c r="F1760" s="268"/>
      <c r="G1760" s="269"/>
      <c r="H1760" s="269"/>
      <c r="I1760" s="270"/>
      <c r="J1760" s="210"/>
      <c r="K1760" s="270"/>
      <c r="L1760" s="270"/>
      <c r="M1760" s="39"/>
      <c r="N1760" s="39"/>
      <c r="O1760" s="156"/>
      <c r="P1760" s="47"/>
      <c r="Q1760" s="57"/>
      <c r="R1760" s="338"/>
      <c r="S1760" s="272"/>
      <c r="T1760" s="273"/>
      <c r="U1760" s="40"/>
      <c r="V1760" s="277"/>
      <c r="W1760" s="269"/>
      <c r="X1760" s="269"/>
      <c r="Y1760" s="275"/>
      <c r="Z1760" s="269"/>
      <c r="AA1760" s="57"/>
      <c r="AB1760" s="207"/>
      <c r="AC1760" s="33"/>
      <c r="AD1760" s="189"/>
      <c r="AE1760" s="54"/>
      <c r="AF1760" s="55"/>
      <c r="AG1760" s="43"/>
      <c r="AH1760" s="47"/>
      <c r="AI1760" s="30"/>
      <c r="AJ1760" s="30"/>
      <c r="AK1760" s="30"/>
      <c r="AL1760" s="30"/>
      <c r="AM1760" s="13"/>
      <c r="AN1760" s="13"/>
      <c r="AO1760" s="13"/>
      <c r="AP1760" s="13"/>
      <c r="AQ1760" s="13"/>
      <c r="AR1760" s="14"/>
      <c r="AS1760" s="15"/>
    </row>
    <row r="1761" spans="1:45" s="17" customFormat="1" ht="30.6" hidden="1" customHeight="1" x14ac:dyDescent="0.2">
      <c r="A1761" s="37" t="s">
        <v>976</v>
      </c>
      <c r="B1761" s="38" t="s">
        <v>443</v>
      </c>
      <c r="C1761" s="45"/>
      <c r="D1761" s="31">
        <v>3750071</v>
      </c>
      <c r="E1761" s="31">
        <v>4162264</v>
      </c>
      <c r="F1761" s="268" t="str">
        <f>IF(D1761="","",VLOOKUP(D1761,契約台帳!$A$3:$K$4986,6,FALSE)&amp;VLOOKUP(D1761,契約台帳!$A$3:$K$4986,7,FALSE)&amp;VLOOKUP(D1761,契約台帳!$A$3:$K$4986,8,FALSE)&amp;VLOOKUP(D1761,契約台帳!$A$3:$K$4986,9,FALSE)&amp;VLOOKUP(D1761,契約台帳!$A$3:$K$4986,11,FALSE))</f>
        <v>3SNMLBMNGTBF</v>
      </c>
      <c r="G1761" s="269" t="str">
        <f>IF(D1761="","",VLOOKUP(F1761,製品マスタ!$G$5:$H$5002,2,FALSE))</f>
        <v>S</v>
      </c>
      <c r="H1761" s="269" t="str">
        <f>IF(D1761="","",VLOOKUP(F1761,製品マスタ!$G$5:$K$5002,5,FALSE))</f>
        <v>MNGTBF</v>
      </c>
      <c r="I1761" s="270" t="str">
        <f>IF(D1761="","",VLOOKUP(F1761,製品マスタ!$G$5:$L$5002,6,FALSE))</f>
        <v>メタルミー　ネーマー　銀艶　Ｂ</v>
      </c>
      <c r="J1761" s="210" t="s">
        <v>935</v>
      </c>
      <c r="K1761" s="270">
        <f>IF(D1761="","",VLOOKUP(D1761,契約台帳!$A$3:$L$4986,12,FALSE))</f>
        <v>50</v>
      </c>
      <c r="L1761" s="270" t="str">
        <f>IF(D1761="","",INDEX(製品マスタ!$Q$5:$Q$5002,MATCH('S4'!F1761&amp;'S4'!K1761,製品マスタ!$AO$5:$AO$5002,0)))</f>
        <v>T62</v>
      </c>
      <c r="M1761" s="39">
        <v>1120</v>
      </c>
      <c r="N1761" s="39">
        <v>5000</v>
      </c>
      <c r="O1761" s="156">
        <v>18</v>
      </c>
      <c r="P1761" s="47">
        <v>2</v>
      </c>
      <c r="Q1761" s="213">
        <v>45378</v>
      </c>
      <c r="R1761" s="271">
        <f ca="1">IF(D1761="","",IF(OFFSET(D1761,-1,0)&lt;&gt;"","",IF(OR(J1761="リード付け",J1761="巻足し",J1761="巻返しリード付け"),M1761,VLOOKUP(D1761,契約台帳!$A$3:$N$4986,14,FALSE))))</f>
        <v>1120</v>
      </c>
      <c r="S1761" s="272">
        <f ca="1">IF(D1761="","",IF(OFFSET(D1761,-1,0)&lt;&gt;"","",IF(OR(J1761="リード付け",J1761="巻足し",J1761="巻返しリード付け"),M1761,VLOOKUP(D1761,契約台帳!$A$3:$O$4986,15,FALSE))))</f>
        <v>1120</v>
      </c>
      <c r="T1761" s="273">
        <f ca="1">IF(D1761="","",IF(J1761="リード付け",N1761,IF(J1761="巻返しリード付け",N1761,IF(J1761="巻足し",N1761*P1761+OFFSET(N1761,1,0)*OFFSET(P1761,1,0),VLOOKUP(D1761,契約台帳!$A$3:$P$4986,16,FALSE)))))</f>
        <v>10000</v>
      </c>
      <c r="U1761" s="40">
        <v>9</v>
      </c>
      <c r="V1761" s="274" t="str">
        <f ca="1">IF(D1761="","",IF(OFFSET(D1761,-2,0)=D1761,"",VLOOKUP(D1761,契約台帳!$A$3:$R$4986,18,FALSE)))</f>
        <v/>
      </c>
      <c r="W1761" s="269" t="str">
        <f ca="1">IF(D1761="","",IF(T1761="","",IF(OR(J1761="巻足し",J1761="巻返しリード付け"),"",IF(J1761="巻返し",VLOOKUP(F1761&amp;K1761&amp;M1761,製品マスタ!$M$5:$AD$5002,18,FALSE),IF(OR(J1761="リード付け",J1761="巻返しリード付け"),"原反コア",IF(J1761="スリット",VLOOKUP(F1761&amp;K1761&amp;R1761,製品マスタ!$N$5:$AD$5002,17,FALSE),""))))))</f>
        <v/>
      </c>
      <c r="X1761" s="269" t="str">
        <f ca="1">IF(D1761="","",IF(T1761="","",IF(J1761="巻足し","",IF(J1761="巻返し",VLOOKUP(F1761&amp;K1761&amp;M1761,製品マスタ!$M$5:$AE$5002,19,FALSE),IF(OR(J1761="リード付け",J1761="巻返しリード付け"),"",IF(J1761="スリット",VLOOKUP(F1761&amp;K1761&amp;R1761,製品マスタ!$N$5:$AE$5002,18,FALSE),""))))))</f>
        <v/>
      </c>
      <c r="Y1761" s="275">
        <f ca="1">IF(D1761="","",IF(T1761="","",VLOOKUP(D1761,契約台帳!$A$3:$Q$4986,17,FALSE)))</f>
        <v>2</v>
      </c>
      <c r="Z1761" s="269" t="str">
        <f ca="1">IF(D1761="","",IF(T1761="","",VLOOKUP(D1761,契約台帳!$A$3:$E$4986,5,FALSE)))</f>
        <v>リンテック㈱</v>
      </c>
      <c r="AA1761" s="57"/>
      <c r="AB1761" s="207" t="str">
        <f>IFERROR((VLOOKUP(F1761&amp;K1761&amp;M1761,製品マスタ!$M$5:$AM$5002,27,FALSE)),"")</f>
        <v>原反ケース再利用</v>
      </c>
      <c r="AC1761" s="33"/>
      <c r="AD1761" s="189"/>
      <c r="AE1761" s="54"/>
      <c r="AF1761" s="55">
        <f>+M1761*N1761*O1761/1000</f>
        <v>100800</v>
      </c>
      <c r="AG1761" s="43"/>
      <c r="AH1761" s="47"/>
      <c r="AI1761" s="30"/>
      <c r="AJ1761" s="30"/>
      <c r="AK1761" s="30"/>
      <c r="AL1761" s="30"/>
      <c r="AM1761" s="13"/>
      <c r="AN1761" s="13"/>
      <c r="AO1761" s="13"/>
      <c r="AP1761" s="13"/>
      <c r="AQ1761" s="13"/>
      <c r="AR1761" s="14"/>
      <c r="AS1761" s="15"/>
    </row>
    <row r="1762" spans="1:45" s="17" customFormat="1" ht="30.95" hidden="1" customHeight="1" x14ac:dyDescent="0.2">
      <c r="A1762" s="37"/>
      <c r="B1762" s="38"/>
      <c r="C1762" s="45"/>
      <c r="D1762" s="31"/>
      <c r="E1762" s="31"/>
      <c r="F1762" s="268"/>
      <c r="G1762" s="269"/>
      <c r="H1762" s="269"/>
      <c r="I1762" s="270"/>
      <c r="J1762" s="210"/>
      <c r="K1762" s="270"/>
      <c r="L1762" s="270"/>
      <c r="M1762" s="39"/>
      <c r="N1762" s="39"/>
      <c r="O1762" s="156"/>
      <c r="P1762" s="47"/>
      <c r="Q1762" s="57"/>
      <c r="R1762" s="338"/>
      <c r="S1762" s="272"/>
      <c r="T1762" s="273"/>
      <c r="U1762" s="40"/>
      <c r="V1762" s="277"/>
      <c r="W1762" s="269"/>
      <c r="X1762" s="269"/>
      <c r="Y1762" s="275"/>
      <c r="Z1762" s="269"/>
      <c r="AA1762" s="57"/>
      <c r="AB1762" s="207"/>
      <c r="AC1762" s="33"/>
      <c r="AD1762" s="189"/>
      <c r="AE1762" s="54"/>
      <c r="AF1762" s="55"/>
      <c r="AG1762" s="43"/>
      <c r="AH1762" s="47"/>
      <c r="AI1762" s="30"/>
      <c r="AJ1762" s="30"/>
      <c r="AK1762" s="30"/>
      <c r="AL1762" s="30"/>
      <c r="AM1762" s="13"/>
      <c r="AN1762" s="13"/>
      <c r="AO1762" s="13"/>
      <c r="AP1762" s="13"/>
      <c r="AQ1762" s="13"/>
      <c r="AR1762" s="14"/>
      <c r="AS1762" s="15"/>
    </row>
    <row r="1763" spans="1:45" s="17" customFormat="1" ht="30.6" hidden="1" customHeight="1" x14ac:dyDescent="0.2">
      <c r="A1763" s="37" t="s">
        <v>977</v>
      </c>
      <c r="B1763" s="38" t="s">
        <v>444</v>
      </c>
      <c r="C1763" s="45"/>
      <c r="D1763" s="31">
        <v>3750071</v>
      </c>
      <c r="E1763" s="31">
        <v>4162264</v>
      </c>
      <c r="F1763" s="268" t="str">
        <f>IF(D1763="","",VLOOKUP(D1763,契約台帳!$A$3:$K$4986,6,FALSE)&amp;VLOOKUP(D1763,契約台帳!$A$3:$K$4986,7,FALSE)&amp;VLOOKUP(D1763,契約台帳!$A$3:$K$4986,8,FALSE)&amp;VLOOKUP(D1763,契約台帳!$A$3:$K$4986,9,FALSE)&amp;VLOOKUP(D1763,契約台帳!$A$3:$K$4986,11,FALSE))</f>
        <v>3SNMLBMNGTBF</v>
      </c>
      <c r="G1763" s="269" t="str">
        <f>IF(D1763="","",VLOOKUP(F1763,製品マスタ!$G$5:$H$5002,2,FALSE))</f>
        <v>S</v>
      </c>
      <c r="H1763" s="269" t="str">
        <f>IF(D1763="","",VLOOKUP(F1763,製品マスタ!$G$5:$K$5002,5,FALSE))</f>
        <v>MNGTBF</v>
      </c>
      <c r="I1763" s="270" t="str">
        <f>IF(D1763="","",VLOOKUP(F1763,製品マスタ!$G$5:$L$5002,6,FALSE))</f>
        <v>メタルミー　ネーマー　銀艶　Ｂ</v>
      </c>
      <c r="J1763" s="210" t="s">
        <v>935</v>
      </c>
      <c r="K1763" s="270">
        <f>IF(D1763="","",VLOOKUP(D1763,契約台帳!$A$3:$L$4986,12,FALSE))</f>
        <v>50</v>
      </c>
      <c r="L1763" s="270" t="str">
        <f>IF(D1763="","",INDEX(製品マスタ!$Q$5:$Q$5002,MATCH('S4'!F1763&amp;'S4'!K1763,製品マスタ!$AO$5:$AO$5002,0)))</f>
        <v>T62</v>
      </c>
      <c r="M1763" s="39">
        <v>1120</v>
      </c>
      <c r="N1763" s="39">
        <v>5000</v>
      </c>
      <c r="O1763" s="156">
        <v>18</v>
      </c>
      <c r="P1763" s="47">
        <v>2</v>
      </c>
      <c r="Q1763" s="213">
        <v>45378</v>
      </c>
      <c r="R1763" s="271">
        <f ca="1">IF(D1763="","",IF(OFFSET(D1763,-1,0)&lt;&gt;"","",IF(OR(J1763="リード付け",J1763="巻足し",J1763="巻返しリード付け"),M1763,VLOOKUP(D1763,契約台帳!$A$3:$N$4986,14,FALSE))))</f>
        <v>1120</v>
      </c>
      <c r="S1763" s="272">
        <f ca="1">IF(D1763="","",IF(OFFSET(D1763,-1,0)&lt;&gt;"","",IF(OR(J1763="リード付け",J1763="巻足し",J1763="巻返しリード付け"),M1763,VLOOKUP(D1763,契約台帳!$A$3:$O$4986,15,FALSE))))</f>
        <v>1120</v>
      </c>
      <c r="T1763" s="273">
        <f ca="1">IF(D1763="","",IF(J1763="リード付け",N1763,IF(J1763="巻返しリード付け",N1763,IF(J1763="巻足し",N1763*P1763+OFFSET(N1763,1,0)*OFFSET(P1763,1,0),VLOOKUP(D1763,契約台帳!$A$3:$P$4986,16,FALSE)))))</f>
        <v>10000</v>
      </c>
      <c r="U1763" s="40">
        <v>9</v>
      </c>
      <c r="V1763" s="274" t="str">
        <f ca="1">IF(D1763="","",IF(OFFSET(D1763,-2,0)=D1763,"",VLOOKUP(D1763,契約台帳!$A$3:$R$4986,18,FALSE)))</f>
        <v/>
      </c>
      <c r="W1763" s="269" t="str">
        <f ca="1">IF(D1763="","",IF(T1763="","",IF(OR(J1763="巻足し",J1763="巻返しリード付け"),"",IF(J1763="巻返し",VLOOKUP(F1763&amp;K1763&amp;M1763,製品マスタ!$M$5:$AD$5002,18,FALSE),IF(OR(J1763="リード付け",J1763="巻返しリード付け"),"原反コア",IF(J1763="スリット",VLOOKUP(F1763&amp;K1763&amp;R1763,製品マスタ!$N$5:$AD$5002,17,FALSE),""))))))</f>
        <v/>
      </c>
      <c r="X1763" s="269" t="str">
        <f ca="1">IF(D1763="","",IF(T1763="","",IF(J1763="巻足し","",IF(J1763="巻返し",VLOOKUP(F1763&amp;K1763&amp;M1763,製品マスタ!$M$5:$AE$5002,19,FALSE),IF(OR(J1763="リード付け",J1763="巻返しリード付け"),"",IF(J1763="スリット",VLOOKUP(F1763&amp;K1763&amp;R1763,製品マスタ!$N$5:$AE$5002,18,FALSE),""))))))</f>
        <v/>
      </c>
      <c r="Y1763" s="275">
        <f ca="1">IF(D1763="","",IF(T1763="","",VLOOKUP(D1763,契約台帳!$A$3:$Q$4986,17,FALSE)))</f>
        <v>2</v>
      </c>
      <c r="Z1763" s="269" t="str">
        <f ca="1">IF(D1763="","",IF(T1763="","",VLOOKUP(D1763,契約台帳!$A$3:$E$4986,5,FALSE)))</f>
        <v>リンテック㈱</v>
      </c>
      <c r="AA1763" s="57"/>
      <c r="AB1763" s="207" t="str">
        <f>IFERROR((VLOOKUP(F1763&amp;K1763&amp;M1763,製品マスタ!$M$5:$AM$5002,27,FALSE)),"")</f>
        <v>原反ケース再利用</v>
      </c>
      <c r="AC1763" s="33"/>
      <c r="AD1763" s="189"/>
      <c r="AE1763" s="54"/>
      <c r="AF1763" s="55">
        <f>+M1763*N1763*O1763/1000</f>
        <v>100800</v>
      </c>
      <c r="AG1763" s="43"/>
      <c r="AH1763" s="47"/>
      <c r="AI1763" s="30"/>
      <c r="AJ1763" s="30"/>
      <c r="AK1763" s="30"/>
      <c r="AL1763" s="30"/>
      <c r="AM1763" s="13"/>
      <c r="AN1763" s="13"/>
      <c r="AO1763" s="13"/>
      <c r="AP1763" s="13"/>
      <c r="AQ1763" s="13"/>
      <c r="AR1763" s="14"/>
      <c r="AS1763" s="15"/>
    </row>
    <row r="1764" spans="1:45" s="17" customFormat="1" ht="30.95" hidden="1" customHeight="1" x14ac:dyDescent="0.2">
      <c r="A1764" s="37"/>
      <c r="B1764" s="38"/>
      <c r="C1764" s="45"/>
      <c r="D1764" s="31"/>
      <c r="E1764" s="31"/>
      <c r="F1764" s="268"/>
      <c r="G1764" s="269"/>
      <c r="H1764" s="269"/>
      <c r="I1764" s="270"/>
      <c r="J1764" s="210"/>
      <c r="K1764" s="270"/>
      <c r="L1764" s="270"/>
      <c r="M1764" s="39"/>
      <c r="N1764" s="39"/>
      <c r="O1764" s="156"/>
      <c r="P1764" s="47"/>
      <c r="Q1764" s="57"/>
      <c r="R1764" s="338"/>
      <c r="S1764" s="272"/>
      <c r="T1764" s="273"/>
      <c r="U1764" s="40"/>
      <c r="V1764" s="277"/>
      <c r="W1764" s="269"/>
      <c r="X1764" s="269"/>
      <c r="Y1764" s="275"/>
      <c r="Z1764" s="269"/>
      <c r="AA1764" s="57"/>
      <c r="AB1764" s="207"/>
      <c r="AC1764" s="33"/>
      <c r="AD1764" s="189"/>
      <c r="AE1764" s="54"/>
      <c r="AF1764" s="55"/>
      <c r="AG1764" s="43"/>
      <c r="AH1764" s="47"/>
      <c r="AI1764" s="30"/>
      <c r="AJ1764" s="30"/>
      <c r="AK1764" s="30"/>
      <c r="AL1764" s="30"/>
      <c r="AM1764" s="13"/>
      <c r="AN1764" s="13"/>
      <c r="AO1764" s="13"/>
      <c r="AP1764" s="13"/>
      <c r="AQ1764" s="13"/>
      <c r="AR1764" s="14"/>
      <c r="AS1764" s="15"/>
    </row>
    <row r="1765" spans="1:45" s="17" customFormat="1" ht="30.95" hidden="1" customHeight="1" x14ac:dyDescent="0.2">
      <c r="A1765" s="37" t="s">
        <v>2319</v>
      </c>
      <c r="B1765" s="38" t="s">
        <v>2305</v>
      </c>
      <c r="C1765" s="45"/>
      <c r="D1765" s="31"/>
      <c r="E1765" s="31"/>
      <c r="F1765" s="268"/>
      <c r="G1765" s="269"/>
      <c r="H1765" s="269"/>
      <c r="I1765" s="270"/>
      <c r="J1765" s="210" t="s">
        <v>2315</v>
      </c>
      <c r="K1765" s="270"/>
      <c r="L1765" s="270"/>
      <c r="M1765" s="39"/>
      <c r="N1765" s="39"/>
      <c r="O1765" s="156"/>
      <c r="P1765" s="47"/>
      <c r="Q1765" s="57"/>
      <c r="R1765" s="338"/>
      <c r="S1765" s="272"/>
      <c r="T1765" s="273"/>
      <c r="U1765" s="40"/>
      <c r="V1765" s="277"/>
      <c r="W1765" s="269"/>
      <c r="X1765" s="269"/>
      <c r="Y1765" s="275"/>
      <c r="Z1765" s="269"/>
      <c r="AA1765" s="57"/>
      <c r="AB1765" s="207"/>
      <c r="AC1765" s="33"/>
      <c r="AD1765" s="189"/>
      <c r="AE1765" s="54"/>
      <c r="AF1765" s="55"/>
      <c r="AG1765" s="43"/>
      <c r="AH1765" s="47"/>
      <c r="AI1765" s="30"/>
      <c r="AJ1765" s="30"/>
      <c r="AK1765" s="30"/>
      <c r="AL1765" s="30"/>
      <c r="AM1765" s="13"/>
      <c r="AN1765" s="13"/>
      <c r="AO1765" s="13"/>
      <c r="AP1765" s="13"/>
      <c r="AQ1765" s="13"/>
      <c r="AR1765" s="14"/>
      <c r="AS1765" s="15"/>
    </row>
    <row r="1766" spans="1:45" s="17" customFormat="1" ht="30.95" hidden="1" customHeight="1" x14ac:dyDescent="0.2">
      <c r="A1766" s="37"/>
      <c r="B1766" s="38"/>
      <c r="C1766" s="45"/>
      <c r="D1766" s="31"/>
      <c r="E1766" s="31"/>
      <c r="F1766" s="268"/>
      <c r="G1766" s="269"/>
      <c r="H1766" s="269"/>
      <c r="I1766" s="270"/>
      <c r="J1766" s="210"/>
      <c r="K1766" s="270"/>
      <c r="L1766" s="270"/>
      <c r="M1766" s="39"/>
      <c r="N1766" s="39"/>
      <c r="O1766" s="156"/>
      <c r="P1766" s="47"/>
      <c r="Q1766" s="57"/>
      <c r="R1766" s="338"/>
      <c r="S1766" s="272"/>
      <c r="T1766" s="273"/>
      <c r="U1766" s="40"/>
      <c r="V1766" s="277"/>
      <c r="W1766" s="269"/>
      <c r="X1766" s="269"/>
      <c r="Y1766" s="275"/>
      <c r="Z1766" s="269"/>
      <c r="AA1766" s="57"/>
      <c r="AB1766" s="207"/>
      <c r="AC1766" s="33"/>
      <c r="AD1766" s="189"/>
      <c r="AE1766" s="54"/>
      <c r="AF1766" s="55"/>
      <c r="AG1766" s="43"/>
      <c r="AH1766" s="47"/>
      <c r="AI1766" s="30"/>
      <c r="AJ1766" s="30"/>
      <c r="AK1766" s="30"/>
      <c r="AL1766" s="30"/>
      <c r="AM1766" s="13"/>
      <c r="AN1766" s="13"/>
      <c r="AO1766" s="13"/>
      <c r="AP1766" s="13"/>
      <c r="AQ1766" s="13"/>
      <c r="AR1766" s="14"/>
      <c r="AS1766" s="15"/>
    </row>
    <row r="1767" spans="1:45" s="17" customFormat="1" ht="30.95" hidden="1" customHeight="1" x14ac:dyDescent="0.2">
      <c r="A1767" s="37" t="s">
        <v>2318</v>
      </c>
      <c r="B1767" s="38" t="s">
        <v>2307</v>
      </c>
      <c r="C1767" s="45"/>
      <c r="D1767" s="31"/>
      <c r="E1767" s="31"/>
      <c r="F1767" s="268"/>
      <c r="G1767" s="269"/>
      <c r="H1767" s="269"/>
      <c r="I1767" s="270"/>
      <c r="J1767" s="210" t="s">
        <v>2315</v>
      </c>
      <c r="K1767" s="270"/>
      <c r="L1767" s="270"/>
      <c r="M1767" s="39"/>
      <c r="N1767" s="39"/>
      <c r="O1767" s="156"/>
      <c r="P1767" s="47"/>
      <c r="Q1767" s="57"/>
      <c r="R1767" s="338"/>
      <c r="S1767" s="272"/>
      <c r="T1767" s="273"/>
      <c r="U1767" s="40"/>
      <c r="V1767" s="277"/>
      <c r="W1767" s="269"/>
      <c r="X1767" s="269"/>
      <c r="Y1767" s="275"/>
      <c r="Z1767" s="269"/>
      <c r="AA1767" s="57"/>
      <c r="AB1767" s="207"/>
      <c r="AC1767" s="33"/>
      <c r="AD1767" s="189"/>
      <c r="AE1767" s="54"/>
      <c r="AF1767" s="55"/>
      <c r="AG1767" s="43"/>
      <c r="AH1767" s="47"/>
      <c r="AI1767" s="30"/>
      <c r="AJ1767" s="30"/>
      <c r="AK1767" s="30"/>
      <c r="AL1767" s="30"/>
      <c r="AM1767" s="13"/>
      <c r="AN1767" s="13"/>
      <c r="AO1767" s="13"/>
      <c r="AP1767" s="13"/>
      <c r="AQ1767" s="13"/>
      <c r="AR1767" s="14"/>
      <c r="AS1767" s="15"/>
    </row>
    <row r="1768" spans="1:45" s="17" customFormat="1" ht="30.95" hidden="1" customHeight="1" x14ac:dyDescent="0.2">
      <c r="A1768" s="37"/>
      <c r="B1768" s="38"/>
      <c r="C1768" s="45"/>
      <c r="D1768" s="31"/>
      <c r="E1768" s="31"/>
      <c r="F1768" s="268"/>
      <c r="G1768" s="269"/>
      <c r="H1768" s="269"/>
      <c r="I1768" s="270"/>
      <c r="J1768" s="210"/>
      <c r="K1768" s="270"/>
      <c r="L1768" s="270"/>
      <c r="M1768" s="39"/>
      <c r="N1768" s="39"/>
      <c r="O1768" s="156"/>
      <c r="P1768" s="47"/>
      <c r="Q1768" s="57"/>
      <c r="R1768" s="338"/>
      <c r="S1768" s="272"/>
      <c r="T1768" s="273"/>
      <c r="U1768" s="40"/>
      <c r="V1768" s="277"/>
      <c r="W1768" s="269"/>
      <c r="X1768" s="269"/>
      <c r="Y1768" s="275"/>
      <c r="Z1768" s="269"/>
      <c r="AA1768" s="57"/>
      <c r="AB1768" s="207"/>
      <c r="AC1768" s="33"/>
      <c r="AD1768" s="189"/>
      <c r="AE1768" s="54"/>
      <c r="AF1768" s="55"/>
      <c r="AG1768" s="43"/>
      <c r="AH1768" s="47"/>
      <c r="AI1768" s="30"/>
      <c r="AJ1768" s="30"/>
      <c r="AK1768" s="30"/>
      <c r="AL1768" s="30"/>
      <c r="AM1768" s="13"/>
      <c r="AN1768" s="13"/>
      <c r="AO1768" s="13"/>
      <c r="AP1768" s="13"/>
      <c r="AQ1768" s="13"/>
      <c r="AR1768" s="14"/>
      <c r="AS1768" s="15"/>
    </row>
    <row r="1769" spans="1:45" s="17" customFormat="1" ht="30.6" hidden="1" customHeight="1" x14ac:dyDescent="0.2">
      <c r="A1769" s="37" t="s">
        <v>980</v>
      </c>
      <c r="B1769" s="38" t="s">
        <v>462</v>
      </c>
      <c r="C1769" s="45"/>
      <c r="D1769" s="31">
        <v>3750087</v>
      </c>
      <c r="E1769" s="31">
        <v>4162270</v>
      </c>
      <c r="F1769" s="268" t="str">
        <f>IF(D1769="","",VLOOKUP(D1769,契約台帳!$A$3:$K$4986,6,FALSE)&amp;VLOOKUP(D1769,契約台帳!$A$3:$K$4986,7,FALSE)&amp;VLOOKUP(D1769,契約台帳!$A$3:$K$4986,8,FALSE)&amp;VLOOKUP(D1769,契約台帳!$A$3:$K$4986,9,FALSE)&amp;VLOOKUP(D1769,契約台帳!$A$3:$K$4986,11,FALSE))</f>
        <v>3SYMLBMSBBF</v>
      </c>
      <c r="G1769" s="269" t="str">
        <f>IF(D1769="","",VLOOKUP(F1769,製品マスタ!$G$5:$H$5002,2,FALSE))</f>
        <v>S</v>
      </c>
      <c r="H1769" s="269" t="str">
        <f>IF(D1769="","",VLOOKUP(F1769,製品マスタ!$G$5:$K$5002,5,FALSE))</f>
        <v>MSBBF</v>
      </c>
      <c r="I1769" s="270" t="str">
        <f>IF(D1769="","",VLOOKUP(F1769,製品マスタ!$G$5:$L$5002,6,FALSE))</f>
        <v>ＭＥＴＡＬＵＭＹ　ＳＩＬＶＥＲ　ＢＲＩＧＨＴ　Ｔ６２Ｍ　Ｂ</v>
      </c>
      <c r="J1769" s="210" t="s">
        <v>935</v>
      </c>
      <c r="K1769" s="270">
        <f>IF(D1769="","",VLOOKUP(D1769,契約台帳!$A$3:$L$4986,12,FALSE))</f>
        <v>50</v>
      </c>
      <c r="L1769" s="270" t="str">
        <f>IF(D1769="","",INDEX(製品マスタ!$Q$5:$Q$5002,MATCH('S4'!F1769&amp;'S4'!K1769,製品マスタ!$AO$5:$AO$5002,0)))</f>
        <v>T62</v>
      </c>
      <c r="M1769" s="39">
        <v>1120</v>
      </c>
      <c r="N1769" s="39">
        <v>5000</v>
      </c>
      <c r="O1769" s="156">
        <v>2</v>
      </c>
      <c r="P1769" s="47">
        <v>2</v>
      </c>
      <c r="Q1769" s="213">
        <v>45379</v>
      </c>
      <c r="R1769" s="271">
        <f ca="1">IF(D1769="","",IF(OFFSET(D1769,-1,0)&lt;&gt;"","",IF(OR(J1769="リード付け",J1769="巻足し",J1769="巻返しリード付け"),M1769,VLOOKUP(D1769,契約台帳!$A$3:$N$4986,14,FALSE))))</f>
        <v>1120</v>
      </c>
      <c r="S1769" s="272">
        <f ca="1">IF(D1769="","",IF(OFFSET(D1769,-1,0)&lt;&gt;"","",IF(OR(J1769="リード付け",J1769="巻足し",J1769="巻返しリード付け"),M1769,VLOOKUP(D1769,契約台帳!$A$3:$O$4986,15,FALSE))))</f>
        <v>1120</v>
      </c>
      <c r="T1769" s="273">
        <f ca="1">IF(D1769="","",IF(J1769="リード付け",N1769,IF(J1769="巻返しリード付け",N1769,IF(J1769="巻足し",N1769*P1769+OFFSET(N1769,1,0)*OFFSET(P1769,1,0),VLOOKUP(D1769,契約台帳!$A$3:$P$4986,16,FALSE)))))</f>
        <v>10000</v>
      </c>
      <c r="U1769" s="40">
        <v>1</v>
      </c>
      <c r="V1769" s="274">
        <f ca="1">IF(D1769="","",IF(OFFSET(D1769,-2,0)=D1769,"",VLOOKUP(D1769,契約台帳!$A$3:$R$4986,18,FALSE)))</f>
        <v>2</v>
      </c>
      <c r="W1769" s="269" t="str">
        <f ca="1">IF(D1769="","",IF(T1769="","",IF(OR(J1769="巻足し",J1769="巻返しリード付け"),"",IF(J1769="巻返し",VLOOKUP(F1769&amp;K1769&amp;M1769,製品マスタ!$M$5:$AD$5002,18,FALSE),IF(OR(J1769="リード付け",J1769="巻返しリード付け"),"原反コア",IF(J1769="スリット",VLOOKUP(F1769&amp;K1769&amp;R1769,製品マスタ!$N$5:$AD$5002,17,FALSE),""))))))</f>
        <v/>
      </c>
      <c r="X1769" s="269" t="str">
        <f ca="1">IF(D1769="","",IF(T1769="","",IF(J1769="巻足し","",IF(J1769="巻返し",VLOOKUP(F1769&amp;K1769&amp;M1769,製品マスタ!$M$5:$AE$5002,19,FALSE),IF(OR(J1769="リード付け",J1769="巻返しリード付け"),"",IF(J1769="スリット",VLOOKUP(F1769&amp;K1769&amp;R1769,製品マスタ!$N$5:$AE$5002,18,FALSE),""))))))</f>
        <v/>
      </c>
      <c r="Y1769" s="275">
        <f ca="1">IF(D1769="","",IF(T1769="","",VLOOKUP(D1769,契約台帳!$A$3:$Q$4986,17,FALSE)))</f>
        <v>2</v>
      </c>
      <c r="Z1769" s="269" t="str">
        <f ca="1">IF(D1769="","",IF(T1769="","",VLOOKUP(D1769,契約台帳!$A$3:$E$4986,5,FALSE)))</f>
        <v>リンテック㈱</v>
      </c>
      <c r="AA1769" s="57"/>
      <c r="AB1769" s="207" t="str">
        <f>IFERROR((VLOOKUP(F1769&amp;K1769&amp;M1769,製品マスタ!$M$5:$AM$5002,27,FALSE)),"")</f>
        <v>原反ケース再利用</v>
      </c>
      <c r="AC1769" s="33"/>
      <c r="AD1769" s="189"/>
      <c r="AE1769" s="54"/>
      <c r="AF1769" s="55">
        <f>+M1769*N1769*O1769/1000</f>
        <v>11200</v>
      </c>
      <c r="AG1769" s="43"/>
      <c r="AH1769" s="47"/>
      <c r="AI1769" s="30"/>
      <c r="AJ1769" s="30"/>
      <c r="AK1769" s="30"/>
      <c r="AL1769" s="30"/>
      <c r="AM1769" s="13"/>
      <c r="AN1769" s="13"/>
      <c r="AO1769" s="13"/>
      <c r="AP1769" s="13"/>
      <c r="AQ1769" s="13"/>
      <c r="AR1769" s="14"/>
      <c r="AS1769" s="15"/>
    </row>
    <row r="1770" spans="1:45" s="17" customFormat="1" ht="30.95" hidden="1" customHeight="1" x14ac:dyDescent="0.2">
      <c r="A1770" s="37"/>
      <c r="B1770" s="38"/>
      <c r="C1770" s="45"/>
      <c r="D1770" s="31"/>
      <c r="E1770" s="31"/>
      <c r="F1770" s="268"/>
      <c r="G1770" s="269"/>
      <c r="H1770" s="269"/>
      <c r="I1770" s="270"/>
      <c r="J1770" s="210"/>
      <c r="K1770" s="270"/>
      <c r="L1770" s="270"/>
      <c r="M1770" s="39"/>
      <c r="N1770" s="39"/>
      <c r="O1770" s="156"/>
      <c r="P1770" s="47"/>
      <c r="Q1770" s="57"/>
      <c r="R1770" s="338"/>
      <c r="S1770" s="272"/>
      <c r="T1770" s="273"/>
      <c r="U1770" s="40"/>
      <c r="V1770" s="277"/>
      <c r="W1770" s="269"/>
      <c r="X1770" s="269"/>
      <c r="Y1770" s="275"/>
      <c r="Z1770" s="269"/>
      <c r="AA1770" s="57"/>
      <c r="AB1770" s="207"/>
      <c r="AC1770" s="33"/>
      <c r="AD1770" s="189"/>
      <c r="AE1770" s="54"/>
      <c r="AF1770" s="55"/>
      <c r="AG1770" s="43"/>
      <c r="AH1770" s="47"/>
      <c r="AI1770" s="30"/>
      <c r="AJ1770" s="30"/>
      <c r="AK1770" s="30"/>
      <c r="AL1770" s="30"/>
      <c r="AM1770" s="13"/>
      <c r="AN1770" s="13"/>
      <c r="AO1770" s="13"/>
      <c r="AP1770" s="13"/>
      <c r="AQ1770" s="13"/>
      <c r="AR1770" s="14"/>
      <c r="AS1770" s="15"/>
    </row>
    <row r="1771" spans="1:45" s="17" customFormat="1" ht="30.6" hidden="1" customHeight="1" x14ac:dyDescent="0.2">
      <c r="A1771" s="37"/>
      <c r="B1771" s="38"/>
      <c r="C1771" s="45"/>
      <c r="D1771" s="31">
        <v>3750093</v>
      </c>
      <c r="E1771" s="31">
        <v>4162271</v>
      </c>
      <c r="F1771" s="268" t="str">
        <f>IF(D1771="","",VLOOKUP(D1771,契約台帳!$A$3:$K$4986,6,FALSE)&amp;VLOOKUP(D1771,契約台帳!$A$3:$K$4986,7,FALSE)&amp;VLOOKUP(D1771,契約台帳!$A$3:$K$4986,8,FALSE)&amp;VLOOKUP(D1771,契約台帳!$A$3:$K$4986,9,FALSE)&amp;VLOOKUP(D1771,契約台帳!$A$3:$K$4986,11,FALSE))</f>
        <v>3SYMLBMSBBF</v>
      </c>
      <c r="G1771" s="269" t="str">
        <f>IF(D1771="","",VLOOKUP(F1771,製品マスタ!$G$5:$H$5002,2,FALSE))</f>
        <v>S</v>
      </c>
      <c r="H1771" s="269" t="str">
        <f>IF(D1771="","",VLOOKUP(F1771,製品マスタ!$G$5:$K$5002,5,FALSE))</f>
        <v>MSBBF</v>
      </c>
      <c r="I1771" s="270" t="str">
        <f>IF(D1771="","",VLOOKUP(F1771,製品マスタ!$G$5:$L$5002,6,FALSE))</f>
        <v>ＭＥＴＡＬＵＭＹ　ＳＩＬＶＥＲ　ＢＲＩＧＨＴ　Ｔ６２Ｍ　Ｂ</v>
      </c>
      <c r="J1771" s="210" t="s">
        <v>935</v>
      </c>
      <c r="K1771" s="270">
        <f>IF(D1771="","",VLOOKUP(D1771,契約台帳!$A$3:$L$4986,12,FALSE))</f>
        <v>50</v>
      </c>
      <c r="L1771" s="270" t="str">
        <f>IF(D1771="","",INDEX(製品マスタ!$Q$5:$Q$5002,MATCH('S4'!F1771&amp;'S4'!K1771,製品マスタ!$AO$5:$AO$5002,0)))</f>
        <v>T62</v>
      </c>
      <c r="M1771" s="39">
        <v>1120</v>
      </c>
      <c r="N1771" s="39">
        <v>5000</v>
      </c>
      <c r="O1771" s="156">
        <v>2</v>
      </c>
      <c r="P1771" s="47">
        <v>2</v>
      </c>
      <c r="Q1771" s="213">
        <v>45379</v>
      </c>
      <c r="R1771" s="271">
        <f ca="1">IF(D1771="","",IF(OFFSET(D1771,-1,0)&lt;&gt;"","",IF(OR(J1771="リード付け",J1771="巻足し",J1771="巻返しリード付け"),M1771,VLOOKUP(D1771,契約台帳!$A$3:$N$4986,14,FALSE))))</f>
        <v>1120</v>
      </c>
      <c r="S1771" s="272">
        <f ca="1">IF(D1771="","",IF(OFFSET(D1771,-1,0)&lt;&gt;"","",IF(OR(J1771="リード付け",J1771="巻足し",J1771="巻返しリード付け"),M1771,VLOOKUP(D1771,契約台帳!$A$3:$O$4986,15,FALSE))))</f>
        <v>1120</v>
      </c>
      <c r="T1771" s="273">
        <f ca="1">IF(D1771="","",IF(J1771="リード付け",N1771,IF(J1771="巻返しリード付け",N1771,IF(J1771="巻足し",N1771*P1771+OFFSET(N1771,1,0)*OFFSET(P1771,1,0),VLOOKUP(D1771,契約台帳!$A$3:$P$4986,16,FALSE)))))</f>
        <v>10000</v>
      </c>
      <c r="U1771" s="40">
        <v>1</v>
      </c>
      <c r="V1771" s="274">
        <f ca="1">IF(D1771="","",IF(OFFSET(D1771,-2,0)=D1771,"",VLOOKUP(D1771,契約台帳!$A$3:$R$4986,18,FALSE)))</f>
        <v>2</v>
      </c>
      <c r="W1771" s="269" t="str">
        <f ca="1">IF(D1771="","",IF(T1771="","",IF(OR(J1771="巻足し",J1771="巻返しリード付け"),"",IF(J1771="巻返し",VLOOKUP(F1771&amp;K1771&amp;M1771,製品マスタ!$M$5:$AD$5002,18,FALSE),IF(OR(J1771="リード付け",J1771="巻返しリード付け"),"原反コア",IF(J1771="スリット",VLOOKUP(F1771&amp;K1771&amp;R1771,製品マスタ!$N$5:$AD$5002,17,FALSE),""))))))</f>
        <v/>
      </c>
      <c r="X1771" s="269" t="str">
        <f ca="1">IF(D1771="","",IF(T1771="","",IF(J1771="巻足し","",IF(J1771="巻返し",VLOOKUP(F1771&amp;K1771&amp;M1771,製品マスタ!$M$5:$AE$5002,19,FALSE),IF(OR(J1771="リード付け",J1771="巻返しリード付け"),"",IF(J1771="スリット",VLOOKUP(F1771&amp;K1771&amp;R1771,製品マスタ!$N$5:$AE$5002,18,FALSE),""))))))</f>
        <v/>
      </c>
      <c r="Y1771" s="275">
        <f ca="1">IF(D1771="","",IF(T1771="","",VLOOKUP(D1771,契約台帳!$A$3:$Q$4986,17,FALSE)))</f>
        <v>2</v>
      </c>
      <c r="Z1771" s="269" t="str">
        <f ca="1">IF(D1771="","",IF(T1771="","",VLOOKUP(D1771,契約台帳!$A$3:$E$4986,5,FALSE)))</f>
        <v>リンテック㈱</v>
      </c>
      <c r="AA1771" s="57"/>
      <c r="AB1771" s="207" t="str">
        <f>IFERROR((VLOOKUP(F1771&amp;K1771&amp;M1771,製品マスタ!$M$5:$AM$5002,27,FALSE)),"")</f>
        <v>原反ケース再利用</v>
      </c>
      <c r="AC1771" s="33"/>
      <c r="AD1771" s="189"/>
      <c r="AE1771" s="54"/>
      <c r="AF1771" s="55">
        <f>+M1771*N1771*O1771/1000</f>
        <v>11200</v>
      </c>
      <c r="AG1771" s="43"/>
      <c r="AH1771" s="47"/>
      <c r="AI1771" s="30"/>
      <c r="AJ1771" s="30"/>
      <c r="AK1771" s="30"/>
      <c r="AL1771" s="30"/>
      <c r="AM1771" s="13"/>
      <c r="AN1771" s="13"/>
      <c r="AO1771" s="13"/>
      <c r="AP1771" s="13"/>
      <c r="AQ1771" s="13"/>
      <c r="AR1771" s="14"/>
      <c r="AS1771" s="15"/>
    </row>
    <row r="1772" spans="1:45" s="17" customFormat="1" ht="30.95" hidden="1" customHeight="1" x14ac:dyDescent="0.2">
      <c r="A1772" s="37"/>
      <c r="B1772" s="38"/>
      <c r="C1772" s="45"/>
      <c r="D1772" s="31"/>
      <c r="E1772" s="31"/>
      <c r="F1772" s="268"/>
      <c r="G1772" s="269"/>
      <c r="H1772" s="269"/>
      <c r="I1772" s="270"/>
      <c r="J1772" s="210"/>
      <c r="K1772" s="270"/>
      <c r="L1772" s="270"/>
      <c r="M1772" s="39"/>
      <c r="N1772" s="39"/>
      <c r="O1772" s="156"/>
      <c r="P1772" s="47"/>
      <c r="Q1772" s="57"/>
      <c r="R1772" s="338"/>
      <c r="S1772" s="272"/>
      <c r="T1772" s="273"/>
      <c r="U1772" s="40"/>
      <c r="V1772" s="277"/>
      <c r="W1772" s="269"/>
      <c r="X1772" s="269"/>
      <c r="Y1772" s="275"/>
      <c r="Z1772" s="269"/>
      <c r="AA1772" s="57"/>
      <c r="AB1772" s="207"/>
      <c r="AC1772" s="33"/>
      <c r="AD1772" s="189"/>
      <c r="AE1772" s="54"/>
      <c r="AF1772" s="55"/>
      <c r="AG1772" s="43"/>
      <c r="AH1772" s="47"/>
      <c r="AI1772" s="30"/>
      <c r="AJ1772" s="30"/>
      <c r="AK1772" s="30"/>
      <c r="AL1772" s="30"/>
      <c r="AM1772" s="13"/>
      <c r="AN1772" s="13"/>
      <c r="AO1772" s="13"/>
      <c r="AP1772" s="13"/>
      <c r="AQ1772" s="13"/>
      <c r="AR1772" s="14"/>
      <c r="AS1772" s="15"/>
    </row>
    <row r="1773" spans="1:45" s="17" customFormat="1" ht="30.6" hidden="1" customHeight="1" x14ac:dyDescent="0.2">
      <c r="A1773" s="37"/>
      <c r="B1773" s="38"/>
      <c r="C1773" s="45"/>
      <c r="D1773" s="31">
        <v>3750090</v>
      </c>
      <c r="E1773" s="31">
        <v>4162282</v>
      </c>
      <c r="F1773" s="268" t="str">
        <f>IF(D1773="","",VLOOKUP(D1773,契約台帳!$A$3:$K$4986,6,FALSE)&amp;VLOOKUP(D1773,契約台帳!$A$3:$K$4986,7,FALSE)&amp;VLOOKUP(D1773,契約台帳!$A$3:$K$4986,8,FALSE)&amp;VLOOKUP(D1773,契約台帳!$A$3:$K$4986,9,FALSE)&amp;VLOOKUP(D1773,契約台帳!$A$3:$K$4986,11,FALSE))</f>
        <v>3SYMLBMSSMBF</v>
      </c>
      <c r="G1773" s="269" t="str">
        <f>IF(D1773="","",VLOOKUP(F1773,製品マスタ!$G$5:$H$5002,2,FALSE))</f>
        <v>S</v>
      </c>
      <c r="H1773" s="269" t="str">
        <f>IF(D1773="","",VLOOKUP(F1773,製品マスタ!$G$5:$K$5002,5,FALSE))</f>
        <v>MSSMBF</v>
      </c>
      <c r="I1773" s="270" t="str">
        <f>IF(D1773="","",VLOOKUP(F1773,製品マスタ!$G$5:$L$5002,6,FALSE))</f>
        <v>ＭＥＴＡＬＵＭＹ　ＳＩＬＶＥＲ　Ｓ－ＭＡＴＴＥ　Ｓ２８ＭＭ　Ｂ</v>
      </c>
      <c r="J1773" s="210" t="s">
        <v>935</v>
      </c>
      <c r="K1773" s="270">
        <f>IF(D1773="","",VLOOKUP(D1773,契約台帳!$A$3:$L$4986,12,FALSE))</f>
        <v>50</v>
      </c>
      <c r="L1773" s="270" t="e">
        <f>IF(D1773="","",INDEX(製品マスタ!$Q$5:$Q$5002,MATCH('S4'!F1773&amp;'S4'!K1773,製品マスタ!$AO$5:$AO$5002,0)))</f>
        <v>#N/A</v>
      </c>
      <c r="M1773" s="39">
        <v>1120</v>
      </c>
      <c r="N1773" s="39">
        <v>4000</v>
      </c>
      <c r="O1773" s="156">
        <v>2</v>
      </c>
      <c r="P1773" s="47">
        <v>2</v>
      </c>
      <c r="Q1773" s="213">
        <v>45383</v>
      </c>
      <c r="R1773" s="271">
        <f ca="1">IF(D1773="","",IF(OFFSET(D1773,-1,0)&lt;&gt;"","",IF(OR(J1773="リード付け",J1773="巻足し",J1773="巻返しリード付け"),M1773,VLOOKUP(D1773,契約台帳!$A$3:$N$4986,14,FALSE))))</f>
        <v>1120</v>
      </c>
      <c r="S1773" s="272">
        <f ca="1">IF(D1773="","",IF(OFFSET(D1773,-1,0)&lt;&gt;"","",IF(OR(J1773="リード付け",J1773="巻足し",J1773="巻返しリード付け"),M1773,VLOOKUP(D1773,契約台帳!$A$3:$O$4986,15,FALSE))))</f>
        <v>1120</v>
      </c>
      <c r="T1773" s="273">
        <f ca="1">IF(D1773="","",IF(J1773="リード付け",N1773,IF(J1773="巻返しリード付け",N1773,IF(J1773="巻足し",N1773*P1773+OFFSET(N1773,1,0)*OFFSET(P1773,1,0),VLOOKUP(D1773,契約台帳!$A$3:$P$4986,16,FALSE)))))</f>
        <v>8000</v>
      </c>
      <c r="U1773" s="40">
        <v>1</v>
      </c>
      <c r="V1773" s="274">
        <f ca="1">IF(D1773="","",IF(OFFSET(D1773,-2,0)=D1773,"",VLOOKUP(D1773,契約台帳!$A$3:$R$4986,18,FALSE)))</f>
        <v>2</v>
      </c>
      <c r="W1773" s="269" t="str">
        <f ca="1">IF(D1773="","",IF(T1773="","",IF(OR(J1773="巻足し",J1773="巻返しリード付け"),"",IF(J1773="巻返し",VLOOKUP(F1773&amp;K1773&amp;M1773,製品マスタ!$M$5:$AD$5002,18,FALSE),IF(OR(J1773="リード付け",J1773="巻返しリード付け"),"原反コア",IF(J1773="スリット",VLOOKUP(F1773&amp;K1773&amp;R1773,製品マスタ!$N$5:$AD$5002,17,FALSE),""))))))</f>
        <v/>
      </c>
      <c r="X1773" s="269" t="str">
        <f ca="1">IF(D1773="","",IF(T1773="","",IF(J1773="巻足し","",IF(J1773="巻返し",VLOOKUP(F1773&amp;K1773&amp;M1773,製品マスタ!$M$5:$AE$5002,19,FALSE),IF(OR(J1773="リード付け",J1773="巻返しリード付け"),"",IF(J1773="スリット",VLOOKUP(F1773&amp;K1773&amp;R1773,製品マスタ!$N$5:$AE$5002,18,FALSE),""))))))</f>
        <v/>
      </c>
      <c r="Y1773" s="275">
        <f ca="1">IF(D1773="","",IF(T1773="","",VLOOKUP(D1773,契約台帳!$A$3:$Q$4986,17,FALSE)))</f>
        <v>2</v>
      </c>
      <c r="Z1773" s="269" t="str">
        <f ca="1">IF(D1773="","",IF(T1773="","",VLOOKUP(D1773,契約台帳!$A$3:$E$4986,5,FALSE)))</f>
        <v>リンテック㈱</v>
      </c>
      <c r="AA1773" s="57"/>
      <c r="AB1773" s="207" t="str">
        <f>IFERROR((VLOOKUP(F1773&amp;K1773&amp;M1773,製品マスタ!$M$5:$AM$5002,27,FALSE)),"")</f>
        <v/>
      </c>
      <c r="AC1773" s="33"/>
      <c r="AD1773" s="189"/>
      <c r="AE1773" s="54"/>
      <c r="AF1773" s="55">
        <f>+M1773*N1773*O1773/1000</f>
        <v>8960</v>
      </c>
      <c r="AG1773" s="43"/>
      <c r="AH1773" s="47"/>
      <c r="AI1773" s="30"/>
      <c r="AJ1773" s="30"/>
      <c r="AK1773" s="30"/>
      <c r="AL1773" s="30"/>
      <c r="AM1773" s="13"/>
      <c r="AN1773" s="13"/>
      <c r="AO1773" s="13"/>
      <c r="AP1773" s="13"/>
      <c r="AQ1773" s="13"/>
      <c r="AR1773" s="14"/>
      <c r="AS1773" s="15"/>
    </row>
    <row r="1774" spans="1:45" s="17" customFormat="1" ht="30.95" hidden="1" customHeight="1" x14ac:dyDescent="0.2">
      <c r="A1774" s="37"/>
      <c r="B1774" s="38"/>
      <c r="C1774" s="45"/>
      <c r="D1774" s="31"/>
      <c r="E1774" s="31"/>
      <c r="F1774" s="268"/>
      <c r="G1774" s="269"/>
      <c r="H1774" s="269"/>
      <c r="I1774" s="270"/>
      <c r="J1774" s="210"/>
      <c r="K1774" s="270"/>
      <c r="L1774" s="270"/>
      <c r="M1774" s="39"/>
      <c r="N1774" s="39"/>
      <c r="O1774" s="156"/>
      <c r="P1774" s="47"/>
      <c r="Q1774" s="57"/>
      <c r="R1774" s="338"/>
      <c r="S1774" s="272"/>
      <c r="T1774" s="273"/>
      <c r="U1774" s="40"/>
      <c r="V1774" s="277"/>
      <c r="W1774" s="269"/>
      <c r="X1774" s="269"/>
      <c r="Y1774" s="275"/>
      <c r="Z1774" s="269"/>
      <c r="AA1774" s="57"/>
      <c r="AB1774" s="207"/>
      <c r="AC1774" s="33"/>
      <c r="AD1774" s="189"/>
      <c r="AE1774" s="54"/>
      <c r="AF1774" s="55"/>
      <c r="AG1774" s="43"/>
      <c r="AH1774" s="47"/>
      <c r="AI1774" s="30"/>
      <c r="AJ1774" s="30"/>
      <c r="AK1774" s="30"/>
      <c r="AL1774" s="30"/>
      <c r="AM1774" s="13"/>
      <c r="AN1774" s="13"/>
      <c r="AO1774" s="13"/>
      <c r="AP1774" s="13"/>
      <c r="AQ1774" s="13"/>
      <c r="AR1774" s="14"/>
      <c r="AS1774" s="15"/>
    </row>
    <row r="1775" spans="1:45" s="17" customFormat="1" ht="30.6" hidden="1" customHeight="1" x14ac:dyDescent="0.2">
      <c r="A1775" s="37"/>
      <c r="B1775" s="38"/>
      <c r="C1775" s="45"/>
      <c r="D1775" s="31">
        <v>3750065</v>
      </c>
      <c r="E1775" s="31">
        <v>4162261</v>
      </c>
      <c r="F1775" s="268" t="str">
        <f>IF(D1775="","",VLOOKUP(D1775,契約台帳!$A$3:$K$4986,6,FALSE)&amp;VLOOKUP(D1775,契約台帳!$A$3:$K$4986,7,FALSE)&amp;VLOOKUP(D1775,契約台帳!$A$3:$K$4986,8,FALSE)&amp;VLOOKUP(D1775,契約台帳!$A$3:$K$4986,9,FALSE)&amp;VLOOKUP(D1775,契約台帳!$A$3:$K$4986,11,FALSE))</f>
        <v>3SNMLBMNGKKBF</v>
      </c>
      <c r="G1775" s="269" t="str">
        <f>IF(D1775="","",VLOOKUP(F1775,製品マスタ!$G$5:$H$5002,2,FALSE))</f>
        <v>S</v>
      </c>
      <c r="H1775" s="269" t="str">
        <f>IF(D1775="","",VLOOKUP(F1775,製品マスタ!$G$5:$K$5002,5,FALSE))</f>
        <v>MNGKKBF</v>
      </c>
      <c r="I1775" s="270" t="str">
        <f>IF(D1775="","",VLOOKUP(F1775,製品マスタ!$G$5:$L$5002,6,FALSE))</f>
        <v>メタルミー　ネーマー銀消改　Ｂ</v>
      </c>
      <c r="J1775" s="210" t="s">
        <v>935</v>
      </c>
      <c r="K1775" s="270">
        <f>IF(D1775="","",VLOOKUP(D1775,契約台帳!$A$3:$L$4986,12,FALSE))</f>
        <v>25</v>
      </c>
      <c r="L1775" s="270" t="str">
        <f>IF(D1775="","",INDEX(製品マスタ!$Q$5:$Q$5002,MATCH('S4'!F1775&amp;'S4'!K1775,製品マスタ!$AO$5:$AO$5002,0)))</f>
        <v>FMATS99</v>
      </c>
      <c r="M1775" s="39">
        <v>1120</v>
      </c>
      <c r="N1775" s="39">
        <v>4000</v>
      </c>
      <c r="O1775" s="156">
        <v>4</v>
      </c>
      <c r="P1775" s="47">
        <v>2</v>
      </c>
      <c r="Q1775" s="213">
        <v>45383</v>
      </c>
      <c r="R1775" s="271">
        <f ca="1">IF(D1775="","",IF(OFFSET(D1775,-1,0)&lt;&gt;"","",IF(OR(J1775="リード付け",J1775="巻足し",J1775="巻返しリード付け"),M1775,VLOOKUP(D1775,契約台帳!$A$3:$N$4986,14,FALSE))))</f>
        <v>1120</v>
      </c>
      <c r="S1775" s="272">
        <f ca="1">IF(D1775="","",IF(OFFSET(D1775,-1,0)&lt;&gt;"","",IF(OR(J1775="リード付け",J1775="巻足し",J1775="巻返しリード付け"),M1775,VLOOKUP(D1775,契約台帳!$A$3:$O$4986,15,FALSE))))</f>
        <v>1120</v>
      </c>
      <c r="T1775" s="273">
        <f ca="1">IF(D1775="","",IF(J1775="リード付け",N1775,IF(J1775="巻返しリード付け",N1775,IF(J1775="巻足し",N1775*P1775+OFFSET(N1775,1,0)*OFFSET(P1775,1,0),VLOOKUP(D1775,契約台帳!$A$3:$P$4986,16,FALSE)))))</f>
        <v>8000</v>
      </c>
      <c r="U1775" s="40">
        <v>2</v>
      </c>
      <c r="V1775" s="274">
        <f ca="1">IF(D1775="","",IF(OFFSET(D1775,-2,0)=D1775,"",VLOOKUP(D1775,契約台帳!$A$3:$R$4986,18,FALSE)))</f>
        <v>4</v>
      </c>
      <c r="W1775" s="269" t="str">
        <f ca="1">IF(D1775="","",IF(T1775="","",IF(OR(J1775="巻足し",J1775="巻返しリード付け"),"",IF(J1775="巻返し",VLOOKUP(F1775&amp;K1775&amp;M1775,製品マスタ!$M$5:$AD$5002,18,FALSE),IF(OR(J1775="リード付け",J1775="巻返しリード付け"),"原反コア",IF(J1775="スリット",VLOOKUP(F1775&amp;K1775&amp;R1775,製品マスタ!$N$5:$AD$5002,17,FALSE),""))))))</f>
        <v/>
      </c>
      <c r="X1775" s="269" t="str">
        <f ca="1">IF(D1775="","",IF(T1775="","",IF(J1775="巻足し","",IF(J1775="巻返し",VLOOKUP(F1775&amp;K1775&amp;M1775,製品マスタ!$M$5:$AE$5002,19,FALSE),IF(OR(J1775="リード付け",J1775="巻返しリード付け"),"",IF(J1775="スリット",VLOOKUP(F1775&amp;K1775&amp;R1775,製品マスタ!$N$5:$AE$5002,18,FALSE),""))))))</f>
        <v/>
      </c>
      <c r="Y1775" s="275">
        <f ca="1">IF(D1775="","",IF(T1775="","",VLOOKUP(D1775,契約台帳!$A$3:$Q$4986,17,FALSE)))</f>
        <v>2</v>
      </c>
      <c r="Z1775" s="269" t="str">
        <f ca="1">IF(D1775="","",IF(T1775="","",VLOOKUP(D1775,契約台帳!$A$3:$E$4986,5,FALSE)))</f>
        <v>リンテック㈱</v>
      </c>
      <c r="AA1775" s="57"/>
      <c r="AB1775" s="207">
        <f>IFERROR((VLOOKUP(F1775&amp;K1775&amp;M1775,製品マスタ!$M$5:$AM$5002,27,FALSE)),"")</f>
        <v>0</v>
      </c>
      <c r="AC1775" s="33"/>
      <c r="AD1775" s="189"/>
      <c r="AE1775" s="54"/>
      <c r="AF1775" s="55">
        <f>+M1775*N1775*O1775/1000</f>
        <v>17920</v>
      </c>
      <c r="AG1775" s="43"/>
      <c r="AH1775" s="47"/>
      <c r="AI1775" s="30"/>
      <c r="AJ1775" s="30"/>
      <c r="AK1775" s="30"/>
      <c r="AL1775" s="30"/>
      <c r="AM1775" s="13"/>
      <c r="AN1775" s="13"/>
      <c r="AO1775" s="13"/>
      <c r="AP1775" s="13"/>
      <c r="AQ1775" s="13"/>
      <c r="AR1775" s="14"/>
      <c r="AS1775" s="15"/>
    </row>
    <row r="1776" spans="1:45" s="17" customFormat="1" ht="30.95" hidden="1" customHeight="1" x14ac:dyDescent="0.2">
      <c r="A1776" s="37"/>
      <c r="B1776" s="38"/>
      <c r="C1776" s="45"/>
      <c r="D1776" s="31"/>
      <c r="E1776" s="31"/>
      <c r="F1776" s="268"/>
      <c r="G1776" s="269"/>
      <c r="H1776" s="269"/>
      <c r="I1776" s="270"/>
      <c r="J1776" s="210"/>
      <c r="K1776" s="270"/>
      <c r="L1776" s="270"/>
      <c r="M1776" s="39"/>
      <c r="N1776" s="39"/>
      <c r="O1776" s="156"/>
      <c r="P1776" s="47"/>
      <c r="Q1776" s="57"/>
      <c r="R1776" s="338"/>
      <c r="S1776" s="272"/>
      <c r="T1776" s="273"/>
      <c r="U1776" s="40"/>
      <c r="V1776" s="277"/>
      <c r="W1776" s="269"/>
      <c r="X1776" s="269"/>
      <c r="Y1776" s="275"/>
      <c r="Z1776" s="269"/>
      <c r="AA1776" s="57"/>
      <c r="AB1776" s="207"/>
      <c r="AC1776" s="33"/>
      <c r="AD1776" s="189"/>
      <c r="AE1776" s="54"/>
      <c r="AF1776" s="55"/>
      <c r="AG1776" s="43"/>
      <c r="AH1776" s="47"/>
      <c r="AI1776" s="30"/>
      <c r="AJ1776" s="30"/>
      <c r="AK1776" s="30"/>
      <c r="AL1776" s="30"/>
      <c r="AM1776" s="13"/>
      <c r="AN1776" s="13"/>
      <c r="AO1776" s="13"/>
      <c r="AP1776" s="13"/>
      <c r="AQ1776" s="13"/>
      <c r="AR1776" s="14"/>
      <c r="AS1776" s="15"/>
    </row>
    <row r="1777" spans="1:45" s="17" customFormat="1" ht="30.95" hidden="1" customHeight="1" x14ac:dyDescent="0.2">
      <c r="A1777" s="37"/>
      <c r="B1777" s="38"/>
      <c r="C1777" s="45"/>
      <c r="D1777" s="31">
        <v>3750080</v>
      </c>
      <c r="E1777" s="31">
        <v>4162290</v>
      </c>
      <c r="F1777" s="268" t="str">
        <f>IF(D1777="","",VLOOKUP(D1777,契約台帳!$A$3:$K$4986,6,FALSE)&amp;VLOOKUP(D1777,契約台帳!$A$3:$K$4986,7,FALSE)&amp;VLOOKUP(D1777,契約台帳!$A$3:$K$4986,8,FALSE)&amp;VLOOKUP(D1777,契約台帳!$A$3:$K$4986,9,FALSE)&amp;VLOOKUP(D1777,契約台帳!$A$3:$K$4986,11,FALSE))</f>
        <v>3SNMLBMNQR66F</v>
      </c>
      <c r="G1777" s="269" t="str">
        <f>IF(D1777="","",VLOOKUP(F1777,製品マスタ!$G$5:$H$5002,2,FALSE))</f>
        <v>S</v>
      </c>
      <c r="H1777" s="269" t="str">
        <f>IF(D1777="","",VLOOKUP(F1777,製品マスタ!$G$5:$K$5002,5,FALSE))</f>
        <v>MNQR66F</v>
      </c>
      <c r="I1777" s="270" t="str">
        <f>IF(D1777="","",VLOOKUP(F1777,製品マスタ!$G$5:$L$5002,6,FALSE))</f>
        <v>ＱＲ６６蒸着品</v>
      </c>
      <c r="J1777" s="210" t="s">
        <v>935</v>
      </c>
      <c r="K1777" s="270">
        <f>IF(D1777="","",VLOOKUP(D1777,契約台帳!$A$3:$L$4986,12,FALSE))</f>
        <v>25</v>
      </c>
      <c r="L1777" s="270" t="str">
        <f>IF(D1777="","",INDEX(製品マスタ!$Q$5:$Q$5002,MATCH('S4'!F1777&amp;'S4'!K1777,製品マスタ!$AO$5:$AO$5002,0)))</f>
        <v>E315</v>
      </c>
      <c r="M1777" s="39">
        <v>1100</v>
      </c>
      <c r="N1777" s="39">
        <v>6000</v>
      </c>
      <c r="O1777" s="156">
        <v>6</v>
      </c>
      <c r="P1777" s="47">
        <v>3</v>
      </c>
      <c r="Q1777" s="213">
        <v>45379</v>
      </c>
      <c r="R1777" s="271">
        <f ca="1">IF(D1777="","",IF(OFFSET(D1777,-1,0)&lt;&gt;"","",IF(OR(J1777="リード付け",J1777="巻足し",J1777="巻返しリード付け"),M1777,VLOOKUP(D1777,契約台帳!$A$3:$N$4986,14,FALSE))))</f>
        <v>1100</v>
      </c>
      <c r="S1777" s="272">
        <f ca="1">IF(D1777="","",IF(OFFSET(D1777,-1,0)&lt;&gt;"","",IF(OR(J1777="リード付け",J1777="巻足し",J1777="巻返しリード付け"),M1777,VLOOKUP(D1777,契約台帳!$A$3:$O$4986,15,FALSE))))</f>
        <v>1100</v>
      </c>
      <c r="T1777" s="273">
        <f ca="1">IF(D1777="","",IF(J1777="リード付け",N1777,IF(J1777="巻返しリード付け",N1777,IF(J1777="巻足し",N1777*P1777+OFFSET(N1777,1,0)*OFFSET(P1777,1,0),VLOOKUP(D1777,契約台帳!$A$3:$P$4986,16,FALSE)))))</f>
        <v>18000</v>
      </c>
      <c r="U1777" s="40">
        <v>2</v>
      </c>
      <c r="V1777" s="274">
        <f ca="1">IF(D1777="","",IF(OFFSET(D1777,-2,0)=D1777,"",VLOOKUP(D1777,契約台帳!$A$3:$R$4986,18,FALSE)))</f>
        <v>10</v>
      </c>
      <c r="W1777" s="269" t="str">
        <f ca="1">IF(D1777="","",IF(T1777="","",IF(OR(J1777="巻足し",J1777="巻返しリード付け"),"",IF(J1777="巻返し",VLOOKUP(F1777&amp;K1777&amp;M1777,製品マスタ!$M$5:$AD$5002,18,FALSE),IF(OR(J1777="リード付け",J1777="巻返しリード付け"),"原反コア",IF(J1777="スリット",VLOOKUP(F1777&amp;K1777&amp;R1777,製品マスタ!$N$5:$AD$5002,17,FALSE),""))))))</f>
        <v/>
      </c>
      <c r="X1777" s="269" t="str">
        <f ca="1">IF(D1777="","",IF(T1777="","",IF(J1777="巻足し","",IF(J1777="巻返し",VLOOKUP(F1777&amp;K1777&amp;M1777,製品マスタ!$M$5:$AE$5002,19,FALSE),IF(OR(J1777="リード付け",J1777="巻返しリード付け"),"",IF(J1777="スリット",VLOOKUP(F1777&amp;K1777&amp;R1777,製品マスタ!$N$5:$AE$5002,18,FALSE),""))))))</f>
        <v/>
      </c>
      <c r="Y1777" s="275">
        <f ca="1">IF(D1777="","",IF(T1777="","",VLOOKUP(D1777,契約台帳!$A$3:$Q$4986,17,FALSE)))</f>
        <v>2</v>
      </c>
      <c r="Z1777" s="269" t="str">
        <f ca="1">IF(D1777="","",IF(T1777="","",VLOOKUP(D1777,契約台帳!$A$3:$E$4986,5,FALSE)))</f>
        <v>リンテック㈱</v>
      </c>
      <c r="AA1777" s="57"/>
      <c r="AB1777" s="207" t="str">
        <f>IFERROR((VLOOKUP(F1777&amp;K1777&amp;M1777,製品マスタ!$M$5:$AM$5002,27,FALSE)),"")</f>
        <v>原反ケース再利用</v>
      </c>
      <c r="AC1777" s="33"/>
      <c r="AD1777" s="189"/>
      <c r="AE1777" s="54"/>
      <c r="AF1777" s="55">
        <f>+M1777*N1777*O1777/1000</f>
        <v>39600</v>
      </c>
      <c r="AG1777" s="43"/>
      <c r="AH1777" s="47"/>
      <c r="AI1777" s="30"/>
      <c r="AJ1777" s="30"/>
      <c r="AK1777" s="30"/>
      <c r="AL1777" s="30"/>
      <c r="AM1777" s="13"/>
      <c r="AN1777" s="13"/>
      <c r="AO1777" s="13"/>
      <c r="AP1777" s="13"/>
      <c r="AQ1777" s="13"/>
      <c r="AR1777" s="14"/>
      <c r="AS1777" s="15"/>
    </row>
    <row r="1778" spans="1:45" s="17" customFormat="1" ht="30.95" hidden="1" customHeight="1" x14ac:dyDescent="0.2">
      <c r="A1778" s="37"/>
      <c r="B1778" s="38"/>
      <c r="C1778" s="45"/>
      <c r="D1778" s="31"/>
      <c r="E1778" s="31"/>
      <c r="F1778" s="268"/>
      <c r="G1778" s="269"/>
      <c r="H1778" s="269"/>
      <c r="I1778" s="270"/>
      <c r="J1778" s="210"/>
      <c r="K1778" s="270"/>
      <c r="L1778" s="270"/>
      <c r="M1778" s="39"/>
      <c r="N1778" s="39"/>
      <c r="O1778" s="156"/>
      <c r="P1778" s="47"/>
      <c r="Q1778" s="57"/>
      <c r="R1778" s="338"/>
      <c r="S1778" s="272"/>
      <c r="T1778" s="273"/>
      <c r="U1778" s="40"/>
      <c r="V1778" s="277"/>
      <c r="W1778" s="269"/>
      <c r="X1778" s="269"/>
      <c r="Y1778" s="275"/>
      <c r="Z1778" s="269"/>
      <c r="AA1778" s="57"/>
      <c r="AB1778" s="207"/>
      <c r="AC1778" s="33"/>
      <c r="AD1778" s="189"/>
      <c r="AE1778" s="54"/>
      <c r="AF1778" s="55"/>
      <c r="AG1778" s="43"/>
      <c r="AH1778" s="47"/>
      <c r="AI1778" s="30"/>
      <c r="AJ1778" s="30"/>
      <c r="AK1778" s="30"/>
      <c r="AL1778" s="30"/>
      <c r="AM1778" s="13"/>
      <c r="AN1778" s="13"/>
      <c r="AO1778" s="13"/>
      <c r="AP1778" s="13"/>
      <c r="AQ1778" s="13"/>
      <c r="AR1778" s="14"/>
      <c r="AS1778" s="15"/>
    </row>
    <row r="1779" spans="1:45" s="17" customFormat="1" ht="30.95" hidden="1" customHeight="1" x14ac:dyDescent="0.2">
      <c r="A1779" s="37" t="s">
        <v>2366</v>
      </c>
      <c r="B1779" s="38" t="s">
        <v>2367</v>
      </c>
      <c r="C1779" s="45"/>
      <c r="D1779" s="31">
        <v>3750080</v>
      </c>
      <c r="E1779" s="31">
        <v>4162290</v>
      </c>
      <c r="F1779" s="268" t="str">
        <f>IF(D1779="","",VLOOKUP(D1779,契約台帳!$A$3:$K$4986,6,FALSE)&amp;VLOOKUP(D1779,契約台帳!$A$3:$K$4986,7,FALSE)&amp;VLOOKUP(D1779,契約台帳!$A$3:$K$4986,8,FALSE)&amp;VLOOKUP(D1779,契約台帳!$A$3:$K$4986,9,FALSE)&amp;VLOOKUP(D1779,契約台帳!$A$3:$K$4986,11,FALSE))</f>
        <v>3SNMLBMNQR66F</v>
      </c>
      <c r="G1779" s="269" t="str">
        <f>IF(D1779="","",VLOOKUP(F1779,製品マスタ!$G$5:$H$5002,2,FALSE))</f>
        <v>S</v>
      </c>
      <c r="H1779" s="269" t="str">
        <f>IF(D1779="","",VLOOKUP(F1779,製品マスタ!$G$5:$K$5002,5,FALSE))</f>
        <v>MNQR66F</v>
      </c>
      <c r="I1779" s="270" t="str">
        <f>IF(D1779="","",VLOOKUP(F1779,製品マスタ!$G$5:$L$5002,6,FALSE))</f>
        <v>ＱＲ６６蒸着品</v>
      </c>
      <c r="J1779" s="210" t="s">
        <v>935</v>
      </c>
      <c r="K1779" s="270">
        <f>IF(D1779="","",VLOOKUP(D1779,契約台帳!$A$3:$L$4986,12,FALSE))</f>
        <v>25</v>
      </c>
      <c r="L1779" s="270" t="str">
        <f>IF(D1779="","",INDEX(製品マスタ!$Q$5:$Q$5002,MATCH('S4'!F1779&amp;'S4'!K1779,製品マスタ!$AO$5:$AO$5002,0)))</f>
        <v>E315</v>
      </c>
      <c r="M1779" s="39">
        <v>1100</v>
      </c>
      <c r="N1779" s="39">
        <v>6000</v>
      </c>
      <c r="O1779" s="156">
        <v>4</v>
      </c>
      <c r="P1779" s="47">
        <v>2</v>
      </c>
      <c r="Q1779" s="213">
        <v>45379</v>
      </c>
      <c r="R1779" s="271">
        <f ca="1">IF(D1779="","",IF(OFFSET(D1779,-1,0)&lt;&gt;"","",IF(OR(J1779="リード付け",J1779="巻足し",J1779="巻返しリード付け"),M1779,VLOOKUP(D1779,契約台帳!$A$3:$N$4986,14,FALSE))))</f>
        <v>1100</v>
      </c>
      <c r="S1779" s="272">
        <f ca="1">IF(D1779="","",IF(OFFSET(D1779,-1,0)&lt;&gt;"","",IF(OR(J1779="リード付け",J1779="巻足し",J1779="巻返しリード付け"),M1779,VLOOKUP(D1779,契約台帳!$A$3:$O$4986,15,FALSE))))</f>
        <v>1100</v>
      </c>
      <c r="T1779" s="273">
        <f ca="1">IF(D1779="","",IF(J1779="リード付け",N1779,IF(J1779="巻返しリード付け",N1779,IF(J1779="巻足し",N1779*P1779+OFFSET(N1779,1,0)*OFFSET(P1779,1,0),VLOOKUP(D1779,契約台帳!$A$3:$P$4986,16,FALSE)))))</f>
        <v>12000</v>
      </c>
      <c r="U1779" s="40">
        <v>2</v>
      </c>
      <c r="V1779" s="274" t="str">
        <f ca="1">IF(D1779="","",IF(OFFSET(D1779,-2,0)=D1779,"",VLOOKUP(D1779,契約台帳!$A$3:$R$4986,18,FALSE)))</f>
        <v/>
      </c>
      <c r="W1779" s="269" t="str">
        <f ca="1">IF(D1779="","",IF(T1779="","",IF(OR(J1779="巻足し",J1779="巻返しリード付け"),"",IF(J1779="巻返し",VLOOKUP(F1779&amp;K1779&amp;M1779,製品マスタ!$M$5:$AD$5002,18,FALSE),IF(OR(J1779="リード付け",J1779="巻返しリード付け"),"原反コア",IF(J1779="スリット",VLOOKUP(F1779&amp;K1779&amp;R1779,製品マスタ!$N$5:$AD$5002,17,FALSE),""))))))</f>
        <v/>
      </c>
      <c r="X1779" s="269" t="str">
        <f ca="1">IF(D1779="","",IF(T1779="","",IF(J1779="巻足し","",IF(J1779="巻返し",VLOOKUP(F1779&amp;K1779&amp;M1779,製品マスタ!$M$5:$AE$5002,19,FALSE),IF(OR(J1779="リード付け",J1779="巻返しリード付け"),"",IF(J1779="スリット",VLOOKUP(F1779&amp;K1779&amp;R1779,製品マスタ!$N$5:$AE$5002,18,FALSE),""))))))</f>
        <v/>
      </c>
      <c r="Y1779" s="275">
        <f ca="1">IF(D1779="","",IF(T1779="","",VLOOKUP(D1779,契約台帳!$A$3:$Q$4986,17,FALSE)))</f>
        <v>2</v>
      </c>
      <c r="Z1779" s="269" t="str">
        <f ca="1">IF(D1779="","",IF(T1779="","",VLOOKUP(D1779,契約台帳!$A$3:$E$4986,5,FALSE)))</f>
        <v>リンテック㈱</v>
      </c>
      <c r="AA1779" s="57"/>
      <c r="AB1779" s="207" t="str">
        <f>IFERROR((VLOOKUP(F1779&amp;K1779&amp;M1779,製品マスタ!$M$5:$AM$5002,27,FALSE)),"")</f>
        <v>原反ケース再利用</v>
      </c>
      <c r="AC1779" s="33"/>
      <c r="AD1779" s="189"/>
      <c r="AE1779" s="54"/>
      <c r="AF1779" s="55">
        <f>+M1779*N1779*O1779/1000</f>
        <v>26400</v>
      </c>
      <c r="AG1779" s="43"/>
      <c r="AH1779" s="47"/>
      <c r="AI1779" s="30"/>
      <c r="AJ1779" s="30"/>
      <c r="AK1779" s="30"/>
      <c r="AL1779" s="30"/>
      <c r="AM1779" s="13"/>
      <c r="AN1779" s="13"/>
      <c r="AO1779" s="13"/>
      <c r="AP1779" s="13"/>
      <c r="AQ1779" s="13"/>
      <c r="AR1779" s="14"/>
      <c r="AS1779" s="15"/>
    </row>
    <row r="1780" spans="1:45" s="17" customFormat="1" ht="30.95" hidden="1" customHeight="1" x14ac:dyDescent="0.2">
      <c r="A1780" s="37"/>
      <c r="B1780" s="38"/>
      <c r="C1780" s="45"/>
      <c r="D1780" s="31"/>
      <c r="E1780" s="31"/>
      <c r="F1780" s="268"/>
      <c r="G1780" s="269"/>
      <c r="H1780" s="269"/>
      <c r="I1780" s="270"/>
      <c r="J1780" s="210"/>
      <c r="K1780" s="270"/>
      <c r="L1780" s="270"/>
      <c r="M1780" s="39"/>
      <c r="N1780" s="39"/>
      <c r="O1780" s="156"/>
      <c r="P1780" s="47"/>
      <c r="Q1780" s="57"/>
      <c r="R1780" s="338"/>
      <c r="S1780" s="272"/>
      <c r="T1780" s="273"/>
      <c r="U1780" s="40"/>
      <c r="V1780" s="277"/>
      <c r="W1780" s="269"/>
      <c r="X1780" s="269"/>
      <c r="Y1780" s="275"/>
      <c r="Z1780" s="269"/>
      <c r="AA1780" s="57"/>
      <c r="AB1780" s="207"/>
      <c r="AC1780" s="33"/>
      <c r="AD1780" s="189"/>
      <c r="AE1780" s="54"/>
      <c r="AF1780" s="55"/>
      <c r="AG1780" s="43"/>
      <c r="AH1780" s="47"/>
      <c r="AI1780" s="30"/>
      <c r="AJ1780" s="30"/>
      <c r="AK1780" s="30"/>
      <c r="AL1780" s="30"/>
      <c r="AM1780" s="13"/>
      <c r="AN1780" s="13"/>
      <c r="AO1780" s="13"/>
      <c r="AP1780" s="13"/>
      <c r="AQ1780" s="13"/>
      <c r="AR1780" s="14"/>
      <c r="AS1780" s="15"/>
    </row>
    <row r="1781" spans="1:45" s="17" customFormat="1" ht="30.95" hidden="1" customHeight="1" x14ac:dyDescent="0.2">
      <c r="A1781" s="37"/>
      <c r="B1781" s="38"/>
      <c r="C1781" s="45"/>
      <c r="D1781" s="31">
        <v>3750067</v>
      </c>
      <c r="E1781" s="31">
        <v>4162260</v>
      </c>
      <c r="F1781" s="268" t="str">
        <f>IF(D1781="","",VLOOKUP(D1781,契約台帳!$A$3:$K$4986,6,FALSE)&amp;VLOOKUP(D1781,契約台帳!$A$3:$K$4986,7,FALSE)&amp;VLOOKUP(D1781,契約台帳!$A$3:$K$4986,8,FALSE)&amp;VLOOKUP(D1781,契約台帳!$A$3:$K$4986,9,FALSE)&amp;VLOOKUP(D1781,契約台帳!$A$3:$K$4986,11,FALSE))</f>
        <v>3SNMLBMNGKBF</v>
      </c>
      <c r="G1781" s="269" t="str">
        <f>IF(D1781="","",VLOOKUP(F1781,製品マスタ!$G$5:$H$5002,2,FALSE))</f>
        <v>S</v>
      </c>
      <c r="H1781" s="269" t="str">
        <f>IF(D1781="","",VLOOKUP(F1781,製品マスタ!$G$5:$K$5002,5,FALSE))</f>
        <v>MNGKBF</v>
      </c>
      <c r="I1781" s="270" t="str">
        <f>IF(D1781="","",VLOOKUP(F1781,製品マスタ!$G$5:$L$5002,6,FALSE))</f>
        <v>メタルミー　ネーマー銀消　Ｂ</v>
      </c>
      <c r="J1781" s="210" t="s">
        <v>935</v>
      </c>
      <c r="K1781" s="270">
        <f>IF(D1781="","",VLOOKUP(D1781,契約台帳!$A$3:$L$4986,12,FALSE))</f>
        <v>50</v>
      </c>
      <c r="L1781" s="270" t="str">
        <f>IF(D1781="","",INDEX(製品マスタ!$Q$5:$Q$5002,MATCH('S4'!F1781&amp;'S4'!K1781,製品マスタ!$AO$5:$AO$5002,0)))</f>
        <v>MAT</v>
      </c>
      <c r="M1781" s="39">
        <v>1050</v>
      </c>
      <c r="N1781" s="39">
        <v>4100</v>
      </c>
      <c r="O1781" s="156">
        <v>6</v>
      </c>
      <c r="P1781" s="47">
        <v>3</v>
      </c>
      <c r="Q1781" s="213">
        <v>45383</v>
      </c>
      <c r="R1781" s="271">
        <f ca="1">IF(D1781="","",IF(OFFSET(D1781,-1,0)&lt;&gt;"","",IF(OR(J1781="リード付け",J1781="巻足し",J1781="巻返しリード付け"),M1781,VLOOKUP(D1781,契約台帳!$A$3:$N$4986,14,FALSE))))</f>
        <v>1050</v>
      </c>
      <c r="S1781" s="272">
        <f ca="1">IF(D1781="","",IF(OFFSET(D1781,-1,0)&lt;&gt;"","",IF(OR(J1781="リード付け",J1781="巻足し",J1781="巻返しリード付け"),M1781,VLOOKUP(D1781,契約台帳!$A$3:$O$4986,15,FALSE))))</f>
        <v>1050</v>
      </c>
      <c r="T1781" s="273">
        <f ca="1">IF(D1781="","",IF(J1781="リード付け",N1781,IF(J1781="巻返しリード付け",N1781,IF(J1781="巻足し",N1781*P1781+OFFSET(N1781,1,0)*OFFSET(P1781,1,0),VLOOKUP(D1781,契約台帳!$A$3:$P$4986,16,FALSE)))))</f>
        <v>12300</v>
      </c>
      <c r="U1781" s="40">
        <v>2</v>
      </c>
      <c r="V1781" s="274">
        <f ca="1">IF(D1781="","",IF(OFFSET(D1781,-2,0)=D1781,"",VLOOKUP(D1781,契約台帳!$A$3:$R$4986,18,FALSE)))</f>
        <v>6</v>
      </c>
      <c r="W1781" s="269" t="str">
        <f ca="1">IF(D1781="","",IF(T1781="","",IF(OR(J1781="巻足し",J1781="巻返しリード付け"),"",IF(J1781="巻返し",VLOOKUP(F1781&amp;K1781&amp;M1781,製品マスタ!$M$5:$AD$5002,18,FALSE),IF(OR(J1781="リード付け",J1781="巻返しリード付け"),"原反コア",IF(J1781="スリット",VLOOKUP(F1781&amp;K1781&amp;R1781,製品マスタ!$N$5:$AD$5002,17,FALSE),""))))))</f>
        <v/>
      </c>
      <c r="X1781" s="269" t="str">
        <f ca="1">IF(D1781="","",IF(T1781="","",IF(J1781="巻足し","",IF(J1781="巻返し",VLOOKUP(F1781&amp;K1781&amp;M1781,製品マスタ!$M$5:$AE$5002,19,FALSE),IF(OR(J1781="リード付け",J1781="巻返しリード付け"),"",IF(J1781="スリット",VLOOKUP(F1781&amp;K1781&amp;R1781,製品マスタ!$N$5:$AE$5002,18,FALSE),""))))))</f>
        <v/>
      </c>
      <c r="Y1781" s="275">
        <f ca="1">IF(D1781="","",IF(T1781="","",VLOOKUP(D1781,契約台帳!$A$3:$Q$4986,17,FALSE)))</f>
        <v>2</v>
      </c>
      <c r="Z1781" s="269" t="str">
        <f ca="1">IF(D1781="","",IF(T1781="","",VLOOKUP(D1781,契約台帳!$A$3:$E$4986,5,FALSE)))</f>
        <v>リンテック㈱</v>
      </c>
      <c r="AA1781" s="57"/>
      <c r="AB1781" s="207">
        <f>IFERROR((VLOOKUP(F1781&amp;K1781&amp;M1781,製品マスタ!$M$5:$AM$5002,27,FALSE)),"")</f>
        <v>0</v>
      </c>
      <c r="AC1781" s="33"/>
      <c r="AD1781" s="189"/>
      <c r="AE1781" s="54"/>
      <c r="AF1781" s="55">
        <f>+M1781*N1781*O1781/1000</f>
        <v>25830</v>
      </c>
      <c r="AG1781" s="43"/>
      <c r="AH1781" s="47"/>
      <c r="AI1781" s="30"/>
      <c r="AJ1781" s="30"/>
      <c r="AK1781" s="30"/>
      <c r="AL1781" s="30"/>
      <c r="AM1781" s="13"/>
      <c r="AN1781" s="13"/>
      <c r="AO1781" s="13"/>
      <c r="AP1781" s="13"/>
      <c r="AQ1781" s="13"/>
      <c r="AR1781" s="14"/>
      <c r="AS1781" s="15"/>
    </row>
    <row r="1782" spans="1:45" s="17" customFormat="1" ht="30.95" hidden="1" customHeight="1" x14ac:dyDescent="0.2">
      <c r="A1782" s="37"/>
      <c r="B1782" s="38"/>
      <c r="C1782" s="45"/>
      <c r="D1782" s="31"/>
      <c r="E1782" s="31"/>
      <c r="F1782" s="268"/>
      <c r="G1782" s="269"/>
      <c r="H1782" s="269"/>
      <c r="I1782" s="270"/>
      <c r="J1782" s="210"/>
      <c r="K1782" s="270"/>
      <c r="L1782" s="270"/>
      <c r="M1782" s="39"/>
      <c r="N1782" s="39"/>
      <c r="O1782" s="156"/>
      <c r="P1782" s="47"/>
      <c r="Q1782" s="57"/>
      <c r="R1782" s="338"/>
      <c r="S1782" s="272"/>
      <c r="T1782" s="273"/>
      <c r="U1782" s="40"/>
      <c r="V1782" s="277"/>
      <c r="W1782" s="269"/>
      <c r="X1782" s="269"/>
      <c r="Y1782" s="275"/>
      <c r="Z1782" s="269"/>
      <c r="AA1782" s="57"/>
      <c r="AB1782" s="207"/>
      <c r="AC1782" s="33"/>
      <c r="AD1782" s="189"/>
      <c r="AE1782" s="54"/>
      <c r="AF1782" s="55"/>
      <c r="AG1782" s="43"/>
      <c r="AH1782" s="47"/>
      <c r="AI1782" s="30"/>
      <c r="AJ1782" s="30"/>
      <c r="AK1782" s="30"/>
      <c r="AL1782" s="30"/>
      <c r="AM1782" s="13"/>
      <c r="AN1782" s="13"/>
      <c r="AO1782" s="13"/>
      <c r="AP1782" s="13"/>
      <c r="AQ1782" s="13"/>
      <c r="AR1782" s="14"/>
      <c r="AS1782" s="15"/>
    </row>
    <row r="1783" spans="1:45" s="17" customFormat="1" ht="30.95" hidden="1" customHeight="1" x14ac:dyDescent="0.2">
      <c r="A1783" s="37"/>
      <c r="B1783" s="38"/>
      <c r="C1783" s="45"/>
      <c r="D1783" s="31">
        <v>3750083</v>
      </c>
      <c r="E1783" s="31">
        <v>4162289</v>
      </c>
      <c r="F1783" s="268" t="str">
        <f>IF(D1783="","",VLOOKUP(D1783,契約台帳!$A$3:$K$4986,6,FALSE)&amp;VLOOKUP(D1783,契約台帳!$A$3:$K$4986,7,FALSE)&amp;VLOOKUP(D1783,契約台帳!$A$3:$K$4986,8,FALSE)&amp;VLOOKUP(D1783,契約台帳!$A$3:$K$4986,9,FALSE)&amp;VLOOKUP(D1783,契約台帳!$A$3:$K$4986,11,FALSE))</f>
        <v>3SNMLBMNNGKBF</v>
      </c>
      <c r="G1783" s="269" t="str">
        <f>IF(D1783="","",VLOOKUP(F1783,製品マスタ!$G$5:$H$5002,2,FALSE))</f>
        <v>S</v>
      </c>
      <c r="H1783" s="269" t="str">
        <f>IF(D1783="","",VLOOKUP(F1783,製品マスタ!$G$5:$K$5002,5,FALSE))</f>
        <v>MNNGKBF</v>
      </c>
      <c r="I1783" s="270" t="str">
        <f>IF(D1783="","",VLOOKUP(F1783,製品マスタ!$G$5:$L$5002,6,FALSE))</f>
        <v>メタルミー　ニューネーマー銀消　Ｂ</v>
      </c>
      <c r="J1783" s="210" t="s">
        <v>935</v>
      </c>
      <c r="K1783" s="270">
        <f>IF(D1783="","",VLOOKUP(D1783,契約台帳!$A$3:$L$4986,12,FALSE))</f>
        <v>25</v>
      </c>
      <c r="L1783" s="270" t="str">
        <f>IF(D1783="","",INDEX(製品マスタ!$Q$5:$Q$5002,MATCH('S4'!F1783&amp;'S4'!K1783,製品マスタ!$AO$5:$AO$5002,0)))</f>
        <v>X44C</v>
      </c>
      <c r="M1783" s="39">
        <v>1005</v>
      </c>
      <c r="N1783" s="39">
        <v>8000</v>
      </c>
      <c r="O1783" s="156">
        <v>2</v>
      </c>
      <c r="P1783" s="47">
        <v>2</v>
      </c>
      <c r="Q1783" s="213">
        <v>45383</v>
      </c>
      <c r="R1783" s="271">
        <f ca="1">IF(D1783="","",IF(OFFSET(D1783,-1,0)&lt;&gt;"","",IF(OR(J1783="リード付け",J1783="巻足し",J1783="巻返しリード付け"),M1783,VLOOKUP(D1783,契約台帳!$A$3:$N$4986,14,FALSE))))</f>
        <v>1005</v>
      </c>
      <c r="S1783" s="272">
        <f ca="1">IF(D1783="","",IF(OFFSET(D1783,-1,0)&lt;&gt;"","",IF(OR(J1783="リード付け",J1783="巻足し",J1783="巻返しリード付け"),M1783,VLOOKUP(D1783,契約台帳!$A$3:$O$4986,15,FALSE))))</f>
        <v>1005</v>
      </c>
      <c r="T1783" s="273">
        <f ca="1">IF(D1783="","",IF(J1783="リード付け",N1783,IF(J1783="巻返しリード付け",N1783,IF(J1783="巻足し",N1783*P1783+OFFSET(N1783,1,0)*OFFSET(P1783,1,0),VLOOKUP(D1783,契約台帳!$A$3:$P$4986,16,FALSE)))))</f>
        <v>16000</v>
      </c>
      <c r="U1783" s="40">
        <v>1</v>
      </c>
      <c r="V1783" s="274">
        <f ca="1">IF(D1783="","",IF(OFFSET(D1783,-2,0)=D1783,"",VLOOKUP(D1783,契約台帳!$A$3:$R$4986,18,FALSE)))</f>
        <v>6</v>
      </c>
      <c r="W1783" s="269" t="str">
        <f ca="1">IF(D1783="","",IF(T1783="","",IF(OR(J1783="巻足し",J1783="巻返しリード付け"),"",IF(J1783="巻返し",VLOOKUP(F1783&amp;K1783&amp;M1783,製品マスタ!$M$5:$AD$5002,18,FALSE),IF(OR(J1783="リード付け",J1783="巻返しリード付け"),"原反コア",IF(J1783="スリット",VLOOKUP(F1783&amp;K1783&amp;R1783,製品マスタ!$N$5:$AD$5002,17,FALSE),""))))))</f>
        <v/>
      </c>
      <c r="X1783" s="269" t="str">
        <f ca="1">IF(D1783="","",IF(T1783="","",IF(J1783="巻足し","",IF(J1783="巻返し",VLOOKUP(F1783&amp;K1783&amp;M1783,製品マスタ!$M$5:$AE$5002,19,FALSE),IF(OR(J1783="リード付け",J1783="巻返しリード付け"),"",IF(J1783="スリット",VLOOKUP(F1783&amp;K1783&amp;R1783,製品マスタ!$N$5:$AE$5002,18,FALSE),""))))))</f>
        <v/>
      </c>
      <c r="Y1783" s="275">
        <f ca="1">IF(D1783="","",IF(T1783="","",VLOOKUP(D1783,契約台帳!$A$3:$Q$4986,17,FALSE)))</f>
        <v>2</v>
      </c>
      <c r="Z1783" s="269" t="str">
        <f ca="1">IF(D1783="","",IF(T1783="","",VLOOKUP(D1783,契約台帳!$A$3:$E$4986,5,FALSE)))</f>
        <v>リンテック㈱</v>
      </c>
      <c r="AA1783" s="57"/>
      <c r="AB1783" s="207">
        <f>IFERROR((VLOOKUP(F1783&amp;K1783&amp;M1783,製品マスタ!$M$5:$AM$5002,27,FALSE)),"")</f>
        <v>0</v>
      </c>
      <c r="AC1783" s="33"/>
      <c r="AD1783" s="189"/>
      <c r="AE1783" s="54"/>
      <c r="AF1783" s="55">
        <f>+M1783*N1783*O1783/1000</f>
        <v>16080</v>
      </c>
      <c r="AG1783" s="43"/>
      <c r="AH1783" s="47"/>
      <c r="AI1783" s="30"/>
      <c r="AJ1783" s="30"/>
      <c r="AK1783" s="30"/>
      <c r="AL1783" s="30"/>
      <c r="AM1783" s="13"/>
      <c r="AN1783" s="13"/>
      <c r="AO1783" s="13"/>
      <c r="AP1783" s="13"/>
      <c r="AQ1783" s="13"/>
      <c r="AR1783" s="14"/>
      <c r="AS1783" s="15"/>
    </row>
    <row r="1784" spans="1:45" s="17" customFormat="1" ht="30.95" hidden="1" customHeight="1" x14ac:dyDescent="0.2">
      <c r="A1784" s="37"/>
      <c r="B1784" s="38"/>
      <c r="C1784" s="45"/>
      <c r="D1784" s="31"/>
      <c r="E1784" s="31"/>
      <c r="F1784" s="268"/>
      <c r="G1784" s="269"/>
      <c r="H1784" s="269"/>
      <c r="I1784" s="270"/>
      <c r="J1784" s="210"/>
      <c r="K1784" s="270"/>
      <c r="L1784" s="270"/>
      <c r="M1784" s="39"/>
      <c r="N1784" s="39"/>
      <c r="O1784" s="156"/>
      <c r="P1784" s="47"/>
      <c r="Q1784" s="57"/>
      <c r="R1784" s="338"/>
      <c r="S1784" s="272"/>
      <c r="T1784" s="273"/>
      <c r="U1784" s="40"/>
      <c r="V1784" s="277"/>
      <c r="W1784" s="269"/>
      <c r="X1784" s="269"/>
      <c r="Y1784" s="275"/>
      <c r="Z1784" s="269"/>
      <c r="AA1784" s="57"/>
      <c r="AB1784" s="207"/>
      <c r="AC1784" s="33"/>
      <c r="AD1784" s="189"/>
      <c r="AE1784" s="54"/>
      <c r="AF1784" s="55"/>
      <c r="AG1784" s="43"/>
      <c r="AH1784" s="47"/>
      <c r="AI1784" s="30"/>
      <c r="AJ1784" s="30"/>
      <c r="AK1784" s="30"/>
      <c r="AL1784" s="30"/>
      <c r="AM1784" s="13"/>
      <c r="AN1784" s="13"/>
      <c r="AO1784" s="13"/>
      <c r="AP1784" s="13"/>
      <c r="AQ1784" s="13"/>
      <c r="AR1784" s="14"/>
      <c r="AS1784" s="15"/>
    </row>
    <row r="1785" spans="1:45" s="17" customFormat="1" ht="30.95" hidden="1" customHeight="1" x14ac:dyDescent="0.2">
      <c r="A1785" s="37"/>
      <c r="B1785" s="38"/>
      <c r="C1785" s="45"/>
      <c r="D1785" s="31">
        <v>3750083</v>
      </c>
      <c r="E1785" s="31">
        <v>4162289</v>
      </c>
      <c r="F1785" s="268" t="str">
        <f>IF(D1785="","",VLOOKUP(D1785,契約台帳!$A$3:$K$4986,6,FALSE)&amp;VLOOKUP(D1785,契約台帳!$A$3:$K$4986,7,FALSE)&amp;VLOOKUP(D1785,契約台帳!$A$3:$K$4986,8,FALSE)&amp;VLOOKUP(D1785,契約台帳!$A$3:$K$4986,9,FALSE)&amp;VLOOKUP(D1785,契約台帳!$A$3:$K$4986,11,FALSE))</f>
        <v>3SNMLBMNNGKBF</v>
      </c>
      <c r="G1785" s="269" t="str">
        <f>IF(D1785="","",VLOOKUP(F1785,製品マスタ!$G$5:$H$5002,2,FALSE))</f>
        <v>S</v>
      </c>
      <c r="H1785" s="269" t="str">
        <f>IF(D1785="","",VLOOKUP(F1785,製品マスタ!$G$5:$K$5002,5,FALSE))</f>
        <v>MNNGKBF</v>
      </c>
      <c r="I1785" s="270" t="str">
        <f>IF(D1785="","",VLOOKUP(F1785,製品マスタ!$G$5:$L$5002,6,FALSE))</f>
        <v>メタルミー　ニューネーマー銀消　Ｂ</v>
      </c>
      <c r="J1785" s="210" t="s">
        <v>464</v>
      </c>
      <c r="K1785" s="270">
        <f>IF(D1785="","",VLOOKUP(D1785,契約台帳!$A$3:$L$4986,12,FALSE))</f>
        <v>25</v>
      </c>
      <c r="L1785" s="270" t="str">
        <f>IF(D1785="","",INDEX(製品マスタ!$Q$5:$Q$5002,MATCH('S4'!F1785&amp;'S4'!K1785,製品マスタ!$AO$5:$AO$5002,0)))</f>
        <v>X44C</v>
      </c>
      <c r="M1785" s="39">
        <v>1005</v>
      </c>
      <c r="N1785" s="39">
        <v>8000</v>
      </c>
      <c r="O1785" s="156">
        <v>1</v>
      </c>
      <c r="P1785" s="47">
        <v>1</v>
      </c>
      <c r="Q1785" s="213">
        <v>45383</v>
      </c>
      <c r="R1785" s="271">
        <f ca="1">IF(D1785="","",IF(OFFSET(D1785,-1,0)&lt;&gt;"","",IF(OR(J1785="リード付け",J1785="巻足し",J1785="巻返しリード付け"),M1785,VLOOKUP(D1785,契約台帳!$A$3:$N$4986,14,FALSE))))</f>
        <v>1005</v>
      </c>
      <c r="S1785" s="272">
        <f ca="1">IF(D1785="","",IF(OFFSET(D1785,-1,0)&lt;&gt;"","",IF(OR(J1785="リード付け",J1785="巻足し",J1785="巻返しリード付け"),M1785,VLOOKUP(D1785,契約台帳!$A$3:$O$4986,15,FALSE))))</f>
        <v>1005</v>
      </c>
      <c r="T1785" s="273">
        <f ca="1">IF(D1785="","",IF(J1785="リード付け",N1785,IF(J1785="巻返しリード付け",N1785,IF(J1785="巻足し",N1785*P1785+OFFSET(N1785,1,0)*OFFSET(P1785,1,0),VLOOKUP(D1785,契約台帳!$A$3:$P$4986,16,FALSE)))))</f>
        <v>8000</v>
      </c>
      <c r="U1785" s="40">
        <v>1</v>
      </c>
      <c r="V1785" s="274" t="str">
        <f ca="1">IF(D1785="","",IF(OFFSET(D1785,-2,0)=D1785,"",VLOOKUP(D1785,契約台帳!$A$3:$R$4986,18,FALSE)))</f>
        <v/>
      </c>
      <c r="W1785" s="269" t="str">
        <f ca="1">IF(D1785="","",IF(T1785="","",IF(OR(J1785="巻足し",J1785="巻返しリード付け"),"",IF(J1785="巻返し",VLOOKUP(F1785&amp;K1785&amp;M1785,製品マスタ!$M$5:$AD$5002,18,FALSE),IF(OR(J1785="リード付け",J1785="巻返しリード付け"),"原反コア",IF(J1785="スリット",VLOOKUP(F1785&amp;K1785&amp;R1785,製品マスタ!$N$5:$AD$5002,17,FALSE),""))))))</f>
        <v>原反コア</v>
      </c>
      <c r="X1785" s="269" t="str">
        <f ca="1">IF(D1785="","",IF(T1785="","",IF(J1785="巻足し","",IF(J1785="巻返し",VLOOKUP(F1785&amp;K1785&amp;M1785,製品マスタ!$M$5:$AE$5002,19,FALSE),IF(OR(J1785="リード付け",J1785="巻返しリード付け"),"",IF(J1785="スリット",VLOOKUP(F1785&amp;K1785&amp;R1785,製品マスタ!$N$5:$AE$5002,18,FALSE),""))))))</f>
        <v/>
      </c>
      <c r="Y1785" s="275">
        <f ca="1">IF(D1785="","",IF(T1785="","",VLOOKUP(D1785,契約台帳!$A$3:$Q$4986,17,FALSE)))</f>
        <v>2</v>
      </c>
      <c r="Z1785" s="269" t="str">
        <f ca="1">IF(D1785="","",IF(T1785="","",VLOOKUP(D1785,契約台帳!$A$3:$E$4986,5,FALSE)))</f>
        <v>リンテック㈱</v>
      </c>
      <c r="AA1785" s="57"/>
      <c r="AB1785" s="207">
        <f>IFERROR((VLOOKUP(F1785&amp;K1785&amp;M1785,製品マスタ!$M$5:$AM$5002,27,FALSE)),"")</f>
        <v>0</v>
      </c>
      <c r="AC1785" s="33"/>
      <c r="AD1785" s="189"/>
      <c r="AE1785" s="54"/>
      <c r="AF1785" s="55">
        <f>+M1785*N1785*O1785/1000</f>
        <v>8040</v>
      </c>
      <c r="AG1785" s="43"/>
      <c r="AH1785" s="47"/>
      <c r="AI1785" s="30"/>
      <c r="AJ1785" s="30"/>
      <c r="AK1785" s="30"/>
      <c r="AL1785" s="30"/>
      <c r="AM1785" s="13"/>
      <c r="AN1785" s="13"/>
      <c r="AO1785" s="13"/>
      <c r="AP1785" s="13"/>
      <c r="AQ1785" s="13"/>
      <c r="AR1785" s="14"/>
      <c r="AS1785" s="15"/>
    </row>
    <row r="1786" spans="1:45" s="17" customFormat="1" ht="30.95" hidden="1" customHeight="1" x14ac:dyDescent="0.2">
      <c r="A1786" s="37"/>
      <c r="B1786" s="38"/>
      <c r="C1786" s="45"/>
      <c r="D1786" s="31"/>
      <c r="E1786" s="31"/>
      <c r="F1786" s="268"/>
      <c r="G1786" s="269"/>
      <c r="H1786" s="269"/>
      <c r="I1786" s="270"/>
      <c r="J1786" s="210"/>
      <c r="K1786" s="270"/>
      <c r="L1786" s="270"/>
      <c r="M1786" s="39"/>
      <c r="N1786" s="39"/>
      <c r="O1786" s="156"/>
      <c r="P1786" s="47"/>
      <c r="Q1786" s="57"/>
      <c r="R1786" s="338"/>
      <c r="S1786" s="272"/>
      <c r="T1786" s="273"/>
      <c r="U1786" s="40"/>
      <c r="V1786" s="277"/>
      <c r="W1786" s="269"/>
      <c r="X1786" s="269"/>
      <c r="Y1786" s="275"/>
      <c r="Z1786" s="269"/>
      <c r="AA1786" s="57"/>
      <c r="AB1786" s="207"/>
      <c r="AC1786" s="33"/>
      <c r="AD1786" s="189"/>
      <c r="AE1786" s="54"/>
      <c r="AF1786" s="55"/>
      <c r="AG1786" s="43"/>
      <c r="AH1786" s="47"/>
      <c r="AI1786" s="30"/>
      <c r="AJ1786" s="30"/>
      <c r="AK1786" s="30"/>
      <c r="AL1786" s="30"/>
      <c r="AM1786" s="13"/>
      <c r="AN1786" s="13"/>
      <c r="AO1786" s="13"/>
      <c r="AP1786" s="13"/>
      <c r="AQ1786" s="13"/>
      <c r="AR1786" s="14"/>
      <c r="AS1786" s="15"/>
    </row>
    <row r="1787" spans="1:45" s="17" customFormat="1" ht="30.6" hidden="1" customHeight="1" x14ac:dyDescent="0.2">
      <c r="A1787" s="37" t="s">
        <v>2368</v>
      </c>
      <c r="B1787" s="38" t="s">
        <v>2369</v>
      </c>
      <c r="C1787" s="45"/>
      <c r="D1787" s="31">
        <v>3750060</v>
      </c>
      <c r="E1787" s="31">
        <v>4162276</v>
      </c>
      <c r="F1787" s="268" t="str">
        <f>IF(D1787="","",VLOOKUP(D1787,契約台帳!$A$3:$K$4986,6,FALSE)&amp;VLOOKUP(D1787,契約台帳!$A$3:$K$4986,7,FALSE)&amp;VLOOKUP(D1787,契約台帳!$A$3:$K$4986,8,FALSE)&amp;VLOOKUP(D1787,契約台帳!$A$3:$K$4986,9,FALSE)&amp;VLOOKUP(D1787,契約台帳!$A$3:$K$4986,11,FALSE))</f>
        <v>3SNMCLBMSNEYK</v>
      </c>
      <c r="G1787" s="269" t="str">
        <f>IF(D1787="","",VLOOKUP(F1787,製品マスタ!$G$5:$H$5002,2,FALSE))</f>
        <v>S</v>
      </c>
      <c r="H1787" s="269" t="str">
        <f>IF(D1787="","",VLOOKUP(F1787,製品マスタ!$G$5:$K$5002,5,FALSE))</f>
        <v>MSNEYK</v>
      </c>
      <c r="I1787" s="270" t="str">
        <f>IF(D1787="","",VLOOKUP(F1787,製品マスタ!$G$5:$L$5002,6,FALSE))</f>
        <v>ＭＳＮ　ＥＹＫ</v>
      </c>
      <c r="J1787" s="210" t="s">
        <v>935</v>
      </c>
      <c r="K1787" s="270">
        <f>IF(D1787="","",VLOOKUP(D1787,契約台帳!$A$3:$L$4986,12,FALSE))</f>
        <v>50</v>
      </c>
      <c r="L1787" s="270" t="str">
        <f>IF(D1787="","",INDEX(製品マスタ!$Q$5:$Q$5002,MATCH('S4'!F1787&amp;'S4'!K1787,製品マスタ!$AO$5:$AO$5002,0)))</f>
        <v>N-MAT</v>
      </c>
      <c r="M1787" s="39">
        <v>1200</v>
      </c>
      <c r="N1787" s="39">
        <v>6000</v>
      </c>
      <c r="O1787" s="156">
        <v>12</v>
      </c>
      <c r="P1787" s="47">
        <v>2</v>
      </c>
      <c r="Q1787" s="213">
        <v>45383</v>
      </c>
      <c r="R1787" s="271">
        <f ca="1">IF(D1787="","",IF(OFFSET(D1787,-1,0)&lt;&gt;"","",IF(OR(J1787="リード付け",J1787="巻足し",J1787="巻返しリード付け"),M1787,VLOOKUP(D1787,契約台帳!$A$3:$N$4986,14,FALSE))))</f>
        <v>1200</v>
      </c>
      <c r="S1787" s="272">
        <f ca="1">IF(D1787="","",IF(OFFSET(D1787,-1,0)&lt;&gt;"","",IF(OR(J1787="リード付け",J1787="巻足し",J1787="巻返しリード付け"),M1787,VLOOKUP(D1787,契約台帳!$A$3:$O$4986,15,FALSE))))</f>
        <v>1200</v>
      </c>
      <c r="T1787" s="273">
        <f ca="1">IF(D1787="","",IF(J1787="リード付け",N1787,IF(J1787="巻返しリード付け",N1787,IF(J1787="巻足し",N1787*P1787+OFFSET(N1787,1,0)*OFFSET(P1787,1,0),VLOOKUP(D1787,契約台帳!$A$3:$P$4986,16,FALSE)))))</f>
        <v>12000</v>
      </c>
      <c r="U1787" s="40">
        <v>6</v>
      </c>
      <c r="V1787" s="274">
        <f ca="1">IF(D1787="","",IF(OFFSET(D1787,-2,0)=D1787,"",VLOOKUP(D1787,契約台帳!$A$3:$R$4986,18,FALSE)))</f>
        <v>12</v>
      </c>
      <c r="W1787" s="269" t="str">
        <f ca="1">IF(D1787="","",IF(T1787="","",IF(OR(J1787="巻足し",J1787="巻返しリード付け"),"",IF(J1787="巻返し",VLOOKUP(F1787&amp;K1787&amp;M1787,製品マスタ!$M$5:$AD$5002,18,FALSE),IF(OR(J1787="リード付け",J1787="巻返しリード付け"),"原反コア",IF(J1787="スリット",VLOOKUP(F1787&amp;K1787&amp;R1787,製品マスタ!$N$5:$AD$5002,17,FALSE),""))))))</f>
        <v/>
      </c>
      <c r="X1787" s="269" t="str">
        <f ca="1">IF(D1787="","",IF(T1787="","",IF(J1787="巻足し","",IF(J1787="巻返し",VLOOKUP(F1787&amp;K1787&amp;M1787,製品マスタ!$M$5:$AE$5002,19,FALSE),IF(OR(J1787="リード付け",J1787="巻返しリード付け"),"",IF(J1787="スリット",VLOOKUP(F1787&amp;K1787&amp;R1787,製品マスタ!$N$5:$AE$5002,18,FALSE),""))))))</f>
        <v/>
      </c>
      <c r="Y1787" s="275">
        <f ca="1">IF(D1787="","",IF(T1787="","",VLOOKUP(D1787,契約台帳!$A$3:$Q$4986,17,FALSE)))</f>
        <v>2</v>
      </c>
      <c r="Z1787" s="269" t="str">
        <f ca="1">IF(D1787="","",IF(T1787="","",VLOOKUP(D1787,契約台帳!$A$3:$E$4986,5,FALSE)))</f>
        <v>大阪シーリング印刷㈱</v>
      </c>
      <c r="AA1787" s="57"/>
      <c r="AB1787" s="207" t="str">
        <f>IFERROR((VLOOKUP(F1787&amp;K1787&amp;M1787,製品マスタ!$M$5:$AM$5002,27,FALSE)),"")</f>
        <v>原反ケース再利用</v>
      </c>
      <c r="AC1787" s="33"/>
      <c r="AD1787" s="189"/>
      <c r="AE1787" s="54"/>
      <c r="AF1787" s="55">
        <f>+M1787*N1787*O1787/1000</f>
        <v>86400</v>
      </c>
      <c r="AG1787" s="43"/>
      <c r="AH1787" s="47"/>
      <c r="AI1787" s="30"/>
      <c r="AJ1787" s="30"/>
      <c r="AK1787" s="30"/>
      <c r="AL1787" s="30"/>
      <c r="AM1787" s="13"/>
      <c r="AN1787" s="13"/>
      <c r="AO1787" s="13"/>
      <c r="AP1787" s="13"/>
      <c r="AQ1787" s="13"/>
      <c r="AR1787" s="14"/>
      <c r="AS1787" s="15"/>
    </row>
    <row r="1788" spans="1:45" s="17" customFormat="1" ht="30.95" hidden="1" customHeight="1" x14ac:dyDescent="0.2">
      <c r="A1788" s="37"/>
      <c r="B1788" s="38"/>
      <c r="C1788" s="45"/>
      <c r="D1788" s="31"/>
      <c r="E1788" s="31"/>
      <c r="F1788" s="268"/>
      <c r="G1788" s="269"/>
      <c r="H1788" s="269"/>
      <c r="I1788" s="270"/>
      <c r="J1788" s="210"/>
      <c r="K1788" s="270"/>
      <c r="L1788" s="270"/>
      <c r="M1788" s="39"/>
      <c r="N1788" s="39"/>
      <c r="O1788" s="156"/>
      <c r="P1788" s="47"/>
      <c r="Q1788" s="57"/>
      <c r="R1788" s="338"/>
      <c r="S1788" s="272"/>
      <c r="T1788" s="273"/>
      <c r="U1788" s="40"/>
      <c r="V1788" s="277"/>
      <c r="W1788" s="269"/>
      <c r="X1788" s="269"/>
      <c r="Y1788" s="275"/>
      <c r="Z1788" s="269"/>
      <c r="AA1788" s="57"/>
      <c r="AB1788" s="207"/>
      <c r="AC1788" s="33"/>
      <c r="AD1788" s="189"/>
      <c r="AE1788" s="54"/>
      <c r="AF1788" s="55"/>
      <c r="AG1788" s="43"/>
      <c r="AH1788" s="47"/>
      <c r="AI1788" s="30"/>
      <c r="AJ1788" s="30"/>
      <c r="AK1788" s="30"/>
      <c r="AL1788" s="30"/>
      <c r="AM1788" s="13"/>
      <c r="AN1788" s="13"/>
      <c r="AO1788" s="13"/>
      <c r="AP1788" s="13"/>
      <c r="AQ1788" s="13"/>
      <c r="AR1788" s="14"/>
      <c r="AS1788" s="15"/>
    </row>
    <row r="1789" spans="1:45" s="17" customFormat="1" ht="30.95" hidden="1" customHeight="1" x14ac:dyDescent="0.2">
      <c r="A1789" s="37"/>
      <c r="B1789" s="38"/>
      <c r="C1789" s="45"/>
      <c r="D1789" s="31">
        <v>3750064</v>
      </c>
      <c r="E1789" s="31">
        <v>4162255</v>
      </c>
      <c r="F1789" s="268" t="str">
        <f>IF(D1789="","",VLOOKUP(D1789,契約台帳!$A$3:$K$4986,6,FALSE)&amp;VLOOKUP(D1789,契約台帳!$A$3:$K$4986,7,FALSE)&amp;VLOOKUP(D1789,契約台帳!$A$3:$K$4986,8,FALSE)&amp;VLOOKUP(D1789,契約台帳!$A$3:$K$4986,9,FALSE)&amp;VLOOKUP(D1789,契約台帳!$A$3:$K$4986,11,FALSE))</f>
        <v>3HSNMCLBWCB</v>
      </c>
      <c r="G1789" s="269" t="str">
        <f>IF(D1789="","",VLOOKUP(F1789,製品マスタ!$G$5:$H$5002,2,FALSE))</f>
        <v>S</v>
      </c>
      <c r="H1789" s="269" t="str">
        <f>IF(D1789="","",VLOOKUP(F1789,製品マスタ!$G$5:$K$5002,5,FALSE))</f>
        <v>WCB</v>
      </c>
      <c r="I1789" s="270" t="str">
        <f>IF(D1789="","",VLOOKUP(F1789,製品マスタ!$G$5:$L$5002,6,FALSE))</f>
        <v>メタルミー　ホワイトコート　（Ｂ）</v>
      </c>
      <c r="J1789" s="210" t="s">
        <v>464</v>
      </c>
      <c r="K1789" s="270">
        <f>IF(D1789="","",VLOOKUP(D1789,契約台帳!$A$3:$L$4986,12,FALSE))</f>
        <v>50</v>
      </c>
      <c r="L1789" s="270" t="s">
        <v>2371</v>
      </c>
      <c r="M1789" s="39">
        <v>1195</v>
      </c>
      <c r="N1789" s="39">
        <v>6100</v>
      </c>
      <c r="O1789" s="156">
        <v>1</v>
      </c>
      <c r="P1789" s="47">
        <v>1</v>
      </c>
      <c r="Q1789" s="213">
        <v>45383</v>
      </c>
      <c r="R1789" s="271">
        <f ca="1">IF(D1789="","",IF(OFFSET(D1789,-1,0)&lt;&gt;"","",IF(OR(J1789="リード付け",J1789="巻足し",J1789="巻返しリード付け"),M1789,VLOOKUP(D1789,契約台帳!$A$3:$N$4986,14,FALSE))))</f>
        <v>1195</v>
      </c>
      <c r="S1789" s="272">
        <f ca="1">IF(D1789="","",IF(OFFSET(D1789,-1,0)&lt;&gt;"","",IF(OR(J1789="リード付け",J1789="巻足し",J1789="巻返しリード付け"),M1789,VLOOKUP(D1789,契約台帳!$A$3:$O$4986,15,FALSE))))</f>
        <v>1195</v>
      </c>
      <c r="T1789" s="273">
        <v>5300</v>
      </c>
      <c r="U1789" s="40">
        <v>1</v>
      </c>
      <c r="V1789" s="274">
        <f ca="1">IF(D1789="","",IF(OFFSET(D1789,-2,0)=D1789,"",VLOOKUP(D1789,契約台帳!$A$3:$R$4986,18,FALSE)))</f>
        <v>1</v>
      </c>
      <c r="W1789" s="269" t="str">
        <f>IF(D1789="","",IF(T1789="","",IF(OR(J1789="巻足し",J1789="巻返しリード付け"),"",IF(J1789="巻返し",VLOOKUP(F1789&amp;K1789&amp;M1789,製品マスタ!$M$5:$AD$5002,18,FALSE),IF(OR(J1789="リード付け",J1789="巻返しリード付け"),"原反コア",IF(J1789="スリット",VLOOKUP(F1789&amp;K1789&amp;R1789,製品マスタ!$N$5:$AD$5002,17,FALSE),""))))))</f>
        <v>原反コア</v>
      </c>
      <c r="X1789" s="269" t="str">
        <f>IF(D1789="","",IF(T1789="","",IF(J1789="巻足し","",IF(J1789="巻返し",VLOOKUP(F1789&amp;K1789&amp;M1789,製品マスタ!$M$5:$AE$5002,19,FALSE),IF(OR(J1789="リード付け",J1789="巻返しリード付け"),"",IF(J1789="スリット",VLOOKUP(F1789&amp;K1789&amp;R1789,製品マスタ!$N$5:$AE$5002,18,FALSE),""))))))</f>
        <v/>
      </c>
      <c r="Y1789" s="275">
        <f>IF(D1789="","",IF(T1789="","",VLOOKUP(D1789,契約台帳!$A$3:$Q$4986,17,FALSE)))</f>
        <v>2</v>
      </c>
      <c r="Z1789" s="269" t="str">
        <f>IF(D1789="","",IF(T1789="","",VLOOKUP(D1789,契約台帳!$A$3:$E$4986,5,FALSE)))</f>
        <v>新タック化成㈱</v>
      </c>
      <c r="AA1789" s="57"/>
      <c r="AB1789" s="207" t="str">
        <f>IFERROR((VLOOKUP(F1789&amp;K1789&amp;M1789,製品マスタ!$M$5:$AM$5002,27,FALSE)),"")</f>
        <v/>
      </c>
      <c r="AC1789" s="33"/>
      <c r="AD1789" s="189"/>
      <c r="AE1789" s="54"/>
      <c r="AF1789" s="55">
        <f>+M1789*N1789*O1789/1000</f>
        <v>7289.5</v>
      </c>
      <c r="AG1789" s="43"/>
      <c r="AH1789" s="47"/>
      <c r="AI1789" s="30"/>
      <c r="AJ1789" s="30"/>
      <c r="AK1789" s="30"/>
      <c r="AL1789" s="30"/>
      <c r="AM1789" s="13"/>
      <c r="AN1789" s="13"/>
      <c r="AO1789" s="13"/>
      <c r="AP1789" s="13"/>
      <c r="AQ1789" s="13"/>
      <c r="AR1789" s="14"/>
      <c r="AS1789" s="15"/>
    </row>
    <row r="1790" spans="1:45" s="17" customFormat="1" ht="30.95" hidden="1" customHeight="1" x14ac:dyDescent="0.2">
      <c r="A1790" s="37"/>
      <c r="B1790" s="38"/>
      <c r="C1790" s="45"/>
      <c r="D1790" s="31"/>
      <c r="E1790" s="31"/>
      <c r="F1790" s="268"/>
      <c r="G1790" s="269"/>
      <c r="H1790" s="269"/>
      <c r="I1790" s="270"/>
      <c r="J1790" s="210"/>
      <c r="K1790" s="270"/>
      <c r="L1790" s="270"/>
      <c r="M1790" s="39"/>
      <c r="N1790" s="39"/>
      <c r="O1790" s="156"/>
      <c r="P1790" s="47"/>
      <c r="Q1790" s="57"/>
      <c r="R1790" s="338"/>
      <c r="S1790" s="272"/>
      <c r="T1790" s="273"/>
      <c r="U1790" s="40"/>
      <c r="V1790" s="277"/>
      <c r="W1790" s="269"/>
      <c r="X1790" s="269"/>
      <c r="Y1790" s="275"/>
      <c r="Z1790" s="269"/>
      <c r="AA1790" s="57"/>
      <c r="AB1790" s="207"/>
      <c r="AC1790" s="33"/>
      <c r="AD1790" s="189"/>
      <c r="AE1790" s="54"/>
      <c r="AF1790" s="55"/>
      <c r="AG1790" s="43"/>
      <c r="AH1790" s="47"/>
      <c r="AI1790" s="30"/>
      <c r="AJ1790" s="30"/>
      <c r="AK1790" s="30"/>
      <c r="AL1790" s="30"/>
      <c r="AM1790" s="13"/>
      <c r="AN1790" s="13"/>
      <c r="AO1790" s="13"/>
      <c r="AP1790" s="13"/>
      <c r="AQ1790" s="13"/>
      <c r="AR1790" s="14"/>
      <c r="AS1790" s="15"/>
    </row>
    <row r="1791" spans="1:45" s="17" customFormat="1" ht="30.6" hidden="1" customHeight="1" x14ac:dyDescent="0.2">
      <c r="A1791" s="37" t="s">
        <v>2372</v>
      </c>
      <c r="B1791" s="38" t="s">
        <v>2373</v>
      </c>
      <c r="C1791" s="45"/>
      <c r="D1791" s="31">
        <v>3750066</v>
      </c>
      <c r="E1791" s="31">
        <v>4162262</v>
      </c>
      <c r="F1791" s="268" t="str">
        <f>IF(D1791="","",VLOOKUP(D1791,契約台帳!$A$3:$K$4986,6,FALSE)&amp;VLOOKUP(D1791,契約台帳!$A$3:$K$4986,7,FALSE)&amp;VLOOKUP(D1791,契約台帳!$A$3:$K$4986,8,FALSE)&amp;VLOOKUP(D1791,契約台帳!$A$3:$K$4986,9,FALSE)&amp;VLOOKUP(D1791,契約台帳!$A$3:$K$4986,11,FALSE))</f>
        <v>3SNMLBMNGKKBF</v>
      </c>
      <c r="G1791" s="269" t="str">
        <f>IF(D1791="","",VLOOKUP(F1791,製品マスタ!$G$5:$H$5002,2,FALSE))</f>
        <v>S</v>
      </c>
      <c r="H1791" s="269" t="str">
        <f>IF(D1791="","",VLOOKUP(F1791,製品マスタ!$G$5:$K$5002,5,FALSE))</f>
        <v>MNGKKBF</v>
      </c>
      <c r="I1791" s="270" t="str">
        <f>IF(D1791="","",VLOOKUP(F1791,製品マスタ!$G$5:$L$5002,6,FALSE))</f>
        <v>メタルミー　ネーマー銀消改　Ｂ</v>
      </c>
      <c r="J1791" s="210" t="s">
        <v>935</v>
      </c>
      <c r="K1791" s="270">
        <f>IF(D1791="","",VLOOKUP(D1791,契約台帳!$A$3:$L$4986,12,FALSE))</f>
        <v>50</v>
      </c>
      <c r="L1791" s="270" t="str">
        <f>IF(D1791="","",INDEX(製品マスタ!$Q$5:$Q$5002,MATCH('S4'!F1791&amp;'S4'!K1791,製品マスタ!$AO$5:$AO$5002,0)))</f>
        <v>S99-MAT</v>
      </c>
      <c r="M1791" s="39">
        <v>1120</v>
      </c>
      <c r="N1791" s="39">
        <v>4000</v>
      </c>
      <c r="O1791" s="156">
        <v>15</v>
      </c>
      <c r="P1791" s="47">
        <v>3</v>
      </c>
      <c r="Q1791" s="213">
        <v>45386</v>
      </c>
      <c r="R1791" s="271">
        <f ca="1">IF(D1791="","",IF(OFFSET(D1791,-1,0)&lt;&gt;"","",IF(OR(J1791="リード付け",J1791="巻足し",J1791="巻返しリード付け"),M1791,VLOOKUP(D1791,契約台帳!$A$3:$N$4986,14,FALSE))))</f>
        <v>1120</v>
      </c>
      <c r="S1791" s="272">
        <f ca="1">IF(D1791="","",IF(OFFSET(D1791,-1,0)&lt;&gt;"","",IF(OR(J1791="リード付け",J1791="巻足し",J1791="巻返しリード付け"),M1791,VLOOKUP(D1791,契約台帳!$A$3:$O$4986,15,FALSE))))</f>
        <v>1120</v>
      </c>
      <c r="T1791" s="273">
        <f ca="1">IF(D1791="","",IF(J1791="リード付け",N1791,IF(J1791="巻返しリード付け",N1791,IF(J1791="巻足し",N1791*P1791+OFFSET(N1791,1,0)*OFFSET(P1791,1,0),VLOOKUP(D1791,契約台帳!$A$3:$P$4986,16,FALSE)))))</f>
        <v>12000</v>
      </c>
      <c r="U1791" s="40">
        <v>5</v>
      </c>
      <c r="V1791" s="274">
        <f ca="1">IF(D1791="","",IF(OFFSET(D1791,-2,0)=D1791,"",VLOOKUP(D1791,契約台帳!$A$3:$R$4986,18,FALSE)))</f>
        <v>30</v>
      </c>
      <c r="W1791" s="269" t="str">
        <f ca="1">IF(D1791="","",IF(T1791="","",IF(OR(J1791="巻足し",J1791="巻返しリード付け"),"",IF(J1791="巻返し",VLOOKUP(F1791&amp;K1791&amp;M1791,製品マスタ!$M$5:$AD$5002,18,FALSE),IF(OR(J1791="リード付け",J1791="巻返しリード付け"),"原反コア",IF(J1791="スリット",VLOOKUP(F1791&amp;K1791&amp;R1791,製品マスタ!$N$5:$AD$5002,17,FALSE),""))))))</f>
        <v/>
      </c>
      <c r="X1791" s="269" t="str">
        <f ca="1">IF(D1791="","",IF(T1791="","",IF(J1791="巻足し","",IF(J1791="巻返し",VLOOKUP(F1791&amp;K1791&amp;M1791,製品マスタ!$M$5:$AE$5002,19,FALSE),IF(OR(J1791="リード付け",J1791="巻返しリード付け"),"",IF(J1791="スリット",VLOOKUP(F1791&amp;K1791&amp;R1791,製品マスタ!$N$5:$AE$5002,18,FALSE),""))))))</f>
        <v/>
      </c>
      <c r="Y1791" s="275">
        <f ca="1">IF(D1791="","",IF(T1791="","",VLOOKUP(D1791,契約台帳!$A$3:$Q$4986,17,FALSE)))</f>
        <v>2</v>
      </c>
      <c r="Z1791" s="269" t="str">
        <f ca="1">IF(D1791="","",IF(T1791="","",VLOOKUP(D1791,契約台帳!$A$3:$E$4986,5,FALSE)))</f>
        <v>リンテック㈱</v>
      </c>
      <c r="AA1791" s="57"/>
      <c r="AB1791" s="207">
        <f>IFERROR((VLOOKUP(F1791&amp;K1791&amp;M1791,製品マスタ!$M$5:$AM$5002,27,FALSE)),"")</f>
        <v>0</v>
      </c>
      <c r="AC1791" s="33"/>
      <c r="AD1791" s="189"/>
      <c r="AE1791" s="54"/>
      <c r="AF1791" s="55">
        <f>+M1791*N1791*O1791/1000</f>
        <v>67200</v>
      </c>
      <c r="AG1791" s="43"/>
      <c r="AH1791" s="47"/>
      <c r="AI1791" s="30"/>
      <c r="AJ1791" s="30"/>
      <c r="AK1791" s="30"/>
      <c r="AL1791" s="30"/>
      <c r="AM1791" s="13"/>
      <c r="AN1791" s="13"/>
      <c r="AO1791" s="13"/>
      <c r="AP1791" s="13"/>
      <c r="AQ1791" s="13"/>
      <c r="AR1791" s="14"/>
      <c r="AS1791" s="15"/>
    </row>
    <row r="1792" spans="1:45" s="17" customFormat="1" ht="30.95" hidden="1" customHeight="1" x14ac:dyDescent="0.2">
      <c r="A1792" s="37"/>
      <c r="B1792" s="38"/>
      <c r="C1792" s="45"/>
      <c r="D1792" s="31"/>
      <c r="E1792" s="31"/>
      <c r="F1792" s="268"/>
      <c r="G1792" s="269"/>
      <c r="H1792" s="269"/>
      <c r="I1792" s="270"/>
      <c r="J1792" s="210"/>
      <c r="K1792" s="270"/>
      <c r="L1792" s="270"/>
      <c r="M1792" s="39"/>
      <c r="N1792" s="39"/>
      <c r="O1792" s="156"/>
      <c r="P1792" s="47"/>
      <c r="Q1792" s="57"/>
      <c r="R1792" s="338"/>
      <c r="S1792" s="272"/>
      <c r="T1792" s="273"/>
      <c r="U1792" s="40"/>
      <c r="V1792" s="277"/>
      <c r="W1792" s="269"/>
      <c r="X1792" s="269"/>
      <c r="Y1792" s="275"/>
      <c r="Z1792" s="269"/>
      <c r="AA1792" s="57"/>
      <c r="AB1792" s="207"/>
      <c r="AC1792" s="33"/>
      <c r="AD1792" s="189"/>
      <c r="AE1792" s="54"/>
      <c r="AF1792" s="55"/>
      <c r="AG1792" s="43"/>
      <c r="AH1792" s="47"/>
      <c r="AI1792" s="30"/>
      <c r="AJ1792" s="30"/>
      <c r="AK1792" s="30"/>
      <c r="AL1792" s="30"/>
      <c r="AM1792" s="13"/>
      <c r="AN1792" s="13"/>
      <c r="AO1792" s="13"/>
      <c r="AP1792" s="13"/>
      <c r="AQ1792" s="13"/>
      <c r="AR1792" s="14"/>
      <c r="AS1792" s="15"/>
    </row>
    <row r="1793" spans="1:45" s="17" customFormat="1" ht="30.6" hidden="1" customHeight="1" x14ac:dyDescent="0.2">
      <c r="A1793" s="37" t="s">
        <v>2374</v>
      </c>
      <c r="B1793" s="38" t="s">
        <v>2375</v>
      </c>
      <c r="C1793" s="45"/>
      <c r="D1793" s="31">
        <v>3750066</v>
      </c>
      <c r="E1793" s="31">
        <v>4162262</v>
      </c>
      <c r="F1793" s="268" t="str">
        <f>IF(D1793="","",VLOOKUP(D1793,契約台帳!$A$3:$K$4986,6,FALSE)&amp;VLOOKUP(D1793,契約台帳!$A$3:$K$4986,7,FALSE)&amp;VLOOKUP(D1793,契約台帳!$A$3:$K$4986,8,FALSE)&amp;VLOOKUP(D1793,契約台帳!$A$3:$K$4986,9,FALSE)&amp;VLOOKUP(D1793,契約台帳!$A$3:$K$4986,11,FALSE))</f>
        <v>3SNMLBMNGKKBF</v>
      </c>
      <c r="G1793" s="269" t="str">
        <f>IF(D1793="","",VLOOKUP(F1793,製品マスタ!$G$5:$H$5002,2,FALSE))</f>
        <v>S</v>
      </c>
      <c r="H1793" s="269" t="str">
        <f>IF(D1793="","",VLOOKUP(F1793,製品マスタ!$G$5:$K$5002,5,FALSE))</f>
        <v>MNGKKBF</v>
      </c>
      <c r="I1793" s="270" t="str">
        <f>IF(D1793="","",VLOOKUP(F1793,製品マスタ!$G$5:$L$5002,6,FALSE))</f>
        <v>メタルミー　ネーマー銀消改　Ｂ</v>
      </c>
      <c r="J1793" s="210" t="s">
        <v>935</v>
      </c>
      <c r="K1793" s="270">
        <f>IF(D1793="","",VLOOKUP(D1793,契約台帳!$A$3:$L$4986,12,FALSE))</f>
        <v>50</v>
      </c>
      <c r="L1793" s="270" t="str">
        <f>IF(D1793="","",INDEX(製品マスタ!$Q$5:$Q$5002,MATCH('S4'!F1793&amp;'S4'!K1793,製品マスタ!$AO$5:$AO$5002,0)))</f>
        <v>S99-MAT</v>
      </c>
      <c r="M1793" s="39">
        <v>1120</v>
      </c>
      <c r="N1793" s="39">
        <v>4000</v>
      </c>
      <c r="O1793" s="156">
        <v>15</v>
      </c>
      <c r="P1793" s="47">
        <v>3</v>
      </c>
      <c r="Q1793" s="213">
        <v>45386</v>
      </c>
      <c r="R1793" s="271">
        <f ca="1">IF(D1793="","",IF(OFFSET(D1793,-1,0)&lt;&gt;"","",IF(OR(J1793="リード付け",J1793="巻足し",J1793="巻返しリード付け"),M1793,VLOOKUP(D1793,契約台帳!$A$3:$N$4986,14,FALSE))))</f>
        <v>1120</v>
      </c>
      <c r="S1793" s="272">
        <f ca="1">IF(D1793="","",IF(OFFSET(D1793,-1,0)&lt;&gt;"","",IF(OR(J1793="リード付け",J1793="巻足し",J1793="巻返しリード付け"),M1793,VLOOKUP(D1793,契約台帳!$A$3:$O$4986,15,FALSE))))</f>
        <v>1120</v>
      </c>
      <c r="T1793" s="273">
        <f ca="1">IF(D1793="","",IF(J1793="リード付け",N1793,IF(J1793="巻返しリード付け",N1793,IF(J1793="巻足し",N1793*P1793+OFFSET(N1793,1,0)*OFFSET(P1793,1,0),VLOOKUP(D1793,契約台帳!$A$3:$P$4986,16,FALSE)))))</f>
        <v>12000</v>
      </c>
      <c r="U1793" s="40">
        <v>5</v>
      </c>
      <c r="V1793" s="274" t="str">
        <f ca="1">IF(D1793="","",IF(OFFSET(D1793,-2,0)=D1793,"",VLOOKUP(D1793,契約台帳!$A$3:$R$4986,18,FALSE)))</f>
        <v/>
      </c>
      <c r="W1793" s="269" t="str">
        <f ca="1">IF(D1793="","",IF(T1793="","",IF(OR(J1793="巻足し",J1793="巻返しリード付け"),"",IF(J1793="巻返し",VLOOKUP(F1793&amp;K1793&amp;M1793,製品マスタ!$M$5:$AD$5002,18,FALSE),IF(OR(J1793="リード付け",J1793="巻返しリード付け"),"原反コア",IF(J1793="スリット",VLOOKUP(F1793&amp;K1793&amp;R1793,製品マスタ!$N$5:$AD$5002,17,FALSE),""))))))</f>
        <v/>
      </c>
      <c r="X1793" s="269" t="str">
        <f ca="1">IF(D1793="","",IF(T1793="","",IF(J1793="巻足し","",IF(J1793="巻返し",VLOOKUP(F1793&amp;K1793&amp;M1793,製品マスタ!$M$5:$AE$5002,19,FALSE),IF(OR(J1793="リード付け",J1793="巻返しリード付け"),"",IF(J1793="スリット",VLOOKUP(F1793&amp;K1793&amp;R1793,製品マスタ!$N$5:$AE$5002,18,FALSE),""))))))</f>
        <v/>
      </c>
      <c r="Y1793" s="275">
        <f ca="1">IF(D1793="","",IF(T1793="","",VLOOKUP(D1793,契約台帳!$A$3:$Q$4986,17,FALSE)))</f>
        <v>2</v>
      </c>
      <c r="Z1793" s="269" t="str">
        <f ca="1">IF(D1793="","",IF(T1793="","",VLOOKUP(D1793,契約台帳!$A$3:$E$4986,5,FALSE)))</f>
        <v>リンテック㈱</v>
      </c>
      <c r="AA1793" s="57"/>
      <c r="AB1793" s="207">
        <f>IFERROR((VLOOKUP(F1793&amp;K1793&amp;M1793,製品マスタ!$M$5:$AM$5002,27,FALSE)),"")</f>
        <v>0</v>
      </c>
      <c r="AC1793" s="33"/>
      <c r="AD1793" s="189"/>
      <c r="AE1793" s="54"/>
      <c r="AF1793" s="55">
        <f>+M1793*N1793*O1793/1000</f>
        <v>67200</v>
      </c>
      <c r="AG1793" s="43"/>
      <c r="AH1793" s="47"/>
      <c r="AI1793" s="30"/>
      <c r="AJ1793" s="30"/>
      <c r="AK1793" s="30"/>
      <c r="AL1793" s="30"/>
      <c r="AM1793" s="13"/>
      <c r="AN1793" s="13"/>
      <c r="AO1793" s="13"/>
      <c r="AP1793" s="13"/>
      <c r="AQ1793" s="13"/>
      <c r="AR1793" s="14"/>
      <c r="AS1793" s="15"/>
    </row>
    <row r="1794" spans="1:45" s="17" customFormat="1" ht="30.95" hidden="1" customHeight="1" x14ac:dyDescent="0.2">
      <c r="A1794" s="37"/>
      <c r="B1794" s="38"/>
      <c r="C1794" s="45"/>
      <c r="D1794" s="31"/>
      <c r="E1794" s="31"/>
      <c r="F1794" s="268"/>
      <c r="G1794" s="269"/>
      <c r="H1794" s="269"/>
      <c r="I1794" s="270"/>
      <c r="J1794" s="210"/>
      <c r="K1794" s="270"/>
      <c r="L1794" s="270"/>
      <c r="M1794" s="39"/>
      <c r="N1794" s="39"/>
      <c r="O1794" s="156"/>
      <c r="P1794" s="47"/>
      <c r="Q1794" s="57"/>
      <c r="R1794" s="338"/>
      <c r="S1794" s="272"/>
      <c r="T1794" s="273"/>
      <c r="U1794" s="40"/>
      <c r="V1794" s="277"/>
      <c r="W1794" s="269"/>
      <c r="X1794" s="269"/>
      <c r="Y1794" s="275"/>
      <c r="Z1794" s="269"/>
      <c r="AA1794" s="57"/>
      <c r="AB1794" s="207"/>
      <c r="AC1794" s="33"/>
      <c r="AD1794" s="189"/>
      <c r="AE1794" s="54"/>
      <c r="AF1794" s="55"/>
      <c r="AG1794" s="43"/>
      <c r="AH1794" s="47"/>
      <c r="AI1794" s="30"/>
      <c r="AJ1794" s="30"/>
      <c r="AK1794" s="30"/>
      <c r="AL1794" s="30"/>
      <c r="AM1794" s="13"/>
      <c r="AN1794" s="13"/>
      <c r="AO1794" s="13"/>
      <c r="AP1794" s="13"/>
      <c r="AQ1794" s="13"/>
      <c r="AR1794" s="14"/>
      <c r="AS1794" s="15"/>
    </row>
    <row r="1795" spans="1:45" s="17" customFormat="1" ht="30.95" hidden="1" customHeight="1" x14ac:dyDescent="0.2">
      <c r="A1795" s="37"/>
      <c r="B1795" s="38"/>
      <c r="C1795" s="45"/>
      <c r="D1795" s="31">
        <v>3750085</v>
      </c>
      <c r="E1795" s="31">
        <v>4162268</v>
      </c>
      <c r="F1795" s="268" t="str">
        <f>IF(D1795="","",VLOOKUP(D1795,契約台帳!$A$3:$K$4986,6,FALSE)&amp;VLOOKUP(D1795,契約台帳!$A$3:$K$4986,7,FALSE)&amp;VLOOKUP(D1795,契約台帳!$A$3:$K$4986,8,FALSE)&amp;VLOOKUP(D1795,契約台帳!$A$3:$K$4986,9,FALSE)&amp;VLOOKUP(D1795,契約台帳!$A$3:$K$4986,11,FALSE))</f>
        <v>3SYMLBMSBBF</v>
      </c>
      <c r="G1795" s="269" t="str">
        <f>IF(D1795="","",VLOOKUP(F1795,製品マスタ!$G$5:$H$5002,2,FALSE))</f>
        <v>S</v>
      </c>
      <c r="H1795" s="269" t="str">
        <f>IF(D1795="","",VLOOKUP(F1795,製品マスタ!$G$5:$K$5002,5,FALSE))</f>
        <v>MSBBF</v>
      </c>
      <c r="I1795" s="270" t="str">
        <f>IF(D1795="","",VLOOKUP(F1795,製品マスタ!$G$5:$L$5002,6,FALSE))</f>
        <v>ＭＥＴＡＬＵＭＹ　ＳＩＬＶＥＲ　ＢＲＩＧＨＴ　Ｔ６２Ｍ　Ｂ</v>
      </c>
      <c r="J1795" s="210" t="s">
        <v>464</v>
      </c>
      <c r="K1795" s="270">
        <f>IF(D1795="","",VLOOKUP(D1795,契約台帳!$A$3:$L$4986,12,FALSE))</f>
        <v>25</v>
      </c>
      <c r="L1795" s="270" t="s">
        <v>2371</v>
      </c>
      <c r="M1795" s="39">
        <v>1120</v>
      </c>
      <c r="N1795" s="39">
        <v>8000</v>
      </c>
      <c r="O1795" s="156">
        <v>1</v>
      </c>
      <c r="P1795" s="47">
        <v>1</v>
      </c>
      <c r="Q1795" s="213">
        <v>45387</v>
      </c>
      <c r="R1795" s="271">
        <f ca="1">IF(D1795="","",IF(OFFSET(D1795,-1,0)&lt;&gt;"","",IF(OR(J1795="リード付け",J1795="巻足し",J1795="巻返しリード付け"),M1795,VLOOKUP(D1795,契約台帳!$A$3:$N$4986,14,FALSE))))</f>
        <v>1120</v>
      </c>
      <c r="S1795" s="272">
        <f ca="1">IF(D1795="","",IF(OFFSET(D1795,-1,0)&lt;&gt;"","",IF(OR(J1795="リード付け",J1795="巻足し",J1795="巻返しリード付け"),M1795,VLOOKUP(D1795,契約台帳!$A$3:$O$4986,15,FALSE))))</f>
        <v>1120</v>
      </c>
      <c r="T1795" s="273">
        <f ca="1">IF(D1795="","",IF(J1795="リード付け",N1795,IF(J1795="巻返しリード付け",N1795,IF(J1795="巻足し",N1795*P1795+OFFSET(N1795,1,0)*OFFSET(P1795,1,0),VLOOKUP(D1795,契約台帳!$A$3:$P$4986,16,FALSE)))))</f>
        <v>8000</v>
      </c>
      <c r="U1795" s="40">
        <v>1</v>
      </c>
      <c r="V1795" s="274">
        <f ca="1">IF(D1795="","",IF(OFFSET(D1795,-2,0)=D1795,"",VLOOKUP(D1795,契約台帳!$A$3:$R$4986,18,FALSE)))</f>
        <v>1</v>
      </c>
      <c r="W1795" s="269" t="str">
        <f ca="1">IF(D1795="","",IF(T1795="","",IF(OR(J1795="巻足し",J1795="巻返しリード付け"),"",IF(J1795="巻返し",VLOOKUP(F1795&amp;K1795&amp;M1795,製品マスタ!$M$5:$AD$5002,18,FALSE),IF(OR(J1795="リード付け",J1795="巻返しリード付け"),"原反コア",IF(J1795="スリット",VLOOKUP(F1795&amp;K1795&amp;R1795,製品マスタ!$N$5:$AD$5002,17,FALSE),""))))))</f>
        <v>原反コア</v>
      </c>
      <c r="X1795" s="269" t="str">
        <f ca="1">IF(D1795="","",IF(T1795="","",IF(J1795="巻足し","",IF(J1795="巻返し",VLOOKUP(F1795&amp;K1795&amp;M1795,製品マスタ!$M$5:$AE$5002,19,FALSE),IF(OR(J1795="リード付け",J1795="巻返しリード付け"),"",IF(J1795="スリット",VLOOKUP(F1795&amp;K1795&amp;R1795,製品マスタ!$N$5:$AE$5002,18,FALSE),""))))))</f>
        <v/>
      </c>
      <c r="Y1795" s="275">
        <f ca="1">IF(D1795="","",IF(T1795="","",VLOOKUP(D1795,契約台帳!$A$3:$Q$4986,17,FALSE)))</f>
        <v>2</v>
      </c>
      <c r="Z1795" s="269" t="str">
        <f ca="1">IF(D1795="","",IF(T1795="","",VLOOKUP(D1795,契約台帳!$A$3:$E$4986,5,FALSE)))</f>
        <v>リンテック㈱</v>
      </c>
      <c r="AA1795" s="57"/>
      <c r="AB1795" s="207">
        <f>IFERROR((VLOOKUP(F1795&amp;K1795&amp;M1795,製品マスタ!$M$5:$AM$5002,27,FALSE)),"")</f>
        <v>0</v>
      </c>
      <c r="AC1795" s="33"/>
      <c r="AD1795" s="189"/>
      <c r="AE1795" s="54"/>
      <c r="AF1795" s="55">
        <f>+M1795*N1795*O1795/1000</f>
        <v>8960</v>
      </c>
      <c r="AG1795" s="43"/>
      <c r="AH1795" s="47"/>
      <c r="AI1795" s="30"/>
      <c r="AJ1795" s="30"/>
      <c r="AK1795" s="30"/>
      <c r="AL1795" s="30"/>
      <c r="AM1795" s="13"/>
      <c r="AN1795" s="13"/>
      <c r="AO1795" s="13"/>
      <c r="AP1795" s="13"/>
      <c r="AQ1795" s="13"/>
      <c r="AR1795" s="14"/>
      <c r="AS1795" s="15"/>
    </row>
    <row r="1796" spans="1:45" s="17" customFormat="1" ht="30.95" hidden="1" customHeight="1" x14ac:dyDescent="0.2">
      <c r="A1796" s="37"/>
      <c r="B1796" s="38"/>
      <c r="C1796" s="45"/>
      <c r="D1796" s="31"/>
      <c r="E1796" s="31"/>
      <c r="F1796" s="268"/>
      <c r="G1796" s="269"/>
      <c r="H1796" s="269"/>
      <c r="I1796" s="270"/>
      <c r="J1796" s="210"/>
      <c r="K1796" s="270"/>
      <c r="L1796" s="270"/>
      <c r="M1796" s="39"/>
      <c r="N1796" s="39"/>
      <c r="O1796" s="156"/>
      <c r="P1796" s="47"/>
      <c r="Q1796" s="57"/>
      <c r="R1796" s="338"/>
      <c r="S1796" s="272"/>
      <c r="T1796" s="273"/>
      <c r="U1796" s="40"/>
      <c r="V1796" s="277"/>
      <c r="W1796" s="269"/>
      <c r="X1796" s="269"/>
      <c r="Y1796" s="275"/>
      <c r="Z1796" s="269"/>
      <c r="AA1796" s="57"/>
      <c r="AB1796" s="207"/>
      <c r="AC1796" s="33"/>
      <c r="AD1796" s="189"/>
      <c r="AE1796" s="54"/>
      <c r="AF1796" s="55"/>
      <c r="AG1796" s="43"/>
      <c r="AH1796" s="47"/>
      <c r="AI1796" s="30"/>
      <c r="AJ1796" s="30"/>
      <c r="AK1796" s="30"/>
      <c r="AL1796" s="30"/>
      <c r="AM1796" s="13"/>
      <c r="AN1796" s="13"/>
      <c r="AO1796" s="13"/>
      <c r="AP1796" s="13"/>
      <c r="AQ1796" s="13"/>
      <c r="AR1796" s="14"/>
      <c r="AS1796" s="15"/>
    </row>
    <row r="1797" spans="1:45" s="17" customFormat="1" ht="30.95" hidden="1" customHeight="1" x14ac:dyDescent="0.2">
      <c r="A1797" s="37"/>
      <c r="B1797" s="38"/>
      <c r="C1797" s="45"/>
      <c r="D1797" s="31">
        <v>3750091</v>
      </c>
      <c r="E1797" s="31">
        <v>4162269</v>
      </c>
      <c r="F1797" s="268" t="str">
        <f>IF(D1797="","",VLOOKUP(D1797,契約台帳!$A$3:$K$4986,6,FALSE)&amp;VLOOKUP(D1797,契約台帳!$A$3:$K$4986,7,FALSE)&amp;VLOOKUP(D1797,契約台帳!$A$3:$K$4986,8,FALSE)&amp;VLOOKUP(D1797,契約台帳!$A$3:$K$4986,9,FALSE)&amp;VLOOKUP(D1797,契約台帳!$A$3:$K$4986,11,FALSE))</f>
        <v>3SYMLBMSBBF</v>
      </c>
      <c r="G1797" s="269" t="str">
        <f>IF(D1797="","",VLOOKUP(F1797,製品マスタ!$G$5:$H$5002,2,FALSE))</f>
        <v>S</v>
      </c>
      <c r="H1797" s="269" t="str">
        <f>IF(D1797="","",VLOOKUP(F1797,製品マスタ!$G$5:$K$5002,5,FALSE))</f>
        <v>MSBBF</v>
      </c>
      <c r="I1797" s="270" t="str">
        <f>IF(D1797="","",VLOOKUP(F1797,製品マスタ!$G$5:$L$5002,6,FALSE))</f>
        <v>ＭＥＴＡＬＵＭＹ　ＳＩＬＶＥＲ　ＢＲＩＧＨＴ　Ｔ６２Ｍ　Ｂ</v>
      </c>
      <c r="J1797" s="210" t="s">
        <v>464</v>
      </c>
      <c r="K1797" s="270">
        <f>IF(D1797="","",VLOOKUP(D1797,契約台帳!$A$3:$L$4986,12,FALSE))</f>
        <v>25</v>
      </c>
      <c r="L1797" s="270" t="s">
        <v>2371</v>
      </c>
      <c r="M1797" s="39">
        <v>1120</v>
      </c>
      <c r="N1797" s="39">
        <v>8000</v>
      </c>
      <c r="O1797" s="156">
        <v>1</v>
      </c>
      <c r="P1797" s="47">
        <v>1</v>
      </c>
      <c r="Q1797" s="213">
        <v>45387</v>
      </c>
      <c r="R1797" s="271">
        <f ca="1">IF(D1797="","",IF(OFFSET(D1797,-1,0)&lt;&gt;"","",IF(OR(J1797="リード付け",J1797="巻足し",J1797="巻返しリード付け"),M1797,VLOOKUP(D1797,契約台帳!$A$3:$N$4986,14,FALSE))))</f>
        <v>1120</v>
      </c>
      <c r="S1797" s="272">
        <f ca="1">IF(D1797="","",IF(OFFSET(D1797,-1,0)&lt;&gt;"","",IF(OR(J1797="リード付け",J1797="巻足し",J1797="巻返しリード付け"),M1797,VLOOKUP(D1797,契約台帳!$A$3:$O$4986,15,FALSE))))</f>
        <v>1120</v>
      </c>
      <c r="T1797" s="273">
        <f ca="1">IF(D1797="","",IF(J1797="リード付け",N1797,IF(J1797="巻返しリード付け",N1797,IF(J1797="巻足し",N1797*P1797+OFFSET(N1797,1,0)*OFFSET(P1797,1,0),VLOOKUP(D1797,契約台帳!$A$3:$P$4986,16,FALSE)))))</f>
        <v>8000</v>
      </c>
      <c r="U1797" s="40">
        <v>1</v>
      </c>
      <c r="V1797" s="274">
        <f ca="1">IF(D1797="","",IF(OFFSET(D1797,-2,0)=D1797,"",VLOOKUP(D1797,契約台帳!$A$3:$R$4986,18,FALSE)))</f>
        <v>1</v>
      </c>
      <c r="W1797" s="269" t="str">
        <f ca="1">IF(D1797="","",IF(T1797="","",IF(OR(J1797="巻足し",J1797="巻返しリード付け"),"",IF(J1797="巻返し",VLOOKUP(F1797&amp;K1797&amp;M1797,製品マスタ!$M$5:$AD$5002,18,FALSE),IF(OR(J1797="リード付け",J1797="巻返しリード付け"),"原反コア",IF(J1797="スリット",VLOOKUP(F1797&amp;K1797&amp;R1797,製品マスタ!$N$5:$AD$5002,17,FALSE),""))))))</f>
        <v>原反コア</v>
      </c>
      <c r="X1797" s="269" t="str">
        <f ca="1">IF(D1797="","",IF(T1797="","",IF(J1797="巻足し","",IF(J1797="巻返し",VLOOKUP(F1797&amp;K1797&amp;M1797,製品マスタ!$M$5:$AE$5002,19,FALSE),IF(OR(J1797="リード付け",J1797="巻返しリード付け"),"",IF(J1797="スリット",VLOOKUP(F1797&amp;K1797&amp;R1797,製品マスタ!$N$5:$AE$5002,18,FALSE),""))))))</f>
        <v/>
      </c>
      <c r="Y1797" s="275">
        <f ca="1">IF(D1797="","",IF(T1797="","",VLOOKUP(D1797,契約台帳!$A$3:$Q$4986,17,FALSE)))</f>
        <v>2</v>
      </c>
      <c r="Z1797" s="269" t="str">
        <f ca="1">IF(D1797="","",IF(T1797="","",VLOOKUP(D1797,契約台帳!$A$3:$E$4986,5,FALSE)))</f>
        <v>リンテック㈱</v>
      </c>
      <c r="AA1797" s="57"/>
      <c r="AB1797" s="207">
        <f>IFERROR((VLOOKUP(F1797&amp;K1797&amp;M1797,製品マスタ!$M$5:$AM$5002,27,FALSE)),"")</f>
        <v>0</v>
      </c>
      <c r="AC1797" s="33"/>
      <c r="AD1797" s="189"/>
      <c r="AE1797" s="54"/>
      <c r="AF1797" s="55">
        <f>+M1797*N1797*O1797/1000</f>
        <v>8960</v>
      </c>
      <c r="AG1797" s="43"/>
      <c r="AH1797" s="47"/>
      <c r="AI1797" s="30"/>
      <c r="AJ1797" s="30"/>
      <c r="AK1797" s="30"/>
      <c r="AL1797" s="30"/>
      <c r="AM1797" s="13"/>
      <c r="AN1797" s="13"/>
      <c r="AO1797" s="13"/>
      <c r="AP1797" s="13"/>
      <c r="AQ1797" s="13"/>
      <c r="AR1797" s="14"/>
      <c r="AS1797" s="15"/>
    </row>
    <row r="1798" spans="1:45" s="17" customFormat="1" ht="30.95" hidden="1" customHeight="1" x14ac:dyDescent="0.2">
      <c r="A1798" s="37"/>
      <c r="B1798" s="38"/>
      <c r="C1798" s="45"/>
      <c r="D1798" s="31"/>
      <c r="E1798" s="31"/>
      <c r="F1798" s="268"/>
      <c r="G1798" s="269"/>
      <c r="H1798" s="269"/>
      <c r="I1798" s="270"/>
      <c r="J1798" s="210"/>
      <c r="K1798" s="270"/>
      <c r="L1798" s="270"/>
      <c r="M1798" s="39"/>
      <c r="N1798" s="39"/>
      <c r="O1798" s="156"/>
      <c r="P1798" s="47"/>
      <c r="Q1798" s="57"/>
      <c r="R1798" s="338"/>
      <c r="S1798" s="272"/>
      <c r="T1798" s="273"/>
      <c r="U1798" s="40"/>
      <c r="V1798" s="277"/>
      <c r="W1798" s="269"/>
      <c r="X1798" s="269"/>
      <c r="Y1798" s="275"/>
      <c r="Z1798" s="269"/>
      <c r="AA1798" s="57"/>
      <c r="AB1798" s="207"/>
      <c r="AC1798" s="33"/>
      <c r="AD1798" s="189"/>
      <c r="AE1798" s="54"/>
      <c r="AF1798" s="55"/>
      <c r="AG1798" s="43"/>
      <c r="AH1798" s="47"/>
      <c r="AI1798" s="30"/>
      <c r="AJ1798" s="30"/>
      <c r="AK1798" s="30"/>
      <c r="AL1798" s="30"/>
      <c r="AM1798" s="13"/>
      <c r="AN1798" s="13"/>
      <c r="AO1798" s="13"/>
      <c r="AP1798" s="13"/>
      <c r="AQ1798" s="13"/>
      <c r="AR1798" s="14"/>
      <c r="AS1798" s="15"/>
    </row>
    <row r="1799" spans="1:45" s="17" customFormat="1" ht="30.95" hidden="1" customHeight="1" x14ac:dyDescent="0.2">
      <c r="A1799" s="37" t="s">
        <v>2376</v>
      </c>
      <c r="B1799" s="38" t="s">
        <v>2377</v>
      </c>
      <c r="C1799" s="45"/>
      <c r="D1799" s="31"/>
      <c r="E1799" s="31"/>
      <c r="F1799" s="268"/>
      <c r="G1799" s="269"/>
      <c r="H1799" s="269"/>
      <c r="I1799" s="270"/>
      <c r="J1799" s="210" t="s">
        <v>448</v>
      </c>
      <c r="K1799" s="270"/>
      <c r="L1799" s="270"/>
      <c r="M1799" s="39"/>
      <c r="N1799" s="39"/>
      <c r="O1799" s="156"/>
      <c r="P1799" s="47"/>
      <c r="Q1799" s="57"/>
      <c r="R1799" s="338"/>
      <c r="S1799" s="272"/>
      <c r="T1799" s="273"/>
      <c r="U1799" s="40"/>
      <c r="V1799" s="277"/>
      <c r="W1799" s="269"/>
      <c r="X1799" s="269"/>
      <c r="Y1799" s="275"/>
      <c r="Z1799" s="269"/>
      <c r="AA1799" s="57"/>
      <c r="AB1799" s="207"/>
      <c r="AC1799" s="33"/>
      <c r="AD1799" s="189"/>
      <c r="AE1799" s="54"/>
      <c r="AF1799" s="55"/>
      <c r="AG1799" s="43"/>
      <c r="AH1799" s="47"/>
      <c r="AI1799" s="30"/>
      <c r="AJ1799" s="30"/>
      <c r="AK1799" s="30"/>
      <c r="AL1799" s="30"/>
      <c r="AM1799" s="13"/>
      <c r="AN1799" s="13"/>
      <c r="AO1799" s="13"/>
      <c r="AP1799" s="13"/>
      <c r="AQ1799" s="13"/>
      <c r="AR1799" s="14"/>
      <c r="AS1799" s="15"/>
    </row>
    <row r="1800" spans="1:45" s="17" customFormat="1" ht="30.95" hidden="1" customHeight="1" x14ac:dyDescent="0.2">
      <c r="A1800" s="37"/>
      <c r="B1800" s="38"/>
      <c r="C1800" s="45"/>
      <c r="D1800" s="31"/>
      <c r="E1800" s="31"/>
      <c r="F1800" s="268"/>
      <c r="G1800" s="269"/>
      <c r="H1800" s="269"/>
      <c r="I1800" s="270"/>
      <c r="J1800" s="210"/>
      <c r="K1800" s="270"/>
      <c r="L1800" s="270"/>
      <c r="M1800" s="39"/>
      <c r="N1800" s="39"/>
      <c r="O1800" s="156"/>
      <c r="P1800" s="47"/>
      <c r="Q1800" s="57"/>
      <c r="R1800" s="338"/>
      <c r="S1800" s="272"/>
      <c r="T1800" s="273"/>
      <c r="U1800" s="40"/>
      <c r="V1800" s="277"/>
      <c r="W1800" s="269"/>
      <c r="X1800" s="269"/>
      <c r="Y1800" s="275"/>
      <c r="Z1800" s="269"/>
      <c r="AA1800" s="57"/>
      <c r="AB1800" s="207"/>
      <c r="AC1800" s="33"/>
      <c r="AD1800" s="189"/>
      <c r="AE1800" s="54"/>
      <c r="AF1800" s="55"/>
      <c r="AG1800" s="43"/>
      <c r="AH1800" s="47"/>
      <c r="AI1800" s="30"/>
      <c r="AJ1800" s="30"/>
      <c r="AK1800" s="30"/>
      <c r="AL1800" s="30"/>
      <c r="AM1800" s="13"/>
      <c r="AN1800" s="13"/>
      <c r="AO1800" s="13"/>
      <c r="AP1800" s="13"/>
      <c r="AQ1800" s="13"/>
      <c r="AR1800" s="14"/>
      <c r="AS1800" s="15"/>
    </row>
    <row r="1801" spans="1:45" s="17" customFormat="1" ht="30.95" hidden="1" customHeight="1" x14ac:dyDescent="0.2">
      <c r="A1801" s="37" t="s">
        <v>2378</v>
      </c>
      <c r="B1801" s="38" t="s">
        <v>2379</v>
      </c>
      <c r="C1801" s="45"/>
      <c r="D1801" s="31"/>
      <c r="E1801" s="31"/>
      <c r="F1801" s="268"/>
      <c r="G1801" s="269"/>
      <c r="H1801" s="269"/>
      <c r="I1801" s="270"/>
      <c r="J1801" s="210" t="s">
        <v>448</v>
      </c>
      <c r="K1801" s="270"/>
      <c r="L1801" s="270"/>
      <c r="M1801" s="39"/>
      <c r="N1801" s="39"/>
      <c r="O1801" s="156"/>
      <c r="P1801" s="47"/>
      <c r="Q1801" s="57"/>
      <c r="R1801" s="338"/>
      <c r="S1801" s="272"/>
      <c r="T1801" s="273"/>
      <c r="U1801" s="40"/>
      <c r="V1801" s="277"/>
      <c r="W1801" s="269"/>
      <c r="X1801" s="269"/>
      <c r="Y1801" s="275"/>
      <c r="Z1801" s="269"/>
      <c r="AA1801" s="57"/>
      <c r="AB1801" s="207"/>
      <c r="AC1801" s="33"/>
      <c r="AD1801" s="189"/>
      <c r="AE1801" s="54"/>
      <c r="AF1801" s="55"/>
      <c r="AG1801" s="43"/>
      <c r="AH1801" s="47"/>
      <c r="AI1801" s="30"/>
      <c r="AJ1801" s="30"/>
      <c r="AK1801" s="30"/>
      <c r="AL1801" s="30"/>
      <c r="AM1801" s="13"/>
      <c r="AN1801" s="13"/>
      <c r="AO1801" s="13"/>
      <c r="AP1801" s="13"/>
      <c r="AQ1801" s="13"/>
      <c r="AR1801" s="14"/>
      <c r="AS1801" s="15"/>
    </row>
    <row r="1802" spans="1:45" s="17" customFormat="1" ht="30.95" hidden="1" customHeight="1" x14ac:dyDescent="0.2">
      <c r="A1802" s="37"/>
      <c r="B1802" s="38"/>
      <c r="C1802" s="45"/>
      <c r="D1802" s="31"/>
      <c r="E1802" s="31"/>
      <c r="F1802" s="268"/>
      <c r="G1802" s="269"/>
      <c r="H1802" s="269"/>
      <c r="I1802" s="270"/>
      <c r="J1802" s="210"/>
      <c r="K1802" s="270"/>
      <c r="L1802" s="270"/>
      <c r="M1802" s="39"/>
      <c r="N1802" s="39"/>
      <c r="O1802" s="156"/>
      <c r="P1802" s="47"/>
      <c r="Q1802" s="57"/>
      <c r="R1802" s="338"/>
      <c r="S1802" s="272"/>
      <c r="T1802" s="273"/>
      <c r="U1802" s="40"/>
      <c r="V1802" s="277"/>
      <c r="W1802" s="269"/>
      <c r="X1802" s="269"/>
      <c r="Y1802" s="275"/>
      <c r="Z1802" s="269"/>
      <c r="AA1802" s="57"/>
      <c r="AB1802" s="207"/>
      <c r="AC1802" s="33"/>
      <c r="AD1802" s="189"/>
      <c r="AE1802" s="54"/>
      <c r="AF1802" s="55"/>
      <c r="AG1802" s="43"/>
      <c r="AH1802" s="47"/>
      <c r="AI1802" s="30"/>
      <c r="AJ1802" s="30"/>
      <c r="AK1802" s="30"/>
      <c r="AL1802" s="30"/>
      <c r="AM1802" s="13"/>
      <c r="AN1802" s="13"/>
      <c r="AO1802" s="13"/>
      <c r="AP1802" s="13"/>
      <c r="AQ1802" s="13"/>
      <c r="AR1802" s="14"/>
      <c r="AS1802" s="15"/>
    </row>
    <row r="1803" spans="1:45" s="17" customFormat="1" ht="30.6" hidden="1" customHeight="1" x14ac:dyDescent="0.2">
      <c r="A1803" s="37" t="s">
        <v>2380</v>
      </c>
      <c r="B1803" s="38" t="s">
        <v>2381</v>
      </c>
      <c r="C1803" s="45"/>
      <c r="D1803" s="31">
        <v>3750068</v>
      </c>
      <c r="E1803" s="31">
        <v>4162286</v>
      </c>
      <c r="F1803" s="268" t="str">
        <f>IF(D1803="","",VLOOKUP(D1803,契約台帳!$A$3:$K$4986,6,FALSE)&amp;VLOOKUP(D1803,契約台帳!$A$3:$K$4986,7,FALSE)&amp;VLOOKUP(D1803,契約台帳!$A$3:$K$4986,8,FALSE)&amp;VLOOKUP(D1803,契約台帳!$A$3:$K$4986,9,FALSE)&amp;VLOOKUP(D1803,契約台帳!$A$3:$K$4986,11,FALSE))</f>
        <v>3SNMCLBNGKVB</v>
      </c>
      <c r="G1803" s="269" t="str">
        <f>IF(D1803="","",VLOOKUP(F1803,製品マスタ!$G$5:$H$5002,2,FALSE))</f>
        <v>S</v>
      </c>
      <c r="H1803" s="269" t="str">
        <f>IF(D1803="","",VLOOKUP(F1803,製品マスタ!$G$5:$K$5002,5,FALSE))</f>
        <v>NGKVB</v>
      </c>
      <c r="I1803" s="270" t="str">
        <f>IF(D1803="","",VLOOKUP(F1803,製品マスタ!$G$5:$L$5002,6,FALSE))</f>
        <v>メタルミー　ネーマー銀消　ＶＢ</v>
      </c>
      <c r="J1803" s="210" t="s">
        <v>935</v>
      </c>
      <c r="K1803" s="270">
        <f>IF(D1803="","",VLOOKUP(D1803,契約台帳!$A$3:$L$4986,12,FALSE))</f>
        <v>50</v>
      </c>
      <c r="L1803" s="270" t="str">
        <f>IF(D1803="","",INDEX(製品マスタ!$Q$5:$Q$5002,MATCH('S4'!F1803&amp;'S4'!K1803,製品マスタ!$AO$5:$AO$5002,0)))</f>
        <v>MAT</v>
      </c>
      <c r="M1803" s="39">
        <v>1005</v>
      </c>
      <c r="N1803" s="39">
        <v>4100</v>
      </c>
      <c r="O1803" s="156">
        <v>2</v>
      </c>
      <c r="P1803" s="47">
        <v>2</v>
      </c>
      <c r="Q1803" s="213">
        <v>45386</v>
      </c>
      <c r="R1803" s="271">
        <f ca="1">IF(D1803="","",IF(OFFSET(D1803,-1,0)&lt;&gt;"","",IF(OR(J1803="リード付け",J1803="巻足し",J1803="巻返しリード付け"),M1803,VLOOKUP(D1803,契約台帳!$A$3:$N$4986,14,FALSE))))</f>
        <v>1005</v>
      </c>
      <c r="S1803" s="272">
        <f ca="1">IF(D1803="","",IF(OFFSET(D1803,-1,0)&lt;&gt;"","",IF(OR(J1803="リード付け",J1803="巻足し",J1803="巻返しリード付け"),M1803,VLOOKUP(D1803,契約台帳!$A$3:$O$4986,15,FALSE))))</f>
        <v>1005</v>
      </c>
      <c r="T1803" s="273">
        <f ca="1">IF(D1803="","",IF(J1803="リード付け",N1803,IF(J1803="巻返しリード付け",N1803,IF(J1803="巻足し",N1803*P1803+OFFSET(N1803,1,0)*OFFSET(P1803,1,0),VLOOKUP(D1803,契約台帳!$A$3:$P$4986,16,FALSE)))))</f>
        <v>8200</v>
      </c>
      <c r="U1803" s="40">
        <v>1</v>
      </c>
      <c r="V1803" s="274">
        <f ca="1">IF(D1803="","",IF(OFFSET(D1803,-2,0)=D1803,"",VLOOKUP(D1803,契約台帳!$A$3:$R$4986,18,FALSE)))</f>
        <v>2</v>
      </c>
      <c r="W1803" s="269" t="str">
        <f ca="1">IF(D1803="","",IF(T1803="","",IF(OR(J1803="巻足し",J1803="巻返しリード付け"),"",IF(J1803="巻返し",VLOOKUP(F1803&amp;K1803&amp;M1803,製品マスタ!$M$5:$AD$5002,18,FALSE),IF(OR(J1803="リード付け",J1803="巻返しリード付け"),"原反コア",IF(J1803="スリット",VLOOKUP(F1803&amp;K1803&amp;R1803,製品マスタ!$N$5:$AD$5002,17,FALSE),""))))))</f>
        <v/>
      </c>
      <c r="X1803" s="269" t="str">
        <f ca="1">IF(D1803="","",IF(T1803="","",IF(J1803="巻足し","",IF(J1803="巻返し",VLOOKUP(F1803&amp;K1803&amp;M1803,製品マスタ!$M$5:$AE$5002,19,FALSE),IF(OR(J1803="リード付け",J1803="巻返しリード付け"),"",IF(J1803="スリット",VLOOKUP(F1803&amp;K1803&amp;R1803,製品マスタ!$N$5:$AE$5002,18,FALSE),""))))))</f>
        <v/>
      </c>
      <c r="Y1803" s="275">
        <f ca="1">IF(D1803="","",IF(T1803="","",VLOOKUP(D1803,契約台帳!$A$3:$Q$4986,17,FALSE)))</f>
        <v>2</v>
      </c>
      <c r="Z1803" s="269" t="str">
        <f ca="1">IF(D1803="","",IF(T1803="","",VLOOKUP(D1803,契約台帳!$A$3:$E$4986,5,FALSE)))</f>
        <v>リンテック㈱</v>
      </c>
      <c r="AA1803" s="57"/>
      <c r="AB1803" s="207">
        <f>IFERROR((VLOOKUP(F1803&amp;K1803&amp;M1803,製品マスタ!$M$5:$AM$5002,27,FALSE)),"")</f>
        <v>0</v>
      </c>
      <c r="AC1803" s="33"/>
      <c r="AD1803" s="189"/>
      <c r="AE1803" s="54"/>
      <c r="AF1803" s="55">
        <f>+M1803*N1803*O1803/1000</f>
        <v>8241</v>
      </c>
      <c r="AG1803" s="43"/>
      <c r="AH1803" s="47"/>
      <c r="AI1803" s="30"/>
      <c r="AJ1803" s="30"/>
      <c r="AK1803" s="30"/>
      <c r="AL1803" s="30"/>
      <c r="AM1803" s="13"/>
      <c r="AN1803" s="13"/>
      <c r="AO1803" s="13"/>
      <c r="AP1803" s="13"/>
      <c r="AQ1803" s="13"/>
      <c r="AR1803" s="14"/>
      <c r="AS1803" s="15"/>
    </row>
    <row r="1804" spans="1:45" s="17" customFormat="1" ht="30.95" hidden="1" customHeight="1" x14ac:dyDescent="0.2">
      <c r="A1804" s="37"/>
      <c r="B1804" s="38"/>
      <c r="C1804" s="45"/>
      <c r="D1804" s="31"/>
      <c r="E1804" s="31"/>
      <c r="F1804" s="268"/>
      <c r="G1804" s="269"/>
      <c r="H1804" s="269"/>
      <c r="I1804" s="270"/>
      <c r="J1804" s="210"/>
      <c r="K1804" s="270"/>
      <c r="L1804" s="270"/>
      <c r="M1804" s="39"/>
      <c r="N1804" s="39"/>
      <c r="O1804" s="156"/>
      <c r="P1804" s="47"/>
      <c r="Q1804" s="57"/>
      <c r="R1804" s="338"/>
      <c r="S1804" s="272"/>
      <c r="T1804" s="273"/>
      <c r="U1804" s="40"/>
      <c r="V1804" s="277"/>
      <c r="W1804" s="269"/>
      <c r="X1804" s="269"/>
      <c r="Y1804" s="275"/>
      <c r="Z1804" s="269"/>
      <c r="AA1804" s="57"/>
      <c r="AB1804" s="207"/>
      <c r="AC1804" s="33"/>
      <c r="AD1804" s="189"/>
      <c r="AE1804" s="54"/>
      <c r="AF1804" s="55"/>
      <c r="AG1804" s="43"/>
      <c r="AH1804" s="47"/>
      <c r="AI1804" s="30"/>
      <c r="AJ1804" s="30"/>
      <c r="AK1804" s="30"/>
      <c r="AL1804" s="30"/>
      <c r="AM1804" s="13"/>
      <c r="AN1804" s="13"/>
      <c r="AO1804" s="13"/>
      <c r="AP1804" s="13"/>
      <c r="AQ1804" s="13"/>
      <c r="AR1804" s="14"/>
      <c r="AS1804" s="15"/>
    </row>
    <row r="1805" spans="1:45" s="17" customFormat="1" ht="30.95" hidden="1" customHeight="1" x14ac:dyDescent="0.2">
      <c r="A1805" s="37"/>
      <c r="B1805" s="38"/>
      <c r="C1805" s="45"/>
      <c r="D1805" s="31">
        <v>3750076</v>
      </c>
      <c r="E1805" s="31">
        <v>4162259</v>
      </c>
      <c r="F1805" s="268" t="str">
        <f>IF(D1805="","",VLOOKUP(D1805,契約台帳!$A$3:$K$4986,6,FALSE)&amp;VLOOKUP(D1805,契約台帳!$A$3:$K$4986,7,FALSE)&amp;VLOOKUP(D1805,契約台帳!$A$3:$K$4986,8,FALSE)&amp;VLOOKUP(D1805,契約台帳!$A$3:$K$4986,9,FALSE)&amp;VLOOKUP(D1805,契約台帳!$A$3:$K$4986,11,FALSE))</f>
        <v>3SNMCLBDMSV</v>
      </c>
      <c r="G1805" s="269" t="str">
        <f>IF(D1805="","",VLOOKUP(F1805,製品マスタ!$G$5:$H$5002,2,FALSE))</f>
        <v>S</v>
      </c>
      <c r="H1805" s="269" t="str">
        <f>IF(D1805="","",VLOOKUP(F1805,製品マスタ!$G$5:$K$5002,5,FALSE))</f>
        <v>DMSV</v>
      </c>
      <c r="I1805" s="270" t="str">
        <f>IF(D1805="","",VLOOKUP(F1805,製品マスタ!$G$5:$L$5002,6,FALSE))</f>
        <v>ＤＭＳ　Ｖ</v>
      </c>
      <c r="J1805" s="210" t="s">
        <v>464</v>
      </c>
      <c r="K1805" s="270">
        <f>IF(D1805="","",VLOOKUP(D1805,契約台帳!$A$3:$L$4986,12,FALSE))</f>
        <v>50</v>
      </c>
      <c r="L1805" s="270" t="str">
        <f>IF(D1805="","",INDEX(製品マスタ!$Q$5:$Q$5002,MATCH('S4'!F1805&amp;'S4'!K1805,製品マスタ!$AO$5:$AO$5002,0)))</f>
        <v>X44</v>
      </c>
      <c r="M1805" s="39">
        <v>1005</v>
      </c>
      <c r="N1805" s="39">
        <v>4000</v>
      </c>
      <c r="O1805" s="156">
        <v>1</v>
      </c>
      <c r="P1805" s="47">
        <v>1</v>
      </c>
      <c r="Q1805" s="213">
        <v>45387</v>
      </c>
      <c r="R1805" s="271">
        <f ca="1">IF(D1805="","",IF(OFFSET(D1805,-1,0)&lt;&gt;"","",IF(OR(J1805="リード付け",J1805="巻足し",J1805="巻返しリード付け"),M1805,VLOOKUP(D1805,契約台帳!$A$3:$N$4986,14,FALSE))))</f>
        <v>1005</v>
      </c>
      <c r="S1805" s="272">
        <f ca="1">IF(D1805="","",IF(OFFSET(D1805,-1,0)&lt;&gt;"","",IF(OR(J1805="リード付け",J1805="巻足し",J1805="巻返しリード付け"),M1805,VLOOKUP(D1805,契約台帳!$A$3:$O$4986,15,FALSE))))</f>
        <v>1005</v>
      </c>
      <c r="T1805" s="273">
        <f ca="1">IF(D1805="","",IF(J1805="リード付け",N1805,IF(J1805="巻返しリード付け",N1805,IF(J1805="巻足し",N1805*P1805+OFFSET(N1805,1,0)*OFFSET(P1805,1,0),VLOOKUP(D1805,契約台帳!$A$3:$P$4986,16,FALSE)))))</f>
        <v>4000</v>
      </c>
      <c r="U1805" s="40">
        <v>1</v>
      </c>
      <c r="V1805" s="274">
        <f ca="1">IF(D1805="","",IF(OFFSET(D1805,-2,0)=D1805,"",VLOOKUP(D1805,契約台帳!$A$3:$R$4986,18,FALSE)))</f>
        <v>2</v>
      </c>
      <c r="W1805" s="269" t="str">
        <f ca="1">IF(D1805="","",IF(T1805="","",IF(OR(J1805="巻足し",J1805="巻返しリード付け"),"",IF(J1805="巻返し",VLOOKUP(F1805&amp;K1805&amp;M1805,製品マスタ!$M$5:$AD$5002,18,FALSE),IF(OR(J1805="リード付け",J1805="巻返しリード付け"),"原反コア",IF(J1805="スリット",VLOOKUP(F1805&amp;K1805&amp;R1805,製品マスタ!$N$5:$AD$5002,17,FALSE),""))))))</f>
        <v>原反コア</v>
      </c>
      <c r="X1805" s="269" t="str">
        <f ca="1">IF(D1805="","",IF(T1805="","",IF(J1805="巻足し","",IF(J1805="巻返し",VLOOKUP(F1805&amp;K1805&amp;M1805,製品マスタ!$M$5:$AE$5002,19,FALSE),IF(OR(J1805="リード付け",J1805="巻返しリード付け"),"",IF(J1805="スリット",VLOOKUP(F1805&amp;K1805&amp;R1805,製品マスタ!$N$5:$AE$5002,18,FALSE),""))))))</f>
        <v/>
      </c>
      <c r="Y1805" s="275">
        <f ca="1">IF(D1805="","",IF(T1805="","",VLOOKUP(D1805,契約台帳!$A$3:$Q$4986,17,FALSE)))</f>
        <v>2</v>
      </c>
      <c r="Z1805" s="269" t="str">
        <f ca="1">IF(D1805="","",IF(T1805="","",VLOOKUP(D1805,契約台帳!$A$3:$E$4986,5,FALSE)))</f>
        <v>リンテック㈱</v>
      </c>
      <c r="AA1805" s="57"/>
      <c r="AB1805" s="207">
        <f>IFERROR((VLOOKUP(F1805&amp;K1805&amp;M1805,製品マスタ!$M$5:$AM$5002,27,FALSE)),"")</f>
        <v>0</v>
      </c>
      <c r="AC1805" s="33"/>
      <c r="AD1805" s="189"/>
      <c r="AE1805" s="54"/>
      <c r="AF1805" s="55">
        <f>+M1805*N1805*O1805/1000</f>
        <v>4020</v>
      </c>
      <c r="AG1805" s="43"/>
      <c r="AH1805" s="47"/>
      <c r="AI1805" s="30"/>
      <c r="AJ1805" s="30"/>
      <c r="AK1805" s="30"/>
      <c r="AL1805" s="30"/>
      <c r="AM1805" s="13"/>
      <c r="AN1805" s="13"/>
      <c r="AO1805" s="13"/>
      <c r="AP1805" s="13"/>
      <c r="AQ1805" s="13"/>
      <c r="AR1805" s="14"/>
      <c r="AS1805" s="15"/>
    </row>
    <row r="1806" spans="1:45" s="17" customFormat="1" ht="30.95" hidden="1" customHeight="1" x14ac:dyDescent="0.2">
      <c r="A1806" s="37"/>
      <c r="B1806" s="38"/>
      <c r="C1806" s="45"/>
      <c r="D1806" s="31"/>
      <c r="E1806" s="31"/>
      <c r="F1806" s="268"/>
      <c r="G1806" s="269"/>
      <c r="H1806" s="269"/>
      <c r="I1806" s="270"/>
      <c r="J1806" s="210"/>
      <c r="K1806" s="270"/>
      <c r="L1806" s="270"/>
      <c r="M1806" s="39"/>
      <c r="N1806" s="39"/>
      <c r="O1806" s="156"/>
      <c r="P1806" s="47"/>
      <c r="Q1806" s="57"/>
      <c r="R1806" s="338"/>
      <c r="S1806" s="272"/>
      <c r="T1806" s="273"/>
      <c r="U1806" s="40"/>
      <c r="V1806" s="277"/>
      <c r="W1806" s="269"/>
      <c r="X1806" s="269"/>
      <c r="Y1806" s="275"/>
      <c r="Z1806" s="269"/>
      <c r="AA1806" s="57"/>
      <c r="AB1806" s="207"/>
      <c r="AC1806" s="33"/>
      <c r="AD1806" s="189"/>
      <c r="AE1806" s="54"/>
      <c r="AF1806" s="55"/>
      <c r="AG1806" s="43"/>
      <c r="AH1806" s="47"/>
      <c r="AI1806" s="30"/>
      <c r="AJ1806" s="30"/>
      <c r="AK1806" s="30"/>
      <c r="AL1806" s="30"/>
      <c r="AM1806" s="13"/>
      <c r="AN1806" s="13"/>
      <c r="AO1806" s="13"/>
      <c r="AP1806" s="13"/>
      <c r="AQ1806" s="13"/>
      <c r="AR1806" s="14"/>
      <c r="AS1806" s="15"/>
    </row>
    <row r="1807" spans="1:45" s="17" customFormat="1" ht="30.95" hidden="1" customHeight="1" x14ac:dyDescent="0.2">
      <c r="A1807" s="37"/>
      <c r="B1807" s="38"/>
      <c r="C1807" s="45"/>
      <c r="D1807" s="31">
        <v>3750069</v>
      </c>
      <c r="E1807" s="31">
        <v>4162285</v>
      </c>
      <c r="F1807" s="268" t="str">
        <f>IF(D1807="","",VLOOKUP(D1807,契約台帳!$A$3:$K$4986,6,FALSE)&amp;VLOOKUP(D1807,契約台帳!$A$3:$K$4986,7,FALSE)&amp;VLOOKUP(D1807,契約台帳!$A$3:$K$4986,8,FALSE)&amp;VLOOKUP(D1807,契約台帳!$A$3:$K$4986,9,FALSE)&amp;VLOOKUP(D1807,契約台帳!$A$3:$K$4986,11,FALSE))</f>
        <v>3SNMCLBNGKEYKB</v>
      </c>
      <c r="G1807" s="269" t="str">
        <f>IF(D1807="","",VLOOKUP(F1807,製品マスタ!$G$5:$H$5002,2,FALSE))</f>
        <v>S</v>
      </c>
      <c r="H1807" s="269" t="str">
        <f>IF(D1807="","",VLOOKUP(F1807,製品マスタ!$G$5:$K$5002,5,FALSE))</f>
        <v>NGKEYKB</v>
      </c>
      <c r="I1807" s="270" t="str">
        <f>IF(D1807="","",VLOOKUP(F1807,製品マスタ!$G$5:$L$5002,6,FALSE))</f>
        <v>メタルミー　ネーマー銀消ＥＹＫ　Ｂ</v>
      </c>
      <c r="J1807" s="210" t="s">
        <v>464</v>
      </c>
      <c r="K1807" s="270">
        <f>IF(D1807="","",VLOOKUP(D1807,契約台帳!$A$3:$L$4986,12,FALSE))</f>
        <v>16</v>
      </c>
      <c r="L1807" s="270" t="str">
        <f>IF(D1807="","",INDEX(製品マスタ!$Q$5:$Q$5002,MATCH('S4'!F1807&amp;'S4'!K1807,製品マスタ!$AO$5:$AO$5002,0)))</f>
        <v>LUMIMAT</v>
      </c>
      <c r="M1807" s="39">
        <v>1005</v>
      </c>
      <c r="N1807" s="39">
        <v>3200</v>
      </c>
      <c r="O1807" s="156">
        <v>1</v>
      </c>
      <c r="P1807" s="47">
        <v>1</v>
      </c>
      <c r="Q1807" s="213">
        <v>45390</v>
      </c>
      <c r="R1807" s="271">
        <f ca="1">IF(D1807="","",IF(OFFSET(D1807,-1,0)&lt;&gt;"","",IF(OR(J1807="リード付け",J1807="巻足し",J1807="巻返しリード付け"),M1807,VLOOKUP(D1807,契約台帳!$A$3:$N$4986,14,FALSE))))</f>
        <v>1005</v>
      </c>
      <c r="S1807" s="272">
        <f ca="1">IF(D1807="","",IF(OFFSET(D1807,-1,0)&lt;&gt;"","",IF(OR(J1807="リード付け",J1807="巻足し",J1807="巻返しリード付け"),M1807,VLOOKUP(D1807,契約台帳!$A$3:$O$4986,15,FALSE))))</f>
        <v>1005</v>
      </c>
      <c r="T1807" s="273">
        <f ca="1">IF(D1807="","",IF(J1807="リード付け",N1807,IF(J1807="巻返しリード付け",N1807,IF(J1807="巻足し",N1807*P1807+OFFSET(N1807,1,0)*OFFSET(P1807,1,0),VLOOKUP(D1807,契約台帳!$A$3:$P$4986,16,FALSE)))))</f>
        <v>3200</v>
      </c>
      <c r="U1807" s="40">
        <v>1</v>
      </c>
      <c r="V1807" s="274">
        <f ca="1">IF(D1807="","",IF(OFFSET(D1807,-2,0)=D1807,"",VLOOKUP(D1807,契約台帳!$A$3:$R$4986,18,FALSE)))</f>
        <v>1</v>
      </c>
      <c r="W1807" s="269" t="str">
        <f ca="1">IF(D1807="","",IF(T1807="","",IF(OR(J1807="巻足し",J1807="巻返しリード付け"),"",IF(J1807="巻返し",VLOOKUP(F1807&amp;K1807&amp;M1807,製品マスタ!$M$5:$AD$5002,18,FALSE),IF(OR(J1807="リード付け",J1807="巻返しリード付け"),"原反コア",IF(J1807="スリット",VLOOKUP(F1807&amp;K1807&amp;R1807,製品マスタ!$N$5:$AD$5002,17,FALSE),""))))))</f>
        <v>原反コア</v>
      </c>
      <c r="X1807" s="269" t="str">
        <f ca="1">IF(D1807="","",IF(T1807="","",IF(J1807="巻足し","",IF(J1807="巻返し",VLOOKUP(F1807&amp;K1807&amp;M1807,製品マスタ!$M$5:$AE$5002,19,FALSE),IF(OR(J1807="リード付け",J1807="巻返しリード付け"),"",IF(J1807="スリット",VLOOKUP(F1807&amp;K1807&amp;R1807,製品マスタ!$N$5:$AE$5002,18,FALSE),""))))))</f>
        <v/>
      </c>
      <c r="Y1807" s="275">
        <f ca="1">IF(D1807="","",IF(T1807="","",VLOOKUP(D1807,契約台帳!$A$3:$Q$4986,17,FALSE)))</f>
        <v>2</v>
      </c>
      <c r="Z1807" s="269" t="str">
        <f ca="1">IF(D1807="","",IF(T1807="","",VLOOKUP(D1807,契約台帳!$A$3:$E$4986,5,FALSE)))</f>
        <v>リンテック㈱</v>
      </c>
      <c r="AA1807" s="57"/>
      <c r="AB1807" s="207">
        <f>IFERROR((VLOOKUP(F1807&amp;K1807&amp;M1807,製品マスタ!$M$5:$AM$5002,27,FALSE)),"")</f>
        <v>0</v>
      </c>
      <c r="AC1807" s="33"/>
      <c r="AD1807" s="189"/>
      <c r="AE1807" s="54"/>
      <c r="AF1807" s="55">
        <f>+M1807*N1807*O1807/1000</f>
        <v>3216</v>
      </c>
      <c r="AG1807" s="43"/>
      <c r="AH1807" s="47"/>
      <c r="AI1807" s="30"/>
      <c r="AJ1807" s="30"/>
      <c r="AK1807" s="30"/>
      <c r="AL1807" s="30"/>
      <c r="AM1807" s="13"/>
      <c r="AN1807" s="13"/>
      <c r="AO1807" s="13"/>
      <c r="AP1807" s="13"/>
      <c r="AQ1807" s="13"/>
      <c r="AR1807" s="14"/>
      <c r="AS1807" s="15"/>
    </row>
    <row r="1808" spans="1:45" s="17" customFormat="1" ht="30.95" hidden="1" customHeight="1" x14ac:dyDescent="0.2">
      <c r="A1808" s="37"/>
      <c r="B1808" s="38"/>
      <c r="C1808" s="45"/>
      <c r="D1808" s="31"/>
      <c r="E1808" s="31"/>
      <c r="F1808" s="268"/>
      <c r="G1808" s="269"/>
      <c r="H1808" s="269"/>
      <c r="I1808" s="270"/>
      <c r="J1808" s="210"/>
      <c r="K1808" s="270"/>
      <c r="L1808" s="270"/>
      <c r="M1808" s="39"/>
      <c r="N1808" s="39"/>
      <c r="O1808" s="156"/>
      <c r="P1808" s="47"/>
      <c r="Q1808" s="57"/>
      <c r="R1808" s="338"/>
      <c r="S1808" s="272"/>
      <c r="T1808" s="273"/>
      <c r="U1808" s="40"/>
      <c r="V1808" s="277"/>
      <c r="W1808" s="269"/>
      <c r="X1808" s="269"/>
      <c r="Y1808" s="275"/>
      <c r="Z1808" s="269"/>
      <c r="AA1808" s="57"/>
      <c r="AB1808" s="207"/>
      <c r="AC1808" s="33"/>
      <c r="AD1808" s="189"/>
      <c r="AE1808" s="54"/>
      <c r="AF1808" s="55"/>
      <c r="AG1808" s="43"/>
      <c r="AH1808" s="47"/>
      <c r="AI1808" s="30"/>
      <c r="AJ1808" s="30"/>
      <c r="AK1808" s="30"/>
      <c r="AL1808" s="30"/>
      <c r="AM1808" s="13"/>
      <c r="AN1808" s="13"/>
      <c r="AO1808" s="13"/>
      <c r="AP1808" s="13"/>
      <c r="AQ1808" s="13"/>
      <c r="AR1808" s="14"/>
      <c r="AS1808" s="15"/>
    </row>
    <row r="1809" spans="1:45" s="17" customFormat="1" ht="30.6" hidden="1" customHeight="1" x14ac:dyDescent="0.2">
      <c r="A1809" s="37"/>
      <c r="B1809" s="38"/>
      <c r="C1809" s="45"/>
      <c r="D1809" s="31">
        <v>3750096</v>
      </c>
      <c r="E1809" s="31">
        <v>4162291</v>
      </c>
      <c r="F1809" s="268" t="str">
        <f>IF(D1809="","",VLOOKUP(D1809,契約台帳!$A$3:$K$4986,6,FALSE)&amp;VLOOKUP(D1809,契約台帳!$A$3:$K$4986,7,FALSE)&amp;VLOOKUP(D1809,契約台帳!$A$3:$K$4986,8,FALSE)&amp;VLOOKUP(D1809,契約台帳!$A$3:$K$4986,9,FALSE)&amp;VLOOKUP(D1809,契約台帳!$A$3:$K$4986,11,FALSE))</f>
        <v>3TNMCLBHLGTV</v>
      </c>
      <c r="G1809" s="269" t="str">
        <f>IF(D1809="","",VLOOKUP(F1809,製品マスタ!$G$5:$H$5002,2,FALSE))</f>
        <v>T</v>
      </c>
      <c r="H1809" s="269" t="str">
        <f>IF(D1809="","",VLOOKUP(F1809,製品マスタ!$G$5:$K$5002,5,FALSE))</f>
        <v>HLGTV</v>
      </c>
      <c r="I1809" s="270" t="str">
        <f>IF(D1809="","",VLOOKUP(F1809,製品マスタ!$G$5:$L$5002,6,FALSE))</f>
        <v>メタルミー　ヘヤライン　銀艶Ｖ</v>
      </c>
      <c r="J1809" s="210" t="s">
        <v>935</v>
      </c>
      <c r="K1809" s="270">
        <f>IF(D1809="","",VLOOKUP(D1809,契約台帳!$A$3:$L$4986,12,FALSE))</f>
        <v>50</v>
      </c>
      <c r="L1809" s="270" t="str">
        <f>IF(D1809="","",INDEX(製品マスタ!$Q$5:$Q$5002,MATCH('S4'!F1809&amp;'S4'!K1809,製品マスタ!$AO$5:$AO$5002,0)))</f>
        <v>BRIGHT</v>
      </c>
      <c r="M1809" s="39">
        <v>1005</v>
      </c>
      <c r="N1809" s="39">
        <v>4100</v>
      </c>
      <c r="O1809" s="156">
        <v>1</v>
      </c>
      <c r="P1809" s="47">
        <v>2</v>
      </c>
      <c r="Q1809" s="213">
        <v>45390</v>
      </c>
      <c r="R1809" s="271">
        <f ca="1">IF(D1809="","",IF(OFFSET(D1809,-1,0)&lt;&gt;"","",IF(OR(J1809="リード付け",J1809="巻足し",J1809="巻返しリード付け"),M1809,VLOOKUP(D1809,契約台帳!$A$3:$N$4986,14,FALSE))))</f>
        <v>1005</v>
      </c>
      <c r="S1809" s="272">
        <f ca="1">IF(D1809="","",IF(OFFSET(D1809,-1,0)&lt;&gt;"","",IF(OR(J1809="リード付け",J1809="巻足し",J1809="巻返しリード付け"),M1809,VLOOKUP(D1809,契約台帳!$A$3:$O$4986,15,FALSE))))</f>
        <v>1005</v>
      </c>
      <c r="T1809" s="273">
        <f ca="1">IF(D1809="","",IF(J1809="リード付け",N1809,IF(J1809="巻返しリード付け",N1809,IF(J1809="巻足し",N1809*P1809+OFFSET(N1809,1,0)*OFFSET(P1809,1,0),VLOOKUP(D1809,契約台帳!$A$3:$P$4986,16,FALSE)))))</f>
        <v>8200</v>
      </c>
      <c r="U1809" s="40">
        <v>1</v>
      </c>
      <c r="V1809" s="274">
        <f ca="1">IF(D1809="","",IF(OFFSET(D1809,-2,0)=D1809,"",VLOOKUP(D1809,契約台帳!$A$3:$R$4986,18,FALSE)))</f>
        <v>1</v>
      </c>
      <c r="W1809" s="269" t="str">
        <f ca="1">IF(D1809="","",IF(T1809="","",IF(OR(J1809="巻足し",J1809="巻返しリード付け"),"",IF(J1809="巻返し",VLOOKUP(F1809&amp;K1809&amp;M1809,製品マスタ!$M$5:$AD$5002,18,FALSE),IF(OR(J1809="リード付け",J1809="巻返しリード付け"),"原反コア",IF(J1809="スリット",VLOOKUP(F1809&amp;K1809&amp;R1809,製品マスタ!$N$5:$AD$5002,17,FALSE),""))))))</f>
        <v/>
      </c>
      <c r="X1809" s="269" t="str">
        <f ca="1">IF(D1809="","",IF(T1809="","",IF(J1809="巻足し","",IF(J1809="巻返し",VLOOKUP(F1809&amp;K1809&amp;M1809,製品マスタ!$M$5:$AE$5002,19,FALSE),IF(OR(J1809="リード付け",J1809="巻返しリード付け"),"",IF(J1809="スリット",VLOOKUP(F1809&amp;K1809&amp;R1809,製品マスタ!$N$5:$AE$5002,18,FALSE),""))))))</f>
        <v/>
      </c>
      <c r="Y1809" s="275">
        <f ca="1">IF(D1809="","",IF(T1809="","",VLOOKUP(D1809,契約台帳!$A$3:$Q$4986,17,FALSE)))</f>
        <v>2</v>
      </c>
      <c r="Z1809" s="269" t="str">
        <f ca="1">IF(D1809="","",IF(T1809="","",VLOOKUP(D1809,契約台帳!$A$3:$E$4986,5,FALSE)))</f>
        <v>リンテック㈱</v>
      </c>
      <c r="AA1809" s="57"/>
      <c r="AB1809" s="207">
        <f>IFERROR((VLOOKUP(F1809&amp;K1809&amp;M1809,製品マスタ!$M$5:$AM$5002,27,FALSE)),"")</f>
        <v>0</v>
      </c>
      <c r="AC1809" s="33"/>
      <c r="AD1809" s="189"/>
      <c r="AE1809" s="54"/>
      <c r="AF1809" s="55">
        <f>+M1809*N1809*O1809/1000</f>
        <v>4120.5</v>
      </c>
      <c r="AG1809" s="43"/>
      <c r="AH1809" s="47"/>
      <c r="AI1809" s="30"/>
      <c r="AJ1809" s="30"/>
      <c r="AK1809" s="30"/>
      <c r="AL1809" s="30"/>
      <c r="AM1809" s="13"/>
      <c r="AN1809" s="13"/>
      <c r="AO1809" s="13"/>
      <c r="AP1809" s="13"/>
      <c r="AQ1809" s="13"/>
      <c r="AR1809" s="14"/>
      <c r="AS1809" s="15"/>
    </row>
    <row r="1810" spans="1:45" s="17" customFormat="1" ht="30.6" hidden="1" customHeight="1" x14ac:dyDescent="0.2">
      <c r="A1810" s="37"/>
      <c r="B1810" s="38"/>
      <c r="C1810" s="45"/>
      <c r="D1810" s="31">
        <v>3750097</v>
      </c>
      <c r="E1810" s="31"/>
      <c r="F1810" s="268" t="str">
        <f>IF(D1810="","",VLOOKUP(D1810,契約台帳!$A$3:$K$4986,6,FALSE)&amp;VLOOKUP(D1810,契約台帳!$A$3:$K$4986,7,FALSE)&amp;VLOOKUP(D1810,契約台帳!$A$3:$K$4986,8,FALSE)&amp;VLOOKUP(D1810,契約台帳!$A$3:$K$4986,9,FALSE)&amp;VLOOKUP(D1810,契約台帳!$A$3:$K$4986,11,FALSE))</f>
        <v>3TNMCLBHLGTV</v>
      </c>
      <c r="G1810" s="269" t="str">
        <f>IF(D1810="","",VLOOKUP(F1810,製品マスタ!$G$5:$H$5002,2,FALSE))</f>
        <v>T</v>
      </c>
      <c r="H1810" s="269" t="str">
        <f>IF(D1810="","",VLOOKUP(F1810,製品マスタ!$G$5:$K$5002,5,FALSE))</f>
        <v>HLGTV</v>
      </c>
      <c r="I1810" s="270" t="str">
        <f>IF(D1810="","",VLOOKUP(F1810,製品マスタ!$G$5:$L$5002,6,FALSE))</f>
        <v>メタルミー　ヘヤライン　銀艶Ｖ</v>
      </c>
      <c r="J1810" s="210" t="s">
        <v>935</v>
      </c>
      <c r="K1810" s="270">
        <f>IF(D1810="","",VLOOKUP(D1810,契約台帳!$A$3:$L$4986,12,FALSE))</f>
        <v>50</v>
      </c>
      <c r="L1810" s="270" t="str">
        <f>IF(D1810="","",INDEX(製品マスタ!$Q$5:$Q$5002,MATCH('S4'!F1810&amp;'S4'!K1810,製品マスタ!$AO$5:$AO$5002,0)))</f>
        <v>BRIGHT</v>
      </c>
      <c r="M1810" s="39">
        <v>1005</v>
      </c>
      <c r="N1810" s="39">
        <v>4100</v>
      </c>
      <c r="O1810" s="156">
        <v>1</v>
      </c>
      <c r="P1810" s="47"/>
      <c r="Q1810" s="213">
        <v>45390</v>
      </c>
      <c r="R1810" s="271" t="str">
        <f ca="1">IF(D1810="","",IF(OFFSET(D1810,-1,0)&lt;&gt;"","",IF(OR(J1810="リード付け",J1810="巻足し",J1810="巻返しリード付け"),M1810,VLOOKUP(D1810,契約台帳!$A$3:$N$4986,14,FALSE))))</f>
        <v/>
      </c>
      <c r="S1810" s="272" t="str">
        <f ca="1">IF(D1810="","",IF(OFFSET(D1810,-1,0)&lt;&gt;"","",IF(OR(J1810="リード付け",J1810="巻足し",J1810="巻返しリード付け"),M1810,VLOOKUP(D1810,契約台帳!$A$3:$O$4986,15,FALSE))))</f>
        <v/>
      </c>
      <c r="T1810" s="273">
        <f ca="1">IF(D1810="","",IF(J1810="リード付け",N1810,IF(J1810="巻返しリード付け",N1810,IF(J1810="巻足し",N1810*P1810+OFFSET(N1810,1,0)*OFFSET(P1810,1,0),VLOOKUP(D1810,契約台帳!$A$3:$P$4986,16,FALSE)))))</f>
        <v>0</v>
      </c>
      <c r="U1810" s="40"/>
      <c r="V1810" s="274">
        <f ca="1">IF(D1810="","",IF(OFFSET(D1810,-2,0)=D1810,"",VLOOKUP(D1810,契約台帳!$A$3:$R$4986,18,FALSE)))</f>
        <v>2</v>
      </c>
      <c r="W1810" s="269" t="str">
        <f ca="1">IF(D1810="","",IF(T1810="","",IF(OR(J1810="巻足し",J1810="巻返しリード付け"),"",IF(J1810="巻返し",VLOOKUP(F1810&amp;K1810&amp;M1810,製品マスタ!$M$5:$AD$5002,18,FALSE),IF(OR(J1810="リード付け",J1810="巻返しリード付け"),"原反コア",IF(J1810="スリット",VLOOKUP(F1810&amp;K1810&amp;R1810,製品マスタ!$N$5:$AD$5002,17,FALSE),""))))))</f>
        <v/>
      </c>
      <c r="X1810" s="269" t="str">
        <f ca="1">IF(D1810="","",IF(T1810="","",IF(J1810="巻足し","",IF(J1810="巻返し",VLOOKUP(F1810&amp;K1810&amp;M1810,製品マスタ!$M$5:$AE$5002,19,FALSE),IF(OR(J1810="リード付け",J1810="巻返しリード付け"),"",IF(J1810="スリット",VLOOKUP(F1810&amp;K1810&amp;R1810,製品マスタ!$N$5:$AE$5002,18,FALSE),""))))))</f>
        <v/>
      </c>
      <c r="Y1810" s="275">
        <f ca="1">IF(D1810="","",IF(T1810="","",VLOOKUP(D1810,契約台帳!$A$3:$Q$4986,17,FALSE)))</f>
        <v>2</v>
      </c>
      <c r="Z1810" s="269" t="str">
        <f ca="1">IF(D1810="","",IF(T1810="","",VLOOKUP(D1810,契約台帳!$A$3:$E$4986,5,FALSE)))</f>
        <v>リンテック㈱</v>
      </c>
      <c r="AA1810" s="57"/>
      <c r="AB1810" s="207">
        <f>IFERROR((VLOOKUP(F1810&amp;K1810&amp;M1810,製品マスタ!$M$5:$AM$5002,27,FALSE)),"")</f>
        <v>0</v>
      </c>
      <c r="AC1810" s="33"/>
      <c r="AD1810" s="189"/>
      <c r="AE1810" s="54"/>
      <c r="AF1810" s="55">
        <f>+M1810*N1810*O1810/1000</f>
        <v>4120.5</v>
      </c>
      <c r="AG1810" s="43"/>
      <c r="AH1810" s="47"/>
      <c r="AI1810" s="30"/>
      <c r="AJ1810" s="30"/>
      <c r="AK1810" s="30"/>
      <c r="AL1810" s="30"/>
      <c r="AM1810" s="13"/>
      <c r="AN1810" s="13"/>
      <c r="AO1810" s="13"/>
      <c r="AP1810" s="13"/>
      <c r="AQ1810" s="13"/>
      <c r="AR1810" s="14"/>
      <c r="AS1810" s="15"/>
    </row>
    <row r="1811" spans="1:45" s="17" customFormat="1" ht="30.95" hidden="1" customHeight="1" x14ac:dyDescent="0.2">
      <c r="A1811" s="37"/>
      <c r="B1811" s="38"/>
      <c r="C1811" s="45"/>
      <c r="D1811" s="31"/>
      <c r="E1811" s="31"/>
      <c r="F1811" s="268"/>
      <c r="G1811" s="269"/>
      <c r="H1811" s="269"/>
      <c r="I1811" s="270"/>
      <c r="J1811" s="210"/>
      <c r="K1811" s="270"/>
      <c r="L1811" s="270"/>
      <c r="M1811" s="39"/>
      <c r="N1811" s="39"/>
      <c r="O1811" s="156"/>
      <c r="P1811" s="47"/>
      <c r="Q1811" s="57"/>
      <c r="R1811" s="338"/>
      <c r="S1811" s="272"/>
      <c r="T1811" s="273"/>
      <c r="U1811" s="40"/>
      <c r="V1811" s="277"/>
      <c r="W1811" s="269"/>
      <c r="X1811" s="269"/>
      <c r="Y1811" s="275"/>
      <c r="Z1811" s="269"/>
      <c r="AA1811" s="57"/>
      <c r="AB1811" s="207"/>
      <c r="AC1811" s="33"/>
      <c r="AD1811" s="189"/>
      <c r="AE1811" s="54"/>
      <c r="AF1811" s="55"/>
      <c r="AG1811" s="43"/>
      <c r="AH1811" s="47"/>
      <c r="AI1811" s="30"/>
      <c r="AJ1811" s="30"/>
      <c r="AK1811" s="30"/>
      <c r="AL1811" s="30"/>
      <c r="AM1811" s="13"/>
      <c r="AN1811" s="13"/>
      <c r="AO1811" s="13"/>
      <c r="AP1811" s="13"/>
      <c r="AQ1811" s="13"/>
      <c r="AR1811" s="14"/>
      <c r="AS1811" s="15"/>
    </row>
    <row r="1812" spans="1:45" s="17" customFormat="1" ht="30" hidden="1" customHeight="1" x14ac:dyDescent="0.2">
      <c r="A1812" s="37"/>
      <c r="B1812" s="38"/>
      <c r="C1812" s="45"/>
      <c r="D1812" s="31">
        <v>3750088</v>
      </c>
      <c r="E1812" s="31">
        <v>4162277</v>
      </c>
      <c r="F1812" s="268" t="str">
        <f>IF(D1812="","",VLOOKUP(D1812,契約台帳!$A$3:$K$4986,6,FALSE)&amp;VLOOKUP(D1812,契約台帳!$A$3:$K$4986,7,FALSE)&amp;VLOOKUP(D1812,契約台帳!$A$3:$K$4986,8,FALSE)&amp;VLOOKUP(D1812,契約台帳!$A$3:$K$4986,9,FALSE)&amp;VLOOKUP(D1812,契約台帳!$A$3:$K$4986,11,FALSE))</f>
        <v>3SYMLBMSNMBF</v>
      </c>
      <c r="G1812" s="269" t="str">
        <f>IF(D1812="","",VLOOKUP(F1812,製品マスタ!$G$5:$H$5002,2,FALSE))</f>
        <v>S</v>
      </c>
      <c r="H1812" s="269" t="str">
        <f>IF(D1812="","",VLOOKUP(F1812,製品マスタ!$G$5:$K$5002,5,FALSE))</f>
        <v>MSNMBF</v>
      </c>
      <c r="I1812" s="270" t="str">
        <f>IF(D1812="","",VLOOKUP(F1812,製品マスタ!$G$5:$L$5002,6,FALSE))</f>
        <v>ＭＥＴＡＬＵＭＹ　ＳＩＬＶＥＲ　Ｎ－ＭＡＴＴＥ　Ｘ４４Ｍ　Ｂ</v>
      </c>
      <c r="J1812" s="210" t="s">
        <v>935</v>
      </c>
      <c r="K1812" s="270">
        <f>IF(D1812="","",VLOOKUP(D1812,契約台帳!$A$3:$L$4986,12,FALSE))</f>
        <v>50</v>
      </c>
      <c r="L1812" s="270" t="str">
        <f>IF(D1812="","",INDEX(製品マスタ!$Q$5:$Q$5002,MATCH('S4'!F1812&amp;'S4'!K1812,製品マスタ!$AO$5:$AO$5002,0)))</f>
        <v>X44</v>
      </c>
      <c r="M1812" s="39">
        <v>1120</v>
      </c>
      <c r="N1812" s="39">
        <v>4000</v>
      </c>
      <c r="O1812" s="156">
        <v>4</v>
      </c>
      <c r="P1812" s="47">
        <v>2</v>
      </c>
      <c r="Q1812" s="213">
        <v>45390</v>
      </c>
      <c r="R1812" s="271">
        <f ca="1">IF(D1812="","",IF(OFFSET(D1812,-1,0)&lt;&gt;"","",IF(OR(J1812="リード付け",J1812="巻足し",J1812="巻返しリード付け"),M1812,VLOOKUP(D1812,契約台帳!$A$3:$N$4986,14,FALSE))))</f>
        <v>1120</v>
      </c>
      <c r="S1812" s="272">
        <f ca="1">IF(D1812="","",IF(OFFSET(D1812,-1,0)&lt;&gt;"","",IF(OR(J1812="リード付け",J1812="巻足し",J1812="巻返しリード付け"),M1812,VLOOKUP(D1812,契約台帳!$A$3:$O$4986,15,FALSE))))</f>
        <v>1120</v>
      </c>
      <c r="T1812" s="273">
        <f ca="1">IF(D1812="","",IF(J1812="リード付け",N1812,IF(J1812="巻返しリード付け",N1812,IF(J1812="巻足し",N1812*P1812+OFFSET(N1812,1,0)*OFFSET(P1812,1,0),VLOOKUP(D1812,契約台帳!$A$3:$P$4986,16,FALSE)))))</f>
        <v>8000</v>
      </c>
      <c r="U1812" s="40">
        <v>2</v>
      </c>
      <c r="V1812" s="274">
        <f ca="1">IF(D1812="","",IF(OFFSET(D1812,-2,0)=D1812,"",VLOOKUP(D1812,契約台帳!$A$3:$R$4986,18,FALSE)))</f>
        <v>4</v>
      </c>
      <c r="W1812" s="269" t="str">
        <f ca="1">IF(D1812="","",IF(T1812="","",IF(OR(J1812="巻足し",J1812="巻返しリード付け"),"",IF(J1812="巻返し",VLOOKUP(F1812&amp;K1812&amp;M1812,製品マスタ!$M$5:$AD$5002,18,FALSE),IF(OR(J1812="リード付け",J1812="巻返しリード付け"),"原反コア",IF(J1812="スリット",VLOOKUP(F1812&amp;K1812&amp;R1812,製品マスタ!$N$5:$AD$5002,17,FALSE),""))))))</f>
        <v/>
      </c>
      <c r="X1812" s="269" t="str">
        <f ca="1">IF(D1812="","",IF(T1812="","",IF(J1812="巻足し","",IF(J1812="巻返し",VLOOKUP(F1812&amp;K1812&amp;M1812,製品マスタ!$M$5:$AE$5002,19,FALSE),IF(OR(J1812="リード付け",J1812="巻返しリード付け"),"",IF(J1812="スリット",VLOOKUP(F1812&amp;K1812&amp;R1812,製品マスタ!$N$5:$AE$5002,18,FALSE),""))))))</f>
        <v/>
      </c>
      <c r="Y1812" s="275">
        <f ca="1">IF(D1812="","",IF(T1812="","",VLOOKUP(D1812,契約台帳!$A$3:$Q$4986,17,FALSE)))</f>
        <v>2</v>
      </c>
      <c r="Z1812" s="269" t="str">
        <f ca="1">IF(D1812="","",IF(T1812="","",VLOOKUP(D1812,契約台帳!$A$3:$E$4986,5,FALSE)))</f>
        <v>リンテック㈱</v>
      </c>
      <c r="AA1812" s="57"/>
      <c r="AB1812" s="207">
        <f>IFERROR((VLOOKUP(F1812&amp;K1812&amp;M1812,製品マスタ!$M$5:$AM$5002,27,FALSE)),"")</f>
        <v>0</v>
      </c>
      <c r="AC1812" s="33"/>
      <c r="AD1812" s="189"/>
      <c r="AE1812" s="54"/>
      <c r="AF1812" s="55">
        <f>+M1812*N1812*O1812/1000</f>
        <v>17920</v>
      </c>
      <c r="AG1812" s="43"/>
      <c r="AH1812" s="47"/>
      <c r="AI1812" s="30"/>
      <c r="AJ1812" s="30"/>
      <c r="AK1812" s="30"/>
      <c r="AL1812" s="30"/>
      <c r="AM1812" s="13"/>
      <c r="AN1812" s="13"/>
      <c r="AO1812" s="13"/>
      <c r="AP1812" s="13"/>
      <c r="AQ1812" s="13"/>
      <c r="AR1812" s="14"/>
      <c r="AS1812" s="15"/>
    </row>
    <row r="1813" spans="1:45" s="17" customFormat="1" ht="30.95" hidden="1" customHeight="1" x14ac:dyDescent="0.2">
      <c r="A1813" s="37"/>
      <c r="B1813" s="38"/>
      <c r="C1813" s="45"/>
      <c r="D1813" s="31"/>
      <c r="E1813" s="31"/>
      <c r="F1813" s="268"/>
      <c r="G1813" s="269"/>
      <c r="H1813" s="269"/>
      <c r="I1813" s="270"/>
      <c r="J1813" s="210"/>
      <c r="K1813" s="270"/>
      <c r="L1813" s="270"/>
      <c r="M1813" s="39"/>
      <c r="N1813" s="39"/>
      <c r="O1813" s="156"/>
      <c r="P1813" s="47"/>
      <c r="Q1813" s="57"/>
      <c r="R1813" s="338"/>
      <c r="S1813" s="272"/>
      <c r="T1813" s="273"/>
      <c r="U1813" s="40"/>
      <c r="V1813" s="277"/>
      <c r="W1813" s="269"/>
      <c r="X1813" s="269"/>
      <c r="Y1813" s="275"/>
      <c r="Z1813" s="269"/>
      <c r="AA1813" s="57"/>
      <c r="AB1813" s="207"/>
      <c r="AC1813" s="33"/>
      <c r="AD1813" s="189"/>
      <c r="AE1813" s="54"/>
      <c r="AF1813" s="55"/>
      <c r="AG1813" s="43"/>
      <c r="AH1813" s="47"/>
      <c r="AI1813" s="30"/>
      <c r="AJ1813" s="30"/>
      <c r="AK1813" s="30"/>
      <c r="AL1813" s="30"/>
      <c r="AM1813" s="13"/>
      <c r="AN1813" s="13"/>
      <c r="AO1813" s="13"/>
      <c r="AP1813" s="13"/>
      <c r="AQ1813" s="13"/>
      <c r="AR1813" s="14"/>
      <c r="AS1813" s="15"/>
    </row>
    <row r="1814" spans="1:45" s="17" customFormat="1" ht="30" hidden="1" customHeight="1" x14ac:dyDescent="0.2">
      <c r="A1814" s="37"/>
      <c r="B1814" s="38"/>
      <c r="C1814" s="45"/>
      <c r="D1814" s="31">
        <v>3750089</v>
      </c>
      <c r="E1814" s="31">
        <v>4162278</v>
      </c>
      <c r="F1814" s="268" t="str">
        <f>IF(D1814="","",VLOOKUP(D1814,契約台帳!$A$3:$K$4986,6,FALSE)&amp;VLOOKUP(D1814,契約台帳!$A$3:$K$4986,7,FALSE)&amp;VLOOKUP(D1814,契約台帳!$A$3:$K$4986,8,FALSE)&amp;VLOOKUP(D1814,契約台帳!$A$3:$K$4986,9,FALSE)&amp;VLOOKUP(D1814,契約台帳!$A$3:$K$4986,11,FALSE))</f>
        <v>3SYMLBMSNMBF</v>
      </c>
      <c r="G1814" s="269" t="str">
        <f>IF(D1814="","",VLOOKUP(F1814,製品マスタ!$G$5:$H$5002,2,FALSE))</f>
        <v>S</v>
      </c>
      <c r="H1814" s="269" t="str">
        <f>IF(D1814="","",VLOOKUP(F1814,製品マスタ!$G$5:$K$5002,5,FALSE))</f>
        <v>MSNMBF</v>
      </c>
      <c r="I1814" s="270" t="str">
        <f>IF(D1814="","",VLOOKUP(F1814,製品マスタ!$G$5:$L$5002,6,FALSE))</f>
        <v>ＭＥＴＡＬＵＭＹ　ＳＩＬＶＥＲ　Ｎ－ＭＡＴＴＥ　Ｘ４４Ｍ　Ｂ</v>
      </c>
      <c r="J1814" s="210" t="s">
        <v>935</v>
      </c>
      <c r="K1814" s="270">
        <f>IF(D1814="","",VLOOKUP(D1814,契約台帳!$A$3:$L$4986,12,FALSE))</f>
        <v>50</v>
      </c>
      <c r="L1814" s="270" t="str">
        <f>IF(D1814="","",INDEX(製品マスタ!$Q$5:$Q$5002,MATCH('S4'!F1814&amp;'S4'!K1814,製品マスタ!$AO$5:$AO$5002,0)))</f>
        <v>X44</v>
      </c>
      <c r="M1814" s="39">
        <v>1120</v>
      </c>
      <c r="N1814" s="39">
        <v>4000</v>
      </c>
      <c r="O1814" s="156">
        <v>4</v>
      </c>
      <c r="P1814" s="47">
        <v>2</v>
      </c>
      <c r="Q1814" s="213">
        <v>45390</v>
      </c>
      <c r="R1814" s="271">
        <f ca="1">IF(D1814="","",IF(OFFSET(D1814,-1,0)&lt;&gt;"","",IF(OR(J1814="リード付け",J1814="巻足し",J1814="巻返しリード付け"),M1814,VLOOKUP(D1814,契約台帳!$A$3:$N$4986,14,FALSE))))</f>
        <v>1120</v>
      </c>
      <c r="S1814" s="272">
        <f ca="1">IF(D1814="","",IF(OFFSET(D1814,-1,0)&lt;&gt;"","",IF(OR(J1814="リード付け",J1814="巻足し",J1814="巻返しリード付け"),M1814,VLOOKUP(D1814,契約台帳!$A$3:$O$4986,15,FALSE))))</f>
        <v>1120</v>
      </c>
      <c r="T1814" s="273">
        <f ca="1">IF(D1814="","",IF(J1814="リード付け",N1814,IF(J1814="巻返しリード付け",N1814,IF(J1814="巻足し",N1814*P1814+OFFSET(N1814,1,0)*OFFSET(P1814,1,0),VLOOKUP(D1814,契約台帳!$A$3:$P$4986,16,FALSE)))))</f>
        <v>8000</v>
      </c>
      <c r="U1814" s="40">
        <v>2</v>
      </c>
      <c r="V1814" s="274">
        <f ca="1">IF(D1814="","",IF(OFFSET(D1814,-2,0)=D1814,"",VLOOKUP(D1814,契約台帳!$A$3:$R$4986,18,FALSE)))</f>
        <v>4</v>
      </c>
      <c r="W1814" s="269" t="str">
        <f ca="1">IF(D1814="","",IF(T1814="","",IF(OR(J1814="巻足し",J1814="巻返しリード付け"),"",IF(J1814="巻返し",VLOOKUP(F1814&amp;K1814&amp;M1814,製品マスタ!$M$5:$AD$5002,18,FALSE),IF(OR(J1814="リード付け",J1814="巻返しリード付け"),"原反コア",IF(J1814="スリット",VLOOKUP(F1814&amp;K1814&amp;R1814,製品マスタ!$N$5:$AD$5002,17,FALSE),""))))))</f>
        <v/>
      </c>
      <c r="X1814" s="269" t="str">
        <f ca="1">IF(D1814="","",IF(T1814="","",IF(J1814="巻足し","",IF(J1814="巻返し",VLOOKUP(F1814&amp;K1814&amp;M1814,製品マスタ!$M$5:$AE$5002,19,FALSE),IF(OR(J1814="リード付け",J1814="巻返しリード付け"),"",IF(J1814="スリット",VLOOKUP(F1814&amp;K1814&amp;R1814,製品マスタ!$N$5:$AE$5002,18,FALSE),""))))))</f>
        <v/>
      </c>
      <c r="Y1814" s="275">
        <f ca="1">IF(D1814="","",IF(T1814="","",VLOOKUP(D1814,契約台帳!$A$3:$Q$4986,17,FALSE)))</f>
        <v>2</v>
      </c>
      <c r="Z1814" s="269" t="str">
        <f ca="1">IF(D1814="","",IF(T1814="","",VLOOKUP(D1814,契約台帳!$A$3:$E$4986,5,FALSE)))</f>
        <v>リンテック㈱</v>
      </c>
      <c r="AA1814" s="57"/>
      <c r="AB1814" s="207">
        <f>IFERROR((VLOOKUP(F1814&amp;K1814&amp;M1814,製品マスタ!$M$5:$AM$5002,27,FALSE)),"")</f>
        <v>0</v>
      </c>
      <c r="AC1814" s="33"/>
      <c r="AD1814" s="189"/>
      <c r="AE1814" s="54"/>
      <c r="AF1814" s="55">
        <f>+M1814*N1814*O1814/1000</f>
        <v>17920</v>
      </c>
      <c r="AG1814" s="43"/>
      <c r="AH1814" s="47"/>
      <c r="AI1814" s="30"/>
      <c r="AJ1814" s="30"/>
      <c r="AK1814" s="30"/>
      <c r="AL1814" s="30"/>
      <c r="AM1814" s="13"/>
      <c r="AN1814" s="13"/>
      <c r="AO1814" s="13"/>
      <c r="AP1814" s="13"/>
      <c r="AQ1814" s="13"/>
      <c r="AR1814" s="14"/>
      <c r="AS1814" s="15"/>
    </row>
    <row r="1815" spans="1:45" s="17" customFormat="1" ht="30.95" hidden="1" customHeight="1" x14ac:dyDescent="0.2">
      <c r="A1815" s="37"/>
      <c r="B1815" s="38"/>
      <c r="C1815" s="45"/>
      <c r="D1815" s="31"/>
      <c r="E1815" s="31"/>
      <c r="F1815" s="268"/>
      <c r="G1815" s="269"/>
      <c r="H1815" s="269"/>
      <c r="I1815" s="270"/>
      <c r="J1815" s="210"/>
      <c r="K1815" s="270"/>
      <c r="L1815" s="270"/>
      <c r="M1815" s="39"/>
      <c r="N1815" s="39"/>
      <c r="O1815" s="156"/>
      <c r="P1815" s="47"/>
      <c r="Q1815" s="57"/>
      <c r="R1815" s="338"/>
      <c r="S1815" s="272"/>
      <c r="T1815" s="273"/>
      <c r="U1815" s="40"/>
      <c r="V1815" s="277"/>
      <c r="W1815" s="269"/>
      <c r="X1815" s="269"/>
      <c r="Y1815" s="275"/>
      <c r="Z1815" s="269"/>
      <c r="AA1815" s="57"/>
      <c r="AB1815" s="207"/>
      <c r="AC1815" s="33"/>
      <c r="AD1815" s="189"/>
      <c r="AE1815" s="54"/>
      <c r="AF1815" s="55"/>
      <c r="AG1815" s="43"/>
      <c r="AH1815" s="47"/>
      <c r="AI1815" s="30"/>
      <c r="AJ1815" s="30"/>
      <c r="AK1815" s="30"/>
      <c r="AL1815" s="30"/>
      <c r="AM1815" s="13"/>
      <c r="AN1815" s="13"/>
      <c r="AO1815" s="13"/>
      <c r="AP1815" s="13"/>
      <c r="AQ1815" s="13"/>
      <c r="AR1815" s="14"/>
      <c r="AS1815" s="15"/>
    </row>
    <row r="1816" spans="1:45" s="17" customFormat="1" ht="30" hidden="1" customHeight="1" x14ac:dyDescent="0.2">
      <c r="A1816" s="37"/>
      <c r="B1816" s="38"/>
      <c r="C1816" s="45"/>
      <c r="D1816" s="31">
        <v>3750092</v>
      </c>
      <c r="E1816" s="31">
        <v>4162279</v>
      </c>
      <c r="F1816" s="268" t="str">
        <f>IF(D1816="","",VLOOKUP(D1816,契約台帳!$A$3:$K$4986,6,FALSE)&amp;VLOOKUP(D1816,契約台帳!$A$3:$K$4986,7,FALSE)&amp;VLOOKUP(D1816,契約台帳!$A$3:$K$4986,8,FALSE)&amp;VLOOKUP(D1816,契約台帳!$A$3:$K$4986,9,FALSE)&amp;VLOOKUP(D1816,契約台帳!$A$3:$K$4986,11,FALSE))</f>
        <v>3SYMLBMSNMBF</v>
      </c>
      <c r="G1816" s="269" t="str">
        <f>IF(D1816="","",VLOOKUP(F1816,製品マスタ!$G$5:$H$5002,2,FALSE))</f>
        <v>S</v>
      </c>
      <c r="H1816" s="269" t="str">
        <f>IF(D1816="","",VLOOKUP(F1816,製品マスタ!$G$5:$K$5002,5,FALSE))</f>
        <v>MSNMBF</v>
      </c>
      <c r="I1816" s="270" t="str">
        <f>IF(D1816="","",VLOOKUP(F1816,製品マスタ!$G$5:$L$5002,6,FALSE))</f>
        <v>ＭＥＴＡＬＵＭＹ　ＳＩＬＶＥＲ　Ｎ－ＭＡＴＴＥ　Ｘ４４Ｍ　Ｂ</v>
      </c>
      <c r="J1816" s="210" t="s">
        <v>935</v>
      </c>
      <c r="K1816" s="270">
        <f>IF(D1816="","",VLOOKUP(D1816,契約台帳!$A$3:$L$4986,12,FALSE))</f>
        <v>50</v>
      </c>
      <c r="L1816" s="270" t="str">
        <f>IF(D1816="","",INDEX(製品マスタ!$Q$5:$Q$5002,MATCH('S4'!F1816&amp;'S4'!K1816,製品マスタ!$AO$5:$AO$5002,0)))</f>
        <v>X44</v>
      </c>
      <c r="M1816" s="39">
        <v>1120</v>
      </c>
      <c r="N1816" s="39">
        <v>4000</v>
      </c>
      <c r="O1816" s="156">
        <v>4</v>
      </c>
      <c r="P1816" s="47">
        <v>2</v>
      </c>
      <c r="Q1816" s="213">
        <v>45390</v>
      </c>
      <c r="R1816" s="271">
        <f ca="1">IF(D1816="","",IF(OFFSET(D1816,-1,0)&lt;&gt;"","",IF(OR(J1816="リード付け",J1816="巻足し",J1816="巻返しリード付け"),M1816,VLOOKUP(D1816,契約台帳!$A$3:$N$4986,14,FALSE))))</f>
        <v>1120</v>
      </c>
      <c r="S1816" s="272">
        <f ca="1">IF(D1816="","",IF(OFFSET(D1816,-1,0)&lt;&gt;"","",IF(OR(J1816="リード付け",J1816="巻足し",J1816="巻返しリード付け"),M1816,VLOOKUP(D1816,契約台帳!$A$3:$O$4986,15,FALSE))))</f>
        <v>1120</v>
      </c>
      <c r="T1816" s="273">
        <f ca="1">IF(D1816="","",IF(J1816="リード付け",N1816,IF(J1816="巻返しリード付け",N1816,IF(J1816="巻足し",N1816*P1816+OFFSET(N1816,1,0)*OFFSET(P1816,1,0),VLOOKUP(D1816,契約台帳!$A$3:$P$4986,16,FALSE)))))</f>
        <v>8000</v>
      </c>
      <c r="U1816" s="40">
        <v>2</v>
      </c>
      <c r="V1816" s="274">
        <f ca="1">IF(D1816="","",IF(OFFSET(D1816,-2,0)=D1816,"",VLOOKUP(D1816,契約台帳!$A$3:$R$4986,18,FALSE)))</f>
        <v>4</v>
      </c>
      <c r="W1816" s="269" t="str">
        <f ca="1">IF(D1816="","",IF(T1816="","",IF(OR(J1816="巻足し",J1816="巻返しリード付け"),"",IF(J1816="巻返し",VLOOKUP(F1816&amp;K1816&amp;M1816,製品マスタ!$M$5:$AD$5002,18,FALSE),IF(OR(J1816="リード付け",J1816="巻返しリード付け"),"原反コア",IF(J1816="スリット",VLOOKUP(F1816&amp;K1816&amp;R1816,製品マスタ!$N$5:$AD$5002,17,FALSE),""))))))</f>
        <v/>
      </c>
      <c r="X1816" s="269" t="str">
        <f ca="1">IF(D1816="","",IF(T1816="","",IF(J1816="巻足し","",IF(J1816="巻返し",VLOOKUP(F1816&amp;K1816&amp;M1816,製品マスタ!$M$5:$AE$5002,19,FALSE),IF(OR(J1816="リード付け",J1816="巻返しリード付け"),"",IF(J1816="スリット",VLOOKUP(F1816&amp;K1816&amp;R1816,製品マスタ!$N$5:$AE$5002,18,FALSE),""))))))</f>
        <v/>
      </c>
      <c r="Y1816" s="275">
        <f ca="1">IF(D1816="","",IF(T1816="","",VLOOKUP(D1816,契約台帳!$A$3:$Q$4986,17,FALSE)))</f>
        <v>2</v>
      </c>
      <c r="Z1816" s="269" t="str">
        <f ca="1">IF(D1816="","",IF(T1816="","",VLOOKUP(D1816,契約台帳!$A$3:$E$4986,5,FALSE)))</f>
        <v>リンテック㈱</v>
      </c>
      <c r="AA1816" s="57"/>
      <c r="AB1816" s="207">
        <f>IFERROR((VLOOKUP(F1816&amp;K1816&amp;M1816,製品マスタ!$M$5:$AM$5002,27,FALSE)),"")</f>
        <v>0</v>
      </c>
      <c r="AC1816" s="33"/>
      <c r="AD1816" s="189"/>
      <c r="AE1816" s="54"/>
      <c r="AF1816" s="55">
        <f>+M1816*N1816*O1816/1000</f>
        <v>17920</v>
      </c>
      <c r="AG1816" s="43"/>
      <c r="AH1816" s="47"/>
      <c r="AI1816" s="30"/>
      <c r="AJ1816" s="30"/>
      <c r="AK1816" s="30"/>
      <c r="AL1816" s="30"/>
      <c r="AM1816" s="13"/>
      <c r="AN1816" s="13"/>
      <c r="AO1816" s="13"/>
      <c r="AP1816" s="13"/>
      <c r="AQ1816" s="13"/>
      <c r="AR1816" s="14"/>
      <c r="AS1816" s="15"/>
    </row>
    <row r="1817" spans="1:45" s="17" customFormat="1" ht="30.95" hidden="1" customHeight="1" x14ac:dyDescent="0.2">
      <c r="A1817" s="37"/>
      <c r="B1817" s="38"/>
      <c r="C1817" s="45"/>
      <c r="D1817" s="31"/>
      <c r="E1817" s="31"/>
      <c r="F1817" s="268"/>
      <c r="G1817" s="269"/>
      <c r="H1817" s="269"/>
      <c r="I1817" s="270"/>
      <c r="J1817" s="210"/>
      <c r="K1817" s="270"/>
      <c r="L1817" s="270"/>
      <c r="M1817" s="39"/>
      <c r="N1817" s="39"/>
      <c r="O1817" s="156"/>
      <c r="P1817" s="47"/>
      <c r="Q1817" s="57"/>
      <c r="R1817" s="338"/>
      <c r="S1817" s="272"/>
      <c r="T1817" s="273"/>
      <c r="U1817" s="40"/>
      <c r="V1817" s="277"/>
      <c r="W1817" s="269"/>
      <c r="X1817" s="269"/>
      <c r="Y1817" s="275"/>
      <c r="Z1817" s="269"/>
      <c r="AA1817" s="57"/>
      <c r="AB1817" s="207"/>
      <c r="AC1817" s="33"/>
      <c r="AD1817" s="189"/>
      <c r="AE1817" s="54"/>
      <c r="AF1817" s="55"/>
      <c r="AG1817" s="43"/>
      <c r="AH1817" s="47"/>
      <c r="AI1817" s="30"/>
      <c r="AJ1817" s="30"/>
      <c r="AK1817" s="30"/>
      <c r="AL1817" s="30"/>
      <c r="AM1817" s="13"/>
      <c r="AN1817" s="13"/>
      <c r="AO1817" s="13"/>
      <c r="AP1817" s="13"/>
      <c r="AQ1817" s="13"/>
      <c r="AR1817" s="14"/>
      <c r="AS1817" s="15"/>
    </row>
    <row r="1818" spans="1:45" s="17" customFormat="1" ht="30.95" hidden="1" customHeight="1" x14ac:dyDescent="0.2">
      <c r="A1818" s="37" t="s">
        <v>2382</v>
      </c>
      <c r="B1818" s="38" t="s">
        <v>2367</v>
      </c>
      <c r="C1818" s="45"/>
      <c r="D1818" s="31"/>
      <c r="E1818" s="31"/>
      <c r="F1818" s="268"/>
      <c r="G1818" s="269"/>
      <c r="H1818" s="269"/>
      <c r="I1818" s="301" t="s">
        <v>2735</v>
      </c>
      <c r="J1818" s="210"/>
      <c r="K1818" s="270"/>
      <c r="L1818" s="270"/>
      <c r="M1818" s="39"/>
      <c r="N1818" s="39"/>
      <c r="O1818" s="156"/>
      <c r="P1818" s="47"/>
      <c r="Q1818" s="57"/>
      <c r="R1818" s="338"/>
      <c r="S1818" s="272"/>
      <c r="T1818" s="273"/>
      <c r="U1818" s="40"/>
      <c r="V1818" s="277"/>
      <c r="W1818" s="269"/>
      <c r="X1818" s="269"/>
      <c r="Y1818" s="275"/>
      <c r="Z1818" s="269"/>
      <c r="AA1818" s="57"/>
      <c r="AB1818" s="207"/>
      <c r="AC1818" s="33"/>
      <c r="AD1818" s="189"/>
      <c r="AE1818" s="54"/>
      <c r="AF1818" s="55"/>
      <c r="AG1818" s="43"/>
      <c r="AH1818" s="47"/>
      <c r="AI1818" s="30"/>
      <c r="AJ1818" s="30"/>
      <c r="AK1818" s="30"/>
      <c r="AL1818" s="30"/>
      <c r="AM1818" s="13"/>
      <c r="AN1818" s="13"/>
      <c r="AO1818" s="13"/>
      <c r="AP1818" s="13"/>
      <c r="AQ1818" s="13"/>
      <c r="AR1818" s="14"/>
      <c r="AS1818" s="15"/>
    </row>
    <row r="1819" spans="1:45" s="17" customFormat="1" ht="30.95" hidden="1" customHeight="1" x14ac:dyDescent="0.2">
      <c r="A1819" s="37"/>
      <c r="B1819" s="38"/>
      <c r="C1819" s="45"/>
      <c r="D1819" s="31"/>
      <c r="E1819" s="31"/>
      <c r="F1819" s="268"/>
      <c r="G1819" s="269"/>
      <c r="H1819" s="269"/>
      <c r="I1819" s="270"/>
      <c r="J1819" s="210"/>
      <c r="K1819" s="270"/>
      <c r="L1819" s="270"/>
      <c r="M1819" s="39"/>
      <c r="N1819" s="39"/>
      <c r="O1819" s="156"/>
      <c r="P1819" s="47"/>
      <c r="Q1819" s="57"/>
      <c r="R1819" s="338"/>
      <c r="S1819" s="272"/>
      <c r="T1819" s="273"/>
      <c r="U1819" s="40"/>
      <c r="V1819" s="277"/>
      <c r="W1819" s="269"/>
      <c r="X1819" s="269"/>
      <c r="Y1819" s="275"/>
      <c r="Z1819" s="269"/>
      <c r="AA1819" s="57"/>
      <c r="AB1819" s="207"/>
      <c r="AC1819" s="33"/>
      <c r="AD1819" s="189"/>
      <c r="AE1819" s="54"/>
      <c r="AF1819" s="55"/>
      <c r="AG1819" s="43"/>
      <c r="AH1819" s="47"/>
      <c r="AI1819" s="30"/>
      <c r="AJ1819" s="30"/>
      <c r="AK1819" s="30"/>
      <c r="AL1819" s="30"/>
      <c r="AM1819" s="13"/>
      <c r="AN1819" s="13"/>
      <c r="AO1819" s="13"/>
      <c r="AP1819" s="13"/>
      <c r="AQ1819" s="13"/>
      <c r="AR1819" s="14"/>
      <c r="AS1819" s="15"/>
    </row>
    <row r="1820" spans="1:45" s="17" customFormat="1" ht="30" hidden="1" customHeight="1" x14ac:dyDescent="0.2">
      <c r="A1820" s="37" t="s">
        <v>2383</v>
      </c>
      <c r="B1820" s="38" t="s">
        <v>2369</v>
      </c>
      <c r="C1820" s="45"/>
      <c r="D1820" s="31">
        <v>3750084</v>
      </c>
      <c r="E1820" s="31">
        <v>4162280</v>
      </c>
      <c r="F1820" s="268" t="str">
        <f>IF(D1820="","",VLOOKUP(D1820,契約台帳!$A$3:$K$4986,6,FALSE)&amp;VLOOKUP(D1820,契約台帳!$A$3:$K$4986,7,FALSE)&amp;VLOOKUP(D1820,契約台帳!$A$3:$K$4986,8,FALSE)&amp;VLOOKUP(D1820,契約台帳!$A$3:$K$4986,9,FALSE)&amp;VLOOKUP(D1820,契約台帳!$A$3:$K$4986,11,FALSE))</f>
        <v>3SYMLBMSSMBF</v>
      </c>
      <c r="G1820" s="269" t="str">
        <f>IF(D1820="","",VLOOKUP(F1820,製品マスタ!$G$5:$H$5002,2,FALSE))</f>
        <v>S</v>
      </c>
      <c r="H1820" s="269" t="str">
        <f>IF(D1820="","",VLOOKUP(F1820,製品マスタ!$G$5:$K$5002,5,FALSE))</f>
        <v>MSSMBF</v>
      </c>
      <c r="I1820" s="270" t="str">
        <f>IF(D1820="","",VLOOKUP(F1820,製品マスタ!$G$5:$L$5002,6,FALSE))</f>
        <v>ＭＥＴＡＬＵＭＹ　ＳＩＬＶＥＲ　Ｓ－ＭＡＴＴＥ　Ｓ２８ＭＭ　Ｂ</v>
      </c>
      <c r="J1820" s="210" t="s">
        <v>935</v>
      </c>
      <c r="K1820" s="270">
        <f>IF(D1820="","",VLOOKUP(D1820,契約台帳!$A$3:$L$4986,12,FALSE))</f>
        <v>25</v>
      </c>
      <c r="L1820" s="270" t="str">
        <f>IF(D1820="","",INDEX(製品マスタ!$Q$5:$Q$5002,MATCH('S4'!F1820&amp;'S4'!K1820,製品マスタ!$AO$5:$AO$5002,0)))</f>
        <v>LI-MAT</v>
      </c>
      <c r="M1820" s="39">
        <v>1120</v>
      </c>
      <c r="N1820" s="39">
        <v>8000</v>
      </c>
      <c r="O1820" s="156">
        <v>2</v>
      </c>
      <c r="P1820" s="47">
        <v>2</v>
      </c>
      <c r="Q1820" s="213">
        <v>45392</v>
      </c>
      <c r="R1820" s="271">
        <f ca="1">IF(D1820="","",IF(OFFSET(D1820,-1,0)&lt;&gt;"","",IF(OR(J1820="リード付け",J1820="巻足し",J1820="巻返しリード付け"),M1820,VLOOKUP(D1820,契約台帳!$A$3:$N$4986,14,FALSE))))</f>
        <v>1120</v>
      </c>
      <c r="S1820" s="272">
        <f ca="1">IF(D1820="","",IF(OFFSET(D1820,-1,0)&lt;&gt;"","",IF(OR(J1820="リード付け",J1820="巻足し",J1820="巻返しリード付け"),M1820,VLOOKUP(D1820,契約台帳!$A$3:$O$4986,15,FALSE))))</f>
        <v>1120</v>
      </c>
      <c r="T1820" s="273">
        <f ca="1">IF(D1820="","",IF(J1820="リード付け",N1820,IF(J1820="巻返しリード付け",N1820,IF(J1820="巻足し",N1820*P1820+OFFSET(N1820,1,0)*OFFSET(P1820,1,0),VLOOKUP(D1820,契約台帳!$A$3:$P$4986,16,FALSE)))))</f>
        <v>16000</v>
      </c>
      <c r="U1820" s="40">
        <v>1</v>
      </c>
      <c r="V1820" s="274">
        <f ca="1">IF(D1820="","",IF(OFFSET(D1820,-2,0)=D1820,"",VLOOKUP(D1820,契約台帳!$A$3:$R$4986,18,FALSE)))</f>
        <v>2</v>
      </c>
      <c r="W1820" s="269" t="str">
        <f ca="1">IF(D1820="","",IF(T1820="","",IF(OR(J1820="巻足し",J1820="巻返しリード付け"),"",IF(J1820="巻返し",VLOOKUP(F1820&amp;K1820&amp;M1820,製品マスタ!$M$5:$AD$5002,18,FALSE),IF(OR(J1820="リード付け",J1820="巻返しリード付け"),"原反コア",IF(J1820="スリット",VLOOKUP(F1820&amp;K1820&amp;R1820,製品マスタ!$N$5:$AD$5002,17,FALSE),""))))))</f>
        <v/>
      </c>
      <c r="X1820" s="269" t="str">
        <f ca="1">IF(D1820="","",IF(T1820="","",IF(J1820="巻足し","",IF(J1820="巻返し",VLOOKUP(F1820&amp;K1820&amp;M1820,製品マスタ!$M$5:$AE$5002,19,FALSE),IF(OR(J1820="リード付け",J1820="巻返しリード付け"),"",IF(J1820="スリット",VLOOKUP(F1820&amp;K1820&amp;R1820,製品マスタ!$N$5:$AE$5002,18,FALSE),""))))))</f>
        <v/>
      </c>
      <c r="Y1820" s="275">
        <f ca="1">IF(D1820="","",IF(T1820="","",VLOOKUP(D1820,契約台帳!$A$3:$Q$4986,17,FALSE)))</f>
        <v>2</v>
      </c>
      <c r="Z1820" s="269" t="str">
        <f ca="1">IF(D1820="","",IF(T1820="","",VLOOKUP(D1820,契約台帳!$A$3:$E$4986,5,FALSE)))</f>
        <v>リンテック㈱</v>
      </c>
      <c r="AA1820" s="57"/>
      <c r="AB1820" s="207">
        <f>IFERROR((VLOOKUP(F1820&amp;K1820&amp;M1820,製品マスタ!$M$5:$AM$5002,27,FALSE)),"")</f>
        <v>0</v>
      </c>
      <c r="AC1820" s="33"/>
      <c r="AD1820" s="189"/>
      <c r="AE1820" s="54"/>
      <c r="AF1820" s="55">
        <f>+M1820*N1820*O1820/1000</f>
        <v>17920</v>
      </c>
      <c r="AG1820" s="43"/>
      <c r="AH1820" s="47"/>
      <c r="AI1820" s="30"/>
      <c r="AJ1820" s="30"/>
      <c r="AK1820" s="30"/>
      <c r="AL1820" s="30"/>
      <c r="AM1820" s="13"/>
      <c r="AN1820" s="13"/>
      <c r="AO1820" s="13"/>
      <c r="AP1820" s="13"/>
      <c r="AQ1820" s="13"/>
      <c r="AR1820" s="14"/>
      <c r="AS1820" s="15"/>
    </row>
    <row r="1821" spans="1:45" s="17" customFormat="1" ht="30.95" hidden="1" customHeight="1" x14ac:dyDescent="0.2">
      <c r="A1821" s="37"/>
      <c r="B1821" s="38"/>
      <c r="C1821" s="45"/>
      <c r="D1821" s="31"/>
      <c r="E1821" s="31"/>
      <c r="F1821" s="268"/>
      <c r="G1821" s="269"/>
      <c r="H1821" s="269"/>
      <c r="I1821" s="270"/>
      <c r="J1821" s="210"/>
      <c r="K1821" s="270"/>
      <c r="L1821" s="270"/>
      <c r="M1821" s="39"/>
      <c r="N1821" s="39"/>
      <c r="O1821" s="156"/>
      <c r="P1821" s="47"/>
      <c r="Q1821" s="57"/>
      <c r="R1821" s="338"/>
      <c r="S1821" s="272"/>
      <c r="T1821" s="273"/>
      <c r="U1821" s="40"/>
      <c r="V1821" s="277"/>
      <c r="W1821" s="269"/>
      <c r="X1821" s="269"/>
      <c r="Y1821" s="275"/>
      <c r="Z1821" s="269"/>
      <c r="AA1821" s="57"/>
      <c r="AB1821" s="207"/>
      <c r="AC1821" s="33"/>
      <c r="AD1821" s="189"/>
      <c r="AE1821" s="54"/>
      <c r="AF1821" s="55"/>
      <c r="AG1821" s="43"/>
      <c r="AH1821" s="47"/>
      <c r="AI1821" s="30"/>
      <c r="AJ1821" s="30"/>
      <c r="AK1821" s="30"/>
      <c r="AL1821" s="30"/>
      <c r="AM1821" s="13"/>
      <c r="AN1821" s="13"/>
      <c r="AO1821" s="13"/>
      <c r="AP1821" s="13"/>
      <c r="AQ1821" s="13"/>
      <c r="AR1821" s="14"/>
      <c r="AS1821" s="15"/>
    </row>
    <row r="1822" spans="1:45" s="17" customFormat="1" ht="30" hidden="1" customHeight="1" x14ac:dyDescent="0.2">
      <c r="A1822" s="37"/>
      <c r="B1822" s="38"/>
      <c r="C1822" s="45"/>
      <c r="D1822" s="31">
        <v>3752405</v>
      </c>
      <c r="E1822" s="31">
        <v>4162293</v>
      </c>
      <c r="F1822" s="268" t="str">
        <f>IF(D1822="","",VLOOKUP(D1822,契約台帳!$A$3:$K$4986,6,FALSE)&amp;VLOOKUP(D1822,契約台帳!$A$3:$K$4986,7,FALSE)&amp;VLOOKUP(D1822,契約台帳!$A$3:$K$4986,8,FALSE)&amp;VLOOKUP(D1822,契約台帳!$A$3:$K$4986,9,FALSE)&amp;VLOOKUP(D1822,契約台帳!$A$3:$K$4986,11,FALSE))</f>
        <v>3HSYMLBMSSMBF</v>
      </c>
      <c r="G1822" s="269" t="str">
        <f>IF(D1822="","",VLOOKUP(F1822,製品マスタ!$G$5:$H$5002,2,FALSE))</f>
        <v>S</v>
      </c>
      <c r="H1822" s="269" t="str">
        <f>IF(D1822="","",VLOOKUP(F1822,製品マスタ!$G$5:$K$5002,5,FALSE))</f>
        <v>MSSMBF</v>
      </c>
      <c r="I1822" s="270" t="str">
        <f>IF(D1822="","",VLOOKUP(F1822,製品マスタ!$G$5:$L$5002,6,FALSE))</f>
        <v>ＭＥＴＡＬＵＭＹ　ＳＩＬＶＥＲ　Ｓ－ＭＡＴＴＥ　Ｓ２８ＭＭ　Ｂ</v>
      </c>
      <c r="J1822" s="210" t="s">
        <v>935</v>
      </c>
      <c r="K1822" s="270">
        <f>IF(D1822="","",VLOOKUP(D1822,契約台帳!$A$3:$L$4986,12,FALSE))</f>
        <v>50</v>
      </c>
      <c r="L1822" s="270" t="str">
        <f>IF(D1822="","",INDEX(製品マスタ!$Q$5:$Q$5002,MATCH('S4'!F1822&amp;'S4'!K1822,製品マスタ!$AO$5:$AO$5002,0)))</f>
        <v>LI-MAT</v>
      </c>
      <c r="M1822" s="39">
        <v>1120</v>
      </c>
      <c r="N1822" s="39">
        <v>4000</v>
      </c>
      <c r="O1822" s="156">
        <v>4</v>
      </c>
      <c r="P1822" s="47">
        <v>2</v>
      </c>
      <c r="Q1822" s="213">
        <v>45392</v>
      </c>
      <c r="R1822" s="271">
        <f ca="1">IF(D1822="","",IF(OFFSET(D1822,-1,0)&lt;&gt;"","",IF(OR(J1822="リード付け",J1822="巻足し",J1822="巻返しリード付け"),M1822,VLOOKUP(D1822,契約台帳!$A$3:$N$4986,14,FALSE))))</f>
        <v>1120</v>
      </c>
      <c r="S1822" s="272">
        <f ca="1">IF(D1822="","",IF(OFFSET(D1822,-1,0)&lt;&gt;"","",IF(OR(J1822="リード付け",J1822="巻足し",J1822="巻返しリード付け"),M1822,VLOOKUP(D1822,契約台帳!$A$3:$O$4986,15,FALSE))))</f>
        <v>1120</v>
      </c>
      <c r="T1822" s="273">
        <f ca="1">IF(D1822="","",IF(J1822="リード付け",N1822,IF(J1822="巻返しリード付け",N1822,IF(J1822="巻足し",N1822*P1822+OFFSET(N1822,1,0)*OFFSET(P1822,1,0),VLOOKUP(D1822,契約台帳!$A$3:$P$4986,16,FALSE)))))</f>
        <v>8000</v>
      </c>
      <c r="U1822" s="40">
        <v>2</v>
      </c>
      <c r="V1822" s="274">
        <f ca="1">IF(D1822="","",IF(OFFSET(D1822,-2,0)=D1822,"",VLOOKUP(D1822,契約台帳!$A$3:$R$4986,18,FALSE)))</f>
        <v>4</v>
      </c>
      <c r="W1822" s="269" t="str">
        <f ca="1">IF(D1822="","",IF(T1822="","",IF(OR(J1822="巻足し",J1822="巻返しリード付け"),"",IF(J1822="巻返し",VLOOKUP(F1822&amp;K1822&amp;M1822,製品マスタ!$M$5:$AD$5002,18,FALSE),IF(OR(J1822="リード付け",J1822="巻返しリード付け"),"原反コア",IF(J1822="スリット",VLOOKUP(F1822&amp;K1822&amp;R1822,製品マスタ!$N$5:$AD$5002,17,FALSE),""))))))</f>
        <v/>
      </c>
      <c r="X1822" s="269" t="str">
        <f ca="1">IF(D1822="","",IF(T1822="","",IF(J1822="巻足し","",IF(J1822="巻返し",VLOOKUP(F1822&amp;K1822&amp;M1822,製品マスタ!$M$5:$AE$5002,19,FALSE),IF(OR(J1822="リード付け",J1822="巻返しリード付け"),"",IF(J1822="スリット",VLOOKUP(F1822&amp;K1822&amp;R1822,製品マスタ!$N$5:$AE$5002,18,FALSE),""))))))</f>
        <v/>
      </c>
      <c r="Y1822" s="275">
        <f ca="1">IF(D1822="","",IF(T1822="","",VLOOKUP(D1822,契約台帳!$A$3:$Q$4986,17,FALSE)))</f>
        <v>2</v>
      </c>
      <c r="Z1822" s="269" t="str">
        <f ca="1">IF(D1822="","",IF(T1822="","",VLOOKUP(D1822,契約台帳!$A$3:$E$4986,5,FALSE)))</f>
        <v>リンテック㈱</v>
      </c>
      <c r="AA1822" s="57"/>
      <c r="AB1822" s="207">
        <f>IFERROR((VLOOKUP(F1822&amp;K1822&amp;M1822,製品マスタ!$M$5:$AM$5002,27,FALSE)),"")</f>
        <v>0</v>
      </c>
      <c r="AC1822" s="33"/>
      <c r="AD1822" s="189"/>
      <c r="AE1822" s="54"/>
      <c r="AF1822" s="55">
        <f>+M1822*N1822*O1822/1000</f>
        <v>17920</v>
      </c>
      <c r="AG1822" s="43"/>
      <c r="AH1822" s="47"/>
      <c r="AI1822" s="30"/>
      <c r="AJ1822" s="30"/>
      <c r="AK1822" s="30"/>
      <c r="AL1822" s="30"/>
      <c r="AM1822" s="13"/>
      <c r="AN1822" s="13"/>
      <c r="AO1822" s="13"/>
      <c r="AP1822" s="13"/>
      <c r="AQ1822" s="13"/>
      <c r="AR1822" s="14"/>
      <c r="AS1822" s="15"/>
    </row>
    <row r="1823" spans="1:45" s="17" customFormat="1" ht="30.95" hidden="1" customHeight="1" x14ac:dyDescent="0.2">
      <c r="A1823" s="37"/>
      <c r="B1823" s="38"/>
      <c r="C1823" s="45"/>
      <c r="D1823" s="31"/>
      <c r="E1823" s="31"/>
      <c r="F1823" s="268"/>
      <c r="G1823" s="269"/>
      <c r="H1823" s="269"/>
      <c r="I1823" s="270"/>
      <c r="J1823" s="210"/>
      <c r="K1823" s="270"/>
      <c r="L1823" s="270"/>
      <c r="M1823" s="39"/>
      <c r="N1823" s="39"/>
      <c r="O1823" s="156"/>
      <c r="P1823" s="47"/>
      <c r="Q1823" s="57"/>
      <c r="R1823" s="338"/>
      <c r="S1823" s="272"/>
      <c r="T1823" s="273"/>
      <c r="U1823" s="40"/>
      <c r="V1823" s="277"/>
      <c r="W1823" s="269"/>
      <c r="X1823" s="269"/>
      <c r="Y1823" s="275"/>
      <c r="Z1823" s="269"/>
      <c r="AA1823" s="57"/>
      <c r="AB1823" s="207"/>
      <c r="AC1823" s="33"/>
      <c r="AD1823" s="189"/>
      <c r="AE1823" s="54"/>
      <c r="AF1823" s="55"/>
      <c r="AG1823" s="43"/>
      <c r="AH1823" s="47"/>
      <c r="AI1823" s="30"/>
      <c r="AJ1823" s="30"/>
      <c r="AK1823" s="30"/>
      <c r="AL1823" s="30"/>
      <c r="AM1823" s="13"/>
      <c r="AN1823" s="13"/>
      <c r="AO1823" s="13"/>
      <c r="AP1823" s="13"/>
      <c r="AQ1823" s="13"/>
      <c r="AR1823" s="14"/>
      <c r="AS1823" s="15"/>
    </row>
    <row r="1824" spans="1:45" s="17" customFormat="1" ht="30" hidden="1" customHeight="1" x14ac:dyDescent="0.2">
      <c r="A1824" s="37"/>
      <c r="B1824" s="38"/>
      <c r="C1824" s="45"/>
      <c r="D1824" s="31">
        <v>3750072</v>
      </c>
      <c r="E1824" s="31">
        <v>4162266</v>
      </c>
      <c r="F1824" s="268" t="str">
        <f>IF(D1824="","",VLOOKUP(D1824,契約台帳!$A$3:$K$4986,6,FALSE)&amp;VLOOKUP(D1824,契約台帳!$A$3:$K$4986,7,FALSE)&amp;VLOOKUP(D1824,契約台帳!$A$3:$K$4986,8,FALSE)&amp;VLOOKUP(D1824,契約台帳!$A$3:$K$4986,9,FALSE)&amp;VLOOKUP(D1824,契約台帳!$A$3:$K$4986,11,FALSE))</f>
        <v>3SNMLBMNNGKBF</v>
      </c>
      <c r="G1824" s="269" t="str">
        <f>IF(D1824="","",VLOOKUP(F1824,製品マスタ!$G$5:$H$5002,2,FALSE))</f>
        <v>S</v>
      </c>
      <c r="H1824" s="269" t="str">
        <f>IF(D1824="","",VLOOKUP(F1824,製品マスタ!$G$5:$K$5002,5,FALSE))</f>
        <v>MNNGKBF</v>
      </c>
      <c r="I1824" s="270" t="str">
        <f>IF(D1824="","",VLOOKUP(F1824,製品マスタ!$G$5:$L$5002,6,FALSE))</f>
        <v>メタルミー　ニューネーマー銀消　Ｂ</v>
      </c>
      <c r="J1824" s="210" t="s">
        <v>935</v>
      </c>
      <c r="K1824" s="270">
        <f>IF(D1824="","",VLOOKUP(D1824,契約台帳!$A$3:$L$4986,12,FALSE))</f>
        <v>50</v>
      </c>
      <c r="L1824" s="270" t="str">
        <f>IF(D1824="","",INDEX(製品マスタ!$Q$5:$Q$5002,MATCH('S4'!F1824&amp;'S4'!K1824,製品マスタ!$AO$5:$AO$5002,0)))</f>
        <v>X44</v>
      </c>
      <c r="M1824" s="39">
        <v>1000</v>
      </c>
      <c r="N1824" s="39">
        <v>4000</v>
      </c>
      <c r="O1824" s="156">
        <v>6</v>
      </c>
      <c r="P1824" s="47">
        <v>3</v>
      </c>
      <c r="Q1824" s="213">
        <v>45391</v>
      </c>
      <c r="R1824" s="271">
        <f ca="1">IF(D1824="","",IF(OFFSET(D1824,-1,0)&lt;&gt;"","",IF(OR(J1824="リード付け",J1824="巻足し",J1824="巻返しリード付け"),M1824,VLOOKUP(D1824,契約台帳!$A$3:$N$4986,14,FALSE))))</f>
        <v>1000</v>
      </c>
      <c r="S1824" s="272">
        <f ca="1">IF(D1824="","",IF(OFFSET(D1824,-1,0)&lt;&gt;"","",IF(OR(J1824="リード付け",J1824="巻足し",J1824="巻返しリード付け"),M1824,VLOOKUP(D1824,契約台帳!$A$3:$O$4986,15,FALSE))))</f>
        <v>1000</v>
      </c>
      <c r="T1824" s="273">
        <f ca="1">IF(D1824="","",IF(J1824="リード付け",N1824,IF(J1824="巻返しリード付け",N1824,IF(J1824="巻足し",N1824*P1824+OFFSET(N1824,1,0)*OFFSET(P1824,1,0),VLOOKUP(D1824,契約台帳!$A$3:$P$4986,16,FALSE)))))</f>
        <v>12000</v>
      </c>
      <c r="U1824" s="40">
        <v>2</v>
      </c>
      <c r="V1824" s="274">
        <f ca="1">IF(D1824="","",IF(OFFSET(D1824,-2,0)=D1824,"",VLOOKUP(D1824,契約台帳!$A$3:$R$4986,18,FALSE)))</f>
        <v>28</v>
      </c>
      <c r="W1824" s="269" t="str">
        <f ca="1">IF(D1824="","",IF(T1824="","",IF(OR(J1824="巻足し",J1824="巻返しリード付け"),"",IF(J1824="巻返し",VLOOKUP(F1824&amp;K1824&amp;M1824,製品マスタ!$M$5:$AD$5002,18,FALSE),IF(OR(J1824="リード付け",J1824="巻返しリード付け"),"原反コア",IF(J1824="スリット",VLOOKUP(F1824&amp;K1824&amp;R1824,製品マスタ!$N$5:$AD$5002,17,FALSE),""))))))</f>
        <v/>
      </c>
      <c r="X1824" s="269" t="str">
        <f ca="1">IF(D1824="","",IF(T1824="","",IF(J1824="巻足し","",IF(J1824="巻返し",VLOOKUP(F1824&amp;K1824&amp;M1824,製品マスタ!$M$5:$AE$5002,19,FALSE),IF(OR(J1824="リード付け",J1824="巻返しリード付け"),"",IF(J1824="スリット",VLOOKUP(F1824&amp;K1824&amp;R1824,製品マスタ!$N$5:$AE$5002,18,FALSE),""))))))</f>
        <v/>
      </c>
      <c r="Y1824" s="275">
        <f ca="1">IF(D1824="","",IF(T1824="","",VLOOKUP(D1824,契約台帳!$A$3:$Q$4986,17,FALSE)))</f>
        <v>2</v>
      </c>
      <c r="Z1824" s="269" t="str">
        <f ca="1">IF(D1824="","",IF(T1824="","",VLOOKUP(D1824,契約台帳!$A$3:$E$4986,5,FALSE)))</f>
        <v>リンテック㈱</v>
      </c>
      <c r="AA1824" s="57"/>
      <c r="AB1824" s="207" t="str">
        <f>IFERROR((VLOOKUP(F1824&amp;K1824&amp;M1824,製品マスタ!$M$5:$AM$5002,27,FALSE)),"")</f>
        <v>原反ケース再利用</v>
      </c>
      <c r="AC1824" s="33"/>
      <c r="AD1824" s="189"/>
      <c r="AE1824" s="54"/>
      <c r="AF1824" s="55">
        <f>+M1824*N1824*O1824/1000</f>
        <v>24000</v>
      </c>
      <c r="AG1824" s="43"/>
      <c r="AH1824" s="47"/>
      <c r="AI1824" s="30"/>
      <c r="AJ1824" s="30"/>
      <c r="AK1824" s="30"/>
      <c r="AL1824" s="30"/>
      <c r="AM1824" s="13"/>
      <c r="AN1824" s="13"/>
      <c r="AO1824" s="13"/>
      <c r="AP1824" s="13"/>
      <c r="AQ1824" s="13"/>
      <c r="AR1824" s="14"/>
      <c r="AS1824" s="15"/>
    </row>
    <row r="1825" spans="1:45" s="17" customFormat="1" ht="30.95" hidden="1" customHeight="1" x14ac:dyDescent="0.2">
      <c r="A1825" s="37"/>
      <c r="B1825" s="38"/>
      <c r="C1825" s="45"/>
      <c r="D1825" s="31"/>
      <c r="E1825" s="31"/>
      <c r="F1825" s="268"/>
      <c r="G1825" s="269"/>
      <c r="H1825" s="269"/>
      <c r="I1825" s="270"/>
      <c r="J1825" s="210"/>
      <c r="K1825" s="270"/>
      <c r="L1825" s="270"/>
      <c r="M1825" s="39"/>
      <c r="N1825" s="39"/>
      <c r="O1825" s="156"/>
      <c r="P1825" s="47"/>
      <c r="Q1825" s="57"/>
      <c r="R1825" s="338"/>
      <c r="S1825" s="272"/>
      <c r="T1825" s="273"/>
      <c r="U1825" s="40"/>
      <c r="V1825" s="277"/>
      <c r="W1825" s="269"/>
      <c r="X1825" s="269"/>
      <c r="Y1825" s="275"/>
      <c r="Z1825" s="269"/>
      <c r="AA1825" s="57"/>
      <c r="AB1825" s="207"/>
      <c r="AC1825" s="33"/>
      <c r="AD1825" s="189"/>
      <c r="AE1825" s="54"/>
      <c r="AF1825" s="55"/>
      <c r="AG1825" s="43"/>
      <c r="AH1825" s="47"/>
      <c r="AI1825" s="30"/>
      <c r="AJ1825" s="30"/>
      <c r="AK1825" s="30"/>
      <c r="AL1825" s="30"/>
      <c r="AM1825" s="13"/>
      <c r="AN1825" s="13"/>
      <c r="AO1825" s="13"/>
      <c r="AP1825" s="13"/>
      <c r="AQ1825" s="13"/>
      <c r="AR1825" s="14"/>
      <c r="AS1825" s="15"/>
    </row>
    <row r="1826" spans="1:45" s="17" customFormat="1" ht="30" hidden="1" customHeight="1" x14ac:dyDescent="0.2">
      <c r="A1826" s="37" t="s">
        <v>1036</v>
      </c>
      <c r="B1826" s="38" t="s">
        <v>443</v>
      </c>
      <c r="C1826" s="45"/>
      <c r="D1826" s="31">
        <v>3750072</v>
      </c>
      <c r="E1826" s="31">
        <v>4162266</v>
      </c>
      <c r="F1826" s="268" t="str">
        <f>IF(D1826="","",VLOOKUP(D1826,契約台帳!$A$3:$K$4986,6,FALSE)&amp;VLOOKUP(D1826,契約台帳!$A$3:$K$4986,7,FALSE)&amp;VLOOKUP(D1826,契約台帳!$A$3:$K$4986,8,FALSE)&amp;VLOOKUP(D1826,契約台帳!$A$3:$K$4986,9,FALSE)&amp;VLOOKUP(D1826,契約台帳!$A$3:$K$4986,11,FALSE))</f>
        <v>3SNMLBMNNGKBF</v>
      </c>
      <c r="G1826" s="269" t="str">
        <f>IF(D1826="","",VLOOKUP(F1826,製品マスタ!$G$5:$H$5002,2,FALSE))</f>
        <v>S</v>
      </c>
      <c r="H1826" s="269" t="str">
        <f>IF(D1826="","",VLOOKUP(F1826,製品マスタ!$G$5:$K$5002,5,FALSE))</f>
        <v>MNNGKBF</v>
      </c>
      <c r="I1826" s="270" t="str">
        <f>IF(D1826="","",VLOOKUP(F1826,製品マスタ!$G$5:$L$5002,6,FALSE))</f>
        <v>メタルミー　ニューネーマー銀消　Ｂ</v>
      </c>
      <c r="J1826" s="210" t="s">
        <v>935</v>
      </c>
      <c r="K1826" s="270">
        <f>IF(D1826="","",VLOOKUP(D1826,契約台帳!$A$3:$L$4986,12,FALSE))</f>
        <v>50</v>
      </c>
      <c r="L1826" s="270" t="str">
        <f>IF(D1826="","",INDEX(製品マスタ!$Q$5:$Q$5002,MATCH('S4'!F1826&amp;'S4'!K1826,製品マスタ!$AO$5:$AO$5002,0)))</f>
        <v>X44</v>
      </c>
      <c r="M1826" s="39">
        <v>1000</v>
      </c>
      <c r="N1826" s="39">
        <v>4000</v>
      </c>
      <c r="O1826" s="156">
        <v>18</v>
      </c>
      <c r="P1826" s="47">
        <v>3</v>
      </c>
      <c r="Q1826" s="213">
        <v>45391</v>
      </c>
      <c r="R1826" s="271">
        <f ca="1">IF(D1826="","",IF(OFFSET(D1826,-1,0)&lt;&gt;"","",IF(OR(J1826="リード付け",J1826="巻足し",J1826="巻返しリード付け"),M1826,VLOOKUP(D1826,契約台帳!$A$3:$N$4986,14,FALSE))))</f>
        <v>1000</v>
      </c>
      <c r="S1826" s="272">
        <f ca="1">IF(D1826="","",IF(OFFSET(D1826,-1,0)&lt;&gt;"","",IF(OR(J1826="リード付け",J1826="巻足し",J1826="巻返しリード付け"),M1826,VLOOKUP(D1826,契約台帳!$A$3:$O$4986,15,FALSE))))</f>
        <v>1000</v>
      </c>
      <c r="T1826" s="273">
        <f ca="1">IF(D1826="","",IF(J1826="リード付け",N1826,IF(J1826="巻返しリード付け",N1826,IF(J1826="巻足し",N1826*P1826+OFFSET(N1826,1,0)*OFFSET(P1826,1,0),VLOOKUP(D1826,契約台帳!$A$3:$P$4986,16,FALSE)))))</f>
        <v>12000</v>
      </c>
      <c r="U1826" s="40">
        <v>6</v>
      </c>
      <c r="V1826" s="274" t="str">
        <f ca="1">IF(D1826="","",IF(OFFSET(D1826,-2,0)=D1826,"",VLOOKUP(D1826,契約台帳!$A$3:$R$4986,18,FALSE)))</f>
        <v/>
      </c>
      <c r="W1826" s="269" t="str">
        <f ca="1">IF(D1826="","",IF(T1826="","",IF(OR(J1826="巻足し",J1826="巻返しリード付け"),"",IF(J1826="巻返し",VLOOKUP(F1826&amp;K1826&amp;M1826,製品マスタ!$M$5:$AD$5002,18,FALSE),IF(OR(J1826="リード付け",J1826="巻返しリード付け"),"原反コア",IF(J1826="スリット",VLOOKUP(F1826&amp;K1826&amp;R1826,製品マスタ!$N$5:$AD$5002,17,FALSE),""))))))</f>
        <v/>
      </c>
      <c r="X1826" s="269" t="str">
        <f ca="1">IF(D1826="","",IF(T1826="","",IF(J1826="巻足し","",IF(J1826="巻返し",VLOOKUP(F1826&amp;K1826&amp;M1826,製品マスタ!$M$5:$AE$5002,19,FALSE),IF(OR(J1826="リード付け",J1826="巻返しリード付け"),"",IF(J1826="スリット",VLOOKUP(F1826&amp;K1826&amp;R1826,製品マスタ!$N$5:$AE$5002,18,FALSE),""))))))</f>
        <v/>
      </c>
      <c r="Y1826" s="275">
        <f ca="1">IF(D1826="","",IF(T1826="","",VLOOKUP(D1826,契約台帳!$A$3:$Q$4986,17,FALSE)))</f>
        <v>2</v>
      </c>
      <c r="Z1826" s="269" t="str">
        <f ca="1">IF(D1826="","",IF(T1826="","",VLOOKUP(D1826,契約台帳!$A$3:$E$4986,5,FALSE)))</f>
        <v>リンテック㈱</v>
      </c>
      <c r="AA1826" s="57"/>
      <c r="AB1826" s="207" t="str">
        <f>IFERROR((VLOOKUP(F1826&amp;K1826&amp;M1826,製品マスタ!$M$5:$AM$5002,27,FALSE)),"")</f>
        <v>原反ケース再利用</v>
      </c>
      <c r="AC1826" s="33"/>
      <c r="AD1826" s="189"/>
      <c r="AE1826" s="54"/>
      <c r="AF1826" s="55">
        <f>+M1826*N1826*O1826/1000</f>
        <v>72000</v>
      </c>
      <c r="AG1826" s="43"/>
      <c r="AH1826" s="47"/>
      <c r="AI1826" s="30"/>
      <c r="AJ1826" s="30"/>
      <c r="AK1826" s="30"/>
      <c r="AL1826" s="30"/>
      <c r="AM1826" s="13"/>
      <c r="AN1826" s="13"/>
      <c r="AO1826" s="13"/>
      <c r="AP1826" s="13"/>
      <c r="AQ1826" s="13"/>
      <c r="AR1826" s="14"/>
      <c r="AS1826" s="15"/>
    </row>
    <row r="1827" spans="1:45" s="17" customFormat="1" ht="30.95" hidden="1" customHeight="1" x14ac:dyDescent="0.2">
      <c r="A1827" s="37"/>
      <c r="B1827" s="38"/>
      <c r="C1827" s="45"/>
      <c r="D1827" s="31"/>
      <c r="E1827" s="31"/>
      <c r="F1827" s="268"/>
      <c r="G1827" s="269"/>
      <c r="H1827" s="269"/>
      <c r="I1827" s="270"/>
      <c r="J1827" s="210"/>
      <c r="K1827" s="270"/>
      <c r="L1827" s="270"/>
      <c r="M1827" s="39"/>
      <c r="N1827" s="39"/>
      <c r="O1827" s="156"/>
      <c r="P1827" s="47"/>
      <c r="Q1827" s="57"/>
      <c r="R1827" s="338"/>
      <c r="S1827" s="272"/>
      <c r="T1827" s="273"/>
      <c r="U1827" s="40"/>
      <c r="V1827" s="277"/>
      <c r="W1827" s="269"/>
      <c r="X1827" s="269"/>
      <c r="Y1827" s="275"/>
      <c r="Z1827" s="269"/>
      <c r="AA1827" s="57"/>
      <c r="AB1827" s="207"/>
      <c r="AC1827" s="33"/>
      <c r="AD1827" s="189"/>
      <c r="AE1827" s="54"/>
      <c r="AF1827" s="55"/>
      <c r="AG1827" s="43"/>
      <c r="AH1827" s="47"/>
      <c r="AI1827" s="30"/>
      <c r="AJ1827" s="30"/>
      <c r="AK1827" s="30"/>
      <c r="AL1827" s="30"/>
      <c r="AM1827" s="13"/>
      <c r="AN1827" s="13"/>
      <c r="AO1827" s="13"/>
      <c r="AP1827" s="13"/>
      <c r="AQ1827" s="13"/>
      <c r="AR1827" s="14"/>
      <c r="AS1827" s="15"/>
    </row>
    <row r="1828" spans="1:45" s="17" customFormat="1" ht="30" hidden="1" customHeight="1" x14ac:dyDescent="0.2">
      <c r="A1828" s="37" t="s">
        <v>2733</v>
      </c>
      <c r="B1828" s="38" t="s">
        <v>2734</v>
      </c>
      <c r="C1828" s="45"/>
      <c r="D1828" s="31">
        <v>3750072</v>
      </c>
      <c r="E1828" s="31">
        <v>4162266</v>
      </c>
      <c r="F1828" s="268" t="str">
        <f>IF(D1828="","",VLOOKUP(D1828,契約台帳!$A$3:$K$4986,6,FALSE)&amp;VLOOKUP(D1828,契約台帳!$A$3:$K$4986,7,FALSE)&amp;VLOOKUP(D1828,契約台帳!$A$3:$K$4986,8,FALSE)&amp;VLOOKUP(D1828,契約台帳!$A$3:$K$4986,9,FALSE)&amp;VLOOKUP(D1828,契約台帳!$A$3:$K$4986,11,FALSE))</f>
        <v>3SNMLBMNNGKBF</v>
      </c>
      <c r="G1828" s="269" t="str">
        <f>IF(D1828="","",VLOOKUP(F1828,製品マスタ!$G$5:$H$5002,2,FALSE))</f>
        <v>S</v>
      </c>
      <c r="H1828" s="269" t="str">
        <f>IF(D1828="","",VLOOKUP(F1828,製品マスタ!$G$5:$K$5002,5,FALSE))</f>
        <v>MNNGKBF</v>
      </c>
      <c r="I1828" s="270" t="str">
        <f>IF(D1828="","",VLOOKUP(F1828,製品マスタ!$G$5:$L$5002,6,FALSE))</f>
        <v>メタルミー　ニューネーマー銀消　Ｂ</v>
      </c>
      <c r="J1828" s="210" t="s">
        <v>935</v>
      </c>
      <c r="K1828" s="270">
        <f>IF(D1828="","",VLOOKUP(D1828,契約台帳!$A$3:$L$4986,12,FALSE))</f>
        <v>50</v>
      </c>
      <c r="L1828" s="270" t="str">
        <f>IF(D1828="","",INDEX(製品マスタ!$Q$5:$Q$5002,MATCH('S4'!F1828&amp;'S4'!K1828,製品マスタ!$AO$5:$AO$5002,0)))</f>
        <v>X44</v>
      </c>
      <c r="M1828" s="39">
        <v>1000</v>
      </c>
      <c r="N1828" s="39">
        <v>4000</v>
      </c>
      <c r="O1828" s="156">
        <v>4</v>
      </c>
      <c r="P1828" s="47">
        <v>2</v>
      </c>
      <c r="Q1828" s="213">
        <v>45391</v>
      </c>
      <c r="R1828" s="271">
        <f ca="1">IF(D1828="","",IF(OFFSET(D1828,-1,0)&lt;&gt;"","",IF(OR(J1828="リード付け",J1828="巻足し",J1828="巻返しリード付け"),M1828,VLOOKUP(D1828,契約台帳!$A$3:$N$4986,14,FALSE))))</f>
        <v>1000</v>
      </c>
      <c r="S1828" s="272">
        <f ca="1">IF(D1828="","",IF(OFFSET(D1828,-1,0)&lt;&gt;"","",IF(OR(J1828="リード付け",J1828="巻足し",J1828="巻返しリード付け"),M1828,VLOOKUP(D1828,契約台帳!$A$3:$O$4986,15,FALSE))))</f>
        <v>1000</v>
      </c>
      <c r="T1828" s="273">
        <f ca="1">IF(D1828="","",IF(J1828="リード付け",N1828,IF(J1828="巻返しリード付け",N1828,IF(J1828="巻足し",N1828*P1828+OFFSET(N1828,1,0)*OFFSET(P1828,1,0),VLOOKUP(D1828,契約台帳!$A$3:$P$4986,16,FALSE)))))</f>
        <v>8000</v>
      </c>
      <c r="U1828" s="40">
        <v>2</v>
      </c>
      <c r="V1828" s="274" t="str">
        <f ca="1">IF(D1828="","",IF(OFFSET(D1828,-2,0)=D1828,"",VLOOKUP(D1828,契約台帳!$A$3:$R$4986,18,FALSE)))</f>
        <v/>
      </c>
      <c r="W1828" s="269" t="str">
        <f ca="1">IF(D1828="","",IF(T1828="","",IF(OR(J1828="巻足し",J1828="巻返しリード付け"),"",IF(J1828="巻返し",VLOOKUP(F1828&amp;K1828&amp;M1828,製品マスタ!$M$5:$AD$5002,18,FALSE),IF(OR(J1828="リード付け",J1828="巻返しリード付け"),"原反コア",IF(J1828="スリット",VLOOKUP(F1828&amp;K1828&amp;R1828,製品マスタ!$N$5:$AD$5002,17,FALSE),""))))))</f>
        <v/>
      </c>
      <c r="X1828" s="269" t="str">
        <f ca="1">IF(D1828="","",IF(T1828="","",IF(J1828="巻足し","",IF(J1828="巻返し",VLOOKUP(F1828&amp;K1828&amp;M1828,製品マスタ!$M$5:$AE$5002,19,FALSE),IF(OR(J1828="リード付け",J1828="巻返しリード付け"),"",IF(J1828="スリット",VLOOKUP(F1828&amp;K1828&amp;R1828,製品マスタ!$N$5:$AE$5002,18,FALSE),""))))))</f>
        <v/>
      </c>
      <c r="Y1828" s="275">
        <f ca="1">IF(D1828="","",IF(T1828="","",VLOOKUP(D1828,契約台帳!$A$3:$Q$4986,17,FALSE)))</f>
        <v>2</v>
      </c>
      <c r="Z1828" s="269" t="str">
        <f ca="1">IF(D1828="","",IF(T1828="","",VLOOKUP(D1828,契約台帳!$A$3:$E$4986,5,FALSE)))</f>
        <v>リンテック㈱</v>
      </c>
      <c r="AA1828" s="57"/>
      <c r="AB1828" s="207" t="str">
        <f>IFERROR((VLOOKUP(F1828&amp;K1828&amp;M1828,製品マスタ!$M$5:$AM$5002,27,FALSE)),"")</f>
        <v>原反ケース再利用</v>
      </c>
      <c r="AC1828" s="33"/>
      <c r="AD1828" s="189"/>
      <c r="AE1828" s="54"/>
      <c r="AF1828" s="55">
        <f>+M1828*N1828*O1828/1000</f>
        <v>16000</v>
      </c>
      <c r="AG1828" s="43"/>
      <c r="AH1828" s="47"/>
      <c r="AI1828" s="30"/>
      <c r="AJ1828" s="30"/>
      <c r="AK1828" s="30"/>
      <c r="AL1828" s="30"/>
      <c r="AM1828" s="13"/>
      <c r="AN1828" s="13"/>
      <c r="AO1828" s="13"/>
      <c r="AP1828" s="13"/>
      <c r="AQ1828" s="13"/>
      <c r="AR1828" s="14"/>
      <c r="AS1828" s="15"/>
    </row>
    <row r="1829" spans="1:45" s="17" customFormat="1" ht="30.95" hidden="1" customHeight="1" x14ac:dyDescent="0.2">
      <c r="A1829" s="37"/>
      <c r="B1829" s="38"/>
      <c r="C1829" s="45"/>
      <c r="D1829" s="31"/>
      <c r="E1829" s="31"/>
      <c r="F1829" s="268"/>
      <c r="G1829" s="269"/>
      <c r="H1829" s="269"/>
      <c r="I1829" s="270"/>
      <c r="J1829" s="210"/>
      <c r="K1829" s="270"/>
      <c r="L1829" s="270"/>
      <c r="M1829" s="39"/>
      <c r="N1829" s="39"/>
      <c r="O1829" s="156"/>
      <c r="P1829" s="47"/>
      <c r="Q1829" s="57"/>
      <c r="R1829" s="338"/>
      <c r="S1829" s="272"/>
      <c r="T1829" s="273"/>
      <c r="U1829" s="40"/>
      <c r="V1829" s="277"/>
      <c r="W1829" s="269"/>
      <c r="X1829" s="269"/>
      <c r="Y1829" s="275"/>
      <c r="Z1829" s="269"/>
      <c r="AA1829" s="57"/>
      <c r="AB1829" s="207"/>
      <c r="AC1829" s="33"/>
      <c r="AD1829" s="189"/>
      <c r="AE1829" s="54"/>
      <c r="AF1829" s="55"/>
      <c r="AG1829" s="43"/>
      <c r="AH1829" s="47"/>
      <c r="AI1829" s="30"/>
      <c r="AJ1829" s="30"/>
      <c r="AK1829" s="30"/>
      <c r="AL1829" s="30"/>
      <c r="AM1829" s="13"/>
      <c r="AN1829" s="13"/>
      <c r="AO1829" s="13"/>
      <c r="AP1829" s="13"/>
      <c r="AQ1829" s="13"/>
      <c r="AR1829" s="14"/>
      <c r="AS1829" s="15"/>
    </row>
    <row r="1830" spans="1:45" s="17" customFormat="1" ht="30" hidden="1" customHeight="1" x14ac:dyDescent="0.2">
      <c r="A1830" s="37"/>
      <c r="B1830" s="38"/>
      <c r="C1830" s="45"/>
      <c r="D1830" s="31">
        <v>3750073</v>
      </c>
      <c r="E1830" s="31">
        <v>4162252</v>
      </c>
      <c r="F1830" s="268" t="str">
        <f>IF(D1830="","",VLOOKUP(D1830,契約台帳!$A$3:$K$4986,6,FALSE)&amp;VLOOKUP(D1830,契約台帳!$A$3:$K$4986,7,FALSE)&amp;VLOOKUP(D1830,契約台帳!$A$3:$K$4986,8,FALSE)&amp;VLOOKUP(D1830,契約台帳!$A$3:$K$4986,9,FALSE)&amp;VLOOKUP(D1830,契約台帳!$A$3:$K$4986,11,FALSE))</f>
        <v>33SSNMCLBTEKKFV</v>
      </c>
      <c r="G1830" s="269" t="str">
        <f>IF(D1830="","",VLOOKUP(F1830,製品マスタ!$G$5:$H$5002,2,FALSE))</f>
        <v>S</v>
      </c>
      <c r="H1830" s="269" t="str">
        <f>IF(D1830="","",VLOOKUP(F1830,製品マスタ!$G$5:$K$5002,5,FALSE))</f>
        <v>TEKKFV</v>
      </c>
      <c r="I1830" s="270" t="str">
        <f>IF(D1830="","",VLOOKUP(F1830,製品マスタ!$G$5:$L$5002,6,FALSE))</f>
        <v>メタルミー　ＴＥＳ消開封　Ｖ</v>
      </c>
      <c r="J1830" s="210" t="s">
        <v>935</v>
      </c>
      <c r="K1830" s="270">
        <f>IF(D1830="","",VLOOKUP(D1830,契約台帳!$A$3:$L$4986,12,FALSE))</f>
        <v>50</v>
      </c>
      <c r="L1830" s="270" t="str">
        <f>IF(D1830="","",INDEX(製品マスタ!$Q$5:$Q$5002,MATCH('S4'!F1830&amp;'S4'!K1830,製品マスタ!$AO$5:$AO$5002,0)))</f>
        <v>X44SEPA</v>
      </c>
      <c r="M1830" s="39">
        <v>1005</v>
      </c>
      <c r="N1830" s="39">
        <v>4000</v>
      </c>
      <c r="O1830" s="156">
        <v>3</v>
      </c>
      <c r="P1830" s="47">
        <v>3</v>
      </c>
      <c r="Q1830" s="213">
        <v>45392</v>
      </c>
      <c r="R1830" s="271">
        <f ca="1">IF(D1830="","",IF(OFFSET(D1830,-1,0)&lt;&gt;"","",IF(OR(J1830="リード付け",J1830="巻足し",J1830="巻返しリード付け"),M1830,VLOOKUP(D1830,契約台帳!$A$3:$N$4986,14,FALSE))))</f>
        <v>1005</v>
      </c>
      <c r="S1830" s="272">
        <f ca="1">IF(D1830="","",IF(OFFSET(D1830,-1,0)&lt;&gt;"","",IF(OR(J1830="リード付け",J1830="巻足し",J1830="巻返しリード付け"),M1830,VLOOKUP(D1830,契約台帳!$A$3:$O$4986,15,FALSE))))</f>
        <v>1005</v>
      </c>
      <c r="T1830" s="273">
        <f ca="1">IF(D1830="","",IF(J1830="リード付け",N1830,IF(J1830="巻返しリード付け",N1830,IF(J1830="巻足し",N1830*P1830+OFFSET(N1830,1,0)*OFFSET(P1830,1,0),VLOOKUP(D1830,契約台帳!$A$3:$P$4986,16,FALSE)))))</f>
        <v>12000</v>
      </c>
      <c r="U1830" s="40">
        <v>1</v>
      </c>
      <c r="V1830" s="274">
        <f ca="1">IF(D1830="","",IF(OFFSET(D1830,-2,0)=D1830,"",VLOOKUP(D1830,契約台帳!$A$3:$R$4986,18,FALSE)))</f>
        <v>3</v>
      </c>
      <c r="W1830" s="269" t="str">
        <f ca="1">IF(D1830="","",IF(T1830="","",IF(OR(J1830="巻足し",J1830="巻返しリード付け"),"",IF(J1830="巻返し",VLOOKUP(F1830&amp;K1830&amp;M1830,製品マスタ!$M$5:$AD$5002,18,FALSE),IF(OR(J1830="リード付け",J1830="巻返しリード付け"),"原反コア",IF(J1830="スリット",VLOOKUP(F1830&amp;K1830&amp;R1830,製品マスタ!$N$5:$AD$5002,17,FALSE),""))))))</f>
        <v/>
      </c>
      <c r="X1830" s="269" t="str">
        <f ca="1">IF(D1830="","",IF(T1830="","",IF(J1830="巻足し","",IF(J1830="巻返し",VLOOKUP(F1830&amp;K1830&amp;M1830,製品マスタ!$M$5:$AE$5002,19,FALSE),IF(OR(J1830="リード付け",J1830="巻返しリード付け"),"",IF(J1830="スリット",VLOOKUP(F1830&amp;K1830&amp;R1830,製品マスタ!$N$5:$AE$5002,18,FALSE),""))))))</f>
        <v/>
      </c>
      <c r="Y1830" s="275">
        <f ca="1">IF(D1830="","",IF(T1830="","",VLOOKUP(D1830,契約台帳!$A$3:$Q$4986,17,FALSE)))</f>
        <v>2</v>
      </c>
      <c r="Z1830" s="269" t="str">
        <f ca="1">IF(D1830="","",IF(T1830="","",VLOOKUP(D1830,契約台帳!$A$3:$E$4986,5,FALSE)))</f>
        <v>リンテック㈱</v>
      </c>
      <c r="AA1830" s="57"/>
      <c r="AB1830" s="207">
        <f>IFERROR((VLOOKUP(F1830&amp;K1830&amp;M1830,製品マスタ!$M$5:$AM$5002,27,FALSE)),"")</f>
        <v>0</v>
      </c>
      <c r="AC1830" s="33"/>
      <c r="AD1830" s="189"/>
      <c r="AE1830" s="54"/>
      <c r="AF1830" s="55">
        <f>+M1830*N1830*O1830/1000</f>
        <v>12060</v>
      </c>
      <c r="AG1830" s="43"/>
      <c r="AH1830" s="47"/>
      <c r="AI1830" s="30"/>
      <c r="AJ1830" s="30"/>
      <c r="AK1830" s="30"/>
      <c r="AL1830" s="30"/>
      <c r="AM1830" s="13"/>
      <c r="AN1830" s="13"/>
      <c r="AO1830" s="13"/>
      <c r="AP1830" s="13"/>
      <c r="AQ1830" s="13"/>
      <c r="AR1830" s="14"/>
      <c r="AS1830" s="15"/>
    </row>
    <row r="1831" spans="1:45" s="17" customFormat="1" ht="30.95" hidden="1" customHeight="1" x14ac:dyDescent="0.2">
      <c r="A1831" s="37"/>
      <c r="B1831" s="38"/>
      <c r="C1831" s="45"/>
      <c r="D1831" s="31"/>
      <c r="E1831" s="31"/>
      <c r="F1831" s="268"/>
      <c r="G1831" s="269"/>
      <c r="H1831" s="269"/>
      <c r="I1831" s="270"/>
      <c r="J1831" s="210"/>
      <c r="K1831" s="270"/>
      <c r="L1831" s="270"/>
      <c r="M1831" s="39"/>
      <c r="N1831" s="39"/>
      <c r="O1831" s="156"/>
      <c r="P1831" s="47"/>
      <c r="Q1831" s="57"/>
      <c r="R1831" s="338"/>
      <c r="S1831" s="272"/>
      <c r="T1831" s="273"/>
      <c r="U1831" s="40"/>
      <c r="V1831" s="277"/>
      <c r="W1831" s="269"/>
      <c r="X1831" s="269"/>
      <c r="Y1831" s="275"/>
      <c r="Z1831" s="269"/>
      <c r="AA1831" s="57"/>
      <c r="AB1831" s="207"/>
      <c r="AC1831" s="33"/>
      <c r="AD1831" s="189"/>
      <c r="AE1831" s="54"/>
      <c r="AF1831" s="55"/>
      <c r="AG1831" s="43"/>
      <c r="AH1831" s="47"/>
      <c r="AI1831" s="30"/>
      <c r="AJ1831" s="30"/>
      <c r="AK1831" s="30"/>
      <c r="AL1831" s="30"/>
      <c r="AM1831" s="13"/>
      <c r="AN1831" s="13"/>
      <c r="AO1831" s="13"/>
      <c r="AP1831" s="13"/>
      <c r="AQ1831" s="13"/>
      <c r="AR1831" s="14"/>
      <c r="AS1831" s="15"/>
    </row>
    <row r="1832" spans="1:45" s="17" customFormat="1" ht="30" hidden="1" customHeight="1" x14ac:dyDescent="0.2">
      <c r="A1832" s="37"/>
      <c r="B1832" s="38"/>
      <c r="C1832" s="45"/>
      <c r="D1832" s="31">
        <v>3750074</v>
      </c>
      <c r="E1832" s="31">
        <v>4162253</v>
      </c>
      <c r="F1832" s="268" t="str">
        <f>IF(D1832="","",VLOOKUP(D1832,契約台帳!$A$3:$K$4986,6,FALSE)&amp;VLOOKUP(D1832,契約台帳!$A$3:$K$4986,7,FALSE)&amp;VLOOKUP(D1832,契約台帳!$A$3:$K$4986,8,FALSE)&amp;VLOOKUP(D1832,契約台帳!$A$3:$K$4986,9,FALSE)&amp;VLOOKUP(D1832,契約台帳!$A$3:$K$4986,11,FALSE))</f>
        <v>33SSNMCLBTEKV0V</v>
      </c>
      <c r="G1832" s="269" t="str">
        <f>IF(D1832="","",VLOOKUP(F1832,製品マスタ!$G$5:$H$5002,2,FALSE))</f>
        <v>S</v>
      </c>
      <c r="H1832" s="269" t="str">
        <f>IF(D1832="","",VLOOKUP(F1832,製品マスタ!$G$5:$K$5002,5,FALSE))</f>
        <v>TEKV0V</v>
      </c>
      <c r="I1832" s="270" t="str">
        <f>IF(D1832="","",VLOOKUP(F1832,製品マスタ!$G$5:$L$5002,6,FALSE))</f>
        <v>メタルミー　ＴＥ－Ｓ消　ＶＯＩＤ　Ｖ</v>
      </c>
      <c r="J1832" s="210" t="s">
        <v>935</v>
      </c>
      <c r="K1832" s="270">
        <f>IF(D1832="","",VLOOKUP(D1832,契約台帳!$A$3:$L$4986,12,FALSE))</f>
        <v>50</v>
      </c>
      <c r="L1832" s="270" t="str">
        <f>IF(D1832="","",INDEX(製品マスタ!$Q$5:$Q$5002,MATCH('S4'!F1832&amp;'S4'!K1832,製品マスタ!$AO$5:$AO$5002,0)))</f>
        <v>X44SEPA</v>
      </c>
      <c r="M1832" s="39">
        <v>1005</v>
      </c>
      <c r="N1832" s="39">
        <v>4000</v>
      </c>
      <c r="O1832" s="156">
        <v>3</v>
      </c>
      <c r="P1832" s="47">
        <v>3</v>
      </c>
      <c r="Q1832" s="213">
        <v>45392</v>
      </c>
      <c r="R1832" s="271">
        <f ca="1">IF(D1832="","",IF(OFFSET(D1832,-1,0)&lt;&gt;"","",IF(OR(J1832="リード付け",J1832="巻足し",J1832="巻返しリード付け"),M1832,VLOOKUP(D1832,契約台帳!$A$3:$N$4986,14,FALSE))))</f>
        <v>1005</v>
      </c>
      <c r="S1832" s="272">
        <f ca="1">IF(D1832="","",IF(OFFSET(D1832,-1,0)&lt;&gt;"","",IF(OR(J1832="リード付け",J1832="巻足し",J1832="巻返しリード付け"),M1832,VLOOKUP(D1832,契約台帳!$A$3:$O$4986,15,FALSE))))</f>
        <v>1005</v>
      </c>
      <c r="T1832" s="273">
        <f ca="1">IF(D1832="","",IF(J1832="リード付け",N1832,IF(J1832="巻返しリード付け",N1832,IF(J1832="巻足し",N1832*P1832+OFFSET(N1832,1,0)*OFFSET(P1832,1,0),VLOOKUP(D1832,契約台帳!$A$3:$P$4986,16,FALSE)))))</f>
        <v>12000</v>
      </c>
      <c r="U1832" s="40">
        <v>1</v>
      </c>
      <c r="V1832" s="274">
        <f ca="1">IF(D1832="","",IF(OFFSET(D1832,-2,0)=D1832,"",VLOOKUP(D1832,契約台帳!$A$3:$R$4986,18,FALSE)))</f>
        <v>5</v>
      </c>
      <c r="W1832" s="269" t="str">
        <f ca="1">IF(D1832="","",IF(T1832="","",IF(OR(J1832="巻足し",J1832="巻返しリード付け"),"",IF(J1832="巻返し",VLOOKUP(F1832&amp;K1832&amp;M1832,製品マスタ!$M$5:$AD$5002,18,FALSE),IF(OR(J1832="リード付け",J1832="巻返しリード付け"),"原反コア",IF(J1832="スリット",VLOOKUP(F1832&amp;K1832&amp;R1832,製品マスタ!$N$5:$AD$5002,17,FALSE),""))))))</f>
        <v/>
      </c>
      <c r="X1832" s="269" t="str">
        <f ca="1">IF(D1832="","",IF(T1832="","",IF(J1832="巻足し","",IF(J1832="巻返し",VLOOKUP(F1832&amp;K1832&amp;M1832,製品マスタ!$M$5:$AE$5002,19,FALSE),IF(OR(J1832="リード付け",J1832="巻返しリード付け"),"",IF(J1832="スリット",VLOOKUP(F1832&amp;K1832&amp;R1832,製品マスタ!$N$5:$AE$5002,18,FALSE),""))))))</f>
        <v/>
      </c>
      <c r="Y1832" s="275">
        <f ca="1">IF(D1832="","",IF(T1832="","",VLOOKUP(D1832,契約台帳!$A$3:$Q$4986,17,FALSE)))</f>
        <v>2</v>
      </c>
      <c r="Z1832" s="269" t="str">
        <f ca="1">IF(D1832="","",IF(T1832="","",VLOOKUP(D1832,契約台帳!$A$3:$E$4986,5,FALSE)))</f>
        <v>リンテック㈱</v>
      </c>
      <c r="AA1832" s="57"/>
      <c r="AB1832" s="207">
        <f>IFERROR((VLOOKUP(F1832&amp;K1832&amp;M1832,製品マスタ!$M$5:$AM$5002,27,FALSE)),"")</f>
        <v>0</v>
      </c>
      <c r="AC1832" s="33"/>
      <c r="AD1832" s="189"/>
      <c r="AE1832" s="54"/>
      <c r="AF1832" s="55">
        <f>+M1832*N1832*O1832/1000</f>
        <v>12060</v>
      </c>
      <c r="AG1832" s="43"/>
      <c r="AH1832" s="47"/>
      <c r="AI1832" s="30"/>
      <c r="AJ1832" s="30"/>
      <c r="AK1832" s="30"/>
      <c r="AL1832" s="30"/>
      <c r="AM1832" s="13"/>
      <c r="AN1832" s="13"/>
      <c r="AO1832" s="13"/>
      <c r="AP1832" s="13"/>
      <c r="AQ1832" s="13"/>
      <c r="AR1832" s="14"/>
      <c r="AS1832" s="15"/>
    </row>
    <row r="1833" spans="1:45" s="17" customFormat="1" ht="30.95" hidden="1" customHeight="1" x14ac:dyDescent="0.2">
      <c r="A1833" s="37"/>
      <c r="B1833" s="38"/>
      <c r="C1833" s="45"/>
      <c r="D1833" s="31"/>
      <c r="E1833" s="31"/>
      <c r="F1833" s="268"/>
      <c r="G1833" s="269"/>
      <c r="H1833" s="269"/>
      <c r="I1833" s="270"/>
      <c r="J1833" s="210"/>
      <c r="K1833" s="270"/>
      <c r="L1833" s="270"/>
      <c r="M1833" s="39"/>
      <c r="N1833" s="39"/>
      <c r="O1833" s="156"/>
      <c r="P1833" s="47"/>
      <c r="Q1833" s="57"/>
      <c r="R1833" s="338"/>
      <c r="S1833" s="272"/>
      <c r="T1833" s="273"/>
      <c r="U1833" s="40"/>
      <c r="V1833" s="277"/>
      <c r="W1833" s="269"/>
      <c r="X1833" s="269"/>
      <c r="Y1833" s="275"/>
      <c r="Z1833" s="269"/>
      <c r="AA1833" s="57"/>
      <c r="AB1833" s="207"/>
      <c r="AC1833" s="33"/>
      <c r="AD1833" s="189"/>
      <c r="AE1833" s="54"/>
      <c r="AF1833" s="55"/>
      <c r="AG1833" s="43"/>
      <c r="AH1833" s="47"/>
      <c r="AI1833" s="30"/>
      <c r="AJ1833" s="30"/>
      <c r="AK1833" s="30"/>
      <c r="AL1833" s="30"/>
      <c r="AM1833" s="13"/>
      <c r="AN1833" s="13"/>
      <c r="AO1833" s="13"/>
      <c r="AP1833" s="13"/>
      <c r="AQ1833" s="13"/>
      <c r="AR1833" s="14"/>
      <c r="AS1833" s="15"/>
    </row>
    <row r="1834" spans="1:45" s="17" customFormat="1" ht="30" hidden="1" customHeight="1" x14ac:dyDescent="0.2">
      <c r="A1834" s="37"/>
      <c r="B1834" s="38"/>
      <c r="C1834" s="45"/>
      <c r="D1834" s="31">
        <v>3750074</v>
      </c>
      <c r="E1834" s="31">
        <v>4162253</v>
      </c>
      <c r="F1834" s="268" t="str">
        <f>IF(D1834="","",VLOOKUP(D1834,契約台帳!$A$3:$K$4986,6,FALSE)&amp;VLOOKUP(D1834,契約台帳!$A$3:$K$4986,7,FALSE)&amp;VLOOKUP(D1834,契約台帳!$A$3:$K$4986,8,FALSE)&amp;VLOOKUP(D1834,契約台帳!$A$3:$K$4986,9,FALSE)&amp;VLOOKUP(D1834,契約台帳!$A$3:$K$4986,11,FALSE))</f>
        <v>33SSNMCLBTEKV0V</v>
      </c>
      <c r="G1834" s="269" t="str">
        <f>IF(D1834="","",VLOOKUP(F1834,製品マスタ!$G$5:$H$5002,2,FALSE))</f>
        <v>S</v>
      </c>
      <c r="H1834" s="269" t="str">
        <f>IF(D1834="","",VLOOKUP(F1834,製品マスタ!$G$5:$K$5002,5,FALSE))</f>
        <v>TEKV0V</v>
      </c>
      <c r="I1834" s="270" t="str">
        <f>IF(D1834="","",VLOOKUP(F1834,製品マスタ!$G$5:$L$5002,6,FALSE))</f>
        <v>メタルミー　ＴＥ－Ｓ消　ＶＯＩＤ　Ｖ</v>
      </c>
      <c r="J1834" s="210" t="s">
        <v>935</v>
      </c>
      <c r="K1834" s="270">
        <f>IF(D1834="","",VLOOKUP(D1834,契約台帳!$A$3:$L$4986,12,FALSE))</f>
        <v>50</v>
      </c>
      <c r="L1834" s="270" t="str">
        <f>IF(D1834="","",INDEX(製品マスタ!$Q$5:$Q$5002,MATCH('S4'!F1834&amp;'S4'!K1834,製品マスタ!$AO$5:$AO$5002,0)))</f>
        <v>X44SEPA</v>
      </c>
      <c r="M1834" s="39">
        <v>1005</v>
      </c>
      <c r="N1834" s="39">
        <v>4000</v>
      </c>
      <c r="O1834" s="156">
        <v>2</v>
      </c>
      <c r="P1834" s="47">
        <v>3</v>
      </c>
      <c r="Q1834" s="213">
        <v>45392</v>
      </c>
      <c r="R1834" s="271">
        <f ca="1">IF(D1834="","",IF(OFFSET(D1834,-1,0)&lt;&gt;"","",IF(OR(J1834="リード付け",J1834="巻足し",J1834="巻返しリード付け"),M1834,VLOOKUP(D1834,契約台帳!$A$3:$N$4986,14,FALSE))))</f>
        <v>1005</v>
      </c>
      <c r="S1834" s="272">
        <f ca="1">IF(D1834="","",IF(OFFSET(D1834,-1,0)&lt;&gt;"","",IF(OR(J1834="リード付け",J1834="巻足し",J1834="巻返しリード付け"),M1834,VLOOKUP(D1834,契約台帳!$A$3:$O$4986,15,FALSE))))</f>
        <v>1005</v>
      </c>
      <c r="T1834" s="273">
        <f ca="1">IF(D1834="","",IF(J1834="リード付け",N1834,IF(J1834="巻返しリード付け",N1834,IF(J1834="巻足し",N1834*P1834+OFFSET(N1834,1,0)*OFFSET(P1834,1,0),VLOOKUP(D1834,契約台帳!$A$3:$P$4986,16,FALSE)))))</f>
        <v>12000</v>
      </c>
      <c r="U1834" s="40">
        <v>1</v>
      </c>
      <c r="V1834" s="274" t="str">
        <f ca="1">IF(D1834="","",IF(OFFSET(D1834,-2,0)=D1834,"",VLOOKUP(D1834,契約台帳!$A$3:$R$4986,18,FALSE)))</f>
        <v/>
      </c>
      <c r="W1834" s="269" t="str">
        <f ca="1">IF(D1834="","",IF(T1834="","",IF(OR(J1834="巻足し",J1834="巻返しリード付け"),"",IF(J1834="巻返し",VLOOKUP(F1834&amp;K1834&amp;M1834,製品マスタ!$M$5:$AD$5002,18,FALSE),IF(OR(J1834="リード付け",J1834="巻返しリード付け"),"原反コア",IF(J1834="スリット",VLOOKUP(F1834&amp;K1834&amp;R1834,製品マスタ!$N$5:$AD$5002,17,FALSE),""))))))</f>
        <v/>
      </c>
      <c r="X1834" s="269" t="str">
        <f ca="1">IF(D1834="","",IF(T1834="","",IF(J1834="巻足し","",IF(J1834="巻返し",VLOOKUP(F1834&amp;K1834&amp;M1834,製品マスタ!$M$5:$AE$5002,19,FALSE),IF(OR(J1834="リード付け",J1834="巻返しリード付け"),"",IF(J1834="スリット",VLOOKUP(F1834&amp;K1834&amp;R1834,製品マスタ!$N$5:$AE$5002,18,FALSE),""))))))</f>
        <v/>
      </c>
      <c r="Y1834" s="275">
        <f ca="1">IF(D1834="","",IF(T1834="","",VLOOKUP(D1834,契約台帳!$A$3:$Q$4986,17,FALSE)))</f>
        <v>2</v>
      </c>
      <c r="Z1834" s="269" t="str">
        <f ca="1">IF(D1834="","",IF(T1834="","",VLOOKUP(D1834,契約台帳!$A$3:$E$4986,5,FALSE)))</f>
        <v>リンテック㈱</v>
      </c>
      <c r="AA1834" s="57"/>
      <c r="AB1834" s="207">
        <f>IFERROR((VLOOKUP(F1834&amp;K1834&amp;M1834,製品マスタ!$M$5:$AM$5002,27,FALSE)),"")</f>
        <v>0</v>
      </c>
      <c r="AC1834" s="33"/>
      <c r="AD1834" s="189"/>
      <c r="AE1834" s="54"/>
      <c r="AF1834" s="55">
        <f>+M1834*N1834*O1834/1000</f>
        <v>8040</v>
      </c>
      <c r="AG1834" s="43"/>
      <c r="AH1834" s="47"/>
      <c r="AI1834" s="30"/>
      <c r="AJ1834" s="30"/>
      <c r="AK1834" s="30"/>
      <c r="AL1834" s="30"/>
      <c r="AM1834" s="13"/>
      <c r="AN1834" s="13"/>
      <c r="AO1834" s="13"/>
      <c r="AP1834" s="13"/>
      <c r="AQ1834" s="13"/>
      <c r="AR1834" s="14"/>
      <c r="AS1834" s="15"/>
    </row>
    <row r="1835" spans="1:45" s="17" customFormat="1" ht="30" hidden="1" customHeight="1" x14ac:dyDescent="0.2">
      <c r="A1835" s="37"/>
      <c r="B1835" s="38"/>
      <c r="C1835" s="45"/>
      <c r="D1835" s="31">
        <v>3750075</v>
      </c>
      <c r="E1835" s="31"/>
      <c r="F1835" s="268" t="str">
        <f>IF(D1835="","",VLOOKUP(D1835,契約台帳!$A$3:$K$4986,6,FALSE)&amp;VLOOKUP(D1835,契約台帳!$A$3:$K$4986,7,FALSE)&amp;VLOOKUP(D1835,契約台帳!$A$3:$K$4986,8,FALSE)&amp;VLOOKUP(D1835,契約台帳!$A$3:$K$4986,9,FALSE)&amp;VLOOKUP(D1835,契約台帳!$A$3:$K$4986,11,FALSE))</f>
        <v>33SSYMCLBTEKV0V</v>
      </c>
      <c r="G1835" s="269" t="str">
        <f>IF(D1835="","",VLOOKUP(F1835,製品マスタ!$G$5:$H$5002,2,FALSE))</f>
        <v>S</v>
      </c>
      <c r="H1835" s="269" t="str">
        <f>IF(D1835="","",VLOOKUP(F1835,製品マスタ!$G$5:$K$5002,5,FALSE))</f>
        <v>TEKV0V</v>
      </c>
      <c r="I1835" s="270" t="str">
        <f>IF(D1835="","",VLOOKUP(F1835,製品マスタ!$G$5:$L$5002,6,FALSE))</f>
        <v>メタルミー　ＴＥ－Ｓ消　ＶＯＩＤ　Ｖ</v>
      </c>
      <c r="J1835" s="210" t="s">
        <v>935</v>
      </c>
      <c r="K1835" s="270">
        <f>IF(D1835="","",VLOOKUP(D1835,契約台帳!$A$3:$L$4986,12,FALSE))</f>
        <v>50</v>
      </c>
      <c r="L1835" s="270" t="str">
        <f>IF(D1835="","",INDEX(製品マスタ!$Q$5:$Q$5002,MATCH('S4'!F1835&amp;'S4'!K1835,製品マスタ!$AO$5:$AO$5002,0)))</f>
        <v>X44SEPA</v>
      </c>
      <c r="M1835" s="39">
        <v>1005</v>
      </c>
      <c r="N1835" s="39">
        <v>4000</v>
      </c>
      <c r="O1835" s="156">
        <v>1</v>
      </c>
      <c r="P1835" s="47"/>
      <c r="Q1835" s="213">
        <v>45392</v>
      </c>
      <c r="R1835" s="271" t="str">
        <f ca="1">IF(D1835="","",IF(OFFSET(D1835,-1,0)&lt;&gt;"","",IF(OR(J1835="リード付け",J1835="巻足し",J1835="巻返しリード付け"),M1835,VLOOKUP(D1835,契約台帳!$A$3:$N$4986,14,FALSE))))</f>
        <v/>
      </c>
      <c r="S1835" s="272" t="str">
        <f ca="1">IF(D1835="","",IF(OFFSET(D1835,-1,0)&lt;&gt;"","",IF(OR(J1835="リード付け",J1835="巻足し",J1835="巻返しリード付け"),M1835,VLOOKUP(D1835,契約台帳!$A$3:$O$4986,15,FALSE))))</f>
        <v/>
      </c>
      <c r="T1835" s="273">
        <f ca="1">IF(D1835="","",IF(J1835="リード付け",N1835,IF(J1835="巻返しリード付け",N1835,IF(J1835="巻足し",N1835*P1835+OFFSET(N1835,1,0)*OFFSET(P1835,1,0),VLOOKUP(D1835,契約台帳!$A$3:$P$4986,16,FALSE)))))</f>
        <v>0</v>
      </c>
      <c r="U1835" s="40"/>
      <c r="V1835" s="274">
        <f ca="1">IF(D1835="","",IF(OFFSET(D1835,-2,0)=D1835,"",VLOOKUP(D1835,契約台帳!$A$3:$R$4986,18,FALSE)))</f>
        <v>1</v>
      </c>
      <c r="W1835" s="269" t="str">
        <f ca="1">IF(D1835="","",IF(T1835="","",IF(OR(J1835="巻足し",J1835="巻返しリード付け"),"",IF(J1835="巻返し",VLOOKUP(F1835&amp;K1835&amp;M1835,製品マスタ!$M$5:$AD$5002,18,FALSE),IF(OR(J1835="リード付け",J1835="巻返しリード付け"),"原反コア",IF(J1835="スリット",VLOOKUP(F1835&amp;K1835&amp;R1835,製品マスタ!$N$5:$AD$5002,17,FALSE),""))))))</f>
        <v/>
      </c>
      <c r="X1835" s="269" t="str">
        <f ca="1">IF(D1835="","",IF(T1835="","",IF(J1835="巻足し","",IF(J1835="巻返し",VLOOKUP(F1835&amp;K1835&amp;M1835,製品マスタ!$M$5:$AE$5002,19,FALSE),IF(OR(J1835="リード付け",J1835="巻返しリード付け"),"",IF(J1835="スリット",VLOOKUP(F1835&amp;K1835&amp;R1835,製品マスタ!$N$5:$AE$5002,18,FALSE),""))))))</f>
        <v/>
      </c>
      <c r="Y1835" s="275">
        <f ca="1">IF(D1835="","",IF(T1835="","",VLOOKUP(D1835,契約台帳!$A$3:$Q$4986,17,FALSE)))</f>
        <v>2</v>
      </c>
      <c r="Z1835" s="269" t="str">
        <f ca="1">IF(D1835="","",IF(T1835="","",VLOOKUP(D1835,契約台帳!$A$3:$E$4986,5,FALSE)))</f>
        <v>リンテック㈱</v>
      </c>
      <c r="AA1835" s="57"/>
      <c r="AB1835" s="207">
        <f>IFERROR((VLOOKUP(F1835&amp;K1835&amp;M1835,製品マスタ!$M$5:$AM$5002,27,FALSE)),"")</f>
        <v>0</v>
      </c>
      <c r="AC1835" s="33"/>
      <c r="AD1835" s="189"/>
      <c r="AE1835" s="54"/>
      <c r="AF1835" s="55">
        <f>+M1835*N1835*O1835/1000</f>
        <v>4020</v>
      </c>
      <c r="AG1835" s="43"/>
      <c r="AH1835" s="47"/>
      <c r="AI1835" s="30"/>
      <c r="AJ1835" s="30"/>
      <c r="AK1835" s="30"/>
      <c r="AL1835" s="30"/>
      <c r="AM1835" s="13"/>
      <c r="AN1835" s="13"/>
      <c r="AO1835" s="13"/>
      <c r="AP1835" s="13"/>
      <c r="AQ1835" s="13"/>
      <c r="AR1835" s="14"/>
      <c r="AS1835" s="15"/>
    </row>
    <row r="1836" spans="1:45" s="17" customFormat="1" ht="30.95" hidden="1" customHeight="1" x14ac:dyDescent="0.2">
      <c r="A1836" s="37"/>
      <c r="B1836" s="38"/>
      <c r="C1836" s="45"/>
      <c r="D1836" s="31"/>
      <c r="E1836" s="31"/>
      <c r="F1836" s="268"/>
      <c r="G1836" s="269"/>
      <c r="H1836" s="269"/>
      <c r="I1836" s="270"/>
      <c r="J1836" s="210"/>
      <c r="K1836" s="270"/>
      <c r="L1836" s="270"/>
      <c r="M1836" s="39"/>
      <c r="N1836" s="39"/>
      <c r="O1836" s="156"/>
      <c r="P1836" s="47"/>
      <c r="Q1836" s="57"/>
      <c r="R1836" s="338"/>
      <c r="S1836" s="272"/>
      <c r="T1836" s="273"/>
      <c r="U1836" s="40"/>
      <c r="V1836" s="277"/>
      <c r="W1836" s="269"/>
      <c r="X1836" s="269"/>
      <c r="Y1836" s="275"/>
      <c r="Z1836" s="269"/>
      <c r="AA1836" s="57"/>
      <c r="AB1836" s="207"/>
      <c r="AC1836" s="33"/>
      <c r="AD1836" s="189"/>
      <c r="AE1836" s="54"/>
      <c r="AF1836" s="55"/>
      <c r="AG1836" s="43"/>
      <c r="AH1836" s="47"/>
      <c r="AI1836" s="30"/>
      <c r="AJ1836" s="30"/>
      <c r="AK1836" s="30"/>
      <c r="AL1836" s="30"/>
      <c r="AM1836" s="13"/>
      <c r="AN1836" s="13"/>
      <c r="AO1836" s="13"/>
      <c r="AP1836" s="13"/>
      <c r="AQ1836" s="13"/>
      <c r="AR1836" s="14"/>
      <c r="AS1836" s="15"/>
    </row>
    <row r="1837" spans="1:45" s="17" customFormat="1" ht="30.95" hidden="1" customHeight="1" x14ac:dyDescent="0.2">
      <c r="A1837" s="37" t="s">
        <v>2384</v>
      </c>
      <c r="B1837" s="38" t="s">
        <v>2377</v>
      </c>
      <c r="C1837" s="45"/>
      <c r="D1837" s="31"/>
      <c r="E1837" s="31"/>
      <c r="F1837" s="268"/>
      <c r="G1837" s="269"/>
      <c r="H1837" s="269"/>
      <c r="I1837" s="270"/>
      <c r="J1837" s="210" t="s">
        <v>448</v>
      </c>
      <c r="K1837" s="270"/>
      <c r="L1837" s="270"/>
      <c r="M1837" s="39"/>
      <c r="N1837" s="39"/>
      <c r="O1837" s="156"/>
      <c r="P1837" s="47"/>
      <c r="Q1837" s="57"/>
      <c r="R1837" s="338"/>
      <c r="S1837" s="272"/>
      <c r="T1837" s="273"/>
      <c r="U1837" s="40"/>
      <c r="V1837" s="277"/>
      <c r="W1837" s="269"/>
      <c r="X1837" s="269"/>
      <c r="Y1837" s="275"/>
      <c r="Z1837" s="269"/>
      <c r="AA1837" s="57"/>
      <c r="AB1837" s="207"/>
      <c r="AC1837" s="33"/>
      <c r="AD1837" s="189"/>
      <c r="AE1837" s="54"/>
      <c r="AF1837" s="55"/>
      <c r="AG1837" s="43"/>
      <c r="AH1837" s="47"/>
      <c r="AI1837" s="30"/>
      <c r="AJ1837" s="30"/>
      <c r="AK1837" s="30"/>
      <c r="AL1837" s="30"/>
      <c r="AM1837" s="13"/>
      <c r="AN1837" s="13"/>
      <c r="AO1837" s="13"/>
      <c r="AP1837" s="13"/>
      <c r="AQ1837" s="13"/>
      <c r="AR1837" s="14"/>
      <c r="AS1837" s="15"/>
    </row>
    <row r="1838" spans="1:45" s="17" customFormat="1" ht="30.95" hidden="1" customHeight="1" x14ac:dyDescent="0.2">
      <c r="A1838" s="37"/>
      <c r="B1838" s="38"/>
      <c r="C1838" s="45"/>
      <c r="D1838" s="31"/>
      <c r="E1838" s="31"/>
      <c r="F1838" s="268"/>
      <c r="G1838" s="269"/>
      <c r="H1838" s="269"/>
      <c r="I1838" s="270"/>
      <c r="J1838" s="210"/>
      <c r="K1838" s="270"/>
      <c r="L1838" s="270"/>
      <c r="M1838" s="39"/>
      <c r="N1838" s="39"/>
      <c r="O1838" s="156"/>
      <c r="P1838" s="47"/>
      <c r="Q1838" s="57"/>
      <c r="R1838" s="338"/>
      <c r="S1838" s="272"/>
      <c r="T1838" s="273"/>
      <c r="U1838" s="40"/>
      <c r="V1838" s="277"/>
      <c r="W1838" s="269"/>
      <c r="X1838" s="269"/>
      <c r="Y1838" s="275"/>
      <c r="Z1838" s="269"/>
      <c r="AA1838" s="57"/>
      <c r="AB1838" s="207"/>
      <c r="AC1838" s="33"/>
      <c r="AD1838" s="189"/>
      <c r="AE1838" s="54"/>
      <c r="AF1838" s="55"/>
      <c r="AG1838" s="43"/>
      <c r="AH1838" s="47"/>
      <c r="AI1838" s="30"/>
      <c r="AJ1838" s="30"/>
      <c r="AK1838" s="30"/>
      <c r="AL1838" s="30"/>
      <c r="AM1838" s="13"/>
      <c r="AN1838" s="13"/>
      <c r="AO1838" s="13"/>
      <c r="AP1838" s="13"/>
      <c r="AQ1838" s="13"/>
      <c r="AR1838" s="14"/>
      <c r="AS1838" s="15"/>
    </row>
    <row r="1839" spans="1:45" s="17" customFormat="1" ht="30.95" hidden="1" customHeight="1" x14ac:dyDescent="0.2">
      <c r="A1839" s="37" t="s">
        <v>2385</v>
      </c>
      <c r="B1839" s="38" t="s">
        <v>2379</v>
      </c>
      <c r="C1839" s="45"/>
      <c r="D1839" s="31"/>
      <c r="E1839" s="31"/>
      <c r="F1839" s="268"/>
      <c r="G1839" s="269"/>
      <c r="H1839" s="269"/>
      <c r="I1839" s="270"/>
      <c r="J1839" s="210" t="s">
        <v>448</v>
      </c>
      <c r="K1839" s="270"/>
      <c r="L1839" s="270"/>
      <c r="M1839" s="39"/>
      <c r="N1839" s="39"/>
      <c r="O1839" s="156"/>
      <c r="P1839" s="47"/>
      <c r="Q1839" s="57"/>
      <c r="R1839" s="338"/>
      <c r="S1839" s="272"/>
      <c r="T1839" s="273"/>
      <c r="U1839" s="40"/>
      <c r="V1839" s="277"/>
      <c r="W1839" s="269"/>
      <c r="X1839" s="269"/>
      <c r="Y1839" s="275"/>
      <c r="Z1839" s="269"/>
      <c r="AA1839" s="57"/>
      <c r="AB1839" s="207"/>
      <c r="AC1839" s="33"/>
      <c r="AD1839" s="189"/>
      <c r="AE1839" s="54"/>
      <c r="AF1839" s="55"/>
      <c r="AG1839" s="43"/>
      <c r="AH1839" s="47"/>
      <c r="AI1839" s="30"/>
      <c r="AJ1839" s="30"/>
      <c r="AK1839" s="30"/>
      <c r="AL1839" s="30"/>
      <c r="AM1839" s="13"/>
      <c r="AN1839" s="13"/>
      <c r="AO1839" s="13"/>
      <c r="AP1839" s="13"/>
      <c r="AQ1839" s="13"/>
      <c r="AR1839" s="14"/>
      <c r="AS1839" s="15"/>
    </row>
    <row r="1840" spans="1:45" s="17" customFormat="1" ht="30.95" hidden="1" customHeight="1" x14ac:dyDescent="0.2">
      <c r="A1840" s="37"/>
      <c r="B1840" s="38"/>
      <c r="C1840" s="45"/>
      <c r="D1840" s="31"/>
      <c r="E1840" s="31"/>
      <c r="F1840" s="268"/>
      <c r="G1840" s="269"/>
      <c r="H1840" s="269"/>
      <c r="I1840" s="270"/>
      <c r="J1840" s="210"/>
      <c r="K1840" s="270"/>
      <c r="L1840" s="270"/>
      <c r="M1840" s="39"/>
      <c r="N1840" s="39"/>
      <c r="O1840" s="156"/>
      <c r="P1840" s="47"/>
      <c r="Q1840" s="57"/>
      <c r="R1840" s="338"/>
      <c r="S1840" s="272"/>
      <c r="T1840" s="273"/>
      <c r="U1840" s="40"/>
      <c r="V1840" s="277"/>
      <c r="W1840" s="269"/>
      <c r="X1840" s="269"/>
      <c r="Y1840" s="275"/>
      <c r="Z1840" s="269"/>
      <c r="AA1840" s="57"/>
      <c r="AB1840" s="207"/>
      <c r="AC1840" s="33"/>
      <c r="AD1840" s="189"/>
      <c r="AE1840" s="54"/>
      <c r="AF1840" s="55"/>
      <c r="AG1840" s="43"/>
      <c r="AH1840" s="47"/>
      <c r="AI1840" s="30"/>
      <c r="AJ1840" s="30"/>
      <c r="AK1840" s="30"/>
      <c r="AL1840" s="30"/>
      <c r="AM1840" s="13"/>
      <c r="AN1840" s="13"/>
      <c r="AO1840" s="13"/>
      <c r="AP1840" s="13"/>
      <c r="AQ1840" s="13"/>
      <c r="AR1840" s="14"/>
      <c r="AS1840" s="15"/>
    </row>
    <row r="1841" spans="1:45" s="17" customFormat="1" ht="30.95" hidden="1" customHeight="1" x14ac:dyDescent="0.2">
      <c r="A1841" s="37" t="s">
        <v>2721</v>
      </c>
      <c r="B1841" s="38" t="s">
        <v>2722</v>
      </c>
      <c r="C1841" s="45"/>
      <c r="D1841" s="31"/>
      <c r="E1841" s="31"/>
      <c r="F1841" s="268"/>
      <c r="G1841" s="269"/>
      <c r="H1841" s="269"/>
      <c r="I1841" s="270"/>
      <c r="J1841" s="210"/>
      <c r="K1841" s="270"/>
      <c r="L1841" s="270"/>
      <c r="M1841" s="39"/>
      <c r="N1841" s="39"/>
      <c r="O1841" s="156"/>
      <c r="P1841" s="47"/>
      <c r="Q1841" s="57"/>
      <c r="R1841" s="338"/>
      <c r="S1841" s="272"/>
      <c r="T1841" s="273"/>
      <c r="U1841" s="40"/>
      <c r="V1841" s="277"/>
      <c r="W1841" s="269"/>
      <c r="X1841" s="269"/>
      <c r="Y1841" s="275"/>
      <c r="Z1841" s="269"/>
      <c r="AA1841" s="57"/>
      <c r="AB1841" s="207"/>
      <c r="AC1841" s="33"/>
      <c r="AD1841" s="189"/>
      <c r="AE1841" s="54"/>
      <c r="AF1841" s="55"/>
      <c r="AG1841" s="43"/>
      <c r="AH1841" s="47"/>
      <c r="AI1841" s="30"/>
      <c r="AJ1841" s="30"/>
      <c r="AK1841" s="30"/>
      <c r="AL1841" s="30"/>
      <c r="AM1841" s="13"/>
      <c r="AN1841" s="13"/>
      <c r="AO1841" s="13"/>
      <c r="AP1841" s="13"/>
      <c r="AQ1841" s="13"/>
      <c r="AR1841" s="14"/>
      <c r="AS1841" s="15"/>
    </row>
    <row r="1842" spans="1:45" s="17" customFormat="1" ht="30.95" hidden="1" customHeight="1" x14ac:dyDescent="0.2">
      <c r="A1842" s="37"/>
      <c r="B1842" s="38"/>
      <c r="C1842" s="45"/>
      <c r="D1842" s="31"/>
      <c r="E1842" s="31"/>
      <c r="F1842" s="268"/>
      <c r="G1842" s="269"/>
      <c r="H1842" s="269"/>
      <c r="I1842" s="270"/>
      <c r="J1842" s="210"/>
      <c r="K1842" s="270"/>
      <c r="L1842" s="270"/>
      <c r="M1842" s="39"/>
      <c r="N1842" s="39"/>
      <c r="O1842" s="156"/>
      <c r="P1842" s="47"/>
      <c r="Q1842" s="57"/>
      <c r="R1842" s="338"/>
      <c r="S1842" s="272"/>
      <c r="T1842" s="273"/>
      <c r="U1842" s="40"/>
      <c r="V1842" s="277"/>
      <c r="W1842" s="269"/>
      <c r="X1842" s="269"/>
      <c r="Y1842" s="275"/>
      <c r="Z1842" s="269"/>
      <c r="AA1842" s="57"/>
      <c r="AB1842" s="207"/>
      <c r="AC1842" s="33"/>
      <c r="AD1842" s="189"/>
      <c r="AE1842" s="54"/>
      <c r="AF1842" s="55"/>
      <c r="AG1842" s="43"/>
      <c r="AH1842" s="47"/>
      <c r="AI1842" s="30"/>
      <c r="AJ1842" s="30"/>
      <c r="AK1842" s="30"/>
      <c r="AL1842" s="30"/>
      <c r="AM1842" s="13"/>
      <c r="AN1842" s="13"/>
      <c r="AO1842" s="13"/>
      <c r="AP1842" s="13"/>
      <c r="AQ1842" s="13"/>
      <c r="AR1842" s="14"/>
      <c r="AS1842" s="15"/>
    </row>
    <row r="1843" spans="1:45" s="17" customFormat="1" ht="30.95" hidden="1" customHeight="1" x14ac:dyDescent="0.2">
      <c r="A1843" s="37" t="s">
        <v>2723</v>
      </c>
      <c r="B1843" s="38" t="s">
        <v>1405</v>
      </c>
      <c r="C1843" s="45"/>
      <c r="D1843" s="31"/>
      <c r="E1843" s="31"/>
      <c r="F1843" s="268"/>
      <c r="G1843" s="269"/>
      <c r="H1843" s="269"/>
      <c r="I1843" s="270"/>
      <c r="J1843" s="210"/>
      <c r="K1843" s="270"/>
      <c r="L1843" s="270"/>
      <c r="M1843" s="39"/>
      <c r="N1843" s="39"/>
      <c r="O1843" s="156"/>
      <c r="P1843" s="47"/>
      <c r="Q1843" s="57"/>
      <c r="R1843" s="338"/>
      <c r="S1843" s="272"/>
      <c r="T1843" s="273"/>
      <c r="U1843" s="40"/>
      <c r="V1843" s="277"/>
      <c r="W1843" s="269"/>
      <c r="X1843" s="269"/>
      <c r="Y1843" s="275"/>
      <c r="Z1843" s="269"/>
      <c r="AA1843" s="57"/>
      <c r="AB1843" s="207"/>
      <c r="AC1843" s="33"/>
      <c r="AD1843" s="189"/>
      <c r="AE1843" s="54"/>
      <c r="AF1843" s="55"/>
      <c r="AG1843" s="43"/>
      <c r="AH1843" s="47"/>
      <c r="AI1843" s="30"/>
      <c r="AJ1843" s="30"/>
      <c r="AK1843" s="30"/>
      <c r="AL1843" s="30"/>
      <c r="AM1843" s="13"/>
      <c r="AN1843" s="13"/>
      <c r="AO1843" s="13"/>
      <c r="AP1843" s="13"/>
      <c r="AQ1843" s="13"/>
      <c r="AR1843" s="14"/>
      <c r="AS1843" s="15"/>
    </row>
    <row r="1844" spans="1:45" s="17" customFormat="1" ht="30.95" hidden="1" customHeight="1" x14ac:dyDescent="0.2">
      <c r="A1844" s="37"/>
      <c r="B1844" s="38"/>
      <c r="C1844" s="45"/>
      <c r="D1844" s="31"/>
      <c r="E1844" s="31"/>
      <c r="F1844" s="268"/>
      <c r="G1844" s="269"/>
      <c r="H1844" s="269"/>
      <c r="I1844" s="270"/>
      <c r="J1844" s="210"/>
      <c r="K1844" s="270"/>
      <c r="L1844" s="270"/>
      <c r="M1844" s="39"/>
      <c r="N1844" s="39"/>
      <c r="O1844" s="156"/>
      <c r="P1844" s="47"/>
      <c r="Q1844" s="57"/>
      <c r="R1844" s="338"/>
      <c r="S1844" s="272"/>
      <c r="T1844" s="273"/>
      <c r="U1844" s="40"/>
      <c r="V1844" s="277"/>
      <c r="W1844" s="269"/>
      <c r="X1844" s="269"/>
      <c r="Y1844" s="275"/>
      <c r="Z1844" s="269"/>
      <c r="AA1844" s="57"/>
      <c r="AB1844" s="207"/>
      <c r="AC1844" s="33"/>
      <c r="AD1844" s="189"/>
      <c r="AE1844" s="54"/>
      <c r="AF1844" s="55"/>
      <c r="AG1844" s="43"/>
      <c r="AH1844" s="47"/>
      <c r="AI1844" s="30"/>
      <c r="AJ1844" s="30"/>
      <c r="AK1844" s="30"/>
      <c r="AL1844" s="30"/>
      <c r="AM1844" s="13"/>
      <c r="AN1844" s="13"/>
      <c r="AO1844" s="13"/>
      <c r="AP1844" s="13"/>
      <c r="AQ1844" s="13"/>
      <c r="AR1844" s="14"/>
      <c r="AS1844" s="15"/>
    </row>
    <row r="1845" spans="1:45" s="17" customFormat="1" ht="30.95" hidden="1" customHeight="1" x14ac:dyDescent="0.2">
      <c r="A1845" s="37" t="s">
        <v>2724</v>
      </c>
      <c r="B1845" s="38" t="s">
        <v>1412</v>
      </c>
      <c r="C1845" s="45"/>
      <c r="D1845" s="31"/>
      <c r="E1845" s="31"/>
      <c r="F1845" s="268"/>
      <c r="G1845" s="269"/>
      <c r="H1845" s="269"/>
      <c r="I1845" s="270"/>
      <c r="J1845" s="210"/>
      <c r="K1845" s="270"/>
      <c r="L1845" s="270"/>
      <c r="M1845" s="39"/>
      <c r="N1845" s="39"/>
      <c r="O1845" s="156"/>
      <c r="P1845" s="47"/>
      <c r="Q1845" s="57"/>
      <c r="R1845" s="338"/>
      <c r="S1845" s="272"/>
      <c r="T1845" s="273"/>
      <c r="U1845" s="40"/>
      <c r="V1845" s="277"/>
      <c r="W1845" s="269"/>
      <c r="X1845" s="269"/>
      <c r="Y1845" s="275"/>
      <c r="Z1845" s="269"/>
      <c r="AA1845" s="57"/>
      <c r="AB1845" s="207"/>
      <c r="AC1845" s="33"/>
      <c r="AD1845" s="189"/>
      <c r="AE1845" s="54"/>
      <c r="AF1845" s="55"/>
      <c r="AG1845" s="43"/>
      <c r="AH1845" s="47"/>
      <c r="AI1845" s="30"/>
      <c r="AJ1845" s="30"/>
      <c r="AK1845" s="30"/>
      <c r="AL1845" s="30"/>
      <c r="AM1845" s="13"/>
      <c r="AN1845" s="13"/>
      <c r="AO1845" s="13"/>
      <c r="AP1845" s="13"/>
      <c r="AQ1845" s="13"/>
      <c r="AR1845" s="14"/>
      <c r="AS1845" s="15"/>
    </row>
    <row r="1846" spans="1:45" s="17" customFormat="1" ht="30.95" hidden="1" customHeight="1" x14ac:dyDescent="0.2">
      <c r="A1846" s="37"/>
      <c r="B1846" s="38"/>
      <c r="C1846" s="45"/>
      <c r="D1846" s="31"/>
      <c r="E1846" s="31"/>
      <c r="F1846" s="268"/>
      <c r="G1846" s="269"/>
      <c r="H1846" s="269"/>
      <c r="I1846" s="270"/>
      <c r="J1846" s="210"/>
      <c r="K1846" s="270"/>
      <c r="L1846" s="270"/>
      <c r="M1846" s="39"/>
      <c r="N1846" s="39"/>
      <c r="O1846" s="156"/>
      <c r="P1846" s="47"/>
      <c r="Q1846" s="57"/>
      <c r="R1846" s="338"/>
      <c r="S1846" s="272"/>
      <c r="T1846" s="273"/>
      <c r="U1846" s="40"/>
      <c r="V1846" s="277"/>
      <c r="W1846" s="269"/>
      <c r="X1846" s="269"/>
      <c r="Y1846" s="275"/>
      <c r="Z1846" s="269"/>
      <c r="AA1846" s="57"/>
      <c r="AB1846" s="207"/>
      <c r="AC1846" s="33"/>
      <c r="AD1846" s="189"/>
      <c r="AE1846" s="54"/>
      <c r="AF1846" s="55"/>
      <c r="AG1846" s="43"/>
      <c r="AH1846" s="47"/>
      <c r="AI1846" s="30"/>
      <c r="AJ1846" s="30"/>
      <c r="AK1846" s="30"/>
      <c r="AL1846" s="30"/>
      <c r="AM1846" s="13"/>
      <c r="AN1846" s="13"/>
      <c r="AO1846" s="13"/>
      <c r="AP1846" s="13"/>
      <c r="AQ1846" s="13"/>
      <c r="AR1846" s="14"/>
      <c r="AS1846" s="15"/>
    </row>
    <row r="1847" spans="1:45" s="17" customFormat="1" ht="30.95" hidden="1" customHeight="1" x14ac:dyDescent="0.2">
      <c r="A1847" s="37" t="s">
        <v>2262</v>
      </c>
      <c r="B1847" s="38" t="s">
        <v>2263</v>
      </c>
      <c r="C1847" s="45"/>
      <c r="D1847" s="31"/>
      <c r="E1847" s="31"/>
      <c r="F1847" s="268"/>
      <c r="G1847" s="269"/>
      <c r="H1847" s="269"/>
      <c r="I1847" s="301" t="s">
        <v>2736</v>
      </c>
      <c r="J1847" s="210"/>
      <c r="K1847" s="270"/>
      <c r="L1847" s="270"/>
      <c r="M1847" s="39"/>
      <c r="N1847" s="39"/>
      <c r="O1847" s="156"/>
      <c r="P1847" s="47"/>
      <c r="Q1847" s="57"/>
      <c r="R1847" s="338"/>
      <c r="S1847" s="272"/>
      <c r="T1847" s="273"/>
      <c r="U1847" s="40"/>
      <c r="V1847" s="277"/>
      <c r="W1847" s="269"/>
      <c r="X1847" s="269"/>
      <c r="Y1847" s="275"/>
      <c r="Z1847" s="269"/>
      <c r="AA1847" s="57"/>
      <c r="AB1847" s="207"/>
      <c r="AC1847" s="33"/>
      <c r="AD1847" s="189"/>
      <c r="AE1847" s="54"/>
      <c r="AF1847" s="55"/>
      <c r="AG1847" s="43"/>
      <c r="AH1847" s="47"/>
      <c r="AI1847" s="30"/>
      <c r="AJ1847" s="30"/>
      <c r="AK1847" s="30"/>
      <c r="AL1847" s="30"/>
      <c r="AM1847" s="13"/>
      <c r="AN1847" s="13"/>
      <c r="AO1847" s="13"/>
      <c r="AP1847" s="13"/>
      <c r="AQ1847" s="13"/>
      <c r="AR1847" s="14"/>
      <c r="AS1847" s="15"/>
    </row>
    <row r="1848" spans="1:45" s="17" customFormat="1" ht="30.95" hidden="1" customHeight="1" x14ac:dyDescent="0.2">
      <c r="A1848" s="37"/>
      <c r="B1848" s="38"/>
      <c r="C1848" s="45"/>
      <c r="D1848" s="31"/>
      <c r="E1848" s="31"/>
      <c r="F1848" s="268"/>
      <c r="G1848" s="269"/>
      <c r="H1848" s="269"/>
      <c r="I1848" s="270"/>
      <c r="J1848" s="210"/>
      <c r="K1848" s="270"/>
      <c r="L1848" s="270"/>
      <c r="M1848" s="39"/>
      <c r="N1848" s="39"/>
      <c r="O1848" s="156"/>
      <c r="P1848" s="47"/>
      <c r="Q1848" s="57"/>
      <c r="R1848" s="338"/>
      <c r="S1848" s="272"/>
      <c r="T1848" s="273"/>
      <c r="U1848" s="40"/>
      <c r="V1848" s="277"/>
      <c r="W1848" s="269"/>
      <c r="X1848" s="269"/>
      <c r="Y1848" s="275"/>
      <c r="Z1848" s="269"/>
      <c r="AA1848" s="57"/>
      <c r="AB1848" s="207"/>
      <c r="AC1848" s="33"/>
      <c r="AD1848" s="189"/>
      <c r="AE1848" s="54"/>
      <c r="AF1848" s="55"/>
      <c r="AG1848" s="43"/>
      <c r="AH1848" s="47"/>
      <c r="AI1848" s="30"/>
      <c r="AJ1848" s="30"/>
      <c r="AK1848" s="30"/>
      <c r="AL1848" s="30"/>
      <c r="AM1848" s="13"/>
      <c r="AN1848" s="13"/>
      <c r="AO1848" s="13"/>
      <c r="AP1848" s="13"/>
      <c r="AQ1848" s="13"/>
      <c r="AR1848" s="14"/>
      <c r="AS1848" s="15"/>
    </row>
    <row r="1849" spans="1:45" s="17" customFormat="1" ht="30.95" hidden="1" customHeight="1" x14ac:dyDescent="0.2">
      <c r="A1849" s="37" t="s">
        <v>2264</v>
      </c>
      <c r="B1849" s="38" t="s">
        <v>2265</v>
      </c>
      <c r="C1849" s="45"/>
      <c r="D1849" s="31"/>
      <c r="E1849" s="31"/>
      <c r="F1849" s="268"/>
      <c r="G1849" s="269"/>
      <c r="H1849" s="269"/>
      <c r="I1849" s="301" t="s">
        <v>2736</v>
      </c>
      <c r="J1849" s="210"/>
      <c r="K1849" s="270"/>
      <c r="L1849" s="270"/>
      <c r="M1849" s="39"/>
      <c r="N1849" s="39"/>
      <c r="O1849" s="156"/>
      <c r="P1849" s="47"/>
      <c r="Q1849" s="57"/>
      <c r="R1849" s="338"/>
      <c r="S1849" s="272"/>
      <c r="T1849" s="273"/>
      <c r="U1849" s="40"/>
      <c r="V1849" s="277"/>
      <c r="W1849" s="269"/>
      <c r="X1849" s="269"/>
      <c r="Y1849" s="275"/>
      <c r="Z1849" s="269"/>
      <c r="AA1849" s="57"/>
      <c r="AB1849" s="207"/>
      <c r="AC1849" s="33"/>
      <c r="AD1849" s="189"/>
      <c r="AE1849" s="54"/>
      <c r="AF1849" s="55"/>
      <c r="AG1849" s="43"/>
      <c r="AH1849" s="47"/>
      <c r="AI1849" s="30"/>
      <c r="AJ1849" s="30"/>
      <c r="AK1849" s="30"/>
      <c r="AL1849" s="30"/>
      <c r="AM1849" s="13"/>
      <c r="AN1849" s="13"/>
      <c r="AO1849" s="13"/>
      <c r="AP1849" s="13"/>
      <c r="AQ1849" s="13"/>
      <c r="AR1849" s="14"/>
      <c r="AS1849" s="15"/>
    </row>
    <row r="1850" spans="1:45" s="17" customFormat="1" ht="30.95" hidden="1" customHeight="1" x14ac:dyDescent="0.2">
      <c r="A1850" s="37"/>
      <c r="B1850" s="38"/>
      <c r="C1850" s="45"/>
      <c r="D1850" s="31"/>
      <c r="E1850" s="31"/>
      <c r="F1850" s="268"/>
      <c r="G1850" s="269"/>
      <c r="H1850" s="269"/>
      <c r="I1850" s="270"/>
      <c r="J1850" s="210"/>
      <c r="K1850" s="270"/>
      <c r="L1850" s="270"/>
      <c r="M1850" s="39"/>
      <c r="N1850" s="39"/>
      <c r="O1850" s="156"/>
      <c r="P1850" s="47"/>
      <c r="Q1850" s="57"/>
      <c r="R1850" s="338"/>
      <c r="S1850" s="272"/>
      <c r="T1850" s="273"/>
      <c r="U1850" s="40"/>
      <c r="V1850" s="277"/>
      <c r="W1850" s="269"/>
      <c r="X1850" s="269"/>
      <c r="Y1850" s="275"/>
      <c r="Z1850" s="269"/>
      <c r="AA1850" s="57"/>
      <c r="AB1850" s="207"/>
      <c r="AC1850" s="33"/>
      <c r="AD1850" s="189"/>
      <c r="AE1850" s="54"/>
      <c r="AF1850" s="55"/>
      <c r="AG1850" s="43"/>
      <c r="AH1850" s="47"/>
      <c r="AI1850" s="30"/>
      <c r="AJ1850" s="30"/>
      <c r="AK1850" s="30"/>
      <c r="AL1850" s="30"/>
      <c r="AM1850" s="13"/>
      <c r="AN1850" s="13"/>
      <c r="AO1850" s="13"/>
      <c r="AP1850" s="13"/>
      <c r="AQ1850" s="13"/>
      <c r="AR1850" s="14"/>
      <c r="AS1850" s="15"/>
    </row>
    <row r="1851" spans="1:45" s="17" customFormat="1" ht="30.95" hidden="1" customHeight="1" x14ac:dyDescent="0.2">
      <c r="A1851" s="37" t="s">
        <v>2725</v>
      </c>
      <c r="B1851" s="38" t="s">
        <v>2726</v>
      </c>
      <c r="C1851" s="45"/>
      <c r="D1851" s="31"/>
      <c r="E1851" s="31"/>
      <c r="F1851" s="268"/>
      <c r="G1851" s="269"/>
      <c r="H1851" s="269"/>
      <c r="I1851" s="270"/>
      <c r="J1851" s="210" t="s">
        <v>448</v>
      </c>
      <c r="K1851" s="270"/>
      <c r="L1851" s="270"/>
      <c r="M1851" s="39"/>
      <c r="N1851" s="39"/>
      <c r="O1851" s="156"/>
      <c r="P1851" s="47"/>
      <c r="Q1851" s="57"/>
      <c r="R1851" s="338"/>
      <c r="S1851" s="272"/>
      <c r="T1851" s="273"/>
      <c r="U1851" s="40"/>
      <c r="V1851" s="277"/>
      <c r="W1851" s="269"/>
      <c r="X1851" s="269"/>
      <c r="Y1851" s="275"/>
      <c r="Z1851" s="269"/>
      <c r="AA1851" s="57"/>
      <c r="AB1851" s="207"/>
      <c r="AC1851" s="33"/>
      <c r="AD1851" s="189"/>
      <c r="AE1851" s="54"/>
      <c r="AF1851" s="55"/>
      <c r="AG1851" s="43"/>
      <c r="AH1851" s="47"/>
      <c r="AI1851" s="30"/>
      <c r="AJ1851" s="30"/>
      <c r="AK1851" s="30"/>
      <c r="AL1851" s="30"/>
      <c r="AM1851" s="13"/>
      <c r="AN1851" s="13"/>
      <c r="AO1851" s="13"/>
      <c r="AP1851" s="13"/>
      <c r="AQ1851" s="13"/>
      <c r="AR1851" s="14"/>
      <c r="AS1851" s="15"/>
    </row>
    <row r="1852" spans="1:45" s="17" customFormat="1" ht="30.95" hidden="1" customHeight="1" x14ac:dyDescent="0.2">
      <c r="A1852" s="37"/>
      <c r="B1852" s="38"/>
      <c r="C1852" s="45"/>
      <c r="D1852" s="31"/>
      <c r="E1852" s="31"/>
      <c r="F1852" s="268"/>
      <c r="G1852" s="269"/>
      <c r="H1852" s="269"/>
      <c r="I1852" s="270"/>
      <c r="J1852" s="210"/>
      <c r="K1852" s="270"/>
      <c r="L1852" s="270"/>
      <c r="M1852" s="39"/>
      <c r="N1852" s="39"/>
      <c r="O1852" s="156"/>
      <c r="P1852" s="47"/>
      <c r="Q1852" s="57"/>
      <c r="R1852" s="338"/>
      <c r="S1852" s="272"/>
      <c r="T1852" s="273"/>
      <c r="U1852" s="40"/>
      <c r="V1852" s="277"/>
      <c r="W1852" s="269"/>
      <c r="X1852" s="269"/>
      <c r="Y1852" s="275"/>
      <c r="Z1852" s="269"/>
      <c r="AA1852" s="57"/>
      <c r="AB1852" s="207"/>
      <c r="AC1852" s="33"/>
      <c r="AD1852" s="189"/>
      <c r="AE1852" s="54"/>
      <c r="AF1852" s="55"/>
      <c r="AG1852" s="43"/>
      <c r="AH1852" s="47"/>
      <c r="AI1852" s="30"/>
      <c r="AJ1852" s="30"/>
      <c r="AK1852" s="30"/>
      <c r="AL1852" s="30"/>
      <c r="AM1852" s="13"/>
      <c r="AN1852" s="13"/>
      <c r="AO1852" s="13"/>
      <c r="AP1852" s="13"/>
      <c r="AQ1852" s="13"/>
      <c r="AR1852" s="14"/>
      <c r="AS1852" s="15"/>
    </row>
    <row r="1853" spans="1:45" s="17" customFormat="1" ht="30.95" hidden="1" customHeight="1" x14ac:dyDescent="0.2">
      <c r="A1853" s="37" t="s">
        <v>2727</v>
      </c>
      <c r="B1853" s="38" t="s">
        <v>2728</v>
      </c>
      <c r="C1853" s="45"/>
      <c r="D1853" s="31"/>
      <c r="E1853" s="31"/>
      <c r="F1853" s="268"/>
      <c r="G1853" s="269"/>
      <c r="H1853" s="269"/>
      <c r="I1853" s="270"/>
      <c r="J1853" s="210" t="s">
        <v>448</v>
      </c>
      <c r="K1853" s="270"/>
      <c r="L1853" s="270"/>
      <c r="M1853" s="39"/>
      <c r="N1853" s="39"/>
      <c r="O1853" s="156"/>
      <c r="P1853" s="47"/>
      <c r="Q1853" s="57"/>
      <c r="R1853" s="338"/>
      <c r="S1853" s="272"/>
      <c r="T1853" s="273"/>
      <c r="U1853" s="40"/>
      <c r="V1853" s="277"/>
      <c r="W1853" s="269"/>
      <c r="X1853" s="269"/>
      <c r="Y1853" s="275"/>
      <c r="Z1853" s="269"/>
      <c r="AA1853" s="57"/>
      <c r="AB1853" s="207"/>
      <c r="AC1853" s="33"/>
      <c r="AD1853" s="189"/>
      <c r="AE1853" s="54"/>
      <c r="AF1853" s="55"/>
      <c r="AG1853" s="43"/>
      <c r="AH1853" s="47"/>
      <c r="AI1853" s="30"/>
      <c r="AJ1853" s="30"/>
      <c r="AK1853" s="30"/>
      <c r="AL1853" s="30"/>
      <c r="AM1853" s="13"/>
      <c r="AN1853" s="13"/>
      <c r="AO1853" s="13"/>
      <c r="AP1853" s="13"/>
      <c r="AQ1853" s="13"/>
      <c r="AR1853" s="14"/>
      <c r="AS1853" s="15"/>
    </row>
    <row r="1854" spans="1:45" s="17" customFormat="1" ht="30.95" hidden="1" customHeight="1" x14ac:dyDescent="0.2">
      <c r="A1854" s="37"/>
      <c r="B1854" s="38"/>
      <c r="C1854" s="45"/>
      <c r="D1854" s="31"/>
      <c r="E1854" s="31"/>
      <c r="F1854" s="268"/>
      <c r="G1854" s="269"/>
      <c r="H1854" s="269"/>
      <c r="I1854" s="270"/>
      <c r="J1854" s="210"/>
      <c r="K1854" s="270"/>
      <c r="L1854" s="270"/>
      <c r="M1854" s="39"/>
      <c r="N1854" s="39"/>
      <c r="O1854" s="156"/>
      <c r="P1854" s="47"/>
      <c r="Q1854" s="57"/>
      <c r="R1854" s="338"/>
      <c r="S1854" s="272"/>
      <c r="T1854" s="273"/>
      <c r="U1854" s="40"/>
      <c r="V1854" s="277"/>
      <c r="W1854" s="269"/>
      <c r="X1854" s="269"/>
      <c r="Y1854" s="275"/>
      <c r="Z1854" s="269"/>
      <c r="AA1854" s="57"/>
      <c r="AB1854" s="207"/>
      <c r="AC1854" s="33"/>
      <c r="AD1854" s="189"/>
      <c r="AE1854" s="54"/>
      <c r="AF1854" s="55"/>
      <c r="AG1854" s="43"/>
      <c r="AH1854" s="47"/>
      <c r="AI1854" s="30"/>
      <c r="AJ1854" s="30"/>
      <c r="AK1854" s="30"/>
      <c r="AL1854" s="30"/>
      <c r="AM1854" s="13"/>
      <c r="AN1854" s="13"/>
      <c r="AO1854" s="13"/>
      <c r="AP1854" s="13"/>
      <c r="AQ1854" s="13"/>
      <c r="AR1854" s="14"/>
      <c r="AS1854" s="15"/>
    </row>
    <row r="1855" spans="1:45" s="17" customFormat="1" ht="30.95" hidden="1" customHeight="1" x14ac:dyDescent="0.2">
      <c r="A1855" s="37" t="s">
        <v>1063</v>
      </c>
      <c r="B1855" s="38" t="s">
        <v>462</v>
      </c>
      <c r="C1855" s="45"/>
      <c r="D1855" s="31">
        <v>3750064</v>
      </c>
      <c r="E1855" s="31">
        <v>4141115</v>
      </c>
      <c r="F1855" s="268" t="str">
        <f>IF(D1855="","",VLOOKUP(D1855,契約台帳!$A$3:$K$4986,6,FALSE)&amp;VLOOKUP(D1855,契約台帳!$A$3:$K$4986,7,FALSE)&amp;VLOOKUP(D1855,契約台帳!$A$3:$K$4986,8,FALSE)&amp;VLOOKUP(D1855,契約台帳!$A$3:$K$4986,9,FALSE)&amp;VLOOKUP(D1855,契約台帳!$A$3:$K$4986,11,FALSE))</f>
        <v>3HSNMCLBWCB</v>
      </c>
      <c r="G1855" s="269" t="str">
        <f>IF(D1855="","",VLOOKUP(F1855,製品マスタ!$G$5:$H$5002,2,FALSE))</f>
        <v>S</v>
      </c>
      <c r="H1855" s="269" t="str">
        <f>IF(D1855="","",VLOOKUP(F1855,製品マスタ!$G$5:$K$5002,5,FALSE))</f>
        <v>WCB</v>
      </c>
      <c r="I1855" s="270" t="str">
        <f>IF(D1855="","",VLOOKUP(F1855,製品マスタ!$G$5:$L$5002,6,FALSE))</f>
        <v>メタルミー　ホワイトコート　（Ｂ）</v>
      </c>
      <c r="J1855" s="210" t="s">
        <v>463</v>
      </c>
      <c r="K1855" s="270">
        <f>IF(D1855="","",VLOOKUP(D1855,契約台帳!$A$3:$L$4986,12,FALSE))</f>
        <v>50</v>
      </c>
      <c r="L1855" s="270" t="s">
        <v>1759</v>
      </c>
      <c r="M1855" s="39">
        <v>1195</v>
      </c>
      <c r="N1855" s="39">
        <v>5300</v>
      </c>
      <c r="O1855" s="156">
        <v>1</v>
      </c>
      <c r="P1855" s="47">
        <v>1</v>
      </c>
      <c r="Q1855" s="57"/>
      <c r="R1855" s="271">
        <f ca="1">IF(D1855="","",IF(OFFSET(D1855,-1,0)&lt;&gt;"","",IF(OR(J1855="リード付け",J1855="巻足し",J1855="巻返しリード付け"),M1855,VLOOKUP(D1855,契約台帳!$A$3:$N$4986,14,FALSE))))</f>
        <v>1120</v>
      </c>
      <c r="S1855" s="272">
        <f ca="1">IF(D1855="","",IF(OFFSET(D1855,-1,0)&lt;&gt;"","",IF(OR(J1855="リード付け",J1855="巻足し",J1855="巻返しリード付け"),M1855,VLOOKUP(D1855,契約台帳!$A$3:$O$4986,15,FALSE))))</f>
        <v>1120</v>
      </c>
      <c r="T1855" s="273">
        <f ca="1">IF(D1855="","",IF(J1855="リード付け",N1855,IF(J1855="巻返しリード付け",N1855,IF(J1855="巻足し",N1855*P1855+OFFSET(N1855,1,0)*OFFSET(P1855,1,0),VLOOKUP(D1855,契約台帳!$A$3:$P$4986,16,FALSE)))))</f>
        <v>5000</v>
      </c>
      <c r="U1855" s="40">
        <v>1</v>
      </c>
      <c r="V1855" s="274">
        <f ca="1">IF(D1855="","",IF(OFFSET(D1855,-2,0)=D1855,"",VLOOKUP(D1855,契約台帳!$A$3:$R$4986,18,FALSE)))</f>
        <v>1</v>
      </c>
      <c r="W1855" s="269" t="s">
        <v>806</v>
      </c>
      <c r="X1855" s="269">
        <v>1140</v>
      </c>
      <c r="Y1855" s="275">
        <f ca="1">IF(D1855="","",IF(T1855="","",VLOOKUP(D1855,契約台帳!$A$3:$Q$4986,17,FALSE)))</f>
        <v>2</v>
      </c>
      <c r="Z1855" s="269" t="str">
        <f ca="1">IF(D1855="","",IF(T1855="","",VLOOKUP(D1855,契約台帳!$A$3:$E$4986,5,FALSE)))</f>
        <v>新タック化成㈱</v>
      </c>
      <c r="AA1855" s="57"/>
      <c r="AB1855" s="207"/>
      <c r="AC1855" s="33"/>
      <c r="AD1855" s="189"/>
      <c r="AE1855" s="54"/>
      <c r="AF1855" s="55"/>
      <c r="AG1855" s="43"/>
      <c r="AH1855" s="47"/>
      <c r="AI1855" s="30"/>
      <c r="AJ1855" s="30"/>
      <c r="AK1855" s="30"/>
      <c r="AL1855" s="30"/>
      <c r="AM1855" s="13"/>
      <c r="AN1855" s="13"/>
      <c r="AO1855" s="13"/>
      <c r="AP1855" s="13"/>
      <c r="AQ1855" s="13"/>
      <c r="AR1855" s="14"/>
      <c r="AS1855" s="15"/>
    </row>
    <row r="1856" spans="1:45" s="17" customFormat="1" ht="30.95" hidden="1" customHeight="1" x14ac:dyDescent="0.2">
      <c r="A1856" s="37"/>
      <c r="B1856" s="38"/>
      <c r="C1856" s="45"/>
      <c r="D1856" s="31"/>
      <c r="E1856" s="31"/>
      <c r="F1856" s="268"/>
      <c r="G1856" s="269"/>
      <c r="H1856" s="269"/>
      <c r="I1856" s="270"/>
      <c r="J1856" s="210"/>
      <c r="K1856" s="270"/>
      <c r="L1856" s="270"/>
      <c r="M1856" s="39"/>
      <c r="N1856" s="39"/>
      <c r="O1856" s="156"/>
      <c r="P1856" s="47"/>
      <c r="Q1856" s="57"/>
      <c r="R1856" s="338"/>
      <c r="S1856" s="272"/>
      <c r="T1856" s="273"/>
      <c r="U1856" s="40"/>
      <c r="V1856" s="277"/>
      <c r="W1856" s="269"/>
      <c r="X1856" s="269"/>
      <c r="Y1856" s="275"/>
      <c r="Z1856" s="269"/>
      <c r="AA1856" s="57"/>
      <c r="AB1856" s="207"/>
      <c r="AC1856" s="33"/>
      <c r="AD1856" s="189"/>
      <c r="AE1856" s="54"/>
      <c r="AF1856" s="55"/>
      <c r="AG1856" s="43"/>
      <c r="AH1856" s="47"/>
      <c r="AI1856" s="30"/>
      <c r="AJ1856" s="30"/>
      <c r="AK1856" s="30"/>
      <c r="AL1856" s="30"/>
      <c r="AM1856" s="13"/>
      <c r="AN1856" s="13"/>
      <c r="AO1856" s="13"/>
      <c r="AP1856" s="13"/>
      <c r="AQ1856" s="13"/>
      <c r="AR1856" s="14"/>
      <c r="AS1856" s="15"/>
    </row>
    <row r="1857" spans="1:45" s="17" customFormat="1" ht="30.95" hidden="1" customHeight="1" x14ac:dyDescent="0.2">
      <c r="A1857" s="37"/>
      <c r="B1857" s="38"/>
      <c r="C1857" s="45"/>
      <c r="D1857" s="31">
        <v>3750063</v>
      </c>
      <c r="E1857" s="31">
        <v>4141126</v>
      </c>
      <c r="F1857" s="268" t="str">
        <f>IF(D1857="","",VLOOKUP(D1857,契約台帳!$A$3:$K$4986,6,FALSE)&amp;VLOOKUP(D1857,契約台帳!$A$3:$K$4986,7,FALSE)&amp;VLOOKUP(D1857,契約台帳!$A$3:$K$4986,8,FALSE)&amp;VLOOKUP(D1857,契約台帳!$A$3:$K$4986,9,FALSE)&amp;VLOOKUP(D1857,契約台帳!$A$3:$K$4986,11,FALSE))</f>
        <v>3SNMCLBSCB</v>
      </c>
      <c r="G1857" s="269" t="str">
        <f>IF(D1857="","",VLOOKUP(F1857,製品マスタ!$G$5:$H$5002,2,FALSE))</f>
        <v>S</v>
      </c>
      <c r="H1857" s="269" t="str">
        <f>IF(D1857="","",VLOOKUP(F1857,製品マスタ!$G$5:$K$5002,5,FALSE))</f>
        <v>SCB</v>
      </c>
      <c r="I1857" s="270" t="str">
        <f>IF(D1857="","",VLOOKUP(F1857,製品マスタ!$G$5:$L$5002,6,FALSE))</f>
        <v>メタルミー　シロコート（Ｂ）</v>
      </c>
      <c r="J1857" s="210" t="s">
        <v>463</v>
      </c>
      <c r="K1857" s="270">
        <f>IF(D1857="","",VLOOKUP(D1857,契約台帳!$A$3:$L$4986,12,FALSE))</f>
        <v>25</v>
      </c>
      <c r="L1857" s="270" t="s">
        <v>1759</v>
      </c>
      <c r="M1857" s="39">
        <v>1060</v>
      </c>
      <c r="N1857" s="39">
        <v>12200</v>
      </c>
      <c r="O1857" s="156">
        <v>1</v>
      </c>
      <c r="P1857" s="47">
        <v>1</v>
      </c>
      <c r="Q1857" s="57"/>
      <c r="R1857" s="271">
        <f ca="1">IF(D1857="","",IF(OFFSET(D1857,-1,0)&lt;&gt;"","",IF(OR(J1857="リード付け",J1857="巻足し",J1857="巻返しリード付け"),M1857,VLOOKUP(D1857,契約台帳!$A$3:$N$4986,14,FALSE))))</f>
        <v>1020</v>
      </c>
      <c r="S1857" s="272">
        <f ca="1">IF(D1857="","",IF(OFFSET(D1857,-1,0)&lt;&gt;"","",IF(OR(J1857="リード付け",J1857="巻足し",J1857="巻返しリード付け"),M1857,VLOOKUP(D1857,契約台帳!$A$3:$O$4986,15,FALSE))))</f>
        <v>1020</v>
      </c>
      <c r="T1857" s="273">
        <f ca="1">IF(D1857="","",IF(J1857="リード付け",N1857,IF(J1857="巻返しリード付け",N1857,IF(J1857="巻足し",N1857*P1857+OFFSET(N1857,1,0)*OFFSET(P1857,1,0),VLOOKUP(D1857,契約台帳!$A$3:$P$4986,16,FALSE)))))</f>
        <v>6000</v>
      </c>
      <c r="U1857" s="40">
        <v>2</v>
      </c>
      <c r="V1857" s="274">
        <f ca="1">IF(D1857="","",IF(OFFSET(D1857,-2,0)=D1857,"",VLOOKUP(D1857,契約台帳!$A$3:$R$4986,18,FALSE)))</f>
        <v>2</v>
      </c>
      <c r="W1857" s="269" t="str">
        <f ca="1">IF(D1857="","",IF(T1857="","",IF(OR(J1857="巻足し",J1857="巻返しリード付け"),"",IF(J1857="巻返し",VLOOKUP(F1857&amp;K1857&amp;M1857,製品マスタ!$M$5:$AD$5002,18,FALSE),IF(OR(J1857="リード付け",J1857="巻返しリード付け"),"原反コア",IF(J1857="スリット",VLOOKUP(F1857&amp;K1857&amp;R1857,製品マスタ!$N$5:$AD$5002,17,FALSE),""))))))</f>
        <v>6ｲﾝﾁSｺｱ</v>
      </c>
      <c r="X1857" s="269">
        <f ca="1">IF(D1857="","",IF(T1857="","",IF(J1857="巻足し","",IF(J1857="巻返し",VLOOKUP(F1857&amp;K1857&amp;M1857,製品マスタ!$M$5:$AE$5002,19,FALSE),IF(OR(J1857="リード付け",J1857="巻返しリード付け"),"",IF(J1857="スリット",VLOOKUP(F1857&amp;K1857&amp;R1857,製品マスタ!$N$5:$AE$5002,18,FALSE),""))))))</f>
        <v>1035</v>
      </c>
      <c r="Y1857" s="275">
        <f ca="1">IF(D1857="","",IF(T1857="","",VLOOKUP(D1857,契約台帳!$A$3:$Q$4986,17,FALSE)))</f>
        <v>2</v>
      </c>
      <c r="Z1857" s="269" t="str">
        <f ca="1">IF(D1857="","",IF(T1857="","",VLOOKUP(D1857,契約台帳!$A$3:$E$4986,5,FALSE)))</f>
        <v>新タック化成㈱</v>
      </c>
      <c r="AA1857" s="57"/>
      <c r="AB1857" s="207"/>
      <c r="AC1857" s="33"/>
      <c r="AD1857" s="189"/>
      <c r="AE1857" s="54"/>
      <c r="AF1857" s="55"/>
      <c r="AG1857" s="43"/>
      <c r="AH1857" s="47"/>
      <c r="AI1857" s="30"/>
      <c r="AJ1857" s="30"/>
      <c r="AK1857" s="30"/>
      <c r="AL1857" s="30"/>
      <c r="AM1857" s="13"/>
      <c r="AN1857" s="13"/>
      <c r="AO1857" s="13"/>
      <c r="AP1857" s="13"/>
      <c r="AQ1857" s="13"/>
      <c r="AR1857" s="14"/>
      <c r="AS1857" s="15"/>
    </row>
    <row r="1858" spans="1:45" s="17" customFormat="1" ht="30.95" hidden="1" customHeight="1" x14ac:dyDescent="0.2">
      <c r="A1858" s="37"/>
      <c r="B1858" s="38"/>
      <c r="C1858" s="45"/>
      <c r="D1858" s="31"/>
      <c r="E1858" s="31"/>
      <c r="F1858" s="268" t="str">
        <f>IF(D1858="","",VLOOKUP(D1858,契約台帳!$A$3:$K$4986,6,FALSE)&amp;VLOOKUP(D1858,契約台帳!$A$3:$K$4986,7,FALSE)&amp;VLOOKUP(D1858,契約台帳!$A$3:$K$4986,8,FALSE)&amp;VLOOKUP(D1858,契約台帳!$A$3:$K$4986,9,FALSE)&amp;VLOOKUP(D1858,契約台帳!$A$3:$K$4986,11,FALSE))</f>
        <v/>
      </c>
      <c r="G1858" s="269" t="str">
        <f>IF(D1858="","",VLOOKUP(F1858,製品マスタ!$G$5:$H$5002,2,FALSE))</f>
        <v/>
      </c>
      <c r="H1858" s="269" t="str">
        <f>IF(D1858="","",VLOOKUP(F1858,製品マスタ!$G$5:$K$5002,5,FALSE))</f>
        <v/>
      </c>
      <c r="I1858" s="270" t="str">
        <f>IF(D1858="","",VLOOKUP(F1858,製品マスタ!$G$5:$L$5002,6,FALSE))</f>
        <v/>
      </c>
      <c r="J1858" s="210"/>
      <c r="K1858" s="270" t="str">
        <f>IF(D1858="","",VLOOKUP(D1858,契約台帳!$A$3:$L$4986,12,FALSE))</f>
        <v/>
      </c>
      <c r="L1858" s="270" t="str">
        <f>IF(D1858="","",INDEX(製品マスタ!$Q$5:$Q$5002,MATCH('S4'!F1858&amp;'S4'!K1858,製品マスタ!$AO$5:$AO$5002,0)))</f>
        <v/>
      </c>
      <c r="M1858" s="39"/>
      <c r="N1858" s="39"/>
      <c r="O1858" s="156"/>
      <c r="P1858" s="47"/>
      <c r="Q1858" s="57"/>
      <c r="R1858" s="271" t="str">
        <f ca="1">IF(D1858="","",IF(OFFSET(D1858,-1,0)&lt;&gt;"","",IF(OR(J1858="リード付け",J1858="巻足し",J1858="巻返しリード付け"),M1858,VLOOKUP(D1858,契約台帳!$A$3:$N$4986,14,FALSE))))</f>
        <v/>
      </c>
      <c r="S1858" s="272" t="str">
        <f ca="1">IF(D1858="","",IF(OFFSET(D1858,-1,0)&lt;&gt;"","",IF(OR(J1858="リード付け",J1858="巻足し",J1858="巻返しリード付け"),M1858,VLOOKUP(D1858,契約台帳!$A$3:$O$4986,15,FALSE))))</f>
        <v/>
      </c>
      <c r="T1858" s="273" t="str">
        <f ca="1">IF(D1858="","",IF(J1858="リード付け",N1858,IF(J1858="巻返しリード付け",N1858,IF(J1858="巻足し",N1858*P1858+OFFSET(N1858,1,0)*OFFSET(P1858,1,0),VLOOKUP(D1858,契約台帳!$A$3:$P$4986,16,FALSE)))))</f>
        <v/>
      </c>
      <c r="U1858" s="40"/>
      <c r="V1858" s="274" t="str">
        <f ca="1">IF(D1858="","",IF(OFFSET(D1858,-2,0)=D1858,"",VLOOKUP(D1858,契約台帳!$A$3:$R$4986,18,FALSE)))</f>
        <v/>
      </c>
      <c r="W1858" s="269" t="str">
        <f>IF(D1858="","",IF(T1858="","",IF(OR(J1858="巻足し",J1858="巻返しリード付け"),"",IF(J1858="巻返し",VLOOKUP(F1858&amp;K1858&amp;M1858,製品マスタ!$M$5:$AD$5002,18,FALSE),IF(OR(J1858="リード付け",J1858="巻返しリード付け"),"原反コア",IF(J1858="スリット",VLOOKUP(F1858&amp;K1858&amp;R1858,製品マスタ!$N$5:$AD$5002,17,FALSE),""))))))</f>
        <v/>
      </c>
      <c r="X1858" s="269" t="str">
        <f>IF(D1858="","",IF(T1858="","",IF(J1858="巻足し","",IF(J1858="巻返し",VLOOKUP(F1858&amp;K1858&amp;M1858,製品マスタ!$M$5:$AE$5002,19,FALSE),IF(OR(J1858="リード付け",J1858="巻返しリード付け"),"",IF(J1858="スリット",VLOOKUP(F1858&amp;K1858&amp;R1858,製品マスタ!$N$5:$AE$5002,18,FALSE),""))))))</f>
        <v/>
      </c>
      <c r="Y1858" s="275" t="str">
        <f>IF(D1858="","",IF(T1858="","",VLOOKUP(D1858,契約台帳!$A$3:$Q$4986,17,FALSE)))</f>
        <v/>
      </c>
      <c r="Z1858" s="269" t="str">
        <f>IF(D1858="","",IF(T1858="","",VLOOKUP(D1858,契約台帳!$A$3:$E$4986,5,FALSE)))</f>
        <v/>
      </c>
      <c r="AA1858" s="57"/>
      <c r="AB1858" s="207" t="str">
        <f>IFERROR((VLOOKUP(F1858&amp;K1858&amp;M1858,製品マスタ!$M$5:$AM$5002,27,FALSE)),"")</f>
        <v/>
      </c>
      <c r="AC1858" s="33"/>
      <c r="AD1858" s="189"/>
      <c r="AE1858" s="54"/>
      <c r="AF1858" s="55"/>
      <c r="AG1858" s="43"/>
      <c r="AH1858" s="47"/>
      <c r="AI1858" s="30"/>
      <c r="AJ1858" s="30"/>
      <c r="AK1858" s="30"/>
      <c r="AL1858" s="30"/>
      <c r="AM1858" s="13"/>
      <c r="AN1858" s="13"/>
      <c r="AO1858" s="13"/>
      <c r="AP1858" s="13"/>
      <c r="AQ1858" s="13"/>
      <c r="AR1858" s="14"/>
      <c r="AS1858" s="15"/>
    </row>
    <row r="1859" spans="1:45" s="17" customFormat="1" ht="30.95" hidden="1" customHeight="1" x14ac:dyDescent="0.2">
      <c r="A1859" s="37" t="s">
        <v>1064</v>
      </c>
      <c r="B1859" s="38" t="s">
        <v>688</v>
      </c>
      <c r="C1859" s="45"/>
      <c r="D1859" s="31">
        <v>3750949</v>
      </c>
      <c r="E1859" s="31">
        <v>4141132</v>
      </c>
      <c r="F1859" s="268" t="str">
        <f>IF(D1859="","",VLOOKUP(D1859,契約台帳!$A$3:$K$4986,6,FALSE)&amp;VLOOKUP(D1859,契約台帳!$A$3:$K$4986,7,FALSE)&amp;VLOOKUP(D1859,契約台帳!$A$3:$K$4986,8,FALSE)&amp;VLOOKUP(D1859,契約台帳!$A$3:$K$4986,9,FALSE)&amp;VLOOKUP(D1859,契約台帳!$A$3:$K$4986,11,FALSE))</f>
        <v>3XSNCLBLEYK</v>
      </c>
      <c r="G1859" s="269" t="str">
        <f>IF(D1859="","",VLOOKUP(F1859,製品マスタ!$G$5:$H$5002,2,FALSE))</f>
        <v>S</v>
      </c>
      <c r="H1859" s="269" t="str">
        <f>IF(D1859="","",VLOOKUP(F1859,製品マスタ!$G$5:$K$5002,5,FALSE))</f>
        <v>LEYK</v>
      </c>
      <c r="I1859" s="270" t="str">
        <f>IF(D1859="","",VLOOKUP(F1859,製品マスタ!$G$5:$L$5002,6,FALSE))</f>
        <v>ルミラー　ＥＹＫ</v>
      </c>
      <c r="J1859" s="210" t="s">
        <v>463</v>
      </c>
      <c r="K1859" s="270">
        <f>IF(D1859="","",VLOOKUP(D1859,契約台帳!$A$3:$L$4986,12,FALSE))</f>
        <v>25</v>
      </c>
      <c r="L1859" s="270" t="s">
        <v>1759</v>
      </c>
      <c r="M1859" s="39">
        <v>1240</v>
      </c>
      <c r="N1859" s="39">
        <v>12200</v>
      </c>
      <c r="O1859" s="156">
        <v>4</v>
      </c>
      <c r="P1859" s="47">
        <v>4</v>
      </c>
      <c r="Q1859" s="57"/>
      <c r="R1859" s="271">
        <f ca="1">IF(D1859="","",IF(OFFSET(D1859,-1,0)&lt;&gt;"","",IF(OR(J1859="リード付け",J1859="巻足し",J1859="巻返しリード付け"),M1859,VLOOKUP(D1859,契約台帳!$A$3:$N$4986,14,FALSE))))</f>
        <v>1120</v>
      </c>
      <c r="S1859" s="272">
        <f ca="1">IF(D1859="","",IF(OFFSET(D1859,-1,0)&lt;&gt;"","",IF(OR(J1859="リード付け",J1859="巻足し",J1859="巻返しリード付け"),M1859,VLOOKUP(D1859,契約台帳!$A$3:$O$4986,15,FALSE))))</f>
        <v>1120</v>
      </c>
      <c r="T1859" s="273">
        <f ca="1">IF(D1859="","",IF(J1859="リード付け",N1859,IF(J1859="巻返しリード付け",N1859,IF(J1859="巻足し",N1859*P1859+OFFSET(N1859,1,0)*OFFSET(P1859,1,0),VLOOKUP(D1859,契約台帳!$A$3:$P$4986,16,FALSE)))))</f>
        <v>6000</v>
      </c>
      <c r="U1859" s="40">
        <v>8</v>
      </c>
      <c r="V1859" s="274">
        <f ca="1">IF(D1859="","",IF(OFFSET(D1859,-2,0)=D1859,"",VLOOKUP(D1859,契約台帳!$A$3:$R$4986,18,FALSE)))</f>
        <v>8</v>
      </c>
      <c r="W1859" s="269" t="str">
        <f ca="1">IF(D1859="","",IF(T1859="","",IF(OR(J1859="巻足し",J1859="巻返しリード付け"),"",IF(J1859="巻返し",VLOOKUP(F1859&amp;K1859&amp;M1859,製品マスタ!$M$5:$AD$5002,18,FALSE),IF(OR(J1859="リード付け",J1859="巻返しリード付け"),"原反コア",IF(J1859="スリット",VLOOKUP(F1859&amp;K1859&amp;R1859,製品マスタ!$N$5:$AD$5002,17,FALSE),""))))))</f>
        <v>6ｲﾝﾁMｺｱ</v>
      </c>
      <c r="X1859" s="269">
        <f ca="1">IF(D1859="","",IF(T1859="","",IF(J1859="巻足し","",IF(J1859="巻返し",VLOOKUP(F1859&amp;K1859&amp;M1859,製品マスタ!$M$5:$AE$5002,19,FALSE),IF(OR(J1859="リード付け",J1859="巻返しリード付け"),"",IF(J1859="スリット",VLOOKUP(F1859&amp;K1859&amp;R1859,製品マスタ!$N$5:$AE$5002,18,FALSE),""))))))</f>
        <v>1140</v>
      </c>
      <c r="Y1859" s="275">
        <f ca="1">IF(D1859="","",IF(T1859="","",VLOOKUP(D1859,契約台帳!$A$3:$Q$4986,17,FALSE)))</f>
        <v>2</v>
      </c>
      <c r="Z1859" s="269" t="str">
        <f ca="1">IF(D1859="","",IF(T1859="","",VLOOKUP(D1859,契約台帳!$A$3:$E$4986,5,FALSE)))</f>
        <v>新タック化成㈱</v>
      </c>
      <c r="AA1859" s="57"/>
      <c r="AB1859" s="207"/>
      <c r="AC1859" s="33"/>
      <c r="AD1859" s="189"/>
      <c r="AE1859" s="54"/>
      <c r="AF1859" s="55"/>
      <c r="AG1859" s="43"/>
      <c r="AH1859" s="47"/>
      <c r="AI1859" s="30"/>
      <c r="AJ1859" s="30"/>
      <c r="AK1859" s="30"/>
      <c r="AL1859" s="30"/>
      <c r="AM1859" s="13"/>
      <c r="AN1859" s="13"/>
      <c r="AO1859" s="13"/>
      <c r="AP1859" s="13"/>
      <c r="AQ1859" s="13"/>
      <c r="AR1859" s="14"/>
      <c r="AS1859" s="15"/>
    </row>
    <row r="1860" spans="1:45" s="17" customFormat="1" ht="30.95" hidden="1" customHeight="1" x14ac:dyDescent="0.2">
      <c r="A1860" s="37"/>
      <c r="B1860" s="38"/>
      <c r="C1860" s="45"/>
      <c r="D1860" s="31"/>
      <c r="E1860" s="31"/>
      <c r="F1860" s="268"/>
      <c r="G1860" s="269"/>
      <c r="H1860" s="269"/>
      <c r="I1860" s="270"/>
      <c r="J1860" s="210"/>
      <c r="K1860" s="270"/>
      <c r="L1860" s="270"/>
      <c r="M1860" s="39"/>
      <c r="N1860" s="39"/>
      <c r="O1860" s="156"/>
      <c r="P1860" s="47"/>
      <c r="Q1860" s="57"/>
      <c r="R1860" s="271"/>
      <c r="S1860" s="272"/>
      <c r="T1860" s="273"/>
      <c r="U1860" s="40"/>
      <c r="V1860" s="274"/>
      <c r="W1860" s="269"/>
      <c r="X1860" s="269"/>
      <c r="Y1860" s="275"/>
      <c r="Z1860" s="269"/>
      <c r="AA1860" s="57"/>
      <c r="AB1860" s="207"/>
      <c r="AC1860" s="33"/>
      <c r="AD1860" s="189"/>
      <c r="AE1860" s="54"/>
      <c r="AF1860" s="55"/>
      <c r="AG1860" s="43"/>
      <c r="AH1860" s="47"/>
      <c r="AI1860" s="30"/>
      <c r="AJ1860" s="30"/>
      <c r="AK1860" s="30"/>
      <c r="AL1860" s="30"/>
      <c r="AM1860" s="13"/>
      <c r="AN1860" s="13"/>
      <c r="AO1860" s="13"/>
      <c r="AP1860" s="13"/>
      <c r="AQ1860" s="13"/>
      <c r="AR1860" s="14"/>
      <c r="AS1860" s="15"/>
    </row>
    <row r="1861" spans="1:45" s="17" customFormat="1" ht="30.95" hidden="1" customHeight="1" x14ac:dyDescent="0.2">
      <c r="A1861" s="37"/>
      <c r="B1861" s="38"/>
      <c r="C1861" s="45"/>
      <c r="D1861" s="31">
        <v>3750061</v>
      </c>
      <c r="E1861" s="31">
        <v>4141117</v>
      </c>
      <c r="F1861" s="268" t="str">
        <f>IF(D1861="","",VLOOKUP(D1861,契約台帳!$A$3:$K$4986,6,FALSE)&amp;VLOOKUP(D1861,契約台帳!$A$3:$K$4986,7,FALSE)&amp;VLOOKUP(D1861,契約台帳!$A$3:$K$4986,8,FALSE)&amp;VLOOKUP(D1861,契約台帳!$A$3:$K$4986,9,FALSE)&amp;VLOOKUP(D1861,契約台帳!$A$3:$K$4986,11,FALSE))</f>
        <v>3XSNMCLBEYK</v>
      </c>
      <c r="G1861" s="269" t="str">
        <f>IF(D1861="","",VLOOKUP(F1861,製品マスタ!$G$5:$H$5002,2,FALSE))</f>
        <v>S</v>
      </c>
      <c r="H1861" s="269" t="str">
        <f>IF(D1861="","",VLOOKUP(F1861,製品マスタ!$G$5:$K$5002,5,FALSE))</f>
        <v>EYK</v>
      </c>
      <c r="I1861" s="270" t="str">
        <f>IF(D1861="","",VLOOKUP(F1861,製品マスタ!$G$5:$L$5002,6,FALSE))</f>
        <v>メタルミー　ＥＹＫ</v>
      </c>
      <c r="J1861" s="210" t="s">
        <v>463</v>
      </c>
      <c r="K1861" s="270">
        <f>IF(D1861="","",VLOOKUP(D1861,契約台帳!$A$3:$L$4986,12,FALSE))</f>
        <v>50</v>
      </c>
      <c r="L1861" s="270" t="s">
        <v>1759</v>
      </c>
      <c r="M1861" s="39">
        <v>1195</v>
      </c>
      <c r="N1861" s="39">
        <v>12200</v>
      </c>
      <c r="O1861" s="156">
        <v>1</v>
      </c>
      <c r="P1861" s="47">
        <v>1</v>
      </c>
      <c r="Q1861" s="57"/>
      <c r="R1861" s="271">
        <f ca="1">IF(D1861="","",IF(OFFSET(D1861,-1,0)&lt;&gt;"","",IF(OR(J1861="リード付け",J1861="巻足し",J1861="巻返しリード付け"),M1861,VLOOKUP(D1861,契約台帳!$A$3:$N$4986,14,FALSE))))</f>
        <v>1120</v>
      </c>
      <c r="S1861" s="272">
        <f ca="1">IF(D1861="","",IF(OFFSET(D1861,-1,0)&lt;&gt;"","",IF(OR(J1861="リード付け",J1861="巻足し",J1861="巻返しリード付け"),M1861,VLOOKUP(D1861,契約台帳!$A$3:$O$4986,15,FALSE))))</f>
        <v>1120</v>
      </c>
      <c r="T1861" s="273">
        <f ca="1">IF(D1861="","",IF(J1861="リード付け",N1861,IF(J1861="巻返しリード付け",N1861,IF(J1861="巻足し",N1861*P1861+OFFSET(N1861,1,0)*OFFSET(P1861,1,0),VLOOKUP(D1861,契約台帳!$A$3:$P$4986,16,FALSE)))))</f>
        <v>6000</v>
      </c>
      <c r="U1861" s="40">
        <v>2</v>
      </c>
      <c r="V1861" s="274">
        <f ca="1">IF(D1861="","",IF(OFFSET(D1861,-2,0)=D1861,"",VLOOKUP(D1861,契約台帳!$A$3:$R$4986,18,FALSE)))</f>
        <v>3</v>
      </c>
      <c r="W1861" s="269" t="str">
        <f ca="1">IF(D1861="","",IF(T1861="","",IF(OR(J1861="巻足し",J1861="巻返しリード付け"),"",IF(J1861="巻返し",VLOOKUP(F1861&amp;K1861&amp;M1861,製品マスタ!$M$5:$AD$5002,18,FALSE),IF(OR(J1861="リード付け",J1861="巻返しリード付け"),"原反コア",IF(J1861="スリット",VLOOKUP(F1861&amp;K1861&amp;R1861,製品マスタ!$N$5:$AD$5002,17,FALSE),""))))))</f>
        <v>6ｲﾝﾁMｺｱ</v>
      </c>
      <c r="X1861" s="269">
        <f ca="1">IF(D1861="","",IF(T1861="","",IF(J1861="巻足し","",IF(J1861="巻返し",VLOOKUP(F1861&amp;K1861&amp;M1861,製品マスタ!$M$5:$AE$5002,19,FALSE),IF(OR(J1861="リード付け",J1861="巻返しリード付け"),"",IF(J1861="スリット",VLOOKUP(F1861&amp;K1861&amp;R1861,製品マスタ!$N$5:$AE$5002,18,FALSE),""))))))</f>
        <v>1140</v>
      </c>
      <c r="Y1861" s="275">
        <f ca="1">IF(D1861="","",IF(T1861="","",VLOOKUP(D1861,契約台帳!$A$3:$Q$4986,17,FALSE)))</f>
        <v>2</v>
      </c>
      <c r="Z1861" s="269" t="str">
        <f ca="1">IF(D1861="","",IF(T1861="","",VLOOKUP(D1861,契約台帳!$A$3:$E$4986,5,FALSE)))</f>
        <v>新タック化成㈱</v>
      </c>
      <c r="AA1861" s="57"/>
      <c r="AB1861" s="207"/>
      <c r="AC1861" s="33"/>
      <c r="AD1861" s="189"/>
      <c r="AE1861" s="54"/>
      <c r="AF1861" s="55"/>
      <c r="AG1861" s="43"/>
      <c r="AH1861" s="47"/>
      <c r="AI1861" s="30"/>
      <c r="AJ1861" s="30"/>
      <c r="AK1861" s="30"/>
      <c r="AL1861" s="30"/>
      <c r="AM1861" s="13"/>
      <c r="AN1861" s="13"/>
      <c r="AO1861" s="13"/>
      <c r="AP1861" s="13"/>
      <c r="AQ1861" s="13"/>
      <c r="AR1861" s="14"/>
      <c r="AS1861" s="15"/>
    </row>
    <row r="1862" spans="1:45" s="17" customFormat="1" ht="30.95" hidden="1" customHeight="1" x14ac:dyDescent="0.2">
      <c r="A1862" s="37"/>
      <c r="B1862" s="38"/>
      <c r="C1862" s="45"/>
      <c r="D1862" s="31"/>
      <c r="E1862" s="31"/>
      <c r="F1862" s="268"/>
      <c r="G1862" s="269"/>
      <c r="H1862" s="269"/>
      <c r="I1862" s="270"/>
      <c r="J1862" s="210"/>
      <c r="K1862" s="270"/>
      <c r="L1862" s="270"/>
      <c r="M1862" s="39"/>
      <c r="N1862" s="39"/>
      <c r="O1862" s="156"/>
      <c r="P1862" s="47"/>
      <c r="Q1862" s="57"/>
      <c r="R1862" s="271"/>
      <c r="S1862" s="272"/>
      <c r="T1862" s="273"/>
      <c r="U1862" s="40"/>
      <c r="V1862" s="274"/>
      <c r="W1862" s="269"/>
      <c r="X1862" s="269"/>
      <c r="Y1862" s="275"/>
      <c r="Z1862" s="269"/>
      <c r="AA1862" s="57"/>
      <c r="AB1862" s="207"/>
      <c r="AC1862" s="33"/>
      <c r="AD1862" s="189"/>
      <c r="AE1862" s="54"/>
      <c r="AF1862" s="55"/>
      <c r="AG1862" s="43"/>
      <c r="AH1862" s="47"/>
      <c r="AI1862" s="30"/>
      <c r="AJ1862" s="30"/>
      <c r="AK1862" s="30"/>
      <c r="AL1862" s="30"/>
      <c r="AM1862" s="13"/>
      <c r="AN1862" s="13"/>
      <c r="AO1862" s="13"/>
      <c r="AP1862" s="13"/>
      <c r="AQ1862" s="13"/>
      <c r="AR1862" s="14"/>
      <c r="AS1862" s="15"/>
    </row>
    <row r="1863" spans="1:45" s="17" customFormat="1" ht="30.95" hidden="1" customHeight="1" x14ac:dyDescent="0.2">
      <c r="A1863" s="37" t="s">
        <v>1065</v>
      </c>
      <c r="B1863" s="38" t="s">
        <v>442</v>
      </c>
      <c r="C1863" s="45"/>
      <c r="D1863" s="31">
        <v>3750061</v>
      </c>
      <c r="E1863" s="31">
        <v>4141117</v>
      </c>
      <c r="F1863" s="268" t="str">
        <f>IF(D1863="","",VLOOKUP(D1863,契約台帳!$A$3:$K$4986,6,FALSE)&amp;VLOOKUP(D1863,契約台帳!$A$3:$K$4986,7,FALSE)&amp;VLOOKUP(D1863,契約台帳!$A$3:$K$4986,8,FALSE)&amp;VLOOKUP(D1863,契約台帳!$A$3:$K$4986,9,FALSE)&amp;VLOOKUP(D1863,契約台帳!$A$3:$K$4986,11,FALSE))</f>
        <v>3XSNMCLBEYK</v>
      </c>
      <c r="G1863" s="269" t="str">
        <f>IF(D1863="","",VLOOKUP(F1863,製品マスタ!$G$5:$H$5002,2,FALSE))</f>
        <v>S</v>
      </c>
      <c r="H1863" s="269" t="str">
        <f>IF(D1863="","",VLOOKUP(F1863,製品マスタ!$G$5:$K$5002,5,FALSE))</f>
        <v>EYK</v>
      </c>
      <c r="I1863" s="270" t="str">
        <f>IF(D1863="","",VLOOKUP(F1863,製品マスタ!$G$5:$L$5002,6,FALSE))</f>
        <v>メタルミー　ＥＹＫ</v>
      </c>
      <c r="J1863" s="210" t="s">
        <v>463</v>
      </c>
      <c r="K1863" s="270">
        <f>IF(D1863="","",VLOOKUP(D1863,契約台帳!$A$3:$L$4986,12,FALSE))</f>
        <v>50</v>
      </c>
      <c r="L1863" s="270" t="s">
        <v>1759</v>
      </c>
      <c r="M1863" s="39">
        <v>1195</v>
      </c>
      <c r="N1863" s="39">
        <v>12200</v>
      </c>
      <c r="O1863" s="156">
        <v>1</v>
      </c>
      <c r="P1863" s="47">
        <v>1</v>
      </c>
      <c r="Q1863" s="57"/>
      <c r="R1863" s="271">
        <f ca="1">IF(D1863="","",IF(OFFSET(D1863,-1,0)&lt;&gt;"","",IF(OR(J1863="リード付け",J1863="巻足し",J1863="巻返しリード付け"),M1863,VLOOKUP(D1863,契約台帳!$A$3:$N$4986,14,FALSE))))</f>
        <v>1120</v>
      </c>
      <c r="S1863" s="272">
        <f ca="1">IF(D1863="","",IF(OFFSET(D1863,-1,0)&lt;&gt;"","",IF(OR(J1863="リード付け",J1863="巻足し",J1863="巻返しリード付け"),M1863,VLOOKUP(D1863,契約台帳!$A$3:$O$4986,15,FALSE))))</f>
        <v>1120</v>
      </c>
      <c r="T1863" s="273">
        <f ca="1">IF(D1863="","",IF(J1863="リード付け",N1863,IF(J1863="巻返しリード付け",N1863,IF(J1863="巻足し",N1863*P1863+OFFSET(N1863,1,0)*OFFSET(P1863,1,0),VLOOKUP(D1863,契約台帳!$A$3:$P$4986,16,FALSE)))))</f>
        <v>6000</v>
      </c>
      <c r="U1863" s="40">
        <v>1</v>
      </c>
      <c r="V1863" s="274" t="str">
        <f ca="1">IF(D1863="","",IF(OFFSET(D1863,-2,0)=D1863,"",VLOOKUP(D1863,契約台帳!$A$3:$R$4986,18,FALSE)))</f>
        <v/>
      </c>
      <c r="W1863" s="269" t="str">
        <f ca="1">IF(D1863="","",IF(T1863="","",IF(OR(J1863="巻足し",J1863="巻返しリード付け"),"",IF(J1863="巻返し",VLOOKUP(F1863&amp;K1863&amp;M1863,製品マスタ!$M$5:$AD$5002,18,FALSE),IF(OR(J1863="リード付け",J1863="巻返しリード付け"),"原反コア",IF(J1863="スリット",VLOOKUP(F1863&amp;K1863&amp;R1863,製品マスタ!$N$5:$AD$5002,17,FALSE),""))))))</f>
        <v>6ｲﾝﾁMｺｱ</v>
      </c>
      <c r="X1863" s="269">
        <f ca="1">IF(D1863="","",IF(T1863="","",IF(J1863="巻足し","",IF(J1863="巻返し",VLOOKUP(F1863&amp;K1863&amp;M1863,製品マスタ!$M$5:$AE$5002,19,FALSE),IF(OR(J1863="リード付け",J1863="巻返しリード付け"),"",IF(J1863="スリット",VLOOKUP(F1863&amp;K1863&amp;R1863,製品マスタ!$N$5:$AE$5002,18,FALSE),""))))))</f>
        <v>1140</v>
      </c>
      <c r="Y1863" s="275">
        <f ca="1">IF(D1863="","",IF(T1863="","",VLOOKUP(D1863,契約台帳!$A$3:$Q$4986,17,FALSE)))</f>
        <v>2</v>
      </c>
      <c r="Z1863" s="269" t="str">
        <f ca="1">IF(D1863="","",IF(T1863="","",VLOOKUP(D1863,契約台帳!$A$3:$E$4986,5,FALSE)))</f>
        <v>新タック化成㈱</v>
      </c>
      <c r="AA1863" s="57"/>
      <c r="AB1863" s="207"/>
      <c r="AC1863" s="33"/>
      <c r="AD1863" s="189"/>
      <c r="AE1863" s="54"/>
      <c r="AF1863" s="55"/>
      <c r="AG1863" s="43"/>
      <c r="AH1863" s="47"/>
      <c r="AI1863" s="30"/>
      <c r="AJ1863" s="30"/>
      <c r="AK1863" s="30"/>
      <c r="AL1863" s="30"/>
      <c r="AM1863" s="13"/>
      <c r="AN1863" s="13"/>
      <c r="AO1863" s="13"/>
      <c r="AP1863" s="13"/>
      <c r="AQ1863" s="13"/>
      <c r="AR1863" s="14"/>
      <c r="AS1863" s="15"/>
    </row>
    <row r="1864" spans="1:45" s="17" customFormat="1" ht="30.95" hidden="1" customHeight="1" x14ac:dyDescent="0.2">
      <c r="A1864" s="37"/>
      <c r="B1864" s="38"/>
      <c r="C1864" s="45"/>
      <c r="D1864" s="31">
        <v>3750062</v>
      </c>
      <c r="E1864" s="31"/>
      <c r="F1864" s="268" t="str">
        <f>IF(D1864="","",VLOOKUP(D1864,契約台帳!$A$3:$K$4986,6,FALSE)&amp;VLOOKUP(D1864,契約台帳!$A$3:$K$4986,7,FALSE)&amp;VLOOKUP(D1864,契約台帳!$A$3:$K$4986,8,FALSE)&amp;VLOOKUP(D1864,契約台帳!$A$3:$K$4986,9,FALSE)&amp;VLOOKUP(D1864,契約台帳!$A$3:$K$4986,11,FALSE))</f>
        <v>3XSNMCLBEYK</v>
      </c>
      <c r="G1864" s="269" t="str">
        <f>IF(D1864="","",VLOOKUP(F1864,製品マスタ!$G$5:$H$5002,2,FALSE))</f>
        <v>S</v>
      </c>
      <c r="H1864" s="269" t="str">
        <f>IF(D1864="","",VLOOKUP(F1864,製品マスタ!$G$5:$K$5002,5,FALSE))</f>
        <v>EYK</v>
      </c>
      <c r="I1864" s="270" t="str">
        <f>IF(D1864="","",VLOOKUP(F1864,製品マスタ!$G$5:$L$5002,6,FALSE))</f>
        <v>メタルミー　ＥＹＫ</v>
      </c>
      <c r="J1864" s="210" t="s">
        <v>463</v>
      </c>
      <c r="K1864" s="270">
        <f>IF(D1864="","",VLOOKUP(D1864,契約台帳!$A$3:$L$4986,12,FALSE))</f>
        <v>50</v>
      </c>
      <c r="L1864" s="270" t="s">
        <v>1759</v>
      </c>
      <c r="M1864" s="39"/>
      <c r="N1864" s="39"/>
      <c r="O1864" s="156"/>
      <c r="P1864" s="47"/>
      <c r="Q1864" s="57"/>
      <c r="R1864" s="271">
        <v>1120</v>
      </c>
      <c r="S1864" s="272">
        <v>1120</v>
      </c>
      <c r="T1864" s="273">
        <f ca="1">IF(D1864="","",IF(J1864="リード付け",N1864,IF(J1864="巻返しリード付け",N1864,IF(J1864="巻足し",N1864*P1864+OFFSET(N1864,1,0)*OFFSET(P1864,1,0),VLOOKUP(D1864,契約台帳!$A$3:$P$4986,16,FALSE)))))</f>
        <v>6000</v>
      </c>
      <c r="U1864" s="40">
        <v>1</v>
      </c>
      <c r="V1864" s="274">
        <f ca="1">IF(D1864="","",IF(OFFSET(D1864,-2,0)=D1864,"",VLOOKUP(D1864,契約台帳!$A$3:$R$4986,18,FALSE)))</f>
        <v>1</v>
      </c>
      <c r="W1864" s="269" t="str">
        <f ca="1">IF(D1864="","",IF(T1864="","",IF(OR(J1864="巻足し",J1864="巻返しリード付け"),"",IF(J1864="巻返し",VLOOKUP(F1864&amp;K1864&amp;M1864,製品マスタ!$M$5:$AD$5002,18,FALSE),IF(OR(J1864="リード付け",J1864="巻返しリード付け"),"原反コア",IF(J1864="スリット",VLOOKUP(F1864&amp;K1864&amp;R1864,製品マスタ!$N$5:$AD$5002,17,FALSE),""))))))</f>
        <v>6ｲﾝﾁMｺｱ</v>
      </c>
      <c r="X1864" s="269">
        <f ca="1">IF(D1864="","",IF(T1864="","",IF(J1864="巻足し","",IF(J1864="巻返し",VLOOKUP(F1864&amp;K1864&amp;M1864,製品マスタ!$M$5:$AE$5002,19,FALSE),IF(OR(J1864="リード付け",J1864="巻返しリード付け"),"",IF(J1864="スリット",VLOOKUP(F1864&amp;K1864&amp;R1864,製品マスタ!$N$5:$AE$5002,18,FALSE),""))))))</f>
        <v>1140</v>
      </c>
      <c r="Y1864" s="275">
        <f ca="1">IF(D1864="","",IF(T1864="","",VLOOKUP(D1864,契約台帳!$A$3:$Q$4986,17,FALSE)))</f>
        <v>2</v>
      </c>
      <c r="Z1864" s="269" t="str">
        <f ca="1">IF(D1864="","",IF(T1864="","",VLOOKUP(D1864,契約台帳!$A$3:$E$4986,5,FALSE)))</f>
        <v>新タック化成㈱</v>
      </c>
      <c r="AA1864" s="57"/>
      <c r="AB1864" s="207"/>
      <c r="AC1864" s="33"/>
      <c r="AD1864" s="189"/>
      <c r="AE1864" s="54"/>
      <c r="AF1864" s="55"/>
      <c r="AG1864" s="43"/>
      <c r="AH1864" s="47"/>
      <c r="AI1864" s="30"/>
      <c r="AJ1864" s="30"/>
      <c r="AK1864" s="30"/>
      <c r="AL1864" s="30"/>
      <c r="AM1864" s="13"/>
      <c r="AN1864" s="13"/>
      <c r="AO1864" s="13"/>
      <c r="AP1864" s="13"/>
      <c r="AQ1864" s="13"/>
      <c r="AR1864" s="14"/>
      <c r="AS1864" s="15"/>
    </row>
    <row r="1865" spans="1:45" s="17" customFormat="1" ht="30.95" hidden="1" customHeight="1" x14ac:dyDescent="0.2">
      <c r="A1865" s="37"/>
      <c r="B1865" s="38"/>
      <c r="C1865" s="45"/>
      <c r="D1865" s="31"/>
      <c r="E1865" s="31"/>
      <c r="F1865" s="268"/>
      <c r="G1865" s="269"/>
      <c r="H1865" s="269"/>
      <c r="I1865" s="270"/>
      <c r="J1865" s="210"/>
      <c r="K1865" s="270"/>
      <c r="L1865" s="270"/>
      <c r="M1865" s="39"/>
      <c r="N1865" s="39"/>
      <c r="O1865" s="156"/>
      <c r="P1865" s="47"/>
      <c r="Q1865" s="57"/>
      <c r="R1865" s="271"/>
      <c r="S1865" s="272"/>
      <c r="T1865" s="273"/>
      <c r="U1865" s="40"/>
      <c r="V1865" s="274"/>
      <c r="W1865" s="269"/>
      <c r="X1865" s="269"/>
      <c r="Y1865" s="275"/>
      <c r="Z1865" s="269"/>
      <c r="AA1865" s="57"/>
      <c r="AB1865" s="207"/>
      <c r="AC1865" s="33"/>
      <c r="AD1865" s="189"/>
      <c r="AE1865" s="54"/>
      <c r="AF1865" s="55"/>
      <c r="AG1865" s="43"/>
      <c r="AH1865" s="47"/>
      <c r="AI1865" s="30"/>
      <c r="AJ1865" s="30"/>
      <c r="AK1865" s="30"/>
      <c r="AL1865" s="30"/>
      <c r="AM1865" s="13"/>
      <c r="AN1865" s="13"/>
      <c r="AO1865" s="13"/>
      <c r="AP1865" s="13"/>
      <c r="AQ1865" s="13"/>
      <c r="AR1865" s="14"/>
      <c r="AS1865" s="15"/>
    </row>
    <row r="1866" spans="1:45" s="17" customFormat="1" ht="30.6" hidden="1" customHeight="1" x14ac:dyDescent="0.2">
      <c r="A1866" s="37"/>
      <c r="B1866" s="38"/>
      <c r="C1866" s="45"/>
      <c r="D1866" s="31">
        <v>3750060</v>
      </c>
      <c r="E1866" s="31">
        <v>4141123</v>
      </c>
      <c r="F1866" s="268" t="str">
        <f>IF(D1866="","",VLOOKUP(D1866,契約台帳!$A$3:$K$4986,6,FALSE)&amp;VLOOKUP(D1866,契約台帳!$A$3:$K$4986,7,FALSE)&amp;VLOOKUP(D1866,契約台帳!$A$3:$K$4986,8,FALSE)&amp;VLOOKUP(D1866,契約台帳!$A$3:$K$4986,9,FALSE)&amp;VLOOKUP(D1866,契約台帳!$A$3:$K$4986,11,FALSE))</f>
        <v>3SNMCLBMSNEYK</v>
      </c>
      <c r="G1866" s="269" t="str">
        <f>IF(D1866="","",VLOOKUP(F1866,製品マスタ!$G$5:$H$5002,2,FALSE))</f>
        <v>S</v>
      </c>
      <c r="H1866" s="269" t="str">
        <f>IF(D1866="","",VLOOKUP(F1866,製品マスタ!$G$5:$K$5002,5,FALSE))</f>
        <v>MSNEYK</v>
      </c>
      <c r="I1866" s="270" t="str">
        <f>IF(D1866="","",VLOOKUP(F1866,製品マスタ!$G$5:$L$5002,6,FALSE))</f>
        <v>ＭＳＮ　ＥＹＫ</v>
      </c>
      <c r="J1866" s="210" t="s">
        <v>463</v>
      </c>
      <c r="K1866" s="270">
        <f>IF(D1866="","",VLOOKUP(D1866,契約台帳!$A$3:$L$4986,12,FALSE))</f>
        <v>50</v>
      </c>
      <c r="L1866" s="270" t="s">
        <v>1759</v>
      </c>
      <c r="M1866" s="39">
        <v>1200</v>
      </c>
      <c r="N1866" s="39">
        <v>12000</v>
      </c>
      <c r="O1866" s="156">
        <v>1</v>
      </c>
      <c r="P1866" s="47">
        <v>6</v>
      </c>
      <c r="Q1866" s="57"/>
      <c r="R1866" s="271">
        <f ca="1">IF(D1866="","",IF(OFFSET(D1866,-1,0)&lt;&gt;"","",IF(OR(J1866="リード付け",J1866="巻足し",J1866="巻返しリード付け"),M1866,VLOOKUP(D1866,契約台帳!$A$3:$N$4986,14,FALSE))))</f>
        <v>1200</v>
      </c>
      <c r="S1866" s="272">
        <f ca="1">IF(D1866="","",IF(OFFSET(D1866,-1,0)&lt;&gt;"","",IF(OR(J1866="リード付け",J1866="巻足し",J1866="巻返しリード付け"),M1866,VLOOKUP(D1866,契約台帳!$A$3:$O$4986,15,FALSE))))</f>
        <v>1190</v>
      </c>
      <c r="T1866" s="273">
        <f ca="1">IF(D1866="","",IF(J1866="リード付け",N1866,IF(J1866="巻返しリード付け",N1866,IF(J1866="巻足し",N1866*P1866+OFFSET(N1866,1,0)*OFFSET(P1866,1,0),VLOOKUP(D1866,契約台帳!$A$3:$P$4986,16,FALSE)))))</f>
        <v>6000</v>
      </c>
      <c r="U1866" s="40">
        <v>2</v>
      </c>
      <c r="V1866" s="274">
        <f ca="1">IF(D1866="","",IF(OFFSET(D1866,-2,0)=D1866,"",VLOOKUP(D1866,契約台帳!$A$3:$R$4986,18,FALSE)))</f>
        <v>12</v>
      </c>
      <c r="W1866" s="269" t="s">
        <v>829</v>
      </c>
      <c r="X1866" s="269">
        <v>1220</v>
      </c>
      <c r="Y1866" s="275">
        <f ca="1">IF(D1866="","",IF(T1866="","",VLOOKUP(D1866,契約台帳!$A$3:$Q$4986,17,FALSE)))</f>
        <v>2</v>
      </c>
      <c r="Z1866" s="269" t="str">
        <f ca="1">IF(D1866="","",IF(T1866="","",VLOOKUP(D1866,契約台帳!$A$3:$E$4986,5,FALSE)))</f>
        <v>大阪シーリング印刷㈱</v>
      </c>
      <c r="AA1866" s="57"/>
      <c r="AB1866" s="207"/>
      <c r="AC1866" s="33"/>
      <c r="AD1866" s="189"/>
      <c r="AE1866" s="54"/>
      <c r="AF1866" s="55"/>
      <c r="AG1866" s="43"/>
      <c r="AH1866" s="47"/>
      <c r="AI1866" s="30"/>
      <c r="AJ1866" s="30"/>
      <c r="AK1866" s="30"/>
      <c r="AL1866" s="30"/>
      <c r="AM1866" s="13"/>
      <c r="AN1866" s="13"/>
      <c r="AO1866" s="13"/>
      <c r="AP1866" s="13"/>
      <c r="AQ1866" s="13"/>
      <c r="AR1866" s="14"/>
      <c r="AS1866" s="15"/>
    </row>
    <row r="1867" spans="1:45" s="17" customFormat="1" ht="30.95" hidden="1" customHeight="1" x14ac:dyDescent="0.2">
      <c r="A1867" s="37"/>
      <c r="B1867" s="38"/>
      <c r="C1867" s="45"/>
      <c r="D1867" s="31"/>
      <c r="E1867" s="31"/>
      <c r="F1867" s="268"/>
      <c r="G1867" s="269"/>
      <c r="H1867" s="269"/>
      <c r="I1867" s="301" t="s">
        <v>2750</v>
      </c>
      <c r="J1867" s="210"/>
      <c r="K1867" s="270"/>
      <c r="L1867" s="270"/>
      <c r="M1867" s="39"/>
      <c r="N1867" s="39"/>
      <c r="O1867" s="156"/>
      <c r="P1867" s="47"/>
      <c r="Q1867" s="57"/>
      <c r="R1867" s="271"/>
      <c r="S1867" s="272"/>
      <c r="T1867" s="273"/>
      <c r="U1867" s="40"/>
      <c r="V1867" s="274"/>
      <c r="W1867" s="269"/>
      <c r="X1867" s="269"/>
      <c r="Y1867" s="275"/>
      <c r="Z1867" s="269"/>
      <c r="AA1867" s="57"/>
      <c r="AB1867" s="207"/>
      <c r="AC1867" s="33"/>
      <c r="AD1867" s="189"/>
      <c r="AE1867" s="54"/>
      <c r="AF1867" s="55"/>
      <c r="AG1867" s="43"/>
      <c r="AH1867" s="47"/>
      <c r="AI1867" s="30"/>
      <c r="AJ1867" s="30"/>
      <c r="AK1867" s="30"/>
      <c r="AL1867" s="30"/>
      <c r="AM1867" s="13"/>
      <c r="AN1867" s="13"/>
      <c r="AO1867" s="13"/>
      <c r="AP1867" s="13"/>
      <c r="AQ1867" s="13"/>
      <c r="AR1867" s="14"/>
      <c r="AS1867" s="15"/>
    </row>
    <row r="1868" spans="1:45" s="17" customFormat="1" ht="30.95" hidden="1" customHeight="1" x14ac:dyDescent="0.2">
      <c r="A1868" s="37" t="s">
        <v>1066</v>
      </c>
      <c r="B1868" s="38" t="s">
        <v>443</v>
      </c>
      <c r="C1868" s="45"/>
      <c r="D1868" s="31">
        <v>3750076</v>
      </c>
      <c r="E1868" s="31">
        <v>4141119</v>
      </c>
      <c r="F1868" s="268" t="str">
        <f>IF(D1868="","",VLOOKUP(D1868,契約台帳!$A$3:$K$4986,6,FALSE)&amp;VLOOKUP(D1868,契約台帳!$A$3:$K$4986,7,FALSE)&amp;VLOOKUP(D1868,契約台帳!$A$3:$K$4986,8,FALSE)&amp;VLOOKUP(D1868,契約台帳!$A$3:$K$4986,9,FALSE)&amp;VLOOKUP(D1868,契約台帳!$A$3:$K$4986,11,FALSE))</f>
        <v>3SNMCLBDMSV</v>
      </c>
      <c r="G1868" s="269" t="str">
        <f>IF(D1868="","",VLOOKUP(F1868,製品マスタ!$G$5:$H$5002,2,FALSE))</f>
        <v>S</v>
      </c>
      <c r="H1868" s="269" t="str">
        <f>IF(D1868="","",VLOOKUP(F1868,製品マスタ!$G$5:$K$5002,5,FALSE))</f>
        <v>DMSV</v>
      </c>
      <c r="I1868" s="270" t="str">
        <f>IF(D1868="","",VLOOKUP(F1868,製品マスタ!$G$5:$L$5002,6,FALSE))</f>
        <v>ＤＭＳ　Ｖ</v>
      </c>
      <c r="J1868" s="210" t="s">
        <v>463</v>
      </c>
      <c r="K1868" s="270">
        <f>IF(D1868="","",VLOOKUP(D1868,契約台帳!$A$3:$L$4986,12,FALSE))</f>
        <v>50</v>
      </c>
      <c r="L1868" s="270" t="s">
        <v>1759</v>
      </c>
      <c r="M1868" s="39">
        <v>1005</v>
      </c>
      <c r="N1868" s="39">
        <v>4000</v>
      </c>
      <c r="O1868" s="156">
        <v>1</v>
      </c>
      <c r="P1868" s="47">
        <v>1</v>
      </c>
      <c r="Q1868" s="57"/>
      <c r="R1868" s="271">
        <f ca="1">IF(D1868="","",IF(OFFSET(D1868,-1,0)&lt;&gt;"","",IF(OR(J1868="リード付け",J1868="巻足し",J1868="巻返しリード付け"),M1868,VLOOKUP(D1868,契約台帳!$A$3:$N$4986,14,FALSE))))</f>
        <v>1005</v>
      </c>
      <c r="S1868" s="272">
        <f ca="1">IF(D1868="","",IF(OFFSET(D1868,-1,0)&lt;&gt;"","",IF(OR(J1868="リード付け",J1868="巻足し",J1868="巻返しリード付け"),M1868,VLOOKUP(D1868,契約台帳!$A$3:$O$4986,15,FALSE))))</f>
        <v>1000</v>
      </c>
      <c r="T1868" s="273">
        <f ca="1">IF(D1868="","",IF(J1868="リード付け",N1868,IF(J1868="巻返しリード付け",N1868,IF(J1868="巻足し",N1868*P1868+OFFSET(N1868,1,0)*OFFSET(P1868,1,0),VLOOKUP(D1868,契約台帳!$A$3:$P$4986,16,FALSE)))))</f>
        <v>2000</v>
      </c>
      <c r="U1868" s="40">
        <v>2</v>
      </c>
      <c r="V1868" s="274">
        <f ca="1">IF(D1868="","",IF(OFFSET(D1868,-2,0)=D1868,"",VLOOKUP(D1868,契約台帳!$A$3:$R$4986,18,FALSE)))</f>
        <v>2</v>
      </c>
      <c r="W1868" s="269" t="s">
        <v>829</v>
      </c>
      <c r="X1868" s="269">
        <v>1020</v>
      </c>
      <c r="Y1868" s="275">
        <f ca="1">IF(D1868="","",IF(T1868="","",VLOOKUP(D1868,契約台帳!$A$3:$Q$4986,17,FALSE)))</f>
        <v>2</v>
      </c>
      <c r="Z1868" s="269" t="str">
        <f ca="1">IF(D1868="","",IF(T1868="","",VLOOKUP(D1868,契約台帳!$A$3:$E$4986,5,FALSE)))</f>
        <v>リンテック㈱</v>
      </c>
      <c r="AA1868" s="57"/>
      <c r="AB1868" s="207"/>
      <c r="AC1868" s="33"/>
      <c r="AD1868" s="189"/>
      <c r="AE1868" s="54"/>
      <c r="AF1868" s="55"/>
      <c r="AG1868" s="43"/>
      <c r="AH1868" s="47"/>
      <c r="AI1868" s="30"/>
      <c r="AJ1868" s="30"/>
      <c r="AK1868" s="30"/>
      <c r="AL1868" s="30"/>
      <c r="AM1868" s="13"/>
      <c r="AN1868" s="13"/>
      <c r="AO1868" s="13"/>
      <c r="AP1868" s="13"/>
      <c r="AQ1868" s="13"/>
      <c r="AR1868" s="14"/>
      <c r="AS1868" s="15"/>
    </row>
    <row r="1869" spans="1:45" s="17" customFormat="1" ht="30.95" hidden="1" customHeight="1" x14ac:dyDescent="0.2">
      <c r="A1869" s="37"/>
      <c r="B1869" s="38"/>
      <c r="C1869" s="45"/>
      <c r="D1869" s="31"/>
      <c r="E1869" s="31"/>
      <c r="F1869" s="268"/>
      <c r="G1869" s="269"/>
      <c r="H1869" s="269"/>
      <c r="I1869" s="270"/>
      <c r="J1869" s="210"/>
      <c r="K1869" s="270"/>
      <c r="L1869" s="270"/>
      <c r="M1869" s="39"/>
      <c r="N1869" s="39"/>
      <c r="O1869" s="156"/>
      <c r="P1869" s="47"/>
      <c r="Q1869" s="57"/>
      <c r="R1869" s="271"/>
      <c r="S1869" s="272"/>
      <c r="T1869" s="273"/>
      <c r="U1869" s="40"/>
      <c r="V1869" s="274"/>
      <c r="W1869" s="269"/>
      <c r="X1869" s="269"/>
      <c r="Y1869" s="275"/>
      <c r="Z1869" s="269"/>
      <c r="AA1869" s="57"/>
      <c r="AB1869" s="207"/>
      <c r="AC1869" s="33"/>
      <c r="AD1869" s="189"/>
      <c r="AE1869" s="54"/>
      <c r="AF1869" s="55"/>
      <c r="AG1869" s="43"/>
      <c r="AH1869" s="47"/>
      <c r="AI1869" s="30"/>
      <c r="AJ1869" s="30"/>
      <c r="AK1869" s="30"/>
      <c r="AL1869" s="30"/>
      <c r="AM1869" s="13"/>
      <c r="AN1869" s="13"/>
      <c r="AO1869" s="13"/>
      <c r="AP1869" s="13"/>
      <c r="AQ1869" s="13"/>
      <c r="AR1869" s="14"/>
      <c r="AS1869" s="15"/>
    </row>
    <row r="1870" spans="1:45" s="17" customFormat="1" ht="30.95" hidden="1" customHeight="1" x14ac:dyDescent="0.2">
      <c r="A1870" s="37"/>
      <c r="B1870" s="38"/>
      <c r="C1870" s="45"/>
      <c r="D1870" s="31">
        <v>3750073</v>
      </c>
      <c r="E1870" s="31">
        <v>4141112</v>
      </c>
      <c r="F1870" s="268" t="str">
        <f>IF(D1870="","",VLOOKUP(D1870,契約台帳!$A$3:$K$4986,6,FALSE)&amp;VLOOKUP(D1870,契約台帳!$A$3:$K$4986,7,FALSE)&amp;VLOOKUP(D1870,契約台帳!$A$3:$K$4986,8,FALSE)&amp;VLOOKUP(D1870,契約台帳!$A$3:$K$4986,9,FALSE)&amp;VLOOKUP(D1870,契約台帳!$A$3:$K$4986,11,FALSE))</f>
        <v>33SSNMCLBTEKKFV</v>
      </c>
      <c r="G1870" s="269" t="str">
        <f>IF(D1870="","",VLOOKUP(F1870,製品マスタ!$G$5:$H$5002,2,FALSE))</f>
        <v>S</v>
      </c>
      <c r="H1870" s="269" t="str">
        <f>IF(D1870="","",VLOOKUP(F1870,製品マスタ!$G$5:$K$5002,5,FALSE))</f>
        <v>TEKKFV</v>
      </c>
      <c r="I1870" s="270" t="str">
        <f>IF(D1870="","",VLOOKUP(F1870,製品マスタ!$G$5:$L$5002,6,FALSE))</f>
        <v>メタルミー　ＴＥＳ消開封　Ｖ</v>
      </c>
      <c r="J1870" s="210" t="s">
        <v>463</v>
      </c>
      <c r="K1870" s="270">
        <f>IF(D1870="","",VLOOKUP(D1870,契約台帳!$A$3:$L$4986,12,FALSE))</f>
        <v>50</v>
      </c>
      <c r="L1870" s="270" t="s">
        <v>1759</v>
      </c>
      <c r="M1870" s="39">
        <v>1005</v>
      </c>
      <c r="N1870" s="39">
        <v>12000</v>
      </c>
      <c r="O1870" s="156">
        <v>1</v>
      </c>
      <c r="P1870" s="47">
        <v>1</v>
      </c>
      <c r="Q1870" s="57"/>
      <c r="R1870" s="271">
        <f ca="1">IF(D1870="","",IF(OFFSET(D1870,-1,0)&lt;&gt;"","",IF(OR(J1870="リード付け",J1870="巻足し",J1870="巻返しリード付け"),M1870,VLOOKUP(D1870,契約台帳!$A$3:$N$4986,14,FALSE))))</f>
        <v>1005</v>
      </c>
      <c r="S1870" s="272">
        <f ca="1">IF(D1870="","",IF(OFFSET(D1870,-1,0)&lt;&gt;"","",IF(OR(J1870="リード付け",J1870="巻足し",J1870="巻返しリード付け"),M1870,VLOOKUP(D1870,契約台帳!$A$3:$O$4986,15,FALSE))))</f>
        <v>1000</v>
      </c>
      <c r="T1870" s="273">
        <f ca="1">IF(D1870="","",IF(J1870="リード付け",N1870,IF(J1870="巻返しリード付け",N1870,IF(J1870="巻足し",N1870*P1870+OFFSET(N1870,1,0)*OFFSET(P1870,1,0),VLOOKUP(D1870,契約台帳!$A$3:$P$4986,16,FALSE)))))</f>
        <v>4000</v>
      </c>
      <c r="U1870" s="40">
        <v>3</v>
      </c>
      <c r="V1870" s="274">
        <f ca="1">IF(D1870="","",IF(OFFSET(D1870,-2,0)=D1870,"",VLOOKUP(D1870,契約台帳!$A$3:$R$4986,18,FALSE)))</f>
        <v>3</v>
      </c>
      <c r="W1870" s="269" t="s">
        <v>806</v>
      </c>
      <c r="X1870" s="269">
        <v>1015</v>
      </c>
      <c r="Y1870" s="275">
        <f ca="1">IF(D1870="","",IF(T1870="","",VLOOKUP(D1870,契約台帳!$A$3:$Q$4986,17,FALSE)))</f>
        <v>2</v>
      </c>
      <c r="Z1870" s="269" t="str">
        <f ca="1">IF(D1870="","",IF(T1870="","",VLOOKUP(D1870,契約台帳!$A$3:$E$4986,5,FALSE)))</f>
        <v>リンテック㈱</v>
      </c>
      <c r="AA1870" s="57"/>
      <c r="AB1870" s="207"/>
      <c r="AC1870" s="33"/>
      <c r="AD1870" s="189"/>
      <c r="AE1870" s="54"/>
      <c r="AF1870" s="55"/>
      <c r="AG1870" s="43"/>
      <c r="AH1870" s="47"/>
      <c r="AI1870" s="30"/>
      <c r="AJ1870" s="30"/>
      <c r="AK1870" s="30"/>
      <c r="AL1870" s="30"/>
      <c r="AM1870" s="13"/>
      <c r="AN1870" s="13"/>
      <c r="AO1870" s="13"/>
      <c r="AP1870" s="13"/>
      <c r="AQ1870" s="13"/>
      <c r="AR1870" s="14"/>
      <c r="AS1870" s="15"/>
    </row>
    <row r="1871" spans="1:45" s="17" customFormat="1" ht="30.95" hidden="1" customHeight="1" x14ac:dyDescent="0.2">
      <c r="A1871" s="37"/>
      <c r="B1871" s="38"/>
      <c r="C1871" s="45"/>
      <c r="D1871" s="31"/>
      <c r="E1871" s="31"/>
      <c r="F1871" s="268"/>
      <c r="G1871" s="269"/>
      <c r="H1871" s="269"/>
      <c r="I1871" s="270"/>
      <c r="J1871" s="210"/>
      <c r="K1871" s="270"/>
      <c r="L1871" s="270"/>
      <c r="M1871" s="39"/>
      <c r="N1871" s="39"/>
      <c r="O1871" s="156"/>
      <c r="P1871" s="47"/>
      <c r="Q1871" s="57"/>
      <c r="R1871" s="271"/>
      <c r="S1871" s="272"/>
      <c r="T1871" s="273"/>
      <c r="U1871" s="40"/>
      <c r="V1871" s="274"/>
      <c r="W1871" s="269"/>
      <c r="X1871" s="269"/>
      <c r="Y1871" s="275"/>
      <c r="Z1871" s="269"/>
      <c r="AA1871" s="57"/>
      <c r="AB1871" s="207"/>
      <c r="AC1871" s="33"/>
      <c r="AD1871" s="189"/>
      <c r="AE1871" s="54"/>
      <c r="AF1871" s="55"/>
      <c r="AG1871" s="43"/>
      <c r="AH1871" s="47"/>
      <c r="AI1871" s="30"/>
      <c r="AJ1871" s="30"/>
      <c r="AK1871" s="30"/>
      <c r="AL1871" s="30"/>
      <c r="AM1871" s="13"/>
      <c r="AN1871" s="13"/>
      <c r="AO1871" s="13"/>
      <c r="AP1871" s="13"/>
      <c r="AQ1871" s="13"/>
      <c r="AR1871" s="14"/>
      <c r="AS1871" s="15"/>
    </row>
    <row r="1872" spans="1:45" s="17" customFormat="1" ht="30.95" hidden="1" customHeight="1" x14ac:dyDescent="0.2">
      <c r="A1872" s="37"/>
      <c r="B1872" s="38"/>
      <c r="C1872" s="45"/>
      <c r="D1872" s="31">
        <v>3750074</v>
      </c>
      <c r="E1872" s="31">
        <v>4141113</v>
      </c>
      <c r="F1872" s="268" t="str">
        <f>IF(D1872="","",VLOOKUP(D1872,契約台帳!$A$3:$K$4986,6,FALSE)&amp;VLOOKUP(D1872,契約台帳!$A$3:$K$4986,7,FALSE)&amp;VLOOKUP(D1872,契約台帳!$A$3:$K$4986,8,FALSE)&amp;VLOOKUP(D1872,契約台帳!$A$3:$K$4986,9,FALSE)&amp;VLOOKUP(D1872,契約台帳!$A$3:$K$4986,11,FALSE))</f>
        <v>33SSNMCLBTEKV0V</v>
      </c>
      <c r="G1872" s="269" t="str">
        <f>IF(D1872="","",VLOOKUP(F1872,製品マスタ!$G$5:$H$5002,2,FALSE))</f>
        <v>S</v>
      </c>
      <c r="H1872" s="269" t="str">
        <f>IF(D1872="","",VLOOKUP(F1872,製品マスタ!$G$5:$K$5002,5,FALSE))</f>
        <v>TEKV0V</v>
      </c>
      <c r="I1872" s="270" t="str">
        <f>IF(D1872="","",VLOOKUP(F1872,製品マスタ!$G$5:$L$5002,6,FALSE))</f>
        <v>メタルミー　ＴＥ－Ｓ消　ＶＯＩＤ　Ｖ</v>
      </c>
      <c r="J1872" s="210" t="s">
        <v>463</v>
      </c>
      <c r="K1872" s="270">
        <f>IF(D1872="","",VLOOKUP(D1872,契約台帳!$A$3:$L$4986,12,FALSE))</f>
        <v>50</v>
      </c>
      <c r="L1872" s="270" t="s">
        <v>1759</v>
      </c>
      <c r="M1872" s="39">
        <v>1005</v>
      </c>
      <c r="N1872" s="39">
        <v>12000</v>
      </c>
      <c r="O1872" s="156">
        <v>1</v>
      </c>
      <c r="P1872" s="47">
        <v>1</v>
      </c>
      <c r="Q1872" s="57"/>
      <c r="R1872" s="271">
        <f ca="1">IF(D1872="","",IF(OFFSET(D1872,-1,0)&lt;&gt;"","",IF(OR(J1872="リード付け",J1872="巻足し",J1872="巻返しリード付け"),M1872,VLOOKUP(D1872,契約台帳!$A$3:$N$4986,14,FALSE))))</f>
        <v>1005</v>
      </c>
      <c r="S1872" s="272">
        <f ca="1">IF(D1872="","",IF(OFFSET(D1872,-1,0)&lt;&gt;"","",IF(OR(J1872="リード付け",J1872="巻足し",J1872="巻返しリード付け"),M1872,VLOOKUP(D1872,契約台帳!$A$3:$O$4986,15,FALSE))))</f>
        <v>1000</v>
      </c>
      <c r="T1872" s="273">
        <f ca="1">IF(D1872="","",IF(J1872="リード付け",N1872,IF(J1872="巻返しリード付け",N1872,IF(J1872="巻足し",N1872*P1872+OFFSET(N1872,1,0)*OFFSET(P1872,1,0),VLOOKUP(D1872,契約台帳!$A$3:$P$4986,16,FALSE)))))</f>
        <v>4000</v>
      </c>
      <c r="U1872" s="40">
        <v>3</v>
      </c>
      <c r="V1872" s="274">
        <f ca="1">IF(D1872="","",IF(OFFSET(D1872,-2,0)=D1872,"",VLOOKUP(D1872,契約台帳!$A$3:$R$4986,18,FALSE)))</f>
        <v>5</v>
      </c>
      <c r="W1872" s="269" t="s">
        <v>806</v>
      </c>
      <c r="X1872" s="269">
        <v>1015</v>
      </c>
      <c r="Y1872" s="275">
        <f ca="1">IF(D1872="","",IF(T1872="","",VLOOKUP(D1872,契約台帳!$A$3:$Q$4986,17,FALSE)))</f>
        <v>2</v>
      </c>
      <c r="Z1872" s="269" t="str">
        <f ca="1">IF(D1872="","",IF(T1872="","",VLOOKUP(D1872,契約台帳!$A$3:$E$4986,5,FALSE)))</f>
        <v>リンテック㈱</v>
      </c>
      <c r="AA1872" s="57"/>
      <c r="AB1872" s="207"/>
      <c r="AC1872" s="33"/>
      <c r="AD1872" s="189"/>
      <c r="AE1872" s="54"/>
      <c r="AF1872" s="55"/>
      <c r="AG1872" s="43"/>
      <c r="AH1872" s="47"/>
      <c r="AI1872" s="30"/>
      <c r="AJ1872" s="30"/>
      <c r="AK1872" s="30"/>
      <c r="AL1872" s="30"/>
      <c r="AM1872" s="13"/>
      <c r="AN1872" s="13"/>
      <c r="AO1872" s="13"/>
      <c r="AP1872" s="13"/>
      <c r="AQ1872" s="13"/>
      <c r="AR1872" s="14"/>
      <c r="AS1872" s="15"/>
    </row>
    <row r="1873" spans="1:45" s="17" customFormat="1" ht="30.95" hidden="1" customHeight="1" x14ac:dyDescent="0.2">
      <c r="A1873" s="37"/>
      <c r="B1873" s="38"/>
      <c r="C1873" s="45"/>
      <c r="D1873" s="31"/>
      <c r="E1873" s="31"/>
      <c r="F1873" s="268"/>
      <c r="G1873" s="269"/>
      <c r="H1873" s="269"/>
      <c r="I1873" s="270"/>
      <c r="J1873" s="210"/>
      <c r="K1873" s="270"/>
      <c r="L1873" s="270"/>
      <c r="M1873" s="39"/>
      <c r="N1873" s="39"/>
      <c r="O1873" s="156"/>
      <c r="P1873" s="47"/>
      <c r="Q1873" s="57"/>
      <c r="R1873" s="271"/>
      <c r="S1873" s="272"/>
      <c r="T1873" s="273"/>
      <c r="U1873" s="40"/>
      <c r="V1873" s="274"/>
      <c r="W1873" s="269"/>
      <c r="X1873" s="269"/>
      <c r="Y1873" s="275"/>
      <c r="Z1873" s="269"/>
      <c r="AA1873" s="57"/>
      <c r="AB1873" s="207"/>
      <c r="AC1873" s="33"/>
      <c r="AD1873" s="189"/>
      <c r="AE1873" s="54"/>
      <c r="AF1873" s="55"/>
      <c r="AG1873" s="43"/>
      <c r="AH1873" s="47"/>
      <c r="AI1873" s="30"/>
      <c r="AJ1873" s="30"/>
      <c r="AK1873" s="30"/>
      <c r="AL1873" s="30"/>
      <c r="AM1873" s="13"/>
      <c r="AN1873" s="13"/>
      <c r="AO1873" s="13"/>
      <c r="AP1873" s="13"/>
      <c r="AQ1873" s="13"/>
      <c r="AR1873" s="14"/>
      <c r="AS1873" s="15"/>
    </row>
    <row r="1874" spans="1:45" s="17" customFormat="1" ht="30.95" hidden="1" customHeight="1" x14ac:dyDescent="0.2">
      <c r="A1874" s="37"/>
      <c r="B1874" s="38"/>
      <c r="C1874" s="45"/>
      <c r="D1874" s="31">
        <v>3750074</v>
      </c>
      <c r="E1874" s="31">
        <v>4141113</v>
      </c>
      <c r="F1874" s="268" t="str">
        <f>IF(D1874="","",VLOOKUP(D1874,契約台帳!$A$3:$K$4986,6,FALSE)&amp;VLOOKUP(D1874,契約台帳!$A$3:$K$4986,7,FALSE)&amp;VLOOKUP(D1874,契約台帳!$A$3:$K$4986,8,FALSE)&amp;VLOOKUP(D1874,契約台帳!$A$3:$K$4986,9,FALSE)&amp;VLOOKUP(D1874,契約台帳!$A$3:$K$4986,11,FALSE))</f>
        <v>33SSNMCLBTEKV0V</v>
      </c>
      <c r="G1874" s="269" t="str">
        <f>IF(D1874="","",VLOOKUP(F1874,製品マスタ!$G$5:$H$5002,2,FALSE))</f>
        <v>S</v>
      </c>
      <c r="H1874" s="269" t="str">
        <f>IF(D1874="","",VLOOKUP(F1874,製品マスタ!$G$5:$K$5002,5,FALSE))</f>
        <v>TEKV0V</v>
      </c>
      <c r="I1874" s="270" t="str">
        <f>IF(D1874="","",VLOOKUP(F1874,製品マスタ!$G$5:$L$5002,6,FALSE))</f>
        <v>メタルミー　ＴＥ－Ｓ消　ＶＯＩＤ　Ｖ</v>
      </c>
      <c r="J1874" s="210" t="s">
        <v>463</v>
      </c>
      <c r="K1874" s="270">
        <f>IF(D1874="","",VLOOKUP(D1874,契約台帳!$A$3:$L$4986,12,FALSE))</f>
        <v>50</v>
      </c>
      <c r="L1874" s="270" t="s">
        <v>1759</v>
      </c>
      <c r="M1874" s="39">
        <v>1005</v>
      </c>
      <c r="N1874" s="39">
        <v>12000</v>
      </c>
      <c r="O1874" s="156">
        <v>1</v>
      </c>
      <c r="P1874" s="47">
        <v>1</v>
      </c>
      <c r="Q1874" s="57"/>
      <c r="R1874" s="271">
        <f ca="1">IF(D1874="","",IF(OFFSET(D1874,-1,0)&lt;&gt;"","",IF(OR(J1874="リード付け",J1874="巻足し",J1874="巻返しリード付け"),M1874,VLOOKUP(D1874,契約台帳!$A$3:$N$4986,14,FALSE))))</f>
        <v>1005</v>
      </c>
      <c r="S1874" s="272">
        <f ca="1">IF(D1874="","",IF(OFFSET(D1874,-1,0)&lt;&gt;"","",IF(OR(J1874="リード付け",J1874="巻足し",J1874="巻返しリード付け"),M1874,VLOOKUP(D1874,契約台帳!$A$3:$O$4986,15,FALSE))))</f>
        <v>1000</v>
      </c>
      <c r="T1874" s="273">
        <f ca="1">IF(D1874="","",IF(J1874="リード付け",N1874,IF(J1874="巻返しリード付け",N1874,IF(J1874="巻足し",N1874*P1874+OFFSET(N1874,1,0)*OFFSET(P1874,1,0),VLOOKUP(D1874,契約台帳!$A$3:$P$4986,16,FALSE)))))</f>
        <v>4000</v>
      </c>
      <c r="U1874" s="40">
        <v>2</v>
      </c>
      <c r="V1874" s="274" t="str">
        <f ca="1">IF(D1874="","",IF(OFFSET(D1874,-2,0)=D1874,"",VLOOKUP(D1874,契約台帳!$A$3:$R$4986,18,FALSE)))</f>
        <v/>
      </c>
      <c r="W1874" s="269" t="s">
        <v>806</v>
      </c>
      <c r="X1874" s="269">
        <v>1015</v>
      </c>
      <c r="Y1874" s="275">
        <f ca="1">IF(D1874="","",IF(T1874="","",VLOOKUP(D1874,契約台帳!$A$3:$Q$4986,17,FALSE)))</f>
        <v>2</v>
      </c>
      <c r="Z1874" s="269" t="str">
        <f ca="1">IF(D1874="","",IF(T1874="","",VLOOKUP(D1874,契約台帳!$A$3:$E$4986,5,FALSE)))</f>
        <v>リンテック㈱</v>
      </c>
      <c r="AA1874" s="57"/>
      <c r="AB1874" s="207"/>
      <c r="AC1874" s="33"/>
      <c r="AD1874" s="189"/>
      <c r="AE1874" s="54"/>
      <c r="AF1874" s="55"/>
      <c r="AG1874" s="43"/>
      <c r="AH1874" s="47"/>
      <c r="AI1874" s="30"/>
      <c r="AJ1874" s="30"/>
      <c r="AK1874" s="30"/>
      <c r="AL1874" s="30"/>
      <c r="AM1874" s="13"/>
      <c r="AN1874" s="13"/>
      <c r="AO1874" s="13"/>
      <c r="AP1874" s="13"/>
      <c r="AQ1874" s="13"/>
      <c r="AR1874" s="14"/>
      <c r="AS1874" s="15"/>
    </row>
    <row r="1875" spans="1:45" s="17" customFormat="1" ht="30.95" hidden="1" customHeight="1" x14ac:dyDescent="0.2">
      <c r="A1875" s="37"/>
      <c r="B1875" s="38"/>
      <c r="C1875" s="45"/>
      <c r="D1875" s="31">
        <v>3750075</v>
      </c>
      <c r="E1875" s="31"/>
      <c r="F1875" s="268" t="str">
        <f>IF(D1875="","",VLOOKUP(D1875,契約台帳!$A$3:$K$4986,6,FALSE)&amp;VLOOKUP(D1875,契約台帳!$A$3:$K$4986,7,FALSE)&amp;VLOOKUP(D1875,契約台帳!$A$3:$K$4986,8,FALSE)&amp;VLOOKUP(D1875,契約台帳!$A$3:$K$4986,9,FALSE)&amp;VLOOKUP(D1875,契約台帳!$A$3:$K$4986,11,FALSE))</f>
        <v>33SSYMCLBTEKV0V</v>
      </c>
      <c r="G1875" s="269" t="str">
        <f>IF(D1875="","",VLOOKUP(F1875,製品マスタ!$G$5:$H$5002,2,FALSE))</f>
        <v>S</v>
      </c>
      <c r="H1875" s="269" t="str">
        <f>IF(D1875="","",VLOOKUP(F1875,製品マスタ!$G$5:$K$5002,5,FALSE))</f>
        <v>TEKV0V</v>
      </c>
      <c r="I1875" s="270" t="str">
        <f>IF(D1875="","",VLOOKUP(F1875,製品マスタ!$G$5:$L$5002,6,FALSE))</f>
        <v>メタルミー　ＴＥ－Ｓ消　ＶＯＩＤ　Ｖ</v>
      </c>
      <c r="J1875" s="210" t="s">
        <v>463</v>
      </c>
      <c r="K1875" s="270">
        <f>IF(D1875="","",VLOOKUP(D1875,契約台帳!$A$3:$L$4986,12,FALSE))</f>
        <v>50</v>
      </c>
      <c r="L1875" s="270" t="s">
        <v>1759</v>
      </c>
      <c r="M1875" s="39"/>
      <c r="N1875" s="39"/>
      <c r="O1875" s="156"/>
      <c r="P1875" s="47"/>
      <c r="Q1875" s="57"/>
      <c r="R1875" s="271">
        <v>1005</v>
      </c>
      <c r="S1875" s="272">
        <v>1000</v>
      </c>
      <c r="T1875" s="273">
        <f ca="1">IF(D1875="","",IF(J1875="リード付け",N1875,IF(J1875="巻返しリード付け",N1875,IF(J1875="巻足し",N1875*P1875+OFFSET(N1875,1,0)*OFFSET(P1875,1,0),VLOOKUP(D1875,契約台帳!$A$3:$P$4986,16,FALSE)))))</f>
        <v>4000</v>
      </c>
      <c r="U1875" s="40">
        <v>1</v>
      </c>
      <c r="V1875" s="274">
        <f ca="1">IF(D1875="","",IF(OFFSET(D1875,-2,0)=D1875,"",VLOOKUP(D1875,契約台帳!$A$3:$R$4986,18,FALSE)))</f>
        <v>1</v>
      </c>
      <c r="W1875" s="269" t="s">
        <v>806</v>
      </c>
      <c r="X1875" s="269">
        <v>1015</v>
      </c>
      <c r="Y1875" s="275">
        <f ca="1">IF(D1875="","",IF(T1875="","",VLOOKUP(D1875,契約台帳!$A$3:$Q$4986,17,FALSE)))</f>
        <v>2</v>
      </c>
      <c r="Z1875" s="269" t="str">
        <f ca="1">IF(D1875="","",IF(T1875="","",VLOOKUP(D1875,契約台帳!$A$3:$E$4986,5,FALSE)))</f>
        <v>リンテック㈱</v>
      </c>
      <c r="AA1875" s="57"/>
      <c r="AB1875" s="424" t="s">
        <v>2751</v>
      </c>
      <c r="AC1875" s="33"/>
      <c r="AD1875" s="189"/>
      <c r="AE1875" s="54"/>
      <c r="AF1875" s="55"/>
      <c r="AG1875" s="43"/>
      <c r="AH1875" s="47"/>
      <c r="AI1875" s="30"/>
      <c r="AJ1875" s="30"/>
      <c r="AK1875" s="30"/>
      <c r="AL1875" s="30"/>
      <c r="AM1875" s="13"/>
      <c r="AN1875" s="13"/>
      <c r="AO1875" s="13"/>
      <c r="AP1875" s="13"/>
      <c r="AQ1875" s="13"/>
      <c r="AR1875" s="14"/>
      <c r="AS1875" s="15"/>
    </row>
    <row r="1876" spans="1:45" s="17" customFormat="1" ht="30.95" hidden="1" customHeight="1" x14ac:dyDescent="0.2">
      <c r="A1876" s="37"/>
      <c r="B1876" s="38"/>
      <c r="C1876" s="45"/>
      <c r="D1876" s="31"/>
      <c r="E1876" s="31"/>
      <c r="F1876" s="268"/>
      <c r="G1876" s="269"/>
      <c r="H1876" s="269"/>
      <c r="I1876" s="270"/>
      <c r="J1876" s="210"/>
      <c r="K1876" s="270"/>
      <c r="L1876" s="270"/>
      <c r="M1876" s="39"/>
      <c r="N1876" s="39"/>
      <c r="O1876" s="156"/>
      <c r="P1876" s="47"/>
      <c r="Q1876" s="57"/>
      <c r="R1876" s="271"/>
      <c r="S1876" s="272"/>
      <c r="T1876" s="273"/>
      <c r="U1876" s="40"/>
      <c r="V1876" s="274"/>
      <c r="W1876" s="269"/>
      <c r="X1876" s="269"/>
      <c r="Y1876" s="275"/>
      <c r="Z1876" s="269"/>
      <c r="AA1876" s="57"/>
      <c r="AB1876" s="207"/>
      <c r="AC1876" s="33"/>
      <c r="AD1876" s="189"/>
      <c r="AE1876" s="54"/>
      <c r="AF1876" s="55"/>
      <c r="AG1876" s="43"/>
      <c r="AH1876" s="47"/>
      <c r="AI1876" s="30"/>
      <c r="AJ1876" s="30"/>
      <c r="AK1876" s="30"/>
      <c r="AL1876" s="30"/>
      <c r="AM1876" s="13"/>
      <c r="AN1876" s="13"/>
      <c r="AO1876" s="13"/>
      <c r="AP1876" s="13"/>
      <c r="AQ1876" s="13"/>
      <c r="AR1876" s="14"/>
      <c r="AS1876" s="15"/>
    </row>
    <row r="1877" spans="1:45" s="17" customFormat="1" ht="30.95" hidden="1" customHeight="1" x14ac:dyDescent="0.2">
      <c r="A1877" s="37"/>
      <c r="B1877" s="38"/>
      <c r="C1877" s="45"/>
      <c r="D1877" s="31">
        <v>3750096</v>
      </c>
      <c r="E1877" s="31">
        <v>4141128</v>
      </c>
      <c r="F1877" s="268" t="str">
        <f>IF(D1877="","",VLOOKUP(D1877,契約台帳!$A$3:$K$4986,6,FALSE)&amp;VLOOKUP(D1877,契約台帳!$A$3:$K$4986,7,FALSE)&amp;VLOOKUP(D1877,契約台帳!$A$3:$K$4986,8,FALSE)&amp;VLOOKUP(D1877,契約台帳!$A$3:$K$4986,9,FALSE)&amp;VLOOKUP(D1877,契約台帳!$A$3:$K$4986,11,FALSE))</f>
        <v>3TNMCLBHLGTV</v>
      </c>
      <c r="G1877" s="269" t="str">
        <f>IF(D1877="","",VLOOKUP(F1877,製品マスタ!$G$5:$H$5002,2,FALSE))</f>
        <v>T</v>
      </c>
      <c r="H1877" s="269" t="str">
        <f>IF(D1877="","",VLOOKUP(F1877,製品マスタ!$G$5:$K$5002,5,FALSE))</f>
        <v>HLGTV</v>
      </c>
      <c r="I1877" s="270" t="str">
        <f>IF(D1877="","",VLOOKUP(F1877,製品マスタ!$G$5:$L$5002,6,FALSE))</f>
        <v>メタルミー　ヘヤライン　銀艶Ｖ</v>
      </c>
      <c r="J1877" s="210" t="s">
        <v>463</v>
      </c>
      <c r="K1877" s="270">
        <f>IF(D1877="","",VLOOKUP(D1877,契約台帳!$A$3:$L$4986,12,FALSE))</f>
        <v>50</v>
      </c>
      <c r="L1877" s="270" t="s">
        <v>1759</v>
      </c>
      <c r="M1877" s="39">
        <v>1005</v>
      </c>
      <c r="N1877" s="39">
        <v>12300</v>
      </c>
      <c r="O1877" s="156">
        <v>1</v>
      </c>
      <c r="P1877" s="47">
        <v>1</v>
      </c>
      <c r="Q1877" s="57"/>
      <c r="R1877" s="271">
        <f ca="1">IF(D1877="","",IF(OFFSET(D1877,-1,0)&lt;&gt;"","",IF(OR(J1877="リード付け",J1877="巻足し",J1877="巻返しリード付け"),M1877,VLOOKUP(D1877,契約台帳!$A$3:$N$4986,14,FALSE))))</f>
        <v>1005</v>
      </c>
      <c r="S1877" s="272">
        <f ca="1">IF(D1877="","",IF(OFFSET(D1877,-1,0)&lt;&gt;"","",IF(OR(J1877="リード付け",J1877="巻足し",J1877="巻返しリード付け"),M1877,VLOOKUP(D1877,契約台帳!$A$3:$O$4986,15,FALSE))))</f>
        <v>1000</v>
      </c>
      <c r="T1877" s="273">
        <f ca="1">IF(D1877="","",IF(J1877="リード付け",N1877,IF(J1877="巻返しリード付け",N1877,IF(J1877="巻足し",N1877*P1877+OFFSET(N1877,1,0)*OFFSET(P1877,1,0),VLOOKUP(D1877,契約台帳!$A$3:$P$4986,16,FALSE)))))</f>
        <v>4100</v>
      </c>
      <c r="U1877" s="40">
        <v>2</v>
      </c>
      <c r="V1877" s="274">
        <f ca="1">IF(D1877="","",IF(OFFSET(D1877,-2,0)=D1877,"",VLOOKUP(D1877,契約台帳!$A$3:$R$4986,18,FALSE)))</f>
        <v>1</v>
      </c>
      <c r="W1877" s="269" t="s">
        <v>806</v>
      </c>
      <c r="X1877" s="269">
        <v>1015</v>
      </c>
      <c r="Y1877" s="275">
        <f ca="1">IF(D1877="","",IF(T1877="","",VLOOKUP(D1877,契約台帳!$A$3:$Q$4986,17,FALSE)))</f>
        <v>2</v>
      </c>
      <c r="Z1877" s="269" t="str">
        <f ca="1">IF(D1877="","",IF(T1877="","",VLOOKUP(D1877,契約台帳!$A$3:$E$4986,5,FALSE)))</f>
        <v>リンテック㈱</v>
      </c>
      <c r="AA1877" s="57"/>
      <c r="AB1877" s="207"/>
      <c r="AC1877" s="33"/>
      <c r="AD1877" s="189"/>
      <c r="AE1877" s="54"/>
      <c r="AF1877" s="55"/>
      <c r="AG1877" s="43"/>
      <c r="AH1877" s="47"/>
      <c r="AI1877" s="30"/>
      <c r="AJ1877" s="30"/>
      <c r="AK1877" s="30"/>
      <c r="AL1877" s="30"/>
      <c r="AM1877" s="13"/>
      <c r="AN1877" s="13"/>
      <c r="AO1877" s="13"/>
      <c r="AP1877" s="13"/>
      <c r="AQ1877" s="13"/>
      <c r="AR1877" s="14"/>
      <c r="AS1877" s="15"/>
    </row>
    <row r="1878" spans="1:45" s="17" customFormat="1" ht="30.95" hidden="1" customHeight="1" x14ac:dyDescent="0.2">
      <c r="A1878" s="37"/>
      <c r="B1878" s="38"/>
      <c r="C1878" s="45"/>
      <c r="D1878" s="31">
        <v>3750097</v>
      </c>
      <c r="E1878" s="31"/>
      <c r="F1878" s="268" t="str">
        <f>IF(D1878="","",VLOOKUP(D1878,契約台帳!$A$3:$K$4986,6,FALSE)&amp;VLOOKUP(D1878,契約台帳!$A$3:$K$4986,7,FALSE)&amp;VLOOKUP(D1878,契約台帳!$A$3:$K$4986,8,FALSE)&amp;VLOOKUP(D1878,契約台帳!$A$3:$K$4986,9,FALSE)&amp;VLOOKUP(D1878,契約台帳!$A$3:$K$4986,11,FALSE))</f>
        <v>3TNMCLBHLGTV</v>
      </c>
      <c r="G1878" s="269" t="str">
        <f>IF(D1878="","",VLOOKUP(F1878,製品マスタ!$G$5:$H$5002,2,FALSE))</f>
        <v>T</v>
      </c>
      <c r="H1878" s="269" t="str">
        <f>IF(D1878="","",VLOOKUP(F1878,製品マスタ!$G$5:$K$5002,5,FALSE))</f>
        <v>HLGTV</v>
      </c>
      <c r="I1878" s="270" t="str">
        <f>IF(D1878="","",VLOOKUP(F1878,製品マスタ!$G$5:$L$5002,6,FALSE))</f>
        <v>メタルミー　ヘヤライン　銀艶Ｖ</v>
      </c>
      <c r="J1878" s="210" t="s">
        <v>463</v>
      </c>
      <c r="K1878" s="270">
        <f>IF(D1878="","",VLOOKUP(D1878,契約台帳!$A$3:$L$4986,12,FALSE))</f>
        <v>50</v>
      </c>
      <c r="L1878" s="270" t="s">
        <v>1759</v>
      </c>
      <c r="M1878" s="39"/>
      <c r="N1878" s="39"/>
      <c r="O1878" s="156"/>
      <c r="P1878" s="47"/>
      <c r="Q1878" s="57"/>
      <c r="R1878" s="271">
        <v>1005</v>
      </c>
      <c r="S1878" s="272">
        <v>1000</v>
      </c>
      <c r="T1878" s="273">
        <f ca="1">IF(D1878="","",IF(J1878="リード付け",N1878,IF(J1878="巻返しリード付け",N1878,IF(J1878="巻足し",N1878*P1878+OFFSET(N1878,1,0)*OFFSET(P1878,1,0),VLOOKUP(D1878,契約台帳!$A$3:$P$4986,16,FALSE)))))</f>
        <v>2000</v>
      </c>
      <c r="U1878" s="40">
        <v>2</v>
      </c>
      <c r="V1878" s="274">
        <f ca="1">IF(D1878="","",IF(OFFSET(D1878,-2,0)=D1878,"",VLOOKUP(D1878,契約台帳!$A$3:$R$4986,18,FALSE)))</f>
        <v>2</v>
      </c>
      <c r="W1878" s="269" t="s">
        <v>806</v>
      </c>
      <c r="X1878" s="269">
        <v>1015</v>
      </c>
      <c r="Y1878" s="275">
        <f ca="1">IF(D1878="","",IF(T1878="","",VLOOKUP(D1878,契約台帳!$A$3:$Q$4986,17,FALSE)))</f>
        <v>2</v>
      </c>
      <c r="Z1878" s="269" t="str">
        <f ca="1">IF(D1878="","",IF(T1878="","",VLOOKUP(D1878,契約台帳!$A$3:$E$4986,5,FALSE)))</f>
        <v>リンテック㈱</v>
      </c>
      <c r="AA1878" s="57"/>
      <c r="AB1878" s="207"/>
      <c r="AC1878" s="33"/>
      <c r="AD1878" s="189"/>
      <c r="AE1878" s="54"/>
      <c r="AF1878" s="55"/>
      <c r="AG1878" s="43"/>
      <c r="AH1878" s="47"/>
      <c r="AI1878" s="30"/>
      <c r="AJ1878" s="30"/>
      <c r="AK1878" s="30"/>
      <c r="AL1878" s="30"/>
      <c r="AM1878" s="13"/>
      <c r="AN1878" s="13"/>
      <c r="AO1878" s="13"/>
      <c r="AP1878" s="13"/>
      <c r="AQ1878" s="13"/>
      <c r="AR1878" s="14"/>
      <c r="AS1878" s="15"/>
    </row>
    <row r="1879" spans="1:45" s="17" customFormat="1" ht="30.95" hidden="1" customHeight="1" x14ac:dyDescent="0.2">
      <c r="A1879" s="37"/>
      <c r="B1879" s="38"/>
      <c r="C1879" s="45"/>
      <c r="D1879" s="31"/>
      <c r="E1879" s="31"/>
      <c r="F1879" s="268"/>
      <c r="G1879" s="269"/>
      <c r="H1879" s="269"/>
      <c r="I1879" s="270"/>
      <c r="J1879" s="210"/>
      <c r="K1879" s="270"/>
      <c r="L1879" s="270"/>
      <c r="M1879" s="39"/>
      <c r="N1879" s="39"/>
      <c r="O1879" s="156"/>
      <c r="P1879" s="47"/>
      <c r="Q1879" s="57"/>
      <c r="R1879" s="271"/>
      <c r="S1879" s="272"/>
      <c r="T1879" s="273"/>
      <c r="U1879" s="40"/>
      <c r="V1879" s="274"/>
      <c r="W1879" s="269"/>
      <c r="X1879" s="269"/>
      <c r="Y1879" s="275"/>
      <c r="Z1879" s="269"/>
      <c r="AA1879" s="57"/>
      <c r="AB1879" s="207"/>
      <c r="AC1879" s="33"/>
      <c r="AD1879" s="189"/>
      <c r="AE1879" s="54"/>
      <c r="AF1879" s="55"/>
      <c r="AG1879" s="43"/>
      <c r="AH1879" s="47"/>
      <c r="AI1879" s="30"/>
      <c r="AJ1879" s="30"/>
      <c r="AK1879" s="30"/>
      <c r="AL1879" s="30"/>
      <c r="AM1879" s="13"/>
      <c r="AN1879" s="13"/>
      <c r="AO1879" s="13"/>
      <c r="AP1879" s="13"/>
      <c r="AQ1879" s="13"/>
      <c r="AR1879" s="14"/>
      <c r="AS1879" s="15"/>
    </row>
    <row r="1880" spans="1:45" s="17" customFormat="1" ht="30.6" hidden="1" customHeight="1" x14ac:dyDescent="0.2">
      <c r="A1880" s="37"/>
      <c r="B1880" s="38"/>
      <c r="C1880" s="45"/>
      <c r="D1880" s="31">
        <v>3751758</v>
      </c>
      <c r="E1880" s="31">
        <v>4141130</v>
      </c>
      <c r="F1880" s="268" t="str">
        <f>IF(D1880="","",VLOOKUP(D1880,契約台帳!$A$3:$K$4986,6,FALSE)&amp;VLOOKUP(D1880,契約台帳!$A$3:$K$4986,7,FALSE)&amp;VLOOKUP(D1880,契約台帳!$A$3:$K$4986,8,FALSE)&amp;VLOOKUP(D1880,契約台帳!$A$3:$K$4986,9,FALSE)&amp;VLOOKUP(D1880,契約台帳!$A$3:$K$4986,11,FALSE))</f>
        <v>3TNMCLBHLKTV</v>
      </c>
      <c r="G1880" s="269" t="str">
        <f>IF(D1880="","",VLOOKUP(F1880,製品マスタ!$G$5:$H$5002,2,FALSE))</f>
        <v>T</v>
      </c>
      <c r="H1880" s="269" t="str">
        <f>IF(D1880="","",VLOOKUP(F1880,製品マスタ!$G$5:$K$5002,5,FALSE))</f>
        <v>HLKTV</v>
      </c>
      <c r="I1880" s="270" t="str">
        <f>IF(D1880="","",VLOOKUP(F1880,製品マスタ!$G$5:$L$5002,6,FALSE))</f>
        <v>メタルミー　ヘヤライン金艶　Ｖ</v>
      </c>
      <c r="J1880" s="210" t="s">
        <v>447</v>
      </c>
      <c r="K1880" s="270">
        <f>IF(D1880="","",VLOOKUP(D1880,契約台帳!$A$3:$L$4986,12,FALSE))</f>
        <v>50</v>
      </c>
      <c r="L1880" s="270" t="str">
        <f>IF(D1880="","",INDEX(製品マスタ!$Q$5:$Q$5002,MATCH('S4'!F1880&amp;'S4'!K1880,製品マスタ!$AO$5:$AO$5002,0)))</f>
        <v>HL50/EC</v>
      </c>
      <c r="M1880" s="39">
        <v>1030</v>
      </c>
      <c r="N1880" s="39">
        <v>4100</v>
      </c>
      <c r="O1880" s="156">
        <v>1</v>
      </c>
      <c r="P1880" s="47">
        <v>1</v>
      </c>
      <c r="Q1880" s="57"/>
      <c r="R1880" s="271">
        <f ca="1">IF(D1880="","",IF(OFFSET(D1880,-1,0)&lt;&gt;"","",IF(OR(J1880="リード付け",J1880="巻足し",J1880="巻返しリード付け"),M1880,VLOOKUP(D1880,契約台帳!$A$3:$N$4986,14,FALSE))))</f>
        <v>1000</v>
      </c>
      <c r="S1880" s="272">
        <f ca="1">IF(D1880="","",IF(OFFSET(D1880,-1,0)&lt;&gt;"","",IF(OR(J1880="リード付け",J1880="巻足し",J1880="巻返しリード付け"),M1880,VLOOKUP(D1880,契約台帳!$A$3:$O$4986,15,FALSE))))</f>
        <v>1000</v>
      </c>
      <c r="T1880" s="273">
        <f ca="1">IF(D1880="","",IF(J1880="リード付け",N1880,IF(J1880="巻返しリード付け",N1880,IF(J1880="巻足し",N1880*P1880+OFFSET(N1880,1,0)*OFFSET(P1880,1,0),VLOOKUP(D1880,契約台帳!$A$3:$P$4986,16,FALSE)))))</f>
        <v>2000</v>
      </c>
      <c r="U1880" s="40">
        <v>2</v>
      </c>
      <c r="V1880" s="274">
        <f ca="1">IF(D1880="","",IF(OFFSET(D1880,-2,0)=D1880,"",VLOOKUP(D1880,契約台帳!$A$3:$R$4986,18,FALSE)))</f>
        <v>2</v>
      </c>
      <c r="W1880" s="269" t="str">
        <f ca="1">IF(D1880="","",IF(T1880="","",IF(OR(J1880="巻足し",J1880="巻返しリード付け"),"",IF(J1880="巻返し",VLOOKUP(F1880&amp;K1880&amp;M1880,製品マスタ!$M$5:$AD$5002,18,FALSE),IF(OR(J1880="リード付け",J1880="巻返しリード付け"),"原反コア",IF(J1880="スリット",VLOOKUP(F1880&amp;K1880&amp;R1880,製品マスタ!$N$5:$AD$5002,17,FALSE),""))))))</f>
        <v>6ｲﾝﾁSｺｱ</v>
      </c>
      <c r="X1880" s="269">
        <f ca="1">IF(D1880="","",IF(T1880="","",IF(J1880="巻足し","",IF(J1880="巻返し",VLOOKUP(F1880&amp;K1880&amp;M1880,製品マスタ!$M$5:$AE$5002,19,FALSE),IF(OR(J1880="リード付け",J1880="巻返しリード付け"),"",IF(J1880="スリット",VLOOKUP(F1880&amp;K1880&amp;R1880,製品マスタ!$N$5:$AE$5002,18,FALSE),""))))))</f>
        <v>1015</v>
      </c>
      <c r="Y1880" s="275">
        <f ca="1">IF(D1880="","",IF(T1880="","",VLOOKUP(D1880,契約台帳!$A$3:$Q$4986,17,FALSE)))</f>
        <v>2</v>
      </c>
      <c r="Z1880" s="269" t="str">
        <f ca="1">IF(D1880="","",IF(T1880="","",VLOOKUP(D1880,契約台帳!$A$3:$E$4986,5,FALSE)))</f>
        <v>リンテック㈱</v>
      </c>
      <c r="AA1880" s="57"/>
      <c r="AB1880" s="303" t="s">
        <v>774</v>
      </c>
      <c r="AC1880" s="33"/>
      <c r="AD1880" s="189"/>
      <c r="AE1880" s="54"/>
      <c r="AF1880" s="55"/>
      <c r="AG1880" s="43"/>
      <c r="AH1880" s="47"/>
      <c r="AI1880" s="30"/>
      <c r="AJ1880" s="30"/>
      <c r="AK1880" s="30"/>
      <c r="AL1880" s="30"/>
      <c r="AM1880" s="13"/>
      <c r="AN1880" s="13"/>
      <c r="AO1880" s="13"/>
      <c r="AP1880" s="13"/>
      <c r="AQ1880" s="13"/>
      <c r="AR1880" s="14"/>
      <c r="AS1880" s="15"/>
    </row>
    <row r="1881" spans="1:45" s="17" customFormat="1" ht="30.95" hidden="1" customHeight="1" x14ac:dyDescent="0.2">
      <c r="A1881" s="37"/>
      <c r="B1881" s="38"/>
      <c r="C1881" s="45"/>
      <c r="D1881" s="31"/>
      <c r="E1881" s="31"/>
      <c r="F1881" s="268"/>
      <c r="G1881" s="269"/>
      <c r="H1881" s="269"/>
      <c r="I1881" s="270"/>
      <c r="J1881" s="210"/>
      <c r="K1881" s="270"/>
      <c r="L1881" s="270"/>
      <c r="M1881" s="39"/>
      <c r="N1881" s="39"/>
      <c r="O1881" s="156"/>
      <c r="P1881" s="47"/>
      <c r="Q1881" s="57"/>
      <c r="R1881" s="271"/>
      <c r="S1881" s="272"/>
      <c r="T1881" s="273"/>
      <c r="U1881" s="40"/>
      <c r="V1881" s="274"/>
      <c r="W1881" s="269"/>
      <c r="X1881" s="269"/>
      <c r="Y1881" s="275"/>
      <c r="Z1881" s="269"/>
      <c r="AA1881" s="57"/>
      <c r="AB1881" s="207"/>
      <c r="AC1881" s="33"/>
      <c r="AD1881" s="189"/>
      <c r="AE1881" s="54"/>
      <c r="AF1881" s="55"/>
      <c r="AG1881" s="43"/>
      <c r="AH1881" s="47"/>
      <c r="AI1881" s="30"/>
      <c r="AJ1881" s="30"/>
      <c r="AK1881" s="30"/>
      <c r="AL1881" s="30"/>
      <c r="AM1881" s="13"/>
      <c r="AN1881" s="13"/>
      <c r="AO1881" s="13"/>
      <c r="AP1881" s="13"/>
      <c r="AQ1881" s="13"/>
      <c r="AR1881" s="14"/>
      <c r="AS1881" s="15"/>
    </row>
    <row r="1882" spans="1:45" s="17" customFormat="1" ht="30.95" hidden="1" customHeight="1" x14ac:dyDescent="0.2">
      <c r="A1882" s="37" t="s">
        <v>1067</v>
      </c>
      <c r="B1882" s="38" t="s">
        <v>444</v>
      </c>
      <c r="C1882" s="45"/>
      <c r="D1882" s="31"/>
      <c r="E1882" s="31"/>
      <c r="F1882" s="268"/>
      <c r="G1882" s="269"/>
      <c r="H1882" s="269"/>
      <c r="I1882" s="270"/>
      <c r="J1882" s="210" t="s">
        <v>490</v>
      </c>
      <c r="K1882" s="270"/>
      <c r="L1882" s="270"/>
      <c r="M1882" s="39"/>
      <c r="N1882" s="39"/>
      <c r="O1882" s="156"/>
      <c r="P1882" s="47"/>
      <c r="Q1882" s="57"/>
      <c r="R1882" s="338"/>
      <c r="S1882" s="272"/>
      <c r="T1882" s="273"/>
      <c r="U1882" s="40"/>
      <c r="V1882" s="277"/>
      <c r="W1882" s="269"/>
      <c r="X1882" s="269"/>
      <c r="Y1882" s="275"/>
      <c r="Z1882" s="269"/>
      <c r="AA1882" s="57"/>
      <c r="AB1882" s="207"/>
      <c r="AC1882" s="33"/>
      <c r="AD1882" s="189"/>
      <c r="AE1882" s="54"/>
      <c r="AF1882" s="55"/>
      <c r="AG1882" s="43"/>
      <c r="AH1882" s="47"/>
      <c r="AI1882" s="30"/>
      <c r="AJ1882" s="30"/>
      <c r="AK1882" s="30"/>
      <c r="AL1882" s="30"/>
      <c r="AM1882" s="13"/>
      <c r="AN1882" s="13"/>
      <c r="AO1882" s="13"/>
      <c r="AP1882" s="13"/>
      <c r="AQ1882" s="13"/>
      <c r="AR1882" s="14"/>
      <c r="AS1882" s="15"/>
    </row>
    <row r="1883" spans="1:45" s="17" customFormat="1" ht="30.95" hidden="1" customHeight="1" x14ac:dyDescent="0.2">
      <c r="A1883" s="37"/>
      <c r="B1883" s="38"/>
      <c r="C1883" s="45"/>
      <c r="D1883" s="31"/>
      <c r="E1883" s="31"/>
      <c r="F1883" s="268"/>
      <c r="G1883" s="269"/>
      <c r="H1883" s="269"/>
      <c r="I1883" s="270"/>
      <c r="J1883" s="210"/>
      <c r="K1883" s="270"/>
      <c r="L1883" s="270"/>
      <c r="M1883" s="39"/>
      <c r="N1883" s="39"/>
      <c r="O1883" s="156"/>
      <c r="P1883" s="47"/>
      <c r="Q1883" s="57"/>
      <c r="R1883" s="338"/>
      <c r="S1883" s="272"/>
      <c r="T1883" s="273"/>
      <c r="U1883" s="40"/>
      <c r="V1883" s="277"/>
      <c r="W1883" s="269"/>
      <c r="X1883" s="269"/>
      <c r="Y1883" s="275"/>
      <c r="Z1883" s="269"/>
      <c r="AA1883" s="57"/>
      <c r="AB1883" s="207"/>
      <c r="AC1883" s="33"/>
      <c r="AD1883" s="189"/>
      <c r="AE1883" s="54"/>
      <c r="AF1883" s="55"/>
      <c r="AG1883" s="43"/>
      <c r="AH1883" s="47"/>
      <c r="AI1883" s="30"/>
      <c r="AJ1883" s="30"/>
      <c r="AK1883" s="30"/>
      <c r="AL1883" s="30"/>
      <c r="AM1883" s="13"/>
      <c r="AN1883" s="13"/>
      <c r="AO1883" s="13"/>
      <c r="AP1883" s="13"/>
      <c r="AQ1883" s="13"/>
      <c r="AR1883" s="14"/>
      <c r="AS1883" s="15"/>
    </row>
    <row r="1884" spans="1:45" s="17" customFormat="1" ht="30.95" hidden="1" customHeight="1" x14ac:dyDescent="0.2">
      <c r="A1884" s="37" t="s">
        <v>2729</v>
      </c>
      <c r="B1884" s="38" t="s">
        <v>2726</v>
      </c>
      <c r="C1884" s="45"/>
      <c r="D1884" s="31"/>
      <c r="E1884" s="31"/>
      <c r="F1884" s="268"/>
      <c r="G1884" s="269"/>
      <c r="H1884" s="269"/>
      <c r="I1884" s="270"/>
      <c r="J1884" s="210" t="s">
        <v>448</v>
      </c>
      <c r="K1884" s="270"/>
      <c r="L1884" s="270"/>
      <c r="M1884" s="39"/>
      <c r="N1884" s="39"/>
      <c r="O1884" s="156"/>
      <c r="P1884" s="47"/>
      <c r="Q1884" s="57"/>
      <c r="R1884" s="338"/>
      <c r="S1884" s="272"/>
      <c r="T1884" s="273"/>
      <c r="U1884" s="40"/>
      <c r="V1884" s="277"/>
      <c r="W1884" s="269"/>
      <c r="X1884" s="269"/>
      <c r="Y1884" s="275"/>
      <c r="Z1884" s="269"/>
      <c r="AA1884" s="57"/>
      <c r="AB1884" s="207"/>
      <c r="AC1884" s="33"/>
      <c r="AD1884" s="189"/>
      <c r="AE1884" s="54"/>
      <c r="AF1884" s="55"/>
      <c r="AG1884" s="43"/>
      <c r="AH1884" s="47"/>
      <c r="AI1884" s="30"/>
      <c r="AJ1884" s="30"/>
      <c r="AK1884" s="30"/>
      <c r="AL1884" s="30"/>
      <c r="AM1884" s="13"/>
      <c r="AN1884" s="13"/>
      <c r="AO1884" s="13"/>
      <c r="AP1884" s="13"/>
      <c r="AQ1884" s="13"/>
      <c r="AR1884" s="14"/>
      <c r="AS1884" s="15"/>
    </row>
    <row r="1885" spans="1:45" s="17" customFormat="1" ht="30.95" hidden="1" customHeight="1" x14ac:dyDescent="0.2">
      <c r="A1885" s="37"/>
      <c r="B1885" s="38"/>
      <c r="C1885" s="45"/>
      <c r="D1885" s="31"/>
      <c r="E1885" s="31"/>
      <c r="F1885" s="268"/>
      <c r="G1885" s="269"/>
      <c r="H1885" s="269"/>
      <c r="I1885" s="270"/>
      <c r="J1885" s="210"/>
      <c r="K1885" s="270"/>
      <c r="L1885" s="270"/>
      <c r="M1885" s="39"/>
      <c r="N1885" s="39"/>
      <c r="O1885" s="156"/>
      <c r="P1885" s="47"/>
      <c r="Q1885" s="57"/>
      <c r="R1885" s="338"/>
      <c r="S1885" s="272"/>
      <c r="T1885" s="273"/>
      <c r="U1885" s="40"/>
      <c r="V1885" s="277"/>
      <c r="W1885" s="269"/>
      <c r="X1885" s="269"/>
      <c r="Y1885" s="275"/>
      <c r="Z1885" s="269"/>
      <c r="AA1885" s="57"/>
      <c r="AB1885" s="207"/>
      <c r="AC1885" s="33"/>
      <c r="AD1885" s="189"/>
      <c r="AE1885" s="54"/>
      <c r="AF1885" s="55"/>
      <c r="AG1885" s="43"/>
      <c r="AH1885" s="47"/>
      <c r="AI1885" s="30"/>
      <c r="AJ1885" s="30"/>
      <c r="AK1885" s="30"/>
      <c r="AL1885" s="30"/>
      <c r="AM1885" s="13"/>
      <c r="AN1885" s="13"/>
      <c r="AO1885" s="13"/>
      <c r="AP1885" s="13"/>
      <c r="AQ1885" s="13"/>
      <c r="AR1885" s="14"/>
      <c r="AS1885" s="15"/>
    </row>
    <row r="1886" spans="1:45" s="17" customFormat="1" ht="30.95" hidden="1" customHeight="1" x14ac:dyDescent="0.2">
      <c r="A1886" s="37" t="s">
        <v>2730</v>
      </c>
      <c r="B1886" s="38" t="s">
        <v>2728</v>
      </c>
      <c r="C1886" s="45"/>
      <c r="D1886" s="31"/>
      <c r="E1886" s="31"/>
      <c r="F1886" s="268"/>
      <c r="G1886" s="269"/>
      <c r="H1886" s="269"/>
      <c r="I1886" s="270"/>
      <c r="J1886" s="210" t="s">
        <v>448</v>
      </c>
      <c r="K1886" s="270"/>
      <c r="L1886" s="270"/>
      <c r="M1886" s="39"/>
      <c r="N1886" s="39"/>
      <c r="O1886" s="156"/>
      <c r="P1886" s="47"/>
      <c r="Q1886" s="57"/>
      <c r="R1886" s="338"/>
      <c r="S1886" s="272"/>
      <c r="T1886" s="273"/>
      <c r="U1886" s="40"/>
      <c r="V1886" s="277"/>
      <c r="W1886" s="269"/>
      <c r="X1886" s="269"/>
      <c r="Y1886" s="275"/>
      <c r="Z1886" s="269"/>
      <c r="AA1886" s="57"/>
      <c r="AB1886" s="207"/>
      <c r="AC1886" s="33"/>
      <c r="AD1886" s="189"/>
      <c r="AE1886" s="54"/>
      <c r="AF1886" s="55"/>
      <c r="AG1886" s="43"/>
      <c r="AH1886" s="47"/>
      <c r="AI1886" s="30"/>
      <c r="AJ1886" s="30"/>
      <c r="AK1886" s="30"/>
      <c r="AL1886" s="30"/>
      <c r="AM1886" s="13"/>
      <c r="AN1886" s="13"/>
      <c r="AO1886" s="13"/>
      <c r="AP1886" s="13"/>
      <c r="AQ1886" s="13"/>
      <c r="AR1886" s="14"/>
      <c r="AS1886" s="15"/>
    </row>
    <row r="1887" spans="1:45" s="17" customFormat="1" ht="30.95" hidden="1" customHeight="1" x14ac:dyDescent="0.2">
      <c r="A1887" s="37"/>
      <c r="B1887" s="38"/>
      <c r="C1887" s="45"/>
      <c r="D1887" s="31"/>
      <c r="E1887" s="31"/>
      <c r="F1887" s="268"/>
      <c r="G1887" s="269"/>
      <c r="H1887" s="269"/>
      <c r="I1887" s="270"/>
      <c r="J1887" s="210"/>
      <c r="K1887" s="270"/>
      <c r="L1887" s="270"/>
      <c r="M1887" s="39"/>
      <c r="N1887" s="39"/>
      <c r="O1887" s="156"/>
      <c r="P1887" s="47"/>
      <c r="Q1887" s="57"/>
      <c r="R1887" s="271"/>
      <c r="S1887" s="272"/>
      <c r="T1887" s="273"/>
      <c r="U1887" s="40"/>
      <c r="V1887" s="274"/>
      <c r="W1887" s="269"/>
      <c r="X1887" s="269"/>
      <c r="Y1887" s="275"/>
      <c r="Z1887" s="269"/>
      <c r="AA1887" s="57"/>
      <c r="AB1887" s="207"/>
      <c r="AC1887" s="33"/>
      <c r="AD1887" s="189"/>
      <c r="AE1887" s="54"/>
      <c r="AF1887" s="55"/>
      <c r="AG1887" s="43"/>
      <c r="AH1887" s="47"/>
      <c r="AI1887" s="30"/>
      <c r="AJ1887" s="30"/>
      <c r="AK1887" s="30"/>
      <c r="AL1887" s="30"/>
      <c r="AM1887" s="13"/>
      <c r="AN1887" s="13"/>
      <c r="AO1887" s="13"/>
      <c r="AP1887" s="13"/>
      <c r="AQ1887" s="13"/>
      <c r="AR1887" s="14"/>
      <c r="AS1887" s="15"/>
    </row>
    <row r="1888" spans="1:45" s="17" customFormat="1" ht="30" hidden="1" customHeight="1" x14ac:dyDescent="0.2">
      <c r="A1888" s="37" t="s">
        <v>1070</v>
      </c>
      <c r="B1888" s="38" t="s">
        <v>462</v>
      </c>
      <c r="C1888" s="45"/>
      <c r="D1888" s="31">
        <v>3754098</v>
      </c>
      <c r="E1888" s="31">
        <v>4162311</v>
      </c>
      <c r="F1888" s="268" t="str">
        <f>IF(D1888="","",VLOOKUP(D1888,契約台帳!$A$3:$K$4986,6,FALSE)&amp;VLOOKUP(D1888,契約台帳!$A$3:$K$4986,7,FALSE)&amp;VLOOKUP(D1888,契約台帳!$A$3:$K$4986,8,FALSE)&amp;VLOOKUP(D1888,契約台帳!$A$3:$K$4986,9,FALSE)&amp;VLOOKUP(D1888,契約台帳!$A$3:$K$4986,11,FALSE))</f>
        <v>3SNMCLBMSNEYK</v>
      </c>
      <c r="G1888" s="269" t="str">
        <f>IF(D1888="","",VLOOKUP(F1888,製品マスタ!$G$5:$H$5002,2,FALSE))</f>
        <v>S</v>
      </c>
      <c r="H1888" s="269" t="str">
        <f>IF(D1888="","",VLOOKUP(F1888,製品マスタ!$G$5:$K$5002,5,FALSE))</f>
        <v>MSNEYK</v>
      </c>
      <c r="I1888" s="270" t="str">
        <f>IF(D1888="","",VLOOKUP(F1888,製品マスタ!$G$5:$L$5002,6,FALSE))</f>
        <v>ＭＳＮ　ＥＹＫ</v>
      </c>
      <c r="J1888" s="210" t="s">
        <v>935</v>
      </c>
      <c r="K1888" s="270">
        <f>IF(D1888="","",VLOOKUP(D1888,契約台帳!$A$3:$L$4986,12,FALSE))</f>
        <v>100</v>
      </c>
      <c r="L1888" s="270" t="str">
        <f>IF(D1888="","",INDEX(製品マスタ!$Q$5:$Q$5002,MATCH('S4'!F1888&amp;'S4'!K1888,製品マスタ!$AO$5:$AO$5002,0)))</f>
        <v>N-MAT</v>
      </c>
      <c r="M1888" s="39">
        <v>1205</v>
      </c>
      <c r="N1888" s="39">
        <v>2500</v>
      </c>
      <c r="O1888" s="156">
        <v>2</v>
      </c>
      <c r="P1888" s="47">
        <v>2</v>
      </c>
      <c r="Q1888" s="213">
        <v>45407</v>
      </c>
      <c r="R1888" s="271">
        <f ca="1">IF(D1888="","",IF(OFFSET(D1888,-1,0)&lt;&gt;"","",IF(OR(J1888="リード付け",J1888="巻足し",J1888="巻返しリード付け"),M1888,VLOOKUP(D1888,契約台帳!$A$3:$N$4986,14,FALSE))))</f>
        <v>1205</v>
      </c>
      <c r="S1888" s="272">
        <f ca="1">IF(D1888="","",IF(OFFSET(D1888,-1,0)&lt;&gt;"","",IF(OR(J1888="リード付け",J1888="巻足し",J1888="巻返しリード付け"),M1888,VLOOKUP(D1888,契約台帳!$A$3:$O$4986,15,FALSE))))</f>
        <v>1205</v>
      </c>
      <c r="T1888" s="273">
        <f ca="1">IF(D1888="","",IF(J1888="リード付け",N1888,IF(J1888="巻返しリード付け",N1888,IF(J1888="巻足し",N1888*P1888+OFFSET(N1888,1,0)*OFFSET(P1888,1,0),VLOOKUP(D1888,契約台帳!$A$3:$P$4986,16,FALSE)))))</f>
        <v>5000</v>
      </c>
      <c r="U1888" s="40">
        <v>1</v>
      </c>
      <c r="V1888" s="274">
        <f ca="1">IF(D1888="","",IF(OFFSET(D1888,-2,0)=D1888,"",VLOOKUP(D1888,契約台帳!$A$3:$R$4986,18,FALSE)))</f>
        <v>2</v>
      </c>
      <c r="W1888" s="269" t="str">
        <f ca="1">IF(D1888="","",IF(T1888="","",IF(OR(J1888="巻足し",J1888="巻返しリード付け"),"",IF(J1888="巻返し",VLOOKUP(F1888&amp;K1888&amp;M1888,製品マスタ!$M$5:$AD$5002,18,FALSE),IF(OR(J1888="リード付け",J1888="巻返しリード付け"),"原反コア",IF(J1888="スリット",VLOOKUP(F1888&amp;K1888&amp;R1888,製品マスタ!$N$5:$AD$5002,17,FALSE),""))))))</f>
        <v/>
      </c>
      <c r="X1888" s="269" t="str">
        <f ca="1">IF(D1888="","",IF(T1888="","",IF(J1888="巻足し","",IF(J1888="巻返し",VLOOKUP(F1888&amp;K1888&amp;M1888,製品マスタ!$M$5:$AE$5002,19,FALSE),IF(OR(J1888="リード付け",J1888="巻返しリード付け"),"",IF(J1888="スリット",VLOOKUP(F1888&amp;K1888&amp;R1888,製品マスタ!$N$5:$AE$5002,18,FALSE),""))))))</f>
        <v/>
      </c>
      <c r="Y1888" s="275">
        <f ca="1">IF(D1888="","",IF(T1888="","",VLOOKUP(D1888,契約台帳!$A$3:$Q$4986,17,FALSE)))</f>
        <v>2</v>
      </c>
      <c r="Z1888" s="269" t="str">
        <f ca="1">IF(D1888="","",IF(T1888="","",VLOOKUP(D1888,契約台帳!$A$3:$E$4986,5,FALSE)))</f>
        <v>マルウ接着㈱</v>
      </c>
      <c r="AA1888" s="57"/>
      <c r="AB1888" s="207" t="str">
        <f>IFERROR((VLOOKUP(F1888&amp;K1888&amp;M1888,製品マスタ!$M$5:$AM$5002,27,FALSE)),"")</f>
        <v>原反ケース再利用</v>
      </c>
      <c r="AC1888" s="33"/>
      <c r="AD1888" s="189"/>
      <c r="AE1888" s="54"/>
      <c r="AF1888" s="55">
        <f>+M1888*N1888*O1888/1000</f>
        <v>6025</v>
      </c>
      <c r="AG1888" s="43"/>
      <c r="AH1888" s="47"/>
      <c r="AI1888" s="30"/>
      <c r="AJ1888" s="30"/>
      <c r="AK1888" s="30"/>
      <c r="AL1888" s="30"/>
      <c r="AM1888" s="13"/>
      <c r="AN1888" s="13"/>
      <c r="AO1888" s="13"/>
      <c r="AP1888" s="13"/>
      <c r="AQ1888" s="13"/>
      <c r="AR1888" s="14"/>
      <c r="AS1888" s="15"/>
    </row>
    <row r="1889" spans="1:45" s="17" customFormat="1" ht="30.95" hidden="1" customHeight="1" x14ac:dyDescent="0.2">
      <c r="A1889" s="37"/>
      <c r="B1889" s="38"/>
      <c r="C1889" s="45"/>
      <c r="D1889" s="31"/>
      <c r="E1889" s="31"/>
      <c r="F1889" s="268"/>
      <c r="G1889" s="269"/>
      <c r="H1889" s="269"/>
      <c r="I1889" s="270"/>
      <c r="J1889" s="210"/>
      <c r="K1889" s="270"/>
      <c r="L1889" s="270"/>
      <c r="M1889" s="39"/>
      <c r="N1889" s="39"/>
      <c r="O1889" s="156"/>
      <c r="P1889" s="47"/>
      <c r="Q1889" s="57"/>
      <c r="R1889" s="271"/>
      <c r="S1889" s="272"/>
      <c r="T1889" s="273"/>
      <c r="U1889" s="40"/>
      <c r="V1889" s="274"/>
      <c r="W1889" s="269"/>
      <c r="X1889" s="269"/>
      <c r="Y1889" s="275"/>
      <c r="Z1889" s="269"/>
      <c r="AA1889" s="57"/>
      <c r="AB1889" s="207"/>
      <c r="AC1889" s="33"/>
      <c r="AD1889" s="189"/>
      <c r="AE1889" s="54"/>
      <c r="AF1889" s="55"/>
      <c r="AG1889" s="43"/>
      <c r="AH1889" s="47"/>
      <c r="AI1889" s="30"/>
      <c r="AJ1889" s="30"/>
      <c r="AK1889" s="30"/>
      <c r="AL1889" s="30"/>
      <c r="AM1889" s="13"/>
      <c r="AN1889" s="13"/>
      <c r="AO1889" s="13"/>
      <c r="AP1889" s="13"/>
      <c r="AQ1889" s="13"/>
      <c r="AR1889" s="14"/>
      <c r="AS1889" s="15"/>
    </row>
    <row r="1890" spans="1:45" s="17" customFormat="1" ht="30" hidden="1" customHeight="1" x14ac:dyDescent="0.2">
      <c r="A1890" s="37"/>
      <c r="B1890" s="38"/>
      <c r="C1890" s="45"/>
      <c r="D1890" s="31">
        <v>3754080</v>
      </c>
      <c r="E1890" s="31">
        <v>4162299</v>
      </c>
      <c r="F1890" s="268" t="str">
        <f>IF(D1890="","",VLOOKUP(D1890,契約台帳!$A$3:$K$4986,6,FALSE)&amp;VLOOKUP(D1890,契約台帳!$A$3:$K$4986,7,FALSE)&amp;VLOOKUP(D1890,契約台帳!$A$3:$K$4986,8,FALSE)&amp;VLOOKUP(D1890,契約台帳!$A$3:$K$4986,9,FALSE)&amp;VLOOKUP(D1890,契約台帳!$A$3:$K$4986,11,FALSE))</f>
        <v>3SNMLBMNGKKBF</v>
      </c>
      <c r="G1890" s="269" t="str">
        <f>IF(D1890="","",VLOOKUP(F1890,製品マスタ!$G$5:$H$5002,2,FALSE))</f>
        <v>S</v>
      </c>
      <c r="H1890" s="269" t="str">
        <f>IF(D1890="","",VLOOKUP(F1890,製品マスタ!$G$5:$K$5002,5,FALSE))</f>
        <v>MNGKKBF</v>
      </c>
      <c r="I1890" s="270" t="str">
        <f>IF(D1890="","",VLOOKUP(F1890,製品マスタ!$G$5:$L$5002,6,FALSE))</f>
        <v>メタルミー　ネーマー銀消改　Ｂ</v>
      </c>
      <c r="J1890" s="210" t="s">
        <v>935</v>
      </c>
      <c r="K1890" s="270">
        <f>IF(D1890="","",VLOOKUP(D1890,契約台帳!$A$3:$L$4986,12,FALSE))</f>
        <v>25</v>
      </c>
      <c r="L1890" s="270" t="str">
        <f>IF(D1890="","",INDEX(製品マスタ!$Q$5:$Q$5002,MATCH('S4'!F1890&amp;'S4'!K1890,製品マスタ!$AO$5:$AO$5002,0)))</f>
        <v>FMATS99</v>
      </c>
      <c r="M1890" s="39">
        <v>1120</v>
      </c>
      <c r="N1890" s="39">
        <v>4000</v>
      </c>
      <c r="O1890" s="156">
        <v>3</v>
      </c>
      <c r="P1890" s="47">
        <v>3</v>
      </c>
      <c r="Q1890" s="213">
        <v>45408</v>
      </c>
      <c r="R1890" s="271">
        <f ca="1">IF(D1890="","",IF(OFFSET(D1890,-1,0)&lt;&gt;"","",IF(OR(J1890="リード付け",J1890="巻足し",J1890="巻返しリード付け"),M1890,VLOOKUP(D1890,契約台帳!$A$3:$N$4986,14,FALSE))))</f>
        <v>1120</v>
      </c>
      <c r="S1890" s="272">
        <f ca="1">IF(D1890="","",IF(OFFSET(D1890,-1,0)&lt;&gt;"","",IF(OR(J1890="リード付け",J1890="巻足し",J1890="巻返しリード付け"),M1890,VLOOKUP(D1890,契約台帳!$A$3:$O$4986,15,FALSE))))</f>
        <v>1120</v>
      </c>
      <c r="T1890" s="273">
        <f ca="1">IF(D1890="","",IF(J1890="リード付け",N1890,IF(J1890="巻返しリード付け",N1890,IF(J1890="巻足し",N1890*P1890+OFFSET(N1890,1,0)*OFFSET(P1890,1,0),VLOOKUP(D1890,契約台帳!$A$3:$P$4986,16,FALSE)))))</f>
        <v>12000</v>
      </c>
      <c r="U1890" s="40">
        <v>1</v>
      </c>
      <c r="V1890" s="274">
        <f ca="1">IF(D1890="","",IF(OFFSET(D1890,-2,0)=D1890,"",VLOOKUP(D1890,契約台帳!$A$3:$R$4986,18,FALSE)))</f>
        <v>3</v>
      </c>
      <c r="W1890" s="269" t="str">
        <f ca="1">IF(D1890="","",IF(T1890="","",IF(OR(J1890="巻足し",J1890="巻返しリード付け"),"",IF(J1890="巻返し",VLOOKUP(F1890&amp;K1890&amp;M1890,製品マスタ!$M$5:$AD$5002,18,FALSE),IF(OR(J1890="リード付け",J1890="巻返しリード付け"),"原反コア",IF(J1890="スリット",VLOOKUP(F1890&amp;K1890&amp;R1890,製品マスタ!$N$5:$AD$5002,17,FALSE),""))))))</f>
        <v/>
      </c>
      <c r="X1890" s="269" t="str">
        <f ca="1">IF(D1890="","",IF(T1890="","",IF(J1890="巻足し","",IF(J1890="巻返し",VLOOKUP(F1890&amp;K1890&amp;M1890,製品マスタ!$M$5:$AE$5002,19,FALSE),IF(OR(J1890="リード付け",J1890="巻返しリード付け"),"",IF(J1890="スリット",VLOOKUP(F1890&amp;K1890&amp;R1890,製品マスタ!$N$5:$AE$5002,18,FALSE),""))))))</f>
        <v/>
      </c>
      <c r="Y1890" s="275">
        <f ca="1">IF(D1890="","",IF(T1890="","",VLOOKUP(D1890,契約台帳!$A$3:$Q$4986,17,FALSE)))</f>
        <v>2</v>
      </c>
      <c r="Z1890" s="269" t="str">
        <f ca="1">IF(D1890="","",IF(T1890="","",VLOOKUP(D1890,契約台帳!$A$3:$E$4986,5,FALSE)))</f>
        <v>リンテック㈱</v>
      </c>
      <c r="AA1890" s="57"/>
      <c r="AB1890" s="207">
        <f>IFERROR((VLOOKUP(F1890&amp;K1890&amp;M1890,製品マスタ!$M$5:$AM$5002,27,FALSE)),"")</f>
        <v>0</v>
      </c>
      <c r="AC1890" s="33"/>
      <c r="AD1890" s="189"/>
      <c r="AE1890" s="54"/>
      <c r="AF1890" s="55">
        <f>+M1890*N1890*O1890/1000</f>
        <v>13440</v>
      </c>
      <c r="AG1890" s="43"/>
      <c r="AH1890" s="47"/>
      <c r="AI1890" s="30"/>
      <c r="AJ1890" s="30"/>
      <c r="AK1890" s="30"/>
      <c r="AL1890" s="30"/>
      <c r="AM1890" s="13"/>
      <c r="AN1890" s="13"/>
      <c r="AO1890" s="13"/>
      <c r="AP1890" s="13"/>
      <c r="AQ1890" s="13"/>
      <c r="AR1890" s="14"/>
      <c r="AS1890" s="15"/>
    </row>
    <row r="1891" spans="1:45" s="17" customFormat="1" ht="30.95" hidden="1" customHeight="1" x14ac:dyDescent="0.2">
      <c r="A1891" s="37"/>
      <c r="B1891" s="38"/>
      <c r="C1891" s="45"/>
      <c r="D1891" s="31"/>
      <c r="E1891" s="31"/>
      <c r="F1891" s="268"/>
      <c r="G1891" s="269"/>
      <c r="H1891" s="269"/>
      <c r="I1891" s="270"/>
      <c r="J1891" s="210"/>
      <c r="K1891" s="270"/>
      <c r="L1891" s="270"/>
      <c r="M1891" s="39"/>
      <c r="N1891" s="39"/>
      <c r="O1891" s="156"/>
      <c r="P1891" s="47"/>
      <c r="Q1891" s="57"/>
      <c r="R1891" s="271"/>
      <c r="S1891" s="272"/>
      <c r="T1891" s="273"/>
      <c r="U1891" s="40"/>
      <c r="V1891" s="274"/>
      <c r="W1891" s="269"/>
      <c r="X1891" s="269"/>
      <c r="Y1891" s="275"/>
      <c r="Z1891" s="269"/>
      <c r="AA1891" s="57"/>
      <c r="AB1891" s="207"/>
      <c r="AC1891" s="33"/>
      <c r="AD1891" s="189"/>
      <c r="AE1891" s="54"/>
      <c r="AF1891" s="55"/>
      <c r="AG1891" s="43"/>
      <c r="AH1891" s="47"/>
      <c r="AI1891" s="30"/>
      <c r="AJ1891" s="30"/>
      <c r="AK1891" s="30"/>
      <c r="AL1891" s="30"/>
      <c r="AM1891" s="13"/>
      <c r="AN1891" s="13"/>
      <c r="AO1891" s="13"/>
      <c r="AP1891" s="13"/>
      <c r="AQ1891" s="13"/>
      <c r="AR1891" s="14"/>
      <c r="AS1891" s="15"/>
    </row>
    <row r="1892" spans="1:45" s="17" customFormat="1" ht="30" hidden="1" customHeight="1" x14ac:dyDescent="0.2">
      <c r="A1892" s="37"/>
      <c r="B1892" s="38"/>
      <c r="C1892" s="45"/>
      <c r="D1892" s="31">
        <v>3754081</v>
      </c>
      <c r="E1892" s="31">
        <v>4162300</v>
      </c>
      <c r="F1892" s="268" t="str">
        <f>IF(D1892="","",VLOOKUP(D1892,契約台帳!$A$3:$K$4986,6,FALSE)&amp;VLOOKUP(D1892,契約台帳!$A$3:$K$4986,7,FALSE)&amp;VLOOKUP(D1892,契約台帳!$A$3:$K$4986,8,FALSE)&amp;VLOOKUP(D1892,契約台帳!$A$3:$K$4986,9,FALSE)&amp;VLOOKUP(D1892,契約台帳!$A$3:$K$4986,11,FALSE))</f>
        <v>3SYMLBMNGKKBF</v>
      </c>
      <c r="G1892" s="269" t="str">
        <f>IF(D1892="","",VLOOKUP(F1892,製品マスタ!$G$5:$H$5002,2,FALSE))</f>
        <v>S</v>
      </c>
      <c r="H1892" s="269" t="str">
        <f>IF(D1892="","",VLOOKUP(F1892,製品マスタ!$G$5:$K$5002,5,FALSE))</f>
        <v>MNGKKBF</v>
      </c>
      <c r="I1892" s="270" t="str">
        <f>IF(D1892="","",VLOOKUP(F1892,製品マスタ!$G$5:$L$5002,6,FALSE))</f>
        <v>メタルミー　ネーマー銀消改　Ｂ</v>
      </c>
      <c r="J1892" s="210" t="s">
        <v>935</v>
      </c>
      <c r="K1892" s="270">
        <f>IF(D1892="","",VLOOKUP(D1892,契約台帳!$A$3:$L$4986,12,FALSE))</f>
        <v>25</v>
      </c>
      <c r="L1892" s="270" t="str">
        <f>IF(D1892="","",INDEX(製品マスタ!$Q$5:$Q$5002,MATCH('S4'!F1892&amp;'S4'!K1892,製品マスタ!$AO$5:$AO$5002,0)))</f>
        <v>FMATS99</v>
      </c>
      <c r="M1892" s="39">
        <v>1120</v>
      </c>
      <c r="N1892" s="39">
        <v>4000</v>
      </c>
      <c r="O1892" s="156">
        <v>4</v>
      </c>
      <c r="P1892" s="47">
        <v>2</v>
      </c>
      <c r="Q1892" s="213">
        <v>45408</v>
      </c>
      <c r="R1892" s="271">
        <f ca="1">IF(D1892="","",IF(OFFSET(D1892,-1,0)&lt;&gt;"","",IF(OR(J1892="リード付け",J1892="巻足し",J1892="巻返しリード付け"),M1892,VLOOKUP(D1892,契約台帳!$A$3:$N$4986,14,FALSE))))</f>
        <v>1120</v>
      </c>
      <c r="S1892" s="272">
        <f ca="1">IF(D1892="","",IF(OFFSET(D1892,-1,0)&lt;&gt;"","",IF(OR(J1892="リード付け",J1892="巻足し",J1892="巻返しリード付け"),M1892,VLOOKUP(D1892,契約台帳!$A$3:$O$4986,15,FALSE))))</f>
        <v>1120</v>
      </c>
      <c r="T1892" s="273">
        <f ca="1">IF(D1892="","",IF(J1892="リード付け",N1892,IF(J1892="巻返しリード付け",N1892,IF(J1892="巻足し",N1892*P1892+OFFSET(N1892,1,0)*OFFSET(P1892,1,0),VLOOKUP(D1892,契約台帳!$A$3:$P$4986,16,FALSE)))))</f>
        <v>8000</v>
      </c>
      <c r="U1892" s="40">
        <v>2</v>
      </c>
      <c r="V1892" s="274">
        <f ca="1">IF(D1892="","",IF(OFFSET(D1892,-2,0)=D1892,"",VLOOKUP(D1892,契約台帳!$A$3:$R$4986,18,FALSE)))</f>
        <v>4</v>
      </c>
      <c r="W1892" s="269" t="str">
        <f ca="1">IF(D1892="","",IF(T1892="","",IF(OR(J1892="巻足し",J1892="巻返しリード付け"),"",IF(J1892="巻返し",VLOOKUP(F1892&amp;K1892&amp;M1892,製品マスタ!$M$5:$AD$5002,18,FALSE),IF(OR(J1892="リード付け",J1892="巻返しリード付け"),"原反コア",IF(J1892="スリット",VLOOKUP(F1892&amp;K1892&amp;R1892,製品マスタ!$N$5:$AD$5002,17,FALSE),""))))))</f>
        <v/>
      </c>
      <c r="X1892" s="269" t="str">
        <f ca="1">IF(D1892="","",IF(T1892="","",IF(J1892="巻足し","",IF(J1892="巻返し",VLOOKUP(F1892&amp;K1892&amp;M1892,製品マスタ!$M$5:$AE$5002,19,FALSE),IF(OR(J1892="リード付け",J1892="巻返しリード付け"),"",IF(J1892="スリット",VLOOKUP(F1892&amp;K1892&amp;R1892,製品マスタ!$N$5:$AE$5002,18,FALSE),""))))))</f>
        <v/>
      </c>
      <c r="Y1892" s="275">
        <f ca="1">IF(D1892="","",IF(T1892="","",VLOOKUP(D1892,契約台帳!$A$3:$Q$4986,17,FALSE)))</f>
        <v>2</v>
      </c>
      <c r="Z1892" s="269" t="str">
        <f ca="1">IF(D1892="","",IF(T1892="","",VLOOKUP(D1892,契約台帳!$A$3:$E$4986,5,FALSE)))</f>
        <v>リンテック㈱</v>
      </c>
      <c r="AA1892" s="57"/>
      <c r="AB1892" s="207">
        <f>IFERROR((VLOOKUP(F1892&amp;K1892&amp;M1892,製品マスタ!$M$5:$AM$5002,27,FALSE)),"")</f>
        <v>0</v>
      </c>
      <c r="AC1892" s="33"/>
      <c r="AD1892" s="189"/>
      <c r="AE1892" s="54"/>
      <c r="AF1892" s="55">
        <f>+M1892*N1892*O1892/1000</f>
        <v>17920</v>
      </c>
      <c r="AG1892" s="43"/>
      <c r="AH1892" s="47"/>
      <c r="AI1892" s="30"/>
      <c r="AJ1892" s="30"/>
      <c r="AK1892" s="30"/>
      <c r="AL1892" s="30"/>
      <c r="AM1892" s="13"/>
      <c r="AN1892" s="13"/>
      <c r="AO1892" s="13"/>
      <c r="AP1892" s="13"/>
      <c r="AQ1892" s="13"/>
      <c r="AR1892" s="14"/>
      <c r="AS1892" s="15"/>
    </row>
    <row r="1893" spans="1:45" s="17" customFormat="1" ht="30.95" hidden="1" customHeight="1" x14ac:dyDescent="0.2">
      <c r="A1893" s="37"/>
      <c r="B1893" s="38"/>
      <c r="C1893" s="45"/>
      <c r="D1893" s="31"/>
      <c r="E1893" s="31"/>
      <c r="F1893" s="268"/>
      <c r="G1893" s="269"/>
      <c r="H1893" s="269"/>
      <c r="I1893" s="270"/>
      <c r="J1893" s="210"/>
      <c r="K1893" s="270"/>
      <c r="L1893" s="270"/>
      <c r="M1893" s="39"/>
      <c r="N1893" s="39"/>
      <c r="O1893" s="156"/>
      <c r="P1893" s="47"/>
      <c r="Q1893" s="57"/>
      <c r="R1893" s="271"/>
      <c r="S1893" s="272"/>
      <c r="T1893" s="273"/>
      <c r="U1893" s="40"/>
      <c r="V1893" s="274"/>
      <c r="W1893" s="269"/>
      <c r="X1893" s="269"/>
      <c r="Y1893" s="275"/>
      <c r="Z1893" s="269"/>
      <c r="AA1893" s="57"/>
      <c r="AB1893" s="207"/>
      <c r="AC1893" s="33"/>
      <c r="AD1893" s="189"/>
      <c r="AE1893" s="54"/>
      <c r="AF1893" s="55"/>
      <c r="AG1893" s="43"/>
      <c r="AH1893" s="47"/>
      <c r="AI1893" s="30"/>
      <c r="AJ1893" s="30"/>
      <c r="AK1893" s="30"/>
      <c r="AL1893" s="30"/>
      <c r="AM1893" s="13"/>
      <c r="AN1893" s="13"/>
      <c r="AO1893" s="13"/>
      <c r="AP1893" s="13"/>
      <c r="AQ1893" s="13"/>
      <c r="AR1893" s="14"/>
      <c r="AS1893" s="15"/>
    </row>
    <row r="1894" spans="1:45" s="17" customFormat="1" ht="30.6" hidden="1" customHeight="1" x14ac:dyDescent="0.2">
      <c r="A1894" s="37"/>
      <c r="B1894" s="38"/>
      <c r="C1894" s="45"/>
      <c r="D1894" s="31">
        <v>3754094</v>
      </c>
      <c r="E1894" s="31">
        <v>4162306</v>
      </c>
      <c r="F1894" s="268" t="str">
        <f>IF(D1894="","",VLOOKUP(D1894,契約台帳!$A$3:$K$4986,6,FALSE)&amp;VLOOKUP(D1894,契約台帳!$A$3:$K$4986,7,FALSE)&amp;VLOOKUP(D1894,契約台帳!$A$3:$K$4986,8,FALSE)&amp;VLOOKUP(D1894,契約台帳!$A$3:$K$4986,9,FALSE)&amp;VLOOKUP(D1894,契約台帳!$A$3:$K$4986,11,FALSE))</f>
        <v>3SYMLBMSBBF</v>
      </c>
      <c r="G1894" s="269" t="str">
        <f>IF(D1894="","",VLOOKUP(F1894,製品マスタ!$G$5:$H$5002,2,FALSE))</f>
        <v>S</v>
      </c>
      <c r="H1894" s="269" t="str">
        <f>IF(D1894="","",VLOOKUP(F1894,製品マスタ!$G$5:$K$5002,5,FALSE))</f>
        <v>MSBBF</v>
      </c>
      <c r="I1894" s="270" t="str">
        <f>IF(D1894="","",VLOOKUP(F1894,製品マスタ!$G$5:$L$5002,6,FALSE))</f>
        <v>ＭＥＴＡＬＵＭＹ　ＳＩＬＶＥＲ　ＢＲＩＧＨＴ　Ｔ６２Ｍ　Ｂ</v>
      </c>
      <c r="J1894" s="210" t="s">
        <v>935</v>
      </c>
      <c r="K1894" s="270">
        <f>IF(D1894="","",VLOOKUP(D1894,契約台帳!$A$3:$L$4986,12,FALSE))</f>
        <v>50</v>
      </c>
      <c r="L1894" s="270" t="str">
        <f>IF(D1894="","",INDEX(製品マスタ!$Q$5:$Q$5002,MATCH('S4'!F1894&amp;'S4'!K1894,製品マスタ!$AO$5:$AO$5002,0)))</f>
        <v>T62</v>
      </c>
      <c r="M1894" s="39">
        <v>1120</v>
      </c>
      <c r="N1894" s="39">
        <v>5000</v>
      </c>
      <c r="O1894" s="156">
        <v>4</v>
      </c>
      <c r="P1894" s="47">
        <v>2</v>
      </c>
      <c r="Q1894" s="213">
        <v>45408</v>
      </c>
      <c r="R1894" s="271">
        <f ca="1">IF(D1894="","",IF(OFFSET(D1894,-1,0)&lt;&gt;"","",IF(OR(J1894="リード付け",J1894="巻足し",J1894="巻返しリード付け"),M1894,VLOOKUP(D1894,契約台帳!$A$3:$N$4986,14,FALSE))))</f>
        <v>1120</v>
      </c>
      <c r="S1894" s="272">
        <f ca="1">IF(D1894="","",IF(OFFSET(D1894,-1,0)&lt;&gt;"","",IF(OR(J1894="リード付け",J1894="巻足し",J1894="巻返しリード付け"),M1894,VLOOKUP(D1894,契約台帳!$A$3:$O$4986,15,FALSE))))</f>
        <v>1120</v>
      </c>
      <c r="T1894" s="273">
        <f ca="1">IF(D1894="","",IF(J1894="リード付け",N1894,IF(J1894="巻返しリード付け",N1894,IF(J1894="巻足し",N1894*P1894+OFFSET(N1894,1,0)*OFFSET(P1894,1,0),VLOOKUP(D1894,契約台帳!$A$3:$P$4986,16,FALSE)))))</f>
        <v>10000</v>
      </c>
      <c r="U1894" s="40">
        <v>2</v>
      </c>
      <c r="V1894" s="274">
        <f ca="1">IF(D1894="","",IF(OFFSET(D1894,-2,0)=D1894,"",VLOOKUP(D1894,契約台帳!$A$3:$R$4986,18,FALSE)))</f>
        <v>4</v>
      </c>
      <c r="W1894" s="269" t="str">
        <f ca="1">IF(D1894="","",IF(T1894="","",IF(OR(J1894="巻足し",J1894="巻返しリード付け"),"",IF(J1894="巻返し",VLOOKUP(F1894&amp;K1894&amp;M1894,製品マスタ!$M$5:$AD$5002,18,FALSE),IF(OR(J1894="リード付け",J1894="巻返しリード付け"),"原反コア",IF(J1894="スリット",VLOOKUP(F1894&amp;K1894&amp;R1894,製品マスタ!$N$5:$AD$5002,17,FALSE),""))))))</f>
        <v/>
      </c>
      <c r="X1894" s="269" t="str">
        <f ca="1">IF(D1894="","",IF(T1894="","",IF(J1894="巻足し","",IF(J1894="巻返し",VLOOKUP(F1894&amp;K1894&amp;M1894,製品マスタ!$M$5:$AE$5002,19,FALSE),IF(OR(J1894="リード付け",J1894="巻返しリード付け"),"",IF(J1894="スリット",VLOOKUP(F1894&amp;K1894&amp;R1894,製品マスタ!$N$5:$AE$5002,18,FALSE),""))))))</f>
        <v/>
      </c>
      <c r="Y1894" s="275">
        <f ca="1">IF(D1894="","",IF(T1894="","",VLOOKUP(D1894,契約台帳!$A$3:$Q$4986,17,FALSE)))</f>
        <v>2</v>
      </c>
      <c r="Z1894" s="269" t="str">
        <f ca="1">IF(D1894="","",IF(T1894="","",VLOOKUP(D1894,契約台帳!$A$3:$E$4986,5,FALSE)))</f>
        <v>リンテック㈱</v>
      </c>
      <c r="AA1894" s="57"/>
      <c r="AB1894" s="207" t="str">
        <f>IFERROR((VLOOKUP(F1894&amp;K1894&amp;M1894,製品マスタ!$M$5:$AM$5002,27,FALSE)),"")</f>
        <v>原反ケース再利用</v>
      </c>
      <c r="AC1894" s="33"/>
      <c r="AD1894" s="189"/>
      <c r="AE1894" s="54"/>
      <c r="AF1894" s="55">
        <f>+M1894*N1894*O1894/1000</f>
        <v>22400</v>
      </c>
      <c r="AG1894" s="43"/>
      <c r="AH1894" s="47"/>
      <c r="AI1894" s="30"/>
      <c r="AJ1894" s="30"/>
      <c r="AK1894" s="30"/>
      <c r="AL1894" s="30"/>
      <c r="AM1894" s="13"/>
      <c r="AN1894" s="13"/>
      <c r="AO1894" s="13"/>
      <c r="AP1894" s="13"/>
      <c r="AQ1894" s="13"/>
      <c r="AR1894" s="14"/>
      <c r="AS1894" s="15"/>
    </row>
    <row r="1895" spans="1:45" s="17" customFormat="1" ht="30.95" hidden="1" customHeight="1" x14ac:dyDescent="0.2">
      <c r="A1895" s="37"/>
      <c r="B1895" s="38"/>
      <c r="C1895" s="45"/>
      <c r="D1895" s="31"/>
      <c r="E1895" s="31"/>
      <c r="F1895" s="268"/>
      <c r="G1895" s="269"/>
      <c r="H1895" s="269"/>
      <c r="I1895" s="270"/>
      <c r="J1895" s="210"/>
      <c r="K1895" s="270"/>
      <c r="L1895" s="270"/>
      <c r="M1895" s="39"/>
      <c r="N1895" s="39"/>
      <c r="O1895" s="156"/>
      <c r="P1895" s="47"/>
      <c r="Q1895" s="57"/>
      <c r="R1895" s="271"/>
      <c r="S1895" s="272"/>
      <c r="T1895" s="273"/>
      <c r="U1895" s="40"/>
      <c r="V1895" s="274"/>
      <c r="W1895" s="269"/>
      <c r="X1895" s="269"/>
      <c r="Y1895" s="275"/>
      <c r="Z1895" s="269"/>
      <c r="AA1895" s="57"/>
      <c r="AB1895" s="207"/>
      <c r="AC1895" s="33"/>
      <c r="AD1895" s="189"/>
      <c r="AE1895" s="54"/>
      <c r="AF1895" s="55"/>
      <c r="AG1895" s="43"/>
      <c r="AH1895" s="47"/>
      <c r="AI1895" s="30"/>
      <c r="AJ1895" s="30"/>
      <c r="AK1895" s="30"/>
      <c r="AL1895" s="30"/>
      <c r="AM1895" s="13"/>
      <c r="AN1895" s="13"/>
      <c r="AO1895" s="13"/>
      <c r="AP1895" s="13"/>
      <c r="AQ1895" s="13"/>
      <c r="AR1895" s="14"/>
      <c r="AS1895" s="15"/>
    </row>
    <row r="1896" spans="1:45" s="17" customFormat="1" ht="30.6" hidden="1" customHeight="1" x14ac:dyDescent="0.2">
      <c r="A1896" s="37"/>
      <c r="B1896" s="38"/>
      <c r="C1896" s="45"/>
      <c r="D1896" s="31">
        <v>3754095</v>
      </c>
      <c r="E1896" s="31">
        <v>4162307</v>
      </c>
      <c r="F1896" s="268" t="str">
        <f>IF(D1896="","",VLOOKUP(D1896,契約台帳!$A$3:$K$4986,6,FALSE)&amp;VLOOKUP(D1896,契約台帳!$A$3:$K$4986,7,FALSE)&amp;VLOOKUP(D1896,契約台帳!$A$3:$K$4986,8,FALSE)&amp;VLOOKUP(D1896,契約台帳!$A$3:$K$4986,9,FALSE)&amp;VLOOKUP(D1896,契約台帳!$A$3:$K$4986,11,FALSE))</f>
        <v>3SYMLBMSBBF</v>
      </c>
      <c r="G1896" s="269" t="str">
        <f>IF(D1896="","",VLOOKUP(F1896,製品マスタ!$G$5:$H$5002,2,FALSE))</f>
        <v>S</v>
      </c>
      <c r="H1896" s="269" t="str">
        <f>IF(D1896="","",VLOOKUP(F1896,製品マスタ!$G$5:$K$5002,5,FALSE))</f>
        <v>MSBBF</v>
      </c>
      <c r="I1896" s="270" t="str">
        <f>IF(D1896="","",VLOOKUP(F1896,製品マスタ!$G$5:$L$5002,6,FALSE))</f>
        <v>ＭＥＴＡＬＵＭＹ　ＳＩＬＶＥＲ　ＢＲＩＧＨＴ　Ｔ６２Ｍ　Ｂ</v>
      </c>
      <c r="J1896" s="210" t="s">
        <v>935</v>
      </c>
      <c r="K1896" s="270">
        <f>IF(D1896="","",VLOOKUP(D1896,契約台帳!$A$3:$L$4986,12,FALSE))</f>
        <v>50</v>
      </c>
      <c r="L1896" s="270" t="str">
        <f>IF(D1896="","",INDEX(製品マスタ!$Q$5:$Q$5002,MATCH('S4'!F1896&amp;'S4'!K1896,製品マスタ!$AO$5:$AO$5002,0)))</f>
        <v>T62</v>
      </c>
      <c r="M1896" s="39">
        <v>1120</v>
      </c>
      <c r="N1896" s="39">
        <v>5000</v>
      </c>
      <c r="O1896" s="156">
        <v>6</v>
      </c>
      <c r="P1896" s="47">
        <v>2</v>
      </c>
      <c r="Q1896" s="213">
        <v>45408</v>
      </c>
      <c r="R1896" s="271">
        <f ca="1">IF(D1896="","",IF(OFFSET(D1896,-1,0)&lt;&gt;"","",IF(OR(J1896="リード付け",J1896="巻足し",J1896="巻返しリード付け"),M1896,VLOOKUP(D1896,契約台帳!$A$3:$N$4986,14,FALSE))))</f>
        <v>1120</v>
      </c>
      <c r="S1896" s="272">
        <f ca="1">IF(D1896="","",IF(OFFSET(D1896,-1,0)&lt;&gt;"","",IF(OR(J1896="リード付け",J1896="巻足し",J1896="巻返しリード付け"),M1896,VLOOKUP(D1896,契約台帳!$A$3:$O$4986,15,FALSE))))</f>
        <v>1120</v>
      </c>
      <c r="T1896" s="273">
        <f ca="1">IF(D1896="","",IF(J1896="リード付け",N1896,IF(J1896="巻返しリード付け",N1896,IF(J1896="巻足し",N1896*P1896+OFFSET(N1896,1,0)*OFFSET(P1896,1,0),VLOOKUP(D1896,契約台帳!$A$3:$P$4986,16,FALSE)))))</f>
        <v>10000</v>
      </c>
      <c r="U1896" s="40">
        <v>3</v>
      </c>
      <c r="V1896" s="274">
        <f ca="1">IF(D1896="","",IF(OFFSET(D1896,-2,0)=D1896,"",VLOOKUP(D1896,契約台帳!$A$3:$R$4986,18,FALSE)))</f>
        <v>6</v>
      </c>
      <c r="W1896" s="269" t="str">
        <f ca="1">IF(D1896="","",IF(T1896="","",IF(OR(J1896="巻足し",J1896="巻返しリード付け"),"",IF(J1896="巻返し",VLOOKUP(F1896&amp;K1896&amp;M1896,製品マスタ!$M$5:$AD$5002,18,FALSE),IF(OR(J1896="リード付け",J1896="巻返しリード付け"),"原反コア",IF(J1896="スリット",VLOOKUP(F1896&amp;K1896&amp;R1896,製品マスタ!$N$5:$AD$5002,17,FALSE),""))))))</f>
        <v/>
      </c>
      <c r="X1896" s="269" t="str">
        <f ca="1">IF(D1896="","",IF(T1896="","",IF(J1896="巻足し","",IF(J1896="巻返し",VLOOKUP(F1896&amp;K1896&amp;M1896,製品マスタ!$M$5:$AE$5002,19,FALSE),IF(OR(J1896="リード付け",J1896="巻返しリード付け"),"",IF(J1896="スリット",VLOOKUP(F1896&amp;K1896&amp;R1896,製品マスタ!$N$5:$AE$5002,18,FALSE),""))))))</f>
        <v/>
      </c>
      <c r="Y1896" s="275">
        <f ca="1">IF(D1896="","",IF(T1896="","",VLOOKUP(D1896,契約台帳!$A$3:$Q$4986,17,FALSE)))</f>
        <v>2</v>
      </c>
      <c r="Z1896" s="269" t="str">
        <f ca="1">IF(D1896="","",IF(T1896="","",VLOOKUP(D1896,契約台帳!$A$3:$E$4986,5,FALSE)))</f>
        <v>リンテック㈱</v>
      </c>
      <c r="AA1896" s="57"/>
      <c r="AB1896" s="207" t="str">
        <f>IFERROR((VLOOKUP(F1896&amp;K1896&amp;M1896,製品マスタ!$M$5:$AM$5002,27,FALSE)),"")</f>
        <v>原反ケース再利用</v>
      </c>
      <c r="AC1896" s="33"/>
      <c r="AD1896" s="189"/>
      <c r="AE1896" s="54"/>
      <c r="AF1896" s="55">
        <f>+M1896*N1896*O1896/1000</f>
        <v>33600</v>
      </c>
      <c r="AG1896" s="43"/>
      <c r="AH1896" s="47"/>
      <c r="AI1896" s="30"/>
      <c r="AJ1896" s="30"/>
      <c r="AK1896" s="30"/>
      <c r="AL1896" s="30"/>
      <c r="AM1896" s="13"/>
      <c r="AN1896" s="13"/>
      <c r="AO1896" s="13"/>
      <c r="AP1896" s="13"/>
      <c r="AQ1896" s="13"/>
      <c r="AR1896" s="14"/>
      <c r="AS1896" s="15"/>
    </row>
    <row r="1897" spans="1:45" s="17" customFormat="1" ht="30.95" hidden="1" customHeight="1" x14ac:dyDescent="0.2">
      <c r="A1897" s="37"/>
      <c r="B1897" s="38"/>
      <c r="C1897" s="45"/>
      <c r="D1897" s="31"/>
      <c r="E1897" s="31"/>
      <c r="F1897" s="268"/>
      <c r="G1897" s="269"/>
      <c r="H1897" s="269"/>
      <c r="I1897" s="270"/>
      <c r="J1897" s="210"/>
      <c r="K1897" s="270"/>
      <c r="L1897" s="270"/>
      <c r="M1897" s="39"/>
      <c r="N1897" s="39"/>
      <c r="O1897" s="156"/>
      <c r="P1897" s="47"/>
      <c r="Q1897" s="57"/>
      <c r="R1897" s="271"/>
      <c r="S1897" s="272"/>
      <c r="T1897" s="273"/>
      <c r="U1897" s="40"/>
      <c r="V1897" s="274"/>
      <c r="W1897" s="269"/>
      <c r="X1897" s="269"/>
      <c r="Y1897" s="275"/>
      <c r="Z1897" s="269"/>
      <c r="AA1897" s="57"/>
      <c r="AB1897" s="207"/>
      <c r="AC1897" s="33"/>
      <c r="AD1897" s="189"/>
      <c r="AE1897" s="54"/>
      <c r="AF1897" s="55"/>
      <c r="AG1897" s="43"/>
      <c r="AH1897" s="47"/>
      <c r="AI1897" s="30"/>
      <c r="AJ1897" s="30"/>
      <c r="AK1897" s="30"/>
      <c r="AL1897" s="30"/>
      <c r="AM1897" s="13"/>
      <c r="AN1897" s="13"/>
      <c r="AO1897" s="13"/>
      <c r="AP1897" s="13"/>
      <c r="AQ1897" s="13"/>
      <c r="AR1897" s="14"/>
      <c r="AS1897" s="15"/>
    </row>
    <row r="1898" spans="1:45" s="17" customFormat="1" ht="30.6" hidden="1" customHeight="1" x14ac:dyDescent="0.2">
      <c r="A1898" s="37" t="s">
        <v>1071</v>
      </c>
      <c r="B1898" s="38" t="s">
        <v>688</v>
      </c>
      <c r="C1898" s="45"/>
      <c r="D1898" s="31">
        <v>3754084</v>
      </c>
      <c r="E1898" s="31">
        <v>4162297</v>
      </c>
      <c r="F1898" s="268" t="str">
        <f>IF(D1898="","",VLOOKUP(D1898,契約台帳!$A$3:$K$4986,6,FALSE)&amp;VLOOKUP(D1898,契約台帳!$A$3:$K$4986,7,FALSE)&amp;VLOOKUP(D1898,契約台帳!$A$3:$K$4986,8,FALSE)&amp;VLOOKUP(D1898,契約台帳!$A$3:$K$4986,9,FALSE)&amp;VLOOKUP(D1898,契約台帳!$A$3:$K$4986,11,FALSE))</f>
        <v>3SNMLBMNGKBF</v>
      </c>
      <c r="G1898" s="269" t="str">
        <f>IF(D1898="","",VLOOKUP(F1898,製品マスタ!$G$5:$H$5002,2,FALSE))</f>
        <v>S</v>
      </c>
      <c r="H1898" s="269" t="str">
        <f>IF(D1898="","",VLOOKUP(F1898,製品マスタ!$G$5:$K$5002,5,FALSE))</f>
        <v>MNGKBF</v>
      </c>
      <c r="I1898" s="270" t="str">
        <f>IF(D1898="","",VLOOKUP(F1898,製品マスタ!$G$5:$L$5002,6,FALSE))</f>
        <v>メタルミー　ネーマー銀消　Ｂ</v>
      </c>
      <c r="J1898" s="210" t="s">
        <v>935</v>
      </c>
      <c r="K1898" s="270">
        <f>IF(D1898="","",VLOOKUP(D1898,契約台帳!$A$3:$L$4986,12,FALSE))</f>
        <v>50</v>
      </c>
      <c r="L1898" s="270" t="str">
        <f>IF(D1898="","",INDEX(製品マスタ!$Q$5:$Q$5002,MATCH('S4'!F1898&amp;'S4'!K1898,製品マスタ!$AO$5:$AO$5002,0)))</f>
        <v>MAT</v>
      </c>
      <c r="M1898" s="39">
        <v>1050</v>
      </c>
      <c r="N1898" s="39">
        <v>4100</v>
      </c>
      <c r="O1898" s="156">
        <v>3</v>
      </c>
      <c r="P1898" s="47">
        <v>3</v>
      </c>
      <c r="Q1898" s="213">
        <v>45408</v>
      </c>
      <c r="R1898" s="271">
        <f ca="1">IF(D1898="","",IF(OFFSET(D1898,-1,0)&lt;&gt;"","",IF(OR(J1898="リード付け",J1898="巻足し",J1898="巻返しリード付け"),M1898,VLOOKUP(D1898,契約台帳!$A$3:$N$4986,14,FALSE))))</f>
        <v>1050</v>
      </c>
      <c r="S1898" s="272">
        <f ca="1">IF(D1898="","",IF(OFFSET(D1898,-1,0)&lt;&gt;"","",IF(OR(J1898="リード付け",J1898="巻足し",J1898="巻返しリード付け"),M1898,VLOOKUP(D1898,契約台帳!$A$3:$O$4986,15,FALSE))))</f>
        <v>1050</v>
      </c>
      <c r="T1898" s="273">
        <f ca="1">IF(D1898="","",IF(J1898="リード付け",N1898,IF(J1898="巻返しリード付け",N1898,IF(J1898="巻足し",N1898*P1898+OFFSET(N1898,1,0)*OFFSET(P1898,1,0),VLOOKUP(D1898,契約台帳!$A$3:$P$4986,16,FALSE)))))</f>
        <v>12300</v>
      </c>
      <c r="U1898" s="40">
        <v>1</v>
      </c>
      <c r="V1898" s="274">
        <f ca="1">IF(D1898="","",IF(OFFSET(D1898,-2,0)=D1898,"",VLOOKUP(D1898,契約台帳!$A$3:$R$4986,18,FALSE)))</f>
        <v>3</v>
      </c>
      <c r="W1898" s="269" t="str">
        <f ca="1">IF(D1898="","",IF(T1898="","",IF(OR(J1898="巻足し",J1898="巻返しリード付け"),"",IF(J1898="巻返し",VLOOKUP(F1898&amp;K1898&amp;M1898,製品マスタ!$M$5:$AD$5002,18,FALSE),IF(OR(J1898="リード付け",J1898="巻返しリード付け"),"原反コア",IF(J1898="スリット",VLOOKUP(F1898&amp;K1898&amp;R1898,製品マスタ!$N$5:$AD$5002,17,FALSE),""))))))</f>
        <v/>
      </c>
      <c r="X1898" s="269" t="str">
        <f ca="1">IF(D1898="","",IF(T1898="","",IF(J1898="巻足し","",IF(J1898="巻返し",VLOOKUP(F1898&amp;K1898&amp;M1898,製品マスタ!$M$5:$AE$5002,19,FALSE),IF(OR(J1898="リード付け",J1898="巻返しリード付け"),"",IF(J1898="スリット",VLOOKUP(F1898&amp;K1898&amp;R1898,製品マスタ!$N$5:$AE$5002,18,FALSE),""))))))</f>
        <v/>
      </c>
      <c r="Y1898" s="275">
        <f ca="1">IF(D1898="","",IF(T1898="","",VLOOKUP(D1898,契約台帳!$A$3:$Q$4986,17,FALSE)))</f>
        <v>2</v>
      </c>
      <c r="Z1898" s="269" t="str">
        <f ca="1">IF(D1898="","",IF(T1898="","",VLOOKUP(D1898,契約台帳!$A$3:$E$4986,5,FALSE)))</f>
        <v>リンテック㈱</v>
      </c>
      <c r="AA1898" s="57"/>
      <c r="AB1898" s="207">
        <f>IFERROR((VLOOKUP(F1898&amp;K1898&amp;M1898,製品マスタ!$M$5:$AM$5002,27,FALSE)),"")</f>
        <v>0</v>
      </c>
      <c r="AC1898" s="33"/>
      <c r="AD1898" s="189"/>
      <c r="AE1898" s="54"/>
      <c r="AF1898" s="55">
        <f>+M1898*N1898*O1898/1000</f>
        <v>12915</v>
      </c>
      <c r="AG1898" s="43"/>
      <c r="AH1898" s="47"/>
      <c r="AI1898" s="30"/>
      <c r="AJ1898" s="30"/>
      <c r="AK1898" s="30"/>
      <c r="AL1898" s="30"/>
      <c r="AM1898" s="13"/>
      <c r="AN1898" s="13"/>
      <c r="AO1898" s="13"/>
      <c r="AP1898" s="13"/>
      <c r="AQ1898" s="13"/>
      <c r="AR1898" s="14"/>
      <c r="AS1898" s="15"/>
    </row>
    <row r="1899" spans="1:45" s="17" customFormat="1" ht="30.95" hidden="1" customHeight="1" x14ac:dyDescent="0.2">
      <c r="A1899" s="343"/>
      <c r="B1899" s="344"/>
      <c r="C1899" s="345"/>
      <c r="D1899" s="346"/>
      <c r="E1899" s="346"/>
      <c r="F1899" s="268"/>
      <c r="G1899" s="269"/>
      <c r="H1899" s="269"/>
      <c r="I1899" s="270"/>
      <c r="J1899" s="434"/>
      <c r="K1899" s="270"/>
      <c r="L1899" s="270"/>
      <c r="M1899" s="348"/>
      <c r="N1899" s="348"/>
      <c r="O1899" s="435"/>
      <c r="P1899" s="349"/>
      <c r="Q1899" s="350"/>
      <c r="R1899" s="271"/>
      <c r="S1899" s="272"/>
      <c r="T1899" s="273"/>
      <c r="U1899" s="351"/>
      <c r="V1899" s="274"/>
      <c r="W1899" s="269"/>
      <c r="X1899" s="269"/>
      <c r="Y1899" s="275"/>
      <c r="Z1899" s="269"/>
      <c r="AA1899" s="350"/>
      <c r="AB1899" s="207"/>
      <c r="AC1899" s="352"/>
      <c r="AD1899" s="353"/>
      <c r="AE1899" s="54"/>
      <c r="AF1899" s="354"/>
      <c r="AG1899" s="355"/>
      <c r="AH1899" s="349"/>
      <c r="AI1899" s="30"/>
      <c r="AJ1899" s="30"/>
      <c r="AK1899" s="30"/>
      <c r="AL1899" s="30"/>
      <c r="AM1899" s="13"/>
      <c r="AN1899" s="13"/>
      <c r="AO1899" s="13"/>
      <c r="AP1899" s="13"/>
      <c r="AQ1899" s="13"/>
      <c r="AR1899" s="14"/>
      <c r="AS1899" s="15"/>
    </row>
    <row r="1900" spans="1:45" s="17" customFormat="1" ht="30.6" hidden="1" customHeight="1" x14ac:dyDescent="0.2">
      <c r="A1900" s="37"/>
      <c r="B1900" s="38"/>
      <c r="C1900" s="45"/>
      <c r="D1900" s="31">
        <v>3754085</v>
      </c>
      <c r="E1900" s="31">
        <v>4162298</v>
      </c>
      <c r="F1900" s="268" t="str">
        <f>IF(D1900="","",VLOOKUP(D1900,契約台帳!$A$3:$K$4986,6,FALSE)&amp;VLOOKUP(D1900,契約台帳!$A$3:$K$4986,7,FALSE)&amp;VLOOKUP(D1900,契約台帳!$A$3:$K$4986,8,FALSE)&amp;VLOOKUP(D1900,契約台帳!$A$3:$K$4986,9,FALSE)&amp;VLOOKUP(D1900,契約台帳!$A$3:$K$4986,11,FALSE))</f>
        <v>3SNMLBMNGKBF</v>
      </c>
      <c r="G1900" s="269" t="str">
        <f>IF(D1900="","",VLOOKUP(F1900,製品マスタ!$G$5:$H$5002,2,FALSE))</f>
        <v>S</v>
      </c>
      <c r="H1900" s="269" t="str">
        <f>IF(D1900="","",VLOOKUP(F1900,製品マスタ!$G$5:$K$5002,5,FALSE))</f>
        <v>MNGKBF</v>
      </c>
      <c r="I1900" s="270" t="str">
        <f>IF(D1900="","",VLOOKUP(F1900,製品マスタ!$G$5:$L$5002,6,FALSE))</f>
        <v>メタルミー　ネーマー銀消　Ｂ</v>
      </c>
      <c r="J1900" s="210" t="s">
        <v>935</v>
      </c>
      <c r="K1900" s="270">
        <f>IF(D1900="","",VLOOKUP(D1900,契約台帳!$A$3:$L$4986,12,FALSE))</f>
        <v>75</v>
      </c>
      <c r="L1900" s="270" t="str">
        <f>IF(D1900="","",INDEX(製品マスタ!$Q$5:$Q$5002,MATCH('S4'!F1900&amp;'S4'!K1900,製品マスタ!$AO$5:$AO$5002,0)))</f>
        <v>MAT</v>
      </c>
      <c r="M1900" s="39">
        <v>1050</v>
      </c>
      <c r="N1900" s="39">
        <v>2000</v>
      </c>
      <c r="O1900" s="156">
        <v>2</v>
      </c>
      <c r="P1900" s="47">
        <v>2</v>
      </c>
      <c r="Q1900" s="213">
        <v>45408</v>
      </c>
      <c r="R1900" s="271">
        <f ca="1">IF(D1900="","",IF(OFFSET(D1900,-1,0)&lt;&gt;"","",IF(OR(J1900="リード付け",J1900="巻足し",J1900="巻返しリード付け"),M1900,VLOOKUP(D1900,契約台帳!$A$3:$N$4986,14,FALSE))))</f>
        <v>1050</v>
      </c>
      <c r="S1900" s="272">
        <f ca="1">IF(D1900="","",IF(OFFSET(D1900,-1,0)&lt;&gt;"","",IF(OR(J1900="リード付け",J1900="巻足し",J1900="巻返しリード付け"),M1900,VLOOKUP(D1900,契約台帳!$A$3:$O$4986,15,FALSE))))</f>
        <v>1050</v>
      </c>
      <c r="T1900" s="273">
        <f ca="1">IF(D1900="","",IF(J1900="リード付け",N1900,IF(J1900="巻返しリード付け",N1900,IF(J1900="巻足し",N1900*P1900+OFFSET(N1900,1,0)*OFFSET(P1900,1,0),VLOOKUP(D1900,契約台帳!$A$3:$P$4986,16,FALSE)))))</f>
        <v>4000</v>
      </c>
      <c r="U1900" s="40">
        <v>1</v>
      </c>
      <c r="V1900" s="274">
        <f ca="1">IF(D1900="","",IF(OFFSET(D1900,-2,0)=D1900,"",VLOOKUP(D1900,契約台帳!$A$3:$R$4986,18,FALSE)))</f>
        <v>2</v>
      </c>
      <c r="W1900" s="269" t="str">
        <f ca="1">IF(D1900="","",IF(T1900="","",IF(OR(J1900="巻足し",J1900="巻返しリード付け"),"",IF(J1900="巻返し",VLOOKUP(F1900&amp;K1900&amp;M1900,製品マスタ!$M$5:$AD$5002,18,FALSE),IF(OR(J1900="リード付け",J1900="巻返しリード付け"),"原反コア",IF(J1900="スリット",VLOOKUP(F1900&amp;K1900&amp;R1900,製品マスタ!$N$5:$AD$5002,17,FALSE),""))))))</f>
        <v/>
      </c>
      <c r="X1900" s="269" t="str">
        <f ca="1">IF(D1900="","",IF(T1900="","",IF(J1900="巻足し","",IF(J1900="巻返し",VLOOKUP(F1900&amp;K1900&amp;M1900,製品マスタ!$M$5:$AE$5002,19,FALSE),IF(OR(J1900="リード付け",J1900="巻返しリード付け"),"",IF(J1900="スリット",VLOOKUP(F1900&amp;K1900&amp;R1900,製品マスタ!$N$5:$AE$5002,18,FALSE),""))))))</f>
        <v/>
      </c>
      <c r="Y1900" s="275">
        <f ca="1">IF(D1900="","",IF(T1900="","",VLOOKUP(D1900,契約台帳!$A$3:$Q$4986,17,FALSE)))</f>
        <v>2</v>
      </c>
      <c r="Z1900" s="269" t="str">
        <f ca="1">IF(D1900="","",IF(T1900="","",VLOOKUP(D1900,契約台帳!$A$3:$E$4986,5,FALSE)))</f>
        <v>リンテック㈱</v>
      </c>
      <c r="AA1900" s="57"/>
      <c r="AB1900" s="207">
        <f>IFERROR((VLOOKUP(F1900&amp;K1900&amp;M1900,製品マスタ!$M$5:$AM$5002,27,FALSE)),"")</f>
        <v>0</v>
      </c>
      <c r="AC1900" s="33"/>
      <c r="AD1900" s="189"/>
      <c r="AE1900" s="54"/>
      <c r="AF1900" s="55">
        <f>+M1900*N1900*O1900/1000</f>
        <v>4200</v>
      </c>
      <c r="AG1900" s="43"/>
      <c r="AH1900" s="47"/>
      <c r="AI1900" s="30"/>
      <c r="AJ1900" s="30"/>
      <c r="AK1900" s="30"/>
      <c r="AL1900" s="30"/>
      <c r="AM1900" s="13"/>
      <c r="AN1900" s="13"/>
      <c r="AO1900" s="13"/>
      <c r="AP1900" s="13"/>
      <c r="AQ1900" s="13"/>
      <c r="AR1900" s="14"/>
      <c r="AS1900" s="15"/>
    </row>
    <row r="1901" spans="1:45" s="17" customFormat="1" ht="30.95" hidden="1" customHeight="1" x14ac:dyDescent="0.2">
      <c r="A1901" s="343"/>
      <c r="B1901" s="344"/>
      <c r="C1901" s="345"/>
      <c r="D1901" s="346"/>
      <c r="E1901" s="346"/>
      <c r="F1901" s="268"/>
      <c r="G1901" s="269"/>
      <c r="H1901" s="269"/>
      <c r="I1901" s="270"/>
      <c r="J1901" s="434"/>
      <c r="K1901" s="270"/>
      <c r="L1901" s="270"/>
      <c r="M1901" s="348"/>
      <c r="N1901" s="348"/>
      <c r="O1901" s="435"/>
      <c r="P1901" s="349"/>
      <c r="Q1901" s="350"/>
      <c r="R1901" s="271"/>
      <c r="S1901" s="272"/>
      <c r="T1901" s="273"/>
      <c r="U1901" s="351"/>
      <c r="V1901" s="274"/>
      <c r="W1901" s="269"/>
      <c r="X1901" s="269"/>
      <c r="Y1901" s="275"/>
      <c r="Z1901" s="269"/>
      <c r="AA1901" s="350"/>
      <c r="AB1901" s="207"/>
      <c r="AC1901" s="352"/>
      <c r="AD1901" s="353"/>
      <c r="AE1901" s="54"/>
      <c r="AF1901" s="354"/>
      <c r="AG1901" s="355"/>
      <c r="AH1901" s="349"/>
      <c r="AI1901" s="30"/>
      <c r="AJ1901" s="30"/>
      <c r="AK1901" s="30"/>
      <c r="AL1901" s="30"/>
      <c r="AM1901" s="13"/>
      <c r="AN1901" s="13"/>
      <c r="AO1901" s="13"/>
      <c r="AP1901" s="13"/>
      <c r="AQ1901" s="13"/>
      <c r="AR1901" s="14"/>
      <c r="AS1901" s="15"/>
    </row>
    <row r="1902" spans="1:45" s="17" customFormat="1" ht="30.6" hidden="1" customHeight="1" x14ac:dyDescent="0.2">
      <c r="A1902" s="37"/>
      <c r="B1902" s="38"/>
      <c r="C1902" s="45"/>
      <c r="D1902" s="31">
        <v>3754103</v>
      </c>
      <c r="E1902" s="31">
        <v>4162320</v>
      </c>
      <c r="F1902" s="268" t="str">
        <f>IF(D1902="","",VLOOKUP(D1902,契約台帳!$A$3:$K$4986,6,FALSE)&amp;VLOOKUP(D1902,契約台帳!$A$3:$K$4986,7,FALSE)&amp;VLOOKUP(D1902,契約台帳!$A$3:$K$4986,8,FALSE)&amp;VLOOKUP(D1902,契約台帳!$A$3:$K$4986,9,FALSE)&amp;VLOOKUP(D1902,契約台帳!$A$3:$K$4986,11,FALSE))</f>
        <v>3TNMCLBHLGKJV</v>
      </c>
      <c r="G1902" s="269" t="str">
        <f>IF(D1902="","",VLOOKUP(F1902,製品マスタ!$G$5:$H$5002,2,FALSE))</f>
        <v>T</v>
      </c>
      <c r="H1902" s="269" t="str">
        <f>IF(D1902="","",VLOOKUP(F1902,製品マスタ!$G$5:$K$5002,5,FALSE))</f>
        <v>HLGKJV</v>
      </c>
      <c r="I1902" s="270" t="str">
        <f>IF(D1902="","",VLOOKUP(F1902,製品マスタ!$G$5:$L$5002,6,FALSE))</f>
        <v>メタルミー　ヘヤライン　銀消Ｖ</v>
      </c>
      <c r="J1902" s="210" t="s">
        <v>935</v>
      </c>
      <c r="K1902" s="270">
        <f>IF(D1902="","",VLOOKUP(D1902,契約台帳!$A$3:$L$4986,12,FALSE))</f>
        <v>50</v>
      </c>
      <c r="L1902" s="270" t="str">
        <f>IF(D1902="","",INDEX(製品マスタ!$Q$5:$Q$5002,MATCH('S4'!F1902&amp;'S4'!K1902,製品マスタ!$AO$5:$AO$5002,0)))</f>
        <v>HL-MAT</v>
      </c>
      <c r="M1902" s="39">
        <v>1005</v>
      </c>
      <c r="N1902" s="39">
        <v>4000</v>
      </c>
      <c r="O1902" s="156">
        <v>3</v>
      </c>
      <c r="P1902" s="47">
        <v>3</v>
      </c>
      <c r="Q1902" s="213">
        <v>45408</v>
      </c>
      <c r="R1902" s="271">
        <f ca="1">IF(D1902="","",IF(OFFSET(D1902,-1,0)&lt;&gt;"","",IF(OR(J1902="リード付け",J1902="巻足し",J1902="巻返しリード付け"),M1902,VLOOKUP(D1902,契約台帳!$A$3:$N$4986,14,FALSE))))</f>
        <v>1005</v>
      </c>
      <c r="S1902" s="272">
        <f ca="1">IF(D1902="","",IF(OFFSET(D1902,-1,0)&lt;&gt;"","",IF(OR(J1902="リード付け",J1902="巻足し",J1902="巻返しリード付け"),M1902,VLOOKUP(D1902,契約台帳!$A$3:$O$4986,15,FALSE))))</f>
        <v>1005</v>
      </c>
      <c r="T1902" s="273">
        <f ca="1">IF(D1902="","",IF(J1902="リード付け",N1902,IF(J1902="巻返しリード付け",N1902,IF(J1902="巻足し",N1902*P1902+OFFSET(N1902,1,0)*OFFSET(P1902,1,0),VLOOKUP(D1902,契約台帳!$A$3:$P$4986,16,FALSE)))))</f>
        <v>12000</v>
      </c>
      <c r="U1902" s="40">
        <v>1</v>
      </c>
      <c r="V1902" s="274">
        <f ca="1">IF(D1902="","",IF(OFFSET(D1902,-2,0)=D1902,"",VLOOKUP(D1902,契約台帳!$A$3:$R$4986,18,FALSE)))</f>
        <v>3</v>
      </c>
      <c r="W1902" s="269" t="str">
        <f ca="1">IF(D1902="","",IF(T1902="","",IF(OR(J1902="巻足し",J1902="巻返しリード付け"),"",IF(J1902="巻返し",VLOOKUP(F1902&amp;K1902&amp;M1902,製品マスタ!$M$5:$AD$5002,18,FALSE),IF(OR(J1902="リード付け",J1902="巻返しリード付け"),"原反コア",IF(J1902="スリット",VLOOKUP(F1902&amp;K1902&amp;R1902,製品マスタ!$N$5:$AD$5002,17,FALSE),""))))))</f>
        <v/>
      </c>
      <c r="X1902" s="269" t="str">
        <f ca="1">IF(D1902="","",IF(T1902="","",IF(J1902="巻足し","",IF(J1902="巻返し",VLOOKUP(F1902&amp;K1902&amp;M1902,製品マスタ!$M$5:$AE$5002,19,FALSE),IF(OR(J1902="リード付け",J1902="巻返しリード付け"),"",IF(J1902="スリット",VLOOKUP(F1902&amp;K1902&amp;R1902,製品マスタ!$N$5:$AE$5002,18,FALSE),""))))))</f>
        <v/>
      </c>
      <c r="Y1902" s="275">
        <f ca="1">IF(D1902="","",IF(T1902="","",VLOOKUP(D1902,契約台帳!$A$3:$Q$4986,17,FALSE)))</f>
        <v>2</v>
      </c>
      <c r="Z1902" s="269" t="str">
        <f ca="1">IF(D1902="","",IF(T1902="","",VLOOKUP(D1902,契約台帳!$A$3:$E$4986,5,FALSE)))</f>
        <v>リンテック㈱</v>
      </c>
      <c r="AA1902" s="57"/>
      <c r="AB1902" s="207">
        <f>IFERROR((VLOOKUP(F1902&amp;K1902&amp;M1902,製品マスタ!$M$5:$AM$5002,27,FALSE)),"")</f>
        <v>0</v>
      </c>
      <c r="AC1902" s="33"/>
      <c r="AD1902" s="189"/>
      <c r="AE1902" s="54"/>
      <c r="AF1902" s="55">
        <f>+M1902*N1902*O1902/1000</f>
        <v>12060</v>
      </c>
      <c r="AG1902" s="43"/>
      <c r="AH1902" s="47"/>
      <c r="AI1902" s="30"/>
      <c r="AJ1902" s="30"/>
      <c r="AK1902" s="30"/>
      <c r="AL1902" s="30"/>
      <c r="AM1902" s="13"/>
      <c r="AN1902" s="13"/>
      <c r="AO1902" s="13"/>
      <c r="AP1902" s="13"/>
      <c r="AQ1902" s="13"/>
      <c r="AR1902" s="14"/>
      <c r="AS1902" s="15"/>
    </row>
    <row r="1903" spans="1:45" s="17" customFormat="1" ht="30.95" hidden="1" customHeight="1" x14ac:dyDescent="0.2">
      <c r="A1903" s="343"/>
      <c r="B1903" s="344"/>
      <c r="C1903" s="345"/>
      <c r="D1903" s="346"/>
      <c r="E1903" s="346"/>
      <c r="F1903" s="268"/>
      <c r="G1903" s="269"/>
      <c r="H1903" s="269"/>
      <c r="I1903" s="270"/>
      <c r="J1903" s="434"/>
      <c r="K1903" s="270"/>
      <c r="L1903" s="270"/>
      <c r="M1903" s="348"/>
      <c r="N1903" s="348"/>
      <c r="O1903" s="435"/>
      <c r="P1903" s="349"/>
      <c r="Q1903" s="350"/>
      <c r="R1903" s="271"/>
      <c r="S1903" s="272"/>
      <c r="T1903" s="273"/>
      <c r="U1903" s="351"/>
      <c r="V1903" s="274"/>
      <c r="W1903" s="269"/>
      <c r="X1903" s="269"/>
      <c r="Y1903" s="275"/>
      <c r="Z1903" s="269"/>
      <c r="AA1903" s="350"/>
      <c r="AB1903" s="207"/>
      <c r="AC1903" s="352"/>
      <c r="AD1903" s="353"/>
      <c r="AE1903" s="54"/>
      <c r="AF1903" s="354"/>
      <c r="AG1903" s="355"/>
      <c r="AH1903" s="349"/>
      <c r="AI1903" s="30"/>
      <c r="AJ1903" s="30"/>
      <c r="AK1903" s="30"/>
      <c r="AL1903" s="30"/>
      <c r="AM1903" s="13"/>
      <c r="AN1903" s="13"/>
      <c r="AO1903" s="13"/>
      <c r="AP1903" s="13"/>
      <c r="AQ1903" s="13"/>
      <c r="AR1903" s="14"/>
      <c r="AS1903" s="15"/>
    </row>
    <row r="1904" spans="1:45" s="17" customFormat="1" ht="30.6" hidden="1" customHeight="1" x14ac:dyDescent="0.2">
      <c r="A1904" s="37"/>
      <c r="B1904" s="38"/>
      <c r="C1904" s="45"/>
      <c r="D1904" s="31">
        <v>3754082</v>
      </c>
      <c r="E1904" s="31">
        <v>4162301</v>
      </c>
      <c r="F1904" s="268" t="str">
        <f>IF(D1904="","",VLOOKUP(D1904,契約台帳!$A$3:$K$4986,6,FALSE)&amp;VLOOKUP(D1904,契約台帳!$A$3:$K$4986,7,FALSE)&amp;VLOOKUP(D1904,契約台帳!$A$3:$K$4986,8,FALSE)&amp;VLOOKUP(D1904,契約台帳!$A$3:$K$4986,9,FALSE)&amp;VLOOKUP(D1904,契約台帳!$A$3:$K$4986,11,FALSE))</f>
        <v>3SNMLBMNGKKBF</v>
      </c>
      <c r="G1904" s="269" t="str">
        <f>IF(D1904="","",VLOOKUP(F1904,製品マスタ!$G$5:$H$5002,2,FALSE))</f>
        <v>S</v>
      </c>
      <c r="H1904" s="269" t="str">
        <f>IF(D1904="","",VLOOKUP(F1904,製品マスタ!$G$5:$K$5002,5,FALSE))</f>
        <v>MNGKKBF</v>
      </c>
      <c r="I1904" s="270" t="str">
        <f>IF(D1904="","",VLOOKUP(F1904,製品マスタ!$G$5:$L$5002,6,FALSE))</f>
        <v>メタルミー　ネーマー銀消改　Ｂ</v>
      </c>
      <c r="J1904" s="210" t="s">
        <v>935</v>
      </c>
      <c r="K1904" s="270">
        <f>IF(D1904="","",VLOOKUP(D1904,契約台帳!$A$3:$L$4986,12,FALSE))</f>
        <v>50</v>
      </c>
      <c r="L1904" s="270" t="str">
        <f>IF(D1904="","",INDEX(製品マスタ!$Q$5:$Q$5002,MATCH('S4'!F1904&amp;'S4'!K1904,製品マスタ!$AO$5:$AO$5002,0)))</f>
        <v>S99-MAT</v>
      </c>
      <c r="M1904" s="39">
        <v>1000</v>
      </c>
      <c r="N1904" s="39">
        <v>4000</v>
      </c>
      <c r="O1904" s="156">
        <v>3</v>
      </c>
      <c r="P1904" s="47">
        <v>3</v>
      </c>
      <c r="Q1904" s="213">
        <v>45408</v>
      </c>
      <c r="R1904" s="271">
        <f ca="1">IF(D1904="","",IF(OFFSET(D1904,-1,0)&lt;&gt;"","",IF(OR(J1904="リード付け",J1904="巻足し",J1904="巻返しリード付け"),M1904,VLOOKUP(D1904,契約台帳!$A$3:$N$4986,14,FALSE))))</f>
        <v>1000</v>
      </c>
      <c r="S1904" s="272">
        <f ca="1">IF(D1904="","",IF(OFFSET(D1904,-1,0)&lt;&gt;"","",IF(OR(J1904="リード付け",J1904="巻足し",J1904="巻返しリード付け"),M1904,VLOOKUP(D1904,契約台帳!$A$3:$O$4986,15,FALSE))))</f>
        <v>1000</v>
      </c>
      <c r="T1904" s="273">
        <f ca="1">IF(D1904="","",IF(J1904="リード付け",N1904,IF(J1904="巻返しリード付け",N1904,IF(J1904="巻足し",N1904*P1904+OFFSET(N1904,1,0)*OFFSET(P1904,1,0),VLOOKUP(D1904,契約台帳!$A$3:$P$4986,16,FALSE)))))</f>
        <v>12000</v>
      </c>
      <c r="U1904" s="40">
        <v>1</v>
      </c>
      <c r="V1904" s="274">
        <f ca="1">IF(D1904="","",IF(OFFSET(D1904,-2,0)=D1904,"",VLOOKUP(D1904,契約台帳!$A$3:$R$4986,18,FALSE)))</f>
        <v>3</v>
      </c>
      <c r="W1904" s="269" t="str">
        <f ca="1">IF(D1904="","",IF(T1904="","",IF(OR(J1904="巻足し",J1904="巻返しリード付け"),"",IF(J1904="巻返し",VLOOKUP(F1904&amp;K1904&amp;M1904,製品マスタ!$M$5:$AD$5002,18,FALSE),IF(OR(J1904="リード付け",J1904="巻返しリード付け"),"原反コア",IF(J1904="スリット",VLOOKUP(F1904&amp;K1904&amp;R1904,製品マスタ!$N$5:$AD$5002,17,FALSE),""))))))</f>
        <v/>
      </c>
      <c r="X1904" s="269" t="str">
        <f ca="1">IF(D1904="","",IF(T1904="","",IF(J1904="巻足し","",IF(J1904="巻返し",VLOOKUP(F1904&amp;K1904&amp;M1904,製品マスタ!$M$5:$AE$5002,19,FALSE),IF(OR(J1904="リード付け",J1904="巻返しリード付け"),"",IF(J1904="スリット",VLOOKUP(F1904&amp;K1904&amp;R1904,製品マスタ!$N$5:$AE$5002,18,FALSE),""))))))</f>
        <v/>
      </c>
      <c r="Y1904" s="275">
        <f ca="1">IF(D1904="","",IF(T1904="","",VLOOKUP(D1904,契約台帳!$A$3:$Q$4986,17,FALSE)))</f>
        <v>2</v>
      </c>
      <c r="Z1904" s="269" t="str">
        <f ca="1">IF(D1904="","",IF(T1904="","",VLOOKUP(D1904,契約台帳!$A$3:$E$4986,5,FALSE)))</f>
        <v>リンテック㈱</v>
      </c>
      <c r="AA1904" s="57"/>
      <c r="AB1904" s="207">
        <f>IFERROR((VLOOKUP(F1904&amp;K1904&amp;M1904,製品マスタ!$M$5:$AM$5002,27,FALSE)),"")</f>
        <v>0</v>
      </c>
      <c r="AC1904" s="33"/>
      <c r="AD1904" s="189"/>
      <c r="AE1904" s="54"/>
      <c r="AF1904" s="55">
        <f>+M1904*N1904*O1904/1000</f>
        <v>12000</v>
      </c>
      <c r="AG1904" s="43"/>
      <c r="AH1904" s="47"/>
      <c r="AI1904" s="30"/>
      <c r="AJ1904" s="30"/>
      <c r="AK1904" s="30"/>
      <c r="AL1904" s="30"/>
      <c r="AM1904" s="13"/>
      <c r="AN1904" s="13"/>
      <c r="AO1904" s="13"/>
      <c r="AP1904" s="13"/>
      <c r="AQ1904" s="13"/>
      <c r="AR1904" s="14"/>
      <c r="AS1904" s="15"/>
    </row>
    <row r="1905" spans="1:45" s="17" customFormat="1" ht="30.95" hidden="1" customHeight="1" x14ac:dyDescent="0.2">
      <c r="A1905" s="343"/>
      <c r="B1905" s="344"/>
      <c r="C1905" s="345"/>
      <c r="D1905" s="346"/>
      <c r="E1905" s="346"/>
      <c r="F1905" s="268"/>
      <c r="G1905" s="269"/>
      <c r="H1905" s="269"/>
      <c r="I1905" s="270"/>
      <c r="J1905" s="434"/>
      <c r="K1905" s="270"/>
      <c r="L1905" s="270"/>
      <c r="M1905" s="348"/>
      <c r="N1905" s="348"/>
      <c r="O1905" s="435"/>
      <c r="P1905" s="349"/>
      <c r="Q1905" s="350"/>
      <c r="R1905" s="271"/>
      <c r="S1905" s="272"/>
      <c r="T1905" s="273"/>
      <c r="U1905" s="351"/>
      <c r="V1905" s="274"/>
      <c r="W1905" s="269"/>
      <c r="X1905" s="269"/>
      <c r="Y1905" s="275"/>
      <c r="Z1905" s="269"/>
      <c r="AA1905" s="350"/>
      <c r="AB1905" s="207"/>
      <c r="AC1905" s="352"/>
      <c r="AD1905" s="353"/>
      <c r="AE1905" s="54"/>
      <c r="AF1905" s="354"/>
      <c r="AG1905" s="355"/>
      <c r="AH1905" s="349"/>
      <c r="AI1905" s="30"/>
      <c r="AJ1905" s="30"/>
      <c r="AK1905" s="30"/>
      <c r="AL1905" s="30"/>
      <c r="AM1905" s="13"/>
      <c r="AN1905" s="13"/>
      <c r="AO1905" s="13"/>
      <c r="AP1905" s="13"/>
      <c r="AQ1905" s="13"/>
      <c r="AR1905" s="14"/>
      <c r="AS1905" s="15"/>
    </row>
    <row r="1906" spans="1:45" s="17" customFormat="1" ht="30.6" hidden="1" customHeight="1" x14ac:dyDescent="0.2">
      <c r="A1906" s="37" t="s">
        <v>2782</v>
      </c>
      <c r="B1906" s="38" t="s">
        <v>2783</v>
      </c>
      <c r="C1906" s="45"/>
      <c r="D1906" s="31">
        <v>3754087</v>
      </c>
      <c r="E1906" s="31">
        <v>4162304</v>
      </c>
      <c r="F1906" s="268" t="str">
        <f>IF(D1906="","",VLOOKUP(D1906,契約台帳!$A$3:$K$4986,6,FALSE)&amp;VLOOKUP(D1906,契約台帳!$A$3:$K$4986,7,FALSE)&amp;VLOOKUP(D1906,契約台帳!$A$3:$K$4986,8,FALSE)&amp;VLOOKUP(D1906,契約台帳!$A$3:$K$4986,9,FALSE)&amp;VLOOKUP(D1906,契約台帳!$A$3:$K$4986,11,FALSE))</f>
        <v>3SNMLBMNGTBF</v>
      </c>
      <c r="G1906" s="269" t="str">
        <f>IF(D1906="","",VLOOKUP(F1906,製品マスタ!$G$5:$H$5002,2,FALSE))</f>
        <v>S</v>
      </c>
      <c r="H1906" s="269" t="str">
        <f>IF(D1906="","",VLOOKUP(F1906,製品マスタ!$G$5:$K$5002,5,FALSE))</f>
        <v>MNGTBF</v>
      </c>
      <c r="I1906" s="270" t="str">
        <f>IF(D1906="","",VLOOKUP(F1906,製品マスタ!$G$5:$L$5002,6,FALSE))</f>
        <v>メタルミー　ネーマー　銀艶　Ｂ</v>
      </c>
      <c r="J1906" s="210" t="s">
        <v>935</v>
      </c>
      <c r="K1906" s="270">
        <f>IF(D1906="","",VLOOKUP(D1906,契約台帳!$A$3:$L$4986,12,FALSE))</f>
        <v>50</v>
      </c>
      <c r="L1906" s="270" t="str">
        <f>IF(D1906="","",INDEX(製品マスタ!$Q$5:$Q$5002,MATCH('S4'!F1906&amp;'S4'!K1906,製品マスタ!$AO$5:$AO$5002,0)))</f>
        <v>T62</v>
      </c>
      <c r="M1906" s="39">
        <v>1120</v>
      </c>
      <c r="N1906" s="39">
        <v>5000</v>
      </c>
      <c r="O1906" s="156">
        <v>12</v>
      </c>
      <c r="P1906" s="47">
        <v>2</v>
      </c>
      <c r="Q1906" s="213">
        <v>45413</v>
      </c>
      <c r="R1906" s="271">
        <f ca="1">IF(D1906="","",IF(OFFSET(D1906,-1,0)&lt;&gt;"","",IF(OR(J1906="リード付け",J1906="巻足し",J1906="巻返しリード付け"),M1906,VLOOKUP(D1906,契約台帳!$A$3:$N$4986,14,FALSE))))</f>
        <v>1120</v>
      </c>
      <c r="S1906" s="272">
        <f ca="1">IF(D1906="","",IF(OFFSET(D1906,-1,0)&lt;&gt;"","",IF(OR(J1906="リード付け",J1906="巻足し",J1906="巻返しリード付け"),M1906,VLOOKUP(D1906,契約台帳!$A$3:$O$4986,15,FALSE))))</f>
        <v>1120</v>
      </c>
      <c r="T1906" s="273">
        <f ca="1">IF(D1906="","",IF(J1906="リード付け",N1906,IF(J1906="巻返しリード付け",N1906,IF(J1906="巻足し",N1906*P1906+OFFSET(N1906,1,0)*OFFSET(P1906,1,0),VLOOKUP(D1906,契約台帳!$A$3:$P$4986,16,FALSE)))))</f>
        <v>10000</v>
      </c>
      <c r="U1906" s="40">
        <v>6</v>
      </c>
      <c r="V1906" s="274">
        <f ca="1">IF(D1906="","",IF(OFFSET(D1906,-2,0)=D1906,"",VLOOKUP(D1906,契約台帳!$A$3:$R$4986,18,FALSE)))</f>
        <v>54</v>
      </c>
      <c r="W1906" s="269" t="str">
        <f ca="1">IF(D1906="","",IF(T1906="","",IF(OR(J1906="巻足し",J1906="巻返しリード付け"),"",IF(J1906="巻返し",VLOOKUP(F1906&amp;K1906&amp;M1906,製品マスタ!$M$5:$AD$5002,18,FALSE),IF(OR(J1906="リード付け",J1906="巻返しリード付け"),"原反コア",IF(J1906="スリット",VLOOKUP(F1906&amp;K1906&amp;R1906,製品マスタ!$N$5:$AD$5002,17,FALSE),""))))))</f>
        <v/>
      </c>
      <c r="X1906" s="269" t="str">
        <f ca="1">IF(D1906="","",IF(T1906="","",IF(J1906="巻足し","",IF(J1906="巻返し",VLOOKUP(F1906&amp;K1906&amp;M1906,製品マスタ!$M$5:$AE$5002,19,FALSE),IF(OR(J1906="リード付け",J1906="巻返しリード付け"),"",IF(J1906="スリット",VLOOKUP(F1906&amp;K1906&amp;R1906,製品マスタ!$N$5:$AE$5002,18,FALSE),""))))))</f>
        <v/>
      </c>
      <c r="Y1906" s="275">
        <f ca="1">IF(D1906="","",IF(T1906="","",VLOOKUP(D1906,契約台帳!$A$3:$Q$4986,17,FALSE)))</f>
        <v>2</v>
      </c>
      <c r="Z1906" s="269" t="str">
        <f ca="1">IF(D1906="","",IF(T1906="","",VLOOKUP(D1906,契約台帳!$A$3:$E$4986,5,FALSE)))</f>
        <v>リンテック㈱</v>
      </c>
      <c r="AA1906" s="57"/>
      <c r="AB1906" s="207" t="str">
        <f>IFERROR((VLOOKUP(F1906&amp;K1906&amp;M1906,製品マスタ!$M$5:$AM$5002,27,FALSE)),"")</f>
        <v>原反ケース再利用</v>
      </c>
      <c r="AC1906" s="33"/>
      <c r="AD1906" s="189"/>
      <c r="AE1906" s="54"/>
      <c r="AF1906" s="55">
        <f>+M1906*N1906*O1906/1000</f>
        <v>67200</v>
      </c>
      <c r="AG1906" s="43"/>
      <c r="AH1906" s="47"/>
      <c r="AI1906" s="30"/>
      <c r="AJ1906" s="30"/>
      <c r="AK1906" s="30"/>
      <c r="AL1906" s="30"/>
      <c r="AM1906" s="13"/>
      <c r="AN1906" s="13"/>
      <c r="AO1906" s="13"/>
      <c r="AP1906" s="13"/>
      <c r="AQ1906" s="13"/>
      <c r="AR1906" s="14"/>
      <c r="AS1906" s="15"/>
    </row>
    <row r="1907" spans="1:45" s="17" customFormat="1" ht="30.95" hidden="1" customHeight="1" x14ac:dyDescent="0.2">
      <c r="A1907" s="37"/>
      <c r="B1907" s="38"/>
      <c r="C1907" s="45"/>
      <c r="D1907" s="31"/>
      <c r="E1907" s="31"/>
      <c r="F1907" s="268"/>
      <c r="G1907" s="269"/>
      <c r="H1907" s="269"/>
      <c r="I1907" s="270"/>
      <c r="J1907" s="210"/>
      <c r="K1907" s="270"/>
      <c r="L1907" s="270"/>
      <c r="M1907" s="39"/>
      <c r="N1907" s="39"/>
      <c r="O1907" s="156"/>
      <c r="P1907" s="47"/>
      <c r="Q1907" s="57"/>
      <c r="R1907" s="271"/>
      <c r="S1907" s="272"/>
      <c r="T1907" s="273"/>
      <c r="U1907" s="40"/>
      <c r="V1907" s="274"/>
      <c r="W1907" s="269"/>
      <c r="X1907" s="269"/>
      <c r="Y1907" s="275"/>
      <c r="Z1907" s="269"/>
      <c r="AA1907" s="57"/>
      <c r="AB1907" s="207"/>
      <c r="AC1907" s="33"/>
      <c r="AD1907" s="189"/>
      <c r="AE1907" s="54"/>
      <c r="AF1907" s="55"/>
      <c r="AG1907" s="43"/>
      <c r="AH1907" s="47"/>
      <c r="AI1907" s="30"/>
      <c r="AJ1907" s="30"/>
      <c r="AK1907" s="30"/>
      <c r="AL1907" s="30"/>
      <c r="AM1907" s="13"/>
      <c r="AN1907" s="13"/>
      <c r="AO1907" s="13"/>
      <c r="AP1907" s="13"/>
      <c r="AQ1907" s="13"/>
      <c r="AR1907" s="14"/>
      <c r="AS1907" s="15"/>
    </row>
    <row r="1908" spans="1:45" s="17" customFormat="1" ht="30.6" hidden="1" customHeight="1" x14ac:dyDescent="0.2">
      <c r="A1908" s="37" t="s">
        <v>2765</v>
      </c>
      <c r="B1908" s="38" t="s">
        <v>2766</v>
      </c>
      <c r="C1908" s="45"/>
      <c r="D1908" s="31">
        <v>3754087</v>
      </c>
      <c r="E1908" s="31">
        <v>4162304</v>
      </c>
      <c r="F1908" s="268" t="str">
        <f>IF(D1908="","",VLOOKUP(D1908,契約台帳!$A$3:$K$4986,6,FALSE)&amp;VLOOKUP(D1908,契約台帳!$A$3:$K$4986,7,FALSE)&amp;VLOOKUP(D1908,契約台帳!$A$3:$K$4986,8,FALSE)&amp;VLOOKUP(D1908,契約台帳!$A$3:$K$4986,9,FALSE)&amp;VLOOKUP(D1908,契約台帳!$A$3:$K$4986,11,FALSE))</f>
        <v>3SNMLBMNGTBF</v>
      </c>
      <c r="G1908" s="269" t="str">
        <f>IF(D1908="","",VLOOKUP(F1908,製品マスタ!$G$5:$H$5002,2,FALSE))</f>
        <v>S</v>
      </c>
      <c r="H1908" s="269" t="str">
        <f>IF(D1908="","",VLOOKUP(F1908,製品マスタ!$G$5:$K$5002,5,FALSE))</f>
        <v>MNGTBF</v>
      </c>
      <c r="I1908" s="270" t="str">
        <f>IF(D1908="","",VLOOKUP(F1908,製品マスタ!$G$5:$L$5002,6,FALSE))</f>
        <v>メタルミー　ネーマー　銀艶　Ｂ</v>
      </c>
      <c r="J1908" s="210" t="s">
        <v>935</v>
      </c>
      <c r="K1908" s="270">
        <f>IF(D1908="","",VLOOKUP(D1908,契約台帳!$A$3:$L$4986,12,FALSE))</f>
        <v>50</v>
      </c>
      <c r="L1908" s="270" t="str">
        <f>IF(D1908="","",INDEX(製品マスタ!$Q$5:$Q$5002,MATCH('S4'!F1908&amp;'S4'!K1908,製品マスタ!$AO$5:$AO$5002,0)))</f>
        <v>T62</v>
      </c>
      <c r="M1908" s="39">
        <v>1120</v>
      </c>
      <c r="N1908" s="39">
        <v>5000</v>
      </c>
      <c r="O1908" s="156">
        <v>18</v>
      </c>
      <c r="P1908" s="47">
        <v>2</v>
      </c>
      <c r="Q1908" s="213">
        <v>45413</v>
      </c>
      <c r="R1908" s="271">
        <f ca="1">IF(D1908="","",IF(OFFSET(D1908,-1,0)&lt;&gt;"","",IF(OR(J1908="リード付け",J1908="巻足し",J1908="巻返しリード付け"),M1908,VLOOKUP(D1908,契約台帳!$A$3:$N$4986,14,FALSE))))</f>
        <v>1120</v>
      </c>
      <c r="S1908" s="272">
        <f ca="1">IF(D1908="","",IF(OFFSET(D1908,-1,0)&lt;&gt;"","",IF(OR(J1908="リード付け",J1908="巻足し",J1908="巻返しリード付け"),M1908,VLOOKUP(D1908,契約台帳!$A$3:$O$4986,15,FALSE))))</f>
        <v>1120</v>
      </c>
      <c r="T1908" s="273">
        <f ca="1">IF(D1908="","",IF(J1908="リード付け",N1908,IF(J1908="巻返しリード付け",N1908,IF(J1908="巻足し",N1908*P1908+OFFSET(N1908,1,0)*OFFSET(P1908,1,0),VLOOKUP(D1908,契約台帳!$A$3:$P$4986,16,FALSE)))))</f>
        <v>10000</v>
      </c>
      <c r="U1908" s="40">
        <v>9</v>
      </c>
      <c r="V1908" s="274" t="str">
        <f ca="1">IF(D1908="","",IF(OFFSET(D1908,-2,0)=D1908,"",VLOOKUP(D1908,契約台帳!$A$3:$R$4986,18,FALSE)))</f>
        <v/>
      </c>
      <c r="W1908" s="269" t="str">
        <f ca="1">IF(D1908="","",IF(T1908="","",IF(OR(J1908="巻足し",J1908="巻返しリード付け"),"",IF(J1908="巻返し",VLOOKUP(F1908&amp;K1908&amp;M1908,製品マスタ!$M$5:$AD$5002,18,FALSE),IF(OR(J1908="リード付け",J1908="巻返しリード付け"),"原反コア",IF(J1908="スリット",VLOOKUP(F1908&amp;K1908&amp;R1908,製品マスタ!$N$5:$AD$5002,17,FALSE),""))))))</f>
        <v/>
      </c>
      <c r="X1908" s="269" t="str">
        <f ca="1">IF(D1908="","",IF(T1908="","",IF(J1908="巻足し","",IF(J1908="巻返し",VLOOKUP(F1908&amp;K1908&amp;M1908,製品マスタ!$M$5:$AE$5002,19,FALSE),IF(OR(J1908="リード付け",J1908="巻返しリード付け"),"",IF(J1908="スリット",VLOOKUP(F1908&amp;K1908&amp;R1908,製品マスタ!$N$5:$AE$5002,18,FALSE),""))))))</f>
        <v/>
      </c>
      <c r="Y1908" s="275">
        <f ca="1">IF(D1908="","",IF(T1908="","",VLOOKUP(D1908,契約台帳!$A$3:$Q$4986,17,FALSE)))</f>
        <v>2</v>
      </c>
      <c r="Z1908" s="269" t="str">
        <f ca="1">IF(D1908="","",IF(T1908="","",VLOOKUP(D1908,契約台帳!$A$3:$E$4986,5,FALSE)))</f>
        <v>リンテック㈱</v>
      </c>
      <c r="AA1908" s="57"/>
      <c r="AB1908" s="207" t="str">
        <f>IFERROR((VLOOKUP(F1908&amp;K1908&amp;M1908,製品マスタ!$M$5:$AM$5002,27,FALSE)),"")</f>
        <v>原反ケース再利用</v>
      </c>
      <c r="AC1908" s="33"/>
      <c r="AD1908" s="189"/>
      <c r="AE1908" s="54"/>
      <c r="AF1908" s="55">
        <f>+M1908*N1908*O1908/1000</f>
        <v>100800</v>
      </c>
      <c r="AG1908" s="43"/>
      <c r="AH1908" s="47"/>
      <c r="AI1908" s="30"/>
      <c r="AJ1908" s="30"/>
      <c r="AK1908" s="30"/>
      <c r="AL1908" s="30"/>
      <c r="AM1908" s="13"/>
      <c r="AN1908" s="13"/>
      <c r="AO1908" s="13"/>
      <c r="AP1908" s="13"/>
      <c r="AQ1908" s="13"/>
      <c r="AR1908" s="14"/>
      <c r="AS1908" s="15"/>
    </row>
    <row r="1909" spans="1:45" s="17" customFormat="1" ht="30.95" hidden="1" customHeight="1" x14ac:dyDescent="0.2">
      <c r="A1909" s="37"/>
      <c r="B1909" s="38"/>
      <c r="C1909" s="45"/>
      <c r="D1909" s="31"/>
      <c r="E1909" s="31"/>
      <c r="F1909" s="268"/>
      <c r="G1909" s="269"/>
      <c r="H1909" s="269"/>
      <c r="I1909" s="270"/>
      <c r="J1909" s="210"/>
      <c r="K1909" s="270"/>
      <c r="L1909" s="270"/>
      <c r="M1909" s="39"/>
      <c r="N1909" s="39"/>
      <c r="O1909" s="156"/>
      <c r="P1909" s="47"/>
      <c r="Q1909" s="57"/>
      <c r="R1909" s="271"/>
      <c r="S1909" s="272"/>
      <c r="T1909" s="273"/>
      <c r="U1909" s="40"/>
      <c r="V1909" s="274"/>
      <c r="W1909" s="269"/>
      <c r="X1909" s="269"/>
      <c r="Y1909" s="275"/>
      <c r="Z1909" s="269"/>
      <c r="AA1909" s="57"/>
      <c r="AB1909" s="207"/>
      <c r="AC1909" s="33"/>
      <c r="AD1909" s="189"/>
      <c r="AE1909" s="54"/>
      <c r="AF1909" s="55"/>
      <c r="AG1909" s="43"/>
      <c r="AH1909" s="47"/>
      <c r="AI1909" s="30"/>
      <c r="AJ1909" s="30"/>
      <c r="AK1909" s="30"/>
      <c r="AL1909" s="30"/>
      <c r="AM1909" s="13"/>
      <c r="AN1909" s="13"/>
      <c r="AO1909" s="13"/>
      <c r="AP1909" s="13"/>
      <c r="AQ1909" s="13"/>
      <c r="AR1909" s="14"/>
      <c r="AS1909" s="15"/>
    </row>
    <row r="1910" spans="1:45" s="17" customFormat="1" ht="30.95" hidden="1" customHeight="1" x14ac:dyDescent="0.2">
      <c r="A1910" s="37" t="s">
        <v>2743</v>
      </c>
      <c r="B1910" s="38" t="s">
        <v>2742</v>
      </c>
      <c r="C1910" s="45"/>
      <c r="D1910" s="31"/>
      <c r="E1910" s="31"/>
      <c r="F1910" s="268"/>
      <c r="G1910" s="269"/>
      <c r="H1910" s="269"/>
      <c r="I1910" s="270"/>
      <c r="J1910" s="210" t="s">
        <v>2744</v>
      </c>
      <c r="K1910" s="270"/>
      <c r="L1910" s="270"/>
      <c r="M1910" s="39"/>
      <c r="N1910" s="39"/>
      <c r="O1910" s="156"/>
      <c r="P1910" s="47"/>
      <c r="Q1910" s="57"/>
      <c r="R1910" s="271"/>
      <c r="S1910" s="272"/>
      <c r="T1910" s="273"/>
      <c r="U1910" s="40"/>
      <c r="V1910" s="274"/>
      <c r="W1910" s="269"/>
      <c r="X1910" s="269"/>
      <c r="Y1910" s="275"/>
      <c r="Z1910" s="269"/>
      <c r="AA1910" s="57"/>
      <c r="AB1910" s="207"/>
      <c r="AC1910" s="33"/>
      <c r="AD1910" s="189"/>
      <c r="AE1910" s="54"/>
      <c r="AF1910" s="55"/>
      <c r="AG1910" s="43"/>
      <c r="AH1910" s="47"/>
      <c r="AI1910" s="30"/>
      <c r="AJ1910" s="30"/>
      <c r="AK1910" s="30"/>
      <c r="AL1910" s="30"/>
      <c r="AM1910" s="13"/>
      <c r="AN1910" s="13"/>
      <c r="AO1910" s="13"/>
      <c r="AP1910" s="13"/>
      <c r="AQ1910" s="13"/>
      <c r="AR1910" s="14"/>
      <c r="AS1910" s="15"/>
    </row>
    <row r="1911" spans="1:45" s="17" customFormat="1" ht="30.95" hidden="1" customHeight="1" x14ac:dyDescent="0.2">
      <c r="A1911" s="37"/>
      <c r="B1911" s="38"/>
      <c r="C1911" s="45"/>
      <c r="D1911" s="31"/>
      <c r="E1911" s="31"/>
      <c r="F1911" s="268"/>
      <c r="G1911" s="269"/>
      <c r="H1911" s="269"/>
      <c r="I1911" s="270"/>
      <c r="J1911" s="210"/>
      <c r="K1911" s="270"/>
      <c r="L1911" s="270"/>
      <c r="M1911" s="39"/>
      <c r="N1911" s="39"/>
      <c r="O1911" s="156"/>
      <c r="P1911" s="47"/>
      <c r="Q1911" s="57"/>
      <c r="R1911" s="271"/>
      <c r="S1911" s="272"/>
      <c r="T1911" s="273"/>
      <c r="U1911" s="40"/>
      <c r="V1911" s="274"/>
      <c r="W1911" s="269"/>
      <c r="X1911" s="269"/>
      <c r="Y1911" s="275"/>
      <c r="Z1911" s="269"/>
      <c r="AA1911" s="57"/>
      <c r="AB1911" s="207"/>
      <c r="AC1911" s="33"/>
      <c r="AD1911" s="189"/>
      <c r="AE1911" s="54"/>
      <c r="AF1911" s="55"/>
      <c r="AG1911" s="43"/>
      <c r="AH1911" s="47"/>
      <c r="AI1911" s="30"/>
      <c r="AJ1911" s="30"/>
      <c r="AK1911" s="30"/>
      <c r="AL1911" s="30"/>
      <c r="AM1911" s="13"/>
      <c r="AN1911" s="13"/>
      <c r="AO1911" s="13"/>
      <c r="AP1911" s="13"/>
      <c r="AQ1911" s="13"/>
      <c r="AR1911" s="14"/>
      <c r="AS1911" s="15"/>
    </row>
    <row r="1912" spans="1:45" s="17" customFormat="1" ht="30.95" hidden="1" customHeight="1" x14ac:dyDescent="0.2">
      <c r="A1912" s="37" t="s">
        <v>2745</v>
      </c>
      <c r="B1912" s="38" t="s">
        <v>2746</v>
      </c>
      <c r="C1912" s="45"/>
      <c r="D1912" s="31"/>
      <c r="E1912" s="31"/>
      <c r="F1912" s="268"/>
      <c r="G1912" s="269"/>
      <c r="H1912" s="269"/>
      <c r="I1912" s="270"/>
      <c r="J1912" s="210" t="s">
        <v>2744</v>
      </c>
      <c r="K1912" s="270"/>
      <c r="L1912" s="270"/>
      <c r="M1912" s="39"/>
      <c r="N1912" s="39"/>
      <c r="O1912" s="156"/>
      <c r="P1912" s="47"/>
      <c r="Q1912" s="57"/>
      <c r="R1912" s="271"/>
      <c r="S1912" s="272"/>
      <c r="T1912" s="273"/>
      <c r="U1912" s="40"/>
      <c r="V1912" s="274"/>
      <c r="W1912" s="269"/>
      <c r="X1912" s="269"/>
      <c r="Y1912" s="275"/>
      <c r="Z1912" s="269"/>
      <c r="AA1912" s="57"/>
      <c r="AB1912" s="207"/>
      <c r="AC1912" s="33"/>
      <c r="AD1912" s="189"/>
      <c r="AE1912" s="54"/>
      <c r="AF1912" s="55"/>
      <c r="AG1912" s="43"/>
      <c r="AH1912" s="47"/>
      <c r="AI1912" s="30"/>
      <c r="AJ1912" s="30"/>
      <c r="AK1912" s="30"/>
      <c r="AL1912" s="30"/>
      <c r="AM1912" s="13"/>
      <c r="AN1912" s="13"/>
      <c r="AO1912" s="13"/>
      <c r="AP1912" s="13"/>
      <c r="AQ1912" s="13"/>
      <c r="AR1912" s="14"/>
      <c r="AS1912" s="15"/>
    </row>
    <row r="1913" spans="1:45" s="17" customFormat="1" ht="30.95" hidden="1" customHeight="1" x14ac:dyDescent="0.2">
      <c r="A1913" s="37"/>
      <c r="B1913" s="38"/>
      <c r="C1913" s="45"/>
      <c r="D1913" s="31"/>
      <c r="E1913" s="31"/>
      <c r="F1913" s="268"/>
      <c r="G1913" s="269"/>
      <c r="H1913" s="269"/>
      <c r="I1913" s="270"/>
      <c r="J1913" s="210"/>
      <c r="K1913" s="270"/>
      <c r="L1913" s="270"/>
      <c r="M1913" s="39"/>
      <c r="N1913" s="39"/>
      <c r="O1913" s="156"/>
      <c r="P1913" s="47"/>
      <c r="Q1913" s="57"/>
      <c r="R1913" s="271"/>
      <c r="S1913" s="272"/>
      <c r="T1913" s="273"/>
      <c r="U1913" s="40"/>
      <c r="V1913" s="274"/>
      <c r="W1913" s="269"/>
      <c r="X1913" s="269"/>
      <c r="Y1913" s="275"/>
      <c r="Z1913" s="269"/>
      <c r="AA1913" s="57"/>
      <c r="AB1913" s="207"/>
      <c r="AC1913" s="33"/>
      <c r="AD1913" s="189"/>
      <c r="AE1913" s="54"/>
      <c r="AF1913" s="55"/>
      <c r="AG1913" s="43"/>
      <c r="AH1913" s="47"/>
      <c r="AI1913" s="30"/>
      <c r="AJ1913" s="30"/>
      <c r="AK1913" s="30"/>
      <c r="AL1913" s="30"/>
      <c r="AM1913" s="13"/>
      <c r="AN1913" s="13"/>
      <c r="AO1913" s="13"/>
      <c r="AP1913" s="13"/>
      <c r="AQ1913" s="13"/>
      <c r="AR1913" s="14"/>
      <c r="AS1913" s="15"/>
    </row>
    <row r="1914" spans="1:45" s="17" customFormat="1" ht="30.95" hidden="1" customHeight="1" x14ac:dyDescent="0.2">
      <c r="A1914" s="37" t="s">
        <v>2747</v>
      </c>
      <c r="B1914" s="38" t="s">
        <v>2748</v>
      </c>
      <c r="C1914" s="45"/>
      <c r="D1914" s="31"/>
      <c r="E1914" s="31"/>
      <c r="F1914" s="268"/>
      <c r="G1914" s="269"/>
      <c r="H1914" s="269"/>
      <c r="I1914" s="270"/>
      <c r="J1914" s="210" t="s">
        <v>2744</v>
      </c>
      <c r="K1914" s="270"/>
      <c r="L1914" s="270"/>
      <c r="M1914" s="39"/>
      <c r="N1914" s="39"/>
      <c r="O1914" s="156"/>
      <c r="P1914" s="47"/>
      <c r="Q1914" s="57"/>
      <c r="R1914" s="271"/>
      <c r="S1914" s="272"/>
      <c r="T1914" s="273"/>
      <c r="U1914" s="40"/>
      <c r="V1914" s="274"/>
      <c r="W1914" s="269"/>
      <c r="X1914" s="269"/>
      <c r="Y1914" s="275"/>
      <c r="Z1914" s="269"/>
      <c r="AA1914" s="57"/>
      <c r="AB1914" s="207"/>
      <c r="AC1914" s="33"/>
      <c r="AD1914" s="189"/>
      <c r="AE1914" s="54"/>
      <c r="AF1914" s="55"/>
      <c r="AG1914" s="43"/>
      <c r="AH1914" s="47"/>
      <c r="AI1914" s="30"/>
      <c r="AJ1914" s="30"/>
      <c r="AK1914" s="30"/>
      <c r="AL1914" s="30"/>
      <c r="AM1914" s="13"/>
      <c r="AN1914" s="13"/>
      <c r="AO1914" s="13"/>
      <c r="AP1914" s="13"/>
      <c r="AQ1914" s="13"/>
      <c r="AR1914" s="14"/>
      <c r="AS1914" s="15"/>
    </row>
    <row r="1915" spans="1:45" s="17" customFormat="1" ht="30.95" hidden="1" customHeight="1" x14ac:dyDescent="0.2">
      <c r="A1915" s="37"/>
      <c r="B1915" s="38"/>
      <c r="C1915" s="45"/>
      <c r="D1915" s="31"/>
      <c r="E1915" s="31"/>
      <c r="F1915" s="268"/>
      <c r="G1915" s="269"/>
      <c r="H1915" s="269"/>
      <c r="I1915" s="270"/>
      <c r="J1915" s="210"/>
      <c r="K1915" s="270"/>
      <c r="L1915" s="270"/>
      <c r="M1915" s="39"/>
      <c r="N1915" s="39"/>
      <c r="O1915" s="156"/>
      <c r="P1915" s="47"/>
      <c r="Q1915" s="57"/>
      <c r="R1915" s="271"/>
      <c r="S1915" s="272"/>
      <c r="T1915" s="273"/>
      <c r="U1915" s="40"/>
      <c r="V1915" s="274"/>
      <c r="W1915" s="269"/>
      <c r="X1915" s="269"/>
      <c r="Y1915" s="275"/>
      <c r="Z1915" s="269"/>
      <c r="AA1915" s="57"/>
      <c r="AB1915" s="207"/>
      <c r="AC1915" s="33"/>
      <c r="AD1915" s="189"/>
      <c r="AE1915" s="54"/>
      <c r="AF1915" s="55"/>
      <c r="AG1915" s="43"/>
      <c r="AH1915" s="47"/>
      <c r="AI1915" s="30"/>
      <c r="AJ1915" s="30"/>
      <c r="AK1915" s="30"/>
      <c r="AL1915" s="30"/>
      <c r="AM1915" s="13"/>
      <c r="AN1915" s="13"/>
      <c r="AO1915" s="13"/>
      <c r="AP1915" s="13"/>
      <c r="AQ1915" s="13"/>
      <c r="AR1915" s="14"/>
      <c r="AS1915" s="15"/>
    </row>
    <row r="1916" spans="1:45" s="17" customFormat="1" ht="30.95" hidden="1" customHeight="1" x14ac:dyDescent="0.2">
      <c r="A1916" s="37" t="s">
        <v>2749</v>
      </c>
      <c r="B1916" s="38" t="s">
        <v>2741</v>
      </c>
      <c r="C1916" s="45"/>
      <c r="D1916" s="31"/>
      <c r="E1916" s="31"/>
      <c r="F1916" s="268"/>
      <c r="G1916" s="269"/>
      <c r="H1916" s="269"/>
      <c r="I1916" s="270"/>
      <c r="J1916" s="210" t="s">
        <v>2744</v>
      </c>
      <c r="K1916" s="270"/>
      <c r="L1916" s="270"/>
      <c r="M1916" s="39"/>
      <c r="N1916" s="39"/>
      <c r="O1916" s="156"/>
      <c r="P1916" s="47"/>
      <c r="Q1916" s="57"/>
      <c r="R1916" s="271"/>
      <c r="S1916" s="272"/>
      <c r="T1916" s="273"/>
      <c r="U1916" s="40"/>
      <c r="V1916" s="274"/>
      <c r="W1916" s="269"/>
      <c r="X1916" s="269"/>
      <c r="Y1916" s="275"/>
      <c r="Z1916" s="269"/>
      <c r="AA1916" s="57"/>
      <c r="AB1916" s="207"/>
      <c r="AC1916" s="33"/>
      <c r="AD1916" s="189"/>
      <c r="AE1916" s="54"/>
      <c r="AF1916" s="55"/>
      <c r="AG1916" s="43"/>
      <c r="AH1916" s="47"/>
      <c r="AI1916" s="30"/>
      <c r="AJ1916" s="30"/>
      <c r="AK1916" s="30"/>
      <c r="AL1916" s="30"/>
      <c r="AM1916" s="13"/>
      <c r="AN1916" s="13"/>
      <c r="AO1916" s="13"/>
      <c r="AP1916" s="13"/>
      <c r="AQ1916" s="13"/>
      <c r="AR1916" s="14"/>
      <c r="AS1916" s="15"/>
    </row>
    <row r="1917" spans="1:45" s="17" customFormat="1" ht="30.95" hidden="1" customHeight="1" x14ac:dyDescent="0.2">
      <c r="A1917" s="37"/>
      <c r="B1917" s="38"/>
      <c r="C1917" s="45"/>
      <c r="D1917" s="31"/>
      <c r="E1917" s="31"/>
      <c r="F1917" s="268"/>
      <c r="G1917" s="269"/>
      <c r="H1917" s="269"/>
      <c r="I1917" s="270"/>
      <c r="J1917" s="210"/>
      <c r="K1917" s="270"/>
      <c r="L1917" s="270"/>
      <c r="M1917" s="39"/>
      <c r="N1917" s="39"/>
      <c r="O1917" s="156"/>
      <c r="P1917" s="47"/>
      <c r="Q1917" s="57"/>
      <c r="R1917" s="271"/>
      <c r="S1917" s="272"/>
      <c r="T1917" s="273"/>
      <c r="U1917" s="40"/>
      <c r="V1917" s="274"/>
      <c r="W1917" s="269"/>
      <c r="X1917" s="269"/>
      <c r="Y1917" s="275"/>
      <c r="Z1917" s="269"/>
      <c r="AA1917" s="57"/>
      <c r="AB1917" s="207"/>
      <c r="AC1917" s="33"/>
      <c r="AD1917" s="189"/>
      <c r="AE1917" s="54"/>
      <c r="AF1917" s="55"/>
      <c r="AG1917" s="43"/>
      <c r="AH1917" s="47"/>
      <c r="AI1917" s="30"/>
      <c r="AJ1917" s="30"/>
      <c r="AK1917" s="30"/>
      <c r="AL1917" s="30"/>
      <c r="AM1917" s="13"/>
      <c r="AN1917" s="13"/>
      <c r="AO1917" s="13"/>
      <c r="AP1917" s="13"/>
      <c r="AQ1917" s="13"/>
      <c r="AR1917" s="14"/>
      <c r="AS1917" s="15"/>
    </row>
    <row r="1918" spans="1:45" s="17" customFormat="1" ht="30.6" hidden="1" customHeight="1" x14ac:dyDescent="0.2">
      <c r="A1918" s="37" t="s">
        <v>2767</v>
      </c>
      <c r="B1918" s="38" t="s">
        <v>2768</v>
      </c>
      <c r="C1918" s="45"/>
      <c r="D1918" s="31">
        <v>3754087</v>
      </c>
      <c r="E1918" s="31">
        <v>4162304</v>
      </c>
      <c r="F1918" s="268" t="str">
        <f>IF(D1918="","",VLOOKUP(D1918,契約台帳!$A$3:$K$4986,6,FALSE)&amp;VLOOKUP(D1918,契約台帳!$A$3:$K$4986,7,FALSE)&amp;VLOOKUP(D1918,契約台帳!$A$3:$K$4986,8,FALSE)&amp;VLOOKUP(D1918,契約台帳!$A$3:$K$4986,9,FALSE)&amp;VLOOKUP(D1918,契約台帳!$A$3:$K$4986,11,FALSE))</f>
        <v>3SNMLBMNGTBF</v>
      </c>
      <c r="G1918" s="269" t="str">
        <f>IF(D1918="","",VLOOKUP(F1918,製品マスタ!$G$5:$H$5002,2,FALSE))</f>
        <v>S</v>
      </c>
      <c r="H1918" s="269" t="str">
        <f>IF(D1918="","",VLOOKUP(F1918,製品マスタ!$G$5:$K$5002,5,FALSE))</f>
        <v>MNGTBF</v>
      </c>
      <c r="I1918" s="270" t="str">
        <f>IF(D1918="","",VLOOKUP(F1918,製品マスタ!$G$5:$L$5002,6,FALSE))</f>
        <v>メタルミー　ネーマー　銀艶　Ｂ</v>
      </c>
      <c r="J1918" s="210" t="s">
        <v>935</v>
      </c>
      <c r="K1918" s="270">
        <f>IF(D1918="","",VLOOKUP(D1918,契約台帳!$A$3:$L$4986,12,FALSE))</f>
        <v>50</v>
      </c>
      <c r="L1918" s="270" t="str">
        <f>IF(D1918="","",INDEX(製品マスタ!$Q$5:$Q$5002,MATCH('S4'!F1918&amp;'S4'!K1918,製品マスタ!$AO$5:$AO$5002,0)))</f>
        <v>T62</v>
      </c>
      <c r="M1918" s="39">
        <v>1120</v>
      </c>
      <c r="N1918" s="39">
        <v>5000</v>
      </c>
      <c r="O1918" s="156">
        <v>18</v>
      </c>
      <c r="P1918" s="47">
        <v>2</v>
      </c>
      <c r="Q1918" s="213">
        <v>45413</v>
      </c>
      <c r="R1918" s="271">
        <f ca="1">IF(D1918="","",IF(OFFSET(D1918,-1,0)&lt;&gt;"","",IF(OR(J1918="リード付け",J1918="巻足し",J1918="巻返しリード付け"),M1918,VLOOKUP(D1918,契約台帳!$A$3:$N$4986,14,FALSE))))</f>
        <v>1120</v>
      </c>
      <c r="S1918" s="272">
        <f ca="1">IF(D1918="","",IF(OFFSET(D1918,-1,0)&lt;&gt;"","",IF(OR(J1918="リード付け",J1918="巻足し",J1918="巻返しリード付け"),M1918,VLOOKUP(D1918,契約台帳!$A$3:$O$4986,15,FALSE))))</f>
        <v>1120</v>
      </c>
      <c r="T1918" s="273">
        <f ca="1">IF(D1918="","",IF(J1918="リード付け",N1918,IF(J1918="巻返しリード付け",N1918,IF(J1918="巻足し",N1918*P1918+OFFSET(N1918,1,0)*OFFSET(P1918,1,0),VLOOKUP(D1918,契約台帳!$A$3:$P$4986,16,FALSE)))))</f>
        <v>10000</v>
      </c>
      <c r="U1918" s="40">
        <v>7</v>
      </c>
      <c r="V1918" s="274">
        <f ca="1">IF(D1918="","",IF(OFFSET(D1918,-2,0)=D1918,"",VLOOKUP(D1918,契約台帳!$A$3:$R$4986,18,FALSE)))</f>
        <v>54</v>
      </c>
      <c r="W1918" s="269" t="str">
        <f ca="1">IF(D1918="","",IF(T1918="","",IF(OR(J1918="巻足し",J1918="巻返しリード付け"),"",IF(J1918="巻返し",VLOOKUP(F1918&amp;K1918&amp;M1918,製品マスタ!$M$5:$AD$5002,18,FALSE),IF(OR(J1918="リード付け",J1918="巻返しリード付け"),"原反コア",IF(J1918="スリット",VLOOKUP(F1918&amp;K1918&amp;R1918,製品マスタ!$N$5:$AD$5002,17,FALSE),""))))))</f>
        <v/>
      </c>
      <c r="X1918" s="269" t="str">
        <f ca="1">IF(D1918="","",IF(T1918="","",IF(J1918="巻足し","",IF(J1918="巻返し",VLOOKUP(F1918&amp;K1918&amp;M1918,製品マスタ!$M$5:$AE$5002,19,FALSE),IF(OR(J1918="リード付け",J1918="巻返しリード付け"),"",IF(J1918="スリット",VLOOKUP(F1918&amp;K1918&amp;R1918,製品マスタ!$N$5:$AE$5002,18,FALSE),""))))))</f>
        <v/>
      </c>
      <c r="Y1918" s="275">
        <f ca="1">IF(D1918="","",IF(T1918="","",VLOOKUP(D1918,契約台帳!$A$3:$Q$4986,17,FALSE)))</f>
        <v>2</v>
      </c>
      <c r="Z1918" s="269" t="str">
        <f ca="1">IF(D1918="","",IF(T1918="","",VLOOKUP(D1918,契約台帳!$A$3:$E$4986,5,FALSE)))</f>
        <v>リンテック㈱</v>
      </c>
      <c r="AA1918" s="57"/>
      <c r="AB1918" s="207" t="str">
        <f>IFERROR((VLOOKUP(F1918&amp;K1918&amp;M1918,製品マスタ!$M$5:$AM$5002,27,FALSE)),"")</f>
        <v>原反ケース再利用</v>
      </c>
      <c r="AC1918" s="33"/>
      <c r="AD1918" s="189"/>
      <c r="AE1918" s="54"/>
      <c r="AF1918" s="55">
        <f>+M1918*N1918*O1918/1000</f>
        <v>100800</v>
      </c>
      <c r="AG1918" s="43"/>
      <c r="AH1918" s="47"/>
      <c r="AI1918" s="30"/>
      <c r="AJ1918" s="30"/>
      <c r="AK1918" s="30"/>
      <c r="AL1918" s="30"/>
      <c r="AM1918" s="13"/>
      <c r="AN1918" s="13"/>
      <c r="AO1918" s="13"/>
      <c r="AP1918" s="13"/>
      <c r="AQ1918" s="13"/>
      <c r="AR1918" s="14"/>
      <c r="AS1918" s="15"/>
    </row>
    <row r="1919" spans="1:45" s="17" customFormat="1" ht="30.95" hidden="1" customHeight="1" x14ac:dyDescent="0.2">
      <c r="A1919" s="37"/>
      <c r="B1919" s="38"/>
      <c r="C1919" s="45"/>
      <c r="D1919" s="31"/>
      <c r="E1919" s="31"/>
      <c r="F1919" s="268"/>
      <c r="G1919" s="269"/>
      <c r="H1919" s="269"/>
      <c r="I1919" s="270"/>
      <c r="J1919" s="210"/>
      <c r="K1919" s="270"/>
      <c r="L1919" s="270"/>
      <c r="M1919" s="39"/>
      <c r="N1919" s="39"/>
      <c r="O1919" s="156"/>
      <c r="P1919" s="47"/>
      <c r="Q1919" s="57"/>
      <c r="R1919" s="271"/>
      <c r="S1919" s="272"/>
      <c r="T1919" s="273"/>
      <c r="U1919" s="40"/>
      <c r="V1919" s="274"/>
      <c r="W1919" s="269"/>
      <c r="X1919" s="269"/>
      <c r="Y1919" s="275"/>
      <c r="Z1919" s="269"/>
      <c r="AA1919" s="57"/>
      <c r="AB1919" s="207"/>
      <c r="AC1919" s="33"/>
      <c r="AD1919" s="189"/>
      <c r="AE1919" s="54"/>
      <c r="AF1919" s="55"/>
      <c r="AG1919" s="43"/>
      <c r="AH1919" s="47"/>
      <c r="AI1919" s="30"/>
      <c r="AJ1919" s="30"/>
      <c r="AK1919" s="30"/>
      <c r="AL1919" s="30"/>
      <c r="AM1919" s="13"/>
      <c r="AN1919" s="13"/>
      <c r="AO1919" s="13"/>
      <c r="AP1919" s="13"/>
      <c r="AQ1919" s="13"/>
      <c r="AR1919" s="14"/>
      <c r="AS1919" s="15"/>
    </row>
    <row r="1920" spans="1:45" s="17" customFormat="1" ht="30.6" hidden="1" customHeight="1" x14ac:dyDescent="0.2">
      <c r="A1920" s="37" t="s">
        <v>2769</v>
      </c>
      <c r="B1920" s="38" t="s">
        <v>2764</v>
      </c>
      <c r="C1920" s="45"/>
      <c r="D1920" s="31">
        <v>3754087</v>
      </c>
      <c r="E1920" s="31">
        <v>4162304</v>
      </c>
      <c r="F1920" s="268" t="str">
        <f>IF(D1920="","",VLOOKUP(D1920,契約台帳!$A$3:$K$4986,6,FALSE)&amp;VLOOKUP(D1920,契約台帳!$A$3:$K$4986,7,FALSE)&amp;VLOOKUP(D1920,契約台帳!$A$3:$K$4986,8,FALSE)&amp;VLOOKUP(D1920,契約台帳!$A$3:$K$4986,9,FALSE)&amp;VLOOKUP(D1920,契約台帳!$A$3:$K$4986,11,FALSE))</f>
        <v>3SNMLBMNGTBF</v>
      </c>
      <c r="G1920" s="269" t="str">
        <f>IF(D1920="","",VLOOKUP(F1920,製品マスタ!$G$5:$H$5002,2,FALSE))</f>
        <v>S</v>
      </c>
      <c r="H1920" s="269" t="str">
        <f>IF(D1920="","",VLOOKUP(F1920,製品マスタ!$G$5:$K$5002,5,FALSE))</f>
        <v>MNGTBF</v>
      </c>
      <c r="I1920" s="270" t="str">
        <f>IF(D1920="","",VLOOKUP(F1920,製品マスタ!$G$5:$L$5002,6,FALSE))</f>
        <v>メタルミー　ネーマー　銀艶　Ｂ</v>
      </c>
      <c r="J1920" s="210" t="s">
        <v>935</v>
      </c>
      <c r="K1920" s="270">
        <f>IF(D1920="","",VLOOKUP(D1920,契約台帳!$A$3:$L$4986,12,FALSE))</f>
        <v>50</v>
      </c>
      <c r="L1920" s="270" t="str">
        <f>IF(D1920="","",INDEX(製品マスタ!$Q$5:$Q$5002,MATCH('S4'!F1920&amp;'S4'!K1920,製品マスタ!$AO$5:$AO$5002,0)))</f>
        <v>T62</v>
      </c>
      <c r="M1920" s="39">
        <v>1120</v>
      </c>
      <c r="N1920" s="39">
        <v>5000</v>
      </c>
      <c r="O1920" s="156">
        <v>6</v>
      </c>
      <c r="P1920" s="47">
        <v>2</v>
      </c>
      <c r="Q1920" s="213">
        <v>45413</v>
      </c>
      <c r="R1920" s="271">
        <f ca="1">IF(D1920="","",IF(OFFSET(D1920,-1,0)&lt;&gt;"","",IF(OR(J1920="リード付け",J1920="巻足し",J1920="巻返しリード付け"),M1920,VLOOKUP(D1920,契約台帳!$A$3:$N$4986,14,FALSE))))</f>
        <v>1120</v>
      </c>
      <c r="S1920" s="272">
        <f ca="1">IF(D1920="","",IF(OFFSET(D1920,-1,0)&lt;&gt;"","",IF(OR(J1920="リード付け",J1920="巻足し",J1920="巻返しリード付け"),M1920,VLOOKUP(D1920,契約台帳!$A$3:$O$4986,15,FALSE))))</f>
        <v>1120</v>
      </c>
      <c r="T1920" s="273">
        <f ca="1">IF(D1920="","",IF(J1920="リード付け",N1920,IF(J1920="巻返しリード付け",N1920,IF(J1920="巻足し",N1920*P1920+OFFSET(N1920,1,0)*OFFSET(P1920,1,0),VLOOKUP(D1920,契約台帳!$A$3:$P$4986,16,FALSE)))))</f>
        <v>10000</v>
      </c>
      <c r="U1920" s="40">
        <v>3</v>
      </c>
      <c r="V1920" s="274" t="str">
        <f ca="1">IF(D1920="","",IF(OFFSET(D1920,-2,0)=D1920,"",VLOOKUP(D1920,契約台帳!$A$3:$R$4986,18,FALSE)))</f>
        <v/>
      </c>
      <c r="W1920" s="269" t="str">
        <f ca="1">IF(D1920="","",IF(T1920="","",IF(OR(J1920="巻足し",J1920="巻返しリード付け"),"",IF(J1920="巻返し",VLOOKUP(F1920&amp;K1920&amp;M1920,製品マスタ!$M$5:$AD$5002,18,FALSE),IF(OR(J1920="リード付け",J1920="巻返しリード付け"),"原反コア",IF(J1920="スリット",VLOOKUP(F1920&amp;K1920&amp;R1920,製品マスタ!$N$5:$AD$5002,17,FALSE),""))))))</f>
        <v/>
      </c>
      <c r="X1920" s="269" t="str">
        <f ca="1">IF(D1920="","",IF(T1920="","",IF(J1920="巻足し","",IF(J1920="巻返し",VLOOKUP(F1920&amp;K1920&amp;M1920,製品マスタ!$M$5:$AE$5002,19,FALSE),IF(OR(J1920="リード付け",J1920="巻返しリード付け"),"",IF(J1920="スリット",VLOOKUP(F1920&amp;K1920&amp;R1920,製品マスタ!$N$5:$AE$5002,18,FALSE),""))))))</f>
        <v/>
      </c>
      <c r="Y1920" s="275">
        <f ca="1">IF(D1920="","",IF(T1920="","",VLOOKUP(D1920,契約台帳!$A$3:$Q$4986,17,FALSE)))</f>
        <v>2</v>
      </c>
      <c r="Z1920" s="269" t="str">
        <f ca="1">IF(D1920="","",IF(T1920="","",VLOOKUP(D1920,契約台帳!$A$3:$E$4986,5,FALSE)))</f>
        <v>リンテック㈱</v>
      </c>
      <c r="AA1920" s="57"/>
      <c r="AB1920" s="207" t="str">
        <f>IFERROR((VLOOKUP(F1920&amp;K1920&amp;M1920,製品マスタ!$M$5:$AM$5002,27,FALSE)),"")</f>
        <v>原反ケース再利用</v>
      </c>
      <c r="AC1920" s="33"/>
      <c r="AD1920" s="189"/>
      <c r="AE1920" s="54"/>
      <c r="AF1920" s="55">
        <f>+M1920*N1920*O1920/1000</f>
        <v>33600</v>
      </c>
      <c r="AG1920" s="43"/>
      <c r="AH1920" s="47"/>
      <c r="AI1920" s="30"/>
      <c r="AJ1920" s="30"/>
      <c r="AK1920" s="30"/>
      <c r="AL1920" s="30"/>
      <c r="AM1920" s="13"/>
      <c r="AN1920" s="13"/>
      <c r="AO1920" s="13"/>
      <c r="AP1920" s="13"/>
      <c r="AQ1920" s="13"/>
      <c r="AR1920" s="14"/>
      <c r="AS1920" s="15"/>
    </row>
    <row r="1921" spans="1:45" s="17" customFormat="1" ht="30.95" hidden="1" customHeight="1" x14ac:dyDescent="0.2">
      <c r="A1921" s="37"/>
      <c r="B1921" s="38"/>
      <c r="C1921" s="45"/>
      <c r="D1921" s="31"/>
      <c r="E1921" s="31"/>
      <c r="F1921" s="268" t="str">
        <f>IF(D1921="","",VLOOKUP(D1921,契約台帳!$A$3:$K$4986,6,FALSE)&amp;VLOOKUP(D1921,契約台帳!$A$3:$K$4986,7,FALSE)&amp;VLOOKUP(D1921,契約台帳!$A$3:$K$4986,8,FALSE)&amp;VLOOKUP(D1921,契約台帳!$A$3:$K$4986,9,FALSE)&amp;VLOOKUP(D1921,契約台帳!$A$3:$K$4986,11,FALSE))</f>
        <v/>
      </c>
      <c r="G1921" s="269" t="str">
        <f>IF(D1921="","",VLOOKUP(F1921,製品マスタ!$G$5:$H$5002,2,FALSE))</f>
        <v/>
      </c>
      <c r="H1921" s="269" t="str">
        <f>IF(D1921="","",VLOOKUP(F1921,製品マスタ!$G$5:$K$5002,5,FALSE))</f>
        <v/>
      </c>
      <c r="I1921" s="270" t="str">
        <f>IF(D1921="","",VLOOKUP(F1921,製品マスタ!$G$5:$L$5002,6,FALSE))</f>
        <v/>
      </c>
      <c r="J1921" s="210"/>
      <c r="K1921" s="270" t="str">
        <f>IF(D1921="","",VLOOKUP(D1921,契約台帳!$A$3:$L$4986,12,FALSE))</f>
        <v/>
      </c>
      <c r="L1921" s="270" t="str">
        <f>IF(D1921="","",INDEX(製品マスタ!$Q$5:$Q$5002,MATCH('S4'!F1921&amp;'S4'!K1921,製品マスタ!$AO$5:$AO$5002,0)))</f>
        <v/>
      </c>
      <c r="M1921" s="39"/>
      <c r="N1921" s="39"/>
      <c r="O1921" s="156"/>
      <c r="P1921" s="47"/>
      <c r="Q1921" s="57"/>
      <c r="R1921" s="271" t="str">
        <f ca="1">IF(D1921="","",IF(OFFSET(D1921,-1,0)&lt;&gt;"","",IF(OR(J1921="リード付け",J1921="巻足し",J1921="巻返しリード付け"),M1921,VLOOKUP(D1921,契約台帳!$A$3:$N$4986,14,FALSE))))</f>
        <v/>
      </c>
      <c r="S1921" s="272" t="str">
        <f ca="1">IF(D1921="","",IF(OFFSET(D1921,-1,0)&lt;&gt;"","",IF(OR(J1921="リード付け",J1921="巻足し",J1921="巻返しリード付け"),M1921,VLOOKUP(D1921,契約台帳!$A$3:$O$4986,15,FALSE))))</f>
        <v/>
      </c>
      <c r="T1921" s="273" t="str">
        <f ca="1">IF(D1921="","",IF(J1921="リード付け",N1921,IF(J1921="巻返しリード付け",N1921,IF(J1921="巻足し",N1921*P1921+OFFSET(N1921,1,0)*OFFSET(P1921,1,0),VLOOKUP(D1921,契約台帳!$A$3:$P$4986,16,FALSE)))))</f>
        <v/>
      </c>
      <c r="U1921" s="40"/>
      <c r="V1921" s="274" t="str">
        <f ca="1">IF(D1921="","",IF(OFFSET(D1921,-2,0)=D1921,"",VLOOKUP(D1921,契約台帳!$A$3:$R$4986,18,FALSE)))</f>
        <v/>
      </c>
      <c r="W1921" s="269" t="str">
        <f>IF(D1921="","",IF(T1921="","",IF(OR(J1921="巻足し",J1921="巻返しリード付け"),"",IF(J1921="巻返し",VLOOKUP(F1921&amp;K1921&amp;M1921,製品マスタ!$M$5:$AD$5002,18,FALSE),IF(OR(J1921="リード付け",J1921="巻返しリード付け"),"原反コア",IF(J1921="スリット",VLOOKUP(F1921&amp;K1921&amp;R1921,製品マスタ!$N$5:$AD$5002,17,FALSE),""))))))</f>
        <v/>
      </c>
      <c r="X1921" s="269" t="str">
        <f>IF(D1921="","",IF(T1921="","",IF(J1921="巻足し","",IF(J1921="巻返し",VLOOKUP(F1921&amp;K1921&amp;M1921,製品マスタ!$M$5:$AE$5002,19,FALSE),IF(OR(J1921="リード付け",J1921="巻返しリード付け"),"",IF(J1921="スリット",VLOOKUP(F1921&amp;K1921&amp;R1921,製品マスタ!$N$5:$AE$5002,18,FALSE),""))))))</f>
        <v/>
      </c>
      <c r="Y1921" s="275" t="str">
        <f>IF(D1921="","",IF(T1921="","",VLOOKUP(D1921,契約台帳!$A$3:$Q$4986,17,FALSE)))</f>
        <v/>
      </c>
      <c r="Z1921" s="269" t="str">
        <f>IF(D1921="","",IF(T1921="","",VLOOKUP(D1921,契約台帳!$A$3:$E$4986,5,FALSE)))</f>
        <v/>
      </c>
      <c r="AA1921" s="57"/>
      <c r="AB1921" s="207" t="str">
        <f>IFERROR((VLOOKUP(F1921&amp;K1921&amp;M1921,製品マスタ!$M$5:$AM$5002,27,FALSE)),"")</f>
        <v/>
      </c>
      <c r="AC1921" s="33"/>
      <c r="AD1921" s="189"/>
      <c r="AE1921" s="54"/>
      <c r="AF1921" s="55"/>
      <c r="AG1921" s="43"/>
      <c r="AH1921" s="47"/>
      <c r="AI1921" s="30"/>
      <c r="AJ1921" s="30"/>
      <c r="AK1921" s="30"/>
      <c r="AL1921" s="30"/>
      <c r="AM1921" s="13"/>
      <c r="AN1921" s="13"/>
      <c r="AO1921" s="13"/>
      <c r="AP1921" s="13"/>
      <c r="AQ1921" s="13"/>
      <c r="AR1921" s="14"/>
      <c r="AS1921" s="15"/>
    </row>
    <row r="1922" spans="1:45" s="17" customFormat="1" ht="30.6" hidden="1" customHeight="1" x14ac:dyDescent="0.2">
      <c r="A1922" s="37"/>
      <c r="B1922" s="38"/>
      <c r="C1922" s="45"/>
      <c r="D1922" s="31">
        <v>3754089</v>
      </c>
      <c r="E1922" s="31">
        <v>4162313</v>
      </c>
      <c r="F1922" s="268" t="str">
        <f>IF(D1922="","",VLOOKUP(D1922,契約台帳!$A$3:$K$4986,6,FALSE)&amp;VLOOKUP(D1922,契約台帳!$A$3:$K$4986,7,FALSE)&amp;VLOOKUP(D1922,契約台帳!$A$3:$K$4986,8,FALSE)&amp;VLOOKUP(D1922,契約台帳!$A$3:$K$4986,9,FALSE)&amp;VLOOKUP(D1922,契約台帳!$A$3:$K$4986,11,FALSE))</f>
        <v>3SYMLBMSNMBF</v>
      </c>
      <c r="G1922" s="269" t="str">
        <f>IF(D1922="","",VLOOKUP(F1922,製品マスタ!$G$5:$H$5002,2,FALSE))</f>
        <v>S</v>
      </c>
      <c r="H1922" s="269" t="str">
        <f>IF(D1922="","",VLOOKUP(F1922,製品マスタ!$G$5:$K$5002,5,FALSE))</f>
        <v>MSNMBF</v>
      </c>
      <c r="I1922" s="270" t="str">
        <f>IF(D1922="","",VLOOKUP(F1922,製品マスタ!$G$5:$L$5002,6,FALSE))</f>
        <v>ＭＥＴＡＬＵＭＹ　ＳＩＬＶＥＲ　Ｎ－ＭＡＴＴＥ　Ｘ４４Ｍ　Ｂ</v>
      </c>
      <c r="J1922" s="210" t="s">
        <v>935</v>
      </c>
      <c r="K1922" s="270">
        <f>IF(D1922="","",VLOOKUP(D1922,契約台帳!$A$3:$L$4986,12,FALSE))</f>
        <v>50</v>
      </c>
      <c r="L1922" s="270" t="str">
        <f>IF(D1922="","",INDEX(製品マスタ!$Q$5:$Q$5002,MATCH('S4'!F1922&amp;'S4'!K1922,製品マスタ!$AO$5:$AO$5002,0)))</f>
        <v>X44</v>
      </c>
      <c r="M1922" s="39">
        <v>1120</v>
      </c>
      <c r="N1922" s="39">
        <v>4000</v>
      </c>
      <c r="O1922" s="156">
        <v>6</v>
      </c>
      <c r="P1922" s="47">
        <v>3</v>
      </c>
      <c r="Q1922" s="213">
        <v>45414</v>
      </c>
      <c r="R1922" s="271">
        <f ca="1">IF(D1922="","",IF(OFFSET(D1922,-1,0)&lt;&gt;"","",IF(OR(J1922="リード付け",J1922="巻足し",J1922="巻返しリード付け"),M1922,VLOOKUP(D1922,契約台帳!$A$3:$N$4986,14,FALSE))))</f>
        <v>1120</v>
      </c>
      <c r="S1922" s="272">
        <f ca="1">IF(D1922="","",IF(OFFSET(D1922,-1,0)&lt;&gt;"","",IF(OR(J1922="リード付け",J1922="巻足し",J1922="巻返しリード付け"),M1922,VLOOKUP(D1922,契約台帳!$A$3:$O$4986,15,FALSE))))</f>
        <v>1120</v>
      </c>
      <c r="T1922" s="273">
        <f ca="1">IF(D1922="","",IF(J1922="リード付け",N1922,IF(J1922="巻返しリード付け",N1922,IF(J1922="巻足し",N1922*P1922+OFFSET(N1922,1,0)*OFFSET(P1922,1,0),VLOOKUP(D1922,契約台帳!$A$3:$P$4986,16,FALSE)))))</f>
        <v>12000</v>
      </c>
      <c r="U1922" s="40">
        <v>2</v>
      </c>
      <c r="V1922" s="274">
        <f ca="1">IF(D1922="","",IF(OFFSET(D1922,-2,0)=D1922,"",VLOOKUP(D1922,契約台帳!$A$3:$R$4986,18,FALSE)))</f>
        <v>8</v>
      </c>
      <c r="W1922" s="269" t="str">
        <f ca="1">IF(D1922="","",IF(T1922="","",IF(OR(J1922="巻足し",J1922="巻返しリード付け"),"",IF(J1922="巻返し",VLOOKUP(F1922&amp;K1922&amp;M1922,製品マスタ!$M$5:$AD$5002,18,FALSE),IF(OR(J1922="リード付け",J1922="巻返しリード付け"),"原反コア",IF(J1922="スリット",VLOOKUP(F1922&amp;K1922&amp;R1922,製品マスタ!$N$5:$AD$5002,17,FALSE),""))))))</f>
        <v/>
      </c>
      <c r="X1922" s="269" t="str">
        <f ca="1">IF(D1922="","",IF(T1922="","",IF(J1922="巻足し","",IF(J1922="巻返し",VLOOKUP(F1922&amp;K1922&amp;M1922,製品マスタ!$M$5:$AE$5002,19,FALSE),IF(OR(J1922="リード付け",J1922="巻返しリード付け"),"",IF(J1922="スリット",VLOOKUP(F1922&amp;K1922&amp;R1922,製品マスタ!$N$5:$AE$5002,18,FALSE),""))))))</f>
        <v/>
      </c>
      <c r="Y1922" s="275">
        <f ca="1">IF(D1922="","",IF(T1922="","",VLOOKUP(D1922,契約台帳!$A$3:$Q$4986,17,FALSE)))</f>
        <v>2</v>
      </c>
      <c r="Z1922" s="269" t="str">
        <f ca="1">IF(D1922="","",IF(T1922="","",VLOOKUP(D1922,契約台帳!$A$3:$E$4986,5,FALSE)))</f>
        <v>リンテック㈱</v>
      </c>
      <c r="AA1922" s="57"/>
      <c r="AB1922" s="207" t="s">
        <v>1083</v>
      </c>
      <c r="AC1922" s="33"/>
      <c r="AD1922" s="189"/>
      <c r="AE1922" s="54"/>
      <c r="AF1922" s="55">
        <f>+M1922*N1922*O1922/1000</f>
        <v>26880</v>
      </c>
      <c r="AG1922" s="43"/>
      <c r="AH1922" s="47"/>
      <c r="AI1922" s="30"/>
      <c r="AJ1922" s="30"/>
      <c r="AK1922" s="30"/>
      <c r="AL1922" s="30"/>
      <c r="AM1922" s="13"/>
      <c r="AN1922" s="13"/>
      <c r="AO1922" s="13"/>
      <c r="AP1922" s="13"/>
      <c r="AQ1922" s="13"/>
      <c r="AR1922" s="14"/>
      <c r="AS1922" s="15"/>
    </row>
    <row r="1923" spans="1:45" s="17" customFormat="1" ht="30.95" hidden="1" customHeight="1" x14ac:dyDescent="0.2">
      <c r="A1923" s="343"/>
      <c r="B1923" s="344"/>
      <c r="C1923" s="345"/>
      <c r="D1923" s="346"/>
      <c r="E1923" s="346"/>
      <c r="F1923" s="268"/>
      <c r="G1923" s="269"/>
      <c r="H1923" s="269"/>
      <c r="I1923" s="270"/>
      <c r="J1923" s="434"/>
      <c r="K1923" s="270"/>
      <c r="L1923" s="270"/>
      <c r="M1923" s="348"/>
      <c r="N1923" s="348"/>
      <c r="O1923" s="435"/>
      <c r="P1923" s="349"/>
      <c r="Q1923" s="350"/>
      <c r="R1923" s="271"/>
      <c r="S1923" s="272"/>
      <c r="T1923" s="273"/>
      <c r="U1923" s="351"/>
      <c r="V1923" s="274"/>
      <c r="W1923" s="269"/>
      <c r="X1923" s="269"/>
      <c r="Y1923" s="275"/>
      <c r="Z1923" s="269"/>
      <c r="AA1923" s="350"/>
      <c r="AB1923" s="207"/>
      <c r="AC1923" s="352"/>
      <c r="AD1923" s="353"/>
      <c r="AE1923" s="54"/>
      <c r="AF1923" s="354"/>
      <c r="AG1923" s="355"/>
      <c r="AH1923" s="349"/>
      <c r="AI1923" s="30"/>
      <c r="AJ1923" s="30"/>
      <c r="AK1923" s="30"/>
      <c r="AL1923" s="30"/>
      <c r="AM1923" s="13"/>
      <c r="AN1923" s="13"/>
      <c r="AO1923" s="13"/>
      <c r="AP1923" s="13"/>
      <c r="AQ1923" s="13"/>
      <c r="AR1923" s="14"/>
      <c r="AS1923" s="15"/>
    </row>
    <row r="1924" spans="1:45" s="17" customFormat="1" ht="30.6" hidden="1" customHeight="1" x14ac:dyDescent="0.2">
      <c r="A1924" s="37"/>
      <c r="B1924" s="38"/>
      <c r="C1924" s="45"/>
      <c r="D1924" s="31">
        <v>3754089</v>
      </c>
      <c r="E1924" s="31">
        <v>4162313</v>
      </c>
      <c r="F1924" s="268" t="str">
        <f>IF(D1924="","",VLOOKUP(D1924,契約台帳!$A$3:$K$4986,6,FALSE)&amp;VLOOKUP(D1924,契約台帳!$A$3:$K$4986,7,FALSE)&amp;VLOOKUP(D1924,契約台帳!$A$3:$K$4986,8,FALSE)&amp;VLOOKUP(D1924,契約台帳!$A$3:$K$4986,9,FALSE)&amp;VLOOKUP(D1924,契約台帳!$A$3:$K$4986,11,FALSE))</f>
        <v>3SYMLBMSNMBF</v>
      </c>
      <c r="G1924" s="269" t="str">
        <f>IF(D1924="","",VLOOKUP(F1924,製品マスタ!$G$5:$H$5002,2,FALSE))</f>
        <v>S</v>
      </c>
      <c r="H1924" s="269" t="str">
        <f>IF(D1924="","",VLOOKUP(F1924,製品マスタ!$G$5:$K$5002,5,FALSE))</f>
        <v>MSNMBF</v>
      </c>
      <c r="I1924" s="270" t="str">
        <f>IF(D1924="","",VLOOKUP(F1924,製品マスタ!$G$5:$L$5002,6,FALSE))</f>
        <v>ＭＥＴＡＬＵＭＹ　ＳＩＬＶＥＲ　Ｎ－ＭＡＴＴＥ　Ｘ４４Ｍ　Ｂ</v>
      </c>
      <c r="J1924" s="210" t="s">
        <v>935</v>
      </c>
      <c r="K1924" s="270">
        <f>IF(D1924="","",VLOOKUP(D1924,契約台帳!$A$3:$L$4986,12,FALSE))</f>
        <v>50</v>
      </c>
      <c r="L1924" s="270" t="str">
        <f>IF(D1924="","",INDEX(製品マスタ!$Q$5:$Q$5002,MATCH('S4'!F1924&amp;'S4'!K1924,製品マスタ!$AO$5:$AO$5002,0)))</f>
        <v>X44</v>
      </c>
      <c r="M1924" s="39">
        <v>1120</v>
      </c>
      <c r="N1924" s="39">
        <v>4000</v>
      </c>
      <c r="O1924" s="156">
        <v>2</v>
      </c>
      <c r="P1924" s="47">
        <v>3</v>
      </c>
      <c r="Q1924" s="213">
        <v>45414</v>
      </c>
      <c r="R1924" s="271">
        <f ca="1">IF(D1924="","",IF(OFFSET(D1924,-1,0)&lt;&gt;"","",IF(OR(J1924="リード付け",J1924="巻足し",J1924="巻返しリード付け"),M1924,VLOOKUP(D1924,契約台帳!$A$3:$N$4986,14,FALSE))))</f>
        <v>1120</v>
      </c>
      <c r="S1924" s="272">
        <f ca="1">IF(D1924="","",IF(OFFSET(D1924,-1,0)&lt;&gt;"","",IF(OR(J1924="リード付け",J1924="巻足し",J1924="巻返しリード付け"),M1924,VLOOKUP(D1924,契約台帳!$A$3:$O$4986,15,FALSE))))</f>
        <v>1120</v>
      </c>
      <c r="T1924" s="273">
        <f ca="1">IF(D1924="","",IF(J1924="リード付け",N1924,IF(J1924="巻返しリード付け",N1924,IF(J1924="巻足し",N1924*P1924+OFFSET(N1924,1,0)*OFFSET(P1924,1,0),VLOOKUP(D1924,契約台帳!$A$3:$P$4986,16,FALSE)))))</f>
        <v>12000</v>
      </c>
      <c r="U1924" s="40">
        <v>1</v>
      </c>
      <c r="V1924" s="274" t="str">
        <f ca="1">IF(D1924="","",IF(OFFSET(D1924,-2,0)=D1924,"",VLOOKUP(D1924,契約台帳!$A$3:$R$4986,18,FALSE)))</f>
        <v/>
      </c>
      <c r="W1924" s="269" t="str">
        <f ca="1">IF(D1924="","",IF(T1924="","",IF(OR(J1924="巻足し",J1924="巻返しリード付け"),"",IF(J1924="巻返し",VLOOKUP(F1924&amp;K1924&amp;M1924,製品マスタ!$M$5:$AD$5002,18,FALSE),IF(OR(J1924="リード付け",J1924="巻返しリード付け"),"原反コア",IF(J1924="スリット",VLOOKUP(F1924&amp;K1924&amp;R1924,製品マスタ!$N$5:$AD$5002,17,FALSE),""))))))</f>
        <v/>
      </c>
      <c r="X1924" s="269" t="str">
        <f ca="1">IF(D1924="","",IF(T1924="","",IF(J1924="巻足し","",IF(J1924="巻返し",VLOOKUP(F1924&amp;K1924&amp;M1924,製品マスタ!$M$5:$AE$5002,19,FALSE),IF(OR(J1924="リード付け",J1924="巻返しリード付け"),"",IF(J1924="スリット",VLOOKUP(F1924&amp;K1924&amp;R1924,製品マスタ!$N$5:$AE$5002,18,FALSE),""))))))</f>
        <v/>
      </c>
      <c r="Y1924" s="275">
        <f ca="1">IF(D1924="","",IF(T1924="","",VLOOKUP(D1924,契約台帳!$A$3:$Q$4986,17,FALSE)))</f>
        <v>2</v>
      </c>
      <c r="Z1924" s="269" t="str">
        <f ca="1">IF(D1924="","",IF(T1924="","",VLOOKUP(D1924,契約台帳!$A$3:$E$4986,5,FALSE)))</f>
        <v>リンテック㈱</v>
      </c>
      <c r="AA1924" s="57"/>
      <c r="AB1924" s="207" t="s">
        <v>1083</v>
      </c>
      <c r="AC1924" s="33"/>
      <c r="AD1924" s="189"/>
      <c r="AE1924" s="54"/>
      <c r="AF1924" s="55">
        <f>+M1924*N1924*O1924/1000</f>
        <v>8960</v>
      </c>
      <c r="AG1924" s="43"/>
      <c r="AH1924" s="47"/>
      <c r="AI1924" s="30"/>
      <c r="AJ1924" s="30"/>
      <c r="AK1924" s="30"/>
      <c r="AL1924" s="30"/>
      <c r="AM1924" s="13"/>
      <c r="AN1924" s="13"/>
      <c r="AO1924" s="13"/>
      <c r="AP1924" s="13"/>
      <c r="AQ1924" s="13"/>
      <c r="AR1924" s="14"/>
      <c r="AS1924" s="15"/>
    </row>
    <row r="1925" spans="1:45" s="17" customFormat="1" ht="30.6" hidden="1" customHeight="1" x14ac:dyDescent="0.2">
      <c r="A1925" s="37"/>
      <c r="B1925" s="38"/>
      <c r="C1925" s="45"/>
      <c r="D1925" s="31">
        <v>3754091</v>
      </c>
      <c r="E1925" s="31"/>
      <c r="F1925" s="268" t="str">
        <f>IF(D1925="","",VLOOKUP(D1925,契約台帳!$A$3:$K$4986,6,FALSE)&amp;VLOOKUP(D1925,契約台帳!$A$3:$K$4986,7,FALSE)&amp;VLOOKUP(D1925,契約台帳!$A$3:$K$4986,8,FALSE)&amp;VLOOKUP(D1925,契約台帳!$A$3:$K$4986,9,FALSE)&amp;VLOOKUP(D1925,契約台帳!$A$3:$K$4986,11,FALSE))</f>
        <v>3SYMLBMSNMBF</v>
      </c>
      <c r="G1925" s="269" t="str">
        <f>IF(D1925="","",VLOOKUP(F1925,製品マスタ!$G$5:$H$5002,2,FALSE))</f>
        <v>S</v>
      </c>
      <c r="H1925" s="269" t="str">
        <f>IF(D1925="","",VLOOKUP(F1925,製品マスタ!$G$5:$K$5002,5,FALSE))</f>
        <v>MSNMBF</v>
      </c>
      <c r="I1925" s="270" t="str">
        <f>IF(D1925="","",VLOOKUP(F1925,製品マスタ!$G$5:$L$5002,6,FALSE))</f>
        <v>ＭＥＴＡＬＵＭＹ　ＳＩＬＶＥＲ　Ｎ－ＭＡＴＴＥ　Ｘ４４Ｍ　Ｂ</v>
      </c>
      <c r="J1925" s="210" t="s">
        <v>935</v>
      </c>
      <c r="K1925" s="270">
        <f>IF(D1925="","",VLOOKUP(D1925,契約台帳!$A$3:$L$4986,12,FALSE))</f>
        <v>50</v>
      </c>
      <c r="L1925" s="270" t="str">
        <f>IF(D1925="","",INDEX(製品マスタ!$Q$5:$Q$5002,MATCH('S4'!F1925&amp;'S4'!K1925,製品マスタ!$AO$5:$AO$5002,0)))</f>
        <v>X44</v>
      </c>
      <c r="M1925" s="39">
        <v>1120</v>
      </c>
      <c r="N1925" s="39">
        <v>4000</v>
      </c>
      <c r="O1925" s="156">
        <v>1</v>
      </c>
      <c r="P1925" s="47"/>
      <c r="Q1925" s="213">
        <v>45414</v>
      </c>
      <c r="R1925" s="271" t="str">
        <f ca="1">IF(D1925="","",IF(OFFSET(D1925,-1,0)&lt;&gt;"","",IF(OR(J1925="リード付け",J1925="巻足し",J1925="巻返しリード付け"),M1925,VLOOKUP(D1925,契約台帳!$A$3:$N$4986,14,FALSE))))</f>
        <v/>
      </c>
      <c r="S1925" s="272" t="str">
        <f ca="1">IF(D1925="","",IF(OFFSET(D1925,-1,0)&lt;&gt;"","",IF(OR(J1925="リード付け",J1925="巻足し",J1925="巻返しリード付け"),M1925,VLOOKUP(D1925,契約台帳!$A$3:$O$4986,15,FALSE))))</f>
        <v/>
      </c>
      <c r="T1925" s="273">
        <f ca="1">IF(D1925="","",IF(J1925="リード付け",N1925,IF(J1925="巻返しリード付け",N1925,IF(J1925="巻足し",N1925*P1925+OFFSET(N1925,1,0)*OFFSET(P1925,1,0),VLOOKUP(D1925,契約台帳!$A$3:$P$4986,16,FALSE)))))</f>
        <v>0</v>
      </c>
      <c r="U1925" s="40"/>
      <c r="V1925" s="274">
        <f ca="1">IF(D1925="","",IF(OFFSET(D1925,-2,0)=D1925,"",VLOOKUP(D1925,契約台帳!$A$3:$R$4986,18,FALSE)))</f>
        <v>4</v>
      </c>
      <c r="W1925" s="269" t="str">
        <f ca="1">IF(D1925="","",IF(T1925="","",IF(OR(J1925="巻足し",J1925="巻返しリード付け"),"",IF(J1925="巻返し",VLOOKUP(F1925&amp;K1925&amp;M1925,製品マスタ!$M$5:$AD$5002,18,FALSE),IF(OR(J1925="リード付け",J1925="巻返しリード付け"),"原反コア",IF(J1925="スリット",VLOOKUP(F1925&amp;K1925&amp;R1925,製品マスタ!$N$5:$AD$5002,17,FALSE),""))))))</f>
        <v/>
      </c>
      <c r="X1925" s="269" t="str">
        <f ca="1">IF(D1925="","",IF(T1925="","",IF(J1925="巻足し","",IF(J1925="巻返し",VLOOKUP(F1925&amp;K1925&amp;M1925,製品マスタ!$M$5:$AE$5002,19,FALSE),IF(OR(J1925="リード付け",J1925="巻返しリード付け"),"",IF(J1925="スリット",VLOOKUP(F1925&amp;K1925&amp;R1925,製品マスタ!$N$5:$AE$5002,18,FALSE),""))))))</f>
        <v/>
      </c>
      <c r="Y1925" s="275">
        <f ca="1">IF(D1925="","",IF(T1925="","",VLOOKUP(D1925,契約台帳!$A$3:$Q$4986,17,FALSE)))</f>
        <v>2</v>
      </c>
      <c r="Z1925" s="269" t="str">
        <f ca="1">IF(D1925="","",IF(T1925="","",VLOOKUP(D1925,契約台帳!$A$3:$E$4986,5,FALSE)))</f>
        <v>リンテック㈱</v>
      </c>
      <c r="AA1925" s="57"/>
      <c r="AB1925" s="207">
        <f>IFERROR((VLOOKUP(F1925&amp;K1925&amp;M1925,製品マスタ!$M$5:$AM$5002,27,FALSE)),"")</f>
        <v>0</v>
      </c>
      <c r="AC1925" s="33"/>
      <c r="AD1925" s="189"/>
      <c r="AE1925" s="54"/>
      <c r="AF1925" s="55">
        <f>+M1925*N1925*O1925/1000</f>
        <v>4480</v>
      </c>
      <c r="AG1925" s="43"/>
      <c r="AH1925" s="47"/>
      <c r="AI1925" s="30"/>
      <c r="AJ1925" s="30"/>
      <c r="AK1925" s="30"/>
      <c r="AL1925" s="30"/>
      <c r="AM1925" s="13"/>
      <c r="AN1925" s="13"/>
      <c r="AO1925" s="13"/>
      <c r="AP1925" s="13"/>
      <c r="AQ1925" s="13"/>
      <c r="AR1925" s="14"/>
      <c r="AS1925" s="15"/>
    </row>
    <row r="1926" spans="1:45" s="17" customFormat="1" ht="30.95" hidden="1" customHeight="1" x14ac:dyDescent="0.2">
      <c r="A1926" s="343"/>
      <c r="B1926" s="344"/>
      <c r="C1926" s="345"/>
      <c r="D1926" s="346"/>
      <c r="E1926" s="346"/>
      <c r="F1926" s="268"/>
      <c r="G1926" s="269"/>
      <c r="H1926" s="269"/>
      <c r="I1926" s="270"/>
      <c r="J1926" s="434"/>
      <c r="K1926" s="270"/>
      <c r="L1926" s="270"/>
      <c r="M1926" s="348"/>
      <c r="N1926" s="348"/>
      <c r="O1926" s="435"/>
      <c r="P1926" s="349"/>
      <c r="Q1926" s="350"/>
      <c r="R1926" s="271"/>
      <c r="S1926" s="272"/>
      <c r="T1926" s="273"/>
      <c r="U1926" s="351"/>
      <c r="V1926" s="274"/>
      <c r="W1926" s="269"/>
      <c r="X1926" s="269"/>
      <c r="Y1926" s="275"/>
      <c r="Z1926" s="269"/>
      <c r="AA1926" s="350"/>
      <c r="AB1926" s="207"/>
      <c r="AC1926" s="352"/>
      <c r="AD1926" s="353"/>
      <c r="AE1926" s="54"/>
      <c r="AF1926" s="354"/>
      <c r="AG1926" s="355"/>
      <c r="AH1926" s="349"/>
      <c r="AI1926" s="30"/>
      <c r="AJ1926" s="30"/>
      <c r="AK1926" s="30"/>
      <c r="AL1926" s="30"/>
      <c r="AM1926" s="13"/>
      <c r="AN1926" s="13"/>
      <c r="AO1926" s="13"/>
      <c r="AP1926" s="13"/>
      <c r="AQ1926" s="13"/>
      <c r="AR1926" s="14"/>
      <c r="AS1926" s="15"/>
    </row>
    <row r="1927" spans="1:45" s="17" customFormat="1" ht="30.6" hidden="1" customHeight="1" x14ac:dyDescent="0.2">
      <c r="A1927" s="37"/>
      <c r="B1927" s="38"/>
      <c r="C1927" s="45"/>
      <c r="D1927" s="31">
        <v>3754091</v>
      </c>
      <c r="E1927" s="31">
        <v>4162314</v>
      </c>
      <c r="F1927" s="268" t="str">
        <f>IF(D1927="","",VLOOKUP(D1927,契約台帳!$A$3:$K$4986,6,FALSE)&amp;VLOOKUP(D1927,契約台帳!$A$3:$K$4986,7,FALSE)&amp;VLOOKUP(D1927,契約台帳!$A$3:$K$4986,8,FALSE)&amp;VLOOKUP(D1927,契約台帳!$A$3:$K$4986,9,FALSE)&amp;VLOOKUP(D1927,契約台帳!$A$3:$K$4986,11,FALSE))</f>
        <v>3SYMLBMSNMBF</v>
      </c>
      <c r="G1927" s="269" t="str">
        <f>IF(D1927="","",VLOOKUP(F1927,製品マスタ!$G$5:$H$5002,2,FALSE))</f>
        <v>S</v>
      </c>
      <c r="H1927" s="269" t="str">
        <f>IF(D1927="","",VLOOKUP(F1927,製品マスタ!$G$5:$K$5002,5,FALSE))</f>
        <v>MSNMBF</v>
      </c>
      <c r="I1927" s="270" t="str">
        <f>IF(D1927="","",VLOOKUP(F1927,製品マスタ!$G$5:$L$5002,6,FALSE))</f>
        <v>ＭＥＴＡＬＵＭＹ　ＳＩＬＶＥＲ　Ｎ－ＭＡＴＴＥ　Ｘ４４Ｍ　Ｂ</v>
      </c>
      <c r="J1927" s="210" t="s">
        <v>935</v>
      </c>
      <c r="K1927" s="270">
        <f>IF(D1927="","",VLOOKUP(D1927,契約台帳!$A$3:$L$4986,12,FALSE))</f>
        <v>50</v>
      </c>
      <c r="L1927" s="270" t="str">
        <f>IF(D1927="","",INDEX(製品マスタ!$Q$5:$Q$5002,MATCH('S4'!F1927&amp;'S4'!K1927,製品マスタ!$AO$5:$AO$5002,0)))</f>
        <v>X44</v>
      </c>
      <c r="M1927" s="39">
        <v>1120</v>
      </c>
      <c r="N1927" s="39">
        <v>4000</v>
      </c>
      <c r="O1927" s="156">
        <v>3</v>
      </c>
      <c r="P1927" s="47">
        <v>3</v>
      </c>
      <c r="Q1927" s="213">
        <v>45414</v>
      </c>
      <c r="R1927" s="271">
        <f ca="1">IF(D1927="","",IF(OFFSET(D1927,-1,0)&lt;&gt;"","",IF(OR(J1927="リード付け",J1927="巻足し",J1927="巻返しリード付け"),M1927,VLOOKUP(D1927,契約台帳!$A$3:$N$4986,14,FALSE))))</f>
        <v>1120</v>
      </c>
      <c r="S1927" s="272">
        <f ca="1">IF(D1927="","",IF(OFFSET(D1927,-1,0)&lt;&gt;"","",IF(OR(J1927="リード付け",J1927="巻足し",J1927="巻返しリード付け"),M1927,VLOOKUP(D1927,契約台帳!$A$3:$O$4986,15,FALSE))))</f>
        <v>1120</v>
      </c>
      <c r="T1927" s="273">
        <f ca="1">IF(D1927="","",IF(J1927="リード付け",N1927,IF(J1927="巻返しリード付け",N1927,IF(J1927="巻足し",N1927*P1927+OFFSET(N1927,1,0)*OFFSET(P1927,1,0),VLOOKUP(D1927,契約台帳!$A$3:$P$4986,16,FALSE)))))</f>
        <v>12000</v>
      </c>
      <c r="U1927" s="40">
        <v>1</v>
      </c>
      <c r="V1927" s="274" t="str">
        <f ca="1">IF(D1927="","",IF(OFFSET(D1927,-2,0)=D1927,"",VLOOKUP(D1927,契約台帳!$A$3:$R$4986,18,FALSE)))</f>
        <v/>
      </c>
      <c r="W1927" s="269" t="str">
        <f ca="1">IF(D1927="","",IF(T1927="","",IF(OR(J1927="巻足し",J1927="巻返しリード付け"),"",IF(J1927="巻返し",VLOOKUP(F1927&amp;K1927&amp;M1927,製品マスタ!$M$5:$AD$5002,18,FALSE),IF(OR(J1927="リード付け",J1927="巻返しリード付け"),"原反コア",IF(J1927="スリット",VLOOKUP(F1927&amp;K1927&amp;R1927,製品マスタ!$N$5:$AD$5002,17,FALSE),""))))))</f>
        <v/>
      </c>
      <c r="X1927" s="269" t="str">
        <f ca="1">IF(D1927="","",IF(T1927="","",IF(J1927="巻足し","",IF(J1927="巻返し",VLOOKUP(F1927&amp;K1927&amp;M1927,製品マスタ!$M$5:$AE$5002,19,FALSE),IF(OR(J1927="リード付け",J1927="巻返しリード付け"),"",IF(J1927="スリット",VLOOKUP(F1927&amp;K1927&amp;R1927,製品マスタ!$N$5:$AE$5002,18,FALSE),""))))))</f>
        <v/>
      </c>
      <c r="Y1927" s="275">
        <f ca="1">IF(D1927="","",IF(T1927="","",VLOOKUP(D1927,契約台帳!$A$3:$Q$4986,17,FALSE)))</f>
        <v>2</v>
      </c>
      <c r="Z1927" s="269" t="str">
        <f ca="1">IF(D1927="","",IF(T1927="","",VLOOKUP(D1927,契約台帳!$A$3:$E$4986,5,FALSE)))</f>
        <v>リンテック㈱</v>
      </c>
      <c r="AA1927" s="57"/>
      <c r="AB1927" s="207" t="s">
        <v>1083</v>
      </c>
      <c r="AC1927" s="33"/>
      <c r="AD1927" s="189"/>
      <c r="AE1927" s="54"/>
      <c r="AF1927" s="55">
        <f>+M1927*N1927*O1927/1000</f>
        <v>13440</v>
      </c>
      <c r="AG1927" s="43"/>
      <c r="AH1927" s="47"/>
      <c r="AI1927" s="30"/>
      <c r="AJ1927" s="30"/>
      <c r="AK1927" s="30"/>
      <c r="AL1927" s="30"/>
      <c r="AM1927" s="13"/>
      <c r="AN1927" s="13"/>
      <c r="AO1927" s="13"/>
      <c r="AP1927" s="13"/>
      <c r="AQ1927" s="13"/>
      <c r="AR1927" s="14"/>
      <c r="AS1927" s="15"/>
    </row>
    <row r="1928" spans="1:45" s="17" customFormat="1" ht="30.95" hidden="1" customHeight="1" x14ac:dyDescent="0.2">
      <c r="A1928" s="343"/>
      <c r="B1928" s="344"/>
      <c r="C1928" s="345"/>
      <c r="D1928" s="346"/>
      <c r="E1928" s="346"/>
      <c r="F1928" s="268"/>
      <c r="G1928" s="269"/>
      <c r="H1928" s="269"/>
      <c r="I1928" s="270"/>
      <c r="J1928" s="434"/>
      <c r="K1928" s="270"/>
      <c r="L1928" s="270"/>
      <c r="M1928" s="348"/>
      <c r="N1928" s="348"/>
      <c r="O1928" s="435"/>
      <c r="P1928" s="349"/>
      <c r="Q1928" s="350"/>
      <c r="R1928" s="271"/>
      <c r="S1928" s="272"/>
      <c r="T1928" s="273"/>
      <c r="U1928" s="351"/>
      <c r="V1928" s="274"/>
      <c r="W1928" s="269"/>
      <c r="X1928" s="269"/>
      <c r="Y1928" s="275"/>
      <c r="Z1928" s="269"/>
      <c r="AA1928" s="350"/>
      <c r="AB1928" s="207"/>
      <c r="AC1928" s="352"/>
      <c r="AD1928" s="353"/>
      <c r="AE1928" s="54"/>
      <c r="AF1928" s="354"/>
      <c r="AG1928" s="355"/>
      <c r="AH1928" s="349"/>
      <c r="AI1928" s="30"/>
      <c r="AJ1928" s="30"/>
      <c r="AK1928" s="30"/>
      <c r="AL1928" s="30"/>
      <c r="AM1928" s="13"/>
      <c r="AN1928" s="13"/>
      <c r="AO1928" s="13"/>
      <c r="AP1928" s="13"/>
      <c r="AQ1928" s="13"/>
      <c r="AR1928" s="14"/>
      <c r="AS1928" s="15"/>
    </row>
    <row r="1929" spans="1:45" s="17" customFormat="1" ht="30.6" hidden="1" customHeight="1" x14ac:dyDescent="0.2">
      <c r="A1929" s="37" t="s">
        <v>1118</v>
      </c>
      <c r="B1929" s="38" t="s">
        <v>443</v>
      </c>
      <c r="C1929" s="45"/>
      <c r="D1929" s="31">
        <v>3754090</v>
      </c>
      <c r="E1929" s="31">
        <v>4162321</v>
      </c>
      <c r="F1929" s="268" t="str">
        <f>IF(D1929="","",VLOOKUP(D1929,契約台帳!$A$3:$K$4986,6,FALSE)&amp;VLOOKUP(D1929,契約台帳!$A$3:$K$4986,7,FALSE)&amp;VLOOKUP(D1929,契約台帳!$A$3:$K$4986,8,FALSE)&amp;VLOOKUP(D1929,契約台帳!$A$3:$K$4986,9,FALSE)&amp;VLOOKUP(D1929,契約台帳!$A$3:$K$4986,11,FALSE))</f>
        <v>3SYMLBMSNMBZF</v>
      </c>
      <c r="G1929" s="269" t="str">
        <f>IF(D1929="","",VLOOKUP(F1929,製品マスタ!$G$5:$H$5002,2,FALSE))</f>
        <v>S</v>
      </c>
      <c r="H1929" s="269" t="str">
        <f>IF(D1929="","",VLOOKUP(F1929,製品マスタ!$G$5:$K$5002,5,FALSE))</f>
        <v>MSNMBZF</v>
      </c>
      <c r="I1929" s="270" t="str">
        <f>IF(D1929="","",VLOOKUP(F1929,製品マスタ!$G$5:$L$5002,6,FALSE))</f>
        <v>ＭＥＴＡＬＵＭＹ　ＳＩＬＶＥＲ　Ｎ－ＭＡＴＴＥ　Ｂ</v>
      </c>
      <c r="J1929" s="210" t="s">
        <v>935</v>
      </c>
      <c r="K1929" s="270">
        <f>IF(D1929="","",VLOOKUP(D1929,契約台帳!$A$3:$L$4986,12,FALSE))</f>
        <v>50</v>
      </c>
      <c r="L1929" s="270" t="str">
        <f>IF(D1929="","",INDEX(製品マスタ!$Q$5:$Q$5002,MATCH('S4'!F1929&amp;'S4'!K1929,製品マスタ!$AO$5:$AO$5002,0)))</f>
        <v>X44</v>
      </c>
      <c r="M1929" s="39">
        <v>1120</v>
      </c>
      <c r="N1929" s="39">
        <v>4000</v>
      </c>
      <c r="O1929" s="156">
        <v>6</v>
      </c>
      <c r="P1929" s="47">
        <v>3</v>
      </c>
      <c r="Q1929" s="213">
        <v>45414</v>
      </c>
      <c r="R1929" s="271">
        <f ca="1">IF(D1929="","",IF(OFFSET(D1929,-1,0)&lt;&gt;"","",IF(OR(J1929="リード付け",J1929="巻足し",J1929="巻返しリード付け"),M1929,VLOOKUP(D1929,契約台帳!$A$3:$N$4986,14,FALSE))))</f>
        <v>1120</v>
      </c>
      <c r="S1929" s="272">
        <f ca="1">IF(D1929="","",IF(OFFSET(D1929,-1,0)&lt;&gt;"","",IF(OR(J1929="リード付け",J1929="巻足し",J1929="巻返しリード付け"),M1929,VLOOKUP(D1929,契約台帳!$A$3:$O$4986,15,FALSE))))</f>
        <v>1120</v>
      </c>
      <c r="T1929" s="273">
        <f ca="1">IF(D1929="","",IF(J1929="リード付け",N1929,IF(J1929="巻返しリード付け",N1929,IF(J1929="巻足し",N1929*P1929+OFFSET(N1929,1,0)*OFFSET(P1929,1,0),VLOOKUP(D1929,契約台帳!$A$3:$P$4986,16,FALSE)))))</f>
        <v>12000</v>
      </c>
      <c r="U1929" s="40">
        <v>2</v>
      </c>
      <c r="V1929" s="274">
        <f ca="1">IF(D1929="","",IF(OFFSET(D1929,-2,0)=D1929,"",VLOOKUP(D1929,契約台帳!$A$3:$R$4986,18,FALSE)))</f>
        <v>8</v>
      </c>
      <c r="W1929" s="269" t="str">
        <f ca="1">IF(D1929="","",IF(T1929="","",IF(OR(J1929="巻足し",J1929="巻返しリード付け"),"",IF(J1929="巻返し",VLOOKUP(F1929&amp;K1929&amp;M1929,製品マスタ!$M$5:$AD$5002,18,FALSE),IF(OR(J1929="リード付け",J1929="巻返しリード付け"),"原反コア",IF(J1929="スリット",VLOOKUP(F1929&amp;K1929&amp;R1929,製品マスタ!$N$5:$AD$5002,17,FALSE),""))))))</f>
        <v/>
      </c>
      <c r="X1929" s="269" t="str">
        <f ca="1">IF(D1929="","",IF(T1929="","",IF(J1929="巻足し","",IF(J1929="巻返し",VLOOKUP(F1929&amp;K1929&amp;M1929,製品マスタ!$M$5:$AE$5002,19,FALSE),IF(OR(J1929="リード付け",J1929="巻返しリード付け"),"",IF(J1929="スリット",VLOOKUP(F1929&amp;K1929&amp;R1929,製品マスタ!$N$5:$AE$5002,18,FALSE),""))))))</f>
        <v/>
      </c>
      <c r="Y1929" s="275">
        <f ca="1">IF(D1929="","",IF(T1929="","",VLOOKUP(D1929,契約台帳!$A$3:$Q$4986,17,FALSE)))</f>
        <v>2</v>
      </c>
      <c r="Z1929" s="269" t="str">
        <f ca="1">IF(D1929="","",IF(T1929="","",VLOOKUP(D1929,契約台帳!$A$3:$E$4986,5,FALSE)))</f>
        <v>リンテック㈱</v>
      </c>
      <c r="AA1929" s="57"/>
      <c r="AB1929" s="207" t="s">
        <v>1083</v>
      </c>
      <c r="AC1929" s="33"/>
      <c r="AD1929" s="189"/>
      <c r="AE1929" s="54"/>
      <c r="AF1929" s="55">
        <f>+M1929*N1929*O1929/1000</f>
        <v>26880</v>
      </c>
      <c r="AG1929" s="43"/>
      <c r="AH1929" s="47"/>
      <c r="AI1929" s="30"/>
      <c r="AJ1929" s="30"/>
      <c r="AK1929" s="30"/>
      <c r="AL1929" s="30"/>
      <c r="AM1929" s="13"/>
      <c r="AN1929" s="13"/>
      <c r="AO1929" s="13"/>
      <c r="AP1929" s="13"/>
      <c r="AQ1929" s="13"/>
      <c r="AR1929" s="14"/>
      <c r="AS1929" s="15"/>
    </row>
    <row r="1930" spans="1:45" s="17" customFormat="1" ht="30.95" hidden="1" customHeight="1" x14ac:dyDescent="0.2">
      <c r="A1930" s="343"/>
      <c r="B1930" s="344"/>
      <c r="C1930" s="345"/>
      <c r="D1930" s="346"/>
      <c r="E1930" s="346"/>
      <c r="F1930" s="268"/>
      <c r="G1930" s="269"/>
      <c r="H1930" s="269"/>
      <c r="I1930" s="270"/>
      <c r="J1930" s="434"/>
      <c r="K1930" s="270"/>
      <c r="L1930" s="270"/>
      <c r="M1930" s="348"/>
      <c r="N1930" s="348"/>
      <c r="O1930" s="435"/>
      <c r="P1930" s="349"/>
      <c r="Q1930" s="350"/>
      <c r="R1930" s="271"/>
      <c r="S1930" s="272"/>
      <c r="T1930" s="273"/>
      <c r="U1930" s="351"/>
      <c r="V1930" s="274"/>
      <c r="W1930" s="269"/>
      <c r="X1930" s="269"/>
      <c r="Y1930" s="275"/>
      <c r="Z1930" s="269"/>
      <c r="AA1930" s="350"/>
      <c r="AB1930" s="207"/>
      <c r="AC1930" s="352"/>
      <c r="AD1930" s="353"/>
      <c r="AE1930" s="54"/>
      <c r="AF1930" s="354"/>
      <c r="AG1930" s="355"/>
      <c r="AH1930" s="349"/>
      <c r="AI1930" s="30"/>
      <c r="AJ1930" s="30"/>
      <c r="AK1930" s="30"/>
      <c r="AL1930" s="30"/>
      <c r="AM1930" s="13"/>
      <c r="AN1930" s="13"/>
      <c r="AO1930" s="13"/>
      <c r="AP1930" s="13"/>
      <c r="AQ1930" s="13"/>
      <c r="AR1930" s="14"/>
      <c r="AS1930" s="15"/>
    </row>
    <row r="1931" spans="1:45" s="17" customFormat="1" ht="30.6" hidden="1" customHeight="1" x14ac:dyDescent="0.2">
      <c r="A1931" s="37"/>
      <c r="B1931" s="38"/>
      <c r="C1931" s="45"/>
      <c r="D1931" s="31">
        <v>3754090</v>
      </c>
      <c r="E1931" s="31">
        <v>4162321</v>
      </c>
      <c r="F1931" s="268" t="str">
        <f>IF(D1931="","",VLOOKUP(D1931,契約台帳!$A$3:$K$4986,6,FALSE)&amp;VLOOKUP(D1931,契約台帳!$A$3:$K$4986,7,FALSE)&amp;VLOOKUP(D1931,契約台帳!$A$3:$K$4986,8,FALSE)&amp;VLOOKUP(D1931,契約台帳!$A$3:$K$4986,9,FALSE)&amp;VLOOKUP(D1931,契約台帳!$A$3:$K$4986,11,FALSE))</f>
        <v>3SYMLBMSNMBZF</v>
      </c>
      <c r="G1931" s="269" t="str">
        <f>IF(D1931="","",VLOOKUP(F1931,製品マスタ!$G$5:$H$5002,2,FALSE))</f>
        <v>S</v>
      </c>
      <c r="H1931" s="269" t="str">
        <f>IF(D1931="","",VLOOKUP(F1931,製品マスタ!$G$5:$K$5002,5,FALSE))</f>
        <v>MSNMBZF</v>
      </c>
      <c r="I1931" s="270" t="str">
        <f>IF(D1931="","",VLOOKUP(F1931,製品マスタ!$G$5:$L$5002,6,FALSE))</f>
        <v>ＭＥＴＡＬＵＭＹ　ＳＩＬＶＥＲ　Ｎ－ＭＡＴＴＥ　Ｂ</v>
      </c>
      <c r="J1931" s="210" t="s">
        <v>935</v>
      </c>
      <c r="K1931" s="270">
        <f>IF(D1931="","",VLOOKUP(D1931,契約台帳!$A$3:$L$4986,12,FALSE))</f>
        <v>50</v>
      </c>
      <c r="L1931" s="270" t="str">
        <f>IF(D1931="","",INDEX(製品マスタ!$Q$5:$Q$5002,MATCH('S4'!F1931&amp;'S4'!K1931,製品マスタ!$AO$5:$AO$5002,0)))</f>
        <v>X44</v>
      </c>
      <c r="M1931" s="39">
        <v>1120</v>
      </c>
      <c r="N1931" s="39">
        <v>4000</v>
      </c>
      <c r="O1931" s="156">
        <v>2</v>
      </c>
      <c r="P1931" s="47">
        <v>2</v>
      </c>
      <c r="Q1931" s="213">
        <v>45414</v>
      </c>
      <c r="R1931" s="271">
        <f ca="1">IF(D1931="","",IF(OFFSET(D1931,-1,0)&lt;&gt;"","",IF(OR(J1931="リード付け",J1931="巻足し",J1931="巻返しリード付け"),M1931,VLOOKUP(D1931,契約台帳!$A$3:$N$4986,14,FALSE))))</f>
        <v>1120</v>
      </c>
      <c r="S1931" s="272">
        <f ca="1">IF(D1931="","",IF(OFFSET(D1931,-1,0)&lt;&gt;"","",IF(OR(J1931="リード付け",J1931="巻足し",J1931="巻返しリード付け"),M1931,VLOOKUP(D1931,契約台帳!$A$3:$O$4986,15,FALSE))))</f>
        <v>1120</v>
      </c>
      <c r="T1931" s="273">
        <f ca="1">IF(D1931="","",IF(J1931="リード付け",N1931,IF(J1931="巻返しリード付け",N1931,IF(J1931="巻足し",N1931*P1931+OFFSET(N1931,1,0)*OFFSET(P1931,1,0),VLOOKUP(D1931,契約台帳!$A$3:$P$4986,16,FALSE)))))</f>
        <v>8000</v>
      </c>
      <c r="U1931" s="40">
        <v>1</v>
      </c>
      <c r="V1931" s="274" t="str">
        <f ca="1">IF(D1931="","",IF(OFFSET(D1931,-2,0)=D1931,"",VLOOKUP(D1931,契約台帳!$A$3:$R$4986,18,FALSE)))</f>
        <v/>
      </c>
      <c r="W1931" s="269" t="str">
        <f ca="1">IF(D1931="","",IF(T1931="","",IF(OR(J1931="巻足し",J1931="巻返しリード付け"),"",IF(J1931="巻返し",VLOOKUP(F1931&amp;K1931&amp;M1931,製品マスタ!$M$5:$AD$5002,18,FALSE),IF(OR(J1931="リード付け",J1931="巻返しリード付け"),"原反コア",IF(J1931="スリット",VLOOKUP(F1931&amp;K1931&amp;R1931,製品マスタ!$N$5:$AD$5002,17,FALSE),""))))))</f>
        <v/>
      </c>
      <c r="X1931" s="269" t="str">
        <f ca="1">IF(D1931="","",IF(T1931="","",IF(J1931="巻足し","",IF(J1931="巻返し",VLOOKUP(F1931&amp;K1931&amp;M1931,製品マスタ!$M$5:$AE$5002,19,FALSE),IF(OR(J1931="リード付け",J1931="巻返しリード付け"),"",IF(J1931="スリット",VLOOKUP(F1931&amp;K1931&amp;R1931,製品マスタ!$N$5:$AE$5002,18,FALSE),""))))))</f>
        <v/>
      </c>
      <c r="Y1931" s="275">
        <f ca="1">IF(D1931="","",IF(T1931="","",VLOOKUP(D1931,契約台帳!$A$3:$Q$4986,17,FALSE)))</f>
        <v>2</v>
      </c>
      <c r="Z1931" s="269" t="str">
        <f ca="1">IF(D1931="","",IF(T1931="","",VLOOKUP(D1931,契約台帳!$A$3:$E$4986,5,FALSE)))</f>
        <v>リンテック㈱</v>
      </c>
      <c r="AA1931" s="57"/>
      <c r="AB1931" s="207" t="s">
        <v>1083</v>
      </c>
      <c r="AC1931" s="33"/>
      <c r="AD1931" s="189"/>
      <c r="AE1931" s="54"/>
      <c r="AF1931" s="55">
        <f>+M1931*N1931*O1931/1000</f>
        <v>8960</v>
      </c>
      <c r="AG1931" s="43"/>
      <c r="AH1931" s="47"/>
      <c r="AI1931" s="30"/>
      <c r="AJ1931" s="30"/>
      <c r="AK1931" s="30"/>
      <c r="AL1931" s="30"/>
      <c r="AM1931" s="13"/>
      <c r="AN1931" s="13"/>
      <c r="AO1931" s="13"/>
      <c r="AP1931" s="13"/>
      <c r="AQ1931" s="13"/>
      <c r="AR1931" s="14"/>
      <c r="AS1931" s="15"/>
    </row>
    <row r="1932" spans="1:45" s="17" customFormat="1" ht="30.95" hidden="1" customHeight="1" x14ac:dyDescent="0.2">
      <c r="A1932" s="343"/>
      <c r="B1932" s="344"/>
      <c r="C1932" s="345"/>
      <c r="D1932" s="346"/>
      <c r="E1932" s="346"/>
      <c r="F1932" s="268"/>
      <c r="G1932" s="269"/>
      <c r="H1932" s="269"/>
      <c r="I1932" s="270"/>
      <c r="J1932" s="434"/>
      <c r="K1932" s="270"/>
      <c r="L1932" s="270"/>
      <c r="M1932" s="348"/>
      <c r="N1932" s="348"/>
      <c r="O1932" s="435"/>
      <c r="P1932" s="349"/>
      <c r="Q1932" s="350"/>
      <c r="R1932" s="271"/>
      <c r="S1932" s="272"/>
      <c r="T1932" s="273"/>
      <c r="U1932" s="351"/>
      <c r="V1932" s="274"/>
      <c r="W1932" s="269"/>
      <c r="X1932" s="269"/>
      <c r="Y1932" s="275"/>
      <c r="Z1932" s="269"/>
      <c r="AA1932" s="350"/>
      <c r="AB1932" s="207"/>
      <c r="AC1932" s="352"/>
      <c r="AD1932" s="353"/>
      <c r="AE1932" s="54"/>
      <c r="AF1932" s="354"/>
      <c r="AG1932" s="355"/>
      <c r="AH1932" s="349"/>
      <c r="AI1932" s="30"/>
      <c r="AJ1932" s="30"/>
      <c r="AK1932" s="30"/>
      <c r="AL1932" s="30"/>
      <c r="AM1932" s="13"/>
      <c r="AN1932" s="13"/>
      <c r="AO1932" s="13"/>
      <c r="AP1932" s="13"/>
      <c r="AQ1932" s="13"/>
      <c r="AR1932" s="14"/>
      <c r="AS1932" s="15"/>
    </row>
    <row r="1933" spans="1:45" s="17" customFormat="1" ht="30.6" hidden="1" customHeight="1" x14ac:dyDescent="0.2">
      <c r="A1933" s="37"/>
      <c r="B1933" s="38"/>
      <c r="C1933" s="45"/>
      <c r="D1933" s="31">
        <v>3754093</v>
      </c>
      <c r="E1933" s="31">
        <v>4162316</v>
      </c>
      <c r="F1933" s="268" t="str">
        <f>IF(D1933="","",VLOOKUP(D1933,契約台帳!$A$3:$K$4986,6,FALSE)&amp;VLOOKUP(D1933,契約台帳!$A$3:$K$4986,7,FALSE)&amp;VLOOKUP(D1933,契約台帳!$A$3:$K$4986,8,FALSE)&amp;VLOOKUP(D1933,契約台帳!$A$3:$K$4986,9,FALSE)&amp;VLOOKUP(D1933,契約台帳!$A$3:$K$4986,11,FALSE))</f>
        <v>3SYMLBMSNMBZF</v>
      </c>
      <c r="G1933" s="269" t="str">
        <f>IF(D1933="","",VLOOKUP(F1933,製品マスタ!$G$5:$H$5002,2,FALSE))</f>
        <v>S</v>
      </c>
      <c r="H1933" s="269" t="str">
        <f>IF(D1933="","",VLOOKUP(F1933,製品マスタ!$G$5:$K$5002,5,FALSE))</f>
        <v>MSNMBZF</v>
      </c>
      <c r="I1933" s="270" t="str">
        <f>IF(D1933="","",VLOOKUP(F1933,製品マスタ!$G$5:$L$5002,6,FALSE))</f>
        <v>ＭＥＴＡＬＵＭＹ　ＳＩＬＶＥＲ　Ｎ－ＭＡＴＴＥ　Ｂ</v>
      </c>
      <c r="J1933" s="210" t="s">
        <v>935</v>
      </c>
      <c r="K1933" s="270">
        <f>IF(D1933="","",VLOOKUP(D1933,契約台帳!$A$3:$L$4986,12,FALSE))</f>
        <v>25</v>
      </c>
      <c r="L1933" s="270" t="str">
        <f>IF(D1933="","",INDEX(製品マスタ!$Q$5:$Q$5002,MATCH('S4'!F1933&amp;'S4'!K1933,製品マスタ!$AO$5:$AO$5002,0)))</f>
        <v>X44</v>
      </c>
      <c r="M1933" s="39">
        <v>1120</v>
      </c>
      <c r="N1933" s="39">
        <v>8000</v>
      </c>
      <c r="O1933" s="156">
        <v>2</v>
      </c>
      <c r="P1933" s="47">
        <v>2</v>
      </c>
      <c r="Q1933" s="213">
        <v>45414</v>
      </c>
      <c r="R1933" s="271">
        <f ca="1">IF(D1933="","",IF(OFFSET(D1933,-1,0)&lt;&gt;"","",IF(OR(J1933="リード付け",J1933="巻足し",J1933="巻返しリード付け"),M1933,VLOOKUP(D1933,契約台帳!$A$3:$N$4986,14,FALSE))))</f>
        <v>1120</v>
      </c>
      <c r="S1933" s="272">
        <f ca="1">IF(D1933="","",IF(OFFSET(D1933,-1,0)&lt;&gt;"","",IF(OR(J1933="リード付け",J1933="巻足し",J1933="巻返しリード付け"),M1933,VLOOKUP(D1933,契約台帳!$A$3:$O$4986,15,FALSE))))</f>
        <v>1120</v>
      </c>
      <c r="T1933" s="273">
        <f ca="1">IF(D1933="","",IF(J1933="リード付け",N1933,IF(J1933="巻返しリード付け",N1933,IF(J1933="巻足し",N1933*P1933+OFFSET(N1933,1,0)*OFFSET(P1933,1,0),VLOOKUP(D1933,契約台帳!$A$3:$P$4986,16,FALSE)))))</f>
        <v>16000</v>
      </c>
      <c r="U1933" s="40">
        <v>1</v>
      </c>
      <c r="V1933" s="274">
        <f ca="1">IF(D1933="","",IF(OFFSET(D1933,-2,0)=D1933,"",VLOOKUP(D1933,契約台帳!$A$3:$R$4986,18,FALSE)))</f>
        <v>2</v>
      </c>
      <c r="W1933" s="269" t="str">
        <f ca="1">IF(D1933="","",IF(T1933="","",IF(OR(J1933="巻足し",J1933="巻返しリード付け"),"",IF(J1933="巻返し",VLOOKUP(F1933&amp;K1933&amp;M1933,製品マスタ!$M$5:$AD$5002,18,FALSE),IF(OR(J1933="リード付け",J1933="巻返しリード付け"),"原反コア",IF(J1933="スリット",VLOOKUP(F1933&amp;K1933&amp;R1933,製品マスタ!$N$5:$AD$5002,17,FALSE),""))))))</f>
        <v/>
      </c>
      <c r="X1933" s="269" t="str">
        <f ca="1">IF(D1933="","",IF(T1933="","",IF(J1933="巻足し","",IF(J1933="巻返し",VLOOKUP(F1933&amp;K1933&amp;M1933,製品マスタ!$M$5:$AE$5002,19,FALSE),IF(OR(J1933="リード付け",J1933="巻返しリード付け"),"",IF(J1933="スリット",VLOOKUP(F1933&amp;K1933&amp;R1933,製品マスタ!$N$5:$AE$5002,18,FALSE),""))))))</f>
        <v/>
      </c>
      <c r="Y1933" s="275">
        <f ca="1">IF(D1933="","",IF(T1933="","",VLOOKUP(D1933,契約台帳!$A$3:$Q$4986,17,FALSE)))</f>
        <v>2</v>
      </c>
      <c r="Z1933" s="269" t="str">
        <f ca="1">IF(D1933="","",IF(T1933="","",VLOOKUP(D1933,契約台帳!$A$3:$E$4986,5,FALSE)))</f>
        <v>リンテック㈱</v>
      </c>
      <c r="AA1933" s="57"/>
      <c r="AB1933" s="207"/>
      <c r="AC1933" s="33"/>
      <c r="AD1933" s="189"/>
      <c r="AE1933" s="54"/>
      <c r="AF1933" s="55">
        <f>+M1933*N1933*O1933/1000</f>
        <v>17920</v>
      </c>
      <c r="AG1933" s="43"/>
      <c r="AH1933" s="47"/>
      <c r="AI1933" s="30"/>
      <c r="AJ1933" s="30"/>
      <c r="AK1933" s="30"/>
      <c r="AL1933" s="30"/>
      <c r="AM1933" s="13"/>
      <c r="AN1933" s="13"/>
      <c r="AO1933" s="13"/>
      <c r="AP1933" s="13"/>
      <c r="AQ1933" s="13"/>
      <c r="AR1933" s="14"/>
      <c r="AS1933" s="15"/>
    </row>
    <row r="1934" spans="1:45" s="17" customFormat="1" ht="30.95" hidden="1" customHeight="1" x14ac:dyDescent="0.2">
      <c r="A1934" s="343"/>
      <c r="B1934" s="344"/>
      <c r="C1934" s="345"/>
      <c r="D1934" s="346"/>
      <c r="E1934" s="346"/>
      <c r="F1934" s="268"/>
      <c r="G1934" s="269"/>
      <c r="H1934" s="269"/>
      <c r="I1934" s="270"/>
      <c r="J1934" s="434"/>
      <c r="K1934" s="270"/>
      <c r="L1934" s="270"/>
      <c r="M1934" s="348"/>
      <c r="N1934" s="348"/>
      <c r="O1934" s="435"/>
      <c r="P1934" s="349"/>
      <c r="Q1934" s="350"/>
      <c r="R1934" s="271"/>
      <c r="S1934" s="272"/>
      <c r="T1934" s="273"/>
      <c r="U1934" s="351"/>
      <c r="V1934" s="274"/>
      <c r="W1934" s="269"/>
      <c r="X1934" s="269"/>
      <c r="Y1934" s="275"/>
      <c r="Z1934" s="269"/>
      <c r="AA1934" s="350"/>
      <c r="AB1934" s="207"/>
      <c r="AC1934" s="352"/>
      <c r="AD1934" s="353"/>
      <c r="AE1934" s="54"/>
      <c r="AF1934" s="354"/>
      <c r="AG1934" s="355"/>
      <c r="AH1934" s="349"/>
      <c r="AI1934" s="30"/>
      <c r="AJ1934" s="30"/>
      <c r="AK1934" s="30"/>
      <c r="AL1934" s="30"/>
      <c r="AM1934" s="13"/>
      <c r="AN1934" s="13"/>
      <c r="AO1934" s="13"/>
      <c r="AP1934" s="13"/>
      <c r="AQ1934" s="13"/>
      <c r="AR1934" s="14"/>
      <c r="AS1934" s="15"/>
    </row>
    <row r="1935" spans="1:45" s="17" customFormat="1" ht="30.6" hidden="1" customHeight="1" x14ac:dyDescent="0.2">
      <c r="A1935" s="37"/>
      <c r="B1935" s="38"/>
      <c r="C1935" s="45"/>
      <c r="D1935" s="31">
        <v>3754083</v>
      </c>
      <c r="E1935" s="31">
        <v>4162302</v>
      </c>
      <c r="F1935" s="268" t="str">
        <f>IF(D1935="","",VLOOKUP(D1935,契約台帳!$A$3:$K$4986,6,FALSE)&amp;VLOOKUP(D1935,契約台帳!$A$3:$K$4986,7,FALSE)&amp;VLOOKUP(D1935,契約台帳!$A$3:$K$4986,8,FALSE)&amp;VLOOKUP(D1935,契約台帳!$A$3:$K$4986,9,FALSE)&amp;VLOOKUP(D1935,契約台帳!$A$3:$K$4986,11,FALSE))</f>
        <v>3SNMLBMNGKKBF</v>
      </c>
      <c r="G1935" s="269" t="str">
        <f>IF(D1935="","",VLOOKUP(F1935,製品マスタ!$G$5:$H$5002,2,FALSE))</f>
        <v>S</v>
      </c>
      <c r="H1935" s="269" t="str">
        <f>IF(D1935="","",VLOOKUP(F1935,製品マスタ!$G$5:$K$5002,5,FALSE))</f>
        <v>MNGKKBF</v>
      </c>
      <c r="I1935" s="270" t="str">
        <f>IF(D1935="","",VLOOKUP(F1935,製品マスタ!$G$5:$L$5002,6,FALSE))</f>
        <v>メタルミー　ネーマー銀消改　Ｂ</v>
      </c>
      <c r="J1935" s="210" t="s">
        <v>935</v>
      </c>
      <c r="K1935" s="270">
        <f>IF(D1935="","",VLOOKUP(D1935,契約台帳!$A$3:$L$4986,12,FALSE))</f>
        <v>50</v>
      </c>
      <c r="L1935" s="270" t="str">
        <f>IF(D1935="","",INDEX(製品マスタ!$Q$5:$Q$5002,MATCH('S4'!F1935&amp;'S4'!K1935,製品マスタ!$AO$5:$AO$5002,0)))</f>
        <v>S99-MAT</v>
      </c>
      <c r="M1935" s="39">
        <v>1120</v>
      </c>
      <c r="N1935" s="39">
        <v>4000</v>
      </c>
      <c r="O1935" s="156">
        <v>9</v>
      </c>
      <c r="P1935" s="47">
        <v>3</v>
      </c>
      <c r="Q1935" s="213">
        <v>45421</v>
      </c>
      <c r="R1935" s="271">
        <f ca="1">IF(D1935="","",IF(OFFSET(D1935,-1,0)&lt;&gt;"","",IF(OR(J1935="リード付け",J1935="巻足し",J1935="巻返しリード付け"),M1935,VLOOKUP(D1935,契約台帳!$A$3:$N$4986,14,FALSE))))</f>
        <v>1120</v>
      </c>
      <c r="S1935" s="272">
        <f ca="1">IF(D1935="","",IF(OFFSET(D1935,-1,0)&lt;&gt;"","",IF(OR(J1935="リード付け",J1935="巻足し",J1935="巻返しリード付け"),M1935,VLOOKUP(D1935,契約台帳!$A$3:$O$4986,15,FALSE))))</f>
        <v>1120</v>
      </c>
      <c r="T1935" s="273">
        <f ca="1">IF(D1935="","",IF(J1935="リード付け",N1935,IF(J1935="巻返しリード付け",N1935,IF(J1935="巻足し",N1935*P1935+OFFSET(N1935,1,0)*OFFSET(P1935,1,0),VLOOKUP(D1935,契約台帳!$A$3:$P$4986,16,FALSE)))))</f>
        <v>12000</v>
      </c>
      <c r="U1935" s="40">
        <v>3</v>
      </c>
      <c r="V1935" s="274">
        <f ca="1">IF(D1935="","",IF(OFFSET(D1935,-2,0)=D1935,"",VLOOKUP(D1935,契約台帳!$A$3:$R$4986,18,FALSE)))</f>
        <v>24</v>
      </c>
      <c r="W1935" s="269" t="str">
        <f ca="1">IF(D1935="","",IF(T1935="","",IF(OR(J1935="巻足し",J1935="巻返しリード付け"),"",IF(J1935="巻返し",VLOOKUP(F1935&amp;K1935&amp;M1935,製品マスタ!$M$5:$AD$5002,18,FALSE),IF(OR(J1935="リード付け",J1935="巻返しリード付け"),"原反コア",IF(J1935="スリット",VLOOKUP(F1935&amp;K1935&amp;R1935,製品マスタ!$N$5:$AD$5002,17,FALSE),""))))))</f>
        <v/>
      </c>
      <c r="X1935" s="269" t="str">
        <f ca="1">IF(D1935="","",IF(T1935="","",IF(J1935="巻足し","",IF(J1935="巻返し",VLOOKUP(F1935&amp;K1935&amp;M1935,製品マスタ!$M$5:$AE$5002,19,FALSE),IF(OR(J1935="リード付け",J1935="巻返しリード付け"),"",IF(J1935="スリット",VLOOKUP(F1935&amp;K1935&amp;R1935,製品マスタ!$N$5:$AE$5002,18,FALSE),""))))))</f>
        <v/>
      </c>
      <c r="Y1935" s="275">
        <f ca="1">IF(D1935="","",IF(T1935="","",VLOOKUP(D1935,契約台帳!$A$3:$Q$4986,17,FALSE)))</f>
        <v>2</v>
      </c>
      <c r="Z1935" s="269" t="str">
        <f ca="1">IF(D1935="","",IF(T1935="","",VLOOKUP(D1935,契約台帳!$A$3:$E$4986,5,FALSE)))</f>
        <v>リンテック㈱</v>
      </c>
      <c r="AA1935" s="57"/>
      <c r="AB1935" s="207">
        <f>IFERROR((VLOOKUP(F1935&amp;K1935&amp;M1935,製品マスタ!$M$5:$AM$5002,27,FALSE)),"")</f>
        <v>0</v>
      </c>
      <c r="AC1935" s="33"/>
      <c r="AD1935" s="189"/>
      <c r="AE1935" s="54"/>
      <c r="AF1935" s="55">
        <f>+M1935*N1935*O1935/1000</f>
        <v>40320</v>
      </c>
      <c r="AG1935" s="43"/>
      <c r="AH1935" s="47"/>
      <c r="AI1935" s="30"/>
      <c r="AJ1935" s="30"/>
      <c r="AK1935" s="30"/>
      <c r="AL1935" s="30"/>
      <c r="AM1935" s="13"/>
      <c r="AN1935" s="13"/>
      <c r="AO1935" s="13"/>
      <c r="AP1935" s="13"/>
      <c r="AQ1935" s="13"/>
      <c r="AR1935" s="14"/>
      <c r="AS1935" s="15"/>
    </row>
    <row r="1936" spans="1:45" s="17" customFormat="1" ht="30.95" hidden="1" customHeight="1" x14ac:dyDescent="0.2">
      <c r="A1936" s="343"/>
      <c r="B1936" s="344"/>
      <c r="C1936" s="345"/>
      <c r="D1936" s="346"/>
      <c r="E1936" s="346"/>
      <c r="F1936" s="268"/>
      <c r="G1936" s="269"/>
      <c r="H1936" s="269"/>
      <c r="I1936" s="270"/>
      <c r="J1936" s="434"/>
      <c r="K1936" s="270"/>
      <c r="L1936" s="270"/>
      <c r="M1936" s="348"/>
      <c r="N1936" s="348"/>
      <c r="O1936" s="435"/>
      <c r="P1936" s="349"/>
      <c r="Q1936" s="350"/>
      <c r="R1936" s="271"/>
      <c r="S1936" s="272"/>
      <c r="T1936" s="273"/>
      <c r="U1936" s="351"/>
      <c r="V1936" s="274"/>
      <c r="W1936" s="269"/>
      <c r="X1936" s="269"/>
      <c r="Y1936" s="275"/>
      <c r="Z1936" s="269"/>
      <c r="AA1936" s="350"/>
      <c r="AB1936" s="207"/>
      <c r="AC1936" s="352"/>
      <c r="AD1936" s="353"/>
      <c r="AE1936" s="54"/>
      <c r="AF1936" s="354"/>
      <c r="AG1936" s="355"/>
      <c r="AH1936" s="349"/>
      <c r="AI1936" s="30"/>
      <c r="AJ1936" s="30"/>
      <c r="AK1936" s="30"/>
      <c r="AL1936" s="30"/>
      <c r="AM1936" s="13"/>
      <c r="AN1936" s="13"/>
      <c r="AO1936" s="13"/>
      <c r="AP1936" s="13"/>
      <c r="AQ1936" s="13"/>
      <c r="AR1936" s="14"/>
      <c r="AS1936" s="15"/>
    </row>
    <row r="1937" spans="1:45" s="17" customFormat="1" ht="30.6" hidden="1" customHeight="1" x14ac:dyDescent="0.2">
      <c r="A1937" s="37" t="s">
        <v>1119</v>
      </c>
      <c r="B1937" s="38" t="s">
        <v>444</v>
      </c>
      <c r="C1937" s="45"/>
      <c r="D1937" s="31">
        <v>3754083</v>
      </c>
      <c r="E1937" s="31">
        <v>4162302</v>
      </c>
      <c r="F1937" s="268" t="str">
        <f>IF(D1937="","",VLOOKUP(D1937,契約台帳!$A$3:$K$4986,6,FALSE)&amp;VLOOKUP(D1937,契約台帳!$A$3:$K$4986,7,FALSE)&amp;VLOOKUP(D1937,契約台帳!$A$3:$K$4986,8,FALSE)&amp;VLOOKUP(D1937,契約台帳!$A$3:$K$4986,9,FALSE)&amp;VLOOKUP(D1937,契約台帳!$A$3:$K$4986,11,FALSE))</f>
        <v>3SNMLBMNGKKBF</v>
      </c>
      <c r="G1937" s="269" t="str">
        <f>IF(D1937="","",VLOOKUP(F1937,製品マスタ!$G$5:$H$5002,2,FALSE))</f>
        <v>S</v>
      </c>
      <c r="H1937" s="269" t="str">
        <f>IF(D1937="","",VLOOKUP(F1937,製品マスタ!$G$5:$K$5002,5,FALSE))</f>
        <v>MNGKKBF</v>
      </c>
      <c r="I1937" s="270" t="str">
        <f>IF(D1937="","",VLOOKUP(F1937,製品マスタ!$G$5:$L$5002,6,FALSE))</f>
        <v>メタルミー　ネーマー銀消改　Ｂ</v>
      </c>
      <c r="J1937" s="210" t="s">
        <v>935</v>
      </c>
      <c r="K1937" s="270">
        <f>IF(D1937="","",VLOOKUP(D1937,契約台帳!$A$3:$L$4986,12,FALSE))</f>
        <v>50</v>
      </c>
      <c r="L1937" s="270" t="str">
        <f>IF(D1937="","",INDEX(製品マスタ!$Q$5:$Q$5002,MATCH('S4'!F1937&amp;'S4'!K1937,製品マスタ!$AO$5:$AO$5002,0)))</f>
        <v>S99-MAT</v>
      </c>
      <c r="M1937" s="39">
        <v>1120</v>
      </c>
      <c r="N1937" s="39">
        <v>4000</v>
      </c>
      <c r="O1937" s="156">
        <v>15</v>
      </c>
      <c r="P1937" s="47">
        <v>3</v>
      </c>
      <c r="Q1937" s="213">
        <v>45421</v>
      </c>
      <c r="R1937" s="271">
        <f ca="1">IF(D1937="","",IF(OFFSET(D1937,-1,0)&lt;&gt;"","",IF(OR(J1937="リード付け",J1937="巻足し",J1937="巻返しリード付け"),M1937,VLOOKUP(D1937,契約台帳!$A$3:$N$4986,14,FALSE))))</f>
        <v>1120</v>
      </c>
      <c r="S1937" s="272">
        <f ca="1">IF(D1937="","",IF(OFFSET(D1937,-1,0)&lt;&gt;"","",IF(OR(J1937="リード付け",J1937="巻足し",J1937="巻返しリード付け"),M1937,VLOOKUP(D1937,契約台帳!$A$3:$O$4986,15,FALSE))))</f>
        <v>1120</v>
      </c>
      <c r="T1937" s="273">
        <f ca="1">IF(D1937="","",IF(J1937="リード付け",N1937,IF(J1937="巻返しリード付け",N1937,IF(J1937="巻足し",N1937*P1937+OFFSET(N1937,1,0)*OFFSET(P1937,1,0),VLOOKUP(D1937,契約台帳!$A$3:$P$4986,16,FALSE)))))</f>
        <v>12000</v>
      </c>
      <c r="U1937" s="40">
        <v>5</v>
      </c>
      <c r="V1937" s="274" t="str">
        <f ca="1">IF(D1937="","",IF(OFFSET(D1937,-2,0)=D1937,"",VLOOKUP(D1937,契約台帳!$A$3:$R$4986,18,FALSE)))</f>
        <v/>
      </c>
      <c r="W1937" s="269" t="str">
        <f ca="1">IF(D1937="","",IF(T1937="","",IF(OR(J1937="巻足し",J1937="巻返しリード付け"),"",IF(J1937="巻返し",VLOOKUP(F1937&amp;K1937&amp;M1937,製品マスタ!$M$5:$AD$5002,18,FALSE),IF(OR(J1937="リード付け",J1937="巻返しリード付け"),"原反コア",IF(J1937="スリット",VLOOKUP(F1937&amp;K1937&amp;R1937,製品マスタ!$N$5:$AD$5002,17,FALSE),""))))))</f>
        <v/>
      </c>
      <c r="X1937" s="269" t="str">
        <f ca="1">IF(D1937="","",IF(T1937="","",IF(J1937="巻足し","",IF(J1937="巻返し",VLOOKUP(F1937&amp;K1937&amp;M1937,製品マスタ!$M$5:$AE$5002,19,FALSE),IF(OR(J1937="リード付け",J1937="巻返しリード付け"),"",IF(J1937="スリット",VLOOKUP(F1937&amp;K1937&amp;R1937,製品マスタ!$N$5:$AE$5002,18,FALSE),""))))))</f>
        <v/>
      </c>
      <c r="Y1937" s="275">
        <f ca="1">IF(D1937="","",IF(T1937="","",VLOOKUP(D1937,契約台帳!$A$3:$Q$4986,17,FALSE)))</f>
        <v>2</v>
      </c>
      <c r="Z1937" s="269" t="str">
        <f ca="1">IF(D1937="","",IF(T1937="","",VLOOKUP(D1937,契約台帳!$A$3:$E$4986,5,FALSE)))</f>
        <v>リンテック㈱</v>
      </c>
      <c r="AA1937" s="57"/>
      <c r="AB1937" s="207">
        <f>IFERROR((VLOOKUP(F1937&amp;K1937&amp;M1937,製品マスタ!$M$5:$AM$5002,27,FALSE)),"")</f>
        <v>0</v>
      </c>
      <c r="AC1937" s="33"/>
      <c r="AD1937" s="189"/>
      <c r="AE1937" s="54"/>
      <c r="AF1937" s="55">
        <f>+M1937*N1937*O1937/1000</f>
        <v>67200</v>
      </c>
      <c r="AG1937" s="43"/>
      <c r="AH1937" s="47"/>
      <c r="AI1937" s="30"/>
      <c r="AJ1937" s="30"/>
      <c r="AK1937" s="30"/>
      <c r="AL1937" s="30"/>
      <c r="AM1937" s="13"/>
      <c r="AN1937" s="13"/>
      <c r="AO1937" s="13"/>
      <c r="AP1937" s="13"/>
      <c r="AQ1937" s="13"/>
      <c r="AR1937" s="14"/>
      <c r="AS1937" s="15"/>
    </row>
    <row r="1938" spans="1:45" s="17" customFormat="1" ht="30.95" hidden="1" customHeight="1" x14ac:dyDescent="0.2">
      <c r="A1938" s="343"/>
      <c r="B1938" s="344"/>
      <c r="C1938" s="345"/>
      <c r="D1938" s="346"/>
      <c r="E1938" s="346"/>
      <c r="F1938" s="268"/>
      <c r="G1938" s="269"/>
      <c r="H1938" s="269"/>
      <c r="I1938" s="270"/>
      <c r="J1938" s="434"/>
      <c r="K1938" s="270"/>
      <c r="L1938" s="270"/>
      <c r="M1938" s="348"/>
      <c r="N1938" s="348"/>
      <c r="O1938" s="435"/>
      <c r="P1938" s="349"/>
      <c r="Q1938" s="350"/>
      <c r="R1938" s="271"/>
      <c r="S1938" s="272"/>
      <c r="T1938" s="273"/>
      <c r="U1938" s="351"/>
      <c r="V1938" s="274"/>
      <c r="W1938" s="269"/>
      <c r="X1938" s="269"/>
      <c r="Y1938" s="275"/>
      <c r="Z1938" s="269"/>
      <c r="AA1938" s="350"/>
      <c r="AB1938" s="207"/>
      <c r="AC1938" s="352"/>
      <c r="AD1938" s="353"/>
      <c r="AE1938" s="54"/>
      <c r="AF1938" s="354"/>
      <c r="AG1938" s="355"/>
      <c r="AH1938" s="349"/>
      <c r="AI1938" s="30"/>
      <c r="AJ1938" s="30"/>
      <c r="AK1938" s="30"/>
      <c r="AL1938" s="30"/>
      <c r="AM1938" s="13"/>
      <c r="AN1938" s="13"/>
      <c r="AO1938" s="13"/>
      <c r="AP1938" s="13"/>
      <c r="AQ1938" s="13"/>
      <c r="AR1938" s="14"/>
      <c r="AS1938" s="15"/>
    </row>
    <row r="1939" spans="1:45" s="17" customFormat="1" ht="30.6" hidden="1" customHeight="1" x14ac:dyDescent="0.2">
      <c r="A1939" s="37"/>
      <c r="B1939" s="38"/>
      <c r="C1939" s="45"/>
      <c r="D1939" s="31">
        <v>3754104</v>
      </c>
      <c r="E1939" s="31">
        <v>4162319</v>
      </c>
      <c r="F1939" s="268" t="str">
        <f>IF(D1939="","",VLOOKUP(D1939,契約台帳!$A$3:$K$4986,6,FALSE)&amp;VLOOKUP(D1939,契約台帳!$A$3:$K$4986,7,FALSE)&amp;VLOOKUP(D1939,契約台帳!$A$3:$K$4986,8,FALSE)&amp;VLOOKUP(D1939,契約台帳!$A$3:$K$4986,9,FALSE)&amp;VLOOKUP(D1939,契約台帳!$A$3:$K$4986,11,FALSE))</f>
        <v>3SNMCLBNGTVB</v>
      </c>
      <c r="G1939" s="269" t="str">
        <f>IF(D1939="","",VLOOKUP(F1939,製品マスタ!$G$5:$H$5002,2,FALSE))</f>
        <v>S</v>
      </c>
      <c r="H1939" s="269" t="str">
        <f>IF(D1939="","",VLOOKUP(F1939,製品マスタ!$G$5:$K$5002,5,FALSE))</f>
        <v>NGTVB</v>
      </c>
      <c r="I1939" s="270" t="str">
        <f>IF(D1939="","",VLOOKUP(F1939,製品マスタ!$G$5:$L$5002,6,FALSE))</f>
        <v>メタルミー　ネーマー　銀艶ＶＢ</v>
      </c>
      <c r="J1939" s="210" t="s">
        <v>464</v>
      </c>
      <c r="K1939" s="270">
        <f>IF(D1939="","",VLOOKUP(D1939,契約台帳!$A$3:$L$4986,12,FALSE))</f>
        <v>50</v>
      </c>
      <c r="L1939" s="270" t="str">
        <f>IF(D1939="","",INDEX(製品マスタ!$Q$5:$Q$5002,MATCH('S4'!F1939&amp;'S4'!K1939,製品マスタ!$AO$5:$AO$5002,0)))</f>
        <v>T62M</v>
      </c>
      <c r="M1939" s="39">
        <v>1040</v>
      </c>
      <c r="N1939" s="39">
        <v>6000</v>
      </c>
      <c r="O1939" s="156">
        <v>1</v>
      </c>
      <c r="P1939" s="47">
        <v>1</v>
      </c>
      <c r="Q1939" s="213">
        <v>45420</v>
      </c>
      <c r="R1939" s="271">
        <f ca="1">IF(D1939="","",IF(OFFSET(D1939,-1,0)&lt;&gt;"","",IF(OR(J1939="リード付け",J1939="巻足し",J1939="巻返しリード付け"),M1939,VLOOKUP(D1939,契約台帳!$A$3:$N$4986,14,FALSE))))</f>
        <v>1040</v>
      </c>
      <c r="S1939" s="272">
        <f ca="1">IF(D1939="","",IF(OFFSET(D1939,-1,0)&lt;&gt;"","",IF(OR(J1939="リード付け",J1939="巻足し",J1939="巻返しリード付け"),M1939,VLOOKUP(D1939,契約台帳!$A$3:$O$4986,15,FALSE))))</f>
        <v>1040</v>
      </c>
      <c r="T1939" s="273">
        <f ca="1">IF(D1939="","",IF(J1939="リード付け",N1939,IF(J1939="巻返しリード付け",N1939,IF(J1939="巻足し",N1939*P1939+OFFSET(N1939,1,0)*OFFSET(P1939,1,0),VLOOKUP(D1939,契約台帳!$A$3:$P$4986,16,FALSE)))))</f>
        <v>6000</v>
      </c>
      <c r="U1939" s="40">
        <v>1</v>
      </c>
      <c r="V1939" s="274">
        <f ca="1">IF(D1939="","",IF(OFFSET(D1939,-2,0)=D1939,"",VLOOKUP(D1939,契約台帳!$A$3:$R$4986,18,FALSE)))</f>
        <v>2</v>
      </c>
      <c r="W1939" s="269" t="str">
        <f ca="1">IF(D1939="","",IF(T1939="","",IF(OR(J1939="巻足し",J1939="巻返しリード付け"),"",IF(J1939="巻返し",VLOOKUP(F1939&amp;K1939&amp;M1939,製品マスタ!$M$5:$AD$5002,18,FALSE),IF(OR(J1939="リード付け",J1939="巻返しリード付け"),"原反コア",IF(J1939="スリット",VLOOKUP(F1939&amp;K1939&amp;R1939,製品マスタ!$N$5:$AD$5002,17,FALSE),""))))))</f>
        <v>原反コア</v>
      </c>
      <c r="X1939" s="269" t="str">
        <f ca="1">IF(D1939="","",IF(T1939="","",IF(J1939="巻足し","",IF(J1939="巻返し",VLOOKUP(F1939&amp;K1939&amp;M1939,製品マスタ!$M$5:$AE$5002,19,FALSE),IF(OR(J1939="リード付け",J1939="巻返しリード付け"),"",IF(J1939="スリット",VLOOKUP(F1939&amp;K1939&amp;R1939,製品マスタ!$N$5:$AE$5002,18,FALSE),""))))))</f>
        <v/>
      </c>
      <c r="Y1939" s="275">
        <f ca="1">IF(D1939="","",IF(T1939="","",VLOOKUP(D1939,契約台帳!$A$3:$Q$4986,17,FALSE)))</f>
        <v>2</v>
      </c>
      <c r="Z1939" s="269" t="str">
        <f ca="1">IF(D1939="","",IF(T1939="","",VLOOKUP(D1939,契約台帳!$A$3:$E$4986,5,FALSE)))</f>
        <v>リンテック㈱</v>
      </c>
      <c r="AA1939" s="57"/>
      <c r="AB1939" s="207">
        <f>IFERROR((VLOOKUP(F1939&amp;K1939&amp;M1939,製品マスタ!$M$5:$AM$5002,27,FALSE)),"")</f>
        <v>0</v>
      </c>
      <c r="AC1939" s="33"/>
      <c r="AD1939" s="189"/>
      <c r="AE1939" s="54"/>
      <c r="AF1939" s="55">
        <f>+M1939*N1939*O1939/1000</f>
        <v>6240</v>
      </c>
      <c r="AG1939" s="43"/>
      <c r="AH1939" s="47"/>
      <c r="AI1939" s="30"/>
      <c r="AJ1939" s="30"/>
      <c r="AK1939" s="30"/>
      <c r="AL1939" s="30"/>
      <c r="AM1939" s="13"/>
      <c r="AN1939" s="13"/>
      <c r="AO1939" s="13"/>
      <c r="AP1939" s="13"/>
      <c r="AQ1939" s="13"/>
      <c r="AR1939" s="14"/>
      <c r="AS1939" s="15"/>
    </row>
    <row r="1940" spans="1:45" s="17" customFormat="1" ht="30.95" hidden="1" customHeight="1" x14ac:dyDescent="0.2">
      <c r="A1940" s="343"/>
      <c r="B1940" s="344"/>
      <c r="C1940" s="345"/>
      <c r="D1940" s="346"/>
      <c r="E1940" s="346"/>
      <c r="F1940" s="268"/>
      <c r="G1940" s="269"/>
      <c r="H1940" s="269"/>
      <c r="I1940" s="270"/>
      <c r="J1940" s="434"/>
      <c r="K1940" s="270"/>
      <c r="L1940" s="270"/>
      <c r="M1940" s="348"/>
      <c r="N1940" s="348"/>
      <c r="O1940" s="435"/>
      <c r="P1940" s="349"/>
      <c r="Q1940" s="350"/>
      <c r="R1940" s="271"/>
      <c r="S1940" s="272"/>
      <c r="T1940" s="273"/>
      <c r="U1940" s="351"/>
      <c r="V1940" s="274"/>
      <c r="W1940" s="269"/>
      <c r="X1940" s="269"/>
      <c r="Y1940" s="275"/>
      <c r="Z1940" s="269"/>
      <c r="AA1940" s="350"/>
      <c r="AB1940" s="207"/>
      <c r="AC1940" s="352"/>
      <c r="AD1940" s="353"/>
      <c r="AE1940" s="54"/>
      <c r="AF1940" s="354"/>
      <c r="AG1940" s="355"/>
      <c r="AH1940" s="349"/>
      <c r="AI1940" s="30"/>
      <c r="AJ1940" s="30"/>
      <c r="AK1940" s="30"/>
      <c r="AL1940" s="30"/>
      <c r="AM1940" s="13"/>
      <c r="AN1940" s="13"/>
      <c r="AO1940" s="13"/>
      <c r="AP1940" s="13"/>
      <c r="AQ1940" s="13"/>
      <c r="AR1940" s="14"/>
      <c r="AS1940" s="15"/>
    </row>
    <row r="1941" spans="1:45" s="17" customFormat="1" ht="30.6" hidden="1" customHeight="1" x14ac:dyDescent="0.2">
      <c r="A1941" s="37"/>
      <c r="B1941" s="38"/>
      <c r="C1941" s="45"/>
      <c r="D1941" s="31">
        <v>3754102</v>
      </c>
      <c r="E1941" s="31">
        <v>4162296</v>
      </c>
      <c r="F1941" s="268" t="str">
        <f>IF(D1941="","",VLOOKUP(D1941,契約台帳!$A$3:$K$4986,6,FALSE)&amp;VLOOKUP(D1941,契約台帳!$A$3:$K$4986,7,FALSE)&amp;VLOOKUP(D1941,契約台帳!$A$3:$K$4986,8,FALSE)&amp;VLOOKUP(D1941,契約台帳!$A$3:$K$4986,9,FALSE)&amp;VLOOKUP(D1941,契約台帳!$A$3:$K$4986,11,FALSE))</f>
        <v>33SSNMCLBTETKFV</v>
      </c>
      <c r="G1941" s="269" t="str">
        <f>IF(D1941="","",VLOOKUP(F1941,製品マスタ!$G$5:$H$5002,2,FALSE))</f>
        <v>S</v>
      </c>
      <c r="H1941" s="269" t="str">
        <f>IF(D1941="","",VLOOKUP(F1941,製品マスタ!$G$5:$K$5002,5,FALSE))</f>
        <v>TETKFV</v>
      </c>
      <c r="I1941" s="270" t="str">
        <f>IF(D1941="","",VLOOKUP(F1941,製品マスタ!$G$5:$L$5002,6,FALSE))</f>
        <v>メタルミー　ＴＥＳ艶開封　Ｖ</v>
      </c>
      <c r="J1941" s="210" t="s">
        <v>935</v>
      </c>
      <c r="K1941" s="270">
        <f>IF(D1941="","",VLOOKUP(D1941,契約台帳!$A$3:$L$4986,12,FALSE))</f>
        <v>50</v>
      </c>
      <c r="L1941" s="270" t="str">
        <f>IF(D1941="","",INDEX(製品マスタ!$Q$5:$Q$5002,MATCH('S4'!F1941&amp;'S4'!K1941,製品マスタ!$AO$5:$AO$5002,0)))</f>
        <v>S28SEPA</v>
      </c>
      <c r="M1941" s="39">
        <v>1005</v>
      </c>
      <c r="N1941" s="39">
        <v>4100</v>
      </c>
      <c r="O1941" s="156">
        <v>6</v>
      </c>
      <c r="P1941" s="47">
        <v>3</v>
      </c>
      <c r="Q1941" s="213">
        <v>45422</v>
      </c>
      <c r="R1941" s="271">
        <f ca="1">IF(D1941="","",IF(OFFSET(D1941,-1,0)&lt;&gt;"","",IF(OR(J1941="リード付け",J1941="巻足し",J1941="巻返しリード付け"),M1941,VLOOKUP(D1941,契約台帳!$A$3:$N$4986,14,FALSE))))</f>
        <v>1005</v>
      </c>
      <c r="S1941" s="272">
        <f ca="1">IF(D1941="","",IF(OFFSET(D1941,-1,0)&lt;&gt;"","",IF(OR(J1941="リード付け",J1941="巻足し",J1941="巻返しリード付け"),M1941,VLOOKUP(D1941,契約台帳!$A$3:$O$4986,15,FALSE))))</f>
        <v>1005</v>
      </c>
      <c r="T1941" s="273">
        <f ca="1">IF(D1941="","",IF(J1941="リード付け",N1941,IF(J1941="巻返しリード付け",N1941,IF(J1941="巻足し",N1941*P1941+OFFSET(N1941,1,0)*OFFSET(P1941,1,0),VLOOKUP(D1941,契約台帳!$A$3:$P$4986,16,FALSE)))))</f>
        <v>12300</v>
      </c>
      <c r="U1941" s="40">
        <v>2</v>
      </c>
      <c r="V1941" s="274">
        <f ca="1">IF(D1941="","",IF(OFFSET(D1941,-2,0)=D1941,"",VLOOKUP(D1941,契約台帳!$A$3:$R$4986,18,FALSE)))</f>
        <v>6</v>
      </c>
      <c r="W1941" s="269" t="str">
        <f ca="1">IF(D1941="","",IF(T1941="","",IF(OR(J1941="巻足し",J1941="巻返しリード付け"),"",IF(J1941="巻返し",VLOOKUP(F1941&amp;K1941&amp;M1941,製品マスタ!$M$5:$AD$5002,18,FALSE),IF(OR(J1941="リード付け",J1941="巻返しリード付け"),"原反コア",IF(J1941="スリット",VLOOKUP(F1941&amp;K1941&amp;R1941,製品マスタ!$N$5:$AD$5002,17,FALSE),""))))))</f>
        <v/>
      </c>
      <c r="X1941" s="269" t="str">
        <f ca="1">IF(D1941="","",IF(T1941="","",IF(J1941="巻足し","",IF(J1941="巻返し",VLOOKUP(F1941&amp;K1941&amp;M1941,製品マスタ!$M$5:$AE$5002,19,FALSE),IF(OR(J1941="リード付け",J1941="巻返しリード付け"),"",IF(J1941="スリット",VLOOKUP(F1941&amp;K1941&amp;R1941,製品マスタ!$N$5:$AE$5002,18,FALSE),""))))))</f>
        <v/>
      </c>
      <c r="Y1941" s="275">
        <f ca="1">IF(D1941="","",IF(T1941="","",VLOOKUP(D1941,契約台帳!$A$3:$Q$4986,17,FALSE)))</f>
        <v>2</v>
      </c>
      <c r="Z1941" s="269" t="str">
        <f ca="1">IF(D1941="","",IF(T1941="","",VLOOKUP(D1941,契約台帳!$A$3:$E$4986,5,FALSE)))</f>
        <v>リンテック㈱</v>
      </c>
      <c r="AA1941" s="57"/>
      <c r="AB1941" s="207">
        <f>IFERROR((VLOOKUP(F1941&amp;K1941&amp;M1941,製品マスタ!$M$5:$AM$5002,27,FALSE)),"")</f>
        <v>0</v>
      </c>
      <c r="AC1941" s="33"/>
      <c r="AD1941" s="189"/>
      <c r="AE1941" s="54"/>
      <c r="AF1941" s="55">
        <f>+M1941*N1941*O1941/1000</f>
        <v>24723</v>
      </c>
      <c r="AG1941" s="43"/>
      <c r="AH1941" s="47"/>
      <c r="AI1941" s="30"/>
      <c r="AJ1941" s="30"/>
      <c r="AK1941" s="30"/>
      <c r="AL1941" s="30"/>
      <c r="AM1941" s="13"/>
      <c r="AN1941" s="13"/>
      <c r="AO1941" s="13"/>
      <c r="AP1941" s="13"/>
      <c r="AQ1941" s="13"/>
      <c r="AR1941" s="14"/>
      <c r="AS1941" s="15"/>
    </row>
    <row r="1942" spans="1:45" s="17" customFormat="1" ht="30.95" hidden="1" customHeight="1" x14ac:dyDescent="0.2">
      <c r="A1942" s="343"/>
      <c r="B1942" s="344"/>
      <c r="C1942" s="345"/>
      <c r="D1942" s="346"/>
      <c r="E1942" s="346"/>
      <c r="F1942" s="268"/>
      <c r="G1942" s="269"/>
      <c r="H1942" s="269"/>
      <c r="I1942" s="270"/>
      <c r="J1942" s="434"/>
      <c r="K1942" s="270"/>
      <c r="L1942" s="270"/>
      <c r="M1942" s="348"/>
      <c r="N1942" s="348"/>
      <c r="O1942" s="435"/>
      <c r="P1942" s="349"/>
      <c r="Q1942" s="350"/>
      <c r="R1942" s="271"/>
      <c r="S1942" s="272"/>
      <c r="T1942" s="273"/>
      <c r="U1942" s="351"/>
      <c r="V1942" s="274"/>
      <c r="W1942" s="269"/>
      <c r="X1942" s="269"/>
      <c r="Y1942" s="275"/>
      <c r="Z1942" s="269"/>
      <c r="AA1942" s="350"/>
      <c r="AB1942" s="207"/>
      <c r="AC1942" s="352"/>
      <c r="AD1942" s="353"/>
      <c r="AE1942" s="54"/>
      <c r="AF1942" s="354"/>
      <c r="AG1942" s="355"/>
      <c r="AH1942" s="349"/>
      <c r="AI1942" s="30"/>
      <c r="AJ1942" s="30"/>
      <c r="AK1942" s="30"/>
      <c r="AL1942" s="30"/>
      <c r="AM1942" s="13"/>
      <c r="AN1942" s="13"/>
      <c r="AO1942" s="13"/>
      <c r="AP1942" s="13"/>
      <c r="AQ1942" s="13"/>
      <c r="AR1942" s="14"/>
      <c r="AS1942" s="15"/>
    </row>
    <row r="1943" spans="1:45" s="17" customFormat="1" ht="30.6" hidden="1" customHeight="1" x14ac:dyDescent="0.2">
      <c r="A1943" s="37" t="s">
        <v>2784</v>
      </c>
      <c r="B1943" s="38" t="s">
        <v>2785</v>
      </c>
      <c r="C1943" s="45"/>
      <c r="D1943" s="31">
        <v>3754099</v>
      </c>
      <c r="E1943" s="31">
        <v>4162318</v>
      </c>
      <c r="F1943" s="268" t="str">
        <f>IF(D1943="","",VLOOKUP(D1943,契約台帳!$A$3:$K$4986,6,FALSE)&amp;VLOOKUP(D1943,契約台帳!$A$3:$K$4986,7,FALSE)&amp;VLOOKUP(D1943,契約台帳!$A$3:$K$4986,8,FALSE)&amp;VLOOKUP(D1943,契約台帳!$A$3:$K$4986,9,FALSE)&amp;VLOOKUP(D1943,契約台帳!$A$3:$K$4986,11,FALSE))</f>
        <v>3SNMCLBNGKVB</v>
      </c>
      <c r="G1943" s="269" t="str">
        <f>IF(D1943="","",VLOOKUP(F1943,製品マスタ!$G$5:$H$5002,2,FALSE))</f>
        <v>S</v>
      </c>
      <c r="H1943" s="269" t="str">
        <f>IF(D1943="","",VLOOKUP(F1943,製品マスタ!$G$5:$K$5002,5,FALSE))</f>
        <v>NGKVB</v>
      </c>
      <c r="I1943" s="270" t="str">
        <f>IF(D1943="","",VLOOKUP(F1943,製品マスタ!$G$5:$L$5002,6,FALSE))</f>
        <v>メタルミー　ネーマー銀消　ＶＢ</v>
      </c>
      <c r="J1943" s="210" t="s">
        <v>935</v>
      </c>
      <c r="K1943" s="270">
        <f>IF(D1943="","",VLOOKUP(D1943,契約台帳!$A$3:$L$4986,12,FALSE))</f>
        <v>50</v>
      </c>
      <c r="L1943" s="270" t="str">
        <f>IF(D1943="","",INDEX(製品マスタ!$Q$5:$Q$5002,MATCH('S4'!F1943&amp;'S4'!K1943,製品マスタ!$AO$5:$AO$5002,0)))</f>
        <v>MAT</v>
      </c>
      <c r="M1943" s="39">
        <v>1005</v>
      </c>
      <c r="N1943" s="39">
        <v>4100</v>
      </c>
      <c r="O1943" s="156">
        <v>2</v>
      </c>
      <c r="P1943" s="47">
        <v>2</v>
      </c>
      <c r="Q1943" s="213">
        <v>45421</v>
      </c>
      <c r="R1943" s="271">
        <f ca="1">IF(D1943="","",IF(OFFSET(D1943,-1,0)&lt;&gt;"","",IF(OR(J1943="リード付け",J1943="巻足し",J1943="巻返しリード付け"),M1943,VLOOKUP(D1943,契約台帳!$A$3:$N$4986,14,FALSE))))</f>
        <v>1005</v>
      </c>
      <c r="S1943" s="272">
        <f ca="1">IF(D1943="","",IF(OFFSET(D1943,-1,0)&lt;&gt;"","",IF(OR(J1943="リード付け",J1943="巻足し",J1943="巻返しリード付け"),M1943,VLOOKUP(D1943,契約台帳!$A$3:$O$4986,15,FALSE))))</f>
        <v>1005</v>
      </c>
      <c r="T1943" s="273">
        <f ca="1">IF(D1943="","",IF(J1943="リード付け",N1943,IF(J1943="巻返しリード付け",N1943,IF(J1943="巻足し",N1943*P1943+OFFSET(N1943,1,0)*OFFSET(P1943,1,0),VLOOKUP(D1943,契約台帳!$A$3:$P$4986,16,FALSE)))))</f>
        <v>8200</v>
      </c>
      <c r="U1943" s="40">
        <v>1</v>
      </c>
      <c r="V1943" s="274">
        <f ca="1">IF(D1943="","",IF(OFFSET(D1943,-2,0)=D1943,"",VLOOKUP(D1943,契約台帳!$A$3:$R$4986,18,FALSE)))</f>
        <v>2</v>
      </c>
      <c r="W1943" s="269" t="str">
        <f ca="1">IF(D1943="","",IF(T1943="","",IF(OR(J1943="巻足し",J1943="巻返しリード付け"),"",IF(J1943="巻返し",VLOOKUP(F1943&amp;K1943&amp;M1943,製品マスタ!$M$5:$AD$5002,18,FALSE),IF(OR(J1943="リード付け",J1943="巻返しリード付け"),"原反コア",IF(J1943="スリット",VLOOKUP(F1943&amp;K1943&amp;R1943,製品マスタ!$N$5:$AD$5002,17,FALSE),""))))))</f>
        <v/>
      </c>
      <c r="X1943" s="269" t="str">
        <f ca="1">IF(D1943="","",IF(T1943="","",IF(J1943="巻足し","",IF(J1943="巻返し",VLOOKUP(F1943&amp;K1943&amp;M1943,製品マスタ!$M$5:$AE$5002,19,FALSE),IF(OR(J1943="リード付け",J1943="巻返しリード付け"),"",IF(J1943="スリット",VLOOKUP(F1943&amp;K1943&amp;R1943,製品マスタ!$N$5:$AE$5002,18,FALSE),""))))))</f>
        <v/>
      </c>
      <c r="Y1943" s="275">
        <f ca="1">IF(D1943="","",IF(T1943="","",VLOOKUP(D1943,契約台帳!$A$3:$Q$4986,17,FALSE)))</f>
        <v>2</v>
      </c>
      <c r="Z1943" s="269" t="str">
        <f ca="1">IF(D1943="","",IF(T1943="","",VLOOKUP(D1943,契約台帳!$A$3:$E$4986,5,FALSE)))</f>
        <v>リンテック㈱</v>
      </c>
      <c r="AA1943" s="57"/>
      <c r="AB1943" s="207">
        <f>IFERROR((VLOOKUP(F1943&amp;K1943&amp;M1943,製品マスタ!$M$5:$AM$5002,27,FALSE)),"")</f>
        <v>0</v>
      </c>
      <c r="AC1943" s="33"/>
      <c r="AD1943" s="189"/>
      <c r="AE1943" s="54"/>
      <c r="AF1943" s="55">
        <f>+M1943*N1943*O1943/1000</f>
        <v>8241</v>
      </c>
      <c r="AG1943" s="43"/>
      <c r="AH1943" s="47"/>
      <c r="AI1943" s="30"/>
      <c r="AJ1943" s="30"/>
      <c r="AK1943" s="30"/>
      <c r="AL1943" s="30"/>
      <c r="AM1943" s="13"/>
      <c r="AN1943" s="13"/>
      <c r="AO1943" s="13"/>
      <c r="AP1943" s="13"/>
      <c r="AQ1943" s="13"/>
      <c r="AR1943" s="14"/>
      <c r="AS1943" s="15"/>
    </row>
    <row r="1944" spans="1:45" s="17" customFormat="1" ht="30.95" hidden="1" customHeight="1" x14ac:dyDescent="0.2">
      <c r="A1944" s="343"/>
      <c r="B1944" s="344"/>
      <c r="C1944" s="345"/>
      <c r="D1944" s="346"/>
      <c r="E1944" s="346"/>
      <c r="F1944" s="268"/>
      <c r="G1944" s="269"/>
      <c r="H1944" s="269"/>
      <c r="I1944" s="270"/>
      <c r="J1944" s="434"/>
      <c r="K1944" s="270"/>
      <c r="L1944" s="270"/>
      <c r="M1944" s="348"/>
      <c r="N1944" s="348"/>
      <c r="O1944" s="435"/>
      <c r="P1944" s="349"/>
      <c r="Q1944" s="350"/>
      <c r="R1944" s="271"/>
      <c r="S1944" s="272"/>
      <c r="T1944" s="273"/>
      <c r="U1944" s="351"/>
      <c r="V1944" s="274"/>
      <c r="W1944" s="269"/>
      <c r="X1944" s="269"/>
      <c r="Y1944" s="275"/>
      <c r="Z1944" s="269"/>
      <c r="AA1944" s="350"/>
      <c r="AB1944" s="207"/>
      <c r="AC1944" s="352"/>
      <c r="AD1944" s="353"/>
      <c r="AE1944" s="54"/>
      <c r="AF1944" s="354"/>
      <c r="AG1944" s="355"/>
      <c r="AH1944" s="349"/>
      <c r="AI1944" s="30"/>
      <c r="AJ1944" s="30"/>
      <c r="AK1944" s="30"/>
      <c r="AL1944" s="30"/>
      <c r="AM1944" s="13"/>
      <c r="AN1944" s="13"/>
      <c r="AO1944" s="13"/>
      <c r="AP1944" s="13"/>
      <c r="AQ1944" s="13"/>
      <c r="AR1944" s="14"/>
      <c r="AS1944" s="15"/>
    </row>
    <row r="1945" spans="1:45" s="17" customFormat="1" ht="30.6" hidden="1" customHeight="1" x14ac:dyDescent="0.2">
      <c r="A1945" s="37"/>
      <c r="B1945" s="38"/>
      <c r="C1945" s="45"/>
      <c r="D1945" s="31">
        <v>3754100</v>
      </c>
      <c r="E1945" s="31">
        <v>4162294</v>
      </c>
      <c r="F1945" s="268" t="str">
        <f>IF(D1945="","",VLOOKUP(D1945,契約台帳!$A$3:$K$4986,6,FALSE)&amp;VLOOKUP(D1945,契約台帳!$A$3:$K$4986,7,FALSE)&amp;VLOOKUP(D1945,契約台帳!$A$3:$K$4986,8,FALSE)&amp;VLOOKUP(D1945,契約台帳!$A$3:$K$4986,9,FALSE)&amp;VLOOKUP(D1945,契約台帳!$A$3:$K$4986,11,FALSE))</f>
        <v>33SSNMCLBTEKKFV</v>
      </c>
      <c r="G1945" s="269" t="str">
        <f>IF(D1945="","",VLOOKUP(F1945,製品マスタ!$G$5:$H$5002,2,FALSE))</f>
        <v>S</v>
      </c>
      <c r="H1945" s="269" t="str">
        <f>IF(D1945="","",VLOOKUP(F1945,製品マスタ!$G$5:$K$5002,5,FALSE))</f>
        <v>TEKKFV</v>
      </c>
      <c r="I1945" s="270" t="str">
        <f>IF(D1945="","",VLOOKUP(F1945,製品マスタ!$G$5:$L$5002,6,FALSE))</f>
        <v>メタルミー　ＴＥＳ消開封　Ｖ</v>
      </c>
      <c r="J1945" s="210" t="s">
        <v>935</v>
      </c>
      <c r="K1945" s="270">
        <f>IF(D1945="","",VLOOKUP(D1945,契約台帳!$A$3:$L$4986,12,FALSE))</f>
        <v>50</v>
      </c>
      <c r="L1945" s="270" t="str">
        <f>IF(D1945="","",INDEX(製品マスタ!$Q$5:$Q$5002,MATCH('S4'!F1945&amp;'S4'!K1945,製品マスタ!$AO$5:$AO$5002,0)))</f>
        <v>X44SEPA</v>
      </c>
      <c r="M1945" s="39">
        <v>1005</v>
      </c>
      <c r="N1945" s="39">
        <v>4000</v>
      </c>
      <c r="O1945" s="156">
        <v>3</v>
      </c>
      <c r="P1945" s="47">
        <v>3</v>
      </c>
      <c r="Q1945" s="213">
        <v>45422</v>
      </c>
      <c r="R1945" s="271">
        <f ca="1">IF(D1945="","",IF(OFFSET(D1945,-1,0)&lt;&gt;"","",IF(OR(J1945="リード付け",J1945="巻足し",J1945="巻返しリード付け"),M1945,VLOOKUP(D1945,契約台帳!$A$3:$N$4986,14,FALSE))))</f>
        <v>1005</v>
      </c>
      <c r="S1945" s="272">
        <f ca="1">IF(D1945="","",IF(OFFSET(D1945,-1,0)&lt;&gt;"","",IF(OR(J1945="リード付け",J1945="巻足し",J1945="巻返しリード付け"),M1945,VLOOKUP(D1945,契約台帳!$A$3:$O$4986,15,FALSE))))</f>
        <v>1005</v>
      </c>
      <c r="T1945" s="273">
        <f ca="1">IF(D1945="","",IF(J1945="リード付け",N1945,IF(J1945="巻返しリード付け",N1945,IF(J1945="巻足し",N1945*P1945+OFFSET(N1945,1,0)*OFFSET(P1945,1,0),VLOOKUP(D1945,契約台帳!$A$3:$P$4986,16,FALSE)))))</f>
        <v>12000</v>
      </c>
      <c r="U1945" s="40">
        <v>1</v>
      </c>
      <c r="V1945" s="274">
        <f ca="1">IF(D1945="","",IF(OFFSET(D1945,-2,0)=D1945,"",VLOOKUP(D1945,契約台帳!$A$3:$R$4986,18,FALSE)))</f>
        <v>3</v>
      </c>
      <c r="W1945" s="269" t="str">
        <f ca="1">IF(D1945="","",IF(T1945="","",IF(OR(J1945="巻足し",J1945="巻返しリード付け"),"",IF(J1945="巻返し",VLOOKUP(F1945&amp;K1945&amp;M1945,製品マスタ!$M$5:$AD$5002,18,FALSE),IF(OR(J1945="リード付け",J1945="巻返しリード付け"),"原反コア",IF(J1945="スリット",VLOOKUP(F1945&amp;K1945&amp;R1945,製品マスタ!$N$5:$AD$5002,17,FALSE),""))))))</f>
        <v/>
      </c>
      <c r="X1945" s="269" t="str">
        <f ca="1">IF(D1945="","",IF(T1945="","",IF(J1945="巻足し","",IF(J1945="巻返し",VLOOKUP(F1945&amp;K1945&amp;M1945,製品マスタ!$M$5:$AE$5002,19,FALSE),IF(OR(J1945="リード付け",J1945="巻返しリード付け"),"",IF(J1945="スリット",VLOOKUP(F1945&amp;K1945&amp;R1945,製品マスタ!$N$5:$AE$5002,18,FALSE),""))))))</f>
        <v/>
      </c>
      <c r="Y1945" s="275">
        <f ca="1">IF(D1945="","",IF(T1945="","",VLOOKUP(D1945,契約台帳!$A$3:$Q$4986,17,FALSE)))</f>
        <v>2</v>
      </c>
      <c r="Z1945" s="269" t="str">
        <f ca="1">IF(D1945="","",IF(T1945="","",VLOOKUP(D1945,契約台帳!$A$3:$E$4986,5,FALSE)))</f>
        <v>リンテック㈱</v>
      </c>
      <c r="AA1945" s="57"/>
      <c r="AB1945" s="207">
        <f>IFERROR((VLOOKUP(F1945&amp;K1945&amp;M1945,製品マスタ!$M$5:$AM$5002,27,FALSE)),"")</f>
        <v>0</v>
      </c>
      <c r="AC1945" s="33"/>
      <c r="AD1945" s="189"/>
      <c r="AE1945" s="54"/>
      <c r="AF1945" s="55">
        <f>+M1945*N1945*O1945/1000</f>
        <v>12060</v>
      </c>
      <c r="AG1945" s="43"/>
      <c r="AH1945" s="47"/>
      <c r="AI1945" s="30"/>
      <c r="AJ1945" s="30"/>
      <c r="AK1945" s="30"/>
      <c r="AL1945" s="30"/>
      <c r="AM1945" s="13"/>
      <c r="AN1945" s="13"/>
      <c r="AO1945" s="13"/>
      <c r="AP1945" s="13"/>
      <c r="AQ1945" s="13"/>
      <c r="AR1945" s="14"/>
      <c r="AS1945" s="15"/>
    </row>
    <row r="1946" spans="1:45" s="17" customFormat="1" ht="30.95" hidden="1" customHeight="1" x14ac:dyDescent="0.2">
      <c r="A1946" s="343"/>
      <c r="B1946" s="344"/>
      <c r="C1946" s="345"/>
      <c r="D1946" s="346"/>
      <c r="E1946" s="346"/>
      <c r="F1946" s="268"/>
      <c r="G1946" s="269"/>
      <c r="H1946" s="269"/>
      <c r="I1946" s="270"/>
      <c r="J1946" s="434"/>
      <c r="K1946" s="270"/>
      <c r="L1946" s="270"/>
      <c r="M1946" s="348"/>
      <c r="N1946" s="348"/>
      <c r="O1946" s="435"/>
      <c r="P1946" s="349"/>
      <c r="Q1946" s="350"/>
      <c r="R1946" s="271"/>
      <c r="S1946" s="272"/>
      <c r="T1946" s="273"/>
      <c r="U1946" s="351"/>
      <c r="V1946" s="274"/>
      <c r="W1946" s="269"/>
      <c r="X1946" s="269"/>
      <c r="Y1946" s="275"/>
      <c r="Z1946" s="269"/>
      <c r="AA1946" s="350"/>
      <c r="AB1946" s="207"/>
      <c r="AC1946" s="352"/>
      <c r="AD1946" s="353"/>
      <c r="AE1946" s="54"/>
      <c r="AF1946" s="354"/>
      <c r="AG1946" s="355"/>
      <c r="AH1946" s="349"/>
      <c r="AI1946" s="30"/>
      <c r="AJ1946" s="30"/>
      <c r="AK1946" s="30"/>
      <c r="AL1946" s="30"/>
      <c r="AM1946" s="13"/>
      <c r="AN1946" s="13"/>
      <c r="AO1946" s="13"/>
      <c r="AP1946" s="13"/>
      <c r="AQ1946" s="13"/>
      <c r="AR1946" s="14"/>
      <c r="AS1946" s="15"/>
    </row>
    <row r="1947" spans="1:45" s="17" customFormat="1" ht="30.6" hidden="1" customHeight="1" x14ac:dyDescent="0.2">
      <c r="A1947" s="37"/>
      <c r="B1947" s="38"/>
      <c r="C1947" s="45"/>
      <c r="D1947" s="31">
        <v>3754101</v>
      </c>
      <c r="E1947" s="31">
        <v>4162295</v>
      </c>
      <c r="F1947" s="268" t="str">
        <f>IF(D1947="","",VLOOKUP(D1947,契約台帳!$A$3:$K$4986,6,FALSE)&amp;VLOOKUP(D1947,契約台帳!$A$3:$K$4986,7,FALSE)&amp;VLOOKUP(D1947,契約台帳!$A$3:$K$4986,8,FALSE)&amp;VLOOKUP(D1947,契約台帳!$A$3:$K$4986,9,FALSE)&amp;VLOOKUP(D1947,契約台帳!$A$3:$K$4986,11,FALSE))</f>
        <v>33SSNMCLBTEKV0V</v>
      </c>
      <c r="G1947" s="269" t="str">
        <f>IF(D1947="","",VLOOKUP(F1947,製品マスタ!$G$5:$H$5002,2,FALSE))</f>
        <v>S</v>
      </c>
      <c r="H1947" s="269" t="str">
        <f>IF(D1947="","",VLOOKUP(F1947,製品マスタ!$G$5:$K$5002,5,FALSE))</f>
        <v>TEKV0V</v>
      </c>
      <c r="I1947" s="270" t="str">
        <f>IF(D1947="","",VLOOKUP(F1947,製品マスタ!$G$5:$L$5002,6,FALSE))</f>
        <v>メタルミー　ＴＥ－Ｓ消　ＶＯＩＤ　Ｖ</v>
      </c>
      <c r="J1947" s="210" t="s">
        <v>935</v>
      </c>
      <c r="K1947" s="270">
        <f>IF(D1947="","",VLOOKUP(D1947,契約台帳!$A$3:$L$4986,12,FALSE))</f>
        <v>50</v>
      </c>
      <c r="L1947" s="270" t="str">
        <f>IF(D1947="","",INDEX(製品マスタ!$Q$5:$Q$5002,MATCH('S4'!F1947&amp;'S4'!K1947,製品マスタ!$AO$5:$AO$5002,0)))</f>
        <v>X44SEPA</v>
      </c>
      <c r="M1947" s="39">
        <v>1005</v>
      </c>
      <c r="N1947" s="39">
        <v>4000</v>
      </c>
      <c r="O1947" s="156">
        <v>6</v>
      </c>
      <c r="P1947" s="47">
        <v>3</v>
      </c>
      <c r="Q1947" s="213">
        <v>45422</v>
      </c>
      <c r="R1947" s="271">
        <f ca="1">IF(D1947="","",IF(OFFSET(D1947,-1,0)&lt;&gt;"","",IF(OR(J1947="リード付け",J1947="巻足し",J1947="巻返しリード付け"),M1947,VLOOKUP(D1947,契約台帳!$A$3:$N$4986,14,FALSE))))</f>
        <v>1005</v>
      </c>
      <c r="S1947" s="272">
        <f ca="1">IF(D1947="","",IF(OFFSET(D1947,-1,0)&lt;&gt;"","",IF(OR(J1947="リード付け",J1947="巻足し",J1947="巻返しリード付け"),M1947,VLOOKUP(D1947,契約台帳!$A$3:$O$4986,15,FALSE))))</f>
        <v>1005</v>
      </c>
      <c r="T1947" s="273">
        <f ca="1">IF(D1947="","",IF(J1947="リード付け",N1947,IF(J1947="巻返しリード付け",N1947,IF(J1947="巻足し",N1947*P1947+OFFSET(N1947,1,0)*OFFSET(P1947,1,0),VLOOKUP(D1947,契約台帳!$A$3:$P$4986,16,FALSE)))))</f>
        <v>12000</v>
      </c>
      <c r="U1947" s="40">
        <v>2</v>
      </c>
      <c r="V1947" s="274">
        <f ca="1">IF(D1947="","",IF(OFFSET(D1947,-2,0)=D1947,"",VLOOKUP(D1947,契約台帳!$A$3:$R$4986,18,FALSE)))</f>
        <v>6</v>
      </c>
      <c r="W1947" s="269" t="str">
        <f ca="1">IF(D1947="","",IF(T1947="","",IF(OR(J1947="巻足し",J1947="巻返しリード付け"),"",IF(J1947="巻返し",VLOOKUP(F1947&amp;K1947&amp;M1947,製品マスタ!$M$5:$AD$5002,18,FALSE),IF(OR(J1947="リード付け",J1947="巻返しリード付け"),"原反コア",IF(J1947="スリット",VLOOKUP(F1947&amp;K1947&amp;R1947,製品マスタ!$N$5:$AD$5002,17,FALSE),""))))))</f>
        <v/>
      </c>
      <c r="X1947" s="269" t="str">
        <f ca="1">IF(D1947="","",IF(T1947="","",IF(J1947="巻足し","",IF(J1947="巻返し",VLOOKUP(F1947&amp;K1947&amp;M1947,製品マスタ!$M$5:$AE$5002,19,FALSE),IF(OR(J1947="リード付け",J1947="巻返しリード付け"),"",IF(J1947="スリット",VLOOKUP(F1947&amp;K1947&amp;R1947,製品マスタ!$N$5:$AE$5002,18,FALSE),""))))))</f>
        <v/>
      </c>
      <c r="Y1947" s="275">
        <f ca="1">IF(D1947="","",IF(T1947="","",VLOOKUP(D1947,契約台帳!$A$3:$Q$4986,17,FALSE)))</f>
        <v>2</v>
      </c>
      <c r="Z1947" s="269" t="str">
        <f ca="1">IF(D1947="","",IF(T1947="","",VLOOKUP(D1947,契約台帳!$A$3:$E$4986,5,FALSE)))</f>
        <v>リンテック㈱</v>
      </c>
      <c r="AA1947" s="57"/>
      <c r="AB1947" s="207">
        <f>IFERROR((VLOOKUP(F1947&amp;K1947&amp;M1947,製品マスタ!$M$5:$AM$5002,27,FALSE)),"")</f>
        <v>0</v>
      </c>
      <c r="AC1947" s="33"/>
      <c r="AD1947" s="189"/>
      <c r="AE1947" s="54"/>
      <c r="AF1947" s="55">
        <f>+M1947*N1947*O1947/1000</f>
        <v>24120</v>
      </c>
      <c r="AG1947" s="43"/>
      <c r="AH1947" s="47"/>
      <c r="AI1947" s="30"/>
      <c r="AJ1947" s="30"/>
      <c r="AK1947" s="30"/>
      <c r="AL1947" s="30"/>
      <c r="AM1947" s="13"/>
      <c r="AN1947" s="13"/>
      <c r="AO1947" s="13"/>
      <c r="AP1947" s="13"/>
      <c r="AQ1947" s="13"/>
      <c r="AR1947" s="14"/>
      <c r="AS1947" s="15"/>
    </row>
    <row r="1948" spans="1:45" s="17" customFormat="1" ht="30.95" hidden="1" customHeight="1" x14ac:dyDescent="0.2">
      <c r="A1948" s="343"/>
      <c r="B1948" s="344"/>
      <c r="C1948" s="345"/>
      <c r="D1948" s="346"/>
      <c r="E1948" s="346"/>
      <c r="F1948" s="268"/>
      <c r="G1948" s="269"/>
      <c r="H1948" s="269"/>
      <c r="I1948" s="270"/>
      <c r="J1948" s="434"/>
      <c r="K1948" s="270"/>
      <c r="L1948" s="270"/>
      <c r="M1948" s="348"/>
      <c r="N1948" s="348"/>
      <c r="O1948" s="435"/>
      <c r="P1948" s="349"/>
      <c r="Q1948" s="350"/>
      <c r="R1948" s="271"/>
      <c r="S1948" s="272"/>
      <c r="T1948" s="273"/>
      <c r="U1948" s="351"/>
      <c r="V1948" s="274"/>
      <c r="W1948" s="269"/>
      <c r="X1948" s="269"/>
      <c r="Y1948" s="275"/>
      <c r="Z1948" s="269"/>
      <c r="AA1948" s="350"/>
      <c r="AB1948" s="207"/>
      <c r="AC1948" s="352"/>
      <c r="AD1948" s="353"/>
      <c r="AE1948" s="54"/>
      <c r="AF1948" s="354"/>
      <c r="AG1948" s="355"/>
      <c r="AH1948" s="349"/>
      <c r="AI1948" s="30"/>
      <c r="AJ1948" s="30"/>
      <c r="AK1948" s="30"/>
      <c r="AL1948" s="30"/>
      <c r="AM1948" s="13"/>
      <c r="AN1948" s="13"/>
      <c r="AO1948" s="13"/>
      <c r="AP1948" s="13"/>
      <c r="AQ1948" s="13"/>
      <c r="AR1948" s="14"/>
      <c r="AS1948" s="15"/>
    </row>
    <row r="1949" spans="1:45" s="17" customFormat="1" ht="30.6" hidden="1" customHeight="1" x14ac:dyDescent="0.2">
      <c r="A1949" s="37"/>
      <c r="B1949" s="38"/>
      <c r="C1949" s="45"/>
      <c r="D1949" s="31">
        <v>3754092</v>
      </c>
      <c r="E1949" s="31">
        <v>4162315</v>
      </c>
      <c r="F1949" s="268" t="str">
        <f>IF(D1949="","",VLOOKUP(D1949,契約台帳!$A$3:$K$4986,6,FALSE)&amp;VLOOKUP(D1949,契約台帳!$A$3:$K$4986,7,FALSE)&amp;VLOOKUP(D1949,契約台帳!$A$3:$K$4986,8,FALSE)&amp;VLOOKUP(D1949,契約台帳!$A$3:$K$4986,9,FALSE)&amp;VLOOKUP(D1949,契約台帳!$A$3:$K$4986,11,FALSE))</f>
        <v>3SYMLBMSNMBF</v>
      </c>
      <c r="G1949" s="269" t="str">
        <f>IF(D1949="","",VLOOKUP(F1949,製品マスタ!$G$5:$H$5002,2,FALSE))</f>
        <v>S</v>
      </c>
      <c r="H1949" s="269" t="str">
        <f>IF(D1949="","",VLOOKUP(F1949,製品マスタ!$G$5:$K$5002,5,FALSE))</f>
        <v>MSNMBF</v>
      </c>
      <c r="I1949" s="270" t="str">
        <f>IF(D1949="","",VLOOKUP(F1949,製品マスタ!$G$5:$L$5002,6,FALSE))</f>
        <v>ＭＥＴＡＬＵＭＹ　ＳＩＬＶＥＲ　Ｎ－ＭＡＴＴＥ　Ｘ４４Ｍ　Ｂ</v>
      </c>
      <c r="J1949" s="210" t="s">
        <v>935</v>
      </c>
      <c r="K1949" s="270">
        <f>IF(D1949="","",VLOOKUP(D1949,契約台帳!$A$3:$L$4986,12,FALSE))</f>
        <v>50</v>
      </c>
      <c r="L1949" s="270" t="str">
        <f>IF(D1949="","",INDEX(製品マスタ!$Q$5:$Q$5002,MATCH('S4'!F1949&amp;'S4'!K1949,製品マスタ!$AO$5:$AO$5002,0)))</f>
        <v>X44</v>
      </c>
      <c r="M1949" s="39">
        <v>1005</v>
      </c>
      <c r="N1949" s="39">
        <v>4000</v>
      </c>
      <c r="O1949" s="156">
        <v>4</v>
      </c>
      <c r="P1949" s="47">
        <v>2</v>
      </c>
      <c r="Q1949" s="213">
        <v>45422</v>
      </c>
      <c r="R1949" s="271">
        <f ca="1">IF(D1949="","",IF(OFFSET(D1949,-1,0)&lt;&gt;"","",IF(OR(J1949="リード付け",J1949="巻足し",J1949="巻返しリード付け"),M1949,VLOOKUP(D1949,契約台帳!$A$3:$N$4986,14,FALSE))))</f>
        <v>1005</v>
      </c>
      <c r="S1949" s="272">
        <f ca="1">IF(D1949="","",IF(OFFSET(D1949,-1,0)&lt;&gt;"","",IF(OR(J1949="リード付け",J1949="巻足し",J1949="巻返しリード付け"),M1949,VLOOKUP(D1949,契約台帳!$A$3:$O$4986,15,FALSE))))</f>
        <v>1005</v>
      </c>
      <c r="T1949" s="273">
        <f ca="1">IF(D1949="","",IF(J1949="リード付け",N1949,IF(J1949="巻返しリード付け",N1949,IF(J1949="巻足し",N1949*P1949+OFFSET(N1949,1,0)*OFFSET(P1949,1,0),VLOOKUP(D1949,契約台帳!$A$3:$P$4986,16,FALSE)))))</f>
        <v>8000</v>
      </c>
      <c r="U1949" s="40">
        <v>2</v>
      </c>
      <c r="V1949" s="274">
        <f ca="1">IF(D1949="","",IF(OFFSET(D1949,-2,0)=D1949,"",VLOOKUP(D1949,契約台帳!$A$3:$R$4986,18,FALSE)))</f>
        <v>4</v>
      </c>
      <c r="W1949" s="269" t="str">
        <f ca="1">IF(D1949="","",IF(T1949="","",IF(OR(J1949="巻足し",J1949="巻返しリード付け"),"",IF(J1949="巻返し",VLOOKUP(F1949&amp;K1949&amp;M1949,製品マスタ!$M$5:$AD$5002,18,FALSE),IF(OR(J1949="リード付け",J1949="巻返しリード付け"),"原反コア",IF(J1949="スリット",VLOOKUP(F1949&amp;K1949&amp;R1949,製品マスタ!$N$5:$AD$5002,17,FALSE),""))))))</f>
        <v/>
      </c>
      <c r="X1949" s="269" t="str">
        <f ca="1">IF(D1949="","",IF(T1949="","",IF(J1949="巻足し","",IF(J1949="巻返し",VLOOKUP(F1949&amp;K1949&amp;M1949,製品マスタ!$M$5:$AE$5002,19,FALSE),IF(OR(J1949="リード付け",J1949="巻返しリード付け"),"",IF(J1949="スリット",VLOOKUP(F1949&amp;K1949&amp;R1949,製品マスタ!$N$5:$AE$5002,18,FALSE),""))))))</f>
        <v/>
      </c>
      <c r="Y1949" s="275">
        <f ca="1">IF(D1949="","",IF(T1949="","",VLOOKUP(D1949,契約台帳!$A$3:$Q$4986,17,FALSE)))</f>
        <v>2</v>
      </c>
      <c r="Z1949" s="269" t="str">
        <f ca="1">IF(D1949="","",IF(T1949="","",VLOOKUP(D1949,契約台帳!$A$3:$E$4986,5,FALSE)))</f>
        <v>リンテック㈱</v>
      </c>
      <c r="AA1949" s="57"/>
      <c r="AB1949" s="207" t="s">
        <v>1083</v>
      </c>
      <c r="AC1949" s="33"/>
      <c r="AD1949" s="189"/>
      <c r="AE1949" s="54"/>
      <c r="AF1949" s="55">
        <f>+M1949*N1949*O1949/1000</f>
        <v>16080</v>
      </c>
      <c r="AG1949" s="43"/>
      <c r="AH1949" s="47"/>
      <c r="AI1949" s="30"/>
      <c r="AJ1949" s="30"/>
      <c r="AK1949" s="30"/>
      <c r="AL1949" s="30"/>
      <c r="AM1949" s="13"/>
      <c r="AN1949" s="13"/>
      <c r="AO1949" s="13"/>
      <c r="AP1949" s="13"/>
      <c r="AQ1949" s="13"/>
      <c r="AR1949" s="14"/>
      <c r="AS1949" s="15"/>
    </row>
    <row r="1950" spans="1:45" s="17" customFormat="1" ht="30.95" hidden="1" customHeight="1" x14ac:dyDescent="0.2">
      <c r="A1950" s="343"/>
      <c r="B1950" s="344"/>
      <c r="C1950" s="345"/>
      <c r="D1950" s="346"/>
      <c r="E1950" s="346"/>
      <c r="F1950" s="268"/>
      <c r="G1950" s="269"/>
      <c r="H1950" s="269"/>
      <c r="I1950" s="270"/>
      <c r="J1950" s="434"/>
      <c r="K1950" s="270"/>
      <c r="L1950" s="270"/>
      <c r="M1950" s="348"/>
      <c r="N1950" s="348"/>
      <c r="O1950" s="435"/>
      <c r="P1950" s="349"/>
      <c r="Q1950" s="350"/>
      <c r="R1950" s="271"/>
      <c r="S1950" s="272"/>
      <c r="T1950" s="273"/>
      <c r="U1950" s="351"/>
      <c r="V1950" s="274"/>
      <c r="W1950" s="269"/>
      <c r="X1950" s="269"/>
      <c r="Y1950" s="275"/>
      <c r="Z1950" s="269"/>
      <c r="AA1950" s="350"/>
      <c r="AB1950" s="207"/>
      <c r="AC1950" s="352"/>
      <c r="AD1950" s="353"/>
      <c r="AE1950" s="54"/>
      <c r="AF1950" s="354"/>
      <c r="AG1950" s="355"/>
      <c r="AH1950" s="349"/>
      <c r="AI1950" s="30"/>
      <c r="AJ1950" s="30"/>
      <c r="AK1950" s="30"/>
      <c r="AL1950" s="30"/>
      <c r="AM1950" s="13"/>
      <c r="AN1950" s="13"/>
      <c r="AO1950" s="13"/>
      <c r="AP1950" s="13"/>
      <c r="AQ1950" s="13"/>
      <c r="AR1950" s="14"/>
      <c r="AS1950" s="15"/>
    </row>
    <row r="1951" spans="1:45" s="17" customFormat="1" ht="30.6" hidden="1" customHeight="1" x14ac:dyDescent="0.2">
      <c r="A1951" s="37"/>
      <c r="B1951" s="38"/>
      <c r="C1951" s="45"/>
      <c r="D1951" s="31">
        <v>3754088</v>
      </c>
      <c r="E1951" s="31">
        <v>4162305</v>
      </c>
      <c r="F1951" s="268" t="str">
        <f>IF(D1951="","",VLOOKUP(D1951,契約台帳!$A$3:$K$4986,6,FALSE)&amp;VLOOKUP(D1951,契約台帳!$A$3:$K$4986,7,FALSE)&amp;VLOOKUP(D1951,契約台帳!$A$3:$K$4986,8,FALSE)&amp;VLOOKUP(D1951,契約台帳!$A$3:$K$4986,9,FALSE)&amp;VLOOKUP(D1951,契約台帳!$A$3:$K$4986,11,FALSE))</f>
        <v>3SNMLBMNNGKBF</v>
      </c>
      <c r="G1951" s="269" t="str">
        <f>IF(D1951="","",VLOOKUP(F1951,製品マスタ!$G$5:$H$5002,2,FALSE))</f>
        <v>S</v>
      </c>
      <c r="H1951" s="269" t="str">
        <f>IF(D1951="","",VLOOKUP(F1951,製品マスタ!$G$5:$K$5002,5,FALSE))</f>
        <v>MNNGKBF</v>
      </c>
      <c r="I1951" s="270" t="str">
        <f>IF(D1951="","",VLOOKUP(F1951,製品マスタ!$G$5:$L$5002,6,FALSE))</f>
        <v>メタルミー　ニューネーマー銀消　Ｂ</v>
      </c>
      <c r="J1951" s="210" t="s">
        <v>935</v>
      </c>
      <c r="K1951" s="270">
        <f>IF(D1951="","",VLOOKUP(D1951,契約台帳!$A$3:$L$4986,12,FALSE))</f>
        <v>50</v>
      </c>
      <c r="L1951" s="270" t="str">
        <f>IF(D1951="","",INDEX(製品マスタ!$Q$5:$Q$5002,MATCH('S4'!F1951&amp;'S4'!K1951,製品マスタ!$AO$5:$AO$5002,0)))</f>
        <v>X44</v>
      </c>
      <c r="M1951" s="39">
        <v>1000</v>
      </c>
      <c r="N1951" s="39">
        <v>4000</v>
      </c>
      <c r="O1951" s="156">
        <v>6</v>
      </c>
      <c r="P1951" s="47">
        <v>3</v>
      </c>
      <c r="Q1951" s="213">
        <v>45422</v>
      </c>
      <c r="R1951" s="271">
        <f ca="1">IF(D1951="","",IF(OFFSET(D1951,-1,0)&lt;&gt;"","",IF(OR(J1951="リード付け",J1951="巻足し",J1951="巻返しリード付け"),M1951,VLOOKUP(D1951,契約台帳!$A$3:$N$4986,14,FALSE))))</f>
        <v>1000</v>
      </c>
      <c r="S1951" s="272">
        <f ca="1">IF(D1951="","",IF(OFFSET(D1951,-1,0)&lt;&gt;"","",IF(OR(J1951="リード付け",J1951="巻足し",J1951="巻返しリード付け"),M1951,VLOOKUP(D1951,契約台帳!$A$3:$O$4986,15,FALSE))))</f>
        <v>1000</v>
      </c>
      <c r="T1951" s="273">
        <f ca="1">IF(D1951="","",IF(J1951="リード付け",N1951,IF(J1951="巻返しリード付け",N1951,IF(J1951="巻足し",N1951*P1951+OFFSET(N1951,1,0)*OFFSET(P1951,1,0),VLOOKUP(D1951,契約台帳!$A$3:$P$4986,16,FALSE)))))</f>
        <v>12000</v>
      </c>
      <c r="U1951" s="40">
        <v>2</v>
      </c>
      <c r="V1951" s="274">
        <f ca="1">IF(D1951="","",IF(OFFSET(D1951,-2,0)=D1951,"",VLOOKUP(D1951,契約台帳!$A$3:$R$4986,18,FALSE)))</f>
        <v>24</v>
      </c>
      <c r="W1951" s="269" t="str">
        <f ca="1">IF(D1951="","",IF(T1951="","",IF(OR(J1951="巻足し",J1951="巻返しリード付け"),"",IF(J1951="巻返し",VLOOKUP(F1951&amp;K1951&amp;M1951,製品マスタ!$M$5:$AD$5002,18,FALSE),IF(OR(J1951="リード付け",J1951="巻返しリード付け"),"原反コア",IF(J1951="スリット",VLOOKUP(F1951&amp;K1951&amp;R1951,製品マスタ!$N$5:$AD$5002,17,FALSE),""))))))</f>
        <v/>
      </c>
      <c r="X1951" s="269" t="str">
        <f ca="1">IF(D1951="","",IF(T1951="","",IF(J1951="巻足し","",IF(J1951="巻返し",VLOOKUP(F1951&amp;K1951&amp;M1951,製品マスタ!$M$5:$AE$5002,19,FALSE),IF(OR(J1951="リード付け",J1951="巻返しリード付け"),"",IF(J1951="スリット",VLOOKUP(F1951&amp;K1951&amp;R1951,製品マスタ!$N$5:$AE$5002,18,FALSE),""))))))</f>
        <v/>
      </c>
      <c r="Y1951" s="275">
        <f ca="1">IF(D1951="","",IF(T1951="","",VLOOKUP(D1951,契約台帳!$A$3:$Q$4986,17,FALSE)))</f>
        <v>2</v>
      </c>
      <c r="Z1951" s="269" t="str">
        <f ca="1">IF(D1951="","",IF(T1951="","",VLOOKUP(D1951,契約台帳!$A$3:$E$4986,5,FALSE)))</f>
        <v>リンテック㈱</v>
      </c>
      <c r="AA1951" s="57"/>
      <c r="AB1951" s="207" t="str">
        <f>IFERROR((VLOOKUP(F1951&amp;K1951&amp;M1951,製品マスタ!$M$5:$AM$5002,27,FALSE)),"")</f>
        <v>原反ケース再利用</v>
      </c>
      <c r="AC1951" s="33"/>
      <c r="AD1951" s="189"/>
      <c r="AE1951" s="54"/>
      <c r="AF1951" s="55">
        <f>+M1951*N1951*O1951/1000</f>
        <v>24000</v>
      </c>
      <c r="AG1951" s="43"/>
      <c r="AH1951" s="47"/>
      <c r="AI1951" s="30"/>
      <c r="AJ1951" s="30"/>
      <c r="AK1951" s="30"/>
      <c r="AL1951" s="30"/>
      <c r="AM1951" s="13"/>
      <c r="AN1951" s="13"/>
      <c r="AO1951" s="13"/>
      <c r="AP1951" s="13"/>
      <c r="AQ1951" s="13"/>
      <c r="AR1951" s="14"/>
      <c r="AS1951" s="15"/>
    </row>
    <row r="1952" spans="1:45" s="17" customFormat="1" ht="30.95" hidden="1" customHeight="1" x14ac:dyDescent="0.2">
      <c r="A1952" s="343"/>
      <c r="B1952" s="344"/>
      <c r="C1952" s="345"/>
      <c r="D1952" s="346"/>
      <c r="E1952" s="346"/>
      <c r="F1952" s="268"/>
      <c r="G1952" s="269"/>
      <c r="H1952" s="269"/>
      <c r="I1952" s="270"/>
      <c r="J1952" s="434"/>
      <c r="K1952" s="270"/>
      <c r="L1952" s="270"/>
      <c r="M1952" s="348"/>
      <c r="N1952" s="348"/>
      <c r="O1952" s="435"/>
      <c r="P1952" s="349"/>
      <c r="Q1952" s="350"/>
      <c r="R1952" s="271"/>
      <c r="S1952" s="272"/>
      <c r="T1952" s="273"/>
      <c r="U1952" s="351"/>
      <c r="V1952" s="274"/>
      <c r="W1952" s="269"/>
      <c r="X1952" s="269"/>
      <c r="Y1952" s="275"/>
      <c r="Z1952" s="269"/>
      <c r="AA1952" s="350"/>
      <c r="AB1952" s="207"/>
      <c r="AC1952" s="352"/>
      <c r="AD1952" s="353"/>
      <c r="AE1952" s="54"/>
      <c r="AF1952" s="354"/>
      <c r="AG1952" s="355"/>
      <c r="AH1952" s="349"/>
      <c r="AI1952" s="30"/>
      <c r="AJ1952" s="30"/>
      <c r="AK1952" s="30"/>
      <c r="AL1952" s="30"/>
      <c r="AM1952" s="13"/>
      <c r="AN1952" s="13"/>
      <c r="AO1952" s="13"/>
      <c r="AP1952" s="13"/>
      <c r="AQ1952" s="13"/>
      <c r="AR1952" s="14"/>
      <c r="AS1952" s="15"/>
    </row>
    <row r="1953" spans="1:45" s="17" customFormat="1" ht="30.95" hidden="1" customHeight="1" x14ac:dyDescent="0.2">
      <c r="A1953" s="343" t="s">
        <v>2772</v>
      </c>
      <c r="B1953" s="344" t="s">
        <v>2773</v>
      </c>
      <c r="C1953" s="345"/>
      <c r="D1953" s="346"/>
      <c r="E1953" s="346"/>
      <c r="F1953" s="268"/>
      <c r="G1953" s="269"/>
      <c r="H1953" s="269"/>
      <c r="I1953" s="270"/>
      <c r="J1953" s="434" t="s">
        <v>2774</v>
      </c>
      <c r="K1953" s="270"/>
      <c r="L1953" s="270"/>
      <c r="M1953" s="348"/>
      <c r="N1953" s="348"/>
      <c r="O1953" s="435"/>
      <c r="P1953" s="349"/>
      <c r="Q1953" s="350"/>
      <c r="R1953" s="271"/>
      <c r="S1953" s="272"/>
      <c r="T1953" s="273"/>
      <c r="U1953" s="351"/>
      <c r="V1953" s="274"/>
      <c r="W1953" s="269"/>
      <c r="X1953" s="269"/>
      <c r="Y1953" s="275"/>
      <c r="Z1953" s="269"/>
      <c r="AA1953" s="350"/>
      <c r="AB1953" s="207"/>
      <c r="AC1953" s="352"/>
      <c r="AD1953" s="353"/>
      <c r="AE1953" s="54"/>
      <c r="AF1953" s="354"/>
      <c r="AG1953" s="355"/>
      <c r="AH1953" s="349"/>
      <c r="AI1953" s="30"/>
      <c r="AJ1953" s="30"/>
      <c r="AK1953" s="30"/>
      <c r="AL1953" s="30"/>
      <c r="AM1953" s="13"/>
      <c r="AN1953" s="13"/>
      <c r="AO1953" s="13"/>
      <c r="AP1953" s="13"/>
      <c r="AQ1953" s="13"/>
      <c r="AR1953" s="14"/>
      <c r="AS1953" s="15"/>
    </row>
    <row r="1954" spans="1:45" s="17" customFormat="1" ht="30.95" hidden="1" customHeight="1" x14ac:dyDescent="0.2">
      <c r="A1954" s="343"/>
      <c r="B1954" s="344"/>
      <c r="C1954" s="345"/>
      <c r="D1954" s="346"/>
      <c r="E1954" s="346"/>
      <c r="F1954" s="268"/>
      <c r="G1954" s="269"/>
      <c r="H1954" s="269"/>
      <c r="I1954" s="270"/>
      <c r="J1954" s="434"/>
      <c r="K1954" s="270"/>
      <c r="L1954" s="270"/>
      <c r="M1954" s="348"/>
      <c r="N1954" s="348"/>
      <c r="O1954" s="435"/>
      <c r="P1954" s="349"/>
      <c r="Q1954" s="350"/>
      <c r="R1954" s="271"/>
      <c r="S1954" s="272"/>
      <c r="T1954" s="273"/>
      <c r="U1954" s="351"/>
      <c r="V1954" s="274"/>
      <c r="W1954" s="269"/>
      <c r="X1954" s="269"/>
      <c r="Y1954" s="275"/>
      <c r="Z1954" s="269"/>
      <c r="AA1954" s="350"/>
      <c r="AB1954" s="207"/>
      <c r="AC1954" s="352"/>
      <c r="AD1954" s="353"/>
      <c r="AE1954" s="54"/>
      <c r="AF1954" s="354"/>
      <c r="AG1954" s="355"/>
      <c r="AH1954" s="349"/>
      <c r="AI1954" s="30"/>
      <c r="AJ1954" s="30"/>
      <c r="AK1954" s="30"/>
      <c r="AL1954" s="30"/>
      <c r="AM1954" s="13"/>
      <c r="AN1954" s="13"/>
      <c r="AO1954" s="13"/>
      <c r="AP1954" s="13"/>
      <c r="AQ1954" s="13"/>
      <c r="AR1954" s="14"/>
      <c r="AS1954" s="15"/>
    </row>
    <row r="1955" spans="1:45" s="17" customFormat="1" ht="30.6" hidden="1" customHeight="1" x14ac:dyDescent="0.2">
      <c r="A1955" s="37" t="s">
        <v>1124</v>
      </c>
      <c r="B1955" s="38" t="s">
        <v>462</v>
      </c>
      <c r="C1955" s="45"/>
      <c r="D1955" s="31">
        <v>3754088</v>
      </c>
      <c r="E1955" s="31">
        <v>4162305</v>
      </c>
      <c r="F1955" s="268" t="str">
        <f>IF(D1955="","",VLOOKUP(D1955,契約台帳!$A$3:$K$4986,6,FALSE)&amp;VLOOKUP(D1955,契約台帳!$A$3:$K$4986,7,FALSE)&amp;VLOOKUP(D1955,契約台帳!$A$3:$K$4986,8,FALSE)&amp;VLOOKUP(D1955,契約台帳!$A$3:$K$4986,9,FALSE)&amp;VLOOKUP(D1955,契約台帳!$A$3:$K$4986,11,FALSE))</f>
        <v>3SNMLBMNNGKBF</v>
      </c>
      <c r="G1955" s="269" t="str">
        <f>IF(D1955="","",VLOOKUP(F1955,製品マスタ!$G$5:$H$5002,2,FALSE))</f>
        <v>S</v>
      </c>
      <c r="H1955" s="269" t="str">
        <f>IF(D1955="","",VLOOKUP(F1955,製品マスタ!$G$5:$K$5002,5,FALSE))</f>
        <v>MNNGKBF</v>
      </c>
      <c r="I1955" s="270" t="str">
        <f>IF(D1955="","",VLOOKUP(F1955,製品マスタ!$G$5:$L$5002,6,FALSE))</f>
        <v>メタルミー　ニューネーマー銀消　Ｂ</v>
      </c>
      <c r="J1955" s="210" t="s">
        <v>935</v>
      </c>
      <c r="K1955" s="270">
        <f>IF(D1955="","",VLOOKUP(D1955,契約台帳!$A$3:$L$4986,12,FALSE))</f>
        <v>50</v>
      </c>
      <c r="L1955" s="270" t="str">
        <f>IF(D1955="","",INDEX(製品マスタ!$Q$5:$Q$5002,MATCH('S4'!F1955&amp;'S4'!K1955,製品マスタ!$AO$5:$AO$5002,0)))</f>
        <v>X44</v>
      </c>
      <c r="M1955" s="39">
        <v>1000</v>
      </c>
      <c r="N1955" s="39">
        <v>4000</v>
      </c>
      <c r="O1955" s="156">
        <v>18</v>
      </c>
      <c r="P1955" s="47">
        <v>3</v>
      </c>
      <c r="Q1955" s="213">
        <v>45422</v>
      </c>
      <c r="R1955" s="271">
        <f ca="1">IF(D1955="","",IF(OFFSET(D1955,-1,0)&lt;&gt;"","",IF(OR(J1955="リード付け",J1955="巻足し",J1955="巻返しリード付け"),M1955,VLOOKUP(D1955,契約台帳!$A$3:$N$4986,14,FALSE))))</f>
        <v>1000</v>
      </c>
      <c r="S1955" s="272">
        <f ca="1">IF(D1955="","",IF(OFFSET(D1955,-1,0)&lt;&gt;"","",IF(OR(J1955="リード付け",J1955="巻足し",J1955="巻返しリード付け"),M1955,VLOOKUP(D1955,契約台帳!$A$3:$O$4986,15,FALSE))))</f>
        <v>1000</v>
      </c>
      <c r="T1955" s="273">
        <f ca="1">IF(D1955="","",IF(J1955="リード付け",N1955,IF(J1955="巻返しリード付け",N1955,IF(J1955="巻足し",N1955*P1955+OFFSET(N1955,1,0)*OFFSET(P1955,1,0),VLOOKUP(D1955,契約台帳!$A$3:$P$4986,16,FALSE)))))</f>
        <v>12000</v>
      </c>
      <c r="U1955" s="40">
        <v>6</v>
      </c>
      <c r="V1955" s="274">
        <f ca="1">IF(D1955="","",IF(OFFSET(D1955,-2,0)=D1955,"",VLOOKUP(D1955,契約台帳!$A$3:$R$4986,18,FALSE)))</f>
        <v>24</v>
      </c>
      <c r="W1955" s="269" t="str">
        <f ca="1">IF(D1955="","",IF(T1955="","",IF(OR(J1955="巻足し",J1955="巻返しリード付け"),"",IF(J1955="巻返し",VLOOKUP(F1955&amp;K1955&amp;M1955,製品マスタ!$M$5:$AD$5002,18,FALSE),IF(OR(J1955="リード付け",J1955="巻返しリード付け"),"原反コア",IF(J1955="スリット",VLOOKUP(F1955&amp;K1955&amp;R1955,製品マスタ!$N$5:$AD$5002,17,FALSE),""))))))</f>
        <v/>
      </c>
      <c r="X1955" s="269" t="str">
        <f ca="1">IF(D1955="","",IF(T1955="","",IF(J1955="巻足し","",IF(J1955="巻返し",VLOOKUP(F1955&amp;K1955&amp;M1955,製品マスタ!$M$5:$AE$5002,19,FALSE),IF(OR(J1955="リード付け",J1955="巻返しリード付け"),"",IF(J1955="スリット",VLOOKUP(F1955&amp;K1955&amp;R1955,製品マスタ!$N$5:$AE$5002,18,FALSE),""))))))</f>
        <v/>
      </c>
      <c r="Y1955" s="275">
        <f ca="1">IF(D1955="","",IF(T1955="","",VLOOKUP(D1955,契約台帳!$A$3:$Q$4986,17,FALSE)))</f>
        <v>2</v>
      </c>
      <c r="Z1955" s="269" t="str">
        <f ca="1">IF(D1955="","",IF(T1955="","",VLOOKUP(D1955,契約台帳!$A$3:$E$4986,5,FALSE)))</f>
        <v>リンテック㈱</v>
      </c>
      <c r="AA1955" s="57"/>
      <c r="AB1955" s="207" t="str">
        <f>IFERROR((VLOOKUP(F1955&amp;K1955&amp;M1955,製品マスタ!$M$5:$AM$5002,27,FALSE)),"")</f>
        <v>原反ケース再利用</v>
      </c>
      <c r="AC1955" s="33"/>
      <c r="AD1955" s="189"/>
      <c r="AE1955" s="54"/>
      <c r="AF1955" s="55">
        <f>+M1955*N1955*O1955/1000</f>
        <v>72000</v>
      </c>
      <c r="AG1955" s="43"/>
      <c r="AH1955" s="47"/>
      <c r="AI1955" s="30"/>
      <c r="AJ1955" s="30"/>
      <c r="AK1955" s="30"/>
      <c r="AL1955" s="30"/>
      <c r="AM1955" s="13"/>
      <c r="AN1955" s="13"/>
      <c r="AO1955" s="13"/>
      <c r="AP1955" s="13"/>
      <c r="AQ1955" s="13"/>
      <c r="AR1955" s="14"/>
      <c r="AS1955" s="15"/>
    </row>
    <row r="1956" spans="1:45" s="17" customFormat="1" ht="30.95" hidden="1" customHeight="1" x14ac:dyDescent="0.2">
      <c r="A1956" s="343"/>
      <c r="B1956" s="344"/>
      <c r="C1956" s="345"/>
      <c r="D1956" s="346"/>
      <c r="E1956" s="346"/>
      <c r="F1956" s="268"/>
      <c r="G1956" s="269"/>
      <c r="H1956" s="269"/>
      <c r="I1956" s="270"/>
      <c r="J1956" s="434"/>
      <c r="K1956" s="270"/>
      <c r="L1956" s="270"/>
      <c r="M1956" s="348"/>
      <c r="N1956" s="348"/>
      <c r="O1956" s="435"/>
      <c r="P1956" s="349"/>
      <c r="Q1956" s="350"/>
      <c r="R1956" s="271"/>
      <c r="S1956" s="272"/>
      <c r="T1956" s="273"/>
      <c r="U1956" s="351"/>
      <c r="V1956" s="274"/>
      <c r="W1956" s="269"/>
      <c r="X1956" s="269"/>
      <c r="Y1956" s="275"/>
      <c r="Z1956" s="269"/>
      <c r="AA1956" s="350"/>
      <c r="AB1956" s="207"/>
      <c r="AC1956" s="352"/>
      <c r="AD1956" s="353"/>
      <c r="AE1956" s="54"/>
      <c r="AF1956" s="354"/>
      <c r="AG1956" s="355"/>
      <c r="AH1956" s="349"/>
      <c r="AI1956" s="30"/>
      <c r="AJ1956" s="30"/>
      <c r="AK1956" s="30"/>
      <c r="AL1956" s="30"/>
      <c r="AM1956" s="13"/>
      <c r="AN1956" s="13"/>
      <c r="AO1956" s="13"/>
      <c r="AP1956" s="13"/>
      <c r="AQ1956" s="13"/>
      <c r="AR1956" s="14"/>
      <c r="AS1956" s="15"/>
    </row>
    <row r="1957" spans="1:45" s="17" customFormat="1" ht="30.6" hidden="1" customHeight="1" x14ac:dyDescent="0.2">
      <c r="A1957" s="37"/>
      <c r="B1957" s="38"/>
      <c r="C1957" s="45"/>
      <c r="D1957" s="31">
        <v>3755580</v>
      </c>
      <c r="E1957" s="31">
        <v>4162322</v>
      </c>
      <c r="F1957" s="268" t="s">
        <v>2786</v>
      </c>
      <c r="G1957" s="269" t="s">
        <v>2787</v>
      </c>
      <c r="H1957" s="269" t="s">
        <v>242</v>
      </c>
      <c r="I1957" s="270" t="s">
        <v>243</v>
      </c>
      <c r="J1957" s="210" t="s">
        <v>935</v>
      </c>
      <c r="K1957" s="270">
        <v>50</v>
      </c>
      <c r="L1957" s="270" t="s">
        <v>151</v>
      </c>
      <c r="M1957" s="39">
        <v>1255</v>
      </c>
      <c r="N1957" s="39">
        <v>6100</v>
      </c>
      <c r="O1957" s="156">
        <v>2</v>
      </c>
      <c r="P1957" s="47">
        <v>2</v>
      </c>
      <c r="Q1957" s="213">
        <v>45421</v>
      </c>
      <c r="R1957" s="271">
        <v>1255</v>
      </c>
      <c r="S1957" s="272">
        <v>1255</v>
      </c>
      <c r="T1957" s="273">
        <f ca="1">IF(D1957="","",IF(J1957="リード付け",N1957,IF(J1957="巻返しリード付け",N1957,IF(J1957="巻足し",N1957*P1957+OFFSET(N1957,1,0)*OFFSET(P1957,1,0),VLOOKUP(D1957,契約台帳!$A$3:$P$4986,16,FALSE)))))</f>
        <v>12200</v>
      </c>
      <c r="U1957" s="40">
        <v>1</v>
      </c>
      <c r="V1957" s="274">
        <v>2</v>
      </c>
      <c r="W1957" s="269" t="s">
        <v>928</v>
      </c>
      <c r="X1957" s="269" t="s">
        <v>928</v>
      </c>
      <c r="Y1957" s="275">
        <v>2</v>
      </c>
      <c r="Z1957" s="269" t="s">
        <v>61</v>
      </c>
      <c r="AA1957" s="57"/>
      <c r="AB1957" s="207" t="s">
        <v>774</v>
      </c>
      <c r="AC1957" s="33"/>
      <c r="AD1957" s="189"/>
      <c r="AE1957" s="54"/>
      <c r="AF1957" s="55">
        <v>15311</v>
      </c>
      <c r="AG1957" s="43"/>
      <c r="AH1957" s="47"/>
      <c r="AI1957" s="30"/>
      <c r="AJ1957" s="30"/>
      <c r="AK1957" s="30"/>
      <c r="AL1957" s="30"/>
      <c r="AM1957" s="13"/>
      <c r="AN1957" s="13"/>
      <c r="AO1957" s="13"/>
      <c r="AP1957" s="13"/>
      <c r="AQ1957" s="13"/>
      <c r="AR1957" s="14"/>
      <c r="AS1957" s="15"/>
    </row>
    <row r="1958" spans="1:45" s="17" customFormat="1" ht="30.95" hidden="1" customHeight="1" x14ac:dyDescent="0.2">
      <c r="A1958" s="343"/>
      <c r="B1958" s="344"/>
      <c r="C1958" s="345"/>
      <c r="D1958" s="346"/>
      <c r="E1958" s="346"/>
      <c r="F1958" s="268"/>
      <c r="G1958" s="269"/>
      <c r="H1958" s="269"/>
      <c r="I1958" s="270"/>
      <c r="J1958" s="434"/>
      <c r="K1958" s="270"/>
      <c r="L1958" s="270"/>
      <c r="M1958" s="348"/>
      <c r="N1958" s="348"/>
      <c r="O1958" s="435"/>
      <c r="P1958" s="349"/>
      <c r="Q1958" s="350"/>
      <c r="R1958" s="271"/>
      <c r="S1958" s="272"/>
      <c r="T1958" s="273"/>
      <c r="U1958" s="351"/>
      <c r="V1958" s="274"/>
      <c r="W1958" s="269"/>
      <c r="X1958" s="269"/>
      <c r="Y1958" s="275"/>
      <c r="Z1958" s="269"/>
      <c r="AA1958" s="350"/>
      <c r="AB1958" s="207"/>
      <c r="AC1958" s="352"/>
      <c r="AD1958" s="353"/>
      <c r="AE1958" s="54"/>
      <c r="AF1958" s="354"/>
      <c r="AG1958" s="355"/>
      <c r="AH1958" s="349"/>
      <c r="AI1958" s="30"/>
      <c r="AJ1958" s="30"/>
      <c r="AK1958" s="30"/>
      <c r="AL1958" s="30"/>
      <c r="AM1958" s="13"/>
      <c r="AN1958" s="13"/>
      <c r="AO1958" s="13"/>
      <c r="AP1958" s="13"/>
      <c r="AQ1958" s="13"/>
      <c r="AR1958" s="14"/>
      <c r="AS1958" s="15"/>
    </row>
    <row r="1959" spans="1:45" s="17" customFormat="1" ht="30.6" hidden="1" customHeight="1" x14ac:dyDescent="0.2">
      <c r="A1959" s="37" t="s">
        <v>2791</v>
      </c>
      <c r="B1959" s="38" t="s">
        <v>2792</v>
      </c>
      <c r="C1959" s="45"/>
      <c r="D1959" s="31">
        <v>3754098</v>
      </c>
      <c r="E1959" s="31">
        <v>4141137</v>
      </c>
      <c r="F1959" s="268" t="str">
        <f>IF(D1959="","",VLOOKUP(D1959,契約台帳!$A$3:$K$4986,6,FALSE)&amp;VLOOKUP(D1959,契約台帳!$A$3:$K$4986,7,FALSE)&amp;VLOOKUP(D1959,契約台帳!$A$3:$K$4986,8,FALSE)&amp;VLOOKUP(D1959,契約台帳!$A$3:$K$4986,9,FALSE)&amp;VLOOKUP(D1959,契約台帳!$A$3:$K$4986,11,FALSE))</f>
        <v>3SNMCLBMSNEYK</v>
      </c>
      <c r="G1959" s="269" t="str">
        <f>IF(D1959="","",VLOOKUP(F1959,製品マスタ!$G$5:$H$5002,2,FALSE))</f>
        <v>S</v>
      </c>
      <c r="H1959" s="269" t="str">
        <f>IF(D1959="","",VLOOKUP(F1959,製品マスタ!$G$5:$K$5002,5,FALSE))</f>
        <v>MSNEYK</v>
      </c>
      <c r="I1959" s="270" t="str">
        <f>IF(D1959="","",VLOOKUP(F1959,製品マスタ!$G$5:$L$5002,6,FALSE))</f>
        <v>ＭＳＮ　ＥＹＫ</v>
      </c>
      <c r="J1959" s="210" t="s">
        <v>463</v>
      </c>
      <c r="K1959" s="270">
        <f>IF(D1959="","",VLOOKUP(D1959,契約台帳!$A$3:$L$4986,12,FALSE))</f>
        <v>100</v>
      </c>
      <c r="L1959" s="270" t="s">
        <v>1759</v>
      </c>
      <c r="M1959" s="39">
        <v>1205</v>
      </c>
      <c r="N1959" s="39">
        <v>5000</v>
      </c>
      <c r="O1959" s="156">
        <v>1</v>
      </c>
      <c r="P1959" s="47">
        <v>1</v>
      </c>
      <c r="Q1959" s="57"/>
      <c r="R1959" s="271">
        <f ca="1">IF(D1959="","",IF(OFFSET(D1959,-1,0)&lt;&gt;"","",IF(OR(J1959="リード付け",J1959="巻足し",J1959="巻返しリード付け"),M1959,VLOOKUP(D1959,契約台帳!$A$3:$N$4986,14,FALSE))))</f>
        <v>1205</v>
      </c>
      <c r="S1959" s="272">
        <f ca="1">IF(D1959="","",IF(OFFSET(D1959,-1,0)&lt;&gt;"","",IF(OR(J1959="リード付け",J1959="巻足し",J1959="巻返しリード付け"),M1959,VLOOKUP(D1959,契約台帳!$A$3:$O$4986,15,FALSE))))</f>
        <v>1205</v>
      </c>
      <c r="T1959" s="273">
        <f ca="1">IF(D1959="","",IF(J1959="リード付け",N1959,IF(J1959="巻返しリード付け",N1959,IF(J1959="巻足し",N1959*P1959+OFFSET(N1959,1,0)*OFFSET(P1959,1,0),VLOOKUP(D1959,契約台帳!$A$3:$P$4986,16,FALSE)))))</f>
        <v>2500</v>
      </c>
      <c r="U1959" s="40">
        <v>2</v>
      </c>
      <c r="V1959" s="274">
        <f ca="1">IF(D1959="","",IF(OFFSET(D1959,-2,0)=D1959,"",VLOOKUP(D1959,契約台帳!$A$3:$R$4986,18,FALSE)))</f>
        <v>2</v>
      </c>
      <c r="W1959" s="269" t="s">
        <v>829</v>
      </c>
      <c r="X1959" s="269">
        <v>1220</v>
      </c>
      <c r="Y1959" s="275">
        <f ca="1">IF(D1959="","",IF(T1959="","",VLOOKUP(D1959,契約台帳!$A$3:$Q$4986,17,FALSE)))</f>
        <v>2</v>
      </c>
      <c r="Z1959" s="269" t="str">
        <f ca="1">IF(D1959="","",IF(T1959="","",VLOOKUP(D1959,契約台帳!$A$3:$E$4986,5,FALSE)))</f>
        <v>マルウ接着㈱</v>
      </c>
      <c r="AA1959" s="57"/>
      <c r="AB1959" s="207"/>
      <c r="AC1959" s="33"/>
      <c r="AD1959" s="189"/>
      <c r="AE1959" s="54"/>
      <c r="AF1959" s="55"/>
      <c r="AG1959" s="43"/>
      <c r="AH1959" s="47"/>
      <c r="AI1959" s="30"/>
      <c r="AJ1959" s="30"/>
      <c r="AK1959" s="30"/>
      <c r="AL1959" s="30"/>
      <c r="AM1959" s="13"/>
      <c r="AN1959" s="13"/>
      <c r="AO1959" s="13"/>
      <c r="AP1959" s="13"/>
      <c r="AQ1959" s="13"/>
      <c r="AR1959" s="14"/>
      <c r="AS1959" s="15"/>
    </row>
    <row r="1960" spans="1:45" s="17" customFormat="1" ht="30.95" hidden="1" customHeight="1" x14ac:dyDescent="0.2">
      <c r="A1960" s="343"/>
      <c r="B1960" s="344"/>
      <c r="C1960" s="345"/>
      <c r="D1960" s="346"/>
      <c r="E1960" s="346"/>
      <c r="F1960" s="268"/>
      <c r="G1960" s="269"/>
      <c r="H1960" s="269"/>
      <c r="I1960" s="270"/>
      <c r="J1960" s="434"/>
      <c r="K1960" s="270"/>
      <c r="L1960" s="270"/>
      <c r="M1960" s="348"/>
      <c r="N1960" s="348"/>
      <c r="O1960" s="435"/>
      <c r="P1960" s="349"/>
      <c r="Q1960" s="350"/>
      <c r="R1960" s="271"/>
      <c r="S1960" s="272"/>
      <c r="T1960" s="273"/>
      <c r="U1960" s="351"/>
      <c r="V1960" s="274"/>
      <c r="W1960" s="269"/>
      <c r="X1960" s="269"/>
      <c r="Y1960" s="275"/>
      <c r="Z1960" s="269"/>
      <c r="AA1960" s="350"/>
      <c r="AB1960" s="207"/>
      <c r="AC1960" s="352"/>
      <c r="AD1960" s="353"/>
      <c r="AE1960" s="54"/>
      <c r="AF1960" s="354"/>
      <c r="AG1960" s="355"/>
      <c r="AH1960" s="349"/>
      <c r="AI1960" s="30"/>
      <c r="AJ1960" s="30"/>
      <c r="AK1960" s="30"/>
      <c r="AL1960" s="30"/>
      <c r="AM1960" s="13"/>
      <c r="AN1960" s="13"/>
      <c r="AO1960" s="13"/>
      <c r="AP1960" s="13"/>
      <c r="AQ1960" s="13"/>
      <c r="AR1960" s="14"/>
      <c r="AS1960" s="15"/>
    </row>
    <row r="1961" spans="1:45" s="17" customFormat="1" ht="30.95" hidden="1" customHeight="1" x14ac:dyDescent="0.2">
      <c r="A1961" s="37"/>
      <c r="B1961" s="38"/>
      <c r="C1961" s="45"/>
      <c r="D1961" s="31">
        <v>3754097</v>
      </c>
      <c r="E1961" s="31">
        <v>4141143</v>
      </c>
      <c r="F1961" s="268" t="str">
        <f>IF(D1961="","",VLOOKUP(D1961,契約台帳!$A$3:$K$4986,6,FALSE)&amp;VLOOKUP(D1961,契約台帳!$A$3:$K$4986,7,FALSE)&amp;VLOOKUP(D1961,契約台帳!$A$3:$K$4986,8,FALSE)&amp;VLOOKUP(D1961,契約台帳!$A$3:$K$4986,9,FALSE)&amp;VLOOKUP(D1961,契約台帳!$A$3:$K$4986,11,FALSE))</f>
        <v>3SNCLBLMEYK</v>
      </c>
      <c r="G1961" s="269" t="str">
        <f>IF(D1961="","",VLOOKUP(F1961,製品マスタ!$G$5:$H$5002,2,FALSE))</f>
        <v>S</v>
      </c>
      <c r="H1961" s="269" t="str">
        <f>IF(D1961="","",VLOOKUP(F1961,製品マスタ!$G$5:$K$5002,5,FALSE))</f>
        <v>LMEYK</v>
      </c>
      <c r="I1961" s="270" t="str">
        <f>IF(D1961="","",VLOOKUP(F1961,製品マスタ!$G$5:$L$5002,6,FALSE))</f>
        <v>ルミマットＥＹＫ</v>
      </c>
      <c r="J1961" s="210" t="s">
        <v>447</v>
      </c>
      <c r="K1961" s="270">
        <f>IF(D1961="","",VLOOKUP(D1961,契約台帳!$A$3:$L$4986,12,FALSE))</f>
        <v>38</v>
      </c>
      <c r="L1961" s="270" t="str">
        <f>IF(D1961="","",INDEX(製品マスタ!$Q$5:$Q$5002,MATCH('S4'!F1961&amp;'S4'!K1961,製品マスタ!$AO$5:$AO$5002,0)))</f>
        <v>LUMIMAT</v>
      </c>
      <c r="M1961" s="39">
        <v>1005</v>
      </c>
      <c r="N1961" s="39">
        <v>8000</v>
      </c>
      <c r="O1961" s="156">
        <v>1</v>
      </c>
      <c r="P1961" s="47">
        <v>1</v>
      </c>
      <c r="Q1961" s="57"/>
      <c r="R1961" s="271">
        <f ca="1">IF(D1961="","",IF(OFFSET(D1961,-1,0)&lt;&gt;"","",IF(OR(J1961="リード付け",J1961="巻足し",J1961="巻返しリード付け"),M1961,VLOOKUP(D1961,契約台帳!$A$3:$N$4986,14,FALSE))))</f>
        <v>1005</v>
      </c>
      <c r="S1961" s="272">
        <f ca="1">IF(D1961="","",IF(OFFSET(D1961,-1,0)&lt;&gt;"","",IF(OR(J1961="リード付け",J1961="巻足し",J1961="巻返しリード付け"),M1961,VLOOKUP(D1961,契約台帳!$A$3:$O$4986,15,FALSE))))</f>
        <v>1000</v>
      </c>
      <c r="T1961" s="273">
        <f ca="1">IF(D1961="","",IF(J1961="リード付け",N1961,IF(J1961="巻返しリード付け",N1961,IF(J1961="巻足し",N1961*P1961+OFFSET(N1961,1,0)*OFFSET(P1961,1,0),VLOOKUP(D1961,契約台帳!$A$3:$P$4986,16,FALSE)))))</f>
        <v>4000</v>
      </c>
      <c r="U1961" s="40">
        <v>2</v>
      </c>
      <c r="V1961" s="274">
        <f ca="1">IF(D1961="","",IF(OFFSET(D1961,-2,0)=D1961,"",VLOOKUP(D1961,契約台帳!$A$3:$R$4986,18,FALSE)))</f>
        <v>2</v>
      </c>
      <c r="W1961" s="269" t="str">
        <f ca="1">IF(D1961="","",IF(T1961="","",IF(OR(J1961="巻足し",J1961="巻返しリード付け"),"",IF(J1961="巻返し",VLOOKUP(F1961&amp;K1961&amp;M1961,製品マスタ!$M$5:$AD$5002,18,FALSE),IF(OR(J1961="リード付け",J1961="巻返しリード付け"),"原反コア",IF(J1961="スリット",VLOOKUP(F1961&amp;K1961&amp;R1961,製品マスタ!$N$5:$AD$5002,17,FALSE),""))))))</f>
        <v>3ｲﾝﾁSｺｱ</v>
      </c>
      <c r="X1961" s="269">
        <f ca="1">IF(D1961="","",IF(T1961="","",IF(J1961="巻足し","",IF(J1961="巻返し",VLOOKUP(F1961&amp;K1961&amp;M1961,製品マスタ!$M$5:$AE$5002,19,FALSE),IF(OR(J1961="リード付け",J1961="巻返しリード付け"),"",IF(J1961="スリット",VLOOKUP(F1961&amp;K1961&amp;R1961,製品マスタ!$N$5:$AE$5002,18,FALSE),""))))))</f>
        <v>1015</v>
      </c>
      <c r="Y1961" s="275">
        <f ca="1">IF(D1961="","",IF(T1961="","",VLOOKUP(D1961,契約台帳!$A$3:$Q$4986,17,FALSE)))</f>
        <v>2</v>
      </c>
      <c r="Z1961" s="269" t="str">
        <f ca="1">IF(D1961="","",IF(T1961="","",VLOOKUP(D1961,契約台帳!$A$3:$E$4986,5,FALSE)))</f>
        <v>リンテック㈱</v>
      </c>
      <c r="AA1961" s="57"/>
      <c r="AB1961" s="207"/>
      <c r="AC1961" s="33"/>
      <c r="AD1961" s="189"/>
      <c r="AE1961" s="54"/>
      <c r="AF1961" s="55"/>
      <c r="AG1961" s="43"/>
      <c r="AH1961" s="47"/>
      <c r="AI1961" s="30"/>
      <c r="AJ1961" s="30"/>
      <c r="AK1961" s="30"/>
      <c r="AL1961" s="30"/>
      <c r="AM1961" s="13"/>
      <c r="AN1961" s="13"/>
      <c r="AO1961" s="13"/>
      <c r="AP1961" s="13"/>
      <c r="AQ1961" s="13"/>
      <c r="AR1961" s="14"/>
      <c r="AS1961" s="15"/>
    </row>
    <row r="1962" spans="1:45" s="17" customFormat="1" ht="30.95" hidden="1" customHeight="1" x14ac:dyDescent="0.2">
      <c r="A1962" s="343"/>
      <c r="B1962" s="344"/>
      <c r="C1962" s="345"/>
      <c r="D1962" s="346"/>
      <c r="E1962" s="346"/>
      <c r="F1962" s="268"/>
      <c r="G1962" s="269"/>
      <c r="H1962" s="269"/>
      <c r="I1962" s="270"/>
      <c r="J1962" s="434"/>
      <c r="K1962" s="270"/>
      <c r="L1962" s="270"/>
      <c r="M1962" s="348"/>
      <c r="N1962" s="348"/>
      <c r="O1962" s="435"/>
      <c r="P1962" s="349"/>
      <c r="Q1962" s="350"/>
      <c r="R1962" s="271"/>
      <c r="S1962" s="272"/>
      <c r="T1962" s="273"/>
      <c r="U1962" s="351"/>
      <c r="V1962" s="274"/>
      <c r="W1962" s="269"/>
      <c r="X1962" s="269"/>
      <c r="Y1962" s="275"/>
      <c r="Z1962" s="269"/>
      <c r="AA1962" s="350"/>
      <c r="AB1962" s="207"/>
      <c r="AC1962" s="352"/>
      <c r="AD1962" s="353"/>
      <c r="AE1962" s="54"/>
      <c r="AF1962" s="354"/>
      <c r="AG1962" s="355"/>
      <c r="AH1962" s="349"/>
      <c r="AI1962" s="30"/>
      <c r="AJ1962" s="30"/>
      <c r="AK1962" s="30"/>
      <c r="AL1962" s="30"/>
      <c r="AM1962" s="13"/>
      <c r="AN1962" s="13"/>
      <c r="AO1962" s="13"/>
      <c r="AP1962" s="13"/>
      <c r="AQ1962" s="13"/>
      <c r="AR1962" s="14"/>
      <c r="AS1962" s="15"/>
    </row>
    <row r="1963" spans="1:45" s="17" customFormat="1" ht="30.95" hidden="1" customHeight="1" x14ac:dyDescent="0.2">
      <c r="A1963" s="37" t="s">
        <v>1127</v>
      </c>
      <c r="B1963" s="38" t="s">
        <v>442</v>
      </c>
      <c r="C1963" s="45"/>
      <c r="D1963" s="31">
        <v>3754104</v>
      </c>
      <c r="E1963" s="31">
        <v>4141141</v>
      </c>
      <c r="F1963" s="268" t="str">
        <f>IF(D1963="","",VLOOKUP(D1963,契約台帳!$A$3:$K$4986,6,FALSE)&amp;VLOOKUP(D1963,契約台帳!$A$3:$K$4986,7,FALSE)&amp;VLOOKUP(D1963,契約台帳!$A$3:$K$4986,8,FALSE)&amp;VLOOKUP(D1963,契約台帳!$A$3:$K$4986,9,FALSE)&amp;VLOOKUP(D1963,契約台帳!$A$3:$K$4986,11,FALSE))</f>
        <v>3SNMCLBNGTVB</v>
      </c>
      <c r="G1963" s="269" t="str">
        <f>IF(D1963="","",VLOOKUP(F1963,製品マスタ!$G$5:$H$5002,2,FALSE))</f>
        <v>S</v>
      </c>
      <c r="H1963" s="269" t="str">
        <f>IF(D1963="","",VLOOKUP(F1963,製品マスタ!$G$5:$K$5002,5,FALSE))</f>
        <v>NGTVB</v>
      </c>
      <c r="I1963" s="270" t="str">
        <f>IF(D1963="","",VLOOKUP(F1963,製品マスタ!$G$5:$L$5002,6,FALSE))</f>
        <v>メタルミー　ネーマー　銀艶ＶＢ</v>
      </c>
      <c r="J1963" s="210" t="s">
        <v>463</v>
      </c>
      <c r="K1963" s="270">
        <f>IF(D1963="","",VLOOKUP(D1963,契約台帳!$A$3:$L$4986,12,FALSE))</f>
        <v>50</v>
      </c>
      <c r="L1963" s="270" t="str">
        <f>IF(D1963="","",INDEX(製品マスタ!$Q$5:$Q$5002,MATCH('S4'!F1963&amp;'S4'!K1963,製品マスタ!$AO$5:$AO$5002,0)))</f>
        <v>T62M</v>
      </c>
      <c r="M1963" s="39">
        <v>1040</v>
      </c>
      <c r="N1963" s="39">
        <v>6000</v>
      </c>
      <c r="O1963" s="156">
        <v>1</v>
      </c>
      <c r="P1963" s="47">
        <v>1</v>
      </c>
      <c r="Q1963" s="57"/>
      <c r="R1963" s="271">
        <f ca="1">IF(D1963="","",IF(OFFSET(D1963,-1,0)&lt;&gt;"","",IF(OR(J1963="リード付け",J1963="巻足し",J1963="巻返しリード付け"),M1963,VLOOKUP(D1963,契約台帳!$A$3:$N$4986,14,FALSE))))</f>
        <v>1000</v>
      </c>
      <c r="S1963" s="272">
        <f ca="1">IF(D1963="","",IF(OFFSET(D1963,-1,0)&lt;&gt;"","",IF(OR(J1963="リード付け",J1963="巻足し",J1963="巻返しリード付け"),M1963,VLOOKUP(D1963,契約台帳!$A$3:$O$4986,15,FALSE))))</f>
        <v>1000</v>
      </c>
      <c r="T1963" s="273">
        <f ca="1">IF(D1963="","",IF(J1963="リード付け",N1963,IF(J1963="巻返しリード付け",N1963,IF(J1963="巻足し",N1963*P1963+OFFSET(N1963,1,0)*OFFSET(P1963,1,0),VLOOKUP(D1963,契約台帳!$A$3:$P$4986,16,FALSE)))))</f>
        <v>3000</v>
      </c>
      <c r="U1963" s="40">
        <v>2</v>
      </c>
      <c r="V1963" s="274">
        <f ca="1">IF(D1963="","",IF(OFFSET(D1963,-2,0)=D1963,"",VLOOKUP(D1963,契約台帳!$A$3:$R$4986,18,FALSE)))</f>
        <v>2</v>
      </c>
      <c r="W1963" s="269" t="str">
        <f ca="1">IF(D1963="","",IF(T1963="","",IF(OR(J1963="巻足し",J1963="巻返しリード付け"),"",IF(J1963="巻返し",VLOOKUP(F1963&amp;K1963&amp;M1963,製品マスタ!$M$5:$AD$5002,18,FALSE),IF(OR(J1963="リード付け",J1963="巻返しリード付け"),"原反コア",IF(J1963="スリット",VLOOKUP(F1963&amp;K1963&amp;R1963,製品マスタ!$N$5:$AD$5002,17,FALSE),""))))))</f>
        <v>6ｲﾝﾁMｺｱ</v>
      </c>
      <c r="X1963" s="269">
        <f ca="1">IF(D1963="","",IF(T1963="","",IF(J1963="巻足し","",IF(J1963="巻返し",VLOOKUP(F1963&amp;K1963&amp;M1963,製品マスタ!$M$5:$AE$5002,19,FALSE),IF(OR(J1963="リード付け",J1963="巻返しリード付け"),"",IF(J1963="スリット",VLOOKUP(F1963&amp;K1963&amp;R1963,製品マスタ!$N$5:$AE$5002,18,FALSE),""))))))</f>
        <v>1015</v>
      </c>
      <c r="Y1963" s="275">
        <f ca="1">IF(D1963="","",IF(T1963="","",VLOOKUP(D1963,契約台帳!$A$3:$Q$4986,17,FALSE)))</f>
        <v>2</v>
      </c>
      <c r="Z1963" s="269" t="str">
        <f ca="1">IF(D1963="","",IF(T1963="","",VLOOKUP(D1963,契約台帳!$A$3:$E$4986,5,FALSE)))</f>
        <v>リンテック㈱</v>
      </c>
      <c r="AA1963" s="57"/>
      <c r="AB1963" s="207"/>
      <c r="AC1963" s="33"/>
      <c r="AD1963" s="189"/>
      <c r="AE1963" s="54"/>
      <c r="AF1963" s="55"/>
      <c r="AG1963" s="43"/>
      <c r="AH1963" s="47"/>
      <c r="AI1963" s="30"/>
      <c r="AJ1963" s="30"/>
      <c r="AK1963" s="30"/>
      <c r="AL1963" s="30"/>
      <c r="AM1963" s="13"/>
      <c r="AN1963" s="13"/>
      <c r="AO1963" s="13"/>
      <c r="AP1963" s="13"/>
      <c r="AQ1963" s="13"/>
      <c r="AR1963" s="14"/>
      <c r="AS1963" s="15"/>
    </row>
    <row r="1964" spans="1:45" s="17" customFormat="1" ht="30.95" hidden="1" customHeight="1" x14ac:dyDescent="0.2">
      <c r="A1964" s="343"/>
      <c r="B1964" s="344"/>
      <c r="C1964" s="345"/>
      <c r="D1964" s="346"/>
      <c r="E1964" s="346"/>
      <c r="F1964" s="268"/>
      <c r="G1964" s="269"/>
      <c r="H1964" s="269"/>
      <c r="I1964" s="270"/>
      <c r="J1964" s="434"/>
      <c r="K1964" s="270"/>
      <c r="L1964" s="270"/>
      <c r="M1964" s="348"/>
      <c r="N1964" s="348"/>
      <c r="O1964" s="435"/>
      <c r="P1964" s="349"/>
      <c r="Q1964" s="350"/>
      <c r="R1964" s="271"/>
      <c r="S1964" s="272"/>
      <c r="T1964" s="273"/>
      <c r="U1964" s="351"/>
      <c r="V1964" s="274"/>
      <c r="W1964" s="269"/>
      <c r="X1964" s="269"/>
      <c r="Y1964" s="275"/>
      <c r="Z1964" s="269"/>
      <c r="AA1964" s="350"/>
      <c r="AB1964" s="207"/>
      <c r="AC1964" s="352"/>
      <c r="AD1964" s="353"/>
      <c r="AE1964" s="54"/>
      <c r="AF1964" s="354"/>
      <c r="AG1964" s="355"/>
      <c r="AH1964" s="349"/>
      <c r="AI1964" s="30"/>
      <c r="AJ1964" s="30"/>
      <c r="AK1964" s="30"/>
      <c r="AL1964" s="30"/>
      <c r="AM1964" s="13"/>
      <c r="AN1964" s="13"/>
      <c r="AO1964" s="13"/>
      <c r="AP1964" s="13"/>
      <c r="AQ1964" s="13"/>
      <c r="AR1964" s="14"/>
      <c r="AS1964" s="15"/>
    </row>
    <row r="1965" spans="1:45" s="17" customFormat="1" ht="30.95" hidden="1" customHeight="1" x14ac:dyDescent="0.2">
      <c r="A1965" s="37"/>
      <c r="B1965" s="38"/>
      <c r="C1965" s="45"/>
      <c r="D1965" s="31">
        <v>3754102</v>
      </c>
      <c r="E1965" s="31">
        <v>4141135</v>
      </c>
      <c r="F1965" s="268" t="str">
        <f>IF(D1965="","",VLOOKUP(D1965,契約台帳!$A$3:$K$4986,6,FALSE)&amp;VLOOKUP(D1965,契約台帳!$A$3:$K$4986,7,FALSE)&amp;VLOOKUP(D1965,契約台帳!$A$3:$K$4986,8,FALSE)&amp;VLOOKUP(D1965,契約台帳!$A$3:$K$4986,9,FALSE)&amp;VLOOKUP(D1965,契約台帳!$A$3:$K$4986,11,FALSE))</f>
        <v>33SSNMCLBTETKFV</v>
      </c>
      <c r="G1965" s="269" t="str">
        <f>IF(D1965="","",VLOOKUP(F1965,製品マスタ!$G$5:$H$5002,2,FALSE))</f>
        <v>S</v>
      </c>
      <c r="H1965" s="269" t="str">
        <f>IF(D1965="","",VLOOKUP(F1965,製品マスタ!$G$5:$K$5002,5,FALSE))</f>
        <v>TETKFV</v>
      </c>
      <c r="I1965" s="270" t="str">
        <f>IF(D1965="","",VLOOKUP(F1965,製品マスタ!$G$5:$L$5002,6,FALSE))</f>
        <v>メタルミー　ＴＥＳ艶開封　Ｖ</v>
      </c>
      <c r="J1965" s="210" t="s">
        <v>447</v>
      </c>
      <c r="K1965" s="270">
        <f>IF(D1965="","",VLOOKUP(D1965,契約台帳!$A$3:$L$4986,12,FALSE))</f>
        <v>50</v>
      </c>
      <c r="L1965" s="270" t="s">
        <v>1759</v>
      </c>
      <c r="M1965" s="39">
        <v>1005</v>
      </c>
      <c r="N1965" s="39">
        <v>12000</v>
      </c>
      <c r="O1965" s="156">
        <v>2</v>
      </c>
      <c r="P1965" s="47">
        <v>2</v>
      </c>
      <c r="Q1965" s="57"/>
      <c r="R1965" s="271">
        <f ca="1">IF(D1965="","",IF(OFFSET(D1965,-1,0)&lt;&gt;"","",IF(OR(J1965="リード付け",J1965="巻足し",J1965="巻返しリード付け"),M1965,VLOOKUP(D1965,契約台帳!$A$3:$N$4986,14,FALSE))))</f>
        <v>1005</v>
      </c>
      <c r="S1965" s="272">
        <f ca="1">IF(D1965="","",IF(OFFSET(D1965,-1,0)&lt;&gt;"","",IF(OR(J1965="リード付け",J1965="巻足し",J1965="巻返しリード付け"),M1965,VLOOKUP(D1965,契約台帳!$A$3:$O$4986,15,FALSE))))</f>
        <v>1000</v>
      </c>
      <c r="T1965" s="273">
        <f ca="1">IF(D1965="","",IF(J1965="リード付け",N1965,IF(J1965="巻返しリード付け",N1965,IF(J1965="巻足し",N1965*P1965+OFFSET(N1965,1,0)*OFFSET(P1965,1,0),VLOOKUP(D1965,契約台帳!$A$3:$P$4986,16,FALSE)))))</f>
        <v>4100</v>
      </c>
      <c r="U1965" s="40">
        <v>6</v>
      </c>
      <c r="V1965" s="274">
        <f ca="1">IF(D1965="","",IF(OFFSET(D1965,-2,0)=D1965,"",VLOOKUP(D1965,契約台帳!$A$3:$R$4986,18,FALSE)))</f>
        <v>6</v>
      </c>
      <c r="W1965" s="269" t="s">
        <v>806</v>
      </c>
      <c r="X1965" s="269">
        <v>1015</v>
      </c>
      <c r="Y1965" s="275">
        <f ca="1">IF(D1965="","",IF(T1965="","",VLOOKUP(D1965,契約台帳!$A$3:$Q$4986,17,FALSE)))</f>
        <v>2</v>
      </c>
      <c r="Z1965" s="269" t="str">
        <f ca="1">IF(D1965="","",IF(T1965="","",VLOOKUP(D1965,契約台帳!$A$3:$E$4986,5,FALSE)))</f>
        <v>リンテック㈱</v>
      </c>
      <c r="AA1965" s="57"/>
      <c r="AB1965" s="207"/>
      <c r="AC1965" s="33"/>
      <c r="AD1965" s="189"/>
      <c r="AE1965" s="54"/>
      <c r="AF1965" s="55"/>
      <c r="AG1965" s="43"/>
      <c r="AH1965" s="47"/>
      <c r="AI1965" s="30"/>
      <c r="AJ1965" s="30"/>
      <c r="AK1965" s="30"/>
      <c r="AL1965" s="30"/>
      <c r="AM1965" s="13"/>
      <c r="AN1965" s="13"/>
      <c r="AO1965" s="13"/>
      <c r="AP1965" s="13"/>
      <c r="AQ1965" s="13"/>
      <c r="AR1965" s="14"/>
      <c r="AS1965" s="15"/>
    </row>
    <row r="1966" spans="1:45" s="17" customFormat="1" ht="30.6" hidden="1" customHeight="1" x14ac:dyDescent="0.2">
      <c r="A1966" s="343"/>
      <c r="B1966" s="344"/>
      <c r="C1966" s="345"/>
      <c r="D1966" s="346"/>
      <c r="E1966" s="346"/>
      <c r="F1966" s="268"/>
      <c r="G1966" s="269"/>
      <c r="H1966" s="269"/>
      <c r="I1966" s="270"/>
      <c r="J1966" s="434"/>
      <c r="K1966" s="270"/>
      <c r="L1966" s="270"/>
      <c r="M1966" s="348"/>
      <c r="N1966" s="348"/>
      <c r="O1966" s="435"/>
      <c r="P1966" s="349"/>
      <c r="Q1966" s="350"/>
      <c r="R1966" s="271"/>
      <c r="S1966" s="272"/>
      <c r="T1966" s="273"/>
      <c r="U1966" s="351"/>
      <c r="V1966" s="274"/>
      <c r="W1966" s="269"/>
      <c r="X1966" s="269"/>
      <c r="Y1966" s="275"/>
      <c r="Z1966" s="269"/>
      <c r="AA1966" s="350"/>
      <c r="AB1966" s="207"/>
      <c r="AC1966" s="352"/>
      <c r="AD1966" s="353"/>
      <c r="AE1966" s="54"/>
      <c r="AF1966" s="354"/>
      <c r="AG1966" s="355"/>
      <c r="AH1966" s="349"/>
      <c r="AI1966" s="30"/>
      <c r="AJ1966" s="30"/>
      <c r="AK1966" s="30"/>
      <c r="AL1966" s="30"/>
      <c r="AM1966" s="13"/>
      <c r="AN1966" s="13"/>
      <c r="AO1966" s="13"/>
      <c r="AP1966" s="13"/>
      <c r="AQ1966" s="13"/>
      <c r="AR1966" s="14"/>
      <c r="AS1966" s="15"/>
    </row>
    <row r="1967" spans="1:45" s="17" customFormat="1" ht="30.95" hidden="1" customHeight="1" x14ac:dyDescent="0.2">
      <c r="A1967" s="343" t="s">
        <v>1128</v>
      </c>
      <c r="B1967" s="344" t="s">
        <v>443</v>
      </c>
      <c r="C1967" s="45"/>
      <c r="D1967" s="31">
        <v>3754100</v>
      </c>
      <c r="E1967" s="31">
        <v>4141133</v>
      </c>
      <c r="F1967" s="268" t="str">
        <f>IF(D1967="","",VLOOKUP(D1967,契約台帳!$A$3:$K$4986,6,FALSE)&amp;VLOOKUP(D1967,契約台帳!$A$3:$K$4986,7,FALSE)&amp;VLOOKUP(D1967,契約台帳!$A$3:$K$4986,8,FALSE)&amp;VLOOKUP(D1967,契約台帳!$A$3:$K$4986,9,FALSE)&amp;VLOOKUP(D1967,契約台帳!$A$3:$K$4986,11,FALSE))</f>
        <v>33SSNMCLBTEKKFV</v>
      </c>
      <c r="G1967" s="269" t="str">
        <f>IF(D1967="","",VLOOKUP(F1967,製品マスタ!$G$5:$H$5002,2,FALSE))</f>
        <v>S</v>
      </c>
      <c r="H1967" s="269" t="str">
        <f>IF(D1967="","",VLOOKUP(F1967,製品マスタ!$G$5:$K$5002,5,FALSE))</f>
        <v>TEKKFV</v>
      </c>
      <c r="I1967" s="270" t="str">
        <f>IF(D1967="","",VLOOKUP(F1967,製品マスタ!$G$5:$L$5002,6,FALSE))</f>
        <v>メタルミー　ＴＥＳ消開封　Ｖ</v>
      </c>
      <c r="J1967" s="210" t="s">
        <v>447</v>
      </c>
      <c r="K1967" s="270">
        <f>IF(D1967="","",VLOOKUP(D1967,契約台帳!$A$3:$L$4986,12,FALSE))</f>
        <v>50</v>
      </c>
      <c r="L1967" s="270" t="s">
        <v>1759</v>
      </c>
      <c r="M1967" s="39">
        <v>1005</v>
      </c>
      <c r="N1967" s="39">
        <v>12000</v>
      </c>
      <c r="O1967" s="156">
        <v>1</v>
      </c>
      <c r="P1967" s="47">
        <v>1</v>
      </c>
      <c r="Q1967" s="57"/>
      <c r="R1967" s="271">
        <f ca="1">IF(D1967="","",IF(OFFSET(D1967,-1,0)&lt;&gt;"","",IF(OR(J1967="リード付け",J1967="巻足し",J1967="巻返しリード付け"),M1967,VLOOKUP(D1967,契約台帳!$A$3:$N$4986,14,FALSE))))</f>
        <v>1005</v>
      </c>
      <c r="S1967" s="272">
        <f ca="1">IF(D1967="","",IF(OFFSET(D1967,-1,0)&lt;&gt;"","",IF(OR(J1967="リード付け",J1967="巻足し",J1967="巻返しリード付け"),M1967,VLOOKUP(D1967,契約台帳!$A$3:$O$4986,15,FALSE))))</f>
        <v>1000</v>
      </c>
      <c r="T1967" s="273">
        <f ca="1">IF(D1967="","",IF(J1967="リード付け",N1967,IF(J1967="巻返しリード付け",N1967,IF(J1967="巻足し",N1967*P1967+OFFSET(N1967,1,0)*OFFSET(P1967,1,0),VLOOKUP(D1967,契約台帳!$A$3:$P$4986,16,FALSE)))))</f>
        <v>4000</v>
      </c>
      <c r="U1967" s="40">
        <v>3</v>
      </c>
      <c r="V1967" s="274">
        <f ca="1">IF(D1967="","",IF(OFFSET(D1967,-2,0)=D1967,"",VLOOKUP(D1967,契約台帳!$A$3:$R$4986,18,FALSE)))</f>
        <v>3</v>
      </c>
      <c r="W1967" s="269" t="s">
        <v>806</v>
      </c>
      <c r="X1967" s="269">
        <v>1015</v>
      </c>
      <c r="Y1967" s="275">
        <f ca="1">IF(D1967="","",IF(T1967="","",VLOOKUP(D1967,契約台帳!$A$3:$Q$4986,17,FALSE)))</f>
        <v>2</v>
      </c>
      <c r="Z1967" s="269" t="str">
        <f ca="1">IF(D1967="","",IF(T1967="","",VLOOKUP(D1967,契約台帳!$A$3:$E$4986,5,FALSE)))</f>
        <v>リンテック㈱</v>
      </c>
      <c r="AA1967" s="57"/>
      <c r="AB1967" s="207"/>
      <c r="AC1967" s="33"/>
      <c r="AD1967" s="189"/>
      <c r="AE1967" s="54"/>
      <c r="AF1967" s="55"/>
      <c r="AG1967" s="43"/>
      <c r="AH1967" s="47"/>
      <c r="AI1967" s="30"/>
      <c r="AJ1967" s="30"/>
      <c r="AK1967" s="30"/>
      <c r="AL1967" s="30"/>
      <c r="AM1967" s="13"/>
      <c r="AN1967" s="13"/>
      <c r="AO1967" s="13"/>
      <c r="AP1967" s="13"/>
      <c r="AQ1967" s="13"/>
      <c r="AR1967" s="14"/>
      <c r="AS1967" s="15"/>
    </row>
    <row r="1968" spans="1:45" s="17" customFormat="1" ht="30.95" hidden="1" customHeight="1" x14ac:dyDescent="0.2">
      <c r="A1968" s="343"/>
      <c r="B1968" s="344"/>
      <c r="C1968" s="345"/>
      <c r="D1968" s="346"/>
      <c r="E1968" s="346"/>
      <c r="F1968" s="268"/>
      <c r="G1968" s="269"/>
      <c r="H1968" s="269"/>
      <c r="I1968" s="270"/>
      <c r="J1968" s="434"/>
      <c r="K1968" s="270"/>
      <c r="L1968" s="270"/>
      <c r="M1968" s="348"/>
      <c r="N1968" s="348"/>
      <c r="O1968" s="435"/>
      <c r="P1968" s="349"/>
      <c r="Q1968" s="350"/>
      <c r="R1968" s="271"/>
      <c r="S1968" s="272"/>
      <c r="T1968" s="273"/>
      <c r="U1968" s="351"/>
      <c r="V1968" s="274"/>
      <c r="W1968" s="269"/>
      <c r="X1968" s="269"/>
      <c r="Y1968" s="275"/>
      <c r="Z1968" s="269"/>
      <c r="AA1968" s="350"/>
      <c r="AB1968" s="207"/>
      <c r="AC1968" s="352"/>
      <c r="AD1968" s="353"/>
      <c r="AE1968" s="54"/>
      <c r="AF1968" s="354"/>
      <c r="AG1968" s="355"/>
      <c r="AH1968" s="349"/>
      <c r="AI1968" s="30"/>
      <c r="AJ1968" s="30"/>
      <c r="AK1968" s="30"/>
      <c r="AL1968" s="30"/>
      <c r="AM1968" s="13"/>
      <c r="AN1968" s="13"/>
      <c r="AO1968" s="13"/>
      <c r="AP1968" s="13"/>
      <c r="AQ1968" s="13"/>
      <c r="AR1968" s="14"/>
      <c r="AS1968" s="15"/>
    </row>
    <row r="1969" spans="1:45" s="17" customFormat="1" ht="30.95" hidden="1" customHeight="1" x14ac:dyDescent="0.2">
      <c r="A1969" s="37"/>
      <c r="B1969" s="38"/>
      <c r="C1969" s="45"/>
      <c r="D1969" s="31">
        <v>3754101</v>
      </c>
      <c r="E1969" s="31">
        <v>4141134</v>
      </c>
      <c r="F1969" s="268" t="str">
        <f>IF(D1969="","",VLOOKUP(D1969,契約台帳!$A$3:$K$4986,6,FALSE)&amp;VLOOKUP(D1969,契約台帳!$A$3:$K$4986,7,FALSE)&amp;VLOOKUP(D1969,契約台帳!$A$3:$K$4986,8,FALSE)&amp;VLOOKUP(D1969,契約台帳!$A$3:$K$4986,9,FALSE)&amp;VLOOKUP(D1969,契約台帳!$A$3:$K$4986,11,FALSE))</f>
        <v>33SSNMCLBTEKV0V</v>
      </c>
      <c r="G1969" s="269" t="str">
        <f>IF(D1969="","",VLOOKUP(F1969,製品マスタ!$G$5:$H$5002,2,FALSE))</f>
        <v>S</v>
      </c>
      <c r="H1969" s="269" t="str">
        <f>IF(D1969="","",VLOOKUP(F1969,製品マスタ!$G$5:$K$5002,5,FALSE))</f>
        <v>TEKV0V</v>
      </c>
      <c r="I1969" s="270" t="str">
        <f>IF(D1969="","",VLOOKUP(F1969,製品マスタ!$G$5:$L$5002,6,FALSE))</f>
        <v>メタルミー　ＴＥ－Ｓ消　ＶＯＩＤ　Ｖ</v>
      </c>
      <c r="J1969" s="210" t="s">
        <v>447</v>
      </c>
      <c r="K1969" s="270">
        <f>IF(D1969="","",VLOOKUP(D1969,契約台帳!$A$3:$L$4986,12,FALSE))</f>
        <v>50</v>
      </c>
      <c r="L1969" s="270" t="s">
        <v>1759</v>
      </c>
      <c r="M1969" s="39">
        <v>1005</v>
      </c>
      <c r="N1969" s="39">
        <v>12000</v>
      </c>
      <c r="O1969" s="156">
        <v>2</v>
      </c>
      <c r="P1969" s="47">
        <v>2</v>
      </c>
      <c r="Q1969" s="57"/>
      <c r="R1969" s="271">
        <f ca="1">IF(D1969="","",IF(OFFSET(D1969,-1,0)&lt;&gt;"","",IF(OR(J1969="リード付け",J1969="巻足し",J1969="巻返しリード付け"),M1969,VLOOKUP(D1969,契約台帳!$A$3:$N$4986,14,FALSE))))</f>
        <v>1005</v>
      </c>
      <c r="S1969" s="272">
        <f ca="1">IF(D1969="","",IF(OFFSET(D1969,-1,0)&lt;&gt;"","",IF(OR(J1969="リード付け",J1969="巻足し",J1969="巻返しリード付け"),M1969,VLOOKUP(D1969,契約台帳!$A$3:$O$4986,15,FALSE))))</f>
        <v>1000</v>
      </c>
      <c r="T1969" s="273">
        <f ca="1">IF(D1969="","",IF(J1969="リード付け",N1969,IF(J1969="巻返しリード付け",N1969,IF(J1969="巻足し",N1969*P1969+OFFSET(N1969,1,0)*OFFSET(P1969,1,0),VLOOKUP(D1969,契約台帳!$A$3:$P$4986,16,FALSE)))))</f>
        <v>4000</v>
      </c>
      <c r="U1969" s="40">
        <v>6</v>
      </c>
      <c r="V1969" s="274">
        <f ca="1">IF(D1969="","",IF(OFFSET(D1969,-2,0)=D1969,"",VLOOKUP(D1969,契約台帳!$A$3:$R$4986,18,FALSE)))</f>
        <v>6</v>
      </c>
      <c r="W1969" s="269" t="s">
        <v>806</v>
      </c>
      <c r="X1969" s="269">
        <v>1015</v>
      </c>
      <c r="Y1969" s="275">
        <f ca="1">IF(D1969="","",IF(T1969="","",VLOOKUP(D1969,契約台帳!$A$3:$Q$4986,17,FALSE)))</f>
        <v>2</v>
      </c>
      <c r="Z1969" s="269" t="str">
        <f ca="1">IF(D1969="","",IF(T1969="","",VLOOKUP(D1969,契約台帳!$A$3:$E$4986,5,FALSE)))</f>
        <v>リンテック㈱</v>
      </c>
      <c r="AA1969" s="57"/>
      <c r="AB1969" s="207"/>
      <c r="AC1969" s="33"/>
      <c r="AD1969" s="189"/>
      <c r="AE1969" s="54"/>
      <c r="AF1969" s="55"/>
      <c r="AG1969" s="43"/>
      <c r="AH1969" s="47"/>
      <c r="AI1969" s="30"/>
      <c r="AJ1969" s="30"/>
      <c r="AK1969" s="30"/>
      <c r="AL1969" s="30"/>
      <c r="AM1969" s="13"/>
      <c r="AN1969" s="13"/>
      <c r="AO1969" s="13"/>
      <c r="AP1969" s="13"/>
      <c r="AQ1969" s="13"/>
      <c r="AR1969" s="14"/>
      <c r="AS1969" s="15"/>
    </row>
    <row r="1970" spans="1:45" s="17" customFormat="1" ht="30.95" hidden="1" customHeight="1" x14ac:dyDescent="0.2">
      <c r="A1970" s="343"/>
      <c r="B1970" s="344"/>
      <c r="C1970" s="345"/>
      <c r="D1970" s="346"/>
      <c r="E1970" s="346"/>
      <c r="F1970" s="268"/>
      <c r="G1970" s="269"/>
      <c r="H1970" s="269"/>
      <c r="I1970" s="270"/>
      <c r="J1970" s="434"/>
      <c r="K1970" s="270"/>
      <c r="L1970" s="270"/>
      <c r="M1970" s="348"/>
      <c r="N1970" s="348"/>
      <c r="O1970" s="435"/>
      <c r="P1970" s="349"/>
      <c r="Q1970" s="350"/>
      <c r="R1970" s="271"/>
      <c r="S1970" s="272"/>
      <c r="T1970" s="273"/>
      <c r="U1970" s="351"/>
      <c r="V1970" s="274"/>
      <c r="W1970" s="269"/>
      <c r="X1970" s="269"/>
      <c r="Y1970" s="275"/>
      <c r="Z1970" s="269"/>
      <c r="AA1970" s="350"/>
      <c r="AB1970" s="207"/>
      <c r="AC1970" s="352"/>
      <c r="AD1970" s="353"/>
      <c r="AE1970" s="54"/>
      <c r="AF1970" s="354"/>
      <c r="AG1970" s="355"/>
      <c r="AH1970" s="349"/>
      <c r="AI1970" s="30"/>
      <c r="AJ1970" s="30"/>
      <c r="AK1970" s="30"/>
      <c r="AL1970" s="30"/>
      <c r="AM1970" s="13"/>
      <c r="AN1970" s="13"/>
      <c r="AO1970" s="13"/>
      <c r="AP1970" s="13"/>
      <c r="AQ1970" s="13"/>
      <c r="AR1970" s="14"/>
      <c r="AS1970" s="15"/>
    </row>
    <row r="1971" spans="1:45" s="17" customFormat="1" ht="30.95" hidden="1" customHeight="1" x14ac:dyDescent="0.2">
      <c r="A1971" s="343"/>
      <c r="B1971" s="344"/>
      <c r="C1971" s="345"/>
      <c r="D1971" s="346"/>
      <c r="E1971" s="346"/>
      <c r="F1971" s="268"/>
      <c r="G1971" s="269"/>
      <c r="H1971" s="269"/>
      <c r="I1971" s="270"/>
      <c r="J1971" s="434" t="s">
        <v>2812</v>
      </c>
      <c r="K1971" s="270"/>
      <c r="L1971" s="270"/>
      <c r="M1971" s="348"/>
      <c r="N1971" s="348"/>
      <c r="O1971" s="435"/>
      <c r="P1971" s="349"/>
      <c r="Q1971" s="350"/>
      <c r="R1971" s="271"/>
      <c r="S1971" s="272"/>
      <c r="T1971" s="273"/>
      <c r="U1971" s="351"/>
      <c r="V1971" s="274"/>
      <c r="W1971" s="269"/>
      <c r="X1971" s="269"/>
      <c r="Y1971" s="275"/>
      <c r="Z1971" s="269"/>
      <c r="AA1971" s="350"/>
      <c r="AB1971" s="207"/>
      <c r="AC1971" s="352"/>
      <c r="AD1971" s="353"/>
      <c r="AE1971" s="54"/>
      <c r="AF1971" s="354"/>
      <c r="AG1971" s="355"/>
      <c r="AH1971" s="349"/>
      <c r="AI1971" s="30"/>
      <c r="AJ1971" s="30"/>
      <c r="AK1971" s="30"/>
      <c r="AL1971" s="30"/>
      <c r="AM1971" s="13"/>
      <c r="AN1971" s="13"/>
      <c r="AO1971" s="13"/>
      <c r="AP1971" s="13"/>
      <c r="AQ1971" s="13"/>
      <c r="AR1971" s="14"/>
      <c r="AS1971" s="15"/>
    </row>
    <row r="1972" spans="1:45" s="17" customFormat="1" ht="30.95" hidden="1" customHeight="1" x14ac:dyDescent="0.2">
      <c r="A1972" s="343"/>
      <c r="B1972" s="344"/>
      <c r="C1972" s="345"/>
      <c r="D1972" s="346"/>
      <c r="E1972" s="346"/>
      <c r="F1972" s="268"/>
      <c r="G1972" s="269"/>
      <c r="H1972" s="269"/>
      <c r="I1972" s="270"/>
      <c r="J1972" s="434"/>
      <c r="K1972" s="270"/>
      <c r="L1972" s="270"/>
      <c r="M1972" s="348"/>
      <c r="N1972" s="348"/>
      <c r="O1972" s="435"/>
      <c r="P1972" s="349"/>
      <c r="Q1972" s="350"/>
      <c r="R1972" s="271"/>
      <c r="S1972" s="272"/>
      <c r="T1972" s="273"/>
      <c r="U1972" s="351"/>
      <c r="V1972" s="274"/>
      <c r="W1972" s="269"/>
      <c r="X1972" s="269"/>
      <c r="Y1972" s="275"/>
      <c r="Z1972" s="269"/>
      <c r="AA1972" s="350"/>
      <c r="AB1972" s="207"/>
      <c r="AC1972" s="352"/>
      <c r="AD1972" s="353"/>
      <c r="AE1972" s="54"/>
      <c r="AF1972" s="354"/>
      <c r="AG1972" s="355"/>
      <c r="AH1972" s="349"/>
      <c r="AI1972" s="30"/>
      <c r="AJ1972" s="30"/>
      <c r="AK1972" s="30"/>
      <c r="AL1972" s="30"/>
      <c r="AM1972" s="13"/>
      <c r="AN1972" s="13"/>
      <c r="AO1972" s="13"/>
      <c r="AP1972" s="13"/>
      <c r="AQ1972" s="13"/>
      <c r="AR1972" s="14"/>
      <c r="AS1972" s="15"/>
    </row>
    <row r="1973" spans="1:45" s="17" customFormat="1" ht="30.95" hidden="1" customHeight="1" x14ac:dyDescent="0.2">
      <c r="A1973" s="343" t="s">
        <v>2798</v>
      </c>
      <c r="B1973" s="344" t="s">
        <v>2799</v>
      </c>
      <c r="C1973" s="345"/>
      <c r="D1973" s="346"/>
      <c r="E1973" s="346"/>
      <c r="F1973" s="268"/>
      <c r="G1973" s="269"/>
      <c r="H1973" s="269"/>
      <c r="I1973" s="270"/>
      <c r="J1973" s="434" t="s">
        <v>489</v>
      </c>
      <c r="K1973" s="270"/>
      <c r="L1973" s="270"/>
      <c r="M1973" s="348"/>
      <c r="N1973" s="348"/>
      <c r="O1973" s="435"/>
      <c r="P1973" s="349"/>
      <c r="Q1973" s="350"/>
      <c r="R1973" s="271"/>
      <c r="S1973" s="272"/>
      <c r="T1973" s="273"/>
      <c r="U1973" s="351"/>
      <c r="V1973" s="274"/>
      <c r="W1973" s="269"/>
      <c r="X1973" s="269"/>
      <c r="Y1973" s="275"/>
      <c r="Z1973" s="269"/>
      <c r="AA1973" s="350"/>
      <c r="AB1973" s="207"/>
      <c r="AC1973" s="352"/>
      <c r="AD1973" s="353"/>
      <c r="AE1973" s="54"/>
      <c r="AF1973" s="354"/>
      <c r="AG1973" s="355"/>
      <c r="AH1973" s="349"/>
      <c r="AI1973" s="30"/>
      <c r="AJ1973" s="30"/>
      <c r="AK1973" s="30"/>
      <c r="AL1973" s="30"/>
      <c r="AM1973" s="13"/>
      <c r="AN1973" s="13"/>
      <c r="AO1973" s="13"/>
      <c r="AP1973" s="13"/>
      <c r="AQ1973" s="13"/>
      <c r="AR1973" s="14"/>
      <c r="AS1973" s="15"/>
    </row>
    <row r="1974" spans="1:45" s="17" customFormat="1" ht="30.95" hidden="1" customHeight="1" x14ac:dyDescent="0.2">
      <c r="A1974" s="343"/>
      <c r="B1974" s="344"/>
      <c r="C1974" s="345"/>
      <c r="D1974" s="346"/>
      <c r="E1974" s="346"/>
      <c r="F1974" s="268"/>
      <c r="G1974" s="269"/>
      <c r="H1974" s="269"/>
      <c r="I1974" s="270"/>
      <c r="J1974" s="434"/>
      <c r="K1974" s="270"/>
      <c r="L1974" s="270"/>
      <c r="M1974" s="348"/>
      <c r="N1974" s="348"/>
      <c r="O1974" s="435"/>
      <c r="P1974" s="349"/>
      <c r="Q1974" s="350"/>
      <c r="R1974" s="271"/>
      <c r="S1974" s="272"/>
      <c r="T1974" s="273"/>
      <c r="U1974" s="351"/>
      <c r="V1974" s="274"/>
      <c r="W1974" s="269"/>
      <c r="X1974" s="269"/>
      <c r="Y1974" s="275"/>
      <c r="Z1974" s="269"/>
      <c r="AA1974" s="350"/>
      <c r="AB1974" s="207"/>
      <c r="AC1974" s="352"/>
      <c r="AD1974" s="353"/>
      <c r="AE1974" s="54"/>
      <c r="AF1974" s="354"/>
      <c r="AG1974" s="355"/>
      <c r="AH1974" s="349"/>
      <c r="AI1974" s="30"/>
      <c r="AJ1974" s="30"/>
      <c r="AK1974" s="30"/>
      <c r="AL1974" s="30"/>
      <c r="AM1974" s="13"/>
      <c r="AN1974" s="13"/>
      <c r="AO1974" s="13"/>
      <c r="AP1974" s="13"/>
      <c r="AQ1974" s="13"/>
      <c r="AR1974" s="14"/>
      <c r="AS1974" s="15"/>
    </row>
    <row r="1975" spans="1:45" s="17" customFormat="1" ht="30.95" hidden="1" customHeight="1" x14ac:dyDescent="0.2">
      <c r="A1975" s="343" t="s">
        <v>2800</v>
      </c>
      <c r="B1975" s="344" t="s">
        <v>2801</v>
      </c>
      <c r="C1975" s="345"/>
      <c r="D1975" s="346"/>
      <c r="E1975" s="346"/>
      <c r="F1975" s="268"/>
      <c r="G1975" s="269"/>
      <c r="H1975" s="269"/>
      <c r="I1975" s="270"/>
      <c r="J1975" s="434" t="s">
        <v>448</v>
      </c>
      <c r="K1975" s="270"/>
      <c r="L1975" s="270"/>
      <c r="M1975" s="348"/>
      <c r="N1975" s="348"/>
      <c r="O1975" s="435"/>
      <c r="P1975" s="349"/>
      <c r="Q1975" s="350"/>
      <c r="R1975" s="271"/>
      <c r="S1975" s="272"/>
      <c r="T1975" s="273"/>
      <c r="U1975" s="351"/>
      <c r="V1975" s="274"/>
      <c r="W1975" s="269"/>
      <c r="X1975" s="269"/>
      <c r="Y1975" s="275"/>
      <c r="Z1975" s="269"/>
      <c r="AA1975" s="350"/>
      <c r="AB1975" s="207"/>
      <c r="AC1975" s="352"/>
      <c r="AD1975" s="353"/>
      <c r="AE1975" s="54"/>
      <c r="AF1975" s="354"/>
      <c r="AG1975" s="355"/>
      <c r="AH1975" s="349"/>
      <c r="AI1975" s="30"/>
      <c r="AJ1975" s="30"/>
      <c r="AK1975" s="30"/>
      <c r="AL1975" s="30"/>
      <c r="AM1975" s="13"/>
      <c r="AN1975" s="13"/>
      <c r="AO1975" s="13"/>
      <c r="AP1975" s="13"/>
      <c r="AQ1975" s="13"/>
      <c r="AR1975" s="14"/>
      <c r="AS1975" s="15"/>
    </row>
    <row r="1976" spans="1:45" s="17" customFormat="1" ht="30.95" hidden="1" customHeight="1" x14ac:dyDescent="0.2">
      <c r="A1976" s="343"/>
      <c r="B1976" s="344"/>
      <c r="C1976" s="345"/>
      <c r="D1976" s="346"/>
      <c r="E1976" s="346"/>
      <c r="F1976" s="268"/>
      <c r="G1976" s="269"/>
      <c r="H1976" s="269"/>
      <c r="I1976" s="270"/>
      <c r="J1976" s="434"/>
      <c r="K1976" s="270"/>
      <c r="L1976" s="270"/>
      <c r="M1976" s="348"/>
      <c r="N1976" s="348"/>
      <c r="O1976" s="435"/>
      <c r="P1976" s="349"/>
      <c r="Q1976" s="350"/>
      <c r="R1976" s="271"/>
      <c r="S1976" s="272"/>
      <c r="T1976" s="273"/>
      <c r="U1976" s="351"/>
      <c r="V1976" s="274"/>
      <c r="W1976" s="269"/>
      <c r="X1976" s="269"/>
      <c r="Y1976" s="275"/>
      <c r="Z1976" s="269"/>
      <c r="AA1976" s="350"/>
      <c r="AB1976" s="207"/>
      <c r="AC1976" s="352"/>
      <c r="AD1976" s="353"/>
      <c r="AE1976" s="54"/>
      <c r="AF1976" s="354"/>
      <c r="AG1976" s="355"/>
      <c r="AH1976" s="349"/>
      <c r="AI1976" s="30"/>
      <c r="AJ1976" s="30"/>
      <c r="AK1976" s="30"/>
      <c r="AL1976" s="30"/>
      <c r="AM1976" s="13"/>
      <c r="AN1976" s="13"/>
      <c r="AO1976" s="13"/>
      <c r="AP1976" s="13"/>
      <c r="AQ1976" s="13"/>
      <c r="AR1976" s="14"/>
      <c r="AS1976" s="15"/>
    </row>
    <row r="1977" spans="1:45" s="17" customFormat="1" ht="30.95" hidden="1" customHeight="1" x14ac:dyDescent="0.2">
      <c r="A1977" s="343" t="s">
        <v>2802</v>
      </c>
      <c r="B1977" s="344" t="s">
        <v>2803</v>
      </c>
      <c r="C1977" s="345"/>
      <c r="D1977" s="346"/>
      <c r="E1977" s="346"/>
      <c r="F1977" s="268"/>
      <c r="G1977" s="269"/>
      <c r="H1977" s="269"/>
      <c r="I1977" s="270"/>
      <c r="J1977" s="434" t="s">
        <v>448</v>
      </c>
      <c r="K1977" s="270"/>
      <c r="L1977" s="270"/>
      <c r="M1977" s="348"/>
      <c r="N1977" s="348"/>
      <c r="O1977" s="435"/>
      <c r="P1977" s="349"/>
      <c r="Q1977" s="350"/>
      <c r="R1977" s="271"/>
      <c r="S1977" s="272"/>
      <c r="T1977" s="273"/>
      <c r="U1977" s="351"/>
      <c r="V1977" s="274"/>
      <c r="W1977" s="269"/>
      <c r="X1977" s="269"/>
      <c r="Y1977" s="275"/>
      <c r="Z1977" s="269"/>
      <c r="AA1977" s="350"/>
      <c r="AB1977" s="207"/>
      <c r="AC1977" s="352"/>
      <c r="AD1977" s="353"/>
      <c r="AE1977" s="54"/>
      <c r="AF1977" s="354"/>
      <c r="AG1977" s="355"/>
      <c r="AH1977" s="349"/>
      <c r="AI1977" s="30"/>
      <c r="AJ1977" s="30"/>
      <c r="AK1977" s="30"/>
      <c r="AL1977" s="30"/>
      <c r="AM1977" s="13"/>
      <c r="AN1977" s="13"/>
      <c r="AO1977" s="13"/>
      <c r="AP1977" s="13"/>
      <c r="AQ1977" s="13"/>
      <c r="AR1977" s="14"/>
      <c r="AS1977" s="15"/>
    </row>
    <row r="1978" spans="1:45" s="17" customFormat="1" ht="30.95" hidden="1" customHeight="1" x14ac:dyDescent="0.2">
      <c r="A1978" s="343"/>
      <c r="B1978" s="344"/>
      <c r="C1978" s="345"/>
      <c r="D1978" s="346"/>
      <c r="E1978" s="346"/>
      <c r="F1978" s="268"/>
      <c r="G1978" s="269"/>
      <c r="H1978" s="269"/>
      <c r="I1978" s="270"/>
      <c r="J1978" s="434"/>
      <c r="K1978" s="270"/>
      <c r="L1978" s="270"/>
      <c r="M1978" s="348"/>
      <c r="N1978" s="348"/>
      <c r="O1978" s="435"/>
      <c r="P1978" s="349"/>
      <c r="Q1978" s="350"/>
      <c r="R1978" s="271"/>
      <c r="S1978" s="272"/>
      <c r="T1978" s="273"/>
      <c r="U1978" s="351"/>
      <c r="V1978" s="274"/>
      <c r="W1978" s="269"/>
      <c r="X1978" s="269"/>
      <c r="Y1978" s="275"/>
      <c r="Z1978" s="269"/>
      <c r="AA1978" s="350"/>
      <c r="AB1978" s="207"/>
      <c r="AC1978" s="352"/>
      <c r="AD1978" s="353"/>
      <c r="AE1978" s="54"/>
      <c r="AF1978" s="354"/>
      <c r="AG1978" s="355"/>
      <c r="AH1978" s="349"/>
      <c r="AI1978" s="30"/>
      <c r="AJ1978" s="30"/>
      <c r="AK1978" s="30"/>
      <c r="AL1978" s="30"/>
      <c r="AM1978" s="13"/>
      <c r="AN1978" s="13"/>
      <c r="AO1978" s="13"/>
      <c r="AP1978" s="13"/>
      <c r="AQ1978" s="13"/>
      <c r="AR1978" s="14"/>
      <c r="AS1978" s="15"/>
    </row>
    <row r="1979" spans="1:45" s="17" customFormat="1" ht="30.95" hidden="1" customHeight="1" x14ac:dyDescent="0.2">
      <c r="A1979" s="37" t="s">
        <v>2827</v>
      </c>
      <c r="B1979" s="38" t="s">
        <v>2828</v>
      </c>
      <c r="C1979" s="45"/>
      <c r="D1979" s="398">
        <v>3754089</v>
      </c>
      <c r="E1979" s="31">
        <v>4151668</v>
      </c>
      <c r="F1979" s="268" t="str">
        <f>IF(D1979="","",VLOOKUP(D1979,契約台帳!$A$3:$K$4986,6,FALSE)&amp;VLOOKUP(D1979,契約台帳!$A$3:$K$4986,7,FALSE)&amp;VLOOKUP(D1979,契約台帳!$A$3:$K$4986,8,FALSE)&amp;VLOOKUP(D1979,契約台帳!$A$3:$K$4986,9,FALSE)&amp;VLOOKUP(D1979,契約台帳!$A$3:$K$4986,11,FALSE))</f>
        <v>3SYMLBMSNMBF</v>
      </c>
      <c r="G1979" s="269" t="str">
        <f>IF(D1979="","",VLOOKUP(F1979,製品マスタ!$G$5:$H$5002,2,FALSE))</f>
        <v>S</v>
      </c>
      <c r="H1979" s="269" t="str">
        <f>IF(D1979="","",VLOOKUP(F1979,製品マスタ!$G$5:$K$5002,5,FALSE))</f>
        <v>MSNMBF</v>
      </c>
      <c r="I1979" s="270" t="str">
        <f>IF(D1979="","",VLOOKUP(F1979,製品マスタ!$G$5:$L$5002,6,FALSE))</f>
        <v>ＭＥＴＡＬＵＭＹ　ＳＩＬＶＥＲ　Ｎ－ＭＡＴＴＥ　Ｘ４４Ｍ　Ｂ</v>
      </c>
      <c r="J1979" s="210" t="s">
        <v>447</v>
      </c>
      <c r="K1979" s="270">
        <f>IF(D1979="","",VLOOKUP(D1979,契約台帳!$A$3:$L$4986,12,FALSE))</f>
        <v>50</v>
      </c>
      <c r="L1979" s="270" t="s">
        <v>1759</v>
      </c>
      <c r="M1979" s="39">
        <v>1120</v>
      </c>
      <c r="N1979" s="39">
        <v>12000</v>
      </c>
      <c r="O1979" s="156">
        <v>2</v>
      </c>
      <c r="P1979" s="47">
        <v>2</v>
      </c>
      <c r="Q1979" s="57"/>
      <c r="R1979" s="271">
        <f ca="1">IF(D1979="","",IF(OFFSET(D1979,-1,0)&lt;&gt;"","",IF(OR(J1979="リード付け",J1979="巻足し",J1979="巻返しリード付け"),M1979,VLOOKUP(D1979,契約台帳!$A$3:$N$4986,14,FALSE))))</f>
        <v>1120</v>
      </c>
      <c r="S1979" s="272">
        <f ca="1">IF(D1979="","",IF(OFFSET(D1979,-1,0)&lt;&gt;"","",IF(OR(J1979="リード付け",J1979="巻足し",J1979="巻返しリード付け"),M1979,VLOOKUP(D1979,契約台帳!$A$3:$O$4986,15,FALSE))))</f>
        <v>1120</v>
      </c>
      <c r="T1979" s="273">
        <f ca="1">IF(D1979="","",IF(J1979="リード付け",N1979,IF(J1979="巻返しリード付け",N1979,IF(J1979="巻足し",N1979*P1979+OFFSET(N1979,1,0)*OFFSET(P1979,1,0),VLOOKUP(D1979,契約台帳!$A$3:$P$4986,16,FALSE)))))</f>
        <v>4000</v>
      </c>
      <c r="U1979" s="40">
        <v>6</v>
      </c>
      <c r="V1979" s="274">
        <f ca="1">IF(D1979="","",IF(OFFSET(D1979,-2,0)=D1979,"",VLOOKUP(D1979,契約台帳!$A$3:$R$4986,18,FALSE)))</f>
        <v>8</v>
      </c>
      <c r="W1979" s="269" t="s">
        <v>806</v>
      </c>
      <c r="X1979" s="269">
        <v>1015</v>
      </c>
      <c r="Y1979" s="275">
        <f ca="1">IF(D1979="","",IF(T1979="","",VLOOKUP(D1979,契約台帳!$A$3:$Q$4986,17,FALSE)))</f>
        <v>2</v>
      </c>
      <c r="Z1979" s="269" t="str">
        <f ca="1">IF(D1979="","",IF(T1979="","",VLOOKUP(D1979,契約台帳!$A$3:$E$4986,5,FALSE)))</f>
        <v>リンテック㈱</v>
      </c>
      <c r="AA1979" s="57"/>
      <c r="AB1979" s="207"/>
      <c r="AC1979" s="33"/>
      <c r="AD1979" s="189"/>
      <c r="AE1979" s="54"/>
      <c r="AF1979" s="55"/>
      <c r="AG1979" s="43"/>
      <c r="AH1979" s="47"/>
      <c r="AI1979" s="30"/>
      <c r="AJ1979" s="30"/>
      <c r="AK1979" s="30"/>
      <c r="AL1979" s="30"/>
      <c r="AM1979" s="13"/>
      <c r="AN1979" s="13"/>
      <c r="AO1979" s="13"/>
      <c r="AP1979" s="13"/>
      <c r="AQ1979" s="13"/>
      <c r="AR1979" s="14"/>
      <c r="AS1979" s="15"/>
    </row>
    <row r="1980" spans="1:45" s="17" customFormat="1" ht="30.95" hidden="1" customHeight="1" x14ac:dyDescent="0.2">
      <c r="A1980" s="343"/>
      <c r="B1980" s="344"/>
      <c r="C1980" s="345"/>
      <c r="D1980" s="346"/>
      <c r="E1980" s="346"/>
      <c r="F1980" s="268"/>
      <c r="G1980" s="269"/>
      <c r="H1980" s="269"/>
      <c r="I1980" s="304" t="s">
        <v>2829</v>
      </c>
      <c r="J1980" s="434"/>
      <c r="K1980" s="270"/>
      <c r="L1980" s="270"/>
      <c r="M1980" s="348"/>
      <c r="N1980" s="348"/>
      <c r="O1980" s="435"/>
      <c r="P1980" s="349"/>
      <c r="Q1980" s="350"/>
      <c r="R1980" s="271"/>
      <c r="S1980" s="272"/>
      <c r="T1980" s="273"/>
      <c r="U1980" s="351"/>
      <c r="V1980" s="274"/>
      <c r="W1980" s="269"/>
      <c r="X1980" s="269"/>
      <c r="Y1980" s="275"/>
      <c r="Z1980" s="269"/>
      <c r="AA1980" s="350"/>
      <c r="AB1980" s="207"/>
      <c r="AC1980" s="352"/>
      <c r="AD1980" s="353"/>
      <c r="AE1980" s="54"/>
      <c r="AF1980" s="354"/>
      <c r="AG1980" s="355"/>
      <c r="AH1980" s="349"/>
      <c r="AI1980" s="30"/>
      <c r="AJ1980" s="30"/>
      <c r="AK1980" s="30"/>
      <c r="AL1980" s="30"/>
      <c r="AM1980" s="13"/>
      <c r="AN1980" s="13"/>
      <c r="AO1980" s="13"/>
      <c r="AP1980" s="13"/>
      <c r="AQ1980" s="13"/>
      <c r="AR1980" s="14"/>
      <c r="AS1980" s="15"/>
    </row>
    <row r="1981" spans="1:45" s="17" customFormat="1" ht="30.95" hidden="1" customHeight="1" x14ac:dyDescent="0.2">
      <c r="A1981" s="37"/>
      <c r="B1981" s="38"/>
      <c r="C1981" s="45"/>
      <c r="D1981" s="398">
        <v>3754089</v>
      </c>
      <c r="E1981" s="31">
        <v>4151668</v>
      </c>
      <c r="F1981" s="268" t="str">
        <f>IF(D1981="","",VLOOKUP(D1981,契約台帳!$A$3:$K$4986,6,FALSE)&amp;VLOOKUP(D1981,契約台帳!$A$3:$K$4986,7,FALSE)&amp;VLOOKUP(D1981,契約台帳!$A$3:$K$4986,8,FALSE)&amp;VLOOKUP(D1981,契約台帳!$A$3:$K$4986,9,FALSE)&amp;VLOOKUP(D1981,契約台帳!$A$3:$K$4986,11,FALSE))</f>
        <v>3SYMLBMSNMBF</v>
      </c>
      <c r="G1981" s="269" t="str">
        <f>IF(D1981="","",VLOOKUP(F1981,製品マスタ!$G$5:$H$5002,2,FALSE))</f>
        <v>S</v>
      </c>
      <c r="H1981" s="269" t="str">
        <f>IF(D1981="","",VLOOKUP(F1981,製品マスタ!$G$5:$K$5002,5,FALSE))</f>
        <v>MSNMBF</v>
      </c>
      <c r="I1981" s="270" t="str">
        <f>IF(D1981="","",VLOOKUP(F1981,製品マスタ!$G$5:$L$5002,6,FALSE))</f>
        <v>ＭＥＴＡＬＵＭＹ　ＳＩＬＶＥＲ　Ｎ－ＭＡＴＴＥ　Ｘ４４Ｍ　Ｂ</v>
      </c>
      <c r="J1981" s="210" t="s">
        <v>447</v>
      </c>
      <c r="K1981" s="270">
        <f>IF(D1981="","",VLOOKUP(D1981,契約台帳!$A$3:$L$4986,12,FALSE))</f>
        <v>50</v>
      </c>
      <c r="L1981" s="270" t="s">
        <v>1759</v>
      </c>
      <c r="M1981" s="39">
        <v>1120</v>
      </c>
      <c r="N1981" s="39">
        <v>12000</v>
      </c>
      <c r="O1981" s="156">
        <v>1</v>
      </c>
      <c r="P1981" s="47">
        <v>1</v>
      </c>
      <c r="Q1981" s="57"/>
      <c r="R1981" s="271">
        <f ca="1">IF(D1981="","",IF(OFFSET(D1981,-1,0)&lt;&gt;"","",IF(OR(J1981="リード付け",J1981="巻足し",J1981="巻返しリード付け"),M1981,VLOOKUP(D1981,契約台帳!$A$3:$N$4986,14,FALSE))))</f>
        <v>1120</v>
      </c>
      <c r="S1981" s="272">
        <f ca="1">IF(D1981="","",IF(OFFSET(D1981,-1,0)&lt;&gt;"","",IF(OR(J1981="リード付け",J1981="巻足し",J1981="巻返しリード付け"),M1981,VLOOKUP(D1981,契約台帳!$A$3:$O$4986,15,FALSE))))</f>
        <v>1120</v>
      </c>
      <c r="T1981" s="273">
        <f ca="1">IF(D1981="","",IF(J1981="リード付け",N1981,IF(J1981="巻返しリード付け",N1981,IF(J1981="巻足し",N1981*P1981+OFFSET(N1981,1,0)*OFFSET(P1981,1,0),VLOOKUP(D1981,契約台帳!$A$3:$P$4986,16,FALSE)))))</f>
        <v>4000</v>
      </c>
      <c r="U1981" s="40">
        <v>2</v>
      </c>
      <c r="V1981" s="274" t="str">
        <f ca="1">IF(D1981="","",IF(OFFSET(D1981,-2,0)=D1981,"",VLOOKUP(D1981,契約台帳!$A$3:$R$4986,18,FALSE)))</f>
        <v/>
      </c>
      <c r="W1981" s="269" t="s">
        <v>806</v>
      </c>
      <c r="X1981" s="269">
        <v>1015</v>
      </c>
      <c r="Y1981" s="275">
        <f ca="1">IF(D1981="","",IF(T1981="","",VLOOKUP(D1981,契約台帳!$A$3:$Q$4986,17,FALSE)))</f>
        <v>2</v>
      </c>
      <c r="Z1981" s="269" t="str">
        <f ca="1">IF(D1981="","",IF(T1981="","",VLOOKUP(D1981,契約台帳!$A$3:$E$4986,5,FALSE)))</f>
        <v>リンテック㈱</v>
      </c>
      <c r="AA1981" s="57"/>
      <c r="AB1981" s="207"/>
      <c r="AC1981" s="33"/>
      <c r="AD1981" s="189"/>
      <c r="AE1981" s="54"/>
      <c r="AF1981" s="55"/>
      <c r="AG1981" s="43"/>
      <c r="AH1981" s="47"/>
      <c r="AI1981" s="30"/>
      <c r="AJ1981" s="30"/>
      <c r="AK1981" s="30"/>
      <c r="AL1981" s="30"/>
      <c r="AM1981" s="13"/>
      <c r="AN1981" s="13"/>
      <c r="AO1981" s="13"/>
      <c r="AP1981" s="13"/>
      <c r="AQ1981" s="13"/>
      <c r="AR1981" s="14"/>
      <c r="AS1981" s="15"/>
    </row>
    <row r="1982" spans="1:45" s="17" customFormat="1" ht="30.95" hidden="1" customHeight="1" x14ac:dyDescent="0.2">
      <c r="A1982" s="37"/>
      <c r="B1982" s="38"/>
      <c r="C1982" s="45"/>
      <c r="D1982" s="398">
        <v>3754091</v>
      </c>
      <c r="E1982" s="31"/>
      <c r="F1982" s="268" t="str">
        <f>IF(D1982="","",VLOOKUP(D1982,契約台帳!$A$3:$K$4986,6,FALSE)&amp;VLOOKUP(D1982,契約台帳!$A$3:$K$4986,7,FALSE)&amp;VLOOKUP(D1982,契約台帳!$A$3:$K$4986,8,FALSE)&amp;VLOOKUP(D1982,契約台帳!$A$3:$K$4986,9,FALSE)&amp;VLOOKUP(D1982,契約台帳!$A$3:$K$4986,11,FALSE))</f>
        <v>3SYMLBMSNMBF</v>
      </c>
      <c r="G1982" s="269" t="str">
        <f>IF(D1982="","",VLOOKUP(F1982,製品マスタ!$G$5:$H$5002,2,FALSE))</f>
        <v>S</v>
      </c>
      <c r="H1982" s="269" t="str">
        <f>IF(D1982="","",VLOOKUP(F1982,製品マスタ!$G$5:$K$5002,5,FALSE))</f>
        <v>MSNMBF</v>
      </c>
      <c r="I1982" s="270" t="str">
        <f>IF(D1982="","",VLOOKUP(F1982,製品マスタ!$G$5:$L$5002,6,FALSE))</f>
        <v>ＭＥＴＡＬＵＭＹ　ＳＩＬＶＥＲ　Ｎ－ＭＡＴＴＥ　Ｘ４４Ｍ　Ｂ</v>
      </c>
      <c r="J1982" s="210" t="s">
        <v>447</v>
      </c>
      <c r="K1982" s="270">
        <f>IF(D1982="","",VLOOKUP(D1982,契約台帳!$A$3:$L$4986,12,FALSE))</f>
        <v>50</v>
      </c>
      <c r="L1982" s="270" t="s">
        <v>1759</v>
      </c>
      <c r="M1982" s="39">
        <v>1120</v>
      </c>
      <c r="N1982" s="39"/>
      <c r="O1982" s="156"/>
      <c r="P1982" s="47"/>
      <c r="Q1982" s="57"/>
      <c r="R1982" s="271" t="str">
        <f ca="1">IF(D1982="","",IF(OFFSET(D1982,-1,0)&lt;&gt;"","",IF(OR(J1982="リード付け",J1982="巻足し",J1982="巻返しリード付け"),M1982,VLOOKUP(D1982,契約台帳!$A$3:$N$4986,14,FALSE))))</f>
        <v/>
      </c>
      <c r="S1982" s="272" t="str">
        <f ca="1">IF(D1982="","",IF(OFFSET(D1982,-1,0)&lt;&gt;"","",IF(OR(J1982="リード付け",J1982="巻足し",J1982="巻返しリード付け"),M1982,VLOOKUP(D1982,契約台帳!$A$3:$O$4986,15,FALSE))))</f>
        <v/>
      </c>
      <c r="T1982" s="273">
        <f ca="1">IF(D1982="","",IF(J1982="リード付け",N1982,IF(J1982="巻返しリード付け",N1982,IF(J1982="巻足し",N1982*P1982+OFFSET(N1982,1,0)*OFFSET(P1982,1,0),VLOOKUP(D1982,契約台帳!$A$3:$P$4986,16,FALSE)))))</f>
        <v>4000</v>
      </c>
      <c r="U1982" s="40">
        <v>1</v>
      </c>
      <c r="V1982" s="274">
        <f ca="1">IF(D1982="","",IF(OFFSET(D1982,-2,0)=D1982,"",VLOOKUP(D1982,契約台帳!$A$3:$R$4986,18,FALSE)))</f>
        <v>4</v>
      </c>
      <c r="W1982" s="269" t="s">
        <v>806</v>
      </c>
      <c r="X1982" s="269">
        <v>1015</v>
      </c>
      <c r="Y1982" s="275">
        <f ca="1">IF(D1982="","",IF(T1982="","",VLOOKUP(D1982,契約台帳!$A$3:$Q$4986,17,FALSE)))</f>
        <v>2</v>
      </c>
      <c r="Z1982" s="269" t="str">
        <f ca="1">IF(D1982="","",IF(T1982="","",VLOOKUP(D1982,契約台帳!$A$3:$E$4986,5,FALSE)))</f>
        <v>リンテック㈱</v>
      </c>
      <c r="AA1982" s="57"/>
      <c r="AB1982" s="207"/>
      <c r="AC1982" s="33"/>
      <c r="AD1982" s="189"/>
      <c r="AE1982" s="54"/>
      <c r="AF1982" s="55"/>
      <c r="AG1982" s="43"/>
      <c r="AH1982" s="47"/>
      <c r="AI1982" s="30"/>
      <c r="AJ1982" s="30"/>
      <c r="AK1982" s="30"/>
      <c r="AL1982" s="30"/>
      <c r="AM1982" s="13"/>
      <c r="AN1982" s="13"/>
      <c r="AO1982" s="13"/>
      <c r="AP1982" s="13"/>
      <c r="AQ1982" s="13"/>
      <c r="AR1982" s="14"/>
      <c r="AS1982" s="15"/>
    </row>
    <row r="1983" spans="1:45" s="17" customFormat="1" ht="30.95" hidden="1" customHeight="1" x14ac:dyDescent="0.2">
      <c r="A1983" s="343"/>
      <c r="B1983" s="344"/>
      <c r="C1983" s="345"/>
      <c r="D1983" s="346"/>
      <c r="E1983" s="346"/>
      <c r="F1983" s="268"/>
      <c r="G1983" s="269"/>
      <c r="H1983" s="269"/>
      <c r="I1983" s="304" t="s">
        <v>2829</v>
      </c>
      <c r="J1983" s="434"/>
      <c r="K1983" s="270"/>
      <c r="L1983" s="270"/>
      <c r="M1983" s="348"/>
      <c r="N1983" s="348"/>
      <c r="O1983" s="435"/>
      <c r="P1983" s="349"/>
      <c r="Q1983" s="350"/>
      <c r="R1983" s="271"/>
      <c r="S1983" s="272"/>
      <c r="T1983" s="273"/>
      <c r="U1983" s="351"/>
      <c r="V1983" s="274"/>
      <c r="W1983" s="269"/>
      <c r="X1983" s="269"/>
      <c r="Y1983" s="275"/>
      <c r="Z1983" s="269"/>
      <c r="AA1983" s="350"/>
      <c r="AB1983" s="207"/>
      <c r="AC1983" s="352"/>
      <c r="AD1983" s="353"/>
      <c r="AE1983" s="54"/>
      <c r="AF1983" s="354"/>
      <c r="AG1983" s="355"/>
      <c r="AH1983" s="349"/>
      <c r="AI1983" s="30"/>
      <c r="AJ1983" s="30"/>
      <c r="AK1983" s="30"/>
      <c r="AL1983" s="30"/>
      <c r="AM1983" s="13"/>
      <c r="AN1983" s="13"/>
      <c r="AO1983" s="13"/>
      <c r="AP1983" s="13"/>
      <c r="AQ1983" s="13"/>
      <c r="AR1983" s="14"/>
      <c r="AS1983" s="15"/>
    </row>
    <row r="1984" spans="1:45" s="17" customFormat="1" ht="30.95" hidden="1" customHeight="1" x14ac:dyDescent="0.2">
      <c r="A1984" s="37"/>
      <c r="B1984" s="38"/>
      <c r="C1984" s="45"/>
      <c r="D1984" s="398">
        <v>3754091</v>
      </c>
      <c r="E1984" s="31">
        <v>4151669</v>
      </c>
      <c r="F1984" s="268" t="str">
        <f>IF(D1984="","",VLOOKUP(D1984,契約台帳!$A$3:$K$4986,6,FALSE)&amp;VLOOKUP(D1984,契約台帳!$A$3:$K$4986,7,FALSE)&amp;VLOOKUP(D1984,契約台帳!$A$3:$K$4986,8,FALSE)&amp;VLOOKUP(D1984,契約台帳!$A$3:$K$4986,9,FALSE)&amp;VLOOKUP(D1984,契約台帳!$A$3:$K$4986,11,FALSE))</f>
        <v>3SYMLBMSNMBF</v>
      </c>
      <c r="G1984" s="269" t="str">
        <f>IF(D1984="","",VLOOKUP(F1984,製品マスタ!$G$5:$H$5002,2,FALSE))</f>
        <v>S</v>
      </c>
      <c r="H1984" s="269" t="str">
        <f>IF(D1984="","",VLOOKUP(F1984,製品マスタ!$G$5:$K$5002,5,FALSE))</f>
        <v>MSNMBF</v>
      </c>
      <c r="I1984" s="270" t="str">
        <f>IF(D1984="","",VLOOKUP(F1984,製品マスタ!$G$5:$L$5002,6,FALSE))</f>
        <v>ＭＥＴＡＬＵＭＹ　ＳＩＬＶＥＲ　Ｎ－ＭＡＴＴＥ　Ｘ４４Ｍ　Ｂ</v>
      </c>
      <c r="J1984" s="210" t="s">
        <v>447</v>
      </c>
      <c r="K1984" s="270">
        <f>IF(D1984="","",VLOOKUP(D1984,契約台帳!$A$3:$L$4986,12,FALSE))</f>
        <v>50</v>
      </c>
      <c r="L1984" s="270" t="s">
        <v>1759</v>
      </c>
      <c r="M1984" s="39">
        <v>1120</v>
      </c>
      <c r="N1984" s="39">
        <v>12000</v>
      </c>
      <c r="O1984" s="156">
        <v>1</v>
      </c>
      <c r="P1984" s="47">
        <v>1</v>
      </c>
      <c r="Q1984" s="57"/>
      <c r="R1984" s="271">
        <f ca="1">IF(D1984="","",IF(OFFSET(D1984,-1,0)&lt;&gt;"","",IF(OR(J1984="リード付け",J1984="巻足し",J1984="巻返しリード付け"),M1984,VLOOKUP(D1984,契約台帳!$A$3:$N$4986,14,FALSE))))</f>
        <v>1120</v>
      </c>
      <c r="S1984" s="272">
        <f ca="1">IF(D1984="","",IF(OFFSET(D1984,-1,0)&lt;&gt;"","",IF(OR(J1984="リード付け",J1984="巻足し",J1984="巻返しリード付け"),M1984,VLOOKUP(D1984,契約台帳!$A$3:$O$4986,15,FALSE))))</f>
        <v>1120</v>
      </c>
      <c r="T1984" s="273">
        <f ca="1">IF(D1984="","",IF(J1984="リード付け",N1984,IF(J1984="巻返しリード付け",N1984,IF(J1984="巻足し",N1984*P1984+OFFSET(N1984,1,0)*OFFSET(P1984,1,0),VLOOKUP(D1984,契約台帳!$A$3:$P$4986,16,FALSE)))))</f>
        <v>4000</v>
      </c>
      <c r="U1984" s="40">
        <v>3</v>
      </c>
      <c r="V1984" s="274" t="str">
        <f ca="1">IF(D1984="","",IF(OFFSET(D1984,-2,0)=D1984,"",VLOOKUP(D1984,契約台帳!$A$3:$R$4986,18,FALSE)))</f>
        <v/>
      </c>
      <c r="W1984" s="269" t="s">
        <v>806</v>
      </c>
      <c r="X1984" s="269">
        <v>1015</v>
      </c>
      <c r="Y1984" s="275">
        <f ca="1">IF(D1984="","",IF(T1984="","",VLOOKUP(D1984,契約台帳!$A$3:$Q$4986,17,FALSE)))</f>
        <v>2</v>
      </c>
      <c r="Z1984" s="269" t="str">
        <f ca="1">IF(D1984="","",IF(T1984="","",VLOOKUP(D1984,契約台帳!$A$3:$E$4986,5,FALSE)))</f>
        <v>リンテック㈱</v>
      </c>
      <c r="AA1984" s="57"/>
      <c r="AB1984" s="207"/>
      <c r="AC1984" s="33"/>
      <c r="AD1984" s="189"/>
      <c r="AE1984" s="54"/>
      <c r="AF1984" s="55"/>
      <c r="AG1984" s="43"/>
      <c r="AH1984" s="47"/>
      <c r="AI1984" s="30"/>
      <c r="AJ1984" s="30"/>
      <c r="AK1984" s="30"/>
      <c r="AL1984" s="30"/>
      <c r="AM1984" s="13"/>
      <c r="AN1984" s="13"/>
      <c r="AO1984" s="13"/>
      <c r="AP1984" s="13"/>
      <c r="AQ1984" s="13"/>
      <c r="AR1984" s="14"/>
      <c r="AS1984" s="15"/>
    </row>
    <row r="1985" spans="1:45" s="17" customFormat="1" ht="30.95" hidden="1" customHeight="1" x14ac:dyDescent="0.2">
      <c r="A1985" s="343"/>
      <c r="B1985" s="344"/>
      <c r="C1985" s="345"/>
      <c r="D1985" s="346"/>
      <c r="E1985" s="346"/>
      <c r="F1985" s="268"/>
      <c r="G1985" s="269"/>
      <c r="H1985" s="269"/>
      <c r="I1985" s="304" t="s">
        <v>2829</v>
      </c>
      <c r="J1985" s="434"/>
      <c r="K1985" s="270"/>
      <c r="L1985" s="270"/>
      <c r="M1985" s="348"/>
      <c r="N1985" s="348"/>
      <c r="O1985" s="435"/>
      <c r="P1985" s="349"/>
      <c r="Q1985" s="350"/>
      <c r="R1985" s="271"/>
      <c r="S1985" s="272"/>
      <c r="T1985" s="273"/>
      <c r="U1985" s="351"/>
      <c r="V1985" s="274"/>
      <c r="W1985" s="269"/>
      <c r="X1985" s="269"/>
      <c r="Y1985" s="275"/>
      <c r="Z1985" s="269"/>
      <c r="AA1985" s="350"/>
      <c r="AB1985" s="207"/>
      <c r="AC1985" s="352"/>
      <c r="AD1985" s="353"/>
      <c r="AE1985" s="54"/>
      <c r="AF1985" s="354"/>
      <c r="AG1985" s="355"/>
      <c r="AH1985" s="349"/>
      <c r="AI1985" s="30"/>
      <c r="AJ1985" s="30"/>
      <c r="AK1985" s="30"/>
      <c r="AL1985" s="30"/>
      <c r="AM1985" s="13"/>
      <c r="AN1985" s="13"/>
      <c r="AO1985" s="13"/>
      <c r="AP1985" s="13"/>
      <c r="AQ1985" s="13"/>
      <c r="AR1985" s="14"/>
      <c r="AS1985" s="15"/>
    </row>
    <row r="1986" spans="1:45" s="17" customFormat="1" ht="30.95" hidden="1" customHeight="1" x14ac:dyDescent="0.2">
      <c r="A1986" s="343" t="s">
        <v>1133</v>
      </c>
      <c r="B1986" s="344" t="s">
        <v>688</v>
      </c>
      <c r="C1986" s="45"/>
      <c r="D1986" s="398">
        <v>3754090</v>
      </c>
      <c r="E1986" s="31">
        <v>4151675</v>
      </c>
      <c r="F1986" s="268" t="str">
        <f>IF(D1986="","",VLOOKUP(D1986,契約台帳!$A$3:$K$4986,6,FALSE)&amp;VLOOKUP(D1986,契約台帳!$A$3:$K$4986,7,FALSE)&amp;VLOOKUP(D1986,契約台帳!$A$3:$K$4986,8,FALSE)&amp;VLOOKUP(D1986,契約台帳!$A$3:$K$4986,9,FALSE)&amp;VLOOKUP(D1986,契約台帳!$A$3:$K$4986,11,FALSE))</f>
        <v>3SYMLBMSNMBZF</v>
      </c>
      <c r="G1986" s="269" t="str">
        <f>IF(D1986="","",VLOOKUP(F1986,製品マスタ!$G$5:$H$5002,2,FALSE))</f>
        <v>S</v>
      </c>
      <c r="H1986" s="269" t="str">
        <f>IF(D1986="","",VLOOKUP(F1986,製品マスタ!$G$5:$K$5002,5,FALSE))</f>
        <v>MSNMBZF</v>
      </c>
      <c r="I1986" s="270" t="str">
        <f>IF(D1986="","",VLOOKUP(F1986,製品マスタ!$G$5:$L$5002,6,FALSE))</f>
        <v>ＭＥＴＡＬＵＭＹ　ＳＩＬＶＥＲ　Ｎ－ＭＡＴＴＥ　Ｂ</v>
      </c>
      <c r="J1986" s="210" t="s">
        <v>447</v>
      </c>
      <c r="K1986" s="270">
        <f>IF(D1986="","",VLOOKUP(D1986,契約台帳!$A$3:$L$4986,12,FALSE))</f>
        <v>50</v>
      </c>
      <c r="L1986" s="270" t="s">
        <v>1759</v>
      </c>
      <c r="M1986" s="39">
        <v>1120</v>
      </c>
      <c r="N1986" s="39">
        <v>12000</v>
      </c>
      <c r="O1986" s="156">
        <v>2</v>
      </c>
      <c r="P1986" s="47">
        <v>2</v>
      </c>
      <c r="Q1986" s="57"/>
      <c r="R1986" s="271">
        <f ca="1">IF(D1986="","",IF(OFFSET(D1986,-1,0)&lt;&gt;"","",IF(OR(J1986="リード付け",J1986="巻足し",J1986="巻返しリード付け"),M1986,VLOOKUP(D1986,契約台帳!$A$3:$N$4986,14,FALSE))))</f>
        <v>1120</v>
      </c>
      <c r="S1986" s="272">
        <f ca="1">IF(D1986="","",IF(OFFSET(D1986,-1,0)&lt;&gt;"","",IF(OR(J1986="リード付け",J1986="巻足し",J1986="巻返しリード付け"),M1986,VLOOKUP(D1986,契約台帳!$A$3:$O$4986,15,FALSE))))</f>
        <v>1120</v>
      </c>
      <c r="T1986" s="273">
        <f ca="1">IF(D1986="","",IF(J1986="リード付け",N1986,IF(J1986="巻返しリード付け",N1986,IF(J1986="巻足し",N1986*P1986+OFFSET(N1986,1,0)*OFFSET(P1986,1,0),VLOOKUP(D1986,契約台帳!$A$3:$P$4986,16,FALSE)))))</f>
        <v>4000</v>
      </c>
      <c r="U1986" s="40">
        <v>6</v>
      </c>
      <c r="V1986" s="274">
        <f ca="1">IF(D1986="","",IF(OFFSET(D1986,-2,0)=D1986,"",VLOOKUP(D1986,契約台帳!$A$3:$R$4986,18,FALSE)))</f>
        <v>8</v>
      </c>
      <c r="W1986" s="269" t="s">
        <v>806</v>
      </c>
      <c r="X1986" s="269">
        <v>1015</v>
      </c>
      <c r="Y1986" s="275">
        <f ca="1">IF(D1986="","",IF(T1986="","",VLOOKUP(D1986,契約台帳!$A$3:$Q$4986,17,FALSE)))</f>
        <v>2</v>
      </c>
      <c r="Z1986" s="269" t="str">
        <f ca="1">IF(D1986="","",IF(T1986="","",VLOOKUP(D1986,契約台帳!$A$3:$E$4986,5,FALSE)))</f>
        <v>リンテック㈱</v>
      </c>
      <c r="AA1986" s="57"/>
      <c r="AB1986" s="207"/>
      <c r="AC1986" s="33"/>
      <c r="AD1986" s="189"/>
      <c r="AE1986" s="54"/>
      <c r="AF1986" s="55"/>
      <c r="AG1986" s="43"/>
      <c r="AH1986" s="47"/>
      <c r="AI1986" s="30"/>
      <c r="AJ1986" s="30"/>
      <c r="AK1986" s="30"/>
      <c r="AL1986" s="30"/>
      <c r="AM1986" s="13"/>
      <c r="AN1986" s="13"/>
      <c r="AO1986" s="13"/>
      <c r="AP1986" s="13"/>
      <c r="AQ1986" s="13"/>
      <c r="AR1986" s="14"/>
      <c r="AS1986" s="15"/>
    </row>
    <row r="1987" spans="1:45" s="17" customFormat="1" ht="30.95" hidden="1" customHeight="1" x14ac:dyDescent="0.2">
      <c r="A1987" s="343"/>
      <c r="B1987" s="344"/>
      <c r="C1987" s="345"/>
      <c r="D1987" s="346"/>
      <c r="E1987" s="346"/>
      <c r="F1987" s="268"/>
      <c r="G1987" s="269"/>
      <c r="H1987" s="269"/>
      <c r="I1987" s="304" t="s">
        <v>2829</v>
      </c>
      <c r="J1987" s="434"/>
      <c r="K1987" s="270"/>
      <c r="L1987" s="270"/>
      <c r="M1987" s="348"/>
      <c r="N1987" s="348"/>
      <c r="O1987" s="435"/>
      <c r="P1987" s="349"/>
      <c r="Q1987" s="350"/>
      <c r="R1987" s="271"/>
      <c r="S1987" s="272"/>
      <c r="T1987" s="273"/>
      <c r="U1987" s="351"/>
      <c r="V1987" s="274"/>
      <c r="W1987" s="269"/>
      <c r="X1987" s="269"/>
      <c r="Y1987" s="275"/>
      <c r="Z1987" s="269"/>
      <c r="AA1987" s="350"/>
      <c r="AB1987" s="207"/>
      <c r="AC1987" s="352"/>
      <c r="AD1987" s="353"/>
      <c r="AE1987" s="54"/>
      <c r="AF1987" s="354"/>
      <c r="AG1987" s="355"/>
      <c r="AH1987" s="349"/>
      <c r="AI1987" s="30"/>
      <c r="AJ1987" s="30"/>
      <c r="AK1987" s="30"/>
      <c r="AL1987" s="30"/>
      <c r="AM1987" s="13"/>
      <c r="AN1987" s="13"/>
      <c r="AO1987" s="13"/>
      <c r="AP1987" s="13"/>
      <c r="AQ1987" s="13"/>
      <c r="AR1987" s="14"/>
      <c r="AS1987" s="15"/>
    </row>
    <row r="1988" spans="1:45" s="17" customFormat="1" ht="30.95" hidden="1" customHeight="1" x14ac:dyDescent="0.2">
      <c r="A1988" s="343"/>
      <c r="B1988" s="344"/>
      <c r="C1988" s="45"/>
      <c r="D1988" s="398">
        <v>3754090</v>
      </c>
      <c r="E1988" s="31">
        <v>4151675</v>
      </c>
      <c r="F1988" s="268" t="str">
        <f>IF(D1988="","",VLOOKUP(D1988,契約台帳!$A$3:$K$4986,6,FALSE)&amp;VLOOKUP(D1988,契約台帳!$A$3:$K$4986,7,FALSE)&amp;VLOOKUP(D1988,契約台帳!$A$3:$K$4986,8,FALSE)&amp;VLOOKUP(D1988,契約台帳!$A$3:$K$4986,9,FALSE)&amp;VLOOKUP(D1988,契約台帳!$A$3:$K$4986,11,FALSE))</f>
        <v>3SYMLBMSNMBZF</v>
      </c>
      <c r="G1988" s="269" t="str">
        <f>IF(D1988="","",VLOOKUP(F1988,製品マスタ!$G$5:$H$5002,2,FALSE))</f>
        <v>S</v>
      </c>
      <c r="H1988" s="269" t="str">
        <f>IF(D1988="","",VLOOKUP(F1988,製品マスタ!$G$5:$K$5002,5,FALSE))</f>
        <v>MSNMBZF</v>
      </c>
      <c r="I1988" s="270" t="str">
        <f>IF(D1988="","",VLOOKUP(F1988,製品マスタ!$G$5:$L$5002,6,FALSE))</f>
        <v>ＭＥＴＡＬＵＭＹ　ＳＩＬＶＥＲ　Ｎ－ＭＡＴＴＥ　Ｂ</v>
      </c>
      <c r="J1988" s="210" t="s">
        <v>447</v>
      </c>
      <c r="K1988" s="270">
        <f>IF(D1988="","",VLOOKUP(D1988,契約台帳!$A$3:$L$4986,12,FALSE))</f>
        <v>50</v>
      </c>
      <c r="L1988" s="270" t="s">
        <v>1759</v>
      </c>
      <c r="M1988" s="39">
        <v>1120</v>
      </c>
      <c r="N1988" s="39">
        <v>8000</v>
      </c>
      <c r="O1988" s="156">
        <v>1</v>
      </c>
      <c r="P1988" s="47">
        <v>1</v>
      </c>
      <c r="Q1988" s="57"/>
      <c r="R1988" s="271">
        <f ca="1">IF(D1988="","",IF(OFFSET(D1988,-1,0)&lt;&gt;"","",IF(OR(J1988="リード付け",J1988="巻足し",J1988="巻返しリード付け"),M1988,VLOOKUP(D1988,契約台帳!$A$3:$N$4986,14,FALSE))))</f>
        <v>1120</v>
      </c>
      <c r="S1988" s="272">
        <f ca="1">IF(D1988="","",IF(OFFSET(D1988,-1,0)&lt;&gt;"","",IF(OR(J1988="リード付け",J1988="巻足し",J1988="巻返しリード付け"),M1988,VLOOKUP(D1988,契約台帳!$A$3:$O$4986,15,FALSE))))</f>
        <v>1120</v>
      </c>
      <c r="T1988" s="273">
        <f ca="1">IF(D1988="","",IF(J1988="リード付け",N1988,IF(J1988="巻返しリード付け",N1988,IF(J1988="巻足し",N1988*P1988+OFFSET(N1988,1,0)*OFFSET(P1988,1,0),VLOOKUP(D1988,契約台帳!$A$3:$P$4986,16,FALSE)))))</f>
        <v>4000</v>
      </c>
      <c r="U1988" s="40">
        <v>2</v>
      </c>
      <c r="V1988" s="274" t="str">
        <f ca="1">IF(D1988="","",IF(OFFSET(D1988,-2,0)=D1988,"",VLOOKUP(D1988,契約台帳!$A$3:$R$4986,18,FALSE)))</f>
        <v/>
      </c>
      <c r="W1988" s="269" t="s">
        <v>806</v>
      </c>
      <c r="X1988" s="269">
        <v>1015</v>
      </c>
      <c r="Y1988" s="275">
        <f ca="1">IF(D1988="","",IF(T1988="","",VLOOKUP(D1988,契約台帳!$A$3:$Q$4986,17,FALSE)))</f>
        <v>2</v>
      </c>
      <c r="Z1988" s="269" t="str">
        <f ca="1">IF(D1988="","",IF(T1988="","",VLOOKUP(D1988,契約台帳!$A$3:$E$4986,5,FALSE)))</f>
        <v>リンテック㈱</v>
      </c>
      <c r="AA1988" s="57"/>
      <c r="AB1988" s="207"/>
      <c r="AC1988" s="33"/>
      <c r="AD1988" s="189"/>
      <c r="AE1988" s="54"/>
      <c r="AF1988" s="55"/>
      <c r="AG1988" s="43"/>
      <c r="AH1988" s="47"/>
      <c r="AI1988" s="30"/>
      <c r="AJ1988" s="30"/>
      <c r="AK1988" s="30"/>
      <c r="AL1988" s="30"/>
      <c r="AM1988" s="13"/>
      <c r="AN1988" s="13"/>
      <c r="AO1988" s="13"/>
      <c r="AP1988" s="13"/>
      <c r="AQ1988" s="13"/>
      <c r="AR1988" s="14"/>
      <c r="AS1988" s="15"/>
    </row>
    <row r="1989" spans="1:45" s="17" customFormat="1" ht="30.95" hidden="1" customHeight="1" x14ac:dyDescent="0.2">
      <c r="A1989" s="343"/>
      <c r="B1989" s="344"/>
      <c r="C1989" s="345"/>
      <c r="D1989" s="346"/>
      <c r="E1989" s="346"/>
      <c r="F1989" s="268"/>
      <c r="G1989" s="269"/>
      <c r="H1989" s="269"/>
      <c r="I1989" s="304" t="s">
        <v>2829</v>
      </c>
      <c r="J1989" s="434"/>
      <c r="K1989" s="270"/>
      <c r="L1989" s="270"/>
      <c r="M1989" s="348"/>
      <c r="N1989" s="348"/>
      <c r="O1989" s="435"/>
      <c r="P1989" s="349"/>
      <c r="Q1989" s="350"/>
      <c r="R1989" s="271"/>
      <c r="S1989" s="272"/>
      <c r="T1989" s="273"/>
      <c r="U1989" s="351"/>
      <c r="V1989" s="274"/>
      <c r="W1989" s="269"/>
      <c r="X1989" s="269"/>
      <c r="Y1989" s="275"/>
      <c r="Z1989" s="269"/>
      <c r="AA1989" s="350"/>
      <c r="AB1989" s="207"/>
      <c r="AC1989" s="352"/>
      <c r="AD1989" s="353"/>
      <c r="AE1989" s="54"/>
      <c r="AF1989" s="354"/>
      <c r="AG1989" s="355"/>
      <c r="AH1989" s="349"/>
      <c r="AI1989" s="30"/>
      <c r="AJ1989" s="30"/>
      <c r="AK1989" s="30"/>
      <c r="AL1989" s="30"/>
      <c r="AM1989" s="13"/>
      <c r="AN1989" s="13"/>
      <c r="AO1989" s="13"/>
      <c r="AP1989" s="13"/>
      <c r="AQ1989" s="13"/>
      <c r="AR1989" s="14"/>
      <c r="AS1989" s="15"/>
    </row>
    <row r="1990" spans="1:45" s="17" customFormat="1" ht="30.95" hidden="1" customHeight="1" x14ac:dyDescent="0.2">
      <c r="A1990" s="343"/>
      <c r="B1990" s="344"/>
      <c r="C1990" s="45"/>
      <c r="D1990" s="398">
        <v>3754092</v>
      </c>
      <c r="E1990" s="31">
        <v>4151670</v>
      </c>
      <c r="F1990" s="268" t="str">
        <f>IF(D1990="","",VLOOKUP(D1990,契約台帳!$A$3:$K$4986,6,FALSE)&amp;VLOOKUP(D1990,契約台帳!$A$3:$K$4986,7,FALSE)&amp;VLOOKUP(D1990,契約台帳!$A$3:$K$4986,8,FALSE)&amp;VLOOKUP(D1990,契約台帳!$A$3:$K$4986,9,FALSE)&amp;VLOOKUP(D1990,契約台帳!$A$3:$K$4986,11,FALSE))</f>
        <v>3SYMLBMSNMBF</v>
      </c>
      <c r="G1990" s="269" t="str">
        <f>IF(D1990="","",VLOOKUP(F1990,製品マスタ!$G$5:$H$5002,2,FALSE))</f>
        <v>S</v>
      </c>
      <c r="H1990" s="269" t="str">
        <f>IF(D1990="","",VLOOKUP(F1990,製品マスタ!$G$5:$K$5002,5,FALSE))</f>
        <v>MSNMBF</v>
      </c>
      <c r="I1990" s="270" t="str">
        <f>IF(D1990="","",VLOOKUP(F1990,製品マスタ!$G$5:$L$5002,6,FALSE))</f>
        <v>ＭＥＴＡＬＵＭＹ　ＳＩＬＶＥＲ　Ｎ－ＭＡＴＴＥ　Ｘ４４Ｍ　Ｂ</v>
      </c>
      <c r="J1990" s="210" t="s">
        <v>447</v>
      </c>
      <c r="K1990" s="270">
        <f>IF(D1990="","",VLOOKUP(D1990,契約台帳!$A$3:$L$4986,12,FALSE))</f>
        <v>50</v>
      </c>
      <c r="L1990" s="270" t="s">
        <v>1759</v>
      </c>
      <c r="M1990" s="39">
        <v>1005</v>
      </c>
      <c r="N1990" s="39">
        <v>8000</v>
      </c>
      <c r="O1990" s="156">
        <v>2</v>
      </c>
      <c r="P1990" s="47">
        <v>2</v>
      </c>
      <c r="Q1990" s="57"/>
      <c r="R1990" s="271">
        <f ca="1">IF(D1990="","",IF(OFFSET(D1990,-1,0)&lt;&gt;"","",IF(OR(J1990="リード付け",J1990="巻足し",J1990="巻返しリード付け"),M1990,VLOOKUP(D1990,契約台帳!$A$3:$N$4986,14,FALSE))))</f>
        <v>1005</v>
      </c>
      <c r="S1990" s="272">
        <f ca="1">IF(D1990="","",IF(OFFSET(D1990,-1,0)&lt;&gt;"","",IF(OR(J1990="リード付け",J1990="巻足し",J1990="巻返しリード付け"),M1990,VLOOKUP(D1990,契約台帳!$A$3:$O$4986,15,FALSE))))</f>
        <v>1005</v>
      </c>
      <c r="T1990" s="273">
        <f ca="1">IF(D1990="","",IF(J1990="リード付け",N1990,IF(J1990="巻返しリード付け",N1990,IF(J1990="巻足し",N1990*P1990+OFFSET(N1990,1,0)*OFFSET(P1990,1,0),VLOOKUP(D1990,契約台帳!$A$3:$P$4986,16,FALSE)))))</f>
        <v>4000</v>
      </c>
      <c r="U1990" s="40">
        <v>4</v>
      </c>
      <c r="V1990" s="274">
        <f ca="1">IF(D1990="","",IF(OFFSET(D1990,-2,0)=D1990,"",VLOOKUP(D1990,契約台帳!$A$3:$R$4986,18,FALSE)))</f>
        <v>4</v>
      </c>
      <c r="W1990" s="269" t="s">
        <v>806</v>
      </c>
      <c r="X1990" s="269">
        <v>1015</v>
      </c>
      <c r="Y1990" s="275">
        <f ca="1">IF(D1990="","",IF(T1990="","",VLOOKUP(D1990,契約台帳!$A$3:$Q$4986,17,FALSE)))</f>
        <v>2</v>
      </c>
      <c r="Z1990" s="269" t="str">
        <f ca="1">IF(D1990="","",IF(T1990="","",VLOOKUP(D1990,契約台帳!$A$3:$E$4986,5,FALSE)))</f>
        <v>リンテック㈱</v>
      </c>
      <c r="AA1990" s="57"/>
      <c r="AB1990" s="207"/>
      <c r="AC1990" s="33"/>
      <c r="AD1990" s="189"/>
      <c r="AE1990" s="54"/>
      <c r="AF1990" s="55"/>
      <c r="AG1990" s="43"/>
      <c r="AH1990" s="47"/>
      <c r="AI1990" s="30"/>
      <c r="AJ1990" s="30"/>
      <c r="AK1990" s="30"/>
      <c r="AL1990" s="30"/>
      <c r="AM1990" s="13"/>
      <c r="AN1990" s="13"/>
      <c r="AO1990" s="13"/>
      <c r="AP1990" s="13"/>
      <c r="AQ1990" s="13"/>
      <c r="AR1990" s="14"/>
      <c r="AS1990" s="15"/>
    </row>
    <row r="1991" spans="1:45" s="17" customFormat="1" ht="30.95" hidden="1" customHeight="1" x14ac:dyDescent="0.2">
      <c r="A1991" s="343"/>
      <c r="B1991" s="344"/>
      <c r="C1991" s="345"/>
      <c r="D1991" s="346"/>
      <c r="E1991" s="346"/>
      <c r="F1991" s="268"/>
      <c r="G1991" s="269"/>
      <c r="H1991" s="269"/>
      <c r="I1991" s="304" t="s">
        <v>2829</v>
      </c>
      <c r="J1991" s="434"/>
      <c r="K1991" s="270"/>
      <c r="L1991" s="270"/>
      <c r="M1991" s="348"/>
      <c r="N1991" s="348"/>
      <c r="O1991" s="435"/>
      <c r="P1991" s="349"/>
      <c r="Q1991" s="350"/>
      <c r="R1991" s="271"/>
      <c r="S1991" s="272"/>
      <c r="T1991" s="273"/>
      <c r="U1991" s="351"/>
      <c r="V1991" s="274"/>
      <c r="W1991" s="269"/>
      <c r="X1991" s="269"/>
      <c r="Y1991" s="275"/>
      <c r="Z1991" s="269"/>
      <c r="AA1991" s="350"/>
      <c r="AB1991" s="207"/>
      <c r="AC1991" s="352"/>
      <c r="AD1991" s="353"/>
      <c r="AE1991" s="54"/>
      <c r="AF1991" s="354"/>
      <c r="AG1991" s="355"/>
      <c r="AH1991" s="349"/>
      <c r="AI1991" s="30"/>
      <c r="AJ1991" s="30"/>
      <c r="AK1991" s="30"/>
      <c r="AL1991" s="30"/>
      <c r="AM1991" s="13"/>
      <c r="AN1991" s="13"/>
      <c r="AO1991" s="13"/>
      <c r="AP1991" s="13"/>
      <c r="AQ1991" s="13"/>
      <c r="AR1991" s="14"/>
      <c r="AS1991" s="15"/>
    </row>
    <row r="1992" spans="1:45" s="17" customFormat="1" ht="30.95" hidden="1" customHeight="1" x14ac:dyDescent="0.2">
      <c r="A1992" s="343" t="s">
        <v>2804</v>
      </c>
      <c r="B1992" s="344" t="s">
        <v>2805</v>
      </c>
      <c r="C1992" s="345"/>
      <c r="D1992" s="346"/>
      <c r="E1992" s="346"/>
      <c r="F1992" s="268"/>
      <c r="G1992" s="269"/>
      <c r="H1992" s="269"/>
      <c r="I1992" s="270"/>
      <c r="J1992" s="434" t="s">
        <v>489</v>
      </c>
      <c r="K1992" s="270"/>
      <c r="L1992" s="270"/>
      <c r="M1992" s="348"/>
      <c r="N1992" s="348"/>
      <c r="O1992" s="435"/>
      <c r="P1992" s="349"/>
      <c r="Q1992" s="350"/>
      <c r="R1992" s="271"/>
      <c r="S1992" s="272"/>
      <c r="T1992" s="273"/>
      <c r="U1992" s="351"/>
      <c r="V1992" s="274"/>
      <c r="W1992" s="269"/>
      <c r="X1992" s="269"/>
      <c r="Y1992" s="275"/>
      <c r="Z1992" s="269"/>
      <c r="AA1992" s="350"/>
      <c r="AB1992" s="207"/>
      <c r="AC1992" s="352"/>
      <c r="AD1992" s="353"/>
      <c r="AE1992" s="54"/>
      <c r="AF1992" s="354"/>
      <c r="AG1992" s="355"/>
      <c r="AH1992" s="349"/>
      <c r="AI1992" s="30"/>
      <c r="AJ1992" s="30"/>
      <c r="AK1992" s="30"/>
      <c r="AL1992" s="30"/>
      <c r="AM1992" s="13"/>
      <c r="AN1992" s="13"/>
      <c r="AO1992" s="13"/>
      <c r="AP1992" s="13"/>
      <c r="AQ1992" s="13"/>
      <c r="AR1992" s="14"/>
      <c r="AS1992" s="15"/>
    </row>
    <row r="1993" spans="1:45" s="17" customFormat="1" ht="30.95" hidden="1" customHeight="1" x14ac:dyDescent="0.2">
      <c r="A1993" s="343"/>
      <c r="B1993" s="344"/>
      <c r="C1993" s="345"/>
      <c r="D1993" s="346"/>
      <c r="E1993" s="346"/>
      <c r="F1993" s="268"/>
      <c r="G1993" s="269"/>
      <c r="H1993" s="269"/>
      <c r="I1993" s="270"/>
      <c r="J1993" s="434"/>
      <c r="K1993" s="270"/>
      <c r="L1993" s="270"/>
      <c r="M1993" s="348"/>
      <c r="N1993" s="348"/>
      <c r="O1993" s="435"/>
      <c r="P1993" s="349"/>
      <c r="Q1993" s="350"/>
      <c r="R1993" s="271"/>
      <c r="S1993" s="272"/>
      <c r="T1993" s="273"/>
      <c r="U1993" s="351"/>
      <c r="V1993" s="274"/>
      <c r="W1993" s="269"/>
      <c r="X1993" s="269"/>
      <c r="Y1993" s="275"/>
      <c r="Z1993" s="269"/>
      <c r="AA1993" s="350"/>
      <c r="AB1993" s="207"/>
      <c r="AC1993" s="352"/>
      <c r="AD1993" s="353"/>
      <c r="AE1993" s="54"/>
      <c r="AF1993" s="354"/>
      <c r="AG1993" s="355"/>
      <c r="AH1993" s="349"/>
      <c r="AI1993" s="30"/>
      <c r="AJ1993" s="30"/>
      <c r="AK1993" s="30"/>
      <c r="AL1993" s="30"/>
      <c r="AM1993" s="13"/>
      <c r="AN1993" s="13"/>
      <c r="AO1993" s="13"/>
      <c r="AP1993" s="13"/>
      <c r="AQ1993" s="13"/>
      <c r="AR1993" s="14"/>
      <c r="AS1993" s="15"/>
    </row>
    <row r="1994" spans="1:45" s="17" customFormat="1" ht="30.95" hidden="1" customHeight="1" x14ac:dyDescent="0.2">
      <c r="A1994" s="343" t="s">
        <v>2806</v>
      </c>
      <c r="B1994" s="344" t="s">
        <v>2797</v>
      </c>
      <c r="C1994" s="345"/>
      <c r="D1994" s="346"/>
      <c r="E1994" s="346"/>
      <c r="F1994" s="268"/>
      <c r="G1994" s="269"/>
      <c r="H1994" s="269"/>
      <c r="I1994" s="270"/>
      <c r="J1994" s="434" t="s">
        <v>489</v>
      </c>
      <c r="K1994" s="270"/>
      <c r="L1994" s="270"/>
      <c r="M1994" s="348"/>
      <c r="N1994" s="348"/>
      <c r="O1994" s="435"/>
      <c r="P1994" s="349"/>
      <c r="Q1994" s="350"/>
      <c r="R1994" s="271"/>
      <c r="S1994" s="272"/>
      <c r="T1994" s="273"/>
      <c r="U1994" s="351"/>
      <c r="V1994" s="274"/>
      <c r="W1994" s="269"/>
      <c r="X1994" s="269"/>
      <c r="Y1994" s="275"/>
      <c r="Z1994" s="269"/>
      <c r="AA1994" s="350"/>
      <c r="AB1994" s="207"/>
      <c r="AC1994" s="352"/>
      <c r="AD1994" s="353"/>
      <c r="AE1994" s="54"/>
      <c r="AF1994" s="354"/>
      <c r="AG1994" s="355"/>
      <c r="AH1994" s="349"/>
      <c r="AI1994" s="30"/>
      <c r="AJ1994" s="30"/>
      <c r="AK1994" s="30"/>
      <c r="AL1994" s="30"/>
      <c r="AM1994" s="13"/>
      <c r="AN1994" s="13"/>
      <c r="AO1994" s="13"/>
      <c r="AP1994" s="13"/>
      <c r="AQ1994" s="13"/>
      <c r="AR1994" s="14"/>
      <c r="AS1994" s="15"/>
    </row>
    <row r="1995" spans="1:45" s="17" customFormat="1" ht="30.95" hidden="1" customHeight="1" x14ac:dyDescent="0.2">
      <c r="A1995" s="343"/>
      <c r="B1995" s="344"/>
      <c r="C1995" s="345"/>
      <c r="D1995" s="346"/>
      <c r="E1995" s="346"/>
      <c r="F1995" s="268"/>
      <c r="G1995" s="269"/>
      <c r="H1995" s="269"/>
      <c r="I1995" s="270"/>
      <c r="J1995" s="434"/>
      <c r="K1995" s="270"/>
      <c r="L1995" s="270"/>
      <c r="M1995" s="348"/>
      <c r="N1995" s="348"/>
      <c r="O1995" s="435"/>
      <c r="P1995" s="349"/>
      <c r="Q1995" s="350"/>
      <c r="R1995" s="271"/>
      <c r="S1995" s="272"/>
      <c r="T1995" s="273"/>
      <c r="U1995" s="351"/>
      <c r="V1995" s="274"/>
      <c r="W1995" s="269"/>
      <c r="X1995" s="269"/>
      <c r="Y1995" s="275"/>
      <c r="Z1995" s="269"/>
      <c r="AA1995" s="350"/>
      <c r="AB1995" s="207"/>
      <c r="AC1995" s="352"/>
      <c r="AD1995" s="353"/>
      <c r="AE1995" s="54"/>
      <c r="AF1995" s="354"/>
      <c r="AG1995" s="355"/>
      <c r="AH1995" s="349"/>
      <c r="AI1995" s="30"/>
      <c r="AJ1995" s="30"/>
      <c r="AK1995" s="30"/>
      <c r="AL1995" s="30"/>
      <c r="AM1995" s="13"/>
      <c r="AN1995" s="13"/>
      <c r="AO1995" s="13"/>
      <c r="AP1995" s="13"/>
      <c r="AQ1995" s="13"/>
      <c r="AR1995" s="14"/>
      <c r="AS1995" s="15"/>
    </row>
    <row r="1996" spans="1:45" s="17" customFormat="1" ht="30.95" hidden="1" customHeight="1" x14ac:dyDescent="0.2">
      <c r="A1996" s="343" t="s">
        <v>2807</v>
      </c>
      <c r="B1996" s="344" t="s">
        <v>2799</v>
      </c>
      <c r="C1996" s="345"/>
      <c r="D1996" s="346"/>
      <c r="E1996" s="346"/>
      <c r="F1996" s="268"/>
      <c r="G1996" s="269"/>
      <c r="H1996" s="269"/>
      <c r="I1996" s="270" t="s">
        <v>2830</v>
      </c>
      <c r="J1996" s="434"/>
      <c r="K1996" s="270"/>
      <c r="L1996" s="270"/>
      <c r="M1996" s="348"/>
      <c r="N1996" s="348"/>
      <c r="O1996" s="435"/>
      <c r="P1996" s="349"/>
      <c r="Q1996" s="350"/>
      <c r="R1996" s="271"/>
      <c r="S1996" s="272"/>
      <c r="T1996" s="273"/>
      <c r="U1996" s="351"/>
      <c r="V1996" s="274"/>
      <c r="W1996" s="269"/>
      <c r="X1996" s="269"/>
      <c r="Y1996" s="275"/>
      <c r="Z1996" s="269"/>
      <c r="AA1996" s="350"/>
      <c r="AB1996" s="207"/>
      <c r="AC1996" s="352"/>
      <c r="AD1996" s="353"/>
      <c r="AE1996" s="54"/>
      <c r="AF1996" s="354"/>
      <c r="AG1996" s="355"/>
      <c r="AH1996" s="349"/>
      <c r="AI1996" s="30"/>
      <c r="AJ1996" s="30"/>
      <c r="AK1996" s="30"/>
      <c r="AL1996" s="30"/>
      <c r="AM1996" s="13"/>
      <c r="AN1996" s="13"/>
      <c r="AO1996" s="13"/>
      <c r="AP1996" s="13"/>
      <c r="AQ1996" s="13"/>
      <c r="AR1996" s="14"/>
      <c r="AS1996" s="15"/>
    </row>
    <row r="1997" spans="1:45" s="17" customFormat="1" ht="30.95" hidden="1" customHeight="1" x14ac:dyDescent="0.2">
      <c r="A1997" s="343"/>
      <c r="B1997" s="344"/>
      <c r="C1997" s="345"/>
      <c r="D1997" s="346"/>
      <c r="E1997" s="346"/>
      <c r="F1997" s="268"/>
      <c r="G1997" s="269"/>
      <c r="H1997" s="269"/>
      <c r="I1997" s="270"/>
      <c r="J1997" s="434"/>
      <c r="K1997" s="270"/>
      <c r="L1997" s="270"/>
      <c r="M1997" s="348"/>
      <c r="N1997" s="348"/>
      <c r="O1997" s="435"/>
      <c r="P1997" s="349"/>
      <c r="Q1997" s="350"/>
      <c r="R1997" s="271"/>
      <c r="S1997" s="272"/>
      <c r="T1997" s="273"/>
      <c r="U1997" s="351"/>
      <c r="V1997" s="274"/>
      <c r="W1997" s="269"/>
      <c r="X1997" s="269"/>
      <c r="Y1997" s="275"/>
      <c r="Z1997" s="269"/>
      <c r="AA1997" s="350"/>
      <c r="AB1997" s="207"/>
      <c r="AC1997" s="352"/>
      <c r="AD1997" s="353"/>
      <c r="AE1997" s="54"/>
      <c r="AF1997" s="354"/>
      <c r="AG1997" s="355"/>
      <c r="AH1997" s="349"/>
      <c r="AI1997" s="30"/>
      <c r="AJ1997" s="30"/>
      <c r="AK1997" s="30"/>
      <c r="AL1997" s="30"/>
      <c r="AM1997" s="13"/>
      <c r="AN1997" s="13"/>
      <c r="AO1997" s="13"/>
      <c r="AP1997" s="13"/>
      <c r="AQ1997" s="13"/>
      <c r="AR1997" s="14"/>
      <c r="AS1997" s="15"/>
    </row>
    <row r="1998" spans="1:45" s="17" customFormat="1" ht="30.95" hidden="1" customHeight="1" x14ac:dyDescent="0.2">
      <c r="A1998" s="343" t="s">
        <v>2808</v>
      </c>
      <c r="B1998" s="344" t="s">
        <v>2801</v>
      </c>
      <c r="C1998" s="345"/>
      <c r="D1998" s="346"/>
      <c r="E1998" s="346"/>
      <c r="F1998" s="268"/>
      <c r="G1998" s="269"/>
      <c r="H1998" s="269"/>
      <c r="I1998" s="270"/>
      <c r="J1998" s="434" t="s">
        <v>448</v>
      </c>
      <c r="K1998" s="270"/>
      <c r="L1998" s="270"/>
      <c r="M1998" s="348"/>
      <c r="N1998" s="348"/>
      <c r="O1998" s="435"/>
      <c r="P1998" s="349"/>
      <c r="Q1998" s="350"/>
      <c r="R1998" s="271"/>
      <c r="S1998" s="272"/>
      <c r="T1998" s="273"/>
      <c r="U1998" s="351"/>
      <c r="V1998" s="274"/>
      <c r="W1998" s="269"/>
      <c r="X1998" s="269"/>
      <c r="Y1998" s="275"/>
      <c r="Z1998" s="269"/>
      <c r="AA1998" s="350"/>
      <c r="AB1998" s="207"/>
      <c r="AC1998" s="352"/>
      <c r="AD1998" s="353"/>
      <c r="AE1998" s="54"/>
      <c r="AF1998" s="354"/>
      <c r="AG1998" s="355"/>
      <c r="AH1998" s="349"/>
      <c r="AI1998" s="30"/>
      <c r="AJ1998" s="30"/>
      <c r="AK1998" s="30"/>
      <c r="AL1998" s="30"/>
      <c r="AM1998" s="13"/>
      <c r="AN1998" s="13"/>
      <c r="AO1998" s="13"/>
      <c r="AP1998" s="13"/>
      <c r="AQ1998" s="13"/>
      <c r="AR1998" s="14"/>
      <c r="AS1998" s="15"/>
    </row>
    <row r="1999" spans="1:45" s="17" customFormat="1" ht="30.95" hidden="1" customHeight="1" x14ac:dyDescent="0.2">
      <c r="A1999" s="343"/>
      <c r="B1999" s="344"/>
      <c r="C1999" s="345"/>
      <c r="D1999" s="346"/>
      <c r="E1999" s="346"/>
      <c r="F1999" s="268"/>
      <c r="G1999" s="269"/>
      <c r="H1999" s="269"/>
      <c r="I1999" s="270"/>
      <c r="J1999" s="434"/>
      <c r="K1999" s="270"/>
      <c r="L1999" s="270"/>
      <c r="M1999" s="348"/>
      <c r="N1999" s="348"/>
      <c r="O1999" s="435"/>
      <c r="P1999" s="349"/>
      <c r="Q1999" s="350"/>
      <c r="R1999" s="271"/>
      <c r="S1999" s="272"/>
      <c r="T1999" s="273"/>
      <c r="U1999" s="351"/>
      <c r="V1999" s="274"/>
      <c r="W1999" s="269"/>
      <c r="X1999" s="269"/>
      <c r="Y1999" s="275"/>
      <c r="Z1999" s="269"/>
      <c r="AA1999" s="350"/>
      <c r="AB1999" s="207"/>
      <c r="AC1999" s="352"/>
      <c r="AD1999" s="353"/>
      <c r="AE1999" s="54"/>
      <c r="AF1999" s="354"/>
      <c r="AG1999" s="355"/>
      <c r="AH1999" s="349"/>
      <c r="AI1999" s="30"/>
      <c r="AJ1999" s="30"/>
      <c r="AK1999" s="30"/>
      <c r="AL1999" s="30"/>
      <c r="AM1999" s="13"/>
      <c r="AN1999" s="13"/>
      <c r="AO1999" s="13"/>
      <c r="AP1999" s="13"/>
      <c r="AQ1999" s="13"/>
      <c r="AR1999" s="14"/>
      <c r="AS1999" s="15"/>
    </row>
    <row r="2000" spans="1:45" s="17" customFormat="1" ht="30.95" hidden="1" customHeight="1" x14ac:dyDescent="0.2">
      <c r="A2000" s="343" t="s">
        <v>2809</v>
      </c>
      <c r="B2000" s="344" t="s">
        <v>2803</v>
      </c>
      <c r="C2000" s="345"/>
      <c r="D2000" s="346"/>
      <c r="E2000" s="346"/>
      <c r="F2000" s="268"/>
      <c r="G2000" s="269"/>
      <c r="H2000" s="269"/>
      <c r="I2000" s="270"/>
      <c r="J2000" s="434" t="s">
        <v>448</v>
      </c>
      <c r="K2000" s="270"/>
      <c r="L2000" s="270"/>
      <c r="M2000" s="348"/>
      <c r="N2000" s="348"/>
      <c r="O2000" s="435"/>
      <c r="P2000" s="349"/>
      <c r="Q2000" s="350"/>
      <c r="R2000" s="271"/>
      <c r="S2000" s="272"/>
      <c r="T2000" s="273"/>
      <c r="U2000" s="351"/>
      <c r="V2000" s="274"/>
      <c r="W2000" s="269"/>
      <c r="X2000" s="269"/>
      <c r="Y2000" s="275"/>
      <c r="Z2000" s="269"/>
      <c r="AA2000" s="350"/>
      <c r="AB2000" s="207"/>
      <c r="AC2000" s="352"/>
      <c r="AD2000" s="353"/>
      <c r="AE2000" s="54"/>
      <c r="AF2000" s="354"/>
      <c r="AG2000" s="355"/>
      <c r="AH2000" s="349"/>
      <c r="AI2000" s="30"/>
      <c r="AJ2000" s="30"/>
      <c r="AK2000" s="30"/>
      <c r="AL2000" s="30"/>
      <c r="AM2000" s="13"/>
      <c r="AN2000" s="13"/>
      <c r="AO2000" s="13"/>
      <c r="AP2000" s="13"/>
      <c r="AQ2000" s="13"/>
      <c r="AR2000" s="14"/>
      <c r="AS2000" s="15"/>
    </row>
    <row r="2001" spans="1:45" s="17" customFormat="1" ht="30.95" hidden="1" customHeight="1" x14ac:dyDescent="0.2">
      <c r="A2001" s="343"/>
      <c r="B2001" s="344"/>
      <c r="C2001" s="345"/>
      <c r="D2001" s="346"/>
      <c r="E2001" s="346"/>
      <c r="F2001" s="268"/>
      <c r="G2001" s="269"/>
      <c r="H2001" s="269"/>
      <c r="I2001" s="270"/>
      <c r="J2001" s="434"/>
      <c r="K2001" s="270"/>
      <c r="L2001" s="270"/>
      <c r="M2001" s="348"/>
      <c r="N2001" s="348"/>
      <c r="O2001" s="435"/>
      <c r="P2001" s="349"/>
      <c r="Q2001" s="350"/>
      <c r="R2001" s="271"/>
      <c r="S2001" s="272"/>
      <c r="T2001" s="273"/>
      <c r="U2001" s="351"/>
      <c r="V2001" s="274"/>
      <c r="W2001" s="269"/>
      <c r="X2001" s="269"/>
      <c r="Y2001" s="275"/>
      <c r="Z2001" s="269"/>
      <c r="AA2001" s="350"/>
      <c r="AB2001" s="207"/>
      <c r="AC2001" s="352"/>
      <c r="AD2001" s="353"/>
      <c r="AE2001" s="54"/>
      <c r="AF2001" s="354"/>
      <c r="AG2001" s="355"/>
      <c r="AH2001" s="349"/>
      <c r="AI2001" s="30"/>
      <c r="AJ2001" s="30"/>
      <c r="AK2001" s="30"/>
      <c r="AL2001" s="30"/>
      <c r="AM2001" s="13"/>
      <c r="AN2001" s="13"/>
      <c r="AO2001" s="13"/>
      <c r="AP2001" s="13"/>
      <c r="AQ2001" s="13"/>
      <c r="AR2001" s="14"/>
      <c r="AS2001" s="15"/>
    </row>
    <row r="2002" spans="1:45" s="17" customFormat="1" ht="30.6" hidden="1" customHeight="1" x14ac:dyDescent="0.2">
      <c r="A2002" s="37" t="s">
        <v>2863</v>
      </c>
      <c r="B2002" s="38" t="s">
        <v>2864</v>
      </c>
      <c r="C2002" s="45"/>
      <c r="D2002" s="31">
        <v>3758085</v>
      </c>
      <c r="E2002" s="31">
        <v>4163237</v>
      </c>
      <c r="F2002" s="268" t="str">
        <f>IF(D2002="","",VLOOKUP(D2002,契約台帳!$A$3:$K$4986,6,FALSE)&amp;VLOOKUP(D2002,契約台帳!$A$3:$K$4986,7,FALSE)&amp;VLOOKUP(D2002,契約台帳!$A$3:$K$4986,8,FALSE)&amp;VLOOKUP(D2002,契約台帳!$A$3:$K$4986,9,FALSE)&amp;VLOOKUP(D2002,契約台帳!$A$3:$K$4986,11,FALSE))</f>
        <v>3SYMLBMSBBF</v>
      </c>
      <c r="G2002" s="269" t="str">
        <f>IF(D2002="","",VLOOKUP(F2002,製品マスタ!$G$5:$H$5002,2,FALSE))</f>
        <v>S</v>
      </c>
      <c r="H2002" s="269" t="str">
        <f>IF(D2002="","",VLOOKUP(F2002,製品マスタ!$G$5:$K$5002,5,FALSE))</f>
        <v>MSBBF</v>
      </c>
      <c r="I2002" s="270" t="str">
        <f>IF(D2002="","",VLOOKUP(F2002,製品マスタ!$G$5:$L$5002,6,FALSE))</f>
        <v>ＭＥＴＡＬＵＭＹ　ＳＩＬＶＥＲ　ＢＲＩＧＨＴ　Ｔ６２Ｍ　Ｂ</v>
      </c>
      <c r="J2002" s="210" t="s">
        <v>935</v>
      </c>
      <c r="K2002" s="270">
        <f>IF(D2002="","",VLOOKUP(D2002,契約台帳!$A$3:$L$4986,12,FALSE))</f>
        <v>50</v>
      </c>
      <c r="L2002" s="270" t="str">
        <f>IF(D2002="","",INDEX(製品マスタ!$Q$5:$Q$5002,MATCH('S4'!F2002&amp;'S4'!K2002,製品マスタ!$AO$5:$AO$5002,0)))</f>
        <v>T62</v>
      </c>
      <c r="M2002" s="39">
        <v>1120</v>
      </c>
      <c r="N2002" s="39">
        <v>5000</v>
      </c>
      <c r="O2002" s="156">
        <v>6</v>
      </c>
      <c r="P2002" s="47">
        <v>2</v>
      </c>
      <c r="Q2002" s="213">
        <v>45435</v>
      </c>
      <c r="R2002" s="271">
        <f ca="1">IF(D2002="","",IF(OFFSET(D2002,-1,0)&lt;&gt;"","",IF(OR(J2002="リード付け",J2002="巻足し",J2002="巻返しリード付け"),M2002,VLOOKUP(D2002,契約台帳!$A$3:$N$4986,14,FALSE))))</f>
        <v>1120</v>
      </c>
      <c r="S2002" s="272">
        <f ca="1">IF(D2002="","",IF(OFFSET(D2002,-1,0)&lt;&gt;"","",IF(OR(J2002="リード付け",J2002="巻足し",J2002="巻返しリード付け"),M2002,VLOOKUP(D2002,契約台帳!$A$3:$O$4986,15,FALSE))))</f>
        <v>1120</v>
      </c>
      <c r="T2002" s="273">
        <f ca="1">IF(D2002="","",IF(J2002="リード付け",N2002,IF(J2002="巻返しリード付け",N2002,IF(J2002="巻足し",N2002*P2002+OFFSET(N2002,1,0)*OFFSET(P2002,1,0),VLOOKUP(D2002,契約台帳!$A$3:$P$4986,16,FALSE)))))</f>
        <v>10000</v>
      </c>
      <c r="U2002" s="40">
        <v>3</v>
      </c>
      <c r="V2002" s="274">
        <f ca="1">IF(D2002="","",IF(OFFSET(D2002,-2,0)=D2002,"",VLOOKUP(D2002,契約台帳!$A$3:$R$4986,18,FALSE)))</f>
        <v>6</v>
      </c>
      <c r="W2002" s="269" t="str">
        <f ca="1">IF(D2002="","",IF(T2002="","",IF(OR(J2002="巻足し",J2002="巻返しリード付け"),"",IF(J2002="巻返し",VLOOKUP(F2002&amp;K2002&amp;M2002,製品マスタ!$M$5:$AD$5002,18,FALSE),IF(OR(J2002="リード付け",J2002="巻返しリード付け"),"原反コア",IF(J2002="スリット",VLOOKUP(F2002&amp;K2002&amp;R2002,製品マスタ!$N$5:$AD$5002,17,FALSE),""))))))</f>
        <v/>
      </c>
      <c r="X2002" s="269" t="str">
        <f ca="1">IF(D2002="","",IF(T2002="","",IF(J2002="巻足し","",IF(J2002="巻返し",VLOOKUP(F2002&amp;K2002&amp;M2002,製品マスタ!$M$5:$AE$5002,19,FALSE),IF(OR(J2002="リード付け",J2002="巻返しリード付け"),"",IF(J2002="スリット",VLOOKUP(F2002&amp;K2002&amp;R2002,製品マスタ!$N$5:$AE$5002,18,FALSE),""))))))</f>
        <v/>
      </c>
      <c r="Y2002" s="275">
        <f ca="1">IF(D2002="","",IF(T2002="","",VLOOKUP(D2002,契約台帳!$A$3:$Q$4986,17,FALSE)))</f>
        <v>2</v>
      </c>
      <c r="Z2002" s="269" t="str">
        <f ca="1">IF(D2002="","",IF(T2002="","",VLOOKUP(D2002,契約台帳!$A$3:$E$4986,5,FALSE)))</f>
        <v>リンテック㈱</v>
      </c>
      <c r="AA2002" s="57"/>
      <c r="AB2002" s="207" t="str">
        <f>IFERROR((VLOOKUP(F2002&amp;K2002&amp;M2002,製品マスタ!$M$5:$AM$5002,27,FALSE)),"")</f>
        <v>原反ケース再利用</v>
      </c>
      <c r="AC2002" s="33"/>
      <c r="AD2002" s="189"/>
      <c r="AE2002" s="54"/>
      <c r="AF2002" s="55">
        <f>+M2002*N2002*O2002/1000</f>
        <v>33600</v>
      </c>
      <c r="AG2002" s="43"/>
      <c r="AH2002" s="47"/>
      <c r="AI2002" s="30"/>
      <c r="AJ2002" s="30"/>
      <c r="AK2002" s="30"/>
      <c r="AL2002" s="30"/>
      <c r="AM2002" s="13"/>
      <c r="AN2002" s="13"/>
      <c r="AO2002" s="13"/>
      <c r="AP2002" s="13"/>
      <c r="AQ2002" s="13"/>
      <c r="AR2002" s="14"/>
      <c r="AS2002" s="15"/>
    </row>
    <row r="2003" spans="1:45" s="17" customFormat="1" ht="30.95" hidden="1" customHeight="1" x14ac:dyDescent="0.2">
      <c r="A2003" s="343"/>
      <c r="B2003" s="344"/>
      <c r="C2003" s="345"/>
      <c r="D2003" s="346"/>
      <c r="E2003" s="346"/>
      <c r="F2003" s="268"/>
      <c r="G2003" s="269"/>
      <c r="H2003" s="269"/>
      <c r="I2003" s="270"/>
      <c r="J2003" s="434"/>
      <c r="K2003" s="270"/>
      <c r="L2003" s="270"/>
      <c r="M2003" s="348"/>
      <c r="N2003" s="348"/>
      <c r="O2003" s="435"/>
      <c r="P2003" s="349"/>
      <c r="Q2003" s="350"/>
      <c r="R2003" s="271"/>
      <c r="S2003" s="272"/>
      <c r="T2003" s="273"/>
      <c r="U2003" s="351"/>
      <c r="V2003" s="274"/>
      <c r="W2003" s="269"/>
      <c r="X2003" s="269"/>
      <c r="Y2003" s="275"/>
      <c r="Z2003" s="269"/>
      <c r="AA2003" s="350"/>
      <c r="AB2003" s="207"/>
      <c r="AC2003" s="352"/>
      <c r="AD2003" s="353"/>
      <c r="AE2003" s="54"/>
      <c r="AF2003" s="354"/>
      <c r="AG2003" s="355"/>
      <c r="AH2003" s="349"/>
      <c r="AI2003" s="30"/>
      <c r="AJ2003" s="30"/>
      <c r="AK2003" s="30"/>
      <c r="AL2003" s="30"/>
      <c r="AM2003" s="13"/>
      <c r="AN2003" s="13"/>
      <c r="AO2003" s="13"/>
      <c r="AP2003" s="13"/>
      <c r="AQ2003" s="13"/>
      <c r="AR2003" s="14"/>
      <c r="AS2003" s="15"/>
    </row>
    <row r="2004" spans="1:45" s="17" customFormat="1" ht="30.6" hidden="1" customHeight="1" x14ac:dyDescent="0.2">
      <c r="A2004" s="37"/>
      <c r="B2004" s="38"/>
      <c r="C2004" s="45"/>
      <c r="D2004" s="31">
        <v>3758089</v>
      </c>
      <c r="E2004" s="31">
        <v>4163238</v>
      </c>
      <c r="F2004" s="268" t="str">
        <f>IF(D2004="","",VLOOKUP(D2004,契約台帳!$A$3:$K$4986,6,FALSE)&amp;VLOOKUP(D2004,契約台帳!$A$3:$K$4986,7,FALSE)&amp;VLOOKUP(D2004,契約台帳!$A$3:$K$4986,8,FALSE)&amp;VLOOKUP(D2004,契約台帳!$A$3:$K$4986,9,FALSE)&amp;VLOOKUP(D2004,契約台帳!$A$3:$K$4986,11,FALSE))</f>
        <v>3SYMLBMSBBF</v>
      </c>
      <c r="G2004" s="269" t="str">
        <f>IF(D2004="","",VLOOKUP(F2004,製品マスタ!$G$5:$H$5002,2,FALSE))</f>
        <v>S</v>
      </c>
      <c r="H2004" s="269" t="str">
        <f>IF(D2004="","",VLOOKUP(F2004,製品マスタ!$G$5:$K$5002,5,FALSE))</f>
        <v>MSBBF</v>
      </c>
      <c r="I2004" s="270" t="str">
        <f>IF(D2004="","",VLOOKUP(F2004,製品マスタ!$G$5:$L$5002,6,FALSE))</f>
        <v>ＭＥＴＡＬＵＭＹ　ＳＩＬＶＥＲ　ＢＲＩＧＨＴ　Ｔ６２Ｍ　Ｂ</v>
      </c>
      <c r="J2004" s="210" t="s">
        <v>935</v>
      </c>
      <c r="K2004" s="270">
        <f>IF(D2004="","",VLOOKUP(D2004,契約台帳!$A$3:$L$4986,12,FALSE))</f>
        <v>50</v>
      </c>
      <c r="L2004" s="270" t="str">
        <f>IF(D2004="","",INDEX(製品マスタ!$Q$5:$Q$5002,MATCH('S4'!F2004&amp;'S4'!K2004,製品マスタ!$AO$5:$AO$5002,0)))</f>
        <v>T62</v>
      </c>
      <c r="M2004" s="39">
        <v>1120</v>
      </c>
      <c r="N2004" s="39">
        <v>5000</v>
      </c>
      <c r="O2004" s="156">
        <v>2</v>
      </c>
      <c r="P2004" s="47">
        <v>2</v>
      </c>
      <c r="Q2004" s="213">
        <v>45435</v>
      </c>
      <c r="R2004" s="271">
        <f ca="1">IF(D2004="","",IF(OFFSET(D2004,-1,0)&lt;&gt;"","",IF(OR(J2004="リード付け",J2004="巻足し",J2004="巻返しリード付け"),M2004,VLOOKUP(D2004,契約台帳!$A$3:$N$4986,14,FALSE))))</f>
        <v>1120</v>
      </c>
      <c r="S2004" s="272">
        <f ca="1">IF(D2004="","",IF(OFFSET(D2004,-1,0)&lt;&gt;"","",IF(OR(J2004="リード付け",J2004="巻足し",J2004="巻返しリード付け"),M2004,VLOOKUP(D2004,契約台帳!$A$3:$O$4986,15,FALSE))))</f>
        <v>1120</v>
      </c>
      <c r="T2004" s="273">
        <f ca="1">IF(D2004="","",IF(J2004="リード付け",N2004,IF(J2004="巻返しリード付け",N2004,IF(J2004="巻足し",N2004*P2004+OFFSET(N2004,1,0)*OFFSET(P2004,1,0),VLOOKUP(D2004,契約台帳!$A$3:$P$4986,16,FALSE)))))</f>
        <v>10000</v>
      </c>
      <c r="U2004" s="40">
        <v>1</v>
      </c>
      <c r="V2004" s="274">
        <f ca="1">IF(D2004="","",IF(OFFSET(D2004,-2,0)=D2004,"",VLOOKUP(D2004,契約台帳!$A$3:$R$4986,18,FALSE)))</f>
        <v>2</v>
      </c>
      <c r="W2004" s="269" t="str">
        <f ca="1">IF(D2004="","",IF(T2004="","",IF(OR(J2004="巻足し",J2004="巻返しリード付け"),"",IF(J2004="巻返し",VLOOKUP(F2004&amp;K2004&amp;M2004,製品マスタ!$M$5:$AD$5002,18,FALSE),IF(OR(J2004="リード付け",J2004="巻返しリード付け"),"原反コア",IF(J2004="スリット",VLOOKUP(F2004&amp;K2004&amp;R2004,製品マスタ!$N$5:$AD$5002,17,FALSE),""))))))</f>
        <v/>
      </c>
      <c r="X2004" s="269" t="str">
        <f ca="1">IF(D2004="","",IF(T2004="","",IF(J2004="巻足し","",IF(J2004="巻返し",VLOOKUP(F2004&amp;K2004&amp;M2004,製品マスタ!$M$5:$AE$5002,19,FALSE),IF(OR(J2004="リード付け",J2004="巻返しリード付け"),"",IF(J2004="スリット",VLOOKUP(F2004&amp;K2004&amp;R2004,製品マスタ!$N$5:$AE$5002,18,FALSE),""))))))</f>
        <v/>
      </c>
      <c r="Y2004" s="275">
        <f ca="1">IF(D2004="","",IF(T2004="","",VLOOKUP(D2004,契約台帳!$A$3:$Q$4986,17,FALSE)))</f>
        <v>2</v>
      </c>
      <c r="Z2004" s="269" t="str">
        <f ca="1">IF(D2004="","",IF(T2004="","",VLOOKUP(D2004,契約台帳!$A$3:$E$4986,5,FALSE)))</f>
        <v>リンテック㈱</v>
      </c>
      <c r="AA2004" s="57"/>
      <c r="AB2004" s="207" t="str">
        <f>IFERROR((VLOOKUP(F2004&amp;K2004&amp;M2004,製品マスタ!$M$5:$AM$5002,27,FALSE)),"")</f>
        <v>原反ケース再利用</v>
      </c>
      <c r="AC2004" s="33"/>
      <c r="AD2004" s="189"/>
      <c r="AE2004" s="54"/>
      <c r="AF2004" s="55">
        <f>+M2004*N2004*O2004/1000</f>
        <v>11200</v>
      </c>
      <c r="AG2004" s="43"/>
      <c r="AH2004" s="47"/>
      <c r="AI2004" s="30"/>
      <c r="AJ2004" s="30"/>
      <c r="AK2004" s="30"/>
      <c r="AL2004" s="30"/>
      <c r="AM2004" s="13"/>
      <c r="AN2004" s="13"/>
      <c r="AO2004" s="13"/>
      <c r="AP2004" s="13"/>
      <c r="AQ2004" s="13"/>
      <c r="AR2004" s="14"/>
      <c r="AS2004" s="15"/>
    </row>
    <row r="2005" spans="1:45" s="17" customFormat="1" ht="30.95" hidden="1" customHeight="1" x14ac:dyDescent="0.2">
      <c r="A2005" s="343"/>
      <c r="B2005" s="344"/>
      <c r="C2005" s="345"/>
      <c r="D2005" s="346"/>
      <c r="E2005" s="346"/>
      <c r="F2005" s="268"/>
      <c r="G2005" s="269"/>
      <c r="H2005" s="269"/>
      <c r="I2005" s="270"/>
      <c r="J2005" s="434"/>
      <c r="K2005" s="270"/>
      <c r="L2005" s="270"/>
      <c r="M2005" s="348"/>
      <c r="N2005" s="348"/>
      <c r="O2005" s="435"/>
      <c r="P2005" s="349"/>
      <c r="Q2005" s="350"/>
      <c r="R2005" s="271"/>
      <c r="S2005" s="272"/>
      <c r="T2005" s="273"/>
      <c r="U2005" s="351"/>
      <c r="V2005" s="274"/>
      <c r="W2005" s="269"/>
      <c r="X2005" s="269"/>
      <c r="Y2005" s="275"/>
      <c r="Z2005" s="269"/>
      <c r="AA2005" s="350"/>
      <c r="AB2005" s="207"/>
      <c r="AC2005" s="352"/>
      <c r="AD2005" s="353"/>
      <c r="AE2005" s="54"/>
      <c r="AF2005" s="354"/>
      <c r="AG2005" s="355"/>
      <c r="AH2005" s="349"/>
      <c r="AI2005" s="30"/>
      <c r="AJ2005" s="30"/>
      <c r="AK2005" s="30"/>
      <c r="AL2005" s="30"/>
      <c r="AM2005" s="13"/>
      <c r="AN2005" s="13"/>
      <c r="AO2005" s="13"/>
      <c r="AP2005" s="13"/>
      <c r="AQ2005" s="13"/>
      <c r="AR2005" s="14"/>
      <c r="AS2005" s="15"/>
    </row>
    <row r="2006" spans="1:45" s="17" customFormat="1" ht="30.6" hidden="1" customHeight="1" x14ac:dyDescent="0.2">
      <c r="A2006" s="37"/>
      <c r="B2006" s="38"/>
      <c r="C2006" s="45"/>
      <c r="D2006" s="31">
        <v>3758066</v>
      </c>
      <c r="E2006" s="31">
        <v>4162333</v>
      </c>
      <c r="F2006" s="268" t="str">
        <f>IF(D2006="","",VLOOKUP(D2006,契約台帳!$A$3:$K$4986,6,FALSE)&amp;VLOOKUP(D2006,契約台帳!$A$3:$K$4986,7,FALSE)&amp;VLOOKUP(D2006,契約台帳!$A$3:$K$4986,8,FALSE)&amp;VLOOKUP(D2006,契約台帳!$A$3:$K$4986,9,FALSE)&amp;VLOOKUP(D2006,契約台帳!$A$3:$K$4986,11,FALSE))</f>
        <v>3SNMLBMNGTBF</v>
      </c>
      <c r="G2006" s="269" t="str">
        <f>IF(D2006="","",VLOOKUP(F2006,製品マスタ!$G$5:$H$5002,2,FALSE))</f>
        <v>S</v>
      </c>
      <c r="H2006" s="269" t="str">
        <f>IF(D2006="","",VLOOKUP(F2006,製品マスタ!$G$5:$K$5002,5,FALSE))</f>
        <v>MNGTBF</v>
      </c>
      <c r="I2006" s="270" t="str">
        <f>IF(D2006="","",VLOOKUP(F2006,製品マスタ!$G$5:$L$5002,6,FALSE))</f>
        <v>メタルミー　ネーマー　銀艶　Ｂ</v>
      </c>
      <c r="J2006" s="210" t="s">
        <v>935</v>
      </c>
      <c r="K2006" s="270">
        <f>IF(D2006="","",VLOOKUP(D2006,契約台帳!$A$3:$L$4986,12,FALSE))</f>
        <v>50</v>
      </c>
      <c r="L2006" s="270" t="str">
        <f>IF(D2006="","",INDEX(製品マスタ!$Q$5:$Q$5002,MATCH('S4'!F2006&amp;'S4'!K2006,製品マスタ!$AO$5:$AO$5002,0)))</f>
        <v>T62</v>
      </c>
      <c r="M2006" s="39">
        <v>1120</v>
      </c>
      <c r="N2006" s="39">
        <v>5000</v>
      </c>
      <c r="O2006" s="156">
        <v>8</v>
      </c>
      <c r="P2006" s="47">
        <v>2</v>
      </c>
      <c r="Q2006" s="213">
        <v>45436</v>
      </c>
      <c r="R2006" s="271">
        <f ca="1">IF(D2006="","",IF(OFFSET(D2006,-1,0)&lt;&gt;"","",IF(OR(J2006="リード付け",J2006="巻足し",J2006="巻返しリード付け"),M2006,VLOOKUP(D2006,契約台帳!$A$3:$N$4986,14,FALSE))))</f>
        <v>1120</v>
      </c>
      <c r="S2006" s="272">
        <f ca="1">IF(D2006="","",IF(OFFSET(D2006,-1,0)&lt;&gt;"","",IF(OR(J2006="リード付け",J2006="巻足し",J2006="巻返しリード付け"),M2006,VLOOKUP(D2006,契約台帳!$A$3:$O$4986,15,FALSE))))</f>
        <v>1120</v>
      </c>
      <c r="T2006" s="273">
        <f ca="1">IF(D2006="","",IF(J2006="リード付け",N2006,IF(J2006="巻返しリード付け",N2006,IF(J2006="巻足し",N2006*P2006+OFFSET(N2006,1,0)*OFFSET(P2006,1,0),VLOOKUP(D2006,契約台帳!$A$3:$P$4986,16,FALSE)))))</f>
        <v>10000</v>
      </c>
      <c r="U2006" s="40">
        <v>4</v>
      </c>
      <c r="V2006" s="274">
        <f ca="1">IF(D2006="","",IF(OFFSET(D2006,-2,0)=D2006,"",VLOOKUP(D2006,契約台帳!$A$3:$R$4986,18,FALSE)))</f>
        <v>52</v>
      </c>
      <c r="W2006" s="269" t="str">
        <f ca="1">IF(D2006="","",IF(T2006="","",IF(OR(J2006="巻足し",J2006="巻返しリード付け"),"",IF(J2006="巻返し",VLOOKUP(F2006&amp;K2006&amp;M2006,製品マスタ!$M$5:$AD$5002,18,FALSE),IF(OR(J2006="リード付け",J2006="巻返しリード付け"),"原反コア",IF(J2006="スリット",VLOOKUP(F2006&amp;K2006&amp;R2006,製品マスタ!$N$5:$AD$5002,17,FALSE),""))))))</f>
        <v/>
      </c>
      <c r="X2006" s="269" t="str">
        <f ca="1">IF(D2006="","",IF(T2006="","",IF(J2006="巻足し","",IF(J2006="巻返し",VLOOKUP(F2006&amp;K2006&amp;M2006,製品マスタ!$M$5:$AE$5002,19,FALSE),IF(OR(J2006="リード付け",J2006="巻返しリード付け"),"",IF(J2006="スリット",VLOOKUP(F2006&amp;K2006&amp;R2006,製品マスタ!$N$5:$AE$5002,18,FALSE),""))))))</f>
        <v/>
      </c>
      <c r="Y2006" s="275">
        <f ca="1">IF(D2006="","",IF(T2006="","",VLOOKUP(D2006,契約台帳!$A$3:$Q$4986,17,FALSE)))</f>
        <v>2</v>
      </c>
      <c r="Z2006" s="269" t="str">
        <f ca="1">IF(D2006="","",IF(T2006="","",VLOOKUP(D2006,契約台帳!$A$3:$E$4986,5,FALSE)))</f>
        <v>リンテック㈱</v>
      </c>
      <c r="AA2006" s="57"/>
      <c r="AB2006" s="207" t="str">
        <f>IFERROR((VLOOKUP(F2006&amp;K2006&amp;M2006,製品マスタ!$M$5:$AM$5002,27,FALSE)),"")</f>
        <v>原反ケース再利用</v>
      </c>
      <c r="AC2006" s="33"/>
      <c r="AD2006" s="189"/>
      <c r="AE2006" s="54"/>
      <c r="AF2006" s="55">
        <f>+M2006*N2006*O2006/1000</f>
        <v>44800</v>
      </c>
      <c r="AG2006" s="43"/>
      <c r="AH2006" s="47"/>
      <c r="AI2006" s="30"/>
      <c r="AJ2006" s="30"/>
      <c r="AK2006" s="30"/>
      <c r="AL2006" s="30"/>
      <c r="AM2006" s="13"/>
      <c r="AN2006" s="13"/>
      <c r="AO2006" s="13"/>
      <c r="AP2006" s="13"/>
      <c r="AQ2006" s="13"/>
      <c r="AR2006" s="14"/>
      <c r="AS2006" s="15"/>
    </row>
    <row r="2007" spans="1:45" s="17" customFormat="1" ht="30.95" hidden="1" customHeight="1" x14ac:dyDescent="0.2">
      <c r="A2007" s="343"/>
      <c r="B2007" s="344"/>
      <c r="C2007" s="345"/>
      <c r="D2007" s="346"/>
      <c r="E2007" s="346"/>
      <c r="F2007" s="268"/>
      <c r="G2007" s="269"/>
      <c r="H2007" s="269"/>
      <c r="I2007" s="270"/>
      <c r="J2007" s="434"/>
      <c r="K2007" s="270"/>
      <c r="L2007" s="270"/>
      <c r="M2007" s="348"/>
      <c r="N2007" s="348"/>
      <c r="O2007" s="435"/>
      <c r="P2007" s="349"/>
      <c r="Q2007" s="350"/>
      <c r="R2007" s="271"/>
      <c r="S2007" s="272"/>
      <c r="T2007" s="273"/>
      <c r="U2007" s="351"/>
      <c r="V2007" s="274"/>
      <c r="W2007" s="269"/>
      <c r="X2007" s="269"/>
      <c r="Y2007" s="275"/>
      <c r="Z2007" s="269"/>
      <c r="AA2007" s="350"/>
      <c r="AB2007" s="207"/>
      <c r="AC2007" s="352"/>
      <c r="AD2007" s="353"/>
      <c r="AE2007" s="54"/>
      <c r="AF2007" s="354"/>
      <c r="AG2007" s="355"/>
      <c r="AH2007" s="349"/>
      <c r="AI2007" s="30"/>
      <c r="AJ2007" s="30"/>
      <c r="AK2007" s="30"/>
      <c r="AL2007" s="30"/>
      <c r="AM2007" s="13"/>
      <c r="AN2007" s="13"/>
      <c r="AO2007" s="13"/>
      <c r="AP2007" s="13"/>
      <c r="AQ2007" s="13"/>
      <c r="AR2007" s="14"/>
      <c r="AS2007" s="15"/>
    </row>
    <row r="2008" spans="1:45" s="17" customFormat="1" ht="30.6" hidden="1" customHeight="1" x14ac:dyDescent="0.2">
      <c r="A2008" s="37" t="s">
        <v>2865</v>
      </c>
      <c r="B2008" s="38" t="s">
        <v>2866</v>
      </c>
      <c r="C2008" s="45"/>
      <c r="D2008" s="31">
        <v>3758066</v>
      </c>
      <c r="E2008" s="31">
        <v>4162333</v>
      </c>
      <c r="F2008" s="268" t="str">
        <f>IF(D2008="","",VLOOKUP(D2008,契約台帳!$A$3:$K$4986,6,FALSE)&amp;VLOOKUP(D2008,契約台帳!$A$3:$K$4986,7,FALSE)&amp;VLOOKUP(D2008,契約台帳!$A$3:$K$4986,8,FALSE)&amp;VLOOKUP(D2008,契約台帳!$A$3:$K$4986,9,FALSE)&amp;VLOOKUP(D2008,契約台帳!$A$3:$K$4986,11,FALSE))</f>
        <v>3SNMLBMNGTBF</v>
      </c>
      <c r="G2008" s="269" t="str">
        <f>IF(D2008="","",VLOOKUP(F2008,製品マスタ!$G$5:$H$5002,2,FALSE))</f>
        <v>S</v>
      </c>
      <c r="H2008" s="269" t="str">
        <f>IF(D2008="","",VLOOKUP(F2008,製品マスタ!$G$5:$K$5002,5,FALSE))</f>
        <v>MNGTBF</v>
      </c>
      <c r="I2008" s="270" t="str">
        <f>IF(D2008="","",VLOOKUP(F2008,製品マスタ!$G$5:$L$5002,6,FALSE))</f>
        <v>メタルミー　ネーマー　銀艶　Ｂ</v>
      </c>
      <c r="J2008" s="210" t="s">
        <v>935</v>
      </c>
      <c r="K2008" s="270">
        <f>IF(D2008="","",VLOOKUP(D2008,契約台帳!$A$3:$L$4986,12,FALSE))</f>
        <v>50</v>
      </c>
      <c r="L2008" s="270" t="str">
        <f>IF(D2008="","",INDEX(製品マスタ!$Q$5:$Q$5002,MATCH('S4'!F2008&amp;'S4'!K2008,製品マスタ!$AO$5:$AO$5002,0)))</f>
        <v>T62</v>
      </c>
      <c r="M2008" s="39">
        <v>1120</v>
      </c>
      <c r="N2008" s="39">
        <v>5000</v>
      </c>
      <c r="O2008" s="156">
        <v>16</v>
      </c>
      <c r="P2008" s="47">
        <v>2</v>
      </c>
      <c r="Q2008" s="213">
        <v>45436</v>
      </c>
      <c r="R2008" s="271">
        <f ca="1">IF(D2008="","",IF(OFFSET(D2008,-1,0)&lt;&gt;"","",IF(OR(J2008="リード付け",J2008="巻足し",J2008="巻返しリード付け"),M2008,VLOOKUP(D2008,契約台帳!$A$3:$N$4986,14,FALSE))))</f>
        <v>1120</v>
      </c>
      <c r="S2008" s="272">
        <f ca="1">IF(D2008="","",IF(OFFSET(D2008,-1,0)&lt;&gt;"","",IF(OR(J2008="リード付け",J2008="巻足し",J2008="巻返しリード付け"),M2008,VLOOKUP(D2008,契約台帳!$A$3:$O$4986,15,FALSE))))</f>
        <v>1120</v>
      </c>
      <c r="T2008" s="273">
        <f ca="1">IF(D2008="","",IF(J2008="リード付け",N2008,IF(J2008="巻返しリード付け",N2008,IF(J2008="巻足し",N2008*P2008+OFFSET(N2008,1,0)*OFFSET(P2008,1,0),VLOOKUP(D2008,契約台帳!$A$3:$P$4986,16,FALSE)))))</f>
        <v>10000</v>
      </c>
      <c r="U2008" s="40">
        <v>8</v>
      </c>
      <c r="V2008" s="274" t="str">
        <f ca="1">IF(D2008="","",IF(OFFSET(D2008,-2,0)=D2008,"",VLOOKUP(D2008,契約台帳!$A$3:$R$4986,18,FALSE)))</f>
        <v/>
      </c>
      <c r="W2008" s="269" t="str">
        <f ca="1">IF(D2008="","",IF(T2008="","",IF(OR(J2008="巻足し",J2008="巻返しリード付け"),"",IF(J2008="巻返し",VLOOKUP(F2008&amp;K2008&amp;M2008,製品マスタ!$M$5:$AD$5002,18,FALSE),IF(OR(J2008="リード付け",J2008="巻返しリード付け"),"原反コア",IF(J2008="スリット",VLOOKUP(F2008&amp;K2008&amp;R2008,製品マスタ!$N$5:$AD$5002,17,FALSE),""))))))</f>
        <v/>
      </c>
      <c r="X2008" s="269" t="str">
        <f ca="1">IF(D2008="","",IF(T2008="","",IF(J2008="巻足し","",IF(J2008="巻返し",VLOOKUP(F2008&amp;K2008&amp;M2008,製品マスタ!$M$5:$AE$5002,19,FALSE),IF(OR(J2008="リード付け",J2008="巻返しリード付け"),"",IF(J2008="スリット",VLOOKUP(F2008&amp;K2008&amp;R2008,製品マスタ!$N$5:$AE$5002,18,FALSE),""))))))</f>
        <v/>
      </c>
      <c r="Y2008" s="275">
        <f ca="1">IF(D2008="","",IF(T2008="","",VLOOKUP(D2008,契約台帳!$A$3:$Q$4986,17,FALSE)))</f>
        <v>2</v>
      </c>
      <c r="Z2008" s="269" t="str">
        <f ca="1">IF(D2008="","",IF(T2008="","",VLOOKUP(D2008,契約台帳!$A$3:$E$4986,5,FALSE)))</f>
        <v>リンテック㈱</v>
      </c>
      <c r="AA2008" s="57"/>
      <c r="AB2008" s="207" t="str">
        <f>IFERROR((VLOOKUP(F2008&amp;K2008&amp;M2008,製品マスタ!$M$5:$AM$5002,27,FALSE)),"")</f>
        <v>原反ケース再利用</v>
      </c>
      <c r="AC2008" s="33"/>
      <c r="AD2008" s="189"/>
      <c r="AE2008" s="54"/>
      <c r="AF2008" s="55">
        <f>+M2008*N2008*O2008/1000</f>
        <v>89600</v>
      </c>
      <c r="AG2008" s="43"/>
      <c r="AH2008" s="47"/>
      <c r="AI2008" s="30"/>
      <c r="AJ2008" s="30"/>
      <c r="AK2008" s="30"/>
      <c r="AL2008" s="30"/>
      <c r="AM2008" s="13"/>
      <c r="AN2008" s="13"/>
      <c r="AO2008" s="13"/>
      <c r="AP2008" s="13"/>
      <c r="AQ2008" s="13"/>
      <c r="AR2008" s="14"/>
      <c r="AS2008" s="15"/>
    </row>
    <row r="2009" spans="1:45" s="17" customFormat="1" ht="30.95" hidden="1" customHeight="1" x14ac:dyDescent="0.2">
      <c r="A2009" s="343"/>
      <c r="B2009" s="344"/>
      <c r="C2009" s="345"/>
      <c r="D2009" s="346"/>
      <c r="E2009" s="346"/>
      <c r="F2009" s="268"/>
      <c r="G2009" s="269"/>
      <c r="H2009" s="269"/>
      <c r="I2009" s="270"/>
      <c r="J2009" s="434"/>
      <c r="K2009" s="270"/>
      <c r="L2009" s="270"/>
      <c r="M2009" s="348"/>
      <c r="N2009" s="348"/>
      <c r="O2009" s="435"/>
      <c r="P2009" s="349"/>
      <c r="Q2009" s="350"/>
      <c r="R2009" s="271"/>
      <c r="S2009" s="272"/>
      <c r="T2009" s="273"/>
      <c r="U2009" s="351"/>
      <c r="V2009" s="274"/>
      <c r="W2009" s="269"/>
      <c r="X2009" s="269"/>
      <c r="Y2009" s="275"/>
      <c r="Z2009" s="269"/>
      <c r="AA2009" s="350"/>
      <c r="AB2009" s="207"/>
      <c r="AC2009" s="352"/>
      <c r="AD2009" s="353"/>
      <c r="AE2009" s="54"/>
      <c r="AF2009" s="354"/>
      <c r="AG2009" s="355"/>
      <c r="AH2009" s="349"/>
      <c r="AI2009" s="30"/>
      <c r="AJ2009" s="30"/>
      <c r="AK2009" s="30"/>
      <c r="AL2009" s="30"/>
      <c r="AM2009" s="13"/>
      <c r="AN2009" s="13"/>
      <c r="AO2009" s="13"/>
      <c r="AP2009" s="13"/>
      <c r="AQ2009" s="13"/>
      <c r="AR2009" s="14"/>
      <c r="AS2009" s="15"/>
    </row>
    <row r="2010" spans="1:45" s="17" customFormat="1" ht="30.6" hidden="1" customHeight="1" x14ac:dyDescent="0.2">
      <c r="A2010" s="37" t="s">
        <v>2867</v>
      </c>
      <c r="B2010" s="38" t="s">
        <v>2868</v>
      </c>
      <c r="C2010" s="45"/>
      <c r="D2010" s="31">
        <v>3758066</v>
      </c>
      <c r="E2010" s="31">
        <v>4162333</v>
      </c>
      <c r="F2010" s="268" t="str">
        <f>IF(D2010="","",VLOOKUP(D2010,契約台帳!$A$3:$K$4986,6,FALSE)&amp;VLOOKUP(D2010,契約台帳!$A$3:$K$4986,7,FALSE)&amp;VLOOKUP(D2010,契約台帳!$A$3:$K$4986,8,FALSE)&amp;VLOOKUP(D2010,契約台帳!$A$3:$K$4986,9,FALSE)&amp;VLOOKUP(D2010,契約台帳!$A$3:$K$4986,11,FALSE))</f>
        <v>3SNMLBMNGTBF</v>
      </c>
      <c r="G2010" s="269" t="str">
        <f>IF(D2010="","",VLOOKUP(F2010,製品マスタ!$G$5:$H$5002,2,FALSE))</f>
        <v>S</v>
      </c>
      <c r="H2010" s="269" t="str">
        <f>IF(D2010="","",VLOOKUP(F2010,製品マスタ!$G$5:$K$5002,5,FALSE))</f>
        <v>MNGTBF</v>
      </c>
      <c r="I2010" s="270" t="str">
        <f>IF(D2010="","",VLOOKUP(F2010,製品マスタ!$G$5:$L$5002,6,FALSE))</f>
        <v>メタルミー　ネーマー　銀艶　Ｂ</v>
      </c>
      <c r="J2010" s="210" t="s">
        <v>935</v>
      </c>
      <c r="K2010" s="270">
        <f>IF(D2010="","",VLOOKUP(D2010,契約台帳!$A$3:$L$4986,12,FALSE))</f>
        <v>50</v>
      </c>
      <c r="L2010" s="270" t="str">
        <f>IF(D2010="","",INDEX(製品マスタ!$Q$5:$Q$5002,MATCH('S4'!F2010&amp;'S4'!K2010,製品マスタ!$AO$5:$AO$5002,0)))</f>
        <v>T62</v>
      </c>
      <c r="M2010" s="39">
        <v>1120</v>
      </c>
      <c r="N2010" s="39">
        <v>5000</v>
      </c>
      <c r="O2010" s="156">
        <v>16</v>
      </c>
      <c r="P2010" s="47">
        <v>2</v>
      </c>
      <c r="Q2010" s="213">
        <v>45436</v>
      </c>
      <c r="R2010" s="271">
        <f ca="1">IF(D2010="","",IF(OFFSET(D2010,-1,0)&lt;&gt;"","",IF(OR(J2010="リード付け",J2010="巻足し",J2010="巻返しリード付け"),M2010,VLOOKUP(D2010,契約台帳!$A$3:$N$4986,14,FALSE))))</f>
        <v>1120</v>
      </c>
      <c r="S2010" s="272">
        <f ca="1">IF(D2010="","",IF(OFFSET(D2010,-1,0)&lt;&gt;"","",IF(OR(J2010="リード付け",J2010="巻足し",J2010="巻返しリード付け"),M2010,VLOOKUP(D2010,契約台帳!$A$3:$O$4986,15,FALSE))))</f>
        <v>1120</v>
      </c>
      <c r="T2010" s="273">
        <f ca="1">IF(D2010="","",IF(J2010="リード付け",N2010,IF(J2010="巻返しリード付け",N2010,IF(J2010="巻足し",N2010*P2010+OFFSET(N2010,1,0)*OFFSET(P2010,1,0),VLOOKUP(D2010,契約台帳!$A$3:$P$4986,16,FALSE)))))</f>
        <v>10000</v>
      </c>
      <c r="U2010" s="40">
        <v>8</v>
      </c>
      <c r="V2010" s="274" t="str">
        <f ca="1">IF(D2010="","",IF(OFFSET(D2010,-2,0)=D2010,"",VLOOKUP(D2010,契約台帳!$A$3:$R$4986,18,FALSE)))</f>
        <v/>
      </c>
      <c r="W2010" s="269" t="str">
        <f ca="1">IF(D2010="","",IF(T2010="","",IF(OR(J2010="巻足し",J2010="巻返しリード付け"),"",IF(J2010="巻返し",VLOOKUP(F2010&amp;K2010&amp;M2010,製品マスタ!$M$5:$AD$5002,18,FALSE),IF(OR(J2010="リード付け",J2010="巻返しリード付け"),"原反コア",IF(J2010="スリット",VLOOKUP(F2010&amp;K2010&amp;R2010,製品マスタ!$N$5:$AD$5002,17,FALSE),""))))))</f>
        <v/>
      </c>
      <c r="X2010" s="269" t="str">
        <f ca="1">IF(D2010="","",IF(T2010="","",IF(J2010="巻足し","",IF(J2010="巻返し",VLOOKUP(F2010&amp;K2010&amp;M2010,製品マスタ!$M$5:$AE$5002,19,FALSE),IF(OR(J2010="リード付け",J2010="巻返しリード付け"),"",IF(J2010="スリット",VLOOKUP(F2010&amp;K2010&amp;R2010,製品マスタ!$N$5:$AE$5002,18,FALSE),""))))))</f>
        <v/>
      </c>
      <c r="Y2010" s="275">
        <f ca="1">IF(D2010="","",IF(T2010="","",VLOOKUP(D2010,契約台帳!$A$3:$Q$4986,17,FALSE)))</f>
        <v>2</v>
      </c>
      <c r="Z2010" s="269" t="str">
        <f ca="1">IF(D2010="","",IF(T2010="","",VLOOKUP(D2010,契約台帳!$A$3:$E$4986,5,FALSE)))</f>
        <v>リンテック㈱</v>
      </c>
      <c r="AA2010" s="57"/>
      <c r="AB2010" s="207" t="str">
        <f>IFERROR((VLOOKUP(F2010&amp;K2010&amp;M2010,製品マスタ!$M$5:$AM$5002,27,FALSE)),"")</f>
        <v>原反ケース再利用</v>
      </c>
      <c r="AC2010" s="33"/>
      <c r="AD2010" s="189"/>
      <c r="AE2010" s="54"/>
      <c r="AF2010" s="55">
        <f>+M2010*N2010*O2010/1000</f>
        <v>89600</v>
      </c>
      <c r="AG2010" s="43"/>
      <c r="AH2010" s="47"/>
      <c r="AI2010" s="30"/>
      <c r="AJ2010" s="30"/>
      <c r="AK2010" s="30"/>
      <c r="AL2010" s="30"/>
      <c r="AM2010" s="13"/>
      <c r="AN2010" s="13"/>
      <c r="AO2010" s="13"/>
      <c r="AP2010" s="13"/>
      <c r="AQ2010" s="13"/>
      <c r="AR2010" s="14"/>
      <c r="AS2010" s="15"/>
    </row>
    <row r="2011" spans="1:45" s="17" customFormat="1" ht="30.95" hidden="1" customHeight="1" x14ac:dyDescent="0.2">
      <c r="A2011" s="343"/>
      <c r="B2011" s="344"/>
      <c r="C2011" s="345"/>
      <c r="D2011" s="346"/>
      <c r="E2011" s="346"/>
      <c r="F2011" s="268"/>
      <c r="G2011" s="269"/>
      <c r="H2011" s="269"/>
      <c r="I2011" s="270"/>
      <c r="J2011" s="434"/>
      <c r="K2011" s="270"/>
      <c r="L2011" s="270"/>
      <c r="M2011" s="348"/>
      <c r="N2011" s="348"/>
      <c r="O2011" s="435"/>
      <c r="P2011" s="349"/>
      <c r="Q2011" s="350"/>
      <c r="R2011" s="271"/>
      <c r="S2011" s="272"/>
      <c r="T2011" s="273"/>
      <c r="U2011" s="351"/>
      <c r="V2011" s="274"/>
      <c r="W2011" s="269"/>
      <c r="X2011" s="269"/>
      <c r="Y2011" s="275"/>
      <c r="Z2011" s="269"/>
      <c r="AA2011" s="350"/>
      <c r="AB2011" s="207"/>
      <c r="AC2011" s="352"/>
      <c r="AD2011" s="353"/>
      <c r="AE2011" s="54"/>
      <c r="AF2011" s="354"/>
      <c r="AG2011" s="355"/>
      <c r="AH2011" s="349"/>
      <c r="AI2011" s="30"/>
      <c r="AJ2011" s="30"/>
      <c r="AK2011" s="30"/>
      <c r="AL2011" s="30"/>
      <c r="AM2011" s="13"/>
      <c r="AN2011" s="13"/>
      <c r="AO2011" s="13"/>
      <c r="AP2011" s="13"/>
      <c r="AQ2011" s="13"/>
      <c r="AR2011" s="14"/>
      <c r="AS2011" s="15"/>
    </row>
    <row r="2012" spans="1:45" s="17" customFormat="1" ht="30.6" hidden="1" customHeight="1" x14ac:dyDescent="0.2">
      <c r="A2012" s="37" t="s">
        <v>2869</v>
      </c>
      <c r="B2012" s="38" t="s">
        <v>2870</v>
      </c>
      <c r="C2012" s="45"/>
      <c r="D2012" s="31">
        <v>3758066</v>
      </c>
      <c r="E2012" s="31">
        <v>4162333</v>
      </c>
      <c r="F2012" s="268" t="str">
        <f>IF(D2012="","",VLOOKUP(D2012,契約台帳!$A$3:$K$4986,6,FALSE)&amp;VLOOKUP(D2012,契約台帳!$A$3:$K$4986,7,FALSE)&amp;VLOOKUP(D2012,契約台帳!$A$3:$K$4986,8,FALSE)&amp;VLOOKUP(D2012,契約台帳!$A$3:$K$4986,9,FALSE)&amp;VLOOKUP(D2012,契約台帳!$A$3:$K$4986,11,FALSE))</f>
        <v>3SNMLBMNGTBF</v>
      </c>
      <c r="G2012" s="269" t="str">
        <f>IF(D2012="","",VLOOKUP(F2012,製品マスタ!$G$5:$H$5002,2,FALSE))</f>
        <v>S</v>
      </c>
      <c r="H2012" s="269" t="str">
        <f>IF(D2012="","",VLOOKUP(F2012,製品マスタ!$G$5:$K$5002,5,FALSE))</f>
        <v>MNGTBF</v>
      </c>
      <c r="I2012" s="270" t="str">
        <f>IF(D2012="","",VLOOKUP(F2012,製品マスタ!$G$5:$L$5002,6,FALSE))</f>
        <v>メタルミー　ネーマー　銀艶　Ｂ</v>
      </c>
      <c r="J2012" s="210" t="s">
        <v>935</v>
      </c>
      <c r="K2012" s="270">
        <f>IF(D2012="","",VLOOKUP(D2012,契約台帳!$A$3:$L$4986,12,FALSE))</f>
        <v>50</v>
      </c>
      <c r="L2012" s="270" t="str">
        <f>IF(D2012="","",INDEX(製品マスタ!$Q$5:$Q$5002,MATCH('S4'!F2012&amp;'S4'!K2012,製品マスタ!$AO$5:$AO$5002,0)))</f>
        <v>T62</v>
      </c>
      <c r="M2012" s="39">
        <v>1120</v>
      </c>
      <c r="N2012" s="39">
        <v>5000</v>
      </c>
      <c r="O2012" s="156">
        <v>12</v>
      </c>
      <c r="P2012" s="47">
        <v>2</v>
      </c>
      <c r="Q2012" s="213">
        <v>45441</v>
      </c>
      <c r="R2012" s="271">
        <f ca="1">IF(D2012="","",IF(OFFSET(D2012,-1,0)&lt;&gt;"","",IF(OR(J2012="リード付け",J2012="巻足し",J2012="巻返しリード付け"),M2012,VLOOKUP(D2012,契約台帳!$A$3:$N$4986,14,FALSE))))</f>
        <v>1120</v>
      </c>
      <c r="S2012" s="272">
        <f ca="1">IF(D2012="","",IF(OFFSET(D2012,-1,0)&lt;&gt;"","",IF(OR(J2012="リード付け",J2012="巻足し",J2012="巻返しリード付け"),M2012,VLOOKUP(D2012,契約台帳!$A$3:$O$4986,15,FALSE))))</f>
        <v>1120</v>
      </c>
      <c r="T2012" s="273">
        <f ca="1">IF(D2012="","",IF(J2012="リード付け",N2012,IF(J2012="巻返しリード付け",N2012,IF(J2012="巻足し",N2012*P2012+OFFSET(N2012,1,0)*OFFSET(P2012,1,0),VLOOKUP(D2012,契約台帳!$A$3:$P$4986,16,FALSE)))))</f>
        <v>10000</v>
      </c>
      <c r="U2012" s="40">
        <v>6</v>
      </c>
      <c r="V2012" s="274" t="str">
        <f ca="1">IF(D2012="","",IF(OFFSET(D2012,-2,0)=D2012,"",VLOOKUP(D2012,契約台帳!$A$3:$R$4986,18,FALSE)))</f>
        <v/>
      </c>
      <c r="W2012" s="269" t="str">
        <f ca="1">IF(D2012="","",IF(T2012="","",IF(OR(J2012="巻足し",J2012="巻返しリード付け"),"",IF(J2012="巻返し",VLOOKUP(F2012&amp;K2012&amp;M2012,製品マスタ!$M$5:$AD$5002,18,FALSE),IF(OR(J2012="リード付け",J2012="巻返しリード付け"),"原反コア",IF(J2012="スリット",VLOOKUP(F2012&amp;K2012&amp;R2012,製品マスタ!$N$5:$AD$5002,17,FALSE),""))))))</f>
        <v/>
      </c>
      <c r="X2012" s="269" t="str">
        <f ca="1">IF(D2012="","",IF(T2012="","",IF(J2012="巻足し","",IF(J2012="巻返し",VLOOKUP(F2012&amp;K2012&amp;M2012,製品マスタ!$M$5:$AE$5002,19,FALSE),IF(OR(J2012="リード付け",J2012="巻返しリード付け"),"",IF(J2012="スリット",VLOOKUP(F2012&amp;K2012&amp;R2012,製品マスタ!$N$5:$AE$5002,18,FALSE),""))))))</f>
        <v/>
      </c>
      <c r="Y2012" s="275">
        <f ca="1">IF(D2012="","",IF(T2012="","",VLOOKUP(D2012,契約台帳!$A$3:$Q$4986,17,FALSE)))</f>
        <v>2</v>
      </c>
      <c r="Z2012" s="269" t="str">
        <f ca="1">IF(D2012="","",IF(T2012="","",VLOOKUP(D2012,契約台帳!$A$3:$E$4986,5,FALSE)))</f>
        <v>リンテック㈱</v>
      </c>
      <c r="AA2012" s="57"/>
      <c r="AB2012" s="207" t="str">
        <f>IFERROR((VLOOKUP(F2012&amp;K2012&amp;M2012,製品マスタ!$M$5:$AM$5002,27,FALSE)),"")</f>
        <v>原反ケース再利用</v>
      </c>
      <c r="AC2012" s="33"/>
      <c r="AD2012" s="189"/>
      <c r="AE2012" s="54"/>
      <c r="AF2012" s="55">
        <f>+M2012*N2012*O2012/1000</f>
        <v>67200</v>
      </c>
      <c r="AG2012" s="43"/>
      <c r="AH2012" s="47"/>
      <c r="AI2012" s="30"/>
      <c r="AJ2012" s="30"/>
      <c r="AK2012" s="30"/>
      <c r="AL2012" s="30"/>
      <c r="AM2012" s="13"/>
      <c r="AN2012" s="13"/>
      <c r="AO2012" s="13"/>
      <c r="AP2012" s="13"/>
      <c r="AQ2012" s="13"/>
      <c r="AR2012" s="14"/>
      <c r="AS2012" s="15"/>
    </row>
    <row r="2013" spans="1:45" s="17" customFormat="1" ht="30.95" hidden="1" customHeight="1" x14ac:dyDescent="0.2">
      <c r="A2013" s="343"/>
      <c r="B2013" s="344"/>
      <c r="C2013" s="345"/>
      <c r="D2013" s="346"/>
      <c r="E2013" s="346"/>
      <c r="F2013" s="268"/>
      <c r="G2013" s="269"/>
      <c r="H2013" s="269"/>
      <c r="I2013" s="270"/>
      <c r="J2013" s="434"/>
      <c r="K2013" s="270"/>
      <c r="L2013" s="270"/>
      <c r="M2013" s="348"/>
      <c r="N2013" s="348"/>
      <c r="O2013" s="435"/>
      <c r="P2013" s="349"/>
      <c r="Q2013" s="350"/>
      <c r="R2013" s="271"/>
      <c r="S2013" s="272"/>
      <c r="T2013" s="273"/>
      <c r="U2013" s="351"/>
      <c r="V2013" s="274"/>
      <c r="W2013" s="269"/>
      <c r="X2013" s="269"/>
      <c r="Y2013" s="275"/>
      <c r="Z2013" s="269"/>
      <c r="AA2013" s="350"/>
      <c r="AB2013" s="207"/>
      <c r="AC2013" s="352"/>
      <c r="AD2013" s="353"/>
      <c r="AE2013" s="54"/>
      <c r="AF2013" s="354"/>
      <c r="AG2013" s="355"/>
      <c r="AH2013" s="349"/>
      <c r="AI2013" s="30"/>
      <c r="AJ2013" s="30"/>
      <c r="AK2013" s="30"/>
      <c r="AL2013" s="30"/>
      <c r="AM2013" s="13"/>
      <c r="AN2013" s="13"/>
      <c r="AO2013" s="13"/>
      <c r="AP2013" s="13"/>
      <c r="AQ2013" s="13"/>
      <c r="AR2013" s="14"/>
      <c r="AS2013" s="15"/>
    </row>
    <row r="2014" spans="1:45" s="17" customFormat="1" ht="30.6" hidden="1" customHeight="1" x14ac:dyDescent="0.2">
      <c r="A2014" s="37" t="s">
        <v>2871</v>
      </c>
      <c r="B2014" s="38" t="s">
        <v>2872</v>
      </c>
      <c r="C2014" s="45"/>
      <c r="D2014" s="31">
        <v>3758076</v>
      </c>
      <c r="E2014" s="31">
        <v>4162362</v>
      </c>
      <c r="F2014" s="268" t="str">
        <f>IF(D2014="","",VLOOKUP(D2014,契約台帳!$A$3:$K$4986,6,FALSE)&amp;VLOOKUP(D2014,契約台帳!$A$3:$K$4986,7,FALSE)&amp;VLOOKUP(D2014,契約台帳!$A$3:$K$4986,8,FALSE)&amp;VLOOKUP(D2014,契約台帳!$A$3:$K$4986,9,FALSE)&amp;VLOOKUP(D2014,契約台帳!$A$3:$K$4986,11,FALSE))</f>
        <v>3SNMLBMNQR66F</v>
      </c>
      <c r="G2014" s="269" t="str">
        <f>IF(D2014="","",VLOOKUP(F2014,製品マスタ!$G$5:$H$5002,2,FALSE))</f>
        <v>S</v>
      </c>
      <c r="H2014" s="269" t="str">
        <f>IF(D2014="","",VLOOKUP(F2014,製品マスタ!$G$5:$K$5002,5,FALSE))</f>
        <v>MNQR66F</v>
      </c>
      <c r="I2014" s="270" t="str">
        <f>IF(D2014="","",VLOOKUP(F2014,製品マスタ!$G$5:$L$5002,6,FALSE))</f>
        <v>ＱＲ６６蒸着品</v>
      </c>
      <c r="J2014" s="210" t="s">
        <v>935</v>
      </c>
      <c r="K2014" s="270">
        <f>IF(D2014="","",VLOOKUP(D2014,契約台帳!$A$3:$L$4986,12,FALSE))</f>
        <v>25</v>
      </c>
      <c r="L2014" s="270" t="str">
        <f>IF(D2014="","",INDEX(製品マスタ!$Q$5:$Q$5002,MATCH('S4'!F2014&amp;'S4'!K2014,製品マスタ!$AO$5:$AO$5002,0)))</f>
        <v>E315</v>
      </c>
      <c r="M2014" s="39">
        <v>1100</v>
      </c>
      <c r="N2014" s="39">
        <v>6000</v>
      </c>
      <c r="O2014" s="156">
        <v>15</v>
      </c>
      <c r="P2014" s="47">
        <v>3</v>
      </c>
      <c r="Q2014" s="213">
        <v>45439</v>
      </c>
      <c r="R2014" s="271">
        <f ca="1">IF(D2014="","",IF(OFFSET(D2014,-1,0)&lt;&gt;"","",IF(OR(J2014="リード付け",J2014="巻足し",J2014="巻返しリード付け"),M2014,VLOOKUP(D2014,契約台帳!$A$3:$N$4986,14,FALSE))))</f>
        <v>1100</v>
      </c>
      <c r="S2014" s="272">
        <f ca="1">IF(D2014="","",IF(OFFSET(D2014,-1,0)&lt;&gt;"","",IF(OR(J2014="リード付け",J2014="巻足し",J2014="巻返しリード付け"),M2014,VLOOKUP(D2014,契約台帳!$A$3:$O$4986,15,FALSE))))</f>
        <v>1100</v>
      </c>
      <c r="T2014" s="273">
        <f ca="1">IF(D2014="","",IF(J2014="リード付け",N2014,IF(J2014="巻返しリード付け",N2014,IF(J2014="巻足し",N2014*P2014+OFFSET(N2014,1,0)*OFFSET(P2014,1,0),VLOOKUP(D2014,契約台帳!$A$3:$P$4986,16,FALSE)))))</f>
        <v>18000</v>
      </c>
      <c r="U2014" s="40">
        <v>5</v>
      </c>
      <c r="V2014" s="274">
        <f ca="1">IF(D2014="","",IF(OFFSET(D2014,-2,0)=D2014,"",VLOOKUP(D2014,契約台帳!$A$3:$R$4986,18,FALSE)))</f>
        <v>15</v>
      </c>
      <c r="W2014" s="269" t="str">
        <f ca="1">IF(D2014="","",IF(T2014="","",IF(OR(J2014="巻足し",J2014="巻返しリード付け"),"",IF(J2014="巻返し",VLOOKUP(F2014&amp;K2014&amp;M2014,製品マスタ!$M$5:$AD$5002,18,FALSE),IF(OR(J2014="リード付け",J2014="巻返しリード付け"),"原反コア",IF(J2014="スリット",VLOOKUP(F2014&amp;K2014&amp;R2014,製品マスタ!$N$5:$AD$5002,17,FALSE),""))))))</f>
        <v/>
      </c>
      <c r="X2014" s="269" t="str">
        <f ca="1">IF(D2014="","",IF(T2014="","",IF(J2014="巻足し","",IF(J2014="巻返し",VLOOKUP(F2014&amp;K2014&amp;M2014,製品マスタ!$M$5:$AE$5002,19,FALSE),IF(OR(J2014="リード付け",J2014="巻返しリード付け"),"",IF(J2014="スリット",VLOOKUP(F2014&amp;K2014&amp;R2014,製品マスタ!$N$5:$AE$5002,18,FALSE),""))))))</f>
        <v/>
      </c>
      <c r="Y2014" s="275">
        <f ca="1">IF(D2014="","",IF(T2014="","",VLOOKUP(D2014,契約台帳!$A$3:$Q$4986,17,FALSE)))</f>
        <v>2</v>
      </c>
      <c r="Z2014" s="269" t="str">
        <f ca="1">IF(D2014="","",IF(T2014="","",VLOOKUP(D2014,契約台帳!$A$3:$E$4986,5,FALSE)))</f>
        <v>リンテック㈱</v>
      </c>
      <c r="AA2014" s="57"/>
      <c r="AB2014" s="207" t="str">
        <f>IFERROR((VLOOKUP(F2014&amp;K2014&amp;M2014,製品マスタ!$M$5:$AM$5002,27,FALSE)),"")</f>
        <v>原反ケース再利用</v>
      </c>
      <c r="AC2014" s="33"/>
      <c r="AD2014" s="189"/>
      <c r="AE2014" s="54"/>
      <c r="AF2014" s="55">
        <f>+M2014*N2014*O2014/1000</f>
        <v>99000</v>
      </c>
      <c r="AG2014" s="43"/>
      <c r="AH2014" s="47"/>
      <c r="AI2014" s="30"/>
      <c r="AJ2014" s="30"/>
      <c r="AK2014" s="30"/>
      <c r="AL2014" s="30"/>
      <c r="AM2014" s="13"/>
      <c r="AN2014" s="13"/>
      <c r="AO2014" s="13"/>
      <c r="AP2014" s="13"/>
      <c r="AQ2014" s="13"/>
      <c r="AR2014" s="14"/>
      <c r="AS2014" s="15"/>
    </row>
    <row r="2015" spans="1:45" s="17" customFormat="1" ht="30.95" hidden="1" customHeight="1" x14ac:dyDescent="0.2">
      <c r="A2015" s="343"/>
      <c r="B2015" s="344"/>
      <c r="C2015" s="345"/>
      <c r="D2015" s="346"/>
      <c r="E2015" s="346"/>
      <c r="F2015" s="268"/>
      <c r="G2015" s="269"/>
      <c r="H2015" s="269"/>
      <c r="I2015" s="270"/>
      <c r="J2015" s="434"/>
      <c r="K2015" s="270"/>
      <c r="L2015" s="270"/>
      <c r="M2015" s="348"/>
      <c r="N2015" s="348"/>
      <c r="O2015" s="435"/>
      <c r="P2015" s="349"/>
      <c r="Q2015" s="350"/>
      <c r="R2015" s="271"/>
      <c r="S2015" s="272"/>
      <c r="T2015" s="273"/>
      <c r="U2015" s="351"/>
      <c r="V2015" s="274"/>
      <c r="W2015" s="269"/>
      <c r="X2015" s="269"/>
      <c r="Y2015" s="275"/>
      <c r="Z2015" s="269"/>
      <c r="AA2015" s="350"/>
      <c r="AB2015" s="207"/>
      <c r="AC2015" s="352"/>
      <c r="AD2015" s="353"/>
      <c r="AE2015" s="54"/>
      <c r="AF2015" s="354"/>
      <c r="AG2015" s="355"/>
      <c r="AH2015" s="349"/>
      <c r="AI2015" s="30"/>
      <c r="AJ2015" s="30"/>
      <c r="AK2015" s="30"/>
      <c r="AL2015" s="30"/>
      <c r="AM2015" s="13"/>
      <c r="AN2015" s="13"/>
      <c r="AO2015" s="13"/>
      <c r="AP2015" s="13"/>
      <c r="AQ2015" s="13"/>
      <c r="AR2015" s="14"/>
      <c r="AS2015" s="15"/>
    </row>
    <row r="2016" spans="1:45" s="17" customFormat="1" ht="30.6" hidden="1" customHeight="1" x14ac:dyDescent="0.2">
      <c r="A2016" s="37"/>
      <c r="B2016" s="38"/>
      <c r="C2016" s="45"/>
      <c r="D2016" s="31">
        <v>3758067</v>
      </c>
      <c r="E2016" s="31">
        <v>4162349</v>
      </c>
      <c r="F2016" s="268" t="str">
        <f>IF(D2016="","",VLOOKUP(D2016,契約台帳!$A$3:$K$4986,6,FALSE)&amp;VLOOKUP(D2016,契約台帳!$A$3:$K$4986,7,FALSE)&amp;VLOOKUP(D2016,契約台帳!$A$3:$K$4986,8,FALSE)&amp;VLOOKUP(D2016,契約台帳!$A$3:$K$4986,9,FALSE)&amp;VLOOKUP(D2016,契約台帳!$A$3:$K$4986,11,FALSE))</f>
        <v>3SNMCLBNGTVB</v>
      </c>
      <c r="G2016" s="269" t="str">
        <f>IF(D2016="","",VLOOKUP(F2016,製品マスタ!$G$5:$H$5002,2,FALSE))</f>
        <v>S</v>
      </c>
      <c r="H2016" s="269" t="str">
        <f>IF(D2016="","",VLOOKUP(F2016,製品マスタ!$G$5:$K$5002,5,FALSE))</f>
        <v>NGTVB</v>
      </c>
      <c r="I2016" s="270" t="str">
        <f>IF(D2016="","",VLOOKUP(F2016,製品マスタ!$G$5:$L$5002,6,FALSE))</f>
        <v>メタルミー　ネーマー　銀艶ＶＢ</v>
      </c>
      <c r="J2016" s="210" t="s">
        <v>464</v>
      </c>
      <c r="K2016" s="270">
        <f>IF(D2016="","",VLOOKUP(D2016,契約台帳!$A$3:$L$4986,12,FALSE))</f>
        <v>50</v>
      </c>
      <c r="L2016" s="270" t="str">
        <f>IF(D2016="","",INDEX(製品マスタ!$Q$5:$Q$5002,MATCH('S4'!F2016&amp;'S4'!K2016,製品マスタ!$AO$5:$AO$5002,0)))</f>
        <v>T62M</v>
      </c>
      <c r="M2016" s="39">
        <v>1040</v>
      </c>
      <c r="N2016" s="39">
        <v>6000</v>
      </c>
      <c r="O2016" s="156">
        <v>1</v>
      </c>
      <c r="P2016" s="47">
        <v>1</v>
      </c>
      <c r="Q2016" s="213">
        <v>45439</v>
      </c>
      <c r="R2016" s="271">
        <f ca="1">IF(D2016="","",IF(OFFSET(D2016,-1,0)&lt;&gt;"","",IF(OR(J2016="リード付け",J2016="巻足し",J2016="巻返しリード付け"),M2016,VLOOKUP(D2016,契約台帳!$A$3:$N$4986,14,FALSE))))</f>
        <v>1040</v>
      </c>
      <c r="S2016" s="272">
        <f ca="1">IF(D2016="","",IF(OFFSET(D2016,-1,0)&lt;&gt;"","",IF(OR(J2016="リード付け",J2016="巻足し",J2016="巻返しリード付け"),M2016,VLOOKUP(D2016,契約台帳!$A$3:$O$4986,15,FALSE))))</f>
        <v>1040</v>
      </c>
      <c r="T2016" s="273">
        <f ca="1">IF(D2016="","",IF(J2016="リード付け",N2016,IF(J2016="巻返しリード付け",N2016,IF(J2016="巻足し",N2016*P2016+OFFSET(N2016,1,0)*OFFSET(P2016,1,0),VLOOKUP(D2016,契約台帳!$A$3:$P$4986,16,FALSE)))))</f>
        <v>6000</v>
      </c>
      <c r="U2016" s="40">
        <v>1</v>
      </c>
      <c r="V2016" s="274">
        <f ca="1">IF(D2016="","",IF(OFFSET(D2016,-2,0)=D2016,"",VLOOKUP(D2016,契約台帳!$A$3:$R$4986,18,FALSE)))</f>
        <v>2</v>
      </c>
      <c r="W2016" s="269" t="str">
        <f ca="1">IF(D2016="","",IF(T2016="","",IF(OR(J2016="巻足し",J2016="巻返しリード付け"),"",IF(J2016="巻返し",VLOOKUP(F2016&amp;K2016&amp;M2016,製品マスタ!$M$5:$AD$5002,18,FALSE),IF(OR(J2016="リード付け",J2016="巻返しリード付け"),"原反コア",IF(J2016="スリット",VLOOKUP(F2016&amp;K2016&amp;R2016,製品マスタ!$N$5:$AD$5002,17,FALSE),""))))))</f>
        <v>原反コア</v>
      </c>
      <c r="X2016" s="269" t="str">
        <f ca="1">IF(D2016="","",IF(T2016="","",IF(J2016="巻足し","",IF(J2016="巻返し",VLOOKUP(F2016&amp;K2016&amp;M2016,製品マスタ!$M$5:$AE$5002,19,FALSE),IF(OR(J2016="リード付け",J2016="巻返しリード付け"),"",IF(J2016="スリット",VLOOKUP(F2016&amp;K2016&amp;R2016,製品マスタ!$N$5:$AE$5002,18,FALSE),""))))))</f>
        <v/>
      </c>
      <c r="Y2016" s="275">
        <f ca="1">IF(D2016="","",IF(T2016="","",VLOOKUP(D2016,契約台帳!$A$3:$Q$4986,17,FALSE)))</f>
        <v>2</v>
      </c>
      <c r="Z2016" s="269" t="str">
        <f ca="1">IF(D2016="","",IF(T2016="","",VLOOKUP(D2016,契約台帳!$A$3:$E$4986,5,FALSE)))</f>
        <v>リンテック㈱</v>
      </c>
      <c r="AA2016" s="57"/>
      <c r="AB2016" s="207">
        <f>IFERROR((VLOOKUP(F2016&amp;K2016&amp;M2016,製品マスタ!$M$5:$AM$5002,27,FALSE)),"")</f>
        <v>0</v>
      </c>
      <c r="AC2016" s="33"/>
      <c r="AD2016" s="189"/>
      <c r="AE2016" s="54"/>
      <c r="AF2016" s="55">
        <f>+M2016*N2016*O2016/1000</f>
        <v>6240</v>
      </c>
      <c r="AG2016" s="43"/>
      <c r="AH2016" s="47"/>
      <c r="AI2016" s="30"/>
      <c r="AJ2016" s="30"/>
      <c r="AK2016" s="30"/>
      <c r="AL2016" s="30"/>
      <c r="AM2016" s="13"/>
      <c r="AN2016" s="13"/>
      <c r="AO2016" s="13"/>
      <c r="AP2016" s="13"/>
      <c r="AQ2016" s="13"/>
      <c r="AR2016" s="14"/>
      <c r="AS2016" s="15"/>
    </row>
    <row r="2017" spans="1:45" s="17" customFormat="1" ht="30.95" hidden="1" customHeight="1" x14ac:dyDescent="0.2">
      <c r="A2017" s="343"/>
      <c r="B2017" s="344"/>
      <c r="C2017" s="345"/>
      <c r="D2017" s="346"/>
      <c r="E2017" s="346"/>
      <c r="F2017" s="268"/>
      <c r="G2017" s="269"/>
      <c r="H2017" s="269"/>
      <c r="I2017" s="270"/>
      <c r="J2017" s="434"/>
      <c r="K2017" s="270"/>
      <c r="L2017" s="270"/>
      <c r="M2017" s="348"/>
      <c r="N2017" s="348"/>
      <c r="O2017" s="435"/>
      <c r="P2017" s="349"/>
      <c r="Q2017" s="350"/>
      <c r="R2017" s="271"/>
      <c r="S2017" s="272"/>
      <c r="T2017" s="273"/>
      <c r="U2017" s="351"/>
      <c r="V2017" s="274"/>
      <c r="W2017" s="269"/>
      <c r="X2017" s="269"/>
      <c r="Y2017" s="275"/>
      <c r="Z2017" s="269"/>
      <c r="AA2017" s="350"/>
      <c r="AB2017" s="207"/>
      <c r="AC2017" s="352"/>
      <c r="AD2017" s="353"/>
      <c r="AE2017" s="54"/>
      <c r="AF2017" s="354"/>
      <c r="AG2017" s="355"/>
      <c r="AH2017" s="349"/>
      <c r="AI2017" s="30"/>
      <c r="AJ2017" s="30"/>
      <c r="AK2017" s="30"/>
      <c r="AL2017" s="30"/>
      <c r="AM2017" s="13"/>
      <c r="AN2017" s="13"/>
      <c r="AO2017" s="13"/>
      <c r="AP2017" s="13"/>
      <c r="AQ2017" s="13"/>
      <c r="AR2017" s="14"/>
      <c r="AS2017" s="15"/>
    </row>
    <row r="2018" spans="1:45" s="17" customFormat="1" ht="30.95" hidden="1" customHeight="1" x14ac:dyDescent="0.2">
      <c r="A2018" s="343" t="s">
        <v>2810</v>
      </c>
      <c r="B2018" s="344" t="s">
        <v>2801</v>
      </c>
      <c r="C2018" s="345"/>
      <c r="D2018" s="346"/>
      <c r="E2018" s="346"/>
      <c r="F2018" s="268"/>
      <c r="G2018" s="269"/>
      <c r="H2018" s="269"/>
      <c r="I2018" s="270"/>
      <c r="J2018" s="434" t="s">
        <v>448</v>
      </c>
      <c r="K2018" s="270"/>
      <c r="L2018" s="270"/>
      <c r="M2018" s="348"/>
      <c r="N2018" s="348"/>
      <c r="O2018" s="435"/>
      <c r="P2018" s="349"/>
      <c r="Q2018" s="350"/>
      <c r="R2018" s="271"/>
      <c r="S2018" s="272"/>
      <c r="T2018" s="273"/>
      <c r="U2018" s="351"/>
      <c r="V2018" s="274"/>
      <c r="W2018" s="269"/>
      <c r="X2018" s="269"/>
      <c r="Y2018" s="275"/>
      <c r="Z2018" s="269"/>
      <c r="AA2018" s="350"/>
      <c r="AB2018" s="207"/>
      <c r="AC2018" s="352"/>
      <c r="AD2018" s="353"/>
      <c r="AE2018" s="54"/>
      <c r="AF2018" s="354"/>
      <c r="AG2018" s="355"/>
      <c r="AH2018" s="349"/>
      <c r="AI2018" s="30"/>
      <c r="AJ2018" s="30"/>
      <c r="AK2018" s="30"/>
      <c r="AL2018" s="30"/>
      <c r="AM2018" s="13"/>
      <c r="AN2018" s="13"/>
      <c r="AO2018" s="13"/>
      <c r="AP2018" s="13"/>
      <c r="AQ2018" s="13"/>
      <c r="AR2018" s="14"/>
      <c r="AS2018" s="15"/>
    </row>
    <row r="2019" spans="1:45" s="17" customFormat="1" ht="30.95" hidden="1" customHeight="1" x14ac:dyDescent="0.2">
      <c r="A2019" s="343"/>
      <c r="B2019" s="344"/>
      <c r="C2019" s="345"/>
      <c r="D2019" s="346"/>
      <c r="E2019" s="346"/>
      <c r="F2019" s="268"/>
      <c r="G2019" s="269"/>
      <c r="H2019" s="269"/>
      <c r="I2019" s="270"/>
      <c r="J2019" s="434"/>
      <c r="K2019" s="270"/>
      <c r="L2019" s="270"/>
      <c r="M2019" s="348"/>
      <c r="N2019" s="348"/>
      <c r="O2019" s="435"/>
      <c r="P2019" s="349"/>
      <c r="Q2019" s="350"/>
      <c r="R2019" s="271"/>
      <c r="S2019" s="272"/>
      <c r="T2019" s="273"/>
      <c r="U2019" s="351"/>
      <c r="V2019" s="274"/>
      <c r="W2019" s="269"/>
      <c r="X2019" s="269"/>
      <c r="Y2019" s="275"/>
      <c r="Z2019" s="269"/>
      <c r="AA2019" s="350"/>
      <c r="AB2019" s="207"/>
      <c r="AC2019" s="352"/>
      <c r="AD2019" s="353"/>
      <c r="AE2019" s="54"/>
      <c r="AF2019" s="354"/>
      <c r="AG2019" s="355"/>
      <c r="AH2019" s="349"/>
      <c r="AI2019" s="30"/>
      <c r="AJ2019" s="30"/>
      <c r="AK2019" s="30"/>
      <c r="AL2019" s="30"/>
      <c r="AM2019" s="13"/>
      <c r="AN2019" s="13"/>
      <c r="AO2019" s="13"/>
      <c r="AP2019" s="13"/>
      <c r="AQ2019" s="13"/>
      <c r="AR2019" s="14"/>
      <c r="AS2019" s="15"/>
    </row>
    <row r="2020" spans="1:45" s="17" customFormat="1" ht="30.95" hidden="1" customHeight="1" x14ac:dyDescent="0.2">
      <c r="A2020" s="343" t="s">
        <v>2811</v>
      </c>
      <c r="B2020" s="344" t="s">
        <v>2803</v>
      </c>
      <c r="C2020" s="345"/>
      <c r="D2020" s="346"/>
      <c r="E2020" s="346"/>
      <c r="F2020" s="268"/>
      <c r="G2020" s="269"/>
      <c r="H2020" s="269"/>
      <c r="I2020" s="270"/>
      <c r="J2020" s="434" t="s">
        <v>448</v>
      </c>
      <c r="K2020" s="270"/>
      <c r="L2020" s="270"/>
      <c r="M2020" s="348"/>
      <c r="N2020" s="348"/>
      <c r="O2020" s="435"/>
      <c r="P2020" s="349"/>
      <c r="Q2020" s="350"/>
      <c r="R2020" s="271"/>
      <c r="S2020" s="272"/>
      <c r="T2020" s="273"/>
      <c r="U2020" s="351"/>
      <c r="V2020" s="274"/>
      <c r="W2020" s="269"/>
      <c r="X2020" s="269"/>
      <c r="Y2020" s="275"/>
      <c r="Z2020" s="269"/>
      <c r="AA2020" s="350"/>
      <c r="AB2020" s="207"/>
      <c r="AC2020" s="352"/>
      <c r="AD2020" s="353"/>
      <c r="AE2020" s="54"/>
      <c r="AF2020" s="354"/>
      <c r="AG2020" s="355"/>
      <c r="AH2020" s="349"/>
      <c r="AI2020" s="30"/>
      <c r="AJ2020" s="30"/>
      <c r="AK2020" s="30"/>
      <c r="AL2020" s="30"/>
      <c r="AM2020" s="13"/>
      <c r="AN2020" s="13"/>
      <c r="AO2020" s="13"/>
      <c r="AP2020" s="13"/>
      <c r="AQ2020" s="13"/>
      <c r="AR2020" s="14"/>
      <c r="AS2020" s="15"/>
    </row>
    <row r="2021" spans="1:45" s="17" customFormat="1" ht="30.95" hidden="1" customHeight="1" x14ac:dyDescent="0.2">
      <c r="A2021" s="343"/>
      <c r="B2021" s="344"/>
      <c r="C2021" s="345"/>
      <c r="D2021" s="346"/>
      <c r="E2021" s="346"/>
      <c r="F2021" s="268"/>
      <c r="G2021" s="269"/>
      <c r="H2021" s="269"/>
      <c r="I2021" s="270"/>
      <c r="J2021" s="434"/>
      <c r="K2021" s="270"/>
      <c r="L2021" s="270"/>
      <c r="M2021" s="348"/>
      <c r="N2021" s="348"/>
      <c r="O2021" s="435"/>
      <c r="P2021" s="349"/>
      <c r="Q2021" s="350"/>
      <c r="R2021" s="271"/>
      <c r="S2021" s="272"/>
      <c r="T2021" s="273"/>
      <c r="U2021" s="351"/>
      <c r="V2021" s="274"/>
      <c r="W2021" s="269"/>
      <c r="X2021" s="269"/>
      <c r="Y2021" s="275"/>
      <c r="Z2021" s="269"/>
      <c r="AA2021" s="350"/>
      <c r="AB2021" s="207"/>
      <c r="AC2021" s="352"/>
      <c r="AD2021" s="353"/>
      <c r="AE2021" s="54"/>
      <c r="AF2021" s="354"/>
      <c r="AG2021" s="355"/>
      <c r="AH2021" s="349"/>
      <c r="AI2021" s="30"/>
      <c r="AJ2021" s="30"/>
      <c r="AK2021" s="30"/>
      <c r="AL2021" s="30"/>
      <c r="AM2021" s="13"/>
      <c r="AN2021" s="13"/>
      <c r="AO2021" s="13"/>
      <c r="AP2021" s="13"/>
      <c r="AQ2021" s="13"/>
      <c r="AR2021" s="14"/>
      <c r="AS2021" s="15"/>
    </row>
    <row r="2022" spans="1:45" s="17" customFormat="1" ht="30.6" hidden="1" customHeight="1" x14ac:dyDescent="0.2">
      <c r="A2022" s="37" t="s">
        <v>2873</v>
      </c>
      <c r="B2022" s="38" t="s">
        <v>2864</v>
      </c>
      <c r="C2022" s="45"/>
      <c r="D2022" s="31">
        <v>3758075</v>
      </c>
      <c r="E2022" s="31">
        <v>4162361</v>
      </c>
      <c r="F2022" s="268" t="str">
        <f>IF(D2022="","",VLOOKUP(D2022,契約台帳!$A$3:$K$4986,6,FALSE)&amp;VLOOKUP(D2022,契約台帳!$A$3:$K$4986,7,FALSE)&amp;VLOOKUP(D2022,契約台帳!$A$3:$K$4986,8,FALSE)&amp;VLOOKUP(D2022,契約台帳!$A$3:$K$4986,9,FALSE)&amp;VLOOKUP(D2022,契約台帳!$A$3:$K$4986,11,FALSE))</f>
        <v>3SNMLBMNQR66F</v>
      </c>
      <c r="G2022" s="269" t="str">
        <f>IF(D2022="","",VLOOKUP(F2022,製品マスタ!$G$5:$H$5002,2,FALSE))</f>
        <v>S</v>
      </c>
      <c r="H2022" s="269" t="str">
        <f>IF(D2022="","",VLOOKUP(F2022,製品マスタ!$G$5:$K$5002,5,FALSE))</f>
        <v>MNQR66F</v>
      </c>
      <c r="I2022" s="270" t="str">
        <f>IF(D2022="","",VLOOKUP(F2022,製品マスタ!$G$5:$L$5002,6,FALSE))</f>
        <v>ＱＲ６６蒸着品</v>
      </c>
      <c r="J2022" s="210" t="s">
        <v>935</v>
      </c>
      <c r="K2022" s="270">
        <f>IF(D2022="","",VLOOKUP(D2022,契約台帳!$A$3:$L$4986,12,FALSE))</f>
        <v>25</v>
      </c>
      <c r="L2022" s="270" t="str">
        <f>IF(D2022="","",INDEX(製品マスタ!$Q$5:$Q$5002,MATCH('S4'!F2022&amp;'S4'!K2022,製品マスタ!$AO$5:$AO$5002,0)))</f>
        <v>E315</v>
      </c>
      <c r="M2022" s="39">
        <v>1000</v>
      </c>
      <c r="N2022" s="39">
        <v>6000</v>
      </c>
      <c r="O2022" s="156">
        <v>3</v>
      </c>
      <c r="P2022" s="47">
        <v>3</v>
      </c>
      <c r="Q2022" s="213">
        <v>45440</v>
      </c>
      <c r="R2022" s="271">
        <f ca="1">IF(D2022="","",IF(OFFSET(D2022,-1,0)&lt;&gt;"","",IF(OR(J2022="リード付け",J2022="巻足し",J2022="巻返しリード付け"),M2022,VLOOKUP(D2022,契約台帳!$A$3:$N$4986,14,FALSE))))</f>
        <v>1000</v>
      </c>
      <c r="S2022" s="272">
        <f ca="1">IF(D2022="","",IF(OFFSET(D2022,-1,0)&lt;&gt;"","",IF(OR(J2022="リード付け",J2022="巻足し",J2022="巻返しリード付け"),M2022,VLOOKUP(D2022,契約台帳!$A$3:$O$4986,15,FALSE))))</f>
        <v>1000</v>
      </c>
      <c r="T2022" s="273">
        <f ca="1">IF(D2022="","",IF(J2022="リード付け",N2022,IF(J2022="巻返しリード付け",N2022,IF(J2022="巻足し",N2022*P2022+OFFSET(N2022,1,0)*OFFSET(P2022,1,0),VLOOKUP(D2022,契約台帳!$A$3:$P$4986,16,FALSE)))))</f>
        <v>18000</v>
      </c>
      <c r="U2022" s="40">
        <v>1</v>
      </c>
      <c r="V2022" s="274">
        <f ca="1">IF(D2022="","",IF(OFFSET(D2022,-2,0)=D2022,"",VLOOKUP(D2022,契約台帳!$A$3:$R$4986,18,FALSE)))</f>
        <v>3</v>
      </c>
      <c r="W2022" s="269" t="str">
        <f ca="1">IF(D2022="","",IF(T2022="","",IF(OR(J2022="巻足し",J2022="巻返しリード付け"),"",IF(J2022="巻返し",VLOOKUP(F2022&amp;K2022&amp;M2022,製品マスタ!$M$5:$AD$5002,18,FALSE),IF(OR(J2022="リード付け",J2022="巻返しリード付け"),"原反コア",IF(J2022="スリット",VLOOKUP(F2022&amp;K2022&amp;R2022,製品マスタ!$N$5:$AD$5002,17,FALSE),""))))))</f>
        <v/>
      </c>
      <c r="X2022" s="269" t="str">
        <f ca="1">IF(D2022="","",IF(T2022="","",IF(J2022="巻足し","",IF(J2022="巻返し",VLOOKUP(F2022&amp;K2022&amp;M2022,製品マスタ!$M$5:$AE$5002,19,FALSE),IF(OR(J2022="リード付け",J2022="巻返しリード付け"),"",IF(J2022="スリット",VLOOKUP(F2022&amp;K2022&amp;R2022,製品マスタ!$N$5:$AE$5002,18,FALSE),""))))))</f>
        <v/>
      </c>
      <c r="Y2022" s="275">
        <f ca="1">IF(D2022="","",IF(T2022="","",VLOOKUP(D2022,契約台帳!$A$3:$Q$4986,17,FALSE)))</f>
        <v>2</v>
      </c>
      <c r="Z2022" s="269" t="str">
        <f ca="1">IF(D2022="","",IF(T2022="","",VLOOKUP(D2022,契約台帳!$A$3:$E$4986,5,FALSE)))</f>
        <v>リンテック㈱</v>
      </c>
      <c r="AA2022" s="57"/>
      <c r="AB2022" s="207" t="str">
        <f>IFERROR((VLOOKUP(F2022&amp;K2022&amp;M2022,製品マスタ!$M$5:$AM$5002,27,FALSE)),"")</f>
        <v>原反ケース再利用</v>
      </c>
      <c r="AC2022" s="33"/>
      <c r="AD2022" s="189"/>
      <c r="AE2022" s="54"/>
      <c r="AF2022" s="55">
        <f>+M2022*N2022*O2022/1000</f>
        <v>18000</v>
      </c>
      <c r="AG2022" s="43"/>
      <c r="AH2022" s="47"/>
      <c r="AI2022" s="30"/>
      <c r="AJ2022" s="30"/>
      <c r="AK2022" s="30"/>
      <c r="AL2022" s="30"/>
      <c r="AM2022" s="13"/>
      <c r="AN2022" s="13"/>
      <c r="AO2022" s="13"/>
      <c r="AP2022" s="13"/>
      <c r="AQ2022" s="13"/>
      <c r="AR2022" s="14"/>
      <c r="AS2022" s="15"/>
    </row>
    <row r="2023" spans="1:45" s="17" customFormat="1" ht="30.95" hidden="1" customHeight="1" x14ac:dyDescent="0.2">
      <c r="A2023" s="343"/>
      <c r="B2023" s="344"/>
      <c r="C2023" s="345"/>
      <c r="D2023" s="346"/>
      <c r="E2023" s="346"/>
      <c r="F2023" s="268"/>
      <c r="G2023" s="269"/>
      <c r="H2023" s="269"/>
      <c r="I2023" s="270"/>
      <c r="J2023" s="434"/>
      <c r="K2023" s="270"/>
      <c r="L2023" s="270"/>
      <c r="M2023" s="348"/>
      <c r="N2023" s="348"/>
      <c r="O2023" s="435"/>
      <c r="P2023" s="349"/>
      <c r="Q2023" s="350"/>
      <c r="R2023" s="271"/>
      <c r="S2023" s="272"/>
      <c r="T2023" s="273"/>
      <c r="U2023" s="351"/>
      <c r="V2023" s="274"/>
      <c r="W2023" s="269"/>
      <c r="X2023" s="269"/>
      <c r="Y2023" s="275"/>
      <c r="Z2023" s="269"/>
      <c r="AA2023" s="350"/>
      <c r="AB2023" s="207"/>
      <c r="AC2023" s="352"/>
      <c r="AD2023" s="353"/>
      <c r="AE2023" s="54"/>
      <c r="AF2023" s="354"/>
      <c r="AG2023" s="355"/>
      <c r="AH2023" s="349"/>
      <c r="AI2023" s="30"/>
      <c r="AJ2023" s="30"/>
      <c r="AK2023" s="30"/>
      <c r="AL2023" s="30"/>
      <c r="AM2023" s="13"/>
      <c r="AN2023" s="13"/>
      <c r="AO2023" s="13"/>
      <c r="AP2023" s="13"/>
      <c r="AQ2023" s="13"/>
      <c r="AR2023" s="14"/>
      <c r="AS2023" s="15"/>
    </row>
    <row r="2024" spans="1:45" s="17" customFormat="1" ht="30.6" hidden="1" customHeight="1" x14ac:dyDescent="0.2">
      <c r="A2024" s="37"/>
      <c r="B2024" s="38"/>
      <c r="C2024" s="45"/>
      <c r="D2024" s="31">
        <v>3758072</v>
      </c>
      <c r="E2024" s="31">
        <v>4162329</v>
      </c>
      <c r="F2024" s="268" t="str">
        <f>IF(D2024="","",VLOOKUP(D2024,契約台帳!$A$3:$K$4986,6,FALSE)&amp;VLOOKUP(D2024,契約台帳!$A$3:$K$4986,7,FALSE)&amp;VLOOKUP(D2024,契約台帳!$A$3:$K$4986,8,FALSE)&amp;VLOOKUP(D2024,契約台帳!$A$3:$K$4986,9,FALSE)&amp;VLOOKUP(D2024,契約台帳!$A$3:$K$4986,11,FALSE))</f>
        <v>33SSNMCLBTETKFV</v>
      </c>
      <c r="G2024" s="269" t="str">
        <f>IF(D2024="","",VLOOKUP(F2024,製品マスタ!$G$5:$H$5002,2,FALSE))</f>
        <v>S</v>
      </c>
      <c r="H2024" s="269" t="str">
        <f>IF(D2024="","",VLOOKUP(F2024,製品マスタ!$G$5:$K$5002,5,FALSE))</f>
        <v>TETKFV</v>
      </c>
      <c r="I2024" s="270" t="str">
        <f>IF(D2024="","",VLOOKUP(F2024,製品マスタ!$G$5:$L$5002,6,FALSE))</f>
        <v>メタルミー　ＴＥＳ艶開封　Ｖ</v>
      </c>
      <c r="J2024" s="210" t="s">
        <v>935</v>
      </c>
      <c r="K2024" s="270">
        <f>IF(D2024="","",VLOOKUP(D2024,契約台帳!$A$3:$L$4986,12,FALSE))</f>
        <v>50</v>
      </c>
      <c r="L2024" s="270" t="str">
        <f>IF(D2024="","",INDEX(製品マスタ!$Q$5:$Q$5002,MATCH('S4'!F2024&amp;'S4'!K2024,製品マスタ!$AO$5:$AO$5002,0)))</f>
        <v>S28SEPA</v>
      </c>
      <c r="M2024" s="39">
        <v>1005</v>
      </c>
      <c r="N2024" s="39">
        <v>4100</v>
      </c>
      <c r="O2024" s="156">
        <v>3</v>
      </c>
      <c r="P2024" s="47">
        <v>3</v>
      </c>
      <c r="Q2024" s="213">
        <v>45446</v>
      </c>
      <c r="R2024" s="271">
        <f ca="1">IF(D2024="","",IF(OFFSET(D2024,-1,0)&lt;&gt;"","",IF(OR(J2024="リード付け",J2024="巻足し",J2024="巻返しリード付け"),M2024,VLOOKUP(D2024,契約台帳!$A$3:$N$4986,14,FALSE))))</f>
        <v>1005</v>
      </c>
      <c r="S2024" s="272">
        <f ca="1">IF(D2024="","",IF(OFFSET(D2024,-1,0)&lt;&gt;"","",IF(OR(J2024="リード付け",J2024="巻足し",J2024="巻返しリード付け"),M2024,VLOOKUP(D2024,契約台帳!$A$3:$O$4986,15,FALSE))))</f>
        <v>1005</v>
      </c>
      <c r="T2024" s="273">
        <f ca="1">IF(D2024="","",IF(J2024="リード付け",N2024,IF(J2024="巻返しリード付け",N2024,IF(J2024="巻足し",N2024*P2024+OFFSET(N2024,1,0)*OFFSET(P2024,1,0),VLOOKUP(D2024,契約台帳!$A$3:$P$4986,16,FALSE)))))</f>
        <v>12300</v>
      </c>
      <c r="U2024" s="40">
        <v>1</v>
      </c>
      <c r="V2024" s="274">
        <f ca="1">IF(D2024="","",IF(OFFSET(D2024,-2,0)=D2024,"",VLOOKUP(D2024,契約台帳!$A$3:$R$4986,18,FALSE)))</f>
        <v>3</v>
      </c>
      <c r="W2024" s="269" t="str">
        <f ca="1">IF(D2024="","",IF(T2024="","",IF(OR(J2024="巻足し",J2024="巻返しリード付け"),"",IF(J2024="巻返し",VLOOKUP(F2024&amp;K2024&amp;M2024,製品マスタ!$M$5:$AD$5002,18,FALSE),IF(OR(J2024="リード付け",J2024="巻返しリード付け"),"原反コア",IF(J2024="スリット",VLOOKUP(F2024&amp;K2024&amp;R2024,製品マスタ!$N$5:$AD$5002,17,FALSE),""))))))</f>
        <v/>
      </c>
      <c r="X2024" s="269" t="str">
        <f ca="1">IF(D2024="","",IF(T2024="","",IF(J2024="巻足し","",IF(J2024="巻返し",VLOOKUP(F2024&amp;K2024&amp;M2024,製品マスタ!$M$5:$AE$5002,19,FALSE),IF(OR(J2024="リード付け",J2024="巻返しリード付け"),"",IF(J2024="スリット",VLOOKUP(F2024&amp;K2024&amp;R2024,製品マスタ!$N$5:$AE$5002,18,FALSE),""))))))</f>
        <v/>
      </c>
      <c r="Y2024" s="275">
        <f ca="1">IF(D2024="","",IF(T2024="","",VLOOKUP(D2024,契約台帳!$A$3:$Q$4986,17,FALSE)))</f>
        <v>2</v>
      </c>
      <c r="Z2024" s="269" t="str">
        <f ca="1">IF(D2024="","",IF(T2024="","",VLOOKUP(D2024,契約台帳!$A$3:$E$4986,5,FALSE)))</f>
        <v>リンテック㈱</v>
      </c>
      <c r="AA2024" s="57"/>
      <c r="AB2024" s="207"/>
      <c r="AC2024" s="33"/>
      <c r="AD2024" s="189"/>
      <c r="AE2024" s="54"/>
      <c r="AF2024" s="55">
        <f>+M2024*N2024*O2024/1000</f>
        <v>12361.5</v>
      </c>
      <c r="AG2024" s="43"/>
      <c r="AH2024" s="47"/>
      <c r="AI2024" s="30"/>
      <c r="AJ2024" s="30"/>
      <c r="AK2024" s="30"/>
      <c r="AL2024" s="30"/>
      <c r="AM2024" s="13"/>
      <c r="AN2024" s="13"/>
      <c r="AO2024" s="13"/>
      <c r="AP2024" s="13"/>
      <c r="AQ2024" s="13"/>
      <c r="AR2024" s="14"/>
      <c r="AS2024" s="15"/>
    </row>
    <row r="2025" spans="1:45" s="17" customFormat="1" ht="30.95" hidden="1" customHeight="1" x14ac:dyDescent="0.2">
      <c r="A2025" s="343"/>
      <c r="B2025" s="344"/>
      <c r="C2025" s="345"/>
      <c r="D2025" s="346"/>
      <c r="E2025" s="346"/>
      <c r="F2025" s="268"/>
      <c r="G2025" s="269"/>
      <c r="H2025" s="269"/>
      <c r="I2025" s="270"/>
      <c r="J2025" s="434"/>
      <c r="K2025" s="270"/>
      <c r="L2025" s="270"/>
      <c r="M2025" s="348"/>
      <c r="N2025" s="348"/>
      <c r="O2025" s="435"/>
      <c r="P2025" s="349"/>
      <c r="Q2025" s="350"/>
      <c r="R2025" s="271"/>
      <c r="S2025" s="272"/>
      <c r="T2025" s="273"/>
      <c r="U2025" s="351"/>
      <c r="V2025" s="274"/>
      <c r="W2025" s="269"/>
      <c r="X2025" s="269"/>
      <c r="Y2025" s="275"/>
      <c r="Z2025" s="269"/>
      <c r="AA2025" s="350"/>
      <c r="AB2025" s="207"/>
      <c r="AC2025" s="352"/>
      <c r="AD2025" s="353"/>
      <c r="AE2025" s="54"/>
      <c r="AF2025" s="354"/>
      <c r="AG2025" s="355"/>
      <c r="AH2025" s="349"/>
      <c r="AI2025" s="30"/>
      <c r="AJ2025" s="30"/>
      <c r="AK2025" s="30"/>
      <c r="AL2025" s="30"/>
      <c r="AM2025" s="13"/>
      <c r="AN2025" s="13"/>
      <c r="AO2025" s="13"/>
      <c r="AP2025" s="13"/>
      <c r="AQ2025" s="13"/>
      <c r="AR2025" s="14"/>
      <c r="AS2025" s="15"/>
    </row>
    <row r="2026" spans="1:45" s="17" customFormat="1" ht="30.6" hidden="1" customHeight="1" x14ac:dyDescent="0.2">
      <c r="A2026" s="37"/>
      <c r="B2026" s="38"/>
      <c r="C2026" s="45"/>
      <c r="D2026" s="31">
        <v>3758073</v>
      </c>
      <c r="E2026" s="31">
        <v>4162350</v>
      </c>
      <c r="F2026" s="268" t="str">
        <f>IF(D2026="","",VLOOKUP(D2026,契約台帳!$A$3:$K$4986,6,FALSE)&amp;VLOOKUP(D2026,契約台帳!$A$3:$K$4986,7,FALSE)&amp;VLOOKUP(D2026,契約台帳!$A$3:$K$4986,8,FALSE)&amp;VLOOKUP(D2026,契約台帳!$A$3:$K$4986,9,FALSE)&amp;VLOOKUP(D2026,契約台帳!$A$3:$K$4986,11,FALSE))</f>
        <v>3SNMCLBTETV0V</v>
      </c>
      <c r="G2026" s="269" t="str">
        <f>IF(D2026="","",VLOOKUP(F2026,製品マスタ!$G$5:$H$5002,2,FALSE))</f>
        <v>S</v>
      </c>
      <c r="H2026" s="269" t="str">
        <f>IF(D2026="","",VLOOKUP(F2026,製品マスタ!$G$5:$K$5002,5,FALSE))</f>
        <v>TETV0V</v>
      </c>
      <c r="I2026" s="270" t="str">
        <f>IF(D2026="","",VLOOKUP(F2026,製品マスタ!$G$5:$L$5002,6,FALSE))</f>
        <v>メタルミー　ＴＥＳ艶ＶＯＩＤＶ</v>
      </c>
      <c r="J2026" s="210" t="s">
        <v>935</v>
      </c>
      <c r="K2026" s="270">
        <f>IF(D2026="","",VLOOKUP(D2026,契約台帳!$A$3:$L$4986,12,FALSE))</f>
        <v>50</v>
      </c>
      <c r="L2026" s="270" t="str">
        <f>IF(D2026="","",INDEX(製品マスタ!$Q$5:$Q$5002,MATCH('S4'!F2026&amp;'S4'!K2026,製品マスタ!$AO$5:$AO$5002,0)))</f>
        <v>S28SEPA</v>
      </c>
      <c r="M2026" s="39">
        <v>1005</v>
      </c>
      <c r="N2026" s="39">
        <v>4100</v>
      </c>
      <c r="O2026" s="156">
        <v>3</v>
      </c>
      <c r="P2026" s="47">
        <v>3</v>
      </c>
      <c r="Q2026" s="213">
        <v>45446</v>
      </c>
      <c r="R2026" s="271">
        <f ca="1">IF(D2026="","",IF(OFFSET(D2026,-1,0)&lt;&gt;"","",IF(OR(J2026="リード付け",J2026="巻足し",J2026="巻返しリード付け"),M2026,VLOOKUP(D2026,契約台帳!$A$3:$N$4986,14,FALSE))))</f>
        <v>1005</v>
      </c>
      <c r="S2026" s="272">
        <f ca="1">IF(D2026="","",IF(OFFSET(D2026,-1,0)&lt;&gt;"","",IF(OR(J2026="リード付け",J2026="巻足し",J2026="巻返しリード付け"),M2026,VLOOKUP(D2026,契約台帳!$A$3:$O$4986,15,FALSE))))</f>
        <v>1005</v>
      </c>
      <c r="T2026" s="273">
        <f ca="1">IF(D2026="","",IF(J2026="リード付け",N2026,IF(J2026="巻返しリード付け",N2026,IF(J2026="巻足し",N2026*P2026+OFFSET(N2026,1,0)*OFFSET(P2026,1,0),VLOOKUP(D2026,契約台帳!$A$3:$P$4986,16,FALSE)))))</f>
        <v>12300</v>
      </c>
      <c r="U2026" s="40">
        <v>1</v>
      </c>
      <c r="V2026" s="274">
        <f ca="1">IF(D2026="","",IF(OFFSET(D2026,-2,0)=D2026,"",VLOOKUP(D2026,契約台帳!$A$3:$R$4986,18,FALSE)))</f>
        <v>3</v>
      </c>
      <c r="W2026" s="269" t="str">
        <f ca="1">IF(D2026="","",IF(T2026="","",IF(OR(J2026="巻足し",J2026="巻返しリード付け"),"",IF(J2026="巻返し",VLOOKUP(F2026&amp;K2026&amp;M2026,製品マスタ!$M$5:$AD$5002,18,FALSE),IF(OR(J2026="リード付け",J2026="巻返しリード付け"),"原反コア",IF(J2026="スリット",VLOOKUP(F2026&amp;K2026&amp;R2026,製品マスタ!$N$5:$AD$5002,17,FALSE),""))))))</f>
        <v/>
      </c>
      <c r="X2026" s="269" t="str">
        <f ca="1">IF(D2026="","",IF(T2026="","",IF(J2026="巻足し","",IF(J2026="巻返し",VLOOKUP(F2026&amp;K2026&amp;M2026,製品マスタ!$M$5:$AE$5002,19,FALSE),IF(OR(J2026="リード付け",J2026="巻返しリード付け"),"",IF(J2026="スリット",VLOOKUP(F2026&amp;K2026&amp;R2026,製品マスタ!$N$5:$AE$5002,18,FALSE),""))))))</f>
        <v/>
      </c>
      <c r="Y2026" s="275">
        <f ca="1">IF(D2026="","",IF(T2026="","",VLOOKUP(D2026,契約台帳!$A$3:$Q$4986,17,FALSE)))</f>
        <v>2</v>
      </c>
      <c r="Z2026" s="269" t="str">
        <f ca="1">IF(D2026="","",IF(T2026="","",VLOOKUP(D2026,契約台帳!$A$3:$E$4986,5,FALSE)))</f>
        <v>リンテック㈱</v>
      </c>
      <c r="AA2026" s="57"/>
      <c r="AB2026" s="207"/>
      <c r="AC2026" s="33"/>
      <c r="AD2026" s="189"/>
      <c r="AE2026" s="54"/>
      <c r="AF2026" s="55">
        <f>+M2026*N2026*O2026/1000</f>
        <v>12361.5</v>
      </c>
      <c r="AG2026" s="43"/>
      <c r="AH2026" s="47"/>
      <c r="AI2026" s="30"/>
      <c r="AJ2026" s="30"/>
      <c r="AK2026" s="30"/>
      <c r="AL2026" s="30"/>
      <c r="AM2026" s="13"/>
      <c r="AN2026" s="13"/>
      <c r="AO2026" s="13"/>
      <c r="AP2026" s="13"/>
      <c r="AQ2026" s="13"/>
      <c r="AR2026" s="14"/>
      <c r="AS2026" s="15"/>
    </row>
    <row r="2027" spans="1:45" s="17" customFormat="1" ht="30.95" hidden="1" customHeight="1" x14ac:dyDescent="0.2">
      <c r="A2027" s="343"/>
      <c r="B2027" s="344"/>
      <c r="C2027" s="345"/>
      <c r="D2027" s="346"/>
      <c r="E2027" s="346"/>
      <c r="F2027" s="268"/>
      <c r="G2027" s="269"/>
      <c r="H2027" s="269"/>
      <c r="I2027" s="270"/>
      <c r="J2027" s="434"/>
      <c r="K2027" s="270"/>
      <c r="L2027" s="270"/>
      <c r="M2027" s="348"/>
      <c r="N2027" s="348"/>
      <c r="O2027" s="435"/>
      <c r="P2027" s="349"/>
      <c r="Q2027" s="350"/>
      <c r="R2027" s="271"/>
      <c r="S2027" s="272"/>
      <c r="T2027" s="273"/>
      <c r="U2027" s="351"/>
      <c r="V2027" s="274"/>
      <c r="W2027" s="269"/>
      <c r="X2027" s="269"/>
      <c r="Y2027" s="275"/>
      <c r="Z2027" s="269"/>
      <c r="AA2027" s="350"/>
      <c r="AB2027" s="207"/>
      <c r="AC2027" s="352"/>
      <c r="AD2027" s="353"/>
      <c r="AE2027" s="54"/>
      <c r="AF2027" s="354"/>
      <c r="AG2027" s="355"/>
      <c r="AH2027" s="349"/>
      <c r="AI2027" s="30"/>
      <c r="AJ2027" s="30"/>
      <c r="AK2027" s="30"/>
      <c r="AL2027" s="30"/>
      <c r="AM2027" s="13"/>
      <c r="AN2027" s="13"/>
      <c r="AO2027" s="13"/>
      <c r="AP2027" s="13"/>
      <c r="AQ2027" s="13"/>
      <c r="AR2027" s="14"/>
      <c r="AS2027" s="15"/>
    </row>
    <row r="2028" spans="1:45" s="17" customFormat="1" ht="30.6" hidden="1" customHeight="1" x14ac:dyDescent="0.2">
      <c r="A2028" s="37" t="s">
        <v>1174</v>
      </c>
      <c r="B2028" s="38" t="s">
        <v>688</v>
      </c>
      <c r="C2028" s="45"/>
      <c r="D2028" s="31">
        <v>3758069</v>
      </c>
      <c r="E2028" s="31">
        <v>4162325</v>
      </c>
      <c r="F2028" s="268" t="str">
        <f>IF(D2028="","",VLOOKUP(D2028,契約台帳!$A$3:$K$4986,6,FALSE)&amp;VLOOKUP(D2028,契約台帳!$A$3:$K$4986,7,FALSE)&amp;VLOOKUP(D2028,契約台帳!$A$3:$K$4986,8,FALSE)&amp;VLOOKUP(D2028,契約台帳!$A$3:$K$4986,9,FALSE)&amp;VLOOKUP(D2028,契約台帳!$A$3:$K$4986,11,FALSE))</f>
        <v>33SSNMCLBTEKKFV</v>
      </c>
      <c r="G2028" s="269" t="str">
        <f>IF(D2028="","",VLOOKUP(F2028,製品マスタ!$G$5:$H$5002,2,FALSE))</f>
        <v>S</v>
      </c>
      <c r="H2028" s="269" t="str">
        <f>IF(D2028="","",VLOOKUP(F2028,製品マスタ!$G$5:$K$5002,5,FALSE))</f>
        <v>TEKKFV</v>
      </c>
      <c r="I2028" s="270" t="str">
        <f>IF(D2028="","",VLOOKUP(F2028,製品マスタ!$G$5:$L$5002,6,FALSE))</f>
        <v>メタルミー　ＴＥＳ消開封　Ｖ</v>
      </c>
      <c r="J2028" s="210" t="s">
        <v>935</v>
      </c>
      <c r="K2028" s="270">
        <f>IF(D2028="","",VLOOKUP(D2028,契約台帳!$A$3:$L$4986,12,FALSE))</f>
        <v>50</v>
      </c>
      <c r="L2028" s="270" t="str">
        <f>IF(D2028="","",INDEX(製品マスタ!$Q$5:$Q$5002,MATCH('S4'!F2028&amp;'S4'!K2028,製品マスタ!$AO$5:$AO$5002,0)))</f>
        <v>X44SEPA</v>
      </c>
      <c r="M2028" s="39">
        <v>1005</v>
      </c>
      <c r="N2028" s="39">
        <v>4000</v>
      </c>
      <c r="O2028" s="156">
        <v>6</v>
      </c>
      <c r="P2028" s="47">
        <v>3</v>
      </c>
      <c r="Q2028" s="213">
        <v>45446</v>
      </c>
      <c r="R2028" s="271">
        <f ca="1">IF(D2028="","",IF(OFFSET(D2028,-1,0)&lt;&gt;"","",IF(OR(J2028="リード付け",J2028="巻足し",J2028="巻返しリード付け"),M2028,VLOOKUP(D2028,契約台帳!$A$3:$N$4986,14,FALSE))))</f>
        <v>1005</v>
      </c>
      <c r="S2028" s="272">
        <f ca="1">IF(D2028="","",IF(OFFSET(D2028,-1,0)&lt;&gt;"","",IF(OR(J2028="リード付け",J2028="巻足し",J2028="巻返しリード付け"),M2028,VLOOKUP(D2028,契約台帳!$A$3:$O$4986,15,FALSE))))</f>
        <v>1005</v>
      </c>
      <c r="T2028" s="273">
        <f ca="1">IF(D2028="","",IF(J2028="リード付け",N2028,IF(J2028="巻返しリード付け",N2028,IF(J2028="巻足し",N2028*P2028+OFFSET(N2028,1,0)*OFFSET(P2028,1,0),VLOOKUP(D2028,契約台帳!$A$3:$P$4986,16,FALSE)))))</f>
        <v>12000</v>
      </c>
      <c r="U2028" s="40">
        <v>2</v>
      </c>
      <c r="V2028" s="274">
        <f ca="1">IF(D2028="","",IF(OFFSET(D2028,-2,0)=D2028,"",VLOOKUP(D2028,契約台帳!$A$3:$R$4986,18,FALSE)))</f>
        <v>6</v>
      </c>
      <c r="W2028" s="269" t="str">
        <f ca="1">IF(D2028="","",IF(T2028="","",IF(OR(J2028="巻足し",J2028="巻返しリード付け"),"",IF(J2028="巻返し",VLOOKUP(F2028&amp;K2028&amp;M2028,製品マスタ!$M$5:$AD$5002,18,FALSE),IF(OR(J2028="リード付け",J2028="巻返しリード付け"),"原反コア",IF(J2028="スリット",VLOOKUP(F2028&amp;K2028&amp;R2028,製品マスタ!$N$5:$AD$5002,17,FALSE),""))))))</f>
        <v/>
      </c>
      <c r="X2028" s="269" t="str">
        <f ca="1">IF(D2028="","",IF(T2028="","",IF(J2028="巻足し","",IF(J2028="巻返し",VLOOKUP(F2028&amp;K2028&amp;M2028,製品マスタ!$M$5:$AE$5002,19,FALSE),IF(OR(J2028="リード付け",J2028="巻返しリード付け"),"",IF(J2028="スリット",VLOOKUP(F2028&amp;K2028&amp;R2028,製品マスタ!$N$5:$AE$5002,18,FALSE),""))))))</f>
        <v/>
      </c>
      <c r="Y2028" s="275">
        <f ca="1">IF(D2028="","",IF(T2028="","",VLOOKUP(D2028,契約台帳!$A$3:$Q$4986,17,FALSE)))</f>
        <v>2</v>
      </c>
      <c r="Z2028" s="269" t="str">
        <f ca="1">IF(D2028="","",IF(T2028="","",VLOOKUP(D2028,契約台帳!$A$3:$E$4986,5,FALSE)))</f>
        <v>リンテック㈱</v>
      </c>
      <c r="AA2028" s="57"/>
      <c r="AB2028" s="207"/>
      <c r="AC2028" s="33"/>
      <c r="AD2028" s="189"/>
      <c r="AE2028" s="54"/>
      <c r="AF2028" s="55">
        <f>+M2028*N2028*O2028/1000</f>
        <v>24120</v>
      </c>
      <c r="AG2028" s="43"/>
      <c r="AH2028" s="47"/>
      <c r="AI2028" s="30"/>
      <c r="AJ2028" s="30"/>
      <c r="AK2028" s="30"/>
      <c r="AL2028" s="30"/>
      <c r="AM2028" s="13"/>
      <c r="AN2028" s="13"/>
      <c r="AO2028" s="13"/>
      <c r="AP2028" s="13"/>
      <c r="AQ2028" s="13"/>
      <c r="AR2028" s="14"/>
      <c r="AS2028" s="15"/>
    </row>
    <row r="2029" spans="1:45" s="17" customFormat="1" ht="30.95" hidden="1" customHeight="1" x14ac:dyDescent="0.2">
      <c r="A2029" s="343"/>
      <c r="B2029" s="344"/>
      <c r="C2029" s="345"/>
      <c r="D2029" s="346"/>
      <c r="E2029" s="346"/>
      <c r="F2029" s="268"/>
      <c r="G2029" s="269"/>
      <c r="H2029" s="269"/>
      <c r="I2029" s="270"/>
      <c r="J2029" s="434"/>
      <c r="K2029" s="270"/>
      <c r="L2029" s="270"/>
      <c r="M2029" s="348"/>
      <c r="N2029" s="348"/>
      <c r="O2029" s="435"/>
      <c r="P2029" s="349"/>
      <c r="Q2029" s="350"/>
      <c r="R2029" s="271"/>
      <c r="S2029" s="272"/>
      <c r="T2029" s="273"/>
      <c r="U2029" s="351"/>
      <c r="V2029" s="274"/>
      <c r="W2029" s="269"/>
      <c r="X2029" s="269"/>
      <c r="Y2029" s="275"/>
      <c r="Z2029" s="269"/>
      <c r="AA2029" s="350"/>
      <c r="AB2029" s="207"/>
      <c r="AC2029" s="352"/>
      <c r="AD2029" s="353"/>
      <c r="AE2029" s="54"/>
      <c r="AF2029" s="354"/>
      <c r="AG2029" s="355"/>
      <c r="AH2029" s="349"/>
      <c r="AI2029" s="30"/>
      <c r="AJ2029" s="30"/>
      <c r="AK2029" s="30"/>
      <c r="AL2029" s="30"/>
      <c r="AM2029" s="13"/>
      <c r="AN2029" s="13"/>
      <c r="AO2029" s="13"/>
      <c r="AP2029" s="13"/>
      <c r="AQ2029" s="13"/>
      <c r="AR2029" s="14"/>
      <c r="AS2029" s="15"/>
    </row>
    <row r="2030" spans="1:45" s="17" customFormat="1" ht="30.6" hidden="1" customHeight="1" x14ac:dyDescent="0.2">
      <c r="A2030" s="37"/>
      <c r="B2030" s="38"/>
      <c r="C2030" s="45"/>
      <c r="D2030" s="31">
        <v>3758070</v>
      </c>
      <c r="E2030" s="31">
        <v>4162326</v>
      </c>
      <c r="F2030" s="268" t="str">
        <f>IF(D2030="","",VLOOKUP(D2030,契約台帳!$A$3:$K$4986,6,FALSE)&amp;VLOOKUP(D2030,契約台帳!$A$3:$K$4986,7,FALSE)&amp;VLOOKUP(D2030,契約台帳!$A$3:$K$4986,8,FALSE)&amp;VLOOKUP(D2030,契約台帳!$A$3:$K$4986,9,FALSE)&amp;VLOOKUP(D2030,契約台帳!$A$3:$K$4986,11,FALSE))</f>
        <v>33SSNMCLBTEKV0V</v>
      </c>
      <c r="G2030" s="269" t="str">
        <f>IF(D2030="","",VLOOKUP(F2030,製品マスタ!$G$5:$H$5002,2,FALSE))</f>
        <v>S</v>
      </c>
      <c r="H2030" s="269" t="str">
        <f>IF(D2030="","",VLOOKUP(F2030,製品マスタ!$G$5:$K$5002,5,FALSE))</f>
        <v>TEKV0V</v>
      </c>
      <c r="I2030" s="270" t="str">
        <f>IF(D2030="","",VLOOKUP(F2030,製品マスタ!$G$5:$L$5002,6,FALSE))</f>
        <v>メタルミー　ＴＥ－Ｓ消　ＶＯＩＤ　Ｖ</v>
      </c>
      <c r="J2030" s="210" t="s">
        <v>935</v>
      </c>
      <c r="K2030" s="270">
        <f>IF(D2030="","",VLOOKUP(D2030,契約台帳!$A$3:$L$4986,12,FALSE))</f>
        <v>50</v>
      </c>
      <c r="L2030" s="270" t="str">
        <f>IF(D2030="","",INDEX(製品マスタ!$Q$5:$Q$5002,MATCH('S4'!F2030&amp;'S4'!K2030,製品マスタ!$AO$5:$AO$5002,0)))</f>
        <v>X44SEPA</v>
      </c>
      <c r="M2030" s="39">
        <v>1005</v>
      </c>
      <c r="N2030" s="39">
        <v>4000</v>
      </c>
      <c r="O2030" s="156">
        <v>3</v>
      </c>
      <c r="P2030" s="47">
        <v>3</v>
      </c>
      <c r="Q2030" s="213">
        <v>45446</v>
      </c>
      <c r="R2030" s="271">
        <f ca="1">IF(D2030="","",IF(OFFSET(D2030,-1,0)&lt;&gt;"","",IF(OR(J2030="リード付け",J2030="巻足し",J2030="巻返しリード付け"),M2030,VLOOKUP(D2030,契約台帳!$A$3:$N$4986,14,FALSE))))</f>
        <v>1005</v>
      </c>
      <c r="S2030" s="272">
        <f ca="1">IF(D2030="","",IF(OFFSET(D2030,-1,0)&lt;&gt;"","",IF(OR(J2030="リード付け",J2030="巻足し",J2030="巻返しリード付け"),M2030,VLOOKUP(D2030,契約台帳!$A$3:$O$4986,15,FALSE))))</f>
        <v>1005</v>
      </c>
      <c r="T2030" s="273">
        <f ca="1">IF(D2030="","",IF(J2030="リード付け",N2030,IF(J2030="巻返しリード付け",N2030,IF(J2030="巻足し",N2030*P2030+OFFSET(N2030,1,0)*OFFSET(P2030,1,0),VLOOKUP(D2030,契約台帳!$A$3:$P$4986,16,FALSE)))))</f>
        <v>12000</v>
      </c>
      <c r="U2030" s="40">
        <v>1</v>
      </c>
      <c r="V2030" s="274">
        <f ca="1">IF(D2030="","",IF(OFFSET(D2030,-2,0)=D2030,"",VLOOKUP(D2030,契約台帳!$A$3:$R$4986,18,FALSE)))</f>
        <v>5</v>
      </c>
      <c r="W2030" s="269" t="str">
        <f ca="1">IF(D2030="","",IF(T2030="","",IF(OR(J2030="巻足し",J2030="巻返しリード付け"),"",IF(J2030="巻返し",VLOOKUP(F2030&amp;K2030&amp;M2030,製品マスタ!$M$5:$AD$5002,18,FALSE),IF(OR(J2030="リード付け",J2030="巻返しリード付け"),"原反コア",IF(J2030="スリット",VLOOKUP(F2030&amp;K2030&amp;R2030,製品マスタ!$N$5:$AD$5002,17,FALSE),""))))))</f>
        <v/>
      </c>
      <c r="X2030" s="269" t="str">
        <f ca="1">IF(D2030="","",IF(T2030="","",IF(J2030="巻足し","",IF(J2030="巻返し",VLOOKUP(F2030&amp;K2030&amp;M2030,製品マスタ!$M$5:$AE$5002,19,FALSE),IF(OR(J2030="リード付け",J2030="巻返しリード付け"),"",IF(J2030="スリット",VLOOKUP(F2030&amp;K2030&amp;R2030,製品マスタ!$N$5:$AE$5002,18,FALSE),""))))))</f>
        <v/>
      </c>
      <c r="Y2030" s="275">
        <f ca="1">IF(D2030="","",IF(T2030="","",VLOOKUP(D2030,契約台帳!$A$3:$Q$4986,17,FALSE)))</f>
        <v>2</v>
      </c>
      <c r="Z2030" s="269" t="str">
        <f ca="1">IF(D2030="","",IF(T2030="","",VLOOKUP(D2030,契約台帳!$A$3:$E$4986,5,FALSE)))</f>
        <v>リンテック㈱</v>
      </c>
      <c r="AA2030" s="57"/>
      <c r="AB2030" s="207"/>
      <c r="AC2030" s="33"/>
      <c r="AD2030" s="189"/>
      <c r="AE2030" s="54"/>
      <c r="AF2030" s="55">
        <f>+M2030*N2030*O2030/1000</f>
        <v>12060</v>
      </c>
      <c r="AG2030" s="43"/>
      <c r="AH2030" s="47"/>
      <c r="AI2030" s="30"/>
      <c r="AJ2030" s="30"/>
      <c r="AK2030" s="30"/>
      <c r="AL2030" s="30"/>
      <c r="AM2030" s="13"/>
      <c r="AN2030" s="13"/>
      <c r="AO2030" s="13"/>
      <c r="AP2030" s="13"/>
      <c r="AQ2030" s="13"/>
      <c r="AR2030" s="14"/>
      <c r="AS2030" s="15"/>
    </row>
    <row r="2031" spans="1:45" s="17" customFormat="1" ht="30.95" hidden="1" customHeight="1" x14ac:dyDescent="0.2">
      <c r="A2031" s="343"/>
      <c r="B2031" s="344"/>
      <c r="C2031" s="345"/>
      <c r="D2031" s="346"/>
      <c r="E2031" s="346"/>
      <c r="F2031" s="268"/>
      <c r="G2031" s="269"/>
      <c r="H2031" s="269"/>
      <c r="I2031" s="270"/>
      <c r="J2031" s="434"/>
      <c r="K2031" s="270"/>
      <c r="L2031" s="270"/>
      <c r="M2031" s="348"/>
      <c r="N2031" s="348"/>
      <c r="O2031" s="435"/>
      <c r="P2031" s="349"/>
      <c r="Q2031" s="350"/>
      <c r="R2031" s="271"/>
      <c r="S2031" s="272"/>
      <c r="T2031" s="273"/>
      <c r="U2031" s="351"/>
      <c r="V2031" s="274"/>
      <c r="W2031" s="269"/>
      <c r="X2031" s="269"/>
      <c r="Y2031" s="275"/>
      <c r="Z2031" s="269"/>
      <c r="AA2031" s="350"/>
      <c r="AB2031" s="207"/>
      <c r="AC2031" s="352"/>
      <c r="AD2031" s="353"/>
      <c r="AE2031" s="54"/>
      <c r="AF2031" s="354"/>
      <c r="AG2031" s="355"/>
      <c r="AH2031" s="349"/>
      <c r="AI2031" s="30"/>
      <c r="AJ2031" s="30"/>
      <c r="AK2031" s="30"/>
      <c r="AL2031" s="30"/>
      <c r="AM2031" s="13"/>
      <c r="AN2031" s="13"/>
      <c r="AO2031" s="13"/>
      <c r="AP2031" s="13"/>
      <c r="AQ2031" s="13"/>
      <c r="AR2031" s="14"/>
      <c r="AS2031" s="15"/>
    </row>
    <row r="2032" spans="1:45" s="17" customFormat="1" ht="30.6" hidden="1" customHeight="1" x14ac:dyDescent="0.2">
      <c r="A2032" s="37"/>
      <c r="B2032" s="38"/>
      <c r="C2032" s="45"/>
      <c r="D2032" s="31">
        <v>3758070</v>
      </c>
      <c r="E2032" s="31">
        <v>4162326</v>
      </c>
      <c r="F2032" s="268" t="str">
        <f>IF(D2032="","",VLOOKUP(D2032,契約台帳!$A$3:$K$4986,6,FALSE)&amp;VLOOKUP(D2032,契約台帳!$A$3:$K$4986,7,FALSE)&amp;VLOOKUP(D2032,契約台帳!$A$3:$K$4986,8,FALSE)&amp;VLOOKUP(D2032,契約台帳!$A$3:$K$4986,9,FALSE)&amp;VLOOKUP(D2032,契約台帳!$A$3:$K$4986,11,FALSE))</f>
        <v>33SSNMCLBTEKV0V</v>
      </c>
      <c r="G2032" s="269" t="str">
        <f>IF(D2032="","",VLOOKUP(F2032,製品マスタ!$G$5:$H$5002,2,FALSE))</f>
        <v>S</v>
      </c>
      <c r="H2032" s="269" t="str">
        <f>IF(D2032="","",VLOOKUP(F2032,製品マスタ!$G$5:$K$5002,5,FALSE))</f>
        <v>TEKV0V</v>
      </c>
      <c r="I2032" s="270" t="str">
        <f>IF(D2032="","",VLOOKUP(F2032,製品マスタ!$G$5:$L$5002,6,FALSE))</f>
        <v>メタルミー　ＴＥ－Ｓ消　ＶＯＩＤ　Ｖ</v>
      </c>
      <c r="J2032" s="210" t="s">
        <v>935</v>
      </c>
      <c r="K2032" s="270">
        <f>IF(D2032="","",VLOOKUP(D2032,契約台帳!$A$3:$L$4986,12,FALSE))</f>
        <v>50</v>
      </c>
      <c r="L2032" s="270" t="str">
        <f>IF(D2032="","",INDEX(製品マスタ!$Q$5:$Q$5002,MATCH('S4'!F2032&amp;'S4'!K2032,製品マスタ!$AO$5:$AO$5002,0)))</f>
        <v>X44SEPA</v>
      </c>
      <c r="M2032" s="39">
        <v>1005</v>
      </c>
      <c r="N2032" s="39">
        <v>4000</v>
      </c>
      <c r="O2032" s="156">
        <v>2</v>
      </c>
      <c r="P2032" s="47">
        <v>3</v>
      </c>
      <c r="Q2032" s="213">
        <v>45446</v>
      </c>
      <c r="R2032" s="271">
        <f ca="1">IF(D2032="","",IF(OFFSET(D2032,-1,0)&lt;&gt;"","",IF(OR(J2032="リード付け",J2032="巻足し",J2032="巻返しリード付け"),M2032,VLOOKUP(D2032,契約台帳!$A$3:$N$4986,14,FALSE))))</f>
        <v>1005</v>
      </c>
      <c r="S2032" s="272">
        <f ca="1">IF(D2032="","",IF(OFFSET(D2032,-1,0)&lt;&gt;"","",IF(OR(J2032="リード付け",J2032="巻足し",J2032="巻返しリード付け"),M2032,VLOOKUP(D2032,契約台帳!$A$3:$O$4986,15,FALSE))))</f>
        <v>1005</v>
      </c>
      <c r="T2032" s="273">
        <f ca="1">IF(D2032="","",IF(J2032="リード付け",N2032,IF(J2032="巻返しリード付け",N2032,IF(J2032="巻足し",N2032*P2032+OFFSET(N2032,1,0)*OFFSET(P2032,1,0),VLOOKUP(D2032,契約台帳!$A$3:$P$4986,16,FALSE)))))</f>
        <v>12000</v>
      </c>
      <c r="U2032" s="40">
        <v>1</v>
      </c>
      <c r="V2032" s="274" t="str">
        <f ca="1">IF(D2032="","",IF(OFFSET(D2032,-2,0)=D2032,"",VLOOKUP(D2032,契約台帳!$A$3:$R$4986,18,FALSE)))</f>
        <v/>
      </c>
      <c r="W2032" s="269" t="str">
        <f ca="1">IF(D2032="","",IF(T2032="","",IF(OR(J2032="巻足し",J2032="巻返しリード付け"),"",IF(J2032="巻返し",VLOOKUP(F2032&amp;K2032&amp;M2032,製品マスタ!$M$5:$AD$5002,18,FALSE),IF(OR(J2032="リード付け",J2032="巻返しリード付け"),"原反コア",IF(J2032="スリット",VLOOKUP(F2032&amp;K2032&amp;R2032,製品マスタ!$N$5:$AD$5002,17,FALSE),""))))))</f>
        <v/>
      </c>
      <c r="X2032" s="269" t="str">
        <f ca="1">IF(D2032="","",IF(T2032="","",IF(J2032="巻足し","",IF(J2032="巻返し",VLOOKUP(F2032&amp;K2032&amp;M2032,製品マスタ!$M$5:$AE$5002,19,FALSE),IF(OR(J2032="リード付け",J2032="巻返しリード付け"),"",IF(J2032="スリット",VLOOKUP(F2032&amp;K2032&amp;R2032,製品マスタ!$N$5:$AE$5002,18,FALSE),""))))))</f>
        <v/>
      </c>
      <c r="Y2032" s="275">
        <f ca="1">IF(D2032="","",IF(T2032="","",VLOOKUP(D2032,契約台帳!$A$3:$Q$4986,17,FALSE)))</f>
        <v>2</v>
      </c>
      <c r="Z2032" s="269" t="str">
        <f ca="1">IF(D2032="","",IF(T2032="","",VLOOKUP(D2032,契約台帳!$A$3:$E$4986,5,FALSE)))</f>
        <v>リンテック㈱</v>
      </c>
      <c r="AA2032" s="57"/>
      <c r="AB2032" s="207"/>
      <c r="AC2032" s="33"/>
      <c r="AD2032" s="189"/>
      <c r="AE2032" s="54"/>
      <c r="AF2032" s="55">
        <f>+M2032*N2032*O2032/1000</f>
        <v>8040</v>
      </c>
      <c r="AG2032" s="43"/>
      <c r="AH2032" s="47"/>
      <c r="AI2032" s="30"/>
      <c r="AJ2032" s="30"/>
      <c r="AK2032" s="30"/>
      <c r="AL2032" s="30"/>
      <c r="AM2032" s="13"/>
      <c r="AN2032" s="13"/>
      <c r="AO2032" s="13"/>
      <c r="AP2032" s="13"/>
      <c r="AQ2032" s="13"/>
      <c r="AR2032" s="14"/>
      <c r="AS2032" s="15"/>
    </row>
    <row r="2033" spans="1:45" s="17" customFormat="1" ht="30.6" hidden="1" customHeight="1" x14ac:dyDescent="0.2">
      <c r="A2033" s="37"/>
      <c r="B2033" s="38"/>
      <c r="C2033" s="45"/>
      <c r="D2033" s="31">
        <v>3758071</v>
      </c>
      <c r="E2033" s="31"/>
      <c r="F2033" s="268" t="str">
        <f>IF(D2033="","",VLOOKUP(D2033,契約台帳!$A$3:$K$4986,6,FALSE)&amp;VLOOKUP(D2033,契約台帳!$A$3:$K$4986,7,FALSE)&amp;VLOOKUP(D2033,契約台帳!$A$3:$K$4986,8,FALSE)&amp;VLOOKUP(D2033,契約台帳!$A$3:$K$4986,9,FALSE)&amp;VLOOKUP(D2033,契約台帳!$A$3:$K$4986,11,FALSE))</f>
        <v>33SSYMCLBTEKV0V</v>
      </c>
      <c r="G2033" s="269" t="str">
        <f>IF(D2033="","",VLOOKUP(F2033,製品マスタ!$G$5:$H$5002,2,FALSE))</f>
        <v>S</v>
      </c>
      <c r="H2033" s="269" t="str">
        <f>IF(D2033="","",VLOOKUP(F2033,製品マスタ!$G$5:$K$5002,5,FALSE))</f>
        <v>TEKV0V</v>
      </c>
      <c r="I2033" s="270" t="str">
        <f>IF(D2033="","",VLOOKUP(F2033,製品マスタ!$G$5:$L$5002,6,FALSE))</f>
        <v>メタルミー　ＴＥ－Ｓ消　ＶＯＩＤ　Ｖ</v>
      </c>
      <c r="J2033" s="210" t="s">
        <v>935</v>
      </c>
      <c r="K2033" s="270">
        <f>IF(D2033="","",VLOOKUP(D2033,契約台帳!$A$3:$L$4986,12,FALSE))</f>
        <v>50</v>
      </c>
      <c r="L2033" s="270" t="str">
        <f>IF(D2033="","",INDEX(製品マスタ!$Q$5:$Q$5002,MATCH('S4'!F2033&amp;'S4'!K2033,製品マスタ!$AO$5:$AO$5002,0)))</f>
        <v>X44SEPA</v>
      </c>
      <c r="M2033" s="39">
        <v>1005</v>
      </c>
      <c r="N2033" s="39">
        <v>4000</v>
      </c>
      <c r="O2033" s="156">
        <v>1</v>
      </c>
      <c r="P2033" s="47"/>
      <c r="Q2033" s="213">
        <v>45446</v>
      </c>
      <c r="R2033" s="271" t="str">
        <f ca="1">IF(D2033="","",IF(OFFSET(D2033,-1,0)&lt;&gt;"","",IF(OR(J2033="リード付け",J2033="巻足し",J2033="巻返しリード付け"),M2033,VLOOKUP(D2033,契約台帳!$A$3:$N$4986,14,FALSE))))</f>
        <v/>
      </c>
      <c r="S2033" s="272" t="str">
        <f ca="1">IF(D2033="","",IF(OFFSET(D2033,-1,0)&lt;&gt;"","",IF(OR(J2033="リード付け",J2033="巻足し",J2033="巻返しリード付け"),M2033,VLOOKUP(D2033,契約台帳!$A$3:$O$4986,15,FALSE))))</f>
        <v/>
      </c>
      <c r="T2033" s="273">
        <f ca="1">IF(D2033="","",IF(J2033="リード付け",N2033,IF(J2033="巻返しリード付け",N2033,IF(J2033="巻足し",N2033*P2033+OFFSET(N2033,1,0)*OFFSET(P2033,1,0),VLOOKUP(D2033,契約台帳!$A$3:$P$4986,16,FALSE)))))</f>
        <v>0</v>
      </c>
      <c r="U2033" s="40"/>
      <c r="V2033" s="274">
        <f ca="1">IF(D2033="","",IF(OFFSET(D2033,-2,0)=D2033,"",VLOOKUP(D2033,契約台帳!$A$3:$R$4986,18,FALSE)))</f>
        <v>1</v>
      </c>
      <c r="W2033" s="269" t="str">
        <f ca="1">IF(D2033="","",IF(T2033="","",IF(OR(J2033="巻足し",J2033="巻返しリード付け"),"",IF(J2033="巻返し",VLOOKUP(F2033&amp;K2033&amp;M2033,製品マスタ!$M$5:$AD$5002,18,FALSE),IF(OR(J2033="リード付け",J2033="巻返しリード付け"),"原反コア",IF(J2033="スリット",VLOOKUP(F2033&amp;K2033&amp;R2033,製品マスタ!$N$5:$AD$5002,17,FALSE),""))))))</f>
        <v/>
      </c>
      <c r="X2033" s="269" t="str">
        <f ca="1">IF(D2033="","",IF(T2033="","",IF(J2033="巻足し","",IF(J2033="巻返し",VLOOKUP(F2033&amp;K2033&amp;M2033,製品マスタ!$M$5:$AE$5002,19,FALSE),IF(OR(J2033="リード付け",J2033="巻返しリード付け"),"",IF(J2033="スリット",VLOOKUP(F2033&amp;K2033&amp;R2033,製品マスタ!$N$5:$AE$5002,18,FALSE),""))))))</f>
        <v/>
      </c>
      <c r="Y2033" s="275">
        <f ca="1">IF(D2033="","",IF(T2033="","",VLOOKUP(D2033,契約台帳!$A$3:$Q$4986,17,FALSE)))</f>
        <v>2</v>
      </c>
      <c r="Z2033" s="269" t="str">
        <f ca="1">IF(D2033="","",IF(T2033="","",VLOOKUP(D2033,契約台帳!$A$3:$E$4986,5,FALSE)))</f>
        <v>リンテック㈱</v>
      </c>
      <c r="AA2033" s="57"/>
      <c r="AB2033" s="207"/>
      <c r="AC2033" s="33"/>
      <c r="AD2033" s="189"/>
      <c r="AE2033" s="54"/>
      <c r="AF2033" s="55">
        <f>+M2033*N2033*O2033/1000</f>
        <v>4020</v>
      </c>
      <c r="AG2033" s="43"/>
      <c r="AH2033" s="47"/>
      <c r="AI2033" s="30"/>
      <c r="AJ2033" s="30"/>
      <c r="AK2033" s="30"/>
      <c r="AL2033" s="30"/>
      <c r="AM2033" s="13"/>
      <c r="AN2033" s="13"/>
      <c r="AO2033" s="13"/>
      <c r="AP2033" s="13"/>
      <c r="AQ2033" s="13"/>
      <c r="AR2033" s="14"/>
      <c r="AS2033" s="15"/>
    </row>
    <row r="2034" spans="1:45" s="17" customFormat="1" ht="30.95" hidden="1" customHeight="1" x14ac:dyDescent="0.2">
      <c r="A2034" s="343"/>
      <c r="B2034" s="344"/>
      <c r="C2034" s="345"/>
      <c r="D2034" s="346"/>
      <c r="E2034" s="346"/>
      <c r="F2034" s="268"/>
      <c r="G2034" s="269"/>
      <c r="H2034" s="269"/>
      <c r="I2034" s="270"/>
      <c r="J2034" s="434"/>
      <c r="K2034" s="270"/>
      <c r="L2034" s="270"/>
      <c r="M2034" s="348"/>
      <c r="N2034" s="348"/>
      <c r="O2034" s="435"/>
      <c r="P2034" s="349"/>
      <c r="Q2034" s="350"/>
      <c r="R2034" s="271"/>
      <c r="S2034" s="272"/>
      <c r="T2034" s="273"/>
      <c r="U2034" s="351"/>
      <c r="V2034" s="274"/>
      <c r="W2034" s="269"/>
      <c r="X2034" s="269"/>
      <c r="Y2034" s="275"/>
      <c r="Z2034" s="269"/>
      <c r="AA2034" s="350"/>
      <c r="AB2034" s="207"/>
      <c r="AC2034" s="352"/>
      <c r="AD2034" s="353"/>
      <c r="AE2034" s="54"/>
      <c r="AF2034" s="354"/>
      <c r="AG2034" s="355"/>
      <c r="AH2034" s="349"/>
      <c r="AI2034" s="30"/>
      <c r="AJ2034" s="30"/>
      <c r="AK2034" s="30"/>
      <c r="AL2034" s="30"/>
      <c r="AM2034" s="13"/>
      <c r="AN2034" s="13"/>
      <c r="AO2034" s="13"/>
      <c r="AP2034" s="13"/>
      <c r="AQ2034" s="13"/>
      <c r="AR2034" s="14"/>
      <c r="AS2034" s="15"/>
    </row>
    <row r="2035" spans="1:45" s="17" customFormat="1" ht="30.6" hidden="1" customHeight="1" x14ac:dyDescent="0.2">
      <c r="A2035" s="37" t="s">
        <v>1176</v>
      </c>
      <c r="B2035" s="38" t="s">
        <v>442</v>
      </c>
      <c r="C2035" s="45"/>
      <c r="D2035" s="31">
        <v>3758062</v>
      </c>
      <c r="E2035" s="31">
        <v>4162331</v>
      </c>
      <c r="F2035" s="268" t="str">
        <f>IF(D2035="","",VLOOKUP(D2035,契約台帳!$A$3:$K$4986,6,FALSE)&amp;VLOOKUP(D2035,契約台帳!$A$3:$K$4986,7,FALSE)&amp;VLOOKUP(D2035,契約台帳!$A$3:$K$4986,8,FALSE)&amp;VLOOKUP(D2035,契約台帳!$A$3:$K$4986,9,FALSE)&amp;VLOOKUP(D2035,契約台帳!$A$3:$K$4986,11,FALSE))</f>
        <v>3SNMLBMNGKKBF</v>
      </c>
      <c r="G2035" s="269" t="str">
        <f>IF(D2035="","",VLOOKUP(F2035,製品マスタ!$G$5:$H$5002,2,FALSE))</f>
        <v>S</v>
      </c>
      <c r="H2035" s="269" t="str">
        <f>IF(D2035="","",VLOOKUP(F2035,製品マスタ!$G$5:$K$5002,5,FALSE))</f>
        <v>MNGKKBF</v>
      </c>
      <c r="I2035" s="270" t="str">
        <f>IF(D2035="","",VLOOKUP(F2035,製品マスタ!$G$5:$L$5002,6,FALSE))</f>
        <v>メタルミー　ネーマー銀消改　Ｂ</v>
      </c>
      <c r="J2035" s="210" t="s">
        <v>935</v>
      </c>
      <c r="K2035" s="270">
        <f>IF(D2035="","",VLOOKUP(D2035,契約台帳!$A$3:$L$4986,12,FALSE))</f>
        <v>50</v>
      </c>
      <c r="L2035" s="270" t="str">
        <f>IF(D2035="","",INDEX(製品マスタ!$Q$5:$Q$5002,MATCH('S4'!F2035&amp;'S4'!K2035,製品マスタ!$AO$5:$AO$5002,0)))</f>
        <v>S99-MAT</v>
      </c>
      <c r="M2035" s="39">
        <v>1120</v>
      </c>
      <c r="N2035" s="39">
        <v>4000</v>
      </c>
      <c r="O2035" s="156">
        <v>12</v>
      </c>
      <c r="P2035" s="47">
        <v>3</v>
      </c>
      <c r="Q2035" s="213">
        <v>45448</v>
      </c>
      <c r="R2035" s="271">
        <f ca="1">IF(D2035="","",IF(OFFSET(D2035,-1,0)&lt;&gt;"","",IF(OR(J2035="リード付け",J2035="巻足し",J2035="巻返しリード付け"),M2035,VLOOKUP(D2035,契約台帳!$A$3:$N$4986,14,FALSE))))</f>
        <v>1120</v>
      </c>
      <c r="S2035" s="272">
        <f ca="1">IF(D2035="","",IF(OFFSET(D2035,-1,0)&lt;&gt;"","",IF(OR(J2035="リード付け",J2035="巻足し",J2035="巻返しリード付け"),M2035,VLOOKUP(D2035,契約台帳!$A$3:$O$4986,15,FALSE))))</f>
        <v>1120</v>
      </c>
      <c r="T2035" s="273">
        <f ca="1">IF(D2035="","",IF(J2035="リード付け",N2035,IF(J2035="巻返しリード付け",N2035,IF(J2035="巻足し",N2035*P2035+OFFSET(N2035,1,0)*OFFSET(P2035,1,0),VLOOKUP(D2035,契約台帳!$A$3:$P$4986,16,FALSE)))))</f>
        <v>12000</v>
      </c>
      <c r="U2035" s="40">
        <v>4</v>
      </c>
      <c r="V2035" s="274">
        <f ca="1">IF(D2035="","",IF(OFFSET(D2035,-2,0)=D2035,"",VLOOKUP(D2035,契約台帳!$A$3:$R$4986,18,FALSE)))</f>
        <v>22</v>
      </c>
      <c r="W2035" s="269" t="str">
        <f ca="1">IF(D2035="","",IF(T2035="","",IF(OR(J2035="巻足し",J2035="巻返しリード付け"),"",IF(J2035="巻返し",VLOOKUP(F2035&amp;K2035&amp;M2035,製品マスタ!$M$5:$AD$5002,18,FALSE),IF(OR(J2035="リード付け",J2035="巻返しリード付け"),"原反コア",IF(J2035="スリット",VLOOKUP(F2035&amp;K2035&amp;R2035,製品マスタ!$N$5:$AD$5002,17,FALSE),""))))))</f>
        <v/>
      </c>
      <c r="X2035" s="269" t="str">
        <f ca="1">IF(D2035="","",IF(T2035="","",IF(J2035="巻足し","",IF(J2035="巻返し",VLOOKUP(F2035&amp;K2035&amp;M2035,製品マスタ!$M$5:$AE$5002,19,FALSE),IF(OR(J2035="リード付け",J2035="巻返しリード付け"),"",IF(J2035="スリット",VLOOKUP(F2035&amp;K2035&amp;R2035,製品マスタ!$N$5:$AE$5002,18,FALSE),""))))))</f>
        <v/>
      </c>
      <c r="Y2035" s="275">
        <f ca="1">IF(D2035="","",IF(T2035="","",VLOOKUP(D2035,契約台帳!$A$3:$Q$4986,17,FALSE)))</f>
        <v>2</v>
      </c>
      <c r="Z2035" s="269" t="str">
        <f ca="1">IF(D2035="","",IF(T2035="","",VLOOKUP(D2035,契約台帳!$A$3:$E$4986,5,FALSE)))</f>
        <v>リンテック㈱</v>
      </c>
      <c r="AA2035" s="57"/>
      <c r="AB2035" s="207">
        <f>IFERROR((VLOOKUP(F2035&amp;K2035&amp;M2035,製品マスタ!$M$5:$AM$5002,27,FALSE)),"")</f>
        <v>0</v>
      </c>
      <c r="AC2035" s="33"/>
      <c r="AD2035" s="189"/>
      <c r="AE2035" s="54"/>
      <c r="AF2035" s="55">
        <f>+M2035*N2035*O2035/1000</f>
        <v>53760</v>
      </c>
      <c r="AG2035" s="43"/>
      <c r="AH2035" s="47"/>
      <c r="AI2035" s="30"/>
      <c r="AJ2035" s="30"/>
      <c r="AK2035" s="30"/>
      <c r="AL2035" s="30"/>
      <c r="AM2035" s="13"/>
      <c r="AN2035" s="13"/>
      <c r="AO2035" s="13"/>
      <c r="AP2035" s="13"/>
      <c r="AQ2035" s="13"/>
      <c r="AR2035" s="14"/>
      <c r="AS2035" s="15"/>
    </row>
    <row r="2036" spans="1:45" s="17" customFormat="1" ht="30.95" hidden="1" customHeight="1" x14ac:dyDescent="0.2">
      <c r="A2036" s="343"/>
      <c r="B2036" s="344"/>
      <c r="C2036" s="345"/>
      <c r="D2036" s="346"/>
      <c r="E2036" s="346"/>
      <c r="F2036" s="268"/>
      <c r="G2036" s="269"/>
      <c r="H2036" s="269"/>
      <c r="I2036" s="270"/>
      <c r="J2036" s="434"/>
      <c r="K2036" s="270"/>
      <c r="L2036" s="270"/>
      <c r="M2036" s="348"/>
      <c r="N2036" s="348"/>
      <c r="O2036" s="435"/>
      <c r="P2036" s="349"/>
      <c r="Q2036" s="350"/>
      <c r="R2036" s="271"/>
      <c r="S2036" s="272"/>
      <c r="T2036" s="273"/>
      <c r="U2036" s="351"/>
      <c r="V2036" s="274"/>
      <c r="W2036" s="269"/>
      <c r="X2036" s="269"/>
      <c r="Y2036" s="275"/>
      <c r="Z2036" s="269"/>
      <c r="AA2036" s="350"/>
      <c r="AB2036" s="207"/>
      <c r="AC2036" s="352"/>
      <c r="AD2036" s="353"/>
      <c r="AE2036" s="54"/>
      <c r="AF2036" s="354"/>
      <c r="AG2036" s="355"/>
      <c r="AH2036" s="349"/>
      <c r="AI2036" s="30"/>
      <c r="AJ2036" s="30"/>
      <c r="AK2036" s="30"/>
      <c r="AL2036" s="30"/>
      <c r="AM2036" s="13"/>
      <c r="AN2036" s="13"/>
      <c r="AO2036" s="13"/>
      <c r="AP2036" s="13"/>
      <c r="AQ2036" s="13"/>
      <c r="AR2036" s="14"/>
      <c r="AS2036" s="15"/>
    </row>
    <row r="2037" spans="1:45" s="17" customFormat="1" ht="30.6" hidden="1" customHeight="1" x14ac:dyDescent="0.2">
      <c r="A2037" s="37" t="s">
        <v>1178</v>
      </c>
      <c r="B2037" s="38" t="s">
        <v>443</v>
      </c>
      <c r="C2037" s="45"/>
      <c r="D2037" s="31">
        <v>3758062</v>
      </c>
      <c r="E2037" s="31">
        <v>4162331</v>
      </c>
      <c r="F2037" s="268" t="str">
        <f>IF(D2037="","",VLOOKUP(D2037,契約台帳!$A$3:$K$4986,6,FALSE)&amp;VLOOKUP(D2037,契約台帳!$A$3:$K$4986,7,FALSE)&amp;VLOOKUP(D2037,契約台帳!$A$3:$K$4986,8,FALSE)&amp;VLOOKUP(D2037,契約台帳!$A$3:$K$4986,9,FALSE)&amp;VLOOKUP(D2037,契約台帳!$A$3:$K$4986,11,FALSE))</f>
        <v>3SNMLBMNGKKBF</v>
      </c>
      <c r="G2037" s="269" t="str">
        <f>IF(D2037="","",VLOOKUP(F2037,製品マスタ!$G$5:$H$5002,2,FALSE))</f>
        <v>S</v>
      </c>
      <c r="H2037" s="269" t="str">
        <f>IF(D2037="","",VLOOKUP(F2037,製品マスタ!$G$5:$K$5002,5,FALSE))</f>
        <v>MNGKKBF</v>
      </c>
      <c r="I2037" s="270" t="str">
        <f>IF(D2037="","",VLOOKUP(F2037,製品マスタ!$G$5:$L$5002,6,FALSE))</f>
        <v>メタルミー　ネーマー銀消改　Ｂ</v>
      </c>
      <c r="J2037" s="210" t="s">
        <v>935</v>
      </c>
      <c r="K2037" s="270">
        <f>IF(D2037="","",VLOOKUP(D2037,契約台帳!$A$3:$L$4986,12,FALSE))</f>
        <v>50</v>
      </c>
      <c r="L2037" s="270" t="str">
        <f>IF(D2037="","",INDEX(製品マスタ!$Q$5:$Q$5002,MATCH('S4'!F2037&amp;'S4'!K2037,製品マスタ!$AO$5:$AO$5002,0)))</f>
        <v>S99-MAT</v>
      </c>
      <c r="M2037" s="39">
        <v>1120</v>
      </c>
      <c r="N2037" s="39">
        <v>4000</v>
      </c>
      <c r="O2037" s="156">
        <v>6</v>
      </c>
      <c r="P2037" s="47">
        <v>3</v>
      </c>
      <c r="Q2037" s="213">
        <v>45448</v>
      </c>
      <c r="R2037" s="271">
        <f ca="1">IF(D2037="","",IF(OFFSET(D2037,-1,0)&lt;&gt;"","",IF(OR(J2037="リード付け",J2037="巻足し",J2037="巻返しリード付け"),M2037,VLOOKUP(D2037,契約台帳!$A$3:$N$4986,14,FALSE))))</f>
        <v>1120</v>
      </c>
      <c r="S2037" s="272">
        <f ca="1">IF(D2037="","",IF(OFFSET(D2037,-1,0)&lt;&gt;"","",IF(OR(J2037="リード付け",J2037="巻足し",J2037="巻返しリード付け"),M2037,VLOOKUP(D2037,契約台帳!$A$3:$O$4986,15,FALSE))))</f>
        <v>1120</v>
      </c>
      <c r="T2037" s="273">
        <f ca="1">IF(D2037="","",IF(J2037="リード付け",N2037,IF(J2037="巻返しリード付け",N2037,IF(J2037="巻足し",N2037*P2037+OFFSET(N2037,1,0)*OFFSET(P2037,1,0),VLOOKUP(D2037,契約台帳!$A$3:$P$4986,16,FALSE)))))</f>
        <v>12000</v>
      </c>
      <c r="U2037" s="40">
        <v>2</v>
      </c>
      <c r="V2037" s="274" t="str">
        <f ca="1">IF(D2037="","",IF(OFFSET(D2037,-2,0)=D2037,"",VLOOKUP(D2037,契約台帳!$A$3:$R$4986,18,FALSE)))</f>
        <v/>
      </c>
      <c r="W2037" s="269" t="str">
        <f ca="1">IF(D2037="","",IF(T2037="","",IF(OR(J2037="巻足し",J2037="巻返しリード付け"),"",IF(J2037="巻返し",VLOOKUP(F2037&amp;K2037&amp;M2037,製品マスタ!$M$5:$AD$5002,18,FALSE),IF(OR(J2037="リード付け",J2037="巻返しリード付け"),"原反コア",IF(J2037="スリット",VLOOKUP(F2037&amp;K2037&amp;R2037,製品マスタ!$N$5:$AD$5002,17,FALSE),""))))))</f>
        <v/>
      </c>
      <c r="X2037" s="269" t="str">
        <f ca="1">IF(D2037="","",IF(T2037="","",IF(J2037="巻足し","",IF(J2037="巻返し",VLOOKUP(F2037&amp;K2037&amp;M2037,製品マスタ!$M$5:$AE$5002,19,FALSE),IF(OR(J2037="リード付け",J2037="巻返しリード付け"),"",IF(J2037="スリット",VLOOKUP(F2037&amp;K2037&amp;R2037,製品マスタ!$N$5:$AE$5002,18,FALSE),""))))))</f>
        <v/>
      </c>
      <c r="Y2037" s="275">
        <f ca="1">IF(D2037="","",IF(T2037="","",VLOOKUP(D2037,契約台帳!$A$3:$Q$4986,17,FALSE)))</f>
        <v>2</v>
      </c>
      <c r="Z2037" s="269" t="str">
        <f ca="1">IF(D2037="","",IF(T2037="","",VLOOKUP(D2037,契約台帳!$A$3:$E$4986,5,FALSE)))</f>
        <v>リンテック㈱</v>
      </c>
      <c r="AA2037" s="57"/>
      <c r="AB2037" s="207">
        <f>IFERROR((VLOOKUP(F2037&amp;K2037&amp;M2037,製品マスタ!$M$5:$AM$5002,27,FALSE)),"")</f>
        <v>0</v>
      </c>
      <c r="AC2037" s="33"/>
      <c r="AD2037" s="189"/>
      <c r="AE2037" s="54"/>
      <c r="AF2037" s="55">
        <f>+M2037*N2037*O2037/1000</f>
        <v>26880</v>
      </c>
      <c r="AG2037" s="43"/>
      <c r="AH2037" s="47"/>
      <c r="AI2037" s="30"/>
      <c r="AJ2037" s="30"/>
      <c r="AK2037" s="30"/>
      <c r="AL2037" s="30"/>
      <c r="AM2037" s="13"/>
      <c r="AN2037" s="13"/>
      <c r="AO2037" s="13"/>
      <c r="AP2037" s="13"/>
      <c r="AQ2037" s="13"/>
      <c r="AR2037" s="14"/>
      <c r="AS2037" s="15"/>
    </row>
    <row r="2038" spans="1:45" s="17" customFormat="1" ht="30.95" hidden="1" customHeight="1" x14ac:dyDescent="0.2">
      <c r="A2038" s="343"/>
      <c r="B2038" s="344"/>
      <c r="C2038" s="345"/>
      <c r="D2038" s="346"/>
      <c r="E2038" s="346"/>
      <c r="F2038" s="268"/>
      <c r="G2038" s="269"/>
      <c r="H2038" s="269"/>
      <c r="I2038" s="270"/>
      <c r="J2038" s="434"/>
      <c r="K2038" s="270"/>
      <c r="L2038" s="270"/>
      <c r="M2038" s="348"/>
      <c r="N2038" s="348"/>
      <c r="O2038" s="435"/>
      <c r="P2038" s="349"/>
      <c r="Q2038" s="350"/>
      <c r="R2038" s="271"/>
      <c r="S2038" s="272"/>
      <c r="T2038" s="273"/>
      <c r="U2038" s="351"/>
      <c r="V2038" s="274"/>
      <c r="W2038" s="269"/>
      <c r="X2038" s="269"/>
      <c r="Y2038" s="275"/>
      <c r="Z2038" s="269"/>
      <c r="AA2038" s="350"/>
      <c r="AB2038" s="207"/>
      <c r="AC2038" s="352"/>
      <c r="AD2038" s="353"/>
      <c r="AE2038" s="54"/>
      <c r="AF2038" s="354"/>
      <c r="AG2038" s="355"/>
      <c r="AH2038" s="349"/>
      <c r="AI2038" s="30"/>
      <c r="AJ2038" s="30"/>
      <c r="AK2038" s="30"/>
      <c r="AL2038" s="30"/>
      <c r="AM2038" s="13"/>
      <c r="AN2038" s="13"/>
      <c r="AO2038" s="13"/>
      <c r="AP2038" s="13"/>
      <c r="AQ2038" s="13"/>
      <c r="AR2038" s="14"/>
      <c r="AS2038" s="15"/>
    </row>
    <row r="2039" spans="1:45" s="17" customFormat="1" ht="30.6" hidden="1" customHeight="1" x14ac:dyDescent="0.2">
      <c r="A2039" s="37"/>
      <c r="B2039" s="38"/>
      <c r="C2039" s="45"/>
      <c r="D2039" s="31">
        <v>3758062</v>
      </c>
      <c r="E2039" s="31">
        <v>4162331</v>
      </c>
      <c r="F2039" s="268" t="str">
        <f>IF(D2039="","",VLOOKUP(D2039,契約台帳!$A$3:$K$4986,6,FALSE)&amp;VLOOKUP(D2039,契約台帳!$A$3:$K$4986,7,FALSE)&amp;VLOOKUP(D2039,契約台帳!$A$3:$K$4986,8,FALSE)&amp;VLOOKUP(D2039,契約台帳!$A$3:$K$4986,9,FALSE)&amp;VLOOKUP(D2039,契約台帳!$A$3:$K$4986,11,FALSE))</f>
        <v>3SNMLBMNGKKBF</v>
      </c>
      <c r="G2039" s="269" t="str">
        <f>IF(D2039="","",VLOOKUP(F2039,製品マスタ!$G$5:$H$5002,2,FALSE))</f>
        <v>S</v>
      </c>
      <c r="H2039" s="269" t="str">
        <f>IF(D2039="","",VLOOKUP(F2039,製品マスタ!$G$5:$K$5002,5,FALSE))</f>
        <v>MNGKKBF</v>
      </c>
      <c r="I2039" s="270" t="str">
        <f>IF(D2039="","",VLOOKUP(F2039,製品マスタ!$G$5:$L$5002,6,FALSE))</f>
        <v>メタルミー　ネーマー銀消改　Ｂ</v>
      </c>
      <c r="J2039" s="210" t="s">
        <v>935</v>
      </c>
      <c r="K2039" s="270">
        <f>IF(D2039="","",VLOOKUP(D2039,契約台帳!$A$3:$L$4986,12,FALSE))</f>
        <v>50</v>
      </c>
      <c r="L2039" s="270" t="str">
        <f>IF(D2039="","",INDEX(製品マスタ!$Q$5:$Q$5002,MATCH('S4'!F2039&amp;'S4'!K2039,製品マスタ!$AO$5:$AO$5002,0)))</f>
        <v>S99-MAT</v>
      </c>
      <c r="M2039" s="39">
        <v>1120</v>
      </c>
      <c r="N2039" s="39">
        <v>4000</v>
      </c>
      <c r="O2039" s="156">
        <v>4</v>
      </c>
      <c r="P2039" s="47">
        <v>2</v>
      </c>
      <c r="Q2039" s="213">
        <v>45448</v>
      </c>
      <c r="R2039" s="271">
        <f ca="1">IF(D2039="","",IF(OFFSET(D2039,-1,0)&lt;&gt;"","",IF(OR(J2039="リード付け",J2039="巻足し",J2039="巻返しリード付け"),M2039,VLOOKUP(D2039,契約台帳!$A$3:$N$4986,14,FALSE))))</f>
        <v>1120</v>
      </c>
      <c r="S2039" s="272">
        <f ca="1">IF(D2039="","",IF(OFFSET(D2039,-1,0)&lt;&gt;"","",IF(OR(J2039="リード付け",J2039="巻足し",J2039="巻返しリード付け"),M2039,VLOOKUP(D2039,契約台帳!$A$3:$O$4986,15,FALSE))))</f>
        <v>1120</v>
      </c>
      <c r="T2039" s="273">
        <f ca="1">IF(D2039="","",IF(J2039="リード付け",N2039,IF(J2039="巻返しリード付け",N2039,IF(J2039="巻足し",N2039*P2039+OFFSET(N2039,1,0)*OFFSET(P2039,1,0),VLOOKUP(D2039,契約台帳!$A$3:$P$4986,16,FALSE)))))</f>
        <v>8000</v>
      </c>
      <c r="U2039" s="40">
        <v>2</v>
      </c>
      <c r="V2039" s="274" t="str">
        <f ca="1">IF(D2039="","",IF(OFFSET(D2039,-2,0)=D2039,"",VLOOKUP(D2039,契約台帳!$A$3:$R$4986,18,FALSE)))</f>
        <v/>
      </c>
      <c r="W2039" s="269" t="str">
        <f ca="1">IF(D2039="","",IF(T2039="","",IF(OR(J2039="巻足し",J2039="巻返しリード付け"),"",IF(J2039="巻返し",VLOOKUP(F2039&amp;K2039&amp;M2039,製品マスタ!$M$5:$AD$5002,18,FALSE),IF(OR(J2039="リード付け",J2039="巻返しリード付け"),"原反コア",IF(J2039="スリット",VLOOKUP(F2039&amp;K2039&amp;R2039,製品マスタ!$N$5:$AD$5002,17,FALSE),""))))))</f>
        <v/>
      </c>
      <c r="X2039" s="269" t="str">
        <f ca="1">IF(D2039="","",IF(T2039="","",IF(J2039="巻足し","",IF(J2039="巻返し",VLOOKUP(F2039&amp;K2039&amp;M2039,製品マスタ!$M$5:$AE$5002,19,FALSE),IF(OR(J2039="リード付け",J2039="巻返しリード付け"),"",IF(J2039="スリット",VLOOKUP(F2039&amp;K2039&amp;R2039,製品マスタ!$N$5:$AE$5002,18,FALSE),""))))))</f>
        <v/>
      </c>
      <c r="Y2039" s="275">
        <f ca="1">IF(D2039="","",IF(T2039="","",VLOOKUP(D2039,契約台帳!$A$3:$Q$4986,17,FALSE)))</f>
        <v>2</v>
      </c>
      <c r="Z2039" s="269" t="str">
        <f ca="1">IF(D2039="","",IF(T2039="","",VLOOKUP(D2039,契約台帳!$A$3:$E$4986,5,FALSE)))</f>
        <v>リンテック㈱</v>
      </c>
      <c r="AA2039" s="57"/>
      <c r="AB2039" s="207">
        <f>IFERROR((VLOOKUP(F2039&amp;K2039&amp;M2039,製品マスタ!$M$5:$AM$5002,27,FALSE)),"")</f>
        <v>0</v>
      </c>
      <c r="AC2039" s="33"/>
      <c r="AD2039" s="189"/>
      <c r="AE2039" s="54"/>
      <c r="AF2039" s="55">
        <f>+M2039*N2039*O2039/1000</f>
        <v>17920</v>
      </c>
      <c r="AG2039" s="43"/>
      <c r="AH2039" s="47"/>
      <c r="AI2039" s="30"/>
      <c r="AJ2039" s="30"/>
      <c r="AK2039" s="30"/>
      <c r="AL2039" s="30"/>
      <c r="AM2039" s="13"/>
      <c r="AN2039" s="13"/>
      <c r="AO2039" s="13"/>
      <c r="AP2039" s="13"/>
      <c r="AQ2039" s="13"/>
      <c r="AR2039" s="14"/>
      <c r="AS2039" s="15"/>
    </row>
    <row r="2040" spans="1:45" s="17" customFormat="1" ht="30.95" hidden="1" customHeight="1" x14ac:dyDescent="0.2">
      <c r="A2040" s="343"/>
      <c r="B2040" s="344"/>
      <c r="C2040" s="345"/>
      <c r="D2040" s="346"/>
      <c r="E2040" s="346"/>
      <c r="F2040" s="268"/>
      <c r="G2040" s="269"/>
      <c r="H2040" s="269"/>
      <c r="I2040" s="270"/>
      <c r="J2040" s="434"/>
      <c r="K2040" s="270"/>
      <c r="L2040" s="270"/>
      <c r="M2040" s="348"/>
      <c r="N2040" s="348"/>
      <c r="O2040" s="435"/>
      <c r="P2040" s="349"/>
      <c r="Q2040" s="350"/>
      <c r="R2040" s="271"/>
      <c r="S2040" s="272"/>
      <c r="T2040" s="273"/>
      <c r="U2040" s="351"/>
      <c r="V2040" s="274"/>
      <c r="W2040" s="269"/>
      <c r="X2040" s="269"/>
      <c r="Y2040" s="275"/>
      <c r="Z2040" s="269"/>
      <c r="AA2040" s="350"/>
      <c r="AB2040" s="207"/>
      <c r="AC2040" s="352"/>
      <c r="AD2040" s="353"/>
      <c r="AE2040" s="54"/>
      <c r="AF2040" s="354"/>
      <c r="AG2040" s="355"/>
      <c r="AH2040" s="349"/>
      <c r="AI2040" s="30"/>
      <c r="AJ2040" s="30"/>
      <c r="AK2040" s="30"/>
      <c r="AL2040" s="30"/>
      <c r="AM2040" s="13"/>
      <c r="AN2040" s="13"/>
      <c r="AO2040" s="13"/>
      <c r="AP2040" s="13"/>
      <c r="AQ2040" s="13"/>
      <c r="AR2040" s="14"/>
      <c r="AS2040" s="15"/>
    </row>
    <row r="2041" spans="1:45" s="17" customFormat="1" ht="30.6" hidden="1" customHeight="1" x14ac:dyDescent="0.2">
      <c r="A2041" s="37"/>
      <c r="B2041" s="38"/>
      <c r="C2041" s="45"/>
      <c r="D2041" s="31">
        <v>3758061</v>
      </c>
      <c r="E2041" s="31">
        <v>4162366</v>
      </c>
      <c r="F2041" s="268" t="str">
        <f>IF(D2041="","",VLOOKUP(D2041,契約台帳!$A$3:$K$4986,6,FALSE)&amp;VLOOKUP(D2041,契約台帳!$A$3:$K$4986,7,FALSE)&amp;VLOOKUP(D2041,契約台帳!$A$3:$K$4986,8,FALSE)&amp;VLOOKUP(D2041,契約台帳!$A$3:$K$4986,9,FALSE)&amp;VLOOKUP(D2041,契約台帳!$A$3:$K$4986,11,FALSE))</f>
        <v>3TYKNZMCR</v>
      </c>
      <c r="G2041" s="269" t="str">
        <f>IF(D2041="","",VLOOKUP(F2041,製品マスタ!$G$5:$H$5002,2,FALSE))</f>
        <v>T</v>
      </c>
      <c r="H2041" s="269" t="str">
        <f>IF(D2041="","",VLOOKUP(F2041,製品マスタ!$G$5:$K$5002,5,FALSE))</f>
        <v>MCR</v>
      </c>
      <c r="I2041" s="270" t="str">
        <f>IF(D2041="","",VLOOKUP(F2041,製品マスタ!$G$5:$L$5002,6,FALSE))</f>
        <v>Metalumy CR</v>
      </c>
      <c r="J2041" s="210" t="s">
        <v>464</v>
      </c>
      <c r="K2041" s="270">
        <f>IF(D2041="","",VLOOKUP(D2041,契約台帳!$A$3:$L$4986,12,FALSE))</f>
        <v>25</v>
      </c>
      <c r="L2041" s="270" t="str">
        <f>IF(D2041="","",INDEX(製品マスタ!$Q$5:$Q$5002,MATCH('S4'!F2041&amp;'S4'!K2041,製品マスタ!$AO$5:$AO$5002,0)))</f>
        <v>S28M</v>
      </c>
      <c r="M2041" s="39">
        <v>1110</v>
      </c>
      <c r="N2041" s="39">
        <v>12100</v>
      </c>
      <c r="O2041" s="156">
        <v>13</v>
      </c>
      <c r="P2041" s="47">
        <v>1</v>
      </c>
      <c r="Q2041" s="213">
        <v>45449</v>
      </c>
      <c r="R2041" s="271">
        <f ca="1">IF(D2041="","",IF(OFFSET(D2041,-1,0)&lt;&gt;"","",IF(OR(J2041="リード付け",J2041="巻足し",J2041="巻返しリード付け"),M2041,VLOOKUP(D2041,契約台帳!$A$3:$N$4986,14,FALSE))))</f>
        <v>1110</v>
      </c>
      <c r="S2041" s="272">
        <f ca="1">IF(D2041="","",IF(OFFSET(D2041,-1,0)&lt;&gt;"","",IF(OR(J2041="リード付け",J2041="巻足し",J2041="巻返しリード付け"),M2041,VLOOKUP(D2041,契約台帳!$A$3:$O$4986,15,FALSE))))</f>
        <v>1110</v>
      </c>
      <c r="T2041" s="273">
        <f ca="1">IF(D2041="","",IF(J2041="リード付け",N2041,IF(J2041="巻返しリード付け",N2041,IF(J2041="巻足し",N2041*P2041+OFFSET(N2041,1,0)*OFFSET(P2041,1,0),VLOOKUP(D2041,契約台帳!$A$3:$P$4986,16,FALSE)))))</f>
        <v>12100</v>
      </c>
      <c r="U2041" s="40">
        <v>13</v>
      </c>
      <c r="V2041" s="274">
        <f ca="1">IF(D2041="","",IF(OFFSET(D2041,-2,0)=D2041,"",VLOOKUP(D2041,契約台帳!$A$3:$R$4986,18,FALSE)))</f>
        <v>26</v>
      </c>
      <c r="W2041" s="269" t="str">
        <f ca="1">IF(D2041="","",IF(T2041="","",IF(OR(J2041="巻足し",J2041="巻返しリード付け"),"",IF(J2041="巻返し",VLOOKUP(F2041&amp;K2041&amp;M2041,製品マスタ!$M$5:$AD$5002,18,FALSE),IF(OR(J2041="リード付け",J2041="巻返しリード付け"),"原反コア",IF(J2041="スリット",VLOOKUP(F2041&amp;K2041&amp;R2041,製品マスタ!$N$5:$AD$5002,17,FALSE),""))))))</f>
        <v>原反コア</v>
      </c>
      <c r="X2041" s="269" t="str">
        <f ca="1">IF(D2041="","",IF(T2041="","",IF(J2041="巻足し","",IF(J2041="巻返し",VLOOKUP(F2041&amp;K2041&amp;M2041,製品マスタ!$M$5:$AE$5002,19,FALSE),IF(OR(J2041="リード付け",J2041="巻返しリード付け"),"",IF(J2041="スリット",VLOOKUP(F2041&amp;K2041&amp;R2041,製品マスタ!$N$5:$AE$5002,18,FALSE),""))))))</f>
        <v/>
      </c>
      <c r="Y2041" s="275">
        <f ca="1">IF(D2041="","",IF(T2041="","",VLOOKUP(D2041,契約台帳!$A$3:$Q$4986,17,FALSE)))</f>
        <v>2</v>
      </c>
      <c r="Z2041" s="269" t="str">
        <f ca="1">IF(D2041="","",IF(T2041="","",VLOOKUP(D2041,契約台帳!$A$3:$E$4986,5,FALSE)))</f>
        <v>日東電工㈱豊橋工場</v>
      </c>
      <c r="AA2041" s="57"/>
      <c r="AB2041" s="207" t="s">
        <v>2892</v>
      </c>
      <c r="AC2041" s="33"/>
      <c r="AD2041" s="189"/>
      <c r="AE2041" s="54"/>
      <c r="AF2041" s="55">
        <f>+M2041*N2041*O2041/1000</f>
        <v>174603</v>
      </c>
      <c r="AG2041" s="43"/>
      <c r="AH2041" s="47"/>
      <c r="AI2041" s="30"/>
      <c r="AJ2041" s="30"/>
      <c r="AK2041" s="30"/>
      <c r="AL2041" s="30"/>
      <c r="AM2041" s="13"/>
      <c r="AN2041" s="13"/>
      <c r="AO2041" s="13"/>
      <c r="AP2041" s="13"/>
      <c r="AQ2041" s="13"/>
      <c r="AR2041" s="14"/>
      <c r="AS2041" s="15"/>
    </row>
    <row r="2042" spans="1:45" s="17" customFormat="1" ht="30.95" hidden="1" customHeight="1" x14ac:dyDescent="0.2">
      <c r="A2042" s="343"/>
      <c r="B2042" s="344"/>
      <c r="C2042" s="345"/>
      <c r="D2042" s="346"/>
      <c r="E2042" s="346"/>
      <c r="F2042" s="268"/>
      <c r="G2042" s="269"/>
      <c r="H2042" s="269"/>
      <c r="I2042" s="341" t="s">
        <v>2897</v>
      </c>
      <c r="J2042" s="434"/>
      <c r="K2042" s="270"/>
      <c r="L2042" s="270"/>
      <c r="M2042" s="348"/>
      <c r="N2042" s="348"/>
      <c r="O2042" s="435"/>
      <c r="P2042" s="349"/>
      <c r="Q2042" s="350"/>
      <c r="R2042" s="271"/>
      <c r="S2042" s="272"/>
      <c r="T2042" s="273"/>
      <c r="U2042" s="351"/>
      <c r="V2042" s="274"/>
      <c r="W2042" s="269"/>
      <c r="X2042" s="269"/>
      <c r="Y2042" s="275"/>
      <c r="Z2042" s="269"/>
      <c r="AA2042" s="350"/>
      <c r="AB2042" s="207"/>
      <c r="AC2042" s="352"/>
      <c r="AD2042" s="353"/>
      <c r="AE2042" s="54"/>
      <c r="AF2042" s="354"/>
      <c r="AG2042" s="355"/>
      <c r="AH2042" s="349"/>
      <c r="AI2042" s="30"/>
      <c r="AJ2042" s="30"/>
      <c r="AK2042" s="30"/>
      <c r="AL2042" s="30"/>
      <c r="AM2042" s="13"/>
      <c r="AN2042" s="13"/>
      <c r="AO2042" s="13"/>
      <c r="AP2042" s="13"/>
      <c r="AQ2042" s="13"/>
      <c r="AR2042" s="14"/>
      <c r="AS2042" s="15"/>
    </row>
    <row r="2043" spans="1:45" s="17" customFormat="1" ht="30.6" hidden="1" customHeight="1" x14ac:dyDescent="0.2">
      <c r="A2043" s="37"/>
      <c r="B2043" s="38"/>
      <c r="C2043" s="45"/>
      <c r="D2043" s="31">
        <v>3758064</v>
      </c>
      <c r="E2043" s="31">
        <v>4162348</v>
      </c>
      <c r="F2043" s="268" t="str">
        <f>IF(D2043="","",VLOOKUP(D2043,契約台帳!$A$3:$K$4986,6,FALSE)&amp;VLOOKUP(D2043,契約台帳!$A$3:$K$4986,7,FALSE)&amp;VLOOKUP(D2043,契約台帳!$A$3:$K$4986,8,FALSE)&amp;VLOOKUP(D2043,契約台帳!$A$3:$K$4986,9,FALSE)&amp;VLOOKUP(D2043,契約台帳!$A$3:$K$4986,11,FALSE))</f>
        <v>3SNMCLBNGKVB</v>
      </c>
      <c r="G2043" s="269" t="str">
        <f>IF(D2043="","",VLOOKUP(F2043,製品マスタ!$G$5:$H$5002,2,FALSE))</f>
        <v>S</v>
      </c>
      <c r="H2043" s="269" t="str">
        <f>IF(D2043="","",VLOOKUP(F2043,製品マスタ!$G$5:$K$5002,5,FALSE))</f>
        <v>NGKVB</v>
      </c>
      <c r="I2043" s="270" t="str">
        <f>IF(D2043="","",VLOOKUP(F2043,製品マスタ!$G$5:$L$5002,6,FALSE))</f>
        <v>メタルミー　ネーマー銀消　ＶＢ</v>
      </c>
      <c r="J2043" s="210" t="s">
        <v>935</v>
      </c>
      <c r="K2043" s="270">
        <f>IF(D2043="","",VLOOKUP(D2043,契約台帳!$A$3:$L$4986,12,FALSE))</f>
        <v>50</v>
      </c>
      <c r="L2043" s="270" t="str">
        <f>IF(D2043="","",INDEX(製品マスタ!$Q$5:$Q$5002,MATCH('S4'!F2043&amp;'S4'!K2043,製品マスタ!$AO$5:$AO$5002,0)))</f>
        <v>MAT</v>
      </c>
      <c r="M2043" s="39">
        <v>1005</v>
      </c>
      <c r="N2043" s="39">
        <v>4100</v>
      </c>
      <c r="O2043" s="156">
        <v>2</v>
      </c>
      <c r="P2043" s="47">
        <v>2</v>
      </c>
      <c r="Q2043" s="213">
        <v>45448</v>
      </c>
      <c r="R2043" s="271">
        <f ca="1">IF(D2043="","",IF(OFFSET(D2043,-1,0)&lt;&gt;"","",IF(OR(J2043="リード付け",J2043="巻足し",J2043="巻返しリード付け"),M2043,VLOOKUP(D2043,契約台帳!$A$3:$N$4986,14,FALSE))))</f>
        <v>1005</v>
      </c>
      <c r="S2043" s="272">
        <f ca="1">IF(D2043="","",IF(OFFSET(D2043,-1,0)&lt;&gt;"","",IF(OR(J2043="リード付け",J2043="巻足し",J2043="巻返しリード付け"),M2043,VLOOKUP(D2043,契約台帳!$A$3:$O$4986,15,FALSE))))</f>
        <v>1005</v>
      </c>
      <c r="T2043" s="273">
        <f ca="1">IF(D2043="","",IF(J2043="リード付け",N2043,IF(J2043="巻返しリード付け",N2043,IF(J2043="巻足し",N2043*P2043+OFFSET(N2043,1,0)*OFFSET(P2043,1,0),VLOOKUP(D2043,契約台帳!$A$3:$P$4986,16,FALSE)))))</f>
        <v>8200</v>
      </c>
      <c r="U2043" s="40">
        <v>1</v>
      </c>
      <c r="V2043" s="274">
        <f ca="1">IF(D2043="","",IF(OFFSET(D2043,-2,0)=D2043,"",VLOOKUP(D2043,契約台帳!$A$3:$R$4986,18,FALSE)))</f>
        <v>2</v>
      </c>
      <c r="W2043" s="269" t="str">
        <f ca="1">IF(D2043="","",IF(T2043="","",IF(OR(J2043="巻足し",J2043="巻返しリード付け"),"",IF(J2043="巻返し",VLOOKUP(F2043&amp;K2043&amp;M2043,製品マスタ!$M$5:$AD$5002,18,FALSE),IF(OR(J2043="リード付け",J2043="巻返しリード付け"),"原反コア",IF(J2043="スリット",VLOOKUP(F2043&amp;K2043&amp;R2043,製品マスタ!$N$5:$AD$5002,17,FALSE),""))))))</f>
        <v/>
      </c>
      <c r="X2043" s="269" t="str">
        <f ca="1">IF(D2043="","",IF(T2043="","",IF(J2043="巻足し","",IF(J2043="巻返し",VLOOKUP(F2043&amp;K2043&amp;M2043,製品マスタ!$M$5:$AE$5002,19,FALSE),IF(OR(J2043="リード付け",J2043="巻返しリード付け"),"",IF(J2043="スリット",VLOOKUP(F2043&amp;K2043&amp;R2043,製品マスタ!$N$5:$AE$5002,18,FALSE),""))))))</f>
        <v/>
      </c>
      <c r="Y2043" s="275">
        <f ca="1">IF(D2043="","",IF(T2043="","",VLOOKUP(D2043,契約台帳!$A$3:$Q$4986,17,FALSE)))</f>
        <v>2</v>
      </c>
      <c r="Z2043" s="269" t="str">
        <f ca="1">IF(D2043="","",IF(T2043="","",VLOOKUP(D2043,契約台帳!$A$3:$E$4986,5,FALSE)))</f>
        <v>リンテック㈱</v>
      </c>
      <c r="AA2043" s="57"/>
      <c r="AB2043" s="207">
        <f>IFERROR((VLOOKUP(F2043&amp;K2043&amp;M2043,製品マスタ!$M$5:$AM$5002,27,FALSE)),"")</f>
        <v>0</v>
      </c>
      <c r="AC2043" s="33"/>
      <c r="AD2043" s="189"/>
      <c r="AE2043" s="54"/>
      <c r="AF2043" s="55">
        <f>+M2043*N2043*O2043/1000</f>
        <v>8241</v>
      </c>
      <c r="AG2043" s="43"/>
      <c r="AH2043" s="47"/>
      <c r="AI2043" s="30"/>
      <c r="AJ2043" s="30"/>
      <c r="AK2043" s="30"/>
      <c r="AL2043" s="30"/>
      <c r="AM2043" s="13"/>
      <c r="AN2043" s="13"/>
      <c r="AO2043" s="13"/>
      <c r="AP2043" s="13"/>
      <c r="AQ2043" s="13"/>
      <c r="AR2043" s="14"/>
      <c r="AS2043" s="15"/>
    </row>
    <row r="2044" spans="1:45" s="17" customFormat="1" ht="30.95" hidden="1" customHeight="1" x14ac:dyDescent="0.2">
      <c r="A2044" s="343"/>
      <c r="B2044" s="344"/>
      <c r="C2044" s="345"/>
      <c r="D2044" s="346"/>
      <c r="E2044" s="346"/>
      <c r="F2044" s="268"/>
      <c r="G2044" s="269"/>
      <c r="H2044" s="269"/>
      <c r="I2044" s="270"/>
      <c r="J2044" s="434"/>
      <c r="K2044" s="270"/>
      <c r="L2044" s="270"/>
      <c r="M2044" s="348"/>
      <c r="N2044" s="348"/>
      <c r="O2044" s="435"/>
      <c r="P2044" s="349"/>
      <c r="Q2044" s="350"/>
      <c r="R2044" s="271"/>
      <c r="S2044" s="272"/>
      <c r="T2044" s="273"/>
      <c r="U2044" s="351"/>
      <c r="V2044" s="274"/>
      <c r="W2044" s="269"/>
      <c r="X2044" s="269"/>
      <c r="Y2044" s="275"/>
      <c r="Z2044" s="269"/>
      <c r="AA2044" s="350"/>
      <c r="AB2044" s="207"/>
      <c r="AC2044" s="352"/>
      <c r="AD2044" s="353"/>
      <c r="AE2044" s="54"/>
      <c r="AF2044" s="354"/>
      <c r="AG2044" s="355"/>
      <c r="AH2044" s="349"/>
      <c r="AI2044" s="30"/>
      <c r="AJ2044" s="30"/>
      <c r="AK2044" s="30"/>
      <c r="AL2044" s="30"/>
      <c r="AM2044" s="13"/>
      <c r="AN2044" s="13"/>
      <c r="AO2044" s="13"/>
      <c r="AP2044" s="13"/>
      <c r="AQ2044" s="13"/>
      <c r="AR2044" s="14"/>
      <c r="AS2044" s="15"/>
    </row>
    <row r="2045" spans="1:45" s="17" customFormat="1" ht="30.6" hidden="1" customHeight="1" x14ac:dyDescent="0.2">
      <c r="A2045" s="37"/>
      <c r="B2045" s="38"/>
      <c r="C2045" s="45"/>
      <c r="D2045" s="31">
        <v>3758077</v>
      </c>
      <c r="E2045" s="31">
        <v>4162351</v>
      </c>
      <c r="F2045" s="268" t="str">
        <f>IF(D2045="","",VLOOKUP(D2045,契約台帳!$A$3:$K$4986,6,FALSE)&amp;VLOOKUP(D2045,契約台帳!$A$3:$K$4986,7,FALSE)&amp;VLOOKUP(D2045,契約台帳!$A$3:$K$4986,8,FALSE)&amp;VLOOKUP(D2045,契約台帳!$A$3:$K$4986,9,FALSE)&amp;VLOOKUP(D2045,契約台帳!$A$3:$K$4986,11,FALSE))</f>
        <v>3TNMCLBHLGKJV</v>
      </c>
      <c r="G2045" s="269" t="str">
        <f>IF(D2045="","",VLOOKUP(F2045,製品マスタ!$G$5:$H$5002,2,FALSE))</f>
        <v>T</v>
      </c>
      <c r="H2045" s="269" t="str">
        <f>IF(D2045="","",VLOOKUP(F2045,製品マスタ!$G$5:$K$5002,5,FALSE))</f>
        <v>HLGKJV</v>
      </c>
      <c r="I2045" s="270" t="str">
        <f>IF(D2045="","",VLOOKUP(F2045,製品マスタ!$G$5:$L$5002,6,FALSE))</f>
        <v>メタルミー　ヘヤライン　銀消Ｖ</v>
      </c>
      <c r="J2045" s="210" t="s">
        <v>935</v>
      </c>
      <c r="K2045" s="270">
        <f>IF(D2045="","",VLOOKUP(D2045,契約台帳!$A$3:$L$4986,12,FALSE))</f>
        <v>50</v>
      </c>
      <c r="L2045" s="270" t="str">
        <f>IF(D2045="","",INDEX(製品マスタ!$Q$5:$Q$5002,MATCH('S4'!F2045&amp;'S4'!K2045,製品マスタ!$AO$5:$AO$5002,0)))</f>
        <v>HL-MAT</v>
      </c>
      <c r="M2045" s="39">
        <v>1005</v>
      </c>
      <c r="N2045" s="39">
        <v>4000</v>
      </c>
      <c r="O2045" s="156">
        <v>2</v>
      </c>
      <c r="P2045" s="47">
        <v>2</v>
      </c>
      <c r="Q2045" s="213">
        <v>45449</v>
      </c>
      <c r="R2045" s="271">
        <f ca="1">IF(D2045="","",IF(OFFSET(D2045,-1,0)&lt;&gt;"","",IF(OR(J2045="リード付け",J2045="巻足し",J2045="巻返しリード付け"),M2045,VLOOKUP(D2045,契約台帳!$A$3:$N$4986,14,FALSE))))</f>
        <v>1005</v>
      </c>
      <c r="S2045" s="272">
        <f ca="1">IF(D2045="","",IF(OFFSET(D2045,-1,0)&lt;&gt;"","",IF(OR(J2045="リード付け",J2045="巻足し",J2045="巻返しリード付け"),M2045,VLOOKUP(D2045,契約台帳!$A$3:$O$4986,15,FALSE))))</f>
        <v>1005</v>
      </c>
      <c r="T2045" s="273">
        <f ca="1">IF(D2045="","",IF(J2045="リード付け",N2045,IF(J2045="巻返しリード付け",N2045,IF(J2045="巻足し",N2045*P2045+OFFSET(N2045,1,0)*OFFSET(P2045,1,0),VLOOKUP(D2045,契約台帳!$A$3:$P$4986,16,FALSE)))))</f>
        <v>8000</v>
      </c>
      <c r="U2045" s="40">
        <v>1</v>
      </c>
      <c r="V2045" s="274">
        <f ca="1">IF(D2045="","",IF(OFFSET(D2045,-2,0)=D2045,"",VLOOKUP(D2045,契約台帳!$A$3:$R$4986,18,FALSE)))</f>
        <v>2</v>
      </c>
      <c r="W2045" s="269" t="str">
        <f ca="1">IF(D2045="","",IF(T2045="","",IF(OR(J2045="巻足し",J2045="巻返しリード付け"),"",IF(J2045="巻返し",VLOOKUP(F2045&amp;K2045&amp;M2045,製品マスタ!$M$5:$AD$5002,18,FALSE),IF(OR(J2045="リード付け",J2045="巻返しリード付け"),"原反コア",IF(J2045="スリット",VLOOKUP(F2045&amp;K2045&amp;R2045,製品マスタ!$N$5:$AD$5002,17,FALSE),""))))))</f>
        <v/>
      </c>
      <c r="X2045" s="269" t="str">
        <f ca="1">IF(D2045="","",IF(T2045="","",IF(J2045="巻足し","",IF(J2045="巻返し",VLOOKUP(F2045&amp;K2045&amp;M2045,製品マスタ!$M$5:$AE$5002,19,FALSE),IF(OR(J2045="リード付け",J2045="巻返しリード付け"),"",IF(J2045="スリット",VLOOKUP(F2045&amp;K2045&amp;R2045,製品マスタ!$N$5:$AE$5002,18,FALSE),""))))))</f>
        <v/>
      </c>
      <c r="Y2045" s="275">
        <f ca="1">IF(D2045="","",IF(T2045="","",VLOOKUP(D2045,契約台帳!$A$3:$Q$4986,17,FALSE)))</f>
        <v>2</v>
      </c>
      <c r="Z2045" s="269" t="str">
        <f ca="1">IF(D2045="","",IF(T2045="","",VLOOKUP(D2045,契約台帳!$A$3:$E$4986,5,FALSE)))</f>
        <v>リンテック㈱</v>
      </c>
      <c r="AA2045" s="57"/>
      <c r="AB2045" s="207" t="s">
        <v>774</v>
      </c>
      <c r="AC2045" s="33"/>
      <c r="AD2045" s="189"/>
      <c r="AE2045" s="54"/>
      <c r="AF2045" s="55">
        <f>+M2045*N2045*O2045/1000</f>
        <v>8040</v>
      </c>
      <c r="AG2045" s="43"/>
      <c r="AH2045" s="47"/>
      <c r="AI2045" s="30"/>
      <c r="AJ2045" s="30"/>
      <c r="AK2045" s="30"/>
      <c r="AL2045" s="30"/>
      <c r="AM2045" s="13"/>
      <c r="AN2045" s="13"/>
      <c r="AO2045" s="13"/>
      <c r="AP2045" s="13"/>
      <c r="AQ2045" s="13"/>
      <c r="AR2045" s="14"/>
      <c r="AS2045" s="15"/>
    </row>
    <row r="2046" spans="1:45" s="17" customFormat="1" ht="30.95" hidden="1" customHeight="1" x14ac:dyDescent="0.2">
      <c r="A2046" s="343"/>
      <c r="B2046" s="344"/>
      <c r="C2046" s="345"/>
      <c r="D2046" s="346"/>
      <c r="E2046" s="346"/>
      <c r="F2046" s="268"/>
      <c r="G2046" s="269"/>
      <c r="H2046" s="269"/>
      <c r="I2046" s="270"/>
      <c r="J2046" s="434"/>
      <c r="K2046" s="270"/>
      <c r="L2046" s="270"/>
      <c r="M2046" s="348"/>
      <c r="N2046" s="348"/>
      <c r="O2046" s="435"/>
      <c r="P2046" s="349"/>
      <c r="Q2046" s="350"/>
      <c r="R2046" s="271"/>
      <c r="S2046" s="272"/>
      <c r="T2046" s="273"/>
      <c r="U2046" s="351"/>
      <c r="V2046" s="274"/>
      <c r="W2046" s="269"/>
      <c r="X2046" s="269"/>
      <c r="Y2046" s="275"/>
      <c r="Z2046" s="269"/>
      <c r="AA2046" s="350"/>
      <c r="AB2046" s="207"/>
      <c r="AC2046" s="352"/>
      <c r="AD2046" s="353"/>
      <c r="AE2046" s="54"/>
      <c r="AF2046" s="354"/>
      <c r="AG2046" s="355"/>
      <c r="AH2046" s="349"/>
      <c r="AI2046" s="30"/>
      <c r="AJ2046" s="30"/>
      <c r="AK2046" s="30"/>
      <c r="AL2046" s="30"/>
      <c r="AM2046" s="13"/>
      <c r="AN2046" s="13"/>
      <c r="AO2046" s="13"/>
      <c r="AP2046" s="13"/>
      <c r="AQ2046" s="13"/>
      <c r="AR2046" s="14"/>
      <c r="AS2046" s="15"/>
    </row>
    <row r="2047" spans="1:45" s="17" customFormat="1" ht="30.6" hidden="1" customHeight="1" x14ac:dyDescent="0.2">
      <c r="A2047" s="37" t="s">
        <v>1179</v>
      </c>
      <c r="B2047" s="38" t="s">
        <v>444</v>
      </c>
      <c r="C2047" s="45"/>
      <c r="D2047" s="31">
        <v>3758078</v>
      </c>
      <c r="E2047" s="31">
        <v>4162352</v>
      </c>
      <c r="F2047" s="268" t="str">
        <f>IF(D2047="","",VLOOKUP(D2047,契約台帳!$A$3:$K$4986,6,FALSE)&amp;VLOOKUP(D2047,契約台帳!$A$3:$K$4986,7,FALSE)&amp;VLOOKUP(D2047,契約台帳!$A$3:$K$4986,8,FALSE)&amp;VLOOKUP(D2047,契約台帳!$A$3:$K$4986,9,FALSE)&amp;VLOOKUP(D2047,契約台帳!$A$3:$K$4986,11,FALSE))</f>
        <v>3TNMCLBHLGTV</v>
      </c>
      <c r="G2047" s="269" t="str">
        <f>IF(D2047="","",VLOOKUP(F2047,製品マスタ!$G$5:$H$5002,2,FALSE))</f>
        <v>T</v>
      </c>
      <c r="H2047" s="269" t="str">
        <f>IF(D2047="","",VLOOKUP(F2047,製品マスタ!$G$5:$K$5002,5,FALSE))</f>
        <v>HLGTV</v>
      </c>
      <c r="I2047" s="270" t="str">
        <f>IF(D2047="","",VLOOKUP(F2047,製品マスタ!$G$5:$L$5002,6,FALSE))</f>
        <v>メタルミー　ヘヤライン　銀艶Ｖ</v>
      </c>
      <c r="J2047" s="210" t="s">
        <v>935</v>
      </c>
      <c r="K2047" s="270">
        <f>IF(D2047="","",VLOOKUP(D2047,契約台帳!$A$3:$L$4986,12,FALSE))</f>
        <v>25</v>
      </c>
      <c r="L2047" s="270" t="str">
        <f>IF(D2047="","",INDEX(製品マスタ!$Q$5:$Q$5002,MATCH('S4'!F2047&amp;'S4'!K2047,製品マスタ!$AO$5:$AO$5002,0)))</f>
        <v>BRIGHT</v>
      </c>
      <c r="M2047" s="39">
        <v>1005</v>
      </c>
      <c r="N2047" s="39">
        <v>8000</v>
      </c>
      <c r="O2047" s="156">
        <v>1</v>
      </c>
      <c r="P2047" s="47">
        <v>2</v>
      </c>
      <c r="Q2047" s="213">
        <v>45449</v>
      </c>
      <c r="R2047" s="271">
        <f ca="1">IF(D2047="","",IF(OFFSET(D2047,-1,0)&lt;&gt;"","",IF(OR(J2047="リード付け",J2047="巻足し",J2047="巻返しリード付け"),M2047,VLOOKUP(D2047,契約台帳!$A$3:$N$4986,14,FALSE))))</f>
        <v>1005</v>
      </c>
      <c r="S2047" s="272">
        <f ca="1">IF(D2047="","",IF(OFFSET(D2047,-1,0)&lt;&gt;"","",IF(OR(J2047="リード付け",J2047="巻足し",J2047="巻返しリード付け"),M2047,VLOOKUP(D2047,契約台帳!$A$3:$O$4986,15,FALSE))))</f>
        <v>1005</v>
      </c>
      <c r="T2047" s="273">
        <f ca="1">IF(D2047="","",IF(J2047="リード付け",N2047,IF(J2047="巻返しリード付け",N2047,IF(J2047="巻足し",N2047*P2047+OFFSET(N2047,1,0)*OFFSET(P2047,1,0),VLOOKUP(D2047,契約台帳!$A$3:$P$4986,16,FALSE)))))</f>
        <v>16000</v>
      </c>
      <c r="U2047" s="40">
        <v>1</v>
      </c>
      <c r="V2047" s="274">
        <f ca="1">IF(D2047="","",IF(OFFSET(D2047,-2,0)=D2047,"",VLOOKUP(D2047,契約台帳!$A$3:$R$4986,18,FALSE)))</f>
        <v>1</v>
      </c>
      <c r="W2047" s="269" t="str">
        <f ca="1">IF(D2047="","",IF(T2047="","",IF(OR(J2047="巻足し",J2047="巻返しリード付け"),"",IF(J2047="巻返し",VLOOKUP(F2047&amp;K2047&amp;M2047,製品マスタ!$M$5:$AD$5002,18,FALSE),IF(OR(J2047="リード付け",J2047="巻返しリード付け"),"原反コア",IF(J2047="スリット",VLOOKUP(F2047&amp;K2047&amp;R2047,製品マスタ!$N$5:$AD$5002,17,FALSE),""))))))</f>
        <v/>
      </c>
      <c r="X2047" s="269" t="str">
        <f ca="1">IF(D2047="","",IF(T2047="","",IF(J2047="巻足し","",IF(J2047="巻返し",VLOOKUP(F2047&amp;K2047&amp;M2047,製品マスタ!$M$5:$AE$5002,19,FALSE),IF(OR(J2047="リード付け",J2047="巻返しリード付け"),"",IF(J2047="スリット",VLOOKUP(F2047&amp;K2047&amp;R2047,製品マスタ!$N$5:$AE$5002,18,FALSE),""))))))</f>
        <v/>
      </c>
      <c r="Y2047" s="275">
        <f ca="1">IF(D2047="","",IF(T2047="","",VLOOKUP(D2047,契約台帳!$A$3:$Q$4986,17,FALSE)))</f>
        <v>2</v>
      </c>
      <c r="Z2047" s="269" t="str">
        <f ca="1">IF(D2047="","",IF(T2047="","",VLOOKUP(D2047,契約台帳!$A$3:$E$4986,5,FALSE)))</f>
        <v>リンテック㈱</v>
      </c>
      <c r="AA2047" s="57"/>
      <c r="AB2047" s="207" t="s">
        <v>774</v>
      </c>
      <c r="AC2047" s="33"/>
      <c r="AD2047" s="189"/>
      <c r="AE2047" s="54"/>
      <c r="AF2047" s="55">
        <f>+M2047*N2047*O2047/1000</f>
        <v>8040</v>
      </c>
      <c r="AG2047" s="43"/>
      <c r="AH2047" s="47"/>
      <c r="AI2047" s="30"/>
      <c r="AJ2047" s="30"/>
      <c r="AK2047" s="30"/>
      <c r="AL2047" s="30"/>
      <c r="AM2047" s="13"/>
      <c r="AN2047" s="13"/>
      <c r="AO2047" s="13"/>
      <c r="AP2047" s="13"/>
      <c r="AQ2047" s="13"/>
      <c r="AR2047" s="14"/>
      <c r="AS2047" s="15"/>
    </row>
    <row r="2048" spans="1:45" s="17" customFormat="1" ht="30.6" hidden="1" customHeight="1" x14ac:dyDescent="0.2">
      <c r="A2048" s="37"/>
      <c r="B2048" s="38"/>
      <c r="C2048" s="45"/>
      <c r="D2048" s="31">
        <v>3758079</v>
      </c>
      <c r="E2048" s="31"/>
      <c r="F2048" s="268" t="str">
        <f>IF(D2048="","",VLOOKUP(D2048,契約台帳!$A$3:$K$4986,6,FALSE)&amp;VLOOKUP(D2048,契約台帳!$A$3:$K$4986,7,FALSE)&amp;VLOOKUP(D2048,契約台帳!$A$3:$K$4986,8,FALSE)&amp;VLOOKUP(D2048,契約台帳!$A$3:$K$4986,9,FALSE)&amp;VLOOKUP(D2048,契約台帳!$A$3:$K$4986,11,FALSE))</f>
        <v>3TNMCLBHLGTV</v>
      </c>
      <c r="G2048" s="269" t="str">
        <f>IF(D2048="","",VLOOKUP(F2048,製品マスタ!$G$5:$H$5002,2,FALSE))</f>
        <v>T</v>
      </c>
      <c r="H2048" s="269" t="str">
        <f>IF(D2048="","",VLOOKUP(F2048,製品マスタ!$G$5:$K$5002,5,FALSE))</f>
        <v>HLGTV</v>
      </c>
      <c r="I2048" s="270" t="str">
        <f>IF(D2048="","",VLOOKUP(F2048,製品マスタ!$G$5:$L$5002,6,FALSE))</f>
        <v>メタルミー　ヘヤライン　銀艶Ｖ</v>
      </c>
      <c r="J2048" s="210" t="s">
        <v>935</v>
      </c>
      <c r="K2048" s="270">
        <f>IF(D2048="","",VLOOKUP(D2048,契約台帳!$A$3:$L$4986,12,FALSE))</f>
        <v>25</v>
      </c>
      <c r="L2048" s="270" t="str">
        <f>IF(D2048="","",INDEX(製品マスタ!$Q$5:$Q$5002,MATCH('S4'!F2048&amp;'S4'!K2048,製品マスタ!$AO$5:$AO$5002,0)))</f>
        <v>BRIGHT</v>
      </c>
      <c r="M2048" s="39">
        <v>1005</v>
      </c>
      <c r="N2048" s="39">
        <v>8000</v>
      </c>
      <c r="O2048" s="156">
        <v>1</v>
      </c>
      <c r="P2048" s="47"/>
      <c r="Q2048" s="213">
        <v>45449</v>
      </c>
      <c r="R2048" s="271" t="str">
        <f ca="1">IF(D2048="","",IF(OFFSET(D2048,-1,0)&lt;&gt;"","",IF(OR(J2048="リード付け",J2048="巻足し",J2048="巻返しリード付け"),M2048,VLOOKUP(D2048,契約台帳!$A$3:$N$4986,14,FALSE))))</f>
        <v/>
      </c>
      <c r="S2048" s="272" t="str">
        <f ca="1">IF(D2048="","",IF(OFFSET(D2048,-1,0)&lt;&gt;"","",IF(OR(J2048="リード付け",J2048="巻足し",J2048="巻返しリード付け"),M2048,VLOOKUP(D2048,契約台帳!$A$3:$O$4986,15,FALSE))))</f>
        <v/>
      </c>
      <c r="T2048" s="273">
        <f ca="1">IF(D2048="","",IF(J2048="リード付け",N2048,IF(J2048="巻返しリード付け",N2048,IF(J2048="巻足し",N2048*P2048+OFFSET(N2048,1,0)*OFFSET(P2048,1,0),VLOOKUP(D2048,契約台帳!$A$3:$P$4986,16,FALSE)))))</f>
        <v>0</v>
      </c>
      <c r="U2048" s="40"/>
      <c r="V2048" s="274">
        <f ca="1">IF(D2048="","",IF(OFFSET(D2048,-2,0)=D2048,"",VLOOKUP(D2048,契約台帳!$A$3:$R$4986,18,FALSE)))</f>
        <v>4</v>
      </c>
      <c r="W2048" s="269" t="str">
        <f ca="1">IF(D2048="","",IF(T2048="","",IF(OR(J2048="巻足し",J2048="巻返しリード付け"),"",IF(J2048="巻返し",VLOOKUP(F2048&amp;K2048&amp;M2048,製品マスタ!$M$5:$AD$5002,18,FALSE),IF(OR(J2048="リード付け",J2048="巻返しリード付け"),"原反コア",IF(J2048="スリット",VLOOKUP(F2048&amp;K2048&amp;R2048,製品マスタ!$N$5:$AD$5002,17,FALSE),""))))))</f>
        <v/>
      </c>
      <c r="X2048" s="269" t="str">
        <f ca="1">IF(D2048="","",IF(T2048="","",IF(J2048="巻足し","",IF(J2048="巻返し",VLOOKUP(F2048&amp;K2048&amp;M2048,製品マスタ!$M$5:$AE$5002,19,FALSE),IF(OR(J2048="リード付け",J2048="巻返しリード付け"),"",IF(J2048="スリット",VLOOKUP(F2048&amp;K2048&amp;R2048,製品マスタ!$N$5:$AE$5002,18,FALSE),""))))))</f>
        <v/>
      </c>
      <c r="Y2048" s="275">
        <f ca="1">IF(D2048="","",IF(T2048="","",VLOOKUP(D2048,契約台帳!$A$3:$Q$4986,17,FALSE)))</f>
        <v>2</v>
      </c>
      <c r="Z2048" s="269" t="str">
        <f ca="1">IF(D2048="","",IF(T2048="","",VLOOKUP(D2048,契約台帳!$A$3:$E$4986,5,FALSE)))</f>
        <v>リンテック㈱</v>
      </c>
      <c r="AA2048" s="57"/>
      <c r="AB2048" s="207" t="s">
        <v>774</v>
      </c>
      <c r="AC2048" s="33"/>
      <c r="AD2048" s="189"/>
      <c r="AE2048" s="54"/>
      <c r="AF2048" s="55">
        <f>+M2048*N2048*O2048/1000</f>
        <v>8040</v>
      </c>
      <c r="AG2048" s="43"/>
      <c r="AH2048" s="47"/>
      <c r="AI2048" s="30"/>
      <c r="AJ2048" s="30"/>
      <c r="AK2048" s="30"/>
      <c r="AL2048" s="30"/>
      <c r="AM2048" s="13"/>
      <c r="AN2048" s="13"/>
      <c r="AO2048" s="13"/>
      <c r="AP2048" s="13"/>
      <c r="AQ2048" s="13"/>
      <c r="AR2048" s="14"/>
      <c r="AS2048" s="15"/>
    </row>
    <row r="2049" spans="1:45" s="17" customFormat="1" ht="30.95" hidden="1" customHeight="1" x14ac:dyDescent="0.2">
      <c r="A2049" s="343"/>
      <c r="B2049" s="344"/>
      <c r="C2049" s="345"/>
      <c r="D2049" s="346"/>
      <c r="E2049" s="346"/>
      <c r="F2049" s="268"/>
      <c r="G2049" s="269"/>
      <c r="H2049" s="269"/>
      <c r="I2049" s="270"/>
      <c r="J2049" s="434"/>
      <c r="K2049" s="270"/>
      <c r="L2049" s="270"/>
      <c r="M2049" s="348"/>
      <c r="N2049" s="348"/>
      <c r="O2049" s="435"/>
      <c r="P2049" s="349"/>
      <c r="Q2049" s="350"/>
      <c r="R2049" s="271"/>
      <c r="S2049" s="272"/>
      <c r="T2049" s="273"/>
      <c r="U2049" s="351"/>
      <c r="V2049" s="274"/>
      <c r="W2049" s="269"/>
      <c r="X2049" s="269"/>
      <c r="Y2049" s="275"/>
      <c r="Z2049" s="269"/>
      <c r="AA2049" s="350"/>
      <c r="AB2049" s="207"/>
      <c r="AC2049" s="352"/>
      <c r="AD2049" s="353"/>
      <c r="AE2049" s="54"/>
      <c r="AF2049" s="354"/>
      <c r="AG2049" s="355"/>
      <c r="AH2049" s="349"/>
      <c r="AI2049" s="30"/>
      <c r="AJ2049" s="30"/>
      <c r="AK2049" s="30"/>
      <c r="AL2049" s="30"/>
      <c r="AM2049" s="13"/>
      <c r="AN2049" s="13"/>
      <c r="AO2049" s="13"/>
      <c r="AP2049" s="13"/>
      <c r="AQ2049" s="13"/>
      <c r="AR2049" s="14"/>
      <c r="AS2049" s="15"/>
    </row>
    <row r="2050" spans="1:45" s="17" customFormat="1" ht="30.6" hidden="1" customHeight="1" x14ac:dyDescent="0.2">
      <c r="A2050" s="37"/>
      <c r="B2050" s="38"/>
      <c r="C2050" s="45"/>
      <c r="D2050" s="31">
        <v>3758080</v>
      </c>
      <c r="E2050" s="31">
        <v>4162354</v>
      </c>
      <c r="F2050" s="268" t="str">
        <f>IF(D2050="","",VLOOKUP(D2050,契約台帳!$A$3:$K$4986,6,FALSE)&amp;VLOOKUP(D2050,契約台帳!$A$3:$K$4986,7,FALSE)&amp;VLOOKUP(D2050,契約台帳!$A$3:$K$4986,8,FALSE)&amp;VLOOKUP(D2050,契約台帳!$A$3:$K$4986,9,FALSE)&amp;VLOOKUP(D2050,契約台帳!$A$3:$K$4986,11,FALSE))</f>
        <v>3TNMCLBHLGTV</v>
      </c>
      <c r="G2050" s="269" t="str">
        <f>IF(D2050="","",VLOOKUP(F2050,製品マスタ!$G$5:$H$5002,2,FALSE))</f>
        <v>T</v>
      </c>
      <c r="H2050" s="269" t="str">
        <f>IF(D2050="","",VLOOKUP(F2050,製品マスタ!$G$5:$K$5002,5,FALSE))</f>
        <v>HLGTV</v>
      </c>
      <c r="I2050" s="270" t="str">
        <f>IF(D2050="","",VLOOKUP(F2050,製品マスタ!$G$5:$L$5002,6,FALSE))</f>
        <v>メタルミー　ヘヤライン　銀艶Ｖ</v>
      </c>
      <c r="J2050" s="210" t="s">
        <v>935</v>
      </c>
      <c r="K2050" s="270">
        <f>IF(D2050="","",VLOOKUP(D2050,契約台帳!$A$3:$L$4986,12,FALSE))</f>
        <v>50</v>
      </c>
      <c r="L2050" s="270" t="str">
        <f>IF(D2050="","",INDEX(製品マスタ!$Q$5:$Q$5002,MATCH('S4'!F2050&amp;'S4'!K2050,製品マスタ!$AO$5:$AO$5002,0)))</f>
        <v>BRIGHT</v>
      </c>
      <c r="M2050" s="39">
        <v>1005</v>
      </c>
      <c r="N2050" s="39">
        <v>4100</v>
      </c>
      <c r="O2050" s="156">
        <v>6</v>
      </c>
      <c r="P2050" s="47">
        <v>3</v>
      </c>
      <c r="Q2050" s="213">
        <v>45449</v>
      </c>
      <c r="R2050" s="271">
        <f ca="1">IF(D2050="","",IF(OFFSET(D2050,-1,0)&lt;&gt;"","",IF(OR(J2050="リード付け",J2050="巻足し",J2050="巻返しリード付け"),M2050,VLOOKUP(D2050,契約台帳!$A$3:$N$4986,14,FALSE))))</f>
        <v>1005</v>
      </c>
      <c r="S2050" s="272">
        <f ca="1">IF(D2050="","",IF(OFFSET(D2050,-1,0)&lt;&gt;"","",IF(OR(J2050="リード付け",J2050="巻足し",J2050="巻返しリード付け"),M2050,VLOOKUP(D2050,契約台帳!$A$3:$O$4986,15,FALSE))))</f>
        <v>1005</v>
      </c>
      <c r="T2050" s="273">
        <f ca="1">IF(D2050="","",IF(J2050="リード付け",N2050,IF(J2050="巻返しリード付け",N2050,IF(J2050="巻足し",N2050*P2050+OFFSET(N2050,1,0)*OFFSET(P2050,1,0),VLOOKUP(D2050,契約台帳!$A$3:$P$4986,16,FALSE)))))</f>
        <v>12300</v>
      </c>
      <c r="U2050" s="40">
        <v>2</v>
      </c>
      <c r="V2050" s="274">
        <f ca="1">IF(D2050="","",IF(OFFSET(D2050,-2,0)=D2050,"",VLOOKUP(D2050,契約台帳!$A$3:$R$4986,18,FALSE)))</f>
        <v>6</v>
      </c>
      <c r="W2050" s="269" t="str">
        <f ca="1">IF(D2050="","",IF(T2050="","",IF(OR(J2050="巻足し",J2050="巻返しリード付け"),"",IF(J2050="巻返し",VLOOKUP(F2050&amp;K2050&amp;M2050,製品マスタ!$M$5:$AD$5002,18,FALSE),IF(OR(J2050="リード付け",J2050="巻返しリード付け"),"原反コア",IF(J2050="スリット",VLOOKUP(F2050&amp;K2050&amp;R2050,製品マスタ!$N$5:$AD$5002,17,FALSE),""))))))</f>
        <v/>
      </c>
      <c r="X2050" s="269" t="str">
        <f ca="1">IF(D2050="","",IF(T2050="","",IF(J2050="巻足し","",IF(J2050="巻返し",VLOOKUP(F2050&amp;K2050&amp;M2050,製品マスタ!$M$5:$AE$5002,19,FALSE),IF(OR(J2050="リード付け",J2050="巻返しリード付け"),"",IF(J2050="スリット",VLOOKUP(F2050&amp;K2050&amp;R2050,製品マスタ!$N$5:$AE$5002,18,FALSE),""))))))</f>
        <v/>
      </c>
      <c r="Y2050" s="275">
        <f ca="1">IF(D2050="","",IF(T2050="","",VLOOKUP(D2050,契約台帳!$A$3:$Q$4986,17,FALSE)))</f>
        <v>2</v>
      </c>
      <c r="Z2050" s="269" t="str">
        <f ca="1">IF(D2050="","",IF(T2050="","",VLOOKUP(D2050,契約台帳!$A$3:$E$4986,5,FALSE)))</f>
        <v>リンテック㈱</v>
      </c>
      <c r="AA2050" s="57"/>
      <c r="AB2050" s="207" t="s">
        <v>774</v>
      </c>
      <c r="AC2050" s="33"/>
      <c r="AD2050" s="189"/>
      <c r="AE2050" s="54"/>
      <c r="AF2050" s="55">
        <f>+M2050*N2050*O2050/1000</f>
        <v>24723</v>
      </c>
      <c r="AG2050" s="43"/>
      <c r="AH2050" s="47"/>
      <c r="AI2050" s="30"/>
      <c r="AJ2050" s="30"/>
      <c r="AK2050" s="30"/>
      <c r="AL2050" s="30"/>
      <c r="AM2050" s="13"/>
      <c r="AN2050" s="13"/>
      <c r="AO2050" s="13"/>
      <c r="AP2050" s="13"/>
      <c r="AQ2050" s="13"/>
      <c r="AR2050" s="14"/>
      <c r="AS2050" s="15"/>
    </row>
    <row r="2051" spans="1:45" s="17" customFormat="1" ht="30.95" hidden="1" customHeight="1" x14ac:dyDescent="0.2">
      <c r="A2051" s="343"/>
      <c r="B2051" s="344"/>
      <c r="C2051" s="345"/>
      <c r="D2051" s="346"/>
      <c r="E2051" s="346"/>
      <c r="F2051" s="268"/>
      <c r="G2051" s="269"/>
      <c r="H2051" s="269"/>
      <c r="I2051" s="270"/>
      <c r="J2051" s="434"/>
      <c r="K2051" s="270"/>
      <c r="L2051" s="270"/>
      <c r="M2051" s="348"/>
      <c r="N2051" s="348"/>
      <c r="O2051" s="435"/>
      <c r="P2051" s="349"/>
      <c r="Q2051" s="350"/>
      <c r="R2051" s="271"/>
      <c r="S2051" s="272"/>
      <c r="T2051" s="273"/>
      <c r="U2051" s="351"/>
      <c r="V2051" s="274"/>
      <c r="W2051" s="269"/>
      <c r="X2051" s="269"/>
      <c r="Y2051" s="275"/>
      <c r="Z2051" s="269"/>
      <c r="AA2051" s="350"/>
      <c r="AB2051" s="207"/>
      <c r="AC2051" s="352"/>
      <c r="AD2051" s="353"/>
      <c r="AE2051" s="54"/>
      <c r="AF2051" s="354"/>
      <c r="AG2051" s="355"/>
      <c r="AH2051" s="349"/>
      <c r="AI2051" s="30"/>
      <c r="AJ2051" s="30"/>
      <c r="AK2051" s="30"/>
      <c r="AL2051" s="30"/>
      <c r="AM2051" s="13"/>
      <c r="AN2051" s="13"/>
      <c r="AO2051" s="13"/>
      <c r="AP2051" s="13"/>
      <c r="AQ2051" s="13"/>
      <c r="AR2051" s="14"/>
      <c r="AS2051" s="15"/>
    </row>
    <row r="2052" spans="1:45" s="17" customFormat="1" ht="30.6" hidden="1" customHeight="1" x14ac:dyDescent="0.2">
      <c r="A2052" s="37"/>
      <c r="B2052" s="38"/>
      <c r="C2052" s="45"/>
      <c r="D2052" s="31">
        <v>3758059</v>
      </c>
      <c r="E2052" s="31">
        <v>4162341</v>
      </c>
      <c r="F2052" s="268" t="str">
        <f>IF(D2052="","",VLOOKUP(D2052,契約台帳!$A$3:$K$4986,6,FALSE)&amp;VLOOKUP(D2052,契約台帳!$A$3:$K$4986,7,FALSE)&amp;VLOOKUP(D2052,契約台帳!$A$3:$K$4986,8,FALSE)&amp;VLOOKUP(D2052,契約台帳!$A$3:$K$4986,9,FALSE)&amp;VLOOKUP(D2052,契約台帳!$A$3:$K$4986,11,FALSE))</f>
        <v>3SNMCLBMSNEYK</v>
      </c>
      <c r="G2052" s="269" t="str">
        <f>IF(D2052="","",VLOOKUP(F2052,製品マスタ!$G$5:$H$5002,2,FALSE))</f>
        <v>S</v>
      </c>
      <c r="H2052" s="269" t="str">
        <f>IF(D2052="","",VLOOKUP(F2052,製品マスタ!$G$5:$K$5002,5,FALSE))</f>
        <v>MSNEYK</v>
      </c>
      <c r="I2052" s="270" t="str">
        <f>IF(D2052="","",VLOOKUP(F2052,製品マスタ!$G$5:$L$5002,6,FALSE))</f>
        <v>ＭＳＮ　ＥＹＫ</v>
      </c>
      <c r="J2052" s="210" t="s">
        <v>935</v>
      </c>
      <c r="K2052" s="270">
        <f>IF(D2052="","",VLOOKUP(D2052,契約台帳!$A$3:$L$4986,12,FALSE))</f>
        <v>50</v>
      </c>
      <c r="L2052" s="270" t="str">
        <f>IF(D2052="","",INDEX(製品マスタ!$Q$5:$Q$5002,MATCH('S4'!F2052&amp;'S4'!K2052,製品マスタ!$AO$5:$AO$5002,0)))</f>
        <v>N-MAT</v>
      </c>
      <c r="M2052" s="39">
        <v>1200</v>
      </c>
      <c r="N2052" s="39">
        <v>6000</v>
      </c>
      <c r="O2052" s="156">
        <v>10</v>
      </c>
      <c r="P2052" s="47">
        <v>2</v>
      </c>
      <c r="Q2052" s="213">
        <v>45450</v>
      </c>
      <c r="R2052" s="271">
        <f ca="1">IF(D2052="","",IF(OFFSET(D2052,-1,0)&lt;&gt;"","",IF(OR(J2052="リード付け",J2052="巻足し",J2052="巻返しリード付け"),M2052,VLOOKUP(D2052,契約台帳!$A$3:$N$4986,14,FALSE))))</f>
        <v>1200</v>
      </c>
      <c r="S2052" s="272">
        <f ca="1">IF(D2052="","",IF(OFFSET(D2052,-1,0)&lt;&gt;"","",IF(OR(J2052="リード付け",J2052="巻足し",J2052="巻返しリード付け"),M2052,VLOOKUP(D2052,契約台帳!$A$3:$O$4986,15,FALSE))))</f>
        <v>1200</v>
      </c>
      <c r="T2052" s="273">
        <f ca="1">IF(D2052="","",IF(J2052="リード付け",N2052,IF(J2052="巻返しリード付け",N2052,IF(J2052="巻足し",N2052*P2052+OFFSET(N2052,1,0)*OFFSET(P2052,1,0),VLOOKUP(D2052,契約台帳!$A$3:$P$4986,16,FALSE)))))</f>
        <v>12000</v>
      </c>
      <c r="U2052" s="40">
        <v>5</v>
      </c>
      <c r="V2052" s="274">
        <f ca="1">IF(D2052="","",IF(OFFSET(D2052,-2,0)=D2052,"",VLOOKUP(D2052,契約台帳!$A$3:$R$4986,18,FALSE)))</f>
        <v>10</v>
      </c>
      <c r="W2052" s="269" t="str">
        <f ca="1">IF(D2052="","",IF(T2052="","",IF(OR(J2052="巻足し",J2052="巻返しリード付け"),"",IF(J2052="巻返し",VLOOKUP(F2052&amp;K2052&amp;M2052,製品マスタ!$M$5:$AD$5002,18,FALSE),IF(OR(J2052="リード付け",J2052="巻返しリード付け"),"原反コア",IF(J2052="スリット",VLOOKUP(F2052&amp;K2052&amp;R2052,製品マスタ!$N$5:$AD$5002,17,FALSE),""))))))</f>
        <v/>
      </c>
      <c r="X2052" s="269" t="str">
        <f ca="1">IF(D2052="","",IF(T2052="","",IF(J2052="巻足し","",IF(J2052="巻返し",VLOOKUP(F2052&amp;K2052&amp;M2052,製品マスタ!$M$5:$AE$5002,19,FALSE),IF(OR(J2052="リード付け",J2052="巻返しリード付け"),"",IF(J2052="スリット",VLOOKUP(F2052&amp;K2052&amp;R2052,製品マスタ!$N$5:$AE$5002,18,FALSE),""))))))</f>
        <v/>
      </c>
      <c r="Y2052" s="275">
        <f ca="1">IF(D2052="","",IF(T2052="","",VLOOKUP(D2052,契約台帳!$A$3:$Q$4986,17,FALSE)))</f>
        <v>2</v>
      </c>
      <c r="Z2052" s="269" t="str">
        <f ca="1">IF(D2052="","",IF(T2052="","",VLOOKUP(D2052,契約台帳!$A$3:$E$4986,5,FALSE)))</f>
        <v>大阪シーリング印刷㈱</v>
      </c>
      <c r="AA2052" s="57"/>
      <c r="AB2052" s="207"/>
      <c r="AC2052" s="33"/>
      <c r="AD2052" s="189"/>
      <c r="AE2052" s="54"/>
      <c r="AF2052" s="55">
        <f>+M2052*N2052*O2052/1000</f>
        <v>72000</v>
      </c>
      <c r="AG2052" s="43"/>
      <c r="AH2052" s="47"/>
      <c r="AI2052" s="30"/>
      <c r="AJ2052" s="30"/>
      <c r="AK2052" s="30"/>
      <c r="AL2052" s="30"/>
      <c r="AM2052" s="13"/>
      <c r="AN2052" s="13"/>
      <c r="AO2052" s="13"/>
      <c r="AP2052" s="13"/>
      <c r="AQ2052" s="13"/>
      <c r="AR2052" s="14"/>
      <c r="AS2052" s="15"/>
    </row>
    <row r="2053" spans="1:45" s="17" customFormat="1" ht="30.95" hidden="1" customHeight="1" x14ac:dyDescent="0.2">
      <c r="A2053" s="343"/>
      <c r="B2053" s="344"/>
      <c r="C2053" s="345"/>
      <c r="D2053" s="346"/>
      <c r="E2053" s="346"/>
      <c r="F2053" s="268"/>
      <c r="G2053" s="269"/>
      <c r="H2053" s="269"/>
      <c r="I2053" s="270"/>
      <c r="J2053" s="434"/>
      <c r="K2053" s="270"/>
      <c r="L2053" s="270"/>
      <c r="M2053" s="348"/>
      <c r="N2053" s="348"/>
      <c r="O2053" s="435"/>
      <c r="P2053" s="349"/>
      <c r="Q2053" s="350"/>
      <c r="R2053" s="271"/>
      <c r="S2053" s="272"/>
      <c r="T2053" s="273"/>
      <c r="U2053" s="351"/>
      <c r="V2053" s="274"/>
      <c r="W2053" s="269"/>
      <c r="X2053" s="269"/>
      <c r="Y2053" s="275"/>
      <c r="Z2053" s="269"/>
      <c r="AA2053" s="350"/>
      <c r="AB2053" s="207"/>
      <c r="AC2053" s="352"/>
      <c r="AD2053" s="353"/>
      <c r="AE2053" s="54"/>
      <c r="AF2053" s="354"/>
      <c r="AG2053" s="355"/>
      <c r="AH2053" s="349"/>
      <c r="AI2053" s="30"/>
      <c r="AJ2053" s="30"/>
      <c r="AK2053" s="30"/>
      <c r="AL2053" s="30"/>
      <c r="AM2053" s="13"/>
      <c r="AN2053" s="13"/>
      <c r="AO2053" s="13"/>
      <c r="AP2053" s="13"/>
      <c r="AQ2053" s="13"/>
      <c r="AR2053" s="14"/>
      <c r="AS2053" s="15"/>
    </row>
    <row r="2054" spans="1:45" s="17" customFormat="1" ht="30.6" hidden="1" customHeight="1" x14ac:dyDescent="0.2">
      <c r="A2054" s="37" t="s">
        <v>1180</v>
      </c>
      <c r="B2054" s="38" t="s">
        <v>445</v>
      </c>
      <c r="C2054" s="45"/>
      <c r="D2054" s="31">
        <v>3758063</v>
      </c>
      <c r="E2054" s="31">
        <v>4162365</v>
      </c>
      <c r="F2054" s="268" t="str">
        <f>IF(D2054="","",VLOOKUP(D2054,契約台帳!$A$3:$K$4986,6,FALSE)&amp;VLOOKUP(D2054,契約台帳!$A$3:$K$4986,7,FALSE)&amp;VLOOKUP(D2054,契約台帳!$A$3:$K$4986,8,FALSE)&amp;VLOOKUP(D2054,契約台帳!$A$3:$K$4986,9,FALSE)&amp;VLOOKUP(D2054,契約台帳!$A$3:$K$4986,11,FALSE))</f>
        <v>3SNMLBMNGKBF</v>
      </c>
      <c r="G2054" s="269" t="str">
        <f>IF(D2054="","",VLOOKUP(F2054,製品マスタ!$G$5:$H$5002,2,FALSE))</f>
        <v>S</v>
      </c>
      <c r="H2054" s="269" t="str">
        <f>IF(D2054="","",VLOOKUP(F2054,製品マスタ!$G$5:$K$5002,5,FALSE))</f>
        <v>MNGKBF</v>
      </c>
      <c r="I2054" s="270" t="str">
        <f>IF(D2054="","",VLOOKUP(F2054,製品マスタ!$G$5:$L$5002,6,FALSE))</f>
        <v>メタルミー　ネーマー銀消　Ｂ</v>
      </c>
      <c r="J2054" s="210" t="s">
        <v>935</v>
      </c>
      <c r="K2054" s="270">
        <f>IF(D2054="","",VLOOKUP(D2054,契約台帳!$A$3:$L$4986,12,FALSE))</f>
        <v>25</v>
      </c>
      <c r="L2054" s="270" t="str">
        <f>IF(D2054="","",INDEX(製品マスタ!$Q$5:$Q$5002,MATCH('S4'!F2054&amp;'S4'!K2054,製品マスタ!$AO$5:$AO$5002,0)))</f>
        <v>LUMIMAT</v>
      </c>
      <c r="M2054" s="39">
        <v>1050</v>
      </c>
      <c r="N2054" s="39">
        <v>4000</v>
      </c>
      <c r="O2054" s="156">
        <v>2</v>
      </c>
      <c r="P2054" s="47">
        <v>2</v>
      </c>
      <c r="Q2054" s="213">
        <v>45449</v>
      </c>
      <c r="R2054" s="271">
        <f ca="1">IF(D2054="","",IF(OFFSET(D2054,-1,0)&lt;&gt;"","",IF(OR(J2054="リード付け",J2054="巻足し",J2054="巻返しリード付け"),M2054,VLOOKUP(D2054,契約台帳!$A$3:$N$4986,14,FALSE))))</f>
        <v>1050</v>
      </c>
      <c r="S2054" s="272">
        <f ca="1">IF(D2054="","",IF(OFFSET(D2054,-1,0)&lt;&gt;"","",IF(OR(J2054="リード付け",J2054="巻足し",J2054="巻返しリード付け"),M2054,VLOOKUP(D2054,契約台帳!$A$3:$O$4986,15,FALSE))))</f>
        <v>1050</v>
      </c>
      <c r="T2054" s="273">
        <f ca="1">IF(D2054="","",IF(J2054="リード付け",N2054,IF(J2054="巻返しリード付け",N2054,IF(J2054="巻足し",N2054*P2054+OFFSET(N2054,1,0)*OFFSET(P2054,1,0),VLOOKUP(D2054,契約台帳!$A$3:$P$4986,16,FALSE)))))</f>
        <v>8000</v>
      </c>
      <c r="U2054" s="40">
        <v>1</v>
      </c>
      <c r="V2054" s="274">
        <f ca="1">IF(D2054="","",IF(OFFSET(D2054,-2,0)=D2054,"",VLOOKUP(D2054,契約台帳!$A$3:$R$4986,18,FALSE)))</f>
        <v>2</v>
      </c>
      <c r="W2054" s="269" t="str">
        <f ca="1">IF(D2054="","",IF(T2054="","",IF(OR(J2054="巻足し",J2054="巻返しリード付け"),"",IF(J2054="巻返し",VLOOKUP(F2054&amp;K2054&amp;M2054,製品マスタ!$M$5:$AD$5002,18,FALSE),IF(OR(J2054="リード付け",J2054="巻返しリード付け"),"原反コア",IF(J2054="スリット",VLOOKUP(F2054&amp;K2054&amp;R2054,製品マスタ!$N$5:$AD$5002,17,FALSE),""))))))</f>
        <v/>
      </c>
      <c r="X2054" s="269" t="str">
        <f ca="1">IF(D2054="","",IF(T2054="","",IF(J2054="巻足し","",IF(J2054="巻返し",VLOOKUP(F2054&amp;K2054&amp;M2054,製品マスタ!$M$5:$AE$5002,19,FALSE),IF(OR(J2054="リード付け",J2054="巻返しリード付け"),"",IF(J2054="スリット",VLOOKUP(F2054&amp;K2054&amp;R2054,製品マスタ!$N$5:$AE$5002,18,FALSE),""))))))</f>
        <v/>
      </c>
      <c r="Y2054" s="275">
        <f ca="1">IF(D2054="","",IF(T2054="","",VLOOKUP(D2054,契約台帳!$A$3:$Q$4986,17,FALSE)))</f>
        <v>2</v>
      </c>
      <c r="Z2054" s="269" t="str">
        <f ca="1">IF(D2054="","",IF(T2054="","",VLOOKUP(D2054,契約台帳!$A$3:$E$4986,5,FALSE)))</f>
        <v>リンテック㈱</v>
      </c>
      <c r="AA2054" s="57"/>
      <c r="AB2054" s="207"/>
      <c r="AC2054" s="33"/>
      <c r="AD2054" s="189"/>
      <c r="AE2054" s="54"/>
      <c r="AF2054" s="55">
        <f>+M2054*N2054*O2054/1000</f>
        <v>8400</v>
      </c>
      <c r="AG2054" s="43"/>
      <c r="AH2054" s="47"/>
      <c r="AI2054" s="30"/>
      <c r="AJ2054" s="30"/>
      <c r="AK2054" s="30"/>
      <c r="AL2054" s="30"/>
      <c r="AM2054" s="13"/>
      <c r="AN2054" s="13"/>
      <c r="AO2054" s="13"/>
      <c r="AP2054" s="13"/>
      <c r="AQ2054" s="13"/>
      <c r="AR2054" s="14"/>
      <c r="AS2054" s="15"/>
    </row>
    <row r="2055" spans="1:45" s="17" customFormat="1" ht="30.95" hidden="1" customHeight="1" x14ac:dyDescent="0.2">
      <c r="A2055" s="343"/>
      <c r="B2055" s="344"/>
      <c r="C2055" s="345"/>
      <c r="D2055" s="346"/>
      <c r="E2055" s="346"/>
      <c r="F2055" s="268"/>
      <c r="G2055" s="269"/>
      <c r="H2055" s="269"/>
      <c r="I2055" s="270"/>
      <c r="J2055" s="434"/>
      <c r="K2055" s="270"/>
      <c r="L2055" s="270"/>
      <c r="M2055" s="348"/>
      <c r="N2055" s="348"/>
      <c r="O2055" s="435"/>
      <c r="P2055" s="349"/>
      <c r="Q2055" s="350"/>
      <c r="R2055" s="271"/>
      <c r="S2055" s="272"/>
      <c r="T2055" s="273"/>
      <c r="U2055" s="351"/>
      <c r="V2055" s="274"/>
      <c r="W2055" s="269"/>
      <c r="X2055" s="269"/>
      <c r="Y2055" s="275"/>
      <c r="Z2055" s="269"/>
      <c r="AA2055" s="350"/>
      <c r="AB2055" s="207"/>
      <c r="AC2055" s="352"/>
      <c r="AD2055" s="353"/>
      <c r="AE2055" s="54"/>
      <c r="AF2055" s="354"/>
      <c r="AG2055" s="355"/>
      <c r="AH2055" s="349"/>
      <c r="AI2055" s="30"/>
      <c r="AJ2055" s="30"/>
      <c r="AK2055" s="30"/>
      <c r="AL2055" s="30"/>
      <c r="AM2055" s="13"/>
      <c r="AN2055" s="13"/>
      <c r="AO2055" s="13"/>
      <c r="AP2055" s="13"/>
      <c r="AQ2055" s="13"/>
      <c r="AR2055" s="14"/>
      <c r="AS2055" s="15"/>
    </row>
    <row r="2056" spans="1:45" s="17" customFormat="1" ht="30.95" hidden="1" customHeight="1" x14ac:dyDescent="0.2">
      <c r="A2056" s="343" t="s">
        <v>1181</v>
      </c>
      <c r="B2056" s="344" t="s">
        <v>446</v>
      </c>
      <c r="C2056" s="345"/>
      <c r="D2056" s="346"/>
      <c r="E2056" s="346"/>
      <c r="F2056" s="268"/>
      <c r="G2056" s="269"/>
      <c r="H2056" s="269"/>
      <c r="I2056" s="270"/>
      <c r="J2056" s="434" t="s">
        <v>448</v>
      </c>
      <c r="K2056" s="270"/>
      <c r="L2056" s="270"/>
      <c r="M2056" s="348"/>
      <c r="N2056" s="348"/>
      <c r="O2056" s="435"/>
      <c r="P2056" s="349"/>
      <c r="Q2056" s="350"/>
      <c r="R2056" s="271"/>
      <c r="S2056" s="272"/>
      <c r="T2056" s="273"/>
      <c r="U2056" s="351"/>
      <c r="V2056" s="274"/>
      <c r="W2056" s="269"/>
      <c r="X2056" s="269"/>
      <c r="Y2056" s="275"/>
      <c r="Z2056" s="269"/>
      <c r="AA2056" s="350"/>
      <c r="AB2056" s="207"/>
      <c r="AC2056" s="352"/>
      <c r="AD2056" s="353"/>
      <c r="AE2056" s="54"/>
      <c r="AF2056" s="354"/>
      <c r="AG2056" s="355"/>
      <c r="AH2056" s="349"/>
      <c r="AI2056" s="30"/>
      <c r="AJ2056" s="30"/>
      <c r="AK2056" s="30"/>
      <c r="AL2056" s="30"/>
      <c r="AM2056" s="13"/>
      <c r="AN2056" s="13"/>
      <c r="AO2056" s="13"/>
      <c r="AP2056" s="13"/>
      <c r="AQ2056" s="13"/>
      <c r="AR2056" s="14"/>
      <c r="AS2056" s="15"/>
    </row>
    <row r="2057" spans="1:45" s="17" customFormat="1" ht="30.95" hidden="1" customHeight="1" x14ac:dyDescent="0.2">
      <c r="A2057" s="343"/>
      <c r="B2057" s="344"/>
      <c r="C2057" s="345"/>
      <c r="D2057" s="346"/>
      <c r="E2057" s="346"/>
      <c r="F2057" s="268"/>
      <c r="G2057" s="269"/>
      <c r="H2057" s="269"/>
      <c r="I2057" s="270"/>
      <c r="J2057" s="434"/>
      <c r="K2057" s="270"/>
      <c r="L2057" s="270"/>
      <c r="M2057" s="348"/>
      <c r="N2057" s="348"/>
      <c r="O2057" s="435"/>
      <c r="P2057" s="349"/>
      <c r="Q2057" s="350"/>
      <c r="R2057" s="271"/>
      <c r="S2057" s="272"/>
      <c r="T2057" s="273"/>
      <c r="U2057" s="351"/>
      <c r="V2057" s="274"/>
      <c r="W2057" s="269"/>
      <c r="X2057" s="269"/>
      <c r="Y2057" s="275"/>
      <c r="Z2057" s="269"/>
      <c r="AA2057" s="350"/>
      <c r="AB2057" s="207"/>
      <c r="AC2057" s="352"/>
      <c r="AD2057" s="353"/>
      <c r="AE2057" s="54"/>
      <c r="AF2057" s="354"/>
      <c r="AG2057" s="355"/>
      <c r="AH2057" s="349"/>
      <c r="AI2057" s="30"/>
      <c r="AJ2057" s="30"/>
      <c r="AK2057" s="30"/>
      <c r="AL2057" s="30"/>
      <c r="AM2057" s="13"/>
      <c r="AN2057" s="13"/>
      <c r="AO2057" s="13"/>
      <c r="AP2057" s="13"/>
      <c r="AQ2057" s="13"/>
      <c r="AR2057" s="14"/>
      <c r="AS2057" s="15"/>
    </row>
    <row r="2058" spans="1:45" s="17" customFormat="1" ht="30.95" hidden="1" customHeight="1" x14ac:dyDescent="0.2">
      <c r="A2058" s="343" t="s">
        <v>2889</v>
      </c>
      <c r="B2058" s="344" t="s">
        <v>2890</v>
      </c>
      <c r="C2058" s="345"/>
      <c r="D2058" s="346"/>
      <c r="E2058" s="346"/>
      <c r="F2058" s="268"/>
      <c r="G2058" s="269"/>
      <c r="H2058" s="269"/>
      <c r="I2058" s="270"/>
      <c r="J2058" s="434"/>
      <c r="K2058" s="270"/>
      <c r="L2058" s="270"/>
      <c r="M2058" s="348"/>
      <c r="N2058" s="348"/>
      <c r="O2058" s="435"/>
      <c r="P2058" s="349"/>
      <c r="Q2058" s="350"/>
      <c r="R2058" s="271"/>
      <c r="S2058" s="272"/>
      <c r="T2058" s="273"/>
      <c r="U2058" s="351"/>
      <c r="V2058" s="274"/>
      <c r="W2058" s="269"/>
      <c r="X2058" s="269"/>
      <c r="Y2058" s="275"/>
      <c r="Z2058" s="269"/>
      <c r="AA2058" s="350"/>
      <c r="AB2058" s="207"/>
      <c r="AC2058" s="352"/>
      <c r="AD2058" s="353"/>
      <c r="AE2058" s="54"/>
      <c r="AF2058" s="354"/>
      <c r="AG2058" s="355"/>
      <c r="AH2058" s="349"/>
      <c r="AI2058" s="30"/>
      <c r="AJ2058" s="30"/>
      <c r="AK2058" s="30"/>
      <c r="AL2058" s="30"/>
      <c r="AM2058" s="13"/>
      <c r="AN2058" s="13"/>
      <c r="AO2058" s="13"/>
      <c r="AP2058" s="13"/>
      <c r="AQ2058" s="13"/>
      <c r="AR2058" s="14"/>
      <c r="AS2058" s="15"/>
    </row>
    <row r="2059" spans="1:45" s="17" customFormat="1" ht="30.95" hidden="1" customHeight="1" x14ac:dyDescent="0.2">
      <c r="A2059" s="343"/>
      <c r="B2059" s="344"/>
      <c r="C2059" s="345"/>
      <c r="D2059" s="346"/>
      <c r="E2059" s="346"/>
      <c r="F2059" s="268"/>
      <c r="G2059" s="269"/>
      <c r="H2059" s="269"/>
      <c r="I2059" s="270"/>
      <c r="J2059" s="434"/>
      <c r="K2059" s="270"/>
      <c r="L2059" s="270"/>
      <c r="M2059" s="348"/>
      <c r="N2059" s="348"/>
      <c r="O2059" s="435"/>
      <c r="P2059" s="349"/>
      <c r="Q2059" s="350"/>
      <c r="R2059" s="271"/>
      <c r="S2059" s="272"/>
      <c r="T2059" s="273"/>
      <c r="U2059" s="351"/>
      <c r="V2059" s="274"/>
      <c r="W2059" s="269"/>
      <c r="X2059" s="269"/>
      <c r="Y2059" s="275"/>
      <c r="Z2059" s="269"/>
      <c r="AA2059" s="350"/>
      <c r="AB2059" s="207"/>
      <c r="AC2059" s="352"/>
      <c r="AD2059" s="353"/>
      <c r="AE2059" s="54"/>
      <c r="AF2059" s="354"/>
      <c r="AG2059" s="355"/>
      <c r="AH2059" s="349"/>
      <c r="AI2059" s="30"/>
      <c r="AJ2059" s="30"/>
      <c r="AK2059" s="30"/>
      <c r="AL2059" s="30"/>
      <c r="AM2059" s="13"/>
      <c r="AN2059" s="13"/>
      <c r="AO2059" s="13"/>
      <c r="AP2059" s="13"/>
      <c r="AQ2059" s="13"/>
      <c r="AR2059" s="14"/>
      <c r="AS2059" s="15"/>
    </row>
    <row r="2060" spans="1:45" s="17" customFormat="1" ht="30.95" hidden="1" customHeight="1" x14ac:dyDescent="0.2">
      <c r="A2060" s="343" t="s">
        <v>2879</v>
      </c>
      <c r="B2060" s="344" t="s">
        <v>2880</v>
      </c>
      <c r="C2060" s="345"/>
      <c r="D2060" s="346"/>
      <c r="E2060" s="346"/>
      <c r="F2060" s="268"/>
      <c r="G2060" s="269"/>
      <c r="H2060" s="269"/>
      <c r="I2060" s="270"/>
      <c r="J2060" s="434"/>
      <c r="K2060" s="270"/>
      <c r="L2060" s="270"/>
      <c r="M2060" s="348"/>
      <c r="N2060" s="348"/>
      <c r="O2060" s="435"/>
      <c r="P2060" s="349"/>
      <c r="Q2060" s="350"/>
      <c r="R2060" s="271"/>
      <c r="S2060" s="272"/>
      <c r="T2060" s="273"/>
      <c r="U2060" s="351"/>
      <c r="V2060" s="274"/>
      <c r="W2060" s="269"/>
      <c r="X2060" s="269"/>
      <c r="Y2060" s="275"/>
      <c r="Z2060" s="269"/>
      <c r="AA2060" s="350"/>
      <c r="AB2060" s="207"/>
      <c r="AC2060" s="352"/>
      <c r="AD2060" s="353"/>
      <c r="AE2060" s="54"/>
      <c r="AF2060" s="354"/>
      <c r="AG2060" s="355"/>
      <c r="AH2060" s="349"/>
      <c r="AI2060" s="30"/>
      <c r="AJ2060" s="30"/>
      <c r="AK2060" s="30"/>
      <c r="AL2060" s="30"/>
      <c r="AM2060" s="13"/>
      <c r="AN2060" s="13"/>
      <c r="AO2060" s="13"/>
      <c r="AP2060" s="13"/>
      <c r="AQ2060" s="13"/>
      <c r="AR2060" s="14"/>
      <c r="AS2060" s="15"/>
    </row>
    <row r="2061" spans="1:45" s="17" customFormat="1" ht="30.95" hidden="1" customHeight="1" x14ac:dyDescent="0.2">
      <c r="A2061" s="343"/>
      <c r="B2061" s="344"/>
      <c r="C2061" s="345"/>
      <c r="D2061" s="346"/>
      <c r="E2061" s="346"/>
      <c r="F2061" s="268"/>
      <c r="G2061" s="269"/>
      <c r="H2061" s="269"/>
      <c r="I2061" s="270"/>
      <c r="J2061" s="434"/>
      <c r="K2061" s="270"/>
      <c r="L2061" s="270"/>
      <c r="M2061" s="348"/>
      <c r="N2061" s="348"/>
      <c r="O2061" s="435"/>
      <c r="P2061" s="349"/>
      <c r="Q2061" s="350"/>
      <c r="R2061" s="271"/>
      <c r="S2061" s="272"/>
      <c r="T2061" s="273"/>
      <c r="U2061" s="351"/>
      <c r="V2061" s="274"/>
      <c r="W2061" s="269"/>
      <c r="X2061" s="269"/>
      <c r="Y2061" s="275"/>
      <c r="Z2061" s="269"/>
      <c r="AA2061" s="350"/>
      <c r="AB2061" s="207"/>
      <c r="AC2061" s="352"/>
      <c r="AD2061" s="353"/>
      <c r="AE2061" s="54"/>
      <c r="AF2061" s="354"/>
      <c r="AG2061" s="355"/>
      <c r="AH2061" s="349"/>
      <c r="AI2061" s="30"/>
      <c r="AJ2061" s="30"/>
      <c r="AK2061" s="30"/>
      <c r="AL2061" s="30"/>
      <c r="AM2061" s="13"/>
      <c r="AN2061" s="13"/>
      <c r="AO2061" s="13"/>
      <c r="AP2061" s="13"/>
      <c r="AQ2061" s="13"/>
      <c r="AR2061" s="14"/>
      <c r="AS2061" s="15"/>
    </row>
    <row r="2062" spans="1:45" s="17" customFormat="1" ht="30.95" hidden="1" customHeight="1" x14ac:dyDescent="0.2">
      <c r="A2062" s="343" t="s">
        <v>2881</v>
      </c>
      <c r="B2062" s="344" t="s">
        <v>2882</v>
      </c>
      <c r="C2062" s="345"/>
      <c r="D2062" s="346"/>
      <c r="E2062" s="346"/>
      <c r="F2062" s="268"/>
      <c r="G2062" s="269"/>
      <c r="H2062" s="269"/>
      <c r="I2062" s="270"/>
      <c r="J2062" s="434"/>
      <c r="K2062" s="270"/>
      <c r="L2062" s="270"/>
      <c r="M2062" s="348"/>
      <c r="N2062" s="348"/>
      <c r="O2062" s="435"/>
      <c r="P2062" s="349"/>
      <c r="Q2062" s="350"/>
      <c r="R2062" s="271"/>
      <c r="S2062" s="272"/>
      <c r="T2062" s="273"/>
      <c r="U2062" s="351"/>
      <c r="V2062" s="274"/>
      <c r="W2062" s="269"/>
      <c r="X2062" s="269"/>
      <c r="Y2062" s="275"/>
      <c r="Z2062" s="269"/>
      <c r="AA2062" s="350"/>
      <c r="AB2062" s="207"/>
      <c r="AC2062" s="352"/>
      <c r="AD2062" s="353"/>
      <c r="AE2062" s="54"/>
      <c r="AF2062" s="354"/>
      <c r="AG2062" s="355"/>
      <c r="AH2062" s="349"/>
      <c r="AI2062" s="30"/>
      <c r="AJ2062" s="30"/>
      <c r="AK2062" s="30"/>
      <c r="AL2062" s="30"/>
      <c r="AM2062" s="13"/>
      <c r="AN2062" s="13"/>
      <c r="AO2062" s="13"/>
      <c r="AP2062" s="13"/>
      <c r="AQ2062" s="13"/>
      <c r="AR2062" s="14"/>
      <c r="AS2062" s="15"/>
    </row>
    <row r="2063" spans="1:45" s="17" customFormat="1" ht="30.95" hidden="1" customHeight="1" x14ac:dyDescent="0.2">
      <c r="A2063" s="343"/>
      <c r="B2063" s="344"/>
      <c r="C2063" s="345"/>
      <c r="D2063" s="346"/>
      <c r="E2063" s="346"/>
      <c r="F2063" s="268"/>
      <c r="G2063" s="269"/>
      <c r="H2063" s="269"/>
      <c r="I2063" s="270"/>
      <c r="J2063" s="434"/>
      <c r="K2063" s="270"/>
      <c r="L2063" s="270"/>
      <c r="M2063" s="348"/>
      <c r="N2063" s="348"/>
      <c r="O2063" s="435"/>
      <c r="P2063" s="349"/>
      <c r="Q2063" s="350"/>
      <c r="R2063" s="271"/>
      <c r="S2063" s="272"/>
      <c r="T2063" s="273"/>
      <c r="U2063" s="351"/>
      <c r="V2063" s="274"/>
      <c r="W2063" s="269"/>
      <c r="X2063" s="269"/>
      <c r="Y2063" s="275"/>
      <c r="Z2063" s="269"/>
      <c r="AA2063" s="350"/>
      <c r="AB2063" s="207"/>
      <c r="AC2063" s="352"/>
      <c r="AD2063" s="353"/>
      <c r="AE2063" s="54"/>
      <c r="AF2063" s="354"/>
      <c r="AG2063" s="355"/>
      <c r="AH2063" s="349"/>
      <c r="AI2063" s="30"/>
      <c r="AJ2063" s="30"/>
      <c r="AK2063" s="30"/>
      <c r="AL2063" s="30"/>
      <c r="AM2063" s="13"/>
      <c r="AN2063" s="13"/>
      <c r="AO2063" s="13"/>
      <c r="AP2063" s="13"/>
      <c r="AQ2063" s="13"/>
      <c r="AR2063" s="14"/>
      <c r="AS2063" s="15"/>
    </row>
    <row r="2064" spans="1:45" s="17" customFormat="1" ht="30.95" hidden="1" customHeight="1" x14ac:dyDescent="0.2">
      <c r="A2064" s="343" t="s">
        <v>2883</v>
      </c>
      <c r="B2064" s="344" t="s">
        <v>2884</v>
      </c>
      <c r="C2064" s="345"/>
      <c r="D2064" s="346"/>
      <c r="E2064" s="346"/>
      <c r="F2064" s="268"/>
      <c r="G2064" s="269"/>
      <c r="H2064" s="269"/>
      <c r="I2064" s="270"/>
      <c r="J2064" s="434"/>
      <c r="K2064" s="270"/>
      <c r="L2064" s="270"/>
      <c r="M2064" s="348"/>
      <c r="N2064" s="348"/>
      <c r="O2064" s="435"/>
      <c r="P2064" s="349"/>
      <c r="Q2064" s="350"/>
      <c r="R2064" s="271"/>
      <c r="S2064" s="272"/>
      <c r="T2064" s="273"/>
      <c r="U2064" s="351"/>
      <c r="V2064" s="274"/>
      <c r="W2064" s="269"/>
      <c r="X2064" s="269"/>
      <c r="Y2064" s="275"/>
      <c r="Z2064" s="269"/>
      <c r="AA2064" s="350"/>
      <c r="AB2064" s="207"/>
      <c r="AC2064" s="352"/>
      <c r="AD2064" s="353"/>
      <c r="AE2064" s="54"/>
      <c r="AF2064" s="354"/>
      <c r="AG2064" s="355"/>
      <c r="AH2064" s="349"/>
      <c r="AI2064" s="30"/>
      <c r="AJ2064" s="30"/>
      <c r="AK2064" s="30"/>
      <c r="AL2064" s="30"/>
      <c r="AM2064" s="13"/>
      <c r="AN2064" s="13"/>
      <c r="AO2064" s="13"/>
      <c r="AP2064" s="13"/>
      <c r="AQ2064" s="13"/>
      <c r="AR2064" s="14"/>
      <c r="AS2064" s="15"/>
    </row>
    <row r="2065" spans="1:45" s="17" customFormat="1" ht="30.95" hidden="1" customHeight="1" x14ac:dyDescent="0.2">
      <c r="A2065" s="343"/>
      <c r="B2065" s="344"/>
      <c r="C2065" s="345"/>
      <c r="D2065" s="346"/>
      <c r="E2065" s="346"/>
      <c r="F2065" s="268"/>
      <c r="G2065" s="269"/>
      <c r="H2065" s="269"/>
      <c r="I2065" s="270"/>
      <c r="J2065" s="434"/>
      <c r="K2065" s="270"/>
      <c r="L2065" s="270"/>
      <c r="M2065" s="348"/>
      <c r="N2065" s="348"/>
      <c r="O2065" s="435"/>
      <c r="P2065" s="349"/>
      <c r="Q2065" s="350"/>
      <c r="R2065" s="271"/>
      <c r="S2065" s="272"/>
      <c r="T2065" s="273"/>
      <c r="U2065" s="351"/>
      <c r="V2065" s="274"/>
      <c r="W2065" s="269"/>
      <c r="X2065" s="269"/>
      <c r="Y2065" s="275"/>
      <c r="Z2065" s="269"/>
      <c r="AA2065" s="350"/>
      <c r="AB2065" s="207"/>
      <c r="AC2065" s="352"/>
      <c r="AD2065" s="353"/>
      <c r="AE2065" s="54"/>
      <c r="AF2065" s="354"/>
      <c r="AG2065" s="355"/>
      <c r="AH2065" s="349"/>
      <c r="AI2065" s="30"/>
      <c r="AJ2065" s="30"/>
      <c r="AK2065" s="30"/>
      <c r="AL2065" s="30"/>
      <c r="AM2065" s="13"/>
      <c r="AN2065" s="13"/>
      <c r="AO2065" s="13"/>
      <c r="AP2065" s="13"/>
      <c r="AQ2065" s="13"/>
      <c r="AR2065" s="14"/>
      <c r="AS2065" s="15"/>
    </row>
    <row r="2066" spans="1:45" s="17" customFormat="1" ht="30.6" hidden="1" customHeight="1" x14ac:dyDescent="0.2">
      <c r="A2066" s="37" t="s">
        <v>2885</v>
      </c>
      <c r="B2066" s="38" t="s">
        <v>2886</v>
      </c>
      <c r="C2066" s="45"/>
      <c r="D2066" s="31">
        <v>3758082</v>
      </c>
      <c r="E2066" s="31">
        <v>4162342</v>
      </c>
      <c r="F2066" s="268" t="str">
        <f>IF(D2066="","",VLOOKUP(D2066,契約台帳!$A$3:$K$4986,6,FALSE)&amp;VLOOKUP(D2066,契約台帳!$A$3:$K$4986,7,FALSE)&amp;VLOOKUP(D2066,契約台帳!$A$3:$K$4986,8,FALSE)&amp;VLOOKUP(D2066,契約台帳!$A$3:$K$4986,9,FALSE)&amp;VLOOKUP(D2066,契約台帳!$A$3:$K$4986,11,FALSE))</f>
        <v>3SYMLBMSNMBF</v>
      </c>
      <c r="G2066" s="269" t="str">
        <f>IF(D2066="","",VLOOKUP(F2066,製品マスタ!$G$5:$H$5002,2,FALSE))</f>
        <v>S</v>
      </c>
      <c r="H2066" s="269" t="str">
        <f>IF(D2066="","",VLOOKUP(F2066,製品マスタ!$G$5:$K$5002,5,FALSE))</f>
        <v>MSNMBF</v>
      </c>
      <c r="I2066" s="270" t="str">
        <f>IF(D2066="","",VLOOKUP(F2066,製品マスタ!$G$5:$L$5002,6,FALSE))</f>
        <v>ＭＥＴＡＬＵＭＹ　ＳＩＬＶＥＲ　Ｎ－ＭＡＴＴＥ　Ｘ４４Ｍ　Ｂ</v>
      </c>
      <c r="J2066" s="210" t="s">
        <v>935</v>
      </c>
      <c r="K2066" s="270">
        <f>IF(D2066="","",VLOOKUP(D2066,契約台帳!$A$3:$L$4986,12,FALSE))</f>
        <v>50</v>
      </c>
      <c r="L2066" s="270" t="str">
        <f>IF(D2066="","",INDEX(製品マスタ!$Q$5:$Q$5002,MATCH('S4'!F2066&amp;'S4'!K2066,製品マスタ!$AO$5:$AO$5002,0)))</f>
        <v>X44</v>
      </c>
      <c r="M2066" s="39">
        <v>1120</v>
      </c>
      <c r="N2066" s="39">
        <v>4000</v>
      </c>
      <c r="O2066" s="156">
        <v>9</v>
      </c>
      <c r="P2066" s="47">
        <v>3</v>
      </c>
      <c r="Q2066" s="213">
        <v>45457</v>
      </c>
      <c r="R2066" s="271">
        <f ca="1">IF(D2066="","",IF(OFFSET(D2066,-1,0)&lt;&gt;"","",IF(OR(J2066="リード付け",J2066="巻足し",J2066="巻返しリード付け"),M2066,VLOOKUP(D2066,契約台帳!$A$3:$N$4986,14,FALSE))))</f>
        <v>1120</v>
      </c>
      <c r="S2066" s="272">
        <f ca="1">IF(D2066="","",IF(OFFSET(D2066,-1,0)&lt;&gt;"","",IF(OR(J2066="リード付け",J2066="巻足し",J2066="巻返しリード付け"),M2066,VLOOKUP(D2066,契約台帳!$A$3:$O$4986,15,FALSE))))</f>
        <v>1120</v>
      </c>
      <c r="T2066" s="273">
        <f ca="1">IF(D2066="","",IF(J2066="リード付け",N2066,IF(J2066="巻返しリード付け",N2066,IF(J2066="巻足し",N2066*P2066+OFFSET(N2066,1,0)*OFFSET(P2066,1,0),VLOOKUP(D2066,契約台帳!$A$3:$P$4986,16,FALSE)))))</f>
        <v>12000</v>
      </c>
      <c r="U2066" s="40">
        <v>3</v>
      </c>
      <c r="V2066" s="274">
        <f ca="1">IF(D2066="","",IF(OFFSET(D2066,-2,0)=D2066,"",VLOOKUP(D2066,契約台帳!$A$3:$R$4986,18,FALSE)))</f>
        <v>10</v>
      </c>
      <c r="W2066" s="269" t="str">
        <f ca="1">IF(D2066="","",IF(T2066="","",IF(OR(J2066="巻足し",J2066="巻返しリード付け"),"",IF(J2066="巻返し",VLOOKUP(F2066&amp;K2066&amp;M2066,製品マスタ!$M$5:$AD$5002,18,FALSE),IF(OR(J2066="リード付け",J2066="巻返しリード付け"),"原反コア",IF(J2066="スリット",VLOOKUP(F2066&amp;K2066&amp;R2066,製品マスタ!$N$5:$AD$5002,17,FALSE),""))))))</f>
        <v/>
      </c>
      <c r="X2066" s="269" t="str">
        <f ca="1">IF(D2066="","",IF(T2066="","",IF(J2066="巻足し","",IF(J2066="巻返し",VLOOKUP(F2066&amp;K2066&amp;M2066,製品マスタ!$M$5:$AE$5002,19,FALSE),IF(OR(J2066="リード付け",J2066="巻返しリード付け"),"",IF(J2066="スリット",VLOOKUP(F2066&amp;K2066&amp;R2066,製品マスタ!$N$5:$AE$5002,18,FALSE),""))))))</f>
        <v/>
      </c>
      <c r="Y2066" s="275">
        <f ca="1">IF(D2066="","",IF(T2066="","",VLOOKUP(D2066,契約台帳!$A$3:$Q$4986,17,FALSE)))</f>
        <v>2</v>
      </c>
      <c r="Z2066" s="269" t="str">
        <f ca="1">IF(D2066="","",IF(T2066="","",VLOOKUP(D2066,契約台帳!$A$3:$E$4986,5,FALSE)))</f>
        <v>リンテック㈱</v>
      </c>
      <c r="AA2066" s="57"/>
      <c r="AB2066" s="207"/>
      <c r="AC2066" s="33"/>
      <c r="AD2066" s="189"/>
      <c r="AE2066" s="54"/>
      <c r="AF2066" s="55">
        <f>+M2066*N2066*O2066/1000</f>
        <v>40320</v>
      </c>
      <c r="AG2066" s="43"/>
      <c r="AH2066" s="47"/>
      <c r="AI2066" s="30"/>
      <c r="AJ2066" s="30"/>
      <c r="AK2066" s="30"/>
      <c r="AL2066" s="30"/>
      <c r="AM2066" s="13"/>
      <c r="AN2066" s="13"/>
      <c r="AO2066" s="13"/>
      <c r="AP2066" s="13"/>
      <c r="AQ2066" s="13"/>
      <c r="AR2066" s="14"/>
      <c r="AS2066" s="15"/>
    </row>
    <row r="2067" spans="1:45" s="17" customFormat="1" ht="30.95" hidden="1" customHeight="1" x14ac:dyDescent="0.2">
      <c r="A2067" s="343"/>
      <c r="B2067" s="344"/>
      <c r="C2067" s="345"/>
      <c r="D2067" s="346"/>
      <c r="E2067" s="346"/>
      <c r="F2067" s="268"/>
      <c r="G2067" s="269"/>
      <c r="H2067" s="269"/>
      <c r="I2067" s="270"/>
      <c r="J2067" s="434"/>
      <c r="K2067" s="270"/>
      <c r="L2067" s="270"/>
      <c r="M2067" s="348"/>
      <c r="N2067" s="348"/>
      <c r="O2067" s="435"/>
      <c r="P2067" s="349"/>
      <c r="Q2067" s="350"/>
      <c r="R2067" s="271"/>
      <c r="S2067" s="272"/>
      <c r="T2067" s="273"/>
      <c r="U2067" s="351"/>
      <c r="V2067" s="274"/>
      <c r="W2067" s="269"/>
      <c r="X2067" s="269"/>
      <c r="Y2067" s="275"/>
      <c r="Z2067" s="269"/>
      <c r="AA2067" s="350"/>
      <c r="AB2067" s="207"/>
      <c r="AC2067" s="352"/>
      <c r="AD2067" s="353"/>
      <c r="AE2067" s="54"/>
      <c r="AF2067" s="354"/>
      <c r="AG2067" s="355"/>
      <c r="AH2067" s="349"/>
      <c r="AI2067" s="30"/>
      <c r="AJ2067" s="30"/>
      <c r="AK2067" s="30"/>
      <c r="AL2067" s="30"/>
      <c r="AM2067" s="13"/>
      <c r="AN2067" s="13"/>
      <c r="AO2067" s="13"/>
      <c r="AP2067" s="13"/>
      <c r="AQ2067" s="13"/>
      <c r="AR2067" s="14"/>
      <c r="AS2067" s="15"/>
    </row>
    <row r="2068" spans="1:45" s="17" customFormat="1" ht="30.6" hidden="1" customHeight="1" x14ac:dyDescent="0.2">
      <c r="A2068" s="37"/>
      <c r="B2068" s="38"/>
      <c r="C2068" s="45"/>
      <c r="D2068" s="31">
        <v>3758082</v>
      </c>
      <c r="E2068" s="31">
        <v>4162342</v>
      </c>
      <c r="F2068" s="268" t="str">
        <f>IF(D2068="","",VLOOKUP(D2068,契約台帳!$A$3:$K$4986,6,FALSE)&amp;VLOOKUP(D2068,契約台帳!$A$3:$K$4986,7,FALSE)&amp;VLOOKUP(D2068,契約台帳!$A$3:$K$4986,8,FALSE)&amp;VLOOKUP(D2068,契約台帳!$A$3:$K$4986,9,FALSE)&amp;VLOOKUP(D2068,契約台帳!$A$3:$K$4986,11,FALSE))</f>
        <v>3SYMLBMSNMBF</v>
      </c>
      <c r="G2068" s="269" t="str">
        <f>IF(D2068="","",VLOOKUP(F2068,製品マスタ!$G$5:$H$5002,2,FALSE))</f>
        <v>S</v>
      </c>
      <c r="H2068" s="269" t="str">
        <f>IF(D2068="","",VLOOKUP(F2068,製品マスタ!$G$5:$K$5002,5,FALSE))</f>
        <v>MSNMBF</v>
      </c>
      <c r="I2068" s="270" t="str">
        <f>IF(D2068="","",VLOOKUP(F2068,製品マスタ!$G$5:$L$5002,6,FALSE))</f>
        <v>ＭＥＴＡＬＵＭＹ　ＳＩＬＶＥＲ　Ｎ－ＭＡＴＴＥ　Ｘ４４Ｍ　Ｂ</v>
      </c>
      <c r="J2068" s="210" t="s">
        <v>935</v>
      </c>
      <c r="K2068" s="270">
        <f>IF(D2068="","",VLOOKUP(D2068,契約台帳!$A$3:$L$4986,12,FALSE))</f>
        <v>50</v>
      </c>
      <c r="L2068" s="270" t="str">
        <f>IF(D2068="","",INDEX(製品マスタ!$Q$5:$Q$5002,MATCH('S4'!F2068&amp;'S4'!K2068,製品マスタ!$AO$5:$AO$5002,0)))</f>
        <v>X44</v>
      </c>
      <c r="M2068" s="39">
        <v>1120</v>
      </c>
      <c r="N2068" s="39">
        <v>4000</v>
      </c>
      <c r="O2068" s="156">
        <v>1</v>
      </c>
      <c r="P2068" s="47">
        <v>3</v>
      </c>
      <c r="Q2068" s="213">
        <v>45457</v>
      </c>
      <c r="R2068" s="271">
        <f ca="1">IF(D2068="","",IF(OFFSET(D2068,-1,0)&lt;&gt;"","",IF(OR(J2068="リード付け",J2068="巻足し",J2068="巻返しリード付け"),M2068,VLOOKUP(D2068,契約台帳!$A$3:$N$4986,14,FALSE))))</f>
        <v>1120</v>
      </c>
      <c r="S2068" s="272">
        <f ca="1">IF(D2068="","",IF(OFFSET(D2068,-1,0)&lt;&gt;"","",IF(OR(J2068="リード付け",J2068="巻足し",J2068="巻返しリード付け"),M2068,VLOOKUP(D2068,契約台帳!$A$3:$O$4986,15,FALSE))))</f>
        <v>1120</v>
      </c>
      <c r="T2068" s="273">
        <f ca="1">IF(D2068="","",IF(J2068="リード付け",N2068,IF(J2068="巻返しリード付け",N2068,IF(J2068="巻足し",N2068*P2068+OFFSET(N2068,1,0)*OFFSET(P2068,1,0),VLOOKUP(D2068,契約台帳!$A$3:$P$4986,16,FALSE)))))</f>
        <v>12000</v>
      </c>
      <c r="U2068" s="40">
        <v>1</v>
      </c>
      <c r="V2068" s="274" t="str">
        <f ca="1">IF(D2068="","",IF(OFFSET(D2068,-2,0)=D2068,"",VLOOKUP(D2068,契約台帳!$A$3:$R$4986,18,FALSE)))</f>
        <v/>
      </c>
      <c r="W2068" s="269" t="str">
        <f ca="1">IF(D2068="","",IF(T2068="","",IF(OR(J2068="巻足し",J2068="巻返しリード付け"),"",IF(J2068="巻返し",VLOOKUP(F2068&amp;K2068&amp;M2068,製品マスタ!$M$5:$AD$5002,18,FALSE),IF(OR(J2068="リード付け",J2068="巻返しリード付け"),"原反コア",IF(J2068="スリット",VLOOKUP(F2068&amp;K2068&amp;R2068,製品マスタ!$N$5:$AD$5002,17,FALSE),""))))))</f>
        <v/>
      </c>
      <c r="X2068" s="269" t="str">
        <f ca="1">IF(D2068="","",IF(T2068="","",IF(J2068="巻足し","",IF(J2068="巻返し",VLOOKUP(F2068&amp;K2068&amp;M2068,製品マスタ!$M$5:$AE$5002,19,FALSE),IF(OR(J2068="リード付け",J2068="巻返しリード付け"),"",IF(J2068="スリット",VLOOKUP(F2068&amp;K2068&amp;R2068,製品マスタ!$N$5:$AE$5002,18,FALSE),""))))))</f>
        <v/>
      </c>
      <c r="Y2068" s="275">
        <f ca="1">IF(D2068="","",IF(T2068="","",VLOOKUP(D2068,契約台帳!$A$3:$Q$4986,17,FALSE)))</f>
        <v>2</v>
      </c>
      <c r="Z2068" s="269" t="str">
        <f ca="1">IF(D2068="","",IF(T2068="","",VLOOKUP(D2068,契約台帳!$A$3:$E$4986,5,FALSE)))</f>
        <v>リンテック㈱</v>
      </c>
      <c r="AA2068" s="57"/>
      <c r="AB2068" s="207"/>
      <c r="AC2068" s="33"/>
      <c r="AD2068" s="189"/>
      <c r="AE2068" s="54"/>
      <c r="AF2068" s="55">
        <f>+M2068*N2068*O2068/1000</f>
        <v>4480</v>
      </c>
      <c r="AG2068" s="43"/>
      <c r="AH2068" s="47"/>
      <c r="AI2068" s="30"/>
      <c r="AJ2068" s="30"/>
      <c r="AK2068" s="30"/>
      <c r="AL2068" s="30"/>
      <c r="AM2068" s="13"/>
      <c r="AN2068" s="13"/>
      <c r="AO2068" s="13"/>
      <c r="AP2068" s="13"/>
      <c r="AQ2068" s="13"/>
      <c r="AR2068" s="14"/>
      <c r="AS2068" s="15"/>
    </row>
    <row r="2069" spans="1:45" s="17" customFormat="1" ht="30.6" hidden="1" customHeight="1" x14ac:dyDescent="0.2">
      <c r="A2069" s="37"/>
      <c r="B2069" s="38"/>
      <c r="C2069" s="45"/>
      <c r="D2069" s="31">
        <v>3758083</v>
      </c>
      <c r="E2069" s="31"/>
      <c r="F2069" s="268" t="str">
        <f>IF(D2069="","",VLOOKUP(D2069,契約台帳!$A$3:$K$4986,6,FALSE)&amp;VLOOKUP(D2069,契約台帳!$A$3:$K$4986,7,FALSE)&amp;VLOOKUP(D2069,契約台帳!$A$3:$K$4986,8,FALSE)&amp;VLOOKUP(D2069,契約台帳!$A$3:$K$4986,9,FALSE)&amp;VLOOKUP(D2069,契約台帳!$A$3:$K$4986,11,FALSE))</f>
        <v>3SYMLBMSNMBF</v>
      </c>
      <c r="G2069" s="269" t="str">
        <f>IF(D2069="","",VLOOKUP(F2069,製品マスタ!$G$5:$H$5002,2,FALSE))</f>
        <v>S</v>
      </c>
      <c r="H2069" s="269" t="str">
        <f>IF(D2069="","",VLOOKUP(F2069,製品マスタ!$G$5:$K$5002,5,FALSE))</f>
        <v>MSNMBF</v>
      </c>
      <c r="I2069" s="270" t="str">
        <f>IF(D2069="","",VLOOKUP(F2069,製品マスタ!$G$5:$L$5002,6,FALSE))</f>
        <v>ＭＥＴＡＬＵＭＹ　ＳＩＬＶＥＲ　Ｎ－ＭＡＴＴＥ　Ｘ４４Ｍ　Ｂ</v>
      </c>
      <c r="J2069" s="210" t="s">
        <v>935</v>
      </c>
      <c r="K2069" s="270">
        <f>IF(D2069="","",VLOOKUP(D2069,契約台帳!$A$3:$L$4986,12,FALSE))</f>
        <v>50</v>
      </c>
      <c r="L2069" s="270" t="str">
        <f>IF(D2069="","",INDEX(製品マスタ!$Q$5:$Q$5002,MATCH('S4'!F2069&amp;'S4'!K2069,製品マスタ!$AO$5:$AO$5002,0)))</f>
        <v>X44</v>
      </c>
      <c r="M2069" s="39">
        <v>1120</v>
      </c>
      <c r="N2069" s="39">
        <v>4000</v>
      </c>
      <c r="O2069" s="156">
        <v>2</v>
      </c>
      <c r="P2069" s="47"/>
      <c r="Q2069" s="213">
        <v>45457</v>
      </c>
      <c r="R2069" s="271" t="str">
        <f ca="1">IF(D2069="","",IF(OFFSET(D2069,-1,0)&lt;&gt;"","",IF(OR(J2069="リード付け",J2069="巻足し",J2069="巻返しリード付け"),M2069,VLOOKUP(D2069,契約台帳!$A$3:$N$4986,14,FALSE))))</f>
        <v/>
      </c>
      <c r="S2069" s="272" t="str">
        <f ca="1">IF(D2069="","",IF(OFFSET(D2069,-1,0)&lt;&gt;"","",IF(OR(J2069="リード付け",J2069="巻足し",J2069="巻返しリード付け"),M2069,VLOOKUP(D2069,契約台帳!$A$3:$O$4986,15,FALSE))))</f>
        <v/>
      </c>
      <c r="T2069" s="273">
        <f ca="1">IF(D2069="","",IF(J2069="リード付け",N2069,IF(J2069="巻返しリード付け",N2069,IF(J2069="巻足し",N2069*P2069+OFFSET(N2069,1,0)*OFFSET(P2069,1,0),VLOOKUP(D2069,契約台帳!$A$3:$P$4986,16,FALSE)))))</f>
        <v>0</v>
      </c>
      <c r="U2069" s="40"/>
      <c r="V2069" s="274">
        <f ca="1">IF(D2069="","",IF(OFFSET(D2069,-2,0)=D2069,"",VLOOKUP(D2069,契約台帳!$A$3:$R$4986,18,FALSE)))</f>
        <v>10</v>
      </c>
      <c r="W2069" s="269" t="str">
        <f ca="1">IF(D2069="","",IF(T2069="","",IF(OR(J2069="巻足し",J2069="巻返しリード付け"),"",IF(J2069="巻返し",VLOOKUP(F2069&amp;K2069&amp;M2069,製品マスタ!$M$5:$AD$5002,18,FALSE),IF(OR(J2069="リード付け",J2069="巻返しリード付け"),"原反コア",IF(J2069="スリット",VLOOKUP(F2069&amp;K2069&amp;R2069,製品マスタ!$N$5:$AD$5002,17,FALSE),""))))))</f>
        <v/>
      </c>
      <c r="X2069" s="269" t="str">
        <f ca="1">IF(D2069="","",IF(T2069="","",IF(J2069="巻足し","",IF(J2069="巻返し",VLOOKUP(F2069&amp;K2069&amp;M2069,製品マスタ!$M$5:$AE$5002,19,FALSE),IF(OR(J2069="リード付け",J2069="巻返しリード付け"),"",IF(J2069="スリット",VLOOKUP(F2069&amp;K2069&amp;R2069,製品マスタ!$N$5:$AE$5002,18,FALSE),""))))))</f>
        <v/>
      </c>
      <c r="Y2069" s="275">
        <f ca="1">IF(D2069="","",IF(T2069="","",VLOOKUP(D2069,契約台帳!$A$3:$Q$4986,17,FALSE)))</f>
        <v>2</v>
      </c>
      <c r="Z2069" s="269" t="str">
        <f ca="1">IF(D2069="","",IF(T2069="","",VLOOKUP(D2069,契約台帳!$A$3:$E$4986,5,FALSE)))</f>
        <v>リンテック㈱</v>
      </c>
      <c r="AA2069" s="57"/>
      <c r="AB2069" s="207"/>
      <c r="AC2069" s="33"/>
      <c r="AD2069" s="189"/>
      <c r="AE2069" s="54"/>
      <c r="AF2069" s="55">
        <f>+M2069*N2069*O2069/1000</f>
        <v>8960</v>
      </c>
      <c r="AG2069" s="43"/>
      <c r="AH2069" s="47"/>
      <c r="AI2069" s="30"/>
      <c r="AJ2069" s="30"/>
      <c r="AK2069" s="30"/>
      <c r="AL2069" s="30"/>
      <c r="AM2069" s="13"/>
      <c r="AN2069" s="13"/>
      <c r="AO2069" s="13"/>
      <c r="AP2069" s="13"/>
      <c r="AQ2069" s="13"/>
      <c r="AR2069" s="14"/>
      <c r="AS2069" s="15"/>
    </row>
    <row r="2070" spans="1:45" s="17" customFormat="1" ht="30.95" hidden="1" customHeight="1" x14ac:dyDescent="0.2">
      <c r="A2070" s="343"/>
      <c r="B2070" s="344"/>
      <c r="C2070" s="345"/>
      <c r="D2070" s="346"/>
      <c r="E2070" s="346"/>
      <c r="F2070" s="268"/>
      <c r="G2070" s="269"/>
      <c r="H2070" s="269"/>
      <c r="I2070" s="270"/>
      <c r="J2070" s="434"/>
      <c r="K2070" s="270"/>
      <c r="L2070" s="270"/>
      <c r="M2070" s="348"/>
      <c r="N2070" s="348"/>
      <c r="O2070" s="435"/>
      <c r="P2070" s="349"/>
      <c r="Q2070" s="350"/>
      <c r="R2070" s="271"/>
      <c r="S2070" s="272"/>
      <c r="T2070" s="273"/>
      <c r="U2070" s="351"/>
      <c r="V2070" s="274"/>
      <c r="W2070" s="269"/>
      <c r="X2070" s="269"/>
      <c r="Y2070" s="275"/>
      <c r="Z2070" s="269"/>
      <c r="AA2070" s="350"/>
      <c r="AB2070" s="207"/>
      <c r="AC2070" s="352"/>
      <c r="AD2070" s="353"/>
      <c r="AE2070" s="54"/>
      <c r="AF2070" s="354"/>
      <c r="AG2070" s="355"/>
      <c r="AH2070" s="349"/>
      <c r="AI2070" s="30"/>
      <c r="AJ2070" s="30"/>
      <c r="AK2070" s="30"/>
      <c r="AL2070" s="30"/>
      <c r="AM2070" s="13"/>
      <c r="AN2070" s="13"/>
      <c r="AO2070" s="13"/>
      <c r="AP2070" s="13"/>
      <c r="AQ2070" s="13"/>
      <c r="AR2070" s="14"/>
      <c r="AS2070" s="15"/>
    </row>
    <row r="2071" spans="1:45" s="17" customFormat="1" ht="30.95" hidden="1" customHeight="1" x14ac:dyDescent="0.2">
      <c r="A2071" s="343" t="s">
        <v>1208</v>
      </c>
      <c r="B2071" s="344" t="s">
        <v>445</v>
      </c>
      <c r="C2071" s="345"/>
      <c r="D2071" s="346"/>
      <c r="E2071" s="346"/>
      <c r="F2071" s="268"/>
      <c r="G2071" s="269"/>
      <c r="H2071" s="269"/>
      <c r="I2071" s="270"/>
      <c r="J2071" s="434" t="s">
        <v>448</v>
      </c>
      <c r="K2071" s="270"/>
      <c r="L2071" s="270"/>
      <c r="M2071" s="348"/>
      <c r="N2071" s="348"/>
      <c r="O2071" s="435"/>
      <c r="P2071" s="349"/>
      <c r="Q2071" s="350"/>
      <c r="R2071" s="271"/>
      <c r="S2071" s="272"/>
      <c r="T2071" s="273"/>
      <c r="U2071" s="351"/>
      <c r="V2071" s="274"/>
      <c r="W2071" s="269"/>
      <c r="X2071" s="269"/>
      <c r="Y2071" s="275"/>
      <c r="Z2071" s="269"/>
      <c r="AA2071" s="350"/>
      <c r="AB2071" s="207"/>
      <c r="AC2071" s="352"/>
      <c r="AD2071" s="353"/>
      <c r="AE2071" s="54"/>
      <c r="AF2071" s="354"/>
      <c r="AG2071" s="355"/>
      <c r="AH2071" s="349"/>
      <c r="AI2071" s="30"/>
      <c r="AJ2071" s="30"/>
      <c r="AK2071" s="30"/>
      <c r="AL2071" s="30"/>
      <c r="AM2071" s="13"/>
      <c r="AN2071" s="13"/>
      <c r="AO2071" s="13"/>
      <c r="AP2071" s="13"/>
      <c r="AQ2071" s="13"/>
      <c r="AR2071" s="14"/>
      <c r="AS2071" s="15"/>
    </row>
    <row r="2072" spans="1:45" s="17" customFormat="1" ht="30.95" hidden="1" customHeight="1" x14ac:dyDescent="0.2">
      <c r="A2072" s="343"/>
      <c r="B2072" s="344"/>
      <c r="C2072" s="345"/>
      <c r="D2072" s="346"/>
      <c r="E2072" s="346"/>
      <c r="F2072" s="268"/>
      <c r="G2072" s="269"/>
      <c r="H2072" s="269"/>
      <c r="I2072" s="270"/>
      <c r="J2072" s="434"/>
      <c r="K2072" s="270"/>
      <c r="L2072" s="270"/>
      <c r="M2072" s="348"/>
      <c r="N2072" s="348"/>
      <c r="O2072" s="435"/>
      <c r="P2072" s="349"/>
      <c r="Q2072" s="350"/>
      <c r="R2072" s="271"/>
      <c r="S2072" s="272"/>
      <c r="T2072" s="273"/>
      <c r="U2072" s="351"/>
      <c r="V2072" s="274"/>
      <c r="W2072" s="269"/>
      <c r="X2072" s="269"/>
      <c r="Y2072" s="275"/>
      <c r="Z2072" s="269"/>
      <c r="AA2072" s="350"/>
      <c r="AB2072" s="207"/>
      <c r="AC2072" s="352"/>
      <c r="AD2072" s="353"/>
      <c r="AE2072" s="54"/>
      <c r="AF2072" s="354"/>
      <c r="AG2072" s="355"/>
      <c r="AH2072" s="349"/>
      <c r="AI2072" s="30"/>
      <c r="AJ2072" s="30"/>
      <c r="AK2072" s="30"/>
      <c r="AL2072" s="30"/>
      <c r="AM2072" s="13"/>
      <c r="AN2072" s="13"/>
      <c r="AO2072" s="13"/>
      <c r="AP2072" s="13"/>
      <c r="AQ2072" s="13"/>
      <c r="AR2072" s="14"/>
      <c r="AS2072" s="15"/>
    </row>
    <row r="2073" spans="1:45" s="17" customFormat="1" ht="30.95" hidden="1" customHeight="1" x14ac:dyDescent="0.2">
      <c r="A2073" s="343" t="s">
        <v>1222</v>
      </c>
      <c r="B2073" s="344" t="s">
        <v>446</v>
      </c>
      <c r="C2073" s="345"/>
      <c r="D2073" s="346"/>
      <c r="E2073" s="346"/>
      <c r="F2073" s="268"/>
      <c r="G2073" s="269"/>
      <c r="H2073" s="269"/>
      <c r="I2073" s="270"/>
      <c r="J2073" s="434" t="s">
        <v>448</v>
      </c>
      <c r="K2073" s="270"/>
      <c r="L2073" s="270"/>
      <c r="M2073" s="348"/>
      <c r="N2073" s="348"/>
      <c r="O2073" s="435"/>
      <c r="P2073" s="349"/>
      <c r="Q2073" s="350"/>
      <c r="R2073" s="271"/>
      <c r="S2073" s="272"/>
      <c r="T2073" s="273"/>
      <c r="U2073" s="351"/>
      <c r="V2073" s="274"/>
      <c r="W2073" s="269"/>
      <c r="X2073" s="269"/>
      <c r="Y2073" s="275"/>
      <c r="Z2073" s="269"/>
      <c r="AA2073" s="350"/>
      <c r="AB2073" s="207"/>
      <c r="AC2073" s="352"/>
      <c r="AD2073" s="353"/>
      <c r="AE2073" s="54"/>
      <c r="AF2073" s="354"/>
      <c r="AG2073" s="355"/>
      <c r="AH2073" s="349"/>
      <c r="AI2073" s="30"/>
      <c r="AJ2073" s="30"/>
      <c r="AK2073" s="30"/>
      <c r="AL2073" s="30"/>
      <c r="AM2073" s="13"/>
      <c r="AN2073" s="13"/>
      <c r="AO2073" s="13"/>
      <c r="AP2073" s="13"/>
      <c r="AQ2073" s="13"/>
      <c r="AR2073" s="14"/>
      <c r="AS2073" s="15"/>
    </row>
    <row r="2074" spans="1:45" s="17" customFormat="1" ht="30.95" hidden="1" customHeight="1" x14ac:dyDescent="0.2">
      <c r="A2074" s="343"/>
      <c r="B2074" s="344"/>
      <c r="C2074" s="345"/>
      <c r="D2074" s="346"/>
      <c r="E2074" s="346"/>
      <c r="F2074" s="268"/>
      <c r="G2074" s="269"/>
      <c r="H2074" s="269"/>
      <c r="I2074" s="270"/>
      <c r="J2074" s="434"/>
      <c r="K2074" s="270"/>
      <c r="L2074" s="270"/>
      <c r="M2074" s="348"/>
      <c r="N2074" s="348"/>
      <c r="O2074" s="435"/>
      <c r="P2074" s="349"/>
      <c r="Q2074" s="350"/>
      <c r="R2074" s="271"/>
      <c r="S2074" s="272"/>
      <c r="T2074" s="273"/>
      <c r="U2074" s="351"/>
      <c r="V2074" s="274"/>
      <c r="W2074" s="269"/>
      <c r="X2074" s="269"/>
      <c r="Y2074" s="275"/>
      <c r="Z2074" s="269"/>
      <c r="AA2074" s="350"/>
      <c r="AB2074" s="207"/>
      <c r="AC2074" s="352"/>
      <c r="AD2074" s="353"/>
      <c r="AE2074" s="54"/>
      <c r="AF2074" s="354"/>
      <c r="AG2074" s="355"/>
      <c r="AH2074" s="349"/>
      <c r="AI2074" s="30"/>
      <c r="AJ2074" s="30"/>
      <c r="AK2074" s="30"/>
      <c r="AL2074" s="30"/>
      <c r="AM2074" s="13"/>
      <c r="AN2074" s="13"/>
      <c r="AO2074" s="13"/>
      <c r="AP2074" s="13"/>
      <c r="AQ2074" s="13"/>
      <c r="AR2074" s="14"/>
      <c r="AS2074" s="15"/>
    </row>
    <row r="2075" spans="1:45" s="17" customFormat="1" ht="30.6" hidden="1" customHeight="1" x14ac:dyDescent="0.2">
      <c r="A2075" s="37" t="s">
        <v>2887</v>
      </c>
      <c r="B2075" s="38" t="s">
        <v>2878</v>
      </c>
      <c r="C2075" s="45"/>
      <c r="D2075" s="31">
        <v>3758083</v>
      </c>
      <c r="E2075" s="31">
        <v>4162343</v>
      </c>
      <c r="F2075" s="268" t="str">
        <f>IF(D2075="","",VLOOKUP(D2075,契約台帳!$A$3:$K$4986,6,FALSE)&amp;VLOOKUP(D2075,契約台帳!$A$3:$K$4986,7,FALSE)&amp;VLOOKUP(D2075,契約台帳!$A$3:$K$4986,8,FALSE)&amp;VLOOKUP(D2075,契約台帳!$A$3:$K$4986,9,FALSE)&amp;VLOOKUP(D2075,契約台帳!$A$3:$K$4986,11,FALSE))</f>
        <v>3SYMLBMSNMBF</v>
      </c>
      <c r="G2075" s="269" t="str">
        <f>IF(D2075="","",VLOOKUP(F2075,製品マスタ!$G$5:$H$5002,2,FALSE))</f>
        <v>S</v>
      </c>
      <c r="H2075" s="269" t="str">
        <f>IF(D2075="","",VLOOKUP(F2075,製品マスタ!$G$5:$K$5002,5,FALSE))</f>
        <v>MSNMBF</v>
      </c>
      <c r="I2075" s="270" t="str">
        <f>IF(D2075="","",VLOOKUP(F2075,製品マスタ!$G$5:$L$5002,6,FALSE))</f>
        <v>ＭＥＴＡＬＵＭＹ　ＳＩＬＶＥＲ　Ｎ－ＭＡＴＴＥ　Ｘ４４Ｍ　Ｂ</v>
      </c>
      <c r="J2075" s="210" t="s">
        <v>935</v>
      </c>
      <c r="K2075" s="270">
        <f>IF(D2075="","",VLOOKUP(D2075,契約台帳!$A$3:$L$4986,12,FALSE))</f>
        <v>50</v>
      </c>
      <c r="L2075" s="270" t="str">
        <f>IF(D2075="","",INDEX(製品マスタ!$Q$5:$Q$5002,MATCH('S4'!F2075&amp;'S4'!K2075,製品マスタ!$AO$5:$AO$5002,0)))</f>
        <v>X44</v>
      </c>
      <c r="M2075" s="39">
        <v>1120</v>
      </c>
      <c r="N2075" s="39">
        <v>4000</v>
      </c>
      <c r="O2075" s="156">
        <v>6</v>
      </c>
      <c r="P2075" s="47">
        <v>3</v>
      </c>
      <c r="Q2075" s="213">
        <v>45457</v>
      </c>
      <c r="R2075" s="271">
        <f ca="1">IF(D2075="","",IF(OFFSET(D2075,-1,0)&lt;&gt;"","",IF(OR(J2075="リード付け",J2075="巻足し",J2075="巻返しリード付け"),M2075,VLOOKUP(D2075,契約台帳!$A$3:$N$4986,14,FALSE))))</f>
        <v>1120</v>
      </c>
      <c r="S2075" s="272">
        <f ca="1">IF(D2075="","",IF(OFFSET(D2075,-1,0)&lt;&gt;"","",IF(OR(J2075="リード付け",J2075="巻足し",J2075="巻返しリード付け"),M2075,VLOOKUP(D2075,契約台帳!$A$3:$O$4986,15,FALSE))))</f>
        <v>1120</v>
      </c>
      <c r="T2075" s="273">
        <f ca="1">IF(D2075="","",IF(J2075="リード付け",N2075,IF(J2075="巻返しリード付け",N2075,IF(J2075="巻足し",N2075*P2075+OFFSET(N2075,1,0)*OFFSET(P2075,1,0),VLOOKUP(D2075,契約台帳!$A$3:$P$4986,16,FALSE)))))</f>
        <v>12000</v>
      </c>
      <c r="U2075" s="40">
        <v>2</v>
      </c>
      <c r="V2075" s="274">
        <f ca="1">IF(D2075="","",IF(OFFSET(D2075,-2,0)=D2075,"",VLOOKUP(D2075,契約台帳!$A$3:$R$4986,18,FALSE)))</f>
        <v>10</v>
      </c>
      <c r="W2075" s="269" t="str">
        <f ca="1">IF(D2075="","",IF(T2075="","",IF(OR(J2075="巻足し",J2075="巻返しリード付け"),"",IF(J2075="巻返し",VLOOKUP(F2075&amp;K2075&amp;M2075,製品マスタ!$M$5:$AD$5002,18,FALSE),IF(OR(J2075="リード付け",J2075="巻返しリード付け"),"原反コア",IF(J2075="スリット",VLOOKUP(F2075&amp;K2075&amp;R2075,製品マスタ!$N$5:$AD$5002,17,FALSE),""))))))</f>
        <v/>
      </c>
      <c r="X2075" s="269" t="str">
        <f ca="1">IF(D2075="","",IF(T2075="","",IF(J2075="巻足し","",IF(J2075="巻返し",VLOOKUP(F2075&amp;K2075&amp;M2075,製品マスタ!$M$5:$AE$5002,19,FALSE),IF(OR(J2075="リード付け",J2075="巻返しリード付け"),"",IF(J2075="スリット",VLOOKUP(F2075&amp;K2075&amp;R2075,製品マスタ!$N$5:$AE$5002,18,FALSE),""))))))</f>
        <v/>
      </c>
      <c r="Y2075" s="275">
        <f ca="1">IF(D2075="","",IF(T2075="","",VLOOKUP(D2075,契約台帳!$A$3:$Q$4986,17,FALSE)))</f>
        <v>2</v>
      </c>
      <c r="Z2075" s="269" t="str">
        <f ca="1">IF(D2075="","",IF(T2075="","",VLOOKUP(D2075,契約台帳!$A$3:$E$4986,5,FALSE)))</f>
        <v>リンテック㈱</v>
      </c>
      <c r="AA2075" s="57"/>
      <c r="AB2075" s="207"/>
      <c r="AC2075" s="33"/>
      <c r="AD2075" s="189"/>
      <c r="AE2075" s="54"/>
      <c r="AF2075" s="55">
        <f>+M2075*N2075*O2075/1000</f>
        <v>26880</v>
      </c>
      <c r="AG2075" s="43"/>
      <c r="AH2075" s="47"/>
      <c r="AI2075" s="30"/>
      <c r="AJ2075" s="30"/>
      <c r="AK2075" s="30"/>
      <c r="AL2075" s="30"/>
      <c r="AM2075" s="13"/>
      <c r="AN2075" s="13"/>
      <c r="AO2075" s="13"/>
      <c r="AP2075" s="13"/>
      <c r="AQ2075" s="13"/>
      <c r="AR2075" s="14"/>
      <c r="AS2075" s="15"/>
    </row>
    <row r="2076" spans="1:45" s="17" customFormat="1" ht="30.95" hidden="1" customHeight="1" x14ac:dyDescent="0.2">
      <c r="A2076" s="343"/>
      <c r="B2076" s="344"/>
      <c r="C2076" s="345"/>
      <c r="D2076" s="346"/>
      <c r="E2076" s="346"/>
      <c r="F2076" s="268"/>
      <c r="G2076" s="269"/>
      <c r="H2076" s="269"/>
      <c r="I2076" s="270"/>
      <c r="J2076" s="434"/>
      <c r="K2076" s="270"/>
      <c r="L2076" s="270"/>
      <c r="M2076" s="348"/>
      <c r="N2076" s="348"/>
      <c r="O2076" s="435"/>
      <c r="P2076" s="349"/>
      <c r="Q2076" s="350"/>
      <c r="R2076" s="271"/>
      <c r="S2076" s="272"/>
      <c r="T2076" s="273"/>
      <c r="U2076" s="351"/>
      <c r="V2076" s="274"/>
      <c r="W2076" s="269"/>
      <c r="X2076" s="269"/>
      <c r="Y2076" s="275"/>
      <c r="Z2076" s="269"/>
      <c r="AA2076" s="350"/>
      <c r="AB2076" s="207"/>
      <c r="AC2076" s="352"/>
      <c r="AD2076" s="353"/>
      <c r="AE2076" s="54"/>
      <c r="AF2076" s="354"/>
      <c r="AG2076" s="355"/>
      <c r="AH2076" s="349"/>
      <c r="AI2076" s="30"/>
      <c r="AJ2076" s="30"/>
      <c r="AK2076" s="30"/>
      <c r="AL2076" s="30"/>
      <c r="AM2076" s="13"/>
      <c r="AN2076" s="13"/>
      <c r="AO2076" s="13"/>
      <c r="AP2076" s="13"/>
      <c r="AQ2076" s="13"/>
      <c r="AR2076" s="14"/>
      <c r="AS2076" s="15"/>
    </row>
    <row r="2077" spans="1:45" s="17" customFormat="1" ht="30.6" hidden="1" customHeight="1" x14ac:dyDescent="0.2">
      <c r="A2077" s="37"/>
      <c r="B2077" s="38"/>
      <c r="C2077" s="45"/>
      <c r="D2077" s="31">
        <v>3758083</v>
      </c>
      <c r="E2077" s="31">
        <v>4162343</v>
      </c>
      <c r="F2077" s="268" t="str">
        <f>IF(D2077="","",VLOOKUP(D2077,契約台帳!$A$3:$K$4986,6,FALSE)&amp;VLOOKUP(D2077,契約台帳!$A$3:$K$4986,7,FALSE)&amp;VLOOKUP(D2077,契約台帳!$A$3:$K$4986,8,FALSE)&amp;VLOOKUP(D2077,契約台帳!$A$3:$K$4986,9,FALSE)&amp;VLOOKUP(D2077,契約台帳!$A$3:$K$4986,11,FALSE))</f>
        <v>3SYMLBMSNMBF</v>
      </c>
      <c r="G2077" s="269" t="str">
        <f>IF(D2077="","",VLOOKUP(F2077,製品マスタ!$G$5:$H$5002,2,FALSE))</f>
        <v>S</v>
      </c>
      <c r="H2077" s="269" t="str">
        <f>IF(D2077="","",VLOOKUP(F2077,製品マスタ!$G$5:$K$5002,5,FALSE))</f>
        <v>MSNMBF</v>
      </c>
      <c r="I2077" s="270" t="str">
        <f>IF(D2077="","",VLOOKUP(F2077,製品マスタ!$G$5:$L$5002,6,FALSE))</f>
        <v>ＭＥＴＡＬＵＭＹ　ＳＩＬＶＥＲ　Ｎ－ＭＡＴＴＥ　Ｘ４４Ｍ　Ｂ</v>
      </c>
      <c r="J2077" s="210" t="s">
        <v>935</v>
      </c>
      <c r="K2077" s="270">
        <f>IF(D2077="","",VLOOKUP(D2077,契約台帳!$A$3:$L$4986,12,FALSE))</f>
        <v>50</v>
      </c>
      <c r="L2077" s="270" t="str">
        <f>IF(D2077="","",INDEX(製品マスタ!$Q$5:$Q$5002,MATCH('S4'!F2077&amp;'S4'!K2077,製品マスタ!$AO$5:$AO$5002,0)))</f>
        <v>X44</v>
      </c>
      <c r="M2077" s="39">
        <v>1120</v>
      </c>
      <c r="N2077" s="39">
        <v>4000</v>
      </c>
      <c r="O2077" s="156">
        <v>2</v>
      </c>
      <c r="P2077" s="47">
        <v>3</v>
      </c>
      <c r="Q2077" s="213">
        <v>45457</v>
      </c>
      <c r="R2077" s="271">
        <f ca="1">IF(D2077="","",IF(OFFSET(D2077,-1,0)&lt;&gt;"","",IF(OR(J2077="リード付け",J2077="巻足し",J2077="巻返しリード付け"),M2077,VLOOKUP(D2077,契約台帳!$A$3:$N$4986,14,FALSE))))</f>
        <v>1120</v>
      </c>
      <c r="S2077" s="272">
        <f ca="1">IF(D2077="","",IF(OFFSET(D2077,-1,0)&lt;&gt;"","",IF(OR(J2077="リード付け",J2077="巻足し",J2077="巻返しリード付け"),M2077,VLOOKUP(D2077,契約台帳!$A$3:$O$4986,15,FALSE))))</f>
        <v>1120</v>
      </c>
      <c r="T2077" s="273">
        <f ca="1">IF(D2077="","",IF(J2077="リード付け",N2077,IF(J2077="巻返しリード付け",N2077,IF(J2077="巻足し",N2077*P2077+OFFSET(N2077,1,0)*OFFSET(P2077,1,0),VLOOKUP(D2077,契約台帳!$A$3:$P$4986,16,FALSE)))))</f>
        <v>12000</v>
      </c>
      <c r="U2077" s="40">
        <v>1</v>
      </c>
      <c r="V2077" s="274" t="str">
        <f ca="1">IF(D2077="","",IF(OFFSET(D2077,-2,0)=D2077,"",VLOOKUP(D2077,契約台帳!$A$3:$R$4986,18,FALSE)))</f>
        <v/>
      </c>
      <c r="W2077" s="269" t="str">
        <f ca="1">IF(D2077="","",IF(T2077="","",IF(OR(J2077="巻足し",J2077="巻返しリード付け"),"",IF(J2077="巻返し",VLOOKUP(F2077&amp;K2077&amp;M2077,製品マスタ!$M$5:$AD$5002,18,FALSE),IF(OR(J2077="リード付け",J2077="巻返しリード付け"),"原反コア",IF(J2077="スリット",VLOOKUP(F2077&amp;K2077&amp;R2077,製品マスタ!$N$5:$AD$5002,17,FALSE),""))))))</f>
        <v/>
      </c>
      <c r="X2077" s="269" t="str">
        <f ca="1">IF(D2077="","",IF(T2077="","",IF(J2077="巻足し","",IF(J2077="巻返し",VLOOKUP(F2077&amp;K2077&amp;M2077,製品マスタ!$M$5:$AE$5002,19,FALSE),IF(OR(J2077="リード付け",J2077="巻返しリード付け"),"",IF(J2077="スリット",VLOOKUP(F2077&amp;K2077&amp;R2077,製品マスタ!$N$5:$AE$5002,18,FALSE),""))))))</f>
        <v/>
      </c>
      <c r="Y2077" s="275">
        <f ca="1">IF(D2077="","",IF(T2077="","",VLOOKUP(D2077,契約台帳!$A$3:$Q$4986,17,FALSE)))</f>
        <v>2</v>
      </c>
      <c r="Z2077" s="269" t="str">
        <f ca="1">IF(D2077="","",IF(T2077="","",VLOOKUP(D2077,契約台帳!$A$3:$E$4986,5,FALSE)))</f>
        <v>リンテック㈱</v>
      </c>
      <c r="AA2077" s="57"/>
      <c r="AB2077" s="207"/>
      <c r="AC2077" s="33"/>
      <c r="AD2077" s="189"/>
      <c r="AE2077" s="54"/>
      <c r="AF2077" s="55">
        <f>+M2077*N2077*O2077/1000</f>
        <v>8960</v>
      </c>
      <c r="AG2077" s="43"/>
      <c r="AH2077" s="47"/>
      <c r="AI2077" s="30"/>
      <c r="AJ2077" s="30"/>
      <c r="AK2077" s="30"/>
      <c r="AL2077" s="30"/>
      <c r="AM2077" s="13"/>
      <c r="AN2077" s="13"/>
      <c r="AO2077" s="13"/>
      <c r="AP2077" s="13"/>
      <c r="AQ2077" s="13"/>
      <c r="AR2077" s="14"/>
      <c r="AS2077" s="15"/>
    </row>
    <row r="2078" spans="1:45" s="17" customFormat="1" ht="30.6" hidden="1" customHeight="1" x14ac:dyDescent="0.2">
      <c r="A2078" s="37"/>
      <c r="B2078" s="38"/>
      <c r="C2078" s="45"/>
      <c r="D2078" s="31">
        <v>3758084</v>
      </c>
      <c r="E2078" s="31"/>
      <c r="F2078" s="268" t="str">
        <f>IF(D2078="","",VLOOKUP(D2078,契約台帳!$A$3:$K$4986,6,FALSE)&amp;VLOOKUP(D2078,契約台帳!$A$3:$K$4986,7,FALSE)&amp;VLOOKUP(D2078,契約台帳!$A$3:$K$4986,8,FALSE)&amp;VLOOKUP(D2078,契約台帳!$A$3:$K$4986,9,FALSE)&amp;VLOOKUP(D2078,契約台帳!$A$3:$K$4986,11,FALSE))</f>
        <v>3SYMLBMSNMBF</v>
      </c>
      <c r="G2078" s="269" t="str">
        <f>IF(D2078="","",VLOOKUP(F2078,製品マスタ!$G$5:$H$5002,2,FALSE))</f>
        <v>S</v>
      </c>
      <c r="H2078" s="269" t="str">
        <f>IF(D2078="","",VLOOKUP(F2078,製品マスタ!$G$5:$K$5002,5,FALSE))</f>
        <v>MSNMBF</v>
      </c>
      <c r="I2078" s="270" t="str">
        <f>IF(D2078="","",VLOOKUP(F2078,製品マスタ!$G$5:$L$5002,6,FALSE))</f>
        <v>ＭＥＴＡＬＵＭＹ　ＳＩＬＶＥＲ　Ｎ－ＭＡＴＴＥ　Ｘ４４Ｍ　Ｂ</v>
      </c>
      <c r="J2078" s="210" t="s">
        <v>935</v>
      </c>
      <c r="K2078" s="270">
        <f>IF(D2078="","",VLOOKUP(D2078,契約台帳!$A$3:$L$4986,12,FALSE))</f>
        <v>50</v>
      </c>
      <c r="L2078" s="270" t="str">
        <f>IF(D2078="","",INDEX(製品マスタ!$Q$5:$Q$5002,MATCH('S4'!F2078&amp;'S4'!K2078,製品マスタ!$AO$5:$AO$5002,0)))</f>
        <v>X44</v>
      </c>
      <c r="M2078" s="39">
        <v>1120</v>
      </c>
      <c r="N2078" s="39">
        <v>4000</v>
      </c>
      <c r="O2078" s="156">
        <v>1</v>
      </c>
      <c r="P2078" s="47"/>
      <c r="Q2078" s="213">
        <v>45457</v>
      </c>
      <c r="R2078" s="271" t="str">
        <f ca="1">IF(D2078="","",IF(OFFSET(D2078,-1,0)&lt;&gt;"","",IF(OR(J2078="リード付け",J2078="巻足し",J2078="巻返しリード付け"),M2078,VLOOKUP(D2078,契約台帳!$A$3:$N$4986,14,FALSE))))</f>
        <v/>
      </c>
      <c r="S2078" s="272" t="str">
        <f ca="1">IF(D2078="","",IF(OFFSET(D2078,-1,0)&lt;&gt;"","",IF(OR(J2078="リード付け",J2078="巻足し",J2078="巻返しリード付け"),M2078,VLOOKUP(D2078,契約台帳!$A$3:$O$4986,15,FALSE))))</f>
        <v/>
      </c>
      <c r="T2078" s="273">
        <f ca="1">IF(D2078="","",IF(J2078="リード付け",N2078,IF(J2078="巻返しリード付け",N2078,IF(J2078="巻足し",N2078*P2078+OFFSET(N2078,1,0)*OFFSET(P2078,1,0),VLOOKUP(D2078,契約台帳!$A$3:$P$4986,16,FALSE)))))</f>
        <v>0</v>
      </c>
      <c r="U2078" s="40"/>
      <c r="V2078" s="274">
        <f ca="1">IF(D2078="","",IF(OFFSET(D2078,-2,0)=D2078,"",VLOOKUP(D2078,契約台帳!$A$3:$R$4986,18,FALSE)))</f>
        <v>20</v>
      </c>
      <c r="W2078" s="269" t="str">
        <f ca="1">IF(D2078="","",IF(T2078="","",IF(OR(J2078="巻足し",J2078="巻返しリード付け"),"",IF(J2078="巻返し",VLOOKUP(F2078&amp;K2078&amp;M2078,製品マスタ!$M$5:$AD$5002,18,FALSE),IF(OR(J2078="リード付け",J2078="巻返しリード付け"),"原反コア",IF(J2078="スリット",VLOOKUP(F2078&amp;K2078&amp;R2078,製品マスタ!$N$5:$AD$5002,17,FALSE),""))))))</f>
        <v/>
      </c>
      <c r="X2078" s="269" t="str">
        <f ca="1">IF(D2078="","",IF(T2078="","",IF(J2078="巻足し","",IF(J2078="巻返し",VLOOKUP(F2078&amp;K2078&amp;M2078,製品マスタ!$M$5:$AE$5002,19,FALSE),IF(OR(J2078="リード付け",J2078="巻返しリード付け"),"",IF(J2078="スリット",VLOOKUP(F2078&amp;K2078&amp;R2078,製品マスタ!$N$5:$AE$5002,18,FALSE),""))))))</f>
        <v/>
      </c>
      <c r="Y2078" s="275">
        <f ca="1">IF(D2078="","",IF(T2078="","",VLOOKUP(D2078,契約台帳!$A$3:$Q$4986,17,FALSE)))</f>
        <v>2</v>
      </c>
      <c r="Z2078" s="269" t="str">
        <f ca="1">IF(D2078="","",IF(T2078="","",VLOOKUP(D2078,契約台帳!$A$3:$E$4986,5,FALSE)))</f>
        <v>リンテック㈱</v>
      </c>
      <c r="AA2078" s="57"/>
      <c r="AB2078" s="207"/>
      <c r="AC2078" s="33"/>
      <c r="AD2078" s="189"/>
      <c r="AE2078" s="54"/>
      <c r="AF2078" s="55">
        <f>+M2078*N2078*O2078/1000</f>
        <v>4480</v>
      </c>
      <c r="AG2078" s="43"/>
      <c r="AH2078" s="47"/>
      <c r="AI2078" s="30"/>
      <c r="AJ2078" s="30"/>
      <c r="AK2078" s="30"/>
      <c r="AL2078" s="30"/>
      <c r="AM2078" s="13"/>
      <c r="AN2078" s="13"/>
      <c r="AO2078" s="13"/>
      <c r="AP2078" s="13"/>
      <c r="AQ2078" s="13"/>
      <c r="AR2078" s="14"/>
      <c r="AS2078" s="15"/>
    </row>
    <row r="2079" spans="1:45" s="17" customFormat="1" ht="30.95" hidden="1" customHeight="1" x14ac:dyDescent="0.2">
      <c r="A2079" s="343"/>
      <c r="B2079" s="344"/>
      <c r="C2079" s="345"/>
      <c r="D2079" s="346"/>
      <c r="E2079" s="346"/>
      <c r="F2079" s="268"/>
      <c r="G2079" s="269"/>
      <c r="H2079" s="269"/>
      <c r="I2079" s="270"/>
      <c r="J2079" s="434"/>
      <c r="K2079" s="270"/>
      <c r="L2079" s="270"/>
      <c r="M2079" s="348"/>
      <c r="N2079" s="348"/>
      <c r="O2079" s="435"/>
      <c r="P2079" s="349"/>
      <c r="Q2079" s="350"/>
      <c r="R2079" s="271"/>
      <c r="S2079" s="272"/>
      <c r="T2079" s="273"/>
      <c r="U2079" s="351"/>
      <c r="V2079" s="274"/>
      <c r="W2079" s="269"/>
      <c r="X2079" s="269"/>
      <c r="Y2079" s="275"/>
      <c r="Z2079" s="269"/>
      <c r="AA2079" s="350"/>
      <c r="AB2079" s="207"/>
      <c r="AC2079" s="352"/>
      <c r="AD2079" s="353"/>
      <c r="AE2079" s="54"/>
      <c r="AF2079" s="354"/>
      <c r="AG2079" s="355"/>
      <c r="AH2079" s="349"/>
      <c r="AI2079" s="30"/>
      <c r="AJ2079" s="30"/>
      <c r="AK2079" s="30"/>
      <c r="AL2079" s="30"/>
      <c r="AM2079" s="13"/>
      <c r="AN2079" s="13"/>
      <c r="AO2079" s="13"/>
      <c r="AP2079" s="13"/>
      <c r="AQ2079" s="13"/>
      <c r="AR2079" s="14"/>
      <c r="AS2079" s="15"/>
    </row>
    <row r="2080" spans="1:45" s="17" customFormat="1" ht="30.6" hidden="1" customHeight="1" x14ac:dyDescent="0.2">
      <c r="A2080" s="37"/>
      <c r="B2080" s="38"/>
      <c r="C2080" s="45"/>
      <c r="D2080" s="31">
        <v>3758084</v>
      </c>
      <c r="E2080" s="31">
        <v>4162344</v>
      </c>
      <c r="F2080" s="268" t="str">
        <f>IF(D2080="","",VLOOKUP(D2080,契約台帳!$A$3:$K$4986,6,FALSE)&amp;VLOOKUP(D2080,契約台帳!$A$3:$K$4986,7,FALSE)&amp;VLOOKUP(D2080,契約台帳!$A$3:$K$4986,8,FALSE)&amp;VLOOKUP(D2080,契約台帳!$A$3:$K$4986,9,FALSE)&amp;VLOOKUP(D2080,契約台帳!$A$3:$K$4986,11,FALSE))</f>
        <v>3SYMLBMSNMBF</v>
      </c>
      <c r="G2080" s="269" t="str">
        <f>IF(D2080="","",VLOOKUP(F2080,製品マスタ!$G$5:$H$5002,2,FALSE))</f>
        <v>S</v>
      </c>
      <c r="H2080" s="269" t="str">
        <f>IF(D2080="","",VLOOKUP(F2080,製品マスタ!$G$5:$K$5002,5,FALSE))</f>
        <v>MSNMBF</v>
      </c>
      <c r="I2080" s="270" t="str">
        <f>IF(D2080="","",VLOOKUP(F2080,製品マスタ!$G$5:$L$5002,6,FALSE))</f>
        <v>ＭＥＴＡＬＵＭＹ　ＳＩＬＶＥＲ　Ｎ－ＭＡＴＴＥ　Ｘ４４Ｍ　Ｂ</v>
      </c>
      <c r="J2080" s="210" t="s">
        <v>935</v>
      </c>
      <c r="K2080" s="270">
        <f>IF(D2080="","",VLOOKUP(D2080,契約台帳!$A$3:$L$4986,12,FALSE))</f>
        <v>50</v>
      </c>
      <c r="L2080" s="270" t="str">
        <f>IF(D2080="","",INDEX(製品マスタ!$Q$5:$Q$5002,MATCH('S4'!F2080&amp;'S4'!K2080,製品マスタ!$AO$5:$AO$5002,0)))</f>
        <v>X44</v>
      </c>
      <c r="M2080" s="39">
        <v>1120</v>
      </c>
      <c r="N2080" s="39">
        <v>4000</v>
      </c>
      <c r="O2080" s="156">
        <v>6</v>
      </c>
      <c r="P2080" s="47">
        <v>3</v>
      </c>
      <c r="Q2080" s="213">
        <v>45457</v>
      </c>
      <c r="R2080" s="271">
        <f ca="1">IF(D2080="","",IF(OFFSET(D2080,-1,0)&lt;&gt;"","",IF(OR(J2080="リード付け",J2080="巻足し",J2080="巻返しリード付け"),M2080,VLOOKUP(D2080,契約台帳!$A$3:$N$4986,14,FALSE))))</f>
        <v>1120</v>
      </c>
      <c r="S2080" s="272">
        <f ca="1">IF(D2080="","",IF(OFFSET(D2080,-1,0)&lt;&gt;"","",IF(OR(J2080="リード付け",J2080="巻足し",J2080="巻返しリード付け"),M2080,VLOOKUP(D2080,契約台帳!$A$3:$O$4986,15,FALSE))))</f>
        <v>1120</v>
      </c>
      <c r="T2080" s="273">
        <f ca="1">IF(D2080="","",IF(J2080="リード付け",N2080,IF(J2080="巻返しリード付け",N2080,IF(J2080="巻足し",N2080*P2080+OFFSET(N2080,1,0)*OFFSET(P2080,1,0),VLOOKUP(D2080,契約台帳!$A$3:$P$4986,16,FALSE)))))</f>
        <v>12000</v>
      </c>
      <c r="U2080" s="40">
        <v>2</v>
      </c>
      <c r="V2080" s="274" t="str">
        <f ca="1">IF(D2080="","",IF(OFFSET(D2080,-2,0)=D2080,"",VLOOKUP(D2080,契約台帳!$A$3:$R$4986,18,FALSE)))</f>
        <v/>
      </c>
      <c r="W2080" s="269" t="str">
        <f ca="1">IF(D2080="","",IF(T2080="","",IF(OR(J2080="巻足し",J2080="巻返しリード付け"),"",IF(J2080="巻返し",VLOOKUP(F2080&amp;K2080&amp;M2080,製品マスタ!$M$5:$AD$5002,18,FALSE),IF(OR(J2080="リード付け",J2080="巻返しリード付け"),"原反コア",IF(J2080="スリット",VLOOKUP(F2080&amp;K2080&amp;R2080,製品マスタ!$N$5:$AD$5002,17,FALSE),""))))))</f>
        <v/>
      </c>
      <c r="X2080" s="269" t="str">
        <f ca="1">IF(D2080="","",IF(T2080="","",IF(J2080="巻足し","",IF(J2080="巻返し",VLOOKUP(F2080&amp;K2080&amp;M2080,製品マスタ!$M$5:$AE$5002,19,FALSE),IF(OR(J2080="リード付け",J2080="巻返しリード付け"),"",IF(J2080="スリット",VLOOKUP(F2080&amp;K2080&amp;R2080,製品マスタ!$N$5:$AE$5002,18,FALSE),""))))))</f>
        <v/>
      </c>
      <c r="Y2080" s="275">
        <f ca="1">IF(D2080="","",IF(T2080="","",VLOOKUP(D2080,契約台帳!$A$3:$Q$4986,17,FALSE)))</f>
        <v>2</v>
      </c>
      <c r="Z2080" s="269" t="str">
        <f ca="1">IF(D2080="","",IF(T2080="","",VLOOKUP(D2080,契約台帳!$A$3:$E$4986,5,FALSE)))</f>
        <v>リンテック㈱</v>
      </c>
      <c r="AA2080" s="57"/>
      <c r="AB2080" s="207"/>
      <c r="AC2080" s="33"/>
      <c r="AD2080" s="189"/>
      <c r="AE2080" s="54"/>
      <c r="AF2080" s="55">
        <f>+M2080*N2080*O2080/1000</f>
        <v>26880</v>
      </c>
      <c r="AG2080" s="43"/>
      <c r="AH2080" s="47"/>
      <c r="AI2080" s="30"/>
      <c r="AJ2080" s="30"/>
      <c r="AK2080" s="30"/>
      <c r="AL2080" s="30"/>
      <c r="AM2080" s="13"/>
      <c r="AN2080" s="13"/>
      <c r="AO2080" s="13"/>
      <c r="AP2080" s="13"/>
      <c r="AQ2080" s="13"/>
      <c r="AR2080" s="14"/>
      <c r="AS2080" s="15"/>
    </row>
    <row r="2081" spans="1:45" s="17" customFormat="1" ht="30.95" hidden="1" customHeight="1" x14ac:dyDescent="0.2">
      <c r="A2081" s="343"/>
      <c r="B2081" s="344"/>
      <c r="C2081" s="345"/>
      <c r="D2081" s="346"/>
      <c r="E2081" s="346"/>
      <c r="F2081" s="268"/>
      <c r="G2081" s="269"/>
      <c r="H2081" s="269"/>
      <c r="I2081" s="270"/>
      <c r="J2081" s="434"/>
      <c r="K2081" s="270"/>
      <c r="L2081" s="270"/>
      <c r="M2081" s="348"/>
      <c r="N2081" s="348"/>
      <c r="O2081" s="435"/>
      <c r="P2081" s="349"/>
      <c r="Q2081" s="350"/>
      <c r="R2081" s="271"/>
      <c r="S2081" s="272"/>
      <c r="T2081" s="273"/>
      <c r="U2081" s="351"/>
      <c r="V2081" s="274"/>
      <c r="W2081" s="269"/>
      <c r="X2081" s="269"/>
      <c r="Y2081" s="275"/>
      <c r="Z2081" s="269"/>
      <c r="AA2081" s="350"/>
      <c r="AB2081" s="207"/>
      <c r="AC2081" s="352"/>
      <c r="AD2081" s="353"/>
      <c r="AE2081" s="54"/>
      <c r="AF2081" s="354"/>
      <c r="AG2081" s="355"/>
      <c r="AH2081" s="349"/>
      <c r="AI2081" s="30"/>
      <c r="AJ2081" s="30"/>
      <c r="AK2081" s="30"/>
      <c r="AL2081" s="30"/>
      <c r="AM2081" s="13"/>
      <c r="AN2081" s="13"/>
      <c r="AO2081" s="13"/>
      <c r="AP2081" s="13"/>
      <c r="AQ2081" s="13"/>
      <c r="AR2081" s="14"/>
      <c r="AS2081" s="15"/>
    </row>
    <row r="2082" spans="1:45" s="17" customFormat="1" ht="30.6" hidden="1" customHeight="1" x14ac:dyDescent="0.2">
      <c r="A2082" s="37"/>
      <c r="B2082" s="38"/>
      <c r="C2082" s="45"/>
      <c r="D2082" s="31">
        <v>3758084</v>
      </c>
      <c r="E2082" s="31">
        <v>4162344</v>
      </c>
      <c r="F2082" s="268" t="str">
        <f>IF(D2082="","",VLOOKUP(D2082,契約台帳!$A$3:$K$4986,6,FALSE)&amp;VLOOKUP(D2082,契約台帳!$A$3:$K$4986,7,FALSE)&amp;VLOOKUP(D2082,契約台帳!$A$3:$K$4986,8,FALSE)&amp;VLOOKUP(D2082,契約台帳!$A$3:$K$4986,9,FALSE)&amp;VLOOKUP(D2082,契約台帳!$A$3:$K$4986,11,FALSE))</f>
        <v>3SYMLBMSNMBF</v>
      </c>
      <c r="G2082" s="269" t="str">
        <f>IF(D2082="","",VLOOKUP(F2082,製品マスタ!$G$5:$H$5002,2,FALSE))</f>
        <v>S</v>
      </c>
      <c r="H2082" s="269" t="str">
        <f>IF(D2082="","",VLOOKUP(F2082,製品マスタ!$G$5:$K$5002,5,FALSE))</f>
        <v>MSNMBF</v>
      </c>
      <c r="I2082" s="270" t="str">
        <f>IF(D2082="","",VLOOKUP(F2082,製品マスタ!$G$5:$L$5002,6,FALSE))</f>
        <v>ＭＥＴＡＬＵＭＹ　ＳＩＬＶＥＲ　Ｎ－ＭＡＴＴＥ　Ｘ４４Ｍ　Ｂ</v>
      </c>
      <c r="J2082" s="210" t="s">
        <v>935</v>
      </c>
      <c r="K2082" s="270">
        <f>IF(D2082="","",VLOOKUP(D2082,契約台帳!$A$3:$L$4986,12,FALSE))</f>
        <v>50</v>
      </c>
      <c r="L2082" s="270" t="str">
        <f>IF(D2082="","",INDEX(製品マスタ!$Q$5:$Q$5002,MATCH('S4'!F2082&amp;'S4'!K2082,製品マスタ!$AO$5:$AO$5002,0)))</f>
        <v>X44</v>
      </c>
      <c r="M2082" s="39">
        <v>1120</v>
      </c>
      <c r="N2082" s="39">
        <v>4000</v>
      </c>
      <c r="O2082" s="156">
        <v>2</v>
      </c>
      <c r="P2082" s="47">
        <v>3</v>
      </c>
      <c r="Q2082" s="213">
        <v>45457</v>
      </c>
      <c r="R2082" s="271">
        <f ca="1">IF(D2082="","",IF(OFFSET(D2082,-1,0)&lt;&gt;"","",IF(OR(J2082="リード付け",J2082="巻足し",J2082="巻返しリード付け"),M2082,VLOOKUP(D2082,契約台帳!$A$3:$N$4986,14,FALSE))))</f>
        <v>1120</v>
      </c>
      <c r="S2082" s="272">
        <f ca="1">IF(D2082="","",IF(OFFSET(D2082,-1,0)&lt;&gt;"","",IF(OR(J2082="リード付け",J2082="巻足し",J2082="巻返しリード付け"),M2082,VLOOKUP(D2082,契約台帳!$A$3:$O$4986,15,FALSE))))</f>
        <v>1120</v>
      </c>
      <c r="T2082" s="273">
        <f ca="1">IF(D2082="","",IF(J2082="リード付け",N2082,IF(J2082="巻返しリード付け",N2082,IF(J2082="巻足し",N2082*P2082+OFFSET(N2082,1,0)*OFFSET(P2082,1,0),VLOOKUP(D2082,契約台帳!$A$3:$P$4986,16,FALSE)))))</f>
        <v>12000</v>
      </c>
      <c r="U2082" s="40">
        <v>1</v>
      </c>
      <c r="V2082" s="274" t="str">
        <f ca="1">IF(D2082="","",IF(OFFSET(D2082,-2,0)=D2082,"",VLOOKUP(D2082,契約台帳!$A$3:$R$4986,18,FALSE)))</f>
        <v/>
      </c>
      <c r="W2082" s="269" t="str">
        <f ca="1">IF(D2082="","",IF(T2082="","",IF(OR(J2082="巻足し",J2082="巻返しリード付け"),"",IF(J2082="巻返し",VLOOKUP(F2082&amp;K2082&amp;M2082,製品マスタ!$M$5:$AD$5002,18,FALSE),IF(OR(J2082="リード付け",J2082="巻返しリード付け"),"原反コア",IF(J2082="スリット",VLOOKUP(F2082&amp;K2082&amp;R2082,製品マスタ!$N$5:$AD$5002,17,FALSE),""))))))</f>
        <v/>
      </c>
      <c r="X2082" s="269" t="str">
        <f ca="1">IF(D2082="","",IF(T2082="","",IF(J2082="巻足し","",IF(J2082="巻返し",VLOOKUP(F2082&amp;K2082&amp;M2082,製品マスタ!$M$5:$AE$5002,19,FALSE),IF(OR(J2082="リード付け",J2082="巻返しリード付け"),"",IF(J2082="スリット",VLOOKUP(F2082&amp;K2082&amp;R2082,製品マスタ!$N$5:$AE$5002,18,FALSE),""))))))</f>
        <v/>
      </c>
      <c r="Y2082" s="275">
        <f ca="1">IF(D2082="","",IF(T2082="","",VLOOKUP(D2082,契約台帳!$A$3:$Q$4986,17,FALSE)))</f>
        <v>2</v>
      </c>
      <c r="Z2082" s="269" t="str">
        <f ca="1">IF(D2082="","",IF(T2082="","",VLOOKUP(D2082,契約台帳!$A$3:$E$4986,5,FALSE)))</f>
        <v>リンテック㈱</v>
      </c>
      <c r="AA2082" s="57"/>
      <c r="AB2082" s="207"/>
      <c r="AC2082" s="33"/>
      <c r="AD2082" s="189"/>
      <c r="AE2082" s="54"/>
      <c r="AF2082" s="55">
        <f>+M2082*N2082*O2082/1000</f>
        <v>8960</v>
      </c>
      <c r="AG2082" s="43"/>
      <c r="AH2082" s="47"/>
      <c r="AI2082" s="30"/>
      <c r="AJ2082" s="30"/>
      <c r="AK2082" s="30"/>
      <c r="AL2082" s="30"/>
      <c r="AM2082" s="13"/>
      <c r="AN2082" s="13"/>
      <c r="AO2082" s="13"/>
      <c r="AP2082" s="13"/>
      <c r="AQ2082" s="13"/>
      <c r="AR2082" s="14"/>
      <c r="AS2082" s="15"/>
    </row>
    <row r="2083" spans="1:45" s="17" customFormat="1" ht="30.6" hidden="1" customHeight="1" x14ac:dyDescent="0.2">
      <c r="A2083" s="37"/>
      <c r="B2083" s="38"/>
      <c r="C2083" s="45"/>
      <c r="D2083" s="31">
        <v>3758088</v>
      </c>
      <c r="E2083" s="31"/>
      <c r="F2083" s="268" t="str">
        <f>IF(D2083="","",VLOOKUP(D2083,契約台帳!$A$3:$K$4986,6,FALSE)&amp;VLOOKUP(D2083,契約台帳!$A$3:$K$4986,7,FALSE)&amp;VLOOKUP(D2083,契約台帳!$A$3:$K$4986,8,FALSE)&amp;VLOOKUP(D2083,契約台帳!$A$3:$K$4986,9,FALSE)&amp;VLOOKUP(D2083,契約台帳!$A$3:$K$4986,11,FALSE))</f>
        <v>3SYMLBMSNMBF</v>
      </c>
      <c r="G2083" s="269" t="str">
        <f>IF(D2083="","",VLOOKUP(F2083,製品マスタ!$G$5:$H$5002,2,FALSE))</f>
        <v>S</v>
      </c>
      <c r="H2083" s="269" t="str">
        <f>IF(D2083="","",VLOOKUP(F2083,製品マスタ!$G$5:$K$5002,5,FALSE))</f>
        <v>MSNMBF</v>
      </c>
      <c r="I2083" s="270" t="str">
        <f>IF(D2083="","",VLOOKUP(F2083,製品マスタ!$G$5:$L$5002,6,FALSE))</f>
        <v>ＭＥＴＡＬＵＭＹ　ＳＩＬＶＥＲ　Ｎ－ＭＡＴＴＥ　Ｘ４４Ｍ　Ｂ</v>
      </c>
      <c r="J2083" s="210" t="s">
        <v>935</v>
      </c>
      <c r="K2083" s="270">
        <f>IF(D2083="","",VLOOKUP(D2083,契約台帳!$A$3:$L$4986,12,FALSE))</f>
        <v>50</v>
      </c>
      <c r="L2083" s="270" t="str">
        <f>IF(D2083="","",INDEX(製品マスタ!$Q$5:$Q$5002,MATCH('S4'!F2083&amp;'S4'!K2083,製品マスタ!$AO$5:$AO$5002,0)))</f>
        <v>X44</v>
      </c>
      <c r="M2083" s="39">
        <v>1120</v>
      </c>
      <c r="N2083" s="39">
        <v>4000</v>
      </c>
      <c r="O2083" s="156">
        <v>1</v>
      </c>
      <c r="P2083" s="47"/>
      <c r="Q2083" s="213">
        <v>45457</v>
      </c>
      <c r="R2083" s="271" t="str">
        <f ca="1">IF(D2083="","",IF(OFFSET(D2083,-1,0)&lt;&gt;"","",IF(OR(J2083="リード付け",J2083="巻足し",J2083="巻返しリード付け"),M2083,VLOOKUP(D2083,契約台帳!$A$3:$N$4986,14,FALSE))))</f>
        <v/>
      </c>
      <c r="S2083" s="272" t="str">
        <f ca="1">IF(D2083="","",IF(OFFSET(D2083,-1,0)&lt;&gt;"","",IF(OR(J2083="リード付け",J2083="巻足し",J2083="巻返しリード付け"),M2083,VLOOKUP(D2083,契約台帳!$A$3:$O$4986,15,FALSE))))</f>
        <v/>
      </c>
      <c r="T2083" s="273">
        <f ca="1">IF(D2083="","",IF(J2083="リード付け",N2083,IF(J2083="巻返しリード付け",N2083,IF(J2083="巻足し",N2083*P2083+OFFSET(N2083,1,0)*OFFSET(P2083,1,0),VLOOKUP(D2083,契約台帳!$A$3:$P$4986,16,FALSE)))))</f>
        <v>0</v>
      </c>
      <c r="U2083" s="40"/>
      <c r="V2083" s="274">
        <f ca="1">IF(D2083="","",IF(OFFSET(D2083,-2,0)=D2083,"",VLOOKUP(D2083,契約台帳!$A$3:$R$4986,18,FALSE)))</f>
        <v>8</v>
      </c>
      <c r="W2083" s="269" t="str">
        <f ca="1">IF(D2083="","",IF(T2083="","",IF(OR(J2083="巻足し",J2083="巻返しリード付け"),"",IF(J2083="巻返し",VLOOKUP(F2083&amp;K2083&amp;M2083,製品マスタ!$M$5:$AD$5002,18,FALSE),IF(OR(J2083="リード付け",J2083="巻返しリード付け"),"原反コア",IF(J2083="スリット",VLOOKUP(F2083&amp;K2083&amp;R2083,製品マスタ!$N$5:$AD$5002,17,FALSE),""))))))</f>
        <v/>
      </c>
      <c r="X2083" s="269" t="str">
        <f ca="1">IF(D2083="","",IF(T2083="","",IF(J2083="巻足し","",IF(J2083="巻返し",VLOOKUP(F2083&amp;K2083&amp;M2083,製品マスタ!$M$5:$AE$5002,19,FALSE),IF(OR(J2083="リード付け",J2083="巻返しリード付け"),"",IF(J2083="スリット",VLOOKUP(F2083&amp;K2083&amp;R2083,製品マスタ!$N$5:$AE$5002,18,FALSE),""))))))</f>
        <v/>
      </c>
      <c r="Y2083" s="275">
        <f ca="1">IF(D2083="","",IF(T2083="","",VLOOKUP(D2083,契約台帳!$A$3:$Q$4986,17,FALSE)))</f>
        <v>2</v>
      </c>
      <c r="Z2083" s="269" t="str">
        <f ca="1">IF(D2083="","",IF(T2083="","",VLOOKUP(D2083,契約台帳!$A$3:$E$4986,5,FALSE)))</f>
        <v>リンテック㈱</v>
      </c>
      <c r="AA2083" s="57"/>
      <c r="AB2083" s="207"/>
      <c r="AC2083" s="33"/>
      <c r="AD2083" s="189"/>
      <c r="AE2083" s="54"/>
      <c r="AF2083" s="55">
        <f>+M2083*N2083*O2083/1000</f>
        <v>4480</v>
      </c>
      <c r="AG2083" s="43"/>
      <c r="AH2083" s="47"/>
      <c r="AI2083" s="30"/>
      <c r="AJ2083" s="30"/>
      <c r="AK2083" s="30"/>
      <c r="AL2083" s="30"/>
      <c r="AM2083" s="13"/>
      <c r="AN2083" s="13"/>
      <c r="AO2083" s="13"/>
      <c r="AP2083" s="13"/>
      <c r="AQ2083" s="13"/>
      <c r="AR2083" s="14"/>
      <c r="AS2083" s="15"/>
    </row>
    <row r="2084" spans="1:45" s="17" customFormat="1" ht="30.95" hidden="1" customHeight="1" x14ac:dyDescent="0.2">
      <c r="A2084" s="343"/>
      <c r="B2084" s="344"/>
      <c r="C2084" s="345"/>
      <c r="D2084" s="346"/>
      <c r="E2084" s="346"/>
      <c r="F2084" s="268"/>
      <c r="G2084" s="269"/>
      <c r="H2084" s="269"/>
      <c r="I2084" s="270"/>
      <c r="J2084" s="434"/>
      <c r="K2084" s="270"/>
      <c r="L2084" s="270"/>
      <c r="M2084" s="348"/>
      <c r="N2084" s="348"/>
      <c r="O2084" s="435"/>
      <c r="P2084" s="349"/>
      <c r="Q2084" s="350"/>
      <c r="R2084" s="271"/>
      <c r="S2084" s="272"/>
      <c r="T2084" s="273"/>
      <c r="U2084" s="351"/>
      <c r="V2084" s="274"/>
      <c r="W2084" s="269"/>
      <c r="X2084" s="269"/>
      <c r="Y2084" s="275"/>
      <c r="Z2084" s="269"/>
      <c r="AA2084" s="350"/>
      <c r="AB2084" s="207"/>
      <c r="AC2084" s="352"/>
      <c r="AD2084" s="353"/>
      <c r="AE2084" s="54"/>
      <c r="AF2084" s="354"/>
      <c r="AG2084" s="355"/>
      <c r="AH2084" s="349"/>
      <c r="AI2084" s="30"/>
      <c r="AJ2084" s="30"/>
      <c r="AK2084" s="30"/>
      <c r="AL2084" s="30"/>
      <c r="AM2084" s="13"/>
      <c r="AN2084" s="13"/>
      <c r="AO2084" s="13"/>
      <c r="AP2084" s="13"/>
      <c r="AQ2084" s="13"/>
      <c r="AR2084" s="14"/>
      <c r="AS2084" s="15"/>
    </row>
    <row r="2085" spans="1:45" s="17" customFormat="1" ht="30.6" hidden="1" customHeight="1" x14ac:dyDescent="0.2">
      <c r="A2085" s="37" t="s">
        <v>1210</v>
      </c>
      <c r="B2085" s="38" t="s">
        <v>688</v>
      </c>
      <c r="C2085" s="45"/>
      <c r="D2085" s="31">
        <v>3758088</v>
      </c>
      <c r="E2085" s="31">
        <v>4162345</v>
      </c>
      <c r="F2085" s="268" t="str">
        <f>IF(D2085="","",VLOOKUP(D2085,契約台帳!$A$3:$K$4986,6,FALSE)&amp;VLOOKUP(D2085,契約台帳!$A$3:$K$4986,7,FALSE)&amp;VLOOKUP(D2085,契約台帳!$A$3:$K$4986,8,FALSE)&amp;VLOOKUP(D2085,契約台帳!$A$3:$K$4986,9,FALSE)&amp;VLOOKUP(D2085,契約台帳!$A$3:$K$4986,11,FALSE))</f>
        <v>3SYMLBMSNMBF</v>
      </c>
      <c r="G2085" s="269" t="str">
        <f>IF(D2085="","",VLOOKUP(F2085,製品マスタ!$G$5:$H$5002,2,FALSE))</f>
        <v>S</v>
      </c>
      <c r="H2085" s="269" t="str">
        <f>IF(D2085="","",VLOOKUP(F2085,製品マスタ!$G$5:$K$5002,5,FALSE))</f>
        <v>MSNMBF</v>
      </c>
      <c r="I2085" s="270" t="str">
        <f>IF(D2085="","",VLOOKUP(F2085,製品マスタ!$G$5:$L$5002,6,FALSE))</f>
        <v>ＭＥＴＡＬＵＭＹ　ＳＩＬＶＥＲ　Ｎ－ＭＡＴＴＥ　Ｘ４４Ｍ　Ｂ</v>
      </c>
      <c r="J2085" s="210" t="s">
        <v>935</v>
      </c>
      <c r="K2085" s="270">
        <f>IF(D2085="","",VLOOKUP(D2085,契約台帳!$A$3:$L$4986,12,FALSE))</f>
        <v>50</v>
      </c>
      <c r="L2085" s="270" t="str">
        <f>IF(D2085="","",INDEX(製品マスタ!$Q$5:$Q$5002,MATCH('S4'!F2085&amp;'S4'!K2085,製品マスタ!$AO$5:$AO$5002,0)))</f>
        <v>X44</v>
      </c>
      <c r="M2085" s="39">
        <v>1120</v>
      </c>
      <c r="N2085" s="39">
        <v>4000</v>
      </c>
      <c r="O2085" s="156">
        <v>3</v>
      </c>
      <c r="P2085" s="47">
        <v>3</v>
      </c>
      <c r="Q2085" s="213">
        <v>45460</v>
      </c>
      <c r="R2085" s="271">
        <f ca="1">IF(D2085="","",IF(OFFSET(D2085,-1,0)&lt;&gt;"","",IF(OR(J2085="リード付け",J2085="巻足し",J2085="巻返しリード付け"),M2085,VLOOKUP(D2085,契約台帳!$A$3:$N$4986,14,FALSE))))</f>
        <v>1120</v>
      </c>
      <c r="S2085" s="272">
        <f ca="1">IF(D2085="","",IF(OFFSET(D2085,-1,0)&lt;&gt;"","",IF(OR(J2085="リード付け",J2085="巻足し",J2085="巻返しリード付け"),M2085,VLOOKUP(D2085,契約台帳!$A$3:$O$4986,15,FALSE))))</f>
        <v>1120</v>
      </c>
      <c r="T2085" s="273">
        <f ca="1">IF(D2085="","",IF(J2085="リード付け",N2085,IF(J2085="巻返しリード付け",N2085,IF(J2085="巻足し",N2085*P2085+OFFSET(N2085,1,0)*OFFSET(P2085,1,0),VLOOKUP(D2085,契約台帳!$A$3:$P$4986,16,FALSE)))))</f>
        <v>12000</v>
      </c>
      <c r="U2085" s="40">
        <v>1</v>
      </c>
      <c r="V2085" s="274" t="str">
        <f ca="1">IF(D2085="","",IF(OFFSET(D2085,-2,0)=D2085,"",VLOOKUP(D2085,契約台帳!$A$3:$R$4986,18,FALSE)))</f>
        <v/>
      </c>
      <c r="W2085" s="269" t="str">
        <f ca="1">IF(D2085="","",IF(T2085="","",IF(OR(J2085="巻足し",J2085="巻返しリード付け"),"",IF(J2085="巻返し",VLOOKUP(F2085&amp;K2085&amp;M2085,製品マスタ!$M$5:$AD$5002,18,FALSE),IF(OR(J2085="リード付け",J2085="巻返しリード付け"),"原反コア",IF(J2085="スリット",VLOOKUP(F2085&amp;K2085&amp;R2085,製品マスタ!$N$5:$AD$5002,17,FALSE),""))))))</f>
        <v/>
      </c>
      <c r="X2085" s="269" t="str">
        <f ca="1">IF(D2085="","",IF(T2085="","",IF(J2085="巻足し","",IF(J2085="巻返し",VLOOKUP(F2085&amp;K2085&amp;M2085,製品マスタ!$M$5:$AE$5002,19,FALSE),IF(OR(J2085="リード付け",J2085="巻返しリード付け"),"",IF(J2085="スリット",VLOOKUP(F2085&amp;K2085&amp;R2085,製品マスタ!$N$5:$AE$5002,18,FALSE),""))))))</f>
        <v/>
      </c>
      <c r="Y2085" s="275">
        <f ca="1">IF(D2085="","",IF(T2085="","",VLOOKUP(D2085,契約台帳!$A$3:$Q$4986,17,FALSE)))</f>
        <v>2</v>
      </c>
      <c r="Z2085" s="269" t="str">
        <f ca="1">IF(D2085="","",IF(T2085="","",VLOOKUP(D2085,契約台帳!$A$3:$E$4986,5,FALSE)))</f>
        <v>リンテック㈱</v>
      </c>
      <c r="AA2085" s="57"/>
      <c r="AB2085" s="207"/>
      <c r="AC2085" s="33"/>
      <c r="AD2085" s="189"/>
      <c r="AE2085" s="54"/>
      <c r="AF2085" s="55">
        <f>+M2085*N2085*O2085/1000</f>
        <v>13440</v>
      </c>
      <c r="AG2085" s="43"/>
      <c r="AH2085" s="47"/>
      <c r="AI2085" s="30"/>
      <c r="AJ2085" s="30"/>
      <c r="AK2085" s="30"/>
      <c r="AL2085" s="30"/>
      <c r="AM2085" s="13"/>
      <c r="AN2085" s="13"/>
      <c r="AO2085" s="13"/>
      <c r="AP2085" s="13"/>
      <c r="AQ2085" s="13"/>
      <c r="AR2085" s="14"/>
      <c r="AS2085" s="15"/>
    </row>
    <row r="2086" spans="1:45" s="17" customFormat="1" ht="30.95" hidden="1" customHeight="1" x14ac:dyDescent="0.2">
      <c r="A2086" s="343"/>
      <c r="B2086" s="344"/>
      <c r="C2086" s="345"/>
      <c r="D2086" s="346"/>
      <c r="E2086" s="346"/>
      <c r="F2086" s="268"/>
      <c r="G2086" s="269"/>
      <c r="H2086" s="269"/>
      <c r="I2086" s="270"/>
      <c r="J2086" s="434"/>
      <c r="K2086" s="270"/>
      <c r="L2086" s="270"/>
      <c r="M2086" s="348"/>
      <c r="N2086" s="348"/>
      <c r="O2086" s="435"/>
      <c r="P2086" s="349"/>
      <c r="Q2086" s="350"/>
      <c r="R2086" s="271"/>
      <c r="S2086" s="272"/>
      <c r="T2086" s="273"/>
      <c r="U2086" s="351"/>
      <c r="V2086" s="274"/>
      <c r="W2086" s="269"/>
      <c r="X2086" s="269"/>
      <c r="Y2086" s="275"/>
      <c r="Z2086" s="269"/>
      <c r="AA2086" s="350"/>
      <c r="AB2086" s="207"/>
      <c r="AC2086" s="352"/>
      <c r="AD2086" s="353"/>
      <c r="AE2086" s="54"/>
      <c r="AF2086" s="354"/>
      <c r="AG2086" s="355"/>
      <c r="AH2086" s="349"/>
      <c r="AI2086" s="30"/>
      <c r="AJ2086" s="30"/>
      <c r="AK2086" s="30"/>
      <c r="AL2086" s="30"/>
      <c r="AM2086" s="13"/>
      <c r="AN2086" s="13"/>
      <c r="AO2086" s="13"/>
      <c r="AP2086" s="13"/>
      <c r="AQ2086" s="13"/>
      <c r="AR2086" s="14"/>
      <c r="AS2086" s="15"/>
    </row>
    <row r="2087" spans="1:45" s="17" customFormat="1" ht="30.6" hidden="1" customHeight="1" x14ac:dyDescent="0.2">
      <c r="A2087" s="37"/>
      <c r="B2087" s="38"/>
      <c r="C2087" s="45"/>
      <c r="D2087" s="31">
        <v>3758086</v>
      </c>
      <c r="E2087" s="31">
        <v>4162363</v>
      </c>
      <c r="F2087" s="268" t="str">
        <f>IF(D2087="","",VLOOKUP(D2087,契約台帳!$A$3:$K$4986,6,FALSE)&amp;VLOOKUP(D2087,契約台帳!$A$3:$K$4986,7,FALSE)&amp;VLOOKUP(D2087,契約台帳!$A$3:$K$4986,8,FALSE)&amp;VLOOKUP(D2087,契約台帳!$A$3:$K$4986,9,FALSE)&amp;VLOOKUP(D2087,契約台帳!$A$3:$K$4986,11,FALSE))</f>
        <v>3SYMLBMSNMBZF</v>
      </c>
      <c r="G2087" s="269" t="str">
        <f>IF(D2087="","",VLOOKUP(F2087,製品マスタ!$G$5:$H$5002,2,FALSE))</f>
        <v>S</v>
      </c>
      <c r="H2087" s="269" t="str">
        <f>IF(D2087="","",VLOOKUP(F2087,製品マスタ!$G$5:$K$5002,5,FALSE))</f>
        <v>MSNMBZF</v>
      </c>
      <c r="I2087" s="270" t="str">
        <f>IF(D2087="","",VLOOKUP(F2087,製品マスタ!$G$5:$L$5002,6,FALSE))</f>
        <v>ＭＥＴＡＬＵＭＹ　ＳＩＬＶＥＲ　Ｎ－ＭＡＴＴＥ　Ｂ</v>
      </c>
      <c r="J2087" s="210" t="s">
        <v>935</v>
      </c>
      <c r="K2087" s="270">
        <f>IF(D2087="","",VLOOKUP(D2087,契約台帳!$A$3:$L$4986,12,FALSE))</f>
        <v>50</v>
      </c>
      <c r="L2087" s="270" t="str">
        <f>IF(D2087="","",INDEX(製品マスタ!$Q$5:$Q$5002,MATCH('S4'!F2087&amp;'S4'!K2087,製品マスタ!$AO$5:$AO$5002,0)))</f>
        <v>X44</v>
      </c>
      <c r="M2087" s="39">
        <v>1120</v>
      </c>
      <c r="N2087" s="39">
        <v>4000</v>
      </c>
      <c r="O2087" s="156">
        <v>2</v>
      </c>
      <c r="P2087" s="47">
        <v>3</v>
      </c>
      <c r="Q2087" s="213">
        <v>45460</v>
      </c>
      <c r="R2087" s="271">
        <f ca="1">IF(D2087="","",IF(OFFSET(D2087,-1,0)&lt;&gt;"","",IF(OR(J2087="リード付け",J2087="巻足し",J2087="巻返しリード付け"),M2087,VLOOKUP(D2087,契約台帳!$A$3:$N$4986,14,FALSE))))</f>
        <v>1120</v>
      </c>
      <c r="S2087" s="272">
        <f ca="1">IF(D2087="","",IF(OFFSET(D2087,-1,0)&lt;&gt;"","",IF(OR(J2087="リード付け",J2087="巻足し",J2087="巻返しリード付け"),M2087,VLOOKUP(D2087,契約台帳!$A$3:$O$4986,15,FALSE))))</f>
        <v>1120</v>
      </c>
      <c r="T2087" s="273">
        <f ca="1">IF(D2087="","",IF(J2087="リード付け",N2087,IF(J2087="巻返しリード付け",N2087,IF(J2087="巻足し",N2087*P2087+OFFSET(N2087,1,0)*OFFSET(P2087,1,0),VLOOKUP(D2087,契約台帳!$A$3:$P$4986,16,FALSE)))))</f>
        <v>12000</v>
      </c>
      <c r="U2087" s="40">
        <v>1</v>
      </c>
      <c r="V2087" s="274">
        <f ca="1">IF(D2087="","",IF(OFFSET(D2087,-2,0)=D2087,"",VLOOKUP(D2087,契約台帳!$A$3:$R$4986,18,FALSE)))</f>
        <v>2</v>
      </c>
      <c r="W2087" s="269" t="str">
        <f ca="1">IF(D2087="","",IF(T2087="","",IF(OR(J2087="巻足し",J2087="巻返しリード付け"),"",IF(J2087="巻返し",VLOOKUP(F2087&amp;K2087&amp;M2087,製品マスタ!$M$5:$AD$5002,18,FALSE),IF(OR(J2087="リード付け",J2087="巻返しリード付け"),"原反コア",IF(J2087="スリット",VLOOKUP(F2087&amp;K2087&amp;R2087,製品マスタ!$N$5:$AD$5002,17,FALSE),""))))))</f>
        <v/>
      </c>
      <c r="X2087" s="269" t="str">
        <f ca="1">IF(D2087="","",IF(T2087="","",IF(J2087="巻足し","",IF(J2087="巻返し",VLOOKUP(F2087&amp;K2087&amp;M2087,製品マスタ!$M$5:$AE$5002,19,FALSE),IF(OR(J2087="リード付け",J2087="巻返しリード付け"),"",IF(J2087="スリット",VLOOKUP(F2087&amp;K2087&amp;R2087,製品マスタ!$N$5:$AE$5002,18,FALSE),""))))))</f>
        <v/>
      </c>
      <c r="Y2087" s="275">
        <f ca="1">IF(D2087="","",IF(T2087="","",VLOOKUP(D2087,契約台帳!$A$3:$Q$4986,17,FALSE)))</f>
        <v>2</v>
      </c>
      <c r="Z2087" s="269" t="str">
        <f ca="1">IF(D2087="","",IF(T2087="","",VLOOKUP(D2087,契約台帳!$A$3:$E$4986,5,FALSE)))</f>
        <v>リンテック㈱</v>
      </c>
      <c r="AA2087" s="57"/>
      <c r="AB2087" s="207"/>
      <c r="AC2087" s="33"/>
      <c r="AD2087" s="189"/>
      <c r="AE2087" s="54"/>
      <c r="AF2087" s="55">
        <f>+M2087*N2087*O2087/1000</f>
        <v>8960</v>
      </c>
      <c r="AG2087" s="43"/>
      <c r="AH2087" s="47"/>
      <c r="AI2087" s="30"/>
      <c r="AJ2087" s="30"/>
      <c r="AK2087" s="30"/>
      <c r="AL2087" s="30"/>
      <c r="AM2087" s="13"/>
      <c r="AN2087" s="13"/>
      <c r="AO2087" s="13"/>
      <c r="AP2087" s="13"/>
      <c r="AQ2087" s="13"/>
      <c r="AR2087" s="14"/>
      <c r="AS2087" s="15"/>
    </row>
    <row r="2088" spans="1:45" s="17" customFormat="1" ht="30.6" hidden="1" customHeight="1" x14ac:dyDescent="0.2">
      <c r="A2088" s="37"/>
      <c r="B2088" s="38"/>
      <c r="C2088" s="45"/>
      <c r="D2088" s="31">
        <v>3758087</v>
      </c>
      <c r="E2088" s="31"/>
      <c r="F2088" s="268" t="str">
        <f>IF(D2088="","",VLOOKUP(D2088,契約台帳!$A$3:$K$4986,6,FALSE)&amp;VLOOKUP(D2088,契約台帳!$A$3:$K$4986,7,FALSE)&amp;VLOOKUP(D2088,契約台帳!$A$3:$K$4986,8,FALSE)&amp;VLOOKUP(D2088,契約台帳!$A$3:$K$4986,9,FALSE)&amp;VLOOKUP(D2088,契約台帳!$A$3:$K$4986,11,FALSE))</f>
        <v>3SYMLBMSNMBZF</v>
      </c>
      <c r="G2088" s="269" t="str">
        <f>IF(D2088="","",VLOOKUP(F2088,製品マスタ!$G$5:$H$5002,2,FALSE))</f>
        <v>S</v>
      </c>
      <c r="H2088" s="269" t="str">
        <f>IF(D2088="","",VLOOKUP(F2088,製品マスタ!$G$5:$K$5002,5,FALSE))</f>
        <v>MSNMBZF</v>
      </c>
      <c r="I2088" s="270" t="str">
        <f>IF(D2088="","",VLOOKUP(F2088,製品マスタ!$G$5:$L$5002,6,FALSE))</f>
        <v>ＭＥＴＡＬＵＭＹ　ＳＩＬＶＥＲ　Ｎ－ＭＡＴＴＥ　Ｂ</v>
      </c>
      <c r="J2088" s="210" t="s">
        <v>935</v>
      </c>
      <c r="K2088" s="270">
        <f>IF(D2088="","",VLOOKUP(D2088,契約台帳!$A$3:$L$4986,12,FALSE))</f>
        <v>50</v>
      </c>
      <c r="L2088" s="270" t="str">
        <f>IF(D2088="","",INDEX(製品マスタ!$Q$5:$Q$5002,MATCH('S4'!F2088&amp;'S4'!K2088,製品マスタ!$AO$5:$AO$5002,0)))</f>
        <v>X44</v>
      </c>
      <c r="M2088" s="39">
        <v>1120</v>
      </c>
      <c r="N2088" s="39">
        <v>4000</v>
      </c>
      <c r="O2088" s="156">
        <v>1</v>
      </c>
      <c r="P2088" s="47"/>
      <c r="Q2088" s="213">
        <v>45460</v>
      </c>
      <c r="R2088" s="271" t="str">
        <f ca="1">IF(D2088="","",IF(OFFSET(D2088,-1,0)&lt;&gt;"","",IF(OR(J2088="リード付け",J2088="巻足し",J2088="巻返しリード付け"),M2088,VLOOKUP(D2088,契約台帳!$A$3:$N$4986,14,FALSE))))</f>
        <v/>
      </c>
      <c r="S2088" s="272" t="str">
        <f ca="1">IF(D2088="","",IF(OFFSET(D2088,-1,0)&lt;&gt;"","",IF(OR(J2088="リード付け",J2088="巻足し",J2088="巻返しリード付け"),M2088,VLOOKUP(D2088,契約台帳!$A$3:$O$4986,15,FALSE))))</f>
        <v/>
      </c>
      <c r="T2088" s="273">
        <f ca="1">IF(D2088="","",IF(J2088="リード付け",N2088,IF(J2088="巻返しリード付け",N2088,IF(J2088="巻足し",N2088*P2088+OFFSET(N2088,1,0)*OFFSET(P2088,1,0),VLOOKUP(D2088,契約台帳!$A$3:$P$4986,16,FALSE)))))</f>
        <v>0</v>
      </c>
      <c r="U2088" s="40"/>
      <c r="V2088" s="274">
        <f ca="1">IF(D2088="","",IF(OFFSET(D2088,-2,0)=D2088,"",VLOOKUP(D2088,契約台帳!$A$3:$R$4986,18,FALSE)))</f>
        <v>10</v>
      </c>
      <c r="W2088" s="269" t="str">
        <f ca="1">IF(D2088="","",IF(T2088="","",IF(OR(J2088="巻足し",J2088="巻返しリード付け"),"",IF(J2088="巻返し",VLOOKUP(F2088&amp;K2088&amp;M2088,製品マスタ!$M$5:$AD$5002,18,FALSE),IF(OR(J2088="リード付け",J2088="巻返しリード付け"),"原反コア",IF(J2088="スリット",VLOOKUP(F2088&amp;K2088&amp;R2088,製品マスタ!$N$5:$AD$5002,17,FALSE),""))))))</f>
        <v/>
      </c>
      <c r="X2088" s="269" t="str">
        <f ca="1">IF(D2088="","",IF(T2088="","",IF(J2088="巻足し","",IF(J2088="巻返し",VLOOKUP(F2088&amp;K2088&amp;M2088,製品マスタ!$M$5:$AE$5002,19,FALSE),IF(OR(J2088="リード付け",J2088="巻返しリード付け"),"",IF(J2088="スリット",VLOOKUP(F2088&amp;K2088&amp;R2088,製品マスタ!$N$5:$AE$5002,18,FALSE),""))))))</f>
        <v/>
      </c>
      <c r="Y2088" s="275">
        <f ca="1">IF(D2088="","",IF(T2088="","",VLOOKUP(D2088,契約台帳!$A$3:$Q$4986,17,FALSE)))</f>
        <v>2</v>
      </c>
      <c r="Z2088" s="269" t="str">
        <f ca="1">IF(D2088="","",IF(T2088="","",VLOOKUP(D2088,契約台帳!$A$3:$E$4986,5,FALSE)))</f>
        <v>リンテック㈱</v>
      </c>
      <c r="AA2088" s="57"/>
      <c r="AB2088" s="207"/>
      <c r="AC2088" s="33"/>
      <c r="AD2088" s="189"/>
      <c r="AE2088" s="54"/>
      <c r="AF2088" s="55">
        <f>+M2088*N2088*O2088/1000</f>
        <v>4480</v>
      </c>
      <c r="AG2088" s="43"/>
      <c r="AH2088" s="47"/>
      <c r="AI2088" s="30"/>
      <c r="AJ2088" s="30"/>
      <c r="AK2088" s="30"/>
      <c r="AL2088" s="30"/>
      <c r="AM2088" s="13"/>
      <c r="AN2088" s="13"/>
      <c r="AO2088" s="13"/>
      <c r="AP2088" s="13"/>
      <c r="AQ2088" s="13"/>
      <c r="AR2088" s="14"/>
      <c r="AS2088" s="15"/>
    </row>
    <row r="2089" spans="1:45" s="17" customFormat="1" ht="30.95" hidden="1" customHeight="1" x14ac:dyDescent="0.2">
      <c r="A2089" s="343"/>
      <c r="B2089" s="344"/>
      <c r="C2089" s="345"/>
      <c r="D2089" s="346"/>
      <c r="E2089" s="346"/>
      <c r="F2089" s="268"/>
      <c r="G2089" s="269"/>
      <c r="H2089" s="269"/>
      <c r="I2089" s="270"/>
      <c r="J2089" s="434"/>
      <c r="K2089" s="270"/>
      <c r="L2089" s="270"/>
      <c r="M2089" s="348"/>
      <c r="N2089" s="348"/>
      <c r="O2089" s="435"/>
      <c r="P2089" s="349"/>
      <c r="Q2089" s="350"/>
      <c r="R2089" s="271"/>
      <c r="S2089" s="272"/>
      <c r="T2089" s="273"/>
      <c r="U2089" s="351"/>
      <c r="V2089" s="274"/>
      <c r="W2089" s="269"/>
      <c r="X2089" s="269"/>
      <c r="Y2089" s="275"/>
      <c r="Z2089" s="269"/>
      <c r="AA2089" s="350"/>
      <c r="AB2089" s="207"/>
      <c r="AC2089" s="352"/>
      <c r="AD2089" s="353"/>
      <c r="AE2089" s="54"/>
      <c r="AF2089" s="354"/>
      <c r="AG2089" s="355"/>
      <c r="AH2089" s="349"/>
      <c r="AI2089" s="30"/>
      <c r="AJ2089" s="30"/>
      <c r="AK2089" s="30"/>
      <c r="AL2089" s="30"/>
      <c r="AM2089" s="13"/>
      <c r="AN2089" s="13"/>
      <c r="AO2089" s="13"/>
      <c r="AP2089" s="13"/>
      <c r="AQ2089" s="13"/>
      <c r="AR2089" s="14"/>
      <c r="AS2089" s="15"/>
    </row>
    <row r="2090" spans="1:45" s="17" customFormat="1" ht="30.6" hidden="1" customHeight="1" x14ac:dyDescent="0.2">
      <c r="A2090" s="37"/>
      <c r="B2090" s="38"/>
      <c r="C2090" s="45"/>
      <c r="D2090" s="31">
        <v>3758087</v>
      </c>
      <c r="E2090" s="31">
        <v>4162364</v>
      </c>
      <c r="F2090" s="268" t="str">
        <f>IF(D2090="","",VLOOKUP(D2090,契約台帳!$A$3:$K$4986,6,FALSE)&amp;VLOOKUP(D2090,契約台帳!$A$3:$K$4986,7,FALSE)&amp;VLOOKUP(D2090,契約台帳!$A$3:$K$4986,8,FALSE)&amp;VLOOKUP(D2090,契約台帳!$A$3:$K$4986,9,FALSE)&amp;VLOOKUP(D2090,契約台帳!$A$3:$K$4986,11,FALSE))</f>
        <v>3SYMLBMSNMBZF</v>
      </c>
      <c r="G2090" s="269" t="str">
        <f>IF(D2090="","",VLOOKUP(F2090,製品マスタ!$G$5:$H$5002,2,FALSE))</f>
        <v>S</v>
      </c>
      <c r="H2090" s="269" t="str">
        <f>IF(D2090="","",VLOOKUP(F2090,製品マスタ!$G$5:$K$5002,5,FALSE))</f>
        <v>MSNMBZF</v>
      </c>
      <c r="I2090" s="270" t="str">
        <f>IF(D2090="","",VLOOKUP(F2090,製品マスタ!$G$5:$L$5002,6,FALSE))</f>
        <v>ＭＥＴＡＬＵＭＹ　ＳＩＬＶＥＲ　Ｎ－ＭＡＴＴＥ　Ｂ</v>
      </c>
      <c r="J2090" s="210" t="s">
        <v>935</v>
      </c>
      <c r="K2090" s="270">
        <f>IF(D2090="","",VLOOKUP(D2090,契約台帳!$A$3:$L$4986,12,FALSE))</f>
        <v>50</v>
      </c>
      <c r="L2090" s="270" t="str">
        <f>IF(D2090="","",INDEX(製品マスタ!$Q$5:$Q$5002,MATCH('S4'!F2090&amp;'S4'!K2090,製品マスタ!$AO$5:$AO$5002,0)))</f>
        <v>X44</v>
      </c>
      <c r="M2090" s="39">
        <v>1120</v>
      </c>
      <c r="N2090" s="39">
        <v>4000</v>
      </c>
      <c r="O2090" s="156">
        <v>6</v>
      </c>
      <c r="P2090" s="47">
        <v>3</v>
      </c>
      <c r="Q2090" s="213">
        <v>45460</v>
      </c>
      <c r="R2090" s="271">
        <f ca="1">IF(D2090="","",IF(OFFSET(D2090,-1,0)&lt;&gt;"","",IF(OR(J2090="リード付け",J2090="巻足し",J2090="巻返しリード付け"),M2090,VLOOKUP(D2090,契約台帳!$A$3:$N$4986,14,FALSE))))</f>
        <v>1120</v>
      </c>
      <c r="S2090" s="272">
        <f ca="1">IF(D2090="","",IF(OFFSET(D2090,-1,0)&lt;&gt;"","",IF(OR(J2090="リード付け",J2090="巻足し",J2090="巻返しリード付け"),M2090,VLOOKUP(D2090,契約台帳!$A$3:$O$4986,15,FALSE))))</f>
        <v>1120</v>
      </c>
      <c r="T2090" s="273">
        <f ca="1">IF(D2090="","",IF(J2090="リード付け",N2090,IF(J2090="巻返しリード付け",N2090,IF(J2090="巻足し",N2090*P2090+OFFSET(N2090,1,0)*OFFSET(P2090,1,0),VLOOKUP(D2090,契約台帳!$A$3:$P$4986,16,FALSE)))))</f>
        <v>12000</v>
      </c>
      <c r="U2090" s="40">
        <v>2</v>
      </c>
      <c r="V2090" s="274" t="str">
        <f ca="1">IF(D2090="","",IF(OFFSET(D2090,-2,0)=D2090,"",VLOOKUP(D2090,契約台帳!$A$3:$R$4986,18,FALSE)))</f>
        <v/>
      </c>
      <c r="W2090" s="269" t="str">
        <f ca="1">IF(D2090="","",IF(T2090="","",IF(OR(J2090="巻足し",J2090="巻返しリード付け"),"",IF(J2090="巻返し",VLOOKUP(F2090&amp;K2090&amp;M2090,製品マスタ!$M$5:$AD$5002,18,FALSE),IF(OR(J2090="リード付け",J2090="巻返しリード付け"),"原反コア",IF(J2090="スリット",VLOOKUP(F2090&amp;K2090&amp;R2090,製品マスタ!$N$5:$AD$5002,17,FALSE),""))))))</f>
        <v/>
      </c>
      <c r="X2090" s="269" t="str">
        <f ca="1">IF(D2090="","",IF(T2090="","",IF(J2090="巻足し","",IF(J2090="巻返し",VLOOKUP(F2090&amp;K2090&amp;M2090,製品マスタ!$M$5:$AE$5002,19,FALSE),IF(OR(J2090="リード付け",J2090="巻返しリード付け"),"",IF(J2090="スリット",VLOOKUP(F2090&amp;K2090&amp;R2090,製品マスタ!$N$5:$AE$5002,18,FALSE),""))))))</f>
        <v/>
      </c>
      <c r="Y2090" s="275">
        <f ca="1">IF(D2090="","",IF(T2090="","",VLOOKUP(D2090,契約台帳!$A$3:$Q$4986,17,FALSE)))</f>
        <v>2</v>
      </c>
      <c r="Z2090" s="269" t="str">
        <f ca="1">IF(D2090="","",IF(T2090="","",VLOOKUP(D2090,契約台帳!$A$3:$E$4986,5,FALSE)))</f>
        <v>リンテック㈱</v>
      </c>
      <c r="AA2090" s="57"/>
      <c r="AB2090" s="207"/>
      <c r="AC2090" s="33"/>
      <c r="AD2090" s="189"/>
      <c r="AE2090" s="54"/>
      <c r="AF2090" s="55">
        <f>+M2090*N2090*O2090/1000</f>
        <v>26880</v>
      </c>
      <c r="AG2090" s="43"/>
      <c r="AH2090" s="47"/>
      <c r="AI2090" s="30"/>
      <c r="AJ2090" s="30"/>
      <c r="AK2090" s="30"/>
      <c r="AL2090" s="30"/>
      <c r="AM2090" s="13"/>
      <c r="AN2090" s="13"/>
      <c r="AO2090" s="13"/>
      <c r="AP2090" s="13"/>
      <c r="AQ2090" s="13"/>
      <c r="AR2090" s="14"/>
      <c r="AS2090" s="15"/>
    </row>
    <row r="2091" spans="1:45" s="17" customFormat="1" ht="30.95" hidden="1" customHeight="1" x14ac:dyDescent="0.2">
      <c r="A2091" s="343"/>
      <c r="B2091" s="344"/>
      <c r="C2091" s="345"/>
      <c r="D2091" s="346"/>
      <c r="E2091" s="346"/>
      <c r="F2091" s="268"/>
      <c r="G2091" s="269"/>
      <c r="H2091" s="269"/>
      <c r="I2091" s="270"/>
      <c r="J2091" s="434"/>
      <c r="K2091" s="270"/>
      <c r="L2091" s="270"/>
      <c r="M2091" s="348"/>
      <c r="N2091" s="348"/>
      <c r="O2091" s="435"/>
      <c r="P2091" s="349"/>
      <c r="Q2091" s="350"/>
      <c r="R2091" s="271"/>
      <c r="S2091" s="272"/>
      <c r="T2091" s="273"/>
      <c r="U2091" s="351"/>
      <c r="V2091" s="274"/>
      <c r="W2091" s="269"/>
      <c r="X2091" s="269"/>
      <c r="Y2091" s="275"/>
      <c r="Z2091" s="269"/>
      <c r="AA2091" s="350"/>
      <c r="AB2091" s="207"/>
      <c r="AC2091" s="352"/>
      <c r="AD2091" s="353"/>
      <c r="AE2091" s="54"/>
      <c r="AF2091" s="354"/>
      <c r="AG2091" s="355"/>
      <c r="AH2091" s="349"/>
      <c r="AI2091" s="30"/>
      <c r="AJ2091" s="30"/>
      <c r="AK2091" s="30"/>
      <c r="AL2091" s="30"/>
      <c r="AM2091" s="13"/>
      <c r="AN2091" s="13"/>
      <c r="AO2091" s="13"/>
      <c r="AP2091" s="13"/>
      <c r="AQ2091" s="13"/>
      <c r="AR2091" s="14"/>
      <c r="AS2091" s="15"/>
    </row>
    <row r="2092" spans="1:45" s="17" customFormat="1" ht="30.6" hidden="1" customHeight="1" x14ac:dyDescent="0.2">
      <c r="A2092" s="37"/>
      <c r="B2092" s="38"/>
      <c r="C2092" s="45"/>
      <c r="D2092" s="31">
        <v>3758068</v>
      </c>
      <c r="E2092" s="31">
        <v>4162334</v>
      </c>
      <c r="F2092" s="268" t="str">
        <f>IF(D2092="","",VLOOKUP(D2092,契約台帳!$A$3:$K$4986,6,FALSE)&amp;VLOOKUP(D2092,契約台帳!$A$3:$K$4986,7,FALSE)&amp;VLOOKUP(D2092,契約台帳!$A$3:$K$4986,8,FALSE)&amp;VLOOKUP(D2092,契約台帳!$A$3:$K$4986,9,FALSE)&amp;VLOOKUP(D2092,契約台帳!$A$3:$K$4986,11,FALSE))</f>
        <v>3SNMLBMNNGKBF</v>
      </c>
      <c r="G2092" s="269" t="str">
        <f>IF(D2092="","",VLOOKUP(F2092,製品マスタ!$G$5:$H$5002,2,FALSE))</f>
        <v>S</v>
      </c>
      <c r="H2092" s="269" t="str">
        <f>IF(D2092="","",VLOOKUP(F2092,製品マスタ!$G$5:$K$5002,5,FALSE))</f>
        <v>MNNGKBF</v>
      </c>
      <c r="I2092" s="270" t="str">
        <f>IF(D2092="","",VLOOKUP(F2092,製品マスタ!$G$5:$L$5002,6,FALSE))</f>
        <v>メタルミー　ニューネーマー銀消　Ｂ</v>
      </c>
      <c r="J2092" s="210" t="s">
        <v>935</v>
      </c>
      <c r="K2092" s="270">
        <f>IF(D2092="","",VLOOKUP(D2092,契約台帳!$A$3:$L$4986,12,FALSE))</f>
        <v>50</v>
      </c>
      <c r="L2092" s="270" t="str">
        <f>IF(D2092="","",INDEX(製品マスタ!$Q$5:$Q$5002,MATCH('S4'!F2092&amp;'S4'!K2092,製品マスタ!$AO$5:$AO$5002,0)))</f>
        <v>X44</v>
      </c>
      <c r="M2092" s="39">
        <v>1000</v>
      </c>
      <c r="N2092" s="39">
        <v>4000</v>
      </c>
      <c r="O2092" s="156">
        <v>6</v>
      </c>
      <c r="P2092" s="47">
        <v>3</v>
      </c>
      <c r="Q2092" s="213">
        <v>45460</v>
      </c>
      <c r="R2092" s="271">
        <f ca="1">IF(D2092="","",IF(OFFSET(D2092,-1,0)&lt;&gt;"","",IF(OR(J2092="リード付け",J2092="巻足し",J2092="巻返しリード付け"),M2092,VLOOKUP(D2092,契約台帳!$A$3:$N$4986,14,FALSE))))</f>
        <v>1000</v>
      </c>
      <c r="S2092" s="272">
        <f ca="1">IF(D2092="","",IF(OFFSET(D2092,-1,0)&lt;&gt;"","",IF(OR(J2092="リード付け",J2092="巻足し",J2092="巻返しリード付け"),M2092,VLOOKUP(D2092,契約台帳!$A$3:$O$4986,15,FALSE))))</f>
        <v>1000</v>
      </c>
      <c r="T2092" s="273">
        <f ca="1">IF(D2092="","",IF(J2092="リード付け",N2092,IF(J2092="巻返しリード付け",N2092,IF(J2092="巻足し",N2092*P2092+OFFSET(N2092,1,0)*OFFSET(P2092,1,0),VLOOKUP(D2092,契約台帳!$A$3:$P$4986,16,FALSE)))))</f>
        <v>12000</v>
      </c>
      <c r="U2092" s="40">
        <v>2</v>
      </c>
      <c r="V2092" s="274">
        <f ca="1">IF(D2092="","",IF(OFFSET(D2092,-2,0)=D2092,"",VLOOKUP(D2092,契約台帳!$A$3:$R$4986,18,FALSE)))</f>
        <v>27</v>
      </c>
      <c r="W2092" s="269" t="str">
        <f ca="1">IF(D2092="","",IF(T2092="","",IF(OR(J2092="巻足し",J2092="巻返しリード付け"),"",IF(J2092="巻返し",VLOOKUP(F2092&amp;K2092&amp;M2092,製品マスタ!$M$5:$AD$5002,18,FALSE),IF(OR(J2092="リード付け",J2092="巻返しリード付け"),"原反コア",IF(J2092="スリット",VLOOKUP(F2092&amp;K2092&amp;R2092,製品マスタ!$N$5:$AD$5002,17,FALSE),""))))))</f>
        <v/>
      </c>
      <c r="X2092" s="269" t="str">
        <f ca="1">IF(D2092="","",IF(T2092="","",IF(J2092="巻足し","",IF(J2092="巻返し",VLOOKUP(F2092&amp;K2092&amp;M2092,製品マスタ!$M$5:$AE$5002,19,FALSE),IF(OR(J2092="リード付け",J2092="巻返しリード付け"),"",IF(J2092="スリット",VLOOKUP(F2092&amp;K2092&amp;R2092,製品マスタ!$N$5:$AE$5002,18,FALSE),""))))))</f>
        <v/>
      </c>
      <c r="Y2092" s="275">
        <f ca="1">IF(D2092="","",IF(T2092="","",VLOOKUP(D2092,契約台帳!$A$3:$Q$4986,17,FALSE)))</f>
        <v>2</v>
      </c>
      <c r="Z2092" s="269" t="str">
        <f ca="1">IF(D2092="","",IF(T2092="","",VLOOKUP(D2092,契約台帳!$A$3:$E$4986,5,FALSE)))</f>
        <v>リンテック㈱</v>
      </c>
      <c r="AA2092" s="57"/>
      <c r="AB2092" s="207"/>
      <c r="AC2092" s="33"/>
      <c r="AD2092" s="189"/>
      <c r="AE2092" s="54"/>
      <c r="AF2092" s="55">
        <f>+M2092*N2092*O2092/1000</f>
        <v>24000</v>
      </c>
      <c r="AG2092" s="43"/>
      <c r="AH2092" s="47"/>
      <c r="AI2092" s="30"/>
      <c r="AJ2092" s="30"/>
      <c r="AK2092" s="30"/>
      <c r="AL2092" s="30"/>
      <c r="AM2092" s="13"/>
      <c r="AN2092" s="13"/>
      <c r="AO2092" s="13"/>
      <c r="AP2092" s="13"/>
      <c r="AQ2092" s="13"/>
      <c r="AR2092" s="14"/>
      <c r="AS2092" s="15"/>
    </row>
    <row r="2093" spans="1:45" s="17" customFormat="1" ht="30.95" hidden="1" customHeight="1" x14ac:dyDescent="0.2">
      <c r="A2093" s="343"/>
      <c r="B2093" s="344"/>
      <c r="C2093" s="345"/>
      <c r="D2093" s="346"/>
      <c r="E2093" s="346"/>
      <c r="F2093" s="268"/>
      <c r="G2093" s="269"/>
      <c r="H2093" s="269"/>
      <c r="I2093" s="270"/>
      <c r="J2093" s="434"/>
      <c r="K2093" s="270"/>
      <c r="L2093" s="270"/>
      <c r="M2093" s="348"/>
      <c r="N2093" s="348"/>
      <c r="O2093" s="435"/>
      <c r="P2093" s="349"/>
      <c r="Q2093" s="350"/>
      <c r="R2093" s="271"/>
      <c r="S2093" s="272"/>
      <c r="T2093" s="273"/>
      <c r="U2093" s="351"/>
      <c r="V2093" s="274"/>
      <c r="W2093" s="269"/>
      <c r="X2093" s="269"/>
      <c r="Y2093" s="275"/>
      <c r="Z2093" s="269"/>
      <c r="AA2093" s="350"/>
      <c r="AB2093" s="207"/>
      <c r="AC2093" s="352"/>
      <c r="AD2093" s="353"/>
      <c r="AE2093" s="54"/>
      <c r="AF2093" s="354"/>
      <c r="AG2093" s="355"/>
      <c r="AH2093" s="349"/>
      <c r="AI2093" s="30"/>
      <c r="AJ2093" s="30"/>
      <c r="AK2093" s="30"/>
      <c r="AL2093" s="30"/>
      <c r="AM2093" s="13"/>
      <c r="AN2093" s="13"/>
      <c r="AO2093" s="13"/>
      <c r="AP2093" s="13"/>
      <c r="AQ2093" s="13"/>
      <c r="AR2093" s="14"/>
      <c r="AS2093" s="15"/>
    </row>
    <row r="2094" spans="1:45" s="17" customFormat="1" ht="30.6" hidden="1" customHeight="1" x14ac:dyDescent="0.2">
      <c r="A2094" s="37" t="s">
        <v>1223</v>
      </c>
      <c r="B2094" s="38" t="s">
        <v>442</v>
      </c>
      <c r="C2094" s="45"/>
      <c r="D2094" s="31">
        <v>3758068</v>
      </c>
      <c r="E2094" s="31">
        <v>4162334</v>
      </c>
      <c r="F2094" s="268" t="str">
        <f>IF(D2094="","",VLOOKUP(D2094,契約台帳!$A$3:$K$4986,6,FALSE)&amp;VLOOKUP(D2094,契約台帳!$A$3:$K$4986,7,FALSE)&amp;VLOOKUP(D2094,契約台帳!$A$3:$K$4986,8,FALSE)&amp;VLOOKUP(D2094,契約台帳!$A$3:$K$4986,9,FALSE)&amp;VLOOKUP(D2094,契約台帳!$A$3:$K$4986,11,FALSE))</f>
        <v>3SNMLBMNNGKBF</v>
      </c>
      <c r="G2094" s="269" t="str">
        <f>IF(D2094="","",VLOOKUP(F2094,製品マスタ!$G$5:$H$5002,2,FALSE))</f>
        <v>S</v>
      </c>
      <c r="H2094" s="269" t="str">
        <f>IF(D2094="","",VLOOKUP(F2094,製品マスタ!$G$5:$K$5002,5,FALSE))</f>
        <v>MNNGKBF</v>
      </c>
      <c r="I2094" s="270" t="str">
        <f>IF(D2094="","",VLOOKUP(F2094,製品マスタ!$G$5:$L$5002,6,FALSE))</f>
        <v>メタルミー　ニューネーマー銀消　Ｂ</v>
      </c>
      <c r="J2094" s="210" t="s">
        <v>935</v>
      </c>
      <c r="K2094" s="270">
        <f>IF(D2094="","",VLOOKUP(D2094,契約台帳!$A$3:$L$4986,12,FALSE))</f>
        <v>50</v>
      </c>
      <c r="L2094" s="270" t="str">
        <f>IF(D2094="","",INDEX(製品マスタ!$Q$5:$Q$5002,MATCH('S4'!F2094&amp;'S4'!K2094,製品マスタ!$AO$5:$AO$5002,0)))</f>
        <v>X44</v>
      </c>
      <c r="M2094" s="39">
        <v>1000</v>
      </c>
      <c r="N2094" s="39">
        <v>4000</v>
      </c>
      <c r="O2094" s="156">
        <v>21</v>
      </c>
      <c r="P2094" s="47">
        <v>3</v>
      </c>
      <c r="Q2094" s="213">
        <v>45460</v>
      </c>
      <c r="R2094" s="271">
        <f ca="1">IF(D2094="","",IF(OFFSET(D2094,-1,0)&lt;&gt;"","",IF(OR(J2094="リード付け",J2094="巻足し",J2094="巻返しリード付け"),M2094,VLOOKUP(D2094,契約台帳!$A$3:$N$4986,14,FALSE))))</f>
        <v>1000</v>
      </c>
      <c r="S2094" s="272">
        <f ca="1">IF(D2094="","",IF(OFFSET(D2094,-1,0)&lt;&gt;"","",IF(OR(J2094="リード付け",J2094="巻足し",J2094="巻返しリード付け"),M2094,VLOOKUP(D2094,契約台帳!$A$3:$O$4986,15,FALSE))))</f>
        <v>1000</v>
      </c>
      <c r="T2094" s="273">
        <f ca="1">IF(D2094="","",IF(J2094="リード付け",N2094,IF(J2094="巻返しリード付け",N2094,IF(J2094="巻足し",N2094*P2094+OFFSET(N2094,1,0)*OFFSET(P2094,1,0),VLOOKUP(D2094,契約台帳!$A$3:$P$4986,16,FALSE)))))</f>
        <v>12000</v>
      </c>
      <c r="U2094" s="40">
        <v>7</v>
      </c>
      <c r="V2094" s="274" t="str">
        <f ca="1">IF(D2094="","",IF(OFFSET(D2094,-2,0)=D2094,"",VLOOKUP(D2094,契約台帳!$A$3:$R$4986,18,FALSE)))</f>
        <v/>
      </c>
      <c r="W2094" s="269" t="str">
        <f ca="1">IF(D2094="","",IF(T2094="","",IF(OR(J2094="巻足し",J2094="巻返しリード付け"),"",IF(J2094="巻返し",VLOOKUP(F2094&amp;K2094&amp;M2094,製品マスタ!$M$5:$AD$5002,18,FALSE),IF(OR(J2094="リード付け",J2094="巻返しリード付け"),"原反コア",IF(J2094="スリット",VLOOKUP(F2094&amp;K2094&amp;R2094,製品マスタ!$N$5:$AD$5002,17,FALSE),""))))))</f>
        <v/>
      </c>
      <c r="X2094" s="269" t="str">
        <f ca="1">IF(D2094="","",IF(T2094="","",IF(J2094="巻足し","",IF(J2094="巻返し",VLOOKUP(F2094&amp;K2094&amp;M2094,製品マスタ!$M$5:$AE$5002,19,FALSE),IF(OR(J2094="リード付け",J2094="巻返しリード付け"),"",IF(J2094="スリット",VLOOKUP(F2094&amp;K2094&amp;R2094,製品マスタ!$N$5:$AE$5002,18,FALSE),""))))))</f>
        <v/>
      </c>
      <c r="Y2094" s="275">
        <f ca="1">IF(D2094="","",IF(T2094="","",VLOOKUP(D2094,契約台帳!$A$3:$Q$4986,17,FALSE)))</f>
        <v>2</v>
      </c>
      <c r="Z2094" s="269" t="str">
        <f ca="1">IF(D2094="","",IF(T2094="","",VLOOKUP(D2094,契約台帳!$A$3:$E$4986,5,FALSE)))</f>
        <v>リンテック㈱</v>
      </c>
      <c r="AA2094" s="57"/>
      <c r="AB2094" s="207"/>
      <c r="AC2094" s="33"/>
      <c r="AD2094" s="189"/>
      <c r="AE2094" s="54"/>
      <c r="AF2094" s="55">
        <f>+M2094*N2094*O2094/1000</f>
        <v>84000</v>
      </c>
      <c r="AG2094" s="43"/>
      <c r="AH2094" s="47"/>
      <c r="AI2094" s="30"/>
      <c r="AJ2094" s="30"/>
      <c r="AK2094" s="30"/>
      <c r="AL2094" s="30"/>
      <c r="AM2094" s="13"/>
      <c r="AN2094" s="13"/>
      <c r="AO2094" s="13"/>
      <c r="AP2094" s="13"/>
      <c r="AQ2094" s="13"/>
      <c r="AR2094" s="14"/>
      <c r="AS2094" s="15"/>
    </row>
    <row r="2095" spans="1:45" s="17" customFormat="1" ht="30.95" hidden="1" customHeight="1" x14ac:dyDescent="0.2">
      <c r="A2095" s="343"/>
      <c r="B2095" s="344"/>
      <c r="C2095" s="345"/>
      <c r="D2095" s="346"/>
      <c r="E2095" s="346"/>
      <c r="F2095" s="268"/>
      <c r="G2095" s="269"/>
      <c r="H2095" s="269"/>
      <c r="I2095" s="270"/>
      <c r="J2095" s="434"/>
      <c r="K2095" s="270"/>
      <c r="L2095" s="270"/>
      <c r="M2095" s="348"/>
      <c r="N2095" s="348"/>
      <c r="O2095" s="435"/>
      <c r="P2095" s="349"/>
      <c r="Q2095" s="350"/>
      <c r="R2095" s="271"/>
      <c r="S2095" s="272"/>
      <c r="T2095" s="273"/>
      <c r="U2095" s="351"/>
      <c r="V2095" s="274"/>
      <c r="W2095" s="269"/>
      <c r="X2095" s="269"/>
      <c r="Y2095" s="275"/>
      <c r="Z2095" s="269"/>
      <c r="AA2095" s="350"/>
      <c r="AB2095" s="207"/>
      <c r="AC2095" s="352"/>
      <c r="AD2095" s="353"/>
      <c r="AE2095" s="54"/>
      <c r="AF2095" s="354"/>
      <c r="AG2095" s="355"/>
      <c r="AH2095" s="349"/>
      <c r="AI2095" s="30"/>
      <c r="AJ2095" s="30"/>
      <c r="AK2095" s="30"/>
      <c r="AL2095" s="30"/>
      <c r="AM2095" s="13"/>
      <c r="AN2095" s="13"/>
      <c r="AO2095" s="13"/>
      <c r="AP2095" s="13"/>
      <c r="AQ2095" s="13"/>
      <c r="AR2095" s="14"/>
      <c r="AS2095" s="15"/>
    </row>
    <row r="2096" spans="1:45" s="17" customFormat="1" ht="30.6" hidden="1" customHeight="1" x14ac:dyDescent="0.2">
      <c r="A2096" s="37"/>
      <c r="B2096" s="38"/>
      <c r="C2096" s="45"/>
      <c r="D2096" s="31">
        <v>3758087</v>
      </c>
      <c r="E2096" s="31">
        <v>4162369</v>
      </c>
      <c r="F2096" s="268" t="str">
        <f>IF(D2096="","",VLOOKUP(D2096,契約台帳!$A$3:$K$4986,6,FALSE)&amp;VLOOKUP(D2096,契約台帳!$A$3:$K$4986,7,FALSE)&amp;VLOOKUP(D2096,契約台帳!$A$3:$K$4986,8,FALSE)&amp;VLOOKUP(D2096,契約台帳!$A$3:$K$4986,9,FALSE)&amp;VLOOKUP(D2096,契約台帳!$A$3:$K$4986,11,FALSE))</f>
        <v>3SYMLBMSNMBZF</v>
      </c>
      <c r="G2096" s="269" t="str">
        <f>IF(D2096="","",VLOOKUP(F2096,製品マスタ!$G$5:$H$5002,2,FALSE))</f>
        <v>S</v>
      </c>
      <c r="H2096" s="269" t="str">
        <f>IF(D2096="","",VLOOKUP(F2096,製品マスタ!$G$5:$K$5002,5,FALSE))</f>
        <v>MSNMBZF</v>
      </c>
      <c r="I2096" s="270" t="str">
        <f>IF(D2096="","",VLOOKUP(F2096,製品マスタ!$G$5:$L$5002,6,FALSE))</f>
        <v>ＭＥＴＡＬＵＭＹ　ＳＩＬＶＥＲ　Ｎ－ＭＡＴＴＥ　Ｂ</v>
      </c>
      <c r="J2096" s="210" t="s">
        <v>935</v>
      </c>
      <c r="K2096" s="270">
        <f>IF(D2096="","",VLOOKUP(D2096,契約台帳!$A$3:$L$4986,12,FALSE))</f>
        <v>50</v>
      </c>
      <c r="L2096" s="270" t="str">
        <f>IF(D2096="","",INDEX(製品マスタ!$Q$5:$Q$5002,MATCH('S4'!F2096&amp;'S4'!K2096,製品マスタ!$AO$5:$AO$5002,0)))</f>
        <v>X44</v>
      </c>
      <c r="M2096" s="39">
        <v>1120</v>
      </c>
      <c r="N2096" s="39">
        <v>4000</v>
      </c>
      <c r="O2096" s="156">
        <v>3</v>
      </c>
      <c r="P2096" s="47">
        <v>3</v>
      </c>
      <c r="Q2096" s="213">
        <v>45460</v>
      </c>
      <c r="R2096" s="271">
        <f ca="1">IF(D2096="","",IF(OFFSET(D2096,-1,0)&lt;&gt;"","",IF(OR(J2096="リード付け",J2096="巻足し",J2096="巻返しリード付け"),M2096,VLOOKUP(D2096,契約台帳!$A$3:$N$4986,14,FALSE))))</f>
        <v>1120</v>
      </c>
      <c r="S2096" s="272">
        <f ca="1">IF(D2096="","",IF(OFFSET(D2096,-1,0)&lt;&gt;"","",IF(OR(J2096="リード付け",J2096="巻足し",J2096="巻返しリード付け"),M2096,VLOOKUP(D2096,契約台帳!$A$3:$O$4986,15,FALSE))))</f>
        <v>1120</v>
      </c>
      <c r="T2096" s="273">
        <f ca="1">IF(D2096="","",IF(J2096="リード付け",N2096,IF(J2096="巻返しリード付け",N2096,IF(J2096="巻足し",N2096*P2096+OFFSET(N2096,1,0)*OFFSET(P2096,1,0),VLOOKUP(D2096,契約台帳!$A$3:$P$4986,16,FALSE)))))</f>
        <v>12000</v>
      </c>
      <c r="U2096" s="40">
        <v>1</v>
      </c>
      <c r="V2096" s="274">
        <f ca="1">IF(D2096="","",IF(OFFSET(D2096,-2,0)=D2096,"",VLOOKUP(D2096,契約台帳!$A$3:$R$4986,18,FALSE)))</f>
        <v>10</v>
      </c>
      <c r="W2096" s="269" t="str">
        <f ca="1">IF(D2096="","",IF(T2096="","",IF(OR(J2096="巻足し",J2096="巻返しリード付け"),"",IF(J2096="巻返し",VLOOKUP(F2096&amp;K2096&amp;M2096,製品マスタ!$M$5:$AD$5002,18,FALSE),IF(OR(J2096="リード付け",J2096="巻返しリード付け"),"原反コア",IF(J2096="スリット",VLOOKUP(F2096&amp;K2096&amp;R2096,製品マスタ!$N$5:$AD$5002,17,FALSE),""))))))</f>
        <v/>
      </c>
      <c r="X2096" s="269" t="str">
        <f ca="1">IF(D2096="","",IF(T2096="","",IF(J2096="巻足し","",IF(J2096="巻返し",VLOOKUP(F2096&amp;K2096&amp;M2096,製品マスタ!$M$5:$AE$5002,19,FALSE),IF(OR(J2096="リード付け",J2096="巻返しリード付け"),"",IF(J2096="スリット",VLOOKUP(F2096&amp;K2096&amp;R2096,製品マスタ!$N$5:$AE$5002,18,FALSE),""))))))</f>
        <v/>
      </c>
      <c r="Y2096" s="275">
        <f ca="1">IF(D2096="","",IF(T2096="","",VLOOKUP(D2096,契約台帳!$A$3:$Q$4986,17,FALSE)))</f>
        <v>2</v>
      </c>
      <c r="Z2096" s="269" t="str">
        <f ca="1">IF(D2096="","",IF(T2096="","",VLOOKUP(D2096,契約台帳!$A$3:$E$4986,5,FALSE)))</f>
        <v>リンテック㈱</v>
      </c>
      <c r="AA2096" s="57"/>
      <c r="AB2096" s="207"/>
      <c r="AC2096" s="33"/>
      <c r="AD2096" s="189"/>
      <c r="AE2096" s="54"/>
      <c r="AF2096" s="55">
        <f>+M2096*N2096*O2096/1000</f>
        <v>13440</v>
      </c>
      <c r="AG2096" s="43"/>
      <c r="AH2096" s="47"/>
      <c r="AI2096" s="30"/>
      <c r="AJ2096" s="30"/>
      <c r="AK2096" s="30"/>
      <c r="AL2096" s="30"/>
      <c r="AM2096" s="13"/>
      <c r="AN2096" s="13"/>
      <c r="AO2096" s="13"/>
      <c r="AP2096" s="13"/>
      <c r="AQ2096" s="13"/>
      <c r="AR2096" s="14"/>
      <c r="AS2096" s="15"/>
    </row>
    <row r="2097" spans="1:45" s="17" customFormat="1" ht="30.95" hidden="1" customHeight="1" x14ac:dyDescent="0.2">
      <c r="A2097" s="343"/>
      <c r="B2097" s="344"/>
      <c r="C2097" s="345"/>
      <c r="D2097" s="346"/>
      <c r="E2097" s="346"/>
      <c r="F2097" s="268"/>
      <c r="G2097" s="269"/>
      <c r="H2097" s="269"/>
      <c r="I2097" s="270"/>
      <c r="J2097" s="434"/>
      <c r="K2097" s="270"/>
      <c r="L2097" s="270"/>
      <c r="M2097" s="348"/>
      <c r="N2097" s="348"/>
      <c r="O2097" s="435"/>
      <c r="P2097" s="349"/>
      <c r="Q2097" s="350"/>
      <c r="R2097" s="271"/>
      <c r="S2097" s="272"/>
      <c r="T2097" s="273"/>
      <c r="U2097" s="351"/>
      <c r="V2097" s="274"/>
      <c r="W2097" s="269"/>
      <c r="X2097" s="269"/>
      <c r="Y2097" s="275"/>
      <c r="Z2097" s="269"/>
      <c r="AA2097" s="350"/>
      <c r="AB2097" s="207"/>
      <c r="AC2097" s="352"/>
      <c r="AD2097" s="353"/>
      <c r="AE2097" s="54"/>
      <c r="AF2097" s="354"/>
      <c r="AG2097" s="355"/>
      <c r="AH2097" s="349"/>
      <c r="AI2097" s="30"/>
      <c r="AJ2097" s="30"/>
      <c r="AK2097" s="30"/>
      <c r="AL2097" s="30"/>
      <c r="AM2097" s="13"/>
      <c r="AN2097" s="13"/>
      <c r="AO2097" s="13"/>
      <c r="AP2097" s="13"/>
      <c r="AQ2097" s="13"/>
      <c r="AR2097" s="14"/>
      <c r="AS2097" s="15"/>
    </row>
    <row r="2098" spans="1:45" s="17" customFormat="1" ht="30.95" hidden="1" customHeight="1" x14ac:dyDescent="0.2">
      <c r="A2098" s="343"/>
      <c r="B2098" s="344"/>
      <c r="C2098" s="45"/>
      <c r="D2098" s="31">
        <v>3758081</v>
      </c>
      <c r="E2098" s="31">
        <v>4141163</v>
      </c>
      <c r="F2098" s="268" t="str">
        <f>IF(D2098="","",VLOOKUP(D2098,契約台帳!$A$3:$K$4986,6,FALSE)&amp;VLOOKUP(D2098,契約台帳!$A$3:$K$4986,7,FALSE)&amp;VLOOKUP(D2098,契約台帳!$A$3:$K$4986,8,FALSE)&amp;VLOOKUP(D2098,契約台帳!$A$3:$K$4986,9,FALSE)&amp;VLOOKUP(D2098,契約台帳!$A$3:$K$4986,11,FALSE))</f>
        <v>3SNCLBLMEYK</v>
      </c>
      <c r="G2098" s="269" t="str">
        <f>IF(D2098="","",VLOOKUP(F2098,製品マスタ!$G$5:$H$5002,2,FALSE))</f>
        <v>S</v>
      </c>
      <c r="H2098" s="269" t="str">
        <f>IF(D2098="","",VLOOKUP(F2098,製品マスタ!$G$5:$K$5002,5,FALSE))</f>
        <v>LMEYK</v>
      </c>
      <c r="I2098" s="270" t="str">
        <f>IF(D2098="","",VLOOKUP(F2098,製品マスタ!$G$5:$L$5002,6,FALSE))</f>
        <v>ルミマットＥＹＫ</v>
      </c>
      <c r="J2098" s="210" t="s">
        <v>447</v>
      </c>
      <c r="K2098" s="270">
        <f>IF(D2098="","",VLOOKUP(D2098,契約台帳!$A$3:$L$4986,12,FALSE))</f>
        <v>38</v>
      </c>
      <c r="L2098" s="270" t="str">
        <f>IF(D2098="","",INDEX(製品マスタ!$Q$5:$Q$5002,MATCH('S4'!F2098&amp;'S4'!K2098,製品マスタ!$AO$5:$AO$5002,0)))</f>
        <v>LUMIMAT</v>
      </c>
      <c r="M2098" s="39">
        <v>1005</v>
      </c>
      <c r="N2098" s="39">
        <v>8000</v>
      </c>
      <c r="O2098" s="156">
        <v>2</v>
      </c>
      <c r="P2098" s="47">
        <v>2</v>
      </c>
      <c r="Q2098" s="57"/>
      <c r="R2098" s="271">
        <f ca="1">IF(D2098="","",IF(OFFSET(D2098,-1,0)&lt;&gt;"","",IF(OR(J2098="リード付け",J2098="巻足し",J2098="巻返しリード付け"),M2098,VLOOKUP(D2098,契約台帳!$A$3:$N$4986,14,FALSE))))</f>
        <v>1005</v>
      </c>
      <c r="S2098" s="272">
        <f ca="1">IF(D2098="","",IF(OFFSET(D2098,-1,0)&lt;&gt;"","",IF(OR(J2098="リード付け",J2098="巻足し",J2098="巻返しリード付け"),M2098,VLOOKUP(D2098,契約台帳!$A$3:$O$4986,15,FALSE))))</f>
        <v>1000</v>
      </c>
      <c r="T2098" s="273">
        <f ca="1">IF(D2098="","",IF(J2098="リード付け",N2098,IF(J2098="巻返しリード付け",N2098,IF(J2098="巻足し",N2098*P2098+OFFSET(N2098,1,0)*OFFSET(P2098,1,0),VLOOKUP(D2098,契約台帳!$A$3:$P$4986,16,FALSE)))))</f>
        <v>4000</v>
      </c>
      <c r="U2098" s="40">
        <v>4</v>
      </c>
      <c r="V2098" s="274">
        <f ca="1">IF(D2098="","",IF(OFFSET(D2098,-2,0)=D2098,"",VLOOKUP(D2098,契約台帳!$A$3:$R$4986,18,FALSE)))</f>
        <v>4</v>
      </c>
      <c r="W2098" s="269" t="str">
        <f ca="1">IF(D2098="","",IF(T2098="","",IF(OR(J2098="巻足し",J2098="巻返しリード付け"),"",IF(J2098="巻返し",VLOOKUP(F2098&amp;K2098&amp;M2098,製品マスタ!$M$5:$AD$5002,18,FALSE),IF(OR(J2098="リード付け",J2098="巻返しリード付け"),"原反コア",IF(J2098="スリット",VLOOKUP(F2098&amp;K2098&amp;R2098,製品マスタ!$N$5:$AD$5002,17,FALSE),""))))))</f>
        <v>3ｲﾝﾁSｺｱ</v>
      </c>
      <c r="X2098" s="269">
        <f ca="1">IF(D2098="","",IF(T2098="","",IF(J2098="巻足し","",IF(J2098="巻返し",VLOOKUP(F2098&amp;K2098&amp;M2098,製品マスタ!$M$5:$AE$5002,19,FALSE),IF(OR(J2098="リード付け",J2098="巻返しリード付け"),"",IF(J2098="スリット",VLOOKUP(F2098&amp;K2098&amp;R2098,製品マスタ!$N$5:$AE$5002,18,FALSE),""))))))</f>
        <v>1015</v>
      </c>
      <c r="Y2098" s="275">
        <f ca="1">IF(D2098="","",IF(T2098="","",VLOOKUP(D2098,契約台帳!$A$3:$Q$4986,17,FALSE)))</f>
        <v>2</v>
      </c>
      <c r="Z2098" s="269" t="str">
        <f ca="1">IF(D2098="","",IF(T2098="","",VLOOKUP(D2098,契約台帳!$A$3:$E$4986,5,FALSE)))</f>
        <v>リンテック㈱</v>
      </c>
      <c r="AA2098" s="57"/>
      <c r="AB2098" s="207"/>
      <c r="AC2098" s="33"/>
      <c r="AD2098" s="189"/>
      <c r="AE2098" s="54"/>
      <c r="AF2098" s="55"/>
      <c r="AG2098" s="43"/>
      <c r="AH2098" s="47"/>
      <c r="AI2098" s="30"/>
      <c r="AJ2098" s="30"/>
      <c r="AK2098" s="30"/>
      <c r="AL2098" s="30"/>
      <c r="AM2098" s="13"/>
      <c r="AN2098" s="13"/>
      <c r="AO2098" s="13"/>
      <c r="AP2098" s="13"/>
      <c r="AQ2098" s="13"/>
      <c r="AR2098" s="14"/>
      <c r="AS2098" s="15"/>
    </row>
    <row r="2099" spans="1:45" s="17" customFormat="1" ht="30.95" hidden="1" customHeight="1" x14ac:dyDescent="0.2">
      <c r="A2099" s="343"/>
      <c r="B2099" s="344"/>
      <c r="C2099" s="345"/>
      <c r="D2099" s="346"/>
      <c r="E2099" s="346"/>
      <c r="F2099" s="268"/>
      <c r="G2099" s="269"/>
      <c r="H2099" s="269"/>
      <c r="I2099" s="270"/>
      <c r="J2099" s="434"/>
      <c r="K2099" s="270"/>
      <c r="L2099" s="270"/>
      <c r="M2099" s="348"/>
      <c r="N2099" s="348"/>
      <c r="O2099" s="435"/>
      <c r="P2099" s="349"/>
      <c r="Q2099" s="350"/>
      <c r="R2099" s="271"/>
      <c r="S2099" s="272"/>
      <c r="T2099" s="273"/>
      <c r="U2099" s="351"/>
      <c r="V2099" s="274"/>
      <c r="W2099" s="269"/>
      <c r="X2099" s="269"/>
      <c r="Y2099" s="275"/>
      <c r="Z2099" s="269"/>
      <c r="AA2099" s="350"/>
      <c r="AB2099" s="207"/>
      <c r="AC2099" s="352"/>
      <c r="AD2099" s="353"/>
      <c r="AE2099" s="54"/>
      <c r="AF2099" s="354"/>
      <c r="AG2099" s="355"/>
      <c r="AH2099" s="349"/>
      <c r="AI2099" s="30"/>
      <c r="AJ2099" s="30"/>
      <c r="AK2099" s="30"/>
      <c r="AL2099" s="30"/>
      <c r="AM2099" s="13"/>
      <c r="AN2099" s="13"/>
      <c r="AO2099" s="13"/>
      <c r="AP2099" s="13"/>
      <c r="AQ2099" s="13"/>
      <c r="AR2099" s="14"/>
      <c r="AS2099" s="15"/>
    </row>
    <row r="2100" spans="1:45" s="17" customFormat="1" ht="30.95" hidden="1" customHeight="1" x14ac:dyDescent="0.2">
      <c r="A2100" s="343" t="s">
        <v>1224</v>
      </c>
      <c r="B2100" s="344" t="s">
        <v>443</v>
      </c>
      <c r="C2100" s="45"/>
      <c r="D2100" s="31" t="s">
        <v>1276</v>
      </c>
      <c r="E2100" s="414" t="s">
        <v>1277</v>
      </c>
      <c r="F2100" s="268" t="s">
        <v>1304</v>
      </c>
      <c r="G2100" s="269" t="s">
        <v>269</v>
      </c>
      <c r="H2100" s="269" t="s">
        <v>2919</v>
      </c>
      <c r="I2100" s="270" t="s">
        <v>2917</v>
      </c>
      <c r="J2100" s="210" t="s">
        <v>464</v>
      </c>
      <c r="K2100" s="270">
        <v>50</v>
      </c>
      <c r="L2100" s="270" t="s">
        <v>1320</v>
      </c>
      <c r="M2100" s="39">
        <v>1040</v>
      </c>
      <c r="N2100" s="39">
        <v>1950</v>
      </c>
      <c r="O2100" s="156">
        <v>1</v>
      </c>
      <c r="P2100" s="47">
        <v>1</v>
      </c>
      <c r="Q2100" s="57"/>
      <c r="R2100" s="271">
        <v>1040</v>
      </c>
      <c r="S2100" s="272">
        <v>1040</v>
      </c>
      <c r="T2100" s="273">
        <v>1950</v>
      </c>
      <c r="U2100" s="40">
        <v>1</v>
      </c>
      <c r="V2100" s="274">
        <v>1</v>
      </c>
      <c r="W2100" s="269" t="str">
        <f>IF(D2100="","",IF(T2100="","",IF(OR(J2100="巻足し",J2100="巻返しリード付け"),"",IF(J2100="巻返し",VLOOKUP(F2100&amp;K2100&amp;M2100,製品マスタ!$M$5:$AD$5002,18,FALSE),IF(OR(J2100="リード付け",J2100="巻返しリード付け"),"原反コア",IF(J2100="スリット",VLOOKUP(F2100&amp;K2100&amp;R2100,製品マスタ!$N$5:$AD$5002,17,FALSE),""))))))</f>
        <v>原反コア</v>
      </c>
      <c r="X2100" s="269" t="s">
        <v>928</v>
      </c>
      <c r="Y2100" s="275">
        <v>2</v>
      </c>
      <c r="Z2100" s="269" t="s">
        <v>116</v>
      </c>
      <c r="AA2100" s="57"/>
      <c r="AB2100" s="303" t="s">
        <v>774</v>
      </c>
      <c r="AC2100" s="33"/>
      <c r="AD2100" s="189"/>
      <c r="AE2100" s="54"/>
      <c r="AF2100" s="55"/>
      <c r="AG2100" s="43"/>
      <c r="AH2100" s="47"/>
      <c r="AI2100" s="30"/>
      <c r="AJ2100" s="30"/>
      <c r="AK2100" s="30"/>
      <c r="AL2100" s="30"/>
      <c r="AM2100" s="13"/>
      <c r="AN2100" s="13"/>
      <c r="AO2100" s="13"/>
      <c r="AP2100" s="13"/>
      <c r="AQ2100" s="13"/>
      <c r="AR2100" s="14"/>
      <c r="AS2100" s="15"/>
    </row>
    <row r="2101" spans="1:45" s="17" customFormat="1" ht="30.95" hidden="1" customHeight="1" x14ac:dyDescent="0.2">
      <c r="A2101" s="37"/>
      <c r="B2101" s="38"/>
      <c r="C2101" s="45"/>
      <c r="D2101" s="31"/>
      <c r="E2101" s="414"/>
      <c r="F2101" s="268"/>
      <c r="G2101" s="269"/>
      <c r="H2101" s="269"/>
      <c r="I2101" s="270"/>
      <c r="J2101" s="210"/>
      <c r="K2101" s="270"/>
      <c r="L2101" s="270"/>
      <c r="M2101" s="39"/>
      <c r="N2101" s="39"/>
      <c r="O2101" s="156"/>
      <c r="P2101" s="47"/>
      <c r="Q2101" s="57"/>
      <c r="R2101" s="271"/>
      <c r="S2101" s="272"/>
      <c r="T2101" s="273"/>
      <c r="U2101" s="40"/>
      <c r="V2101" s="274"/>
      <c r="W2101" s="269"/>
      <c r="X2101" s="269"/>
      <c r="Y2101" s="275"/>
      <c r="Z2101" s="269"/>
      <c r="AA2101" s="57"/>
      <c r="AB2101" s="303"/>
      <c r="AC2101" s="33"/>
      <c r="AD2101" s="189"/>
      <c r="AE2101" s="54"/>
      <c r="AF2101" s="55"/>
      <c r="AG2101" s="43"/>
      <c r="AH2101" s="47"/>
      <c r="AI2101" s="30"/>
      <c r="AJ2101" s="30"/>
      <c r="AK2101" s="30"/>
      <c r="AL2101" s="30"/>
      <c r="AM2101" s="13"/>
      <c r="AN2101" s="13"/>
      <c r="AO2101" s="13"/>
      <c r="AP2101" s="13"/>
      <c r="AQ2101" s="13"/>
      <c r="AR2101" s="14"/>
      <c r="AS2101" s="15"/>
    </row>
    <row r="2102" spans="1:45" s="17" customFormat="1" ht="30.95" hidden="1" customHeight="1" x14ac:dyDescent="0.2">
      <c r="A2102" s="37"/>
      <c r="B2102" s="38"/>
      <c r="C2102" s="45"/>
      <c r="D2102" s="31" t="s">
        <v>1276</v>
      </c>
      <c r="E2102" s="414" t="s">
        <v>1277</v>
      </c>
      <c r="F2102" s="268" t="s">
        <v>1304</v>
      </c>
      <c r="G2102" s="269" t="s">
        <v>269</v>
      </c>
      <c r="H2102" s="269" t="s">
        <v>2920</v>
      </c>
      <c r="I2102" s="270" t="s">
        <v>2918</v>
      </c>
      <c r="J2102" s="210" t="s">
        <v>464</v>
      </c>
      <c r="K2102" s="270">
        <v>50</v>
      </c>
      <c r="L2102" s="270" t="s">
        <v>2921</v>
      </c>
      <c r="M2102" s="39">
        <v>1030</v>
      </c>
      <c r="N2102" s="39">
        <v>1010</v>
      </c>
      <c r="O2102" s="156">
        <v>1</v>
      </c>
      <c r="P2102" s="47">
        <v>1</v>
      </c>
      <c r="Q2102" s="57"/>
      <c r="R2102" s="271">
        <v>1030</v>
      </c>
      <c r="S2102" s="272">
        <v>1030</v>
      </c>
      <c r="T2102" s="273">
        <v>1010</v>
      </c>
      <c r="U2102" s="40">
        <v>1</v>
      </c>
      <c r="V2102" s="274">
        <v>1</v>
      </c>
      <c r="W2102" s="269" t="str">
        <f>IF(D2102="","",IF(T2102="","",IF(OR(J2102="巻足し",J2102="巻返しリード付け"),"",IF(J2102="巻返し",VLOOKUP(F2102&amp;K2102&amp;M2102,製品マスタ!$M$5:$AD$5002,18,FALSE),IF(OR(J2102="リード付け",J2102="巻返しリード付け"),"原反コア",IF(J2102="スリット",VLOOKUP(F2102&amp;K2102&amp;R2102,製品マスタ!$N$5:$AD$5002,17,FALSE),""))))))</f>
        <v>原反コア</v>
      </c>
      <c r="X2102" s="269" t="s">
        <v>928</v>
      </c>
      <c r="Y2102" s="275">
        <v>2</v>
      </c>
      <c r="Z2102" s="269" t="s">
        <v>116</v>
      </c>
      <c r="AA2102" s="57"/>
      <c r="AB2102" s="303" t="s">
        <v>774</v>
      </c>
      <c r="AC2102" s="33"/>
      <c r="AD2102" s="189"/>
      <c r="AE2102" s="54"/>
      <c r="AF2102" s="55"/>
      <c r="AG2102" s="43"/>
      <c r="AH2102" s="47"/>
      <c r="AI2102" s="30"/>
      <c r="AJ2102" s="30"/>
      <c r="AK2102" s="30"/>
      <c r="AL2102" s="30"/>
      <c r="AM2102" s="13"/>
      <c r="AN2102" s="13"/>
      <c r="AO2102" s="13"/>
      <c r="AP2102" s="13"/>
      <c r="AQ2102" s="13"/>
      <c r="AR2102" s="14"/>
      <c r="AS2102" s="15"/>
    </row>
    <row r="2103" spans="1:45" s="17" customFormat="1" ht="30.95" hidden="1" customHeight="1" x14ac:dyDescent="0.2">
      <c r="A2103" s="343"/>
      <c r="B2103" s="344"/>
      <c r="C2103" s="345"/>
      <c r="D2103" s="346"/>
      <c r="E2103" s="346"/>
      <c r="F2103" s="268"/>
      <c r="G2103" s="269"/>
      <c r="H2103" s="269"/>
      <c r="I2103" s="270"/>
      <c r="J2103" s="434"/>
      <c r="K2103" s="270"/>
      <c r="L2103" s="270"/>
      <c r="M2103" s="348"/>
      <c r="N2103" s="348"/>
      <c r="O2103" s="435"/>
      <c r="P2103" s="349"/>
      <c r="Q2103" s="350"/>
      <c r="R2103" s="271"/>
      <c r="S2103" s="272"/>
      <c r="T2103" s="273"/>
      <c r="U2103" s="351"/>
      <c r="V2103" s="274"/>
      <c r="W2103" s="269"/>
      <c r="X2103" s="269"/>
      <c r="Y2103" s="275"/>
      <c r="Z2103" s="269"/>
      <c r="AA2103" s="350"/>
      <c r="AB2103" s="207"/>
      <c r="AC2103" s="352"/>
      <c r="AD2103" s="353"/>
      <c r="AE2103" s="54"/>
      <c r="AF2103" s="354"/>
      <c r="AG2103" s="355"/>
      <c r="AH2103" s="349"/>
      <c r="AI2103" s="30"/>
      <c r="AJ2103" s="30"/>
      <c r="AK2103" s="30"/>
      <c r="AL2103" s="30"/>
      <c r="AM2103" s="13"/>
      <c r="AN2103" s="13"/>
      <c r="AO2103" s="13"/>
      <c r="AP2103" s="13"/>
      <c r="AQ2103" s="13"/>
      <c r="AR2103" s="14"/>
      <c r="AS2103" s="15"/>
    </row>
    <row r="2104" spans="1:45" s="17" customFormat="1" ht="30.95" hidden="1" customHeight="1" x14ac:dyDescent="0.2">
      <c r="A2104" s="37"/>
      <c r="B2104" s="38"/>
      <c r="C2104" s="45"/>
      <c r="D2104" s="31">
        <v>3758067</v>
      </c>
      <c r="E2104" s="31">
        <v>4141157</v>
      </c>
      <c r="F2104" s="268" t="str">
        <f>IF(D2104="","",VLOOKUP(D2104,契約台帳!$A$3:$K$4986,6,FALSE)&amp;VLOOKUP(D2104,契約台帳!$A$3:$K$4986,7,FALSE)&amp;VLOOKUP(D2104,契約台帳!$A$3:$K$4986,8,FALSE)&amp;VLOOKUP(D2104,契約台帳!$A$3:$K$4986,9,FALSE)&amp;VLOOKUP(D2104,契約台帳!$A$3:$K$4986,11,FALSE))</f>
        <v>3SNMCLBNGTVB</v>
      </c>
      <c r="G2104" s="269" t="str">
        <f>IF(D2104="","",VLOOKUP(F2104,製品マスタ!$G$5:$H$5002,2,FALSE))</f>
        <v>S</v>
      </c>
      <c r="H2104" s="269" t="str">
        <f>IF(D2104="","",VLOOKUP(F2104,製品マスタ!$G$5:$K$5002,5,FALSE))</f>
        <v>NGTVB</v>
      </c>
      <c r="I2104" s="270" t="str">
        <f>IF(D2104="","",VLOOKUP(F2104,製品マスタ!$G$5:$L$5002,6,FALSE))</f>
        <v>メタルミー　ネーマー　銀艶ＶＢ</v>
      </c>
      <c r="J2104" s="210" t="s">
        <v>463</v>
      </c>
      <c r="K2104" s="270">
        <f>IF(D2104="","",VLOOKUP(D2104,契約台帳!$A$3:$L$4986,12,FALSE))</f>
        <v>50</v>
      </c>
      <c r="L2104" s="270" t="str">
        <f>IF(D2104="","",INDEX(製品マスタ!$Q$5:$Q$5002,MATCH('S4'!F2104&amp;'S4'!K2104,製品マスタ!$AO$5:$AO$5002,0)))</f>
        <v>T62M</v>
      </c>
      <c r="M2104" s="39">
        <v>1040</v>
      </c>
      <c r="N2104" s="39">
        <v>6000</v>
      </c>
      <c r="O2104" s="156">
        <v>1</v>
      </c>
      <c r="P2104" s="47">
        <v>1</v>
      </c>
      <c r="Q2104" s="57"/>
      <c r="R2104" s="271">
        <f ca="1">IF(D2104="","",IF(OFFSET(D2104,-1,0)&lt;&gt;"","",IF(OR(J2104="リード付け",J2104="巻足し",J2104="巻返しリード付け"),M2104,VLOOKUP(D2104,契約台帳!$A$3:$N$4986,14,FALSE))))</f>
        <v>1000</v>
      </c>
      <c r="S2104" s="272">
        <f ca="1">IF(D2104="","",IF(OFFSET(D2104,-1,0)&lt;&gt;"","",IF(OR(J2104="リード付け",J2104="巻足し",J2104="巻返しリード付け"),M2104,VLOOKUP(D2104,契約台帳!$A$3:$O$4986,15,FALSE))))</f>
        <v>1000</v>
      </c>
      <c r="T2104" s="273">
        <f ca="1">IF(D2104="","",IF(J2104="リード付け",N2104,IF(J2104="巻返しリード付け",N2104,IF(J2104="巻足し",N2104*P2104+OFFSET(N2104,1,0)*OFFSET(P2104,1,0),VLOOKUP(D2104,契約台帳!$A$3:$P$4986,16,FALSE)))))</f>
        <v>3000</v>
      </c>
      <c r="U2104" s="40">
        <v>2</v>
      </c>
      <c r="V2104" s="274">
        <f ca="1">IF(D2104="","",IF(OFFSET(D2104,-2,0)=D2104,"",VLOOKUP(D2104,契約台帳!$A$3:$R$4986,18,FALSE)))</f>
        <v>2</v>
      </c>
      <c r="W2104" s="269" t="str">
        <f ca="1">IF(D2104="","",IF(T2104="","",IF(OR(J2104="巻足し",J2104="巻返しリード付け"),"",IF(J2104="巻返し",VLOOKUP(F2104&amp;K2104&amp;M2104,製品マスタ!$M$5:$AD$5002,18,FALSE),IF(OR(J2104="リード付け",J2104="巻返しリード付け"),"原反コア",IF(J2104="スリット",VLOOKUP(F2104&amp;K2104&amp;R2104,製品マスタ!$N$5:$AD$5002,17,FALSE),""))))))</f>
        <v>6ｲﾝﾁMｺｱ</v>
      </c>
      <c r="X2104" s="269">
        <f ca="1">IF(D2104="","",IF(T2104="","",IF(J2104="巻足し","",IF(J2104="巻返し",VLOOKUP(F2104&amp;K2104&amp;M2104,製品マスタ!$M$5:$AE$5002,19,FALSE),IF(OR(J2104="リード付け",J2104="巻返しリード付け"),"",IF(J2104="スリット",VLOOKUP(F2104&amp;K2104&amp;R2104,製品マスタ!$N$5:$AE$5002,18,FALSE),""))))))</f>
        <v>1015</v>
      </c>
      <c r="Y2104" s="275">
        <f ca="1">IF(D2104="","",IF(T2104="","",VLOOKUP(D2104,契約台帳!$A$3:$Q$4986,17,FALSE)))</f>
        <v>2</v>
      </c>
      <c r="Z2104" s="269" t="str">
        <f ca="1">IF(D2104="","",IF(T2104="","",VLOOKUP(D2104,契約台帳!$A$3:$E$4986,5,FALSE)))</f>
        <v>リンテック㈱</v>
      </c>
      <c r="AA2104" s="57"/>
      <c r="AB2104" s="207"/>
      <c r="AC2104" s="33"/>
      <c r="AD2104" s="189"/>
      <c r="AE2104" s="54"/>
      <c r="AF2104" s="55"/>
      <c r="AG2104" s="43"/>
      <c r="AH2104" s="47"/>
      <c r="AI2104" s="30"/>
      <c r="AJ2104" s="30"/>
      <c r="AK2104" s="30"/>
      <c r="AL2104" s="30"/>
      <c r="AM2104" s="13"/>
      <c r="AN2104" s="13"/>
      <c r="AO2104" s="13"/>
      <c r="AP2104" s="13"/>
      <c r="AQ2104" s="13"/>
      <c r="AR2104" s="14"/>
      <c r="AS2104" s="15"/>
    </row>
    <row r="2105" spans="1:45" s="17" customFormat="1" ht="30.95" hidden="1" customHeight="1" x14ac:dyDescent="0.2">
      <c r="A2105" s="343"/>
      <c r="B2105" s="344"/>
      <c r="C2105" s="345"/>
      <c r="D2105" s="346"/>
      <c r="E2105" s="346"/>
      <c r="F2105" s="268"/>
      <c r="G2105" s="269"/>
      <c r="H2105" s="269"/>
      <c r="I2105" s="270"/>
      <c r="J2105" s="434"/>
      <c r="K2105" s="270"/>
      <c r="L2105" s="270"/>
      <c r="M2105" s="348"/>
      <c r="N2105" s="348"/>
      <c r="O2105" s="435"/>
      <c r="P2105" s="349"/>
      <c r="Q2105" s="350"/>
      <c r="R2105" s="271"/>
      <c r="S2105" s="272"/>
      <c r="T2105" s="273"/>
      <c r="U2105" s="351"/>
      <c r="V2105" s="274"/>
      <c r="W2105" s="269"/>
      <c r="X2105" s="269"/>
      <c r="Y2105" s="275"/>
      <c r="Z2105" s="269"/>
      <c r="AA2105" s="350"/>
      <c r="AB2105" s="207"/>
      <c r="AC2105" s="352"/>
      <c r="AD2105" s="353"/>
      <c r="AE2105" s="54"/>
      <c r="AF2105" s="354"/>
      <c r="AG2105" s="355"/>
      <c r="AH2105" s="349"/>
      <c r="AI2105" s="30"/>
      <c r="AJ2105" s="30"/>
      <c r="AK2105" s="30"/>
      <c r="AL2105" s="30"/>
      <c r="AM2105" s="13"/>
      <c r="AN2105" s="13"/>
      <c r="AO2105" s="13"/>
      <c r="AP2105" s="13"/>
      <c r="AQ2105" s="13"/>
      <c r="AR2105" s="14"/>
      <c r="AS2105" s="15"/>
    </row>
    <row r="2106" spans="1:45" s="17" customFormat="1" ht="30.95" hidden="1" customHeight="1" x14ac:dyDescent="0.2">
      <c r="A2106" s="37"/>
      <c r="B2106" s="38"/>
      <c r="C2106" s="45"/>
      <c r="D2106" s="31">
        <v>3758072</v>
      </c>
      <c r="E2106" s="31">
        <v>4141149</v>
      </c>
      <c r="F2106" s="268" t="str">
        <f>IF(D2106="","",VLOOKUP(D2106,契約台帳!$A$3:$K$4986,6,FALSE)&amp;VLOOKUP(D2106,契約台帳!$A$3:$K$4986,7,FALSE)&amp;VLOOKUP(D2106,契約台帳!$A$3:$K$4986,8,FALSE)&amp;VLOOKUP(D2106,契約台帳!$A$3:$K$4986,9,FALSE)&amp;VLOOKUP(D2106,契約台帳!$A$3:$K$4986,11,FALSE))</f>
        <v>33SSNMCLBTETKFV</v>
      </c>
      <c r="G2106" s="269" t="str">
        <f>IF(D2106="","",VLOOKUP(F2106,製品マスタ!$G$5:$H$5002,2,FALSE))</f>
        <v>S</v>
      </c>
      <c r="H2106" s="269" t="str">
        <f>IF(D2106="","",VLOOKUP(F2106,製品マスタ!$G$5:$K$5002,5,FALSE))</f>
        <v>TETKFV</v>
      </c>
      <c r="I2106" s="270" t="str">
        <f>IF(D2106="","",VLOOKUP(F2106,製品マスタ!$G$5:$L$5002,6,FALSE))</f>
        <v>メタルミー　ＴＥＳ艶開封　Ｖ</v>
      </c>
      <c r="J2106" s="210" t="s">
        <v>447</v>
      </c>
      <c r="K2106" s="270">
        <f>IF(D2106="","",VLOOKUP(D2106,契約台帳!$A$3:$L$4986,12,FALSE))</f>
        <v>50</v>
      </c>
      <c r="L2106" s="270" t="str">
        <f>IF(D2106="","",INDEX(製品マスタ!$Q$5:$Q$5002,MATCH('S4'!F2106&amp;'S4'!K2106,製品マスタ!$AO$5:$AO$5002,0)))</f>
        <v>S28SEPA</v>
      </c>
      <c r="M2106" s="39">
        <v>1005</v>
      </c>
      <c r="N2106" s="39">
        <v>12300</v>
      </c>
      <c r="O2106" s="156">
        <v>1</v>
      </c>
      <c r="P2106" s="47">
        <v>1</v>
      </c>
      <c r="Q2106" s="57"/>
      <c r="R2106" s="271">
        <f ca="1">IF(D2106="","",IF(OFFSET(D2106,-1,0)&lt;&gt;"","",IF(OR(J2106="リード付け",J2106="巻足し",J2106="巻返しリード付け"),M2106,VLOOKUP(D2106,契約台帳!$A$3:$N$4986,14,FALSE))))</f>
        <v>1005</v>
      </c>
      <c r="S2106" s="272">
        <f ca="1">IF(D2106="","",IF(OFFSET(D2106,-1,0)&lt;&gt;"","",IF(OR(J2106="リード付け",J2106="巻足し",J2106="巻返しリード付け"),M2106,VLOOKUP(D2106,契約台帳!$A$3:$O$4986,15,FALSE))))</f>
        <v>1000</v>
      </c>
      <c r="T2106" s="273">
        <f ca="1">IF(D2106="","",IF(J2106="リード付け",N2106,IF(J2106="巻返しリード付け",N2106,IF(J2106="巻足し",N2106*P2106+OFFSET(N2106,1,0)*OFFSET(P2106,1,0),VLOOKUP(D2106,契約台帳!$A$3:$P$4986,16,FALSE)))))</f>
        <v>4100</v>
      </c>
      <c r="U2106" s="40">
        <v>3</v>
      </c>
      <c r="V2106" s="274">
        <f ca="1">IF(D2106="","",IF(OFFSET(D2106,-2,0)=D2106,"",VLOOKUP(D2106,契約台帳!$A$3:$R$4986,18,FALSE)))</f>
        <v>3</v>
      </c>
      <c r="W2106" s="269" t="str">
        <f ca="1">IF(D2106="","",IF(T2106="","",IF(OR(J2106="巻足し",J2106="巻返しリード付け"),"",IF(J2106="巻返し",VLOOKUP(F2106&amp;K2106&amp;M2106,製品マスタ!$M$5:$AD$5002,18,FALSE),IF(OR(J2106="リード付け",J2106="巻返しリード付け"),"原反コア",IF(J2106="スリット",VLOOKUP(F2106&amp;K2106&amp;R2106,製品マスタ!$N$5:$AD$5002,17,FALSE),""))))))</f>
        <v>6ｲﾝﾁSｺｱ</v>
      </c>
      <c r="X2106" s="269">
        <f ca="1">IF(D2106="","",IF(T2106="","",IF(J2106="巻足し","",IF(J2106="巻返し",VLOOKUP(F2106&amp;K2106&amp;M2106,製品マスタ!$M$5:$AE$5002,19,FALSE),IF(OR(J2106="リード付け",J2106="巻返しリード付け"),"",IF(J2106="スリット",VLOOKUP(F2106&amp;K2106&amp;R2106,製品マスタ!$N$5:$AE$5002,18,FALSE),""))))))</f>
        <v>1015</v>
      </c>
      <c r="Y2106" s="275">
        <f ca="1">IF(D2106="","",IF(T2106="","",VLOOKUP(D2106,契約台帳!$A$3:$Q$4986,17,FALSE)))</f>
        <v>2</v>
      </c>
      <c r="Z2106" s="269" t="str">
        <f ca="1">IF(D2106="","",IF(T2106="","",VLOOKUP(D2106,契約台帳!$A$3:$E$4986,5,FALSE)))</f>
        <v>リンテック㈱</v>
      </c>
      <c r="AA2106" s="57"/>
      <c r="AB2106" s="207"/>
      <c r="AC2106" s="33"/>
      <c r="AD2106" s="189"/>
      <c r="AE2106" s="54"/>
      <c r="AF2106" s="55"/>
      <c r="AG2106" s="43"/>
      <c r="AH2106" s="47"/>
      <c r="AI2106" s="30"/>
      <c r="AJ2106" s="30"/>
      <c r="AK2106" s="30"/>
      <c r="AL2106" s="30"/>
      <c r="AM2106" s="13"/>
      <c r="AN2106" s="13"/>
      <c r="AO2106" s="13"/>
      <c r="AP2106" s="13"/>
      <c r="AQ2106" s="13"/>
      <c r="AR2106" s="14"/>
      <c r="AS2106" s="15"/>
    </row>
    <row r="2107" spans="1:45" s="17" customFormat="1" ht="30.95" hidden="1" customHeight="1" x14ac:dyDescent="0.2">
      <c r="A2107" s="343"/>
      <c r="B2107" s="344"/>
      <c r="C2107" s="345"/>
      <c r="D2107" s="346"/>
      <c r="E2107" s="346"/>
      <c r="F2107" s="268"/>
      <c r="G2107" s="269"/>
      <c r="H2107" s="269"/>
      <c r="I2107" s="270"/>
      <c r="J2107" s="434"/>
      <c r="K2107" s="270"/>
      <c r="L2107" s="270"/>
      <c r="M2107" s="348"/>
      <c r="N2107" s="348"/>
      <c r="O2107" s="435"/>
      <c r="P2107" s="349"/>
      <c r="Q2107" s="350"/>
      <c r="R2107" s="271"/>
      <c r="S2107" s="272"/>
      <c r="T2107" s="273"/>
      <c r="U2107" s="351"/>
      <c r="V2107" s="274"/>
      <c r="W2107" s="269"/>
      <c r="X2107" s="269"/>
      <c r="Y2107" s="275"/>
      <c r="Z2107" s="269"/>
      <c r="AA2107" s="350"/>
      <c r="AB2107" s="207"/>
      <c r="AC2107" s="352"/>
      <c r="AD2107" s="353"/>
      <c r="AE2107" s="54"/>
      <c r="AF2107" s="354"/>
      <c r="AG2107" s="355"/>
      <c r="AH2107" s="349"/>
      <c r="AI2107" s="30"/>
      <c r="AJ2107" s="30"/>
      <c r="AK2107" s="30"/>
      <c r="AL2107" s="30"/>
      <c r="AM2107" s="13"/>
      <c r="AN2107" s="13"/>
      <c r="AO2107" s="13"/>
      <c r="AP2107" s="13"/>
      <c r="AQ2107" s="13"/>
      <c r="AR2107" s="14"/>
      <c r="AS2107" s="15"/>
    </row>
    <row r="2108" spans="1:45" s="17" customFormat="1" ht="30.95" hidden="1" customHeight="1" x14ac:dyDescent="0.2">
      <c r="A2108" s="37"/>
      <c r="B2108" s="38"/>
      <c r="C2108" s="45"/>
      <c r="D2108" s="31">
        <v>3758073</v>
      </c>
      <c r="E2108" s="31">
        <v>4141158</v>
      </c>
      <c r="F2108" s="268" t="str">
        <f>IF(D2108="","",VLOOKUP(D2108,契約台帳!$A$3:$K$4986,6,FALSE)&amp;VLOOKUP(D2108,契約台帳!$A$3:$K$4986,7,FALSE)&amp;VLOOKUP(D2108,契約台帳!$A$3:$K$4986,8,FALSE)&amp;VLOOKUP(D2108,契約台帳!$A$3:$K$4986,9,FALSE)&amp;VLOOKUP(D2108,契約台帳!$A$3:$K$4986,11,FALSE))</f>
        <v>3SNMCLBTETV0V</v>
      </c>
      <c r="G2108" s="269" t="str">
        <f>IF(D2108="","",VLOOKUP(F2108,製品マスタ!$G$5:$H$5002,2,FALSE))</f>
        <v>S</v>
      </c>
      <c r="H2108" s="269" t="str">
        <f>IF(D2108="","",VLOOKUP(F2108,製品マスタ!$G$5:$K$5002,5,FALSE))</f>
        <v>TETV0V</v>
      </c>
      <c r="I2108" s="270" t="str">
        <f>IF(D2108="","",VLOOKUP(F2108,製品マスタ!$G$5:$L$5002,6,FALSE))</f>
        <v>メタルミー　ＴＥＳ艶ＶＯＩＤＶ</v>
      </c>
      <c r="J2108" s="210" t="s">
        <v>447</v>
      </c>
      <c r="K2108" s="270">
        <f>IF(D2108="","",VLOOKUP(D2108,契約台帳!$A$3:$L$4986,12,FALSE))</f>
        <v>50</v>
      </c>
      <c r="L2108" s="270" t="str">
        <f>IF(D2108="","",INDEX(製品マスタ!$Q$5:$Q$5002,MATCH('S4'!F2108&amp;'S4'!K2108,製品マスタ!$AO$5:$AO$5002,0)))</f>
        <v>S28SEPA</v>
      </c>
      <c r="M2108" s="39">
        <v>1005</v>
      </c>
      <c r="N2108" s="39">
        <v>12300</v>
      </c>
      <c r="O2108" s="156">
        <v>1</v>
      </c>
      <c r="P2108" s="47">
        <v>1</v>
      </c>
      <c r="Q2108" s="57"/>
      <c r="R2108" s="271">
        <f ca="1">IF(D2108="","",IF(OFFSET(D2108,-1,0)&lt;&gt;"","",IF(OR(J2108="リード付け",J2108="巻足し",J2108="巻返しリード付け"),M2108,VLOOKUP(D2108,契約台帳!$A$3:$N$4986,14,FALSE))))</f>
        <v>1005</v>
      </c>
      <c r="S2108" s="272">
        <f ca="1">IF(D2108="","",IF(OFFSET(D2108,-1,0)&lt;&gt;"","",IF(OR(J2108="リード付け",J2108="巻足し",J2108="巻返しリード付け"),M2108,VLOOKUP(D2108,契約台帳!$A$3:$O$4986,15,FALSE))))</f>
        <v>1000</v>
      </c>
      <c r="T2108" s="273">
        <f ca="1">IF(D2108="","",IF(J2108="リード付け",N2108,IF(J2108="巻返しリード付け",N2108,IF(J2108="巻足し",N2108*P2108+OFFSET(N2108,1,0)*OFFSET(P2108,1,0),VLOOKUP(D2108,契約台帳!$A$3:$P$4986,16,FALSE)))))</f>
        <v>4100</v>
      </c>
      <c r="U2108" s="40">
        <v>3</v>
      </c>
      <c r="V2108" s="274">
        <f ca="1">IF(D2108="","",IF(OFFSET(D2108,-2,0)=D2108,"",VLOOKUP(D2108,契約台帳!$A$3:$R$4986,18,FALSE)))</f>
        <v>3</v>
      </c>
      <c r="W2108" s="269" t="str">
        <f ca="1">IF(D2108="","",IF(T2108="","",IF(OR(J2108="巻足し",J2108="巻返しリード付け"),"",IF(J2108="巻返し",VLOOKUP(F2108&amp;K2108&amp;M2108,製品マスタ!$M$5:$AD$5002,18,FALSE),IF(OR(J2108="リード付け",J2108="巻返しリード付け"),"原反コア",IF(J2108="スリット",VLOOKUP(F2108&amp;K2108&amp;R2108,製品マスタ!$N$5:$AD$5002,17,FALSE),""))))))</f>
        <v>6ｲﾝﾁSｺｱ</v>
      </c>
      <c r="X2108" s="269">
        <f ca="1">IF(D2108="","",IF(T2108="","",IF(J2108="巻足し","",IF(J2108="巻返し",VLOOKUP(F2108&amp;K2108&amp;M2108,製品マスタ!$M$5:$AE$5002,19,FALSE),IF(OR(J2108="リード付け",J2108="巻返しリード付け"),"",IF(J2108="スリット",VLOOKUP(F2108&amp;K2108&amp;R2108,製品マスタ!$N$5:$AE$5002,18,FALSE),""))))))</f>
        <v>1015</v>
      </c>
      <c r="Y2108" s="275">
        <f ca="1">IF(D2108="","",IF(T2108="","",VLOOKUP(D2108,契約台帳!$A$3:$Q$4986,17,FALSE)))</f>
        <v>2</v>
      </c>
      <c r="Z2108" s="269" t="str">
        <f ca="1">IF(D2108="","",IF(T2108="","",VLOOKUP(D2108,契約台帳!$A$3:$E$4986,5,FALSE)))</f>
        <v>リンテック㈱</v>
      </c>
      <c r="AA2108" s="57"/>
      <c r="AB2108" s="207"/>
      <c r="AC2108" s="33"/>
      <c r="AD2108" s="189"/>
      <c r="AE2108" s="54"/>
      <c r="AF2108" s="55"/>
      <c r="AG2108" s="43"/>
      <c r="AH2108" s="47"/>
      <c r="AI2108" s="30"/>
      <c r="AJ2108" s="30"/>
      <c r="AK2108" s="30"/>
      <c r="AL2108" s="30"/>
      <c r="AM2108" s="13"/>
      <c r="AN2108" s="13"/>
      <c r="AO2108" s="13"/>
      <c r="AP2108" s="13"/>
      <c r="AQ2108" s="13"/>
      <c r="AR2108" s="14"/>
      <c r="AS2108" s="15"/>
    </row>
    <row r="2109" spans="1:45" s="17" customFormat="1" ht="30.95" hidden="1" customHeight="1" x14ac:dyDescent="0.2">
      <c r="A2109" s="343"/>
      <c r="B2109" s="344"/>
      <c r="C2109" s="345"/>
      <c r="D2109" s="346"/>
      <c r="E2109" s="346"/>
      <c r="F2109" s="268"/>
      <c r="G2109" s="269"/>
      <c r="H2109" s="269"/>
      <c r="I2109" s="270"/>
      <c r="J2109" s="434"/>
      <c r="K2109" s="270"/>
      <c r="L2109" s="270"/>
      <c r="M2109" s="348"/>
      <c r="N2109" s="348"/>
      <c r="O2109" s="435"/>
      <c r="P2109" s="349"/>
      <c r="Q2109" s="350"/>
      <c r="R2109" s="271"/>
      <c r="S2109" s="272"/>
      <c r="T2109" s="273"/>
      <c r="U2109" s="351"/>
      <c r="V2109" s="274"/>
      <c r="W2109" s="269"/>
      <c r="X2109" s="269"/>
      <c r="Y2109" s="275"/>
      <c r="Z2109" s="269"/>
      <c r="AA2109" s="350"/>
      <c r="AB2109" s="207"/>
      <c r="AC2109" s="352"/>
      <c r="AD2109" s="353"/>
      <c r="AE2109" s="54"/>
      <c r="AF2109" s="354"/>
      <c r="AG2109" s="355"/>
      <c r="AH2109" s="349"/>
      <c r="AI2109" s="30"/>
      <c r="AJ2109" s="30"/>
      <c r="AK2109" s="30"/>
      <c r="AL2109" s="30"/>
      <c r="AM2109" s="13"/>
      <c r="AN2109" s="13"/>
      <c r="AO2109" s="13"/>
      <c r="AP2109" s="13"/>
      <c r="AQ2109" s="13"/>
      <c r="AR2109" s="14"/>
      <c r="AS2109" s="15"/>
    </row>
    <row r="2110" spans="1:45" s="17" customFormat="1" ht="30.95" hidden="1" customHeight="1" x14ac:dyDescent="0.2">
      <c r="A2110" s="37" t="s">
        <v>1241</v>
      </c>
      <c r="B2110" s="38" t="s">
        <v>444</v>
      </c>
      <c r="C2110" s="45"/>
      <c r="D2110" s="31">
        <v>3758069</v>
      </c>
      <c r="E2110" s="31">
        <v>4141145</v>
      </c>
      <c r="F2110" s="268" t="str">
        <f>IF(D2110="","",VLOOKUP(D2110,契約台帳!$A$3:$K$4986,6,FALSE)&amp;VLOOKUP(D2110,契約台帳!$A$3:$K$4986,7,FALSE)&amp;VLOOKUP(D2110,契約台帳!$A$3:$K$4986,8,FALSE)&amp;VLOOKUP(D2110,契約台帳!$A$3:$K$4986,9,FALSE)&amp;VLOOKUP(D2110,契約台帳!$A$3:$K$4986,11,FALSE))</f>
        <v>33SSNMCLBTEKKFV</v>
      </c>
      <c r="G2110" s="269" t="str">
        <f>IF(D2110="","",VLOOKUP(F2110,製品マスタ!$G$5:$H$5002,2,FALSE))</f>
        <v>S</v>
      </c>
      <c r="H2110" s="269" t="str">
        <f>IF(D2110="","",VLOOKUP(F2110,製品マスタ!$G$5:$K$5002,5,FALSE))</f>
        <v>TEKKFV</v>
      </c>
      <c r="I2110" s="270" t="str">
        <f>IF(D2110="","",VLOOKUP(F2110,製品マスタ!$G$5:$L$5002,6,FALSE))</f>
        <v>メタルミー　ＴＥＳ消開封　Ｖ</v>
      </c>
      <c r="J2110" s="210" t="s">
        <v>447</v>
      </c>
      <c r="K2110" s="270">
        <f>IF(D2110="","",VLOOKUP(D2110,契約台帳!$A$3:$L$4986,12,FALSE))</f>
        <v>50</v>
      </c>
      <c r="L2110" s="270" t="str">
        <f>IF(D2110="","",INDEX(製品マスタ!$Q$5:$Q$5002,MATCH('S4'!F2110&amp;'S4'!K2110,製品マスタ!$AO$5:$AO$5002,0)))</f>
        <v>X44SEPA</v>
      </c>
      <c r="M2110" s="39">
        <v>1005</v>
      </c>
      <c r="N2110" s="39">
        <v>12000</v>
      </c>
      <c r="O2110" s="156">
        <v>2</v>
      </c>
      <c r="P2110" s="47">
        <v>2</v>
      </c>
      <c r="Q2110" s="57"/>
      <c r="R2110" s="271">
        <f ca="1">IF(D2110="","",IF(OFFSET(D2110,-1,0)&lt;&gt;"","",IF(OR(J2110="リード付け",J2110="巻足し",J2110="巻返しリード付け"),M2110,VLOOKUP(D2110,契約台帳!$A$3:$N$4986,14,FALSE))))</f>
        <v>1005</v>
      </c>
      <c r="S2110" s="272">
        <f ca="1">IF(D2110="","",IF(OFFSET(D2110,-1,0)&lt;&gt;"","",IF(OR(J2110="リード付け",J2110="巻足し",J2110="巻返しリード付け"),M2110,VLOOKUP(D2110,契約台帳!$A$3:$O$4986,15,FALSE))))</f>
        <v>1000</v>
      </c>
      <c r="T2110" s="273">
        <f ca="1">IF(D2110="","",IF(J2110="リード付け",N2110,IF(J2110="巻返しリード付け",N2110,IF(J2110="巻足し",N2110*P2110+OFFSET(N2110,1,0)*OFFSET(P2110,1,0),VLOOKUP(D2110,契約台帳!$A$3:$P$4986,16,FALSE)))))</f>
        <v>4000</v>
      </c>
      <c r="U2110" s="40">
        <v>6</v>
      </c>
      <c r="V2110" s="274">
        <f ca="1">IF(D2110="","",IF(OFFSET(D2110,-2,0)=D2110,"",VLOOKUP(D2110,契約台帳!$A$3:$R$4986,18,FALSE)))</f>
        <v>6</v>
      </c>
      <c r="W2110" s="269" t="str">
        <f ca="1">IF(D2110="","",IF(T2110="","",IF(OR(J2110="巻足し",J2110="巻返しリード付け"),"",IF(J2110="巻返し",VLOOKUP(F2110&amp;K2110&amp;M2110,製品マスタ!$M$5:$AD$5002,18,FALSE),IF(OR(J2110="リード付け",J2110="巻返しリード付け"),"原反コア",IF(J2110="スリット",VLOOKUP(F2110&amp;K2110&amp;R2110,製品マスタ!$N$5:$AD$5002,17,FALSE),""))))))</f>
        <v>6ｲﾝﾁSｺｱ</v>
      </c>
      <c r="X2110" s="269">
        <f ca="1">IF(D2110="","",IF(T2110="","",IF(J2110="巻足し","",IF(J2110="巻返し",VLOOKUP(F2110&amp;K2110&amp;M2110,製品マスタ!$M$5:$AE$5002,19,FALSE),IF(OR(J2110="リード付け",J2110="巻返しリード付け"),"",IF(J2110="スリット",VLOOKUP(F2110&amp;K2110&amp;R2110,製品マスタ!$N$5:$AE$5002,18,FALSE),""))))))</f>
        <v>1015</v>
      </c>
      <c r="Y2110" s="275">
        <f ca="1">IF(D2110="","",IF(T2110="","",VLOOKUP(D2110,契約台帳!$A$3:$Q$4986,17,FALSE)))</f>
        <v>2</v>
      </c>
      <c r="Z2110" s="269" t="str">
        <f ca="1">IF(D2110="","",IF(T2110="","",VLOOKUP(D2110,契約台帳!$A$3:$E$4986,5,FALSE)))</f>
        <v>リンテック㈱</v>
      </c>
      <c r="AA2110" s="57"/>
      <c r="AB2110" s="207"/>
      <c r="AC2110" s="33"/>
      <c r="AD2110" s="189"/>
      <c r="AE2110" s="54"/>
      <c r="AF2110" s="55"/>
      <c r="AG2110" s="43"/>
      <c r="AH2110" s="47"/>
      <c r="AI2110" s="30"/>
      <c r="AJ2110" s="30"/>
      <c r="AK2110" s="30"/>
      <c r="AL2110" s="30"/>
      <c r="AM2110" s="13"/>
      <c r="AN2110" s="13"/>
      <c r="AO2110" s="13"/>
      <c r="AP2110" s="13"/>
      <c r="AQ2110" s="13"/>
      <c r="AR2110" s="14"/>
      <c r="AS2110" s="15"/>
    </row>
    <row r="2111" spans="1:45" s="17" customFormat="1" ht="30.95" hidden="1" customHeight="1" x14ac:dyDescent="0.2">
      <c r="A2111" s="343"/>
      <c r="B2111" s="344"/>
      <c r="C2111" s="345"/>
      <c r="D2111" s="346"/>
      <c r="E2111" s="346"/>
      <c r="F2111" s="268"/>
      <c r="G2111" s="269"/>
      <c r="H2111" s="269"/>
      <c r="I2111" s="270"/>
      <c r="J2111" s="434"/>
      <c r="K2111" s="270"/>
      <c r="L2111" s="270"/>
      <c r="M2111" s="348"/>
      <c r="N2111" s="348"/>
      <c r="O2111" s="435"/>
      <c r="P2111" s="349"/>
      <c r="Q2111" s="350"/>
      <c r="R2111" s="271"/>
      <c r="S2111" s="272"/>
      <c r="T2111" s="273"/>
      <c r="U2111" s="351"/>
      <c r="V2111" s="274"/>
      <c r="W2111" s="269"/>
      <c r="X2111" s="269"/>
      <c r="Y2111" s="275"/>
      <c r="Z2111" s="269"/>
      <c r="AA2111" s="350"/>
      <c r="AB2111" s="207"/>
      <c r="AC2111" s="352"/>
      <c r="AD2111" s="353"/>
      <c r="AE2111" s="54"/>
      <c r="AF2111" s="354"/>
      <c r="AG2111" s="355"/>
      <c r="AH2111" s="349"/>
      <c r="AI2111" s="30"/>
      <c r="AJ2111" s="30"/>
      <c r="AK2111" s="30"/>
      <c r="AL2111" s="30"/>
      <c r="AM2111" s="13"/>
      <c r="AN2111" s="13"/>
      <c r="AO2111" s="13"/>
      <c r="AP2111" s="13"/>
      <c r="AQ2111" s="13"/>
      <c r="AR2111" s="14"/>
      <c r="AS2111" s="15"/>
    </row>
    <row r="2112" spans="1:45" s="17" customFormat="1" ht="30.95" hidden="1" customHeight="1" x14ac:dyDescent="0.2">
      <c r="A2112" s="37"/>
      <c r="B2112" s="38"/>
      <c r="C2112" s="45"/>
      <c r="D2112" s="31">
        <v>3758070</v>
      </c>
      <c r="E2112" s="31">
        <v>4141146</v>
      </c>
      <c r="F2112" s="268" t="str">
        <f>IF(D2112="","",VLOOKUP(D2112,契約台帳!$A$3:$K$4986,6,FALSE)&amp;VLOOKUP(D2112,契約台帳!$A$3:$K$4986,7,FALSE)&amp;VLOOKUP(D2112,契約台帳!$A$3:$K$4986,8,FALSE)&amp;VLOOKUP(D2112,契約台帳!$A$3:$K$4986,9,FALSE)&amp;VLOOKUP(D2112,契約台帳!$A$3:$K$4986,11,FALSE))</f>
        <v>33SSNMCLBTEKV0V</v>
      </c>
      <c r="G2112" s="269" t="str">
        <f>IF(D2112="","",VLOOKUP(F2112,製品マスタ!$G$5:$H$5002,2,FALSE))</f>
        <v>S</v>
      </c>
      <c r="H2112" s="269" t="str">
        <f>IF(D2112="","",VLOOKUP(F2112,製品マスタ!$G$5:$K$5002,5,FALSE))</f>
        <v>TEKV0V</v>
      </c>
      <c r="I2112" s="270" t="str">
        <f>IF(D2112="","",VLOOKUP(F2112,製品マスタ!$G$5:$L$5002,6,FALSE))</f>
        <v>メタルミー　ＴＥ－Ｓ消　ＶＯＩＤ　Ｖ</v>
      </c>
      <c r="J2112" s="210" t="s">
        <v>447</v>
      </c>
      <c r="K2112" s="270">
        <f>IF(D2112="","",VLOOKUP(D2112,契約台帳!$A$3:$L$4986,12,FALSE))</f>
        <v>50</v>
      </c>
      <c r="L2112" s="270" t="str">
        <f>IF(D2112="","",INDEX(製品マスタ!$Q$5:$Q$5002,MATCH('S4'!F2112&amp;'S4'!K2112,製品マスタ!$AO$5:$AO$5002,0)))</f>
        <v>X44SEPA</v>
      </c>
      <c r="M2112" s="39">
        <v>1005</v>
      </c>
      <c r="N2112" s="39">
        <v>12000</v>
      </c>
      <c r="O2112" s="156">
        <v>1</v>
      </c>
      <c r="P2112" s="47">
        <v>1</v>
      </c>
      <c r="Q2112" s="57"/>
      <c r="R2112" s="271">
        <f ca="1">IF(D2112="","",IF(OFFSET(D2112,-1,0)&lt;&gt;"","",IF(OR(J2112="リード付け",J2112="巻足し",J2112="巻返しリード付け"),M2112,VLOOKUP(D2112,契約台帳!$A$3:$N$4986,14,FALSE))))</f>
        <v>1005</v>
      </c>
      <c r="S2112" s="272">
        <f ca="1">IF(D2112="","",IF(OFFSET(D2112,-1,0)&lt;&gt;"","",IF(OR(J2112="リード付け",J2112="巻足し",J2112="巻返しリード付け"),M2112,VLOOKUP(D2112,契約台帳!$A$3:$O$4986,15,FALSE))))</f>
        <v>1000</v>
      </c>
      <c r="T2112" s="273">
        <f ca="1">IF(D2112="","",IF(J2112="リード付け",N2112,IF(J2112="巻返しリード付け",N2112,IF(J2112="巻足し",N2112*P2112+OFFSET(N2112,1,0)*OFFSET(P2112,1,0),VLOOKUP(D2112,契約台帳!$A$3:$P$4986,16,FALSE)))))</f>
        <v>4000</v>
      </c>
      <c r="U2112" s="40">
        <v>3</v>
      </c>
      <c r="V2112" s="274">
        <f ca="1">IF(D2112="","",IF(OFFSET(D2112,-2,0)=D2112,"",VLOOKUP(D2112,契約台帳!$A$3:$R$4986,18,FALSE)))</f>
        <v>5</v>
      </c>
      <c r="W2112" s="269" t="str">
        <f ca="1">IF(D2112="","",IF(T2112="","",IF(OR(J2112="巻足し",J2112="巻返しリード付け"),"",IF(J2112="巻返し",VLOOKUP(F2112&amp;K2112&amp;M2112,製品マスタ!$M$5:$AD$5002,18,FALSE),IF(OR(J2112="リード付け",J2112="巻返しリード付け"),"原反コア",IF(J2112="スリット",VLOOKUP(F2112&amp;K2112&amp;R2112,製品マスタ!$N$5:$AD$5002,17,FALSE),""))))))</f>
        <v>6ｲﾝﾁSｺｱ</v>
      </c>
      <c r="X2112" s="269">
        <f ca="1">IF(D2112="","",IF(T2112="","",IF(J2112="巻足し","",IF(J2112="巻返し",VLOOKUP(F2112&amp;K2112&amp;M2112,製品マスタ!$M$5:$AE$5002,19,FALSE),IF(OR(J2112="リード付け",J2112="巻返しリード付け"),"",IF(J2112="スリット",VLOOKUP(F2112&amp;K2112&amp;R2112,製品マスタ!$N$5:$AE$5002,18,FALSE),""))))))</f>
        <v>1015</v>
      </c>
      <c r="Y2112" s="275">
        <f ca="1">IF(D2112="","",IF(T2112="","",VLOOKUP(D2112,契約台帳!$A$3:$Q$4986,17,FALSE)))</f>
        <v>2</v>
      </c>
      <c r="Z2112" s="269" t="str">
        <f ca="1">IF(D2112="","",IF(T2112="","",VLOOKUP(D2112,契約台帳!$A$3:$E$4986,5,FALSE)))</f>
        <v>リンテック㈱</v>
      </c>
      <c r="AA2112" s="57"/>
      <c r="AB2112" s="207"/>
      <c r="AC2112" s="33"/>
      <c r="AD2112" s="189"/>
      <c r="AE2112" s="54"/>
      <c r="AF2112" s="55"/>
      <c r="AG2112" s="43"/>
      <c r="AH2112" s="47"/>
      <c r="AI2112" s="30"/>
      <c r="AJ2112" s="30"/>
      <c r="AK2112" s="30"/>
      <c r="AL2112" s="30"/>
      <c r="AM2112" s="13"/>
      <c r="AN2112" s="13"/>
      <c r="AO2112" s="13"/>
      <c r="AP2112" s="13"/>
      <c r="AQ2112" s="13"/>
      <c r="AR2112" s="14"/>
      <c r="AS2112" s="15"/>
    </row>
    <row r="2113" spans="1:45" s="17" customFormat="1" ht="30.95" hidden="1" customHeight="1" x14ac:dyDescent="0.2">
      <c r="A2113" s="343"/>
      <c r="B2113" s="344"/>
      <c r="C2113" s="345"/>
      <c r="D2113" s="346"/>
      <c r="E2113" s="346"/>
      <c r="F2113" s="268"/>
      <c r="G2113" s="269"/>
      <c r="H2113" s="269"/>
      <c r="I2113" s="270"/>
      <c r="J2113" s="434"/>
      <c r="K2113" s="270"/>
      <c r="L2113" s="270"/>
      <c r="M2113" s="348"/>
      <c r="N2113" s="348"/>
      <c r="O2113" s="435"/>
      <c r="P2113" s="349"/>
      <c r="Q2113" s="350"/>
      <c r="R2113" s="271"/>
      <c r="S2113" s="272"/>
      <c r="T2113" s="273"/>
      <c r="U2113" s="351"/>
      <c r="V2113" s="274"/>
      <c r="W2113" s="269"/>
      <c r="X2113" s="269"/>
      <c r="Y2113" s="275"/>
      <c r="Z2113" s="269"/>
      <c r="AA2113" s="350"/>
      <c r="AB2113" s="207"/>
      <c r="AC2113" s="352"/>
      <c r="AD2113" s="353"/>
      <c r="AE2113" s="54"/>
      <c r="AF2113" s="354"/>
      <c r="AG2113" s="355"/>
      <c r="AH2113" s="349"/>
      <c r="AI2113" s="30"/>
      <c r="AJ2113" s="30"/>
      <c r="AK2113" s="30"/>
      <c r="AL2113" s="30"/>
      <c r="AM2113" s="13"/>
      <c r="AN2113" s="13"/>
      <c r="AO2113" s="13"/>
      <c r="AP2113" s="13"/>
      <c r="AQ2113" s="13"/>
      <c r="AR2113" s="14"/>
      <c r="AS2113" s="15"/>
    </row>
    <row r="2114" spans="1:45" s="17" customFormat="1" ht="30.95" hidden="1" customHeight="1" x14ac:dyDescent="0.2">
      <c r="A2114" s="37"/>
      <c r="B2114" s="38"/>
      <c r="C2114" s="45"/>
      <c r="D2114" s="31">
        <v>3758070</v>
      </c>
      <c r="E2114" s="31">
        <v>4141146</v>
      </c>
      <c r="F2114" s="268" t="str">
        <f>IF(D2114="","",VLOOKUP(D2114,契約台帳!$A$3:$K$4986,6,FALSE)&amp;VLOOKUP(D2114,契約台帳!$A$3:$K$4986,7,FALSE)&amp;VLOOKUP(D2114,契約台帳!$A$3:$K$4986,8,FALSE)&amp;VLOOKUP(D2114,契約台帳!$A$3:$K$4986,9,FALSE)&amp;VLOOKUP(D2114,契約台帳!$A$3:$K$4986,11,FALSE))</f>
        <v>33SSNMCLBTEKV0V</v>
      </c>
      <c r="G2114" s="269" t="str">
        <f>IF(D2114="","",VLOOKUP(F2114,製品マスタ!$G$5:$H$5002,2,FALSE))</f>
        <v>S</v>
      </c>
      <c r="H2114" s="269" t="str">
        <f>IF(D2114="","",VLOOKUP(F2114,製品マスタ!$G$5:$K$5002,5,FALSE))</f>
        <v>TEKV0V</v>
      </c>
      <c r="I2114" s="270" t="str">
        <f>IF(D2114="","",VLOOKUP(F2114,製品マスタ!$G$5:$L$5002,6,FALSE))</f>
        <v>メタルミー　ＴＥ－Ｓ消　ＶＯＩＤ　Ｖ</v>
      </c>
      <c r="J2114" s="210" t="s">
        <v>447</v>
      </c>
      <c r="K2114" s="270">
        <f>IF(D2114="","",VLOOKUP(D2114,契約台帳!$A$3:$L$4986,12,FALSE))</f>
        <v>50</v>
      </c>
      <c r="L2114" s="270" t="str">
        <f>IF(D2114="","",INDEX(製品マスタ!$Q$5:$Q$5002,MATCH('S4'!F2114&amp;'S4'!K2114,製品マスタ!$AO$5:$AO$5002,0)))</f>
        <v>X44SEPA</v>
      </c>
      <c r="M2114" s="39">
        <v>1005</v>
      </c>
      <c r="N2114" s="39">
        <v>12000</v>
      </c>
      <c r="O2114" s="156">
        <v>1</v>
      </c>
      <c r="P2114" s="47">
        <v>1</v>
      </c>
      <c r="Q2114" s="57"/>
      <c r="R2114" s="271">
        <f ca="1">IF(D2114="","",IF(OFFSET(D2114,-1,0)&lt;&gt;"","",IF(OR(J2114="リード付け",J2114="巻足し",J2114="巻返しリード付け"),M2114,VLOOKUP(D2114,契約台帳!$A$3:$N$4986,14,FALSE))))</f>
        <v>1005</v>
      </c>
      <c r="S2114" s="272">
        <f ca="1">IF(D2114="","",IF(OFFSET(D2114,-1,0)&lt;&gt;"","",IF(OR(J2114="リード付け",J2114="巻足し",J2114="巻返しリード付け"),M2114,VLOOKUP(D2114,契約台帳!$A$3:$O$4986,15,FALSE))))</f>
        <v>1000</v>
      </c>
      <c r="T2114" s="273">
        <f ca="1">IF(D2114="","",IF(J2114="リード付け",N2114,IF(J2114="巻返しリード付け",N2114,IF(J2114="巻足し",N2114*P2114+OFFSET(N2114,1,0)*OFFSET(P2114,1,0),VLOOKUP(D2114,契約台帳!$A$3:$P$4986,16,FALSE)))))</f>
        <v>4000</v>
      </c>
      <c r="U2114" s="40">
        <v>2</v>
      </c>
      <c r="V2114" s="274" t="str">
        <f ca="1">IF(D2114="","",IF(OFFSET(D2114,-2,0)=D2114,"",VLOOKUP(D2114,契約台帳!$A$3:$R$4986,18,FALSE)))</f>
        <v/>
      </c>
      <c r="W2114" s="269" t="str">
        <f ca="1">IF(D2114="","",IF(T2114="","",IF(OR(J2114="巻足し",J2114="巻返しリード付け"),"",IF(J2114="巻返し",VLOOKUP(F2114&amp;K2114&amp;M2114,製品マスタ!$M$5:$AD$5002,18,FALSE),IF(OR(J2114="リード付け",J2114="巻返しリード付け"),"原反コア",IF(J2114="スリット",VLOOKUP(F2114&amp;K2114&amp;R2114,製品マスタ!$N$5:$AD$5002,17,FALSE),""))))))</f>
        <v>6ｲﾝﾁSｺｱ</v>
      </c>
      <c r="X2114" s="269">
        <f ca="1">IF(D2114="","",IF(T2114="","",IF(J2114="巻足し","",IF(J2114="巻返し",VLOOKUP(F2114&amp;K2114&amp;M2114,製品マスタ!$M$5:$AE$5002,19,FALSE),IF(OR(J2114="リード付け",J2114="巻返しリード付け"),"",IF(J2114="スリット",VLOOKUP(F2114&amp;K2114&amp;R2114,製品マスタ!$N$5:$AE$5002,18,FALSE),""))))))</f>
        <v>1015</v>
      </c>
      <c r="Y2114" s="275">
        <f ca="1">IF(D2114="","",IF(T2114="","",VLOOKUP(D2114,契約台帳!$A$3:$Q$4986,17,FALSE)))</f>
        <v>2</v>
      </c>
      <c r="Z2114" s="269" t="str">
        <f ca="1">IF(D2114="","",IF(T2114="","",VLOOKUP(D2114,契約台帳!$A$3:$E$4986,5,FALSE)))</f>
        <v>リンテック㈱</v>
      </c>
      <c r="AA2114" s="57"/>
      <c r="AB2114" s="207"/>
      <c r="AC2114" s="33"/>
      <c r="AD2114" s="189"/>
      <c r="AE2114" s="54"/>
      <c r="AF2114" s="55"/>
      <c r="AG2114" s="43"/>
      <c r="AH2114" s="47"/>
      <c r="AI2114" s="30"/>
      <c r="AJ2114" s="30"/>
      <c r="AK2114" s="30"/>
      <c r="AL2114" s="30"/>
      <c r="AM2114" s="13"/>
      <c r="AN2114" s="13"/>
      <c r="AO2114" s="13"/>
      <c r="AP2114" s="13"/>
      <c r="AQ2114" s="13"/>
      <c r="AR2114" s="14"/>
      <c r="AS2114" s="15"/>
    </row>
    <row r="2115" spans="1:45" s="17" customFormat="1" ht="30.95" hidden="1" customHeight="1" x14ac:dyDescent="0.2">
      <c r="A2115" s="37"/>
      <c r="B2115" s="38"/>
      <c r="C2115" s="45"/>
      <c r="D2115" s="31">
        <v>3758071</v>
      </c>
      <c r="E2115" s="31"/>
      <c r="F2115" s="268" t="str">
        <f>IF(D2115="","",VLOOKUP(D2115,契約台帳!$A$3:$K$4986,6,FALSE)&amp;VLOOKUP(D2115,契約台帳!$A$3:$K$4986,7,FALSE)&amp;VLOOKUP(D2115,契約台帳!$A$3:$K$4986,8,FALSE)&amp;VLOOKUP(D2115,契約台帳!$A$3:$K$4986,9,FALSE)&amp;VLOOKUP(D2115,契約台帳!$A$3:$K$4986,11,FALSE))</f>
        <v>33SSYMCLBTEKV0V</v>
      </c>
      <c r="G2115" s="269" t="str">
        <f>IF(D2115="","",VLOOKUP(F2115,製品マスタ!$G$5:$H$5002,2,FALSE))</f>
        <v>S</v>
      </c>
      <c r="H2115" s="269" t="str">
        <f>IF(D2115="","",VLOOKUP(F2115,製品マスタ!$G$5:$K$5002,5,FALSE))</f>
        <v>TEKV0V</v>
      </c>
      <c r="I2115" s="270" t="str">
        <f>IF(D2115="","",VLOOKUP(F2115,製品マスタ!$G$5:$L$5002,6,FALSE))</f>
        <v>メタルミー　ＴＥ－Ｓ消　ＶＯＩＤ　Ｖ</v>
      </c>
      <c r="J2115" s="210" t="s">
        <v>447</v>
      </c>
      <c r="K2115" s="270">
        <f>IF(D2115="","",VLOOKUP(D2115,契約台帳!$A$3:$L$4986,12,FALSE))</f>
        <v>50</v>
      </c>
      <c r="L2115" s="270" t="str">
        <f>IF(D2115="","",INDEX(製品マスタ!$Q$5:$Q$5002,MATCH('S4'!F2115&amp;'S4'!K2115,製品マスタ!$AO$5:$AO$5002,0)))</f>
        <v>X44SEPA</v>
      </c>
      <c r="M2115" s="39"/>
      <c r="N2115" s="39"/>
      <c r="O2115" s="156"/>
      <c r="P2115" s="47"/>
      <c r="Q2115" s="57"/>
      <c r="R2115" s="271">
        <v>1005</v>
      </c>
      <c r="S2115" s="272">
        <v>1000</v>
      </c>
      <c r="T2115" s="273">
        <f ca="1">IF(D2115="","",IF(J2115="リード付け",N2115,IF(J2115="巻返しリード付け",N2115,IF(J2115="巻足し",N2115*P2115+OFFSET(N2115,1,0)*OFFSET(P2115,1,0),VLOOKUP(D2115,契約台帳!$A$3:$P$4986,16,FALSE)))))</f>
        <v>4000</v>
      </c>
      <c r="U2115" s="40">
        <v>1</v>
      </c>
      <c r="V2115" s="274">
        <f ca="1">IF(D2115="","",IF(OFFSET(D2115,-2,0)=D2115,"",VLOOKUP(D2115,契約台帳!$A$3:$R$4986,18,FALSE)))</f>
        <v>1</v>
      </c>
      <c r="W2115" s="269" t="s">
        <v>806</v>
      </c>
      <c r="X2115" s="269">
        <v>1015</v>
      </c>
      <c r="Y2115" s="275">
        <f ca="1">IF(D2115="","",IF(T2115="","",VLOOKUP(D2115,契約台帳!$A$3:$Q$4986,17,FALSE)))</f>
        <v>2</v>
      </c>
      <c r="Z2115" s="269" t="str">
        <f ca="1">IF(D2115="","",IF(T2115="","",VLOOKUP(D2115,契約台帳!$A$3:$E$4986,5,FALSE)))</f>
        <v>リンテック㈱</v>
      </c>
      <c r="AA2115" s="57"/>
      <c r="AB2115" s="424" t="s">
        <v>2330</v>
      </c>
      <c r="AC2115" s="33"/>
      <c r="AD2115" s="189"/>
      <c r="AE2115" s="54"/>
      <c r="AF2115" s="55"/>
      <c r="AG2115" s="43"/>
      <c r="AH2115" s="47"/>
      <c r="AI2115" s="30"/>
      <c r="AJ2115" s="30"/>
      <c r="AK2115" s="30"/>
      <c r="AL2115" s="30"/>
      <c r="AM2115" s="13"/>
      <c r="AN2115" s="13"/>
      <c r="AO2115" s="13"/>
      <c r="AP2115" s="13"/>
      <c r="AQ2115" s="13"/>
      <c r="AR2115" s="14"/>
      <c r="AS2115" s="15"/>
    </row>
    <row r="2116" spans="1:45" s="17" customFormat="1" ht="30.95" hidden="1" customHeight="1" x14ac:dyDescent="0.2">
      <c r="A2116" s="343"/>
      <c r="B2116" s="344"/>
      <c r="C2116" s="345"/>
      <c r="D2116" s="346"/>
      <c r="E2116" s="346"/>
      <c r="F2116" s="268"/>
      <c r="G2116" s="269"/>
      <c r="H2116" s="269"/>
      <c r="I2116" s="270"/>
      <c r="J2116" s="434"/>
      <c r="K2116" s="270"/>
      <c r="L2116" s="270"/>
      <c r="M2116" s="348"/>
      <c r="N2116" s="348"/>
      <c r="O2116" s="435"/>
      <c r="P2116" s="349"/>
      <c r="Q2116" s="350"/>
      <c r="R2116" s="271"/>
      <c r="S2116" s="272"/>
      <c r="T2116" s="273"/>
      <c r="U2116" s="351"/>
      <c r="V2116" s="274"/>
      <c r="W2116" s="269"/>
      <c r="X2116" s="269"/>
      <c r="Y2116" s="275"/>
      <c r="Z2116" s="269"/>
      <c r="AA2116" s="350"/>
      <c r="AB2116" s="207"/>
      <c r="AC2116" s="352"/>
      <c r="AD2116" s="353"/>
      <c r="AE2116" s="54"/>
      <c r="AF2116" s="354"/>
      <c r="AG2116" s="355"/>
      <c r="AH2116" s="349"/>
      <c r="AI2116" s="30"/>
      <c r="AJ2116" s="30"/>
      <c r="AK2116" s="30"/>
      <c r="AL2116" s="30"/>
      <c r="AM2116" s="13"/>
      <c r="AN2116" s="13"/>
      <c r="AO2116" s="13"/>
      <c r="AP2116" s="13"/>
      <c r="AQ2116" s="13"/>
      <c r="AR2116" s="14"/>
      <c r="AS2116" s="15"/>
    </row>
    <row r="2117" spans="1:45" s="17" customFormat="1" ht="30.95" hidden="1" customHeight="1" x14ac:dyDescent="0.2">
      <c r="A2117" s="37"/>
      <c r="B2117" s="38"/>
      <c r="C2117" s="45"/>
      <c r="D2117" s="31">
        <v>3760303</v>
      </c>
      <c r="E2117" s="31">
        <v>4141165</v>
      </c>
      <c r="F2117" s="268" t="str">
        <f>IF(D2117="","",VLOOKUP(D2117,契約台帳!$A$3:$K$4986,6,FALSE)&amp;VLOOKUP(D2117,契約台帳!$A$3:$K$4986,7,FALSE)&amp;VLOOKUP(D2117,契約台帳!$A$3:$K$4986,8,FALSE)&amp;VLOOKUP(D2117,契約台帳!$A$3:$K$4986,9,FALSE)&amp;VLOOKUP(D2117,契約台帳!$A$3:$K$4986,11,FALSE))</f>
        <v>3TNMCLBHLKTV</v>
      </c>
      <c r="G2117" s="269" t="str">
        <f>IF(D2117="","",VLOOKUP(F2117,製品マスタ!$G$5:$H$5002,2,FALSE))</f>
        <v>T</v>
      </c>
      <c r="H2117" s="269" t="str">
        <f>IF(D2117="","",VLOOKUP(F2117,製品マスタ!$G$5:$K$5002,5,FALSE))</f>
        <v>HLKTV</v>
      </c>
      <c r="I2117" s="270" t="str">
        <f>IF(D2117="","",VLOOKUP(F2117,製品マスタ!$G$5:$L$5002,6,FALSE))</f>
        <v>メタルミー　ヘヤライン金艶　Ｖ</v>
      </c>
      <c r="J2117" s="210" t="s">
        <v>447</v>
      </c>
      <c r="K2117" s="270">
        <f>IF(D2117="","",VLOOKUP(D2117,契約台帳!$A$3:$L$4986,12,FALSE))</f>
        <v>50</v>
      </c>
      <c r="L2117" s="270" t="str">
        <f>IF(D2117="","",INDEX(製品マスタ!$Q$5:$Q$5002,MATCH('S4'!F2117&amp;'S4'!K2117,製品マスタ!$AO$5:$AO$5002,0)))</f>
        <v>HL50/EC</v>
      </c>
      <c r="M2117" s="39">
        <v>1030</v>
      </c>
      <c r="N2117" s="39">
        <v>4100</v>
      </c>
      <c r="O2117" s="156">
        <v>1</v>
      </c>
      <c r="P2117" s="47">
        <v>1</v>
      </c>
      <c r="Q2117" s="57"/>
      <c r="R2117" s="271">
        <f ca="1">IF(D2117="","",IF(OFFSET(D2117,-1,0)&lt;&gt;"","",IF(OR(J2117="リード付け",J2117="巻足し",J2117="巻返しリード付け"),M2117,VLOOKUP(D2117,契約台帳!$A$3:$N$4986,14,FALSE))))</f>
        <v>1000</v>
      </c>
      <c r="S2117" s="272">
        <f ca="1">IF(D2117="","",IF(OFFSET(D2117,-1,0)&lt;&gt;"","",IF(OR(J2117="リード付け",J2117="巻足し",J2117="巻返しリード付け"),M2117,VLOOKUP(D2117,契約台帳!$A$3:$O$4986,15,FALSE))))</f>
        <v>1000</v>
      </c>
      <c r="T2117" s="273">
        <f ca="1">IF(D2117="","",IF(J2117="リード付け",N2117,IF(J2117="巻返しリード付け",N2117,IF(J2117="巻足し",N2117*P2117+OFFSET(N2117,1,0)*OFFSET(P2117,1,0),VLOOKUP(D2117,契約台帳!$A$3:$P$4986,16,FALSE)))))</f>
        <v>2000</v>
      </c>
      <c r="U2117" s="40">
        <v>2</v>
      </c>
      <c r="V2117" s="274">
        <f ca="1">IF(D2117="","",IF(OFFSET(D2117,-2,0)=D2117,"",VLOOKUP(D2117,契約台帳!$A$3:$R$4986,18,FALSE)))</f>
        <v>2</v>
      </c>
      <c r="W2117" s="269" t="str">
        <f ca="1">IF(D2117="","",IF(T2117="","",IF(OR(J2117="巻足し",J2117="巻返しリード付け"),"",IF(J2117="巻返し",VLOOKUP(F2117&amp;K2117&amp;M2117,製品マスタ!$M$5:$AD$5002,18,FALSE),IF(OR(J2117="リード付け",J2117="巻返しリード付け"),"原反コア",IF(J2117="スリット",VLOOKUP(F2117&amp;K2117&amp;R2117,製品マスタ!$N$5:$AD$5002,17,FALSE),""))))))</f>
        <v>6ｲﾝﾁSｺｱ</v>
      </c>
      <c r="X2117" s="269">
        <f ca="1">IF(D2117="","",IF(T2117="","",IF(J2117="巻足し","",IF(J2117="巻返し",VLOOKUP(F2117&amp;K2117&amp;M2117,製品マスタ!$M$5:$AE$5002,19,FALSE),IF(OR(J2117="リード付け",J2117="巻返しリード付け"),"",IF(J2117="スリット",VLOOKUP(F2117&amp;K2117&amp;R2117,製品マスタ!$N$5:$AE$5002,18,FALSE),""))))))</f>
        <v>1015</v>
      </c>
      <c r="Y2117" s="275">
        <f ca="1">IF(D2117="","",IF(T2117="","",VLOOKUP(D2117,契約台帳!$A$3:$Q$4986,17,FALSE)))</f>
        <v>2</v>
      </c>
      <c r="Z2117" s="269" t="str">
        <f ca="1">IF(D2117="","",IF(T2117="","",VLOOKUP(D2117,契約台帳!$A$3:$E$4986,5,FALSE)))</f>
        <v>リンテック㈱</v>
      </c>
      <c r="AA2117" s="57"/>
      <c r="AB2117" s="207" t="s">
        <v>774</v>
      </c>
      <c r="AC2117" s="33"/>
      <c r="AD2117" s="189"/>
      <c r="AE2117" s="54"/>
      <c r="AF2117" s="55"/>
      <c r="AG2117" s="43"/>
      <c r="AH2117" s="47"/>
      <c r="AI2117" s="30"/>
      <c r="AJ2117" s="30"/>
      <c r="AK2117" s="30"/>
      <c r="AL2117" s="30"/>
      <c r="AM2117" s="13"/>
      <c r="AN2117" s="13"/>
      <c r="AO2117" s="13"/>
      <c r="AP2117" s="13"/>
      <c r="AQ2117" s="13"/>
      <c r="AR2117" s="14"/>
      <c r="AS2117" s="15"/>
    </row>
    <row r="2118" spans="1:45" s="17" customFormat="1" ht="30.95" hidden="1" customHeight="1" x14ac:dyDescent="0.2">
      <c r="A2118" s="343"/>
      <c r="B2118" s="344"/>
      <c r="C2118" s="345"/>
      <c r="D2118" s="346"/>
      <c r="E2118" s="346"/>
      <c r="F2118" s="268"/>
      <c r="G2118" s="269"/>
      <c r="H2118" s="269"/>
      <c r="I2118" s="270"/>
      <c r="J2118" s="434"/>
      <c r="K2118" s="270"/>
      <c r="L2118" s="270"/>
      <c r="M2118" s="348"/>
      <c r="N2118" s="348"/>
      <c r="O2118" s="435"/>
      <c r="P2118" s="349"/>
      <c r="Q2118" s="350"/>
      <c r="R2118" s="271"/>
      <c r="S2118" s="272"/>
      <c r="T2118" s="273"/>
      <c r="U2118" s="351"/>
      <c r="V2118" s="274"/>
      <c r="W2118" s="269"/>
      <c r="X2118" s="269"/>
      <c r="Y2118" s="275"/>
      <c r="Z2118" s="269"/>
      <c r="AA2118" s="350"/>
      <c r="AB2118" s="207"/>
      <c r="AC2118" s="352"/>
      <c r="AD2118" s="353"/>
      <c r="AE2118" s="54"/>
      <c r="AF2118" s="354"/>
      <c r="AG2118" s="355"/>
      <c r="AH2118" s="349"/>
      <c r="AI2118" s="30"/>
      <c r="AJ2118" s="30"/>
      <c r="AK2118" s="30"/>
      <c r="AL2118" s="30"/>
      <c r="AM2118" s="13"/>
      <c r="AN2118" s="13"/>
      <c r="AO2118" s="13"/>
      <c r="AP2118" s="13"/>
      <c r="AQ2118" s="13"/>
      <c r="AR2118" s="14"/>
      <c r="AS2118" s="15"/>
    </row>
    <row r="2119" spans="1:45" s="17" customFormat="1" ht="30.95" hidden="1" customHeight="1" x14ac:dyDescent="0.2">
      <c r="A2119" s="37"/>
      <c r="B2119" s="38"/>
      <c r="C2119" s="45"/>
      <c r="D2119" s="31">
        <v>3760302</v>
      </c>
      <c r="E2119" s="31">
        <v>4141164</v>
      </c>
      <c r="F2119" s="268" t="str">
        <f>IF(D2119="","",VLOOKUP(D2119,契約台帳!$A$3:$K$4986,6,FALSE)&amp;VLOOKUP(D2119,契約台帳!$A$3:$K$4986,7,FALSE)&amp;VLOOKUP(D2119,契約台帳!$A$3:$K$4986,8,FALSE)&amp;VLOOKUP(D2119,契約台帳!$A$3:$K$4986,9,FALSE)&amp;VLOOKUP(D2119,契約台帳!$A$3:$K$4986,11,FALSE))</f>
        <v>3TNMCLBHLKTV</v>
      </c>
      <c r="G2119" s="269" t="str">
        <f>IF(D2119="","",VLOOKUP(F2119,製品マスタ!$G$5:$H$5002,2,FALSE))</f>
        <v>T</v>
      </c>
      <c r="H2119" s="269" t="str">
        <f>IF(D2119="","",VLOOKUP(F2119,製品マスタ!$G$5:$K$5002,5,FALSE))</f>
        <v>HLKTV</v>
      </c>
      <c r="I2119" s="270" t="str">
        <f>IF(D2119="","",VLOOKUP(F2119,製品マスタ!$G$5:$L$5002,6,FALSE))</f>
        <v>メタルミー　ヘヤライン金艶　Ｖ</v>
      </c>
      <c r="J2119" s="210" t="s">
        <v>447</v>
      </c>
      <c r="K2119" s="270">
        <f>IF(D2119="","",VLOOKUP(D2119,契約台帳!$A$3:$L$4986,12,FALSE))</f>
        <v>25</v>
      </c>
      <c r="L2119" s="270" t="str">
        <f>IF(D2119="","",INDEX(製品マスタ!$Q$5:$Q$5002,MATCH('S4'!F2119&amp;'S4'!K2119,製品マスタ!$AO$5:$AO$5002,0)))</f>
        <v>HL25/EC</v>
      </c>
      <c r="M2119" s="39">
        <v>1030</v>
      </c>
      <c r="N2119" s="39">
        <v>4000</v>
      </c>
      <c r="O2119" s="156">
        <v>1</v>
      </c>
      <c r="P2119" s="47">
        <v>1</v>
      </c>
      <c r="Q2119" s="57"/>
      <c r="R2119" s="271">
        <f ca="1">IF(D2119="","",IF(OFFSET(D2119,-1,0)&lt;&gt;"","",IF(OR(J2119="リード付け",J2119="巻足し",J2119="巻返しリード付け"),M2119,VLOOKUP(D2119,契約台帳!$A$3:$N$4986,14,FALSE))))</f>
        <v>1000</v>
      </c>
      <c r="S2119" s="272">
        <f ca="1">IF(D2119="","",IF(OFFSET(D2119,-1,0)&lt;&gt;"","",IF(OR(J2119="リード付け",J2119="巻足し",J2119="巻返しリード付け"),M2119,VLOOKUP(D2119,契約台帳!$A$3:$O$4986,15,FALSE))))</f>
        <v>1000</v>
      </c>
      <c r="T2119" s="273">
        <f ca="1">IF(D2119="","",IF(J2119="リード付け",N2119,IF(J2119="巻返しリード付け",N2119,IF(J2119="巻足し",N2119*P2119+OFFSET(N2119,1,0)*OFFSET(P2119,1,0),VLOOKUP(D2119,契約台帳!$A$3:$P$4986,16,FALSE)))))</f>
        <v>2000</v>
      </c>
      <c r="U2119" s="40">
        <v>2</v>
      </c>
      <c r="V2119" s="274">
        <f ca="1">IF(D2119="","",IF(OFFSET(D2119,-2,0)=D2119,"",VLOOKUP(D2119,契約台帳!$A$3:$R$4986,18,FALSE)))</f>
        <v>2</v>
      </c>
      <c r="W2119" s="269" t="str">
        <f ca="1">IF(D2119="","",IF(T2119="","",IF(OR(J2119="巻足し",J2119="巻返しリード付け"),"",IF(J2119="巻返し",VLOOKUP(F2119&amp;K2119&amp;M2119,製品マスタ!$M$5:$AD$5002,18,FALSE),IF(OR(J2119="リード付け",J2119="巻返しリード付け"),"原反コア",IF(J2119="スリット",VLOOKUP(F2119&amp;K2119&amp;R2119,製品マスタ!$N$5:$AD$5002,17,FALSE),""))))))</f>
        <v>6ｲﾝﾁSｺｱ</v>
      </c>
      <c r="X2119" s="269">
        <f ca="1">IF(D2119="","",IF(T2119="","",IF(J2119="巻足し","",IF(J2119="巻返し",VLOOKUP(F2119&amp;K2119&amp;M2119,製品マスタ!$M$5:$AE$5002,19,FALSE),IF(OR(J2119="リード付け",J2119="巻返しリード付け"),"",IF(J2119="スリット",VLOOKUP(F2119&amp;K2119&amp;R2119,製品マスタ!$N$5:$AE$5002,18,FALSE),""))))))</f>
        <v>1015</v>
      </c>
      <c r="Y2119" s="275">
        <f ca="1">IF(D2119="","",IF(T2119="","",VLOOKUP(D2119,契約台帳!$A$3:$Q$4986,17,FALSE)))</f>
        <v>2</v>
      </c>
      <c r="Z2119" s="269" t="str">
        <f ca="1">IF(D2119="","",IF(T2119="","",VLOOKUP(D2119,契約台帳!$A$3:$E$4986,5,FALSE)))</f>
        <v>リンテック㈱</v>
      </c>
      <c r="AA2119" s="57"/>
      <c r="AB2119" s="207" t="s">
        <v>774</v>
      </c>
      <c r="AC2119" s="33"/>
      <c r="AD2119" s="189"/>
      <c r="AE2119" s="54"/>
      <c r="AF2119" s="55"/>
      <c r="AG2119" s="43"/>
      <c r="AH2119" s="47"/>
      <c r="AI2119" s="30"/>
      <c r="AJ2119" s="30"/>
      <c r="AK2119" s="30"/>
      <c r="AL2119" s="30"/>
      <c r="AM2119" s="13"/>
      <c r="AN2119" s="13"/>
      <c r="AO2119" s="13"/>
      <c r="AP2119" s="13"/>
      <c r="AQ2119" s="13"/>
      <c r="AR2119" s="14"/>
      <c r="AS2119" s="15"/>
    </row>
    <row r="2120" spans="1:45" s="17" customFormat="1" ht="30.95" hidden="1" customHeight="1" x14ac:dyDescent="0.2">
      <c r="A2120" s="343"/>
      <c r="B2120" s="344"/>
      <c r="C2120" s="345"/>
      <c r="D2120" s="346"/>
      <c r="E2120" s="346"/>
      <c r="F2120" s="268"/>
      <c r="G2120" s="269"/>
      <c r="H2120" s="269"/>
      <c r="I2120" s="270"/>
      <c r="J2120" s="434"/>
      <c r="K2120" s="270"/>
      <c r="L2120" s="270"/>
      <c r="M2120" s="348"/>
      <c r="N2120" s="348"/>
      <c r="O2120" s="435"/>
      <c r="P2120" s="349"/>
      <c r="Q2120" s="350"/>
      <c r="R2120" s="271"/>
      <c r="S2120" s="272"/>
      <c r="T2120" s="273"/>
      <c r="U2120" s="351"/>
      <c r="V2120" s="274"/>
      <c r="W2120" s="269"/>
      <c r="X2120" s="269"/>
      <c r="Y2120" s="275"/>
      <c r="Z2120" s="269"/>
      <c r="AA2120" s="350"/>
      <c r="AB2120" s="207"/>
      <c r="AC2120" s="352"/>
      <c r="AD2120" s="353"/>
      <c r="AE2120" s="54"/>
      <c r="AF2120" s="354"/>
      <c r="AG2120" s="355"/>
      <c r="AH2120" s="349"/>
      <c r="AI2120" s="30"/>
      <c r="AJ2120" s="30"/>
      <c r="AK2120" s="30"/>
      <c r="AL2120" s="30"/>
      <c r="AM2120" s="13"/>
      <c r="AN2120" s="13"/>
      <c r="AO2120" s="13"/>
      <c r="AP2120" s="13"/>
      <c r="AQ2120" s="13"/>
      <c r="AR2120" s="14"/>
      <c r="AS2120" s="15"/>
    </row>
    <row r="2121" spans="1:45" s="17" customFormat="1" ht="30.95" hidden="1" customHeight="1" x14ac:dyDescent="0.2">
      <c r="A2121" s="37"/>
      <c r="B2121" s="38"/>
      <c r="C2121" s="45"/>
      <c r="D2121" s="31">
        <v>3758079</v>
      </c>
      <c r="E2121" s="31">
        <v>4141161</v>
      </c>
      <c r="F2121" s="268" t="str">
        <f>IF(D2121="","",VLOOKUP(D2121,契約台帳!$A$3:$K$4986,6,FALSE)&amp;VLOOKUP(D2121,契約台帳!$A$3:$K$4986,7,FALSE)&amp;VLOOKUP(D2121,契約台帳!$A$3:$K$4986,8,FALSE)&amp;VLOOKUP(D2121,契約台帳!$A$3:$K$4986,9,FALSE)&amp;VLOOKUP(D2121,契約台帳!$A$3:$K$4986,11,FALSE))</f>
        <v>3TNMCLBHLGTV</v>
      </c>
      <c r="G2121" s="269" t="str">
        <f>IF(D2121="","",VLOOKUP(F2121,製品マスタ!$G$5:$H$5002,2,FALSE))</f>
        <v>T</v>
      </c>
      <c r="H2121" s="269" t="str">
        <f>IF(D2121="","",VLOOKUP(F2121,製品マスタ!$G$5:$K$5002,5,FALSE))</f>
        <v>HLGTV</v>
      </c>
      <c r="I2121" s="270" t="str">
        <f>IF(D2121="","",VLOOKUP(F2121,製品マスタ!$G$5:$L$5002,6,FALSE))</f>
        <v>メタルミー　ヘヤライン　銀艶Ｖ</v>
      </c>
      <c r="J2121" s="210" t="s">
        <v>447</v>
      </c>
      <c r="K2121" s="270">
        <f>IF(D2121="","",VLOOKUP(D2121,契約台帳!$A$3:$L$4986,12,FALSE))</f>
        <v>25</v>
      </c>
      <c r="L2121" s="270" t="str">
        <f>IF(D2121="","",INDEX(製品マスタ!$Q$5:$Q$5002,MATCH('S4'!F2121&amp;'S4'!K2121,製品マスタ!$AO$5:$AO$5002,0)))</f>
        <v>BRIGHT</v>
      </c>
      <c r="M2121" s="39">
        <v>1005</v>
      </c>
      <c r="N2121" s="39">
        <v>8000</v>
      </c>
      <c r="O2121" s="156">
        <v>1</v>
      </c>
      <c r="P2121" s="47">
        <v>1</v>
      </c>
      <c r="Q2121" s="57"/>
      <c r="R2121" s="271">
        <f ca="1">IF(D2121="","",IF(OFFSET(D2121,-1,0)&lt;&gt;"","",IF(OR(J2121="リード付け",J2121="巻足し",J2121="巻返しリード付け"),M2121,VLOOKUP(D2121,契約台帳!$A$3:$N$4986,14,FALSE))))</f>
        <v>1005</v>
      </c>
      <c r="S2121" s="272">
        <f ca="1">IF(D2121="","",IF(OFFSET(D2121,-1,0)&lt;&gt;"","",IF(OR(J2121="リード付け",J2121="巻足し",J2121="巻返しリード付け"),M2121,VLOOKUP(D2121,契約台帳!$A$3:$O$4986,15,FALSE))))</f>
        <v>1000</v>
      </c>
      <c r="T2121" s="273">
        <f ca="1">IF(D2121="","",IF(J2121="リード付け",N2121,IF(J2121="巻返しリード付け",N2121,IF(J2121="巻足し",N2121*P2121+OFFSET(N2121,1,0)*OFFSET(P2121,1,0),VLOOKUP(D2121,契約台帳!$A$3:$P$4986,16,FALSE)))))</f>
        <v>2000</v>
      </c>
      <c r="U2121" s="40">
        <v>4</v>
      </c>
      <c r="V2121" s="274">
        <f ca="1">IF(D2121="","",IF(OFFSET(D2121,-2,0)=D2121,"",VLOOKUP(D2121,契約台帳!$A$3:$R$4986,18,FALSE)))</f>
        <v>4</v>
      </c>
      <c r="W2121" s="269" t="str">
        <f ca="1">IF(D2121="","",IF(T2121="","",IF(OR(J2121="巻足し",J2121="巻返しリード付け"),"",IF(J2121="巻返し",VLOOKUP(F2121&amp;K2121&amp;M2121,製品マスタ!$M$5:$AD$5002,18,FALSE),IF(OR(J2121="リード付け",J2121="巻返しリード付け"),"原反コア",IF(J2121="スリット",VLOOKUP(F2121&amp;K2121&amp;R2121,製品マスタ!$N$5:$AD$5002,17,FALSE),""))))))</f>
        <v>6ｲﾝﾁSｺｱ</v>
      </c>
      <c r="X2121" s="269">
        <f ca="1">IF(D2121="","",IF(T2121="","",IF(J2121="巻足し","",IF(J2121="巻返し",VLOOKUP(F2121&amp;K2121&amp;M2121,製品マスタ!$M$5:$AE$5002,19,FALSE),IF(OR(J2121="リード付け",J2121="巻返しリード付け"),"",IF(J2121="スリット",VLOOKUP(F2121&amp;K2121&amp;R2121,製品マスタ!$N$5:$AE$5002,18,FALSE),""))))))</f>
        <v>1015</v>
      </c>
      <c r="Y2121" s="275">
        <f ca="1">IF(D2121="","",IF(T2121="","",VLOOKUP(D2121,契約台帳!$A$3:$Q$4986,17,FALSE)))</f>
        <v>2</v>
      </c>
      <c r="Z2121" s="269" t="str">
        <f ca="1">IF(D2121="","",IF(T2121="","",VLOOKUP(D2121,契約台帳!$A$3:$E$4986,5,FALSE)))</f>
        <v>リンテック㈱</v>
      </c>
      <c r="AA2121" s="57"/>
      <c r="AB2121" s="207" t="s">
        <v>774</v>
      </c>
      <c r="AC2121" s="33"/>
      <c r="AD2121" s="189"/>
      <c r="AE2121" s="54"/>
      <c r="AF2121" s="55"/>
      <c r="AG2121" s="43"/>
      <c r="AH2121" s="47"/>
      <c r="AI2121" s="30"/>
      <c r="AJ2121" s="30"/>
      <c r="AK2121" s="30"/>
      <c r="AL2121" s="30"/>
      <c r="AM2121" s="13"/>
      <c r="AN2121" s="13"/>
      <c r="AO2121" s="13"/>
      <c r="AP2121" s="13"/>
      <c r="AQ2121" s="13"/>
      <c r="AR2121" s="14"/>
      <c r="AS2121" s="15"/>
    </row>
    <row r="2122" spans="1:45" s="17" customFormat="1" ht="30.95" hidden="1" customHeight="1" x14ac:dyDescent="0.2">
      <c r="A2122" s="343"/>
      <c r="B2122" s="344"/>
      <c r="C2122" s="345"/>
      <c r="D2122" s="346"/>
      <c r="E2122" s="346"/>
      <c r="F2122" s="268"/>
      <c r="G2122" s="269"/>
      <c r="H2122" s="269"/>
      <c r="I2122" s="270"/>
      <c r="J2122" s="434"/>
      <c r="K2122" s="270"/>
      <c r="L2122" s="270"/>
      <c r="M2122" s="348"/>
      <c r="N2122" s="348"/>
      <c r="O2122" s="435"/>
      <c r="P2122" s="349"/>
      <c r="Q2122" s="350"/>
      <c r="R2122" s="271"/>
      <c r="S2122" s="272"/>
      <c r="T2122" s="273"/>
      <c r="U2122" s="351"/>
      <c r="V2122" s="274"/>
      <c r="W2122" s="269"/>
      <c r="X2122" s="269"/>
      <c r="Y2122" s="275"/>
      <c r="Z2122" s="269"/>
      <c r="AA2122" s="350"/>
      <c r="AB2122" s="207"/>
      <c r="AC2122" s="352"/>
      <c r="AD2122" s="353"/>
      <c r="AE2122" s="54"/>
      <c r="AF2122" s="354"/>
      <c r="AG2122" s="355"/>
      <c r="AH2122" s="349"/>
      <c r="AI2122" s="30"/>
      <c r="AJ2122" s="30"/>
      <c r="AK2122" s="30"/>
      <c r="AL2122" s="30"/>
      <c r="AM2122" s="13"/>
      <c r="AN2122" s="13"/>
      <c r="AO2122" s="13"/>
      <c r="AP2122" s="13"/>
      <c r="AQ2122" s="13"/>
      <c r="AR2122" s="14"/>
      <c r="AS2122" s="15"/>
    </row>
    <row r="2123" spans="1:45" s="17" customFormat="1" ht="30.95" hidden="1" customHeight="1" x14ac:dyDescent="0.2">
      <c r="A2123" s="37"/>
      <c r="B2123" s="38"/>
      <c r="C2123" s="45"/>
      <c r="D2123" s="31">
        <v>3758078</v>
      </c>
      <c r="E2123" s="31">
        <v>4141160</v>
      </c>
      <c r="F2123" s="268" t="str">
        <f>IF(D2123="","",VLOOKUP(D2123,契約台帳!$A$3:$K$4986,6,FALSE)&amp;VLOOKUP(D2123,契約台帳!$A$3:$K$4986,7,FALSE)&amp;VLOOKUP(D2123,契約台帳!$A$3:$K$4986,8,FALSE)&amp;VLOOKUP(D2123,契約台帳!$A$3:$K$4986,9,FALSE)&amp;VLOOKUP(D2123,契約台帳!$A$3:$K$4986,11,FALSE))</f>
        <v>3TNMCLBHLGTV</v>
      </c>
      <c r="G2123" s="269" t="str">
        <f>IF(D2123="","",VLOOKUP(F2123,製品マスタ!$G$5:$H$5002,2,FALSE))</f>
        <v>T</v>
      </c>
      <c r="H2123" s="269" t="str">
        <f>IF(D2123="","",VLOOKUP(F2123,製品マスタ!$G$5:$K$5002,5,FALSE))</f>
        <v>HLGTV</v>
      </c>
      <c r="I2123" s="270" t="str">
        <f>IF(D2123="","",VLOOKUP(F2123,製品マスタ!$G$5:$L$5002,6,FALSE))</f>
        <v>メタルミー　ヘヤライン　銀艶Ｖ</v>
      </c>
      <c r="J2123" s="210" t="s">
        <v>447</v>
      </c>
      <c r="K2123" s="270">
        <f>IF(D2123="","",VLOOKUP(D2123,契約台帳!$A$3:$L$4986,12,FALSE))</f>
        <v>25</v>
      </c>
      <c r="L2123" s="270" t="str">
        <f>IF(D2123="","",INDEX(製品マスタ!$Q$5:$Q$5002,MATCH('S4'!F2123&amp;'S4'!K2123,製品マスタ!$AO$5:$AO$5002,0)))</f>
        <v>BRIGHT</v>
      </c>
      <c r="M2123" s="39">
        <v>1005</v>
      </c>
      <c r="N2123" s="39">
        <v>8000</v>
      </c>
      <c r="O2123" s="156">
        <v>1</v>
      </c>
      <c r="P2123" s="47">
        <v>1</v>
      </c>
      <c r="Q2123" s="57"/>
      <c r="R2123" s="271">
        <f ca="1">IF(D2123="","",IF(OFFSET(D2123,-1,0)&lt;&gt;"","",IF(OR(J2123="リード付け",J2123="巻足し",J2123="巻返しリード付け"),M2123,VLOOKUP(D2123,契約台帳!$A$3:$N$4986,14,FALSE))))</f>
        <v>1005</v>
      </c>
      <c r="S2123" s="272">
        <f ca="1">IF(D2123="","",IF(OFFSET(D2123,-1,0)&lt;&gt;"","",IF(OR(J2123="リード付け",J2123="巻足し",J2123="巻返しリード付け"),M2123,VLOOKUP(D2123,契約台帳!$A$3:$O$4986,15,FALSE))))</f>
        <v>1000</v>
      </c>
      <c r="T2123" s="273">
        <f ca="1">IF(D2123="","",IF(J2123="リード付け",N2123,IF(J2123="巻返しリード付け",N2123,IF(J2123="巻足し",N2123*P2123+OFFSET(N2123,1,0)*OFFSET(P2123,1,0),VLOOKUP(D2123,契約台帳!$A$3:$P$4986,16,FALSE)))))</f>
        <v>2000</v>
      </c>
      <c r="U2123" s="40">
        <v>1</v>
      </c>
      <c r="V2123" s="274">
        <f ca="1">IF(D2123="","",IF(OFFSET(D2123,-2,0)=D2123,"",VLOOKUP(D2123,契約台帳!$A$3:$R$4986,18,FALSE)))</f>
        <v>1</v>
      </c>
      <c r="W2123" s="269" t="str">
        <f ca="1">IF(D2123="","",IF(T2123="","",IF(OR(J2123="巻足し",J2123="巻返しリード付け"),"",IF(J2123="巻返し",VLOOKUP(F2123&amp;K2123&amp;M2123,製品マスタ!$M$5:$AD$5002,18,FALSE),IF(OR(J2123="リード付け",J2123="巻返しリード付け"),"原反コア",IF(J2123="スリット",VLOOKUP(F2123&amp;K2123&amp;R2123,製品マスタ!$N$5:$AD$5002,17,FALSE),""))))))</f>
        <v>6ｲﾝﾁSｺｱ</v>
      </c>
      <c r="X2123" s="269">
        <f ca="1">IF(D2123="","",IF(T2123="","",IF(J2123="巻足し","",IF(J2123="巻返し",VLOOKUP(F2123&amp;K2123&amp;M2123,製品マスタ!$M$5:$AE$5002,19,FALSE),IF(OR(J2123="リード付け",J2123="巻返しリード付け"),"",IF(J2123="スリット",VLOOKUP(F2123&amp;K2123&amp;R2123,製品マスタ!$N$5:$AE$5002,18,FALSE),""))))))</f>
        <v>1015</v>
      </c>
      <c r="Y2123" s="275">
        <f ca="1">IF(D2123="","",IF(T2123="","",VLOOKUP(D2123,契約台帳!$A$3:$Q$4986,17,FALSE)))</f>
        <v>2</v>
      </c>
      <c r="Z2123" s="269" t="str">
        <f ca="1">IF(D2123="","",IF(T2123="","",VLOOKUP(D2123,契約台帳!$A$3:$E$4986,5,FALSE)))</f>
        <v>リンテック㈱</v>
      </c>
      <c r="AA2123" s="57"/>
      <c r="AB2123" s="207" t="s">
        <v>774</v>
      </c>
      <c r="AC2123" s="33"/>
      <c r="AD2123" s="189"/>
      <c r="AE2123" s="54"/>
      <c r="AF2123" s="55"/>
      <c r="AG2123" s="43"/>
      <c r="AH2123" s="47"/>
      <c r="AI2123" s="30"/>
      <c r="AJ2123" s="30"/>
      <c r="AK2123" s="30"/>
      <c r="AL2123" s="30"/>
      <c r="AM2123" s="13"/>
      <c r="AN2123" s="13"/>
      <c r="AO2123" s="13"/>
      <c r="AP2123" s="13"/>
      <c r="AQ2123" s="13"/>
      <c r="AR2123" s="14"/>
      <c r="AS2123" s="15"/>
    </row>
    <row r="2124" spans="1:45" s="17" customFormat="1" ht="30.95" hidden="1" customHeight="1" x14ac:dyDescent="0.2">
      <c r="A2124" s="343"/>
      <c r="B2124" s="344"/>
      <c r="C2124" s="345"/>
      <c r="D2124" s="346"/>
      <c r="E2124" s="346"/>
      <c r="F2124" s="268"/>
      <c r="G2124" s="269"/>
      <c r="H2124" s="269"/>
      <c r="I2124" s="270"/>
      <c r="J2124" s="434"/>
      <c r="K2124" s="270"/>
      <c r="L2124" s="270"/>
      <c r="M2124" s="348"/>
      <c r="N2124" s="348"/>
      <c r="O2124" s="435"/>
      <c r="P2124" s="349"/>
      <c r="Q2124" s="350"/>
      <c r="R2124" s="271">
        <v>1005</v>
      </c>
      <c r="S2124" s="272">
        <v>1000</v>
      </c>
      <c r="T2124" s="273">
        <v>6000</v>
      </c>
      <c r="U2124" s="351">
        <v>1</v>
      </c>
      <c r="V2124" s="274">
        <v>1</v>
      </c>
      <c r="W2124" s="269" t="s">
        <v>806</v>
      </c>
      <c r="X2124" s="269">
        <v>1015</v>
      </c>
      <c r="Y2124" s="275">
        <v>2</v>
      </c>
      <c r="Z2124" s="269" t="s">
        <v>116</v>
      </c>
      <c r="AA2124" s="350"/>
      <c r="AB2124" s="207"/>
      <c r="AC2124" s="352"/>
      <c r="AD2124" s="353"/>
      <c r="AE2124" s="54"/>
      <c r="AF2124" s="354"/>
      <c r="AG2124" s="355"/>
      <c r="AH2124" s="349"/>
      <c r="AI2124" s="30"/>
      <c r="AJ2124" s="30"/>
      <c r="AK2124" s="30"/>
      <c r="AL2124" s="30"/>
      <c r="AM2124" s="13"/>
      <c r="AN2124" s="13"/>
      <c r="AO2124" s="13"/>
      <c r="AP2124" s="13"/>
      <c r="AQ2124" s="13"/>
      <c r="AR2124" s="14"/>
      <c r="AS2124" s="15"/>
    </row>
    <row r="2125" spans="1:45" s="17" customFormat="1" ht="30.95" hidden="1" customHeight="1" x14ac:dyDescent="0.2">
      <c r="A2125" s="343"/>
      <c r="B2125" s="344"/>
      <c r="C2125" s="345"/>
      <c r="D2125" s="346"/>
      <c r="E2125" s="346"/>
      <c r="F2125" s="268"/>
      <c r="G2125" s="269"/>
      <c r="H2125" s="269"/>
      <c r="I2125" s="270"/>
      <c r="J2125" s="434"/>
      <c r="K2125" s="270"/>
      <c r="L2125" s="270"/>
      <c r="M2125" s="348"/>
      <c r="N2125" s="348"/>
      <c r="O2125" s="435"/>
      <c r="P2125" s="349"/>
      <c r="Q2125" s="350"/>
      <c r="R2125" s="271"/>
      <c r="S2125" s="272"/>
      <c r="T2125" s="273"/>
      <c r="U2125" s="351"/>
      <c r="V2125" s="274"/>
      <c r="W2125" s="269"/>
      <c r="X2125" s="269"/>
      <c r="Y2125" s="275"/>
      <c r="Z2125" s="269"/>
      <c r="AA2125" s="350"/>
      <c r="AB2125" s="207"/>
      <c r="AC2125" s="352"/>
      <c r="AD2125" s="353"/>
      <c r="AE2125" s="54"/>
      <c r="AF2125" s="354"/>
      <c r="AG2125" s="355"/>
      <c r="AH2125" s="349"/>
      <c r="AI2125" s="30"/>
      <c r="AJ2125" s="30"/>
      <c r="AK2125" s="30"/>
      <c r="AL2125" s="30"/>
      <c r="AM2125" s="13"/>
      <c r="AN2125" s="13"/>
      <c r="AO2125" s="13"/>
      <c r="AP2125" s="13"/>
      <c r="AQ2125" s="13"/>
      <c r="AR2125" s="14"/>
      <c r="AS2125" s="15"/>
    </row>
    <row r="2126" spans="1:45" s="17" customFormat="1" ht="30.95" hidden="1" customHeight="1" x14ac:dyDescent="0.2">
      <c r="A2126" s="343" t="s">
        <v>1243</v>
      </c>
      <c r="B2126" s="344" t="s">
        <v>445</v>
      </c>
      <c r="C2126" s="345"/>
      <c r="D2126" s="346"/>
      <c r="E2126" s="346"/>
      <c r="F2126" s="268"/>
      <c r="G2126" s="269"/>
      <c r="H2126" s="269"/>
      <c r="I2126" s="270"/>
      <c r="J2126" s="434" t="s">
        <v>448</v>
      </c>
      <c r="K2126" s="270"/>
      <c r="L2126" s="270"/>
      <c r="M2126" s="348"/>
      <c r="N2126" s="348"/>
      <c r="O2126" s="435"/>
      <c r="P2126" s="349"/>
      <c r="Q2126" s="350"/>
      <c r="R2126" s="271"/>
      <c r="S2126" s="272"/>
      <c r="T2126" s="273"/>
      <c r="U2126" s="351"/>
      <c r="V2126" s="274"/>
      <c r="W2126" s="269"/>
      <c r="X2126" s="269"/>
      <c r="Y2126" s="275"/>
      <c r="Z2126" s="269"/>
      <c r="AA2126" s="350"/>
      <c r="AB2126" s="207"/>
      <c r="AC2126" s="352"/>
      <c r="AD2126" s="353"/>
      <c r="AE2126" s="54"/>
      <c r="AF2126" s="354"/>
      <c r="AG2126" s="355"/>
      <c r="AH2126" s="349"/>
      <c r="AI2126" s="30"/>
      <c r="AJ2126" s="30"/>
      <c r="AK2126" s="30"/>
      <c r="AL2126" s="30"/>
      <c r="AM2126" s="13"/>
      <c r="AN2126" s="13"/>
      <c r="AO2126" s="13"/>
      <c r="AP2126" s="13"/>
      <c r="AQ2126" s="13"/>
      <c r="AR2126" s="14"/>
      <c r="AS2126" s="15"/>
    </row>
    <row r="2127" spans="1:45" s="17" customFormat="1" ht="30.95" hidden="1" customHeight="1" x14ac:dyDescent="0.2">
      <c r="A2127" s="343"/>
      <c r="B2127" s="344"/>
      <c r="C2127" s="345"/>
      <c r="D2127" s="346"/>
      <c r="E2127" s="346"/>
      <c r="F2127" s="268"/>
      <c r="G2127" s="269"/>
      <c r="H2127" s="269"/>
      <c r="I2127" s="270"/>
      <c r="J2127" s="434"/>
      <c r="K2127" s="270"/>
      <c r="L2127" s="270"/>
      <c r="M2127" s="348"/>
      <c r="N2127" s="348"/>
      <c r="O2127" s="435"/>
      <c r="P2127" s="349"/>
      <c r="Q2127" s="350"/>
      <c r="R2127" s="271"/>
      <c r="S2127" s="272"/>
      <c r="T2127" s="273"/>
      <c r="U2127" s="351"/>
      <c r="V2127" s="274"/>
      <c r="W2127" s="269"/>
      <c r="X2127" s="269"/>
      <c r="Y2127" s="275"/>
      <c r="Z2127" s="269"/>
      <c r="AA2127" s="350"/>
      <c r="AB2127" s="207"/>
      <c r="AC2127" s="352"/>
      <c r="AD2127" s="353"/>
      <c r="AE2127" s="54"/>
      <c r="AF2127" s="354"/>
      <c r="AG2127" s="355"/>
      <c r="AH2127" s="349"/>
      <c r="AI2127" s="30"/>
      <c r="AJ2127" s="30"/>
      <c r="AK2127" s="30"/>
      <c r="AL2127" s="30"/>
      <c r="AM2127" s="13"/>
      <c r="AN2127" s="13"/>
      <c r="AO2127" s="13"/>
      <c r="AP2127" s="13"/>
      <c r="AQ2127" s="13"/>
      <c r="AR2127" s="14"/>
      <c r="AS2127" s="15"/>
    </row>
    <row r="2128" spans="1:45" s="17" customFormat="1" ht="30.95" hidden="1" customHeight="1" x14ac:dyDescent="0.2">
      <c r="A2128" s="343" t="s">
        <v>1211</v>
      </c>
      <c r="B2128" s="344" t="s">
        <v>446</v>
      </c>
      <c r="C2128" s="345"/>
      <c r="D2128" s="346"/>
      <c r="E2128" s="346"/>
      <c r="F2128" s="268"/>
      <c r="G2128" s="269"/>
      <c r="H2128" s="269"/>
      <c r="I2128" s="270"/>
      <c r="J2128" s="434" t="s">
        <v>448</v>
      </c>
      <c r="K2128" s="270"/>
      <c r="L2128" s="270"/>
      <c r="M2128" s="348"/>
      <c r="N2128" s="348"/>
      <c r="O2128" s="435"/>
      <c r="P2128" s="349"/>
      <c r="Q2128" s="350"/>
      <c r="R2128" s="271"/>
      <c r="S2128" s="272"/>
      <c r="T2128" s="273"/>
      <c r="U2128" s="351"/>
      <c r="V2128" s="274"/>
      <c r="W2128" s="269"/>
      <c r="X2128" s="269"/>
      <c r="Y2128" s="275"/>
      <c r="Z2128" s="269"/>
      <c r="AA2128" s="350"/>
      <c r="AB2128" s="207"/>
      <c r="AC2128" s="352"/>
      <c r="AD2128" s="353"/>
      <c r="AE2128" s="54"/>
      <c r="AF2128" s="354"/>
      <c r="AG2128" s="355"/>
      <c r="AH2128" s="349"/>
      <c r="AI2128" s="30"/>
      <c r="AJ2128" s="30"/>
      <c r="AK2128" s="30"/>
      <c r="AL2128" s="30"/>
      <c r="AM2128" s="13"/>
      <c r="AN2128" s="13"/>
      <c r="AO2128" s="13"/>
      <c r="AP2128" s="13"/>
      <c r="AQ2128" s="13"/>
      <c r="AR2128" s="14"/>
      <c r="AS2128" s="15"/>
    </row>
    <row r="2129" spans="1:45" s="17" customFormat="1" ht="30.95" hidden="1" customHeight="1" x14ac:dyDescent="0.2">
      <c r="A2129" s="343"/>
      <c r="B2129" s="344"/>
      <c r="C2129" s="345"/>
      <c r="D2129" s="346"/>
      <c r="E2129" s="346"/>
      <c r="F2129" s="268"/>
      <c r="G2129" s="269"/>
      <c r="H2129" s="269"/>
      <c r="I2129" s="270"/>
      <c r="J2129" s="434"/>
      <c r="K2129" s="270"/>
      <c r="L2129" s="270"/>
      <c r="M2129" s="348"/>
      <c r="N2129" s="348"/>
      <c r="O2129" s="435"/>
      <c r="P2129" s="349"/>
      <c r="Q2129" s="350"/>
      <c r="R2129" s="271"/>
      <c r="S2129" s="272"/>
      <c r="T2129" s="273"/>
      <c r="U2129" s="351"/>
      <c r="V2129" s="274"/>
      <c r="W2129" s="269"/>
      <c r="X2129" s="269"/>
      <c r="Y2129" s="275"/>
      <c r="Z2129" s="269"/>
      <c r="AA2129" s="350"/>
      <c r="AB2129" s="207"/>
      <c r="AC2129" s="352"/>
      <c r="AD2129" s="353"/>
      <c r="AE2129" s="54"/>
      <c r="AF2129" s="354"/>
      <c r="AG2129" s="355"/>
      <c r="AH2129" s="349"/>
      <c r="AI2129" s="30"/>
      <c r="AJ2129" s="30"/>
      <c r="AK2129" s="30"/>
      <c r="AL2129" s="30"/>
      <c r="AM2129" s="13"/>
      <c r="AN2129" s="13"/>
      <c r="AO2129" s="13"/>
      <c r="AP2129" s="13"/>
      <c r="AQ2129" s="13"/>
      <c r="AR2129" s="14"/>
      <c r="AS2129" s="15"/>
    </row>
    <row r="2130" spans="1:45" s="17" customFormat="1" ht="30.95" hidden="1" customHeight="1" x14ac:dyDescent="0.2">
      <c r="A2130" s="343" t="s">
        <v>1212</v>
      </c>
      <c r="B2130" s="344" t="s">
        <v>462</v>
      </c>
      <c r="C2130" s="345"/>
      <c r="D2130" s="346"/>
      <c r="E2130" s="346"/>
      <c r="F2130" s="268"/>
      <c r="G2130" s="269"/>
      <c r="H2130" s="269"/>
      <c r="I2130" s="270"/>
      <c r="J2130" s="434" t="s">
        <v>2906</v>
      </c>
      <c r="K2130" s="270"/>
      <c r="L2130" s="270"/>
      <c r="M2130" s="348"/>
      <c r="N2130" s="348"/>
      <c r="O2130" s="435"/>
      <c r="P2130" s="349"/>
      <c r="Q2130" s="350"/>
      <c r="R2130" s="271"/>
      <c r="S2130" s="272"/>
      <c r="T2130" s="273"/>
      <c r="U2130" s="351"/>
      <c r="V2130" s="274"/>
      <c r="W2130" s="269"/>
      <c r="X2130" s="269"/>
      <c r="Y2130" s="275"/>
      <c r="Z2130" s="269"/>
      <c r="AA2130" s="350"/>
      <c r="AB2130" s="207"/>
      <c r="AC2130" s="352"/>
      <c r="AD2130" s="353"/>
      <c r="AE2130" s="54"/>
      <c r="AF2130" s="354"/>
      <c r="AG2130" s="355"/>
      <c r="AH2130" s="349"/>
      <c r="AI2130" s="30"/>
      <c r="AJ2130" s="30"/>
      <c r="AK2130" s="30"/>
      <c r="AL2130" s="30"/>
      <c r="AM2130" s="13"/>
      <c r="AN2130" s="13"/>
      <c r="AO2130" s="13"/>
      <c r="AP2130" s="13"/>
      <c r="AQ2130" s="13"/>
      <c r="AR2130" s="14"/>
      <c r="AS2130" s="15"/>
    </row>
    <row r="2131" spans="1:45" s="17" customFormat="1" ht="30.95" hidden="1" customHeight="1" x14ac:dyDescent="0.2">
      <c r="A2131" s="343"/>
      <c r="B2131" s="344"/>
      <c r="C2131" s="345"/>
      <c r="D2131" s="346"/>
      <c r="E2131" s="346"/>
      <c r="F2131" s="268"/>
      <c r="G2131" s="269"/>
      <c r="H2131" s="269"/>
      <c r="I2131" s="270"/>
      <c r="J2131" s="434"/>
      <c r="K2131" s="270"/>
      <c r="L2131" s="270"/>
      <c r="M2131" s="348"/>
      <c r="N2131" s="348"/>
      <c r="O2131" s="435"/>
      <c r="P2131" s="349"/>
      <c r="Q2131" s="350"/>
      <c r="R2131" s="271"/>
      <c r="S2131" s="272"/>
      <c r="T2131" s="273"/>
      <c r="U2131" s="351"/>
      <c r="V2131" s="274"/>
      <c r="W2131" s="269"/>
      <c r="X2131" s="269"/>
      <c r="Y2131" s="275"/>
      <c r="Z2131" s="269"/>
      <c r="AA2131" s="350"/>
      <c r="AB2131" s="207"/>
      <c r="AC2131" s="352"/>
      <c r="AD2131" s="353"/>
      <c r="AE2131" s="54"/>
      <c r="AF2131" s="354"/>
      <c r="AG2131" s="355"/>
      <c r="AH2131" s="349"/>
      <c r="AI2131" s="30"/>
      <c r="AJ2131" s="30"/>
      <c r="AK2131" s="30"/>
      <c r="AL2131" s="30"/>
      <c r="AM2131" s="13"/>
      <c r="AN2131" s="13"/>
      <c r="AO2131" s="13"/>
      <c r="AP2131" s="13"/>
      <c r="AQ2131" s="13"/>
      <c r="AR2131" s="14"/>
      <c r="AS2131" s="15"/>
    </row>
    <row r="2132" spans="1:45" s="17" customFormat="1" ht="30.95" hidden="1" customHeight="1" x14ac:dyDescent="0.2">
      <c r="A2132" s="343" t="s">
        <v>1213</v>
      </c>
      <c r="B2132" s="344" t="s">
        <v>688</v>
      </c>
      <c r="C2132" s="345"/>
      <c r="D2132" s="346"/>
      <c r="E2132" s="346"/>
      <c r="F2132" s="268"/>
      <c r="G2132" s="269"/>
      <c r="H2132" s="269"/>
      <c r="I2132" s="270"/>
      <c r="J2132" s="434" t="s">
        <v>2907</v>
      </c>
      <c r="K2132" s="270"/>
      <c r="L2132" s="270"/>
      <c r="M2132" s="348"/>
      <c r="N2132" s="348"/>
      <c r="O2132" s="435"/>
      <c r="P2132" s="349"/>
      <c r="Q2132" s="350"/>
      <c r="R2132" s="271"/>
      <c r="S2132" s="272"/>
      <c r="T2132" s="273"/>
      <c r="U2132" s="351"/>
      <c r="V2132" s="274"/>
      <c r="W2132" s="269"/>
      <c r="X2132" s="269"/>
      <c r="Y2132" s="275"/>
      <c r="Z2132" s="269"/>
      <c r="AA2132" s="350"/>
      <c r="AB2132" s="207"/>
      <c r="AC2132" s="352"/>
      <c r="AD2132" s="353"/>
      <c r="AE2132" s="54"/>
      <c r="AF2132" s="354"/>
      <c r="AG2132" s="355"/>
      <c r="AH2132" s="349"/>
      <c r="AI2132" s="30"/>
      <c r="AJ2132" s="30"/>
      <c r="AK2132" s="30"/>
      <c r="AL2132" s="30"/>
      <c r="AM2132" s="13"/>
      <c r="AN2132" s="13"/>
      <c r="AO2132" s="13"/>
      <c r="AP2132" s="13"/>
      <c r="AQ2132" s="13"/>
      <c r="AR2132" s="14"/>
      <c r="AS2132" s="15"/>
    </row>
    <row r="2133" spans="1:45" s="17" customFormat="1" ht="30.95" hidden="1" customHeight="1" x14ac:dyDescent="0.2">
      <c r="A2133" s="343"/>
      <c r="B2133" s="344"/>
      <c r="C2133" s="345"/>
      <c r="D2133" s="346"/>
      <c r="E2133" s="346"/>
      <c r="F2133" s="268"/>
      <c r="G2133" s="269"/>
      <c r="H2133" s="269"/>
      <c r="I2133" s="270"/>
      <c r="J2133" s="434"/>
      <c r="K2133" s="270"/>
      <c r="L2133" s="270"/>
      <c r="M2133" s="348"/>
      <c r="N2133" s="348"/>
      <c r="O2133" s="435"/>
      <c r="P2133" s="349"/>
      <c r="Q2133" s="350"/>
      <c r="R2133" s="271"/>
      <c r="S2133" s="272"/>
      <c r="T2133" s="273"/>
      <c r="U2133" s="351"/>
      <c r="V2133" s="274"/>
      <c r="W2133" s="269"/>
      <c r="X2133" s="269"/>
      <c r="Y2133" s="275"/>
      <c r="Z2133" s="269"/>
      <c r="AA2133" s="350"/>
      <c r="AB2133" s="207"/>
      <c r="AC2133" s="352"/>
      <c r="AD2133" s="353"/>
      <c r="AE2133" s="54"/>
      <c r="AF2133" s="354"/>
      <c r="AG2133" s="355"/>
      <c r="AH2133" s="349"/>
      <c r="AI2133" s="30"/>
      <c r="AJ2133" s="30"/>
      <c r="AK2133" s="30"/>
      <c r="AL2133" s="30"/>
      <c r="AM2133" s="13"/>
      <c r="AN2133" s="13"/>
      <c r="AO2133" s="13"/>
      <c r="AP2133" s="13"/>
      <c r="AQ2133" s="13"/>
      <c r="AR2133" s="14"/>
      <c r="AS2133" s="15"/>
    </row>
    <row r="2134" spans="1:45" s="17" customFormat="1" ht="30" hidden="1" customHeight="1" x14ac:dyDescent="0.2">
      <c r="A2134" s="343" t="s">
        <v>1225</v>
      </c>
      <c r="B2134" s="344" t="s">
        <v>442</v>
      </c>
      <c r="C2134" s="45"/>
      <c r="D2134" s="31">
        <v>3758060</v>
      </c>
      <c r="E2134" s="31">
        <v>4162340</v>
      </c>
      <c r="F2134" s="268" t="str">
        <f>IF(D2134="","",VLOOKUP(D2134,契約台帳!$A$3:$K$4986,6,FALSE)&amp;VLOOKUP(D2134,契約台帳!$A$3:$K$4986,7,FALSE)&amp;VLOOKUP(D2134,契約台帳!$A$3:$K$4986,8,FALSE)&amp;VLOOKUP(D2134,契約台帳!$A$3:$K$4986,9,FALSE)&amp;VLOOKUP(D2134,契約台帳!$A$3:$K$4986,11,FALSE))</f>
        <v>3SNMCLBMSNEYK</v>
      </c>
      <c r="G2134" s="269" t="str">
        <f>IF(D2134="","",VLOOKUP(F2134,製品マスタ!$G$5:$H$5002,2,FALSE))</f>
        <v>S</v>
      </c>
      <c r="H2134" s="269" t="str">
        <f>IF(D2134="","",VLOOKUP(F2134,製品マスタ!$G$5:$K$5002,5,FALSE))</f>
        <v>MSNEYK</v>
      </c>
      <c r="I2134" s="270" t="str">
        <f>IF(D2134="","",VLOOKUP(F2134,製品マスタ!$G$5:$L$5002,6,FALSE))</f>
        <v>ＭＳＮ　ＥＹＫ</v>
      </c>
      <c r="J2134" s="210" t="s">
        <v>935</v>
      </c>
      <c r="K2134" s="270">
        <f>IF(D2134="","",VLOOKUP(D2134,契約台帳!$A$3:$L$4986,12,FALSE))</f>
        <v>100</v>
      </c>
      <c r="L2134" s="270" t="str">
        <f>IF(D2134="","",INDEX(製品マスタ!$Q$5:$Q$5002,MATCH('S4'!F2134&amp;'S4'!K2134,製品マスタ!$AO$5:$AO$5002,0)))</f>
        <v>N-MAT</v>
      </c>
      <c r="M2134" s="39">
        <v>1205</v>
      </c>
      <c r="N2134" s="39">
        <v>2500</v>
      </c>
      <c r="O2134" s="156">
        <v>2</v>
      </c>
      <c r="P2134" s="47">
        <v>2</v>
      </c>
      <c r="Q2134" s="213">
        <v>45467</v>
      </c>
      <c r="R2134" s="271">
        <f ca="1">IF(D2134="","",IF(OFFSET(D2134,-1,0)&lt;&gt;"","",IF(OR(J2134="リード付け",J2134="巻足し",J2134="巻返しリード付け"),M2134,VLOOKUP(D2134,契約台帳!$A$3:$N$4986,14,FALSE))))</f>
        <v>1205</v>
      </c>
      <c r="S2134" s="272">
        <f ca="1">IF(D2134="","",IF(OFFSET(D2134,-1,0)&lt;&gt;"","",IF(OR(J2134="リード付け",J2134="巻足し",J2134="巻返しリード付け"),M2134,VLOOKUP(D2134,契約台帳!$A$3:$O$4986,15,FALSE))))</f>
        <v>1205</v>
      </c>
      <c r="T2134" s="273">
        <f ca="1">IF(D2134="","",IF(J2134="リード付け",N2134,IF(J2134="巻返しリード付け",N2134,IF(J2134="巻足し",N2134*P2134+OFFSET(N2134,1,0)*OFFSET(P2134,1,0),VLOOKUP(D2134,契約台帳!$A$3:$P$4986,16,FALSE)))))</f>
        <v>5000</v>
      </c>
      <c r="U2134" s="40">
        <v>1</v>
      </c>
      <c r="V2134" s="274">
        <f ca="1">IF(D2134="","",IF(OFFSET(D2134,-2,0)=D2134,"",VLOOKUP(D2134,契約台帳!$A$3:$R$4986,18,FALSE)))</f>
        <v>3</v>
      </c>
      <c r="W2134" s="269" t="str">
        <f ca="1">IF(D2134="","",IF(T2134="","",IF(OR(J2134="巻足し",J2134="巻返しリード付け"),"",IF(J2134="巻返し",VLOOKUP(F2134&amp;K2134&amp;M2134,製品マスタ!$M$5:$AD$5002,18,FALSE),IF(OR(J2134="リード付け",J2134="巻返しリード付け"),"原反コア",IF(J2134="スリット",VLOOKUP(F2134&amp;K2134&amp;R2134,製品マスタ!$N$5:$AD$5002,17,FALSE),""))))))</f>
        <v/>
      </c>
      <c r="X2134" s="269" t="str">
        <f ca="1">IF(D2134="","",IF(T2134="","",IF(J2134="巻足し","",IF(J2134="巻返し",VLOOKUP(F2134&amp;K2134&amp;M2134,製品マスタ!$M$5:$AE$5002,19,FALSE),IF(OR(J2134="リード付け",J2134="巻返しリード付け"),"",IF(J2134="スリット",VLOOKUP(F2134&amp;K2134&amp;R2134,製品マスタ!$N$5:$AE$5002,18,FALSE),""))))))</f>
        <v/>
      </c>
      <c r="Y2134" s="275">
        <f ca="1">IF(D2134="","",IF(T2134="","",VLOOKUP(D2134,契約台帳!$A$3:$Q$4986,17,FALSE)))</f>
        <v>2</v>
      </c>
      <c r="Z2134" s="269" t="str">
        <f ca="1">IF(D2134="","",IF(T2134="","",VLOOKUP(D2134,契約台帳!$A$3:$E$4986,5,FALSE)))</f>
        <v>マルウ接着㈱</v>
      </c>
      <c r="AA2134" s="57"/>
      <c r="AB2134" s="207" t="str">
        <f>IFERROR((VLOOKUP(F2134&amp;K2134&amp;M2134,製品マスタ!$M$5:$AM$5002,27,FALSE)),"")</f>
        <v>原反ケース再利用</v>
      </c>
      <c r="AC2134" s="33"/>
      <c r="AD2134" s="189"/>
      <c r="AE2134" s="54"/>
      <c r="AF2134" s="55">
        <f>+M2134*N2134*O2134/1000</f>
        <v>6025</v>
      </c>
      <c r="AG2134" s="43"/>
      <c r="AH2134" s="47"/>
      <c r="AI2134" s="30"/>
      <c r="AJ2134" s="30"/>
      <c r="AK2134" s="30"/>
      <c r="AL2134" s="30"/>
      <c r="AM2134" s="13"/>
      <c r="AN2134" s="13"/>
      <c r="AO2134" s="13"/>
      <c r="AP2134" s="13"/>
      <c r="AQ2134" s="13"/>
      <c r="AR2134" s="14"/>
      <c r="AS2134" s="15"/>
    </row>
    <row r="2135" spans="1:45" s="17" customFormat="1" ht="30.95" hidden="1" customHeight="1" x14ac:dyDescent="0.2">
      <c r="A2135" s="343"/>
      <c r="B2135" s="344"/>
      <c r="C2135" s="345"/>
      <c r="D2135" s="346"/>
      <c r="E2135" s="346"/>
      <c r="F2135" s="268"/>
      <c r="G2135" s="269"/>
      <c r="H2135" s="269"/>
      <c r="I2135" s="270"/>
      <c r="J2135" s="434"/>
      <c r="K2135" s="270"/>
      <c r="L2135" s="270"/>
      <c r="M2135" s="348"/>
      <c r="N2135" s="348"/>
      <c r="O2135" s="435"/>
      <c r="P2135" s="349"/>
      <c r="Q2135" s="350"/>
      <c r="R2135" s="271"/>
      <c r="S2135" s="272"/>
      <c r="T2135" s="273"/>
      <c r="U2135" s="351"/>
      <c r="V2135" s="274"/>
      <c r="W2135" s="269"/>
      <c r="X2135" s="269"/>
      <c r="Y2135" s="275"/>
      <c r="Z2135" s="269"/>
      <c r="AA2135" s="350"/>
      <c r="AB2135" s="207"/>
      <c r="AC2135" s="352"/>
      <c r="AD2135" s="353"/>
      <c r="AE2135" s="54"/>
      <c r="AF2135" s="354"/>
      <c r="AG2135" s="355"/>
      <c r="AH2135" s="349"/>
      <c r="AI2135" s="30"/>
      <c r="AJ2135" s="30"/>
      <c r="AK2135" s="30"/>
      <c r="AL2135" s="30"/>
      <c r="AM2135" s="13"/>
      <c r="AN2135" s="13"/>
      <c r="AO2135" s="13"/>
      <c r="AP2135" s="13"/>
      <c r="AQ2135" s="13"/>
      <c r="AR2135" s="14"/>
      <c r="AS2135" s="15"/>
    </row>
    <row r="2136" spans="1:45" s="17" customFormat="1" ht="30" hidden="1" customHeight="1" x14ac:dyDescent="0.2">
      <c r="A2136" s="37"/>
      <c r="B2136" s="38"/>
      <c r="C2136" s="45"/>
      <c r="D2136" s="31">
        <v>3758060</v>
      </c>
      <c r="E2136" s="31">
        <v>4162340</v>
      </c>
      <c r="F2136" s="268" t="str">
        <f>IF(D2136="","",VLOOKUP(D2136,契約台帳!$A$3:$K$4986,6,FALSE)&amp;VLOOKUP(D2136,契約台帳!$A$3:$K$4986,7,FALSE)&amp;VLOOKUP(D2136,契約台帳!$A$3:$K$4986,8,FALSE)&amp;VLOOKUP(D2136,契約台帳!$A$3:$K$4986,9,FALSE)&amp;VLOOKUP(D2136,契約台帳!$A$3:$K$4986,11,FALSE))</f>
        <v>3SNMCLBMSNEYK</v>
      </c>
      <c r="G2136" s="269" t="str">
        <f>IF(D2136="","",VLOOKUP(F2136,製品マスタ!$G$5:$H$5002,2,FALSE))</f>
        <v>S</v>
      </c>
      <c r="H2136" s="269" t="str">
        <f>IF(D2136="","",VLOOKUP(F2136,製品マスタ!$G$5:$K$5002,5,FALSE))</f>
        <v>MSNEYK</v>
      </c>
      <c r="I2136" s="270" t="str">
        <f>IF(D2136="","",VLOOKUP(F2136,製品マスタ!$G$5:$L$5002,6,FALSE))</f>
        <v>ＭＳＮ　ＥＹＫ</v>
      </c>
      <c r="J2136" s="210" t="s">
        <v>464</v>
      </c>
      <c r="K2136" s="270">
        <f>IF(D2136="","",VLOOKUP(D2136,契約台帳!$A$3:$L$4986,12,FALSE))</f>
        <v>100</v>
      </c>
      <c r="L2136" s="270" t="str">
        <f>IF(D2136="","",INDEX(製品マスタ!$Q$5:$Q$5002,MATCH('S4'!F2136&amp;'S4'!K2136,製品マスタ!$AO$5:$AO$5002,0)))</f>
        <v>N-MAT</v>
      </c>
      <c r="M2136" s="39">
        <v>1205</v>
      </c>
      <c r="N2136" s="39">
        <v>2500</v>
      </c>
      <c r="O2136" s="156">
        <v>1</v>
      </c>
      <c r="P2136" s="47">
        <v>1</v>
      </c>
      <c r="Q2136" s="213">
        <v>45467</v>
      </c>
      <c r="R2136" s="271">
        <f ca="1">IF(D2136="","",IF(OFFSET(D2136,-1,0)&lt;&gt;"","",IF(OR(J2136="リード付け",J2136="巻足し",J2136="巻返しリード付け"),M2136,VLOOKUP(D2136,契約台帳!$A$3:$N$4986,14,FALSE))))</f>
        <v>1205</v>
      </c>
      <c r="S2136" s="272">
        <f ca="1">IF(D2136="","",IF(OFFSET(D2136,-1,0)&lt;&gt;"","",IF(OR(J2136="リード付け",J2136="巻足し",J2136="巻返しリード付け"),M2136,VLOOKUP(D2136,契約台帳!$A$3:$O$4986,15,FALSE))))</f>
        <v>1205</v>
      </c>
      <c r="T2136" s="273">
        <f ca="1">IF(D2136="","",IF(J2136="リード付け",N2136,IF(J2136="巻返しリード付け",N2136,IF(J2136="巻足し",N2136*P2136+OFFSET(N2136,1,0)*OFFSET(P2136,1,0),VLOOKUP(D2136,契約台帳!$A$3:$P$4986,16,FALSE)))))</f>
        <v>2500</v>
      </c>
      <c r="U2136" s="40">
        <v>1</v>
      </c>
      <c r="V2136" s="274" t="str">
        <f ca="1">IF(D2136="","",IF(OFFSET(D2136,-2,0)=D2136,"",VLOOKUP(D2136,契約台帳!$A$3:$R$4986,18,FALSE)))</f>
        <v/>
      </c>
      <c r="W2136" s="269" t="str">
        <f ca="1">IF(D2136="","",IF(T2136="","",IF(OR(J2136="巻足し",J2136="巻返しリード付け"),"",IF(J2136="巻返し",VLOOKUP(F2136&amp;K2136&amp;M2136,製品マスタ!$M$5:$AD$5002,18,FALSE),IF(OR(J2136="リード付け",J2136="巻返しリード付け"),"原反コア",IF(J2136="スリット",VLOOKUP(F2136&amp;K2136&amp;R2136,製品マスタ!$N$5:$AD$5002,17,FALSE),""))))))</f>
        <v>原反コア</v>
      </c>
      <c r="X2136" s="269" t="str">
        <f ca="1">IF(D2136="","",IF(T2136="","",IF(J2136="巻足し","",IF(J2136="巻返し",VLOOKUP(F2136&amp;K2136&amp;M2136,製品マスタ!$M$5:$AE$5002,19,FALSE),IF(OR(J2136="リード付け",J2136="巻返しリード付け"),"",IF(J2136="スリット",VLOOKUP(F2136&amp;K2136&amp;R2136,製品マスタ!$N$5:$AE$5002,18,FALSE),""))))))</f>
        <v/>
      </c>
      <c r="Y2136" s="275">
        <f ca="1">IF(D2136="","",IF(T2136="","",VLOOKUP(D2136,契約台帳!$A$3:$Q$4986,17,FALSE)))</f>
        <v>2</v>
      </c>
      <c r="Z2136" s="269" t="str">
        <f ca="1">IF(D2136="","",IF(T2136="","",VLOOKUP(D2136,契約台帳!$A$3:$E$4986,5,FALSE)))</f>
        <v>マルウ接着㈱</v>
      </c>
      <c r="AA2136" s="57"/>
      <c r="AB2136" s="207" t="str">
        <f>IFERROR((VLOOKUP(F2136&amp;K2136&amp;M2136,製品マスタ!$M$5:$AM$5002,27,FALSE)),"")</f>
        <v>原反ケース再利用</v>
      </c>
      <c r="AC2136" s="33"/>
      <c r="AD2136" s="189"/>
      <c r="AE2136" s="54"/>
      <c r="AF2136" s="55">
        <f>+M2136*N2136*O2136/1000</f>
        <v>3012.5</v>
      </c>
      <c r="AG2136" s="43"/>
      <c r="AH2136" s="47"/>
      <c r="AI2136" s="30"/>
      <c r="AJ2136" s="30"/>
      <c r="AK2136" s="30"/>
      <c r="AL2136" s="30"/>
      <c r="AM2136" s="13"/>
      <c r="AN2136" s="13"/>
      <c r="AO2136" s="13"/>
      <c r="AP2136" s="13"/>
      <c r="AQ2136" s="13"/>
      <c r="AR2136" s="14"/>
      <c r="AS2136" s="15"/>
    </row>
    <row r="2137" spans="1:45" s="17" customFormat="1" ht="30.95" hidden="1" customHeight="1" x14ac:dyDescent="0.2">
      <c r="A2137" s="343"/>
      <c r="B2137" s="344"/>
      <c r="C2137" s="345"/>
      <c r="D2137" s="346"/>
      <c r="E2137" s="346"/>
      <c r="F2137" s="268"/>
      <c r="G2137" s="269"/>
      <c r="H2137" s="269"/>
      <c r="I2137" s="270"/>
      <c r="J2137" s="434"/>
      <c r="K2137" s="270"/>
      <c r="L2137" s="270"/>
      <c r="M2137" s="348"/>
      <c r="N2137" s="348"/>
      <c r="O2137" s="435"/>
      <c r="P2137" s="349"/>
      <c r="Q2137" s="350"/>
      <c r="R2137" s="271"/>
      <c r="S2137" s="272"/>
      <c r="T2137" s="273"/>
      <c r="U2137" s="351"/>
      <c r="V2137" s="274"/>
      <c r="W2137" s="269"/>
      <c r="X2137" s="269"/>
      <c r="Y2137" s="275"/>
      <c r="Z2137" s="269"/>
      <c r="AA2137" s="350"/>
      <c r="AB2137" s="207"/>
      <c r="AC2137" s="352"/>
      <c r="AD2137" s="353"/>
      <c r="AE2137" s="54"/>
      <c r="AF2137" s="354"/>
      <c r="AG2137" s="355"/>
      <c r="AH2137" s="349"/>
      <c r="AI2137" s="30"/>
      <c r="AJ2137" s="30"/>
      <c r="AK2137" s="30"/>
      <c r="AL2137" s="30"/>
      <c r="AM2137" s="13"/>
      <c r="AN2137" s="13"/>
      <c r="AO2137" s="13"/>
      <c r="AP2137" s="13"/>
      <c r="AQ2137" s="13"/>
      <c r="AR2137" s="14"/>
      <c r="AS2137" s="15"/>
    </row>
    <row r="2138" spans="1:45" s="17" customFormat="1" ht="30.6" hidden="1" customHeight="1" x14ac:dyDescent="0.2">
      <c r="A2138" s="37"/>
      <c r="B2138" s="38"/>
      <c r="C2138" s="45"/>
      <c r="D2138" s="31">
        <v>3758084</v>
      </c>
      <c r="E2138" s="31">
        <v>4162367</v>
      </c>
      <c r="F2138" s="268" t="str">
        <f>IF(D2138="","",VLOOKUP(D2138,契約台帳!$A$3:$K$4986,6,FALSE)&amp;VLOOKUP(D2138,契約台帳!$A$3:$K$4986,7,FALSE)&amp;VLOOKUP(D2138,契約台帳!$A$3:$K$4986,8,FALSE)&amp;VLOOKUP(D2138,契約台帳!$A$3:$K$4986,9,FALSE)&amp;VLOOKUP(D2138,契約台帳!$A$3:$K$4986,11,FALSE))</f>
        <v>3SYMLBMSNMBF</v>
      </c>
      <c r="G2138" s="269" t="str">
        <f>IF(D2138="","",VLOOKUP(F2138,製品マスタ!$G$5:$H$5002,2,FALSE))</f>
        <v>S</v>
      </c>
      <c r="H2138" s="269" t="str">
        <f>IF(D2138="","",VLOOKUP(F2138,製品マスタ!$G$5:$K$5002,5,FALSE))</f>
        <v>MSNMBF</v>
      </c>
      <c r="I2138" s="270" t="str">
        <f>IF(D2138="","",VLOOKUP(F2138,製品マスタ!$G$5:$L$5002,6,FALSE))</f>
        <v>ＭＥＴＡＬＵＭＹ　ＳＩＬＶＥＲ　Ｎ－ＭＡＴＴＥ　Ｘ４４Ｍ　Ｂ</v>
      </c>
      <c r="J2138" s="210" t="s">
        <v>935</v>
      </c>
      <c r="K2138" s="270">
        <f>IF(D2138="","",VLOOKUP(D2138,契約台帳!$A$3:$L$4986,12,FALSE))</f>
        <v>50</v>
      </c>
      <c r="L2138" s="270" t="str">
        <f>IF(D2138="","",INDEX(製品マスタ!$Q$5:$Q$5002,MATCH('S4'!F2138&amp;'S4'!K2138,製品マスタ!$AO$5:$AO$5002,0)))</f>
        <v>X44</v>
      </c>
      <c r="M2138" s="39">
        <v>1120</v>
      </c>
      <c r="N2138" s="39">
        <v>4000</v>
      </c>
      <c r="O2138" s="156">
        <v>9</v>
      </c>
      <c r="P2138" s="47">
        <v>3</v>
      </c>
      <c r="Q2138" s="213">
        <v>45460</v>
      </c>
      <c r="R2138" s="271">
        <f ca="1">IF(D2138="","",IF(OFFSET(D2138,-1,0)&lt;&gt;"","",IF(OR(J2138="リード付け",J2138="巻足し",J2138="巻返しリード付け"),M2138,VLOOKUP(D2138,契約台帳!$A$3:$N$4986,14,FALSE))))</f>
        <v>1120</v>
      </c>
      <c r="S2138" s="272">
        <f ca="1">IF(D2138="","",IF(OFFSET(D2138,-1,0)&lt;&gt;"","",IF(OR(J2138="リード付け",J2138="巻足し",J2138="巻返しリード付け"),M2138,VLOOKUP(D2138,契約台帳!$A$3:$O$4986,15,FALSE))))</f>
        <v>1120</v>
      </c>
      <c r="T2138" s="273">
        <f ca="1">IF(D2138="","",IF(J2138="リード付け",N2138,IF(J2138="巻返しリード付け",N2138,IF(J2138="巻足し",N2138*P2138+OFFSET(N2138,1,0)*OFFSET(P2138,1,0),VLOOKUP(D2138,契約台帳!$A$3:$P$4986,16,FALSE)))))</f>
        <v>12000</v>
      </c>
      <c r="U2138" s="40">
        <v>3</v>
      </c>
      <c r="V2138" s="274">
        <f ca="1">IF(D2138="","",IF(OFFSET(D2138,-2,0)=D2138,"",VLOOKUP(D2138,契約台帳!$A$3:$R$4986,18,FALSE)))</f>
        <v>20</v>
      </c>
      <c r="W2138" s="269" t="str">
        <f ca="1">IF(D2138="","",IF(T2138="","",IF(OR(J2138="巻足し",J2138="巻返しリード付け"),"",IF(J2138="巻返し",VLOOKUP(F2138&amp;K2138&amp;M2138,製品マスタ!$M$5:$AD$5002,18,FALSE),IF(OR(J2138="リード付け",J2138="巻返しリード付け"),"原反コア",IF(J2138="スリット",VLOOKUP(F2138&amp;K2138&amp;R2138,製品マスタ!$N$5:$AD$5002,17,FALSE),""))))))</f>
        <v/>
      </c>
      <c r="X2138" s="269" t="str">
        <f ca="1">IF(D2138="","",IF(T2138="","",IF(J2138="巻足し","",IF(J2138="巻返し",VLOOKUP(F2138&amp;K2138&amp;M2138,製品マスタ!$M$5:$AE$5002,19,FALSE),IF(OR(J2138="リード付け",J2138="巻返しリード付け"),"",IF(J2138="スリット",VLOOKUP(F2138&amp;K2138&amp;R2138,製品マスタ!$N$5:$AE$5002,18,FALSE),""))))))</f>
        <v/>
      </c>
      <c r="Y2138" s="275">
        <f ca="1">IF(D2138="","",IF(T2138="","",VLOOKUP(D2138,契約台帳!$A$3:$Q$4986,17,FALSE)))</f>
        <v>2</v>
      </c>
      <c r="Z2138" s="269" t="str">
        <f ca="1">IF(D2138="","",IF(T2138="","",VLOOKUP(D2138,契約台帳!$A$3:$E$4986,5,FALSE)))</f>
        <v>リンテック㈱</v>
      </c>
      <c r="AA2138" s="57"/>
      <c r="AB2138" s="207">
        <f>IFERROR((VLOOKUP(F2138&amp;K2138&amp;M2138,製品マスタ!$M$5:$AM$5002,27,FALSE)),"")</f>
        <v>0</v>
      </c>
      <c r="AC2138" s="33"/>
      <c r="AD2138" s="189"/>
      <c r="AE2138" s="54"/>
      <c r="AF2138" s="55">
        <f>+M2138*N2138*O2138/1000</f>
        <v>40320</v>
      </c>
      <c r="AG2138" s="43"/>
      <c r="AH2138" s="47"/>
      <c r="AI2138" s="30"/>
      <c r="AJ2138" s="30"/>
      <c r="AK2138" s="30"/>
      <c r="AL2138" s="30"/>
      <c r="AM2138" s="13"/>
      <c r="AN2138" s="13"/>
      <c r="AO2138" s="13"/>
      <c r="AP2138" s="13"/>
      <c r="AQ2138" s="13"/>
      <c r="AR2138" s="14"/>
      <c r="AS2138" s="15"/>
    </row>
    <row r="2139" spans="1:45" s="17" customFormat="1" ht="30.95" hidden="1" customHeight="1" x14ac:dyDescent="0.2">
      <c r="A2139" s="343"/>
      <c r="B2139" s="344"/>
      <c r="C2139" s="345"/>
      <c r="D2139" s="346"/>
      <c r="E2139" s="346"/>
      <c r="F2139" s="268"/>
      <c r="G2139" s="269"/>
      <c r="H2139" s="269"/>
      <c r="I2139" s="270"/>
      <c r="J2139" s="434"/>
      <c r="K2139" s="270"/>
      <c r="L2139" s="270"/>
      <c r="M2139" s="348"/>
      <c r="N2139" s="348"/>
      <c r="O2139" s="435"/>
      <c r="P2139" s="349"/>
      <c r="Q2139" s="350"/>
      <c r="R2139" s="271"/>
      <c r="S2139" s="272"/>
      <c r="T2139" s="273"/>
      <c r="U2139" s="351"/>
      <c r="V2139" s="274"/>
      <c r="W2139" s="269"/>
      <c r="X2139" s="269"/>
      <c r="Y2139" s="275"/>
      <c r="Z2139" s="269"/>
      <c r="AA2139" s="350"/>
      <c r="AB2139" s="207"/>
      <c r="AC2139" s="352"/>
      <c r="AD2139" s="353"/>
      <c r="AE2139" s="54"/>
      <c r="AF2139" s="354"/>
      <c r="AG2139" s="355"/>
      <c r="AH2139" s="349"/>
      <c r="AI2139" s="30"/>
      <c r="AJ2139" s="30"/>
      <c r="AK2139" s="30"/>
      <c r="AL2139" s="30"/>
      <c r="AM2139" s="13"/>
      <c r="AN2139" s="13"/>
      <c r="AO2139" s="13"/>
      <c r="AP2139" s="13"/>
      <c r="AQ2139" s="13"/>
      <c r="AR2139" s="14"/>
      <c r="AS2139" s="15"/>
    </row>
    <row r="2140" spans="1:45" s="17" customFormat="1" ht="30.6" hidden="1" customHeight="1" x14ac:dyDescent="0.2">
      <c r="A2140" s="37"/>
      <c r="B2140" s="38"/>
      <c r="C2140" s="45"/>
      <c r="D2140" s="31">
        <v>3758084</v>
      </c>
      <c r="E2140" s="31">
        <v>4162367</v>
      </c>
      <c r="F2140" s="268" t="str">
        <f>IF(D2140="","",VLOOKUP(D2140,契約台帳!$A$3:$K$4986,6,FALSE)&amp;VLOOKUP(D2140,契約台帳!$A$3:$K$4986,7,FALSE)&amp;VLOOKUP(D2140,契約台帳!$A$3:$K$4986,8,FALSE)&amp;VLOOKUP(D2140,契約台帳!$A$3:$K$4986,9,FALSE)&amp;VLOOKUP(D2140,契約台帳!$A$3:$K$4986,11,FALSE))</f>
        <v>3SYMLBMSNMBF</v>
      </c>
      <c r="G2140" s="269" t="str">
        <f>IF(D2140="","",VLOOKUP(F2140,製品マスタ!$G$5:$H$5002,2,FALSE))</f>
        <v>S</v>
      </c>
      <c r="H2140" s="269" t="str">
        <f>IF(D2140="","",VLOOKUP(F2140,製品マスタ!$G$5:$K$5002,5,FALSE))</f>
        <v>MSNMBF</v>
      </c>
      <c r="I2140" s="270" t="str">
        <f>IF(D2140="","",VLOOKUP(F2140,製品マスタ!$G$5:$L$5002,6,FALSE))</f>
        <v>ＭＥＴＡＬＵＭＹ　ＳＩＬＶＥＲ　Ｎ－ＭＡＴＴＥ　Ｘ４４Ｍ　Ｂ</v>
      </c>
      <c r="J2140" s="210" t="s">
        <v>935</v>
      </c>
      <c r="K2140" s="270">
        <f>IF(D2140="","",VLOOKUP(D2140,契約台帳!$A$3:$L$4986,12,FALSE))</f>
        <v>50</v>
      </c>
      <c r="L2140" s="270" t="str">
        <f>IF(D2140="","",INDEX(製品マスタ!$Q$5:$Q$5002,MATCH('S4'!F2140&amp;'S4'!K2140,製品マスタ!$AO$5:$AO$5002,0)))</f>
        <v>X44</v>
      </c>
      <c r="M2140" s="39">
        <v>1120</v>
      </c>
      <c r="N2140" s="39">
        <v>4000</v>
      </c>
      <c r="O2140" s="156">
        <v>2</v>
      </c>
      <c r="P2140" s="47">
        <v>3</v>
      </c>
      <c r="Q2140" s="213">
        <v>45460</v>
      </c>
      <c r="R2140" s="271">
        <f ca="1">IF(D2140="","",IF(OFFSET(D2140,-1,0)&lt;&gt;"","",IF(OR(J2140="リード付け",J2140="巻足し",J2140="巻返しリード付け"),M2140,VLOOKUP(D2140,契約台帳!$A$3:$N$4986,14,FALSE))))</f>
        <v>1120</v>
      </c>
      <c r="S2140" s="272">
        <f ca="1">IF(D2140="","",IF(OFFSET(D2140,-1,0)&lt;&gt;"","",IF(OR(J2140="リード付け",J2140="巻足し",J2140="巻返しリード付け"),M2140,VLOOKUP(D2140,契約台帳!$A$3:$O$4986,15,FALSE))))</f>
        <v>1120</v>
      </c>
      <c r="T2140" s="273">
        <f ca="1">IF(D2140="","",IF(J2140="リード付け",N2140,IF(J2140="巻返しリード付け",N2140,IF(J2140="巻足し",N2140*P2140+OFFSET(N2140,1,0)*OFFSET(P2140,1,0),VLOOKUP(D2140,契約台帳!$A$3:$P$4986,16,FALSE)))))</f>
        <v>12000</v>
      </c>
      <c r="U2140" s="40">
        <v>1</v>
      </c>
      <c r="V2140" s="274" t="str">
        <f ca="1">IF(D2140="","",IF(OFFSET(D2140,-2,0)=D2140,"",VLOOKUP(D2140,契約台帳!$A$3:$R$4986,18,FALSE)))</f>
        <v/>
      </c>
      <c r="W2140" s="269" t="str">
        <f ca="1">IF(D2140="","",IF(T2140="","",IF(OR(J2140="巻足し",J2140="巻返しリード付け"),"",IF(J2140="巻返し",VLOOKUP(F2140&amp;K2140&amp;M2140,製品マスタ!$M$5:$AD$5002,18,FALSE),IF(OR(J2140="リード付け",J2140="巻返しリード付け"),"原反コア",IF(J2140="スリット",VLOOKUP(F2140&amp;K2140&amp;R2140,製品マスタ!$N$5:$AD$5002,17,FALSE),""))))))</f>
        <v/>
      </c>
      <c r="X2140" s="269" t="str">
        <f ca="1">IF(D2140="","",IF(T2140="","",IF(J2140="巻足し","",IF(J2140="巻返し",VLOOKUP(F2140&amp;K2140&amp;M2140,製品マスタ!$M$5:$AE$5002,19,FALSE),IF(OR(J2140="リード付け",J2140="巻返しリード付け"),"",IF(J2140="スリット",VLOOKUP(F2140&amp;K2140&amp;R2140,製品マスタ!$N$5:$AE$5002,18,FALSE),""))))))</f>
        <v/>
      </c>
      <c r="Y2140" s="275">
        <f ca="1">IF(D2140="","",IF(T2140="","",VLOOKUP(D2140,契約台帳!$A$3:$Q$4986,17,FALSE)))</f>
        <v>2</v>
      </c>
      <c r="Z2140" s="269" t="str">
        <f ca="1">IF(D2140="","",IF(T2140="","",VLOOKUP(D2140,契約台帳!$A$3:$E$4986,5,FALSE)))</f>
        <v>リンテック㈱</v>
      </c>
      <c r="AA2140" s="57"/>
      <c r="AB2140" s="207">
        <f>IFERROR((VLOOKUP(F2140&amp;K2140&amp;M2140,製品マスタ!$M$5:$AM$5002,27,FALSE)),"")</f>
        <v>0</v>
      </c>
      <c r="AC2140" s="33"/>
      <c r="AD2140" s="189"/>
      <c r="AE2140" s="54"/>
      <c r="AF2140" s="55">
        <f>+M2140*N2140*O2140/1000</f>
        <v>8960</v>
      </c>
      <c r="AG2140" s="43"/>
      <c r="AH2140" s="47"/>
      <c r="AI2140" s="30"/>
      <c r="AJ2140" s="30"/>
      <c r="AK2140" s="30"/>
      <c r="AL2140" s="30"/>
      <c r="AM2140" s="13"/>
      <c r="AN2140" s="13"/>
      <c r="AO2140" s="13"/>
      <c r="AP2140" s="13"/>
      <c r="AQ2140" s="13"/>
      <c r="AR2140" s="14"/>
      <c r="AS2140" s="15"/>
    </row>
    <row r="2141" spans="1:45" s="17" customFormat="1" ht="30.6" hidden="1" customHeight="1" x14ac:dyDescent="0.2">
      <c r="A2141" s="37"/>
      <c r="B2141" s="38"/>
      <c r="C2141" s="45"/>
      <c r="D2141" s="31">
        <v>3758088</v>
      </c>
      <c r="E2141" s="31"/>
      <c r="F2141" s="268" t="str">
        <f>IF(D2141="","",VLOOKUP(D2141,契約台帳!$A$3:$K$4986,6,FALSE)&amp;VLOOKUP(D2141,契約台帳!$A$3:$K$4986,7,FALSE)&amp;VLOOKUP(D2141,契約台帳!$A$3:$K$4986,8,FALSE)&amp;VLOOKUP(D2141,契約台帳!$A$3:$K$4986,9,FALSE)&amp;VLOOKUP(D2141,契約台帳!$A$3:$K$4986,11,FALSE))</f>
        <v>3SYMLBMSNMBF</v>
      </c>
      <c r="G2141" s="269" t="str">
        <f>IF(D2141="","",VLOOKUP(F2141,製品マスタ!$G$5:$H$5002,2,FALSE))</f>
        <v>S</v>
      </c>
      <c r="H2141" s="269" t="str">
        <f>IF(D2141="","",VLOOKUP(F2141,製品マスタ!$G$5:$K$5002,5,FALSE))</f>
        <v>MSNMBF</v>
      </c>
      <c r="I2141" s="270" t="str">
        <f>IF(D2141="","",VLOOKUP(F2141,製品マスタ!$G$5:$L$5002,6,FALSE))</f>
        <v>ＭＥＴＡＬＵＭＹ　ＳＩＬＶＥＲ　Ｎ－ＭＡＴＴＥ　Ｘ４４Ｍ　Ｂ</v>
      </c>
      <c r="J2141" s="210" t="s">
        <v>935</v>
      </c>
      <c r="K2141" s="270">
        <f>IF(D2141="","",VLOOKUP(D2141,契約台帳!$A$3:$L$4986,12,FALSE))</f>
        <v>50</v>
      </c>
      <c r="L2141" s="270" t="str">
        <f>IF(D2141="","",INDEX(製品マスタ!$Q$5:$Q$5002,MATCH('S4'!F2141&amp;'S4'!K2141,製品マスタ!$AO$5:$AO$5002,0)))</f>
        <v>X44</v>
      </c>
      <c r="M2141" s="39">
        <v>1120</v>
      </c>
      <c r="N2141" s="39">
        <v>4000</v>
      </c>
      <c r="O2141" s="156">
        <v>1</v>
      </c>
      <c r="P2141" s="47"/>
      <c r="Q2141" s="213">
        <v>45460</v>
      </c>
      <c r="R2141" s="271" t="str">
        <f ca="1">IF(D2141="","",IF(OFFSET(D2141,-1,0)&lt;&gt;"","",IF(OR(J2141="リード付け",J2141="巻足し",J2141="巻返しリード付け"),M2141,VLOOKUP(D2141,契約台帳!$A$3:$N$4986,14,FALSE))))</f>
        <v/>
      </c>
      <c r="S2141" s="272" t="str">
        <f ca="1">IF(D2141="","",IF(OFFSET(D2141,-1,0)&lt;&gt;"","",IF(OR(J2141="リード付け",J2141="巻足し",J2141="巻返しリード付け"),M2141,VLOOKUP(D2141,契約台帳!$A$3:$O$4986,15,FALSE))))</f>
        <v/>
      </c>
      <c r="T2141" s="273">
        <f ca="1">IF(D2141="","",IF(J2141="リード付け",N2141,IF(J2141="巻返しリード付け",N2141,IF(J2141="巻足し",N2141*P2141+OFFSET(N2141,1,0)*OFFSET(P2141,1,0),VLOOKUP(D2141,契約台帳!$A$3:$P$4986,16,FALSE)))))</f>
        <v>0</v>
      </c>
      <c r="U2141" s="40"/>
      <c r="V2141" s="274">
        <f ca="1">IF(D2141="","",IF(OFFSET(D2141,-2,0)=D2141,"",VLOOKUP(D2141,契約台帳!$A$3:$R$4986,18,FALSE)))</f>
        <v>8</v>
      </c>
      <c r="W2141" s="269" t="str">
        <f ca="1">IF(D2141="","",IF(T2141="","",IF(OR(J2141="巻足し",J2141="巻返しリード付け"),"",IF(J2141="巻返し",VLOOKUP(F2141&amp;K2141&amp;M2141,製品マスタ!$M$5:$AD$5002,18,FALSE),IF(OR(J2141="リード付け",J2141="巻返しリード付け"),"原反コア",IF(J2141="スリット",VLOOKUP(F2141&amp;K2141&amp;R2141,製品マスタ!$N$5:$AD$5002,17,FALSE),""))))))</f>
        <v/>
      </c>
      <c r="X2141" s="269" t="str">
        <f ca="1">IF(D2141="","",IF(T2141="","",IF(J2141="巻足し","",IF(J2141="巻返し",VLOOKUP(F2141&amp;K2141&amp;M2141,製品マスタ!$M$5:$AE$5002,19,FALSE),IF(OR(J2141="リード付け",J2141="巻返しリード付け"),"",IF(J2141="スリット",VLOOKUP(F2141&amp;K2141&amp;R2141,製品マスタ!$N$5:$AE$5002,18,FALSE),""))))))</f>
        <v/>
      </c>
      <c r="Y2141" s="275">
        <f ca="1">IF(D2141="","",IF(T2141="","",VLOOKUP(D2141,契約台帳!$A$3:$Q$4986,17,FALSE)))</f>
        <v>2</v>
      </c>
      <c r="Z2141" s="269" t="str">
        <f ca="1">IF(D2141="","",IF(T2141="","",VLOOKUP(D2141,契約台帳!$A$3:$E$4986,5,FALSE)))</f>
        <v>リンテック㈱</v>
      </c>
      <c r="AA2141" s="57"/>
      <c r="AB2141" s="207"/>
      <c r="AC2141" s="33"/>
      <c r="AD2141" s="189"/>
      <c r="AE2141" s="54"/>
      <c r="AF2141" s="55">
        <f>+M2141*N2141*O2141/1000</f>
        <v>4480</v>
      </c>
      <c r="AG2141" s="43"/>
      <c r="AH2141" s="47"/>
      <c r="AI2141" s="30"/>
      <c r="AJ2141" s="30"/>
      <c r="AK2141" s="30"/>
      <c r="AL2141" s="30"/>
      <c r="AM2141" s="13"/>
      <c r="AN2141" s="13"/>
      <c r="AO2141" s="13"/>
      <c r="AP2141" s="13"/>
      <c r="AQ2141" s="13"/>
      <c r="AR2141" s="14"/>
      <c r="AS2141" s="15"/>
    </row>
    <row r="2142" spans="1:45" s="17" customFormat="1" ht="30.95" hidden="1" customHeight="1" x14ac:dyDescent="0.2">
      <c r="A2142" s="343"/>
      <c r="B2142" s="344"/>
      <c r="C2142" s="345"/>
      <c r="D2142" s="346"/>
      <c r="E2142" s="346"/>
      <c r="F2142" s="268"/>
      <c r="G2142" s="269"/>
      <c r="H2142" s="269"/>
      <c r="I2142" s="270"/>
      <c r="J2142" s="434"/>
      <c r="K2142" s="270"/>
      <c r="L2142" s="270"/>
      <c r="M2142" s="348"/>
      <c r="N2142" s="348"/>
      <c r="O2142" s="435"/>
      <c r="P2142" s="349"/>
      <c r="Q2142" s="350"/>
      <c r="R2142" s="271"/>
      <c r="S2142" s="272"/>
      <c r="T2142" s="273"/>
      <c r="U2142" s="351"/>
      <c r="V2142" s="274"/>
      <c r="W2142" s="269"/>
      <c r="X2142" s="269"/>
      <c r="Y2142" s="275"/>
      <c r="Z2142" s="269"/>
      <c r="AA2142" s="350"/>
      <c r="AB2142" s="207"/>
      <c r="AC2142" s="352"/>
      <c r="AD2142" s="353"/>
      <c r="AE2142" s="54"/>
      <c r="AF2142" s="354"/>
      <c r="AG2142" s="355"/>
      <c r="AH2142" s="349"/>
      <c r="AI2142" s="30"/>
      <c r="AJ2142" s="30"/>
      <c r="AK2142" s="30"/>
      <c r="AL2142" s="30"/>
      <c r="AM2142" s="13"/>
      <c r="AN2142" s="13"/>
      <c r="AO2142" s="13"/>
      <c r="AP2142" s="13"/>
      <c r="AQ2142" s="13"/>
      <c r="AR2142" s="14"/>
      <c r="AS2142" s="15"/>
    </row>
    <row r="2143" spans="1:45" s="17" customFormat="1" ht="30.6" hidden="1" customHeight="1" x14ac:dyDescent="0.2">
      <c r="A2143" s="37"/>
      <c r="B2143" s="38"/>
      <c r="C2143" s="45"/>
      <c r="D2143" s="31">
        <v>3758088</v>
      </c>
      <c r="E2143" s="31">
        <v>4162368</v>
      </c>
      <c r="F2143" s="268" t="str">
        <f>IF(D2143="","",VLOOKUP(D2143,契約台帳!$A$3:$K$4986,6,FALSE)&amp;VLOOKUP(D2143,契約台帳!$A$3:$K$4986,7,FALSE)&amp;VLOOKUP(D2143,契約台帳!$A$3:$K$4986,8,FALSE)&amp;VLOOKUP(D2143,契約台帳!$A$3:$K$4986,9,FALSE)&amp;VLOOKUP(D2143,契約台帳!$A$3:$K$4986,11,FALSE))</f>
        <v>3SYMLBMSNMBF</v>
      </c>
      <c r="G2143" s="269" t="str">
        <f>IF(D2143="","",VLOOKUP(F2143,製品マスタ!$G$5:$H$5002,2,FALSE))</f>
        <v>S</v>
      </c>
      <c r="H2143" s="269" t="str">
        <f>IF(D2143="","",VLOOKUP(F2143,製品マスタ!$G$5:$K$5002,5,FALSE))</f>
        <v>MSNMBF</v>
      </c>
      <c r="I2143" s="270" t="str">
        <f>IF(D2143="","",VLOOKUP(F2143,製品マスタ!$G$5:$L$5002,6,FALSE))</f>
        <v>ＭＥＴＡＬＵＭＹ　ＳＩＬＶＥＲ　Ｎ－ＭＡＴＴＥ　Ｘ４４Ｍ　Ｂ</v>
      </c>
      <c r="J2143" s="210" t="s">
        <v>935</v>
      </c>
      <c r="K2143" s="270">
        <f>IF(D2143="","",VLOOKUP(D2143,契約台帳!$A$3:$L$4986,12,FALSE))</f>
        <v>50</v>
      </c>
      <c r="L2143" s="270" t="str">
        <f>IF(D2143="","",INDEX(製品マスタ!$Q$5:$Q$5002,MATCH('S4'!F2143&amp;'S4'!K2143,製品マスタ!$AO$5:$AO$5002,0)))</f>
        <v>X44</v>
      </c>
      <c r="M2143" s="39">
        <v>1120</v>
      </c>
      <c r="N2143" s="39">
        <v>4000</v>
      </c>
      <c r="O2143" s="156">
        <v>3</v>
      </c>
      <c r="P2143" s="47">
        <v>3</v>
      </c>
      <c r="Q2143" s="213">
        <v>45460</v>
      </c>
      <c r="R2143" s="271">
        <f ca="1">IF(D2143="","",IF(OFFSET(D2143,-1,0)&lt;&gt;"","",IF(OR(J2143="リード付け",J2143="巻足し",J2143="巻返しリード付け"),M2143,VLOOKUP(D2143,契約台帳!$A$3:$N$4986,14,FALSE))))</f>
        <v>1120</v>
      </c>
      <c r="S2143" s="272">
        <f ca="1">IF(D2143="","",IF(OFFSET(D2143,-1,0)&lt;&gt;"","",IF(OR(J2143="リード付け",J2143="巻足し",J2143="巻返しリード付け"),M2143,VLOOKUP(D2143,契約台帳!$A$3:$O$4986,15,FALSE))))</f>
        <v>1120</v>
      </c>
      <c r="T2143" s="273">
        <f ca="1">IF(D2143="","",IF(J2143="リード付け",N2143,IF(J2143="巻返しリード付け",N2143,IF(J2143="巻足し",N2143*P2143+OFFSET(N2143,1,0)*OFFSET(P2143,1,0),VLOOKUP(D2143,契約台帳!$A$3:$P$4986,16,FALSE)))))</f>
        <v>12000</v>
      </c>
      <c r="U2143" s="40">
        <v>1</v>
      </c>
      <c r="V2143" s="274" t="str">
        <f ca="1">IF(D2143="","",IF(OFFSET(D2143,-2,0)=D2143,"",VLOOKUP(D2143,契約台帳!$A$3:$R$4986,18,FALSE)))</f>
        <v/>
      </c>
      <c r="W2143" s="269" t="str">
        <f ca="1">IF(D2143="","",IF(T2143="","",IF(OR(J2143="巻足し",J2143="巻返しリード付け"),"",IF(J2143="巻返し",VLOOKUP(F2143&amp;K2143&amp;M2143,製品マスタ!$M$5:$AD$5002,18,FALSE),IF(OR(J2143="リード付け",J2143="巻返しリード付け"),"原反コア",IF(J2143="スリット",VLOOKUP(F2143&amp;K2143&amp;R2143,製品マスタ!$N$5:$AD$5002,17,FALSE),""))))))</f>
        <v/>
      </c>
      <c r="X2143" s="269" t="str">
        <f ca="1">IF(D2143="","",IF(T2143="","",IF(J2143="巻足し","",IF(J2143="巻返し",VLOOKUP(F2143&amp;K2143&amp;M2143,製品マスタ!$M$5:$AE$5002,19,FALSE),IF(OR(J2143="リード付け",J2143="巻返しリード付け"),"",IF(J2143="スリット",VLOOKUP(F2143&amp;K2143&amp;R2143,製品マスタ!$N$5:$AE$5002,18,FALSE),""))))))</f>
        <v/>
      </c>
      <c r="Y2143" s="275">
        <f ca="1">IF(D2143="","",IF(T2143="","",VLOOKUP(D2143,契約台帳!$A$3:$Q$4986,17,FALSE)))</f>
        <v>2</v>
      </c>
      <c r="Z2143" s="269" t="str">
        <f ca="1">IF(D2143="","",IF(T2143="","",VLOOKUP(D2143,契約台帳!$A$3:$E$4986,5,FALSE)))</f>
        <v>リンテック㈱</v>
      </c>
      <c r="AA2143" s="57"/>
      <c r="AB2143" s="207">
        <f>IFERROR((VLOOKUP(F2143&amp;K2143&amp;M2143,製品マスタ!$M$5:$AM$5002,27,FALSE)),"")</f>
        <v>0</v>
      </c>
      <c r="AC2143" s="33"/>
      <c r="AD2143" s="189"/>
      <c r="AE2143" s="54"/>
      <c r="AF2143" s="55">
        <f>+M2143*N2143*O2143/1000</f>
        <v>13440</v>
      </c>
      <c r="AG2143" s="43"/>
      <c r="AH2143" s="47"/>
      <c r="AI2143" s="30"/>
      <c r="AJ2143" s="30"/>
      <c r="AK2143" s="30"/>
      <c r="AL2143" s="30"/>
      <c r="AM2143" s="13"/>
      <c r="AN2143" s="13"/>
      <c r="AO2143" s="13"/>
      <c r="AP2143" s="13"/>
      <c r="AQ2143" s="13"/>
      <c r="AR2143" s="14"/>
      <c r="AS2143" s="15"/>
    </row>
    <row r="2144" spans="1:45" s="17" customFormat="1" ht="30.95" hidden="1" customHeight="1" x14ac:dyDescent="0.2">
      <c r="A2144" s="343"/>
      <c r="B2144" s="344"/>
      <c r="C2144" s="345"/>
      <c r="D2144" s="346"/>
      <c r="E2144" s="346"/>
      <c r="F2144" s="268"/>
      <c r="G2144" s="269"/>
      <c r="H2144" s="269"/>
      <c r="I2144" s="270"/>
      <c r="J2144" s="434"/>
      <c r="K2144" s="270"/>
      <c r="L2144" s="270"/>
      <c r="M2144" s="348"/>
      <c r="N2144" s="348"/>
      <c r="O2144" s="435"/>
      <c r="P2144" s="349"/>
      <c r="Q2144" s="350"/>
      <c r="R2144" s="271"/>
      <c r="S2144" s="272"/>
      <c r="T2144" s="273"/>
      <c r="U2144" s="351"/>
      <c r="V2144" s="274"/>
      <c r="W2144" s="269"/>
      <c r="X2144" s="269"/>
      <c r="Y2144" s="275"/>
      <c r="Z2144" s="269"/>
      <c r="AA2144" s="350"/>
      <c r="AB2144" s="207"/>
      <c r="AC2144" s="352"/>
      <c r="AD2144" s="353"/>
      <c r="AE2144" s="54"/>
      <c r="AF2144" s="354"/>
      <c r="AG2144" s="355"/>
      <c r="AH2144" s="349"/>
      <c r="AI2144" s="30"/>
      <c r="AJ2144" s="30"/>
      <c r="AK2144" s="30"/>
      <c r="AL2144" s="30"/>
      <c r="AM2144" s="13"/>
      <c r="AN2144" s="13"/>
      <c r="AO2144" s="13"/>
      <c r="AP2144" s="13"/>
      <c r="AQ2144" s="13"/>
      <c r="AR2144" s="14"/>
      <c r="AS2144" s="15"/>
    </row>
    <row r="2145" spans="1:45" s="17" customFormat="1" ht="30.6" hidden="1" customHeight="1" x14ac:dyDescent="0.2">
      <c r="A2145" s="37" t="s">
        <v>1214</v>
      </c>
      <c r="B2145" s="38" t="s">
        <v>443</v>
      </c>
      <c r="C2145" s="45"/>
      <c r="D2145" s="31">
        <v>3762739</v>
      </c>
      <c r="E2145" s="31">
        <v>4162380</v>
      </c>
      <c r="F2145" s="268" t="str">
        <f>IF(D2145="","",VLOOKUP(D2145,契約台帳!$A$3:$K$4986,6,FALSE)&amp;VLOOKUP(D2145,契約台帳!$A$3:$K$4986,7,FALSE)&amp;VLOOKUP(D2145,契約台帳!$A$3:$K$4986,8,FALSE)&amp;VLOOKUP(D2145,契約台帳!$A$3:$K$4986,9,FALSE)&amp;VLOOKUP(D2145,契約台帳!$A$3:$K$4986,11,FALSE))</f>
        <v>3SYMLBMSBBF</v>
      </c>
      <c r="G2145" s="269" t="str">
        <f>IF(D2145="","",VLOOKUP(F2145,製品マスタ!$G$5:$H$5002,2,FALSE))</f>
        <v>S</v>
      </c>
      <c r="H2145" s="269" t="str">
        <f>IF(D2145="","",VLOOKUP(F2145,製品マスタ!$G$5:$K$5002,5,FALSE))</f>
        <v>MSBBF</v>
      </c>
      <c r="I2145" s="270" t="str">
        <f>IF(D2145="","",VLOOKUP(F2145,製品マスタ!$G$5:$L$5002,6,FALSE))</f>
        <v>ＭＥＴＡＬＵＭＹ　ＳＩＬＶＥＲ　ＢＲＩＧＨＴ　Ｔ６２Ｍ　Ｂ</v>
      </c>
      <c r="J2145" s="210" t="s">
        <v>935</v>
      </c>
      <c r="K2145" s="270">
        <f>IF(D2145="","",VLOOKUP(D2145,契約台帳!$A$3:$L$4986,12,FALSE))</f>
        <v>25</v>
      </c>
      <c r="L2145" s="270" t="str">
        <f>IF(D2145="","",INDEX(製品マスタ!$Q$5:$Q$5002,MATCH('S4'!F2145&amp;'S4'!K2145,製品マスタ!$AO$5:$AO$5002,0)))</f>
        <v>T62</v>
      </c>
      <c r="M2145" s="39">
        <v>1120</v>
      </c>
      <c r="N2145" s="39">
        <v>8000</v>
      </c>
      <c r="O2145" s="156">
        <v>2</v>
      </c>
      <c r="P2145" s="47">
        <v>2</v>
      </c>
      <c r="Q2145" s="213">
        <v>45470</v>
      </c>
      <c r="R2145" s="271">
        <f ca="1">IF(D2145="","",IF(OFFSET(D2145,-1,0)&lt;&gt;"","",IF(OR(J2145="リード付け",J2145="巻足し",J2145="巻返しリード付け"),M2145,VLOOKUP(D2145,契約台帳!$A$3:$N$4986,14,FALSE))))</f>
        <v>1120</v>
      </c>
      <c r="S2145" s="272">
        <f ca="1">IF(D2145="","",IF(OFFSET(D2145,-1,0)&lt;&gt;"","",IF(OR(J2145="リード付け",J2145="巻足し",J2145="巻返しリード付け"),M2145,VLOOKUP(D2145,契約台帳!$A$3:$O$4986,15,FALSE))))</f>
        <v>1120</v>
      </c>
      <c r="T2145" s="273">
        <f ca="1">IF(D2145="","",IF(J2145="リード付け",N2145,IF(J2145="巻返しリード付け",N2145,IF(J2145="巻足し",N2145*P2145+OFFSET(N2145,1,0)*OFFSET(P2145,1,0),VLOOKUP(D2145,契約台帳!$A$3:$P$4986,16,FALSE)))))</f>
        <v>16000</v>
      </c>
      <c r="U2145" s="40">
        <v>1</v>
      </c>
      <c r="V2145" s="274">
        <f ca="1">IF(D2145="","",IF(OFFSET(D2145,-2,0)=D2145,"",VLOOKUP(D2145,契約台帳!$A$3:$R$4986,18,FALSE)))</f>
        <v>2</v>
      </c>
      <c r="W2145" s="269" t="str">
        <f ca="1">IF(D2145="","",IF(T2145="","",IF(OR(J2145="巻足し",J2145="巻返しリード付け"),"",IF(J2145="巻返し",VLOOKUP(F2145&amp;K2145&amp;M2145,製品マスタ!$M$5:$AD$5002,18,FALSE),IF(OR(J2145="リード付け",J2145="巻返しリード付け"),"原反コア",IF(J2145="スリット",VLOOKUP(F2145&amp;K2145&amp;R2145,製品マスタ!$N$5:$AD$5002,17,FALSE),""))))))</f>
        <v/>
      </c>
      <c r="X2145" s="269" t="str">
        <f ca="1">IF(D2145="","",IF(T2145="","",IF(J2145="巻足し","",IF(J2145="巻返し",VLOOKUP(F2145&amp;K2145&amp;M2145,製品マスタ!$M$5:$AE$5002,19,FALSE),IF(OR(J2145="リード付け",J2145="巻返しリード付け"),"",IF(J2145="スリット",VLOOKUP(F2145&amp;K2145&amp;R2145,製品マスタ!$N$5:$AE$5002,18,FALSE),""))))))</f>
        <v/>
      </c>
      <c r="Y2145" s="275">
        <f ca="1">IF(D2145="","",IF(T2145="","",VLOOKUP(D2145,契約台帳!$A$3:$Q$4986,17,FALSE)))</f>
        <v>2</v>
      </c>
      <c r="Z2145" s="269" t="str">
        <f ca="1">IF(D2145="","",IF(T2145="","",VLOOKUP(D2145,契約台帳!$A$3:$E$4986,5,FALSE)))</f>
        <v>リンテック㈱</v>
      </c>
      <c r="AA2145" s="57"/>
      <c r="AB2145" s="207">
        <f>IFERROR((VLOOKUP(F2145&amp;K2145&amp;M2145,製品マスタ!$M$5:$AM$5002,27,FALSE)),"")</f>
        <v>0</v>
      </c>
      <c r="AC2145" s="33"/>
      <c r="AD2145" s="189"/>
      <c r="AE2145" s="54"/>
      <c r="AF2145" s="55">
        <f>+M2145*N2145*O2145/1000</f>
        <v>17920</v>
      </c>
      <c r="AG2145" s="43"/>
      <c r="AH2145" s="47"/>
      <c r="AI2145" s="30"/>
      <c r="AJ2145" s="30"/>
      <c r="AK2145" s="30"/>
      <c r="AL2145" s="30"/>
      <c r="AM2145" s="13"/>
      <c r="AN2145" s="13"/>
      <c r="AO2145" s="13"/>
      <c r="AP2145" s="13"/>
      <c r="AQ2145" s="13"/>
      <c r="AR2145" s="14"/>
      <c r="AS2145" s="15"/>
    </row>
    <row r="2146" spans="1:45" s="17" customFormat="1" ht="30.95" hidden="1" customHeight="1" x14ac:dyDescent="0.2">
      <c r="A2146" s="343"/>
      <c r="B2146" s="344"/>
      <c r="C2146" s="345"/>
      <c r="D2146" s="346"/>
      <c r="E2146" s="346"/>
      <c r="F2146" s="268"/>
      <c r="G2146" s="269"/>
      <c r="H2146" s="269"/>
      <c r="I2146" s="270"/>
      <c r="J2146" s="434"/>
      <c r="K2146" s="270"/>
      <c r="L2146" s="270"/>
      <c r="M2146" s="348"/>
      <c r="N2146" s="348"/>
      <c r="O2146" s="435"/>
      <c r="P2146" s="349"/>
      <c r="Q2146" s="350"/>
      <c r="R2146" s="271"/>
      <c r="S2146" s="272"/>
      <c r="T2146" s="273"/>
      <c r="U2146" s="351"/>
      <c r="V2146" s="274"/>
      <c r="W2146" s="269"/>
      <c r="X2146" s="269"/>
      <c r="Y2146" s="275"/>
      <c r="Z2146" s="269"/>
      <c r="AA2146" s="350"/>
      <c r="AB2146" s="207"/>
      <c r="AC2146" s="352"/>
      <c r="AD2146" s="353"/>
      <c r="AE2146" s="54"/>
      <c r="AF2146" s="354"/>
      <c r="AG2146" s="355"/>
      <c r="AH2146" s="349"/>
      <c r="AI2146" s="30"/>
      <c r="AJ2146" s="30"/>
      <c r="AK2146" s="30"/>
      <c r="AL2146" s="30"/>
      <c r="AM2146" s="13"/>
      <c r="AN2146" s="13"/>
      <c r="AO2146" s="13"/>
      <c r="AP2146" s="13"/>
      <c r="AQ2146" s="13"/>
      <c r="AR2146" s="14"/>
      <c r="AS2146" s="15"/>
    </row>
    <row r="2147" spans="1:45" s="17" customFormat="1" ht="30.6" hidden="1" customHeight="1" x14ac:dyDescent="0.2">
      <c r="A2147" s="37"/>
      <c r="B2147" s="38"/>
      <c r="C2147" s="45"/>
      <c r="D2147" s="31">
        <v>3762745</v>
      </c>
      <c r="E2147" s="31">
        <v>4162395</v>
      </c>
      <c r="F2147" s="268" t="str">
        <f>IF(D2147="","",VLOOKUP(D2147,契約台帳!$A$3:$K$4986,6,FALSE)&amp;VLOOKUP(D2147,契約台帳!$A$3:$K$4986,7,FALSE)&amp;VLOOKUP(D2147,契約台帳!$A$3:$K$4986,8,FALSE)&amp;VLOOKUP(D2147,契約台帳!$A$3:$K$4986,9,FALSE)&amp;VLOOKUP(D2147,契約台帳!$A$3:$K$4986,11,FALSE))</f>
        <v>3TYKNZMCR</v>
      </c>
      <c r="G2147" s="269" t="str">
        <f>IF(D2147="","",VLOOKUP(F2147,製品マスタ!$G$5:$H$5002,2,FALSE))</f>
        <v>T</v>
      </c>
      <c r="H2147" s="269" t="str">
        <f>IF(D2147="","",VLOOKUP(F2147,製品マスタ!$G$5:$K$5002,5,FALSE))</f>
        <v>MCR</v>
      </c>
      <c r="I2147" s="270" t="str">
        <f>IF(D2147="","",VLOOKUP(F2147,製品マスタ!$G$5:$L$5002,6,FALSE))</f>
        <v>Metalumy CR</v>
      </c>
      <c r="J2147" s="210" t="s">
        <v>464</v>
      </c>
      <c r="K2147" s="270">
        <f>IF(D2147="","",VLOOKUP(D2147,契約台帳!$A$3:$L$4986,12,FALSE))</f>
        <v>25</v>
      </c>
      <c r="L2147" s="270" t="str">
        <f>IF(D2147="","",INDEX(製品マスタ!$Q$5:$Q$5002,MATCH('S4'!F2147&amp;'S4'!K2147,製品マスタ!$AO$5:$AO$5002,0)))</f>
        <v>S28M</v>
      </c>
      <c r="M2147" s="39">
        <v>1110</v>
      </c>
      <c r="N2147" s="39">
        <v>12100</v>
      </c>
      <c r="O2147" s="156">
        <v>13</v>
      </c>
      <c r="P2147" s="47">
        <v>1</v>
      </c>
      <c r="Q2147" s="213">
        <v>45470</v>
      </c>
      <c r="R2147" s="271">
        <f ca="1">IF(D2147="","",IF(OFFSET(D2147,-1,0)&lt;&gt;"","",IF(OR(J2147="リード付け",J2147="巻足し",J2147="巻返しリード付け"),M2147,VLOOKUP(D2147,契約台帳!$A$3:$N$4986,14,FALSE))))</f>
        <v>1110</v>
      </c>
      <c r="S2147" s="272">
        <f ca="1">IF(D2147="","",IF(OFFSET(D2147,-1,0)&lt;&gt;"","",IF(OR(J2147="リード付け",J2147="巻足し",J2147="巻返しリード付け"),M2147,VLOOKUP(D2147,契約台帳!$A$3:$O$4986,15,FALSE))))</f>
        <v>1110</v>
      </c>
      <c r="T2147" s="273">
        <f ca="1">IF(D2147="","",IF(J2147="リード付け",N2147,IF(J2147="巻返しリード付け",N2147,IF(J2147="巻足し",N2147*P2147+OFFSET(N2147,1,0)*OFFSET(P2147,1,0),VLOOKUP(D2147,契約台帳!$A$3:$P$4986,16,FALSE)))))</f>
        <v>12100</v>
      </c>
      <c r="U2147" s="40">
        <v>13</v>
      </c>
      <c r="V2147" s="274">
        <f ca="1">IF(D2147="","",IF(OFFSET(D2147,-2,0)=D2147,"",VLOOKUP(D2147,契約台帳!$A$3:$R$4986,18,FALSE)))</f>
        <v>26</v>
      </c>
      <c r="W2147" s="269" t="str">
        <f ca="1">IF(D2147="","",IF(T2147="","",IF(OR(J2147="巻足し",J2147="巻返しリード付け"),"",IF(J2147="巻返し",VLOOKUP(F2147&amp;K2147&amp;M2147,製品マスタ!$M$5:$AD$5002,18,FALSE),IF(OR(J2147="リード付け",J2147="巻返しリード付け"),"原反コア",IF(J2147="スリット",VLOOKUP(F2147&amp;K2147&amp;R2147,製品マスタ!$N$5:$AD$5002,17,FALSE),""))))))</f>
        <v>原反コア</v>
      </c>
      <c r="X2147" s="269" t="str">
        <f ca="1">IF(D2147="","",IF(T2147="","",IF(J2147="巻足し","",IF(J2147="巻返し",VLOOKUP(F2147&amp;K2147&amp;M2147,製品マスタ!$M$5:$AE$5002,19,FALSE),IF(OR(J2147="リード付け",J2147="巻返しリード付け"),"",IF(J2147="スリット",VLOOKUP(F2147&amp;K2147&amp;R2147,製品マスタ!$N$5:$AE$5002,18,FALSE),""))))))</f>
        <v/>
      </c>
      <c r="Y2147" s="275">
        <f ca="1">IF(D2147="","",IF(T2147="","",VLOOKUP(D2147,契約台帳!$A$3:$Q$4986,17,FALSE)))</f>
        <v>2</v>
      </c>
      <c r="Z2147" s="269" t="str">
        <f ca="1">IF(D2147="","",IF(T2147="","",VLOOKUP(D2147,契約台帳!$A$3:$E$4986,5,FALSE)))</f>
        <v>日東電工㈱豊橋工場</v>
      </c>
      <c r="AA2147" s="57"/>
      <c r="AB2147" s="207" t="s">
        <v>2892</v>
      </c>
      <c r="AC2147" s="33"/>
      <c r="AD2147" s="189"/>
      <c r="AE2147" s="54"/>
      <c r="AF2147" s="55">
        <f>+M2147*N2147*O2147/1000</f>
        <v>174603</v>
      </c>
      <c r="AG2147" s="43"/>
      <c r="AH2147" s="47"/>
      <c r="AI2147" s="30"/>
      <c r="AJ2147" s="30"/>
      <c r="AK2147" s="30"/>
      <c r="AL2147" s="30"/>
      <c r="AM2147" s="13"/>
      <c r="AN2147" s="13"/>
      <c r="AO2147" s="13"/>
      <c r="AP2147" s="13"/>
      <c r="AQ2147" s="13"/>
      <c r="AR2147" s="14"/>
      <c r="AS2147" s="15"/>
    </row>
    <row r="2148" spans="1:45" s="17" customFormat="1" ht="30.95" hidden="1" customHeight="1" x14ac:dyDescent="0.2">
      <c r="A2148" s="343"/>
      <c r="B2148" s="344"/>
      <c r="C2148" s="345"/>
      <c r="D2148" s="346"/>
      <c r="E2148" s="346"/>
      <c r="F2148" s="268"/>
      <c r="G2148" s="269"/>
      <c r="H2148" s="269"/>
      <c r="I2148" s="270"/>
      <c r="J2148" s="434"/>
      <c r="K2148" s="270"/>
      <c r="L2148" s="270"/>
      <c r="M2148" s="348"/>
      <c r="N2148" s="348"/>
      <c r="O2148" s="435"/>
      <c r="P2148" s="349"/>
      <c r="Q2148" s="350"/>
      <c r="R2148" s="271"/>
      <c r="S2148" s="272"/>
      <c r="T2148" s="273"/>
      <c r="U2148" s="351"/>
      <c r="V2148" s="274"/>
      <c r="W2148" s="269"/>
      <c r="X2148" s="269"/>
      <c r="Y2148" s="275"/>
      <c r="Z2148" s="269"/>
      <c r="AA2148" s="350"/>
      <c r="AB2148" s="207"/>
      <c r="AC2148" s="352"/>
      <c r="AD2148" s="353"/>
      <c r="AE2148" s="54"/>
      <c r="AF2148" s="354"/>
      <c r="AG2148" s="355"/>
      <c r="AH2148" s="349"/>
      <c r="AI2148" s="30"/>
      <c r="AJ2148" s="30"/>
      <c r="AK2148" s="30"/>
      <c r="AL2148" s="30"/>
      <c r="AM2148" s="13"/>
      <c r="AN2148" s="13"/>
      <c r="AO2148" s="13"/>
      <c r="AP2148" s="13"/>
      <c r="AQ2148" s="13"/>
      <c r="AR2148" s="14"/>
      <c r="AS2148" s="15"/>
    </row>
    <row r="2149" spans="1:45" s="17" customFormat="1" ht="30" hidden="1" customHeight="1" x14ac:dyDescent="0.2">
      <c r="A2149" s="37" t="s">
        <v>2936</v>
      </c>
      <c r="B2149" s="38" t="s">
        <v>2937</v>
      </c>
      <c r="C2149" s="45"/>
      <c r="D2149" s="31">
        <v>3762724</v>
      </c>
      <c r="E2149" s="31">
        <v>4162389</v>
      </c>
      <c r="F2149" s="268" t="str">
        <f>IF(D2149="","",VLOOKUP(D2149,契約台帳!$A$3:$K$4986,6,FALSE)&amp;VLOOKUP(D2149,契約台帳!$A$3:$K$4986,7,FALSE)&amp;VLOOKUP(D2149,契約台帳!$A$3:$K$4986,8,FALSE)&amp;VLOOKUP(D2149,契約台帳!$A$3:$K$4986,9,FALSE)&amp;VLOOKUP(D2149,契約台帳!$A$3:$K$4986,11,FALSE))</f>
        <v>3SNMLBMTSF</v>
      </c>
      <c r="G2149" s="269" t="str">
        <f>IF(D2149="","",VLOOKUP(F2149,製品マスタ!$G$5:$H$5002,2,FALSE))</f>
        <v>S</v>
      </c>
      <c r="H2149" s="269" t="str">
        <f>IF(D2149="","",VLOOKUP(F2149,製品マスタ!$G$5:$K$5002,5,FALSE))</f>
        <v>MTSF</v>
      </c>
      <c r="I2149" s="270" t="str">
        <f>IF(D2149="","",VLOOKUP(F2149,製品マスタ!$G$5:$L$5002,6,FALSE))</f>
        <v>メタルミー　ＴＳ</v>
      </c>
      <c r="J2149" s="210" t="s">
        <v>464</v>
      </c>
      <c r="K2149" s="270">
        <f>IF(D2149="","",VLOOKUP(D2149,契約台帳!$A$3:$L$4986,12,FALSE))</f>
        <v>75</v>
      </c>
      <c r="L2149" s="270" t="str">
        <f>IF(D2149="","",INDEX(製品マスタ!$Q$5:$Q$5002,MATCH('S4'!F2149&amp;'S4'!K2149,製品マスタ!$AO$5:$AO$5002,0)))</f>
        <v>T60</v>
      </c>
      <c r="M2149" s="39">
        <v>1100</v>
      </c>
      <c r="N2149" s="39">
        <v>2000</v>
      </c>
      <c r="O2149" s="156">
        <v>1</v>
      </c>
      <c r="P2149" s="47">
        <v>1</v>
      </c>
      <c r="Q2149" s="213">
        <v>45470</v>
      </c>
      <c r="R2149" s="271">
        <f ca="1">IF(D2149="","",IF(OFFSET(D2149,-1,0)&lt;&gt;"","",IF(OR(J2149="リード付け",J2149="巻足し",J2149="巻返しリード付け"),M2149,VLOOKUP(D2149,契約台帳!$A$3:$N$4986,14,FALSE))))</f>
        <v>1100</v>
      </c>
      <c r="S2149" s="272">
        <f ca="1">IF(D2149="","",IF(OFFSET(D2149,-1,0)&lt;&gt;"","",IF(OR(J2149="リード付け",J2149="巻足し",J2149="巻返しリード付け"),M2149,VLOOKUP(D2149,契約台帳!$A$3:$O$4986,15,FALSE))))</f>
        <v>1100</v>
      </c>
      <c r="T2149" s="273">
        <f ca="1">IF(D2149="","",IF(J2149="リード付け",N2149,IF(J2149="巻返しリード付け",N2149,IF(J2149="巻足し",N2149*P2149+OFFSET(N2149,1,0)*OFFSET(P2149,1,0),VLOOKUP(D2149,契約台帳!$A$3:$P$4986,16,FALSE)))))</f>
        <v>2000</v>
      </c>
      <c r="U2149" s="40">
        <v>1</v>
      </c>
      <c r="V2149" s="274">
        <f ca="1">IF(D2149="","",IF(OFFSET(D2149,-2,0)=D2149,"",VLOOKUP(D2149,契約台帳!$A$3:$R$4986,18,FALSE)))</f>
        <v>2</v>
      </c>
      <c r="W2149" s="269" t="str">
        <f ca="1">IF(D2149="","",IF(T2149="","",IF(OR(J2149="巻足し",J2149="巻返しリード付け"),"",IF(J2149="巻返し",VLOOKUP(F2149&amp;K2149&amp;M2149,製品マスタ!$M$5:$AD$5002,18,FALSE),IF(OR(J2149="リード付け",J2149="巻返しリード付け"),"原反コア",IF(J2149="スリット",VLOOKUP(F2149&amp;K2149&amp;R2149,製品マスタ!$N$5:$AD$5002,17,FALSE),""))))))</f>
        <v>原反コア</v>
      </c>
      <c r="X2149" s="269" t="str">
        <f ca="1">IF(D2149="","",IF(T2149="","",IF(J2149="巻足し","",IF(J2149="巻返し",VLOOKUP(F2149&amp;K2149&amp;M2149,製品マスタ!$M$5:$AE$5002,19,FALSE),IF(OR(J2149="リード付け",J2149="巻返しリード付け"),"",IF(J2149="スリット",VLOOKUP(F2149&amp;K2149&amp;R2149,製品マスタ!$N$5:$AE$5002,18,FALSE),""))))))</f>
        <v/>
      </c>
      <c r="Y2149" s="275">
        <f ca="1">IF(D2149="","",IF(T2149="","",VLOOKUP(D2149,契約台帳!$A$3:$Q$4986,17,FALSE)))</f>
        <v>2</v>
      </c>
      <c r="Z2149" s="269" t="str">
        <f ca="1">IF(D2149="","",IF(T2149="","",VLOOKUP(D2149,契約台帳!$A$3:$E$4986,5,FALSE)))</f>
        <v>パナック㈱亀山工場</v>
      </c>
      <c r="AA2149" s="57"/>
      <c r="AB2149" s="207">
        <f>IFERROR((VLOOKUP(F2149&amp;K2149&amp;M2149,製品マスタ!$M$5:$AM$5002,27,FALSE)),"")</f>
        <v>0</v>
      </c>
      <c r="AC2149" s="33"/>
      <c r="AD2149" s="189"/>
      <c r="AE2149" s="54"/>
      <c r="AF2149" s="55">
        <f>+M2149*N2149*O2149/1000</f>
        <v>2200</v>
      </c>
      <c r="AG2149" s="43"/>
      <c r="AH2149" s="47"/>
      <c r="AI2149" s="30"/>
      <c r="AJ2149" s="30"/>
      <c r="AK2149" s="30"/>
      <c r="AL2149" s="30"/>
      <c r="AM2149" s="13"/>
      <c r="AN2149" s="13"/>
      <c r="AO2149" s="13"/>
      <c r="AP2149" s="13"/>
      <c r="AQ2149" s="13"/>
      <c r="AR2149" s="14"/>
      <c r="AS2149" s="15"/>
    </row>
    <row r="2150" spans="1:45" s="17" customFormat="1" ht="30.95" hidden="1" customHeight="1" x14ac:dyDescent="0.2">
      <c r="A2150" s="343"/>
      <c r="B2150" s="344"/>
      <c r="C2150" s="345"/>
      <c r="D2150" s="346"/>
      <c r="E2150" s="346"/>
      <c r="F2150" s="268"/>
      <c r="G2150" s="269"/>
      <c r="H2150" s="269"/>
      <c r="I2150" s="270"/>
      <c r="J2150" s="434"/>
      <c r="K2150" s="270"/>
      <c r="L2150" s="270"/>
      <c r="M2150" s="348"/>
      <c r="N2150" s="348"/>
      <c r="O2150" s="435"/>
      <c r="P2150" s="349"/>
      <c r="Q2150" s="350"/>
      <c r="R2150" s="271"/>
      <c r="S2150" s="272"/>
      <c r="T2150" s="273"/>
      <c r="U2150" s="351"/>
      <c r="V2150" s="274"/>
      <c r="W2150" s="269"/>
      <c r="X2150" s="269"/>
      <c r="Y2150" s="275"/>
      <c r="Z2150" s="269"/>
      <c r="AA2150" s="350"/>
      <c r="AB2150" s="207"/>
      <c r="AC2150" s="352"/>
      <c r="AD2150" s="353"/>
      <c r="AE2150" s="54"/>
      <c r="AF2150" s="354"/>
      <c r="AG2150" s="355"/>
      <c r="AH2150" s="349"/>
      <c r="AI2150" s="30"/>
      <c r="AJ2150" s="30"/>
      <c r="AK2150" s="30"/>
      <c r="AL2150" s="30"/>
      <c r="AM2150" s="13"/>
      <c r="AN2150" s="13"/>
      <c r="AO2150" s="13"/>
      <c r="AP2150" s="13"/>
      <c r="AQ2150" s="13"/>
      <c r="AR2150" s="14"/>
      <c r="AS2150" s="15"/>
    </row>
    <row r="2151" spans="1:45" s="17" customFormat="1" ht="30" hidden="1" customHeight="1" x14ac:dyDescent="0.2">
      <c r="A2151" s="37"/>
      <c r="B2151" s="38"/>
      <c r="C2151" s="45"/>
      <c r="D2151" s="31">
        <v>3762723</v>
      </c>
      <c r="E2151" s="31">
        <v>4162387</v>
      </c>
      <c r="F2151" s="268" t="str">
        <f>IF(D2151="","",VLOOKUP(D2151,契約台帳!$A$3:$K$4986,6,FALSE)&amp;VLOOKUP(D2151,契約台帳!$A$3:$K$4986,7,FALSE)&amp;VLOOKUP(D2151,契約台帳!$A$3:$K$4986,8,FALSE)&amp;VLOOKUP(D2151,契約台帳!$A$3:$K$4986,9,FALSE)&amp;VLOOKUP(D2151,契約台帳!$A$3:$K$4986,11,FALSE))</f>
        <v>3SNMLBMTSF</v>
      </c>
      <c r="G2151" s="269" t="str">
        <f>IF(D2151="","",VLOOKUP(F2151,製品マスタ!$G$5:$H$5002,2,FALSE))</f>
        <v>S</v>
      </c>
      <c r="H2151" s="269" t="str">
        <f>IF(D2151="","",VLOOKUP(F2151,製品マスタ!$G$5:$K$5002,5,FALSE))</f>
        <v>MTSF</v>
      </c>
      <c r="I2151" s="270" t="str">
        <f>IF(D2151="","",VLOOKUP(F2151,製品マスタ!$G$5:$L$5002,6,FALSE))</f>
        <v>メタルミー　ＴＳ</v>
      </c>
      <c r="J2151" s="210" t="s">
        <v>464</v>
      </c>
      <c r="K2151" s="270">
        <f>IF(D2151="","",VLOOKUP(D2151,契約台帳!$A$3:$L$4986,12,FALSE))</f>
        <v>50</v>
      </c>
      <c r="L2151" s="270" t="str">
        <f>IF(D2151="","",INDEX(製品マスタ!$Q$5:$Q$5002,MATCH('S4'!F2151&amp;'S4'!K2151,製品マスタ!$AO$5:$AO$5002,0)))</f>
        <v>T62M</v>
      </c>
      <c r="M2151" s="39">
        <v>1040</v>
      </c>
      <c r="N2151" s="39">
        <v>6000</v>
      </c>
      <c r="O2151" s="156">
        <v>1</v>
      </c>
      <c r="P2151" s="47">
        <v>1</v>
      </c>
      <c r="Q2151" s="213">
        <v>45470</v>
      </c>
      <c r="R2151" s="271">
        <f ca="1">IF(D2151="","",IF(OFFSET(D2151,-1,0)&lt;&gt;"","",IF(OR(J2151="リード付け",J2151="巻足し",J2151="巻返しリード付け"),M2151,VLOOKUP(D2151,契約台帳!$A$3:$N$4986,14,FALSE))))</f>
        <v>1040</v>
      </c>
      <c r="S2151" s="272">
        <f ca="1">IF(D2151="","",IF(OFFSET(D2151,-1,0)&lt;&gt;"","",IF(OR(J2151="リード付け",J2151="巻足し",J2151="巻返しリード付け"),M2151,VLOOKUP(D2151,契約台帳!$A$3:$O$4986,15,FALSE))))</f>
        <v>1040</v>
      </c>
      <c r="T2151" s="273">
        <f ca="1">IF(D2151="","",IF(J2151="リード付け",N2151,IF(J2151="巻返しリード付け",N2151,IF(J2151="巻足し",N2151*P2151+OFFSET(N2151,1,0)*OFFSET(P2151,1,0),VLOOKUP(D2151,契約台帳!$A$3:$P$4986,16,FALSE)))))</f>
        <v>6000</v>
      </c>
      <c r="U2151" s="40">
        <v>1</v>
      </c>
      <c r="V2151" s="274">
        <f ca="1">IF(D2151="","",IF(OFFSET(D2151,-2,0)=D2151,"",VLOOKUP(D2151,契約台帳!$A$3:$R$4986,18,FALSE)))</f>
        <v>6</v>
      </c>
      <c r="W2151" s="269" t="str">
        <f ca="1">IF(D2151="","",IF(T2151="","",IF(OR(J2151="巻足し",J2151="巻返しリード付け"),"",IF(J2151="巻返し",VLOOKUP(F2151&amp;K2151&amp;M2151,製品マスタ!$M$5:$AD$5002,18,FALSE),IF(OR(J2151="リード付け",J2151="巻返しリード付け"),"原反コア",IF(J2151="スリット",VLOOKUP(F2151&amp;K2151&amp;R2151,製品マスタ!$N$5:$AD$5002,17,FALSE),""))))))</f>
        <v>原反コア</v>
      </c>
      <c r="X2151" s="269" t="str">
        <f ca="1">IF(D2151="","",IF(T2151="","",IF(J2151="巻足し","",IF(J2151="巻返し",VLOOKUP(F2151&amp;K2151&amp;M2151,製品マスタ!$M$5:$AE$5002,19,FALSE),IF(OR(J2151="リード付け",J2151="巻返しリード付け"),"",IF(J2151="スリット",VLOOKUP(F2151&amp;K2151&amp;R2151,製品マスタ!$N$5:$AE$5002,18,FALSE),""))))))</f>
        <v/>
      </c>
      <c r="Y2151" s="275">
        <f ca="1">IF(D2151="","",IF(T2151="","",VLOOKUP(D2151,契約台帳!$A$3:$Q$4986,17,FALSE)))</f>
        <v>2</v>
      </c>
      <c r="Z2151" s="269" t="str">
        <f ca="1">IF(D2151="","",IF(T2151="","",VLOOKUP(D2151,契約台帳!$A$3:$E$4986,5,FALSE)))</f>
        <v>パナック㈱亀山工場</v>
      </c>
      <c r="AA2151" s="57"/>
      <c r="AB2151" s="207" t="str">
        <f>IFERROR((VLOOKUP(F2151&amp;K2151&amp;M2151,製品マスタ!$M$5:$AM$5002,27,FALSE)),"")</f>
        <v/>
      </c>
      <c r="AC2151" s="33"/>
      <c r="AD2151" s="189"/>
      <c r="AE2151" s="54"/>
      <c r="AF2151" s="55">
        <f>+M2151*N2151*O2151/1000</f>
        <v>6240</v>
      </c>
      <c r="AG2151" s="43"/>
      <c r="AH2151" s="47"/>
      <c r="AI2151" s="30"/>
      <c r="AJ2151" s="30"/>
      <c r="AK2151" s="30"/>
      <c r="AL2151" s="30"/>
      <c r="AM2151" s="13"/>
      <c r="AN2151" s="13"/>
      <c r="AO2151" s="13"/>
      <c r="AP2151" s="13"/>
      <c r="AQ2151" s="13"/>
      <c r="AR2151" s="14"/>
      <c r="AS2151" s="15"/>
    </row>
    <row r="2152" spans="1:45" s="17" customFormat="1" ht="30.95" hidden="1" customHeight="1" x14ac:dyDescent="0.2">
      <c r="A2152" s="343"/>
      <c r="B2152" s="344"/>
      <c r="C2152" s="345"/>
      <c r="D2152" s="346"/>
      <c r="E2152" s="346"/>
      <c r="F2152" s="268"/>
      <c r="G2152" s="269"/>
      <c r="H2152" s="269"/>
      <c r="I2152" s="270"/>
      <c r="J2152" s="434"/>
      <c r="K2152" s="270"/>
      <c r="L2152" s="270"/>
      <c r="M2152" s="348"/>
      <c r="N2152" s="348"/>
      <c r="O2152" s="435"/>
      <c r="P2152" s="349"/>
      <c r="Q2152" s="350"/>
      <c r="R2152" s="271"/>
      <c r="S2152" s="272"/>
      <c r="T2152" s="273"/>
      <c r="U2152" s="351"/>
      <c r="V2152" s="274"/>
      <c r="W2152" s="269"/>
      <c r="X2152" s="269"/>
      <c r="Y2152" s="275"/>
      <c r="Z2152" s="269"/>
      <c r="AA2152" s="350"/>
      <c r="AB2152" s="207"/>
      <c r="AC2152" s="352"/>
      <c r="AD2152" s="353"/>
      <c r="AE2152" s="54"/>
      <c r="AF2152" s="354"/>
      <c r="AG2152" s="355"/>
      <c r="AH2152" s="349"/>
      <c r="AI2152" s="30"/>
      <c r="AJ2152" s="30"/>
      <c r="AK2152" s="30"/>
      <c r="AL2152" s="30"/>
      <c r="AM2152" s="13"/>
      <c r="AN2152" s="13"/>
      <c r="AO2152" s="13"/>
      <c r="AP2152" s="13"/>
      <c r="AQ2152" s="13"/>
      <c r="AR2152" s="14"/>
      <c r="AS2152" s="15"/>
    </row>
    <row r="2153" spans="1:45" s="17" customFormat="1" ht="30" hidden="1" customHeight="1" x14ac:dyDescent="0.2">
      <c r="A2153" s="37"/>
      <c r="B2153" s="38"/>
      <c r="C2153" s="45"/>
      <c r="D2153" s="31">
        <v>3762725</v>
      </c>
      <c r="E2153" s="31">
        <v>4162381</v>
      </c>
      <c r="F2153" s="268" t="str">
        <f>IF(D2153="","",VLOOKUP(D2153,契約台帳!$A$3:$K$4986,6,FALSE)&amp;VLOOKUP(D2153,契約台帳!$A$3:$K$4986,7,FALSE)&amp;VLOOKUP(D2153,契約台帳!$A$3:$K$4986,8,FALSE)&amp;VLOOKUP(D2153,契約台帳!$A$3:$K$4986,9,FALSE)&amp;VLOOKUP(D2153,契約台帳!$A$3:$K$4986,11,FALSE))</f>
        <v>3SNMLBMSF</v>
      </c>
      <c r="G2153" s="269" t="str">
        <f>IF(D2153="","",VLOOKUP(F2153,製品マスタ!$G$5:$H$5002,2,FALSE))</f>
        <v>S</v>
      </c>
      <c r="H2153" s="269" t="str">
        <f>IF(D2153="","",VLOOKUP(F2153,製品マスタ!$G$5:$K$5002,5,FALSE))</f>
        <v>MSF</v>
      </c>
      <c r="I2153" s="270" t="str">
        <f>IF(D2153="","",VLOOKUP(F2153,製品マスタ!$G$5:$L$5002,6,FALSE))</f>
        <v>メタルミー　Ｓ</v>
      </c>
      <c r="J2153" s="210" t="s">
        <v>464</v>
      </c>
      <c r="K2153" s="270">
        <f>IF(D2153="","",VLOOKUP(D2153,契約台帳!$A$3:$L$4986,12,FALSE))</f>
        <v>25</v>
      </c>
      <c r="L2153" s="270" t="str">
        <f>IF(D2153="","",INDEX(製品マスタ!$Q$5:$Q$5002,MATCH('S4'!F2153&amp;'S4'!K2153,製品マスタ!$AO$5:$AO$5002,0)))</f>
        <v>T62M</v>
      </c>
      <c r="M2153" s="39">
        <v>1020</v>
      </c>
      <c r="N2153" s="39">
        <v>12100</v>
      </c>
      <c r="O2153" s="156">
        <v>1</v>
      </c>
      <c r="P2153" s="47">
        <v>1</v>
      </c>
      <c r="Q2153" s="213">
        <v>45470</v>
      </c>
      <c r="R2153" s="271">
        <f ca="1">IF(D2153="","",IF(OFFSET(D2153,-1,0)&lt;&gt;"","",IF(OR(J2153="リード付け",J2153="巻足し",J2153="巻返しリード付け"),M2153,VLOOKUP(D2153,契約台帳!$A$3:$N$4986,14,FALSE))))</f>
        <v>1020</v>
      </c>
      <c r="S2153" s="272">
        <f ca="1">IF(D2153="","",IF(OFFSET(D2153,-1,0)&lt;&gt;"","",IF(OR(J2153="リード付け",J2153="巻足し",J2153="巻返しリード付け"),M2153,VLOOKUP(D2153,契約台帳!$A$3:$O$4986,15,FALSE))))</f>
        <v>1020</v>
      </c>
      <c r="T2153" s="273">
        <f ca="1">IF(D2153="","",IF(J2153="リード付け",N2153,IF(J2153="巻返しリード付け",N2153,IF(J2153="巻足し",N2153*P2153+OFFSET(N2153,1,0)*OFFSET(P2153,1,0),VLOOKUP(D2153,契約台帳!$A$3:$P$4986,16,FALSE)))))</f>
        <v>12100</v>
      </c>
      <c r="U2153" s="40">
        <v>1</v>
      </c>
      <c r="V2153" s="274">
        <f ca="1">IF(D2153="","",IF(OFFSET(D2153,-2,0)=D2153,"",VLOOKUP(D2153,契約台帳!$A$3:$R$4986,18,FALSE)))</f>
        <v>6</v>
      </c>
      <c r="W2153" s="269" t="str">
        <f ca="1">IF(D2153="","",IF(T2153="","",IF(OR(J2153="巻足し",J2153="巻返しリード付け"),"",IF(J2153="巻返し",VLOOKUP(F2153&amp;K2153&amp;M2153,製品マスタ!$M$5:$AD$5002,18,FALSE),IF(OR(J2153="リード付け",J2153="巻返しリード付け"),"原反コア",IF(J2153="スリット",VLOOKUP(F2153&amp;K2153&amp;R2153,製品マスタ!$N$5:$AD$5002,17,FALSE),""))))))</f>
        <v>原反コア</v>
      </c>
      <c r="X2153" s="269" t="str">
        <f ca="1">IF(D2153="","",IF(T2153="","",IF(J2153="巻足し","",IF(J2153="巻返し",VLOOKUP(F2153&amp;K2153&amp;M2153,製品マスタ!$M$5:$AE$5002,19,FALSE),IF(OR(J2153="リード付け",J2153="巻返しリード付け"),"",IF(J2153="スリット",VLOOKUP(F2153&amp;K2153&amp;R2153,製品マスタ!$N$5:$AE$5002,18,FALSE),""))))))</f>
        <v/>
      </c>
      <c r="Y2153" s="275">
        <f ca="1">IF(D2153="","",IF(T2153="","",VLOOKUP(D2153,契約台帳!$A$3:$Q$4986,17,FALSE)))</f>
        <v>2</v>
      </c>
      <c r="Z2153" s="269" t="str">
        <f ca="1">IF(D2153="","",IF(T2153="","",VLOOKUP(D2153,契約台帳!$A$3:$E$4986,5,FALSE)))</f>
        <v>寺岡製作所　大宮工場</v>
      </c>
      <c r="AA2153" s="57"/>
      <c r="AB2153" s="207">
        <f>IFERROR((VLOOKUP(F2153&amp;K2153&amp;M2153,製品マスタ!$M$5:$AM$5002,27,FALSE)),"")</f>
        <v>0</v>
      </c>
      <c r="AC2153" s="33"/>
      <c r="AD2153" s="189"/>
      <c r="AE2153" s="54"/>
      <c r="AF2153" s="55">
        <f>+M2153*N2153*O2153/1000</f>
        <v>12342</v>
      </c>
      <c r="AG2153" s="43"/>
      <c r="AH2153" s="47"/>
      <c r="AI2153" s="30"/>
      <c r="AJ2153" s="30"/>
      <c r="AK2153" s="30"/>
      <c r="AL2153" s="30"/>
      <c r="AM2153" s="13"/>
      <c r="AN2153" s="13"/>
      <c r="AO2153" s="13"/>
      <c r="AP2153" s="13"/>
      <c r="AQ2153" s="13"/>
      <c r="AR2153" s="14"/>
      <c r="AS2153" s="15"/>
    </row>
    <row r="2154" spans="1:45" s="17" customFormat="1" ht="30.95" hidden="1" customHeight="1" x14ac:dyDescent="0.2">
      <c r="A2154" s="343"/>
      <c r="B2154" s="344"/>
      <c r="C2154" s="345"/>
      <c r="D2154" s="346"/>
      <c r="E2154" s="346"/>
      <c r="F2154" s="268"/>
      <c r="G2154" s="269"/>
      <c r="H2154" s="269"/>
      <c r="I2154" s="270"/>
      <c r="J2154" s="434"/>
      <c r="K2154" s="270"/>
      <c r="L2154" s="270"/>
      <c r="M2154" s="348"/>
      <c r="N2154" s="348"/>
      <c r="O2154" s="435"/>
      <c r="P2154" s="349"/>
      <c r="Q2154" s="350"/>
      <c r="R2154" s="271"/>
      <c r="S2154" s="272"/>
      <c r="T2154" s="273"/>
      <c r="U2154" s="351"/>
      <c r="V2154" s="274"/>
      <c r="W2154" s="269"/>
      <c r="X2154" s="269"/>
      <c r="Y2154" s="275"/>
      <c r="Z2154" s="269"/>
      <c r="AA2154" s="350"/>
      <c r="AB2154" s="207"/>
      <c r="AC2154" s="352"/>
      <c r="AD2154" s="353"/>
      <c r="AE2154" s="54"/>
      <c r="AF2154" s="354"/>
      <c r="AG2154" s="355"/>
      <c r="AH2154" s="349"/>
      <c r="AI2154" s="30"/>
      <c r="AJ2154" s="30"/>
      <c r="AK2154" s="30"/>
      <c r="AL2154" s="30"/>
      <c r="AM2154" s="13"/>
      <c r="AN2154" s="13"/>
      <c r="AO2154" s="13"/>
      <c r="AP2154" s="13"/>
      <c r="AQ2154" s="13"/>
      <c r="AR2154" s="14"/>
      <c r="AS2154" s="15"/>
    </row>
    <row r="2155" spans="1:45" s="17" customFormat="1" ht="30" hidden="1" customHeight="1" x14ac:dyDescent="0.2">
      <c r="A2155" s="37"/>
      <c r="B2155" s="38"/>
      <c r="C2155" s="45"/>
      <c r="D2155" s="31">
        <v>3762731</v>
      </c>
      <c r="E2155" s="31">
        <v>4162376</v>
      </c>
      <c r="F2155" s="268" t="str">
        <f>IF(D2155="","",VLOOKUP(D2155,契約台帳!$A$3:$K$4986,6,FALSE)&amp;VLOOKUP(D2155,契約台帳!$A$3:$K$4986,7,FALSE)&amp;VLOOKUP(D2155,契約台帳!$A$3:$K$4986,8,FALSE)&amp;VLOOKUP(D2155,契約台帳!$A$3:$K$4986,9,FALSE)&amp;VLOOKUP(D2155,契約台帳!$A$3:$K$4986,11,FALSE))</f>
        <v>3SNMLBMNGTBF</v>
      </c>
      <c r="G2155" s="269" t="str">
        <f>IF(D2155="","",VLOOKUP(F2155,製品マスタ!$G$5:$H$5002,2,FALSE))</f>
        <v>S</v>
      </c>
      <c r="H2155" s="269" t="str">
        <f>IF(D2155="","",VLOOKUP(F2155,製品マスタ!$G$5:$K$5002,5,FALSE))</f>
        <v>MNGTBF</v>
      </c>
      <c r="I2155" s="270" t="str">
        <f>IF(D2155="","",VLOOKUP(F2155,製品マスタ!$G$5:$L$5002,6,FALSE))</f>
        <v>メタルミー　ネーマー　銀艶　Ｂ</v>
      </c>
      <c r="J2155" s="210" t="s">
        <v>464</v>
      </c>
      <c r="K2155" s="270">
        <f>IF(D2155="","",VLOOKUP(D2155,契約台帳!$A$3:$L$4986,12,FALSE))</f>
        <v>25</v>
      </c>
      <c r="L2155" s="270" t="str">
        <f>IF(D2155="","",INDEX(製品マスタ!$Q$5:$Q$5002,MATCH('S4'!F2155&amp;'S4'!K2155,製品マスタ!$AO$5:$AO$5002,0)))</f>
        <v>T62M</v>
      </c>
      <c r="M2155" s="39">
        <v>1005</v>
      </c>
      <c r="N2155" s="39">
        <v>12100</v>
      </c>
      <c r="O2155" s="156">
        <v>4</v>
      </c>
      <c r="P2155" s="47">
        <v>1</v>
      </c>
      <c r="Q2155" s="213">
        <v>45470</v>
      </c>
      <c r="R2155" s="271">
        <f ca="1">IF(D2155="","",IF(OFFSET(D2155,-1,0)&lt;&gt;"","",IF(OR(J2155="リード付け",J2155="巻足し",J2155="巻返しリード付け"),M2155,VLOOKUP(D2155,契約台帳!$A$3:$N$4986,14,FALSE))))</f>
        <v>1005</v>
      </c>
      <c r="S2155" s="272">
        <f ca="1">IF(D2155="","",IF(OFFSET(D2155,-1,0)&lt;&gt;"","",IF(OR(J2155="リード付け",J2155="巻足し",J2155="巻返しリード付け"),M2155,VLOOKUP(D2155,契約台帳!$A$3:$O$4986,15,FALSE))))</f>
        <v>1005</v>
      </c>
      <c r="T2155" s="273">
        <f ca="1">IF(D2155="","",IF(J2155="リード付け",N2155,IF(J2155="巻返しリード付け",N2155,IF(J2155="巻足し",N2155*P2155+OFFSET(N2155,1,0)*OFFSET(P2155,1,0),VLOOKUP(D2155,契約台帳!$A$3:$P$4986,16,FALSE)))))</f>
        <v>12100</v>
      </c>
      <c r="U2155" s="40">
        <v>4</v>
      </c>
      <c r="V2155" s="274">
        <f ca="1">IF(D2155="","",IF(OFFSET(D2155,-2,0)=D2155,"",VLOOKUP(D2155,契約台帳!$A$3:$R$4986,18,FALSE)))</f>
        <v>12</v>
      </c>
      <c r="W2155" s="269" t="str">
        <f ca="1">IF(D2155="","",IF(T2155="","",IF(OR(J2155="巻足し",J2155="巻返しリード付け"),"",IF(J2155="巻返し",VLOOKUP(F2155&amp;K2155&amp;M2155,製品マスタ!$M$5:$AD$5002,18,FALSE),IF(OR(J2155="リード付け",J2155="巻返しリード付け"),"原反コア",IF(J2155="スリット",VLOOKUP(F2155&amp;K2155&amp;R2155,製品マスタ!$N$5:$AD$5002,17,FALSE),""))))))</f>
        <v>原反コア</v>
      </c>
      <c r="X2155" s="269" t="str">
        <f ca="1">IF(D2155="","",IF(T2155="","",IF(J2155="巻足し","",IF(J2155="巻返し",VLOOKUP(F2155&amp;K2155&amp;M2155,製品マスタ!$M$5:$AE$5002,19,FALSE),IF(OR(J2155="リード付け",J2155="巻返しリード付け"),"",IF(J2155="スリット",VLOOKUP(F2155&amp;K2155&amp;R2155,製品マスタ!$N$5:$AE$5002,18,FALSE),""))))))</f>
        <v/>
      </c>
      <c r="Y2155" s="275">
        <f ca="1">IF(D2155="","",IF(T2155="","",VLOOKUP(D2155,契約台帳!$A$3:$Q$4986,17,FALSE)))</f>
        <v>2</v>
      </c>
      <c r="Z2155" s="269" t="str">
        <f ca="1">IF(D2155="","",IF(T2155="","",VLOOKUP(D2155,契約台帳!$A$3:$E$4986,5,FALSE)))</f>
        <v>リンテック㈱</v>
      </c>
      <c r="AA2155" s="57"/>
      <c r="AB2155" s="207">
        <f>IFERROR((VLOOKUP(F2155&amp;K2155&amp;M2155,製品マスタ!$M$5:$AM$5002,27,FALSE)),"")</f>
        <v>0</v>
      </c>
      <c r="AC2155" s="33"/>
      <c r="AD2155" s="189"/>
      <c r="AE2155" s="54"/>
      <c r="AF2155" s="55">
        <f>+M2155*N2155*O2155/1000</f>
        <v>48642</v>
      </c>
      <c r="AG2155" s="43"/>
      <c r="AH2155" s="47"/>
      <c r="AI2155" s="30"/>
      <c r="AJ2155" s="30"/>
      <c r="AK2155" s="30"/>
      <c r="AL2155" s="30"/>
      <c r="AM2155" s="13"/>
      <c r="AN2155" s="13"/>
      <c r="AO2155" s="13"/>
      <c r="AP2155" s="13"/>
      <c r="AQ2155" s="13"/>
      <c r="AR2155" s="14"/>
      <c r="AS2155" s="15"/>
    </row>
    <row r="2156" spans="1:45" s="17" customFormat="1" ht="30.95" hidden="1" customHeight="1" x14ac:dyDescent="0.2">
      <c r="A2156" s="343"/>
      <c r="B2156" s="344"/>
      <c r="C2156" s="345"/>
      <c r="D2156" s="346"/>
      <c r="E2156" s="346"/>
      <c r="F2156" s="268"/>
      <c r="G2156" s="269"/>
      <c r="H2156" s="269"/>
      <c r="I2156" s="270"/>
      <c r="J2156" s="434"/>
      <c r="K2156" s="270"/>
      <c r="L2156" s="270"/>
      <c r="M2156" s="348"/>
      <c r="N2156" s="348"/>
      <c r="O2156" s="435"/>
      <c r="P2156" s="349"/>
      <c r="Q2156" s="350"/>
      <c r="R2156" s="271"/>
      <c r="S2156" s="272"/>
      <c r="T2156" s="273"/>
      <c r="U2156" s="351"/>
      <c r="V2156" s="274"/>
      <c r="W2156" s="269"/>
      <c r="X2156" s="269"/>
      <c r="Y2156" s="275"/>
      <c r="Z2156" s="269"/>
      <c r="AA2156" s="350"/>
      <c r="AB2156" s="207"/>
      <c r="AC2156" s="352"/>
      <c r="AD2156" s="353"/>
      <c r="AE2156" s="54"/>
      <c r="AF2156" s="354"/>
      <c r="AG2156" s="355"/>
      <c r="AH2156" s="349"/>
      <c r="AI2156" s="30"/>
      <c r="AJ2156" s="30"/>
      <c r="AK2156" s="30"/>
      <c r="AL2156" s="30"/>
      <c r="AM2156" s="13"/>
      <c r="AN2156" s="13"/>
      <c r="AO2156" s="13"/>
      <c r="AP2156" s="13"/>
      <c r="AQ2156" s="13"/>
      <c r="AR2156" s="14"/>
      <c r="AS2156" s="15"/>
    </row>
    <row r="2157" spans="1:45" s="17" customFormat="1" ht="30.6" hidden="1" customHeight="1" x14ac:dyDescent="0.2">
      <c r="A2157" s="37"/>
      <c r="B2157" s="38"/>
      <c r="C2157" s="45"/>
      <c r="D2157" s="31">
        <v>3762737</v>
      </c>
      <c r="E2157" s="31">
        <v>4162393</v>
      </c>
      <c r="F2157" s="268" t="str">
        <f>IF(D2157="","",VLOOKUP(D2157,契約台帳!$A$3:$K$4986,6,FALSE)&amp;VLOOKUP(D2157,契約台帳!$A$3:$K$4986,7,FALSE)&amp;VLOOKUP(D2157,契約台帳!$A$3:$K$4986,8,FALSE)&amp;VLOOKUP(D2157,契約台帳!$A$3:$K$4986,9,FALSE)&amp;VLOOKUP(D2157,契約台帳!$A$3:$K$4986,11,FALSE))</f>
        <v>3SNMLBMNQR66F</v>
      </c>
      <c r="G2157" s="269" t="str">
        <f>IF(D2157="","",VLOOKUP(F2157,製品マスタ!$G$5:$H$5002,2,FALSE))</f>
        <v>S</v>
      </c>
      <c r="H2157" s="269" t="str">
        <f>IF(D2157="","",VLOOKUP(F2157,製品マスタ!$G$5:$K$5002,5,FALSE))</f>
        <v>MNQR66F</v>
      </c>
      <c r="I2157" s="270" t="str">
        <f>IF(D2157="","",VLOOKUP(F2157,製品マスタ!$G$5:$L$5002,6,FALSE))</f>
        <v>ＱＲ６６蒸着品</v>
      </c>
      <c r="J2157" s="210" t="s">
        <v>935</v>
      </c>
      <c r="K2157" s="270">
        <f>IF(D2157="","",VLOOKUP(D2157,契約台帳!$A$3:$L$4986,12,FALSE))</f>
        <v>25</v>
      </c>
      <c r="L2157" s="270" t="str">
        <f>IF(D2157="","",INDEX(製品マスタ!$Q$5:$Q$5002,MATCH('S4'!F2157&amp;'S4'!K2157,製品マスタ!$AO$5:$AO$5002,0)))</f>
        <v>E315</v>
      </c>
      <c r="M2157" s="39">
        <v>1000</v>
      </c>
      <c r="N2157" s="39">
        <v>6000</v>
      </c>
      <c r="O2157" s="156">
        <v>15</v>
      </c>
      <c r="P2157" s="47">
        <v>3</v>
      </c>
      <c r="Q2157" s="213">
        <v>45470</v>
      </c>
      <c r="R2157" s="271">
        <f ca="1">IF(D2157="","",IF(OFFSET(D2157,-1,0)&lt;&gt;"","",IF(OR(J2157="リード付け",J2157="巻足し",J2157="巻返しリード付け"),M2157,VLOOKUP(D2157,契約台帳!$A$3:$N$4986,14,FALSE))))</f>
        <v>1000</v>
      </c>
      <c r="S2157" s="272">
        <f ca="1">IF(D2157="","",IF(OFFSET(D2157,-1,0)&lt;&gt;"","",IF(OR(J2157="リード付け",J2157="巻足し",J2157="巻返しリード付け"),M2157,VLOOKUP(D2157,契約台帳!$A$3:$O$4986,15,FALSE))))</f>
        <v>1000</v>
      </c>
      <c r="T2157" s="273">
        <f ca="1">IF(D2157="","",IF(J2157="リード付け",N2157,IF(J2157="巻返しリード付け",N2157,IF(J2157="巻足し",N2157*P2157+OFFSET(N2157,1,0)*OFFSET(P2157,1,0),VLOOKUP(D2157,契約台帳!$A$3:$P$4986,16,FALSE)))))</f>
        <v>18000</v>
      </c>
      <c r="U2157" s="40">
        <v>5</v>
      </c>
      <c r="V2157" s="274">
        <f ca="1">IF(D2157="","",IF(OFFSET(D2157,-2,0)=D2157,"",VLOOKUP(D2157,契約台帳!$A$3:$R$4986,18,FALSE)))</f>
        <v>15</v>
      </c>
      <c r="W2157" s="269" t="str">
        <f ca="1">IF(D2157="","",IF(T2157="","",IF(OR(J2157="巻足し",J2157="巻返しリード付け"),"",IF(J2157="巻返し",VLOOKUP(F2157&amp;K2157&amp;M2157,製品マスタ!$M$5:$AD$5002,18,FALSE),IF(OR(J2157="リード付け",J2157="巻返しリード付け"),"原反コア",IF(J2157="スリット",VLOOKUP(F2157&amp;K2157&amp;R2157,製品マスタ!$N$5:$AD$5002,17,FALSE),""))))))</f>
        <v/>
      </c>
      <c r="X2157" s="269" t="str">
        <f ca="1">IF(D2157="","",IF(T2157="","",IF(J2157="巻足し","",IF(J2157="巻返し",VLOOKUP(F2157&amp;K2157&amp;M2157,製品マスタ!$M$5:$AE$5002,19,FALSE),IF(OR(J2157="リード付け",J2157="巻返しリード付け"),"",IF(J2157="スリット",VLOOKUP(F2157&amp;K2157&amp;R2157,製品マスタ!$N$5:$AE$5002,18,FALSE),""))))))</f>
        <v/>
      </c>
      <c r="Y2157" s="275">
        <f ca="1">IF(D2157="","",IF(T2157="","",VLOOKUP(D2157,契約台帳!$A$3:$Q$4986,17,FALSE)))</f>
        <v>2</v>
      </c>
      <c r="Z2157" s="269" t="str">
        <f ca="1">IF(D2157="","",IF(T2157="","",VLOOKUP(D2157,契約台帳!$A$3:$E$4986,5,FALSE)))</f>
        <v>リンテック㈱</v>
      </c>
      <c r="AA2157" s="57"/>
      <c r="AB2157" s="207" t="str">
        <f>IFERROR((VLOOKUP(F2157&amp;K2157&amp;M2157,製品マスタ!$M$5:$AM$5002,27,FALSE)),"")</f>
        <v>原反ケース再利用</v>
      </c>
      <c r="AC2157" s="33"/>
      <c r="AD2157" s="189"/>
      <c r="AE2157" s="54"/>
      <c r="AF2157" s="55">
        <f>+M2157*N2157*O2157/1000</f>
        <v>90000</v>
      </c>
      <c r="AG2157" s="43"/>
      <c r="AH2157" s="47"/>
      <c r="AI2157" s="30"/>
      <c r="AJ2157" s="30"/>
      <c r="AK2157" s="30"/>
      <c r="AL2157" s="30"/>
      <c r="AM2157" s="13"/>
      <c r="AN2157" s="13"/>
      <c r="AO2157" s="13"/>
      <c r="AP2157" s="13"/>
      <c r="AQ2157" s="13"/>
      <c r="AR2157" s="14"/>
      <c r="AS2157" s="15"/>
    </row>
    <row r="2158" spans="1:45" s="17" customFormat="1" ht="30.95" hidden="1" customHeight="1" x14ac:dyDescent="0.2">
      <c r="A2158" s="343"/>
      <c r="B2158" s="344"/>
      <c r="C2158" s="345"/>
      <c r="D2158" s="346"/>
      <c r="E2158" s="346"/>
      <c r="F2158" s="268"/>
      <c r="G2158" s="269"/>
      <c r="H2158" s="269"/>
      <c r="I2158" s="270"/>
      <c r="J2158" s="434"/>
      <c r="K2158" s="270"/>
      <c r="L2158" s="270"/>
      <c r="M2158" s="348"/>
      <c r="N2158" s="348"/>
      <c r="O2158" s="435"/>
      <c r="P2158" s="349"/>
      <c r="Q2158" s="350"/>
      <c r="R2158" s="271"/>
      <c r="S2158" s="272"/>
      <c r="T2158" s="273"/>
      <c r="U2158" s="351"/>
      <c r="V2158" s="274"/>
      <c r="W2158" s="269"/>
      <c r="X2158" s="269"/>
      <c r="Y2158" s="275"/>
      <c r="Z2158" s="269"/>
      <c r="AA2158" s="350"/>
      <c r="AB2158" s="207"/>
      <c r="AC2158" s="352"/>
      <c r="AD2158" s="353"/>
      <c r="AE2158" s="54"/>
      <c r="AF2158" s="354"/>
      <c r="AG2158" s="355"/>
      <c r="AH2158" s="349"/>
      <c r="AI2158" s="30"/>
      <c r="AJ2158" s="30"/>
      <c r="AK2158" s="30"/>
      <c r="AL2158" s="30"/>
      <c r="AM2158" s="13"/>
      <c r="AN2158" s="13"/>
      <c r="AO2158" s="13"/>
      <c r="AP2158" s="13"/>
      <c r="AQ2158" s="13"/>
      <c r="AR2158" s="14"/>
      <c r="AS2158" s="15"/>
    </row>
    <row r="2159" spans="1:45" s="17" customFormat="1" ht="30.95" hidden="1" customHeight="1" x14ac:dyDescent="0.2">
      <c r="A2159" s="343" t="s">
        <v>1216</v>
      </c>
      <c r="B2159" s="344" t="s">
        <v>445</v>
      </c>
      <c r="C2159" s="345"/>
      <c r="D2159" s="346"/>
      <c r="E2159" s="346"/>
      <c r="F2159" s="268"/>
      <c r="G2159" s="269"/>
      <c r="H2159" s="269"/>
      <c r="I2159" s="270"/>
      <c r="J2159" s="434" t="s">
        <v>448</v>
      </c>
      <c r="K2159" s="270"/>
      <c r="L2159" s="270"/>
      <c r="M2159" s="348"/>
      <c r="N2159" s="348"/>
      <c r="O2159" s="435"/>
      <c r="P2159" s="349"/>
      <c r="Q2159" s="350"/>
      <c r="R2159" s="271"/>
      <c r="S2159" s="272"/>
      <c r="T2159" s="273"/>
      <c r="U2159" s="351"/>
      <c r="V2159" s="274"/>
      <c r="W2159" s="269"/>
      <c r="X2159" s="269"/>
      <c r="Y2159" s="275"/>
      <c r="Z2159" s="269"/>
      <c r="AA2159" s="350"/>
      <c r="AB2159" s="207"/>
      <c r="AC2159" s="352"/>
      <c r="AD2159" s="353"/>
      <c r="AE2159" s="54"/>
      <c r="AF2159" s="354"/>
      <c r="AG2159" s="355"/>
      <c r="AH2159" s="349"/>
      <c r="AI2159" s="30"/>
      <c r="AJ2159" s="30"/>
      <c r="AK2159" s="30"/>
      <c r="AL2159" s="30"/>
      <c r="AM2159" s="13"/>
      <c r="AN2159" s="13"/>
      <c r="AO2159" s="13"/>
      <c r="AP2159" s="13"/>
      <c r="AQ2159" s="13"/>
      <c r="AR2159" s="14"/>
      <c r="AS2159" s="15"/>
    </row>
    <row r="2160" spans="1:45" s="17" customFormat="1" ht="30.95" hidden="1" customHeight="1" x14ac:dyDescent="0.2">
      <c r="A2160" s="343"/>
      <c r="B2160" s="344"/>
      <c r="C2160" s="345"/>
      <c r="D2160" s="346"/>
      <c r="E2160" s="346"/>
      <c r="F2160" s="268"/>
      <c r="G2160" s="269"/>
      <c r="H2160" s="269"/>
      <c r="I2160" s="270"/>
      <c r="J2160" s="434"/>
      <c r="K2160" s="270"/>
      <c r="L2160" s="270"/>
      <c r="M2160" s="348"/>
      <c r="N2160" s="348"/>
      <c r="O2160" s="435"/>
      <c r="P2160" s="349"/>
      <c r="Q2160" s="350"/>
      <c r="R2160" s="271"/>
      <c r="S2160" s="272"/>
      <c r="T2160" s="273"/>
      <c r="U2160" s="351"/>
      <c r="V2160" s="274"/>
      <c r="W2160" s="269"/>
      <c r="X2160" s="269"/>
      <c r="Y2160" s="275"/>
      <c r="Z2160" s="269"/>
      <c r="AA2160" s="350"/>
      <c r="AB2160" s="207"/>
      <c r="AC2160" s="352"/>
      <c r="AD2160" s="353"/>
      <c r="AE2160" s="54"/>
      <c r="AF2160" s="354"/>
      <c r="AG2160" s="355"/>
      <c r="AH2160" s="349"/>
      <c r="AI2160" s="30"/>
      <c r="AJ2160" s="30"/>
      <c r="AK2160" s="30"/>
      <c r="AL2160" s="30"/>
      <c r="AM2160" s="13"/>
      <c r="AN2160" s="13"/>
      <c r="AO2160" s="13"/>
      <c r="AP2160" s="13"/>
      <c r="AQ2160" s="13"/>
      <c r="AR2160" s="14"/>
      <c r="AS2160" s="15"/>
    </row>
    <row r="2161" spans="1:45" s="17" customFormat="1" ht="30.95" hidden="1" customHeight="1" x14ac:dyDescent="0.2">
      <c r="A2161" s="343" t="s">
        <v>1217</v>
      </c>
      <c r="B2161" s="344" t="s">
        <v>446</v>
      </c>
      <c r="C2161" s="345"/>
      <c r="D2161" s="346"/>
      <c r="E2161" s="346"/>
      <c r="F2161" s="268"/>
      <c r="G2161" s="269"/>
      <c r="H2161" s="269"/>
      <c r="I2161" s="270"/>
      <c r="J2161" s="434" t="s">
        <v>448</v>
      </c>
      <c r="K2161" s="270"/>
      <c r="L2161" s="270"/>
      <c r="M2161" s="348"/>
      <c r="N2161" s="348"/>
      <c r="O2161" s="435"/>
      <c r="P2161" s="349"/>
      <c r="Q2161" s="350"/>
      <c r="R2161" s="271"/>
      <c r="S2161" s="272"/>
      <c r="T2161" s="273"/>
      <c r="U2161" s="351"/>
      <c r="V2161" s="274"/>
      <c r="W2161" s="269"/>
      <c r="X2161" s="269"/>
      <c r="Y2161" s="275"/>
      <c r="Z2161" s="269"/>
      <c r="AA2161" s="350"/>
      <c r="AB2161" s="207"/>
      <c r="AC2161" s="352"/>
      <c r="AD2161" s="353"/>
      <c r="AE2161" s="54"/>
      <c r="AF2161" s="354"/>
      <c r="AG2161" s="355"/>
      <c r="AH2161" s="349"/>
      <c r="AI2161" s="30"/>
      <c r="AJ2161" s="30"/>
      <c r="AK2161" s="30"/>
      <c r="AL2161" s="30"/>
      <c r="AM2161" s="13"/>
      <c r="AN2161" s="13"/>
      <c r="AO2161" s="13"/>
      <c r="AP2161" s="13"/>
      <c r="AQ2161" s="13"/>
      <c r="AR2161" s="14"/>
      <c r="AS2161" s="15"/>
    </row>
    <row r="2162" spans="1:45" s="17" customFormat="1" ht="30.95" hidden="1" customHeight="1" x14ac:dyDescent="0.2">
      <c r="A2162" s="343"/>
      <c r="B2162" s="344"/>
      <c r="C2162" s="345"/>
      <c r="D2162" s="346"/>
      <c r="E2162" s="346"/>
      <c r="F2162" s="268"/>
      <c r="G2162" s="269"/>
      <c r="H2162" s="269"/>
      <c r="I2162" s="270"/>
      <c r="J2162" s="434"/>
      <c r="K2162" s="270"/>
      <c r="L2162" s="270"/>
      <c r="M2162" s="348"/>
      <c r="N2162" s="348"/>
      <c r="O2162" s="435"/>
      <c r="P2162" s="349"/>
      <c r="Q2162" s="350"/>
      <c r="R2162" s="271"/>
      <c r="S2162" s="272"/>
      <c r="T2162" s="273"/>
      <c r="U2162" s="351"/>
      <c r="V2162" s="274"/>
      <c r="W2162" s="269"/>
      <c r="X2162" s="269"/>
      <c r="Y2162" s="275"/>
      <c r="Z2162" s="269"/>
      <c r="AA2162" s="350"/>
      <c r="AB2162" s="207"/>
      <c r="AC2162" s="352"/>
      <c r="AD2162" s="353"/>
      <c r="AE2162" s="54"/>
      <c r="AF2162" s="354"/>
      <c r="AG2162" s="355"/>
      <c r="AH2162" s="349"/>
      <c r="AI2162" s="30"/>
      <c r="AJ2162" s="30"/>
      <c r="AK2162" s="30"/>
      <c r="AL2162" s="30"/>
      <c r="AM2162" s="13"/>
      <c r="AN2162" s="13"/>
      <c r="AO2162" s="13"/>
      <c r="AP2162" s="13"/>
      <c r="AQ2162" s="13"/>
      <c r="AR2162" s="14"/>
      <c r="AS2162" s="15"/>
    </row>
    <row r="2163" spans="1:45" s="17" customFormat="1" ht="30.6" hidden="1" customHeight="1" x14ac:dyDescent="0.2">
      <c r="A2163" s="37" t="s">
        <v>2940</v>
      </c>
      <c r="B2163" s="38" t="s">
        <v>2941</v>
      </c>
      <c r="C2163" s="45"/>
      <c r="D2163" s="31">
        <v>3762730</v>
      </c>
      <c r="E2163" s="31">
        <v>4162373</v>
      </c>
      <c r="F2163" s="268" t="str">
        <f>IF(D2163="","",VLOOKUP(D2163,契約台帳!$A$3:$K$4986,6,FALSE)&amp;VLOOKUP(D2163,契約台帳!$A$3:$K$4986,7,FALSE)&amp;VLOOKUP(D2163,契約台帳!$A$3:$K$4986,8,FALSE)&amp;VLOOKUP(D2163,契約台帳!$A$3:$K$4986,9,FALSE)&amp;VLOOKUP(D2163,契約台帳!$A$3:$K$4986,11,FALSE))</f>
        <v>3SNMLBMNGKBF</v>
      </c>
      <c r="G2163" s="269" t="str">
        <f>IF(D2163="","",VLOOKUP(F2163,製品マスタ!$G$5:$H$5002,2,FALSE))</f>
        <v>S</v>
      </c>
      <c r="H2163" s="269" t="str">
        <f>IF(D2163="","",VLOOKUP(F2163,製品マスタ!$G$5:$K$5002,5,FALSE))</f>
        <v>MNGKBF</v>
      </c>
      <c r="I2163" s="270" t="str">
        <f>IF(D2163="","",VLOOKUP(F2163,製品マスタ!$G$5:$L$5002,6,FALSE))</f>
        <v>メタルミー　ネーマー銀消　Ｂ</v>
      </c>
      <c r="J2163" s="210" t="s">
        <v>935</v>
      </c>
      <c r="K2163" s="270">
        <f>IF(D2163="","",VLOOKUP(D2163,契約台帳!$A$3:$L$4986,12,FALSE))</f>
        <v>75</v>
      </c>
      <c r="L2163" s="270" t="str">
        <f>IF(D2163="","",INDEX(製品マスタ!$Q$5:$Q$5002,MATCH('S4'!F2163&amp;'S4'!K2163,製品マスタ!$AO$5:$AO$5002,0)))</f>
        <v>MAT</v>
      </c>
      <c r="M2163" s="39">
        <v>1050</v>
      </c>
      <c r="N2163" s="39">
        <v>2000</v>
      </c>
      <c r="O2163" s="156">
        <v>2</v>
      </c>
      <c r="P2163" s="47">
        <v>2</v>
      </c>
      <c r="Q2163" s="213">
        <v>45474</v>
      </c>
      <c r="R2163" s="271">
        <f ca="1">IF(D2163="","",IF(OFFSET(D2163,-1,0)&lt;&gt;"","",IF(OR(J2163="リード付け",J2163="巻足し",J2163="巻返しリード付け"),M2163,VLOOKUP(D2163,契約台帳!$A$3:$N$4986,14,FALSE))))</f>
        <v>1050</v>
      </c>
      <c r="S2163" s="272">
        <f ca="1">IF(D2163="","",IF(OFFSET(D2163,-1,0)&lt;&gt;"","",IF(OR(J2163="リード付け",J2163="巻足し",J2163="巻返しリード付け"),M2163,VLOOKUP(D2163,契約台帳!$A$3:$O$4986,15,FALSE))))</f>
        <v>1050</v>
      </c>
      <c r="T2163" s="273">
        <f ca="1">IF(D2163="","",IF(J2163="リード付け",N2163,IF(J2163="巻返しリード付け",N2163,IF(J2163="巻足し",N2163*P2163+OFFSET(N2163,1,0)*OFFSET(P2163,1,0),VLOOKUP(D2163,契約台帳!$A$3:$P$4986,16,FALSE)))))</f>
        <v>4000</v>
      </c>
      <c r="U2163" s="40">
        <v>1</v>
      </c>
      <c r="V2163" s="274">
        <f ca="1">IF(D2163="","",IF(OFFSET(D2163,-2,0)=D2163,"",VLOOKUP(D2163,契約台帳!$A$3:$R$4986,18,FALSE)))</f>
        <v>2</v>
      </c>
      <c r="W2163" s="269" t="str">
        <f ca="1">IF(D2163="","",IF(T2163="","",IF(OR(J2163="巻足し",J2163="巻返しリード付け"),"",IF(J2163="巻返し",VLOOKUP(F2163&amp;K2163&amp;M2163,製品マスタ!$M$5:$AD$5002,18,FALSE),IF(OR(J2163="リード付け",J2163="巻返しリード付け"),"原反コア",IF(J2163="スリット",VLOOKUP(F2163&amp;K2163&amp;R2163,製品マスタ!$N$5:$AD$5002,17,FALSE),""))))))</f>
        <v/>
      </c>
      <c r="X2163" s="269" t="str">
        <f ca="1">IF(D2163="","",IF(T2163="","",IF(J2163="巻足し","",IF(J2163="巻返し",VLOOKUP(F2163&amp;K2163&amp;M2163,製品マスタ!$M$5:$AE$5002,19,FALSE),IF(OR(J2163="リード付け",J2163="巻返しリード付け"),"",IF(J2163="スリット",VLOOKUP(F2163&amp;K2163&amp;R2163,製品マスタ!$N$5:$AE$5002,18,FALSE),""))))))</f>
        <v/>
      </c>
      <c r="Y2163" s="275">
        <f ca="1">IF(D2163="","",IF(T2163="","",VLOOKUP(D2163,契約台帳!$A$3:$Q$4986,17,FALSE)))</f>
        <v>2</v>
      </c>
      <c r="Z2163" s="269" t="str">
        <f ca="1">IF(D2163="","",IF(T2163="","",VLOOKUP(D2163,契約台帳!$A$3:$E$4986,5,FALSE)))</f>
        <v>リンテック㈱</v>
      </c>
      <c r="AA2163" s="57"/>
      <c r="AB2163" s="207">
        <f>IFERROR((VLOOKUP(F2163&amp;K2163&amp;M2163,製品マスタ!$M$5:$AM$5002,27,FALSE)),"")</f>
        <v>0</v>
      </c>
      <c r="AC2163" s="33"/>
      <c r="AD2163" s="189"/>
      <c r="AE2163" s="54"/>
      <c r="AF2163" s="55">
        <f>+M2163*N2163*O2163/1000</f>
        <v>4200</v>
      </c>
      <c r="AG2163" s="43"/>
      <c r="AH2163" s="47"/>
      <c r="AI2163" s="30"/>
      <c r="AJ2163" s="30"/>
      <c r="AK2163" s="30"/>
      <c r="AL2163" s="30"/>
      <c r="AM2163" s="13"/>
      <c r="AN2163" s="13"/>
      <c r="AO2163" s="13"/>
      <c r="AP2163" s="13"/>
      <c r="AQ2163" s="13"/>
      <c r="AR2163" s="14"/>
      <c r="AS2163" s="15"/>
    </row>
    <row r="2164" spans="1:45" s="17" customFormat="1" ht="30.95" hidden="1" customHeight="1" x14ac:dyDescent="0.2">
      <c r="A2164" s="343"/>
      <c r="B2164" s="344"/>
      <c r="C2164" s="345"/>
      <c r="D2164" s="346"/>
      <c r="E2164" s="346"/>
      <c r="F2164" s="268"/>
      <c r="G2164" s="269"/>
      <c r="H2164" s="269"/>
      <c r="I2164" s="270"/>
      <c r="J2164" s="434"/>
      <c r="K2164" s="270"/>
      <c r="L2164" s="270"/>
      <c r="M2164" s="348"/>
      <c r="N2164" s="348"/>
      <c r="O2164" s="435"/>
      <c r="P2164" s="349"/>
      <c r="Q2164" s="350"/>
      <c r="R2164" s="271"/>
      <c r="S2164" s="272"/>
      <c r="T2164" s="273"/>
      <c r="U2164" s="351"/>
      <c r="V2164" s="274"/>
      <c r="W2164" s="269"/>
      <c r="X2164" s="269"/>
      <c r="Y2164" s="275"/>
      <c r="Z2164" s="269"/>
      <c r="AA2164" s="350"/>
      <c r="AB2164" s="207"/>
      <c r="AC2164" s="352"/>
      <c r="AD2164" s="353"/>
      <c r="AE2164" s="54"/>
      <c r="AF2164" s="354"/>
      <c r="AG2164" s="355"/>
      <c r="AH2164" s="349"/>
      <c r="AI2164" s="30"/>
      <c r="AJ2164" s="30"/>
      <c r="AK2164" s="30"/>
      <c r="AL2164" s="30"/>
      <c r="AM2164" s="13"/>
      <c r="AN2164" s="13"/>
      <c r="AO2164" s="13"/>
      <c r="AP2164" s="13"/>
      <c r="AQ2164" s="13"/>
      <c r="AR2164" s="14"/>
      <c r="AS2164" s="15"/>
    </row>
    <row r="2165" spans="1:45" s="17" customFormat="1" ht="30.6" hidden="1" customHeight="1" x14ac:dyDescent="0.2">
      <c r="A2165" s="37"/>
      <c r="B2165" s="38"/>
      <c r="C2165" s="45"/>
      <c r="D2165" s="31">
        <v>3762729</v>
      </c>
      <c r="E2165" s="31">
        <v>4162372</v>
      </c>
      <c r="F2165" s="268" t="str">
        <f>IF(D2165="","",VLOOKUP(D2165,契約台帳!$A$3:$K$4986,6,FALSE)&amp;VLOOKUP(D2165,契約台帳!$A$3:$K$4986,7,FALSE)&amp;VLOOKUP(D2165,契約台帳!$A$3:$K$4986,8,FALSE)&amp;VLOOKUP(D2165,契約台帳!$A$3:$K$4986,9,FALSE)&amp;VLOOKUP(D2165,契約台帳!$A$3:$K$4986,11,FALSE))</f>
        <v>3SNMLBMNGKBF</v>
      </c>
      <c r="G2165" s="269" t="str">
        <f>IF(D2165="","",VLOOKUP(F2165,製品マスタ!$G$5:$H$5002,2,FALSE))</f>
        <v>S</v>
      </c>
      <c r="H2165" s="269" t="str">
        <f>IF(D2165="","",VLOOKUP(F2165,製品マスタ!$G$5:$K$5002,5,FALSE))</f>
        <v>MNGKBF</v>
      </c>
      <c r="I2165" s="270" t="str">
        <f>IF(D2165="","",VLOOKUP(F2165,製品マスタ!$G$5:$L$5002,6,FALSE))</f>
        <v>メタルミー　ネーマー銀消　Ｂ</v>
      </c>
      <c r="J2165" s="210" t="s">
        <v>935</v>
      </c>
      <c r="K2165" s="270">
        <f>IF(D2165="","",VLOOKUP(D2165,契約台帳!$A$3:$L$4986,12,FALSE))</f>
        <v>38</v>
      </c>
      <c r="L2165" s="270" t="str">
        <f>IF(D2165="","",INDEX(製品マスタ!$Q$5:$Q$5002,MATCH('S4'!F2165&amp;'S4'!K2165,製品マスタ!$AO$5:$AO$5002,0)))</f>
        <v>LUMIMAT</v>
      </c>
      <c r="M2165" s="39">
        <v>1005</v>
      </c>
      <c r="N2165" s="39">
        <v>4100</v>
      </c>
      <c r="O2165" s="156">
        <v>2</v>
      </c>
      <c r="P2165" s="47">
        <v>2</v>
      </c>
      <c r="Q2165" s="213">
        <v>45474</v>
      </c>
      <c r="R2165" s="271">
        <f ca="1">IF(D2165="","",IF(OFFSET(D2165,-1,0)&lt;&gt;"","",IF(OR(J2165="リード付け",J2165="巻足し",J2165="巻返しリード付け"),M2165,VLOOKUP(D2165,契約台帳!$A$3:$N$4986,14,FALSE))))</f>
        <v>1005</v>
      </c>
      <c r="S2165" s="272">
        <f ca="1">IF(D2165="","",IF(OFFSET(D2165,-1,0)&lt;&gt;"","",IF(OR(J2165="リード付け",J2165="巻足し",J2165="巻返しリード付け"),M2165,VLOOKUP(D2165,契約台帳!$A$3:$O$4986,15,FALSE))))</f>
        <v>1005</v>
      </c>
      <c r="T2165" s="273">
        <f ca="1">IF(D2165="","",IF(J2165="リード付け",N2165,IF(J2165="巻返しリード付け",N2165,IF(J2165="巻足し",N2165*P2165+OFFSET(N2165,1,0)*OFFSET(P2165,1,0),VLOOKUP(D2165,契約台帳!$A$3:$P$4986,16,FALSE)))))</f>
        <v>8200</v>
      </c>
      <c r="U2165" s="40">
        <v>1</v>
      </c>
      <c r="V2165" s="274">
        <f ca="1">IF(D2165="","",IF(OFFSET(D2165,-2,0)=D2165,"",VLOOKUP(D2165,契約台帳!$A$3:$R$4986,18,FALSE)))</f>
        <v>2</v>
      </c>
      <c r="W2165" s="269" t="str">
        <f ca="1">IF(D2165="","",IF(T2165="","",IF(OR(J2165="巻足し",J2165="巻返しリード付け"),"",IF(J2165="巻返し",VLOOKUP(F2165&amp;K2165&amp;M2165,製品マスタ!$M$5:$AD$5002,18,FALSE),IF(OR(J2165="リード付け",J2165="巻返しリード付け"),"原反コア",IF(J2165="スリット",VLOOKUP(F2165&amp;K2165&amp;R2165,製品マスタ!$N$5:$AD$5002,17,FALSE),""))))))</f>
        <v/>
      </c>
      <c r="X2165" s="269" t="str">
        <f ca="1">IF(D2165="","",IF(T2165="","",IF(J2165="巻足し","",IF(J2165="巻返し",VLOOKUP(F2165&amp;K2165&amp;M2165,製品マスタ!$M$5:$AE$5002,19,FALSE),IF(OR(J2165="リード付け",J2165="巻返しリード付け"),"",IF(J2165="スリット",VLOOKUP(F2165&amp;K2165&amp;R2165,製品マスタ!$N$5:$AE$5002,18,FALSE),""))))))</f>
        <v/>
      </c>
      <c r="Y2165" s="275">
        <f ca="1">IF(D2165="","",IF(T2165="","",VLOOKUP(D2165,契約台帳!$A$3:$Q$4986,17,FALSE)))</f>
        <v>2</v>
      </c>
      <c r="Z2165" s="269" t="str">
        <f ca="1">IF(D2165="","",IF(T2165="","",VLOOKUP(D2165,契約台帳!$A$3:$E$4986,5,FALSE)))</f>
        <v>リンテック㈱</v>
      </c>
      <c r="AA2165" s="57"/>
      <c r="AB2165" s="207">
        <f>IFERROR((VLOOKUP(F2165&amp;K2165&amp;M2165,製品マスタ!$M$5:$AM$5002,27,FALSE)),"")</f>
        <v>0</v>
      </c>
      <c r="AC2165" s="33"/>
      <c r="AD2165" s="189"/>
      <c r="AE2165" s="54"/>
      <c r="AF2165" s="55">
        <f>+M2165*N2165*O2165/1000</f>
        <v>8241</v>
      </c>
      <c r="AG2165" s="43"/>
      <c r="AH2165" s="47"/>
      <c r="AI2165" s="30"/>
      <c r="AJ2165" s="30"/>
      <c r="AK2165" s="30"/>
      <c r="AL2165" s="30"/>
      <c r="AM2165" s="13"/>
      <c r="AN2165" s="13"/>
      <c r="AO2165" s="13"/>
      <c r="AP2165" s="13"/>
      <c r="AQ2165" s="13"/>
      <c r="AR2165" s="14"/>
      <c r="AS2165" s="15"/>
    </row>
    <row r="2166" spans="1:45" s="17" customFormat="1" ht="30.95" hidden="1" customHeight="1" x14ac:dyDescent="0.2">
      <c r="A2166" s="343"/>
      <c r="B2166" s="344"/>
      <c r="C2166" s="345"/>
      <c r="D2166" s="346"/>
      <c r="E2166" s="346"/>
      <c r="F2166" s="268"/>
      <c r="G2166" s="269"/>
      <c r="H2166" s="269"/>
      <c r="I2166" s="270"/>
      <c r="J2166" s="434"/>
      <c r="K2166" s="270"/>
      <c r="L2166" s="270"/>
      <c r="M2166" s="348"/>
      <c r="N2166" s="348"/>
      <c r="O2166" s="435"/>
      <c r="P2166" s="349"/>
      <c r="Q2166" s="350"/>
      <c r="R2166" s="271"/>
      <c r="S2166" s="272"/>
      <c r="T2166" s="273"/>
      <c r="U2166" s="351"/>
      <c r="V2166" s="274"/>
      <c r="W2166" s="269"/>
      <c r="X2166" s="269"/>
      <c r="Y2166" s="275"/>
      <c r="Z2166" s="269"/>
      <c r="AA2166" s="350"/>
      <c r="AB2166" s="207"/>
      <c r="AC2166" s="352"/>
      <c r="AD2166" s="353"/>
      <c r="AE2166" s="54"/>
      <c r="AF2166" s="354"/>
      <c r="AG2166" s="355"/>
      <c r="AH2166" s="349"/>
      <c r="AI2166" s="30"/>
      <c r="AJ2166" s="30"/>
      <c r="AK2166" s="30"/>
      <c r="AL2166" s="30"/>
      <c r="AM2166" s="13"/>
      <c r="AN2166" s="13"/>
      <c r="AO2166" s="13"/>
      <c r="AP2166" s="13"/>
      <c r="AQ2166" s="13"/>
      <c r="AR2166" s="14"/>
      <c r="AS2166" s="15"/>
    </row>
    <row r="2167" spans="1:45" s="17" customFormat="1" ht="30.6" hidden="1" customHeight="1" x14ac:dyDescent="0.2">
      <c r="A2167" s="37" t="s">
        <v>492</v>
      </c>
      <c r="B2167" s="38" t="s">
        <v>688</v>
      </c>
      <c r="C2167" s="45"/>
      <c r="D2167" s="31">
        <v>3763923</v>
      </c>
      <c r="E2167" s="31">
        <v>4162396</v>
      </c>
      <c r="F2167" s="268" t="str">
        <f>IF(D2167="","",VLOOKUP(D2167,契約台帳!$A$3:$K$4986,6,FALSE)&amp;VLOOKUP(D2167,契約台帳!$A$3:$K$4986,7,FALSE)&amp;VLOOKUP(D2167,契約台帳!$A$3:$K$4986,8,FALSE)&amp;VLOOKUP(D2167,契約台帳!$A$3:$K$4986,9,FALSE)&amp;VLOOKUP(D2167,契約台帳!$A$3:$K$4986,11,FALSE))</f>
        <v>3UNMLBMTSF</v>
      </c>
      <c r="G2167" s="269" t="str">
        <f>IF(D2167="","",VLOOKUP(F2167,製品マスタ!$G$5:$H$5002,2,FALSE))</f>
        <v>U</v>
      </c>
      <c r="H2167" s="269" t="str">
        <f>IF(D2167="","",VLOOKUP(F2167,製品マスタ!$G$5:$K$5002,5,FALSE))</f>
        <v>MTSF</v>
      </c>
      <c r="I2167" s="270" t="str">
        <f>IF(D2167="","",VLOOKUP(F2167,製品マスタ!$G$5:$L$5002,6,FALSE))</f>
        <v>メタルミー　ＴＳ</v>
      </c>
      <c r="J2167" s="210" t="s">
        <v>935</v>
      </c>
      <c r="K2167" s="270">
        <f>IF(D2167="","",VLOOKUP(D2167,契約台帳!$A$3:$L$4986,12,FALSE))</f>
        <v>50</v>
      </c>
      <c r="L2167" s="270" t="str">
        <f>IF(D2167="","",INDEX(製品マスタ!$Q$5:$Q$5002,MATCH('S4'!F2167&amp;'S4'!K2167,製品マスタ!$AO$5:$AO$5002,0)))</f>
        <v>T62M</v>
      </c>
      <c r="M2167" s="39">
        <v>1255</v>
      </c>
      <c r="N2167" s="39">
        <v>6100</v>
      </c>
      <c r="O2167" s="156">
        <v>2</v>
      </c>
      <c r="P2167" s="47">
        <v>2</v>
      </c>
      <c r="Q2167" s="213">
        <v>45470</v>
      </c>
      <c r="R2167" s="271">
        <f ca="1">IF(D2167="","",IF(OFFSET(D2167,-1,0)&lt;&gt;"","",IF(OR(J2167="リード付け",J2167="巻足し",J2167="巻返しリード付け"),M2167,VLOOKUP(D2167,契約台帳!$A$3:$N$4986,14,FALSE))))</f>
        <v>1255</v>
      </c>
      <c r="S2167" s="272">
        <f ca="1">IF(D2167="","",IF(OFFSET(D2167,-1,0)&lt;&gt;"","",IF(OR(J2167="リード付け",J2167="巻足し",J2167="巻返しリード付け"),M2167,VLOOKUP(D2167,契約台帳!$A$3:$O$4986,15,FALSE))))</f>
        <v>1255</v>
      </c>
      <c r="T2167" s="273">
        <f ca="1">IF(D2167="","",IF(J2167="リード付け",N2167,IF(J2167="巻返しリード付け",N2167,IF(J2167="巻足し",N2167*P2167+OFFSET(N2167,1,0)*OFFSET(P2167,1,0),VLOOKUP(D2167,契約台帳!$A$3:$P$4986,16,FALSE)))))</f>
        <v>12200</v>
      </c>
      <c r="U2167" s="40">
        <v>1</v>
      </c>
      <c r="V2167" s="274">
        <f ca="1">IF(D2167="","",IF(OFFSET(D2167,-2,0)=D2167,"",VLOOKUP(D2167,契約台帳!$A$3:$R$4986,18,FALSE)))</f>
        <v>6</v>
      </c>
      <c r="W2167" s="269" t="str">
        <f ca="1">IF(D2167="","",IF(T2167="","",IF(OR(J2167="巻足し",J2167="巻返しリード付け"),"",IF(J2167="巻返し",VLOOKUP(F2167&amp;K2167&amp;M2167,製品マスタ!$M$5:$AD$5002,18,FALSE),IF(OR(J2167="リード付け",J2167="巻返しリード付け"),"原反コア",IF(J2167="スリット",VLOOKUP(F2167&amp;K2167&amp;R2167,製品マスタ!$N$5:$AD$5002,17,FALSE),""))))))</f>
        <v/>
      </c>
      <c r="X2167" s="269" t="str">
        <f ca="1">IF(D2167="","",IF(T2167="","",IF(J2167="巻足し","",IF(J2167="巻返し",VLOOKUP(F2167&amp;K2167&amp;M2167,製品マスタ!$M$5:$AE$5002,19,FALSE),IF(OR(J2167="リード付け",J2167="巻返しリード付け"),"",IF(J2167="スリット",VLOOKUP(F2167&amp;K2167&amp;R2167,製品マスタ!$N$5:$AE$5002,18,FALSE),""))))))</f>
        <v/>
      </c>
      <c r="Y2167" s="275">
        <f ca="1">IF(D2167="","",IF(T2167="","",VLOOKUP(D2167,契約台帳!$A$3:$Q$4986,17,FALSE)))</f>
        <v>2</v>
      </c>
      <c r="Z2167" s="269" t="str">
        <f ca="1">IF(D2167="","",IF(T2167="","",VLOOKUP(D2167,契約台帳!$A$3:$E$4986,5,FALSE)))</f>
        <v>日東電工㈱豊橋工場</v>
      </c>
      <c r="AA2167" s="57"/>
      <c r="AB2167" s="207" t="s">
        <v>774</v>
      </c>
      <c r="AC2167" s="33"/>
      <c r="AD2167" s="189"/>
      <c r="AE2167" s="54"/>
      <c r="AF2167" s="55">
        <f>+M2167*N2167*O2167/1000</f>
        <v>15311</v>
      </c>
      <c r="AG2167" s="43"/>
      <c r="AH2167" s="47"/>
      <c r="AI2167" s="30"/>
      <c r="AJ2167" s="30"/>
      <c r="AK2167" s="30"/>
      <c r="AL2167" s="30"/>
      <c r="AM2167" s="13"/>
      <c r="AN2167" s="13"/>
      <c r="AO2167" s="13"/>
      <c r="AP2167" s="13"/>
      <c r="AQ2167" s="13"/>
      <c r="AR2167" s="14"/>
      <c r="AS2167" s="15"/>
    </row>
    <row r="2168" spans="1:45" s="17" customFormat="1" ht="30.95" hidden="1" customHeight="1" x14ac:dyDescent="0.2">
      <c r="A2168" s="343"/>
      <c r="B2168" s="344"/>
      <c r="C2168" s="345"/>
      <c r="D2168" s="346"/>
      <c r="E2168" s="346"/>
      <c r="F2168" s="268"/>
      <c r="G2168" s="269"/>
      <c r="H2168" s="269"/>
      <c r="I2168" s="341" t="s">
        <v>2950</v>
      </c>
      <c r="J2168" s="434"/>
      <c r="K2168" s="270"/>
      <c r="L2168" s="270"/>
      <c r="M2168" s="348"/>
      <c r="N2168" s="348"/>
      <c r="O2168" s="435"/>
      <c r="P2168" s="349"/>
      <c r="Q2168" s="350"/>
      <c r="R2168" s="271"/>
      <c r="S2168" s="272"/>
      <c r="T2168" s="273"/>
      <c r="U2168" s="351"/>
      <c r="V2168" s="274"/>
      <c r="W2168" s="269"/>
      <c r="X2168" s="269"/>
      <c r="Y2168" s="275"/>
      <c r="Z2168" s="269"/>
      <c r="AA2168" s="350"/>
      <c r="AB2168" s="207"/>
      <c r="AC2168" s="352"/>
      <c r="AD2168" s="353"/>
      <c r="AE2168" s="54"/>
      <c r="AF2168" s="354"/>
      <c r="AG2168" s="355"/>
      <c r="AH2168" s="349"/>
      <c r="AI2168" s="30"/>
      <c r="AJ2168" s="30"/>
      <c r="AK2168" s="30"/>
      <c r="AL2168" s="30"/>
      <c r="AM2168" s="13"/>
      <c r="AN2168" s="13"/>
      <c r="AO2168" s="13"/>
      <c r="AP2168" s="13"/>
      <c r="AQ2168" s="13"/>
      <c r="AR2168" s="14"/>
      <c r="AS2168" s="15"/>
    </row>
    <row r="2169" spans="1:45" s="17" customFormat="1" ht="30.95" hidden="1" customHeight="1" x14ac:dyDescent="0.2">
      <c r="A2169" s="343" t="s">
        <v>2938</v>
      </c>
      <c r="B2169" s="344" t="s">
        <v>2939</v>
      </c>
      <c r="C2169" s="345"/>
      <c r="D2169" s="346"/>
      <c r="E2169" s="346"/>
      <c r="F2169" s="268"/>
      <c r="G2169" s="269"/>
      <c r="H2169" s="269"/>
      <c r="I2169" s="304" t="s">
        <v>2948</v>
      </c>
      <c r="J2169" s="434"/>
      <c r="K2169" s="270"/>
      <c r="L2169" s="270"/>
      <c r="M2169" s="348"/>
      <c r="N2169" s="348"/>
      <c r="O2169" s="435"/>
      <c r="P2169" s="349"/>
      <c r="Q2169" s="350"/>
      <c r="R2169" s="271"/>
      <c r="S2169" s="272"/>
      <c r="T2169" s="273"/>
      <c r="U2169" s="351"/>
      <c r="V2169" s="274"/>
      <c r="W2169" s="269"/>
      <c r="X2169" s="269"/>
      <c r="Y2169" s="275"/>
      <c r="Z2169" s="269"/>
      <c r="AA2169" s="350"/>
      <c r="AB2169" s="207"/>
      <c r="AC2169" s="352"/>
      <c r="AD2169" s="353"/>
      <c r="AE2169" s="54"/>
      <c r="AF2169" s="354"/>
      <c r="AG2169" s="355"/>
      <c r="AH2169" s="349"/>
      <c r="AI2169" s="30"/>
      <c r="AJ2169" s="30"/>
      <c r="AK2169" s="30"/>
      <c r="AL2169" s="30"/>
      <c r="AM2169" s="13"/>
      <c r="AN2169" s="13"/>
      <c r="AO2169" s="13"/>
      <c r="AP2169" s="13"/>
      <c r="AQ2169" s="13"/>
      <c r="AR2169" s="14"/>
      <c r="AS2169" s="15"/>
    </row>
    <row r="2170" spans="1:45" s="17" customFormat="1" ht="30.95" hidden="1" customHeight="1" x14ac:dyDescent="0.2">
      <c r="A2170" s="343"/>
      <c r="B2170" s="344"/>
      <c r="C2170" s="345"/>
      <c r="D2170" s="346"/>
      <c r="E2170" s="346"/>
      <c r="F2170" s="268"/>
      <c r="G2170" s="269"/>
      <c r="H2170" s="269"/>
      <c r="I2170" s="270"/>
      <c r="J2170" s="434"/>
      <c r="K2170" s="270"/>
      <c r="L2170" s="270"/>
      <c r="M2170" s="348"/>
      <c r="N2170" s="348"/>
      <c r="O2170" s="435"/>
      <c r="P2170" s="349"/>
      <c r="Q2170" s="350"/>
      <c r="R2170" s="271"/>
      <c r="S2170" s="272"/>
      <c r="T2170" s="273"/>
      <c r="U2170" s="351"/>
      <c r="V2170" s="274"/>
      <c r="W2170" s="269"/>
      <c r="X2170" s="269"/>
      <c r="Y2170" s="275"/>
      <c r="Z2170" s="269"/>
      <c r="AA2170" s="350"/>
      <c r="AB2170" s="207"/>
      <c r="AC2170" s="352"/>
      <c r="AD2170" s="353"/>
      <c r="AE2170" s="54"/>
      <c r="AF2170" s="354"/>
      <c r="AG2170" s="355"/>
      <c r="AH2170" s="349"/>
      <c r="AI2170" s="30"/>
      <c r="AJ2170" s="30"/>
      <c r="AK2170" s="30"/>
      <c r="AL2170" s="30"/>
      <c r="AM2170" s="13"/>
      <c r="AN2170" s="13"/>
      <c r="AO2170" s="13"/>
      <c r="AP2170" s="13"/>
      <c r="AQ2170" s="13"/>
      <c r="AR2170" s="14"/>
      <c r="AS2170" s="15"/>
    </row>
    <row r="2171" spans="1:45" s="17" customFormat="1" ht="30.6" hidden="1" customHeight="1" x14ac:dyDescent="0.2">
      <c r="A2171" s="37" t="s">
        <v>2942</v>
      </c>
      <c r="B2171" s="38" t="s">
        <v>2935</v>
      </c>
      <c r="C2171" s="45"/>
      <c r="D2171" s="31">
        <v>3762735</v>
      </c>
      <c r="E2171" s="31">
        <v>4162370</v>
      </c>
      <c r="F2171" s="268" t="str">
        <f>IF(D2171="","",VLOOKUP(D2171,契約台帳!$A$3:$K$4986,6,FALSE)&amp;VLOOKUP(D2171,契約台帳!$A$3:$K$4986,7,FALSE)&amp;VLOOKUP(D2171,契約台帳!$A$3:$K$4986,8,FALSE)&amp;VLOOKUP(D2171,契約台帳!$A$3:$K$4986,9,FALSE)&amp;VLOOKUP(D2171,契約台帳!$A$3:$K$4986,11,FALSE))</f>
        <v>33SSNMCLBTEKKFV</v>
      </c>
      <c r="G2171" s="269" t="str">
        <f>IF(D2171="","",VLOOKUP(F2171,製品マスタ!$G$5:$H$5002,2,FALSE))</f>
        <v>S</v>
      </c>
      <c r="H2171" s="269" t="str">
        <f>IF(D2171="","",VLOOKUP(F2171,製品マスタ!$G$5:$K$5002,5,FALSE))</f>
        <v>TEKKFV</v>
      </c>
      <c r="I2171" s="270" t="str">
        <f>IF(D2171="","",VLOOKUP(F2171,製品マスタ!$G$5:$L$5002,6,FALSE))</f>
        <v>メタルミー　ＴＥＳ消開封　Ｖ</v>
      </c>
      <c r="J2171" s="210" t="s">
        <v>935</v>
      </c>
      <c r="K2171" s="270">
        <f>IF(D2171="","",VLOOKUP(D2171,契約台帳!$A$3:$L$4986,12,FALSE))</f>
        <v>50</v>
      </c>
      <c r="L2171" s="270" t="str">
        <f>IF(D2171="","",INDEX(製品マスタ!$Q$5:$Q$5002,MATCH('S4'!F2171&amp;'S4'!K2171,製品マスタ!$AO$5:$AO$5002,0)))</f>
        <v>X44SEPA</v>
      </c>
      <c r="M2171" s="39">
        <v>1005</v>
      </c>
      <c r="N2171" s="39">
        <v>4000</v>
      </c>
      <c r="O2171" s="156">
        <v>3</v>
      </c>
      <c r="P2171" s="47">
        <v>3</v>
      </c>
      <c r="Q2171" s="213">
        <v>45477</v>
      </c>
      <c r="R2171" s="271">
        <f ca="1">IF(D2171="","",IF(OFFSET(D2171,-1,0)&lt;&gt;"","",IF(OR(J2171="リード付け",J2171="巻足し",J2171="巻返しリード付け"),M2171,VLOOKUP(D2171,契約台帳!$A$3:$N$4986,14,FALSE))))</f>
        <v>1005</v>
      </c>
      <c r="S2171" s="272">
        <f ca="1">IF(D2171="","",IF(OFFSET(D2171,-1,0)&lt;&gt;"","",IF(OR(J2171="リード付け",J2171="巻足し",J2171="巻返しリード付け"),M2171,VLOOKUP(D2171,契約台帳!$A$3:$O$4986,15,FALSE))))</f>
        <v>1005</v>
      </c>
      <c r="T2171" s="273">
        <f ca="1">IF(D2171="","",IF(J2171="リード付け",N2171,IF(J2171="巻返しリード付け",N2171,IF(J2171="巻足し",N2171*P2171+OFFSET(N2171,1,0)*OFFSET(P2171,1,0),VLOOKUP(D2171,契約台帳!$A$3:$P$4986,16,FALSE)))))</f>
        <v>12000</v>
      </c>
      <c r="U2171" s="40">
        <v>1</v>
      </c>
      <c r="V2171" s="274">
        <f ca="1">IF(D2171="","",IF(OFFSET(D2171,-2,0)=D2171,"",VLOOKUP(D2171,契約台帳!$A$3:$R$4986,18,FALSE)))</f>
        <v>5</v>
      </c>
      <c r="W2171" s="269" t="str">
        <f ca="1">IF(D2171="","",IF(T2171="","",IF(OR(J2171="巻足し",J2171="巻返しリード付け"),"",IF(J2171="巻返し",VLOOKUP(F2171&amp;K2171&amp;M2171,製品マスタ!$M$5:$AD$5002,18,FALSE),IF(OR(J2171="リード付け",J2171="巻返しリード付け"),"原反コア",IF(J2171="スリット",VLOOKUP(F2171&amp;K2171&amp;R2171,製品マスタ!$N$5:$AD$5002,17,FALSE),""))))))</f>
        <v/>
      </c>
      <c r="X2171" s="269" t="str">
        <f ca="1">IF(D2171="","",IF(T2171="","",IF(J2171="巻足し","",IF(J2171="巻返し",VLOOKUP(F2171&amp;K2171&amp;M2171,製品マスタ!$M$5:$AE$5002,19,FALSE),IF(OR(J2171="リード付け",J2171="巻返しリード付け"),"",IF(J2171="スリット",VLOOKUP(F2171&amp;K2171&amp;R2171,製品マスタ!$N$5:$AE$5002,18,FALSE),""))))))</f>
        <v/>
      </c>
      <c r="Y2171" s="275">
        <f ca="1">IF(D2171="","",IF(T2171="","",VLOOKUP(D2171,契約台帳!$A$3:$Q$4986,17,FALSE)))</f>
        <v>2</v>
      </c>
      <c r="Z2171" s="269" t="str">
        <f ca="1">IF(D2171="","",IF(T2171="","",VLOOKUP(D2171,契約台帳!$A$3:$E$4986,5,FALSE)))</f>
        <v>リンテック㈱</v>
      </c>
      <c r="AA2171" s="57"/>
      <c r="AB2171" s="207">
        <f>IFERROR((VLOOKUP(F2171&amp;K2171&amp;M2171,製品マスタ!$M$5:$AM$5002,27,FALSE)),"")</f>
        <v>0</v>
      </c>
      <c r="AC2171" s="33"/>
      <c r="AD2171" s="189"/>
      <c r="AE2171" s="54"/>
      <c r="AF2171" s="55">
        <f>+M2171*N2171*O2171/1000</f>
        <v>12060</v>
      </c>
      <c r="AG2171" s="43"/>
      <c r="AH2171" s="47"/>
      <c r="AI2171" s="30"/>
      <c r="AJ2171" s="30"/>
      <c r="AK2171" s="30"/>
      <c r="AL2171" s="30"/>
      <c r="AM2171" s="13"/>
      <c r="AN2171" s="13"/>
      <c r="AO2171" s="13"/>
      <c r="AP2171" s="13"/>
      <c r="AQ2171" s="13"/>
      <c r="AR2171" s="14"/>
      <c r="AS2171" s="15"/>
    </row>
    <row r="2172" spans="1:45" s="17" customFormat="1" ht="30.95" hidden="1" customHeight="1" x14ac:dyDescent="0.2">
      <c r="A2172" s="343"/>
      <c r="B2172" s="344"/>
      <c r="C2172" s="345"/>
      <c r="D2172" s="346"/>
      <c r="E2172" s="346"/>
      <c r="F2172" s="268"/>
      <c r="G2172" s="269"/>
      <c r="H2172" s="269"/>
      <c r="I2172" s="270"/>
      <c r="J2172" s="434"/>
      <c r="K2172" s="270"/>
      <c r="L2172" s="270"/>
      <c r="M2172" s="348"/>
      <c r="N2172" s="348"/>
      <c r="O2172" s="435"/>
      <c r="P2172" s="349"/>
      <c r="Q2172" s="350"/>
      <c r="R2172" s="271"/>
      <c r="S2172" s="272"/>
      <c r="T2172" s="273"/>
      <c r="U2172" s="351"/>
      <c r="V2172" s="274"/>
      <c r="W2172" s="269"/>
      <c r="X2172" s="269"/>
      <c r="Y2172" s="275"/>
      <c r="Z2172" s="269"/>
      <c r="AA2172" s="350"/>
      <c r="AB2172" s="207"/>
      <c r="AC2172" s="352"/>
      <c r="AD2172" s="353"/>
      <c r="AE2172" s="54"/>
      <c r="AF2172" s="354"/>
      <c r="AG2172" s="355"/>
      <c r="AH2172" s="349"/>
      <c r="AI2172" s="30"/>
      <c r="AJ2172" s="30"/>
      <c r="AK2172" s="30"/>
      <c r="AL2172" s="30"/>
      <c r="AM2172" s="13"/>
      <c r="AN2172" s="13"/>
      <c r="AO2172" s="13"/>
      <c r="AP2172" s="13"/>
      <c r="AQ2172" s="13"/>
      <c r="AR2172" s="14"/>
      <c r="AS2172" s="15"/>
    </row>
    <row r="2173" spans="1:45" s="17" customFormat="1" ht="30.6" hidden="1" customHeight="1" x14ac:dyDescent="0.2">
      <c r="A2173" s="37"/>
      <c r="B2173" s="38"/>
      <c r="C2173" s="45"/>
      <c r="D2173" s="31">
        <v>3762735</v>
      </c>
      <c r="E2173" s="31">
        <v>4162370</v>
      </c>
      <c r="F2173" s="268" t="str">
        <f>IF(D2173="","",VLOOKUP(D2173,契約台帳!$A$3:$K$4986,6,FALSE)&amp;VLOOKUP(D2173,契約台帳!$A$3:$K$4986,7,FALSE)&amp;VLOOKUP(D2173,契約台帳!$A$3:$K$4986,8,FALSE)&amp;VLOOKUP(D2173,契約台帳!$A$3:$K$4986,9,FALSE)&amp;VLOOKUP(D2173,契約台帳!$A$3:$K$4986,11,FALSE))</f>
        <v>33SSNMCLBTEKKFV</v>
      </c>
      <c r="G2173" s="269" t="str">
        <f>IF(D2173="","",VLOOKUP(F2173,製品マスタ!$G$5:$H$5002,2,FALSE))</f>
        <v>S</v>
      </c>
      <c r="H2173" s="269" t="str">
        <f>IF(D2173="","",VLOOKUP(F2173,製品マスタ!$G$5:$K$5002,5,FALSE))</f>
        <v>TEKKFV</v>
      </c>
      <c r="I2173" s="270" t="str">
        <f>IF(D2173="","",VLOOKUP(F2173,製品マスタ!$G$5:$L$5002,6,FALSE))</f>
        <v>メタルミー　ＴＥＳ消開封　Ｖ</v>
      </c>
      <c r="J2173" s="210" t="s">
        <v>935</v>
      </c>
      <c r="K2173" s="270">
        <f>IF(D2173="","",VLOOKUP(D2173,契約台帳!$A$3:$L$4986,12,FALSE))</f>
        <v>50</v>
      </c>
      <c r="L2173" s="270" t="str">
        <f>IF(D2173="","",INDEX(製品マスタ!$Q$5:$Q$5002,MATCH('S4'!F2173&amp;'S4'!K2173,製品マスタ!$AO$5:$AO$5002,0)))</f>
        <v>X44SEPA</v>
      </c>
      <c r="M2173" s="39">
        <v>1005</v>
      </c>
      <c r="N2173" s="39">
        <v>4000</v>
      </c>
      <c r="O2173" s="156">
        <v>2</v>
      </c>
      <c r="P2173" s="47">
        <v>2</v>
      </c>
      <c r="Q2173" s="213">
        <v>45477</v>
      </c>
      <c r="R2173" s="271">
        <f ca="1">IF(D2173="","",IF(OFFSET(D2173,-1,0)&lt;&gt;"","",IF(OR(J2173="リード付け",J2173="巻足し",J2173="巻返しリード付け"),M2173,VLOOKUP(D2173,契約台帳!$A$3:$N$4986,14,FALSE))))</f>
        <v>1005</v>
      </c>
      <c r="S2173" s="272">
        <f ca="1">IF(D2173="","",IF(OFFSET(D2173,-1,0)&lt;&gt;"","",IF(OR(J2173="リード付け",J2173="巻足し",J2173="巻返しリード付け"),M2173,VLOOKUP(D2173,契約台帳!$A$3:$O$4986,15,FALSE))))</f>
        <v>1005</v>
      </c>
      <c r="T2173" s="273">
        <f ca="1">IF(D2173="","",IF(J2173="リード付け",N2173,IF(J2173="巻返しリード付け",N2173,IF(J2173="巻足し",N2173*P2173+OFFSET(N2173,1,0)*OFFSET(P2173,1,0),VLOOKUP(D2173,契約台帳!$A$3:$P$4986,16,FALSE)))))</f>
        <v>8000</v>
      </c>
      <c r="U2173" s="40">
        <v>1</v>
      </c>
      <c r="V2173" s="274" t="str">
        <f ca="1">IF(D2173="","",IF(OFFSET(D2173,-2,0)=D2173,"",VLOOKUP(D2173,契約台帳!$A$3:$R$4986,18,FALSE)))</f>
        <v/>
      </c>
      <c r="W2173" s="269" t="str">
        <f ca="1">IF(D2173="","",IF(T2173="","",IF(OR(J2173="巻足し",J2173="巻返しリード付け"),"",IF(J2173="巻返し",VLOOKUP(F2173&amp;K2173&amp;M2173,製品マスタ!$M$5:$AD$5002,18,FALSE),IF(OR(J2173="リード付け",J2173="巻返しリード付け"),"原反コア",IF(J2173="スリット",VLOOKUP(F2173&amp;K2173&amp;R2173,製品マスタ!$N$5:$AD$5002,17,FALSE),""))))))</f>
        <v/>
      </c>
      <c r="X2173" s="269" t="str">
        <f ca="1">IF(D2173="","",IF(T2173="","",IF(J2173="巻足し","",IF(J2173="巻返し",VLOOKUP(F2173&amp;K2173&amp;M2173,製品マスタ!$M$5:$AE$5002,19,FALSE),IF(OR(J2173="リード付け",J2173="巻返しリード付け"),"",IF(J2173="スリット",VLOOKUP(F2173&amp;K2173&amp;R2173,製品マスタ!$N$5:$AE$5002,18,FALSE),""))))))</f>
        <v/>
      </c>
      <c r="Y2173" s="275">
        <f ca="1">IF(D2173="","",IF(T2173="","",VLOOKUP(D2173,契約台帳!$A$3:$Q$4986,17,FALSE)))</f>
        <v>2</v>
      </c>
      <c r="Z2173" s="269" t="str">
        <f ca="1">IF(D2173="","",IF(T2173="","",VLOOKUP(D2173,契約台帳!$A$3:$E$4986,5,FALSE)))</f>
        <v>リンテック㈱</v>
      </c>
      <c r="AA2173" s="57"/>
      <c r="AB2173" s="207">
        <f>IFERROR((VLOOKUP(F2173&amp;K2173&amp;M2173,製品マスタ!$M$5:$AM$5002,27,FALSE)),"")</f>
        <v>0</v>
      </c>
      <c r="AC2173" s="33"/>
      <c r="AD2173" s="189"/>
      <c r="AE2173" s="54"/>
      <c r="AF2173" s="55">
        <f>+M2173*N2173*O2173/1000</f>
        <v>8040</v>
      </c>
      <c r="AG2173" s="43"/>
      <c r="AH2173" s="47"/>
      <c r="AI2173" s="30"/>
      <c r="AJ2173" s="30"/>
      <c r="AK2173" s="30"/>
      <c r="AL2173" s="30"/>
      <c r="AM2173" s="13"/>
      <c r="AN2173" s="13"/>
      <c r="AO2173" s="13"/>
      <c r="AP2173" s="13"/>
      <c r="AQ2173" s="13"/>
      <c r="AR2173" s="14"/>
      <c r="AS2173" s="15"/>
    </row>
    <row r="2174" spans="1:45" s="17" customFormat="1" ht="30.95" hidden="1" customHeight="1" x14ac:dyDescent="0.2">
      <c r="A2174" s="343"/>
      <c r="B2174" s="344"/>
      <c r="C2174" s="345"/>
      <c r="D2174" s="346"/>
      <c r="E2174" s="346"/>
      <c r="F2174" s="268"/>
      <c r="G2174" s="269"/>
      <c r="H2174" s="269"/>
      <c r="I2174" s="270"/>
      <c r="J2174" s="434"/>
      <c r="K2174" s="270"/>
      <c r="L2174" s="270"/>
      <c r="M2174" s="348"/>
      <c r="N2174" s="348"/>
      <c r="O2174" s="435"/>
      <c r="P2174" s="349"/>
      <c r="Q2174" s="350"/>
      <c r="R2174" s="271"/>
      <c r="S2174" s="272"/>
      <c r="T2174" s="273"/>
      <c r="U2174" s="351"/>
      <c r="V2174" s="274"/>
      <c r="W2174" s="269"/>
      <c r="X2174" s="269"/>
      <c r="Y2174" s="275"/>
      <c r="Z2174" s="269"/>
      <c r="AA2174" s="350"/>
      <c r="AB2174" s="207"/>
      <c r="AC2174" s="352"/>
      <c r="AD2174" s="353"/>
      <c r="AE2174" s="54"/>
      <c r="AF2174" s="354"/>
      <c r="AG2174" s="355"/>
      <c r="AH2174" s="349"/>
      <c r="AI2174" s="30"/>
      <c r="AJ2174" s="30"/>
      <c r="AK2174" s="30"/>
      <c r="AL2174" s="30"/>
      <c r="AM2174" s="13"/>
      <c r="AN2174" s="13"/>
      <c r="AO2174" s="13"/>
      <c r="AP2174" s="13"/>
      <c r="AQ2174" s="13"/>
      <c r="AR2174" s="14"/>
      <c r="AS2174" s="15"/>
    </row>
    <row r="2175" spans="1:45" s="17" customFormat="1" ht="30.6" hidden="1" customHeight="1" x14ac:dyDescent="0.2">
      <c r="A2175" s="37"/>
      <c r="B2175" s="38"/>
      <c r="C2175" s="45"/>
      <c r="D2175" s="31">
        <v>3762736</v>
      </c>
      <c r="E2175" s="31">
        <v>4162371</v>
      </c>
      <c r="F2175" s="268" t="str">
        <f>IF(D2175="","",VLOOKUP(D2175,契約台帳!$A$3:$K$4986,6,FALSE)&amp;VLOOKUP(D2175,契約台帳!$A$3:$K$4986,7,FALSE)&amp;VLOOKUP(D2175,契約台帳!$A$3:$K$4986,8,FALSE)&amp;VLOOKUP(D2175,契約台帳!$A$3:$K$4986,9,FALSE)&amp;VLOOKUP(D2175,契約台帳!$A$3:$K$4986,11,FALSE))</f>
        <v>33SSNMCLBTEKV0V</v>
      </c>
      <c r="G2175" s="269" t="str">
        <f>IF(D2175="","",VLOOKUP(F2175,製品マスタ!$G$5:$H$5002,2,FALSE))</f>
        <v>S</v>
      </c>
      <c r="H2175" s="269" t="str">
        <f>IF(D2175="","",VLOOKUP(F2175,製品マスタ!$G$5:$K$5002,5,FALSE))</f>
        <v>TEKV0V</v>
      </c>
      <c r="I2175" s="270" t="str">
        <f>IF(D2175="","",VLOOKUP(F2175,製品マスタ!$G$5:$L$5002,6,FALSE))</f>
        <v>メタルミー　ＴＥ－Ｓ消　ＶＯＩＤ　Ｖ</v>
      </c>
      <c r="J2175" s="210" t="s">
        <v>935</v>
      </c>
      <c r="K2175" s="270">
        <f>IF(D2175="","",VLOOKUP(D2175,契約台帳!$A$3:$L$4986,12,FALSE))</f>
        <v>50</v>
      </c>
      <c r="L2175" s="270" t="str">
        <f>IF(D2175="","",INDEX(製品マスタ!$Q$5:$Q$5002,MATCH('S4'!F2175&amp;'S4'!K2175,製品マスタ!$AO$5:$AO$5002,0)))</f>
        <v>X44SEPA</v>
      </c>
      <c r="M2175" s="39">
        <v>1005</v>
      </c>
      <c r="N2175" s="39">
        <v>4000</v>
      </c>
      <c r="O2175" s="156">
        <v>3</v>
      </c>
      <c r="P2175" s="47">
        <v>3</v>
      </c>
      <c r="Q2175" s="213">
        <v>45477</v>
      </c>
      <c r="R2175" s="271">
        <f ca="1">IF(D2175="","",IF(OFFSET(D2175,-1,0)&lt;&gt;"","",IF(OR(J2175="リード付け",J2175="巻足し",J2175="巻返しリード付け"),M2175,VLOOKUP(D2175,契約台帳!$A$3:$N$4986,14,FALSE))))</f>
        <v>1005</v>
      </c>
      <c r="S2175" s="272">
        <f ca="1">IF(D2175="","",IF(OFFSET(D2175,-1,0)&lt;&gt;"","",IF(OR(J2175="リード付け",J2175="巻足し",J2175="巻返しリード付け"),M2175,VLOOKUP(D2175,契約台帳!$A$3:$O$4986,15,FALSE))))</f>
        <v>1005</v>
      </c>
      <c r="T2175" s="273">
        <f ca="1">IF(D2175="","",IF(J2175="リード付け",N2175,IF(J2175="巻返しリード付け",N2175,IF(J2175="巻足し",N2175*P2175+OFFSET(N2175,1,0)*OFFSET(P2175,1,0),VLOOKUP(D2175,契約台帳!$A$3:$P$4986,16,FALSE)))))</f>
        <v>12000</v>
      </c>
      <c r="U2175" s="40">
        <v>1</v>
      </c>
      <c r="V2175" s="274">
        <f ca="1">IF(D2175="","",IF(OFFSET(D2175,-2,0)=D2175,"",VLOOKUP(D2175,契約台帳!$A$3:$R$4986,18,FALSE)))</f>
        <v>5</v>
      </c>
      <c r="W2175" s="269" t="str">
        <f ca="1">IF(D2175="","",IF(T2175="","",IF(OR(J2175="巻足し",J2175="巻返しリード付け"),"",IF(J2175="巻返し",VLOOKUP(F2175&amp;K2175&amp;M2175,製品マスタ!$M$5:$AD$5002,18,FALSE),IF(OR(J2175="リード付け",J2175="巻返しリード付け"),"原反コア",IF(J2175="スリット",VLOOKUP(F2175&amp;K2175&amp;R2175,製品マスタ!$N$5:$AD$5002,17,FALSE),""))))))</f>
        <v/>
      </c>
      <c r="X2175" s="269" t="str">
        <f ca="1">IF(D2175="","",IF(T2175="","",IF(J2175="巻足し","",IF(J2175="巻返し",VLOOKUP(F2175&amp;K2175&amp;M2175,製品マスタ!$M$5:$AE$5002,19,FALSE),IF(OR(J2175="リード付け",J2175="巻返しリード付け"),"",IF(J2175="スリット",VLOOKUP(F2175&amp;K2175&amp;R2175,製品マスタ!$N$5:$AE$5002,18,FALSE),""))))))</f>
        <v/>
      </c>
      <c r="Y2175" s="275">
        <f ca="1">IF(D2175="","",IF(T2175="","",VLOOKUP(D2175,契約台帳!$A$3:$Q$4986,17,FALSE)))</f>
        <v>2</v>
      </c>
      <c r="Z2175" s="269" t="str">
        <f ca="1">IF(D2175="","",IF(T2175="","",VLOOKUP(D2175,契約台帳!$A$3:$E$4986,5,FALSE)))</f>
        <v>リンテック㈱</v>
      </c>
      <c r="AA2175" s="57"/>
      <c r="AB2175" s="207">
        <f>IFERROR((VLOOKUP(F2175&amp;K2175&amp;M2175,製品マスタ!$M$5:$AM$5002,27,FALSE)),"")</f>
        <v>0</v>
      </c>
      <c r="AC2175" s="33"/>
      <c r="AD2175" s="189"/>
      <c r="AE2175" s="54"/>
      <c r="AF2175" s="55">
        <f>+M2175*N2175*O2175/1000</f>
        <v>12060</v>
      </c>
      <c r="AG2175" s="43"/>
      <c r="AH2175" s="47"/>
      <c r="AI2175" s="30"/>
      <c r="AJ2175" s="30"/>
      <c r="AK2175" s="30"/>
      <c r="AL2175" s="30"/>
      <c r="AM2175" s="13"/>
      <c r="AN2175" s="13"/>
      <c r="AO2175" s="13"/>
      <c r="AP2175" s="13"/>
      <c r="AQ2175" s="13"/>
      <c r="AR2175" s="14"/>
      <c r="AS2175" s="15"/>
    </row>
    <row r="2176" spans="1:45" s="17" customFormat="1" ht="30.95" hidden="1" customHeight="1" x14ac:dyDescent="0.2">
      <c r="A2176" s="343"/>
      <c r="B2176" s="344"/>
      <c r="C2176" s="345"/>
      <c r="D2176" s="346"/>
      <c r="E2176" s="346"/>
      <c r="F2176" s="268"/>
      <c r="G2176" s="269"/>
      <c r="H2176" s="269"/>
      <c r="I2176" s="270"/>
      <c r="J2176" s="434"/>
      <c r="K2176" s="270"/>
      <c r="L2176" s="270"/>
      <c r="M2176" s="348"/>
      <c r="N2176" s="348"/>
      <c r="O2176" s="435"/>
      <c r="P2176" s="349"/>
      <c r="Q2176" s="350"/>
      <c r="R2176" s="271"/>
      <c r="S2176" s="272"/>
      <c r="T2176" s="273"/>
      <c r="U2176" s="351"/>
      <c r="V2176" s="274"/>
      <c r="W2176" s="269"/>
      <c r="X2176" s="269"/>
      <c r="Y2176" s="275"/>
      <c r="Z2176" s="269"/>
      <c r="AA2176" s="350"/>
      <c r="AB2176" s="207"/>
      <c r="AC2176" s="352"/>
      <c r="AD2176" s="353"/>
      <c r="AE2176" s="54"/>
      <c r="AF2176" s="354"/>
      <c r="AG2176" s="355"/>
      <c r="AH2176" s="349"/>
      <c r="AI2176" s="30"/>
      <c r="AJ2176" s="30"/>
      <c r="AK2176" s="30"/>
      <c r="AL2176" s="30"/>
      <c r="AM2176" s="13"/>
      <c r="AN2176" s="13"/>
      <c r="AO2176" s="13"/>
      <c r="AP2176" s="13"/>
      <c r="AQ2176" s="13"/>
      <c r="AR2176" s="14"/>
      <c r="AS2176" s="15"/>
    </row>
    <row r="2177" spans="1:45" s="17" customFormat="1" ht="30.6" hidden="1" customHeight="1" x14ac:dyDescent="0.2">
      <c r="A2177" s="37"/>
      <c r="B2177" s="38"/>
      <c r="C2177" s="45"/>
      <c r="D2177" s="31">
        <v>3762736</v>
      </c>
      <c r="E2177" s="31">
        <v>4162371</v>
      </c>
      <c r="F2177" s="268" t="str">
        <f>IF(D2177="","",VLOOKUP(D2177,契約台帳!$A$3:$K$4986,6,FALSE)&amp;VLOOKUP(D2177,契約台帳!$A$3:$K$4986,7,FALSE)&amp;VLOOKUP(D2177,契約台帳!$A$3:$K$4986,8,FALSE)&amp;VLOOKUP(D2177,契約台帳!$A$3:$K$4986,9,FALSE)&amp;VLOOKUP(D2177,契約台帳!$A$3:$K$4986,11,FALSE))</f>
        <v>33SSNMCLBTEKV0V</v>
      </c>
      <c r="G2177" s="269" t="str">
        <f>IF(D2177="","",VLOOKUP(F2177,製品マスタ!$G$5:$H$5002,2,FALSE))</f>
        <v>S</v>
      </c>
      <c r="H2177" s="269" t="str">
        <f>IF(D2177="","",VLOOKUP(F2177,製品マスタ!$G$5:$K$5002,5,FALSE))</f>
        <v>TEKV0V</v>
      </c>
      <c r="I2177" s="270" t="str">
        <f>IF(D2177="","",VLOOKUP(F2177,製品マスタ!$G$5:$L$5002,6,FALSE))</f>
        <v>メタルミー　ＴＥ－Ｓ消　ＶＯＩＤ　Ｖ</v>
      </c>
      <c r="J2177" s="210" t="s">
        <v>935</v>
      </c>
      <c r="K2177" s="270">
        <f>IF(D2177="","",VLOOKUP(D2177,契約台帳!$A$3:$L$4986,12,FALSE))</f>
        <v>50</v>
      </c>
      <c r="L2177" s="270" t="str">
        <f>IF(D2177="","",INDEX(製品マスタ!$Q$5:$Q$5002,MATCH('S4'!F2177&amp;'S4'!K2177,製品マスタ!$AO$5:$AO$5002,0)))</f>
        <v>X44SEPA</v>
      </c>
      <c r="M2177" s="39">
        <v>1005</v>
      </c>
      <c r="N2177" s="39">
        <v>4000</v>
      </c>
      <c r="O2177" s="156">
        <v>2</v>
      </c>
      <c r="P2177" s="47">
        <v>2</v>
      </c>
      <c r="Q2177" s="213">
        <v>45477</v>
      </c>
      <c r="R2177" s="271">
        <f ca="1">IF(D2177="","",IF(OFFSET(D2177,-1,0)&lt;&gt;"","",IF(OR(J2177="リード付け",J2177="巻足し",J2177="巻返しリード付け"),M2177,VLOOKUP(D2177,契約台帳!$A$3:$N$4986,14,FALSE))))</f>
        <v>1005</v>
      </c>
      <c r="S2177" s="272">
        <f ca="1">IF(D2177="","",IF(OFFSET(D2177,-1,0)&lt;&gt;"","",IF(OR(J2177="リード付け",J2177="巻足し",J2177="巻返しリード付け"),M2177,VLOOKUP(D2177,契約台帳!$A$3:$O$4986,15,FALSE))))</f>
        <v>1005</v>
      </c>
      <c r="T2177" s="273">
        <f ca="1">IF(D2177="","",IF(J2177="リード付け",N2177,IF(J2177="巻返しリード付け",N2177,IF(J2177="巻足し",N2177*P2177+OFFSET(N2177,1,0)*OFFSET(P2177,1,0),VLOOKUP(D2177,契約台帳!$A$3:$P$4986,16,FALSE)))))</f>
        <v>8000</v>
      </c>
      <c r="U2177" s="40">
        <v>1</v>
      </c>
      <c r="V2177" s="274" t="str">
        <f ca="1">IF(D2177="","",IF(OFFSET(D2177,-2,0)=D2177,"",VLOOKUP(D2177,契約台帳!$A$3:$R$4986,18,FALSE)))</f>
        <v/>
      </c>
      <c r="W2177" s="269" t="str">
        <f ca="1">IF(D2177="","",IF(T2177="","",IF(OR(J2177="巻足し",J2177="巻返しリード付け"),"",IF(J2177="巻返し",VLOOKUP(F2177&amp;K2177&amp;M2177,製品マスタ!$M$5:$AD$5002,18,FALSE),IF(OR(J2177="リード付け",J2177="巻返しリード付け"),"原反コア",IF(J2177="スリット",VLOOKUP(F2177&amp;K2177&amp;R2177,製品マスタ!$N$5:$AD$5002,17,FALSE),""))))))</f>
        <v/>
      </c>
      <c r="X2177" s="269" t="str">
        <f ca="1">IF(D2177="","",IF(T2177="","",IF(J2177="巻足し","",IF(J2177="巻返し",VLOOKUP(F2177&amp;K2177&amp;M2177,製品マスタ!$M$5:$AE$5002,19,FALSE),IF(OR(J2177="リード付け",J2177="巻返しリード付け"),"",IF(J2177="スリット",VLOOKUP(F2177&amp;K2177&amp;R2177,製品マスタ!$N$5:$AE$5002,18,FALSE),""))))))</f>
        <v/>
      </c>
      <c r="Y2177" s="275">
        <f ca="1">IF(D2177="","",IF(T2177="","",VLOOKUP(D2177,契約台帳!$A$3:$Q$4986,17,FALSE)))</f>
        <v>2</v>
      </c>
      <c r="Z2177" s="269" t="str">
        <f ca="1">IF(D2177="","",IF(T2177="","",VLOOKUP(D2177,契約台帳!$A$3:$E$4986,5,FALSE)))</f>
        <v>リンテック㈱</v>
      </c>
      <c r="AA2177" s="57"/>
      <c r="AB2177" s="207">
        <f>IFERROR((VLOOKUP(F2177&amp;K2177&amp;M2177,製品マスタ!$M$5:$AM$5002,27,FALSE)),"")</f>
        <v>0</v>
      </c>
      <c r="AC2177" s="33"/>
      <c r="AD2177" s="189"/>
      <c r="AE2177" s="54"/>
      <c r="AF2177" s="55">
        <f>+M2177*N2177*O2177/1000</f>
        <v>8040</v>
      </c>
      <c r="AG2177" s="43"/>
      <c r="AH2177" s="47"/>
      <c r="AI2177" s="30"/>
      <c r="AJ2177" s="30"/>
      <c r="AK2177" s="30"/>
      <c r="AL2177" s="30"/>
      <c r="AM2177" s="13"/>
      <c r="AN2177" s="13"/>
      <c r="AO2177" s="13"/>
      <c r="AP2177" s="13"/>
      <c r="AQ2177" s="13"/>
      <c r="AR2177" s="14"/>
      <c r="AS2177" s="15"/>
    </row>
    <row r="2178" spans="1:45" s="17" customFormat="1" ht="30.95" hidden="1" customHeight="1" x14ac:dyDescent="0.2">
      <c r="A2178" s="343"/>
      <c r="B2178" s="344"/>
      <c r="C2178" s="345"/>
      <c r="D2178" s="346"/>
      <c r="E2178" s="346"/>
      <c r="F2178" s="268"/>
      <c r="G2178" s="269"/>
      <c r="H2178" s="269"/>
      <c r="I2178" s="270"/>
      <c r="J2178" s="434"/>
      <c r="K2178" s="270"/>
      <c r="L2178" s="270"/>
      <c r="M2178" s="348"/>
      <c r="N2178" s="348"/>
      <c r="O2178" s="435"/>
      <c r="P2178" s="349"/>
      <c r="Q2178" s="350"/>
      <c r="R2178" s="271"/>
      <c r="S2178" s="272"/>
      <c r="T2178" s="273"/>
      <c r="U2178" s="351"/>
      <c r="V2178" s="274"/>
      <c r="W2178" s="269"/>
      <c r="X2178" s="269"/>
      <c r="Y2178" s="275"/>
      <c r="Z2178" s="269"/>
      <c r="AA2178" s="350"/>
      <c r="AB2178" s="207"/>
      <c r="AC2178" s="352"/>
      <c r="AD2178" s="353"/>
      <c r="AE2178" s="54"/>
      <c r="AF2178" s="354"/>
      <c r="AG2178" s="355"/>
      <c r="AH2178" s="349"/>
      <c r="AI2178" s="30"/>
      <c r="AJ2178" s="30"/>
      <c r="AK2178" s="30"/>
      <c r="AL2178" s="30"/>
      <c r="AM2178" s="13"/>
      <c r="AN2178" s="13"/>
      <c r="AO2178" s="13"/>
      <c r="AP2178" s="13"/>
      <c r="AQ2178" s="13"/>
      <c r="AR2178" s="14"/>
      <c r="AS2178" s="15"/>
    </row>
    <row r="2179" spans="1:45" s="17" customFormat="1" ht="30.6" hidden="1" customHeight="1" x14ac:dyDescent="0.2">
      <c r="A2179" s="37" t="s">
        <v>2943</v>
      </c>
      <c r="B2179" s="38" t="s">
        <v>2937</v>
      </c>
      <c r="C2179" s="45"/>
      <c r="D2179" s="31">
        <v>3762727</v>
      </c>
      <c r="E2179" s="31">
        <v>4162374</v>
      </c>
      <c r="F2179" s="268" t="str">
        <f>IF(D2179="","",VLOOKUP(D2179,契約台帳!$A$3:$K$4986,6,FALSE)&amp;VLOOKUP(D2179,契約台帳!$A$3:$K$4986,7,FALSE)&amp;VLOOKUP(D2179,契約台帳!$A$3:$K$4986,8,FALSE)&amp;VLOOKUP(D2179,契約台帳!$A$3:$K$4986,9,FALSE)&amp;VLOOKUP(D2179,契約台帳!$A$3:$K$4986,11,FALSE))</f>
        <v>3SNMLBMNGKKBF</v>
      </c>
      <c r="G2179" s="269" t="str">
        <f>IF(D2179="","",VLOOKUP(F2179,製品マスタ!$G$5:$H$5002,2,FALSE))</f>
        <v>S</v>
      </c>
      <c r="H2179" s="269" t="str">
        <f>IF(D2179="","",VLOOKUP(F2179,製品マスタ!$G$5:$K$5002,5,FALSE))</f>
        <v>MNGKKBF</v>
      </c>
      <c r="I2179" s="270" t="str">
        <f>IF(D2179="","",VLOOKUP(F2179,製品マスタ!$G$5:$L$5002,6,FALSE))</f>
        <v>メタルミー　ネーマー銀消改　Ｂ</v>
      </c>
      <c r="J2179" s="210" t="s">
        <v>935</v>
      </c>
      <c r="K2179" s="270">
        <f>IF(D2179="","",VLOOKUP(D2179,契約台帳!$A$3:$L$4986,12,FALSE))</f>
        <v>25</v>
      </c>
      <c r="L2179" s="270" t="str">
        <f>IF(D2179="","",INDEX(製品マスタ!$Q$5:$Q$5002,MATCH('S4'!F2179&amp;'S4'!K2179,製品マスタ!$AO$5:$AO$5002,0)))</f>
        <v>FMATS99</v>
      </c>
      <c r="M2179" s="39">
        <v>1120</v>
      </c>
      <c r="N2179" s="39">
        <v>4000</v>
      </c>
      <c r="O2179" s="156">
        <v>6</v>
      </c>
      <c r="P2179" s="47">
        <v>3</v>
      </c>
      <c r="Q2179" s="213">
        <v>45478</v>
      </c>
      <c r="R2179" s="271">
        <f ca="1">IF(D2179="","",IF(OFFSET(D2179,-1,0)&lt;&gt;"","",IF(OR(J2179="リード付け",J2179="巻足し",J2179="巻返しリード付け"),M2179,VLOOKUP(D2179,契約台帳!$A$3:$N$4986,14,FALSE))))</f>
        <v>1120</v>
      </c>
      <c r="S2179" s="272">
        <f ca="1">IF(D2179="","",IF(OFFSET(D2179,-1,0)&lt;&gt;"","",IF(OR(J2179="リード付け",J2179="巻足し",J2179="巻返しリード付け"),M2179,VLOOKUP(D2179,契約台帳!$A$3:$O$4986,15,FALSE))))</f>
        <v>1120</v>
      </c>
      <c r="T2179" s="273">
        <f ca="1">IF(D2179="","",IF(J2179="リード付け",N2179,IF(J2179="巻返しリード付け",N2179,IF(J2179="巻足し",N2179*P2179+OFFSET(N2179,1,0)*OFFSET(P2179,1,0),VLOOKUP(D2179,契約台帳!$A$3:$P$4986,16,FALSE)))))</f>
        <v>12000</v>
      </c>
      <c r="U2179" s="40">
        <v>2</v>
      </c>
      <c r="V2179" s="274">
        <f ca="1">IF(D2179="","",IF(OFFSET(D2179,-2,0)=D2179,"",VLOOKUP(D2179,契約台帳!$A$3:$R$4986,18,FALSE)))</f>
        <v>6</v>
      </c>
      <c r="W2179" s="269" t="str">
        <f ca="1">IF(D2179="","",IF(T2179="","",IF(OR(J2179="巻足し",J2179="巻返しリード付け"),"",IF(J2179="巻返し",VLOOKUP(F2179&amp;K2179&amp;M2179,製品マスタ!$M$5:$AD$5002,18,FALSE),IF(OR(J2179="リード付け",J2179="巻返しリード付け"),"原反コア",IF(J2179="スリット",VLOOKUP(F2179&amp;K2179&amp;R2179,製品マスタ!$N$5:$AD$5002,17,FALSE),""))))))</f>
        <v/>
      </c>
      <c r="X2179" s="269" t="str">
        <f ca="1">IF(D2179="","",IF(T2179="","",IF(J2179="巻足し","",IF(J2179="巻返し",VLOOKUP(F2179&amp;K2179&amp;M2179,製品マスタ!$M$5:$AE$5002,19,FALSE),IF(OR(J2179="リード付け",J2179="巻返しリード付け"),"",IF(J2179="スリット",VLOOKUP(F2179&amp;K2179&amp;R2179,製品マスタ!$N$5:$AE$5002,18,FALSE),""))))))</f>
        <v/>
      </c>
      <c r="Y2179" s="275">
        <f ca="1">IF(D2179="","",IF(T2179="","",VLOOKUP(D2179,契約台帳!$A$3:$Q$4986,17,FALSE)))</f>
        <v>2</v>
      </c>
      <c r="Z2179" s="269" t="str">
        <f ca="1">IF(D2179="","",IF(T2179="","",VLOOKUP(D2179,契約台帳!$A$3:$E$4986,5,FALSE)))</f>
        <v>リンテック㈱</v>
      </c>
      <c r="AA2179" s="57"/>
      <c r="AB2179" s="207">
        <f>IFERROR((VLOOKUP(F2179&amp;K2179&amp;M2179,製品マスタ!$M$5:$AM$5002,27,FALSE)),"")</f>
        <v>0</v>
      </c>
      <c r="AC2179" s="33"/>
      <c r="AD2179" s="189"/>
      <c r="AE2179" s="54"/>
      <c r="AF2179" s="55">
        <f>+M2179*N2179*O2179/1000</f>
        <v>26880</v>
      </c>
      <c r="AG2179" s="43"/>
      <c r="AH2179" s="47"/>
      <c r="AI2179" s="30"/>
      <c r="AJ2179" s="30"/>
      <c r="AK2179" s="30"/>
      <c r="AL2179" s="30"/>
      <c r="AM2179" s="13"/>
      <c r="AN2179" s="13"/>
      <c r="AO2179" s="13"/>
      <c r="AP2179" s="13"/>
      <c r="AQ2179" s="13"/>
      <c r="AR2179" s="14"/>
      <c r="AS2179" s="15"/>
    </row>
    <row r="2180" spans="1:45" s="17" customFormat="1" ht="30.95" hidden="1" customHeight="1" x14ac:dyDescent="0.2">
      <c r="A2180" s="343"/>
      <c r="B2180" s="344"/>
      <c r="C2180" s="345"/>
      <c r="D2180" s="346"/>
      <c r="E2180" s="346"/>
      <c r="F2180" s="268"/>
      <c r="G2180" s="269"/>
      <c r="H2180" s="269"/>
      <c r="I2180" s="270"/>
      <c r="J2180" s="434"/>
      <c r="K2180" s="270"/>
      <c r="L2180" s="270"/>
      <c r="M2180" s="348"/>
      <c r="N2180" s="348"/>
      <c r="O2180" s="435"/>
      <c r="P2180" s="349"/>
      <c r="Q2180" s="350"/>
      <c r="R2180" s="271"/>
      <c r="S2180" s="272"/>
      <c r="T2180" s="273"/>
      <c r="U2180" s="351"/>
      <c r="V2180" s="274"/>
      <c r="W2180" s="269"/>
      <c r="X2180" s="269"/>
      <c r="Y2180" s="275"/>
      <c r="Z2180" s="269"/>
      <c r="AA2180" s="350"/>
      <c r="AB2180" s="207"/>
      <c r="AC2180" s="352"/>
      <c r="AD2180" s="353"/>
      <c r="AE2180" s="54"/>
      <c r="AF2180" s="354"/>
      <c r="AG2180" s="355"/>
      <c r="AH2180" s="349"/>
      <c r="AI2180" s="30"/>
      <c r="AJ2180" s="30"/>
      <c r="AK2180" s="30"/>
      <c r="AL2180" s="30"/>
      <c r="AM2180" s="13"/>
      <c r="AN2180" s="13"/>
      <c r="AO2180" s="13"/>
      <c r="AP2180" s="13"/>
      <c r="AQ2180" s="13"/>
      <c r="AR2180" s="14"/>
      <c r="AS2180" s="15"/>
    </row>
    <row r="2181" spans="1:45" s="17" customFormat="1" ht="30.6" hidden="1" customHeight="1" x14ac:dyDescent="0.2">
      <c r="A2181" s="37"/>
      <c r="B2181" s="38"/>
      <c r="C2181" s="45"/>
      <c r="D2181" s="31">
        <v>3762728</v>
      </c>
      <c r="E2181" s="31">
        <v>4162375</v>
      </c>
      <c r="F2181" s="268" t="str">
        <f>IF(D2181="","",VLOOKUP(D2181,契約台帳!$A$3:$K$4986,6,FALSE)&amp;VLOOKUP(D2181,契約台帳!$A$3:$K$4986,7,FALSE)&amp;VLOOKUP(D2181,契約台帳!$A$3:$K$4986,8,FALSE)&amp;VLOOKUP(D2181,契約台帳!$A$3:$K$4986,9,FALSE)&amp;VLOOKUP(D2181,契約台帳!$A$3:$K$4986,11,FALSE))</f>
        <v>3SNMLBMNGKKBF</v>
      </c>
      <c r="G2181" s="269" t="str">
        <f>IF(D2181="","",VLOOKUP(F2181,製品マスタ!$G$5:$H$5002,2,FALSE))</f>
        <v>S</v>
      </c>
      <c r="H2181" s="269" t="str">
        <f>IF(D2181="","",VLOOKUP(F2181,製品マスタ!$G$5:$K$5002,5,FALSE))</f>
        <v>MNGKKBF</v>
      </c>
      <c r="I2181" s="270" t="str">
        <f>IF(D2181="","",VLOOKUP(F2181,製品マスタ!$G$5:$L$5002,6,FALSE))</f>
        <v>メタルミー　ネーマー銀消改　Ｂ</v>
      </c>
      <c r="J2181" s="210" t="s">
        <v>935</v>
      </c>
      <c r="K2181" s="270">
        <f>IF(D2181="","",VLOOKUP(D2181,契約台帳!$A$3:$L$4986,12,FALSE))</f>
        <v>50</v>
      </c>
      <c r="L2181" s="270" t="str">
        <f>IF(D2181="","",INDEX(製品マスタ!$Q$5:$Q$5002,MATCH('S4'!F2181&amp;'S4'!K2181,製品マスタ!$AO$5:$AO$5002,0)))</f>
        <v>S99-MAT</v>
      </c>
      <c r="M2181" s="39">
        <v>1120</v>
      </c>
      <c r="N2181" s="39">
        <v>4000</v>
      </c>
      <c r="O2181" s="156">
        <v>12</v>
      </c>
      <c r="P2181" s="47">
        <v>3</v>
      </c>
      <c r="Q2181" s="213">
        <v>45478</v>
      </c>
      <c r="R2181" s="271">
        <f ca="1">IF(D2181="","",IF(OFFSET(D2181,-1,0)&lt;&gt;"","",IF(OR(J2181="リード付け",J2181="巻足し",J2181="巻返しリード付け"),M2181,VLOOKUP(D2181,契約台帳!$A$3:$N$4986,14,FALSE))))</f>
        <v>1120</v>
      </c>
      <c r="S2181" s="272">
        <f ca="1">IF(D2181="","",IF(OFFSET(D2181,-1,0)&lt;&gt;"","",IF(OR(J2181="リード付け",J2181="巻足し",J2181="巻返しリード付け"),M2181,VLOOKUP(D2181,契約台帳!$A$3:$O$4986,15,FALSE))))</f>
        <v>1120</v>
      </c>
      <c r="T2181" s="273">
        <f ca="1">IF(D2181="","",IF(J2181="リード付け",N2181,IF(J2181="巻返しリード付け",N2181,IF(J2181="巻足し",N2181*P2181+OFFSET(N2181,1,0)*OFFSET(P2181,1,0),VLOOKUP(D2181,契約台帳!$A$3:$P$4986,16,FALSE)))))</f>
        <v>12000</v>
      </c>
      <c r="U2181" s="40">
        <v>4</v>
      </c>
      <c r="V2181" s="274">
        <f ca="1">IF(D2181="","",IF(OFFSET(D2181,-2,0)=D2181,"",VLOOKUP(D2181,契約台帳!$A$3:$R$4986,18,FALSE)))</f>
        <v>14</v>
      </c>
      <c r="W2181" s="269" t="str">
        <f ca="1">IF(D2181="","",IF(T2181="","",IF(OR(J2181="巻足し",J2181="巻返しリード付け"),"",IF(J2181="巻返し",VLOOKUP(F2181&amp;K2181&amp;M2181,製品マスタ!$M$5:$AD$5002,18,FALSE),IF(OR(J2181="リード付け",J2181="巻返しリード付け"),"原反コア",IF(J2181="スリット",VLOOKUP(F2181&amp;K2181&amp;R2181,製品マスタ!$N$5:$AD$5002,17,FALSE),""))))))</f>
        <v/>
      </c>
      <c r="X2181" s="269" t="str">
        <f ca="1">IF(D2181="","",IF(T2181="","",IF(J2181="巻足し","",IF(J2181="巻返し",VLOOKUP(F2181&amp;K2181&amp;M2181,製品マスタ!$M$5:$AE$5002,19,FALSE),IF(OR(J2181="リード付け",J2181="巻返しリード付け"),"",IF(J2181="スリット",VLOOKUP(F2181&amp;K2181&amp;R2181,製品マスタ!$N$5:$AE$5002,18,FALSE),""))))))</f>
        <v/>
      </c>
      <c r="Y2181" s="275">
        <f ca="1">IF(D2181="","",IF(T2181="","",VLOOKUP(D2181,契約台帳!$A$3:$Q$4986,17,FALSE)))</f>
        <v>2</v>
      </c>
      <c r="Z2181" s="269" t="str">
        <f ca="1">IF(D2181="","",IF(T2181="","",VLOOKUP(D2181,契約台帳!$A$3:$E$4986,5,FALSE)))</f>
        <v>リンテック㈱</v>
      </c>
      <c r="AA2181" s="57"/>
      <c r="AB2181" s="207">
        <f>IFERROR((VLOOKUP(F2181&amp;K2181&amp;M2181,製品マスタ!$M$5:$AM$5002,27,FALSE)),"")</f>
        <v>0</v>
      </c>
      <c r="AC2181" s="33"/>
      <c r="AD2181" s="189"/>
      <c r="AE2181" s="54"/>
      <c r="AF2181" s="55">
        <f>+M2181*N2181*O2181/1000</f>
        <v>53760</v>
      </c>
      <c r="AG2181" s="43"/>
      <c r="AH2181" s="47"/>
      <c r="AI2181" s="30"/>
      <c r="AJ2181" s="30"/>
      <c r="AK2181" s="30"/>
      <c r="AL2181" s="30"/>
      <c r="AM2181" s="13"/>
      <c r="AN2181" s="13"/>
      <c r="AO2181" s="13"/>
      <c r="AP2181" s="13"/>
      <c r="AQ2181" s="13"/>
      <c r="AR2181" s="14"/>
      <c r="AS2181" s="15"/>
    </row>
    <row r="2182" spans="1:45" s="17" customFormat="1" ht="30.95" hidden="1" customHeight="1" x14ac:dyDescent="0.2">
      <c r="A2182" s="343"/>
      <c r="B2182" s="344"/>
      <c r="C2182" s="345"/>
      <c r="D2182" s="346"/>
      <c r="E2182" s="346"/>
      <c r="F2182" s="268"/>
      <c r="G2182" s="269"/>
      <c r="H2182" s="269"/>
      <c r="I2182" s="270"/>
      <c r="J2182" s="434"/>
      <c r="K2182" s="270"/>
      <c r="L2182" s="270"/>
      <c r="M2182" s="348"/>
      <c r="N2182" s="348"/>
      <c r="O2182" s="435"/>
      <c r="P2182" s="349"/>
      <c r="Q2182" s="350"/>
      <c r="R2182" s="271"/>
      <c r="S2182" s="272"/>
      <c r="T2182" s="273"/>
      <c r="U2182" s="351"/>
      <c r="V2182" s="274"/>
      <c r="W2182" s="269"/>
      <c r="X2182" s="269"/>
      <c r="Y2182" s="275"/>
      <c r="Z2182" s="269"/>
      <c r="AA2182" s="350"/>
      <c r="AB2182" s="207"/>
      <c r="AC2182" s="352"/>
      <c r="AD2182" s="353"/>
      <c r="AE2182" s="54"/>
      <c r="AF2182" s="354"/>
      <c r="AG2182" s="355"/>
      <c r="AH2182" s="349"/>
      <c r="AI2182" s="30"/>
      <c r="AJ2182" s="30"/>
      <c r="AK2182" s="30"/>
      <c r="AL2182" s="30"/>
      <c r="AM2182" s="13"/>
      <c r="AN2182" s="13"/>
      <c r="AO2182" s="13"/>
      <c r="AP2182" s="13"/>
      <c r="AQ2182" s="13"/>
      <c r="AR2182" s="14"/>
      <c r="AS2182" s="15"/>
    </row>
    <row r="2183" spans="1:45" s="17" customFormat="1" ht="30.95" hidden="1" customHeight="1" x14ac:dyDescent="0.2">
      <c r="A2183" s="343" t="s">
        <v>507</v>
      </c>
      <c r="B2183" s="344" t="s">
        <v>445</v>
      </c>
      <c r="C2183" s="345"/>
      <c r="D2183" s="346"/>
      <c r="E2183" s="346"/>
      <c r="F2183" s="268"/>
      <c r="G2183" s="269"/>
      <c r="H2183" s="269"/>
      <c r="I2183" s="270"/>
      <c r="J2183" s="434" t="s">
        <v>448</v>
      </c>
      <c r="K2183" s="270"/>
      <c r="L2183" s="270"/>
      <c r="M2183" s="348"/>
      <c r="N2183" s="348"/>
      <c r="O2183" s="435"/>
      <c r="P2183" s="349"/>
      <c r="Q2183" s="350"/>
      <c r="R2183" s="271"/>
      <c r="S2183" s="272"/>
      <c r="T2183" s="273"/>
      <c r="U2183" s="351"/>
      <c r="V2183" s="274"/>
      <c r="W2183" s="269"/>
      <c r="X2183" s="269"/>
      <c r="Y2183" s="275"/>
      <c r="Z2183" s="269"/>
      <c r="AA2183" s="350"/>
      <c r="AB2183" s="207"/>
      <c r="AC2183" s="352"/>
      <c r="AD2183" s="353"/>
      <c r="AE2183" s="54"/>
      <c r="AF2183" s="354"/>
      <c r="AG2183" s="355"/>
      <c r="AH2183" s="349"/>
      <c r="AI2183" s="30"/>
      <c r="AJ2183" s="30"/>
      <c r="AK2183" s="30"/>
      <c r="AL2183" s="30"/>
      <c r="AM2183" s="13"/>
      <c r="AN2183" s="13"/>
      <c r="AO2183" s="13"/>
      <c r="AP2183" s="13"/>
      <c r="AQ2183" s="13"/>
      <c r="AR2183" s="14"/>
      <c r="AS2183" s="15"/>
    </row>
    <row r="2184" spans="1:45" s="17" customFormat="1" ht="30.95" hidden="1" customHeight="1" x14ac:dyDescent="0.2">
      <c r="A2184" s="343"/>
      <c r="B2184" s="344"/>
      <c r="C2184" s="345"/>
      <c r="D2184" s="346"/>
      <c r="E2184" s="346"/>
      <c r="F2184" s="268"/>
      <c r="G2184" s="269"/>
      <c r="H2184" s="269"/>
      <c r="I2184" s="270"/>
      <c r="J2184" s="434"/>
      <c r="K2184" s="270"/>
      <c r="L2184" s="270"/>
      <c r="M2184" s="348"/>
      <c r="N2184" s="348"/>
      <c r="O2184" s="435"/>
      <c r="P2184" s="349"/>
      <c r="Q2184" s="350"/>
      <c r="R2184" s="271"/>
      <c r="S2184" s="272"/>
      <c r="T2184" s="273"/>
      <c r="U2184" s="351"/>
      <c r="V2184" s="274"/>
      <c r="W2184" s="269"/>
      <c r="X2184" s="269"/>
      <c r="Y2184" s="275"/>
      <c r="Z2184" s="269"/>
      <c r="AA2184" s="350"/>
      <c r="AB2184" s="207"/>
      <c r="AC2184" s="352"/>
      <c r="AD2184" s="353"/>
      <c r="AE2184" s="54"/>
      <c r="AF2184" s="354"/>
      <c r="AG2184" s="355"/>
      <c r="AH2184" s="349"/>
      <c r="AI2184" s="30"/>
      <c r="AJ2184" s="30"/>
      <c r="AK2184" s="30"/>
      <c r="AL2184" s="30"/>
      <c r="AM2184" s="13"/>
      <c r="AN2184" s="13"/>
      <c r="AO2184" s="13"/>
      <c r="AP2184" s="13"/>
      <c r="AQ2184" s="13"/>
      <c r="AR2184" s="14"/>
      <c r="AS2184" s="15"/>
    </row>
    <row r="2185" spans="1:45" s="17" customFormat="1" ht="30.95" hidden="1" customHeight="1" x14ac:dyDescent="0.2">
      <c r="A2185" s="343" t="s">
        <v>1271</v>
      </c>
      <c r="B2185" s="344" t="s">
        <v>446</v>
      </c>
      <c r="C2185" s="345"/>
      <c r="D2185" s="346"/>
      <c r="E2185" s="346"/>
      <c r="F2185" s="268"/>
      <c r="G2185" s="269"/>
      <c r="H2185" s="269"/>
      <c r="I2185" s="270"/>
      <c r="J2185" s="434" t="s">
        <v>448</v>
      </c>
      <c r="K2185" s="270"/>
      <c r="L2185" s="270"/>
      <c r="M2185" s="348"/>
      <c r="N2185" s="348"/>
      <c r="O2185" s="435"/>
      <c r="P2185" s="349"/>
      <c r="Q2185" s="350"/>
      <c r="R2185" s="271"/>
      <c r="S2185" s="272"/>
      <c r="T2185" s="273"/>
      <c r="U2185" s="351"/>
      <c r="V2185" s="274"/>
      <c r="W2185" s="269"/>
      <c r="X2185" s="269"/>
      <c r="Y2185" s="275"/>
      <c r="Z2185" s="269"/>
      <c r="AA2185" s="350"/>
      <c r="AB2185" s="207"/>
      <c r="AC2185" s="352"/>
      <c r="AD2185" s="353"/>
      <c r="AE2185" s="54"/>
      <c r="AF2185" s="354"/>
      <c r="AG2185" s="355"/>
      <c r="AH2185" s="349"/>
      <c r="AI2185" s="30"/>
      <c r="AJ2185" s="30"/>
      <c r="AK2185" s="30"/>
      <c r="AL2185" s="30"/>
      <c r="AM2185" s="13"/>
      <c r="AN2185" s="13"/>
      <c r="AO2185" s="13"/>
      <c r="AP2185" s="13"/>
      <c r="AQ2185" s="13"/>
      <c r="AR2185" s="14"/>
      <c r="AS2185" s="15"/>
    </row>
    <row r="2186" spans="1:45" s="17" customFormat="1" ht="30.95" hidden="1" customHeight="1" x14ac:dyDescent="0.2">
      <c r="A2186" s="343"/>
      <c r="B2186" s="344"/>
      <c r="C2186" s="345"/>
      <c r="D2186" s="346"/>
      <c r="E2186" s="346"/>
      <c r="F2186" s="268"/>
      <c r="G2186" s="269"/>
      <c r="H2186" s="269"/>
      <c r="I2186" s="270"/>
      <c r="J2186" s="434"/>
      <c r="K2186" s="270"/>
      <c r="L2186" s="270"/>
      <c r="M2186" s="348"/>
      <c r="N2186" s="348"/>
      <c r="O2186" s="435"/>
      <c r="P2186" s="349"/>
      <c r="Q2186" s="350"/>
      <c r="R2186" s="271"/>
      <c r="S2186" s="272"/>
      <c r="T2186" s="273"/>
      <c r="U2186" s="351"/>
      <c r="V2186" s="274"/>
      <c r="W2186" s="269"/>
      <c r="X2186" s="269"/>
      <c r="Y2186" s="275"/>
      <c r="Z2186" s="269"/>
      <c r="AA2186" s="350"/>
      <c r="AB2186" s="207"/>
      <c r="AC2186" s="352"/>
      <c r="AD2186" s="353"/>
      <c r="AE2186" s="54"/>
      <c r="AF2186" s="354"/>
      <c r="AG2186" s="355"/>
      <c r="AH2186" s="349"/>
      <c r="AI2186" s="30"/>
      <c r="AJ2186" s="30"/>
      <c r="AK2186" s="30"/>
      <c r="AL2186" s="30"/>
      <c r="AM2186" s="13"/>
      <c r="AN2186" s="13"/>
      <c r="AO2186" s="13"/>
      <c r="AP2186" s="13"/>
      <c r="AQ2186" s="13"/>
      <c r="AR2186" s="14"/>
      <c r="AS2186" s="15"/>
    </row>
    <row r="2187" spans="1:45" s="17" customFormat="1" ht="30.6" hidden="1" customHeight="1" x14ac:dyDescent="0.2">
      <c r="A2187" s="37" t="s">
        <v>2944</v>
      </c>
      <c r="B2187" s="38" t="s">
        <v>2941</v>
      </c>
      <c r="C2187" s="45"/>
      <c r="D2187" s="31">
        <v>3762728</v>
      </c>
      <c r="E2187" s="31">
        <v>4162375</v>
      </c>
      <c r="F2187" s="268" t="str">
        <f>IF(D2187="","",VLOOKUP(D2187,契約台帳!$A$3:$K$4986,6,FALSE)&amp;VLOOKUP(D2187,契約台帳!$A$3:$K$4986,7,FALSE)&amp;VLOOKUP(D2187,契約台帳!$A$3:$K$4986,8,FALSE)&amp;VLOOKUP(D2187,契約台帳!$A$3:$K$4986,9,FALSE)&amp;VLOOKUP(D2187,契約台帳!$A$3:$K$4986,11,FALSE))</f>
        <v>3SNMLBMNGKKBF</v>
      </c>
      <c r="G2187" s="269" t="str">
        <f>IF(D2187="","",VLOOKUP(F2187,製品マスタ!$G$5:$H$5002,2,FALSE))</f>
        <v>S</v>
      </c>
      <c r="H2187" s="269" t="str">
        <f>IF(D2187="","",VLOOKUP(F2187,製品マスタ!$G$5:$K$5002,5,FALSE))</f>
        <v>MNGKKBF</v>
      </c>
      <c r="I2187" s="270" t="str">
        <f>IF(D2187="","",VLOOKUP(F2187,製品マスタ!$G$5:$L$5002,6,FALSE))</f>
        <v>メタルミー　ネーマー銀消改　Ｂ</v>
      </c>
      <c r="J2187" s="210" t="s">
        <v>935</v>
      </c>
      <c r="K2187" s="270">
        <f>IF(D2187="","",VLOOKUP(D2187,契約台帳!$A$3:$L$4986,12,FALSE))</f>
        <v>50</v>
      </c>
      <c r="L2187" s="270" t="str">
        <f>IF(D2187="","",INDEX(製品マスタ!$Q$5:$Q$5002,MATCH('S4'!F2187&amp;'S4'!K2187,製品マスタ!$AO$5:$AO$5002,0)))</f>
        <v>S99-MAT</v>
      </c>
      <c r="M2187" s="39">
        <v>1120</v>
      </c>
      <c r="N2187" s="39">
        <v>4000</v>
      </c>
      <c r="O2187" s="156">
        <v>2</v>
      </c>
      <c r="P2187" s="47">
        <v>2</v>
      </c>
      <c r="Q2187" s="213">
        <v>45478</v>
      </c>
      <c r="R2187" s="271">
        <f ca="1">IF(D2187="","",IF(OFFSET(D2187,-1,0)&lt;&gt;"","",IF(OR(J2187="リード付け",J2187="巻足し",J2187="巻返しリード付け"),M2187,VLOOKUP(D2187,契約台帳!$A$3:$N$4986,14,FALSE))))</f>
        <v>1120</v>
      </c>
      <c r="S2187" s="272">
        <f ca="1">IF(D2187="","",IF(OFFSET(D2187,-1,0)&lt;&gt;"","",IF(OR(J2187="リード付け",J2187="巻足し",J2187="巻返しリード付け"),M2187,VLOOKUP(D2187,契約台帳!$A$3:$O$4986,15,FALSE))))</f>
        <v>1120</v>
      </c>
      <c r="T2187" s="273">
        <f ca="1">IF(D2187="","",IF(J2187="リード付け",N2187,IF(J2187="巻返しリード付け",N2187,IF(J2187="巻足し",N2187*P2187+OFFSET(N2187,1,0)*OFFSET(P2187,1,0),VLOOKUP(D2187,契約台帳!$A$3:$P$4986,16,FALSE)))))</f>
        <v>8000</v>
      </c>
      <c r="U2187" s="40">
        <v>1</v>
      </c>
      <c r="V2187" s="274">
        <f ca="1">IF(D2187="","",IF(OFFSET(D2187,-2,0)=D2187,"",VLOOKUP(D2187,契約台帳!$A$3:$R$4986,18,FALSE)))</f>
        <v>14</v>
      </c>
      <c r="W2187" s="269" t="str">
        <f ca="1">IF(D2187="","",IF(T2187="","",IF(OR(J2187="巻足し",J2187="巻返しリード付け"),"",IF(J2187="巻返し",VLOOKUP(F2187&amp;K2187&amp;M2187,製品マスタ!$M$5:$AD$5002,18,FALSE),IF(OR(J2187="リード付け",J2187="巻返しリード付け"),"原反コア",IF(J2187="スリット",VLOOKUP(F2187&amp;K2187&amp;R2187,製品マスタ!$N$5:$AD$5002,17,FALSE),""))))))</f>
        <v/>
      </c>
      <c r="X2187" s="269" t="str">
        <f ca="1">IF(D2187="","",IF(T2187="","",IF(J2187="巻足し","",IF(J2187="巻返し",VLOOKUP(F2187&amp;K2187&amp;M2187,製品マスタ!$M$5:$AE$5002,19,FALSE),IF(OR(J2187="リード付け",J2187="巻返しリード付け"),"",IF(J2187="スリット",VLOOKUP(F2187&amp;K2187&amp;R2187,製品マスタ!$N$5:$AE$5002,18,FALSE),""))))))</f>
        <v/>
      </c>
      <c r="Y2187" s="275">
        <f ca="1">IF(D2187="","",IF(T2187="","",VLOOKUP(D2187,契約台帳!$A$3:$Q$4986,17,FALSE)))</f>
        <v>2</v>
      </c>
      <c r="Z2187" s="269" t="str">
        <f ca="1">IF(D2187="","",IF(T2187="","",VLOOKUP(D2187,契約台帳!$A$3:$E$4986,5,FALSE)))</f>
        <v>リンテック㈱</v>
      </c>
      <c r="AA2187" s="57"/>
      <c r="AB2187" s="207">
        <f>IFERROR((VLOOKUP(F2187&amp;K2187&amp;M2187,製品マスタ!$M$5:$AM$5002,27,FALSE)),"")</f>
        <v>0</v>
      </c>
      <c r="AC2187" s="33"/>
      <c r="AD2187" s="189"/>
      <c r="AE2187" s="54"/>
      <c r="AF2187" s="55">
        <f>+M2187*N2187*O2187/1000</f>
        <v>8960</v>
      </c>
      <c r="AG2187" s="43"/>
      <c r="AH2187" s="47"/>
      <c r="AI2187" s="30"/>
      <c r="AJ2187" s="30"/>
      <c r="AK2187" s="30"/>
      <c r="AL2187" s="30"/>
      <c r="AM2187" s="13"/>
      <c r="AN2187" s="13"/>
      <c r="AO2187" s="13"/>
      <c r="AP2187" s="13"/>
      <c r="AQ2187" s="13"/>
      <c r="AR2187" s="14"/>
      <c r="AS2187" s="15"/>
    </row>
    <row r="2188" spans="1:45" s="17" customFormat="1" ht="30.95" hidden="1" customHeight="1" x14ac:dyDescent="0.2">
      <c r="A2188" s="343"/>
      <c r="B2188" s="344"/>
      <c r="C2188" s="345"/>
      <c r="D2188" s="346"/>
      <c r="E2188" s="346"/>
      <c r="F2188" s="268"/>
      <c r="G2188" s="269"/>
      <c r="H2188" s="269"/>
      <c r="I2188" s="270"/>
      <c r="J2188" s="434"/>
      <c r="K2188" s="270"/>
      <c r="L2188" s="270"/>
      <c r="M2188" s="348"/>
      <c r="N2188" s="348"/>
      <c r="O2188" s="435"/>
      <c r="P2188" s="349"/>
      <c r="Q2188" s="350"/>
      <c r="R2188" s="271"/>
      <c r="S2188" s="272"/>
      <c r="T2188" s="273"/>
      <c r="U2188" s="351"/>
      <c r="V2188" s="274"/>
      <c r="W2188" s="269"/>
      <c r="X2188" s="269"/>
      <c r="Y2188" s="275"/>
      <c r="Z2188" s="269"/>
      <c r="AA2188" s="350"/>
      <c r="AB2188" s="207"/>
      <c r="AC2188" s="352"/>
      <c r="AD2188" s="353"/>
      <c r="AE2188" s="54"/>
      <c r="AF2188" s="354"/>
      <c r="AG2188" s="355"/>
      <c r="AH2188" s="349"/>
      <c r="AI2188" s="30"/>
      <c r="AJ2188" s="30"/>
      <c r="AK2188" s="30"/>
      <c r="AL2188" s="30"/>
      <c r="AM2188" s="13"/>
      <c r="AN2188" s="13"/>
      <c r="AO2188" s="13"/>
      <c r="AP2188" s="13"/>
      <c r="AQ2188" s="13"/>
      <c r="AR2188" s="14"/>
      <c r="AS2188" s="15"/>
    </row>
    <row r="2189" spans="1:45" s="17" customFormat="1" ht="30.6" hidden="1" customHeight="1" x14ac:dyDescent="0.2">
      <c r="A2189" s="37"/>
      <c r="B2189" s="38"/>
      <c r="C2189" s="45"/>
      <c r="D2189" s="31">
        <v>3762740</v>
      </c>
      <c r="E2189" s="31">
        <v>4162382</v>
      </c>
      <c r="F2189" s="268" t="str">
        <f>IF(D2189="","",VLOOKUP(D2189,契約台帳!$A$3:$K$4986,6,FALSE)&amp;VLOOKUP(D2189,契約台帳!$A$3:$K$4986,7,FALSE)&amp;VLOOKUP(D2189,契約台帳!$A$3:$K$4986,8,FALSE)&amp;VLOOKUP(D2189,契約台帳!$A$3:$K$4986,9,FALSE)&amp;VLOOKUP(D2189,契約台帳!$A$3:$K$4986,11,FALSE))</f>
        <v>3SYMLBMSNMBF</v>
      </c>
      <c r="G2189" s="269" t="str">
        <f>IF(D2189="","",VLOOKUP(F2189,製品マスタ!$G$5:$H$5002,2,FALSE))</f>
        <v>S</v>
      </c>
      <c r="H2189" s="269" t="str">
        <f>IF(D2189="","",VLOOKUP(F2189,製品マスタ!$G$5:$K$5002,5,FALSE))</f>
        <v>MSNMBF</v>
      </c>
      <c r="I2189" s="270" t="str">
        <f>IF(D2189="","",VLOOKUP(F2189,製品マスタ!$G$5:$L$5002,6,FALSE))</f>
        <v>ＭＥＴＡＬＵＭＹ　ＳＩＬＶＥＲ　Ｎ－ＭＡＴＴＥ　Ｘ４４Ｍ　Ｂ</v>
      </c>
      <c r="J2189" s="210" t="s">
        <v>935</v>
      </c>
      <c r="K2189" s="270">
        <f>IF(D2189="","",VLOOKUP(D2189,契約台帳!$A$3:$L$4986,12,FALSE))</f>
        <v>50</v>
      </c>
      <c r="L2189" s="270" t="str">
        <f>IF(D2189="","",INDEX(製品マスタ!$Q$5:$Q$5002,MATCH('S4'!F2189&amp;'S4'!K2189,製品マスタ!$AO$5:$AO$5002,0)))</f>
        <v>X44</v>
      </c>
      <c r="M2189" s="39">
        <v>1120</v>
      </c>
      <c r="N2189" s="39">
        <v>4000</v>
      </c>
      <c r="O2189" s="156">
        <v>18</v>
      </c>
      <c r="P2189" s="47">
        <v>3</v>
      </c>
      <c r="Q2189" s="213">
        <v>45478</v>
      </c>
      <c r="R2189" s="271">
        <f ca="1">IF(D2189="","",IF(OFFSET(D2189,-1,0)&lt;&gt;"","",IF(OR(J2189="リード付け",J2189="巻足し",J2189="巻返しリード付け"),M2189,VLOOKUP(D2189,契約台帳!$A$3:$N$4986,14,FALSE))))</f>
        <v>1120</v>
      </c>
      <c r="S2189" s="272">
        <f ca="1">IF(D2189="","",IF(OFFSET(D2189,-1,0)&lt;&gt;"","",IF(OR(J2189="リード付け",J2189="巻足し",J2189="巻返しリード付け"),M2189,VLOOKUP(D2189,契約台帳!$A$3:$O$4986,15,FALSE))))</f>
        <v>1120</v>
      </c>
      <c r="T2189" s="273">
        <f ca="1">IF(D2189="","",IF(J2189="リード付け",N2189,IF(J2189="巻返しリード付け",N2189,IF(J2189="巻足し",N2189*P2189+OFFSET(N2189,1,0)*OFFSET(P2189,1,0),VLOOKUP(D2189,契約台帳!$A$3:$P$4986,16,FALSE)))))</f>
        <v>12000</v>
      </c>
      <c r="U2189" s="40">
        <v>6</v>
      </c>
      <c r="V2189" s="274">
        <f ca="1">IF(D2189="","",IF(OFFSET(D2189,-2,0)=D2189,"",VLOOKUP(D2189,契約台帳!$A$3:$R$4986,18,FALSE)))</f>
        <v>20</v>
      </c>
      <c r="W2189" s="269" t="str">
        <f ca="1">IF(D2189="","",IF(T2189="","",IF(OR(J2189="巻足し",J2189="巻返しリード付け"),"",IF(J2189="巻返し",VLOOKUP(F2189&amp;K2189&amp;M2189,製品マスタ!$M$5:$AD$5002,18,FALSE),IF(OR(J2189="リード付け",J2189="巻返しリード付け"),"原反コア",IF(J2189="スリット",VLOOKUP(F2189&amp;K2189&amp;R2189,製品マスタ!$N$5:$AD$5002,17,FALSE),""))))))</f>
        <v/>
      </c>
      <c r="X2189" s="269" t="str">
        <f ca="1">IF(D2189="","",IF(T2189="","",IF(J2189="巻足し","",IF(J2189="巻返し",VLOOKUP(F2189&amp;K2189&amp;M2189,製品マスタ!$M$5:$AE$5002,19,FALSE),IF(OR(J2189="リード付け",J2189="巻返しリード付け"),"",IF(J2189="スリット",VLOOKUP(F2189&amp;K2189&amp;R2189,製品マスタ!$N$5:$AE$5002,18,FALSE),""))))))</f>
        <v/>
      </c>
      <c r="Y2189" s="275">
        <f ca="1">IF(D2189="","",IF(T2189="","",VLOOKUP(D2189,契約台帳!$A$3:$Q$4986,17,FALSE)))</f>
        <v>2</v>
      </c>
      <c r="Z2189" s="269" t="str">
        <f ca="1">IF(D2189="","",IF(T2189="","",VLOOKUP(D2189,契約台帳!$A$3:$E$4986,5,FALSE)))</f>
        <v>リンテック㈱</v>
      </c>
      <c r="AA2189" s="57"/>
      <c r="AB2189" s="207">
        <f>IFERROR((VLOOKUP(F2189&amp;K2189&amp;M2189,製品マスタ!$M$5:$AM$5002,27,FALSE)),"")</f>
        <v>0</v>
      </c>
      <c r="AC2189" s="33"/>
      <c r="AD2189" s="189"/>
      <c r="AE2189" s="54"/>
      <c r="AF2189" s="55">
        <f>+M2189*N2189*O2189/1000</f>
        <v>80640</v>
      </c>
      <c r="AG2189" s="43"/>
      <c r="AH2189" s="47"/>
      <c r="AI2189" s="30"/>
      <c r="AJ2189" s="30"/>
      <c r="AK2189" s="30"/>
      <c r="AL2189" s="30"/>
      <c r="AM2189" s="13"/>
      <c r="AN2189" s="13"/>
      <c r="AO2189" s="13"/>
      <c r="AP2189" s="13"/>
      <c r="AQ2189" s="13"/>
      <c r="AR2189" s="14"/>
      <c r="AS2189" s="15"/>
    </row>
    <row r="2190" spans="1:45" s="17" customFormat="1" ht="30.95" hidden="1" customHeight="1" x14ac:dyDescent="0.2">
      <c r="A2190" s="343"/>
      <c r="B2190" s="344"/>
      <c r="C2190" s="345"/>
      <c r="D2190" s="346"/>
      <c r="E2190" s="346"/>
      <c r="F2190" s="268"/>
      <c r="G2190" s="269"/>
      <c r="H2190" s="269"/>
      <c r="I2190" s="270"/>
      <c r="J2190" s="434"/>
      <c r="K2190" s="270"/>
      <c r="L2190" s="270"/>
      <c r="M2190" s="348"/>
      <c r="N2190" s="348"/>
      <c r="O2190" s="435"/>
      <c r="P2190" s="349"/>
      <c r="Q2190" s="350"/>
      <c r="R2190" s="271"/>
      <c r="S2190" s="272"/>
      <c r="T2190" s="273"/>
      <c r="U2190" s="351"/>
      <c r="V2190" s="274"/>
      <c r="W2190" s="269"/>
      <c r="X2190" s="269"/>
      <c r="Y2190" s="275"/>
      <c r="Z2190" s="269"/>
      <c r="AA2190" s="350"/>
      <c r="AB2190" s="207"/>
      <c r="AC2190" s="352"/>
      <c r="AD2190" s="353"/>
      <c r="AE2190" s="54"/>
      <c r="AF2190" s="354"/>
      <c r="AG2190" s="355"/>
      <c r="AH2190" s="349"/>
      <c r="AI2190" s="30"/>
      <c r="AJ2190" s="30"/>
      <c r="AK2190" s="30"/>
      <c r="AL2190" s="30"/>
      <c r="AM2190" s="13"/>
      <c r="AN2190" s="13"/>
      <c r="AO2190" s="13"/>
      <c r="AP2190" s="13"/>
      <c r="AQ2190" s="13"/>
      <c r="AR2190" s="14"/>
      <c r="AS2190" s="15"/>
    </row>
    <row r="2191" spans="1:45" s="17" customFormat="1" ht="30.6" hidden="1" customHeight="1" x14ac:dyDescent="0.2">
      <c r="A2191" s="37" t="s">
        <v>2946</v>
      </c>
      <c r="B2191" s="38" t="s">
        <v>2945</v>
      </c>
      <c r="C2191" s="45"/>
      <c r="D2191" s="31">
        <v>3762740</v>
      </c>
      <c r="E2191" s="31">
        <v>4162382</v>
      </c>
      <c r="F2191" s="268" t="str">
        <f>IF(D2191="","",VLOOKUP(D2191,契約台帳!$A$3:$K$4986,6,FALSE)&amp;VLOOKUP(D2191,契約台帳!$A$3:$K$4986,7,FALSE)&amp;VLOOKUP(D2191,契約台帳!$A$3:$K$4986,8,FALSE)&amp;VLOOKUP(D2191,契約台帳!$A$3:$K$4986,9,FALSE)&amp;VLOOKUP(D2191,契約台帳!$A$3:$K$4986,11,FALSE))</f>
        <v>3SYMLBMSNMBF</v>
      </c>
      <c r="G2191" s="269" t="str">
        <f>IF(D2191="","",VLOOKUP(F2191,製品マスタ!$G$5:$H$5002,2,FALSE))</f>
        <v>S</v>
      </c>
      <c r="H2191" s="269" t="str">
        <f>IF(D2191="","",VLOOKUP(F2191,製品マスタ!$G$5:$K$5002,5,FALSE))</f>
        <v>MSNMBF</v>
      </c>
      <c r="I2191" s="270" t="str">
        <f>IF(D2191="","",VLOOKUP(F2191,製品マスタ!$G$5:$L$5002,6,FALSE))</f>
        <v>ＭＥＴＡＬＵＭＹ　ＳＩＬＶＥＲ　Ｎ－ＭＡＴＴＥ　Ｘ４４Ｍ　Ｂ</v>
      </c>
      <c r="J2191" s="210" t="s">
        <v>935</v>
      </c>
      <c r="K2191" s="270">
        <f>IF(D2191="","",VLOOKUP(D2191,契約台帳!$A$3:$L$4986,12,FALSE))</f>
        <v>50</v>
      </c>
      <c r="L2191" s="270" t="str">
        <f>IF(D2191="","",INDEX(製品マスタ!$Q$5:$Q$5002,MATCH('S4'!F2191&amp;'S4'!K2191,製品マスタ!$AO$5:$AO$5002,0)))</f>
        <v>X44</v>
      </c>
      <c r="M2191" s="39">
        <v>1120</v>
      </c>
      <c r="N2191" s="39">
        <v>4000</v>
      </c>
      <c r="O2191" s="156">
        <v>2</v>
      </c>
      <c r="P2191" s="47">
        <v>2</v>
      </c>
      <c r="Q2191" s="213">
        <v>45478</v>
      </c>
      <c r="R2191" s="271">
        <f ca="1">IF(D2191="","",IF(OFFSET(D2191,-1,0)&lt;&gt;"","",IF(OR(J2191="リード付け",J2191="巻足し",J2191="巻返しリード付け"),M2191,VLOOKUP(D2191,契約台帳!$A$3:$N$4986,14,FALSE))))</f>
        <v>1120</v>
      </c>
      <c r="S2191" s="272">
        <f ca="1">IF(D2191="","",IF(OFFSET(D2191,-1,0)&lt;&gt;"","",IF(OR(J2191="リード付け",J2191="巻足し",J2191="巻返しリード付け"),M2191,VLOOKUP(D2191,契約台帳!$A$3:$O$4986,15,FALSE))))</f>
        <v>1120</v>
      </c>
      <c r="T2191" s="273">
        <f ca="1">IF(D2191="","",IF(J2191="リード付け",N2191,IF(J2191="巻返しリード付け",N2191,IF(J2191="巻足し",N2191*P2191+OFFSET(N2191,1,0)*OFFSET(P2191,1,0),VLOOKUP(D2191,契約台帳!$A$3:$P$4986,16,FALSE)))))</f>
        <v>8000</v>
      </c>
      <c r="U2191" s="40">
        <v>1</v>
      </c>
      <c r="V2191" s="274" t="str">
        <f ca="1">IF(D2191="","",IF(OFFSET(D2191,-2,0)=D2191,"",VLOOKUP(D2191,契約台帳!$A$3:$R$4986,18,FALSE)))</f>
        <v/>
      </c>
      <c r="W2191" s="269" t="str">
        <f ca="1">IF(D2191="","",IF(T2191="","",IF(OR(J2191="巻足し",J2191="巻返しリード付け"),"",IF(J2191="巻返し",VLOOKUP(F2191&amp;K2191&amp;M2191,製品マスタ!$M$5:$AD$5002,18,FALSE),IF(OR(J2191="リード付け",J2191="巻返しリード付け"),"原反コア",IF(J2191="スリット",VLOOKUP(F2191&amp;K2191&amp;R2191,製品マスタ!$N$5:$AD$5002,17,FALSE),""))))))</f>
        <v/>
      </c>
      <c r="X2191" s="269" t="str">
        <f ca="1">IF(D2191="","",IF(T2191="","",IF(J2191="巻足し","",IF(J2191="巻返し",VLOOKUP(F2191&amp;K2191&amp;M2191,製品マスタ!$M$5:$AE$5002,19,FALSE),IF(OR(J2191="リード付け",J2191="巻返しリード付け"),"",IF(J2191="スリット",VLOOKUP(F2191&amp;K2191&amp;R2191,製品マスタ!$N$5:$AE$5002,18,FALSE),""))))))</f>
        <v/>
      </c>
      <c r="Y2191" s="275">
        <f ca="1">IF(D2191="","",IF(T2191="","",VLOOKUP(D2191,契約台帳!$A$3:$Q$4986,17,FALSE)))</f>
        <v>2</v>
      </c>
      <c r="Z2191" s="269" t="str">
        <f ca="1">IF(D2191="","",IF(T2191="","",VLOOKUP(D2191,契約台帳!$A$3:$E$4986,5,FALSE)))</f>
        <v>リンテック㈱</v>
      </c>
      <c r="AA2191" s="57"/>
      <c r="AB2191" s="207">
        <f>IFERROR((VLOOKUP(F2191&amp;K2191&amp;M2191,製品マスタ!$M$5:$AM$5002,27,FALSE)),"")</f>
        <v>0</v>
      </c>
      <c r="AC2191" s="33"/>
      <c r="AD2191" s="189"/>
      <c r="AE2191" s="54"/>
      <c r="AF2191" s="55">
        <f>+M2191*N2191*O2191/1000</f>
        <v>8960</v>
      </c>
      <c r="AG2191" s="43"/>
      <c r="AH2191" s="47"/>
      <c r="AI2191" s="30"/>
      <c r="AJ2191" s="30"/>
      <c r="AK2191" s="30"/>
      <c r="AL2191" s="30"/>
      <c r="AM2191" s="13"/>
      <c r="AN2191" s="13"/>
      <c r="AO2191" s="13"/>
      <c r="AP2191" s="13"/>
      <c r="AQ2191" s="13"/>
      <c r="AR2191" s="14"/>
      <c r="AS2191" s="15"/>
    </row>
    <row r="2192" spans="1:45" s="17" customFormat="1" ht="30.95" hidden="1" customHeight="1" x14ac:dyDescent="0.2">
      <c r="A2192" s="343"/>
      <c r="B2192" s="344"/>
      <c r="C2192" s="345"/>
      <c r="D2192" s="346"/>
      <c r="E2192" s="346"/>
      <c r="F2192" s="268"/>
      <c r="G2192" s="269"/>
      <c r="H2192" s="269"/>
      <c r="I2192" s="270"/>
      <c r="J2192" s="434"/>
      <c r="K2192" s="270"/>
      <c r="L2192" s="270"/>
      <c r="M2192" s="348"/>
      <c r="N2192" s="348"/>
      <c r="O2192" s="435"/>
      <c r="P2192" s="349"/>
      <c r="Q2192" s="350"/>
      <c r="R2192" s="271"/>
      <c r="S2192" s="272"/>
      <c r="T2192" s="273"/>
      <c r="U2192" s="351"/>
      <c r="V2192" s="274"/>
      <c r="W2192" s="269"/>
      <c r="X2192" s="269"/>
      <c r="Y2192" s="275"/>
      <c r="Z2192" s="269"/>
      <c r="AA2192" s="350"/>
      <c r="AB2192" s="207"/>
      <c r="AC2192" s="352"/>
      <c r="AD2192" s="353"/>
      <c r="AE2192" s="54"/>
      <c r="AF2192" s="354"/>
      <c r="AG2192" s="355"/>
      <c r="AH2192" s="349"/>
      <c r="AI2192" s="30"/>
      <c r="AJ2192" s="30"/>
      <c r="AK2192" s="30"/>
      <c r="AL2192" s="30"/>
      <c r="AM2192" s="13"/>
      <c r="AN2192" s="13"/>
      <c r="AO2192" s="13"/>
      <c r="AP2192" s="13"/>
      <c r="AQ2192" s="13"/>
      <c r="AR2192" s="14"/>
      <c r="AS2192" s="15"/>
    </row>
    <row r="2193" spans="1:45" s="17" customFormat="1" ht="30.6" hidden="1" customHeight="1" x14ac:dyDescent="0.2">
      <c r="A2193" s="37"/>
      <c r="B2193" s="38"/>
      <c r="C2193" s="45"/>
      <c r="D2193" s="31">
        <v>3762743</v>
      </c>
      <c r="E2193" s="31">
        <v>4162394</v>
      </c>
      <c r="F2193" s="268" t="str">
        <f>IF(D2193="","",VLOOKUP(D2193,契約台帳!$A$3:$K$4986,6,FALSE)&amp;VLOOKUP(D2193,契約台帳!$A$3:$K$4986,7,FALSE)&amp;VLOOKUP(D2193,契約台帳!$A$3:$K$4986,8,FALSE)&amp;VLOOKUP(D2193,契約台帳!$A$3:$K$4986,9,FALSE)&amp;VLOOKUP(D2193,契約台帳!$A$3:$K$4986,11,FALSE))</f>
        <v>3SYMLBMSNMBZF</v>
      </c>
      <c r="G2193" s="269" t="str">
        <f>IF(D2193="","",VLOOKUP(F2193,製品マスタ!$G$5:$H$5002,2,FALSE))</f>
        <v>S</v>
      </c>
      <c r="H2193" s="269" t="str">
        <f>IF(D2193="","",VLOOKUP(F2193,製品マスタ!$G$5:$K$5002,5,FALSE))</f>
        <v>MSNMBZF</v>
      </c>
      <c r="I2193" s="270" t="str">
        <f>IF(D2193="","",VLOOKUP(F2193,製品マスタ!$G$5:$L$5002,6,FALSE))</f>
        <v>ＭＥＴＡＬＵＭＹ　ＳＩＬＶＥＲ　Ｎ－ＭＡＴＴＥ　Ｂ</v>
      </c>
      <c r="J2193" s="210" t="s">
        <v>464</v>
      </c>
      <c r="K2193" s="270">
        <f>IF(D2193="","",VLOOKUP(D2193,契約台帳!$A$3:$L$4986,12,FALSE))</f>
        <v>50</v>
      </c>
      <c r="L2193" s="270" t="str">
        <f>IF(D2193="","",INDEX(製品マスタ!$Q$5:$Q$5002,MATCH('S4'!F2193&amp;'S4'!K2193,製品マスタ!$AO$5:$AO$5002,0)))</f>
        <v>X44</v>
      </c>
      <c r="M2193" s="39">
        <v>1120</v>
      </c>
      <c r="N2193" s="39">
        <v>4000</v>
      </c>
      <c r="O2193" s="156">
        <v>1</v>
      </c>
      <c r="P2193" s="47">
        <v>1</v>
      </c>
      <c r="Q2193" s="213">
        <v>45478</v>
      </c>
      <c r="R2193" s="271">
        <f ca="1">IF(D2193="","",IF(OFFSET(D2193,-1,0)&lt;&gt;"","",IF(OR(J2193="リード付け",J2193="巻足し",J2193="巻返しリード付け"),M2193,VLOOKUP(D2193,契約台帳!$A$3:$N$4986,14,FALSE))))</f>
        <v>1120</v>
      </c>
      <c r="S2193" s="272">
        <f ca="1">IF(D2193="","",IF(OFFSET(D2193,-1,0)&lt;&gt;"","",IF(OR(J2193="リード付け",J2193="巻足し",J2193="巻返しリード付け"),M2193,VLOOKUP(D2193,契約台帳!$A$3:$O$4986,15,FALSE))))</f>
        <v>1120</v>
      </c>
      <c r="T2193" s="273">
        <f ca="1">IF(D2193="","",IF(J2193="リード付け",N2193,IF(J2193="巻返しリード付け",N2193,IF(J2193="巻足し",N2193*P2193+OFFSET(N2193,1,0)*OFFSET(P2193,1,0),VLOOKUP(D2193,契約台帳!$A$3:$P$4986,16,FALSE)))))</f>
        <v>4000</v>
      </c>
      <c r="U2193" s="40">
        <v>1</v>
      </c>
      <c r="V2193" s="274">
        <f ca="1">IF(D2193="","",IF(OFFSET(D2193,-2,0)=D2193,"",VLOOKUP(D2193,契約台帳!$A$3:$R$4986,18,FALSE)))</f>
        <v>1</v>
      </c>
      <c r="W2193" s="269" t="str">
        <f ca="1">IF(D2193="","",IF(T2193="","",IF(OR(J2193="巻足し",J2193="巻返しリード付け"),"",IF(J2193="巻返し",VLOOKUP(F2193&amp;K2193&amp;M2193,製品マスタ!$M$5:$AD$5002,18,FALSE),IF(OR(J2193="リード付け",J2193="巻返しリード付け"),"原反コア",IF(J2193="スリット",VLOOKUP(F2193&amp;K2193&amp;R2193,製品マスタ!$N$5:$AD$5002,17,FALSE),""))))))</f>
        <v>原反コア</v>
      </c>
      <c r="X2193" s="269" t="str">
        <f ca="1">IF(D2193="","",IF(T2193="","",IF(J2193="巻足し","",IF(J2193="巻返し",VLOOKUP(F2193&amp;K2193&amp;M2193,製品マスタ!$M$5:$AE$5002,19,FALSE),IF(OR(J2193="リード付け",J2193="巻返しリード付け"),"",IF(J2193="スリット",VLOOKUP(F2193&amp;K2193&amp;R2193,製品マスタ!$N$5:$AE$5002,18,FALSE),""))))))</f>
        <v/>
      </c>
      <c r="Y2193" s="275">
        <f ca="1">IF(D2193="","",IF(T2193="","",VLOOKUP(D2193,契約台帳!$A$3:$Q$4986,17,FALSE)))</f>
        <v>2</v>
      </c>
      <c r="Z2193" s="269" t="str">
        <f ca="1">IF(D2193="","",IF(T2193="","",VLOOKUP(D2193,契約台帳!$A$3:$E$4986,5,FALSE)))</f>
        <v>リンテック㈱</v>
      </c>
      <c r="AA2193" s="57"/>
      <c r="AB2193" s="207">
        <f>IFERROR((VLOOKUP(F2193&amp;K2193&amp;M2193,製品マスタ!$M$5:$AM$5002,27,FALSE)),"")</f>
        <v>0</v>
      </c>
      <c r="AC2193" s="33"/>
      <c r="AD2193" s="189"/>
      <c r="AE2193" s="54"/>
      <c r="AF2193" s="55">
        <f>+M2193*N2193*O2193/1000</f>
        <v>4480</v>
      </c>
      <c r="AG2193" s="43"/>
      <c r="AH2193" s="47"/>
      <c r="AI2193" s="30"/>
      <c r="AJ2193" s="30"/>
      <c r="AK2193" s="30"/>
      <c r="AL2193" s="30"/>
      <c r="AM2193" s="13"/>
      <c r="AN2193" s="13"/>
      <c r="AO2193" s="13"/>
      <c r="AP2193" s="13"/>
      <c r="AQ2193" s="13"/>
      <c r="AR2193" s="14"/>
      <c r="AS2193" s="15"/>
    </row>
    <row r="2194" spans="1:45" s="17" customFormat="1" ht="30.95" hidden="1" customHeight="1" x14ac:dyDescent="0.2">
      <c r="A2194" s="343"/>
      <c r="B2194" s="344"/>
      <c r="C2194" s="345"/>
      <c r="D2194" s="346"/>
      <c r="E2194" s="346"/>
      <c r="F2194" s="268"/>
      <c r="G2194" s="269"/>
      <c r="H2194" s="269"/>
      <c r="I2194" s="270"/>
      <c r="J2194" s="434"/>
      <c r="K2194" s="270"/>
      <c r="L2194" s="270"/>
      <c r="M2194" s="348"/>
      <c r="N2194" s="348"/>
      <c r="O2194" s="435"/>
      <c r="P2194" s="349"/>
      <c r="Q2194" s="350"/>
      <c r="R2194" s="271"/>
      <c r="S2194" s="272"/>
      <c r="T2194" s="273"/>
      <c r="U2194" s="351"/>
      <c r="V2194" s="274"/>
      <c r="W2194" s="269"/>
      <c r="X2194" s="269"/>
      <c r="Y2194" s="275"/>
      <c r="Z2194" s="269"/>
      <c r="AA2194" s="350"/>
      <c r="AB2194" s="207"/>
      <c r="AC2194" s="352"/>
      <c r="AD2194" s="353"/>
      <c r="AE2194" s="54"/>
      <c r="AF2194" s="354"/>
      <c r="AG2194" s="355"/>
      <c r="AH2194" s="349"/>
      <c r="AI2194" s="30"/>
      <c r="AJ2194" s="30"/>
      <c r="AK2194" s="30"/>
      <c r="AL2194" s="30"/>
      <c r="AM2194" s="13"/>
      <c r="AN2194" s="13"/>
      <c r="AO2194" s="13"/>
      <c r="AP2194" s="13"/>
      <c r="AQ2194" s="13"/>
      <c r="AR2194" s="14"/>
      <c r="AS2194" s="15"/>
    </row>
    <row r="2195" spans="1:45" s="17" customFormat="1" ht="30.6" hidden="1" customHeight="1" x14ac:dyDescent="0.2">
      <c r="A2195" s="37"/>
      <c r="B2195" s="38"/>
      <c r="C2195" s="45"/>
      <c r="D2195" s="31">
        <v>3762741</v>
      </c>
      <c r="E2195" s="31">
        <v>4162384</v>
      </c>
      <c r="F2195" s="268" t="str">
        <f>IF(D2195="","",VLOOKUP(D2195,契約台帳!$A$3:$K$4986,6,FALSE)&amp;VLOOKUP(D2195,契約台帳!$A$3:$K$4986,7,FALSE)&amp;VLOOKUP(D2195,契約台帳!$A$3:$K$4986,8,FALSE)&amp;VLOOKUP(D2195,契約台帳!$A$3:$K$4986,9,FALSE)&amp;VLOOKUP(D2195,契約台帳!$A$3:$K$4986,11,FALSE))</f>
        <v>3SYMLBMSSMBF</v>
      </c>
      <c r="G2195" s="269" t="str">
        <f>IF(D2195="","",VLOOKUP(F2195,製品マスタ!$G$5:$H$5002,2,FALSE))</f>
        <v>S</v>
      </c>
      <c r="H2195" s="269" t="str">
        <f>IF(D2195="","",VLOOKUP(F2195,製品マスタ!$G$5:$K$5002,5,FALSE))</f>
        <v>MSSMBF</v>
      </c>
      <c r="I2195" s="270" t="str">
        <f>IF(D2195="","",VLOOKUP(F2195,製品マスタ!$G$5:$L$5002,6,FALSE))</f>
        <v>ＭＥＴＡＬＵＭＹ　ＳＩＬＶＥＲ　Ｓ－ＭＡＴＴＥ　Ｓ２８ＭＭ　Ｂ</v>
      </c>
      <c r="J2195" s="210" t="s">
        <v>935</v>
      </c>
      <c r="K2195" s="270">
        <f>IF(D2195="","",VLOOKUP(D2195,契約台帳!$A$3:$L$4986,12,FALSE))</f>
        <v>50</v>
      </c>
      <c r="L2195" s="270" t="e">
        <f>IF(D2195="","",INDEX(製品マスタ!$Q$5:$Q$5002,MATCH('S4'!F2195&amp;'S4'!K2195,製品マスタ!$AO$5:$AO$5002,0)))</f>
        <v>#N/A</v>
      </c>
      <c r="M2195" s="39">
        <v>1120</v>
      </c>
      <c r="N2195" s="39">
        <v>4000</v>
      </c>
      <c r="O2195" s="156">
        <v>2</v>
      </c>
      <c r="P2195" s="47">
        <v>2</v>
      </c>
      <c r="Q2195" s="213">
        <v>45481</v>
      </c>
      <c r="R2195" s="271">
        <f ca="1">IF(D2195="","",IF(OFFSET(D2195,-1,0)&lt;&gt;"","",IF(OR(J2195="リード付け",J2195="巻足し",J2195="巻返しリード付け"),M2195,VLOOKUP(D2195,契約台帳!$A$3:$N$4986,14,FALSE))))</f>
        <v>1120</v>
      </c>
      <c r="S2195" s="272">
        <f ca="1">IF(D2195="","",IF(OFFSET(D2195,-1,0)&lt;&gt;"","",IF(OR(J2195="リード付け",J2195="巻足し",J2195="巻返しリード付け"),M2195,VLOOKUP(D2195,契約台帳!$A$3:$O$4986,15,FALSE))))</f>
        <v>1120</v>
      </c>
      <c r="T2195" s="273">
        <f ca="1">IF(D2195="","",IF(J2195="リード付け",N2195,IF(J2195="巻返しリード付け",N2195,IF(J2195="巻足し",N2195*P2195+OFFSET(N2195,1,0)*OFFSET(P2195,1,0),VLOOKUP(D2195,契約台帳!$A$3:$P$4986,16,FALSE)))))</f>
        <v>8000</v>
      </c>
      <c r="U2195" s="40">
        <v>1</v>
      </c>
      <c r="V2195" s="274">
        <f ca="1">IF(D2195="","",IF(OFFSET(D2195,-2,0)=D2195,"",VLOOKUP(D2195,契約台帳!$A$3:$R$4986,18,FALSE)))</f>
        <v>2</v>
      </c>
      <c r="W2195" s="269" t="str">
        <f ca="1">IF(D2195="","",IF(T2195="","",IF(OR(J2195="巻足し",J2195="巻返しリード付け"),"",IF(J2195="巻返し",VLOOKUP(F2195&amp;K2195&amp;M2195,製品マスタ!$M$5:$AD$5002,18,FALSE),IF(OR(J2195="リード付け",J2195="巻返しリード付け"),"原反コア",IF(J2195="スリット",VLOOKUP(F2195&amp;K2195&amp;R2195,製品マスタ!$N$5:$AD$5002,17,FALSE),""))))))</f>
        <v/>
      </c>
      <c r="X2195" s="269" t="str">
        <f ca="1">IF(D2195="","",IF(T2195="","",IF(J2195="巻足し","",IF(J2195="巻返し",VLOOKUP(F2195&amp;K2195&amp;M2195,製品マスタ!$M$5:$AE$5002,19,FALSE),IF(OR(J2195="リード付け",J2195="巻返しリード付け"),"",IF(J2195="スリット",VLOOKUP(F2195&amp;K2195&amp;R2195,製品マスタ!$N$5:$AE$5002,18,FALSE),""))))))</f>
        <v/>
      </c>
      <c r="Y2195" s="275">
        <f ca="1">IF(D2195="","",IF(T2195="","",VLOOKUP(D2195,契約台帳!$A$3:$Q$4986,17,FALSE)))</f>
        <v>2</v>
      </c>
      <c r="Z2195" s="269" t="str">
        <f ca="1">IF(D2195="","",IF(T2195="","",VLOOKUP(D2195,契約台帳!$A$3:$E$4986,5,FALSE)))</f>
        <v>リンテック㈱</v>
      </c>
      <c r="AA2195" s="57"/>
      <c r="AB2195" s="207" t="str">
        <f>IFERROR((VLOOKUP(F2195&amp;K2195&amp;M2195,製品マスタ!$M$5:$AM$5002,27,FALSE)),"")</f>
        <v/>
      </c>
      <c r="AC2195" s="33"/>
      <c r="AD2195" s="189"/>
      <c r="AE2195" s="54"/>
      <c r="AF2195" s="55">
        <f>+M2195*N2195*O2195/1000</f>
        <v>8960</v>
      </c>
      <c r="AG2195" s="43"/>
      <c r="AH2195" s="47"/>
      <c r="AI2195" s="30"/>
      <c r="AJ2195" s="30"/>
      <c r="AK2195" s="30"/>
      <c r="AL2195" s="30"/>
      <c r="AM2195" s="13"/>
      <c r="AN2195" s="13"/>
      <c r="AO2195" s="13"/>
      <c r="AP2195" s="13"/>
      <c r="AQ2195" s="13"/>
      <c r="AR2195" s="14"/>
      <c r="AS2195" s="15"/>
    </row>
    <row r="2196" spans="1:45" s="17" customFormat="1" ht="30.95" hidden="1" customHeight="1" x14ac:dyDescent="0.2">
      <c r="A2196" s="343"/>
      <c r="B2196" s="344"/>
      <c r="C2196" s="345"/>
      <c r="D2196" s="346"/>
      <c r="E2196" s="346"/>
      <c r="F2196" s="268"/>
      <c r="G2196" s="269"/>
      <c r="H2196" s="269"/>
      <c r="I2196" s="270"/>
      <c r="J2196" s="434"/>
      <c r="K2196" s="270"/>
      <c r="L2196" s="270"/>
      <c r="M2196" s="348"/>
      <c r="N2196" s="348"/>
      <c r="O2196" s="435"/>
      <c r="P2196" s="349"/>
      <c r="Q2196" s="350"/>
      <c r="R2196" s="271"/>
      <c r="S2196" s="272"/>
      <c r="T2196" s="273"/>
      <c r="U2196" s="351"/>
      <c r="V2196" s="274"/>
      <c r="W2196" s="269"/>
      <c r="X2196" s="269"/>
      <c r="Y2196" s="275"/>
      <c r="Z2196" s="269"/>
      <c r="AA2196" s="350"/>
      <c r="AB2196" s="207"/>
      <c r="AC2196" s="352"/>
      <c r="AD2196" s="353"/>
      <c r="AE2196" s="54"/>
      <c r="AF2196" s="354"/>
      <c r="AG2196" s="355"/>
      <c r="AH2196" s="349"/>
      <c r="AI2196" s="30"/>
      <c r="AJ2196" s="30"/>
      <c r="AK2196" s="30"/>
      <c r="AL2196" s="30"/>
      <c r="AM2196" s="13"/>
      <c r="AN2196" s="13"/>
      <c r="AO2196" s="13"/>
      <c r="AP2196" s="13"/>
      <c r="AQ2196" s="13"/>
      <c r="AR2196" s="14"/>
      <c r="AS2196" s="15"/>
    </row>
    <row r="2197" spans="1:45" s="17" customFormat="1" ht="30.6" hidden="1" customHeight="1" x14ac:dyDescent="0.2">
      <c r="A2197" s="37"/>
      <c r="B2197" s="38"/>
      <c r="C2197" s="45"/>
      <c r="D2197" s="31">
        <v>3762742</v>
      </c>
      <c r="E2197" s="31">
        <v>4162385</v>
      </c>
      <c r="F2197" s="268" t="str">
        <f>IF(D2197="","",VLOOKUP(D2197,契約台帳!$A$3:$K$4986,6,FALSE)&amp;VLOOKUP(D2197,契約台帳!$A$3:$K$4986,7,FALSE)&amp;VLOOKUP(D2197,契約台帳!$A$3:$K$4986,8,FALSE)&amp;VLOOKUP(D2197,契約台帳!$A$3:$K$4986,9,FALSE)&amp;VLOOKUP(D2197,契約台帳!$A$3:$K$4986,11,FALSE))</f>
        <v>3SYMLBMSSMBF</v>
      </c>
      <c r="G2197" s="269" t="str">
        <f>IF(D2197="","",VLOOKUP(F2197,製品マスタ!$G$5:$H$5002,2,FALSE))</f>
        <v>S</v>
      </c>
      <c r="H2197" s="269" t="str">
        <f>IF(D2197="","",VLOOKUP(F2197,製品マスタ!$G$5:$K$5002,5,FALSE))</f>
        <v>MSSMBF</v>
      </c>
      <c r="I2197" s="270" t="str">
        <f>IF(D2197="","",VLOOKUP(F2197,製品マスタ!$G$5:$L$5002,6,FALSE))</f>
        <v>ＭＥＴＡＬＵＭＹ　ＳＩＬＶＥＲ　Ｓ－ＭＡＴＴＥ　Ｓ２８ＭＭ　Ｂ</v>
      </c>
      <c r="J2197" s="210" t="s">
        <v>935</v>
      </c>
      <c r="K2197" s="270">
        <f>IF(D2197="","",VLOOKUP(D2197,契約台帳!$A$3:$L$4986,12,FALSE))</f>
        <v>50</v>
      </c>
      <c r="L2197" s="270" t="e">
        <f>IF(D2197="","",INDEX(製品マスタ!$Q$5:$Q$5002,MATCH('S4'!F2197&amp;'S4'!K2197,製品マスタ!$AO$5:$AO$5002,0)))</f>
        <v>#N/A</v>
      </c>
      <c r="M2197" s="39">
        <v>1120</v>
      </c>
      <c r="N2197" s="39">
        <v>4000</v>
      </c>
      <c r="O2197" s="156">
        <v>6</v>
      </c>
      <c r="P2197" s="47">
        <v>3</v>
      </c>
      <c r="Q2197" s="213">
        <v>45481</v>
      </c>
      <c r="R2197" s="271">
        <f ca="1">IF(D2197="","",IF(OFFSET(D2197,-1,0)&lt;&gt;"","",IF(OR(J2197="リード付け",J2197="巻足し",J2197="巻返しリード付け"),M2197,VLOOKUP(D2197,契約台帳!$A$3:$N$4986,14,FALSE))))</f>
        <v>1120</v>
      </c>
      <c r="S2197" s="272">
        <f ca="1">IF(D2197="","",IF(OFFSET(D2197,-1,0)&lt;&gt;"","",IF(OR(J2197="リード付け",J2197="巻足し",J2197="巻返しリード付け"),M2197,VLOOKUP(D2197,契約台帳!$A$3:$O$4986,15,FALSE))))</f>
        <v>1120</v>
      </c>
      <c r="T2197" s="273">
        <f ca="1">IF(D2197="","",IF(J2197="リード付け",N2197,IF(J2197="巻返しリード付け",N2197,IF(J2197="巻足し",N2197*P2197+OFFSET(N2197,1,0)*OFFSET(P2197,1,0),VLOOKUP(D2197,契約台帳!$A$3:$P$4986,16,FALSE)))))</f>
        <v>12000</v>
      </c>
      <c r="U2197" s="40">
        <v>2</v>
      </c>
      <c r="V2197" s="274">
        <f ca="1">IF(D2197="","",IF(OFFSET(D2197,-2,0)=D2197,"",VLOOKUP(D2197,契約台帳!$A$3:$R$4986,18,FALSE)))</f>
        <v>8</v>
      </c>
      <c r="W2197" s="269" t="str">
        <f ca="1">IF(D2197="","",IF(T2197="","",IF(OR(J2197="巻足し",J2197="巻返しリード付け"),"",IF(J2197="巻返し",VLOOKUP(F2197&amp;K2197&amp;M2197,製品マスタ!$M$5:$AD$5002,18,FALSE),IF(OR(J2197="リード付け",J2197="巻返しリード付け"),"原反コア",IF(J2197="スリット",VLOOKUP(F2197&amp;K2197&amp;R2197,製品マスタ!$N$5:$AD$5002,17,FALSE),""))))))</f>
        <v/>
      </c>
      <c r="X2197" s="269" t="str">
        <f ca="1">IF(D2197="","",IF(T2197="","",IF(J2197="巻足し","",IF(J2197="巻返し",VLOOKUP(F2197&amp;K2197&amp;M2197,製品マスタ!$M$5:$AE$5002,19,FALSE),IF(OR(J2197="リード付け",J2197="巻返しリード付け"),"",IF(J2197="スリット",VLOOKUP(F2197&amp;K2197&amp;R2197,製品マスタ!$N$5:$AE$5002,18,FALSE),""))))))</f>
        <v/>
      </c>
      <c r="Y2197" s="275">
        <f ca="1">IF(D2197="","",IF(T2197="","",VLOOKUP(D2197,契約台帳!$A$3:$Q$4986,17,FALSE)))</f>
        <v>2</v>
      </c>
      <c r="Z2197" s="269" t="str">
        <f ca="1">IF(D2197="","",IF(T2197="","",VLOOKUP(D2197,契約台帳!$A$3:$E$4986,5,FALSE)))</f>
        <v>リンテック㈱</v>
      </c>
      <c r="AA2197" s="57"/>
      <c r="AB2197" s="207" t="str">
        <f>IFERROR((VLOOKUP(F2197&amp;K2197&amp;M2197,製品マスタ!$M$5:$AM$5002,27,FALSE)),"")</f>
        <v/>
      </c>
      <c r="AC2197" s="33"/>
      <c r="AD2197" s="189"/>
      <c r="AE2197" s="54"/>
      <c r="AF2197" s="55">
        <f>+M2197*N2197*O2197/1000</f>
        <v>26880</v>
      </c>
      <c r="AG2197" s="43"/>
      <c r="AH2197" s="47"/>
      <c r="AI2197" s="30"/>
      <c r="AJ2197" s="30"/>
      <c r="AK2197" s="30"/>
      <c r="AL2197" s="30"/>
      <c r="AM2197" s="13"/>
      <c r="AN2197" s="13"/>
      <c r="AO2197" s="13"/>
      <c r="AP2197" s="13"/>
      <c r="AQ2197" s="13"/>
      <c r="AR2197" s="14"/>
      <c r="AS2197" s="15"/>
    </row>
    <row r="2198" spans="1:45" s="17" customFormat="1" ht="30.95" hidden="1" customHeight="1" x14ac:dyDescent="0.2">
      <c r="A2198" s="343"/>
      <c r="B2198" s="344"/>
      <c r="C2198" s="345"/>
      <c r="D2198" s="346"/>
      <c r="E2198" s="346"/>
      <c r="F2198" s="268"/>
      <c r="G2198" s="269"/>
      <c r="H2198" s="269"/>
      <c r="I2198" s="270"/>
      <c r="J2198" s="434"/>
      <c r="K2198" s="270"/>
      <c r="L2198" s="270"/>
      <c r="M2198" s="348"/>
      <c r="N2198" s="348"/>
      <c r="O2198" s="435"/>
      <c r="P2198" s="349"/>
      <c r="Q2198" s="350"/>
      <c r="R2198" s="271"/>
      <c r="S2198" s="272"/>
      <c r="T2198" s="273"/>
      <c r="U2198" s="351"/>
      <c r="V2198" s="274"/>
      <c r="W2198" s="269"/>
      <c r="X2198" s="269"/>
      <c r="Y2198" s="275"/>
      <c r="Z2198" s="269"/>
      <c r="AA2198" s="350"/>
      <c r="AB2198" s="207"/>
      <c r="AC2198" s="352"/>
      <c r="AD2198" s="353"/>
      <c r="AE2198" s="54"/>
      <c r="AF2198" s="354"/>
      <c r="AG2198" s="355"/>
      <c r="AH2198" s="349"/>
      <c r="AI2198" s="30"/>
      <c r="AJ2198" s="30"/>
      <c r="AK2198" s="30"/>
      <c r="AL2198" s="30"/>
      <c r="AM2198" s="13"/>
      <c r="AN2198" s="13"/>
      <c r="AO2198" s="13"/>
      <c r="AP2198" s="13"/>
      <c r="AQ2198" s="13"/>
      <c r="AR2198" s="14"/>
      <c r="AS2198" s="15"/>
    </row>
    <row r="2199" spans="1:45" s="17" customFormat="1" ht="30.6" hidden="1" customHeight="1" x14ac:dyDescent="0.2">
      <c r="A2199" s="37"/>
      <c r="B2199" s="38"/>
      <c r="C2199" s="45"/>
      <c r="D2199" s="31">
        <v>3762742</v>
      </c>
      <c r="E2199" s="31">
        <v>4162385</v>
      </c>
      <c r="F2199" s="268" t="str">
        <f>IF(D2199="","",VLOOKUP(D2199,契約台帳!$A$3:$K$4986,6,FALSE)&amp;VLOOKUP(D2199,契約台帳!$A$3:$K$4986,7,FALSE)&amp;VLOOKUP(D2199,契約台帳!$A$3:$K$4986,8,FALSE)&amp;VLOOKUP(D2199,契約台帳!$A$3:$K$4986,9,FALSE)&amp;VLOOKUP(D2199,契約台帳!$A$3:$K$4986,11,FALSE))</f>
        <v>3SYMLBMSSMBF</v>
      </c>
      <c r="G2199" s="269" t="str">
        <f>IF(D2199="","",VLOOKUP(F2199,製品マスタ!$G$5:$H$5002,2,FALSE))</f>
        <v>S</v>
      </c>
      <c r="H2199" s="269" t="str">
        <f>IF(D2199="","",VLOOKUP(F2199,製品マスタ!$G$5:$K$5002,5,FALSE))</f>
        <v>MSSMBF</v>
      </c>
      <c r="I2199" s="270" t="str">
        <f>IF(D2199="","",VLOOKUP(F2199,製品マスタ!$G$5:$L$5002,6,FALSE))</f>
        <v>ＭＥＴＡＬＵＭＹ　ＳＩＬＶＥＲ　Ｓ－ＭＡＴＴＥ　Ｓ２８ＭＭ　Ｂ</v>
      </c>
      <c r="J2199" s="210" t="s">
        <v>935</v>
      </c>
      <c r="K2199" s="270">
        <f>IF(D2199="","",VLOOKUP(D2199,契約台帳!$A$3:$L$4986,12,FALSE))</f>
        <v>50</v>
      </c>
      <c r="L2199" s="270" t="e">
        <f>IF(D2199="","",INDEX(製品マスタ!$Q$5:$Q$5002,MATCH('S4'!F2199&amp;'S4'!K2199,製品マスタ!$AO$5:$AO$5002,0)))</f>
        <v>#N/A</v>
      </c>
      <c r="M2199" s="39">
        <v>1120</v>
      </c>
      <c r="N2199" s="39">
        <v>4000</v>
      </c>
      <c r="O2199" s="156">
        <v>2</v>
      </c>
      <c r="P2199" s="47">
        <v>2</v>
      </c>
      <c r="Q2199" s="213">
        <v>45481</v>
      </c>
      <c r="R2199" s="271">
        <f ca="1">IF(D2199="","",IF(OFFSET(D2199,-1,0)&lt;&gt;"","",IF(OR(J2199="リード付け",J2199="巻足し",J2199="巻返しリード付け"),M2199,VLOOKUP(D2199,契約台帳!$A$3:$N$4986,14,FALSE))))</f>
        <v>1120</v>
      </c>
      <c r="S2199" s="272">
        <f ca="1">IF(D2199="","",IF(OFFSET(D2199,-1,0)&lt;&gt;"","",IF(OR(J2199="リード付け",J2199="巻足し",J2199="巻返しリード付け"),M2199,VLOOKUP(D2199,契約台帳!$A$3:$O$4986,15,FALSE))))</f>
        <v>1120</v>
      </c>
      <c r="T2199" s="273">
        <f ca="1">IF(D2199="","",IF(J2199="リード付け",N2199,IF(J2199="巻返しリード付け",N2199,IF(J2199="巻足し",N2199*P2199+OFFSET(N2199,1,0)*OFFSET(P2199,1,0),VLOOKUP(D2199,契約台帳!$A$3:$P$4986,16,FALSE)))))</f>
        <v>8000</v>
      </c>
      <c r="U2199" s="40">
        <v>1</v>
      </c>
      <c r="V2199" s="274" t="str">
        <f ca="1">IF(D2199="","",IF(OFFSET(D2199,-2,0)=D2199,"",VLOOKUP(D2199,契約台帳!$A$3:$R$4986,18,FALSE)))</f>
        <v/>
      </c>
      <c r="W2199" s="269" t="str">
        <f ca="1">IF(D2199="","",IF(T2199="","",IF(OR(J2199="巻足し",J2199="巻返しリード付け"),"",IF(J2199="巻返し",VLOOKUP(F2199&amp;K2199&amp;M2199,製品マスタ!$M$5:$AD$5002,18,FALSE),IF(OR(J2199="リード付け",J2199="巻返しリード付け"),"原反コア",IF(J2199="スリット",VLOOKUP(F2199&amp;K2199&amp;R2199,製品マスタ!$N$5:$AD$5002,17,FALSE),""))))))</f>
        <v/>
      </c>
      <c r="X2199" s="269" t="str">
        <f ca="1">IF(D2199="","",IF(T2199="","",IF(J2199="巻足し","",IF(J2199="巻返し",VLOOKUP(F2199&amp;K2199&amp;M2199,製品マスタ!$M$5:$AE$5002,19,FALSE),IF(OR(J2199="リード付け",J2199="巻返しリード付け"),"",IF(J2199="スリット",VLOOKUP(F2199&amp;K2199&amp;R2199,製品マスタ!$N$5:$AE$5002,18,FALSE),""))))))</f>
        <v/>
      </c>
      <c r="Y2199" s="275">
        <f ca="1">IF(D2199="","",IF(T2199="","",VLOOKUP(D2199,契約台帳!$A$3:$Q$4986,17,FALSE)))</f>
        <v>2</v>
      </c>
      <c r="Z2199" s="269" t="str">
        <f ca="1">IF(D2199="","",IF(T2199="","",VLOOKUP(D2199,契約台帳!$A$3:$E$4986,5,FALSE)))</f>
        <v>リンテック㈱</v>
      </c>
      <c r="AA2199" s="57"/>
      <c r="AB2199" s="207" t="str">
        <f>IFERROR((VLOOKUP(F2199&amp;K2199&amp;M2199,製品マスタ!$M$5:$AM$5002,27,FALSE)),"")</f>
        <v/>
      </c>
      <c r="AC2199" s="33"/>
      <c r="AD2199" s="189"/>
      <c r="AE2199" s="54"/>
      <c r="AF2199" s="55">
        <f>+M2199*N2199*O2199/1000</f>
        <v>8960</v>
      </c>
      <c r="AG2199" s="43"/>
      <c r="AH2199" s="47"/>
      <c r="AI2199" s="30"/>
      <c r="AJ2199" s="30"/>
      <c r="AK2199" s="30"/>
      <c r="AL2199" s="30"/>
      <c r="AM2199" s="13"/>
      <c r="AN2199" s="13"/>
      <c r="AO2199" s="13"/>
      <c r="AP2199" s="13"/>
      <c r="AQ2199" s="13"/>
      <c r="AR2199" s="14"/>
      <c r="AS2199" s="15"/>
    </row>
    <row r="2200" spans="1:45" s="17" customFormat="1" ht="30.95" hidden="1" customHeight="1" x14ac:dyDescent="0.2">
      <c r="A2200" s="343"/>
      <c r="B2200" s="344"/>
      <c r="C2200" s="345"/>
      <c r="D2200" s="346"/>
      <c r="E2200" s="346"/>
      <c r="F2200" s="268"/>
      <c r="G2200" s="269"/>
      <c r="H2200" s="269"/>
      <c r="I2200" s="270"/>
      <c r="J2200" s="434"/>
      <c r="K2200" s="270"/>
      <c r="L2200" s="270"/>
      <c r="M2200" s="348"/>
      <c r="N2200" s="348"/>
      <c r="O2200" s="435"/>
      <c r="P2200" s="349"/>
      <c r="Q2200" s="350"/>
      <c r="R2200" s="271"/>
      <c r="S2200" s="272"/>
      <c r="T2200" s="273"/>
      <c r="U2200" s="351"/>
      <c r="V2200" s="274"/>
      <c r="W2200" s="269"/>
      <c r="X2200" s="269"/>
      <c r="Y2200" s="275"/>
      <c r="Z2200" s="269"/>
      <c r="AA2200" s="350"/>
      <c r="AB2200" s="207"/>
      <c r="AC2200" s="352"/>
      <c r="AD2200" s="353"/>
      <c r="AE2200" s="54"/>
      <c r="AF2200" s="354"/>
      <c r="AG2200" s="355"/>
      <c r="AH2200" s="349"/>
      <c r="AI2200" s="30"/>
      <c r="AJ2200" s="30"/>
      <c r="AK2200" s="30"/>
      <c r="AL2200" s="30"/>
      <c r="AM2200" s="13"/>
      <c r="AN2200" s="13"/>
      <c r="AO2200" s="13"/>
      <c r="AP2200" s="13"/>
      <c r="AQ2200" s="13"/>
      <c r="AR2200" s="14"/>
      <c r="AS2200" s="15"/>
    </row>
    <row r="2201" spans="1:45" s="17" customFormat="1" ht="30.6" hidden="1" customHeight="1" x14ac:dyDescent="0.2">
      <c r="A2201" s="37"/>
      <c r="B2201" s="38"/>
      <c r="C2201" s="45"/>
      <c r="D2201" s="31">
        <v>3762744</v>
      </c>
      <c r="E2201" s="31">
        <v>4162386</v>
      </c>
      <c r="F2201" s="268" t="str">
        <f>IF(D2201="","",VLOOKUP(D2201,契約台帳!$A$3:$K$4986,6,FALSE)&amp;VLOOKUP(D2201,契約台帳!$A$3:$K$4986,7,FALSE)&amp;VLOOKUP(D2201,契約台帳!$A$3:$K$4986,8,FALSE)&amp;VLOOKUP(D2201,契約台帳!$A$3:$K$4986,9,FALSE)&amp;VLOOKUP(D2201,契約台帳!$A$3:$K$4986,11,FALSE))</f>
        <v>3SYMLBMSSMBZF</v>
      </c>
      <c r="G2201" s="269" t="str">
        <f>IF(D2201="","",VLOOKUP(F2201,製品マスタ!$G$5:$H$5002,2,FALSE))</f>
        <v>S</v>
      </c>
      <c r="H2201" s="269" t="str">
        <f>IF(D2201="","",VLOOKUP(F2201,製品マスタ!$G$5:$K$5002,5,FALSE))</f>
        <v>MSSMBZF</v>
      </c>
      <c r="I2201" s="270" t="str">
        <f>IF(D2201="","",VLOOKUP(F2201,製品マスタ!$G$5:$L$5002,6,FALSE))</f>
        <v>ＭＥＴＡＬＵＭＹ　ＳＩＬＶＥＲ　Ｓ－ＭＡＴＴＥ　Ｂ</v>
      </c>
      <c r="J2201" s="210" t="s">
        <v>935</v>
      </c>
      <c r="K2201" s="270">
        <f>IF(D2201="","",VLOOKUP(D2201,契約台帳!$A$3:$L$4986,12,FALSE))</f>
        <v>50</v>
      </c>
      <c r="L2201" s="270" t="str">
        <f>IF(D2201="","",INDEX(製品マスタ!$Q$5:$Q$5002,MATCH('S4'!F2201&amp;'S4'!K2201,製品マスタ!$AO$5:$AO$5002,0)))</f>
        <v>LI-MAT</v>
      </c>
      <c r="M2201" s="39">
        <v>1120</v>
      </c>
      <c r="N2201" s="39">
        <v>4000</v>
      </c>
      <c r="O2201" s="156">
        <v>6</v>
      </c>
      <c r="P2201" s="47">
        <v>3</v>
      </c>
      <c r="Q2201" s="213">
        <v>45481</v>
      </c>
      <c r="R2201" s="271">
        <f ca="1">IF(D2201="","",IF(OFFSET(D2201,-1,0)&lt;&gt;"","",IF(OR(J2201="リード付け",J2201="巻足し",J2201="巻返しリード付け"),M2201,VLOOKUP(D2201,契約台帳!$A$3:$N$4986,14,FALSE))))</f>
        <v>1120</v>
      </c>
      <c r="S2201" s="272">
        <f ca="1">IF(D2201="","",IF(OFFSET(D2201,-1,0)&lt;&gt;"","",IF(OR(J2201="リード付け",J2201="巻足し",J2201="巻返しリード付け"),M2201,VLOOKUP(D2201,契約台帳!$A$3:$O$4986,15,FALSE))))</f>
        <v>1120</v>
      </c>
      <c r="T2201" s="273">
        <f ca="1">IF(D2201="","",IF(J2201="リード付け",N2201,IF(J2201="巻返しリード付け",N2201,IF(J2201="巻足し",N2201*P2201+OFFSET(N2201,1,0)*OFFSET(P2201,1,0),VLOOKUP(D2201,契約台帳!$A$3:$P$4986,16,FALSE)))))</f>
        <v>12000</v>
      </c>
      <c r="U2201" s="40">
        <v>2</v>
      </c>
      <c r="V2201" s="274">
        <f ca="1">IF(D2201="","",IF(OFFSET(D2201,-2,0)=D2201,"",VLOOKUP(D2201,契約台帳!$A$3:$R$4986,18,FALSE)))</f>
        <v>6</v>
      </c>
      <c r="W2201" s="269" t="str">
        <f ca="1">IF(D2201="","",IF(T2201="","",IF(OR(J2201="巻足し",J2201="巻返しリード付け"),"",IF(J2201="巻返し",VLOOKUP(F2201&amp;K2201&amp;M2201,製品マスタ!$M$5:$AD$5002,18,FALSE),IF(OR(J2201="リード付け",J2201="巻返しリード付け"),"原反コア",IF(J2201="スリット",VLOOKUP(F2201&amp;K2201&amp;R2201,製品マスタ!$N$5:$AD$5002,17,FALSE),""))))))</f>
        <v/>
      </c>
      <c r="X2201" s="269" t="str">
        <f ca="1">IF(D2201="","",IF(T2201="","",IF(J2201="巻足し","",IF(J2201="巻返し",VLOOKUP(F2201&amp;K2201&amp;M2201,製品マスタ!$M$5:$AE$5002,19,FALSE),IF(OR(J2201="リード付け",J2201="巻返しリード付け"),"",IF(J2201="スリット",VLOOKUP(F2201&amp;K2201&amp;R2201,製品マスタ!$N$5:$AE$5002,18,FALSE),""))))))</f>
        <v/>
      </c>
      <c r="Y2201" s="275">
        <f ca="1">IF(D2201="","",IF(T2201="","",VLOOKUP(D2201,契約台帳!$A$3:$Q$4986,17,FALSE)))</f>
        <v>2</v>
      </c>
      <c r="Z2201" s="269" t="str">
        <f ca="1">IF(D2201="","",IF(T2201="","",VLOOKUP(D2201,契約台帳!$A$3:$E$4986,5,FALSE)))</f>
        <v>リンテック㈱</v>
      </c>
      <c r="AA2201" s="57"/>
      <c r="AB2201" s="207">
        <f>IFERROR((VLOOKUP(F2201&amp;K2201&amp;M2201,製品マスタ!$M$5:$AM$5002,27,FALSE)),"")</f>
        <v>0</v>
      </c>
      <c r="AC2201" s="33"/>
      <c r="AD2201" s="189"/>
      <c r="AE2201" s="54"/>
      <c r="AF2201" s="55">
        <f>+M2201*N2201*O2201/1000</f>
        <v>26880</v>
      </c>
      <c r="AG2201" s="43"/>
      <c r="AH2201" s="47"/>
      <c r="AI2201" s="30"/>
      <c r="AJ2201" s="30"/>
      <c r="AK2201" s="30"/>
      <c r="AL2201" s="30"/>
      <c r="AM2201" s="13"/>
      <c r="AN2201" s="13"/>
      <c r="AO2201" s="13"/>
      <c r="AP2201" s="13"/>
      <c r="AQ2201" s="13"/>
      <c r="AR2201" s="14"/>
      <c r="AS2201" s="15"/>
    </row>
    <row r="2202" spans="1:45" s="17" customFormat="1" ht="30.95" hidden="1" customHeight="1" x14ac:dyDescent="0.2">
      <c r="A2202" s="343"/>
      <c r="B2202" s="344"/>
      <c r="C2202" s="345"/>
      <c r="D2202" s="346"/>
      <c r="E2202" s="346"/>
      <c r="F2202" s="268"/>
      <c r="G2202" s="269"/>
      <c r="H2202" s="269"/>
      <c r="I2202" s="270"/>
      <c r="J2202" s="434"/>
      <c r="K2202" s="270"/>
      <c r="L2202" s="270"/>
      <c r="M2202" s="348"/>
      <c r="N2202" s="348"/>
      <c r="O2202" s="435"/>
      <c r="P2202" s="349"/>
      <c r="Q2202" s="350"/>
      <c r="R2202" s="271"/>
      <c r="S2202" s="272"/>
      <c r="T2202" s="273"/>
      <c r="U2202" s="351"/>
      <c r="V2202" s="274"/>
      <c r="W2202" s="269"/>
      <c r="X2202" s="269"/>
      <c r="Y2202" s="275"/>
      <c r="Z2202" s="269"/>
      <c r="AA2202" s="350"/>
      <c r="AB2202" s="207"/>
      <c r="AC2202" s="352"/>
      <c r="AD2202" s="353"/>
      <c r="AE2202" s="54"/>
      <c r="AF2202" s="354"/>
      <c r="AG2202" s="355"/>
      <c r="AH2202" s="349"/>
      <c r="AI2202" s="30"/>
      <c r="AJ2202" s="30"/>
      <c r="AK2202" s="30"/>
      <c r="AL2202" s="30"/>
      <c r="AM2202" s="13"/>
      <c r="AN2202" s="13"/>
      <c r="AO2202" s="13"/>
      <c r="AP2202" s="13"/>
      <c r="AQ2202" s="13"/>
      <c r="AR2202" s="14"/>
      <c r="AS2202" s="15"/>
    </row>
    <row r="2203" spans="1:45" s="17" customFormat="1" ht="30.6" hidden="1" customHeight="1" x14ac:dyDescent="0.2">
      <c r="A2203" s="37" t="s">
        <v>1272</v>
      </c>
      <c r="B2203" s="38" t="s">
        <v>442</v>
      </c>
      <c r="C2203" s="45"/>
      <c r="D2203" s="31">
        <v>3762732</v>
      </c>
      <c r="E2203" s="31">
        <v>4162377</v>
      </c>
      <c r="F2203" s="268" t="str">
        <f>IF(D2203="","",VLOOKUP(D2203,契約台帳!$A$3:$K$4986,6,FALSE)&amp;VLOOKUP(D2203,契約台帳!$A$3:$K$4986,7,FALSE)&amp;VLOOKUP(D2203,契約台帳!$A$3:$K$4986,8,FALSE)&amp;VLOOKUP(D2203,契約台帳!$A$3:$K$4986,9,FALSE)&amp;VLOOKUP(D2203,契約台帳!$A$3:$K$4986,11,FALSE))</f>
        <v>3SNMLBMNGTBF</v>
      </c>
      <c r="G2203" s="269" t="str">
        <f>IF(D2203="","",VLOOKUP(F2203,製品マスタ!$G$5:$H$5002,2,FALSE))</f>
        <v>S</v>
      </c>
      <c r="H2203" s="269" t="str">
        <f>IF(D2203="","",VLOOKUP(F2203,製品マスタ!$G$5:$K$5002,5,FALSE))</f>
        <v>MNGTBF</v>
      </c>
      <c r="I2203" s="270" t="str">
        <f>IF(D2203="","",VLOOKUP(F2203,製品マスタ!$G$5:$L$5002,6,FALSE))</f>
        <v>メタルミー　ネーマー　銀艶　Ｂ</v>
      </c>
      <c r="J2203" s="210" t="s">
        <v>935</v>
      </c>
      <c r="K2203" s="270">
        <f>IF(D2203="","",VLOOKUP(D2203,契約台帳!$A$3:$L$4986,12,FALSE))</f>
        <v>50</v>
      </c>
      <c r="L2203" s="270" t="str">
        <f>IF(D2203="","",INDEX(製品マスタ!$Q$5:$Q$5002,MATCH('S4'!F2203&amp;'S4'!K2203,製品マスタ!$AO$5:$AO$5002,0)))</f>
        <v>T62</v>
      </c>
      <c r="M2203" s="39">
        <v>1120</v>
      </c>
      <c r="N2203" s="39">
        <v>5000</v>
      </c>
      <c r="O2203" s="156">
        <v>18</v>
      </c>
      <c r="P2203" s="47">
        <v>2</v>
      </c>
      <c r="Q2203" s="213">
        <v>45482</v>
      </c>
      <c r="R2203" s="271">
        <f ca="1">IF(D2203="","",IF(OFFSET(D2203,-1,0)&lt;&gt;"","",IF(OR(J2203="リード付け",J2203="巻足し",J2203="巻返しリード付け"),M2203,VLOOKUP(D2203,契約台帳!$A$3:$N$4986,14,FALSE))))</f>
        <v>1120</v>
      </c>
      <c r="S2203" s="272">
        <f ca="1">IF(D2203="","",IF(OFFSET(D2203,-1,0)&lt;&gt;"","",IF(OR(J2203="リード付け",J2203="巻足し",J2203="巻返しリード付け"),M2203,VLOOKUP(D2203,契約台帳!$A$3:$O$4986,15,FALSE))))</f>
        <v>1120</v>
      </c>
      <c r="T2203" s="273">
        <f ca="1">IF(D2203="","",IF(J2203="リード付け",N2203,IF(J2203="巻返しリード付け",N2203,IF(J2203="巻足し",N2203*P2203+OFFSET(N2203,1,0)*OFFSET(P2203,1,0),VLOOKUP(D2203,契約台帳!$A$3:$P$4986,16,FALSE)))))</f>
        <v>10000</v>
      </c>
      <c r="U2203" s="40">
        <v>9</v>
      </c>
      <c r="V2203" s="274">
        <f ca="1">IF(D2203="","",IF(OFFSET(D2203,-2,0)=D2203,"",VLOOKUP(D2203,契約台帳!$A$3:$R$4986,18,FALSE)))</f>
        <v>32</v>
      </c>
      <c r="W2203" s="269" t="str">
        <f ca="1">IF(D2203="","",IF(T2203="","",IF(OR(J2203="巻足し",J2203="巻返しリード付け"),"",IF(J2203="巻返し",VLOOKUP(F2203&amp;K2203&amp;M2203,製品マスタ!$M$5:$AD$5002,18,FALSE),IF(OR(J2203="リード付け",J2203="巻返しリード付け"),"原反コア",IF(J2203="スリット",VLOOKUP(F2203&amp;K2203&amp;R2203,製品マスタ!$N$5:$AD$5002,17,FALSE),""))))))</f>
        <v/>
      </c>
      <c r="X2203" s="269" t="str">
        <f ca="1">IF(D2203="","",IF(T2203="","",IF(J2203="巻足し","",IF(J2203="巻返し",VLOOKUP(F2203&amp;K2203&amp;M2203,製品マスタ!$M$5:$AE$5002,19,FALSE),IF(OR(J2203="リード付け",J2203="巻返しリード付け"),"",IF(J2203="スリット",VLOOKUP(F2203&amp;K2203&amp;R2203,製品マスタ!$N$5:$AE$5002,18,FALSE),""))))))</f>
        <v/>
      </c>
      <c r="Y2203" s="275">
        <f ca="1">IF(D2203="","",IF(T2203="","",VLOOKUP(D2203,契約台帳!$A$3:$Q$4986,17,FALSE)))</f>
        <v>2</v>
      </c>
      <c r="Z2203" s="269" t="str">
        <f ca="1">IF(D2203="","",IF(T2203="","",VLOOKUP(D2203,契約台帳!$A$3:$E$4986,5,FALSE)))</f>
        <v>リンテック㈱</v>
      </c>
      <c r="AA2203" s="57"/>
      <c r="AB2203" s="207" t="str">
        <f>IFERROR((VLOOKUP(F2203&amp;K2203&amp;M2203,製品マスタ!$M$5:$AM$5002,27,FALSE)),"")</f>
        <v>原反ケース再利用</v>
      </c>
      <c r="AC2203" s="33"/>
      <c r="AD2203" s="189"/>
      <c r="AE2203" s="54"/>
      <c r="AF2203" s="55">
        <f>+M2203*N2203*O2203/1000</f>
        <v>100800</v>
      </c>
      <c r="AG2203" s="43"/>
      <c r="AH2203" s="47"/>
      <c r="AI2203" s="30"/>
      <c r="AJ2203" s="30"/>
      <c r="AK2203" s="30"/>
      <c r="AL2203" s="30"/>
      <c r="AM2203" s="13"/>
      <c r="AN2203" s="13"/>
      <c r="AO2203" s="13"/>
      <c r="AP2203" s="13"/>
      <c r="AQ2203" s="13"/>
      <c r="AR2203" s="14"/>
      <c r="AS2203" s="15"/>
    </row>
    <row r="2204" spans="1:45" s="17" customFormat="1" ht="30.95" hidden="1" customHeight="1" x14ac:dyDescent="0.2">
      <c r="A2204" s="343"/>
      <c r="B2204" s="344"/>
      <c r="C2204" s="345"/>
      <c r="D2204" s="346"/>
      <c r="E2204" s="346"/>
      <c r="F2204" s="268"/>
      <c r="G2204" s="269"/>
      <c r="H2204" s="269"/>
      <c r="I2204" s="270"/>
      <c r="J2204" s="434"/>
      <c r="K2204" s="270"/>
      <c r="L2204" s="270"/>
      <c r="M2204" s="348"/>
      <c r="N2204" s="348"/>
      <c r="O2204" s="435"/>
      <c r="P2204" s="349"/>
      <c r="Q2204" s="350"/>
      <c r="R2204" s="271"/>
      <c r="S2204" s="272"/>
      <c r="T2204" s="273"/>
      <c r="U2204" s="351"/>
      <c r="V2204" s="274"/>
      <c r="W2204" s="269"/>
      <c r="X2204" s="269"/>
      <c r="Y2204" s="275"/>
      <c r="Z2204" s="269"/>
      <c r="AA2204" s="350"/>
      <c r="AB2204" s="207"/>
      <c r="AC2204" s="352"/>
      <c r="AD2204" s="353"/>
      <c r="AE2204" s="54"/>
      <c r="AF2204" s="354"/>
      <c r="AG2204" s="355"/>
      <c r="AH2204" s="349"/>
      <c r="AI2204" s="30"/>
      <c r="AJ2204" s="30"/>
      <c r="AK2204" s="30"/>
      <c r="AL2204" s="30"/>
      <c r="AM2204" s="13"/>
      <c r="AN2204" s="13"/>
      <c r="AO2204" s="13"/>
      <c r="AP2204" s="13"/>
      <c r="AQ2204" s="13"/>
      <c r="AR2204" s="14"/>
      <c r="AS2204" s="15"/>
    </row>
    <row r="2205" spans="1:45" s="17" customFormat="1" ht="30.6" hidden="1" customHeight="1" x14ac:dyDescent="0.2">
      <c r="A2205" s="37" t="s">
        <v>509</v>
      </c>
      <c r="B2205" s="38" t="s">
        <v>443</v>
      </c>
      <c r="C2205" s="45"/>
      <c r="D2205" s="31">
        <v>3762732</v>
      </c>
      <c r="E2205" s="31">
        <v>4162377</v>
      </c>
      <c r="F2205" s="268" t="str">
        <f>IF(D2205="","",VLOOKUP(D2205,契約台帳!$A$3:$K$4986,6,FALSE)&amp;VLOOKUP(D2205,契約台帳!$A$3:$K$4986,7,FALSE)&amp;VLOOKUP(D2205,契約台帳!$A$3:$K$4986,8,FALSE)&amp;VLOOKUP(D2205,契約台帳!$A$3:$K$4986,9,FALSE)&amp;VLOOKUP(D2205,契約台帳!$A$3:$K$4986,11,FALSE))</f>
        <v>3SNMLBMNGTBF</v>
      </c>
      <c r="G2205" s="269" t="str">
        <f>IF(D2205="","",VLOOKUP(F2205,製品マスタ!$G$5:$H$5002,2,FALSE))</f>
        <v>S</v>
      </c>
      <c r="H2205" s="269" t="str">
        <f>IF(D2205="","",VLOOKUP(F2205,製品マスタ!$G$5:$K$5002,5,FALSE))</f>
        <v>MNGTBF</v>
      </c>
      <c r="I2205" s="270" t="str">
        <f>IF(D2205="","",VLOOKUP(F2205,製品マスタ!$G$5:$L$5002,6,FALSE))</f>
        <v>メタルミー　ネーマー　銀艶　Ｂ</v>
      </c>
      <c r="J2205" s="210" t="s">
        <v>935</v>
      </c>
      <c r="K2205" s="270">
        <f>IF(D2205="","",VLOOKUP(D2205,契約台帳!$A$3:$L$4986,12,FALSE))</f>
        <v>50</v>
      </c>
      <c r="L2205" s="270" t="str">
        <f>IF(D2205="","",INDEX(製品マスタ!$Q$5:$Q$5002,MATCH('S4'!F2205&amp;'S4'!K2205,製品マスタ!$AO$5:$AO$5002,0)))</f>
        <v>T62</v>
      </c>
      <c r="M2205" s="39">
        <v>1120</v>
      </c>
      <c r="N2205" s="39">
        <v>5000</v>
      </c>
      <c r="O2205" s="156">
        <v>14</v>
      </c>
      <c r="P2205" s="47">
        <v>2</v>
      </c>
      <c r="Q2205" s="213">
        <v>45482</v>
      </c>
      <c r="R2205" s="271">
        <f ca="1">IF(D2205="","",IF(OFFSET(D2205,-1,0)&lt;&gt;"","",IF(OR(J2205="リード付け",J2205="巻足し",J2205="巻返しリード付け"),M2205,VLOOKUP(D2205,契約台帳!$A$3:$N$4986,14,FALSE))))</f>
        <v>1120</v>
      </c>
      <c r="S2205" s="272">
        <f ca="1">IF(D2205="","",IF(OFFSET(D2205,-1,0)&lt;&gt;"","",IF(OR(J2205="リード付け",J2205="巻足し",J2205="巻返しリード付け"),M2205,VLOOKUP(D2205,契約台帳!$A$3:$O$4986,15,FALSE))))</f>
        <v>1120</v>
      </c>
      <c r="T2205" s="273">
        <f ca="1">IF(D2205="","",IF(J2205="リード付け",N2205,IF(J2205="巻返しリード付け",N2205,IF(J2205="巻足し",N2205*P2205+OFFSET(N2205,1,0)*OFFSET(P2205,1,0),VLOOKUP(D2205,契約台帳!$A$3:$P$4986,16,FALSE)))))</f>
        <v>10000</v>
      </c>
      <c r="U2205" s="40">
        <v>7</v>
      </c>
      <c r="V2205" s="274" t="str">
        <f ca="1">IF(D2205="","",IF(OFFSET(D2205,-2,0)=D2205,"",VLOOKUP(D2205,契約台帳!$A$3:$R$4986,18,FALSE)))</f>
        <v/>
      </c>
      <c r="W2205" s="269" t="str">
        <f ca="1">IF(D2205="","",IF(T2205="","",IF(OR(J2205="巻足し",J2205="巻返しリード付け"),"",IF(J2205="巻返し",VLOOKUP(F2205&amp;K2205&amp;M2205,製品マスタ!$M$5:$AD$5002,18,FALSE),IF(OR(J2205="リード付け",J2205="巻返しリード付け"),"原反コア",IF(J2205="スリット",VLOOKUP(F2205&amp;K2205&amp;R2205,製品マスタ!$N$5:$AD$5002,17,FALSE),""))))))</f>
        <v/>
      </c>
      <c r="X2205" s="269" t="str">
        <f ca="1">IF(D2205="","",IF(T2205="","",IF(J2205="巻足し","",IF(J2205="巻返し",VLOOKUP(F2205&amp;K2205&amp;M2205,製品マスタ!$M$5:$AE$5002,19,FALSE),IF(OR(J2205="リード付け",J2205="巻返しリード付け"),"",IF(J2205="スリット",VLOOKUP(F2205&amp;K2205&amp;R2205,製品マスタ!$N$5:$AE$5002,18,FALSE),""))))))</f>
        <v/>
      </c>
      <c r="Y2205" s="275">
        <f ca="1">IF(D2205="","",IF(T2205="","",VLOOKUP(D2205,契約台帳!$A$3:$Q$4986,17,FALSE)))</f>
        <v>2</v>
      </c>
      <c r="Z2205" s="269" t="str">
        <f ca="1">IF(D2205="","",IF(T2205="","",VLOOKUP(D2205,契約台帳!$A$3:$E$4986,5,FALSE)))</f>
        <v>リンテック㈱</v>
      </c>
      <c r="AA2205" s="57"/>
      <c r="AB2205" s="207" t="str">
        <f>IFERROR((VLOOKUP(F2205&amp;K2205&amp;M2205,製品マスタ!$M$5:$AM$5002,27,FALSE)),"")</f>
        <v>原反ケース再利用</v>
      </c>
      <c r="AC2205" s="33"/>
      <c r="AD2205" s="189"/>
      <c r="AE2205" s="54"/>
      <c r="AF2205" s="55">
        <f>+M2205*N2205*O2205/1000</f>
        <v>78400</v>
      </c>
      <c r="AG2205" s="43"/>
      <c r="AH2205" s="47"/>
      <c r="AI2205" s="30"/>
      <c r="AJ2205" s="30"/>
      <c r="AK2205" s="30"/>
      <c r="AL2205" s="30"/>
      <c r="AM2205" s="13"/>
      <c r="AN2205" s="13"/>
      <c r="AO2205" s="13"/>
      <c r="AP2205" s="13"/>
      <c r="AQ2205" s="13"/>
      <c r="AR2205" s="14"/>
      <c r="AS2205" s="15"/>
    </row>
    <row r="2206" spans="1:45" s="17" customFormat="1" ht="30.95" hidden="1" customHeight="1" x14ac:dyDescent="0.2">
      <c r="A2206" s="343"/>
      <c r="B2206" s="344"/>
      <c r="C2206" s="345"/>
      <c r="D2206" s="346"/>
      <c r="E2206" s="346"/>
      <c r="F2206" s="268"/>
      <c r="G2206" s="269"/>
      <c r="H2206" s="269"/>
      <c r="I2206" s="270"/>
      <c r="J2206" s="434"/>
      <c r="K2206" s="270"/>
      <c r="L2206" s="270"/>
      <c r="M2206" s="348"/>
      <c r="N2206" s="348"/>
      <c r="O2206" s="435"/>
      <c r="P2206" s="349"/>
      <c r="Q2206" s="350"/>
      <c r="R2206" s="271"/>
      <c r="S2206" s="272"/>
      <c r="T2206" s="273"/>
      <c r="U2206" s="351"/>
      <c r="V2206" s="274"/>
      <c r="W2206" s="269"/>
      <c r="X2206" s="269"/>
      <c r="Y2206" s="275"/>
      <c r="Z2206" s="269"/>
      <c r="AA2206" s="350"/>
      <c r="AB2206" s="207"/>
      <c r="AC2206" s="352"/>
      <c r="AD2206" s="353"/>
      <c r="AE2206" s="54"/>
      <c r="AF2206" s="354"/>
      <c r="AG2206" s="355"/>
      <c r="AH2206" s="349"/>
      <c r="AI2206" s="30"/>
      <c r="AJ2206" s="30"/>
      <c r="AK2206" s="30"/>
      <c r="AL2206" s="30"/>
      <c r="AM2206" s="13"/>
      <c r="AN2206" s="13"/>
      <c r="AO2206" s="13"/>
      <c r="AP2206" s="13"/>
      <c r="AQ2206" s="13"/>
      <c r="AR2206" s="14"/>
      <c r="AS2206" s="15"/>
    </row>
    <row r="2207" spans="1:45" s="17" customFormat="1" ht="30.6" hidden="1" customHeight="1" x14ac:dyDescent="0.2">
      <c r="A2207" s="37"/>
      <c r="B2207" s="38"/>
      <c r="C2207" s="45"/>
      <c r="D2207" s="31">
        <v>3762734</v>
      </c>
      <c r="E2207" s="31">
        <v>4162378</v>
      </c>
      <c r="F2207" s="268" t="str">
        <f>IF(D2207="","",VLOOKUP(D2207,契約台帳!$A$3:$K$4986,6,FALSE)&amp;VLOOKUP(D2207,契約台帳!$A$3:$K$4986,7,FALSE)&amp;VLOOKUP(D2207,契約台帳!$A$3:$K$4986,8,FALSE)&amp;VLOOKUP(D2207,契約台帳!$A$3:$K$4986,9,FALSE)&amp;VLOOKUP(D2207,契約台帳!$A$3:$K$4986,11,FALSE))</f>
        <v>3SNMLBMNNGKBF</v>
      </c>
      <c r="G2207" s="269" t="str">
        <f>IF(D2207="","",VLOOKUP(F2207,製品マスタ!$G$5:$H$5002,2,FALSE))</f>
        <v>S</v>
      </c>
      <c r="H2207" s="269" t="str">
        <f>IF(D2207="","",VLOOKUP(F2207,製品マスタ!$G$5:$K$5002,5,FALSE))</f>
        <v>MNNGKBF</v>
      </c>
      <c r="I2207" s="270" t="str">
        <f>IF(D2207="","",VLOOKUP(F2207,製品マスタ!$G$5:$L$5002,6,FALSE))</f>
        <v>メタルミー　ニューネーマー銀消　Ｂ</v>
      </c>
      <c r="J2207" s="210" t="s">
        <v>935</v>
      </c>
      <c r="K2207" s="270">
        <f>IF(D2207="","",VLOOKUP(D2207,契約台帳!$A$3:$L$4986,12,FALSE))</f>
        <v>50</v>
      </c>
      <c r="L2207" s="270" t="str">
        <f>IF(D2207="","",INDEX(製品マスタ!$Q$5:$Q$5002,MATCH('S4'!F2207&amp;'S4'!K2207,製品マスタ!$AO$5:$AO$5002,0)))</f>
        <v>X44</v>
      </c>
      <c r="M2207" s="39">
        <v>1000</v>
      </c>
      <c r="N2207" s="39">
        <v>4000</v>
      </c>
      <c r="O2207" s="156">
        <v>3</v>
      </c>
      <c r="P2207" s="47">
        <v>3</v>
      </c>
      <c r="Q2207" s="213">
        <v>45483</v>
      </c>
      <c r="R2207" s="271">
        <f ca="1">IF(D2207="","",IF(OFFSET(D2207,-1,0)&lt;&gt;"","",IF(OR(J2207="リード付け",J2207="巻足し",J2207="巻返しリード付け"),M2207,VLOOKUP(D2207,契約台帳!$A$3:$N$4986,14,FALSE))))</f>
        <v>1000</v>
      </c>
      <c r="S2207" s="272">
        <f ca="1">IF(D2207="","",IF(OFFSET(D2207,-1,0)&lt;&gt;"","",IF(OR(J2207="リード付け",J2207="巻足し",J2207="巻返しリード付け"),M2207,VLOOKUP(D2207,契約台帳!$A$3:$O$4986,15,FALSE))))</f>
        <v>1000</v>
      </c>
      <c r="T2207" s="273">
        <f ca="1">IF(D2207="","",IF(J2207="リード付け",N2207,IF(J2207="巻返しリード付け",N2207,IF(J2207="巻足し",N2207*P2207+OFFSET(N2207,1,0)*OFFSET(P2207,1,0),VLOOKUP(D2207,契約台帳!$A$3:$P$4986,16,FALSE)))))</f>
        <v>12000</v>
      </c>
      <c r="U2207" s="40">
        <v>1</v>
      </c>
      <c r="V2207" s="274">
        <f ca="1">IF(D2207="","",IF(OFFSET(D2207,-2,0)=D2207,"",VLOOKUP(D2207,契約台帳!$A$3:$R$4986,18,FALSE)))</f>
        <v>21</v>
      </c>
      <c r="W2207" s="269" t="str">
        <f ca="1">IF(D2207="","",IF(T2207="","",IF(OR(J2207="巻足し",J2207="巻返しリード付け"),"",IF(J2207="巻返し",VLOOKUP(F2207&amp;K2207&amp;M2207,製品マスタ!$M$5:$AD$5002,18,FALSE),IF(OR(J2207="リード付け",J2207="巻返しリード付け"),"原反コア",IF(J2207="スリット",VLOOKUP(F2207&amp;K2207&amp;R2207,製品マスタ!$N$5:$AD$5002,17,FALSE),""))))))</f>
        <v/>
      </c>
      <c r="X2207" s="269" t="str">
        <f ca="1">IF(D2207="","",IF(T2207="","",IF(J2207="巻足し","",IF(J2207="巻返し",VLOOKUP(F2207&amp;K2207&amp;M2207,製品マスタ!$M$5:$AE$5002,19,FALSE),IF(OR(J2207="リード付け",J2207="巻返しリード付け"),"",IF(J2207="スリット",VLOOKUP(F2207&amp;K2207&amp;R2207,製品マスタ!$N$5:$AE$5002,18,FALSE),""))))))</f>
        <v/>
      </c>
      <c r="Y2207" s="275">
        <f ca="1">IF(D2207="","",IF(T2207="","",VLOOKUP(D2207,契約台帳!$A$3:$Q$4986,17,FALSE)))</f>
        <v>2</v>
      </c>
      <c r="Z2207" s="269" t="str">
        <f ca="1">IF(D2207="","",IF(T2207="","",VLOOKUP(D2207,契約台帳!$A$3:$E$4986,5,FALSE)))</f>
        <v>リンテック㈱</v>
      </c>
      <c r="AA2207" s="57"/>
      <c r="AB2207" s="207" t="str">
        <f>IFERROR((VLOOKUP(F2207&amp;K2207&amp;M2207,製品マスタ!$M$5:$AM$5002,27,FALSE)),"")</f>
        <v>原反ケース再利用</v>
      </c>
      <c r="AC2207" s="33"/>
      <c r="AD2207" s="189"/>
      <c r="AE2207" s="54"/>
      <c r="AF2207" s="55">
        <f>+M2207*N2207*O2207/1000</f>
        <v>12000</v>
      </c>
      <c r="AG2207" s="43"/>
      <c r="AH2207" s="47"/>
      <c r="AI2207" s="30"/>
      <c r="AJ2207" s="30"/>
      <c r="AK2207" s="30"/>
      <c r="AL2207" s="30"/>
      <c r="AM2207" s="13"/>
      <c r="AN2207" s="13"/>
      <c r="AO2207" s="13"/>
      <c r="AP2207" s="13"/>
      <c r="AQ2207" s="13"/>
      <c r="AR2207" s="14"/>
      <c r="AS2207" s="15"/>
    </row>
    <row r="2208" spans="1:45" s="17" customFormat="1" ht="30.95" hidden="1" customHeight="1" x14ac:dyDescent="0.2">
      <c r="A2208" s="343"/>
      <c r="B2208" s="344"/>
      <c r="C2208" s="345"/>
      <c r="D2208" s="346"/>
      <c r="E2208" s="346"/>
      <c r="F2208" s="268"/>
      <c r="G2208" s="269"/>
      <c r="H2208" s="269"/>
      <c r="I2208" s="270"/>
      <c r="J2208" s="434"/>
      <c r="K2208" s="270"/>
      <c r="L2208" s="270"/>
      <c r="M2208" s="348"/>
      <c r="N2208" s="348"/>
      <c r="O2208" s="435"/>
      <c r="P2208" s="349"/>
      <c r="Q2208" s="350"/>
      <c r="R2208" s="271"/>
      <c r="S2208" s="272"/>
      <c r="T2208" s="273"/>
      <c r="U2208" s="351"/>
      <c r="V2208" s="274"/>
      <c r="W2208" s="269"/>
      <c r="X2208" s="269"/>
      <c r="Y2208" s="275"/>
      <c r="Z2208" s="269"/>
      <c r="AA2208" s="350"/>
      <c r="AB2208" s="207"/>
      <c r="AC2208" s="352"/>
      <c r="AD2208" s="353"/>
      <c r="AE2208" s="54"/>
      <c r="AF2208" s="354"/>
      <c r="AG2208" s="355"/>
      <c r="AH2208" s="349"/>
      <c r="AI2208" s="30"/>
      <c r="AJ2208" s="30"/>
      <c r="AK2208" s="30"/>
      <c r="AL2208" s="30"/>
      <c r="AM2208" s="13"/>
      <c r="AN2208" s="13"/>
      <c r="AO2208" s="13"/>
      <c r="AP2208" s="13"/>
      <c r="AQ2208" s="13"/>
      <c r="AR2208" s="14"/>
      <c r="AS2208" s="15"/>
    </row>
    <row r="2209" spans="1:45" s="17" customFormat="1" ht="30.6" hidden="1" customHeight="1" x14ac:dyDescent="0.2">
      <c r="A2209" s="37" t="s">
        <v>2980</v>
      </c>
      <c r="B2209" s="38" t="s">
        <v>444</v>
      </c>
      <c r="C2209" s="45"/>
      <c r="D2209" s="31">
        <v>3762734</v>
      </c>
      <c r="E2209" s="31">
        <v>4162378</v>
      </c>
      <c r="F2209" s="268" t="str">
        <f>IF(D2209="","",VLOOKUP(D2209,契約台帳!$A$3:$K$4986,6,FALSE)&amp;VLOOKUP(D2209,契約台帳!$A$3:$K$4986,7,FALSE)&amp;VLOOKUP(D2209,契約台帳!$A$3:$K$4986,8,FALSE)&amp;VLOOKUP(D2209,契約台帳!$A$3:$K$4986,9,FALSE)&amp;VLOOKUP(D2209,契約台帳!$A$3:$K$4986,11,FALSE))</f>
        <v>3SNMLBMNNGKBF</v>
      </c>
      <c r="G2209" s="269" t="str">
        <f>IF(D2209="","",VLOOKUP(F2209,製品マスタ!$G$5:$H$5002,2,FALSE))</f>
        <v>S</v>
      </c>
      <c r="H2209" s="269" t="str">
        <f>IF(D2209="","",VLOOKUP(F2209,製品マスタ!$G$5:$K$5002,5,FALSE))</f>
        <v>MNNGKBF</v>
      </c>
      <c r="I2209" s="270" t="str">
        <f>IF(D2209="","",VLOOKUP(F2209,製品マスタ!$G$5:$L$5002,6,FALSE))</f>
        <v>メタルミー　ニューネーマー銀消　Ｂ</v>
      </c>
      <c r="J2209" s="210" t="s">
        <v>935</v>
      </c>
      <c r="K2209" s="270">
        <f>IF(D2209="","",VLOOKUP(D2209,契約台帳!$A$3:$L$4986,12,FALSE))</f>
        <v>50</v>
      </c>
      <c r="L2209" s="270" t="str">
        <f>IF(D2209="","",INDEX(製品マスタ!$Q$5:$Q$5002,MATCH('S4'!F2209&amp;'S4'!K2209,製品マスタ!$AO$5:$AO$5002,0)))</f>
        <v>X44</v>
      </c>
      <c r="M2209" s="39">
        <v>1000</v>
      </c>
      <c r="N2209" s="39">
        <v>4000</v>
      </c>
      <c r="O2209" s="156">
        <v>18</v>
      </c>
      <c r="P2209" s="47">
        <v>3</v>
      </c>
      <c r="Q2209" s="213">
        <v>45483</v>
      </c>
      <c r="R2209" s="271">
        <f ca="1">IF(D2209="","",IF(OFFSET(D2209,-1,0)&lt;&gt;"","",IF(OR(J2209="リード付け",J2209="巻足し",J2209="巻返しリード付け"),M2209,VLOOKUP(D2209,契約台帳!$A$3:$N$4986,14,FALSE))))</f>
        <v>1000</v>
      </c>
      <c r="S2209" s="272">
        <f ca="1">IF(D2209="","",IF(OFFSET(D2209,-1,0)&lt;&gt;"","",IF(OR(J2209="リード付け",J2209="巻足し",J2209="巻返しリード付け"),M2209,VLOOKUP(D2209,契約台帳!$A$3:$O$4986,15,FALSE))))</f>
        <v>1000</v>
      </c>
      <c r="T2209" s="273">
        <f ca="1">IF(D2209="","",IF(J2209="リード付け",N2209,IF(J2209="巻返しリード付け",N2209,IF(J2209="巻足し",N2209*P2209+OFFSET(N2209,1,0)*OFFSET(P2209,1,0),VLOOKUP(D2209,契約台帳!$A$3:$P$4986,16,FALSE)))))</f>
        <v>12000</v>
      </c>
      <c r="U2209" s="40">
        <v>6</v>
      </c>
      <c r="V2209" s="274" t="str">
        <f ca="1">IF(D2209="","",IF(OFFSET(D2209,-2,0)=D2209,"",VLOOKUP(D2209,契約台帳!$A$3:$R$4986,18,FALSE)))</f>
        <v/>
      </c>
      <c r="W2209" s="269" t="str">
        <f ca="1">IF(D2209="","",IF(T2209="","",IF(OR(J2209="巻足し",J2209="巻返しリード付け"),"",IF(J2209="巻返し",VLOOKUP(F2209&amp;K2209&amp;M2209,製品マスタ!$M$5:$AD$5002,18,FALSE),IF(OR(J2209="リード付け",J2209="巻返しリード付け"),"原反コア",IF(J2209="スリット",VLOOKUP(F2209&amp;K2209&amp;R2209,製品マスタ!$N$5:$AD$5002,17,FALSE),""))))))</f>
        <v/>
      </c>
      <c r="X2209" s="269" t="str">
        <f ca="1">IF(D2209="","",IF(T2209="","",IF(J2209="巻足し","",IF(J2209="巻返し",VLOOKUP(F2209&amp;K2209&amp;M2209,製品マスタ!$M$5:$AE$5002,19,FALSE),IF(OR(J2209="リード付け",J2209="巻返しリード付け"),"",IF(J2209="スリット",VLOOKUP(F2209&amp;K2209&amp;R2209,製品マスタ!$N$5:$AE$5002,18,FALSE),""))))))</f>
        <v/>
      </c>
      <c r="Y2209" s="275">
        <f ca="1">IF(D2209="","",IF(T2209="","",VLOOKUP(D2209,契約台帳!$A$3:$Q$4986,17,FALSE)))</f>
        <v>2</v>
      </c>
      <c r="Z2209" s="269" t="str">
        <f ca="1">IF(D2209="","",IF(T2209="","",VLOOKUP(D2209,契約台帳!$A$3:$E$4986,5,FALSE)))</f>
        <v>リンテック㈱</v>
      </c>
      <c r="AA2209" s="57"/>
      <c r="AB2209" s="207" t="str">
        <f>IFERROR((VLOOKUP(F2209&amp;K2209&amp;M2209,製品マスタ!$M$5:$AM$5002,27,FALSE)),"")</f>
        <v>原反ケース再利用</v>
      </c>
      <c r="AC2209" s="33"/>
      <c r="AD2209" s="189"/>
      <c r="AE2209" s="54"/>
      <c r="AF2209" s="55">
        <f>+M2209*N2209*O2209/1000</f>
        <v>72000</v>
      </c>
      <c r="AG2209" s="43"/>
      <c r="AH2209" s="47"/>
      <c r="AI2209" s="30"/>
      <c r="AJ2209" s="30"/>
      <c r="AK2209" s="30"/>
      <c r="AL2209" s="30"/>
      <c r="AM2209" s="13"/>
      <c r="AN2209" s="13"/>
      <c r="AO2209" s="13"/>
      <c r="AP2209" s="13"/>
      <c r="AQ2209" s="13"/>
      <c r="AR2209" s="14"/>
      <c r="AS2209" s="15"/>
    </row>
    <row r="2210" spans="1:45" s="17" customFormat="1" ht="30.95" hidden="1" customHeight="1" x14ac:dyDescent="0.2">
      <c r="A2210" s="343"/>
      <c r="B2210" s="344"/>
      <c r="C2210" s="345"/>
      <c r="D2210" s="346"/>
      <c r="E2210" s="346"/>
      <c r="F2210" s="268"/>
      <c r="G2210" s="269"/>
      <c r="H2210" s="269"/>
      <c r="I2210" s="270"/>
      <c r="J2210" s="434"/>
      <c r="K2210" s="270"/>
      <c r="L2210" s="270"/>
      <c r="M2210" s="348"/>
      <c r="N2210" s="348"/>
      <c r="O2210" s="435"/>
      <c r="P2210" s="349"/>
      <c r="Q2210" s="350"/>
      <c r="R2210" s="271"/>
      <c r="S2210" s="272"/>
      <c r="T2210" s="273"/>
      <c r="U2210" s="351"/>
      <c r="V2210" s="274"/>
      <c r="W2210" s="269"/>
      <c r="X2210" s="269"/>
      <c r="Y2210" s="275"/>
      <c r="Z2210" s="269"/>
      <c r="AA2210" s="350"/>
      <c r="AB2210" s="207"/>
      <c r="AC2210" s="352"/>
      <c r="AD2210" s="353"/>
      <c r="AE2210" s="54"/>
      <c r="AF2210" s="354"/>
      <c r="AG2210" s="355"/>
      <c r="AH2210" s="349"/>
      <c r="AI2210" s="30"/>
      <c r="AJ2210" s="30"/>
      <c r="AK2210" s="30"/>
      <c r="AL2210" s="30"/>
      <c r="AM2210" s="13"/>
      <c r="AN2210" s="13"/>
      <c r="AO2210" s="13"/>
      <c r="AP2210" s="13"/>
      <c r="AQ2210" s="13"/>
      <c r="AR2210" s="14"/>
      <c r="AS2210" s="15"/>
    </row>
    <row r="2211" spans="1:45" s="17" customFormat="1" ht="30.95" hidden="1" customHeight="1" x14ac:dyDescent="0.2">
      <c r="A2211" s="343" t="s">
        <v>511</v>
      </c>
      <c r="B2211" s="344" t="s">
        <v>445</v>
      </c>
      <c r="C2211" s="345"/>
      <c r="D2211" s="346"/>
      <c r="E2211" s="346"/>
      <c r="F2211" s="268"/>
      <c r="G2211" s="269"/>
      <c r="H2211" s="269"/>
      <c r="I2211" s="270"/>
      <c r="J2211" s="434" t="s">
        <v>448</v>
      </c>
      <c r="K2211" s="270"/>
      <c r="L2211" s="270"/>
      <c r="M2211" s="348"/>
      <c r="N2211" s="348"/>
      <c r="O2211" s="435"/>
      <c r="P2211" s="349"/>
      <c r="Q2211" s="350"/>
      <c r="R2211" s="271"/>
      <c r="S2211" s="272"/>
      <c r="T2211" s="273"/>
      <c r="U2211" s="351"/>
      <c r="V2211" s="274"/>
      <c r="W2211" s="269"/>
      <c r="X2211" s="269"/>
      <c r="Y2211" s="275"/>
      <c r="Z2211" s="269"/>
      <c r="AA2211" s="350"/>
      <c r="AB2211" s="207"/>
      <c r="AC2211" s="352"/>
      <c r="AD2211" s="353"/>
      <c r="AE2211" s="54"/>
      <c r="AF2211" s="354"/>
      <c r="AG2211" s="355"/>
      <c r="AH2211" s="349"/>
      <c r="AI2211" s="30"/>
      <c r="AJ2211" s="30"/>
      <c r="AK2211" s="30"/>
      <c r="AL2211" s="30"/>
      <c r="AM2211" s="13"/>
      <c r="AN2211" s="13"/>
      <c r="AO2211" s="13"/>
      <c r="AP2211" s="13"/>
      <c r="AQ2211" s="13"/>
      <c r="AR2211" s="14"/>
      <c r="AS2211" s="15"/>
    </row>
    <row r="2212" spans="1:45" s="17" customFormat="1" ht="30.95" hidden="1" customHeight="1" x14ac:dyDescent="0.2">
      <c r="A2212" s="343"/>
      <c r="B2212" s="344"/>
      <c r="C2212" s="345"/>
      <c r="D2212" s="346"/>
      <c r="E2212" s="346"/>
      <c r="F2212" s="268"/>
      <c r="G2212" s="269"/>
      <c r="H2212" s="269"/>
      <c r="I2212" s="270"/>
      <c r="J2212" s="434"/>
      <c r="K2212" s="270"/>
      <c r="L2212" s="270"/>
      <c r="M2212" s="348"/>
      <c r="N2212" s="348"/>
      <c r="O2212" s="435"/>
      <c r="P2212" s="349"/>
      <c r="Q2212" s="350"/>
      <c r="R2212" s="271"/>
      <c r="S2212" s="272"/>
      <c r="T2212" s="273"/>
      <c r="U2212" s="351"/>
      <c r="V2212" s="274"/>
      <c r="W2212" s="269"/>
      <c r="X2212" s="269"/>
      <c r="Y2212" s="275"/>
      <c r="Z2212" s="269"/>
      <c r="AA2212" s="350"/>
      <c r="AB2212" s="207"/>
      <c r="AC2212" s="352"/>
      <c r="AD2212" s="353"/>
      <c r="AE2212" s="54"/>
      <c r="AF2212" s="354"/>
      <c r="AG2212" s="355"/>
      <c r="AH2212" s="349"/>
      <c r="AI2212" s="30"/>
      <c r="AJ2212" s="30"/>
      <c r="AK2212" s="30"/>
      <c r="AL2212" s="30"/>
      <c r="AM2212" s="13"/>
      <c r="AN2212" s="13"/>
      <c r="AO2212" s="13"/>
      <c r="AP2212" s="13"/>
      <c r="AQ2212" s="13"/>
      <c r="AR2212" s="14"/>
      <c r="AS2212" s="15"/>
    </row>
    <row r="2213" spans="1:45" s="17" customFormat="1" ht="30.95" hidden="1" customHeight="1" x14ac:dyDescent="0.2">
      <c r="A2213" s="343" t="s">
        <v>1296</v>
      </c>
      <c r="B2213" s="344" t="s">
        <v>446</v>
      </c>
      <c r="C2213" s="345"/>
      <c r="D2213" s="346"/>
      <c r="E2213" s="346"/>
      <c r="F2213" s="268"/>
      <c r="G2213" s="269"/>
      <c r="H2213" s="269"/>
      <c r="I2213" s="270"/>
      <c r="J2213" s="434" t="s">
        <v>448</v>
      </c>
      <c r="K2213" s="270"/>
      <c r="L2213" s="270"/>
      <c r="M2213" s="348"/>
      <c r="N2213" s="348"/>
      <c r="O2213" s="435"/>
      <c r="P2213" s="349"/>
      <c r="Q2213" s="350"/>
      <c r="R2213" s="271"/>
      <c r="S2213" s="272"/>
      <c r="T2213" s="273"/>
      <c r="U2213" s="351"/>
      <c r="V2213" s="274"/>
      <c r="W2213" s="269"/>
      <c r="X2213" s="269"/>
      <c r="Y2213" s="275"/>
      <c r="Z2213" s="269"/>
      <c r="AA2213" s="350"/>
      <c r="AB2213" s="207"/>
      <c r="AC2213" s="352"/>
      <c r="AD2213" s="353"/>
      <c r="AE2213" s="54"/>
      <c r="AF2213" s="354"/>
      <c r="AG2213" s="355"/>
      <c r="AH2213" s="349"/>
      <c r="AI2213" s="30"/>
      <c r="AJ2213" s="30"/>
      <c r="AK2213" s="30"/>
      <c r="AL2213" s="30"/>
      <c r="AM2213" s="13"/>
      <c r="AN2213" s="13"/>
      <c r="AO2213" s="13"/>
      <c r="AP2213" s="13"/>
      <c r="AQ2213" s="13"/>
      <c r="AR2213" s="14"/>
      <c r="AS2213" s="15"/>
    </row>
    <row r="2214" spans="1:45" s="17" customFormat="1" ht="30.95" hidden="1" customHeight="1" x14ac:dyDescent="0.2">
      <c r="A2214" s="343"/>
      <c r="B2214" s="344"/>
      <c r="C2214" s="345"/>
      <c r="D2214" s="346"/>
      <c r="E2214" s="346"/>
      <c r="F2214" s="268"/>
      <c r="G2214" s="269"/>
      <c r="H2214" s="269"/>
      <c r="I2214" s="270"/>
      <c r="J2214" s="434"/>
      <c r="K2214" s="270"/>
      <c r="L2214" s="270"/>
      <c r="M2214" s="348"/>
      <c r="N2214" s="348"/>
      <c r="O2214" s="435"/>
      <c r="P2214" s="349"/>
      <c r="Q2214" s="350"/>
      <c r="R2214" s="271"/>
      <c r="S2214" s="272"/>
      <c r="T2214" s="273"/>
      <c r="U2214" s="351"/>
      <c r="V2214" s="274"/>
      <c r="W2214" s="269"/>
      <c r="X2214" s="269"/>
      <c r="Y2214" s="275"/>
      <c r="Z2214" s="269"/>
      <c r="AA2214" s="350"/>
      <c r="AB2214" s="207"/>
      <c r="AC2214" s="352"/>
      <c r="AD2214" s="353"/>
      <c r="AE2214" s="54"/>
      <c r="AF2214" s="354"/>
      <c r="AG2214" s="355"/>
      <c r="AH2214" s="349"/>
      <c r="AI2214" s="30"/>
      <c r="AJ2214" s="30"/>
      <c r="AK2214" s="30"/>
      <c r="AL2214" s="30"/>
      <c r="AM2214" s="13"/>
      <c r="AN2214" s="13"/>
      <c r="AO2214" s="13"/>
      <c r="AP2214" s="13"/>
      <c r="AQ2214" s="13"/>
      <c r="AR2214" s="14"/>
      <c r="AS2214" s="15"/>
    </row>
    <row r="2215" spans="1:45" s="17" customFormat="1" ht="30.95" hidden="1" customHeight="1" x14ac:dyDescent="0.2">
      <c r="A2215" s="343" t="s">
        <v>494</v>
      </c>
      <c r="B2215" s="344" t="s">
        <v>462</v>
      </c>
      <c r="C2215" s="345"/>
      <c r="D2215" s="346"/>
      <c r="E2215" s="346"/>
      <c r="F2215" s="268"/>
      <c r="G2215" s="269"/>
      <c r="H2215" s="269"/>
      <c r="I2215" s="270"/>
      <c r="J2215" s="434" t="s">
        <v>448</v>
      </c>
      <c r="K2215" s="270"/>
      <c r="L2215" s="270"/>
      <c r="M2215" s="348"/>
      <c r="N2215" s="348"/>
      <c r="O2215" s="435"/>
      <c r="P2215" s="349"/>
      <c r="Q2215" s="350"/>
      <c r="R2215" s="271"/>
      <c r="S2215" s="272"/>
      <c r="T2215" s="273"/>
      <c r="U2215" s="351"/>
      <c r="V2215" s="274"/>
      <c r="W2215" s="269"/>
      <c r="X2215" s="269"/>
      <c r="Y2215" s="275"/>
      <c r="Z2215" s="269"/>
      <c r="AA2215" s="350"/>
      <c r="AB2215" s="207"/>
      <c r="AC2215" s="352"/>
      <c r="AD2215" s="353"/>
      <c r="AE2215" s="54"/>
      <c r="AF2215" s="354"/>
      <c r="AG2215" s="355"/>
      <c r="AH2215" s="349"/>
      <c r="AI2215" s="30"/>
      <c r="AJ2215" s="30"/>
      <c r="AK2215" s="30"/>
      <c r="AL2215" s="30"/>
      <c r="AM2215" s="13"/>
      <c r="AN2215" s="13"/>
      <c r="AO2215" s="13"/>
      <c r="AP2215" s="13"/>
      <c r="AQ2215" s="13"/>
      <c r="AR2215" s="14"/>
      <c r="AS2215" s="15"/>
    </row>
    <row r="2216" spans="1:45" s="17" customFormat="1" ht="30.95" hidden="1" customHeight="1" x14ac:dyDescent="0.2">
      <c r="A2216" s="343"/>
      <c r="B2216" s="344"/>
      <c r="C2216" s="345"/>
      <c r="D2216" s="346"/>
      <c r="E2216" s="346"/>
      <c r="F2216" s="268"/>
      <c r="G2216" s="269"/>
      <c r="H2216" s="269"/>
      <c r="I2216" s="270"/>
      <c r="J2216" s="434"/>
      <c r="K2216" s="270"/>
      <c r="L2216" s="270"/>
      <c r="M2216" s="348"/>
      <c r="N2216" s="348"/>
      <c r="O2216" s="435"/>
      <c r="P2216" s="349"/>
      <c r="Q2216" s="350"/>
      <c r="R2216" s="271"/>
      <c r="S2216" s="272"/>
      <c r="T2216" s="273"/>
      <c r="U2216" s="351"/>
      <c r="V2216" s="274"/>
      <c r="W2216" s="269"/>
      <c r="X2216" s="269"/>
      <c r="Y2216" s="275"/>
      <c r="Z2216" s="269"/>
      <c r="AA2216" s="350"/>
      <c r="AB2216" s="207"/>
      <c r="AC2216" s="352"/>
      <c r="AD2216" s="353"/>
      <c r="AE2216" s="54"/>
      <c r="AF2216" s="354"/>
      <c r="AG2216" s="355"/>
      <c r="AH2216" s="349"/>
      <c r="AI2216" s="30"/>
      <c r="AJ2216" s="30"/>
      <c r="AK2216" s="30"/>
      <c r="AL2216" s="30"/>
      <c r="AM2216" s="13"/>
      <c r="AN2216" s="13"/>
      <c r="AO2216" s="13"/>
      <c r="AP2216" s="13"/>
      <c r="AQ2216" s="13"/>
      <c r="AR2216" s="14"/>
      <c r="AS2216" s="15"/>
    </row>
    <row r="2217" spans="1:45" s="17" customFormat="1" ht="30.6" hidden="1" customHeight="1" x14ac:dyDescent="0.2">
      <c r="A2217" s="37" t="s">
        <v>2981</v>
      </c>
      <c r="B2217" s="38" t="s">
        <v>688</v>
      </c>
      <c r="C2217" s="45"/>
      <c r="D2217" s="31">
        <v>3762733</v>
      </c>
      <c r="E2217" s="31">
        <v>4162402</v>
      </c>
      <c r="F2217" s="268" t="str">
        <f>IF(D2217="","",VLOOKUP(D2217,契約台帳!$A$3:$K$4986,6,FALSE)&amp;VLOOKUP(D2217,契約台帳!$A$3:$K$4986,7,FALSE)&amp;VLOOKUP(D2217,契約台帳!$A$3:$K$4986,8,FALSE)&amp;VLOOKUP(D2217,契約台帳!$A$3:$K$4986,9,FALSE)&amp;VLOOKUP(D2217,契約台帳!$A$3:$K$4986,11,FALSE))</f>
        <v>3SNMCLBNGTVB</v>
      </c>
      <c r="G2217" s="269" t="str">
        <f>IF(D2217="","",VLOOKUP(F2217,製品マスタ!$G$5:$H$5002,2,FALSE))</f>
        <v>S</v>
      </c>
      <c r="H2217" s="269" t="str">
        <f>IF(D2217="","",VLOOKUP(F2217,製品マスタ!$G$5:$K$5002,5,FALSE))</f>
        <v>NGTVB</v>
      </c>
      <c r="I2217" s="270" t="str">
        <f>IF(D2217="","",VLOOKUP(F2217,製品マスタ!$G$5:$L$5002,6,FALSE))</f>
        <v>メタルミー　ネーマー　銀艶ＶＢ</v>
      </c>
      <c r="J2217" s="210" t="s">
        <v>574</v>
      </c>
      <c r="K2217" s="270">
        <f>IF(D2217="","",VLOOKUP(D2217,契約台帳!$A$3:$L$4986,12,FALSE))</f>
        <v>50</v>
      </c>
      <c r="L2217" s="270" t="str">
        <f>IF(D2217="","",INDEX(製品マスタ!$Q$5:$Q$5002,MATCH('S4'!F2217&amp;'S4'!K2217,製品マスタ!$AO$5:$AO$5002,0)))</f>
        <v>T62M</v>
      </c>
      <c r="M2217" s="39">
        <v>1150</v>
      </c>
      <c r="N2217" s="39">
        <v>5000</v>
      </c>
      <c r="O2217" s="156">
        <v>1</v>
      </c>
      <c r="P2217" s="47">
        <v>1</v>
      </c>
      <c r="Q2217" s="213">
        <v>45485</v>
      </c>
      <c r="R2217" s="271">
        <f ca="1">IF(D2217="","",IF(OFFSET(D2217,-1,0)&lt;&gt;"","",IF(OR(J2217="リード付け",J2217="巻足し",J2217="巻返しリード付け"),M2217,VLOOKUP(D2217,契約台帳!$A$3:$N$4986,14,FALSE))))</f>
        <v>1150</v>
      </c>
      <c r="S2217" s="272">
        <f ca="1">IF(D2217="","",IF(OFFSET(D2217,-1,0)&lt;&gt;"","",IF(OR(J2217="リード付け",J2217="巻足し",J2217="巻返しリード付け"),M2217,VLOOKUP(D2217,契約台帳!$A$3:$O$4986,15,FALSE))))</f>
        <v>1150</v>
      </c>
      <c r="T2217" s="273">
        <f ca="1">IF(D2217="","",IF(J2217="リード付け",N2217,IF(J2217="巻返しリード付け",N2217,IF(J2217="巻足し",N2217*P2217+OFFSET(N2217,1,0)*OFFSET(P2217,1,0),VLOOKUP(D2217,契約台帳!$A$3:$P$4986,16,FALSE)))))</f>
        <v>5000</v>
      </c>
      <c r="U2217" s="40">
        <v>1</v>
      </c>
      <c r="V2217" s="274">
        <f ca="1">IF(D2217="","",IF(OFFSET(D2217,-2,0)=D2217,"",VLOOKUP(D2217,契約台帳!$A$3:$R$4986,18,FALSE)))</f>
        <v>2</v>
      </c>
      <c r="W2217" s="269" t="str">
        <f ca="1">IF(D2217="","",IF(T2217="","",IF(OR(J2217="巻足し",J2217="巻返しリード付け"),"",IF(J2217="巻返し",VLOOKUP(F2217&amp;K2217&amp;M2217,製品マスタ!$M$5:$AD$5002,18,FALSE),IF(OR(J2217="リード付け",J2217="巻返しリード付け"),"原反コア",IF(J2217="スリット",VLOOKUP(F2217&amp;K2217&amp;R2217,製品マスタ!$N$5:$AD$5002,17,FALSE),""))))))</f>
        <v/>
      </c>
      <c r="X2217" s="269" t="str">
        <f ca="1">IF(D2217="","",IF(T2217="","",IF(J2217="巻足し","",IF(J2217="巻返し",VLOOKUP(F2217&amp;K2217&amp;M2217,製品マスタ!$M$5:$AE$5002,19,FALSE),IF(OR(J2217="リード付け",J2217="巻返しリード付け"),"",IF(J2217="スリット",VLOOKUP(F2217&amp;K2217&amp;R2217,製品マスタ!$N$5:$AE$5002,18,FALSE),""))))))</f>
        <v/>
      </c>
      <c r="Y2217" s="275">
        <f ca="1">IF(D2217="","",IF(T2217="","",VLOOKUP(D2217,契約台帳!$A$3:$Q$4986,17,FALSE)))</f>
        <v>2</v>
      </c>
      <c r="Z2217" s="269" t="str">
        <f ca="1">IF(D2217="","",IF(T2217="","",VLOOKUP(D2217,契約台帳!$A$3:$E$4986,5,FALSE)))</f>
        <v>リンテック㈱</v>
      </c>
      <c r="AA2217" s="57"/>
      <c r="AB2217" s="207">
        <f>IFERROR((VLOOKUP(F2217&amp;K2217&amp;M2217,製品マスタ!$M$5:$AM$5002,27,FALSE)),"")</f>
        <v>0</v>
      </c>
      <c r="AC2217" s="33"/>
      <c r="AD2217" s="189"/>
      <c r="AE2217" s="54"/>
      <c r="AF2217" s="55">
        <f>+M2217*N2217*O2217/1000</f>
        <v>5750</v>
      </c>
      <c r="AG2217" s="43"/>
      <c r="AH2217" s="47"/>
      <c r="AI2217" s="30"/>
      <c r="AJ2217" s="30"/>
      <c r="AK2217" s="30"/>
      <c r="AL2217" s="30"/>
      <c r="AM2217" s="13"/>
      <c r="AN2217" s="13"/>
      <c r="AO2217" s="13"/>
      <c r="AP2217" s="13"/>
      <c r="AQ2217" s="13"/>
      <c r="AR2217" s="14"/>
      <c r="AS2217" s="15"/>
    </row>
    <row r="2218" spans="1:45" s="17" customFormat="1" ht="30.95" hidden="1" customHeight="1" x14ac:dyDescent="0.2">
      <c r="A2218" s="343"/>
      <c r="B2218" s="344"/>
      <c r="C2218" s="345"/>
      <c r="D2218" s="346"/>
      <c r="E2218" s="346"/>
      <c r="F2218" s="268"/>
      <c r="G2218" s="269"/>
      <c r="H2218" s="269"/>
      <c r="I2218" s="270"/>
      <c r="J2218" s="434"/>
      <c r="K2218" s="270"/>
      <c r="L2218" s="270"/>
      <c r="M2218" s="348"/>
      <c r="N2218" s="348"/>
      <c r="O2218" s="435"/>
      <c r="P2218" s="349"/>
      <c r="Q2218" s="350"/>
      <c r="R2218" s="271"/>
      <c r="S2218" s="272"/>
      <c r="T2218" s="273"/>
      <c r="U2218" s="351"/>
      <c r="V2218" s="274"/>
      <c r="W2218" s="269"/>
      <c r="X2218" s="269"/>
      <c r="Y2218" s="275"/>
      <c r="Z2218" s="269"/>
      <c r="AA2218" s="350"/>
      <c r="AB2218" s="207"/>
      <c r="AC2218" s="352"/>
      <c r="AD2218" s="353"/>
      <c r="AE2218" s="54"/>
      <c r="AF2218" s="354"/>
      <c r="AG2218" s="355"/>
      <c r="AH2218" s="349"/>
      <c r="AI2218" s="30"/>
      <c r="AJ2218" s="30"/>
      <c r="AK2218" s="30"/>
      <c r="AL2218" s="30"/>
      <c r="AM2218" s="13"/>
      <c r="AN2218" s="13"/>
      <c r="AO2218" s="13"/>
      <c r="AP2218" s="13"/>
      <c r="AQ2218" s="13"/>
      <c r="AR2218" s="14"/>
      <c r="AS2218" s="15"/>
    </row>
    <row r="2219" spans="1:45" s="17" customFormat="1" ht="30.6" hidden="1" customHeight="1" x14ac:dyDescent="0.2">
      <c r="A2219" s="37"/>
      <c r="B2219" s="38"/>
      <c r="C2219" s="45"/>
      <c r="D2219" s="31">
        <v>3762738</v>
      </c>
      <c r="E2219" s="31">
        <v>4162391</v>
      </c>
      <c r="F2219" s="268" t="str">
        <f>IF(D2219="","",VLOOKUP(D2219,契約台帳!$A$3:$K$4986,6,FALSE)&amp;VLOOKUP(D2219,契約台帳!$A$3:$K$4986,7,FALSE)&amp;VLOOKUP(D2219,契約台帳!$A$3:$K$4986,8,FALSE)&amp;VLOOKUP(D2219,契約台帳!$A$3:$K$4986,9,FALSE)&amp;VLOOKUP(D2219,契約台帳!$A$3:$K$4986,11,FALSE))</f>
        <v>3TNMCLBHLGTV</v>
      </c>
      <c r="G2219" s="269" t="str">
        <f>IF(D2219="","",VLOOKUP(F2219,製品マスタ!$G$5:$H$5002,2,FALSE))</f>
        <v>T</v>
      </c>
      <c r="H2219" s="269" t="str">
        <f>IF(D2219="","",VLOOKUP(F2219,製品マスタ!$G$5:$K$5002,5,FALSE))</f>
        <v>HLGTV</v>
      </c>
      <c r="I2219" s="270" t="str">
        <f>IF(D2219="","",VLOOKUP(F2219,製品マスタ!$G$5:$L$5002,6,FALSE))</f>
        <v>メタルミー　ヘヤライン　銀艶Ｖ</v>
      </c>
      <c r="J2219" s="210" t="s">
        <v>935</v>
      </c>
      <c r="K2219" s="270">
        <f>IF(D2219="","",VLOOKUP(D2219,契約台帳!$A$3:$L$4986,12,FALSE))</f>
        <v>50</v>
      </c>
      <c r="L2219" s="270" t="str">
        <f>IF(D2219="","",INDEX(製品マスタ!$Q$5:$Q$5002,MATCH('S4'!F2219&amp;'S4'!K2219,製品マスタ!$AO$5:$AO$5002,0)))</f>
        <v>BRIGHT</v>
      </c>
      <c r="M2219" s="39">
        <v>1005</v>
      </c>
      <c r="N2219" s="39">
        <v>4000</v>
      </c>
      <c r="O2219" s="156">
        <v>6</v>
      </c>
      <c r="P2219" s="47">
        <v>3</v>
      </c>
      <c r="Q2219" s="213">
        <v>45478</v>
      </c>
      <c r="R2219" s="271">
        <f ca="1">IF(D2219="","",IF(OFFSET(D2219,-1,0)&lt;&gt;"","",IF(OR(J2219="リード付け",J2219="巻足し",J2219="巻返しリード付け"),M2219,VLOOKUP(D2219,契約台帳!$A$3:$N$4986,14,FALSE))))</f>
        <v>1005</v>
      </c>
      <c r="S2219" s="272">
        <f ca="1">IF(D2219="","",IF(OFFSET(D2219,-1,0)&lt;&gt;"","",IF(OR(J2219="リード付け",J2219="巻足し",J2219="巻返しリード付け"),M2219,VLOOKUP(D2219,契約台帳!$A$3:$O$4986,15,FALSE))))</f>
        <v>1005</v>
      </c>
      <c r="T2219" s="273">
        <f ca="1">IF(D2219="","",IF(J2219="リード付け",N2219,IF(J2219="巻返しリード付け",N2219,IF(J2219="巻足し",N2219*P2219+OFFSET(N2219,1,0)*OFFSET(P2219,1,0),VLOOKUP(D2219,契約台帳!$A$3:$P$4986,16,FALSE)))))</f>
        <v>12000</v>
      </c>
      <c r="U2219" s="40">
        <v>2</v>
      </c>
      <c r="V2219" s="274">
        <f ca="1">IF(D2219="","",IF(OFFSET(D2219,-2,0)=D2219,"",VLOOKUP(D2219,契約台帳!$A$3:$R$4986,18,FALSE)))</f>
        <v>6</v>
      </c>
      <c r="W2219" s="269" t="str">
        <f ca="1">IF(D2219="","",IF(T2219="","",IF(OR(J2219="巻足し",J2219="巻返しリード付け"),"",IF(J2219="巻返し",VLOOKUP(F2219&amp;K2219&amp;M2219,製品マスタ!$M$5:$AD$5002,18,FALSE),IF(OR(J2219="リード付け",J2219="巻返しリード付け"),"原反コア",IF(J2219="スリット",VLOOKUP(F2219&amp;K2219&amp;R2219,製品マスタ!$N$5:$AD$5002,17,FALSE),""))))))</f>
        <v/>
      </c>
      <c r="X2219" s="269" t="str">
        <f ca="1">IF(D2219="","",IF(T2219="","",IF(J2219="巻足し","",IF(J2219="巻返し",VLOOKUP(F2219&amp;K2219&amp;M2219,製品マスタ!$M$5:$AE$5002,19,FALSE),IF(OR(J2219="リード付け",J2219="巻返しリード付け"),"",IF(J2219="スリット",VLOOKUP(F2219&amp;K2219&amp;R2219,製品マスタ!$N$5:$AE$5002,18,FALSE),""))))))</f>
        <v/>
      </c>
      <c r="Y2219" s="275">
        <f ca="1">IF(D2219="","",IF(T2219="","",VLOOKUP(D2219,契約台帳!$A$3:$Q$4986,17,FALSE)))</f>
        <v>2</v>
      </c>
      <c r="Z2219" s="269" t="str">
        <f ca="1">IF(D2219="","",IF(T2219="","",VLOOKUP(D2219,契約台帳!$A$3:$E$4986,5,FALSE)))</f>
        <v>リンテック㈱</v>
      </c>
      <c r="AA2219" s="57"/>
      <c r="AB2219" s="207" t="s">
        <v>774</v>
      </c>
      <c r="AC2219" s="33"/>
      <c r="AD2219" s="189"/>
      <c r="AE2219" s="54"/>
      <c r="AF2219" s="55">
        <f>+M2219*N2219*O2219/1000</f>
        <v>24120</v>
      </c>
      <c r="AG2219" s="43"/>
      <c r="AH2219" s="47"/>
      <c r="AI2219" s="30"/>
      <c r="AJ2219" s="30"/>
      <c r="AK2219" s="30"/>
      <c r="AL2219" s="30"/>
      <c r="AM2219" s="13"/>
      <c r="AN2219" s="13"/>
      <c r="AO2219" s="13"/>
      <c r="AP2219" s="13"/>
      <c r="AQ2219" s="13"/>
      <c r="AR2219" s="14"/>
      <c r="AS2219" s="15"/>
    </row>
    <row r="2220" spans="1:45" s="17" customFormat="1" ht="30.95" hidden="1" customHeight="1" x14ac:dyDescent="0.2">
      <c r="A2220" s="343"/>
      <c r="B2220" s="344"/>
      <c r="C2220" s="345"/>
      <c r="D2220" s="346"/>
      <c r="E2220" s="346"/>
      <c r="F2220" s="268"/>
      <c r="G2220" s="269"/>
      <c r="H2220" s="269"/>
      <c r="I2220" s="270"/>
      <c r="J2220" s="434"/>
      <c r="K2220" s="270"/>
      <c r="L2220" s="270"/>
      <c r="M2220" s="348"/>
      <c r="N2220" s="348"/>
      <c r="O2220" s="435"/>
      <c r="P2220" s="349"/>
      <c r="Q2220" s="350"/>
      <c r="R2220" s="271"/>
      <c r="S2220" s="272"/>
      <c r="T2220" s="273"/>
      <c r="U2220" s="351"/>
      <c r="V2220" s="274"/>
      <c r="W2220" s="269"/>
      <c r="X2220" s="269"/>
      <c r="Y2220" s="275"/>
      <c r="Z2220" s="269"/>
      <c r="AA2220" s="350"/>
      <c r="AB2220" s="207"/>
      <c r="AC2220" s="352"/>
      <c r="AD2220" s="353"/>
      <c r="AE2220" s="54"/>
      <c r="AF2220" s="354"/>
      <c r="AG2220" s="355"/>
      <c r="AH2220" s="349"/>
      <c r="AI2220" s="30"/>
      <c r="AJ2220" s="30"/>
      <c r="AK2220" s="30"/>
      <c r="AL2220" s="30"/>
      <c r="AM2220" s="13"/>
      <c r="AN2220" s="13"/>
      <c r="AO2220" s="13"/>
      <c r="AP2220" s="13"/>
      <c r="AQ2220" s="13"/>
      <c r="AR2220" s="14"/>
      <c r="AS2220" s="15"/>
    </row>
    <row r="2221" spans="1:45" s="17" customFormat="1" ht="30.95" hidden="1" customHeight="1" x14ac:dyDescent="0.2">
      <c r="A2221" s="343"/>
      <c r="B2221" s="344"/>
      <c r="C2221" s="345"/>
      <c r="D2221" s="346"/>
      <c r="E2221" s="346"/>
      <c r="F2221" s="268"/>
      <c r="G2221" s="269"/>
      <c r="H2221" s="269"/>
      <c r="I2221" s="270"/>
      <c r="J2221" s="434" t="s">
        <v>2977</v>
      </c>
      <c r="K2221" s="270"/>
      <c r="L2221" s="270"/>
      <c r="M2221" s="348"/>
      <c r="N2221" s="348"/>
      <c r="O2221" s="435"/>
      <c r="P2221" s="349"/>
      <c r="Q2221" s="350"/>
      <c r="R2221" s="271"/>
      <c r="S2221" s="272"/>
      <c r="T2221" s="273"/>
      <c r="U2221" s="351"/>
      <c r="V2221" s="274"/>
      <c r="W2221" s="269"/>
      <c r="X2221" s="269"/>
      <c r="Y2221" s="275"/>
      <c r="Z2221" s="269"/>
      <c r="AA2221" s="350"/>
      <c r="AB2221" s="207"/>
      <c r="AC2221" s="352"/>
      <c r="AD2221" s="353"/>
      <c r="AE2221" s="54"/>
      <c r="AF2221" s="354"/>
      <c r="AG2221" s="355"/>
      <c r="AH2221" s="349"/>
      <c r="AI2221" s="30"/>
      <c r="AJ2221" s="30"/>
      <c r="AK2221" s="30"/>
      <c r="AL2221" s="30"/>
      <c r="AM2221" s="13"/>
      <c r="AN2221" s="13"/>
      <c r="AO2221" s="13"/>
      <c r="AP2221" s="13"/>
      <c r="AQ2221" s="13"/>
      <c r="AR2221" s="14"/>
      <c r="AS2221" s="15"/>
    </row>
    <row r="2222" spans="1:45" s="17" customFormat="1" ht="30.95" hidden="1" customHeight="1" x14ac:dyDescent="0.2">
      <c r="A2222" s="343"/>
      <c r="B2222" s="344"/>
      <c r="C2222" s="345"/>
      <c r="D2222" s="346"/>
      <c r="E2222" s="346"/>
      <c r="F2222" s="268"/>
      <c r="G2222" s="269"/>
      <c r="H2222" s="269"/>
      <c r="I2222" s="270"/>
      <c r="J2222" s="434"/>
      <c r="K2222" s="270"/>
      <c r="L2222" s="270"/>
      <c r="M2222" s="348"/>
      <c r="N2222" s="348"/>
      <c r="O2222" s="435"/>
      <c r="P2222" s="349"/>
      <c r="Q2222" s="350"/>
      <c r="R2222" s="271"/>
      <c r="S2222" s="272"/>
      <c r="T2222" s="273"/>
      <c r="U2222" s="351"/>
      <c r="V2222" s="274"/>
      <c r="W2222" s="269"/>
      <c r="X2222" s="269"/>
      <c r="Y2222" s="275"/>
      <c r="Z2222" s="269"/>
      <c r="AA2222" s="350"/>
      <c r="AB2222" s="207"/>
      <c r="AC2222" s="352"/>
      <c r="AD2222" s="353"/>
      <c r="AE2222" s="54"/>
      <c r="AF2222" s="354"/>
      <c r="AG2222" s="355"/>
      <c r="AH2222" s="349"/>
      <c r="AI2222" s="30"/>
      <c r="AJ2222" s="30"/>
      <c r="AK2222" s="30"/>
      <c r="AL2222" s="30"/>
      <c r="AM2222" s="13"/>
      <c r="AN2222" s="13"/>
      <c r="AO2222" s="13"/>
      <c r="AP2222" s="13"/>
      <c r="AQ2222" s="13"/>
      <c r="AR2222" s="14"/>
      <c r="AS2222" s="15"/>
    </row>
    <row r="2223" spans="1:45" s="17" customFormat="1" ht="30.6" hidden="1" customHeight="1" x14ac:dyDescent="0.2">
      <c r="A2223" s="343" t="s">
        <v>496</v>
      </c>
      <c r="B2223" s="344" t="s">
        <v>442</v>
      </c>
      <c r="C2223" s="45"/>
      <c r="D2223" s="31">
        <v>3764905</v>
      </c>
      <c r="E2223" s="31">
        <v>4162403</v>
      </c>
      <c r="F2223" s="268" t="str">
        <f>IF(D2223="","",VLOOKUP(D2223,契約台帳!$A$3:$K$4986,6,FALSE)&amp;VLOOKUP(D2223,契約台帳!$A$3:$K$4986,7,FALSE)&amp;VLOOKUP(D2223,契約台帳!$A$3:$K$4986,8,FALSE)&amp;VLOOKUP(D2223,契約台帳!$A$3:$K$4986,9,FALSE)&amp;VLOOKUP(D2223,契約台帳!$A$3:$K$4986,11,FALSE))</f>
        <v>3SYMLBMSBBF</v>
      </c>
      <c r="G2223" s="269" t="str">
        <f>IF(D2223="","",VLOOKUP(F2223,製品マスタ!$G$5:$H$5002,2,FALSE))</f>
        <v>S</v>
      </c>
      <c r="H2223" s="269" t="str">
        <f>IF(D2223="","",VLOOKUP(F2223,製品マスタ!$G$5:$K$5002,5,FALSE))</f>
        <v>MSBBF</v>
      </c>
      <c r="I2223" s="270" t="str">
        <f>IF(D2223="","",VLOOKUP(F2223,製品マスタ!$G$5:$L$5002,6,FALSE))</f>
        <v>ＭＥＴＡＬＵＭＹ　ＳＩＬＶＥＲ　ＢＲＩＧＨＴ　Ｔ６２Ｍ　Ｂ</v>
      </c>
      <c r="J2223" s="210" t="s">
        <v>935</v>
      </c>
      <c r="K2223" s="270">
        <f>IF(D2223="","",VLOOKUP(D2223,契約台帳!$A$3:$L$4986,12,FALSE))</f>
        <v>25</v>
      </c>
      <c r="L2223" s="270" t="str">
        <f>IF(D2223="","",INDEX(製品マスタ!$Q$5:$Q$5002,MATCH('S4'!F2223&amp;'S4'!K2223,製品マスタ!$AO$5:$AO$5002,0)))</f>
        <v>T62</v>
      </c>
      <c r="M2223" s="39">
        <v>1120</v>
      </c>
      <c r="N2223" s="39">
        <v>8000</v>
      </c>
      <c r="O2223" s="156">
        <v>2</v>
      </c>
      <c r="P2223" s="47">
        <v>2</v>
      </c>
      <c r="Q2223" s="213">
        <v>45485</v>
      </c>
      <c r="R2223" s="271">
        <f ca="1">IF(D2223="","",IF(OFFSET(D2223,-1,0)&lt;&gt;"","",IF(OR(J2223="リード付け",J2223="巻足し",J2223="巻返しリード付け"),M2223,VLOOKUP(D2223,契約台帳!$A$3:$N$4986,14,FALSE))))</f>
        <v>1120</v>
      </c>
      <c r="S2223" s="272">
        <f ca="1">IF(D2223="","",IF(OFFSET(D2223,-1,0)&lt;&gt;"","",IF(OR(J2223="リード付け",J2223="巻足し",J2223="巻返しリード付け"),M2223,VLOOKUP(D2223,契約台帳!$A$3:$O$4986,15,FALSE))))</f>
        <v>1120</v>
      </c>
      <c r="T2223" s="273">
        <f ca="1">IF(D2223="","",IF(J2223="リード付け",N2223,IF(J2223="巻返しリード付け",N2223,IF(J2223="巻足し",N2223*P2223+OFFSET(N2223,1,0)*OFFSET(P2223,1,0),VLOOKUP(D2223,契約台帳!$A$3:$P$4986,16,FALSE)))))</f>
        <v>16000</v>
      </c>
      <c r="U2223" s="40">
        <v>1</v>
      </c>
      <c r="V2223" s="274">
        <f ca="1">IF(D2223="","",IF(OFFSET(D2223,-2,0)=D2223,"",VLOOKUP(D2223,契約台帳!$A$3:$R$4986,18,FALSE)))</f>
        <v>2</v>
      </c>
      <c r="W2223" s="269" t="str">
        <f ca="1">IF(D2223="","",IF(T2223="","",IF(OR(J2223="巻足し",J2223="巻返しリード付け"),"",IF(J2223="巻返し",VLOOKUP(F2223&amp;K2223&amp;M2223,製品マスタ!$M$5:$AD$5002,18,FALSE),IF(OR(J2223="リード付け",J2223="巻返しリード付け"),"原反コア",IF(J2223="スリット",VLOOKUP(F2223&amp;K2223&amp;R2223,製品マスタ!$N$5:$AD$5002,17,FALSE),""))))))</f>
        <v/>
      </c>
      <c r="X2223" s="269" t="str">
        <f ca="1">IF(D2223="","",IF(T2223="","",IF(J2223="巻足し","",IF(J2223="巻返し",VLOOKUP(F2223&amp;K2223&amp;M2223,製品マスタ!$M$5:$AE$5002,19,FALSE),IF(OR(J2223="リード付け",J2223="巻返しリード付け"),"",IF(J2223="スリット",VLOOKUP(F2223&amp;K2223&amp;R2223,製品マスタ!$N$5:$AE$5002,18,FALSE),""))))))</f>
        <v/>
      </c>
      <c r="Y2223" s="275">
        <f ca="1">IF(D2223="","",IF(T2223="","",VLOOKUP(D2223,契約台帳!$A$3:$Q$4986,17,FALSE)))</f>
        <v>2</v>
      </c>
      <c r="Z2223" s="269" t="str">
        <f ca="1">IF(D2223="","",IF(T2223="","",VLOOKUP(D2223,契約台帳!$A$3:$E$4986,5,FALSE)))</f>
        <v>リンテック㈱</v>
      </c>
      <c r="AA2223" s="57"/>
      <c r="AB2223" s="207">
        <f>IFERROR((VLOOKUP(F2223&amp;K2223&amp;M2223,製品マスタ!$M$5:$AM$5002,27,FALSE)),"")</f>
        <v>0</v>
      </c>
      <c r="AC2223" s="33"/>
      <c r="AD2223" s="189"/>
      <c r="AE2223" s="54"/>
      <c r="AF2223" s="55">
        <f>+M2223*N2223*O2223/1000</f>
        <v>17920</v>
      </c>
      <c r="AG2223" s="43"/>
      <c r="AH2223" s="47"/>
      <c r="AI2223" s="30"/>
      <c r="AJ2223" s="30"/>
      <c r="AK2223" s="30"/>
      <c r="AL2223" s="30"/>
      <c r="AM2223" s="13"/>
      <c r="AN2223" s="13"/>
      <c r="AO2223" s="13"/>
      <c r="AP2223" s="13"/>
      <c r="AQ2223" s="13"/>
      <c r="AR2223" s="14"/>
      <c r="AS2223" s="15"/>
    </row>
    <row r="2224" spans="1:45" s="17" customFormat="1" ht="30.95" hidden="1" customHeight="1" x14ac:dyDescent="0.2">
      <c r="A2224" s="343"/>
      <c r="B2224" s="344"/>
      <c r="C2224" s="345"/>
      <c r="D2224" s="346"/>
      <c r="E2224" s="346"/>
      <c r="F2224" s="268"/>
      <c r="G2224" s="269"/>
      <c r="H2224" s="269"/>
      <c r="I2224" s="301" t="s">
        <v>2979</v>
      </c>
      <c r="J2224" s="434"/>
      <c r="K2224" s="270"/>
      <c r="L2224" s="270"/>
      <c r="M2224" s="348"/>
      <c r="N2224" s="348"/>
      <c r="O2224" s="435"/>
      <c r="P2224" s="349"/>
      <c r="Q2224" s="350"/>
      <c r="R2224" s="271"/>
      <c r="S2224" s="272"/>
      <c r="T2224" s="273"/>
      <c r="U2224" s="351"/>
      <c r="V2224" s="274"/>
      <c r="W2224" s="269"/>
      <c r="X2224" s="269"/>
      <c r="Y2224" s="275"/>
      <c r="Z2224" s="269"/>
      <c r="AA2224" s="350"/>
      <c r="AB2224" s="207"/>
      <c r="AC2224" s="352"/>
      <c r="AD2224" s="353"/>
      <c r="AE2224" s="54"/>
      <c r="AF2224" s="354"/>
      <c r="AG2224" s="355"/>
      <c r="AH2224" s="349"/>
      <c r="AI2224" s="30"/>
      <c r="AJ2224" s="30"/>
      <c r="AK2224" s="30"/>
      <c r="AL2224" s="30"/>
      <c r="AM2224" s="13"/>
      <c r="AN2224" s="13"/>
      <c r="AO2224" s="13"/>
      <c r="AP2224" s="13"/>
      <c r="AQ2224" s="13"/>
      <c r="AR2224" s="14"/>
      <c r="AS2224" s="15"/>
    </row>
    <row r="2225" spans="1:45" s="17" customFormat="1" ht="30.6" hidden="1" customHeight="1" x14ac:dyDescent="0.2">
      <c r="A2225" s="343"/>
      <c r="B2225" s="344"/>
      <c r="C2225" s="45"/>
      <c r="D2225" s="31">
        <v>3764502</v>
      </c>
      <c r="E2225" s="31">
        <v>4162400</v>
      </c>
      <c r="F2225" s="268" t="str">
        <f>IF(D2225="","",VLOOKUP(D2225,契約台帳!$A$3:$K$4986,6,FALSE)&amp;VLOOKUP(D2225,契約台帳!$A$3:$K$4986,7,FALSE)&amp;VLOOKUP(D2225,契約台帳!$A$3:$K$4986,8,FALSE)&amp;VLOOKUP(D2225,契約台帳!$A$3:$K$4986,9,FALSE)&amp;VLOOKUP(D2225,契約台帳!$A$3:$K$4986,11,FALSE))</f>
        <v>3SNMLBMNGKKBF</v>
      </c>
      <c r="G2225" s="269" t="str">
        <f>IF(D2225="","",VLOOKUP(F2225,製品マスタ!$G$5:$H$5002,2,FALSE))</f>
        <v>S</v>
      </c>
      <c r="H2225" s="269" t="str">
        <f>IF(D2225="","",VLOOKUP(F2225,製品マスタ!$G$5:$K$5002,5,FALSE))</f>
        <v>MNGKKBF</v>
      </c>
      <c r="I2225" s="270" t="str">
        <f>IF(D2225="","",VLOOKUP(F2225,製品マスタ!$G$5:$L$5002,6,FALSE))</f>
        <v>メタルミー　ネーマー銀消改　Ｂ</v>
      </c>
      <c r="J2225" s="210" t="s">
        <v>935</v>
      </c>
      <c r="K2225" s="270">
        <f>IF(D2225="","",VLOOKUP(D2225,契約台帳!$A$3:$L$4986,12,FALSE))</f>
        <v>50</v>
      </c>
      <c r="L2225" s="270" t="str">
        <f>IF(D2225="","",INDEX(製品マスタ!$Q$5:$Q$5002,MATCH('S4'!F2225&amp;'S4'!K2225,製品マスタ!$AO$5:$AO$5002,0)))</f>
        <v>S99-MAT</v>
      </c>
      <c r="M2225" s="39">
        <v>1120</v>
      </c>
      <c r="N2225" s="39">
        <v>4000</v>
      </c>
      <c r="O2225" s="156">
        <v>3</v>
      </c>
      <c r="P2225" s="47">
        <v>3</v>
      </c>
      <c r="Q2225" s="213">
        <v>45485</v>
      </c>
      <c r="R2225" s="271">
        <f ca="1">IF(D2225="","",IF(OFFSET(D2225,-1,0)&lt;&gt;"","",IF(OR(J2225="リード付け",J2225="巻足し",J2225="巻返しリード付け"),M2225,VLOOKUP(D2225,契約台帳!$A$3:$N$4986,14,FALSE))))</f>
        <v>1120</v>
      </c>
      <c r="S2225" s="272">
        <f ca="1">IF(D2225="","",IF(OFFSET(D2225,-1,0)&lt;&gt;"","",IF(OR(J2225="リード付け",J2225="巻足し",J2225="巻返しリード付け"),M2225,VLOOKUP(D2225,契約台帳!$A$3:$O$4986,15,FALSE))))</f>
        <v>1120</v>
      </c>
      <c r="T2225" s="273">
        <f ca="1">IF(D2225="","",IF(J2225="リード付け",N2225,IF(J2225="巻返しリード付け",N2225,IF(J2225="巻足し",N2225*P2225+OFFSET(N2225,1,0)*OFFSET(P2225,1,0),VLOOKUP(D2225,契約台帳!$A$3:$P$4986,16,FALSE)))))</f>
        <v>12000</v>
      </c>
      <c r="U2225" s="40">
        <v>1</v>
      </c>
      <c r="V2225" s="274">
        <f ca="1">IF(D2225="","",IF(OFFSET(D2225,-2,0)=D2225,"",VLOOKUP(D2225,契約台帳!$A$3:$R$4986,18,FALSE)))</f>
        <v>7</v>
      </c>
      <c r="W2225" s="269" t="str">
        <f ca="1">IF(D2225="","",IF(T2225="","",IF(OR(J2225="巻足し",J2225="巻返しリード付け"),"",IF(J2225="巻返し",VLOOKUP(F2225&amp;K2225&amp;M2225,製品マスタ!$M$5:$AD$5002,18,FALSE),IF(OR(J2225="リード付け",J2225="巻返しリード付け"),"原反コア",IF(J2225="スリット",VLOOKUP(F2225&amp;K2225&amp;R2225,製品マスタ!$N$5:$AD$5002,17,FALSE),""))))))</f>
        <v/>
      </c>
      <c r="X2225" s="269" t="str">
        <f ca="1">IF(D2225="","",IF(T2225="","",IF(J2225="巻足し","",IF(J2225="巻返し",VLOOKUP(F2225&amp;K2225&amp;M2225,製品マスタ!$M$5:$AE$5002,19,FALSE),IF(OR(J2225="リード付け",J2225="巻返しリード付け"),"",IF(J2225="スリット",VLOOKUP(F2225&amp;K2225&amp;R2225,製品マスタ!$N$5:$AE$5002,18,FALSE),""))))))</f>
        <v/>
      </c>
      <c r="Y2225" s="275">
        <f ca="1">IF(D2225="","",IF(T2225="","",VLOOKUP(D2225,契約台帳!$A$3:$Q$4986,17,FALSE)))</f>
        <v>2</v>
      </c>
      <c r="Z2225" s="269" t="str">
        <f ca="1">IF(D2225="","",IF(T2225="","",VLOOKUP(D2225,契約台帳!$A$3:$E$4986,5,FALSE)))</f>
        <v>リンテック㈱</v>
      </c>
      <c r="AA2225" s="57"/>
      <c r="AB2225" s="207">
        <f>IFERROR((VLOOKUP(F2225&amp;K2225&amp;M2225,製品マスタ!$M$5:$AM$5002,27,FALSE)),"")</f>
        <v>0</v>
      </c>
      <c r="AC2225" s="33"/>
      <c r="AD2225" s="189"/>
      <c r="AE2225" s="54"/>
      <c r="AF2225" s="55">
        <f>+M2225*N2225*O2225/1000</f>
        <v>13440</v>
      </c>
      <c r="AG2225" s="43"/>
      <c r="AH2225" s="47"/>
      <c r="AI2225" s="30"/>
      <c r="AJ2225" s="30"/>
      <c r="AK2225" s="30"/>
      <c r="AL2225" s="30"/>
      <c r="AM2225" s="13"/>
      <c r="AN2225" s="13"/>
      <c r="AO2225" s="13"/>
      <c r="AP2225" s="13"/>
      <c r="AQ2225" s="13"/>
      <c r="AR2225" s="14"/>
      <c r="AS2225" s="15"/>
    </row>
    <row r="2226" spans="1:45" s="17" customFormat="1" ht="30.95" hidden="1" customHeight="1" x14ac:dyDescent="0.2">
      <c r="A2226" s="343"/>
      <c r="B2226" s="344"/>
      <c r="C2226" s="345"/>
      <c r="D2226" s="346"/>
      <c r="E2226" s="346"/>
      <c r="F2226" s="268"/>
      <c r="G2226" s="269"/>
      <c r="H2226" s="269"/>
      <c r="I2226" s="301" t="s">
        <v>2976</v>
      </c>
      <c r="J2226" s="434"/>
      <c r="K2226" s="270"/>
      <c r="L2226" s="270"/>
      <c r="M2226" s="348"/>
      <c r="N2226" s="348"/>
      <c r="O2226" s="435"/>
      <c r="P2226" s="349"/>
      <c r="Q2226" s="350"/>
      <c r="R2226" s="271"/>
      <c r="S2226" s="272"/>
      <c r="T2226" s="273"/>
      <c r="U2226" s="351"/>
      <c r="V2226" s="274"/>
      <c r="W2226" s="269"/>
      <c r="X2226" s="269"/>
      <c r="Y2226" s="275"/>
      <c r="Z2226" s="269"/>
      <c r="AA2226" s="350"/>
      <c r="AB2226" s="207"/>
      <c r="AC2226" s="352"/>
      <c r="AD2226" s="353"/>
      <c r="AE2226" s="54"/>
      <c r="AF2226" s="354"/>
      <c r="AG2226" s="355"/>
      <c r="AH2226" s="349"/>
      <c r="AI2226" s="30"/>
      <c r="AJ2226" s="30"/>
      <c r="AK2226" s="30"/>
      <c r="AL2226" s="30"/>
      <c r="AM2226" s="13"/>
      <c r="AN2226" s="13"/>
      <c r="AO2226" s="13"/>
      <c r="AP2226" s="13"/>
      <c r="AQ2226" s="13"/>
      <c r="AR2226" s="14"/>
      <c r="AS2226" s="15"/>
    </row>
    <row r="2227" spans="1:45" s="17" customFormat="1" ht="30.6" hidden="1" customHeight="1" x14ac:dyDescent="0.2">
      <c r="A2227" s="37"/>
      <c r="B2227" s="38"/>
      <c r="C2227" s="45"/>
      <c r="D2227" s="31">
        <v>3764502</v>
      </c>
      <c r="E2227" s="31">
        <v>4162400</v>
      </c>
      <c r="F2227" s="268" t="str">
        <f>IF(D2227="","",VLOOKUP(D2227,契約台帳!$A$3:$K$4986,6,FALSE)&amp;VLOOKUP(D2227,契約台帳!$A$3:$K$4986,7,FALSE)&amp;VLOOKUP(D2227,契約台帳!$A$3:$K$4986,8,FALSE)&amp;VLOOKUP(D2227,契約台帳!$A$3:$K$4986,9,FALSE)&amp;VLOOKUP(D2227,契約台帳!$A$3:$K$4986,11,FALSE))</f>
        <v>3SNMLBMNGKKBF</v>
      </c>
      <c r="G2227" s="269" t="str">
        <f>IF(D2227="","",VLOOKUP(F2227,製品マスタ!$G$5:$H$5002,2,FALSE))</f>
        <v>S</v>
      </c>
      <c r="H2227" s="269" t="str">
        <f>IF(D2227="","",VLOOKUP(F2227,製品マスタ!$G$5:$K$5002,5,FALSE))</f>
        <v>MNGKKBF</v>
      </c>
      <c r="I2227" s="270" t="str">
        <f>IF(D2227="","",VLOOKUP(F2227,製品マスタ!$G$5:$L$5002,6,FALSE))</f>
        <v>メタルミー　ネーマー銀消改　Ｂ</v>
      </c>
      <c r="J2227" s="210" t="s">
        <v>935</v>
      </c>
      <c r="K2227" s="270">
        <f>IF(D2227="","",VLOOKUP(D2227,契約台帳!$A$3:$L$4986,12,FALSE))</f>
        <v>50</v>
      </c>
      <c r="L2227" s="270" t="str">
        <f>IF(D2227="","",INDEX(製品マスタ!$Q$5:$Q$5002,MATCH('S4'!F2227&amp;'S4'!K2227,製品マスタ!$AO$5:$AO$5002,0)))</f>
        <v>S99-MAT</v>
      </c>
      <c r="M2227" s="39">
        <v>1120</v>
      </c>
      <c r="N2227" s="39">
        <v>4000</v>
      </c>
      <c r="O2227" s="156">
        <v>4</v>
      </c>
      <c r="P2227" s="47">
        <v>2</v>
      </c>
      <c r="Q2227" s="213">
        <v>45485</v>
      </c>
      <c r="R2227" s="271">
        <f ca="1">IF(D2227="","",IF(OFFSET(D2227,-1,0)&lt;&gt;"","",IF(OR(J2227="リード付け",J2227="巻足し",J2227="巻返しリード付け"),M2227,VLOOKUP(D2227,契約台帳!$A$3:$N$4986,14,FALSE))))</f>
        <v>1120</v>
      </c>
      <c r="S2227" s="272">
        <f ca="1">IF(D2227="","",IF(OFFSET(D2227,-1,0)&lt;&gt;"","",IF(OR(J2227="リード付け",J2227="巻足し",J2227="巻返しリード付け"),M2227,VLOOKUP(D2227,契約台帳!$A$3:$O$4986,15,FALSE))))</f>
        <v>1120</v>
      </c>
      <c r="T2227" s="273">
        <f ca="1">IF(D2227="","",IF(J2227="リード付け",N2227,IF(J2227="巻返しリード付け",N2227,IF(J2227="巻足し",N2227*P2227+OFFSET(N2227,1,0)*OFFSET(P2227,1,0),VLOOKUP(D2227,契約台帳!$A$3:$P$4986,16,FALSE)))))</f>
        <v>8000</v>
      </c>
      <c r="U2227" s="40">
        <v>2</v>
      </c>
      <c r="V2227" s="274" t="str">
        <f ca="1">IF(D2227="","",IF(OFFSET(D2227,-2,0)=D2227,"",VLOOKUP(D2227,契約台帳!$A$3:$R$4986,18,FALSE)))</f>
        <v/>
      </c>
      <c r="W2227" s="269" t="str">
        <f ca="1">IF(D2227="","",IF(T2227="","",IF(OR(J2227="巻足し",J2227="巻返しリード付け"),"",IF(J2227="巻返し",VLOOKUP(F2227&amp;K2227&amp;M2227,製品マスタ!$M$5:$AD$5002,18,FALSE),IF(OR(J2227="リード付け",J2227="巻返しリード付け"),"原反コア",IF(J2227="スリット",VLOOKUP(F2227&amp;K2227&amp;R2227,製品マスタ!$N$5:$AD$5002,17,FALSE),""))))))</f>
        <v/>
      </c>
      <c r="X2227" s="269" t="str">
        <f ca="1">IF(D2227="","",IF(T2227="","",IF(J2227="巻足し","",IF(J2227="巻返し",VLOOKUP(F2227&amp;K2227&amp;M2227,製品マスタ!$M$5:$AE$5002,19,FALSE),IF(OR(J2227="リード付け",J2227="巻返しリード付け"),"",IF(J2227="スリット",VLOOKUP(F2227&amp;K2227&amp;R2227,製品マスタ!$N$5:$AE$5002,18,FALSE),""))))))</f>
        <v/>
      </c>
      <c r="Y2227" s="275">
        <f ca="1">IF(D2227="","",IF(T2227="","",VLOOKUP(D2227,契約台帳!$A$3:$Q$4986,17,FALSE)))</f>
        <v>2</v>
      </c>
      <c r="Z2227" s="269" t="str">
        <f ca="1">IF(D2227="","",IF(T2227="","",VLOOKUP(D2227,契約台帳!$A$3:$E$4986,5,FALSE)))</f>
        <v>リンテック㈱</v>
      </c>
      <c r="AA2227" s="57"/>
      <c r="AB2227" s="207">
        <f>IFERROR((VLOOKUP(F2227&amp;K2227&amp;M2227,製品マスタ!$M$5:$AM$5002,27,FALSE)),"")</f>
        <v>0</v>
      </c>
      <c r="AC2227" s="33"/>
      <c r="AD2227" s="189"/>
      <c r="AE2227" s="54"/>
      <c r="AF2227" s="55">
        <f>+M2227*N2227*O2227/1000</f>
        <v>17920</v>
      </c>
      <c r="AG2227" s="43"/>
      <c r="AH2227" s="47"/>
      <c r="AI2227" s="30"/>
      <c r="AJ2227" s="30"/>
      <c r="AK2227" s="30"/>
      <c r="AL2227" s="30"/>
      <c r="AM2227" s="13"/>
      <c r="AN2227" s="13"/>
      <c r="AO2227" s="13"/>
      <c r="AP2227" s="13"/>
      <c r="AQ2227" s="13"/>
      <c r="AR2227" s="14"/>
      <c r="AS2227" s="15"/>
    </row>
    <row r="2228" spans="1:45" s="17" customFormat="1" ht="30.95" hidden="1" customHeight="1" x14ac:dyDescent="0.2">
      <c r="A2228" s="343"/>
      <c r="B2228" s="344"/>
      <c r="C2228" s="345"/>
      <c r="D2228" s="346"/>
      <c r="E2228" s="346"/>
      <c r="F2228" s="268"/>
      <c r="G2228" s="269"/>
      <c r="H2228" s="269"/>
      <c r="I2228" s="301" t="s">
        <v>2976</v>
      </c>
      <c r="J2228" s="434"/>
      <c r="K2228" s="270"/>
      <c r="L2228" s="270"/>
      <c r="M2228" s="348"/>
      <c r="N2228" s="348"/>
      <c r="O2228" s="435"/>
      <c r="P2228" s="349"/>
      <c r="Q2228" s="350"/>
      <c r="R2228" s="271"/>
      <c r="S2228" s="272"/>
      <c r="T2228" s="273"/>
      <c r="U2228" s="351"/>
      <c r="V2228" s="274"/>
      <c r="W2228" s="269"/>
      <c r="X2228" s="269"/>
      <c r="Y2228" s="275"/>
      <c r="Z2228" s="269"/>
      <c r="AA2228" s="350"/>
      <c r="AB2228" s="207"/>
      <c r="AC2228" s="352"/>
      <c r="AD2228" s="353"/>
      <c r="AE2228" s="54"/>
      <c r="AF2228" s="354"/>
      <c r="AG2228" s="355"/>
      <c r="AH2228" s="349"/>
      <c r="AI2228" s="30"/>
      <c r="AJ2228" s="30"/>
      <c r="AK2228" s="30"/>
      <c r="AL2228" s="30"/>
      <c r="AM2228" s="13"/>
      <c r="AN2228" s="13"/>
      <c r="AO2228" s="13"/>
      <c r="AP2228" s="13"/>
      <c r="AQ2228" s="13"/>
      <c r="AR2228" s="14"/>
      <c r="AS2228" s="15"/>
    </row>
    <row r="2229" spans="1:45" s="17" customFormat="1" ht="30" hidden="1" customHeight="1" x14ac:dyDescent="0.2">
      <c r="A2229" s="37"/>
      <c r="B2229" s="38"/>
      <c r="C2229" s="45"/>
      <c r="D2229" s="31">
        <v>3765502</v>
      </c>
      <c r="E2229" s="31">
        <v>4162404</v>
      </c>
      <c r="F2229" s="268" t="str">
        <f>IF(D2229="","",VLOOKUP(D2229,契約台帳!$A$3:$K$4986,6,FALSE)&amp;VLOOKUP(D2229,契約台帳!$A$3:$K$4986,7,FALSE)&amp;VLOOKUP(D2229,契約台帳!$A$3:$K$4986,8,FALSE)&amp;VLOOKUP(D2229,契約台帳!$A$3:$K$4986,9,FALSE)&amp;VLOOKUP(D2229,契約台帳!$A$3:$K$4986,11,FALSE))</f>
        <v>3SNMLBMTSF</v>
      </c>
      <c r="G2229" s="269" t="str">
        <f>IF(D2229="","",VLOOKUP(F2229,製品マスタ!$G$5:$H$5002,2,FALSE))</f>
        <v>S</v>
      </c>
      <c r="H2229" s="269" t="str">
        <f>IF(D2229="","",VLOOKUP(F2229,製品マスタ!$G$5:$K$5002,5,FALSE))</f>
        <v>MTSF</v>
      </c>
      <c r="I2229" s="270" t="str">
        <f>IF(D2229="","",VLOOKUP(F2229,製品マスタ!$G$5:$L$5002,6,FALSE))</f>
        <v>メタルミー　ＴＳ</v>
      </c>
      <c r="J2229" s="210" t="s">
        <v>464</v>
      </c>
      <c r="K2229" s="270">
        <f>IF(D2229="","",VLOOKUP(D2229,契約台帳!$A$3:$L$4986,12,FALSE))</f>
        <v>75</v>
      </c>
      <c r="L2229" s="270" t="str">
        <f>IF(D2229="","",INDEX(製品マスタ!$Q$5:$Q$5002,MATCH('S4'!F2229&amp;'S4'!K2229,製品マスタ!$AO$5:$AO$5002,0)))</f>
        <v>T60</v>
      </c>
      <c r="M2229" s="39">
        <v>1100</v>
      </c>
      <c r="N2229" s="39">
        <v>2000</v>
      </c>
      <c r="O2229" s="156">
        <v>1</v>
      </c>
      <c r="P2229" s="47">
        <v>1</v>
      </c>
      <c r="Q2229" s="213">
        <v>45490</v>
      </c>
      <c r="R2229" s="271">
        <f ca="1">IF(D2229="","",IF(OFFSET(D2229,-1,0)&lt;&gt;"","",IF(OR(J2229="リード付け",J2229="巻足し",J2229="巻返しリード付け"),M2229,VLOOKUP(D2229,契約台帳!$A$3:$N$4986,14,FALSE))))</f>
        <v>1100</v>
      </c>
      <c r="S2229" s="272">
        <f ca="1">IF(D2229="","",IF(OFFSET(D2229,-1,0)&lt;&gt;"","",IF(OR(J2229="リード付け",J2229="巻足し",J2229="巻返しリード付け"),M2229,VLOOKUP(D2229,契約台帳!$A$3:$O$4986,15,FALSE))))</f>
        <v>1100</v>
      </c>
      <c r="T2229" s="273">
        <f ca="1">IF(D2229="","",IF(J2229="リード付け",N2229,IF(J2229="巻返しリード付け",N2229,IF(J2229="巻足し",N2229*P2229+OFFSET(N2229,1,0)*OFFSET(P2229,1,0),VLOOKUP(D2229,契約台帳!$A$3:$P$4986,16,FALSE)))))</f>
        <v>2000</v>
      </c>
      <c r="U2229" s="40">
        <v>1</v>
      </c>
      <c r="V2229" s="274">
        <f ca="1">IF(D2229="","",IF(OFFSET(D2229,-2,0)=D2229,"",VLOOKUP(D2229,契約台帳!$A$3:$R$4986,18,FALSE)))</f>
        <v>2</v>
      </c>
      <c r="W2229" s="269" t="str">
        <f ca="1">IF(D2229="","",IF(T2229="","",IF(OR(J2229="巻足し",J2229="巻返しリード付け"),"",IF(J2229="巻返し",VLOOKUP(F2229&amp;K2229&amp;M2229,製品マスタ!$M$5:$AD$5002,18,FALSE),IF(OR(J2229="リード付け",J2229="巻返しリード付け"),"原反コア",IF(J2229="スリット",VLOOKUP(F2229&amp;K2229&amp;R2229,製品マスタ!$N$5:$AD$5002,17,FALSE),""))))))</f>
        <v>原反コア</v>
      </c>
      <c r="X2229" s="269" t="str">
        <f ca="1">IF(D2229="","",IF(T2229="","",IF(J2229="巻足し","",IF(J2229="巻返し",VLOOKUP(F2229&amp;K2229&amp;M2229,製品マスタ!$M$5:$AE$5002,19,FALSE),IF(OR(J2229="リード付け",J2229="巻返しリード付け"),"",IF(J2229="スリット",VLOOKUP(F2229&amp;K2229&amp;R2229,製品マスタ!$N$5:$AE$5002,18,FALSE),""))))))</f>
        <v/>
      </c>
      <c r="Y2229" s="275">
        <f ca="1">IF(D2229="","",IF(T2229="","",VLOOKUP(D2229,契約台帳!$A$3:$Q$4986,17,FALSE)))</f>
        <v>2</v>
      </c>
      <c r="Z2229" s="269" t="str">
        <f ca="1">IF(D2229="","",IF(T2229="","",VLOOKUP(D2229,契約台帳!$A$3:$E$4986,5,FALSE)))</f>
        <v>パナック㈱亀山工場</v>
      </c>
      <c r="AA2229" s="57"/>
      <c r="AB2229" s="207">
        <f>IFERROR((VLOOKUP(F2229&amp;K2229&amp;M2229,製品マスタ!$M$5:$AM$5002,27,FALSE)),"")</f>
        <v>0</v>
      </c>
      <c r="AC2229" s="33"/>
      <c r="AD2229" s="189"/>
      <c r="AE2229" s="54"/>
      <c r="AF2229" s="55">
        <f>+M2229*N2229*O2229/1000</f>
        <v>2200</v>
      </c>
      <c r="AG2229" s="43"/>
      <c r="AH2229" s="47"/>
      <c r="AI2229" s="30"/>
      <c r="AJ2229" s="30"/>
      <c r="AK2229" s="30"/>
      <c r="AL2229" s="30"/>
      <c r="AM2229" s="13"/>
      <c r="AN2229" s="13"/>
      <c r="AO2229" s="13"/>
      <c r="AP2229" s="13"/>
      <c r="AQ2229" s="13"/>
      <c r="AR2229" s="14"/>
      <c r="AS2229" s="15"/>
    </row>
    <row r="2230" spans="1:45" s="17" customFormat="1" ht="30.95" hidden="1" customHeight="1" x14ac:dyDescent="0.2">
      <c r="A2230" s="343"/>
      <c r="B2230" s="344"/>
      <c r="C2230" s="345"/>
      <c r="D2230" s="346"/>
      <c r="E2230" s="346"/>
      <c r="F2230" s="268"/>
      <c r="G2230" s="269"/>
      <c r="H2230" s="269"/>
      <c r="I2230" s="301" t="s">
        <v>2984</v>
      </c>
      <c r="J2230" s="434"/>
      <c r="K2230" s="270"/>
      <c r="L2230" s="270"/>
      <c r="M2230" s="348"/>
      <c r="N2230" s="348"/>
      <c r="O2230" s="435"/>
      <c r="P2230" s="349"/>
      <c r="Q2230" s="350"/>
      <c r="R2230" s="271"/>
      <c r="S2230" s="272"/>
      <c r="T2230" s="273"/>
      <c r="U2230" s="351"/>
      <c r="V2230" s="274"/>
      <c r="W2230" s="269"/>
      <c r="X2230" s="269"/>
      <c r="Y2230" s="275"/>
      <c r="Z2230" s="269"/>
      <c r="AA2230" s="350"/>
      <c r="AB2230" s="207"/>
      <c r="AC2230" s="352"/>
      <c r="AD2230" s="353"/>
      <c r="AE2230" s="54"/>
      <c r="AF2230" s="354"/>
      <c r="AG2230" s="355"/>
      <c r="AH2230" s="349"/>
      <c r="AI2230" s="30"/>
      <c r="AJ2230" s="30"/>
      <c r="AK2230" s="30"/>
      <c r="AL2230" s="30"/>
      <c r="AM2230" s="13"/>
      <c r="AN2230" s="13"/>
      <c r="AO2230" s="13"/>
      <c r="AP2230" s="13"/>
      <c r="AQ2230" s="13"/>
      <c r="AR2230" s="14"/>
      <c r="AS2230" s="15"/>
    </row>
    <row r="2231" spans="1:45" s="17" customFormat="1" ht="30.6" hidden="1" customHeight="1" x14ac:dyDescent="0.2">
      <c r="A2231" s="343"/>
      <c r="B2231" s="344"/>
      <c r="C2231" s="45"/>
      <c r="D2231" s="31">
        <v>3764503</v>
      </c>
      <c r="E2231" s="31">
        <v>4162399</v>
      </c>
      <c r="F2231" s="268" t="str">
        <f>IF(D2231="","",VLOOKUP(D2231,契約台帳!$A$3:$K$4986,6,FALSE)&amp;VLOOKUP(D2231,契約台帳!$A$3:$K$4986,7,FALSE)&amp;VLOOKUP(D2231,契約台帳!$A$3:$K$4986,8,FALSE)&amp;VLOOKUP(D2231,契約台帳!$A$3:$K$4986,9,FALSE)&amp;VLOOKUP(D2231,契約台帳!$A$3:$K$4986,11,FALSE))</f>
        <v>33SSNMCLBTETKFV</v>
      </c>
      <c r="G2231" s="269" t="str">
        <f>IF(D2231="","",VLOOKUP(F2231,製品マスタ!$G$5:$H$5002,2,FALSE))</f>
        <v>S</v>
      </c>
      <c r="H2231" s="269" t="str">
        <f>IF(D2231="","",VLOOKUP(F2231,製品マスタ!$G$5:$K$5002,5,FALSE))</f>
        <v>TETKFV</v>
      </c>
      <c r="I2231" s="270" t="str">
        <f>IF(D2231="","",VLOOKUP(F2231,製品マスタ!$G$5:$L$5002,6,FALSE))</f>
        <v>メタルミー　ＴＥＳ艶開封　Ｖ</v>
      </c>
      <c r="J2231" s="210" t="s">
        <v>935</v>
      </c>
      <c r="K2231" s="270">
        <f>IF(D2231="","",VLOOKUP(D2231,契約台帳!$A$3:$L$4986,12,FALSE))</f>
        <v>50</v>
      </c>
      <c r="L2231" s="270" t="str">
        <f>IF(D2231="","",INDEX(製品マスタ!$Q$5:$Q$5002,MATCH('S4'!F2231&amp;'S4'!K2231,製品マスタ!$AO$5:$AO$5002,0)))</f>
        <v>S28SEPA</v>
      </c>
      <c r="M2231" s="39">
        <v>1005</v>
      </c>
      <c r="N2231" s="39">
        <v>4100</v>
      </c>
      <c r="O2231" s="156">
        <v>3</v>
      </c>
      <c r="P2231" s="47">
        <v>3</v>
      </c>
      <c r="Q2231" s="213">
        <v>45485</v>
      </c>
      <c r="R2231" s="271">
        <f ca="1">IF(D2231="","",IF(OFFSET(D2231,-1,0)&lt;&gt;"","",IF(OR(J2231="リード付け",J2231="巻足し",J2231="巻返しリード付け"),M2231,VLOOKUP(D2231,契約台帳!$A$3:$N$4986,14,FALSE))))</f>
        <v>1005</v>
      </c>
      <c r="S2231" s="272">
        <f ca="1">IF(D2231="","",IF(OFFSET(D2231,-1,0)&lt;&gt;"","",IF(OR(J2231="リード付け",J2231="巻足し",J2231="巻返しリード付け"),M2231,VLOOKUP(D2231,契約台帳!$A$3:$O$4986,15,FALSE))))</f>
        <v>1005</v>
      </c>
      <c r="T2231" s="273">
        <f ca="1">IF(D2231="","",IF(J2231="リード付け",N2231,IF(J2231="巻返しリード付け",N2231,IF(J2231="巻足し",N2231*P2231+OFFSET(N2231,1,0)*OFFSET(P2231,1,0),VLOOKUP(D2231,契約台帳!$A$3:$P$4986,16,FALSE)))))</f>
        <v>12300</v>
      </c>
      <c r="U2231" s="40">
        <v>1</v>
      </c>
      <c r="V2231" s="274">
        <f ca="1">IF(D2231="","",IF(OFFSET(D2231,-2,0)=D2231,"",VLOOKUP(D2231,契約台帳!$A$3:$R$4986,18,FALSE)))</f>
        <v>3</v>
      </c>
      <c r="W2231" s="269" t="str">
        <f ca="1">IF(D2231="","",IF(T2231="","",IF(OR(J2231="巻足し",J2231="巻返しリード付け"),"",IF(J2231="巻返し",VLOOKUP(F2231&amp;K2231&amp;M2231,製品マスタ!$M$5:$AD$5002,18,FALSE),IF(OR(J2231="リード付け",J2231="巻返しリード付け"),"原反コア",IF(J2231="スリット",VLOOKUP(F2231&amp;K2231&amp;R2231,製品マスタ!$N$5:$AD$5002,17,FALSE),""))))))</f>
        <v/>
      </c>
      <c r="X2231" s="269" t="str">
        <f ca="1">IF(D2231="","",IF(T2231="","",IF(J2231="巻足し","",IF(J2231="巻返し",VLOOKUP(F2231&amp;K2231&amp;M2231,製品マスタ!$M$5:$AE$5002,19,FALSE),IF(OR(J2231="リード付け",J2231="巻返しリード付け"),"",IF(J2231="スリット",VLOOKUP(F2231&amp;K2231&amp;R2231,製品マスタ!$N$5:$AE$5002,18,FALSE),""))))))</f>
        <v/>
      </c>
      <c r="Y2231" s="275">
        <f ca="1">IF(D2231="","",IF(T2231="","",VLOOKUP(D2231,契約台帳!$A$3:$Q$4986,17,FALSE)))</f>
        <v>2</v>
      </c>
      <c r="Z2231" s="269" t="str">
        <f ca="1">IF(D2231="","",IF(T2231="","",VLOOKUP(D2231,契約台帳!$A$3:$E$4986,5,FALSE)))</f>
        <v>リンテック㈱</v>
      </c>
      <c r="AA2231" s="57"/>
      <c r="AB2231" s="207">
        <f>IFERROR((VLOOKUP(F2231&amp;K2231&amp;M2231,製品マスタ!$M$5:$AM$5002,27,FALSE)),"")</f>
        <v>0</v>
      </c>
      <c r="AC2231" s="33"/>
      <c r="AD2231" s="189"/>
      <c r="AE2231" s="54"/>
      <c r="AF2231" s="55">
        <f>+M2231*N2231*O2231/1000</f>
        <v>12361.5</v>
      </c>
      <c r="AG2231" s="43"/>
      <c r="AH2231" s="47"/>
      <c r="AI2231" s="30"/>
      <c r="AJ2231" s="30"/>
      <c r="AK2231" s="30"/>
      <c r="AL2231" s="30"/>
      <c r="AM2231" s="13"/>
      <c r="AN2231" s="13"/>
      <c r="AO2231" s="13"/>
      <c r="AP2231" s="13"/>
      <c r="AQ2231" s="13"/>
      <c r="AR2231" s="14"/>
      <c r="AS2231" s="15"/>
    </row>
    <row r="2232" spans="1:45" s="17" customFormat="1" ht="30.95" hidden="1" customHeight="1" x14ac:dyDescent="0.2">
      <c r="A2232" s="343"/>
      <c r="B2232" s="344"/>
      <c r="C2232" s="345"/>
      <c r="D2232" s="346"/>
      <c r="E2232" s="346"/>
      <c r="F2232" s="268"/>
      <c r="G2232" s="269"/>
      <c r="H2232" s="269"/>
      <c r="I2232" s="301" t="s">
        <v>2976</v>
      </c>
      <c r="J2232" s="434"/>
      <c r="K2232" s="270"/>
      <c r="L2232" s="270"/>
      <c r="M2232" s="348"/>
      <c r="N2232" s="348"/>
      <c r="O2232" s="435"/>
      <c r="P2232" s="349"/>
      <c r="Q2232" s="350"/>
      <c r="R2232" s="271"/>
      <c r="S2232" s="272"/>
      <c r="T2232" s="273"/>
      <c r="U2232" s="351"/>
      <c r="V2232" s="274"/>
      <c r="W2232" s="269"/>
      <c r="X2232" s="269"/>
      <c r="Y2232" s="275"/>
      <c r="Z2232" s="269"/>
      <c r="AA2232" s="350"/>
      <c r="AB2232" s="207"/>
      <c r="AC2232" s="352"/>
      <c r="AD2232" s="353"/>
      <c r="AE2232" s="54"/>
      <c r="AF2232" s="354"/>
      <c r="AG2232" s="355"/>
      <c r="AH2232" s="349"/>
      <c r="AI2232" s="30"/>
      <c r="AJ2232" s="30"/>
      <c r="AK2232" s="30"/>
      <c r="AL2232" s="30"/>
      <c r="AM2232" s="13"/>
      <c r="AN2232" s="13"/>
      <c r="AO2232" s="13"/>
      <c r="AP2232" s="13"/>
      <c r="AQ2232" s="13"/>
      <c r="AR2232" s="14"/>
      <c r="AS2232" s="15"/>
    </row>
    <row r="2233" spans="1:45" s="17" customFormat="1" ht="30.6" hidden="1" customHeight="1" x14ac:dyDescent="0.2">
      <c r="A2233" s="37"/>
      <c r="B2233" s="38"/>
      <c r="C2233" s="45"/>
      <c r="D2233" s="31">
        <v>3764504</v>
      </c>
      <c r="E2233" s="31">
        <v>4162401</v>
      </c>
      <c r="F2233" s="268" t="str">
        <f>IF(D2233="","",VLOOKUP(D2233,契約台帳!$A$3:$K$4986,6,FALSE)&amp;VLOOKUP(D2233,契約台帳!$A$3:$K$4986,7,FALSE)&amp;VLOOKUP(D2233,契約台帳!$A$3:$K$4986,8,FALSE)&amp;VLOOKUP(D2233,契約台帳!$A$3:$K$4986,9,FALSE)&amp;VLOOKUP(D2233,契約台帳!$A$3:$K$4986,11,FALSE))</f>
        <v>3SNMCLBTETV0V</v>
      </c>
      <c r="G2233" s="269" t="str">
        <f>IF(D2233="","",VLOOKUP(F2233,製品マスタ!$G$5:$H$5002,2,FALSE))</f>
        <v>S</v>
      </c>
      <c r="H2233" s="269" t="str">
        <f>IF(D2233="","",VLOOKUP(F2233,製品マスタ!$G$5:$K$5002,5,FALSE))</f>
        <v>TETV0V</v>
      </c>
      <c r="I2233" s="270" t="str">
        <f>IF(D2233="","",VLOOKUP(F2233,製品マスタ!$G$5:$L$5002,6,FALSE))</f>
        <v>メタルミー　ＴＥＳ艶ＶＯＩＤＶ</v>
      </c>
      <c r="J2233" s="210" t="s">
        <v>935</v>
      </c>
      <c r="K2233" s="270">
        <f>IF(D2233="","",VLOOKUP(D2233,契約台帳!$A$3:$L$4986,12,FALSE))</f>
        <v>50</v>
      </c>
      <c r="L2233" s="270" t="str">
        <f>IF(D2233="","",INDEX(製品マスタ!$Q$5:$Q$5002,MATCH('S4'!F2233&amp;'S4'!K2233,製品マスタ!$AO$5:$AO$5002,0)))</f>
        <v>S28SEPA</v>
      </c>
      <c r="M2233" s="39">
        <v>1005</v>
      </c>
      <c r="N2233" s="39">
        <v>4100</v>
      </c>
      <c r="O2233" s="156">
        <v>2</v>
      </c>
      <c r="P2233" s="47">
        <v>2</v>
      </c>
      <c r="Q2233" s="213">
        <v>45485</v>
      </c>
      <c r="R2233" s="271">
        <f ca="1">IF(D2233="","",IF(OFFSET(D2233,-1,0)&lt;&gt;"","",IF(OR(J2233="リード付け",J2233="巻足し",J2233="巻返しリード付け"),M2233,VLOOKUP(D2233,契約台帳!$A$3:$N$4986,14,FALSE))))</f>
        <v>1005</v>
      </c>
      <c r="S2233" s="272">
        <f ca="1">IF(D2233="","",IF(OFFSET(D2233,-1,0)&lt;&gt;"","",IF(OR(J2233="リード付け",J2233="巻足し",J2233="巻返しリード付け"),M2233,VLOOKUP(D2233,契約台帳!$A$3:$O$4986,15,FALSE))))</f>
        <v>1005</v>
      </c>
      <c r="T2233" s="273">
        <f ca="1">IF(D2233="","",IF(J2233="リード付け",N2233,IF(J2233="巻返しリード付け",N2233,IF(J2233="巻足し",N2233*P2233+OFFSET(N2233,1,0)*OFFSET(P2233,1,0),VLOOKUP(D2233,契約台帳!$A$3:$P$4986,16,FALSE)))))</f>
        <v>8200</v>
      </c>
      <c r="U2233" s="40">
        <v>1</v>
      </c>
      <c r="V2233" s="274">
        <f ca="1">IF(D2233="","",IF(OFFSET(D2233,-2,0)=D2233,"",VLOOKUP(D2233,契約台帳!$A$3:$R$4986,18,FALSE)))</f>
        <v>2</v>
      </c>
      <c r="W2233" s="269" t="str">
        <f ca="1">IF(D2233="","",IF(T2233="","",IF(OR(J2233="巻足し",J2233="巻返しリード付け"),"",IF(J2233="巻返し",VLOOKUP(F2233&amp;K2233&amp;M2233,製品マスタ!$M$5:$AD$5002,18,FALSE),IF(OR(J2233="リード付け",J2233="巻返しリード付け"),"原反コア",IF(J2233="スリット",VLOOKUP(F2233&amp;K2233&amp;R2233,製品マスタ!$N$5:$AD$5002,17,FALSE),""))))))</f>
        <v/>
      </c>
      <c r="X2233" s="269" t="str">
        <f ca="1">IF(D2233="","",IF(T2233="","",IF(J2233="巻足し","",IF(J2233="巻返し",VLOOKUP(F2233&amp;K2233&amp;M2233,製品マスタ!$M$5:$AE$5002,19,FALSE),IF(OR(J2233="リード付け",J2233="巻返しリード付け"),"",IF(J2233="スリット",VLOOKUP(F2233&amp;K2233&amp;R2233,製品マスタ!$N$5:$AE$5002,18,FALSE),""))))))</f>
        <v/>
      </c>
      <c r="Y2233" s="275">
        <f ca="1">IF(D2233="","",IF(T2233="","",VLOOKUP(D2233,契約台帳!$A$3:$Q$4986,17,FALSE)))</f>
        <v>2</v>
      </c>
      <c r="Z2233" s="269" t="str">
        <f ca="1">IF(D2233="","",IF(T2233="","",VLOOKUP(D2233,契約台帳!$A$3:$E$4986,5,FALSE)))</f>
        <v>リンテック㈱</v>
      </c>
      <c r="AA2233" s="57"/>
      <c r="AB2233" s="207">
        <f>IFERROR((VLOOKUP(F2233&amp;K2233&amp;M2233,製品マスタ!$M$5:$AM$5002,27,FALSE)),"")</f>
        <v>0</v>
      </c>
      <c r="AC2233" s="33"/>
      <c r="AD2233" s="189"/>
      <c r="AE2233" s="54"/>
      <c r="AF2233" s="55">
        <f>+M2233*N2233*O2233/1000</f>
        <v>8241</v>
      </c>
      <c r="AG2233" s="43"/>
      <c r="AH2233" s="47"/>
      <c r="AI2233" s="30"/>
      <c r="AJ2233" s="30"/>
      <c r="AK2233" s="30"/>
      <c r="AL2233" s="30"/>
      <c r="AM2233" s="13"/>
      <c r="AN2233" s="13"/>
      <c r="AO2233" s="13"/>
      <c r="AP2233" s="13"/>
      <c r="AQ2233" s="13"/>
      <c r="AR2233" s="14"/>
      <c r="AS2233" s="15"/>
    </row>
    <row r="2234" spans="1:45" s="17" customFormat="1" ht="30.95" hidden="1" customHeight="1" x14ac:dyDescent="0.2">
      <c r="A2234" s="343"/>
      <c r="B2234" s="344"/>
      <c r="C2234" s="345"/>
      <c r="D2234" s="346"/>
      <c r="E2234" s="346"/>
      <c r="F2234" s="268"/>
      <c r="G2234" s="269"/>
      <c r="H2234" s="269"/>
      <c r="I2234" s="301" t="s">
        <v>2976</v>
      </c>
      <c r="J2234" s="434"/>
      <c r="K2234" s="270"/>
      <c r="L2234" s="270"/>
      <c r="M2234" s="348"/>
      <c r="N2234" s="348"/>
      <c r="O2234" s="435"/>
      <c r="P2234" s="349"/>
      <c r="Q2234" s="350"/>
      <c r="R2234" s="271"/>
      <c r="S2234" s="272"/>
      <c r="T2234" s="273"/>
      <c r="U2234" s="351"/>
      <c r="V2234" s="274"/>
      <c r="W2234" s="269"/>
      <c r="X2234" s="269"/>
      <c r="Y2234" s="275"/>
      <c r="Z2234" s="269"/>
      <c r="AA2234" s="350"/>
      <c r="AB2234" s="207"/>
      <c r="AC2234" s="352"/>
      <c r="AD2234" s="353"/>
      <c r="AE2234" s="54"/>
      <c r="AF2234" s="354"/>
      <c r="AG2234" s="355"/>
      <c r="AH2234" s="349"/>
      <c r="AI2234" s="30"/>
      <c r="AJ2234" s="30"/>
      <c r="AK2234" s="30"/>
      <c r="AL2234" s="30"/>
      <c r="AM2234" s="13"/>
      <c r="AN2234" s="13"/>
      <c r="AO2234" s="13"/>
      <c r="AP2234" s="13"/>
      <c r="AQ2234" s="13"/>
      <c r="AR2234" s="14"/>
      <c r="AS2234" s="15"/>
    </row>
    <row r="2235" spans="1:45" s="17" customFormat="1" ht="30.95" hidden="1" customHeight="1" x14ac:dyDescent="0.2">
      <c r="A2235" s="343" t="s">
        <v>2967</v>
      </c>
      <c r="B2235" s="344" t="s">
        <v>2962</v>
      </c>
      <c r="C2235" s="345"/>
      <c r="D2235" s="346"/>
      <c r="E2235" s="346"/>
      <c r="F2235" s="268"/>
      <c r="G2235" s="269"/>
      <c r="H2235" s="269"/>
      <c r="I2235" s="270"/>
      <c r="J2235" s="434"/>
      <c r="K2235" s="270"/>
      <c r="L2235" s="270"/>
      <c r="M2235" s="348"/>
      <c r="N2235" s="348"/>
      <c r="O2235" s="435"/>
      <c r="P2235" s="349"/>
      <c r="Q2235" s="350"/>
      <c r="R2235" s="271"/>
      <c r="S2235" s="272"/>
      <c r="T2235" s="273"/>
      <c r="U2235" s="351"/>
      <c r="V2235" s="274"/>
      <c r="W2235" s="269"/>
      <c r="X2235" s="269"/>
      <c r="Y2235" s="275"/>
      <c r="Z2235" s="269"/>
      <c r="AA2235" s="350"/>
      <c r="AB2235" s="207"/>
      <c r="AC2235" s="352"/>
      <c r="AD2235" s="353"/>
      <c r="AE2235" s="54"/>
      <c r="AF2235" s="354"/>
      <c r="AG2235" s="355"/>
      <c r="AH2235" s="349"/>
      <c r="AI2235" s="30"/>
      <c r="AJ2235" s="30"/>
      <c r="AK2235" s="30"/>
      <c r="AL2235" s="30"/>
      <c r="AM2235" s="13"/>
      <c r="AN2235" s="13"/>
      <c r="AO2235" s="13"/>
      <c r="AP2235" s="13"/>
      <c r="AQ2235" s="13"/>
      <c r="AR2235" s="14"/>
      <c r="AS2235" s="15"/>
    </row>
    <row r="2236" spans="1:45" s="17" customFormat="1" ht="30.95" hidden="1" customHeight="1" x14ac:dyDescent="0.2">
      <c r="A2236" s="343"/>
      <c r="B2236" s="344"/>
      <c r="C2236" s="345"/>
      <c r="D2236" s="346"/>
      <c r="E2236" s="346"/>
      <c r="F2236" s="268"/>
      <c r="G2236" s="269"/>
      <c r="H2236" s="269"/>
      <c r="I2236" s="270"/>
      <c r="J2236" s="434"/>
      <c r="K2236" s="270"/>
      <c r="L2236" s="270"/>
      <c r="M2236" s="348"/>
      <c r="N2236" s="348"/>
      <c r="O2236" s="435"/>
      <c r="P2236" s="349"/>
      <c r="Q2236" s="350"/>
      <c r="R2236" s="271"/>
      <c r="S2236" s="272"/>
      <c r="T2236" s="273"/>
      <c r="U2236" s="351"/>
      <c r="V2236" s="274"/>
      <c r="W2236" s="269"/>
      <c r="X2236" s="269"/>
      <c r="Y2236" s="275"/>
      <c r="Z2236" s="269"/>
      <c r="AA2236" s="350"/>
      <c r="AB2236" s="207"/>
      <c r="AC2236" s="352"/>
      <c r="AD2236" s="353"/>
      <c r="AE2236" s="54"/>
      <c r="AF2236" s="354"/>
      <c r="AG2236" s="355"/>
      <c r="AH2236" s="349"/>
      <c r="AI2236" s="30"/>
      <c r="AJ2236" s="30"/>
      <c r="AK2236" s="30"/>
      <c r="AL2236" s="30"/>
      <c r="AM2236" s="13"/>
      <c r="AN2236" s="13"/>
      <c r="AO2236" s="13"/>
      <c r="AP2236" s="13"/>
      <c r="AQ2236" s="13"/>
      <c r="AR2236" s="14"/>
      <c r="AS2236" s="15"/>
    </row>
    <row r="2237" spans="1:45" s="17" customFormat="1" ht="30.6" hidden="1" customHeight="1" x14ac:dyDescent="0.2">
      <c r="A2237" s="343" t="s">
        <v>498</v>
      </c>
      <c r="B2237" s="344" t="s">
        <v>444</v>
      </c>
      <c r="C2237" s="45"/>
      <c r="D2237" s="31">
        <v>3762740</v>
      </c>
      <c r="E2237" s="31">
        <v>4151732</v>
      </c>
      <c r="F2237" s="268" t="str">
        <f>IF(D2237="","",VLOOKUP(D2237,契約台帳!$A$3:$K$4986,6,FALSE)&amp;VLOOKUP(D2237,契約台帳!$A$3:$K$4986,7,FALSE)&amp;VLOOKUP(D2237,契約台帳!$A$3:$K$4986,8,FALSE)&amp;VLOOKUP(D2237,契約台帳!$A$3:$K$4986,9,FALSE)&amp;VLOOKUP(D2237,契約台帳!$A$3:$K$4986,11,FALSE))</f>
        <v>3SYMLBMSNMBF</v>
      </c>
      <c r="G2237" s="269" t="str">
        <f>IF(D2237="","",VLOOKUP(F2237,製品マスタ!$G$5:$H$5002,2,FALSE))</f>
        <v>S</v>
      </c>
      <c r="H2237" s="269" t="str">
        <f>IF(D2237="","",VLOOKUP(F2237,製品マスタ!$G$5:$K$5002,5,FALSE))</f>
        <v>MSNMBF</v>
      </c>
      <c r="I2237" s="270" t="str">
        <f>IF(D2237="","",VLOOKUP(F2237,製品マスタ!$G$5:$L$5002,6,FALSE))</f>
        <v>ＭＥＴＡＬＵＭＹ　ＳＩＬＶＥＲ　Ｎ－ＭＡＴＴＥ　Ｘ４４Ｍ　Ｂ</v>
      </c>
      <c r="J2237" s="210" t="s">
        <v>447</v>
      </c>
      <c r="K2237" s="270">
        <f>IF(D2237="","",VLOOKUP(D2237,契約台帳!$A$3:$L$4986,12,FALSE))</f>
        <v>50</v>
      </c>
      <c r="L2237" s="270" t="str">
        <f>IF(D2237="","",INDEX(製品マスタ!$Q$5:$Q$5002,MATCH('S4'!F2237&amp;'S4'!K2237,製品マスタ!$AO$5:$AO$5002,0)))</f>
        <v>X44</v>
      </c>
      <c r="M2237" s="39">
        <v>1120</v>
      </c>
      <c r="N2237" s="39">
        <v>12000</v>
      </c>
      <c r="O2237" s="156">
        <v>5</v>
      </c>
      <c r="P2237" s="47">
        <v>5</v>
      </c>
      <c r="Q2237" s="57"/>
      <c r="R2237" s="271">
        <f ca="1">IF(D2237="","",IF(OFFSET(D2237,-1,0)&lt;&gt;"","",IF(OR(J2237="リード付け",J2237="巻足し",J2237="巻返しリード付け"),M2237,VLOOKUP(D2237,契約台帳!$A$3:$N$4986,14,FALSE))))</f>
        <v>1120</v>
      </c>
      <c r="S2237" s="272">
        <f ca="1">IF(D2237="","",IF(OFFSET(D2237,-1,0)&lt;&gt;"","",IF(OR(J2237="リード付け",J2237="巻足し",J2237="巻返しリード付け"),M2237,VLOOKUP(D2237,契約台帳!$A$3:$O$4986,15,FALSE))))</f>
        <v>1120</v>
      </c>
      <c r="T2237" s="273">
        <f ca="1">IF(D2237="","",IF(J2237="リード付け",N2237,IF(J2237="巻返しリード付け",N2237,IF(J2237="巻足し",N2237*P2237+OFFSET(N2237,1,0)*OFFSET(P2237,1,0),VLOOKUP(D2237,契約台帳!$A$3:$P$4986,16,FALSE)))))</f>
        <v>4000</v>
      </c>
      <c r="U2237" s="40">
        <v>15</v>
      </c>
      <c r="V2237" s="274">
        <f ca="1">IF(D2237="","",IF(OFFSET(D2237,-2,0)=D2237,"",VLOOKUP(D2237,契約台帳!$A$3:$R$4986,18,FALSE)))</f>
        <v>20</v>
      </c>
      <c r="W2237" s="269" t="str">
        <f ca="1">IF(D2237="","",IF(T2237="","",IF(OR(J2237="巻足し",J2237="巻返しリード付け"),"",IF(J2237="巻返し",VLOOKUP(F2237&amp;K2237&amp;M2237,製品マスタ!$M$5:$AD$5002,18,FALSE),IF(OR(J2237="リード付け",J2237="巻返しリード付け"),"原反コア",IF(J2237="スリット",VLOOKUP(F2237&amp;K2237&amp;R2237,製品マスタ!$N$5:$AD$5002,17,FALSE),""))))))</f>
        <v>6ｲﾝﾁMｺｱ</v>
      </c>
      <c r="X2237" s="269">
        <f ca="1">IF(D2237="","",IF(T2237="","",IF(J2237="巻足し","",IF(J2237="巻返し",VLOOKUP(F2237&amp;K2237&amp;M2237,製品マスタ!$M$5:$AE$5002,19,FALSE),IF(OR(J2237="リード付け",J2237="巻返しリード付け"),"",IF(J2237="スリット",VLOOKUP(F2237&amp;K2237&amp;R2237,製品マスタ!$N$5:$AE$5002,18,FALSE),""))))))</f>
        <v>1125</v>
      </c>
      <c r="Y2237" s="275">
        <f ca="1">IF(D2237="","",IF(T2237="","",VLOOKUP(D2237,契約台帳!$A$3:$Q$4986,17,FALSE)))</f>
        <v>2</v>
      </c>
      <c r="Z2237" s="269" t="str">
        <f ca="1">IF(D2237="","",IF(T2237="","",VLOOKUP(D2237,契約台帳!$A$3:$E$4986,5,FALSE)))</f>
        <v>リンテック㈱</v>
      </c>
      <c r="AA2237" s="57"/>
      <c r="AB2237" s="207"/>
      <c r="AC2237" s="33"/>
      <c r="AD2237" s="189"/>
      <c r="AE2237" s="54" t="str">
        <f>IF(F2237="","",+F2237&amp;K2237)</f>
        <v>3SYMLBMSNMBF50</v>
      </c>
      <c r="AF2237" s="55">
        <f>+M2237*N2237*O2237/1000</f>
        <v>67200</v>
      </c>
      <c r="AG2237" s="43">
        <f>IF(AE2237="","",VLOOKUP(AE2237,原価マスタ!$A$2:$AJ$1693,13,FALSE))</f>
        <v>98.8</v>
      </c>
      <c r="AH2237" s="47">
        <f>IF(AG2237="","",+AF2237*AG2237/100)</f>
        <v>66393.600000000006</v>
      </c>
      <c r="AI2237" s="30"/>
      <c r="AJ2237" s="30"/>
      <c r="AK2237" s="30"/>
      <c r="AL2237" s="30"/>
      <c r="AM2237" s="13"/>
      <c r="AN2237" s="13"/>
      <c r="AO2237" s="13"/>
      <c r="AP2237" s="13"/>
      <c r="AQ2237" s="13"/>
      <c r="AR2237" s="14"/>
      <c r="AS2237" s="15"/>
    </row>
    <row r="2238" spans="1:45" s="17" customFormat="1" ht="30.95" hidden="1" customHeight="1" x14ac:dyDescent="0.2">
      <c r="A2238" s="343"/>
      <c r="B2238" s="344"/>
      <c r="C2238" s="345"/>
      <c r="D2238" s="346"/>
      <c r="E2238" s="346"/>
      <c r="F2238" s="268"/>
      <c r="G2238" s="269"/>
      <c r="H2238" s="269"/>
      <c r="I2238" s="301" t="s">
        <v>2995</v>
      </c>
      <c r="J2238" s="434"/>
      <c r="K2238" s="270"/>
      <c r="L2238" s="270"/>
      <c r="M2238" s="348"/>
      <c r="N2238" s="348"/>
      <c r="O2238" s="435"/>
      <c r="P2238" s="349"/>
      <c r="Q2238" s="350"/>
      <c r="R2238" s="271"/>
      <c r="S2238" s="272"/>
      <c r="T2238" s="273"/>
      <c r="U2238" s="351"/>
      <c r="V2238" s="274"/>
      <c r="W2238" s="269"/>
      <c r="X2238" s="269"/>
      <c r="Y2238" s="275"/>
      <c r="Z2238" s="269"/>
      <c r="AA2238" s="350"/>
      <c r="AB2238" s="207"/>
      <c r="AC2238" s="352"/>
      <c r="AD2238" s="353"/>
      <c r="AE2238" s="54"/>
      <c r="AF2238" s="354"/>
      <c r="AG2238" s="355"/>
      <c r="AH2238" s="349"/>
      <c r="AI2238" s="30"/>
      <c r="AJ2238" s="30"/>
      <c r="AK2238" s="30"/>
      <c r="AL2238" s="30"/>
      <c r="AM2238" s="13"/>
      <c r="AN2238" s="13"/>
      <c r="AO2238" s="13"/>
      <c r="AP2238" s="13"/>
      <c r="AQ2238" s="13"/>
      <c r="AR2238" s="14"/>
      <c r="AS2238" s="15"/>
    </row>
    <row r="2239" spans="1:45" s="17" customFormat="1" ht="30.6" hidden="1" customHeight="1" x14ac:dyDescent="0.2">
      <c r="A2239" s="343"/>
      <c r="B2239" s="344"/>
      <c r="C2239" s="45"/>
      <c r="D2239" s="31">
        <v>3762740</v>
      </c>
      <c r="E2239" s="31">
        <v>4151732</v>
      </c>
      <c r="F2239" s="268" t="str">
        <f>IF(D2239="","",VLOOKUP(D2239,契約台帳!$A$3:$K$4986,6,FALSE)&amp;VLOOKUP(D2239,契約台帳!$A$3:$K$4986,7,FALSE)&amp;VLOOKUP(D2239,契約台帳!$A$3:$K$4986,8,FALSE)&amp;VLOOKUP(D2239,契約台帳!$A$3:$K$4986,9,FALSE)&amp;VLOOKUP(D2239,契約台帳!$A$3:$K$4986,11,FALSE))</f>
        <v>3SYMLBMSNMBF</v>
      </c>
      <c r="G2239" s="269" t="str">
        <f>IF(D2239="","",VLOOKUP(F2239,製品マスタ!$G$5:$H$5002,2,FALSE))</f>
        <v>S</v>
      </c>
      <c r="H2239" s="269" t="str">
        <f>IF(D2239="","",VLOOKUP(F2239,製品マスタ!$G$5:$K$5002,5,FALSE))</f>
        <v>MSNMBF</v>
      </c>
      <c r="I2239" s="270" t="str">
        <f>IF(D2239="","",VLOOKUP(F2239,製品マスタ!$G$5:$L$5002,6,FALSE))</f>
        <v>ＭＥＴＡＬＵＭＹ　ＳＩＬＶＥＲ　Ｎ－ＭＡＴＴＥ　Ｘ４４Ｍ　Ｂ</v>
      </c>
      <c r="J2239" s="210" t="s">
        <v>447</v>
      </c>
      <c r="K2239" s="270">
        <f>IF(D2239="","",VLOOKUP(D2239,契約台帳!$A$3:$L$4986,12,FALSE))</f>
        <v>50</v>
      </c>
      <c r="L2239" s="270" t="str">
        <f>IF(D2239="","",INDEX(製品マスタ!$Q$5:$Q$5002,MATCH('S4'!F2239&amp;'S4'!K2239,製品マスタ!$AO$5:$AO$5002,0)))</f>
        <v>X44</v>
      </c>
      <c r="M2239" s="39">
        <v>1120</v>
      </c>
      <c r="N2239" s="39">
        <v>8000</v>
      </c>
      <c r="O2239" s="156">
        <v>1</v>
      </c>
      <c r="P2239" s="47">
        <v>1</v>
      </c>
      <c r="Q2239" s="57"/>
      <c r="R2239" s="271">
        <f ca="1">IF(D2239="","",IF(OFFSET(D2239,-1,0)&lt;&gt;"","",IF(OR(J2239="リード付け",J2239="巻足し",J2239="巻返しリード付け"),M2239,VLOOKUP(D2239,契約台帳!$A$3:$N$4986,14,FALSE))))</f>
        <v>1120</v>
      </c>
      <c r="S2239" s="272">
        <f ca="1">IF(D2239="","",IF(OFFSET(D2239,-1,0)&lt;&gt;"","",IF(OR(J2239="リード付け",J2239="巻足し",J2239="巻返しリード付け"),M2239,VLOOKUP(D2239,契約台帳!$A$3:$O$4986,15,FALSE))))</f>
        <v>1120</v>
      </c>
      <c r="T2239" s="273">
        <f ca="1">IF(D2239="","",IF(J2239="リード付け",N2239,IF(J2239="巻返しリード付け",N2239,IF(J2239="巻足し",N2239*P2239+OFFSET(N2239,1,0)*OFFSET(P2239,1,0),VLOOKUP(D2239,契約台帳!$A$3:$P$4986,16,FALSE)))))</f>
        <v>4000</v>
      </c>
      <c r="U2239" s="40">
        <v>2</v>
      </c>
      <c r="V2239" s="274" t="str">
        <f ca="1">IF(D2239="","",IF(OFFSET(D2239,-2,0)=D2239,"",VLOOKUP(D2239,契約台帳!$A$3:$R$4986,18,FALSE)))</f>
        <v/>
      </c>
      <c r="W2239" s="269" t="str">
        <f ca="1">IF(D2239="","",IF(T2239="","",IF(OR(J2239="巻足し",J2239="巻返しリード付け"),"",IF(J2239="巻返し",VLOOKUP(F2239&amp;K2239&amp;M2239,製品マスタ!$M$5:$AD$5002,18,FALSE),IF(OR(J2239="リード付け",J2239="巻返しリード付け"),"原反コア",IF(J2239="スリット",VLOOKUP(F2239&amp;K2239&amp;R2239,製品マスタ!$N$5:$AD$5002,17,FALSE),""))))))</f>
        <v>6ｲﾝﾁMｺｱ</v>
      </c>
      <c r="X2239" s="269">
        <f ca="1">IF(D2239="","",IF(T2239="","",IF(J2239="巻足し","",IF(J2239="巻返し",VLOOKUP(F2239&amp;K2239&amp;M2239,製品マスタ!$M$5:$AE$5002,19,FALSE),IF(OR(J2239="リード付け",J2239="巻返しリード付け"),"",IF(J2239="スリット",VLOOKUP(F2239&amp;K2239&amp;R2239,製品マスタ!$N$5:$AE$5002,18,FALSE),""))))))</f>
        <v>1125</v>
      </c>
      <c r="Y2239" s="275">
        <f ca="1">IF(D2239="","",IF(T2239="","",VLOOKUP(D2239,契約台帳!$A$3:$Q$4986,17,FALSE)))</f>
        <v>2</v>
      </c>
      <c r="Z2239" s="269" t="str">
        <f ca="1">IF(D2239="","",IF(T2239="","",VLOOKUP(D2239,契約台帳!$A$3:$E$4986,5,FALSE)))</f>
        <v>リンテック㈱</v>
      </c>
      <c r="AA2239" s="57"/>
      <c r="AB2239" s="207"/>
      <c r="AC2239" s="33"/>
      <c r="AD2239" s="189"/>
      <c r="AE2239" s="54" t="str">
        <f>IF(F2239="","",+F2239&amp;K2239)</f>
        <v>3SYMLBMSNMBF50</v>
      </c>
      <c r="AF2239" s="55">
        <f>+M2239*N2239*O2239/1000</f>
        <v>8960</v>
      </c>
      <c r="AG2239" s="43">
        <f>IF(AE2239="","",VLOOKUP(AE2239,原価マスタ!$A$2:$AJ$1693,13,FALSE))</f>
        <v>98.8</v>
      </c>
      <c r="AH2239" s="47">
        <f>IF(AG2239="","",+AF2239*AG2239/100)</f>
        <v>8852.48</v>
      </c>
      <c r="AI2239" s="30"/>
      <c r="AJ2239" s="30"/>
      <c r="AK2239" s="30"/>
      <c r="AL2239" s="30"/>
      <c r="AM2239" s="13"/>
      <c r="AN2239" s="13"/>
      <c r="AO2239" s="13"/>
      <c r="AP2239" s="13"/>
      <c r="AQ2239" s="13"/>
      <c r="AR2239" s="14"/>
      <c r="AS2239" s="15"/>
    </row>
    <row r="2240" spans="1:45" s="17" customFormat="1" ht="30.95" hidden="1" customHeight="1" x14ac:dyDescent="0.2">
      <c r="A2240" s="343"/>
      <c r="B2240" s="344"/>
      <c r="C2240" s="345"/>
      <c r="D2240" s="346"/>
      <c r="E2240" s="346"/>
      <c r="F2240" s="268"/>
      <c r="G2240" s="269"/>
      <c r="H2240" s="269"/>
      <c r="I2240" s="301" t="s">
        <v>2995</v>
      </c>
      <c r="J2240" s="434"/>
      <c r="K2240" s="270"/>
      <c r="L2240" s="270"/>
      <c r="M2240" s="348"/>
      <c r="N2240" s="348"/>
      <c r="O2240" s="435"/>
      <c r="P2240" s="349"/>
      <c r="Q2240" s="350"/>
      <c r="R2240" s="271"/>
      <c r="S2240" s="272"/>
      <c r="T2240" s="273"/>
      <c r="U2240" s="351"/>
      <c r="V2240" s="274"/>
      <c r="W2240" s="269"/>
      <c r="X2240" s="269"/>
      <c r="Y2240" s="275"/>
      <c r="Z2240" s="269"/>
      <c r="AA2240" s="350"/>
      <c r="AB2240" s="207"/>
      <c r="AC2240" s="352"/>
      <c r="AD2240" s="353"/>
      <c r="AE2240" s="54"/>
      <c r="AF2240" s="354"/>
      <c r="AG2240" s="355"/>
      <c r="AH2240" s="349"/>
      <c r="AI2240" s="30"/>
      <c r="AJ2240" s="30"/>
      <c r="AK2240" s="30"/>
      <c r="AL2240" s="30"/>
      <c r="AM2240" s="13"/>
      <c r="AN2240" s="13"/>
      <c r="AO2240" s="13"/>
      <c r="AP2240" s="13"/>
      <c r="AQ2240" s="13"/>
      <c r="AR2240" s="14"/>
      <c r="AS2240" s="15"/>
    </row>
    <row r="2241" spans="1:45" s="17" customFormat="1" ht="30.95" hidden="1" customHeight="1" x14ac:dyDescent="0.2">
      <c r="A2241" s="343" t="s">
        <v>2968</v>
      </c>
      <c r="B2241" s="344" t="s">
        <v>2954</v>
      </c>
      <c r="C2241" s="345"/>
      <c r="D2241" s="346"/>
      <c r="E2241" s="346"/>
      <c r="F2241" s="268"/>
      <c r="G2241" s="269"/>
      <c r="H2241" s="269"/>
      <c r="I2241" s="270"/>
      <c r="J2241" s="434"/>
      <c r="K2241" s="270"/>
      <c r="L2241" s="270"/>
      <c r="M2241" s="348"/>
      <c r="N2241" s="348"/>
      <c r="O2241" s="435"/>
      <c r="P2241" s="349"/>
      <c r="Q2241" s="350"/>
      <c r="R2241" s="271"/>
      <c r="S2241" s="272"/>
      <c r="T2241" s="273"/>
      <c r="U2241" s="351"/>
      <c r="V2241" s="274"/>
      <c r="W2241" s="269"/>
      <c r="X2241" s="269"/>
      <c r="Y2241" s="275"/>
      <c r="Z2241" s="269"/>
      <c r="AA2241" s="350"/>
      <c r="AB2241" s="207"/>
      <c r="AC2241" s="352"/>
      <c r="AD2241" s="353"/>
      <c r="AE2241" s="54"/>
      <c r="AF2241" s="354"/>
      <c r="AG2241" s="355"/>
      <c r="AH2241" s="349"/>
      <c r="AI2241" s="30"/>
      <c r="AJ2241" s="30"/>
      <c r="AK2241" s="30"/>
      <c r="AL2241" s="30"/>
      <c r="AM2241" s="13"/>
      <c r="AN2241" s="13"/>
      <c r="AO2241" s="13"/>
      <c r="AP2241" s="13"/>
      <c r="AQ2241" s="13"/>
      <c r="AR2241" s="14"/>
      <c r="AS2241" s="15"/>
    </row>
    <row r="2242" spans="1:45" s="17" customFormat="1" ht="30.95" hidden="1" customHeight="1" x14ac:dyDescent="0.2">
      <c r="A2242" s="343"/>
      <c r="B2242" s="344"/>
      <c r="C2242" s="345"/>
      <c r="D2242" s="346"/>
      <c r="E2242" s="346"/>
      <c r="F2242" s="268"/>
      <c r="G2242" s="269"/>
      <c r="H2242" s="269"/>
      <c r="I2242" s="270"/>
      <c r="J2242" s="434"/>
      <c r="K2242" s="270"/>
      <c r="L2242" s="270"/>
      <c r="M2242" s="348"/>
      <c r="N2242" s="348"/>
      <c r="O2242" s="435"/>
      <c r="P2242" s="349"/>
      <c r="Q2242" s="350"/>
      <c r="R2242" s="271"/>
      <c r="S2242" s="272"/>
      <c r="T2242" s="273"/>
      <c r="U2242" s="351"/>
      <c r="V2242" s="274"/>
      <c r="W2242" s="269"/>
      <c r="X2242" s="269"/>
      <c r="Y2242" s="275"/>
      <c r="Z2242" s="269"/>
      <c r="AA2242" s="350"/>
      <c r="AB2242" s="207"/>
      <c r="AC2242" s="352"/>
      <c r="AD2242" s="353"/>
      <c r="AE2242" s="54"/>
      <c r="AF2242" s="354"/>
      <c r="AG2242" s="355"/>
      <c r="AH2242" s="349"/>
      <c r="AI2242" s="30"/>
      <c r="AJ2242" s="30"/>
      <c r="AK2242" s="30"/>
      <c r="AL2242" s="30"/>
      <c r="AM2242" s="13"/>
      <c r="AN2242" s="13"/>
      <c r="AO2242" s="13"/>
      <c r="AP2242" s="13"/>
      <c r="AQ2242" s="13"/>
      <c r="AR2242" s="14"/>
      <c r="AS2242" s="15"/>
    </row>
    <row r="2243" spans="1:45" s="17" customFormat="1" ht="30.95" hidden="1" customHeight="1" x14ac:dyDescent="0.2">
      <c r="A2243" s="343" t="s">
        <v>2969</v>
      </c>
      <c r="B2243" s="344" t="s">
        <v>2956</v>
      </c>
      <c r="C2243" s="345"/>
      <c r="D2243" s="346"/>
      <c r="E2243" s="346"/>
      <c r="F2243" s="268"/>
      <c r="G2243" s="269"/>
      <c r="H2243" s="269"/>
      <c r="I2243" s="270"/>
      <c r="J2243" s="434" t="s">
        <v>448</v>
      </c>
      <c r="K2243" s="270"/>
      <c r="L2243" s="270"/>
      <c r="M2243" s="348"/>
      <c r="N2243" s="348"/>
      <c r="O2243" s="435"/>
      <c r="P2243" s="349"/>
      <c r="Q2243" s="350"/>
      <c r="R2243" s="271"/>
      <c r="S2243" s="272"/>
      <c r="T2243" s="273"/>
      <c r="U2243" s="351"/>
      <c r="V2243" s="274"/>
      <c r="W2243" s="269"/>
      <c r="X2243" s="269"/>
      <c r="Y2243" s="275"/>
      <c r="Z2243" s="269"/>
      <c r="AA2243" s="350"/>
      <c r="AB2243" s="207"/>
      <c r="AC2243" s="352"/>
      <c r="AD2243" s="353"/>
      <c r="AE2243" s="54"/>
      <c r="AF2243" s="354"/>
      <c r="AG2243" s="355"/>
      <c r="AH2243" s="349"/>
      <c r="AI2243" s="30"/>
      <c r="AJ2243" s="30"/>
      <c r="AK2243" s="30"/>
      <c r="AL2243" s="30"/>
      <c r="AM2243" s="13"/>
      <c r="AN2243" s="13"/>
      <c r="AO2243" s="13"/>
      <c r="AP2243" s="13"/>
      <c r="AQ2243" s="13"/>
      <c r="AR2243" s="14"/>
      <c r="AS2243" s="15"/>
    </row>
    <row r="2244" spans="1:45" s="17" customFormat="1" ht="30.95" hidden="1" customHeight="1" x14ac:dyDescent="0.2">
      <c r="A2244" s="343"/>
      <c r="B2244" s="344"/>
      <c r="C2244" s="345"/>
      <c r="D2244" s="346"/>
      <c r="E2244" s="346"/>
      <c r="F2244" s="268"/>
      <c r="G2244" s="269"/>
      <c r="H2244" s="269"/>
      <c r="I2244" s="270"/>
      <c r="J2244" s="434"/>
      <c r="K2244" s="270"/>
      <c r="L2244" s="270"/>
      <c r="M2244" s="348"/>
      <c r="N2244" s="348"/>
      <c r="O2244" s="435"/>
      <c r="P2244" s="349"/>
      <c r="Q2244" s="350"/>
      <c r="R2244" s="271"/>
      <c r="S2244" s="272"/>
      <c r="T2244" s="273"/>
      <c r="U2244" s="351"/>
      <c r="V2244" s="274"/>
      <c r="W2244" s="269"/>
      <c r="X2244" s="269"/>
      <c r="Y2244" s="275"/>
      <c r="Z2244" s="269"/>
      <c r="AA2244" s="350"/>
      <c r="AB2244" s="207"/>
      <c r="AC2244" s="352"/>
      <c r="AD2244" s="353"/>
      <c r="AE2244" s="54"/>
      <c r="AF2244" s="354"/>
      <c r="AG2244" s="355"/>
      <c r="AH2244" s="349"/>
      <c r="AI2244" s="30"/>
      <c r="AJ2244" s="30"/>
      <c r="AK2244" s="30"/>
      <c r="AL2244" s="30"/>
      <c r="AM2244" s="13"/>
      <c r="AN2244" s="13"/>
      <c r="AO2244" s="13"/>
      <c r="AP2244" s="13"/>
      <c r="AQ2244" s="13"/>
      <c r="AR2244" s="14"/>
      <c r="AS2244" s="15"/>
    </row>
    <row r="2245" spans="1:45" s="17" customFormat="1" ht="30.6" hidden="1" customHeight="1" x14ac:dyDescent="0.2">
      <c r="A2245" s="343" t="s">
        <v>2970</v>
      </c>
      <c r="B2245" s="344" t="s">
        <v>2958</v>
      </c>
      <c r="C2245" s="45"/>
      <c r="D2245" s="31">
        <v>3758060</v>
      </c>
      <c r="E2245" s="31">
        <v>4141152</v>
      </c>
      <c r="F2245" s="268" t="str">
        <f>IF(D2245="","",VLOOKUP(D2245,契約台帳!$A$3:$K$4986,6,FALSE)&amp;VLOOKUP(D2245,契約台帳!$A$3:$K$4986,7,FALSE)&amp;VLOOKUP(D2245,契約台帳!$A$3:$K$4986,8,FALSE)&amp;VLOOKUP(D2245,契約台帳!$A$3:$K$4986,9,FALSE)&amp;VLOOKUP(D2245,契約台帳!$A$3:$K$4986,11,FALSE))</f>
        <v>3SNMCLBMSNEYK</v>
      </c>
      <c r="G2245" s="269" t="str">
        <f>IF(D2245="","",VLOOKUP(F2245,製品マスタ!$G$5:$H$5002,2,FALSE))</f>
        <v>S</v>
      </c>
      <c r="H2245" s="269" t="str">
        <f>IF(D2245="","",VLOOKUP(F2245,製品マスタ!$G$5:$K$5002,5,FALSE))</f>
        <v>MSNEYK</v>
      </c>
      <c r="I2245" s="270" t="str">
        <f>IF(D2245="","",VLOOKUP(F2245,製品マスタ!$G$5:$L$5002,6,FALSE))</f>
        <v>ＭＳＮ　ＥＹＫ</v>
      </c>
      <c r="J2245" s="210" t="s">
        <v>447</v>
      </c>
      <c r="K2245" s="270">
        <f>IF(D2245="","",VLOOKUP(D2245,契約台帳!$A$3:$L$4986,12,FALSE))</f>
        <v>100</v>
      </c>
      <c r="L2245" s="270" t="str">
        <f>IF(D2245="","",INDEX(製品マスタ!$Q$5:$Q$5002,MATCH('S4'!F2245&amp;'S4'!K2245,製品マスタ!$AO$5:$AO$5002,0)))</f>
        <v>N-MAT</v>
      </c>
      <c r="M2245" s="39">
        <v>1205</v>
      </c>
      <c r="N2245" s="39">
        <v>5000</v>
      </c>
      <c r="O2245" s="156">
        <v>1</v>
      </c>
      <c r="P2245" s="47">
        <v>1</v>
      </c>
      <c r="Q2245" s="57"/>
      <c r="R2245" s="271">
        <f ca="1">IF(D2245="","",IF(OFFSET(D2245,-1,0)&lt;&gt;"","",IF(OR(J2245="リード付け",J2245="巻足し",J2245="巻返しリード付け"),M2245,VLOOKUP(D2245,契約台帳!$A$3:$N$4986,14,FALSE))))</f>
        <v>1205</v>
      </c>
      <c r="S2245" s="272">
        <f ca="1">IF(D2245="","",IF(OFFSET(D2245,-1,0)&lt;&gt;"","",IF(OR(J2245="リード付け",J2245="巻足し",J2245="巻返しリード付け"),M2245,VLOOKUP(D2245,契約台帳!$A$3:$O$4986,15,FALSE))))</f>
        <v>1205</v>
      </c>
      <c r="T2245" s="273">
        <f ca="1">IF(D2245="","",IF(J2245="リード付け",N2245,IF(J2245="巻返しリード付け",N2245,IF(J2245="巻足し",N2245*P2245+OFFSET(N2245,1,0)*OFFSET(P2245,1,0),VLOOKUP(D2245,契約台帳!$A$3:$P$4986,16,FALSE)))))</f>
        <v>2500</v>
      </c>
      <c r="U2245" s="40">
        <v>2</v>
      </c>
      <c r="V2245" s="274">
        <f ca="1">IF(D2245="","",IF(OFFSET(D2245,-2,0)=D2245,"",VLOOKUP(D2245,契約台帳!$A$3:$R$4986,18,FALSE)))</f>
        <v>3</v>
      </c>
      <c r="W2245" s="269" t="str">
        <f ca="1">IF(D2245="","",IF(T2245="","",IF(OR(J2245="巻足し",J2245="巻返しリード付け"),"",IF(J2245="巻返し",VLOOKUP(F2245&amp;K2245&amp;M2245,製品マスタ!$M$5:$AD$5002,18,FALSE),IF(OR(J2245="リード付け",J2245="巻返しリード付け"),"原反コア",IF(J2245="スリット",VLOOKUP(F2245&amp;K2245&amp;R2245,製品マスタ!$N$5:$AD$5002,17,FALSE),""))))))</f>
        <v>6ｲﾝﾁMｺｱ</v>
      </c>
      <c r="X2245" s="269">
        <f ca="1">IF(D2245="","",IF(T2245="","",IF(J2245="巻足し","",IF(J2245="巻返し",VLOOKUP(F2245&amp;K2245&amp;M2245,製品マスタ!$M$5:$AE$5002,19,FALSE),IF(OR(J2245="リード付け",J2245="巻返しリード付け"),"",IF(J2245="スリット",VLOOKUP(F2245&amp;K2245&amp;R2245,製品マスタ!$N$5:$AE$5002,18,FALSE),""))))))</f>
        <v>1220</v>
      </c>
      <c r="Y2245" s="275">
        <f ca="1">IF(D2245="","",IF(T2245="","",VLOOKUP(D2245,契約台帳!$A$3:$Q$4986,17,FALSE)))</f>
        <v>2</v>
      </c>
      <c r="Z2245" s="269" t="str">
        <f ca="1">IF(D2245="","",IF(T2245="","",VLOOKUP(D2245,契約台帳!$A$3:$E$4986,5,FALSE)))</f>
        <v>マルウ接着㈱</v>
      </c>
      <c r="AA2245" s="57"/>
      <c r="AB2245" s="207"/>
      <c r="AC2245" s="33"/>
      <c r="AD2245" s="189"/>
      <c r="AE2245" s="54"/>
      <c r="AF2245" s="55"/>
      <c r="AG2245" s="43"/>
      <c r="AH2245" s="47"/>
      <c r="AI2245" s="30"/>
      <c r="AJ2245" s="30"/>
      <c r="AK2245" s="30"/>
      <c r="AL2245" s="30"/>
      <c r="AM2245" s="13"/>
      <c r="AN2245" s="13"/>
      <c r="AO2245" s="13"/>
      <c r="AP2245" s="13"/>
      <c r="AQ2245" s="13"/>
      <c r="AR2245" s="14"/>
      <c r="AS2245" s="15"/>
    </row>
    <row r="2246" spans="1:45" s="17" customFormat="1" ht="30.95" hidden="1" customHeight="1" x14ac:dyDescent="0.2">
      <c r="A2246" s="343"/>
      <c r="B2246" s="344"/>
      <c r="C2246" s="345"/>
      <c r="D2246" s="346"/>
      <c r="E2246" s="346"/>
      <c r="F2246" s="268"/>
      <c r="G2246" s="269"/>
      <c r="H2246" s="269"/>
      <c r="I2246" s="270"/>
      <c r="J2246" s="434"/>
      <c r="K2246" s="270"/>
      <c r="L2246" s="270"/>
      <c r="M2246" s="348"/>
      <c r="N2246" s="348"/>
      <c r="O2246" s="435"/>
      <c r="P2246" s="349"/>
      <c r="Q2246" s="350"/>
      <c r="R2246" s="271"/>
      <c r="S2246" s="272"/>
      <c r="T2246" s="273"/>
      <c r="U2246" s="351"/>
      <c r="V2246" s="274"/>
      <c r="W2246" s="269"/>
      <c r="X2246" s="269"/>
      <c r="Y2246" s="275"/>
      <c r="Z2246" s="269"/>
      <c r="AA2246" s="350"/>
      <c r="AB2246" s="207"/>
      <c r="AC2246" s="352"/>
      <c r="AD2246" s="353"/>
      <c r="AE2246" s="54"/>
      <c r="AF2246" s="354"/>
      <c r="AG2246" s="355"/>
      <c r="AH2246" s="349"/>
      <c r="AI2246" s="30"/>
      <c r="AJ2246" s="30"/>
      <c r="AK2246" s="30"/>
      <c r="AL2246" s="30"/>
      <c r="AM2246" s="13"/>
      <c r="AN2246" s="13"/>
      <c r="AO2246" s="13"/>
      <c r="AP2246" s="13"/>
      <c r="AQ2246" s="13"/>
      <c r="AR2246" s="14"/>
      <c r="AS2246" s="15"/>
    </row>
    <row r="2247" spans="1:45" s="17" customFormat="1" ht="30.6" hidden="1" customHeight="1" x14ac:dyDescent="0.2">
      <c r="A2247" s="343"/>
      <c r="B2247" s="344"/>
      <c r="C2247" s="45"/>
      <c r="D2247" s="31">
        <v>3758060</v>
      </c>
      <c r="E2247" s="31">
        <v>4141152</v>
      </c>
      <c r="F2247" s="268" t="str">
        <f>IF(D2247="","",VLOOKUP(D2247,契約台帳!$A$3:$K$4986,6,FALSE)&amp;VLOOKUP(D2247,契約台帳!$A$3:$K$4986,7,FALSE)&amp;VLOOKUP(D2247,契約台帳!$A$3:$K$4986,8,FALSE)&amp;VLOOKUP(D2247,契約台帳!$A$3:$K$4986,9,FALSE)&amp;VLOOKUP(D2247,契約台帳!$A$3:$K$4986,11,FALSE))</f>
        <v>3SNMCLBMSNEYK</v>
      </c>
      <c r="G2247" s="269" t="str">
        <f>IF(D2247="","",VLOOKUP(F2247,製品マスタ!$G$5:$H$5002,2,FALSE))</f>
        <v>S</v>
      </c>
      <c r="H2247" s="269" t="str">
        <f>IF(D2247="","",VLOOKUP(F2247,製品マスタ!$G$5:$K$5002,5,FALSE))</f>
        <v>MSNEYK</v>
      </c>
      <c r="I2247" s="270" t="str">
        <f>IF(D2247="","",VLOOKUP(F2247,製品マスタ!$G$5:$L$5002,6,FALSE))</f>
        <v>ＭＳＮ　ＥＹＫ</v>
      </c>
      <c r="J2247" s="210" t="s">
        <v>447</v>
      </c>
      <c r="K2247" s="270">
        <f>IF(D2247="","",VLOOKUP(D2247,契約台帳!$A$3:$L$4986,12,FALSE))</f>
        <v>100</v>
      </c>
      <c r="L2247" s="270" t="str">
        <f>IF(D2247="","",INDEX(製品マスタ!$Q$5:$Q$5002,MATCH('S4'!F2247&amp;'S4'!K2247,製品マスタ!$AO$5:$AO$5002,0)))</f>
        <v>N-MAT</v>
      </c>
      <c r="M2247" s="39">
        <v>1205</v>
      </c>
      <c r="N2247" s="39">
        <v>2500</v>
      </c>
      <c r="O2247" s="156">
        <v>1</v>
      </c>
      <c r="P2247" s="47">
        <v>1</v>
      </c>
      <c r="Q2247" s="57"/>
      <c r="R2247" s="271">
        <f ca="1">IF(D2247="","",IF(OFFSET(D2247,-1,0)&lt;&gt;"","",IF(OR(J2247="リード付け",J2247="巻足し",J2247="巻返しリード付け"),M2247,VLOOKUP(D2247,契約台帳!$A$3:$N$4986,14,FALSE))))</f>
        <v>1205</v>
      </c>
      <c r="S2247" s="272">
        <f ca="1">IF(D2247="","",IF(OFFSET(D2247,-1,0)&lt;&gt;"","",IF(OR(J2247="リード付け",J2247="巻足し",J2247="巻返しリード付け"),M2247,VLOOKUP(D2247,契約台帳!$A$3:$O$4986,15,FALSE))))</f>
        <v>1205</v>
      </c>
      <c r="T2247" s="273">
        <f ca="1">IF(D2247="","",IF(J2247="リード付け",N2247,IF(J2247="巻返しリード付け",N2247,IF(J2247="巻足し",N2247*P2247+OFFSET(N2247,1,0)*OFFSET(P2247,1,0),VLOOKUP(D2247,契約台帳!$A$3:$P$4986,16,FALSE)))))</f>
        <v>2500</v>
      </c>
      <c r="U2247" s="40">
        <v>1</v>
      </c>
      <c r="V2247" s="274" t="str">
        <f ca="1">IF(D2247="","",IF(OFFSET(D2247,-2,0)=D2247,"",VLOOKUP(D2247,契約台帳!$A$3:$R$4986,18,FALSE)))</f>
        <v/>
      </c>
      <c r="W2247" s="269" t="str">
        <f ca="1">IF(D2247="","",IF(T2247="","",IF(OR(J2247="巻足し",J2247="巻返しリード付け"),"",IF(J2247="巻返し",VLOOKUP(F2247&amp;K2247&amp;M2247,製品マスタ!$M$5:$AD$5002,18,FALSE),IF(OR(J2247="リード付け",J2247="巻返しリード付け"),"原反コア",IF(J2247="スリット",VLOOKUP(F2247&amp;K2247&amp;R2247,製品マスタ!$N$5:$AD$5002,17,FALSE),""))))))</f>
        <v>6ｲﾝﾁMｺｱ</v>
      </c>
      <c r="X2247" s="269">
        <f ca="1">IF(D2247="","",IF(T2247="","",IF(J2247="巻足し","",IF(J2247="巻返し",VLOOKUP(F2247&amp;K2247&amp;M2247,製品マスタ!$M$5:$AE$5002,19,FALSE),IF(OR(J2247="リード付け",J2247="巻返しリード付け"),"",IF(J2247="スリット",VLOOKUP(F2247&amp;K2247&amp;R2247,製品マスタ!$N$5:$AE$5002,18,FALSE),""))))))</f>
        <v>1220</v>
      </c>
      <c r="Y2247" s="275">
        <f ca="1">IF(D2247="","",IF(T2247="","",VLOOKUP(D2247,契約台帳!$A$3:$Q$4986,17,FALSE)))</f>
        <v>2</v>
      </c>
      <c r="Z2247" s="269" t="str">
        <f ca="1">IF(D2247="","",IF(T2247="","",VLOOKUP(D2247,契約台帳!$A$3:$E$4986,5,FALSE)))</f>
        <v>マルウ接着㈱</v>
      </c>
      <c r="AA2247" s="57"/>
      <c r="AB2247" s="207"/>
      <c r="AC2247" s="33"/>
      <c r="AD2247" s="189"/>
      <c r="AE2247" s="54"/>
      <c r="AF2247" s="55"/>
      <c r="AG2247" s="43"/>
      <c r="AH2247" s="47"/>
      <c r="AI2247" s="30"/>
      <c r="AJ2247" s="30"/>
      <c r="AK2247" s="30"/>
      <c r="AL2247" s="30"/>
      <c r="AM2247" s="13"/>
      <c r="AN2247" s="13"/>
      <c r="AO2247" s="13"/>
      <c r="AP2247" s="13"/>
      <c r="AQ2247" s="13"/>
      <c r="AR2247" s="14"/>
      <c r="AS2247" s="15"/>
    </row>
    <row r="2248" spans="1:45" s="17" customFormat="1" ht="30.95" hidden="1" customHeight="1" x14ac:dyDescent="0.2">
      <c r="A2248" s="343"/>
      <c r="B2248" s="344"/>
      <c r="C2248" s="345"/>
      <c r="D2248" s="346"/>
      <c r="E2248" s="346"/>
      <c r="F2248" s="268"/>
      <c r="G2248" s="269"/>
      <c r="H2248" s="269"/>
      <c r="I2248" s="270"/>
      <c r="J2248" s="434"/>
      <c r="K2248" s="270"/>
      <c r="L2248" s="270"/>
      <c r="M2248" s="348"/>
      <c r="N2248" s="348"/>
      <c r="O2248" s="435"/>
      <c r="P2248" s="349"/>
      <c r="Q2248" s="350"/>
      <c r="R2248" s="271"/>
      <c r="S2248" s="272"/>
      <c r="T2248" s="273"/>
      <c r="U2248" s="351"/>
      <c r="V2248" s="274"/>
      <c r="W2248" s="269"/>
      <c r="X2248" s="269"/>
      <c r="Y2248" s="275"/>
      <c r="Z2248" s="269"/>
      <c r="AA2248" s="350"/>
      <c r="AB2248" s="207"/>
      <c r="AC2248" s="352"/>
      <c r="AD2248" s="353"/>
      <c r="AE2248" s="54"/>
      <c r="AF2248" s="354"/>
      <c r="AG2248" s="355"/>
      <c r="AH2248" s="349"/>
      <c r="AI2248" s="30"/>
      <c r="AJ2248" s="30"/>
      <c r="AK2248" s="30"/>
      <c r="AL2248" s="30"/>
      <c r="AM2248" s="13"/>
      <c r="AN2248" s="13"/>
      <c r="AO2248" s="13"/>
      <c r="AP2248" s="13"/>
      <c r="AQ2248" s="13"/>
      <c r="AR2248" s="14"/>
      <c r="AS2248" s="15"/>
    </row>
    <row r="2249" spans="1:45" s="17" customFormat="1" ht="30.6" hidden="1" customHeight="1" x14ac:dyDescent="0.2">
      <c r="A2249" s="343" t="s">
        <v>2971</v>
      </c>
      <c r="B2249" s="344" t="s">
        <v>2959</v>
      </c>
      <c r="C2249" s="45"/>
      <c r="D2249" s="31">
        <v>3762733</v>
      </c>
      <c r="E2249" s="31">
        <v>4141175</v>
      </c>
      <c r="F2249" s="268" t="str">
        <f>IF(D2249="","",VLOOKUP(D2249,契約台帳!$A$3:$K$4986,6,FALSE)&amp;VLOOKUP(D2249,契約台帳!$A$3:$K$4986,7,FALSE)&amp;VLOOKUP(D2249,契約台帳!$A$3:$K$4986,8,FALSE)&amp;VLOOKUP(D2249,契約台帳!$A$3:$K$4986,9,FALSE)&amp;VLOOKUP(D2249,契約台帳!$A$3:$K$4986,11,FALSE))</f>
        <v>3SNMCLBNGTVB</v>
      </c>
      <c r="G2249" s="269" t="str">
        <f>IF(D2249="","",VLOOKUP(F2249,製品マスタ!$G$5:$H$5002,2,FALSE))</f>
        <v>S</v>
      </c>
      <c r="H2249" s="269" t="str">
        <f>IF(D2249="","",VLOOKUP(F2249,製品マスタ!$G$5:$K$5002,5,FALSE))</f>
        <v>NGTVB</v>
      </c>
      <c r="I2249" s="270" t="str">
        <f>IF(D2249="","",VLOOKUP(F2249,製品マスタ!$G$5:$L$5002,6,FALSE))</f>
        <v>メタルミー　ネーマー　銀艶ＶＢ</v>
      </c>
      <c r="J2249" s="210" t="s">
        <v>447</v>
      </c>
      <c r="K2249" s="270">
        <f>IF(D2249="","",VLOOKUP(D2249,契約台帳!$A$3:$L$4986,12,FALSE))</f>
        <v>50</v>
      </c>
      <c r="L2249" s="270" t="str">
        <f>IF(D2249="","",INDEX(製品マスタ!$Q$5:$Q$5002,MATCH('S4'!F2249&amp;'S4'!K2249,製品マスタ!$AO$5:$AO$5002,0)))</f>
        <v>T62M</v>
      </c>
      <c r="M2249" s="39">
        <v>1150</v>
      </c>
      <c r="N2249" s="39">
        <v>5000</v>
      </c>
      <c r="O2249" s="156">
        <v>1</v>
      </c>
      <c r="P2249" s="47">
        <v>1</v>
      </c>
      <c r="Q2249" s="57"/>
      <c r="R2249" s="271">
        <f ca="1">IF(D2249="","",IF(OFFSET(D2249,-1,0)&lt;&gt;"","",IF(OR(J2249="リード付け",J2249="巻足し",J2249="巻返しリード付け"),M2249,VLOOKUP(D2249,契約台帳!$A$3:$N$4986,14,FALSE))))</f>
        <v>1120</v>
      </c>
      <c r="S2249" s="272">
        <f ca="1">IF(D2249="","",IF(OFFSET(D2249,-1,0)&lt;&gt;"","",IF(OR(J2249="リード付け",J2249="巻足し",J2249="巻返しリード付け"),M2249,VLOOKUP(D2249,契約台帳!$A$3:$O$4986,15,FALSE))))</f>
        <v>1120</v>
      </c>
      <c r="T2249" s="273">
        <f ca="1">IF(D2249="","",IF(J2249="リード付け",N2249,IF(J2249="巻返しリード付け",N2249,IF(J2249="巻足し",N2249*P2249+OFFSET(N2249,1,0)*OFFSET(P2249,1,0),VLOOKUP(D2249,契約台帳!$A$3:$P$4986,16,FALSE)))))</f>
        <v>2500</v>
      </c>
      <c r="U2249" s="40">
        <v>2</v>
      </c>
      <c r="V2249" s="274">
        <f ca="1">IF(D2249="","",IF(OFFSET(D2249,-2,0)=D2249,"",VLOOKUP(D2249,契約台帳!$A$3:$R$4986,18,FALSE)))</f>
        <v>2</v>
      </c>
      <c r="W2249" s="269" t="str">
        <f ca="1">IF(D2249="","",IF(T2249="","",IF(OR(J2249="巻足し",J2249="巻返しリード付け"),"",IF(J2249="巻返し",VLOOKUP(F2249&amp;K2249&amp;M2249,製品マスタ!$M$5:$AD$5002,18,FALSE),IF(OR(J2249="リード付け",J2249="巻返しリード付け"),"原反コア",IF(J2249="スリット",VLOOKUP(F2249&amp;K2249&amp;R2249,製品マスタ!$N$5:$AD$5002,17,FALSE),""))))))</f>
        <v>6ｲﾝﾁMｺｱ</v>
      </c>
      <c r="X2249" s="269">
        <f ca="1">IF(D2249="","",IF(T2249="","",IF(J2249="巻足し","",IF(J2249="巻返し",VLOOKUP(F2249&amp;K2249&amp;M2249,製品マスタ!$M$5:$AE$5002,19,FALSE),IF(OR(J2249="リード付け",J2249="巻返しリード付け"),"",IF(J2249="スリット",VLOOKUP(F2249&amp;K2249&amp;R2249,製品マスタ!$N$5:$AE$5002,18,FALSE),""))))))</f>
        <v>1125</v>
      </c>
      <c r="Y2249" s="275">
        <f ca="1">IF(D2249="","",IF(T2249="","",VLOOKUP(D2249,契約台帳!$A$3:$Q$4986,17,FALSE)))</f>
        <v>2</v>
      </c>
      <c r="Z2249" s="269" t="str">
        <f ca="1">IF(D2249="","",IF(T2249="","",VLOOKUP(D2249,契約台帳!$A$3:$E$4986,5,FALSE)))</f>
        <v>リンテック㈱</v>
      </c>
      <c r="AA2249" s="57"/>
      <c r="AB2249" s="207"/>
      <c r="AC2249" s="33"/>
      <c r="AD2249" s="189"/>
      <c r="AE2249" s="54"/>
      <c r="AF2249" s="55"/>
      <c r="AG2249" s="43"/>
      <c r="AH2249" s="47"/>
      <c r="AI2249" s="30"/>
      <c r="AJ2249" s="30"/>
      <c r="AK2249" s="30"/>
      <c r="AL2249" s="30"/>
      <c r="AM2249" s="13"/>
      <c r="AN2249" s="13"/>
      <c r="AO2249" s="13"/>
      <c r="AP2249" s="13"/>
      <c r="AQ2249" s="13"/>
      <c r="AR2249" s="14"/>
      <c r="AS2249" s="15"/>
    </row>
    <row r="2250" spans="1:45" s="17" customFormat="1" ht="30.95" hidden="1" customHeight="1" x14ac:dyDescent="0.2">
      <c r="A2250" s="343"/>
      <c r="B2250" s="344"/>
      <c r="C2250" s="345"/>
      <c r="D2250" s="346"/>
      <c r="E2250" s="346"/>
      <c r="F2250" s="268"/>
      <c r="G2250" s="269"/>
      <c r="H2250" s="269"/>
      <c r="I2250" s="270"/>
      <c r="J2250" s="434"/>
      <c r="K2250" s="270"/>
      <c r="L2250" s="270"/>
      <c r="M2250" s="348"/>
      <c r="N2250" s="348"/>
      <c r="O2250" s="435"/>
      <c r="P2250" s="349"/>
      <c r="Q2250" s="350"/>
      <c r="R2250" s="271"/>
      <c r="S2250" s="272"/>
      <c r="T2250" s="273"/>
      <c r="U2250" s="351"/>
      <c r="V2250" s="274"/>
      <c r="W2250" s="269"/>
      <c r="X2250" s="269"/>
      <c r="Y2250" s="275"/>
      <c r="Z2250" s="269"/>
      <c r="AA2250" s="350"/>
      <c r="AB2250" s="207"/>
      <c r="AC2250" s="352"/>
      <c r="AD2250" s="353"/>
      <c r="AE2250" s="54"/>
      <c r="AF2250" s="354"/>
      <c r="AG2250" s="355"/>
      <c r="AH2250" s="349"/>
      <c r="AI2250" s="30"/>
      <c r="AJ2250" s="30"/>
      <c r="AK2250" s="30"/>
      <c r="AL2250" s="30"/>
      <c r="AM2250" s="13"/>
      <c r="AN2250" s="13"/>
      <c r="AO2250" s="13"/>
      <c r="AP2250" s="13"/>
      <c r="AQ2250" s="13"/>
      <c r="AR2250" s="14"/>
      <c r="AS2250" s="15"/>
    </row>
    <row r="2251" spans="1:45" s="17" customFormat="1" ht="30.6" hidden="1" customHeight="1" x14ac:dyDescent="0.2">
      <c r="A2251" s="343"/>
      <c r="B2251" s="344"/>
      <c r="C2251" s="45"/>
      <c r="D2251" s="31">
        <v>3762735</v>
      </c>
      <c r="E2251" s="31">
        <v>4141166</v>
      </c>
      <c r="F2251" s="268" t="str">
        <f>IF(D2251="","",VLOOKUP(D2251,契約台帳!$A$3:$K$4986,6,FALSE)&amp;VLOOKUP(D2251,契約台帳!$A$3:$K$4986,7,FALSE)&amp;VLOOKUP(D2251,契約台帳!$A$3:$K$4986,8,FALSE)&amp;VLOOKUP(D2251,契約台帳!$A$3:$K$4986,9,FALSE)&amp;VLOOKUP(D2251,契約台帳!$A$3:$K$4986,11,FALSE))</f>
        <v>33SSNMCLBTEKKFV</v>
      </c>
      <c r="G2251" s="269" t="str">
        <f>IF(D2251="","",VLOOKUP(F2251,製品マスタ!$G$5:$H$5002,2,FALSE))</f>
        <v>S</v>
      </c>
      <c r="H2251" s="269" t="str">
        <f>IF(D2251="","",VLOOKUP(F2251,製品マスタ!$G$5:$K$5002,5,FALSE))</f>
        <v>TEKKFV</v>
      </c>
      <c r="I2251" s="270" t="str">
        <f>IF(D2251="","",VLOOKUP(F2251,製品マスタ!$G$5:$L$5002,6,FALSE))</f>
        <v>メタルミー　ＴＥＳ消開封　Ｖ</v>
      </c>
      <c r="J2251" s="210" t="s">
        <v>447</v>
      </c>
      <c r="K2251" s="270">
        <f>IF(D2251="","",VLOOKUP(D2251,契約台帳!$A$3:$L$4986,12,FALSE))</f>
        <v>50</v>
      </c>
      <c r="L2251" s="270" t="str">
        <f>IF(D2251="","",INDEX(製品マスタ!$Q$5:$Q$5002,MATCH('S4'!F2251&amp;'S4'!K2251,製品マスタ!$AO$5:$AO$5002,0)))</f>
        <v>X44SEPA</v>
      </c>
      <c r="M2251" s="39">
        <v>1005</v>
      </c>
      <c r="N2251" s="39">
        <v>12000</v>
      </c>
      <c r="O2251" s="156">
        <v>1</v>
      </c>
      <c r="P2251" s="47">
        <v>1</v>
      </c>
      <c r="Q2251" s="57"/>
      <c r="R2251" s="271">
        <f ca="1">IF(D2251="","",IF(OFFSET(D2251,-1,0)&lt;&gt;"","",IF(OR(J2251="リード付け",J2251="巻足し",J2251="巻返しリード付け"),M2251,VLOOKUP(D2251,契約台帳!$A$3:$N$4986,14,FALSE))))</f>
        <v>1005</v>
      </c>
      <c r="S2251" s="272">
        <f ca="1">IF(D2251="","",IF(OFFSET(D2251,-1,0)&lt;&gt;"","",IF(OR(J2251="リード付け",J2251="巻足し",J2251="巻返しリード付け"),M2251,VLOOKUP(D2251,契約台帳!$A$3:$O$4986,15,FALSE))))</f>
        <v>1000</v>
      </c>
      <c r="T2251" s="273">
        <f ca="1">IF(D2251="","",IF(J2251="リード付け",N2251,IF(J2251="巻返しリード付け",N2251,IF(J2251="巻足し",N2251*P2251+OFFSET(N2251,1,0)*OFFSET(P2251,1,0),VLOOKUP(D2251,契約台帳!$A$3:$P$4986,16,FALSE)))))</f>
        <v>4000</v>
      </c>
      <c r="U2251" s="40">
        <v>3</v>
      </c>
      <c r="V2251" s="274">
        <f ca="1">IF(D2251="","",IF(OFFSET(D2251,-2,0)=D2251,"",VLOOKUP(D2251,契約台帳!$A$3:$R$4986,18,FALSE)))</f>
        <v>5</v>
      </c>
      <c r="W2251" s="269" t="str">
        <f ca="1">IF(D2251="","",IF(T2251="","",IF(OR(J2251="巻足し",J2251="巻返しリード付け"),"",IF(J2251="巻返し",VLOOKUP(F2251&amp;K2251&amp;M2251,製品マスタ!$M$5:$AD$5002,18,FALSE),IF(OR(J2251="リード付け",J2251="巻返しリード付け"),"原反コア",IF(J2251="スリット",VLOOKUP(F2251&amp;K2251&amp;R2251,製品マスタ!$N$5:$AD$5002,17,FALSE),""))))))</f>
        <v>6ｲﾝﾁSｺｱ</v>
      </c>
      <c r="X2251" s="269">
        <f ca="1">IF(D2251="","",IF(T2251="","",IF(J2251="巻足し","",IF(J2251="巻返し",VLOOKUP(F2251&amp;K2251&amp;M2251,製品マスタ!$M$5:$AE$5002,19,FALSE),IF(OR(J2251="リード付け",J2251="巻返しリード付け"),"",IF(J2251="スリット",VLOOKUP(F2251&amp;K2251&amp;R2251,製品マスタ!$N$5:$AE$5002,18,FALSE),""))))))</f>
        <v>1015</v>
      </c>
      <c r="Y2251" s="275">
        <f ca="1">IF(D2251="","",IF(T2251="","",VLOOKUP(D2251,契約台帳!$A$3:$Q$4986,17,FALSE)))</f>
        <v>2</v>
      </c>
      <c r="Z2251" s="269" t="str">
        <f ca="1">IF(D2251="","",IF(T2251="","",VLOOKUP(D2251,契約台帳!$A$3:$E$4986,5,FALSE)))</f>
        <v>リンテック㈱</v>
      </c>
      <c r="AA2251" s="57"/>
      <c r="AB2251" s="207"/>
      <c r="AC2251" s="33"/>
      <c r="AD2251" s="189"/>
      <c r="AE2251" s="54"/>
      <c r="AF2251" s="55"/>
      <c r="AG2251" s="43"/>
      <c r="AH2251" s="47"/>
      <c r="AI2251" s="30"/>
      <c r="AJ2251" s="30"/>
      <c r="AK2251" s="30"/>
      <c r="AL2251" s="30"/>
      <c r="AM2251" s="13"/>
      <c r="AN2251" s="13"/>
      <c r="AO2251" s="13"/>
      <c r="AP2251" s="13"/>
      <c r="AQ2251" s="13"/>
      <c r="AR2251" s="14"/>
      <c r="AS2251" s="15"/>
    </row>
    <row r="2252" spans="1:45" s="17" customFormat="1" ht="30.95" hidden="1" customHeight="1" x14ac:dyDescent="0.2">
      <c r="A2252" s="343"/>
      <c r="B2252" s="344"/>
      <c r="C2252" s="345"/>
      <c r="D2252" s="346"/>
      <c r="E2252" s="346"/>
      <c r="F2252" s="268"/>
      <c r="G2252" s="269"/>
      <c r="H2252" s="269"/>
      <c r="I2252" s="270"/>
      <c r="J2252" s="434"/>
      <c r="K2252" s="270"/>
      <c r="L2252" s="270"/>
      <c r="M2252" s="348"/>
      <c r="N2252" s="348"/>
      <c r="O2252" s="435"/>
      <c r="P2252" s="349"/>
      <c r="Q2252" s="350"/>
      <c r="R2252" s="271"/>
      <c r="S2252" s="272"/>
      <c r="T2252" s="273"/>
      <c r="U2252" s="351"/>
      <c r="V2252" s="274"/>
      <c r="W2252" s="269"/>
      <c r="X2252" s="269"/>
      <c r="Y2252" s="275"/>
      <c r="Z2252" s="269"/>
      <c r="AA2252" s="350"/>
      <c r="AB2252" s="207"/>
      <c r="AC2252" s="352"/>
      <c r="AD2252" s="353"/>
      <c r="AE2252" s="54"/>
      <c r="AF2252" s="354"/>
      <c r="AG2252" s="355"/>
      <c r="AH2252" s="349"/>
      <c r="AI2252" s="30"/>
      <c r="AJ2252" s="30"/>
      <c r="AK2252" s="30"/>
      <c r="AL2252" s="30"/>
      <c r="AM2252" s="13"/>
      <c r="AN2252" s="13"/>
      <c r="AO2252" s="13"/>
      <c r="AP2252" s="13"/>
      <c r="AQ2252" s="13"/>
      <c r="AR2252" s="14"/>
      <c r="AS2252" s="15"/>
    </row>
    <row r="2253" spans="1:45" s="17" customFormat="1" ht="30.6" hidden="1" customHeight="1" x14ac:dyDescent="0.2">
      <c r="A2253" s="343"/>
      <c r="B2253" s="344"/>
      <c r="C2253" s="45"/>
      <c r="D2253" s="31">
        <v>3762735</v>
      </c>
      <c r="E2253" s="31">
        <v>4141166</v>
      </c>
      <c r="F2253" s="268" t="str">
        <f>IF(D2253="","",VLOOKUP(D2253,契約台帳!$A$3:$K$4986,6,FALSE)&amp;VLOOKUP(D2253,契約台帳!$A$3:$K$4986,7,FALSE)&amp;VLOOKUP(D2253,契約台帳!$A$3:$K$4986,8,FALSE)&amp;VLOOKUP(D2253,契約台帳!$A$3:$K$4986,9,FALSE)&amp;VLOOKUP(D2253,契約台帳!$A$3:$K$4986,11,FALSE))</f>
        <v>33SSNMCLBTEKKFV</v>
      </c>
      <c r="G2253" s="269" t="str">
        <f>IF(D2253="","",VLOOKUP(F2253,製品マスタ!$G$5:$H$5002,2,FALSE))</f>
        <v>S</v>
      </c>
      <c r="H2253" s="269" t="str">
        <f>IF(D2253="","",VLOOKUP(F2253,製品マスタ!$G$5:$K$5002,5,FALSE))</f>
        <v>TEKKFV</v>
      </c>
      <c r="I2253" s="270" t="str">
        <f>IF(D2253="","",VLOOKUP(F2253,製品マスタ!$G$5:$L$5002,6,FALSE))</f>
        <v>メタルミー　ＴＥＳ消開封　Ｖ</v>
      </c>
      <c r="J2253" s="210" t="s">
        <v>447</v>
      </c>
      <c r="K2253" s="270">
        <f>IF(D2253="","",VLOOKUP(D2253,契約台帳!$A$3:$L$4986,12,FALSE))</f>
        <v>50</v>
      </c>
      <c r="L2253" s="270" t="str">
        <f>IF(D2253="","",INDEX(製品マスタ!$Q$5:$Q$5002,MATCH('S4'!F2253&amp;'S4'!K2253,製品マスタ!$AO$5:$AO$5002,0)))</f>
        <v>X44SEPA</v>
      </c>
      <c r="M2253" s="39">
        <v>1005</v>
      </c>
      <c r="N2253" s="39">
        <v>8000</v>
      </c>
      <c r="O2253" s="156">
        <v>1</v>
      </c>
      <c r="P2253" s="47">
        <v>1</v>
      </c>
      <c r="Q2253" s="57"/>
      <c r="R2253" s="271">
        <f ca="1">IF(D2253="","",IF(OFFSET(D2253,-1,0)&lt;&gt;"","",IF(OR(J2253="リード付け",J2253="巻足し",J2253="巻返しリード付け"),M2253,VLOOKUP(D2253,契約台帳!$A$3:$N$4986,14,FALSE))))</f>
        <v>1005</v>
      </c>
      <c r="S2253" s="272">
        <f ca="1">IF(D2253="","",IF(OFFSET(D2253,-1,0)&lt;&gt;"","",IF(OR(J2253="リード付け",J2253="巻足し",J2253="巻返しリード付け"),M2253,VLOOKUP(D2253,契約台帳!$A$3:$O$4986,15,FALSE))))</f>
        <v>1000</v>
      </c>
      <c r="T2253" s="273">
        <f ca="1">IF(D2253="","",IF(J2253="リード付け",N2253,IF(J2253="巻返しリード付け",N2253,IF(J2253="巻足し",N2253*P2253+OFFSET(N2253,1,0)*OFFSET(P2253,1,0),VLOOKUP(D2253,契約台帳!$A$3:$P$4986,16,FALSE)))))</f>
        <v>4000</v>
      </c>
      <c r="U2253" s="40">
        <v>2</v>
      </c>
      <c r="V2253" s="274" t="str">
        <f ca="1">IF(D2253="","",IF(OFFSET(D2253,-2,0)=D2253,"",VLOOKUP(D2253,契約台帳!$A$3:$R$4986,18,FALSE)))</f>
        <v/>
      </c>
      <c r="W2253" s="269" t="str">
        <f ca="1">IF(D2253="","",IF(T2253="","",IF(OR(J2253="巻足し",J2253="巻返しリード付け"),"",IF(J2253="巻返し",VLOOKUP(F2253&amp;K2253&amp;M2253,製品マスタ!$M$5:$AD$5002,18,FALSE),IF(OR(J2253="リード付け",J2253="巻返しリード付け"),"原反コア",IF(J2253="スリット",VLOOKUP(F2253&amp;K2253&amp;R2253,製品マスタ!$N$5:$AD$5002,17,FALSE),""))))))</f>
        <v>6ｲﾝﾁSｺｱ</v>
      </c>
      <c r="X2253" s="269">
        <f ca="1">IF(D2253="","",IF(T2253="","",IF(J2253="巻足し","",IF(J2253="巻返し",VLOOKUP(F2253&amp;K2253&amp;M2253,製品マスタ!$M$5:$AE$5002,19,FALSE),IF(OR(J2253="リード付け",J2253="巻返しリード付け"),"",IF(J2253="スリット",VLOOKUP(F2253&amp;K2253&amp;R2253,製品マスタ!$N$5:$AE$5002,18,FALSE),""))))))</f>
        <v>1015</v>
      </c>
      <c r="Y2253" s="275">
        <f ca="1">IF(D2253="","",IF(T2253="","",VLOOKUP(D2253,契約台帳!$A$3:$Q$4986,17,FALSE)))</f>
        <v>2</v>
      </c>
      <c r="Z2253" s="269" t="str">
        <f ca="1">IF(D2253="","",IF(T2253="","",VLOOKUP(D2253,契約台帳!$A$3:$E$4986,5,FALSE)))</f>
        <v>リンテック㈱</v>
      </c>
      <c r="AA2253" s="57"/>
      <c r="AB2253" s="207"/>
      <c r="AC2253" s="33"/>
      <c r="AD2253" s="189"/>
      <c r="AE2253" s="54"/>
      <c r="AF2253" s="55"/>
      <c r="AG2253" s="43"/>
      <c r="AH2253" s="47"/>
      <c r="AI2253" s="30"/>
      <c r="AJ2253" s="30"/>
      <c r="AK2253" s="30"/>
      <c r="AL2253" s="30"/>
      <c r="AM2253" s="13"/>
      <c r="AN2253" s="13"/>
      <c r="AO2253" s="13"/>
      <c r="AP2253" s="13"/>
      <c r="AQ2253" s="13"/>
      <c r="AR2253" s="14"/>
      <c r="AS2253" s="15"/>
    </row>
    <row r="2254" spans="1:45" s="17" customFormat="1" ht="30.95" hidden="1" customHeight="1" x14ac:dyDescent="0.2">
      <c r="A2254" s="343"/>
      <c r="B2254" s="344"/>
      <c r="C2254" s="345"/>
      <c r="D2254" s="346"/>
      <c r="E2254" s="346"/>
      <c r="F2254" s="268"/>
      <c r="G2254" s="269"/>
      <c r="H2254" s="269"/>
      <c r="I2254" s="270"/>
      <c r="J2254" s="434"/>
      <c r="K2254" s="270"/>
      <c r="L2254" s="270"/>
      <c r="M2254" s="348"/>
      <c r="N2254" s="348"/>
      <c r="O2254" s="435"/>
      <c r="P2254" s="349"/>
      <c r="Q2254" s="350"/>
      <c r="R2254" s="271"/>
      <c r="S2254" s="272"/>
      <c r="T2254" s="273"/>
      <c r="U2254" s="351"/>
      <c r="V2254" s="274"/>
      <c r="W2254" s="269"/>
      <c r="X2254" s="269"/>
      <c r="Y2254" s="275"/>
      <c r="Z2254" s="269"/>
      <c r="AA2254" s="350"/>
      <c r="AB2254" s="207"/>
      <c r="AC2254" s="352"/>
      <c r="AD2254" s="353"/>
      <c r="AE2254" s="54"/>
      <c r="AF2254" s="354"/>
      <c r="AG2254" s="355"/>
      <c r="AH2254" s="349"/>
      <c r="AI2254" s="30"/>
      <c r="AJ2254" s="30"/>
      <c r="AK2254" s="30"/>
      <c r="AL2254" s="30"/>
      <c r="AM2254" s="13"/>
      <c r="AN2254" s="13"/>
      <c r="AO2254" s="13"/>
      <c r="AP2254" s="13"/>
      <c r="AQ2254" s="13"/>
      <c r="AR2254" s="14"/>
      <c r="AS2254" s="15"/>
    </row>
    <row r="2255" spans="1:45" s="17" customFormat="1" ht="30.6" hidden="1" customHeight="1" x14ac:dyDescent="0.2">
      <c r="A2255" s="343" t="s">
        <v>514</v>
      </c>
      <c r="B2255" s="344" t="s">
        <v>442</v>
      </c>
      <c r="C2255" s="45"/>
      <c r="D2255" s="31">
        <v>3762736</v>
      </c>
      <c r="E2255" s="31">
        <v>4141167</v>
      </c>
      <c r="F2255" s="268" t="str">
        <f>IF(D2255="","",VLOOKUP(D2255,契約台帳!$A$3:$K$4986,6,FALSE)&amp;VLOOKUP(D2255,契約台帳!$A$3:$K$4986,7,FALSE)&amp;VLOOKUP(D2255,契約台帳!$A$3:$K$4986,8,FALSE)&amp;VLOOKUP(D2255,契約台帳!$A$3:$K$4986,9,FALSE)&amp;VLOOKUP(D2255,契約台帳!$A$3:$K$4986,11,FALSE))</f>
        <v>33SSNMCLBTEKV0V</v>
      </c>
      <c r="G2255" s="269" t="str">
        <f>IF(D2255="","",VLOOKUP(F2255,製品マスタ!$G$5:$H$5002,2,FALSE))</f>
        <v>S</v>
      </c>
      <c r="H2255" s="269" t="str">
        <f>IF(D2255="","",VLOOKUP(F2255,製品マスタ!$G$5:$K$5002,5,FALSE))</f>
        <v>TEKV0V</v>
      </c>
      <c r="I2255" s="270" t="str">
        <f>IF(D2255="","",VLOOKUP(F2255,製品マスタ!$G$5:$L$5002,6,FALSE))</f>
        <v>メタルミー　ＴＥ－Ｓ消　ＶＯＩＤ　Ｖ</v>
      </c>
      <c r="J2255" s="210" t="s">
        <v>447</v>
      </c>
      <c r="K2255" s="270">
        <f>IF(D2255="","",VLOOKUP(D2255,契約台帳!$A$3:$L$4986,12,FALSE))</f>
        <v>50</v>
      </c>
      <c r="L2255" s="270" t="str">
        <f>IF(D2255="","",INDEX(製品マスタ!$Q$5:$Q$5002,MATCH('S4'!F2255&amp;'S4'!K2255,製品マスタ!$AO$5:$AO$5002,0)))</f>
        <v>X44SEPA</v>
      </c>
      <c r="M2255" s="39">
        <v>1005</v>
      </c>
      <c r="N2255" s="39">
        <v>12000</v>
      </c>
      <c r="O2255" s="156">
        <v>1</v>
      </c>
      <c r="P2255" s="47">
        <v>1</v>
      </c>
      <c r="Q2255" s="57"/>
      <c r="R2255" s="271">
        <f ca="1">IF(D2255="","",IF(OFFSET(D2255,-1,0)&lt;&gt;"","",IF(OR(J2255="リード付け",J2255="巻足し",J2255="巻返しリード付け"),M2255,VLOOKUP(D2255,契約台帳!$A$3:$N$4986,14,FALSE))))</f>
        <v>1005</v>
      </c>
      <c r="S2255" s="272">
        <f ca="1">IF(D2255="","",IF(OFFSET(D2255,-1,0)&lt;&gt;"","",IF(OR(J2255="リード付け",J2255="巻足し",J2255="巻返しリード付け"),M2255,VLOOKUP(D2255,契約台帳!$A$3:$O$4986,15,FALSE))))</f>
        <v>1000</v>
      </c>
      <c r="T2255" s="273">
        <f ca="1">IF(D2255="","",IF(J2255="リード付け",N2255,IF(J2255="巻返しリード付け",N2255,IF(J2255="巻足し",N2255*P2255+OFFSET(N2255,1,0)*OFFSET(P2255,1,0),VLOOKUP(D2255,契約台帳!$A$3:$P$4986,16,FALSE)))))</f>
        <v>4000</v>
      </c>
      <c r="U2255" s="40">
        <v>3</v>
      </c>
      <c r="V2255" s="274">
        <f ca="1">IF(D2255="","",IF(OFFSET(D2255,-2,0)=D2255,"",VLOOKUP(D2255,契約台帳!$A$3:$R$4986,18,FALSE)))</f>
        <v>5</v>
      </c>
      <c r="W2255" s="269" t="str">
        <f ca="1">IF(D2255="","",IF(T2255="","",IF(OR(J2255="巻足し",J2255="巻返しリード付け"),"",IF(J2255="巻返し",VLOOKUP(F2255&amp;K2255&amp;M2255,製品マスタ!$M$5:$AD$5002,18,FALSE),IF(OR(J2255="リード付け",J2255="巻返しリード付け"),"原反コア",IF(J2255="スリット",VLOOKUP(F2255&amp;K2255&amp;R2255,製品マスタ!$N$5:$AD$5002,17,FALSE),""))))))</f>
        <v>6ｲﾝﾁSｺｱ</v>
      </c>
      <c r="X2255" s="269">
        <f ca="1">IF(D2255="","",IF(T2255="","",IF(J2255="巻足し","",IF(J2255="巻返し",VLOOKUP(F2255&amp;K2255&amp;M2255,製品マスタ!$M$5:$AE$5002,19,FALSE),IF(OR(J2255="リード付け",J2255="巻返しリード付け"),"",IF(J2255="スリット",VLOOKUP(F2255&amp;K2255&amp;R2255,製品マスタ!$N$5:$AE$5002,18,FALSE),""))))))</f>
        <v>1015</v>
      </c>
      <c r="Y2255" s="275">
        <f ca="1">IF(D2255="","",IF(T2255="","",VLOOKUP(D2255,契約台帳!$A$3:$Q$4986,17,FALSE)))</f>
        <v>2</v>
      </c>
      <c r="Z2255" s="269" t="str">
        <f ca="1">IF(D2255="","",IF(T2255="","",VLOOKUP(D2255,契約台帳!$A$3:$E$4986,5,FALSE)))</f>
        <v>リンテック㈱</v>
      </c>
      <c r="AA2255" s="57"/>
      <c r="AB2255" s="207"/>
      <c r="AC2255" s="33"/>
      <c r="AD2255" s="189"/>
      <c r="AE2255" s="54"/>
      <c r="AF2255" s="55"/>
      <c r="AG2255" s="43"/>
      <c r="AH2255" s="47"/>
      <c r="AI2255" s="30"/>
      <c r="AJ2255" s="30"/>
      <c r="AK2255" s="30"/>
      <c r="AL2255" s="30"/>
      <c r="AM2255" s="13"/>
      <c r="AN2255" s="13"/>
      <c r="AO2255" s="13"/>
      <c r="AP2255" s="13"/>
      <c r="AQ2255" s="13"/>
      <c r="AR2255" s="14"/>
      <c r="AS2255" s="15"/>
    </row>
    <row r="2256" spans="1:45" s="17" customFormat="1" ht="30.95" hidden="1" customHeight="1" x14ac:dyDescent="0.2">
      <c r="A2256" s="343"/>
      <c r="B2256" s="344"/>
      <c r="C2256" s="345"/>
      <c r="D2256" s="346"/>
      <c r="E2256" s="346"/>
      <c r="F2256" s="268"/>
      <c r="G2256" s="269"/>
      <c r="H2256" s="269"/>
      <c r="I2256" s="270"/>
      <c r="J2256" s="434"/>
      <c r="K2256" s="270"/>
      <c r="L2256" s="270"/>
      <c r="M2256" s="348"/>
      <c r="N2256" s="348"/>
      <c r="O2256" s="435"/>
      <c r="P2256" s="349"/>
      <c r="Q2256" s="350"/>
      <c r="R2256" s="271"/>
      <c r="S2256" s="272"/>
      <c r="T2256" s="273"/>
      <c r="U2256" s="351"/>
      <c r="V2256" s="274"/>
      <c r="W2256" s="269"/>
      <c r="X2256" s="269"/>
      <c r="Y2256" s="275"/>
      <c r="Z2256" s="269"/>
      <c r="AA2256" s="350"/>
      <c r="AB2256" s="207"/>
      <c r="AC2256" s="352"/>
      <c r="AD2256" s="353"/>
      <c r="AE2256" s="54"/>
      <c r="AF2256" s="354"/>
      <c r="AG2256" s="355"/>
      <c r="AH2256" s="349"/>
      <c r="AI2256" s="30"/>
      <c r="AJ2256" s="30"/>
      <c r="AK2256" s="30"/>
      <c r="AL2256" s="30"/>
      <c r="AM2256" s="13"/>
      <c r="AN2256" s="13"/>
      <c r="AO2256" s="13"/>
      <c r="AP2256" s="13"/>
      <c r="AQ2256" s="13"/>
      <c r="AR2256" s="14"/>
      <c r="AS2256" s="15"/>
    </row>
    <row r="2257" spans="1:45" s="17" customFormat="1" ht="30.6" hidden="1" customHeight="1" x14ac:dyDescent="0.2">
      <c r="A2257" s="343"/>
      <c r="B2257" s="344"/>
      <c r="C2257" s="45"/>
      <c r="D2257" s="31">
        <v>3762736</v>
      </c>
      <c r="E2257" s="31">
        <v>4141167</v>
      </c>
      <c r="F2257" s="268" t="str">
        <f>IF(D2257="","",VLOOKUP(D2257,契約台帳!$A$3:$K$4986,6,FALSE)&amp;VLOOKUP(D2257,契約台帳!$A$3:$K$4986,7,FALSE)&amp;VLOOKUP(D2257,契約台帳!$A$3:$K$4986,8,FALSE)&amp;VLOOKUP(D2257,契約台帳!$A$3:$K$4986,9,FALSE)&amp;VLOOKUP(D2257,契約台帳!$A$3:$K$4986,11,FALSE))</f>
        <v>33SSNMCLBTEKV0V</v>
      </c>
      <c r="G2257" s="269" t="str">
        <f>IF(D2257="","",VLOOKUP(F2257,製品マスタ!$G$5:$H$5002,2,FALSE))</f>
        <v>S</v>
      </c>
      <c r="H2257" s="269" t="str">
        <f>IF(D2257="","",VLOOKUP(F2257,製品マスタ!$G$5:$K$5002,5,FALSE))</f>
        <v>TEKV0V</v>
      </c>
      <c r="I2257" s="270" t="str">
        <f>IF(D2257="","",VLOOKUP(F2257,製品マスタ!$G$5:$L$5002,6,FALSE))</f>
        <v>メタルミー　ＴＥ－Ｓ消　ＶＯＩＤ　Ｖ</v>
      </c>
      <c r="J2257" s="210" t="s">
        <v>447</v>
      </c>
      <c r="K2257" s="270">
        <f>IF(D2257="","",VLOOKUP(D2257,契約台帳!$A$3:$L$4986,12,FALSE))</f>
        <v>50</v>
      </c>
      <c r="L2257" s="270" t="str">
        <f>IF(D2257="","",INDEX(製品マスタ!$Q$5:$Q$5002,MATCH('S4'!F2257&amp;'S4'!K2257,製品マスタ!$AO$5:$AO$5002,0)))</f>
        <v>X44SEPA</v>
      </c>
      <c r="M2257" s="39">
        <v>1005</v>
      </c>
      <c r="N2257" s="39">
        <v>8000</v>
      </c>
      <c r="O2257" s="156">
        <v>1</v>
      </c>
      <c r="P2257" s="47">
        <v>1</v>
      </c>
      <c r="Q2257" s="57"/>
      <c r="R2257" s="271">
        <f ca="1">IF(D2257="","",IF(OFFSET(D2257,-1,0)&lt;&gt;"","",IF(OR(J2257="リード付け",J2257="巻足し",J2257="巻返しリード付け"),M2257,VLOOKUP(D2257,契約台帳!$A$3:$N$4986,14,FALSE))))</f>
        <v>1005</v>
      </c>
      <c r="S2257" s="272">
        <f ca="1">IF(D2257="","",IF(OFFSET(D2257,-1,0)&lt;&gt;"","",IF(OR(J2257="リード付け",J2257="巻足し",J2257="巻返しリード付け"),M2257,VLOOKUP(D2257,契約台帳!$A$3:$O$4986,15,FALSE))))</f>
        <v>1000</v>
      </c>
      <c r="T2257" s="273">
        <f ca="1">IF(D2257="","",IF(J2257="リード付け",N2257,IF(J2257="巻返しリード付け",N2257,IF(J2257="巻足し",N2257*P2257+OFFSET(N2257,1,0)*OFFSET(P2257,1,0),VLOOKUP(D2257,契約台帳!$A$3:$P$4986,16,FALSE)))))</f>
        <v>4000</v>
      </c>
      <c r="U2257" s="40">
        <v>2</v>
      </c>
      <c r="V2257" s="274" t="str">
        <f ca="1">IF(D2257="","",IF(OFFSET(D2257,-2,0)=D2257,"",VLOOKUP(D2257,契約台帳!$A$3:$R$4986,18,FALSE)))</f>
        <v/>
      </c>
      <c r="W2257" s="269" t="str">
        <f ca="1">IF(D2257="","",IF(T2257="","",IF(OR(J2257="巻足し",J2257="巻返しリード付け"),"",IF(J2257="巻返し",VLOOKUP(F2257&amp;K2257&amp;M2257,製品マスタ!$M$5:$AD$5002,18,FALSE),IF(OR(J2257="リード付け",J2257="巻返しリード付け"),"原反コア",IF(J2257="スリット",VLOOKUP(F2257&amp;K2257&amp;R2257,製品マスタ!$N$5:$AD$5002,17,FALSE),""))))))</f>
        <v>6ｲﾝﾁSｺｱ</v>
      </c>
      <c r="X2257" s="269">
        <f ca="1">IF(D2257="","",IF(T2257="","",IF(J2257="巻足し","",IF(J2257="巻返し",VLOOKUP(F2257&amp;K2257&amp;M2257,製品マスタ!$M$5:$AE$5002,19,FALSE),IF(OR(J2257="リード付け",J2257="巻返しリード付け"),"",IF(J2257="スリット",VLOOKUP(F2257&amp;K2257&amp;R2257,製品マスタ!$N$5:$AE$5002,18,FALSE),""))))))</f>
        <v>1015</v>
      </c>
      <c r="Y2257" s="275">
        <f ca="1">IF(D2257="","",IF(T2257="","",VLOOKUP(D2257,契約台帳!$A$3:$Q$4986,17,FALSE)))</f>
        <v>2</v>
      </c>
      <c r="Z2257" s="269" t="str">
        <f ca="1">IF(D2257="","",IF(T2257="","",VLOOKUP(D2257,契約台帳!$A$3:$E$4986,5,FALSE)))</f>
        <v>リンテック㈱</v>
      </c>
      <c r="AA2257" s="57"/>
      <c r="AB2257" s="207"/>
      <c r="AC2257" s="33"/>
      <c r="AD2257" s="189"/>
      <c r="AE2257" s="54"/>
      <c r="AF2257" s="55"/>
      <c r="AG2257" s="43"/>
      <c r="AH2257" s="47"/>
      <c r="AI2257" s="30"/>
      <c r="AJ2257" s="30"/>
      <c r="AK2257" s="30"/>
      <c r="AL2257" s="30"/>
      <c r="AM2257" s="13"/>
      <c r="AN2257" s="13"/>
      <c r="AO2257" s="13"/>
      <c r="AP2257" s="13"/>
      <c r="AQ2257" s="13"/>
      <c r="AR2257" s="14"/>
      <c r="AS2257" s="15"/>
    </row>
    <row r="2258" spans="1:45" s="17" customFormat="1" ht="30.95" hidden="1" customHeight="1" x14ac:dyDescent="0.2">
      <c r="A2258" s="343"/>
      <c r="B2258" s="344"/>
      <c r="C2258" s="345"/>
      <c r="D2258" s="346"/>
      <c r="E2258" s="346"/>
      <c r="F2258" s="268"/>
      <c r="G2258" s="269"/>
      <c r="H2258" s="269"/>
      <c r="I2258" s="270"/>
      <c r="J2258" s="434"/>
      <c r="K2258" s="270"/>
      <c r="L2258" s="270"/>
      <c r="M2258" s="348"/>
      <c r="N2258" s="348"/>
      <c r="O2258" s="435"/>
      <c r="P2258" s="349"/>
      <c r="Q2258" s="350"/>
      <c r="R2258" s="271"/>
      <c r="S2258" s="272"/>
      <c r="T2258" s="273"/>
      <c r="U2258" s="351"/>
      <c r="V2258" s="274"/>
      <c r="W2258" s="269"/>
      <c r="X2258" s="269"/>
      <c r="Y2258" s="275"/>
      <c r="Z2258" s="269"/>
      <c r="AA2258" s="350"/>
      <c r="AB2258" s="207"/>
      <c r="AC2258" s="352"/>
      <c r="AD2258" s="353"/>
      <c r="AE2258" s="54"/>
      <c r="AF2258" s="354"/>
      <c r="AG2258" s="355"/>
      <c r="AH2258" s="349"/>
      <c r="AI2258" s="30"/>
      <c r="AJ2258" s="30"/>
      <c r="AK2258" s="30"/>
      <c r="AL2258" s="30"/>
      <c r="AM2258" s="13"/>
      <c r="AN2258" s="13"/>
      <c r="AO2258" s="13"/>
      <c r="AP2258" s="13"/>
      <c r="AQ2258" s="13"/>
      <c r="AR2258" s="14"/>
      <c r="AS2258" s="15"/>
    </row>
    <row r="2259" spans="1:45" s="17" customFormat="1" ht="30.95" hidden="1" customHeight="1" x14ac:dyDescent="0.2">
      <c r="A2259" s="343"/>
      <c r="B2259" s="344"/>
      <c r="C2259" s="45"/>
      <c r="D2259" s="31"/>
      <c r="E2259" s="414"/>
      <c r="F2259" s="268"/>
      <c r="G2259" s="269"/>
      <c r="H2259" s="269"/>
      <c r="I2259" s="270"/>
      <c r="J2259" s="210" t="s">
        <v>490</v>
      </c>
      <c r="K2259" s="270"/>
      <c r="L2259" s="270"/>
      <c r="M2259" s="39"/>
      <c r="N2259" s="39"/>
      <c r="O2259" s="156"/>
      <c r="P2259" s="47"/>
      <c r="Q2259" s="57"/>
      <c r="R2259" s="271"/>
      <c r="S2259" s="272"/>
      <c r="T2259" s="273"/>
      <c r="U2259" s="40"/>
      <c r="V2259" s="274"/>
      <c r="W2259" s="269"/>
      <c r="X2259" s="269"/>
      <c r="Y2259" s="275"/>
      <c r="Z2259" s="269"/>
      <c r="AA2259" s="57"/>
      <c r="AB2259" s="303"/>
      <c r="AC2259" s="33"/>
      <c r="AD2259" s="189"/>
      <c r="AE2259" s="54"/>
      <c r="AF2259" s="55"/>
      <c r="AG2259" s="43"/>
      <c r="AH2259" s="47"/>
      <c r="AI2259" s="30"/>
      <c r="AJ2259" s="30"/>
      <c r="AK2259" s="30"/>
      <c r="AL2259" s="30"/>
      <c r="AM2259" s="13"/>
      <c r="AN2259" s="13"/>
      <c r="AO2259" s="13"/>
      <c r="AP2259" s="13"/>
      <c r="AQ2259" s="13"/>
      <c r="AR2259" s="14"/>
      <c r="AS2259" s="15"/>
    </row>
    <row r="2260" spans="1:45" s="17" customFormat="1" ht="30.95" hidden="1" customHeight="1" x14ac:dyDescent="0.2">
      <c r="A2260" s="343"/>
      <c r="B2260" s="344"/>
      <c r="C2260" s="345"/>
      <c r="D2260" s="346"/>
      <c r="E2260" s="346"/>
      <c r="F2260" s="268"/>
      <c r="G2260" s="269"/>
      <c r="H2260" s="269"/>
      <c r="I2260" s="270"/>
      <c r="J2260" s="434"/>
      <c r="K2260" s="270"/>
      <c r="L2260" s="270"/>
      <c r="M2260" s="348"/>
      <c r="N2260" s="348"/>
      <c r="O2260" s="435"/>
      <c r="P2260" s="349"/>
      <c r="Q2260" s="350"/>
      <c r="R2260" s="271"/>
      <c r="S2260" s="272"/>
      <c r="T2260" s="273"/>
      <c r="U2260" s="351"/>
      <c r="V2260" s="274"/>
      <c r="W2260" s="269"/>
      <c r="X2260" s="269"/>
      <c r="Y2260" s="275"/>
      <c r="Z2260" s="269"/>
      <c r="AA2260" s="350"/>
      <c r="AB2260" s="207"/>
      <c r="AC2260" s="352"/>
      <c r="AD2260" s="353"/>
      <c r="AE2260" s="54"/>
      <c r="AF2260" s="354"/>
      <c r="AG2260" s="355"/>
      <c r="AH2260" s="349"/>
      <c r="AI2260" s="30"/>
      <c r="AJ2260" s="30"/>
      <c r="AK2260" s="30"/>
      <c r="AL2260" s="30"/>
      <c r="AM2260" s="13"/>
      <c r="AN2260" s="13"/>
      <c r="AO2260" s="13"/>
      <c r="AP2260" s="13"/>
      <c r="AQ2260" s="13"/>
      <c r="AR2260" s="14"/>
      <c r="AS2260" s="15"/>
    </row>
    <row r="2261" spans="1:45" s="17" customFormat="1" ht="30.95" hidden="1" customHeight="1" x14ac:dyDescent="0.2">
      <c r="A2261" s="343"/>
      <c r="B2261" s="344"/>
      <c r="C2261" s="345"/>
      <c r="D2261" s="346"/>
      <c r="E2261" s="346"/>
      <c r="F2261" s="268"/>
      <c r="G2261" s="269"/>
      <c r="H2261" s="269"/>
      <c r="I2261" s="270"/>
      <c r="J2261" s="434" t="s">
        <v>489</v>
      </c>
      <c r="K2261" s="270"/>
      <c r="L2261" s="270"/>
      <c r="M2261" s="348"/>
      <c r="N2261" s="348"/>
      <c r="O2261" s="435"/>
      <c r="P2261" s="349"/>
      <c r="Q2261" s="350"/>
      <c r="R2261" s="271"/>
      <c r="S2261" s="272"/>
      <c r="T2261" s="273"/>
      <c r="U2261" s="351"/>
      <c r="V2261" s="274"/>
      <c r="W2261" s="269"/>
      <c r="X2261" s="269"/>
      <c r="Y2261" s="275"/>
      <c r="Z2261" s="269"/>
      <c r="AA2261" s="350"/>
      <c r="AB2261" s="207"/>
      <c r="AC2261" s="352"/>
      <c r="AD2261" s="353"/>
      <c r="AE2261" s="54"/>
      <c r="AF2261" s="354"/>
      <c r="AG2261" s="355"/>
      <c r="AH2261" s="349"/>
      <c r="AI2261" s="30"/>
      <c r="AJ2261" s="30"/>
      <c r="AK2261" s="30"/>
      <c r="AL2261" s="30"/>
      <c r="AM2261" s="13"/>
      <c r="AN2261" s="13"/>
      <c r="AO2261" s="13"/>
      <c r="AP2261" s="13"/>
      <c r="AQ2261" s="13"/>
      <c r="AR2261" s="14"/>
      <c r="AS2261" s="15"/>
    </row>
    <row r="2262" spans="1:45" s="17" customFormat="1" ht="30.95" hidden="1" customHeight="1" x14ac:dyDescent="0.2">
      <c r="A2262" s="343"/>
      <c r="B2262" s="344"/>
      <c r="C2262" s="345"/>
      <c r="D2262" s="346"/>
      <c r="E2262" s="346"/>
      <c r="F2262" s="268"/>
      <c r="G2262" s="269"/>
      <c r="H2262" s="269"/>
      <c r="I2262" s="270"/>
      <c r="J2262" s="434"/>
      <c r="K2262" s="270"/>
      <c r="L2262" s="270"/>
      <c r="M2262" s="348"/>
      <c r="N2262" s="348"/>
      <c r="O2262" s="435"/>
      <c r="P2262" s="349"/>
      <c r="Q2262" s="350"/>
      <c r="R2262" s="271"/>
      <c r="S2262" s="272"/>
      <c r="T2262" s="273"/>
      <c r="U2262" s="351"/>
      <c r="V2262" s="274"/>
      <c r="W2262" s="269"/>
      <c r="X2262" s="269"/>
      <c r="Y2262" s="275"/>
      <c r="Z2262" s="269"/>
      <c r="AA2262" s="350"/>
      <c r="AB2262" s="207"/>
      <c r="AC2262" s="352"/>
      <c r="AD2262" s="353"/>
      <c r="AE2262" s="54"/>
      <c r="AF2262" s="354"/>
      <c r="AG2262" s="355"/>
      <c r="AH2262" s="349"/>
      <c r="AI2262" s="30"/>
      <c r="AJ2262" s="30"/>
      <c r="AK2262" s="30"/>
      <c r="AL2262" s="30"/>
      <c r="AM2262" s="13"/>
      <c r="AN2262" s="13"/>
      <c r="AO2262" s="13"/>
      <c r="AP2262" s="13"/>
      <c r="AQ2262" s="13"/>
      <c r="AR2262" s="14"/>
      <c r="AS2262" s="15"/>
    </row>
    <row r="2263" spans="1:45" s="17" customFormat="1" ht="30.6" hidden="1" customHeight="1" x14ac:dyDescent="0.2">
      <c r="A2263" s="37" t="s">
        <v>3006</v>
      </c>
      <c r="B2263" s="38" t="s">
        <v>3007</v>
      </c>
      <c r="C2263" s="45"/>
      <c r="D2263" s="31">
        <v>3762728</v>
      </c>
      <c r="E2263" s="31" t="s">
        <v>3018</v>
      </c>
      <c r="F2263" s="268" t="str">
        <f>IF(D2263="","",VLOOKUP(D2263,契約台帳!$A$3:$K$4986,6,FALSE)&amp;VLOOKUP(D2263,契約台帳!$A$3:$K$4986,7,FALSE)&amp;VLOOKUP(D2263,契約台帳!$A$3:$K$4986,8,FALSE)&amp;VLOOKUP(D2263,契約台帳!$A$3:$K$4986,9,FALSE)&amp;VLOOKUP(D2263,契約台帳!$A$3:$K$4986,11,FALSE))</f>
        <v>3SNMLBMNGKKBF</v>
      </c>
      <c r="G2263" s="269" t="str">
        <f>IF(D2263="","",VLOOKUP(F2263,製品マスタ!$G$5:$H$5002,2,FALSE))</f>
        <v>S</v>
      </c>
      <c r="H2263" s="269" t="str">
        <f>IF(D2263="","",VLOOKUP(F2263,製品マスタ!$G$5:$K$5002,5,FALSE))</f>
        <v>MNGKKBF</v>
      </c>
      <c r="I2263" s="270" t="str">
        <f>IF(D2263="","",VLOOKUP(F2263,製品マスタ!$G$5:$L$5002,6,FALSE))</f>
        <v>メタルミー　ネーマー銀消改　Ｂ</v>
      </c>
      <c r="J2263" s="210" t="s">
        <v>3012</v>
      </c>
      <c r="K2263" s="270">
        <f>IF(D2263="","",VLOOKUP(D2263,契約台帳!$A$3:$L$4986,12,FALSE))</f>
        <v>50</v>
      </c>
      <c r="L2263" s="270" t="str">
        <f>IF(D2263="","",INDEX(製品マスタ!$Q$5:$Q$5002,MATCH('S4'!F2263&amp;'S4'!K2263,製品マスタ!$AO$5:$AO$5002,0)))</f>
        <v>S99-MAT</v>
      </c>
      <c r="M2263" s="39">
        <v>1120</v>
      </c>
      <c r="N2263" s="39">
        <v>12000</v>
      </c>
      <c r="O2263" s="156">
        <v>1</v>
      </c>
      <c r="P2263" s="47">
        <v>1</v>
      </c>
      <c r="Q2263" s="57"/>
      <c r="R2263" s="271">
        <f ca="1">IF(D2263="","",IF(OFFSET(D2263,-1,0)&lt;&gt;"","",IF(OR(J2263="リード付け",J2263="巻足し",J2263="巻返しリード付け"),M2263,VLOOKUP(D2263,契約台帳!$A$3:$N$4986,14,FALSE))))</f>
        <v>1120</v>
      </c>
      <c r="S2263" s="272">
        <f ca="1">IF(D2263="","",IF(OFFSET(D2263,-1,0)&lt;&gt;"","",IF(OR(J2263="リード付け",J2263="巻足し",J2263="巻返しリード付け"),M2263,VLOOKUP(D2263,契約台帳!$A$3:$O$4986,15,FALSE))))</f>
        <v>1120</v>
      </c>
      <c r="T2263" s="273">
        <v>12000</v>
      </c>
      <c r="U2263" s="40">
        <v>1</v>
      </c>
      <c r="V2263" s="274">
        <f ca="1">IF(D2263="","",IF(OFFSET(D2263,-2,0)=D2263,"",VLOOKUP(D2263,契約台帳!$A$3:$R$4986,18,FALSE)))</f>
        <v>14</v>
      </c>
      <c r="W2263" s="269" t="str">
        <f>IF(D2263="","",IF(T2263="","",IF(OR(J2263="巻足し",J2263="巻返しリード付け"),"",IF(J2263="巻返し",VLOOKUP(F2263&amp;K2263&amp;M2263,製品マスタ!$M$5:$AD$5002,18,FALSE),IF(OR(J2263="リード付け",J2263="巻返しリード付け"),"原反コア",IF(J2263="スリット",VLOOKUP(F2263&amp;K2263&amp;R2263,製品マスタ!$N$5:$AD$5002,17,FALSE),""))))))</f>
        <v/>
      </c>
      <c r="X2263" s="269" t="str">
        <f>IF(D2263="","",IF(T2263="","",IF(J2263="巻足し","",IF(J2263="巻返し",VLOOKUP(F2263&amp;K2263&amp;M2263,製品マスタ!$M$5:$AE$5002,19,FALSE),IF(OR(J2263="リード付け",J2263="巻返しリード付け"),"",IF(J2263="スリット",VLOOKUP(F2263&amp;K2263&amp;R2263,製品マスタ!$N$5:$AE$5002,18,FALSE),""))))))</f>
        <v/>
      </c>
      <c r="Y2263" s="275">
        <f>IF(D2263="","",IF(T2263="","",VLOOKUP(D2263,契約台帳!$A$3:$Q$4986,17,FALSE)))</f>
        <v>2</v>
      </c>
      <c r="Z2263" s="269" t="str">
        <f>IF(D2263="","",IF(T2263="","",VLOOKUP(D2263,契約台帳!$A$3:$E$4986,5,FALSE)))</f>
        <v>リンテック㈱</v>
      </c>
      <c r="AA2263" s="57"/>
      <c r="AB2263" s="207">
        <f>IFERROR((VLOOKUP(F2263&amp;K2263&amp;M2263,製品マスタ!$M$5:$AM$5002,27,FALSE)),"")</f>
        <v>0</v>
      </c>
      <c r="AC2263" s="33"/>
      <c r="AD2263" s="189"/>
      <c r="AE2263" s="54"/>
      <c r="AF2263" s="55">
        <f>+M2263*N2263*O2263/1000</f>
        <v>13440</v>
      </c>
      <c r="AG2263" s="43"/>
      <c r="AH2263" s="47"/>
      <c r="AI2263" s="30"/>
      <c r="AJ2263" s="30"/>
      <c r="AK2263" s="30"/>
      <c r="AL2263" s="30"/>
      <c r="AM2263" s="13"/>
      <c r="AN2263" s="13"/>
      <c r="AO2263" s="13"/>
      <c r="AP2263" s="13"/>
      <c r="AQ2263" s="13"/>
      <c r="AR2263" s="14"/>
      <c r="AS2263" s="15"/>
    </row>
    <row r="2264" spans="1:45" s="17" customFormat="1" ht="30.95" hidden="1" customHeight="1" x14ac:dyDescent="0.2">
      <c r="A2264" s="343"/>
      <c r="B2264" s="344"/>
      <c r="C2264" s="345"/>
      <c r="D2264" s="346"/>
      <c r="E2264" s="346"/>
      <c r="F2264" s="268"/>
      <c r="G2264" s="269"/>
      <c r="H2264" s="269"/>
      <c r="I2264" s="270"/>
      <c r="J2264" s="434"/>
      <c r="K2264" s="270"/>
      <c r="L2264" s="270"/>
      <c r="M2264" s="348"/>
      <c r="N2264" s="348"/>
      <c r="O2264" s="435"/>
      <c r="P2264" s="349"/>
      <c r="Q2264" s="350"/>
      <c r="R2264" s="271"/>
      <c r="S2264" s="272"/>
      <c r="T2264" s="273"/>
      <c r="U2264" s="351"/>
      <c r="V2264" s="274"/>
      <c r="W2264" s="269"/>
      <c r="X2264" s="269"/>
      <c r="Y2264" s="275"/>
      <c r="Z2264" s="269"/>
      <c r="AA2264" s="350"/>
      <c r="AB2264" s="207"/>
      <c r="AC2264" s="352"/>
      <c r="AD2264" s="353"/>
      <c r="AE2264" s="54"/>
      <c r="AF2264" s="354"/>
      <c r="AG2264" s="355"/>
      <c r="AH2264" s="349"/>
      <c r="AI2264" s="30"/>
      <c r="AJ2264" s="30"/>
      <c r="AK2264" s="30"/>
      <c r="AL2264" s="30"/>
      <c r="AM2264" s="13"/>
      <c r="AN2264" s="13"/>
      <c r="AO2264" s="13"/>
      <c r="AP2264" s="13"/>
      <c r="AQ2264" s="13"/>
      <c r="AR2264" s="14"/>
      <c r="AS2264" s="15"/>
    </row>
    <row r="2265" spans="1:45" s="17" customFormat="1" ht="30.6" hidden="1" customHeight="1" x14ac:dyDescent="0.2">
      <c r="A2265" s="37"/>
      <c r="B2265" s="38"/>
      <c r="C2265" s="45"/>
      <c r="D2265" s="31">
        <v>3766744</v>
      </c>
      <c r="E2265" s="31">
        <v>4162439</v>
      </c>
      <c r="F2265" s="268" t="str">
        <f>IF(D2265="","",VLOOKUP(D2265,契約台帳!$A$3:$K$4986,6,FALSE)&amp;VLOOKUP(D2265,契約台帳!$A$3:$K$4986,7,FALSE)&amp;VLOOKUP(D2265,契約台帳!$A$3:$K$4986,8,FALSE)&amp;VLOOKUP(D2265,契約台帳!$A$3:$K$4986,9,FALSE)&amp;VLOOKUP(D2265,契約台帳!$A$3:$K$4986,11,FALSE))</f>
        <v>3TYKNZMCR</v>
      </c>
      <c r="G2265" s="269" t="str">
        <f>IF(D2265="","",VLOOKUP(F2265,製品マスタ!$G$5:$H$5002,2,FALSE))</f>
        <v>T</v>
      </c>
      <c r="H2265" s="269" t="str">
        <f>IF(D2265="","",VLOOKUP(F2265,製品マスタ!$G$5:$K$5002,5,FALSE))</f>
        <v>MCR</v>
      </c>
      <c r="I2265" s="270" t="str">
        <f>IF(D2265="","",VLOOKUP(F2265,製品マスタ!$G$5:$L$5002,6,FALSE))</f>
        <v>Metalumy CR</v>
      </c>
      <c r="J2265" s="210" t="s">
        <v>464</v>
      </c>
      <c r="K2265" s="270">
        <f>IF(D2265="","",VLOOKUP(D2265,契約台帳!$A$3:$L$4986,12,FALSE))</f>
        <v>25</v>
      </c>
      <c r="L2265" s="270" t="str">
        <f>IF(D2265="","",INDEX(製品マスタ!$Q$5:$Q$5002,MATCH('S4'!F2265&amp;'S4'!K2265,製品マスタ!$AO$5:$AO$5002,0)))</f>
        <v>S28M</v>
      </c>
      <c r="M2265" s="39">
        <v>1110</v>
      </c>
      <c r="N2265" s="39">
        <v>12100</v>
      </c>
      <c r="O2265" s="156">
        <v>3</v>
      </c>
      <c r="P2265" s="47">
        <v>1</v>
      </c>
      <c r="Q2265" s="213">
        <v>45498</v>
      </c>
      <c r="R2265" s="271">
        <f ca="1">IF(D2265="","",IF(OFFSET(D2265,-1,0)&lt;&gt;"","",IF(OR(J2265="リード付け",J2265="巻足し",J2265="巻返しリード付け"),M2265,VLOOKUP(D2265,契約台帳!$A$3:$N$4986,14,FALSE))))</f>
        <v>1110</v>
      </c>
      <c r="S2265" s="272">
        <f ca="1">IF(D2265="","",IF(OFFSET(D2265,-1,0)&lt;&gt;"","",IF(OR(J2265="リード付け",J2265="巻足し",J2265="巻返しリード付け"),M2265,VLOOKUP(D2265,契約台帳!$A$3:$O$4986,15,FALSE))))</f>
        <v>1110</v>
      </c>
      <c r="T2265" s="273">
        <f ca="1">IF(D2265="","",IF(J2265="リード付け",N2265,IF(J2265="巻返しリード付け",N2265,IF(J2265="巻足し",N2265*P2265+OFFSET(N2265,1,0)*OFFSET(P2265,1,0),VLOOKUP(D2265,契約台帳!$A$3:$P$4986,16,FALSE)))))</f>
        <v>12100</v>
      </c>
      <c r="U2265" s="40">
        <v>3</v>
      </c>
      <c r="V2265" s="274">
        <f ca="1">IF(D2265="","",IF(OFFSET(D2265,-2,0)=D2265,"",VLOOKUP(D2265,契約台帳!$A$3:$R$4986,18,FALSE)))</f>
        <v>26</v>
      </c>
      <c r="W2265" s="269" t="str">
        <f ca="1">IF(D2265="","",IF(T2265="","",IF(OR(J2265="巻足し",J2265="巻返しリード付け"),"",IF(J2265="巻返し",VLOOKUP(F2265&amp;K2265&amp;M2265,製品マスタ!$M$5:$AD$5002,18,FALSE),IF(OR(J2265="リード付け",J2265="巻返しリード付け"),"原反コア",IF(J2265="スリット",VLOOKUP(F2265&amp;K2265&amp;R2265,製品マスタ!$N$5:$AD$5002,17,FALSE),""))))))</f>
        <v>原反コア</v>
      </c>
      <c r="X2265" s="269" t="str">
        <f ca="1">IF(D2265="","",IF(T2265="","",IF(J2265="巻足し","",IF(J2265="巻返し",VLOOKUP(F2265&amp;K2265&amp;M2265,製品マスタ!$M$5:$AE$5002,19,FALSE),IF(OR(J2265="リード付け",J2265="巻返しリード付け"),"",IF(J2265="スリット",VLOOKUP(F2265&amp;K2265&amp;R2265,製品マスタ!$N$5:$AE$5002,18,FALSE),""))))))</f>
        <v/>
      </c>
      <c r="Y2265" s="275">
        <f ca="1">IF(D2265="","",IF(T2265="","",VLOOKUP(D2265,契約台帳!$A$3:$Q$4986,17,FALSE)))</f>
        <v>2</v>
      </c>
      <c r="Z2265" s="269" t="str">
        <f ca="1">IF(D2265="","",IF(T2265="","",VLOOKUP(D2265,契約台帳!$A$3:$E$4986,5,FALSE)))</f>
        <v>日東電工㈱豊橋工場</v>
      </c>
      <c r="AA2265" s="57"/>
      <c r="AB2265" s="207" t="s">
        <v>2892</v>
      </c>
      <c r="AC2265" s="33"/>
      <c r="AD2265" s="189"/>
      <c r="AE2265" s="54"/>
      <c r="AF2265" s="55">
        <f>+M2265*N2265*O2265/1000</f>
        <v>40293</v>
      </c>
      <c r="AG2265" s="43"/>
      <c r="AH2265" s="47"/>
      <c r="AI2265" s="30"/>
      <c r="AJ2265" s="30"/>
      <c r="AK2265" s="30"/>
      <c r="AL2265" s="30"/>
      <c r="AM2265" s="13"/>
      <c r="AN2265" s="13"/>
      <c r="AO2265" s="13"/>
      <c r="AP2265" s="13"/>
      <c r="AQ2265" s="13"/>
      <c r="AR2265" s="14"/>
      <c r="AS2265" s="15"/>
    </row>
    <row r="2266" spans="1:45" s="17" customFormat="1" ht="30.95" hidden="1" customHeight="1" x14ac:dyDescent="0.2">
      <c r="A2266" s="343"/>
      <c r="B2266" s="344"/>
      <c r="C2266" s="345"/>
      <c r="D2266" s="346"/>
      <c r="E2266" s="346"/>
      <c r="F2266" s="268"/>
      <c r="G2266" s="269"/>
      <c r="H2266" s="269"/>
      <c r="I2266" s="270"/>
      <c r="J2266" s="434"/>
      <c r="K2266" s="270"/>
      <c r="L2266" s="270"/>
      <c r="M2266" s="348"/>
      <c r="N2266" s="348"/>
      <c r="O2266" s="435"/>
      <c r="P2266" s="349"/>
      <c r="Q2266" s="350"/>
      <c r="R2266" s="271"/>
      <c r="S2266" s="272"/>
      <c r="T2266" s="273"/>
      <c r="U2266" s="351"/>
      <c r="V2266" s="274"/>
      <c r="W2266" s="269"/>
      <c r="X2266" s="269"/>
      <c r="Y2266" s="275"/>
      <c r="Z2266" s="269"/>
      <c r="AA2266" s="350"/>
      <c r="AB2266" s="207"/>
      <c r="AC2266" s="352"/>
      <c r="AD2266" s="353"/>
      <c r="AE2266" s="54"/>
      <c r="AF2266" s="354"/>
      <c r="AG2266" s="355"/>
      <c r="AH2266" s="349"/>
      <c r="AI2266" s="30"/>
      <c r="AJ2266" s="30"/>
      <c r="AK2266" s="30"/>
      <c r="AL2266" s="30"/>
      <c r="AM2266" s="13"/>
      <c r="AN2266" s="13"/>
      <c r="AO2266" s="13"/>
      <c r="AP2266" s="13"/>
      <c r="AQ2266" s="13"/>
      <c r="AR2266" s="14"/>
      <c r="AS2266" s="15"/>
    </row>
    <row r="2267" spans="1:45" s="17" customFormat="1" ht="30.6" hidden="1" customHeight="1" x14ac:dyDescent="0.2">
      <c r="A2267" s="343" t="s">
        <v>516</v>
      </c>
      <c r="B2267" s="344" t="s">
        <v>444</v>
      </c>
      <c r="C2267" s="45"/>
      <c r="D2267" s="31">
        <v>3766744</v>
      </c>
      <c r="E2267" s="31">
        <v>4162439</v>
      </c>
      <c r="F2267" s="268" t="str">
        <f>IF(D2267="","",VLOOKUP(D2267,契約台帳!$A$3:$K$4986,6,FALSE)&amp;VLOOKUP(D2267,契約台帳!$A$3:$K$4986,7,FALSE)&amp;VLOOKUP(D2267,契約台帳!$A$3:$K$4986,8,FALSE)&amp;VLOOKUP(D2267,契約台帳!$A$3:$K$4986,9,FALSE)&amp;VLOOKUP(D2267,契約台帳!$A$3:$K$4986,11,FALSE))</f>
        <v>3TYKNZMCR</v>
      </c>
      <c r="G2267" s="269" t="str">
        <f>IF(D2267="","",VLOOKUP(F2267,製品マスタ!$G$5:$H$5002,2,FALSE))</f>
        <v>T</v>
      </c>
      <c r="H2267" s="269" t="str">
        <f>IF(D2267="","",VLOOKUP(F2267,製品マスタ!$G$5:$K$5002,5,FALSE))</f>
        <v>MCR</v>
      </c>
      <c r="I2267" s="270" t="str">
        <f>IF(D2267="","",VLOOKUP(F2267,製品マスタ!$G$5:$L$5002,6,FALSE))</f>
        <v>Metalumy CR</v>
      </c>
      <c r="J2267" s="210" t="s">
        <v>464</v>
      </c>
      <c r="K2267" s="270">
        <f>IF(D2267="","",VLOOKUP(D2267,契約台帳!$A$3:$L$4986,12,FALSE))</f>
        <v>25</v>
      </c>
      <c r="L2267" s="270" t="str">
        <f>IF(D2267="","",INDEX(製品マスタ!$Q$5:$Q$5002,MATCH('S4'!F2267&amp;'S4'!K2267,製品マスタ!$AO$5:$AO$5002,0)))</f>
        <v>S28M</v>
      </c>
      <c r="M2267" s="39">
        <v>1110</v>
      </c>
      <c r="N2267" s="39">
        <v>12100</v>
      </c>
      <c r="O2267" s="156">
        <v>10</v>
      </c>
      <c r="P2267" s="47">
        <v>1</v>
      </c>
      <c r="Q2267" s="213">
        <v>45498</v>
      </c>
      <c r="R2267" s="271">
        <f ca="1">IF(D2267="","",IF(OFFSET(D2267,-1,0)&lt;&gt;"","",IF(OR(J2267="リード付け",J2267="巻足し",J2267="巻返しリード付け"),M2267,VLOOKUP(D2267,契約台帳!$A$3:$N$4986,14,FALSE))))</f>
        <v>1110</v>
      </c>
      <c r="S2267" s="272">
        <f ca="1">IF(D2267="","",IF(OFFSET(D2267,-1,0)&lt;&gt;"","",IF(OR(J2267="リード付け",J2267="巻足し",J2267="巻返しリード付け"),M2267,VLOOKUP(D2267,契約台帳!$A$3:$O$4986,15,FALSE))))</f>
        <v>1110</v>
      </c>
      <c r="T2267" s="273">
        <f ca="1">IF(D2267="","",IF(J2267="リード付け",N2267,IF(J2267="巻返しリード付け",N2267,IF(J2267="巻足し",N2267*P2267+OFFSET(N2267,1,0)*OFFSET(P2267,1,0),VLOOKUP(D2267,契約台帳!$A$3:$P$4986,16,FALSE)))))</f>
        <v>12100</v>
      </c>
      <c r="U2267" s="40">
        <v>10</v>
      </c>
      <c r="V2267" s="274" t="str">
        <f ca="1">IF(D2267="","",IF(OFFSET(D2267,-2,0)=D2267,"",VLOOKUP(D2267,契約台帳!$A$3:$R$4986,18,FALSE)))</f>
        <v/>
      </c>
      <c r="W2267" s="269" t="str">
        <f ca="1">IF(D2267="","",IF(T2267="","",IF(OR(J2267="巻足し",J2267="巻返しリード付け"),"",IF(J2267="巻返し",VLOOKUP(F2267&amp;K2267&amp;M2267,製品マスタ!$M$5:$AD$5002,18,FALSE),IF(OR(J2267="リード付け",J2267="巻返しリード付け"),"原反コア",IF(J2267="スリット",VLOOKUP(F2267&amp;K2267&amp;R2267,製品マスタ!$N$5:$AD$5002,17,FALSE),""))))))</f>
        <v>原反コア</v>
      </c>
      <c r="X2267" s="269" t="str">
        <f ca="1">IF(D2267="","",IF(T2267="","",IF(J2267="巻足し","",IF(J2267="巻返し",VLOOKUP(F2267&amp;K2267&amp;M2267,製品マスタ!$M$5:$AE$5002,19,FALSE),IF(OR(J2267="リード付け",J2267="巻返しリード付け"),"",IF(J2267="スリット",VLOOKUP(F2267&amp;K2267&amp;R2267,製品マスタ!$N$5:$AE$5002,18,FALSE),""))))))</f>
        <v/>
      </c>
      <c r="Y2267" s="275">
        <f ca="1">IF(D2267="","",IF(T2267="","",VLOOKUP(D2267,契約台帳!$A$3:$Q$4986,17,FALSE)))</f>
        <v>2</v>
      </c>
      <c r="Z2267" s="269" t="str">
        <f ca="1">IF(D2267="","",IF(T2267="","",VLOOKUP(D2267,契約台帳!$A$3:$E$4986,5,FALSE)))</f>
        <v>日東電工㈱豊橋工場</v>
      </c>
      <c r="AA2267" s="57"/>
      <c r="AB2267" s="207" t="s">
        <v>2892</v>
      </c>
      <c r="AC2267" s="33"/>
      <c r="AD2267" s="189"/>
      <c r="AE2267" s="54"/>
      <c r="AF2267" s="55">
        <f>+M2267*N2267*O2267/1000</f>
        <v>134310</v>
      </c>
      <c r="AG2267" s="43"/>
      <c r="AH2267" s="47"/>
      <c r="AI2267" s="30"/>
      <c r="AJ2267" s="30"/>
      <c r="AK2267" s="30"/>
      <c r="AL2267" s="30"/>
      <c r="AM2267" s="13"/>
      <c r="AN2267" s="13"/>
      <c r="AO2267" s="13"/>
      <c r="AP2267" s="13"/>
      <c r="AQ2267" s="13"/>
      <c r="AR2267" s="14"/>
      <c r="AS2267" s="15"/>
    </row>
    <row r="2268" spans="1:45" s="17" customFormat="1" ht="30.95" hidden="1" customHeight="1" x14ac:dyDescent="0.2">
      <c r="A2268" s="343"/>
      <c r="B2268" s="344"/>
      <c r="C2268" s="345"/>
      <c r="D2268" s="346"/>
      <c r="E2268" s="346"/>
      <c r="F2268" s="268"/>
      <c r="G2268" s="269"/>
      <c r="H2268" s="269"/>
      <c r="I2268" s="270"/>
      <c r="J2268" s="434"/>
      <c r="K2268" s="270"/>
      <c r="L2268" s="270"/>
      <c r="M2268" s="348"/>
      <c r="N2268" s="348"/>
      <c r="O2268" s="435"/>
      <c r="P2268" s="349"/>
      <c r="Q2268" s="350"/>
      <c r="R2268" s="271"/>
      <c r="S2268" s="272"/>
      <c r="T2268" s="273"/>
      <c r="U2268" s="351"/>
      <c r="V2268" s="274"/>
      <c r="W2268" s="269"/>
      <c r="X2268" s="269"/>
      <c r="Y2268" s="275"/>
      <c r="Z2268" s="269"/>
      <c r="AA2268" s="350"/>
      <c r="AB2268" s="207"/>
      <c r="AC2268" s="352"/>
      <c r="AD2268" s="353"/>
      <c r="AE2268" s="54"/>
      <c r="AF2268" s="354"/>
      <c r="AG2268" s="355"/>
      <c r="AH2268" s="349"/>
      <c r="AI2268" s="30"/>
      <c r="AJ2268" s="30"/>
      <c r="AK2268" s="30"/>
      <c r="AL2268" s="30"/>
      <c r="AM2268" s="13"/>
      <c r="AN2268" s="13"/>
      <c r="AO2268" s="13"/>
      <c r="AP2268" s="13"/>
      <c r="AQ2268" s="13"/>
      <c r="AR2268" s="14"/>
      <c r="AS2268" s="15"/>
    </row>
    <row r="2269" spans="1:45" s="17" customFormat="1" ht="30.6" hidden="1" customHeight="1" x14ac:dyDescent="0.2">
      <c r="A2269" s="343"/>
      <c r="B2269" s="344"/>
      <c r="C2269" s="45"/>
      <c r="D2269" s="31">
        <v>3766772</v>
      </c>
      <c r="E2269" s="31">
        <v>4162433</v>
      </c>
      <c r="F2269" s="268" t="str">
        <f>IF(D2269="","",VLOOKUP(D2269,契約台帳!$A$3:$K$4986,6,FALSE)&amp;VLOOKUP(D2269,契約台帳!$A$3:$K$4986,7,FALSE)&amp;VLOOKUP(D2269,契約台帳!$A$3:$K$4986,8,FALSE)&amp;VLOOKUP(D2269,契約台帳!$A$3:$K$4986,9,FALSE)&amp;VLOOKUP(D2269,契約台帳!$A$3:$K$4986,11,FALSE))</f>
        <v>3SNMLBMTSF</v>
      </c>
      <c r="G2269" s="269" t="str">
        <f>IF(D2269="","",VLOOKUP(F2269,製品マスタ!$G$5:$H$5002,2,FALSE))</f>
        <v>S</v>
      </c>
      <c r="H2269" s="269" t="str">
        <f>IF(D2269="","",VLOOKUP(F2269,製品マスタ!$G$5:$K$5002,5,FALSE))</f>
        <v>MTSF</v>
      </c>
      <c r="I2269" s="270" t="str">
        <f>IF(D2269="","",VLOOKUP(F2269,製品マスタ!$G$5:$L$5002,6,FALSE))</f>
        <v>メタルミー　ＴＳ</v>
      </c>
      <c r="J2269" s="210" t="s">
        <v>935</v>
      </c>
      <c r="K2269" s="270">
        <f>IF(D2269="","",VLOOKUP(D2269,契約台帳!$A$3:$L$4986,12,FALSE))</f>
        <v>50</v>
      </c>
      <c r="L2269" s="270" t="str">
        <f>IF(D2269="","",INDEX(製品マスタ!$Q$5:$Q$5002,MATCH('S4'!F2269&amp;'S4'!K2269,製品マスタ!$AO$5:$AO$5002,0)))</f>
        <v>T62M</v>
      </c>
      <c r="M2269" s="39">
        <v>1255</v>
      </c>
      <c r="N2269" s="39">
        <v>6100</v>
      </c>
      <c r="O2269" s="156">
        <v>2</v>
      </c>
      <c r="P2269" s="47">
        <v>2</v>
      </c>
      <c r="Q2269" s="213">
        <v>45498</v>
      </c>
      <c r="R2269" s="271">
        <f ca="1">IF(D2269="","",IF(OFFSET(D2269,-1,0)&lt;&gt;"","",IF(OR(J2269="リード付け",J2269="巻足し",J2269="巻返しリード付け"),M2269,VLOOKUP(D2269,契約台帳!$A$3:$N$4986,14,FALSE))))</f>
        <v>1255</v>
      </c>
      <c r="S2269" s="272">
        <f ca="1">IF(D2269="","",IF(OFFSET(D2269,-1,0)&lt;&gt;"","",IF(OR(J2269="リード付け",J2269="巻足し",J2269="巻返しリード付け"),M2269,VLOOKUP(D2269,契約台帳!$A$3:$O$4986,15,FALSE))))</f>
        <v>1255</v>
      </c>
      <c r="T2269" s="273">
        <f ca="1">IF(D2269="","",IF(J2269="リード付け",N2269,IF(J2269="巻返しリード付け",N2269,IF(J2269="巻足し",N2269*P2269+OFFSET(N2269,1,0)*OFFSET(P2269,1,0),VLOOKUP(D2269,契約台帳!$A$3:$P$4986,16,FALSE)))))</f>
        <v>12200</v>
      </c>
      <c r="U2269" s="40">
        <v>1</v>
      </c>
      <c r="V2269" s="274">
        <f ca="1">IF(D2269="","",IF(OFFSET(D2269,-2,0)=D2269,"",VLOOKUP(D2269,契約台帳!$A$3:$R$4986,18,FALSE)))</f>
        <v>6</v>
      </c>
      <c r="W2269" s="269" t="str">
        <f ca="1">IF(D2269="","",IF(T2269="","",IF(OR(J2269="巻足し",J2269="巻返しリード付け"),"",IF(J2269="巻返し",VLOOKUP(F2269&amp;K2269&amp;M2269,製品マスタ!$M$5:$AD$5002,18,FALSE),IF(OR(J2269="リード付け",J2269="巻返しリード付け"),"原反コア",IF(J2269="スリット",VLOOKUP(F2269&amp;K2269&amp;R2269,製品マスタ!$N$5:$AD$5002,17,FALSE),""))))))</f>
        <v/>
      </c>
      <c r="X2269" s="269" t="str">
        <f ca="1">IF(D2269="","",IF(T2269="","",IF(J2269="巻足し","",IF(J2269="巻返し",VLOOKUP(F2269&amp;K2269&amp;M2269,製品マスタ!$M$5:$AE$5002,19,FALSE),IF(OR(J2269="リード付け",J2269="巻返しリード付け"),"",IF(J2269="スリット",VLOOKUP(F2269&amp;K2269&amp;R2269,製品マスタ!$N$5:$AE$5002,18,FALSE),""))))))</f>
        <v/>
      </c>
      <c r="Y2269" s="275">
        <f ca="1">IF(D2269="","",IF(T2269="","",VLOOKUP(D2269,契約台帳!$A$3:$Q$4986,17,FALSE)))</f>
        <v>2</v>
      </c>
      <c r="Z2269" s="269" t="str">
        <f ca="1">IF(D2269="","",IF(T2269="","",VLOOKUP(D2269,契約台帳!$A$3:$E$4986,5,FALSE)))</f>
        <v>日東電工㈱豊橋工場</v>
      </c>
      <c r="AA2269" s="57"/>
      <c r="AB2269" s="207">
        <f>IFERROR((VLOOKUP(F2269&amp;K2269&amp;M2269,製品マスタ!$M$5:$AM$5002,27,FALSE)),"")</f>
        <v>0</v>
      </c>
      <c r="AC2269" s="33"/>
      <c r="AD2269" s="189"/>
      <c r="AE2269" s="54"/>
      <c r="AF2269" s="55">
        <f>+M2269*N2269*O2269/1000</f>
        <v>15311</v>
      </c>
      <c r="AG2269" s="43"/>
      <c r="AH2269" s="47"/>
      <c r="AI2269" s="30"/>
      <c r="AJ2269" s="30"/>
      <c r="AK2269" s="30"/>
      <c r="AL2269" s="30"/>
      <c r="AM2269" s="13"/>
      <c r="AN2269" s="13"/>
      <c r="AO2269" s="13"/>
      <c r="AP2269" s="13"/>
      <c r="AQ2269" s="13"/>
      <c r="AR2269" s="14"/>
      <c r="AS2269" s="15"/>
    </row>
    <row r="2270" spans="1:45" s="17" customFormat="1" ht="30.95" hidden="1" customHeight="1" x14ac:dyDescent="0.2">
      <c r="A2270" s="343"/>
      <c r="B2270" s="344"/>
      <c r="C2270" s="345"/>
      <c r="D2270" s="346"/>
      <c r="E2270" s="346"/>
      <c r="F2270" s="268"/>
      <c r="G2270" s="269"/>
      <c r="H2270" s="269"/>
      <c r="I2270" s="270"/>
      <c r="J2270" s="434"/>
      <c r="K2270" s="270"/>
      <c r="L2270" s="270"/>
      <c r="M2270" s="348"/>
      <c r="N2270" s="348"/>
      <c r="O2270" s="435"/>
      <c r="P2270" s="349"/>
      <c r="Q2270" s="350"/>
      <c r="R2270" s="271"/>
      <c r="S2270" s="272"/>
      <c r="T2270" s="273"/>
      <c r="U2270" s="351"/>
      <c r="V2270" s="274"/>
      <c r="W2270" s="269"/>
      <c r="X2270" s="269"/>
      <c r="Y2270" s="275"/>
      <c r="Z2270" s="269"/>
      <c r="AA2270" s="350"/>
      <c r="AB2270" s="207"/>
      <c r="AC2270" s="352"/>
      <c r="AD2270" s="353"/>
      <c r="AE2270" s="54"/>
      <c r="AF2270" s="354"/>
      <c r="AG2270" s="355"/>
      <c r="AH2270" s="349"/>
      <c r="AI2270" s="30"/>
      <c r="AJ2270" s="30"/>
      <c r="AK2270" s="30"/>
      <c r="AL2270" s="30"/>
      <c r="AM2270" s="13"/>
      <c r="AN2270" s="13"/>
      <c r="AO2270" s="13"/>
      <c r="AP2270" s="13"/>
      <c r="AQ2270" s="13"/>
      <c r="AR2270" s="14"/>
      <c r="AS2270" s="15"/>
    </row>
    <row r="2271" spans="1:45" s="17" customFormat="1" ht="30.6" hidden="1" customHeight="1" x14ac:dyDescent="0.2">
      <c r="A2271" s="343"/>
      <c r="B2271" s="344"/>
      <c r="C2271" s="45"/>
      <c r="D2271" s="31">
        <v>3767088</v>
      </c>
      <c r="E2271" s="31">
        <v>4162435</v>
      </c>
      <c r="F2271" s="268" t="str">
        <f>IF(D2271="","",VLOOKUP(D2271,契約台帳!$A$3:$K$4986,6,FALSE)&amp;VLOOKUP(D2271,契約台帳!$A$3:$K$4986,7,FALSE)&amp;VLOOKUP(D2271,契約台帳!$A$3:$K$4986,8,FALSE)&amp;VLOOKUP(D2271,契約台帳!$A$3:$K$4986,9,FALSE)&amp;VLOOKUP(D2271,契約台帳!$A$3:$K$4986,11,FALSE))</f>
        <v>3SYMLBMSNMBF</v>
      </c>
      <c r="G2271" s="269" t="str">
        <f>IF(D2271="","",VLOOKUP(F2271,製品マスタ!$G$5:$H$5002,2,FALSE))</f>
        <v>S</v>
      </c>
      <c r="H2271" s="269" t="str">
        <f>IF(D2271="","",VLOOKUP(F2271,製品マスタ!$G$5:$K$5002,5,FALSE))</f>
        <v>MSNMBF</v>
      </c>
      <c r="I2271" s="270" t="str">
        <f>IF(D2271="","",VLOOKUP(F2271,製品マスタ!$G$5:$L$5002,6,FALSE))</f>
        <v>ＭＥＴＡＬＵＭＹ　ＳＩＬＶＥＲ　Ｎ－ＭＡＴＴＥ　Ｘ４４Ｍ　Ｂ</v>
      </c>
      <c r="J2271" s="210" t="s">
        <v>935</v>
      </c>
      <c r="K2271" s="270">
        <f>IF(D2271="","",VLOOKUP(D2271,契約台帳!$A$3:$L$4986,12,FALSE))</f>
        <v>50</v>
      </c>
      <c r="L2271" s="270" t="str">
        <f>IF(D2271="","",INDEX(製品マスタ!$Q$5:$Q$5002,MATCH('S4'!F2271&amp;'S4'!K2271,製品マスタ!$AO$5:$AO$5002,0)))</f>
        <v>X44</v>
      </c>
      <c r="M2271" s="39">
        <v>1120</v>
      </c>
      <c r="N2271" s="39">
        <v>4000</v>
      </c>
      <c r="O2271" s="156">
        <v>6</v>
      </c>
      <c r="P2271" s="47">
        <v>3</v>
      </c>
      <c r="Q2271" s="213">
        <v>45499</v>
      </c>
      <c r="R2271" s="271">
        <f ca="1">IF(D2271="","",IF(OFFSET(D2271,-1,0)&lt;&gt;"","",IF(OR(J2271="リード付け",J2271="巻足し",J2271="巻返しリード付け"),M2271,VLOOKUP(D2271,契約台帳!$A$3:$N$4986,14,FALSE))))</f>
        <v>1120</v>
      </c>
      <c r="S2271" s="272">
        <f ca="1">IF(D2271="","",IF(OFFSET(D2271,-1,0)&lt;&gt;"","",IF(OR(J2271="リード付け",J2271="巻足し",J2271="巻返しリード付け"),M2271,VLOOKUP(D2271,契約台帳!$A$3:$O$4986,15,FALSE))))</f>
        <v>1120</v>
      </c>
      <c r="T2271" s="273">
        <f ca="1">IF(D2271="","",IF(J2271="リード付け",N2271,IF(J2271="巻返しリード付け",N2271,IF(J2271="巻足し",N2271*P2271+OFFSET(N2271,1,0)*OFFSET(P2271,1,0),VLOOKUP(D2271,契約台帳!$A$3:$P$4986,16,FALSE)))))</f>
        <v>12000</v>
      </c>
      <c r="U2271" s="40">
        <v>2</v>
      </c>
      <c r="V2271" s="274">
        <f ca="1">IF(D2271="","",IF(OFFSET(D2271,-2,0)=D2271,"",VLOOKUP(D2271,契約台帳!$A$3:$R$4986,18,FALSE)))</f>
        <v>6</v>
      </c>
      <c r="W2271" s="269" t="str">
        <f ca="1">IF(D2271="","",IF(T2271="","",IF(OR(J2271="巻足し",J2271="巻返しリード付け"),"",IF(J2271="巻返し",VLOOKUP(F2271&amp;K2271&amp;M2271,製品マスタ!$M$5:$AD$5002,18,FALSE),IF(OR(J2271="リード付け",J2271="巻返しリード付け"),"原反コア",IF(J2271="スリット",VLOOKUP(F2271&amp;K2271&amp;R2271,製品マスタ!$N$5:$AD$5002,17,FALSE),""))))))</f>
        <v/>
      </c>
      <c r="X2271" s="269" t="str">
        <f ca="1">IF(D2271="","",IF(T2271="","",IF(J2271="巻足し","",IF(J2271="巻返し",VLOOKUP(F2271&amp;K2271&amp;M2271,製品マスタ!$M$5:$AE$5002,19,FALSE),IF(OR(J2271="リード付け",J2271="巻返しリード付け"),"",IF(J2271="スリット",VLOOKUP(F2271&amp;K2271&amp;R2271,製品マスタ!$N$5:$AE$5002,18,FALSE),""))))))</f>
        <v/>
      </c>
      <c r="Y2271" s="275">
        <f ca="1">IF(D2271="","",IF(T2271="","",VLOOKUP(D2271,契約台帳!$A$3:$Q$4986,17,FALSE)))</f>
        <v>2</v>
      </c>
      <c r="Z2271" s="269" t="str">
        <f ca="1">IF(D2271="","",IF(T2271="","",VLOOKUP(D2271,契約台帳!$A$3:$E$4986,5,FALSE)))</f>
        <v>リンテック㈱</v>
      </c>
      <c r="AA2271" s="57"/>
      <c r="AB2271" s="207">
        <f>IFERROR((VLOOKUP(F2271&amp;K2271&amp;M2271,製品マスタ!$M$5:$AM$5002,27,FALSE)),"")</f>
        <v>0</v>
      </c>
      <c r="AC2271" s="33"/>
      <c r="AD2271" s="189"/>
      <c r="AE2271" s="54"/>
      <c r="AF2271" s="55">
        <f>+M2271*N2271*O2271/1000</f>
        <v>26880</v>
      </c>
      <c r="AG2271" s="43"/>
      <c r="AH2271" s="47"/>
      <c r="AI2271" s="30"/>
      <c r="AJ2271" s="30"/>
      <c r="AK2271" s="30"/>
      <c r="AL2271" s="30"/>
      <c r="AM2271" s="13"/>
      <c r="AN2271" s="13"/>
      <c r="AO2271" s="13"/>
      <c r="AP2271" s="13"/>
      <c r="AQ2271" s="13"/>
      <c r="AR2271" s="14"/>
      <c r="AS2271" s="15"/>
    </row>
    <row r="2272" spans="1:45" s="17" customFormat="1" ht="30.95" hidden="1" customHeight="1" x14ac:dyDescent="0.2">
      <c r="A2272" s="343"/>
      <c r="B2272" s="344"/>
      <c r="C2272" s="345"/>
      <c r="D2272" s="346"/>
      <c r="E2272" s="346"/>
      <c r="F2272" s="268"/>
      <c r="G2272" s="269"/>
      <c r="H2272" s="269"/>
      <c r="I2272" s="270"/>
      <c r="J2272" s="434"/>
      <c r="K2272" s="270"/>
      <c r="L2272" s="270"/>
      <c r="M2272" s="348"/>
      <c r="N2272" s="348"/>
      <c r="O2272" s="435"/>
      <c r="P2272" s="349"/>
      <c r="Q2272" s="350"/>
      <c r="R2272" s="271"/>
      <c r="S2272" s="272"/>
      <c r="T2272" s="273"/>
      <c r="U2272" s="351"/>
      <c r="V2272" s="274"/>
      <c r="W2272" s="269"/>
      <c r="X2272" s="269"/>
      <c r="Y2272" s="275"/>
      <c r="Z2272" s="269"/>
      <c r="AA2272" s="350"/>
      <c r="AB2272" s="207"/>
      <c r="AC2272" s="352"/>
      <c r="AD2272" s="353"/>
      <c r="AE2272" s="54"/>
      <c r="AF2272" s="354"/>
      <c r="AG2272" s="355"/>
      <c r="AH2272" s="349"/>
      <c r="AI2272" s="30"/>
      <c r="AJ2272" s="30"/>
      <c r="AK2272" s="30"/>
      <c r="AL2272" s="30"/>
      <c r="AM2272" s="13"/>
      <c r="AN2272" s="13"/>
      <c r="AO2272" s="13"/>
      <c r="AP2272" s="13"/>
      <c r="AQ2272" s="13"/>
      <c r="AR2272" s="14"/>
      <c r="AS2272" s="15"/>
    </row>
    <row r="2273" spans="1:45" s="17" customFormat="1" ht="30.95" hidden="1" customHeight="1" x14ac:dyDescent="0.2">
      <c r="A2273" s="343" t="s">
        <v>517</v>
      </c>
      <c r="B2273" s="344" t="s">
        <v>445</v>
      </c>
      <c r="C2273" s="345"/>
      <c r="D2273" s="346"/>
      <c r="E2273" s="346"/>
      <c r="F2273" s="268"/>
      <c r="G2273" s="269"/>
      <c r="H2273" s="269"/>
      <c r="I2273" s="270"/>
      <c r="J2273" s="434" t="s">
        <v>448</v>
      </c>
      <c r="K2273" s="270"/>
      <c r="L2273" s="270"/>
      <c r="M2273" s="348"/>
      <c r="N2273" s="348"/>
      <c r="O2273" s="435"/>
      <c r="P2273" s="349"/>
      <c r="Q2273" s="350"/>
      <c r="R2273" s="271"/>
      <c r="S2273" s="272"/>
      <c r="T2273" s="273"/>
      <c r="U2273" s="351"/>
      <c r="V2273" s="274"/>
      <c r="W2273" s="269"/>
      <c r="X2273" s="269"/>
      <c r="Y2273" s="275"/>
      <c r="Z2273" s="269"/>
      <c r="AA2273" s="350"/>
      <c r="AB2273" s="207"/>
      <c r="AC2273" s="352"/>
      <c r="AD2273" s="353"/>
      <c r="AE2273" s="54"/>
      <c r="AF2273" s="354"/>
      <c r="AG2273" s="355"/>
      <c r="AH2273" s="349"/>
      <c r="AI2273" s="30"/>
      <c r="AJ2273" s="30"/>
      <c r="AK2273" s="30"/>
      <c r="AL2273" s="30"/>
      <c r="AM2273" s="13"/>
      <c r="AN2273" s="13"/>
      <c r="AO2273" s="13"/>
      <c r="AP2273" s="13"/>
      <c r="AQ2273" s="13"/>
      <c r="AR2273" s="14"/>
      <c r="AS2273" s="15"/>
    </row>
    <row r="2274" spans="1:45" s="17" customFormat="1" ht="30.95" hidden="1" customHeight="1" x14ac:dyDescent="0.2">
      <c r="A2274" s="343"/>
      <c r="B2274" s="344"/>
      <c r="C2274" s="345"/>
      <c r="D2274" s="346"/>
      <c r="E2274" s="346"/>
      <c r="F2274" s="268"/>
      <c r="G2274" s="269"/>
      <c r="H2274" s="269"/>
      <c r="I2274" s="270"/>
      <c r="J2274" s="434"/>
      <c r="K2274" s="270"/>
      <c r="L2274" s="270"/>
      <c r="M2274" s="348"/>
      <c r="N2274" s="348"/>
      <c r="O2274" s="435"/>
      <c r="P2274" s="349"/>
      <c r="Q2274" s="350"/>
      <c r="R2274" s="271"/>
      <c r="S2274" s="272"/>
      <c r="T2274" s="273"/>
      <c r="U2274" s="351"/>
      <c r="V2274" s="274"/>
      <c r="W2274" s="269"/>
      <c r="X2274" s="269"/>
      <c r="Y2274" s="275"/>
      <c r="Z2274" s="269"/>
      <c r="AA2274" s="350"/>
      <c r="AB2274" s="207"/>
      <c r="AC2274" s="352"/>
      <c r="AD2274" s="353"/>
      <c r="AE2274" s="54"/>
      <c r="AF2274" s="354"/>
      <c r="AG2274" s="355"/>
      <c r="AH2274" s="349"/>
      <c r="AI2274" s="30"/>
      <c r="AJ2274" s="30"/>
      <c r="AK2274" s="30"/>
      <c r="AL2274" s="30"/>
      <c r="AM2274" s="13"/>
      <c r="AN2274" s="13"/>
      <c r="AO2274" s="13"/>
      <c r="AP2274" s="13"/>
      <c r="AQ2274" s="13"/>
      <c r="AR2274" s="14"/>
      <c r="AS2274" s="15"/>
    </row>
    <row r="2275" spans="1:45" s="17" customFormat="1" ht="30.95" hidden="1" customHeight="1" x14ac:dyDescent="0.2">
      <c r="A2275" s="343" t="s">
        <v>519</v>
      </c>
      <c r="B2275" s="344" t="s">
        <v>446</v>
      </c>
      <c r="C2275" s="345"/>
      <c r="D2275" s="346"/>
      <c r="E2275" s="346"/>
      <c r="F2275" s="268"/>
      <c r="G2275" s="269"/>
      <c r="H2275" s="269"/>
      <c r="I2275" s="270"/>
      <c r="J2275" s="434" t="s">
        <v>448</v>
      </c>
      <c r="K2275" s="270"/>
      <c r="L2275" s="270"/>
      <c r="M2275" s="348"/>
      <c r="N2275" s="348"/>
      <c r="O2275" s="435"/>
      <c r="P2275" s="349"/>
      <c r="Q2275" s="350"/>
      <c r="R2275" s="271"/>
      <c r="S2275" s="272"/>
      <c r="T2275" s="273"/>
      <c r="U2275" s="351"/>
      <c r="V2275" s="274"/>
      <c r="W2275" s="269"/>
      <c r="X2275" s="269"/>
      <c r="Y2275" s="275"/>
      <c r="Z2275" s="269"/>
      <c r="AA2275" s="350"/>
      <c r="AB2275" s="207"/>
      <c r="AC2275" s="352"/>
      <c r="AD2275" s="353"/>
      <c r="AE2275" s="54"/>
      <c r="AF2275" s="354"/>
      <c r="AG2275" s="355"/>
      <c r="AH2275" s="349"/>
      <c r="AI2275" s="30"/>
      <c r="AJ2275" s="30"/>
      <c r="AK2275" s="30"/>
      <c r="AL2275" s="30"/>
      <c r="AM2275" s="13"/>
      <c r="AN2275" s="13"/>
      <c r="AO2275" s="13"/>
      <c r="AP2275" s="13"/>
      <c r="AQ2275" s="13"/>
      <c r="AR2275" s="14"/>
      <c r="AS2275" s="15"/>
    </row>
    <row r="2276" spans="1:45" s="17" customFormat="1" ht="30.95" hidden="1" customHeight="1" x14ac:dyDescent="0.2">
      <c r="A2276" s="343"/>
      <c r="B2276" s="344"/>
      <c r="C2276" s="345"/>
      <c r="D2276" s="346"/>
      <c r="E2276" s="346"/>
      <c r="F2276" s="268"/>
      <c r="G2276" s="269"/>
      <c r="H2276" s="269"/>
      <c r="I2276" s="270"/>
      <c r="J2276" s="434"/>
      <c r="K2276" s="270"/>
      <c r="L2276" s="270"/>
      <c r="M2276" s="348"/>
      <c r="N2276" s="348"/>
      <c r="O2276" s="435"/>
      <c r="P2276" s="349"/>
      <c r="Q2276" s="350"/>
      <c r="R2276" s="271"/>
      <c r="S2276" s="272"/>
      <c r="T2276" s="273"/>
      <c r="U2276" s="351"/>
      <c r="V2276" s="274"/>
      <c r="W2276" s="269"/>
      <c r="X2276" s="269"/>
      <c r="Y2276" s="275"/>
      <c r="Z2276" s="269"/>
      <c r="AA2276" s="350"/>
      <c r="AB2276" s="207"/>
      <c r="AC2276" s="352"/>
      <c r="AD2276" s="353"/>
      <c r="AE2276" s="54"/>
      <c r="AF2276" s="354"/>
      <c r="AG2276" s="355"/>
      <c r="AH2276" s="349"/>
      <c r="AI2276" s="30"/>
      <c r="AJ2276" s="30"/>
      <c r="AK2276" s="30"/>
      <c r="AL2276" s="30"/>
      <c r="AM2276" s="13"/>
      <c r="AN2276" s="13"/>
      <c r="AO2276" s="13"/>
      <c r="AP2276" s="13"/>
      <c r="AQ2276" s="13"/>
      <c r="AR2276" s="14"/>
      <c r="AS2276" s="15"/>
    </row>
    <row r="2277" spans="1:45" s="17" customFormat="1" ht="30.6" hidden="1" customHeight="1" x14ac:dyDescent="0.2">
      <c r="A2277" s="343" t="s">
        <v>3037</v>
      </c>
      <c r="B2277" s="344" t="s">
        <v>3038</v>
      </c>
      <c r="C2277" s="45"/>
      <c r="D2277" s="31">
        <v>3767089</v>
      </c>
      <c r="E2277" s="31">
        <v>4162436</v>
      </c>
      <c r="F2277" s="268" t="str">
        <f>IF(D2277="","",VLOOKUP(D2277,契約台帳!$A$3:$K$4986,6,FALSE)&amp;VLOOKUP(D2277,契約台帳!$A$3:$K$4986,7,FALSE)&amp;VLOOKUP(D2277,契約台帳!$A$3:$K$4986,8,FALSE)&amp;VLOOKUP(D2277,契約台帳!$A$3:$K$4986,9,FALSE)&amp;VLOOKUP(D2277,契約台帳!$A$3:$K$4986,11,FALSE))</f>
        <v>3SYMLBMSNMBF</v>
      </c>
      <c r="G2277" s="269" t="str">
        <f>IF(D2277="","",VLOOKUP(F2277,製品マスタ!$G$5:$H$5002,2,FALSE))</f>
        <v>S</v>
      </c>
      <c r="H2277" s="269" t="str">
        <f>IF(D2277="","",VLOOKUP(F2277,製品マスタ!$G$5:$K$5002,5,FALSE))</f>
        <v>MSNMBF</v>
      </c>
      <c r="I2277" s="270" t="str">
        <f>IF(D2277="","",VLOOKUP(F2277,製品マスタ!$G$5:$L$5002,6,FALSE))</f>
        <v>ＭＥＴＡＬＵＭＹ　ＳＩＬＶＥＲ　Ｎ－ＭＡＴＴＥ　Ｘ４４Ｍ　Ｂ</v>
      </c>
      <c r="J2277" s="210" t="s">
        <v>935</v>
      </c>
      <c r="K2277" s="270">
        <f>IF(D2277="","",VLOOKUP(D2277,契約台帳!$A$3:$L$4986,12,FALSE))</f>
        <v>50</v>
      </c>
      <c r="L2277" s="270" t="str">
        <f>IF(D2277="","",INDEX(製品マスタ!$Q$5:$Q$5002,MATCH('S4'!F2277&amp;'S4'!K2277,製品マスタ!$AO$5:$AO$5002,0)))</f>
        <v>X44</v>
      </c>
      <c r="M2277" s="39">
        <v>1120</v>
      </c>
      <c r="N2277" s="39">
        <v>4000</v>
      </c>
      <c r="O2277" s="156">
        <v>3</v>
      </c>
      <c r="P2277" s="47">
        <v>3</v>
      </c>
      <c r="Q2277" s="213">
        <v>45499</v>
      </c>
      <c r="R2277" s="271">
        <f ca="1">IF(D2277="","",IF(OFFSET(D2277,-1,0)&lt;&gt;"","",IF(OR(J2277="リード付け",J2277="巻足し",J2277="巻返しリード付け"),M2277,VLOOKUP(D2277,契約台帳!$A$3:$N$4986,14,FALSE))))</f>
        <v>1120</v>
      </c>
      <c r="S2277" s="272">
        <f ca="1">IF(D2277="","",IF(OFFSET(D2277,-1,0)&lt;&gt;"","",IF(OR(J2277="リード付け",J2277="巻足し",J2277="巻返しリード付け"),M2277,VLOOKUP(D2277,契約台帳!$A$3:$O$4986,15,FALSE))))</f>
        <v>1120</v>
      </c>
      <c r="T2277" s="273">
        <f ca="1">IF(D2277="","",IF(J2277="リード付け",N2277,IF(J2277="巻返しリード付け",N2277,IF(J2277="巻足し",N2277*P2277+OFFSET(N2277,1,0)*OFFSET(P2277,1,0),VLOOKUP(D2277,契約台帳!$A$3:$P$4986,16,FALSE)))))</f>
        <v>12000</v>
      </c>
      <c r="U2277" s="40">
        <v>1</v>
      </c>
      <c r="V2277" s="274">
        <f ca="1">IF(D2277="","",IF(OFFSET(D2277,-2,0)=D2277,"",VLOOKUP(D2277,契約台帳!$A$3:$R$4986,18,FALSE)))</f>
        <v>4</v>
      </c>
      <c r="W2277" s="269" t="str">
        <f ca="1">IF(D2277="","",IF(T2277="","",IF(OR(J2277="巻足し",J2277="巻返しリード付け"),"",IF(J2277="巻返し",VLOOKUP(F2277&amp;K2277&amp;M2277,製品マスタ!$M$5:$AD$5002,18,FALSE),IF(OR(J2277="リード付け",J2277="巻返しリード付け"),"原反コア",IF(J2277="スリット",VLOOKUP(F2277&amp;K2277&amp;R2277,製品マスタ!$N$5:$AD$5002,17,FALSE),""))))))</f>
        <v/>
      </c>
      <c r="X2277" s="269" t="str">
        <f ca="1">IF(D2277="","",IF(T2277="","",IF(J2277="巻足し","",IF(J2277="巻返し",VLOOKUP(F2277&amp;K2277&amp;M2277,製品マスタ!$M$5:$AE$5002,19,FALSE),IF(OR(J2277="リード付け",J2277="巻返しリード付け"),"",IF(J2277="スリット",VLOOKUP(F2277&amp;K2277&amp;R2277,製品マスタ!$N$5:$AE$5002,18,FALSE),""))))))</f>
        <v/>
      </c>
      <c r="Y2277" s="275">
        <f ca="1">IF(D2277="","",IF(T2277="","",VLOOKUP(D2277,契約台帳!$A$3:$Q$4986,17,FALSE)))</f>
        <v>2</v>
      </c>
      <c r="Z2277" s="269" t="str">
        <f ca="1">IF(D2277="","",IF(T2277="","",VLOOKUP(D2277,契約台帳!$A$3:$E$4986,5,FALSE)))</f>
        <v>リンテック㈱</v>
      </c>
      <c r="AA2277" s="57"/>
      <c r="AB2277" s="207">
        <f>IFERROR((VLOOKUP(F2277&amp;K2277&amp;M2277,製品マスタ!$M$5:$AM$5002,27,FALSE)),"")</f>
        <v>0</v>
      </c>
      <c r="AC2277" s="33"/>
      <c r="AD2277" s="189"/>
      <c r="AE2277" s="54"/>
      <c r="AF2277" s="55">
        <f>+M2277*N2277*O2277/1000</f>
        <v>13440</v>
      </c>
      <c r="AG2277" s="43"/>
      <c r="AH2277" s="47"/>
      <c r="AI2277" s="30"/>
      <c r="AJ2277" s="30"/>
      <c r="AK2277" s="30"/>
      <c r="AL2277" s="30"/>
      <c r="AM2277" s="13"/>
      <c r="AN2277" s="13"/>
      <c r="AO2277" s="13"/>
      <c r="AP2277" s="13"/>
      <c r="AQ2277" s="13"/>
      <c r="AR2277" s="14"/>
      <c r="AS2277" s="15"/>
    </row>
    <row r="2278" spans="1:45" s="17" customFormat="1" ht="30.95" hidden="1" customHeight="1" x14ac:dyDescent="0.2">
      <c r="A2278" s="343"/>
      <c r="B2278" s="344"/>
      <c r="C2278" s="345"/>
      <c r="D2278" s="346"/>
      <c r="E2278" s="346"/>
      <c r="F2278" s="268"/>
      <c r="G2278" s="269"/>
      <c r="H2278" s="269"/>
      <c r="I2278" s="270"/>
      <c r="J2278" s="434"/>
      <c r="K2278" s="270"/>
      <c r="L2278" s="270"/>
      <c r="M2278" s="348"/>
      <c r="N2278" s="348"/>
      <c r="O2278" s="435"/>
      <c r="P2278" s="349"/>
      <c r="Q2278" s="350"/>
      <c r="R2278" s="271"/>
      <c r="S2278" s="272"/>
      <c r="T2278" s="273"/>
      <c r="U2278" s="351"/>
      <c r="V2278" s="274"/>
      <c r="W2278" s="269"/>
      <c r="X2278" s="269"/>
      <c r="Y2278" s="275"/>
      <c r="Z2278" s="269"/>
      <c r="AA2278" s="350"/>
      <c r="AB2278" s="207"/>
      <c r="AC2278" s="352"/>
      <c r="AD2278" s="353"/>
      <c r="AE2278" s="54"/>
      <c r="AF2278" s="354"/>
      <c r="AG2278" s="355"/>
      <c r="AH2278" s="349"/>
      <c r="AI2278" s="30"/>
      <c r="AJ2278" s="30"/>
      <c r="AK2278" s="30"/>
      <c r="AL2278" s="30"/>
      <c r="AM2278" s="13"/>
      <c r="AN2278" s="13"/>
      <c r="AO2278" s="13"/>
      <c r="AP2278" s="13"/>
      <c r="AQ2278" s="13"/>
      <c r="AR2278" s="14"/>
      <c r="AS2278" s="15"/>
    </row>
    <row r="2279" spans="1:45" s="17" customFormat="1" ht="30.6" hidden="1" customHeight="1" x14ac:dyDescent="0.2">
      <c r="A2279" s="343"/>
      <c r="B2279" s="344"/>
      <c r="C2279" s="45"/>
      <c r="D2279" s="31">
        <v>3767089</v>
      </c>
      <c r="E2279" s="31">
        <v>4162436</v>
      </c>
      <c r="F2279" s="268" t="str">
        <f>IF(D2279="","",VLOOKUP(D2279,契約台帳!$A$3:$K$4986,6,FALSE)&amp;VLOOKUP(D2279,契約台帳!$A$3:$K$4986,7,FALSE)&amp;VLOOKUP(D2279,契約台帳!$A$3:$K$4986,8,FALSE)&amp;VLOOKUP(D2279,契約台帳!$A$3:$K$4986,9,FALSE)&amp;VLOOKUP(D2279,契約台帳!$A$3:$K$4986,11,FALSE))</f>
        <v>3SYMLBMSNMBF</v>
      </c>
      <c r="G2279" s="269" t="str">
        <f>IF(D2279="","",VLOOKUP(F2279,製品マスタ!$G$5:$H$5002,2,FALSE))</f>
        <v>S</v>
      </c>
      <c r="H2279" s="269" t="str">
        <f>IF(D2279="","",VLOOKUP(F2279,製品マスタ!$G$5:$K$5002,5,FALSE))</f>
        <v>MSNMBF</v>
      </c>
      <c r="I2279" s="270" t="str">
        <f>IF(D2279="","",VLOOKUP(F2279,製品マスタ!$G$5:$L$5002,6,FALSE))</f>
        <v>ＭＥＴＡＬＵＭＹ　ＳＩＬＶＥＲ　Ｎ－ＭＡＴＴＥ　Ｘ４４Ｍ　Ｂ</v>
      </c>
      <c r="J2279" s="210" t="s">
        <v>935</v>
      </c>
      <c r="K2279" s="270">
        <f>IF(D2279="","",VLOOKUP(D2279,契約台帳!$A$3:$L$4986,12,FALSE))</f>
        <v>50</v>
      </c>
      <c r="L2279" s="270" t="str">
        <f>IF(D2279="","",INDEX(製品マスタ!$Q$5:$Q$5002,MATCH('S4'!F2279&amp;'S4'!K2279,製品マスタ!$AO$5:$AO$5002,0)))</f>
        <v>X44</v>
      </c>
      <c r="M2279" s="39">
        <v>1120</v>
      </c>
      <c r="N2279" s="39">
        <v>4000</v>
      </c>
      <c r="O2279" s="156">
        <v>1</v>
      </c>
      <c r="P2279" s="47">
        <v>3</v>
      </c>
      <c r="Q2279" s="213">
        <v>45499</v>
      </c>
      <c r="R2279" s="271">
        <f ca="1">IF(D2279="","",IF(OFFSET(D2279,-1,0)&lt;&gt;"","",IF(OR(J2279="リード付け",J2279="巻足し",J2279="巻返しリード付け"),M2279,VLOOKUP(D2279,契約台帳!$A$3:$N$4986,14,FALSE))))</f>
        <v>1120</v>
      </c>
      <c r="S2279" s="272">
        <f ca="1">IF(D2279="","",IF(OFFSET(D2279,-1,0)&lt;&gt;"","",IF(OR(J2279="リード付け",J2279="巻足し",J2279="巻返しリード付け"),M2279,VLOOKUP(D2279,契約台帳!$A$3:$O$4986,15,FALSE))))</f>
        <v>1120</v>
      </c>
      <c r="T2279" s="273">
        <f ca="1">IF(D2279="","",IF(J2279="リード付け",N2279,IF(J2279="巻返しリード付け",N2279,IF(J2279="巻足し",N2279*P2279+OFFSET(N2279,1,0)*OFFSET(P2279,1,0),VLOOKUP(D2279,契約台帳!$A$3:$P$4986,16,FALSE)))))</f>
        <v>12000</v>
      </c>
      <c r="U2279" s="40">
        <v>1</v>
      </c>
      <c r="V2279" s="274" t="str">
        <f ca="1">IF(D2279="","",IF(OFFSET(D2279,-2,0)=D2279,"",VLOOKUP(D2279,契約台帳!$A$3:$R$4986,18,FALSE)))</f>
        <v/>
      </c>
      <c r="W2279" s="269" t="str">
        <f ca="1">IF(D2279="","",IF(T2279="","",IF(OR(J2279="巻足し",J2279="巻返しリード付け"),"",IF(J2279="巻返し",VLOOKUP(F2279&amp;K2279&amp;M2279,製品マスタ!$M$5:$AD$5002,18,FALSE),IF(OR(J2279="リード付け",J2279="巻返しリード付け"),"原反コア",IF(J2279="スリット",VLOOKUP(F2279&amp;K2279&amp;R2279,製品マスタ!$N$5:$AD$5002,17,FALSE),""))))))</f>
        <v/>
      </c>
      <c r="X2279" s="269" t="str">
        <f ca="1">IF(D2279="","",IF(T2279="","",IF(J2279="巻足し","",IF(J2279="巻返し",VLOOKUP(F2279&amp;K2279&amp;M2279,製品マスタ!$M$5:$AE$5002,19,FALSE),IF(OR(J2279="リード付け",J2279="巻返しリード付け"),"",IF(J2279="スリット",VLOOKUP(F2279&amp;K2279&amp;R2279,製品マスタ!$N$5:$AE$5002,18,FALSE),""))))))</f>
        <v/>
      </c>
      <c r="Y2279" s="275">
        <f ca="1">IF(D2279="","",IF(T2279="","",VLOOKUP(D2279,契約台帳!$A$3:$Q$4986,17,FALSE)))</f>
        <v>2</v>
      </c>
      <c r="Z2279" s="269" t="str">
        <f ca="1">IF(D2279="","",IF(T2279="","",VLOOKUP(D2279,契約台帳!$A$3:$E$4986,5,FALSE)))</f>
        <v>リンテック㈱</v>
      </c>
      <c r="AA2279" s="57"/>
      <c r="AB2279" s="207">
        <f>IFERROR((VLOOKUP(F2279&amp;K2279&amp;M2279,製品マスタ!$M$5:$AM$5002,27,FALSE)),"")</f>
        <v>0</v>
      </c>
      <c r="AC2279" s="33"/>
      <c r="AD2279" s="189"/>
      <c r="AE2279" s="54"/>
      <c r="AF2279" s="55">
        <f>+M2279*N2279*O2279/1000</f>
        <v>4480</v>
      </c>
      <c r="AG2279" s="43"/>
      <c r="AH2279" s="47"/>
      <c r="AI2279" s="30"/>
      <c r="AJ2279" s="30"/>
      <c r="AK2279" s="30"/>
      <c r="AL2279" s="30"/>
      <c r="AM2279" s="13"/>
      <c r="AN2279" s="13"/>
      <c r="AO2279" s="13"/>
      <c r="AP2279" s="13"/>
      <c r="AQ2279" s="13"/>
      <c r="AR2279" s="14"/>
      <c r="AS2279" s="15"/>
    </row>
    <row r="2280" spans="1:45" s="17" customFormat="1" ht="30.6" hidden="1" customHeight="1" x14ac:dyDescent="0.2">
      <c r="A2280" s="343"/>
      <c r="B2280" s="344"/>
      <c r="C2280" s="45"/>
      <c r="D2280" s="31">
        <v>3767090</v>
      </c>
      <c r="E2280" s="31"/>
      <c r="F2280" s="268" t="str">
        <f>IF(D2280="","",VLOOKUP(D2280,契約台帳!$A$3:$K$4986,6,FALSE)&amp;VLOOKUP(D2280,契約台帳!$A$3:$K$4986,7,FALSE)&amp;VLOOKUP(D2280,契約台帳!$A$3:$K$4986,8,FALSE)&amp;VLOOKUP(D2280,契約台帳!$A$3:$K$4986,9,FALSE)&amp;VLOOKUP(D2280,契約台帳!$A$3:$K$4986,11,FALSE))</f>
        <v>3SYMLBMSNMBF</v>
      </c>
      <c r="G2280" s="269" t="str">
        <f>IF(D2280="","",VLOOKUP(F2280,製品マスタ!$G$5:$H$5002,2,FALSE))</f>
        <v>S</v>
      </c>
      <c r="H2280" s="269" t="str">
        <f>IF(D2280="","",VLOOKUP(F2280,製品マスタ!$G$5:$K$5002,5,FALSE))</f>
        <v>MSNMBF</v>
      </c>
      <c r="I2280" s="270" t="str">
        <f>IF(D2280="","",VLOOKUP(F2280,製品マスタ!$G$5:$L$5002,6,FALSE))</f>
        <v>ＭＥＴＡＬＵＭＹ　ＳＩＬＶＥＲ　Ｎ－ＭＡＴＴＥ　Ｘ４４Ｍ　Ｂ</v>
      </c>
      <c r="J2280" s="210" t="s">
        <v>935</v>
      </c>
      <c r="K2280" s="270">
        <f>IF(D2280="","",VLOOKUP(D2280,契約台帳!$A$3:$L$4986,12,FALSE))</f>
        <v>50</v>
      </c>
      <c r="L2280" s="270" t="str">
        <f>IF(D2280="","",INDEX(製品マスタ!$Q$5:$Q$5002,MATCH('S4'!F2280&amp;'S4'!K2280,製品マスタ!$AO$5:$AO$5002,0)))</f>
        <v>X44</v>
      </c>
      <c r="M2280" s="39">
        <v>1120</v>
      </c>
      <c r="N2280" s="39">
        <v>4000</v>
      </c>
      <c r="O2280" s="156">
        <v>2</v>
      </c>
      <c r="P2280" s="47"/>
      <c r="Q2280" s="213">
        <v>45499</v>
      </c>
      <c r="R2280" s="271" t="str">
        <f ca="1">IF(D2280="","",IF(OFFSET(D2280,-1,0)&lt;&gt;"","",IF(OR(J2280="リード付け",J2280="巻足し",J2280="巻返しリード付け"),M2280,VLOOKUP(D2280,契約台帳!$A$3:$N$4986,14,FALSE))))</f>
        <v/>
      </c>
      <c r="S2280" s="272" t="str">
        <f ca="1">IF(D2280="","",IF(OFFSET(D2280,-1,0)&lt;&gt;"","",IF(OR(J2280="リード付け",J2280="巻足し",J2280="巻返しリード付け"),M2280,VLOOKUP(D2280,契約台帳!$A$3:$O$4986,15,FALSE))))</f>
        <v/>
      </c>
      <c r="T2280" s="273">
        <f ca="1">IF(D2280="","",IF(J2280="リード付け",N2280,IF(J2280="巻返しリード付け",N2280,IF(J2280="巻足し",N2280*P2280+OFFSET(N2280,1,0)*OFFSET(P2280,1,0),VLOOKUP(D2280,契約台帳!$A$3:$P$4986,16,FALSE)))))</f>
        <v>0</v>
      </c>
      <c r="U2280" s="40"/>
      <c r="V2280" s="274">
        <f ca="1">IF(D2280="","",IF(OFFSET(D2280,-2,0)=D2280,"",VLOOKUP(D2280,契約台帳!$A$3:$R$4986,18,FALSE)))</f>
        <v>52</v>
      </c>
      <c r="W2280" s="269" t="str">
        <f ca="1">IF(D2280="","",IF(T2280="","",IF(OR(J2280="巻足し",J2280="巻返しリード付け"),"",IF(J2280="巻返し",VLOOKUP(F2280&amp;K2280&amp;M2280,製品マスタ!$M$5:$AD$5002,18,FALSE),IF(OR(J2280="リード付け",J2280="巻返しリード付け"),"原反コア",IF(J2280="スリット",VLOOKUP(F2280&amp;K2280&amp;R2280,製品マスタ!$N$5:$AD$5002,17,FALSE),""))))))</f>
        <v/>
      </c>
      <c r="X2280" s="269" t="str">
        <f ca="1">IF(D2280="","",IF(T2280="","",IF(J2280="巻足し","",IF(J2280="巻返し",VLOOKUP(F2280&amp;K2280&amp;M2280,製品マスタ!$M$5:$AE$5002,19,FALSE),IF(OR(J2280="リード付け",J2280="巻返しリード付け"),"",IF(J2280="スリット",VLOOKUP(F2280&amp;K2280&amp;R2280,製品マスタ!$N$5:$AE$5002,18,FALSE),""))))))</f>
        <v/>
      </c>
      <c r="Y2280" s="275">
        <f ca="1">IF(D2280="","",IF(T2280="","",VLOOKUP(D2280,契約台帳!$A$3:$Q$4986,17,FALSE)))</f>
        <v>2</v>
      </c>
      <c r="Z2280" s="269" t="str">
        <f ca="1">IF(D2280="","",IF(T2280="","",VLOOKUP(D2280,契約台帳!$A$3:$E$4986,5,FALSE)))</f>
        <v>リンテック㈱</v>
      </c>
      <c r="AA2280" s="57"/>
      <c r="AB2280" s="207">
        <f>IFERROR((VLOOKUP(F2280&amp;K2280&amp;M2280,製品マスタ!$M$5:$AM$5002,27,FALSE)),"")</f>
        <v>0</v>
      </c>
      <c r="AC2280" s="33"/>
      <c r="AD2280" s="189"/>
      <c r="AE2280" s="54"/>
      <c r="AF2280" s="55">
        <f>+M2280*N2280*O2280/1000</f>
        <v>8960</v>
      </c>
      <c r="AG2280" s="43"/>
      <c r="AH2280" s="47"/>
      <c r="AI2280" s="30"/>
      <c r="AJ2280" s="30"/>
      <c r="AK2280" s="30"/>
      <c r="AL2280" s="30"/>
      <c r="AM2280" s="13"/>
      <c r="AN2280" s="13"/>
      <c r="AO2280" s="13"/>
      <c r="AP2280" s="13"/>
      <c r="AQ2280" s="13"/>
      <c r="AR2280" s="14"/>
      <c r="AS2280" s="15"/>
    </row>
    <row r="2281" spans="1:45" s="17" customFormat="1" ht="30.95" hidden="1" customHeight="1" x14ac:dyDescent="0.2">
      <c r="A2281" s="343"/>
      <c r="B2281" s="344"/>
      <c r="C2281" s="345"/>
      <c r="D2281" s="346"/>
      <c r="E2281" s="346"/>
      <c r="F2281" s="268"/>
      <c r="G2281" s="269"/>
      <c r="H2281" s="269"/>
      <c r="I2281" s="270"/>
      <c r="J2281" s="434"/>
      <c r="K2281" s="270"/>
      <c r="L2281" s="270"/>
      <c r="M2281" s="348"/>
      <c r="N2281" s="348"/>
      <c r="O2281" s="435"/>
      <c r="P2281" s="349"/>
      <c r="Q2281" s="350"/>
      <c r="R2281" s="271"/>
      <c r="S2281" s="272"/>
      <c r="T2281" s="273"/>
      <c r="U2281" s="351"/>
      <c r="V2281" s="274"/>
      <c r="W2281" s="269"/>
      <c r="X2281" s="269"/>
      <c r="Y2281" s="275"/>
      <c r="Z2281" s="269"/>
      <c r="AA2281" s="350"/>
      <c r="AB2281" s="207"/>
      <c r="AC2281" s="352"/>
      <c r="AD2281" s="353"/>
      <c r="AE2281" s="54"/>
      <c r="AF2281" s="354"/>
      <c r="AG2281" s="355"/>
      <c r="AH2281" s="349"/>
      <c r="AI2281" s="30"/>
      <c r="AJ2281" s="30"/>
      <c r="AK2281" s="30"/>
      <c r="AL2281" s="30"/>
      <c r="AM2281" s="13"/>
      <c r="AN2281" s="13"/>
      <c r="AO2281" s="13"/>
      <c r="AP2281" s="13"/>
      <c r="AQ2281" s="13"/>
      <c r="AR2281" s="14"/>
      <c r="AS2281" s="15"/>
    </row>
    <row r="2282" spans="1:45" s="17" customFormat="1" ht="30.6" hidden="1" customHeight="1" x14ac:dyDescent="0.2">
      <c r="A2282" s="343"/>
      <c r="B2282" s="344"/>
      <c r="C2282" s="45"/>
      <c r="D2282" s="31">
        <v>3767090</v>
      </c>
      <c r="E2282" s="31">
        <v>4162437</v>
      </c>
      <c r="F2282" s="268" t="str">
        <f>IF(D2282="","",VLOOKUP(D2282,契約台帳!$A$3:$K$4986,6,FALSE)&amp;VLOOKUP(D2282,契約台帳!$A$3:$K$4986,7,FALSE)&amp;VLOOKUP(D2282,契約台帳!$A$3:$K$4986,8,FALSE)&amp;VLOOKUP(D2282,契約台帳!$A$3:$K$4986,9,FALSE)&amp;VLOOKUP(D2282,契約台帳!$A$3:$K$4986,11,FALSE))</f>
        <v>3SYMLBMSNMBF</v>
      </c>
      <c r="G2282" s="269" t="str">
        <f>IF(D2282="","",VLOOKUP(F2282,製品マスタ!$G$5:$H$5002,2,FALSE))</f>
        <v>S</v>
      </c>
      <c r="H2282" s="269" t="str">
        <f>IF(D2282="","",VLOOKUP(F2282,製品マスタ!$G$5:$K$5002,5,FALSE))</f>
        <v>MSNMBF</v>
      </c>
      <c r="I2282" s="270" t="str">
        <f>IF(D2282="","",VLOOKUP(F2282,製品マスタ!$G$5:$L$5002,6,FALSE))</f>
        <v>ＭＥＴＡＬＵＭＹ　ＳＩＬＶＥＲ　Ｎ－ＭＡＴＴＥ　Ｘ４４Ｍ　Ｂ</v>
      </c>
      <c r="J2282" s="210" t="s">
        <v>935</v>
      </c>
      <c r="K2282" s="270">
        <f>IF(D2282="","",VLOOKUP(D2282,契約台帳!$A$3:$L$4986,12,FALSE))</f>
        <v>50</v>
      </c>
      <c r="L2282" s="270" t="str">
        <f>IF(D2282="","",INDEX(製品マスタ!$Q$5:$Q$5002,MATCH('S4'!F2282&amp;'S4'!K2282,製品マスタ!$AO$5:$AO$5002,0)))</f>
        <v>X44</v>
      </c>
      <c r="M2282" s="39">
        <v>1120</v>
      </c>
      <c r="N2282" s="39">
        <v>4000</v>
      </c>
      <c r="O2282" s="156">
        <v>15</v>
      </c>
      <c r="P2282" s="47">
        <v>3</v>
      </c>
      <c r="Q2282" s="213">
        <v>45499</v>
      </c>
      <c r="R2282" s="271">
        <f ca="1">IF(D2282="","",IF(OFFSET(D2282,-1,0)&lt;&gt;"","",IF(OR(J2282="リード付け",J2282="巻足し",J2282="巻返しリード付け"),M2282,VLOOKUP(D2282,契約台帳!$A$3:$N$4986,14,FALSE))))</f>
        <v>1120</v>
      </c>
      <c r="S2282" s="272">
        <f ca="1">IF(D2282="","",IF(OFFSET(D2282,-1,0)&lt;&gt;"","",IF(OR(J2282="リード付け",J2282="巻足し",J2282="巻返しリード付け"),M2282,VLOOKUP(D2282,契約台帳!$A$3:$O$4986,15,FALSE))))</f>
        <v>1120</v>
      </c>
      <c r="T2282" s="273">
        <f ca="1">IF(D2282="","",IF(J2282="リード付け",N2282,IF(J2282="巻返しリード付け",N2282,IF(J2282="巻足し",N2282*P2282+OFFSET(N2282,1,0)*OFFSET(P2282,1,0),VLOOKUP(D2282,契約台帳!$A$3:$P$4986,16,FALSE)))))</f>
        <v>12000</v>
      </c>
      <c r="U2282" s="40">
        <v>5</v>
      </c>
      <c r="V2282" s="274" t="str">
        <f ca="1">IF(D2282="","",IF(OFFSET(D2282,-2,0)=D2282,"",VLOOKUP(D2282,契約台帳!$A$3:$R$4986,18,FALSE)))</f>
        <v/>
      </c>
      <c r="W2282" s="269" t="str">
        <f ca="1">IF(D2282="","",IF(T2282="","",IF(OR(J2282="巻足し",J2282="巻返しリード付け"),"",IF(J2282="巻返し",VLOOKUP(F2282&amp;K2282&amp;M2282,製品マスタ!$M$5:$AD$5002,18,FALSE),IF(OR(J2282="リード付け",J2282="巻返しリード付け"),"原反コア",IF(J2282="スリット",VLOOKUP(F2282&amp;K2282&amp;R2282,製品マスタ!$N$5:$AD$5002,17,FALSE),""))))))</f>
        <v/>
      </c>
      <c r="X2282" s="269" t="str">
        <f ca="1">IF(D2282="","",IF(T2282="","",IF(J2282="巻足し","",IF(J2282="巻返し",VLOOKUP(F2282&amp;K2282&amp;M2282,製品マスタ!$M$5:$AE$5002,19,FALSE),IF(OR(J2282="リード付け",J2282="巻返しリード付け"),"",IF(J2282="スリット",VLOOKUP(F2282&amp;K2282&amp;R2282,製品マスタ!$N$5:$AE$5002,18,FALSE),""))))))</f>
        <v/>
      </c>
      <c r="Y2282" s="275">
        <f ca="1">IF(D2282="","",IF(T2282="","",VLOOKUP(D2282,契約台帳!$A$3:$Q$4986,17,FALSE)))</f>
        <v>2</v>
      </c>
      <c r="Z2282" s="269" t="str">
        <f ca="1">IF(D2282="","",IF(T2282="","",VLOOKUP(D2282,契約台帳!$A$3:$E$4986,5,FALSE)))</f>
        <v>リンテック㈱</v>
      </c>
      <c r="AA2282" s="57"/>
      <c r="AB2282" s="207">
        <f>IFERROR((VLOOKUP(F2282&amp;K2282&amp;M2282,製品マスタ!$M$5:$AM$5002,27,FALSE)),"")</f>
        <v>0</v>
      </c>
      <c r="AC2282" s="33"/>
      <c r="AD2282" s="189"/>
      <c r="AE2282" s="54"/>
      <c r="AF2282" s="55">
        <f>+M2282*N2282*O2282/1000</f>
        <v>67200</v>
      </c>
      <c r="AG2282" s="43"/>
      <c r="AH2282" s="47"/>
      <c r="AI2282" s="30"/>
      <c r="AJ2282" s="30"/>
      <c r="AK2282" s="30"/>
      <c r="AL2282" s="30"/>
      <c r="AM2282" s="13"/>
      <c r="AN2282" s="13"/>
      <c r="AO2282" s="13"/>
      <c r="AP2282" s="13"/>
      <c r="AQ2282" s="13"/>
      <c r="AR2282" s="14"/>
      <c r="AS2282" s="15"/>
    </row>
    <row r="2283" spans="1:45" s="17" customFormat="1" ht="30.95" hidden="1" customHeight="1" x14ac:dyDescent="0.2">
      <c r="A2283" s="343"/>
      <c r="B2283" s="344"/>
      <c r="C2283" s="345"/>
      <c r="D2283" s="346"/>
      <c r="E2283" s="346"/>
      <c r="F2283" s="268"/>
      <c r="G2283" s="269"/>
      <c r="H2283" s="269"/>
      <c r="I2283" s="270"/>
      <c r="J2283" s="434"/>
      <c r="K2283" s="270"/>
      <c r="L2283" s="270"/>
      <c r="M2283" s="348"/>
      <c r="N2283" s="348"/>
      <c r="O2283" s="435"/>
      <c r="P2283" s="349"/>
      <c r="Q2283" s="350"/>
      <c r="R2283" s="271"/>
      <c r="S2283" s="272"/>
      <c r="T2283" s="273"/>
      <c r="U2283" s="351"/>
      <c r="V2283" s="274"/>
      <c r="W2283" s="269"/>
      <c r="X2283" s="269"/>
      <c r="Y2283" s="275"/>
      <c r="Z2283" s="269"/>
      <c r="AA2283" s="350"/>
      <c r="AB2283" s="207"/>
      <c r="AC2283" s="352"/>
      <c r="AD2283" s="353"/>
      <c r="AE2283" s="54"/>
      <c r="AF2283" s="354"/>
      <c r="AG2283" s="355"/>
      <c r="AH2283" s="349"/>
      <c r="AI2283" s="30"/>
      <c r="AJ2283" s="30"/>
      <c r="AK2283" s="30"/>
      <c r="AL2283" s="30"/>
      <c r="AM2283" s="13"/>
      <c r="AN2283" s="13"/>
      <c r="AO2283" s="13"/>
      <c r="AP2283" s="13"/>
      <c r="AQ2283" s="13"/>
      <c r="AR2283" s="14"/>
      <c r="AS2283" s="15"/>
    </row>
    <row r="2284" spans="1:45" s="17" customFormat="1" ht="30.6" hidden="1" customHeight="1" x14ac:dyDescent="0.2">
      <c r="A2284" s="343" t="s">
        <v>3039</v>
      </c>
      <c r="B2284" s="344" t="s">
        <v>3040</v>
      </c>
      <c r="C2284" s="45"/>
      <c r="D2284" s="31">
        <v>3767090</v>
      </c>
      <c r="E2284" s="31">
        <v>4162437</v>
      </c>
      <c r="F2284" s="268" t="str">
        <f>IF(D2284="","",VLOOKUP(D2284,契約台帳!$A$3:$K$4986,6,FALSE)&amp;VLOOKUP(D2284,契約台帳!$A$3:$K$4986,7,FALSE)&amp;VLOOKUP(D2284,契約台帳!$A$3:$K$4986,8,FALSE)&amp;VLOOKUP(D2284,契約台帳!$A$3:$K$4986,9,FALSE)&amp;VLOOKUP(D2284,契約台帳!$A$3:$K$4986,11,FALSE))</f>
        <v>3SYMLBMSNMBF</v>
      </c>
      <c r="G2284" s="269" t="str">
        <f>IF(D2284="","",VLOOKUP(F2284,製品マスタ!$G$5:$H$5002,2,FALSE))</f>
        <v>S</v>
      </c>
      <c r="H2284" s="269" t="str">
        <f>IF(D2284="","",VLOOKUP(F2284,製品マスタ!$G$5:$K$5002,5,FALSE))</f>
        <v>MSNMBF</v>
      </c>
      <c r="I2284" s="270" t="str">
        <f>IF(D2284="","",VLOOKUP(F2284,製品マスタ!$G$5:$L$5002,6,FALSE))</f>
        <v>ＭＥＴＡＬＵＭＹ　ＳＩＬＶＥＲ　Ｎ－ＭＡＴＴＥ　Ｘ４４Ｍ　Ｂ</v>
      </c>
      <c r="J2284" s="210" t="s">
        <v>935</v>
      </c>
      <c r="K2284" s="270">
        <f>IF(D2284="","",VLOOKUP(D2284,契約台帳!$A$3:$L$4986,12,FALSE))</f>
        <v>50</v>
      </c>
      <c r="L2284" s="270" t="str">
        <f>IF(D2284="","",INDEX(製品マスタ!$Q$5:$Q$5002,MATCH('S4'!F2284&amp;'S4'!K2284,製品マスタ!$AO$5:$AO$5002,0)))</f>
        <v>X44</v>
      </c>
      <c r="M2284" s="39">
        <v>1120</v>
      </c>
      <c r="N2284" s="39">
        <v>4000</v>
      </c>
      <c r="O2284" s="156">
        <v>6</v>
      </c>
      <c r="P2284" s="47">
        <v>3</v>
      </c>
      <c r="Q2284" s="213">
        <v>45499</v>
      </c>
      <c r="R2284" s="271">
        <f ca="1">IF(D2284="","",IF(OFFSET(D2284,-1,0)&lt;&gt;"","",IF(OR(J2284="リード付け",J2284="巻足し",J2284="巻返しリード付け"),M2284,VLOOKUP(D2284,契約台帳!$A$3:$N$4986,14,FALSE))))</f>
        <v>1120</v>
      </c>
      <c r="S2284" s="272">
        <f ca="1">IF(D2284="","",IF(OFFSET(D2284,-1,0)&lt;&gt;"","",IF(OR(J2284="リード付け",J2284="巻足し",J2284="巻返しリード付け"),M2284,VLOOKUP(D2284,契約台帳!$A$3:$O$4986,15,FALSE))))</f>
        <v>1120</v>
      </c>
      <c r="T2284" s="273">
        <f ca="1">IF(D2284="","",IF(J2284="リード付け",N2284,IF(J2284="巻返しリード付け",N2284,IF(J2284="巻足し",N2284*P2284+OFFSET(N2284,1,0)*OFFSET(P2284,1,0),VLOOKUP(D2284,契約台帳!$A$3:$P$4986,16,FALSE)))))</f>
        <v>12000</v>
      </c>
      <c r="U2284" s="40">
        <v>2</v>
      </c>
      <c r="V2284" s="274" t="str">
        <f ca="1">IF(D2284="","",IF(OFFSET(D2284,-2,0)=D2284,"",VLOOKUP(D2284,契約台帳!$A$3:$R$4986,18,FALSE)))</f>
        <v/>
      </c>
      <c r="W2284" s="269" t="str">
        <f ca="1">IF(D2284="","",IF(T2284="","",IF(OR(J2284="巻足し",J2284="巻返しリード付け"),"",IF(J2284="巻返し",VLOOKUP(F2284&amp;K2284&amp;M2284,製品マスタ!$M$5:$AD$5002,18,FALSE),IF(OR(J2284="リード付け",J2284="巻返しリード付け"),"原反コア",IF(J2284="スリット",VLOOKUP(F2284&amp;K2284&amp;R2284,製品マスタ!$N$5:$AD$5002,17,FALSE),""))))))</f>
        <v/>
      </c>
      <c r="X2284" s="269" t="str">
        <f ca="1">IF(D2284="","",IF(T2284="","",IF(J2284="巻足し","",IF(J2284="巻返し",VLOOKUP(F2284&amp;K2284&amp;M2284,製品マスタ!$M$5:$AE$5002,19,FALSE),IF(OR(J2284="リード付け",J2284="巻返しリード付け"),"",IF(J2284="スリット",VLOOKUP(F2284&amp;K2284&amp;R2284,製品マスタ!$N$5:$AE$5002,18,FALSE),""))))))</f>
        <v/>
      </c>
      <c r="Y2284" s="275">
        <f ca="1">IF(D2284="","",IF(T2284="","",VLOOKUP(D2284,契約台帳!$A$3:$Q$4986,17,FALSE)))</f>
        <v>2</v>
      </c>
      <c r="Z2284" s="269" t="str">
        <f ca="1">IF(D2284="","",IF(T2284="","",VLOOKUP(D2284,契約台帳!$A$3:$E$4986,5,FALSE)))</f>
        <v>リンテック㈱</v>
      </c>
      <c r="AA2284" s="57"/>
      <c r="AB2284" s="207">
        <f>IFERROR((VLOOKUP(F2284&amp;K2284&amp;M2284,製品マスタ!$M$5:$AM$5002,27,FALSE)),"")</f>
        <v>0</v>
      </c>
      <c r="AC2284" s="33"/>
      <c r="AD2284" s="189"/>
      <c r="AE2284" s="54"/>
      <c r="AF2284" s="55">
        <f>+M2284*N2284*O2284/1000</f>
        <v>26880</v>
      </c>
      <c r="AG2284" s="43"/>
      <c r="AH2284" s="47"/>
      <c r="AI2284" s="30"/>
      <c r="AJ2284" s="30"/>
      <c r="AK2284" s="30"/>
      <c r="AL2284" s="30"/>
      <c r="AM2284" s="13"/>
      <c r="AN2284" s="13"/>
      <c r="AO2284" s="13"/>
      <c r="AP2284" s="13"/>
      <c r="AQ2284" s="13"/>
      <c r="AR2284" s="14"/>
      <c r="AS2284" s="15"/>
    </row>
    <row r="2285" spans="1:45" s="17" customFormat="1" ht="30.95" hidden="1" customHeight="1" x14ac:dyDescent="0.2">
      <c r="A2285" s="343"/>
      <c r="B2285" s="344"/>
      <c r="C2285" s="345"/>
      <c r="D2285" s="346"/>
      <c r="E2285" s="346"/>
      <c r="F2285" s="268"/>
      <c r="G2285" s="269"/>
      <c r="H2285" s="269"/>
      <c r="I2285" s="270"/>
      <c r="J2285" s="434"/>
      <c r="K2285" s="270"/>
      <c r="L2285" s="270"/>
      <c r="M2285" s="348"/>
      <c r="N2285" s="348"/>
      <c r="O2285" s="435"/>
      <c r="P2285" s="349"/>
      <c r="Q2285" s="350"/>
      <c r="R2285" s="271"/>
      <c r="S2285" s="272"/>
      <c r="T2285" s="273"/>
      <c r="U2285" s="351"/>
      <c r="V2285" s="274"/>
      <c r="W2285" s="269"/>
      <c r="X2285" s="269"/>
      <c r="Y2285" s="275"/>
      <c r="Z2285" s="269"/>
      <c r="AA2285" s="350"/>
      <c r="AB2285" s="207"/>
      <c r="AC2285" s="352"/>
      <c r="AD2285" s="353"/>
      <c r="AE2285" s="54"/>
      <c r="AF2285" s="354"/>
      <c r="AG2285" s="355"/>
      <c r="AH2285" s="349"/>
      <c r="AI2285" s="30"/>
      <c r="AJ2285" s="30"/>
      <c r="AK2285" s="30"/>
      <c r="AL2285" s="30"/>
      <c r="AM2285" s="13"/>
      <c r="AN2285" s="13"/>
      <c r="AO2285" s="13"/>
      <c r="AP2285" s="13"/>
      <c r="AQ2285" s="13"/>
      <c r="AR2285" s="14"/>
      <c r="AS2285" s="15"/>
    </row>
    <row r="2286" spans="1:45" s="17" customFormat="1" ht="30.95" hidden="1" customHeight="1" x14ac:dyDescent="0.2">
      <c r="A2286" s="343" t="s">
        <v>2974</v>
      </c>
      <c r="B2286" s="344" t="s">
        <v>2960</v>
      </c>
      <c r="C2286" s="345"/>
      <c r="D2286" s="346"/>
      <c r="E2286" s="346"/>
      <c r="F2286" s="268"/>
      <c r="G2286" s="269"/>
      <c r="H2286" s="269"/>
      <c r="I2286" s="270"/>
      <c r="J2286" s="434" t="s">
        <v>2975</v>
      </c>
      <c r="K2286" s="270"/>
      <c r="L2286" s="270"/>
      <c r="M2286" s="348"/>
      <c r="N2286" s="348"/>
      <c r="O2286" s="435"/>
      <c r="P2286" s="349"/>
      <c r="Q2286" s="350"/>
      <c r="R2286" s="271"/>
      <c r="S2286" s="272"/>
      <c r="T2286" s="273"/>
      <c r="U2286" s="351"/>
      <c r="V2286" s="274"/>
      <c r="W2286" s="269"/>
      <c r="X2286" s="269"/>
      <c r="Y2286" s="275"/>
      <c r="Z2286" s="269"/>
      <c r="AA2286" s="350"/>
      <c r="AB2286" s="207"/>
      <c r="AC2286" s="352"/>
      <c r="AD2286" s="353"/>
      <c r="AE2286" s="54"/>
      <c r="AF2286" s="354"/>
      <c r="AG2286" s="355"/>
      <c r="AH2286" s="349"/>
      <c r="AI2286" s="30"/>
      <c r="AJ2286" s="30"/>
      <c r="AK2286" s="30"/>
      <c r="AL2286" s="30"/>
      <c r="AM2286" s="13"/>
      <c r="AN2286" s="13"/>
      <c r="AO2286" s="13"/>
      <c r="AP2286" s="13"/>
      <c r="AQ2286" s="13"/>
      <c r="AR2286" s="14"/>
      <c r="AS2286" s="15"/>
    </row>
    <row r="2287" spans="1:45" s="17" customFormat="1" ht="30.95" hidden="1" customHeight="1" x14ac:dyDescent="0.2">
      <c r="A2287" s="343"/>
      <c r="B2287" s="344"/>
      <c r="C2287" s="345"/>
      <c r="D2287" s="346"/>
      <c r="E2287" s="346"/>
      <c r="F2287" s="268"/>
      <c r="G2287" s="269"/>
      <c r="H2287" s="269"/>
      <c r="I2287" s="270"/>
      <c r="J2287" s="434"/>
      <c r="K2287" s="270"/>
      <c r="L2287" s="270"/>
      <c r="M2287" s="348"/>
      <c r="N2287" s="348"/>
      <c r="O2287" s="435"/>
      <c r="P2287" s="349"/>
      <c r="Q2287" s="350"/>
      <c r="R2287" s="271"/>
      <c r="S2287" s="272"/>
      <c r="T2287" s="273"/>
      <c r="U2287" s="351"/>
      <c r="V2287" s="274"/>
      <c r="W2287" s="269"/>
      <c r="X2287" s="269"/>
      <c r="Y2287" s="275"/>
      <c r="Z2287" s="269"/>
      <c r="AA2287" s="350"/>
      <c r="AB2287" s="207"/>
      <c r="AC2287" s="352"/>
      <c r="AD2287" s="353"/>
      <c r="AE2287" s="54"/>
      <c r="AF2287" s="354"/>
      <c r="AG2287" s="355"/>
      <c r="AH2287" s="349"/>
      <c r="AI2287" s="30"/>
      <c r="AJ2287" s="30"/>
      <c r="AK2287" s="30"/>
      <c r="AL2287" s="30"/>
      <c r="AM2287" s="13"/>
      <c r="AN2287" s="13"/>
      <c r="AO2287" s="13"/>
      <c r="AP2287" s="13"/>
      <c r="AQ2287" s="13"/>
      <c r="AR2287" s="14"/>
      <c r="AS2287" s="15"/>
    </row>
    <row r="2288" spans="1:45" s="17" customFormat="1" ht="30.6" hidden="1" customHeight="1" x14ac:dyDescent="0.2">
      <c r="A2288" s="343"/>
      <c r="B2288" s="344"/>
      <c r="C2288" s="45"/>
      <c r="D2288" s="31">
        <v>3767090</v>
      </c>
      <c r="E2288" s="31">
        <v>4162437</v>
      </c>
      <c r="F2288" s="268" t="str">
        <f>IF(D2288="","",VLOOKUP(D2288,契約台帳!$A$3:$K$4986,6,FALSE)&amp;VLOOKUP(D2288,契約台帳!$A$3:$K$4986,7,FALSE)&amp;VLOOKUP(D2288,契約台帳!$A$3:$K$4986,8,FALSE)&amp;VLOOKUP(D2288,契約台帳!$A$3:$K$4986,9,FALSE)&amp;VLOOKUP(D2288,契約台帳!$A$3:$K$4986,11,FALSE))</f>
        <v>3SYMLBMSNMBF</v>
      </c>
      <c r="G2288" s="269" t="str">
        <f>IF(D2288="","",VLOOKUP(F2288,製品マスタ!$G$5:$H$5002,2,FALSE))</f>
        <v>S</v>
      </c>
      <c r="H2288" s="269" t="str">
        <f>IF(D2288="","",VLOOKUP(F2288,製品マスタ!$G$5:$K$5002,5,FALSE))</f>
        <v>MSNMBF</v>
      </c>
      <c r="I2288" s="270" t="str">
        <f>IF(D2288="","",VLOOKUP(F2288,製品マスタ!$G$5:$L$5002,6,FALSE))</f>
        <v>ＭＥＴＡＬＵＭＹ　ＳＩＬＶＥＲ　Ｎ－ＭＡＴＴＥ　Ｘ４４Ｍ　Ｂ</v>
      </c>
      <c r="J2288" s="210" t="s">
        <v>935</v>
      </c>
      <c r="K2288" s="270">
        <f>IF(D2288="","",VLOOKUP(D2288,契約台帳!$A$3:$L$4986,12,FALSE))</f>
        <v>50</v>
      </c>
      <c r="L2288" s="270" t="str">
        <f>IF(D2288="","",INDEX(製品マスタ!$Q$5:$Q$5002,MATCH('S4'!F2288&amp;'S4'!K2288,製品マスタ!$AO$5:$AO$5002,0)))</f>
        <v>X44</v>
      </c>
      <c r="M2288" s="39">
        <v>1120</v>
      </c>
      <c r="N2288" s="39">
        <v>4000</v>
      </c>
      <c r="O2288" s="156">
        <v>3</v>
      </c>
      <c r="P2288" s="47">
        <v>3</v>
      </c>
      <c r="Q2288" s="213">
        <v>45499</v>
      </c>
      <c r="R2288" s="271">
        <f ca="1">IF(D2288="","",IF(OFFSET(D2288,-1,0)&lt;&gt;"","",IF(OR(J2288="リード付け",J2288="巻足し",J2288="巻返しリード付け"),M2288,VLOOKUP(D2288,契約台帳!$A$3:$N$4986,14,FALSE))))</f>
        <v>1120</v>
      </c>
      <c r="S2288" s="272">
        <f ca="1">IF(D2288="","",IF(OFFSET(D2288,-1,0)&lt;&gt;"","",IF(OR(J2288="リード付け",J2288="巻足し",J2288="巻返しリード付け"),M2288,VLOOKUP(D2288,契約台帳!$A$3:$O$4986,15,FALSE))))</f>
        <v>1120</v>
      </c>
      <c r="T2288" s="273">
        <f ca="1">IF(D2288="","",IF(J2288="リード付け",N2288,IF(J2288="巻返しリード付け",N2288,IF(J2288="巻足し",N2288*P2288+OFFSET(N2288,1,0)*OFFSET(P2288,1,0),VLOOKUP(D2288,契約台帳!$A$3:$P$4986,16,FALSE)))))</f>
        <v>12000</v>
      </c>
      <c r="U2288" s="40">
        <v>1</v>
      </c>
      <c r="V2288" s="274">
        <f ca="1">IF(D2288="","",IF(OFFSET(D2288,-2,0)=D2288,"",VLOOKUP(D2288,契約台帳!$A$3:$R$4986,18,FALSE)))</f>
        <v>52</v>
      </c>
      <c r="W2288" s="269" t="str">
        <f ca="1">IF(D2288="","",IF(T2288="","",IF(OR(J2288="巻足し",J2288="巻返しリード付け"),"",IF(J2288="巻返し",VLOOKUP(F2288&amp;K2288&amp;M2288,製品マスタ!$M$5:$AD$5002,18,FALSE),IF(OR(J2288="リード付け",J2288="巻返しリード付け"),"原反コア",IF(J2288="スリット",VLOOKUP(F2288&amp;K2288&amp;R2288,製品マスタ!$N$5:$AD$5002,17,FALSE),""))))))</f>
        <v/>
      </c>
      <c r="X2288" s="269" t="str">
        <f ca="1">IF(D2288="","",IF(T2288="","",IF(J2288="巻足し","",IF(J2288="巻返し",VLOOKUP(F2288&amp;K2288&amp;M2288,製品マスタ!$M$5:$AE$5002,19,FALSE),IF(OR(J2288="リード付け",J2288="巻返しリード付け"),"",IF(J2288="スリット",VLOOKUP(F2288&amp;K2288&amp;R2288,製品マスタ!$N$5:$AE$5002,18,FALSE),""))))))</f>
        <v/>
      </c>
      <c r="Y2288" s="275">
        <f ca="1">IF(D2288="","",IF(T2288="","",VLOOKUP(D2288,契約台帳!$A$3:$Q$4986,17,FALSE)))</f>
        <v>2</v>
      </c>
      <c r="Z2288" s="269" t="str">
        <f ca="1">IF(D2288="","",IF(T2288="","",VLOOKUP(D2288,契約台帳!$A$3:$E$4986,5,FALSE)))</f>
        <v>リンテック㈱</v>
      </c>
      <c r="AA2288" s="57"/>
      <c r="AB2288" s="207">
        <f>IFERROR((VLOOKUP(F2288&amp;K2288&amp;M2288,製品マスタ!$M$5:$AM$5002,27,FALSE)),"")</f>
        <v>0</v>
      </c>
      <c r="AC2288" s="33"/>
      <c r="AD2288" s="189"/>
      <c r="AE2288" s="54"/>
      <c r="AF2288" s="55">
        <f>+M2288*N2288*O2288/1000</f>
        <v>13440</v>
      </c>
      <c r="AG2288" s="43"/>
      <c r="AH2288" s="47"/>
      <c r="AI2288" s="30"/>
      <c r="AJ2288" s="30"/>
      <c r="AK2288" s="30"/>
      <c r="AL2288" s="30"/>
      <c r="AM2288" s="13"/>
      <c r="AN2288" s="13"/>
      <c r="AO2288" s="13"/>
      <c r="AP2288" s="13"/>
      <c r="AQ2288" s="13"/>
      <c r="AR2288" s="14"/>
      <c r="AS2288" s="15"/>
    </row>
    <row r="2289" spans="1:45" s="17" customFormat="1" ht="30.95" hidden="1" customHeight="1" x14ac:dyDescent="0.2">
      <c r="A2289" s="343"/>
      <c r="B2289" s="344"/>
      <c r="C2289" s="345"/>
      <c r="D2289" s="346"/>
      <c r="E2289" s="346"/>
      <c r="F2289" s="268"/>
      <c r="G2289" s="269"/>
      <c r="H2289" s="269"/>
      <c r="I2289" s="270"/>
      <c r="J2289" s="434"/>
      <c r="K2289" s="270"/>
      <c r="L2289" s="270"/>
      <c r="M2289" s="348"/>
      <c r="N2289" s="348"/>
      <c r="O2289" s="435"/>
      <c r="P2289" s="349"/>
      <c r="Q2289" s="350"/>
      <c r="R2289" s="271"/>
      <c r="S2289" s="272"/>
      <c r="T2289" s="273"/>
      <c r="U2289" s="351"/>
      <c r="V2289" s="274"/>
      <c r="W2289" s="269"/>
      <c r="X2289" s="269"/>
      <c r="Y2289" s="275"/>
      <c r="Z2289" s="269"/>
      <c r="AA2289" s="350"/>
      <c r="AB2289" s="207"/>
      <c r="AC2289" s="352"/>
      <c r="AD2289" s="353"/>
      <c r="AE2289" s="54"/>
      <c r="AF2289" s="354"/>
      <c r="AG2289" s="355"/>
      <c r="AH2289" s="349"/>
      <c r="AI2289" s="30"/>
      <c r="AJ2289" s="30"/>
      <c r="AK2289" s="30"/>
      <c r="AL2289" s="30"/>
      <c r="AM2289" s="13"/>
      <c r="AN2289" s="13"/>
      <c r="AO2289" s="13"/>
      <c r="AP2289" s="13"/>
      <c r="AQ2289" s="13"/>
      <c r="AR2289" s="14"/>
      <c r="AS2289" s="15"/>
    </row>
    <row r="2290" spans="1:45" s="17" customFormat="1" ht="30.6" hidden="1" customHeight="1" x14ac:dyDescent="0.2">
      <c r="A2290" s="343" t="s">
        <v>3008</v>
      </c>
      <c r="B2290" s="344" t="s">
        <v>3007</v>
      </c>
      <c r="C2290" s="45"/>
      <c r="D2290" s="31">
        <v>3767090</v>
      </c>
      <c r="E2290" s="31">
        <v>4162437</v>
      </c>
      <c r="F2290" s="268" t="str">
        <f>IF(D2290="","",VLOOKUP(D2290,契約台帳!$A$3:$K$4986,6,FALSE)&amp;VLOOKUP(D2290,契約台帳!$A$3:$K$4986,7,FALSE)&amp;VLOOKUP(D2290,契約台帳!$A$3:$K$4986,8,FALSE)&amp;VLOOKUP(D2290,契約台帳!$A$3:$K$4986,9,FALSE)&amp;VLOOKUP(D2290,契約台帳!$A$3:$K$4986,11,FALSE))</f>
        <v>3SYMLBMSNMBF</v>
      </c>
      <c r="G2290" s="269" t="str">
        <f>IF(D2290="","",VLOOKUP(F2290,製品マスタ!$G$5:$H$5002,2,FALSE))</f>
        <v>S</v>
      </c>
      <c r="H2290" s="269" t="str">
        <f>IF(D2290="","",VLOOKUP(F2290,製品マスタ!$G$5:$K$5002,5,FALSE))</f>
        <v>MSNMBF</v>
      </c>
      <c r="I2290" s="270" t="str">
        <f>IF(D2290="","",VLOOKUP(F2290,製品マスタ!$G$5:$L$5002,6,FALSE))</f>
        <v>ＭＥＴＡＬＵＭＹ　ＳＩＬＶＥＲ　Ｎ－ＭＡＴＴＥ　Ｘ４４Ｍ　Ｂ</v>
      </c>
      <c r="J2290" s="210" t="s">
        <v>935</v>
      </c>
      <c r="K2290" s="270">
        <f>IF(D2290="","",VLOOKUP(D2290,契約台帳!$A$3:$L$4986,12,FALSE))</f>
        <v>50</v>
      </c>
      <c r="L2290" s="270" t="str">
        <f>IF(D2290="","",INDEX(製品マスタ!$Q$5:$Q$5002,MATCH('S4'!F2290&amp;'S4'!K2290,製品マスタ!$AO$5:$AO$5002,0)))</f>
        <v>X44</v>
      </c>
      <c r="M2290" s="39">
        <v>1120</v>
      </c>
      <c r="N2290" s="39">
        <v>4000</v>
      </c>
      <c r="O2290" s="156">
        <v>15</v>
      </c>
      <c r="P2290" s="47">
        <v>3</v>
      </c>
      <c r="Q2290" s="213">
        <v>45505</v>
      </c>
      <c r="R2290" s="271">
        <f ca="1">IF(D2290="","",IF(OFFSET(D2290,-1,0)&lt;&gt;"","",IF(OR(J2290="リード付け",J2290="巻足し",J2290="巻返しリード付け"),M2290,VLOOKUP(D2290,契約台帳!$A$3:$N$4986,14,FALSE))))</f>
        <v>1120</v>
      </c>
      <c r="S2290" s="272">
        <f ca="1">IF(D2290="","",IF(OFFSET(D2290,-1,0)&lt;&gt;"","",IF(OR(J2290="リード付け",J2290="巻足し",J2290="巻返しリード付け"),M2290,VLOOKUP(D2290,契約台帳!$A$3:$O$4986,15,FALSE))))</f>
        <v>1120</v>
      </c>
      <c r="T2290" s="273">
        <f ca="1">IF(D2290="","",IF(J2290="リード付け",N2290,IF(J2290="巻返しリード付け",N2290,IF(J2290="巻足し",N2290*P2290+OFFSET(N2290,1,0)*OFFSET(P2290,1,0),VLOOKUP(D2290,契約台帳!$A$3:$P$4986,16,FALSE)))))</f>
        <v>12000</v>
      </c>
      <c r="U2290" s="40">
        <v>5</v>
      </c>
      <c r="V2290" s="274" t="str">
        <f ca="1">IF(D2290="","",IF(OFFSET(D2290,-2,0)=D2290,"",VLOOKUP(D2290,契約台帳!$A$3:$R$4986,18,FALSE)))</f>
        <v/>
      </c>
      <c r="W2290" s="269" t="str">
        <f ca="1">IF(D2290="","",IF(T2290="","",IF(OR(J2290="巻足し",J2290="巻返しリード付け"),"",IF(J2290="巻返し",VLOOKUP(F2290&amp;K2290&amp;M2290,製品マスタ!$M$5:$AD$5002,18,FALSE),IF(OR(J2290="リード付け",J2290="巻返しリード付け"),"原反コア",IF(J2290="スリット",VLOOKUP(F2290&amp;K2290&amp;R2290,製品マスタ!$N$5:$AD$5002,17,FALSE),""))))))</f>
        <v/>
      </c>
      <c r="X2290" s="269" t="str">
        <f ca="1">IF(D2290="","",IF(T2290="","",IF(J2290="巻足し","",IF(J2290="巻返し",VLOOKUP(F2290&amp;K2290&amp;M2290,製品マスタ!$M$5:$AE$5002,19,FALSE),IF(OR(J2290="リード付け",J2290="巻返しリード付け"),"",IF(J2290="スリット",VLOOKUP(F2290&amp;K2290&amp;R2290,製品マスタ!$N$5:$AE$5002,18,FALSE),""))))))</f>
        <v/>
      </c>
      <c r="Y2290" s="275">
        <f ca="1">IF(D2290="","",IF(T2290="","",VLOOKUP(D2290,契約台帳!$A$3:$Q$4986,17,FALSE)))</f>
        <v>2</v>
      </c>
      <c r="Z2290" s="269" t="str">
        <f ca="1">IF(D2290="","",IF(T2290="","",VLOOKUP(D2290,契約台帳!$A$3:$E$4986,5,FALSE)))</f>
        <v>リンテック㈱</v>
      </c>
      <c r="AA2290" s="57"/>
      <c r="AB2290" s="207">
        <f>IFERROR((VLOOKUP(F2290&amp;K2290&amp;M2290,製品マスタ!$M$5:$AM$5002,27,FALSE)),"")</f>
        <v>0</v>
      </c>
      <c r="AC2290" s="33"/>
      <c r="AD2290" s="189"/>
      <c r="AE2290" s="54"/>
      <c r="AF2290" s="55">
        <f>+M2290*N2290*O2290/1000</f>
        <v>67200</v>
      </c>
      <c r="AG2290" s="43"/>
      <c r="AH2290" s="47"/>
      <c r="AI2290" s="30"/>
      <c r="AJ2290" s="30"/>
      <c r="AK2290" s="30"/>
      <c r="AL2290" s="30"/>
      <c r="AM2290" s="13"/>
      <c r="AN2290" s="13"/>
      <c r="AO2290" s="13"/>
      <c r="AP2290" s="13"/>
      <c r="AQ2290" s="13"/>
      <c r="AR2290" s="14"/>
      <c r="AS2290" s="15"/>
    </row>
    <row r="2291" spans="1:45" s="17" customFormat="1" ht="30.95" hidden="1" customHeight="1" x14ac:dyDescent="0.2">
      <c r="A2291" s="343"/>
      <c r="B2291" s="344"/>
      <c r="C2291" s="345"/>
      <c r="D2291" s="346"/>
      <c r="E2291" s="346"/>
      <c r="F2291" s="268"/>
      <c r="G2291" s="269"/>
      <c r="H2291" s="269"/>
      <c r="I2291" s="270"/>
      <c r="J2291" s="434"/>
      <c r="K2291" s="270"/>
      <c r="L2291" s="270"/>
      <c r="M2291" s="348"/>
      <c r="N2291" s="348"/>
      <c r="O2291" s="435"/>
      <c r="P2291" s="349"/>
      <c r="Q2291" s="350"/>
      <c r="R2291" s="271"/>
      <c r="S2291" s="272"/>
      <c r="T2291" s="273"/>
      <c r="U2291" s="351"/>
      <c r="V2291" s="274"/>
      <c r="W2291" s="269"/>
      <c r="X2291" s="269"/>
      <c r="Y2291" s="275"/>
      <c r="Z2291" s="269"/>
      <c r="AA2291" s="350"/>
      <c r="AB2291" s="207"/>
      <c r="AC2291" s="352"/>
      <c r="AD2291" s="353"/>
      <c r="AE2291" s="54"/>
      <c r="AF2291" s="354"/>
      <c r="AG2291" s="355"/>
      <c r="AH2291" s="349"/>
      <c r="AI2291" s="30"/>
      <c r="AJ2291" s="30"/>
      <c r="AK2291" s="30"/>
      <c r="AL2291" s="30"/>
      <c r="AM2291" s="13"/>
      <c r="AN2291" s="13"/>
      <c r="AO2291" s="13"/>
      <c r="AP2291" s="13"/>
      <c r="AQ2291" s="13"/>
      <c r="AR2291" s="14"/>
      <c r="AS2291" s="15"/>
    </row>
    <row r="2292" spans="1:45" s="17" customFormat="1" ht="30.6" hidden="1" customHeight="1" x14ac:dyDescent="0.2">
      <c r="A2292" s="343" t="s">
        <v>3009</v>
      </c>
      <c r="B2292" s="344" t="s">
        <v>3010</v>
      </c>
      <c r="C2292" s="45"/>
      <c r="D2292" s="31">
        <v>3767090</v>
      </c>
      <c r="E2292" s="31">
        <v>4162437</v>
      </c>
      <c r="F2292" s="268" t="str">
        <f>IF(D2292="","",VLOOKUP(D2292,契約台帳!$A$3:$K$4986,6,FALSE)&amp;VLOOKUP(D2292,契約台帳!$A$3:$K$4986,7,FALSE)&amp;VLOOKUP(D2292,契約台帳!$A$3:$K$4986,8,FALSE)&amp;VLOOKUP(D2292,契約台帳!$A$3:$K$4986,9,FALSE)&amp;VLOOKUP(D2292,契約台帳!$A$3:$K$4986,11,FALSE))</f>
        <v>3SYMLBMSNMBF</v>
      </c>
      <c r="G2292" s="269" t="str">
        <f>IF(D2292="","",VLOOKUP(F2292,製品マスタ!$G$5:$H$5002,2,FALSE))</f>
        <v>S</v>
      </c>
      <c r="H2292" s="269" t="str">
        <f>IF(D2292="","",VLOOKUP(F2292,製品マスタ!$G$5:$K$5002,5,FALSE))</f>
        <v>MSNMBF</v>
      </c>
      <c r="I2292" s="270" t="str">
        <f>IF(D2292="","",VLOOKUP(F2292,製品マスタ!$G$5:$L$5002,6,FALSE))</f>
        <v>ＭＥＴＡＬＵＭＹ　ＳＩＬＶＥＲ　Ｎ－ＭＡＴＴＥ　Ｘ４４Ｍ　Ｂ</v>
      </c>
      <c r="J2292" s="210" t="s">
        <v>935</v>
      </c>
      <c r="K2292" s="270">
        <f>IF(D2292="","",VLOOKUP(D2292,契約台帳!$A$3:$L$4986,12,FALSE))</f>
        <v>50</v>
      </c>
      <c r="L2292" s="270" t="str">
        <f>IF(D2292="","",INDEX(製品マスタ!$Q$5:$Q$5002,MATCH('S4'!F2292&amp;'S4'!K2292,製品マスタ!$AO$5:$AO$5002,0)))</f>
        <v>X44</v>
      </c>
      <c r="M2292" s="39">
        <v>1120</v>
      </c>
      <c r="N2292" s="39">
        <v>4000</v>
      </c>
      <c r="O2292" s="156">
        <v>9</v>
      </c>
      <c r="P2292" s="47">
        <v>3</v>
      </c>
      <c r="Q2292" s="213">
        <v>45505</v>
      </c>
      <c r="R2292" s="271">
        <f ca="1">IF(D2292="","",IF(OFFSET(D2292,-1,0)&lt;&gt;"","",IF(OR(J2292="リード付け",J2292="巻足し",J2292="巻返しリード付け"),M2292,VLOOKUP(D2292,契約台帳!$A$3:$N$4986,14,FALSE))))</f>
        <v>1120</v>
      </c>
      <c r="S2292" s="272">
        <f ca="1">IF(D2292="","",IF(OFFSET(D2292,-1,0)&lt;&gt;"","",IF(OR(J2292="リード付け",J2292="巻足し",J2292="巻返しリード付け"),M2292,VLOOKUP(D2292,契約台帳!$A$3:$O$4986,15,FALSE))))</f>
        <v>1120</v>
      </c>
      <c r="T2292" s="273">
        <f ca="1">IF(D2292="","",IF(J2292="リード付け",N2292,IF(J2292="巻返しリード付け",N2292,IF(J2292="巻足し",N2292*P2292+OFFSET(N2292,1,0)*OFFSET(P2292,1,0),VLOOKUP(D2292,契約台帳!$A$3:$P$4986,16,FALSE)))))</f>
        <v>12000</v>
      </c>
      <c r="U2292" s="40">
        <v>3</v>
      </c>
      <c r="V2292" s="274" t="str">
        <f ca="1">IF(D2292="","",IF(OFFSET(D2292,-2,0)=D2292,"",VLOOKUP(D2292,契約台帳!$A$3:$R$4986,18,FALSE)))</f>
        <v/>
      </c>
      <c r="W2292" s="269" t="str">
        <f ca="1">IF(D2292="","",IF(T2292="","",IF(OR(J2292="巻足し",J2292="巻返しリード付け"),"",IF(J2292="巻返し",VLOOKUP(F2292&amp;K2292&amp;M2292,製品マスタ!$M$5:$AD$5002,18,FALSE),IF(OR(J2292="リード付け",J2292="巻返しリード付け"),"原反コア",IF(J2292="スリット",VLOOKUP(F2292&amp;K2292&amp;R2292,製品マスタ!$N$5:$AD$5002,17,FALSE),""))))))</f>
        <v/>
      </c>
      <c r="X2292" s="269" t="str">
        <f ca="1">IF(D2292="","",IF(T2292="","",IF(J2292="巻足し","",IF(J2292="巻返し",VLOOKUP(F2292&amp;K2292&amp;M2292,製品マスタ!$M$5:$AE$5002,19,FALSE),IF(OR(J2292="リード付け",J2292="巻返しリード付け"),"",IF(J2292="スリット",VLOOKUP(F2292&amp;K2292&amp;R2292,製品マスタ!$N$5:$AE$5002,18,FALSE),""))))))</f>
        <v/>
      </c>
      <c r="Y2292" s="275">
        <f ca="1">IF(D2292="","",IF(T2292="","",VLOOKUP(D2292,契約台帳!$A$3:$Q$4986,17,FALSE)))</f>
        <v>2</v>
      </c>
      <c r="Z2292" s="269" t="str">
        <f ca="1">IF(D2292="","",IF(T2292="","",VLOOKUP(D2292,契約台帳!$A$3:$E$4986,5,FALSE)))</f>
        <v>リンテック㈱</v>
      </c>
      <c r="AA2292" s="57"/>
      <c r="AB2292" s="207">
        <f>IFERROR((VLOOKUP(F2292&amp;K2292&amp;M2292,製品マスタ!$M$5:$AM$5002,27,FALSE)),"")</f>
        <v>0</v>
      </c>
      <c r="AC2292" s="33"/>
      <c r="AD2292" s="189"/>
      <c r="AE2292" s="54"/>
      <c r="AF2292" s="55">
        <f>+M2292*N2292*O2292/1000</f>
        <v>40320</v>
      </c>
      <c r="AG2292" s="43"/>
      <c r="AH2292" s="47"/>
      <c r="AI2292" s="30"/>
      <c r="AJ2292" s="30"/>
      <c r="AK2292" s="30"/>
      <c r="AL2292" s="30"/>
      <c r="AM2292" s="13"/>
      <c r="AN2292" s="13"/>
      <c r="AO2292" s="13"/>
      <c r="AP2292" s="13"/>
      <c r="AQ2292" s="13"/>
      <c r="AR2292" s="14"/>
      <c r="AS2292" s="15"/>
    </row>
    <row r="2293" spans="1:45" s="17" customFormat="1" ht="30.95" hidden="1" customHeight="1" x14ac:dyDescent="0.2">
      <c r="A2293" s="343"/>
      <c r="B2293" s="344"/>
      <c r="C2293" s="345"/>
      <c r="D2293" s="346"/>
      <c r="E2293" s="346"/>
      <c r="F2293" s="268"/>
      <c r="G2293" s="269"/>
      <c r="H2293" s="269"/>
      <c r="I2293" s="270"/>
      <c r="J2293" s="434"/>
      <c r="K2293" s="270"/>
      <c r="L2293" s="270"/>
      <c r="M2293" s="348"/>
      <c r="N2293" s="348"/>
      <c r="O2293" s="435"/>
      <c r="P2293" s="349"/>
      <c r="Q2293" s="350"/>
      <c r="R2293" s="271"/>
      <c r="S2293" s="272"/>
      <c r="T2293" s="273"/>
      <c r="U2293" s="351"/>
      <c r="V2293" s="274"/>
      <c r="W2293" s="269"/>
      <c r="X2293" s="269"/>
      <c r="Y2293" s="275"/>
      <c r="Z2293" s="269"/>
      <c r="AA2293" s="350"/>
      <c r="AB2293" s="207"/>
      <c r="AC2293" s="352"/>
      <c r="AD2293" s="353"/>
      <c r="AE2293" s="54"/>
      <c r="AF2293" s="354"/>
      <c r="AG2293" s="355"/>
      <c r="AH2293" s="349"/>
      <c r="AI2293" s="30"/>
      <c r="AJ2293" s="30"/>
      <c r="AK2293" s="30"/>
      <c r="AL2293" s="30"/>
      <c r="AM2293" s="13"/>
      <c r="AN2293" s="13"/>
      <c r="AO2293" s="13"/>
      <c r="AP2293" s="13"/>
      <c r="AQ2293" s="13"/>
      <c r="AR2293" s="14"/>
      <c r="AS2293" s="15"/>
    </row>
    <row r="2294" spans="1:45" s="17" customFormat="1" ht="30.6" hidden="1" customHeight="1" x14ac:dyDescent="0.2">
      <c r="A2294" s="343"/>
      <c r="B2294" s="344"/>
      <c r="C2294" s="45"/>
      <c r="D2294" s="31">
        <v>3767090</v>
      </c>
      <c r="E2294" s="31">
        <v>4162437</v>
      </c>
      <c r="F2294" s="268" t="str">
        <f>IF(D2294="","",VLOOKUP(D2294,契約台帳!$A$3:$K$4986,6,FALSE)&amp;VLOOKUP(D2294,契約台帳!$A$3:$K$4986,7,FALSE)&amp;VLOOKUP(D2294,契約台帳!$A$3:$K$4986,8,FALSE)&amp;VLOOKUP(D2294,契約台帳!$A$3:$K$4986,9,FALSE)&amp;VLOOKUP(D2294,契約台帳!$A$3:$K$4986,11,FALSE))</f>
        <v>3SYMLBMSNMBF</v>
      </c>
      <c r="G2294" s="269" t="str">
        <f>IF(D2294="","",VLOOKUP(F2294,製品マスタ!$G$5:$H$5002,2,FALSE))</f>
        <v>S</v>
      </c>
      <c r="H2294" s="269" t="str">
        <f>IF(D2294="","",VLOOKUP(F2294,製品マスタ!$G$5:$K$5002,5,FALSE))</f>
        <v>MSNMBF</v>
      </c>
      <c r="I2294" s="270" t="str">
        <f>IF(D2294="","",VLOOKUP(F2294,製品マスタ!$G$5:$L$5002,6,FALSE))</f>
        <v>ＭＥＴＡＬＵＭＹ　ＳＩＬＶＥＲ　Ｎ－ＭＡＴＴＥ　Ｘ４４Ｍ　Ｂ</v>
      </c>
      <c r="J2294" s="210" t="s">
        <v>935</v>
      </c>
      <c r="K2294" s="270">
        <f>IF(D2294="","",VLOOKUP(D2294,契約台帳!$A$3:$L$4986,12,FALSE))</f>
        <v>50</v>
      </c>
      <c r="L2294" s="270" t="str">
        <f>IF(D2294="","",INDEX(製品マスタ!$Q$5:$Q$5002,MATCH('S4'!F2294&amp;'S4'!K2294,製品マスタ!$AO$5:$AO$5002,0)))</f>
        <v>X44</v>
      </c>
      <c r="M2294" s="39">
        <v>1120</v>
      </c>
      <c r="N2294" s="39">
        <v>4000</v>
      </c>
      <c r="O2294" s="156">
        <v>2</v>
      </c>
      <c r="P2294" s="47">
        <v>3</v>
      </c>
      <c r="Q2294" s="213">
        <v>45505</v>
      </c>
      <c r="R2294" s="271">
        <f ca="1">IF(D2294="","",IF(OFFSET(D2294,-1,0)&lt;&gt;"","",IF(OR(J2294="リード付け",J2294="巻足し",J2294="巻返しリード付け"),M2294,VLOOKUP(D2294,契約台帳!$A$3:$N$4986,14,FALSE))))</f>
        <v>1120</v>
      </c>
      <c r="S2294" s="272">
        <f ca="1">IF(D2294="","",IF(OFFSET(D2294,-1,0)&lt;&gt;"","",IF(OR(J2294="リード付け",J2294="巻足し",J2294="巻返しリード付け"),M2294,VLOOKUP(D2294,契約台帳!$A$3:$O$4986,15,FALSE))))</f>
        <v>1120</v>
      </c>
      <c r="T2294" s="273">
        <f ca="1">IF(D2294="","",IF(J2294="リード付け",N2294,IF(J2294="巻返しリード付け",N2294,IF(J2294="巻足し",N2294*P2294+OFFSET(N2294,1,0)*OFFSET(P2294,1,0),VLOOKUP(D2294,契約台帳!$A$3:$P$4986,16,FALSE)))))</f>
        <v>12000</v>
      </c>
      <c r="U2294" s="40">
        <v>1</v>
      </c>
      <c r="V2294" s="274" t="str">
        <f ca="1">IF(D2294="","",IF(OFFSET(D2294,-2,0)=D2294,"",VLOOKUP(D2294,契約台帳!$A$3:$R$4986,18,FALSE)))</f>
        <v/>
      </c>
      <c r="W2294" s="269" t="str">
        <f ca="1">IF(D2294="","",IF(T2294="","",IF(OR(J2294="巻足し",J2294="巻返しリード付け"),"",IF(J2294="巻返し",VLOOKUP(F2294&amp;K2294&amp;M2294,製品マスタ!$M$5:$AD$5002,18,FALSE),IF(OR(J2294="リード付け",J2294="巻返しリード付け"),"原反コア",IF(J2294="スリット",VLOOKUP(F2294&amp;K2294&amp;R2294,製品マスタ!$N$5:$AD$5002,17,FALSE),""))))))</f>
        <v/>
      </c>
      <c r="X2294" s="269" t="str">
        <f ca="1">IF(D2294="","",IF(T2294="","",IF(J2294="巻足し","",IF(J2294="巻返し",VLOOKUP(F2294&amp;K2294&amp;M2294,製品マスタ!$M$5:$AE$5002,19,FALSE),IF(OR(J2294="リード付け",J2294="巻返しリード付け"),"",IF(J2294="スリット",VLOOKUP(F2294&amp;K2294&amp;R2294,製品マスタ!$N$5:$AE$5002,18,FALSE),""))))))</f>
        <v/>
      </c>
      <c r="Y2294" s="275">
        <f ca="1">IF(D2294="","",IF(T2294="","",VLOOKUP(D2294,契約台帳!$A$3:$Q$4986,17,FALSE)))</f>
        <v>2</v>
      </c>
      <c r="Z2294" s="269" t="str">
        <f ca="1">IF(D2294="","",IF(T2294="","",VLOOKUP(D2294,契約台帳!$A$3:$E$4986,5,FALSE)))</f>
        <v>リンテック㈱</v>
      </c>
      <c r="AA2294" s="57"/>
      <c r="AB2294" s="207">
        <f>IFERROR((VLOOKUP(F2294&amp;K2294&amp;M2294,製品マスタ!$M$5:$AM$5002,27,FALSE)),"")</f>
        <v>0</v>
      </c>
      <c r="AC2294" s="33"/>
      <c r="AD2294" s="189"/>
      <c r="AE2294" s="54"/>
      <c r="AF2294" s="55">
        <f>+M2294*N2294*O2294/1000</f>
        <v>8960</v>
      </c>
      <c r="AG2294" s="43"/>
      <c r="AH2294" s="47"/>
      <c r="AI2294" s="30"/>
      <c r="AJ2294" s="30"/>
      <c r="AK2294" s="30"/>
      <c r="AL2294" s="30"/>
      <c r="AM2294" s="13"/>
      <c r="AN2294" s="13"/>
      <c r="AO2294" s="13"/>
      <c r="AP2294" s="13"/>
      <c r="AQ2294" s="13"/>
      <c r="AR2294" s="14"/>
      <c r="AS2294" s="15"/>
    </row>
    <row r="2295" spans="1:45" s="17" customFormat="1" ht="30.6" hidden="1" customHeight="1" x14ac:dyDescent="0.2">
      <c r="A2295" s="343"/>
      <c r="B2295" s="344"/>
      <c r="C2295" s="45"/>
      <c r="D2295" s="31">
        <v>3767228</v>
      </c>
      <c r="E2295" s="31"/>
      <c r="F2295" s="268" t="str">
        <f>IF(D2295="","",VLOOKUP(D2295,契約台帳!$A$3:$K$4986,6,FALSE)&amp;VLOOKUP(D2295,契約台帳!$A$3:$K$4986,7,FALSE)&amp;VLOOKUP(D2295,契約台帳!$A$3:$K$4986,8,FALSE)&amp;VLOOKUP(D2295,契約台帳!$A$3:$K$4986,9,FALSE)&amp;VLOOKUP(D2295,契約台帳!$A$3:$K$4986,11,FALSE))</f>
        <v>3SYMLBMSNMBZF</v>
      </c>
      <c r="G2295" s="269" t="str">
        <f>IF(D2295="","",VLOOKUP(F2295,製品マスタ!$G$5:$H$5002,2,FALSE))</f>
        <v>S</v>
      </c>
      <c r="H2295" s="269" t="str">
        <f>IF(D2295="","",VLOOKUP(F2295,製品マスタ!$G$5:$K$5002,5,FALSE))</f>
        <v>MSNMBZF</v>
      </c>
      <c r="I2295" s="270" t="str">
        <f>IF(D2295="","",VLOOKUP(F2295,製品マスタ!$G$5:$L$5002,6,FALSE))</f>
        <v>ＭＥＴＡＬＵＭＹ　ＳＩＬＶＥＲ　Ｎ－ＭＡＴＴＥ　Ｂ</v>
      </c>
      <c r="J2295" s="210" t="s">
        <v>935</v>
      </c>
      <c r="K2295" s="270">
        <f>IF(D2295="","",VLOOKUP(D2295,契約台帳!$A$3:$L$4986,12,FALSE))</f>
        <v>50</v>
      </c>
      <c r="L2295" s="270" t="str">
        <f>IF(D2295="","",INDEX(製品マスタ!$Q$5:$Q$5002,MATCH('S4'!F2295&amp;'S4'!K2295,製品マスタ!$AO$5:$AO$5002,0)))</f>
        <v>X44</v>
      </c>
      <c r="M2295" s="39">
        <v>1120</v>
      </c>
      <c r="N2295" s="39">
        <v>4000</v>
      </c>
      <c r="O2295" s="156">
        <v>1</v>
      </c>
      <c r="P2295" s="47"/>
      <c r="Q2295" s="213">
        <v>45506</v>
      </c>
      <c r="R2295" s="271" t="str">
        <f ca="1">IF(D2295="","",IF(OFFSET(D2295,-1,0)&lt;&gt;"","",IF(OR(J2295="リード付け",J2295="巻足し",J2295="巻返しリード付け"),M2295,VLOOKUP(D2295,契約台帳!$A$3:$N$4986,14,FALSE))))</f>
        <v/>
      </c>
      <c r="S2295" s="272" t="str">
        <f ca="1">IF(D2295="","",IF(OFFSET(D2295,-1,0)&lt;&gt;"","",IF(OR(J2295="リード付け",J2295="巻足し",J2295="巻返しリード付け"),M2295,VLOOKUP(D2295,契約台帳!$A$3:$O$4986,15,FALSE))))</f>
        <v/>
      </c>
      <c r="T2295" s="273">
        <f ca="1">IF(D2295="","",IF(J2295="リード付け",N2295,IF(J2295="巻返しリード付け",N2295,IF(J2295="巻足し",N2295*P2295+OFFSET(N2295,1,0)*OFFSET(P2295,1,0),VLOOKUP(D2295,契約台帳!$A$3:$P$4986,16,FALSE)))))</f>
        <v>0</v>
      </c>
      <c r="U2295" s="40"/>
      <c r="V2295" s="274">
        <f ca="1">IF(D2295="","",IF(OFFSET(D2295,-2,0)=D2295,"",VLOOKUP(D2295,契約台帳!$A$3:$R$4986,18,FALSE)))</f>
        <v>10</v>
      </c>
      <c r="W2295" s="269" t="str">
        <f ca="1">IF(D2295="","",IF(T2295="","",IF(OR(J2295="巻足し",J2295="巻返しリード付け"),"",IF(J2295="巻返し",VLOOKUP(F2295&amp;K2295&amp;M2295,製品マスタ!$M$5:$AD$5002,18,FALSE),IF(OR(J2295="リード付け",J2295="巻返しリード付け"),"原反コア",IF(J2295="スリット",VLOOKUP(F2295&amp;K2295&amp;R2295,製品マスタ!$N$5:$AD$5002,17,FALSE),""))))))</f>
        <v/>
      </c>
      <c r="X2295" s="269" t="str">
        <f ca="1">IF(D2295="","",IF(T2295="","",IF(J2295="巻足し","",IF(J2295="巻返し",VLOOKUP(F2295&amp;K2295&amp;M2295,製品マスタ!$M$5:$AE$5002,19,FALSE),IF(OR(J2295="リード付け",J2295="巻返しリード付け"),"",IF(J2295="スリット",VLOOKUP(F2295&amp;K2295&amp;R2295,製品マスタ!$N$5:$AE$5002,18,FALSE),""))))))</f>
        <v/>
      </c>
      <c r="Y2295" s="275">
        <f ca="1">IF(D2295="","",IF(T2295="","",VLOOKUP(D2295,契約台帳!$A$3:$Q$4986,17,FALSE)))</f>
        <v>2</v>
      </c>
      <c r="Z2295" s="269" t="str">
        <f ca="1">IF(D2295="","",IF(T2295="","",VLOOKUP(D2295,契約台帳!$A$3:$E$4986,5,FALSE)))</f>
        <v>リンテック㈱</v>
      </c>
      <c r="AA2295" s="57"/>
      <c r="AB2295" s="207">
        <f>IFERROR((VLOOKUP(F2295&amp;K2295&amp;M2295,製品マスタ!$M$5:$AM$5002,27,FALSE)),"")</f>
        <v>0</v>
      </c>
      <c r="AC2295" s="33"/>
      <c r="AD2295" s="189"/>
      <c r="AE2295" s="54"/>
      <c r="AF2295" s="55">
        <f>+M2295*N2295*O2295/1000</f>
        <v>4480</v>
      </c>
      <c r="AG2295" s="43"/>
      <c r="AH2295" s="47"/>
      <c r="AI2295" s="30"/>
      <c r="AJ2295" s="30"/>
      <c r="AK2295" s="30"/>
      <c r="AL2295" s="30"/>
      <c r="AM2295" s="13"/>
      <c r="AN2295" s="13"/>
      <c r="AO2295" s="13"/>
      <c r="AP2295" s="13"/>
      <c r="AQ2295" s="13"/>
      <c r="AR2295" s="14"/>
      <c r="AS2295" s="15"/>
    </row>
    <row r="2296" spans="1:45" s="17" customFormat="1" ht="30.95" hidden="1" customHeight="1" x14ac:dyDescent="0.2">
      <c r="A2296" s="343"/>
      <c r="B2296" s="344"/>
      <c r="C2296" s="345"/>
      <c r="D2296" s="346"/>
      <c r="E2296" s="346"/>
      <c r="F2296" s="268"/>
      <c r="G2296" s="269"/>
      <c r="H2296" s="269"/>
      <c r="I2296" s="270"/>
      <c r="J2296" s="434"/>
      <c r="K2296" s="270"/>
      <c r="L2296" s="270"/>
      <c r="M2296" s="348"/>
      <c r="N2296" s="348"/>
      <c r="O2296" s="435"/>
      <c r="P2296" s="349"/>
      <c r="Q2296" s="350"/>
      <c r="R2296" s="271"/>
      <c r="S2296" s="272"/>
      <c r="T2296" s="273"/>
      <c r="U2296" s="351"/>
      <c r="V2296" s="274"/>
      <c r="W2296" s="269"/>
      <c r="X2296" s="269"/>
      <c r="Y2296" s="275"/>
      <c r="Z2296" s="269"/>
      <c r="AA2296" s="350"/>
      <c r="AB2296" s="207"/>
      <c r="AC2296" s="352"/>
      <c r="AD2296" s="353"/>
      <c r="AE2296" s="54"/>
      <c r="AF2296" s="354"/>
      <c r="AG2296" s="355"/>
      <c r="AH2296" s="349"/>
      <c r="AI2296" s="30"/>
      <c r="AJ2296" s="30"/>
      <c r="AK2296" s="30"/>
      <c r="AL2296" s="30"/>
      <c r="AM2296" s="13"/>
      <c r="AN2296" s="13"/>
      <c r="AO2296" s="13"/>
      <c r="AP2296" s="13"/>
      <c r="AQ2296" s="13"/>
      <c r="AR2296" s="14"/>
      <c r="AS2296" s="15"/>
    </row>
    <row r="2297" spans="1:45" s="17" customFormat="1" ht="30.6" hidden="1" customHeight="1" x14ac:dyDescent="0.2">
      <c r="A2297" s="343"/>
      <c r="B2297" s="344"/>
      <c r="C2297" s="45"/>
      <c r="D2297" s="31">
        <v>3767228</v>
      </c>
      <c r="E2297" s="31">
        <v>4162440</v>
      </c>
      <c r="F2297" s="268" t="str">
        <f>IF(D2297="","",VLOOKUP(D2297,契約台帳!$A$3:$K$4986,6,FALSE)&amp;VLOOKUP(D2297,契約台帳!$A$3:$K$4986,7,FALSE)&amp;VLOOKUP(D2297,契約台帳!$A$3:$K$4986,8,FALSE)&amp;VLOOKUP(D2297,契約台帳!$A$3:$K$4986,9,FALSE)&amp;VLOOKUP(D2297,契約台帳!$A$3:$K$4986,11,FALSE))</f>
        <v>3SYMLBMSNMBZF</v>
      </c>
      <c r="G2297" s="269" t="str">
        <f>IF(D2297="","",VLOOKUP(F2297,製品マスタ!$G$5:$H$5002,2,FALSE))</f>
        <v>S</v>
      </c>
      <c r="H2297" s="269" t="str">
        <f>IF(D2297="","",VLOOKUP(F2297,製品マスタ!$G$5:$K$5002,5,FALSE))</f>
        <v>MSNMBZF</v>
      </c>
      <c r="I2297" s="270" t="str">
        <f>IF(D2297="","",VLOOKUP(F2297,製品マスタ!$G$5:$L$5002,6,FALSE))</f>
        <v>ＭＥＴＡＬＵＭＹ　ＳＩＬＶＥＲ　Ｎ－ＭＡＴＴＥ　Ｂ</v>
      </c>
      <c r="J2297" s="210" t="s">
        <v>935</v>
      </c>
      <c r="K2297" s="270">
        <f>IF(D2297="","",VLOOKUP(D2297,契約台帳!$A$3:$L$4986,12,FALSE))</f>
        <v>50</v>
      </c>
      <c r="L2297" s="270" t="str">
        <f>IF(D2297="","",INDEX(製品マスタ!$Q$5:$Q$5002,MATCH('S4'!F2297&amp;'S4'!K2297,製品マスタ!$AO$5:$AO$5002,0)))</f>
        <v>X44</v>
      </c>
      <c r="M2297" s="39">
        <v>1120</v>
      </c>
      <c r="N2297" s="39">
        <v>4000</v>
      </c>
      <c r="O2297" s="156">
        <v>9</v>
      </c>
      <c r="P2297" s="47">
        <v>3</v>
      </c>
      <c r="Q2297" s="213">
        <v>45506</v>
      </c>
      <c r="R2297" s="271">
        <f ca="1">IF(D2297="","",IF(OFFSET(D2297,-1,0)&lt;&gt;"","",IF(OR(J2297="リード付け",J2297="巻足し",J2297="巻返しリード付け"),M2297,VLOOKUP(D2297,契約台帳!$A$3:$N$4986,14,FALSE))))</f>
        <v>1120</v>
      </c>
      <c r="S2297" s="272">
        <f ca="1">IF(D2297="","",IF(OFFSET(D2297,-1,0)&lt;&gt;"","",IF(OR(J2297="リード付け",J2297="巻足し",J2297="巻返しリード付け"),M2297,VLOOKUP(D2297,契約台帳!$A$3:$O$4986,15,FALSE))))</f>
        <v>1120</v>
      </c>
      <c r="T2297" s="273">
        <f ca="1">IF(D2297="","",IF(J2297="リード付け",N2297,IF(J2297="巻返しリード付け",N2297,IF(J2297="巻足し",N2297*P2297+OFFSET(N2297,1,0)*OFFSET(P2297,1,0),VLOOKUP(D2297,契約台帳!$A$3:$P$4986,16,FALSE)))))</f>
        <v>12000</v>
      </c>
      <c r="U2297" s="40">
        <v>3</v>
      </c>
      <c r="V2297" s="274" t="str">
        <f ca="1">IF(D2297="","",IF(OFFSET(D2297,-2,0)=D2297,"",VLOOKUP(D2297,契約台帳!$A$3:$R$4986,18,FALSE)))</f>
        <v/>
      </c>
      <c r="W2297" s="269" t="str">
        <f ca="1">IF(D2297="","",IF(T2297="","",IF(OR(J2297="巻足し",J2297="巻返しリード付け"),"",IF(J2297="巻返し",VLOOKUP(F2297&amp;K2297&amp;M2297,製品マスタ!$M$5:$AD$5002,18,FALSE),IF(OR(J2297="リード付け",J2297="巻返しリード付け"),"原反コア",IF(J2297="スリット",VLOOKUP(F2297&amp;K2297&amp;R2297,製品マスタ!$N$5:$AD$5002,17,FALSE),""))))))</f>
        <v/>
      </c>
      <c r="X2297" s="269" t="str">
        <f ca="1">IF(D2297="","",IF(T2297="","",IF(J2297="巻足し","",IF(J2297="巻返し",VLOOKUP(F2297&amp;K2297&amp;M2297,製品マスタ!$M$5:$AE$5002,19,FALSE),IF(OR(J2297="リード付け",J2297="巻返しリード付け"),"",IF(J2297="スリット",VLOOKUP(F2297&amp;K2297&amp;R2297,製品マスタ!$N$5:$AE$5002,18,FALSE),""))))))</f>
        <v/>
      </c>
      <c r="Y2297" s="275">
        <f ca="1">IF(D2297="","",IF(T2297="","",VLOOKUP(D2297,契約台帳!$A$3:$Q$4986,17,FALSE)))</f>
        <v>2</v>
      </c>
      <c r="Z2297" s="269" t="str">
        <f ca="1">IF(D2297="","",IF(T2297="","",VLOOKUP(D2297,契約台帳!$A$3:$E$4986,5,FALSE)))</f>
        <v>リンテック㈱</v>
      </c>
      <c r="AA2297" s="57"/>
      <c r="AB2297" s="207">
        <f>IFERROR((VLOOKUP(F2297&amp;K2297&amp;M2297,製品マスタ!$M$5:$AM$5002,27,FALSE)),"")</f>
        <v>0</v>
      </c>
      <c r="AC2297" s="33"/>
      <c r="AD2297" s="189"/>
      <c r="AE2297" s="54"/>
      <c r="AF2297" s="55">
        <f>+M2297*N2297*O2297/1000</f>
        <v>40320</v>
      </c>
      <c r="AG2297" s="43"/>
      <c r="AH2297" s="47"/>
      <c r="AI2297" s="30"/>
      <c r="AJ2297" s="30"/>
      <c r="AK2297" s="30"/>
      <c r="AL2297" s="30"/>
      <c r="AM2297" s="13"/>
      <c r="AN2297" s="13"/>
      <c r="AO2297" s="13"/>
      <c r="AP2297" s="13"/>
      <c r="AQ2297" s="13"/>
      <c r="AR2297" s="14"/>
      <c r="AS2297" s="15"/>
    </row>
    <row r="2298" spans="1:45" s="17" customFormat="1" ht="30.95" hidden="1" customHeight="1" x14ac:dyDescent="0.2">
      <c r="A2298" s="343"/>
      <c r="B2298" s="344"/>
      <c r="C2298" s="345"/>
      <c r="D2298" s="346"/>
      <c r="E2298" s="346"/>
      <c r="F2298" s="268"/>
      <c r="G2298" s="269"/>
      <c r="H2298" s="269"/>
      <c r="I2298" s="270"/>
      <c r="J2298" s="434"/>
      <c r="K2298" s="270"/>
      <c r="L2298" s="270"/>
      <c r="M2298" s="348"/>
      <c r="N2298" s="348"/>
      <c r="O2298" s="435"/>
      <c r="P2298" s="349"/>
      <c r="Q2298" s="350"/>
      <c r="R2298" s="271"/>
      <c r="S2298" s="272"/>
      <c r="T2298" s="273"/>
      <c r="U2298" s="351"/>
      <c r="V2298" s="274"/>
      <c r="W2298" s="269"/>
      <c r="X2298" s="269"/>
      <c r="Y2298" s="275"/>
      <c r="Z2298" s="269"/>
      <c r="AA2298" s="350"/>
      <c r="AB2298" s="207"/>
      <c r="AC2298" s="352"/>
      <c r="AD2298" s="353"/>
      <c r="AE2298" s="54"/>
      <c r="AF2298" s="354"/>
      <c r="AG2298" s="355"/>
      <c r="AH2298" s="349"/>
      <c r="AI2298" s="30"/>
      <c r="AJ2298" s="30"/>
      <c r="AK2298" s="30"/>
      <c r="AL2298" s="30"/>
      <c r="AM2298" s="13"/>
      <c r="AN2298" s="13"/>
      <c r="AO2298" s="13"/>
      <c r="AP2298" s="13"/>
      <c r="AQ2298" s="13"/>
      <c r="AR2298" s="14"/>
      <c r="AS2298" s="15"/>
    </row>
    <row r="2299" spans="1:45" s="17" customFormat="1" ht="30.95" hidden="1" customHeight="1" x14ac:dyDescent="0.2">
      <c r="A2299" s="343" t="s">
        <v>532</v>
      </c>
      <c r="B2299" s="344" t="s">
        <v>445</v>
      </c>
      <c r="C2299" s="345"/>
      <c r="D2299" s="346"/>
      <c r="E2299" s="346"/>
      <c r="F2299" s="268"/>
      <c r="G2299" s="269"/>
      <c r="H2299" s="269"/>
      <c r="I2299" s="270"/>
      <c r="J2299" s="434" t="s">
        <v>448</v>
      </c>
      <c r="K2299" s="270"/>
      <c r="L2299" s="270"/>
      <c r="M2299" s="348"/>
      <c r="N2299" s="348"/>
      <c r="O2299" s="435"/>
      <c r="P2299" s="349"/>
      <c r="Q2299" s="350"/>
      <c r="R2299" s="271"/>
      <c r="S2299" s="272"/>
      <c r="T2299" s="273"/>
      <c r="U2299" s="351"/>
      <c r="V2299" s="274"/>
      <c r="W2299" s="269"/>
      <c r="X2299" s="269"/>
      <c r="Y2299" s="275"/>
      <c r="Z2299" s="269"/>
      <c r="AA2299" s="350"/>
      <c r="AB2299" s="207"/>
      <c r="AC2299" s="352"/>
      <c r="AD2299" s="353"/>
      <c r="AE2299" s="54"/>
      <c r="AF2299" s="354"/>
      <c r="AG2299" s="355"/>
      <c r="AH2299" s="349"/>
      <c r="AI2299" s="30"/>
      <c r="AJ2299" s="30"/>
      <c r="AK2299" s="30"/>
      <c r="AL2299" s="30"/>
      <c r="AM2299" s="13"/>
      <c r="AN2299" s="13"/>
      <c r="AO2299" s="13"/>
      <c r="AP2299" s="13"/>
      <c r="AQ2299" s="13"/>
      <c r="AR2299" s="14"/>
      <c r="AS2299" s="15"/>
    </row>
    <row r="2300" spans="1:45" s="17" customFormat="1" ht="30.95" hidden="1" customHeight="1" x14ac:dyDescent="0.2">
      <c r="A2300" s="343"/>
      <c r="B2300" s="344"/>
      <c r="C2300" s="345"/>
      <c r="D2300" s="346"/>
      <c r="E2300" s="346"/>
      <c r="F2300" s="268"/>
      <c r="G2300" s="269"/>
      <c r="H2300" s="269"/>
      <c r="I2300" s="270"/>
      <c r="J2300" s="434"/>
      <c r="K2300" s="270"/>
      <c r="L2300" s="270"/>
      <c r="M2300" s="348"/>
      <c r="N2300" s="348"/>
      <c r="O2300" s="435"/>
      <c r="P2300" s="349"/>
      <c r="Q2300" s="350"/>
      <c r="R2300" s="271"/>
      <c r="S2300" s="272"/>
      <c r="T2300" s="273"/>
      <c r="U2300" s="351"/>
      <c r="V2300" s="274"/>
      <c r="W2300" s="269"/>
      <c r="X2300" s="269"/>
      <c r="Y2300" s="275"/>
      <c r="Z2300" s="269"/>
      <c r="AA2300" s="350"/>
      <c r="AB2300" s="207"/>
      <c r="AC2300" s="352"/>
      <c r="AD2300" s="353"/>
      <c r="AE2300" s="54"/>
      <c r="AF2300" s="354"/>
      <c r="AG2300" s="355"/>
      <c r="AH2300" s="349"/>
      <c r="AI2300" s="30"/>
      <c r="AJ2300" s="30"/>
      <c r="AK2300" s="30"/>
      <c r="AL2300" s="30"/>
      <c r="AM2300" s="13"/>
      <c r="AN2300" s="13"/>
      <c r="AO2300" s="13"/>
      <c r="AP2300" s="13"/>
      <c r="AQ2300" s="13"/>
      <c r="AR2300" s="14"/>
      <c r="AS2300" s="15"/>
    </row>
    <row r="2301" spans="1:45" s="17" customFormat="1" ht="30.95" hidden="1" customHeight="1" x14ac:dyDescent="0.2">
      <c r="A2301" s="343" t="s">
        <v>533</v>
      </c>
      <c r="B2301" s="344" t="s">
        <v>446</v>
      </c>
      <c r="C2301" s="345"/>
      <c r="D2301" s="346"/>
      <c r="E2301" s="346"/>
      <c r="F2301" s="268"/>
      <c r="G2301" s="269"/>
      <c r="H2301" s="269"/>
      <c r="I2301" s="270"/>
      <c r="J2301" s="434" t="s">
        <v>448</v>
      </c>
      <c r="K2301" s="270"/>
      <c r="L2301" s="270"/>
      <c r="M2301" s="348"/>
      <c r="N2301" s="348"/>
      <c r="O2301" s="435"/>
      <c r="P2301" s="349"/>
      <c r="Q2301" s="350"/>
      <c r="R2301" s="271"/>
      <c r="S2301" s="272"/>
      <c r="T2301" s="273"/>
      <c r="U2301" s="351"/>
      <c r="V2301" s="274"/>
      <c r="W2301" s="269"/>
      <c r="X2301" s="269"/>
      <c r="Y2301" s="275"/>
      <c r="Z2301" s="269"/>
      <c r="AA2301" s="350"/>
      <c r="AB2301" s="207"/>
      <c r="AC2301" s="352"/>
      <c r="AD2301" s="353"/>
      <c r="AE2301" s="54"/>
      <c r="AF2301" s="354"/>
      <c r="AG2301" s="355"/>
      <c r="AH2301" s="349"/>
      <c r="AI2301" s="30"/>
      <c r="AJ2301" s="30"/>
      <c r="AK2301" s="30"/>
      <c r="AL2301" s="30"/>
      <c r="AM2301" s="13"/>
      <c r="AN2301" s="13"/>
      <c r="AO2301" s="13"/>
      <c r="AP2301" s="13"/>
      <c r="AQ2301" s="13"/>
      <c r="AR2301" s="14"/>
      <c r="AS2301" s="15"/>
    </row>
    <row r="2302" spans="1:45" s="17" customFormat="1" ht="30.95" hidden="1" customHeight="1" x14ac:dyDescent="0.2">
      <c r="A2302" s="343"/>
      <c r="B2302" s="344"/>
      <c r="C2302" s="345"/>
      <c r="D2302" s="346"/>
      <c r="E2302" s="346"/>
      <c r="F2302" s="268"/>
      <c r="G2302" s="269"/>
      <c r="H2302" s="269"/>
      <c r="I2302" s="270"/>
      <c r="J2302" s="434"/>
      <c r="K2302" s="270"/>
      <c r="L2302" s="270"/>
      <c r="M2302" s="348"/>
      <c r="N2302" s="348"/>
      <c r="O2302" s="435"/>
      <c r="P2302" s="349"/>
      <c r="Q2302" s="350"/>
      <c r="R2302" s="271"/>
      <c r="S2302" s="272"/>
      <c r="T2302" s="273"/>
      <c r="U2302" s="351"/>
      <c r="V2302" s="274"/>
      <c r="W2302" s="269"/>
      <c r="X2302" s="269"/>
      <c r="Y2302" s="275"/>
      <c r="Z2302" s="269"/>
      <c r="AA2302" s="350"/>
      <c r="AB2302" s="207"/>
      <c r="AC2302" s="352"/>
      <c r="AD2302" s="353"/>
      <c r="AE2302" s="54"/>
      <c r="AF2302" s="354"/>
      <c r="AG2302" s="355"/>
      <c r="AH2302" s="349"/>
      <c r="AI2302" s="30"/>
      <c r="AJ2302" s="30"/>
      <c r="AK2302" s="30"/>
      <c r="AL2302" s="30"/>
      <c r="AM2302" s="13"/>
      <c r="AN2302" s="13"/>
      <c r="AO2302" s="13"/>
      <c r="AP2302" s="13"/>
      <c r="AQ2302" s="13"/>
      <c r="AR2302" s="14"/>
      <c r="AS2302" s="15"/>
    </row>
    <row r="2303" spans="1:45" s="17" customFormat="1" ht="30.6" hidden="1" customHeight="1" x14ac:dyDescent="0.2">
      <c r="A2303" s="343" t="s">
        <v>534</v>
      </c>
      <c r="B2303" s="344" t="s">
        <v>462</v>
      </c>
      <c r="C2303" s="45"/>
      <c r="D2303" s="31">
        <v>3766762</v>
      </c>
      <c r="E2303" s="31">
        <v>4162419</v>
      </c>
      <c r="F2303" s="268" t="str">
        <f>IF(D2303="","",VLOOKUP(D2303,契約台帳!$A$3:$K$4986,6,FALSE)&amp;VLOOKUP(D2303,契約台帳!$A$3:$K$4986,7,FALSE)&amp;VLOOKUP(D2303,契約台帳!$A$3:$K$4986,8,FALSE)&amp;VLOOKUP(D2303,契約台帳!$A$3:$K$4986,9,FALSE)&amp;VLOOKUP(D2303,契約台帳!$A$3:$K$4986,11,FALSE))</f>
        <v>3SNMLBMNGTBF</v>
      </c>
      <c r="G2303" s="269" t="str">
        <f>IF(D2303="","",VLOOKUP(F2303,製品マスタ!$G$5:$H$5002,2,FALSE))</f>
        <v>S</v>
      </c>
      <c r="H2303" s="269" t="str">
        <f>IF(D2303="","",VLOOKUP(F2303,製品マスタ!$G$5:$K$5002,5,FALSE))</f>
        <v>MNGTBF</v>
      </c>
      <c r="I2303" s="270" t="str">
        <f>IF(D2303="","",VLOOKUP(F2303,製品マスタ!$G$5:$L$5002,6,FALSE))</f>
        <v>メタルミー　ネーマー　銀艶　Ｂ</v>
      </c>
      <c r="J2303" s="210" t="s">
        <v>935</v>
      </c>
      <c r="K2303" s="270">
        <f>IF(D2303="","",VLOOKUP(D2303,契約台帳!$A$3:$L$4986,12,FALSE))</f>
        <v>50</v>
      </c>
      <c r="L2303" s="270" t="str">
        <f>IF(D2303="","",INDEX(製品マスタ!$Q$5:$Q$5002,MATCH('S4'!F2303&amp;'S4'!K2303,製品マスタ!$AO$5:$AO$5002,0)))</f>
        <v>T62</v>
      </c>
      <c r="M2303" s="39">
        <v>1120</v>
      </c>
      <c r="N2303" s="39">
        <v>5000</v>
      </c>
      <c r="O2303" s="156">
        <v>2</v>
      </c>
      <c r="P2303" s="47">
        <v>2</v>
      </c>
      <c r="Q2303" s="213">
        <v>45498</v>
      </c>
      <c r="R2303" s="271">
        <f ca="1">IF(D2303="","",IF(OFFSET(D2303,-1,0)&lt;&gt;"","",IF(OR(J2303="リード付け",J2303="巻足し",J2303="巻返しリード付け"),M2303,VLOOKUP(D2303,契約台帳!$A$3:$N$4986,14,FALSE))))</f>
        <v>1120</v>
      </c>
      <c r="S2303" s="272">
        <f ca="1">IF(D2303="","",IF(OFFSET(D2303,-1,0)&lt;&gt;"","",IF(OR(J2303="リード付け",J2303="巻足し",J2303="巻返しリード付け"),M2303,VLOOKUP(D2303,契約台帳!$A$3:$O$4986,15,FALSE))))</f>
        <v>1120</v>
      </c>
      <c r="T2303" s="273">
        <f ca="1">IF(D2303="","",IF(J2303="リード付け",N2303,IF(J2303="巻返しリード付け",N2303,IF(J2303="巻足し",N2303*P2303+OFFSET(N2303,1,0)*OFFSET(P2303,1,0),VLOOKUP(D2303,契約台帳!$A$3:$P$4986,16,FALSE)))))</f>
        <v>10000</v>
      </c>
      <c r="U2303" s="40">
        <v>1</v>
      </c>
      <c r="V2303" s="274">
        <f ca="1">IF(D2303="","",IF(OFFSET(D2303,-2,0)=D2303,"",VLOOKUP(D2303,契約台帳!$A$3:$R$4986,18,FALSE)))</f>
        <v>22</v>
      </c>
      <c r="W2303" s="269" t="str">
        <f ca="1">IF(D2303="","",IF(T2303="","",IF(OR(J2303="巻足し",J2303="巻返しリード付け"),"",IF(J2303="巻返し",VLOOKUP(F2303&amp;K2303&amp;M2303,製品マスタ!$M$5:$AD$5002,18,FALSE),IF(OR(J2303="リード付け",J2303="巻返しリード付け"),"原反コア",IF(J2303="スリット",VLOOKUP(F2303&amp;K2303&amp;R2303,製品マスタ!$N$5:$AD$5002,17,FALSE),""))))))</f>
        <v/>
      </c>
      <c r="X2303" s="269" t="str">
        <f ca="1">IF(D2303="","",IF(T2303="","",IF(J2303="巻足し","",IF(J2303="巻返し",VLOOKUP(F2303&amp;K2303&amp;M2303,製品マスタ!$M$5:$AE$5002,19,FALSE),IF(OR(J2303="リード付け",J2303="巻返しリード付け"),"",IF(J2303="スリット",VLOOKUP(F2303&amp;K2303&amp;R2303,製品マスタ!$N$5:$AE$5002,18,FALSE),""))))))</f>
        <v/>
      </c>
      <c r="Y2303" s="275">
        <f ca="1">IF(D2303="","",IF(T2303="","",VLOOKUP(D2303,契約台帳!$A$3:$Q$4986,17,FALSE)))</f>
        <v>2</v>
      </c>
      <c r="Z2303" s="269" t="str">
        <f ca="1">IF(D2303="","",IF(T2303="","",VLOOKUP(D2303,契約台帳!$A$3:$E$4986,5,FALSE)))</f>
        <v>リンテック㈱</v>
      </c>
      <c r="AA2303" s="57"/>
      <c r="AB2303" s="207" t="str">
        <f>IFERROR((VLOOKUP(F2303&amp;K2303&amp;M2303,製品マスタ!$M$5:$AM$5002,27,FALSE)),"")</f>
        <v>原反ケース再利用</v>
      </c>
      <c r="AC2303" s="33"/>
      <c r="AD2303" s="189"/>
      <c r="AE2303" s="54"/>
      <c r="AF2303" s="55">
        <f>+M2303*N2303*O2303/1000</f>
        <v>11200</v>
      </c>
      <c r="AG2303" s="43"/>
      <c r="AH2303" s="47"/>
      <c r="AI2303" s="30"/>
      <c r="AJ2303" s="30"/>
      <c r="AK2303" s="30"/>
      <c r="AL2303" s="30"/>
      <c r="AM2303" s="13"/>
      <c r="AN2303" s="13"/>
      <c r="AO2303" s="13"/>
      <c r="AP2303" s="13"/>
      <c r="AQ2303" s="13"/>
      <c r="AR2303" s="14"/>
      <c r="AS2303" s="15"/>
    </row>
    <row r="2304" spans="1:45" s="17" customFormat="1" ht="30.95" hidden="1" customHeight="1" x14ac:dyDescent="0.2">
      <c r="A2304" s="343"/>
      <c r="B2304" s="344"/>
      <c r="C2304" s="345"/>
      <c r="D2304" s="346"/>
      <c r="E2304" s="346"/>
      <c r="F2304" s="268"/>
      <c r="G2304" s="269"/>
      <c r="H2304" s="269"/>
      <c r="I2304" s="270"/>
      <c r="J2304" s="434"/>
      <c r="K2304" s="270"/>
      <c r="L2304" s="270"/>
      <c r="M2304" s="348"/>
      <c r="N2304" s="348"/>
      <c r="O2304" s="435"/>
      <c r="P2304" s="349"/>
      <c r="Q2304" s="350"/>
      <c r="R2304" s="271"/>
      <c r="S2304" s="272"/>
      <c r="T2304" s="273"/>
      <c r="U2304" s="351"/>
      <c r="V2304" s="274"/>
      <c r="W2304" s="269"/>
      <c r="X2304" s="269"/>
      <c r="Y2304" s="275"/>
      <c r="Z2304" s="269"/>
      <c r="AA2304" s="350"/>
      <c r="AB2304" s="207"/>
      <c r="AC2304" s="352"/>
      <c r="AD2304" s="353"/>
      <c r="AE2304" s="54"/>
      <c r="AF2304" s="354"/>
      <c r="AG2304" s="355"/>
      <c r="AH2304" s="349"/>
      <c r="AI2304" s="30"/>
      <c r="AJ2304" s="30"/>
      <c r="AK2304" s="30"/>
      <c r="AL2304" s="30"/>
      <c r="AM2304" s="13"/>
      <c r="AN2304" s="13"/>
      <c r="AO2304" s="13"/>
      <c r="AP2304" s="13"/>
      <c r="AQ2304" s="13"/>
      <c r="AR2304" s="14"/>
      <c r="AS2304" s="15"/>
    </row>
    <row r="2305" spans="1:45" s="17" customFormat="1" ht="30.6" hidden="1" customHeight="1" x14ac:dyDescent="0.2">
      <c r="A2305" s="343"/>
      <c r="B2305" s="344"/>
      <c r="C2305" s="45"/>
      <c r="D2305" s="31">
        <v>3767087</v>
      </c>
      <c r="E2305" s="31">
        <v>4162434</v>
      </c>
      <c r="F2305" s="268" t="str">
        <f>IF(D2305="","",VLOOKUP(D2305,契約台帳!$A$3:$K$4986,6,FALSE)&amp;VLOOKUP(D2305,契約台帳!$A$3:$K$4986,7,FALSE)&amp;VLOOKUP(D2305,契約台帳!$A$3:$K$4986,8,FALSE)&amp;VLOOKUP(D2305,契約台帳!$A$3:$K$4986,9,FALSE)&amp;VLOOKUP(D2305,契約台帳!$A$3:$K$4986,11,FALSE))</f>
        <v>3SYMLBMSBBF</v>
      </c>
      <c r="G2305" s="269" t="str">
        <f>IF(D2305="","",VLOOKUP(F2305,製品マスタ!$G$5:$H$5002,2,FALSE))</f>
        <v>S</v>
      </c>
      <c r="H2305" s="269" t="str">
        <f>IF(D2305="","",VLOOKUP(F2305,製品マスタ!$G$5:$K$5002,5,FALSE))</f>
        <v>MSBBF</v>
      </c>
      <c r="I2305" s="270" t="str">
        <f>IF(D2305="","",VLOOKUP(F2305,製品マスタ!$G$5:$L$5002,6,FALSE))</f>
        <v>ＭＥＴＡＬＵＭＹ　ＳＩＬＶＥＲ　ＢＲＩＧＨＴ　Ｔ６２Ｍ　Ｂ</v>
      </c>
      <c r="J2305" s="210" t="s">
        <v>935</v>
      </c>
      <c r="K2305" s="270">
        <f>IF(D2305="","",VLOOKUP(D2305,契約台帳!$A$3:$L$4986,12,FALSE))</f>
        <v>25</v>
      </c>
      <c r="L2305" s="270" t="str">
        <f>IF(D2305="","",INDEX(製品マスタ!$Q$5:$Q$5002,MATCH('S4'!F2305&amp;'S4'!K2305,製品マスタ!$AO$5:$AO$5002,0)))</f>
        <v>T62</v>
      </c>
      <c r="M2305" s="39">
        <v>1120</v>
      </c>
      <c r="N2305" s="39">
        <v>8000</v>
      </c>
      <c r="O2305" s="156">
        <v>2</v>
      </c>
      <c r="P2305" s="47">
        <v>2</v>
      </c>
      <c r="Q2305" s="213">
        <v>45506</v>
      </c>
      <c r="R2305" s="271">
        <f ca="1">IF(D2305="","",IF(OFFSET(D2305,-1,0)&lt;&gt;"","",IF(OR(J2305="リード付け",J2305="巻足し",J2305="巻返しリード付け"),M2305,VLOOKUP(D2305,契約台帳!$A$3:$N$4986,14,FALSE))))</f>
        <v>1120</v>
      </c>
      <c r="S2305" s="272">
        <f ca="1">IF(D2305="","",IF(OFFSET(D2305,-1,0)&lt;&gt;"","",IF(OR(J2305="リード付け",J2305="巻足し",J2305="巻返しリード付け"),M2305,VLOOKUP(D2305,契約台帳!$A$3:$O$4986,15,FALSE))))</f>
        <v>1120</v>
      </c>
      <c r="T2305" s="273">
        <f ca="1">IF(D2305="","",IF(J2305="リード付け",N2305,IF(J2305="巻返しリード付け",N2305,IF(J2305="巻足し",N2305*P2305+OFFSET(N2305,1,0)*OFFSET(P2305,1,0),VLOOKUP(D2305,契約台帳!$A$3:$P$4986,16,FALSE)))))</f>
        <v>16000</v>
      </c>
      <c r="U2305" s="40">
        <v>1</v>
      </c>
      <c r="V2305" s="274">
        <f ca="1">IF(D2305="","",IF(OFFSET(D2305,-2,0)=D2305,"",VLOOKUP(D2305,契約台帳!$A$3:$R$4986,18,FALSE)))</f>
        <v>2</v>
      </c>
      <c r="W2305" s="269" t="str">
        <f ca="1">IF(D2305="","",IF(T2305="","",IF(OR(J2305="巻足し",J2305="巻返しリード付け"),"",IF(J2305="巻返し",VLOOKUP(F2305&amp;K2305&amp;M2305,製品マスタ!$M$5:$AD$5002,18,FALSE),IF(OR(J2305="リード付け",J2305="巻返しリード付け"),"原反コア",IF(J2305="スリット",VLOOKUP(F2305&amp;K2305&amp;R2305,製品マスタ!$N$5:$AD$5002,17,FALSE),""))))))</f>
        <v/>
      </c>
      <c r="X2305" s="269" t="str">
        <f ca="1">IF(D2305="","",IF(T2305="","",IF(J2305="巻足し","",IF(J2305="巻返し",VLOOKUP(F2305&amp;K2305&amp;M2305,製品マスタ!$M$5:$AE$5002,19,FALSE),IF(OR(J2305="リード付け",J2305="巻返しリード付け"),"",IF(J2305="スリット",VLOOKUP(F2305&amp;K2305&amp;R2305,製品マスタ!$N$5:$AE$5002,18,FALSE),""))))))</f>
        <v/>
      </c>
      <c r="Y2305" s="275">
        <f ca="1">IF(D2305="","",IF(T2305="","",VLOOKUP(D2305,契約台帳!$A$3:$Q$4986,17,FALSE)))</f>
        <v>2</v>
      </c>
      <c r="Z2305" s="269" t="str">
        <f ca="1">IF(D2305="","",IF(T2305="","",VLOOKUP(D2305,契約台帳!$A$3:$E$4986,5,FALSE)))</f>
        <v>リンテック㈱</v>
      </c>
      <c r="AA2305" s="57"/>
      <c r="AB2305" s="207">
        <f>IFERROR((VLOOKUP(F2305&amp;K2305&amp;M2305,製品マスタ!$M$5:$AM$5002,27,FALSE)),"")</f>
        <v>0</v>
      </c>
      <c r="AC2305" s="33"/>
      <c r="AD2305" s="189"/>
      <c r="AE2305" s="54"/>
      <c r="AF2305" s="55">
        <f>+M2305*N2305*O2305/1000</f>
        <v>17920</v>
      </c>
      <c r="AG2305" s="43"/>
      <c r="AH2305" s="47"/>
      <c r="AI2305" s="30"/>
      <c r="AJ2305" s="30"/>
      <c r="AK2305" s="30"/>
      <c r="AL2305" s="30"/>
      <c r="AM2305" s="13"/>
      <c r="AN2305" s="13"/>
      <c r="AO2305" s="13"/>
      <c r="AP2305" s="13"/>
      <c r="AQ2305" s="13"/>
      <c r="AR2305" s="14"/>
      <c r="AS2305" s="15"/>
    </row>
    <row r="2306" spans="1:45" s="17" customFormat="1" ht="30.95" hidden="1" customHeight="1" x14ac:dyDescent="0.2">
      <c r="A2306" s="343"/>
      <c r="B2306" s="344"/>
      <c r="C2306" s="345"/>
      <c r="D2306" s="346"/>
      <c r="E2306" s="346"/>
      <c r="F2306" s="268"/>
      <c r="G2306" s="269"/>
      <c r="H2306" s="269"/>
      <c r="I2306" s="270"/>
      <c r="J2306" s="434"/>
      <c r="K2306" s="270"/>
      <c r="L2306" s="270"/>
      <c r="M2306" s="348"/>
      <c r="N2306" s="348"/>
      <c r="O2306" s="435"/>
      <c r="P2306" s="349"/>
      <c r="Q2306" s="350"/>
      <c r="R2306" s="271"/>
      <c r="S2306" s="272"/>
      <c r="T2306" s="273"/>
      <c r="U2306" s="351"/>
      <c r="V2306" s="274"/>
      <c r="W2306" s="269"/>
      <c r="X2306" s="269"/>
      <c r="Y2306" s="275"/>
      <c r="Z2306" s="269"/>
      <c r="AA2306" s="350"/>
      <c r="AB2306" s="207"/>
      <c r="AC2306" s="352"/>
      <c r="AD2306" s="353"/>
      <c r="AE2306" s="54"/>
      <c r="AF2306" s="354"/>
      <c r="AG2306" s="355"/>
      <c r="AH2306" s="349"/>
      <c r="AI2306" s="30"/>
      <c r="AJ2306" s="30"/>
      <c r="AK2306" s="30"/>
      <c r="AL2306" s="30"/>
      <c r="AM2306" s="13"/>
      <c r="AN2306" s="13"/>
      <c r="AO2306" s="13"/>
      <c r="AP2306" s="13"/>
      <c r="AQ2306" s="13"/>
      <c r="AR2306" s="14"/>
      <c r="AS2306" s="15"/>
    </row>
    <row r="2307" spans="1:45" s="17" customFormat="1" ht="30.6" hidden="1" customHeight="1" x14ac:dyDescent="0.2">
      <c r="A2307" s="343"/>
      <c r="B2307" s="344"/>
      <c r="C2307" s="45"/>
      <c r="D2307" s="31">
        <v>3766758</v>
      </c>
      <c r="E2307" s="31">
        <v>4162415</v>
      </c>
      <c r="F2307" s="268" t="str">
        <f>IF(D2307="","",VLOOKUP(D2307,契約台帳!$A$3:$K$4986,6,FALSE)&amp;VLOOKUP(D2307,契約台帳!$A$3:$K$4986,7,FALSE)&amp;VLOOKUP(D2307,契約台帳!$A$3:$K$4986,8,FALSE)&amp;VLOOKUP(D2307,契約台帳!$A$3:$K$4986,9,FALSE)&amp;VLOOKUP(D2307,契約台帳!$A$3:$K$4986,11,FALSE))</f>
        <v>3SNMLBMNGKKBF</v>
      </c>
      <c r="G2307" s="269" t="str">
        <f>IF(D2307="","",VLOOKUP(F2307,製品マスタ!$G$5:$H$5002,2,FALSE))</f>
        <v>S</v>
      </c>
      <c r="H2307" s="269" t="str">
        <f>IF(D2307="","",VLOOKUP(F2307,製品マスタ!$G$5:$K$5002,5,FALSE))</f>
        <v>MNGKKBF</v>
      </c>
      <c r="I2307" s="270" t="str">
        <f>IF(D2307="","",VLOOKUP(F2307,製品マスタ!$G$5:$L$5002,6,FALSE))</f>
        <v>メタルミー　ネーマー銀消改　Ｂ</v>
      </c>
      <c r="J2307" s="210" t="s">
        <v>935</v>
      </c>
      <c r="K2307" s="270">
        <f>IF(D2307="","",VLOOKUP(D2307,契約台帳!$A$3:$L$4986,12,FALSE))</f>
        <v>25</v>
      </c>
      <c r="L2307" s="270" t="str">
        <f>IF(D2307="","",INDEX(製品マスタ!$Q$5:$Q$5002,MATCH('S4'!F2307&amp;'S4'!K2307,製品マスタ!$AO$5:$AO$5002,0)))</f>
        <v>FMATS99</v>
      </c>
      <c r="M2307" s="39">
        <v>1120</v>
      </c>
      <c r="N2307" s="39">
        <v>4000</v>
      </c>
      <c r="O2307" s="156">
        <v>3</v>
      </c>
      <c r="P2307" s="47">
        <v>3</v>
      </c>
      <c r="Q2307" s="213">
        <v>45505</v>
      </c>
      <c r="R2307" s="271">
        <f ca="1">IF(D2307="","",IF(OFFSET(D2307,-1,0)&lt;&gt;"","",IF(OR(J2307="リード付け",J2307="巻足し",J2307="巻返しリード付け"),M2307,VLOOKUP(D2307,契約台帳!$A$3:$N$4986,14,FALSE))))</f>
        <v>1120</v>
      </c>
      <c r="S2307" s="272">
        <f ca="1">IF(D2307="","",IF(OFFSET(D2307,-1,0)&lt;&gt;"","",IF(OR(J2307="リード付け",J2307="巻足し",J2307="巻返しリード付け"),M2307,VLOOKUP(D2307,契約台帳!$A$3:$O$4986,15,FALSE))))</f>
        <v>1120</v>
      </c>
      <c r="T2307" s="273">
        <f ca="1">IF(D2307="","",IF(J2307="リード付け",N2307,IF(J2307="巻返しリード付け",N2307,IF(J2307="巻足し",N2307*P2307+OFFSET(N2307,1,0)*OFFSET(P2307,1,0),VLOOKUP(D2307,契約台帳!$A$3:$P$4986,16,FALSE)))))</f>
        <v>12000</v>
      </c>
      <c r="U2307" s="40">
        <v>1</v>
      </c>
      <c r="V2307" s="274">
        <f ca="1">IF(D2307="","",IF(OFFSET(D2307,-2,0)=D2307,"",VLOOKUP(D2307,契約台帳!$A$3:$R$4986,18,FALSE)))</f>
        <v>3</v>
      </c>
      <c r="W2307" s="269" t="str">
        <f ca="1">IF(D2307="","",IF(T2307="","",IF(OR(J2307="巻足し",J2307="巻返しリード付け"),"",IF(J2307="巻返し",VLOOKUP(F2307&amp;K2307&amp;M2307,製品マスタ!$M$5:$AD$5002,18,FALSE),IF(OR(J2307="リード付け",J2307="巻返しリード付け"),"原反コア",IF(J2307="スリット",VLOOKUP(F2307&amp;K2307&amp;R2307,製品マスタ!$N$5:$AD$5002,17,FALSE),""))))))</f>
        <v/>
      </c>
      <c r="X2307" s="269" t="str">
        <f ca="1">IF(D2307="","",IF(T2307="","",IF(J2307="巻足し","",IF(J2307="巻返し",VLOOKUP(F2307&amp;K2307&amp;M2307,製品マスタ!$M$5:$AE$5002,19,FALSE),IF(OR(J2307="リード付け",J2307="巻返しリード付け"),"",IF(J2307="スリット",VLOOKUP(F2307&amp;K2307&amp;R2307,製品マスタ!$N$5:$AE$5002,18,FALSE),""))))))</f>
        <v/>
      </c>
      <c r="Y2307" s="275">
        <f ca="1">IF(D2307="","",IF(T2307="","",VLOOKUP(D2307,契約台帳!$A$3:$Q$4986,17,FALSE)))</f>
        <v>2</v>
      </c>
      <c r="Z2307" s="269" t="str">
        <f ca="1">IF(D2307="","",IF(T2307="","",VLOOKUP(D2307,契約台帳!$A$3:$E$4986,5,FALSE)))</f>
        <v>リンテック㈱</v>
      </c>
      <c r="AA2307" s="57"/>
      <c r="AB2307" s="207">
        <f>IFERROR((VLOOKUP(F2307&amp;K2307&amp;M2307,製品マスタ!$M$5:$AM$5002,27,FALSE)),"")</f>
        <v>0</v>
      </c>
      <c r="AC2307" s="33"/>
      <c r="AD2307" s="189"/>
      <c r="AE2307" s="54"/>
      <c r="AF2307" s="55">
        <f>+M2307*N2307*O2307/1000</f>
        <v>13440</v>
      </c>
      <c r="AG2307" s="43"/>
      <c r="AH2307" s="47"/>
      <c r="AI2307" s="30"/>
      <c r="AJ2307" s="30"/>
      <c r="AK2307" s="30"/>
      <c r="AL2307" s="30"/>
      <c r="AM2307" s="13"/>
      <c r="AN2307" s="13"/>
      <c r="AO2307" s="13"/>
      <c r="AP2307" s="13"/>
      <c r="AQ2307" s="13"/>
      <c r="AR2307" s="14"/>
      <c r="AS2307" s="15"/>
    </row>
    <row r="2308" spans="1:45" s="17" customFormat="1" ht="30.95" hidden="1" customHeight="1" x14ac:dyDescent="0.2">
      <c r="A2308" s="343"/>
      <c r="B2308" s="344"/>
      <c r="C2308" s="345"/>
      <c r="D2308" s="346"/>
      <c r="E2308" s="346"/>
      <c r="F2308" s="268"/>
      <c r="G2308" s="269"/>
      <c r="H2308" s="269"/>
      <c r="I2308" s="270"/>
      <c r="J2308" s="434"/>
      <c r="K2308" s="270"/>
      <c r="L2308" s="270"/>
      <c r="M2308" s="348"/>
      <c r="N2308" s="348"/>
      <c r="O2308" s="435"/>
      <c r="P2308" s="349"/>
      <c r="Q2308" s="350"/>
      <c r="R2308" s="271"/>
      <c r="S2308" s="272"/>
      <c r="T2308" s="273"/>
      <c r="U2308" s="351"/>
      <c r="V2308" s="274"/>
      <c r="W2308" s="269"/>
      <c r="X2308" s="269"/>
      <c r="Y2308" s="275"/>
      <c r="Z2308" s="269"/>
      <c r="AA2308" s="350"/>
      <c r="AB2308" s="207"/>
      <c r="AC2308" s="352"/>
      <c r="AD2308" s="353"/>
      <c r="AE2308" s="54"/>
      <c r="AF2308" s="354"/>
      <c r="AG2308" s="355"/>
      <c r="AH2308" s="349"/>
      <c r="AI2308" s="30"/>
      <c r="AJ2308" s="30"/>
      <c r="AK2308" s="30"/>
      <c r="AL2308" s="30"/>
      <c r="AM2308" s="13"/>
      <c r="AN2308" s="13"/>
      <c r="AO2308" s="13"/>
      <c r="AP2308" s="13"/>
      <c r="AQ2308" s="13"/>
      <c r="AR2308" s="14"/>
      <c r="AS2308" s="15"/>
    </row>
    <row r="2309" spans="1:45" s="17" customFormat="1" ht="30.6" hidden="1" customHeight="1" x14ac:dyDescent="0.2">
      <c r="A2309" s="343"/>
      <c r="B2309" s="344"/>
      <c r="C2309" s="45"/>
      <c r="D2309" s="31">
        <v>3766756</v>
      </c>
      <c r="E2309" s="31">
        <v>4162413</v>
      </c>
      <c r="F2309" s="268" t="str">
        <f>IF(D2309="","",VLOOKUP(D2309,契約台帳!$A$3:$K$4986,6,FALSE)&amp;VLOOKUP(D2309,契約台帳!$A$3:$K$4986,7,FALSE)&amp;VLOOKUP(D2309,契約台帳!$A$3:$K$4986,8,FALSE)&amp;VLOOKUP(D2309,契約台帳!$A$3:$K$4986,9,FALSE)&amp;VLOOKUP(D2309,契約台帳!$A$3:$K$4986,11,FALSE))</f>
        <v>3SNMLBMNGKBF</v>
      </c>
      <c r="G2309" s="269" t="str">
        <f>IF(D2309="","",VLOOKUP(F2309,製品マスタ!$G$5:$H$5002,2,FALSE))</f>
        <v>S</v>
      </c>
      <c r="H2309" s="269" t="str">
        <f>IF(D2309="","",VLOOKUP(F2309,製品マスタ!$G$5:$K$5002,5,FALSE))</f>
        <v>MNGKBF</v>
      </c>
      <c r="I2309" s="270" t="str">
        <f>IF(D2309="","",VLOOKUP(F2309,製品マスタ!$G$5:$L$5002,6,FALSE))</f>
        <v>メタルミー　ネーマー銀消　Ｂ</v>
      </c>
      <c r="J2309" s="210" t="s">
        <v>935</v>
      </c>
      <c r="K2309" s="270">
        <f>IF(D2309="","",VLOOKUP(D2309,契約台帳!$A$3:$L$4986,12,FALSE))</f>
        <v>75</v>
      </c>
      <c r="L2309" s="270" t="str">
        <f>IF(D2309="","",INDEX(製品マスタ!$Q$5:$Q$5002,MATCH('S4'!F2309&amp;'S4'!K2309,製品マスタ!$AO$5:$AO$5002,0)))</f>
        <v>MAT</v>
      </c>
      <c r="M2309" s="39">
        <v>1050</v>
      </c>
      <c r="N2309" s="39">
        <v>2000</v>
      </c>
      <c r="O2309" s="156">
        <v>2</v>
      </c>
      <c r="P2309" s="47">
        <v>2</v>
      </c>
      <c r="Q2309" s="213">
        <v>45506</v>
      </c>
      <c r="R2309" s="271">
        <f ca="1">IF(D2309="","",IF(OFFSET(D2309,-1,0)&lt;&gt;"","",IF(OR(J2309="リード付け",J2309="巻足し",J2309="巻返しリード付け"),M2309,VLOOKUP(D2309,契約台帳!$A$3:$N$4986,14,FALSE))))</f>
        <v>1050</v>
      </c>
      <c r="S2309" s="272">
        <f ca="1">IF(D2309="","",IF(OFFSET(D2309,-1,0)&lt;&gt;"","",IF(OR(J2309="リード付け",J2309="巻足し",J2309="巻返しリード付け"),M2309,VLOOKUP(D2309,契約台帳!$A$3:$O$4986,15,FALSE))))</f>
        <v>1050</v>
      </c>
      <c r="T2309" s="273">
        <f ca="1">IF(D2309="","",IF(J2309="リード付け",N2309,IF(J2309="巻返しリード付け",N2309,IF(J2309="巻足し",N2309*P2309+OFFSET(N2309,1,0)*OFFSET(P2309,1,0),VLOOKUP(D2309,契約台帳!$A$3:$P$4986,16,FALSE)))))</f>
        <v>4000</v>
      </c>
      <c r="U2309" s="40">
        <v>1</v>
      </c>
      <c r="V2309" s="274">
        <f ca="1">IF(D2309="","",IF(OFFSET(D2309,-2,0)=D2309,"",VLOOKUP(D2309,契約台帳!$A$3:$R$4986,18,FALSE)))</f>
        <v>2</v>
      </c>
      <c r="W2309" s="269" t="str">
        <f ca="1">IF(D2309="","",IF(T2309="","",IF(OR(J2309="巻足し",J2309="巻返しリード付け"),"",IF(J2309="巻返し",VLOOKUP(F2309&amp;K2309&amp;M2309,製品マスタ!$M$5:$AD$5002,18,FALSE),IF(OR(J2309="リード付け",J2309="巻返しリード付け"),"原反コア",IF(J2309="スリット",VLOOKUP(F2309&amp;K2309&amp;R2309,製品マスタ!$N$5:$AD$5002,17,FALSE),""))))))</f>
        <v/>
      </c>
      <c r="X2309" s="269" t="str">
        <f ca="1">IF(D2309="","",IF(T2309="","",IF(J2309="巻足し","",IF(J2309="巻返し",VLOOKUP(F2309&amp;K2309&amp;M2309,製品マスタ!$M$5:$AE$5002,19,FALSE),IF(OR(J2309="リード付け",J2309="巻返しリード付け"),"",IF(J2309="スリット",VLOOKUP(F2309&amp;K2309&amp;R2309,製品マスタ!$N$5:$AE$5002,18,FALSE),""))))))</f>
        <v/>
      </c>
      <c r="Y2309" s="275">
        <f ca="1">IF(D2309="","",IF(T2309="","",VLOOKUP(D2309,契約台帳!$A$3:$Q$4986,17,FALSE)))</f>
        <v>2</v>
      </c>
      <c r="Z2309" s="269" t="str">
        <f ca="1">IF(D2309="","",IF(T2309="","",VLOOKUP(D2309,契約台帳!$A$3:$E$4986,5,FALSE)))</f>
        <v>リンテック㈱</v>
      </c>
      <c r="AA2309" s="57"/>
      <c r="AB2309" s="207">
        <f>IFERROR((VLOOKUP(F2309&amp;K2309&amp;M2309,製品マスタ!$M$5:$AM$5002,27,FALSE)),"")</f>
        <v>0</v>
      </c>
      <c r="AC2309" s="33"/>
      <c r="AD2309" s="189"/>
      <c r="AE2309" s="54"/>
      <c r="AF2309" s="55">
        <f>+M2309*N2309*O2309/1000</f>
        <v>4200</v>
      </c>
      <c r="AG2309" s="43"/>
      <c r="AH2309" s="47"/>
      <c r="AI2309" s="30"/>
      <c r="AJ2309" s="30"/>
      <c r="AK2309" s="30"/>
      <c r="AL2309" s="30"/>
      <c r="AM2309" s="13"/>
      <c r="AN2309" s="13"/>
      <c r="AO2309" s="13"/>
      <c r="AP2309" s="13"/>
      <c r="AQ2309" s="13"/>
      <c r="AR2309" s="14"/>
      <c r="AS2309" s="15"/>
    </row>
    <row r="2310" spans="1:45" s="17" customFormat="1" ht="30.95" hidden="1" customHeight="1" x14ac:dyDescent="0.2">
      <c r="A2310" s="343"/>
      <c r="B2310" s="344"/>
      <c r="C2310" s="345"/>
      <c r="D2310" s="346"/>
      <c r="E2310" s="346"/>
      <c r="F2310" s="268"/>
      <c r="G2310" s="269"/>
      <c r="H2310" s="269"/>
      <c r="I2310" s="440" t="s">
        <v>3019</v>
      </c>
      <c r="J2310" s="434"/>
      <c r="K2310" s="270"/>
      <c r="L2310" s="270"/>
      <c r="M2310" s="348"/>
      <c r="N2310" s="348"/>
      <c r="O2310" s="435"/>
      <c r="P2310" s="349"/>
      <c r="Q2310" s="350"/>
      <c r="R2310" s="271"/>
      <c r="S2310" s="272"/>
      <c r="T2310" s="273"/>
      <c r="U2310" s="351"/>
      <c r="V2310" s="274"/>
      <c r="W2310" s="269"/>
      <c r="X2310" s="269"/>
      <c r="Y2310" s="275"/>
      <c r="Z2310" s="269"/>
      <c r="AA2310" s="350"/>
      <c r="AB2310" s="207"/>
      <c r="AC2310" s="352"/>
      <c r="AD2310" s="353"/>
      <c r="AE2310" s="54"/>
      <c r="AF2310" s="354"/>
      <c r="AG2310" s="355"/>
      <c r="AH2310" s="349"/>
      <c r="AI2310" s="30"/>
      <c r="AJ2310" s="30"/>
      <c r="AK2310" s="30"/>
      <c r="AL2310" s="30"/>
      <c r="AM2310" s="13"/>
      <c r="AN2310" s="13"/>
      <c r="AO2310" s="13"/>
      <c r="AP2310" s="13"/>
      <c r="AQ2310" s="13"/>
      <c r="AR2310" s="14"/>
      <c r="AS2310" s="15"/>
    </row>
    <row r="2311" spans="1:45" s="17" customFormat="1" ht="30.6" hidden="1" customHeight="1" x14ac:dyDescent="0.2">
      <c r="A2311" s="343"/>
      <c r="B2311" s="344"/>
      <c r="C2311" s="45"/>
      <c r="D2311" s="31">
        <v>3766755</v>
      </c>
      <c r="E2311" s="31">
        <v>4162412</v>
      </c>
      <c r="F2311" s="268" t="str">
        <f>IF(D2311="","",VLOOKUP(D2311,契約台帳!$A$3:$K$4986,6,FALSE)&amp;VLOOKUP(D2311,契約台帳!$A$3:$K$4986,7,FALSE)&amp;VLOOKUP(D2311,契約台帳!$A$3:$K$4986,8,FALSE)&amp;VLOOKUP(D2311,契約台帳!$A$3:$K$4986,9,FALSE)&amp;VLOOKUP(D2311,契約台帳!$A$3:$K$4986,11,FALSE))</f>
        <v>3SNMLBMNGKBF</v>
      </c>
      <c r="G2311" s="269" t="str">
        <f>IF(D2311="","",VLOOKUP(F2311,製品マスタ!$G$5:$H$5002,2,FALSE))</f>
        <v>S</v>
      </c>
      <c r="H2311" s="269" t="str">
        <f>IF(D2311="","",VLOOKUP(F2311,製品マスタ!$G$5:$K$5002,5,FALSE))</f>
        <v>MNGKBF</v>
      </c>
      <c r="I2311" s="270" t="str">
        <f>IF(D2311="","",VLOOKUP(F2311,製品マスタ!$G$5:$L$5002,6,FALSE))</f>
        <v>メタルミー　ネーマー銀消　Ｂ</v>
      </c>
      <c r="J2311" s="210" t="s">
        <v>935</v>
      </c>
      <c r="K2311" s="270">
        <f>IF(D2311="","",VLOOKUP(D2311,契約台帳!$A$3:$L$4986,12,FALSE))</f>
        <v>38</v>
      </c>
      <c r="L2311" s="270" t="str">
        <f>IF(D2311="","",INDEX(製品マスタ!$Q$5:$Q$5002,MATCH('S4'!F2311&amp;'S4'!K2311,製品マスタ!$AO$5:$AO$5002,0)))</f>
        <v>LUMIMAT</v>
      </c>
      <c r="M2311" s="39">
        <v>1005</v>
      </c>
      <c r="N2311" s="39">
        <v>4100</v>
      </c>
      <c r="O2311" s="156">
        <v>2</v>
      </c>
      <c r="P2311" s="47">
        <v>2</v>
      </c>
      <c r="Q2311" s="213">
        <v>45509</v>
      </c>
      <c r="R2311" s="271">
        <f ca="1">IF(D2311="","",IF(OFFSET(D2311,-1,0)&lt;&gt;"","",IF(OR(J2311="リード付け",J2311="巻足し",J2311="巻返しリード付け"),M2311,VLOOKUP(D2311,契約台帳!$A$3:$N$4986,14,FALSE))))</f>
        <v>1005</v>
      </c>
      <c r="S2311" s="272">
        <f ca="1">IF(D2311="","",IF(OFFSET(D2311,-1,0)&lt;&gt;"","",IF(OR(J2311="リード付け",J2311="巻足し",J2311="巻返しリード付け"),M2311,VLOOKUP(D2311,契約台帳!$A$3:$O$4986,15,FALSE))))</f>
        <v>1005</v>
      </c>
      <c r="T2311" s="273">
        <f ca="1">IF(D2311="","",IF(J2311="リード付け",N2311,IF(J2311="巻返しリード付け",N2311,IF(J2311="巻足し",N2311*P2311+OFFSET(N2311,1,0)*OFFSET(P2311,1,0),VLOOKUP(D2311,契約台帳!$A$3:$P$4986,16,FALSE)))))</f>
        <v>8200</v>
      </c>
      <c r="U2311" s="40">
        <v>1</v>
      </c>
      <c r="V2311" s="274">
        <f ca="1">IF(D2311="","",IF(OFFSET(D2311,-2,0)=D2311,"",VLOOKUP(D2311,契約台帳!$A$3:$R$4986,18,FALSE)))</f>
        <v>2</v>
      </c>
      <c r="W2311" s="269" t="str">
        <f ca="1">IF(D2311="","",IF(T2311="","",IF(OR(J2311="巻足し",J2311="巻返しリード付け"),"",IF(J2311="巻返し",VLOOKUP(F2311&amp;K2311&amp;M2311,製品マスタ!$M$5:$AD$5002,18,FALSE),IF(OR(J2311="リード付け",J2311="巻返しリード付け"),"原反コア",IF(J2311="スリット",VLOOKUP(F2311&amp;K2311&amp;R2311,製品マスタ!$N$5:$AD$5002,17,FALSE),""))))))</f>
        <v/>
      </c>
      <c r="X2311" s="269" t="str">
        <f ca="1">IF(D2311="","",IF(T2311="","",IF(J2311="巻足し","",IF(J2311="巻返し",VLOOKUP(F2311&amp;K2311&amp;M2311,製品マスタ!$M$5:$AE$5002,19,FALSE),IF(OR(J2311="リード付け",J2311="巻返しリード付け"),"",IF(J2311="スリット",VLOOKUP(F2311&amp;K2311&amp;R2311,製品マスタ!$N$5:$AE$5002,18,FALSE),""))))))</f>
        <v/>
      </c>
      <c r="Y2311" s="275">
        <f ca="1">IF(D2311="","",IF(T2311="","",VLOOKUP(D2311,契約台帳!$A$3:$Q$4986,17,FALSE)))</f>
        <v>2</v>
      </c>
      <c r="Z2311" s="269" t="str">
        <f ca="1">IF(D2311="","",IF(T2311="","",VLOOKUP(D2311,契約台帳!$A$3:$E$4986,5,FALSE)))</f>
        <v>リンテック㈱</v>
      </c>
      <c r="AA2311" s="57"/>
      <c r="AB2311" s="207">
        <f>IFERROR((VLOOKUP(F2311&amp;K2311&amp;M2311,製品マスタ!$M$5:$AM$5002,27,FALSE)),"")</f>
        <v>0</v>
      </c>
      <c r="AC2311" s="33"/>
      <c r="AD2311" s="189"/>
      <c r="AE2311" s="54"/>
      <c r="AF2311" s="55">
        <f>+M2311*N2311*O2311/1000</f>
        <v>8241</v>
      </c>
      <c r="AG2311" s="43"/>
      <c r="AH2311" s="47"/>
      <c r="AI2311" s="30"/>
      <c r="AJ2311" s="30"/>
      <c r="AK2311" s="30"/>
      <c r="AL2311" s="30"/>
      <c r="AM2311" s="13"/>
      <c r="AN2311" s="13"/>
      <c r="AO2311" s="13"/>
      <c r="AP2311" s="13"/>
      <c r="AQ2311" s="13"/>
      <c r="AR2311" s="14"/>
      <c r="AS2311" s="15"/>
    </row>
    <row r="2312" spans="1:45" s="17" customFormat="1" ht="30.95" hidden="1" customHeight="1" x14ac:dyDescent="0.2">
      <c r="A2312" s="343"/>
      <c r="B2312" s="344"/>
      <c r="C2312" s="345"/>
      <c r="D2312" s="346"/>
      <c r="E2312" s="346"/>
      <c r="F2312" s="268"/>
      <c r="G2312" s="269"/>
      <c r="H2312" s="269"/>
      <c r="I2312" s="270"/>
      <c r="J2312" s="434"/>
      <c r="K2312" s="270"/>
      <c r="L2312" s="270"/>
      <c r="M2312" s="348"/>
      <c r="N2312" s="348"/>
      <c r="O2312" s="435"/>
      <c r="P2312" s="349"/>
      <c r="Q2312" s="350"/>
      <c r="R2312" s="271"/>
      <c r="S2312" s="272"/>
      <c r="T2312" s="273"/>
      <c r="U2312" s="351"/>
      <c r="V2312" s="274"/>
      <c r="W2312" s="269"/>
      <c r="X2312" s="269"/>
      <c r="Y2312" s="275"/>
      <c r="Z2312" s="269"/>
      <c r="AA2312" s="350"/>
      <c r="AB2312" s="207"/>
      <c r="AC2312" s="352"/>
      <c r="AD2312" s="353"/>
      <c r="AE2312" s="54"/>
      <c r="AF2312" s="354"/>
      <c r="AG2312" s="355"/>
      <c r="AH2312" s="349"/>
      <c r="AI2312" s="30"/>
      <c r="AJ2312" s="30"/>
      <c r="AK2312" s="30"/>
      <c r="AL2312" s="30"/>
      <c r="AM2312" s="13"/>
      <c r="AN2312" s="13"/>
      <c r="AO2312" s="13"/>
      <c r="AP2312" s="13"/>
      <c r="AQ2312" s="13"/>
      <c r="AR2312" s="14"/>
      <c r="AS2312" s="15"/>
    </row>
    <row r="2313" spans="1:45" s="17" customFormat="1" ht="30.6" hidden="1" customHeight="1" x14ac:dyDescent="0.2">
      <c r="A2313" s="37"/>
      <c r="B2313" s="38"/>
      <c r="C2313" s="45"/>
      <c r="D2313" s="31">
        <v>3768139</v>
      </c>
      <c r="E2313" s="31">
        <v>4162441</v>
      </c>
      <c r="F2313" s="268" t="str">
        <f>IF(D2313="","",VLOOKUP(D2313,契約台帳!$A$3:$K$4986,6,FALSE)&amp;VLOOKUP(D2313,契約台帳!$A$3:$K$4986,7,FALSE)&amp;VLOOKUP(D2313,契約台帳!$A$3:$K$4986,8,FALSE)&amp;VLOOKUP(D2313,契約台帳!$A$3:$K$4986,9,FALSE)&amp;VLOOKUP(D2313,契約台帳!$A$3:$K$4986,11,FALSE))</f>
        <v>3SNMCLBNGKEYKB</v>
      </c>
      <c r="G2313" s="269" t="str">
        <f>IF(D2313="","",VLOOKUP(F2313,製品マスタ!$G$5:$H$5002,2,FALSE))</f>
        <v>S</v>
      </c>
      <c r="H2313" s="269" t="str">
        <f>IF(D2313="","",VLOOKUP(F2313,製品マスタ!$G$5:$K$5002,5,FALSE))</f>
        <v>NGKEYKB</v>
      </c>
      <c r="I2313" s="270" t="str">
        <f>IF(D2313="","",VLOOKUP(F2313,製品マスタ!$G$5:$L$5002,6,FALSE))</f>
        <v>メタルミー　ネーマー銀消ＥＹＫ　Ｂ</v>
      </c>
      <c r="J2313" s="210" t="s">
        <v>464</v>
      </c>
      <c r="K2313" s="270">
        <f>IF(D2313="","",VLOOKUP(D2313,契約台帳!$A$3:$L$4986,12,FALSE))</f>
        <v>16</v>
      </c>
      <c r="L2313" s="270" t="str">
        <f>IF(D2313="","",INDEX(製品マスタ!$Q$5:$Q$5002,MATCH('S4'!F2313&amp;'S4'!K2313,製品マスタ!$AO$5:$AO$5002,0)))</f>
        <v>LUMIMAT</v>
      </c>
      <c r="M2313" s="39">
        <v>1005</v>
      </c>
      <c r="N2313" s="39">
        <v>3200</v>
      </c>
      <c r="O2313" s="156">
        <v>1</v>
      </c>
      <c r="P2313" s="47">
        <v>1</v>
      </c>
      <c r="Q2313" s="213">
        <v>45506</v>
      </c>
      <c r="R2313" s="271">
        <f ca="1">IF(D2313="","",IF(OFFSET(D2313,-1,0)&lt;&gt;"","",IF(OR(J2313="リード付け",J2313="巻足し",J2313="巻返しリード付け"),M2313,VLOOKUP(D2313,契約台帳!$A$3:$N$4986,14,FALSE))))</f>
        <v>1005</v>
      </c>
      <c r="S2313" s="272">
        <f ca="1">IF(D2313="","",IF(OFFSET(D2313,-1,0)&lt;&gt;"","",IF(OR(J2313="リード付け",J2313="巻足し",J2313="巻返しリード付け"),M2313,VLOOKUP(D2313,契約台帳!$A$3:$O$4986,15,FALSE))))</f>
        <v>1005</v>
      </c>
      <c r="T2313" s="273">
        <f ca="1">IF(D2313="","",IF(J2313="リード付け",N2313,IF(J2313="巻返しリード付け",N2313,IF(J2313="巻足し",N2313*P2313+OFFSET(N2313,1,0)*OFFSET(P2313,1,0),VLOOKUP(D2313,契約台帳!$A$3:$P$4986,16,FALSE)))))</f>
        <v>3200</v>
      </c>
      <c r="U2313" s="40">
        <v>1</v>
      </c>
      <c r="V2313" s="274">
        <f ca="1">IF(D2313="","",IF(OFFSET(D2313,-2,0)=D2313,"",VLOOKUP(D2313,契約台帳!$A$3:$R$4986,18,FALSE)))</f>
        <v>1</v>
      </c>
      <c r="W2313" s="269" t="str">
        <f ca="1">IF(D2313="","",IF(T2313="","",IF(OR(J2313="巻足し",J2313="巻返しリード付け"),"",IF(J2313="巻返し",VLOOKUP(F2313&amp;K2313&amp;M2313,製品マスタ!$M$5:$AD$5002,18,FALSE),IF(OR(J2313="リード付け",J2313="巻返しリード付け"),"原反コア",IF(J2313="スリット",VLOOKUP(F2313&amp;K2313&amp;R2313,製品マスタ!$N$5:$AD$5002,17,FALSE),""))))))</f>
        <v>原反コア</v>
      </c>
      <c r="X2313" s="269" t="str">
        <f ca="1">IF(D2313="","",IF(T2313="","",IF(J2313="巻足し","",IF(J2313="巻返し",VLOOKUP(F2313&amp;K2313&amp;M2313,製品マスタ!$M$5:$AE$5002,19,FALSE),IF(OR(J2313="リード付け",J2313="巻返しリード付け"),"",IF(J2313="スリット",VLOOKUP(F2313&amp;K2313&amp;R2313,製品マスタ!$N$5:$AE$5002,18,FALSE),""))))))</f>
        <v/>
      </c>
      <c r="Y2313" s="275">
        <f ca="1">IF(D2313="","",IF(T2313="","",VLOOKUP(D2313,契約台帳!$A$3:$Q$4986,17,FALSE)))</f>
        <v>2</v>
      </c>
      <c r="Z2313" s="269" t="str">
        <f ca="1">IF(D2313="","",IF(T2313="","",VLOOKUP(D2313,契約台帳!$A$3:$E$4986,5,FALSE)))</f>
        <v>リンテック㈱</v>
      </c>
      <c r="AA2313" s="57"/>
      <c r="AB2313" s="207">
        <f>IFERROR((VLOOKUP(F2313&amp;K2313&amp;M2313,製品マスタ!$M$5:$AM$5002,27,FALSE)),"")</f>
        <v>0</v>
      </c>
      <c r="AC2313" s="33"/>
      <c r="AD2313" s="189"/>
      <c r="AE2313" s="54"/>
      <c r="AF2313" s="55">
        <f>+M2313*N2313*O2313/1000</f>
        <v>3216</v>
      </c>
      <c r="AG2313" s="43"/>
      <c r="AH2313" s="47"/>
      <c r="AI2313" s="30"/>
      <c r="AJ2313" s="30"/>
      <c r="AK2313" s="30"/>
      <c r="AL2313" s="30"/>
      <c r="AM2313" s="13"/>
      <c r="AN2313" s="13"/>
      <c r="AO2313" s="13"/>
      <c r="AP2313" s="13"/>
      <c r="AQ2313" s="13"/>
      <c r="AR2313" s="14"/>
      <c r="AS2313" s="15"/>
    </row>
    <row r="2314" spans="1:45" s="17" customFormat="1" ht="30.95" hidden="1" customHeight="1" x14ac:dyDescent="0.2">
      <c r="A2314" s="343"/>
      <c r="B2314" s="344"/>
      <c r="C2314" s="345"/>
      <c r="D2314" s="346"/>
      <c r="E2314" s="346"/>
      <c r="F2314" s="268"/>
      <c r="G2314" s="269"/>
      <c r="H2314" s="269"/>
      <c r="I2314" s="270"/>
      <c r="J2314" s="434"/>
      <c r="K2314" s="270"/>
      <c r="L2314" s="270"/>
      <c r="M2314" s="348"/>
      <c r="N2314" s="348"/>
      <c r="O2314" s="435"/>
      <c r="P2314" s="349"/>
      <c r="Q2314" s="350"/>
      <c r="R2314" s="271"/>
      <c r="S2314" s="272"/>
      <c r="T2314" s="273"/>
      <c r="U2314" s="351"/>
      <c r="V2314" s="274"/>
      <c r="W2314" s="269"/>
      <c r="X2314" s="269"/>
      <c r="Y2314" s="275"/>
      <c r="Z2314" s="269"/>
      <c r="AA2314" s="350"/>
      <c r="AB2314" s="207"/>
      <c r="AC2314" s="352"/>
      <c r="AD2314" s="353"/>
      <c r="AE2314" s="54"/>
      <c r="AF2314" s="354"/>
      <c r="AG2314" s="355"/>
      <c r="AH2314" s="349"/>
      <c r="AI2314" s="30"/>
      <c r="AJ2314" s="30"/>
      <c r="AK2314" s="30"/>
      <c r="AL2314" s="30"/>
      <c r="AM2314" s="13"/>
      <c r="AN2314" s="13"/>
      <c r="AO2314" s="13"/>
      <c r="AP2314" s="13"/>
      <c r="AQ2314" s="13"/>
      <c r="AR2314" s="14"/>
      <c r="AS2314" s="15"/>
    </row>
    <row r="2315" spans="1:45" s="17" customFormat="1" ht="30.6" hidden="1" customHeight="1" x14ac:dyDescent="0.2">
      <c r="A2315" s="343"/>
      <c r="B2315" s="344"/>
      <c r="C2315" s="45"/>
      <c r="D2315" s="31">
        <v>3766751</v>
      </c>
      <c r="E2315" s="31">
        <v>4162406</v>
      </c>
      <c r="F2315" s="268" t="str">
        <f>IF(D2315="","",VLOOKUP(D2315,契約台帳!$A$3:$K$4986,6,FALSE)&amp;VLOOKUP(D2315,契約台帳!$A$3:$K$4986,7,FALSE)&amp;VLOOKUP(D2315,契約台帳!$A$3:$K$4986,8,FALSE)&amp;VLOOKUP(D2315,契約台帳!$A$3:$K$4986,9,FALSE)&amp;VLOOKUP(D2315,契約台帳!$A$3:$K$4986,11,FALSE))</f>
        <v>33SSNMCLBTEKKFV</v>
      </c>
      <c r="G2315" s="269" t="str">
        <f>IF(D2315="","",VLOOKUP(F2315,製品マスタ!$G$5:$H$5002,2,FALSE))</f>
        <v>S</v>
      </c>
      <c r="H2315" s="269" t="str">
        <f>IF(D2315="","",VLOOKUP(F2315,製品マスタ!$G$5:$K$5002,5,FALSE))</f>
        <v>TEKKFV</v>
      </c>
      <c r="I2315" s="270" t="str">
        <f>IF(D2315="","",VLOOKUP(F2315,製品マスタ!$G$5:$L$5002,6,FALSE))</f>
        <v>メタルミー　ＴＥＳ消開封　Ｖ</v>
      </c>
      <c r="J2315" s="210" t="s">
        <v>935</v>
      </c>
      <c r="K2315" s="270">
        <f>IF(D2315="","",VLOOKUP(D2315,契約台帳!$A$3:$L$4986,12,FALSE))</f>
        <v>50</v>
      </c>
      <c r="L2315" s="270" t="str">
        <f>IF(D2315="","",INDEX(製品マスタ!$Q$5:$Q$5002,MATCH('S4'!F2315&amp;'S4'!K2315,製品マスタ!$AO$5:$AO$5002,0)))</f>
        <v>X44SEPA</v>
      </c>
      <c r="M2315" s="39">
        <v>1005</v>
      </c>
      <c r="N2315" s="39">
        <v>4000</v>
      </c>
      <c r="O2315" s="156">
        <v>3</v>
      </c>
      <c r="P2315" s="47">
        <v>3</v>
      </c>
      <c r="Q2315" s="213">
        <v>45505</v>
      </c>
      <c r="R2315" s="271">
        <f ca="1">IF(D2315="","",IF(OFFSET(D2315,-1,0)&lt;&gt;"","",IF(OR(J2315="リード付け",J2315="巻足し",J2315="巻返しリード付け"),M2315,VLOOKUP(D2315,契約台帳!$A$3:$N$4986,14,FALSE))))</f>
        <v>1005</v>
      </c>
      <c r="S2315" s="272">
        <f ca="1">IF(D2315="","",IF(OFFSET(D2315,-1,0)&lt;&gt;"","",IF(OR(J2315="リード付け",J2315="巻足し",J2315="巻返しリード付け"),M2315,VLOOKUP(D2315,契約台帳!$A$3:$O$4986,15,FALSE))))</f>
        <v>1005</v>
      </c>
      <c r="T2315" s="273">
        <f ca="1">IF(D2315="","",IF(J2315="リード付け",N2315,IF(J2315="巻返しリード付け",N2315,IF(J2315="巻足し",N2315*P2315+OFFSET(N2315,1,0)*OFFSET(P2315,1,0),VLOOKUP(D2315,契約台帳!$A$3:$P$4986,16,FALSE)))))</f>
        <v>12000</v>
      </c>
      <c r="U2315" s="40">
        <v>1</v>
      </c>
      <c r="V2315" s="274">
        <f ca="1">IF(D2315="","",IF(OFFSET(D2315,-2,0)=D2315,"",VLOOKUP(D2315,契約台帳!$A$3:$R$4986,18,FALSE)))</f>
        <v>3</v>
      </c>
      <c r="W2315" s="269" t="str">
        <f ca="1">IF(D2315="","",IF(T2315="","",IF(OR(J2315="巻足し",J2315="巻返しリード付け"),"",IF(J2315="巻返し",VLOOKUP(F2315&amp;K2315&amp;M2315,製品マスタ!$M$5:$AD$5002,18,FALSE),IF(OR(J2315="リード付け",J2315="巻返しリード付け"),"原反コア",IF(J2315="スリット",VLOOKUP(F2315&amp;K2315&amp;R2315,製品マスタ!$N$5:$AD$5002,17,FALSE),""))))))</f>
        <v/>
      </c>
      <c r="X2315" s="269" t="str">
        <f ca="1">IF(D2315="","",IF(T2315="","",IF(J2315="巻足し","",IF(J2315="巻返し",VLOOKUP(F2315&amp;K2315&amp;M2315,製品マスタ!$M$5:$AE$5002,19,FALSE),IF(OR(J2315="リード付け",J2315="巻返しリード付け"),"",IF(J2315="スリット",VLOOKUP(F2315&amp;K2315&amp;R2315,製品マスタ!$N$5:$AE$5002,18,FALSE),""))))))</f>
        <v/>
      </c>
      <c r="Y2315" s="275">
        <f ca="1">IF(D2315="","",IF(T2315="","",VLOOKUP(D2315,契約台帳!$A$3:$Q$4986,17,FALSE)))</f>
        <v>2</v>
      </c>
      <c r="Z2315" s="269" t="str">
        <f ca="1">IF(D2315="","",IF(T2315="","",VLOOKUP(D2315,契約台帳!$A$3:$E$4986,5,FALSE)))</f>
        <v>リンテック㈱</v>
      </c>
      <c r="AA2315" s="57"/>
      <c r="AB2315" s="207">
        <f>IFERROR((VLOOKUP(F2315&amp;K2315&amp;M2315,製品マスタ!$M$5:$AM$5002,27,FALSE)),"")</f>
        <v>0</v>
      </c>
      <c r="AC2315" s="33"/>
      <c r="AD2315" s="189"/>
      <c r="AE2315" s="54"/>
      <c r="AF2315" s="55">
        <f>+M2315*N2315*O2315/1000</f>
        <v>12060</v>
      </c>
      <c r="AG2315" s="43"/>
      <c r="AH2315" s="47"/>
      <c r="AI2315" s="30"/>
      <c r="AJ2315" s="30"/>
      <c r="AK2315" s="30"/>
      <c r="AL2315" s="30"/>
      <c r="AM2315" s="13"/>
      <c r="AN2315" s="13"/>
      <c r="AO2315" s="13"/>
      <c r="AP2315" s="13"/>
      <c r="AQ2315" s="13"/>
      <c r="AR2315" s="14"/>
      <c r="AS2315" s="15"/>
    </row>
    <row r="2316" spans="1:45" s="17" customFormat="1" ht="30.95" hidden="1" customHeight="1" x14ac:dyDescent="0.2">
      <c r="A2316" s="343"/>
      <c r="B2316" s="344"/>
      <c r="C2316" s="345"/>
      <c r="D2316" s="346"/>
      <c r="E2316" s="346"/>
      <c r="F2316" s="268"/>
      <c r="G2316" s="269"/>
      <c r="H2316" s="269"/>
      <c r="I2316" s="270"/>
      <c r="J2316" s="434"/>
      <c r="K2316" s="270"/>
      <c r="L2316" s="270"/>
      <c r="M2316" s="348"/>
      <c r="N2316" s="348"/>
      <c r="O2316" s="435"/>
      <c r="P2316" s="349"/>
      <c r="Q2316" s="350"/>
      <c r="R2316" s="271"/>
      <c r="S2316" s="272"/>
      <c r="T2316" s="273"/>
      <c r="U2316" s="351"/>
      <c r="V2316" s="274"/>
      <c r="W2316" s="269"/>
      <c r="X2316" s="269"/>
      <c r="Y2316" s="275"/>
      <c r="Z2316" s="269"/>
      <c r="AA2316" s="350"/>
      <c r="AB2316" s="207"/>
      <c r="AC2316" s="352"/>
      <c r="AD2316" s="353"/>
      <c r="AE2316" s="54"/>
      <c r="AF2316" s="354"/>
      <c r="AG2316" s="355"/>
      <c r="AH2316" s="349"/>
      <c r="AI2316" s="30"/>
      <c r="AJ2316" s="30"/>
      <c r="AK2316" s="30"/>
      <c r="AL2316" s="30"/>
      <c r="AM2316" s="13"/>
      <c r="AN2316" s="13"/>
      <c r="AO2316" s="13"/>
      <c r="AP2316" s="13"/>
      <c r="AQ2316" s="13"/>
      <c r="AR2316" s="14"/>
      <c r="AS2316" s="15"/>
    </row>
    <row r="2317" spans="1:45" s="17" customFormat="1" ht="30.6" hidden="1" customHeight="1" x14ac:dyDescent="0.2">
      <c r="A2317" s="343"/>
      <c r="B2317" s="344"/>
      <c r="C2317" s="45"/>
      <c r="D2317" s="31">
        <v>3766752</v>
      </c>
      <c r="E2317" s="31">
        <v>4162407</v>
      </c>
      <c r="F2317" s="268" t="str">
        <f>IF(D2317="","",VLOOKUP(D2317,契約台帳!$A$3:$K$4986,6,FALSE)&amp;VLOOKUP(D2317,契約台帳!$A$3:$K$4986,7,FALSE)&amp;VLOOKUP(D2317,契約台帳!$A$3:$K$4986,8,FALSE)&amp;VLOOKUP(D2317,契約台帳!$A$3:$K$4986,9,FALSE)&amp;VLOOKUP(D2317,契約台帳!$A$3:$K$4986,11,FALSE))</f>
        <v>33SSNMCLBTEKV0V</v>
      </c>
      <c r="G2317" s="269" t="str">
        <f>IF(D2317="","",VLOOKUP(F2317,製品マスタ!$G$5:$H$5002,2,FALSE))</f>
        <v>S</v>
      </c>
      <c r="H2317" s="269" t="str">
        <f>IF(D2317="","",VLOOKUP(F2317,製品マスタ!$G$5:$K$5002,5,FALSE))</f>
        <v>TEKV0V</v>
      </c>
      <c r="I2317" s="270" t="str">
        <f>IF(D2317="","",VLOOKUP(F2317,製品マスタ!$G$5:$L$5002,6,FALSE))</f>
        <v>メタルミー　ＴＥ－Ｓ消　ＶＯＩＤ　Ｖ</v>
      </c>
      <c r="J2317" s="210" t="s">
        <v>935</v>
      </c>
      <c r="K2317" s="270">
        <f>IF(D2317="","",VLOOKUP(D2317,契約台帳!$A$3:$L$4986,12,FALSE))</f>
        <v>50</v>
      </c>
      <c r="L2317" s="270" t="str">
        <f>IF(D2317="","",INDEX(製品マスタ!$Q$5:$Q$5002,MATCH('S4'!F2317&amp;'S4'!K2317,製品マスタ!$AO$5:$AO$5002,0)))</f>
        <v>X44SEPA</v>
      </c>
      <c r="M2317" s="39">
        <v>1005</v>
      </c>
      <c r="N2317" s="39">
        <v>4000</v>
      </c>
      <c r="O2317" s="156">
        <v>3</v>
      </c>
      <c r="P2317" s="47">
        <v>3</v>
      </c>
      <c r="Q2317" s="213">
        <v>45505</v>
      </c>
      <c r="R2317" s="271">
        <f ca="1">IF(D2317="","",IF(OFFSET(D2317,-1,0)&lt;&gt;"","",IF(OR(J2317="リード付け",J2317="巻足し",J2317="巻返しリード付け"),M2317,VLOOKUP(D2317,契約台帳!$A$3:$N$4986,14,FALSE))))</f>
        <v>1005</v>
      </c>
      <c r="S2317" s="272">
        <f ca="1">IF(D2317="","",IF(OFFSET(D2317,-1,0)&lt;&gt;"","",IF(OR(J2317="リード付け",J2317="巻足し",J2317="巻返しリード付け"),M2317,VLOOKUP(D2317,契約台帳!$A$3:$O$4986,15,FALSE))))</f>
        <v>1005</v>
      </c>
      <c r="T2317" s="273">
        <f ca="1">IF(D2317="","",IF(J2317="リード付け",N2317,IF(J2317="巻返しリード付け",N2317,IF(J2317="巻足し",N2317*P2317+OFFSET(N2317,1,0)*OFFSET(P2317,1,0),VLOOKUP(D2317,契約台帳!$A$3:$P$4986,16,FALSE)))))</f>
        <v>12000</v>
      </c>
      <c r="U2317" s="40">
        <v>1</v>
      </c>
      <c r="V2317" s="274">
        <f ca="1">IF(D2317="","",IF(OFFSET(D2317,-2,0)=D2317,"",VLOOKUP(D2317,契約台帳!$A$3:$R$4986,18,FALSE)))</f>
        <v>5</v>
      </c>
      <c r="W2317" s="269" t="str">
        <f ca="1">IF(D2317="","",IF(T2317="","",IF(OR(J2317="巻足し",J2317="巻返しリード付け"),"",IF(J2317="巻返し",VLOOKUP(F2317&amp;K2317&amp;M2317,製品マスタ!$M$5:$AD$5002,18,FALSE),IF(OR(J2317="リード付け",J2317="巻返しリード付け"),"原反コア",IF(J2317="スリット",VLOOKUP(F2317&amp;K2317&amp;R2317,製品マスタ!$N$5:$AD$5002,17,FALSE),""))))))</f>
        <v/>
      </c>
      <c r="X2317" s="269" t="str">
        <f ca="1">IF(D2317="","",IF(T2317="","",IF(J2317="巻足し","",IF(J2317="巻返し",VLOOKUP(F2317&amp;K2317&amp;M2317,製品マスタ!$M$5:$AE$5002,19,FALSE),IF(OR(J2317="リード付け",J2317="巻返しリード付け"),"",IF(J2317="スリット",VLOOKUP(F2317&amp;K2317&amp;R2317,製品マスタ!$N$5:$AE$5002,18,FALSE),""))))))</f>
        <v/>
      </c>
      <c r="Y2317" s="275">
        <f ca="1">IF(D2317="","",IF(T2317="","",VLOOKUP(D2317,契約台帳!$A$3:$Q$4986,17,FALSE)))</f>
        <v>2</v>
      </c>
      <c r="Z2317" s="269" t="str">
        <f ca="1">IF(D2317="","",IF(T2317="","",VLOOKUP(D2317,契約台帳!$A$3:$E$4986,5,FALSE)))</f>
        <v>リンテック㈱</v>
      </c>
      <c r="AA2317" s="57"/>
      <c r="AB2317" s="207">
        <f>IFERROR((VLOOKUP(F2317&amp;K2317&amp;M2317,製品マスタ!$M$5:$AM$5002,27,FALSE)),"")</f>
        <v>0</v>
      </c>
      <c r="AC2317" s="33"/>
      <c r="AD2317" s="189"/>
      <c r="AE2317" s="54"/>
      <c r="AF2317" s="55">
        <f>+M2317*N2317*O2317/1000</f>
        <v>12060</v>
      </c>
      <c r="AG2317" s="43"/>
      <c r="AH2317" s="47"/>
      <c r="AI2317" s="30"/>
      <c r="AJ2317" s="30"/>
      <c r="AK2317" s="30"/>
      <c r="AL2317" s="30"/>
      <c r="AM2317" s="13"/>
      <c r="AN2317" s="13"/>
      <c r="AO2317" s="13"/>
      <c r="AP2317" s="13"/>
      <c r="AQ2317" s="13"/>
      <c r="AR2317" s="14"/>
      <c r="AS2317" s="15"/>
    </row>
    <row r="2318" spans="1:45" s="17" customFormat="1" ht="30.95" hidden="1" customHeight="1" x14ac:dyDescent="0.2">
      <c r="A2318" s="343"/>
      <c r="B2318" s="344"/>
      <c r="C2318" s="345"/>
      <c r="D2318" s="346"/>
      <c r="E2318" s="346"/>
      <c r="F2318" s="268"/>
      <c r="G2318" s="269"/>
      <c r="H2318" s="269"/>
      <c r="I2318" s="270"/>
      <c r="J2318" s="434"/>
      <c r="K2318" s="270"/>
      <c r="L2318" s="270"/>
      <c r="M2318" s="348"/>
      <c r="N2318" s="348"/>
      <c r="O2318" s="435"/>
      <c r="P2318" s="349"/>
      <c r="Q2318" s="350"/>
      <c r="R2318" s="271"/>
      <c r="S2318" s="272"/>
      <c r="T2318" s="273"/>
      <c r="U2318" s="351"/>
      <c r="V2318" s="274"/>
      <c r="W2318" s="269"/>
      <c r="X2318" s="269"/>
      <c r="Y2318" s="275"/>
      <c r="Z2318" s="269"/>
      <c r="AA2318" s="350"/>
      <c r="AB2318" s="207"/>
      <c r="AC2318" s="352"/>
      <c r="AD2318" s="353"/>
      <c r="AE2318" s="54"/>
      <c r="AF2318" s="354"/>
      <c r="AG2318" s="355"/>
      <c r="AH2318" s="349"/>
      <c r="AI2318" s="30"/>
      <c r="AJ2318" s="30"/>
      <c r="AK2318" s="30"/>
      <c r="AL2318" s="30"/>
      <c r="AM2318" s="13"/>
      <c r="AN2318" s="13"/>
      <c r="AO2318" s="13"/>
      <c r="AP2318" s="13"/>
      <c r="AQ2318" s="13"/>
      <c r="AR2318" s="14"/>
      <c r="AS2318" s="15"/>
    </row>
    <row r="2319" spans="1:45" s="17" customFormat="1" ht="30.6" hidden="1" customHeight="1" x14ac:dyDescent="0.2">
      <c r="A2319" s="343"/>
      <c r="B2319" s="344"/>
      <c r="C2319" s="45"/>
      <c r="D2319" s="31">
        <v>3766752</v>
      </c>
      <c r="E2319" s="31">
        <v>4162407</v>
      </c>
      <c r="F2319" s="268" t="str">
        <f>IF(D2319="","",VLOOKUP(D2319,契約台帳!$A$3:$K$4986,6,FALSE)&amp;VLOOKUP(D2319,契約台帳!$A$3:$K$4986,7,FALSE)&amp;VLOOKUP(D2319,契約台帳!$A$3:$K$4986,8,FALSE)&amp;VLOOKUP(D2319,契約台帳!$A$3:$K$4986,9,FALSE)&amp;VLOOKUP(D2319,契約台帳!$A$3:$K$4986,11,FALSE))</f>
        <v>33SSNMCLBTEKV0V</v>
      </c>
      <c r="G2319" s="269" t="str">
        <f>IF(D2319="","",VLOOKUP(F2319,製品マスタ!$G$5:$H$5002,2,FALSE))</f>
        <v>S</v>
      </c>
      <c r="H2319" s="269" t="str">
        <f>IF(D2319="","",VLOOKUP(F2319,製品マスタ!$G$5:$K$5002,5,FALSE))</f>
        <v>TEKV0V</v>
      </c>
      <c r="I2319" s="270" t="str">
        <f>IF(D2319="","",VLOOKUP(F2319,製品マスタ!$G$5:$L$5002,6,FALSE))</f>
        <v>メタルミー　ＴＥ－Ｓ消　ＶＯＩＤ　Ｖ</v>
      </c>
      <c r="J2319" s="210" t="s">
        <v>935</v>
      </c>
      <c r="K2319" s="270">
        <f>IF(D2319="","",VLOOKUP(D2319,契約台帳!$A$3:$L$4986,12,FALSE))</f>
        <v>50</v>
      </c>
      <c r="L2319" s="270" t="str">
        <f>IF(D2319="","",INDEX(製品マスタ!$Q$5:$Q$5002,MATCH('S4'!F2319&amp;'S4'!K2319,製品マスタ!$AO$5:$AO$5002,0)))</f>
        <v>X44SEPA</v>
      </c>
      <c r="M2319" s="39">
        <v>1005</v>
      </c>
      <c r="N2319" s="39">
        <v>4000</v>
      </c>
      <c r="O2319" s="156">
        <v>2</v>
      </c>
      <c r="P2319" s="47">
        <v>3</v>
      </c>
      <c r="Q2319" s="213">
        <v>45505</v>
      </c>
      <c r="R2319" s="271">
        <f ca="1">IF(D2319="","",IF(OFFSET(D2319,-1,0)&lt;&gt;"","",IF(OR(J2319="リード付け",J2319="巻足し",J2319="巻返しリード付け"),M2319,VLOOKUP(D2319,契約台帳!$A$3:$N$4986,14,FALSE))))</f>
        <v>1005</v>
      </c>
      <c r="S2319" s="272">
        <f ca="1">IF(D2319="","",IF(OFFSET(D2319,-1,0)&lt;&gt;"","",IF(OR(J2319="リード付け",J2319="巻足し",J2319="巻返しリード付け"),M2319,VLOOKUP(D2319,契約台帳!$A$3:$O$4986,15,FALSE))))</f>
        <v>1005</v>
      </c>
      <c r="T2319" s="273">
        <f ca="1">IF(D2319="","",IF(J2319="リード付け",N2319,IF(J2319="巻返しリード付け",N2319,IF(J2319="巻足し",N2319*P2319+OFFSET(N2319,1,0)*OFFSET(P2319,1,0),VLOOKUP(D2319,契約台帳!$A$3:$P$4986,16,FALSE)))))</f>
        <v>12000</v>
      </c>
      <c r="U2319" s="40">
        <v>1</v>
      </c>
      <c r="V2319" s="274" t="str">
        <f ca="1">IF(D2319="","",IF(OFFSET(D2319,-2,0)=D2319,"",VLOOKUP(D2319,契約台帳!$A$3:$R$4986,18,FALSE)))</f>
        <v/>
      </c>
      <c r="W2319" s="269" t="str">
        <f ca="1">IF(D2319="","",IF(T2319="","",IF(OR(J2319="巻足し",J2319="巻返しリード付け"),"",IF(J2319="巻返し",VLOOKUP(F2319&amp;K2319&amp;M2319,製品マスタ!$M$5:$AD$5002,18,FALSE),IF(OR(J2319="リード付け",J2319="巻返しリード付け"),"原反コア",IF(J2319="スリット",VLOOKUP(F2319&amp;K2319&amp;R2319,製品マスタ!$N$5:$AD$5002,17,FALSE),""))))))</f>
        <v/>
      </c>
      <c r="X2319" s="269" t="str">
        <f ca="1">IF(D2319="","",IF(T2319="","",IF(J2319="巻足し","",IF(J2319="巻返し",VLOOKUP(F2319&amp;K2319&amp;M2319,製品マスタ!$M$5:$AE$5002,19,FALSE),IF(OR(J2319="リード付け",J2319="巻返しリード付け"),"",IF(J2319="スリット",VLOOKUP(F2319&amp;K2319&amp;R2319,製品マスタ!$N$5:$AE$5002,18,FALSE),""))))))</f>
        <v/>
      </c>
      <c r="Y2319" s="275">
        <f ca="1">IF(D2319="","",IF(T2319="","",VLOOKUP(D2319,契約台帳!$A$3:$Q$4986,17,FALSE)))</f>
        <v>2</v>
      </c>
      <c r="Z2319" s="269" t="str">
        <f ca="1">IF(D2319="","",IF(T2319="","",VLOOKUP(D2319,契約台帳!$A$3:$E$4986,5,FALSE)))</f>
        <v>リンテック㈱</v>
      </c>
      <c r="AA2319" s="57"/>
      <c r="AB2319" s="207">
        <f>IFERROR((VLOOKUP(F2319&amp;K2319&amp;M2319,製品マスタ!$M$5:$AM$5002,27,FALSE)),"")</f>
        <v>0</v>
      </c>
      <c r="AC2319" s="33"/>
      <c r="AD2319" s="189"/>
      <c r="AE2319" s="54"/>
      <c r="AF2319" s="55">
        <f>+M2319*N2319*O2319/1000</f>
        <v>8040</v>
      </c>
      <c r="AG2319" s="43"/>
      <c r="AH2319" s="47"/>
      <c r="AI2319" s="30"/>
      <c r="AJ2319" s="30"/>
      <c r="AK2319" s="30"/>
      <c r="AL2319" s="30"/>
      <c r="AM2319" s="13"/>
      <c r="AN2319" s="13"/>
      <c r="AO2319" s="13"/>
      <c r="AP2319" s="13"/>
      <c r="AQ2319" s="13"/>
      <c r="AR2319" s="14"/>
      <c r="AS2319" s="15"/>
    </row>
    <row r="2320" spans="1:45" s="17" customFormat="1" ht="30.6" hidden="1" customHeight="1" x14ac:dyDescent="0.2">
      <c r="A2320" s="343"/>
      <c r="B2320" s="344"/>
      <c r="C2320" s="45"/>
      <c r="D2320" s="31">
        <v>3766753</v>
      </c>
      <c r="E2320" s="31"/>
      <c r="F2320" s="268" t="str">
        <f>IF(D2320="","",VLOOKUP(D2320,契約台帳!$A$3:$K$4986,6,FALSE)&amp;VLOOKUP(D2320,契約台帳!$A$3:$K$4986,7,FALSE)&amp;VLOOKUP(D2320,契約台帳!$A$3:$K$4986,8,FALSE)&amp;VLOOKUP(D2320,契約台帳!$A$3:$K$4986,9,FALSE)&amp;VLOOKUP(D2320,契約台帳!$A$3:$K$4986,11,FALSE))</f>
        <v>33SSYMCLBTEKV0V</v>
      </c>
      <c r="G2320" s="269" t="str">
        <f>IF(D2320="","",VLOOKUP(F2320,製品マスタ!$G$5:$H$5002,2,FALSE))</f>
        <v>S</v>
      </c>
      <c r="H2320" s="269" t="str">
        <f>IF(D2320="","",VLOOKUP(F2320,製品マスタ!$G$5:$K$5002,5,FALSE))</f>
        <v>TEKV0V</v>
      </c>
      <c r="I2320" s="270" t="str">
        <f>IF(D2320="","",VLOOKUP(F2320,製品マスタ!$G$5:$L$5002,6,FALSE))</f>
        <v>メタルミー　ＴＥ－Ｓ消　ＶＯＩＤ　Ｖ</v>
      </c>
      <c r="J2320" s="210" t="s">
        <v>935</v>
      </c>
      <c r="K2320" s="270">
        <f>IF(D2320="","",VLOOKUP(D2320,契約台帳!$A$3:$L$4986,12,FALSE))</f>
        <v>50</v>
      </c>
      <c r="L2320" s="270" t="str">
        <f>IF(D2320="","",INDEX(製品マスタ!$Q$5:$Q$5002,MATCH('S4'!F2320&amp;'S4'!K2320,製品マスタ!$AO$5:$AO$5002,0)))</f>
        <v>X44SEPA</v>
      </c>
      <c r="M2320" s="39">
        <v>1005</v>
      </c>
      <c r="N2320" s="39">
        <v>4000</v>
      </c>
      <c r="O2320" s="156">
        <v>1</v>
      </c>
      <c r="P2320" s="47"/>
      <c r="Q2320" s="213">
        <v>45505</v>
      </c>
      <c r="R2320" s="271" t="str">
        <f ca="1">IF(D2320="","",IF(OFFSET(D2320,-1,0)&lt;&gt;"","",IF(OR(J2320="リード付け",J2320="巻足し",J2320="巻返しリード付け"),M2320,VLOOKUP(D2320,契約台帳!$A$3:$N$4986,14,FALSE))))</f>
        <v/>
      </c>
      <c r="S2320" s="272" t="str">
        <f ca="1">IF(D2320="","",IF(OFFSET(D2320,-1,0)&lt;&gt;"","",IF(OR(J2320="リード付け",J2320="巻足し",J2320="巻返しリード付け"),M2320,VLOOKUP(D2320,契約台帳!$A$3:$O$4986,15,FALSE))))</f>
        <v/>
      </c>
      <c r="T2320" s="273">
        <f ca="1">IF(D2320="","",IF(J2320="リード付け",N2320,IF(J2320="巻返しリード付け",N2320,IF(J2320="巻足し",N2320*P2320+OFFSET(N2320,1,0)*OFFSET(P2320,1,0),VLOOKUP(D2320,契約台帳!$A$3:$P$4986,16,FALSE)))))</f>
        <v>0</v>
      </c>
      <c r="U2320" s="40"/>
      <c r="V2320" s="274">
        <f ca="1">IF(D2320="","",IF(OFFSET(D2320,-2,0)=D2320,"",VLOOKUP(D2320,契約台帳!$A$3:$R$4986,18,FALSE)))</f>
        <v>1</v>
      </c>
      <c r="W2320" s="269" t="str">
        <f ca="1">IF(D2320="","",IF(T2320="","",IF(OR(J2320="巻足し",J2320="巻返しリード付け"),"",IF(J2320="巻返し",VLOOKUP(F2320&amp;K2320&amp;M2320,製品マスタ!$M$5:$AD$5002,18,FALSE),IF(OR(J2320="リード付け",J2320="巻返しリード付け"),"原反コア",IF(J2320="スリット",VLOOKUP(F2320&amp;K2320&amp;R2320,製品マスタ!$N$5:$AD$5002,17,FALSE),""))))))</f>
        <v/>
      </c>
      <c r="X2320" s="269" t="str">
        <f ca="1">IF(D2320="","",IF(T2320="","",IF(J2320="巻足し","",IF(J2320="巻返し",VLOOKUP(F2320&amp;K2320&amp;M2320,製品マスタ!$M$5:$AE$5002,19,FALSE),IF(OR(J2320="リード付け",J2320="巻返しリード付け"),"",IF(J2320="スリット",VLOOKUP(F2320&amp;K2320&amp;R2320,製品マスタ!$N$5:$AE$5002,18,FALSE),""))))))</f>
        <v/>
      </c>
      <c r="Y2320" s="275">
        <f ca="1">IF(D2320="","",IF(T2320="","",VLOOKUP(D2320,契約台帳!$A$3:$Q$4986,17,FALSE)))</f>
        <v>2</v>
      </c>
      <c r="Z2320" s="269" t="str">
        <f ca="1">IF(D2320="","",IF(T2320="","",VLOOKUP(D2320,契約台帳!$A$3:$E$4986,5,FALSE)))</f>
        <v>リンテック㈱</v>
      </c>
      <c r="AA2320" s="57"/>
      <c r="AB2320" s="207">
        <f>IFERROR((VLOOKUP(F2320&amp;K2320&amp;M2320,製品マスタ!$M$5:$AM$5002,27,FALSE)),"")</f>
        <v>0</v>
      </c>
      <c r="AC2320" s="33"/>
      <c r="AD2320" s="189"/>
      <c r="AE2320" s="54"/>
      <c r="AF2320" s="55">
        <f>+M2320*N2320*O2320/1000</f>
        <v>4020</v>
      </c>
      <c r="AG2320" s="43"/>
      <c r="AH2320" s="47"/>
      <c r="AI2320" s="30"/>
      <c r="AJ2320" s="30"/>
      <c r="AK2320" s="30"/>
      <c r="AL2320" s="30"/>
      <c r="AM2320" s="13"/>
      <c r="AN2320" s="13"/>
      <c r="AO2320" s="13"/>
      <c r="AP2320" s="13"/>
      <c r="AQ2320" s="13"/>
      <c r="AR2320" s="14"/>
      <c r="AS2320" s="15"/>
    </row>
    <row r="2321" spans="1:45" s="17" customFormat="1" ht="30.95" hidden="1" customHeight="1" x14ac:dyDescent="0.2">
      <c r="A2321" s="343"/>
      <c r="B2321" s="344"/>
      <c r="C2321" s="345"/>
      <c r="D2321" s="346"/>
      <c r="E2321" s="346"/>
      <c r="F2321" s="268"/>
      <c r="G2321" s="269"/>
      <c r="H2321" s="269"/>
      <c r="I2321" s="270"/>
      <c r="J2321" s="434"/>
      <c r="K2321" s="270"/>
      <c r="L2321" s="270"/>
      <c r="M2321" s="348"/>
      <c r="N2321" s="348"/>
      <c r="O2321" s="435"/>
      <c r="P2321" s="349"/>
      <c r="Q2321" s="350"/>
      <c r="R2321" s="271"/>
      <c r="S2321" s="272"/>
      <c r="T2321" s="273"/>
      <c r="U2321" s="351"/>
      <c r="V2321" s="274"/>
      <c r="W2321" s="269"/>
      <c r="X2321" s="269"/>
      <c r="Y2321" s="275"/>
      <c r="Z2321" s="269"/>
      <c r="AA2321" s="350"/>
      <c r="AB2321" s="207"/>
      <c r="AC2321" s="352"/>
      <c r="AD2321" s="353"/>
      <c r="AE2321" s="54"/>
      <c r="AF2321" s="354"/>
      <c r="AG2321" s="355"/>
      <c r="AH2321" s="349"/>
      <c r="AI2321" s="30"/>
      <c r="AJ2321" s="30"/>
      <c r="AK2321" s="30"/>
      <c r="AL2321" s="30"/>
      <c r="AM2321" s="13"/>
      <c r="AN2321" s="13"/>
      <c r="AO2321" s="13"/>
      <c r="AP2321" s="13"/>
      <c r="AQ2321" s="13"/>
      <c r="AR2321" s="14"/>
      <c r="AS2321" s="15"/>
    </row>
    <row r="2322" spans="1:45" s="17" customFormat="1" ht="30.6" hidden="1" customHeight="1" x14ac:dyDescent="0.2">
      <c r="A2322" s="343"/>
      <c r="B2322" s="344"/>
      <c r="C2322" s="45"/>
      <c r="D2322" s="31">
        <v>3766754</v>
      </c>
      <c r="E2322" s="31">
        <v>4162409</v>
      </c>
      <c r="F2322" s="268" t="str">
        <f>IF(D2322="","",VLOOKUP(D2322,契約台帳!$A$3:$K$4986,6,FALSE)&amp;VLOOKUP(D2322,契約台帳!$A$3:$K$4986,7,FALSE)&amp;VLOOKUP(D2322,契約台帳!$A$3:$K$4986,8,FALSE)&amp;VLOOKUP(D2322,契約台帳!$A$3:$K$4986,9,FALSE)&amp;VLOOKUP(D2322,契約台帳!$A$3:$K$4986,11,FALSE))</f>
        <v>33SSNMCLBTETKFV</v>
      </c>
      <c r="G2322" s="269" t="str">
        <f>IF(D2322="","",VLOOKUP(F2322,製品マスタ!$G$5:$H$5002,2,FALSE))</f>
        <v>S</v>
      </c>
      <c r="H2322" s="269" t="str">
        <f>IF(D2322="","",VLOOKUP(F2322,製品マスタ!$G$5:$K$5002,5,FALSE))</f>
        <v>TETKFV</v>
      </c>
      <c r="I2322" s="270" t="str">
        <f>IF(D2322="","",VLOOKUP(F2322,製品マスタ!$G$5:$L$5002,6,FALSE))</f>
        <v>メタルミー　ＴＥＳ艶開封　Ｖ</v>
      </c>
      <c r="J2322" s="210" t="s">
        <v>935</v>
      </c>
      <c r="K2322" s="270">
        <f>IF(D2322="","",VLOOKUP(D2322,契約台帳!$A$3:$L$4986,12,FALSE))</f>
        <v>50</v>
      </c>
      <c r="L2322" s="270" t="str">
        <f>IF(D2322="","",INDEX(製品マスタ!$Q$5:$Q$5002,MATCH('S4'!F2322&amp;'S4'!K2322,製品マスタ!$AO$5:$AO$5002,0)))</f>
        <v>S28SEPA</v>
      </c>
      <c r="M2322" s="39">
        <v>1005</v>
      </c>
      <c r="N2322" s="39">
        <v>4100</v>
      </c>
      <c r="O2322" s="156">
        <v>3</v>
      </c>
      <c r="P2322" s="47">
        <v>3</v>
      </c>
      <c r="Q2322" s="213">
        <v>45505</v>
      </c>
      <c r="R2322" s="271">
        <f ca="1">IF(D2322="","",IF(OFFSET(D2322,-1,0)&lt;&gt;"","",IF(OR(J2322="リード付け",J2322="巻足し",J2322="巻返しリード付け"),M2322,VLOOKUP(D2322,契約台帳!$A$3:$N$4986,14,FALSE))))</f>
        <v>1005</v>
      </c>
      <c r="S2322" s="272">
        <f ca="1">IF(D2322="","",IF(OFFSET(D2322,-1,0)&lt;&gt;"","",IF(OR(J2322="リード付け",J2322="巻足し",J2322="巻返しリード付け"),M2322,VLOOKUP(D2322,契約台帳!$A$3:$O$4986,15,FALSE))))</f>
        <v>1005</v>
      </c>
      <c r="T2322" s="273">
        <f ca="1">IF(D2322="","",IF(J2322="リード付け",N2322,IF(J2322="巻返しリード付け",N2322,IF(J2322="巻足し",N2322*P2322+OFFSET(N2322,1,0)*OFFSET(P2322,1,0),VLOOKUP(D2322,契約台帳!$A$3:$P$4986,16,FALSE)))))</f>
        <v>12300</v>
      </c>
      <c r="U2322" s="40">
        <v>1</v>
      </c>
      <c r="V2322" s="274">
        <f ca="1">IF(D2322="","",IF(OFFSET(D2322,-2,0)=D2322,"",VLOOKUP(D2322,契約台帳!$A$3:$R$4986,18,FALSE)))</f>
        <v>3</v>
      </c>
      <c r="W2322" s="269" t="str">
        <f ca="1">IF(D2322="","",IF(T2322="","",IF(OR(J2322="巻足し",J2322="巻返しリード付け"),"",IF(J2322="巻返し",VLOOKUP(F2322&amp;K2322&amp;M2322,製品マスタ!$M$5:$AD$5002,18,FALSE),IF(OR(J2322="リード付け",J2322="巻返しリード付け"),"原反コア",IF(J2322="スリット",VLOOKUP(F2322&amp;K2322&amp;R2322,製品マスタ!$N$5:$AD$5002,17,FALSE),""))))))</f>
        <v/>
      </c>
      <c r="X2322" s="269" t="str">
        <f ca="1">IF(D2322="","",IF(T2322="","",IF(J2322="巻足し","",IF(J2322="巻返し",VLOOKUP(F2322&amp;K2322&amp;M2322,製品マスタ!$M$5:$AE$5002,19,FALSE),IF(OR(J2322="リード付け",J2322="巻返しリード付け"),"",IF(J2322="スリット",VLOOKUP(F2322&amp;K2322&amp;R2322,製品マスタ!$N$5:$AE$5002,18,FALSE),""))))))</f>
        <v/>
      </c>
      <c r="Y2322" s="275">
        <f ca="1">IF(D2322="","",IF(T2322="","",VLOOKUP(D2322,契約台帳!$A$3:$Q$4986,17,FALSE)))</f>
        <v>2</v>
      </c>
      <c r="Z2322" s="269" t="str">
        <f ca="1">IF(D2322="","",IF(T2322="","",VLOOKUP(D2322,契約台帳!$A$3:$E$4986,5,FALSE)))</f>
        <v>リンテック㈱</v>
      </c>
      <c r="AA2322" s="57"/>
      <c r="AB2322" s="207">
        <f>IFERROR((VLOOKUP(F2322&amp;K2322&amp;M2322,製品マスタ!$M$5:$AM$5002,27,FALSE)),"")</f>
        <v>0</v>
      </c>
      <c r="AC2322" s="33"/>
      <c r="AD2322" s="189"/>
      <c r="AE2322" s="54"/>
      <c r="AF2322" s="55">
        <f>+M2322*N2322*O2322/1000</f>
        <v>12361.5</v>
      </c>
      <c r="AG2322" s="43"/>
      <c r="AH2322" s="47"/>
      <c r="AI2322" s="30"/>
      <c r="AJ2322" s="30"/>
      <c r="AK2322" s="30"/>
      <c r="AL2322" s="30"/>
      <c r="AM2322" s="13"/>
      <c r="AN2322" s="13"/>
      <c r="AO2322" s="13"/>
      <c r="AP2322" s="13"/>
      <c r="AQ2322" s="13"/>
      <c r="AR2322" s="14"/>
      <c r="AS2322" s="15"/>
    </row>
    <row r="2323" spans="1:45" s="17" customFormat="1" ht="30.95" hidden="1" customHeight="1" x14ac:dyDescent="0.2">
      <c r="A2323" s="343"/>
      <c r="B2323" s="344"/>
      <c r="C2323" s="345"/>
      <c r="D2323" s="346"/>
      <c r="E2323" s="346"/>
      <c r="F2323" s="268"/>
      <c r="G2323" s="269"/>
      <c r="H2323" s="269"/>
      <c r="I2323" s="270"/>
      <c r="J2323" s="434"/>
      <c r="K2323" s="270"/>
      <c r="L2323" s="270"/>
      <c r="M2323" s="348"/>
      <c r="N2323" s="348"/>
      <c r="O2323" s="435"/>
      <c r="P2323" s="349"/>
      <c r="Q2323" s="350"/>
      <c r="R2323" s="271"/>
      <c r="S2323" s="272"/>
      <c r="T2323" s="273"/>
      <c r="U2323" s="351"/>
      <c r="V2323" s="274"/>
      <c r="W2323" s="269"/>
      <c r="X2323" s="269"/>
      <c r="Y2323" s="275"/>
      <c r="Z2323" s="269"/>
      <c r="AA2323" s="350"/>
      <c r="AB2323" s="207"/>
      <c r="AC2323" s="352"/>
      <c r="AD2323" s="353"/>
      <c r="AE2323" s="54"/>
      <c r="AF2323" s="354"/>
      <c r="AG2323" s="355"/>
      <c r="AH2323" s="349"/>
      <c r="AI2323" s="30"/>
      <c r="AJ2323" s="30"/>
      <c r="AK2323" s="30"/>
      <c r="AL2323" s="30"/>
      <c r="AM2323" s="13"/>
      <c r="AN2323" s="13"/>
      <c r="AO2323" s="13"/>
      <c r="AP2323" s="13"/>
      <c r="AQ2323" s="13"/>
      <c r="AR2323" s="14"/>
      <c r="AS2323" s="15"/>
    </row>
    <row r="2324" spans="1:45" s="17" customFormat="1" ht="30.6" hidden="1" customHeight="1" x14ac:dyDescent="0.2">
      <c r="A2324" s="343" t="s">
        <v>535</v>
      </c>
      <c r="B2324" s="344" t="s">
        <v>688</v>
      </c>
      <c r="C2324" s="45"/>
      <c r="D2324" s="31">
        <v>3766749</v>
      </c>
      <c r="E2324" s="31">
        <v>4162448</v>
      </c>
      <c r="F2324" s="268" t="str">
        <f>IF(D2324="","",VLOOKUP(D2324,契約台帳!$A$3:$K$4986,6,FALSE)&amp;VLOOKUP(D2324,契約台帳!$A$3:$K$4986,7,FALSE)&amp;VLOOKUP(D2324,契約台帳!$A$3:$K$4986,8,FALSE)&amp;VLOOKUP(D2324,契約台帳!$A$3:$K$4986,9,FALSE)&amp;VLOOKUP(D2324,契約台帳!$A$3:$K$4986,11,FALSE))</f>
        <v>3TNMCLBHLGTV</v>
      </c>
      <c r="G2324" s="269" t="str">
        <f>IF(D2324="","",VLOOKUP(F2324,製品マスタ!$G$5:$H$5002,2,FALSE))</f>
        <v>T</v>
      </c>
      <c r="H2324" s="269" t="str">
        <f>IF(D2324="","",VLOOKUP(F2324,製品マスタ!$G$5:$K$5002,5,FALSE))</f>
        <v>HLGTV</v>
      </c>
      <c r="I2324" s="270" t="str">
        <f>IF(D2324="","",VLOOKUP(F2324,製品マスタ!$G$5:$L$5002,6,FALSE))</f>
        <v>メタルミー　ヘヤライン　銀艶Ｖ</v>
      </c>
      <c r="J2324" s="210" t="s">
        <v>935</v>
      </c>
      <c r="K2324" s="270">
        <f>IF(D2324="","",VLOOKUP(D2324,契約台帳!$A$3:$L$4986,12,FALSE))</f>
        <v>50</v>
      </c>
      <c r="L2324" s="270" t="str">
        <f>IF(D2324="","",INDEX(製品マスタ!$Q$5:$Q$5002,MATCH('S4'!F2324&amp;'S4'!K2324,製品マスタ!$AO$5:$AO$5002,0)))</f>
        <v>BRIGHT</v>
      </c>
      <c r="M2324" s="39">
        <v>1005</v>
      </c>
      <c r="N2324" s="39">
        <v>4100</v>
      </c>
      <c r="O2324" s="156">
        <v>3</v>
      </c>
      <c r="P2324" s="47">
        <v>3</v>
      </c>
      <c r="Q2324" s="213">
        <v>45506</v>
      </c>
      <c r="R2324" s="271">
        <f ca="1">IF(D2324="","",IF(OFFSET(D2324,-1,0)&lt;&gt;"","",IF(OR(J2324="リード付け",J2324="巻足し",J2324="巻返しリード付け"),M2324,VLOOKUP(D2324,契約台帳!$A$3:$N$4986,14,FALSE))))</f>
        <v>1005</v>
      </c>
      <c r="S2324" s="272">
        <f ca="1">IF(D2324="","",IF(OFFSET(D2324,-1,0)&lt;&gt;"","",IF(OR(J2324="リード付け",J2324="巻足し",J2324="巻返しリード付け"),M2324,VLOOKUP(D2324,契約台帳!$A$3:$O$4986,15,FALSE))))</f>
        <v>1005</v>
      </c>
      <c r="T2324" s="273">
        <f ca="1">IF(D2324="","",IF(J2324="リード付け",N2324,IF(J2324="巻返しリード付け",N2324,IF(J2324="巻足し",N2324*P2324+OFFSET(N2324,1,0)*OFFSET(P2324,1,0),VLOOKUP(D2324,契約台帳!$A$3:$P$4986,16,FALSE)))))</f>
        <v>12300</v>
      </c>
      <c r="U2324" s="40">
        <v>1</v>
      </c>
      <c r="V2324" s="274">
        <f ca="1">IF(D2324="","",IF(OFFSET(D2324,-2,0)=D2324,"",VLOOKUP(D2324,契約台帳!$A$3:$R$4986,18,FALSE)))</f>
        <v>5</v>
      </c>
      <c r="W2324" s="269" t="str">
        <f ca="1">IF(D2324="","",IF(T2324="","",IF(OR(J2324="巻足し",J2324="巻返しリード付け"),"",IF(J2324="巻返し",VLOOKUP(F2324&amp;K2324&amp;M2324,製品マスタ!$M$5:$AD$5002,18,FALSE),IF(OR(J2324="リード付け",J2324="巻返しリード付け"),"原反コア",IF(J2324="スリット",VLOOKUP(F2324&amp;K2324&amp;R2324,製品マスタ!$N$5:$AD$5002,17,FALSE),""))))))</f>
        <v/>
      </c>
      <c r="X2324" s="269" t="str">
        <f ca="1">IF(D2324="","",IF(T2324="","",IF(J2324="巻足し","",IF(J2324="巻返し",VLOOKUP(F2324&amp;K2324&amp;M2324,製品マスタ!$M$5:$AE$5002,19,FALSE),IF(OR(J2324="リード付け",J2324="巻返しリード付け"),"",IF(J2324="スリット",VLOOKUP(F2324&amp;K2324&amp;R2324,製品マスタ!$N$5:$AE$5002,18,FALSE),""))))))</f>
        <v/>
      </c>
      <c r="Y2324" s="275">
        <f ca="1">IF(D2324="","",IF(T2324="","",VLOOKUP(D2324,契約台帳!$A$3:$Q$4986,17,FALSE)))</f>
        <v>2</v>
      </c>
      <c r="Z2324" s="269" t="str">
        <f ca="1">IF(D2324="","",IF(T2324="","",VLOOKUP(D2324,契約台帳!$A$3:$E$4986,5,FALSE)))</f>
        <v>リンテック㈱</v>
      </c>
      <c r="AA2324" s="57"/>
      <c r="AB2324" s="207" t="s">
        <v>774</v>
      </c>
      <c r="AC2324" s="33"/>
      <c r="AD2324" s="189"/>
      <c r="AE2324" s="54"/>
      <c r="AF2324" s="55">
        <f>+M2324*N2324*O2324/1000</f>
        <v>12361.5</v>
      </c>
      <c r="AG2324" s="43"/>
      <c r="AH2324" s="47"/>
      <c r="AI2324" s="30"/>
      <c r="AJ2324" s="30"/>
      <c r="AK2324" s="30"/>
      <c r="AL2324" s="30"/>
      <c r="AM2324" s="13"/>
      <c r="AN2324" s="13"/>
      <c r="AO2324" s="13"/>
      <c r="AP2324" s="13"/>
      <c r="AQ2324" s="13"/>
      <c r="AR2324" s="14"/>
      <c r="AS2324" s="15"/>
    </row>
    <row r="2325" spans="1:45" s="17" customFormat="1" ht="30.95" hidden="1" customHeight="1" x14ac:dyDescent="0.2">
      <c r="A2325" s="343"/>
      <c r="B2325" s="344"/>
      <c r="C2325" s="345"/>
      <c r="D2325" s="346"/>
      <c r="E2325" s="346"/>
      <c r="F2325" s="268"/>
      <c r="G2325" s="269"/>
      <c r="H2325" s="269"/>
      <c r="I2325" s="270"/>
      <c r="J2325" s="434"/>
      <c r="K2325" s="270"/>
      <c r="L2325" s="270"/>
      <c r="M2325" s="348"/>
      <c r="N2325" s="348"/>
      <c r="O2325" s="435"/>
      <c r="P2325" s="349"/>
      <c r="Q2325" s="350"/>
      <c r="R2325" s="271"/>
      <c r="S2325" s="272"/>
      <c r="T2325" s="273"/>
      <c r="U2325" s="351"/>
      <c r="V2325" s="274"/>
      <c r="W2325" s="269"/>
      <c r="X2325" s="269"/>
      <c r="Y2325" s="275"/>
      <c r="Z2325" s="269"/>
      <c r="AA2325" s="350"/>
      <c r="AB2325" s="207"/>
      <c r="AC2325" s="352"/>
      <c r="AD2325" s="353"/>
      <c r="AE2325" s="54"/>
      <c r="AF2325" s="354"/>
      <c r="AG2325" s="355"/>
      <c r="AH2325" s="349"/>
      <c r="AI2325" s="30"/>
      <c r="AJ2325" s="30"/>
      <c r="AK2325" s="30"/>
      <c r="AL2325" s="30"/>
      <c r="AM2325" s="13"/>
      <c r="AN2325" s="13"/>
      <c r="AO2325" s="13"/>
      <c r="AP2325" s="13"/>
      <c r="AQ2325" s="13"/>
      <c r="AR2325" s="14"/>
      <c r="AS2325" s="15"/>
    </row>
    <row r="2326" spans="1:45" s="17" customFormat="1" ht="30.6" hidden="1" customHeight="1" x14ac:dyDescent="0.2">
      <c r="A2326" s="343"/>
      <c r="B2326" s="344"/>
      <c r="C2326" s="45"/>
      <c r="D2326" s="31">
        <v>3766749</v>
      </c>
      <c r="E2326" s="31">
        <v>4162448</v>
      </c>
      <c r="F2326" s="268" t="str">
        <f>IF(D2326="","",VLOOKUP(D2326,契約台帳!$A$3:$K$4986,6,FALSE)&amp;VLOOKUP(D2326,契約台帳!$A$3:$K$4986,7,FALSE)&amp;VLOOKUP(D2326,契約台帳!$A$3:$K$4986,8,FALSE)&amp;VLOOKUP(D2326,契約台帳!$A$3:$K$4986,9,FALSE)&amp;VLOOKUP(D2326,契約台帳!$A$3:$K$4986,11,FALSE))</f>
        <v>3TNMCLBHLGTV</v>
      </c>
      <c r="G2326" s="269" t="str">
        <f>IF(D2326="","",VLOOKUP(F2326,製品マスタ!$G$5:$H$5002,2,FALSE))</f>
        <v>T</v>
      </c>
      <c r="H2326" s="269" t="str">
        <f>IF(D2326="","",VLOOKUP(F2326,製品マスタ!$G$5:$K$5002,5,FALSE))</f>
        <v>HLGTV</v>
      </c>
      <c r="I2326" s="270" t="str">
        <f>IF(D2326="","",VLOOKUP(F2326,製品マスタ!$G$5:$L$5002,6,FALSE))</f>
        <v>メタルミー　ヘヤライン　銀艶Ｖ</v>
      </c>
      <c r="J2326" s="210" t="s">
        <v>935</v>
      </c>
      <c r="K2326" s="270">
        <f>IF(D2326="","",VLOOKUP(D2326,契約台帳!$A$3:$L$4986,12,FALSE))</f>
        <v>50</v>
      </c>
      <c r="L2326" s="270" t="str">
        <f>IF(D2326="","",INDEX(製品マスタ!$Q$5:$Q$5002,MATCH('S4'!F2326&amp;'S4'!K2326,製品マスタ!$AO$5:$AO$5002,0)))</f>
        <v>BRIGHT</v>
      </c>
      <c r="M2326" s="39">
        <v>1005</v>
      </c>
      <c r="N2326" s="39">
        <v>4100</v>
      </c>
      <c r="O2326" s="156">
        <v>2</v>
      </c>
      <c r="P2326" s="47">
        <v>3</v>
      </c>
      <c r="Q2326" s="213">
        <v>45506</v>
      </c>
      <c r="R2326" s="271">
        <f ca="1">IF(D2326="","",IF(OFFSET(D2326,-1,0)&lt;&gt;"","",IF(OR(J2326="リード付け",J2326="巻足し",J2326="巻返しリード付け"),M2326,VLOOKUP(D2326,契約台帳!$A$3:$N$4986,14,FALSE))))</f>
        <v>1005</v>
      </c>
      <c r="S2326" s="272">
        <f ca="1">IF(D2326="","",IF(OFFSET(D2326,-1,0)&lt;&gt;"","",IF(OR(J2326="リード付け",J2326="巻足し",J2326="巻返しリード付け"),M2326,VLOOKUP(D2326,契約台帳!$A$3:$O$4986,15,FALSE))))</f>
        <v>1005</v>
      </c>
      <c r="T2326" s="273">
        <f ca="1">IF(D2326="","",IF(J2326="リード付け",N2326,IF(J2326="巻返しリード付け",N2326,IF(J2326="巻足し",N2326*P2326+OFFSET(N2326,1,0)*OFFSET(P2326,1,0),VLOOKUP(D2326,契約台帳!$A$3:$P$4986,16,FALSE)))))</f>
        <v>12300</v>
      </c>
      <c r="U2326" s="40">
        <v>1</v>
      </c>
      <c r="V2326" s="274" t="str">
        <f ca="1">IF(D2326="","",IF(OFFSET(D2326,-2,0)=D2326,"",VLOOKUP(D2326,契約台帳!$A$3:$R$4986,18,FALSE)))</f>
        <v/>
      </c>
      <c r="W2326" s="269" t="str">
        <f ca="1">IF(D2326="","",IF(T2326="","",IF(OR(J2326="巻足し",J2326="巻返しリード付け"),"",IF(J2326="巻返し",VLOOKUP(F2326&amp;K2326&amp;M2326,製品マスタ!$M$5:$AD$5002,18,FALSE),IF(OR(J2326="リード付け",J2326="巻返しリード付け"),"原反コア",IF(J2326="スリット",VLOOKUP(F2326&amp;K2326&amp;R2326,製品マスタ!$N$5:$AD$5002,17,FALSE),""))))))</f>
        <v/>
      </c>
      <c r="X2326" s="269" t="str">
        <f ca="1">IF(D2326="","",IF(T2326="","",IF(J2326="巻足し","",IF(J2326="巻返し",VLOOKUP(F2326&amp;K2326&amp;M2326,製品マスタ!$M$5:$AE$5002,19,FALSE),IF(OR(J2326="リード付け",J2326="巻返しリード付け"),"",IF(J2326="スリット",VLOOKUP(F2326&amp;K2326&amp;R2326,製品マスタ!$N$5:$AE$5002,18,FALSE),""))))))</f>
        <v/>
      </c>
      <c r="Y2326" s="275">
        <f ca="1">IF(D2326="","",IF(T2326="","",VLOOKUP(D2326,契約台帳!$A$3:$Q$4986,17,FALSE)))</f>
        <v>2</v>
      </c>
      <c r="Z2326" s="269" t="str">
        <f ca="1">IF(D2326="","",IF(T2326="","",VLOOKUP(D2326,契約台帳!$A$3:$E$4986,5,FALSE)))</f>
        <v>リンテック㈱</v>
      </c>
      <c r="AA2326" s="57"/>
      <c r="AB2326" s="207" t="s">
        <v>774</v>
      </c>
      <c r="AC2326" s="33"/>
      <c r="AD2326" s="189"/>
      <c r="AE2326" s="54"/>
      <c r="AF2326" s="55">
        <f>+M2326*N2326*O2326/1000</f>
        <v>8241</v>
      </c>
      <c r="AG2326" s="43"/>
      <c r="AH2326" s="47"/>
      <c r="AI2326" s="30"/>
      <c r="AJ2326" s="30"/>
      <c r="AK2326" s="30"/>
      <c r="AL2326" s="30"/>
      <c r="AM2326" s="13"/>
      <c r="AN2326" s="13"/>
      <c r="AO2326" s="13"/>
      <c r="AP2326" s="13"/>
      <c r="AQ2326" s="13"/>
      <c r="AR2326" s="14"/>
      <c r="AS2326" s="15"/>
    </row>
    <row r="2327" spans="1:45" s="17" customFormat="1" ht="30.6" hidden="1" customHeight="1" x14ac:dyDescent="0.2">
      <c r="A2327" s="343"/>
      <c r="B2327" s="344"/>
      <c r="C2327" s="45"/>
      <c r="D2327" s="31">
        <v>3768451</v>
      </c>
      <c r="E2327" s="31"/>
      <c r="F2327" s="268" t="str">
        <f>IF(D2327="","",VLOOKUP(D2327,契約台帳!$A$3:$K$4986,6,FALSE)&amp;VLOOKUP(D2327,契約台帳!$A$3:$K$4986,7,FALSE)&amp;VLOOKUP(D2327,契約台帳!$A$3:$K$4986,8,FALSE)&amp;VLOOKUP(D2327,契約台帳!$A$3:$K$4986,9,FALSE)&amp;VLOOKUP(D2327,契約台帳!$A$3:$K$4986,11,FALSE))</f>
        <v>3TNMCLBHLGTV</v>
      </c>
      <c r="G2327" s="269" t="str">
        <f>IF(D2327="","",VLOOKUP(F2327,製品マスタ!$G$5:$H$5002,2,FALSE))</f>
        <v>T</v>
      </c>
      <c r="H2327" s="269" t="str">
        <f>IF(D2327="","",VLOOKUP(F2327,製品マスタ!$G$5:$K$5002,5,FALSE))</f>
        <v>HLGTV</v>
      </c>
      <c r="I2327" s="270" t="str">
        <f>IF(D2327="","",VLOOKUP(F2327,製品マスタ!$G$5:$L$5002,6,FALSE))</f>
        <v>メタルミー　ヘヤライン　銀艶Ｖ</v>
      </c>
      <c r="J2327" s="210" t="s">
        <v>935</v>
      </c>
      <c r="K2327" s="270">
        <f>IF(D2327="","",VLOOKUP(D2327,契約台帳!$A$3:$L$4986,12,FALSE))</f>
        <v>50</v>
      </c>
      <c r="L2327" s="270" t="str">
        <f>IF(D2327="","",INDEX(製品マスタ!$Q$5:$Q$5002,MATCH('S4'!F2327&amp;'S4'!K2327,製品マスタ!$AO$5:$AO$5002,0)))</f>
        <v>BRIGHT</v>
      </c>
      <c r="M2327" s="39">
        <v>1005</v>
      </c>
      <c r="N2327" s="39">
        <v>4100</v>
      </c>
      <c r="O2327" s="156">
        <v>1</v>
      </c>
      <c r="P2327" s="47"/>
      <c r="Q2327" s="213">
        <v>45506</v>
      </c>
      <c r="R2327" s="271" t="str">
        <f ca="1">IF(D2327="","",IF(OFFSET(D2327,-1,0)&lt;&gt;"","",IF(OR(J2327="リード付け",J2327="巻足し",J2327="巻返しリード付け"),M2327,VLOOKUP(D2327,契約台帳!$A$3:$N$4986,14,FALSE))))</f>
        <v/>
      </c>
      <c r="S2327" s="272" t="str">
        <f ca="1">IF(D2327="","",IF(OFFSET(D2327,-1,0)&lt;&gt;"","",IF(OR(J2327="リード付け",J2327="巻足し",J2327="巻返しリード付け"),M2327,VLOOKUP(D2327,契約台帳!$A$3:$O$4986,15,FALSE))))</f>
        <v/>
      </c>
      <c r="T2327" s="273">
        <f ca="1">IF(D2327="","",IF(J2327="リード付け",N2327,IF(J2327="巻返しリード付け",N2327,IF(J2327="巻足し",N2327*P2327+OFFSET(N2327,1,0)*OFFSET(P2327,1,0),VLOOKUP(D2327,契約台帳!$A$3:$P$4986,16,FALSE)))))</f>
        <v>0</v>
      </c>
      <c r="U2327" s="40"/>
      <c r="V2327" s="274">
        <f ca="1">IF(D2327="","",IF(OFFSET(D2327,-2,0)=D2327,"",VLOOKUP(D2327,契約台帳!$A$3:$R$4986,18,FALSE)))</f>
        <v>1</v>
      </c>
      <c r="W2327" s="269" t="str">
        <f ca="1">IF(D2327="","",IF(T2327="","",IF(OR(J2327="巻足し",J2327="巻返しリード付け"),"",IF(J2327="巻返し",VLOOKUP(F2327&amp;K2327&amp;M2327,製品マスタ!$M$5:$AD$5002,18,FALSE),IF(OR(J2327="リード付け",J2327="巻返しリード付け"),"原反コア",IF(J2327="スリット",VLOOKUP(F2327&amp;K2327&amp;R2327,製品マスタ!$N$5:$AD$5002,17,FALSE),""))))))</f>
        <v/>
      </c>
      <c r="X2327" s="269" t="str">
        <f ca="1">IF(D2327="","",IF(T2327="","",IF(J2327="巻足し","",IF(J2327="巻返し",VLOOKUP(F2327&amp;K2327&amp;M2327,製品マスタ!$M$5:$AE$5002,19,FALSE),IF(OR(J2327="リード付け",J2327="巻返しリード付け"),"",IF(J2327="スリット",VLOOKUP(F2327&amp;K2327&amp;R2327,製品マスタ!$N$5:$AE$5002,18,FALSE),""))))))</f>
        <v/>
      </c>
      <c r="Y2327" s="275">
        <f ca="1">IF(D2327="","",IF(T2327="","",VLOOKUP(D2327,契約台帳!$A$3:$Q$4986,17,FALSE)))</f>
        <v>2</v>
      </c>
      <c r="Z2327" s="269" t="str">
        <f ca="1">IF(D2327="","",IF(T2327="","",VLOOKUP(D2327,契約台帳!$A$3:$E$4986,5,FALSE)))</f>
        <v>リンテック㈱</v>
      </c>
      <c r="AA2327" s="57"/>
      <c r="AB2327" s="207">
        <f>IFERROR((VLOOKUP(F2327&amp;K2327&amp;M2327,製品マスタ!$M$5:$AM$5002,27,FALSE)),"")</f>
        <v>0</v>
      </c>
      <c r="AC2327" s="33"/>
      <c r="AD2327" s="189"/>
      <c r="AE2327" s="54"/>
      <c r="AF2327" s="55">
        <f>+M2327*N2327*O2327/1000</f>
        <v>4120.5</v>
      </c>
      <c r="AG2327" s="43"/>
      <c r="AH2327" s="47"/>
      <c r="AI2327" s="30"/>
      <c r="AJ2327" s="30"/>
      <c r="AK2327" s="30"/>
      <c r="AL2327" s="30"/>
      <c r="AM2327" s="13"/>
      <c r="AN2327" s="13"/>
      <c r="AO2327" s="13"/>
      <c r="AP2327" s="13"/>
      <c r="AQ2327" s="13"/>
      <c r="AR2327" s="14"/>
      <c r="AS2327" s="15"/>
    </row>
    <row r="2328" spans="1:45" s="17" customFormat="1" ht="30.95" hidden="1" customHeight="1" x14ac:dyDescent="0.2">
      <c r="A2328" s="343"/>
      <c r="B2328" s="344"/>
      <c r="C2328" s="345"/>
      <c r="D2328" s="346"/>
      <c r="E2328" s="346"/>
      <c r="F2328" s="268"/>
      <c r="G2328" s="269"/>
      <c r="H2328" s="269"/>
      <c r="I2328" s="301"/>
      <c r="J2328" s="434"/>
      <c r="K2328" s="270"/>
      <c r="L2328" s="270"/>
      <c r="M2328" s="348"/>
      <c r="N2328" s="348"/>
      <c r="O2328" s="435"/>
      <c r="P2328" s="349"/>
      <c r="Q2328" s="350"/>
      <c r="R2328" s="271"/>
      <c r="S2328" s="272"/>
      <c r="T2328" s="273"/>
      <c r="U2328" s="351"/>
      <c r="V2328" s="274"/>
      <c r="W2328" s="269"/>
      <c r="X2328" s="269"/>
      <c r="Y2328" s="275"/>
      <c r="Z2328" s="269"/>
      <c r="AA2328" s="350"/>
      <c r="AB2328" s="207"/>
      <c r="AC2328" s="352"/>
      <c r="AD2328" s="353"/>
      <c r="AE2328" s="54"/>
      <c r="AF2328" s="354"/>
      <c r="AG2328" s="355"/>
      <c r="AH2328" s="349"/>
      <c r="AI2328" s="30"/>
      <c r="AJ2328" s="30"/>
      <c r="AK2328" s="30"/>
      <c r="AL2328" s="30"/>
      <c r="AM2328" s="13"/>
      <c r="AN2328" s="13"/>
      <c r="AO2328" s="13"/>
      <c r="AP2328" s="13"/>
      <c r="AQ2328" s="13"/>
      <c r="AR2328" s="14"/>
      <c r="AS2328" s="15"/>
    </row>
    <row r="2329" spans="1:45" s="17" customFormat="1" ht="30.6" hidden="1" customHeight="1" x14ac:dyDescent="0.2">
      <c r="A2329" s="343"/>
      <c r="B2329" s="344"/>
      <c r="C2329" s="45"/>
      <c r="D2329" s="31">
        <v>3766757</v>
      </c>
      <c r="E2329" s="31">
        <v>4162414</v>
      </c>
      <c r="F2329" s="268" t="str">
        <f>IF(D2329="","",VLOOKUP(D2329,契約台帳!$A$3:$K$4986,6,FALSE)&amp;VLOOKUP(D2329,契約台帳!$A$3:$K$4986,7,FALSE)&amp;VLOOKUP(D2329,契約台帳!$A$3:$K$4986,8,FALSE)&amp;VLOOKUP(D2329,契約台帳!$A$3:$K$4986,9,FALSE)&amp;VLOOKUP(D2329,契約台帳!$A$3:$K$4986,11,FALSE))</f>
        <v>3SNMLBMNGKKBF</v>
      </c>
      <c r="G2329" s="269" t="str">
        <f>IF(D2329="","",VLOOKUP(F2329,製品マスタ!$G$5:$H$5002,2,FALSE))</f>
        <v>S</v>
      </c>
      <c r="H2329" s="269" t="str">
        <f>IF(D2329="","",VLOOKUP(F2329,製品マスタ!$G$5:$K$5002,5,FALSE))</f>
        <v>MNGKKBF</v>
      </c>
      <c r="I2329" s="270" t="str">
        <f>IF(D2329="","",VLOOKUP(F2329,製品マスタ!$G$5:$L$5002,6,FALSE))</f>
        <v>メタルミー　ネーマー銀消改　Ｂ</v>
      </c>
      <c r="J2329" s="210" t="s">
        <v>935</v>
      </c>
      <c r="K2329" s="270">
        <f>IF(D2329="","",VLOOKUP(D2329,契約台帳!$A$3:$L$4986,12,FALSE))</f>
        <v>25</v>
      </c>
      <c r="L2329" s="270" t="str">
        <f>IF(D2329="","",INDEX(製品マスタ!$Q$5:$Q$5002,MATCH('S4'!F2329&amp;'S4'!K2329,製品マスタ!$AO$5:$AO$5002,0)))</f>
        <v>FMATS99</v>
      </c>
      <c r="M2329" s="39">
        <v>1000</v>
      </c>
      <c r="N2329" s="39">
        <v>4000</v>
      </c>
      <c r="O2329" s="156">
        <v>3</v>
      </c>
      <c r="P2329" s="47">
        <v>3</v>
      </c>
      <c r="Q2329" s="213">
        <v>45505</v>
      </c>
      <c r="R2329" s="271">
        <f ca="1">IF(D2329="","",IF(OFFSET(D2329,-1,0)&lt;&gt;"","",IF(OR(J2329="リード付け",J2329="巻足し",J2329="巻返しリード付け"),M2329,VLOOKUP(D2329,契約台帳!$A$3:$N$4986,14,FALSE))))</f>
        <v>1000</v>
      </c>
      <c r="S2329" s="272">
        <f ca="1">IF(D2329="","",IF(OFFSET(D2329,-1,0)&lt;&gt;"","",IF(OR(J2329="リード付け",J2329="巻足し",J2329="巻返しリード付け"),M2329,VLOOKUP(D2329,契約台帳!$A$3:$O$4986,15,FALSE))))</f>
        <v>1000</v>
      </c>
      <c r="T2329" s="273">
        <f ca="1">IF(D2329="","",IF(J2329="リード付け",N2329,IF(J2329="巻返しリード付け",N2329,IF(J2329="巻足し",N2329*P2329+OFFSET(N2329,1,0)*OFFSET(P2329,1,0),VLOOKUP(D2329,契約台帳!$A$3:$P$4986,16,FALSE)))))</f>
        <v>12000</v>
      </c>
      <c r="U2329" s="40">
        <v>1</v>
      </c>
      <c r="V2329" s="274">
        <f ca="1">IF(D2329="","",IF(OFFSET(D2329,-2,0)=D2329,"",VLOOKUP(D2329,契約台帳!$A$3:$R$4986,18,FALSE)))</f>
        <v>3</v>
      </c>
      <c r="W2329" s="269" t="str">
        <f ca="1">IF(D2329="","",IF(T2329="","",IF(OR(J2329="巻足し",J2329="巻返しリード付け"),"",IF(J2329="巻返し",VLOOKUP(F2329&amp;K2329&amp;M2329,製品マスタ!$M$5:$AD$5002,18,FALSE),IF(OR(J2329="リード付け",J2329="巻返しリード付け"),"原反コア",IF(J2329="スリット",VLOOKUP(F2329&amp;K2329&amp;R2329,製品マスタ!$N$5:$AD$5002,17,FALSE),""))))))</f>
        <v/>
      </c>
      <c r="X2329" s="269" t="str">
        <f ca="1">IF(D2329="","",IF(T2329="","",IF(J2329="巻足し","",IF(J2329="巻返し",VLOOKUP(F2329&amp;K2329&amp;M2329,製品マスタ!$M$5:$AE$5002,19,FALSE),IF(OR(J2329="リード付け",J2329="巻返しリード付け"),"",IF(J2329="スリット",VLOOKUP(F2329&amp;K2329&amp;R2329,製品マスタ!$N$5:$AE$5002,18,FALSE),""))))))</f>
        <v/>
      </c>
      <c r="Y2329" s="275">
        <f ca="1">IF(D2329="","",IF(T2329="","",VLOOKUP(D2329,契約台帳!$A$3:$Q$4986,17,FALSE)))</f>
        <v>2</v>
      </c>
      <c r="Z2329" s="269" t="str">
        <f ca="1">IF(D2329="","",IF(T2329="","",VLOOKUP(D2329,契約台帳!$A$3:$E$4986,5,FALSE)))</f>
        <v>リンテック㈱</v>
      </c>
      <c r="AA2329" s="57"/>
      <c r="AB2329" s="207">
        <f>IFERROR((VLOOKUP(F2329&amp;K2329&amp;M2329,製品マスタ!$M$5:$AM$5002,27,FALSE)),"")</f>
        <v>0</v>
      </c>
      <c r="AC2329" s="33"/>
      <c r="AD2329" s="189"/>
      <c r="AE2329" s="54"/>
      <c r="AF2329" s="55">
        <f>+M2329*N2329*O2329/1000</f>
        <v>12000</v>
      </c>
      <c r="AG2329" s="43"/>
      <c r="AH2329" s="47"/>
      <c r="AI2329" s="30"/>
      <c r="AJ2329" s="30"/>
      <c r="AK2329" s="30"/>
      <c r="AL2329" s="30"/>
      <c r="AM2329" s="13"/>
      <c r="AN2329" s="13"/>
      <c r="AO2329" s="13"/>
      <c r="AP2329" s="13"/>
      <c r="AQ2329" s="13"/>
      <c r="AR2329" s="14"/>
      <c r="AS2329" s="15"/>
    </row>
    <row r="2330" spans="1:45" s="17" customFormat="1" ht="30.95" hidden="1" customHeight="1" x14ac:dyDescent="0.2">
      <c r="A2330" s="343"/>
      <c r="B2330" s="344"/>
      <c r="C2330" s="345"/>
      <c r="D2330" s="346"/>
      <c r="E2330" s="346"/>
      <c r="F2330" s="268"/>
      <c r="G2330" s="269"/>
      <c r="H2330" s="269"/>
      <c r="I2330" s="270"/>
      <c r="J2330" s="434"/>
      <c r="K2330" s="270"/>
      <c r="L2330" s="270"/>
      <c r="M2330" s="348"/>
      <c r="N2330" s="348"/>
      <c r="O2330" s="435"/>
      <c r="P2330" s="349"/>
      <c r="Q2330" s="350"/>
      <c r="R2330" s="271"/>
      <c r="S2330" s="272"/>
      <c r="T2330" s="273"/>
      <c r="U2330" s="351"/>
      <c r="V2330" s="274"/>
      <c r="W2330" s="269"/>
      <c r="X2330" s="269"/>
      <c r="Y2330" s="275"/>
      <c r="Z2330" s="269"/>
      <c r="AA2330" s="350"/>
      <c r="AB2330" s="207"/>
      <c r="AC2330" s="352"/>
      <c r="AD2330" s="353"/>
      <c r="AE2330" s="54"/>
      <c r="AF2330" s="354"/>
      <c r="AG2330" s="355"/>
      <c r="AH2330" s="349"/>
      <c r="AI2330" s="30"/>
      <c r="AJ2330" s="30"/>
      <c r="AK2330" s="30"/>
      <c r="AL2330" s="30"/>
      <c r="AM2330" s="13"/>
      <c r="AN2330" s="13"/>
      <c r="AO2330" s="13"/>
      <c r="AP2330" s="13"/>
      <c r="AQ2330" s="13"/>
      <c r="AR2330" s="14"/>
      <c r="AS2330" s="15"/>
    </row>
    <row r="2331" spans="1:45" s="17" customFormat="1" ht="30.6" hidden="1" customHeight="1" x14ac:dyDescent="0.2">
      <c r="A2331" s="343"/>
      <c r="B2331" s="344"/>
      <c r="C2331" s="45"/>
      <c r="D2331" s="31">
        <v>3766759</v>
      </c>
      <c r="E2331" s="31">
        <v>4162416</v>
      </c>
      <c r="F2331" s="268" t="str">
        <f>IF(D2331="","",VLOOKUP(D2331,契約台帳!$A$3:$K$4986,6,FALSE)&amp;VLOOKUP(D2331,契約台帳!$A$3:$K$4986,7,FALSE)&amp;VLOOKUP(D2331,契約台帳!$A$3:$K$4986,8,FALSE)&amp;VLOOKUP(D2331,契約台帳!$A$3:$K$4986,9,FALSE)&amp;VLOOKUP(D2331,契約台帳!$A$3:$K$4986,11,FALSE))</f>
        <v>3SNMLBMNGKKBF</v>
      </c>
      <c r="G2331" s="269" t="str">
        <f>IF(D2331="","",VLOOKUP(F2331,製品マスタ!$G$5:$H$5002,2,FALSE))</f>
        <v>S</v>
      </c>
      <c r="H2331" s="269" t="str">
        <f>IF(D2331="","",VLOOKUP(F2331,製品マスタ!$G$5:$K$5002,5,FALSE))</f>
        <v>MNGKKBF</v>
      </c>
      <c r="I2331" s="270" t="str">
        <f>IF(D2331="","",VLOOKUP(F2331,製品マスタ!$G$5:$L$5002,6,FALSE))</f>
        <v>メタルミー　ネーマー銀消改　Ｂ</v>
      </c>
      <c r="J2331" s="210" t="s">
        <v>935</v>
      </c>
      <c r="K2331" s="270">
        <f>IF(D2331="","",VLOOKUP(D2331,契約台帳!$A$3:$L$4986,12,FALSE))</f>
        <v>50</v>
      </c>
      <c r="L2331" s="270" t="str">
        <f>IF(D2331="","",INDEX(製品マスタ!$Q$5:$Q$5002,MATCH('S4'!F2331&amp;'S4'!K2331,製品マスタ!$AO$5:$AO$5002,0)))</f>
        <v>S99-MAT</v>
      </c>
      <c r="M2331" s="39">
        <v>1000</v>
      </c>
      <c r="N2331" s="39">
        <v>4000</v>
      </c>
      <c r="O2331" s="156">
        <v>3</v>
      </c>
      <c r="P2331" s="47">
        <v>3</v>
      </c>
      <c r="Q2331" s="213">
        <v>45509</v>
      </c>
      <c r="R2331" s="271">
        <f ca="1">IF(D2331="","",IF(OFFSET(D2331,-1,0)&lt;&gt;"","",IF(OR(J2331="リード付け",J2331="巻足し",J2331="巻返しリード付け"),M2331,VLOOKUP(D2331,契約台帳!$A$3:$N$4986,14,FALSE))))</f>
        <v>1000</v>
      </c>
      <c r="S2331" s="272">
        <f ca="1">IF(D2331="","",IF(OFFSET(D2331,-1,0)&lt;&gt;"","",IF(OR(J2331="リード付け",J2331="巻足し",J2331="巻返しリード付け"),M2331,VLOOKUP(D2331,契約台帳!$A$3:$O$4986,15,FALSE))))</f>
        <v>1000</v>
      </c>
      <c r="T2331" s="273">
        <f ca="1">IF(D2331="","",IF(J2331="リード付け",N2331,IF(J2331="巻返しリード付け",N2331,IF(J2331="巻足し",N2331*P2331+OFFSET(N2331,1,0)*OFFSET(P2331,1,0),VLOOKUP(D2331,契約台帳!$A$3:$P$4986,16,FALSE)))))</f>
        <v>12000</v>
      </c>
      <c r="U2331" s="40">
        <v>1</v>
      </c>
      <c r="V2331" s="274">
        <f ca="1">IF(D2331="","",IF(OFFSET(D2331,-2,0)=D2331,"",VLOOKUP(D2331,契約台帳!$A$3:$R$4986,18,FALSE)))</f>
        <v>5</v>
      </c>
      <c r="W2331" s="269" t="str">
        <f ca="1">IF(D2331="","",IF(T2331="","",IF(OR(J2331="巻足し",J2331="巻返しリード付け"),"",IF(J2331="巻返し",VLOOKUP(F2331&amp;K2331&amp;M2331,製品マスタ!$M$5:$AD$5002,18,FALSE),IF(OR(J2331="リード付け",J2331="巻返しリード付け"),"原反コア",IF(J2331="スリット",VLOOKUP(F2331&amp;K2331&amp;R2331,製品マスタ!$N$5:$AD$5002,17,FALSE),""))))))</f>
        <v/>
      </c>
      <c r="X2331" s="269" t="str">
        <f ca="1">IF(D2331="","",IF(T2331="","",IF(J2331="巻足し","",IF(J2331="巻返し",VLOOKUP(F2331&amp;K2331&amp;M2331,製品マスタ!$M$5:$AE$5002,19,FALSE),IF(OR(J2331="リード付け",J2331="巻返しリード付け"),"",IF(J2331="スリット",VLOOKUP(F2331&amp;K2331&amp;R2331,製品マスタ!$N$5:$AE$5002,18,FALSE),""))))))</f>
        <v/>
      </c>
      <c r="Y2331" s="275">
        <f ca="1">IF(D2331="","",IF(T2331="","",VLOOKUP(D2331,契約台帳!$A$3:$Q$4986,17,FALSE)))</f>
        <v>2</v>
      </c>
      <c r="Z2331" s="269" t="str">
        <f ca="1">IF(D2331="","",IF(T2331="","",VLOOKUP(D2331,契約台帳!$A$3:$E$4986,5,FALSE)))</f>
        <v>リンテック㈱</v>
      </c>
      <c r="AA2331" s="57"/>
      <c r="AB2331" s="207">
        <f>IFERROR((VLOOKUP(F2331&amp;K2331&amp;M2331,製品マスタ!$M$5:$AM$5002,27,FALSE)),"")</f>
        <v>0</v>
      </c>
      <c r="AC2331" s="33"/>
      <c r="AD2331" s="189"/>
      <c r="AE2331" s="54"/>
      <c r="AF2331" s="55">
        <f>+M2331*N2331*O2331/1000</f>
        <v>12000</v>
      </c>
      <c r="AG2331" s="43"/>
      <c r="AH2331" s="47"/>
      <c r="AI2331" s="30"/>
      <c r="AJ2331" s="30"/>
      <c r="AK2331" s="30"/>
      <c r="AL2331" s="30"/>
      <c r="AM2331" s="13"/>
      <c r="AN2331" s="13"/>
      <c r="AO2331" s="13"/>
      <c r="AP2331" s="13"/>
      <c r="AQ2331" s="13"/>
      <c r="AR2331" s="14"/>
      <c r="AS2331" s="15"/>
    </row>
    <row r="2332" spans="1:45" s="17" customFormat="1" ht="30.95" hidden="1" customHeight="1" x14ac:dyDescent="0.2">
      <c r="A2332" s="343"/>
      <c r="B2332" s="344"/>
      <c r="C2332" s="345"/>
      <c r="D2332" s="346"/>
      <c r="E2332" s="346"/>
      <c r="F2332" s="268"/>
      <c r="G2332" s="269"/>
      <c r="H2332" s="269"/>
      <c r="I2332" s="270"/>
      <c r="J2332" s="434"/>
      <c r="K2332" s="270"/>
      <c r="L2332" s="270"/>
      <c r="M2332" s="348"/>
      <c r="N2332" s="348"/>
      <c r="O2332" s="435"/>
      <c r="P2332" s="349"/>
      <c r="Q2332" s="350"/>
      <c r="R2332" s="271"/>
      <c r="S2332" s="272"/>
      <c r="T2332" s="273"/>
      <c r="U2332" s="351"/>
      <c r="V2332" s="274"/>
      <c r="W2332" s="269"/>
      <c r="X2332" s="269"/>
      <c r="Y2332" s="275"/>
      <c r="Z2332" s="269"/>
      <c r="AA2332" s="350"/>
      <c r="AB2332" s="207"/>
      <c r="AC2332" s="352"/>
      <c r="AD2332" s="353"/>
      <c r="AE2332" s="54"/>
      <c r="AF2332" s="354"/>
      <c r="AG2332" s="355"/>
      <c r="AH2332" s="349"/>
      <c r="AI2332" s="30"/>
      <c r="AJ2332" s="30"/>
      <c r="AK2332" s="30"/>
      <c r="AL2332" s="30"/>
      <c r="AM2332" s="13"/>
      <c r="AN2332" s="13"/>
      <c r="AO2332" s="13"/>
      <c r="AP2332" s="13"/>
      <c r="AQ2332" s="13"/>
      <c r="AR2332" s="14"/>
      <c r="AS2332" s="15"/>
    </row>
    <row r="2333" spans="1:45" s="17" customFormat="1" ht="30.6" hidden="1" customHeight="1" x14ac:dyDescent="0.2">
      <c r="A2333" s="343"/>
      <c r="B2333" s="344"/>
      <c r="C2333" s="45"/>
      <c r="D2333" s="31">
        <v>3766759</v>
      </c>
      <c r="E2333" s="31">
        <v>4162416</v>
      </c>
      <c r="F2333" s="268" t="str">
        <f>IF(D2333="","",VLOOKUP(D2333,契約台帳!$A$3:$K$4986,6,FALSE)&amp;VLOOKUP(D2333,契約台帳!$A$3:$K$4986,7,FALSE)&amp;VLOOKUP(D2333,契約台帳!$A$3:$K$4986,8,FALSE)&amp;VLOOKUP(D2333,契約台帳!$A$3:$K$4986,9,FALSE)&amp;VLOOKUP(D2333,契約台帳!$A$3:$K$4986,11,FALSE))</f>
        <v>3SNMLBMNGKKBF</v>
      </c>
      <c r="G2333" s="269" t="str">
        <f>IF(D2333="","",VLOOKUP(F2333,製品マスタ!$G$5:$H$5002,2,FALSE))</f>
        <v>S</v>
      </c>
      <c r="H2333" s="269" t="str">
        <f>IF(D2333="","",VLOOKUP(F2333,製品マスタ!$G$5:$K$5002,5,FALSE))</f>
        <v>MNGKKBF</v>
      </c>
      <c r="I2333" s="270" t="str">
        <f>IF(D2333="","",VLOOKUP(F2333,製品マスタ!$G$5:$L$5002,6,FALSE))</f>
        <v>メタルミー　ネーマー銀消改　Ｂ</v>
      </c>
      <c r="J2333" s="210" t="s">
        <v>935</v>
      </c>
      <c r="K2333" s="270">
        <f>IF(D2333="","",VLOOKUP(D2333,契約台帳!$A$3:$L$4986,12,FALSE))</f>
        <v>50</v>
      </c>
      <c r="L2333" s="270" t="str">
        <f>IF(D2333="","",INDEX(製品マスタ!$Q$5:$Q$5002,MATCH('S4'!F2333&amp;'S4'!K2333,製品マスタ!$AO$5:$AO$5002,0)))</f>
        <v>S99-MAT</v>
      </c>
      <c r="M2333" s="39">
        <v>1000</v>
      </c>
      <c r="N2333" s="39">
        <v>4000</v>
      </c>
      <c r="O2333" s="156">
        <v>2</v>
      </c>
      <c r="P2333" s="47">
        <v>2</v>
      </c>
      <c r="Q2333" s="213">
        <v>45509</v>
      </c>
      <c r="R2333" s="271">
        <f ca="1">IF(D2333="","",IF(OFFSET(D2333,-1,0)&lt;&gt;"","",IF(OR(J2333="リード付け",J2333="巻足し",J2333="巻返しリード付け"),M2333,VLOOKUP(D2333,契約台帳!$A$3:$N$4986,14,FALSE))))</f>
        <v>1000</v>
      </c>
      <c r="S2333" s="272">
        <f ca="1">IF(D2333="","",IF(OFFSET(D2333,-1,0)&lt;&gt;"","",IF(OR(J2333="リード付け",J2333="巻足し",J2333="巻返しリード付け"),M2333,VLOOKUP(D2333,契約台帳!$A$3:$O$4986,15,FALSE))))</f>
        <v>1000</v>
      </c>
      <c r="T2333" s="273">
        <f ca="1">IF(D2333="","",IF(J2333="リード付け",N2333,IF(J2333="巻返しリード付け",N2333,IF(J2333="巻足し",N2333*P2333+OFFSET(N2333,1,0)*OFFSET(P2333,1,0),VLOOKUP(D2333,契約台帳!$A$3:$P$4986,16,FALSE)))))</f>
        <v>8000</v>
      </c>
      <c r="U2333" s="40">
        <v>1</v>
      </c>
      <c r="V2333" s="274" t="str">
        <f ca="1">IF(D2333="","",IF(OFFSET(D2333,-2,0)=D2333,"",VLOOKUP(D2333,契約台帳!$A$3:$R$4986,18,FALSE)))</f>
        <v/>
      </c>
      <c r="W2333" s="269" t="str">
        <f ca="1">IF(D2333="","",IF(T2333="","",IF(OR(J2333="巻足し",J2333="巻返しリード付け"),"",IF(J2333="巻返し",VLOOKUP(F2333&amp;K2333&amp;M2333,製品マスタ!$M$5:$AD$5002,18,FALSE),IF(OR(J2333="リード付け",J2333="巻返しリード付け"),"原反コア",IF(J2333="スリット",VLOOKUP(F2333&amp;K2333&amp;R2333,製品マスタ!$N$5:$AD$5002,17,FALSE),""))))))</f>
        <v/>
      </c>
      <c r="X2333" s="269" t="str">
        <f ca="1">IF(D2333="","",IF(T2333="","",IF(J2333="巻足し","",IF(J2333="巻返し",VLOOKUP(F2333&amp;K2333&amp;M2333,製品マスタ!$M$5:$AE$5002,19,FALSE),IF(OR(J2333="リード付け",J2333="巻返しリード付け"),"",IF(J2333="スリット",VLOOKUP(F2333&amp;K2333&amp;R2333,製品マスタ!$N$5:$AE$5002,18,FALSE),""))))))</f>
        <v/>
      </c>
      <c r="Y2333" s="275">
        <f ca="1">IF(D2333="","",IF(T2333="","",VLOOKUP(D2333,契約台帳!$A$3:$Q$4986,17,FALSE)))</f>
        <v>2</v>
      </c>
      <c r="Z2333" s="269" t="str">
        <f ca="1">IF(D2333="","",IF(T2333="","",VLOOKUP(D2333,契約台帳!$A$3:$E$4986,5,FALSE)))</f>
        <v>リンテック㈱</v>
      </c>
      <c r="AA2333" s="57"/>
      <c r="AB2333" s="207">
        <f>IFERROR((VLOOKUP(F2333&amp;K2333&amp;M2333,製品マスタ!$M$5:$AM$5002,27,FALSE)),"")</f>
        <v>0</v>
      </c>
      <c r="AC2333" s="33"/>
      <c r="AD2333" s="189"/>
      <c r="AE2333" s="54"/>
      <c r="AF2333" s="55">
        <f>+M2333*N2333*O2333/1000</f>
        <v>8000</v>
      </c>
      <c r="AG2333" s="43"/>
      <c r="AH2333" s="47"/>
      <c r="AI2333" s="30"/>
      <c r="AJ2333" s="30"/>
      <c r="AK2333" s="30"/>
      <c r="AL2333" s="30"/>
      <c r="AM2333" s="13"/>
      <c r="AN2333" s="13"/>
      <c r="AO2333" s="13"/>
      <c r="AP2333" s="13"/>
      <c r="AQ2333" s="13"/>
      <c r="AR2333" s="14"/>
      <c r="AS2333" s="15"/>
    </row>
    <row r="2334" spans="1:45" s="17" customFormat="1" ht="30.95" hidden="1" customHeight="1" x14ac:dyDescent="0.2">
      <c r="A2334" s="343"/>
      <c r="B2334" s="344"/>
      <c r="C2334" s="345"/>
      <c r="D2334" s="346"/>
      <c r="E2334" s="346"/>
      <c r="F2334" s="268"/>
      <c r="G2334" s="269"/>
      <c r="H2334" s="269"/>
      <c r="I2334" s="270"/>
      <c r="J2334" s="434"/>
      <c r="K2334" s="270"/>
      <c r="L2334" s="270"/>
      <c r="M2334" s="348"/>
      <c r="N2334" s="348"/>
      <c r="O2334" s="435"/>
      <c r="P2334" s="349"/>
      <c r="Q2334" s="350"/>
      <c r="R2334" s="271"/>
      <c r="S2334" s="272"/>
      <c r="T2334" s="273"/>
      <c r="U2334" s="351"/>
      <c r="V2334" s="274"/>
      <c r="W2334" s="269"/>
      <c r="X2334" s="269"/>
      <c r="Y2334" s="275"/>
      <c r="Z2334" s="269"/>
      <c r="AA2334" s="350"/>
      <c r="AB2334" s="207"/>
      <c r="AC2334" s="352"/>
      <c r="AD2334" s="353"/>
      <c r="AE2334" s="54"/>
      <c r="AF2334" s="354"/>
      <c r="AG2334" s="355"/>
      <c r="AH2334" s="349"/>
      <c r="AI2334" s="30"/>
      <c r="AJ2334" s="30"/>
      <c r="AK2334" s="30"/>
      <c r="AL2334" s="30"/>
      <c r="AM2334" s="13"/>
      <c r="AN2334" s="13"/>
      <c r="AO2334" s="13"/>
      <c r="AP2334" s="13"/>
      <c r="AQ2334" s="13"/>
      <c r="AR2334" s="14"/>
      <c r="AS2334" s="15"/>
    </row>
    <row r="2335" spans="1:45" s="17" customFormat="1" ht="30.6" hidden="1" customHeight="1" x14ac:dyDescent="0.2">
      <c r="A2335" s="343" t="s">
        <v>536</v>
      </c>
      <c r="B2335" s="344" t="s">
        <v>442</v>
      </c>
      <c r="C2335" s="45"/>
      <c r="D2335" s="31">
        <v>3766760</v>
      </c>
      <c r="E2335" s="31">
        <v>4162417</v>
      </c>
      <c r="F2335" s="268" t="str">
        <f>IF(D2335="","",VLOOKUP(D2335,契約台帳!$A$3:$K$4986,6,FALSE)&amp;VLOOKUP(D2335,契約台帳!$A$3:$K$4986,7,FALSE)&amp;VLOOKUP(D2335,契約台帳!$A$3:$K$4986,8,FALSE)&amp;VLOOKUP(D2335,契約台帳!$A$3:$K$4986,9,FALSE)&amp;VLOOKUP(D2335,契約台帳!$A$3:$K$4986,11,FALSE))</f>
        <v>3SNMLBMNGKKBF</v>
      </c>
      <c r="G2335" s="269" t="str">
        <f>IF(D2335="","",VLOOKUP(F2335,製品マスタ!$G$5:$H$5002,2,FALSE))</f>
        <v>S</v>
      </c>
      <c r="H2335" s="269" t="str">
        <f>IF(D2335="","",VLOOKUP(F2335,製品マスタ!$G$5:$K$5002,5,FALSE))</f>
        <v>MNGKKBF</v>
      </c>
      <c r="I2335" s="270" t="str">
        <f>IF(D2335="","",VLOOKUP(F2335,製品マスタ!$G$5:$L$5002,6,FALSE))</f>
        <v>メタルミー　ネーマー銀消改　Ｂ</v>
      </c>
      <c r="J2335" s="210" t="s">
        <v>935</v>
      </c>
      <c r="K2335" s="270">
        <f>IF(D2335="","",VLOOKUP(D2335,契約台帳!$A$3:$L$4986,12,FALSE))</f>
        <v>50</v>
      </c>
      <c r="L2335" s="270" t="str">
        <f>IF(D2335="","",INDEX(製品マスタ!$Q$5:$Q$5002,MATCH('S4'!F2335&amp;'S4'!K2335,製品マスタ!$AO$5:$AO$5002,0)))</f>
        <v>S99-MAT</v>
      </c>
      <c r="M2335" s="39">
        <v>1120</v>
      </c>
      <c r="N2335" s="39">
        <v>4000</v>
      </c>
      <c r="O2335" s="156">
        <v>12</v>
      </c>
      <c r="P2335" s="47">
        <v>3</v>
      </c>
      <c r="Q2335" s="213">
        <v>45510</v>
      </c>
      <c r="R2335" s="271">
        <f ca="1">IF(D2335="","",IF(OFFSET(D2335,-1,0)&lt;&gt;"","",IF(OR(J2335="リード付け",J2335="巻足し",J2335="巻返しリード付け"),M2335,VLOOKUP(D2335,契約台帳!$A$3:$N$4986,14,FALSE))))</f>
        <v>1120</v>
      </c>
      <c r="S2335" s="272">
        <f ca="1">IF(D2335="","",IF(OFFSET(D2335,-1,0)&lt;&gt;"","",IF(OR(J2335="リード付け",J2335="巻足し",J2335="巻返しリード付け"),M2335,VLOOKUP(D2335,契約台帳!$A$3:$O$4986,15,FALSE))))</f>
        <v>1120</v>
      </c>
      <c r="T2335" s="273">
        <f ca="1">IF(D2335="","",IF(J2335="リード付け",N2335,IF(J2335="巻返しリード付け",N2335,IF(J2335="巻足し",N2335*P2335+OFFSET(N2335,1,0)*OFFSET(P2335,1,0),VLOOKUP(D2335,契約台帳!$A$3:$P$4986,16,FALSE)))))</f>
        <v>12000</v>
      </c>
      <c r="U2335" s="40">
        <v>4</v>
      </c>
      <c r="V2335" s="274">
        <f ca="1">IF(D2335="","",IF(OFFSET(D2335,-2,0)=D2335,"",VLOOKUP(D2335,契約台帳!$A$3:$R$4986,18,FALSE)))</f>
        <v>23</v>
      </c>
      <c r="W2335" s="269" t="str">
        <f ca="1">IF(D2335="","",IF(T2335="","",IF(OR(J2335="巻足し",J2335="巻返しリード付け"),"",IF(J2335="巻返し",VLOOKUP(F2335&amp;K2335&amp;M2335,製品マスタ!$M$5:$AD$5002,18,FALSE),IF(OR(J2335="リード付け",J2335="巻返しリード付け"),"原反コア",IF(J2335="スリット",VLOOKUP(F2335&amp;K2335&amp;R2335,製品マスタ!$N$5:$AD$5002,17,FALSE),""))))))</f>
        <v/>
      </c>
      <c r="X2335" s="269" t="str">
        <f ca="1">IF(D2335="","",IF(T2335="","",IF(J2335="巻足し","",IF(J2335="巻返し",VLOOKUP(F2335&amp;K2335&amp;M2335,製品マスタ!$M$5:$AE$5002,19,FALSE),IF(OR(J2335="リード付け",J2335="巻返しリード付け"),"",IF(J2335="スリット",VLOOKUP(F2335&amp;K2335&amp;R2335,製品マスタ!$N$5:$AE$5002,18,FALSE),""))))))</f>
        <v/>
      </c>
      <c r="Y2335" s="275">
        <f ca="1">IF(D2335="","",IF(T2335="","",VLOOKUP(D2335,契約台帳!$A$3:$Q$4986,17,FALSE)))</f>
        <v>2</v>
      </c>
      <c r="Z2335" s="269" t="str">
        <f ca="1">IF(D2335="","",IF(T2335="","",VLOOKUP(D2335,契約台帳!$A$3:$E$4986,5,FALSE)))</f>
        <v>リンテック㈱</v>
      </c>
      <c r="AA2335" s="57"/>
      <c r="AB2335" s="207">
        <f>IFERROR((VLOOKUP(F2335&amp;K2335&amp;M2335,製品マスタ!$M$5:$AM$5002,27,FALSE)),"")</f>
        <v>0</v>
      </c>
      <c r="AC2335" s="33"/>
      <c r="AD2335" s="189"/>
      <c r="AE2335" s="54"/>
      <c r="AF2335" s="55">
        <f>+M2335*N2335*O2335/1000</f>
        <v>53760</v>
      </c>
      <c r="AG2335" s="43"/>
      <c r="AH2335" s="47"/>
      <c r="AI2335" s="30"/>
      <c r="AJ2335" s="30"/>
      <c r="AK2335" s="30"/>
      <c r="AL2335" s="30"/>
      <c r="AM2335" s="13"/>
      <c r="AN2335" s="13"/>
      <c r="AO2335" s="13"/>
      <c r="AP2335" s="13"/>
      <c r="AQ2335" s="13"/>
      <c r="AR2335" s="14"/>
      <c r="AS2335" s="15"/>
    </row>
    <row r="2336" spans="1:45" s="17" customFormat="1" ht="30.95" hidden="1" customHeight="1" x14ac:dyDescent="0.2">
      <c r="A2336" s="343"/>
      <c r="B2336" s="344"/>
      <c r="C2336" s="345"/>
      <c r="D2336" s="346"/>
      <c r="E2336" s="346"/>
      <c r="F2336" s="268"/>
      <c r="G2336" s="269"/>
      <c r="H2336" s="269"/>
      <c r="I2336" s="270"/>
      <c r="J2336" s="434"/>
      <c r="K2336" s="270"/>
      <c r="L2336" s="270"/>
      <c r="M2336" s="348"/>
      <c r="N2336" s="348"/>
      <c r="O2336" s="435"/>
      <c r="P2336" s="349"/>
      <c r="Q2336" s="350"/>
      <c r="R2336" s="271"/>
      <c r="S2336" s="272"/>
      <c r="T2336" s="273"/>
      <c r="U2336" s="351"/>
      <c r="V2336" s="274"/>
      <c r="W2336" s="269"/>
      <c r="X2336" s="269"/>
      <c r="Y2336" s="275"/>
      <c r="Z2336" s="269"/>
      <c r="AA2336" s="350"/>
      <c r="AB2336" s="207"/>
      <c r="AC2336" s="352"/>
      <c r="AD2336" s="353"/>
      <c r="AE2336" s="54"/>
      <c r="AF2336" s="354"/>
      <c r="AG2336" s="355"/>
      <c r="AH2336" s="349"/>
      <c r="AI2336" s="30"/>
      <c r="AJ2336" s="30"/>
      <c r="AK2336" s="30"/>
      <c r="AL2336" s="30"/>
      <c r="AM2336" s="13"/>
      <c r="AN2336" s="13"/>
      <c r="AO2336" s="13"/>
      <c r="AP2336" s="13"/>
      <c r="AQ2336" s="13"/>
      <c r="AR2336" s="14"/>
      <c r="AS2336" s="15"/>
    </row>
    <row r="2337" spans="1:45" s="17" customFormat="1" ht="30.6" hidden="1" customHeight="1" x14ac:dyDescent="0.2">
      <c r="A2337" s="343"/>
      <c r="B2337" s="344"/>
      <c r="C2337" s="45"/>
      <c r="D2337" s="31">
        <v>3766760</v>
      </c>
      <c r="E2337" s="31">
        <v>4162417</v>
      </c>
      <c r="F2337" s="268" t="str">
        <f>IF(D2337="","",VLOOKUP(D2337,契約台帳!$A$3:$K$4986,6,FALSE)&amp;VLOOKUP(D2337,契約台帳!$A$3:$K$4986,7,FALSE)&amp;VLOOKUP(D2337,契約台帳!$A$3:$K$4986,8,FALSE)&amp;VLOOKUP(D2337,契約台帳!$A$3:$K$4986,9,FALSE)&amp;VLOOKUP(D2337,契約台帳!$A$3:$K$4986,11,FALSE))</f>
        <v>3SNMLBMNGKKBF</v>
      </c>
      <c r="G2337" s="269" t="str">
        <f>IF(D2337="","",VLOOKUP(F2337,製品マスタ!$G$5:$H$5002,2,FALSE))</f>
        <v>S</v>
      </c>
      <c r="H2337" s="269" t="str">
        <f>IF(D2337="","",VLOOKUP(F2337,製品マスタ!$G$5:$K$5002,5,FALSE))</f>
        <v>MNGKKBF</v>
      </c>
      <c r="I2337" s="270" t="str">
        <f>IF(D2337="","",VLOOKUP(F2337,製品マスタ!$G$5:$L$5002,6,FALSE))</f>
        <v>メタルミー　ネーマー銀消改　Ｂ</v>
      </c>
      <c r="J2337" s="210" t="s">
        <v>935</v>
      </c>
      <c r="K2337" s="270">
        <f>IF(D2337="","",VLOOKUP(D2337,契約台帳!$A$3:$L$4986,12,FALSE))</f>
        <v>50</v>
      </c>
      <c r="L2337" s="270" t="str">
        <f>IF(D2337="","",INDEX(製品マスタ!$Q$5:$Q$5002,MATCH('S4'!F2337&amp;'S4'!K2337,製品マスタ!$AO$5:$AO$5002,0)))</f>
        <v>S99-MAT</v>
      </c>
      <c r="M2337" s="39">
        <v>1120</v>
      </c>
      <c r="N2337" s="39">
        <v>4000</v>
      </c>
      <c r="O2337" s="156">
        <v>2</v>
      </c>
      <c r="P2337" s="47">
        <v>2</v>
      </c>
      <c r="Q2337" s="213">
        <v>45510</v>
      </c>
      <c r="R2337" s="271">
        <f ca="1">IF(D2337="","",IF(OFFSET(D2337,-1,0)&lt;&gt;"","",IF(OR(J2337="リード付け",J2337="巻足し",J2337="巻返しリード付け"),M2337,VLOOKUP(D2337,契約台帳!$A$3:$N$4986,14,FALSE))))</f>
        <v>1120</v>
      </c>
      <c r="S2337" s="272">
        <f ca="1">IF(D2337="","",IF(OFFSET(D2337,-1,0)&lt;&gt;"","",IF(OR(J2337="リード付け",J2337="巻足し",J2337="巻返しリード付け"),M2337,VLOOKUP(D2337,契約台帳!$A$3:$O$4986,15,FALSE))))</f>
        <v>1120</v>
      </c>
      <c r="T2337" s="273">
        <f ca="1">IF(D2337="","",IF(J2337="リード付け",N2337,IF(J2337="巻返しリード付け",N2337,IF(J2337="巻足し",N2337*P2337+OFFSET(N2337,1,0)*OFFSET(P2337,1,0),VLOOKUP(D2337,契約台帳!$A$3:$P$4986,16,FALSE)))))</f>
        <v>8000</v>
      </c>
      <c r="U2337" s="40">
        <v>1</v>
      </c>
      <c r="V2337" s="274" t="str">
        <f ca="1">IF(D2337="","",IF(OFFSET(D2337,-2,0)=D2337,"",VLOOKUP(D2337,契約台帳!$A$3:$R$4986,18,FALSE)))</f>
        <v/>
      </c>
      <c r="W2337" s="269" t="str">
        <f ca="1">IF(D2337="","",IF(T2337="","",IF(OR(J2337="巻足し",J2337="巻返しリード付け"),"",IF(J2337="巻返し",VLOOKUP(F2337&amp;K2337&amp;M2337,製品マスタ!$M$5:$AD$5002,18,FALSE),IF(OR(J2337="リード付け",J2337="巻返しリード付け"),"原反コア",IF(J2337="スリット",VLOOKUP(F2337&amp;K2337&amp;R2337,製品マスタ!$N$5:$AD$5002,17,FALSE),""))))))</f>
        <v/>
      </c>
      <c r="X2337" s="269" t="str">
        <f ca="1">IF(D2337="","",IF(T2337="","",IF(J2337="巻足し","",IF(J2337="巻返し",VLOOKUP(F2337&amp;K2337&amp;M2337,製品マスタ!$M$5:$AE$5002,19,FALSE),IF(OR(J2337="リード付け",J2337="巻返しリード付け"),"",IF(J2337="スリット",VLOOKUP(F2337&amp;K2337&amp;R2337,製品マスタ!$N$5:$AE$5002,18,FALSE),""))))))</f>
        <v/>
      </c>
      <c r="Y2337" s="275">
        <f ca="1">IF(D2337="","",IF(T2337="","",VLOOKUP(D2337,契約台帳!$A$3:$Q$4986,17,FALSE)))</f>
        <v>2</v>
      </c>
      <c r="Z2337" s="269" t="str">
        <f ca="1">IF(D2337="","",IF(T2337="","",VLOOKUP(D2337,契約台帳!$A$3:$E$4986,5,FALSE)))</f>
        <v>リンテック㈱</v>
      </c>
      <c r="AA2337" s="57"/>
      <c r="AB2337" s="207">
        <f>IFERROR((VLOOKUP(F2337&amp;K2337&amp;M2337,製品マスタ!$M$5:$AM$5002,27,FALSE)),"")</f>
        <v>0</v>
      </c>
      <c r="AC2337" s="33"/>
      <c r="AD2337" s="189"/>
      <c r="AE2337" s="54"/>
      <c r="AF2337" s="55">
        <f>+M2337*N2337*O2337/1000</f>
        <v>8960</v>
      </c>
      <c r="AG2337" s="43"/>
      <c r="AH2337" s="47"/>
      <c r="AI2337" s="30"/>
      <c r="AJ2337" s="30"/>
      <c r="AK2337" s="30"/>
      <c r="AL2337" s="30"/>
      <c r="AM2337" s="13"/>
      <c r="AN2337" s="13"/>
      <c r="AO2337" s="13"/>
      <c r="AP2337" s="13"/>
      <c r="AQ2337" s="13"/>
      <c r="AR2337" s="14"/>
      <c r="AS2337" s="15"/>
    </row>
    <row r="2338" spans="1:45" s="17" customFormat="1" ht="30.95" hidden="1" customHeight="1" x14ac:dyDescent="0.2">
      <c r="A2338" s="343"/>
      <c r="B2338" s="344"/>
      <c r="C2338" s="345"/>
      <c r="D2338" s="346"/>
      <c r="E2338" s="346"/>
      <c r="F2338" s="268"/>
      <c r="G2338" s="269"/>
      <c r="H2338" s="269"/>
      <c r="I2338" s="270"/>
      <c r="J2338" s="434"/>
      <c r="K2338" s="270"/>
      <c r="L2338" s="270"/>
      <c r="M2338" s="348"/>
      <c r="N2338" s="348"/>
      <c r="O2338" s="435"/>
      <c r="P2338" s="349"/>
      <c r="Q2338" s="350"/>
      <c r="R2338" s="271"/>
      <c r="S2338" s="272"/>
      <c r="T2338" s="273"/>
      <c r="U2338" s="351"/>
      <c r="V2338" s="274"/>
      <c r="W2338" s="269"/>
      <c r="X2338" s="269"/>
      <c r="Y2338" s="275"/>
      <c r="Z2338" s="269"/>
      <c r="AA2338" s="350"/>
      <c r="AB2338" s="207"/>
      <c r="AC2338" s="352"/>
      <c r="AD2338" s="353"/>
      <c r="AE2338" s="54"/>
      <c r="AF2338" s="354"/>
      <c r="AG2338" s="355"/>
      <c r="AH2338" s="349"/>
      <c r="AI2338" s="30"/>
      <c r="AJ2338" s="30"/>
      <c r="AK2338" s="30"/>
      <c r="AL2338" s="30"/>
      <c r="AM2338" s="13"/>
      <c r="AN2338" s="13"/>
      <c r="AO2338" s="13"/>
      <c r="AP2338" s="13"/>
      <c r="AQ2338" s="13"/>
      <c r="AR2338" s="14"/>
      <c r="AS2338" s="15"/>
    </row>
    <row r="2339" spans="1:45" s="17" customFormat="1" ht="30.6" hidden="1" customHeight="1" x14ac:dyDescent="0.2">
      <c r="A2339" s="343"/>
      <c r="B2339" s="344"/>
      <c r="C2339" s="45"/>
      <c r="D2339" s="31">
        <v>3767091</v>
      </c>
      <c r="E2339" s="31">
        <v>4162438</v>
      </c>
      <c r="F2339" s="268" t="str">
        <f>IF(D2339="","",VLOOKUP(D2339,契約台帳!$A$3:$K$4986,6,FALSE)&amp;VLOOKUP(D2339,契約台帳!$A$3:$K$4986,7,FALSE)&amp;VLOOKUP(D2339,契約台帳!$A$3:$K$4986,8,FALSE)&amp;VLOOKUP(D2339,契約台帳!$A$3:$K$4986,9,FALSE)&amp;VLOOKUP(D2339,契約台帳!$A$3:$K$4986,11,FALSE))</f>
        <v>3SYMLBMSSMBF</v>
      </c>
      <c r="G2339" s="269" t="str">
        <f>IF(D2339="","",VLOOKUP(F2339,製品マスタ!$G$5:$H$5002,2,FALSE))</f>
        <v>S</v>
      </c>
      <c r="H2339" s="269" t="str">
        <f>IF(D2339="","",VLOOKUP(F2339,製品マスタ!$G$5:$K$5002,5,FALSE))</f>
        <v>MSSMBF</v>
      </c>
      <c r="I2339" s="270" t="str">
        <f>IF(D2339="","",VLOOKUP(F2339,製品マスタ!$G$5:$L$5002,6,FALSE))</f>
        <v>ＭＥＴＡＬＵＭＹ　ＳＩＬＶＥＲ　Ｓ－ＭＡＴＴＥ　Ｓ２８ＭＭ　Ｂ</v>
      </c>
      <c r="J2339" s="210" t="s">
        <v>935</v>
      </c>
      <c r="K2339" s="270">
        <f>IF(D2339="","",VLOOKUP(D2339,契約台帳!$A$3:$L$4986,12,FALSE))</f>
        <v>25</v>
      </c>
      <c r="L2339" s="270" t="str">
        <f>IF(D2339="","",INDEX(製品マスタ!$Q$5:$Q$5002,MATCH('S4'!F2339&amp;'S4'!K2339,製品マスタ!$AO$5:$AO$5002,0)))</f>
        <v>LI-MAT</v>
      </c>
      <c r="M2339" s="39">
        <v>1120</v>
      </c>
      <c r="N2339" s="39">
        <v>8000</v>
      </c>
      <c r="O2339" s="156">
        <v>2</v>
      </c>
      <c r="P2339" s="47">
        <v>2</v>
      </c>
      <c r="Q2339" s="213">
        <v>45510</v>
      </c>
      <c r="R2339" s="271">
        <f ca="1">IF(D2339="","",IF(OFFSET(D2339,-1,0)&lt;&gt;"","",IF(OR(J2339="リード付け",J2339="巻足し",J2339="巻返しリード付け"),M2339,VLOOKUP(D2339,契約台帳!$A$3:$N$4986,14,FALSE))))</f>
        <v>1120</v>
      </c>
      <c r="S2339" s="272">
        <f ca="1">IF(D2339="","",IF(OFFSET(D2339,-1,0)&lt;&gt;"","",IF(OR(J2339="リード付け",J2339="巻足し",J2339="巻返しリード付け"),M2339,VLOOKUP(D2339,契約台帳!$A$3:$O$4986,15,FALSE))))</f>
        <v>1120</v>
      </c>
      <c r="T2339" s="273">
        <f ca="1">IF(D2339="","",IF(J2339="リード付け",N2339,IF(J2339="巻返しリード付け",N2339,IF(J2339="巻足し",N2339*P2339+OFFSET(N2339,1,0)*OFFSET(P2339,1,0),VLOOKUP(D2339,契約台帳!$A$3:$P$4986,16,FALSE)))))</f>
        <v>16000</v>
      </c>
      <c r="U2339" s="40">
        <v>1</v>
      </c>
      <c r="V2339" s="274">
        <f ca="1">IF(D2339="","",IF(OFFSET(D2339,-2,0)=D2339,"",VLOOKUP(D2339,契約台帳!$A$3:$R$4986,18,FALSE)))</f>
        <v>2</v>
      </c>
      <c r="W2339" s="269" t="str">
        <f ca="1">IF(D2339="","",IF(T2339="","",IF(OR(J2339="巻足し",J2339="巻返しリード付け"),"",IF(J2339="巻返し",VLOOKUP(F2339&amp;K2339&amp;M2339,製品マスタ!$M$5:$AD$5002,18,FALSE),IF(OR(J2339="リード付け",J2339="巻返しリード付け"),"原反コア",IF(J2339="スリット",VLOOKUP(F2339&amp;K2339&amp;R2339,製品マスタ!$N$5:$AD$5002,17,FALSE),""))))))</f>
        <v/>
      </c>
      <c r="X2339" s="269" t="str">
        <f ca="1">IF(D2339="","",IF(T2339="","",IF(J2339="巻足し","",IF(J2339="巻返し",VLOOKUP(F2339&amp;K2339&amp;M2339,製品マスタ!$M$5:$AE$5002,19,FALSE),IF(OR(J2339="リード付け",J2339="巻返しリード付け"),"",IF(J2339="スリット",VLOOKUP(F2339&amp;K2339&amp;R2339,製品マスタ!$N$5:$AE$5002,18,FALSE),""))))))</f>
        <v/>
      </c>
      <c r="Y2339" s="275">
        <f ca="1">IF(D2339="","",IF(T2339="","",VLOOKUP(D2339,契約台帳!$A$3:$Q$4986,17,FALSE)))</f>
        <v>2</v>
      </c>
      <c r="Z2339" s="269" t="str">
        <f ca="1">IF(D2339="","",IF(T2339="","",VLOOKUP(D2339,契約台帳!$A$3:$E$4986,5,FALSE)))</f>
        <v>リンテック㈱</v>
      </c>
      <c r="AA2339" s="57"/>
      <c r="AB2339" s="207">
        <f>IFERROR((VLOOKUP(F2339&amp;K2339&amp;M2339,製品マスタ!$M$5:$AM$5002,27,FALSE)),"")</f>
        <v>0</v>
      </c>
      <c r="AC2339" s="33"/>
      <c r="AD2339" s="189"/>
      <c r="AE2339" s="54"/>
      <c r="AF2339" s="55">
        <f>+M2339*N2339*O2339/1000</f>
        <v>17920</v>
      </c>
      <c r="AG2339" s="43"/>
      <c r="AH2339" s="47"/>
      <c r="AI2339" s="30"/>
      <c r="AJ2339" s="30"/>
      <c r="AK2339" s="30"/>
      <c r="AL2339" s="30"/>
      <c r="AM2339" s="13"/>
      <c r="AN2339" s="13"/>
      <c r="AO2339" s="13"/>
      <c r="AP2339" s="13"/>
      <c r="AQ2339" s="13"/>
      <c r="AR2339" s="14"/>
      <c r="AS2339" s="15"/>
    </row>
    <row r="2340" spans="1:45" s="17" customFormat="1" ht="30.95" hidden="1" customHeight="1" x14ac:dyDescent="0.2">
      <c r="A2340" s="343"/>
      <c r="B2340" s="344"/>
      <c r="C2340" s="345"/>
      <c r="D2340" s="346"/>
      <c r="E2340" s="346"/>
      <c r="F2340" s="268"/>
      <c r="G2340" s="269"/>
      <c r="H2340" s="269"/>
      <c r="I2340" s="270"/>
      <c r="J2340" s="434"/>
      <c r="K2340" s="270"/>
      <c r="L2340" s="270"/>
      <c r="M2340" s="348"/>
      <c r="N2340" s="348"/>
      <c r="O2340" s="435"/>
      <c r="P2340" s="349"/>
      <c r="Q2340" s="350"/>
      <c r="R2340" s="271"/>
      <c r="S2340" s="272"/>
      <c r="T2340" s="273"/>
      <c r="U2340" s="351"/>
      <c r="V2340" s="274"/>
      <c r="W2340" s="269"/>
      <c r="X2340" s="269"/>
      <c r="Y2340" s="275"/>
      <c r="Z2340" s="269"/>
      <c r="AA2340" s="350"/>
      <c r="AB2340" s="207"/>
      <c r="AC2340" s="352"/>
      <c r="AD2340" s="353"/>
      <c r="AE2340" s="54"/>
      <c r="AF2340" s="354"/>
      <c r="AG2340" s="355"/>
      <c r="AH2340" s="349"/>
      <c r="AI2340" s="30"/>
      <c r="AJ2340" s="30"/>
      <c r="AK2340" s="30"/>
      <c r="AL2340" s="30"/>
      <c r="AM2340" s="13"/>
      <c r="AN2340" s="13"/>
      <c r="AO2340" s="13"/>
      <c r="AP2340" s="13"/>
      <c r="AQ2340" s="13"/>
      <c r="AR2340" s="14"/>
      <c r="AS2340" s="15"/>
    </row>
    <row r="2341" spans="1:45" s="17" customFormat="1" ht="30.6" hidden="1" customHeight="1" x14ac:dyDescent="0.2">
      <c r="A2341" s="343"/>
      <c r="B2341" s="344"/>
      <c r="C2341" s="45"/>
      <c r="D2341" s="31">
        <v>3766764</v>
      </c>
      <c r="E2341" s="31">
        <v>4162421</v>
      </c>
      <c r="F2341" s="268" t="str">
        <f>IF(D2341="","",VLOOKUP(D2341,契約台帳!$A$3:$K$4986,6,FALSE)&amp;VLOOKUP(D2341,契約台帳!$A$3:$K$4986,7,FALSE)&amp;VLOOKUP(D2341,契約台帳!$A$3:$K$4986,8,FALSE)&amp;VLOOKUP(D2341,契約台帳!$A$3:$K$4986,9,FALSE)&amp;VLOOKUP(D2341,契約台帳!$A$3:$K$4986,11,FALSE))</f>
        <v>3SNMLBMNQR66F</v>
      </c>
      <c r="G2341" s="269" t="str">
        <f>IF(D2341="","",VLOOKUP(F2341,製品マスタ!$G$5:$H$5002,2,FALSE))</f>
        <v>S</v>
      </c>
      <c r="H2341" s="269" t="str">
        <f>IF(D2341="","",VLOOKUP(F2341,製品マスタ!$G$5:$K$5002,5,FALSE))</f>
        <v>MNQR66F</v>
      </c>
      <c r="I2341" s="270" t="str">
        <f>IF(D2341="","",VLOOKUP(F2341,製品マスタ!$G$5:$L$5002,6,FALSE))</f>
        <v>ＱＲ６６蒸着品</v>
      </c>
      <c r="J2341" s="210" t="s">
        <v>935</v>
      </c>
      <c r="K2341" s="270">
        <f>IF(D2341="","",VLOOKUP(D2341,契約台帳!$A$3:$L$4986,12,FALSE))</f>
        <v>25</v>
      </c>
      <c r="L2341" s="270" t="str">
        <f>IF(D2341="","",INDEX(製品マスタ!$Q$5:$Q$5002,MATCH('S4'!F2341&amp;'S4'!K2341,製品マスタ!$AO$5:$AO$5002,0)))</f>
        <v>E315</v>
      </c>
      <c r="M2341" s="39">
        <v>1100</v>
      </c>
      <c r="N2341" s="39">
        <v>6000</v>
      </c>
      <c r="O2341" s="156">
        <v>6</v>
      </c>
      <c r="P2341" s="47">
        <v>3</v>
      </c>
      <c r="Q2341" s="213">
        <v>45511</v>
      </c>
      <c r="R2341" s="271">
        <f ca="1">IF(D2341="","",IF(OFFSET(D2341,-1,0)&lt;&gt;"","",IF(OR(J2341="リード付け",J2341="巻足し",J2341="巻返しリード付け"),M2341,VLOOKUP(D2341,契約台帳!$A$3:$N$4986,14,FALSE))))</f>
        <v>1100</v>
      </c>
      <c r="S2341" s="272">
        <f ca="1">IF(D2341="","",IF(OFFSET(D2341,-1,0)&lt;&gt;"","",IF(OR(J2341="リード付け",J2341="巻足し",J2341="巻返しリード付け"),M2341,VLOOKUP(D2341,契約台帳!$A$3:$O$4986,15,FALSE))))</f>
        <v>1100</v>
      </c>
      <c r="T2341" s="273">
        <f ca="1">IF(D2341="","",IF(J2341="リード付け",N2341,IF(J2341="巻返しリード付け",N2341,IF(J2341="巻足し",N2341*P2341+OFFSET(N2341,1,0)*OFFSET(P2341,1,0),VLOOKUP(D2341,契約台帳!$A$3:$P$4986,16,FALSE)))))</f>
        <v>18000</v>
      </c>
      <c r="U2341" s="40">
        <v>2</v>
      </c>
      <c r="V2341" s="274">
        <f ca="1">IF(D2341="","",IF(OFFSET(D2341,-2,0)=D2341,"",VLOOKUP(D2341,契約台帳!$A$3:$R$4986,18,FALSE)))</f>
        <v>6</v>
      </c>
      <c r="W2341" s="269" t="str">
        <f ca="1">IF(D2341="","",IF(T2341="","",IF(OR(J2341="巻足し",J2341="巻返しリード付け"),"",IF(J2341="巻返し",VLOOKUP(F2341&amp;K2341&amp;M2341,製品マスタ!$M$5:$AD$5002,18,FALSE),IF(OR(J2341="リード付け",J2341="巻返しリード付け"),"原反コア",IF(J2341="スリット",VLOOKUP(F2341&amp;K2341&amp;R2341,製品マスタ!$N$5:$AD$5002,17,FALSE),""))))))</f>
        <v/>
      </c>
      <c r="X2341" s="269" t="str">
        <f ca="1">IF(D2341="","",IF(T2341="","",IF(J2341="巻足し","",IF(J2341="巻返し",VLOOKUP(F2341&amp;K2341&amp;M2341,製品マスタ!$M$5:$AE$5002,19,FALSE),IF(OR(J2341="リード付け",J2341="巻返しリード付け"),"",IF(J2341="スリット",VLOOKUP(F2341&amp;K2341&amp;R2341,製品マスタ!$N$5:$AE$5002,18,FALSE),""))))))</f>
        <v/>
      </c>
      <c r="Y2341" s="275">
        <f ca="1">IF(D2341="","",IF(T2341="","",VLOOKUP(D2341,契約台帳!$A$3:$Q$4986,17,FALSE)))</f>
        <v>2</v>
      </c>
      <c r="Z2341" s="269" t="str">
        <f ca="1">IF(D2341="","",IF(T2341="","",VLOOKUP(D2341,契約台帳!$A$3:$E$4986,5,FALSE)))</f>
        <v>リンテック㈱</v>
      </c>
      <c r="AA2341" s="57"/>
      <c r="AB2341" s="207" t="str">
        <f>IFERROR((VLOOKUP(F2341&amp;K2341&amp;M2341,製品マスタ!$M$5:$AM$5002,27,FALSE)),"")</f>
        <v>原反ケース再利用</v>
      </c>
      <c r="AC2341" s="33"/>
      <c r="AD2341" s="189"/>
      <c r="AE2341" s="54"/>
      <c r="AF2341" s="55">
        <f>+M2341*N2341*O2341/1000</f>
        <v>39600</v>
      </c>
      <c r="AG2341" s="43"/>
      <c r="AH2341" s="47"/>
      <c r="AI2341" s="30"/>
      <c r="AJ2341" s="30"/>
      <c r="AK2341" s="30"/>
      <c r="AL2341" s="30"/>
      <c r="AM2341" s="13"/>
      <c r="AN2341" s="13"/>
      <c r="AO2341" s="13"/>
      <c r="AP2341" s="13"/>
      <c r="AQ2341" s="13"/>
      <c r="AR2341" s="14"/>
      <c r="AS2341" s="15"/>
    </row>
    <row r="2342" spans="1:45" s="17" customFormat="1" ht="30.95" hidden="1" customHeight="1" x14ac:dyDescent="0.2">
      <c r="A2342" s="343"/>
      <c r="B2342" s="344"/>
      <c r="C2342" s="345"/>
      <c r="D2342" s="346"/>
      <c r="E2342" s="346"/>
      <c r="F2342" s="268"/>
      <c r="G2342" s="269"/>
      <c r="H2342" s="269"/>
      <c r="I2342" s="270"/>
      <c r="J2342" s="434"/>
      <c r="K2342" s="270"/>
      <c r="L2342" s="270"/>
      <c r="M2342" s="348"/>
      <c r="N2342" s="348"/>
      <c r="O2342" s="435"/>
      <c r="P2342" s="349"/>
      <c r="Q2342" s="350"/>
      <c r="R2342" s="271"/>
      <c r="S2342" s="272"/>
      <c r="T2342" s="273"/>
      <c r="U2342" s="351"/>
      <c r="V2342" s="274"/>
      <c r="W2342" s="269"/>
      <c r="X2342" s="269"/>
      <c r="Y2342" s="275"/>
      <c r="Z2342" s="269"/>
      <c r="AA2342" s="350"/>
      <c r="AB2342" s="207"/>
      <c r="AC2342" s="352"/>
      <c r="AD2342" s="353"/>
      <c r="AE2342" s="54"/>
      <c r="AF2342" s="354"/>
      <c r="AG2342" s="355"/>
      <c r="AH2342" s="349"/>
      <c r="AI2342" s="30"/>
      <c r="AJ2342" s="30"/>
      <c r="AK2342" s="30"/>
      <c r="AL2342" s="30"/>
      <c r="AM2342" s="13"/>
      <c r="AN2342" s="13"/>
      <c r="AO2342" s="13"/>
      <c r="AP2342" s="13"/>
      <c r="AQ2342" s="13"/>
      <c r="AR2342" s="14"/>
      <c r="AS2342" s="15"/>
    </row>
    <row r="2343" spans="1:45" s="17" customFormat="1" ht="30.6" hidden="1" customHeight="1" x14ac:dyDescent="0.2">
      <c r="A2343" s="37"/>
      <c r="B2343" s="38"/>
      <c r="C2343" s="45"/>
      <c r="D2343" s="31">
        <v>3766750</v>
      </c>
      <c r="E2343" s="31">
        <v>4162431</v>
      </c>
      <c r="F2343" s="268" t="str">
        <f>IF(D2343="","",VLOOKUP(D2343,契約台帳!$A$3:$K$4986,6,FALSE)&amp;VLOOKUP(D2343,契約台帳!$A$3:$K$4986,7,FALSE)&amp;VLOOKUP(D2343,契約台帳!$A$3:$K$4986,8,FALSE)&amp;VLOOKUP(D2343,契約台帳!$A$3:$K$4986,9,FALSE)&amp;VLOOKUP(D2343,契約台帳!$A$3:$K$4986,11,FALSE))</f>
        <v>3SNMCLBNGTVB</v>
      </c>
      <c r="G2343" s="269" t="str">
        <f>IF(D2343="","",VLOOKUP(F2343,製品マスタ!$G$5:$H$5002,2,FALSE))</f>
        <v>S</v>
      </c>
      <c r="H2343" s="269" t="str">
        <f>IF(D2343="","",VLOOKUP(F2343,製品マスタ!$G$5:$K$5002,5,FALSE))</f>
        <v>NGTVB</v>
      </c>
      <c r="I2343" s="270" t="str">
        <f>IF(D2343="","",VLOOKUP(F2343,製品マスタ!$G$5:$L$5002,6,FALSE))</f>
        <v>メタルミー　ネーマー　銀艶ＶＢ</v>
      </c>
      <c r="J2343" s="210" t="s">
        <v>574</v>
      </c>
      <c r="K2343" s="270">
        <f>IF(D2343="","",VLOOKUP(D2343,契約台帳!$A$3:$L$4986,12,FALSE))</f>
        <v>50</v>
      </c>
      <c r="L2343" s="270" t="str">
        <f>IF(D2343="","",INDEX(製品マスタ!$Q$5:$Q$5002,MATCH('S4'!F2343&amp;'S4'!K2343,製品マスタ!$AO$5:$AO$5002,0)))</f>
        <v>T62M</v>
      </c>
      <c r="M2343" s="39">
        <v>1040</v>
      </c>
      <c r="N2343" s="39">
        <v>6000</v>
      </c>
      <c r="O2343" s="156">
        <v>1</v>
      </c>
      <c r="P2343" s="47">
        <v>1</v>
      </c>
      <c r="Q2343" s="213">
        <v>45511</v>
      </c>
      <c r="R2343" s="271">
        <f ca="1">IF(D2343="","",IF(OFFSET(D2343,-1,0)&lt;&gt;"","",IF(OR(J2343="リード付け",J2343="巻足し",J2343="巻返しリード付け"),M2343,VLOOKUP(D2343,契約台帳!$A$3:$N$4986,14,FALSE))))</f>
        <v>1040</v>
      </c>
      <c r="S2343" s="272">
        <f ca="1">IF(D2343="","",IF(OFFSET(D2343,-1,0)&lt;&gt;"","",IF(OR(J2343="リード付け",J2343="巻足し",J2343="巻返しリード付け"),M2343,VLOOKUP(D2343,契約台帳!$A$3:$O$4986,15,FALSE))))</f>
        <v>1040</v>
      </c>
      <c r="T2343" s="273">
        <f ca="1">IF(D2343="","",IF(J2343="リード付け",N2343,IF(J2343="巻返しリード付け",N2343,IF(J2343="巻足し",N2343*P2343+OFFSET(N2343,1,0)*OFFSET(P2343,1,0),VLOOKUP(D2343,契約台帳!$A$3:$P$4986,16,FALSE)))))</f>
        <v>6000</v>
      </c>
      <c r="U2343" s="40">
        <v>1</v>
      </c>
      <c r="V2343" s="274">
        <f ca="1">IF(D2343="","",IF(OFFSET(D2343,-2,0)=D2343,"",VLOOKUP(D2343,契約台帳!$A$3:$R$4986,18,FALSE)))</f>
        <v>2</v>
      </c>
      <c r="W2343" s="269" t="str">
        <f ca="1">IF(D2343="","",IF(T2343="","",IF(OR(J2343="巻足し",J2343="巻返しリード付け"),"",IF(J2343="巻返し",VLOOKUP(F2343&amp;K2343&amp;M2343,製品マスタ!$M$5:$AD$5002,18,FALSE),IF(OR(J2343="リード付け",J2343="巻返しリード付け"),"原反コア",IF(J2343="スリット",VLOOKUP(F2343&amp;K2343&amp;R2343,製品マスタ!$N$5:$AD$5002,17,FALSE),""))))))</f>
        <v/>
      </c>
      <c r="X2343" s="269" t="str">
        <f ca="1">IF(D2343="","",IF(T2343="","",IF(J2343="巻足し","",IF(J2343="巻返し",VLOOKUP(F2343&amp;K2343&amp;M2343,製品マスタ!$M$5:$AE$5002,19,FALSE),IF(OR(J2343="リード付け",J2343="巻返しリード付け"),"",IF(J2343="スリット",VLOOKUP(F2343&amp;K2343&amp;R2343,製品マスタ!$N$5:$AE$5002,18,FALSE),""))))))</f>
        <v/>
      </c>
      <c r="Y2343" s="275">
        <f ca="1">IF(D2343="","",IF(T2343="","",VLOOKUP(D2343,契約台帳!$A$3:$Q$4986,17,FALSE)))</f>
        <v>2</v>
      </c>
      <c r="Z2343" s="269" t="str">
        <f ca="1">IF(D2343="","",IF(T2343="","",VLOOKUP(D2343,契約台帳!$A$3:$E$4986,5,FALSE)))</f>
        <v>リンテック㈱</v>
      </c>
      <c r="AA2343" s="57"/>
      <c r="AB2343" s="207">
        <f>IFERROR((VLOOKUP(F2343&amp;K2343&amp;M2343,製品マスタ!$M$5:$AM$5002,27,FALSE)),"")</f>
        <v>0</v>
      </c>
      <c r="AC2343" s="33"/>
      <c r="AD2343" s="189"/>
      <c r="AE2343" s="54"/>
      <c r="AF2343" s="55">
        <f>+M2343*N2343*O2343/1000</f>
        <v>6240</v>
      </c>
      <c r="AG2343" s="43"/>
      <c r="AH2343" s="47"/>
      <c r="AI2343" s="30"/>
      <c r="AJ2343" s="30"/>
      <c r="AK2343" s="30"/>
      <c r="AL2343" s="30"/>
      <c r="AM2343" s="13"/>
      <c r="AN2343" s="13"/>
      <c r="AO2343" s="13"/>
      <c r="AP2343" s="13"/>
      <c r="AQ2343" s="13"/>
      <c r="AR2343" s="14"/>
      <c r="AS2343" s="15"/>
    </row>
    <row r="2344" spans="1:45" s="17" customFormat="1" ht="30.95" hidden="1" customHeight="1" x14ac:dyDescent="0.2">
      <c r="A2344" s="343"/>
      <c r="B2344" s="344"/>
      <c r="C2344" s="345"/>
      <c r="D2344" s="346"/>
      <c r="E2344" s="346"/>
      <c r="F2344" s="268"/>
      <c r="G2344" s="269"/>
      <c r="H2344" s="269"/>
      <c r="I2344" s="270"/>
      <c r="J2344" s="434"/>
      <c r="K2344" s="270"/>
      <c r="L2344" s="270"/>
      <c r="M2344" s="348"/>
      <c r="N2344" s="348"/>
      <c r="O2344" s="435"/>
      <c r="P2344" s="349"/>
      <c r="Q2344" s="350"/>
      <c r="R2344" s="271"/>
      <c r="S2344" s="272"/>
      <c r="T2344" s="273"/>
      <c r="U2344" s="351"/>
      <c r="V2344" s="274"/>
      <c r="W2344" s="269"/>
      <c r="X2344" s="269"/>
      <c r="Y2344" s="275"/>
      <c r="Z2344" s="269"/>
      <c r="AA2344" s="350"/>
      <c r="AB2344" s="207"/>
      <c r="AC2344" s="352"/>
      <c r="AD2344" s="353"/>
      <c r="AE2344" s="54"/>
      <c r="AF2344" s="354"/>
      <c r="AG2344" s="355"/>
      <c r="AH2344" s="349"/>
      <c r="AI2344" s="30"/>
      <c r="AJ2344" s="30"/>
      <c r="AK2344" s="30"/>
      <c r="AL2344" s="30"/>
      <c r="AM2344" s="13"/>
      <c r="AN2344" s="13"/>
      <c r="AO2344" s="13"/>
      <c r="AP2344" s="13"/>
      <c r="AQ2344" s="13"/>
      <c r="AR2344" s="14"/>
      <c r="AS2344" s="15"/>
    </row>
    <row r="2345" spans="1:45" s="17" customFormat="1" ht="30.6" hidden="1" customHeight="1" x14ac:dyDescent="0.2">
      <c r="A2345" s="343" t="s">
        <v>3076</v>
      </c>
      <c r="B2345" s="344" t="s">
        <v>3077</v>
      </c>
      <c r="C2345" s="45"/>
      <c r="D2345" s="31">
        <v>3766762</v>
      </c>
      <c r="E2345" s="31">
        <v>4162450</v>
      </c>
      <c r="F2345" s="268" t="str">
        <f>IF(D2345="","",VLOOKUP(D2345,契約台帳!$A$3:$K$4986,6,FALSE)&amp;VLOOKUP(D2345,契約台帳!$A$3:$K$4986,7,FALSE)&amp;VLOOKUP(D2345,契約台帳!$A$3:$K$4986,8,FALSE)&amp;VLOOKUP(D2345,契約台帳!$A$3:$K$4986,9,FALSE)&amp;VLOOKUP(D2345,契約台帳!$A$3:$K$4986,11,FALSE))</f>
        <v>3SNMLBMNGTBF</v>
      </c>
      <c r="G2345" s="269" t="str">
        <f>IF(D2345="","",VLOOKUP(F2345,製品マスタ!$G$5:$H$5002,2,FALSE))</f>
        <v>S</v>
      </c>
      <c r="H2345" s="269" t="str">
        <f>IF(D2345="","",VLOOKUP(F2345,製品マスタ!$G$5:$K$5002,5,FALSE))</f>
        <v>MNGTBF</v>
      </c>
      <c r="I2345" s="270" t="str">
        <f>IF(D2345="","",VLOOKUP(F2345,製品マスタ!$G$5:$L$5002,6,FALSE))</f>
        <v>メタルミー　ネーマー　銀艶　Ｂ</v>
      </c>
      <c r="J2345" s="210" t="s">
        <v>935</v>
      </c>
      <c r="K2345" s="270">
        <f>IF(D2345="","",VLOOKUP(D2345,契約台帳!$A$3:$L$4986,12,FALSE))</f>
        <v>50</v>
      </c>
      <c r="L2345" s="270" t="str">
        <f>IF(D2345="","",INDEX(製品マスタ!$Q$5:$Q$5002,MATCH('S4'!F2345&amp;'S4'!K2345,製品マスタ!$AO$5:$AO$5002,0)))</f>
        <v>T62</v>
      </c>
      <c r="M2345" s="39">
        <v>1120</v>
      </c>
      <c r="N2345" s="39">
        <v>5000</v>
      </c>
      <c r="O2345" s="156">
        <v>18</v>
      </c>
      <c r="P2345" s="47">
        <v>2</v>
      </c>
      <c r="Q2345" s="213">
        <v>45498</v>
      </c>
      <c r="R2345" s="271">
        <f ca="1">IF(D2345="","",IF(OFFSET(D2345,-1,0)&lt;&gt;"","",IF(OR(J2345="リード付け",J2345="巻足し",J2345="巻返しリード付け"),M2345,VLOOKUP(D2345,契約台帳!$A$3:$N$4986,14,FALSE))))</f>
        <v>1120</v>
      </c>
      <c r="S2345" s="272">
        <f ca="1">IF(D2345="","",IF(OFFSET(D2345,-1,0)&lt;&gt;"","",IF(OR(J2345="リード付け",J2345="巻足し",J2345="巻返しリード付け"),M2345,VLOOKUP(D2345,契約台帳!$A$3:$O$4986,15,FALSE))))</f>
        <v>1120</v>
      </c>
      <c r="T2345" s="273">
        <f ca="1">IF(D2345="","",IF(J2345="リード付け",N2345,IF(J2345="巻返しリード付け",N2345,IF(J2345="巻足し",N2345*P2345+OFFSET(N2345,1,0)*OFFSET(P2345,1,0),VLOOKUP(D2345,契約台帳!$A$3:$P$4986,16,FALSE)))))</f>
        <v>10000</v>
      </c>
      <c r="U2345" s="40">
        <v>9</v>
      </c>
      <c r="V2345" s="274">
        <f ca="1">IF(D2345="","",IF(OFFSET(D2345,-2,0)=D2345,"",VLOOKUP(D2345,契約台帳!$A$3:$R$4986,18,FALSE)))</f>
        <v>22</v>
      </c>
      <c r="W2345" s="269" t="str">
        <f ca="1">IF(D2345="","",IF(T2345="","",IF(OR(J2345="巻足し",J2345="巻返しリード付け"),"",IF(J2345="巻返し",VLOOKUP(F2345&amp;K2345&amp;M2345,製品マスタ!$M$5:$AD$5002,18,FALSE),IF(OR(J2345="リード付け",J2345="巻返しリード付け"),"原反コア",IF(J2345="スリット",VLOOKUP(F2345&amp;K2345&amp;R2345,製品マスタ!$N$5:$AD$5002,17,FALSE),""))))))</f>
        <v/>
      </c>
      <c r="X2345" s="269" t="str">
        <f ca="1">IF(D2345="","",IF(T2345="","",IF(J2345="巻足し","",IF(J2345="巻返し",VLOOKUP(F2345&amp;K2345&amp;M2345,製品マスタ!$M$5:$AE$5002,19,FALSE),IF(OR(J2345="リード付け",J2345="巻返しリード付け"),"",IF(J2345="スリット",VLOOKUP(F2345&amp;K2345&amp;R2345,製品マスタ!$N$5:$AE$5002,18,FALSE),""))))))</f>
        <v/>
      </c>
      <c r="Y2345" s="275">
        <f ca="1">IF(D2345="","",IF(T2345="","",VLOOKUP(D2345,契約台帳!$A$3:$Q$4986,17,FALSE)))</f>
        <v>2</v>
      </c>
      <c r="Z2345" s="269" t="str">
        <f ca="1">IF(D2345="","",IF(T2345="","",VLOOKUP(D2345,契約台帳!$A$3:$E$4986,5,FALSE)))</f>
        <v>リンテック㈱</v>
      </c>
      <c r="AA2345" s="57"/>
      <c r="AB2345" s="207" t="str">
        <f>IFERROR((VLOOKUP(F2345&amp;K2345&amp;M2345,製品マスタ!$M$5:$AM$5002,27,FALSE)),"")</f>
        <v>原反ケース再利用</v>
      </c>
      <c r="AC2345" s="33"/>
      <c r="AD2345" s="189"/>
      <c r="AE2345" s="54"/>
      <c r="AF2345" s="55">
        <f>+M2345*N2345*O2345/1000</f>
        <v>100800</v>
      </c>
      <c r="AG2345" s="43"/>
      <c r="AH2345" s="47"/>
      <c r="AI2345" s="30"/>
      <c r="AJ2345" s="30"/>
      <c r="AK2345" s="30"/>
      <c r="AL2345" s="30"/>
      <c r="AM2345" s="13"/>
      <c r="AN2345" s="13"/>
      <c r="AO2345" s="13"/>
      <c r="AP2345" s="13"/>
      <c r="AQ2345" s="13"/>
      <c r="AR2345" s="14"/>
      <c r="AS2345" s="15"/>
    </row>
    <row r="2346" spans="1:45" s="17" customFormat="1" ht="30.95" hidden="1" customHeight="1" x14ac:dyDescent="0.2">
      <c r="A2346" s="343"/>
      <c r="B2346" s="344"/>
      <c r="C2346" s="345"/>
      <c r="D2346" s="346"/>
      <c r="E2346" s="346"/>
      <c r="F2346" s="268"/>
      <c r="G2346" s="269"/>
      <c r="H2346" s="269"/>
      <c r="I2346" s="270"/>
      <c r="J2346" s="434"/>
      <c r="K2346" s="270"/>
      <c r="L2346" s="270"/>
      <c r="M2346" s="348"/>
      <c r="N2346" s="348"/>
      <c r="O2346" s="435"/>
      <c r="P2346" s="349"/>
      <c r="Q2346" s="350"/>
      <c r="R2346" s="271"/>
      <c r="S2346" s="272"/>
      <c r="T2346" s="273"/>
      <c r="U2346" s="351"/>
      <c r="V2346" s="274"/>
      <c r="W2346" s="269"/>
      <c r="X2346" s="269"/>
      <c r="Y2346" s="275"/>
      <c r="Z2346" s="269"/>
      <c r="AA2346" s="350"/>
      <c r="AB2346" s="207"/>
      <c r="AC2346" s="352"/>
      <c r="AD2346" s="353"/>
      <c r="AE2346" s="54"/>
      <c r="AF2346" s="354"/>
      <c r="AG2346" s="355"/>
      <c r="AH2346" s="349"/>
      <c r="AI2346" s="30"/>
      <c r="AJ2346" s="30"/>
      <c r="AK2346" s="30"/>
      <c r="AL2346" s="30"/>
      <c r="AM2346" s="13"/>
      <c r="AN2346" s="13"/>
      <c r="AO2346" s="13"/>
      <c r="AP2346" s="13"/>
      <c r="AQ2346" s="13"/>
      <c r="AR2346" s="14"/>
      <c r="AS2346" s="15"/>
    </row>
    <row r="2347" spans="1:45" s="17" customFormat="1" ht="30.6" hidden="1" customHeight="1" x14ac:dyDescent="0.2">
      <c r="A2347" s="343" t="s">
        <v>538</v>
      </c>
      <c r="B2347" s="344" t="s">
        <v>444</v>
      </c>
      <c r="C2347" s="45"/>
      <c r="D2347" s="31">
        <v>3766760</v>
      </c>
      <c r="E2347" s="31">
        <v>4162417</v>
      </c>
      <c r="F2347" s="268" t="str">
        <f>IF(D2347="","",VLOOKUP(D2347,契約台帳!$A$3:$K$4986,6,FALSE)&amp;VLOOKUP(D2347,契約台帳!$A$3:$K$4986,7,FALSE)&amp;VLOOKUP(D2347,契約台帳!$A$3:$K$4986,8,FALSE)&amp;VLOOKUP(D2347,契約台帳!$A$3:$K$4986,9,FALSE)&amp;VLOOKUP(D2347,契約台帳!$A$3:$K$4986,11,FALSE))</f>
        <v>3SNMLBMNGKKBF</v>
      </c>
      <c r="G2347" s="269" t="str">
        <f>IF(D2347="","",VLOOKUP(F2347,製品マスタ!$G$5:$H$5002,2,FALSE))</f>
        <v>S</v>
      </c>
      <c r="H2347" s="269" t="str">
        <f>IF(D2347="","",VLOOKUP(F2347,製品マスタ!$G$5:$K$5002,5,FALSE))</f>
        <v>MNGKKBF</v>
      </c>
      <c r="I2347" s="270" t="str">
        <f>IF(D2347="","",VLOOKUP(F2347,製品マスタ!$G$5:$L$5002,6,FALSE))</f>
        <v>メタルミー　ネーマー銀消改　Ｂ</v>
      </c>
      <c r="J2347" s="210" t="s">
        <v>935</v>
      </c>
      <c r="K2347" s="270">
        <f>IF(D2347="","",VLOOKUP(D2347,契約台帳!$A$3:$L$4986,12,FALSE))</f>
        <v>50</v>
      </c>
      <c r="L2347" s="270" t="str">
        <f>IF(D2347="","",INDEX(製品マスタ!$Q$5:$Q$5002,MATCH('S4'!F2347&amp;'S4'!K2347,製品マスタ!$AO$5:$AO$5002,0)))</f>
        <v>S99-MAT</v>
      </c>
      <c r="M2347" s="39">
        <v>1120</v>
      </c>
      <c r="N2347" s="39">
        <v>4000</v>
      </c>
      <c r="O2347" s="156">
        <v>9</v>
      </c>
      <c r="P2347" s="47">
        <v>3</v>
      </c>
      <c r="Q2347" s="213">
        <v>45510</v>
      </c>
      <c r="R2347" s="271">
        <f ca="1">IF(D2347="","",IF(OFFSET(D2347,-1,0)&lt;&gt;"","",IF(OR(J2347="リード付け",J2347="巻足し",J2347="巻返しリード付け"),M2347,VLOOKUP(D2347,契約台帳!$A$3:$N$4986,14,FALSE))))</f>
        <v>1120</v>
      </c>
      <c r="S2347" s="272">
        <f ca="1">IF(D2347="","",IF(OFFSET(D2347,-1,0)&lt;&gt;"","",IF(OR(J2347="リード付け",J2347="巻足し",J2347="巻返しリード付け"),M2347,VLOOKUP(D2347,契約台帳!$A$3:$O$4986,15,FALSE))))</f>
        <v>1120</v>
      </c>
      <c r="T2347" s="273">
        <f ca="1">IF(D2347="","",IF(J2347="リード付け",N2347,IF(J2347="巻返しリード付け",N2347,IF(J2347="巻足し",N2347*P2347+OFFSET(N2347,1,0)*OFFSET(P2347,1,0),VLOOKUP(D2347,契約台帳!$A$3:$P$4986,16,FALSE)))))</f>
        <v>12000</v>
      </c>
      <c r="U2347" s="40">
        <v>3</v>
      </c>
      <c r="V2347" s="274">
        <f ca="1">IF(D2347="","",IF(OFFSET(D2347,-2,0)=D2347,"",VLOOKUP(D2347,契約台帳!$A$3:$R$4986,18,FALSE)))</f>
        <v>23</v>
      </c>
      <c r="W2347" s="269" t="str">
        <f ca="1">IF(D2347="","",IF(T2347="","",IF(OR(J2347="巻足し",J2347="巻返しリード付け"),"",IF(J2347="巻返し",VLOOKUP(F2347&amp;K2347&amp;M2347,製品マスタ!$M$5:$AD$5002,18,FALSE),IF(OR(J2347="リード付け",J2347="巻返しリード付け"),"原反コア",IF(J2347="スリット",VLOOKUP(F2347&amp;K2347&amp;R2347,製品マスタ!$N$5:$AD$5002,17,FALSE),""))))))</f>
        <v/>
      </c>
      <c r="X2347" s="269" t="str">
        <f ca="1">IF(D2347="","",IF(T2347="","",IF(J2347="巻足し","",IF(J2347="巻返し",VLOOKUP(F2347&amp;K2347&amp;M2347,製品マスタ!$M$5:$AE$5002,19,FALSE),IF(OR(J2347="リード付け",J2347="巻返しリード付け"),"",IF(J2347="スリット",VLOOKUP(F2347&amp;K2347&amp;R2347,製品マスタ!$N$5:$AE$5002,18,FALSE),""))))))</f>
        <v/>
      </c>
      <c r="Y2347" s="275">
        <f ca="1">IF(D2347="","",IF(T2347="","",VLOOKUP(D2347,契約台帳!$A$3:$Q$4986,17,FALSE)))</f>
        <v>2</v>
      </c>
      <c r="Z2347" s="269" t="str">
        <f ca="1">IF(D2347="","",IF(T2347="","",VLOOKUP(D2347,契約台帳!$A$3:$E$4986,5,FALSE)))</f>
        <v>リンテック㈱</v>
      </c>
      <c r="AA2347" s="57"/>
      <c r="AB2347" s="207">
        <f>IFERROR((VLOOKUP(F2347&amp;K2347&amp;M2347,製品マスタ!$M$5:$AM$5002,27,FALSE)),"")</f>
        <v>0</v>
      </c>
      <c r="AC2347" s="33"/>
      <c r="AD2347" s="189"/>
      <c r="AE2347" s="54"/>
      <c r="AF2347" s="55">
        <f>+M2347*N2347*O2347/1000</f>
        <v>40320</v>
      </c>
      <c r="AG2347" s="43"/>
      <c r="AH2347" s="47"/>
      <c r="AI2347" s="30"/>
      <c r="AJ2347" s="30"/>
      <c r="AK2347" s="30"/>
      <c r="AL2347" s="30"/>
      <c r="AM2347" s="13"/>
      <c r="AN2347" s="13"/>
      <c r="AO2347" s="13"/>
      <c r="AP2347" s="13"/>
      <c r="AQ2347" s="13"/>
      <c r="AR2347" s="14"/>
      <c r="AS2347" s="15"/>
    </row>
    <row r="2348" spans="1:45" s="17" customFormat="1" ht="30.95" hidden="1" customHeight="1" x14ac:dyDescent="0.2">
      <c r="A2348" s="343"/>
      <c r="B2348" s="344"/>
      <c r="C2348" s="345"/>
      <c r="D2348" s="346"/>
      <c r="E2348" s="346"/>
      <c r="F2348" s="268"/>
      <c r="G2348" s="269"/>
      <c r="H2348" s="269"/>
      <c r="I2348" s="270"/>
      <c r="J2348" s="434"/>
      <c r="K2348" s="270"/>
      <c r="L2348" s="270"/>
      <c r="M2348" s="348"/>
      <c r="N2348" s="348"/>
      <c r="O2348" s="435"/>
      <c r="P2348" s="349"/>
      <c r="Q2348" s="350"/>
      <c r="R2348" s="271"/>
      <c r="S2348" s="272"/>
      <c r="T2348" s="273"/>
      <c r="U2348" s="351"/>
      <c r="V2348" s="274"/>
      <c r="W2348" s="269"/>
      <c r="X2348" s="269"/>
      <c r="Y2348" s="275"/>
      <c r="Z2348" s="269"/>
      <c r="AA2348" s="350"/>
      <c r="AB2348" s="207"/>
      <c r="AC2348" s="352"/>
      <c r="AD2348" s="353"/>
      <c r="AE2348" s="54"/>
      <c r="AF2348" s="354"/>
      <c r="AG2348" s="355"/>
      <c r="AH2348" s="349"/>
      <c r="AI2348" s="30"/>
      <c r="AJ2348" s="30"/>
      <c r="AK2348" s="30"/>
      <c r="AL2348" s="30"/>
      <c r="AM2348" s="13"/>
      <c r="AN2348" s="13"/>
      <c r="AO2348" s="13"/>
      <c r="AP2348" s="13"/>
      <c r="AQ2348" s="13"/>
      <c r="AR2348" s="14"/>
      <c r="AS2348" s="15"/>
    </row>
    <row r="2349" spans="1:45" s="17" customFormat="1" ht="30.95" hidden="1" customHeight="1" x14ac:dyDescent="0.2">
      <c r="A2349" s="343"/>
      <c r="B2349" s="344"/>
      <c r="C2349" s="45"/>
      <c r="D2349" s="31" t="s">
        <v>1276</v>
      </c>
      <c r="E2349" s="414" t="s">
        <v>1277</v>
      </c>
      <c r="F2349" s="268" t="s">
        <v>1304</v>
      </c>
      <c r="G2349" s="269" t="s">
        <v>269</v>
      </c>
      <c r="H2349" s="269" t="s">
        <v>2919</v>
      </c>
      <c r="I2349" s="270" t="s">
        <v>2917</v>
      </c>
      <c r="J2349" s="210" t="s">
        <v>464</v>
      </c>
      <c r="K2349" s="270">
        <v>50</v>
      </c>
      <c r="L2349" s="270" t="s">
        <v>1320</v>
      </c>
      <c r="M2349" s="39">
        <v>1040</v>
      </c>
      <c r="N2349" s="39">
        <v>640</v>
      </c>
      <c r="O2349" s="156">
        <v>1</v>
      </c>
      <c r="P2349" s="47">
        <v>1</v>
      </c>
      <c r="Q2349" s="57"/>
      <c r="R2349" s="271">
        <v>1040</v>
      </c>
      <c r="S2349" s="272">
        <v>1040</v>
      </c>
      <c r="T2349" s="273">
        <v>640</v>
      </c>
      <c r="U2349" s="40">
        <v>1</v>
      </c>
      <c r="V2349" s="274">
        <v>1</v>
      </c>
      <c r="W2349" s="269" t="str">
        <f>IF(D2349="","",IF(T2349="","",IF(OR(J2349="巻足し",J2349="巻返しリード付け"),"",IF(J2349="巻返し",VLOOKUP(F2349&amp;K2349&amp;M2349,製品マスタ!$M$5:$AD$5002,18,FALSE),IF(OR(J2349="リード付け",J2349="巻返しリード付け"),"原反コア",IF(J2349="スリット",VLOOKUP(F2349&amp;K2349&amp;R2349,製品マスタ!$N$5:$AD$5002,17,FALSE),""))))))</f>
        <v>原反コア</v>
      </c>
      <c r="X2349" s="269" t="s">
        <v>928</v>
      </c>
      <c r="Y2349" s="275">
        <v>2</v>
      </c>
      <c r="Z2349" s="269" t="s">
        <v>116</v>
      </c>
      <c r="AA2349" s="57"/>
      <c r="AB2349" s="303" t="s">
        <v>774</v>
      </c>
      <c r="AC2349" s="33"/>
      <c r="AD2349" s="189"/>
      <c r="AE2349" s="54"/>
      <c r="AF2349" s="55"/>
      <c r="AG2349" s="43"/>
      <c r="AH2349" s="47"/>
      <c r="AI2349" s="30"/>
      <c r="AJ2349" s="30"/>
      <c r="AK2349" s="30"/>
      <c r="AL2349" s="30"/>
      <c r="AM2349" s="13"/>
      <c r="AN2349" s="13"/>
      <c r="AO2349" s="13"/>
      <c r="AP2349" s="13"/>
      <c r="AQ2349" s="13"/>
      <c r="AR2349" s="14"/>
      <c r="AS2349" s="15"/>
    </row>
    <row r="2350" spans="1:45" s="17" customFormat="1" ht="30.95" hidden="1" customHeight="1" x14ac:dyDescent="0.2">
      <c r="A2350" s="37"/>
      <c r="B2350" s="38"/>
      <c r="C2350" s="45"/>
      <c r="D2350" s="31"/>
      <c r="E2350" s="414"/>
      <c r="F2350" s="268"/>
      <c r="G2350" s="269"/>
      <c r="H2350" s="269"/>
      <c r="I2350" s="270"/>
      <c r="J2350" s="210"/>
      <c r="K2350" s="270"/>
      <c r="L2350" s="270"/>
      <c r="M2350" s="39"/>
      <c r="N2350" s="39"/>
      <c r="O2350" s="156"/>
      <c r="P2350" s="47"/>
      <c r="Q2350" s="57"/>
      <c r="R2350" s="271"/>
      <c r="S2350" s="272"/>
      <c r="T2350" s="273"/>
      <c r="U2350" s="40"/>
      <c r="V2350" s="274"/>
      <c r="W2350" s="269"/>
      <c r="X2350" s="269"/>
      <c r="Y2350" s="275"/>
      <c r="Z2350" s="269"/>
      <c r="AA2350" s="57"/>
      <c r="AB2350" s="303"/>
      <c r="AC2350" s="33"/>
      <c r="AD2350" s="189"/>
      <c r="AE2350" s="54"/>
      <c r="AF2350" s="55"/>
      <c r="AG2350" s="43"/>
      <c r="AH2350" s="47"/>
      <c r="AI2350" s="30"/>
      <c r="AJ2350" s="30"/>
      <c r="AK2350" s="30"/>
      <c r="AL2350" s="30"/>
      <c r="AM2350" s="13"/>
      <c r="AN2350" s="13"/>
      <c r="AO2350" s="13"/>
      <c r="AP2350" s="13"/>
      <c r="AQ2350" s="13"/>
      <c r="AR2350" s="14"/>
      <c r="AS2350" s="15"/>
    </row>
    <row r="2351" spans="1:45" s="17" customFormat="1" ht="30.95" hidden="1" customHeight="1" x14ac:dyDescent="0.2">
      <c r="A2351" s="37"/>
      <c r="B2351" s="38"/>
      <c r="C2351" s="45"/>
      <c r="D2351" s="31" t="s">
        <v>1276</v>
      </c>
      <c r="E2351" s="414" t="s">
        <v>1277</v>
      </c>
      <c r="F2351" s="268" t="s">
        <v>1304</v>
      </c>
      <c r="G2351" s="269" t="s">
        <v>269</v>
      </c>
      <c r="H2351" s="269" t="s">
        <v>2920</v>
      </c>
      <c r="I2351" s="270" t="s">
        <v>2918</v>
      </c>
      <c r="J2351" s="210" t="s">
        <v>464</v>
      </c>
      <c r="K2351" s="270">
        <v>50</v>
      </c>
      <c r="L2351" s="270" t="s">
        <v>2921</v>
      </c>
      <c r="M2351" s="39">
        <v>1040</v>
      </c>
      <c r="N2351" s="39">
        <v>515</v>
      </c>
      <c r="O2351" s="156">
        <v>1</v>
      </c>
      <c r="P2351" s="47">
        <v>1</v>
      </c>
      <c r="Q2351" s="57"/>
      <c r="R2351" s="271">
        <v>1040</v>
      </c>
      <c r="S2351" s="272">
        <v>1040</v>
      </c>
      <c r="T2351" s="273">
        <v>515</v>
      </c>
      <c r="U2351" s="40">
        <v>1</v>
      </c>
      <c r="V2351" s="274">
        <v>1</v>
      </c>
      <c r="W2351" s="269" t="str">
        <f>IF(D2351="","",IF(T2351="","",IF(OR(J2351="巻足し",J2351="巻返しリード付け"),"",IF(J2351="巻返し",VLOOKUP(F2351&amp;K2351&amp;M2351,製品マスタ!$M$5:$AD$5002,18,FALSE),IF(OR(J2351="リード付け",J2351="巻返しリード付け"),"原反コア",IF(J2351="スリット",VLOOKUP(F2351&amp;K2351&amp;R2351,製品マスタ!$N$5:$AD$5002,17,FALSE),""))))))</f>
        <v>原反コア</v>
      </c>
      <c r="X2351" s="269" t="s">
        <v>928</v>
      </c>
      <c r="Y2351" s="275">
        <v>2</v>
      </c>
      <c r="Z2351" s="269" t="s">
        <v>116</v>
      </c>
      <c r="AA2351" s="57"/>
      <c r="AB2351" s="303" t="s">
        <v>774</v>
      </c>
      <c r="AC2351" s="33"/>
      <c r="AD2351" s="189"/>
      <c r="AE2351" s="54"/>
      <c r="AF2351" s="55"/>
      <c r="AG2351" s="43"/>
      <c r="AH2351" s="47"/>
      <c r="AI2351" s="30"/>
      <c r="AJ2351" s="30"/>
      <c r="AK2351" s="30"/>
      <c r="AL2351" s="30"/>
      <c r="AM2351" s="13"/>
      <c r="AN2351" s="13"/>
      <c r="AO2351" s="13"/>
      <c r="AP2351" s="13"/>
      <c r="AQ2351" s="13"/>
      <c r="AR2351" s="14"/>
      <c r="AS2351" s="15"/>
    </row>
    <row r="2352" spans="1:45" s="17" customFormat="1" ht="30.95" hidden="1" customHeight="1" x14ac:dyDescent="0.2">
      <c r="A2352" s="343"/>
      <c r="B2352" s="344"/>
      <c r="C2352" s="345"/>
      <c r="D2352" s="346"/>
      <c r="E2352" s="346"/>
      <c r="F2352" s="268"/>
      <c r="G2352" s="269"/>
      <c r="H2352" s="269"/>
      <c r="I2352" s="270"/>
      <c r="J2352" s="434"/>
      <c r="K2352" s="270"/>
      <c r="L2352" s="270"/>
      <c r="M2352" s="348"/>
      <c r="N2352" s="348"/>
      <c r="O2352" s="435"/>
      <c r="P2352" s="349"/>
      <c r="Q2352" s="350"/>
      <c r="R2352" s="271"/>
      <c r="S2352" s="272"/>
      <c r="T2352" s="273"/>
      <c r="U2352" s="351"/>
      <c r="V2352" s="274"/>
      <c r="W2352" s="269"/>
      <c r="X2352" s="269"/>
      <c r="Y2352" s="275"/>
      <c r="Z2352" s="269"/>
      <c r="AA2352" s="350"/>
      <c r="AB2352" s="207"/>
      <c r="AC2352" s="352"/>
      <c r="AD2352" s="353"/>
      <c r="AE2352" s="54"/>
      <c r="AF2352" s="354"/>
      <c r="AG2352" s="355"/>
      <c r="AH2352" s="349"/>
      <c r="AI2352" s="30"/>
      <c r="AJ2352" s="30"/>
      <c r="AK2352" s="30"/>
      <c r="AL2352" s="30"/>
      <c r="AM2352" s="13"/>
      <c r="AN2352" s="13"/>
      <c r="AO2352" s="13"/>
      <c r="AP2352" s="13"/>
      <c r="AQ2352" s="13"/>
      <c r="AR2352" s="14"/>
      <c r="AS2352" s="15"/>
    </row>
    <row r="2353" spans="1:45" s="17" customFormat="1" ht="30.95" hidden="1" customHeight="1" x14ac:dyDescent="0.2">
      <c r="A2353" s="37"/>
      <c r="B2353" s="38"/>
      <c r="C2353" s="45"/>
      <c r="D2353" s="31" t="s">
        <v>1276</v>
      </c>
      <c r="E2353" s="414" t="s">
        <v>1277</v>
      </c>
      <c r="F2353" s="268" t="s">
        <v>1304</v>
      </c>
      <c r="G2353" s="269" t="s">
        <v>269</v>
      </c>
      <c r="H2353" s="269"/>
      <c r="I2353" s="270" t="s">
        <v>3078</v>
      </c>
      <c r="J2353" s="210" t="s">
        <v>574</v>
      </c>
      <c r="K2353" s="270">
        <v>50</v>
      </c>
      <c r="L2353" s="270"/>
      <c r="M2353" s="39">
        <v>1005</v>
      </c>
      <c r="N2353" s="39">
        <v>2240</v>
      </c>
      <c r="O2353" s="156">
        <v>1</v>
      </c>
      <c r="P2353" s="47">
        <v>1</v>
      </c>
      <c r="Q2353" s="57"/>
      <c r="R2353" s="271">
        <v>1005</v>
      </c>
      <c r="S2353" s="272">
        <v>1005</v>
      </c>
      <c r="T2353" s="273">
        <v>2240</v>
      </c>
      <c r="U2353" s="40">
        <v>1</v>
      </c>
      <c r="V2353" s="274">
        <v>1</v>
      </c>
      <c r="W2353" s="269" t="str">
        <f>IF(D2353="","",IF(T2353="","",IF(OR(J2353="巻足し",J2353="巻返しリード付け"),"",IF(J2353="巻返し",VLOOKUP(F2353&amp;K2353&amp;M2353,製品マスタ!$M$5:$AD$5002,18,FALSE),IF(OR(J2353="リード付け",J2353="巻返しリード付け"),"原反コア",IF(J2353="スリット",VLOOKUP(F2353&amp;K2353&amp;R2353,製品マスタ!$N$5:$AD$5002,17,FALSE),""))))))</f>
        <v/>
      </c>
      <c r="X2353" s="269" t="s">
        <v>928</v>
      </c>
      <c r="Y2353" s="275">
        <v>2</v>
      </c>
      <c r="Z2353" s="269" t="s">
        <v>116</v>
      </c>
      <c r="AA2353" s="57"/>
      <c r="AB2353" s="303" t="s">
        <v>774</v>
      </c>
      <c r="AC2353" s="33"/>
      <c r="AD2353" s="189"/>
      <c r="AE2353" s="54"/>
      <c r="AF2353" s="55"/>
      <c r="AG2353" s="43"/>
      <c r="AH2353" s="47"/>
      <c r="AI2353" s="30"/>
      <c r="AJ2353" s="30"/>
      <c r="AK2353" s="30"/>
      <c r="AL2353" s="30"/>
      <c r="AM2353" s="13"/>
      <c r="AN2353" s="13"/>
      <c r="AO2353" s="13"/>
      <c r="AP2353" s="13"/>
      <c r="AQ2353" s="13"/>
      <c r="AR2353" s="14"/>
      <c r="AS2353" s="15"/>
    </row>
    <row r="2354" spans="1:45" s="17" customFormat="1" ht="30.95" hidden="1" customHeight="1" x14ac:dyDescent="0.2">
      <c r="A2354" s="343"/>
      <c r="B2354" s="344"/>
      <c r="C2354" s="345"/>
      <c r="D2354" s="346"/>
      <c r="E2354" s="346"/>
      <c r="F2354" s="268"/>
      <c r="G2354" s="269"/>
      <c r="H2354" s="269"/>
      <c r="I2354" s="270"/>
      <c r="J2354" s="434"/>
      <c r="K2354" s="270"/>
      <c r="L2354" s="270"/>
      <c r="M2354" s="348"/>
      <c r="N2354" s="348"/>
      <c r="O2354" s="435"/>
      <c r="P2354" s="349"/>
      <c r="Q2354" s="350"/>
      <c r="R2354" s="271"/>
      <c r="S2354" s="272"/>
      <c r="T2354" s="273"/>
      <c r="U2354" s="351"/>
      <c r="V2354" s="274"/>
      <c r="W2354" s="269"/>
      <c r="X2354" s="269"/>
      <c r="Y2354" s="275"/>
      <c r="Z2354" s="269"/>
      <c r="AA2354" s="350"/>
      <c r="AB2354" s="207"/>
      <c r="AC2354" s="352"/>
      <c r="AD2354" s="353"/>
      <c r="AE2354" s="54"/>
      <c r="AF2354" s="354"/>
      <c r="AG2354" s="355"/>
      <c r="AH2354" s="349"/>
      <c r="AI2354" s="30"/>
      <c r="AJ2354" s="30"/>
      <c r="AK2354" s="30"/>
      <c r="AL2354" s="30"/>
      <c r="AM2354" s="13"/>
      <c r="AN2354" s="13"/>
      <c r="AO2354" s="13"/>
      <c r="AP2354" s="13"/>
      <c r="AQ2354" s="13"/>
      <c r="AR2354" s="14"/>
      <c r="AS2354" s="15"/>
    </row>
    <row r="2355" spans="1:45" s="17" customFormat="1" ht="30.95" hidden="1" customHeight="1" x14ac:dyDescent="0.2">
      <c r="A2355" s="343" t="s">
        <v>3081</v>
      </c>
      <c r="B2355" s="344" t="s">
        <v>3082</v>
      </c>
      <c r="C2355" s="345"/>
      <c r="D2355" s="346"/>
      <c r="E2355" s="346"/>
      <c r="F2355" s="268"/>
      <c r="G2355" s="269"/>
      <c r="H2355" s="269"/>
      <c r="I2355" s="270"/>
      <c r="J2355" s="434"/>
      <c r="K2355" s="270"/>
      <c r="L2355" s="270"/>
      <c r="M2355" s="348"/>
      <c r="N2355" s="348"/>
      <c r="O2355" s="435"/>
      <c r="P2355" s="349"/>
      <c r="Q2355" s="350"/>
      <c r="R2355" s="271"/>
      <c r="S2355" s="272"/>
      <c r="T2355" s="273"/>
      <c r="U2355" s="351"/>
      <c r="V2355" s="274"/>
      <c r="W2355" s="269"/>
      <c r="X2355" s="269"/>
      <c r="Y2355" s="275"/>
      <c r="Z2355" s="269"/>
      <c r="AA2355" s="350"/>
      <c r="AB2355" s="207"/>
      <c r="AC2355" s="352"/>
      <c r="AD2355" s="353"/>
      <c r="AE2355" s="54"/>
      <c r="AF2355" s="354"/>
      <c r="AG2355" s="355"/>
      <c r="AH2355" s="349"/>
      <c r="AI2355" s="30"/>
      <c r="AJ2355" s="30"/>
      <c r="AK2355" s="30"/>
      <c r="AL2355" s="30"/>
      <c r="AM2355" s="13"/>
      <c r="AN2355" s="13"/>
      <c r="AO2355" s="13"/>
      <c r="AP2355" s="13"/>
      <c r="AQ2355" s="13"/>
      <c r="AR2355" s="14"/>
      <c r="AS2355" s="15"/>
    </row>
    <row r="2356" spans="1:45" s="17" customFormat="1" ht="30.95" hidden="1" customHeight="1" x14ac:dyDescent="0.2">
      <c r="A2356" s="343"/>
      <c r="B2356" s="344"/>
      <c r="C2356" s="345"/>
      <c r="D2356" s="346"/>
      <c r="E2356" s="346"/>
      <c r="F2356" s="268"/>
      <c r="G2356" s="269"/>
      <c r="H2356" s="269"/>
      <c r="I2356" s="270"/>
      <c r="J2356" s="434"/>
      <c r="K2356" s="270"/>
      <c r="L2356" s="270"/>
      <c r="M2356" s="348"/>
      <c r="N2356" s="348"/>
      <c r="O2356" s="435"/>
      <c r="P2356" s="349"/>
      <c r="Q2356" s="350"/>
      <c r="R2356" s="271"/>
      <c r="S2356" s="272"/>
      <c r="T2356" s="273"/>
      <c r="U2356" s="351"/>
      <c r="V2356" s="274"/>
      <c r="W2356" s="269"/>
      <c r="X2356" s="269"/>
      <c r="Y2356" s="275"/>
      <c r="Z2356" s="269"/>
      <c r="AA2356" s="350"/>
      <c r="AB2356" s="207"/>
      <c r="AC2356" s="352"/>
      <c r="AD2356" s="353"/>
      <c r="AE2356" s="54"/>
      <c r="AF2356" s="354"/>
      <c r="AG2356" s="355"/>
      <c r="AH2356" s="349"/>
      <c r="AI2356" s="30"/>
      <c r="AJ2356" s="30"/>
      <c r="AK2356" s="30"/>
      <c r="AL2356" s="30"/>
      <c r="AM2356" s="13"/>
      <c r="AN2356" s="13"/>
      <c r="AO2356" s="13"/>
      <c r="AP2356" s="13"/>
      <c r="AQ2356" s="13"/>
      <c r="AR2356" s="14"/>
      <c r="AS2356" s="15"/>
    </row>
    <row r="2357" spans="1:45" s="17" customFormat="1" ht="30.95" hidden="1" customHeight="1" x14ac:dyDescent="0.2">
      <c r="A2357" s="343" t="s">
        <v>3020</v>
      </c>
      <c r="B2357" s="344" t="s">
        <v>3021</v>
      </c>
      <c r="C2357" s="345"/>
      <c r="D2357" s="346"/>
      <c r="E2357" s="346"/>
      <c r="F2357" s="268"/>
      <c r="G2357" s="269"/>
      <c r="H2357" s="269"/>
      <c r="I2357" s="270"/>
      <c r="J2357" s="434" t="s">
        <v>448</v>
      </c>
      <c r="K2357" s="270"/>
      <c r="L2357" s="270"/>
      <c r="M2357" s="348"/>
      <c r="N2357" s="348"/>
      <c r="O2357" s="435"/>
      <c r="P2357" s="349"/>
      <c r="Q2357" s="350"/>
      <c r="R2357" s="271"/>
      <c r="S2357" s="272"/>
      <c r="T2357" s="273"/>
      <c r="U2357" s="351"/>
      <c r="V2357" s="274"/>
      <c r="W2357" s="269"/>
      <c r="X2357" s="269"/>
      <c r="Y2357" s="275"/>
      <c r="Z2357" s="269"/>
      <c r="AA2357" s="350"/>
      <c r="AB2357" s="207"/>
      <c r="AC2357" s="352"/>
      <c r="AD2357" s="353"/>
      <c r="AE2357" s="54"/>
      <c r="AF2357" s="354"/>
      <c r="AG2357" s="355"/>
      <c r="AH2357" s="349"/>
      <c r="AI2357" s="30"/>
      <c r="AJ2357" s="30"/>
      <c r="AK2357" s="30"/>
      <c r="AL2357" s="30"/>
      <c r="AM2357" s="13"/>
      <c r="AN2357" s="13"/>
      <c r="AO2357" s="13"/>
      <c r="AP2357" s="13"/>
      <c r="AQ2357" s="13"/>
      <c r="AR2357" s="14"/>
      <c r="AS2357" s="15"/>
    </row>
    <row r="2358" spans="1:45" s="17" customFormat="1" ht="30.95" hidden="1" customHeight="1" x14ac:dyDescent="0.2">
      <c r="A2358" s="343"/>
      <c r="B2358" s="344"/>
      <c r="C2358" s="345"/>
      <c r="D2358" s="346"/>
      <c r="E2358" s="346"/>
      <c r="F2358" s="268"/>
      <c r="G2358" s="269"/>
      <c r="H2358" s="269"/>
      <c r="I2358" s="270"/>
      <c r="J2358" s="434"/>
      <c r="K2358" s="270"/>
      <c r="L2358" s="270"/>
      <c r="M2358" s="348"/>
      <c r="N2358" s="348"/>
      <c r="O2358" s="435"/>
      <c r="P2358" s="349"/>
      <c r="Q2358" s="350"/>
      <c r="R2358" s="271"/>
      <c r="S2358" s="272"/>
      <c r="T2358" s="273"/>
      <c r="U2358" s="351"/>
      <c r="V2358" s="274"/>
      <c r="W2358" s="269"/>
      <c r="X2358" s="269"/>
      <c r="Y2358" s="275"/>
      <c r="Z2358" s="269"/>
      <c r="AA2358" s="350"/>
      <c r="AB2358" s="207"/>
      <c r="AC2358" s="352"/>
      <c r="AD2358" s="353"/>
      <c r="AE2358" s="54"/>
      <c r="AF2358" s="354"/>
      <c r="AG2358" s="355"/>
      <c r="AH2358" s="349"/>
      <c r="AI2358" s="30"/>
      <c r="AJ2358" s="30"/>
      <c r="AK2358" s="30"/>
      <c r="AL2358" s="30"/>
      <c r="AM2358" s="13"/>
      <c r="AN2358" s="13"/>
      <c r="AO2358" s="13"/>
      <c r="AP2358" s="13"/>
      <c r="AQ2358" s="13"/>
      <c r="AR2358" s="14"/>
      <c r="AS2358" s="15"/>
    </row>
    <row r="2359" spans="1:45" s="17" customFormat="1" ht="30.95" hidden="1" customHeight="1" x14ac:dyDescent="0.2">
      <c r="A2359" s="343" t="s">
        <v>3022</v>
      </c>
      <c r="B2359" s="344" t="s">
        <v>3023</v>
      </c>
      <c r="C2359" s="345"/>
      <c r="D2359" s="346"/>
      <c r="E2359" s="346"/>
      <c r="F2359" s="268"/>
      <c r="G2359" s="269"/>
      <c r="H2359" s="269"/>
      <c r="I2359" s="270"/>
      <c r="J2359" s="434" t="s">
        <v>448</v>
      </c>
      <c r="K2359" s="270"/>
      <c r="L2359" s="270"/>
      <c r="M2359" s="348"/>
      <c r="N2359" s="348"/>
      <c r="O2359" s="435"/>
      <c r="P2359" s="349"/>
      <c r="Q2359" s="350"/>
      <c r="R2359" s="271"/>
      <c r="S2359" s="272"/>
      <c r="T2359" s="273"/>
      <c r="U2359" s="351"/>
      <c r="V2359" s="274"/>
      <c r="W2359" s="269"/>
      <c r="X2359" s="269"/>
      <c r="Y2359" s="275"/>
      <c r="Z2359" s="269"/>
      <c r="AA2359" s="350"/>
      <c r="AB2359" s="207"/>
      <c r="AC2359" s="352"/>
      <c r="AD2359" s="353"/>
      <c r="AE2359" s="54"/>
      <c r="AF2359" s="354"/>
      <c r="AG2359" s="355"/>
      <c r="AH2359" s="349"/>
      <c r="AI2359" s="30"/>
      <c r="AJ2359" s="30"/>
      <c r="AK2359" s="30"/>
      <c r="AL2359" s="30"/>
      <c r="AM2359" s="13"/>
      <c r="AN2359" s="13"/>
      <c r="AO2359" s="13"/>
      <c r="AP2359" s="13"/>
      <c r="AQ2359" s="13"/>
      <c r="AR2359" s="14"/>
      <c r="AS2359" s="15"/>
    </row>
    <row r="2360" spans="1:45" s="17" customFormat="1" ht="30.95" hidden="1" customHeight="1" x14ac:dyDescent="0.2">
      <c r="A2360" s="343"/>
      <c r="B2360" s="344"/>
      <c r="C2360" s="345"/>
      <c r="D2360" s="346"/>
      <c r="E2360" s="346"/>
      <c r="F2360" s="268"/>
      <c r="G2360" s="269"/>
      <c r="H2360" s="269"/>
      <c r="I2360" s="270"/>
      <c r="J2360" s="434"/>
      <c r="K2360" s="270"/>
      <c r="L2360" s="270"/>
      <c r="M2360" s="348"/>
      <c r="N2360" s="348"/>
      <c r="O2360" s="435"/>
      <c r="P2360" s="349"/>
      <c r="Q2360" s="350"/>
      <c r="R2360" s="271"/>
      <c r="S2360" s="272"/>
      <c r="T2360" s="273"/>
      <c r="U2360" s="351"/>
      <c r="V2360" s="274"/>
      <c r="W2360" s="269"/>
      <c r="X2360" s="269"/>
      <c r="Y2360" s="275"/>
      <c r="Z2360" s="269"/>
      <c r="AA2360" s="350"/>
      <c r="AB2360" s="207"/>
      <c r="AC2360" s="352"/>
      <c r="AD2360" s="353"/>
      <c r="AE2360" s="54"/>
      <c r="AF2360" s="354"/>
      <c r="AG2360" s="355"/>
      <c r="AH2360" s="349"/>
      <c r="AI2360" s="30"/>
      <c r="AJ2360" s="30"/>
      <c r="AK2360" s="30"/>
      <c r="AL2360" s="30"/>
      <c r="AM2360" s="13"/>
      <c r="AN2360" s="13"/>
      <c r="AO2360" s="13"/>
      <c r="AP2360" s="13"/>
      <c r="AQ2360" s="13"/>
      <c r="AR2360" s="14"/>
      <c r="AS2360" s="15"/>
    </row>
    <row r="2361" spans="1:45" s="17" customFormat="1" ht="30.95" hidden="1" customHeight="1" x14ac:dyDescent="0.2">
      <c r="A2361" s="343" t="s">
        <v>3024</v>
      </c>
      <c r="B2361" s="344" t="s">
        <v>3025</v>
      </c>
      <c r="C2361" s="345"/>
      <c r="D2361" s="346"/>
      <c r="E2361" s="346"/>
      <c r="F2361" s="268"/>
      <c r="G2361" s="269"/>
      <c r="H2361" s="269"/>
      <c r="I2361" s="270"/>
      <c r="J2361" s="434" t="s">
        <v>448</v>
      </c>
      <c r="K2361" s="270"/>
      <c r="L2361" s="270"/>
      <c r="M2361" s="348"/>
      <c r="N2361" s="348"/>
      <c r="O2361" s="435"/>
      <c r="P2361" s="349"/>
      <c r="Q2361" s="350"/>
      <c r="R2361" s="271"/>
      <c r="S2361" s="272"/>
      <c r="T2361" s="273"/>
      <c r="U2361" s="351"/>
      <c r="V2361" s="274"/>
      <c r="W2361" s="269"/>
      <c r="X2361" s="269"/>
      <c r="Y2361" s="275"/>
      <c r="Z2361" s="269"/>
      <c r="AA2361" s="350"/>
      <c r="AB2361" s="207"/>
      <c r="AC2361" s="352"/>
      <c r="AD2361" s="353"/>
      <c r="AE2361" s="54"/>
      <c r="AF2361" s="354"/>
      <c r="AG2361" s="355"/>
      <c r="AH2361" s="349"/>
      <c r="AI2361" s="30"/>
      <c r="AJ2361" s="30"/>
      <c r="AK2361" s="30"/>
      <c r="AL2361" s="30"/>
      <c r="AM2361" s="13"/>
      <c r="AN2361" s="13"/>
      <c r="AO2361" s="13"/>
      <c r="AP2361" s="13"/>
      <c r="AQ2361" s="13"/>
      <c r="AR2361" s="14"/>
      <c r="AS2361" s="15"/>
    </row>
    <row r="2362" spans="1:45" s="17" customFormat="1" ht="30.95" hidden="1" customHeight="1" x14ac:dyDescent="0.2">
      <c r="A2362" s="343"/>
      <c r="B2362" s="344"/>
      <c r="C2362" s="345"/>
      <c r="D2362" s="346"/>
      <c r="E2362" s="346"/>
      <c r="F2362" s="268"/>
      <c r="G2362" s="269"/>
      <c r="H2362" s="269"/>
      <c r="I2362" s="270"/>
      <c r="J2362" s="434"/>
      <c r="K2362" s="270"/>
      <c r="L2362" s="270"/>
      <c r="M2362" s="348"/>
      <c r="N2362" s="348"/>
      <c r="O2362" s="435"/>
      <c r="P2362" s="349"/>
      <c r="Q2362" s="350"/>
      <c r="R2362" s="271"/>
      <c r="S2362" s="272"/>
      <c r="T2362" s="273"/>
      <c r="U2362" s="351"/>
      <c r="V2362" s="274"/>
      <c r="W2362" s="269"/>
      <c r="X2362" s="269"/>
      <c r="Y2362" s="275"/>
      <c r="Z2362" s="269"/>
      <c r="AA2362" s="350"/>
      <c r="AB2362" s="207"/>
      <c r="AC2362" s="352"/>
      <c r="AD2362" s="353"/>
      <c r="AE2362" s="54"/>
      <c r="AF2362" s="354"/>
      <c r="AG2362" s="355"/>
      <c r="AH2362" s="349"/>
      <c r="AI2362" s="30"/>
      <c r="AJ2362" s="30"/>
      <c r="AK2362" s="30"/>
      <c r="AL2362" s="30"/>
      <c r="AM2362" s="13"/>
      <c r="AN2362" s="13"/>
      <c r="AO2362" s="13"/>
      <c r="AP2362" s="13"/>
      <c r="AQ2362" s="13"/>
      <c r="AR2362" s="14"/>
      <c r="AS2362" s="15"/>
    </row>
    <row r="2363" spans="1:45" s="17" customFormat="1" ht="30.95" hidden="1" customHeight="1" x14ac:dyDescent="0.2">
      <c r="A2363" s="343" t="s">
        <v>3026</v>
      </c>
      <c r="B2363" s="344" t="s">
        <v>3027</v>
      </c>
      <c r="C2363" s="345"/>
      <c r="D2363" s="346"/>
      <c r="E2363" s="346"/>
      <c r="F2363" s="268"/>
      <c r="G2363" s="269"/>
      <c r="H2363" s="269"/>
      <c r="I2363" s="270"/>
      <c r="J2363" s="434" t="s">
        <v>448</v>
      </c>
      <c r="K2363" s="270"/>
      <c r="L2363" s="270"/>
      <c r="M2363" s="348"/>
      <c r="N2363" s="348"/>
      <c r="O2363" s="435"/>
      <c r="P2363" s="349"/>
      <c r="Q2363" s="350"/>
      <c r="R2363" s="271"/>
      <c r="S2363" s="272"/>
      <c r="T2363" s="273"/>
      <c r="U2363" s="351"/>
      <c r="V2363" s="274"/>
      <c r="W2363" s="269"/>
      <c r="X2363" s="269"/>
      <c r="Y2363" s="275"/>
      <c r="Z2363" s="269"/>
      <c r="AA2363" s="350"/>
      <c r="AB2363" s="207"/>
      <c r="AC2363" s="352"/>
      <c r="AD2363" s="353"/>
      <c r="AE2363" s="54"/>
      <c r="AF2363" s="354"/>
      <c r="AG2363" s="355"/>
      <c r="AH2363" s="349"/>
      <c r="AI2363" s="30"/>
      <c r="AJ2363" s="30"/>
      <c r="AK2363" s="30"/>
      <c r="AL2363" s="30"/>
      <c r="AM2363" s="13"/>
      <c r="AN2363" s="13"/>
      <c r="AO2363" s="13"/>
      <c r="AP2363" s="13"/>
      <c r="AQ2363" s="13"/>
      <c r="AR2363" s="14"/>
      <c r="AS2363" s="15"/>
    </row>
    <row r="2364" spans="1:45" s="17" customFormat="1" ht="30.95" hidden="1" customHeight="1" x14ac:dyDescent="0.2">
      <c r="A2364" s="343"/>
      <c r="B2364" s="344"/>
      <c r="C2364" s="345"/>
      <c r="D2364" s="346"/>
      <c r="E2364" s="346"/>
      <c r="F2364" s="268"/>
      <c r="G2364" s="269"/>
      <c r="H2364" s="269"/>
      <c r="I2364" s="270"/>
      <c r="J2364" s="434"/>
      <c r="K2364" s="270"/>
      <c r="L2364" s="270"/>
      <c r="M2364" s="348"/>
      <c r="N2364" s="348"/>
      <c r="O2364" s="435"/>
      <c r="P2364" s="349"/>
      <c r="Q2364" s="350"/>
      <c r="R2364" s="271"/>
      <c r="S2364" s="272"/>
      <c r="T2364" s="273"/>
      <c r="U2364" s="351"/>
      <c r="V2364" s="274"/>
      <c r="W2364" s="269"/>
      <c r="X2364" s="269"/>
      <c r="Y2364" s="275"/>
      <c r="Z2364" s="269"/>
      <c r="AA2364" s="350"/>
      <c r="AB2364" s="207"/>
      <c r="AC2364" s="352"/>
      <c r="AD2364" s="353"/>
      <c r="AE2364" s="54"/>
      <c r="AF2364" s="354"/>
      <c r="AG2364" s="355"/>
      <c r="AH2364" s="349"/>
      <c r="AI2364" s="30"/>
      <c r="AJ2364" s="30"/>
      <c r="AK2364" s="30"/>
      <c r="AL2364" s="30"/>
      <c r="AM2364" s="13"/>
      <c r="AN2364" s="13"/>
      <c r="AO2364" s="13"/>
      <c r="AP2364" s="13"/>
      <c r="AQ2364" s="13"/>
      <c r="AR2364" s="14"/>
      <c r="AS2364" s="15"/>
    </row>
    <row r="2365" spans="1:45" s="17" customFormat="1" ht="30.95" hidden="1" customHeight="1" x14ac:dyDescent="0.2">
      <c r="A2365" s="343" t="s">
        <v>3028</v>
      </c>
      <c r="B2365" s="344" t="s">
        <v>3029</v>
      </c>
      <c r="C2365" s="345"/>
      <c r="D2365" s="346"/>
      <c r="E2365" s="346"/>
      <c r="F2365" s="268"/>
      <c r="G2365" s="269"/>
      <c r="H2365" s="269"/>
      <c r="I2365" s="270"/>
      <c r="J2365" s="434" t="s">
        <v>448</v>
      </c>
      <c r="K2365" s="270"/>
      <c r="L2365" s="270"/>
      <c r="M2365" s="348"/>
      <c r="N2365" s="348"/>
      <c r="O2365" s="435"/>
      <c r="P2365" s="349"/>
      <c r="Q2365" s="350"/>
      <c r="R2365" s="271"/>
      <c r="S2365" s="272"/>
      <c r="T2365" s="273"/>
      <c r="U2365" s="351"/>
      <c r="V2365" s="274"/>
      <c r="W2365" s="269"/>
      <c r="X2365" s="269"/>
      <c r="Y2365" s="275"/>
      <c r="Z2365" s="269"/>
      <c r="AA2365" s="350"/>
      <c r="AB2365" s="207"/>
      <c r="AC2365" s="352"/>
      <c r="AD2365" s="353"/>
      <c r="AE2365" s="54"/>
      <c r="AF2365" s="354"/>
      <c r="AG2365" s="355"/>
      <c r="AH2365" s="349"/>
      <c r="AI2365" s="30"/>
      <c r="AJ2365" s="30"/>
      <c r="AK2365" s="30"/>
      <c r="AL2365" s="30"/>
      <c r="AM2365" s="13"/>
      <c r="AN2365" s="13"/>
      <c r="AO2365" s="13"/>
      <c r="AP2365" s="13"/>
      <c r="AQ2365" s="13"/>
      <c r="AR2365" s="14"/>
      <c r="AS2365" s="15"/>
    </row>
    <row r="2366" spans="1:45" s="17" customFormat="1" ht="30.95" hidden="1" customHeight="1" x14ac:dyDescent="0.2">
      <c r="A2366" s="343"/>
      <c r="B2366" s="344"/>
      <c r="C2366" s="345"/>
      <c r="D2366" s="346"/>
      <c r="E2366" s="346"/>
      <c r="F2366" s="268"/>
      <c r="G2366" s="269"/>
      <c r="H2366" s="269"/>
      <c r="I2366" s="270"/>
      <c r="J2366" s="434"/>
      <c r="K2366" s="270"/>
      <c r="L2366" s="270"/>
      <c r="M2366" s="348"/>
      <c r="N2366" s="348"/>
      <c r="O2366" s="435"/>
      <c r="P2366" s="349"/>
      <c r="Q2366" s="350"/>
      <c r="R2366" s="271"/>
      <c r="S2366" s="272"/>
      <c r="T2366" s="273"/>
      <c r="U2366" s="351"/>
      <c r="V2366" s="274"/>
      <c r="W2366" s="269"/>
      <c r="X2366" s="269"/>
      <c r="Y2366" s="275"/>
      <c r="Z2366" s="269"/>
      <c r="AA2366" s="350"/>
      <c r="AB2366" s="207"/>
      <c r="AC2366" s="352"/>
      <c r="AD2366" s="353"/>
      <c r="AE2366" s="54"/>
      <c r="AF2366" s="354"/>
      <c r="AG2366" s="355"/>
      <c r="AH2366" s="349"/>
      <c r="AI2366" s="30"/>
      <c r="AJ2366" s="30"/>
      <c r="AK2366" s="30"/>
      <c r="AL2366" s="30"/>
      <c r="AM2366" s="13"/>
      <c r="AN2366" s="13"/>
      <c r="AO2366" s="13"/>
      <c r="AP2366" s="13"/>
      <c r="AQ2366" s="13"/>
      <c r="AR2366" s="14"/>
      <c r="AS2366" s="15"/>
    </row>
    <row r="2367" spans="1:45" s="17" customFormat="1" ht="30.95" hidden="1" customHeight="1" x14ac:dyDescent="0.2">
      <c r="A2367" s="343" t="s">
        <v>3030</v>
      </c>
      <c r="B2367" s="344" t="s">
        <v>3031</v>
      </c>
      <c r="C2367" s="345"/>
      <c r="D2367" s="346"/>
      <c r="E2367" s="346"/>
      <c r="F2367" s="268"/>
      <c r="G2367" s="269"/>
      <c r="H2367" s="269"/>
      <c r="I2367" s="304" t="s">
        <v>3036</v>
      </c>
      <c r="J2367" s="434"/>
      <c r="K2367" s="270"/>
      <c r="L2367" s="270"/>
      <c r="M2367" s="348"/>
      <c r="N2367" s="348"/>
      <c r="O2367" s="435"/>
      <c r="P2367" s="349"/>
      <c r="Q2367" s="350"/>
      <c r="R2367" s="271"/>
      <c r="S2367" s="272"/>
      <c r="T2367" s="273"/>
      <c r="U2367" s="351"/>
      <c r="V2367" s="274"/>
      <c r="W2367" s="269"/>
      <c r="X2367" s="269"/>
      <c r="Y2367" s="275"/>
      <c r="Z2367" s="269"/>
      <c r="AA2367" s="350"/>
      <c r="AB2367" s="207"/>
      <c r="AC2367" s="352"/>
      <c r="AD2367" s="353"/>
      <c r="AE2367" s="54"/>
      <c r="AF2367" s="354"/>
      <c r="AG2367" s="355"/>
      <c r="AH2367" s="349"/>
      <c r="AI2367" s="30"/>
      <c r="AJ2367" s="30"/>
      <c r="AK2367" s="30"/>
      <c r="AL2367" s="30"/>
      <c r="AM2367" s="13"/>
      <c r="AN2367" s="13"/>
      <c r="AO2367" s="13"/>
      <c r="AP2367" s="13"/>
      <c r="AQ2367" s="13"/>
      <c r="AR2367" s="14"/>
      <c r="AS2367" s="15"/>
    </row>
    <row r="2368" spans="1:45" s="17" customFormat="1" ht="30.95" hidden="1" customHeight="1" x14ac:dyDescent="0.2">
      <c r="A2368" s="343"/>
      <c r="B2368" s="344"/>
      <c r="C2368" s="345"/>
      <c r="D2368" s="346"/>
      <c r="E2368" s="346"/>
      <c r="F2368" s="268"/>
      <c r="G2368" s="269"/>
      <c r="H2368" s="269"/>
      <c r="I2368" s="270"/>
      <c r="J2368" s="434"/>
      <c r="K2368" s="270"/>
      <c r="L2368" s="270"/>
      <c r="M2368" s="348"/>
      <c r="N2368" s="348"/>
      <c r="O2368" s="435"/>
      <c r="P2368" s="349"/>
      <c r="Q2368" s="350"/>
      <c r="R2368" s="271"/>
      <c r="S2368" s="272"/>
      <c r="T2368" s="273"/>
      <c r="U2368" s="351"/>
      <c r="V2368" s="274"/>
      <c r="W2368" s="269"/>
      <c r="X2368" s="269"/>
      <c r="Y2368" s="275"/>
      <c r="Z2368" s="269"/>
      <c r="AA2368" s="350"/>
      <c r="AB2368" s="207"/>
      <c r="AC2368" s="352"/>
      <c r="AD2368" s="353"/>
      <c r="AE2368" s="54"/>
      <c r="AF2368" s="354"/>
      <c r="AG2368" s="355"/>
      <c r="AH2368" s="349"/>
      <c r="AI2368" s="30"/>
      <c r="AJ2368" s="30"/>
      <c r="AK2368" s="30"/>
      <c r="AL2368" s="30"/>
      <c r="AM2368" s="13"/>
      <c r="AN2368" s="13"/>
      <c r="AO2368" s="13"/>
      <c r="AP2368" s="13"/>
      <c r="AQ2368" s="13"/>
      <c r="AR2368" s="14"/>
      <c r="AS2368" s="15"/>
    </row>
    <row r="2369" spans="1:45" s="17" customFormat="1" ht="30.95" hidden="1" customHeight="1" x14ac:dyDescent="0.2">
      <c r="A2369" s="343" t="s">
        <v>3032</v>
      </c>
      <c r="B2369" s="344" t="s">
        <v>3033</v>
      </c>
      <c r="C2369" s="345"/>
      <c r="D2369" s="346"/>
      <c r="E2369" s="346"/>
      <c r="F2369" s="268"/>
      <c r="G2369" s="269"/>
      <c r="H2369" s="269"/>
      <c r="I2369" s="304" t="s">
        <v>3036</v>
      </c>
      <c r="J2369" s="434"/>
      <c r="K2369" s="270"/>
      <c r="L2369" s="270"/>
      <c r="M2369" s="348"/>
      <c r="N2369" s="348"/>
      <c r="O2369" s="435"/>
      <c r="P2369" s="349"/>
      <c r="Q2369" s="350"/>
      <c r="R2369" s="271"/>
      <c r="S2369" s="272"/>
      <c r="T2369" s="273"/>
      <c r="U2369" s="351"/>
      <c r="V2369" s="274"/>
      <c r="W2369" s="269"/>
      <c r="X2369" s="269"/>
      <c r="Y2369" s="275"/>
      <c r="Z2369" s="269"/>
      <c r="AA2369" s="350"/>
      <c r="AB2369" s="207"/>
      <c r="AC2369" s="352"/>
      <c r="AD2369" s="353"/>
      <c r="AE2369" s="54"/>
      <c r="AF2369" s="354"/>
      <c r="AG2369" s="355"/>
      <c r="AH2369" s="349"/>
      <c r="AI2369" s="30"/>
      <c r="AJ2369" s="30"/>
      <c r="AK2369" s="30"/>
      <c r="AL2369" s="30"/>
      <c r="AM2369" s="13"/>
      <c r="AN2369" s="13"/>
      <c r="AO2369" s="13"/>
      <c r="AP2369" s="13"/>
      <c r="AQ2369" s="13"/>
      <c r="AR2369" s="14"/>
      <c r="AS2369" s="15"/>
    </row>
    <row r="2370" spans="1:45" s="17" customFormat="1" ht="30.95" hidden="1" customHeight="1" x14ac:dyDescent="0.2">
      <c r="A2370" s="343"/>
      <c r="B2370" s="344"/>
      <c r="C2370" s="345"/>
      <c r="D2370" s="346"/>
      <c r="E2370" s="346"/>
      <c r="F2370" s="268"/>
      <c r="G2370" s="269"/>
      <c r="H2370" s="269"/>
      <c r="I2370" s="270"/>
      <c r="J2370" s="434"/>
      <c r="K2370" s="270"/>
      <c r="L2370" s="270"/>
      <c r="M2370" s="348"/>
      <c r="N2370" s="348"/>
      <c r="O2370" s="435"/>
      <c r="P2370" s="349"/>
      <c r="Q2370" s="350"/>
      <c r="R2370" s="271"/>
      <c r="S2370" s="272"/>
      <c r="T2370" s="273"/>
      <c r="U2370" s="351"/>
      <c r="V2370" s="274"/>
      <c r="W2370" s="269"/>
      <c r="X2370" s="269"/>
      <c r="Y2370" s="275"/>
      <c r="Z2370" s="269"/>
      <c r="AA2370" s="350"/>
      <c r="AB2370" s="207"/>
      <c r="AC2370" s="352"/>
      <c r="AD2370" s="353"/>
      <c r="AE2370" s="54"/>
      <c r="AF2370" s="354"/>
      <c r="AG2370" s="355"/>
      <c r="AH2370" s="349"/>
      <c r="AI2370" s="30"/>
      <c r="AJ2370" s="30"/>
      <c r="AK2370" s="30"/>
      <c r="AL2370" s="30"/>
      <c r="AM2370" s="13"/>
      <c r="AN2370" s="13"/>
      <c r="AO2370" s="13"/>
      <c r="AP2370" s="13"/>
      <c r="AQ2370" s="13"/>
      <c r="AR2370" s="14"/>
      <c r="AS2370" s="15"/>
    </row>
    <row r="2371" spans="1:45" s="17" customFormat="1" ht="30.95" hidden="1" customHeight="1" x14ac:dyDescent="0.2">
      <c r="A2371" s="343" t="s">
        <v>3034</v>
      </c>
      <c r="B2371" s="344" t="s">
        <v>3021</v>
      </c>
      <c r="C2371" s="345"/>
      <c r="D2371" s="346"/>
      <c r="E2371" s="346"/>
      <c r="F2371" s="268"/>
      <c r="G2371" s="269"/>
      <c r="H2371" s="269"/>
      <c r="I2371" s="270"/>
      <c r="J2371" s="434" t="s">
        <v>448</v>
      </c>
      <c r="K2371" s="270"/>
      <c r="L2371" s="270"/>
      <c r="M2371" s="348"/>
      <c r="N2371" s="348"/>
      <c r="O2371" s="435"/>
      <c r="P2371" s="349"/>
      <c r="Q2371" s="350"/>
      <c r="R2371" s="271"/>
      <c r="S2371" s="272"/>
      <c r="T2371" s="273"/>
      <c r="U2371" s="351"/>
      <c r="V2371" s="274"/>
      <c r="W2371" s="269"/>
      <c r="X2371" s="269"/>
      <c r="Y2371" s="275"/>
      <c r="Z2371" s="269"/>
      <c r="AA2371" s="350"/>
      <c r="AB2371" s="207"/>
      <c r="AC2371" s="352"/>
      <c r="AD2371" s="353"/>
      <c r="AE2371" s="54"/>
      <c r="AF2371" s="354"/>
      <c r="AG2371" s="355"/>
      <c r="AH2371" s="349"/>
      <c r="AI2371" s="30"/>
      <c r="AJ2371" s="30"/>
      <c r="AK2371" s="30"/>
      <c r="AL2371" s="30"/>
      <c r="AM2371" s="13"/>
      <c r="AN2371" s="13"/>
      <c r="AO2371" s="13"/>
      <c r="AP2371" s="13"/>
      <c r="AQ2371" s="13"/>
      <c r="AR2371" s="14"/>
      <c r="AS2371" s="15"/>
    </row>
    <row r="2372" spans="1:45" s="17" customFormat="1" ht="30.95" hidden="1" customHeight="1" x14ac:dyDescent="0.2">
      <c r="A2372" s="343"/>
      <c r="B2372" s="344"/>
      <c r="C2372" s="345"/>
      <c r="D2372" s="346"/>
      <c r="E2372" s="346"/>
      <c r="F2372" s="268"/>
      <c r="G2372" s="269"/>
      <c r="H2372" s="269"/>
      <c r="I2372" s="270"/>
      <c r="J2372" s="434"/>
      <c r="K2372" s="270"/>
      <c r="L2372" s="270"/>
      <c r="M2372" s="348"/>
      <c r="N2372" s="348"/>
      <c r="O2372" s="435"/>
      <c r="P2372" s="349"/>
      <c r="Q2372" s="350"/>
      <c r="R2372" s="271"/>
      <c r="S2372" s="272"/>
      <c r="T2372" s="273"/>
      <c r="U2372" s="351"/>
      <c r="V2372" s="274"/>
      <c r="W2372" s="269"/>
      <c r="X2372" s="269"/>
      <c r="Y2372" s="275"/>
      <c r="Z2372" s="269"/>
      <c r="AA2372" s="350"/>
      <c r="AB2372" s="207"/>
      <c r="AC2372" s="352"/>
      <c r="AD2372" s="353"/>
      <c r="AE2372" s="54"/>
      <c r="AF2372" s="354"/>
      <c r="AG2372" s="355"/>
      <c r="AH2372" s="349"/>
      <c r="AI2372" s="30"/>
      <c r="AJ2372" s="30"/>
      <c r="AK2372" s="30"/>
      <c r="AL2372" s="30"/>
      <c r="AM2372" s="13"/>
      <c r="AN2372" s="13"/>
      <c r="AO2372" s="13"/>
      <c r="AP2372" s="13"/>
      <c r="AQ2372" s="13"/>
      <c r="AR2372" s="14"/>
      <c r="AS2372" s="15"/>
    </row>
    <row r="2373" spans="1:45" s="17" customFormat="1" ht="30.6" hidden="1" customHeight="1" x14ac:dyDescent="0.2">
      <c r="A2373" s="343" t="s">
        <v>540</v>
      </c>
      <c r="B2373" s="344" t="s">
        <v>462</v>
      </c>
      <c r="C2373" s="45"/>
      <c r="D2373" s="31">
        <v>3766750</v>
      </c>
      <c r="E2373" s="31">
        <v>4141186</v>
      </c>
      <c r="F2373" s="268" t="str">
        <f>IF(D2373="","",VLOOKUP(D2373,契約台帳!$A$3:$K$4986,6,FALSE)&amp;VLOOKUP(D2373,契約台帳!$A$3:$K$4986,7,FALSE)&amp;VLOOKUP(D2373,契約台帳!$A$3:$K$4986,8,FALSE)&amp;VLOOKUP(D2373,契約台帳!$A$3:$K$4986,9,FALSE)&amp;VLOOKUP(D2373,契約台帳!$A$3:$K$4986,11,FALSE))</f>
        <v>3SNMCLBNGTVB</v>
      </c>
      <c r="G2373" s="269" t="str">
        <f>IF(D2373="","",VLOOKUP(F2373,製品マスタ!$G$5:$H$5002,2,FALSE))</f>
        <v>S</v>
      </c>
      <c r="H2373" s="269" t="str">
        <f>IF(D2373="","",VLOOKUP(F2373,製品マスタ!$G$5:$K$5002,5,FALSE))</f>
        <v>NGTVB</v>
      </c>
      <c r="I2373" s="270" t="str">
        <f>IF(D2373="","",VLOOKUP(F2373,製品マスタ!$G$5:$L$5002,6,FALSE))</f>
        <v>メタルミー　ネーマー　銀艶ＶＢ</v>
      </c>
      <c r="J2373" s="210" t="s">
        <v>447</v>
      </c>
      <c r="K2373" s="270">
        <f>IF(D2373="","",VLOOKUP(D2373,契約台帳!$A$3:$L$4986,12,FALSE))</f>
        <v>50</v>
      </c>
      <c r="L2373" s="270" t="str">
        <f>IF(D2373="","",INDEX(製品マスタ!$Q$5:$Q$5002,MATCH('S4'!F2373&amp;'S4'!K2373,製品マスタ!$AO$5:$AO$5002,0)))</f>
        <v>T62M</v>
      </c>
      <c r="M2373" s="39">
        <v>1040</v>
      </c>
      <c r="N2373" s="39">
        <v>6000</v>
      </c>
      <c r="O2373" s="156">
        <v>1</v>
      </c>
      <c r="P2373" s="47">
        <v>1</v>
      </c>
      <c r="Q2373" s="57"/>
      <c r="R2373" s="271">
        <f ca="1">IF(D2373="","",IF(OFFSET(D2373,-1,0)&lt;&gt;"","",IF(OR(J2373="リード付け",J2373="巻足し",J2373="巻返しリード付け"),M2373,VLOOKUP(D2373,契約台帳!$A$3:$N$4986,14,FALSE))))</f>
        <v>1000</v>
      </c>
      <c r="S2373" s="272">
        <f ca="1">IF(D2373="","",IF(OFFSET(D2373,-1,0)&lt;&gt;"","",IF(OR(J2373="リード付け",J2373="巻足し",J2373="巻返しリード付け"),M2373,VLOOKUP(D2373,契約台帳!$A$3:$O$4986,15,FALSE))))</f>
        <v>1000</v>
      </c>
      <c r="T2373" s="273">
        <f ca="1">IF(D2373="","",IF(J2373="リード付け",N2373,IF(J2373="巻返しリード付け",N2373,IF(J2373="巻足し",N2373*P2373+OFFSET(N2373,1,0)*OFFSET(P2373,1,0),VLOOKUP(D2373,契約台帳!$A$3:$P$4986,16,FALSE)))))</f>
        <v>3000</v>
      </c>
      <c r="U2373" s="40">
        <v>2</v>
      </c>
      <c r="V2373" s="274">
        <f ca="1">IF(D2373="","",IF(OFFSET(D2373,-2,0)=D2373,"",VLOOKUP(D2373,契約台帳!$A$3:$R$4986,18,FALSE)))</f>
        <v>2</v>
      </c>
      <c r="W2373" s="269" t="str">
        <f ca="1">IF(D2373="","",IF(T2373="","",IF(OR(J2373="巻足し",J2373="巻返しリード付け"),"",IF(J2373="巻返し",VLOOKUP(F2373&amp;K2373&amp;M2373,製品マスタ!$M$5:$AD$5002,18,FALSE),IF(OR(J2373="リード付け",J2373="巻返しリード付け"),"原反コア",IF(J2373="スリット",VLOOKUP(F2373&amp;K2373&amp;R2373,製品マスタ!$N$5:$AD$5002,17,FALSE),""))))))</f>
        <v>6ｲﾝﾁMｺｱ</v>
      </c>
      <c r="X2373" s="269">
        <f ca="1">IF(D2373="","",IF(T2373="","",IF(J2373="巻足し","",IF(J2373="巻返し",VLOOKUP(F2373&amp;K2373&amp;M2373,製品マスタ!$M$5:$AE$5002,19,FALSE),IF(OR(J2373="リード付け",J2373="巻返しリード付け"),"",IF(J2373="スリット",VLOOKUP(F2373&amp;K2373&amp;R2373,製品マスタ!$N$5:$AE$5002,18,FALSE),""))))))</f>
        <v>1015</v>
      </c>
      <c r="Y2373" s="275">
        <f ca="1">IF(D2373="","",IF(T2373="","",VLOOKUP(D2373,契約台帳!$A$3:$Q$4986,17,FALSE)))</f>
        <v>2</v>
      </c>
      <c r="Z2373" s="269" t="str">
        <f ca="1">IF(D2373="","",IF(T2373="","",VLOOKUP(D2373,契約台帳!$A$3:$E$4986,5,FALSE)))</f>
        <v>リンテック㈱</v>
      </c>
      <c r="AA2373" s="57"/>
      <c r="AB2373" s="207"/>
      <c r="AC2373" s="33"/>
      <c r="AD2373" s="189"/>
      <c r="AE2373" s="54"/>
      <c r="AF2373" s="55"/>
      <c r="AG2373" s="43"/>
      <c r="AH2373" s="47"/>
      <c r="AI2373" s="30"/>
      <c r="AJ2373" s="30"/>
      <c r="AK2373" s="30"/>
      <c r="AL2373" s="30"/>
      <c r="AM2373" s="13"/>
      <c r="AN2373" s="13"/>
      <c r="AO2373" s="13"/>
      <c r="AP2373" s="13"/>
      <c r="AQ2373" s="13"/>
      <c r="AR2373" s="14"/>
      <c r="AS2373" s="15"/>
    </row>
    <row r="2374" spans="1:45" s="17" customFormat="1" ht="30.95" hidden="1" customHeight="1" x14ac:dyDescent="0.2">
      <c r="A2374" s="343"/>
      <c r="B2374" s="344"/>
      <c r="C2374" s="345"/>
      <c r="D2374" s="346"/>
      <c r="E2374" s="346"/>
      <c r="F2374" s="268"/>
      <c r="G2374" s="269"/>
      <c r="H2374" s="269"/>
      <c r="I2374" s="270"/>
      <c r="J2374" s="434"/>
      <c r="K2374" s="270"/>
      <c r="L2374" s="270"/>
      <c r="M2374" s="348"/>
      <c r="N2374" s="348"/>
      <c r="O2374" s="435"/>
      <c r="P2374" s="349"/>
      <c r="Q2374" s="350"/>
      <c r="R2374" s="271"/>
      <c r="S2374" s="272"/>
      <c r="T2374" s="273"/>
      <c r="U2374" s="351"/>
      <c r="V2374" s="274"/>
      <c r="W2374" s="269"/>
      <c r="X2374" s="269"/>
      <c r="Y2374" s="275"/>
      <c r="Z2374" s="269"/>
      <c r="AA2374" s="350"/>
      <c r="AB2374" s="207"/>
      <c r="AC2374" s="352"/>
      <c r="AD2374" s="353"/>
      <c r="AE2374" s="54"/>
      <c r="AF2374" s="354"/>
      <c r="AG2374" s="355"/>
      <c r="AH2374" s="349"/>
      <c r="AI2374" s="30"/>
      <c r="AJ2374" s="30"/>
      <c r="AK2374" s="30"/>
      <c r="AL2374" s="30"/>
      <c r="AM2374" s="13"/>
      <c r="AN2374" s="13"/>
      <c r="AO2374" s="13"/>
      <c r="AP2374" s="13"/>
      <c r="AQ2374" s="13"/>
      <c r="AR2374" s="14"/>
      <c r="AS2374" s="15"/>
    </row>
    <row r="2375" spans="1:45" s="17" customFormat="1" ht="30.6" hidden="1" customHeight="1" x14ac:dyDescent="0.2">
      <c r="A2375" s="343"/>
      <c r="B2375" s="344"/>
      <c r="C2375" s="45"/>
      <c r="D2375" s="31">
        <v>3764503</v>
      </c>
      <c r="E2375" s="31">
        <v>4141172</v>
      </c>
      <c r="F2375" s="268" t="str">
        <f>IF(D2375="","",VLOOKUP(D2375,契約台帳!$A$3:$K$4986,6,FALSE)&amp;VLOOKUP(D2375,契約台帳!$A$3:$K$4986,7,FALSE)&amp;VLOOKUP(D2375,契約台帳!$A$3:$K$4986,8,FALSE)&amp;VLOOKUP(D2375,契約台帳!$A$3:$K$4986,9,FALSE)&amp;VLOOKUP(D2375,契約台帳!$A$3:$K$4986,11,FALSE))</f>
        <v>33SSNMCLBTETKFV</v>
      </c>
      <c r="G2375" s="269" t="str">
        <f>IF(D2375="","",VLOOKUP(F2375,製品マスタ!$G$5:$H$5002,2,FALSE))</f>
        <v>S</v>
      </c>
      <c r="H2375" s="269" t="str">
        <f>IF(D2375="","",VLOOKUP(F2375,製品マスタ!$G$5:$K$5002,5,FALSE))</f>
        <v>TETKFV</v>
      </c>
      <c r="I2375" s="270" t="str">
        <f>IF(D2375="","",VLOOKUP(F2375,製品マスタ!$G$5:$L$5002,6,FALSE))</f>
        <v>メタルミー　ＴＥＳ艶開封　Ｖ</v>
      </c>
      <c r="J2375" s="210" t="s">
        <v>447</v>
      </c>
      <c r="K2375" s="270">
        <f>IF(D2375="","",VLOOKUP(D2375,契約台帳!$A$3:$L$4986,12,FALSE))</f>
        <v>50</v>
      </c>
      <c r="L2375" s="270" t="str">
        <f>IF(D2375="","",INDEX(製品マスタ!$Q$5:$Q$5002,MATCH('S4'!F2375&amp;'S4'!K2375,製品マスタ!$AO$5:$AO$5002,0)))</f>
        <v>S28SEPA</v>
      </c>
      <c r="M2375" s="39">
        <v>1005</v>
      </c>
      <c r="N2375" s="39">
        <v>12300</v>
      </c>
      <c r="O2375" s="156">
        <v>1</v>
      </c>
      <c r="P2375" s="47">
        <v>1</v>
      </c>
      <c r="Q2375" s="57"/>
      <c r="R2375" s="271">
        <f ca="1">IF(D2375="","",IF(OFFSET(D2375,-1,0)&lt;&gt;"","",IF(OR(J2375="リード付け",J2375="巻足し",J2375="巻返しリード付け"),M2375,VLOOKUP(D2375,契約台帳!$A$3:$N$4986,14,FALSE))))</f>
        <v>1005</v>
      </c>
      <c r="S2375" s="272">
        <f ca="1">IF(D2375="","",IF(OFFSET(D2375,-1,0)&lt;&gt;"","",IF(OR(J2375="リード付け",J2375="巻足し",J2375="巻返しリード付け"),M2375,VLOOKUP(D2375,契約台帳!$A$3:$O$4986,15,FALSE))))</f>
        <v>1000</v>
      </c>
      <c r="T2375" s="273">
        <f ca="1">IF(D2375="","",IF(J2375="リード付け",N2375,IF(J2375="巻返しリード付け",N2375,IF(J2375="巻足し",N2375*P2375+OFFSET(N2375,1,0)*OFFSET(P2375,1,0),VLOOKUP(D2375,契約台帳!$A$3:$P$4986,16,FALSE)))))</f>
        <v>4100</v>
      </c>
      <c r="U2375" s="40">
        <v>3</v>
      </c>
      <c r="V2375" s="274">
        <f ca="1">IF(D2375="","",IF(OFFSET(D2375,-2,0)=D2375,"",VLOOKUP(D2375,契約台帳!$A$3:$R$4986,18,FALSE)))</f>
        <v>3</v>
      </c>
      <c r="W2375" s="269" t="str">
        <f ca="1">IF(D2375="","",IF(T2375="","",IF(OR(J2375="巻足し",J2375="巻返しリード付け"),"",IF(J2375="巻返し",VLOOKUP(F2375&amp;K2375&amp;M2375,製品マスタ!$M$5:$AD$5002,18,FALSE),IF(OR(J2375="リード付け",J2375="巻返しリード付け"),"原反コア",IF(J2375="スリット",VLOOKUP(F2375&amp;K2375&amp;R2375,製品マスタ!$N$5:$AD$5002,17,FALSE),""))))))</f>
        <v>6ｲﾝﾁSｺｱ</v>
      </c>
      <c r="X2375" s="269">
        <f ca="1">IF(D2375="","",IF(T2375="","",IF(J2375="巻足し","",IF(J2375="巻返し",VLOOKUP(F2375&amp;K2375&amp;M2375,製品マスタ!$M$5:$AE$5002,19,FALSE),IF(OR(J2375="リード付け",J2375="巻返しリード付け"),"",IF(J2375="スリット",VLOOKUP(F2375&amp;K2375&amp;R2375,製品マスタ!$N$5:$AE$5002,18,FALSE),""))))))</f>
        <v>1015</v>
      </c>
      <c r="Y2375" s="275">
        <f ca="1">IF(D2375="","",IF(T2375="","",VLOOKUP(D2375,契約台帳!$A$3:$Q$4986,17,FALSE)))</f>
        <v>2</v>
      </c>
      <c r="Z2375" s="269" t="str">
        <f ca="1">IF(D2375="","",IF(T2375="","",VLOOKUP(D2375,契約台帳!$A$3:$E$4986,5,FALSE)))</f>
        <v>リンテック㈱</v>
      </c>
      <c r="AA2375" s="57"/>
      <c r="AB2375" s="207"/>
      <c r="AC2375" s="33"/>
      <c r="AD2375" s="189"/>
      <c r="AE2375" s="54"/>
      <c r="AF2375" s="55"/>
      <c r="AG2375" s="43"/>
      <c r="AH2375" s="47"/>
      <c r="AI2375" s="30"/>
      <c r="AJ2375" s="30"/>
      <c r="AK2375" s="30"/>
      <c r="AL2375" s="30"/>
      <c r="AM2375" s="13"/>
      <c r="AN2375" s="13"/>
      <c r="AO2375" s="13"/>
      <c r="AP2375" s="13"/>
      <c r="AQ2375" s="13"/>
      <c r="AR2375" s="14"/>
      <c r="AS2375" s="15"/>
    </row>
    <row r="2376" spans="1:45" s="17" customFormat="1" ht="30.95" hidden="1" customHeight="1" x14ac:dyDescent="0.2">
      <c r="A2376" s="343"/>
      <c r="B2376" s="344"/>
      <c r="C2376" s="345"/>
      <c r="D2376" s="346"/>
      <c r="E2376" s="346"/>
      <c r="F2376" s="268"/>
      <c r="G2376" s="269"/>
      <c r="H2376" s="269"/>
      <c r="I2376" s="270"/>
      <c r="J2376" s="434"/>
      <c r="K2376" s="270"/>
      <c r="L2376" s="270"/>
      <c r="M2376" s="348"/>
      <c r="N2376" s="348"/>
      <c r="O2376" s="435"/>
      <c r="P2376" s="349"/>
      <c r="Q2376" s="350"/>
      <c r="R2376" s="271"/>
      <c r="S2376" s="272"/>
      <c r="T2376" s="273"/>
      <c r="U2376" s="351"/>
      <c r="V2376" s="274"/>
      <c r="W2376" s="269"/>
      <c r="X2376" s="269"/>
      <c r="Y2376" s="275"/>
      <c r="Z2376" s="269"/>
      <c r="AA2376" s="350"/>
      <c r="AB2376" s="207"/>
      <c r="AC2376" s="352"/>
      <c r="AD2376" s="353"/>
      <c r="AE2376" s="54"/>
      <c r="AF2376" s="354"/>
      <c r="AG2376" s="355"/>
      <c r="AH2376" s="349"/>
      <c r="AI2376" s="30"/>
      <c r="AJ2376" s="30"/>
      <c r="AK2376" s="30"/>
      <c r="AL2376" s="30"/>
      <c r="AM2376" s="13"/>
      <c r="AN2376" s="13"/>
      <c r="AO2376" s="13"/>
      <c r="AP2376" s="13"/>
      <c r="AQ2376" s="13"/>
      <c r="AR2376" s="14"/>
      <c r="AS2376" s="15"/>
    </row>
    <row r="2377" spans="1:45" s="17" customFormat="1" ht="30.6" hidden="1" customHeight="1" x14ac:dyDescent="0.2">
      <c r="A2377" s="343"/>
      <c r="B2377" s="344"/>
      <c r="C2377" s="45"/>
      <c r="D2377" s="31">
        <v>3766754</v>
      </c>
      <c r="E2377" s="31">
        <v>4141179</v>
      </c>
      <c r="F2377" s="268" t="str">
        <f>IF(D2377="","",VLOOKUP(D2377,契約台帳!$A$3:$K$4986,6,FALSE)&amp;VLOOKUP(D2377,契約台帳!$A$3:$K$4986,7,FALSE)&amp;VLOOKUP(D2377,契約台帳!$A$3:$K$4986,8,FALSE)&amp;VLOOKUP(D2377,契約台帳!$A$3:$K$4986,9,FALSE)&amp;VLOOKUP(D2377,契約台帳!$A$3:$K$4986,11,FALSE))</f>
        <v>33SSNMCLBTETKFV</v>
      </c>
      <c r="G2377" s="269" t="str">
        <f>IF(D2377="","",VLOOKUP(F2377,製品マスタ!$G$5:$H$5002,2,FALSE))</f>
        <v>S</v>
      </c>
      <c r="H2377" s="269" t="str">
        <f>IF(D2377="","",VLOOKUP(F2377,製品マスタ!$G$5:$K$5002,5,FALSE))</f>
        <v>TETKFV</v>
      </c>
      <c r="I2377" s="270" t="str">
        <f>IF(D2377="","",VLOOKUP(F2377,製品マスタ!$G$5:$L$5002,6,FALSE))</f>
        <v>メタルミー　ＴＥＳ艶開封　Ｖ</v>
      </c>
      <c r="J2377" s="210" t="s">
        <v>447</v>
      </c>
      <c r="K2377" s="270">
        <f>IF(D2377="","",VLOOKUP(D2377,契約台帳!$A$3:$L$4986,12,FALSE))</f>
        <v>50</v>
      </c>
      <c r="L2377" s="270" t="str">
        <f>IF(D2377="","",INDEX(製品マスタ!$Q$5:$Q$5002,MATCH('S4'!F2377&amp;'S4'!K2377,製品マスタ!$AO$5:$AO$5002,0)))</f>
        <v>S28SEPA</v>
      </c>
      <c r="M2377" s="39">
        <v>1005</v>
      </c>
      <c r="N2377" s="39">
        <v>12300</v>
      </c>
      <c r="O2377" s="156">
        <v>1</v>
      </c>
      <c r="P2377" s="47">
        <v>1</v>
      </c>
      <c r="Q2377" s="57"/>
      <c r="R2377" s="271">
        <f ca="1">IF(D2377="","",IF(OFFSET(D2377,-1,0)&lt;&gt;"","",IF(OR(J2377="リード付け",J2377="巻足し",J2377="巻返しリード付け"),M2377,VLOOKUP(D2377,契約台帳!$A$3:$N$4986,14,FALSE))))</f>
        <v>1005</v>
      </c>
      <c r="S2377" s="272">
        <f ca="1">IF(D2377="","",IF(OFFSET(D2377,-1,0)&lt;&gt;"","",IF(OR(J2377="リード付け",J2377="巻足し",J2377="巻返しリード付け"),M2377,VLOOKUP(D2377,契約台帳!$A$3:$O$4986,15,FALSE))))</f>
        <v>1000</v>
      </c>
      <c r="T2377" s="273">
        <f ca="1">IF(D2377="","",IF(J2377="リード付け",N2377,IF(J2377="巻返しリード付け",N2377,IF(J2377="巻足し",N2377*P2377+OFFSET(N2377,1,0)*OFFSET(P2377,1,0),VLOOKUP(D2377,契約台帳!$A$3:$P$4986,16,FALSE)))))</f>
        <v>4100</v>
      </c>
      <c r="U2377" s="40">
        <v>3</v>
      </c>
      <c r="V2377" s="274">
        <f ca="1">IF(D2377="","",IF(OFFSET(D2377,-2,0)=D2377,"",VLOOKUP(D2377,契約台帳!$A$3:$R$4986,18,FALSE)))</f>
        <v>3</v>
      </c>
      <c r="W2377" s="269" t="str">
        <f ca="1">IF(D2377="","",IF(T2377="","",IF(OR(J2377="巻足し",J2377="巻返しリード付け"),"",IF(J2377="巻返し",VLOOKUP(F2377&amp;K2377&amp;M2377,製品マスタ!$M$5:$AD$5002,18,FALSE),IF(OR(J2377="リード付け",J2377="巻返しリード付け"),"原反コア",IF(J2377="スリット",VLOOKUP(F2377&amp;K2377&amp;R2377,製品マスタ!$N$5:$AD$5002,17,FALSE),""))))))</f>
        <v>6ｲﾝﾁSｺｱ</v>
      </c>
      <c r="X2377" s="269">
        <f ca="1">IF(D2377="","",IF(T2377="","",IF(J2377="巻足し","",IF(J2377="巻返し",VLOOKUP(F2377&amp;K2377&amp;M2377,製品マスタ!$M$5:$AE$5002,19,FALSE),IF(OR(J2377="リード付け",J2377="巻返しリード付け"),"",IF(J2377="スリット",VLOOKUP(F2377&amp;K2377&amp;R2377,製品マスタ!$N$5:$AE$5002,18,FALSE),""))))))</f>
        <v>1015</v>
      </c>
      <c r="Y2377" s="275">
        <f ca="1">IF(D2377="","",IF(T2377="","",VLOOKUP(D2377,契約台帳!$A$3:$Q$4986,17,FALSE)))</f>
        <v>2</v>
      </c>
      <c r="Z2377" s="269" t="str">
        <f ca="1">IF(D2377="","",IF(T2377="","",VLOOKUP(D2377,契約台帳!$A$3:$E$4986,5,FALSE)))</f>
        <v>リンテック㈱</v>
      </c>
      <c r="AA2377" s="57"/>
      <c r="AB2377" s="207"/>
      <c r="AC2377" s="33"/>
      <c r="AD2377" s="189"/>
      <c r="AE2377" s="54"/>
      <c r="AF2377" s="55"/>
      <c r="AG2377" s="43"/>
      <c r="AH2377" s="47"/>
      <c r="AI2377" s="30"/>
      <c r="AJ2377" s="30"/>
      <c r="AK2377" s="30"/>
      <c r="AL2377" s="30"/>
      <c r="AM2377" s="13"/>
      <c r="AN2377" s="13"/>
      <c r="AO2377" s="13"/>
      <c r="AP2377" s="13"/>
      <c r="AQ2377" s="13"/>
      <c r="AR2377" s="14"/>
      <c r="AS2377" s="15"/>
    </row>
    <row r="2378" spans="1:45" s="17" customFormat="1" ht="30.95" hidden="1" customHeight="1" x14ac:dyDescent="0.2">
      <c r="A2378" s="343"/>
      <c r="B2378" s="344"/>
      <c r="C2378" s="345"/>
      <c r="D2378" s="346"/>
      <c r="E2378" s="346"/>
      <c r="F2378" s="268"/>
      <c r="G2378" s="269"/>
      <c r="H2378" s="269"/>
      <c r="I2378" s="270"/>
      <c r="J2378" s="434"/>
      <c r="K2378" s="270"/>
      <c r="L2378" s="270"/>
      <c r="M2378" s="348"/>
      <c r="N2378" s="348"/>
      <c r="O2378" s="435"/>
      <c r="P2378" s="349"/>
      <c r="Q2378" s="350"/>
      <c r="R2378" s="271"/>
      <c r="S2378" s="272"/>
      <c r="T2378" s="273"/>
      <c r="U2378" s="351"/>
      <c r="V2378" s="274"/>
      <c r="W2378" s="269"/>
      <c r="X2378" s="269"/>
      <c r="Y2378" s="275"/>
      <c r="Z2378" s="269"/>
      <c r="AA2378" s="350"/>
      <c r="AB2378" s="207"/>
      <c r="AC2378" s="352"/>
      <c r="AD2378" s="353"/>
      <c r="AE2378" s="54"/>
      <c r="AF2378" s="354"/>
      <c r="AG2378" s="355"/>
      <c r="AH2378" s="349"/>
      <c r="AI2378" s="30"/>
      <c r="AJ2378" s="30"/>
      <c r="AK2378" s="30"/>
      <c r="AL2378" s="30"/>
      <c r="AM2378" s="13"/>
      <c r="AN2378" s="13"/>
      <c r="AO2378" s="13"/>
      <c r="AP2378" s="13"/>
      <c r="AQ2378" s="13"/>
      <c r="AR2378" s="14"/>
      <c r="AS2378" s="15"/>
    </row>
    <row r="2379" spans="1:45" s="17" customFormat="1" ht="30.6" hidden="1" customHeight="1" x14ac:dyDescent="0.2">
      <c r="A2379" s="343"/>
      <c r="B2379" s="344"/>
      <c r="C2379" s="45"/>
      <c r="D2379" s="31">
        <v>3764504</v>
      </c>
      <c r="E2379" s="31">
        <v>4141173</v>
      </c>
      <c r="F2379" s="268" t="str">
        <f>IF(D2379="","",VLOOKUP(D2379,契約台帳!$A$3:$K$4986,6,FALSE)&amp;VLOOKUP(D2379,契約台帳!$A$3:$K$4986,7,FALSE)&amp;VLOOKUP(D2379,契約台帳!$A$3:$K$4986,8,FALSE)&amp;VLOOKUP(D2379,契約台帳!$A$3:$K$4986,9,FALSE)&amp;VLOOKUP(D2379,契約台帳!$A$3:$K$4986,11,FALSE))</f>
        <v>3SNMCLBTETV0V</v>
      </c>
      <c r="G2379" s="269" t="str">
        <f>IF(D2379="","",VLOOKUP(F2379,製品マスタ!$G$5:$H$5002,2,FALSE))</f>
        <v>S</v>
      </c>
      <c r="H2379" s="269" t="str">
        <f>IF(D2379="","",VLOOKUP(F2379,製品マスタ!$G$5:$K$5002,5,FALSE))</f>
        <v>TETV0V</v>
      </c>
      <c r="I2379" s="270" t="str">
        <f>IF(D2379="","",VLOOKUP(F2379,製品マスタ!$G$5:$L$5002,6,FALSE))</f>
        <v>メタルミー　ＴＥＳ艶ＶＯＩＤＶ</v>
      </c>
      <c r="J2379" s="210" t="s">
        <v>447</v>
      </c>
      <c r="K2379" s="270">
        <f>IF(D2379="","",VLOOKUP(D2379,契約台帳!$A$3:$L$4986,12,FALSE))</f>
        <v>50</v>
      </c>
      <c r="L2379" s="270" t="str">
        <f>IF(D2379="","",INDEX(製品マスタ!$Q$5:$Q$5002,MATCH('S4'!F2379&amp;'S4'!K2379,製品マスタ!$AO$5:$AO$5002,0)))</f>
        <v>S28SEPA</v>
      </c>
      <c r="M2379" s="39">
        <v>1005</v>
      </c>
      <c r="N2379" s="39">
        <v>8200</v>
      </c>
      <c r="O2379" s="156">
        <v>1</v>
      </c>
      <c r="P2379" s="47">
        <v>1</v>
      </c>
      <c r="Q2379" s="57"/>
      <c r="R2379" s="271">
        <f ca="1">IF(D2379="","",IF(OFFSET(D2379,-1,0)&lt;&gt;"","",IF(OR(J2379="リード付け",J2379="巻足し",J2379="巻返しリード付け"),M2379,VLOOKUP(D2379,契約台帳!$A$3:$N$4986,14,FALSE))))</f>
        <v>1005</v>
      </c>
      <c r="S2379" s="272">
        <f ca="1">IF(D2379="","",IF(OFFSET(D2379,-1,0)&lt;&gt;"","",IF(OR(J2379="リード付け",J2379="巻足し",J2379="巻返しリード付け"),M2379,VLOOKUP(D2379,契約台帳!$A$3:$O$4986,15,FALSE))))</f>
        <v>1000</v>
      </c>
      <c r="T2379" s="273">
        <f ca="1">IF(D2379="","",IF(J2379="リード付け",N2379,IF(J2379="巻返しリード付け",N2379,IF(J2379="巻足し",N2379*P2379+OFFSET(N2379,1,0)*OFFSET(P2379,1,0),VLOOKUP(D2379,契約台帳!$A$3:$P$4986,16,FALSE)))))</f>
        <v>4100</v>
      </c>
      <c r="U2379" s="40">
        <v>2</v>
      </c>
      <c r="V2379" s="274">
        <f ca="1">IF(D2379="","",IF(OFFSET(D2379,-2,0)=D2379,"",VLOOKUP(D2379,契約台帳!$A$3:$R$4986,18,FALSE)))</f>
        <v>2</v>
      </c>
      <c r="W2379" s="269" t="str">
        <f ca="1">IF(D2379="","",IF(T2379="","",IF(OR(J2379="巻足し",J2379="巻返しリード付け"),"",IF(J2379="巻返し",VLOOKUP(F2379&amp;K2379&amp;M2379,製品マスタ!$M$5:$AD$5002,18,FALSE),IF(OR(J2379="リード付け",J2379="巻返しリード付け"),"原反コア",IF(J2379="スリット",VLOOKUP(F2379&amp;K2379&amp;R2379,製品マスタ!$N$5:$AD$5002,17,FALSE),""))))))</f>
        <v>6ｲﾝﾁSｺｱ</v>
      </c>
      <c r="X2379" s="269">
        <f ca="1">IF(D2379="","",IF(T2379="","",IF(J2379="巻足し","",IF(J2379="巻返し",VLOOKUP(F2379&amp;K2379&amp;M2379,製品マスタ!$M$5:$AE$5002,19,FALSE),IF(OR(J2379="リード付け",J2379="巻返しリード付け"),"",IF(J2379="スリット",VLOOKUP(F2379&amp;K2379&amp;R2379,製品マスタ!$N$5:$AE$5002,18,FALSE),""))))))</f>
        <v>1015</v>
      </c>
      <c r="Y2379" s="275">
        <f ca="1">IF(D2379="","",IF(T2379="","",VLOOKUP(D2379,契約台帳!$A$3:$Q$4986,17,FALSE)))</f>
        <v>2</v>
      </c>
      <c r="Z2379" s="269" t="str">
        <f ca="1">IF(D2379="","",IF(T2379="","",VLOOKUP(D2379,契約台帳!$A$3:$E$4986,5,FALSE)))</f>
        <v>リンテック㈱</v>
      </c>
      <c r="AA2379" s="57"/>
      <c r="AB2379" s="207"/>
      <c r="AC2379" s="33"/>
      <c r="AD2379" s="189"/>
      <c r="AE2379" s="54"/>
      <c r="AF2379" s="55"/>
      <c r="AG2379" s="43"/>
      <c r="AH2379" s="47"/>
      <c r="AI2379" s="30"/>
      <c r="AJ2379" s="30"/>
      <c r="AK2379" s="30"/>
      <c r="AL2379" s="30"/>
      <c r="AM2379" s="13"/>
      <c r="AN2379" s="13"/>
      <c r="AO2379" s="13"/>
      <c r="AP2379" s="13"/>
      <c r="AQ2379" s="13"/>
      <c r="AR2379" s="14"/>
      <c r="AS2379" s="15"/>
    </row>
    <row r="2380" spans="1:45" s="17" customFormat="1" ht="30.95" hidden="1" customHeight="1" x14ac:dyDescent="0.2">
      <c r="A2380" s="343"/>
      <c r="B2380" s="344"/>
      <c r="C2380" s="345"/>
      <c r="D2380" s="346"/>
      <c r="E2380" s="346"/>
      <c r="F2380" s="268"/>
      <c r="G2380" s="269"/>
      <c r="H2380" s="269"/>
      <c r="I2380" s="270"/>
      <c r="J2380" s="434"/>
      <c r="K2380" s="270"/>
      <c r="L2380" s="270"/>
      <c r="M2380" s="348"/>
      <c r="N2380" s="348"/>
      <c r="O2380" s="435"/>
      <c r="P2380" s="349"/>
      <c r="Q2380" s="350"/>
      <c r="R2380" s="271"/>
      <c r="S2380" s="272"/>
      <c r="T2380" s="273"/>
      <c r="U2380" s="351"/>
      <c r="V2380" s="274"/>
      <c r="W2380" s="269"/>
      <c r="X2380" s="269"/>
      <c r="Y2380" s="275"/>
      <c r="Z2380" s="269"/>
      <c r="AA2380" s="350"/>
      <c r="AB2380" s="207"/>
      <c r="AC2380" s="352"/>
      <c r="AD2380" s="353"/>
      <c r="AE2380" s="54"/>
      <c r="AF2380" s="354"/>
      <c r="AG2380" s="355"/>
      <c r="AH2380" s="349"/>
      <c r="AI2380" s="30"/>
      <c r="AJ2380" s="30"/>
      <c r="AK2380" s="30"/>
      <c r="AL2380" s="30"/>
      <c r="AM2380" s="13"/>
      <c r="AN2380" s="13"/>
      <c r="AO2380" s="13"/>
      <c r="AP2380" s="13"/>
      <c r="AQ2380" s="13"/>
      <c r="AR2380" s="14"/>
      <c r="AS2380" s="15"/>
    </row>
    <row r="2381" spans="1:45" s="17" customFormat="1" ht="30.6" hidden="1" customHeight="1" x14ac:dyDescent="0.2">
      <c r="A2381" s="343" t="s">
        <v>3088</v>
      </c>
      <c r="B2381" s="344" t="s">
        <v>3089</v>
      </c>
      <c r="C2381" s="45"/>
      <c r="D2381" s="31">
        <v>3766751</v>
      </c>
      <c r="E2381" s="31">
        <v>4141176</v>
      </c>
      <c r="F2381" s="268" t="str">
        <f>IF(D2381="","",VLOOKUP(D2381,契約台帳!$A$3:$K$4986,6,FALSE)&amp;VLOOKUP(D2381,契約台帳!$A$3:$K$4986,7,FALSE)&amp;VLOOKUP(D2381,契約台帳!$A$3:$K$4986,8,FALSE)&amp;VLOOKUP(D2381,契約台帳!$A$3:$K$4986,9,FALSE)&amp;VLOOKUP(D2381,契約台帳!$A$3:$K$4986,11,FALSE))</f>
        <v>33SSNMCLBTEKKFV</v>
      </c>
      <c r="G2381" s="269" t="str">
        <f>IF(D2381="","",VLOOKUP(F2381,製品マスタ!$G$5:$H$5002,2,FALSE))</f>
        <v>S</v>
      </c>
      <c r="H2381" s="269" t="str">
        <f>IF(D2381="","",VLOOKUP(F2381,製品マスタ!$G$5:$K$5002,5,FALSE))</f>
        <v>TEKKFV</v>
      </c>
      <c r="I2381" s="270" t="str">
        <f>IF(D2381="","",VLOOKUP(F2381,製品マスタ!$G$5:$L$5002,6,FALSE))</f>
        <v>メタルミー　ＴＥＳ消開封　Ｖ</v>
      </c>
      <c r="J2381" s="210" t="s">
        <v>447</v>
      </c>
      <c r="K2381" s="270">
        <f>IF(D2381="","",VLOOKUP(D2381,契約台帳!$A$3:$L$4986,12,FALSE))</f>
        <v>50</v>
      </c>
      <c r="L2381" s="270" t="str">
        <f>IF(D2381="","",INDEX(製品マスタ!$Q$5:$Q$5002,MATCH('S4'!F2381&amp;'S4'!K2381,製品マスタ!$AO$5:$AO$5002,0)))</f>
        <v>X44SEPA</v>
      </c>
      <c r="M2381" s="39">
        <v>1005</v>
      </c>
      <c r="N2381" s="39">
        <v>12000</v>
      </c>
      <c r="O2381" s="156">
        <v>1</v>
      </c>
      <c r="P2381" s="47">
        <v>1</v>
      </c>
      <c r="Q2381" s="57"/>
      <c r="R2381" s="271">
        <f ca="1">IF(D2381="","",IF(OFFSET(D2381,-1,0)&lt;&gt;"","",IF(OR(J2381="リード付け",J2381="巻足し",J2381="巻返しリード付け"),M2381,VLOOKUP(D2381,契約台帳!$A$3:$N$4986,14,FALSE))))</f>
        <v>1005</v>
      </c>
      <c r="S2381" s="272">
        <f ca="1">IF(D2381="","",IF(OFFSET(D2381,-1,0)&lt;&gt;"","",IF(OR(J2381="リード付け",J2381="巻足し",J2381="巻返しリード付け"),M2381,VLOOKUP(D2381,契約台帳!$A$3:$O$4986,15,FALSE))))</f>
        <v>1000</v>
      </c>
      <c r="T2381" s="273">
        <f ca="1">IF(D2381="","",IF(J2381="リード付け",N2381,IF(J2381="巻返しリード付け",N2381,IF(J2381="巻足し",N2381*P2381+OFFSET(N2381,1,0)*OFFSET(P2381,1,0),VLOOKUP(D2381,契約台帳!$A$3:$P$4986,16,FALSE)))))</f>
        <v>4000</v>
      </c>
      <c r="U2381" s="40">
        <v>3</v>
      </c>
      <c r="V2381" s="274">
        <f ca="1">IF(D2381="","",IF(OFFSET(D2381,-2,0)=D2381,"",VLOOKUP(D2381,契約台帳!$A$3:$R$4986,18,FALSE)))</f>
        <v>3</v>
      </c>
      <c r="W2381" s="269" t="str">
        <f ca="1">IF(D2381="","",IF(T2381="","",IF(OR(J2381="巻足し",J2381="巻返しリード付け"),"",IF(J2381="巻返し",VLOOKUP(F2381&amp;K2381&amp;M2381,製品マスタ!$M$5:$AD$5002,18,FALSE),IF(OR(J2381="リード付け",J2381="巻返しリード付け"),"原反コア",IF(J2381="スリット",VLOOKUP(F2381&amp;K2381&amp;R2381,製品マスタ!$N$5:$AD$5002,17,FALSE),""))))))</f>
        <v>6ｲﾝﾁSｺｱ</v>
      </c>
      <c r="X2381" s="269">
        <f ca="1">IF(D2381="","",IF(T2381="","",IF(J2381="巻足し","",IF(J2381="巻返し",VLOOKUP(F2381&amp;K2381&amp;M2381,製品マスタ!$M$5:$AE$5002,19,FALSE),IF(OR(J2381="リード付け",J2381="巻返しリード付け"),"",IF(J2381="スリット",VLOOKUP(F2381&amp;K2381&amp;R2381,製品マスタ!$N$5:$AE$5002,18,FALSE),""))))))</f>
        <v>1015</v>
      </c>
      <c r="Y2381" s="275">
        <f ca="1">IF(D2381="","",IF(T2381="","",VLOOKUP(D2381,契約台帳!$A$3:$Q$4986,17,FALSE)))</f>
        <v>2</v>
      </c>
      <c r="Z2381" s="269" t="str">
        <f ca="1">IF(D2381="","",IF(T2381="","",VLOOKUP(D2381,契約台帳!$A$3:$E$4986,5,FALSE)))</f>
        <v>リンテック㈱</v>
      </c>
      <c r="AA2381" s="57"/>
      <c r="AB2381" s="207"/>
      <c r="AC2381" s="33"/>
      <c r="AD2381" s="189"/>
      <c r="AE2381" s="54"/>
      <c r="AF2381" s="55"/>
      <c r="AG2381" s="43"/>
      <c r="AH2381" s="47"/>
      <c r="AI2381" s="30"/>
      <c r="AJ2381" s="30"/>
      <c r="AK2381" s="30"/>
      <c r="AL2381" s="30"/>
      <c r="AM2381" s="13"/>
      <c r="AN2381" s="13"/>
      <c r="AO2381" s="13"/>
      <c r="AP2381" s="13"/>
      <c r="AQ2381" s="13"/>
      <c r="AR2381" s="14"/>
      <c r="AS2381" s="15"/>
    </row>
    <row r="2382" spans="1:45" s="17" customFormat="1" ht="30.95" hidden="1" customHeight="1" x14ac:dyDescent="0.2">
      <c r="A2382" s="343"/>
      <c r="B2382" s="344"/>
      <c r="C2382" s="345"/>
      <c r="D2382" s="346"/>
      <c r="E2382" s="346"/>
      <c r="F2382" s="268"/>
      <c r="G2382" s="269"/>
      <c r="H2382" s="269"/>
      <c r="I2382" s="270"/>
      <c r="J2382" s="434"/>
      <c r="K2382" s="270"/>
      <c r="L2382" s="270"/>
      <c r="M2382" s="348"/>
      <c r="N2382" s="348"/>
      <c r="O2382" s="435"/>
      <c r="P2382" s="349"/>
      <c r="Q2382" s="350"/>
      <c r="R2382" s="271"/>
      <c r="S2382" s="272"/>
      <c r="T2382" s="273"/>
      <c r="U2382" s="351"/>
      <c r="V2382" s="274"/>
      <c r="W2382" s="269"/>
      <c r="X2382" s="269"/>
      <c r="Y2382" s="275"/>
      <c r="Z2382" s="269"/>
      <c r="AA2382" s="350"/>
      <c r="AB2382" s="207"/>
      <c r="AC2382" s="352"/>
      <c r="AD2382" s="353"/>
      <c r="AE2382" s="54"/>
      <c r="AF2382" s="354"/>
      <c r="AG2382" s="355"/>
      <c r="AH2382" s="349"/>
      <c r="AI2382" s="30"/>
      <c r="AJ2382" s="30"/>
      <c r="AK2382" s="30"/>
      <c r="AL2382" s="30"/>
      <c r="AM2382" s="13"/>
      <c r="AN2382" s="13"/>
      <c r="AO2382" s="13"/>
      <c r="AP2382" s="13"/>
      <c r="AQ2382" s="13"/>
      <c r="AR2382" s="14"/>
      <c r="AS2382" s="15"/>
    </row>
    <row r="2383" spans="1:45" s="17" customFormat="1" ht="30.6" hidden="1" customHeight="1" x14ac:dyDescent="0.2">
      <c r="A2383" s="343"/>
      <c r="B2383" s="344"/>
      <c r="C2383" s="45"/>
      <c r="D2383" s="31">
        <v>3766752</v>
      </c>
      <c r="E2383" s="31">
        <v>4141177</v>
      </c>
      <c r="F2383" s="268" t="str">
        <f>IF(D2383="","",VLOOKUP(D2383,契約台帳!$A$3:$K$4986,6,FALSE)&amp;VLOOKUP(D2383,契約台帳!$A$3:$K$4986,7,FALSE)&amp;VLOOKUP(D2383,契約台帳!$A$3:$K$4986,8,FALSE)&amp;VLOOKUP(D2383,契約台帳!$A$3:$K$4986,9,FALSE)&amp;VLOOKUP(D2383,契約台帳!$A$3:$K$4986,11,FALSE))</f>
        <v>33SSNMCLBTEKV0V</v>
      </c>
      <c r="G2383" s="269" t="str">
        <f>IF(D2383="","",VLOOKUP(F2383,製品マスタ!$G$5:$H$5002,2,FALSE))</f>
        <v>S</v>
      </c>
      <c r="H2383" s="269" t="str">
        <f>IF(D2383="","",VLOOKUP(F2383,製品マスタ!$G$5:$K$5002,5,FALSE))</f>
        <v>TEKV0V</v>
      </c>
      <c r="I2383" s="270" t="str">
        <f>IF(D2383="","",VLOOKUP(F2383,製品マスタ!$G$5:$L$5002,6,FALSE))</f>
        <v>メタルミー　ＴＥ－Ｓ消　ＶＯＩＤ　Ｖ</v>
      </c>
      <c r="J2383" s="210" t="s">
        <v>447</v>
      </c>
      <c r="K2383" s="270">
        <f>IF(D2383="","",VLOOKUP(D2383,契約台帳!$A$3:$L$4986,12,FALSE))</f>
        <v>50</v>
      </c>
      <c r="L2383" s="270" t="str">
        <f>IF(D2383="","",INDEX(製品マスタ!$Q$5:$Q$5002,MATCH('S4'!F2383&amp;'S4'!K2383,製品マスタ!$AO$5:$AO$5002,0)))</f>
        <v>X44SEPA</v>
      </c>
      <c r="M2383" s="39">
        <v>1005</v>
      </c>
      <c r="N2383" s="39">
        <v>12000</v>
      </c>
      <c r="O2383" s="156">
        <v>1</v>
      </c>
      <c r="P2383" s="47">
        <v>1</v>
      </c>
      <c r="Q2383" s="57"/>
      <c r="R2383" s="271">
        <f ca="1">IF(D2383="","",IF(OFFSET(D2383,-1,0)&lt;&gt;"","",IF(OR(J2383="リード付け",J2383="巻足し",J2383="巻返しリード付け"),M2383,VLOOKUP(D2383,契約台帳!$A$3:$N$4986,14,FALSE))))</f>
        <v>1005</v>
      </c>
      <c r="S2383" s="272">
        <f ca="1">IF(D2383="","",IF(OFFSET(D2383,-1,0)&lt;&gt;"","",IF(OR(J2383="リード付け",J2383="巻足し",J2383="巻返しリード付け"),M2383,VLOOKUP(D2383,契約台帳!$A$3:$O$4986,15,FALSE))))</f>
        <v>1000</v>
      </c>
      <c r="T2383" s="273">
        <f ca="1">IF(D2383="","",IF(J2383="リード付け",N2383,IF(J2383="巻返しリード付け",N2383,IF(J2383="巻足し",N2383*P2383+OFFSET(N2383,1,0)*OFFSET(P2383,1,0),VLOOKUP(D2383,契約台帳!$A$3:$P$4986,16,FALSE)))))</f>
        <v>4000</v>
      </c>
      <c r="U2383" s="40">
        <v>3</v>
      </c>
      <c r="V2383" s="274">
        <f ca="1">IF(D2383="","",IF(OFFSET(D2383,-2,0)=D2383,"",VLOOKUP(D2383,契約台帳!$A$3:$R$4986,18,FALSE)))</f>
        <v>5</v>
      </c>
      <c r="W2383" s="269" t="str">
        <f ca="1">IF(D2383="","",IF(T2383="","",IF(OR(J2383="巻足し",J2383="巻返しリード付け"),"",IF(J2383="巻返し",VLOOKUP(F2383&amp;K2383&amp;M2383,製品マスタ!$M$5:$AD$5002,18,FALSE),IF(OR(J2383="リード付け",J2383="巻返しリード付け"),"原反コア",IF(J2383="スリット",VLOOKUP(F2383&amp;K2383&amp;R2383,製品マスタ!$N$5:$AD$5002,17,FALSE),""))))))</f>
        <v>6ｲﾝﾁSｺｱ</v>
      </c>
      <c r="X2383" s="269">
        <f ca="1">IF(D2383="","",IF(T2383="","",IF(J2383="巻足し","",IF(J2383="巻返し",VLOOKUP(F2383&amp;K2383&amp;M2383,製品マスタ!$M$5:$AE$5002,19,FALSE),IF(OR(J2383="リード付け",J2383="巻返しリード付け"),"",IF(J2383="スリット",VLOOKUP(F2383&amp;K2383&amp;R2383,製品マスタ!$N$5:$AE$5002,18,FALSE),""))))))</f>
        <v>1015</v>
      </c>
      <c r="Y2383" s="275">
        <f ca="1">IF(D2383="","",IF(T2383="","",VLOOKUP(D2383,契約台帳!$A$3:$Q$4986,17,FALSE)))</f>
        <v>2</v>
      </c>
      <c r="Z2383" s="269" t="str">
        <f ca="1">IF(D2383="","",IF(T2383="","",VLOOKUP(D2383,契約台帳!$A$3:$E$4986,5,FALSE)))</f>
        <v>リンテック㈱</v>
      </c>
      <c r="AA2383" s="57"/>
      <c r="AB2383" s="207"/>
      <c r="AC2383" s="33"/>
      <c r="AD2383" s="189"/>
      <c r="AE2383" s="54"/>
      <c r="AF2383" s="55"/>
      <c r="AG2383" s="43"/>
      <c r="AH2383" s="47"/>
      <c r="AI2383" s="30"/>
      <c r="AJ2383" s="30"/>
      <c r="AK2383" s="30"/>
      <c r="AL2383" s="30"/>
      <c r="AM2383" s="13"/>
      <c r="AN2383" s="13"/>
      <c r="AO2383" s="13"/>
      <c r="AP2383" s="13"/>
      <c r="AQ2383" s="13"/>
      <c r="AR2383" s="14"/>
      <c r="AS2383" s="15"/>
    </row>
    <row r="2384" spans="1:45" s="17" customFormat="1" ht="30.95" hidden="1" customHeight="1" x14ac:dyDescent="0.2">
      <c r="A2384" s="343"/>
      <c r="B2384" s="344"/>
      <c r="C2384" s="345"/>
      <c r="D2384" s="346"/>
      <c r="E2384" s="346"/>
      <c r="F2384" s="268"/>
      <c r="G2384" s="269"/>
      <c r="H2384" s="269"/>
      <c r="I2384" s="270"/>
      <c r="J2384" s="434"/>
      <c r="K2384" s="270"/>
      <c r="L2384" s="270"/>
      <c r="M2384" s="348"/>
      <c r="N2384" s="348"/>
      <c r="O2384" s="435"/>
      <c r="P2384" s="349"/>
      <c r="Q2384" s="350"/>
      <c r="R2384" s="271"/>
      <c r="S2384" s="272"/>
      <c r="T2384" s="273"/>
      <c r="U2384" s="351"/>
      <c r="V2384" s="274"/>
      <c r="W2384" s="269"/>
      <c r="X2384" s="269"/>
      <c r="Y2384" s="275"/>
      <c r="Z2384" s="269"/>
      <c r="AA2384" s="350"/>
      <c r="AB2384" s="207"/>
      <c r="AC2384" s="352"/>
      <c r="AD2384" s="353"/>
      <c r="AE2384" s="54"/>
      <c r="AF2384" s="354"/>
      <c r="AG2384" s="355"/>
      <c r="AH2384" s="349"/>
      <c r="AI2384" s="30"/>
      <c r="AJ2384" s="30"/>
      <c r="AK2384" s="30"/>
      <c r="AL2384" s="30"/>
      <c r="AM2384" s="13"/>
      <c r="AN2384" s="13"/>
      <c r="AO2384" s="13"/>
      <c r="AP2384" s="13"/>
      <c r="AQ2384" s="13"/>
      <c r="AR2384" s="14"/>
      <c r="AS2384" s="15"/>
    </row>
    <row r="2385" spans="1:45" s="17" customFormat="1" ht="30.6" hidden="1" customHeight="1" x14ac:dyDescent="0.2">
      <c r="A2385" s="343"/>
      <c r="B2385" s="344"/>
      <c r="C2385" s="45"/>
      <c r="D2385" s="31">
        <v>3766752</v>
      </c>
      <c r="E2385" s="31">
        <v>4141177</v>
      </c>
      <c r="F2385" s="268" t="str">
        <f>IF(D2385="","",VLOOKUP(D2385,契約台帳!$A$3:$K$4986,6,FALSE)&amp;VLOOKUP(D2385,契約台帳!$A$3:$K$4986,7,FALSE)&amp;VLOOKUP(D2385,契約台帳!$A$3:$K$4986,8,FALSE)&amp;VLOOKUP(D2385,契約台帳!$A$3:$K$4986,9,FALSE)&amp;VLOOKUP(D2385,契約台帳!$A$3:$K$4986,11,FALSE))</f>
        <v>33SSNMCLBTEKV0V</v>
      </c>
      <c r="G2385" s="269" t="str">
        <f>IF(D2385="","",VLOOKUP(F2385,製品マスタ!$G$5:$H$5002,2,FALSE))</f>
        <v>S</v>
      </c>
      <c r="H2385" s="269" t="str">
        <f>IF(D2385="","",VLOOKUP(F2385,製品マスタ!$G$5:$K$5002,5,FALSE))</f>
        <v>TEKV0V</v>
      </c>
      <c r="I2385" s="270" t="str">
        <f>IF(D2385="","",VLOOKUP(F2385,製品マスタ!$G$5:$L$5002,6,FALSE))</f>
        <v>メタルミー　ＴＥ－Ｓ消　ＶＯＩＤ　Ｖ</v>
      </c>
      <c r="J2385" s="210" t="s">
        <v>447</v>
      </c>
      <c r="K2385" s="270">
        <f>IF(D2385="","",VLOOKUP(D2385,契約台帳!$A$3:$L$4986,12,FALSE))</f>
        <v>50</v>
      </c>
      <c r="L2385" s="270" t="str">
        <f>IF(D2385="","",INDEX(製品マスタ!$Q$5:$Q$5002,MATCH('S4'!F2385&amp;'S4'!K2385,製品マスタ!$AO$5:$AO$5002,0)))</f>
        <v>X44SEPA</v>
      </c>
      <c r="M2385" s="39">
        <v>1005</v>
      </c>
      <c r="N2385" s="39">
        <v>12000</v>
      </c>
      <c r="O2385" s="156">
        <v>1</v>
      </c>
      <c r="P2385" s="47">
        <v>1</v>
      </c>
      <c r="Q2385" s="57"/>
      <c r="R2385" s="271">
        <f ca="1">IF(D2385="","",IF(OFFSET(D2385,-1,0)&lt;&gt;"","",IF(OR(J2385="リード付け",J2385="巻足し",J2385="巻返しリード付け"),M2385,VLOOKUP(D2385,契約台帳!$A$3:$N$4986,14,FALSE))))</f>
        <v>1005</v>
      </c>
      <c r="S2385" s="272">
        <f ca="1">IF(D2385="","",IF(OFFSET(D2385,-1,0)&lt;&gt;"","",IF(OR(J2385="リード付け",J2385="巻足し",J2385="巻返しリード付け"),M2385,VLOOKUP(D2385,契約台帳!$A$3:$O$4986,15,FALSE))))</f>
        <v>1000</v>
      </c>
      <c r="T2385" s="273">
        <f ca="1">IF(D2385="","",IF(J2385="リード付け",N2385,IF(J2385="巻返しリード付け",N2385,IF(J2385="巻足し",N2385*P2385+OFFSET(N2385,1,0)*OFFSET(P2385,1,0),VLOOKUP(D2385,契約台帳!$A$3:$P$4986,16,FALSE)))))</f>
        <v>4000</v>
      </c>
      <c r="U2385" s="40">
        <v>2</v>
      </c>
      <c r="V2385" s="274" t="str">
        <f ca="1">IF(D2385="","",IF(OFFSET(D2385,-2,0)=D2385,"",VLOOKUP(D2385,契約台帳!$A$3:$R$4986,18,FALSE)))</f>
        <v/>
      </c>
      <c r="W2385" s="269" t="str">
        <f ca="1">IF(D2385="","",IF(T2385="","",IF(OR(J2385="巻足し",J2385="巻返しリード付け"),"",IF(J2385="巻返し",VLOOKUP(F2385&amp;K2385&amp;M2385,製品マスタ!$M$5:$AD$5002,18,FALSE),IF(OR(J2385="リード付け",J2385="巻返しリード付け"),"原反コア",IF(J2385="スリット",VLOOKUP(F2385&amp;K2385&amp;R2385,製品マスタ!$N$5:$AD$5002,17,FALSE),""))))))</f>
        <v>6ｲﾝﾁSｺｱ</v>
      </c>
      <c r="X2385" s="269">
        <f ca="1">IF(D2385="","",IF(T2385="","",IF(J2385="巻足し","",IF(J2385="巻返し",VLOOKUP(F2385&amp;K2385&amp;M2385,製品マスタ!$M$5:$AE$5002,19,FALSE),IF(OR(J2385="リード付け",J2385="巻返しリード付け"),"",IF(J2385="スリット",VLOOKUP(F2385&amp;K2385&amp;R2385,製品マスタ!$N$5:$AE$5002,18,FALSE),""))))))</f>
        <v>1015</v>
      </c>
      <c r="Y2385" s="275">
        <f ca="1">IF(D2385="","",IF(T2385="","",VLOOKUP(D2385,契約台帳!$A$3:$Q$4986,17,FALSE)))</f>
        <v>2</v>
      </c>
      <c r="Z2385" s="269" t="str">
        <f ca="1">IF(D2385="","",IF(T2385="","",VLOOKUP(D2385,契約台帳!$A$3:$E$4986,5,FALSE)))</f>
        <v>リンテック㈱</v>
      </c>
      <c r="AA2385" s="57"/>
      <c r="AB2385" s="207"/>
      <c r="AC2385" s="33"/>
      <c r="AD2385" s="189"/>
      <c r="AE2385" s="54"/>
      <c r="AF2385" s="55"/>
      <c r="AG2385" s="43"/>
      <c r="AH2385" s="47"/>
      <c r="AI2385" s="30"/>
      <c r="AJ2385" s="30"/>
      <c r="AK2385" s="30"/>
      <c r="AL2385" s="30"/>
      <c r="AM2385" s="13"/>
      <c r="AN2385" s="13"/>
      <c r="AO2385" s="13"/>
      <c r="AP2385" s="13"/>
      <c r="AQ2385" s="13"/>
      <c r="AR2385" s="14"/>
      <c r="AS2385" s="15"/>
    </row>
    <row r="2386" spans="1:45" s="17" customFormat="1" ht="30.6" hidden="1" customHeight="1" x14ac:dyDescent="0.2">
      <c r="A2386" s="343"/>
      <c r="B2386" s="344"/>
      <c r="C2386" s="45"/>
      <c r="D2386" s="31">
        <v>3766753</v>
      </c>
      <c r="E2386" s="31"/>
      <c r="F2386" s="268" t="str">
        <f>IF(D2386="","",VLOOKUP(D2386,契約台帳!$A$3:$K$4986,6,FALSE)&amp;VLOOKUP(D2386,契約台帳!$A$3:$K$4986,7,FALSE)&amp;VLOOKUP(D2386,契約台帳!$A$3:$K$4986,8,FALSE)&amp;VLOOKUP(D2386,契約台帳!$A$3:$K$4986,9,FALSE)&amp;VLOOKUP(D2386,契約台帳!$A$3:$K$4986,11,FALSE))</f>
        <v>33SSYMCLBTEKV0V</v>
      </c>
      <c r="G2386" s="269" t="str">
        <f>IF(D2386="","",VLOOKUP(F2386,製品マスタ!$G$5:$H$5002,2,FALSE))</f>
        <v>S</v>
      </c>
      <c r="H2386" s="269" t="str">
        <f>IF(D2386="","",VLOOKUP(F2386,製品マスタ!$G$5:$K$5002,5,FALSE))</f>
        <v>TEKV0V</v>
      </c>
      <c r="I2386" s="270" t="str">
        <f>IF(D2386="","",VLOOKUP(F2386,製品マスタ!$G$5:$L$5002,6,FALSE))</f>
        <v>メタルミー　ＴＥ－Ｓ消　ＶＯＩＤ　Ｖ</v>
      </c>
      <c r="J2386" s="210" t="s">
        <v>447</v>
      </c>
      <c r="K2386" s="270">
        <f>IF(D2386="","",VLOOKUP(D2386,契約台帳!$A$3:$L$4986,12,FALSE))</f>
        <v>50</v>
      </c>
      <c r="L2386" s="270" t="str">
        <f>IF(D2386="","",INDEX(製品マスタ!$Q$5:$Q$5002,MATCH('S4'!F2386&amp;'S4'!K2386,製品マスタ!$AO$5:$AO$5002,0)))</f>
        <v>X44SEPA</v>
      </c>
      <c r="M2386" s="39">
        <v>1005</v>
      </c>
      <c r="N2386" s="39"/>
      <c r="O2386" s="156"/>
      <c r="P2386" s="47"/>
      <c r="Q2386" s="57"/>
      <c r="R2386" s="271" t="str">
        <f ca="1">IF(D2386="","",IF(OFFSET(D2386,-1,0)&lt;&gt;"","",IF(OR(J2386="リード付け",J2386="巻足し",J2386="巻返しリード付け"),M2386,VLOOKUP(D2386,契約台帳!$A$3:$N$4986,14,FALSE))))</f>
        <v/>
      </c>
      <c r="S2386" s="272" t="str">
        <f ca="1">IF(D2386="","",IF(OFFSET(D2386,-1,0)&lt;&gt;"","",IF(OR(J2386="リード付け",J2386="巻足し",J2386="巻返しリード付け"),M2386,VLOOKUP(D2386,契約台帳!$A$3:$O$4986,15,FALSE))))</f>
        <v/>
      </c>
      <c r="T2386" s="273">
        <f ca="1">IF(D2386="","",IF(J2386="リード付け",N2386,IF(J2386="巻返しリード付け",N2386,IF(J2386="巻足し",N2386*P2386+OFFSET(N2386,1,0)*OFFSET(P2386,1,0),VLOOKUP(D2386,契約台帳!$A$3:$P$4986,16,FALSE)))))</f>
        <v>4000</v>
      </c>
      <c r="U2386" s="40">
        <v>1</v>
      </c>
      <c r="V2386" s="274">
        <f ca="1">IF(D2386="","",IF(OFFSET(D2386,-2,0)=D2386,"",VLOOKUP(D2386,契約台帳!$A$3:$R$4986,18,FALSE)))</f>
        <v>1</v>
      </c>
      <c r="W2386" s="269" t="str">
        <f ca="1">IF(D2386="","",IF(T2386="","",IF(OR(J2386="巻足し",J2386="巻返しリード付け"),"",IF(J2386="巻返し",VLOOKUP(F2386&amp;K2386&amp;M2386,製品マスタ!$M$5:$AD$5002,18,FALSE),IF(OR(J2386="リード付け",J2386="巻返しリード付け"),"原反コア",IF(J2386="スリット",VLOOKUP(F2386&amp;K2386&amp;R2386,製品マスタ!$N$5:$AD$5002,17,FALSE),""))))))</f>
        <v>6ｲﾝﾁSｺｱ</v>
      </c>
      <c r="X2386" s="269">
        <f ca="1">IF(D2386="","",IF(T2386="","",IF(J2386="巻足し","",IF(J2386="巻返し",VLOOKUP(F2386&amp;K2386&amp;M2386,製品マスタ!$M$5:$AE$5002,19,FALSE),IF(OR(J2386="リード付け",J2386="巻返しリード付け"),"",IF(J2386="スリット",VLOOKUP(F2386&amp;K2386&amp;R2386,製品マスタ!$N$5:$AE$5002,18,FALSE),""))))))</f>
        <v>1015</v>
      </c>
      <c r="Y2386" s="275">
        <f ca="1">IF(D2386="","",IF(T2386="","",VLOOKUP(D2386,契約台帳!$A$3:$Q$4986,17,FALSE)))</f>
        <v>2</v>
      </c>
      <c r="Z2386" s="269" t="str">
        <f ca="1">IF(D2386="","",IF(T2386="","",VLOOKUP(D2386,契約台帳!$A$3:$E$4986,5,FALSE)))</f>
        <v>リンテック㈱</v>
      </c>
      <c r="AA2386" s="57"/>
      <c r="AB2386" s="424" t="s">
        <v>2330</v>
      </c>
      <c r="AC2386" s="33"/>
      <c r="AD2386" s="189"/>
      <c r="AE2386" s="54"/>
      <c r="AF2386" s="55"/>
      <c r="AG2386" s="43"/>
      <c r="AH2386" s="47"/>
      <c r="AI2386" s="30"/>
      <c r="AJ2386" s="30"/>
      <c r="AK2386" s="30"/>
      <c r="AL2386" s="30"/>
      <c r="AM2386" s="13"/>
      <c r="AN2386" s="13"/>
      <c r="AO2386" s="13"/>
      <c r="AP2386" s="13"/>
      <c r="AQ2386" s="13"/>
      <c r="AR2386" s="14"/>
      <c r="AS2386" s="15"/>
    </row>
    <row r="2387" spans="1:45" s="17" customFormat="1" ht="30.95" hidden="1" customHeight="1" x14ac:dyDescent="0.2">
      <c r="A2387" s="343"/>
      <c r="B2387" s="344"/>
      <c r="C2387" s="345"/>
      <c r="D2387" s="346"/>
      <c r="E2387" s="346"/>
      <c r="F2387" s="268"/>
      <c r="G2387" s="269"/>
      <c r="H2387" s="269"/>
      <c r="I2387" s="270"/>
      <c r="J2387" s="434"/>
      <c r="K2387" s="270"/>
      <c r="L2387" s="270"/>
      <c r="M2387" s="348"/>
      <c r="N2387" s="348"/>
      <c r="O2387" s="435"/>
      <c r="P2387" s="349"/>
      <c r="Q2387" s="350"/>
      <c r="R2387" s="271"/>
      <c r="S2387" s="272"/>
      <c r="T2387" s="273"/>
      <c r="U2387" s="351"/>
      <c r="V2387" s="274"/>
      <c r="W2387" s="269"/>
      <c r="X2387" s="269"/>
      <c r="Y2387" s="275"/>
      <c r="Z2387" s="269"/>
      <c r="AA2387" s="350"/>
      <c r="AB2387" s="207"/>
      <c r="AC2387" s="352"/>
      <c r="AD2387" s="353"/>
      <c r="AE2387" s="54"/>
      <c r="AF2387" s="354"/>
      <c r="AG2387" s="355"/>
      <c r="AH2387" s="349"/>
      <c r="AI2387" s="30"/>
      <c r="AJ2387" s="30"/>
      <c r="AK2387" s="30"/>
      <c r="AL2387" s="30"/>
      <c r="AM2387" s="13"/>
      <c r="AN2387" s="13"/>
      <c r="AO2387" s="13"/>
      <c r="AP2387" s="13"/>
      <c r="AQ2387" s="13"/>
      <c r="AR2387" s="14"/>
      <c r="AS2387" s="15"/>
    </row>
    <row r="2388" spans="1:45" s="17" customFormat="1" ht="30.6" hidden="1" customHeight="1" x14ac:dyDescent="0.2">
      <c r="A2388" s="343"/>
      <c r="B2388" s="344"/>
      <c r="C2388" s="45"/>
      <c r="D2388" s="31">
        <v>3766749</v>
      </c>
      <c r="E2388" s="31">
        <v>4141423</v>
      </c>
      <c r="F2388" s="268" t="str">
        <f>IF(D2388="","",VLOOKUP(D2388,契約台帳!$A$3:$K$4986,6,FALSE)&amp;VLOOKUP(D2388,契約台帳!$A$3:$K$4986,7,FALSE)&amp;VLOOKUP(D2388,契約台帳!$A$3:$K$4986,8,FALSE)&amp;VLOOKUP(D2388,契約台帳!$A$3:$K$4986,9,FALSE)&amp;VLOOKUP(D2388,契約台帳!$A$3:$K$4986,11,FALSE))</f>
        <v>3TNMCLBHLGTV</v>
      </c>
      <c r="G2388" s="269" t="str">
        <f>IF(D2388="","",VLOOKUP(F2388,製品マスタ!$G$5:$H$5002,2,FALSE))</f>
        <v>T</v>
      </c>
      <c r="H2388" s="269" t="str">
        <f>IF(D2388="","",VLOOKUP(F2388,製品マスタ!$G$5:$K$5002,5,FALSE))</f>
        <v>HLGTV</v>
      </c>
      <c r="I2388" s="270" t="str">
        <f>IF(D2388="","",VLOOKUP(F2388,製品マスタ!$G$5:$L$5002,6,FALSE))</f>
        <v>メタルミー　ヘヤライン　銀艶Ｖ</v>
      </c>
      <c r="J2388" s="210" t="s">
        <v>447</v>
      </c>
      <c r="K2388" s="270">
        <f>IF(D2388="","",VLOOKUP(D2388,契約台帳!$A$3:$L$4986,12,FALSE))</f>
        <v>50</v>
      </c>
      <c r="L2388" s="270" t="str">
        <f>IF(D2388="","",INDEX(製品マスタ!$Q$5:$Q$5002,MATCH('S4'!F2388&amp;'S4'!K2388,製品マスタ!$AO$5:$AO$5002,0)))</f>
        <v>BRIGHT</v>
      </c>
      <c r="M2388" s="39">
        <v>1005</v>
      </c>
      <c r="N2388" s="39">
        <v>12300</v>
      </c>
      <c r="O2388" s="156">
        <v>1</v>
      </c>
      <c r="P2388" s="47">
        <v>1</v>
      </c>
      <c r="Q2388" s="57"/>
      <c r="R2388" s="271">
        <f ca="1">IF(D2388="","",IF(OFFSET(D2388,-1,0)&lt;&gt;"","",IF(OR(J2388="リード付け",J2388="巻足し",J2388="巻返しリード付け"),M2388,VLOOKUP(D2388,契約台帳!$A$3:$N$4986,14,FALSE))))</f>
        <v>1005</v>
      </c>
      <c r="S2388" s="272">
        <f ca="1">IF(D2388="","",IF(OFFSET(D2388,-1,0)&lt;&gt;"","",IF(OR(J2388="リード付け",J2388="巻足し",J2388="巻返しリード付け"),M2388,VLOOKUP(D2388,契約台帳!$A$3:$O$4986,15,FALSE))))</f>
        <v>1000</v>
      </c>
      <c r="T2388" s="273">
        <f ca="1">IF(D2388="","",IF(J2388="リード付け",N2388,IF(J2388="巻返しリード付け",N2388,IF(J2388="巻足し",N2388*P2388+OFFSET(N2388,1,0)*OFFSET(P2388,1,0),VLOOKUP(D2388,契約台帳!$A$3:$P$4986,16,FALSE)))))</f>
        <v>4100</v>
      </c>
      <c r="U2388" s="40">
        <v>2</v>
      </c>
      <c r="V2388" s="274">
        <f ca="1">IF(D2388="","",IF(OFFSET(D2388,-2,0)=D2388,"",VLOOKUP(D2388,契約台帳!$A$3:$R$4986,18,FALSE)))</f>
        <v>5</v>
      </c>
      <c r="W2388" s="269" t="str">
        <f ca="1">IF(D2388="","",IF(T2388="","",IF(OR(J2388="巻足し",J2388="巻返しリード付け"),"",IF(J2388="巻返し",VLOOKUP(F2388&amp;K2388&amp;M2388,製品マスタ!$M$5:$AD$5002,18,FALSE),IF(OR(J2388="リード付け",J2388="巻返しリード付け"),"原反コア",IF(J2388="スリット",VLOOKUP(F2388&amp;K2388&amp;R2388,製品マスタ!$N$5:$AD$5002,17,FALSE),""))))))</f>
        <v>6ｲﾝﾁSｺｱ</v>
      </c>
      <c r="X2388" s="269">
        <f ca="1">IF(D2388="","",IF(T2388="","",IF(J2388="巻足し","",IF(J2388="巻返し",VLOOKUP(F2388&amp;K2388&amp;M2388,製品マスタ!$M$5:$AE$5002,19,FALSE),IF(OR(J2388="リード付け",J2388="巻返しリード付け"),"",IF(J2388="スリット",VLOOKUP(F2388&amp;K2388&amp;R2388,製品マスタ!$N$5:$AE$5002,18,FALSE),""))))))</f>
        <v>1015</v>
      </c>
      <c r="Y2388" s="275">
        <f ca="1">IF(D2388="","",IF(T2388="","",VLOOKUP(D2388,契約台帳!$A$3:$Q$4986,17,FALSE)))</f>
        <v>2</v>
      </c>
      <c r="Z2388" s="269" t="str">
        <f ca="1">IF(D2388="","",IF(T2388="","",VLOOKUP(D2388,契約台帳!$A$3:$E$4986,5,FALSE)))</f>
        <v>リンテック㈱</v>
      </c>
      <c r="AA2388" s="57"/>
      <c r="AB2388" s="303" t="s">
        <v>774</v>
      </c>
      <c r="AC2388" s="33"/>
      <c r="AD2388" s="189"/>
      <c r="AE2388" s="54"/>
      <c r="AF2388" s="55"/>
      <c r="AG2388" s="43"/>
      <c r="AH2388" s="47"/>
      <c r="AI2388" s="30"/>
      <c r="AJ2388" s="30"/>
      <c r="AK2388" s="30"/>
      <c r="AL2388" s="30"/>
      <c r="AM2388" s="13"/>
      <c r="AN2388" s="13"/>
      <c r="AO2388" s="13"/>
      <c r="AP2388" s="13"/>
      <c r="AQ2388" s="13"/>
      <c r="AR2388" s="14"/>
      <c r="AS2388" s="15"/>
    </row>
    <row r="2389" spans="1:45" s="17" customFormat="1" ht="30.6" hidden="1" customHeight="1" x14ac:dyDescent="0.2">
      <c r="A2389" s="343"/>
      <c r="B2389" s="344"/>
      <c r="C2389" s="45"/>
      <c r="D2389" s="31">
        <v>3768451</v>
      </c>
      <c r="E2389" s="31"/>
      <c r="F2389" s="268" t="str">
        <f>IF(D2389="","",VLOOKUP(D2389,契約台帳!$A$3:$K$4986,6,FALSE)&amp;VLOOKUP(D2389,契約台帳!$A$3:$K$4986,7,FALSE)&amp;VLOOKUP(D2389,契約台帳!$A$3:$K$4986,8,FALSE)&amp;VLOOKUP(D2389,契約台帳!$A$3:$K$4986,9,FALSE)&amp;VLOOKUP(D2389,契約台帳!$A$3:$K$4986,11,FALSE))</f>
        <v>3TNMCLBHLGTV</v>
      </c>
      <c r="G2389" s="269" t="str">
        <f>IF(D2389="","",VLOOKUP(F2389,製品マスタ!$G$5:$H$5002,2,FALSE))</f>
        <v>T</v>
      </c>
      <c r="H2389" s="269" t="str">
        <f>IF(D2389="","",VLOOKUP(F2389,製品マスタ!$G$5:$K$5002,5,FALSE))</f>
        <v>HLGTV</v>
      </c>
      <c r="I2389" s="270" t="str">
        <f>IF(D2389="","",VLOOKUP(F2389,製品マスタ!$G$5:$L$5002,6,FALSE))</f>
        <v>メタルミー　ヘヤライン　銀艶Ｖ</v>
      </c>
      <c r="J2389" s="210" t="s">
        <v>447</v>
      </c>
      <c r="K2389" s="270">
        <f>IF(D2389="","",VLOOKUP(D2389,契約台帳!$A$3:$L$4986,12,FALSE))</f>
        <v>50</v>
      </c>
      <c r="L2389" s="270" t="str">
        <f>IF(D2389="","",INDEX(製品マスタ!$Q$5:$Q$5002,MATCH('S4'!F2389&amp;'S4'!K2389,製品マスタ!$AO$5:$AO$5002,0)))</f>
        <v>BRIGHT</v>
      </c>
      <c r="M2389" s="39">
        <v>1005</v>
      </c>
      <c r="N2389" s="39"/>
      <c r="O2389" s="156"/>
      <c r="P2389" s="47"/>
      <c r="Q2389" s="57"/>
      <c r="R2389" s="271" t="str">
        <f ca="1">IF(D2389="","",IF(OFFSET(D2389,-1,0)&lt;&gt;"","",IF(OR(J2389="リード付け",J2389="巻足し",J2389="巻返しリード付け"),M2389,VLOOKUP(D2389,契約台帳!$A$3:$N$4986,14,FALSE))))</f>
        <v/>
      </c>
      <c r="S2389" s="272" t="str">
        <f ca="1">IF(D2389="","",IF(OFFSET(D2389,-1,0)&lt;&gt;"","",IF(OR(J2389="リード付け",J2389="巻足し",J2389="巻返しリード付け"),M2389,VLOOKUP(D2389,契約台帳!$A$3:$O$4986,15,FALSE))))</f>
        <v/>
      </c>
      <c r="T2389" s="273">
        <f ca="1">IF(D2389="","",IF(J2389="リード付け",N2389,IF(J2389="巻返しリード付け",N2389,IF(J2389="巻足し",N2389*P2389+OFFSET(N2389,1,0)*OFFSET(P2389,1,0),VLOOKUP(D2389,契約台帳!$A$3:$P$4986,16,FALSE)))))</f>
        <v>2000</v>
      </c>
      <c r="U2389" s="40">
        <v>1</v>
      </c>
      <c r="V2389" s="274">
        <f ca="1">IF(D2389="","",IF(OFFSET(D2389,-2,0)=D2389,"",VLOOKUP(D2389,契約台帳!$A$3:$R$4986,18,FALSE)))</f>
        <v>1</v>
      </c>
      <c r="W2389" s="269" t="str">
        <f ca="1">IF(D2389="","",IF(T2389="","",IF(OR(J2389="巻足し",J2389="巻返しリード付け"),"",IF(J2389="巻返し",VLOOKUP(F2389&amp;K2389&amp;M2389,製品マスタ!$M$5:$AD$5002,18,FALSE),IF(OR(J2389="リード付け",J2389="巻返しリード付け"),"原反コア",IF(J2389="スリット",VLOOKUP(F2389&amp;K2389&amp;R2389,製品マスタ!$N$5:$AD$5002,17,FALSE),""))))))</f>
        <v>6ｲﾝﾁSｺｱ</v>
      </c>
      <c r="X2389" s="269">
        <f ca="1">IF(D2389="","",IF(T2389="","",IF(J2389="巻足し","",IF(J2389="巻返し",VLOOKUP(F2389&amp;K2389&amp;M2389,製品マスタ!$M$5:$AE$5002,19,FALSE),IF(OR(J2389="リード付け",J2389="巻返しリード付け"),"",IF(J2389="スリット",VLOOKUP(F2389&amp;K2389&amp;R2389,製品マスタ!$N$5:$AE$5002,18,FALSE),""))))))</f>
        <v>1015</v>
      </c>
      <c r="Y2389" s="275">
        <f ca="1">IF(D2389="","",IF(T2389="","",VLOOKUP(D2389,契約台帳!$A$3:$Q$4986,17,FALSE)))</f>
        <v>2</v>
      </c>
      <c r="Z2389" s="269" t="str">
        <f ca="1">IF(D2389="","",IF(T2389="","",VLOOKUP(D2389,契約台帳!$A$3:$E$4986,5,FALSE)))</f>
        <v>リンテック㈱</v>
      </c>
      <c r="AA2389" s="57"/>
      <c r="AB2389" s="207"/>
      <c r="AC2389" s="33"/>
      <c r="AD2389" s="189"/>
      <c r="AE2389" s="54"/>
      <c r="AF2389" s="55"/>
      <c r="AG2389" s="43"/>
      <c r="AH2389" s="47"/>
      <c r="AI2389" s="30"/>
      <c r="AJ2389" s="30"/>
      <c r="AK2389" s="30"/>
      <c r="AL2389" s="30"/>
      <c r="AM2389" s="13"/>
      <c r="AN2389" s="13"/>
      <c r="AO2389" s="13"/>
      <c r="AP2389" s="13"/>
      <c r="AQ2389" s="13"/>
      <c r="AR2389" s="14"/>
      <c r="AS2389" s="15"/>
    </row>
    <row r="2390" spans="1:45" s="17" customFormat="1" ht="30.95" hidden="1" customHeight="1" x14ac:dyDescent="0.2">
      <c r="A2390" s="343"/>
      <c r="B2390" s="344"/>
      <c r="C2390" s="345"/>
      <c r="D2390" s="346"/>
      <c r="E2390" s="346"/>
      <c r="F2390" s="268"/>
      <c r="G2390" s="269"/>
      <c r="H2390" s="269"/>
      <c r="I2390" s="270"/>
      <c r="J2390" s="434"/>
      <c r="K2390" s="270"/>
      <c r="L2390" s="270"/>
      <c r="M2390" s="348"/>
      <c r="N2390" s="348"/>
      <c r="O2390" s="435"/>
      <c r="P2390" s="349"/>
      <c r="Q2390" s="350"/>
      <c r="R2390" s="271"/>
      <c r="S2390" s="272"/>
      <c r="T2390" s="273">
        <v>2000</v>
      </c>
      <c r="U2390" s="351">
        <v>1</v>
      </c>
      <c r="V2390" s="274">
        <v>1</v>
      </c>
      <c r="W2390" s="269" t="s">
        <v>806</v>
      </c>
      <c r="X2390" s="269">
        <v>1015</v>
      </c>
      <c r="Y2390" s="275">
        <v>2</v>
      </c>
      <c r="Z2390" s="269" t="s">
        <v>116</v>
      </c>
      <c r="AA2390" s="350"/>
      <c r="AB2390" s="424" t="s">
        <v>3080</v>
      </c>
      <c r="AC2390" s="352"/>
      <c r="AD2390" s="353"/>
      <c r="AE2390" s="54"/>
      <c r="AF2390" s="354"/>
      <c r="AG2390" s="355"/>
      <c r="AH2390" s="349"/>
      <c r="AI2390" s="30"/>
      <c r="AJ2390" s="30"/>
      <c r="AK2390" s="30"/>
      <c r="AL2390" s="30"/>
      <c r="AM2390" s="13"/>
      <c r="AN2390" s="13"/>
      <c r="AO2390" s="13"/>
      <c r="AP2390" s="13"/>
      <c r="AQ2390" s="13"/>
      <c r="AR2390" s="14"/>
      <c r="AS2390" s="15"/>
    </row>
    <row r="2391" spans="1:45" s="17" customFormat="1" ht="30.95" hidden="1" customHeight="1" x14ac:dyDescent="0.2">
      <c r="A2391" s="343"/>
      <c r="B2391" s="344"/>
      <c r="C2391" s="345"/>
      <c r="D2391" s="346"/>
      <c r="E2391" s="346"/>
      <c r="F2391" s="268"/>
      <c r="G2391" s="269"/>
      <c r="H2391" s="269"/>
      <c r="I2391" s="270"/>
      <c r="J2391" s="434"/>
      <c r="K2391" s="270"/>
      <c r="L2391" s="270"/>
      <c r="M2391" s="348"/>
      <c r="N2391" s="348"/>
      <c r="O2391" s="435"/>
      <c r="P2391" s="349"/>
      <c r="Q2391" s="350"/>
      <c r="R2391" s="271"/>
      <c r="S2391" s="272"/>
      <c r="T2391" s="273"/>
      <c r="U2391" s="351"/>
      <c r="V2391" s="274"/>
      <c r="W2391" s="269"/>
      <c r="X2391" s="269"/>
      <c r="Y2391" s="275"/>
      <c r="Z2391" s="269"/>
      <c r="AA2391" s="350"/>
      <c r="AB2391" s="207"/>
      <c r="AC2391" s="352"/>
      <c r="AD2391" s="353"/>
      <c r="AE2391" s="54"/>
      <c r="AF2391" s="354"/>
      <c r="AG2391" s="355"/>
      <c r="AH2391" s="349"/>
      <c r="AI2391" s="30"/>
      <c r="AJ2391" s="30"/>
      <c r="AK2391" s="30"/>
      <c r="AL2391" s="30"/>
      <c r="AM2391" s="13"/>
      <c r="AN2391" s="13"/>
      <c r="AO2391" s="13"/>
      <c r="AP2391" s="13"/>
      <c r="AQ2391" s="13"/>
      <c r="AR2391" s="14"/>
      <c r="AS2391" s="15"/>
    </row>
    <row r="2392" spans="1:45" s="17" customFormat="1" ht="30.6" hidden="1" customHeight="1" x14ac:dyDescent="0.2">
      <c r="A2392" s="343" t="s">
        <v>541</v>
      </c>
      <c r="B2392" s="344" t="s">
        <v>442</v>
      </c>
      <c r="C2392" s="45"/>
      <c r="D2392" s="31">
        <v>3766747</v>
      </c>
      <c r="E2392" s="31">
        <v>4141371</v>
      </c>
      <c r="F2392" s="268" t="str">
        <f>IF(D2392="","",VLOOKUP(D2392,契約台帳!$A$3:$K$4986,6,FALSE)&amp;VLOOKUP(D2392,契約台帳!$A$3:$K$4986,7,FALSE)&amp;VLOOKUP(D2392,契約台帳!$A$3:$K$4986,8,FALSE)&amp;VLOOKUP(D2392,契約台帳!$A$3:$K$4986,9,FALSE)&amp;VLOOKUP(D2392,契約台帳!$A$3:$K$4986,11,FALSE))</f>
        <v>3SNMCLBEYK</v>
      </c>
      <c r="G2392" s="269" t="str">
        <f>IF(D2392="","",VLOOKUP(F2392,製品マスタ!$G$5:$H$5002,2,FALSE))</f>
        <v>S</v>
      </c>
      <c r="H2392" s="269" t="str">
        <f>IF(D2392="","",VLOOKUP(F2392,製品マスタ!$G$5:$K$5002,5,FALSE))</f>
        <v>EYK</v>
      </c>
      <c r="I2392" s="270" t="str">
        <f>IF(D2392="","",VLOOKUP(F2392,製品マスタ!$G$5:$L$5002,6,FALSE))</f>
        <v>メタルミー　ＥＹＫ</v>
      </c>
      <c r="J2392" s="210" t="s">
        <v>447</v>
      </c>
      <c r="K2392" s="270">
        <f>IF(D2392="","",VLOOKUP(D2392,契約台帳!$A$3:$L$4986,12,FALSE))</f>
        <v>25</v>
      </c>
      <c r="L2392" s="270" t="str">
        <f>IF(D2392="","",INDEX(製品マスタ!$Q$5:$Q$5002,MATCH('S4'!F2392&amp;'S4'!K2392,製品マスタ!$AO$5:$AO$5002,0)))</f>
        <v>T62M</v>
      </c>
      <c r="M2392" s="39">
        <v>1125</v>
      </c>
      <c r="N2392" s="39">
        <v>12100</v>
      </c>
      <c r="O2392" s="156">
        <v>1</v>
      </c>
      <c r="P2392" s="47">
        <v>1</v>
      </c>
      <c r="Q2392" s="57"/>
      <c r="R2392" s="271">
        <f ca="1">IF(D2392="","",IF(OFFSET(D2392,-1,0)&lt;&gt;"","",IF(OR(J2392="リード付け",J2392="巻足し",J2392="巻返しリード付け"),M2392,VLOOKUP(D2392,契約台帳!$A$3:$N$4986,14,FALSE))))</f>
        <v>1120</v>
      </c>
      <c r="S2392" s="272">
        <f ca="1">IF(D2392="","",IF(OFFSET(D2392,-1,0)&lt;&gt;"","",IF(OR(J2392="リード付け",J2392="巻足し",J2392="巻返しリード付け"),M2392,VLOOKUP(D2392,契約台帳!$A$3:$O$4986,15,FALSE))))</f>
        <v>1120</v>
      </c>
      <c r="T2392" s="273">
        <f ca="1">IF(D2392="","",IF(J2392="リード付け",N2392,IF(J2392="巻返しリード付け",N2392,IF(J2392="巻足し",N2392*P2392+OFFSET(N2392,1,0)*OFFSET(P2392,1,0),VLOOKUP(D2392,契約台帳!$A$3:$P$4986,16,FALSE)))))</f>
        <v>6000</v>
      </c>
      <c r="U2392" s="40">
        <v>2</v>
      </c>
      <c r="V2392" s="274">
        <f ca="1">IF(D2392="","",IF(OFFSET(D2392,-2,0)=D2392,"",VLOOKUP(D2392,契約台帳!$A$3:$R$4986,18,FALSE)))</f>
        <v>2</v>
      </c>
      <c r="W2392" s="269" t="str">
        <f ca="1">IF(D2392="","",IF(T2392="","",IF(OR(J2392="巻足し",J2392="巻返しリード付け"),"",IF(J2392="巻返し",VLOOKUP(F2392&amp;K2392&amp;M2392,製品マスタ!$M$5:$AD$5002,18,FALSE),IF(OR(J2392="リード付け",J2392="巻返しリード付け"),"原反コア",IF(J2392="スリット",VLOOKUP(F2392&amp;K2392&amp;R2392,製品マスタ!$N$5:$AD$5002,17,FALSE),""))))))</f>
        <v>6ｲﾝﾁMｺｱ</v>
      </c>
      <c r="X2392" s="269">
        <f ca="1">IF(D2392="","",IF(T2392="","",IF(J2392="巻足し","",IF(J2392="巻返し",VLOOKUP(F2392&amp;K2392&amp;M2392,製品マスタ!$M$5:$AE$5002,19,FALSE),IF(OR(J2392="リード付け",J2392="巻返しリード付け"),"",IF(J2392="スリット",VLOOKUP(F2392&amp;K2392&amp;R2392,製品マスタ!$N$5:$AE$5002,18,FALSE),""))))))</f>
        <v>1140</v>
      </c>
      <c r="Y2392" s="275">
        <f ca="1">IF(D2392="","",IF(T2392="","",VLOOKUP(D2392,契約台帳!$A$3:$Q$4986,17,FALSE)))</f>
        <v>2</v>
      </c>
      <c r="Z2392" s="269" t="str">
        <f ca="1">IF(D2392="","",IF(T2392="","",VLOOKUP(D2392,契約台帳!$A$3:$E$4986,5,FALSE)))</f>
        <v>新タック化成㈱</v>
      </c>
      <c r="AA2392" s="57"/>
      <c r="AB2392" s="207"/>
      <c r="AC2392" s="33"/>
      <c r="AD2392" s="189"/>
      <c r="AE2392" s="54"/>
      <c r="AF2392" s="55"/>
      <c r="AG2392" s="43"/>
      <c r="AH2392" s="47"/>
      <c r="AI2392" s="30"/>
      <c r="AJ2392" s="30"/>
      <c r="AK2392" s="30"/>
      <c r="AL2392" s="30"/>
      <c r="AM2392" s="13"/>
      <c r="AN2392" s="13"/>
      <c r="AO2392" s="13"/>
      <c r="AP2392" s="13"/>
      <c r="AQ2392" s="13"/>
      <c r="AR2392" s="14"/>
      <c r="AS2392" s="15"/>
    </row>
    <row r="2393" spans="1:45" s="17" customFormat="1" ht="30.95" hidden="1" customHeight="1" x14ac:dyDescent="0.2">
      <c r="A2393" s="343"/>
      <c r="B2393" s="344"/>
      <c r="C2393" s="345"/>
      <c r="D2393" s="346"/>
      <c r="E2393" s="346"/>
      <c r="F2393" s="268"/>
      <c r="G2393" s="269"/>
      <c r="H2393" s="269"/>
      <c r="I2393" s="270"/>
      <c r="J2393" s="434"/>
      <c r="K2393" s="270"/>
      <c r="L2393" s="270"/>
      <c r="M2393" s="348"/>
      <c r="N2393" s="348"/>
      <c r="O2393" s="435"/>
      <c r="P2393" s="349"/>
      <c r="Q2393" s="350"/>
      <c r="R2393" s="271"/>
      <c r="S2393" s="272"/>
      <c r="T2393" s="273"/>
      <c r="U2393" s="351"/>
      <c r="V2393" s="274"/>
      <c r="W2393" s="269"/>
      <c r="X2393" s="269"/>
      <c r="Y2393" s="275"/>
      <c r="Z2393" s="269"/>
      <c r="AA2393" s="350"/>
      <c r="AB2393" s="207"/>
      <c r="AC2393" s="352"/>
      <c r="AD2393" s="353"/>
      <c r="AE2393" s="54"/>
      <c r="AF2393" s="354"/>
      <c r="AG2393" s="355"/>
      <c r="AH2393" s="349"/>
      <c r="AI2393" s="30"/>
      <c r="AJ2393" s="30"/>
      <c r="AK2393" s="30"/>
      <c r="AL2393" s="30"/>
      <c r="AM2393" s="13"/>
      <c r="AN2393" s="13"/>
      <c r="AO2393" s="13"/>
      <c r="AP2393" s="13"/>
      <c r="AQ2393" s="13"/>
      <c r="AR2393" s="14"/>
      <c r="AS2393" s="15"/>
    </row>
    <row r="2394" spans="1:45" s="17" customFormat="1" ht="30.6" hidden="1" customHeight="1" x14ac:dyDescent="0.2">
      <c r="A2394" s="343"/>
      <c r="B2394" s="344"/>
      <c r="C2394" s="45"/>
      <c r="D2394" s="31">
        <v>3768139</v>
      </c>
      <c r="E2394" s="31">
        <v>4141275</v>
      </c>
      <c r="F2394" s="268" t="str">
        <f>IF(D2394="","",VLOOKUP(D2394,契約台帳!$A$3:$K$4986,6,FALSE)&amp;VLOOKUP(D2394,契約台帳!$A$3:$K$4986,7,FALSE)&amp;VLOOKUP(D2394,契約台帳!$A$3:$K$4986,8,FALSE)&amp;VLOOKUP(D2394,契約台帳!$A$3:$K$4986,9,FALSE)&amp;VLOOKUP(D2394,契約台帳!$A$3:$K$4986,11,FALSE))</f>
        <v>3SNMCLBNGKEYKB</v>
      </c>
      <c r="G2394" s="269" t="str">
        <f>IF(D2394="","",VLOOKUP(F2394,製品マスタ!$G$5:$H$5002,2,FALSE))</f>
        <v>S</v>
      </c>
      <c r="H2394" s="269" t="str">
        <f>IF(D2394="","",VLOOKUP(F2394,製品マスタ!$G$5:$K$5002,5,FALSE))</f>
        <v>NGKEYKB</v>
      </c>
      <c r="I2394" s="270" t="str">
        <f>IF(D2394="","",VLOOKUP(F2394,製品マスタ!$G$5:$L$5002,6,FALSE))</f>
        <v>メタルミー　ネーマー銀消ＥＹＫ　Ｂ</v>
      </c>
      <c r="J2394" s="210" t="s">
        <v>447</v>
      </c>
      <c r="K2394" s="270">
        <f>IF(D2394="","",VLOOKUP(D2394,契約台帳!$A$3:$L$4986,12,FALSE))</f>
        <v>16</v>
      </c>
      <c r="L2394" s="270" t="str">
        <f>IF(D2394="","",INDEX(製品マスタ!$Q$5:$Q$5002,MATCH('S4'!F2394&amp;'S4'!K2394,製品マスタ!$AO$5:$AO$5002,0)))</f>
        <v>LUMIMAT</v>
      </c>
      <c r="M2394" s="39">
        <v>1005</v>
      </c>
      <c r="N2394" s="39">
        <v>3200</v>
      </c>
      <c r="O2394" s="156">
        <v>1</v>
      </c>
      <c r="P2394" s="47">
        <v>1</v>
      </c>
      <c r="Q2394" s="57"/>
      <c r="R2394" s="271">
        <f ca="1">IF(D2394="","",IF(OFFSET(D2394,-1,0)&lt;&gt;"","",IF(OR(J2394="リード付け",J2394="巻足し",J2394="巻返しリード付け"),M2394,VLOOKUP(D2394,契約台帳!$A$3:$N$4986,14,FALSE))))</f>
        <v>1000</v>
      </c>
      <c r="S2394" s="272">
        <f ca="1">IF(D2394="","",IF(OFFSET(D2394,-1,0)&lt;&gt;"","",IF(OR(J2394="リード付け",J2394="巻足し",J2394="巻返しリード付け"),M2394,VLOOKUP(D2394,契約台帳!$A$3:$O$4986,15,FALSE))))</f>
        <v>1000</v>
      </c>
      <c r="T2394" s="273">
        <f ca="1">IF(D2394="","",IF(J2394="リード付け",N2394,IF(J2394="巻返しリード付け",N2394,IF(J2394="巻足し",N2394*P2394+OFFSET(N2394,1,0)*OFFSET(P2394,1,0),VLOOKUP(D2394,契約台帳!$A$3:$P$4986,16,FALSE)))))</f>
        <v>3200</v>
      </c>
      <c r="U2394" s="40">
        <v>1</v>
      </c>
      <c r="V2394" s="274">
        <f ca="1">IF(D2394="","",IF(OFFSET(D2394,-2,0)=D2394,"",VLOOKUP(D2394,契約台帳!$A$3:$R$4986,18,FALSE)))</f>
        <v>1</v>
      </c>
      <c r="W2394" s="269" t="str">
        <f ca="1">IF(D2394="","",IF(T2394="","",IF(OR(J2394="巻足し",J2394="巻返しリード付け"),"",IF(J2394="巻返し",VLOOKUP(F2394&amp;K2394&amp;M2394,製品マスタ!$M$5:$AD$5002,18,FALSE),IF(OR(J2394="リード付け",J2394="巻返しリード付け"),"原反コア",IF(J2394="スリット",VLOOKUP(F2394&amp;K2394&amp;R2394,製品マスタ!$N$5:$AD$5002,17,FALSE),""))))))</f>
        <v>6ｲﾝﾁMｺｱ</v>
      </c>
      <c r="X2394" s="269">
        <f ca="1">IF(D2394="","",IF(T2394="","",IF(J2394="巻足し","",IF(J2394="巻返し",VLOOKUP(F2394&amp;K2394&amp;M2394,製品マスタ!$M$5:$AE$5002,19,FALSE),IF(OR(J2394="リード付け",J2394="巻返しリード付け"),"",IF(J2394="スリット",VLOOKUP(F2394&amp;K2394&amp;R2394,製品マスタ!$N$5:$AE$5002,18,FALSE),""))))))</f>
        <v>1015</v>
      </c>
      <c r="Y2394" s="275">
        <f ca="1">IF(D2394="","",IF(T2394="","",VLOOKUP(D2394,契約台帳!$A$3:$Q$4986,17,FALSE)))</f>
        <v>2</v>
      </c>
      <c r="Z2394" s="269" t="str">
        <f ca="1">IF(D2394="","",IF(T2394="","",VLOOKUP(D2394,契約台帳!$A$3:$E$4986,5,FALSE)))</f>
        <v>リンテック㈱</v>
      </c>
      <c r="AA2394" s="57"/>
      <c r="AB2394" s="207"/>
      <c r="AC2394" s="33"/>
      <c r="AD2394" s="189"/>
      <c r="AE2394" s="54"/>
      <c r="AF2394" s="55"/>
      <c r="AG2394" s="43"/>
      <c r="AH2394" s="47"/>
      <c r="AI2394" s="30"/>
      <c r="AJ2394" s="30"/>
      <c r="AK2394" s="30"/>
      <c r="AL2394" s="30"/>
      <c r="AM2394" s="13"/>
      <c r="AN2394" s="13"/>
      <c r="AO2394" s="13"/>
      <c r="AP2394" s="13"/>
      <c r="AQ2394" s="13"/>
      <c r="AR2394" s="14"/>
      <c r="AS2394" s="15"/>
    </row>
    <row r="2395" spans="1:45" s="17" customFormat="1" ht="30.95" hidden="1" customHeight="1" x14ac:dyDescent="0.2">
      <c r="A2395" s="343"/>
      <c r="B2395" s="344"/>
      <c r="C2395" s="345"/>
      <c r="D2395" s="346"/>
      <c r="E2395" s="346"/>
      <c r="F2395" s="268"/>
      <c r="G2395" s="269"/>
      <c r="H2395" s="269"/>
      <c r="I2395" s="270"/>
      <c r="J2395" s="434"/>
      <c r="K2395" s="270"/>
      <c r="L2395" s="270"/>
      <c r="M2395" s="348"/>
      <c r="N2395" s="348"/>
      <c r="O2395" s="435"/>
      <c r="P2395" s="349"/>
      <c r="Q2395" s="350"/>
      <c r="R2395" s="271"/>
      <c r="S2395" s="272"/>
      <c r="T2395" s="273"/>
      <c r="U2395" s="351"/>
      <c r="V2395" s="274"/>
      <c r="W2395" s="269"/>
      <c r="X2395" s="269"/>
      <c r="Y2395" s="275"/>
      <c r="Z2395" s="269"/>
      <c r="AA2395" s="350"/>
      <c r="AB2395" s="207"/>
      <c r="AC2395" s="352"/>
      <c r="AD2395" s="353"/>
      <c r="AE2395" s="54"/>
      <c r="AF2395" s="354"/>
      <c r="AG2395" s="355"/>
      <c r="AH2395" s="349"/>
      <c r="AI2395" s="30"/>
      <c r="AJ2395" s="30"/>
      <c r="AK2395" s="30"/>
      <c r="AL2395" s="30"/>
      <c r="AM2395" s="13"/>
      <c r="AN2395" s="13"/>
      <c r="AO2395" s="13"/>
      <c r="AP2395" s="13"/>
      <c r="AQ2395" s="13"/>
      <c r="AR2395" s="14"/>
      <c r="AS2395" s="15"/>
    </row>
    <row r="2396" spans="1:45" s="17" customFormat="1" ht="30.6" hidden="1" customHeight="1" x14ac:dyDescent="0.2">
      <c r="A2396" s="343"/>
      <c r="B2396" s="344"/>
      <c r="C2396" s="45"/>
      <c r="D2396" s="31">
        <v>3766763</v>
      </c>
      <c r="E2396" s="31">
        <v>4162420</v>
      </c>
      <c r="F2396" s="268" t="str">
        <f>IF(D2396="","",VLOOKUP(D2396,契約台帳!$A$3:$K$4986,6,FALSE)&amp;VLOOKUP(D2396,契約台帳!$A$3:$K$4986,7,FALSE)&amp;VLOOKUP(D2396,契約台帳!$A$3:$K$4986,8,FALSE)&amp;VLOOKUP(D2396,契約台帳!$A$3:$K$4986,9,FALSE)&amp;VLOOKUP(D2396,契約台帳!$A$3:$K$4986,11,FALSE))</f>
        <v>3SNMLBMNNGKBF</v>
      </c>
      <c r="G2396" s="269" t="str">
        <f>IF(D2396="","",VLOOKUP(F2396,製品マスタ!$G$5:$H$5002,2,FALSE))</f>
        <v>S</v>
      </c>
      <c r="H2396" s="269" t="str">
        <f>IF(D2396="","",VLOOKUP(F2396,製品マスタ!$G$5:$K$5002,5,FALSE))</f>
        <v>MNNGKBF</v>
      </c>
      <c r="I2396" s="270" t="str">
        <f>IF(D2396="","",VLOOKUP(F2396,製品マスタ!$G$5:$L$5002,6,FALSE))</f>
        <v>メタルミー　ニューネーマー銀消　Ｂ</v>
      </c>
      <c r="J2396" s="210" t="s">
        <v>935</v>
      </c>
      <c r="K2396" s="270">
        <f>IF(D2396="","",VLOOKUP(D2396,契約台帳!$A$3:$L$4986,12,FALSE))</f>
        <v>50</v>
      </c>
      <c r="L2396" s="270" t="str">
        <f>IF(D2396="","",INDEX(製品マスタ!$Q$5:$Q$5002,MATCH('S4'!F2396&amp;'S4'!K2396,製品マスタ!$AO$5:$AO$5002,0)))</f>
        <v>X44</v>
      </c>
      <c r="M2396" s="39">
        <v>1000</v>
      </c>
      <c r="N2396" s="39">
        <v>4000</v>
      </c>
      <c r="O2396" s="156">
        <v>6</v>
      </c>
      <c r="P2396" s="47">
        <v>3</v>
      </c>
      <c r="Q2396" s="213">
        <v>45511</v>
      </c>
      <c r="R2396" s="271">
        <f ca="1">IF(D2396="","",IF(OFFSET(D2396,-1,0)&lt;&gt;"","",IF(OR(J2396="リード付け",J2396="巻足し",J2396="巻返しリード付け"),M2396,VLOOKUP(D2396,契約台帳!$A$3:$N$4986,14,FALSE))))</f>
        <v>1000</v>
      </c>
      <c r="S2396" s="272">
        <f ca="1">IF(D2396="","",IF(OFFSET(D2396,-1,0)&lt;&gt;"","",IF(OR(J2396="リード付け",J2396="巻足し",J2396="巻返しリード付け"),M2396,VLOOKUP(D2396,契約台帳!$A$3:$O$4986,15,FALSE))))</f>
        <v>1000</v>
      </c>
      <c r="T2396" s="273">
        <f ca="1">IF(D2396="","",IF(J2396="リード付け",N2396,IF(J2396="巻返しリード付け",N2396,IF(J2396="巻足し",N2396*P2396+OFFSET(N2396,1,0)*OFFSET(P2396,1,0),VLOOKUP(D2396,契約台帳!$A$3:$P$4986,16,FALSE)))))</f>
        <v>12000</v>
      </c>
      <c r="U2396" s="40">
        <v>2</v>
      </c>
      <c r="V2396" s="274">
        <f ca="1">IF(D2396="","",IF(OFFSET(D2396,-2,0)=D2396,"",VLOOKUP(D2396,契約台帳!$A$3:$R$4986,18,FALSE)))</f>
        <v>21</v>
      </c>
      <c r="W2396" s="269" t="str">
        <f ca="1">IF(D2396="","",IF(T2396="","",IF(OR(J2396="巻足し",J2396="巻返しリード付け"),"",IF(J2396="巻返し",VLOOKUP(F2396&amp;K2396&amp;M2396,製品マスタ!$M$5:$AD$5002,18,FALSE),IF(OR(J2396="リード付け",J2396="巻返しリード付け"),"原反コア",IF(J2396="スリット",VLOOKUP(F2396&amp;K2396&amp;R2396,製品マスタ!$N$5:$AD$5002,17,FALSE),""))))))</f>
        <v/>
      </c>
      <c r="X2396" s="269" t="str">
        <f ca="1">IF(D2396="","",IF(T2396="","",IF(J2396="巻足し","",IF(J2396="巻返し",VLOOKUP(F2396&amp;K2396&amp;M2396,製品マスタ!$M$5:$AE$5002,19,FALSE),IF(OR(J2396="リード付け",J2396="巻返しリード付け"),"",IF(J2396="スリット",VLOOKUP(F2396&amp;K2396&amp;R2396,製品マスタ!$N$5:$AE$5002,18,FALSE),""))))))</f>
        <v/>
      </c>
      <c r="Y2396" s="275">
        <f ca="1">IF(D2396="","",IF(T2396="","",VLOOKUP(D2396,契約台帳!$A$3:$Q$4986,17,FALSE)))</f>
        <v>2</v>
      </c>
      <c r="Z2396" s="269" t="str">
        <f ca="1">IF(D2396="","",IF(T2396="","",VLOOKUP(D2396,契約台帳!$A$3:$E$4986,5,FALSE)))</f>
        <v>リンテック㈱</v>
      </c>
      <c r="AA2396" s="57"/>
      <c r="AB2396" s="207" t="str">
        <f>IFERROR((VLOOKUP(F2396&amp;K2396&amp;M2396,製品マスタ!$M$5:$AM$5002,27,FALSE)),"")</f>
        <v>原反ケース再利用</v>
      </c>
      <c r="AC2396" s="33"/>
      <c r="AD2396" s="189"/>
      <c r="AE2396" s="54"/>
      <c r="AF2396" s="55">
        <f>+M2396*N2396*O2396/1000</f>
        <v>24000</v>
      </c>
      <c r="AG2396" s="43"/>
      <c r="AH2396" s="47"/>
      <c r="AI2396" s="30"/>
      <c r="AJ2396" s="30"/>
      <c r="AK2396" s="30"/>
      <c r="AL2396" s="30"/>
      <c r="AM2396" s="13"/>
      <c r="AN2396" s="13"/>
      <c r="AO2396" s="13"/>
      <c r="AP2396" s="13"/>
      <c r="AQ2396" s="13"/>
      <c r="AR2396" s="14"/>
      <c r="AS2396" s="15"/>
    </row>
    <row r="2397" spans="1:45" s="17" customFormat="1" ht="30.95" hidden="1" customHeight="1" x14ac:dyDescent="0.2">
      <c r="A2397" s="343"/>
      <c r="B2397" s="344"/>
      <c r="C2397" s="345"/>
      <c r="D2397" s="346"/>
      <c r="E2397" s="346"/>
      <c r="F2397" s="268"/>
      <c r="G2397" s="269"/>
      <c r="H2397" s="269"/>
      <c r="I2397" s="270"/>
      <c r="J2397" s="434"/>
      <c r="K2397" s="270"/>
      <c r="L2397" s="270"/>
      <c r="M2397" s="348"/>
      <c r="N2397" s="348"/>
      <c r="O2397" s="435"/>
      <c r="P2397" s="349"/>
      <c r="Q2397" s="350"/>
      <c r="R2397" s="271"/>
      <c r="S2397" s="272"/>
      <c r="T2397" s="273"/>
      <c r="U2397" s="351"/>
      <c r="V2397" s="274"/>
      <c r="W2397" s="269"/>
      <c r="X2397" s="269"/>
      <c r="Y2397" s="275"/>
      <c r="Z2397" s="269"/>
      <c r="AA2397" s="350"/>
      <c r="AB2397" s="207"/>
      <c r="AC2397" s="352"/>
      <c r="AD2397" s="353"/>
      <c r="AE2397" s="54"/>
      <c r="AF2397" s="354"/>
      <c r="AG2397" s="355"/>
      <c r="AH2397" s="349"/>
      <c r="AI2397" s="30"/>
      <c r="AJ2397" s="30"/>
      <c r="AK2397" s="30"/>
      <c r="AL2397" s="30"/>
      <c r="AM2397" s="13"/>
      <c r="AN2397" s="13"/>
      <c r="AO2397" s="13"/>
      <c r="AP2397" s="13"/>
      <c r="AQ2397" s="13"/>
      <c r="AR2397" s="14"/>
      <c r="AS2397" s="15"/>
    </row>
    <row r="2398" spans="1:45" s="17" customFormat="1" ht="30.6" hidden="1" customHeight="1" x14ac:dyDescent="0.2">
      <c r="A2398" s="343" t="s">
        <v>542</v>
      </c>
      <c r="B2398" s="344" t="s">
        <v>443</v>
      </c>
      <c r="C2398" s="45"/>
      <c r="D2398" s="31">
        <v>3766763</v>
      </c>
      <c r="E2398" s="31">
        <v>4162420</v>
      </c>
      <c r="F2398" s="268" t="str">
        <f>IF(D2398="","",VLOOKUP(D2398,契約台帳!$A$3:$K$4986,6,FALSE)&amp;VLOOKUP(D2398,契約台帳!$A$3:$K$4986,7,FALSE)&amp;VLOOKUP(D2398,契約台帳!$A$3:$K$4986,8,FALSE)&amp;VLOOKUP(D2398,契約台帳!$A$3:$K$4986,9,FALSE)&amp;VLOOKUP(D2398,契約台帳!$A$3:$K$4986,11,FALSE))</f>
        <v>3SNMLBMNNGKBF</v>
      </c>
      <c r="G2398" s="269" t="str">
        <f>IF(D2398="","",VLOOKUP(F2398,製品マスタ!$G$5:$H$5002,2,FALSE))</f>
        <v>S</v>
      </c>
      <c r="H2398" s="269" t="str">
        <f>IF(D2398="","",VLOOKUP(F2398,製品マスタ!$G$5:$K$5002,5,FALSE))</f>
        <v>MNNGKBF</v>
      </c>
      <c r="I2398" s="270" t="str">
        <f>IF(D2398="","",VLOOKUP(F2398,製品マスタ!$G$5:$L$5002,6,FALSE))</f>
        <v>メタルミー　ニューネーマー銀消　Ｂ</v>
      </c>
      <c r="J2398" s="210" t="s">
        <v>935</v>
      </c>
      <c r="K2398" s="270">
        <f>IF(D2398="","",VLOOKUP(D2398,契約台帳!$A$3:$L$4986,12,FALSE))</f>
        <v>50</v>
      </c>
      <c r="L2398" s="270" t="str">
        <f>IF(D2398="","",INDEX(製品マスタ!$Q$5:$Q$5002,MATCH('S4'!F2398&amp;'S4'!K2398,製品マスタ!$AO$5:$AO$5002,0)))</f>
        <v>X44</v>
      </c>
      <c r="M2398" s="39">
        <v>1000</v>
      </c>
      <c r="N2398" s="39">
        <v>4000</v>
      </c>
      <c r="O2398" s="156">
        <v>15</v>
      </c>
      <c r="P2398" s="47">
        <v>3</v>
      </c>
      <c r="Q2398" s="213">
        <v>45511</v>
      </c>
      <c r="R2398" s="271">
        <f ca="1">IF(D2398="","",IF(OFFSET(D2398,-1,0)&lt;&gt;"","",IF(OR(J2398="リード付け",J2398="巻足し",J2398="巻返しリード付け"),M2398,VLOOKUP(D2398,契約台帳!$A$3:$N$4986,14,FALSE))))</f>
        <v>1000</v>
      </c>
      <c r="S2398" s="272">
        <f ca="1">IF(D2398="","",IF(OFFSET(D2398,-1,0)&lt;&gt;"","",IF(OR(J2398="リード付け",J2398="巻足し",J2398="巻返しリード付け"),M2398,VLOOKUP(D2398,契約台帳!$A$3:$O$4986,15,FALSE))))</f>
        <v>1000</v>
      </c>
      <c r="T2398" s="273">
        <f ca="1">IF(D2398="","",IF(J2398="リード付け",N2398,IF(J2398="巻返しリード付け",N2398,IF(J2398="巻足し",N2398*P2398+OFFSET(N2398,1,0)*OFFSET(P2398,1,0),VLOOKUP(D2398,契約台帳!$A$3:$P$4986,16,FALSE)))))</f>
        <v>12000</v>
      </c>
      <c r="U2398" s="40">
        <v>5</v>
      </c>
      <c r="V2398" s="274" t="str">
        <f ca="1">IF(D2398="","",IF(OFFSET(D2398,-2,0)=D2398,"",VLOOKUP(D2398,契約台帳!$A$3:$R$4986,18,FALSE)))</f>
        <v/>
      </c>
      <c r="W2398" s="269" t="str">
        <f ca="1">IF(D2398="","",IF(T2398="","",IF(OR(J2398="巻足し",J2398="巻返しリード付け"),"",IF(J2398="巻返し",VLOOKUP(F2398&amp;K2398&amp;M2398,製品マスタ!$M$5:$AD$5002,18,FALSE),IF(OR(J2398="リード付け",J2398="巻返しリード付け"),"原反コア",IF(J2398="スリット",VLOOKUP(F2398&amp;K2398&amp;R2398,製品マスタ!$N$5:$AD$5002,17,FALSE),""))))))</f>
        <v/>
      </c>
      <c r="X2398" s="269" t="str">
        <f ca="1">IF(D2398="","",IF(T2398="","",IF(J2398="巻足し","",IF(J2398="巻返し",VLOOKUP(F2398&amp;K2398&amp;M2398,製品マスタ!$M$5:$AE$5002,19,FALSE),IF(OR(J2398="リード付け",J2398="巻返しリード付け"),"",IF(J2398="スリット",VLOOKUP(F2398&amp;K2398&amp;R2398,製品マスタ!$N$5:$AE$5002,18,FALSE),""))))))</f>
        <v/>
      </c>
      <c r="Y2398" s="275">
        <f ca="1">IF(D2398="","",IF(T2398="","",VLOOKUP(D2398,契約台帳!$A$3:$Q$4986,17,FALSE)))</f>
        <v>2</v>
      </c>
      <c r="Z2398" s="269" t="str">
        <f ca="1">IF(D2398="","",IF(T2398="","",VLOOKUP(D2398,契約台帳!$A$3:$E$4986,5,FALSE)))</f>
        <v>リンテック㈱</v>
      </c>
      <c r="AA2398" s="57"/>
      <c r="AB2398" s="207" t="str">
        <f>IFERROR((VLOOKUP(F2398&amp;K2398&amp;M2398,製品マスタ!$M$5:$AM$5002,27,FALSE)),"")</f>
        <v>原反ケース再利用</v>
      </c>
      <c r="AC2398" s="33"/>
      <c r="AD2398" s="189"/>
      <c r="AE2398" s="54"/>
      <c r="AF2398" s="55">
        <f>+M2398*N2398*O2398/1000</f>
        <v>60000</v>
      </c>
      <c r="AG2398" s="43"/>
      <c r="AH2398" s="47"/>
      <c r="AI2398" s="30"/>
      <c r="AJ2398" s="30"/>
      <c r="AK2398" s="30"/>
      <c r="AL2398" s="30"/>
      <c r="AM2398" s="13"/>
      <c r="AN2398" s="13"/>
      <c r="AO2398" s="13"/>
      <c r="AP2398" s="13"/>
      <c r="AQ2398" s="13"/>
      <c r="AR2398" s="14"/>
      <c r="AS2398" s="15"/>
    </row>
    <row r="2399" spans="1:45" s="17" customFormat="1" ht="30.95" hidden="1" customHeight="1" x14ac:dyDescent="0.2">
      <c r="A2399" s="343"/>
      <c r="B2399" s="344"/>
      <c r="C2399" s="345"/>
      <c r="D2399" s="346"/>
      <c r="E2399" s="346"/>
      <c r="F2399" s="268"/>
      <c r="G2399" s="269"/>
      <c r="H2399" s="269"/>
      <c r="I2399" s="270"/>
      <c r="J2399" s="434"/>
      <c r="K2399" s="270"/>
      <c r="L2399" s="270"/>
      <c r="M2399" s="348"/>
      <c r="N2399" s="348"/>
      <c r="O2399" s="435"/>
      <c r="P2399" s="349"/>
      <c r="Q2399" s="350"/>
      <c r="R2399" s="271"/>
      <c r="S2399" s="272"/>
      <c r="T2399" s="273"/>
      <c r="U2399" s="351"/>
      <c r="V2399" s="274"/>
      <c r="W2399" s="269"/>
      <c r="X2399" s="269"/>
      <c r="Y2399" s="275"/>
      <c r="Z2399" s="269"/>
      <c r="AA2399" s="350"/>
      <c r="AB2399" s="207"/>
      <c r="AC2399" s="352"/>
      <c r="AD2399" s="353"/>
      <c r="AE2399" s="54"/>
      <c r="AF2399" s="354"/>
      <c r="AG2399" s="355"/>
      <c r="AH2399" s="349"/>
      <c r="AI2399" s="30"/>
      <c r="AJ2399" s="30"/>
      <c r="AK2399" s="30"/>
      <c r="AL2399" s="30"/>
      <c r="AM2399" s="13"/>
      <c r="AN2399" s="13"/>
      <c r="AO2399" s="13"/>
      <c r="AP2399" s="13"/>
      <c r="AQ2399" s="13"/>
      <c r="AR2399" s="14"/>
      <c r="AS2399" s="15"/>
    </row>
    <row r="2400" spans="1:45" s="17" customFormat="1" ht="30.95" hidden="1" customHeight="1" x14ac:dyDescent="0.2">
      <c r="A2400" s="343" t="s">
        <v>1418</v>
      </c>
      <c r="B2400" s="344" t="s">
        <v>1409</v>
      </c>
      <c r="C2400" s="345"/>
      <c r="D2400" s="346"/>
      <c r="E2400" s="346"/>
      <c r="F2400" s="268"/>
      <c r="G2400" s="269"/>
      <c r="H2400" s="269"/>
      <c r="I2400" s="270"/>
      <c r="J2400" s="434" t="s">
        <v>3083</v>
      </c>
      <c r="K2400" s="270"/>
      <c r="L2400" s="270"/>
      <c r="M2400" s="348"/>
      <c r="N2400" s="348"/>
      <c r="O2400" s="435"/>
      <c r="P2400" s="349"/>
      <c r="Q2400" s="350"/>
      <c r="R2400" s="271"/>
      <c r="S2400" s="272"/>
      <c r="T2400" s="273"/>
      <c r="U2400" s="351"/>
      <c r="V2400" s="274"/>
      <c r="W2400" s="269"/>
      <c r="X2400" s="269"/>
      <c r="Y2400" s="275"/>
      <c r="Z2400" s="269"/>
      <c r="AA2400" s="350"/>
      <c r="AB2400" s="207"/>
      <c r="AC2400" s="352"/>
      <c r="AD2400" s="353"/>
      <c r="AE2400" s="54"/>
      <c r="AF2400" s="354"/>
      <c r="AG2400" s="355"/>
      <c r="AH2400" s="349"/>
      <c r="AI2400" s="30"/>
      <c r="AJ2400" s="30"/>
      <c r="AK2400" s="30"/>
      <c r="AL2400" s="30"/>
      <c r="AM2400" s="13"/>
      <c r="AN2400" s="13"/>
      <c r="AO2400" s="13"/>
      <c r="AP2400" s="13"/>
      <c r="AQ2400" s="13"/>
      <c r="AR2400" s="14"/>
      <c r="AS2400" s="15"/>
    </row>
    <row r="2401" spans="1:45" s="17" customFormat="1" ht="30.95" hidden="1" customHeight="1" x14ac:dyDescent="0.2">
      <c r="A2401" s="343"/>
      <c r="B2401" s="344"/>
      <c r="C2401" s="345"/>
      <c r="D2401" s="346"/>
      <c r="E2401" s="346"/>
      <c r="F2401" s="268"/>
      <c r="G2401" s="269"/>
      <c r="H2401" s="269"/>
      <c r="I2401" s="270"/>
      <c r="J2401" s="434"/>
      <c r="K2401" s="270"/>
      <c r="L2401" s="270"/>
      <c r="M2401" s="348"/>
      <c r="N2401" s="348"/>
      <c r="O2401" s="435"/>
      <c r="P2401" s="349"/>
      <c r="Q2401" s="350"/>
      <c r="R2401" s="271"/>
      <c r="S2401" s="272"/>
      <c r="T2401" s="273"/>
      <c r="U2401" s="351"/>
      <c r="V2401" s="274"/>
      <c r="W2401" s="269"/>
      <c r="X2401" s="269"/>
      <c r="Y2401" s="275"/>
      <c r="Z2401" s="269"/>
      <c r="AA2401" s="350"/>
      <c r="AB2401" s="207"/>
      <c r="AC2401" s="352"/>
      <c r="AD2401" s="353"/>
      <c r="AE2401" s="54"/>
      <c r="AF2401" s="354"/>
      <c r="AG2401" s="355"/>
      <c r="AH2401" s="349"/>
      <c r="AI2401" s="30"/>
      <c r="AJ2401" s="30"/>
      <c r="AK2401" s="30"/>
      <c r="AL2401" s="30"/>
      <c r="AM2401" s="13"/>
      <c r="AN2401" s="13"/>
      <c r="AO2401" s="13"/>
      <c r="AP2401" s="13"/>
      <c r="AQ2401" s="13"/>
      <c r="AR2401" s="14"/>
      <c r="AS2401" s="15"/>
    </row>
    <row r="2402" spans="1:45" s="17" customFormat="1" ht="30.95" hidden="1" customHeight="1" x14ac:dyDescent="0.2">
      <c r="A2402" s="343" t="s">
        <v>1419</v>
      </c>
      <c r="B2402" s="344" t="s">
        <v>1397</v>
      </c>
      <c r="C2402" s="345"/>
      <c r="D2402" s="346"/>
      <c r="E2402" s="346"/>
      <c r="F2402" s="268"/>
      <c r="G2402" s="269"/>
      <c r="H2402" s="269"/>
      <c r="I2402" s="270"/>
      <c r="J2402" s="434" t="s">
        <v>448</v>
      </c>
      <c r="K2402" s="270"/>
      <c r="L2402" s="270"/>
      <c r="M2402" s="348"/>
      <c r="N2402" s="348"/>
      <c r="O2402" s="435"/>
      <c r="P2402" s="349"/>
      <c r="Q2402" s="350"/>
      <c r="R2402" s="271"/>
      <c r="S2402" s="272"/>
      <c r="T2402" s="273"/>
      <c r="U2402" s="351"/>
      <c r="V2402" s="274"/>
      <c r="W2402" s="269"/>
      <c r="X2402" s="269"/>
      <c r="Y2402" s="275"/>
      <c r="Z2402" s="269"/>
      <c r="AA2402" s="350"/>
      <c r="AB2402" s="207"/>
      <c r="AC2402" s="352"/>
      <c r="AD2402" s="353"/>
      <c r="AE2402" s="54"/>
      <c r="AF2402" s="354"/>
      <c r="AG2402" s="355"/>
      <c r="AH2402" s="349"/>
      <c r="AI2402" s="30"/>
      <c r="AJ2402" s="30"/>
      <c r="AK2402" s="30"/>
      <c r="AL2402" s="30"/>
      <c r="AM2402" s="13"/>
      <c r="AN2402" s="13"/>
      <c r="AO2402" s="13"/>
      <c r="AP2402" s="13"/>
      <c r="AQ2402" s="13"/>
      <c r="AR2402" s="14"/>
      <c r="AS2402" s="15"/>
    </row>
    <row r="2403" spans="1:45" s="17" customFormat="1" ht="30.95" hidden="1" customHeight="1" x14ac:dyDescent="0.2">
      <c r="A2403" s="343"/>
      <c r="B2403" s="344"/>
      <c r="C2403" s="345"/>
      <c r="D2403" s="346"/>
      <c r="E2403" s="346"/>
      <c r="F2403" s="268"/>
      <c r="G2403" s="269"/>
      <c r="H2403" s="269"/>
      <c r="I2403" s="270"/>
      <c r="J2403" s="434"/>
      <c r="K2403" s="270"/>
      <c r="L2403" s="270"/>
      <c r="M2403" s="348"/>
      <c r="N2403" s="348"/>
      <c r="O2403" s="435"/>
      <c r="P2403" s="349"/>
      <c r="Q2403" s="350"/>
      <c r="R2403" s="271"/>
      <c r="S2403" s="272"/>
      <c r="T2403" s="273"/>
      <c r="U2403" s="351"/>
      <c r="V2403" s="274"/>
      <c r="W2403" s="269"/>
      <c r="X2403" s="269"/>
      <c r="Y2403" s="275"/>
      <c r="Z2403" s="269"/>
      <c r="AA2403" s="350"/>
      <c r="AB2403" s="207"/>
      <c r="AC2403" s="352"/>
      <c r="AD2403" s="353"/>
      <c r="AE2403" s="54"/>
      <c r="AF2403" s="354"/>
      <c r="AG2403" s="355"/>
      <c r="AH2403" s="349"/>
      <c r="AI2403" s="30"/>
      <c r="AJ2403" s="30"/>
      <c r="AK2403" s="30"/>
      <c r="AL2403" s="30"/>
      <c r="AM2403" s="13"/>
      <c r="AN2403" s="13"/>
      <c r="AO2403" s="13"/>
      <c r="AP2403" s="13"/>
      <c r="AQ2403" s="13"/>
      <c r="AR2403" s="14"/>
      <c r="AS2403" s="15"/>
    </row>
    <row r="2404" spans="1:45" s="17" customFormat="1" ht="30.95" hidden="1" customHeight="1" x14ac:dyDescent="0.2">
      <c r="A2404" s="343" t="s">
        <v>1420</v>
      </c>
      <c r="B2404" s="344" t="s">
        <v>392</v>
      </c>
      <c r="C2404" s="345"/>
      <c r="D2404" s="346"/>
      <c r="E2404" s="346"/>
      <c r="F2404" s="268"/>
      <c r="G2404" s="269"/>
      <c r="H2404" s="269"/>
      <c r="I2404" s="270"/>
      <c r="J2404" s="434" t="s">
        <v>448</v>
      </c>
      <c r="K2404" s="270"/>
      <c r="L2404" s="270"/>
      <c r="M2404" s="348"/>
      <c r="N2404" s="348"/>
      <c r="O2404" s="435"/>
      <c r="P2404" s="349"/>
      <c r="Q2404" s="350"/>
      <c r="R2404" s="271"/>
      <c r="S2404" s="272"/>
      <c r="T2404" s="273"/>
      <c r="U2404" s="351"/>
      <c r="V2404" s="274"/>
      <c r="W2404" s="269"/>
      <c r="X2404" s="269"/>
      <c r="Y2404" s="275"/>
      <c r="Z2404" s="269"/>
      <c r="AA2404" s="350"/>
      <c r="AB2404" s="207"/>
      <c r="AC2404" s="352"/>
      <c r="AD2404" s="353"/>
      <c r="AE2404" s="54"/>
      <c r="AF2404" s="354"/>
      <c r="AG2404" s="355"/>
      <c r="AH2404" s="349"/>
      <c r="AI2404" s="30"/>
      <c r="AJ2404" s="30"/>
      <c r="AK2404" s="30"/>
      <c r="AL2404" s="30"/>
      <c r="AM2404" s="13"/>
      <c r="AN2404" s="13"/>
      <c r="AO2404" s="13"/>
      <c r="AP2404" s="13"/>
      <c r="AQ2404" s="13"/>
      <c r="AR2404" s="14"/>
      <c r="AS2404" s="15"/>
    </row>
    <row r="2405" spans="1:45" s="17" customFormat="1" ht="30.95" hidden="1" customHeight="1" x14ac:dyDescent="0.2">
      <c r="A2405" s="343"/>
      <c r="B2405" s="344"/>
      <c r="C2405" s="345"/>
      <c r="D2405" s="346"/>
      <c r="E2405" s="346"/>
      <c r="F2405" s="268"/>
      <c r="G2405" s="269"/>
      <c r="H2405" s="269"/>
      <c r="I2405" s="270"/>
      <c r="J2405" s="434"/>
      <c r="K2405" s="270"/>
      <c r="L2405" s="270"/>
      <c r="M2405" s="348"/>
      <c r="N2405" s="348"/>
      <c r="O2405" s="435"/>
      <c r="P2405" s="349"/>
      <c r="Q2405" s="350"/>
      <c r="R2405" s="271"/>
      <c r="S2405" s="272"/>
      <c r="T2405" s="273"/>
      <c r="U2405" s="351"/>
      <c r="V2405" s="274"/>
      <c r="W2405" s="269"/>
      <c r="X2405" s="269"/>
      <c r="Y2405" s="275"/>
      <c r="Z2405" s="269"/>
      <c r="AA2405" s="350"/>
      <c r="AB2405" s="207"/>
      <c r="AC2405" s="352"/>
      <c r="AD2405" s="353"/>
      <c r="AE2405" s="54"/>
      <c r="AF2405" s="354"/>
      <c r="AG2405" s="355"/>
      <c r="AH2405" s="349"/>
      <c r="AI2405" s="30"/>
      <c r="AJ2405" s="30"/>
      <c r="AK2405" s="30"/>
      <c r="AL2405" s="30"/>
      <c r="AM2405" s="13"/>
      <c r="AN2405" s="13"/>
      <c r="AO2405" s="13"/>
      <c r="AP2405" s="13"/>
      <c r="AQ2405" s="13"/>
      <c r="AR2405" s="14"/>
      <c r="AS2405" s="15"/>
    </row>
    <row r="2406" spans="1:45" s="17" customFormat="1" ht="30.95" hidden="1" customHeight="1" x14ac:dyDescent="0.2">
      <c r="A2406" s="343" t="s">
        <v>1421</v>
      </c>
      <c r="B2406" s="344" t="s">
        <v>1402</v>
      </c>
      <c r="C2406" s="345"/>
      <c r="D2406" s="346"/>
      <c r="E2406" s="346"/>
      <c r="F2406" s="268"/>
      <c r="G2406" s="269"/>
      <c r="H2406" s="269"/>
      <c r="I2406" s="270"/>
      <c r="J2406" s="434" t="s">
        <v>3084</v>
      </c>
      <c r="K2406" s="270"/>
      <c r="L2406" s="270"/>
      <c r="M2406" s="348"/>
      <c r="N2406" s="348"/>
      <c r="O2406" s="435"/>
      <c r="P2406" s="349"/>
      <c r="Q2406" s="350"/>
      <c r="R2406" s="271"/>
      <c r="S2406" s="272"/>
      <c r="T2406" s="273"/>
      <c r="U2406" s="351"/>
      <c r="V2406" s="274"/>
      <c r="W2406" s="269"/>
      <c r="X2406" s="269"/>
      <c r="Y2406" s="275"/>
      <c r="Z2406" s="269"/>
      <c r="AA2406" s="350"/>
      <c r="AB2406" s="207"/>
      <c r="AC2406" s="352"/>
      <c r="AD2406" s="353"/>
      <c r="AE2406" s="54"/>
      <c r="AF2406" s="354"/>
      <c r="AG2406" s="355"/>
      <c r="AH2406" s="349"/>
      <c r="AI2406" s="30"/>
      <c r="AJ2406" s="30"/>
      <c r="AK2406" s="30"/>
      <c r="AL2406" s="30"/>
      <c r="AM2406" s="13"/>
      <c r="AN2406" s="13"/>
      <c r="AO2406" s="13"/>
      <c r="AP2406" s="13"/>
      <c r="AQ2406" s="13"/>
      <c r="AR2406" s="14"/>
      <c r="AS2406" s="15"/>
    </row>
    <row r="2407" spans="1:45" s="17" customFormat="1" ht="30.95" hidden="1" customHeight="1" x14ac:dyDescent="0.2">
      <c r="A2407" s="343"/>
      <c r="B2407" s="344"/>
      <c r="C2407" s="345"/>
      <c r="D2407" s="346"/>
      <c r="E2407" s="346"/>
      <c r="F2407" s="268"/>
      <c r="G2407" s="269"/>
      <c r="H2407" s="269"/>
      <c r="I2407" s="270"/>
      <c r="J2407" s="434"/>
      <c r="K2407" s="270"/>
      <c r="L2407" s="270"/>
      <c r="M2407" s="348"/>
      <c r="N2407" s="348"/>
      <c r="O2407" s="435"/>
      <c r="P2407" s="349"/>
      <c r="Q2407" s="350"/>
      <c r="R2407" s="271"/>
      <c r="S2407" s="272"/>
      <c r="T2407" s="273"/>
      <c r="U2407" s="351"/>
      <c r="V2407" s="274"/>
      <c r="W2407" s="269"/>
      <c r="X2407" s="269"/>
      <c r="Y2407" s="275"/>
      <c r="Z2407" s="269"/>
      <c r="AA2407" s="350"/>
      <c r="AB2407" s="207"/>
      <c r="AC2407" s="352"/>
      <c r="AD2407" s="353"/>
      <c r="AE2407" s="54"/>
      <c r="AF2407" s="354"/>
      <c r="AG2407" s="355"/>
      <c r="AH2407" s="349"/>
      <c r="AI2407" s="30"/>
      <c r="AJ2407" s="30"/>
      <c r="AK2407" s="30"/>
      <c r="AL2407" s="30"/>
      <c r="AM2407" s="13"/>
      <c r="AN2407" s="13"/>
      <c r="AO2407" s="13"/>
      <c r="AP2407" s="13"/>
      <c r="AQ2407" s="13"/>
      <c r="AR2407" s="14"/>
      <c r="AS2407" s="15"/>
    </row>
    <row r="2408" spans="1:45" s="17" customFormat="1" ht="30.6" hidden="1" customHeight="1" x14ac:dyDescent="0.2">
      <c r="A2408" s="343" t="s">
        <v>3085</v>
      </c>
      <c r="B2408" s="344" t="s">
        <v>3079</v>
      </c>
      <c r="C2408" s="45"/>
      <c r="D2408" s="31">
        <v>3766745</v>
      </c>
      <c r="E2408" s="31">
        <v>4162424</v>
      </c>
      <c r="F2408" s="268" t="str">
        <f>IF(D2408="","",VLOOKUP(D2408,契約台帳!$A$3:$K$4986,6,FALSE)&amp;VLOOKUP(D2408,契約台帳!$A$3:$K$4986,7,FALSE)&amp;VLOOKUP(D2408,契約台帳!$A$3:$K$4986,8,FALSE)&amp;VLOOKUP(D2408,契約台帳!$A$3:$K$4986,9,FALSE)&amp;VLOOKUP(D2408,契約台帳!$A$3:$K$4986,11,FALSE))</f>
        <v>3SNMCLBMSNEYK</v>
      </c>
      <c r="G2408" s="269" t="str">
        <f>IF(D2408="","",VLOOKUP(F2408,製品マスタ!$G$5:$H$5002,2,FALSE))</f>
        <v>S</v>
      </c>
      <c r="H2408" s="269" t="str">
        <f>IF(D2408="","",VLOOKUP(F2408,製品マスタ!$G$5:$K$5002,5,FALSE))</f>
        <v>MSNEYK</v>
      </c>
      <c r="I2408" s="270" t="str">
        <f>IF(D2408="","",VLOOKUP(F2408,製品マスタ!$G$5:$L$5002,6,FALSE))</f>
        <v>ＭＳＮ　ＥＹＫ</v>
      </c>
      <c r="J2408" s="210" t="s">
        <v>935</v>
      </c>
      <c r="K2408" s="270">
        <f>IF(D2408="","",VLOOKUP(D2408,契約台帳!$A$3:$L$4986,12,FALSE))</f>
        <v>50</v>
      </c>
      <c r="L2408" s="270" t="str">
        <f>IF(D2408="","",INDEX(製品マスタ!$Q$5:$Q$5002,MATCH('S4'!F2408&amp;'S4'!K2408,製品マスタ!$AO$5:$AO$5002,0)))</f>
        <v>N-MAT</v>
      </c>
      <c r="M2408" s="39">
        <v>1200</v>
      </c>
      <c r="N2408" s="39">
        <v>6000</v>
      </c>
      <c r="O2408" s="156">
        <v>10</v>
      </c>
      <c r="P2408" s="47">
        <v>2</v>
      </c>
      <c r="Q2408" s="213">
        <v>45530</v>
      </c>
      <c r="R2408" s="271">
        <f ca="1">IF(D2408="","",IF(OFFSET(D2408,-1,0)&lt;&gt;"","",IF(OR(J2408="リード付け",J2408="巻足し",J2408="巻返しリード付け"),M2408,VLOOKUP(D2408,契約台帳!$A$3:$N$4986,14,FALSE))))</f>
        <v>1200</v>
      </c>
      <c r="S2408" s="272">
        <f ca="1">IF(D2408="","",IF(OFFSET(D2408,-1,0)&lt;&gt;"","",IF(OR(J2408="リード付け",J2408="巻足し",J2408="巻返しリード付け"),M2408,VLOOKUP(D2408,契約台帳!$A$3:$O$4986,15,FALSE))))</f>
        <v>1200</v>
      </c>
      <c r="T2408" s="273">
        <f ca="1">IF(D2408="","",IF(J2408="リード付け",N2408,IF(J2408="巻返しリード付け",N2408,IF(J2408="巻足し",N2408*P2408+OFFSET(N2408,1,0)*OFFSET(P2408,1,0),VLOOKUP(D2408,契約台帳!$A$3:$P$4986,16,FALSE)))))</f>
        <v>12000</v>
      </c>
      <c r="U2408" s="40">
        <v>5</v>
      </c>
      <c r="V2408" s="274">
        <f ca="1">IF(D2408="","",IF(OFFSET(D2408,-2,0)=D2408,"",VLOOKUP(D2408,契約台帳!$A$3:$R$4986,18,FALSE)))</f>
        <v>10</v>
      </c>
      <c r="W2408" s="269" t="str">
        <f ca="1">IF(D2408="","",IF(T2408="","",IF(OR(J2408="巻足し",J2408="巻返しリード付け"),"",IF(J2408="巻返し",VLOOKUP(F2408&amp;K2408&amp;M2408,製品マスタ!$M$5:$AD$5002,18,FALSE),IF(OR(J2408="リード付け",J2408="巻返しリード付け"),"原反コア",IF(J2408="スリット",VLOOKUP(F2408&amp;K2408&amp;R2408,製品マスタ!$N$5:$AD$5002,17,FALSE),""))))))</f>
        <v/>
      </c>
      <c r="X2408" s="269" t="str">
        <f ca="1">IF(D2408="","",IF(T2408="","",IF(J2408="巻足し","",IF(J2408="巻返し",VLOOKUP(F2408&amp;K2408&amp;M2408,製品マスタ!$M$5:$AE$5002,19,FALSE),IF(OR(J2408="リード付け",J2408="巻返しリード付け"),"",IF(J2408="スリット",VLOOKUP(F2408&amp;K2408&amp;R2408,製品マスタ!$N$5:$AE$5002,18,FALSE),""))))))</f>
        <v/>
      </c>
      <c r="Y2408" s="275">
        <f ca="1">IF(D2408="","",IF(T2408="","",VLOOKUP(D2408,契約台帳!$A$3:$Q$4986,17,FALSE)))</f>
        <v>2</v>
      </c>
      <c r="Z2408" s="269" t="str">
        <f ca="1">IF(D2408="","",IF(T2408="","",VLOOKUP(D2408,契約台帳!$A$3:$E$4986,5,FALSE)))</f>
        <v>大阪シーリング印刷㈱</v>
      </c>
      <c r="AA2408" s="57"/>
      <c r="AB2408" s="207" t="str">
        <f>IFERROR((VLOOKUP(F2408&amp;K2408&amp;M2408,製品マスタ!$M$5:$AM$5002,27,FALSE)),"")</f>
        <v>原反ケース再利用</v>
      </c>
      <c r="AC2408" s="33"/>
      <c r="AD2408" s="189"/>
      <c r="AE2408" s="54"/>
      <c r="AF2408" s="55">
        <f>+M2408*N2408*O2408/1000</f>
        <v>72000</v>
      </c>
      <c r="AG2408" s="43"/>
      <c r="AH2408" s="47"/>
      <c r="AI2408" s="30"/>
      <c r="AJ2408" s="30"/>
      <c r="AK2408" s="30"/>
      <c r="AL2408" s="30"/>
      <c r="AM2408" s="13"/>
      <c r="AN2408" s="13"/>
      <c r="AO2408" s="13"/>
      <c r="AP2408" s="13"/>
      <c r="AQ2408" s="13"/>
      <c r="AR2408" s="14"/>
      <c r="AS2408" s="15"/>
    </row>
    <row r="2409" spans="1:45" s="17" customFormat="1" ht="30.95" hidden="1" customHeight="1" x14ac:dyDescent="0.2">
      <c r="A2409" s="343"/>
      <c r="B2409" s="344"/>
      <c r="C2409" s="345"/>
      <c r="D2409" s="346"/>
      <c r="E2409" s="346"/>
      <c r="F2409" s="268"/>
      <c r="G2409" s="269"/>
      <c r="H2409" s="269"/>
      <c r="I2409" s="270"/>
      <c r="J2409" s="434"/>
      <c r="K2409" s="270"/>
      <c r="L2409" s="270"/>
      <c r="M2409" s="348"/>
      <c r="N2409" s="348"/>
      <c r="O2409" s="435"/>
      <c r="P2409" s="349"/>
      <c r="Q2409" s="350"/>
      <c r="R2409" s="271"/>
      <c r="S2409" s="272"/>
      <c r="T2409" s="273"/>
      <c r="U2409" s="351"/>
      <c r="V2409" s="274"/>
      <c r="W2409" s="269"/>
      <c r="X2409" s="269"/>
      <c r="Y2409" s="275"/>
      <c r="Z2409" s="269"/>
      <c r="AA2409" s="350"/>
      <c r="AB2409" s="207"/>
      <c r="AC2409" s="352"/>
      <c r="AD2409" s="353"/>
      <c r="AE2409" s="54"/>
      <c r="AF2409" s="354"/>
      <c r="AG2409" s="355"/>
      <c r="AH2409" s="349"/>
      <c r="AI2409" s="30"/>
      <c r="AJ2409" s="30"/>
      <c r="AK2409" s="30"/>
      <c r="AL2409" s="30"/>
      <c r="AM2409" s="13"/>
      <c r="AN2409" s="13"/>
      <c r="AO2409" s="13"/>
      <c r="AP2409" s="13"/>
      <c r="AQ2409" s="13"/>
      <c r="AR2409" s="14"/>
      <c r="AS2409" s="15"/>
    </row>
    <row r="2410" spans="1:45" s="17" customFormat="1" ht="30.6" hidden="1" customHeight="1" x14ac:dyDescent="0.2">
      <c r="A2410" s="343"/>
      <c r="B2410" s="344"/>
      <c r="C2410" s="45"/>
      <c r="D2410" s="31">
        <v>3770578</v>
      </c>
      <c r="E2410" s="31">
        <v>4162470</v>
      </c>
      <c r="F2410" s="268" t="str">
        <f>IF(D2410="","",VLOOKUP(D2410,契約台帳!$A$3:$K$4986,6,FALSE)&amp;VLOOKUP(D2410,契約台帳!$A$3:$K$4986,7,FALSE)&amp;VLOOKUP(D2410,契約台帳!$A$3:$K$4986,8,FALSE)&amp;VLOOKUP(D2410,契約台帳!$A$3:$K$4986,9,FALSE)&amp;VLOOKUP(D2410,契約台帳!$A$3:$K$4986,11,FALSE))</f>
        <v>3SNMLBMNGKKBF</v>
      </c>
      <c r="G2410" s="269" t="str">
        <f>IF(D2410="","",VLOOKUP(F2410,製品マスタ!$G$5:$H$5002,2,FALSE))</f>
        <v>S</v>
      </c>
      <c r="H2410" s="269" t="str">
        <f>IF(D2410="","",VLOOKUP(F2410,製品マスタ!$G$5:$K$5002,5,FALSE))</f>
        <v>MNGKKBF</v>
      </c>
      <c r="I2410" s="270" t="str">
        <f>IF(D2410="","",VLOOKUP(F2410,製品マスタ!$G$5:$L$5002,6,FALSE))</f>
        <v>メタルミー　ネーマー銀消改　Ｂ</v>
      </c>
      <c r="J2410" s="210" t="s">
        <v>935</v>
      </c>
      <c r="K2410" s="270">
        <f>IF(D2410="","",VLOOKUP(D2410,契約台帳!$A$3:$L$4986,12,FALSE))</f>
        <v>25</v>
      </c>
      <c r="L2410" s="270" t="str">
        <f>IF(D2410="","",INDEX(製品マスタ!$Q$5:$Q$5002,MATCH('S4'!F2410&amp;'S4'!K2410,製品マスタ!$AO$5:$AO$5002,0)))</f>
        <v>FMATS99</v>
      </c>
      <c r="M2410" s="39">
        <v>1120</v>
      </c>
      <c r="N2410" s="39">
        <v>4000</v>
      </c>
      <c r="O2410" s="156">
        <v>9</v>
      </c>
      <c r="P2410" s="47">
        <v>3</v>
      </c>
      <c r="Q2410" s="213">
        <v>45531</v>
      </c>
      <c r="R2410" s="271">
        <f ca="1">IF(D2410="","",IF(OFFSET(D2410,-1,0)&lt;&gt;"","",IF(OR(J2410="リード付け",J2410="巻足し",J2410="巻返しリード付け"),M2410,VLOOKUP(D2410,契約台帳!$A$3:$N$4986,14,FALSE))))</f>
        <v>1120</v>
      </c>
      <c r="S2410" s="272">
        <f ca="1">IF(D2410="","",IF(OFFSET(D2410,-1,0)&lt;&gt;"","",IF(OR(J2410="リード付け",J2410="巻足し",J2410="巻返しリード付け"),M2410,VLOOKUP(D2410,契約台帳!$A$3:$O$4986,15,FALSE))))</f>
        <v>1120</v>
      </c>
      <c r="T2410" s="273">
        <f ca="1">IF(D2410="","",IF(J2410="リード付け",N2410,IF(J2410="巻返しリード付け",N2410,IF(J2410="巻足し",N2410*P2410+OFFSET(N2410,1,0)*OFFSET(P2410,1,0),VLOOKUP(D2410,契約台帳!$A$3:$P$4986,16,FALSE)))))</f>
        <v>12000</v>
      </c>
      <c r="U2410" s="40">
        <v>3</v>
      </c>
      <c r="V2410" s="274">
        <f ca="1">IF(D2410="","",IF(OFFSET(D2410,-2,0)=D2410,"",VLOOKUP(D2410,契約台帳!$A$3:$R$4986,18,FALSE)))</f>
        <v>9</v>
      </c>
      <c r="W2410" s="269" t="str">
        <f ca="1">IF(D2410="","",IF(T2410="","",IF(OR(J2410="巻足し",J2410="巻返しリード付け"),"",IF(J2410="巻返し",VLOOKUP(F2410&amp;K2410&amp;M2410,製品マスタ!$M$5:$AD$5002,18,FALSE),IF(OR(J2410="リード付け",J2410="巻返しリード付け"),"原反コア",IF(J2410="スリット",VLOOKUP(F2410&amp;K2410&amp;R2410,製品マスタ!$N$5:$AD$5002,17,FALSE),""))))))</f>
        <v/>
      </c>
      <c r="X2410" s="269" t="str">
        <f ca="1">IF(D2410="","",IF(T2410="","",IF(J2410="巻足し","",IF(J2410="巻返し",VLOOKUP(F2410&amp;K2410&amp;M2410,製品マスタ!$M$5:$AE$5002,19,FALSE),IF(OR(J2410="リード付け",J2410="巻返しリード付け"),"",IF(J2410="スリット",VLOOKUP(F2410&amp;K2410&amp;R2410,製品マスタ!$N$5:$AE$5002,18,FALSE),""))))))</f>
        <v/>
      </c>
      <c r="Y2410" s="275">
        <f ca="1">IF(D2410="","",IF(T2410="","",VLOOKUP(D2410,契約台帳!$A$3:$Q$4986,17,FALSE)))</f>
        <v>2</v>
      </c>
      <c r="Z2410" s="269" t="str">
        <f ca="1">IF(D2410="","",IF(T2410="","",VLOOKUP(D2410,契約台帳!$A$3:$E$4986,5,FALSE)))</f>
        <v>リンテック㈱</v>
      </c>
      <c r="AA2410" s="57"/>
      <c r="AB2410" s="207">
        <f>IFERROR((VLOOKUP(F2410&amp;K2410&amp;M2410,製品マスタ!$M$5:$AM$5002,27,FALSE)),"")</f>
        <v>0</v>
      </c>
      <c r="AC2410" s="33"/>
      <c r="AD2410" s="189"/>
      <c r="AE2410" s="54"/>
      <c r="AF2410" s="55">
        <f>+M2410*N2410*O2410/1000</f>
        <v>40320</v>
      </c>
      <c r="AG2410" s="43"/>
      <c r="AH2410" s="47"/>
      <c r="AI2410" s="30"/>
      <c r="AJ2410" s="30"/>
      <c r="AK2410" s="30"/>
      <c r="AL2410" s="30"/>
      <c r="AM2410" s="13"/>
      <c r="AN2410" s="13"/>
      <c r="AO2410" s="13"/>
      <c r="AP2410" s="13"/>
      <c r="AQ2410" s="13"/>
      <c r="AR2410" s="14"/>
      <c r="AS2410" s="15"/>
    </row>
    <row r="2411" spans="1:45" s="17" customFormat="1" ht="30.6" hidden="1" customHeight="1" x14ac:dyDescent="0.2">
      <c r="A2411" s="343"/>
      <c r="B2411" s="344"/>
      <c r="C2411" s="345"/>
      <c r="D2411" s="346"/>
      <c r="E2411" s="346"/>
      <c r="F2411" s="268"/>
      <c r="G2411" s="269"/>
      <c r="H2411" s="269"/>
      <c r="I2411" s="270"/>
      <c r="J2411" s="434"/>
      <c r="K2411" s="270"/>
      <c r="L2411" s="270"/>
      <c r="M2411" s="348"/>
      <c r="N2411" s="348"/>
      <c r="O2411" s="435"/>
      <c r="P2411" s="349"/>
      <c r="Q2411" s="350"/>
      <c r="R2411" s="271"/>
      <c r="S2411" s="272"/>
      <c r="T2411" s="273"/>
      <c r="U2411" s="351"/>
      <c r="V2411" s="274"/>
      <c r="W2411" s="269"/>
      <c r="X2411" s="269"/>
      <c r="Y2411" s="275"/>
      <c r="Z2411" s="269"/>
      <c r="AA2411" s="350"/>
      <c r="AB2411" s="207"/>
      <c r="AC2411" s="352"/>
      <c r="AD2411" s="353"/>
      <c r="AE2411" s="54"/>
      <c r="AF2411" s="354"/>
      <c r="AG2411" s="355"/>
      <c r="AH2411" s="349"/>
      <c r="AI2411" s="30"/>
      <c r="AJ2411" s="30"/>
      <c r="AK2411" s="30"/>
      <c r="AL2411" s="30"/>
      <c r="AM2411" s="13"/>
      <c r="AN2411" s="13"/>
      <c r="AO2411" s="13"/>
      <c r="AP2411" s="13"/>
      <c r="AQ2411" s="13"/>
      <c r="AR2411" s="14"/>
      <c r="AS2411" s="15"/>
    </row>
    <row r="2412" spans="1:45" s="17" customFormat="1" ht="30.6" hidden="1" customHeight="1" x14ac:dyDescent="0.2">
      <c r="A2412" s="343" t="s">
        <v>1446</v>
      </c>
      <c r="B2412" s="344" t="s">
        <v>688</v>
      </c>
      <c r="C2412" s="345"/>
      <c r="D2412" s="346"/>
      <c r="E2412" s="346"/>
      <c r="F2412" s="268"/>
      <c r="G2412" s="269"/>
      <c r="H2412" s="269"/>
      <c r="I2412" s="341" t="s">
        <v>3090</v>
      </c>
      <c r="J2412" s="434"/>
      <c r="K2412" s="270"/>
      <c r="L2412" s="270"/>
      <c r="M2412" s="348"/>
      <c r="N2412" s="348"/>
      <c r="O2412" s="435"/>
      <c r="P2412" s="349"/>
      <c r="Q2412" s="350"/>
      <c r="R2412" s="271"/>
      <c r="S2412" s="272"/>
      <c r="T2412" s="273"/>
      <c r="U2412" s="351"/>
      <c r="V2412" s="274"/>
      <c r="W2412" s="269"/>
      <c r="X2412" s="269"/>
      <c r="Y2412" s="275"/>
      <c r="Z2412" s="269"/>
      <c r="AA2412" s="350"/>
      <c r="AB2412" s="207"/>
      <c r="AC2412" s="352"/>
      <c r="AD2412" s="353"/>
      <c r="AE2412" s="54"/>
      <c r="AF2412" s="354"/>
      <c r="AG2412" s="355"/>
      <c r="AH2412" s="349"/>
      <c r="AI2412" s="30"/>
      <c r="AJ2412" s="30"/>
      <c r="AK2412" s="30"/>
      <c r="AL2412" s="30"/>
      <c r="AM2412" s="13"/>
      <c r="AN2412" s="13"/>
      <c r="AO2412" s="13"/>
      <c r="AP2412" s="13"/>
      <c r="AQ2412" s="13"/>
      <c r="AR2412" s="14"/>
      <c r="AS2412" s="15"/>
    </row>
    <row r="2413" spans="1:45" s="17" customFormat="1" ht="30.6" hidden="1" customHeight="1" x14ac:dyDescent="0.2">
      <c r="A2413" s="343"/>
      <c r="B2413" s="344"/>
      <c r="C2413" s="345"/>
      <c r="D2413" s="346"/>
      <c r="E2413" s="346"/>
      <c r="F2413" s="268"/>
      <c r="G2413" s="269"/>
      <c r="H2413" s="269"/>
      <c r="I2413" s="270"/>
      <c r="J2413" s="434"/>
      <c r="K2413" s="270"/>
      <c r="L2413" s="270"/>
      <c r="M2413" s="348"/>
      <c r="N2413" s="348"/>
      <c r="O2413" s="435"/>
      <c r="P2413" s="349"/>
      <c r="Q2413" s="350"/>
      <c r="R2413" s="271"/>
      <c r="S2413" s="272"/>
      <c r="T2413" s="273"/>
      <c r="U2413" s="351"/>
      <c r="V2413" s="274"/>
      <c r="W2413" s="269"/>
      <c r="X2413" s="269"/>
      <c r="Y2413" s="275"/>
      <c r="Z2413" s="269"/>
      <c r="AA2413" s="350"/>
      <c r="AB2413" s="207"/>
      <c r="AC2413" s="352"/>
      <c r="AD2413" s="353"/>
      <c r="AE2413" s="54"/>
      <c r="AF2413" s="354"/>
      <c r="AG2413" s="355"/>
      <c r="AH2413" s="349"/>
      <c r="AI2413" s="30"/>
      <c r="AJ2413" s="30"/>
      <c r="AK2413" s="30"/>
      <c r="AL2413" s="30"/>
      <c r="AM2413" s="13"/>
      <c r="AN2413" s="13"/>
      <c r="AO2413" s="13"/>
      <c r="AP2413" s="13"/>
      <c r="AQ2413" s="13"/>
      <c r="AR2413" s="14"/>
      <c r="AS2413" s="15"/>
    </row>
    <row r="2414" spans="1:45" s="17" customFormat="1" ht="30.6" hidden="1" customHeight="1" x14ac:dyDescent="0.2">
      <c r="A2414" s="343"/>
      <c r="B2414" s="344"/>
      <c r="C2414" s="45"/>
      <c r="D2414" s="31">
        <v>3766748</v>
      </c>
      <c r="E2414" s="31">
        <v>4162425</v>
      </c>
      <c r="F2414" s="268" t="str">
        <f>IF(D2414="","",VLOOKUP(D2414,契約台帳!$A$3:$K$4986,6,FALSE)&amp;VLOOKUP(D2414,契約台帳!$A$3:$K$4986,7,FALSE)&amp;VLOOKUP(D2414,契約台帳!$A$3:$K$4986,8,FALSE)&amp;VLOOKUP(D2414,契約台帳!$A$3:$K$4986,9,FALSE)&amp;VLOOKUP(D2414,契約台帳!$A$3:$K$4986,11,FALSE))</f>
        <v>3SNMCLBMSNEYK</v>
      </c>
      <c r="G2414" s="269" t="str">
        <f>IF(D2414="","",VLOOKUP(F2414,製品マスタ!$G$5:$H$5002,2,FALSE))</f>
        <v>S</v>
      </c>
      <c r="H2414" s="269" t="str">
        <f>IF(D2414="","",VLOOKUP(F2414,製品マスタ!$G$5:$K$5002,5,FALSE))</f>
        <v>MSNEYK</v>
      </c>
      <c r="I2414" s="270" t="str">
        <f>IF(D2414="","",VLOOKUP(F2414,製品マスタ!$G$5:$L$5002,6,FALSE))</f>
        <v>ＭＳＮ　ＥＹＫ</v>
      </c>
      <c r="J2414" s="210" t="s">
        <v>935</v>
      </c>
      <c r="K2414" s="270">
        <f>IF(D2414="","",VLOOKUP(D2414,契約台帳!$A$3:$L$4986,12,FALSE))</f>
        <v>50</v>
      </c>
      <c r="L2414" s="270" t="str">
        <f>IF(D2414="","",INDEX(製品マスタ!$Q$5:$Q$5002,MATCH('S4'!F2414&amp;'S4'!K2414,製品マスタ!$AO$5:$AO$5002,0)))</f>
        <v>N-MAT</v>
      </c>
      <c r="M2414" s="39">
        <v>1120</v>
      </c>
      <c r="N2414" s="39">
        <v>4000</v>
      </c>
      <c r="O2414" s="156">
        <v>4</v>
      </c>
      <c r="P2414" s="47">
        <v>2</v>
      </c>
      <c r="Q2414" s="213">
        <v>45532</v>
      </c>
      <c r="R2414" s="271">
        <f ca="1">IF(D2414="","",IF(OFFSET(D2414,-1,0)&lt;&gt;"","",IF(OR(J2414="リード付け",J2414="巻足し",J2414="巻返しリード付け"),M2414,VLOOKUP(D2414,契約台帳!$A$3:$N$4986,14,FALSE))))</f>
        <v>1120</v>
      </c>
      <c r="S2414" s="272">
        <f ca="1">IF(D2414="","",IF(OFFSET(D2414,-1,0)&lt;&gt;"","",IF(OR(J2414="リード付け",J2414="巻足し",J2414="巻返しリード付け"),M2414,VLOOKUP(D2414,契約台帳!$A$3:$O$4986,15,FALSE))))</f>
        <v>1120</v>
      </c>
      <c r="T2414" s="273">
        <f ca="1">IF(D2414="","",IF(J2414="リード付け",N2414,IF(J2414="巻返しリード付け",N2414,IF(J2414="巻足し",N2414*P2414+OFFSET(N2414,1,0)*OFFSET(P2414,1,0),VLOOKUP(D2414,契約台帳!$A$3:$P$4986,16,FALSE)))))</f>
        <v>8000</v>
      </c>
      <c r="U2414" s="40">
        <v>2</v>
      </c>
      <c r="V2414" s="274">
        <f ca="1">IF(D2414="","",IF(OFFSET(D2414,-2,0)=D2414,"",VLOOKUP(D2414,契約台帳!$A$3:$R$4986,18,FALSE)))</f>
        <v>4</v>
      </c>
      <c r="W2414" s="269" t="str">
        <f ca="1">IF(D2414="","",IF(T2414="","",IF(OR(J2414="巻足し",J2414="巻返しリード付け"),"",IF(J2414="巻返し",VLOOKUP(F2414&amp;K2414&amp;M2414,製品マスタ!$M$5:$AD$5002,18,FALSE),IF(OR(J2414="リード付け",J2414="巻返しリード付け"),"原反コア",IF(J2414="スリット",VLOOKUP(F2414&amp;K2414&amp;R2414,製品マスタ!$N$5:$AD$5002,17,FALSE),""))))))</f>
        <v/>
      </c>
      <c r="X2414" s="269" t="str">
        <f ca="1">IF(D2414="","",IF(T2414="","",IF(J2414="巻足し","",IF(J2414="巻返し",VLOOKUP(F2414&amp;K2414&amp;M2414,製品マスタ!$M$5:$AE$5002,19,FALSE),IF(OR(J2414="リード付け",J2414="巻返しリード付け"),"",IF(J2414="スリット",VLOOKUP(F2414&amp;K2414&amp;R2414,製品マスタ!$N$5:$AE$5002,18,FALSE),""))))))</f>
        <v/>
      </c>
      <c r="Y2414" s="275">
        <f ca="1">IF(D2414="","",IF(T2414="","",VLOOKUP(D2414,契約台帳!$A$3:$Q$4986,17,FALSE)))</f>
        <v>2</v>
      </c>
      <c r="Z2414" s="269" t="str">
        <f ca="1">IF(D2414="","",IF(T2414="","",VLOOKUP(D2414,契約台帳!$A$3:$E$4986,5,FALSE)))</f>
        <v>新タック化成㈱</v>
      </c>
      <c r="AA2414" s="57"/>
      <c r="AB2414" s="207" t="str">
        <f>IFERROR((VLOOKUP(F2414&amp;K2414&amp;M2414,製品マスタ!$M$5:$AM$5002,27,FALSE)),"")</f>
        <v>原反ケース再利用</v>
      </c>
      <c r="AC2414" s="33"/>
      <c r="AD2414" s="189"/>
      <c r="AE2414" s="54"/>
      <c r="AF2414" s="55">
        <f>+M2414*N2414*O2414/1000</f>
        <v>17920</v>
      </c>
      <c r="AG2414" s="43"/>
      <c r="AH2414" s="47"/>
      <c r="AI2414" s="30"/>
      <c r="AJ2414" s="30"/>
      <c r="AK2414" s="30"/>
      <c r="AL2414" s="30"/>
      <c r="AM2414" s="13"/>
      <c r="AN2414" s="13"/>
      <c r="AO2414" s="13"/>
      <c r="AP2414" s="13"/>
      <c r="AQ2414" s="13"/>
      <c r="AR2414" s="14"/>
      <c r="AS2414" s="15"/>
    </row>
    <row r="2415" spans="1:45" s="17" customFormat="1" ht="30.6" hidden="1" customHeight="1" x14ac:dyDescent="0.2">
      <c r="A2415" s="343"/>
      <c r="B2415" s="344"/>
      <c r="C2415" s="345"/>
      <c r="D2415" s="346"/>
      <c r="E2415" s="346"/>
      <c r="F2415" s="268"/>
      <c r="G2415" s="269"/>
      <c r="H2415" s="269"/>
      <c r="I2415" s="270"/>
      <c r="J2415" s="434"/>
      <c r="K2415" s="270"/>
      <c r="L2415" s="270"/>
      <c r="M2415" s="348"/>
      <c r="N2415" s="348"/>
      <c r="O2415" s="435"/>
      <c r="P2415" s="349"/>
      <c r="Q2415" s="350"/>
      <c r="R2415" s="271"/>
      <c r="S2415" s="272"/>
      <c r="T2415" s="273"/>
      <c r="U2415" s="351"/>
      <c r="V2415" s="274"/>
      <c r="W2415" s="269"/>
      <c r="X2415" s="269"/>
      <c r="Y2415" s="275"/>
      <c r="Z2415" s="269"/>
      <c r="AA2415" s="350"/>
      <c r="AB2415" s="207"/>
      <c r="AC2415" s="352"/>
      <c r="AD2415" s="353"/>
      <c r="AE2415" s="54"/>
      <c r="AF2415" s="354"/>
      <c r="AG2415" s="355"/>
      <c r="AH2415" s="349"/>
      <c r="AI2415" s="30"/>
      <c r="AJ2415" s="30"/>
      <c r="AK2415" s="30"/>
      <c r="AL2415" s="30"/>
      <c r="AM2415" s="13"/>
      <c r="AN2415" s="13"/>
      <c r="AO2415" s="13"/>
      <c r="AP2415" s="13"/>
      <c r="AQ2415" s="13"/>
      <c r="AR2415" s="14"/>
      <c r="AS2415" s="15"/>
    </row>
    <row r="2416" spans="1:45" s="17" customFormat="1" ht="30.6" hidden="1" customHeight="1" x14ac:dyDescent="0.2">
      <c r="A2416" s="343"/>
      <c r="B2416" s="344"/>
      <c r="C2416" s="45"/>
      <c r="D2416" s="31">
        <v>3770580</v>
      </c>
      <c r="E2416" s="31">
        <v>4162468</v>
      </c>
      <c r="F2416" s="268" t="str">
        <f>IF(D2416="","",VLOOKUP(D2416,契約台帳!$A$3:$K$4986,6,FALSE)&amp;VLOOKUP(D2416,契約台帳!$A$3:$K$4986,7,FALSE)&amp;VLOOKUP(D2416,契約台帳!$A$3:$K$4986,8,FALSE)&amp;VLOOKUP(D2416,契約台帳!$A$3:$K$4986,9,FALSE)&amp;VLOOKUP(D2416,契約台帳!$A$3:$K$4986,11,FALSE))</f>
        <v>3SNMLBMNGKBF</v>
      </c>
      <c r="G2416" s="269" t="str">
        <f>IF(D2416="","",VLOOKUP(F2416,製品マスタ!$G$5:$H$5002,2,FALSE))</f>
        <v>S</v>
      </c>
      <c r="H2416" s="269" t="str">
        <f>IF(D2416="","",VLOOKUP(F2416,製品マスタ!$G$5:$K$5002,5,FALSE))</f>
        <v>MNGKBF</v>
      </c>
      <c r="I2416" s="270" t="str">
        <f>IF(D2416="","",VLOOKUP(F2416,製品マスタ!$G$5:$L$5002,6,FALSE))</f>
        <v>メタルミー　ネーマー銀消　Ｂ</v>
      </c>
      <c r="J2416" s="210" t="s">
        <v>935</v>
      </c>
      <c r="K2416" s="270">
        <f>IF(D2416="","",VLOOKUP(D2416,契約台帳!$A$3:$L$4986,12,FALSE))</f>
        <v>50</v>
      </c>
      <c r="L2416" s="270" t="str">
        <f>IF(D2416="","",INDEX(製品マスタ!$Q$5:$Q$5002,MATCH('S4'!F2416&amp;'S4'!K2416,製品マスタ!$AO$5:$AO$5002,0)))</f>
        <v>MAT</v>
      </c>
      <c r="M2416" s="39">
        <v>1050</v>
      </c>
      <c r="N2416" s="39">
        <v>4100</v>
      </c>
      <c r="O2416" s="156">
        <v>3</v>
      </c>
      <c r="P2416" s="47">
        <v>3</v>
      </c>
      <c r="Q2416" s="213">
        <v>45531</v>
      </c>
      <c r="R2416" s="271">
        <f ca="1">IF(D2416="","",IF(OFFSET(D2416,-1,0)&lt;&gt;"","",IF(OR(J2416="リード付け",J2416="巻足し",J2416="巻返しリード付け"),M2416,VLOOKUP(D2416,契約台帳!$A$3:$N$4986,14,FALSE))))</f>
        <v>1050</v>
      </c>
      <c r="S2416" s="272">
        <f ca="1">IF(D2416="","",IF(OFFSET(D2416,-1,0)&lt;&gt;"","",IF(OR(J2416="リード付け",J2416="巻足し",J2416="巻返しリード付け"),M2416,VLOOKUP(D2416,契約台帳!$A$3:$O$4986,15,FALSE))))</f>
        <v>1050</v>
      </c>
      <c r="T2416" s="273">
        <f ca="1">IF(D2416="","",IF(J2416="リード付け",N2416,IF(J2416="巻返しリード付け",N2416,IF(J2416="巻足し",N2416*P2416+OFFSET(N2416,1,0)*OFFSET(P2416,1,0),VLOOKUP(D2416,契約台帳!$A$3:$P$4986,16,FALSE)))))</f>
        <v>12300</v>
      </c>
      <c r="U2416" s="40">
        <v>1</v>
      </c>
      <c r="V2416" s="274">
        <f ca="1">IF(D2416="","",IF(OFFSET(D2416,-2,0)=D2416,"",VLOOKUP(D2416,契約台帳!$A$3:$R$4986,18,FALSE)))</f>
        <v>3</v>
      </c>
      <c r="W2416" s="269" t="str">
        <f ca="1">IF(D2416="","",IF(T2416="","",IF(OR(J2416="巻足し",J2416="巻返しリード付け"),"",IF(J2416="巻返し",VLOOKUP(F2416&amp;K2416&amp;M2416,製品マスタ!$M$5:$AD$5002,18,FALSE),IF(OR(J2416="リード付け",J2416="巻返しリード付け"),"原反コア",IF(J2416="スリット",VLOOKUP(F2416&amp;K2416&amp;R2416,製品マスタ!$N$5:$AD$5002,17,FALSE),""))))))</f>
        <v/>
      </c>
      <c r="X2416" s="269" t="str">
        <f ca="1">IF(D2416="","",IF(T2416="","",IF(J2416="巻足し","",IF(J2416="巻返し",VLOOKUP(F2416&amp;K2416&amp;M2416,製品マスタ!$M$5:$AE$5002,19,FALSE),IF(OR(J2416="リード付け",J2416="巻返しリード付け"),"",IF(J2416="スリット",VLOOKUP(F2416&amp;K2416&amp;R2416,製品マスタ!$N$5:$AE$5002,18,FALSE),""))))))</f>
        <v/>
      </c>
      <c r="Y2416" s="275">
        <f ca="1">IF(D2416="","",IF(T2416="","",VLOOKUP(D2416,契約台帳!$A$3:$Q$4986,17,FALSE)))</f>
        <v>2</v>
      </c>
      <c r="Z2416" s="269" t="str">
        <f ca="1">IF(D2416="","",IF(T2416="","",VLOOKUP(D2416,契約台帳!$A$3:$E$4986,5,FALSE)))</f>
        <v>リンテック㈱</v>
      </c>
      <c r="AA2416" s="57"/>
      <c r="AB2416" s="207">
        <f>IFERROR((VLOOKUP(F2416&amp;K2416&amp;M2416,製品マスタ!$M$5:$AM$5002,27,FALSE)),"")</f>
        <v>0</v>
      </c>
      <c r="AC2416" s="33"/>
      <c r="AD2416" s="189"/>
      <c r="AE2416" s="54"/>
      <c r="AF2416" s="55">
        <f>+M2416*N2416*O2416/1000</f>
        <v>12915</v>
      </c>
      <c r="AG2416" s="43"/>
      <c r="AH2416" s="47"/>
      <c r="AI2416" s="30"/>
      <c r="AJ2416" s="30"/>
      <c r="AK2416" s="30"/>
      <c r="AL2416" s="30"/>
      <c r="AM2416" s="13"/>
      <c r="AN2416" s="13"/>
      <c r="AO2416" s="13"/>
      <c r="AP2416" s="13"/>
      <c r="AQ2416" s="13"/>
      <c r="AR2416" s="14"/>
      <c r="AS2416" s="15"/>
    </row>
    <row r="2417" spans="1:45" s="17" customFormat="1" ht="30.6" hidden="1" customHeight="1" x14ac:dyDescent="0.2">
      <c r="A2417" s="343"/>
      <c r="B2417" s="344"/>
      <c r="C2417" s="345"/>
      <c r="D2417" s="346"/>
      <c r="E2417" s="346"/>
      <c r="F2417" s="268"/>
      <c r="G2417" s="269"/>
      <c r="H2417" s="269"/>
      <c r="I2417" s="270"/>
      <c r="J2417" s="434"/>
      <c r="K2417" s="270"/>
      <c r="L2417" s="270"/>
      <c r="M2417" s="348"/>
      <c r="N2417" s="348"/>
      <c r="O2417" s="435"/>
      <c r="P2417" s="349"/>
      <c r="Q2417" s="350"/>
      <c r="R2417" s="271"/>
      <c r="S2417" s="272"/>
      <c r="T2417" s="273"/>
      <c r="U2417" s="351"/>
      <c r="V2417" s="274"/>
      <c r="W2417" s="269"/>
      <c r="X2417" s="269"/>
      <c r="Y2417" s="275"/>
      <c r="Z2417" s="269"/>
      <c r="AA2417" s="350"/>
      <c r="AB2417" s="207"/>
      <c r="AC2417" s="352"/>
      <c r="AD2417" s="353"/>
      <c r="AE2417" s="54"/>
      <c r="AF2417" s="354"/>
      <c r="AG2417" s="355"/>
      <c r="AH2417" s="349"/>
      <c r="AI2417" s="30"/>
      <c r="AJ2417" s="30"/>
      <c r="AK2417" s="30"/>
      <c r="AL2417" s="30"/>
      <c r="AM2417" s="13"/>
      <c r="AN2417" s="13"/>
      <c r="AO2417" s="13"/>
      <c r="AP2417" s="13"/>
      <c r="AQ2417" s="13"/>
      <c r="AR2417" s="14"/>
      <c r="AS2417" s="15"/>
    </row>
    <row r="2418" spans="1:45" s="17" customFormat="1" ht="30.6" hidden="1" customHeight="1" x14ac:dyDescent="0.2">
      <c r="A2418" s="343"/>
      <c r="B2418" s="344"/>
      <c r="C2418" s="45"/>
      <c r="D2418" s="31">
        <v>3770581</v>
      </c>
      <c r="E2418" s="31">
        <v>4162469</v>
      </c>
      <c r="F2418" s="268" t="str">
        <f>IF(D2418="","",VLOOKUP(D2418,契約台帳!$A$3:$K$4986,6,FALSE)&amp;VLOOKUP(D2418,契約台帳!$A$3:$K$4986,7,FALSE)&amp;VLOOKUP(D2418,契約台帳!$A$3:$K$4986,8,FALSE)&amp;VLOOKUP(D2418,契約台帳!$A$3:$K$4986,9,FALSE)&amp;VLOOKUP(D2418,契約台帳!$A$3:$K$4986,11,FALSE))</f>
        <v>3SNMLBMNGKBF</v>
      </c>
      <c r="G2418" s="269" t="str">
        <f>IF(D2418="","",VLOOKUP(F2418,製品マスタ!$G$5:$H$5002,2,FALSE))</f>
        <v>S</v>
      </c>
      <c r="H2418" s="269" t="str">
        <f>IF(D2418="","",VLOOKUP(F2418,製品マスタ!$G$5:$K$5002,5,FALSE))</f>
        <v>MNGKBF</v>
      </c>
      <c r="I2418" s="270" t="str">
        <f>IF(D2418="","",VLOOKUP(F2418,製品マスタ!$G$5:$L$5002,6,FALSE))</f>
        <v>メタルミー　ネーマー銀消　Ｂ</v>
      </c>
      <c r="J2418" s="210" t="s">
        <v>935</v>
      </c>
      <c r="K2418" s="270">
        <f>IF(D2418="","",VLOOKUP(D2418,契約台帳!$A$3:$L$4986,12,FALSE))</f>
        <v>75</v>
      </c>
      <c r="L2418" s="270" t="str">
        <f>IF(D2418="","",INDEX(製品マスタ!$Q$5:$Q$5002,MATCH('S4'!F2418&amp;'S4'!K2418,製品マスタ!$AO$5:$AO$5002,0)))</f>
        <v>MAT</v>
      </c>
      <c r="M2418" s="39">
        <v>1050</v>
      </c>
      <c r="N2418" s="39">
        <v>2000</v>
      </c>
      <c r="O2418" s="156">
        <v>2</v>
      </c>
      <c r="P2418" s="47">
        <v>2</v>
      </c>
      <c r="Q2418" s="213">
        <v>45531</v>
      </c>
      <c r="R2418" s="271">
        <f ca="1">IF(D2418="","",IF(OFFSET(D2418,-1,0)&lt;&gt;"","",IF(OR(J2418="リード付け",J2418="巻足し",J2418="巻返しリード付け"),M2418,VLOOKUP(D2418,契約台帳!$A$3:$N$4986,14,FALSE))))</f>
        <v>1050</v>
      </c>
      <c r="S2418" s="272">
        <f ca="1">IF(D2418="","",IF(OFFSET(D2418,-1,0)&lt;&gt;"","",IF(OR(J2418="リード付け",J2418="巻足し",J2418="巻返しリード付け"),M2418,VLOOKUP(D2418,契約台帳!$A$3:$O$4986,15,FALSE))))</f>
        <v>1050</v>
      </c>
      <c r="T2418" s="273">
        <f ca="1">IF(D2418="","",IF(J2418="リード付け",N2418,IF(J2418="巻返しリード付け",N2418,IF(J2418="巻足し",N2418*P2418+OFFSET(N2418,1,0)*OFFSET(P2418,1,0),VLOOKUP(D2418,契約台帳!$A$3:$P$4986,16,FALSE)))))</f>
        <v>4000</v>
      </c>
      <c r="U2418" s="40">
        <v>1</v>
      </c>
      <c r="V2418" s="274">
        <f ca="1">IF(D2418="","",IF(OFFSET(D2418,-2,0)=D2418,"",VLOOKUP(D2418,契約台帳!$A$3:$R$4986,18,FALSE)))</f>
        <v>2</v>
      </c>
      <c r="W2418" s="269" t="str">
        <f ca="1">IF(D2418="","",IF(T2418="","",IF(OR(J2418="巻足し",J2418="巻返しリード付け"),"",IF(J2418="巻返し",VLOOKUP(F2418&amp;K2418&amp;M2418,製品マスタ!$M$5:$AD$5002,18,FALSE),IF(OR(J2418="リード付け",J2418="巻返しリード付け"),"原反コア",IF(J2418="スリット",VLOOKUP(F2418&amp;K2418&amp;R2418,製品マスタ!$N$5:$AD$5002,17,FALSE),""))))))</f>
        <v/>
      </c>
      <c r="X2418" s="269" t="str">
        <f ca="1">IF(D2418="","",IF(T2418="","",IF(J2418="巻足し","",IF(J2418="巻返し",VLOOKUP(F2418&amp;K2418&amp;M2418,製品マスタ!$M$5:$AE$5002,19,FALSE),IF(OR(J2418="リード付け",J2418="巻返しリード付け"),"",IF(J2418="スリット",VLOOKUP(F2418&amp;K2418&amp;R2418,製品マスタ!$N$5:$AE$5002,18,FALSE),""))))))</f>
        <v/>
      </c>
      <c r="Y2418" s="275">
        <f ca="1">IF(D2418="","",IF(T2418="","",VLOOKUP(D2418,契約台帳!$A$3:$Q$4986,17,FALSE)))</f>
        <v>2</v>
      </c>
      <c r="Z2418" s="269" t="str">
        <f ca="1">IF(D2418="","",IF(T2418="","",VLOOKUP(D2418,契約台帳!$A$3:$E$4986,5,FALSE)))</f>
        <v>リンテック㈱</v>
      </c>
      <c r="AA2418" s="57"/>
      <c r="AB2418" s="207">
        <f>IFERROR((VLOOKUP(F2418&amp;K2418&amp;M2418,製品マスタ!$M$5:$AM$5002,27,FALSE)),"")</f>
        <v>0</v>
      </c>
      <c r="AC2418" s="33"/>
      <c r="AD2418" s="189"/>
      <c r="AE2418" s="54"/>
      <c r="AF2418" s="55">
        <f>+M2418*N2418*O2418/1000</f>
        <v>4200</v>
      </c>
      <c r="AG2418" s="43"/>
      <c r="AH2418" s="47"/>
      <c r="AI2418" s="30"/>
      <c r="AJ2418" s="30"/>
      <c r="AK2418" s="30"/>
      <c r="AL2418" s="30"/>
      <c r="AM2418" s="13"/>
      <c r="AN2418" s="13"/>
      <c r="AO2418" s="13"/>
      <c r="AP2418" s="13"/>
      <c r="AQ2418" s="13"/>
      <c r="AR2418" s="14"/>
      <c r="AS2418" s="15"/>
    </row>
    <row r="2419" spans="1:45" s="17" customFormat="1" ht="30.6" hidden="1" customHeight="1" x14ac:dyDescent="0.2">
      <c r="A2419" s="343"/>
      <c r="B2419" s="344"/>
      <c r="C2419" s="345"/>
      <c r="D2419" s="346"/>
      <c r="E2419" s="346"/>
      <c r="F2419" s="268"/>
      <c r="G2419" s="269"/>
      <c r="H2419" s="269"/>
      <c r="I2419" s="270"/>
      <c r="J2419" s="434"/>
      <c r="K2419" s="270"/>
      <c r="L2419" s="270"/>
      <c r="M2419" s="348"/>
      <c r="N2419" s="348"/>
      <c r="O2419" s="435"/>
      <c r="P2419" s="349"/>
      <c r="Q2419" s="350"/>
      <c r="R2419" s="271"/>
      <c r="S2419" s="272"/>
      <c r="T2419" s="273"/>
      <c r="U2419" s="351"/>
      <c r="V2419" s="274"/>
      <c r="W2419" s="269"/>
      <c r="X2419" s="269"/>
      <c r="Y2419" s="275"/>
      <c r="Z2419" s="269"/>
      <c r="AA2419" s="350"/>
      <c r="AB2419" s="207"/>
      <c r="AC2419" s="352"/>
      <c r="AD2419" s="353"/>
      <c r="AE2419" s="54"/>
      <c r="AF2419" s="354"/>
      <c r="AG2419" s="355"/>
      <c r="AH2419" s="349"/>
      <c r="AI2419" s="30"/>
      <c r="AJ2419" s="30"/>
      <c r="AK2419" s="30"/>
      <c r="AL2419" s="30"/>
      <c r="AM2419" s="13"/>
      <c r="AN2419" s="13"/>
      <c r="AO2419" s="13"/>
      <c r="AP2419" s="13"/>
      <c r="AQ2419" s="13"/>
      <c r="AR2419" s="14"/>
      <c r="AS2419" s="15"/>
    </row>
    <row r="2420" spans="1:45" s="17" customFormat="1" ht="30.6" hidden="1" customHeight="1" x14ac:dyDescent="0.2">
      <c r="A2420" s="343" t="s">
        <v>1424</v>
      </c>
      <c r="B2420" s="344" t="s">
        <v>1408</v>
      </c>
      <c r="C2420" s="45"/>
      <c r="D2420" s="31">
        <v>3770594</v>
      </c>
      <c r="E2420" s="31">
        <v>4162483</v>
      </c>
      <c r="F2420" s="268" t="str">
        <f>IF(D2420="","",VLOOKUP(D2420,契約台帳!$A$3:$K$4986,6,FALSE)&amp;VLOOKUP(D2420,契約台帳!$A$3:$K$4986,7,FALSE)&amp;VLOOKUP(D2420,契約台帳!$A$3:$K$4986,8,FALSE)&amp;VLOOKUP(D2420,契約台帳!$A$3:$K$4986,9,FALSE)&amp;VLOOKUP(D2420,契約台帳!$A$3:$K$4986,11,FALSE))</f>
        <v>3TNMCLBHLGTV</v>
      </c>
      <c r="G2420" s="269" t="str">
        <f>IF(D2420="","",VLOOKUP(F2420,製品マスタ!$G$5:$H$5002,2,FALSE))</f>
        <v>T</v>
      </c>
      <c r="H2420" s="269" t="str">
        <f>IF(D2420="","",VLOOKUP(F2420,製品マスタ!$G$5:$K$5002,5,FALSE))</f>
        <v>HLGTV</v>
      </c>
      <c r="I2420" s="270" t="str">
        <f>IF(D2420="","",VLOOKUP(F2420,製品マスタ!$G$5:$L$5002,6,FALSE))</f>
        <v>メタルミー　ヘヤライン　銀艶Ｖ</v>
      </c>
      <c r="J2420" s="210" t="s">
        <v>935</v>
      </c>
      <c r="K2420" s="270">
        <f>IF(D2420="","",VLOOKUP(D2420,契約台帳!$A$3:$L$4986,12,FALSE))</f>
        <v>50</v>
      </c>
      <c r="L2420" s="270" t="str">
        <f>IF(D2420="","",INDEX(製品マスタ!$Q$5:$Q$5002,MATCH('S4'!F2420&amp;'S4'!K2420,製品マスタ!$AO$5:$AO$5002,0)))</f>
        <v>BRIGHT</v>
      </c>
      <c r="M2420" s="39">
        <v>1005</v>
      </c>
      <c r="N2420" s="39">
        <v>4100</v>
      </c>
      <c r="O2420" s="156">
        <v>6</v>
      </c>
      <c r="P2420" s="47">
        <v>3</v>
      </c>
      <c r="Q2420" s="213">
        <v>45531</v>
      </c>
      <c r="R2420" s="271">
        <f ca="1">IF(D2420="","",IF(OFFSET(D2420,-1,0)&lt;&gt;"","",IF(OR(J2420="リード付け",J2420="巻足し",J2420="巻返しリード付け"),M2420,VLOOKUP(D2420,契約台帳!$A$3:$N$4986,14,FALSE))))</f>
        <v>1005</v>
      </c>
      <c r="S2420" s="272">
        <f ca="1">IF(D2420="","",IF(OFFSET(D2420,-1,0)&lt;&gt;"","",IF(OR(J2420="リード付け",J2420="巻足し",J2420="巻返しリード付け"),M2420,VLOOKUP(D2420,契約台帳!$A$3:$O$4986,15,FALSE))))</f>
        <v>1005</v>
      </c>
      <c r="T2420" s="273">
        <f ca="1">IF(D2420="","",IF(J2420="リード付け",N2420,IF(J2420="巻返しリード付け",N2420,IF(J2420="巻足し",N2420*P2420+OFFSET(N2420,1,0)*OFFSET(P2420,1,0),VLOOKUP(D2420,契約台帳!$A$3:$P$4986,16,FALSE)))))</f>
        <v>12300</v>
      </c>
      <c r="U2420" s="40">
        <v>2</v>
      </c>
      <c r="V2420" s="274">
        <f ca="1">IF(D2420="","",IF(OFFSET(D2420,-2,0)=D2420,"",VLOOKUP(D2420,契約台帳!$A$3:$R$4986,18,FALSE)))</f>
        <v>6</v>
      </c>
      <c r="W2420" s="269" t="str">
        <f ca="1">IF(D2420="","",IF(T2420="","",IF(OR(J2420="巻足し",J2420="巻返しリード付け"),"",IF(J2420="巻返し",VLOOKUP(F2420&amp;K2420&amp;M2420,製品マスタ!$M$5:$AD$5002,18,FALSE),IF(OR(J2420="リード付け",J2420="巻返しリード付け"),"原反コア",IF(J2420="スリット",VLOOKUP(F2420&amp;K2420&amp;R2420,製品マスタ!$N$5:$AD$5002,17,FALSE),""))))))</f>
        <v/>
      </c>
      <c r="X2420" s="269" t="str">
        <f ca="1">IF(D2420="","",IF(T2420="","",IF(J2420="巻足し","",IF(J2420="巻返し",VLOOKUP(F2420&amp;K2420&amp;M2420,製品マスタ!$M$5:$AE$5002,19,FALSE),IF(OR(J2420="リード付け",J2420="巻返しリード付け"),"",IF(J2420="スリット",VLOOKUP(F2420&amp;K2420&amp;R2420,製品マスタ!$N$5:$AE$5002,18,FALSE),""))))))</f>
        <v/>
      </c>
      <c r="Y2420" s="275">
        <f ca="1">IF(D2420="","",IF(T2420="","",VLOOKUP(D2420,契約台帳!$A$3:$Q$4986,17,FALSE)))</f>
        <v>2</v>
      </c>
      <c r="Z2420" s="269" t="str">
        <f ca="1">IF(D2420="","",IF(T2420="","",VLOOKUP(D2420,契約台帳!$A$3:$E$4986,5,FALSE)))</f>
        <v>リンテック㈱</v>
      </c>
      <c r="AA2420" s="57"/>
      <c r="AB2420" s="303" t="s">
        <v>774</v>
      </c>
      <c r="AC2420" s="33"/>
      <c r="AD2420" s="189"/>
      <c r="AE2420" s="54"/>
      <c r="AF2420" s="55">
        <f>+M2420*N2420*O2420/1000</f>
        <v>24723</v>
      </c>
      <c r="AG2420" s="43"/>
      <c r="AH2420" s="47"/>
      <c r="AI2420" s="30"/>
      <c r="AJ2420" s="30"/>
      <c r="AK2420" s="30"/>
      <c r="AL2420" s="30"/>
      <c r="AM2420" s="13"/>
      <c r="AN2420" s="13"/>
      <c r="AO2420" s="13"/>
      <c r="AP2420" s="13"/>
      <c r="AQ2420" s="13"/>
      <c r="AR2420" s="14"/>
      <c r="AS2420" s="15"/>
    </row>
    <row r="2421" spans="1:45" s="17" customFormat="1" ht="30.6" hidden="1" customHeight="1" x14ac:dyDescent="0.2">
      <c r="A2421" s="343"/>
      <c r="B2421" s="344"/>
      <c r="C2421" s="345"/>
      <c r="D2421" s="346"/>
      <c r="E2421" s="346"/>
      <c r="F2421" s="268"/>
      <c r="G2421" s="269"/>
      <c r="H2421" s="269"/>
      <c r="I2421" s="270"/>
      <c r="J2421" s="434"/>
      <c r="K2421" s="270"/>
      <c r="L2421" s="270"/>
      <c r="M2421" s="348"/>
      <c r="N2421" s="348"/>
      <c r="O2421" s="435"/>
      <c r="P2421" s="349"/>
      <c r="Q2421" s="350"/>
      <c r="R2421" s="271"/>
      <c r="S2421" s="272"/>
      <c r="T2421" s="273"/>
      <c r="U2421" s="351"/>
      <c r="V2421" s="274"/>
      <c r="W2421" s="269"/>
      <c r="X2421" s="269"/>
      <c r="Y2421" s="275"/>
      <c r="Z2421" s="269"/>
      <c r="AA2421" s="350"/>
      <c r="AB2421" s="207"/>
      <c r="AC2421" s="352"/>
      <c r="AD2421" s="353"/>
      <c r="AE2421" s="54"/>
      <c r="AF2421" s="354"/>
      <c r="AG2421" s="355"/>
      <c r="AH2421" s="349"/>
      <c r="AI2421" s="30"/>
      <c r="AJ2421" s="30"/>
      <c r="AK2421" s="30"/>
      <c r="AL2421" s="30"/>
      <c r="AM2421" s="13"/>
      <c r="AN2421" s="13"/>
      <c r="AO2421" s="13"/>
      <c r="AP2421" s="13"/>
      <c r="AQ2421" s="13"/>
      <c r="AR2421" s="14"/>
      <c r="AS2421" s="15"/>
    </row>
    <row r="2422" spans="1:45" s="17" customFormat="1" ht="30.6" hidden="1" customHeight="1" x14ac:dyDescent="0.2">
      <c r="A2422" s="343"/>
      <c r="B2422" s="344"/>
      <c r="C2422" s="45"/>
      <c r="D2422" s="31">
        <v>3770587</v>
      </c>
      <c r="E2422" s="31">
        <v>4162486</v>
      </c>
      <c r="F2422" s="268" t="str">
        <f>IF(D2422="","",VLOOKUP(D2422,契約台帳!$A$3:$K$4986,6,FALSE)&amp;VLOOKUP(D2422,契約台帳!$A$3:$K$4986,7,FALSE)&amp;VLOOKUP(D2422,契約台帳!$A$3:$K$4986,8,FALSE)&amp;VLOOKUP(D2422,契約台帳!$A$3:$K$4986,9,FALSE)&amp;VLOOKUP(D2422,契約台帳!$A$3:$K$4986,11,FALSE))</f>
        <v>33SSNMCLBTEKKFV</v>
      </c>
      <c r="G2422" s="269" t="str">
        <f>IF(D2422="","",VLOOKUP(F2422,製品マスタ!$G$5:$H$5002,2,FALSE))</f>
        <v>S</v>
      </c>
      <c r="H2422" s="269" t="str">
        <f>IF(D2422="","",VLOOKUP(F2422,製品マスタ!$G$5:$K$5002,5,FALSE))</f>
        <v>TEKKFV</v>
      </c>
      <c r="I2422" s="270" t="str">
        <f>IF(D2422="","",VLOOKUP(F2422,製品マスタ!$G$5:$L$5002,6,FALSE))</f>
        <v>メタルミー　ＴＥＳ消開封　Ｖ</v>
      </c>
      <c r="J2422" s="210" t="s">
        <v>3128</v>
      </c>
      <c r="K2422" s="270">
        <f>IF(D2422="","",VLOOKUP(D2422,契約台帳!$A$3:$L$4986,12,FALSE))</f>
        <v>38</v>
      </c>
      <c r="L2422" s="270" t="str">
        <f>IF(D2422="","",INDEX(製品マスタ!$Q$5:$Q$5002,MATCH('S4'!F2422&amp;'S4'!K2422,製品マスタ!$AO$5:$AO$5002,0)))</f>
        <v>X44SEPA</v>
      </c>
      <c r="M2422" s="39">
        <v>1005</v>
      </c>
      <c r="N2422" s="39">
        <v>2000</v>
      </c>
      <c r="O2422" s="156">
        <v>1</v>
      </c>
      <c r="P2422" s="47">
        <v>1</v>
      </c>
      <c r="Q2422" s="213">
        <v>45531</v>
      </c>
      <c r="R2422" s="271">
        <f ca="1">IF(D2422="","",IF(OFFSET(D2422,-1,0)&lt;&gt;"","",IF(OR(J2422="リード付け",J2422="巻足し",J2422="巻返しリード付け"),M2422,VLOOKUP(D2422,契約台帳!$A$3:$N$4986,14,FALSE))))</f>
        <v>1005</v>
      </c>
      <c r="S2422" s="272">
        <f ca="1">IF(D2422="","",IF(OFFSET(D2422,-1,0)&lt;&gt;"","",IF(OR(J2422="リード付け",J2422="巻足し",J2422="巻返しリード付け"),M2422,VLOOKUP(D2422,契約台帳!$A$3:$O$4986,15,FALSE))))</f>
        <v>1000</v>
      </c>
      <c r="T2422" s="273">
        <f ca="1">IF(D2422="","",IF(J2422="リード付け",N2422,IF(J2422="巻返しリード付け",N2422,IF(J2422="巻足し",N2422*P2422+OFFSET(N2422,1,0)*OFFSET(P2422,1,0),VLOOKUP(D2422,契約台帳!$A$3:$P$4986,16,FALSE)))))</f>
        <v>2000</v>
      </c>
      <c r="U2422" s="40">
        <v>1</v>
      </c>
      <c r="V2422" s="274">
        <f ca="1">IF(D2422="","",IF(OFFSET(D2422,-2,0)=D2422,"",VLOOKUP(D2422,契約台帳!$A$3:$R$4986,18,FALSE)))</f>
        <v>1</v>
      </c>
      <c r="W2422" s="269" t="str">
        <f ca="1">IF(D2422="","",IF(T2422="","",IF(OR(J2422="巻足し",J2422="巻返しリード付け"),"",IF(J2422="巻返し",VLOOKUP(F2422&amp;K2422&amp;M2422,製品マスタ!$M$5:$AD$5002,18,FALSE),IF(OR(J2422="リード付け",J2422="巻返しリード付け"),"原反コア",IF(J2422="スリット",VLOOKUP(F2422&amp;K2422&amp;R2422,製品マスタ!$N$5:$AD$5002,17,FALSE),""))))))</f>
        <v/>
      </c>
      <c r="X2422" s="269" t="str">
        <f ca="1">IF(D2422="","",IF(T2422="","",IF(J2422="巻足し","",IF(J2422="巻返し",VLOOKUP(F2422&amp;K2422&amp;M2422,製品マスタ!$M$5:$AE$5002,19,FALSE),IF(OR(J2422="リード付け",J2422="巻返しリード付け"),"",IF(J2422="スリット",VLOOKUP(F2422&amp;K2422&amp;R2422,製品マスタ!$N$5:$AE$5002,18,FALSE),""))))))</f>
        <v/>
      </c>
      <c r="Y2422" s="275">
        <f ca="1">IF(D2422="","",IF(T2422="","",VLOOKUP(D2422,契約台帳!$A$3:$Q$4986,17,FALSE)))</f>
        <v>2</v>
      </c>
      <c r="Z2422" s="269" t="str">
        <f ca="1">IF(D2422="","",IF(T2422="","",VLOOKUP(D2422,契約台帳!$A$3:$E$4986,5,FALSE)))</f>
        <v>リンテック㈱</v>
      </c>
      <c r="AA2422" s="57"/>
      <c r="AB2422" s="207">
        <f>IFERROR((VLOOKUP(F2422&amp;K2422&amp;M2422,製品マスタ!$M$5:$AM$5002,27,FALSE)),"")</f>
        <v>0</v>
      </c>
      <c r="AC2422" s="33"/>
      <c r="AD2422" s="189"/>
      <c r="AE2422" s="54"/>
      <c r="AF2422" s="55">
        <f>+M2422*N2422*O2422/1000</f>
        <v>2010</v>
      </c>
      <c r="AG2422" s="43"/>
      <c r="AH2422" s="47"/>
      <c r="AI2422" s="30"/>
      <c r="AJ2422" s="30"/>
      <c r="AK2422" s="30"/>
      <c r="AL2422" s="30"/>
      <c r="AM2422" s="13"/>
      <c r="AN2422" s="13"/>
      <c r="AO2422" s="13"/>
      <c r="AP2422" s="13"/>
      <c r="AQ2422" s="13"/>
      <c r="AR2422" s="14"/>
      <c r="AS2422" s="15"/>
    </row>
    <row r="2423" spans="1:45" s="17" customFormat="1" ht="30.95" hidden="1" customHeight="1" x14ac:dyDescent="0.2">
      <c r="A2423" s="343"/>
      <c r="B2423" s="344"/>
      <c r="C2423" s="345"/>
      <c r="D2423" s="346"/>
      <c r="E2423" s="346"/>
      <c r="F2423" s="268"/>
      <c r="G2423" s="269"/>
      <c r="H2423" s="269"/>
      <c r="I2423" s="270"/>
      <c r="J2423" s="434"/>
      <c r="K2423" s="270"/>
      <c r="L2423" s="270"/>
      <c r="M2423" s="348"/>
      <c r="N2423" s="348"/>
      <c r="O2423" s="435"/>
      <c r="P2423" s="349"/>
      <c r="Q2423" s="350"/>
      <c r="R2423" s="271"/>
      <c r="S2423" s="272"/>
      <c r="T2423" s="273"/>
      <c r="U2423" s="351"/>
      <c r="V2423" s="274"/>
      <c r="W2423" s="269"/>
      <c r="X2423" s="269"/>
      <c r="Y2423" s="275"/>
      <c r="Z2423" s="269"/>
      <c r="AA2423" s="350"/>
      <c r="AB2423" s="207"/>
      <c r="AC2423" s="352"/>
      <c r="AD2423" s="353"/>
      <c r="AE2423" s="54"/>
      <c r="AF2423" s="354"/>
      <c r="AG2423" s="355"/>
      <c r="AH2423" s="349"/>
      <c r="AI2423" s="30"/>
      <c r="AJ2423" s="30"/>
      <c r="AK2423" s="30"/>
      <c r="AL2423" s="30"/>
      <c r="AM2423" s="13"/>
      <c r="AN2423" s="13"/>
      <c r="AO2423" s="13"/>
      <c r="AP2423" s="13"/>
      <c r="AQ2423" s="13"/>
      <c r="AR2423" s="14"/>
      <c r="AS2423" s="15"/>
    </row>
    <row r="2424" spans="1:45" s="17" customFormat="1" ht="30.95" hidden="1" customHeight="1" x14ac:dyDescent="0.2">
      <c r="A2424" s="343"/>
      <c r="B2424" s="344"/>
      <c r="C2424" s="345"/>
      <c r="D2424" s="346"/>
      <c r="E2424" s="346"/>
      <c r="F2424" s="268"/>
      <c r="G2424" s="269"/>
      <c r="H2424" s="269"/>
      <c r="I2424" s="270"/>
      <c r="J2424" s="434" t="s">
        <v>3129</v>
      </c>
      <c r="K2424" s="270"/>
      <c r="L2424" s="270"/>
      <c r="M2424" s="348"/>
      <c r="N2424" s="348"/>
      <c r="O2424" s="435"/>
      <c r="P2424" s="349"/>
      <c r="Q2424" s="350"/>
      <c r="R2424" s="271"/>
      <c r="S2424" s="272"/>
      <c r="T2424" s="273"/>
      <c r="U2424" s="351"/>
      <c r="V2424" s="274"/>
      <c r="W2424" s="269"/>
      <c r="X2424" s="269"/>
      <c r="Y2424" s="275"/>
      <c r="Z2424" s="269"/>
      <c r="AA2424" s="350"/>
      <c r="AB2424" s="207"/>
      <c r="AC2424" s="352"/>
      <c r="AD2424" s="353"/>
      <c r="AE2424" s="54"/>
      <c r="AF2424" s="354"/>
      <c r="AG2424" s="355"/>
      <c r="AH2424" s="349"/>
      <c r="AI2424" s="30"/>
      <c r="AJ2424" s="30"/>
      <c r="AK2424" s="30"/>
      <c r="AL2424" s="30"/>
      <c r="AM2424" s="13"/>
      <c r="AN2424" s="13"/>
      <c r="AO2424" s="13"/>
      <c r="AP2424" s="13"/>
      <c r="AQ2424" s="13"/>
      <c r="AR2424" s="14"/>
      <c r="AS2424" s="15"/>
    </row>
    <row r="2425" spans="1:45" s="17" customFormat="1" ht="30.95" hidden="1" customHeight="1" x14ac:dyDescent="0.2">
      <c r="A2425" s="343"/>
      <c r="B2425" s="344"/>
      <c r="C2425" s="345"/>
      <c r="D2425" s="346"/>
      <c r="E2425" s="346"/>
      <c r="F2425" s="268"/>
      <c r="G2425" s="269"/>
      <c r="H2425" s="269"/>
      <c r="I2425" s="270"/>
      <c r="J2425" s="434"/>
      <c r="K2425" s="270"/>
      <c r="L2425" s="270"/>
      <c r="M2425" s="348"/>
      <c r="N2425" s="348"/>
      <c r="O2425" s="435"/>
      <c r="P2425" s="349"/>
      <c r="Q2425" s="350"/>
      <c r="R2425" s="271"/>
      <c r="S2425" s="272"/>
      <c r="T2425" s="273"/>
      <c r="U2425" s="351"/>
      <c r="V2425" s="274"/>
      <c r="W2425" s="269"/>
      <c r="X2425" s="269"/>
      <c r="Y2425" s="275"/>
      <c r="Z2425" s="269"/>
      <c r="AA2425" s="350"/>
      <c r="AB2425" s="207"/>
      <c r="AC2425" s="352"/>
      <c r="AD2425" s="353"/>
      <c r="AE2425" s="54"/>
      <c r="AF2425" s="354"/>
      <c r="AG2425" s="355"/>
      <c r="AH2425" s="349"/>
      <c r="AI2425" s="30"/>
      <c r="AJ2425" s="30"/>
      <c r="AK2425" s="30"/>
      <c r="AL2425" s="30"/>
      <c r="AM2425" s="13"/>
      <c r="AN2425" s="13"/>
      <c r="AO2425" s="13"/>
      <c r="AP2425" s="13"/>
      <c r="AQ2425" s="13"/>
      <c r="AR2425" s="14"/>
      <c r="AS2425" s="15"/>
    </row>
    <row r="2426" spans="1:45" s="17" customFormat="1" ht="30.95" hidden="1" customHeight="1" x14ac:dyDescent="0.2">
      <c r="A2426" s="343" t="s">
        <v>1425</v>
      </c>
      <c r="B2426" s="344" t="s">
        <v>1409</v>
      </c>
      <c r="C2426" s="345"/>
      <c r="D2426" s="346"/>
      <c r="E2426" s="346"/>
      <c r="F2426" s="268"/>
      <c r="G2426" s="269"/>
      <c r="H2426" s="269"/>
      <c r="I2426" s="270"/>
      <c r="J2426" s="434" t="s">
        <v>3121</v>
      </c>
      <c r="K2426" s="270"/>
      <c r="L2426" s="270"/>
      <c r="M2426" s="348"/>
      <c r="N2426" s="348"/>
      <c r="O2426" s="435"/>
      <c r="P2426" s="349"/>
      <c r="Q2426" s="350"/>
      <c r="R2426" s="271"/>
      <c r="S2426" s="272"/>
      <c r="T2426" s="273"/>
      <c r="U2426" s="351"/>
      <c r="V2426" s="274"/>
      <c r="W2426" s="269"/>
      <c r="X2426" s="269"/>
      <c r="Y2426" s="275"/>
      <c r="Z2426" s="269"/>
      <c r="AA2426" s="350"/>
      <c r="AB2426" s="207"/>
      <c r="AC2426" s="352"/>
      <c r="AD2426" s="353"/>
      <c r="AE2426" s="54"/>
      <c r="AF2426" s="354"/>
      <c r="AG2426" s="355"/>
      <c r="AH2426" s="349"/>
      <c r="AI2426" s="30"/>
      <c r="AJ2426" s="30"/>
      <c r="AK2426" s="30"/>
      <c r="AL2426" s="30"/>
      <c r="AM2426" s="13"/>
      <c r="AN2426" s="13"/>
      <c r="AO2426" s="13"/>
      <c r="AP2426" s="13"/>
      <c r="AQ2426" s="13"/>
      <c r="AR2426" s="14"/>
      <c r="AS2426" s="15"/>
    </row>
    <row r="2427" spans="1:45" s="17" customFormat="1" ht="30.95" hidden="1" customHeight="1" x14ac:dyDescent="0.2">
      <c r="A2427" s="343"/>
      <c r="B2427" s="344"/>
      <c r="C2427" s="345"/>
      <c r="D2427" s="346"/>
      <c r="E2427" s="346"/>
      <c r="F2427" s="268"/>
      <c r="G2427" s="269"/>
      <c r="H2427" s="269"/>
      <c r="I2427" s="270"/>
      <c r="J2427" s="434"/>
      <c r="K2427" s="270"/>
      <c r="L2427" s="270"/>
      <c r="M2427" s="348"/>
      <c r="N2427" s="348"/>
      <c r="O2427" s="435"/>
      <c r="P2427" s="349"/>
      <c r="Q2427" s="350"/>
      <c r="R2427" s="271"/>
      <c r="S2427" s="272"/>
      <c r="T2427" s="273"/>
      <c r="U2427" s="351"/>
      <c r="V2427" s="274"/>
      <c r="W2427" s="269"/>
      <c r="X2427" s="269"/>
      <c r="Y2427" s="275"/>
      <c r="Z2427" s="269"/>
      <c r="AA2427" s="350"/>
      <c r="AB2427" s="207"/>
      <c r="AC2427" s="352"/>
      <c r="AD2427" s="353"/>
      <c r="AE2427" s="54"/>
      <c r="AF2427" s="354"/>
      <c r="AG2427" s="355"/>
      <c r="AH2427" s="349"/>
      <c r="AI2427" s="30"/>
      <c r="AJ2427" s="30"/>
      <c r="AK2427" s="30"/>
      <c r="AL2427" s="30"/>
      <c r="AM2427" s="13"/>
      <c r="AN2427" s="13"/>
      <c r="AO2427" s="13"/>
      <c r="AP2427" s="13"/>
      <c r="AQ2427" s="13"/>
      <c r="AR2427" s="14"/>
      <c r="AS2427" s="15"/>
    </row>
    <row r="2428" spans="1:45" s="17" customFormat="1" ht="30.95" hidden="1" customHeight="1" x14ac:dyDescent="0.2">
      <c r="A2428" s="343" t="s">
        <v>1426</v>
      </c>
      <c r="B2428" s="344" t="s">
        <v>1397</v>
      </c>
      <c r="C2428" s="345"/>
      <c r="D2428" s="346"/>
      <c r="E2428" s="346"/>
      <c r="F2428" s="268"/>
      <c r="G2428" s="269"/>
      <c r="H2428" s="269"/>
      <c r="I2428" s="270"/>
      <c r="J2428" s="434" t="s">
        <v>448</v>
      </c>
      <c r="K2428" s="270"/>
      <c r="L2428" s="270"/>
      <c r="M2428" s="348"/>
      <c r="N2428" s="348"/>
      <c r="O2428" s="435"/>
      <c r="P2428" s="349"/>
      <c r="Q2428" s="350"/>
      <c r="R2428" s="271"/>
      <c r="S2428" s="272"/>
      <c r="T2428" s="273"/>
      <c r="U2428" s="351"/>
      <c r="V2428" s="274"/>
      <c r="W2428" s="269"/>
      <c r="X2428" s="269"/>
      <c r="Y2428" s="275"/>
      <c r="Z2428" s="269"/>
      <c r="AA2428" s="350"/>
      <c r="AB2428" s="207"/>
      <c r="AC2428" s="352"/>
      <c r="AD2428" s="353"/>
      <c r="AE2428" s="54"/>
      <c r="AF2428" s="354"/>
      <c r="AG2428" s="355"/>
      <c r="AH2428" s="349"/>
      <c r="AI2428" s="30"/>
      <c r="AJ2428" s="30"/>
      <c r="AK2428" s="30"/>
      <c r="AL2428" s="30"/>
      <c r="AM2428" s="13"/>
      <c r="AN2428" s="13"/>
      <c r="AO2428" s="13"/>
      <c r="AP2428" s="13"/>
      <c r="AQ2428" s="13"/>
      <c r="AR2428" s="14"/>
      <c r="AS2428" s="15"/>
    </row>
    <row r="2429" spans="1:45" s="17" customFormat="1" ht="30.95" hidden="1" customHeight="1" x14ac:dyDescent="0.2">
      <c r="A2429" s="343"/>
      <c r="B2429" s="344"/>
      <c r="C2429" s="345"/>
      <c r="D2429" s="346"/>
      <c r="E2429" s="346"/>
      <c r="F2429" s="268"/>
      <c r="G2429" s="269"/>
      <c r="H2429" s="269"/>
      <c r="I2429" s="270"/>
      <c r="J2429" s="434"/>
      <c r="K2429" s="270"/>
      <c r="L2429" s="270"/>
      <c r="M2429" s="348"/>
      <c r="N2429" s="348"/>
      <c r="O2429" s="435"/>
      <c r="P2429" s="349"/>
      <c r="Q2429" s="350"/>
      <c r="R2429" s="271"/>
      <c r="S2429" s="272"/>
      <c r="T2429" s="273"/>
      <c r="U2429" s="351"/>
      <c r="V2429" s="274"/>
      <c r="W2429" s="269"/>
      <c r="X2429" s="269"/>
      <c r="Y2429" s="275"/>
      <c r="Z2429" s="269"/>
      <c r="AA2429" s="350"/>
      <c r="AB2429" s="207"/>
      <c r="AC2429" s="352"/>
      <c r="AD2429" s="353"/>
      <c r="AE2429" s="54"/>
      <c r="AF2429" s="354"/>
      <c r="AG2429" s="355"/>
      <c r="AH2429" s="349"/>
      <c r="AI2429" s="30"/>
      <c r="AJ2429" s="30"/>
      <c r="AK2429" s="30"/>
      <c r="AL2429" s="30"/>
      <c r="AM2429" s="13"/>
      <c r="AN2429" s="13"/>
      <c r="AO2429" s="13"/>
      <c r="AP2429" s="13"/>
      <c r="AQ2429" s="13"/>
      <c r="AR2429" s="14"/>
      <c r="AS2429" s="15"/>
    </row>
    <row r="2430" spans="1:45" s="17" customFormat="1" ht="30.95" hidden="1" customHeight="1" x14ac:dyDescent="0.2">
      <c r="A2430" s="343" t="s">
        <v>3035</v>
      </c>
      <c r="B2430" s="344" t="s">
        <v>392</v>
      </c>
      <c r="C2430" s="345"/>
      <c r="D2430" s="346"/>
      <c r="E2430" s="346"/>
      <c r="F2430" s="268"/>
      <c r="G2430" s="269"/>
      <c r="H2430" s="269"/>
      <c r="I2430" s="270"/>
      <c r="J2430" s="434" t="s">
        <v>448</v>
      </c>
      <c r="K2430" s="270"/>
      <c r="L2430" s="270"/>
      <c r="M2430" s="348"/>
      <c r="N2430" s="348"/>
      <c r="O2430" s="435"/>
      <c r="P2430" s="349"/>
      <c r="Q2430" s="350"/>
      <c r="R2430" s="271"/>
      <c r="S2430" s="272"/>
      <c r="T2430" s="273"/>
      <c r="U2430" s="351"/>
      <c r="V2430" s="274"/>
      <c r="W2430" s="269"/>
      <c r="X2430" s="269"/>
      <c r="Y2430" s="275"/>
      <c r="Z2430" s="269"/>
      <c r="AA2430" s="350"/>
      <c r="AB2430" s="207"/>
      <c r="AC2430" s="352"/>
      <c r="AD2430" s="353"/>
      <c r="AE2430" s="54"/>
      <c r="AF2430" s="354"/>
      <c r="AG2430" s="355"/>
      <c r="AH2430" s="349"/>
      <c r="AI2430" s="30"/>
      <c r="AJ2430" s="30"/>
      <c r="AK2430" s="30"/>
      <c r="AL2430" s="30"/>
      <c r="AM2430" s="13"/>
      <c r="AN2430" s="13"/>
      <c r="AO2430" s="13"/>
      <c r="AP2430" s="13"/>
      <c r="AQ2430" s="13"/>
      <c r="AR2430" s="14"/>
      <c r="AS2430" s="15"/>
    </row>
    <row r="2431" spans="1:45" s="17" customFormat="1" ht="30.95" hidden="1" customHeight="1" x14ac:dyDescent="0.2">
      <c r="A2431" s="343"/>
      <c r="B2431" s="344"/>
      <c r="C2431" s="345"/>
      <c r="D2431" s="346"/>
      <c r="E2431" s="346"/>
      <c r="F2431" s="268"/>
      <c r="G2431" s="269"/>
      <c r="H2431" s="269"/>
      <c r="I2431" s="270"/>
      <c r="J2431" s="434"/>
      <c r="K2431" s="270"/>
      <c r="L2431" s="270"/>
      <c r="M2431" s="348"/>
      <c r="N2431" s="348"/>
      <c r="O2431" s="435"/>
      <c r="P2431" s="349"/>
      <c r="Q2431" s="350"/>
      <c r="R2431" s="271"/>
      <c r="S2431" s="272"/>
      <c r="T2431" s="273"/>
      <c r="U2431" s="351"/>
      <c r="V2431" s="274"/>
      <c r="W2431" s="269"/>
      <c r="X2431" s="269"/>
      <c r="Y2431" s="275"/>
      <c r="Z2431" s="269"/>
      <c r="AA2431" s="350"/>
      <c r="AB2431" s="207"/>
      <c r="AC2431" s="352"/>
      <c r="AD2431" s="353"/>
      <c r="AE2431" s="54"/>
      <c r="AF2431" s="354"/>
      <c r="AG2431" s="355"/>
      <c r="AH2431" s="349"/>
      <c r="AI2431" s="30"/>
      <c r="AJ2431" s="30"/>
      <c r="AK2431" s="30"/>
      <c r="AL2431" s="30"/>
      <c r="AM2431" s="13"/>
      <c r="AN2431" s="13"/>
      <c r="AO2431" s="13"/>
      <c r="AP2431" s="13"/>
      <c r="AQ2431" s="13"/>
      <c r="AR2431" s="14"/>
      <c r="AS2431" s="15"/>
    </row>
    <row r="2432" spans="1:45" s="17" customFormat="1" ht="30.95" hidden="1" customHeight="1" x14ac:dyDescent="0.2">
      <c r="A2432" s="343" t="s">
        <v>3130</v>
      </c>
      <c r="B2432" s="344" t="s">
        <v>462</v>
      </c>
      <c r="C2432" s="345"/>
      <c r="D2432" s="346"/>
      <c r="E2432" s="346"/>
      <c r="F2432" s="268"/>
      <c r="G2432" s="269"/>
      <c r="H2432" s="269"/>
      <c r="I2432" s="270"/>
      <c r="J2432" s="434" t="s">
        <v>3129</v>
      </c>
      <c r="K2432" s="270"/>
      <c r="L2432" s="270"/>
      <c r="M2432" s="348"/>
      <c r="N2432" s="348"/>
      <c r="O2432" s="435"/>
      <c r="P2432" s="349"/>
      <c r="Q2432" s="350"/>
      <c r="R2432" s="271"/>
      <c r="S2432" s="272"/>
      <c r="T2432" s="273"/>
      <c r="U2432" s="351"/>
      <c r="V2432" s="274"/>
      <c r="W2432" s="269"/>
      <c r="X2432" s="269"/>
      <c r="Y2432" s="275"/>
      <c r="Z2432" s="269"/>
      <c r="AA2432" s="350"/>
      <c r="AB2432" s="207"/>
      <c r="AC2432" s="352"/>
      <c r="AD2432" s="353"/>
      <c r="AE2432" s="54"/>
      <c r="AF2432" s="354"/>
      <c r="AG2432" s="355"/>
      <c r="AH2432" s="349"/>
      <c r="AI2432" s="30"/>
      <c r="AJ2432" s="30"/>
      <c r="AK2432" s="30"/>
      <c r="AL2432" s="30"/>
      <c r="AM2432" s="13"/>
      <c r="AN2432" s="13"/>
      <c r="AO2432" s="13"/>
      <c r="AP2432" s="13"/>
      <c r="AQ2432" s="13"/>
      <c r="AR2432" s="14"/>
      <c r="AS2432" s="15"/>
    </row>
    <row r="2433" spans="1:45" s="17" customFormat="1" ht="30.95" hidden="1" customHeight="1" x14ac:dyDescent="0.2">
      <c r="A2433" s="343"/>
      <c r="B2433" s="344"/>
      <c r="C2433" s="345"/>
      <c r="D2433" s="346"/>
      <c r="E2433" s="346"/>
      <c r="F2433" s="268"/>
      <c r="G2433" s="269"/>
      <c r="H2433" s="269"/>
      <c r="I2433" s="270"/>
      <c r="J2433" s="434"/>
      <c r="K2433" s="270"/>
      <c r="L2433" s="270"/>
      <c r="M2433" s="348"/>
      <c r="N2433" s="348"/>
      <c r="O2433" s="435"/>
      <c r="P2433" s="349"/>
      <c r="Q2433" s="350"/>
      <c r="R2433" s="271"/>
      <c r="S2433" s="272"/>
      <c r="T2433" s="273"/>
      <c r="U2433" s="351"/>
      <c r="V2433" s="274"/>
      <c r="W2433" s="269"/>
      <c r="X2433" s="269"/>
      <c r="Y2433" s="275"/>
      <c r="Z2433" s="269"/>
      <c r="AA2433" s="350"/>
      <c r="AB2433" s="207"/>
      <c r="AC2433" s="352"/>
      <c r="AD2433" s="353"/>
      <c r="AE2433" s="54"/>
      <c r="AF2433" s="354"/>
      <c r="AG2433" s="355"/>
      <c r="AH2433" s="349"/>
      <c r="AI2433" s="30"/>
      <c r="AJ2433" s="30"/>
      <c r="AK2433" s="30"/>
      <c r="AL2433" s="30"/>
      <c r="AM2433" s="13"/>
      <c r="AN2433" s="13"/>
      <c r="AO2433" s="13"/>
      <c r="AP2433" s="13"/>
      <c r="AQ2433" s="13"/>
      <c r="AR2433" s="14"/>
      <c r="AS2433" s="15"/>
    </row>
    <row r="2434" spans="1:45" s="17" customFormat="1" ht="30.6" hidden="1" customHeight="1" x14ac:dyDescent="0.2">
      <c r="A2434" s="343"/>
      <c r="B2434" s="344"/>
      <c r="C2434" s="45"/>
      <c r="D2434" s="31">
        <v>3770585</v>
      </c>
      <c r="E2434" s="31">
        <v>4162488</v>
      </c>
      <c r="F2434" s="268" t="str">
        <f>IF(D2434="","",VLOOKUP(D2434,契約台帳!$A$3:$K$4986,6,FALSE)&amp;VLOOKUP(D2434,契約台帳!$A$3:$K$4986,7,FALSE)&amp;VLOOKUP(D2434,契約台帳!$A$3:$K$4986,8,FALSE)&amp;VLOOKUP(D2434,契約台帳!$A$3:$K$4986,9,FALSE)&amp;VLOOKUP(D2434,契約台帳!$A$3:$K$4986,11,FALSE))</f>
        <v>3SNMCLBNGTVB</v>
      </c>
      <c r="G2434" s="269" t="str">
        <f>IF(D2434="","",VLOOKUP(F2434,製品マスタ!$G$5:$H$5002,2,FALSE))</f>
        <v>S</v>
      </c>
      <c r="H2434" s="269" t="str">
        <f>IF(D2434="","",VLOOKUP(F2434,製品マスタ!$G$5:$K$5002,5,FALSE))</f>
        <v>NGTVB</v>
      </c>
      <c r="I2434" s="270" t="str">
        <f>IF(D2434="","",VLOOKUP(F2434,製品マスタ!$G$5:$L$5002,6,FALSE))</f>
        <v>メタルミー　ネーマー　銀艶ＶＢ</v>
      </c>
      <c r="J2434" s="210" t="s">
        <v>935</v>
      </c>
      <c r="K2434" s="270">
        <f>IF(D2434="","",VLOOKUP(D2434,契約台帳!$A$3:$L$4986,12,FALSE))</f>
        <v>50</v>
      </c>
      <c r="L2434" s="270" t="str">
        <f>IF(D2434="","",INDEX(製品マスタ!$Q$5:$Q$5002,MATCH('S4'!F2434&amp;'S4'!K2434,製品マスタ!$AO$5:$AO$5002,0)))</f>
        <v>T62M</v>
      </c>
      <c r="M2434" s="39">
        <v>1150</v>
      </c>
      <c r="N2434" s="39">
        <v>5000</v>
      </c>
      <c r="O2434" s="156">
        <v>2</v>
      </c>
      <c r="P2434" s="47">
        <v>2</v>
      </c>
      <c r="Q2434" s="213">
        <v>45537</v>
      </c>
      <c r="R2434" s="271">
        <f ca="1">IF(D2434="","",IF(OFFSET(D2434,-1,0)&lt;&gt;"","",IF(OR(J2434="リード付け",J2434="巻足し",J2434="巻返しリード付け"),M2434,VLOOKUP(D2434,契約台帳!$A$3:$N$4986,14,FALSE))))</f>
        <v>1150</v>
      </c>
      <c r="S2434" s="272">
        <f ca="1">IF(D2434="","",IF(OFFSET(D2434,-1,0)&lt;&gt;"","",IF(OR(J2434="リード付け",J2434="巻足し",J2434="巻返しリード付け"),M2434,VLOOKUP(D2434,契約台帳!$A$3:$O$4986,15,FALSE))))</f>
        <v>1150</v>
      </c>
      <c r="T2434" s="273">
        <f ca="1">IF(D2434="","",IF(J2434="リード付け",N2434,IF(J2434="巻返しリード付け",N2434,IF(J2434="巻足し",N2434*P2434+OFFSET(N2434,1,0)*OFFSET(P2434,1,0),VLOOKUP(D2434,契約台帳!$A$3:$P$4986,16,FALSE)))))</f>
        <v>10000</v>
      </c>
      <c r="U2434" s="40">
        <v>1</v>
      </c>
      <c r="V2434" s="274">
        <f ca="1">IF(D2434="","",IF(OFFSET(D2434,-2,0)=D2434,"",VLOOKUP(D2434,契約台帳!$A$3:$R$4986,18,FALSE)))</f>
        <v>4</v>
      </c>
      <c r="W2434" s="269" t="str">
        <f ca="1">IF(D2434="","",IF(T2434="","",IF(OR(J2434="巻足し",J2434="巻返しリード付け"),"",IF(J2434="巻返し",VLOOKUP(F2434&amp;K2434&amp;M2434,製品マスタ!$M$5:$AD$5002,18,FALSE),IF(OR(J2434="リード付け",J2434="巻返しリード付け"),"原反コア",IF(J2434="スリット",VLOOKUP(F2434&amp;K2434&amp;R2434,製品マスタ!$N$5:$AD$5002,17,FALSE),""))))))</f>
        <v/>
      </c>
      <c r="X2434" s="269" t="str">
        <f ca="1">IF(D2434="","",IF(T2434="","",IF(J2434="巻足し","",IF(J2434="巻返し",VLOOKUP(F2434&amp;K2434&amp;M2434,製品マスタ!$M$5:$AE$5002,19,FALSE),IF(OR(J2434="リード付け",J2434="巻返しリード付け"),"",IF(J2434="スリット",VLOOKUP(F2434&amp;K2434&amp;R2434,製品マスタ!$N$5:$AE$5002,18,FALSE),""))))))</f>
        <v/>
      </c>
      <c r="Y2434" s="275">
        <f ca="1">IF(D2434="","",IF(T2434="","",VLOOKUP(D2434,契約台帳!$A$3:$Q$4986,17,FALSE)))</f>
        <v>2</v>
      </c>
      <c r="Z2434" s="269" t="str">
        <f ca="1">IF(D2434="","",IF(T2434="","",VLOOKUP(D2434,契約台帳!$A$3:$E$4986,5,FALSE)))</f>
        <v>リンテック㈱</v>
      </c>
      <c r="AA2434" s="57"/>
      <c r="AB2434" s="207">
        <f>IFERROR((VLOOKUP(F2434&amp;K2434&amp;M2434,製品マスタ!$M$5:$AM$5002,27,FALSE)),"")</f>
        <v>0</v>
      </c>
      <c r="AC2434" s="33"/>
      <c r="AD2434" s="189"/>
      <c r="AE2434" s="54"/>
      <c r="AF2434" s="55">
        <f>+M2434*N2434*O2434/1000</f>
        <v>11500</v>
      </c>
      <c r="AG2434" s="43"/>
      <c r="AH2434" s="47"/>
      <c r="AI2434" s="30"/>
      <c r="AJ2434" s="30"/>
      <c r="AK2434" s="30"/>
      <c r="AL2434" s="30"/>
      <c r="AM2434" s="13"/>
      <c r="AN2434" s="13"/>
      <c r="AO2434" s="13"/>
      <c r="AP2434" s="13"/>
      <c r="AQ2434" s="13"/>
      <c r="AR2434" s="14"/>
      <c r="AS2434" s="15"/>
    </row>
    <row r="2435" spans="1:45" s="17" customFormat="1" ht="30.95" hidden="1" customHeight="1" x14ac:dyDescent="0.2">
      <c r="A2435" s="343"/>
      <c r="B2435" s="344"/>
      <c r="C2435" s="345"/>
      <c r="D2435" s="346"/>
      <c r="E2435" s="346"/>
      <c r="F2435" s="268"/>
      <c r="G2435" s="269"/>
      <c r="H2435" s="269"/>
      <c r="I2435" s="270"/>
      <c r="J2435" s="434"/>
      <c r="K2435" s="270"/>
      <c r="L2435" s="270"/>
      <c r="M2435" s="348"/>
      <c r="N2435" s="348"/>
      <c r="O2435" s="435"/>
      <c r="P2435" s="349"/>
      <c r="Q2435" s="350"/>
      <c r="R2435" s="271"/>
      <c r="S2435" s="272"/>
      <c r="T2435" s="273"/>
      <c r="U2435" s="351"/>
      <c r="V2435" s="274"/>
      <c r="W2435" s="269"/>
      <c r="X2435" s="269"/>
      <c r="Y2435" s="275"/>
      <c r="Z2435" s="269"/>
      <c r="AA2435" s="350"/>
      <c r="AB2435" s="207"/>
      <c r="AC2435" s="352"/>
      <c r="AD2435" s="353"/>
      <c r="AE2435" s="54"/>
      <c r="AF2435" s="354"/>
      <c r="AG2435" s="355"/>
      <c r="AH2435" s="349"/>
      <c r="AI2435" s="30"/>
      <c r="AJ2435" s="30"/>
      <c r="AK2435" s="30"/>
      <c r="AL2435" s="30"/>
      <c r="AM2435" s="13"/>
      <c r="AN2435" s="13"/>
      <c r="AO2435" s="13"/>
      <c r="AP2435" s="13"/>
      <c r="AQ2435" s="13"/>
      <c r="AR2435" s="14"/>
      <c r="AS2435" s="15"/>
    </row>
    <row r="2436" spans="1:45" s="17" customFormat="1" ht="30.6" hidden="1" customHeight="1" x14ac:dyDescent="0.2">
      <c r="A2436" s="343"/>
      <c r="B2436" s="344"/>
      <c r="C2436" s="45"/>
      <c r="D2436" s="31">
        <v>3770576</v>
      </c>
      <c r="E2436" s="31">
        <v>4162478</v>
      </c>
      <c r="F2436" s="268" t="str">
        <f>IF(D2436="","",VLOOKUP(D2436,契約台帳!$A$3:$K$4986,6,FALSE)&amp;VLOOKUP(D2436,契約台帳!$A$3:$K$4986,7,FALSE)&amp;VLOOKUP(D2436,契約台帳!$A$3:$K$4986,8,FALSE)&amp;VLOOKUP(D2436,契約台帳!$A$3:$K$4986,9,FALSE)&amp;VLOOKUP(D2436,契約台帳!$A$3:$K$4986,11,FALSE))</f>
        <v>3SYMLBMSNMBF</v>
      </c>
      <c r="G2436" s="269" t="str">
        <f>IF(D2436="","",VLOOKUP(F2436,製品マスタ!$G$5:$H$5002,2,FALSE))</f>
        <v>S</v>
      </c>
      <c r="H2436" s="269" t="str">
        <f>IF(D2436="","",VLOOKUP(F2436,製品マスタ!$G$5:$K$5002,5,FALSE))</f>
        <v>MSNMBF</v>
      </c>
      <c r="I2436" s="270" t="str">
        <f>IF(D2436="","",VLOOKUP(F2436,製品マスタ!$G$5:$L$5002,6,FALSE))</f>
        <v>ＭＥＴＡＬＵＭＹ　ＳＩＬＶＥＲ　Ｎ－ＭＡＴＴＥ　Ｘ４４Ｍ　Ｂ</v>
      </c>
      <c r="J2436" s="210" t="s">
        <v>935</v>
      </c>
      <c r="K2436" s="270">
        <f>IF(D2436="","",VLOOKUP(D2436,契約台帳!$A$3:$L$4986,12,FALSE))</f>
        <v>50</v>
      </c>
      <c r="L2436" s="270" t="str">
        <f>IF(D2436="","",INDEX(製品マスタ!$Q$5:$Q$5002,MATCH('S4'!F2436&amp;'S4'!K2436,製品マスタ!$AO$5:$AO$5002,0)))</f>
        <v>X44</v>
      </c>
      <c r="M2436" s="39">
        <v>1120</v>
      </c>
      <c r="N2436" s="39">
        <v>4000</v>
      </c>
      <c r="O2436" s="156">
        <v>9</v>
      </c>
      <c r="P2436" s="47">
        <v>3</v>
      </c>
      <c r="Q2436" s="213">
        <v>45537</v>
      </c>
      <c r="R2436" s="271">
        <f ca="1">IF(D2436="","",IF(OFFSET(D2436,-1,0)&lt;&gt;"","",IF(OR(J2436="リード付け",J2436="巻足し",J2436="巻返しリード付け"),M2436,VLOOKUP(D2436,契約台帳!$A$3:$N$4986,14,FALSE))))</f>
        <v>1120</v>
      </c>
      <c r="S2436" s="272">
        <f ca="1">IF(D2436="","",IF(OFFSET(D2436,-1,0)&lt;&gt;"","",IF(OR(J2436="リード付け",J2436="巻足し",J2436="巻返しリード付け"),M2436,VLOOKUP(D2436,契約台帳!$A$3:$O$4986,15,FALSE))))</f>
        <v>1120</v>
      </c>
      <c r="T2436" s="273">
        <f ca="1">IF(D2436="","",IF(J2436="リード付け",N2436,IF(J2436="巻返しリード付け",N2436,IF(J2436="巻足し",N2436*P2436+OFFSET(N2436,1,0)*OFFSET(P2436,1,0),VLOOKUP(D2436,契約台帳!$A$3:$P$4986,16,FALSE)))))</f>
        <v>12000</v>
      </c>
      <c r="U2436" s="40">
        <v>3</v>
      </c>
      <c r="V2436" s="274">
        <f ca="1">IF(D2436="","",IF(OFFSET(D2436,-2,0)=D2436,"",VLOOKUP(D2436,契約台帳!$A$3:$R$4986,18,FALSE)))</f>
        <v>9</v>
      </c>
      <c r="W2436" s="269" t="str">
        <f ca="1">IF(D2436="","",IF(T2436="","",IF(OR(J2436="巻足し",J2436="巻返しリード付け"),"",IF(J2436="巻返し",VLOOKUP(F2436&amp;K2436&amp;M2436,製品マスタ!$M$5:$AD$5002,18,FALSE),IF(OR(J2436="リード付け",J2436="巻返しリード付け"),"原反コア",IF(J2436="スリット",VLOOKUP(F2436&amp;K2436&amp;R2436,製品マスタ!$N$5:$AD$5002,17,FALSE),""))))))</f>
        <v/>
      </c>
      <c r="X2436" s="269" t="str">
        <f ca="1">IF(D2436="","",IF(T2436="","",IF(J2436="巻足し","",IF(J2436="巻返し",VLOOKUP(F2436&amp;K2436&amp;M2436,製品マスタ!$M$5:$AE$5002,19,FALSE),IF(OR(J2436="リード付け",J2436="巻返しリード付け"),"",IF(J2436="スリット",VLOOKUP(F2436&amp;K2436&amp;R2436,製品マスタ!$N$5:$AE$5002,18,FALSE),""))))))</f>
        <v/>
      </c>
      <c r="Y2436" s="275">
        <f ca="1">IF(D2436="","",IF(T2436="","",VLOOKUP(D2436,契約台帳!$A$3:$Q$4986,17,FALSE)))</f>
        <v>2</v>
      </c>
      <c r="Z2436" s="269" t="str">
        <f ca="1">IF(D2436="","",IF(T2436="","",VLOOKUP(D2436,契約台帳!$A$3:$E$4986,5,FALSE)))</f>
        <v>リンテック㈱</v>
      </c>
      <c r="AA2436" s="57"/>
      <c r="AB2436" s="207">
        <f>IFERROR((VLOOKUP(F2436&amp;K2436&amp;M2436,製品マスタ!$M$5:$AM$5002,27,FALSE)),"")</f>
        <v>0</v>
      </c>
      <c r="AC2436" s="33"/>
      <c r="AD2436" s="189"/>
      <c r="AE2436" s="54"/>
      <c r="AF2436" s="55">
        <f>+M2436*N2436*O2436/1000</f>
        <v>40320</v>
      </c>
      <c r="AG2436" s="43"/>
      <c r="AH2436" s="47"/>
      <c r="AI2436" s="30"/>
      <c r="AJ2436" s="30"/>
      <c r="AK2436" s="30"/>
      <c r="AL2436" s="30"/>
      <c r="AM2436" s="13"/>
      <c r="AN2436" s="13"/>
      <c r="AO2436" s="13"/>
      <c r="AP2436" s="13"/>
      <c r="AQ2436" s="13"/>
      <c r="AR2436" s="14"/>
      <c r="AS2436" s="15"/>
    </row>
    <row r="2437" spans="1:45" s="17" customFormat="1" ht="30.95" hidden="1" customHeight="1" x14ac:dyDescent="0.2">
      <c r="A2437" s="343"/>
      <c r="B2437" s="344"/>
      <c r="C2437" s="345"/>
      <c r="D2437" s="346"/>
      <c r="E2437" s="346"/>
      <c r="F2437" s="268"/>
      <c r="G2437" s="269"/>
      <c r="H2437" s="269"/>
      <c r="I2437" s="270"/>
      <c r="J2437" s="434"/>
      <c r="K2437" s="270"/>
      <c r="L2437" s="270"/>
      <c r="M2437" s="348"/>
      <c r="N2437" s="348"/>
      <c r="O2437" s="435"/>
      <c r="P2437" s="349"/>
      <c r="Q2437" s="350"/>
      <c r="R2437" s="271"/>
      <c r="S2437" s="272"/>
      <c r="T2437" s="273"/>
      <c r="U2437" s="351"/>
      <c r="V2437" s="274"/>
      <c r="W2437" s="269"/>
      <c r="X2437" s="269"/>
      <c r="Y2437" s="275"/>
      <c r="Z2437" s="269"/>
      <c r="AA2437" s="350"/>
      <c r="AB2437" s="207"/>
      <c r="AC2437" s="352"/>
      <c r="AD2437" s="353"/>
      <c r="AE2437" s="54"/>
      <c r="AF2437" s="354"/>
      <c r="AG2437" s="355"/>
      <c r="AH2437" s="349"/>
      <c r="AI2437" s="30"/>
      <c r="AJ2437" s="30"/>
      <c r="AK2437" s="30"/>
      <c r="AL2437" s="30"/>
      <c r="AM2437" s="13"/>
      <c r="AN2437" s="13"/>
      <c r="AO2437" s="13"/>
      <c r="AP2437" s="13"/>
      <c r="AQ2437" s="13"/>
      <c r="AR2437" s="14"/>
      <c r="AS2437" s="15"/>
    </row>
    <row r="2438" spans="1:45" s="17" customFormat="1" ht="30.6" hidden="1" customHeight="1" x14ac:dyDescent="0.2">
      <c r="A2438" s="343" t="s">
        <v>548</v>
      </c>
      <c r="B2438" s="344" t="s">
        <v>688</v>
      </c>
      <c r="C2438" s="45"/>
      <c r="D2438" s="31">
        <v>3770577</v>
      </c>
      <c r="E2438" s="31">
        <v>4262479</v>
      </c>
      <c r="F2438" s="268" t="str">
        <f>IF(D2438="","",VLOOKUP(D2438,契約台帳!$A$3:$K$4986,6,FALSE)&amp;VLOOKUP(D2438,契約台帳!$A$3:$K$4986,7,FALSE)&amp;VLOOKUP(D2438,契約台帳!$A$3:$K$4986,8,FALSE)&amp;VLOOKUP(D2438,契約台帳!$A$3:$K$4986,9,FALSE)&amp;VLOOKUP(D2438,契約台帳!$A$3:$K$4986,11,FALSE))</f>
        <v>3SYMLBMSNMBF</v>
      </c>
      <c r="G2438" s="269" t="str">
        <f>IF(D2438="","",VLOOKUP(F2438,製品マスタ!$G$5:$H$5002,2,FALSE))</f>
        <v>S</v>
      </c>
      <c r="H2438" s="269" t="str">
        <f>IF(D2438="","",VLOOKUP(F2438,製品マスタ!$G$5:$K$5002,5,FALSE))</f>
        <v>MSNMBF</v>
      </c>
      <c r="I2438" s="270" t="str">
        <f>IF(D2438="","",VLOOKUP(F2438,製品マスタ!$G$5:$L$5002,6,FALSE))</f>
        <v>ＭＥＴＡＬＵＭＹ　ＳＩＬＶＥＲ　Ｎ－ＭＡＴＴＥ　Ｘ４４Ｍ　Ｂ</v>
      </c>
      <c r="J2438" s="210" t="s">
        <v>935</v>
      </c>
      <c r="K2438" s="270">
        <f>IF(D2438="","",VLOOKUP(D2438,契約台帳!$A$3:$L$4986,12,FALSE))</f>
        <v>50</v>
      </c>
      <c r="L2438" s="270" t="str">
        <f>IF(D2438="","",INDEX(製品マスタ!$Q$5:$Q$5002,MATCH('S4'!F2438&amp;'S4'!K2438,製品マスタ!$AO$5:$AO$5002,0)))</f>
        <v>X44</v>
      </c>
      <c r="M2438" s="39">
        <v>1120</v>
      </c>
      <c r="N2438" s="39">
        <v>4000</v>
      </c>
      <c r="O2438" s="156">
        <v>6</v>
      </c>
      <c r="P2438" s="47">
        <v>3</v>
      </c>
      <c r="Q2438" s="213">
        <v>45537</v>
      </c>
      <c r="R2438" s="271">
        <f ca="1">IF(D2438="","",IF(OFFSET(D2438,-1,0)&lt;&gt;"","",IF(OR(J2438="リード付け",J2438="巻足し",J2438="巻返しリード付け"),M2438,VLOOKUP(D2438,契約台帳!$A$3:$N$4986,14,FALSE))))</f>
        <v>1120</v>
      </c>
      <c r="S2438" s="272">
        <f ca="1">IF(D2438="","",IF(OFFSET(D2438,-1,0)&lt;&gt;"","",IF(OR(J2438="リード付け",J2438="巻足し",J2438="巻返しリード付け"),M2438,VLOOKUP(D2438,契約台帳!$A$3:$O$4986,15,FALSE))))</f>
        <v>1120</v>
      </c>
      <c r="T2438" s="273">
        <f ca="1">IF(D2438="","",IF(J2438="リード付け",N2438,IF(J2438="巻返しリード付け",N2438,IF(J2438="巻足し",N2438*P2438+OFFSET(N2438,1,0)*OFFSET(P2438,1,0),VLOOKUP(D2438,契約台帳!$A$3:$P$4986,16,FALSE)))))</f>
        <v>12000</v>
      </c>
      <c r="U2438" s="40">
        <v>2</v>
      </c>
      <c r="V2438" s="274">
        <f ca="1">IF(D2438="","",IF(OFFSET(D2438,-2,0)=D2438,"",VLOOKUP(D2438,契約台帳!$A$3:$R$4986,18,FALSE)))</f>
        <v>10</v>
      </c>
      <c r="W2438" s="269" t="str">
        <f ca="1">IF(D2438="","",IF(T2438="","",IF(OR(J2438="巻足し",J2438="巻返しリード付け"),"",IF(J2438="巻返し",VLOOKUP(F2438&amp;K2438&amp;M2438,製品マスタ!$M$5:$AD$5002,18,FALSE),IF(OR(J2438="リード付け",J2438="巻返しリード付け"),"原反コア",IF(J2438="スリット",VLOOKUP(F2438&amp;K2438&amp;R2438,製品マスタ!$N$5:$AD$5002,17,FALSE),""))))))</f>
        <v/>
      </c>
      <c r="X2438" s="269" t="str">
        <f ca="1">IF(D2438="","",IF(T2438="","",IF(J2438="巻足し","",IF(J2438="巻返し",VLOOKUP(F2438&amp;K2438&amp;M2438,製品マスタ!$M$5:$AE$5002,19,FALSE),IF(OR(J2438="リード付け",J2438="巻返しリード付け"),"",IF(J2438="スリット",VLOOKUP(F2438&amp;K2438&amp;R2438,製品マスタ!$N$5:$AE$5002,18,FALSE),""))))))</f>
        <v/>
      </c>
      <c r="Y2438" s="275">
        <f ca="1">IF(D2438="","",IF(T2438="","",VLOOKUP(D2438,契約台帳!$A$3:$Q$4986,17,FALSE)))</f>
        <v>2</v>
      </c>
      <c r="Z2438" s="269" t="str">
        <f ca="1">IF(D2438="","",IF(T2438="","",VLOOKUP(D2438,契約台帳!$A$3:$E$4986,5,FALSE)))</f>
        <v>リンテック㈱</v>
      </c>
      <c r="AA2438" s="57"/>
      <c r="AB2438" s="207">
        <f>IFERROR((VLOOKUP(F2438&amp;K2438&amp;M2438,製品マスタ!$M$5:$AM$5002,27,FALSE)),"")</f>
        <v>0</v>
      </c>
      <c r="AC2438" s="33"/>
      <c r="AD2438" s="189"/>
      <c r="AE2438" s="54"/>
      <c r="AF2438" s="55">
        <f>+M2438*N2438*O2438/1000</f>
        <v>26880</v>
      </c>
      <c r="AG2438" s="43"/>
      <c r="AH2438" s="47"/>
      <c r="AI2438" s="30"/>
      <c r="AJ2438" s="30"/>
      <c r="AK2438" s="30"/>
      <c r="AL2438" s="30"/>
      <c r="AM2438" s="13"/>
      <c r="AN2438" s="13"/>
      <c r="AO2438" s="13"/>
      <c r="AP2438" s="13"/>
      <c r="AQ2438" s="13"/>
      <c r="AR2438" s="14"/>
      <c r="AS2438" s="15"/>
    </row>
    <row r="2439" spans="1:45" s="17" customFormat="1" ht="30.95" hidden="1" customHeight="1" x14ac:dyDescent="0.2">
      <c r="A2439" s="343"/>
      <c r="B2439" s="344"/>
      <c r="C2439" s="345"/>
      <c r="D2439" s="346"/>
      <c r="E2439" s="346"/>
      <c r="F2439" s="268"/>
      <c r="G2439" s="269"/>
      <c r="H2439" s="269"/>
      <c r="I2439" s="270"/>
      <c r="J2439" s="434"/>
      <c r="K2439" s="270"/>
      <c r="L2439" s="270"/>
      <c r="M2439" s="348"/>
      <c r="N2439" s="348"/>
      <c r="O2439" s="435"/>
      <c r="P2439" s="349"/>
      <c r="Q2439" s="350"/>
      <c r="R2439" s="271"/>
      <c r="S2439" s="272"/>
      <c r="T2439" s="273"/>
      <c r="U2439" s="351"/>
      <c r="V2439" s="274"/>
      <c r="W2439" s="269"/>
      <c r="X2439" s="269"/>
      <c r="Y2439" s="275"/>
      <c r="Z2439" s="269"/>
      <c r="AA2439" s="350"/>
      <c r="AB2439" s="207"/>
      <c r="AC2439" s="352"/>
      <c r="AD2439" s="353"/>
      <c r="AE2439" s="54"/>
      <c r="AF2439" s="354"/>
      <c r="AG2439" s="355"/>
      <c r="AH2439" s="349"/>
      <c r="AI2439" s="30"/>
      <c r="AJ2439" s="30"/>
      <c r="AK2439" s="30"/>
      <c r="AL2439" s="30"/>
      <c r="AM2439" s="13"/>
      <c r="AN2439" s="13"/>
      <c r="AO2439" s="13"/>
      <c r="AP2439" s="13"/>
      <c r="AQ2439" s="13"/>
      <c r="AR2439" s="14"/>
      <c r="AS2439" s="15"/>
    </row>
    <row r="2440" spans="1:45" s="17" customFormat="1" ht="30.6" hidden="1" customHeight="1" x14ac:dyDescent="0.2">
      <c r="A2440" s="343"/>
      <c r="B2440" s="344"/>
      <c r="C2440" s="45"/>
      <c r="D2440" s="31">
        <v>3770577</v>
      </c>
      <c r="E2440" s="31">
        <v>4162479</v>
      </c>
      <c r="F2440" s="268" t="str">
        <f>IF(D2440="","",VLOOKUP(D2440,契約台帳!$A$3:$K$4986,6,FALSE)&amp;VLOOKUP(D2440,契約台帳!$A$3:$K$4986,7,FALSE)&amp;VLOOKUP(D2440,契約台帳!$A$3:$K$4986,8,FALSE)&amp;VLOOKUP(D2440,契約台帳!$A$3:$K$4986,9,FALSE)&amp;VLOOKUP(D2440,契約台帳!$A$3:$K$4986,11,FALSE))</f>
        <v>3SYMLBMSNMBF</v>
      </c>
      <c r="G2440" s="269" t="str">
        <f>IF(D2440="","",VLOOKUP(F2440,製品マスタ!$G$5:$H$5002,2,FALSE))</f>
        <v>S</v>
      </c>
      <c r="H2440" s="269" t="str">
        <f>IF(D2440="","",VLOOKUP(F2440,製品マスタ!$G$5:$K$5002,5,FALSE))</f>
        <v>MSNMBF</v>
      </c>
      <c r="I2440" s="270" t="str">
        <f>IF(D2440="","",VLOOKUP(F2440,製品マスタ!$G$5:$L$5002,6,FALSE))</f>
        <v>ＭＥＴＡＬＵＭＹ　ＳＩＬＶＥＲ　Ｎ－ＭＡＴＴＥ　Ｘ４４Ｍ　Ｂ</v>
      </c>
      <c r="J2440" s="210" t="s">
        <v>935</v>
      </c>
      <c r="K2440" s="270">
        <f>IF(D2440="","",VLOOKUP(D2440,契約台帳!$A$3:$L$4986,12,FALSE))</f>
        <v>50</v>
      </c>
      <c r="L2440" s="270" t="str">
        <f>IF(D2440="","",INDEX(製品マスタ!$Q$5:$Q$5002,MATCH('S4'!F2440&amp;'S4'!K2440,製品マスタ!$AO$5:$AO$5002,0)))</f>
        <v>X44</v>
      </c>
      <c r="M2440" s="39">
        <v>1120</v>
      </c>
      <c r="N2440" s="39">
        <v>4000</v>
      </c>
      <c r="O2440" s="156">
        <v>4</v>
      </c>
      <c r="P2440" s="47">
        <v>2</v>
      </c>
      <c r="Q2440" s="213">
        <v>45537</v>
      </c>
      <c r="R2440" s="271">
        <f ca="1">IF(D2440="","",IF(OFFSET(D2440,-1,0)&lt;&gt;"","",IF(OR(J2440="リード付け",J2440="巻足し",J2440="巻返しリード付け"),M2440,VLOOKUP(D2440,契約台帳!$A$3:$N$4986,14,FALSE))))</f>
        <v>1120</v>
      </c>
      <c r="S2440" s="272">
        <f ca="1">IF(D2440="","",IF(OFFSET(D2440,-1,0)&lt;&gt;"","",IF(OR(J2440="リード付け",J2440="巻足し",J2440="巻返しリード付け"),M2440,VLOOKUP(D2440,契約台帳!$A$3:$O$4986,15,FALSE))))</f>
        <v>1120</v>
      </c>
      <c r="T2440" s="273">
        <f ca="1">IF(D2440="","",IF(J2440="リード付け",N2440,IF(J2440="巻返しリード付け",N2440,IF(J2440="巻足し",N2440*P2440+OFFSET(N2440,1,0)*OFFSET(P2440,1,0),VLOOKUP(D2440,契約台帳!$A$3:$P$4986,16,FALSE)))))</f>
        <v>8000</v>
      </c>
      <c r="U2440" s="40">
        <v>2</v>
      </c>
      <c r="V2440" s="274" t="str">
        <f ca="1">IF(D2440="","",IF(OFFSET(D2440,-2,0)=D2440,"",VLOOKUP(D2440,契約台帳!$A$3:$R$4986,18,FALSE)))</f>
        <v/>
      </c>
      <c r="W2440" s="269" t="str">
        <f ca="1">IF(D2440="","",IF(T2440="","",IF(OR(J2440="巻足し",J2440="巻返しリード付け"),"",IF(J2440="巻返し",VLOOKUP(F2440&amp;K2440&amp;M2440,製品マスタ!$M$5:$AD$5002,18,FALSE),IF(OR(J2440="リード付け",J2440="巻返しリード付け"),"原反コア",IF(J2440="スリット",VLOOKUP(F2440&amp;K2440&amp;R2440,製品マスタ!$N$5:$AD$5002,17,FALSE),""))))))</f>
        <v/>
      </c>
      <c r="X2440" s="269" t="str">
        <f ca="1">IF(D2440="","",IF(T2440="","",IF(J2440="巻足し","",IF(J2440="巻返し",VLOOKUP(F2440&amp;K2440&amp;M2440,製品マスタ!$M$5:$AE$5002,19,FALSE),IF(OR(J2440="リード付け",J2440="巻返しリード付け"),"",IF(J2440="スリット",VLOOKUP(F2440&amp;K2440&amp;R2440,製品マスタ!$N$5:$AE$5002,18,FALSE),""))))))</f>
        <v/>
      </c>
      <c r="Y2440" s="275">
        <f ca="1">IF(D2440="","",IF(T2440="","",VLOOKUP(D2440,契約台帳!$A$3:$Q$4986,17,FALSE)))</f>
        <v>2</v>
      </c>
      <c r="Z2440" s="269" t="str">
        <f ca="1">IF(D2440="","",IF(T2440="","",VLOOKUP(D2440,契約台帳!$A$3:$E$4986,5,FALSE)))</f>
        <v>リンテック㈱</v>
      </c>
      <c r="AA2440" s="57"/>
      <c r="AB2440" s="207">
        <f>IFERROR((VLOOKUP(F2440&amp;K2440&amp;M2440,製品マスタ!$M$5:$AM$5002,27,FALSE)),"")</f>
        <v>0</v>
      </c>
      <c r="AC2440" s="33"/>
      <c r="AD2440" s="189"/>
      <c r="AE2440" s="54"/>
      <c r="AF2440" s="55">
        <f>+M2440*N2440*O2440/1000</f>
        <v>17920</v>
      </c>
      <c r="AG2440" s="43"/>
      <c r="AH2440" s="47"/>
      <c r="AI2440" s="30"/>
      <c r="AJ2440" s="30"/>
      <c r="AK2440" s="30"/>
      <c r="AL2440" s="30"/>
      <c r="AM2440" s="13"/>
      <c r="AN2440" s="13"/>
      <c r="AO2440" s="13"/>
      <c r="AP2440" s="13"/>
      <c r="AQ2440" s="13"/>
      <c r="AR2440" s="14"/>
      <c r="AS2440" s="15"/>
    </row>
    <row r="2441" spans="1:45" s="17" customFormat="1" ht="30.95" hidden="1" customHeight="1" x14ac:dyDescent="0.2">
      <c r="A2441" s="343"/>
      <c r="B2441" s="344"/>
      <c r="C2441" s="345"/>
      <c r="D2441" s="346"/>
      <c r="E2441" s="346"/>
      <c r="F2441" s="268"/>
      <c r="G2441" s="269"/>
      <c r="H2441" s="269"/>
      <c r="I2441" s="270"/>
      <c r="J2441" s="434"/>
      <c r="K2441" s="270"/>
      <c r="L2441" s="270"/>
      <c r="M2441" s="348"/>
      <c r="N2441" s="348"/>
      <c r="O2441" s="435"/>
      <c r="P2441" s="349"/>
      <c r="Q2441" s="350"/>
      <c r="R2441" s="271"/>
      <c r="S2441" s="272"/>
      <c r="T2441" s="273"/>
      <c r="U2441" s="351"/>
      <c r="V2441" s="274"/>
      <c r="W2441" s="269"/>
      <c r="X2441" s="269"/>
      <c r="Y2441" s="275"/>
      <c r="Z2441" s="269"/>
      <c r="AA2441" s="350"/>
      <c r="AB2441" s="207"/>
      <c r="AC2441" s="352"/>
      <c r="AD2441" s="353"/>
      <c r="AE2441" s="54"/>
      <c r="AF2441" s="354"/>
      <c r="AG2441" s="355"/>
      <c r="AH2441" s="349"/>
      <c r="AI2441" s="30"/>
      <c r="AJ2441" s="30"/>
      <c r="AK2441" s="30"/>
      <c r="AL2441" s="30"/>
      <c r="AM2441" s="13"/>
      <c r="AN2441" s="13"/>
      <c r="AO2441" s="13"/>
      <c r="AP2441" s="13"/>
      <c r="AQ2441" s="13"/>
      <c r="AR2441" s="14"/>
      <c r="AS2441" s="15"/>
    </row>
    <row r="2442" spans="1:45" s="17" customFormat="1" ht="30.6" hidden="1" customHeight="1" x14ac:dyDescent="0.2">
      <c r="A2442" s="343"/>
      <c r="B2442" s="344"/>
      <c r="C2442" s="45"/>
      <c r="D2442" s="31">
        <v>3770574</v>
      </c>
      <c r="E2442" s="31">
        <v>4162480</v>
      </c>
      <c r="F2442" s="268" t="str">
        <f>IF(D2442="","",VLOOKUP(D2442,契約台帳!$A$3:$K$4986,6,FALSE)&amp;VLOOKUP(D2442,契約台帳!$A$3:$K$4986,7,FALSE)&amp;VLOOKUP(D2442,契約台帳!$A$3:$K$4986,8,FALSE)&amp;VLOOKUP(D2442,契約台帳!$A$3:$K$4986,9,FALSE)&amp;VLOOKUP(D2442,契約台帳!$A$3:$K$4986,11,FALSE))</f>
        <v>3SYMLBMSSMBZF</v>
      </c>
      <c r="G2442" s="269" t="str">
        <f>IF(D2442="","",VLOOKUP(F2442,製品マスタ!$G$5:$H$5002,2,FALSE))</f>
        <v>S</v>
      </c>
      <c r="H2442" s="269" t="str">
        <f>IF(D2442="","",VLOOKUP(F2442,製品マスタ!$G$5:$K$5002,5,FALSE))</f>
        <v>MSSMBZF</v>
      </c>
      <c r="I2442" s="270" t="str">
        <f>IF(D2442="","",VLOOKUP(F2442,製品マスタ!$G$5:$L$5002,6,FALSE))</f>
        <v>ＭＥＴＡＬＵＭＹ　ＳＩＬＶＥＲ　Ｓ－ＭＡＴＴＥ　Ｂ</v>
      </c>
      <c r="J2442" s="210" t="s">
        <v>935</v>
      </c>
      <c r="K2442" s="270">
        <f>IF(D2442="","",VLOOKUP(D2442,契約台帳!$A$3:$L$4986,12,FALSE))</f>
        <v>50</v>
      </c>
      <c r="L2442" s="270" t="str">
        <f>IF(D2442="","",INDEX(製品マスタ!$Q$5:$Q$5002,MATCH('S4'!F2442&amp;'S4'!K2442,製品マスタ!$AO$5:$AO$5002,0)))</f>
        <v>LI-MAT</v>
      </c>
      <c r="M2442" s="39">
        <v>1120</v>
      </c>
      <c r="N2442" s="39">
        <v>4000</v>
      </c>
      <c r="O2442" s="156">
        <v>6</v>
      </c>
      <c r="P2442" s="47">
        <v>3</v>
      </c>
      <c r="Q2442" s="213">
        <v>45538</v>
      </c>
      <c r="R2442" s="271">
        <f ca="1">IF(D2442="","",IF(OFFSET(D2442,-1,0)&lt;&gt;"","",IF(OR(J2442="リード付け",J2442="巻足し",J2442="巻返しリード付け"),M2442,VLOOKUP(D2442,契約台帳!$A$3:$N$4986,14,FALSE))))</f>
        <v>1120</v>
      </c>
      <c r="S2442" s="272">
        <f ca="1">IF(D2442="","",IF(OFFSET(D2442,-1,0)&lt;&gt;"","",IF(OR(J2442="リード付け",J2442="巻足し",J2442="巻返しリード付け"),M2442,VLOOKUP(D2442,契約台帳!$A$3:$O$4986,15,FALSE))))</f>
        <v>1120</v>
      </c>
      <c r="T2442" s="273">
        <f ca="1">IF(D2442="","",IF(J2442="リード付け",N2442,IF(J2442="巻返しリード付け",N2442,IF(J2442="巻足し",N2442*P2442+OFFSET(N2442,1,0)*OFFSET(P2442,1,0),VLOOKUP(D2442,契約台帳!$A$3:$P$4986,16,FALSE)))))</f>
        <v>12000</v>
      </c>
      <c r="U2442" s="40">
        <v>2</v>
      </c>
      <c r="V2442" s="274">
        <f ca="1">IF(D2442="","",IF(OFFSET(D2442,-2,0)=D2442,"",VLOOKUP(D2442,契約台帳!$A$3:$R$4986,18,FALSE)))</f>
        <v>6</v>
      </c>
      <c r="W2442" s="269" t="str">
        <f ca="1">IF(D2442="","",IF(T2442="","",IF(OR(J2442="巻足し",J2442="巻返しリード付け"),"",IF(J2442="巻返し",VLOOKUP(F2442&amp;K2442&amp;M2442,製品マスタ!$M$5:$AD$5002,18,FALSE),IF(OR(J2442="リード付け",J2442="巻返しリード付け"),"原反コア",IF(J2442="スリット",VLOOKUP(F2442&amp;K2442&amp;R2442,製品マスタ!$N$5:$AD$5002,17,FALSE),""))))))</f>
        <v/>
      </c>
      <c r="X2442" s="269" t="str">
        <f ca="1">IF(D2442="","",IF(T2442="","",IF(J2442="巻足し","",IF(J2442="巻返し",VLOOKUP(F2442&amp;K2442&amp;M2442,製品マスタ!$M$5:$AE$5002,19,FALSE),IF(OR(J2442="リード付け",J2442="巻返しリード付け"),"",IF(J2442="スリット",VLOOKUP(F2442&amp;K2442&amp;R2442,製品マスタ!$N$5:$AE$5002,18,FALSE),""))))))</f>
        <v/>
      </c>
      <c r="Y2442" s="275">
        <f ca="1">IF(D2442="","",IF(T2442="","",VLOOKUP(D2442,契約台帳!$A$3:$Q$4986,17,FALSE)))</f>
        <v>2</v>
      </c>
      <c r="Z2442" s="269" t="str">
        <f ca="1">IF(D2442="","",IF(T2442="","",VLOOKUP(D2442,契約台帳!$A$3:$E$4986,5,FALSE)))</f>
        <v>リンテック㈱</v>
      </c>
      <c r="AA2442" s="57"/>
      <c r="AB2442" s="207">
        <f>IFERROR((VLOOKUP(F2442&amp;K2442&amp;M2442,製品マスタ!$M$5:$AM$5002,27,FALSE)),"")</f>
        <v>0</v>
      </c>
      <c r="AC2442" s="33"/>
      <c r="AD2442" s="189"/>
      <c r="AE2442" s="54"/>
      <c r="AF2442" s="55">
        <f>+M2442*N2442*O2442/1000</f>
        <v>26880</v>
      </c>
      <c r="AG2442" s="43"/>
      <c r="AH2442" s="47"/>
      <c r="AI2442" s="30"/>
      <c r="AJ2442" s="30"/>
      <c r="AK2442" s="30"/>
      <c r="AL2442" s="30"/>
      <c r="AM2442" s="13"/>
      <c r="AN2442" s="13"/>
      <c r="AO2442" s="13"/>
      <c r="AP2442" s="13"/>
      <c r="AQ2442" s="13"/>
      <c r="AR2442" s="14"/>
      <c r="AS2442" s="15"/>
    </row>
    <row r="2443" spans="1:45" s="17" customFormat="1" ht="30.95" hidden="1" customHeight="1" x14ac:dyDescent="0.2">
      <c r="A2443" s="343"/>
      <c r="B2443" s="344"/>
      <c r="C2443" s="345"/>
      <c r="D2443" s="346"/>
      <c r="E2443" s="346"/>
      <c r="F2443" s="268"/>
      <c r="G2443" s="269"/>
      <c r="H2443" s="269"/>
      <c r="I2443" s="270"/>
      <c r="J2443" s="434"/>
      <c r="K2443" s="270"/>
      <c r="L2443" s="270"/>
      <c r="M2443" s="348"/>
      <c r="N2443" s="348"/>
      <c r="O2443" s="435"/>
      <c r="P2443" s="349"/>
      <c r="Q2443" s="350"/>
      <c r="R2443" s="271"/>
      <c r="S2443" s="272"/>
      <c r="T2443" s="273"/>
      <c r="U2443" s="351"/>
      <c r="V2443" s="274"/>
      <c r="W2443" s="269"/>
      <c r="X2443" s="269"/>
      <c r="Y2443" s="275"/>
      <c r="Z2443" s="269"/>
      <c r="AA2443" s="350"/>
      <c r="AB2443" s="207"/>
      <c r="AC2443" s="352"/>
      <c r="AD2443" s="353"/>
      <c r="AE2443" s="54"/>
      <c r="AF2443" s="354"/>
      <c r="AG2443" s="355"/>
      <c r="AH2443" s="349"/>
      <c r="AI2443" s="30"/>
      <c r="AJ2443" s="30"/>
      <c r="AK2443" s="30"/>
      <c r="AL2443" s="30"/>
      <c r="AM2443" s="13"/>
      <c r="AN2443" s="13"/>
      <c r="AO2443" s="13"/>
      <c r="AP2443" s="13"/>
      <c r="AQ2443" s="13"/>
      <c r="AR2443" s="14"/>
      <c r="AS2443" s="15"/>
    </row>
    <row r="2444" spans="1:45" s="17" customFormat="1" ht="30.6" hidden="1" customHeight="1" x14ac:dyDescent="0.2">
      <c r="A2444" s="343" t="s">
        <v>3153</v>
      </c>
      <c r="B2444" s="344" t="s">
        <v>442</v>
      </c>
      <c r="C2444" s="45"/>
      <c r="D2444" s="31">
        <v>3770575</v>
      </c>
      <c r="E2444" s="31">
        <v>4162476</v>
      </c>
      <c r="F2444" s="268" t="str">
        <f>IF(D2444="","",VLOOKUP(D2444,契約台帳!$A$3:$K$4986,6,FALSE)&amp;VLOOKUP(D2444,契約台帳!$A$3:$K$4986,7,FALSE)&amp;VLOOKUP(D2444,契約台帳!$A$3:$K$4986,8,FALSE)&amp;VLOOKUP(D2444,契約台帳!$A$3:$K$4986,9,FALSE)&amp;VLOOKUP(D2444,契約台帳!$A$3:$K$4986,11,FALSE))</f>
        <v>3SYMLBMSBBF</v>
      </c>
      <c r="G2444" s="269" t="str">
        <f>IF(D2444="","",VLOOKUP(F2444,製品マスタ!$G$5:$H$5002,2,FALSE))</f>
        <v>S</v>
      </c>
      <c r="H2444" s="269" t="str">
        <f>IF(D2444="","",VLOOKUP(F2444,製品マスタ!$G$5:$K$5002,5,FALSE))</f>
        <v>MSBBF</v>
      </c>
      <c r="I2444" s="270" t="str">
        <f>IF(D2444="","",VLOOKUP(F2444,製品マスタ!$G$5:$L$5002,6,FALSE))</f>
        <v>ＭＥＴＡＬＵＭＹ　ＳＩＬＶＥＲ　ＢＲＩＧＨＴ　Ｔ６２Ｍ　Ｂ</v>
      </c>
      <c r="J2444" s="210" t="s">
        <v>935</v>
      </c>
      <c r="K2444" s="270">
        <f>IF(D2444="","",VLOOKUP(D2444,契約台帳!$A$3:$L$4986,12,FALSE))</f>
        <v>25</v>
      </c>
      <c r="L2444" s="270" t="str">
        <f>IF(D2444="","",INDEX(製品マスタ!$Q$5:$Q$5002,MATCH('S4'!F2444&amp;'S4'!K2444,製品マスタ!$AO$5:$AO$5002,0)))</f>
        <v>T62</v>
      </c>
      <c r="M2444" s="39">
        <v>1120</v>
      </c>
      <c r="N2444" s="39">
        <v>8000</v>
      </c>
      <c r="O2444" s="156">
        <v>4</v>
      </c>
      <c r="P2444" s="47">
        <v>2</v>
      </c>
      <c r="Q2444" s="213">
        <v>45537</v>
      </c>
      <c r="R2444" s="271">
        <f ca="1">IF(D2444="","",IF(OFFSET(D2444,-1,0)&lt;&gt;"","",IF(OR(J2444="リード付け",J2444="巻足し",J2444="巻返しリード付け"),M2444,VLOOKUP(D2444,契約台帳!$A$3:$N$4986,14,FALSE))))</f>
        <v>1120</v>
      </c>
      <c r="S2444" s="272">
        <f ca="1">IF(D2444="","",IF(OFFSET(D2444,-1,0)&lt;&gt;"","",IF(OR(J2444="リード付け",J2444="巻足し",J2444="巻返しリード付け"),M2444,VLOOKUP(D2444,契約台帳!$A$3:$O$4986,15,FALSE))))</f>
        <v>1120</v>
      </c>
      <c r="T2444" s="273">
        <f ca="1">IF(D2444="","",IF(J2444="リード付け",N2444,IF(J2444="巻返しリード付け",N2444,IF(J2444="巻足し",N2444*P2444+OFFSET(N2444,1,0)*OFFSET(P2444,1,0),VLOOKUP(D2444,契約台帳!$A$3:$P$4986,16,FALSE)))))</f>
        <v>16000</v>
      </c>
      <c r="U2444" s="40">
        <v>2</v>
      </c>
      <c r="V2444" s="274">
        <f ca="1">IF(D2444="","",IF(OFFSET(D2444,-2,0)=D2444,"",VLOOKUP(D2444,契約台帳!$A$3:$R$4986,18,FALSE)))</f>
        <v>4</v>
      </c>
      <c r="W2444" s="269" t="str">
        <f ca="1">IF(D2444="","",IF(T2444="","",IF(OR(J2444="巻足し",J2444="巻返しリード付け"),"",IF(J2444="巻返し",VLOOKUP(F2444&amp;K2444&amp;M2444,製品マスタ!$M$5:$AD$5002,18,FALSE),IF(OR(J2444="リード付け",J2444="巻返しリード付け"),"原反コア",IF(J2444="スリット",VLOOKUP(F2444&amp;K2444&amp;R2444,製品マスタ!$N$5:$AD$5002,17,FALSE),""))))))</f>
        <v/>
      </c>
      <c r="X2444" s="269" t="str">
        <f ca="1">IF(D2444="","",IF(T2444="","",IF(J2444="巻足し","",IF(J2444="巻返し",VLOOKUP(F2444&amp;K2444&amp;M2444,製品マスタ!$M$5:$AE$5002,19,FALSE),IF(OR(J2444="リード付け",J2444="巻返しリード付け"),"",IF(J2444="スリット",VLOOKUP(F2444&amp;K2444&amp;R2444,製品マスタ!$N$5:$AE$5002,18,FALSE),""))))))</f>
        <v/>
      </c>
      <c r="Y2444" s="275">
        <f ca="1">IF(D2444="","",IF(T2444="","",VLOOKUP(D2444,契約台帳!$A$3:$Q$4986,17,FALSE)))</f>
        <v>2</v>
      </c>
      <c r="Z2444" s="269" t="str">
        <f ca="1">IF(D2444="","",IF(T2444="","",VLOOKUP(D2444,契約台帳!$A$3:$E$4986,5,FALSE)))</f>
        <v>リンテック㈱</v>
      </c>
      <c r="AA2444" s="57"/>
      <c r="AB2444" s="207">
        <f>IFERROR((VLOOKUP(F2444&amp;K2444&amp;M2444,製品マスタ!$M$5:$AM$5002,27,FALSE)),"")</f>
        <v>0</v>
      </c>
      <c r="AC2444" s="33"/>
      <c r="AD2444" s="189"/>
      <c r="AE2444" s="54"/>
      <c r="AF2444" s="55">
        <f>+M2444*N2444*O2444/1000</f>
        <v>35840</v>
      </c>
      <c r="AG2444" s="43"/>
      <c r="AH2444" s="47"/>
      <c r="AI2444" s="30"/>
      <c r="AJ2444" s="30"/>
      <c r="AK2444" s="30"/>
      <c r="AL2444" s="30"/>
      <c r="AM2444" s="13"/>
      <c r="AN2444" s="13"/>
      <c r="AO2444" s="13"/>
      <c r="AP2444" s="13"/>
      <c r="AQ2444" s="13"/>
      <c r="AR2444" s="14"/>
      <c r="AS2444" s="15"/>
    </row>
    <row r="2445" spans="1:45" s="17" customFormat="1" ht="30.95" hidden="1" customHeight="1" x14ac:dyDescent="0.2">
      <c r="A2445" s="343"/>
      <c r="B2445" s="344"/>
      <c r="C2445" s="345"/>
      <c r="D2445" s="346"/>
      <c r="E2445" s="346"/>
      <c r="F2445" s="268"/>
      <c r="G2445" s="269"/>
      <c r="H2445" s="269"/>
      <c r="I2445" s="270"/>
      <c r="J2445" s="434"/>
      <c r="K2445" s="270"/>
      <c r="L2445" s="270"/>
      <c r="M2445" s="348"/>
      <c r="N2445" s="348"/>
      <c r="O2445" s="435"/>
      <c r="P2445" s="349"/>
      <c r="Q2445" s="350"/>
      <c r="R2445" s="271"/>
      <c r="S2445" s="272"/>
      <c r="T2445" s="273"/>
      <c r="U2445" s="351"/>
      <c r="V2445" s="274"/>
      <c r="W2445" s="269"/>
      <c r="X2445" s="269"/>
      <c r="Y2445" s="275"/>
      <c r="Z2445" s="269"/>
      <c r="AA2445" s="350"/>
      <c r="AB2445" s="207"/>
      <c r="AC2445" s="352"/>
      <c r="AD2445" s="353"/>
      <c r="AE2445" s="54"/>
      <c r="AF2445" s="354"/>
      <c r="AG2445" s="355"/>
      <c r="AH2445" s="349"/>
      <c r="AI2445" s="30"/>
      <c r="AJ2445" s="30"/>
      <c r="AK2445" s="30"/>
      <c r="AL2445" s="30"/>
      <c r="AM2445" s="13"/>
      <c r="AN2445" s="13"/>
      <c r="AO2445" s="13"/>
      <c r="AP2445" s="13"/>
      <c r="AQ2445" s="13"/>
      <c r="AR2445" s="14"/>
      <c r="AS2445" s="15"/>
    </row>
    <row r="2446" spans="1:45" s="17" customFormat="1" ht="30.6" hidden="1" customHeight="1" x14ac:dyDescent="0.2">
      <c r="A2446" s="343"/>
      <c r="B2446" s="344"/>
      <c r="C2446" s="45"/>
      <c r="D2446" s="31">
        <v>3770593</v>
      </c>
      <c r="E2446" s="31">
        <v>4162487</v>
      </c>
      <c r="F2446" s="268" t="str">
        <f>IF(D2446="","",VLOOKUP(D2446,契約台帳!$A$3:$K$4986,6,FALSE)&amp;VLOOKUP(D2446,契約台帳!$A$3:$K$4986,7,FALSE)&amp;VLOOKUP(D2446,契約台帳!$A$3:$K$4986,8,FALSE)&amp;VLOOKUP(D2446,契約台帳!$A$3:$K$4986,9,FALSE)&amp;VLOOKUP(D2446,契約台帳!$A$3:$K$4986,11,FALSE))</f>
        <v>3SNMLBMNQR66F</v>
      </c>
      <c r="G2446" s="269" t="str">
        <f>IF(D2446="","",VLOOKUP(F2446,製品マスタ!$G$5:$H$5002,2,FALSE))</f>
        <v>S</v>
      </c>
      <c r="H2446" s="269" t="str">
        <f>IF(D2446="","",VLOOKUP(F2446,製品マスタ!$G$5:$K$5002,5,FALSE))</f>
        <v>MNQR66F</v>
      </c>
      <c r="I2446" s="270" t="str">
        <f>IF(D2446="","",VLOOKUP(F2446,製品マスタ!$G$5:$L$5002,6,FALSE))</f>
        <v>ＱＲ６６蒸着品</v>
      </c>
      <c r="J2446" s="210" t="s">
        <v>935</v>
      </c>
      <c r="K2446" s="270">
        <f>IF(D2446="","",VLOOKUP(D2446,契約台帳!$A$3:$L$4986,12,FALSE))</f>
        <v>25</v>
      </c>
      <c r="L2446" s="270" t="str">
        <f>IF(D2446="","",INDEX(製品マスタ!$Q$5:$Q$5002,MATCH('S4'!F2446&amp;'S4'!K2446,製品マスタ!$AO$5:$AO$5002,0)))</f>
        <v>E315</v>
      </c>
      <c r="M2446" s="39">
        <v>1100</v>
      </c>
      <c r="N2446" s="39">
        <v>6000</v>
      </c>
      <c r="O2446" s="156">
        <v>12</v>
      </c>
      <c r="P2446" s="47">
        <v>3</v>
      </c>
      <c r="Q2446" s="213">
        <v>45538</v>
      </c>
      <c r="R2446" s="271">
        <f ca="1">IF(D2446="","",IF(OFFSET(D2446,-1,0)&lt;&gt;"","",IF(OR(J2446="リード付け",J2446="巻足し",J2446="巻返しリード付け"),M2446,VLOOKUP(D2446,契約台帳!$A$3:$N$4986,14,FALSE))))</f>
        <v>1100</v>
      </c>
      <c r="S2446" s="272">
        <f ca="1">IF(D2446="","",IF(OFFSET(D2446,-1,0)&lt;&gt;"","",IF(OR(J2446="リード付け",J2446="巻足し",J2446="巻返しリード付け"),M2446,VLOOKUP(D2446,契約台帳!$A$3:$O$4986,15,FALSE))))</f>
        <v>1100</v>
      </c>
      <c r="T2446" s="273">
        <f ca="1">IF(D2446="","",IF(J2446="リード付け",N2446,IF(J2446="巻返しリード付け",N2446,IF(J2446="巻足し",N2446*P2446+OFFSET(N2446,1,0)*OFFSET(P2446,1,0),VLOOKUP(D2446,契約台帳!$A$3:$P$4986,16,FALSE)))))</f>
        <v>18000</v>
      </c>
      <c r="U2446" s="40">
        <v>4</v>
      </c>
      <c r="V2446" s="274">
        <f ca="1">IF(D2446="","",IF(OFFSET(D2446,-2,0)=D2446,"",VLOOKUP(D2446,契約台帳!$A$3:$R$4986,18,FALSE)))</f>
        <v>12</v>
      </c>
      <c r="W2446" s="269" t="str">
        <f ca="1">IF(D2446="","",IF(T2446="","",IF(OR(J2446="巻足し",J2446="巻返しリード付け"),"",IF(J2446="巻返し",VLOOKUP(F2446&amp;K2446&amp;M2446,製品マスタ!$M$5:$AD$5002,18,FALSE),IF(OR(J2446="リード付け",J2446="巻返しリード付け"),"原反コア",IF(J2446="スリット",VLOOKUP(F2446&amp;K2446&amp;R2446,製品マスタ!$N$5:$AD$5002,17,FALSE),""))))))</f>
        <v/>
      </c>
      <c r="X2446" s="269" t="str">
        <f ca="1">IF(D2446="","",IF(T2446="","",IF(J2446="巻足し","",IF(J2446="巻返し",VLOOKUP(F2446&amp;K2446&amp;M2446,製品マスタ!$M$5:$AE$5002,19,FALSE),IF(OR(J2446="リード付け",J2446="巻返しリード付け"),"",IF(J2446="スリット",VLOOKUP(F2446&amp;K2446&amp;R2446,製品マスタ!$N$5:$AE$5002,18,FALSE),""))))))</f>
        <v/>
      </c>
      <c r="Y2446" s="275">
        <f ca="1">IF(D2446="","",IF(T2446="","",VLOOKUP(D2446,契約台帳!$A$3:$Q$4986,17,FALSE)))</f>
        <v>2</v>
      </c>
      <c r="Z2446" s="269" t="str">
        <f ca="1">IF(D2446="","",IF(T2446="","",VLOOKUP(D2446,契約台帳!$A$3:$E$4986,5,FALSE)))</f>
        <v>リンテック㈱</v>
      </c>
      <c r="AA2446" s="57"/>
      <c r="AB2446" s="207" t="str">
        <f>IFERROR((VLOOKUP(F2446&amp;K2446&amp;M2446,製品マスタ!$M$5:$AM$5002,27,FALSE)),"")</f>
        <v>原反ケース再利用</v>
      </c>
      <c r="AC2446" s="33"/>
      <c r="AD2446" s="189"/>
      <c r="AE2446" s="54"/>
      <c r="AF2446" s="55">
        <f>+M2446*N2446*O2446/1000</f>
        <v>79200</v>
      </c>
      <c r="AG2446" s="43"/>
      <c r="AH2446" s="47"/>
      <c r="AI2446" s="30"/>
      <c r="AJ2446" s="30"/>
      <c r="AK2446" s="30"/>
      <c r="AL2446" s="30"/>
      <c r="AM2446" s="13"/>
      <c r="AN2446" s="13"/>
      <c r="AO2446" s="13"/>
      <c r="AP2446" s="13"/>
      <c r="AQ2446" s="13"/>
      <c r="AR2446" s="14"/>
      <c r="AS2446" s="15"/>
    </row>
    <row r="2447" spans="1:45" s="17" customFormat="1" ht="30.95" hidden="1" customHeight="1" x14ac:dyDescent="0.2">
      <c r="A2447" s="343"/>
      <c r="B2447" s="344"/>
      <c r="C2447" s="345"/>
      <c r="D2447" s="346"/>
      <c r="E2447" s="346"/>
      <c r="F2447" s="268"/>
      <c r="G2447" s="269"/>
      <c r="H2447" s="269"/>
      <c r="I2447" s="270"/>
      <c r="J2447" s="434"/>
      <c r="K2447" s="270"/>
      <c r="L2447" s="270"/>
      <c r="M2447" s="348"/>
      <c r="N2447" s="348"/>
      <c r="O2447" s="435"/>
      <c r="P2447" s="349"/>
      <c r="Q2447" s="350"/>
      <c r="R2447" s="271"/>
      <c r="S2447" s="272"/>
      <c r="T2447" s="273"/>
      <c r="U2447" s="351"/>
      <c r="V2447" s="274"/>
      <c r="W2447" s="269"/>
      <c r="X2447" s="269"/>
      <c r="Y2447" s="275"/>
      <c r="Z2447" s="269"/>
      <c r="AA2447" s="350"/>
      <c r="AB2447" s="207"/>
      <c r="AC2447" s="352"/>
      <c r="AD2447" s="353"/>
      <c r="AE2447" s="54"/>
      <c r="AF2447" s="354"/>
      <c r="AG2447" s="355"/>
      <c r="AH2447" s="349"/>
      <c r="AI2447" s="30"/>
      <c r="AJ2447" s="30"/>
      <c r="AK2447" s="30"/>
      <c r="AL2447" s="30"/>
      <c r="AM2447" s="13"/>
      <c r="AN2447" s="13"/>
      <c r="AO2447" s="13"/>
      <c r="AP2447" s="13"/>
      <c r="AQ2447" s="13"/>
      <c r="AR2447" s="14"/>
      <c r="AS2447" s="15"/>
    </row>
    <row r="2448" spans="1:45" s="17" customFormat="1" ht="30.6" hidden="1" customHeight="1" x14ac:dyDescent="0.2">
      <c r="A2448" s="343" t="s">
        <v>3116</v>
      </c>
      <c r="B2448" s="344" t="s">
        <v>3117</v>
      </c>
      <c r="C2448" s="45"/>
      <c r="D2448" s="31">
        <v>3770588</v>
      </c>
      <c r="E2448" s="31">
        <v>4162464</v>
      </c>
      <c r="F2448" s="268" t="str">
        <f>IF(D2448="","",VLOOKUP(D2448,契約台帳!$A$3:$K$4986,6,FALSE)&amp;VLOOKUP(D2448,契約台帳!$A$3:$K$4986,7,FALSE)&amp;VLOOKUP(D2448,契約台帳!$A$3:$K$4986,8,FALSE)&amp;VLOOKUP(D2448,契約台帳!$A$3:$K$4986,9,FALSE)&amp;VLOOKUP(D2448,契約台帳!$A$3:$K$4986,11,FALSE))</f>
        <v>33SSNMCLBTEKKFV</v>
      </c>
      <c r="G2448" s="269" t="str">
        <f>IF(D2448="","",VLOOKUP(F2448,製品マスタ!$G$5:$H$5002,2,FALSE))</f>
        <v>S</v>
      </c>
      <c r="H2448" s="269" t="str">
        <f>IF(D2448="","",VLOOKUP(F2448,製品マスタ!$G$5:$K$5002,5,FALSE))</f>
        <v>TEKKFV</v>
      </c>
      <c r="I2448" s="270" t="str">
        <f>IF(D2448="","",VLOOKUP(F2448,製品マスタ!$G$5:$L$5002,6,FALSE))</f>
        <v>メタルミー　ＴＥＳ消開封　Ｖ</v>
      </c>
      <c r="J2448" s="210" t="s">
        <v>935</v>
      </c>
      <c r="K2448" s="270">
        <f>IF(D2448="","",VLOOKUP(D2448,契約台帳!$A$3:$L$4986,12,FALSE))</f>
        <v>50</v>
      </c>
      <c r="L2448" s="270" t="str">
        <f>IF(D2448="","",INDEX(製品マスタ!$Q$5:$Q$5002,MATCH('S4'!F2448&amp;'S4'!K2448,製品マスタ!$AO$5:$AO$5002,0)))</f>
        <v>X44SEPA</v>
      </c>
      <c r="M2448" s="39">
        <v>1005</v>
      </c>
      <c r="N2448" s="39">
        <v>4000</v>
      </c>
      <c r="O2448" s="156">
        <v>3</v>
      </c>
      <c r="P2448" s="47">
        <v>3</v>
      </c>
      <c r="Q2448" s="213">
        <v>45538</v>
      </c>
      <c r="R2448" s="271">
        <f ca="1">IF(D2448="","",IF(OFFSET(D2448,-1,0)&lt;&gt;"","",IF(OR(J2448="リード付け",J2448="巻足し",J2448="巻返しリード付け"),M2448,VLOOKUP(D2448,契約台帳!$A$3:$N$4986,14,FALSE))))</f>
        <v>1005</v>
      </c>
      <c r="S2448" s="272">
        <f ca="1">IF(D2448="","",IF(OFFSET(D2448,-1,0)&lt;&gt;"","",IF(OR(J2448="リード付け",J2448="巻足し",J2448="巻返しリード付け"),M2448,VLOOKUP(D2448,契約台帳!$A$3:$O$4986,15,FALSE))))</f>
        <v>1005</v>
      </c>
      <c r="T2448" s="273">
        <f ca="1">IF(D2448="","",IF(J2448="リード付け",N2448,IF(J2448="巻返しリード付け",N2448,IF(J2448="巻足し",N2448*P2448+OFFSET(N2448,1,0)*OFFSET(P2448,1,0),VLOOKUP(D2448,契約台帳!$A$3:$P$4986,16,FALSE)))))</f>
        <v>12000</v>
      </c>
      <c r="U2448" s="40">
        <v>1</v>
      </c>
      <c r="V2448" s="274">
        <f ca="1">IF(D2448="","",IF(OFFSET(D2448,-2,0)=D2448,"",VLOOKUP(D2448,契約台帳!$A$3:$R$4986,18,FALSE)))</f>
        <v>3</v>
      </c>
      <c r="W2448" s="269" t="str">
        <f ca="1">IF(D2448="","",IF(T2448="","",IF(OR(J2448="巻足し",J2448="巻返しリード付け"),"",IF(J2448="巻返し",VLOOKUP(F2448&amp;K2448&amp;M2448,製品マスタ!$M$5:$AD$5002,18,FALSE),IF(OR(J2448="リード付け",J2448="巻返しリード付け"),"原反コア",IF(J2448="スリット",VLOOKUP(F2448&amp;K2448&amp;R2448,製品マスタ!$N$5:$AD$5002,17,FALSE),""))))))</f>
        <v/>
      </c>
      <c r="X2448" s="269" t="str">
        <f ca="1">IF(D2448="","",IF(T2448="","",IF(J2448="巻足し","",IF(J2448="巻返し",VLOOKUP(F2448&amp;K2448&amp;M2448,製品マスタ!$M$5:$AE$5002,19,FALSE),IF(OR(J2448="リード付け",J2448="巻返しリード付け"),"",IF(J2448="スリット",VLOOKUP(F2448&amp;K2448&amp;R2448,製品マスタ!$N$5:$AE$5002,18,FALSE),""))))))</f>
        <v/>
      </c>
      <c r="Y2448" s="275">
        <f ca="1">IF(D2448="","",IF(T2448="","",VLOOKUP(D2448,契約台帳!$A$3:$Q$4986,17,FALSE)))</f>
        <v>2</v>
      </c>
      <c r="Z2448" s="269" t="str">
        <f ca="1">IF(D2448="","",IF(T2448="","",VLOOKUP(D2448,契約台帳!$A$3:$E$4986,5,FALSE)))</f>
        <v>リンテック㈱</v>
      </c>
      <c r="AA2448" s="57"/>
      <c r="AB2448" s="207">
        <f>IFERROR((VLOOKUP(F2448&amp;K2448&amp;M2448,製品マスタ!$M$5:$AM$5002,27,FALSE)),"")</f>
        <v>0</v>
      </c>
      <c r="AC2448" s="33"/>
      <c r="AD2448" s="189"/>
      <c r="AE2448" s="54"/>
      <c r="AF2448" s="55">
        <f>+M2448*N2448*O2448/1000</f>
        <v>12060</v>
      </c>
      <c r="AG2448" s="43"/>
      <c r="AH2448" s="47"/>
      <c r="AI2448" s="30"/>
      <c r="AJ2448" s="30"/>
      <c r="AK2448" s="30"/>
      <c r="AL2448" s="30"/>
      <c r="AM2448" s="13"/>
      <c r="AN2448" s="13"/>
      <c r="AO2448" s="13"/>
      <c r="AP2448" s="13"/>
      <c r="AQ2448" s="13"/>
      <c r="AR2448" s="14"/>
      <c r="AS2448" s="15"/>
    </row>
    <row r="2449" spans="1:45" s="17" customFormat="1" ht="30.95" hidden="1" customHeight="1" x14ac:dyDescent="0.2">
      <c r="A2449" s="343"/>
      <c r="B2449" s="344"/>
      <c r="C2449" s="345"/>
      <c r="D2449" s="346"/>
      <c r="E2449" s="346"/>
      <c r="F2449" s="268"/>
      <c r="G2449" s="269"/>
      <c r="H2449" s="269"/>
      <c r="I2449" s="270"/>
      <c r="J2449" s="434"/>
      <c r="K2449" s="270"/>
      <c r="L2449" s="270"/>
      <c r="M2449" s="348"/>
      <c r="N2449" s="348"/>
      <c r="O2449" s="435"/>
      <c r="P2449" s="349"/>
      <c r="Q2449" s="350"/>
      <c r="R2449" s="271"/>
      <c r="S2449" s="272"/>
      <c r="T2449" s="273"/>
      <c r="U2449" s="351"/>
      <c r="V2449" s="274"/>
      <c r="W2449" s="269"/>
      <c r="X2449" s="269"/>
      <c r="Y2449" s="275"/>
      <c r="Z2449" s="269"/>
      <c r="AA2449" s="350"/>
      <c r="AB2449" s="207"/>
      <c r="AC2449" s="352"/>
      <c r="AD2449" s="353"/>
      <c r="AE2449" s="54"/>
      <c r="AF2449" s="354"/>
      <c r="AG2449" s="355"/>
      <c r="AH2449" s="349"/>
      <c r="AI2449" s="30"/>
      <c r="AJ2449" s="30"/>
      <c r="AK2449" s="30"/>
      <c r="AL2449" s="30"/>
      <c r="AM2449" s="13"/>
      <c r="AN2449" s="13"/>
      <c r="AO2449" s="13"/>
      <c r="AP2449" s="13"/>
      <c r="AQ2449" s="13"/>
      <c r="AR2449" s="14"/>
      <c r="AS2449" s="15"/>
    </row>
    <row r="2450" spans="1:45" s="17" customFormat="1" ht="30.6" hidden="1" customHeight="1" x14ac:dyDescent="0.2">
      <c r="A2450" s="343"/>
      <c r="B2450" s="344"/>
      <c r="C2450" s="45"/>
      <c r="D2450" s="31">
        <v>3770589</v>
      </c>
      <c r="E2450" s="31">
        <v>4162465</v>
      </c>
      <c r="F2450" s="268" t="str">
        <f>IF(D2450="","",VLOOKUP(D2450,契約台帳!$A$3:$K$4986,6,FALSE)&amp;VLOOKUP(D2450,契約台帳!$A$3:$K$4986,7,FALSE)&amp;VLOOKUP(D2450,契約台帳!$A$3:$K$4986,8,FALSE)&amp;VLOOKUP(D2450,契約台帳!$A$3:$K$4986,9,FALSE)&amp;VLOOKUP(D2450,契約台帳!$A$3:$K$4986,11,FALSE))</f>
        <v>33SSNMCLBTEKV0V</v>
      </c>
      <c r="G2450" s="269" t="str">
        <f>IF(D2450="","",VLOOKUP(F2450,製品マスタ!$G$5:$H$5002,2,FALSE))</f>
        <v>S</v>
      </c>
      <c r="H2450" s="269" t="str">
        <f>IF(D2450="","",VLOOKUP(F2450,製品マスタ!$G$5:$K$5002,5,FALSE))</f>
        <v>TEKV0V</v>
      </c>
      <c r="I2450" s="270" t="str">
        <f>IF(D2450="","",VLOOKUP(F2450,製品マスタ!$G$5:$L$5002,6,FALSE))</f>
        <v>メタルミー　ＴＥ－Ｓ消　ＶＯＩＤ　Ｖ</v>
      </c>
      <c r="J2450" s="210" t="s">
        <v>935</v>
      </c>
      <c r="K2450" s="270">
        <f>IF(D2450="","",VLOOKUP(D2450,契約台帳!$A$3:$L$4986,12,FALSE))</f>
        <v>50</v>
      </c>
      <c r="L2450" s="270" t="str">
        <f>IF(D2450="","",INDEX(製品マスタ!$Q$5:$Q$5002,MATCH('S4'!F2450&amp;'S4'!K2450,製品マスタ!$AO$5:$AO$5002,0)))</f>
        <v>X44SEPA</v>
      </c>
      <c r="M2450" s="39">
        <v>1005</v>
      </c>
      <c r="N2450" s="39">
        <v>4000</v>
      </c>
      <c r="O2450" s="156">
        <v>3</v>
      </c>
      <c r="P2450" s="47">
        <v>3</v>
      </c>
      <c r="Q2450" s="213">
        <v>45538</v>
      </c>
      <c r="R2450" s="271">
        <f ca="1">IF(D2450="","",IF(OFFSET(D2450,-1,0)&lt;&gt;"","",IF(OR(J2450="リード付け",J2450="巻足し",J2450="巻返しリード付け"),M2450,VLOOKUP(D2450,契約台帳!$A$3:$N$4986,14,FALSE))))</f>
        <v>1005</v>
      </c>
      <c r="S2450" s="272">
        <f ca="1">IF(D2450="","",IF(OFFSET(D2450,-1,0)&lt;&gt;"","",IF(OR(J2450="リード付け",J2450="巻足し",J2450="巻返しリード付け"),M2450,VLOOKUP(D2450,契約台帳!$A$3:$O$4986,15,FALSE))))</f>
        <v>1005</v>
      </c>
      <c r="T2450" s="273">
        <f ca="1">IF(D2450="","",IF(J2450="リード付け",N2450,IF(J2450="巻返しリード付け",N2450,IF(J2450="巻足し",N2450*P2450+OFFSET(N2450,1,0)*OFFSET(P2450,1,0),VLOOKUP(D2450,契約台帳!$A$3:$P$4986,16,FALSE)))))</f>
        <v>12000</v>
      </c>
      <c r="U2450" s="40">
        <v>1</v>
      </c>
      <c r="V2450" s="274">
        <f ca="1">IF(D2450="","",IF(OFFSET(D2450,-2,0)=D2450,"",VLOOKUP(D2450,契約台帳!$A$3:$R$4986,18,FALSE)))</f>
        <v>3</v>
      </c>
      <c r="W2450" s="269" t="str">
        <f ca="1">IF(D2450="","",IF(T2450="","",IF(OR(J2450="巻足し",J2450="巻返しリード付け"),"",IF(J2450="巻返し",VLOOKUP(F2450&amp;K2450&amp;M2450,製品マスタ!$M$5:$AD$5002,18,FALSE),IF(OR(J2450="リード付け",J2450="巻返しリード付け"),"原反コア",IF(J2450="スリット",VLOOKUP(F2450&amp;K2450&amp;R2450,製品マスタ!$N$5:$AD$5002,17,FALSE),""))))))</f>
        <v/>
      </c>
      <c r="X2450" s="269" t="str">
        <f ca="1">IF(D2450="","",IF(T2450="","",IF(J2450="巻足し","",IF(J2450="巻返し",VLOOKUP(F2450&amp;K2450&amp;M2450,製品マスタ!$M$5:$AE$5002,19,FALSE),IF(OR(J2450="リード付け",J2450="巻返しリード付け"),"",IF(J2450="スリット",VLOOKUP(F2450&amp;K2450&amp;R2450,製品マスタ!$N$5:$AE$5002,18,FALSE),""))))))</f>
        <v/>
      </c>
      <c r="Y2450" s="275">
        <f ca="1">IF(D2450="","",IF(T2450="","",VLOOKUP(D2450,契約台帳!$A$3:$Q$4986,17,FALSE)))</f>
        <v>2</v>
      </c>
      <c r="Z2450" s="269" t="str">
        <f ca="1">IF(D2450="","",IF(T2450="","",VLOOKUP(D2450,契約台帳!$A$3:$E$4986,5,FALSE)))</f>
        <v>リンテック㈱</v>
      </c>
      <c r="AA2450" s="57"/>
      <c r="AB2450" s="207">
        <f>IFERROR((VLOOKUP(F2450&amp;K2450&amp;M2450,製品マスタ!$M$5:$AM$5002,27,FALSE)),"")</f>
        <v>0</v>
      </c>
      <c r="AC2450" s="33"/>
      <c r="AD2450" s="189"/>
      <c r="AE2450" s="54"/>
      <c r="AF2450" s="55">
        <f>+M2450*N2450*O2450/1000</f>
        <v>12060</v>
      </c>
      <c r="AG2450" s="43"/>
      <c r="AH2450" s="47"/>
      <c r="AI2450" s="30"/>
      <c r="AJ2450" s="30"/>
      <c r="AK2450" s="30"/>
      <c r="AL2450" s="30"/>
      <c r="AM2450" s="13"/>
      <c r="AN2450" s="13"/>
      <c r="AO2450" s="13"/>
      <c r="AP2450" s="13"/>
      <c r="AQ2450" s="13"/>
      <c r="AR2450" s="14"/>
      <c r="AS2450" s="15"/>
    </row>
    <row r="2451" spans="1:45" s="17" customFormat="1" ht="30.95" hidden="1" customHeight="1" x14ac:dyDescent="0.2">
      <c r="A2451" s="343"/>
      <c r="B2451" s="344"/>
      <c r="C2451" s="345"/>
      <c r="D2451" s="346"/>
      <c r="E2451" s="346"/>
      <c r="F2451" s="268"/>
      <c r="G2451" s="269"/>
      <c r="H2451" s="269"/>
      <c r="I2451" s="270"/>
      <c r="J2451" s="434"/>
      <c r="K2451" s="270"/>
      <c r="L2451" s="270"/>
      <c r="M2451" s="348"/>
      <c r="N2451" s="348"/>
      <c r="O2451" s="435"/>
      <c r="P2451" s="349"/>
      <c r="Q2451" s="350"/>
      <c r="R2451" s="271"/>
      <c r="S2451" s="272"/>
      <c r="T2451" s="273"/>
      <c r="U2451" s="351"/>
      <c r="V2451" s="274"/>
      <c r="W2451" s="269"/>
      <c r="X2451" s="269"/>
      <c r="Y2451" s="275"/>
      <c r="Z2451" s="269"/>
      <c r="AA2451" s="350"/>
      <c r="AB2451" s="207"/>
      <c r="AC2451" s="352"/>
      <c r="AD2451" s="353"/>
      <c r="AE2451" s="54"/>
      <c r="AF2451" s="354"/>
      <c r="AG2451" s="355"/>
      <c r="AH2451" s="349"/>
      <c r="AI2451" s="30"/>
      <c r="AJ2451" s="30"/>
      <c r="AK2451" s="30"/>
      <c r="AL2451" s="30"/>
      <c r="AM2451" s="13"/>
      <c r="AN2451" s="13"/>
      <c r="AO2451" s="13"/>
      <c r="AP2451" s="13"/>
      <c r="AQ2451" s="13"/>
      <c r="AR2451" s="14"/>
      <c r="AS2451" s="15"/>
    </row>
    <row r="2452" spans="1:45" s="17" customFormat="1" ht="30.6" hidden="1" customHeight="1" x14ac:dyDescent="0.2">
      <c r="A2452" s="343"/>
      <c r="B2452" s="344"/>
      <c r="C2452" s="45"/>
      <c r="D2452" s="31">
        <v>3770590</v>
      </c>
      <c r="E2452" s="31">
        <v>4162466</v>
      </c>
      <c r="F2452" s="268" t="str">
        <f>IF(D2452="","",VLOOKUP(D2452,契約台帳!$A$3:$K$4986,6,FALSE)&amp;VLOOKUP(D2452,契約台帳!$A$3:$K$4986,7,FALSE)&amp;VLOOKUP(D2452,契約台帳!$A$3:$K$4986,8,FALSE)&amp;VLOOKUP(D2452,契約台帳!$A$3:$K$4986,9,FALSE)&amp;VLOOKUP(D2452,契約台帳!$A$3:$K$4986,11,FALSE))</f>
        <v>33SSNMCLBTETKFV</v>
      </c>
      <c r="G2452" s="269" t="str">
        <f>IF(D2452="","",VLOOKUP(F2452,製品マスタ!$G$5:$H$5002,2,FALSE))</f>
        <v>S</v>
      </c>
      <c r="H2452" s="269" t="str">
        <f>IF(D2452="","",VLOOKUP(F2452,製品マスタ!$G$5:$K$5002,5,FALSE))</f>
        <v>TETKFV</v>
      </c>
      <c r="I2452" s="270" t="str">
        <f>IF(D2452="","",VLOOKUP(F2452,製品マスタ!$G$5:$L$5002,6,FALSE))</f>
        <v>メタルミー　ＴＥＳ艶開封　Ｖ</v>
      </c>
      <c r="J2452" s="210" t="s">
        <v>935</v>
      </c>
      <c r="K2452" s="270">
        <f>IF(D2452="","",VLOOKUP(D2452,契約台帳!$A$3:$L$4986,12,FALSE))</f>
        <v>50</v>
      </c>
      <c r="L2452" s="270" t="str">
        <f>IF(D2452="","",INDEX(製品マスタ!$Q$5:$Q$5002,MATCH('S4'!F2452&amp;'S4'!K2452,製品マスタ!$AO$5:$AO$5002,0)))</f>
        <v>S28SEPA</v>
      </c>
      <c r="M2452" s="39">
        <v>1005</v>
      </c>
      <c r="N2452" s="39">
        <v>4000</v>
      </c>
      <c r="O2452" s="156">
        <v>3</v>
      </c>
      <c r="P2452" s="47">
        <v>3</v>
      </c>
      <c r="Q2452" s="213">
        <v>45538</v>
      </c>
      <c r="R2452" s="271">
        <f ca="1">IF(D2452="","",IF(OFFSET(D2452,-1,0)&lt;&gt;"","",IF(OR(J2452="リード付け",J2452="巻足し",J2452="巻返しリード付け"),M2452,VLOOKUP(D2452,契約台帳!$A$3:$N$4986,14,FALSE))))</f>
        <v>1005</v>
      </c>
      <c r="S2452" s="272">
        <f ca="1">IF(D2452="","",IF(OFFSET(D2452,-1,0)&lt;&gt;"","",IF(OR(J2452="リード付け",J2452="巻足し",J2452="巻返しリード付け"),M2452,VLOOKUP(D2452,契約台帳!$A$3:$O$4986,15,FALSE))))</f>
        <v>1005</v>
      </c>
      <c r="T2452" s="273">
        <f ca="1">IF(D2452="","",IF(J2452="リード付け",N2452,IF(J2452="巻返しリード付け",N2452,IF(J2452="巻足し",N2452*P2452+OFFSET(N2452,1,0)*OFFSET(P2452,1,0),VLOOKUP(D2452,契約台帳!$A$3:$P$4986,16,FALSE)))))</f>
        <v>12000</v>
      </c>
      <c r="U2452" s="40">
        <v>1</v>
      </c>
      <c r="V2452" s="274">
        <f ca="1">IF(D2452="","",IF(OFFSET(D2452,-2,0)=D2452,"",VLOOKUP(D2452,契約台帳!$A$3:$R$4986,18,FALSE)))</f>
        <v>3</v>
      </c>
      <c r="W2452" s="269" t="str">
        <f ca="1">IF(D2452="","",IF(T2452="","",IF(OR(J2452="巻足し",J2452="巻返しリード付け"),"",IF(J2452="巻返し",VLOOKUP(F2452&amp;K2452&amp;M2452,製品マスタ!$M$5:$AD$5002,18,FALSE),IF(OR(J2452="リード付け",J2452="巻返しリード付け"),"原反コア",IF(J2452="スリット",VLOOKUP(F2452&amp;K2452&amp;R2452,製品マスタ!$N$5:$AD$5002,17,FALSE),""))))))</f>
        <v/>
      </c>
      <c r="X2452" s="269" t="str">
        <f ca="1">IF(D2452="","",IF(T2452="","",IF(J2452="巻足し","",IF(J2452="巻返し",VLOOKUP(F2452&amp;K2452&amp;M2452,製品マスタ!$M$5:$AE$5002,19,FALSE),IF(OR(J2452="リード付け",J2452="巻返しリード付け"),"",IF(J2452="スリット",VLOOKUP(F2452&amp;K2452&amp;R2452,製品マスタ!$N$5:$AE$5002,18,FALSE),""))))))</f>
        <v/>
      </c>
      <c r="Y2452" s="275">
        <f ca="1">IF(D2452="","",IF(T2452="","",VLOOKUP(D2452,契約台帳!$A$3:$Q$4986,17,FALSE)))</f>
        <v>2</v>
      </c>
      <c r="Z2452" s="269" t="str">
        <f ca="1">IF(D2452="","",IF(T2452="","",VLOOKUP(D2452,契約台帳!$A$3:$E$4986,5,FALSE)))</f>
        <v>リンテック㈱</v>
      </c>
      <c r="AA2452" s="57"/>
      <c r="AB2452" s="207">
        <f>IFERROR((VLOOKUP(F2452&amp;K2452&amp;M2452,製品マスタ!$M$5:$AM$5002,27,FALSE)),"")</f>
        <v>0</v>
      </c>
      <c r="AC2452" s="33"/>
      <c r="AD2452" s="189"/>
      <c r="AE2452" s="54"/>
      <c r="AF2452" s="55">
        <f>+M2452*N2452*O2452/1000</f>
        <v>12060</v>
      </c>
      <c r="AG2452" s="43"/>
      <c r="AH2452" s="47"/>
      <c r="AI2452" s="30"/>
      <c r="AJ2452" s="30"/>
      <c r="AK2452" s="30"/>
      <c r="AL2452" s="30"/>
      <c r="AM2452" s="13"/>
      <c r="AN2452" s="13"/>
      <c r="AO2452" s="13"/>
      <c r="AP2452" s="13"/>
      <c r="AQ2452" s="13"/>
      <c r="AR2452" s="14"/>
      <c r="AS2452" s="15"/>
    </row>
    <row r="2453" spans="1:45" s="17" customFormat="1" ht="30.95" hidden="1" customHeight="1" x14ac:dyDescent="0.2">
      <c r="A2453" s="343"/>
      <c r="B2453" s="344"/>
      <c r="C2453" s="345"/>
      <c r="D2453" s="346"/>
      <c r="E2453" s="346"/>
      <c r="F2453" s="268"/>
      <c r="G2453" s="269"/>
      <c r="H2453" s="269"/>
      <c r="I2453" s="270"/>
      <c r="J2453" s="434"/>
      <c r="K2453" s="270"/>
      <c r="L2453" s="270"/>
      <c r="M2453" s="348"/>
      <c r="N2453" s="348"/>
      <c r="O2453" s="435"/>
      <c r="P2453" s="349"/>
      <c r="Q2453" s="350"/>
      <c r="R2453" s="271"/>
      <c r="S2453" s="272"/>
      <c r="T2453" s="273"/>
      <c r="U2453" s="351"/>
      <c r="V2453" s="274"/>
      <c r="W2453" s="269"/>
      <c r="X2453" s="269"/>
      <c r="Y2453" s="275"/>
      <c r="Z2453" s="269"/>
      <c r="AA2453" s="350"/>
      <c r="AB2453" s="207"/>
      <c r="AC2453" s="352"/>
      <c r="AD2453" s="353"/>
      <c r="AE2453" s="54"/>
      <c r="AF2453" s="354"/>
      <c r="AG2453" s="355"/>
      <c r="AH2453" s="349"/>
      <c r="AI2453" s="30"/>
      <c r="AJ2453" s="30"/>
      <c r="AK2453" s="30"/>
      <c r="AL2453" s="30"/>
      <c r="AM2453" s="13"/>
      <c r="AN2453" s="13"/>
      <c r="AO2453" s="13"/>
      <c r="AP2453" s="13"/>
      <c r="AQ2453" s="13"/>
      <c r="AR2453" s="14"/>
      <c r="AS2453" s="15"/>
    </row>
    <row r="2454" spans="1:45" s="17" customFormat="1" ht="30.95" hidden="1" customHeight="1" x14ac:dyDescent="0.2">
      <c r="A2454" s="343"/>
      <c r="B2454" s="344"/>
      <c r="C2454" s="345"/>
      <c r="D2454" s="346"/>
      <c r="E2454" s="346"/>
      <c r="F2454" s="268"/>
      <c r="G2454" s="269"/>
      <c r="H2454" s="269"/>
      <c r="I2454" s="270"/>
      <c r="J2454" s="434" t="s">
        <v>3129</v>
      </c>
      <c r="K2454" s="270"/>
      <c r="L2454" s="270"/>
      <c r="M2454" s="348"/>
      <c r="N2454" s="348"/>
      <c r="O2454" s="435"/>
      <c r="P2454" s="349"/>
      <c r="Q2454" s="350"/>
      <c r="R2454" s="271"/>
      <c r="S2454" s="272"/>
      <c r="T2454" s="273"/>
      <c r="U2454" s="351"/>
      <c r="V2454" s="274"/>
      <c r="W2454" s="269"/>
      <c r="X2454" s="269"/>
      <c r="Y2454" s="275"/>
      <c r="Z2454" s="269"/>
      <c r="AA2454" s="350"/>
      <c r="AB2454" s="207"/>
      <c r="AC2454" s="352"/>
      <c r="AD2454" s="353"/>
      <c r="AE2454" s="54"/>
      <c r="AF2454" s="354"/>
      <c r="AG2454" s="355"/>
      <c r="AH2454" s="349"/>
      <c r="AI2454" s="30"/>
      <c r="AJ2454" s="30"/>
      <c r="AK2454" s="30"/>
      <c r="AL2454" s="30"/>
      <c r="AM2454" s="13"/>
      <c r="AN2454" s="13"/>
      <c r="AO2454" s="13"/>
      <c r="AP2454" s="13"/>
      <c r="AQ2454" s="13"/>
      <c r="AR2454" s="14"/>
      <c r="AS2454" s="15"/>
    </row>
    <row r="2455" spans="1:45" s="17" customFormat="1" ht="30.95" hidden="1" customHeight="1" x14ac:dyDescent="0.2">
      <c r="A2455" s="343"/>
      <c r="B2455" s="344"/>
      <c r="C2455" s="345"/>
      <c r="D2455" s="346"/>
      <c r="E2455" s="346"/>
      <c r="F2455" s="268"/>
      <c r="G2455" s="269"/>
      <c r="H2455" s="269"/>
      <c r="I2455" s="270"/>
      <c r="J2455" s="434"/>
      <c r="K2455" s="270"/>
      <c r="L2455" s="270"/>
      <c r="M2455" s="348"/>
      <c r="N2455" s="348"/>
      <c r="O2455" s="435"/>
      <c r="P2455" s="349"/>
      <c r="Q2455" s="350"/>
      <c r="R2455" s="271"/>
      <c r="S2455" s="272"/>
      <c r="T2455" s="273"/>
      <c r="U2455" s="351"/>
      <c r="V2455" s="274"/>
      <c r="W2455" s="269"/>
      <c r="X2455" s="269"/>
      <c r="Y2455" s="275"/>
      <c r="Z2455" s="269"/>
      <c r="AA2455" s="350"/>
      <c r="AB2455" s="207"/>
      <c r="AC2455" s="352"/>
      <c r="AD2455" s="353"/>
      <c r="AE2455" s="54"/>
      <c r="AF2455" s="354"/>
      <c r="AG2455" s="355"/>
      <c r="AH2455" s="349"/>
      <c r="AI2455" s="30"/>
      <c r="AJ2455" s="30"/>
      <c r="AK2455" s="30"/>
      <c r="AL2455" s="30"/>
      <c r="AM2455" s="13"/>
      <c r="AN2455" s="13"/>
      <c r="AO2455" s="13"/>
      <c r="AP2455" s="13"/>
      <c r="AQ2455" s="13"/>
      <c r="AR2455" s="14"/>
      <c r="AS2455" s="15"/>
    </row>
    <row r="2456" spans="1:45" s="17" customFormat="1" ht="30.6" hidden="1" customHeight="1" x14ac:dyDescent="0.2">
      <c r="A2456" s="343" t="s">
        <v>3152</v>
      </c>
      <c r="B2456" s="344" t="s">
        <v>3136</v>
      </c>
      <c r="C2456" s="45"/>
      <c r="D2456" s="31">
        <v>3770571</v>
      </c>
      <c r="E2456" s="31">
        <v>4162489</v>
      </c>
      <c r="F2456" s="268" t="str">
        <f>IF(D2456="","",VLOOKUP(D2456,契約台帳!$A$3:$K$4986,6,FALSE)&amp;VLOOKUP(D2456,契約台帳!$A$3:$K$4986,7,FALSE)&amp;VLOOKUP(D2456,契約台帳!$A$3:$K$4986,8,FALSE)&amp;VLOOKUP(D2456,契約台帳!$A$3:$K$4986,9,FALSE)&amp;VLOOKUP(D2456,契約台帳!$A$3:$K$4986,11,FALSE))</f>
        <v>3TYKNZMCR</v>
      </c>
      <c r="G2456" s="269" t="str">
        <f>IF(D2456="","",VLOOKUP(F2456,製品マスタ!$G$5:$H$5002,2,FALSE))</f>
        <v>T</v>
      </c>
      <c r="H2456" s="269" t="str">
        <f>IF(D2456="","",VLOOKUP(F2456,製品マスタ!$G$5:$K$5002,5,FALSE))</f>
        <v>MCR</v>
      </c>
      <c r="I2456" s="270" t="str">
        <f>IF(D2456="","",VLOOKUP(F2456,製品マスタ!$G$5:$L$5002,6,FALSE))</f>
        <v>Metalumy CR</v>
      </c>
      <c r="J2456" s="210" t="s">
        <v>464</v>
      </c>
      <c r="K2456" s="270">
        <f>IF(D2456="","",VLOOKUP(D2456,契約台帳!$A$3:$L$4986,12,FALSE))</f>
        <v>25</v>
      </c>
      <c r="L2456" s="270" t="str">
        <f>IF(D2456="","",INDEX(製品マスタ!$Q$5:$Q$5002,MATCH('S4'!F2456&amp;'S4'!K2456,製品マスタ!$AO$5:$AO$5002,0)))</f>
        <v>S28M</v>
      </c>
      <c r="M2456" s="39">
        <v>1110</v>
      </c>
      <c r="N2456" s="39">
        <v>12100</v>
      </c>
      <c r="O2456" s="156">
        <v>13</v>
      </c>
      <c r="P2456" s="47">
        <v>1</v>
      </c>
      <c r="Q2456" s="213">
        <v>45540</v>
      </c>
      <c r="R2456" s="271">
        <f ca="1">IF(D2456="","",IF(OFFSET(D2456,-1,0)&lt;&gt;"","",IF(OR(J2456="リード付け",J2456="巻足し",J2456="巻返しリード付け"),M2456,VLOOKUP(D2456,契約台帳!$A$3:$N$4986,14,FALSE))))</f>
        <v>1110</v>
      </c>
      <c r="S2456" s="272">
        <f ca="1">IF(D2456="","",IF(OFFSET(D2456,-1,0)&lt;&gt;"","",IF(OR(J2456="リード付け",J2456="巻足し",J2456="巻返しリード付け"),M2456,VLOOKUP(D2456,契約台帳!$A$3:$O$4986,15,FALSE))))</f>
        <v>1110</v>
      </c>
      <c r="T2456" s="273">
        <f ca="1">IF(D2456="","",IF(J2456="リード付け",N2456,IF(J2456="巻返しリード付け",N2456,IF(J2456="巻足し",N2456*P2456+OFFSET(N2456,1,0)*OFFSET(P2456,1,0),VLOOKUP(D2456,契約台帳!$A$3:$P$4986,16,FALSE)))))</f>
        <v>12100</v>
      </c>
      <c r="U2456" s="40">
        <v>13</v>
      </c>
      <c r="V2456" s="274">
        <f ca="1">IF(D2456="","",IF(OFFSET(D2456,-2,0)=D2456,"",VLOOKUP(D2456,契約台帳!$A$3:$R$4986,18,FALSE)))</f>
        <v>26</v>
      </c>
      <c r="W2456" s="269" t="str">
        <f ca="1">IF(D2456="","",IF(T2456="","",IF(OR(J2456="巻足し",J2456="巻返しリード付け"),"",IF(J2456="巻返し",VLOOKUP(F2456&amp;K2456&amp;M2456,製品マスタ!$M$5:$AD$5002,18,FALSE),IF(OR(J2456="リード付け",J2456="巻返しリード付け"),"原反コア",IF(J2456="スリット",VLOOKUP(F2456&amp;K2456&amp;R2456,製品マスタ!$N$5:$AD$5002,17,FALSE),""))))))</f>
        <v>原反コア</v>
      </c>
      <c r="X2456" s="269" t="str">
        <f ca="1">IF(D2456="","",IF(T2456="","",IF(J2456="巻足し","",IF(J2456="巻返し",VLOOKUP(F2456&amp;K2456&amp;M2456,製品マスタ!$M$5:$AE$5002,19,FALSE),IF(OR(J2456="リード付け",J2456="巻返しリード付け"),"",IF(J2456="スリット",VLOOKUP(F2456&amp;K2456&amp;R2456,製品マスタ!$N$5:$AE$5002,18,FALSE),""))))))</f>
        <v/>
      </c>
      <c r="Y2456" s="275">
        <f ca="1">IF(D2456="","",IF(T2456="","",VLOOKUP(D2456,契約台帳!$A$3:$Q$4986,17,FALSE)))</f>
        <v>2</v>
      </c>
      <c r="Z2456" s="269" t="str">
        <f ca="1">IF(D2456="","",IF(T2456="","",VLOOKUP(D2456,契約台帳!$A$3:$E$4986,5,FALSE)))</f>
        <v>日東電工㈱豊橋工場</v>
      </c>
      <c r="AA2456" s="57"/>
      <c r="AB2456" s="207" t="s">
        <v>2892</v>
      </c>
      <c r="AC2456" s="33"/>
      <c r="AD2456" s="189"/>
      <c r="AE2456" s="54"/>
      <c r="AF2456" s="55">
        <f>+M2456*N2456*O2456/1000</f>
        <v>174603</v>
      </c>
      <c r="AG2456" s="43"/>
      <c r="AH2456" s="47"/>
      <c r="AI2456" s="30"/>
      <c r="AJ2456" s="30"/>
      <c r="AK2456" s="30"/>
      <c r="AL2456" s="30"/>
      <c r="AM2456" s="13"/>
      <c r="AN2456" s="13"/>
      <c r="AO2456" s="13"/>
      <c r="AP2456" s="13"/>
      <c r="AQ2456" s="13"/>
      <c r="AR2456" s="14"/>
      <c r="AS2456" s="15"/>
    </row>
    <row r="2457" spans="1:45" s="17" customFormat="1" ht="30.95" hidden="1" customHeight="1" x14ac:dyDescent="0.2">
      <c r="A2457" s="343"/>
      <c r="B2457" s="344"/>
      <c r="C2457" s="345"/>
      <c r="D2457" s="346"/>
      <c r="E2457" s="346"/>
      <c r="F2457" s="268"/>
      <c r="G2457" s="269"/>
      <c r="H2457" s="269"/>
      <c r="I2457" s="270"/>
      <c r="J2457" s="434"/>
      <c r="K2457" s="270"/>
      <c r="L2457" s="270"/>
      <c r="M2457" s="348"/>
      <c r="N2457" s="348"/>
      <c r="O2457" s="435"/>
      <c r="P2457" s="349"/>
      <c r="Q2457" s="350"/>
      <c r="R2457" s="271"/>
      <c r="S2457" s="272"/>
      <c r="T2457" s="273"/>
      <c r="U2457" s="351"/>
      <c r="V2457" s="274"/>
      <c r="W2457" s="269"/>
      <c r="X2457" s="269"/>
      <c r="Y2457" s="275"/>
      <c r="Z2457" s="269"/>
      <c r="AA2457" s="350"/>
      <c r="AB2457" s="207"/>
      <c r="AC2457" s="352"/>
      <c r="AD2457" s="353"/>
      <c r="AE2457" s="54"/>
      <c r="AF2457" s="354"/>
      <c r="AG2457" s="355"/>
      <c r="AH2457" s="349"/>
      <c r="AI2457" s="30"/>
      <c r="AJ2457" s="30"/>
      <c r="AK2457" s="30"/>
      <c r="AL2457" s="30"/>
      <c r="AM2457" s="13"/>
      <c r="AN2457" s="13"/>
      <c r="AO2457" s="13"/>
      <c r="AP2457" s="13"/>
      <c r="AQ2457" s="13"/>
      <c r="AR2457" s="14"/>
      <c r="AS2457" s="15"/>
    </row>
    <row r="2458" spans="1:45" s="17" customFormat="1" ht="30.6" hidden="1" customHeight="1" x14ac:dyDescent="0.2">
      <c r="A2458" s="343" t="s">
        <v>3119</v>
      </c>
      <c r="B2458" s="344" t="s">
        <v>3120</v>
      </c>
      <c r="C2458" s="45"/>
      <c r="D2458" s="31">
        <v>3770584</v>
      </c>
      <c r="E2458" s="31">
        <v>4162473</v>
      </c>
      <c r="F2458" s="268" t="str">
        <f>IF(D2458="","",VLOOKUP(D2458,契約台帳!$A$3:$K$4986,6,FALSE)&amp;VLOOKUP(D2458,契約台帳!$A$3:$K$4986,7,FALSE)&amp;VLOOKUP(D2458,契約台帳!$A$3:$K$4986,8,FALSE)&amp;VLOOKUP(D2458,契約台帳!$A$3:$K$4986,9,FALSE)&amp;VLOOKUP(D2458,契約台帳!$A$3:$K$4986,11,FALSE))</f>
        <v>3SNMLBMNGTBF</v>
      </c>
      <c r="G2458" s="269" t="str">
        <f>IF(D2458="","",VLOOKUP(F2458,製品マスタ!$G$5:$H$5002,2,FALSE))</f>
        <v>S</v>
      </c>
      <c r="H2458" s="269" t="str">
        <f>IF(D2458="","",VLOOKUP(F2458,製品マスタ!$G$5:$K$5002,5,FALSE))</f>
        <v>MNGTBF</v>
      </c>
      <c r="I2458" s="270" t="str">
        <f>IF(D2458="","",VLOOKUP(F2458,製品マスタ!$G$5:$L$5002,6,FALSE))</f>
        <v>メタルミー　ネーマー　銀艶　Ｂ</v>
      </c>
      <c r="J2458" s="210" t="s">
        <v>935</v>
      </c>
      <c r="K2458" s="270">
        <f>IF(D2458="","",VLOOKUP(D2458,契約台帳!$A$3:$L$4986,12,FALSE))</f>
        <v>50</v>
      </c>
      <c r="L2458" s="270" t="str">
        <f>IF(D2458="","",INDEX(製品マスタ!$Q$5:$Q$5002,MATCH('S4'!F2458&amp;'S4'!K2458,製品マスタ!$AO$5:$AO$5002,0)))</f>
        <v>T62</v>
      </c>
      <c r="M2458" s="39">
        <v>1120</v>
      </c>
      <c r="N2458" s="39">
        <v>5000</v>
      </c>
      <c r="O2458" s="156">
        <v>12</v>
      </c>
      <c r="P2458" s="47">
        <v>2</v>
      </c>
      <c r="Q2458" s="213">
        <v>45541</v>
      </c>
      <c r="R2458" s="271">
        <f ca="1">IF(D2458="","",IF(OFFSET(D2458,-1,0)&lt;&gt;"","",IF(OR(J2458="リード付け",J2458="巻足し",J2458="巻返しリード付け"),M2458,VLOOKUP(D2458,契約台帳!$A$3:$N$4986,14,FALSE))))</f>
        <v>1120</v>
      </c>
      <c r="S2458" s="272">
        <f ca="1">IF(D2458="","",IF(OFFSET(D2458,-1,0)&lt;&gt;"","",IF(OR(J2458="リード付け",J2458="巻足し",J2458="巻返しリード付け"),M2458,VLOOKUP(D2458,契約台帳!$A$3:$O$4986,15,FALSE))))</f>
        <v>1120</v>
      </c>
      <c r="T2458" s="273">
        <f ca="1">IF(D2458="","",IF(J2458="リード付け",N2458,IF(J2458="巻返しリード付け",N2458,IF(J2458="巻足し",N2458*P2458+OFFSET(N2458,1,0)*OFFSET(P2458,1,0),VLOOKUP(D2458,契約台帳!$A$3:$P$4986,16,FALSE)))))</f>
        <v>10000</v>
      </c>
      <c r="U2458" s="40">
        <v>6</v>
      </c>
      <c r="V2458" s="274">
        <f ca="1">IF(D2458="","",IF(OFFSET(D2458,-2,0)=D2458,"",VLOOKUP(D2458,契約台帳!$A$3:$R$4986,18,FALSE)))</f>
        <v>68</v>
      </c>
      <c r="W2458" s="269" t="str">
        <f ca="1">IF(D2458="","",IF(T2458="","",IF(OR(J2458="巻足し",J2458="巻返しリード付け"),"",IF(J2458="巻返し",VLOOKUP(F2458&amp;K2458&amp;M2458,製品マスタ!$M$5:$AD$5002,18,FALSE),IF(OR(J2458="リード付け",J2458="巻返しリード付け"),"原反コア",IF(J2458="スリット",VLOOKUP(F2458&amp;K2458&amp;R2458,製品マスタ!$N$5:$AD$5002,17,FALSE),""))))))</f>
        <v/>
      </c>
      <c r="X2458" s="269" t="str">
        <f ca="1">IF(D2458="","",IF(T2458="","",IF(J2458="巻足し","",IF(J2458="巻返し",VLOOKUP(F2458&amp;K2458&amp;M2458,製品マスタ!$M$5:$AE$5002,19,FALSE),IF(OR(J2458="リード付け",J2458="巻返しリード付け"),"",IF(J2458="スリット",VLOOKUP(F2458&amp;K2458&amp;R2458,製品マスタ!$N$5:$AE$5002,18,FALSE),""))))))</f>
        <v/>
      </c>
      <c r="Y2458" s="275">
        <f ca="1">IF(D2458="","",IF(T2458="","",VLOOKUP(D2458,契約台帳!$A$3:$Q$4986,17,FALSE)))</f>
        <v>2</v>
      </c>
      <c r="Z2458" s="269" t="str">
        <f ca="1">IF(D2458="","",IF(T2458="","",VLOOKUP(D2458,契約台帳!$A$3:$E$4986,5,FALSE)))</f>
        <v>リンテック㈱</v>
      </c>
      <c r="AA2458" s="57"/>
      <c r="AB2458" s="207" t="str">
        <f>IFERROR((VLOOKUP(F2458&amp;K2458&amp;M2458,製品マスタ!$M$5:$AM$5002,27,FALSE)),"")</f>
        <v>原反ケース再利用</v>
      </c>
      <c r="AC2458" s="33"/>
      <c r="AD2458" s="189"/>
      <c r="AE2458" s="54"/>
      <c r="AF2458" s="55">
        <f>+M2458*N2458*O2458/1000</f>
        <v>67200</v>
      </c>
      <c r="AG2458" s="43"/>
      <c r="AH2458" s="47"/>
      <c r="AI2458" s="30"/>
      <c r="AJ2458" s="30"/>
      <c r="AK2458" s="30"/>
      <c r="AL2458" s="30"/>
      <c r="AM2458" s="13"/>
      <c r="AN2458" s="13"/>
      <c r="AO2458" s="13"/>
      <c r="AP2458" s="13"/>
      <c r="AQ2458" s="13"/>
      <c r="AR2458" s="14"/>
      <c r="AS2458" s="15"/>
    </row>
    <row r="2459" spans="1:45" s="17" customFormat="1" ht="30.95" hidden="1" customHeight="1" x14ac:dyDescent="0.2">
      <c r="A2459" s="343"/>
      <c r="B2459" s="344"/>
      <c r="C2459" s="345"/>
      <c r="D2459" s="346"/>
      <c r="E2459" s="346"/>
      <c r="F2459" s="268"/>
      <c r="G2459" s="269"/>
      <c r="H2459" s="269"/>
      <c r="I2459" s="270"/>
      <c r="J2459" s="434"/>
      <c r="K2459" s="270"/>
      <c r="L2459" s="270"/>
      <c r="M2459" s="348"/>
      <c r="N2459" s="348"/>
      <c r="O2459" s="435"/>
      <c r="P2459" s="349"/>
      <c r="Q2459" s="350"/>
      <c r="R2459" s="271"/>
      <c r="S2459" s="272"/>
      <c r="T2459" s="273"/>
      <c r="U2459" s="351"/>
      <c r="V2459" s="274"/>
      <c r="W2459" s="269"/>
      <c r="X2459" s="269"/>
      <c r="Y2459" s="275"/>
      <c r="Z2459" s="269"/>
      <c r="AA2459" s="350"/>
      <c r="AB2459" s="207"/>
      <c r="AC2459" s="352"/>
      <c r="AD2459" s="353"/>
      <c r="AE2459" s="54"/>
      <c r="AF2459" s="354"/>
      <c r="AG2459" s="355"/>
      <c r="AH2459" s="349"/>
      <c r="AI2459" s="30"/>
      <c r="AJ2459" s="30"/>
      <c r="AK2459" s="30"/>
      <c r="AL2459" s="30"/>
      <c r="AM2459" s="13"/>
      <c r="AN2459" s="13"/>
      <c r="AO2459" s="13"/>
      <c r="AP2459" s="13"/>
      <c r="AQ2459" s="13"/>
      <c r="AR2459" s="14"/>
      <c r="AS2459" s="15"/>
    </row>
    <row r="2460" spans="1:45" s="17" customFormat="1" ht="30.95" hidden="1" customHeight="1" x14ac:dyDescent="0.2">
      <c r="A2460" s="343" t="s">
        <v>553</v>
      </c>
      <c r="B2460" s="344" t="s">
        <v>392</v>
      </c>
      <c r="C2460" s="345"/>
      <c r="D2460" s="346"/>
      <c r="E2460" s="346"/>
      <c r="F2460" s="268"/>
      <c r="G2460" s="269"/>
      <c r="H2460" s="269"/>
      <c r="I2460" s="270"/>
      <c r="J2460" s="434" t="s">
        <v>448</v>
      </c>
      <c r="K2460" s="270"/>
      <c r="L2460" s="270"/>
      <c r="M2460" s="348"/>
      <c r="N2460" s="348"/>
      <c r="O2460" s="435"/>
      <c r="P2460" s="349"/>
      <c r="Q2460" s="350"/>
      <c r="R2460" s="271"/>
      <c r="S2460" s="272"/>
      <c r="T2460" s="273"/>
      <c r="U2460" s="351"/>
      <c r="V2460" s="274"/>
      <c r="W2460" s="269"/>
      <c r="X2460" s="269"/>
      <c r="Y2460" s="275"/>
      <c r="Z2460" s="269"/>
      <c r="AA2460" s="350"/>
      <c r="AB2460" s="207"/>
      <c r="AC2460" s="352"/>
      <c r="AD2460" s="353"/>
      <c r="AE2460" s="54"/>
      <c r="AF2460" s="354"/>
      <c r="AG2460" s="355"/>
      <c r="AH2460" s="349"/>
      <c r="AI2460" s="30"/>
      <c r="AJ2460" s="30"/>
      <c r="AK2460" s="30"/>
      <c r="AL2460" s="30"/>
      <c r="AM2460" s="13"/>
      <c r="AN2460" s="13"/>
      <c r="AO2460" s="13"/>
      <c r="AP2460" s="13"/>
      <c r="AQ2460" s="13"/>
      <c r="AR2460" s="14"/>
      <c r="AS2460" s="15"/>
    </row>
    <row r="2461" spans="1:45" s="17" customFormat="1" ht="30.95" hidden="1" customHeight="1" x14ac:dyDescent="0.2">
      <c r="A2461" s="343"/>
      <c r="B2461" s="344"/>
      <c r="C2461" s="345"/>
      <c r="D2461" s="346"/>
      <c r="E2461" s="346"/>
      <c r="F2461" s="268"/>
      <c r="G2461" s="269"/>
      <c r="H2461" s="269"/>
      <c r="I2461" s="270"/>
      <c r="J2461" s="434"/>
      <c r="K2461" s="270"/>
      <c r="L2461" s="270"/>
      <c r="M2461" s="348"/>
      <c r="N2461" s="348"/>
      <c r="O2461" s="435"/>
      <c r="P2461" s="349"/>
      <c r="Q2461" s="350"/>
      <c r="R2461" s="271"/>
      <c r="S2461" s="272"/>
      <c r="T2461" s="273"/>
      <c r="U2461" s="351"/>
      <c r="V2461" s="274"/>
      <c r="W2461" s="269"/>
      <c r="X2461" s="269"/>
      <c r="Y2461" s="275"/>
      <c r="Z2461" s="269"/>
      <c r="AA2461" s="350"/>
      <c r="AB2461" s="207"/>
      <c r="AC2461" s="352"/>
      <c r="AD2461" s="353"/>
      <c r="AE2461" s="54"/>
      <c r="AF2461" s="354"/>
      <c r="AG2461" s="355"/>
      <c r="AH2461" s="349"/>
      <c r="AI2461" s="30"/>
      <c r="AJ2461" s="30"/>
      <c r="AK2461" s="30"/>
      <c r="AL2461" s="30"/>
      <c r="AM2461" s="13"/>
      <c r="AN2461" s="13"/>
      <c r="AO2461" s="13"/>
      <c r="AP2461" s="13"/>
      <c r="AQ2461" s="13"/>
      <c r="AR2461" s="14"/>
      <c r="AS2461" s="15"/>
    </row>
    <row r="2462" spans="1:45" s="17" customFormat="1" ht="30.6" hidden="1" customHeight="1" x14ac:dyDescent="0.2">
      <c r="A2462" s="343" t="s">
        <v>3122</v>
      </c>
      <c r="B2462" s="344" t="s">
        <v>3113</v>
      </c>
      <c r="C2462" s="45"/>
      <c r="D2462" s="31">
        <v>3770584</v>
      </c>
      <c r="E2462" s="31">
        <v>4162473</v>
      </c>
      <c r="F2462" s="268" t="str">
        <f>IF(D2462="","",VLOOKUP(D2462,契約台帳!$A$3:$K$4986,6,FALSE)&amp;VLOOKUP(D2462,契約台帳!$A$3:$K$4986,7,FALSE)&amp;VLOOKUP(D2462,契約台帳!$A$3:$K$4986,8,FALSE)&amp;VLOOKUP(D2462,契約台帳!$A$3:$K$4986,9,FALSE)&amp;VLOOKUP(D2462,契約台帳!$A$3:$K$4986,11,FALSE))</f>
        <v>3SNMLBMNGTBF</v>
      </c>
      <c r="G2462" s="269" t="str">
        <f>IF(D2462="","",VLOOKUP(F2462,製品マスタ!$G$5:$H$5002,2,FALSE))</f>
        <v>S</v>
      </c>
      <c r="H2462" s="269" t="str">
        <f>IF(D2462="","",VLOOKUP(F2462,製品マスタ!$G$5:$K$5002,5,FALSE))</f>
        <v>MNGTBF</v>
      </c>
      <c r="I2462" s="270" t="str">
        <f>IF(D2462="","",VLOOKUP(F2462,製品マスタ!$G$5:$L$5002,6,FALSE))</f>
        <v>メタルミー　ネーマー　銀艶　Ｂ</v>
      </c>
      <c r="J2462" s="210" t="s">
        <v>935</v>
      </c>
      <c r="K2462" s="270">
        <f>IF(D2462="","",VLOOKUP(D2462,契約台帳!$A$3:$L$4986,12,FALSE))</f>
        <v>50</v>
      </c>
      <c r="L2462" s="270" t="str">
        <f>IF(D2462="","",INDEX(製品マスタ!$Q$5:$Q$5002,MATCH('S4'!F2462&amp;'S4'!K2462,製品マスタ!$AO$5:$AO$5002,0)))</f>
        <v>T62</v>
      </c>
      <c r="M2462" s="39">
        <v>1120</v>
      </c>
      <c r="N2462" s="39">
        <v>5000</v>
      </c>
      <c r="O2462" s="156">
        <v>14</v>
      </c>
      <c r="P2462" s="47">
        <v>2</v>
      </c>
      <c r="Q2462" s="213">
        <v>45541</v>
      </c>
      <c r="R2462" s="271">
        <f ca="1">IF(D2462="","",IF(OFFSET(D2462,-1,0)&lt;&gt;"","",IF(OR(J2462="リード付け",J2462="巻足し",J2462="巻返しリード付け"),M2462,VLOOKUP(D2462,契約台帳!$A$3:$N$4986,14,FALSE))))</f>
        <v>1120</v>
      </c>
      <c r="S2462" s="272">
        <f ca="1">IF(D2462="","",IF(OFFSET(D2462,-1,0)&lt;&gt;"","",IF(OR(J2462="リード付け",J2462="巻足し",J2462="巻返しリード付け"),M2462,VLOOKUP(D2462,契約台帳!$A$3:$O$4986,15,FALSE))))</f>
        <v>1120</v>
      </c>
      <c r="T2462" s="273">
        <f ca="1">IF(D2462="","",IF(J2462="リード付け",N2462,IF(J2462="巻返しリード付け",N2462,IF(J2462="巻足し",N2462*P2462+OFFSET(N2462,1,0)*OFFSET(P2462,1,0),VLOOKUP(D2462,契約台帳!$A$3:$P$4986,16,FALSE)))))</f>
        <v>10000</v>
      </c>
      <c r="U2462" s="40">
        <v>7</v>
      </c>
      <c r="V2462" s="274">
        <f ca="1">IF(D2462="","",IF(OFFSET(D2462,-2,0)=D2462,"",VLOOKUP(D2462,契約台帳!$A$3:$R$4986,18,FALSE)))</f>
        <v>68</v>
      </c>
      <c r="W2462" s="269" t="str">
        <f ca="1">IF(D2462="","",IF(T2462="","",IF(OR(J2462="巻足し",J2462="巻返しリード付け"),"",IF(J2462="巻返し",VLOOKUP(F2462&amp;K2462&amp;M2462,製品マスタ!$M$5:$AD$5002,18,FALSE),IF(OR(J2462="リード付け",J2462="巻返しリード付け"),"原反コア",IF(J2462="スリット",VLOOKUP(F2462&amp;K2462&amp;R2462,製品マスタ!$N$5:$AD$5002,17,FALSE),""))))))</f>
        <v/>
      </c>
      <c r="X2462" s="269" t="str">
        <f ca="1">IF(D2462="","",IF(T2462="","",IF(J2462="巻足し","",IF(J2462="巻返し",VLOOKUP(F2462&amp;K2462&amp;M2462,製品マスタ!$M$5:$AE$5002,19,FALSE),IF(OR(J2462="リード付け",J2462="巻返しリード付け"),"",IF(J2462="スリット",VLOOKUP(F2462&amp;K2462&amp;R2462,製品マスタ!$N$5:$AE$5002,18,FALSE),""))))))</f>
        <v/>
      </c>
      <c r="Y2462" s="275">
        <f ca="1">IF(D2462="","",IF(T2462="","",VLOOKUP(D2462,契約台帳!$A$3:$Q$4986,17,FALSE)))</f>
        <v>2</v>
      </c>
      <c r="Z2462" s="269" t="str">
        <f ca="1">IF(D2462="","",IF(T2462="","",VLOOKUP(D2462,契約台帳!$A$3:$E$4986,5,FALSE)))</f>
        <v>リンテック㈱</v>
      </c>
      <c r="AA2462" s="57"/>
      <c r="AB2462" s="207" t="str">
        <f>IFERROR((VLOOKUP(F2462&amp;K2462&amp;M2462,製品マスタ!$M$5:$AM$5002,27,FALSE)),"")</f>
        <v>原反ケース再利用</v>
      </c>
      <c r="AC2462" s="33"/>
      <c r="AD2462" s="189"/>
      <c r="AE2462" s="54"/>
      <c r="AF2462" s="55">
        <f>+M2462*N2462*O2462/1000</f>
        <v>78400</v>
      </c>
      <c r="AG2462" s="43"/>
      <c r="AH2462" s="47"/>
      <c r="AI2462" s="30"/>
      <c r="AJ2462" s="30"/>
      <c r="AK2462" s="30"/>
      <c r="AL2462" s="30"/>
      <c r="AM2462" s="13"/>
      <c r="AN2462" s="13"/>
      <c r="AO2462" s="13"/>
      <c r="AP2462" s="13"/>
      <c r="AQ2462" s="13"/>
      <c r="AR2462" s="14"/>
      <c r="AS2462" s="15"/>
    </row>
    <row r="2463" spans="1:45" s="17" customFormat="1" ht="30.95" hidden="1" customHeight="1" x14ac:dyDescent="0.2">
      <c r="A2463" s="343"/>
      <c r="B2463" s="344"/>
      <c r="C2463" s="345"/>
      <c r="D2463" s="346"/>
      <c r="E2463" s="346"/>
      <c r="F2463" s="268"/>
      <c r="G2463" s="269"/>
      <c r="H2463" s="269"/>
      <c r="I2463" s="270"/>
      <c r="J2463" s="434"/>
      <c r="K2463" s="270"/>
      <c r="L2463" s="270"/>
      <c r="M2463" s="348"/>
      <c r="N2463" s="348"/>
      <c r="O2463" s="435"/>
      <c r="P2463" s="349"/>
      <c r="Q2463" s="350"/>
      <c r="R2463" s="271"/>
      <c r="S2463" s="272"/>
      <c r="T2463" s="273"/>
      <c r="U2463" s="351"/>
      <c r="V2463" s="274"/>
      <c r="W2463" s="269"/>
      <c r="X2463" s="269"/>
      <c r="Y2463" s="275"/>
      <c r="Z2463" s="269"/>
      <c r="AA2463" s="350"/>
      <c r="AB2463" s="207"/>
      <c r="AC2463" s="352"/>
      <c r="AD2463" s="353"/>
      <c r="AE2463" s="54"/>
      <c r="AF2463" s="354"/>
      <c r="AG2463" s="355"/>
      <c r="AH2463" s="349"/>
      <c r="AI2463" s="30"/>
      <c r="AJ2463" s="30"/>
      <c r="AK2463" s="30"/>
      <c r="AL2463" s="30"/>
      <c r="AM2463" s="13"/>
      <c r="AN2463" s="13"/>
      <c r="AO2463" s="13"/>
      <c r="AP2463" s="13"/>
      <c r="AQ2463" s="13"/>
      <c r="AR2463" s="14"/>
      <c r="AS2463" s="15"/>
    </row>
    <row r="2464" spans="1:45" s="17" customFormat="1" ht="30.6" hidden="1" customHeight="1" x14ac:dyDescent="0.2">
      <c r="A2464" s="343" t="s">
        <v>3123</v>
      </c>
      <c r="B2464" s="344" t="s">
        <v>3115</v>
      </c>
      <c r="C2464" s="45"/>
      <c r="D2464" s="31">
        <v>3770584</v>
      </c>
      <c r="E2464" s="31">
        <v>4162473</v>
      </c>
      <c r="F2464" s="268" t="str">
        <f>IF(D2464="","",VLOOKUP(D2464,契約台帳!$A$3:$K$4986,6,FALSE)&amp;VLOOKUP(D2464,契約台帳!$A$3:$K$4986,7,FALSE)&amp;VLOOKUP(D2464,契約台帳!$A$3:$K$4986,8,FALSE)&amp;VLOOKUP(D2464,契約台帳!$A$3:$K$4986,9,FALSE)&amp;VLOOKUP(D2464,契約台帳!$A$3:$K$4986,11,FALSE))</f>
        <v>3SNMLBMNGTBF</v>
      </c>
      <c r="G2464" s="269" t="str">
        <f>IF(D2464="","",VLOOKUP(F2464,製品マスタ!$G$5:$H$5002,2,FALSE))</f>
        <v>S</v>
      </c>
      <c r="H2464" s="269" t="str">
        <f>IF(D2464="","",VLOOKUP(F2464,製品マスタ!$G$5:$K$5002,5,FALSE))</f>
        <v>MNGTBF</v>
      </c>
      <c r="I2464" s="270" t="str">
        <f>IF(D2464="","",VLOOKUP(F2464,製品マスタ!$G$5:$L$5002,6,FALSE))</f>
        <v>メタルミー　ネーマー　銀艶　Ｂ</v>
      </c>
      <c r="J2464" s="210" t="s">
        <v>935</v>
      </c>
      <c r="K2464" s="270">
        <f>IF(D2464="","",VLOOKUP(D2464,契約台帳!$A$3:$L$4986,12,FALSE))</f>
        <v>50</v>
      </c>
      <c r="L2464" s="270" t="str">
        <f>IF(D2464="","",INDEX(製品マスタ!$Q$5:$Q$5002,MATCH('S4'!F2464&amp;'S4'!K2464,製品マスタ!$AO$5:$AO$5002,0)))</f>
        <v>T62</v>
      </c>
      <c r="M2464" s="39">
        <v>1120</v>
      </c>
      <c r="N2464" s="39">
        <v>5000</v>
      </c>
      <c r="O2464" s="156">
        <v>14</v>
      </c>
      <c r="P2464" s="47">
        <v>2</v>
      </c>
      <c r="Q2464" s="213">
        <v>45541</v>
      </c>
      <c r="R2464" s="271">
        <f ca="1">IF(D2464="","",IF(OFFSET(D2464,-1,0)&lt;&gt;"","",IF(OR(J2464="リード付け",J2464="巻足し",J2464="巻返しリード付け"),M2464,VLOOKUP(D2464,契約台帳!$A$3:$N$4986,14,FALSE))))</f>
        <v>1120</v>
      </c>
      <c r="S2464" s="272">
        <f ca="1">IF(D2464="","",IF(OFFSET(D2464,-1,0)&lt;&gt;"","",IF(OR(J2464="リード付け",J2464="巻足し",J2464="巻返しリード付け"),M2464,VLOOKUP(D2464,契約台帳!$A$3:$O$4986,15,FALSE))))</f>
        <v>1120</v>
      </c>
      <c r="T2464" s="273">
        <f ca="1">IF(D2464="","",IF(J2464="リード付け",N2464,IF(J2464="巻返しリード付け",N2464,IF(J2464="巻足し",N2464*P2464+OFFSET(N2464,1,0)*OFFSET(P2464,1,0),VLOOKUP(D2464,契約台帳!$A$3:$P$4986,16,FALSE)))))</f>
        <v>10000</v>
      </c>
      <c r="U2464" s="40">
        <v>7</v>
      </c>
      <c r="V2464" s="274" t="str">
        <f ca="1">IF(D2464="","",IF(OFFSET(D2464,-2,0)=D2464,"",VLOOKUP(D2464,契約台帳!$A$3:$R$4986,18,FALSE)))</f>
        <v/>
      </c>
      <c r="W2464" s="269" t="str">
        <f ca="1">IF(D2464="","",IF(T2464="","",IF(OR(J2464="巻足し",J2464="巻返しリード付け"),"",IF(J2464="巻返し",VLOOKUP(F2464&amp;K2464&amp;M2464,製品マスタ!$M$5:$AD$5002,18,FALSE),IF(OR(J2464="リード付け",J2464="巻返しリード付け"),"原反コア",IF(J2464="スリット",VLOOKUP(F2464&amp;K2464&amp;R2464,製品マスタ!$N$5:$AD$5002,17,FALSE),""))))))</f>
        <v/>
      </c>
      <c r="X2464" s="269" t="str">
        <f ca="1">IF(D2464="","",IF(T2464="","",IF(J2464="巻足し","",IF(J2464="巻返し",VLOOKUP(F2464&amp;K2464&amp;M2464,製品マスタ!$M$5:$AE$5002,19,FALSE),IF(OR(J2464="リード付け",J2464="巻返しリード付け"),"",IF(J2464="スリット",VLOOKUP(F2464&amp;K2464&amp;R2464,製品マスタ!$N$5:$AE$5002,18,FALSE),""))))))</f>
        <v/>
      </c>
      <c r="Y2464" s="275">
        <f ca="1">IF(D2464="","",IF(T2464="","",VLOOKUP(D2464,契約台帳!$A$3:$Q$4986,17,FALSE)))</f>
        <v>2</v>
      </c>
      <c r="Z2464" s="269" t="str">
        <f ca="1">IF(D2464="","",IF(T2464="","",VLOOKUP(D2464,契約台帳!$A$3:$E$4986,5,FALSE)))</f>
        <v>リンテック㈱</v>
      </c>
      <c r="AA2464" s="57"/>
      <c r="AB2464" s="207" t="str">
        <f>IFERROR((VLOOKUP(F2464&amp;K2464&amp;M2464,製品マスタ!$M$5:$AM$5002,27,FALSE)),"")</f>
        <v>原反ケース再利用</v>
      </c>
      <c r="AC2464" s="33"/>
      <c r="AD2464" s="189"/>
      <c r="AE2464" s="54"/>
      <c r="AF2464" s="55">
        <f>+M2464*N2464*O2464/1000</f>
        <v>78400</v>
      </c>
      <c r="AG2464" s="43"/>
      <c r="AH2464" s="47"/>
      <c r="AI2464" s="30"/>
      <c r="AJ2464" s="30"/>
      <c r="AK2464" s="30"/>
      <c r="AL2464" s="30"/>
      <c r="AM2464" s="13"/>
      <c r="AN2464" s="13"/>
      <c r="AO2464" s="13"/>
      <c r="AP2464" s="13"/>
      <c r="AQ2464" s="13"/>
      <c r="AR2464" s="14"/>
      <c r="AS2464" s="15"/>
    </row>
    <row r="2465" spans="1:45" s="17" customFormat="1" ht="30.95" hidden="1" customHeight="1" x14ac:dyDescent="0.2">
      <c r="A2465" s="343"/>
      <c r="B2465" s="344"/>
      <c r="C2465" s="345"/>
      <c r="D2465" s="346"/>
      <c r="E2465" s="346"/>
      <c r="F2465" s="268"/>
      <c r="G2465" s="269"/>
      <c r="H2465" s="269"/>
      <c r="I2465" s="270"/>
      <c r="J2465" s="434"/>
      <c r="K2465" s="270"/>
      <c r="L2465" s="270"/>
      <c r="M2465" s="348"/>
      <c r="N2465" s="348"/>
      <c r="O2465" s="435"/>
      <c r="P2465" s="349"/>
      <c r="Q2465" s="350"/>
      <c r="R2465" s="271"/>
      <c r="S2465" s="272"/>
      <c r="T2465" s="273"/>
      <c r="U2465" s="351"/>
      <c r="V2465" s="274"/>
      <c r="W2465" s="269"/>
      <c r="X2465" s="269"/>
      <c r="Y2465" s="275"/>
      <c r="Z2465" s="269"/>
      <c r="AA2465" s="350"/>
      <c r="AB2465" s="207"/>
      <c r="AC2465" s="352"/>
      <c r="AD2465" s="353"/>
      <c r="AE2465" s="54"/>
      <c r="AF2465" s="354"/>
      <c r="AG2465" s="355"/>
      <c r="AH2465" s="349"/>
      <c r="AI2465" s="30"/>
      <c r="AJ2465" s="30"/>
      <c r="AK2465" s="30"/>
      <c r="AL2465" s="30"/>
      <c r="AM2465" s="13"/>
      <c r="AN2465" s="13"/>
      <c r="AO2465" s="13"/>
      <c r="AP2465" s="13"/>
      <c r="AQ2465" s="13"/>
      <c r="AR2465" s="14"/>
      <c r="AS2465" s="15"/>
    </row>
    <row r="2466" spans="1:45" s="17" customFormat="1" ht="30.6" hidden="1" customHeight="1" x14ac:dyDescent="0.2">
      <c r="A2466" s="343" t="s">
        <v>3159</v>
      </c>
      <c r="B2466" s="344" t="s">
        <v>3160</v>
      </c>
      <c r="C2466" s="45"/>
      <c r="D2466" s="31">
        <v>3770584</v>
      </c>
      <c r="E2466" s="31">
        <v>4162473</v>
      </c>
      <c r="F2466" s="268" t="str">
        <f>IF(D2466="","",VLOOKUP(D2466,契約台帳!$A$3:$K$4986,6,FALSE)&amp;VLOOKUP(D2466,契約台帳!$A$3:$K$4986,7,FALSE)&amp;VLOOKUP(D2466,契約台帳!$A$3:$K$4986,8,FALSE)&amp;VLOOKUP(D2466,契約台帳!$A$3:$K$4986,9,FALSE)&amp;VLOOKUP(D2466,契約台帳!$A$3:$K$4986,11,FALSE))</f>
        <v>3SNMLBMNGTBF</v>
      </c>
      <c r="G2466" s="269" t="str">
        <f>IF(D2466="","",VLOOKUP(F2466,製品マスタ!$G$5:$H$5002,2,FALSE))</f>
        <v>S</v>
      </c>
      <c r="H2466" s="269" t="str">
        <f>IF(D2466="","",VLOOKUP(F2466,製品マスタ!$G$5:$K$5002,5,FALSE))</f>
        <v>MNGTBF</v>
      </c>
      <c r="I2466" s="270" t="str">
        <f>IF(D2466="","",VLOOKUP(F2466,製品マスタ!$G$5:$L$5002,6,FALSE))</f>
        <v>メタルミー　ネーマー　銀艶　Ｂ</v>
      </c>
      <c r="J2466" s="210" t="s">
        <v>935</v>
      </c>
      <c r="K2466" s="270">
        <f>IF(D2466="","",VLOOKUP(D2466,契約台帳!$A$3:$L$4986,12,FALSE))</f>
        <v>50</v>
      </c>
      <c r="L2466" s="270" t="str">
        <f>IF(D2466="","",INDEX(製品マスタ!$Q$5:$Q$5002,MATCH('S4'!F2466&amp;'S4'!K2466,製品マスタ!$AO$5:$AO$5002,0)))</f>
        <v>T62</v>
      </c>
      <c r="M2466" s="39">
        <v>1120</v>
      </c>
      <c r="N2466" s="39">
        <v>5000</v>
      </c>
      <c r="O2466" s="156">
        <v>14</v>
      </c>
      <c r="P2466" s="47">
        <v>2</v>
      </c>
      <c r="Q2466" s="213">
        <v>45541</v>
      </c>
      <c r="R2466" s="271">
        <f ca="1">IF(D2466="","",IF(OFFSET(D2466,-1,0)&lt;&gt;"","",IF(OR(J2466="リード付け",J2466="巻足し",J2466="巻返しリード付け"),M2466,VLOOKUP(D2466,契約台帳!$A$3:$N$4986,14,FALSE))))</f>
        <v>1120</v>
      </c>
      <c r="S2466" s="272">
        <f ca="1">IF(D2466="","",IF(OFFSET(D2466,-1,0)&lt;&gt;"","",IF(OR(J2466="リード付け",J2466="巻足し",J2466="巻返しリード付け"),M2466,VLOOKUP(D2466,契約台帳!$A$3:$O$4986,15,FALSE))))</f>
        <v>1120</v>
      </c>
      <c r="T2466" s="273">
        <f ca="1">IF(D2466="","",IF(J2466="リード付け",N2466,IF(J2466="巻返しリード付け",N2466,IF(J2466="巻足し",N2466*P2466+OFFSET(N2466,1,0)*OFFSET(P2466,1,0),VLOOKUP(D2466,契約台帳!$A$3:$P$4986,16,FALSE)))))</f>
        <v>10000</v>
      </c>
      <c r="U2466" s="40">
        <v>7</v>
      </c>
      <c r="V2466" s="274" t="str">
        <f ca="1">IF(D2466="","",IF(OFFSET(D2466,-2,0)=D2466,"",VLOOKUP(D2466,契約台帳!$A$3:$R$4986,18,FALSE)))</f>
        <v/>
      </c>
      <c r="W2466" s="269" t="str">
        <f ca="1">IF(D2466="","",IF(T2466="","",IF(OR(J2466="巻足し",J2466="巻返しリード付け"),"",IF(J2466="巻返し",VLOOKUP(F2466&amp;K2466&amp;M2466,製品マスタ!$M$5:$AD$5002,18,FALSE),IF(OR(J2466="リード付け",J2466="巻返しリード付け"),"原反コア",IF(J2466="スリット",VLOOKUP(F2466&amp;K2466&amp;R2466,製品マスタ!$N$5:$AD$5002,17,FALSE),""))))))</f>
        <v/>
      </c>
      <c r="X2466" s="269" t="str">
        <f ca="1">IF(D2466="","",IF(T2466="","",IF(J2466="巻足し","",IF(J2466="巻返し",VLOOKUP(F2466&amp;K2466&amp;M2466,製品マスタ!$M$5:$AE$5002,19,FALSE),IF(OR(J2466="リード付け",J2466="巻返しリード付け"),"",IF(J2466="スリット",VLOOKUP(F2466&amp;K2466&amp;R2466,製品マスタ!$N$5:$AE$5002,18,FALSE),""))))))</f>
        <v/>
      </c>
      <c r="Y2466" s="275">
        <f ca="1">IF(D2466="","",IF(T2466="","",VLOOKUP(D2466,契約台帳!$A$3:$Q$4986,17,FALSE)))</f>
        <v>2</v>
      </c>
      <c r="Z2466" s="269" t="str">
        <f ca="1">IF(D2466="","",IF(T2466="","",VLOOKUP(D2466,契約台帳!$A$3:$E$4986,5,FALSE)))</f>
        <v>リンテック㈱</v>
      </c>
      <c r="AA2466" s="57"/>
      <c r="AB2466" s="207" t="str">
        <f>IFERROR((VLOOKUP(F2466&amp;K2466&amp;M2466,製品マスタ!$M$5:$AM$5002,27,FALSE)),"")</f>
        <v>原反ケース再利用</v>
      </c>
      <c r="AC2466" s="33"/>
      <c r="AD2466" s="189"/>
      <c r="AE2466" s="54"/>
      <c r="AF2466" s="55">
        <f>+M2466*N2466*O2466/1000</f>
        <v>78400</v>
      </c>
      <c r="AG2466" s="43"/>
      <c r="AH2466" s="47"/>
      <c r="AI2466" s="30"/>
      <c r="AJ2466" s="30"/>
      <c r="AK2466" s="30"/>
      <c r="AL2466" s="30"/>
      <c r="AM2466" s="13"/>
      <c r="AN2466" s="13"/>
      <c r="AO2466" s="13"/>
      <c r="AP2466" s="13"/>
      <c r="AQ2466" s="13"/>
      <c r="AR2466" s="14"/>
      <c r="AS2466" s="15"/>
    </row>
    <row r="2467" spans="1:45" s="17" customFormat="1" ht="30.95" hidden="1" customHeight="1" x14ac:dyDescent="0.2">
      <c r="A2467" s="343"/>
      <c r="B2467" s="344"/>
      <c r="C2467" s="345"/>
      <c r="D2467" s="346"/>
      <c r="E2467" s="346"/>
      <c r="F2467" s="268"/>
      <c r="G2467" s="269"/>
      <c r="H2467" s="269"/>
      <c r="I2467" s="270"/>
      <c r="J2467" s="434"/>
      <c r="K2467" s="270"/>
      <c r="L2467" s="270"/>
      <c r="M2467" s="348"/>
      <c r="N2467" s="348"/>
      <c r="O2467" s="435"/>
      <c r="P2467" s="349"/>
      <c r="Q2467" s="350"/>
      <c r="R2467" s="271"/>
      <c r="S2467" s="272"/>
      <c r="T2467" s="273"/>
      <c r="U2467" s="351"/>
      <c r="V2467" s="274"/>
      <c r="W2467" s="269"/>
      <c r="X2467" s="269"/>
      <c r="Y2467" s="275"/>
      <c r="Z2467" s="269"/>
      <c r="AA2467" s="350"/>
      <c r="AB2467" s="207"/>
      <c r="AC2467" s="352"/>
      <c r="AD2467" s="353"/>
      <c r="AE2467" s="54"/>
      <c r="AF2467" s="354"/>
      <c r="AG2467" s="355"/>
      <c r="AH2467" s="349"/>
      <c r="AI2467" s="30"/>
      <c r="AJ2467" s="30"/>
      <c r="AK2467" s="30"/>
      <c r="AL2467" s="30"/>
      <c r="AM2467" s="13"/>
      <c r="AN2467" s="13"/>
      <c r="AO2467" s="13"/>
      <c r="AP2467" s="13"/>
      <c r="AQ2467" s="13"/>
      <c r="AR2467" s="14"/>
      <c r="AS2467" s="15"/>
    </row>
    <row r="2468" spans="1:45" s="17" customFormat="1" ht="30.6" hidden="1" customHeight="1" x14ac:dyDescent="0.2">
      <c r="A2468" s="343" t="s">
        <v>3124</v>
      </c>
      <c r="B2468" s="344" t="s">
        <v>3117</v>
      </c>
      <c r="C2468" s="45"/>
      <c r="D2468" s="31">
        <v>3770584</v>
      </c>
      <c r="E2468" s="31">
        <v>4162473</v>
      </c>
      <c r="F2468" s="268" t="str">
        <f>IF(D2468="","",VLOOKUP(D2468,契約台帳!$A$3:$K$4986,6,FALSE)&amp;VLOOKUP(D2468,契約台帳!$A$3:$K$4986,7,FALSE)&amp;VLOOKUP(D2468,契約台帳!$A$3:$K$4986,8,FALSE)&amp;VLOOKUP(D2468,契約台帳!$A$3:$K$4986,9,FALSE)&amp;VLOOKUP(D2468,契約台帳!$A$3:$K$4986,11,FALSE))</f>
        <v>3SNMLBMNGTBF</v>
      </c>
      <c r="G2468" s="269" t="str">
        <f>IF(D2468="","",VLOOKUP(F2468,製品マスタ!$G$5:$H$5002,2,FALSE))</f>
        <v>S</v>
      </c>
      <c r="H2468" s="269" t="str">
        <f>IF(D2468="","",VLOOKUP(F2468,製品マスタ!$G$5:$K$5002,5,FALSE))</f>
        <v>MNGTBF</v>
      </c>
      <c r="I2468" s="270" t="str">
        <f>IF(D2468="","",VLOOKUP(F2468,製品マスタ!$G$5:$L$5002,6,FALSE))</f>
        <v>メタルミー　ネーマー　銀艶　Ｂ</v>
      </c>
      <c r="J2468" s="210" t="s">
        <v>935</v>
      </c>
      <c r="K2468" s="270">
        <f>IF(D2468="","",VLOOKUP(D2468,契約台帳!$A$3:$L$4986,12,FALSE))</f>
        <v>50</v>
      </c>
      <c r="L2468" s="270" t="str">
        <f>IF(D2468="","",INDEX(製品マスタ!$Q$5:$Q$5002,MATCH('S4'!F2468&amp;'S4'!K2468,製品マスタ!$AO$5:$AO$5002,0)))</f>
        <v>T62</v>
      </c>
      <c r="M2468" s="39">
        <v>1120</v>
      </c>
      <c r="N2468" s="39">
        <v>5000</v>
      </c>
      <c r="O2468" s="156">
        <v>14</v>
      </c>
      <c r="P2468" s="47">
        <v>2</v>
      </c>
      <c r="Q2468" s="213">
        <v>45541</v>
      </c>
      <c r="R2468" s="271">
        <f ca="1">IF(D2468="","",IF(OFFSET(D2468,-1,0)&lt;&gt;"","",IF(OR(J2468="リード付け",J2468="巻足し",J2468="巻返しリード付け"),M2468,VLOOKUP(D2468,契約台帳!$A$3:$N$4986,14,FALSE))))</f>
        <v>1120</v>
      </c>
      <c r="S2468" s="272">
        <f ca="1">IF(D2468="","",IF(OFFSET(D2468,-1,0)&lt;&gt;"","",IF(OR(J2468="リード付け",J2468="巻足し",J2468="巻返しリード付け"),M2468,VLOOKUP(D2468,契約台帳!$A$3:$O$4986,15,FALSE))))</f>
        <v>1120</v>
      </c>
      <c r="T2468" s="273">
        <f ca="1">IF(D2468="","",IF(J2468="リード付け",N2468,IF(J2468="巻返しリード付け",N2468,IF(J2468="巻足し",N2468*P2468+OFFSET(N2468,1,0)*OFFSET(P2468,1,0),VLOOKUP(D2468,契約台帳!$A$3:$P$4986,16,FALSE)))))</f>
        <v>10000</v>
      </c>
      <c r="U2468" s="40">
        <v>7</v>
      </c>
      <c r="V2468" s="274" t="str">
        <f ca="1">IF(D2468="","",IF(OFFSET(D2468,-2,0)=D2468,"",VLOOKUP(D2468,契約台帳!$A$3:$R$4986,18,FALSE)))</f>
        <v/>
      </c>
      <c r="W2468" s="269" t="str">
        <f ca="1">IF(D2468="","",IF(T2468="","",IF(OR(J2468="巻足し",J2468="巻返しリード付け"),"",IF(J2468="巻返し",VLOOKUP(F2468&amp;K2468&amp;M2468,製品マスタ!$M$5:$AD$5002,18,FALSE),IF(OR(J2468="リード付け",J2468="巻返しリード付け"),"原反コア",IF(J2468="スリット",VLOOKUP(F2468&amp;K2468&amp;R2468,製品マスタ!$N$5:$AD$5002,17,FALSE),""))))))</f>
        <v/>
      </c>
      <c r="X2468" s="269" t="str">
        <f ca="1">IF(D2468="","",IF(T2468="","",IF(J2468="巻足し","",IF(J2468="巻返し",VLOOKUP(F2468&amp;K2468&amp;M2468,製品マスタ!$M$5:$AE$5002,19,FALSE),IF(OR(J2468="リード付け",J2468="巻返しリード付け"),"",IF(J2468="スリット",VLOOKUP(F2468&amp;K2468&amp;R2468,製品マスタ!$N$5:$AE$5002,18,FALSE),""))))))</f>
        <v/>
      </c>
      <c r="Y2468" s="275">
        <f ca="1">IF(D2468="","",IF(T2468="","",VLOOKUP(D2468,契約台帳!$A$3:$Q$4986,17,FALSE)))</f>
        <v>2</v>
      </c>
      <c r="Z2468" s="269" t="str">
        <f ca="1">IF(D2468="","",IF(T2468="","",VLOOKUP(D2468,契約台帳!$A$3:$E$4986,5,FALSE)))</f>
        <v>リンテック㈱</v>
      </c>
      <c r="AA2468" s="57"/>
      <c r="AB2468" s="207" t="str">
        <f>IFERROR((VLOOKUP(F2468&amp;K2468&amp;M2468,製品マスタ!$M$5:$AM$5002,27,FALSE)),"")</f>
        <v>原反ケース再利用</v>
      </c>
      <c r="AC2468" s="33"/>
      <c r="AD2468" s="189"/>
      <c r="AE2468" s="54"/>
      <c r="AF2468" s="55">
        <f>+M2468*N2468*O2468/1000</f>
        <v>78400</v>
      </c>
      <c r="AG2468" s="43"/>
      <c r="AH2468" s="47"/>
      <c r="AI2468" s="30"/>
      <c r="AJ2468" s="30"/>
      <c r="AK2468" s="30"/>
      <c r="AL2468" s="30"/>
      <c r="AM2468" s="13"/>
      <c r="AN2468" s="13"/>
      <c r="AO2468" s="13"/>
      <c r="AP2468" s="13"/>
      <c r="AQ2468" s="13"/>
      <c r="AR2468" s="14"/>
      <c r="AS2468" s="15"/>
    </row>
    <row r="2469" spans="1:45" s="17" customFormat="1" ht="30.95" hidden="1" customHeight="1" x14ac:dyDescent="0.2">
      <c r="A2469" s="343"/>
      <c r="B2469" s="344"/>
      <c r="C2469" s="345"/>
      <c r="D2469" s="346"/>
      <c r="E2469" s="346"/>
      <c r="F2469" s="268"/>
      <c r="G2469" s="269"/>
      <c r="H2469" s="269"/>
      <c r="I2469" s="270"/>
      <c r="J2469" s="434"/>
      <c r="K2469" s="270"/>
      <c r="L2469" s="270"/>
      <c r="M2469" s="348"/>
      <c r="N2469" s="348"/>
      <c r="O2469" s="435"/>
      <c r="P2469" s="349"/>
      <c r="Q2469" s="350"/>
      <c r="R2469" s="271"/>
      <c r="S2469" s="272"/>
      <c r="T2469" s="273"/>
      <c r="U2469" s="351"/>
      <c r="V2469" s="274"/>
      <c r="W2469" s="269"/>
      <c r="X2469" s="269"/>
      <c r="Y2469" s="275"/>
      <c r="Z2469" s="269"/>
      <c r="AA2469" s="350"/>
      <c r="AB2469" s="207"/>
      <c r="AC2469" s="352"/>
      <c r="AD2469" s="353"/>
      <c r="AE2469" s="54"/>
      <c r="AF2469" s="354"/>
      <c r="AG2469" s="355"/>
      <c r="AH2469" s="349"/>
      <c r="AI2469" s="30"/>
      <c r="AJ2469" s="30"/>
      <c r="AK2469" s="30"/>
      <c r="AL2469" s="30"/>
      <c r="AM2469" s="13"/>
      <c r="AN2469" s="13"/>
      <c r="AO2469" s="13"/>
      <c r="AP2469" s="13"/>
      <c r="AQ2469" s="13"/>
      <c r="AR2469" s="14"/>
      <c r="AS2469" s="15"/>
    </row>
    <row r="2470" spans="1:45" s="17" customFormat="1" ht="30.6" hidden="1" customHeight="1" x14ac:dyDescent="0.2">
      <c r="A2470" s="343" t="s">
        <v>3125</v>
      </c>
      <c r="B2470" s="344" t="s">
        <v>3118</v>
      </c>
      <c r="C2470" s="45"/>
      <c r="D2470" s="31">
        <v>3770579</v>
      </c>
      <c r="E2470" s="31">
        <v>4162472</v>
      </c>
      <c r="F2470" s="268" t="str">
        <f>IF(D2470="","",VLOOKUP(D2470,契約台帳!$A$3:$K$4986,6,FALSE)&amp;VLOOKUP(D2470,契約台帳!$A$3:$K$4986,7,FALSE)&amp;VLOOKUP(D2470,契約台帳!$A$3:$K$4986,8,FALSE)&amp;VLOOKUP(D2470,契約台帳!$A$3:$K$4986,9,FALSE)&amp;VLOOKUP(D2470,契約台帳!$A$3:$K$4986,11,FALSE))</f>
        <v>3SNMLBMNGKKBF</v>
      </c>
      <c r="G2470" s="269" t="str">
        <f>IF(D2470="","",VLOOKUP(F2470,製品マスタ!$G$5:$H$5002,2,FALSE))</f>
        <v>S</v>
      </c>
      <c r="H2470" s="269" t="str">
        <f>IF(D2470="","",VLOOKUP(F2470,製品マスタ!$G$5:$K$5002,5,FALSE))</f>
        <v>MNGKKBF</v>
      </c>
      <c r="I2470" s="270" t="str">
        <f>IF(D2470="","",VLOOKUP(F2470,製品マスタ!$G$5:$L$5002,6,FALSE))</f>
        <v>メタルミー　ネーマー銀消改　Ｂ</v>
      </c>
      <c r="J2470" s="210" t="s">
        <v>935</v>
      </c>
      <c r="K2470" s="270">
        <f>IF(D2470="","",VLOOKUP(D2470,契約台帳!$A$3:$L$4986,12,FALSE))</f>
        <v>50</v>
      </c>
      <c r="L2470" s="270" t="str">
        <f>IF(D2470="","",INDEX(製品マスタ!$Q$5:$Q$5002,MATCH('S4'!F2470&amp;'S4'!K2470,製品マスタ!$AO$5:$AO$5002,0)))</f>
        <v>S99-MAT</v>
      </c>
      <c r="M2470" s="39">
        <v>1120</v>
      </c>
      <c r="N2470" s="39">
        <v>4000</v>
      </c>
      <c r="O2470" s="156">
        <v>12</v>
      </c>
      <c r="P2470" s="47">
        <v>3</v>
      </c>
      <c r="Q2470" s="213">
        <v>45544</v>
      </c>
      <c r="R2470" s="271">
        <f ca="1">IF(D2470="","",IF(OFFSET(D2470,-1,0)&lt;&gt;"","",IF(OR(J2470="リード付け",J2470="巻足し",J2470="巻返しリード付け"),M2470,VLOOKUP(D2470,契約台帳!$A$3:$N$4986,14,FALSE))))</f>
        <v>1120</v>
      </c>
      <c r="S2470" s="272">
        <f ca="1">IF(D2470="","",IF(OFFSET(D2470,-1,0)&lt;&gt;"","",IF(OR(J2470="リード付け",J2470="巻足し",J2470="巻返しリード付け"),M2470,VLOOKUP(D2470,契約台帳!$A$3:$O$4986,15,FALSE))))</f>
        <v>1120</v>
      </c>
      <c r="T2470" s="273">
        <f ca="1">IF(D2470="","",IF(J2470="リード付け",N2470,IF(J2470="巻返しリード付け",N2470,IF(J2470="巻足し",N2470*P2470+OFFSET(N2470,1,0)*OFFSET(P2470,1,0),VLOOKUP(D2470,契約台帳!$A$3:$P$4986,16,FALSE)))))</f>
        <v>12000</v>
      </c>
      <c r="U2470" s="40">
        <v>4</v>
      </c>
      <c r="V2470" s="274">
        <f ca="1">IF(D2470="","",IF(OFFSET(D2470,-2,0)=D2470,"",VLOOKUP(D2470,契約台帳!$A$3:$R$4986,18,FALSE)))</f>
        <v>12</v>
      </c>
      <c r="W2470" s="269" t="str">
        <f ca="1">IF(D2470="","",IF(T2470="","",IF(OR(J2470="巻足し",J2470="巻返しリード付け"),"",IF(J2470="巻返し",VLOOKUP(F2470&amp;K2470&amp;M2470,製品マスタ!$M$5:$AD$5002,18,FALSE),IF(OR(J2470="リード付け",J2470="巻返しリード付け"),"原反コア",IF(J2470="スリット",VLOOKUP(F2470&amp;K2470&amp;R2470,製品マスタ!$N$5:$AD$5002,17,FALSE),""))))))</f>
        <v/>
      </c>
      <c r="X2470" s="269" t="str">
        <f ca="1">IF(D2470="","",IF(T2470="","",IF(J2470="巻足し","",IF(J2470="巻返し",VLOOKUP(F2470&amp;K2470&amp;M2470,製品マスタ!$M$5:$AE$5002,19,FALSE),IF(OR(J2470="リード付け",J2470="巻返しリード付け"),"",IF(J2470="スリット",VLOOKUP(F2470&amp;K2470&amp;R2470,製品マスタ!$N$5:$AE$5002,18,FALSE),""))))))</f>
        <v/>
      </c>
      <c r="Y2470" s="275">
        <f ca="1">IF(D2470="","",IF(T2470="","",VLOOKUP(D2470,契約台帳!$A$3:$Q$4986,17,FALSE)))</f>
        <v>2</v>
      </c>
      <c r="Z2470" s="269" t="str">
        <f ca="1">IF(D2470="","",IF(T2470="","",VLOOKUP(D2470,契約台帳!$A$3:$E$4986,5,FALSE)))</f>
        <v>リンテック㈱</v>
      </c>
      <c r="AA2470" s="57"/>
      <c r="AB2470" s="207">
        <f>IFERROR((VLOOKUP(F2470&amp;K2470&amp;M2470,製品マスタ!$M$5:$AM$5002,27,FALSE)),"")</f>
        <v>0</v>
      </c>
      <c r="AC2470" s="33"/>
      <c r="AD2470" s="189"/>
      <c r="AE2470" s="54"/>
      <c r="AF2470" s="55">
        <f>+M2470*N2470*O2470/1000</f>
        <v>53760</v>
      </c>
      <c r="AG2470" s="43"/>
      <c r="AH2470" s="47"/>
      <c r="AI2470" s="30"/>
      <c r="AJ2470" s="30"/>
      <c r="AK2470" s="30"/>
      <c r="AL2470" s="30"/>
      <c r="AM2470" s="13"/>
      <c r="AN2470" s="13"/>
      <c r="AO2470" s="13"/>
      <c r="AP2470" s="13"/>
      <c r="AQ2470" s="13"/>
      <c r="AR2470" s="14"/>
      <c r="AS2470" s="15"/>
    </row>
    <row r="2471" spans="1:45" s="17" customFormat="1" ht="30.95" hidden="1" customHeight="1" x14ac:dyDescent="0.2">
      <c r="A2471" s="343"/>
      <c r="B2471" s="344"/>
      <c r="C2471" s="345"/>
      <c r="D2471" s="346"/>
      <c r="E2471" s="346"/>
      <c r="F2471" s="268"/>
      <c r="G2471" s="269"/>
      <c r="H2471" s="269"/>
      <c r="I2471" s="270"/>
      <c r="J2471" s="434"/>
      <c r="K2471" s="270"/>
      <c r="L2471" s="270"/>
      <c r="M2471" s="348"/>
      <c r="N2471" s="348"/>
      <c r="O2471" s="435"/>
      <c r="P2471" s="349"/>
      <c r="Q2471" s="350"/>
      <c r="R2471" s="271"/>
      <c r="S2471" s="272"/>
      <c r="T2471" s="273"/>
      <c r="U2471" s="351"/>
      <c r="V2471" s="274"/>
      <c r="W2471" s="269"/>
      <c r="X2471" s="269"/>
      <c r="Y2471" s="275"/>
      <c r="Z2471" s="269"/>
      <c r="AA2471" s="350"/>
      <c r="AB2471" s="207"/>
      <c r="AC2471" s="352"/>
      <c r="AD2471" s="353"/>
      <c r="AE2471" s="54"/>
      <c r="AF2471" s="354"/>
      <c r="AG2471" s="355"/>
      <c r="AH2471" s="349"/>
      <c r="AI2471" s="30"/>
      <c r="AJ2471" s="30"/>
      <c r="AK2471" s="30"/>
      <c r="AL2471" s="30"/>
      <c r="AM2471" s="13"/>
      <c r="AN2471" s="13"/>
      <c r="AO2471" s="13"/>
      <c r="AP2471" s="13"/>
      <c r="AQ2471" s="13"/>
      <c r="AR2471" s="14"/>
      <c r="AS2471" s="15"/>
    </row>
    <row r="2472" spans="1:45" s="17" customFormat="1" ht="30.95" hidden="1" customHeight="1" x14ac:dyDescent="0.2">
      <c r="A2472" s="343"/>
      <c r="B2472" s="344"/>
      <c r="C2472" s="345"/>
      <c r="D2472" s="346">
        <v>3776276</v>
      </c>
      <c r="E2472" s="346">
        <v>4162516</v>
      </c>
      <c r="F2472" s="268" t="s">
        <v>1603</v>
      </c>
      <c r="G2472" s="269" t="s">
        <v>3114</v>
      </c>
      <c r="H2472" s="269" t="s">
        <v>212</v>
      </c>
      <c r="I2472" s="270" t="s">
        <v>213</v>
      </c>
      <c r="J2472" s="210" t="s">
        <v>464</v>
      </c>
      <c r="K2472" s="270">
        <v>50</v>
      </c>
      <c r="L2472" s="270" t="s">
        <v>215</v>
      </c>
      <c r="M2472" s="348">
        <v>1120</v>
      </c>
      <c r="N2472" s="348">
        <v>4000</v>
      </c>
      <c r="O2472" s="435">
        <v>1</v>
      </c>
      <c r="P2472" s="349">
        <v>1</v>
      </c>
      <c r="Q2472" s="356">
        <v>45544</v>
      </c>
      <c r="R2472" s="271">
        <v>1120</v>
      </c>
      <c r="S2472" s="272">
        <v>1120</v>
      </c>
      <c r="T2472" s="273">
        <v>4000</v>
      </c>
      <c r="U2472" s="351">
        <v>1</v>
      </c>
      <c r="V2472" s="274">
        <v>1</v>
      </c>
      <c r="W2472" s="269" t="s">
        <v>928</v>
      </c>
      <c r="X2472" s="269" t="s">
        <v>928</v>
      </c>
      <c r="Y2472" s="275">
        <v>2</v>
      </c>
      <c r="Z2472" s="269" t="s">
        <v>116</v>
      </c>
      <c r="AA2472" s="350"/>
      <c r="AB2472" s="207" t="s">
        <v>774</v>
      </c>
      <c r="AC2472" s="352"/>
      <c r="AD2472" s="353"/>
      <c r="AE2472" s="54"/>
      <c r="AF2472" s="354">
        <f>+M2472*N2472*O2472/1000</f>
        <v>4480</v>
      </c>
      <c r="AG2472" s="355"/>
      <c r="AH2472" s="349"/>
      <c r="AI2472" s="30"/>
      <c r="AJ2472" s="30"/>
      <c r="AK2472" s="30"/>
      <c r="AL2472" s="30"/>
      <c r="AM2472" s="13"/>
      <c r="AN2472" s="13"/>
      <c r="AO2472" s="13"/>
      <c r="AP2472" s="13"/>
      <c r="AQ2472" s="13"/>
      <c r="AR2472" s="14"/>
      <c r="AS2472" s="15"/>
    </row>
    <row r="2473" spans="1:45" s="17" customFormat="1" ht="30.95" hidden="1" customHeight="1" x14ac:dyDescent="0.2">
      <c r="A2473" s="343"/>
      <c r="B2473" s="344"/>
      <c r="C2473" s="345"/>
      <c r="D2473" s="346"/>
      <c r="E2473" s="346"/>
      <c r="F2473" s="268"/>
      <c r="G2473" s="269"/>
      <c r="H2473" s="269"/>
      <c r="I2473" s="270"/>
      <c r="J2473" s="434"/>
      <c r="K2473" s="270"/>
      <c r="L2473" s="270"/>
      <c r="M2473" s="348"/>
      <c r="N2473" s="348"/>
      <c r="O2473" s="435"/>
      <c r="P2473" s="349"/>
      <c r="Q2473" s="350"/>
      <c r="R2473" s="271"/>
      <c r="S2473" s="272"/>
      <c r="T2473" s="273"/>
      <c r="U2473" s="351"/>
      <c r="V2473" s="274"/>
      <c r="W2473" s="269"/>
      <c r="X2473" s="269"/>
      <c r="Y2473" s="275"/>
      <c r="Z2473" s="269"/>
      <c r="AA2473" s="350"/>
      <c r="AB2473" s="207"/>
      <c r="AC2473" s="352"/>
      <c r="AD2473" s="353"/>
      <c r="AE2473" s="54"/>
      <c r="AF2473" s="354"/>
      <c r="AG2473" s="355"/>
      <c r="AH2473" s="349"/>
      <c r="AI2473" s="30"/>
      <c r="AJ2473" s="30"/>
      <c r="AK2473" s="30"/>
      <c r="AL2473" s="30"/>
      <c r="AM2473" s="13"/>
      <c r="AN2473" s="13"/>
      <c r="AO2473" s="13"/>
      <c r="AP2473" s="13"/>
      <c r="AQ2473" s="13"/>
      <c r="AR2473" s="14"/>
      <c r="AS2473" s="15"/>
    </row>
    <row r="2474" spans="1:45" s="17" customFormat="1" ht="30.95" hidden="1" customHeight="1" x14ac:dyDescent="0.2">
      <c r="A2474" s="343"/>
      <c r="B2474" s="344"/>
      <c r="C2474" s="345"/>
      <c r="D2474" s="346">
        <v>3776277</v>
      </c>
      <c r="E2474" s="346">
        <v>4162515</v>
      </c>
      <c r="F2474" s="268" t="s">
        <v>1603</v>
      </c>
      <c r="G2474" s="269" t="s">
        <v>3114</v>
      </c>
      <c r="H2474" s="269" t="s">
        <v>212</v>
      </c>
      <c r="I2474" s="270" t="s">
        <v>213</v>
      </c>
      <c r="J2474" s="210" t="s">
        <v>464</v>
      </c>
      <c r="K2474" s="270">
        <v>25</v>
      </c>
      <c r="L2474" s="270" t="s">
        <v>214</v>
      </c>
      <c r="M2474" s="348">
        <v>1120</v>
      </c>
      <c r="N2474" s="348">
        <v>4000</v>
      </c>
      <c r="O2474" s="435">
        <v>1</v>
      </c>
      <c r="P2474" s="349">
        <v>1</v>
      </c>
      <c r="Q2474" s="356">
        <v>45544</v>
      </c>
      <c r="R2474" s="271">
        <v>1120</v>
      </c>
      <c r="S2474" s="272">
        <v>1120</v>
      </c>
      <c r="T2474" s="273">
        <v>4000</v>
      </c>
      <c r="U2474" s="351">
        <v>1</v>
      </c>
      <c r="V2474" s="274">
        <v>1</v>
      </c>
      <c r="W2474" s="269" t="s">
        <v>928</v>
      </c>
      <c r="X2474" s="269" t="s">
        <v>928</v>
      </c>
      <c r="Y2474" s="275">
        <v>2</v>
      </c>
      <c r="Z2474" s="269" t="s">
        <v>116</v>
      </c>
      <c r="AA2474" s="350"/>
      <c r="AB2474" s="303" t="s">
        <v>774</v>
      </c>
      <c r="AC2474" s="352"/>
      <c r="AD2474" s="353"/>
      <c r="AE2474" s="54"/>
      <c r="AF2474" s="354">
        <f>+M2474*N2474*O2474/1000</f>
        <v>4480</v>
      </c>
      <c r="AG2474" s="355"/>
      <c r="AH2474" s="349"/>
      <c r="AI2474" s="30"/>
      <c r="AJ2474" s="30"/>
      <c r="AK2474" s="30"/>
      <c r="AL2474" s="30"/>
      <c r="AM2474" s="13"/>
      <c r="AN2474" s="13"/>
      <c r="AO2474" s="13"/>
      <c r="AP2474" s="13"/>
      <c r="AQ2474" s="13"/>
      <c r="AR2474" s="14"/>
      <c r="AS2474" s="15"/>
    </row>
    <row r="2475" spans="1:45" s="17" customFormat="1" ht="30.95" hidden="1" customHeight="1" x14ac:dyDescent="0.2">
      <c r="A2475" s="343"/>
      <c r="B2475" s="344"/>
      <c r="C2475" s="345"/>
      <c r="D2475" s="346"/>
      <c r="E2475" s="346"/>
      <c r="F2475" s="268"/>
      <c r="G2475" s="269"/>
      <c r="H2475" s="269"/>
      <c r="I2475" s="270"/>
      <c r="J2475" s="434"/>
      <c r="K2475" s="270"/>
      <c r="L2475" s="270"/>
      <c r="M2475" s="348"/>
      <c r="N2475" s="348"/>
      <c r="O2475" s="435"/>
      <c r="P2475" s="349"/>
      <c r="Q2475" s="350"/>
      <c r="R2475" s="271"/>
      <c r="S2475" s="272"/>
      <c r="T2475" s="273"/>
      <c r="U2475" s="351"/>
      <c r="V2475" s="274"/>
      <c r="W2475" s="269"/>
      <c r="X2475" s="269"/>
      <c r="Y2475" s="275"/>
      <c r="Z2475" s="269"/>
      <c r="AA2475" s="350"/>
      <c r="AB2475" s="207"/>
      <c r="AC2475" s="352"/>
      <c r="AD2475" s="353"/>
      <c r="AE2475" s="54"/>
      <c r="AF2475" s="354"/>
      <c r="AG2475" s="355"/>
      <c r="AH2475" s="349"/>
      <c r="AI2475" s="30"/>
      <c r="AJ2475" s="30"/>
      <c r="AK2475" s="30"/>
      <c r="AL2475" s="30"/>
      <c r="AM2475" s="13"/>
      <c r="AN2475" s="13"/>
      <c r="AO2475" s="13"/>
      <c r="AP2475" s="13"/>
      <c r="AQ2475" s="13"/>
      <c r="AR2475" s="14"/>
      <c r="AS2475" s="15"/>
    </row>
    <row r="2476" spans="1:45" s="17" customFormat="1" ht="30.6" hidden="1" customHeight="1" x14ac:dyDescent="0.2">
      <c r="A2476" s="343"/>
      <c r="B2476" s="344"/>
      <c r="C2476" s="45"/>
      <c r="D2476" s="31">
        <v>3771010</v>
      </c>
      <c r="E2476" s="31">
        <v>4162485</v>
      </c>
      <c r="F2476" s="268" t="str">
        <f>IF(D2476="","",VLOOKUP(D2476,契約台帳!$A$3:$K$4986,6,FALSE)&amp;VLOOKUP(D2476,契約台帳!$A$3:$K$4986,7,FALSE)&amp;VLOOKUP(D2476,契約台帳!$A$3:$K$4986,8,FALSE)&amp;VLOOKUP(D2476,契約台帳!$A$3:$K$4986,9,FALSE)&amp;VLOOKUP(D2476,契約台帳!$A$3:$K$4986,11,FALSE))</f>
        <v>3SNMCLBNGKVB</v>
      </c>
      <c r="G2476" s="269" t="str">
        <f>IF(D2476="","",VLOOKUP(F2476,製品マスタ!$G$5:$H$5002,2,FALSE))</f>
        <v>S</v>
      </c>
      <c r="H2476" s="269" t="str">
        <f>IF(D2476="","",VLOOKUP(F2476,製品マスタ!$G$5:$K$5002,5,FALSE))</f>
        <v>NGKVB</v>
      </c>
      <c r="I2476" s="270" t="str">
        <f>IF(D2476="","",VLOOKUP(F2476,製品マスタ!$G$5:$L$5002,6,FALSE))</f>
        <v>メタルミー　ネーマー銀消　ＶＢ</v>
      </c>
      <c r="J2476" s="210" t="s">
        <v>935</v>
      </c>
      <c r="K2476" s="270">
        <f>IF(D2476="","",VLOOKUP(D2476,契約台帳!$A$3:$L$4986,12,FALSE))</f>
        <v>50</v>
      </c>
      <c r="L2476" s="270" t="str">
        <f>IF(D2476="","",INDEX(製品マスタ!$Q$5:$Q$5002,MATCH('S4'!F2476&amp;'S4'!K2476,製品マスタ!$AO$5:$AO$5002,0)))</f>
        <v>MAT</v>
      </c>
      <c r="M2476" s="39">
        <v>1005</v>
      </c>
      <c r="N2476" s="39">
        <v>4100</v>
      </c>
      <c r="O2476" s="156">
        <v>3</v>
      </c>
      <c r="P2476" s="47">
        <v>3</v>
      </c>
      <c r="Q2476" s="213">
        <v>45544</v>
      </c>
      <c r="R2476" s="271">
        <f ca="1">IF(D2476="","",IF(OFFSET(D2476,-1,0)&lt;&gt;"","",IF(OR(J2476="リード付け",J2476="巻足し",J2476="巻返しリード付け"),M2476,VLOOKUP(D2476,契約台帳!$A$3:$N$4986,14,FALSE))))</f>
        <v>1005</v>
      </c>
      <c r="S2476" s="272">
        <f ca="1">IF(D2476="","",IF(OFFSET(D2476,-1,0)&lt;&gt;"","",IF(OR(J2476="リード付け",J2476="巻足し",J2476="巻返しリード付け"),M2476,VLOOKUP(D2476,契約台帳!$A$3:$O$4986,15,FALSE))))</f>
        <v>1005</v>
      </c>
      <c r="T2476" s="273">
        <f ca="1">IF(D2476="","",IF(J2476="リード付け",N2476,IF(J2476="巻返しリード付け",N2476,IF(J2476="巻足し",N2476*P2476+OFFSET(N2476,1,0)*OFFSET(P2476,1,0),VLOOKUP(D2476,契約台帳!$A$3:$P$4986,16,FALSE)))))</f>
        <v>12300</v>
      </c>
      <c r="U2476" s="40">
        <v>1</v>
      </c>
      <c r="V2476" s="274">
        <f ca="1">IF(D2476="","",IF(OFFSET(D2476,-2,0)=D2476,"",VLOOKUP(D2476,契約台帳!$A$3:$R$4986,18,FALSE)))</f>
        <v>3</v>
      </c>
      <c r="W2476" s="269" t="str">
        <f ca="1">IF(D2476="","",IF(T2476="","",IF(OR(J2476="巻足し",J2476="巻返しリード付け"),"",IF(J2476="巻返し",VLOOKUP(F2476&amp;K2476&amp;M2476,製品マスタ!$M$5:$AD$5002,18,FALSE),IF(OR(J2476="リード付け",J2476="巻返しリード付け"),"原反コア",IF(J2476="スリット",VLOOKUP(F2476&amp;K2476&amp;R2476,製品マスタ!$N$5:$AD$5002,17,FALSE),""))))))</f>
        <v/>
      </c>
      <c r="X2476" s="269" t="str">
        <f ca="1">IF(D2476="","",IF(T2476="","",IF(J2476="巻足し","",IF(J2476="巻返し",VLOOKUP(F2476&amp;K2476&amp;M2476,製品マスタ!$M$5:$AE$5002,19,FALSE),IF(OR(J2476="リード付け",J2476="巻返しリード付け"),"",IF(J2476="スリット",VLOOKUP(F2476&amp;K2476&amp;R2476,製品マスタ!$N$5:$AE$5002,18,FALSE),""))))))</f>
        <v/>
      </c>
      <c r="Y2476" s="275">
        <f ca="1">IF(D2476="","",IF(T2476="","",VLOOKUP(D2476,契約台帳!$A$3:$Q$4986,17,FALSE)))</f>
        <v>2</v>
      </c>
      <c r="Z2476" s="269" t="str">
        <f ca="1">IF(D2476="","",IF(T2476="","",VLOOKUP(D2476,契約台帳!$A$3:$E$4986,5,FALSE)))</f>
        <v>リンテック㈱</v>
      </c>
      <c r="AA2476" s="57"/>
      <c r="AB2476" s="207">
        <f>IFERROR((VLOOKUP(F2476&amp;K2476&amp;M2476,製品マスタ!$M$5:$AM$5002,27,FALSE)),"")</f>
        <v>0</v>
      </c>
      <c r="AC2476" s="33"/>
      <c r="AD2476" s="189"/>
      <c r="AE2476" s="54"/>
      <c r="AF2476" s="55">
        <f>+M2476*N2476*O2476/1000</f>
        <v>12361.5</v>
      </c>
      <c r="AG2476" s="43"/>
      <c r="AH2476" s="47"/>
      <c r="AI2476" s="30"/>
      <c r="AJ2476" s="30"/>
      <c r="AK2476" s="30"/>
      <c r="AL2476" s="30"/>
      <c r="AM2476" s="13"/>
      <c r="AN2476" s="13"/>
      <c r="AO2476" s="13"/>
      <c r="AP2476" s="13"/>
      <c r="AQ2476" s="13"/>
      <c r="AR2476" s="14"/>
      <c r="AS2476" s="15"/>
    </row>
    <row r="2477" spans="1:45" s="17" customFormat="1" ht="30.95" hidden="1" customHeight="1" x14ac:dyDescent="0.2">
      <c r="A2477" s="343"/>
      <c r="B2477" s="344"/>
      <c r="C2477" s="345"/>
      <c r="D2477" s="346"/>
      <c r="E2477" s="346"/>
      <c r="F2477" s="268"/>
      <c r="G2477" s="269"/>
      <c r="H2477" s="269"/>
      <c r="I2477" s="270"/>
      <c r="J2477" s="434"/>
      <c r="K2477" s="270"/>
      <c r="L2477" s="270"/>
      <c r="M2477" s="348"/>
      <c r="N2477" s="348"/>
      <c r="O2477" s="435"/>
      <c r="P2477" s="349"/>
      <c r="Q2477" s="350"/>
      <c r="R2477" s="271"/>
      <c r="S2477" s="272"/>
      <c r="T2477" s="273"/>
      <c r="U2477" s="351"/>
      <c r="V2477" s="274"/>
      <c r="W2477" s="269"/>
      <c r="X2477" s="269"/>
      <c r="Y2477" s="275"/>
      <c r="Z2477" s="269"/>
      <c r="AA2477" s="350"/>
      <c r="AB2477" s="207"/>
      <c r="AC2477" s="352"/>
      <c r="AD2477" s="353"/>
      <c r="AE2477" s="54"/>
      <c r="AF2477" s="354"/>
      <c r="AG2477" s="355"/>
      <c r="AH2477" s="349"/>
      <c r="AI2477" s="30"/>
      <c r="AJ2477" s="30"/>
      <c r="AK2477" s="30"/>
      <c r="AL2477" s="30"/>
      <c r="AM2477" s="13"/>
      <c r="AN2477" s="13"/>
      <c r="AO2477" s="13"/>
      <c r="AP2477" s="13"/>
      <c r="AQ2477" s="13"/>
      <c r="AR2477" s="14"/>
      <c r="AS2477" s="15"/>
    </row>
    <row r="2478" spans="1:45" s="17" customFormat="1" ht="30.95" hidden="1" customHeight="1" x14ac:dyDescent="0.2">
      <c r="A2478" s="343" t="s">
        <v>562</v>
      </c>
      <c r="B2478" s="344" t="s">
        <v>445</v>
      </c>
      <c r="C2478" s="345"/>
      <c r="D2478" s="346"/>
      <c r="E2478" s="346"/>
      <c r="F2478" s="268"/>
      <c r="G2478" s="269"/>
      <c r="H2478" s="269"/>
      <c r="I2478" s="270"/>
      <c r="J2478" s="434" t="s">
        <v>448</v>
      </c>
      <c r="K2478" s="270"/>
      <c r="L2478" s="270"/>
      <c r="M2478" s="348"/>
      <c r="N2478" s="348"/>
      <c r="O2478" s="435"/>
      <c r="P2478" s="349"/>
      <c r="Q2478" s="350"/>
      <c r="R2478" s="271"/>
      <c r="S2478" s="272"/>
      <c r="T2478" s="273"/>
      <c r="U2478" s="351"/>
      <c r="V2478" s="274"/>
      <c r="W2478" s="269"/>
      <c r="X2478" s="269"/>
      <c r="Y2478" s="275"/>
      <c r="Z2478" s="269"/>
      <c r="AA2478" s="350"/>
      <c r="AB2478" s="207"/>
      <c r="AC2478" s="352"/>
      <c r="AD2478" s="353"/>
      <c r="AE2478" s="54"/>
      <c r="AF2478" s="354"/>
      <c r="AG2478" s="355"/>
      <c r="AH2478" s="349"/>
      <c r="AI2478" s="30"/>
      <c r="AJ2478" s="30"/>
      <c r="AK2478" s="30"/>
      <c r="AL2478" s="30"/>
      <c r="AM2478" s="13"/>
      <c r="AN2478" s="13"/>
      <c r="AO2478" s="13"/>
      <c r="AP2478" s="13"/>
      <c r="AQ2478" s="13"/>
      <c r="AR2478" s="14"/>
      <c r="AS2478" s="15"/>
    </row>
    <row r="2479" spans="1:45" s="17" customFormat="1" ht="30.95" hidden="1" customHeight="1" x14ac:dyDescent="0.2">
      <c r="A2479" s="343"/>
      <c r="B2479" s="344"/>
      <c r="C2479" s="345"/>
      <c r="D2479" s="346"/>
      <c r="E2479" s="346"/>
      <c r="F2479" s="268"/>
      <c r="G2479" s="269"/>
      <c r="H2479" s="269"/>
      <c r="I2479" s="270"/>
      <c r="J2479" s="434"/>
      <c r="K2479" s="270"/>
      <c r="L2479" s="270"/>
      <c r="M2479" s="348"/>
      <c r="N2479" s="348"/>
      <c r="O2479" s="435"/>
      <c r="P2479" s="349"/>
      <c r="Q2479" s="350"/>
      <c r="R2479" s="271"/>
      <c r="S2479" s="272"/>
      <c r="T2479" s="273"/>
      <c r="U2479" s="351"/>
      <c r="V2479" s="274"/>
      <c r="W2479" s="269"/>
      <c r="X2479" s="269"/>
      <c r="Y2479" s="275"/>
      <c r="Z2479" s="269"/>
      <c r="AA2479" s="350"/>
      <c r="AB2479" s="207"/>
      <c r="AC2479" s="352"/>
      <c r="AD2479" s="353"/>
      <c r="AE2479" s="54"/>
      <c r="AF2479" s="354"/>
      <c r="AG2479" s="355"/>
      <c r="AH2479" s="349"/>
      <c r="AI2479" s="30"/>
      <c r="AJ2479" s="30"/>
      <c r="AK2479" s="30"/>
      <c r="AL2479" s="30"/>
      <c r="AM2479" s="13"/>
      <c r="AN2479" s="13"/>
      <c r="AO2479" s="13"/>
      <c r="AP2479" s="13"/>
      <c r="AQ2479" s="13"/>
      <c r="AR2479" s="14"/>
      <c r="AS2479" s="15"/>
    </row>
    <row r="2480" spans="1:45" s="17" customFormat="1" ht="30.95" hidden="1" customHeight="1" x14ac:dyDescent="0.2">
      <c r="A2480" s="343" t="s">
        <v>563</v>
      </c>
      <c r="B2480" s="344" t="s">
        <v>446</v>
      </c>
      <c r="C2480" s="345"/>
      <c r="D2480" s="346"/>
      <c r="E2480" s="346"/>
      <c r="F2480" s="268"/>
      <c r="G2480" s="269"/>
      <c r="H2480" s="269"/>
      <c r="I2480" s="270"/>
      <c r="J2480" s="434" t="s">
        <v>448</v>
      </c>
      <c r="K2480" s="270"/>
      <c r="L2480" s="270"/>
      <c r="M2480" s="348"/>
      <c r="N2480" s="348"/>
      <c r="O2480" s="435"/>
      <c r="P2480" s="349"/>
      <c r="Q2480" s="350"/>
      <c r="R2480" s="271"/>
      <c r="S2480" s="272"/>
      <c r="T2480" s="273"/>
      <c r="U2480" s="351"/>
      <c r="V2480" s="274"/>
      <c r="W2480" s="269"/>
      <c r="X2480" s="269"/>
      <c r="Y2480" s="275"/>
      <c r="Z2480" s="269"/>
      <c r="AA2480" s="350"/>
      <c r="AB2480" s="207"/>
      <c r="AC2480" s="352"/>
      <c r="AD2480" s="353"/>
      <c r="AE2480" s="54"/>
      <c r="AF2480" s="354"/>
      <c r="AG2480" s="355"/>
      <c r="AH2480" s="349"/>
      <c r="AI2480" s="30"/>
      <c r="AJ2480" s="30"/>
      <c r="AK2480" s="30"/>
      <c r="AL2480" s="30"/>
      <c r="AM2480" s="13"/>
      <c r="AN2480" s="13"/>
      <c r="AO2480" s="13"/>
      <c r="AP2480" s="13"/>
      <c r="AQ2480" s="13"/>
      <c r="AR2480" s="14"/>
      <c r="AS2480" s="15"/>
    </row>
    <row r="2481" spans="1:45" s="17" customFormat="1" ht="30.95" hidden="1" customHeight="1" x14ac:dyDescent="0.2">
      <c r="A2481" s="343"/>
      <c r="B2481" s="344"/>
      <c r="C2481" s="345"/>
      <c r="D2481" s="346"/>
      <c r="E2481" s="346"/>
      <c r="F2481" s="268"/>
      <c r="G2481" s="269"/>
      <c r="H2481" s="269"/>
      <c r="I2481" s="270"/>
      <c r="J2481" s="434"/>
      <c r="K2481" s="270"/>
      <c r="L2481" s="270"/>
      <c r="M2481" s="348"/>
      <c r="N2481" s="348"/>
      <c r="O2481" s="435"/>
      <c r="P2481" s="349"/>
      <c r="Q2481" s="350"/>
      <c r="R2481" s="271"/>
      <c r="S2481" s="272"/>
      <c r="T2481" s="273"/>
      <c r="U2481" s="351"/>
      <c r="V2481" s="274"/>
      <c r="W2481" s="269"/>
      <c r="X2481" s="269"/>
      <c r="Y2481" s="275"/>
      <c r="Z2481" s="269"/>
      <c r="AA2481" s="350"/>
      <c r="AB2481" s="207"/>
      <c r="AC2481" s="352"/>
      <c r="AD2481" s="353"/>
      <c r="AE2481" s="54"/>
      <c r="AF2481" s="354"/>
      <c r="AG2481" s="355"/>
      <c r="AH2481" s="349"/>
      <c r="AI2481" s="30"/>
      <c r="AJ2481" s="30"/>
      <c r="AK2481" s="30"/>
      <c r="AL2481" s="30"/>
      <c r="AM2481" s="13"/>
      <c r="AN2481" s="13"/>
      <c r="AO2481" s="13"/>
      <c r="AP2481" s="13"/>
      <c r="AQ2481" s="13"/>
      <c r="AR2481" s="14"/>
      <c r="AS2481" s="15"/>
    </row>
    <row r="2482" spans="1:45" s="17" customFormat="1" ht="30.95" hidden="1" customHeight="1" x14ac:dyDescent="0.2">
      <c r="A2482" s="343" t="s">
        <v>564</v>
      </c>
      <c r="B2482" s="344" t="s">
        <v>462</v>
      </c>
      <c r="C2482" s="345"/>
      <c r="D2482" s="346"/>
      <c r="E2482" s="346"/>
      <c r="F2482" s="268"/>
      <c r="G2482" s="269"/>
      <c r="H2482" s="269"/>
      <c r="I2482" s="270"/>
      <c r="J2482" s="434" t="s">
        <v>448</v>
      </c>
      <c r="K2482" s="270"/>
      <c r="L2482" s="270"/>
      <c r="M2482" s="348"/>
      <c r="N2482" s="348"/>
      <c r="O2482" s="435"/>
      <c r="P2482" s="349"/>
      <c r="Q2482" s="350"/>
      <c r="R2482" s="271"/>
      <c r="S2482" s="272"/>
      <c r="T2482" s="273"/>
      <c r="U2482" s="351"/>
      <c r="V2482" s="274"/>
      <c r="W2482" s="269"/>
      <c r="X2482" s="269"/>
      <c r="Y2482" s="275"/>
      <c r="Z2482" s="269"/>
      <c r="AA2482" s="350"/>
      <c r="AB2482" s="207"/>
      <c r="AC2482" s="352"/>
      <c r="AD2482" s="353"/>
      <c r="AE2482" s="54"/>
      <c r="AF2482" s="354"/>
      <c r="AG2482" s="355"/>
      <c r="AH2482" s="349"/>
      <c r="AI2482" s="30"/>
      <c r="AJ2482" s="30"/>
      <c r="AK2482" s="30"/>
      <c r="AL2482" s="30"/>
      <c r="AM2482" s="13"/>
      <c r="AN2482" s="13"/>
      <c r="AO2482" s="13"/>
      <c r="AP2482" s="13"/>
      <c r="AQ2482" s="13"/>
      <c r="AR2482" s="14"/>
      <c r="AS2482" s="15"/>
    </row>
    <row r="2483" spans="1:45" s="17" customFormat="1" ht="30.95" hidden="1" customHeight="1" x14ac:dyDescent="0.2">
      <c r="A2483" s="343"/>
      <c r="B2483" s="344"/>
      <c r="C2483" s="345"/>
      <c r="D2483" s="346"/>
      <c r="E2483" s="346"/>
      <c r="F2483" s="268"/>
      <c r="G2483" s="269"/>
      <c r="H2483" s="269"/>
      <c r="I2483" s="270"/>
      <c r="J2483" s="434"/>
      <c r="K2483" s="270"/>
      <c r="L2483" s="270"/>
      <c r="M2483" s="348"/>
      <c r="N2483" s="348"/>
      <c r="O2483" s="435"/>
      <c r="P2483" s="349"/>
      <c r="Q2483" s="350"/>
      <c r="R2483" s="271"/>
      <c r="S2483" s="272"/>
      <c r="T2483" s="273"/>
      <c r="U2483" s="351"/>
      <c r="V2483" s="274"/>
      <c r="W2483" s="269"/>
      <c r="X2483" s="269"/>
      <c r="Y2483" s="275"/>
      <c r="Z2483" s="269"/>
      <c r="AA2483" s="350"/>
      <c r="AB2483" s="207"/>
      <c r="AC2483" s="352"/>
      <c r="AD2483" s="353"/>
      <c r="AE2483" s="54"/>
      <c r="AF2483" s="354"/>
      <c r="AG2483" s="355"/>
      <c r="AH2483" s="349"/>
      <c r="AI2483" s="30"/>
      <c r="AJ2483" s="30"/>
      <c r="AK2483" s="30"/>
      <c r="AL2483" s="30"/>
      <c r="AM2483" s="13"/>
      <c r="AN2483" s="13"/>
      <c r="AO2483" s="13"/>
      <c r="AP2483" s="13"/>
      <c r="AQ2483" s="13"/>
      <c r="AR2483" s="14"/>
      <c r="AS2483" s="15"/>
    </row>
    <row r="2484" spans="1:45" s="17" customFormat="1" ht="30.6" hidden="1" customHeight="1" x14ac:dyDescent="0.2">
      <c r="A2484" s="343" t="s">
        <v>3126</v>
      </c>
      <c r="B2484" s="344" t="s">
        <v>3115</v>
      </c>
      <c r="C2484" s="45"/>
      <c r="D2484" s="31">
        <v>3776278</v>
      </c>
      <c r="E2484" s="31">
        <v>4162517</v>
      </c>
      <c r="F2484" s="268" t="s">
        <v>927</v>
      </c>
      <c r="G2484" s="269" t="s">
        <v>3114</v>
      </c>
      <c r="H2484" s="269" t="s">
        <v>3169</v>
      </c>
      <c r="I2484" s="270" t="s">
        <v>3170</v>
      </c>
      <c r="J2484" s="210" t="s">
        <v>464</v>
      </c>
      <c r="K2484" s="270">
        <v>50</v>
      </c>
      <c r="L2484" s="270" t="s">
        <v>168</v>
      </c>
      <c r="M2484" s="39">
        <v>1005</v>
      </c>
      <c r="N2484" s="39">
        <v>4000</v>
      </c>
      <c r="O2484" s="156">
        <v>1</v>
      </c>
      <c r="P2484" s="47">
        <v>1</v>
      </c>
      <c r="Q2484" s="213">
        <v>45544</v>
      </c>
      <c r="R2484" s="271">
        <v>1005</v>
      </c>
      <c r="S2484" s="272">
        <v>1005</v>
      </c>
      <c r="T2484" s="273">
        <v>4000</v>
      </c>
      <c r="U2484" s="40">
        <v>1</v>
      </c>
      <c r="V2484" s="274">
        <v>1</v>
      </c>
      <c r="W2484" s="269" t="s">
        <v>928</v>
      </c>
      <c r="X2484" s="269" t="s">
        <v>928</v>
      </c>
      <c r="Y2484" s="275">
        <v>2</v>
      </c>
      <c r="Z2484" s="269" t="s">
        <v>3127</v>
      </c>
      <c r="AA2484" s="57"/>
      <c r="AB2484" s="303" t="s">
        <v>774</v>
      </c>
      <c r="AC2484" s="33"/>
      <c r="AD2484" s="189"/>
      <c r="AE2484" s="54"/>
      <c r="AF2484" s="55">
        <f>+M2484*N2484*O2484/1000</f>
        <v>4020</v>
      </c>
      <c r="AG2484" s="43"/>
      <c r="AH2484" s="47"/>
      <c r="AI2484" s="30"/>
      <c r="AJ2484" s="30"/>
      <c r="AK2484" s="30"/>
      <c r="AL2484" s="30"/>
      <c r="AM2484" s="13"/>
      <c r="AN2484" s="13"/>
      <c r="AO2484" s="13"/>
      <c r="AP2484" s="13"/>
      <c r="AQ2484" s="13"/>
      <c r="AR2484" s="14"/>
      <c r="AS2484" s="15"/>
    </row>
    <row r="2485" spans="1:45" s="17" customFormat="1" ht="30.95" hidden="1" customHeight="1" x14ac:dyDescent="0.2">
      <c r="A2485" s="343"/>
      <c r="B2485" s="344"/>
      <c r="C2485" s="345"/>
      <c r="D2485" s="346"/>
      <c r="E2485" s="346"/>
      <c r="F2485" s="268"/>
      <c r="G2485" s="269"/>
      <c r="H2485" s="269"/>
      <c r="I2485" s="270"/>
      <c r="J2485" s="434"/>
      <c r="K2485" s="270"/>
      <c r="L2485" s="270"/>
      <c r="M2485" s="348"/>
      <c r="N2485" s="348"/>
      <c r="O2485" s="435"/>
      <c r="P2485" s="349"/>
      <c r="Q2485" s="350"/>
      <c r="R2485" s="271"/>
      <c r="S2485" s="272"/>
      <c r="T2485" s="273"/>
      <c r="U2485" s="351"/>
      <c r="V2485" s="274"/>
      <c r="W2485" s="269"/>
      <c r="X2485" s="269"/>
      <c r="Y2485" s="275"/>
      <c r="Z2485" s="269"/>
      <c r="AA2485" s="350"/>
      <c r="AB2485" s="207"/>
      <c r="AC2485" s="352"/>
      <c r="AD2485" s="353"/>
      <c r="AE2485" s="54"/>
      <c r="AF2485" s="354"/>
      <c r="AG2485" s="355"/>
      <c r="AH2485" s="349"/>
      <c r="AI2485" s="30"/>
      <c r="AJ2485" s="30"/>
      <c r="AK2485" s="30"/>
      <c r="AL2485" s="30"/>
      <c r="AM2485" s="13"/>
      <c r="AN2485" s="13"/>
      <c r="AO2485" s="13"/>
      <c r="AP2485" s="13"/>
      <c r="AQ2485" s="13"/>
      <c r="AR2485" s="14"/>
      <c r="AS2485" s="15"/>
    </row>
    <row r="2486" spans="1:45" s="17" customFormat="1" ht="30.6" hidden="1" customHeight="1" x14ac:dyDescent="0.2">
      <c r="A2486" s="343"/>
      <c r="B2486" s="344"/>
      <c r="C2486" s="45"/>
      <c r="D2486" s="31">
        <v>3770586</v>
      </c>
      <c r="E2486" s="31">
        <v>4162474</v>
      </c>
      <c r="F2486" s="268" t="str">
        <f>IF(D2486="","",VLOOKUP(D2486,契約台帳!$A$3:$K$4986,6,FALSE)&amp;VLOOKUP(D2486,契約台帳!$A$3:$K$4986,7,FALSE)&amp;VLOOKUP(D2486,契約台帳!$A$3:$K$4986,8,FALSE)&amp;VLOOKUP(D2486,契約台帳!$A$3:$K$4986,9,FALSE)&amp;VLOOKUP(D2486,契約台帳!$A$3:$K$4986,11,FALSE))</f>
        <v>3SNMLBMNNGKBF</v>
      </c>
      <c r="G2486" s="269" t="str">
        <f>IF(D2486="","",VLOOKUP(F2486,製品マスタ!$G$5:$H$5002,2,FALSE))</f>
        <v>S</v>
      </c>
      <c r="H2486" s="269" t="str">
        <f>IF(D2486="","",VLOOKUP(F2486,製品マスタ!$G$5:$K$5002,5,FALSE))</f>
        <v>MNNGKBF</v>
      </c>
      <c r="I2486" s="270" t="str">
        <f>IF(D2486="","",VLOOKUP(F2486,製品マスタ!$G$5:$L$5002,6,FALSE))</f>
        <v>メタルミー　ニューネーマー銀消　Ｂ</v>
      </c>
      <c r="J2486" s="210" t="s">
        <v>935</v>
      </c>
      <c r="K2486" s="270">
        <f>IF(D2486="","",VLOOKUP(D2486,契約台帳!$A$3:$L$4986,12,FALSE))</f>
        <v>50</v>
      </c>
      <c r="L2486" s="270" t="str">
        <f>IF(D2486="","",INDEX(製品マスタ!$Q$5:$Q$5002,MATCH('S4'!F2486&amp;'S4'!K2486,製品マスタ!$AO$5:$AO$5002,0)))</f>
        <v>X44</v>
      </c>
      <c r="M2486" s="39">
        <v>1000</v>
      </c>
      <c r="N2486" s="39">
        <v>4000</v>
      </c>
      <c r="O2486" s="156">
        <v>18</v>
      </c>
      <c r="P2486" s="47">
        <v>3</v>
      </c>
      <c r="Q2486" s="213">
        <v>45547</v>
      </c>
      <c r="R2486" s="271">
        <f ca="1">IF(D2486="","",IF(OFFSET(D2486,-1,0)&lt;&gt;"","",IF(OR(J2486="リード付け",J2486="巻足し",J2486="巻返しリード付け"),M2486,VLOOKUP(D2486,契約台帳!$A$3:$N$4986,14,FALSE))))</f>
        <v>1000</v>
      </c>
      <c r="S2486" s="272">
        <f ca="1">IF(D2486="","",IF(OFFSET(D2486,-1,0)&lt;&gt;"","",IF(OR(J2486="リード付け",J2486="巻足し",J2486="巻返しリード付け"),M2486,VLOOKUP(D2486,契約台帳!$A$3:$O$4986,15,FALSE))))</f>
        <v>1000</v>
      </c>
      <c r="T2486" s="273">
        <f ca="1">IF(D2486="","",IF(J2486="リード付け",N2486,IF(J2486="巻返しリード付け",N2486,IF(J2486="巻足し",N2486*P2486+OFFSET(N2486,1,0)*OFFSET(P2486,1,0),VLOOKUP(D2486,契約台帳!$A$3:$P$4986,16,FALSE)))))</f>
        <v>12000</v>
      </c>
      <c r="U2486" s="40">
        <v>6</v>
      </c>
      <c r="V2486" s="274">
        <f ca="1">IF(D2486="","",IF(OFFSET(D2486,-2,0)=D2486,"",VLOOKUP(D2486,契約台帳!$A$3:$R$4986,18,FALSE)))</f>
        <v>18</v>
      </c>
      <c r="W2486" s="269" t="str">
        <f ca="1">IF(D2486="","",IF(T2486="","",IF(OR(J2486="巻足し",J2486="巻返しリード付け"),"",IF(J2486="巻返し",VLOOKUP(F2486&amp;K2486&amp;M2486,製品マスタ!$M$5:$AD$5002,18,FALSE),IF(OR(J2486="リード付け",J2486="巻返しリード付け"),"原反コア",IF(J2486="スリット",VLOOKUP(F2486&amp;K2486&amp;R2486,製品マスタ!$N$5:$AD$5002,17,FALSE),""))))))</f>
        <v/>
      </c>
      <c r="X2486" s="269" t="str">
        <f ca="1">IF(D2486="","",IF(T2486="","",IF(J2486="巻足し","",IF(J2486="巻返し",VLOOKUP(F2486&amp;K2486&amp;M2486,製品マスタ!$M$5:$AE$5002,19,FALSE),IF(OR(J2486="リード付け",J2486="巻返しリード付け"),"",IF(J2486="スリット",VLOOKUP(F2486&amp;K2486&amp;R2486,製品マスタ!$N$5:$AE$5002,18,FALSE),""))))))</f>
        <v/>
      </c>
      <c r="Y2486" s="275">
        <f ca="1">IF(D2486="","",IF(T2486="","",VLOOKUP(D2486,契約台帳!$A$3:$Q$4986,17,FALSE)))</f>
        <v>2</v>
      </c>
      <c r="Z2486" s="269" t="str">
        <f ca="1">IF(D2486="","",IF(T2486="","",VLOOKUP(D2486,契約台帳!$A$3:$E$4986,5,FALSE)))</f>
        <v>リンテック㈱</v>
      </c>
      <c r="AA2486" s="57"/>
      <c r="AB2486" s="207" t="str">
        <f>IFERROR((VLOOKUP(F2486&amp;K2486&amp;M2486,製品マスタ!$M$5:$AM$5002,27,FALSE)),"")</f>
        <v>原反ケース再利用</v>
      </c>
      <c r="AC2486" s="33"/>
      <c r="AD2486" s="189"/>
      <c r="AE2486" s="54"/>
      <c r="AF2486" s="55">
        <f>+M2486*N2486*O2486/1000</f>
        <v>72000</v>
      </c>
      <c r="AG2486" s="43"/>
      <c r="AH2486" s="47"/>
      <c r="AI2486" s="30"/>
      <c r="AJ2486" s="30"/>
      <c r="AK2486" s="30"/>
      <c r="AL2486" s="30"/>
      <c r="AM2486" s="13"/>
      <c r="AN2486" s="13"/>
      <c r="AO2486" s="13"/>
      <c r="AP2486" s="13"/>
      <c r="AQ2486" s="13"/>
      <c r="AR2486" s="14"/>
      <c r="AS2486" s="15"/>
    </row>
    <row r="2487" spans="1:45" s="17" customFormat="1" ht="30.95" hidden="1" customHeight="1" x14ac:dyDescent="0.2">
      <c r="A2487" s="343"/>
      <c r="B2487" s="344"/>
      <c r="C2487" s="345"/>
      <c r="D2487" s="346"/>
      <c r="E2487" s="346"/>
      <c r="F2487" s="268"/>
      <c r="G2487" s="269"/>
      <c r="H2487" s="269"/>
      <c r="I2487" s="270"/>
      <c r="J2487" s="434"/>
      <c r="K2487" s="270"/>
      <c r="L2487" s="270"/>
      <c r="M2487" s="348"/>
      <c r="N2487" s="348"/>
      <c r="O2487" s="435"/>
      <c r="P2487" s="349"/>
      <c r="Q2487" s="350"/>
      <c r="R2487" s="271"/>
      <c r="S2487" s="272"/>
      <c r="T2487" s="273"/>
      <c r="U2487" s="351"/>
      <c r="V2487" s="274"/>
      <c r="W2487" s="269"/>
      <c r="X2487" s="269"/>
      <c r="Y2487" s="275"/>
      <c r="Z2487" s="269"/>
      <c r="AA2487" s="350"/>
      <c r="AB2487" s="207"/>
      <c r="AC2487" s="352"/>
      <c r="AD2487" s="353"/>
      <c r="AE2487" s="54"/>
      <c r="AF2487" s="354"/>
      <c r="AG2487" s="355"/>
      <c r="AH2487" s="349"/>
      <c r="AI2487" s="30"/>
      <c r="AJ2487" s="30"/>
      <c r="AK2487" s="30"/>
      <c r="AL2487" s="30"/>
      <c r="AM2487" s="13"/>
      <c r="AN2487" s="13"/>
      <c r="AO2487" s="13"/>
      <c r="AP2487" s="13"/>
      <c r="AQ2487" s="13"/>
      <c r="AR2487" s="14"/>
      <c r="AS2487" s="15"/>
    </row>
    <row r="2488" spans="1:45" s="17" customFormat="1" ht="30.6" hidden="1" customHeight="1" x14ac:dyDescent="0.2">
      <c r="A2488" s="343"/>
      <c r="B2488" s="344"/>
      <c r="C2488" s="45"/>
      <c r="D2488" s="31">
        <v>3774181</v>
      </c>
      <c r="E2488" s="31">
        <v>4162518</v>
      </c>
      <c r="F2488" s="268" t="str">
        <f>IF(D2488="","",VLOOKUP(D2488,契約台帳!$A$3:$K$4986,6,FALSE)&amp;VLOOKUP(D2488,契約台帳!$A$3:$K$4986,7,FALSE)&amp;VLOOKUP(D2488,契約台帳!$A$3:$K$4986,8,FALSE)&amp;VLOOKUP(D2488,契約台帳!$A$3:$K$4986,9,FALSE)&amp;VLOOKUP(D2488,契約台帳!$A$3:$K$4986,11,FALSE))</f>
        <v>3SNMLBMNGTBF</v>
      </c>
      <c r="G2488" s="269" t="str">
        <f>IF(D2488="","",VLOOKUP(F2488,製品マスタ!$G$5:$H$5002,2,FALSE))</f>
        <v>S</v>
      </c>
      <c r="H2488" s="269" t="str">
        <f>IF(D2488="","",VLOOKUP(F2488,製品マスタ!$G$5:$K$5002,5,FALSE))</f>
        <v>MNGTBF</v>
      </c>
      <c r="I2488" s="270" t="str">
        <f>IF(D2488="","",VLOOKUP(F2488,製品マスタ!$G$5:$L$5002,6,FALSE))</f>
        <v>メタルミー　ネーマー　銀艶　Ｂ</v>
      </c>
      <c r="J2488" s="210" t="s">
        <v>464</v>
      </c>
      <c r="K2488" s="270">
        <f>IF(D2488="","",VLOOKUP(D2488,契約台帳!$A$3:$L$4986,12,FALSE))</f>
        <v>25</v>
      </c>
      <c r="L2488" s="270" t="str">
        <f>IF(D2488="","",INDEX(製品マスタ!$Q$5:$Q$5002,MATCH('S4'!F2488&amp;'S4'!K2488,製品マスタ!$AO$5:$AO$5002,0)))</f>
        <v>T62M</v>
      </c>
      <c r="M2488" s="39">
        <v>1125</v>
      </c>
      <c r="N2488" s="39">
        <v>12100</v>
      </c>
      <c r="O2488" s="156">
        <v>1</v>
      </c>
      <c r="P2488" s="47">
        <v>1</v>
      </c>
      <c r="Q2488" s="213">
        <v>45546</v>
      </c>
      <c r="R2488" s="271">
        <f ca="1">IF(D2488="","",IF(OFFSET(D2488,-1,0)&lt;&gt;"","",IF(OR(J2488="リード付け",J2488="巻足し",J2488="巻返しリード付け"),M2488,VLOOKUP(D2488,契約台帳!$A$3:$N$4986,14,FALSE))))</f>
        <v>1125</v>
      </c>
      <c r="S2488" s="272">
        <f ca="1">IF(D2488="","",IF(OFFSET(D2488,-1,0)&lt;&gt;"","",IF(OR(J2488="リード付け",J2488="巻足し",J2488="巻返しリード付け"),M2488,VLOOKUP(D2488,契約台帳!$A$3:$O$4986,15,FALSE))))</f>
        <v>1125</v>
      </c>
      <c r="T2488" s="273">
        <f ca="1">IF(D2488="","",IF(J2488="リード付け",N2488,IF(J2488="巻返しリード付け",N2488,IF(J2488="巻足し",N2488*P2488+OFFSET(N2488,1,0)*OFFSET(P2488,1,0),VLOOKUP(D2488,契約台帳!$A$3:$P$4986,16,FALSE)))))</f>
        <v>12100</v>
      </c>
      <c r="U2488" s="40">
        <v>1</v>
      </c>
      <c r="V2488" s="274">
        <f ca="1">IF(D2488="","",IF(OFFSET(D2488,-2,0)=D2488,"",VLOOKUP(D2488,契約台帳!$A$3:$R$4986,18,FALSE)))</f>
        <v>3</v>
      </c>
      <c r="W2488" s="269" t="str">
        <f ca="1">IF(D2488="","",IF(T2488="","",IF(OR(J2488="巻足し",J2488="巻返しリード付け"),"",IF(J2488="巻返し",VLOOKUP(F2488&amp;K2488&amp;M2488,製品マスタ!$M$5:$AD$5002,18,FALSE),IF(OR(J2488="リード付け",J2488="巻返しリード付け"),"原反コア",IF(J2488="スリット",VLOOKUP(F2488&amp;K2488&amp;R2488,製品マスタ!$N$5:$AD$5002,17,FALSE),""))))))</f>
        <v>原反コア</v>
      </c>
      <c r="X2488" s="269" t="str">
        <f ca="1">IF(D2488="","",IF(T2488="","",IF(J2488="巻足し","",IF(J2488="巻返し",VLOOKUP(F2488&amp;K2488&amp;M2488,製品マスタ!$M$5:$AE$5002,19,FALSE),IF(OR(J2488="リード付け",J2488="巻返しリード付け"),"",IF(J2488="スリット",VLOOKUP(F2488&amp;K2488&amp;R2488,製品マスタ!$N$5:$AE$5002,18,FALSE),""))))))</f>
        <v/>
      </c>
      <c r="Y2488" s="275">
        <f ca="1">IF(D2488="","",IF(T2488="","",VLOOKUP(D2488,契約台帳!$A$3:$Q$4986,17,FALSE)))</f>
        <v>2</v>
      </c>
      <c r="Z2488" s="269" t="str">
        <f ca="1">IF(D2488="","",IF(T2488="","",VLOOKUP(D2488,契約台帳!$A$3:$E$4986,5,FALSE)))</f>
        <v>リンテック㈱</v>
      </c>
      <c r="AA2488" s="57"/>
      <c r="AB2488" s="207"/>
      <c r="AC2488" s="33"/>
      <c r="AD2488" s="189"/>
      <c r="AE2488" s="54"/>
      <c r="AF2488" s="55">
        <f>+M2488*N2488*O2488/1000</f>
        <v>13612.5</v>
      </c>
      <c r="AG2488" s="43"/>
      <c r="AH2488" s="47"/>
      <c r="AI2488" s="30"/>
      <c r="AJ2488" s="30"/>
      <c r="AK2488" s="30"/>
      <c r="AL2488" s="30"/>
      <c r="AM2488" s="13"/>
      <c r="AN2488" s="13"/>
      <c r="AO2488" s="13"/>
      <c r="AP2488" s="13"/>
      <c r="AQ2488" s="13"/>
      <c r="AR2488" s="14"/>
      <c r="AS2488" s="15"/>
    </row>
    <row r="2489" spans="1:45" s="17" customFormat="1" ht="30.95" hidden="1" customHeight="1" x14ac:dyDescent="0.2">
      <c r="A2489" s="343"/>
      <c r="B2489" s="344"/>
      <c r="C2489" s="345"/>
      <c r="D2489" s="346"/>
      <c r="E2489" s="346"/>
      <c r="F2489" s="268"/>
      <c r="G2489" s="269"/>
      <c r="H2489" s="269"/>
      <c r="I2489" s="270"/>
      <c r="J2489" s="434"/>
      <c r="K2489" s="270"/>
      <c r="L2489" s="270"/>
      <c r="M2489" s="348"/>
      <c r="N2489" s="348"/>
      <c r="O2489" s="435"/>
      <c r="P2489" s="349"/>
      <c r="Q2489" s="350"/>
      <c r="R2489" s="271"/>
      <c r="S2489" s="272"/>
      <c r="T2489" s="273"/>
      <c r="U2489" s="351"/>
      <c r="V2489" s="274"/>
      <c r="W2489" s="269"/>
      <c r="X2489" s="269"/>
      <c r="Y2489" s="275"/>
      <c r="Z2489" s="269"/>
      <c r="AA2489" s="350"/>
      <c r="AB2489" s="207"/>
      <c r="AC2489" s="352"/>
      <c r="AD2489" s="353"/>
      <c r="AE2489" s="54"/>
      <c r="AF2489" s="354"/>
      <c r="AG2489" s="355"/>
      <c r="AH2489" s="349"/>
      <c r="AI2489" s="30"/>
      <c r="AJ2489" s="30"/>
      <c r="AK2489" s="30"/>
      <c r="AL2489" s="30"/>
      <c r="AM2489" s="13"/>
      <c r="AN2489" s="13"/>
      <c r="AO2489" s="13"/>
      <c r="AP2489" s="13"/>
      <c r="AQ2489" s="13"/>
      <c r="AR2489" s="14"/>
      <c r="AS2489" s="15"/>
    </row>
    <row r="2490" spans="1:45" s="17" customFormat="1" ht="30.6" hidden="1" customHeight="1" x14ac:dyDescent="0.2">
      <c r="A2490" s="343"/>
      <c r="B2490" s="344"/>
      <c r="C2490" s="45"/>
      <c r="D2490" s="31">
        <v>3776274</v>
      </c>
      <c r="E2490" s="31">
        <v>4162519</v>
      </c>
      <c r="F2490" s="268" t="str">
        <f>IF(D2490="","",VLOOKUP(D2490,契約台帳!$A$3:$K$4986,6,FALSE)&amp;VLOOKUP(D2490,契約台帳!$A$3:$K$4986,7,FALSE)&amp;VLOOKUP(D2490,契約台帳!$A$3:$K$4986,8,FALSE)&amp;VLOOKUP(D2490,契約台帳!$A$3:$K$4986,9,FALSE)&amp;VLOOKUP(D2490,契約台帳!$A$3:$K$4986,11,FALSE))</f>
        <v>3SNMLBMNGTBF</v>
      </c>
      <c r="G2490" s="269" t="str">
        <f>IF(D2490="","",VLOOKUP(F2490,製品マスタ!$G$5:$H$5002,2,FALSE))</f>
        <v>S</v>
      </c>
      <c r="H2490" s="269" t="str">
        <f>IF(D2490="","",VLOOKUP(F2490,製品マスタ!$G$5:$K$5002,5,FALSE))</f>
        <v>MNGTBF</v>
      </c>
      <c r="I2490" s="270" t="str">
        <f>IF(D2490="","",VLOOKUP(F2490,製品マスタ!$G$5:$L$5002,6,FALSE))</f>
        <v>メタルミー　ネーマー　銀艶　Ｂ</v>
      </c>
      <c r="J2490" s="210" t="s">
        <v>464</v>
      </c>
      <c r="K2490" s="270">
        <f>IF(D2490="","",VLOOKUP(D2490,契約台帳!$A$3:$L$4986,12,FALSE))</f>
        <v>25</v>
      </c>
      <c r="L2490" s="270" t="str">
        <f>IF(D2490="","",INDEX(製品マスタ!$Q$5:$Q$5002,MATCH('S4'!F2490&amp;'S4'!K2490,製品マスタ!$AO$5:$AO$5002,0)))</f>
        <v>T62M</v>
      </c>
      <c r="M2490" s="39">
        <v>1005</v>
      </c>
      <c r="N2490" s="39">
        <v>12100</v>
      </c>
      <c r="O2490" s="156">
        <v>1</v>
      </c>
      <c r="P2490" s="47">
        <v>1</v>
      </c>
      <c r="Q2490" s="213">
        <v>45548</v>
      </c>
      <c r="R2490" s="271">
        <f ca="1">IF(D2490="","",IF(OFFSET(D2490,-1,0)&lt;&gt;"","",IF(OR(J2490="リード付け",J2490="巻足し",J2490="巻返しリード付け"),M2490,VLOOKUP(D2490,契約台帳!$A$3:$N$4986,14,FALSE))))</f>
        <v>1005</v>
      </c>
      <c r="S2490" s="272">
        <f ca="1">IF(D2490="","",IF(OFFSET(D2490,-1,0)&lt;&gt;"","",IF(OR(J2490="リード付け",J2490="巻足し",J2490="巻返しリード付け"),M2490,VLOOKUP(D2490,契約台帳!$A$3:$O$4986,15,FALSE))))</f>
        <v>1005</v>
      </c>
      <c r="T2490" s="273">
        <f ca="1">IF(D2490="","",IF(J2490="リード付け",N2490,IF(J2490="巻返しリード付け",N2490,IF(J2490="巻足し",N2490*P2490+OFFSET(N2490,1,0)*OFFSET(P2490,1,0),VLOOKUP(D2490,契約台帳!$A$3:$P$4986,16,FALSE)))))</f>
        <v>12100</v>
      </c>
      <c r="U2490" s="40">
        <v>1</v>
      </c>
      <c r="V2490" s="274">
        <f ca="1">IF(D2490="","",IF(OFFSET(D2490,-2,0)=D2490,"",VLOOKUP(D2490,契約台帳!$A$3:$R$4986,18,FALSE)))</f>
        <v>3</v>
      </c>
      <c r="W2490" s="269" t="str">
        <f ca="1">IF(D2490="","",IF(T2490="","",IF(OR(J2490="巻足し",J2490="巻返しリード付け"),"",IF(J2490="巻返し",VLOOKUP(F2490&amp;K2490&amp;M2490,製品マスタ!$M$5:$AD$5002,18,FALSE),IF(OR(J2490="リード付け",J2490="巻返しリード付け"),"原反コア",IF(J2490="スリット",VLOOKUP(F2490&amp;K2490&amp;R2490,製品マスタ!$N$5:$AD$5002,17,FALSE),""))))))</f>
        <v>原反コア</v>
      </c>
      <c r="X2490" s="269" t="str">
        <f ca="1">IF(D2490="","",IF(T2490="","",IF(J2490="巻足し","",IF(J2490="巻返し",VLOOKUP(F2490&amp;K2490&amp;M2490,製品マスタ!$M$5:$AE$5002,19,FALSE),IF(OR(J2490="リード付け",J2490="巻返しリード付け"),"",IF(J2490="スリット",VLOOKUP(F2490&amp;K2490&amp;R2490,製品マスタ!$N$5:$AE$5002,18,FALSE),""))))))</f>
        <v/>
      </c>
      <c r="Y2490" s="275">
        <f ca="1">IF(D2490="","",IF(T2490="","",VLOOKUP(D2490,契約台帳!$A$3:$Q$4986,17,FALSE)))</f>
        <v>2</v>
      </c>
      <c r="Z2490" s="269" t="str">
        <f ca="1">IF(D2490="","",IF(T2490="","",VLOOKUP(D2490,契約台帳!$A$3:$E$4986,5,FALSE)))</f>
        <v>リンテック㈱</v>
      </c>
      <c r="AA2490" s="57"/>
      <c r="AB2490" s="207"/>
      <c r="AC2490" s="33"/>
      <c r="AD2490" s="189"/>
      <c r="AE2490" s="54"/>
      <c r="AF2490" s="55">
        <f>+M2490*N2490*O2490/1000</f>
        <v>12160.5</v>
      </c>
      <c r="AG2490" s="43"/>
      <c r="AH2490" s="47"/>
      <c r="AI2490" s="30"/>
      <c r="AJ2490" s="30"/>
      <c r="AK2490" s="30"/>
      <c r="AL2490" s="30"/>
      <c r="AM2490" s="13"/>
      <c r="AN2490" s="13"/>
      <c r="AO2490" s="13"/>
      <c r="AP2490" s="13"/>
      <c r="AQ2490" s="13"/>
      <c r="AR2490" s="14"/>
      <c r="AS2490" s="15"/>
    </row>
    <row r="2491" spans="1:45" s="17" customFormat="1" ht="30.95" hidden="1" customHeight="1" x14ac:dyDescent="0.2">
      <c r="A2491" s="343"/>
      <c r="B2491" s="344"/>
      <c r="C2491" s="345"/>
      <c r="D2491" s="346"/>
      <c r="E2491" s="346"/>
      <c r="F2491" s="268"/>
      <c r="G2491" s="269"/>
      <c r="H2491" s="269"/>
      <c r="I2491" s="270"/>
      <c r="J2491" s="434"/>
      <c r="K2491" s="270"/>
      <c r="L2491" s="270"/>
      <c r="M2491" s="348"/>
      <c r="N2491" s="348"/>
      <c r="O2491" s="435"/>
      <c r="P2491" s="349"/>
      <c r="Q2491" s="350"/>
      <c r="R2491" s="271"/>
      <c r="S2491" s="272"/>
      <c r="T2491" s="273"/>
      <c r="U2491" s="351"/>
      <c r="V2491" s="274"/>
      <c r="W2491" s="269"/>
      <c r="X2491" s="269"/>
      <c r="Y2491" s="275"/>
      <c r="Z2491" s="269"/>
      <c r="AA2491" s="350"/>
      <c r="AB2491" s="207"/>
      <c r="AC2491" s="352"/>
      <c r="AD2491" s="353"/>
      <c r="AE2491" s="54"/>
      <c r="AF2491" s="354"/>
      <c r="AG2491" s="355"/>
      <c r="AH2491" s="349"/>
      <c r="AI2491" s="30"/>
      <c r="AJ2491" s="30"/>
      <c r="AK2491" s="30"/>
      <c r="AL2491" s="30"/>
      <c r="AM2491" s="13"/>
      <c r="AN2491" s="13"/>
      <c r="AO2491" s="13"/>
      <c r="AP2491" s="13"/>
      <c r="AQ2491" s="13"/>
      <c r="AR2491" s="14"/>
      <c r="AS2491" s="15"/>
    </row>
    <row r="2492" spans="1:45" s="17" customFormat="1" ht="30.95" hidden="1" customHeight="1" x14ac:dyDescent="0.2">
      <c r="A2492" s="343" t="s">
        <v>3137</v>
      </c>
      <c r="B2492" s="344" t="s">
        <v>3132</v>
      </c>
      <c r="C2492" s="345"/>
      <c r="D2492" s="346"/>
      <c r="E2492" s="346"/>
      <c r="F2492" s="268"/>
      <c r="G2492" s="269"/>
      <c r="H2492" s="269"/>
      <c r="I2492" s="270"/>
      <c r="J2492" s="434" t="s">
        <v>3129</v>
      </c>
      <c r="K2492" s="270"/>
      <c r="L2492" s="270"/>
      <c r="M2492" s="348"/>
      <c r="N2492" s="348"/>
      <c r="O2492" s="435"/>
      <c r="P2492" s="349"/>
      <c r="Q2492" s="350"/>
      <c r="R2492" s="271"/>
      <c r="S2492" s="272"/>
      <c r="T2492" s="273"/>
      <c r="U2492" s="351"/>
      <c r="V2492" s="274"/>
      <c r="W2492" s="269"/>
      <c r="X2492" s="269"/>
      <c r="Y2492" s="275"/>
      <c r="Z2492" s="269"/>
      <c r="AA2492" s="350"/>
      <c r="AB2492" s="207"/>
      <c r="AC2492" s="352"/>
      <c r="AD2492" s="353"/>
      <c r="AE2492" s="54"/>
      <c r="AF2492" s="354"/>
      <c r="AG2492" s="355"/>
      <c r="AH2492" s="349"/>
      <c r="AI2492" s="30"/>
      <c r="AJ2492" s="30"/>
      <c r="AK2492" s="30"/>
      <c r="AL2492" s="30"/>
      <c r="AM2492" s="13"/>
      <c r="AN2492" s="13"/>
      <c r="AO2492" s="13"/>
      <c r="AP2492" s="13"/>
      <c r="AQ2492" s="13"/>
      <c r="AR2492" s="14"/>
      <c r="AS2492" s="15"/>
    </row>
    <row r="2493" spans="1:45" s="17" customFormat="1" ht="30.95" hidden="1" customHeight="1" x14ac:dyDescent="0.2">
      <c r="A2493" s="343"/>
      <c r="B2493" s="344"/>
      <c r="C2493" s="345"/>
      <c r="D2493" s="346"/>
      <c r="E2493" s="346"/>
      <c r="F2493" s="268"/>
      <c r="G2493" s="269"/>
      <c r="H2493" s="269"/>
      <c r="I2493" s="270"/>
      <c r="J2493" s="434"/>
      <c r="K2493" s="270"/>
      <c r="L2493" s="270"/>
      <c r="M2493" s="348"/>
      <c r="N2493" s="348"/>
      <c r="O2493" s="435"/>
      <c r="P2493" s="349"/>
      <c r="Q2493" s="350"/>
      <c r="R2493" s="271"/>
      <c r="S2493" s="272"/>
      <c r="T2493" s="273"/>
      <c r="U2493" s="351"/>
      <c r="V2493" s="274"/>
      <c r="W2493" s="269"/>
      <c r="X2493" s="269"/>
      <c r="Y2493" s="275"/>
      <c r="Z2493" s="269"/>
      <c r="AA2493" s="350"/>
      <c r="AB2493" s="207"/>
      <c r="AC2493" s="352"/>
      <c r="AD2493" s="353"/>
      <c r="AE2493" s="54"/>
      <c r="AF2493" s="354"/>
      <c r="AG2493" s="355"/>
      <c r="AH2493" s="349"/>
      <c r="AI2493" s="30"/>
      <c r="AJ2493" s="30"/>
      <c r="AK2493" s="30"/>
      <c r="AL2493" s="30"/>
      <c r="AM2493" s="13"/>
      <c r="AN2493" s="13"/>
      <c r="AO2493" s="13"/>
      <c r="AP2493" s="13"/>
      <c r="AQ2493" s="13"/>
      <c r="AR2493" s="14"/>
      <c r="AS2493" s="15"/>
    </row>
    <row r="2494" spans="1:45" s="17" customFormat="1" ht="30.95" hidden="1" customHeight="1" x14ac:dyDescent="0.2">
      <c r="A2494" s="343" t="s">
        <v>3138</v>
      </c>
      <c r="B2494" s="344" t="s">
        <v>3134</v>
      </c>
      <c r="C2494" s="345"/>
      <c r="D2494" s="346"/>
      <c r="E2494" s="346"/>
      <c r="F2494" s="268"/>
      <c r="G2494" s="269"/>
      <c r="H2494" s="269"/>
      <c r="I2494" s="270"/>
      <c r="J2494" s="434" t="s">
        <v>3129</v>
      </c>
      <c r="K2494" s="270"/>
      <c r="L2494" s="270"/>
      <c r="M2494" s="348"/>
      <c r="N2494" s="348"/>
      <c r="O2494" s="435"/>
      <c r="P2494" s="349"/>
      <c r="Q2494" s="350"/>
      <c r="R2494" s="271"/>
      <c r="S2494" s="272"/>
      <c r="T2494" s="273"/>
      <c r="U2494" s="351"/>
      <c r="V2494" s="274"/>
      <c r="W2494" s="269"/>
      <c r="X2494" s="269"/>
      <c r="Y2494" s="275"/>
      <c r="Z2494" s="269"/>
      <c r="AA2494" s="350"/>
      <c r="AB2494" s="207"/>
      <c r="AC2494" s="352"/>
      <c r="AD2494" s="353"/>
      <c r="AE2494" s="54"/>
      <c r="AF2494" s="354"/>
      <c r="AG2494" s="355"/>
      <c r="AH2494" s="349"/>
      <c r="AI2494" s="30"/>
      <c r="AJ2494" s="30"/>
      <c r="AK2494" s="30"/>
      <c r="AL2494" s="30"/>
      <c r="AM2494" s="13"/>
      <c r="AN2494" s="13"/>
      <c r="AO2494" s="13"/>
      <c r="AP2494" s="13"/>
      <c r="AQ2494" s="13"/>
      <c r="AR2494" s="14"/>
      <c r="AS2494" s="15"/>
    </row>
    <row r="2495" spans="1:45" s="17" customFormat="1" ht="30.95" hidden="1" customHeight="1" x14ac:dyDescent="0.2">
      <c r="A2495" s="343"/>
      <c r="B2495" s="344"/>
      <c r="C2495" s="345"/>
      <c r="D2495" s="346"/>
      <c r="E2495" s="346"/>
      <c r="F2495" s="268"/>
      <c r="G2495" s="269"/>
      <c r="H2495" s="269"/>
      <c r="I2495" s="270"/>
      <c r="J2495" s="434"/>
      <c r="K2495" s="270"/>
      <c r="L2495" s="270"/>
      <c r="M2495" s="348"/>
      <c r="N2495" s="348"/>
      <c r="O2495" s="435"/>
      <c r="P2495" s="349"/>
      <c r="Q2495" s="350"/>
      <c r="R2495" s="271"/>
      <c r="S2495" s="272"/>
      <c r="T2495" s="273"/>
      <c r="U2495" s="351"/>
      <c r="V2495" s="274"/>
      <c r="W2495" s="269"/>
      <c r="X2495" s="269"/>
      <c r="Y2495" s="275"/>
      <c r="Z2495" s="269"/>
      <c r="AA2495" s="350"/>
      <c r="AB2495" s="207"/>
      <c r="AC2495" s="352"/>
      <c r="AD2495" s="353"/>
      <c r="AE2495" s="54"/>
      <c r="AF2495" s="354"/>
      <c r="AG2495" s="355"/>
      <c r="AH2495" s="349"/>
      <c r="AI2495" s="30"/>
      <c r="AJ2495" s="30"/>
      <c r="AK2495" s="30"/>
      <c r="AL2495" s="30"/>
      <c r="AM2495" s="13"/>
      <c r="AN2495" s="13"/>
      <c r="AO2495" s="13"/>
      <c r="AP2495" s="13"/>
      <c r="AQ2495" s="13"/>
      <c r="AR2495" s="14"/>
      <c r="AS2495" s="15"/>
    </row>
    <row r="2496" spans="1:45" s="17" customFormat="1" ht="30.95" hidden="1" customHeight="1" x14ac:dyDescent="0.2">
      <c r="A2496" s="343" t="s">
        <v>568</v>
      </c>
      <c r="B2496" s="344" t="s">
        <v>444</v>
      </c>
      <c r="C2496" s="45"/>
      <c r="D2496" s="31">
        <v>3770595</v>
      </c>
      <c r="E2496" s="31">
        <v>4142251</v>
      </c>
      <c r="F2496" s="268" t="str">
        <f>IF(D2496="","",VLOOKUP(D2496,契約台帳!$A$3:$K$4986,6,FALSE)&amp;VLOOKUP(D2496,契約台帳!$A$3:$K$4986,7,FALSE)&amp;VLOOKUP(D2496,契約台帳!$A$3:$K$4986,8,FALSE)&amp;VLOOKUP(D2496,契約台帳!$A$3:$K$4986,9,FALSE)&amp;VLOOKUP(D2496,契約台帳!$A$3:$K$4986,11,FALSE))</f>
        <v>3SNCLBLMEYK</v>
      </c>
      <c r="G2496" s="269" t="str">
        <f>IF(D2496="","",VLOOKUP(F2496,製品マスタ!$G$5:$H$5002,2,FALSE))</f>
        <v>S</v>
      </c>
      <c r="H2496" s="269" t="str">
        <f>IF(D2496="","",VLOOKUP(F2496,製品マスタ!$G$5:$K$5002,5,FALSE))</f>
        <v>LMEYK</v>
      </c>
      <c r="I2496" s="270" t="str">
        <f>IF(D2496="","",VLOOKUP(F2496,製品マスタ!$G$5:$L$5002,6,FALSE))</f>
        <v>ルミマットＥＹＫ</v>
      </c>
      <c r="J2496" s="210" t="s">
        <v>447</v>
      </c>
      <c r="K2496" s="270">
        <f>IF(D2496="","",VLOOKUP(D2496,契約台帳!$A$3:$L$4986,12,FALSE))</f>
        <v>38</v>
      </c>
      <c r="L2496" s="270" t="str">
        <f>IF(D2496="","",INDEX(製品マスタ!$Q$5:$Q$5002,MATCH('S4'!F2496&amp;'S4'!K2496,製品マスタ!$AO$5:$AO$5002,0)))</f>
        <v>LUMIMAT</v>
      </c>
      <c r="M2496" s="39">
        <v>1005</v>
      </c>
      <c r="N2496" s="39">
        <v>8000</v>
      </c>
      <c r="O2496" s="156">
        <v>1</v>
      </c>
      <c r="P2496" s="47">
        <v>1</v>
      </c>
      <c r="Q2496" s="57"/>
      <c r="R2496" s="271">
        <f ca="1">IF(D2496="","",IF(OFFSET(D2496,-1,0)&lt;&gt;"","",IF(OR(J2496="リード付け",J2496="巻足し",J2496="巻返しリード付け"),M2496,VLOOKUP(D2496,契約台帳!$A$3:$N$4986,14,FALSE))))</f>
        <v>1000</v>
      </c>
      <c r="S2496" s="272">
        <f ca="1">IF(D2496="","",IF(OFFSET(D2496,-1,0)&lt;&gt;"","",IF(OR(J2496="リード付け",J2496="巻足し",J2496="巻返しリード付け"),M2496,VLOOKUP(D2496,契約台帳!$A$3:$O$4986,15,FALSE))))</f>
        <v>1000</v>
      </c>
      <c r="T2496" s="273">
        <f ca="1">IF(D2496="","",IF(J2496="リード付け",N2496,IF(J2496="巻返しリード付け",N2496,IF(J2496="巻足し",N2496*P2496+OFFSET(N2496,1,0)*OFFSET(P2496,1,0),VLOOKUP(D2496,契約台帳!$A$3:$P$4986,16,FALSE)))))</f>
        <v>4000</v>
      </c>
      <c r="U2496" s="40">
        <v>2</v>
      </c>
      <c r="V2496" s="274">
        <f ca="1">IF(D2496="","",IF(OFFSET(D2496,-2,0)=D2496,"",VLOOKUP(D2496,契約台帳!$A$3:$R$4986,18,FALSE)))</f>
        <v>2</v>
      </c>
      <c r="W2496" s="269" t="str">
        <f ca="1">IF(D2496="","",IF(T2496="","",IF(OR(J2496="巻足し",J2496="巻返しリード付け"),"",IF(J2496="巻返し",VLOOKUP(F2496&amp;K2496&amp;M2496,製品マスタ!$M$5:$AD$5002,18,FALSE),IF(OR(J2496="リード付け",J2496="巻返しリード付け"),"原反コア",IF(J2496="スリット",VLOOKUP(F2496&amp;K2496&amp;R2496,製品マスタ!$N$5:$AD$5002,17,FALSE),""))))))</f>
        <v>3ｲﾝﾁSｺｱ</v>
      </c>
      <c r="X2496" s="269">
        <f ca="1">IF(D2496="","",IF(T2496="","",IF(J2496="巻足し","",IF(J2496="巻返し",VLOOKUP(F2496&amp;K2496&amp;M2496,製品マスタ!$M$5:$AE$5002,19,FALSE),IF(OR(J2496="リード付け",J2496="巻返しリード付け"),"",IF(J2496="スリット",VLOOKUP(F2496&amp;K2496&amp;R2496,製品マスタ!$N$5:$AE$5002,18,FALSE),""))))))</f>
        <v>1015</v>
      </c>
      <c r="Y2496" s="275">
        <f ca="1">IF(D2496="","",IF(T2496="","",VLOOKUP(D2496,契約台帳!$A$3:$Q$4986,17,FALSE)))</f>
        <v>2</v>
      </c>
      <c r="Z2496" s="269" t="str">
        <f ca="1">IF(D2496="","",IF(T2496="","",VLOOKUP(D2496,契約台帳!$A$3:$E$4986,5,FALSE)))</f>
        <v>リンテック㈱</v>
      </c>
      <c r="AA2496" s="57"/>
      <c r="AB2496" s="207"/>
      <c r="AC2496" s="33"/>
      <c r="AD2496" s="189"/>
      <c r="AE2496" s="54"/>
      <c r="AF2496" s="55"/>
      <c r="AG2496" s="43"/>
      <c r="AH2496" s="47"/>
      <c r="AI2496" s="30"/>
      <c r="AJ2496" s="30"/>
      <c r="AK2496" s="30"/>
      <c r="AL2496" s="30"/>
      <c r="AM2496" s="13"/>
      <c r="AN2496" s="13"/>
      <c r="AO2496" s="13"/>
      <c r="AP2496" s="13"/>
      <c r="AQ2496" s="13"/>
      <c r="AR2496" s="14"/>
      <c r="AS2496" s="15"/>
    </row>
    <row r="2497" spans="1:45" s="17" customFormat="1" ht="30.95" hidden="1" customHeight="1" x14ac:dyDescent="0.2">
      <c r="A2497" s="343"/>
      <c r="B2497" s="344"/>
      <c r="C2497" s="345"/>
      <c r="D2497" s="346"/>
      <c r="E2497" s="346"/>
      <c r="F2497" s="268"/>
      <c r="G2497" s="269"/>
      <c r="H2497" s="269"/>
      <c r="I2497" s="270"/>
      <c r="J2497" s="434"/>
      <c r="K2497" s="270"/>
      <c r="L2497" s="270"/>
      <c r="M2497" s="348"/>
      <c r="N2497" s="348"/>
      <c r="O2497" s="435"/>
      <c r="P2497" s="349"/>
      <c r="Q2497" s="350"/>
      <c r="R2497" s="271"/>
      <c r="S2497" s="272"/>
      <c r="T2497" s="273"/>
      <c r="U2497" s="351"/>
      <c r="V2497" s="274"/>
      <c r="W2497" s="269"/>
      <c r="X2497" s="269"/>
      <c r="Y2497" s="275"/>
      <c r="Z2497" s="269"/>
      <c r="AA2497" s="350"/>
      <c r="AB2497" s="207"/>
      <c r="AC2497" s="352"/>
      <c r="AD2497" s="353"/>
      <c r="AE2497" s="54"/>
      <c r="AF2497" s="354"/>
      <c r="AG2497" s="355"/>
      <c r="AH2497" s="349"/>
      <c r="AI2497" s="30"/>
      <c r="AJ2497" s="30"/>
      <c r="AK2497" s="30"/>
      <c r="AL2497" s="30"/>
      <c r="AM2497" s="13"/>
      <c r="AN2497" s="13"/>
      <c r="AO2497" s="13"/>
      <c r="AP2497" s="13"/>
      <c r="AQ2497" s="13"/>
      <c r="AR2497" s="14"/>
      <c r="AS2497" s="15"/>
    </row>
    <row r="2498" spans="1:45" s="17" customFormat="1" ht="30.95" hidden="1" customHeight="1" x14ac:dyDescent="0.2">
      <c r="A2498" s="343" t="s">
        <v>569</v>
      </c>
      <c r="B2498" s="344" t="s">
        <v>445</v>
      </c>
      <c r="C2498" s="345"/>
      <c r="D2498" s="346"/>
      <c r="E2498" s="346"/>
      <c r="F2498" s="268"/>
      <c r="G2498" s="269"/>
      <c r="H2498" s="269"/>
      <c r="I2498" s="270"/>
      <c r="J2498" s="434" t="s">
        <v>448</v>
      </c>
      <c r="K2498" s="270"/>
      <c r="L2498" s="270"/>
      <c r="M2498" s="348"/>
      <c r="N2498" s="348"/>
      <c r="O2498" s="435"/>
      <c r="P2498" s="349"/>
      <c r="Q2498" s="350"/>
      <c r="R2498" s="271"/>
      <c r="S2498" s="272"/>
      <c r="T2498" s="273"/>
      <c r="U2498" s="351"/>
      <c r="V2498" s="274"/>
      <c r="W2498" s="269"/>
      <c r="X2498" s="269"/>
      <c r="Y2498" s="275"/>
      <c r="Z2498" s="269"/>
      <c r="AA2498" s="350"/>
      <c r="AB2498" s="207"/>
      <c r="AC2498" s="352"/>
      <c r="AD2498" s="353"/>
      <c r="AE2498" s="54"/>
      <c r="AF2498" s="354"/>
      <c r="AG2498" s="355"/>
      <c r="AH2498" s="349"/>
      <c r="AI2498" s="30"/>
      <c r="AJ2498" s="30"/>
      <c r="AK2498" s="30"/>
      <c r="AL2498" s="30"/>
      <c r="AM2498" s="13"/>
      <c r="AN2498" s="13"/>
      <c r="AO2498" s="13"/>
      <c r="AP2498" s="13"/>
      <c r="AQ2498" s="13"/>
      <c r="AR2498" s="14"/>
      <c r="AS2498" s="15"/>
    </row>
    <row r="2499" spans="1:45" s="17" customFormat="1" ht="30.95" hidden="1" customHeight="1" x14ac:dyDescent="0.2">
      <c r="A2499" s="343"/>
      <c r="B2499" s="344"/>
      <c r="C2499" s="345"/>
      <c r="D2499" s="346"/>
      <c r="E2499" s="346"/>
      <c r="F2499" s="268"/>
      <c r="G2499" s="269"/>
      <c r="H2499" s="269"/>
      <c r="I2499" s="270"/>
      <c r="J2499" s="434"/>
      <c r="K2499" s="270"/>
      <c r="L2499" s="270"/>
      <c r="M2499" s="348"/>
      <c r="N2499" s="348"/>
      <c r="O2499" s="435"/>
      <c r="P2499" s="349"/>
      <c r="Q2499" s="350"/>
      <c r="R2499" s="271"/>
      <c r="S2499" s="272"/>
      <c r="T2499" s="273"/>
      <c r="U2499" s="351"/>
      <c r="V2499" s="274"/>
      <c r="W2499" s="269"/>
      <c r="X2499" s="269"/>
      <c r="Y2499" s="275"/>
      <c r="Z2499" s="269"/>
      <c r="AA2499" s="350"/>
      <c r="AB2499" s="207"/>
      <c r="AC2499" s="352"/>
      <c r="AD2499" s="353"/>
      <c r="AE2499" s="54"/>
      <c r="AF2499" s="354"/>
      <c r="AG2499" s="355"/>
      <c r="AH2499" s="349"/>
      <c r="AI2499" s="30"/>
      <c r="AJ2499" s="30"/>
      <c r="AK2499" s="30"/>
      <c r="AL2499" s="30"/>
      <c r="AM2499" s="13"/>
      <c r="AN2499" s="13"/>
      <c r="AO2499" s="13"/>
      <c r="AP2499" s="13"/>
      <c r="AQ2499" s="13"/>
      <c r="AR2499" s="14"/>
      <c r="AS2499" s="15"/>
    </row>
    <row r="2500" spans="1:45" s="17" customFormat="1" ht="30.95" hidden="1" customHeight="1" x14ac:dyDescent="0.2">
      <c r="A2500" s="343" t="s">
        <v>570</v>
      </c>
      <c r="B2500" s="344" t="s">
        <v>446</v>
      </c>
      <c r="C2500" s="345"/>
      <c r="D2500" s="346"/>
      <c r="E2500" s="346"/>
      <c r="F2500" s="268"/>
      <c r="G2500" s="269"/>
      <c r="H2500" s="269"/>
      <c r="I2500" s="270"/>
      <c r="J2500" s="434" t="s">
        <v>448</v>
      </c>
      <c r="K2500" s="270"/>
      <c r="L2500" s="270"/>
      <c r="M2500" s="348"/>
      <c r="N2500" s="348"/>
      <c r="O2500" s="435"/>
      <c r="P2500" s="349"/>
      <c r="Q2500" s="350"/>
      <c r="R2500" s="271"/>
      <c r="S2500" s="272"/>
      <c r="T2500" s="273"/>
      <c r="U2500" s="351"/>
      <c r="V2500" s="274"/>
      <c r="W2500" s="269"/>
      <c r="X2500" s="269"/>
      <c r="Y2500" s="275"/>
      <c r="Z2500" s="269"/>
      <c r="AA2500" s="350"/>
      <c r="AB2500" s="207"/>
      <c r="AC2500" s="352"/>
      <c r="AD2500" s="353"/>
      <c r="AE2500" s="54"/>
      <c r="AF2500" s="354"/>
      <c r="AG2500" s="355"/>
      <c r="AH2500" s="349"/>
      <c r="AI2500" s="30"/>
      <c r="AJ2500" s="30"/>
      <c r="AK2500" s="30"/>
      <c r="AL2500" s="30"/>
      <c r="AM2500" s="13"/>
      <c r="AN2500" s="13"/>
      <c r="AO2500" s="13"/>
      <c r="AP2500" s="13"/>
      <c r="AQ2500" s="13"/>
      <c r="AR2500" s="14"/>
      <c r="AS2500" s="15"/>
    </row>
    <row r="2501" spans="1:45" s="17" customFormat="1" ht="30.95" hidden="1" customHeight="1" x14ac:dyDescent="0.2">
      <c r="A2501" s="343"/>
      <c r="B2501" s="344"/>
      <c r="C2501" s="345"/>
      <c r="D2501" s="346"/>
      <c r="E2501" s="346"/>
      <c r="F2501" s="268"/>
      <c r="G2501" s="269"/>
      <c r="H2501" s="269"/>
      <c r="I2501" s="270"/>
      <c r="J2501" s="434"/>
      <c r="K2501" s="270"/>
      <c r="L2501" s="270"/>
      <c r="M2501" s="348"/>
      <c r="N2501" s="348"/>
      <c r="O2501" s="435"/>
      <c r="P2501" s="349"/>
      <c r="Q2501" s="350"/>
      <c r="R2501" s="271"/>
      <c r="S2501" s="272"/>
      <c r="T2501" s="273"/>
      <c r="U2501" s="351"/>
      <c r="V2501" s="274"/>
      <c r="W2501" s="269"/>
      <c r="X2501" s="269"/>
      <c r="Y2501" s="275"/>
      <c r="Z2501" s="269"/>
      <c r="AA2501" s="350"/>
      <c r="AB2501" s="207"/>
      <c r="AC2501" s="352"/>
      <c r="AD2501" s="353"/>
      <c r="AE2501" s="54"/>
      <c r="AF2501" s="354"/>
      <c r="AG2501" s="355"/>
      <c r="AH2501" s="349"/>
      <c r="AI2501" s="30"/>
      <c r="AJ2501" s="30"/>
      <c r="AK2501" s="30"/>
      <c r="AL2501" s="30"/>
      <c r="AM2501" s="13"/>
      <c r="AN2501" s="13"/>
      <c r="AO2501" s="13"/>
      <c r="AP2501" s="13"/>
      <c r="AQ2501" s="13"/>
      <c r="AR2501" s="14"/>
      <c r="AS2501" s="15"/>
    </row>
    <row r="2502" spans="1:45" s="17" customFormat="1" ht="30.95" hidden="1" customHeight="1" x14ac:dyDescent="0.2">
      <c r="A2502" s="343" t="s">
        <v>1455</v>
      </c>
      <c r="B2502" s="344" t="s">
        <v>462</v>
      </c>
      <c r="C2502" s="345"/>
      <c r="D2502" s="346"/>
      <c r="E2502" s="346"/>
      <c r="F2502" s="268"/>
      <c r="G2502" s="269"/>
      <c r="H2502" s="269"/>
      <c r="I2502" s="270"/>
      <c r="J2502" s="434" t="s">
        <v>448</v>
      </c>
      <c r="K2502" s="270"/>
      <c r="L2502" s="270"/>
      <c r="M2502" s="348"/>
      <c r="N2502" s="348"/>
      <c r="O2502" s="435"/>
      <c r="P2502" s="349"/>
      <c r="Q2502" s="350"/>
      <c r="R2502" s="271"/>
      <c r="S2502" s="272"/>
      <c r="T2502" s="273"/>
      <c r="U2502" s="351"/>
      <c r="V2502" s="274"/>
      <c r="W2502" s="269"/>
      <c r="X2502" s="269"/>
      <c r="Y2502" s="275"/>
      <c r="Z2502" s="269"/>
      <c r="AA2502" s="350"/>
      <c r="AB2502" s="207"/>
      <c r="AC2502" s="352"/>
      <c r="AD2502" s="353"/>
      <c r="AE2502" s="54"/>
      <c r="AF2502" s="354"/>
      <c r="AG2502" s="355"/>
      <c r="AH2502" s="349"/>
      <c r="AI2502" s="30"/>
      <c r="AJ2502" s="30"/>
      <c r="AK2502" s="30"/>
      <c r="AL2502" s="30"/>
      <c r="AM2502" s="13"/>
      <c r="AN2502" s="13"/>
      <c r="AO2502" s="13"/>
      <c r="AP2502" s="13"/>
      <c r="AQ2502" s="13"/>
      <c r="AR2502" s="14"/>
      <c r="AS2502" s="15"/>
    </row>
    <row r="2503" spans="1:45" s="17" customFormat="1" ht="30.95" hidden="1" customHeight="1" x14ac:dyDescent="0.2">
      <c r="A2503" s="343"/>
      <c r="B2503" s="344"/>
      <c r="C2503" s="345"/>
      <c r="D2503" s="346"/>
      <c r="E2503" s="346"/>
      <c r="F2503" s="268"/>
      <c r="G2503" s="269"/>
      <c r="H2503" s="269"/>
      <c r="I2503" s="270"/>
      <c r="J2503" s="434"/>
      <c r="K2503" s="270"/>
      <c r="L2503" s="270"/>
      <c r="M2503" s="348"/>
      <c r="N2503" s="348"/>
      <c r="O2503" s="435"/>
      <c r="P2503" s="349"/>
      <c r="Q2503" s="350"/>
      <c r="R2503" s="271"/>
      <c r="S2503" s="272"/>
      <c r="T2503" s="273"/>
      <c r="U2503" s="351"/>
      <c r="V2503" s="274"/>
      <c r="W2503" s="269"/>
      <c r="X2503" s="269"/>
      <c r="Y2503" s="275"/>
      <c r="Z2503" s="269"/>
      <c r="AA2503" s="350"/>
      <c r="AB2503" s="207"/>
      <c r="AC2503" s="352"/>
      <c r="AD2503" s="353"/>
      <c r="AE2503" s="54"/>
      <c r="AF2503" s="354"/>
      <c r="AG2503" s="355"/>
      <c r="AH2503" s="349"/>
      <c r="AI2503" s="30"/>
      <c r="AJ2503" s="30"/>
      <c r="AK2503" s="30"/>
      <c r="AL2503" s="30"/>
      <c r="AM2503" s="13"/>
      <c r="AN2503" s="13"/>
      <c r="AO2503" s="13"/>
      <c r="AP2503" s="13"/>
      <c r="AQ2503" s="13"/>
      <c r="AR2503" s="14"/>
      <c r="AS2503" s="15"/>
    </row>
    <row r="2504" spans="1:45" s="17" customFormat="1" ht="30.6" hidden="1" customHeight="1" x14ac:dyDescent="0.2">
      <c r="A2504" s="343" t="s">
        <v>571</v>
      </c>
      <c r="B2504" s="344" t="s">
        <v>688</v>
      </c>
      <c r="C2504" s="45"/>
      <c r="D2504" s="31">
        <v>3770585</v>
      </c>
      <c r="E2504" s="31">
        <v>4141770</v>
      </c>
      <c r="F2504" s="268" t="str">
        <f>IF(D2504="","",VLOOKUP(D2504,契約台帳!$A$3:$K$4986,6,FALSE)&amp;VLOOKUP(D2504,契約台帳!$A$3:$K$4986,7,FALSE)&amp;VLOOKUP(D2504,契約台帳!$A$3:$K$4986,8,FALSE)&amp;VLOOKUP(D2504,契約台帳!$A$3:$K$4986,9,FALSE)&amp;VLOOKUP(D2504,契約台帳!$A$3:$K$4986,11,FALSE))</f>
        <v>3SNMCLBNGTVB</v>
      </c>
      <c r="G2504" s="269" t="str">
        <f>IF(D2504="","",VLOOKUP(F2504,製品マスタ!$G$5:$H$5002,2,FALSE))</f>
        <v>S</v>
      </c>
      <c r="H2504" s="269" t="str">
        <f>IF(D2504="","",VLOOKUP(F2504,製品マスタ!$G$5:$K$5002,5,FALSE))</f>
        <v>NGTVB</v>
      </c>
      <c r="I2504" s="270" t="str">
        <f>IF(D2504="","",VLOOKUP(F2504,製品マスタ!$G$5:$L$5002,6,FALSE))</f>
        <v>メタルミー　ネーマー　銀艶ＶＢ</v>
      </c>
      <c r="J2504" s="210" t="s">
        <v>447</v>
      </c>
      <c r="K2504" s="270">
        <f>IF(D2504="","",VLOOKUP(D2504,契約台帳!$A$3:$L$4986,12,FALSE))</f>
        <v>50</v>
      </c>
      <c r="L2504" s="270" t="str">
        <f>IF(D2504="","",INDEX(製品マスタ!$Q$5:$Q$5002,MATCH('S4'!F2504&amp;'S4'!K2504,製品マスタ!$AO$5:$AO$5002,0)))</f>
        <v>T62M</v>
      </c>
      <c r="M2504" s="39">
        <v>1150</v>
      </c>
      <c r="N2504" s="39">
        <v>10000</v>
      </c>
      <c r="O2504" s="156">
        <v>1</v>
      </c>
      <c r="P2504" s="47">
        <v>1</v>
      </c>
      <c r="Q2504" s="57"/>
      <c r="R2504" s="271">
        <f ca="1">IF(D2504="","",IF(OFFSET(D2504,-1,0)&lt;&gt;"","",IF(OR(J2504="リード付け",J2504="巻足し",J2504="巻返しリード付け"),M2504,VLOOKUP(D2504,契約台帳!$A$3:$N$4986,14,FALSE))))</f>
        <v>1120</v>
      </c>
      <c r="S2504" s="272">
        <f ca="1">IF(D2504="","",IF(OFFSET(D2504,-1,0)&lt;&gt;"","",IF(OR(J2504="リード付け",J2504="巻足し",J2504="巻返しリード付け"),M2504,VLOOKUP(D2504,契約台帳!$A$3:$O$4986,15,FALSE))))</f>
        <v>1120</v>
      </c>
      <c r="T2504" s="273">
        <f ca="1">IF(D2504="","",IF(J2504="リード付け",N2504,IF(J2504="巻返しリード付け",N2504,IF(J2504="巻足し",N2504*P2504+OFFSET(N2504,1,0)*OFFSET(P2504,1,0),VLOOKUP(D2504,契約台帳!$A$3:$P$4986,16,FALSE)))))</f>
        <v>2500</v>
      </c>
      <c r="U2504" s="40">
        <v>4</v>
      </c>
      <c r="V2504" s="274">
        <f ca="1">IF(D2504="","",IF(OFFSET(D2504,-2,0)=D2504,"",VLOOKUP(D2504,契約台帳!$A$3:$R$4986,18,FALSE)))</f>
        <v>4</v>
      </c>
      <c r="W2504" s="269" t="str">
        <f ca="1">IF(D2504="","",IF(T2504="","",IF(OR(J2504="巻足し",J2504="巻返しリード付け"),"",IF(J2504="巻返し",VLOOKUP(F2504&amp;K2504&amp;M2504,製品マスタ!$M$5:$AD$5002,18,FALSE),IF(OR(J2504="リード付け",J2504="巻返しリード付け"),"原反コア",IF(J2504="スリット",VLOOKUP(F2504&amp;K2504&amp;R2504,製品マスタ!$N$5:$AD$5002,17,FALSE),""))))))</f>
        <v>6ｲﾝﾁMｺｱ</v>
      </c>
      <c r="X2504" s="269">
        <f ca="1">IF(D2504="","",IF(T2504="","",IF(J2504="巻足し","",IF(J2504="巻返し",VLOOKUP(F2504&amp;K2504&amp;M2504,製品マスタ!$M$5:$AE$5002,19,FALSE),IF(OR(J2504="リード付け",J2504="巻返しリード付け"),"",IF(J2504="スリット",VLOOKUP(F2504&amp;K2504&amp;R2504,製品マスタ!$N$5:$AE$5002,18,FALSE),""))))))</f>
        <v>1125</v>
      </c>
      <c r="Y2504" s="275">
        <f ca="1">IF(D2504="","",IF(T2504="","",VLOOKUP(D2504,契約台帳!$A$3:$Q$4986,17,FALSE)))</f>
        <v>2</v>
      </c>
      <c r="Z2504" s="269" t="str">
        <f ca="1">IF(D2504="","",IF(T2504="","",VLOOKUP(D2504,契約台帳!$A$3:$E$4986,5,FALSE)))</f>
        <v>リンテック㈱</v>
      </c>
      <c r="AA2504" s="57"/>
      <c r="AB2504" s="207"/>
      <c r="AC2504" s="33"/>
      <c r="AD2504" s="189"/>
      <c r="AE2504" s="54"/>
      <c r="AF2504" s="55"/>
      <c r="AG2504" s="43"/>
      <c r="AH2504" s="47"/>
      <c r="AI2504" s="30"/>
      <c r="AJ2504" s="30"/>
      <c r="AK2504" s="30"/>
      <c r="AL2504" s="30"/>
      <c r="AM2504" s="13"/>
      <c r="AN2504" s="13"/>
      <c r="AO2504" s="13"/>
      <c r="AP2504" s="13"/>
      <c r="AQ2504" s="13"/>
      <c r="AR2504" s="14"/>
      <c r="AS2504" s="15"/>
    </row>
    <row r="2505" spans="1:45" s="17" customFormat="1" ht="30.95" hidden="1" customHeight="1" x14ac:dyDescent="0.2">
      <c r="A2505" s="343"/>
      <c r="B2505" s="344"/>
      <c r="C2505" s="345"/>
      <c r="D2505" s="346"/>
      <c r="E2505" s="346"/>
      <c r="F2505" s="268"/>
      <c r="G2505" s="269"/>
      <c r="H2505" s="269"/>
      <c r="I2505" s="270"/>
      <c r="J2505" s="434"/>
      <c r="K2505" s="270"/>
      <c r="L2505" s="270"/>
      <c r="M2505" s="348"/>
      <c r="N2505" s="348"/>
      <c r="O2505" s="435"/>
      <c r="P2505" s="349"/>
      <c r="Q2505" s="350"/>
      <c r="R2505" s="271"/>
      <c r="S2505" s="272"/>
      <c r="T2505" s="273"/>
      <c r="U2505" s="351"/>
      <c r="V2505" s="274"/>
      <c r="W2505" s="269"/>
      <c r="X2505" s="269"/>
      <c r="Y2505" s="275"/>
      <c r="Z2505" s="269"/>
      <c r="AA2505" s="350"/>
      <c r="AB2505" s="207"/>
      <c r="AC2505" s="352"/>
      <c r="AD2505" s="353"/>
      <c r="AE2505" s="54"/>
      <c r="AF2505" s="354"/>
      <c r="AG2505" s="355"/>
      <c r="AH2505" s="349"/>
      <c r="AI2505" s="30"/>
      <c r="AJ2505" s="30"/>
      <c r="AK2505" s="30"/>
      <c r="AL2505" s="30"/>
      <c r="AM2505" s="13"/>
      <c r="AN2505" s="13"/>
      <c r="AO2505" s="13"/>
      <c r="AP2505" s="13"/>
      <c r="AQ2505" s="13"/>
      <c r="AR2505" s="14"/>
      <c r="AS2505" s="15"/>
    </row>
    <row r="2506" spans="1:45" s="17" customFormat="1" ht="30.6" hidden="1" customHeight="1" x14ac:dyDescent="0.2">
      <c r="A2506" s="343"/>
      <c r="B2506" s="344"/>
      <c r="C2506" s="45"/>
      <c r="D2506" s="31">
        <v>3778460</v>
      </c>
      <c r="E2506" s="31">
        <v>4142290</v>
      </c>
      <c r="F2506" s="268" t="str">
        <f>IF(D2506="","",VLOOKUP(D2506,契約台帳!$A$3:$K$4986,6,FALSE)&amp;VLOOKUP(D2506,契約台帳!$A$3:$K$4986,7,FALSE)&amp;VLOOKUP(D2506,契約台帳!$A$3:$K$4986,8,FALSE)&amp;VLOOKUP(D2506,契約台帳!$A$3:$K$4986,9,FALSE)&amp;VLOOKUP(D2506,契約台帳!$A$3:$K$4986,11,FALSE))</f>
        <v>3UNCLBPETMV</v>
      </c>
      <c r="G2506" s="269" t="s">
        <v>3176</v>
      </c>
      <c r="H2506" s="269" t="s">
        <v>3177</v>
      </c>
      <c r="I2506" s="270" t="s">
        <v>3178</v>
      </c>
      <c r="J2506" s="210" t="s">
        <v>447</v>
      </c>
      <c r="K2506" s="270">
        <f>IF(D2506="","",VLOOKUP(D2506,契約台帳!$A$3:$L$4986,12,FALSE))</f>
        <v>25</v>
      </c>
      <c r="L2506" s="270" t="s">
        <v>3179</v>
      </c>
      <c r="M2506" s="39">
        <v>1005</v>
      </c>
      <c r="N2506" s="39">
        <v>4000</v>
      </c>
      <c r="O2506" s="156">
        <v>1</v>
      </c>
      <c r="P2506" s="47">
        <v>1</v>
      </c>
      <c r="Q2506" s="57"/>
      <c r="R2506" s="271">
        <f ca="1">IF(D2506="","",IF(OFFSET(D2506,-1,0)&lt;&gt;"","",IF(OR(J2506="リード付け",J2506="巻足し",J2506="巻返しリード付け"),M2506,VLOOKUP(D2506,契約台帳!$A$3:$N$4986,14,FALSE))))</f>
        <v>1005</v>
      </c>
      <c r="S2506" s="272">
        <f ca="1">IF(D2506="","",IF(OFFSET(D2506,-1,0)&lt;&gt;"","",IF(OR(J2506="リード付け",J2506="巻足し",J2506="巻返しリード付け"),M2506,VLOOKUP(D2506,契約台帳!$A$3:$O$4986,15,FALSE))))</f>
        <v>1000</v>
      </c>
      <c r="T2506" s="273">
        <f ca="1">IF(D2506="","",IF(J2506="リード付け",N2506,IF(J2506="巻返しリード付け",N2506,IF(J2506="巻足し",N2506*P2506+OFFSET(N2506,1,0)*OFFSET(P2506,1,0),VLOOKUP(D2506,契約台帳!$A$3:$P$4986,16,FALSE)))))</f>
        <v>4000</v>
      </c>
      <c r="U2506" s="40">
        <v>1</v>
      </c>
      <c r="V2506" s="274">
        <f ca="1">IF(D2506="","",IF(OFFSET(D2506,-2,0)=D2506,"",VLOOKUP(D2506,契約台帳!$A$3:$R$4986,18,FALSE)))</f>
        <v>2</v>
      </c>
      <c r="W2506" s="269" t="s">
        <v>829</v>
      </c>
      <c r="X2506" s="269">
        <v>1015</v>
      </c>
      <c r="Y2506" s="275">
        <f ca="1">IF(D2506="","",IF(T2506="","",VLOOKUP(D2506,契約台帳!$A$3:$Q$4986,17,FALSE)))</f>
        <v>2</v>
      </c>
      <c r="Z2506" s="269" t="str">
        <f ca="1">IF(D2506="","",IF(T2506="","",VLOOKUP(D2506,契約台帳!$A$3:$E$4986,5,FALSE)))</f>
        <v>リンテック㈱</v>
      </c>
      <c r="AA2506" s="57"/>
      <c r="AB2506" s="207" t="s">
        <v>774</v>
      </c>
      <c r="AC2506" s="33"/>
      <c r="AD2506" s="189"/>
      <c r="AE2506" s="54"/>
      <c r="AF2506" s="55"/>
      <c r="AG2506" s="43"/>
      <c r="AH2506" s="47"/>
      <c r="AI2506" s="30"/>
      <c r="AJ2506" s="30"/>
      <c r="AK2506" s="30"/>
      <c r="AL2506" s="30"/>
      <c r="AM2506" s="13"/>
      <c r="AN2506" s="13"/>
      <c r="AO2506" s="13"/>
      <c r="AP2506" s="13"/>
      <c r="AQ2506" s="13"/>
      <c r="AR2506" s="14"/>
      <c r="AS2506" s="15"/>
    </row>
    <row r="2507" spans="1:45" s="17" customFormat="1" ht="30.95" hidden="1" customHeight="1" x14ac:dyDescent="0.2">
      <c r="A2507" s="343"/>
      <c r="B2507" s="344"/>
      <c r="C2507" s="345"/>
      <c r="D2507" s="346"/>
      <c r="E2507" s="346"/>
      <c r="F2507" s="268"/>
      <c r="G2507" s="269"/>
      <c r="H2507" s="269"/>
      <c r="I2507" s="270"/>
      <c r="J2507" s="434"/>
      <c r="K2507" s="270"/>
      <c r="L2507" s="270"/>
      <c r="M2507" s="348"/>
      <c r="N2507" s="348"/>
      <c r="O2507" s="435"/>
      <c r="P2507" s="349"/>
      <c r="Q2507" s="350"/>
      <c r="R2507" s="271"/>
      <c r="S2507" s="272"/>
      <c r="T2507" s="273"/>
      <c r="U2507" s="351"/>
      <c r="V2507" s="274"/>
      <c r="W2507" s="269"/>
      <c r="X2507" s="269"/>
      <c r="Y2507" s="275"/>
      <c r="Z2507" s="269"/>
      <c r="AA2507" s="350"/>
      <c r="AB2507" s="207"/>
      <c r="AC2507" s="352"/>
      <c r="AD2507" s="353"/>
      <c r="AE2507" s="54"/>
      <c r="AF2507" s="354"/>
      <c r="AG2507" s="355"/>
      <c r="AH2507" s="349"/>
      <c r="AI2507" s="30"/>
      <c r="AJ2507" s="30"/>
      <c r="AK2507" s="30"/>
      <c r="AL2507" s="30"/>
      <c r="AM2507" s="13"/>
      <c r="AN2507" s="13"/>
      <c r="AO2507" s="13"/>
      <c r="AP2507" s="13"/>
      <c r="AQ2507" s="13"/>
      <c r="AR2507" s="14"/>
      <c r="AS2507" s="15"/>
    </row>
    <row r="2508" spans="1:45" s="17" customFormat="1" ht="30.6" hidden="1" customHeight="1" x14ac:dyDescent="0.2">
      <c r="A2508" s="343"/>
      <c r="B2508" s="344"/>
      <c r="C2508" s="45"/>
      <c r="D2508" s="31">
        <v>3770589</v>
      </c>
      <c r="E2508" s="31">
        <v>4141712</v>
      </c>
      <c r="F2508" s="268" t="str">
        <f>IF(D2508="","",VLOOKUP(D2508,契約台帳!$A$3:$K$4986,6,FALSE)&amp;VLOOKUP(D2508,契約台帳!$A$3:$K$4986,7,FALSE)&amp;VLOOKUP(D2508,契約台帳!$A$3:$K$4986,8,FALSE)&amp;VLOOKUP(D2508,契約台帳!$A$3:$K$4986,9,FALSE)&amp;VLOOKUP(D2508,契約台帳!$A$3:$K$4986,11,FALSE))</f>
        <v>33SSNMCLBTEKV0V</v>
      </c>
      <c r="G2508" s="269" t="str">
        <f>IF(D2508="","",VLOOKUP(F2508,製品マスタ!$G$5:$H$5002,2,FALSE))</f>
        <v>S</v>
      </c>
      <c r="H2508" s="269" t="str">
        <f>IF(D2508="","",VLOOKUP(F2508,製品マスタ!$G$5:$K$5002,5,FALSE))</f>
        <v>TEKV0V</v>
      </c>
      <c r="I2508" s="270" t="str">
        <f>IF(D2508="","",VLOOKUP(F2508,製品マスタ!$G$5:$L$5002,6,FALSE))</f>
        <v>メタルミー　ＴＥ－Ｓ消　ＶＯＩＤ　Ｖ</v>
      </c>
      <c r="J2508" s="210" t="s">
        <v>447</v>
      </c>
      <c r="K2508" s="270">
        <f>IF(D2508="","",VLOOKUP(D2508,契約台帳!$A$3:$L$4986,12,FALSE))</f>
        <v>50</v>
      </c>
      <c r="L2508" s="270" t="str">
        <f>IF(D2508="","",INDEX(製品マスタ!$Q$5:$Q$5002,MATCH('S4'!F2508&amp;'S4'!K2508,製品マスタ!$AO$5:$AO$5002,0)))</f>
        <v>X44SEPA</v>
      </c>
      <c r="M2508" s="39">
        <v>1005</v>
      </c>
      <c r="N2508" s="39">
        <v>12000</v>
      </c>
      <c r="O2508" s="156">
        <v>1</v>
      </c>
      <c r="P2508" s="47">
        <v>1</v>
      </c>
      <c r="Q2508" s="57"/>
      <c r="R2508" s="271">
        <f ca="1">IF(D2508="","",IF(OFFSET(D2508,-1,0)&lt;&gt;"","",IF(OR(J2508="リード付け",J2508="巻足し",J2508="巻返しリード付け"),M2508,VLOOKUP(D2508,契約台帳!$A$3:$N$4986,14,FALSE))))</f>
        <v>1005</v>
      </c>
      <c r="S2508" s="272">
        <f ca="1">IF(D2508="","",IF(OFFSET(D2508,-1,0)&lt;&gt;"","",IF(OR(J2508="リード付け",J2508="巻足し",J2508="巻返しリード付け"),M2508,VLOOKUP(D2508,契約台帳!$A$3:$O$4986,15,FALSE))))</f>
        <v>1000</v>
      </c>
      <c r="T2508" s="273">
        <f ca="1">IF(D2508="","",IF(J2508="リード付け",N2508,IF(J2508="巻返しリード付け",N2508,IF(J2508="巻足し",N2508*P2508+OFFSET(N2508,1,0)*OFFSET(P2508,1,0),VLOOKUP(D2508,契約台帳!$A$3:$P$4986,16,FALSE)))))</f>
        <v>4000</v>
      </c>
      <c r="U2508" s="40">
        <v>3</v>
      </c>
      <c r="V2508" s="274">
        <f ca="1">IF(D2508="","",IF(OFFSET(D2508,-2,0)=D2508,"",VLOOKUP(D2508,契約台帳!$A$3:$R$4986,18,FALSE)))</f>
        <v>3</v>
      </c>
      <c r="W2508" s="269" t="str">
        <f ca="1">IF(D2508="","",IF(T2508="","",IF(OR(J2508="巻足し",J2508="巻返しリード付け"),"",IF(J2508="巻返し",VLOOKUP(F2508&amp;K2508&amp;M2508,製品マスタ!$M$5:$AD$5002,18,FALSE),IF(OR(J2508="リード付け",J2508="巻返しリード付け"),"原反コア",IF(J2508="スリット",VLOOKUP(F2508&amp;K2508&amp;R2508,製品マスタ!$N$5:$AD$5002,17,FALSE),""))))))</f>
        <v>6ｲﾝﾁSｺｱ</v>
      </c>
      <c r="X2508" s="269">
        <f ca="1">IF(D2508="","",IF(T2508="","",IF(J2508="巻足し","",IF(J2508="巻返し",VLOOKUP(F2508&amp;K2508&amp;M2508,製品マスタ!$M$5:$AE$5002,19,FALSE),IF(OR(J2508="リード付け",J2508="巻返しリード付け"),"",IF(J2508="スリット",VLOOKUP(F2508&amp;K2508&amp;R2508,製品マスタ!$N$5:$AE$5002,18,FALSE),""))))))</f>
        <v>1015</v>
      </c>
      <c r="Y2508" s="275">
        <f ca="1">IF(D2508="","",IF(T2508="","",VLOOKUP(D2508,契約台帳!$A$3:$Q$4986,17,FALSE)))</f>
        <v>2</v>
      </c>
      <c r="Z2508" s="269" t="str">
        <f ca="1">IF(D2508="","",IF(T2508="","",VLOOKUP(D2508,契約台帳!$A$3:$E$4986,5,FALSE)))</f>
        <v>リンテック㈱</v>
      </c>
      <c r="AA2508" s="57"/>
      <c r="AB2508" s="207"/>
      <c r="AC2508" s="33"/>
      <c r="AD2508" s="189"/>
      <c r="AE2508" s="54"/>
      <c r="AF2508" s="55"/>
      <c r="AG2508" s="43"/>
      <c r="AH2508" s="47"/>
      <c r="AI2508" s="30"/>
      <c r="AJ2508" s="30"/>
      <c r="AK2508" s="30"/>
      <c r="AL2508" s="30"/>
      <c r="AM2508" s="13"/>
      <c r="AN2508" s="13"/>
      <c r="AO2508" s="13"/>
      <c r="AP2508" s="13"/>
      <c r="AQ2508" s="13"/>
      <c r="AR2508" s="14"/>
      <c r="AS2508" s="15"/>
    </row>
    <row r="2509" spans="1:45" s="17" customFormat="1" ht="30.95" hidden="1" customHeight="1" x14ac:dyDescent="0.2">
      <c r="A2509" s="343"/>
      <c r="B2509" s="344"/>
      <c r="C2509" s="345"/>
      <c r="D2509" s="346"/>
      <c r="E2509" s="346"/>
      <c r="F2509" s="268"/>
      <c r="G2509" s="269"/>
      <c r="H2509" s="269"/>
      <c r="I2509" s="270"/>
      <c r="J2509" s="434"/>
      <c r="K2509" s="270"/>
      <c r="L2509" s="270"/>
      <c r="M2509" s="348"/>
      <c r="N2509" s="348"/>
      <c r="O2509" s="435"/>
      <c r="P2509" s="349"/>
      <c r="Q2509" s="350"/>
      <c r="R2509" s="271"/>
      <c r="S2509" s="272"/>
      <c r="T2509" s="273"/>
      <c r="U2509" s="351"/>
      <c r="V2509" s="274"/>
      <c r="W2509" s="269"/>
      <c r="X2509" s="269"/>
      <c r="Y2509" s="275"/>
      <c r="Z2509" s="269"/>
      <c r="AA2509" s="350"/>
      <c r="AB2509" s="207"/>
      <c r="AC2509" s="352"/>
      <c r="AD2509" s="353"/>
      <c r="AE2509" s="54"/>
      <c r="AF2509" s="354"/>
      <c r="AG2509" s="355"/>
      <c r="AH2509" s="349"/>
      <c r="AI2509" s="30"/>
      <c r="AJ2509" s="30"/>
      <c r="AK2509" s="30"/>
      <c r="AL2509" s="30"/>
      <c r="AM2509" s="13"/>
      <c r="AN2509" s="13"/>
      <c r="AO2509" s="13"/>
      <c r="AP2509" s="13"/>
      <c r="AQ2509" s="13"/>
      <c r="AR2509" s="14"/>
      <c r="AS2509" s="15"/>
    </row>
    <row r="2510" spans="1:45" s="17" customFormat="1" ht="30.6" hidden="1" customHeight="1" x14ac:dyDescent="0.2">
      <c r="A2510" s="343"/>
      <c r="B2510" s="344"/>
      <c r="C2510" s="45"/>
      <c r="D2510" s="31">
        <v>3770587</v>
      </c>
      <c r="E2510" s="31">
        <v>4141764</v>
      </c>
      <c r="F2510" s="268" t="str">
        <f>IF(D2510="","",VLOOKUP(D2510,契約台帳!$A$3:$K$4986,6,FALSE)&amp;VLOOKUP(D2510,契約台帳!$A$3:$K$4986,7,FALSE)&amp;VLOOKUP(D2510,契約台帳!$A$3:$K$4986,8,FALSE)&amp;VLOOKUP(D2510,契約台帳!$A$3:$K$4986,9,FALSE)&amp;VLOOKUP(D2510,契約台帳!$A$3:$K$4986,11,FALSE))</f>
        <v>33SSNMCLBTEKKFV</v>
      </c>
      <c r="G2510" s="269" t="str">
        <f>IF(D2510="","",VLOOKUP(F2510,製品マスタ!$G$5:$H$5002,2,FALSE))</f>
        <v>S</v>
      </c>
      <c r="H2510" s="269" t="str">
        <f>IF(D2510="","",VLOOKUP(F2510,製品マスタ!$G$5:$K$5002,5,FALSE))</f>
        <v>TEKKFV</v>
      </c>
      <c r="I2510" s="270" t="str">
        <f>IF(D2510="","",VLOOKUP(F2510,製品マスタ!$G$5:$L$5002,6,FALSE))</f>
        <v>メタルミー　ＴＥＳ消開封　Ｖ</v>
      </c>
      <c r="J2510" s="210" t="s">
        <v>447</v>
      </c>
      <c r="K2510" s="270">
        <f>IF(D2510="","",VLOOKUP(D2510,契約台帳!$A$3:$L$4986,12,FALSE))</f>
        <v>38</v>
      </c>
      <c r="L2510" s="270" t="str">
        <f>IF(D2510="","",INDEX(製品マスタ!$Q$5:$Q$5002,MATCH('S4'!F2510&amp;'S4'!K2510,製品マスタ!$AO$5:$AO$5002,0)))</f>
        <v>X44SEPA</v>
      </c>
      <c r="M2510" s="39">
        <v>1005</v>
      </c>
      <c r="N2510" s="39">
        <v>2000</v>
      </c>
      <c r="O2510" s="156">
        <v>1</v>
      </c>
      <c r="P2510" s="47">
        <v>1</v>
      </c>
      <c r="Q2510" s="57"/>
      <c r="R2510" s="271">
        <f ca="1">IF(D2510="","",IF(OFFSET(D2510,-1,0)&lt;&gt;"","",IF(OR(J2510="リード付け",J2510="巻足し",J2510="巻返しリード付け"),M2510,VLOOKUP(D2510,契約台帳!$A$3:$N$4986,14,FALSE))))</f>
        <v>1005</v>
      </c>
      <c r="S2510" s="272">
        <f ca="1">IF(D2510="","",IF(OFFSET(D2510,-1,0)&lt;&gt;"","",IF(OR(J2510="リード付け",J2510="巻足し",J2510="巻返しリード付け"),M2510,VLOOKUP(D2510,契約台帳!$A$3:$O$4986,15,FALSE))))</f>
        <v>1000</v>
      </c>
      <c r="T2510" s="273">
        <f ca="1">IF(D2510="","",IF(J2510="リード付け",N2510,IF(J2510="巻返しリード付け",N2510,IF(J2510="巻足し",N2510*P2510+OFFSET(N2510,1,0)*OFFSET(P2510,1,0),VLOOKUP(D2510,契約台帳!$A$3:$P$4986,16,FALSE)))))</f>
        <v>2000</v>
      </c>
      <c r="U2510" s="40">
        <v>1</v>
      </c>
      <c r="V2510" s="274">
        <f ca="1">IF(D2510="","",IF(OFFSET(D2510,-2,0)=D2510,"",VLOOKUP(D2510,契約台帳!$A$3:$R$4986,18,FALSE)))</f>
        <v>1</v>
      </c>
      <c r="W2510" s="269" t="str">
        <f ca="1">IF(D2510="","",IF(T2510="","",IF(OR(J2510="巻足し",J2510="巻返しリード付け"),"",IF(J2510="巻返し",VLOOKUP(F2510&amp;K2510&amp;M2510,製品マスタ!$M$5:$AD$5002,18,FALSE),IF(OR(J2510="リード付け",J2510="巻返しリード付け"),"原反コア",IF(J2510="スリット",VLOOKUP(F2510&amp;K2510&amp;R2510,製品マスタ!$N$5:$AD$5002,17,FALSE),""))))))</f>
        <v>6ｲﾝﾁSｺｱ</v>
      </c>
      <c r="X2510" s="269">
        <f ca="1">IF(D2510="","",IF(T2510="","",IF(J2510="巻足し","",IF(J2510="巻返し",VLOOKUP(F2510&amp;K2510&amp;M2510,製品マスタ!$M$5:$AE$5002,19,FALSE),IF(OR(J2510="リード付け",J2510="巻返しリード付け"),"",IF(J2510="スリット",VLOOKUP(F2510&amp;K2510&amp;R2510,製品マスタ!$N$5:$AE$5002,18,FALSE),""))))))</f>
        <v>1015</v>
      </c>
      <c r="Y2510" s="275">
        <f ca="1">IF(D2510="","",IF(T2510="","",VLOOKUP(D2510,契約台帳!$A$3:$Q$4986,17,FALSE)))</f>
        <v>2</v>
      </c>
      <c r="Z2510" s="269" t="str">
        <f ca="1">IF(D2510="","",IF(T2510="","",VLOOKUP(D2510,契約台帳!$A$3:$E$4986,5,FALSE)))</f>
        <v>リンテック㈱</v>
      </c>
      <c r="AA2510" s="57"/>
      <c r="AB2510" s="207"/>
      <c r="AC2510" s="33"/>
      <c r="AD2510" s="189"/>
      <c r="AE2510" s="54"/>
      <c r="AF2510" s="55"/>
      <c r="AG2510" s="43"/>
      <c r="AH2510" s="47"/>
      <c r="AI2510" s="30"/>
      <c r="AJ2510" s="30"/>
      <c r="AK2510" s="30"/>
      <c r="AL2510" s="30"/>
      <c r="AM2510" s="13"/>
      <c r="AN2510" s="13"/>
      <c r="AO2510" s="13"/>
      <c r="AP2510" s="13"/>
      <c r="AQ2510" s="13"/>
      <c r="AR2510" s="14"/>
      <c r="AS2510" s="15"/>
    </row>
    <row r="2511" spans="1:45" s="17" customFormat="1" ht="30.95" hidden="1" customHeight="1" x14ac:dyDescent="0.2">
      <c r="A2511" s="343"/>
      <c r="B2511" s="344"/>
      <c r="C2511" s="345"/>
      <c r="D2511" s="346"/>
      <c r="E2511" s="346"/>
      <c r="F2511" s="268"/>
      <c r="G2511" s="269"/>
      <c r="H2511" s="269"/>
      <c r="I2511" s="270"/>
      <c r="J2511" s="434"/>
      <c r="K2511" s="270"/>
      <c r="L2511" s="270"/>
      <c r="M2511" s="348"/>
      <c r="N2511" s="348"/>
      <c r="O2511" s="435"/>
      <c r="P2511" s="349"/>
      <c r="Q2511" s="350"/>
      <c r="R2511" s="271"/>
      <c r="S2511" s="272"/>
      <c r="T2511" s="273"/>
      <c r="U2511" s="351"/>
      <c r="V2511" s="274"/>
      <c r="W2511" s="269"/>
      <c r="X2511" s="269"/>
      <c r="Y2511" s="275"/>
      <c r="Z2511" s="269"/>
      <c r="AA2511" s="350"/>
      <c r="AB2511" s="207"/>
      <c r="AC2511" s="352"/>
      <c r="AD2511" s="353"/>
      <c r="AE2511" s="54"/>
      <c r="AF2511" s="354"/>
      <c r="AG2511" s="355"/>
      <c r="AH2511" s="349"/>
      <c r="AI2511" s="30"/>
      <c r="AJ2511" s="30"/>
      <c r="AK2511" s="30"/>
      <c r="AL2511" s="30"/>
      <c r="AM2511" s="13"/>
      <c r="AN2511" s="13"/>
      <c r="AO2511" s="13"/>
      <c r="AP2511" s="13"/>
      <c r="AQ2511" s="13"/>
      <c r="AR2511" s="14"/>
      <c r="AS2511" s="15"/>
    </row>
    <row r="2512" spans="1:45" s="17" customFormat="1" ht="30.6" hidden="1" customHeight="1" x14ac:dyDescent="0.2">
      <c r="A2512" s="343"/>
      <c r="B2512" s="344"/>
      <c r="C2512" s="45"/>
      <c r="D2512" s="31">
        <v>3770594</v>
      </c>
      <c r="E2512" s="31">
        <v>4141717</v>
      </c>
      <c r="F2512" s="268" t="str">
        <f>IF(D2512="","",VLOOKUP(D2512,契約台帳!$A$3:$K$4986,6,FALSE)&amp;VLOOKUP(D2512,契約台帳!$A$3:$K$4986,7,FALSE)&amp;VLOOKUP(D2512,契約台帳!$A$3:$K$4986,8,FALSE)&amp;VLOOKUP(D2512,契約台帳!$A$3:$K$4986,9,FALSE)&amp;VLOOKUP(D2512,契約台帳!$A$3:$K$4986,11,FALSE))</f>
        <v>3TNMCLBHLGTV</v>
      </c>
      <c r="G2512" s="269" t="str">
        <f>IF(D2512="","",VLOOKUP(F2512,製品マスタ!$G$5:$H$5002,2,FALSE))</f>
        <v>T</v>
      </c>
      <c r="H2512" s="269" t="str">
        <f>IF(D2512="","",VLOOKUP(F2512,製品マスタ!$G$5:$K$5002,5,FALSE))</f>
        <v>HLGTV</v>
      </c>
      <c r="I2512" s="270" t="str">
        <f>IF(D2512="","",VLOOKUP(F2512,製品マスタ!$G$5:$L$5002,6,FALSE))</f>
        <v>メタルミー　ヘヤライン　銀艶Ｖ</v>
      </c>
      <c r="J2512" s="210" t="s">
        <v>447</v>
      </c>
      <c r="K2512" s="270">
        <f>IF(D2512="","",VLOOKUP(D2512,契約台帳!$A$3:$L$4986,12,FALSE))</f>
        <v>50</v>
      </c>
      <c r="L2512" s="270" t="str">
        <f>IF(D2512="","",INDEX(製品マスタ!$Q$5:$Q$5002,MATCH('S4'!F2512&amp;'S4'!K2512,製品マスタ!$AO$5:$AO$5002,0)))</f>
        <v>BRIGHT</v>
      </c>
      <c r="M2512" s="39">
        <v>1005</v>
      </c>
      <c r="N2512" s="39">
        <v>4100</v>
      </c>
      <c r="O2512" s="156">
        <v>3</v>
      </c>
      <c r="P2512" s="47">
        <v>3</v>
      </c>
      <c r="Q2512" s="57"/>
      <c r="R2512" s="271">
        <f ca="1">IF(D2512="","",IF(OFFSET(D2512,-1,0)&lt;&gt;"","",IF(OR(J2512="リード付け",J2512="巻足し",J2512="巻返しリード付け"),M2512,VLOOKUP(D2512,契約台帳!$A$3:$N$4986,14,FALSE))))</f>
        <v>1005</v>
      </c>
      <c r="S2512" s="272">
        <f ca="1">IF(D2512="","",IF(OFFSET(D2512,-1,0)&lt;&gt;"","",IF(OR(J2512="リード付け",J2512="巻足し",J2512="巻返しリード付け"),M2512,VLOOKUP(D2512,契約台帳!$A$3:$O$4986,15,FALSE))))</f>
        <v>1000</v>
      </c>
      <c r="T2512" s="273">
        <f ca="1">IF(D2512="","",IF(J2512="リード付け",N2512,IF(J2512="巻返しリード付け",N2512,IF(J2512="巻足し",N2512*P2512+OFFSET(N2512,1,0)*OFFSET(P2512,1,0),VLOOKUP(D2512,契約台帳!$A$3:$P$4986,16,FALSE)))))</f>
        <v>4100</v>
      </c>
      <c r="U2512" s="40">
        <v>3</v>
      </c>
      <c r="V2512" s="274">
        <v>3</v>
      </c>
      <c r="W2512" s="269" t="str">
        <f ca="1">IF(D2512="","",IF(T2512="","",IF(OR(J2512="巻足し",J2512="巻返しリード付け"),"",IF(J2512="巻返し",VLOOKUP(F2512&amp;K2512&amp;M2512,製品マスタ!$M$5:$AD$5002,18,FALSE),IF(OR(J2512="リード付け",J2512="巻返しリード付け"),"原反コア",IF(J2512="スリット",VLOOKUP(F2512&amp;K2512&amp;R2512,製品マスタ!$N$5:$AD$5002,17,FALSE),""))))))</f>
        <v>6ｲﾝﾁSｺｱ</v>
      </c>
      <c r="X2512" s="269">
        <f ca="1">IF(D2512="","",IF(T2512="","",IF(J2512="巻足し","",IF(J2512="巻返し",VLOOKUP(F2512&amp;K2512&amp;M2512,製品マスタ!$M$5:$AE$5002,19,FALSE),IF(OR(J2512="リード付け",J2512="巻返しリード付け"),"",IF(J2512="スリット",VLOOKUP(F2512&amp;K2512&amp;R2512,製品マスタ!$N$5:$AE$5002,18,FALSE),""))))))</f>
        <v>1015</v>
      </c>
      <c r="Y2512" s="275">
        <f ca="1">IF(D2512="","",IF(T2512="","",VLOOKUP(D2512,契約台帳!$A$3:$Q$4986,17,FALSE)))</f>
        <v>2</v>
      </c>
      <c r="Z2512" s="269" t="str">
        <f ca="1">IF(D2512="","",IF(T2512="","",VLOOKUP(D2512,契約台帳!$A$3:$E$4986,5,FALSE)))</f>
        <v>リンテック㈱</v>
      </c>
      <c r="AA2512" s="57"/>
      <c r="AB2512" s="303" t="s">
        <v>774</v>
      </c>
      <c r="AC2512" s="33"/>
      <c r="AD2512" s="189"/>
      <c r="AE2512" s="54"/>
      <c r="AF2512" s="55"/>
      <c r="AG2512" s="43"/>
      <c r="AH2512" s="47"/>
      <c r="AI2512" s="30"/>
      <c r="AJ2512" s="30"/>
      <c r="AK2512" s="30"/>
      <c r="AL2512" s="30"/>
      <c r="AM2512" s="13"/>
      <c r="AN2512" s="13"/>
      <c r="AO2512" s="13"/>
      <c r="AP2512" s="13"/>
      <c r="AQ2512" s="13"/>
      <c r="AR2512" s="14"/>
      <c r="AS2512" s="15"/>
    </row>
    <row r="2513" spans="1:45" s="17" customFormat="1" ht="30.95" hidden="1" customHeight="1" x14ac:dyDescent="0.2">
      <c r="A2513" s="343"/>
      <c r="B2513" s="344"/>
      <c r="C2513" s="345"/>
      <c r="D2513" s="346"/>
      <c r="E2513" s="346"/>
      <c r="F2513" s="268"/>
      <c r="G2513" s="269"/>
      <c r="H2513" s="269"/>
      <c r="I2513" s="270"/>
      <c r="J2513" s="434"/>
      <c r="K2513" s="270"/>
      <c r="L2513" s="270"/>
      <c r="M2513" s="348"/>
      <c r="N2513" s="348"/>
      <c r="O2513" s="435"/>
      <c r="P2513" s="349"/>
      <c r="Q2513" s="350"/>
      <c r="R2513" s="271"/>
      <c r="S2513" s="272"/>
      <c r="T2513" s="273"/>
      <c r="U2513" s="351"/>
      <c r="V2513" s="274"/>
      <c r="W2513" s="269"/>
      <c r="X2513" s="269"/>
      <c r="Y2513" s="275"/>
      <c r="Z2513" s="269"/>
      <c r="AA2513" s="350"/>
      <c r="AB2513" s="207"/>
      <c r="AC2513" s="352"/>
      <c r="AD2513" s="353"/>
      <c r="AE2513" s="54"/>
      <c r="AF2513" s="354"/>
      <c r="AG2513" s="355"/>
      <c r="AH2513" s="349"/>
      <c r="AI2513" s="30"/>
      <c r="AJ2513" s="30"/>
      <c r="AK2513" s="30"/>
      <c r="AL2513" s="30"/>
      <c r="AM2513" s="13"/>
      <c r="AN2513" s="13"/>
      <c r="AO2513" s="13"/>
      <c r="AP2513" s="13"/>
      <c r="AQ2513" s="13"/>
      <c r="AR2513" s="14"/>
      <c r="AS2513" s="15"/>
    </row>
    <row r="2514" spans="1:45" s="17" customFormat="1" ht="30.6" hidden="1" customHeight="1" x14ac:dyDescent="0.2">
      <c r="A2514" s="343"/>
      <c r="B2514" s="344"/>
      <c r="C2514" s="45"/>
      <c r="D2514" s="31">
        <v>3773538</v>
      </c>
      <c r="E2514" s="31">
        <v>4142067</v>
      </c>
      <c r="F2514" s="268" t="str">
        <f>IF(D2514="","",VLOOKUP(D2514,契約台帳!$A$3:$K$4986,6,FALSE)&amp;VLOOKUP(D2514,契約台帳!$A$3:$K$4986,7,FALSE)&amp;VLOOKUP(D2514,契約台帳!$A$3:$K$4986,8,FALSE)&amp;VLOOKUP(D2514,契約台帳!$A$3:$K$4986,9,FALSE)&amp;VLOOKUP(D2514,契約台帳!$A$3:$K$4986,11,FALSE))</f>
        <v>3TNMCLBHLKTV</v>
      </c>
      <c r="G2514" s="269" t="str">
        <f>IF(D2514="","",VLOOKUP(F2514,製品マスタ!$G$5:$H$5002,2,FALSE))</f>
        <v>T</v>
      </c>
      <c r="H2514" s="269" t="str">
        <f>IF(D2514="","",VLOOKUP(F2514,製品マスタ!$G$5:$K$5002,5,FALSE))</f>
        <v>HLKTV</v>
      </c>
      <c r="I2514" s="270" t="str">
        <f>IF(D2514="","",VLOOKUP(F2514,製品マスタ!$G$5:$L$5002,6,FALSE))</f>
        <v>メタルミー　ヘヤライン金艶　Ｖ</v>
      </c>
      <c r="J2514" s="210" t="s">
        <v>447</v>
      </c>
      <c r="K2514" s="270">
        <f>IF(D2514="","",VLOOKUP(D2514,契約台帳!$A$3:$L$4986,12,FALSE))</f>
        <v>50</v>
      </c>
      <c r="L2514" s="270" t="str">
        <f>IF(D2514="","",INDEX(製品マスタ!$Q$5:$Q$5002,MATCH('S4'!F2514&amp;'S4'!K2514,製品マスタ!$AO$5:$AO$5002,0)))</f>
        <v>HL50/EC</v>
      </c>
      <c r="M2514" s="39">
        <v>1030</v>
      </c>
      <c r="N2514" s="39">
        <v>4100</v>
      </c>
      <c r="O2514" s="156">
        <v>1</v>
      </c>
      <c r="P2514" s="47">
        <v>1</v>
      </c>
      <c r="Q2514" s="57"/>
      <c r="R2514" s="271">
        <f ca="1">IF(D2514="","",IF(OFFSET(D2514,-1,0)&lt;&gt;"","",IF(OR(J2514="リード付け",J2514="巻足し",J2514="巻返しリード付け"),M2514,VLOOKUP(D2514,契約台帳!$A$3:$N$4986,14,FALSE))))</f>
        <v>1000</v>
      </c>
      <c r="S2514" s="272">
        <f ca="1">IF(D2514="","",IF(OFFSET(D2514,-1,0)&lt;&gt;"","",IF(OR(J2514="リード付け",J2514="巻足し",J2514="巻返しリード付け"),M2514,VLOOKUP(D2514,契約台帳!$A$3:$O$4986,15,FALSE))))</f>
        <v>1000</v>
      </c>
      <c r="T2514" s="273">
        <f ca="1">IF(D2514="","",IF(J2514="リード付け",N2514,IF(J2514="巻返しリード付け",N2514,IF(J2514="巻足し",N2514*P2514+OFFSET(N2514,1,0)*OFFSET(P2514,1,0),VLOOKUP(D2514,契約台帳!$A$3:$P$4986,16,FALSE)))))</f>
        <v>2000</v>
      </c>
      <c r="U2514" s="40">
        <v>2</v>
      </c>
      <c r="V2514" s="274">
        <f ca="1">IF(D2514="","",IF(OFFSET(D2514,-2,0)=D2514,"",VLOOKUP(D2514,契約台帳!$A$3:$R$4986,18,FALSE)))</f>
        <v>2</v>
      </c>
      <c r="W2514" s="269" t="str">
        <f ca="1">IF(D2514="","",IF(T2514="","",IF(OR(J2514="巻足し",J2514="巻返しリード付け"),"",IF(J2514="巻返し",VLOOKUP(F2514&amp;K2514&amp;M2514,製品マスタ!$M$5:$AD$5002,18,FALSE),IF(OR(J2514="リード付け",J2514="巻返しリード付け"),"原反コア",IF(J2514="スリット",VLOOKUP(F2514&amp;K2514&amp;R2514,製品マスタ!$N$5:$AD$5002,17,FALSE),""))))))</f>
        <v>6ｲﾝﾁSｺｱ</v>
      </c>
      <c r="X2514" s="269">
        <f ca="1">IF(D2514="","",IF(T2514="","",IF(J2514="巻足し","",IF(J2514="巻返し",VLOOKUP(F2514&amp;K2514&amp;M2514,製品マスタ!$M$5:$AE$5002,19,FALSE),IF(OR(J2514="リード付け",J2514="巻返しリード付け"),"",IF(J2514="スリット",VLOOKUP(F2514&amp;K2514&amp;R2514,製品マスタ!$N$5:$AE$5002,18,FALSE),""))))))</f>
        <v>1015</v>
      </c>
      <c r="Y2514" s="275">
        <f ca="1">IF(D2514="","",IF(T2514="","",VLOOKUP(D2514,契約台帳!$A$3:$Q$4986,17,FALSE)))</f>
        <v>2</v>
      </c>
      <c r="Z2514" s="269" t="str">
        <f ca="1">IF(D2514="","",IF(T2514="","",VLOOKUP(D2514,契約台帳!$A$3:$E$4986,5,FALSE)))</f>
        <v>リンテック㈱</v>
      </c>
      <c r="AA2514" s="57"/>
      <c r="AB2514" s="303" t="s">
        <v>774</v>
      </c>
      <c r="AC2514" s="33"/>
      <c r="AD2514" s="189"/>
      <c r="AE2514" s="54"/>
      <c r="AF2514" s="55"/>
      <c r="AG2514" s="43"/>
      <c r="AH2514" s="47"/>
      <c r="AI2514" s="30"/>
      <c r="AJ2514" s="30"/>
      <c r="AK2514" s="30"/>
      <c r="AL2514" s="30"/>
      <c r="AM2514" s="13"/>
      <c r="AN2514" s="13"/>
      <c r="AO2514" s="13"/>
      <c r="AP2514" s="13"/>
      <c r="AQ2514" s="13"/>
      <c r="AR2514" s="14"/>
      <c r="AS2514" s="15"/>
    </row>
    <row r="2515" spans="1:45" s="17" customFormat="1" ht="30.95" hidden="1" customHeight="1" x14ac:dyDescent="0.2">
      <c r="A2515" s="343"/>
      <c r="B2515" s="344"/>
      <c r="C2515" s="345"/>
      <c r="D2515" s="346"/>
      <c r="E2515" s="346"/>
      <c r="F2515" s="268"/>
      <c r="G2515" s="269"/>
      <c r="H2515" s="269"/>
      <c r="I2515" s="270"/>
      <c r="J2515" s="434"/>
      <c r="K2515" s="270"/>
      <c r="L2515" s="270"/>
      <c r="M2515" s="348"/>
      <c r="N2515" s="348"/>
      <c r="O2515" s="435"/>
      <c r="P2515" s="349"/>
      <c r="Q2515" s="350"/>
      <c r="R2515" s="271"/>
      <c r="S2515" s="272"/>
      <c r="T2515" s="273"/>
      <c r="U2515" s="351"/>
      <c r="V2515" s="274"/>
      <c r="W2515" s="269"/>
      <c r="X2515" s="269"/>
      <c r="Y2515" s="275"/>
      <c r="Z2515" s="269"/>
      <c r="AA2515" s="350"/>
      <c r="AB2515" s="207"/>
      <c r="AC2515" s="352"/>
      <c r="AD2515" s="353"/>
      <c r="AE2515" s="54"/>
      <c r="AF2515" s="354"/>
      <c r="AG2515" s="355"/>
      <c r="AH2515" s="349"/>
      <c r="AI2515" s="30"/>
      <c r="AJ2515" s="30"/>
      <c r="AK2515" s="30"/>
      <c r="AL2515" s="30"/>
      <c r="AM2515" s="13"/>
      <c r="AN2515" s="13"/>
      <c r="AO2515" s="13"/>
      <c r="AP2515" s="13"/>
      <c r="AQ2515" s="13"/>
      <c r="AR2515" s="14"/>
      <c r="AS2515" s="15"/>
    </row>
    <row r="2516" spans="1:45" s="17" customFormat="1" ht="30.6" hidden="1" customHeight="1" x14ac:dyDescent="0.2">
      <c r="A2516" s="343"/>
      <c r="B2516" s="344"/>
      <c r="C2516" s="45"/>
      <c r="D2516" s="31">
        <v>3773537</v>
      </c>
      <c r="E2516" s="31">
        <v>4142066</v>
      </c>
      <c r="F2516" s="268" t="str">
        <f>IF(D2516="","",VLOOKUP(D2516,契約台帳!$A$3:$K$4986,6,FALSE)&amp;VLOOKUP(D2516,契約台帳!$A$3:$K$4986,7,FALSE)&amp;VLOOKUP(D2516,契約台帳!$A$3:$K$4986,8,FALSE)&amp;VLOOKUP(D2516,契約台帳!$A$3:$K$4986,9,FALSE)&amp;VLOOKUP(D2516,契約台帳!$A$3:$K$4986,11,FALSE))</f>
        <v>3TNMCLBHLKTV</v>
      </c>
      <c r="G2516" s="269" t="str">
        <f>IF(D2516="","",VLOOKUP(F2516,製品マスタ!$G$5:$H$5002,2,FALSE))</f>
        <v>T</v>
      </c>
      <c r="H2516" s="269" t="str">
        <f>IF(D2516="","",VLOOKUP(F2516,製品マスタ!$G$5:$K$5002,5,FALSE))</f>
        <v>HLKTV</v>
      </c>
      <c r="I2516" s="270" t="str">
        <f>IF(D2516="","",VLOOKUP(F2516,製品マスタ!$G$5:$L$5002,6,FALSE))</f>
        <v>メタルミー　ヘヤライン金艶　Ｖ</v>
      </c>
      <c r="J2516" s="210" t="s">
        <v>447</v>
      </c>
      <c r="K2516" s="270">
        <f>IF(D2516="","",VLOOKUP(D2516,契約台帳!$A$3:$L$4986,12,FALSE))</f>
        <v>25</v>
      </c>
      <c r="L2516" s="270" t="str">
        <f>IF(D2516="","",INDEX(製品マスタ!$Q$5:$Q$5002,MATCH('S4'!F2516&amp;'S4'!K2516,製品マスタ!$AO$5:$AO$5002,0)))</f>
        <v>HL25/EC</v>
      </c>
      <c r="M2516" s="39">
        <v>1030</v>
      </c>
      <c r="N2516" s="39">
        <v>4000</v>
      </c>
      <c r="O2516" s="156">
        <v>1</v>
      </c>
      <c r="P2516" s="47">
        <v>1</v>
      </c>
      <c r="Q2516" s="57"/>
      <c r="R2516" s="271">
        <f ca="1">IF(D2516="","",IF(OFFSET(D2516,-1,0)&lt;&gt;"","",IF(OR(J2516="リード付け",J2516="巻足し",J2516="巻返しリード付け"),M2516,VLOOKUP(D2516,契約台帳!$A$3:$N$4986,14,FALSE))))</f>
        <v>1000</v>
      </c>
      <c r="S2516" s="272">
        <f ca="1">IF(D2516="","",IF(OFFSET(D2516,-1,0)&lt;&gt;"","",IF(OR(J2516="リード付け",J2516="巻足し",J2516="巻返しリード付け"),M2516,VLOOKUP(D2516,契約台帳!$A$3:$O$4986,15,FALSE))))</f>
        <v>1000</v>
      </c>
      <c r="T2516" s="273">
        <f ca="1">IF(D2516="","",IF(J2516="リード付け",N2516,IF(J2516="巻返しリード付け",N2516,IF(J2516="巻足し",N2516*P2516+OFFSET(N2516,1,0)*OFFSET(P2516,1,0),VLOOKUP(D2516,契約台帳!$A$3:$P$4986,16,FALSE)))))</f>
        <v>2000</v>
      </c>
      <c r="U2516" s="40">
        <v>2</v>
      </c>
      <c r="V2516" s="274">
        <f ca="1">IF(D2516="","",IF(OFFSET(D2516,-2,0)=D2516,"",VLOOKUP(D2516,契約台帳!$A$3:$R$4986,18,FALSE)))</f>
        <v>2</v>
      </c>
      <c r="W2516" s="269" t="str">
        <f ca="1">IF(D2516="","",IF(T2516="","",IF(OR(J2516="巻足し",J2516="巻返しリード付け"),"",IF(J2516="巻返し",VLOOKUP(F2516&amp;K2516&amp;M2516,製品マスタ!$M$5:$AD$5002,18,FALSE),IF(OR(J2516="リード付け",J2516="巻返しリード付け"),"原反コア",IF(J2516="スリット",VLOOKUP(F2516&amp;K2516&amp;R2516,製品マスタ!$N$5:$AD$5002,17,FALSE),""))))))</f>
        <v>6ｲﾝﾁSｺｱ</v>
      </c>
      <c r="X2516" s="269">
        <f ca="1">IF(D2516="","",IF(T2516="","",IF(J2516="巻足し","",IF(J2516="巻返し",VLOOKUP(F2516&amp;K2516&amp;M2516,製品マスタ!$M$5:$AE$5002,19,FALSE),IF(OR(J2516="リード付け",J2516="巻返しリード付け"),"",IF(J2516="スリット",VLOOKUP(F2516&amp;K2516&amp;R2516,製品マスタ!$N$5:$AE$5002,18,FALSE),""))))))</f>
        <v>1015</v>
      </c>
      <c r="Y2516" s="275">
        <f ca="1">IF(D2516="","",IF(T2516="","",VLOOKUP(D2516,契約台帳!$A$3:$Q$4986,17,FALSE)))</f>
        <v>2</v>
      </c>
      <c r="Z2516" s="269" t="str">
        <f ca="1">IF(D2516="","",IF(T2516="","",VLOOKUP(D2516,契約台帳!$A$3:$E$4986,5,FALSE)))</f>
        <v>リンテック㈱</v>
      </c>
      <c r="AA2516" s="57"/>
      <c r="AB2516" s="303" t="s">
        <v>774</v>
      </c>
      <c r="AC2516" s="33"/>
      <c r="AD2516" s="189"/>
      <c r="AE2516" s="54"/>
      <c r="AF2516" s="55"/>
      <c r="AG2516" s="43"/>
      <c r="AH2516" s="47"/>
      <c r="AI2516" s="30"/>
      <c r="AJ2516" s="30"/>
      <c r="AK2516" s="30"/>
      <c r="AL2516" s="30"/>
      <c r="AM2516" s="13"/>
      <c r="AN2516" s="13"/>
      <c r="AO2516" s="13"/>
      <c r="AP2516" s="13"/>
      <c r="AQ2516" s="13"/>
      <c r="AR2516" s="14"/>
      <c r="AS2516" s="15"/>
    </row>
    <row r="2517" spans="1:45" s="17" customFormat="1" ht="30.95" hidden="1" customHeight="1" x14ac:dyDescent="0.2">
      <c r="A2517" s="343"/>
      <c r="B2517" s="344"/>
      <c r="C2517" s="345"/>
      <c r="D2517" s="346"/>
      <c r="E2517" s="346"/>
      <c r="F2517" s="268"/>
      <c r="G2517" s="269"/>
      <c r="H2517" s="269"/>
      <c r="I2517" s="270"/>
      <c r="J2517" s="434"/>
      <c r="K2517" s="270"/>
      <c r="L2517" s="270"/>
      <c r="M2517" s="348"/>
      <c r="N2517" s="348"/>
      <c r="O2517" s="435"/>
      <c r="P2517" s="349"/>
      <c r="Q2517" s="350"/>
      <c r="R2517" s="271"/>
      <c r="S2517" s="272"/>
      <c r="T2517" s="273"/>
      <c r="U2517" s="351"/>
      <c r="V2517" s="274"/>
      <c r="W2517" s="269"/>
      <c r="X2517" s="269"/>
      <c r="Y2517" s="275"/>
      <c r="Z2517" s="269"/>
      <c r="AA2517" s="350"/>
      <c r="AB2517" s="207"/>
      <c r="AC2517" s="352"/>
      <c r="AD2517" s="353"/>
      <c r="AE2517" s="54"/>
      <c r="AF2517" s="354"/>
      <c r="AG2517" s="355"/>
      <c r="AH2517" s="349"/>
      <c r="AI2517" s="30"/>
      <c r="AJ2517" s="30"/>
      <c r="AK2517" s="30"/>
      <c r="AL2517" s="30"/>
      <c r="AM2517" s="13"/>
      <c r="AN2517" s="13"/>
      <c r="AO2517" s="13"/>
      <c r="AP2517" s="13"/>
      <c r="AQ2517" s="13"/>
      <c r="AR2517" s="14"/>
      <c r="AS2517" s="15"/>
    </row>
    <row r="2518" spans="1:45" s="17" customFormat="1" ht="30.95" hidden="1" customHeight="1" x14ac:dyDescent="0.2">
      <c r="A2518" s="37"/>
      <c r="B2518" s="38"/>
      <c r="C2518" s="45"/>
      <c r="D2518" s="31" t="s">
        <v>1276</v>
      </c>
      <c r="E2518" s="414" t="s">
        <v>1277</v>
      </c>
      <c r="F2518" s="268" t="s">
        <v>1304</v>
      </c>
      <c r="G2518" s="269" t="s">
        <v>269</v>
      </c>
      <c r="H2518" s="269"/>
      <c r="I2518" s="270" t="s">
        <v>3078</v>
      </c>
      <c r="J2518" s="210" t="s">
        <v>447</v>
      </c>
      <c r="K2518" s="270">
        <v>50</v>
      </c>
      <c r="L2518" s="270"/>
      <c r="M2518" s="39">
        <v>1005</v>
      </c>
      <c r="N2518" s="39">
        <v>2240</v>
      </c>
      <c r="O2518" s="156">
        <v>1</v>
      </c>
      <c r="P2518" s="47">
        <v>1</v>
      </c>
      <c r="Q2518" s="57"/>
      <c r="R2518" s="271">
        <v>1005</v>
      </c>
      <c r="S2518" s="272">
        <v>1005</v>
      </c>
      <c r="T2518" s="273"/>
      <c r="U2518" s="40">
        <v>1</v>
      </c>
      <c r="V2518" s="274">
        <v>1</v>
      </c>
      <c r="W2518" s="269" t="str">
        <f>IF(D2518="","",IF(T2518="","",IF(OR(J2518="巻足し",J2518="巻返しリード付け"),"",IF(J2518="巻返し",VLOOKUP(F2518&amp;K2518&amp;M2518,製品マスタ!$M$5:$AD$5002,18,FALSE),IF(OR(J2518="リード付け",J2518="巻返しリード付け"),"原反コア",IF(J2518="スリット",VLOOKUP(F2518&amp;K2518&amp;R2518,製品マスタ!$N$5:$AD$5002,17,FALSE),""))))))</f>
        <v/>
      </c>
      <c r="X2518" s="269" t="s">
        <v>928</v>
      </c>
      <c r="Y2518" s="275">
        <v>2</v>
      </c>
      <c r="Z2518" s="269" t="s">
        <v>116</v>
      </c>
      <c r="AA2518" s="57"/>
      <c r="AB2518" s="303" t="s">
        <v>774</v>
      </c>
      <c r="AC2518" s="33"/>
      <c r="AD2518" s="189"/>
      <c r="AE2518" s="54"/>
      <c r="AF2518" s="55"/>
      <c r="AG2518" s="43"/>
      <c r="AH2518" s="47"/>
      <c r="AI2518" s="30"/>
      <c r="AJ2518" s="30"/>
      <c r="AK2518" s="30"/>
      <c r="AL2518" s="30"/>
      <c r="AM2518" s="13"/>
      <c r="AN2518" s="13"/>
      <c r="AO2518" s="13"/>
      <c r="AP2518" s="13"/>
      <c r="AQ2518" s="13"/>
      <c r="AR2518" s="14"/>
      <c r="AS2518" s="15"/>
    </row>
    <row r="2519" spans="1:45" s="17" customFormat="1" ht="30.95" hidden="1" customHeight="1" x14ac:dyDescent="0.2">
      <c r="A2519" s="343"/>
      <c r="B2519" s="344"/>
      <c r="C2519" s="345"/>
      <c r="D2519" s="346"/>
      <c r="E2519" s="346"/>
      <c r="F2519" s="268"/>
      <c r="G2519" s="269"/>
      <c r="H2519" s="269"/>
      <c r="I2519" s="270"/>
      <c r="J2519" s="434"/>
      <c r="K2519" s="270"/>
      <c r="L2519" s="270"/>
      <c r="M2519" s="348"/>
      <c r="N2519" s="348"/>
      <c r="O2519" s="435"/>
      <c r="P2519" s="349"/>
      <c r="Q2519" s="350"/>
      <c r="R2519" s="271"/>
      <c r="S2519" s="272"/>
      <c r="T2519" s="273"/>
      <c r="U2519" s="351"/>
      <c r="V2519" s="274"/>
      <c r="W2519" s="269"/>
      <c r="X2519" s="269"/>
      <c r="Y2519" s="275"/>
      <c r="Z2519" s="269"/>
      <c r="AA2519" s="350"/>
      <c r="AB2519" s="207"/>
      <c r="AC2519" s="352"/>
      <c r="AD2519" s="353"/>
      <c r="AE2519" s="54"/>
      <c r="AF2519" s="354"/>
      <c r="AG2519" s="355"/>
      <c r="AH2519" s="349"/>
      <c r="AI2519" s="30"/>
      <c r="AJ2519" s="30"/>
      <c r="AK2519" s="30"/>
      <c r="AL2519" s="30"/>
      <c r="AM2519" s="13"/>
      <c r="AN2519" s="13"/>
      <c r="AO2519" s="13"/>
      <c r="AP2519" s="13"/>
      <c r="AQ2519" s="13"/>
      <c r="AR2519" s="14"/>
      <c r="AS2519" s="15"/>
    </row>
    <row r="2520" spans="1:45" s="17" customFormat="1" ht="30.95" hidden="1" customHeight="1" x14ac:dyDescent="0.2">
      <c r="A2520" s="343" t="s">
        <v>3148</v>
      </c>
      <c r="B2520" s="344" t="s">
        <v>3132</v>
      </c>
      <c r="C2520" s="345"/>
      <c r="D2520" s="346"/>
      <c r="E2520" s="346"/>
      <c r="F2520" s="268"/>
      <c r="G2520" s="269"/>
      <c r="H2520" s="269"/>
      <c r="I2520" s="270"/>
      <c r="J2520" s="434" t="s">
        <v>490</v>
      </c>
      <c r="K2520" s="270"/>
      <c r="L2520" s="270"/>
      <c r="M2520" s="348"/>
      <c r="N2520" s="348"/>
      <c r="O2520" s="435"/>
      <c r="P2520" s="349"/>
      <c r="Q2520" s="350"/>
      <c r="R2520" s="271"/>
      <c r="S2520" s="272"/>
      <c r="T2520" s="273"/>
      <c r="U2520" s="351"/>
      <c r="V2520" s="274"/>
      <c r="W2520" s="269"/>
      <c r="X2520" s="269"/>
      <c r="Y2520" s="275"/>
      <c r="Z2520" s="269"/>
      <c r="AA2520" s="350"/>
      <c r="AB2520" s="207"/>
      <c r="AC2520" s="352"/>
      <c r="AD2520" s="353"/>
      <c r="AE2520" s="54"/>
      <c r="AF2520" s="354"/>
      <c r="AG2520" s="355"/>
      <c r="AH2520" s="349"/>
      <c r="AI2520" s="30"/>
      <c r="AJ2520" s="30"/>
      <c r="AK2520" s="30"/>
      <c r="AL2520" s="30"/>
      <c r="AM2520" s="13"/>
      <c r="AN2520" s="13"/>
      <c r="AO2520" s="13"/>
      <c r="AP2520" s="13"/>
      <c r="AQ2520" s="13"/>
      <c r="AR2520" s="14"/>
      <c r="AS2520" s="15"/>
    </row>
    <row r="2521" spans="1:45" s="17" customFormat="1" ht="30.95" hidden="1" customHeight="1" x14ac:dyDescent="0.2">
      <c r="A2521" s="343"/>
      <c r="B2521" s="344"/>
      <c r="C2521" s="345"/>
      <c r="D2521" s="346"/>
      <c r="E2521" s="346"/>
      <c r="F2521" s="268"/>
      <c r="G2521" s="269"/>
      <c r="H2521" s="269"/>
      <c r="I2521" s="270"/>
      <c r="J2521" s="434"/>
      <c r="K2521" s="270"/>
      <c r="L2521" s="270"/>
      <c r="M2521" s="348"/>
      <c r="N2521" s="348"/>
      <c r="O2521" s="435"/>
      <c r="P2521" s="349"/>
      <c r="Q2521" s="350"/>
      <c r="R2521" s="271"/>
      <c r="S2521" s="272"/>
      <c r="T2521" s="273"/>
      <c r="U2521" s="351"/>
      <c r="V2521" s="274"/>
      <c r="W2521" s="269"/>
      <c r="X2521" s="269"/>
      <c r="Y2521" s="275"/>
      <c r="Z2521" s="269"/>
      <c r="AA2521" s="350"/>
      <c r="AB2521" s="207"/>
      <c r="AC2521" s="352"/>
      <c r="AD2521" s="353"/>
      <c r="AE2521" s="54"/>
      <c r="AF2521" s="354"/>
      <c r="AG2521" s="355"/>
      <c r="AH2521" s="349"/>
      <c r="AI2521" s="30"/>
      <c r="AJ2521" s="30"/>
      <c r="AK2521" s="30"/>
      <c r="AL2521" s="30"/>
      <c r="AM2521" s="13"/>
      <c r="AN2521" s="13"/>
      <c r="AO2521" s="13"/>
      <c r="AP2521" s="13"/>
      <c r="AQ2521" s="13"/>
      <c r="AR2521" s="14"/>
      <c r="AS2521" s="15"/>
    </row>
    <row r="2522" spans="1:45" s="17" customFormat="1" ht="30.95" hidden="1" customHeight="1" x14ac:dyDescent="0.2">
      <c r="A2522" s="343"/>
      <c r="B2522" s="344"/>
      <c r="C2522" s="345"/>
      <c r="D2522" s="346"/>
      <c r="E2522" s="346"/>
      <c r="F2522" s="268"/>
      <c r="G2522" s="269"/>
      <c r="H2522" s="269"/>
      <c r="I2522" s="270"/>
      <c r="J2522" s="434" t="s">
        <v>665</v>
      </c>
      <c r="K2522" s="270"/>
      <c r="L2522" s="270"/>
      <c r="M2522" s="348"/>
      <c r="N2522" s="348"/>
      <c r="O2522" s="435"/>
      <c r="P2522" s="349"/>
      <c r="Q2522" s="350"/>
      <c r="R2522" s="271"/>
      <c r="S2522" s="272"/>
      <c r="T2522" s="273"/>
      <c r="U2522" s="351"/>
      <c r="V2522" s="274"/>
      <c r="W2522" s="269"/>
      <c r="X2522" s="269"/>
      <c r="Y2522" s="275"/>
      <c r="Z2522" s="269"/>
      <c r="AA2522" s="350"/>
      <c r="AB2522" s="207"/>
      <c r="AC2522" s="352"/>
      <c r="AD2522" s="353"/>
      <c r="AE2522" s="54"/>
      <c r="AF2522" s="354"/>
      <c r="AG2522" s="355"/>
      <c r="AH2522" s="349"/>
      <c r="AI2522" s="30"/>
      <c r="AJ2522" s="30"/>
      <c r="AK2522" s="30"/>
      <c r="AL2522" s="30"/>
      <c r="AM2522" s="13"/>
      <c r="AN2522" s="13"/>
      <c r="AO2522" s="13"/>
      <c r="AP2522" s="13"/>
      <c r="AQ2522" s="13"/>
      <c r="AR2522" s="14"/>
      <c r="AS2522" s="15"/>
    </row>
    <row r="2523" spans="1:45" s="17" customFormat="1" ht="30.95" hidden="1" customHeight="1" x14ac:dyDescent="0.2">
      <c r="A2523" s="343"/>
      <c r="B2523" s="344"/>
      <c r="C2523" s="345"/>
      <c r="D2523" s="346"/>
      <c r="E2523" s="346"/>
      <c r="F2523" s="268"/>
      <c r="G2523" s="269"/>
      <c r="H2523" s="269"/>
      <c r="I2523" s="270"/>
      <c r="J2523" s="434"/>
      <c r="K2523" s="270"/>
      <c r="L2523" s="270"/>
      <c r="M2523" s="348"/>
      <c r="N2523" s="348"/>
      <c r="O2523" s="435"/>
      <c r="P2523" s="349"/>
      <c r="Q2523" s="350"/>
      <c r="R2523" s="271"/>
      <c r="S2523" s="272"/>
      <c r="T2523" s="273"/>
      <c r="U2523" s="351"/>
      <c r="V2523" s="274"/>
      <c r="W2523" s="269"/>
      <c r="X2523" s="269"/>
      <c r="Y2523" s="275"/>
      <c r="Z2523" s="269"/>
      <c r="AA2523" s="350"/>
      <c r="AB2523" s="207"/>
      <c r="AC2523" s="352"/>
      <c r="AD2523" s="353"/>
      <c r="AE2523" s="54"/>
      <c r="AF2523" s="354"/>
      <c r="AG2523" s="355"/>
      <c r="AH2523" s="349"/>
      <c r="AI2523" s="30"/>
      <c r="AJ2523" s="30"/>
      <c r="AK2523" s="30"/>
      <c r="AL2523" s="30"/>
      <c r="AM2523" s="13"/>
      <c r="AN2523" s="13"/>
      <c r="AO2523" s="13"/>
      <c r="AP2523" s="13"/>
      <c r="AQ2523" s="13"/>
      <c r="AR2523" s="14"/>
      <c r="AS2523" s="15"/>
    </row>
    <row r="2524" spans="1:45" s="17" customFormat="1" ht="30.6" hidden="1" customHeight="1" x14ac:dyDescent="0.2">
      <c r="A2524" s="343" t="s">
        <v>3196</v>
      </c>
      <c r="B2524" s="344" t="s">
        <v>443</v>
      </c>
      <c r="C2524" s="45"/>
      <c r="D2524" s="31">
        <v>3770579</v>
      </c>
      <c r="E2524" s="31">
        <v>4151806</v>
      </c>
      <c r="F2524" s="268" t="str">
        <f>IF(D2524="","",VLOOKUP(D2524,契約台帳!$A$3:$K$4986,6,FALSE)&amp;VLOOKUP(D2524,契約台帳!$A$3:$K$4986,7,FALSE)&amp;VLOOKUP(D2524,契約台帳!$A$3:$K$4986,8,FALSE)&amp;VLOOKUP(D2524,契約台帳!$A$3:$K$4986,9,FALSE)&amp;VLOOKUP(D2524,契約台帳!$A$3:$K$4986,11,FALSE))</f>
        <v>3SNMLBMNGKKBF</v>
      </c>
      <c r="G2524" s="269" t="str">
        <f>IF(D2524="","",VLOOKUP(F2524,製品マスタ!$G$5:$H$5002,2,FALSE))</f>
        <v>S</v>
      </c>
      <c r="H2524" s="269" t="str">
        <f>IF(D2524="","",VLOOKUP(F2524,製品マスタ!$G$5:$K$5002,5,FALSE))</f>
        <v>MNGKKBF</v>
      </c>
      <c r="I2524" s="270" t="str">
        <f>IF(D2524="","",VLOOKUP(F2524,製品マスタ!$G$5:$L$5002,6,FALSE))</f>
        <v>メタルミー　ネーマー銀消改　Ｂ</v>
      </c>
      <c r="J2524" s="210" t="s">
        <v>447</v>
      </c>
      <c r="K2524" s="270">
        <f>IF(D2524="","",VLOOKUP(D2524,契約台帳!$A$3:$L$4986,12,FALSE))</f>
        <v>50</v>
      </c>
      <c r="L2524" s="270" t="str">
        <f>IF(D2524="","",INDEX(製品マスタ!$Q$5:$Q$5002,MATCH('S4'!F2524&amp;'S4'!K2524,製品マスタ!$AO$5:$AO$5002,0)))</f>
        <v>S99-MAT</v>
      </c>
      <c r="M2524" s="39">
        <v>1120</v>
      </c>
      <c r="N2524" s="39">
        <v>12000</v>
      </c>
      <c r="O2524" s="156">
        <v>4</v>
      </c>
      <c r="P2524" s="47">
        <v>4</v>
      </c>
      <c r="Q2524" s="57"/>
      <c r="R2524" s="271">
        <f ca="1">IF(D2524="","",IF(OFFSET(D2524,-1,0)&lt;&gt;"","",IF(OR(J2524="リード付け",J2524="巻足し",J2524="巻返しリード付け"),M2524,VLOOKUP(D2524,契約台帳!$A$3:$N$4986,14,FALSE))))</f>
        <v>1120</v>
      </c>
      <c r="S2524" s="272">
        <f ca="1">IF(D2524="","",IF(OFFSET(D2524,-1,0)&lt;&gt;"","",IF(OR(J2524="リード付け",J2524="巻足し",J2524="巻返しリード付け"),M2524,VLOOKUP(D2524,契約台帳!$A$3:$O$4986,15,FALSE))))</f>
        <v>1120</v>
      </c>
      <c r="T2524" s="273">
        <f ca="1">IF(D2524="","",IF(J2524="リード付け",N2524,IF(J2524="巻返しリード付け",N2524,IF(J2524="巻足し",N2524*P2524+OFFSET(N2524,1,0)*OFFSET(P2524,1,0),VLOOKUP(D2524,契約台帳!$A$3:$P$4986,16,FALSE)))))</f>
        <v>4000</v>
      </c>
      <c r="U2524" s="40">
        <v>12</v>
      </c>
      <c r="V2524" s="274">
        <f ca="1">IF(D2524="","",IF(OFFSET(D2524,-2,0)=D2524,"",VLOOKUP(D2524,契約台帳!$A$3:$R$4986,18,FALSE)))</f>
        <v>12</v>
      </c>
      <c r="W2524" s="269" t="str">
        <f ca="1">IF(D2524="","",IF(T2524="","",IF(OR(J2524="巻足し",J2524="巻返しリード付け"),"",IF(J2524="巻返し",VLOOKUP(F2524&amp;K2524&amp;M2524,製品マスタ!$M$5:$AD$5002,18,FALSE),IF(OR(J2524="リード付け",J2524="巻返しリード付け"),"原反コア",IF(J2524="スリット",VLOOKUP(F2524&amp;K2524&amp;R2524,製品マスタ!$N$5:$AD$5002,17,FALSE),""))))))</f>
        <v>6ｲﾝﾁSｺｱ</v>
      </c>
      <c r="X2524" s="269">
        <f ca="1">IF(D2524="","",IF(T2524="","",IF(J2524="巻足し","",IF(J2524="巻返し",VLOOKUP(F2524&amp;K2524&amp;M2524,製品マスタ!$M$5:$AE$5002,19,FALSE),IF(OR(J2524="リード付け",J2524="巻返しリード付け"),"",IF(J2524="スリット",VLOOKUP(F2524&amp;K2524&amp;R2524,製品マスタ!$N$5:$AE$5002,18,FALSE),""))))))</f>
        <v>1125</v>
      </c>
      <c r="Y2524" s="275">
        <f ca="1">IF(D2524="","",IF(T2524="","",VLOOKUP(D2524,契約台帳!$A$3:$Q$4986,17,FALSE)))</f>
        <v>2</v>
      </c>
      <c r="Z2524" s="269" t="str">
        <f ca="1">IF(D2524="","",IF(T2524="","",VLOOKUP(D2524,契約台帳!$A$3:$E$4986,5,FALSE)))</f>
        <v>リンテック㈱</v>
      </c>
      <c r="AA2524" s="57">
        <v>45565</v>
      </c>
      <c r="AB2524" s="207"/>
      <c r="AC2524" s="33"/>
      <c r="AD2524" s="189"/>
      <c r="AE2524" s="54" t="str">
        <f>IF(F2524="","",+F2524&amp;K2524)</f>
        <v>3SNMLBMNGKKBF50</v>
      </c>
      <c r="AF2524" s="55">
        <f>+M2524*N2524*O2524/1000</f>
        <v>53760</v>
      </c>
      <c r="AG2524" s="43">
        <f>IF(AE2524="","",VLOOKUP(AE2524,原価マスタ!$A$2:$AJ$1693,13,FALSE))</f>
        <v>99</v>
      </c>
      <c r="AH2524" s="47">
        <f>IF(AG2524="","",+AF2524*AG2524/100)</f>
        <v>53222.400000000001</v>
      </c>
      <c r="AI2524" s="30"/>
      <c r="AJ2524" s="30"/>
      <c r="AK2524" s="30"/>
      <c r="AL2524" s="30"/>
      <c r="AM2524" s="13"/>
      <c r="AN2524" s="13"/>
      <c r="AO2524" s="13"/>
      <c r="AP2524" s="13"/>
      <c r="AQ2524" s="13"/>
      <c r="AR2524" s="14"/>
      <c r="AS2524" s="15"/>
    </row>
    <row r="2525" spans="1:45" s="17" customFormat="1" ht="30.95" hidden="1" customHeight="1" x14ac:dyDescent="0.2">
      <c r="A2525" s="343"/>
      <c r="B2525" s="344"/>
      <c r="C2525" s="345"/>
      <c r="D2525" s="346"/>
      <c r="E2525" s="346"/>
      <c r="F2525" s="268"/>
      <c r="G2525" s="269"/>
      <c r="H2525" s="269"/>
      <c r="I2525" s="270"/>
      <c r="J2525" s="434"/>
      <c r="K2525" s="270"/>
      <c r="L2525" s="270"/>
      <c r="M2525" s="348"/>
      <c r="N2525" s="348"/>
      <c r="O2525" s="435"/>
      <c r="P2525" s="349"/>
      <c r="Q2525" s="350"/>
      <c r="R2525" s="271"/>
      <c r="S2525" s="272"/>
      <c r="T2525" s="273"/>
      <c r="U2525" s="351"/>
      <c r="V2525" s="274"/>
      <c r="W2525" s="269"/>
      <c r="X2525" s="269"/>
      <c r="Y2525" s="275"/>
      <c r="Z2525" s="269"/>
      <c r="AA2525" s="350"/>
      <c r="AB2525" s="207"/>
      <c r="AC2525" s="352"/>
      <c r="AD2525" s="353"/>
      <c r="AE2525" s="54"/>
      <c r="AF2525" s="354"/>
      <c r="AG2525" s="355"/>
      <c r="AH2525" s="349"/>
      <c r="AI2525" s="30"/>
      <c r="AJ2525" s="30"/>
      <c r="AK2525" s="30"/>
      <c r="AL2525" s="30"/>
      <c r="AM2525" s="13"/>
      <c r="AN2525" s="13"/>
      <c r="AO2525" s="13"/>
      <c r="AP2525" s="13"/>
      <c r="AQ2525" s="13"/>
      <c r="AR2525" s="14"/>
      <c r="AS2525" s="15"/>
    </row>
    <row r="2526" spans="1:45" s="17" customFormat="1" ht="30.6" hidden="1" customHeight="1" x14ac:dyDescent="0.2">
      <c r="A2526" s="343" t="s">
        <v>579</v>
      </c>
      <c r="B2526" s="344" t="s">
        <v>444</v>
      </c>
      <c r="C2526" s="45"/>
      <c r="D2526" s="31">
        <v>3770586</v>
      </c>
      <c r="E2526" s="31">
        <v>4151809</v>
      </c>
      <c r="F2526" s="268" t="str">
        <f>IF(D2526="","",VLOOKUP(D2526,契約台帳!$A$3:$K$4986,6,FALSE)&amp;VLOOKUP(D2526,契約台帳!$A$3:$K$4986,7,FALSE)&amp;VLOOKUP(D2526,契約台帳!$A$3:$K$4986,8,FALSE)&amp;VLOOKUP(D2526,契約台帳!$A$3:$K$4986,9,FALSE)&amp;VLOOKUP(D2526,契約台帳!$A$3:$K$4986,11,FALSE))</f>
        <v>3SNMLBMNNGKBF</v>
      </c>
      <c r="G2526" s="269" t="str">
        <f>IF(D2526="","",VLOOKUP(F2526,製品マスタ!$G$5:$H$5002,2,FALSE))</f>
        <v>S</v>
      </c>
      <c r="H2526" s="269" t="str">
        <f>IF(D2526="","",VLOOKUP(F2526,製品マスタ!$G$5:$K$5002,5,FALSE))</f>
        <v>MNNGKBF</v>
      </c>
      <c r="I2526" s="270" t="str">
        <f>IF(D2526="","",VLOOKUP(F2526,製品マスタ!$G$5:$L$5002,6,FALSE))</f>
        <v>メタルミー　ニューネーマー銀消　Ｂ</v>
      </c>
      <c r="J2526" s="210" t="s">
        <v>447</v>
      </c>
      <c r="K2526" s="270">
        <f>IF(D2526="","",VLOOKUP(D2526,契約台帳!$A$3:$L$4986,12,FALSE))</f>
        <v>50</v>
      </c>
      <c r="L2526" s="270" t="str">
        <f>IF(D2526="","",INDEX(製品マスタ!$Q$5:$Q$5002,MATCH('S4'!F2526&amp;'S4'!K2526,製品マスタ!$AO$5:$AO$5002,0)))</f>
        <v>X44</v>
      </c>
      <c r="M2526" s="39">
        <v>1000</v>
      </c>
      <c r="N2526" s="39">
        <v>12000</v>
      </c>
      <c r="O2526" s="156">
        <v>3</v>
      </c>
      <c r="P2526" s="47">
        <v>6</v>
      </c>
      <c r="Q2526" s="57"/>
      <c r="R2526" s="271">
        <f ca="1">IF(D2526="","",IF(OFFSET(D2526,-1,0)&lt;&gt;"","",IF(OR(J2526="リード付け",J2526="巻足し",J2526="巻返しリード付け"),M2526,VLOOKUP(D2526,契約台帳!$A$3:$N$4986,14,FALSE))))</f>
        <v>1000</v>
      </c>
      <c r="S2526" s="272">
        <f ca="1">IF(D2526="","",IF(OFFSET(D2526,-1,0)&lt;&gt;"","",IF(OR(J2526="リード付け",J2526="巻足し",J2526="巻返しリード付け"),M2526,VLOOKUP(D2526,契約台帳!$A$3:$O$4986,15,FALSE))))</f>
        <v>1000</v>
      </c>
      <c r="T2526" s="273">
        <f ca="1">IF(D2526="","",IF(J2526="リード付け",N2526,IF(J2526="巻返しリード付け",N2526,IF(J2526="巻足し",N2526*P2526+OFFSET(N2526,1,0)*OFFSET(P2526,1,0),VLOOKUP(D2526,契約台帳!$A$3:$P$4986,16,FALSE)))))</f>
        <v>4000</v>
      </c>
      <c r="U2526" s="40">
        <v>9</v>
      </c>
      <c r="V2526" s="274">
        <f ca="1">IF(D2526="","",IF(OFFSET(D2526,-2,0)=D2526,"",VLOOKUP(D2526,契約台帳!$A$3:$R$4986,18,FALSE)))</f>
        <v>18</v>
      </c>
      <c r="W2526" s="269" t="str">
        <f ca="1">IF(D2526="","",IF(T2526="","",IF(OR(J2526="巻足し",J2526="巻返しリード付け"),"",IF(J2526="巻返し",VLOOKUP(F2526&amp;K2526&amp;M2526,製品マスタ!$M$5:$AD$5002,18,FALSE),IF(OR(J2526="リード付け",J2526="巻返しリード付け"),"原反コア",IF(J2526="スリット",VLOOKUP(F2526&amp;K2526&amp;R2526,製品マスタ!$N$5:$AD$5002,17,FALSE),""))))))</f>
        <v>6ｲﾝﾁSｺｱ</v>
      </c>
      <c r="X2526" s="269">
        <f ca="1">IF(D2526="","",IF(T2526="","",IF(J2526="巻足し","",IF(J2526="巻返し",VLOOKUP(F2526&amp;K2526&amp;M2526,製品マスタ!$M$5:$AE$5002,19,FALSE),IF(OR(J2526="リード付け",J2526="巻返しリード付け"),"",IF(J2526="スリット",VLOOKUP(F2526&amp;K2526&amp;R2526,製品マスタ!$N$5:$AE$5002,18,FALSE),""))))))</f>
        <v>1005</v>
      </c>
      <c r="Y2526" s="275">
        <f ca="1">IF(D2526="","",IF(T2526="","",VLOOKUP(D2526,契約台帳!$A$3:$Q$4986,17,FALSE)))</f>
        <v>2</v>
      </c>
      <c r="Z2526" s="269" t="str">
        <f ca="1">IF(D2526="","",IF(T2526="","",VLOOKUP(D2526,契約台帳!$A$3:$E$4986,5,FALSE)))</f>
        <v>リンテック㈱</v>
      </c>
      <c r="AA2526" s="57">
        <v>45565</v>
      </c>
      <c r="AB2526" s="207"/>
      <c r="AC2526" s="33"/>
      <c r="AD2526" s="189"/>
      <c r="AE2526" s="54" t="str">
        <f>IF(F2526="","",+F2526&amp;K2526)</f>
        <v>3SNMLBMNNGKBF50</v>
      </c>
      <c r="AF2526" s="55">
        <f>+M2526*N2526*O2526/1000</f>
        <v>36000</v>
      </c>
      <c r="AG2526" s="43">
        <f>IF(AE2526="","",VLOOKUP(AE2526,原価マスタ!$A$2:$AJ$1693,13,FALSE))</f>
        <v>99</v>
      </c>
      <c r="AH2526" s="47">
        <f>IF(AG2526="","",+AF2526*AG2526/100)</f>
        <v>35640</v>
      </c>
      <c r="AI2526" s="30"/>
      <c r="AJ2526" s="30"/>
      <c r="AK2526" s="30"/>
      <c r="AL2526" s="30"/>
      <c r="AM2526" s="13"/>
      <c r="AN2526" s="13"/>
      <c r="AO2526" s="13"/>
      <c r="AP2526" s="13"/>
      <c r="AQ2526" s="13"/>
      <c r="AR2526" s="14"/>
      <c r="AS2526" s="15"/>
    </row>
    <row r="2527" spans="1:45" s="17" customFormat="1" ht="30.95" hidden="1" customHeight="1" x14ac:dyDescent="0.2">
      <c r="A2527" s="343"/>
      <c r="B2527" s="344"/>
      <c r="C2527" s="345"/>
      <c r="D2527" s="346"/>
      <c r="E2527" s="346"/>
      <c r="F2527" s="268"/>
      <c r="G2527" s="269"/>
      <c r="H2527" s="269"/>
      <c r="I2527" s="270"/>
      <c r="J2527" s="434"/>
      <c r="K2527" s="270"/>
      <c r="L2527" s="270"/>
      <c r="M2527" s="348"/>
      <c r="N2527" s="348"/>
      <c r="O2527" s="435"/>
      <c r="P2527" s="349"/>
      <c r="Q2527" s="350"/>
      <c r="R2527" s="271"/>
      <c r="S2527" s="272"/>
      <c r="T2527" s="273"/>
      <c r="U2527" s="351"/>
      <c r="V2527" s="274"/>
      <c r="W2527" s="269"/>
      <c r="X2527" s="269"/>
      <c r="Y2527" s="275"/>
      <c r="Z2527" s="269"/>
      <c r="AA2527" s="350"/>
      <c r="AB2527" s="207"/>
      <c r="AC2527" s="352"/>
      <c r="AD2527" s="353"/>
      <c r="AE2527" s="54"/>
      <c r="AF2527" s="354"/>
      <c r="AG2527" s="355"/>
      <c r="AH2527" s="349"/>
      <c r="AI2527" s="30"/>
      <c r="AJ2527" s="30"/>
      <c r="AK2527" s="30"/>
      <c r="AL2527" s="30"/>
      <c r="AM2527" s="13"/>
      <c r="AN2527" s="13"/>
      <c r="AO2527" s="13"/>
      <c r="AP2527" s="13"/>
      <c r="AQ2527" s="13"/>
      <c r="AR2527" s="14"/>
      <c r="AS2527" s="15"/>
    </row>
    <row r="2528" spans="1:45" s="17" customFormat="1" ht="30.6" hidden="1" customHeight="1" x14ac:dyDescent="0.2">
      <c r="A2528" s="343" t="s">
        <v>579</v>
      </c>
      <c r="B2528" s="344" t="s">
        <v>444</v>
      </c>
      <c r="C2528" s="45"/>
      <c r="D2528" s="31">
        <v>3770586</v>
      </c>
      <c r="E2528" s="31">
        <v>4151809</v>
      </c>
      <c r="F2528" s="268" t="str">
        <f>IF(D2528="","",VLOOKUP(D2528,契約台帳!$A$3:$K$4986,6,FALSE)&amp;VLOOKUP(D2528,契約台帳!$A$3:$K$4986,7,FALSE)&amp;VLOOKUP(D2528,契約台帳!$A$3:$K$4986,8,FALSE)&amp;VLOOKUP(D2528,契約台帳!$A$3:$K$4986,9,FALSE)&amp;VLOOKUP(D2528,契約台帳!$A$3:$K$4986,11,FALSE))</f>
        <v>3SNMLBMNNGKBF</v>
      </c>
      <c r="G2528" s="269" t="str">
        <f>IF(D2528="","",VLOOKUP(F2528,製品マスタ!$G$5:$H$5002,2,FALSE))</f>
        <v>S</v>
      </c>
      <c r="H2528" s="269" t="str">
        <f>IF(D2528="","",VLOOKUP(F2528,製品マスタ!$G$5:$K$5002,5,FALSE))</f>
        <v>MNNGKBF</v>
      </c>
      <c r="I2528" s="270" t="str">
        <f>IF(D2528="","",VLOOKUP(F2528,製品マスタ!$G$5:$L$5002,6,FALSE))</f>
        <v>メタルミー　ニューネーマー銀消　Ｂ</v>
      </c>
      <c r="J2528" s="210" t="s">
        <v>447</v>
      </c>
      <c r="K2528" s="270">
        <f>IF(D2528="","",VLOOKUP(D2528,契約台帳!$A$3:$L$4986,12,FALSE))</f>
        <v>50</v>
      </c>
      <c r="L2528" s="270" t="str">
        <f>IF(D2528="","",INDEX(製品マスタ!$Q$5:$Q$5002,MATCH('S4'!F2528&amp;'S4'!K2528,製品マスタ!$AO$5:$AO$5002,0)))</f>
        <v>X44</v>
      </c>
      <c r="M2528" s="39">
        <v>1000</v>
      </c>
      <c r="N2528" s="39">
        <v>12000</v>
      </c>
      <c r="O2528" s="156">
        <v>3</v>
      </c>
      <c r="P2528" s="47">
        <v>6</v>
      </c>
      <c r="Q2528" s="57"/>
      <c r="R2528" s="271">
        <f ca="1">IF(D2528="","",IF(OFFSET(D2528,-1,0)&lt;&gt;"","",IF(OR(J2528="リード付け",J2528="巻足し",J2528="巻返しリード付け"),M2528,VLOOKUP(D2528,契約台帳!$A$3:$N$4986,14,FALSE))))</f>
        <v>1000</v>
      </c>
      <c r="S2528" s="272">
        <f ca="1">IF(D2528="","",IF(OFFSET(D2528,-1,0)&lt;&gt;"","",IF(OR(J2528="リード付け",J2528="巻足し",J2528="巻返しリード付け"),M2528,VLOOKUP(D2528,契約台帳!$A$3:$O$4986,15,FALSE))))</f>
        <v>1000</v>
      </c>
      <c r="T2528" s="273">
        <f ca="1">IF(D2528="","",IF(J2528="リード付け",N2528,IF(J2528="巻返しリード付け",N2528,IF(J2528="巻足し",N2528*P2528+OFFSET(N2528,1,0)*OFFSET(P2528,1,0),VLOOKUP(D2528,契約台帳!$A$3:$P$4986,16,FALSE)))))</f>
        <v>4000</v>
      </c>
      <c r="U2528" s="40">
        <v>9</v>
      </c>
      <c r="V2528" s="274" t="str">
        <f ca="1">IF(D2528="","",IF(OFFSET(D2528,-2,0)=D2528,"",VLOOKUP(D2528,契約台帳!$A$3:$R$4986,18,FALSE)))</f>
        <v/>
      </c>
      <c r="W2528" s="269" t="str">
        <f ca="1">IF(D2528="","",IF(T2528="","",IF(OR(J2528="巻足し",J2528="巻返しリード付け"),"",IF(J2528="巻返し",VLOOKUP(F2528&amp;K2528&amp;M2528,製品マスタ!$M$5:$AD$5002,18,FALSE),IF(OR(J2528="リード付け",J2528="巻返しリード付け"),"原反コア",IF(J2528="スリット",VLOOKUP(F2528&amp;K2528&amp;R2528,製品マスタ!$N$5:$AD$5002,17,FALSE),""))))))</f>
        <v>6ｲﾝﾁSｺｱ</v>
      </c>
      <c r="X2528" s="269">
        <f ca="1">IF(D2528="","",IF(T2528="","",IF(J2528="巻足し","",IF(J2528="巻返し",VLOOKUP(F2528&amp;K2528&amp;M2528,製品マスタ!$M$5:$AE$5002,19,FALSE),IF(OR(J2528="リード付け",J2528="巻返しリード付け"),"",IF(J2528="スリット",VLOOKUP(F2528&amp;K2528&amp;R2528,製品マスタ!$N$5:$AE$5002,18,FALSE),""))))))</f>
        <v>1005</v>
      </c>
      <c r="Y2528" s="275">
        <f ca="1">IF(D2528="","",IF(T2528="","",VLOOKUP(D2528,契約台帳!$A$3:$Q$4986,17,FALSE)))</f>
        <v>2</v>
      </c>
      <c r="Z2528" s="269" t="str">
        <f ca="1">IF(D2528="","",IF(T2528="","",VLOOKUP(D2528,契約台帳!$A$3:$E$4986,5,FALSE)))</f>
        <v>リンテック㈱</v>
      </c>
      <c r="AA2528" s="57">
        <v>45566</v>
      </c>
      <c r="AB2528" s="207"/>
      <c r="AC2528" s="33"/>
      <c r="AD2528" s="189"/>
      <c r="AE2528" s="54" t="str">
        <f>IF(F2528="","",+F2528&amp;K2528)</f>
        <v>3SNMLBMNNGKBF50</v>
      </c>
      <c r="AF2528" s="55">
        <f>+M2528*N2528*O2528/1000</f>
        <v>36000</v>
      </c>
      <c r="AG2528" s="43">
        <f>IF(AE2528="","",VLOOKUP(AE2528,原価マスタ!$A$2:$AJ$1693,13,FALSE))</f>
        <v>99</v>
      </c>
      <c r="AH2528" s="47">
        <f>IF(AG2528="","",+AF2528*AG2528/100)</f>
        <v>35640</v>
      </c>
      <c r="AI2528" s="30"/>
      <c r="AJ2528" s="30"/>
      <c r="AK2528" s="30"/>
      <c r="AL2528" s="30"/>
      <c r="AM2528" s="13"/>
      <c r="AN2528" s="13"/>
      <c r="AO2528" s="13"/>
      <c r="AP2528" s="13"/>
      <c r="AQ2528" s="13"/>
      <c r="AR2528" s="14"/>
      <c r="AS2528" s="15"/>
    </row>
    <row r="2529" spans="1:45" s="17" customFormat="1" ht="30.95" hidden="1" customHeight="1" x14ac:dyDescent="0.2">
      <c r="A2529" s="343"/>
      <c r="B2529" s="344"/>
      <c r="C2529" s="345"/>
      <c r="D2529" s="346"/>
      <c r="E2529" s="346"/>
      <c r="F2529" s="268"/>
      <c r="G2529" s="269"/>
      <c r="H2529" s="269"/>
      <c r="I2529" s="270"/>
      <c r="J2529" s="434"/>
      <c r="K2529" s="270"/>
      <c r="L2529" s="270"/>
      <c r="M2529" s="348"/>
      <c r="N2529" s="348"/>
      <c r="O2529" s="435"/>
      <c r="P2529" s="349"/>
      <c r="Q2529" s="350"/>
      <c r="R2529" s="271"/>
      <c r="S2529" s="272"/>
      <c r="T2529" s="273"/>
      <c r="U2529" s="351"/>
      <c r="V2529" s="274"/>
      <c r="W2529" s="269"/>
      <c r="X2529" s="269"/>
      <c r="Y2529" s="275"/>
      <c r="Z2529" s="269"/>
      <c r="AA2529" s="350"/>
      <c r="AB2529" s="207"/>
      <c r="AC2529" s="352"/>
      <c r="AD2529" s="353"/>
      <c r="AE2529" s="54"/>
      <c r="AF2529" s="354"/>
      <c r="AG2529" s="355"/>
      <c r="AH2529" s="349"/>
      <c r="AI2529" s="30"/>
      <c r="AJ2529" s="30"/>
      <c r="AK2529" s="30"/>
      <c r="AL2529" s="30"/>
      <c r="AM2529" s="13"/>
      <c r="AN2529" s="13"/>
      <c r="AO2529" s="13"/>
      <c r="AP2529" s="13"/>
      <c r="AQ2529" s="13"/>
      <c r="AR2529" s="14"/>
      <c r="AS2529" s="15"/>
    </row>
    <row r="2530" spans="1:45" s="17" customFormat="1" ht="30.95" hidden="1" customHeight="1" x14ac:dyDescent="0.2">
      <c r="A2530" s="343" t="s">
        <v>581</v>
      </c>
      <c r="B2530" s="344" t="s">
        <v>445</v>
      </c>
      <c r="C2530" s="345"/>
      <c r="D2530" s="346"/>
      <c r="E2530" s="346"/>
      <c r="F2530" s="268"/>
      <c r="G2530" s="269"/>
      <c r="H2530" s="269"/>
      <c r="I2530" s="270"/>
      <c r="J2530" s="434" t="s">
        <v>665</v>
      </c>
      <c r="K2530" s="270"/>
      <c r="L2530" s="270"/>
      <c r="M2530" s="348"/>
      <c r="N2530" s="348"/>
      <c r="O2530" s="435"/>
      <c r="P2530" s="349"/>
      <c r="Q2530" s="350"/>
      <c r="R2530" s="271"/>
      <c r="S2530" s="272"/>
      <c r="T2530" s="273"/>
      <c r="U2530" s="351"/>
      <c r="V2530" s="274"/>
      <c r="W2530" s="269"/>
      <c r="X2530" s="269"/>
      <c r="Y2530" s="275"/>
      <c r="Z2530" s="269"/>
      <c r="AA2530" s="350"/>
      <c r="AB2530" s="207"/>
      <c r="AC2530" s="352"/>
      <c r="AD2530" s="353"/>
      <c r="AE2530" s="54"/>
      <c r="AF2530" s="354"/>
      <c r="AG2530" s="355"/>
      <c r="AH2530" s="349"/>
      <c r="AI2530" s="30"/>
      <c r="AJ2530" s="30"/>
      <c r="AK2530" s="30"/>
      <c r="AL2530" s="30"/>
      <c r="AM2530" s="13"/>
      <c r="AN2530" s="13"/>
      <c r="AO2530" s="13"/>
      <c r="AP2530" s="13"/>
      <c r="AQ2530" s="13"/>
      <c r="AR2530" s="14"/>
      <c r="AS2530" s="15"/>
    </row>
    <row r="2531" spans="1:45" s="17" customFormat="1" ht="30.95" hidden="1" customHeight="1" x14ac:dyDescent="0.2">
      <c r="A2531" s="343"/>
      <c r="B2531" s="344"/>
      <c r="C2531" s="345"/>
      <c r="D2531" s="346"/>
      <c r="E2531" s="346"/>
      <c r="F2531" s="268"/>
      <c r="G2531" s="269"/>
      <c r="H2531" s="269"/>
      <c r="I2531" s="270"/>
      <c r="J2531" s="434"/>
      <c r="K2531" s="270"/>
      <c r="L2531" s="270"/>
      <c r="M2531" s="348"/>
      <c r="N2531" s="348"/>
      <c r="O2531" s="435"/>
      <c r="P2531" s="349"/>
      <c r="Q2531" s="350"/>
      <c r="R2531" s="271"/>
      <c r="S2531" s="272"/>
      <c r="T2531" s="273"/>
      <c r="U2531" s="351"/>
      <c r="V2531" s="274"/>
      <c r="W2531" s="269"/>
      <c r="X2531" s="269"/>
      <c r="Y2531" s="275"/>
      <c r="Z2531" s="269"/>
      <c r="AA2531" s="350"/>
      <c r="AB2531" s="207"/>
      <c r="AC2531" s="352"/>
      <c r="AD2531" s="353"/>
      <c r="AE2531" s="54"/>
      <c r="AF2531" s="354"/>
      <c r="AG2531" s="355"/>
      <c r="AH2531" s="349"/>
      <c r="AI2531" s="30"/>
      <c r="AJ2531" s="30"/>
      <c r="AK2531" s="30"/>
      <c r="AL2531" s="30"/>
      <c r="AM2531" s="13"/>
      <c r="AN2531" s="13"/>
      <c r="AO2531" s="13"/>
      <c r="AP2531" s="13"/>
      <c r="AQ2531" s="13"/>
      <c r="AR2531" s="14"/>
      <c r="AS2531" s="15"/>
    </row>
    <row r="2532" spans="1:45" s="17" customFormat="1" ht="30.95" hidden="1" customHeight="1" x14ac:dyDescent="0.2">
      <c r="A2532" s="343" t="s">
        <v>3149</v>
      </c>
      <c r="B2532" s="344" t="s">
        <v>3150</v>
      </c>
      <c r="C2532" s="345"/>
      <c r="D2532" s="346"/>
      <c r="E2532" s="346"/>
      <c r="F2532" s="268"/>
      <c r="G2532" s="269"/>
      <c r="H2532" s="269"/>
      <c r="I2532" s="270"/>
      <c r="J2532" s="434" t="s">
        <v>3151</v>
      </c>
      <c r="K2532" s="270"/>
      <c r="L2532" s="270"/>
      <c r="M2532" s="348"/>
      <c r="N2532" s="348"/>
      <c r="O2532" s="435"/>
      <c r="P2532" s="349"/>
      <c r="Q2532" s="350"/>
      <c r="R2532" s="271"/>
      <c r="S2532" s="272"/>
      <c r="T2532" s="273"/>
      <c r="U2532" s="351"/>
      <c r="V2532" s="274"/>
      <c r="W2532" s="269"/>
      <c r="X2532" s="269"/>
      <c r="Y2532" s="275"/>
      <c r="Z2532" s="269"/>
      <c r="AA2532" s="350"/>
      <c r="AB2532" s="207"/>
      <c r="AC2532" s="352"/>
      <c r="AD2532" s="353"/>
      <c r="AE2532" s="54"/>
      <c r="AF2532" s="354"/>
      <c r="AG2532" s="355"/>
      <c r="AH2532" s="349"/>
      <c r="AI2532" s="30"/>
      <c r="AJ2532" s="30"/>
      <c r="AK2532" s="30"/>
      <c r="AL2532" s="30"/>
      <c r="AM2532" s="13"/>
      <c r="AN2532" s="13"/>
      <c r="AO2532" s="13"/>
      <c r="AP2532" s="13"/>
      <c r="AQ2532" s="13"/>
      <c r="AR2532" s="14"/>
      <c r="AS2532" s="15"/>
    </row>
    <row r="2533" spans="1:45" s="17" customFormat="1" ht="30.95" hidden="1" customHeight="1" x14ac:dyDescent="0.2">
      <c r="A2533" s="343"/>
      <c r="B2533" s="344"/>
      <c r="C2533" s="345"/>
      <c r="D2533" s="346"/>
      <c r="E2533" s="346"/>
      <c r="F2533" s="268"/>
      <c r="G2533" s="269"/>
      <c r="H2533" s="269"/>
      <c r="I2533" s="270"/>
      <c r="J2533" s="434"/>
      <c r="K2533" s="270"/>
      <c r="L2533" s="270"/>
      <c r="M2533" s="348"/>
      <c r="N2533" s="348"/>
      <c r="O2533" s="435"/>
      <c r="P2533" s="349"/>
      <c r="Q2533" s="350"/>
      <c r="R2533" s="271"/>
      <c r="S2533" s="272"/>
      <c r="T2533" s="273"/>
      <c r="U2533" s="351"/>
      <c r="V2533" s="274"/>
      <c r="W2533" s="269"/>
      <c r="X2533" s="269"/>
      <c r="Y2533" s="275"/>
      <c r="Z2533" s="269"/>
      <c r="AA2533" s="350"/>
      <c r="AB2533" s="207"/>
      <c r="AC2533" s="352"/>
      <c r="AD2533" s="353"/>
      <c r="AE2533" s="54"/>
      <c r="AF2533" s="354"/>
      <c r="AG2533" s="355"/>
      <c r="AH2533" s="349"/>
      <c r="AI2533" s="30"/>
      <c r="AJ2533" s="30"/>
      <c r="AK2533" s="30"/>
      <c r="AL2533" s="30"/>
      <c r="AM2533" s="13"/>
      <c r="AN2533" s="13"/>
      <c r="AO2533" s="13"/>
      <c r="AP2533" s="13"/>
      <c r="AQ2533" s="13"/>
      <c r="AR2533" s="14"/>
      <c r="AS2533" s="15"/>
    </row>
    <row r="2534" spans="1:45" s="17" customFormat="1" ht="30.6" hidden="1" customHeight="1" x14ac:dyDescent="0.2">
      <c r="A2534" s="343" t="s">
        <v>583</v>
      </c>
      <c r="B2534" s="344" t="s">
        <v>462</v>
      </c>
      <c r="C2534" s="45"/>
      <c r="D2534" s="31">
        <v>3778936</v>
      </c>
      <c r="E2534" s="31">
        <v>4165276</v>
      </c>
      <c r="F2534" s="268" t="str">
        <f>IF(D2534="","",VLOOKUP(D2534,契約台帳!$A$3:$K$4986,6,FALSE)&amp;VLOOKUP(D2534,契約台帳!$A$3:$K$4986,7,FALSE)&amp;VLOOKUP(D2534,契約台帳!$A$3:$K$4986,8,FALSE)&amp;VLOOKUP(D2534,契約台帳!$A$3:$K$4986,9,FALSE)&amp;VLOOKUP(D2534,契約台帳!$A$3:$K$4986,11,FALSE))</f>
        <v>3SNMLBMNGTBF</v>
      </c>
      <c r="G2534" s="269" t="str">
        <f>IF(D2534="","",VLOOKUP(F2534,製品マスタ!$G$5:$H$5002,2,FALSE))</f>
        <v>S</v>
      </c>
      <c r="H2534" s="269" t="str">
        <f>IF(D2534="","",VLOOKUP(F2534,製品マスタ!$G$5:$K$5002,5,FALSE))</f>
        <v>MNGTBF</v>
      </c>
      <c r="I2534" s="270" t="str">
        <f>IF(D2534="","",VLOOKUP(F2534,製品マスタ!$G$5:$L$5002,6,FALSE))</f>
        <v>メタルミー　ネーマー　銀艶　Ｂ</v>
      </c>
      <c r="J2534" s="210" t="s">
        <v>935</v>
      </c>
      <c r="K2534" s="270">
        <f>IF(D2534="","",VLOOKUP(D2534,契約台帳!$A$3:$L$4986,12,FALSE))</f>
        <v>50</v>
      </c>
      <c r="L2534" s="270" t="str">
        <f>IF(D2534="","",INDEX(製品マスタ!$Q$5:$Q$5002,MATCH('S4'!F2534&amp;'S4'!K2534,製品マスタ!$AO$5:$AO$5002,0)))</f>
        <v>T62</v>
      </c>
      <c r="M2534" s="39">
        <v>1120</v>
      </c>
      <c r="N2534" s="39">
        <v>5000</v>
      </c>
      <c r="O2534" s="156">
        <v>14</v>
      </c>
      <c r="P2534" s="47">
        <v>2</v>
      </c>
      <c r="Q2534" s="213">
        <v>45562</v>
      </c>
      <c r="R2534" s="271">
        <f ca="1">IF(D2534="","",IF(OFFSET(D2534,-1,0)&lt;&gt;"","",IF(OR(J2534="リード付け",J2534="巻足し",J2534="巻返しリード付け"),M2534,VLOOKUP(D2534,契約台帳!$A$3:$N$4986,14,FALSE))))</f>
        <v>1120</v>
      </c>
      <c r="S2534" s="272">
        <f ca="1">IF(D2534="","",IF(OFFSET(D2534,-1,0)&lt;&gt;"","",IF(OR(J2534="リード付け",J2534="巻足し",J2534="巻返しリード付け"),M2534,VLOOKUP(D2534,契約台帳!$A$3:$O$4986,15,FALSE))))</f>
        <v>1120</v>
      </c>
      <c r="T2534" s="273">
        <f ca="1">IF(D2534="","",IF(J2534="リード付け",N2534,IF(J2534="巻返しリード付け",N2534,IF(J2534="巻足し",N2534*P2534+OFFSET(N2534,1,0)*OFFSET(P2534,1,0),VLOOKUP(D2534,契約台帳!$A$3:$P$4986,16,FALSE)))))</f>
        <v>10000</v>
      </c>
      <c r="U2534" s="40">
        <v>7</v>
      </c>
      <c r="V2534" s="274">
        <f ca="1">IF(D2534="","",IF(OFFSET(D2534,-2,0)=D2534,"",VLOOKUP(D2534,契約台帳!$A$3:$R$4986,18,FALSE)))</f>
        <v>38</v>
      </c>
      <c r="W2534" s="269" t="str">
        <f ca="1">IF(D2534="","",IF(T2534="","",IF(OR(J2534="巻足し",J2534="巻返しリード付け"),"",IF(J2534="巻返し",VLOOKUP(F2534&amp;K2534&amp;M2534,製品マスタ!$M$5:$AD$5002,18,FALSE),IF(OR(J2534="リード付け",J2534="巻返しリード付け"),"原反コア",IF(J2534="スリット",VLOOKUP(F2534&amp;K2534&amp;R2534,製品マスタ!$N$5:$AD$5002,17,FALSE),""))))))</f>
        <v/>
      </c>
      <c r="X2534" s="269" t="str">
        <f ca="1">IF(D2534="","",IF(T2534="","",IF(J2534="巻足し","",IF(J2534="巻返し",VLOOKUP(F2534&amp;K2534&amp;M2534,製品マスタ!$M$5:$AE$5002,19,FALSE),IF(OR(J2534="リード付け",J2534="巻返しリード付け"),"",IF(J2534="スリット",VLOOKUP(F2534&amp;K2534&amp;R2534,製品マスタ!$N$5:$AE$5002,18,FALSE),""))))))</f>
        <v/>
      </c>
      <c r="Y2534" s="275">
        <f ca="1">IF(D2534="","",IF(T2534="","",VLOOKUP(D2534,契約台帳!$A$3:$Q$4986,17,FALSE)))</f>
        <v>2</v>
      </c>
      <c r="Z2534" s="269" t="str">
        <f ca="1">IF(D2534="","",IF(T2534="","",VLOOKUP(D2534,契約台帳!$A$3:$E$4986,5,FALSE)))</f>
        <v>リンテック㈱</v>
      </c>
      <c r="AA2534" s="57"/>
      <c r="AB2534" s="207" t="str">
        <f>IFERROR((VLOOKUP(F2534&amp;K2534&amp;M2534,製品マスタ!$M$5:$AM$5002,27,FALSE)),"")</f>
        <v>原反ケース再利用</v>
      </c>
      <c r="AC2534" s="33"/>
      <c r="AD2534" s="189"/>
      <c r="AE2534" s="54"/>
      <c r="AF2534" s="55">
        <f>+M2534*N2534*O2534/1000</f>
        <v>78400</v>
      </c>
      <c r="AG2534" s="43"/>
      <c r="AH2534" s="47"/>
      <c r="AI2534" s="30"/>
      <c r="AJ2534" s="30"/>
      <c r="AK2534" s="30"/>
      <c r="AL2534" s="30"/>
      <c r="AM2534" s="13"/>
      <c r="AN2534" s="13"/>
      <c r="AO2534" s="13"/>
      <c r="AP2534" s="13"/>
      <c r="AQ2534" s="13"/>
      <c r="AR2534" s="14"/>
      <c r="AS2534" s="15"/>
    </row>
    <row r="2535" spans="1:45" s="17" customFormat="1" ht="30.95" hidden="1" customHeight="1" x14ac:dyDescent="0.2">
      <c r="A2535" s="343"/>
      <c r="B2535" s="344"/>
      <c r="C2535" s="345"/>
      <c r="D2535" s="346"/>
      <c r="E2535" s="346"/>
      <c r="F2535" s="268"/>
      <c r="G2535" s="269"/>
      <c r="H2535" s="269"/>
      <c r="I2535" s="270"/>
      <c r="J2535" s="434"/>
      <c r="K2535" s="270"/>
      <c r="L2535" s="270"/>
      <c r="M2535" s="348"/>
      <c r="N2535" s="348"/>
      <c r="O2535" s="435"/>
      <c r="P2535" s="349"/>
      <c r="Q2535" s="350"/>
      <c r="R2535" s="271"/>
      <c r="S2535" s="272"/>
      <c r="T2535" s="273"/>
      <c r="U2535" s="351"/>
      <c r="V2535" s="274"/>
      <c r="W2535" s="269"/>
      <c r="X2535" s="269"/>
      <c r="Y2535" s="275"/>
      <c r="Z2535" s="269"/>
      <c r="AA2535" s="350"/>
      <c r="AB2535" s="207"/>
      <c r="AC2535" s="352"/>
      <c r="AD2535" s="353"/>
      <c r="AE2535" s="54"/>
      <c r="AF2535" s="354"/>
      <c r="AG2535" s="355"/>
      <c r="AH2535" s="349"/>
      <c r="AI2535" s="30"/>
      <c r="AJ2535" s="30"/>
      <c r="AK2535" s="30"/>
      <c r="AL2535" s="30"/>
      <c r="AM2535" s="13"/>
      <c r="AN2535" s="13"/>
      <c r="AO2535" s="13"/>
      <c r="AP2535" s="13"/>
      <c r="AQ2535" s="13"/>
      <c r="AR2535" s="14"/>
      <c r="AS2535" s="15"/>
    </row>
    <row r="2536" spans="1:45" s="17" customFormat="1" ht="30.6" hidden="1" customHeight="1" x14ac:dyDescent="0.2">
      <c r="A2536" s="343" t="s">
        <v>584</v>
      </c>
      <c r="B2536" s="344" t="s">
        <v>688</v>
      </c>
      <c r="C2536" s="45"/>
      <c r="D2536" s="31">
        <v>3778936</v>
      </c>
      <c r="E2536" s="31">
        <v>4165276</v>
      </c>
      <c r="F2536" s="268" t="str">
        <f>IF(D2536="","",VLOOKUP(D2536,契約台帳!$A$3:$K$4986,6,FALSE)&amp;VLOOKUP(D2536,契約台帳!$A$3:$K$4986,7,FALSE)&amp;VLOOKUP(D2536,契約台帳!$A$3:$K$4986,8,FALSE)&amp;VLOOKUP(D2536,契約台帳!$A$3:$K$4986,9,FALSE)&amp;VLOOKUP(D2536,契約台帳!$A$3:$K$4986,11,FALSE))</f>
        <v>3SNMLBMNGTBF</v>
      </c>
      <c r="G2536" s="269" t="str">
        <f>IF(D2536="","",VLOOKUP(F2536,製品マスタ!$G$5:$H$5002,2,FALSE))</f>
        <v>S</v>
      </c>
      <c r="H2536" s="269" t="str">
        <f>IF(D2536="","",VLOOKUP(F2536,製品マスタ!$G$5:$K$5002,5,FALSE))</f>
        <v>MNGTBF</v>
      </c>
      <c r="I2536" s="270" t="str">
        <f>IF(D2536="","",VLOOKUP(F2536,製品マスタ!$G$5:$L$5002,6,FALSE))</f>
        <v>メタルミー　ネーマー　銀艶　Ｂ</v>
      </c>
      <c r="J2536" s="210" t="s">
        <v>935</v>
      </c>
      <c r="K2536" s="270">
        <f>IF(D2536="","",VLOOKUP(D2536,契約台帳!$A$3:$L$4986,12,FALSE))</f>
        <v>50</v>
      </c>
      <c r="L2536" s="270" t="str">
        <f>IF(D2536="","",INDEX(製品マスタ!$Q$5:$Q$5002,MATCH('S4'!F2536&amp;'S4'!K2536,製品マスタ!$AO$5:$AO$5002,0)))</f>
        <v>T62</v>
      </c>
      <c r="M2536" s="39">
        <v>1120</v>
      </c>
      <c r="N2536" s="39">
        <v>5000</v>
      </c>
      <c r="O2536" s="156">
        <v>20</v>
      </c>
      <c r="P2536" s="47">
        <v>2</v>
      </c>
      <c r="Q2536" s="213">
        <v>45562</v>
      </c>
      <c r="R2536" s="271">
        <f ca="1">IF(D2536="","",IF(OFFSET(D2536,-1,0)&lt;&gt;"","",IF(OR(J2536="リード付け",J2536="巻足し",J2536="巻返しリード付け"),M2536,VLOOKUP(D2536,契約台帳!$A$3:$N$4986,14,FALSE))))</f>
        <v>1120</v>
      </c>
      <c r="S2536" s="272">
        <f ca="1">IF(D2536="","",IF(OFFSET(D2536,-1,0)&lt;&gt;"","",IF(OR(J2536="リード付け",J2536="巻足し",J2536="巻返しリード付け"),M2536,VLOOKUP(D2536,契約台帳!$A$3:$O$4986,15,FALSE))))</f>
        <v>1120</v>
      </c>
      <c r="T2536" s="273">
        <f ca="1">IF(D2536="","",IF(J2536="リード付け",N2536,IF(J2536="巻返しリード付け",N2536,IF(J2536="巻足し",N2536*P2536+OFFSET(N2536,1,0)*OFFSET(P2536,1,0),VLOOKUP(D2536,契約台帳!$A$3:$P$4986,16,FALSE)))))</f>
        <v>10000</v>
      </c>
      <c r="U2536" s="40">
        <v>10</v>
      </c>
      <c r="V2536" s="274" t="str">
        <f ca="1">IF(D2536="","",IF(OFFSET(D2536,-2,0)=D2536,"",VLOOKUP(D2536,契約台帳!$A$3:$R$4986,18,FALSE)))</f>
        <v/>
      </c>
      <c r="W2536" s="269" t="str">
        <f ca="1">IF(D2536="","",IF(T2536="","",IF(OR(J2536="巻足し",J2536="巻返しリード付け"),"",IF(J2536="巻返し",VLOOKUP(F2536&amp;K2536&amp;M2536,製品マスタ!$M$5:$AD$5002,18,FALSE),IF(OR(J2536="リード付け",J2536="巻返しリード付け"),"原反コア",IF(J2536="スリット",VLOOKUP(F2536&amp;K2536&amp;R2536,製品マスタ!$N$5:$AD$5002,17,FALSE),""))))))</f>
        <v/>
      </c>
      <c r="X2536" s="269" t="str">
        <f ca="1">IF(D2536="","",IF(T2536="","",IF(J2536="巻足し","",IF(J2536="巻返し",VLOOKUP(F2536&amp;K2536&amp;M2536,製品マスタ!$M$5:$AE$5002,19,FALSE),IF(OR(J2536="リード付け",J2536="巻返しリード付け"),"",IF(J2536="スリット",VLOOKUP(F2536&amp;K2536&amp;R2536,製品マスタ!$N$5:$AE$5002,18,FALSE),""))))))</f>
        <v/>
      </c>
      <c r="Y2536" s="275">
        <f ca="1">IF(D2536="","",IF(T2536="","",VLOOKUP(D2536,契約台帳!$A$3:$Q$4986,17,FALSE)))</f>
        <v>2</v>
      </c>
      <c r="Z2536" s="269" t="str">
        <f ca="1">IF(D2536="","",IF(T2536="","",VLOOKUP(D2536,契約台帳!$A$3:$E$4986,5,FALSE)))</f>
        <v>リンテック㈱</v>
      </c>
      <c r="AA2536" s="57"/>
      <c r="AB2536" s="207" t="str">
        <f>IFERROR((VLOOKUP(F2536&amp;K2536&amp;M2536,製品マスタ!$M$5:$AM$5002,27,FALSE)),"")</f>
        <v>原反ケース再利用</v>
      </c>
      <c r="AC2536" s="33"/>
      <c r="AD2536" s="189"/>
      <c r="AE2536" s="54"/>
      <c r="AF2536" s="55">
        <f>+M2536*N2536*O2536/1000</f>
        <v>112000</v>
      </c>
      <c r="AG2536" s="43"/>
      <c r="AH2536" s="47"/>
      <c r="AI2536" s="30"/>
      <c r="AJ2536" s="30"/>
      <c r="AK2536" s="30"/>
      <c r="AL2536" s="30"/>
      <c r="AM2536" s="13"/>
      <c r="AN2536" s="13"/>
      <c r="AO2536" s="13"/>
      <c r="AP2536" s="13"/>
      <c r="AQ2536" s="13"/>
      <c r="AR2536" s="14"/>
      <c r="AS2536" s="15"/>
    </row>
    <row r="2537" spans="1:45" s="17" customFormat="1" ht="30.95" hidden="1" customHeight="1" x14ac:dyDescent="0.2">
      <c r="A2537" s="343"/>
      <c r="B2537" s="344"/>
      <c r="C2537" s="345"/>
      <c r="D2537" s="346"/>
      <c r="E2537" s="346"/>
      <c r="F2537" s="268"/>
      <c r="G2537" s="269"/>
      <c r="H2537" s="269"/>
      <c r="I2537" s="270"/>
      <c r="J2537" s="434"/>
      <c r="K2537" s="270"/>
      <c r="L2537" s="270"/>
      <c r="M2537" s="348"/>
      <c r="N2537" s="348"/>
      <c r="O2537" s="435"/>
      <c r="P2537" s="349"/>
      <c r="Q2537" s="350"/>
      <c r="R2537" s="271"/>
      <c r="S2537" s="272"/>
      <c r="T2537" s="273"/>
      <c r="U2537" s="351"/>
      <c r="V2537" s="274"/>
      <c r="W2537" s="269"/>
      <c r="X2537" s="269"/>
      <c r="Y2537" s="275"/>
      <c r="Z2537" s="269"/>
      <c r="AA2537" s="350"/>
      <c r="AB2537" s="207"/>
      <c r="AC2537" s="352"/>
      <c r="AD2537" s="353"/>
      <c r="AE2537" s="54"/>
      <c r="AF2537" s="354"/>
      <c r="AG2537" s="355"/>
      <c r="AH2537" s="349"/>
      <c r="AI2537" s="30"/>
      <c r="AJ2537" s="30"/>
      <c r="AK2537" s="30"/>
      <c r="AL2537" s="30"/>
      <c r="AM2537" s="13"/>
      <c r="AN2537" s="13"/>
      <c r="AO2537" s="13"/>
      <c r="AP2537" s="13"/>
      <c r="AQ2537" s="13"/>
      <c r="AR2537" s="14"/>
      <c r="AS2537" s="15"/>
    </row>
    <row r="2538" spans="1:45" s="17" customFormat="1" ht="30.6" hidden="1" customHeight="1" x14ac:dyDescent="0.2">
      <c r="A2538" s="343" t="s">
        <v>585</v>
      </c>
      <c r="B2538" s="344" t="s">
        <v>442</v>
      </c>
      <c r="C2538" s="45"/>
      <c r="D2538" s="31">
        <v>3778936</v>
      </c>
      <c r="E2538" s="31">
        <v>4165276</v>
      </c>
      <c r="F2538" s="268" t="str">
        <f>IF(D2538="","",VLOOKUP(D2538,契約台帳!$A$3:$K$4986,6,FALSE)&amp;VLOOKUP(D2538,契約台帳!$A$3:$K$4986,7,FALSE)&amp;VLOOKUP(D2538,契約台帳!$A$3:$K$4986,8,FALSE)&amp;VLOOKUP(D2538,契約台帳!$A$3:$K$4986,9,FALSE)&amp;VLOOKUP(D2538,契約台帳!$A$3:$K$4986,11,FALSE))</f>
        <v>3SNMLBMNGTBF</v>
      </c>
      <c r="G2538" s="269" t="str">
        <f>IF(D2538="","",VLOOKUP(F2538,製品マスタ!$G$5:$H$5002,2,FALSE))</f>
        <v>S</v>
      </c>
      <c r="H2538" s="269" t="str">
        <f>IF(D2538="","",VLOOKUP(F2538,製品マスタ!$G$5:$K$5002,5,FALSE))</f>
        <v>MNGTBF</v>
      </c>
      <c r="I2538" s="270" t="str">
        <f>IF(D2538="","",VLOOKUP(F2538,製品マスタ!$G$5:$L$5002,6,FALSE))</f>
        <v>メタルミー　ネーマー　銀艶　Ｂ</v>
      </c>
      <c r="J2538" s="210" t="s">
        <v>935</v>
      </c>
      <c r="K2538" s="270">
        <f>IF(D2538="","",VLOOKUP(D2538,契約台帳!$A$3:$L$4986,12,FALSE))</f>
        <v>50</v>
      </c>
      <c r="L2538" s="270" t="str">
        <f>IF(D2538="","",INDEX(製品マスタ!$Q$5:$Q$5002,MATCH('S4'!F2538&amp;'S4'!K2538,製品マスタ!$AO$5:$AO$5002,0)))</f>
        <v>T62</v>
      </c>
      <c r="M2538" s="39">
        <v>1120</v>
      </c>
      <c r="N2538" s="39">
        <v>5000</v>
      </c>
      <c r="O2538" s="156">
        <v>4</v>
      </c>
      <c r="P2538" s="47">
        <v>2</v>
      </c>
      <c r="Q2538" s="213">
        <v>45562</v>
      </c>
      <c r="R2538" s="271">
        <f ca="1">IF(D2538="","",IF(OFFSET(D2538,-1,0)&lt;&gt;"","",IF(OR(J2538="リード付け",J2538="巻足し",J2538="巻返しリード付け"),M2538,VLOOKUP(D2538,契約台帳!$A$3:$N$4986,14,FALSE))))</f>
        <v>1120</v>
      </c>
      <c r="S2538" s="272">
        <f ca="1">IF(D2538="","",IF(OFFSET(D2538,-1,0)&lt;&gt;"","",IF(OR(J2538="リード付け",J2538="巻足し",J2538="巻返しリード付け"),M2538,VLOOKUP(D2538,契約台帳!$A$3:$O$4986,15,FALSE))))</f>
        <v>1120</v>
      </c>
      <c r="T2538" s="273">
        <f ca="1">IF(D2538="","",IF(J2538="リード付け",N2538,IF(J2538="巻返しリード付け",N2538,IF(J2538="巻足し",N2538*P2538+OFFSET(N2538,1,0)*OFFSET(P2538,1,0),VLOOKUP(D2538,契約台帳!$A$3:$P$4986,16,FALSE)))))</f>
        <v>10000</v>
      </c>
      <c r="U2538" s="40">
        <v>2</v>
      </c>
      <c r="V2538" s="274" t="str">
        <f ca="1">IF(D2538="","",IF(OFFSET(D2538,-2,0)=D2538,"",VLOOKUP(D2538,契約台帳!$A$3:$R$4986,18,FALSE)))</f>
        <v/>
      </c>
      <c r="W2538" s="269" t="str">
        <f ca="1">IF(D2538="","",IF(T2538="","",IF(OR(J2538="巻足し",J2538="巻返しリード付け"),"",IF(J2538="巻返し",VLOOKUP(F2538&amp;K2538&amp;M2538,製品マスタ!$M$5:$AD$5002,18,FALSE),IF(OR(J2538="リード付け",J2538="巻返しリード付け"),"原反コア",IF(J2538="スリット",VLOOKUP(F2538&amp;K2538&amp;R2538,製品マスタ!$N$5:$AD$5002,17,FALSE),""))))))</f>
        <v/>
      </c>
      <c r="X2538" s="269" t="str">
        <f ca="1">IF(D2538="","",IF(T2538="","",IF(J2538="巻足し","",IF(J2538="巻返し",VLOOKUP(F2538&amp;K2538&amp;M2538,製品マスタ!$M$5:$AE$5002,19,FALSE),IF(OR(J2538="リード付け",J2538="巻返しリード付け"),"",IF(J2538="スリット",VLOOKUP(F2538&amp;K2538&amp;R2538,製品マスタ!$N$5:$AE$5002,18,FALSE),""))))))</f>
        <v/>
      </c>
      <c r="Y2538" s="275">
        <f ca="1">IF(D2538="","",IF(T2538="","",VLOOKUP(D2538,契約台帳!$A$3:$Q$4986,17,FALSE)))</f>
        <v>2</v>
      </c>
      <c r="Z2538" s="269" t="str">
        <f ca="1">IF(D2538="","",IF(T2538="","",VLOOKUP(D2538,契約台帳!$A$3:$E$4986,5,FALSE)))</f>
        <v>リンテック㈱</v>
      </c>
      <c r="AA2538" s="57"/>
      <c r="AB2538" s="207" t="str">
        <f>IFERROR((VLOOKUP(F2538&amp;K2538&amp;M2538,製品マスタ!$M$5:$AM$5002,27,FALSE)),"")</f>
        <v>原反ケース再利用</v>
      </c>
      <c r="AC2538" s="33"/>
      <c r="AD2538" s="189"/>
      <c r="AE2538" s="54"/>
      <c r="AF2538" s="55">
        <f>+M2538*N2538*O2538/1000</f>
        <v>22400</v>
      </c>
      <c r="AG2538" s="43"/>
      <c r="AH2538" s="47"/>
      <c r="AI2538" s="30"/>
      <c r="AJ2538" s="30"/>
      <c r="AK2538" s="30"/>
      <c r="AL2538" s="30"/>
      <c r="AM2538" s="13"/>
      <c r="AN2538" s="13"/>
      <c r="AO2538" s="13"/>
      <c r="AP2538" s="13"/>
      <c r="AQ2538" s="13"/>
      <c r="AR2538" s="14"/>
      <c r="AS2538" s="15"/>
    </row>
    <row r="2539" spans="1:45" s="17" customFormat="1" ht="30.95" hidden="1" customHeight="1" x14ac:dyDescent="0.2">
      <c r="A2539" s="343"/>
      <c r="B2539" s="344"/>
      <c r="C2539" s="345"/>
      <c r="D2539" s="346"/>
      <c r="E2539" s="346"/>
      <c r="F2539" s="268"/>
      <c r="G2539" s="269"/>
      <c r="H2539" s="269"/>
      <c r="I2539" s="270"/>
      <c r="J2539" s="434"/>
      <c r="K2539" s="270"/>
      <c r="L2539" s="270"/>
      <c r="M2539" s="348"/>
      <c r="N2539" s="348"/>
      <c r="O2539" s="435"/>
      <c r="P2539" s="349"/>
      <c r="Q2539" s="350"/>
      <c r="R2539" s="271"/>
      <c r="S2539" s="272"/>
      <c r="T2539" s="273"/>
      <c r="U2539" s="351"/>
      <c r="V2539" s="274"/>
      <c r="W2539" s="269"/>
      <c r="X2539" s="269"/>
      <c r="Y2539" s="275"/>
      <c r="Z2539" s="269"/>
      <c r="AA2539" s="350"/>
      <c r="AB2539" s="207"/>
      <c r="AC2539" s="352"/>
      <c r="AD2539" s="353"/>
      <c r="AE2539" s="54"/>
      <c r="AF2539" s="354"/>
      <c r="AG2539" s="355"/>
      <c r="AH2539" s="349"/>
      <c r="AI2539" s="30"/>
      <c r="AJ2539" s="30"/>
      <c r="AK2539" s="30"/>
      <c r="AL2539" s="30"/>
      <c r="AM2539" s="13"/>
      <c r="AN2539" s="13"/>
      <c r="AO2539" s="13"/>
      <c r="AP2539" s="13"/>
      <c r="AQ2539" s="13"/>
      <c r="AR2539" s="14"/>
      <c r="AS2539" s="15"/>
    </row>
    <row r="2540" spans="1:45" s="17" customFormat="1" ht="30.6" hidden="1" customHeight="1" x14ac:dyDescent="0.2">
      <c r="A2540" s="343"/>
      <c r="B2540" s="344"/>
      <c r="C2540" s="45"/>
      <c r="D2540" s="31">
        <v>3778946</v>
      </c>
      <c r="E2540" s="31">
        <v>4162578</v>
      </c>
      <c r="F2540" s="268" t="str">
        <f>IF(D2540="","",VLOOKUP(D2540,契約台帳!$A$3:$K$4986,6,FALSE)&amp;VLOOKUP(D2540,契約台帳!$A$3:$K$4986,7,FALSE)&amp;VLOOKUP(D2540,契約台帳!$A$3:$K$4986,8,FALSE)&amp;VLOOKUP(D2540,契約台帳!$A$3:$K$4986,9,FALSE)&amp;VLOOKUP(D2540,契約台帳!$A$3:$K$4986,11,FALSE))</f>
        <v>3SYMLBMSBBF</v>
      </c>
      <c r="G2540" s="269" t="str">
        <f>IF(D2540="","",VLOOKUP(F2540,製品マスタ!$G$5:$H$5002,2,FALSE))</f>
        <v>S</v>
      </c>
      <c r="H2540" s="269" t="str">
        <f>IF(D2540="","",VLOOKUP(F2540,製品マスタ!$G$5:$K$5002,5,FALSE))</f>
        <v>MSBBF</v>
      </c>
      <c r="I2540" s="270" t="str">
        <f>IF(D2540="","",VLOOKUP(F2540,製品マスタ!$G$5:$L$5002,6,FALSE))</f>
        <v>ＭＥＴＡＬＵＭＹ　ＳＩＬＶＥＲ　ＢＲＩＧＨＴ　Ｔ６２Ｍ　Ｂ</v>
      </c>
      <c r="J2540" s="210" t="s">
        <v>935</v>
      </c>
      <c r="K2540" s="270">
        <f>IF(D2540="","",VLOOKUP(D2540,契約台帳!$A$3:$L$4986,12,FALSE))</f>
        <v>50</v>
      </c>
      <c r="L2540" s="270" t="str">
        <f>IF(D2540="","",INDEX(製品マスタ!$Q$5:$Q$5002,MATCH('S4'!F2540&amp;'S4'!K2540,製品マスタ!$AO$5:$AO$5002,0)))</f>
        <v>T62</v>
      </c>
      <c r="M2540" s="39">
        <v>1120</v>
      </c>
      <c r="N2540" s="39">
        <v>5000</v>
      </c>
      <c r="O2540" s="156">
        <v>2</v>
      </c>
      <c r="P2540" s="47">
        <v>2</v>
      </c>
      <c r="Q2540" s="213">
        <v>45566</v>
      </c>
      <c r="R2540" s="271">
        <f ca="1">IF(D2540="","",IF(OFFSET(D2540,-1,0)&lt;&gt;"","",IF(OR(J2540="リード付け",J2540="巻足し",J2540="巻返しリード付け"),M2540,VLOOKUP(D2540,契約台帳!$A$3:$N$4986,14,FALSE))))</f>
        <v>1120</v>
      </c>
      <c r="S2540" s="272">
        <f ca="1">IF(D2540="","",IF(OFFSET(D2540,-1,0)&lt;&gt;"","",IF(OR(J2540="リード付け",J2540="巻足し",J2540="巻返しリード付け"),M2540,VLOOKUP(D2540,契約台帳!$A$3:$O$4986,15,FALSE))))</f>
        <v>1120</v>
      </c>
      <c r="T2540" s="273">
        <f ca="1">IF(D2540="","",IF(J2540="リード付け",N2540,IF(J2540="巻返しリード付け",N2540,IF(J2540="巻足し",N2540*P2540+OFFSET(N2540,1,0)*OFFSET(P2540,1,0),VLOOKUP(D2540,契約台帳!$A$3:$P$4986,16,FALSE)))))</f>
        <v>10000</v>
      </c>
      <c r="U2540" s="40">
        <v>1</v>
      </c>
      <c r="V2540" s="274">
        <f ca="1">IF(D2540="","",IF(OFFSET(D2540,-2,0)=D2540,"",VLOOKUP(D2540,契約台帳!$A$3:$R$4986,18,FALSE)))</f>
        <v>2</v>
      </c>
      <c r="W2540" s="269" t="str">
        <f ca="1">IF(D2540="","",IF(T2540="","",IF(OR(J2540="巻足し",J2540="巻返しリード付け"),"",IF(J2540="巻返し",VLOOKUP(F2540&amp;K2540&amp;M2540,製品マスタ!$M$5:$AD$5002,18,FALSE),IF(OR(J2540="リード付け",J2540="巻返しリード付け"),"原反コア",IF(J2540="スリット",VLOOKUP(F2540&amp;K2540&amp;R2540,製品マスタ!$N$5:$AD$5002,17,FALSE),""))))))</f>
        <v/>
      </c>
      <c r="X2540" s="269" t="str">
        <f ca="1">IF(D2540="","",IF(T2540="","",IF(J2540="巻足し","",IF(J2540="巻返し",VLOOKUP(F2540&amp;K2540&amp;M2540,製品マスタ!$M$5:$AE$5002,19,FALSE),IF(OR(J2540="リード付け",J2540="巻返しリード付け"),"",IF(J2540="スリット",VLOOKUP(F2540&amp;K2540&amp;R2540,製品マスタ!$N$5:$AE$5002,18,FALSE),""))))))</f>
        <v/>
      </c>
      <c r="Y2540" s="275">
        <f ca="1">IF(D2540="","",IF(T2540="","",VLOOKUP(D2540,契約台帳!$A$3:$Q$4986,17,FALSE)))</f>
        <v>2</v>
      </c>
      <c r="Z2540" s="269" t="str">
        <f ca="1">IF(D2540="","",IF(T2540="","",VLOOKUP(D2540,契約台帳!$A$3:$E$4986,5,FALSE)))</f>
        <v>リンテック㈱</v>
      </c>
      <c r="AA2540" s="57"/>
      <c r="AB2540" s="207" t="str">
        <f>IFERROR((VLOOKUP(F2540&amp;K2540&amp;M2540,製品マスタ!$M$5:$AM$5002,27,FALSE)),"")</f>
        <v>原反ケース再利用</v>
      </c>
      <c r="AC2540" s="33"/>
      <c r="AD2540" s="189"/>
      <c r="AE2540" s="54"/>
      <c r="AF2540" s="55">
        <f>+M2540*N2540*O2540/1000</f>
        <v>11200</v>
      </c>
      <c r="AG2540" s="43"/>
      <c r="AH2540" s="47"/>
      <c r="AI2540" s="30"/>
      <c r="AJ2540" s="30"/>
      <c r="AK2540" s="30"/>
      <c r="AL2540" s="30"/>
      <c r="AM2540" s="13"/>
      <c r="AN2540" s="13"/>
      <c r="AO2540" s="13"/>
      <c r="AP2540" s="13"/>
      <c r="AQ2540" s="13"/>
      <c r="AR2540" s="14"/>
      <c r="AS2540" s="15"/>
    </row>
    <row r="2541" spans="1:45" s="17" customFormat="1" ht="30.95" hidden="1" customHeight="1" x14ac:dyDescent="0.2">
      <c r="A2541" s="343"/>
      <c r="B2541" s="344"/>
      <c r="C2541" s="345"/>
      <c r="D2541" s="346"/>
      <c r="E2541" s="346"/>
      <c r="F2541" s="268"/>
      <c r="G2541" s="269"/>
      <c r="H2541" s="269"/>
      <c r="I2541" s="270"/>
      <c r="J2541" s="434"/>
      <c r="K2541" s="270"/>
      <c r="L2541" s="270"/>
      <c r="M2541" s="348"/>
      <c r="N2541" s="348"/>
      <c r="O2541" s="435"/>
      <c r="P2541" s="349"/>
      <c r="Q2541" s="350"/>
      <c r="R2541" s="271"/>
      <c r="S2541" s="272"/>
      <c r="T2541" s="273"/>
      <c r="U2541" s="351"/>
      <c r="V2541" s="274"/>
      <c r="W2541" s="269"/>
      <c r="X2541" s="269"/>
      <c r="Y2541" s="275"/>
      <c r="Z2541" s="269"/>
      <c r="AA2541" s="350"/>
      <c r="AB2541" s="207"/>
      <c r="AC2541" s="352"/>
      <c r="AD2541" s="353"/>
      <c r="AE2541" s="54"/>
      <c r="AF2541" s="354"/>
      <c r="AG2541" s="355"/>
      <c r="AH2541" s="349"/>
      <c r="AI2541" s="30"/>
      <c r="AJ2541" s="30"/>
      <c r="AK2541" s="30"/>
      <c r="AL2541" s="30"/>
      <c r="AM2541" s="13"/>
      <c r="AN2541" s="13"/>
      <c r="AO2541" s="13"/>
      <c r="AP2541" s="13"/>
      <c r="AQ2541" s="13"/>
      <c r="AR2541" s="14"/>
      <c r="AS2541" s="15"/>
    </row>
    <row r="2542" spans="1:45" s="17" customFormat="1" ht="30.6" hidden="1" customHeight="1" x14ac:dyDescent="0.2">
      <c r="A2542" s="343"/>
      <c r="B2542" s="344"/>
      <c r="C2542" s="45"/>
      <c r="D2542" s="31">
        <v>3778948</v>
      </c>
      <c r="E2542" s="31">
        <v>4162579</v>
      </c>
      <c r="F2542" s="268" t="str">
        <f>IF(D2542="","",VLOOKUP(D2542,契約台帳!$A$3:$K$4986,6,FALSE)&amp;VLOOKUP(D2542,契約台帳!$A$3:$K$4986,7,FALSE)&amp;VLOOKUP(D2542,契約台帳!$A$3:$K$4986,8,FALSE)&amp;VLOOKUP(D2542,契約台帳!$A$3:$K$4986,9,FALSE)&amp;VLOOKUP(D2542,契約台帳!$A$3:$K$4986,11,FALSE))</f>
        <v>3SYMLBMSBBF</v>
      </c>
      <c r="G2542" s="269" t="str">
        <f>IF(D2542="","",VLOOKUP(F2542,製品マスタ!$G$5:$H$5002,2,FALSE))</f>
        <v>S</v>
      </c>
      <c r="H2542" s="269" t="str">
        <f>IF(D2542="","",VLOOKUP(F2542,製品マスタ!$G$5:$K$5002,5,FALSE))</f>
        <v>MSBBF</v>
      </c>
      <c r="I2542" s="270" t="str">
        <f>IF(D2542="","",VLOOKUP(F2542,製品マスタ!$G$5:$L$5002,6,FALSE))</f>
        <v>ＭＥＴＡＬＵＭＹ　ＳＩＬＶＥＲ　ＢＲＩＧＨＴ　Ｔ６２Ｍ　Ｂ</v>
      </c>
      <c r="J2542" s="210" t="s">
        <v>935</v>
      </c>
      <c r="K2542" s="270">
        <f>IF(D2542="","",VLOOKUP(D2542,契約台帳!$A$3:$L$4986,12,FALSE))</f>
        <v>50</v>
      </c>
      <c r="L2542" s="270" t="str">
        <f>IF(D2542="","",INDEX(製品マスタ!$Q$5:$Q$5002,MATCH('S4'!F2542&amp;'S4'!K2542,製品マスタ!$AO$5:$AO$5002,0)))</f>
        <v>T62</v>
      </c>
      <c r="M2542" s="39">
        <v>1120</v>
      </c>
      <c r="N2542" s="39">
        <v>5000</v>
      </c>
      <c r="O2542" s="156">
        <v>2</v>
      </c>
      <c r="P2542" s="47">
        <v>2</v>
      </c>
      <c r="Q2542" s="213">
        <v>45566</v>
      </c>
      <c r="R2542" s="271">
        <f ca="1">IF(D2542="","",IF(OFFSET(D2542,-1,0)&lt;&gt;"","",IF(OR(J2542="リード付け",J2542="巻足し",J2542="巻返しリード付け"),M2542,VLOOKUP(D2542,契約台帳!$A$3:$N$4986,14,FALSE))))</f>
        <v>1120</v>
      </c>
      <c r="S2542" s="272">
        <f ca="1">IF(D2542="","",IF(OFFSET(D2542,-1,0)&lt;&gt;"","",IF(OR(J2542="リード付け",J2542="巻足し",J2542="巻返しリード付け"),M2542,VLOOKUP(D2542,契約台帳!$A$3:$O$4986,15,FALSE))))</f>
        <v>1120</v>
      </c>
      <c r="T2542" s="273">
        <f ca="1">IF(D2542="","",IF(J2542="リード付け",N2542,IF(J2542="巻返しリード付け",N2542,IF(J2542="巻足し",N2542*P2542+OFFSET(N2542,1,0)*OFFSET(P2542,1,0),VLOOKUP(D2542,契約台帳!$A$3:$P$4986,16,FALSE)))))</f>
        <v>10000</v>
      </c>
      <c r="U2542" s="40">
        <v>1</v>
      </c>
      <c r="V2542" s="274">
        <f ca="1">IF(D2542="","",IF(OFFSET(D2542,-2,0)=D2542,"",VLOOKUP(D2542,契約台帳!$A$3:$R$4986,18,FALSE)))</f>
        <v>2</v>
      </c>
      <c r="W2542" s="269" t="str">
        <f ca="1">IF(D2542="","",IF(T2542="","",IF(OR(J2542="巻足し",J2542="巻返しリード付け"),"",IF(J2542="巻返し",VLOOKUP(F2542&amp;K2542&amp;M2542,製品マスタ!$M$5:$AD$5002,18,FALSE),IF(OR(J2542="リード付け",J2542="巻返しリード付け"),"原反コア",IF(J2542="スリット",VLOOKUP(F2542&amp;K2542&amp;R2542,製品マスタ!$N$5:$AD$5002,17,FALSE),""))))))</f>
        <v/>
      </c>
      <c r="X2542" s="269" t="str">
        <f ca="1">IF(D2542="","",IF(T2542="","",IF(J2542="巻足し","",IF(J2542="巻返し",VLOOKUP(F2542&amp;K2542&amp;M2542,製品マスタ!$M$5:$AE$5002,19,FALSE),IF(OR(J2542="リード付け",J2542="巻返しリード付け"),"",IF(J2542="スリット",VLOOKUP(F2542&amp;K2542&amp;R2542,製品マスタ!$N$5:$AE$5002,18,FALSE),""))))))</f>
        <v/>
      </c>
      <c r="Y2542" s="275">
        <f ca="1">IF(D2542="","",IF(T2542="","",VLOOKUP(D2542,契約台帳!$A$3:$Q$4986,17,FALSE)))</f>
        <v>2</v>
      </c>
      <c r="Z2542" s="269" t="str">
        <f ca="1">IF(D2542="","",IF(T2542="","",VLOOKUP(D2542,契約台帳!$A$3:$E$4986,5,FALSE)))</f>
        <v>リンテック㈱</v>
      </c>
      <c r="AA2542" s="57"/>
      <c r="AB2542" s="207" t="str">
        <f>IFERROR((VLOOKUP(F2542&amp;K2542&amp;M2542,製品マスタ!$M$5:$AM$5002,27,FALSE)),"")</f>
        <v>原反ケース再利用</v>
      </c>
      <c r="AC2542" s="33"/>
      <c r="AD2542" s="189"/>
      <c r="AE2542" s="54"/>
      <c r="AF2542" s="55">
        <f>+M2542*N2542*O2542/1000</f>
        <v>11200</v>
      </c>
      <c r="AG2542" s="43"/>
      <c r="AH2542" s="47"/>
      <c r="AI2542" s="30"/>
      <c r="AJ2542" s="30"/>
      <c r="AK2542" s="30"/>
      <c r="AL2542" s="30"/>
      <c r="AM2542" s="13"/>
      <c r="AN2542" s="13"/>
      <c r="AO2542" s="13"/>
      <c r="AP2542" s="13"/>
      <c r="AQ2542" s="13"/>
      <c r="AR2542" s="14"/>
      <c r="AS2542" s="15"/>
    </row>
    <row r="2543" spans="1:45" s="17" customFormat="1" ht="30.95" hidden="1" customHeight="1" x14ac:dyDescent="0.2">
      <c r="A2543" s="343"/>
      <c r="B2543" s="344"/>
      <c r="C2543" s="345"/>
      <c r="D2543" s="346"/>
      <c r="E2543" s="346"/>
      <c r="F2543" s="268"/>
      <c r="G2543" s="269"/>
      <c r="H2543" s="269"/>
      <c r="I2543" s="270"/>
      <c r="J2543" s="434"/>
      <c r="K2543" s="270"/>
      <c r="L2543" s="270"/>
      <c r="M2543" s="348"/>
      <c r="N2543" s="348"/>
      <c r="O2543" s="435"/>
      <c r="P2543" s="349"/>
      <c r="Q2543" s="350"/>
      <c r="R2543" s="271"/>
      <c r="S2543" s="272"/>
      <c r="T2543" s="273"/>
      <c r="U2543" s="351"/>
      <c r="V2543" s="274"/>
      <c r="W2543" s="269"/>
      <c r="X2543" s="269"/>
      <c r="Y2543" s="275"/>
      <c r="Z2543" s="269"/>
      <c r="AA2543" s="350"/>
      <c r="AB2543" s="207"/>
      <c r="AC2543" s="352"/>
      <c r="AD2543" s="353"/>
      <c r="AE2543" s="54"/>
      <c r="AF2543" s="354"/>
      <c r="AG2543" s="355"/>
      <c r="AH2543" s="349"/>
      <c r="AI2543" s="30"/>
      <c r="AJ2543" s="30"/>
      <c r="AK2543" s="30"/>
      <c r="AL2543" s="30"/>
      <c r="AM2543" s="13"/>
      <c r="AN2543" s="13"/>
      <c r="AO2543" s="13"/>
      <c r="AP2543" s="13"/>
      <c r="AQ2543" s="13"/>
      <c r="AR2543" s="14"/>
      <c r="AS2543" s="15"/>
    </row>
    <row r="2544" spans="1:45" s="17" customFormat="1" ht="30.6" hidden="1" customHeight="1" x14ac:dyDescent="0.2">
      <c r="A2544" s="343"/>
      <c r="B2544" s="344"/>
      <c r="C2544" s="45"/>
      <c r="D2544" s="31">
        <v>3778949</v>
      </c>
      <c r="E2544" s="31">
        <v>4162580</v>
      </c>
      <c r="F2544" s="268" t="str">
        <f>IF(D2544="","",VLOOKUP(D2544,契約台帳!$A$3:$K$4986,6,FALSE)&amp;VLOOKUP(D2544,契約台帳!$A$3:$K$4986,7,FALSE)&amp;VLOOKUP(D2544,契約台帳!$A$3:$K$4986,8,FALSE)&amp;VLOOKUP(D2544,契約台帳!$A$3:$K$4986,9,FALSE)&amp;VLOOKUP(D2544,契約台帳!$A$3:$K$4986,11,FALSE))</f>
        <v>3SYMLBMSBBF</v>
      </c>
      <c r="G2544" s="269" t="str">
        <f>IF(D2544="","",VLOOKUP(F2544,製品マスタ!$G$5:$H$5002,2,FALSE))</f>
        <v>S</v>
      </c>
      <c r="H2544" s="269" t="str">
        <f>IF(D2544="","",VLOOKUP(F2544,製品マスタ!$G$5:$K$5002,5,FALSE))</f>
        <v>MSBBF</v>
      </c>
      <c r="I2544" s="270" t="str">
        <f>IF(D2544="","",VLOOKUP(F2544,製品マスタ!$G$5:$L$5002,6,FALSE))</f>
        <v>ＭＥＴＡＬＵＭＹ　ＳＩＬＶＥＲ　ＢＲＩＧＨＴ　Ｔ６２Ｍ　Ｂ</v>
      </c>
      <c r="J2544" s="210" t="s">
        <v>935</v>
      </c>
      <c r="K2544" s="270">
        <f>IF(D2544="","",VLOOKUP(D2544,契約台帳!$A$3:$L$4986,12,FALSE))</f>
        <v>50</v>
      </c>
      <c r="L2544" s="270" t="str">
        <f>IF(D2544="","",INDEX(製品マスタ!$Q$5:$Q$5002,MATCH('S4'!F2544&amp;'S4'!K2544,製品マスタ!$AO$5:$AO$5002,0)))</f>
        <v>T62</v>
      </c>
      <c r="M2544" s="39">
        <v>1120</v>
      </c>
      <c r="N2544" s="39">
        <v>5000</v>
      </c>
      <c r="O2544" s="156">
        <v>2</v>
      </c>
      <c r="P2544" s="47">
        <v>2</v>
      </c>
      <c r="Q2544" s="213">
        <v>45566</v>
      </c>
      <c r="R2544" s="271">
        <f ca="1">IF(D2544="","",IF(OFFSET(D2544,-1,0)&lt;&gt;"","",IF(OR(J2544="リード付け",J2544="巻足し",J2544="巻返しリード付け"),M2544,VLOOKUP(D2544,契約台帳!$A$3:$N$4986,14,FALSE))))</f>
        <v>1120</v>
      </c>
      <c r="S2544" s="272">
        <f ca="1">IF(D2544="","",IF(OFFSET(D2544,-1,0)&lt;&gt;"","",IF(OR(J2544="リード付け",J2544="巻足し",J2544="巻返しリード付け"),M2544,VLOOKUP(D2544,契約台帳!$A$3:$O$4986,15,FALSE))))</f>
        <v>1120</v>
      </c>
      <c r="T2544" s="273">
        <f ca="1">IF(D2544="","",IF(J2544="リード付け",N2544,IF(J2544="巻返しリード付け",N2544,IF(J2544="巻足し",N2544*P2544+OFFSET(N2544,1,0)*OFFSET(P2544,1,0),VLOOKUP(D2544,契約台帳!$A$3:$P$4986,16,FALSE)))))</f>
        <v>10000</v>
      </c>
      <c r="U2544" s="40">
        <v>1</v>
      </c>
      <c r="V2544" s="274">
        <f ca="1">IF(D2544="","",IF(OFFSET(D2544,-2,0)=D2544,"",VLOOKUP(D2544,契約台帳!$A$3:$R$4986,18,FALSE)))</f>
        <v>2</v>
      </c>
      <c r="W2544" s="269" t="str">
        <f ca="1">IF(D2544="","",IF(T2544="","",IF(OR(J2544="巻足し",J2544="巻返しリード付け"),"",IF(J2544="巻返し",VLOOKUP(F2544&amp;K2544&amp;M2544,製品マスタ!$M$5:$AD$5002,18,FALSE),IF(OR(J2544="リード付け",J2544="巻返しリード付け"),"原反コア",IF(J2544="スリット",VLOOKUP(F2544&amp;K2544&amp;R2544,製品マスタ!$N$5:$AD$5002,17,FALSE),""))))))</f>
        <v/>
      </c>
      <c r="X2544" s="269" t="str">
        <f ca="1">IF(D2544="","",IF(T2544="","",IF(J2544="巻足し","",IF(J2544="巻返し",VLOOKUP(F2544&amp;K2544&amp;M2544,製品マスタ!$M$5:$AE$5002,19,FALSE),IF(OR(J2544="リード付け",J2544="巻返しリード付け"),"",IF(J2544="スリット",VLOOKUP(F2544&amp;K2544&amp;R2544,製品マスタ!$N$5:$AE$5002,18,FALSE),""))))))</f>
        <v/>
      </c>
      <c r="Y2544" s="275">
        <f ca="1">IF(D2544="","",IF(T2544="","",VLOOKUP(D2544,契約台帳!$A$3:$Q$4986,17,FALSE)))</f>
        <v>2</v>
      </c>
      <c r="Z2544" s="269" t="str">
        <f ca="1">IF(D2544="","",IF(T2544="","",VLOOKUP(D2544,契約台帳!$A$3:$E$4986,5,FALSE)))</f>
        <v>リンテック㈱</v>
      </c>
      <c r="AA2544" s="57"/>
      <c r="AB2544" s="207" t="str">
        <f>IFERROR((VLOOKUP(F2544&amp;K2544&amp;M2544,製品マスタ!$M$5:$AM$5002,27,FALSE)),"")</f>
        <v>原反ケース再利用</v>
      </c>
      <c r="AC2544" s="33"/>
      <c r="AD2544" s="189"/>
      <c r="AE2544" s="54"/>
      <c r="AF2544" s="55">
        <f>+M2544*N2544*O2544/1000</f>
        <v>11200</v>
      </c>
      <c r="AG2544" s="43"/>
      <c r="AH2544" s="47"/>
      <c r="AI2544" s="30"/>
      <c r="AJ2544" s="30"/>
      <c r="AK2544" s="30"/>
      <c r="AL2544" s="30"/>
      <c r="AM2544" s="13"/>
      <c r="AN2544" s="13"/>
      <c r="AO2544" s="13"/>
      <c r="AP2544" s="13"/>
      <c r="AQ2544" s="13"/>
      <c r="AR2544" s="14"/>
      <c r="AS2544" s="15"/>
    </row>
    <row r="2545" spans="1:45" s="17" customFormat="1" ht="30.95" hidden="1" customHeight="1" x14ac:dyDescent="0.2">
      <c r="A2545" s="343"/>
      <c r="B2545" s="344"/>
      <c r="C2545" s="345"/>
      <c r="D2545" s="346"/>
      <c r="E2545" s="346"/>
      <c r="F2545" s="268"/>
      <c r="G2545" s="269"/>
      <c r="H2545" s="269"/>
      <c r="I2545" s="270"/>
      <c r="J2545" s="434"/>
      <c r="K2545" s="270"/>
      <c r="L2545" s="270"/>
      <c r="M2545" s="348"/>
      <c r="N2545" s="348"/>
      <c r="O2545" s="435"/>
      <c r="P2545" s="349"/>
      <c r="Q2545" s="350"/>
      <c r="R2545" s="271"/>
      <c r="S2545" s="272"/>
      <c r="T2545" s="273"/>
      <c r="U2545" s="351"/>
      <c r="V2545" s="274"/>
      <c r="W2545" s="269"/>
      <c r="X2545" s="269"/>
      <c r="Y2545" s="275"/>
      <c r="Z2545" s="269"/>
      <c r="AA2545" s="350"/>
      <c r="AB2545" s="207"/>
      <c r="AC2545" s="352"/>
      <c r="AD2545" s="353"/>
      <c r="AE2545" s="54"/>
      <c r="AF2545" s="354"/>
      <c r="AG2545" s="355"/>
      <c r="AH2545" s="349"/>
      <c r="AI2545" s="30"/>
      <c r="AJ2545" s="30"/>
      <c r="AK2545" s="30"/>
      <c r="AL2545" s="30"/>
      <c r="AM2545" s="13"/>
      <c r="AN2545" s="13"/>
      <c r="AO2545" s="13"/>
      <c r="AP2545" s="13"/>
      <c r="AQ2545" s="13"/>
      <c r="AR2545" s="14"/>
      <c r="AS2545" s="15"/>
    </row>
    <row r="2546" spans="1:45" s="17" customFormat="1" ht="30.6" hidden="1" customHeight="1" x14ac:dyDescent="0.2">
      <c r="A2546" s="343"/>
      <c r="B2546" s="344"/>
      <c r="C2546" s="45"/>
      <c r="D2546" s="31">
        <v>3778950</v>
      </c>
      <c r="E2546" s="31">
        <v>4162581</v>
      </c>
      <c r="F2546" s="268" t="str">
        <f>IF(D2546="","",VLOOKUP(D2546,契約台帳!$A$3:$K$4986,6,FALSE)&amp;VLOOKUP(D2546,契約台帳!$A$3:$K$4986,7,FALSE)&amp;VLOOKUP(D2546,契約台帳!$A$3:$K$4986,8,FALSE)&amp;VLOOKUP(D2546,契約台帳!$A$3:$K$4986,9,FALSE)&amp;VLOOKUP(D2546,契約台帳!$A$3:$K$4986,11,FALSE))</f>
        <v>3SYMLBMSBBF</v>
      </c>
      <c r="G2546" s="269" t="str">
        <f>IF(D2546="","",VLOOKUP(F2546,製品マスタ!$G$5:$H$5002,2,FALSE))</f>
        <v>S</v>
      </c>
      <c r="H2546" s="269" t="str">
        <f>IF(D2546="","",VLOOKUP(F2546,製品マスタ!$G$5:$K$5002,5,FALSE))</f>
        <v>MSBBF</v>
      </c>
      <c r="I2546" s="270" t="str">
        <f>IF(D2546="","",VLOOKUP(F2546,製品マスタ!$G$5:$L$5002,6,FALSE))</f>
        <v>ＭＥＴＡＬＵＭＹ　ＳＩＬＶＥＲ　ＢＲＩＧＨＴ　Ｔ６２Ｍ　Ｂ</v>
      </c>
      <c r="J2546" s="210" t="s">
        <v>935</v>
      </c>
      <c r="K2546" s="270">
        <f>IF(D2546="","",VLOOKUP(D2546,契約台帳!$A$3:$L$4986,12,FALSE))</f>
        <v>50</v>
      </c>
      <c r="L2546" s="270" t="str">
        <f>IF(D2546="","",INDEX(製品マスタ!$Q$5:$Q$5002,MATCH('S4'!F2546&amp;'S4'!K2546,製品マスタ!$AO$5:$AO$5002,0)))</f>
        <v>T62</v>
      </c>
      <c r="M2546" s="39">
        <v>1120</v>
      </c>
      <c r="N2546" s="39">
        <v>5000</v>
      </c>
      <c r="O2546" s="156">
        <v>4</v>
      </c>
      <c r="P2546" s="47">
        <v>2</v>
      </c>
      <c r="Q2546" s="213">
        <v>45566</v>
      </c>
      <c r="R2546" s="271">
        <f ca="1">IF(D2546="","",IF(OFFSET(D2546,-1,0)&lt;&gt;"","",IF(OR(J2546="リード付け",J2546="巻足し",J2546="巻返しリード付け"),M2546,VLOOKUP(D2546,契約台帳!$A$3:$N$4986,14,FALSE))))</f>
        <v>1120</v>
      </c>
      <c r="S2546" s="272">
        <f ca="1">IF(D2546="","",IF(OFFSET(D2546,-1,0)&lt;&gt;"","",IF(OR(J2546="リード付け",J2546="巻足し",J2546="巻返しリード付け"),M2546,VLOOKUP(D2546,契約台帳!$A$3:$O$4986,15,FALSE))))</f>
        <v>1120</v>
      </c>
      <c r="T2546" s="273">
        <f ca="1">IF(D2546="","",IF(J2546="リード付け",N2546,IF(J2546="巻返しリード付け",N2546,IF(J2546="巻足し",N2546*P2546+OFFSET(N2546,1,0)*OFFSET(P2546,1,0),VLOOKUP(D2546,契約台帳!$A$3:$P$4986,16,FALSE)))))</f>
        <v>10000</v>
      </c>
      <c r="U2546" s="40">
        <v>2</v>
      </c>
      <c r="V2546" s="274">
        <f ca="1">IF(D2546="","",IF(OFFSET(D2546,-2,0)=D2546,"",VLOOKUP(D2546,契約台帳!$A$3:$R$4986,18,FALSE)))</f>
        <v>4</v>
      </c>
      <c r="W2546" s="269" t="str">
        <f ca="1">IF(D2546="","",IF(T2546="","",IF(OR(J2546="巻足し",J2546="巻返しリード付け"),"",IF(J2546="巻返し",VLOOKUP(F2546&amp;K2546&amp;M2546,製品マスタ!$M$5:$AD$5002,18,FALSE),IF(OR(J2546="リード付け",J2546="巻返しリード付け"),"原反コア",IF(J2546="スリット",VLOOKUP(F2546&amp;K2546&amp;R2546,製品マスタ!$N$5:$AD$5002,17,FALSE),""))))))</f>
        <v/>
      </c>
      <c r="X2546" s="269" t="str">
        <f ca="1">IF(D2546="","",IF(T2546="","",IF(J2546="巻足し","",IF(J2546="巻返し",VLOOKUP(F2546&amp;K2546&amp;M2546,製品マスタ!$M$5:$AE$5002,19,FALSE),IF(OR(J2546="リード付け",J2546="巻返しリード付け"),"",IF(J2546="スリット",VLOOKUP(F2546&amp;K2546&amp;R2546,製品マスタ!$N$5:$AE$5002,18,FALSE),""))))))</f>
        <v/>
      </c>
      <c r="Y2546" s="275">
        <f ca="1">IF(D2546="","",IF(T2546="","",VLOOKUP(D2546,契約台帳!$A$3:$Q$4986,17,FALSE)))</f>
        <v>2</v>
      </c>
      <c r="Z2546" s="269" t="str">
        <f ca="1">IF(D2546="","",IF(T2546="","",VLOOKUP(D2546,契約台帳!$A$3:$E$4986,5,FALSE)))</f>
        <v>リンテック㈱</v>
      </c>
      <c r="AA2546" s="57"/>
      <c r="AB2546" s="207" t="str">
        <f>IFERROR((VLOOKUP(F2546&amp;K2546&amp;M2546,製品マスタ!$M$5:$AM$5002,27,FALSE)),"")</f>
        <v>原反ケース再利用</v>
      </c>
      <c r="AC2546" s="33"/>
      <c r="AD2546" s="189"/>
      <c r="AE2546" s="54"/>
      <c r="AF2546" s="55">
        <f>+M2546*N2546*O2546/1000</f>
        <v>22400</v>
      </c>
      <c r="AG2546" s="43"/>
      <c r="AH2546" s="47"/>
      <c r="AI2546" s="30"/>
      <c r="AJ2546" s="30"/>
      <c r="AK2546" s="30"/>
      <c r="AL2546" s="30"/>
      <c r="AM2546" s="13"/>
      <c r="AN2546" s="13"/>
      <c r="AO2546" s="13"/>
      <c r="AP2546" s="13"/>
      <c r="AQ2546" s="13"/>
      <c r="AR2546" s="14"/>
      <c r="AS2546" s="15"/>
    </row>
    <row r="2547" spans="1:45" s="17" customFormat="1" ht="30.95" hidden="1" customHeight="1" x14ac:dyDescent="0.2">
      <c r="A2547" s="343"/>
      <c r="B2547" s="344"/>
      <c r="C2547" s="345"/>
      <c r="D2547" s="346"/>
      <c r="E2547" s="346"/>
      <c r="F2547" s="268"/>
      <c r="G2547" s="269"/>
      <c r="H2547" s="269"/>
      <c r="I2547" s="270"/>
      <c r="J2547" s="434"/>
      <c r="K2547" s="270"/>
      <c r="L2547" s="270"/>
      <c r="M2547" s="348"/>
      <c r="N2547" s="348"/>
      <c r="O2547" s="435"/>
      <c r="P2547" s="349"/>
      <c r="Q2547" s="350"/>
      <c r="R2547" s="271"/>
      <c r="S2547" s="272"/>
      <c r="T2547" s="273"/>
      <c r="U2547" s="351"/>
      <c r="V2547" s="274"/>
      <c r="W2547" s="269"/>
      <c r="X2547" s="269"/>
      <c r="Y2547" s="275"/>
      <c r="Z2547" s="269"/>
      <c r="AA2547" s="350"/>
      <c r="AB2547" s="207"/>
      <c r="AC2547" s="352"/>
      <c r="AD2547" s="353"/>
      <c r="AE2547" s="54"/>
      <c r="AF2547" s="354"/>
      <c r="AG2547" s="355"/>
      <c r="AH2547" s="349"/>
      <c r="AI2547" s="30"/>
      <c r="AJ2547" s="30"/>
      <c r="AK2547" s="30"/>
      <c r="AL2547" s="30"/>
      <c r="AM2547" s="13"/>
      <c r="AN2547" s="13"/>
      <c r="AO2547" s="13"/>
      <c r="AP2547" s="13"/>
      <c r="AQ2547" s="13"/>
      <c r="AR2547" s="14"/>
      <c r="AS2547" s="15"/>
    </row>
    <row r="2548" spans="1:45" s="17" customFormat="1" ht="30.6" hidden="1" customHeight="1" x14ac:dyDescent="0.2">
      <c r="A2548" s="343"/>
      <c r="B2548" s="344"/>
      <c r="C2548" s="45"/>
      <c r="D2548" s="31">
        <v>3778947</v>
      </c>
      <c r="E2548" s="31">
        <v>4162582</v>
      </c>
      <c r="F2548" s="268" t="str">
        <f>IF(D2548="","",VLOOKUP(D2548,契約台帳!$A$3:$K$4986,6,FALSE)&amp;VLOOKUP(D2548,契約台帳!$A$3:$K$4986,7,FALSE)&amp;VLOOKUP(D2548,契約台帳!$A$3:$K$4986,8,FALSE)&amp;VLOOKUP(D2548,契約台帳!$A$3:$K$4986,9,FALSE)&amp;VLOOKUP(D2548,契約台帳!$A$3:$K$4986,11,FALSE))</f>
        <v>3SYMLBMSNMBF</v>
      </c>
      <c r="G2548" s="269" t="str">
        <f>IF(D2548="","",VLOOKUP(F2548,製品マスタ!$G$5:$H$5002,2,FALSE))</f>
        <v>S</v>
      </c>
      <c r="H2548" s="269" t="str">
        <f>IF(D2548="","",VLOOKUP(F2548,製品マスタ!$G$5:$K$5002,5,FALSE))</f>
        <v>MSNMBF</v>
      </c>
      <c r="I2548" s="270" t="str">
        <f>IF(D2548="","",VLOOKUP(F2548,製品マスタ!$G$5:$L$5002,6,FALSE))</f>
        <v>ＭＥＴＡＬＵＭＹ　ＳＩＬＶＥＲ　Ｎ－ＭＡＴＴＥ　Ｘ４４Ｍ　Ｂ</v>
      </c>
      <c r="J2548" s="210" t="s">
        <v>935</v>
      </c>
      <c r="K2548" s="270">
        <f>IF(D2548="","",VLOOKUP(D2548,契約台帳!$A$3:$L$4986,12,FALSE))</f>
        <v>50</v>
      </c>
      <c r="L2548" s="270" t="str">
        <f>IF(D2548="","",INDEX(製品マスタ!$Q$5:$Q$5002,MATCH('S4'!F2548&amp;'S4'!K2548,製品マスタ!$AO$5:$AO$5002,0)))</f>
        <v>X44</v>
      </c>
      <c r="M2548" s="39">
        <v>1120</v>
      </c>
      <c r="N2548" s="39">
        <v>4000</v>
      </c>
      <c r="O2548" s="156">
        <v>6</v>
      </c>
      <c r="P2548" s="47">
        <v>3</v>
      </c>
      <c r="Q2548" s="213">
        <v>45566</v>
      </c>
      <c r="R2548" s="271">
        <f ca="1">IF(D2548="","",IF(OFFSET(D2548,-1,0)&lt;&gt;"","",IF(OR(J2548="リード付け",J2548="巻足し",J2548="巻返しリード付け"),M2548,VLOOKUP(D2548,契約台帳!$A$3:$N$4986,14,FALSE))))</f>
        <v>1120</v>
      </c>
      <c r="S2548" s="272">
        <f ca="1">IF(D2548="","",IF(OFFSET(D2548,-1,0)&lt;&gt;"","",IF(OR(J2548="リード付け",J2548="巻足し",J2548="巻返しリード付け"),M2548,VLOOKUP(D2548,契約台帳!$A$3:$O$4986,15,FALSE))))</f>
        <v>1120</v>
      </c>
      <c r="T2548" s="273">
        <f ca="1">IF(D2548="","",IF(J2548="リード付け",N2548,IF(J2548="巻返しリード付け",N2548,IF(J2548="巻足し",N2548*P2548+OFFSET(N2548,1,0)*OFFSET(P2548,1,0),VLOOKUP(D2548,契約台帳!$A$3:$P$4986,16,FALSE)))))</f>
        <v>12000</v>
      </c>
      <c r="U2548" s="40">
        <v>2</v>
      </c>
      <c r="V2548" s="274">
        <f ca="1">IF(D2548="","",IF(OFFSET(D2548,-2,0)=D2548,"",VLOOKUP(D2548,契約台帳!$A$3:$R$4986,18,FALSE)))</f>
        <v>6</v>
      </c>
      <c r="W2548" s="269" t="str">
        <f ca="1">IF(D2548="","",IF(T2548="","",IF(OR(J2548="巻足し",J2548="巻返しリード付け"),"",IF(J2548="巻返し",VLOOKUP(F2548&amp;K2548&amp;M2548,製品マスタ!$M$5:$AD$5002,18,FALSE),IF(OR(J2548="リード付け",J2548="巻返しリード付け"),"原反コア",IF(J2548="スリット",VLOOKUP(F2548&amp;K2548&amp;R2548,製品マスタ!$N$5:$AD$5002,17,FALSE),""))))))</f>
        <v/>
      </c>
      <c r="X2548" s="269" t="str">
        <f ca="1">IF(D2548="","",IF(T2548="","",IF(J2548="巻足し","",IF(J2548="巻返し",VLOOKUP(F2548&amp;K2548&amp;M2548,製品マスタ!$M$5:$AE$5002,19,FALSE),IF(OR(J2548="リード付け",J2548="巻返しリード付け"),"",IF(J2548="スリット",VLOOKUP(F2548&amp;K2548&amp;R2548,製品マスタ!$N$5:$AE$5002,18,FALSE),""))))))</f>
        <v/>
      </c>
      <c r="Y2548" s="275">
        <f ca="1">IF(D2548="","",IF(T2548="","",VLOOKUP(D2548,契約台帳!$A$3:$Q$4986,17,FALSE)))</f>
        <v>2</v>
      </c>
      <c r="Z2548" s="269" t="str">
        <f ca="1">IF(D2548="","",IF(T2548="","",VLOOKUP(D2548,契約台帳!$A$3:$E$4986,5,FALSE)))</f>
        <v>リンテック㈱</v>
      </c>
      <c r="AA2548" s="57"/>
      <c r="AB2548" s="207">
        <f>IFERROR((VLOOKUP(F2548&amp;K2548&amp;M2548,製品マスタ!$M$5:$AM$5002,27,FALSE)),"")</f>
        <v>0</v>
      </c>
      <c r="AC2548" s="33"/>
      <c r="AD2548" s="189"/>
      <c r="AE2548" s="54"/>
      <c r="AF2548" s="55">
        <f>+M2548*N2548*O2548/1000</f>
        <v>26880</v>
      </c>
      <c r="AG2548" s="43"/>
      <c r="AH2548" s="47"/>
      <c r="AI2548" s="30"/>
      <c r="AJ2548" s="30"/>
      <c r="AK2548" s="30"/>
      <c r="AL2548" s="30"/>
      <c r="AM2548" s="13"/>
      <c r="AN2548" s="13"/>
      <c r="AO2548" s="13"/>
      <c r="AP2548" s="13"/>
      <c r="AQ2548" s="13"/>
      <c r="AR2548" s="14"/>
      <c r="AS2548" s="15"/>
    </row>
    <row r="2549" spans="1:45" s="17" customFormat="1" ht="30.95" hidden="1" customHeight="1" x14ac:dyDescent="0.2">
      <c r="A2549" s="343"/>
      <c r="B2549" s="344"/>
      <c r="C2549" s="345"/>
      <c r="D2549" s="346"/>
      <c r="E2549" s="346"/>
      <c r="F2549" s="268"/>
      <c r="G2549" s="269"/>
      <c r="H2549" s="269"/>
      <c r="I2549" s="270"/>
      <c r="J2549" s="434"/>
      <c r="K2549" s="270"/>
      <c r="L2549" s="270"/>
      <c r="M2549" s="348"/>
      <c r="N2549" s="348"/>
      <c r="O2549" s="435"/>
      <c r="P2549" s="349"/>
      <c r="Q2549" s="350"/>
      <c r="R2549" s="271"/>
      <c r="S2549" s="272"/>
      <c r="T2549" s="273"/>
      <c r="U2549" s="351"/>
      <c r="V2549" s="274"/>
      <c r="W2549" s="269"/>
      <c r="X2549" s="269"/>
      <c r="Y2549" s="275"/>
      <c r="Z2549" s="269"/>
      <c r="AA2549" s="350"/>
      <c r="AB2549" s="207"/>
      <c r="AC2549" s="352"/>
      <c r="AD2549" s="353"/>
      <c r="AE2549" s="54"/>
      <c r="AF2549" s="354"/>
      <c r="AG2549" s="355"/>
      <c r="AH2549" s="349"/>
      <c r="AI2549" s="30"/>
      <c r="AJ2549" s="30"/>
      <c r="AK2549" s="30"/>
      <c r="AL2549" s="30"/>
      <c r="AM2549" s="13"/>
      <c r="AN2549" s="13"/>
      <c r="AO2549" s="13"/>
      <c r="AP2549" s="13"/>
      <c r="AQ2549" s="13"/>
      <c r="AR2549" s="14"/>
      <c r="AS2549" s="15"/>
    </row>
    <row r="2550" spans="1:45" s="17" customFormat="1" ht="30.6" hidden="1" customHeight="1" x14ac:dyDescent="0.2">
      <c r="A2550" s="343"/>
      <c r="B2550" s="344"/>
      <c r="C2550" s="45"/>
      <c r="D2550" s="31">
        <v>3778951</v>
      </c>
      <c r="E2550" s="31">
        <v>4162583</v>
      </c>
      <c r="F2550" s="268" t="str">
        <f>IF(D2550="","",VLOOKUP(D2550,契約台帳!$A$3:$K$4986,6,FALSE)&amp;VLOOKUP(D2550,契約台帳!$A$3:$K$4986,7,FALSE)&amp;VLOOKUP(D2550,契約台帳!$A$3:$K$4986,8,FALSE)&amp;VLOOKUP(D2550,契約台帳!$A$3:$K$4986,9,FALSE)&amp;VLOOKUP(D2550,契約台帳!$A$3:$K$4986,11,FALSE))</f>
        <v>3SYMLBMSNMBF</v>
      </c>
      <c r="G2550" s="269" t="str">
        <f>IF(D2550="","",VLOOKUP(F2550,製品マスタ!$G$5:$H$5002,2,FALSE))</f>
        <v>S</v>
      </c>
      <c r="H2550" s="269" t="str">
        <f>IF(D2550="","",VLOOKUP(F2550,製品マスタ!$G$5:$K$5002,5,FALSE))</f>
        <v>MSNMBF</v>
      </c>
      <c r="I2550" s="270" t="str">
        <f>IF(D2550="","",VLOOKUP(F2550,製品マスタ!$G$5:$L$5002,6,FALSE))</f>
        <v>ＭＥＴＡＬＵＭＹ　ＳＩＬＶＥＲ　Ｎ－ＭＡＴＴＥ　Ｘ４４Ｍ　Ｂ</v>
      </c>
      <c r="J2550" s="210" t="s">
        <v>935</v>
      </c>
      <c r="K2550" s="270">
        <f>IF(D2550="","",VLOOKUP(D2550,契約台帳!$A$3:$L$4986,12,FALSE))</f>
        <v>50</v>
      </c>
      <c r="L2550" s="270" t="str">
        <f>IF(D2550="","",INDEX(製品マスタ!$Q$5:$Q$5002,MATCH('S4'!F2550&amp;'S4'!K2550,製品マスタ!$AO$5:$AO$5002,0)))</f>
        <v>X44</v>
      </c>
      <c r="M2550" s="39">
        <v>1120</v>
      </c>
      <c r="N2550" s="39">
        <v>4000</v>
      </c>
      <c r="O2550" s="156">
        <v>3</v>
      </c>
      <c r="P2550" s="47">
        <v>3</v>
      </c>
      <c r="Q2550" s="213">
        <v>45566</v>
      </c>
      <c r="R2550" s="271">
        <f ca="1">IF(D2550="","",IF(OFFSET(D2550,-1,0)&lt;&gt;"","",IF(OR(J2550="リード付け",J2550="巻足し",J2550="巻返しリード付け"),M2550,VLOOKUP(D2550,契約台帳!$A$3:$N$4986,14,FALSE))))</f>
        <v>1120</v>
      </c>
      <c r="S2550" s="272">
        <f ca="1">IF(D2550="","",IF(OFFSET(D2550,-1,0)&lt;&gt;"","",IF(OR(J2550="リード付け",J2550="巻足し",J2550="巻返しリード付け"),M2550,VLOOKUP(D2550,契約台帳!$A$3:$O$4986,15,FALSE))))</f>
        <v>1120</v>
      </c>
      <c r="T2550" s="273">
        <f ca="1">IF(D2550="","",IF(J2550="リード付け",N2550,IF(J2550="巻返しリード付け",N2550,IF(J2550="巻足し",N2550*P2550+OFFSET(N2550,1,0)*OFFSET(P2550,1,0),VLOOKUP(D2550,契約台帳!$A$3:$P$4986,16,FALSE)))))</f>
        <v>12000</v>
      </c>
      <c r="U2550" s="40">
        <v>1</v>
      </c>
      <c r="V2550" s="274">
        <f ca="1">IF(D2550="","",IF(OFFSET(D2550,-2,0)=D2550,"",VLOOKUP(D2550,契約台帳!$A$3:$R$4986,18,FALSE)))</f>
        <v>6</v>
      </c>
      <c r="W2550" s="269" t="str">
        <f ca="1">IF(D2550="","",IF(T2550="","",IF(OR(J2550="巻足し",J2550="巻返しリード付け"),"",IF(J2550="巻返し",VLOOKUP(F2550&amp;K2550&amp;M2550,製品マスタ!$M$5:$AD$5002,18,FALSE),IF(OR(J2550="リード付け",J2550="巻返しリード付け"),"原反コア",IF(J2550="スリット",VLOOKUP(F2550&amp;K2550&amp;R2550,製品マスタ!$N$5:$AD$5002,17,FALSE),""))))))</f>
        <v/>
      </c>
      <c r="X2550" s="269" t="str">
        <f ca="1">IF(D2550="","",IF(T2550="","",IF(J2550="巻足し","",IF(J2550="巻返し",VLOOKUP(F2550&amp;K2550&amp;M2550,製品マスタ!$M$5:$AE$5002,19,FALSE),IF(OR(J2550="リード付け",J2550="巻返しリード付け"),"",IF(J2550="スリット",VLOOKUP(F2550&amp;K2550&amp;R2550,製品マスタ!$N$5:$AE$5002,18,FALSE),""))))))</f>
        <v/>
      </c>
      <c r="Y2550" s="275">
        <f ca="1">IF(D2550="","",IF(T2550="","",VLOOKUP(D2550,契約台帳!$A$3:$Q$4986,17,FALSE)))</f>
        <v>2</v>
      </c>
      <c r="Z2550" s="269" t="str">
        <f ca="1">IF(D2550="","",IF(T2550="","",VLOOKUP(D2550,契約台帳!$A$3:$E$4986,5,FALSE)))</f>
        <v>リンテック㈱</v>
      </c>
      <c r="AA2550" s="57"/>
      <c r="AB2550" s="207">
        <f>IFERROR((VLOOKUP(F2550&amp;K2550&amp;M2550,製品マスタ!$M$5:$AM$5002,27,FALSE)),"")</f>
        <v>0</v>
      </c>
      <c r="AC2550" s="33"/>
      <c r="AD2550" s="189"/>
      <c r="AE2550" s="54"/>
      <c r="AF2550" s="55">
        <f>+M2550*N2550*O2550/1000</f>
        <v>13440</v>
      </c>
      <c r="AG2550" s="43"/>
      <c r="AH2550" s="47"/>
      <c r="AI2550" s="30"/>
      <c r="AJ2550" s="30"/>
      <c r="AK2550" s="30"/>
      <c r="AL2550" s="30"/>
      <c r="AM2550" s="13"/>
      <c r="AN2550" s="13"/>
      <c r="AO2550" s="13"/>
      <c r="AP2550" s="13"/>
      <c r="AQ2550" s="13"/>
      <c r="AR2550" s="14"/>
      <c r="AS2550" s="15"/>
    </row>
    <row r="2551" spans="1:45" s="17" customFormat="1" ht="30.95" hidden="1" customHeight="1" x14ac:dyDescent="0.2">
      <c r="A2551" s="343"/>
      <c r="B2551" s="344"/>
      <c r="C2551" s="345"/>
      <c r="D2551" s="346"/>
      <c r="E2551" s="346"/>
      <c r="F2551" s="268"/>
      <c r="G2551" s="269"/>
      <c r="H2551" s="269"/>
      <c r="I2551" s="270"/>
      <c r="J2551" s="434"/>
      <c r="K2551" s="270"/>
      <c r="L2551" s="270"/>
      <c r="M2551" s="348"/>
      <c r="N2551" s="348"/>
      <c r="O2551" s="435"/>
      <c r="P2551" s="349"/>
      <c r="Q2551" s="350"/>
      <c r="R2551" s="271"/>
      <c r="S2551" s="272"/>
      <c r="T2551" s="273"/>
      <c r="U2551" s="351"/>
      <c r="V2551" s="274"/>
      <c r="W2551" s="269"/>
      <c r="X2551" s="269"/>
      <c r="Y2551" s="275"/>
      <c r="Z2551" s="269"/>
      <c r="AA2551" s="350"/>
      <c r="AB2551" s="207"/>
      <c r="AC2551" s="352"/>
      <c r="AD2551" s="353"/>
      <c r="AE2551" s="54"/>
      <c r="AF2551" s="354"/>
      <c r="AG2551" s="355"/>
      <c r="AH2551" s="349"/>
      <c r="AI2551" s="30"/>
      <c r="AJ2551" s="30"/>
      <c r="AK2551" s="30"/>
      <c r="AL2551" s="30"/>
      <c r="AM2551" s="13"/>
      <c r="AN2551" s="13"/>
      <c r="AO2551" s="13"/>
      <c r="AP2551" s="13"/>
      <c r="AQ2551" s="13"/>
      <c r="AR2551" s="14"/>
      <c r="AS2551" s="15"/>
    </row>
    <row r="2552" spans="1:45" s="17" customFormat="1" ht="30.6" hidden="1" customHeight="1" x14ac:dyDescent="0.2">
      <c r="A2552" s="343" t="s">
        <v>586</v>
      </c>
      <c r="B2552" s="344" t="s">
        <v>443</v>
      </c>
      <c r="C2552" s="45"/>
      <c r="D2552" s="31">
        <v>3778951</v>
      </c>
      <c r="E2552" s="31">
        <v>4162583</v>
      </c>
      <c r="F2552" s="268" t="str">
        <f>IF(D2552="","",VLOOKUP(D2552,契約台帳!$A$3:$K$4986,6,FALSE)&amp;VLOOKUP(D2552,契約台帳!$A$3:$K$4986,7,FALSE)&amp;VLOOKUP(D2552,契約台帳!$A$3:$K$4986,8,FALSE)&amp;VLOOKUP(D2552,契約台帳!$A$3:$K$4986,9,FALSE)&amp;VLOOKUP(D2552,契約台帳!$A$3:$K$4986,11,FALSE))</f>
        <v>3SYMLBMSNMBF</v>
      </c>
      <c r="G2552" s="269" t="str">
        <f>IF(D2552="","",VLOOKUP(F2552,製品マスタ!$G$5:$H$5002,2,FALSE))</f>
        <v>S</v>
      </c>
      <c r="H2552" s="269" t="str">
        <f>IF(D2552="","",VLOOKUP(F2552,製品マスタ!$G$5:$K$5002,5,FALSE))</f>
        <v>MSNMBF</v>
      </c>
      <c r="I2552" s="270" t="str">
        <f>IF(D2552="","",VLOOKUP(F2552,製品マスタ!$G$5:$L$5002,6,FALSE))</f>
        <v>ＭＥＴＡＬＵＭＹ　ＳＩＬＶＥＲ　Ｎ－ＭＡＴＴＥ　Ｘ４４Ｍ　Ｂ</v>
      </c>
      <c r="J2552" s="210" t="s">
        <v>935</v>
      </c>
      <c r="K2552" s="270">
        <f>IF(D2552="","",VLOOKUP(D2552,契約台帳!$A$3:$L$4986,12,FALSE))</f>
        <v>50</v>
      </c>
      <c r="L2552" s="270" t="str">
        <f>IF(D2552="","",INDEX(製品マスタ!$Q$5:$Q$5002,MATCH('S4'!F2552&amp;'S4'!K2552,製品マスタ!$AO$5:$AO$5002,0)))</f>
        <v>X44</v>
      </c>
      <c r="M2552" s="39">
        <v>1120</v>
      </c>
      <c r="N2552" s="39">
        <v>4000</v>
      </c>
      <c r="O2552" s="156">
        <v>3</v>
      </c>
      <c r="P2552" s="47">
        <v>3</v>
      </c>
      <c r="Q2552" s="213">
        <v>45566</v>
      </c>
      <c r="R2552" s="271">
        <f ca="1">IF(D2552="","",IF(OFFSET(D2552,-1,0)&lt;&gt;"","",IF(OR(J2552="リード付け",J2552="巻足し",J2552="巻返しリード付け"),M2552,VLOOKUP(D2552,契約台帳!$A$3:$N$4986,14,FALSE))))</f>
        <v>1120</v>
      </c>
      <c r="S2552" s="272">
        <f ca="1">IF(D2552="","",IF(OFFSET(D2552,-1,0)&lt;&gt;"","",IF(OR(J2552="リード付け",J2552="巻足し",J2552="巻返しリード付け"),M2552,VLOOKUP(D2552,契約台帳!$A$3:$O$4986,15,FALSE))))</f>
        <v>1120</v>
      </c>
      <c r="T2552" s="273">
        <f ca="1">IF(D2552="","",IF(J2552="リード付け",N2552,IF(J2552="巻返しリード付け",N2552,IF(J2552="巻足し",N2552*P2552+OFFSET(N2552,1,0)*OFFSET(P2552,1,0),VLOOKUP(D2552,契約台帳!$A$3:$P$4986,16,FALSE)))))</f>
        <v>12000</v>
      </c>
      <c r="U2552" s="40">
        <v>1</v>
      </c>
      <c r="V2552" s="274" t="str">
        <f ca="1">IF(D2552="","",IF(OFFSET(D2552,-2,0)=D2552,"",VLOOKUP(D2552,契約台帳!$A$3:$R$4986,18,FALSE)))</f>
        <v/>
      </c>
      <c r="W2552" s="269" t="str">
        <f ca="1">IF(D2552="","",IF(T2552="","",IF(OR(J2552="巻足し",J2552="巻返しリード付け"),"",IF(J2552="巻返し",VLOOKUP(F2552&amp;K2552&amp;M2552,製品マスタ!$M$5:$AD$5002,18,FALSE),IF(OR(J2552="リード付け",J2552="巻返しリード付け"),"原反コア",IF(J2552="スリット",VLOOKUP(F2552&amp;K2552&amp;R2552,製品マスタ!$N$5:$AD$5002,17,FALSE),""))))))</f>
        <v/>
      </c>
      <c r="X2552" s="269" t="str">
        <f ca="1">IF(D2552="","",IF(T2552="","",IF(J2552="巻足し","",IF(J2552="巻返し",VLOOKUP(F2552&amp;K2552&amp;M2552,製品マスタ!$M$5:$AE$5002,19,FALSE),IF(OR(J2552="リード付け",J2552="巻返しリード付け"),"",IF(J2552="スリット",VLOOKUP(F2552&amp;K2552&amp;R2552,製品マスタ!$N$5:$AE$5002,18,FALSE),""))))))</f>
        <v/>
      </c>
      <c r="Y2552" s="275">
        <f ca="1">IF(D2552="","",IF(T2552="","",VLOOKUP(D2552,契約台帳!$A$3:$Q$4986,17,FALSE)))</f>
        <v>2</v>
      </c>
      <c r="Z2552" s="269" t="str">
        <f ca="1">IF(D2552="","",IF(T2552="","",VLOOKUP(D2552,契約台帳!$A$3:$E$4986,5,FALSE)))</f>
        <v>リンテック㈱</v>
      </c>
      <c r="AA2552" s="57"/>
      <c r="AB2552" s="207">
        <f>IFERROR((VLOOKUP(F2552&amp;K2552&amp;M2552,製品マスタ!$M$5:$AM$5002,27,FALSE)),"")</f>
        <v>0</v>
      </c>
      <c r="AC2552" s="33"/>
      <c r="AD2552" s="189"/>
      <c r="AE2552" s="54"/>
      <c r="AF2552" s="55">
        <f>+M2552*N2552*O2552/1000</f>
        <v>13440</v>
      </c>
      <c r="AG2552" s="43"/>
      <c r="AH2552" s="47"/>
      <c r="AI2552" s="30"/>
      <c r="AJ2552" s="30"/>
      <c r="AK2552" s="30"/>
      <c r="AL2552" s="30"/>
      <c r="AM2552" s="13"/>
      <c r="AN2552" s="13"/>
      <c r="AO2552" s="13"/>
      <c r="AP2552" s="13"/>
      <c r="AQ2552" s="13"/>
      <c r="AR2552" s="14"/>
      <c r="AS2552" s="15"/>
    </row>
    <row r="2553" spans="1:45" s="17" customFormat="1" ht="30.95" hidden="1" customHeight="1" x14ac:dyDescent="0.2">
      <c r="A2553" s="343"/>
      <c r="B2553" s="344"/>
      <c r="C2553" s="345"/>
      <c r="D2553" s="346"/>
      <c r="E2553" s="346"/>
      <c r="F2553" s="268"/>
      <c r="G2553" s="269"/>
      <c r="H2553" s="269"/>
      <c r="I2553" s="270"/>
      <c r="J2553" s="434"/>
      <c r="K2553" s="270"/>
      <c r="L2553" s="270"/>
      <c r="M2553" s="348"/>
      <c r="N2553" s="348"/>
      <c r="O2553" s="435"/>
      <c r="P2553" s="349"/>
      <c r="Q2553" s="350"/>
      <c r="R2553" s="271"/>
      <c r="S2553" s="272"/>
      <c r="T2553" s="273"/>
      <c r="U2553" s="351"/>
      <c r="V2553" s="274"/>
      <c r="W2553" s="269"/>
      <c r="X2553" s="269"/>
      <c r="Y2553" s="275"/>
      <c r="Z2553" s="269"/>
      <c r="AA2553" s="350"/>
      <c r="AB2553" s="207"/>
      <c r="AC2553" s="352"/>
      <c r="AD2553" s="353"/>
      <c r="AE2553" s="54"/>
      <c r="AF2553" s="354"/>
      <c r="AG2553" s="355"/>
      <c r="AH2553" s="349"/>
      <c r="AI2553" s="30"/>
      <c r="AJ2553" s="30"/>
      <c r="AK2553" s="30"/>
      <c r="AL2553" s="30"/>
      <c r="AM2553" s="13"/>
      <c r="AN2553" s="13"/>
      <c r="AO2553" s="13"/>
      <c r="AP2553" s="13"/>
      <c r="AQ2553" s="13"/>
      <c r="AR2553" s="14"/>
      <c r="AS2553" s="15"/>
    </row>
    <row r="2554" spans="1:45" s="17" customFormat="1" ht="30.6" hidden="1" customHeight="1" x14ac:dyDescent="0.2">
      <c r="A2554" s="343"/>
      <c r="B2554" s="344"/>
      <c r="C2554" s="45"/>
      <c r="D2554" s="31">
        <v>3778926</v>
      </c>
      <c r="E2554" s="31">
        <v>4162570</v>
      </c>
      <c r="F2554" s="268" t="str">
        <f>IF(D2554="","",VLOOKUP(D2554,契約台帳!$A$3:$K$4986,6,FALSE)&amp;VLOOKUP(D2554,契約台帳!$A$3:$K$4986,7,FALSE)&amp;VLOOKUP(D2554,契約台帳!$A$3:$K$4986,8,FALSE)&amp;VLOOKUP(D2554,契約台帳!$A$3:$K$4986,9,FALSE)&amp;VLOOKUP(D2554,契約台帳!$A$3:$K$4986,11,FALSE))</f>
        <v>3SNMLBMNGKKBF</v>
      </c>
      <c r="G2554" s="269" t="str">
        <f>IF(D2554="","",VLOOKUP(F2554,製品マスタ!$G$5:$H$5002,2,FALSE))</f>
        <v>S</v>
      </c>
      <c r="H2554" s="269" t="str">
        <f>IF(D2554="","",VLOOKUP(F2554,製品マスタ!$G$5:$K$5002,5,FALSE))</f>
        <v>MNGKKBF</v>
      </c>
      <c r="I2554" s="270" t="str">
        <f>IF(D2554="","",VLOOKUP(F2554,製品マスタ!$G$5:$L$5002,6,FALSE))</f>
        <v>メタルミー　ネーマー銀消改　Ｂ</v>
      </c>
      <c r="J2554" s="210" t="s">
        <v>935</v>
      </c>
      <c r="K2554" s="270">
        <f>IF(D2554="","",VLOOKUP(D2554,契約台帳!$A$3:$L$4986,12,FALSE))</f>
        <v>50</v>
      </c>
      <c r="L2554" s="270" t="str">
        <f>IF(D2554="","",INDEX(製品マスタ!$Q$5:$Q$5002,MATCH('S4'!F2554&amp;'S4'!K2554,製品マスタ!$AO$5:$AO$5002,0)))</f>
        <v>S99-MAT</v>
      </c>
      <c r="M2554" s="39">
        <v>1120</v>
      </c>
      <c r="N2554" s="39">
        <v>4000</v>
      </c>
      <c r="O2554" s="156">
        <v>9</v>
      </c>
      <c r="P2554" s="47">
        <v>3</v>
      </c>
      <c r="Q2554" s="213">
        <v>45567</v>
      </c>
      <c r="R2554" s="271">
        <f ca="1">IF(D2554="","",IF(OFFSET(D2554,-1,0)&lt;&gt;"","",IF(OR(J2554="リード付け",J2554="巻足し",J2554="巻返しリード付け"),M2554,VLOOKUP(D2554,契約台帳!$A$3:$N$4986,14,FALSE))))</f>
        <v>1120</v>
      </c>
      <c r="S2554" s="272">
        <f ca="1">IF(D2554="","",IF(OFFSET(D2554,-1,0)&lt;&gt;"","",IF(OR(J2554="リード付け",J2554="巻足し",J2554="巻返しリード付け"),M2554,VLOOKUP(D2554,契約台帳!$A$3:$O$4986,15,FALSE))))</f>
        <v>1120</v>
      </c>
      <c r="T2554" s="273">
        <f ca="1">IF(D2554="","",IF(J2554="リード付け",N2554,IF(J2554="巻返しリード付け",N2554,IF(J2554="巻足し",N2554*P2554+OFFSET(N2554,1,0)*OFFSET(P2554,1,0),VLOOKUP(D2554,契約台帳!$A$3:$P$4986,16,FALSE)))))</f>
        <v>12000</v>
      </c>
      <c r="U2554" s="40">
        <v>3</v>
      </c>
      <c r="V2554" s="274">
        <f ca="1">IF(D2554="","",IF(OFFSET(D2554,-2,0)=D2554,"",VLOOKUP(D2554,契約台帳!$A$3:$R$4986,18,FALSE)))</f>
        <v>9</v>
      </c>
      <c r="W2554" s="269" t="str">
        <f ca="1">IF(D2554="","",IF(T2554="","",IF(OR(J2554="巻足し",J2554="巻返しリード付け"),"",IF(J2554="巻返し",VLOOKUP(F2554&amp;K2554&amp;M2554,製品マスタ!$M$5:$AD$5002,18,FALSE),IF(OR(J2554="リード付け",J2554="巻返しリード付け"),"原反コア",IF(J2554="スリット",VLOOKUP(F2554&amp;K2554&amp;R2554,製品マスタ!$N$5:$AD$5002,17,FALSE),""))))))</f>
        <v/>
      </c>
      <c r="X2554" s="269" t="str">
        <f ca="1">IF(D2554="","",IF(T2554="","",IF(J2554="巻足し","",IF(J2554="巻返し",VLOOKUP(F2554&amp;K2554&amp;M2554,製品マスタ!$M$5:$AE$5002,19,FALSE),IF(OR(J2554="リード付け",J2554="巻返しリード付け"),"",IF(J2554="スリット",VLOOKUP(F2554&amp;K2554&amp;R2554,製品マスタ!$N$5:$AE$5002,18,FALSE),""))))))</f>
        <v/>
      </c>
      <c r="Y2554" s="275">
        <f ca="1">IF(D2554="","",IF(T2554="","",VLOOKUP(D2554,契約台帳!$A$3:$Q$4986,17,FALSE)))</f>
        <v>2</v>
      </c>
      <c r="Z2554" s="269" t="str">
        <f ca="1">IF(D2554="","",IF(T2554="","",VLOOKUP(D2554,契約台帳!$A$3:$E$4986,5,FALSE)))</f>
        <v>リンテック㈱</v>
      </c>
      <c r="AA2554" s="57"/>
      <c r="AB2554" s="207">
        <f>IFERROR((VLOOKUP(F2554&amp;K2554&amp;M2554,製品マスタ!$M$5:$AM$5002,27,FALSE)),"")</f>
        <v>0</v>
      </c>
      <c r="AC2554" s="33"/>
      <c r="AD2554" s="189"/>
      <c r="AE2554" s="54"/>
      <c r="AF2554" s="55">
        <f>+M2554*N2554*O2554/1000</f>
        <v>40320</v>
      </c>
      <c r="AG2554" s="43"/>
      <c r="AH2554" s="47"/>
      <c r="AI2554" s="30"/>
      <c r="AJ2554" s="30"/>
      <c r="AK2554" s="30"/>
      <c r="AL2554" s="30"/>
      <c r="AM2554" s="13"/>
      <c r="AN2554" s="13"/>
      <c r="AO2554" s="13"/>
      <c r="AP2554" s="13"/>
      <c r="AQ2554" s="13"/>
      <c r="AR2554" s="14"/>
      <c r="AS2554" s="15"/>
    </row>
    <row r="2555" spans="1:45" s="17" customFormat="1" ht="30.95" hidden="1" customHeight="1" x14ac:dyDescent="0.2">
      <c r="A2555" s="343"/>
      <c r="B2555" s="344"/>
      <c r="C2555" s="345"/>
      <c r="D2555" s="346"/>
      <c r="E2555" s="346"/>
      <c r="F2555" s="268"/>
      <c r="G2555" s="269"/>
      <c r="H2555" s="269"/>
      <c r="I2555" s="270"/>
      <c r="J2555" s="434"/>
      <c r="K2555" s="270"/>
      <c r="L2555" s="270"/>
      <c r="M2555" s="348"/>
      <c r="N2555" s="348"/>
      <c r="O2555" s="435"/>
      <c r="P2555" s="349"/>
      <c r="Q2555" s="350"/>
      <c r="R2555" s="271"/>
      <c r="S2555" s="272"/>
      <c r="T2555" s="273"/>
      <c r="U2555" s="351"/>
      <c r="V2555" s="274"/>
      <c r="W2555" s="269"/>
      <c r="X2555" s="269"/>
      <c r="Y2555" s="275"/>
      <c r="Z2555" s="269"/>
      <c r="AA2555" s="350"/>
      <c r="AB2555" s="207"/>
      <c r="AC2555" s="352"/>
      <c r="AD2555" s="353"/>
      <c r="AE2555" s="54"/>
      <c r="AF2555" s="354"/>
      <c r="AG2555" s="355"/>
      <c r="AH2555" s="349"/>
      <c r="AI2555" s="30"/>
      <c r="AJ2555" s="30"/>
      <c r="AK2555" s="30"/>
      <c r="AL2555" s="30"/>
      <c r="AM2555" s="13"/>
      <c r="AN2555" s="13"/>
      <c r="AO2555" s="13"/>
      <c r="AP2555" s="13"/>
      <c r="AQ2555" s="13"/>
      <c r="AR2555" s="14"/>
      <c r="AS2555" s="15"/>
    </row>
    <row r="2556" spans="1:45" s="17" customFormat="1" ht="30.6" hidden="1" customHeight="1" x14ac:dyDescent="0.2">
      <c r="A2556" s="343"/>
      <c r="B2556" s="344"/>
      <c r="C2556" s="45"/>
      <c r="D2556" s="31">
        <v>3778925</v>
      </c>
      <c r="E2556" s="31">
        <v>4162621</v>
      </c>
      <c r="F2556" s="268" t="str">
        <f>IF(D2556="","",VLOOKUP(D2556,契約台帳!$A$3:$K$4986,6,FALSE)&amp;VLOOKUP(D2556,契約台帳!$A$3:$K$4986,7,FALSE)&amp;VLOOKUP(D2556,契約台帳!$A$3:$K$4986,8,FALSE)&amp;VLOOKUP(D2556,契約台帳!$A$3:$K$4986,9,FALSE)&amp;VLOOKUP(D2556,契約台帳!$A$3:$K$4986,11,FALSE))</f>
        <v>3SNMLBMNGKKBF</v>
      </c>
      <c r="G2556" s="269" t="str">
        <f>IF(D2556="","",VLOOKUP(F2556,製品マスタ!$G$5:$H$5002,2,FALSE))</f>
        <v>S</v>
      </c>
      <c r="H2556" s="269" t="str">
        <f>IF(D2556="","",VLOOKUP(F2556,製品マスタ!$G$5:$K$5002,5,FALSE))</f>
        <v>MNGKKBF</v>
      </c>
      <c r="I2556" s="270" t="str">
        <f>IF(D2556="","",VLOOKUP(F2556,製品マスタ!$G$5:$L$5002,6,FALSE))</f>
        <v>メタルミー　ネーマー銀消改　Ｂ</v>
      </c>
      <c r="J2556" s="210" t="s">
        <v>935</v>
      </c>
      <c r="K2556" s="270">
        <f>IF(D2556="","",VLOOKUP(D2556,契約台帳!$A$3:$L$4986,12,FALSE))</f>
        <v>25</v>
      </c>
      <c r="L2556" s="270" t="str">
        <f>IF(D2556="","",INDEX(製品マスタ!$Q$5:$Q$5002,MATCH('S4'!F2556&amp;'S4'!K2556,製品マスタ!$AO$5:$AO$5002,0)))</f>
        <v>FMATS99</v>
      </c>
      <c r="M2556" s="39">
        <v>1120</v>
      </c>
      <c r="N2556" s="39">
        <v>4000</v>
      </c>
      <c r="O2556" s="156">
        <v>3</v>
      </c>
      <c r="P2556" s="47">
        <v>3</v>
      </c>
      <c r="Q2556" s="213">
        <v>45567</v>
      </c>
      <c r="R2556" s="271">
        <f ca="1">IF(D2556="","",IF(OFFSET(D2556,-1,0)&lt;&gt;"","",IF(OR(J2556="リード付け",J2556="巻足し",J2556="巻返しリード付け"),M2556,VLOOKUP(D2556,契約台帳!$A$3:$N$4986,14,FALSE))))</f>
        <v>1120</v>
      </c>
      <c r="S2556" s="272">
        <f ca="1">IF(D2556="","",IF(OFFSET(D2556,-1,0)&lt;&gt;"","",IF(OR(J2556="リード付け",J2556="巻足し",J2556="巻返しリード付け"),M2556,VLOOKUP(D2556,契約台帳!$A$3:$O$4986,15,FALSE))))</f>
        <v>1120</v>
      </c>
      <c r="T2556" s="273">
        <f ca="1">IF(D2556="","",IF(J2556="リード付け",N2556,IF(J2556="巻返しリード付け",N2556,IF(J2556="巻足し",N2556*P2556+OFFSET(N2556,1,0)*OFFSET(P2556,1,0),VLOOKUP(D2556,契約台帳!$A$3:$P$4986,16,FALSE)))))</f>
        <v>12000</v>
      </c>
      <c r="U2556" s="40">
        <v>1</v>
      </c>
      <c r="V2556" s="274">
        <f ca="1">IF(D2556="","",IF(OFFSET(D2556,-2,0)=D2556,"",VLOOKUP(D2556,契約台帳!$A$3:$R$4986,18,FALSE)))</f>
        <v>5</v>
      </c>
      <c r="W2556" s="269" t="str">
        <f ca="1">IF(D2556="","",IF(T2556="","",IF(OR(J2556="巻足し",J2556="巻返しリード付け"),"",IF(J2556="巻返し",VLOOKUP(F2556&amp;K2556&amp;M2556,製品マスタ!$M$5:$AD$5002,18,FALSE),IF(OR(J2556="リード付け",J2556="巻返しリード付け"),"原反コア",IF(J2556="スリット",VLOOKUP(F2556&amp;K2556&amp;R2556,製品マスタ!$N$5:$AD$5002,17,FALSE),""))))))</f>
        <v/>
      </c>
      <c r="X2556" s="269" t="str">
        <f ca="1">IF(D2556="","",IF(T2556="","",IF(J2556="巻足し","",IF(J2556="巻返し",VLOOKUP(F2556&amp;K2556&amp;M2556,製品マスタ!$M$5:$AE$5002,19,FALSE),IF(OR(J2556="リード付け",J2556="巻返しリード付け"),"",IF(J2556="スリット",VLOOKUP(F2556&amp;K2556&amp;R2556,製品マスタ!$N$5:$AE$5002,18,FALSE),""))))))</f>
        <v/>
      </c>
      <c r="Y2556" s="275">
        <f ca="1">IF(D2556="","",IF(T2556="","",VLOOKUP(D2556,契約台帳!$A$3:$Q$4986,17,FALSE)))</f>
        <v>2</v>
      </c>
      <c r="Z2556" s="269" t="str">
        <f ca="1">IF(D2556="","",IF(T2556="","",VLOOKUP(D2556,契約台帳!$A$3:$E$4986,5,FALSE)))</f>
        <v>リンテック㈱</v>
      </c>
      <c r="AA2556" s="57"/>
      <c r="AB2556" s="207">
        <f>IFERROR((VLOOKUP(F2556&amp;K2556&amp;M2556,製品マスタ!$M$5:$AM$5002,27,FALSE)),"")</f>
        <v>0</v>
      </c>
      <c r="AC2556" s="33"/>
      <c r="AD2556" s="189"/>
      <c r="AE2556" s="54"/>
      <c r="AF2556" s="55">
        <f>+M2556*N2556*O2556/1000</f>
        <v>13440</v>
      </c>
      <c r="AG2556" s="43"/>
      <c r="AH2556" s="47"/>
      <c r="AI2556" s="30"/>
      <c r="AJ2556" s="30"/>
      <c r="AK2556" s="30"/>
      <c r="AL2556" s="30"/>
      <c r="AM2556" s="13"/>
      <c r="AN2556" s="13"/>
      <c r="AO2556" s="13"/>
      <c r="AP2556" s="13"/>
      <c r="AQ2556" s="13"/>
      <c r="AR2556" s="14"/>
      <c r="AS2556" s="15"/>
    </row>
    <row r="2557" spans="1:45" s="17" customFormat="1" ht="30.95" hidden="1" customHeight="1" x14ac:dyDescent="0.2">
      <c r="A2557" s="343"/>
      <c r="B2557" s="344"/>
      <c r="C2557" s="345"/>
      <c r="D2557" s="346"/>
      <c r="E2557" s="346"/>
      <c r="F2557" s="268"/>
      <c r="G2557" s="269"/>
      <c r="H2557" s="269"/>
      <c r="I2557" s="270"/>
      <c r="J2557" s="434"/>
      <c r="K2557" s="270"/>
      <c r="L2557" s="270"/>
      <c r="M2557" s="348"/>
      <c r="N2557" s="348"/>
      <c r="O2557" s="435"/>
      <c r="P2557" s="349"/>
      <c r="Q2557" s="350"/>
      <c r="R2557" s="271"/>
      <c r="S2557" s="272"/>
      <c r="T2557" s="273"/>
      <c r="U2557" s="351"/>
      <c r="V2557" s="274"/>
      <c r="W2557" s="269"/>
      <c r="X2557" s="269"/>
      <c r="Y2557" s="275"/>
      <c r="Z2557" s="269"/>
      <c r="AA2557" s="350"/>
      <c r="AB2557" s="207"/>
      <c r="AC2557" s="352"/>
      <c r="AD2557" s="353"/>
      <c r="AE2557" s="54"/>
      <c r="AF2557" s="354"/>
      <c r="AG2557" s="355"/>
      <c r="AH2557" s="349"/>
      <c r="AI2557" s="30"/>
      <c r="AJ2557" s="30"/>
      <c r="AK2557" s="30"/>
      <c r="AL2557" s="30"/>
      <c r="AM2557" s="13"/>
      <c r="AN2557" s="13"/>
      <c r="AO2557" s="13"/>
      <c r="AP2557" s="13"/>
      <c r="AQ2557" s="13"/>
      <c r="AR2557" s="14"/>
      <c r="AS2557" s="15"/>
    </row>
    <row r="2558" spans="1:45" s="17" customFormat="1" ht="30.6" hidden="1" customHeight="1" x14ac:dyDescent="0.2">
      <c r="A2558" s="343"/>
      <c r="B2558" s="344"/>
      <c r="C2558" s="45"/>
      <c r="D2558" s="31">
        <v>3778925</v>
      </c>
      <c r="E2558" s="31">
        <v>4162621</v>
      </c>
      <c r="F2558" s="268" t="str">
        <f>IF(D2558="","",VLOOKUP(D2558,契約台帳!$A$3:$K$4986,6,FALSE)&amp;VLOOKUP(D2558,契約台帳!$A$3:$K$4986,7,FALSE)&amp;VLOOKUP(D2558,契約台帳!$A$3:$K$4986,8,FALSE)&amp;VLOOKUP(D2558,契約台帳!$A$3:$K$4986,9,FALSE)&amp;VLOOKUP(D2558,契約台帳!$A$3:$K$4986,11,FALSE))</f>
        <v>3SNMLBMNGKKBF</v>
      </c>
      <c r="G2558" s="269" t="str">
        <f>IF(D2558="","",VLOOKUP(F2558,製品マスタ!$G$5:$H$5002,2,FALSE))</f>
        <v>S</v>
      </c>
      <c r="H2558" s="269" t="str">
        <f>IF(D2558="","",VLOOKUP(F2558,製品マスタ!$G$5:$K$5002,5,FALSE))</f>
        <v>MNGKKBF</v>
      </c>
      <c r="I2558" s="270" t="str">
        <f>IF(D2558="","",VLOOKUP(F2558,製品マスタ!$G$5:$L$5002,6,FALSE))</f>
        <v>メタルミー　ネーマー銀消改　Ｂ</v>
      </c>
      <c r="J2558" s="210" t="s">
        <v>935</v>
      </c>
      <c r="K2558" s="270">
        <f>IF(D2558="","",VLOOKUP(D2558,契約台帳!$A$3:$L$4986,12,FALSE))</f>
        <v>25</v>
      </c>
      <c r="L2558" s="270" t="str">
        <f>IF(D2558="","",INDEX(製品マスタ!$Q$5:$Q$5002,MATCH('S4'!F2558&amp;'S4'!K2558,製品マスタ!$AO$5:$AO$5002,0)))</f>
        <v>FMATS99</v>
      </c>
      <c r="M2558" s="39">
        <v>1120</v>
      </c>
      <c r="N2558" s="39">
        <v>4000</v>
      </c>
      <c r="O2558" s="156">
        <v>2</v>
      </c>
      <c r="P2558" s="47">
        <v>2</v>
      </c>
      <c r="Q2558" s="213">
        <v>45567</v>
      </c>
      <c r="R2558" s="271">
        <f ca="1">IF(D2558="","",IF(OFFSET(D2558,-1,0)&lt;&gt;"","",IF(OR(J2558="リード付け",J2558="巻足し",J2558="巻返しリード付け"),M2558,VLOOKUP(D2558,契約台帳!$A$3:$N$4986,14,FALSE))))</f>
        <v>1120</v>
      </c>
      <c r="S2558" s="272">
        <f ca="1">IF(D2558="","",IF(OFFSET(D2558,-1,0)&lt;&gt;"","",IF(OR(J2558="リード付け",J2558="巻足し",J2558="巻返しリード付け"),M2558,VLOOKUP(D2558,契約台帳!$A$3:$O$4986,15,FALSE))))</f>
        <v>1120</v>
      </c>
      <c r="T2558" s="273">
        <f ca="1">IF(D2558="","",IF(J2558="リード付け",N2558,IF(J2558="巻返しリード付け",N2558,IF(J2558="巻足し",N2558*P2558+OFFSET(N2558,1,0)*OFFSET(P2558,1,0),VLOOKUP(D2558,契約台帳!$A$3:$P$4986,16,FALSE)))))</f>
        <v>8000</v>
      </c>
      <c r="U2558" s="40">
        <v>1</v>
      </c>
      <c r="V2558" s="274" t="str">
        <f ca="1">IF(D2558="","",IF(OFFSET(D2558,-2,0)=D2558,"",VLOOKUP(D2558,契約台帳!$A$3:$R$4986,18,FALSE)))</f>
        <v/>
      </c>
      <c r="W2558" s="269" t="str">
        <f ca="1">IF(D2558="","",IF(T2558="","",IF(OR(J2558="巻足し",J2558="巻返しリード付け"),"",IF(J2558="巻返し",VLOOKUP(F2558&amp;K2558&amp;M2558,製品マスタ!$M$5:$AD$5002,18,FALSE),IF(OR(J2558="リード付け",J2558="巻返しリード付け"),"原反コア",IF(J2558="スリット",VLOOKUP(F2558&amp;K2558&amp;R2558,製品マスタ!$N$5:$AD$5002,17,FALSE),""))))))</f>
        <v/>
      </c>
      <c r="X2558" s="269" t="str">
        <f ca="1">IF(D2558="","",IF(T2558="","",IF(J2558="巻足し","",IF(J2558="巻返し",VLOOKUP(F2558&amp;K2558&amp;M2558,製品マスタ!$M$5:$AE$5002,19,FALSE),IF(OR(J2558="リード付け",J2558="巻返しリード付け"),"",IF(J2558="スリット",VLOOKUP(F2558&amp;K2558&amp;R2558,製品マスタ!$N$5:$AE$5002,18,FALSE),""))))))</f>
        <v/>
      </c>
      <c r="Y2558" s="275">
        <f ca="1">IF(D2558="","",IF(T2558="","",VLOOKUP(D2558,契約台帳!$A$3:$Q$4986,17,FALSE)))</f>
        <v>2</v>
      </c>
      <c r="Z2558" s="269" t="str">
        <f ca="1">IF(D2558="","",IF(T2558="","",VLOOKUP(D2558,契約台帳!$A$3:$E$4986,5,FALSE)))</f>
        <v>リンテック㈱</v>
      </c>
      <c r="AA2558" s="57"/>
      <c r="AB2558" s="207">
        <f>IFERROR((VLOOKUP(F2558&amp;K2558&amp;M2558,製品マスタ!$M$5:$AM$5002,27,FALSE)),"")</f>
        <v>0</v>
      </c>
      <c r="AC2558" s="33"/>
      <c r="AD2558" s="189"/>
      <c r="AE2558" s="54"/>
      <c r="AF2558" s="55">
        <f>+M2558*N2558*O2558/1000</f>
        <v>8960</v>
      </c>
      <c r="AG2558" s="43"/>
      <c r="AH2558" s="47"/>
      <c r="AI2558" s="30"/>
      <c r="AJ2558" s="30"/>
      <c r="AK2558" s="30"/>
      <c r="AL2558" s="30"/>
      <c r="AM2558" s="13"/>
      <c r="AN2558" s="13"/>
      <c r="AO2558" s="13"/>
      <c r="AP2558" s="13"/>
      <c r="AQ2558" s="13"/>
      <c r="AR2558" s="14"/>
      <c r="AS2558" s="15"/>
    </row>
    <row r="2559" spans="1:45" s="17" customFormat="1" ht="30.95" hidden="1" customHeight="1" x14ac:dyDescent="0.2">
      <c r="A2559" s="343"/>
      <c r="B2559" s="344"/>
      <c r="C2559" s="345"/>
      <c r="D2559" s="346"/>
      <c r="E2559" s="346"/>
      <c r="F2559" s="268"/>
      <c r="G2559" s="269"/>
      <c r="H2559" s="269"/>
      <c r="I2559" s="270"/>
      <c r="J2559" s="434"/>
      <c r="K2559" s="270"/>
      <c r="L2559" s="270"/>
      <c r="M2559" s="348"/>
      <c r="N2559" s="348"/>
      <c r="O2559" s="435"/>
      <c r="P2559" s="349"/>
      <c r="Q2559" s="350"/>
      <c r="R2559" s="271"/>
      <c r="S2559" s="272"/>
      <c r="T2559" s="273"/>
      <c r="U2559" s="351"/>
      <c r="V2559" s="274"/>
      <c r="W2559" s="269"/>
      <c r="X2559" s="269"/>
      <c r="Y2559" s="275"/>
      <c r="Z2559" s="269"/>
      <c r="AA2559" s="350"/>
      <c r="AB2559" s="207"/>
      <c r="AC2559" s="352"/>
      <c r="AD2559" s="353"/>
      <c r="AE2559" s="54"/>
      <c r="AF2559" s="354"/>
      <c r="AG2559" s="355"/>
      <c r="AH2559" s="349"/>
      <c r="AI2559" s="30"/>
      <c r="AJ2559" s="30"/>
      <c r="AK2559" s="30"/>
      <c r="AL2559" s="30"/>
      <c r="AM2559" s="13"/>
      <c r="AN2559" s="13"/>
      <c r="AO2559" s="13"/>
      <c r="AP2559" s="13"/>
      <c r="AQ2559" s="13"/>
      <c r="AR2559" s="14"/>
      <c r="AS2559" s="15"/>
    </row>
    <row r="2560" spans="1:45" s="17" customFormat="1" ht="30.6" hidden="1" customHeight="1" x14ac:dyDescent="0.2">
      <c r="A2560" s="343" t="s">
        <v>3276</v>
      </c>
      <c r="B2560" s="344" t="s">
        <v>3277</v>
      </c>
      <c r="C2560" s="45"/>
      <c r="D2560" s="31">
        <v>3778924</v>
      </c>
      <c r="E2560" s="31">
        <v>4162620</v>
      </c>
      <c r="F2560" s="268" t="str">
        <f>IF(D2560="","",VLOOKUP(D2560,契約台帳!$A$3:$K$4986,6,FALSE)&amp;VLOOKUP(D2560,契約台帳!$A$3:$K$4986,7,FALSE)&amp;VLOOKUP(D2560,契約台帳!$A$3:$K$4986,8,FALSE)&amp;VLOOKUP(D2560,契約台帳!$A$3:$K$4986,9,FALSE)&amp;VLOOKUP(D2560,契約台帳!$A$3:$K$4986,11,FALSE))</f>
        <v>3SNMLBMNGKKBF</v>
      </c>
      <c r="G2560" s="269" t="str">
        <f>IF(D2560="","",VLOOKUP(F2560,製品マスタ!$G$5:$H$5002,2,FALSE))</f>
        <v>S</v>
      </c>
      <c r="H2560" s="269" t="str">
        <f>IF(D2560="","",VLOOKUP(F2560,製品マスタ!$G$5:$K$5002,5,FALSE))</f>
        <v>MNGKKBF</v>
      </c>
      <c r="I2560" s="270" t="str">
        <f>IF(D2560="","",VLOOKUP(F2560,製品マスタ!$G$5:$L$5002,6,FALSE))</f>
        <v>メタルミー　ネーマー銀消改　Ｂ</v>
      </c>
      <c r="J2560" s="210" t="s">
        <v>935</v>
      </c>
      <c r="K2560" s="270">
        <f>IF(D2560="","",VLOOKUP(D2560,契約台帳!$A$3:$L$4986,12,FALSE))</f>
        <v>25</v>
      </c>
      <c r="L2560" s="270" t="str">
        <f>IF(D2560="","",INDEX(製品マスタ!$Q$5:$Q$5002,MATCH('S4'!F2560&amp;'S4'!K2560,製品マスタ!$AO$5:$AO$5002,0)))</f>
        <v>FMATS99</v>
      </c>
      <c r="M2560" s="39">
        <v>1000</v>
      </c>
      <c r="N2560" s="39">
        <v>4000</v>
      </c>
      <c r="O2560" s="156">
        <v>3</v>
      </c>
      <c r="P2560" s="47">
        <v>3</v>
      </c>
      <c r="Q2560" s="213">
        <v>45567</v>
      </c>
      <c r="R2560" s="271">
        <f ca="1">IF(D2560="","",IF(OFFSET(D2560,-1,0)&lt;&gt;"","",IF(OR(J2560="リード付け",J2560="巻足し",J2560="巻返しリード付け"),M2560,VLOOKUP(D2560,契約台帳!$A$3:$N$4986,14,FALSE))))</f>
        <v>1000</v>
      </c>
      <c r="S2560" s="272">
        <f ca="1">IF(D2560="","",IF(OFFSET(D2560,-1,0)&lt;&gt;"","",IF(OR(J2560="リード付け",J2560="巻足し",J2560="巻返しリード付け"),M2560,VLOOKUP(D2560,契約台帳!$A$3:$O$4986,15,FALSE))))</f>
        <v>1000</v>
      </c>
      <c r="T2560" s="273">
        <f ca="1">IF(D2560="","",IF(J2560="リード付け",N2560,IF(J2560="巻返しリード付け",N2560,IF(J2560="巻足し",N2560*P2560+OFFSET(N2560,1,0)*OFFSET(P2560,1,0),VLOOKUP(D2560,契約台帳!$A$3:$P$4986,16,FALSE)))))</f>
        <v>12000</v>
      </c>
      <c r="U2560" s="40">
        <v>1</v>
      </c>
      <c r="V2560" s="274">
        <f ca="1">IF(D2560="","",IF(OFFSET(D2560,-2,0)=D2560,"",VLOOKUP(D2560,契約台帳!$A$3:$R$4986,18,FALSE)))</f>
        <v>3</v>
      </c>
      <c r="W2560" s="269" t="str">
        <f ca="1">IF(D2560="","",IF(T2560="","",IF(OR(J2560="巻足し",J2560="巻返しリード付け"),"",IF(J2560="巻返し",VLOOKUP(F2560&amp;K2560&amp;M2560,製品マスタ!$M$5:$AD$5002,18,FALSE),IF(OR(J2560="リード付け",J2560="巻返しリード付け"),"原反コア",IF(J2560="スリット",VLOOKUP(F2560&amp;K2560&amp;R2560,製品マスタ!$N$5:$AD$5002,17,FALSE),""))))))</f>
        <v/>
      </c>
      <c r="X2560" s="269" t="str">
        <f ca="1">IF(D2560="","",IF(T2560="","",IF(J2560="巻足し","",IF(J2560="巻返し",VLOOKUP(F2560&amp;K2560&amp;M2560,製品マスタ!$M$5:$AE$5002,19,FALSE),IF(OR(J2560="リード付け",J2560="巻返しリード付け"),"",IF(J2560="スリット",VLOOKUP(F2560&amp;K2560&amp;R2560,製品マスタ!$N$5:$AE$5002,18,FALSE),""))))))</f>
        <v/>
      </c>
      <c r="Y2560" s="275">
        <f ca="1">IF(D2560="","",IF(T2560="","",VLOOKUP(D2560,契約台帳!$A$3:$Q$4986,17,FALSE)))</f>
        <v>2</v>
      </c>
      <c r="Z2560" s="269" t="str">
        <f ca="1">IF(D2560="","",IF(T2560="","",VLOOKUP(D2560,契約台帳!$A$3:$E$4986,5,FALSE)))</f>
        <v>リンテック㈱</v>
      </c>
      <c r="AA2560" s="57"/>
      <c r="AB2560" s="207">
        <f>IFERROR((VLOOKUP(F2560&amp;K2560&amp;M2560,製品マスタ!$M$5:$AM$5002,27,FALSE)),"")</f>
        <v>0</v>
      </c>
      <c r="AC2560" s="33"/>
      <c r="AD2560" s="189"/>
      <c r="AE2560" s="54"/>
      <c r="AF2560" s="55">
        <f>+M2560*N2560*O2560/1000</f>
        <v>12000</v>
      </c>
      <c r="AG2560" s="43"/>
      <c r="AH2560" s="47"/>
      <c r="AI2560" s="30"/>
      <c r="AJ2560" s="30"/>
      <c r="AK2560" s="30"/>
      <c r="AL2560" s="30"/>
      <c r="AM2560" s="13"/>
      <c r="AN2560" s="13"/>
      <c r="AO2560" s="13"/>
      <c r="AP2560" s="13"/>
      <c r="AQ2560" s="13"/>
      <c r="AR2560" s="14"/>
      <c r="AS2560" s="15"/>
    </row>
    <row r="2561" spans="1:45" s="17" customFormat="1" ht="30.95" hidden="1" customHeight="1" x14ac:dyDescent="0.2">
      <c r="A2561" s="343"/>
      <c r="B2561" s="344"/>
      <c r="C2561" s="345"/>
      <c r="D2561" s="346"/>
      <c r="E2561" s="346"/>
      <c r="F2561" s="268"/>
      <c r="G2561" s="269"/>
      <c r="H2561" s="269"/>
      <c r="I2561" s="270"/>
      <c r="J2561" s="434"/>
      <c r="K2561" s="270"/>
      <c r="L2561" s="270"/>
      <c r="M2561" s="348"/>
      <c r="N2561" s="348"/>
      <c r="O2561" s="435"/>
      <c r="P2561" s="349"/>
      <c r="Q2561" s="350"/>
      <c r="R2561" s="271"/>
      <c r="S2561" s="272"/>
      <c r="T2561" s="273"/>
      <c r="U2561" s="351"/>
      <c r="V2561" s="274"/>
      <c r="W2561" s="269"/>
      <c r="X2561" s="269"/>
      <c r="Y2561" s="275"/>
      <c r="Z2561" s="269"/>
      <c r="AA2561" s="350"/>
      <c r="AB2561" s="207"/>
      <c r="AC2561" s="352"/>
      <c r="AD2561" s="353"/>
      <c r="AE2561" s="54"/>
      <c r="AF2561" s="354"/>
      <c r="AG2561" s="355"/>
      <c r="AH2561" s="349"/>
      <c r="AI2561" s="30"/>
      <c r="AJ2561" s="30"/>
      <c r="AK2561" s="30"/>
      <c r="AL2561" s="30"/>
      <c r="AM2561" s="13"/>
      <c r="AN2561" s="13"/>
      <c r="AO2561" s="13"/>
      <c r="AP2561" s="13"/>
      <c r="AQ2561" s="13"/>
      <c r="AR2561" s="14"/>
      <c r="AS2561" s="15"/>
    </row>
    <row r="2562" spans="1:45" s="17" customFormat="1" ht="30.6" hidden="1" customHeight="1" x14ac:dyDescent="0.2">
      <c r="A2562" s="343"/>
      <c r="B2562" s="344"/>
      <c r="C2562" s="45"/>
      <c r="D2562" s="31">
        <v>3778923</v>
      </c>
      <c r="E2562" s="31">
        <v>4162623</v>
      </c>
      <c r="F2562" s="268" t="str">
        <f>IF(D2562="","",VLOOKUP(D2562,契約台帳!$A$3:$K$4986,6,FALSE)&amp;VLOOKUP(D2562,契約台帳!$A$3:$K$4986,7,FALSE)&amp;VLOOKUP(D2562,契約台帳!$A$3:$K$4986,8,FALSE)&amp;VLOOKUP(D2562,契約台帳!$A$3:$K$4986,9,FALSE)&amp;VLOOKUP(D2562,契約台帳!$A$3:$K$4986,11,FALSE))</f>
        <v>3SNMLBMTSF</v>
      </c>
      <c r="G2562" s="269" t="str">
        <f>IF(D2562="","",VLOOKUP(F2562,製品マスタ!$G$5:$H$5002,2,FALSE))</f>
        <v>S</v>
      </c>
      <c r="H2562" s="269" t="str">
        <f>IF(D2562="","",VLOOKUP(F2562,製品マスタ!$G$5:$K$5002,5,FALSE))</f>
        <v>MTSF</v>
      </c>
      <c r="I2562" s="270" t="str">
        <f>IF(D2562="","",VLOOKUP(F2562,製品マスタ!$G$5:$L$5002,6,FALSE))</f>
        <v>メタルミー　ＴＳ</v>
      </c>
      <c r="J2562" s="210" t="s">
        <v>935</v>
      </c>
      <c r="K2562" s="270">
        <f>IF(D2562="","",VLOOKUP(D2562,契約台帳!$A$3:$L$4986,12,FALSE))</f>
        <v>50</v>
      </c>
      <c r="L2562" s="270" t="str">
        <f>IF(D2562="","",INDEX(製品マスタ!$Q$5:$Q$5002,MATCH('S4'!F2562&amp;'S4'!K2562,製品マスタ!$AO$5:$AO$5002,0)))</f>
        <v>T62M</v>
      </c>
      <c r="M2562" s="39">
        <v>1255</v>
      </c>
      <c r="N2562" s="39">
        <v>6100</v>
      </c>
      <c r="O2562" s="156">
        <v>4</v>
      </c>
      <c r="P2562" s="47">
        <v>2</v>
      </c>
      <c r="Q2562" s="213">
        <v>45569</v>
      </c>
      <c r="R2562" s="271">
        <f ca="1">IF(D2562="","",IF(OFFSET(D2562,-1,0)&lt;&gt;"","",IF(OR(J2562="リード付け",J2562="巻足し",J2562="巻返しリード付け"),M2562,VLOOKUP(D2562,契約台帳!$A$3:$N$4986,14,FALSE))))</f>
        <v>1255</v>
      </c>
      <c r="S2562" s="272">
        <f ca="1">IF(D2562="","",IF(OFFSET(D2562,-1,0)&lt;&gt;"","",IF(OR(J2562="リード付け",J2562="巻足し",J2562="巻返しリード付け"),M2562,VLOOKUP(D2562,契約台帳!$A$3:$O$4986,15,FALSE))))</f>
        <v>1255</v>
      </c>
      <c r="T2562" s="273">
        <f ca="1">IF(D2562="","",IF(J2562="リード付け",N2562,IF(J2562="巻返しリード付け",N2562,IF(J2562="巻足し",N2562*P2562+OFFSET(N2562,1,0)*OFFSET(P2562,1,0),VLOOKUP(D2562,契約台帳!$A$3:$P$4986,16,FALSE)))))</f>
        <v>12200</v>
      </c>
      <c r="U2562" s="40">
        <v>2</v>
      </c>
      <c r="V2562" s="274">
        <f ca="1">IF(D2562="","",IF(OFFSET(D2562,-2,0)=D2562,"",VLOOKUP(D2562,契約台帳!$A$3:$R$4986,18,FALSE)))</f>
        <v>12</v>
      </c>
      <c r="W2562" s="269" t="str">
        <f ca="1">IF(D2562="","",IF(T2562="","",IF(OR(J2562="巻足し",J2562="巻返しリード付け"),"",IF(J2562="巻返し",VLOOKUP(F2562&amp;K2562&amp;M2562,製品マスタ!$M$5:$AD$5002,18,FALSE),IF(OR(J2562="リード付け",J2562="巻返しリード付け"),"原反コア",IF(J2562="スリット",VLOOKUP(F2562&amp;K2562&amp;R2562,製品マスタ!$N$5:$AD$5002,17,FALSE),""))))))</f>
        <v/>
      </c>
      <c r="X2562" s="269" t="str">
        <f ca="1">IF(D2562="","",IF(T2562="","",IF(J2562="巻足し","",IF(J2562="巻返し",VLOOKUP(F2562&amp;K2562&amp;M2562,製品マスタ!$M$5:$AE$5002,19,FALSE),IF(OR(J2562="リード付け",J2562="巻返しリード付け"),"",IF(J2562="スリット",VLOOKUP(F2562&amp;K2562&amp;R2562,製品マスタ!$N$5:$AE$5002,18,FALSE),""))))))</f>
        <v/>
      </c>
      <c r="Y2562" s="275">
        <f ca="1">IF(D2562="","",IF(T2562="","",VLOOKUP(D2562,契約台帳!$A$3:$Q$4986,17,FALSE)))</f>
        <v>2</v>
      </c>
      <c r="Z2562" s="269" t="str">
        <f ca="1">IF(D2562="","",IF(T2562="","",VLOOKUP(D2562,契約台帳!$A$3:$E$4986,5,FALSE)))</f>
        <v>日東電工㈱豊橋工場</v>
      </c>
      <c r="AA2562" s="57"/>
      <c r="AB2562" s="207">
        <f>IFERROR((VLOOKUP(F2562&amp;K2562&amp;M2562,製品マスタ!$M$5:$AM$5002,27,FALSE)),"")</f>
        <v>0</v>
      </c>
      <c r="AC2562" s="33"/>
      <c r="AD2562" s="189"/>
      <c r="AE2562" s="54"/>
      <c r="AF2562" s="55">
        <f>+M2562*N2562*O2562/1000</f>
        <v>30622</v>
      </c>
      <c r="AG2562" s="43"/>
      <c r="AH2562" s="47"/>
      <c r="AI2562" s="30"/>
      <c r="AJ2562" s="30"/>
      <c r="AK2562" s="30"/>
      <c r="AL2562" s="30"/>
      <c r="AM2562" s="13"/>
      <c r="AN2562" s="13"/>
      <c r="AO2562" s="13"/>
      <c r="AP2562" s="13"/>
      <c r="AQ2562" s="13"/>
      <c r="AR2562" s="14"/>
      <c r="AS2562" s="15"/>
    </row>
    <row r="2563" spans="1:45" s="17" customFormat="1" ht="30.95" hidden="1" customHeight="1" x14ac:dyDescent="0.2">
      <c r="A2563" s="343"/>
      <c r="B2563" s="344"/>
      <c r="C2563" s="345"/>
      <c r="D2563" s="346"/>
      <c r="E2563" s="346"/>
      <c r="F2563" s="268"/>
      <c r="G2563" s="269"/>
      <c r="H2563" s="269"/>
      <c r="I2563" s="270"/>
      <c r="J2563" s="434"/>
      <c r="K2563" s="270"/>
      <c r="L2563" s="270"/>
      <c r="M2563" s="348"/>
      <c r="N2563" s="348"/>
      <c r="O2563" s="435"/>
      <c r="P2563" s="349"/>
      <c r="Q2563" s="350"/>
      <c r="R2563" s="271"/>
      <c r="S2563" s="272"/>
      <c r="T2563" s="273"/>
      <c r="U2563" s="351"/>
      <c r="V2563" s="274"/>
      <c r="W2563" s="269"/>
      <c r="X2563" s="269"/>
      <c r="Y2563" s="275"/>
      <c r="Z2563" s="269"/>
      <c r="AA2563" s="350"/>
      <c r="AB2563" s="207"/>
      <c r="AC2563" s="352"/>
      <c r="AD2563" s="353"/>
      <c r="AE2563" s="54"/>
      <c r="AF2563" s="354"/>
      <c r="AG2563" s="355"/>
      <c r="AH2563" s="349"/>
      <c r="AI2563" s="30"/>
      <c r="AJ2563" s="30"/>
      <c r="AK2563" s="30"/>
      <c r="AL2563" s="30"/>
      <c r="AM2563" s="13"/>
      <c r="AN2563" s="13"/>
      <c r="AO2563" s="13"/>
      <c r="AP2563" s="13"/>
      <c r="AQ2563" s="13"/>
      <c r="AR2563" s="14"/>
      <c r="AS2563" s="15"/>
    </row>
    <row r="2564" spans="1:45" s="17" customFormat="1" ht="30.6" hidden="1" customHeight="1" x14ac:dyDescent="0.2">
      <c r="A2564" s="343"/>
      <c r="B2564" s="344"/>
      <c r="C2564" s="45"/>
      <c r="D2564" s="31">
        <v>3778922</v>
      </c>
      <c r="E2564" s="31">
        <v>4162630</v>
      </c>
      <c r="F2564" s="268" t="str">
        <f>IF(D2564="","",VLOOKUP(D2564,契約台帳!$A$3:$K$4986,6,FALSE)&amp;VLOOKUP(D2564,契約台帳!$A$3:$K$4986,7,FALSE)&amp;VLOOKUP(D2564,契約台帳!$A$3:$K$4986,8,FALSE)&amp;VLOOKUP(D2564,契約台帳!$A$3:$K$4986,9,FALSE)&amp;VLOOKUP(D2564,契約台帳!$A$3:$K$4986,11,FALSE))</f>
        <v>3TYKNZMCR</v>
      </c>
      <c r="G2564" s="269" t="str">
        <f>IF(D2564="","",VLOOKUP(F2564,製品マスタ!$G$5:$H$5002,2,FALSE))</f>
        <v>T</v>
      </c>
      <c r="H2564" s="269" t="str">
        <f>IF(D2564="","",VLOOKUP(F2564,製品マスタ!$G$5:$K$5002,5,FALSE))</f>
        <v>MCR</v>
      </c>
      <c r="I2564" s="270" t="str">
        <f>IF(D2564="","",VLOOKUP(F2564,製品マスタ!$G$5:$L$5002,6,FALSE))</f>
        <v>Metalumy CR</v>
      </c>
      <c r="J2564" s="210" t="s">
        <v>464</v>
      </c>
      <c r="K2564" s="270">
        <f>IF(D2564="","",VLOOKUP(D2564,契約台帳!$A$3:$L$4986,12,FALSE))</f>
        <v>25</v>
      </c>
      <c r="L2564" s="270" t="str">
        <f>IF(D2564="","",INDEX(製品マスタ!$Q$5:$Q$5002,MATCH('S4'!F2564&amp;'S4'!K2564,製品マスタ!$AO$5:$AO$5002,0)))</f>
        <v>S28M</v>
      </c>
      <c r="M2564" s="39">
        <v>1110</v>
      </c>
      <c r="N2564" s="39">
        <v>12100</v>
      </c>
      <c r="O2564" s="156">
        <v>6</v>
      </c>
      <c r="P2564" s="47">
        <v>1</v>
      </c>
      <c r="Q2564" s="213">
        <v>45569</v>
      </c>
      <c r="R2564" s="271">
        <f ca="1">IF(D2564="","",IF(OFFSET(D2564,-1,0)&lt;&gt;"","",IF(OR(J2564="リード付け",J2564="巻足し",J2564="巻返しリード付け"),M2564,VLOOKUP(D2564,契約台帳!$A$3:$N$4986,14,FALSE))))</f>
        <v>1110</v>
      </c>
      <c r="S2564" s="272">
        <f ca="1">IF(D2564="","",IF(OFFSET(D2564,-1,0)&lt;&gt;"","",IF(OR(J2564="リード付け",J2564="巻足し",J2564="巻返しリード付け"),M2564,VLOOKUP(D2564,契約台帳!$A$3:$O$4986,15,FALSE))))</f>
        <v>1110</v>
      </c>
      <c r="T2564" s="273">
        <f ca="1">IF(D2564="","",IF(J2564="リード付け",N2564,IF(J2564="巻返しリード付け",N2564,IF(J2564="巻足し",N2564*P2564+OFFSET(N2564,1,0)*OFFSET(P2564,1,0),VLOOKUP(D2564,契約台帳!$A$3:$P$4986,16,FALSE)))))</f>
        <v>12100</v>
      </c>
      <c r="U2564" s="40">
        <v>6</v>
      </c>
      <c r="V2564" s="274">
        <f ca="1">IF(D2564="","",IF(OFFSET(D2564,-2,0)=D2564,"",VLOOKUP(D2564,契約台帳!$A$3:$R$4986,18,FALSE)))</f>
        <v>12</v>
      </c>
      <c r="W2564" s="269" t="str">
        <f ca="1">IF(D2564="","",IF(T2564="","",IF(OR(J2564="巻足し",J2564="巻返しリード付け"),"",IF(J2564="巻返し",VLOOKUP(F2564&amp;K2564&amp;M2564,製品マスタ!$M$5:$AD$5002,18,FALSE),IF(OR(J2564="リード付け",J2564="巻返しリード付け"),"原反コア",IF(J2564="スリット",VLOOKUP(F2564&amp;K2564&amp;R2564,製品マスタ!$N$5:$AD$5002,17,FALSE),""))))))</f>
        <v>原反コア</v>
      </c>
      <c r="X2564" s="269" t="str">
        <f ca="1">IF(D2564="","",IF(T2564="","",IF(J2564="巻足し","",IF(J2564="巻返し",VLOOKUP(F2564&amp;K2564&amp;M2564,製品マスタ!$M$5:$AE$5002,19,FALSE),IF(OR(J2564="リード付け",J2564="巻返しリード付け"),"",IF(J2564="スリット",VLOOKUP(F2564&amp;K2564&amp;R2564,製品マスタ!$N$5:$AE$5002,18,FALSE),""))))))</f>
        <v/>
      </c>
      <c r="Y2564" s="275">
        <f ca="1">IF(D2564="","",IF(T2564="","",VLOOKUP(D2564,契約台帳!$A$3:$Q$4986,17,FALSE)))</f>
        <v>2</v>
      </c>
      <c r="Z2564" s="269" t="str">
        <f ca="1">IF(D2564="","",IF(T2564="","",VLOOKUP(D2564,契約台帳!$A$3:$E$4986,5,FALSE)))</f>
        <v>日東電工㈱豊橋工場</v>
      </c>
      <c r="AA2564" s="57"/>
      <c r="AB2564" s="207" t="s">
        <v>2892</v>
      </c>
      <c r="AC2564" s="33"/>
      <c r="AD2564" s="189"/>
      <c r="AE2564" s="54"/>
      <c r="AF2564" s="55">
        <f>+M2564*N2564*O2564/1000</f>
        <v>80586</v>
      </c>
      <c r="AG2564" s="43"/>
      <c r="AH2564" s="47"/>
      <c r="AI2564" s="30"/>
      <c r="AJ2564" s="30"/>
      <c r="AK2564" s="30"/>
      <c r="AL2564" s="30"/>
      <c r="AM2564" s="13"/>
      <c r="AN2564" s="13"/>
      <c r="AO2564" s="13"/>
      <c r="AP2564" s="13"/>
      <c r="AQ2564" s="13"/>
      <c r="AR2564" s="14"/>
      <c r="AS2564" s="15"/>
    </row>
    <row r="2565" spans="1:45" s="17" customFormat="1" ht="30.95" hidden="1" customHeight="1" x14ac:dyDescent="0.2">
      <c r="A2565" s="343"/>
      <c r="B2565" s="344"/>
      <c r="C2565" s="345"/>
      <c r="D2565" s="346"/>
      <c r="E2565" s="346"/>
      <c r="F2565" s="268"/>
      <c r="G2565" s="269"/>
      <c r="H2565" s="269"/>
      <c r="I2565" s="270"/>
      <c r="J2565" s="434"/>
      <c r="K2565" s="270"/>
      <c r="L2565" s="270"/>
      <c r="M2565" s="348"/>
      <c r="N2565" s="348"/>
      <c r="O2565" s="435"/>
      <c r="P2565" s="349"/>
      <c r="Q2565" s="350"/>
      <c r="R2565" s="271"/>
      <c r="S2565" s="272"/>
      <c r="T2565" s="273"/>
      <c r="U2565" s="351"/>
      <c r="V2565" s="274"/>
      <c r="W2565" s="269"/>
      <c r="X2565" s="269"/>
      <c r="Y2565" s="275"/>
      <c r="Z2565" s="269"/>
      <c r="AA2565" s="350"/>
      <c r="AB2565" s="207"/>
      <c r="AC2565" s="352"/>
      <c r="AD2565" s="353"/>
      <c r="AE2565" s="54"/>
      <c r="AF2565" s="354"/>
      <c r="AG2565" s="355"/>
      <c r="AH2565" s="349"/>
      <c r="AI2565" s="30"/>
      <c r="AJ2565" s="30"/>
      <c r="AK2565" s="30"/>
      <c r="AL2565" s="30"/>
      <c r="AM2565" s="13"/>
      <c r="AN2565" s="13"/>
      <c r="AO2565" s="13"/>
      <c r="AP2565" s="13"/>
      <c r="AQ2565" s="13"/>
      <c r="AR2565" s="14"/>
      <c r="AS2565" s="15"/>
    </row>
    <row r="2566" spans="1:45" s="17" customFormat="1" ht="30.95" hidden="1" customHeight="1" x14ac:dyDescent="0.2">
      <c r="A2566" s="343" t="s">
        <v>3199</v>
      </c>
      <c r="B2566" s="344" t="s">
        <v>3200</v>
      </c>
      <c r="C2566" s="345"/>
      <c r="D2566" s="346"/>
      <c r="E2566" s="346"/>
      <c r="F2566" s="268"/>
      <c r="G2566" s="269"/>
      <c r="H2566" s="269"/>
      <c r="I2566" s="270"/>
      <c r="J2566" s="434" t="s">
        <v>448</v>
      </c>
      <c r="K2566" s="270"/>
      <c r="L2566" s="270"/>
      <c r="M2566" s="348"/>
      <c r="N2566" s="348"/>
      <c r="O2566" s="435"/>
      <c r="P2566" s="349"/>
      <c r="Q2566" s="350"/>
      <c r="R2566" s="271"/>
      <c r="S2566" s="272"/>
      <c r="T2566" s="273"/>
      <c r="U2566" s="351"/>
      <c r="V2566" s="274"/>
      <c r="W2566" s="269"/>
      <c r="X2566" s="269"/>
      <c r="Y2566" s="275"/>
      <c r="Z2566" s="269"/>
      <c r="AA2566" s="350"/>
      <c r="AB2566" s="207"/>
      <c r="AC2566" s="352"/>
      <c r="AD2566" s="353"/>
      <c r="AE2566" s="54"/>
      <c r="AF2566" s="354"/>
      <c r="AG2566" s="355"/>
      <c r="AH2566" s="349"/>
      <c r="AI2566" s="30"/>
      <c r="AJ2566" s="30"/>
      <c r="AK2566" s="30"/>
      <c r="AL2566" s="30"/>
      <c r="AM2566" s="13"/>
      <c r="AN2566" s="13"/>
      <c r="AO2566" s="13"/>
      <c r="AP2566" s="13"/>
      <c r="AQ2566" s="13"/>
      <c r="AR2566" s="14"/>
      <c r="AS2566" s="15"/>
    </row>
    <row r="2567" spans="1:45" s="17" customFormat="1" ht="30.95" hidden="1" customHeight="1" x14ac:dyDescent="0.2">
      <c r="A2567" s="343"/>
      <c r="B2567" s="344"/>
      <c r="C2567" s="345"/>
      <c r="D2567" s="346"/>
      <c r="E2567" s="346"/>
      <c r="F2567" s="268"/>
      <c r="G2567" s="269"/>
      <c r="H2567" s="269"/>
      <c r="I2567" s="270"/>
      <c r="J2567" s="434"/>
      <c r="K2567" s="270"/>
      <c r="L2567" s="270"/>
      <c r="M2567" s="348"/>
      <c r="N2567" s="348"/>
      <c r="O2567" s="435"/>
      <c r="P2567" s="349"/>
      <c r="Q2567" s="350"/>
      <c r="R2567" s="271"/>
      <c r="S2567" s="272"/>
      <c r="T2567" s="273"/>
      <c r="U2567" s="351"/>
      <c r="V2567" s="274"/>
      <c r="W2567" s="269"/>
      <c r="X2567" s="269"/>
      <c r="Y2567" s="275"/>
      <c r="Z2567" s="269"/>
      <c r="AA2567" s="350"/>
      <c r="AB2567" s="207"/>
      <c r="AC2567" s="352"/>
      <c r="AD2567" s="353"/>
      <c r="AE2567" s="54"/>
      <c r="AF2567" s="354"/>
      <c r="AG2567" s="355"/>
      <c r="AH2567" s="349"/>
      <c r="AI2567" s="30"/>
      <c r="AJ2567" s="30"/>
      <c r="AK2567" s="30"/>
      <c r="AL2567" s="30"/>
      <c r="AM2567" s="13"/>
      <c r="AN2567" s="13"/>
      <c r="AO2567" s="13"/>
      <c r="AP2567" s="13"/>
      <c r="AQ2567" s="13"/>
      <c r="AR2567" s="14"/>
      <c r="AS2567" s="15"/>
    </row>
    <row r="2568" spans="1:45" s="17" customFormat="1" ht="30.95" hidden="1" customHeight="1" x14ac:dyDescent="0.2">
      <c r="A2568" s="343" t="s">
        <v>3201</v>
      </c>
      <c r="B2568" s="344" t="s">
        <v>3202</v>
      </c>
      <c r="C2568" s="345"/>
      <c r="D2568" s="346"/>
      <c r="E2568" s="346"/>
      <c r="F2568" s="268"/>
      <c r="G2568" s="269"/>
      <c r="H2568" s="269"/>
      <c r="I2568" s="270"/>
      <c r="J2568" s="434" t="s">
        <v>448</v>
      </c>
      <c r="K2568" s="270"/>
      <c r="L2568" s="270"/>
      <c r="M2568" s="348"/>
      <c r="N2568" s="348"/>
      <c r="O2568" s="435"/>
      <c r="P2568" s="349"/>
      <c r="Q2568" s="350"/>
      <c r="R2568" s="271"/>
      <c r="S2568" s="272"/>
      <c r="T2568" s="273"/>
      <c r="U2568" s="351"/>
      <c r="V2568" s="274"/>
      <c r="W2568" s="269"/>
      <c r="X2568" s="269"/>
      <c r="Y2568" s="275"/>
      <c r="Z2568" s="269"/>
      <c r="AA2568" s="350"/>
      <c r="AB2568" s="207"/>
      <c r="AC2568" s="352"/>
      <c r="AD2568" s="353"/>
      <c r="AE2568" s="54"/>
      <c r="AF2568" s="354"/>
      <c r="AG2568" s="355"/>
      <c r="AH2568" s="349"/>
      <c r="AI2568" s="30"/>
      <c r="AJ2568" s="30"/>
      <c r="AK2568" s="30"/>
      <c r="AL2568" s="30"/>
      <c r="AM2568" s="13"/>
      <c r="AN2568" s="13"/>
      <c r="AO2568" s="13"/>
      <c r="AP2568" s="13"/>
      <c r="AQ2568" s="13"/>
      <c r="AR2568" s="14"/>
      <c r="AS2568" s="15"/>
    </row>
    <row r="2569" spans="1:45" s="17" customFormat="1" ht="30.95" hidden="1" customHeight="1" x14ac:dyDescent="0.2">
      <c r="A2569" s="343"/>
      <c r="B2569" s="344"/>
      <c r="C2569" s="345"/>
      <c r="D2569" s="346"/>
      <c r="E2569" s="346"/>
      <c r="F2569" s="268"/>
      <c r="G2569" s="269"/>
      <c r="H2569" s="269"/>
      <c r="I2569" s="270"/>
      <c r="J2569" s="434"/>
      <c r="K2569" s="270"/>
      <c r="L2569" s="270"/>
      <c r="M2569" s="348"/>
      <c r="N2569" s="348"/>
      <c r="O2569" s="435"/>
      <c r="P2569" s="349"/>
      <c r="Q2569" s="350"/>
      <c r="R2569" s="271"/>
      <c r="S2569" s="272"/>
      <c r="T2569" s="273"/>
      <c r="U2569" s="351"/>
      <c r="V2569" s="274"/>
      <c r="W2569" s="269"/>
      <c r="X2569" s="269"/>
      <c r="Y2569" s="275"/>
      <c r="Z2569" s="269"/>
      <c r="AA2569" s="350"/>
      <c r="AB2569" s="207"/>
      <c r="AC2569" s="352"/>
      <c r="AD2569" s="353"/>
      <c r="AE2569" s="54"/>
      <c r="AF2569" s="354"/>
      <c r="AG2569" s="355"/>
      <c r="AH2569" s="349"/>
      <c r="AI2569" s="30"/>
      <c r="AJ2569" s="30"/>
      <c r="AK2569" s="30"/>
      <c r="AL2569" s="30"/>
      <c r="AM2569" s="13"/>
      <c r="AN2569" s="13"/>
      <c r="AO2569" s="13"/>
      <c r="AP2569" s="13"/>
      <c r="AQ2569" s="13"/>
      <c r="AR2569" s="14"/>
      <c r="AS2569" s="15"/>
    </row>
    <row r="2570" spans="1:45" s="17" customFormat="1" ht="30.6" hidden="1" customHeight="1" x14ac:dyDescent="0.2">
      <c r="A2570" s="343" t="s">
        <v>590</v>
      </c>
      <c r="B2570" s="344" t="s">
        <v>462</v>
      </c>
      <c r="C2570" s="45"/>
      <c r="D2570" s="31">
        <v>3778929</v>
      </c>
      <c r="E2570" s="31">
        <v>4162567</v>
      </c>
      <c r="F2570" s="268" t="str">
        <f>IF(D2570="","",VLOOKUP(D2570,契約台帳!$A$3:$K$4986,6,FALSE)&amp;VLOOKUP(D2570,契約台帳!$A$3:$K$4986,7,FALSE)&amp;VLOOKUP(D2570,契約台帳!$A$3:$K$4986,8,FALSE)&amp;VLOOKUP(D2570,契約台帳!$A$3:$K$4986,9,FALSE)&amp;VLOOKUP(D2570,契約台帳!$A$3:$K$4986,11,FALSE))</f>
        <v>3SNMLBMNGKBF</v>
      </c>
      <c r="G2570" s="269" t="str">
        <f>IF(D2570="","",VLOOKUP(F2570,製品マスタ!$G$5:$H$5002,2,FALSE))</f>
        <v>S</v>
      </c>
      <c r="H2570" s="269" t="str">
        <f>IF(D2570="","",VLOOKUP(F2570,製品マスタ!$G$5:$K$5002,5,FALSE))</f>
        <v>MNGKBF</v>
      </c>
      <c r="I2570" s="270" t="str">
        <f>IF(D2570="","",VLOOKUP(F2570,製品マスタ!$G$5:$L$5002,6,FALSE))</f>
        <v>メタルミー　ネーマー銀消　Ｂ</v>
      </c>
      <c r="J2570" s="210" t="s">
        <v>935</v>
      </c>
      <c r="K2570" s="270">
        <f>IF(D2570="","",VLOOKUP(D2570,契約台帳!$A$3:$L$4986,12,FALSE))</f>
        <v>50</v>
      </c>
      <c r="L2570" s="270" t="str">
        <f>IF(D2570="","",INDEX(製品マスタ!$Q$5:$Q$5002,MATCH('S4'!F2570&amp;'S4'!K2570,製品マスタ!$AO$5:$AO$5002,0)))</f>
        <v>MAT</v>
      </c>
      <c r="M2570" s="39">
        <v>1050</v>
      </c>
      <c r="N2570" s="39">
        <v>4100</v>
      </c>
      <c r="O2570" s="156">
        <v>3</v>
      </c>
      <c r="P2570" s="47">
        <v>3</v>
      </c>
      <c r="Q2570" s="213">
        <v>45569</v>
      </c>
      <c r="R2570" s="271">
        <f ca="1">IF(D2570="","",IF(OFFSET(D2570,-1,0)&lt;&gt;"","",IF(OR(J2570="リード付け",J2570="巻足し",J2570="巻返しリード付け"),M2570,VLOOKUP(D2570,契約台帳!$A$3:$N$4986,14,FALSE))))</f>
        <v>1050</v>
      </c>
      <c r="S2570" s="272">
        <f ca="1">IF(D2570="","",IF(OFFSET(D2570,-1,0)&lt;&gt;"","",IF(OR(J2570="リード付け",J2570="巻足し",J2570="巻返しリード付け"),M2570,VLOOKUP(D2570,契約台帳!$A$3:$O$4986,15,FALSE))))</f>
        <v>1050</v>
      </c>
      <c r="T2570" s="273">
        <f ca="1">IF(D2570="","",IF(J2570="リード付け",N2570,IF(J2570="巻返しリード付け",N2570,IF(J2570="巻足し",N2570*P2570+OFFSET(N2570,1,0)*OFFSET(P2570,1,0),VLOOKUP(D2570,契約台帳!$A$3:$P$4986,16,FALSE)))))</f>
        <v>12300</v>
      </c>
      <c r="U2570" s="40">
        <v>1</v>
      </c>
      <c r="V2570" s="274">
        <f ca="1">IF(D2570="","",IF(OFFSET(D2570,-2,0)=D2570,"",VLOOKUP(D2570,契約台帳!$A$3:$R$4986,18,FALSE)))</f>
        <v>3</v>
      </c>
      <c r="W2570" s="269" t="str">
        <f ca="1">IF(D2570="","",IF(T2570="","",IF(OR(J2570="巻足し",J2570="巻返しリード付け"),"",IF(J2570="巻返し",VLOOKUP(F2570&amp;K2570&amp;M2570,製品マスタ!$M$5:$AD$5002,18,FALSE),IF(OR(J2570="リード付け",J2570="巻返しリード付け"),"原反コア",IF(J2570="スリット",VLOOKUP(F2570&amp;K2570&amp;R2570,製品マスタ!$N$5:$AD$5002,17,FALSE),""))))))</f>
        <v/>
      </c>
      <c r="X2570" s="269" t="str">
        <f ca="1">IF(D2570="","",IF(T2570="","",IF(J2570="巻足し","",IF(J2570="巻返し",VLOOKUP(F2570&amp;K2570&amp;M2570,製品マスタ!$M$5:$AE$5002,19,FALSE),IF(OR(J2570="リード付け",J2570="巻返しリード付け"),"",IF(J2570="スリット",VLOOKUP(F2570&amp;K2570&amp;R2570,製品マスタ!$N$5:$AE$5002,18,FALSE),""))))))</f>
        <v/>
      </c>
      <c r="Y2570" s="275">
        <f ca="1">IF(D2570="","",IF(T2570="","",VLOOKUP(D2570,契約台帳!$A$3:$Q$4986,17,FALSE)))</f>
        <v>2</v>
      </c>
      <c r="Z2570" s="269" t="str">
        <f ca="1">IF(D2570="","",IF(T2570="","",VLOOKUP(D2570,契約台帳!$A$3:$E$4986,5,FALSE)))</f>
        <v>リンテック㈱</v>
      </c>
      <c r="AA2570" s="57"/>
      <c r="AB2570" s="207">
        <f>IFERROR((VLOOKUP(F2570&amp;K2570&amp;M2570,製品マスタ!$M$5:$AM$5002,27,FALSE)),"")</f>
        <v>0</v>
      </c>
      <c r="AC2570" s="33"/>
      <c r="AD2570" s="189"/>
      <c r="AE2570" s="54"/>
      <c r="AF2570" s="55">
        <f>+M2570*N2570*O2570/1000</f>
        <v>12915</v>
      </c>
      <c r="AG2570" s="43"/>
      <c r="AH2570" s="47"/>
      <c r="AI2570" s="30"/>
      <c r="AJ2570" s="30"/>
      <c r="AK2570" s="30"/>
      <c r="AL2570" s="30"/>
      <c r="AM2570" s="13"/>
      <c r="AN2570" s="13"/>
      <c r="AO2570" s="13"/>
      <c r="AP2570" s="13"/>
      <c r="AQ2570" s="13"/>
      <c r="AR2570" s="14"/>
      <c r="AS2570" s="15"/>
    </row>
    <row r="2571" spans="1:45" s="17" customFormat="1" ht="30.95" hidden="1" customHeight="1" x14ac:dyDescent="0.2">
      <c r="A2571" s="343"/>
      <c r="B2571" s="344"/>
      <c r="C2571" s="345"/>
      <c r="D2571" s="346"/>
      <c r="E2571" s="346"/>
      <c r="F2571" s="268"/>
      <c r="G2571" s="269"/>
      <c r="H2571" s="269"/>
      <c r="I2571" s="270"/>
      <c r="J2571" s="434"/>
      <c r="K2571" s="270"/>
      <c r="L2571" s="270"/>
      <c r="M2571" s="348"/>
      <c r="N2571" s="348"/>
      <c r="O2571" s="435"/>
      <c r="P2571" s="349"/>
      <c r="Q2571" s="350"/>
      <c r="R2571" s="271"/>
      <c r="S2571" s="272"/>
      <c r="T2571" s="273"/>
      <c r="U2571" s="351"/>
      <c r="V2571" s="274"/>
      <c r="W2571" s="269"/>
      <c r="X2571" s="269"/>
      <c r="Y2571" s="275"/>
      <c r="Z2571" s="269"/>
      <c r="AA2571" s="350"/>
      <c r="AB2571" s="207"/>
      <c r="AC2571" s="352"/>
      <c r="AD2571" s="353"/>
      <c r="AE2571" s="54"/>
      <c r="AF2571" s="354"/>
      <c r="AG2571" s="355"/>
      <c r="AH2571" s="349"/>
      <c r="AI2571" s="30"/>
      <c r="AJ2571" s="30"/>
      <c r="AK2571" s="30"/>
      <c r="AL2571" s="30"/>
      <c r="AM2571" s="13"/>
      <c r="AN2571" s="13"/>
      <c r="AO2571" s="13"/>
      <c r="AP2571" s="13"/>
      <c r="AQ2571" s="13"/>
      <c r="AR2571" s="14"/>
      <c r="AS2571" s="15"/>
    </row>
    <row r="2572" spans="1:45" s="17" customFormat="1" ht="30.6" hidden="1" customHeight="1" x14ac:dyDescent="0.2">
      <c r="A2572" s="343"/>
      <c r="B2572" s="344"/>
      <c r="C2572" s="45"/>
      <c r="D2572" s="31">
        <v>3778937</v>
      </c>
      <c r="E2572" s="31">
        <v>4162587</v>
      </c>
      <c r="F2572" s="268" t="str">
        <f>IF(D2572="","",VLOOKUP(D2572,契約台帳!$A$3:$K$4986,6,FALSE)&amp;VLOOKUP(D2572,契約台帳!$A$3:$K$4986,7,FALSE)&amp;VLOOKUP(D2572,契約台帳!$A$3:$K$4986,8,FALSE)&amp;VLOOKUP(D2572,契約台帳!$A$3:$K$4986,9,FALSE)&amp;VLOOKUP(D2572,契約台帳!$A$3:$K$4986,11,FALSE))</f>
        <v>3SNMCLBNGTVB</v>
      </c>
      <c r="G2572" s="269" t="str">
        <f>IF(D2572="","",VLOOKUP(F2572,製品マスタ!$G$5:$H$5002,2,FALSE))</f>
        <v>S</v>
      </c>
      <c r="H2572" s="269" t="str">
        <f>IF(D2572="","",VLOOKUP(F2572,製品マスタ!$G$5:$K$5002,5,FALSE))</f>
        <v>NGTVB</v>
      </c>
      <c r="I2572" s="270" t="str">
        <f>IF(D2572="","",VLOOKUP(F2572,製品マスタ!$G$5:$L$5002,6,FALSE))</f>
        <v>メタルミー　ネーマー　銀艶ＶＢ</v>
      </c>
      <c r="J2572" s="210" t="s">
        <v>574</v>
      </c>
      <c r="K2572" s="270">
        <f>IF(D2572="","",VLOOKUP(D2572,契約台帳!$A$3:$L$4986,12,FALSE))</f>
        <v>50</v>
      </c>
      <c r="L2572" s="270" t="str">
        <f>IF(D2572="","",INDEX(製品マスタ!$Q$5:$Q$5002,MATCH('S4'!F2572&amp;'S4'!K2572,製品マスタ!$AO$5:$AO$5002,0)))</f>
        <v>T62M</v>
      </c>
      <c r="M2572" s="39">
        <v>1040</v>
      </c>
      <c r="N2572" s="39">
        <v>6000</v>
      </c>
      <c r="O2572" s="156">
        <v>1</v>
      </c>
      <c r="P2572" s="47">
        <v>1</v>
      </c>
      <c r="Q2572" s="213">
        <v>45569</v>
      </c>
      <c r="R2572" s="271">
        <f ca="1">IF(D2572="","",IF(OFFSET(D2572,-1,0)&lt;&gt;"","",IF(OR(J2572="リード付け",J2572="巻足し",J2572="巻返しリード付け"),M2572,VLOOKUP(D2572,契約台帳!$A$3:$N$4986,14,FALSE))))</f>
        <v>1040</v>
      </c>
      <c r="S2572" s="272">
        <f ca="1">IF(D2572="","",IF(OFFSET(D2572,-1,0)&lt;&gt;"","",IF(OR(J2572="リード付け",J2572="巻足し",J2572="巻返しリード付け"),M2572,VLOOKUP(D2572,契約台帳!$A$3:$O$4986,15,FALSE))))</f>
        <v>1040</v>
      </c>
      <c r="T2572" s="273">
        <f ca="1">IF(D2572="","",IF(J2572="リード付け",N2572,IF(J2572="巻返しリード付け",N2572,IF(J2572="巻足し",N2572*P2572+OFFSET(N2572,1,0)*OFFSET(P2572,1,0),VLOOKUP(D2572,契約台帳!$A$3:$P$4986,16,FALSE)))))</f>
        <v>6000</v>
      </c>
      <c r="U2572" s="40">
        <v>1</v>
      </c>
      <c r="V2572" s="274">
        <f ca="1">IF(D2572="","",IF(OFFSET(D2572,-2,0)=D2572,"",VLOOKUP(D2572,契約台帳!$A$3:$R$4986,18,FALSE)))</f>
        <v>2</v>
      </c>
      <c r="W2572" s="269" t="str">
        <f ca="1">IF(D2572="","",IF(T2572="","",IF(OR(J2572="巻足し",J2572="巻返しリード付け"),"",IF(J2572="巻返し",VLOOKUP(F2572&amp;K2572&amp;M2572,製品マスタ!$M$5:$AD$5002,18,FALSE),IF(OR(J2572="リード付け",J2572="巻返しリード付け"),"原反コア",IF(J2572="スリット",VLOOKUP(F2572&amp;K2572&amp;R2572,製品マスタ!$N$5:$AD$5002,17,FALSE),""))))))</f>
        <v/>
      </c>
      <c r="X2572" s="269" t="str">
        <f ca="1">IF(D2572="","",IF(T2572="","",IF(J2572="巻足し","",IF(J2572="巻返し",VLOOKUP(F2572&amp;K2572&amp;M2572,製品マスタ!$M$5:$AE$5002,19,FALSE),IF(OR(J2572="リード付け",J2572="巻返しリード付け"),"",IF(J2572="スリット",VLOOKUP(F2572&amp;K2572&amp;R2572,製品マスタ!$N$5:$AE$5002,18,FALSE),""))))))</f>
        <v/>
      </c>
      <c r="Y2572" s="275">
        <f ca="1">IF(D2572="","",IF(T2572="","",VLOOKUP(D2572,契約台帳!$A$3:$Q$4986,17,FALSE)))</f>
        <v>2</v>
      </c>
      <c r="Z2572" s="269" t="str">
        <f ca="1">IF(D2572="","",IF(T2572="","",VLOOKUP(D2572,契約台帳!$A$3:$E$4986,5,FALSE)))</f>
        <v>リンテック㈱</v>
      </c>
      <c r="AA2572" s="57"/>
      <c r="AB2572" s="207">
        <f>IFERROR((VLOOKUP(F2572&amp;K2572&amp;M2572,製品マスタ!$M$5:$AM$5002,27,FALSE)),"")</f>
        <v>0</v>
      </c>
      <c r="AC2572" s="33"/>
      <c r="AD2572" s="189"/>
      <c r="AE2572" s="54"/>
      <c r="AF2572" s="55">
        <f>+M2572*N2572*O2572/1000</f>
        <v>6240</v>
      </c>
      <c r="AG2572" s="43"/>
      <c r="AH2572" s="47"/>
      <c r="AI2572" s="30"/>
      <c r="AJ2572" s="30"/>
      <c r="AK2572" s="30"/>
      <c r="AL2572" s="30"/>
      <c r="AM2572" s="13"/>
      <c r="AN2572" s="13"/>
      <c r="AO2572" s="13"/>
      <c r="AP2572" s="13"/>
      <c r="AQ2572" s="13"/>
      <c r="AR2572" s="14"/>
      <c r="AS2572" s="15"/>
    </row>
    <row r="2573" spans="1:45" s="17" customFormat="1" ht="30.95" hidden="1" customHeight="1" x14ac:dyDescent="0.2">
      <c r="A2573" s="343"/>
      <c r="B2573" s="344"/>
      <c r="C2573" s="345"/>
      <c r="D2573" s="346"/>
      <c r="E2573" s="346"/>
      <c r="F2573" s="268"/>
      <c r="G2573" s="269"/>
      <c r="H2573" s="269"/>
      <c r="I2573" s="270"/>
      <c r="J2573" s="434"/>
      <c r="K2573" s="270"/>
      <c r="L2573" s="270"/>
      <c r="M2573" s="348"/>
      <c r="N2573" s="348"/>
      <c r="O2573" s="435"/>
      <c r="P2573" s="349"/>
      <c r="Q2573" s="350"/>
      <c r="R2573" s="271"/>
      <c r="S2573" s="272"/>
      <c r="T2573" s="273"/>
      <c r="U2573" s="351"/>
      <c r="V2573" s="274"/>
      <c r="W2573" s="269"/>
      <c r="X2573" s="269"/>
      <c r="Y2573" s="275"/>
      <c r="Z2573" s="269"/>
      <c r="AA2573" s="350"/>
      <c r="AB2573" s="207"/>
      <c r="AC2573" s="352"/>
      <c r="AD2573" s="353"/>
      <c r="AE2573" s="54"/>
      <c r="AF2573" s="354"/>
      <c r="AG2573" s="355"/>
      <c r="AH2573" s="349"/>
      <c r="AI2573" s="30"/>
      <c r="AJ2573" s="30"/>
      <c r="AK2573" s="30"/>
      <c r="AL2573" s="30"/>
      <c r="AM2573" s="13"/>
      <c r="AN2573" s="13"/>
      <c r="AO2573" s="13"/>
      <c r="AP2573" s="13"/>
      <c r="AQ2573" s="13"/>
      <c r="AR2573" s="14"/>
      <c r="AS2573" s="15"/>
    </row>
    <row r="2574" spans="1:45" s="17" customFormat="1" ht="30.6" hidden="1" customHeight="1" x14ac:dyDescent="0.2">
      <c r="A2574" s="343"/>
      <c r="B2574" s="344"/>
      <c r="C2574" s="45"/>
      <c r="D2574" s="31">
        <v>3778945</v>
      </c>
      <c r="E2574" s="31">
        <v>4162607</v>
      </c>
      <c r="F2574" s="268" t="str">
        <f>IF(D2574="","",VLOOKUP(D2574,契約台帳!$A$3:$K$4986,6,FALSE)&amp;VLOOKUP(D2574,契約台帳!$A$3:$K$4986,7,FALSE)&amp;VLOOKUP(D2574,契約台帳!$A$3:$K$4986,8,FALSE)&amp;VLOOKUP(D2574,契約台帳!$A$3:$K$4986,9,FALSE)&amp;VLOOKUP(D2574,契約台帳!$A$3:$K$4986,11,FALSE))</f>
        <v>3TNMCLBHLGTV</v>
      </c>
      <c r="G2574" s="269" t="str">
        <f>IF(D2574="","",VLOOKUP(F2574,製品マスタ!$G$5:$H$5002,2,FALSE))</f>
        <v>T</v>
      </c>
      <c r="H2574" s="269" t="str">
        <f>IF(D2574="","",VLOOKUP(F2574,製品マスタ!$G$5:$K$5002,5,FALSE))</f>
        <v>HLGTV</v>
      </c>
      <c r="I2574" s="270" t="str">
        <f>IF(D2574="","",VLOOKUP(F2574,製品マスタ!$G$5:$L$5002,6,FALSE))</f>
        <v>メタルミー　ヘヤライン　銀艶Ｖ</v>
      </c>
      <c r="J2574" s="210" t="s">
        <v>935</v>
      </c>
      <c r="K2574" s="270">
        <f>IF(D2574="","",VLOOKUP(D2574,契約台帳!$A$3:$L$4986,12,FALSE))</f>
        <v>50</v>
      </c>
      <c r="L2574" s="270" t="str">
        <f>IF(D2574="","",INDEX(製品マスタ!$Q$5:$Q$5002,MATCH('S4'!F2574&amp;'S4'!K2574,製品マスタ!$AO$5:$AO$5002,0)))</f>
        <v>BRIGHT</v>
      </c>
      <c r="M2574" s="39">
        <v>1005</v>
      </c>
      <c r="N2574" s="39">
        <v>4100</v>
      </c>
      <c r="O2574" s="156">
        <v>3</v>
      </c>
      <c r="P2574" s="47">
        <v>3</v>
      </c>
      <c r="Q2574" s="213">
        <v>45569</v>
      </c>
      <c r="R2574" s="271">
        <f ca="1">IF(D2574="","",IF(OFFSET(D2574,-1,0)&lt;&gt;"","",IF(OR(J2574="リード付け",J2574="巻足し",J2574="巻返しリード付け"),M2574,VLOOKUP(D2574,契約台帳!$A$3:$N$4986,14,FALSE))))</f>
        <v>1005</v>
      </c>
      <c r="S2574" s="272">
        <f ca="1">IF(D2574="","",IF(OFFSET(D2574,-1,0)&lt;&gt;"","",IF(OR(J2574="リード付け",J2574="巻足し",J2574="巻返しリード付け"),M2574,VLOOKUP(D2574,契約台帳!$A$3:$O$4986,15,FALSE))))</f>
        <v>1005</v>
      </c>
      <c r="T2574" s="273">
        <f ca="1">IF(D2574="","",IF(J2574="リード付け",N2574,IF(J2574="巻返しリード付け",N2574,IF(J2574="巻足し",N2574*P2574+OFFSET(N2574,1,0)*OFFSET(P2574,1,0),VLOOKUP(D2574,契約台帳!$A$3:$P$4986,16,FALSE)))))</f>
        <v>12300</v>
      </c>
      <c r="U2574" s="40">
        <v>1</v>
      </c>
      <c r="V2574" s="274">
        <f ca="1">IF(D2574="","",IF(OFFSET(D2574,-2,0)=D2574,"",VLOOKUP(D2574,契約台帳!$A$3:$R$4986,18,FALSE)))</f>
        <v>3</v>
      </c>
      <c r="W2574" s="269" t="str">
        <f ca="1">IF(D2574="","",IF(T2574="","",IF(OR(J2574="巻足し",J2574="巻返しリード付け"),"",IF(J2574="巻返し",VLOOKUP(F2574&amp;K2574&amp;M2574,製品マスタ!$M$5:$AD$5002,18,FALSE),IF(OR(J2574="リード付け",J2574="巻返しリード付け"),"原反コア",IF(J2574="スリット",VLOOKUP(F2574&amp;K2574&amp;R2574,製品マスタ!$N$5:$AD$5002,17,FALSE),""))))))</f>
        <v/>
      </c>
      <c r="X2574" s="269" t="str">
        <f ca="1">IF(D2574="","",IF(T2574="","",IF(J2574="巻足し","",IF(J2574="巻返し",VLOOKUP(F2574&amp;K2574&amp;M2574,製品マスタ!$M$5:$AE$5002,19,FALSE),IF(OR(J2574="リード付け",J2574="巻返しリード付け"),"",IF(J2574="スリット",VLOOKUP(F2574&amp;K2574&amp;R2574,製品マスタ!$N$5:$AE$5002,18,FALSE),""))))))</f>
        <v/>
      </c>
      <c r="Y2574" s="275">
        <f ca="1">IF(D2574="","",IF(T2574="","",VLOOKUP(D2574,契約台帳!$A$3:$Q$4986,17,FALSE)))</f>
        <v>2</v>
      </c>
      <c r="Z2574" s="269" t="str">
        <f ca="1">IF(D2574="","",IF(T2574="","",VLOOKUP(D2574,契約台帳!$A$3:$E$4986,5,FALSE)))</f>
        <v>リンテック㈱</v>
      </c>
      <c r="AA2574" s="57"/>
      <c r="AB2574" s="207" t="s">
        <v>3325</v>
      </c>
      <c r="AC2574" s="33"/>
      <c r="AD2574" s="189"/>
      <c r="AE2574" s="54"/>
      <c r="AF2574" s="55">
        <f>+M2574*N2574*O2574/1000</f>
        <v>12361.5</v>
      </c>
      <c r="AG2574" s="43"/>
      <c r="AH2574" s="47"/>
      <c r="AI2574" s="30"/>
      <c r="AJ2574" s="30"/>
      <c r="AK2574" s="30"/>
      <c r="AL2574" s="30"/>
      <c r="AM2574" s="13"/>
      <c r="AN2574" s="13"/>
      <c r="AO2574" s="13"/>
      <c r="AP2574" s="13"/>
      <c r="AQ2574" s="13"/>
      <c r="AR2574" s="14"/>
      <c r="AS2574" s="15"/>
    </row>
    <row r="2575" spans="1:45" s="17" customFormat="1" ht="30.95" hidden="1" customHeight="1" x14ac:dyDescent="0.2">
      <c r="A2575" s="343"/>
      <c r="B2575" s="344"/>
      <c r="C2575" s="345"/>
      <c r="D2575" s="346"/>
      <c r="E2575" s="346"/>
      <c r="F2575" s="268"/>
      <c r="G2575" s="269"/>
      <c r="H2575" s="269"/>
      <c r="I2575" s="270"/>
      <c r="J2575" s="434"/>
      <c r="K2575" s="270"/>
      <c r="L2575" s="270"/>
      <c r="M2575" s="348"/>
      <c r="N2575" s="348"/>
      <c r="O2575" s="435"/>
      <c r="P2575" s="349"/>
      <c r="Q2575" s="350"/>
      <c r="R2575" s="271"/>
      <c r="S2575" s="272"/>
      <c r="T2575" s="273"/>
      <c r="U2575" s="351"/>
      <c r="V2575" s="274"/>
      <c r="W2575" s="269"/>
      <c r="X2575" s="269"/>
      <c r="Y2575" s="275"/>
      <c r="Z2575" s="269"/>
      <c r="AA2575" s="350"/>
      <c r="AB2575" s="207"/>
      <c r="AC2575" s="352"/>
      <c r="AD2575" s="353"/>
      <c r="AE2575" s="54"/>
      <c r="AF2575" s="354"/>
      <c r="AG2575" s="355"/>
      <c r="AH2575" s="349"/>
      <c r="AI2575" s="30"/>
      <c r="AJ2575" s="30"/>
      <c r="AK2575" s="30"/>
      <c r="AL2575" s="30"/>
      <c r="AM2575" s="13"/>
      <c r="AN2575" s="13"/>
      <c r="AO2575" s="13"/>
      <c r="AP2575" s="13"/>
      <c r="AQ2575" s="13"/>
      <c r="AR2575" s="14"/>
      <c r="AS2575" s="15"/>
    </row>
    <row r="2576" spans="1:45" s="17" customFormat="1" ht="30.6" hidden="1" customHeight="1" x14ac:dyDescent="0.2">
      <c r="A2576" s="343"/>
      <c r="B2576" s="344"/>
      <c r="C2576" s="45"/>
      <c r="D2576" s="31">
        <v>3778928</v>
      </c>
      <c r="E2576" s="31">
        <v>4162566</v>
      </c>
      <c r="F2576" s="268" t="str">
        <f>IF(D2576="","",VLOOKUP(D2576,契約台帳!$A$3:$K$4986,6,FALSE)&amp;VLOOKUP(D2576,契約台帳!$A$3:$K$4986,7,FALSE)&amp;VLOOKUP(D2576,契約台帳!$A$3:$K$4986,8,FALSE)&amp;VLOOKUP(D2576,契約台帳!$A$3:$K$4986,9,FALSE)&amp;VLOOKUP(D2576,契約台帳!$A$3:$K$4986,11,FALSE))</f>
        <v>3SNMLBMNGKBF</v>
      </c>
      <c r="G2576" s="269" t="str">
        <f>IF(D2576="","",VLOOKUP(F2576,製品マスタ!$G$5:$H$5002,2,FALSE))</f>
        <v>S</v>
      </c>
      <c r="H2576" s="269" t="str">
        <f>IF(D2576="","",VLOOKUP(F2576,製品マスタ!$G$5:$K$5002,5,FALSE))</f>
        <v>MNGKBF</v>
      </c>
      <c r="I2576" s="270" t="str">
        <f>IF(D2576="","",VLOOKUP(F2576,製品マスタ!$G$5:$L$5002,6,FALSE))</f>
        <v>メタルミー　ネーマー銀消　Ｂ</v>
      </c>
      <c r="J2576" s="210" t="s">
        <v>935</v>
      </c>
      <c r="K2576" s="270">
        <f>IF(D2576="","",VLOOKUP(D2576,契約台帳!$A$3:$L$4986,12,FALSE))</f>
        <v>38</v>
      </c>
      <c r="L2576" s="270" t="str">
        <f>IF(D2576="","",INDEX(製品マスタ!$Q$5:$Q$5002,MATCH('S4'!F2576&amp;'S4'!K2576,製品マスタ!$AO$5:$AO$5002,0)))</f>
        <v>LUMIMAT</v>
      </c>
      <c r="M2576" s="39">
        <v>1005</v>
      </c>
      <c r="N2576" s="39">
        <v>4100</v>
      </c>
      <c r="O2576" s="156">
        <v>2</v>
      </c>
      <c r="P2576" s="47">
        <v>2</v>
      </c>
      <c r="Q2576" s="213">
        <v>45569</v>
      </c>
      <c r="R2576" s="271">
        <f ca="1">IF(D2576="","",IF(OFFSET(D2576,-1,0)&lt;&gt;"","",IF(OR(J2576="リード付け",J2576="巻足し",J2576="巻返しリード付け"),M2576,VLOOKUP(D2576,契約台帳!$A$3:$N$4986,14,FALSE))))</f>
        <v>1005</v>
      </c>
      <c r="S2576" s="272">
        <f ca="1">IF(D2576="","",IF(OFFSET(D2576,-1,0)&lt;&gt;"","",IF(OR(J2576="リード付け",J2576="巻足し",J2576="巻返しリード付け"),M2576,VLOOKUP(D2576,契約台帳!$A$3:$O$4986,15,FALSE))))</f>
        <v>1005</v>
      </c>
      <c r="T2576" s="273">
        <f ca="1">IF(D2576="","",IF(J2576="リード付け",N2576,IF(J2576="巻返しリード付け",N2576,IF(J2576="巻足し",N2576*P2576+OFFSET(N2576,1,0)*OFFSET(P2576,1,0),VLOOKUP(D2576,契約台帳!$A$3:$P$4986,16,FALSE)))))</f>
        <v>8200</v>
      </c>
      <c r="U2576" s="40">
        <v>1</v>
      </c>
      <c r="V2576" s="274">
        <f ca="1">IF(D2576="","",IF(OFFSET(D2576,-2,0)=D2576,"",VLOOKUP(D2576,契約台帳!$A$3:$R$4986,18,FALSE)))</f>
        <v>2</v>
      </c>
      <c r="W2576" s="269" t="str">
        <f ca="1">IF(D2576="","",IF(T2576="","",IF(OR(J2576="巻足し",J2576="巻返しリード付け"),"",IF(J2576="巻返し",VLOOKUP(F2576&amp;K2576&amp;M2576,製品マスタ!$M$5:$AD$5002,18,FALSE),IF(OR(J2576="リード付け",J2576="巻返しリード付け"),"原反コア",IF(J2576="スリット",VLOOKUP(F2576&amp;K2576&amp;R2576,製品マスタ!$N$5:$AD$5002,17,FALSE),""))))))</f>
        <v/>
      </c>
      <c r="X2576" s="269" t="str">
        <f ca="1">IF(D2576="","",IF(T2576="","",IF(J2576="巻足し","",IF(J2576="巻返し",VLOOKUP(F2576&amp;K2576&amp;M2576,製品マスタ!$M$5:$AE$5002,19,FALSE),IF(OR(J2576="リード付け",J2576="巻返しリード付け"),"",IF(J2576="スリット",VLOOKUP(F2576&amp;K2576&amp;R2576,製品マスタ!$N$5:$AE$5002,18,FALSE),""))))))</f>
        <v/>
      </c>
      <c r="Y2576" s="275">
        <f ca="1">IF(D2576="","",IF(T2576="","",VLOOKUP(D2576,契約台帳!$A$3:$Q$4986,17,FALSE)))</f>
        <v>2</v>
      </c>
      <c r="Z2576" s="269" t="str">
        <f ca="1">IF(D2576="","",IF(T2576="","",VLOOKUP(D2576,契約台帳!$A$3:$E$4986,5,FALSE)))</f>
        <v>リンテック㈱</v>
      </c>
      <c r="AA2576" s="57"/>
      <c r="AB2576" s="207">
        <f>IFERROR((VLOOKUP(F2576&amp;K2576&amp;M2576,製品マスタ!$M$5:$AM$5002,27,FALSE)),"")</f>
        <v>0</v>
      </c>
      <c r="AC2576" s="33"/>
      <c r="AD2576" s="189"/>
      <c r="AE2576" s="54"/>
      <c r="AF2576" s="55">
        <f>+M2576*N2576*O2576/1000</f>
        <v>8241</v>
      </c>
      <c r="AG2576" s="43"/>
      <c r="AH2576" s="47"/>
      <c r="AI2576" s="30"/>
      <c r="AJ2576" s="30"/>
      <c r="AK2576" s="30"/>
      <c r="AL2576" s="30"/>
      <c r="AM2576" s="13"/>
      <c r="AN2576" s="13"/>
      <c r="AO2576" s="13"/>
      <c r="AP2576" s="13"/>
      <c r="AQ2576" s="13"/>
      <c r="AR2576" s="14"/>
      <c r="AS2576" s="15"/>
    </row>
    <row r="2577" spans="1:45" s="17" customFormat="1" ht="30.95" hidden="1" customHeight="1" x14ac:dyDescent="0.2">
      <c r="A2577" s="343"/>
      <c r="B2577" s="344"/>
      <c r="C2577" s="345"/>
      <c r="D2577" s="346"/>
      <c r="E2577" s="346"/>
      <c r="F2577" s="268"/>
      <c r="G2577" s="269"/>
      <c r="H2577" s="269"/>
      <c r="I2577" s="270"/>
      <c r="J2577" s="434"/>
      <c r="K2577" s="270"/>
      <c r="L2577" s="270"/>
      <c r="M2577" s="348"/>
      <c r="N2577" s="348"/>
      <c r="O2577" s="435"/>
      <c r="P2577" s="349"/>
      <c r="Q2577" s="350"/>
      <c r="R2577" s="271"/>
      <c r="S2577" s="272"/>
      <c r="T2577" s="273"/>
      <c r="U2577" s="351"/>
      <c r="V2577" s="274"/>
      <c r="W2577" s="269"/>
      <c r="X2577" s="269"/>
      <c r="Y2577" s="275"/>
      <c r="Z2577" s="269"/>
      <c r="AA2577" s="350"/>
      <c r="AB2577" s="207"/>
      <c r="AC2577" s="352"/>
      <c r="AD2577" s="353"/>
      <c r="AE2577" s="54"/>
      <c r="AF2577" s="354"/>
      <c r="AG2577" s="355"/>
      <c r="AH2577" s="349"/>
      <c r="AI2577" s="30"/>
      <c r="AJ2577" s="30"/>
      <c r="AK2577" s="30"/>
      <c r="AL2577" s="30"/>
      <c r="AM2577" s="13"/>
      <c r="AN2577" s="13"/>
      <c r="AO2577" s="13"/>
      <c r="AP2577" s="13"/>
      <c r="AQ2577" s="13"/>
      <c r="AR2577" s="14"/>
      <c r="AS2577" s="15"/>
    </row>
    <row r="2578" spans="1:45" s="17" customFormat="1" ht="30.6" hidden="1" customHeight="1" x14ac:dyDescent="0.2">
      <c r="A2578" s="343"/>
      <c r="B2578" s="344"/>
      <c r="C2578" s="45"/>
      <c r="D2578" s="31">
        <v>3778959</v>
      </c>
      <c r="E2578" s="31">
        <v>4162611</v>
      </c>
      <c r="F2578" s="268" t="str">
        <f>IF(D2578="","",VLOOKUP(D2578,契約台帳!$A$3:$K$4986,6,FALSE)&amp;VLOOKUP(D2578,契約台帳!$A$3:$K$4986,7,FALSE)&amp;VLOOKUP(D2578,契約台帳!$A$3:$K$4986,8,FALSE)&amp;VLOOKUP(D2578,契約台帳!$A$3:$K$4986,9,FALSE)&amp;VLOOKUP(D2578,契約台帳!$A$3:$K$4986,11,FALSE))</f>
        <v>3SNMCLBNGKVB</v>
      </c>
      <c r="G2578" s="269" t="str">
        <f>IF(D2578="","",VLOOKUP(F2578,製品マスタ!$G$5:$H$5002,2,FALSE))</f>
        <v>S</v>
      </c>
      <c r="H2578" s="269" t="str">
        <f>IF(D2578="","",VLOOKUP(F2578,製品マスタ!$G$5:$K$5002,5,FALSE))</f>
        <v>NGKVB</v>
      </c>
      <c r="I2578" s="270" t="str">
        <f>IF(D2578="","",VLOOKUP(F2578,製品マスタ!$G$5:$L$5002,6,FALSE))</f>
        <v>メタルミー　ネーマー銀消　ＶＢ</v>
      </c>
      <c r="J2578" s="210" t="s">
        <v>935</v>
      </c>
      <c r="K2578" s="270">
        <f>IF(D2578="","",VLOOKUP(D2578,契約台帳!$A$3:$L$4986,12,FALSE))</f>
        <v>50</v>
      </c>
      <c r="L2578" s="270" t="str">
        <f>IF(D2578="","",INDEX(製品マスタ!$Q$5:$Q$5002,MATCH('S4'!F2578&amp;'S4'!K2578,製品マスタ!$AO$5:$AO$5002,0)))</f>
        <v>MAT</v>
      </c>
      <c r="M2578" s="39">
        <v>1005</v>
      </c>
      <c r="N2578" s="39">
        <v>4100</v>
      </c>
      <c r="O2578" s="156">
        <v>2</v>
      </c>
      <c r="P2578" s="47">
        <v>2</v>
      </c>
      <c r="Q2578" s="213">
        <v>45569</v>
      </c>
      <c r="R2578" s="271">
        <f ca="1">IF(D2578="","",IF(OFFSET(D2578,-1,0)&lt;&gt;"","",IF(OR(J2578="リード付け",J2578="巻足し",J2578="巻返しリード付け"),M2578,VLOOKUP(D2578,契約台帳!$A$3:$N$4986,14,FALSE))))</f>
        <v>1005</v>
      </c>
      <c r="S2578" s="272">
        <f ca="1">IF(D2578="","",IF(OFFSET(D2578,-1,0)&lt;&gt;"","",IF(OR(J2578="リード付け",J2578="巻足し",J2578="巻返しリード付け"),M2578,VLOOKUP(D2578,契約台帳!$A$3:$O$4986,15,FALSE))))</f>
        <v>1005</v>
      </c>
      <c r="T2578" s="273">
        <f ca="1">IF(D2578="","",IF(J2578="リード付け",N2578,IF(J2578="巻返しリード付け",N2578,IF(J2578="巻足し",N2578*P2578+OFFSET(N2578,1,0)*OFFSET(P2578,1,0),VLOOKUP(D2578,契約台帳!$A$3:$P$4986,16,FALSE)))))</f>
        <v>8200</v>
      </c>
      <c r="U2578" s="40">
        <v>1</v>
      </c>
      <c r="V2578" s="274">
        <f ca="1">IF(D2578="","",IF(OFFSET(D2578,-2,0)=D2578,"",VLOOKUP(D2578,契約台帳!$A$3:$R$4986,18,FALSE)))</f>
        <v>2</v>
      </c>
      <c r="W2578" s="269" t="str">
        <f ca="1">IF(D2578="","",IF(T2578="","",IF(OR(J2578="巻足し",J2578="巻返しリード付け"),"",IF(J2578="巻返し",VLOOKUP(F2578&amp;K2578&amp;M2578,製品マスタ!$M$5:$AD$5002,18,FALSE),IF(OR(J2578="リード付け",J2578="巻返しリード付け"),"原反コア",IF(J2578="スリット",VLOOKUP(F2578&amp;K2578&amp;R2578,製品マスタ!$N$5:$AD$5002,17,FALSE),""))))))</f>
        <v/>
      </c>
      <c r="X2578" s="269" t="str">
        <f ca="1">IF(D2578="","",IF(T2578="","",IF(J2578="巻足し","",IF(J2578="巻返し",VLOOKUP(F2578&amp;K2578&amp;M2578,製品マスタ!$M$5:$AE$5002,19,FALSE),IF(OR(J2578="リード付け",J2578="巻返しリード付け"),"",IF(J2578="スリット",VLOOKUP(F2578&amp;K2578&amp;R2578,製品マスタ!$N$5:$AE$5002,18,FALSE),""))))))</f>
        <v/>
      </c>
      <c r="Y2578" s="275">
        <f ca="1">IF(D2578="","",IF(T2578="","",VLOOKUP(D2578,契約台帳!$A$3:$Q$4986,17,FALSE)))</f>
        <v>2</v>
      </c>
      <c r="Z2578" s="269" t="str">
        <f ca="1">IF(D2578="","",IF(T2578="","",VLOOKUP(D2578,契約台帳!$A$3:$E$4986,5,FALSE)))</f>
        <v>リンテック㈱</v>
      </c>
      <c r="AA2578" s="57"/>
      <c r="AB2578" s="207">
        <f>IFERROR((VLOOKUP(F2578&amp;K2578&amp;M2578,製品マスタ!$M$5:$AM$5002,27,FALSE)),"")</f>
        <v>0</v>
      </c>
      <c r="AC2578" s="33"/>
      <c r="AD2578" s="189"/>
      <c r="AE2578" s="54"/>
      <c r="AF2578" s="55">
        <f>+M2578*N2578*O2578/1000</f>
        <v>8241</v>
      </c>
      <c r="AG2578" s="43"/>
      <c r="AH2578" s="47"/>
      <c r="AI2578" s="30"/>
      <c r="AJ2578" s="30"/>
      <c r="AK2578" s="30"/>
      <c r="AL2578" s="30"/>
      <c r="AM2578" s="13"/>
      <c r="AN2578" s="13"/>
      <c r="AO2578" s="13"/>
      <c r="AP2578" s="13"/>
      <c r="AQ2578" s="13"/>
      <c r="AR2578" s="14"/>
      <c r="AS2578" s="15"/>
    </row>
    <row r="2579" spans="1:45" s="17" customFormat="1" ht="30.95" hidden="1" customHeight="1" x14ac:dyDescent="0.2">
      <c r="A2579" s="343"/>
      <c r="B2579" s="344"/>
      <c r="C2579" s="345"/>
      <c r="D2579" s="346"/>
      <c r="E2579" s="346"/>
      <c r="F2579" s="268"/>
      <c r="G2579" s="269"/>
      <c r="H2579" s="269"/>
      <c r="I2579" s="270"/>
      <c r="J2579" s="434"/>
      <c r="K2579" s="270"/>
      <c r="L2579" s="270"/>
      <c r="M2579" s="348"/>
      <c r="N2579" s="348"/>
      <c r="O2579" s="435"/>
      <c r="P2579" s="349"/>
      <c r="Q2579" s="350"/>
      <c r="R2579" s="271"/>
      <c r="S2579" s="272"/>
      <c r="T2579" s="273"/>
      <c r="U2579" s="351"/>
      <c r="V2579" s="274"/>
      <c r="W2579" s="269"/>
      <c r="X2579" s="269"/>
      <c r="Y2579" s="275"/>
      <c r="Z2579" s="269"/>
      <c r="AA2579" s="350"/>
      <c r="AB2579" s="207"/>
      <c r="AC2579" s="352"/>
      <c r="AD2579" s="353"/>
      <c r="AE2579" s="54"/>
      <c r="AF2579" s="354"/>
      <c r="AG2579" s="355"/>
      <c r="AH2579" s="349"/>
      <c r="AI2579" s="30"/>
      <c r="AJ2579" s="30"/>
      <c r="AK2579" s="30"/>
      <c r="AL2579" s="30"/>
      <c r="AM2579" s="13"/>
      <c r="AN2579" s="13"/>
      <c r="AO2579" s="13"/>
      <c r="AP2579" s="13"/>
      <c r="AQ2579" s="13"/>
      <c r="AR2579" s="14"/>
      <c r="AS2579" s="15"/>
    </row>
    <row r="2580" spans="1:45" s="17" customFormat="1" ht="30.6" hidden="1" customHeight="1" x14ac:dyDescent="0.2">
      <c r="A2580" s="343"/>
      <c r="B2580" s="344"/>
      <c r="C2580" s="45"/>
      <c r="D2580" s="31">
        <v>3778943</v>
      </c>
      <c r="E2580" s="31">
        <v>4162605</v>
      </c>
      <c r="F2580" s="268" t="str">
        <f>IF(D2580="","",VLOOKUP(D2580,契約台帳!$A$3:$K$4986,6,FALSE)&amp;VLOOKUP(D2580,契約台帳!$A$3:$K$4986,7,FALSE)&amp;VLOOKUP(D2580,契約台帳!$A$3:$K$4986,8,FALSE)&amp;VLOOKUP(D2580,契約台帳!$A$3:$K$4986,9,FALSE)&amp;VLOOKUP(D2580,契約台帳!$A$3:$K$4986,11,FALSE))</f>
        <v>3TNMCLBHLGKJV</v>
      </c>
      <c r="G2580" s="269" t="str">
        <f>IF(D2580="","",VLOOKUP(F2580,製品マスタ!$G$5:$H$5002,2,FALSE))</f>
        <v>T</v>
      </c>
      <c r="H2580" s="269" t="str">
        <f>IF(D2580="","",VLOOKUP(F2580,製品マスタ!$G$5:$K$5002,5,FALSE))</f>
        <v>HLGKJV</v>
      </c>
      <c r="I2580" s="270" t="str">
        <f>IF(D2580="","",VLOOKUP(F2580,製品マスタ!$G$5:$L$5002,6,FALSE))</f>
        <v>メタルミー　ヘヤライン　銀消Ｖ</v>
      </c>
      <c r="J2580" s="210" t="s">
        <v>935</v>
      </c>
      <c r="K2580" s="270">
        <f>IF(D2580="","",VLOOKUP(D2580,契約台帳!$A$3:$L$4986,12,FALSE))</f>
        <v>50</v>
      </c>
      <c r="L2580" s="270" t="str">
        <f>IF(D2580="","",INDEX(製品マスタ!$Q$5:$Q$5002,MATCH('S4'!F2580&amp;'S4'!K2580,製品マスタ!$AO$5:$AO$5002,0)))</f>
        <v>HL-MAT</v>
      </c>
      <c r="M2580" s="39">
        <v>1005</v>
      </c>
      <c r="N2580" s="39">
        <v>4000</v>
      </c>
      <c r="O2580" s="156">
        <v>1</v>
      </c>
      <c r="P2580" s="47">
        <v>2</v>
      </c>
      <c r="Q2580" s="213">
        <v>45569</v>
      </c>
      <c r="R2580" s="271">
        <f ca="1">IF(D2580="","",IF(OFFSET(D2580,-1,0)&lt;&gt;"","",IF(OR(J2580="リード付け",J2580="巻足し",J2580="巻返しリード付け"),M2580,VLOOKUP(D2580,契約台帳!$A$3:$N$4986,14,FALSE))))</f>
        <v>1005</v>
      </c>
      <c r="S2580" s="272">
        <f ca="1">IF(D2580="","",IF(OFFSET(D2580,-1,0)&lt;&gt;"","",IF(OR(J2580="リード付け",J2580="巻足し",J2580="巻返しリード付け"),M2580,VLOOKUP(D2580,契約台帳!$A$3:$O$4986,15,FALSE))))</f>
        <v>1005</v>
      </c>
      <c r="T2580" s="273">
        <f ca="1">IF(D2580="","",IF(J2580="リード付け",N2580,IF(J2580="巻返しリード付け",N2580,IF(J2580="巻足し",N2580*P2580+OFFSET(N2580,1,0)*OFFSET(P2580,1,0),VLOOKUP(D2580,契約台帳!$A$3:$P$4986,16,FALSE)))))</f>
        <v>8000</v>
      </c>
      <c r="U2580" s="40">
        <v>1</v>
      </c>
      <c r="V2580" s="274">
        <f ca="1">IF(D2580="","",IF(OFFSET(D2580,-2,0)=D2580,"",VLOOKUP(D2580,契約台帳!$A$3:$R$4986,18,FALSE)))</f>
        <v>1</v>
      </c>
      <c r="W2580" s="269" t="str">
        <f ca="1">IF(D2580="","",IF(T2580="","",IF(OR(J2580="巻足し",J2580="巻返しリード付け"),"",IF(J2580="巻返し",VLOOKUP(F2580&amp;K2580&amp;M2580,製品マスタ!$M$5:$AD$5002,18,FALSE),IF(OR(J2580="リード付け",J2580="巻返しリード付け"),"原反コア",IF(J2580="スリット",VLOOKUP(F2580&amp;K2580&amp;R2580,製品マスタ!$N$5:$AD$5002,17,FALSE),""))))))</f>
        <v/>
      </c>
      <c r="X2580" s="269" t="str">
        <f ca="1">IF(D2580="","",IF(T2580="","",IF(J2580="巻足し","",IF(J2580="巻返し",VLOOKUP(F2580&amp;K2580&amp;M2580,製品マスタ!$M$5:$AE$5002,19,FALSE),IF(OR(J2580="リード付け",J2580="巻返しリード付け"),"",IF(J2580="スリット",VLOOKUP(F2580&amp;K2580&amp;R2580,製品マスタ!$N$5:$AE$5002,18,FALSE),""))))))</f>
        <v/>
      </c>
      <c r="Y2580" s="275">
        <f ca="1">IF(D2580="","",IF(T2580="","",VLOOKUP(D2580,契約台帳!$A$3:$Q$4986,17,FALSE)))</f>
        <v>2</v>
      </c>
      <c r="Z2580" s="269" t="str">
        <f ca="1">IF(D2580="","",IF(T2580="","",VLOOKUP(D2580,契約台帳!$A$3:$E$4986,5,FALSE)))</f>
        <v>リンテック㈱</v>
      </c>
      <c r="AA2580" s="57"/>
      <c r="AB2580" s="207" t="s">
        <v>3325</v>
      </c>
      <c r="AC2580" s="33"/>
      <c r="AD2580" s="189"/>
      <c r="AE2580" s="54"/>
      <c r="AF2580" s="55">
        <f>+M2580*N2580*O2580/1000</f>
        <v>4020</v>
      </c>
      <c r="AG2580" s="43"/>
      <c r="AH2580" s="47"/>
      <c r="AI2580" s="30"/>
      <c r="AJ2580" s="30"/>
      <c r="AK2580" s="30"/>
      <c r="AL2580" s="30"/>
      <c r="AM2580" s="13"/>
      <c r="AN2580" s="13"/>
      <c r="AO2580" s="13"/>
      <c r="AP2580" s="13"/>
      <c r="AQ2580" s="13"/>
      <c r="AR2580" s="14"/>
      <c r="AS2580" s="15"/>
    </row>
    <row r="2581" spans="1:45" s="17" customFormat="1" ht="30.6" hidden="1" customHeight="1" x14ac:dyDescent="0.2">
      <c r="A2581" s="343"/>
      <c r="B2581" s="344"/>
      <c r="C2581" s="45"/>
      <c r="D2581" s="31">
        <v>3778944</v>
      </c>
      <c r="E2581" s="31"/>
      <c r="F2581" s="268" t="str">
        <f>IF(D2581="","",VLOOKUP(D2581,契約台帳!$A$3:$K$4986,6,FALSE)&amp;VLOOKUP(D2581,契約台帳!$A$3:$K$4986,7,FALSE)&amp;VLOOKUP(D2581,契約台帳!$A$3:$K$4986,8,FALSE)&amp;VLOOKUP(D2581,契約台帳!$A$3:$K$4986,9,FALSE)&amp;VLOOKUP(D2581,契約台帳!$A$3:$K$4986,11,FALSE))</f>
        <v>3TNMCLBHLGKJV</v>
      </c>
      <c r="G2581" s="269" t="str">
        <f>IF(D2581="","",VLOOKUP(F2581,製品マスタ!$G$5:$H$5002,2,FALSE))</f>
        <v>T</v>
      </c>
      <c r="H2581" s="269" t="str">
        <f>IF(D2581="","",VLOOKUP(F2581,製品マスタ!$G$5:$K$5002,5,FALSE))</f>
        <v>HLGKJV</v>
      </c>
      <c r="I2581" s="270" t="str">
        <f>IF(D2581="","",VLOOKUP(F2581,製品マスタ!$G$5:$L$5002,6,FALSE))</f>
        <v>メタルミー　ヘヤライン　銀消Ｖ</v>
      </c>
      <c r="J2581" s="210" t="s">
        <v>935</v>
      </c>
      <c r="K2581" s="270">
        <f>IF(D2581="","",VLOOKUP(D2581,契約台帳!$A$3:$L$4986,12,FALSE))</f>
        <v>50</v>
      </c>
      <c r="L2581" s="270" t="str">
        <f>IF(D2581="","",INDEX(製品マスタ!$Q$5:$Q$5002,MATCH('S4'!F2581&amp;'S4'!K2581,製品マスタ!$AO$5:$AO$5002,0)))</f>
        <v>HL-MAT</v>
      </c>
      <c r="M2581" s="39">
        <v>1005</v>
      </c>
      <c r="N2581" s="39">
        <v>4000</v>
      </c>
      <c r="O2581" s="156">
        <v>1</v>
      </c>
      <c r="P2581" s="47"/>
      <c r="Q2581" s="213">
        <v>45569</v>
      </c>
      <c r="R2581" s="271" t="str">
        <f ca="1">IF(D2581="","",IF(OFFSET(D2581,-1,0)&lt;&gt;"","",IF(OR(J2581="リード付け",J2581="巻足し",J2581="巻返しリード付け"),M2581,VLOOKUP(D2581,契約台帳!$A$3:$N$4986,14,FALSE))))</f>
        <v/>
      </c>
      <c r="S2581" s="272" t="str">
        <f ca="1">IF(D2581="","",IF(OFFSET(D2581,-1,0)&lt;&gt;"","",IF(OR(J2581="リード付け",J2581="巻足し",J2581="巻返しリード付け"),M2581,VLOOKUP(D2581,契約台帳!$A$3:$O$4986,15,FALSE))))</f>
        <v/>
      </c>
      <c r="T2581" s="273">
        <f ca="1">IF(D2581="","",IF(J2581="リード付け",N2581,IF(J2581="巻返しリード付け",N2581,IF(J2581="巻足し",N2581*P2581+OFFSET(N2581,1,0)*OFFSET(P2581,1,0),VLOOKUP(D2581,契約台帳!$A$3:$P$4986,16,FALSE)))))</f>
        <v>0</v>
      </c>
      <c r="U2581" s="40">
        <v>1</v>
      </c>
      <c r="V2581" s="274">
        <f ca="1">IF(D2581="","",IF(OFFSET(D2581,-2,0)=D2581,"",VLOOKUP(D2581,契約台帳!$A$3:$R$4986,18,FALSE)))</f>
        <v>2</v>
      </c>
      <c r="W2581" s="269" t="str">
        <f ca="1">IF(D2581="","",IF(T2581="","",IF(OR(J2581="巻足し",J2581="巻返しリード付け"),"",IF(J2581="巻返し",VLOOKUP(F2581&amp;K2581&amp;M2581,製品マスタ!$M$5:$AD$5002,18,FALSE),IF(OR(J2581="リード付け",J2581="巻返しリード付け"),"原反コア",IF(J2581="スリット",VLOOKUP(F2581&amp;K2581&amp;R2581,製品マスタ!$N$5:$AD$5002,17,FALSE),""))))))</f>
        <v/>
      </c>
      <c r="X2581" s="269" t="str">
        <f ca="1">IF(D2581="","",IF(T2581="","",IF(J2581="巻足し","",IF(J2581="巻返し",VLOOKUP(F2581&amp;K2581&amp;M2581,製品マスタ!$M$5:$AE$5002,19,FALSE),IF(OR(J2581="リード付け",J2581="巻返しリード付け"),"",IF(J2581="スリット",VLOOKUP(F2581&amp;K2581&amp;R2581,製品マスタ!$N$5:$AE$5002,18,FALSE),""))))))</f>
        <v/>
      </c>
      <c r="Y2581" s="275">
        <f ca="1">IF(D2581="","",IF(T2581="","",VLOOKUP(D2581,契約台帳!$A$3:$Q$4986,17,FALSE)))</f>
        <v>2</v>
      </c>
      <c r="Z2581" s="269" t="str">
        <f ca="1">IF(D2581="","",IF(T2581="","",VLOOKUP(D2581,契約台帳!$A$3:$E$4986,5,FALSE)))</f>
        <v>リンテック㈱</v>
      </c>
      <c r="AA2581" s="57"/>
      <c r="AB2581" s="207">
        <f>IFERROR((VLOOKUP(F2581&amp;K2581&amp;M2581,製品マスタ!$M$5:$AM$5002,27,FALSE)),"")</f>
        <v>0</v>
      </c>
      <c r="AC2581" s="33"/>
      <c r="AD2581" s="189"/>
      <c r="AE2581" s="54"/>
      <c r="AF2581" s="55">
        <f>+M2581*N2581*O2581/1000</f>
        <v>4020</v>
      </c>
      <c r="AG2581" s="43"/>
      <c r="AH2581" s="47"/>
      <c r="AI2581" s="30"/>
      <c r="AJ2581" s="30"/>
      <c r="AK2581" s="30"/>
      <c r="AL2581" s="30"/>
      <c r="AM2581" s="13"/>
      <c r="AN2581" s="13"/>
      <c r="AO2581" s="13"/>
      <c r="AP2581" s="13"/>
      <c r="AQ2581" s="13"/>
      <c r="AR2581" s="14"/>
      <c r="AS2581" s="15"/>
    </row>
    <row r="2582" spans="1:45" s="17" customFormat="1" ht="30.95" hidden="1" customHeight="1" x14ac:dyDescent="0.2">
      <c r="A2582" s="343"/>
      <c r="B2582" s="344"/>
      <c r="C2582" s="345"/>
      <c r="D2582" s="346"/>
      <c r="E2582" s="346"/>
      <c r="F2582" s="268"/>
      <c r="G2582" s="269"/>
      <c r="H2582" s="269"/>
      <c r="I2582" s="270"/>
      <c r="J2582" s="434"/>
      <c r="K2582" s="270"/>
      <c r="L2582" s="270"/>
      <c r="M2582" s="348"/>
      <c r="N2582" s="348"/>
      <c r="O2582" s="435"/>
      <c r="P2582" s="349"/>
      <c r="Q2582" s="350"/>
      <c r="R2582" s="271"/>
      <c r="S2582" s="272"/>
      <c r="T2582" s="273"/>
      <c r="U2582" s="351"/>
      <c r="V2582" s="274"/>
      <c r="W2582" s="269"/>
      <c r="X2582" s="269"/>
      <c r="Y2582" s="275"/>
      <c r="Z2582" s="269"/>
      <c r="AA2582" s="350"/>
      <c r="AB2582" s="207"/>
      <c r="AC2582" s="352"/>
      <c r="AD2582" s="353"/>
      <c r="AE2582" s="54"/>
      <c r="AF2582" s="354"/>
      <c r="AG2582" s="355"/>
      <c r="AH2582" s="349"/>
      <c r="AI2582" s="30"/>
      <c r="AJ2582" s="30"/>
      <c r="AK2582" s="30"/>
      <c r="AL2582" s="30"/>
      <c r="AM2582" s="13"/>
      <c r="AN2582" s="13"/>
      <c r="AO2582" s="13"/>
      <c r="AP2582" s="13"/>
      <c r="AQ2582" s="13"/>
      <c r="AR2582" s="14"/>
      <c r="AS2582" s="15"/>
    </row>
    <row r="2583" spans="1:45" s="17" customFormat="1" ht="30.6" hidden="1" customHeight="1" x14ac:dyDescent="0.2">
      <c r="A2583" s="343" t="s">
        <v>3203</v>
      </c>
      <c r="B2583" s="344" t="s">
        <v>3204</v>
      </c>
      <c r="C2583" s="45"/>
      <c r="D2583" s="31">
        <v>3778939</v>
      </c>
      <c r="E2583" s="31">
        <v>4162553</v>
      </c>
      <c r="F2583" s="268" t="str">
        <f>IF(D2583="","",VLOOKUP(D2583,契約台帳!$A$3:$K$4986,6,FALSE)&amp;VLOOKUP(D2583,契約台帳!$A$3:$K$4986,7,FALSE)&amp;VLOOKUP(D2583,契約台帳!$A$3:$K$4986,8,FALSE)&amp;VLOOKUP(D2583,契約台帳!$A$3:$K$4986,9,FALSE)&amp;VLOOKUP(D2583,契約台帳!$A$3:$K$4986,11,FALSE))</f>
        <v>33SSNMCLBTEKKFV</v>
      </c>
      <c r="G2583" s="269" t="str">
        <f>IF(D2583="","",VLOOKUP(F2583,製品マスタ!$G$5:$H$5002,2,FALSE))</f>
        <v>S</v>
      </c>
      <c r="H2583" s="269" t="str">
        <f>IF(D2583="","",VLOOKUP(F2583,製品マスタ!$G$5:$K$5002,5,FALSE))</f>
        <v>TEKKFV</v>
      </c>
      <c r="I2583" s="270" t="str">
        <f>IF(D2583="","",VLOOKUP(F2583,製品マスタ!$G$5:$L$5002,6,FALSE))</f>
        <v>メタルミー　ＴＥＳ消開封　Ｖ</v>
      </c>
      <c r="J2583" s="210" t="s">
        <v>935</v>
      </c>
      <c r="K2583" s="270">
        <f>IF(D2583="","",VLOOKUP(D2583,契約台帳!$A$3:$L$4986,12,FALSE))</f>
        <v>50</v>
      </c>
      <c r="L2583" s="270" t="str">
        <f>IF(D2583="","",INDEX(製品マスタ!$Q$5:$Q$5002,MATCH('S4'!F2583&amp;'S4'!K2583,製品マスタ!$AO$5:$AO$5002,0)))</f>
        <v>X44SEPA</v>
      </c>
      <c r="M2583" s="39">
        <v>1005</v>
      </c>
      <c r="N2583" s="39">
        <v>4000</v>
      </c>
      <c r="O2583" s="156">
        <v>6</v>
      </c>
      <c r="P2583" s="47">
        <v>3</v>
      </c>
      <c r="Q2583" s="213">
        <v>45572</v>
      </c>
      <c r="R2583" s="271">
        <f ca="1">IF(D2583="","",IF(OFFSET(D2583,-1,0)&lt;&gt;"","",IF(OR(J2583="リード付け",J2583="巻足し",J2583="巻返しリード付け"),M2583,VLOOKUP(D2583,契約台帳!$A$3:$N$4986,14,FALSE))))</f>
        <v>1005</v>
      </c>
      <c r="S2583" s="272">
        <f ca="1">IF(D2583="","",IF(OFFSET(D2583,-1,0)&lt;&gt;"","",IF(OR(J2583="リード付け",J2583="巻足し",J2583="巻返しリード付け"),M2583,VLOOKUP(D2583,契約台帳!$A$3:$O$4986,15,FALSE))))</f>
        <v>1005</v>
      </c>
      <c r="T2583" s="273">
        <f ca="1">IF(D2583="","",IF(J2583="リード付け",N2583,IF(J2583="巻返しリード付け",N2583,IF(J2583="巻足し",N2583*P2583+OFFSET(N2583,1,0)*OFFSET(P2583,1,0),VLOOKUP(D2583,契約台帳!$A$3:$P$4986,16,FALSE)))))</f>
        <v>12000</v>
      </c>
      <c r="U2583" s="40">
        <v>2</v>
      </c>
      <c r="V2583" s="274">
        <f ca="1">IF(D2583="","",IF(OFFSET(D2583,-2,0)=D2583,"",VLOOKUP(D2583,契約台帳!$A$3:$R$4986,18,FALSE)))</f>
        <v>6</v>
      </c>
      <c r="W2583" s="269" t="str">
        <f ca="1">IF(D2583="","",IF(T2583="","",IF(OR(J2583="巻足し",J2583="巻返しリード付け"),"",IF(J2583="巻返し",VLOOKUP(F2583&amp;K2583&amp;M2583,製品マスタ!$M$5:$AD$5002,18,FALSE),IF(OR(J2583="リード付け",J2583="巻返しリード付け"),"原反コア",IF(J2583="スリット",VLOOKUP(F2583&amp;K2583&amp;R2583,製品マスタ!$N$5:$AD$5002,17,FALSE),""))))))</f>
        <v/>
      </c>
      <c r="X2583" s="269" t="str">
        <f ca="1">IF(D2583="","",IF(T2583="","",IF(J2583="巻足し","",IF(J2583="巻返し",VLOOKUP(F2583&amp;K2583&amp;M2583,製品マスタ!$M$5:$AE$5002,19,FALSE),IF(OR(J2583="リード付け",J2583="巻返しリード付け"),"",IF(J2583="スリット",VLOOKUP(F2583&amp;K2583&amp;R2583,製品マスタ!$N$5:$AE$5002,18,FALSE),""))))))</f>
        <v/>
      </c>
      <c r="Y2583" s="275">
        <f ca="1">IF(D2583="","",IF(T2583="","",VLOOKUP(D2583,契約台帳!$A$3:$Q$4986,17,FALSE)))</f>
        <v>2</v>
      </c>
      <c r="Z2583" s="269" t="str">
        <f ca="1">IF(D2583="","",IF(T2583="","",VLOOKUP(D2583,契約台帳!$A$3:$E$4986,5,FALSE)))</f>
        <v>リンテック㈱</v>
      </c>
      <c r="AA2583" s="57"/>
      <c r="AB2583" s="207">
        <f>IFERROR((VLOOKUP(F2583&amp;K2583&amp;M2583,製品マスタ!$M$5:$AM$5002,27,FALSE)),"")</f>
        <v>0</v>
      </c>
      <c r="AC2583" s="33"/>
      <c r="AD2583" s="189"/>
      <c r="AE2583" s="54"/>
      <c r="AF2583" s="55">
        <f>+M2583*N2583*O2583/1000</f>
        <v>24120</v>
      </c>
      <c r="AG2583" s="43"/>
      <c r="AH2583" s="47"/>
      <c r="AI2583" s="30"/>
      <c r="AJ2583" s="30"/>
      <c r="AK2583" s="30"/>
      <c r="AL2583" s="30"/>
      <c r="AM2583" s="13"/>
      <c r="AN2583" s="13"/>
      <c r="AO2583" s="13"/>
      <c r="AP2583" s="13"/>
      <c r="AQ2583" s="13"/>
      <c r="AR2583" s="14"/>
      <c r="AS2583" s="15"/>
    </row>
    <row r="2584" spans="1:45" s="17" customFormat="1" ht="30.95" hidden="1" customHeight="1" x14ac:dyDescent="0.2">
      <c r="A2584" s="343"/>
      <c r="B2584" s="344"/>
      <c r="C2584" s="345"/>
      <c r="D2584" s="346"/>
      <c r="E2584" s="346"/>
      <c r="F2584" s="268"/>
      <c r="G2584" s="269"/>
      <c r="H2584" s="269"/>
      <c r="I2584" s="270"/>
      <c r="J2584" s="434"/>
      <c r="K2584" s="270"/>
      <c r="L2584" s="270"/>
      <c r="M2584" s="348"/>
      <c r="N2584" s="348"/>
      <c r="O2584" s="435"/>
      <c r="P2584" s="349"/>
      <c r="Q2584" s="350"/>
      <c r="R2584" s="271"/>
      <c r="S2584" s="272"/>
      <c r="T2584" s="273"/>
      <c r="U2584" s="351"/>
      <c r="V2584" s="274"/>
      <c r="W2584" s="269"/>
      <c r="X2584" s="269"/>
      <c r="Y2584" s="275"/>
      <c r="Z2584" s="269"/>
      <c r="AA2584" s="350"/>
      <c r="AB2584" s="207"/>
      <c r="AC2584" s="352"/>
      <c r="AD2584" s="353"/>
      <c r="AE2584" s="54"/>
      <c r="AF2584" s="354"/>
      <c r="AG2584" s="355"/>
      <c r="AH2584" s="349"/>
      <c r="AI2584" s="30"/>
      <c r="AJ2584" s="30"/>
      <c r="AK2584" s="30"/>
      <c r="AL2584" s="30"/>
      <c r="AM2584" s="13"/>
      <c r="AN2584" s="13"/>
      <c r="AO2584" s="13"/>
      <c r="AP2584" s="13"/>
      <c r="AQ2584" s="13"/>
      <c r="AR2584" s="14"/>
      <c r="AS2584" s="15"/>
    </row>
    <row r="2585" spans="1:45" s="17" customFormat="1" ht="30.6" hidden="1" customHeight="1" x14ac:dyDescent="0.2">
      <c r="A2585" s="343"/>
      <c r="B2585" s="344"/>
      <c r="C2585" s="45"/>
      <c r="D2585" s="31">
        <v>3778940</v>
      </c>
      <c r="E2585" s="31">
        <v>4162554</v>
      </c>
      <c r="F2585" s="268" t="str">
        <f>IF(D2585="","",VLOOKUP(D2585,契約台帳!$A$3:$K$4986,6,FALSE)&amp;VLOOKUP(D2585,契約台帳!$A$3:$K$4986,7,FALSE)&amp;VLOOKUP(D2585,契約台帳!$A$3:$K$4986,8,FALSE)&amp;VLOOKUP(D2585,契約台帳!$A$3:$K$4986,9,FALSE)&amp;VLOOKUP(D2585,契約台帳!$A$3:$K$4986,11,FALSE))</f>
        <v>33SSNMCLBTEKV0V</v>
      </c>
      <c r="G2585" s="269" t="str">
        <f>IF(D2585="","",VLOOKUP(F2585,製品マスタ!$G$5:$H$5002,2,FALSE))</f>
        <v>S</v>
      </c>
      <c r="H2585" s="269" t="str">
        <f>IF(D2585="","",VLOOKUP(F2585,製品マスタ!$G$5:$K$5002,5,FALSE))</f>
        <v>TEKV0V</v>
      </c>
      <c r="I2585" s="270" t="str">
        <f>IF(D2585="","",VLOOKUP(F2585,製品マスタ!$G$5:$L$5002,6,FALSE))</f>
        <v>メタルミー　ＴＥ－Ｓ消　ＶＯＩＤ　Ｖ</v>
      </c>
      <c r="J2585" s="210" t="s">
        <v>935</v>
      </c>
      <c r="K2585" s="270">
        <f>IF(D2585="","",VLOOKUP(D2585,契約台帳!$A$3:$L$4986,12,FALSE))</f>
        <v>50</v>
      </c>
      <c r="L2585" s="270" t="str">
        <f>IF(D2585="","",INDEX(製品マスタ!$Q$5:$Q$5002,MATCH('S4'!F2585&amp;'S4'!K2585,製品マスタ!$AO$5:$AO$5002,0)))</f>
        <v>X44SEPA</v>
      </c>
      <c r="M2585" s="39">
        <v>1005</v>
      </c>
      <c r="N2585" s="39">
        <v>4000</v>
      </c>
      <c r="O2585" s="156">
        <v>3</v>
      </c>
      <c r="P2585" s="47">
        <v>3</v>
      </c>
      <c r="Q2585" s="213">
        <v>45572</v>
      </c>
      <c r="R2585" s="271">
        <f ca="1">IF(D2585="","",IF(OFFSET(D2585,-1,0)&lt;&gt;"","",IF(OR(J2585="リード付け",J2585="巻足し",J2585="巻返しリード付け"),M2585,VLOOKUP(D2585,契約台帳!$A$3:$N$4986,14,FALSE))))</f>
        <v>1005</v>
      </c>
      <c r="S2585" s="272">
        <f ca="1">IF(D2585="","",IF(OFFSET(D2585,-1,0)&lt;&gt;"","",IF(OR(J2585="リード付け",J2585="巻足し",J2585="巻返しリード付け"),M2585,VLOOKUP(D2585,契約台帳!$A$3:$O$4986,15,FALSE))))</f>
        <v>1005</v>
      </c>
      <c r="T2585" s="273">
        <f ca="1">IF(D2585="","",IF(J2585="リード付け",N2585,IF(J2585="巻返しリード付け",N2585,IF(J2585="巻足し",N2585*P2585+OFFSET(N2585,1,0)*OFFSET(P2585,1,0),VLOOKUP(D2585,契約台帳!$A$3:$P$4986,16,FALSE)))))</f>
        <v>12000</v>
      </c>
      <c r="U2585" s="40">
        <v>1</v>
      </c>
      <c r="V2585" s="274">
        <f ca="1">IF(D2585="","",IF(OFFSET(D2585,-2,0)=D2585,"",VLOOKUP(D2585,契約台帳!$A$3:$R$4986,18,FALSE)))</f>
        <v>3</v>
      </c>
      <c r="W2585" s="269" t="str">
        <f ca="1">IF(D2585="","",IF(T2585="","",IF(OR(J2585="巻足し",J2585="巻返しリード付け"),"",IF(J2585="巻返し",VLOOKUP(F2585&amp;K2585&amp;M2585,製品マスタ!$M$5:$AD$5002,18,FALSE),IF(OR(J2585="リード付け",J2585="巻返しリード付け"),"原反コア",IF(J2585="スリット",VLOOKUP(F2585&amp;K2585&amp;R2585,製品マスタ!$N$5:$AD$5002,17,FALSE),""))))))</f>
        <v/>
      </c>
      <c r="X2585" s="269" t="str">
        <f ca="1">IF(D2585="","",IF(T2585="","",IF(J2585="巻足し","",IF(J2585="巻返し",VLOOKUP(F2585&amp;K2585&amp;M2585,製品マスタ!$M$5:$AE$5002,19,FALSE),IF(OR(J2585="リード付け",J2585="巻返しリード付け"),"",IF(J2585="スリット",VLOOKUP(F2585&amp;K2585&amp;R2585,製品マスタ!$N$5:$AE$5002,18,FALSE),""))))))</f>
        <v/>
      </c>
      <c r="Y2585" s="275">
        <f ca="1">IF(D2585="","",IF(T2585="","",VLOOKUP(D2585,契約台帳!$A$3:$Q$4986,17,FALSE)))</f>
        <v>2</v>
      </c>
      <c r="Z2585" s="269" t="str">
        <f ca="1">IF(D2585="","",IF(T2585="","",VLOOKUP(D2585,契約台帳!$A$3:$E$4986,5,FALSE)))</f>
        <v>リンテック㈱</v>
      </c>
      <c r="AA2585" s="57"/>
      <c r="AB2585" s="207">
        <f>IFERROR((VLOOKUP(F2585&amp;K2585&amp;M2585,製品マスタ!$M$5:$AM$5002,27,FALSE)),"")</f>
        <v>0</v>
      </c>
      <c r="AC2585" s="33"/>
      <c r="AD2585" s="189"/>
      <c r="AE2585" s="54"/>
      <c r="AF2585" s="55">
        <f>+M2585*N2585*O2585/1000</f>
        <v>12060</v>
      </c>
      <c r="AG2585" s="43"/>
      <c r="AH2585" s="47"/>
      <c r="AI2585" s="30"/>
      <c r="AJ2585" s="30"/>
      <c r="AK2585" s="30"/>
      <c r="AL2585" s="30"/>
      <c r="AM2585" s="13"/>
      <c r="AN2585" s="13"/>
      <c r="AO2585" s="13"/>
      <c r="AP2585" s="13"/>
      <c r="AQ2585" s="13"/>
      <c r="AR2585" s="14"/>
      <c r="AS2585" s="15"/>
    </row>
    <row r="2586" spans="1:45" s="17" customFormat="1" ht="30.95" hidden="1" customHeight="1" x14ac:dyDescent="0.2">
      <c r="A2586" s="343"/>
      <c r="B2586" s="344"/>
      <c r="C2586" s="345"/>
      <c r="D2586" s="346"/>
      <c r="E2586" s="346"/>
      <c r="F2586" s="268"/>
      <c r="G2586" s="269"/>
      <c r="H2586" s="269"/>
      <c r="I2586" s="270"/>
      <c r="J2586" s="434"/>
      <c r="K2586" s="270"/>
      <c r="L2586" s="270"/>
      <c r="M2586" s="348"/>
      <c r="N2586" s="348"/>
      <c r="O2586" s="435"/>
      <c r="P2586" s="349"/>
      <c r="Q2586" s="350"/>
      <c r="R2586" s="271"/>
      <c r="S2586" s="272"/>
      <c r="T2586" s="273"/>
      <c r="U2586" s="351"/>
      <c r="V2586" s="274"/>
      <c r="W2586" s="269"/>
      <c r="X2586" s="269"/>
      <c r="Y2586" s="275"/>
      <c r="Z2586" s="269"/>
      <c r="AA2586" s="350"/>
      <c r="AB2586" s="207"/>
      <c r="AC2586" s="352"/>
      <c r="AD2586" s="353"/>
      <c r="AE2586" s="54"/>
      <c r="AF2586" s="354"/>
      <c r="AG2586" s="355"/>
      <c r="AH2586" s="349"/>
      <c r="AI2586" s="30"/>
      <c r="AJ2586" s="30"/>
      <c r="AK2586" s="30"/>
      <c r="AL2586" s="30"/>
      <c r="AM2586" s="13"/>
      <c r="AN2586" s="13"/>
      <c r="AO2586" s="13"/>
      <c r="AP2586" s="13"/>
      <c r="AQ2586" s="13"/>
      <c r="AR2586" s="14"/>
      <c r="AS2586" s="15"/>
    </row>
    <row r="2587" spans="1:45" s="17" customFormat="1" ht="30.6" hidden="1" customHeight="1" x14ac:dyDescent="0.2">
      <c r="A2587" s="343"/>
      <c r="B2587" s="344"/>
      <c r="C2587" s="45"/>
      <c r="D2587" s="31">
        <v>3778941</v>
      </c>
      <c r="E2587" s="31">
        <v>4162616</v>
      </c>
      <c r="F2587" s="268" t="str">
        <f>IF(D2587="","",VLOOKUP(D2587,契約台帳!$A$3:$K$4986,6,FALSE)&amp;VLOOKUP(D2587,契約台帳!$A$3:$K$4986,7,FALSE)&amp;VLOOKUP(D2587,契約台帳!$A$3:$K$4986,8,FALSE)&amp;VLOOKUP(D2587,契約台帳!$A$3:$K$4986,9,FALSE)&amp;VLOOKUP(D2587,契約台帳!$A$3:$K$4986,11,FALSE))</f>
        <v>33SSNMCLBTETKFV</v>
      </c>
      <c r="G2587" s="269" t="str">
        <f>IF(D2587="","",VLOOKUP(F2587,製品マスタ!$G$5:$H$5002,2,FALSE))</f>
        <v>S</v>
      </c>
      <c r="H2587" s="269" t="str">
        <f>IF(D2587="","",VLOOKUP(F2587,製品マスタ!$G$5:$K$5002,5,FALSE))</f>
        <v>TETKFV</v>
      </c>
      <c r="I2587" s="270" t="str">
        <f>IF(D2587="","",VLOOKUP(F2587,製品マスタ!$G$5:$L$5002,6,FALSE))</f>
        <v>メタルミー　ＴＥＳ艶開封　Ｖ</v>
      </c>
      <c r="J2587" s="210" t="s">
        <v>935</v>
      </c>
      <c r="K2587" s="270">
        <f>IF(D2587="","",VLOOKUP(D2587,契約台帳!$A$3:$L$4986,12,FALSE))</f>
        <v>50</v>
      </c>
      <c r="L2587" s="270" t="str">
        <f>IF(D2587="","",INDEX(製品マスタ!$Q$5:$Q$5002,MATCH('S4'!F2587&amp;'S4'!K2587,製品マスタ!$AO$5:$AO$5002,0)))</f>
        <v>S28SEPA</v>
      </c>
      <c r="M2587" s="39">
        <v>1005</v>
      </c>
      <c r="N2587" s="39">
        <v>4100</v>
      </c>
      <c r="O2587" s="156">
        <v>6</v>
      </c>
      <c r="P2587" s="47">
        <v>3</v>
      </c>
      <c r="Q2587" s="213">
        <v>45572</v>
      </c>
      <c r="R2587" s="271">
        <f ca="1">IF(D2587="","",IF(OFFSET(D2587,-1,0)&lt;&gt;"","",IF(OR(J2587="リード付け",J2587="巻足し",J2587="巻返しリード付け"),M2587,VLOOKUP(D2587,契約台帳!$A$3:$N$4986,14,FALSE))))</f>
        <v>1005</v>
      </c>
      <c r="S2587" s="272">
        <f ca="1">IF(D2587="","",IF(OFFSET(D2587,-1,0)&lt;&gt;"","",IF(OR(J2587="リード付け",J2587="巻足し",J2587="巻返しリード付け"),M2587,VLOOKUP(D2587,契約台帳!$A$3:$O$4986,15,FALSE))))</f>
        <v>1005</v>
      </c>
      <c r="T2587" s="273">
        <f ca="1">IF(D2587="","",IF(J2587="リード付け",N2587,IF(J2587="巻返しリード付け",N2587,IF(J2587="巻足し",N2587*P2587+OFFSET(N2587,1,0)*OFFSET(P2587,1,0),VLOOKUP(D2587,契約台帳!$A$3:$P$4986,16,FALSE)))))</f>
        <v>12300</v>
      </c>
      <c r="U2587" s="40">
        <v>2</v>
      </c>
      <c r="V2587" s="274">
        <f ca="1">IF(D2587="","",IF(OFFSET(D2587,-2,0)=D2587,"",VLOOKUP(D2587,契約台帳!$A$3:$R$4986,18,FALSE)))</f>
        <v>6</v>
      </c>
      <c r="W2587" s="269" t="str">
        <f ca="1">IF(D2587="","",IF(T2587="","",IF(OR(J2587="巻足し",J2587="巻返しリード付け"),"",IF(J2587="巻返し",VLOOKUP(F2587&amp;K2587&amp;M2587,製品マスタ!$M$5:$AD$5002,18,FALSE),IF(OR(J2587="リード付け",J2587="巻返しリード付け"),"原反コア",IF(J2587="スリット",VLOOKUP(F2587&amp;K2587&amp;R2587,製品マスタ!$N$5:$AD$5002,17,FALSE),""))))))</f>
        <v/>
      </c>
      <c r="X2587" s="269" t="str">
        <f ca="1">IF(D2587="","",IF(T2587="","",IF(J2587="巻足し","",IF(J2587="巻返し",VLOOKUP(F2587&amp;K2587&amp;M2587,製品マスタ!$M$5:$AE$5002,19,FALSE),IF(OR(J2587="リード付け",J2587="巻返しリード付け"),"",IF(J2587="スリット",VLOOKUP(F2587&amp;K2587&amp;R2587,製品マスタ!$N$5:$AE$5002,18,FALSE),""))))))</f>
        <v/>
      </c>
      <c r="Y2587" s="275">
        <f ca="1">IF(D2587="","",IF(T2587="","",VLOOKUP(D2587,契約台帳!$A$3:$Q$4986,17,FALSE)))</f>
        <v>2</v>
      </c>
      <c r="Z2587" s="269" t="str">
        <f ca="1">IF(D2587="","",IF(T2587="","",VLOOKUP(D2587,契約台帳!$A$3:$E$4986,5,FALSE)))</f>
        <v>リンテック㈱</v>
      </c>
      <c r="AA2587" s="57"/>
      <c r="AB2587" s="207">
        <f>IFERROR((VLOOKUP(F2587&amp;K2587&amp;M2587,製品マスタ!$M$5:$AM$5002,27,FALSE)),"")</f>
        <v>0</v>
      </c>
      <c r="AC2587" s="33"/>
      <c r="AD2587" s="189"/>
      <c r="AE2587" s="54"/>
      <c r="AF2587" s="55">
        <f>+M2587*N2587*O2587/1000</f>
        <v>24723</v>
      </c>
      <c r="AG2587" s="43"/>
      <c r="AH2587" s="47"/>
      <c r="AI2587" s="30"/>
      <c r="AJ2587" s="30"/>
      <c r="AK2587" s="30"/>
      <c r="AL2587" s="30"/>
      <c r="AM2587" s="13"/>
      <c r="AN2587" s="13"/>
      <c r="AO2587" s="13"/>
      <c r="AP2587" s="13"/>
      <c r="AQ2587" s="13"/>
      <c r="AR2587" s="14"/>
      <c r="AS2587" s="15"/>
    </row>
    <row r="2588" spans="1:45" s="17" customFormat="1" ht="30.95" hidden="1" customHeight="1" x14ac:dyDescent="0.2">
      <c r="A2588" s="343"/>
      <c r="B2588" s="344"/>
      <c r="C2588" s="345"/>
      <c r="D2588" s="346"/>
      <c r="E2588" s="346"/>
      <c r="F2588" s="268"/>
      <c r="G2588" s="269"/>
      <c r="H2588" s="269"/>
      <c r="I2588" s="270"/>
      <c r="J2588" s="434"/>
      <c r="K2588" s="270"/>
      <c r="L2588" s="270"/>
      <c r="M2588" s="348"/>
      <c r="N2588" s="348"/>
      <c r="O2588" s="435"/>
      <c r="P2588" s="349"/>
      <c r="Q2588" s="350"/>
      <c r="R2588" s="271"/>
      <c r="S2588" s="272"/>
      <c r="T2588" s="273"/>
      <c r="U2588" s="351"/>
      <c r="V2588" s="274"/>
      <c r="W2588" s="269"/>
      <c r="X2588" s="269"/>
      <c r="Y2588" s="275"/>
      <c r="Z2588" s="269"/>
      <c r="AA2588" s="350"/>
      <c r="AB2588" s="207"/>
      <c r="AC2588" s="352"/>
      <c r="AD2588" s="353"/>
      <c r="AE2588" s="54"/>
      <c r="AF2588" s="354"/>
      <c r="AG2588" s="355"/>
      <c r="AH2588" s="349"/>
      <c r="AI2588" s="30"/>
      <c r="AJ2588" s="30"/>
      <c r="AK2588" s="30"/>
      <c r="AL2588" s="30"/>
      <c r="AM2588" s="13"/>
      <c r="AN2588" s="13"/>
      <c r="AO2588" s="13"/>
      <c r="AP2588" s="13"/>
      <c r="AQ2588" s="13"/>
      <c r="AR2588" s="14"/>
      <c r="AS2588" s="15"/>
    </row>
    <row r="2589" spans="1:45" s="17" customFormat="1" ht="30.6" hidden="1" customHeight="1" x14ac:dyDescent="0.2">
      <c r="A2589" s="343"/>
      <c r="B2589" s="344"/>
      <c r="C2589" s="45"/>
      <c r="D2589" s="31">
        <v>3779996</v>
      </c>
      <c r="E2589" s="31">
        <v>4162628</v>
      </c>
      <c r="F2589" s="268" t="str">
        <f>IF(D2589="","",VLOOKUP(D2589,契約台帳!$A$3:$K$4986,6,FALSE)&amp;VLOOKUP(D2589,契約台帳!$A$3:$K$4986,7,FALSE)&amp;VLOOKUP(D2589,契約台帳!$A$3:$K$4986,8,FALSE)&amp;VLOOKUP(D2589,契約台帳!$A$3:$K$4986,9,FALSE)&amp;VLOOKUP(D2589,契約台帳!$A$3:$K$4986,11,FALSE))</f>
        <v>3SNMCLBDMSV</v>
      </c>
      <c r="G2589" s="269" t="str">
        <f>IF(D2589="","",VLOOKUP(F2589,製品マスタ!$G$5:$H$5002,2,FALSE))</f>
        <v>S</v>
      </c>
      <c r="H2589" s="269" t="str">
        <f>IF(D2589="","",VLOOKUP(F2589,製品マスタ!$G$5:$K$5002,5,FALSE))</f>
        <v>DMSV</v>
      </c>
      <c r="I2589" s="270" t="str">
        <f>IF(D2589="","",VLOOKUP(F2589,製品マスタ!$G$5:$L$5002,6,FALSE))</f>
        <v>ＤＭＳ　Ｖ</v>
      </c>
      <c r="J2589" s="210" t="s">
        <v>574</v>
      </c>
      <c r="K2589" s="270">
        <f>IF(D2589="","",VLOOKUP(D2589,契約台帳!$A$3:$L$4986,12,FALSE))</f>
        <v>50</v>
      </c>
      <c r="L2589" s="270" t="str">
        <f>IF(D2589="","",INDEX(製品マスタ!$Q$5:$Q$5002,MATCH('S4'!F2589&amp;'S4'!K2589,製品マスタ!$AO$5:$AO$5002,0)))</f>
        <v>X44</v>
      </c>
      <c r="M2589" s="39">
        <v>1005</v>
      </c>
      <c r="N2589" s="39">
        <v>4000</v>
      </c>
      <c r="O2589" s="156">
        <v>1</v>
      </c>
      <c r="P2589" s="47">
        <v>1</v>
      </c>
      <c r="Q2589" s="213">
        <v>45572</v>
      </c>
      <c r="R2589" s="271">
        <f ca="1">IF(D2589="","",IF(OFFSET(D2589,-1,0)&lt;&gt;"","",IF(OR(J2589="リード付け",J2589="巻足し",J2589="巻返しリード付け"),M2589,VLOOKUP(D2589,契約台帳!$A$3:$N$4986,14,FALSE))))</f>
        <v>1005</v>
      </c>
      <c r="S2589" s="272">
        <f ca="1">IF(D2589="","",IF(OFFSET(D2589,-1,0)&lt;&gt;"","",IF(OR(J2589="リード付け",J2589="巻足し",J2589="巻返しリード付け"),M2589,VLOOKUP(D2589,契約台帳!$A$3:$O$4986,15,FALSE))))</f>
        <v>1005</v>
      </c>
      <c r="T2589" s="273">
        <f ca="1">IF(D2589="","",IF(J2589="リード付け",N2589,IF(J2589="巻返しリード付け",N2589,IF(J2589="巻足し",N2589*P2589+OFFSET(N2589,1,0)*OFFSET(P2589,1,0),VLOOKUP(D2589,契約台帳!$A$3:$P$4986,16,FALSE)))))</f>
        <v>4000</v>
      </c>
      <c r="U2589" s="40">
        <v>1</v>
      </c>
      <c r="V2589" s="274">
        <f ca="1">IF(D2589="","",IF(OFFSET(D2589,-2,0)=D2589,"",VLOOKUP(D2589,契約台帳!$A$3:$R$4986,18,FALSE)))</f>
        <v>2</v>
      </c>
      <c r="W2589" s="269" t="str">
        <f ca="1">IF(D2589="","",IF(T2589="","",IF(OR(J2589="巻足し",J2589="巻返しリード付け"),"",IF(J2589="巻返し",VLOOKUP(F2589&amp;K2589&amp;M2589,製品マスタ!$M$5:$AD$5002,18,FALSE),IF(OR(J2589="リード付け",J2589="巻返しリード付け"),"原反コア",IF(J2589="スリット",VLOOKUP(F2589&amp;K2589&amp;R2589,製品マスタ!$N$5:$AD$5002,17,FALSE),""))))))</f>
        <v/>
      </c>
      <c r="X2589" s="269" t="str">
        <f ca="1">IF(D2589="","",IF(T2589="","",IF(J2589="巻足し","",IF(J2589="巻返し",VLOOKUP(F2589&amp;K2589&amp;M2589,製品マスタ!$M$5:$AE$5002,19,FALSE),IF(OR(J2589="リード付け",J2589="巻返しリード付け"),"",IF(J2589="スリット",VLOOKUP(F2589&amp;K2589&amp;R2589,製品マスタ!$N$5:$AE$5002,18,FALSE),""))))))</f>
        <v/>
      </c>
      <c r="Y2589" s="275">
        <f ca="1">IF(D2589="","",IF(T2589="","",VLOOKUP(D2589,契約台帳!$A$3:$Q$4986,17,FALSE)))</f>
        <v>2</v>
      </c>
      <c r="Z2589" s="269" t="str">
        <f ca="1">IF(D2589="","",IF(T2589="","",VLOOKUP(D2589,契約台帳!$A$3:$E$4986,5,FALSE)))</f>
        <v>リンテック㈱</v>
      </c>
      <c r="AA2589" s="57"/>
      <c r="AB2589" s="207">
        <f>IFERROR((VLOOKUP(F2589&amp;K2589&amp;M2589,製品マスタ!$M$5:$AM$5002,27,FALSE)),"")</f>
        <v>0</v>
      </c>
      <c r="AC2589" s="33"/>
      <c r="AD2589" s="189"/>
      <c r="AE2589" s="54"/>
      <c r="AF2589" s="55">
        <f>+M2589*N2589*O2589/1000</f>
        <v>4020</v>
      </c>
      <c r="AG2589" s="43"/>
      <c r="AH2589" s="47"/>
      <c r="AI2589" s="30"/>
      <c r="AJ2589" s="30"/>
      <c r="AK2589" s="30"/>
      <c r="AL2589" s="30"/>
      <c r="AM2589" s="13"/>
      <c r="AN2589" s="13"/>
      <c r="AO2589" s="13"/>
      <c r="AP2589" s="13"/>
      <c r="AQ2589" s="13"/>
      <c r="AR2589" s="14"/>
      <c r="AS2589" s="15"/>
    </row>
    <row r="2590" spans="1:45" s="17" customFormat="1" ht="30.95" hidden="1" customHeight="1" x14ac:dyDescent="0.2">
      <c r="A2590" s="343"/>
      <c r="B2590" s="344"/>
      <c r="C2590" s="345"/>
      <c r="D2590" s="346"/>
      <c r="E2590" s="346"/>
      <c r="F2590" s="268"/>
      <c r="G2590" s="269"/>
      <c r="H2590" s="269"/>
      <c r="I2590" s="270"/>
      <c r="J2590" s="434"/>
      <c r="K2590" s="270"/>
      <c r="L2590" s="270"/>
      <c r="M2590" s="348"/>
      <c r="N2590" s="348"/>
      <c r="O2590" s="435"/>
      <c r="P2590" s="349"/>
      <c r="Q2590" s="350"/>
      <c r="R2590" s="271"/>
      <c r="S2590" s="272"/>
      <c r="T2590" s="273"/>
      <c r="U2590" s="351"/>
      <c r="V2590" s="274"/>
      <c r="W2590" s="269"/>
      <c r="X2590" s="269"/>
      <c r="Y2590" s="275"/>
      <c r="Z2590" s="269"/>
      <c r="AA2590" s="350"/>
      <c r="AB2590" s="207"/>
      <c r="AC2590" s="352"/>
      <c r="AD2590" s="353"/>
      <c r="AE2590" s="54"/>
      <c r="AF2590" s="354"/>
      <c r="AG2590" s="355"/>
      <c r="AH2590" s="349"/>
      <c r="AI2590" s="30"/>
      <c r="AJ2590" s="30"/>
      <c r="AK2590" s="30"/>
      <c r="AL2590" s="30"/>
      <c r="AM2590" s="13"/>
      <c r="AN2590" s="13"/>
      <c r="AO2590" s="13"/>
      <c r="AP2590" s="13"/>
      <c r="AQ2590" s="13"/>
      <c r="AR2590" s="14"/>
      <c r="AS2590" s="15"/>
    </row>
    <row r="2591" spans="1:45" s="17" customFormat="1" ht="30.6" hidden="1" customHeight="1" x14ac:dyDescent="0.2">
      <c r="A2591" s="343"/>
      <c r="B2591" s="344"/>
      <c r="C2591" s="45"/>
      <c r="D2591" s="31">
        <v>3780715</v>
      </c>
      <c r="E2591" s="31">
        <v>4162643</v>
      </c>
      <c r="F2591" s="268" t="str">
        <f>IF(D2591="","",VLOOKUP(D2591,契約台帳!$A$3:$K$4986,6,FALSE)&amp;VLOOKUP(D2591,契約台帳!$A$3:$K$4986,7,FALSE)&amp;VLOOKUP(D2591,契約台帳!$A$3:$K$4986,8,FALSE)&amp;VLOOKUP(D2591,契約台帳!$A$3:$K$4986,9,FALSE)&amp;VLOOKUP(D2591,契約台帳!$A$3:$K$4986,11,FALSE))</f>
        <v>3SNMLBMNQR66F</v>
      </c>
      <c r="G2591" s="269" t="str">
        <f>IF(D2591="","",VLOOKUP(F2591,製品マスタ!$G$5:$H$5002,2,FALSE))</f>
        <v>S</v>
      </c>
      <c r="H2591" s="269" t="str">
        <f>IF(D2591="","",VLOOKUP(F2591,製品マスタ!$G$5:$K$5002,5,FALSE))</f>
        <v>MNQR66F</v>
      </c>
      <c r="I2591" s="270" t="str">
        <f>IF(D2591="","",VLOOKUP(F2591,製品マスタ!$G$5:$L$5002,6,FALSE))</f>
        <v>ＱＲ６６蒸着品</v>
      </c>
      <c r="J2591" s="210" t="s">
        <v>935</v>
      </c>
      <c r="K2591" s="270">
        <f>IF(D2591="","",VLOOKUP(D2591,契約台帳!$A$3:$L$4986,12,FALSE))</f>
        <v>25</v>
      </c>
      <c r="L2591" s="270" t="str">
        <f>IF(D2591="","",INDEX(製品マスタ!$Q$5:$Q$5002,MATCH('S4'!F2591&amp;'S4'!K2591,製品マスタ!$AO$5:$AO$5002,0)))</f>
        <v>E315</v>
      </c>
      <c r="M2591" s="39">
        <v>1100</v>
      </c>
      <c r="N2591" s="39">
        <v>6000</v>
      </c>
      <c r="O2591" s="156">
        <v>3</v>
      </c>
      <c r="P2591" s="47">
        <v>3</v>
      </c>
      <c r="Q2591" s="213">
        <v>45573</v>
      </c>
      <c r="R2591" s="271">
        <f ca="1">IF(D2591="","",IF(OFFSET(D2591,-1,0)&lt;&gt;"","",IF(OR(J2591="リード付け",J2591="巻足し",J2591="巻返しリード付け"),M2591,VLOOKUP(D2591,契約台帳!$A$3:$N$4986,14,FALSE))))</f>
        <v>1100</v>
      </c>
      <c r="S2591" s="272">
        <f ca="1">IF(D2591="","",IF(OFFSET(D2591,-1,0)&lt;&gt;"","",IF(OR(J2591="リード付け",J2591="巻足し",J2591="巻返しリード付け"),M2591,VLOOKUP(D2591,契約台帳!$A$3:$O$4986,15,FALSE))))</f>
        <v>1100</v>
      </c>
      <c r="T2591" s="273">
        <f ca="1">IF(D2591="","",IF(J2591="リード付け",N2591,IF(J2591="巻返しリード付け",N2591,IF(J2591="巻足し",N2591*P2591+OFFSET(N2591,1,0)*OFFSET(P2591,1,0),VLOOKUP(D2591,契約台帳!$A$3:$P$4986,16,FALSE)))))</f>
        <v>18000</v>
      </c>
      <c r="U2591" s="40">
        <v>1</v>
      </c>
      <c r="V2591" s="274">
        <f ca="1">IF(D2591="","",IF(OFFSET(D2591,-2,0)=D2591,"",VLOOKUP(D2591,契約台帳!$A$3:$R$4986,18,FALSE)))</f>
        <v>3</v>
      </c>
      <c r="W2591" s="269" t="str">
        <f ca="1">IF(D2591="","",IF(T2591="","",IF(OR(J2591="巻足し",J2591="巻返しリード付け"),"",IF(J2591="巻返し",VLOOKUP(F2591&amp;K2591&amp;M2591,製品マスタ!$M$5:$AD$5002,18,FALSE),IF(OR(J2591="リード付け",J2591="巻返しリード付け"),"原反コア",IF(J2591="スリット",VLOOKUP(F2591&amp;K2591&amp;R2591,製品マスタ!$N$5:$AD$5002,17,FALSE),""))))))</f>
        <v/>
      </c>
      <c r="X2591" s="269" t="str">
        <f ca="1">IF(D2591="","",IF(T2591="","",IF(J2591="巻足し","",IF(J2591="巻返し",VLOOKUP(F2591&amp;K2591&amp;M2591,製品マスタ!$M$5:$AE$5002,19,FALSE),IF(OR(J2591="リード付け",J2591="巻返しリード付け"),"",IF(J2591="スリット",VLOOKUP(F2591&amp;K2591&amp;R2591,製品マスタ!$N$5:$AE$5002,18,FALSE),""))))))</f>
        <v/>
      </c>
      <c r="Y2591" s="275">
        <f ca="1">IF(D2591="","",IF(T2591="","",VLOOKUP(D2591,契約台帳!$A$3:$Q$4986,17,FALSE)))</f>
        <v>2</v>
      </c>
      <c r="Z2591" s="269" t="str">
        <f ca="1">IF(D2591="","",IF(T2591="","",VLOOKUP(D2591,契約台帳!$A$3:$E$4986,5,FALSE)))</f>
        <v>リンテック㈱</v>
      </c>
      <c r="AA2591" s="57"/>
      <c r="AB2591" s="207" t="str">
        <f>IFERROR((VLOOKUP(F2591&amp;K2591&amp;M2591,製品マスタ!$M$5:$AM$5002,27,FALSE)),"")</f>
        <v>原反ケース再利用</v>
      </c>
      <c r="AC2591" s="33"/>
      <c r="AD2591" s="189"/>
      <c r="AE2591" s="54"/>
      <c r="AF2591" s="55">
        <f>+M2591*N2591*O2591/1000</f>
        <v>19800</v>
      </c>
      <c r="AG2591" s="43"/>
      <c r="AH2591" s="47"/>
      <c r="AI2591" s="30"/>
      <c r="AJ2591" s="30"/>
      <c r="AK2591" s="30"/>
      <c r="AL2591" s="30"/>
      <c r="AM2591" s="13"/>
      <c r="AN2591" s="13"/>
      <c r="AO2591" s="13"/>
      <c r="AP2591" s="13"/>
      <c r="AQ2591" s="13"/>
      <c r="AR2591" s="14"/>
      <c r="AS2591" s="15"/>
    </row>
    <row r="2592" spans="1:45" s="17" customFormat="1" ht="30.95" hidden="1" customHeight="1" x14ac:dyDescent="0.2">
      <c r="A2592" s="343"/>
      <c r="B2592" s="344"/>
      <c r="C2592" s="345"/>
      <c r="D2592" s="346"/>
      <c r="E2592" s="346"/>
      <c r="F2592" s="268"/>
      <c r="G2592" s="269"/>
      <c r="H2592" s="269"/>
      <c r="I2592" s="270"/>
      <c r="J2592" s="434"/>
      <c r="K2592" s="270"/>
      <c r="L2592" s="270"/>
      <c r="M2592" s="348"/>
      <c r="N2592" s="348"/>
      <c r="O2592" s="435"/>
      <c r="P2592" s="349"/>
      <c r="Q2592" s="350"/>
      <c r="R2592" s="271"/>
      <c r="S2592" s="272"/>
      <c r="T2592" s="273"/>
      <c r="U2592" s="351"/>
      <c r="V2592" s="274"/>
      <c r="W2592" s="269"/>
      <c r="X2592" s="269"/>
      <c r="Y2592" s="275"/>
      <c r="Z2592" s="269"/>
      <c r="AA2592" s="350"/>
      <c r="AB2592" s="207"/>
      <c r="AC2592" s="352"/>
      <c r="AD2592" s="353"/>
      <c r="AE2592" s="54"/>
      <c r="AF2592" s="354"/>
      <c r="AG2592" s="355"/>
      <c r="AH2592" s="349"/>
      <c r="AI2592" s="30"/>
      <c r="AJ2592" s="30"/>
      <c r="AK2592" s="30"/>
      <c r="AL2592" s="30"/>
      <c r="AM2592" s="13"/>
      <c r="AN2592" s="13"/>
      <c r="AO2592" s="13"/>
      <c r="AP2592" s="13"/>
      <c r="AQ2592" s="13"/>
      <c r="AR2592" s="14"/>
      <c r="AS2592" s="15"/>
    </row>
    <row r="2593" spans="1:45" s="17" customFormat="1" ht="30.6" hidden="1" customHeight="1" x14ac:dyDescent="0.2">
      <c r="A2593" s="343" t="s">
        <v>3279</v>
      </c>
      <c r="B2593" s="344" t="s">
        <v>3280</v>
      </c>
      <c r="C2593" s="45"/>
      <c r="D2593" s="31">
        <v>3778927</v>
      </c>
      <c r="E2593" s="31">
        <v>4162572</v>
      </c>
      <c r="F2593" s="268" t="str">
        <f>IF(D2593="","",VLOOKUP(D2593,契約台帳!$A$3:$K$4986,6,FALSE)&amp;VLOOKUP(D2593,契約台帳!$A$3:$K$4986,7,FALSE)&amp;VLOOKUP(D2593,契約台帳!$A$3:$K$4986,8,FALSE)&amp;VLOOKUP(D2593,契約台帳!$A$3:$K$4986,9,FALSE)&amp;VLOOKUP(D2593,契約台帳!$A$3:$K$4986,11,FALSE))</f>
        <v>3SNMLBMNGKKBF</v>
      </c>
      <c r="G2593" s="269" t="str">
        <f>IF(D2593="","",VLOOKUP(F2593,製品マスタ!$G$5:$H$5002,2,FALSE))</f>
        <v>S</v>
      </c>
      <c r="H2593" s="269" t="str">
        <f>IF(D2593="","",VLOOKUP(F2593,製品マスタ!$G$5:$K$5002,5,FALSE))</f>
        <v>MNGKKBF</v>
      </c>
      <c r="I2593" s="270" t="str">
        <f>IF(D2593="","",VLOOKUP(F2593,製品マスタ!$G$5:$L$5002,6,FALSE))</f>
        <v>メタルミー　ネーマー銀消改　Ｂ</v>
      </c>
      <c r="J2593" s="210" t="s">
        <v>935</v>
      </c>
      <c r="K2593" s="270">
        <f>IF(D2593="","",VLOOKUP(D2593,契約台帳!$A$3:$L$4986,12,FALSE))</f>
        <v>50</v>
      </c>
      <c r="L2593" s="270" t="str">
        <f>IF(D2593="","",INDEX(製品マスタ!$Q$5:$Q$5002,MATCH('S4'!F2593&amp;'S4'!K2593,製品マスタ!$AO$5:$AO$5002,0)))</f>
        <v>S99-MAT</v>
      </c>
      <c r="M2593" s="39">
        <v>1120</v>
      </c>
      <c r="N2593" s="39">
        <v>4000</v>
      </c>
      <c r="O2593" s="156">
        <v>12</v>
      </c>
      <c r="P2593" s="47">
        <v>3</v>
      </c>
      <c r="Q2593" s="213">
        <v>45574</v>
      </c>
      <c r="R2593" s="271">
        <f ca="1">IF(D2593="","",IF(OFFSET(D2593,-1,0)&lt;&gt;"","",IF(OR(J2593="リード付け",J2593="巻足し",J2593="巻返しリード付け"),M2593,VLOOKUP(D2593,契約台帳!$A$3:$N$4986,14,FALSE))))</f>
        <v>1120</v>
      </c>
      <c r="S2593" s="272">
        <f ca="1">IF(D2593="","",IF(OFFSET(D2593,-1,0)&lt;&gt;"","",IF(OR(J2593="リード付け",J2593="巻足し",J2593="巻返しリード付け"),M2593,VLOOKUP(D2593,契約台帳!$A$3:$O$4986,15,FALSE))))</f>
        <v>1120</v>
      </c>
      <c r="T2593" s="273">
        <f ca="1">IF(D2593="","",IF(J2593="リード付け",N2593,IF(J2593="巻返しリード付け",N2593,IF(J2593="巻足し",N2593*P2593+OFFSET(N2593,1,0)*OFFSET(P2593,1,0),VLOOKUP(D2593,契約台帳!$A$3:$P$4986,16,FALSE)))))</f>
        <v>12000</v>
      </c>
      <c r="U2593" s="40">
        <v>4</v>
      </c>
      <c r="V2593" s="274">
        <f ca="1">IF(D2593="","",IF(OFFSET(D2593,-2,0)=D2593,"",VLOOKUP(D2593,契約台帳!$A$3:$R$4986,18,FALSE)))</f>
        <v>12</v>
      </c>
      <c r="W2593" s="269" t="str">
        <f ca="1">IF(D2593="","",IF(T2593="","",IF(OR(J2593="巻足し",J2593="巻返しリード付け"),"",IF(J2593="巻返し",VLOOKUP(F2593&amp;K2593&amp;M2593,製品マスタ!$M$5:$AD$5002,18,FALSE),IF(OR(J2593="リード付け",J2593="巻返しリード付け"),"原反コア",IF(J2593="スリット",VLOOKUP(F2593&amp;K2593&amp;R2593,製品マスタ!$N$5:$AD$5002,17,FALSE),""))))))</f>
        <v/>
      </c>
      <c r="X2593" s="269" t="str">
        <f ca="1">IF(D2593="","",IF(T2593="","",IF(J2593="巻足し","",IF(J2593="巻返し",VLOOKUP(F2593&amp;K2593&amp;M2593,製品マスタ!$M$5:$AE$5002,19,FALSE),IF(OR(J2593="リード付け",J2593="巻返しリード付け"),"",IF(J2593="スリット",VLOOKUP(F2593&amp;K2593&amp;R2593,製品マスタ!$N$5:$AE$5002,18,FALSE),""))))))</f>
        <v/>
      </c>
      <c r="Y2593" s="275">
        <f ca="1">IF(D2593="","",IF(T2593="","",VLOOKUP(D2593,契約台帳!$A$3:$Q$4986,17,FALSE)))</f>
        <v>2</v>
      </c>
      <c r="Z2593" s="269" t="str">
        <f ca="1">IF(D2593="","",IF(T2593="","",VLOOKUP(D2593,契約台帳!$A$3:$E$4986,5,FALSE)))</f>
        <v>リンテック㈱</v>
      </c>
      <c r="AA2593" s="57"/>
      <c r="AB2593" s="207">
        <f>IFERROR((VLOOKUP(F2593&amp;K2593&amp;M2593,製品マスタ!$M$5:$AM$5002,27,FALSE)),"")</f>
        <v>0</v>
      </c>
      <c r="AC2593" s="33"/>
      <c r="AD2593" s="189"/>
      <c r="AE2593" s="54"/>
      <c r="AF2593" s="55">
        <f>+M2593*N2593*O2593/1000</f>
        <v>53760</v>
      </c>
      <c r="AG2593" s="43"/>
      <c r="AH2593" s="47"/>
      <c r="AI2593" s="30"/>
      <c r="AJ2593" s="30"/>
      <c r="AK2593" s="30"/>
      <c r="AL2593" s="30"/>
      <c r="AM2593" s="13"/>
      <c r="AN2593" s="13"/>
      <c r="AO2593" s="13"/>
      <c r="AP2593" s="13"/>
      <c r="AQ2593" s="13"/>
      <c r="AR2593" s="14"/>
      <c r="AS2593" s="15"/>
    </row>
    <row r="2594" spans="1:45" s="17" customFormat="1" ht="30.95" hidden="1" customHeight="1" x14ac:dyDescent="0.2">
      <c r="A2594" s="343"/>
      <c r="B2594" s="344"/>
      <c r="C2594" s="345"/>
      <c r="D2594" s="346"/>
      <c r="E2594" s="346"/>
      <c r="F2594" s="268"/>
      <c r="G2594" s="269"/>
      <c r="H2594" s="269"/>
      <c r="I2594" s="270"/>
      <c r="J2594" s="434"/>
      <c r="K2594" s="270"/>
      <c r="L2594" s="270"/>
      <c r="M2594" s="348"/>
      <c r="N2594" s="348"/>
      <c r="O2594" s="435"/>
      <c r="P2594" s="349"/>
      <c r="Q2594" s="350"/>
      <c r="R2594" s="271"/>
      <c r="S2594" s="272"/>
      <c r="T2594" s="273"/>
      <c r="U2594" s="351"/>
      <c r="V2594" s="274"/>
      <c r="W2594" s="269"/>
      <c r="X2594" s="269"/>
      <c r="Y2594" s="275"/>
      <c r="Z2594" s="269"/>
      <c r="AA2594" s="350"/>
      <c r="AB2594" s="207"/>
      <c r="AC2594" s="352"/>
      <c r="AD2594" s="353"/>
      <c r="AE2594" s="54"/>
      <c r="AF2594" s="354"/>
      <c r="AG2594" s="355"/>
      <c r="AH2594" s="349"/>
      <c r="AI2594" s="30"/>
      <c r="AJ2594" s="30"/>
      <c r="AK2594" s="30"/>
      <c r="AL2594" s="30"/>
      <c r="AM2594" s="13"/>
      <c r="AN2594" s="13"/>
      <c r="AO2594" s="13"/>
      <c r="AP2594" s="13"/>
      <c r="AQ2594" s="13"/>
      <c r="AR2594" s="14"/>
      <c r="AS2594" s="15"/>
    </row>
    <row r="2595" spans="1:45" s="17" customFormat="1" ht="30.6" hidden="1" customHeight="1" x14ac:dyDescent="0.2">
      <c r="A2595" s="343"/>
      <c r="B2595" s="344"/>
      <c r="C2595" s="45"/>
      <c r="D2595" s="31">
        <v>3778931</v>
      </c>
      <c r="E2595" s="31">
        <v>4162585</v>
      </c>
      <c r="F2595" s="268" t="str">
        <f>IF(D2595="","",VLOOKUP(D2595,契約台帳!$A$3:$K$4986,6,FALSE)&amp;VLOOKUP(D2595,契約台帳!$A$3:$K$4986,7,FALSE)&amp;VLOOKUP(D2595,契約台帳!$A$3:$K$4986,8,FALSE)&amp;VLOOKUP(D2595,契約台帳!$A$3:$K$4986,9,FALSE)&amp;VLOOKUP(D2595,契約台帳!$A$3:$K$4986,11,FALSE))</f>
        <v>3SNMCLBNGKEYKB</v>
      </c>
      <c r="G2595" s="269" t="str">
        <f>IF(D2595="","",VLOOKUP(F2595,製品マスタ!$G$5:$H$5002,2,FALSE))</f>
        <v>S</v>
      </c>
      <c r="H2595" s="269" t="str">
        <f>IF(D2595="","",VLOOKUP(F2595,製品マスタ!$G$5:$K$5002,5,FALSE))</f>
        <v>NGKEYKB</v>
      </c>
      <c r="I2595" s="270" t="str">
        <f>IF(D2595="","",VLOOKUP(F2595,製品マスタ!$G$5:$L$5002,6,FALSE))</f>
        <v>メタルミー　ネーマー銀消ＥＹＫ　Ｂ</v>
      </c>
      <c r="J2595" s="210" t="s">
        <v>574</v>
      </c>
      <c r="K2595" s="270">
        <f>IF(D2595="","",VLOOKUP(D2595,契約台帳!$A$3:$L$4986,12,FALSE))</f>
        <v>16</v>
      </c>
      <c r="L2595" s="270" t="str">
        <f>IF(D2595="","",INDEX(製品マスタ!$Q$5:$Q$5002,MATCH('S4'!F2595&amp;'S4'!K2595,製品マスタ!$AO$5:$AO$5002,0)))</f>
        <v>LUMIMAT</v>
      </c>
      <c r="M2595" s="39">
        <v>1005</v>
      </c>
      <c r="N2595" s="39">
        <v>3200</v>
      </c>
      <c r="O2595" s="156">
        <v>1</v>
      </c>
      <c r="P2595" s="47">
        <v>1</v>
      </c>
      <c r="Q2595" s="213">
        <v>45574</v>
      </c>
      <c r="R2595" s="271">
        <f ca="1">IF(D2595="","",IF(OFFSET(D2595,-1,0)&lt;&gt;"","",IF(OR(J2595="リード付け",J2595="巻足し",J2595="巻返しリード付け"),M2595,VLOOKUP(D2595,契約台帳!$A$3:$N$4986,14,FALSE))))</f>
        <v>1005</v>
      </c>
      <c r="S2595" s="272">
        <f ca="1">IF(D2595="","",IF(OFFSET(D2595,-1,0)&lt;&gt;"","",IF(OR(J2595="リード付け",J2595="巻足し",J2595="巻返しリード付け"),M2595,VLOOKUP(D2595,契約台帳!$A$3:$O$4986,15,FALSE))))</f>
        <v>1005</v>
      </c>
      <c r="T2595" s="273">
        <f ca="1">IF(D2595="","",IF(J2595="リード付け",N2595,IF(J2595="巻返しリード付け",N2595,IF(J2595="巻足し",N2595*P2595+OFFSET(N2595,1,0)*OFFSET(P2595,1,0),VLOOKUP(D2595,契約台帳!$A$3:$P$4986,16,FALSE)))))</f>
        <v>3200</v>
      </c>
      <c r="U2595" s="40">
        <v>1</v>
      </c>
      <c r="V2595" s="274">
        <f ca="1">IF(D2595="","",IF(OFFSET(D2595,-2,0)=D2595,"",VLOOKUP(D2595,契約台帳!$A$3:$R$4986,18,FALSE)))</f>
        <v>1</v>
      </c>
      <c r="W2595" s="269" t="str">
        <f ca="1">IF(D2595="","",IF(T2595="","",IF(OR(J2595="巻足し",J2595="巻返しリード付け"),"",IF(J2595="巻返し",VLOOKUP(F2595&amp;K2595&amp;M2595,製品マスタ!$M$5:$AD$5002,18,FALSE),IF(OR(J2595="リード付け",J2595="巻返しリード付け"),"原反コア",IF(J2595="スリット",VLOOKUP(F2595&amp;K2595&amp;R2595,製品マスタ!$N$5:$AD$5002,17,FALSE),""))))))</f>
        <v/>
      </c>
      <c r="X2595" s="269" t="str">
        <f ca="1">IF(D2595="","",IF(T2595="","",IF(J2595="巻足し","",IF(J2595="巻返し",VLOOKUP(F2595&amp;K2595&amp;M2595,製品マスタ!$M$5:$AE$5002,19,FALSE),IF(OR(J2595="リード付け",J2595="巻返しリード付け"),"",IF(J2595="スリット",VLOOKUP(F2595&amp;K2595&amp;R2595,製品マスタ!$N$5:$AE$5002,18,FALSE),""))))))</f>
        <v/>
      </c>
      <c r="Y2595" s="275">
        <f ca="1">IF(D2595="","",IF(T2595="","",VLOOKUP(D2595,契約台帳!$A$3:$Q$4986,17,FALSE)))</f>
        <v>2</v>
      </c>
      <c r="Z2595" s="269" t="str">
        <f ca="1">IF(D2595="","",IF(T2595="","",VLOOKUP(D2595,契約台帳!$A$3:$E$4986,5,FALSE)))</f>
        <v>リンテック㈱</v>
      </c>
      <c r="AA2595" s="57"/>
      <c r="AB2595" s="207">
        <f>IFERROR((VLOOKUP(F2595&amp;K2595&amp;M2595,製品マスタ!$M$5:$AM$5002,27,FALSE)),"")</f>
        <v>0</v>
      </c>
      <c r="AC2595" s="33"/>
      <c r="AD2595" s="189"/>
      <c r="AE2595" s="54"/>
      <c r="AF2595" s="55">
        <f>+M2595*N2595*O2595/1000</f>
        <v>3216</v>
      </c>
      <c r="AG2595" s="43"/>
      <c r="AH2595" s="47"/>
      <c r="AI2595" s="30"/>
      <c r="AJ2595" s="30"/>
      <c r="AK2595" s="30"/>
      <c r="AL2595" s="30"/>
      <c r="AM2595" s="13"/>
      <c r="AN2595" s="13"/>
      <c r="AO2595" s="13"/>
      <c r="AP2595" s="13"/>
      <c r="AQ2595" s="13"/>
      <c r="AR2595" s="14"/>
      <c r="AS2595" s="15"/>
    </row>
    <row r="2596" spans="1:45" s="17" customFormat="1" ht="30.95" hidden="1" customHeight="1" x14ac:dyDescent="0.2">
      <c r="A2596" s="343"/>
      <c r="B2596" s="344"/>
      <c r="C2596" s="345"/>
      <c r="D2596" s="346"/>
      <c r="E2596" s="346"/>
      <c r="F2596" s="268"/>
      <c r="G2596" s="269"/>
      <c r="H2596" s="269"/>
      <c r="I2596" s="270"/>
      <c r="J2596" s="434"/>
      <c r="K2596" s="270"/>
      <c r="L2596" s="270"/>
      <c r="M2596" s="348"/>
      <c r="N2596" s="348"/>
      <c r="O2596" s="435"/>
      <c r="P2596" s="349"/>
      <c r="Q2596" s="350"/>
      <c r="R2596" s="271"/>
      <c r="S2596" s="272"/>
      <c r="T2596" s="273"/>
      <c r="U2596" s="351"/>
      <c r="V2596" s="274"/>
      <c r="W2596" s="269"/>
      <c r="X2596" s="269"/>
      <c r="Y2596" s="275"/>
      <c r="Z2596" s="269"/>
      <c r="AA2596" s="350"/>
      <c r="AB2596" s="207"/>
      <c r="AC2596" s="352"/>
      <c r="AD2596" s="353"/>
      <c r="AE2596" s="54"/>
      <c r="AF2596" s="354"/>
      <c r="AG2596" s="355"/>
      <c r="AH2596" s="349"/>
      <c r="AI2596" s="30"/>
      <c r="AJ2596" s="30"/>
      <c r="AK2596" s="30"/>
      <c r="AL2596" s="30"/>
      <c r="AM2596" s="13"/>
      <c r="AN2596" s="13"/>
      <c r="AO2596" s="13"/>
      <c r="AP2596" s="13"/>
      <c r="AQ2596" s="13"/>
      <c r="AR2596" s="14"/>
      <c r="AS2596" s="15"/>
    </row>
    <row r="2597" spans="1:45" s="17" customFormat="1" ht="30.6" hidden="1" customHeight="1" x14ac:dyDescent="0.2">
      <c r="A2597" s="343" t="s">
        <v>593</v>
      </c>
      <c r="B2597" s="344" t="s">
        <v>443</v>
      </c>
      <c r="C2597" s="45"/>
      <c r="D2597" s="31">
        <v>3778935</v>
      </c>
      <c r="E2597" s="31">
        <v>4162575</v>
      </c>
      <c r="F2597" s="268" t="str">
        <f>IF(D2597="","",VLOOKUP(D2597,契約台帳!$A$3:$K$4986,6,FALSE)&amp;VLOOKUP(D2597,契約台帳!$A$3:$K$4986,7,FALSE)&amp;VLOOKUP(D2597,契約台帳!$A$3:$K$4986,8,FALSE)&amp;VLOOKUP(D2597,契約台帳!$A$3:$K$4986,9,FALSE)&amp;VLOOKUP(D2597,契約台帳!$A$3:$K$4986,11,FALSE))</f>
        <v>3SNMLBMNGTBF</v>
      </c>
      <c r="G2597" s="269" t="str">
        <f>IF(D2597="","",VLOOKUP(F2597,製品マスタ!$G$5:$H$5002,2,FALSE))</f>
        <v>S</v>
      </c>
      <c r="H2597" s="269" t="str">
        <f>IF(D2597="","",VLOOKUP(F2597,製品マスタ!$G$5:$K$5002,5,FALSE))</f>
        <v>MNGTBF</v>
      </c>
      <c r="I2597" s="270" t="str">
        <f>IF(D2597="","",VLOOKUP(F2597,製品マスタ!$G$5:$L$5002,6,FALSE))</f>
        <v>メタルミー　ネーマー　銀艶　Ｂ</v>
      </c>
      <c r="J2597" s="210" t="s">
        <v>935</v>
      </c>
      <c r="K2597" s="270">
        <f>IF(D2597="","",VLOOKUP(D2597,契約台帳!$A$3:$L$4986,12,FALSE))</f>
        <v>50</v>
      </c>
      <c r="L2597" s="270" t="str">
        <f>IF(D2597="","",INDEX(製品マスタ!$Q$5:$Q$5002,MATCH('S4'!F2597&amp;'S4'!K2597,製品マスタ!$AO$5:$AO$5002,0)))</f>
        <v>T62</v>
      </c>
      <c r="M2597" s="39">
        <v>1120</v>
      </c>
      <c r="N2597" s="39">
        <v>5000</v>
      </c>
      <c r="O2597" s="156">
        <v>14</v>
      </c>
      <c r="P2597" s="47">
        <v>2</v>
      </c>
      <c r="Q2597" s="213">
        <v>45569</v>
      </c>
      <c r="R2597" s="271">
        <f ca="1">IF(D2597="","",IF(OFFSET(D2597,-1,0)&lt;&gt;"","",IF(OR(J2597="リード付け",J2597="巻足し",J2597="巻返しリード付け"),M2597,VLOOKUP(D2597,契約台帳!$A$3:$N$4986,14,FALSE))))</f>
        <v>1120</v>
      </c>
      <c r="S2597" s="272">
        <f ca="1">IF(D2597="","",IF(OFFSET(D2597,-1,0)&lt;&gt;"","",IF(OR(J2597="リード付け",J2597="巻足し",J2597="巻返しリード付け"),M2597,VLOOKUP(D2597,契約台帳!$A$3:$O$4986,15,FALSE))))</f>
        <v>1120</v>
      </c>
      <c r="T2597" s="273">
        <f ca="1">IF(D2597="","",IF(J2597="リード付け",N2597,IF(J2597="巻返しリード付け",N2597,IF(J2597="巻足し",N2597*P2597+OFFSET(N2597,1,0)*OFFSET(P2597,1,0),VLOOKUP(D2597,契約台帳!$A$3:$P$4986,16,FALSE)))))</f>
        <v>10000</v>
      </c>
      <c r="U2597" s="40">
        <v>7</v>
      </c>
      <c r="V2597" s="274">
        <f ca="1">IF(D2597="","",IF(OFFSET(D2597,-2,0)=D2597,"",VLOOKUP(D2597,契約台帳!$A$3:$R$4986,18,FALSE)))</f>
        <v>24</v>
      </c>
      <c r="W2597" s="269" t="str">
        <f ca="1">IF(D2597="","",IF(T2597="","",IF(OR(J2597="巻足し",J2597="巻返しリード付け"),"",IF(J2597="巻返し",VLOOKUP(F2597&amp;K2597&amp;M2597,製品マスタ!$M$5:$AD$5002,18,FALSE),IF(OR(J2597="リード付け",J2597="巻返しリード付け"),"原反コア",IF(J2597="スリット",VLOOKUP(F2597&amp;K2597&amp;R2597,製品マスタ!$N$5:$AD$5002,17,FALSE),""))))))</f>
        <v/>
      </c>
      <c r="X2597" s="269" t="str">
        <f ca="1">IF(D2597="","",IF(T2597="","",IF(J2597="巻足し","",IF(J2597="巻返し",VLOOKUP(F2597&amp;K2597&amp;M2597,製品マスタ!$M$5:$AE$5002,19,FALSE),IF(OR(J2597="リード付け",J2597="巻返しリード付け"),"",IF(J2597="スリット",VLOOKUP(F2597&amp;K2597&amp;R2597,製品マスタ!$N$5:$AE$5002,18,FALSE),""))))))</f>
        <v/>
      </c>
      <c r="Y2597" s="275">
        <f ca="1">IF(D2597="","",IF(T2597="","",VLOOKUP(D2597,契約台帳!$A$3:$Q$4986,17,FALSE)))</f>
        <v>2</v>
      </c>
      <c r="Z2597" s="269" t="str">
        <f ca="1">IF(D2597="","",IF(T2597="","",VLOOKUP(D2597,契約台帳!$A$3:$E$4986,5,FALSE)))</f>
        <v>リンテック㈱</v>
      </c>
      <c r="AA2597" s="57"/>
      <c r="AB2597" s="207" t="str">
        <f>IFERROR((VLOOKUP(F2597&amp;K2597&amp;M2597,製品マスタ!$M$5:$AM$5002,27,FALSE)),"")</f>
        <v>原反ケース再利用</v>
      </c>
      <c r="AC2597" s="33"/>
      <c r="AD2597" s="189"/>
      <c r="AE2597" s="54"/>
      <c r="AF2597" s="55">
        <f>+M2597*N2597*O2597/1000</f>
        <v>78400</v>
      </c>
      <c r="AG2597" s="43"/>
      <c r="AH2597" s="47"/>
      <c r="AI2597" s="30"/>
      <c r="AJ2597" s="30"/>
      <c r="AK2597" s="30"/>
      <c r="AL2597" s="30"/>
      <c r="AM2597" s="13"/>
      <c r="AN2597" s="13"/>
      <c r="AO2597" s="13"/>
      <c r="AP2597" s="13"/>
      <c r="AQ2597" s="13"/>
      <c r="AR2597" s="14"/>
      <c r="AS2597" s="15"/>
    </row>
    <row r="2598" spans="1:45" s="17" customFormat="1" ht="30.95" hidden="1" customHeight="1" x14ac:dyDescent="0.2">
      <c r="A2598" s="343"/>
      <c r="B2598" s="344"/>
      <c r="C2598" s="345"/>
      <c r="D2598" s="346"/>
      <c r="E2598" s="346"/>
      <c r="F2598" s="268"/>
      <c r="G2598" s="269"/>
      <c r="H2598" s="269"/>
      <c r="I2598" s="270"/>
      <c r="J2598" s="434"/>
      <c r="K2598" s="270"/>
      <c r="L2598" s="270"/>
      <c r="M2598" s="348"/>
      <c r="N2598" s="348"/>
      <c r="O2598" s="435"/>
      <c r="P2598" s="349"/>
      <c r="Q2598" s="350"/>
      <c r="R2598" s="271"/>
      <c r="S2598" s="272"/>
      <c r="T2598" s="273"/>
      <c r="U2598" s="351"/>
      <c r="V2598" s="274"/>
      <c r="W2598" s="269"/>
      <c r="X2598" s="269"/>
      <c r="Y2598" s="275"/>
      <c r="Z2598" s="269"/>
      <c r="AA2598" s="350"/>
      <c r="AB2598" s="207"/>
      <c r="AC2598" s="352"/>
      <c r="AD2598" s="353"/>
      <c r="AE2598" s="54"/>
      <c r="AF2598" s="354"/>
      <c r="AG2598" s="355"/>
      <c r="AH2598" s="349"/>
      <c r="AI2598" s="30"/>
      <c r="AJ2598" s="30"/>
      <c r="AK2598" s="30"/>
      <c r="AL2598" s="30"/>
      <c r="AM2598" s="13"/>
      <c r="AN2598" s="13"/>
      <c r="AO2598" s="13"/>
      <c r="AP2598" s="13"/>
      <c r="AQ2598" s="13"/>
      <c r="AR2598" s="14"/>
      <c r="AS2598" s="15"/>
    </row>
    <row r="2599" spans="1:45" s="17" customFormat="1" ht="30.6" hidden="1" customHeight="1" x14ac:dyDescent="0.2">
      <c r="A2599" s="343" t="s">
        <v>594</v>
      </c>
      <c r="B2599" s="344" t="s">
        <v>444</v>
      </c>
      <c r="C2599" s="45"/>
      <c r="D2599" s="31">
        <v>3778935</v>
      </c>
      <c r="E2599" s="31">
        <v>4162575</v>
      </c>
      <c r="F2599" s="268" t="str">
        <f>IF(D2599="","",VLOOKUP(D2599,契約台帳!$A$3:$K$4986,6,FALSE)&amp;VLOOKUP(D2599,契約台帳!$A$3:$K$4986,7,FALSE)&amp;VLOOKUP(D2599,契約台帳!$A$3:$K$4986,8,FALSE)&amp;VLOOKUP(D2599,契約台帳!$A$3:$K$4986,9,FALSE)&amp;VLOOKUP(D2599,契約台帳!$A$3:$K$4986,11,FALSE))</f>
        <v>3SNMLBMNGTBF</v>
      </c>
      <c r="G2599" s="269" t="str">
        <f>IF(D2599="","",VLOOKUP(F2599,製品マスタ!$G$5:$H$5002,2,FALSE))</f>
        <v>S</v>
      </c>
      <c r="H2599" s="269" t="str">
        <f>IF(D2599="","",VLOOKUP(F2599,製品マスタ!$G$5:$K$5002,5,FALSE))</f>
        <v>MNGTBF</v>
      </c>
      <c r="I2599" s="270" t="str">
        <f>IF(D2599="","",VLOOKUP(F2599,製品マスタ!$G$5:$L$5002,6,FALSE))</f>
        <v>メタルミー　ネーマー　銀艶　Ｂ</v>
      </c>
      <c r="J2599" s="210" t="s">
        <v>935</v>
      </c>
      <c r="K2599" s="270">
        <f>IF(D2599="","",VLOOKUP(D2599,契約台帳!$A$3:$L$4986,12,FALSE))</f>
        <v>50</v>
      </c>
      <c r="L2599" s="270" t="str">
        <f>IF(D2599="","",INDEX(製品マスタ!$Q$5:$Q$5002,MATCH('S4'!F2599&amp;'S4'!K2599,製品マスタ!$AO$5:$AO$5002,0)))</f>
        <v>T62</v>
      </c>
      <c r="M2599" s="39">
        <v>1120</v>
      </c>
      <c r="N2599" s="39">
        <v>5000</v>
      </c>
      <c r="O2599" s="156">
        <v>10</v>
      </c>
      <c r="P2599" s="47">
        <v>2</v>
      </c>
      <c r="Q2599" s="213">
        <v>45569</v>
      </c>
      <c r="R2599" s="271">
        <f ca="1">IF(D2599="","",IF(OFFSET(D2599,-1,0)&lt;&gt;"","",IF(OR(J2599="リード付け",J2599="巻足し",J2599="巻返しリード付け"),M2599,VLOOKUP(D2599,契約台帳!$A$3:$N$4986,14,FALSE))))</f>
        <v>1120</v>
      </c>
      <c r="S2599" s="272">
        <f ca="1">IF(D2599="","",IF(OFFSET(D2599,-1,0)&lt;&gt;"","",IF(OR(J2599="リード付け",J2599="巻足し",J2599="巻返しリード付け"),M2599,VLOOKUP(D2599,契約台帳!$A$3:$O$4986,15,FALSE))))</f>
        <v>1120</v>
      </c>
      <c r="T2599" s="273">
        <f ca="1">IF(D2599="","",IF(J2599="リード付け",N2599,IF(J2599="巻返しリード付け",N2599,IF(J2599="巻足し",N2599*P2599+OFFSET(N2599,1,0)*OFFSET(P2599,1,0),VLOOKUP(D2599,契約台帳!$A$3:$P$4986,16,FALSE)))))</f>
        <v>10000</v>
      </c>
      <c r="U2599" s="40">
        <v>5</v>
      </c>
      <c r="V2599" s="274" t="str">
        <f ca="1">IF(D2599="","",IF(OFFSET(D2599,-2,0)=D2599,"",VLOOKUP(D2599,契約台帳!$A$3:$R$4986,18,FALSE)))</f>
        <v/>
      </c>
      <c r="W2599" s="269" t="str">
        <f ca="1">IF(D2599="","",IF(T2599="","",IF(OR(J2599="巻足し",J2599="巻返しリード付け"),"",IF(J2599="巻返し",VLOOKUP(F2599&amp;K2599&amp;M2599,製品マスタ!$M$5:$AD$5002,18,FALSE),IF(OR(J2599="リード付け",J2599="巻返しリード付け"),"原反コア",IF(J2599="スリット",VLOOKUP(F2599&amp;K2599&amp;R2599,製品マスタ!$N$5:$AD$5002,17,FALSE),""))))))</f>
        <v/>
      </c>
      <c r="X2599" s="269" t="str">
        <f ca="1">IF(D2599="","",IF(T2599="","",IF(J2599="巻足し","",IF(J2599="巻返し",VLOOKUP(F2599&amp;K2599&amp;M2599,製品マスタ!$M$5:$AE$5002,19,FALSE),IF(OR(J2599="リード付け",J2599="巻返しリード付け"),"",IF(J2599="スリット",VLOOKUP(F2599&amp;K2599&amp;R2599,製品マスタ!$N$5:$AE$5002,18,FALSE),""))))))</f>
        <v/>
      </c>
      <c r="Y2599" s="275">
        <f ca="1">IF(D2599="","",IF(T2599="","",VLOOKUP(D2599,契約台帳!$A$3:$Q$4986,17,FALSE)))</f>
        <v>2</v>
      </c>
      <c r="Z2599" s="269" t="str">
        <f ca="1">IF(D2599="","",IF(T2599="","",VLOOKUP(D2599,契約台帳!$A$3:$E$4986,5,FALSE)))</f>
        <v>リンテック㈱</v>
      </c>
      <c r="AA2599" s="57"/>
      <c r="AB2599" s="207" t="str">
        <f>IFERROR((VLOOKUP(F2599&amp;K2599&amp;M2599,製品マスタ!$M$5:$AM$5002,27,FALSE)),"")</f>
        <v>原反ケース再利用</v>
      </c>
      <c r="AC2599" s="33"/>
      <c r="AD2599" s="189"/>
      <c r="AE2599" s="54"/>
      <c r="AF2599" s="55">
        <f>+M2599*N2599*O2599/1000</f>
        <v>56000</v>
      </c>
      <c r="AG2599" s="43"/>
      <c r="AH2599" s="47"/>
      <c r="AI2599" s="30"/>
      <c r="AJ2599" s="30"/>
      <c r="AK2599" s="30"/>
      <c r="AL2599" s="30"/>
      <c r="AM2599" s="13"/>
      <c r="AN2599" s="13"/>
      <c r="AO2599" s="13"/>
      <c r="AP2599" s="13"/>
      <c r="AQ2599" s="13"/>
      <c r="AR2599" s="14"/>
      <c r="AS2599" s="15"/>
    </row>
    <row r="2600" spans="1:45" s="17" customFormat="1" ht="30.95" hidden="1" customHeight="1" x14ac:dyDescent="0.2">
      <c r="A2600" s="343"/>
      <c r="B2600" s="344"/>
      <c r="C2600" s="345"/>
      <c r="D2600" s="346"/>
      <c r="E2600" s="346"/>
      <c r="F2600" s="268"/>
      <c r="G2600" s="269"/>
      <c r="H2600" s="269"/>
      <c r="I2600" s="270"/>
      <c r="J2600" s="434"/>
      <c r="K2600" s="270"/>
      <c r="L2600" s="270"/>
      <c r="M2600" s="348"/>
      <c r="N2600" s="348"/>
      <c r="O2600" s="435"/>
      <c r="P2600" s="349"/>
      <c r="Q2600" s="350"/>
      <c r="R2600" s="271"/>
      <c r="S2600" s="272"/>
      <c r="T2600" s="273"/>
      <c r="U2600" s="351"/>
      <c r="V2600" s="274"/>
      <c r="W2600" s="269"/>
      <c r="X2600" s="269"/>
      <c r="Y2600" s="275"/>
      <c r="Z2600" s="269"/>
      <c r="AA2600" s="350"/>
      <c r="AB2600" s="207"/>
      <c r="AC2600" s="352"/>
      <c r="AD2600" s="353"/>
      <c r="AE2600" s="54"/>
      <c r="AF2600" s="354"/>
      <c r="AG2600" s="355"/>
      <c r="AH2600" s="349"/>
      <c r="AI2600" s="30"/>
      <c r="AJ2600" s="30"/>
      <c r="AK2600" s="30"/>
      <c r="AL2600" s="30"/>
      <c r="AM2600" s="13"/>
      <c r="AN2600" s="13"/>
      <c r="AO2600" s="13"/>
      <c r="AP2600" s="13"/>
      <c r="AQ2600" s="13"/>
      <c r="AR2600" s="14"/>
      <c r="AS2600" s="15"/>
    </row>
    <row r="2601" spans="1:45" s="17" customFormat="1" ht="30.6" hidden="1" customHeight="1" x14ac:dyDescent="0.2">
      <c r="A2601" s="343"/>
      <c r="B2601" s="344"/>
      <c r="C2601" s="45"/>
      <c r="D2601" s="31">
        <v>3778938</v>
      </c>
      <c r="E2601" s="31">
        <v>4162577</v>
      </c>
      <c r="F2601" s="268" t="str">
        <f>IF(D2601="","",VLOOKUP(D2601,契約台帳!$A$3:$K$4986,6,FALSE)&amp;VLOOKUP(D2601,契約台帳!$A$3:$K$4986,7,FALSE)&amp;VLOOKUP(D2601,契約台帳!$A$3:$K$4986,8,FALSE)&amp;VLOOKUP(D2601,契約台帳!$A$3:$K$4986,9,FALSE)&amp;VLOOKUP(D2601,契約台帳!$A$3:$K$4986,11,FALSE))</f>
        <v>3SNMLBMNNGKBF</v>
      </c>
      <c r="G2601" s="269" t="str">
        <f>IF(D2601="","",VLOOKUP(F2601,製品マスタ!$G$5:$H$5002,2,FALSE))</f>
        <v>S</v>
      </c>
      <c r="H2601" s="269" t="str">
        <f>IF(D2601="","",VLOOKUP(F2601,製品マスタ!$G$5:$K$5002,5,FALSE))</f>
        <v>MNNGKBF</v>
      </c>
      <c r="I2601" s="270" t="str">
        <f>IF(D2601="","",VLOOKUP(F2601,製品マスタ!$G$5:$L$5002,6,FALSE))</f>
        <v>メタルミー　ニューネーマー銀消　Ｂ</v>
      </c>
      <c r="J2601" s="210" t="s">
        <v>935</v>
      </c>
      <c r="K2601" s="270">
        <f>IF(D2601="","",VLOOKUP(D2601,契約台帳!$A$3:$L$4986,12,FALSE))</f>
        <v>50</v>
      </c>
      <c r="L2601" s="270" t="str">
        <f>IF(D2601="","",INDEX(製品マスタ!$Q$5:$Q$5002,MATCH('S4'!F2601&amp;'S4'!K2601,製品マスタ!$AO$5:$AO$5002,0)))</f>
        <v>X44</v>
      </c>
      <c r="M2601" s="39">
        <v>1000</v>
      </c>
      <c r="N2601" s="39">
        <v>4000</v>
      </c>
      <c r="O2601" s="156">
        <v>9</v>
      </c>
      <c r="P2601" s="47">
        <v>3</v>
      </c>
      <c r="Q2601" s="213">
        <v>45574</v>
      </c>
      <c r="R2601" s="271">
        <f ca="1">IF(D2601="","",IF(OFFSET(D2601,-1,0)&lt;&gt;"","",IF(OR(J2601="リード付け",J2601="巻足し",J2601="巻返しリード付け"),M2601,VLOOKUP(D2601,契約台帳!$A$3:$N$4986,14,FALSE))))</f>
        <v>1000</v>
      </c>
      <c r="S2601" s="272">
        <f ca="1">IF(D2601="","",IF(OFFSET(D2601,-1,0)&lt;&gt;"","",IF(OR(J2601="リード付け",J2601="巻足し",J2601="巻返しリード付け"),M2601,VLOOKUP(D2601,契約台帳!$A$3:$O$4986,15,FALSE))))</f>
        <v>1000</v>
      </c>
      <c r="T2601" s="273">
        <f ca="1">IF(D2601="","",IF(J2601="リード付け",N2601,IF(J2601="巻返しリード付け",N2601,IF(J2601="巻足し",N2601*P2601+OFFSET(N2601,1,0)*OFFSET(P2601,1,0),VLOOKUP(D2601,契約台帳!$A$3:$P$4986,16,FALSE)))))</f>
        <v>12000</v>
      </c>
      <c r="U2601" s="40">
        <v>3</v>
      </c>
      <c r="V2601" s="274">
        <f ca="1">IF(D2601="","",IF(OFFSET(D2601,-2,0)=D2601,"",VLOOKUP(D2601,契約台帳!$A$3:$R$4986,18,FALSE)))</f>
        <v>15</v>
      </c>
      <c r="W2601" s="269" t="str">
        <f ca="1">IF(D2601="","",IF(T2601="","",IF(OR(J2601="巻足し",J2601="巻返しリード付け"),"",IF(J2601="巻返し",VLOOKUP(F2601&amp;K2601&amp;M2601,製品マスタ!$M$5:$AD$5002,18,FALSE),IF(OR(J2601="リード付け",J2601="巻返しリード付け"),"原反コア",IF(J2601="スリット",VLOOKUP(F2601&amp;K2601&amp;R2601,製品マスタ!$N$5:$AD$5002,17,FALSE),""))))))</f>
        <v/>
      </c>
      <c r="X2601" s="269" t="str">
        <f ca="1">IF(D2601="","",IF(T2601="","",IF(J2601="巻足し","",IF(J2601="巻返し",VLOOKUP(F2601&amp;K2601&amp;M2601,製品マスタ!$M$5:$AE$5002,19,FALSE),IF(OR(J2601="リード付け",J2601="巻返しリード付け"),"",IF(J2601="スリット",VLOOKUP(F2601&amp;K2601&amp;R2601,製品マスタ!$N$5:$AE$5002,18,FALSE),""))))))</f>
        <v/>
      </c>
      <c r="Y2601" s="275">
        <f ca="1">IF(D2601="","",IF(T2601="","",VLOOKUP(D2601,契約台帳!$A$3:$Q$4986,17,FALSE)))</f>
        <v>2</v>
      </c>
      <c r="Z2601" s="269" t="str">
        <f ca="1">IF(D2601="","",IF(T2601="","",VLOOKUP(D2601,契約台帳!$A$3:$E$4986,5,FALSE)))</f>
        <v>リンテック㈱</v>
      </c>
      <c r="AA2601" s="57"/>
      <c r="AB2601" s="207" t="str">
        <f>IFERROR((VLOOKUP(F2601&amp;K2601&amp;M2601,製品マスタ!$M$5:$AM$5002,27,FALSE)),"")</f>
        <v>原反ケース再利用</v>
      </c>
      <c r="AC2601" s="33"/>
      <c r="AD2601" s="189"/>
      <c r="AE2601" s="54"/>
      <c r="AF2601" s="55">
        <f>+M2601*N2601*O2601/1000</f>
        <v>36000</v>
      </c>
      <c r="AG2601" s="43"/>
      <c r="AH2601" s="47"/>
      <c r="AI2601" s="30"/>
      <c r="AJ2601" s="30"/>
      <c r="AK2601" s="30"/>
      <c r="AL2601" s="30"/>
      <c r="AM2601" s="13"/>
      <c r="AN2601" s="13"/>
      <c r="AO2601" s="13"/>
      <c r="AP2601" s="13"/>
      <c r="AQ2601" s="13"/>
      <c r="AR2601" s="14"/>
      <c r="AS2601" s="15"/>
    </row>
    <row r="2602" spans="1:45" s="17" customFormat="1" ht="30.95" hidden="1" customHeight="1" x14ac:dyDescent="0.2">
      <c r="A2602" s="343"/>
      <c r="B2602" s="344"/>
      <c r="C2602" s="345"/>
      <c r="D2602" s="346"/>
      <c r="E2602" s="346"/>
      <c r="F2602" s="268"/>
      <c r="G2602" s="269"/>
      <c r="H2602" s="269"/>
      <c r="I2602" s="270"/>
      <c r="J2602" s="434"/>
      <c r="K2602" s="270"/>
      <c r="L2602" s="270"/>
      <c r="M2602" s="348"/>
      <c r="N2602" s="348"/>
      <c r="O2602" s="435"/>
      <c r="P2602" s="349"/>
      <c r="Q2602" s="350"/>
      <c r="R2602" s="271"/>
      <c r="S2602" s="272"/>
      <c r="T2602" s="273"/>
      <c r="U2602" s="351"/>
      <c r="V2602" s="274"/>
      <c r="W2602" s="269"/>
      <c r="X2602" s="269"/>
      <c r="Y2602" s="275"/>
      <c r="Z2602" s="269"/>
      <c r="AA2602" s="350"/>
      <c r="AB2602" s="207"/>
      <c r="AC2602" s="352"/>
      <c r="AD2602" s="353"/>
      <c r="AE2602" s="54"/>
      <c r="AF2602" s="354"/>
      <c r="AG2602" s="355"/>
      <c r="AH2602" s="349"/>
      <c r="AI2602" s="30"/>
      <c r="AJ2602" s="30"/>
      <c r="AK2602" s="30"/>
      <c r="AL2602" s="30"/>
      <c r="AM2602" s="13"/>
      <c r="AN2602" s="13"/>
      <c r="AO2602" s="13"/>
      <c r="AP2602" s="13"/>
      <c r="AQ2602" s="13"/>
      <c r="AR2602" s="14"/>
      <c r="AS2602" s="15"/>
    </row>
    <row r="2603" spans="1:45" s="17" customFormat="1" ht="30.95" hidden="1" customHeight="1" x14ac:dyDescent="0.2">
      <c r="A2603" s="343" t="s">
        <v>3206</v>
      </c>
      <c r="B2603" s="344" t="s">
        <v>3207</v>
      </c>
      <c r="C2603" s="345"/>
      <c r="D2603" s="346"/>
      <c r="E2603" s="346"/>
      <c r="F2603" s="268"/>
      <c r="G2603" s="269"/>
      <c r="H2603" s="269"/>
      <c r="I2603" s="270"/>
      <c r="J2603" s="434" t="s">
        <v>448</v>
      </c>
      <c r="K2603" s="270"/>
      <c r="L2603" s="270"/>
      <c r="M2603" s="348"/>
      <c r="N2603" s="348"/>
      <c r="O2603" s="435"/>
      <c r="P2603" s="349"/>
      <c r="Q2603" s="350"/>
      <c r="R2603" s="271"/>
      <c r="S2603" s="272"/>
      <c r="T2603" s="273"/>
      <c r="U2603" s="351"/>
      <c r="V2603" s="274"/>
      <c r="W2603" s="269"/>
      <c r="X2603" s="269"/>
      <c r="Y2603" s="275"/>
      <c r="Z2603" s="269"/>
      <c r="AA2603" s="350"/>
      <c r="AB2603" s="207"/>
      <c r="AC2603" s="352"/>
      <c r="AD2603" s="353"/>
      <c r="AE2603" s="54"/>
      <c r="AF2603" s="354"/>
      <c r="AG2603" s="355"/>
      <c r="AH2603" s="349"/>
      <c r="AI2603" s="30"/>
      <c r="AJ2603" s="30"/>
      <c r="AK2603" s="30"/>
      <c r="AL2603" s="30"/>
      <c r="AM2603" s="13"/>
      <c r="AN2603" s="13"/>
      <c r="AO2603" s="13"/>
      <c r="AP2603" s="13"/>
      <c r="AQ2603" s="13"/>
      <c r="AR2603" s="14"/>
      <c r="AS2603" s="15"/>
    </row>
    <row r="2604" spans="1:45" s="17" customFormat="1" ht="30.95" hidden="1" customHeight="1" x14ac:dyDescent="0.2">
      <c r="A2604" s="343"/>
      <c r="B2604" s="344"/>
      <c r="C2604" s="345"/>
      <c r="D2604" s="346"/>
      <c r="E2604" s="346"/>
      <c r="F2604" s="268"/>
      <c r="G2604" s="269"/>
      <c r="H2604" s="269"/>
      <c r="I2604" s="270"/>
      <c r="J2604" s="434"/>
      <c r="K2604" s="270"/>
      <c r="L2604" s="270"/>
      <c r="M2604" s="348"/>
      <c r="N2604" s="348"/>
      <c r="O2604" s="435"/>
      <c r="P2604" s="349"/>
      <c r="Q2604" s="350"/>
      <c r="R2604" s="271"/>
      <c r="S2604" s="272"/>
      <c r="T2604" s="273"/>
      <c r="U2604" s="351"/>
      <c r="V2604" s="274"/>
      <c r="W2604" s="269"/>
      <c r="X2604" s="269"/>
      <c r="Y2604" s="275"/>
      <c r="Z2604" s="269"/>
      <c r="AA2604" s="350"/>
      <c r="AB2604" s="207"/>
      <c r="AC2604" s="352"/>
      <c r="AD2604" s="353"/>
      <c r="AE2604" s="54"/>
      <c r="AF2604" s="354"/>
      <c r="AG2604" s="355"/>
      <c r="AH2604" s="349"/>
      <c r="AI2604" s="30"/>
      <c r="AJ2604" s="30"/>
      <c r="AK2604" s="30"/>
      <c r="AL2604" s="30"/>
      <c r="AM2604" s="13"/>
      <c r="AN2604" s="13"/>
      <c r="AO2604" s="13"/>
      <c r="AP2604" s="13"/>
      <c r="AQ2604" s="13"/>
      <c r="AR2604" s="14"/>
      <c r="AS2604" s="15"/>
    </row>
    <row r="2605" spans="1:45" s="17" customFormat="1" ht="30.95" hidden="1" customHeight="1" x14ac:dyDescent="0.2">
      <c r="A2605" s="343" t="s">
        <v>3208</v>
      </c>
      <c r="B2605" s="344" t="s">
        <v>3209</v>
      </c>
      <c r="C2605" s="345"/>
      <c r="D2605" s="346"/>
      <c r="E2605" s="346"/>
      <c r="F2605" s="268"/>
      <c r="G2605" s="269"/>
      <c r="H2605" s="269"/>
      <c r="I2605" s="270"/>
      <c r="J2605" s="434" t="s">
        <v>448</v>
      </c>
      <c r="K2605" s="270"/>
      <c r="L2605" s="270"/>
      <c r="M2605" s="348"/>
      <c r="N2605" s="348"/>
      <c r="O2605" s="435"/>
      <c r="P2605" s="349"/>
      <c r="Q2605" s="350"/>
      <c r="R2605" s="271"/>
      <c r="S2605" s="272"/>
      <c r="T2605" s="273"/>
      <c r="U2605" s="351"/>
      <c r="V2605" s="274"/>
      <c r="W2605" s="269"/>
      <c r="X2605" s="269"/>
      <c r="Y2605" s="275"/>
      <c r="Z2605" s="269"/>
      <c r="AA2605" s="350"/>
      <c r="AB2605" s="207"/>
      <c r="AC2605" s="352"/>
      <c r="AD2605" s="353"/>
      <c r="AE2605" s="54"/>
      <c r="AF2605" s="354"/>
      <c r="AG2605" s="355"/>
      <c r="AH2605" s="349"/>
      <c r="AI2605" s="30"/>
      <c r="AJ2605" s="30"/>
      <c r="AK2605" s="30"/>
      <c r="AL2605" s="30"/>
      <c r="AM2605" s="13"/>
      <c r="AN2605" s="13"/>
      <c r="AO2605" s="13"/>
      <c r="AP2605" s="13"/>
      <c r="AQ2605" s="13"/>
      <c r="AR2605" s="14"/>
      <c r="AS2605" s="15"/>
    </row>
    <row r="2606" spans="1:45" s="17" customFormat="1" ht="30.95" hidden="1" customHeight="1" x14ac:dyDescent="0.2">
      <c r="A2606" s="343"/>
      <c r="B2606" s="344"/>
      <c r="C2606" s="345"/>
      <c r="D2606" s="346"/>
      <c r="E2606" s="346"/>
      <c r="F2606" s="268"/>
      <c r="G2606" s="269"/>
      <c r="H2606" s="269"/>
      <c r="I2606" s="270"/>
      <c r="J2606" s="434"/>
      <c r="K2606" s="270"/>
      <c r="L2606" s="270"/>
      <c r="M2606" s="348"/>
      <c r="N2606" s="348"/>
      <c r="O2606" s="435"/>
      <c r="P2606" s="349"/>
      <c r="Q2606" s="350"/>
      <c r="R2606" s="271"/>
      <c r="S2606" s="272"/>
      <c r="T2606" s="273"/>
      <c r="U2606" s="351"/>
      <c r="V2606" s="274"/>
      <c r="W2606" s="269"/>
      <c r="X2606" s="269"/>
      <c r="Y2606" s="275"/>
      <c r="Z2606" s="269"/>
      <c r="AA2606" s="350"/>
      <c r="AB2606" s="207"/>
      <c r="AC2606" s="352"/>
      <c r="AD2606" s="353"/>
      <c r="AE2606" s="54"/>
      <c r="AF2606" s="354"/>
      <c r="AG2606" s="355"/>
      <c r="AH2606" s="349"/>
      <c r="AI2606" s="30"/>
      <c r="AJ2606" s="30"/>
      <c r="AK2606" s="30"/>
      <c r="AL2606" s="30"/>
      <c r="AM2606" s="13"/>
      <c r="AN2606" s="13"/>
      <c r="AO2606" s="13"/>
      <c r="AP2606" s="13"/>
      <c r="AQ2606" s="13"/>
      <c r="AR2606" s="14"/>
      <c r="AS2606" s="15"/>
    </row>
    <row r="2607" spans="1:45" s="17" customFormat="1" ht="30.95" hidden="1" customHeight="1" x14ac:dyDescent="0.2">
      <c r="A2607" s="343" t="s">
        <v>3210</v>
      </c>
      <c r="B2607" s="344" t="s">
        <v>3211</v>
      </c>
      <c r="C2607" s="345"/>
      <c r="D2607" s="346"/>
      <c r="E2607" s="346"/>
      <c r="F2607" s="268"/>
      <c r="G2607" s="269"/>
      <c r="H2607" s="269"/>
      <c r="I2607" s="270"/>
      <c r="J2607" s="434" t="s">
        <v>448</v>
      </c>
      <c r="K2607" s="270"/>
      <c r="L2607" s="270"/>
      <c r="M2607" s="348"/>
      <c r="N2607" s="348"/>
      <c r="O2607" s="435"/>
      <c r="P2607" s="349"/>
      <c r="Q2607" s="350"/>
      <c r="R2607" s="271"/>
      <c r="S2607" s="272"/>
      <c r="T2607" s="273"/>
      <c r="U2607" s="351"/>
      <c r="V2607" s="274"/>
      <c r="W2607" s="269"/>
      <c r="X2607" s="269"/>
      <c r="Y2607" s="275"/>
      <c r="Z2607" s="269"/>
      <c r="AA2607" s="350"/>
      <c r="AB2607" s="207"/>
      <c r="AC2607" s="352"/>
      <c r="AD2607" s="353"/>
      <c r="AE2607" s="54"/>
      <c r="AF2607" s="354"/>
      <c r="AG2607" s="355"/>
      <c r="AH2607" s="349"/>
      <c r="AI2607" s="30"/>
      <c r="AJ2607" s="30"/>
      <c r="AK2607" s="30"/>
      <c r="AL2607" s="30"/>
      <c r="AM2607" s="13"/>
      <c r="AN2607" s="13"/>
      <c r="AO2607" s="13"/>
      <c r="AP2607" s="13"/>
      <c r="AQ2607" s="13"/>
      <c r="AR2607" s="14"/>
      <c r="AS2607" s="15"/>
    </row>
    <row r="2608" spans="1:45" s="17" customFormat="1" ht="30.95" hidden="1" customHeight="1" x14ac:dyDescent="0.2">
      <c r="A2608" s="343"/>
      <c r="B2608" s="344"/>
      <c r="C2608" s="345"/>
      <c r="D2608" s="346"/>
      <c r="E2608" s="346"/>
      <c r="F2608" s="268"/>
      <c r="G2608" s="269"/>
      <c r="H2608" s="269"/>
      <c r="I2608" s="270"/>
      <c r="J2608" s="434"/>
      <c r="K2608" s="270"/>
      <c r="L2608" s="270"/>
      <c r="M2608" s="348"/>
      <c r="N2608" s="348"/>
      <c r="O2608" s="435"/>
      <c r="P2608" s="349"/>
      <c r="Q2608" s="350"/>
      <c r="R2608" s="271"/>
      <c r="S2608" s="272"/>
      <c r="T2608" s="273"/>
      <c r="U2608" s="351"/>
      <c r="V2608" s="274"/>
      <c r="W2608" s="269"/>
      <c r="X2608" s="269"/>
      <c r="Y2608" s="275"/>
      <c r="Z2608" s="269"/>
      <c r="AA2608" s="350"/>
      <c r="AB2608" s="207"/>
      <c r="AC2608" s="352"/>
      <c r="AD2608" s="353"/>
      <c r="AE2608" s="54"/>
      <c r="AF2608" s="354"/>
      <c r="AG2608" s="355"/>
      <c r="AH2608" s="349"/>
      <c r="AI2608" s="30"/>
      <c r="AJ2608" s="30"/>
      <c r="AK2608" s="30"/>
      <c r="AL2608" s="30"/>
      <c r="AM2608" s="13"/>
      <c r="AN2608" s="13"/>
      <c r="AO2608" s="13"/>
      <c r="AP2608" s="13"/>
      <c r="AQ2608" s="13"/>
      <c r="AR2608" s="14"/>
      <c r="AS2608" s="15"/>
    </row>
    <row r="2609" spans="1:45" s="17" customFormat="1" ht="30.6" hidden="1" customHeight="1" x14ac:dyDescent="0.2">
      <c r="A2609" s="343" t="s">
        <v>3212</v>
      </c>
      <c r="B2609" s="344" t="s">
        <v>3204</v>
      </c>
      <c r="C2609" s="45"/>
      <c r="D2609" s="31">
        <v>3778938</v>
      </c>
      <c r="E2609" s="31">
        <v>4162577</v>
      </c>
      <c r="F2609" s="268" t="str">
        <f>IF(D2609="","",VLOOKUP(D2609,契約台帳!$A$3:$K$4986,6,FALSE)&amp;VLOOKUP(D2609,契約台帳!$A$3:$K$4986,7,FALSE)&amp;VLOOKUP(D2609,契約台帳!$A$3:$K$4986,8,FALSE)&amp;VLOOKUP(D2609,契約台帳!$A$3:$K$4986,9,FALSE)&amp;VLOOKUP(D2609,契約台帳!$A$3:$K$4986,11,FALSE))</f>
        <v>3SNMLBMNNGKBF</v>
      </c>
      <c r="G2609" s="269" t="str">
        <f>IF(D2609="","",VLOOKUP(F2609,製品マスタ!$G$5:$H$5002,2,FALSE))</f>
        <v>S</v>
      </c>
      <c r="H2609" s="269" t="str">
        <f>IF(D2609="","",VLOOKUP(F2609,製品マスタ!$G$5:$K$5002,5,FALSE))</f>
        <v>MNNGKBF</v>
      </c>
      <c r="I2609" s="270" t="str">
        <f>IF(D2609="","",VLOOKUP(F2609,製品マスタ!$G$5:$L$5002,6,FALSE))</f>
        <v>メタルミー　ニューネーマー銀消　Ｂ</v>
      </c>
      <c r="J2609" s="210" t="s">
        <v>935</v>
      </c>
      <c r="K2609" s="270">
        <f>IF(D2609="","",VLOOKUP(D2609,契約台帳!$A$3:$L$4986,12,FALSE))</f>
        <v>50</v>
      </c>
      <c r="L2609" s="270" t="str">
        <f>IF(D2609="","",INDEX(製品マスタ!$Q$5:$Q$5002,MATCH('S4'!F2609&amp;'S4'!K2609,製品マスタ!$AO$5:$AO$5002,0)))</f>
        <v>X44</v>
      </c>
      <c r="M2609" s="39">
        <v>1000</v>
      </c>
      <c r="N2609" s="39">
        <v>4000</v>
      </c>
      <c r="O2609" s="156">
        <v>6</v>
      </c>
      <c r="P2609" s="47">
        <v>3</v>
      </c>
      <c r="Q2609" s="213">
        <v>45574</v>
      </c>
      <c r="R2609" s="271">
        <f ca="1">IF(D2609="","",IF(OFFSET(D2609,-1,0)&lt;&gt;"","",IF(OR(J2609="リード付け",J2609="巻足し",J2609="巻返しリード付け"),M2609,VLOOKUP(D2609,契約台帳!$A$3:$N$4986,14,FALSE))))</f>
        <v>1000</v>
      </c>
      <c r="S2609" s="272">
        <f ca="1">IF(D2609="","",IF(OFFSET(D2609,-1,0)&lt;&gt;"","",IF(OR(J2609="リード付け",J2609="巻足し",J2609="巻返しリード付け"),M2609,VLOOKUP(D2609,契約台帳!$A$3:$O$4986,15,FALSE))))</f>
        <v>1000</v>
      </c>
      <c r="T2609" s="273">
        <f ca="1">IF(D2609="","",IF(J2609="リード付け",N2609,IF(J2609="巻返しリード付け",N2609,IF(J2609="巻足し",N2609*P2609+OFFSET(N2609,1,0)*OFFSET(P2609,1,0),VLOOKUP(D2609,契約台帳!$A$3:$P$4986,16,FALSE)))))</f>
        <v>12000</v>
      </c>
      <c r="U2609" s="40">
        <v>2</v>
      </c>
      <c r="V2609" s="274">
        <f ca="1">IF(D2609="","",IF(OFFSET(D2609,-2,0)=D2609,"",VLOOKUP(D2609,契約台帳!$A$3:$R$4986,18,FALSE)))</f>
        <v>15</v>
      </c>
      <c r="W2609" s="269" t="str">
        <f ca="1">IF(D2609="","",IF(T2609="","",IF(OR(J2609="巻足し",J2609="巻返しリード付け"),"",IF(J2609="巻返し",VLOOKUP(F2609&amp;K2609&amp;M2609,製品マスタ!$M$5:$AD$5002,18,FALSE),IF(OR(J2609="リード付け",J2609="巻返しリード付け"),"原反コア",IF(J2609="スリット",VLOOKUP(F2609&amp;K2609&amp;R2609,製品マスタ!$N$5:$AD$5002,17,FALSE),""))))))</f>
        <v/>
      </c>
      <c r="X2609" s="269" t="str">
        <f ca="1">IF(D2609="","",IF(T2609="","",IF(J2609="巻足し","",IF(J2609="巻返し",VLOOKUP(F2609&amp;K2609&amp;M2609,製品マスタ!$M$5:$AE$5002,19,FALSE),IF(OR(J2609="リード付け",J2609="巻返しリード付け"),"",IF(J2609="スリット",VLOOKUP(F2609&amp;K2609&amp;R2609,製品マスタ!$N$5:$AE$5002,18,FALSE),""))))))</f>
        <v/>
      </c>
      <c r="Y2609" s="275">
        <f ca="1">IF(D2609="","",IF(T2609="","",VLOOKUP(D2609,契約台帳!$A$3:$Q$4986,17,FALSE)))</f>
        <v>2</v>
      </c>
      <c r="Z2609" s="269" t="str">
        <f ca="1">IF(D2609="","",IF(T2609="","",VLOOKUP(D2609,契約台帳!$A$3:$E$4986,5,FALSE)))</f>
        <v>リンテック㈱</v>
      </c>
      <c r="AA2609" s="57"/>
      <c r="AB2609" s="207" t="str">
        <f>IFERROR((VLOOKUP(F2609&amp;K2609&amp;M2609,製品マスタ!$M$5:$AM$5002,27,FALSE)),"")</f>
        <v>原反ケース再利用</v>
      </c>
      <c r="AC2609" s="33"/>
      <c r="AD2609" s="189"/>
      <c r="AE2609" s="54"/>
      <c r="AF2609" s="55">
        <f>+M2609*N2609*O2609/1000</f>
        <v>24000</v>
      </c>
      <c r="AG2609" s="43"/>
      <c r="AH2609" s="47"/>
      <c r="AI2609" s="30"/>
      <c r="AJ2609" s="30"/>
      <c r="AK2609" s="30"/>
      <c r="AL2609" s="30"/>
      <c r="AM2609" s="13"/>
      <c r="AN2609" s="13"/>
      <c r="AO2609" s="13"/>
      <c r="AP2609" s="13"/>
      <c r="AQ2609" s="13"/>
      <c r="AR2609" s="14"/>
      <c r="AS2609" s="15"/>
    </row>
    <row r="2610" spans="1:45" s="17" customFormat="1" ht="30.95" hidden="1" customHeight="1" x14ac:dyDescent="0.2">
      <c r="A2610" s="343"/>
      <c r="B2610" s="344"/>
      <c r="C2610" s="345"/>
      <c r="D2610" s="346"/>
      <c r="E2610" s="346"/>
      <c r="F2610" s="268"/>
      <c r="G2610" s="269"/>
      <c r="H2610" s="269"/>
      <c r="I2610" s="270"/>
      <c r="J2610" s="434"/>
      <c r="K2610" s="270"/>
      <c r="L2610" s="270"/>
      <c r="M2610" s="348"/>
      <c r="N2610" s="348"/>
      <c r="O2610" s="435"/>
      <c r="P2610" s="349"/>
      <c r="Q2610" s="350"/>
      <c r="R2610" s="271"/>
      <c r="S2610" s="272"/>
      <c r="T2610" s="273"/>
      <c r="U2610" s="351"/>
      <c r="V2610" s="274"/>
      <c r="W2610" s="269"/>
      <c r="X2610" s="269"/>
      <c r="Y2610" s="275"/>
      <c r="Z2610" s="269"/>
      <c r="AA2610" s="350"/>
      <c r="AB2610" s="207"/>
      <c r="AC2610" s="352"/>
      <c r="AD2610" s="353"/>
      <c r="AE2610" s="54"/>
      <c r="AF2610" s="354"/>
      <c r="AG2610" s="355"/>
      <c r="AH2610" s="349"/>
      <c r="AI2610" s="30"/>
      <c r="AJ2610" s="30"/>
      <c r="AK2610" s="30"/>
      <c r="AL2610" s="30"/>
      <c r="AM2610" s="13"/>
      <c r="AN2610" s="13"/>
      <c r="AO2610" s="13"/>
      <c r="AP2610" s="13"/>
      <c r="AQ2610" s="13"/>
      <c r="AR2610" s="14"/>
      <c r="AS2610" s="15"/>
    </row>
    <row r="2611" spans="1:45" s="17" customFormat="1" ht="30.6" hidden="1" customHeight="1" x14ac:dyDescent="0.2">
      <c r="A2611" s="343" t="s">
        <v>3230</v>
      </c>
      <c r="B2611" s="344" t="s">
        <v>3225</v>
      </c>
      <c r="C2611" s="45"/>
      <c r="D2611" s="31">
        <v>3778931</v>
      </c>
      <c r="E2611" s="31">
        <v>4142321</v>
      </c>
      <c r="F2611" s="268" t="str">
        <f>IF(D2611="","",VLOOKUP(D2611,契約台帳!$A$3:$K$4986,6,FALSE)&amp;VLOOKUP(D2611,契約台帳!$A$3:$K$4986,7,FALSE)&amp;VLOOKUP(D2611,契約台帳!$A$3:$K$4986,8,FALSE)&amp;VLOOKUP(D2611,契約台帳!$A$3:$K$4986,9,FALSE)&amp;VLOOKUP(D2611,契約台帳!$A$3:$K$4986,11,FALSE))</f>
        <v>3SNMCLBNGKEYKB</v>
      </c>
      <c r="G2611" s="269" t="str">
        <f>IF(D2611="","",VLOOKUP(F2611,製品マスタ!$G$5:$H$5002,2,FALSE))</f>
        <v>S</v>
      </c>
      <c r="H2611" s="269" t="str">
        <f>IF(D2611="","",VLOOKUP(F2611,製品マスタ!$G$5:$K$5002,5,FALSE))</f>
        <v>NGKEYKB</v>
      </c>
      <c r="I2611" s="270" t="str">
        <f>IF(D2611="","",VLOOKUP(F2611,製品マスタ!$G$5:$L$5002,6,FALSE))</f>
        <v>メタルミー　ネーマー銀消ＥＹＫ　Ｂ</v>
      </c>
      <c r="J2611" s="210" t="s">
        <v>447</v>
      </c>
      <c r="K2611" s="270">
        <f>IF(D2611="","",VLOOKUP(D2611,契約台帳!$A$3:$L$4986,12,FALSE))</f>
        <v>16</v>
      </c>
      <c r="L2611" s="270" t="str">
        <f>IF(D2611="","",INDEX(製品マスタ!$Q$5:$Q$5002,MATCH('S4'!F2611&amp;'S4'!K2611,製品マスタ!$AO$5:$AO$5002,0)))</f>
        <v>LUMIMAT</v>
      </c>
      <c r="M2611" s="39">
        <v>1005</v>
      </c>
      <c r="N2611" s="39">
        <v>3200</v>
      </c>
      <c r="O2611" s="156">
        <v>1</v>
      </c>
      <c r="P2611" s="47">
        <v>1</v>
      </c>
      <c r="Q2611" s="57"/>
      <c r="R2611" s="271">
        <f ca="1">IF(D2611="","",IF(OFFSET(D2611,-1,0)&lt;&gt;"","",IF(OR(J2611="リード付け",J2611="巻足し",J2611="巻返しリード付け"),M2611,VLOOKUP(D2611,契約台帳!$A$3:$N$4986,14,FALSE))))</f>
        <v>1000</v>
      </c>
      <c r="S2611" s="272">
        <f ca="1">IF(D2611="","",IF(OFFSET(D2611,-1,0)&lt;&gt;"","",IF(OR(J2611="リード付け",J2611="巻足し",J2611="巻返しリード付け"),M2611,VLOOKUP(D2611,契約台帳!$A$3:$O$4986,15,FALSE))))</f>
        <v>1000</v>
      </c>
      <c r="T2611" s="273">
        <f ca="1">IF(D2611="","",IF(J2611="リード付け",N2611,IF(J2611="巻返しリード付け",N2611,IF(J2611="巻足し",N2611*P2611+OFFSET(N2611,1,0)*OFFSET(P2611,1,0),VLOOKUP(D2611,契約台帳!$A$3:$P$4986,16,FALSE)))))</f>
        <v>3200</v>
      </c>
      <c r="U2611" s="40">
        <v>1</v>
      </c>
      <c r="V2611" s="274">
        <f ca="1">IF(D2611="","",IF(OFFSET(D2611,-2,0)=D2611,"",VLOOKUP(D2611,契約台帳!$A$3:$R$4986,18,FALSE)))</f>
        <v>1</v>
      </c>
      <c r="W2611" s="269" t="str">
        <f ca="1">IF(D2611="","",IF(T2611="","",IF(OR(J2611="巻足し",J2611="巻返しリード付け"),"",IF(J2611="巻返し",VLOOKUP(F2611&amp;K2611&amp;M2611,製品マスタ!$M$5:$AD$5002,18,FALSE),IF(OR(J2611="リード付け",J2611="巻返しリード付け"),"原反コア",IF(J2611="スリット",VLOOKUP(F2611&amp;K2611&amp;R2611,製品マスタ!$N$5:$AD$5002,17,FALSE),""))))))</f>
        <v>6ｲﾝﾁMｺｱ</v>
      </c>
      <c r="X2611" s="269">
        <f ca="1">IF(D2611="","",IF(T2611="","",IF(J2611="巻足し","",IF(J2611="巻返し",VLOOKUP(F2611&amp;K2611&amp;M2611,製品マスタ!$M$5:$AE$5002,19,FALSE),IF(OR(J2611="リード付け",J2611="巻返しリード付け"),"",IF(J2611="スリット",VLOOKUP(F2611&amp;K2611&amp;R2611,製品マスタ!$N$5:$AE$5002,18,FALSE),""))))))</f>
        <v>1015</v>
      </c>
      <c r="Y2611" s="275">
        <f ca="1">IF(D2611="","",IF(T2611="","",VLOOKUP(D2611,契約台帳!$A$3:$Q$4986,17,FALSE)))</f>
        <v>2</v>
      </c>
      <c r="Z2611" s="269" t="str">
        <f ca="1">IF(D2611="","",IF(T2611="","",VLOOKUP(D2611,契約台帳!$A$3:$E$4986,5,FALSE)))</f>
        <v>リンテック㈱</v>
      </c>
      <c r="AA2611" s="57"/>
      <c r="AB2611" s="207"/>
      <c r="AC2611" s="33"/>
      <c r="AD2611" s="189"/>
      <c r="AE2611" s="54"/>
      <c r="AF2611" s="55"/>
      <c r="AG2611" s="43"/>
      <c r="AH2611" s="47"/>
      <c r="AI2611" s="30"/>
      <c r="AJ2611" s="30"/>
      <c r="AK2611" s="30"/>
      <c r="AL2611" s="30"/>
      <c r="AM2611" s="13"/>
      <c r="AN2611" s="13"/>
      <c r="AO2611" s="13"/>
      <c r="AP2611" s="13"/>
      <c r="AQ2611" s="13"/>
      <c r="AR2611" s="14"/>
      <c r="AS2611" s="15"/>
    </row>
    <row r="2612" spans="1:45" s="17" customFormat="1" ht="30.95" hidden="1" customHeight="1" x14ac:dyDescent="0.2">
      <c r="A2612" s="343"/>
      <c r="B2612" s="344"/>
      <c r="C2612" s="345"/>
      <c r="D2612" s="346"/>
      <c r="E2612" s="346"/>
      <c r="F2612" s="268"/>
      <c r="G2612" s="269"/>
      <c r="H2612" s="269"/>
      <c r="I2612" s="270"/>
      <c r="J2612" s="434"/>
      <c r="K2612" s="270"/>
      <c r="L2612" s="270"/>
      <c r="M2612" s="348"/>
      <c r="N2612" s="348"/>
      <c r="O2612" s="435"/>
      <c r="P2612" s="349"/>
      <c r="Q2612" s="350"/>
      <c r="R2612" s="271"/>
      <c r="S2612" s="272"/>
      <c r="T2612" s="273"/>
      <c r="U2612" s="351"/>
      <c r="V2612" s="274"/>
      <c r="W2612" s="269"/>
      <c r="X2612" s="269"/>
      <c r="Y2612" s="275"/>
      <c r="Z2612" s="269"/>
      <c r="AA2612" s="350"/>
      <c r="AB2612" s="207"/>
      <c r="AC2612" s="352"/>
      <c r="AD2612" s="353"/>
      <c r="AE2612" s="54"/>
      <c r="AF2612" s="354"/>
      <c r="AG2612" s="355"/>
      <c r="AH2612" s="349"/>
      <c r="AI2612" s="30"/>
      <c r="AJ2612" s="30"/>
      <c r="AK2612" s="30"/>
      <c r="AL2612" s="30"/>
      <c r="AM2612" s="13"/>
      <c r="AN2612" s="13"/>
      <c r="AO2612" s="13"/>
      <c r="AP2612" s="13"/>
      <c r="AQ2612" s="13"/>
      <c r="AR2612" s="14"/>
      <c r="AS2612" s="15"/>
    </row>
    <row r="2613" spans="1:45" s="17" customFormat="1" ht="30.6" hidden="1" customHeight="1" x14ac:dyDescent="0.2">
      <c r="A2613" s="343" t="s">
        <v>600</v>
      </c>
      <c r="B2613" s="344" t="s">
        <v>443</v>
      </c>
      <c r="C2613" s="45"/>
      <c r="D2613" s="31">
        <v>3778937</v>
      </c>
      <c r="E2613" s="31">
        <v>4142323</v>
      </c>
      <c r="F2613" s="268" t="str">
        <f>IF(D2613="","",VLOOKUP(D2613,契約台帳!$A$3:$K$4986,6,FALSE)&amp;VLOOKUP(D2613,契約台帳!$A$3:$K$4986,7,FALSE)&amp;VLOOKUP(D2613,契約台帳!$A$3:$K$4986,8,FALSE)&amp;VLOOKUP(D2613,契約台帳!$A$3:$K$4986,9,FALSE)&amp;VLOOKUP(D2613,契約台帳!$A$3:$K$4986,11,FALSE))</f>
        <v>3SNMCLBNGTVB</v>
      </c>
      <c r="G2613" s="269" t="str">
        <f>IF(D2613="","",VLOOKUP(F2613,製品マスタ!$G$5:$H$5002,2,FALSE))</f>
        <v>S</v>
      </c>
      <c r="H2613" s="269" t="str">
        <f>IF(D2613="","",VLOOKUP(F2613,製品マスタ!$G$5:$K$5002,5,FALSE))</f>
        <v>NGTVB</v>
      </c>
      <c r="I2613" s="270" t="str">
        <f>IF(D2613="","",VLOOKUP(F2613,製品マスタ!$G$5:$L$5002,6,FALSE))</f>
        <v>メタルミー　ネーマー　銀艶ＶＢ</v>
      </c>
      <c r="J2613" s="210" t="s">
        <v>447</v>
      </c>
      <c r="K2613" s="270">
        <f>IF(D2613="","",VLOOKUP(D2613,契約台帳!$A$3:$L$4986,12,FALSE))</f>
        <v>50</v>
      </c>
      <c r="L2613" s="270" t="str">
        <f>IF(D2613="","",INDEX(製品マスタ!$Q$5:$Q$5002,MATCH('S4'!F2613&amp;'S4'!K2613,製品マスタ!$AO$5:$AO$5002,0)))</f>
        <v>T62M</v>
      </c>
      <c r="M2613" s="39">
        <v>1040</v>
      </c>
      <c r="N2613" s="39">
        <v>6000</v>
      </c>
      <c r="O2613" s="156">
        <v>1</v>
      </c>
      <c r="P2613" s="47">
        <v>1</v>
      </c>
      <c r="Q2613" s="57"/>
      <c r="R2613" s="271">
        <f ca="1">IF(D2613="","",IF(OFFSET(D2613,-1,0)&lt;&gt;"","",IF(OR(J2613="リード付け",J2613="巻足し",J2613="巻返しリード付け"),M2613,VLOOKUP(D2613,契約台帳!$A$3:$N$4986,14,FALSE))))</f>
        <v>1000</v>
      </c>
      <c r="S2613" s="272">
        <f ca="1">IF(D2613="","",IF(OFFSET(D2613,-1,0)&lt;&gt;"","",IF(OR(J2613="リード付け",J2613="巻足し",J2613="巻返しリード付け"),M2613,VLOOKUP(D2613,契約台帳!$A$3:$O$4986,15,FALSE))))</f>
        <v>1000</v>
      </c>
      <c r="T2613" s="273">
        <f ca="1">IF(D2613="","",IF(J2613="リード付け",N2613,IF(J2613="巻返しリード付け",N2613,IF(J2613="巻足し",N2613*P2613+OFFSET(N2613,1,0)*OFFSET(P2613,1,0),VLOOKUP(D2613,契約台帳!$A$3:$P$4986,16,FALSE)))))</f>
        <v>3000</v>
      </c>
      <c r="U2613" s="40">
        <v>2</v>
      </c>
      <c r="V2613" s="274">
        <f ca="1">IF(D2613="","",IF(OFFSET(D2613,-2,0)=D2613,"",VLOOKUP(D2613,契約台帳!$A$3:$R$4986,18,FALSE)))</f>
        <v>2</v>
      </c>
      <c r="W2613" s="269" t="str">
        <f ca="1">IF(D2613="","",IF(T2613="","",IF(OR(J2613="巻足し",J2613="巻返しリード付け"),"",IF(J2613="巻返し",VLOOKUP(F2613&amp;K2613&amp;M2613,製品マスタ!$M$5:$AD$5002,18,FALSE),IF(OR(J2613="リード付け",J2613="巻返しリード付け"),"原反コア",IF(J2613="スリット",VLOOKUP(F2613&amp;K2613&amp;R2613,製品マスタ!$N$5:$AD$5002,17,FALSE),""))))))</f>
        <v>6ｲﾝﾁMｺｱ</v>
      </c>
      <c r="X2613" s="269">
        <f ca="1">IF(D2613="","",IF(T2613="","",IF(J2613="巻足し","",IF(J2613="巻返し",VLOOKUP(F2613&amp;K2613&amp;M2613,製品マスタ!$M$5:$AE$5002,19,FALSE),IF(OR(J2613="リード付け",J2613="巻返しリード付け"),"",IF(J2613="スリット",VLOOKUP(F2613&amp;K2613&amp;R2613,製品マスタ!$N$5:$AE$5002,18,FALSE),""))))))</f>
        <v>1015</v>
      </c>
      <c r="Y2613" s="275">
        <f ca="1">IF(D2613="","",IF(T2613="","",VLOOKUP(D2613,契約台帳!$A$3:$Q$4986,17,FALSE)))</f>
        <v>2</v>
      </c>
      <c r="Z2613" s="269" t="str">
        <f ca="1">IF(D2613="","",IF(T2613="","",VLOOKUP(D2613,契約台帳!$A$3:$E$4986,5,FALSE)))</f>
        <v>リンテック㈱</v>
      </c>
      <c r="AA2613" s="57"/>
      <c r="AB2613" s="207"/>
      <c r="AC2613" s="33"/>
      <c r="AD2613" s="189"/>
      <c r="AE2613" s="54"/>
      <c r="AF2613" s="55"/>
      <c r="AG2613" s="43"/>
      <c r="AH2613" s="47"/>
      <c r="AI2613" s="30"/>
      <c r="AJ2613" s="30"/>
      <c r="AK2613" s="30"/>
      <c r="AL2613" s="30"/>
      <c r="AM2613" s="13"/>
      <c r="AN2613" s="13"/>
      <c r="AO2613" s="13"/>
      <c r="AP2613" s="13"/>
      <c r="AQ2613" s="13"/>
      <c r="AR2613" s="14"/>
      <c r="AS2613" s="15"/>
    </row>
    <row r="2614" spans="1:45" s="17" customFormat="1" ht="30.95" hidden="1" customHeight="1" x14ac:dyDescent="0.2">
      <c r="A2614" s="343"/>
      <c r="B2614" s="344"/>
      <c r="C2614" s="345"/>
      <c r="D2614" s="346"/>
      <c r="E2614" s="346"/>
      <c r="F2614" s="268"/>
      <c r="G2614" s="269"/>
      <c r="H2614" s="269"/>
      <c r="I2614" s="270"/>
      <c r="J2614" s="434"/>
      <c r="K2614" s="270"/>
      <c r="L2614" s="270"/>
      <c r="M2614" s="348"/>
      <c r="N2614" s="348"/>
      <c r="O2614" s="435"/>
      <c r="P2614" s="349"/>
      <c r="Q2614" s="350"/>
      <c r="R2614" s="271"/>
      <c r="S2614" s="272"/>
      <c r="T2614" s="273"/>
      <c r="U2614" s="351"/>
      <c r="V2614" s="274"/>
      <c r="W2614" s="269"/>
      <c r="X2614" s="269"/>
      <c r="Y2614" s="275"/>
      <c r="Z2614" s="269"/>
      <c r="AA2614" s="350"/>
      <c r="AB2614" s="207"/>
      <c r="AC2614" s="352"/>
      <c r="AD2614" s="353"/>
      <c r="AE2614" s="54"/>
      <c r="AF2614" s="354"/>
      <c r="AG2614" s="355"/>
      <c r="AH2614" s="349"/>
      <c r="AI2614" s="30"/>
      <c r="AJ2614" s="30"/>
      <c r="AK2614" s="30"/>
      <c r="AL2614" s="30"/>
      <c r="AM2614" s="13"/>
      <c r="AN2614" s="13"/>
      <c r="AO2614" s="13"/>
      <c r="AP2614" s="13"/>
      <c r="AQ2614" s="13"/>
      <c r="AR2614" s="14"/>
      <c r="AS2614" s="15"/>
    </row>
    <row r="2615" spans="1:45" s="17" customFormat="1" ht="30.6" hidden="1" customHeight="1" x14ac:dyDescent="0.2">
      <c r="A2615" s="343"/>
      <c r="B2615" s="344"/>
      <c r="C2615" s="45"/>
      <c r="D2615" s="31">
        <v>3778941</v>
      </c>
      <c r="E2615" s="31">
        <v>4142409</v>
      </c>
      <c r="F2615" s="268" t="str">
        <f>IF(D2615="","",VLOOKUP(D2615,契約台帳!$A$3:$K$4986,6,FALSE)&amp;VLOOKUP(D2615,契約台帳!$A$3:$K$4986,7,FALSE)&amp;VLOOKUP(D2615,契約台帳!$A$3:$K$4986,8,FALSE)&amp;VLOOKUP(D2615,契約台帳!$A$3:$K$4986,9,FALSE)&amp;VLOOKUP(D2615,契約台帳!$A$3:$K$4986,11,FALSE))</f>
        <v>33SSNMCLBTETKFV</v>
      </c>
      <c r="G2615" s="269" t="str">
        <f>IF(D2615="","",VLOOKUP(F2615,製品マスタ!$G$5:$H$5002,2,FALSE))</f>
        <v>S</v>
      </c>
      <c r="H2615" s="269" t="str">
        <f>IF(D2615="","",VLOOKUP(F2615,製品マスタ!$G$5:$K$5002,5,FALSE))</f>
        <v>TETKFV</v>
      </c>
      <c r="I2615" s="270" t="str">
        <f>IF(D2615="","",VLOOKUP(F2615,製品マスタ!$G$5:$L$5002,6,FALSE))</f>
        <v>メタルミー　ＴＥＳ艶開封　Ｖ</v>
      </c>
      <c r="J2615" s="210" t="s">
        <v>447</v>
      </c>
      <c r="K2615" s="270">
        <f>IF(D2615="","",VLOOKUP(D2615,契約台帳!$A$3:$L$4986,12,FALSE))</f>
        <v>50</v>
      </c>
      <c r="L2615" s="270" t="str">
        <f>IF(D2615="","",INDEX(製品マスタ!$Q$5:$Q$5002,MATCH('S4'!F2615&amp;'S4'!K2615,製品マスタ!$AO$5:$AO$5002,0)))</f>
        <v>S28SEPA</v>
      </c>
      <c r="M2615" s="39">
        <v>1005</v>
      </c>
      <c r="N2615" s="39">
        <v>12300</v>
      </c>
      <c r="O2615" s="156">
        <v>2</v>
      </c>
      <c r="P2615" s="47">
        <v>2</v>
      </c>
      <c r="Q2615" s="57"/>
      <c r="R2615" s="271">
        <f ca="1">IF(D2615="","",IF(OFFSET(D2615,-1,0)&lt;&gt;"","",IF(OR(J2615="リード付け",J2615="巻足し",J2615="巻返しリード付け"),M2615,VLOOKUP(D2615,契約台帳!$A$3:$N$4986,14,FALSE))))</f>
        <v>1005</v>
      </c>
      <c r="S2615" s="272">
        <f ca="1">IF(D2615="","",IF(OFFSET(D2615,-1,0)&lt;&gt;"","",IF(OR(J2615="リード付け",J2615="巻足し",J2615="巻返しリード付け"),M2615,VLOOKUP(D2615,契約台帳!$A$3:$O$4986,15,FALSE))))</f>
        <v>1000</v>
      </c>
      <c r="T2615" s="273">
        <f ca="1">IF(D2615="","",IF(J2615="リード付け",N2615,IF(J2615="巻返しリード付け",N2615,IF(J2615="巻足し",N2615*P2615+OFFSET(N2615,1,0)*OFFSET(P2615,1,0),VLOOKUP(D2615,契約台帳!$A$3:$P$4986,16,FALSE)))))</f>
        <v>4100</v>
      </c>
      <c r="U2615" s="40">
        <v>6</v>
      </c>
      <c r="V2615" s="274">
        <f ca="1">IF(D2615="","",IF(OFFSET(D2615,-2,0)=D2615,"",VLOOKUP(D2615,契約台帳!$A$3:$R$4986,18,FALSE)))</f>
        <v>6</v>
      </c>
      <c r="W2615" s="269" t="str">
        <f ca="1">IF(D2615="","",IF(T2615="","",IF(OR(J2615="巻足し",J2615="巻返しリード付け"),"",IF(J2615="巻返し",VLOOKUP(F2615&amp;K2615&amp;M2615,製品マスタ!$M$5:$AD$5002,18,FALSE),IF(OR(J2615="リード付け",J2615="巻返しリード付け"),"原反コア",IF(J2615="スリット",VLOOKUP(F2615&amp;K2615&amp;R2615,製品マスタ!$N$5:$AD$5002,17,FALSE),""))))))</f>
        <v>6ｲﾝﾁSｺｱ</v>
      </c>
      <c r="X2615" s="269">
        <f ca="1">IF(D2615="","",IF(T2615="","",IF(J2615="巻足し","",IF(J2615="巻返し",VLOOKUP(F2615&amp;K2615&amp;M2615,製品マスタ!$M$5:$AE$5002,19,FALSE),IF(OR(J2615="リード付け",J2615="巻返しリード付け"),"",IF(J2615="スリット",VLOOKUP(F2615&amp;K2615&amp;R2615,製品マスタ!$N$5:$AE$5002,18,FALSE),""))))))</f>
        <v>1015</v>
      </c>
      <c r="Y2615" s="275">
        <f ca="1">IF(D2615="","",IF(T2615="","",VLOOKUP(D2615,契約台帳!$A$3:$Q$4986,17,FALSE)))</f>
        <v>2</v>
      </c>
      <c r="Z2615" s="269" t="str">
        <f ca="1">IF(D2615="","",IF(T2615="","",VLOOKUP(D2615,契約台帳!$A$3:$E$4986,5,FALSE)))</f>
        <v>リンテック㈱</v>
      </c>
      <c r="AA2615" s="57"/>
      <c r="AB2615" s="207"/>
      <c r="AC2615" s="33"/>
      <c r="AD2615" s="189"/>
      <c r="AE2615" s="54"/>
      <c r="AF2615" s="55"/>
      <c r="AG2615" s="43"/>
      <c r="AH2615" s="47"/>
      <c r="AI2615" s="30"/>
      <c r="AJ2615" s="30"/>
      <c r="AK2615" s="30"/>
      <c r="AL2615" s="30"/>
      <c r="AM2615" s="13"/>
      <c r="AN2615" s="13"/>
      <c r="AO2615" s="13"/>
      <c r="AP2615" s="13"/>
      <c r="AQ2615" s="13"/>
      <c r="AR2615" s="14"/>
      <c r="AS2615" s="15"/>
    </row>
    <row r="2616" spans="1:45" s="17" customFormat="1" ht="30.95" hidden="1" customHeight="1" x14ac:dyDescent="0.2">
      <c r="A2616" s="343"/>
      <c r="B2616" s="344"/>
      <c r="C2616" s="345"/>
      <c r="D2616" s="346"/>
      <c r="E2616" s="346"/>
      <c r="F2616" s="268"/>
      <c r="G2616" s="269"/>
      <c r="H2616" s="269"/>
      <c r="I2616" s="270"/>
      <c r="J2616" s="434"/>
      <c r="K2616" s="270"/>
      <c r="L2616" s="270"/>
      <c r="M2616" s="348"/>
      <c r="N2616" s="348"/>
      <c r="O2616" s="435"/>
      <c r="P2616" s="349"/>
      <c r="Q2616" s="350"/>
      <c r="R2616" s="271"/>
      <c r="S2616" s="272"/>
      <c r="T2616" s="273"/>
      <c r="U2616" s="351"/>
      <c r="V2616" s="274"/>
      <c r="W2616" s="269"/>
      <c r="X2616" s="269"/>
      <c r="Y2616" s="275"/>
      <c r="Z2616" s="269"/>
      <c r="AA2616" s="350"/>
      <c r="AB2616" s="207"/>
      <c r="AC2616" s="352"/>
      <c r="AD2616" s="353"/>
      <c r="AE2616" s="54"/>
      <c r="AF2616" s="354"/>
      <c r="AG2616" s="355"/>
      <c r="AH2616" s="349"/>
      <c r="AI2616" s="30"/>
      <c r="AJ2616" s="30"/>
      <c r="AK2616" s="30"/>
      <c r="AL2616" s="30"/>
      <c r="AM2616" s="13"/>
      <c r="AN2616" s="13"/>
      <c r="AO2616" s="13"/>
      <c r="AP2616" s="13"/>
      <c r="AQ2616" s="13"/>
      <c r="AR2616" s="14"/>
      <c r="AS2616" s="15"/>
    </row>
    <row r="2617" spans="1:45" s="17" customFormat="1" ht="30.6" hidden="1" customHeight="1" x14ac:dyDescent="0.2">
      <c r="A2617" s="343"/>
      <c r="B2617" s="344"/>
      <c r="C2617" s="45"/>
      <c r="D2617" s="31">
        <v>3778939</v>
      </c>
      <c r="E2617" s="31">
        <v>4142318</v>
      </c>
      <c r="F2617" s="268" t="str">
        <f>IF(D2617="","",VLOOKUP(D2617,契約台帳!$A$3:$K$4986,6,FALSE)&amp;VLOOKUP(D2617,契約台帳!$A$3:$K$4986,7,FALSE)&amp;VLOOKUP(D2617,契約台帳!$A$3:$K$4986,8,FALSE)&amp;VLOOKUP(D2617,契約台帳!$A$3:$K$4986,9,FALSE)&amp;VLOOKUP(D2617,契約台帳!$A$3:$K$4986,11,FALSE))</f>
        <v>33SSNMCLBTEKKFV</v>
      </c>
      <c r="G2617" s="269" t="str">
        <f>IF(D2617="","",VLOOKUP(F2617,製品マスタ!$G$5:$H$5002,2,FALSE))</f>
        <v>S</v>
      </c>
      <c r="H2617" s="269" t="str">
        <f>IF(D2617="","",VLOOKUP(F2617,製品マスタ!$G$5:$K$5002,5,FALSE))</f>
        <v>TEKKFV</v>
      </c>
      <c r="I2617" s="270" t="str">
        <f>IF(D2617="","",VLOOKUP(F2617,製品マスタ!$G$5:$L$5002,6,FALSE))</f>
        <v>メタルミー　ＴＥＳ消開封　Ｖ</v>
      </c>
      <c r="J2617" s="210" t="s">
        <v>447</v>
      </c>
      <c r="K2617" s="270">
        <f>IF(D2617="","",VLOOKUP(D2617,契約台帳!$A$3:$L$4986,12,FALSE))</f>
        <v>50</v>
      </c>
      <c r="L2617" s="270" t="str">
        <f>IF(D2617="","",INDEX(製品マスタ!$Q$5:$Q$5002,MATCH('S4'!F2617&amp;'S4'!K2617,製品マスタ!$AO$5:$AO$5002,0)))</f>
        <v>X44SEPA</v>
      </c>
      <c r="M2617" s="39">
        <v>1005</v>
      </c>
      <c r="N2617" s="39">
        <v>12000</v>
      </c>
      <c r="O2617" s="156">
        <v>2</v>
      </c>
      <c r="P2617" s="47">
        <v>2</v>
      </c>
      <c r="Q2617" s="57"/>
      <c r="R2617" s="271">
        <f ca="1">IF(D2617="","",IF(OFFSET(D2617,-1,0)&lt;&gt;"","",IF(OR(J2617="リード付け",J2617="巻足し",J2617="巻返しリード付け"),M2617,VLOOKUP(D2617,契約台帳!$A$3:$N$4986,14,FALSE))))</f>
        <v>1005</v>
      </c>
      <c r="S2617" s="272">
        <f ca="1">IF(D2617="","",IF(OFFSET(D2617,-1,0)&lt;&gt;"","",IF(OR(J2617="リード付け",J2617="巻足し",J2617="巻返しリード付け"),M2617,VLOOKUP(D2617,契約台帳!$A$3:$O$4986,15,FALSE))))</f>
        <v>1000</v>
      </c>
      <c r="T2617" s="273">
        <f ca="1">IF(D2617="","",IF(J2617="リード付け",N2617,IF(J2617="巻返しリード付け",N2617,IF(J2617="巻足し",N2617*P2617+OFFSET(N2617,1,0)*OFFSET(P2617,1,0),VLOOKUP(D2617,契約台帳!$A$3:$P$4986,16,FALSE)))))</f>
        <v>4000</v>
      </c>
      <c r="U2617" s="40">
        <v>6</v>
      </c>
      <c r="V2617" s="274">
        <f ca="1">IF(D2617="","",IF(OFFSET(D2617,-2,0)=D2617,"",VLOOKUP(D2617,契約台帳!$A$3:$R$4986,18,FALSE)))</f>
        <v>6</v>
      </c>
      <c r="W2617" s="269" t="str">
        <f ca="1">IF(D2617="","",IF(T2617="","",IF(OR(J2617="巻足し",J2617="巻返しリード付け"),"",IF(J2617="巻返し",VLOOKUP(F2617&amp;K2617&amp;M2617,製品マスタ!$M$5:$AD$5002,18,FALSE),IF(OR(J2617="リード付け",J2617="巻返しリード付け"),"原反コア",IF(J2617="スリット",VLOOKUP(F2617&amp;K2617&amp;R2617,製品マスタ!$N$5:$AD$5002,17,FALSE),""))))))</f>
        <v>6ｲﾝﾁSｺｱ</v>
      </c>
      <c r="X2617" s="269">
        <f ca="1">IF(D2617="","",IF(T2617="","",IF(J2617="巻足し","",IF(J2617="巻返し",VLOOKUP(F2617&amp;K2617&amp;M2617,製品マスタ!$M$5:$AE$5002,19,FALSE),IF(OR(J2617="リード付け",J2617="巻返しリード付け"),"",IF(J2617="スリット",VLOOKUP(F2617&amp;K2617&amp;R2617,製品マスタ!$N$5:$AE$5002,18,FALSE),""))))))</f>
        <v>1015</v>
      </c>
      <c r="Y2617" s="275">
        <f ca="1">IF(D2617="","",IF(T2617="","",VLOOKUP(D2617,契約台帳!$A$3:$Q$4986,17,FALSE)))</f>
        <v>2</v>
      </c>
      <c r="Z2617" s="269" t="str">
        <f ca="1">IF(D2617="","",IF(T2617="","",VLOOKUP(D2617,契約台帳!$A$3:$E$4986,5,FALSE)))</f>
        <v>リンテック㈱</v>
      </c>
      <c r="AA2617" s="57"/>
      <c r="AB2617" s="207"/>
      <c r="AC2617" s="33"/>
      <c r="AD2617" s="189"/>
      <c r="AE2617" s="54"/>
      <c r="AF2617" s="55"/>
      <c r="AG2617" s="43"/>
      <c r="AH2617" s="47"/>
      <c r="AI2617" s="30"/>
      <c r="AJ2617" s="30"/>
      <c r="AK2617" s="30"/>
      <c r="AL2617" s="30"/>
      <c r="AM2617" s="13"/>
      <c r="AN2617" s="13"/>
      <c r="AO2617" s="13"/>
      <c r="AP2617" s="13"/>
      <c r="AQ2617" s="13"/>
      <c r="AR2617" s="14"/>
      <c r="AS2617" s="15"/>
    </row>
    <row r="2618" spans="1:45" s="17" customFormat="1" ht="30.95" hidden="1" customHeight="1" x14ac:dyDescent="0.2">
      <c r="A2618" s="343"/>
      <c r="B2618" s="344"/>
      <c r="C2618" s="345"/>
      <c r="D2618" s="346"/>
      <c r="E2618" s="346"/>
      <c r="F2618" s="268"/>
      <c r="G2618" s="269"/>
      <c r="H2618" s="269"/>
      <c r="I2618" s="270"/>
      <c r="J2618" s="434"/>
      <c r="K2618" s="270"/>
      <c r="L2618" s="270"/>
      <c r="M2618" s="348"/>
      <c r="N2618" s="348"/>
      <c r="O2618" s="435"/>
      <c r="P2618" s="349"/>
      <c r="Q2618" s="350"/>
      <c r="R2618" s="271"/>
      <c r="S2618" s="272"/>
      <c r="T2618" s="273"/>
      <c r="U2618" s="351"/>
      <c r="V2618" s="274"/>
      <c r="W2618" s="269"/>
      <c r="X2618" s="269"/>
      <c r="Y2618" s="275"/>
      <c r="Z2618" s="269"/>
      <c r="AA2618" s="350"/>
      <c r="AB2618" s="207"/>
      <c r="AC2618" s="352"/>
      <c r="AD2618" s="353"/>
      <c r="AE2618" s="54"/>
      <c r="AF2618" s="354"/>
      <c r="AG2618" s="355"/>
      <c r="AH2618" s="349"/>
      <c r="AI2618" s="30"/>
      <c r="AJ2618" s="30"/>
      <c r="AK2618" s="30"/>
      <c r="AL2618" s="30"/>
      <c r="AM2618" s="13"/>
      <c r="AN2618" s="13"/>
      <c r="AO2618" s="13"/>
      <c r="AP2618" s="13"/>
      <c r="AQ2618" s="13"/>
      <c r="AR2618" s="14"/>
      <c r="AS2618" s="15"/>
    </row>
    <row r="2619" spans="1:45" s="17" customFormat="1" ht="30.6" hidden="1" customHeight="1" x14ac:dyDescent="0.2">
      <c r="A2619" s="343" t="s">
        <v>3248</v>
      </c>
      <c r="B2619" s="344" t="s">
        <v>3249</v>
      </c>
      <c r="C2619" s="45"/>
      <c r="D2619" s="31">
        <v>3778940</v>
      </c>
      <c r="E2619" s="31">
        <v>4142319</v>
      </c>
      <c r="F2619" s="268" t="str">
        <f>IF(D2619="","",VLOOKUP(D2619,契約台帳!$A$3:$K$4986,6,FALSE)&amp;VLOOKUP(D2619,契約台帳!$A$3:$K$4986,7,FALSE)&amp;VLOOKUP(D2619,契約台帳!$A$3:$K$4986,8,FALSE)&amp;VLOOKUP(D2619,契約台帳!$A$3:$K$4986,9,FALSE)&amp;VLOOKUP(D2619,契約台帳!$A$3:$K$4986,11,FALSE))</f>
        <v>33SSNMCLBTEKV0V</v>
      </c>
      <c r="G2619" s="269" t="str">
        <f>IF(D2619="","",VLOOKUP(F2619,製品マスタ!$G$5:$H$5002,2,FALSE))</f>
        <v>S</v>
      </c>
      <c r="H2619" s="269" t="str">
        <f>IF(D2619="","",VLOOKUP(F2619,製品マスタ!$G$5:$K$5002,5,FALSE))</f>
        <v>TEKV0V</v>
      </c>
      <c r="I2619" s="270" t="str">
        <f>IF(D2619="","",VLOOKUP(F2619,製品マスタ!$G$5:$L$5002,6,FALSE))</f>
        <v>メタルミー　ＴＥ－Ｓ消　ＶＯＩＤ　Ｖ</v>
      </c>
      <c r="J2619" s="210" t="s">
        <v>447</v>
      </c>
      <c r="K2619" s="270">
        <f>IF(D2619="","",VLOOKUP(D2619,契約台帳!$A$3:$L$4986,12,FALSE))</f>
        <v>50</v>
      </c>
      <c r="L2619" s="270" t="str">
        <f>IF(D2619="","",INDEX(製品マスタ!$Q$5:$Q$5002,MATCH('S4'!F2619&amp;'S4'!K2619,製品マスタ!$AO$5:$AO$5002,0)))</f>
        <v>X44SEPA</v>
      </c>
      <c r="M2619" s="39">
        <v>1005</v>
      </c>
      <c r="N2619" s="39">
        <v>12000</v>
      </c>
      <c r="O2619" s="156">
        <v>1</v>
      </c>
      <c r="P2619" s="47">
        <v>1</v>
      </c>
      <c r="Q2619" s="57"/>
      <c r="R2619" s="271">
        <f ca="1">IF(D2619="","",IF(OFFSET(D2619,-1,0)&lt;&gt;"","",IF(OR(J2619="リード付け",J2619="巻足し",J2619="巻返しリード付け"),M2619,VLOOKUP(D2619,契約台帳!$A$3:$N$4986,14,FALSE))))</f>
        <v>1005</v>
      </c>
      <c r="S2619" s="272">
        <f ca="1">IF(D2619="","",IF(OFFSET(D2619,-1,0)&lt;&gt;"","",IF(OR(J2619="リード付け",J2619="巻足し",J2619="巻返しリード付け"),M2619,VLOOKUP(D2619,契約台帳!$A$3:$O$4986,15,FALSE))))</f>
        <v>1000</v>
      </c>
      <c r="T2619" s="273">
        <f ca="1">IF(D2619="","",IF(J2619="リード付け",N2619,IF(J2619="巻返しリード付け",N2619,IF(J2619="巻足し",N2619*P2619+OFFSET(N2619,1,0)*OFFSET(P2619,1,0),VLOOKUP(D2619,契約台帳!$A$3:$P$4986,16,FALSE)))))</f>
        <v>4000</v>
      </c>
      <c r="U2619" s="40">
        <v>3</v>
      </c>
      <c r="V2619" s="274">
        <f ca="1">IF(D2619="","",IF(OFFSET(D2619,-2,0)=D2619,"",VLOOKUP(D2619,契約台帳!$A$3:$R$4986,18,FALSE)))</f>
        <v>3</v>
      </c>
      <c r="W2619" s="269" t="str">
        <f ca="1">IF(D2619="","",IF(T2619="","",IF(OR(J2619="巻足し",J2619="巻返しリード付け"),"",IF(J2619="巻返し",VLOOKUP(F2619&amp;K2619&amp;M2619,製品マスタ!$M$5:$AD$5002,18,FALSE),IF(OR(J2619="リード付け",J2619="巻返しリード付け"),"原反コア",IF(J2619="スリット",VLOOKUP(F2619&amp;K2619&amp;R2619,製品マスタ!$N$5:$AD$5002,17,FALSE),""))))))</f>
        <v>6ｲﾝﾁSｺｱ</v>
      </c>
      <c r="X2619" s="269">
        <f ca="1">IF(D2619="","",IF(T2619="","",IF(J2619="巻足し","",IF(J2619="巻返し",VLOOKUP(F2619&amp;K2619&amp;M2619,製品マスタ!$M$5:$AE$5002,19,FALSE),IF(OR(J2619="リード付け",J2619="巻返しリード付け"),"",IF(J2619="スリット",VLOOKUP(F2619&amp;K2619&amp;R2619,製品マスタ!$N$5:$AE$5002,18,FALSE),""))))))</f>
        <v>1015</v>
      </c>
      <c r="Y2619" s="275">
        <f ca="1">IF(D2619="","",IF(T2619="","",VLOOKUP(D2619,契約台帳!$A$3:$Q$4986,17,FALSE)))</f>
        <v>2</v>
      </c>
      <c r="Z2619" s="269" t="str">
        <f ca="1">IF(D2619="","",IF(T2619="","",VLOOKUP(D2619,契約台帳!$A$3:$E$4986,5,FALSE)))</f>
        <v>リンテック㈱</v>
      </c>
      <c r="AA2619" s="57"/>
      <c r="AB2619" s="207"/>
      <c r="AC2619" s="33"/>
      <c r="AD2619" s="189"/>
      <c r="AE2619" s="54"/>
      <c r="AF2619" s="55"/>
      <c r="AG2619" s="43"/>
      <c r="AH2619" s="47"/>
      <c r="AI2619" s="30"/>
      <c r="AJ2619" s="30"/>
      <c r="AK2619" s="30"/>
      <c r="AL2619" s="30"/>
      <c r="AM2619" s="13"/>
      <c r="AN2619" s="13"/>
      <c r="AO2619" s="13"/>
      <c r="AP2619" s="13"/>
      <c r="AQ2619" s="13"/>
      <c r="AR2619" s="14"/>
      <c r="AS2619" s="15"/>
    </row>
    <row r="2620" spans="1:45" s="17" customFormat="1" ht="30.95" hidden="1" customHeight="1" x14ac:dyDescent="0.2">
      <c r="A2620" s="343"/>
      <c r="B2620" s="344"/>
      <c r="C2620" s="345"/>
      <c r="D2620" s="346"/>
      <c r="E2620" s="346"/>
      <c r="F2620" s="268"/>
      <c r="G2620" s="269"/>
      <c r="H2620" s="269"/>
      <c r="I2620" s="270"/>
      <c r="J2620" s="434"/>
      <c r="K2620" s="270"/>
      <c r="L2620" s="270"/>
      <c r="M2620" s="348"/>
      <c r="N2620" s="348"/>
      <c r="O2620" s="435"/>
      <c r="P2620" s="349"/>
      <c r="Q2620" s="350"/>
      <c r="R2620" s="271"/>
      <c r="S2620" s="272"/>
      <c r="T2620" s="273"/>
      <c r="U2620" s="351"/>
      <c r="V2620" s="274"/>
      <c r="W2620" s="269"/>
      <c r="X2620" s="269"/>
      <c r="Y2620" s="275"/>
      <c r="Z2620" s="269"/>
      <c r="AA2620" s="350"/>
      <c r="AB2620" s="207"/>
      <c r="AC2620" s="352"/>
      <c r="AD2620" s="353"/>
      <c r="AE2620" s="54"/>
      <c r="AF2620" s="354"/>
      <c r="AG2620" s="355"/>
      <c r="AH2620" s="349"/>
      <c r="AI2620" s="30"/>
      <c r="AJ2620" s="30"/>
      <c r="AK2620" s="30"/>
      <c r="AL2620" s="30"/>
      <c r="AM2620" s="13"/>
      <c r="AN2620" s="13"/>
      <c r="AO2620" s="13"/>
      <c r="AP2620" s="13"/>
      <c r="AQ2620" s="13"/>
      <c r="AR2620" s="14"/>
      <c r="AS2620" s="15"/>
    </row>
    <row r="2621" spans="1:45" s="17" customFormat="1" ht="30.95" hidden="1" customHeight="1" x14ac:dyDescent="0.2">
      <c r="A2621" s="37"/>
      <c r="B2621" s="38"/>
      <c r="C2621" s="45"/>
      <c r="D2621" s="31">
        <v>3778943</v>
      </c>
      <c r="E2621" s="31">
        <v>4142325</v>
      </c>
      <c r="F2621" s="268" t="str">
        <f>IF(D2621="","",VLOOKUP(D2621,契約台帳!$A$3:$K$4986,6,FALSE)&amp;VLOOKUP(D2621,契約台帳!$A$3:$K$4986,7,FALSE)&amp;VLOOKUP(D2621,契約台帳!$A$3:$K$4986,8,FALSE)&amp;VLOOKUP(D2621,契約台帳!$A$3:$K$4986,9,FALSE)&amp;VLOOKUP(D2621,契約台帳!$A$3:$K$4986,11,FALSE))</f>
        <v>3TNMCLBHLGKJV</v>
      </c>
      <c r="G2621" s="269" t="str">
        <f>IF(D2621="","",VLOOKUP(F2621,製品マスタ!$G$5:$H$5002,2,FALSE))</f>
        <v>T</v>
      </c>
      <c r="H2621" s="269" t="str">
        <f>IF(D2621="","",VLOOKUP(F2621,製品マスタ!$G$5:$K$5002,5,FALSE))</f>
        <v>HLGKJV</v>
      </c>
      <c r="I2621" s="270" t="str">
        <f>IF(D2621="","",VLOOKUP(F2621,製品マスタ!$G$5:$L$5002,6,FALSE))</f>
        <v>メタルミー　ヘヤライン　銀消Ｖ</v>
      </c>
      <c r="J2621" s="210" t="s">
        <v>447</v>
      </c>
      <c r="K2621" s="270">
        <f>IF(D2621="","",VLOOKUP(D2621,契約台帳!$A$3:$L$4986,12,FALSE))</f>
        <v>50</v>
      </c>
      <c r="L2621" s="270" t="str">
        <f>IF(D2621="","",INDEX(製品マスタ!$Q$5:$Q$5002,MATCH('S4'!F2621&amp;'S4'!K2621,製品マスタ!$AO$5:$AO$5002,0)))</f>
        <v>HL-MAT</v>
      </c>
      <c r="M2621" s="39">
        <v>1005</v>
      </c>
      <c r="N2621" s="39">
        <v>8000</v>
      </c>
      <c r="O2621" s="156">
        <v>1</v>
      </c>
      <c r="P2621" s="47">
        <v>1</v>
      </c>
      <c r="Q2621" s="57"/>
      <c r="R2621" s="271">
        <f ca="1">IF(D2621="","",IF(OFFSET(D2621,-1,0)&lt;&gt;"","",IF(OR(J2621="リード付け",J2621="巻足し",J2621="巻返しリード付け"),M2621,VLOOKUP(D2621,契約台帳!$A$3:$N$4986,14,FALSE))))</f>
        <v>1005</v>
      </c>
      <c r="S2621" s="272">
        <f ca="1">IF(D2621="","",IF(OFFSET(D2621,-1,0)&lt;&gt;"","",IF(OR(J2621="リード付け",J2621="巻足し",J2621="巻返しリード付け"),M2621,VLOOKUP(D2621,契約台帳!$A$3:$O$4986,15,FALSE))))</f>
        <v>1000</v>
      </c>
      <c r="T2621" s="273">
        <f ca="1">IF(D2621="","",IF(J2621="リード付け",N2621,IF(J2621="巻返しリード付け",N2621,IF(J2621="巻足し",N2621*P2621+OFFSET(N2621,1,0)*OFFSET(P2621,1,0),VLOOKUP(D2621,契約台帳!$A$3:$P$4986,16,FALSE)))))</f>
        <v>4000</v>
      </c>
      <c r="U2621" s="40">
        <v>1</v>
      </c>
      <c r="V2621" s="274">
        <f ca="1">IF(D2621="","",IF(OFFSET(D2621,-2,0)=D2621,"",VLOOKUP(D2621,契約台帳!$A$3:$R$4986,18,FALSE)))</f>
        <v>1</v>
      </c>
      <c r="W2621" s="269" t="str">
        <f ca="1">IF(D2621="","",IF(T2621="","",IF(OR(J2621="巻足し",J2621="巻返しリード付け"),"",IF(J2621="巻返し",VLOOKUP(F2621&amp;K2621&amp;M2621,製品マスタ!$M$5:$AD$5002,18,FALSE),IF(OR(J2621="リード付け",J2621="巻返しリード付け"),"原反コア",IF(J2621="スリット",VLOOKUP(F2621&amp;K2621&amp;R2621,製品マスタ!$N$5:$AD$5002,17,FALSE),""))))))</f>
        <v>6ｲﾝﾁSｺｱ</v>
      </c>
      <c r="X2621" s="269">
        <f ca="1">IF(D2621="","",IF(T2621="","",IF(J2621="巻足し","",IF(J2621="巻返し",VLOOKUP(F2621&amp;K2621&amp;M2621,製品マスタ!$M$5:$AE$5002,19,FALSE),IF(OR(J2621="リード付け",J2621="巻返しリード付け"),"",IF(J2621="スリット",VLOOKUP(F2621&amp;K2621&amp;R2621,製品マスタ!$N$5:$AE$5002,18,FALSE),""))))))</f>
        <v>1015</v>
      </c>
      <c r="Y2621" s="275">
        <f ca="1">IF(D2621="","",IF(T2621="","",VLOOKUP(D2621,契約台帳!$A$3:$Q$4986,17,FALSE)))</f>
        <v>2</v>
      </c>
      <c r="Z2621" s="269" t="str">
        <f ca="1">IF(D2621="","",IF(T2621="","",VLOOKUP(D2621,契約台帳!$A$3:$E$4986,5,FALSE)))</f>
        <v>リンテック㈱</v>
      </c>
      <c r="AA2621" s="57"/>
      <c r="AB2621" s="207" t="s">
        <v>3325</v>
      </c>
      <c r="AC2621" s="33"/>
      <c r="AD2621" s="189"/>
      <c r="AE2621" s="54"/>
      <c r="AF2621" s="55"/>
      <c r="AG2621" s="43"/>
      <c r="AH2621" s="47"/>
      <c r="AI2621" s="30"/>
      <c r="AJ2621" s="30"/>
      <c r="AK2621" s="30"/>
      <c r="AL2621" s="30"/>
      <c r="AM2621" s="13"/>
      <c r="AN2621" s="13"/>
      <c r="AO2621" s="13"/>
      <c r="AP2621" s="13"/>
      <c r="AQ2621" s="13"/>
      <c r="AR2621" s="14"/>
      <c r="AS2621" s="15"/>
    </row>
    <row r="2622" spans="1:45" s="17" customFormat="1" ht="30.95" hidden="1" customHeight="1" x14ac:dyDescent="0.2">
      <c r="A2622" s="37"/>
      <c r="B2622" s="38"/>
      <c r="C2622" s="45"/>
      <c r="D2622" s="31">
        <v>3778944</v>
      </c>
      <c r="E2622" s="31"/>
      <c r="F2622" s="268" t="str">
        <f>IF(D2622="","",VLOOKUP(D2622,契約台帳!$A$3:$K$4986,6,FALSE)&amp;VLOOKUP(D2622,契約台帳!$A$3:$K$4986,7,FALSE)&amp;VLOOKUP(D2622,契約台帳!$A$3:$K$4986,8,FALSE)&amp;VLOOKUP(D2622,契約台帳!$A$3:$K$4986,9,FALSE)&amp;VLOOKUP(D2622,契約台帳!$A$3:$K$4986,11,FALSE))</f>
        <v>3TNMCLBHLGKJV</v>
      </c>
      <c r="G2622" s="269" t="str">
        <f>IF(D2622="","",VLOOKUP(F2622,製品マスタ!$G$5:$H$5002,2,FALSE))</f>
        <v>T</v>
      </c>
      <c r="H2622" s="269" t="str">
        <f>IF(D2622="","",VLOOKUP(F2622,製品マスタ!$G$5:$K$5002,5,FALSE))</f>
        <v>HLGKJV</v>
      </c>
      <c r="I2622" s="270" t="str">
        <f>IF(D2622="","",VLOOKUP(F2622,製品マスタ!$G$5:$L$5002,6,FALSE))</f>
        <v>メタルミー　ヘヤライン　銀消Ｖ</v>
      </c>
      <c r="J2622" s="210" t="s">
        <v>447</v>
      </c>
      <c r="K2622" s="270">
        <f>IF(D2622="","",VLOOKUP(D2622,契約台帳!$A$3:$L$4986,12,FALSE))</f>
        <v>50</v>
      </c>
      <c r="L2622" s="270" t="str">
        <f>IF(D2622="","",INDEX(製品マスタ!$Q$5:$Q$5002,MATCH('S4'!F2622&amp;'S4'!K2622,製品マスタ!$AO$5:$AO$5002,0)))</f>
        <v>HL-MAT</v>
      </c>
      <c r="M2622" s="39"/>
      <c r="N2622" s="39"/>
      <c r="O2622" s="156"/>
      <c r="P2622" s="47"/>
      <c r="Q2622" s="57"/>
      <c r="R2622" s="271">
        <v>1005</v>
      </c>
      <c r="S2622" s="272">
        <v>1000</v>
      </c>
      <c r="T2622" s="273">
        <f ca="1">IF(D2622="","",IF(J2622="リード付け",N2622,IF(J2622="巻返しリード付け",N2622,IF(J2622="巻足し",N2622*P2622+OFFSET(N2622,1,0)*OFFSET(P2622,1,0),VLOOKUP(D2622,契約台帳!$A$3:$P$4986,16,FALSE)))))</f>
        <v>2000</v>
      </c>
      <c r="U2622" s="40">
        <v>2</v>
      </c>
      <c r="V2622" s="274">
        <f ca="1">IF(D2622="","",IF(OFFSET(D2622,-2,0)=D2622,"",VLOOKUP(D2622,契約台帳!$A$3:$R$4986,18,FALSE)))</f>
        <v>2</v>
      </c>
      <c r="W2622" s="269" t="s">
        <v>806</v>
      </c>
      <c r="X2622" s="269">
        <v>1015</v>
      </c>
      <c r="Y2622" s="275">
        <f ca="1">IF(D2622="","",IF(T2622="","",VLOOKUP(D2622,契約台帳!$A$3:$Q$4986,17,FALSE)))</f>
        <v>2</v>
      </c>
      <c r="Z2622" s="269" t="str">
        <f ca="1">IF(D2622="","",IF(T2622="","",VLOOKUP(D2622,契約台帳!$A$3:$E$4986,5,FALSE)))</f>
        <v>リンテック㈱</v>
      </c>
      <c r="AA2622" s="57"/>
      <c r="AB2622" s="424"/>
      <c r="AC2622" s="33"/>
      <c r="AD2622" s="189"/>
      <c r="AE2622" s="54"/>
      <c r="AF2622" s="55"/>
      <c r="AG2622" s="43"/>
      <c r="AH2622" s="47"/>
      <c r="AI2622" s="30"/>
      <c r="AJ2622" s="30"/>
      <c r="AK2622" s="30"/>
      <c r="AL2622" s="30"/>
      <c r="AM2622" s="13"/>
      <c r="AN2622" s="13"/>
      <c r="AO2622" s="13"/>
      <c r="AP2622" s="13"/>
      <c r="AQ2622" s="13"/>
      <c r="AR2622" s="14"/>
      <c r="AS2622" s="15"/>
    </row>
    <row r="2623" spans="1:45" s="17" customFormat="1" ht="30.95" hidden="1" customHeight="1" x14ac:dyDescent="0.2">
      <c r="A2623" s="343"/>
      <c r="B2623" s="344"/>
      <c r="C2623" s="345"/>
      <c r="D2623" s="346"/>
      <c r="E2623" s="346"/>
      <c r="F2623" s="268"/>
      <c r="G2623" s="269"/>
      <c r="H2623" s="269"/>
      <c r="I2623" s="270"/>
      <c r="J2623" s="434"/>
      <c r="K2623" s="270"/>
      <c r="L2623" s="270"/>
      <c r="M2623" s="348"/>
      <c r="N2623" s="348"/>
      <c r="O2623" s="435"/>
      <c r="P2623" s="349"/>
      <c r="Q2623" s="350"/>
      <c r="R2623" s="271"/>
      <c r="S2623" s="272"/>
      <c r="T2623" s="273"/>
      <c r="U2623" s="351"/>
      <c r="V2623" s="274"/>
      <c r="W2623" s="269"/>
      <c r="X2623" s="269"/>
      <c r="Y2623" s="275"/>
      <c r="Z2623" s="269"/>
      <c r="AA2623" s="350"/>
      <c r="AB2623" s="207"/>
      <c r="AC2623" s="352"/>
      <c r="AD2623" s="353"/>
      <c r="AE2623" s="54"/>
      <c r="AF2623" s="354"/>
      <c r="AG2623" s="355"/>
      <c r="AH2623" s="349"/>
      <c r="AI2623" s="30"/>
      <c r="AJ2623" s="30"/>
      <c r="AK2623" s="30"/>
      <c r="AL2623" s="30"/>
      <c r="AM2623" s="13"/>
      <c r="AN2623" s="13"/>
      <c r="AO2623" s="13"/>
      <c r="AP2623" s="13"/>
      <c r="AQ2623" s="13"/>
      <c r="AR2623" s="14"/>
      <c r="AS2623" s="15"/>
    </row>
    <row r="2624" spans="1:45" s="17" customFormat="1" ht="30.95" hidden="1" customHeight="1" x14ac:dyDescent="0.2">
      <c r="A2624" s="343" t="s">
        <v>3293</v>
      </c>
      <c r="B2624" s="344" t="s">
        <v>3294</v>
      </c>
      <c r="C2624" s="345"/>
      <c r="D2624" s="398">
        <v>3778947</v>
      </c>
      <c r="E2624" s="31">
        <v>4155300</v>
      </c>
      <c r="F2624" s="268" t="str">
        <f>IF(D2624="","",VLOOKUP(D2624,契約台帳!$A$3:$K$4986,6,FALSE)&amp;VLOOKUP(D2624,契約台帳!$A$3:$K$4986,7,FALSE)&amp;VLOOKUP(D2624,契約台帳!$A$3:$K$4986,8,FALSE)&amp;VLOOKUP(D2624,契約台帳!$A$3:$K$4986,9,FALSE)&amp;VLOOKUP(D2624,契約台帳!$A$3:$K$4986,11,FALSE))</f>
        <v>3SYMLBMSNMBF</v>
      </c>
      <c r="G2624" s="269" t="str">
        <f>IF(D2624="","",VLOOKUP(F2624,製品マスタ!$G$5:$H$5002,2,FALSE))</f>
        <v>S</v>
      </c>
      <c r="H2624" s="269" t="str">
        <f>IF(D2624="","",VLOOKUP(F2624,製品マスタ!$G$5:$K$5002,5,FALSE))</f>
        <v>MSNMBF</v>
      </c>
      <c r="I2624" s="270" t="str">
        <f>IF(D2624="","",VLOOKUP(F2624,製品マスタ!$G$5:$L$5002,6,FALSE))</f>
        <v>ＭＥＴＡＬＵＭＹ　ＳＩＬＶＥＲ　Ｎ－ＭＡＴＴＥ　Ｘ４４Ｍ　Ｂ</v>
      </c>
      <c r="J2624" s="434" t="s">
        <v>3292</v>
      </c>
      <c r="K2624" s="270">
        <f>IF(D2624="","",VLOOKUP(D2624,契約台帳!$A$3:$L$4986,12,FALSE))</f>
        <v>50</v>
      </c>
      <c r="L2624" s="270" t="str">
        <f>IF(D2624="","",INDEX(製品マスタ!$Q$5:$Q$5002,MATCH('S4'!F2624&amp;'S4'!K2624,製品マスタ!$AO$5:$AO$5002,0)))</f>
        <v>X44</v>
      </c>
      <c r="M2624" s="348">
        <v>1120</v>
      </c>
      <c r="N2624" s="348">
        <v>12000</v>
      </c>
      <c r="O2624" s="435">
        <v>2</v>
      </c>
      <c r="P2624" s="349">
        <v>2</v>
      </c>
      <c r="Q2624" s="350"/>
      <c r="R2624" s="271">
        <f ca="1">IF(D2624="","",IF(OFFSET(D2624,-1,0)&lt;&gt;"","",IF(OR(J2624="リード付け",J2624="巻足し",J2624="巻返しリード付け"),M2624,VLOOKUP(D2624,契約台帳!$A$3:$N$4986,14,FALSE))))</f>
        <v>1120</v>
      </c>
      <c r="S2624" s="272">
        <f ca="1">IF(D2624="","",IF(OFFSET(D2624,-1,0)&lt;&gt;"","",IF(OR(J2624="リード付け",J2624="巻足し",J2624="巻返しリード付け"),M2624,VLOOKUP(D2624,契約台帳!$A$3:$O$4986,15,FALSE))))</f>
        <v>1120</v>
      </c>
      <c r="T2624" s="273">
        <f ca="1">IF(D2624="","",IF(J2624="リード付け",N2624,IF(J2624="巻返しリード付け",N2624,IF(J2624="巻足し",N2624*P2624+OFFSET(N2624,1,0)*OFFSET(P2624,1,0),VLOOKUP(D2624,契約台帳!$A$3:$P$4986,16,FALSE)))))</f>
        <v>4000</v>
      </c>
      <c r="U2624" s="351">
        <v>6</v>
      </c>
      <c r="V2624" s="274">
        <f ca="1">IF(D2624="","",IF(OFFSET(D2624,-2,0)=D2624,"",VLOOKUP(D2624,契約台帳!$A$3:$R$4986,18,FALSE)))</f>
        <v>6</v>
      </c>
      <c r="W2624" s="269" t="str">
        <f ca="1">IF(D2624="","",IF(T2624="","",IF(OR(J2624="巻足し",J2624="巻返しリード付け"),"",IF(J2624="巻返し",VLOOKUP(F2624&amp;K2624&amp;M2624,製品マスタ!$M$5:$AD$5002,18,FALSE),IF(OR(J2624="リード付け",J2624="巻返しリード付け"),"原反コア",IF(J2624="スリット",VLOOKUP(F2624&amp;K2624&amp;R2624,製品マスタ!$N$5:$AD$5002,17,FALSE),""))))))</f>
        <v>6ｲﾝﾁMｺｱ</v>
      </c>
      <c r="X2624" s="269">
        <f ca="1">IF(D2624="","",IF(T2624="","",IF(J2624="巻足し","",IF(J2624="巻返し",VLOOKUP(F2624&amp;K2624&amp;M2624,製品マスタ!$M$5:$AE$5002,19,FALSE),IF(OR(J2624="リード付け",J2624="巻返しリード付け"),"",IF(J2624="スリット",VLOOKUP(F2624&amp;K2624&amp;R2624,製品マスタ!$N$5:$AE$5002,18,FALSE),""))))))</f>
        <v>1125</v>
      </c>
      <c r="Y2624" s="275">
        <f ca="1">IF(D2624="","",IF(T2624="","",VLOOKUP(D2624,契約台帳!$A$3:$Q$4986,17,FALSE)))</f>
        <v>2</v>
      </c>
      <c r="Z2624" s="269" t="str">
        <f ca="1">IF(D2624="","",IF(T2624="","",VLOOKUP(D2624,契約台帳!$A$3:$E$4986,5,FALSE)))</f>
        <v>リンテック㈱</v>
      </c>
      <c r="AA2624" s="350"/>
      <c r="AB2624" s="207"/>
      <c r="AC2624" s="352"/>
      <c r="AD2624" s="353"/>
      <c r="AE2624" s="54" t="str">
        <f>IF(F2624="","",+F2624&amp;K2624)</f>
        <v>3SYMLBMSNMBF50</v>
      </c>
      <c r="AF2624" s="354">
        <f>+M2624*N2624*O2624/1000</f>
        <v>26880</v>
      </c>
      <c r="AG2624" s="355">
        <f>IF(AE2624="","",VLOOKUP(AE2624,原価マスタ!$A$2:$AJ$1693,13,FALSE))</f>
        <v>98.8</v>
      </c>
      <c r="AH2624" s="349">
        <f>IF(AG2624="","",+AF2624*AG2624/100)</f>
        <v>26557.439999999999</v>
      </c>
      <c r="AI2624" s="30"/>
      <c r="AJ2624" s="30"/>
      <c r="AK2624" s="30"/>
      <c r="AL2624" s="30"/>
      <c r="AM2624" s="13"/>
      <c r="AN2624" s="13"/>
      <c r="AO2624" s="13"/>
      <c r="AP2624" s="13"/>
      <c r="AQ2624" s="13"/>
      <c r="AR2624" s="14"/>
      <c r="AS2624" s="15"/>
    </row>
    <row r="2625" spans="1:45" s="17" customFormat="1" ht="30.95" hidden="1" customHeight="1" x14ac:dyDescent="0.2">
      <c r="A2625" s="343"/>
      <c r="B2625" s="344"/>
      <c r="C2625" s="345"/>
      <c r="D2625" s="398"/>
      <c r="E2625" s="31"/>
      <c r="F2625" s="268"/>
      <c r="G2625" s="269"/>
      <c r="H2625" s="269"/>
      <c r="I2625" s="270"/>
      <c r="J2625" s="434"/>
      <c r="K2625" s="270"/>
      <c r="L2625" s="270"/>
      <c r="M2625" s="348"/>
      <c r="N2625" s="348"/>
      <c r="O2625" s="435"/>
      <c r="P2625" s="349"/>
      <c r="Q2625" s="350"/>
      <c r="R2625" s="271"/>
      <c r="S2625" s="272"/>
      <c r="T2625" s="273"/>
      <c r="U2625" s="351"/>
      <c r="V2625" s="274"/>
      <c r="W2625" s="269"/>
      <c r="X2625" s="269"/>
      <c r="Y2625" s="275"/>
      <c r="Z2625" s="269"/>
      <c r="AA2625" s="350"/>
      <c r="AB2625" s="207"/>
      <c r="AC2625" s="352"/>
      <c r="AD2625" s="353"/>
      <c r="AE2625" s="54"/>
      <c r="AF2625" s="354"/>
      <c r="AG2625" s="355"/>
      <c r="AH2625" s="349"/>
      <c r="AI2625" s="30"/>
      <c r="AJ2625" s="30"/>
      <c r="AK2625" s="30"/>
      <c r="AL2625" s="30"/>
      <c r="AM2625" s="13"/>
      <c r="AN2625" s="13"/>
      <c r="AO2625" s="13"/>
      <c r="AP2625" s="13"/>
      <c r="AQ2625" s="13"/>
      <c r="AR2625" s="14"/>
      <c r="AS2625" s="15"/>
    </row>
    <row r="2626" spans="1:45" s="17" customFormat="1" ht="30.95" hidden="1" customHeight="1" x14ac:dyDescent="0.2">
      <c r="A2626" s="343"/>
      <c r="B2626" s="344"/>
      <c r="C2626" s="345"/>
      <c r="D2626" s="398">
        <v>3778951</v>
      </c>
      <c r="E2626" s="31">
        <v>4155301</v>
      </c>
      <c r="F2626" s="268" t="str">
        <f>IF(D2626="","",VLOOKUP(D2626,契約台帳!$A$3:$K$4986,6,FALSE)&amp;VLOOKUP(D2626,契約台帳!$A$3:$K$4986,7,FALSE)&amp;VLOOKUP(D2626,契約台帳!$A$3:$K$4986,8,FALSE)&amp;VLOOKUP(D2626,契約台帳!$A$3:$K$4986,9,FALSE)&amp;VLOOKUP(D2626,契約台帳!$A$3:$K$4986,11,FALSE))</f>
        <v>3SYMLBMSNMBF</v>
      </c>
      <c r="G2626" s="269" t="str">
        <f>IF(D2626="","",VLOOKUP(F2626,製品マスタ!$G$5:$H$5002,2,FALSE))</f>
        <v>S</v>
      </c>
      <c r="H2626" s="269" t="str">
        <f>IF(D2626="","",VLOOKUP(F2626,製品マスタ!$G$5:$K$5002,5,FALSE))</f>
        <v>MSNMBF</v>
      </c>
      <c r="I2626" s="270" t="str">
        <f>IF(D2626="","",VLOOKUP(F2626,製品マスタ!$G$5:$L$5002,6,FALSE))</f>
        <v>ＭＥＴＡＬＵＭＹ　ＳＩＬＶＥＲ　Ｎ－ＭＡＴＴＥ　Ｘ４４Ｍ　Ｂ</v>
      </c>
      <c r="J2626" s="434" t="s">
        <v>3292</v>
      </c>
      <c r="K2626" s="270">
        <f>IF(D2626="","",VLOOKUP(D2626,契約台帳!$A$3:$L$4986,12,FALSE))</f>
        <v>50</v>
      </c>
      <c r="L2626" s="270" t="str">
        <f>IF(D2626="","",INDEX(製品マスタ!$Q$5:$Q$5002,MATCH('S4'!F2626&amp;'S4'!K2626,製品マスタ!$AO$5:$AO$5002,0)))</f>
        <v>X44</v>
      </c>
      <c r="M2626" s="348">
        <v>1120</v>
      </c>
      <c r="N2626" s="348">
        <v>12000</v>
      </c>
      <c r="O2626" s="435">
        <v>2</v>
      </c>
      <c r="P2626" s="349">
        <v>2</v>
      </c>
      <c r="Q2626" s="350"/>
      <c r="R2626" s="271">
        <f ca="1">IF(D2626="","",IF(OFFSET(D2626,-1,0)&lt;&gt;"","",IF(OR(J2626="リード付け",J2626="巻足し",J2626="巻返しリード付け"),M2626,VLOOKUP(D2626,契約台帳!$A$3:$N$4986,14,FALSE))))</f>
        <v>1120</v>
      </c>
      <c r="S2626" s="272">
        <f ca="1">IF(D2626="","",IF(OFFSET(D2626,-1,0)&lt;&gt;"","",IF(OR(J2626="リード付け",J2626="巻足し",J2626="巻返しリード付け"),M2626,VLOOKUP(D2626,契約台帳!$A$3:$O$4986,15,FALSE))))</f>
        <v>1120</v>
      </c>
      <c r="T2626" s="273">
        <f ca="1">IF(D2626="","",IF(J2626="リード付け",N2626,IF(J2626="巻返しリード付け",N2626,IF(J2626="巻足し",N2626*P2626+OFFSET(N2626,1,0)*OFFSET(P2626,1,0),VLOOKUP(D2626,契約台帳!$A$3:$P$4986,16,FALSE)))))</f>
        <v>4000</v>
      </c>
      <c r="U2626" s="351">
        <v>6</v>
      </c>
      <c r="V2626" s="274">
        <f ca="1">IF(D2626="","",IF(OFFSET(D2626,-2,0)=D2626,"",VLOOKUP(D2626,契約台帳!$A$3:$R$4986,18,FALSE)))</f>
        <v>6</v>
      </c>
      <c r="W2626" s="269" t="str">
        <f ca="1">IF(D2626="","",IF(T2626="","",IF(OR(J2626="巻足し",J2626="巻返しリード付け"),"",IF(J2626="巻返し",VLOOKUP(F2626&amp;K2626&amp;M2626,製品マスタ!$M$5:$AD$5002,18,FALSE),IF(OR(J2626="リード付け",J2626="巻返しリード付け"),"原反コア",IF(J2626="スリット",VLOOKUP(F2626&amp;K2626&amp;R2626,製品マスタ!$N$5:$AD$5002,17,FALSE),""))))))</f>
        <v>6ｲﾝﾁMｺｱ</v>
      </c>
      <c r="X2626" s="269">
        <f ca="1">IF(D2626="","",IF(T2626="","",IF(J2626="巻足し","",IF(J2626="巻返し",VLOOKUP(F2626&amp;K2626&amp;M2626,製品マスタ!$M$5:$AE$5002,19,FALSE),IF(OR(J2626="リード付け",J2626="巻返しリード付け"),"",IF(J2626="スリット",VLOOKUP(F2626&amp;K2626&amp;R2626,製品マスタ!$N$5:$AE$5002,18,FALSE),""))))))</f>
        <v>1125</v>
      </c>
      <c r="Y2626" s="275">
        <f ca="1">IF(D2626="","",IF(T2626="","",VLOOKUP(D2626,契約台帳!$A$3:$Q$4986,17,FALSE)))</f>
        <v>2</v>
      </c>
      <c r="Z2626" s="269" t="str">
        <f ca="1">IF(D2626="","",IF(T2626="","",VLOOKUP(D2626,契約台帳!$A$3:$E$4986,5,FALSE)))</f>
        <v>リンテック㈱</v>
      </c>
      <c r="AA2626" s="350"/>
      <c r="AB2626" s="207"/>
      <c r="AC2626" s="352"/>
      <c r="AD2626" s="353"/>
      <c r="AE2626" s="54" t="str">
        <f>IF(F2626="","",+F2626&amp;K2626)</f>
        <v>3SYMLBMSNMBF50</v>
      </c>
      <c r="AF2626" s="354">
        <f>+M2626*N2626*O2626/1000</f>
        <v>26880</v>
      </c>
      <c r="AG2626" s="355">
        <f>IF(AE2626="","",VLOOKUP(AE2626,原価マスタ!$A$2:$AJ$1693,13,FALSE))</f>
        <v>98.8</v>
      </c>
      <c r="AH2626" s="349">
        <f>IF(AG2626="","",+AF2626*AG2626/100)</f>
        <v>26557.439999999999</v>
      </c>
      <c r="AI2626" s="30"/>
      <c r="AJ2626" s="30"/>
      <c r="AK2626" s="30"/>
      <c r="AL2626" s="30"/>
      <c r="AM2626" s="13"/>
      <c r="AN2626" s="13"/>
      <c r="AO2626" s="13"/>
      <c r="AP2626" s="13"/>
      <c r="AQ2626" s="13"/>
      <c r="AR2626" s="14"/>
      <c r="AS2626" s="15"/>
    </row>
    <row r="2627" spans="1:45" s="17" customFormat="1" ht="30.95" hidden="1" customHeight="1" x14ac:dyDescent="0.2">
      <c r="A2627" s="343"/>
      <c r="B2627" s="344"/>
      <c r="C2627" s="345"/>
      <c r="D2627" s="346"/>
      <c r="E2627" s="346"/>
      <c r="F2627" s="268"/>
      <c r="G2627" s="269"/>
      <c r="H2627" s="269"/>
      <c r="I2627" s="270"/>
      <c r="J2627" s="434"/>
      <c r="K2627" s="270"/>
      <c r="L2627" s="270"/>
      <c r="M2627" s="348"/>
      <c r="N2627" s="348"/>
      <c r="O2627" s="435"/>
      <c r="P2627" s="349"/>
      <c r="Q2627" s="350"/>
      <c r="R2627" s="271"/>
      <c r="S2627" s="272"/>
      <c r="T2627" s="273"/>
      <c r="U2627" s="351"/>
      <c r="V2627" s="274"/>
      <c r="W2627" s="269"/>
      <c r="X2627" s="269"/>
      <c r="Y2627" s="275"/>
      <c r="Z2627" s="269"/>
      <c r="AA2627" s="350"/>
      <c r="AB2627" s="207"/>
      <c r="AC2627" s="352"/>
      <c r="AD2627" s="353"/>
      <c r="AE2627" s="54" t="str">
        <f>IF(F2627="","",+F2627&amp;K2627)</f>
        <v/>
      </c>
      <c r="AF2627" s="354"/>
      <c r="AG2627" s="355"/>
      <c r="AH2627" s="349"/>
      <c r="AI2627" s="30"/>
      <c r="AJ2627" s="30"/>
      <c r="AK2627" s="30"/>
      <c r="AL2627" s="30"/>
      <c r="AM2627" s="13"/>
      <c r="AN2627" s="13"/>
      <c r="AO2627" s="13"/>
      <c r="AP2627" s="13"/>
      <c r="AQ2627" s="13"/>
      <c r="AR2627" s="14"/>
      <c r="AS2627" s="15"/>
    </row>
    <row r="2628" spans="1:45" s="17" customFormat="1" ht="30.95" hidden="1" customHeight="1" x14ac:dyDescent="0.2">
      <c r="A2628" s="343" t="s">
        <v>3251</v>
      </c>
      <c r="B2628" s="344" t="s">
        <v>3252</v>
      </c>
      <c r="C2628" s="345"/>
      <c r="D2628" s="346"/>
      <c r="E2628" s="346"/>
      <c r="F2628" s="268"/>
      <c r="G2628" s="269"/>
      <c r="H2628" s="269"/>
      <c r="I2628" s="270"/>
      <c r="J2628" s="434" t="s">
        <v>3253</v>
      </c>
      <c r="K2628" s="270"/>
      <c r="L2628" s="270"/>
      <c r="M2628" s="348"/>
      <c r="N2628" s="348"/>
      <c r="O2628" s="435"/>
      <c r="P2628" s="349"/>
      <c r="Q2628" s="350"/>
      <c r="R2628" s="271"/>
      <c r="S2628" s="272"/>
      <c r="T2628" s="273"/>
      <c r="U2628" s="351"/>
      <c r="V2628" s="274"/>
      <c r="W2628" s="269"/>
      <c r="X2628" s="269"/>
      <c r="Y2628" s="275"/>
      <c r="Z2628" s="269"/>
      <c r="AA2628" s="350"/>
      <c r="AB2628" s="207"/>
      <c r="AC2628" s="352"/>
      <c r="AD2628" s="353"/>
      <c r="AE2628" s="54"/>
      <c r="AF2628" s="354"/>
      <c r="AG2628" s="355"/>
      <c r="AH2628" s="349"/>
      <c r="AI2628" s="30"/>
      <c r="AJ2628" s="30"/>
      <c r="AK2628" s="30"/>
      <c r="AL2628" s="30"/>
      <c r="AM2628" s="13"/>
      <c r="AN2628" s="13"/>
      <c r="AO2628" s="13"/>
      <c r="AP2628" s="13"/>
      <c r="AQ2628" s="13"/>
      <c r="AR2628" s="14"/>
      <c r="AS2628" s="15"/>
    </row>
    <row r="2629" spans="1:45" s="17" customFormat="1" ht="30.95" hidden="1" customHeight="1" x14ac:dyDescent="0.2">
      <c r="A2629" s="343"/>
      <c r="B2629" s="344"/>
      <c r="C2629" s="345"/>
      <c r="D2629" s="346"/>
      <c r="E2629" s="346"/>
      <c r="F2629" s="268"/>
      <c r="G2629" s="269"/>
      <c r="H2629" s="269"/>
      <c r="I2629" s="270"/>
      <c r="J2629" s="434"/>
      <c r="K2629" s="270"/>
      <c r="L2629" s="270"/>
      <c r="M2629" s="348"/>
      <c r="N2629" s="348"/>
      <c r="O2629" s="435"/>
      <c r="P2629" s="349"/>
      <c r="Q2629" s="350"/>
      <c r="R2629" s="271"/>
      <c r="S2629" s="272"/>
      <c r="T2629" s="273"/>
      <c r="U2629" s="351"/>
      <c r="V2629" s="274"/>
      <c r="W2629" s="269"/>
      <c r="X2629" s="269"/>
      <c r="Y2629" s="275"/>
      <c r="Z2629" s="269"/>
      <c r="AA2629" s="350"/>
      <c r="AB2629" s="207"/>
      <c r="AC2629" s="352"/>
      <c r="AD2629" s="353"/>
      <c r="AE2629" s="54"/>
      <c r="AF2629" s="354"/>
      <c r="AG2629" s="355"/>
      <c r="AH2629" s="349"/>
      <c r="AI2629" s="30"/>
      <c r="AJ2629" s="30"/>
      <c r="AK2629" s="30"/>
      <c r="AL2629" s="30"/>
      <c r="AM2629" s="13"/>
      <c r="AN2629" s="13"/>
      <c r="AO2629" s="13"/>
      <c r="AP2629" s="13"/>
      <c r="AQ2629" s="13"/>
      <c r="AR2629" s="14"/>
      <c r="AS2629" s="15"/>
    </row>
    <row r="2630" spans="1:45" s="17" customFormat="1" ht="30.95" hidden="1" customHeight="1" x14ac:dyDescent="0.2">
      <c r="A2630" s="343" t="s">
        <v>3254</v>
      </c>
      <c r="B2630" s="344" t="s">
        <v>3255</v>
      </c>
      <c r="C2630" s="345"/>
      <c r="D2630" s="346"/>
      <c r="E2630" s="346"/>
      <c r="F2630" s="268"/>
      <c r="G2630" s="269"/>
      <c r="H2630" s="269"/>
      <c r="I2630" s="270"/>
      <c r="J2630" s="434" t="s">
        <v>490</v>
      </c>
      <c r="K2630" s="270"/>
      <c r="L2630" s="270"/>
      <c r="M2630" s="348"/>
      <c r="N2630" s="348"/>
      <c r="O2630" s="435"/>
      <c r="P2630" s="349"/>
      <c r="Q2630" s="350"/>
      <c r="R2630" s="271"/>
      <c r="S2630" s="272"/>
      <c r="T2630" s="273"/>
      <c r="U2630" s="351"/>
      <c r="V2630" s="274"/>
      <c r="W2630" s="269"/>
      <c r="X2630" s="269"/>
      <c r="Y2630" s="275"/>
      <c r="Z2630" s="269"/>
      <c r="AA2630" s="350"/>
      <c r="AB2630" s="207"/>
      <c r="AC2630" s="352"/>
      <c r="AD2630" s="353"/>
      <c r="AE2630" s="54"/>
      <c r="AF2630" s="354"/>
      <c r="AG2630" s="355"/>
      <c r="AH2630" s="349"/>
      <c r="AI2630" s="30"/>
      <c r="AJ2630" s="30"/>
      <c r="AK2630" s="30"/>
      <c r="AL2630" s="30"/>
      <c r="AM2630" s="13"/>
      <c r="AN2630" s="13"/>
      <c r="AO2630" s="13"/>
      <c r="AP2630" s="13"/>
      <c r="AQ2630" s="13"/>
      <c r="AR2630" s="14"/>
      <c r="AS2630" s="15"/>
    </row>
    <row r="2631" spans="1:45" s="17" customFormat="1" ht="30.95" hidden="1" customHeight="1" x14ac:dyDescent="0.2">
      <c r="A2631" s="343"/>
      <c r="B2631" s="344"/>
      <c r="C2631" s="345"/>
      <c r="D2631" s="346"/>
      <c r="E2631" s="346"/>
      <c r="F2631" s="268"/>
      <c r="G2631" s="269"/>
      <c r="H2631" s="269"/>
      <c r="I2631" s="270"/>
      <c r="J2631" s="434"/>
      <c r="K2631" s="270"/>
      <c r="L2631" s="270"/>
      <c r="M2631" s="348"/>
      <c r="N2631" s="348"/>
      <c r="O2631" s="435"/>
      <c r="P2631" s="349"/>
      <c r="Q2631" s="350"/>
      <c r="R2631" s="271"/>
      <c r="S2631" s="272"/>
      <c r="T2631" s="273"/>
      <c r="U2631" s="351"/>
      <c r="V2631" s="274"/>
      <c r="W2631" s="269"/>
      <c r="X2631" s="269"/>
      <c r="Y2631" s="275"/>
      <c r="Z2631" s="269"/>
      <c r="AA2631" s="350"/>
      <c r="AB2631" s="207"/>
      <c r="AC2631" s="352"/>
      <c r="AD2631" s="353"/>
      <c r="AE2631" s="54"/>
      <c r="AF2631" s="354"/>
      <c r="AG2631" s="355"/>
      <c r="AH2631" s="349"/>
      <c r="AI2631" s="30"/>
      <c r="AJ2631" s="30"/>
      <c r="AK2631" s="30"/>
      <c r="AL2631" s="30"/>
      <c r="AM2631" s="13"/>
      <c r="AN2631" s="13"/>
      <c r="AO2631" s="13"/>
      <c r="AP2631" s="13"/>
      <c r="AQ2631" s="13"/>
      <c r="AR2631" s="14"/>
      <c r="AS2631" s="15"/>
    </row>
    <row r="2632" spans="1:45" s="17" customFormat="1" ht="30.95" hidden="1" customHeight="1" x14ac:dyDescent="0.2">
      <c r="A2632" s="343" t="s">
        <v>3256</v>
      </c>
      <c r="B2632" s="344" t="s">
        <v>3257</v>
      </c>
      <c r="C2632" s="345"/>
      <c r="D2632" s="346"/>
      <c r="E2632" s="346"/>
      <c r="F2632" s="268"/>
      <c r="G2632" s="269"/>
      <c r="H2632" s="269"/>
      <c r="I2632" s="270"/>
      <c r="J2632" s="434" t="s">
        <v>490</v>
      </c>
      <c r="K2632" s="270"/>
      <c r="L2632" s="270"/>
      <c r="M2632" s="348"/>
      <c r="N2632" s="348"/>
      <c r="O2632" s="435"/>
      <c r="P2632" s="349"/>
      <c r="Q2632" s="350"/>
      <c r="R2632" s="271"/>
      <c r="S2632" s="272"/>
      <c r="T2632" s="273"/>
      <c r="U2632" s="351"/>
      <c r="V2632" s="274"/>
      <c r="W2632" s="269"/>
      <c r="X2632" s="269"/>
      <c r="Y2632" s="275"/>
      <c r="Z2632" s="269"/>
      <c r="AA2632" s="350"/>
      <c r="AB2632" s="207"/>
      <c r="AC2632" s="352"/>
      <c r="AD2632" s="353"/>
      <c r="AE2632" s="54"/>
      <c r="AF2632" s="354"/>
      <c r="AG2632" s="355"/>
      <c r="AH2632" s="349"/>
      <c r="AI2632" s="30"/>
      <c r="AJ2632" s="30"/>
      <c r="AK2632" s="30"/>
      <c r="AL2632" s="30"/>
      <c r="AM2632" s="13"/>
      <c r="AN2632" s="13"/>
      <c r="AO2632" s="13"/>
      <c r="AP2632" s="13"/>
      <c r="AQ2632" s="13"/>
      <c r="AR2632" s="14"/>
      <c r="AS2632" s="15"/>
    </row>
    <row r="2633" spans="1:45" s="17" customFormat="1" ht="30.95" hidden="1" customHeight="1" x14ac:dyDescent="0.2">
      <c r="A2633" s="343"/>
      <c r="B2633" s="344"/>
      <c r="C2633" s="345"/>
      <c r="D2633" s="346"/>
      <c r="E2633" s="346"/>
      <c r="F2633" s="268"/>
      <c r="G2633" s="269"/>
      <c r="H2633" s="269"/>
      <c r="I2633" s="270"/>
      <c r="J2633" s="434"/>
      <c r="K2633" s="270"/>
      <c r="L2633" s="270"/>
      <c r="M2633" s="348"/>
      <c r="N2633" s="348"/>
      <c r="O2633" s="435"/>
      <c r="P2633" s="349"/>
      <c r="Q2633" s="350"/>
      <c r="R2633" s="271"/>
      <c r="S2633" s="272"/>
      <c r="T2633" s="273"/>
      <c r="U2633" s="351"/>
      <c r="V2633" s="274"/>
      <c r="W2633" s="269"/>
      <c r="X2633" s="269"/>
      <c r="Y2633" s="275"/>
      <c r="Z2633" s="269"/>
      <c r="AA2633" s="350"/>
      <c r="AB2633" s="207"/>
      <c r="AC2633" s="352"/>
      <c r="AD2633" s="353"/>
      <c r="AE2633" s="54"/>
      <c r="AF2633" s="354"/>
      <c r="AG2633" s="355"/>
      <c r="AH2633" s="349"/>
      <c r="AI2633" s="30"/>
      <c r="AJ2633" s="30"/>
      <c r="AK2633" s="30"/>
      <c r="AL2633" s="30"/>
      <c r="AM2633" s="13"/>
      <c r="AN2633" s="13"/>
      <c r="AO2633" s="13"/>
      <c r="AP2633" s="13"/>
      <c r="AQ2633" s="13"/>
      <c r="AR2633" s="14"/>
      <c r="AS2633" s="15"/>
    </row>
    <row r="2634" spans="1:45" s="17" customFormat="1" ht="30.95" hidden="1" customHeight="1" x14ac:dyDescent="0.2">
      <c r="A2634" s="343" t="s">
        <v>3258</v>
      </c>
      <c r="B2634" s="344" t="s">
        <v>3259</v>
      </c>
      <c r="C2634" s="345"/>
      <c r="D2634" s="346"/>
      <c r="E2634" s="346"/>
      <c r="F2634" s="268"/>
      <c r="G2634" s="269"/>
      <c r="H2634" s="269"/>
      <c r="I2634" s="270"/>
      <c r="J2634" s="434" t="s">
        <v>3295</v>
      </c>
      <c r="K2634" s="270"/>
      <c r="L2634" s="270"/>
      <c r="M2634" s="348"/>
      <c r="N2634" s="348"/>
      <c r="O2634" s="435"/>
      <c r="P2634" s="349"/>
      <c r="Q2634" s="350"/>
      <c r="R2634" s="271"/>
      <c r="S2634" s="272"/>
      <c r="T2634" s="273"/>
      <c r="U2634" s="351"/>
      <c r="V2634" s="274"/>
      <c r="W2634" s="269"/>
      <c r="X2634" s="269"/>
      <c r="Y2634" s="275"/>
      <c r="Z2634" s="269"/>
      <c r="AA2634" s="350"/>
      <c r="AB2634" s="207"/>
      <c r="AC2634" s="352"/>
      <c r="AD2634" s="353"/>
      <c r="AE2634" s="54"/>
      <c r="AF2634" s="354"/>
      <c r="AG2634" s="355"/>
      <c r="AH2634" s="349"/>
      <c r="AI2634" s="30"/>
      <c r="AJ2634" s="30"/>
      <c r="AK2634" s="30"/>
      <c r="AL2634" s="30"/>
      <c r="AM2634" s="13"/>
      <c r="AN2634" s="13"/>
      <c r="AO2634" s="13"/>
      <c r="AP2634" s="13"/>
      <c r="AQ2634" s="13"/>
      <c r="AR2634" s="14"/>
      <c r="AS2634" s="15"/>
    </row>
    <row r="2635" spans="1:45" s="17" customFormat="1" ht="30.95" hidden="1" customHeight="1" x14ac:dyDescent="0.2">
      <c r="A2635" s="343"/>
      <c r="B2635" s="344"/>
      <c r="C2635" s="345"/>
      <c r="D2635" s="346"/>
      <c r="E2635" s="346"/>
      <c r="F2635" s="268"/>
      <c r="G2635" s="269"/>
      <c r="H2635" s="269"/>
      <c r="I2635" s="270"/>
      <c r="J2635" s="434"/>
      <c r="K2635" s="270"/>
      <c r="L2635" s="270"/>
      <c r="M2635" s="348"/>
      <c r="N2635" s="348"/>
      <c r="O2635" s="435"/>
      <c r="P2635" s="349"/>
      <c r="Q2635" s="350"/>
      <c r="R2635" s="271"/>
      <c r="S2635" s="272"/>
      <c r="T2635" s="273"/>
      <c r="U2635" s="351"/>
      <c r="V2635" s="274"/>
      <c r="W2635" s="269"/>
      <c r="X2635" s="269"/>
      <c r="Y2635" s="275"/>
      <c r="Z2635" s="269"/>
      <c r="AA2635" s="350"/>
      <c r="AB2635" s="207"/>
      <c r="AC2635" s="352"/>
      <c r="AD2635" s="353"/>
      <c r="AE2635" s="54"/>
      <c r="AF2635" s="354"/>
      <c r="AG2635" s="355"/>
      <c r="AH2635" s="349"/>
      <c r="AI2635" s="30"/>
      <c r="AJ2635" s="30"/>
      <c r="AK2635" s="30"/>
      <c r="AL2635" s="30"/>
      <c r="AM2635" s="13"/>
      <c r="AN2635" s="13"/>
      <c r="AO2635" s="13"/>
      <c r="AP2635" s="13"/>
      <c r="AQ2635" s="13"/>
      <c r="AR2635" s="14"/>
      <c r="AS2635" s="15"/>
    </row>
    <row r="2636" spans="1:45" s="17" customFormat="1" ht="30.6" hidden="1" customHeight="1" x14ac:dyDescent="0.2">
      <c r="A2636" s="343" t="s">
        <v>3296</v>
      </c>
      <c r="B2636" s="344" t="s">
        <v>3297</v>
      </c>
      <c r="C2636" s="45"/>
      <c r="D2636" s="31">
        <v>3784730</v>
      </c>
      <c r="E2636" s="31">
        <v>4162736</v>
      </c>
      <c r="F2636" s="268" t="str">
        <f>IF(D2636="","",VLOOKUP(D2636,契約台帳!$A$3:$K$4986,6,FALSE)&amp;VLOOKUP(D2636,契約台帳!$A$3:$K$4986,7,FALSE)&amp;VLOOKUP(D2636,契約台帳!$A$3:$K$4986,8,FALSE)&amp;VLOOKUP(D2636,契約台帳!$A$3:$K$4986,9,FALSE)&amp;VLOOKUP(D2636,契約台帳!$A$3:$K$4986,11,FALSE))</f>
        <v>3TNMLBMTSF</v>
      </c>
      <c r="G2636" s="269" t="str">
        <f>IF(D2636="","",VLOOKUP(F2636,製品マスタ!$G$5:$H$5002,2,FALSE))</f>
        <v>T</v>
      </c>
      <c r="H2636" s="269" t="str">
        <f>IF(D2636="","",VLOOKUP(F2636,製品マスタ!$G$5:$K$5002,5,FALSE))</f>
        <v>MTSF</v>
      </c>
      <c r="I2636" s="270" t="str">
        <f>IF(D2636="","",VLOOKUP(F2636,製品マスタ!$G$5:$L$5002,6,FALSE))</f>
        <v>メタルミー　ＴＳ</v>
      </c>
      <c r="J2636" s="210" t="s">
        <v>935</v>
      </c>
      <c r="K2636" s="270">
        <f>IF(D2636="","",VLOOKUP(D2636,契約台帳!$A$3:$L$4986,12,FALSE))</f>
        <v>50</v>
      </c>
      <c r="L2636" s="270" t="str">
        <f>IF(D2636="","",INDEX(製品マスタ!$Q$5:$Q$5002,MATCH('S4'!F2636&amp;'S4'!K2636,製品マスタ!$AO$5:$AO$5002,0)))</f>
        <v>T62M</v>
      </c>
      <c r="M2636" s="39">
        <v>1255</v>
      </c>
      <c r="N2636" s="39">
        <v>6100</v>
      </c>
      <c r="O2636" s="156">
        <v>2</v>
      </c>
      <c r="P2636" s="47">
        <v>2</v>
      </c>
      <c r="Q2636" s="213">
        <v>45588</v>
      </c>
      <c r="R2636" s="271">
        <f ca="1">IF(D2636="","",IF(OFFSET(D2636,-1,0)&lt;&gt;"","",IF(OR(J2636="リード付け",J2636="巻足し",J2636="巻返しリード付け"),M2636,VLOOKUP(D2636,契約台帳!$A$3:$N$4986,14,FALSE))))</f>
        <v>1255</v>
      </c>
      <c r="S2636" s="272">
        <f ca="1">IF(D2636="","",IF(OFFSET(D2636,-1,0)&lt;&gt;"","",IF(OR(J2636="リード付け",J2636="巻足し",J2636="巻返しリード付け"),M2636,VLOOKUP(D2636,契約台帳!$A$3:$O$4986,15,FALSE))))</f>
        <v>1255</v>
      </c>
      <c r="T2636" s="273">
        <f ca="1">IF(D2636="","",IF(J2636="リード付け",N2636,IF(J2636="巻返しリード付け",N2636,IF(J2636="巻足し",N2636*P2636+OFFSET(N2636,1,0)*OFFSET(P2636,1,0),VLOOKUP(D2636,契約台帳!$A$3:$P$4986,16,FALSE)))))</f>
        <v>12200</v>
      </c>
      <c r="U2636" s="40">
        <v>1</v>
      </c>
      <c r="V2636" s="274">
        <f ca="1">IF(D2636="","",IF(OFFSET(D2636,-2,0)=D2636,"",VLOOKUP(D2636,契約台帳!$A$3:$R$4986,18,FALSE)))</f>
        <v>4</v>
      </c>
      <c r="W2636" s="269" t="str">
        <f ca="1">IF(D2636="","",IF(T2636="","",IF(OR(J2636="巻足し",J2636="巻返しリード付け"),"",IF(J2636="巻返し",VLOOKUP(F2636&amp;K2636&amp;M2636,製品マスタ!$M$5:$AD$5002,18,FALSE),IF(OR(J2636="リード付け",J2636="巻返しリード付け"),"原反コア",IF(J2636="スリット",VLOOKUP(F2636&amp;K2636&amp;R2636,製品マスタ!$N$5:$AD$5002,17,FALSE),""))))))</f>
        <v/>
      </c>
      <c r="X2636" s="269" t="str">
        <f ca="1">IF(D2636="","",IF(T2636="","",IF(J2636="巻足し","",IF(J2636="巻返し",VLOOKUP(F2636&amp;K2636&amp;M2636,製品マスタ!$M$5:$AE$5002,19,FALSE),IF(OR(J2636="リード付け",J2636="巻返しリード付け"),"",IF(J2636="スリット",VLOOKUP(F2636&amp;K2636&amp;R2636,製品マスタ!$N$5:$AE$5002,18,FALSE),""))))))</f>
        <v/>
      </c>
      <c r="Y2636" s="275">
        <f ca="1">IF(D2636="","",IF(T2636="","",VLOOKUP(D2636,契約台帳!$A$3:$Q$4986,17,FALSE)))</f>
        <v>2</v>
      </c>
      <c r="Z2636" s="269" t="str">
        <f ca="1">IF(D2636="","",IF(T2636="","",VLOOKUP(D2636,契約台帳!$A$3:$E$4986,5,FALSE)))</f>
        <v>日東電工㈱豊橋工場</v>
      </c>
      <c r="AA2636" s="57"/>
      <c r="AB2636" s="303" t="s">
        <v>3325</v>
      </c>
      <c r="AC2636" s="33"/>
      <c r="AD2636" s="189"/>
      <c r="AE2636" s="54"/>
      <c r="AF2636" s="55">
        <f>+M2636*N2636*O2636/1000</f>
        <v>15311</v>
      </c>
      <c r="AG2636" s="43"/>
      <c r="AH2636" s="47"/>
      <c r="AI2636" s="30"/>
      <c r="AJ2636" s="30"/>
      <c r="AK2636" s="30"/>
      <c r="AL2636" s="30"/>
      <c r="AM2636" s="13"/>
      <c r="AN2636" s="13"/>
      <c r="AO2636" s="13"/>
      <c r="AP2636" s="13"/>
      <c r="AQ2636" s="13"/>
      <c r="AR2636" s="14"/>
      <c r="AS2636" s="15"/>
    </row>
    <row r="2637" spans="1:45" s="17" customFormat="1" ht="30.95" hidden="1" customHeight="1" x14ac:dyDescent="0.2">
      <c r="A2637" s="343"/>
      <c r="B2637" s="344"/>
      <c r="C2637" s="345"/>
      <c r="D2637" s="346"/>
      <c r="E2637" s="346"/>
      <c r="F2637" s="268"/>
      <c r="G2637" s="269"/>
      <c r="H2637" s="269"/>
      <c r="I2637" s="270"/>
      <c r="J2637" s="434"/>
      <c r="K2637" s="270"/>
      <c r="L2637" s="270"/>
      <c r="M2637" s="348"/>
      <c r="N2637" s="348"/>
      <c r="O2637" s="435"/>
      <c r="P2637" s="349"/>
      <c r="Q2637" s="350"/>
      <c r="R2637" s="271"/>
      <c r="S2637" s="272"/>
      <c r="T2637" s="273"/>
      <c r="U2637" s="351"/>
      <c r="V2637" s="274"/>
      <c r="W2637" s="269"/>
      <c r="X2637" s="269"/>
      <c r="Y2637" s="275"/>
      <c r="Z2637" s="269"/>
      <c r="AA2637" s="350"/>
      <c r="AB2637" s="207"/>
      <c r="AC2637" s="352"/>
      <c r="AD2637" s="353"/>
      <c r="AE2637" s="54"/>
      <c r="AF2637" s="354"/>
      <c r="AG2637" s="355"/>
      <c r="AH2637" s="349"/>
      <c r="AI2637" s="30"/>
      <c r="AJ2637" s="30"/>
      <c r="AK2637" s="30"/>
      <c r="AL2637" s="30"/>
      <c r="AM2637" s="13"/>
      <c r="AN2637" s="13"/>
      <c r="AO2637" s="13"/>
      <c r="AP2637" s="13"/>
      <c r="AQ2637" s="13"/>
      <c r="AR2637" s="14"/>
      <c r="AS2637" s="15"/>
    </row>
    <row r="2638" spans="1:45" s="17" customFormat="1" ht="30.6" hidden="1" customHeight="1" x14ac:dyDescent="0.2">
      <c r="A2638" s="343"/>
      <c r="B2638" s="344"/>
      <c r="C2638" s="45"/>
      <c r="D2638" s="31">
        <v>3783822</v>
      </c>
      <c r="E2638" s="31">
        <v>4162694</v>
      </c>
      <c r="F2638" s="268" t="str">
        <f>IF(D2638="","",VLOOKUP(D2638,契約台帳!$A$3:$K$4986,6,FALSE)&amp;VLOOKUP(D2638,契約台帳!$A$3:$K$4986,7,FALSE)&amp;VLOOKUP(D2638,契約台帳!$A$3:$K$4986,8,FALSE)&amp;VLOOKUP(D2638,契約台帳!$A$3:$K$4986,9,FALSE)&amp;VLOOKUP(D2638,契約台帳!$A$3:$K$4986,11,FALSE))</f>
        <v>3SYMLBMSNMBF</v>
      </c>
      <c r="G2638" s="269" t="str">
        <f>IF(D2638="","",VLOOKUP(F2638,製品マスタ!$G$5:$H$5002,2,FALSE))</f>
        <v>S</v>
      </c>
      <c r="H2638" s="269" t="str">
        <f>IF(D2638="","",VLOOKUP(F2638,製品マスタ!$G$5:$K$5002,5,FALSE))</f>
        <v>MSNMBF</v>
      </c>
      <c r="I2638" s="270" t="str">
        <f>IF(D2638="","",VLOOKUP(F2638,製品マスタ!$G$5:$L$5002,6,FALSE))</f>
        <v>ＭＥＴＡＬＵＭＹ　ＳＩＬＶＥＲ　Ｎ－ＭＡＴＴＥ　Ｘ４４Ｍ　Ｂ</v>
      </c>
      <c r="J2638" s="210" t="s">
        <v>935</v>
      </c>
      <c r="K2638" s="270">
        <f>IF(D2638="","",VLOOKUP(D2638,契約台帳!$A$3:$L$4986,12,FALSE))</f>
        <v>50</v>
      </c>
      <c r="L2638" s="270" t="str">
        <f>IF(D2638="","",INDEX(製品マスタ!$Q$5:$Q$5002,MATCH('S4'!F2638&amp;'S4'!K2638,製品マスタ!$AO$5:$AO$5002,0)))</f>
        <v>X44</v>
      </c>
      <c r="M2638" s="39">
        <v>1120</v>
      </c>
      <c r="N2638" s="39">
        <v>4000</v>
      </c>
      <c r="O2638" s="156">
        <v>9</v>
      </c>
      <c r="P2638" s="47">
        <v>3</v>
      </c>
      <c r="Q2638" s="213">
        <v>45588</v>
      </c>
      <c r="R2638" s="271">
        <f ca="1">IF(D2638="","",IF(OFFSET(D2638,-1,0)&lt;&gt;"","",IF(OR(J2638="リード付け",J2638="巻足し",J2638="巻返しリード付け"),M2638,VLOOKUP(D2638,契約台帳!$A$3:$N$4986,14,FALSE))))</f>
        <v>1120</v>
      </c>
      <c r="S2638" s="272">
        <f ca="1">IF(D2638="","",IF(OFFSET(D2638,-1,0)&lt;&gt;"","",IF(OR(J2638="リード付け",J2638="巻足し",J2638="巻返しリード付け"),M2638,VLOOKUP(D2638,契約台帳!$A$3:$O$4986,15,FALSE))))</f>
        <v>1120</v>
      </c>
      <c r="T2638" s="273">
        <f ca="1">IF(D2638="","",IF(J2638="リード付け",N2638,IF(J2638="巻返しリード付け",N2638,IF(J2638="巻足し",N2638*P2638+OFFSET(N2638,1,0)*OFFSET(P2638,1,0),VLOOKUP(D2638,契約台帳!$A$3:$P$4986,16,FALSE)))))</f>
        <v>12000</v>
      </c>
      <c r="U2638" s="40">
        <v>3</v>
      </c>
      <c r="V2638" s="274">
        <f ca="1">IF(D2638="","",IF(OFFSET(D2638,-2,0)=D2638,"",VLOOKUP(D2638,契約台帳!$A$3:$R$4986,18,FALSE)))</f>
        <v>10</v>
      </c>
      <c r="W2638" s="269" t="str">
        <f ca="1">IF(D2638="","",IF(T2638="","",IF(OR(J2638="巻足し",J2638="巻返しリード付け"),"",IF(J2638="巻返し",VLOOKUP(F2638&amp;K2638&amp;M2638,製品マスタ!$M$5:$AD$5002,18,FALSE),IF(OR(J2638="リード付け",J2638="巻返しリード付け"),"原反コア",IF(J2638="スリット",VLOOKUP(F2638&amp;K2638&amp;R2638,製品マスタ!$N$5:$AD$5002,17,FALSE),""))))))</f>
        <v/>
      </c>
      <c r="X2638" s="269" t="str">
        <f ca="1">IF(D2638="","",IF(T2638="","",IF(J2638="巻足し","",IF(J2638="巻返し",VLOOKUP(F2638&amp;K2638&amp;M2638,製品マスタ!$M$5:$AE$5002,19,FALSE),IF(OR(J2638="リード付け",J2638="巻返しリード付け"),"",IF(J2638="スリット",VLOOKUP(F2638&amp;K2638&amp;R2638,製品マスタ!$N$5:$AE$5002,18,FALSE),""))))))</f>
        <v/>
      </c>
      <c r="Y2638" s="275">
        <f ca="1">IF(D2638="","",IF(T2638="","",VLOOKUP(D2638,契約台帳!$A$3:$Q$4986,17,FALSE)))</f>
        <v>2</v>
      </c>
      <c r="Z2638" s="269" t="str">
        <f ca="1">IF(D2638="","",IF(T2638="","",VLOOKUP(D2638,契約台帳!$A$3:$E$4986,5,FALSE)))</f>
        <v>リンテック㈱</v>
      </c>
      <c r="AA2638" s="57"/>
      <c r="AB2638" s="207">
        <f>IFERROR((VLOOKUP(F2638&amp;K2638&amp;M2638,製品マスタ!$M$5:$AM$5002,27,FALSE)),"")</f>
        <v>0</v>
      </c>
      <c r="AC2638" s="33"/>
      <c r="AD2638" s="189"/>
      <c r="AE2638" s="54"/>
      <c r="AF2638" s="55">
        <f>+M2638*N2638*O2638/1000</f>
        <v>40320</v>
      </c>
      <c r="AG2638" s="43"/>
      <c r="AH2638" s="47"/>
      <c r="AI2638" s="30"/>
      <c r="AJ2638" s="30"/>
      <c r="AK2638" s="30"/>
      <c r="AL2638" s="30"/>
      <c r="AM2638" s="13"/>
      <c r="AN2638" s="13"/>
      <c r="AO2638" s="13"/>
      <c r="AP2638" s="13"/>
      <c r="AQ2638" s="13"/>
      <c r="AR2638" s="14"/>
      <c r="AS2638" s="15"/>
    </row>
    <row r="2639" spans="1:45" s="17" customFormat="1" ht="30.95" hidden="1" customHeight="1" x14ac:dyDescent="0.2">
      <c r="A2639" s="343"/>
      <c r="B2639" s="344"/>
      <c r="C2639" s="345"/>
      <c r="D2639" s="346"/>
      <c r="E2639" s="346"/>
      <c r="F2639" s="268"/>
      <c r="G2639" s="269"/>
      <c r="H2639" s="269"/>
      <c r="I2639" s="270"/>
      <c r="J2639" s="434"/>
      <c r="K2639" s="270"/>
      <c r="L2639" s="270"/>
      <c r="M2639" s="348"/>
      <c r="N2639" s="348"/>
      <c r="O2639" s="435"/>
      <c r="P2639" s="349"/>
      <c r="Q2639" s="350"/>
      <c r="R2639" s="271"/>
      <c r="S2639" s="272"/>
      <c r="T2639" s="273"/>
      <c r="U2639" s="351"/>
      <c r="V2639" s="274"/>
      <c r="W2639" s="269"/>
      <c r="X2639" s="269"/>
      <c r="Y2639" s="275"/>
      <c r="Z2639" s="269"/>
      <c r="AA2639" s="350"/>
      <c r="AB2639" s="207"/>
      <c r="AC2639" s="352"/>
      <c r="AD2639" s="353"/>
      <c r="AE2639" s="54"/>
      <c r="AF2639" s="354"/>
      <c r="AG2639" s="355"/>
      <c r="AH2639" s="349"/>
      <c r="AI2639" s="30"/>
      <c r="AJ2639" s="30"/>
      <c r="AK2639" s="30"/>
      <c r="AL2639" s="30"/>
      <c r="AM2639" s="13"/>
      <c r="AN2639" s="13"/>
      <c r="AO2639" s="13"/>
      <c r="AP2639" s="13"/>
      <c r="AQ2639" s="13"/>
      <c r="AR2639" s="14"/>
      <c r="AS2639" s="15"/>
    </row>
    <row r="2640" spans="1:45" s="17" customFormat="1" ht="30.6" hidden="1" customHeight="1" x14ac:dyDescent="0.2">
      <c r="A2640" s="343"/>
      <c r="B2640" s="344"/>
      <c r="C2640" s="45"/>
      <c r="D2640" s="31">
        <v>3783822</v>
      </c>
      <c r="E2640" s="31">
        <v>4162694</v>
      </c>
      <c r="F2640" s="268" t="str">
        <f>IF(D2640="","",VLOOKUP(D2640,契約台帳!$A$3:$K$4986,6,FALSE)&amp;VLOOKUP(D2640,契約台帳!$A$3:$K$4986,7,FALSE)&amp;VLOOKUP(D2640,契約台帳!$A$3:$K$4986,8,FALSE)&amp;VLOOKUP(D2640,契約台帳!$A$3:$K$4986,9,FALSE)&amp;VLOOKUP(D2640,契約台帳!$A$3:$K$4986,11,FALSE))</f>
        <v>3SYMLBMSNMBF</v>
      </c>
      <c r="G2640" s="269" t="str">
        <f>IF(D2640="","",VLOOKUP(F2640,製品マスタ!$G$5:$H$5002,2,FALSE))</f>
        <v>S</v>
      </c>
      <c r="H2640" s="269" t="str">
        <f>IF(D2640="","",VLOOKUP(F2640,製品マスタ!$G$5:$K$5002,5,FALSE))</f>
        <v>MSNMBF</v>
      </c>
      <c r="I2640" s="270" t="str">
        <f>IF(D2640="","",VLOOKUP(F2640,製品マスタ!$G$5:$L$5002,6,FALSE))</f>
        <v>ＭＥＴＡＬＵＭＹ　ＳＩＬＶＥＲ　Ｎ－ＭＡＴＴＥ　Ｘ４４Ｍ　Ｂ</v>
      </c>
      <c r="J2640" s="210" t="s">
        <v>935</v>
      </c>
      <c r="K2640" s="270">
        <f>IF(D2640="","",VLOOKUP(D2640,契約台帳!$A$3:$L$4986,12,FALSE))</f>
        <v>50</v>
      </c>
      <c r="L2640" s="270" t="str">
        <f>IF(D2640="","",INDEX(製品マスタ!$Q$5:$Q$5002,MATCH('S4'!F2640&amp;'S4'!K2640,製品マスタ!$AO$5:$AO$5002,0)))</f>
        <v>X44</v>
      </c>
      <c r="M2640" s="39">
        <v>1120</v>
      </c>
      <c r="N2640" s="39">
        <v>4000</v>
      </c>
      <c r="O2640" s="156">
        <v>1</v>
      </c>
      <c r="P2640" s="47">
        <v>3</v>
      </c>
      <c r="Q2640" s="213">
        <v>45588</v>
      </c>
      <c r="R2640" s="271">
        <f ca="1">IF(D2640="","",IF(OFFSET(D2640,-1,0)&lt;&gt;"","",IF(OR(J2640="リード付け",J2640="巻足し",J2640="巻返しリード付け"),M2640,VLOOKUP(D2640,契約台帳!$A$3:$N$4986,14,FALSE))))</f>
        <v>1120</v>
      </c>
      <c r="S2640" s="272">
        <f ca="1">IF(D2640="","",IF(OFFSET(D2640,-1,0)&lt;&gt;"","",IF(OR(J2640="リード付け",J2640="巻足し",J2640="巻返しリード付け"),M2640,VLOOKUP(D2640,契約台帳!$A$3:$O$4986,15,FALSE))))</f>
        <v>1120</v>
      </c>
      <c r="T2640" s="273">
        <f ca="1">IF(D2640="","",IF(J2640="リード付け",N2640,IF(J2640="巻返しリード付け",N2640,IF(J2640="巻足し",N2640*P2640+OFFSET(N2640,1,0)*OFFSET(P2640,1,0),VLOOKUP(D2640,契約台帳!$A$3:$P$4986,16,FALSE)))))</f>
        <v>12000</v>
      </c>
      <c r="U2640" s="40">
        <v>1</v>
      </c>
      <c r="V2640" s="274" t="str">
        <f ca="1">IF(D2640="","",IF(OFFSET(D2640,-2,0)=D2640,"",VLOOKUP(D2640,契約台帳!$A$3:$R$4986,18,FALSE)))</f>
        <v/>
      </c>
      <c r="W2640" s="269" t="str">
        <f ca="1">IF(D2640="","",IF(T2640="","",IF(OR(J2640="巻足し",J2640="巻返しリード付け"),"",IF(J2640="巻返し",VLOOKUP(F2640&amp;K2640&amp;M2640,製品マスタ!$M$5:$AD$5002,18,FALSE),IF(OR(J2640="リード付け",J2640="巻返しリード付け"),"原反コア",IF(J2640="スリット",VLOOKUP(F2640&amp;K2640&amp;R2640,製品マスタ!$N$5:$AD$5002,17,FALSE),""))))))</f>
        <v/>
      </c>
      <c r="X2640" s="269" t="str">
        <f ca="1">IF(D2640="","",IF(T2640="","",IF(J2640="巻足し","",IF(J2640="巻返し",VLOOKUP(F2640&amp;K2640&amp;M2640,製品マスタ!$M$5:$AE$5002,19,FALSE),IF(OR(J2640="リード付け",J2640="巻返しリード付け"),"",IF(J2640="スリット",VLOOKUP(F2640&amp;K2640&amp;R2640,製品マスタ!$N$5:$AE$5002,18,FALSE),""))))))</f>
        <v/>
      </c>
      <c r="Y2640" s="275">
        <f ca="1">IF(D2640="","",IF(T2640="","",VLOOKUP(D2640,契約台帳!$A$3:$Q$4986,17,FALSE)))</f>
        <v>2</v>
      </c>
      <c r="Z2640" s="269" t="str">
        <f ca="1">IF(D2640="","",IF(T2640="","",VLOOKUP(D2640,契約台帳!$A$3:$E$4986,5,FALSE)))</f>
        <v>リンテック㈱</v>
      </c>
      <c r="AA2640" s="57"/>
      <c r="AB2640" s="207">
        <f>IFERROR((VLOOKUP(F2640&amp;K2640&amp;M2640,製品マスタ!$M$5:$AM$5002,27,FALSE)),"")</f>
        <v>0</v>
      </c>
      <c r="AC2640" s="33"/>
      <c r="AD2640" s="189"/>
      <c r="AE2640" s="54"/>
      <c r="AF2640" s="55">
        <f>+M2640*N2640*O2640/1000</f>
        <v>4480</v>
      </c>
      <c r="AG2640" s="43"/>
      <c r="AH2640" s="47"/>
      <c r="AI2640" s="30"/>
      <c r="AJ2640" s="30"/>
      <c r="AK2640" s="30"/>
      <c r="AL2640" s="30"/>
      <c r="AM2640" s="13"/>
      <c r="AN2640" s="13"/>
      <c r="AO2640" s="13"/>
      <c r="AP2640" s="13"/>
      <c r="AQ2640" s="13"/>
      <c r="AR2640" s="14"/>
      <c r="AS2640" s="15"/>
    </row>
    <row r="2641" spans="1:45" s="17" customFormat="1" ht="30.6" hidden="1" customHeight="1" x14ac:dyDescent="0.2">
      <c r="A2641" s="343"/>
      <c r="B2641" s="344"/>
      <c r="C2641" s="45"/>
      <c r="D2641" s="31">
        <v>3783824</v>
      </c>
      <c r="E2641" s="31"/>
      <c r="F2641" s="268" t="str">
        <f>IF(D2641="","",VLOOKUP(D2641,契約台帳!$A$3:$K$4986,6,FALSE)&amp;VLOOKUP(D2641,契約台帳!$A$3:$K$4986,7,FALSE)&amp;VLOOKUP(D2641,契約台帳!$A$3:$K$4986,8,FALSE)&amp;VLOOKUP(D2641,契約台帳!$A$3:$K$4986,9,FALSE)&amp;VLOOKUP(D2641,契約台帳!$A$3:$K$4986,11,FALSE))</f>
        <v>3SYMLBMSNMBF</v>
      </c>
      <c r="G2641" s="269" t="str">
        <f>IF(D2641="","",VLOOKUP(F2641,製品マスタ!$G$5:$H$5002,2,FALSE))</f>
        <v>S</v>
      </c>
      <c r="H2641" s="269" t="str">
        <f>IF(D2641="","",VLOOKUP(F2641,製品マスタ!$G$5:$K$5002,5,FALSE))</f>
        <v>MSNMBF</v>
      </c>
      <c r="I2641" s="270" t="str">
        <f>IF(D2641="","",VLOOKUP(F2641,製品マスタ!$G$5:$L$5002,6,FALSE))</f>
        <v>ＭＥＴＡＬＵＭＹ　ＳＩＬＶＥＲ　Ｎ－ＭＡＴＴＥ　Ｘ４４Ｍ　Ｂ</v>
      </c>
      <c r="J2641" s="210" t="s">
        <v>935</v>
      </c>
      <c r="K2641" s="270">
        <f>IF(D2641="","",VLOOKUP(D2641,契約台帳!$A$3:$L$4986,12,FALSE))</f>
        <v>50</v>
      </c>
      <c r="L2641" s="270" t="str">
        <f>IF(D2641="","",INDEX(製品マスタ!$Q$5:$Q$5002,MATCH('S4'!F2641&amp;'S4'!K2641,製品マスタ!$AO$5:$AO$5002,0)))</f>
        <v>X44</v>
      </c>
      <c r="M2641" s="39">
        <v>1120</v>
      </c>
      <c r="N2641" s="39">
        <v>4000</v>
      </c>
      <c r="O2641" s="156">
        <v>2</v>
      </c>
      <c r="P2641" s="47"/>
      <c r="Q2641" s="213">
        <v>45588</v>
      </c>
      <c r="R2641" s="271" t="str">
        <f ca="1">IF(D2641="","",IF(OFFSET(D2641,-1,0)&lt;&gt;"","",IF(OR(J2641="リード付け",J2641="巻足し",J2641="巻返しリード付け"),M2641,VLOOKUP(D2641,契約台帳!$A$3:$N$4986,14,FALSE))))</f>
        <v/>
      </c>
      <c r="S2641" s="272" t="str">
        <f ca="1">IF(D2641="","",IF(OFFSET(D2641,-1,0)&lt;&gt;"","",IF(OR(J2641="リード付け",J2641="巻足し",J2641="巻返しリード付け"),M2641,VLOOKUP(D2641,契約台帳!$A$3:$O$4986,15,FALSE))))</f>
        <v/>
      </c>
      <c r="T2641" s="273">
        <f ca="1">IF(D2641="","",IF(J2641="リード付け",N2641,IF(J2641="巻返しリード付け",N2641,IF(J2641="巻足し",N2641*P2641+OFFSET(N2641,1,0)*OFFSET(P2641,1,0),VLOOKUP(D2641,契約台帳!$A$3:$P$4986,16,FALSE)))))</f>
        <v>0</v>
      </c>
      <c r="U2641" s="40"/>
      <c r="V2641" s="274">
        <f ca="1">IF(D2641="","",IF(OFFSET(D2641,-2,0)=D2641,"",VLOOKUP(D2641,契約台帳!$A$3:$R$4986,18,FALSE)))</f>
        <v>4</v>
      </c>
      <c r="W2641" s="269" t="str">
        <f ca="1">IF(D2641="","",IF(T2641="","",IF(OR(J2641="巻足し",J2641="巻返しリード付け"),"",IF(J2641="巻返し",VLOOKUP(F2641&amp;K2641&amp;M2641,製品マスタ!$M$5:$AD$5002,18,FALSE),IF(OR(J2641="リード付け",J2641="巻返しリード付け"),"原反コア",IF(J2641="スリット",VLOOKUP(F2641&amp;K2641&amp;R2641,製品マスタ!$N$5:$AD$5002,17,FALSE),""))))))</f>
        <v/>
      </c>
      <c r="X2641" s="269" t="str">
        <f ca="1">IF(D2641="","",IF(T2641="","",IF(J2641="巻足し","",IF(J2641="巻返し",VLOOKUP(F2641&amp;K2641&amp;M2641,製品マスタ!$M$5:$AE$5002,19,FALSE),IF(OR(J2641="リード付け",J2641="巻返しリード付け"),"",IF(J2641="スリット",VLOOKUP(F2641&amp;K2641&amp;R2641,製品マスタ!$N$5:$AE$5002,18,FALSE),""))))))</f>
        <v/>
      </c>
      <c r="Y2641" s="275">
        <f ca="1">IF(D2641="","",IF(T2641="","",VLOOKUP(D2641,契約台帳!$A$3:$Q$4986,17,FALSE)))</f>
        <v>2</v>
      </c>
      <c r="Z2641" s="269" t="str">
        <f ca="1">IF(D2641="","",IF(T2641="","",VLOOKUP(D2641,契約台帳!$A$3:$E$4986,5,FALSE)))</f>
        <v>リンテック㈱</v>
      </c>
      <c r="AA2641" s="57"/>
      <c r="AB2641" s="207">
        <f>IFERROR((VLOOKUP(F2641&amp;K2641&amp;M2641,製品マスタ!$M$5:$AM$5002,27,FALSE)),"")</f>
        <v>0</v>
      </c>
      <c r="AC2641" s="33"/>
      <c r="AD2641" s="189"/>
      <c r="AE2641" s="54"/>
      <c r="AF2641" s="55">
        <f>+M2641*N2641*O2641/1000</f>
        <v>8960</v>
      </c>
      <c r="AG2641" s="43"/>
      <c r="AH2641" s="47"/>
      <c r="AI2641" s="30"/>
      <c r="AJ2641" s="30"/>
      <c r="AK2641" s="30"/>
      <c r="AL2641" s="30"/>
      <c r="AM2641" s="13"/>
      <c r="AN2641" s="13"/>
      <c r="AO2641" s="13"/>
      <c r="AP2641" s="13"/>
      <c r="AQ2641" s="13"/>
      <c r="AR2641" s="14"/>
      <c r="AS2641" s="15"/>
    </row>
    <row r="2642" spans="1:45" s="17" customFormat="1" ht="30.95" hidden="1" customHeight="1" x14ac:dyDescent="0.2">
      <c r="A2642" s="343"/>
      <c r="B2642" s="344"/>
      <c r="C2642" s="345"/>
      <c r="D2642" s="346"/>
      <c r="E2642" s="346"/>
      <c r="F2642" s="268"/>
      <c r="G2642" s="269"/>
      <c r="H2642" s="269"/>
      <c r="I2642" s="270"/>
      <c r="J2642" s="434"/>
      <c r="K2642" s="270"/>
      <c r="L2642" s="270"/>
      <c r="M2642" s="348"/>
      <c r="N2642" s="348"/>
      <c r="O2642" s="435"/>
      <c r="P2642" s="349"/>
      <c r="Q2642" s="350"/>
      <c r="R2642" s="271"/>
      <c r="S2642" s="272"/>
      <c r="T2642" s="273"/>
      <c r="U2642" s="351"/>
      <c r="V2642" s="274"/>
      <c r="W2642" s="269"/>
      <c r="X2642" s="269"/>
      <c r="Y2642" s="275"/>
      <c r="Z2642" s="269"/>
      <c r="AA2642" s="350"/>
      <c r="AB2642" s="207"/>
      <c r="AC2642" s="352"/>
      <c r="AD2642" s="353"/>
      <c r="AE2642" s="54"/>
      <c r="AF2642" s="354"/>
      <c r="AG2642" s="355"/>
      <c r="AH2642" s="349"/>
      <c r="AI2642" s="30"/>
      <c r="AJ2642" s="30"/>
      <c r="AK2642" s="30"/>
      <c r="AL2642" s="30"/>
      <c r="AM2642" s="13"/>
      <c r="AN2642" s="13"/>
      <c r="AO2642" s="13"/>
      <c r="AP2642" s="13"/>
      <c r="AQ2642" s="13"/>
      <c r="AR2642" s="14"/>
      <c r="AS2642" s="15"/>
    </row>
    <row r="2643" spans="1:45" s="17" customFormat="1" ht="30.6" hidden="1" customHeight="1" x14ac:dyDescent="0.2">
      <c r="A2643" s="343" t="s">
        <v>3298</v>
      </c>
      <c r="B2643" s="344" t="s">
        <v>3299</v>
      </c>
      <c r="C2643" s="45"/>
      <c r="D2643" s="31">
        <v>3783824</v>
      </c>
      <c r="E2643" s="31">
        <v>4162695</v>
      </c>
      <c r="F2643" s="268" t="str">
        <f>IF(D2643="","",VLOOKUP(D2643,契約台帳!$A$3:$K$4986,6,FALSE)&amp;VLOOKUP(D2643,契約台帳!$A$3:$K$4986,7,FALSE)&amp;VLOOKUP(D2643,契約台帳!$A$3:$K$4986,8,FALSE)&amp;VLOOKUP(D2643,契約台帳!$A$3:$K$4986,9,FALSE)&amp;VLOOKUP(D2643,契約台帳!$A$3:$K$4986,11,FALSE))</f>
        <v>3SYMLBMSNMBF</v>
      </c>
      <c r="G2643" s="269" t="str">
        <f>IF(D2643="","",VLOOKUP(F2643,製品マスタ!$G$5:$H$5002,2,FALSE))</f>
        <v>S</v>
      </c>
      <c r="H2643" s="269" t="str">
        <f>IF(D2643="","",VLOOKUP(F2643,製品マスタ!$G$5:$K$5002,5,FALSE))</f>
        <v>MSNMBF</v>
      </c>
      <c r="I2643" s="270" t="str">
        <f>IF(D2643="","",VLOOKUP(F2643,製品マスタ!$G$5:$L$5002,6,FALSE))</f>
        <v>ＭＥＴＡＬＵＭＹ　ＳＩＬＶＥＲ　Ｎ－ＭＡＴＴＥ　Ｘ４４Ｍ　Ｂ</v>
      </c>
      <c r="J2643" s="210" t="s">
        <v>935</v>
      </c>
      <c r="K2643" s="270">
        <f>IF(D2643="","",VLOOKUP(D2643,契約台帳!$A$3:$L$4986,12,FALSE))</f>
        <v>50</v>
      </c>
      <c r="L2643" s="270" t="str">
        <f>IF(D2643="","",INDEX(製品マスタ!$Q$5:$Q$5002,MATCH('S4'!F2643&amp;'S4'!K2643,製品マスタ!$AO$5:$AO$5002,0)))</f>
        <v>X44</v>
      </c>
      <c r="M2643" s="39">
        <v>1120</v>
      </c>
      <c r="N2643" s="39">
        <v>4000</v>
      </c>
      <c r="O2643" s="156">
        <v>2</v>
      </c>
      <c r="P2643" s="47">
        <v>3</v>
      </c>
      <c r="Q2643" s="213">
        <v>45588</v>
      </c>
      <c r="R2643" s="271">
        <f ca="1">IF(D2643="","",IF(OFFSET(D2643,-1,0)&lt;&gt;"","",IF(OR(J2643="リード付け",J2643="巻足し",J2643="巻返しリード付け"),M2643,VLOOKUP(D2643,契約台帳!$A$3:$N$4986,14,FALSE))))</f>
        <v>1120</v>
      </c>
      <c r="S2643" s="272">
        <f ca="1">IF(D2643="","",IF(OFFSET(D2643,-1,0)&lt;&gt;"","",IF(OR(J2643="リード付け",J2643="巻足し",J2643="巻返しリード付け"),M2643,VLOOKUP(D2643,契約台帳!$A$3:$O$4986,15,FALSE))))</f>
        <v>1120</v>
      </c>
      <c r="T2643" s="273">
        <f ca="1">IF(D2643="","",IF(J2643="リード付け",N2643,IF(J2643="巻返しリード付け",N2643,IF(J2643="巻足し",N2643*P2643+OFFSET(N2643,1,0)*OFFSET(P2643,1,0),VLOOKUP(D2643,契約台帳!$A$3:$P$4986,16,FALSE)))))</f>
        <v>12000</v>
      </c>
      <c r="U2643" s="40">
        <v>1</v>
      </c>
      <c r="V2643" s="274" t="str">
        <f ca="1">IF(D2643="","",IF(OFFSET(D2643,-2,0)=D2643,"",VLOOKUP(D2643,契約台帳!$A$3:$R$4986,18,FALSE)))</f>
        <v/>
      </c>
      <c r="W2643" s="269" t="str">
        <f ca="1">IF(D2643="","",IF(T2643="","",IF(OR(J2643="巻足し",J2643="巻返しリード付け"),"",IF(J2643="巻返し",VLOOKUP(F2643&amp;K2643&amp;M2643,製品マスタ!$M$5:$AD$5002,18,FALSE),IF(OR(J2643="リード付け",J2643="巻返しリード付け"),"原反コア",IF(J2643="スリット",VLOOKUP(F2643&amp;K2643&amp;R2643,製品マスタ!$N$5:$AD$5002,17,FALSE),""))))))</f>
        <v/>
      </c>
      <c r="X2643" s="269" t="str">
        <f ca="1">IF(D2643="","",IF(T2643="","",IF(J2643="巻足し","",IF(J2643="巻返し",VLOOKUP(F2643&amp;K2643&amp;M2643,製品マスタ!$M$5:$AE$5002,19,FALSE),IF(OR(J2643="リード付け",J2643="巻返しリード付け"),"",IF(J2643="スリット",VLOOKUP(F2643&amp;K2643&amp;R2643,製品マスタ!$N$5:$AE$5002,18,FALSE),""))))))</f>
        <v/>
      </c>
      <c r="Y2643" s="275">
        <f ca="1">IF(D2643="","",IF(T2643="","",VLOOKUP(D2643,契約台帳!$A$3:$Q$4986,17,FALSE)))</f>
        <v>2</v>
      </c>
      <c r="Z2643" s="269" t="str">
        <f ca="1">IF(D2643="","",IF(T2643="","",VLOOKUP(D2643,契約台帳!$A$3:$E$4986,5,FALSE)))</f>
        <v>リンテック㈱</v>
      </c>
      <c r="AA2643" s="57"/>
      <c r="AB2643" s="207">
        <f>IFERROR((VLOOKUP(F2643&amp;K2643&amp;M2643,製品マスタ!$M$5:$AM$5002,27,FALSE)),"")</f>
        <v>0</v>
      </c>
      <c r="AC2643" s="33"/>
      <c r="AD2643" s="189"/>
      <c r="AE2643" s="54"/>
      <c r="AF2643" s="55">
        <f>+M2643*N2643*O2643/1000</f>
        <v>8960</v>
      </c>
      <c r="AG2643" s="43"/>
      <c r="AH2643" s="47"/>
      <c r="AI2643" s="30"/>
      <c r="AJ2643" s="30"/>
      <c r="AK2643" s="30"/>
      <c r="AL2643" s="30"/>
      <c r="AM2643" s="13"/>
      <c r="AN2643" s="13"/>
      <c r="AO2643" s="13"/>
      <c r="AP2643" s="13"/>
      <c r="AQ2643" s="13"/>
      <c r="AR2643" s="14"/>
      <c r="AS2643" s="15"/>
    </row>
    <row r="2644" spans="1:45" s="17" customFormat="1" ht="30.6" hidden="1" customHeight="1" x14ac:dyDescent="0.2">
      <c r="A2644" s="343"/>
      <c r="B2644" s="344"/>
      <c r="C2644" s="45"/>
      <c r="D2644" s="31">
        <v>3783823</v>
      </c>
      <c r="E2644" s="31"/>
      <c r="F2644" s="268" t="str">
        <f>IF(D2644="","",VLOOKUP(D2644,契約台帳!$A$3:$K$4986,6,FALSE)&amp;VLOOKUP(D2644,契約台帳!$A$3:$K$4986,7,FALSE)&amp;VLOOKUP(D2644,契約台帳!$A$3:$K$4986,8,FALSE)&amp;VLOOKUP(D2644,契約台帳!$A$3:$K$4986,9,FALSE)&amp;VLOOKUP(D2644,契約台帳!$A$3:$K$4986,11,FALSE))</f>
        <v>3SYMLBMSNMBZF</v>
      </c>
      <c r="G2644" s="269" t="str">
        <f>IF(D2644="","",VLOOKUP(F2644,製品マスタ!$G$5:$H$5002,2,FALSE))</f>
        <v>S</v>
      </c>
      <c r="H2644" s="269" t="str">
        <f>IF(D2644="","",VLOOKUP(F2644,製品マスタ!$G$5:$K$5002,5,FALSE))</f>
        <v>MSNMBZF</v>
      </c>
      <c r="I2644" s="270" t="str">
        <f>IF(D2644="","",VLOOKUP(F2644,製品マスタ!$G$5:$L$5002,6,FALSE))</f>
        <v>ＭＥＴＡＬＵＭＹ　ＳＩＬＶＥＲ　Ｎ－ＭＡＴＴＥ　Ｂ</v>
      </c>
      <c r="J2644" s="210" t="s">
        <v>935</v>
      </c>
      <c r="K2644" s="270">
        <f>IF(D2644="","",VLOOKUP(D2644,契約台帳!$A$3:$L$4986,12,FALSE))</f>
        <v>50</v>
      </c>
      <c r="L2644" s="270" t="str">
        <f>IF(D2644="","",INDEX(製品マスタ!$Q$5:$Q$5002,MATCH('S4'!F2644&amp;'S4'!K2644,製品マスタ!$AO$5:$AO$5002,0)))</f>
        <v>X44</v>
      </c>
      <c r="M2644" s="39">
        <v>1120</v>
      </c>
      <c r="N2644" s="39">
        <v>4000</v>
      </c>
      <c r="O2644" s="156">
        <v>1</v>
      </c>
      <c r="P2644" s="47"/>
      <c r="Q2644" s="213">
        <v>45588</v>
      </c>
      <c r="R2644" s="271" t="str">
        <f ca="1">IF(D2644="","",IF(OFFSET(D2644,-1,0)&lt;&gt;"","",IF(OR(J2644="リード付け",J2644="巻足し",J2644="巻返しリード付け"),M2644,VLOOKUP(D2644,契約台帳!$A$3:$N$4986,14,FALSE))))</f>
        <v/>
      </c>
      <c r="S2644" s="272" t="str">
        <f ca="1">IF(D2644="","",IF(OFFSET(D2644,-1,0)&lt;&gt;"","",IF(OR(J2644="リード付け",J2644="巻足し",J2644="巻返しリード付け"),M2644,VLOOKUP(D2644,契約台帳!$A$3:$O$4986,15,FALSE))))</f>
        <v/>
      </c>
      <c r="T2644" s="273">
        <f ca="1">IF(D2644="","",IF(J2644="リード付け",N2644,IF(J2644="巻返しリード付け",N2644,IF(J2644="巻足し",N2644*P2644+OFFSET(N2644,1,0)*OFFSET(P2644,1,0),VLOOKUP(D2644,契約台帳!$A$3:$P$4986,16,FALSE)))))</f>
        <v>0</v>
      </c>
      <c r="U2644" s="40"/>
      <c r="V2644" s="274">
        <f ca="1">IF(D2644="","",IF(OFFSET(D2644,-2,0)=D2644,"",VLOOKUP(D2644,契約台帳!$A$3:$R$4986,18,FALSE)))</f>
        <v>10</v>
      </c>
      <c r="W2644" s="269" t="str">
        <f ca="1">IF(D2644="","",IF(T2644="","",IF(OR(J2644="巻足し",J2644="巻返しリード付け"),"",IF(J2644="巻返し",VLOOKUP(F2644&amp;K2644&amp;M2644,製品マスタ!$M$5:$AD$5002,18,FALSE),IF(OR(J2644="リード付け",J2644="巻返しリード付け"),"原反コア",IF(J2644="スリット",VLOOKUP(F2644&amp;K2644&amp;R2644,製品マスタ!$N$5:$AD$5002,17,FALSE),""))))))</f>
        <v/>
      </c>
      <c r="X2644" s="269" t="str">
        <f ca="1">IF(D2644="","",IF(T2644="","",IF(J2644="巻足し","",IF(J2644="巻返し",VLOOKUP(F2644&amp;K2644&amp;M2644,製品マスタ!$M$5:$AE$5002,19,FALSE),IF(OR(J2644="リード付け",J2644="巻返しリード付け"),"",IF(J2644="スリット",VLOOKUP(F2644&amp;K2644&amp;R2644,製品マスタ!$N$5:$AE$5002,18,FALSE),""))))))</f>
        <v/>
      </c>
      <c r="Y2644" s="275">
        <f ca="1">IF(D2644="","",IF(T2644="","",VLOOKUP(D2644,契約台帳!$A$3:$Q$4986,17,FALSE)))</f>
        <v>2</v>
      </c>
      <c r="Z2644" s="269" t="str">
        <f ca="1">IF(D2644="","",IF(T2644="","",VLOOKUP(D2644,契約台帳!$A$3:$E$4986,5,FALSE)))</f>
        <v>リンテック㈱</v>
      </c>
      <c r="AA2644" s="57"/>
      <c r="AB2644" s="207">
        <f>IFERROR((VLOOKUP(F2644&amp;K2644&amp;M2644,製品マスタ!$M$5:$AM$5002,27,FALSE)),"")</f>
        <v>0</v>
      </c>
      <c r="AC2644" s="33"/>
      <c r="AD2644" s="189"/>
      <c r="AE2644" s="54"/>
      <c r="AF2644" s="55">
        <f>+M2644*N2644*O2644/1000</f>
        <v>4480</v>
      </c>
      <c r="AG2644" s="43"/>
      <c r="AH2644" s="47"/>
      <c r="AI2644" s="30"/>
      <c r="AJ2644" s="30"/>
      <c r="AK2644" s="30"/>
      <c r="AL2644" s="30"/>
      <c r="AM2644" s="13"/>
      <c r="AN2644" s="13"/>
      <c r="AO2644" s="13"/>
      <c r="AP2644" s="13"/>
      <c r="AQ2644" s="13"/>
      <c r="AR2644" s="14"/>
      <c r="AS2644" s="15"/>
    </row>
    <row r="2645" spans="1:45" s="17" customFormat="1" ht="30.95" hidden="1" customHeight="1" x14ac:dyDescent="0.2">
      <c r="A2645" s="343"/>
      <c r="B2645" s="344"/>
      <c r="C2645" s="345"/>
      <c r="D2645" s="346"/>
      <c r="E2645" s="346"/>
      <c r="F2645" s="268"/>
      <c r="G2645" s="269"/>
      <c r="H2645" s="269"/>
      <c r="I2645" s="270"/>
      <c r="J2645" s="434"/>
      <c r="K2645" s="270"/>
      <c r="L2645" s="270"/>
      <c r="M2645" s="348"/>
      <c r="N2645" s="348"/>
      <c r="O2645" s="435"/>
      <c r="P2645" s="349"/>
      <c r="Q2645" s="350"/>
      <c r="R2645" s="271"/>
      <c r="S2645" s="272"/>
      <c r="T2645" s="273"/>
      <c r="U2645" s="351"/>
      <c r="V2645" s="274"/>
      <c r="W2645" s="269"/>
      <c r="X2645" s="269"/>
      <c r="Y2645" s="275"/>
      <c r="Z2645" s="269"/>
      <c r="AA2645" s="350"/>
      <c r="AB2645" s="207"/>
      <c r="AC2645" s="352"/>
      <c r="AD2645" s="353"/>
      <c r="AE2645" s="54"/>
      <c r="AF2645" s="354"/>
      <c r="AG2645" s="355"/>
      <c r="AH2645" s="349"/>
      <c r="AI2645" s="30"/>
      <c r="AJ2645" s="30"/>
      <c r="AK2645" s="30"/>
      <c r="AL2645" s="30"/>
      <c r="AM2645" s="13"/>
      <c r="AN2645" s="13"/>
      <c r="AO2645" s="13"/>
      <c r="AP2645" s="13"/>
      <c r="AQ2645" s="13"/>
      <c r="AR2645" s="14"/>
      <c r="AS2645" s="15"/>
    </row>
    <row r="2646" spans="1:45" s="17" customFormat="1" ht="30.6" hidden="1" customHeight="1" x14ac:dyDescent="0.2">
      <c r="A2646" s="343"/>
      <c r="B2646" s="344"/>
      <c r="C2646" s="45"/>
      <c r="D2646" s="31">
        <v>3783823</v>
      </c>
      <c r="E2646" s="31">
        <v>4162725</v>
      </c>
      <c r="F2646" s="268" t="str">
        <f>IF(D2646="","",VLOOKUP(D2646,契約台帳!$A$3:$K$4986,6,FALSE)&amp;VLOOKUP(D2646,契約台帳!$A$3:$K$4986,7,FALSE)&amp;VLOOKUP(D2646,契約台帳!$A$3:$K$4986,8,FALSE)&amp;VLOOKUP(D2646,契約台帳!$A$3:$K$4986,9,FALSE)&amp;VLOOKUP(D2646,契約台帳!$A$3:$K$4986,11,FALSE))</f>
        <v>3SYMLBMSNMBZF</v>
      </c>
      <c r="G2646" s="269" t="str">
        <f>IF(D2646="","",VLOOKUP(F2646,製品マスタ!$G$5:$H$5002,2,FALSE))</f>
        <v>S</v>
      </c>
      <c r="H2646" s="269" t="str">
        <f>IF(D2646="","",VLOOKUP(F2646,製品マスタ!$G$5:$K$5002,5,FALSE))</f>
        <v>MSNMBZF</v>
      </c>
      <c r="I2646" s="270" t="str">
        <f>IF(D2646="","",VLOOKUP(F2646,製品マスタ!$G$5:$L$5002,6,FALSE))</f>
        <v>ＭＥＴＡＬＵＭＹ　ＳＩＬＶＥＲ　Ｎ－ＭＡＴＴＥ　Ｂ</v>
      </c>
      <c r="J2646" s="210" t="s">
        <v>935</v>
      </c>
      <c r="K2646" s="270">
        <f>IF(D2646="","",VLOOKUP(D2646,契約台帳!$A$3:$L$4986,12,FALSE))</f>
        <v>50</v>
      </c>
      <c r="L2646" s="270" t="str">
        <f>IF(D2646="","",INDEX(製品マスタ!$Q$5:$Q$5002,MATCH('S4'!F2646&amp;'S4'!K2646,製品マスタ!$AO$5:$AO$5002,0)))</f>
        <v>X44</v>
      </c>
      <c r="M2646" s="39">
        <v>1120</v>
      </c>
      <c r="N2646" s="39">
        <v>4000</v>
      </c>
      <c r="O2646" s="156">
        <v>9</v>
      </c>
      <c r="P2646" s="47">
        <v>3</v>
      </c>
      <c r="Q2646" s="213">
        <v>45588</v>
      </c>
      <c r="R2646" s="271">
        <f ca="1">IF(D2646="","",IF(OFFSET(D2646,-1,0)&lt;&gt;"","",IF(OR(J2646="リード付け",J2646="巻足し",J2646="巻返しリード付け"),M2646,VLOOKUP(D2646,契約台帳!$A$3:$N$4986,14,FALSE))))</f>
        <v>1120</v>
      </c>
      <c r="S2646" s="272">
        <f ca="1">IF(D2646="","",IF(OFFSET(D2646,-1,0)&lt;&gt;"","",IF(OR(J2646="リード付け",J2646="巻足し",J2646="巻返しリード付け"),M2646,VLOOKUP(D2646,契約台帳!$A$3:$O$4986,15,FALSE))))</f>
        <v>1120</v>
      </c>
      <c r="T2646" s="273">
        <f ca="1">IF(D2646="","",IF(J2646="リード付け",N2646,IF(J2646="巻返しリード付け",N2646,IF(J2646="巻足し",N2646*P2646+OFFSET(N2646,1,0)*OFFSET(P2646,1,0),VLOOKUP(D2646,契約台帳!$A$3:$P$4986,16,FALSE)))))</f>
        <v>12000</v>
      </c>
      <c r="U2646" s="40">
        <v>3</v>
      </c>
      <c r="V2646" s="274" t="str">
        <f ca="1">IF(D2646="","",IF(OFFSET(D2646,-2,0)=D2646,"",VLOOKUP(D2646,契約台帳!$A$3:$R$4986,18,FALSE)))</f>
        <v/>
      </c>
      <c r="W2646" s="269" t="str">
        <f ca="1">IF(D2646="","",IF(T2646="","",IF(OR(J2646="巻足し",J2646="巻返しリード付け"),"",IF(J2646="巻返し",VLOOKUP(F2646&amp;K2646&amp;M2646,製品マスタ!$M$5:$AD$5002,18,FALSE),IF(OR(J2646="リード付け",J2646="巻返しリード付け"),"原反コア",IF(J2646="スリット",VLOOKUP(F2646&amp;K2646&amp;R2646,製品マスタ!$N$5:$AD$5002,17,FALSE),""))))))</f>
        <v/>
      </c>
      <c r="X2646" s="269" t="str">
        <f ca="1">IF(D2646="","",IF(T2646="","",IF(J2646="巻足し","",IF(J2646="巻返し",VLOOKUP(F2646&amp;K2646&amp;M2646,製品マスタ!$M$5:$AE$5002,19,FALSE),IF(OR(J2646="リード付け",J2646="巻返しリード付け"),"",IF(J2646="スリット",VLOOKUP(F2646&amp;K2646&amp;R2646,製品マスタ!$N$5:$AE$5002,18,FALSE),""))))))</f>
        <v/>
      </c>
      <c r="Y2646" s="275">
        <f ca="1">IF(D2646="","",IF(T2646="","",VLOOKUP(D2646,契約台帳!$A$3:$Q$4986,17,FALSE)))</f>
        <v>2</v>
      </c>
      <c r="Z2646" s="269" t="str">
        <f ca="1">IF(D2646="","",IF(T2646="","",VLOOKUP(D2646,契約台帳!$A$3:$E$4986,5,FALSE)))</f>
        <v>リンテック㈱</v>
      </c>
      <c r="AA2646" s="57"/>
      <c r="AB2646" s="207">
        <f>IFERROR((VLOOKUP(F2646&amp;K2646&amp;M2646,製品マスタ!$M$5:$AM$5002,27,FALSE)),"")</f>
        <v>0</v>
      </c>
      <c r="AC2646" s="33"/>
      <c r="AD2646" s="189"/>
      <c r="AE2646" s="54"/>
      <c r="AF2646" s="55">
        <f>+M2646*N2646*O2646/1000</f>
        <v>40320</v>
      </c>
      <c r="AG2646" s="43"/>
      <c r="AH2646" s="47"/>
      <c r="AI2646" s="30"/>
      <c r="AJ2646" s="30"/>
      <c r="AK2646" s="30"/>
      <c r="AL2646" s="30"/>
      <c r="AM2646" s="13"/>
      <c r="AN2646" s="13"/>
      <c r="AO2646" s="13"/>
      <c r="AP2646" s="13"/>
      <c r="AQ2646" s="13"/>
      <c r="AR2646" s="14"/>
      <c r="AS2646" s="15"/>
    </row>
    <row r="2647" spans="1:45" s="17" customFormat="1" ht="30.95" hidden="1" customHeight="1" x14ac:dyDescent="0.2">
      <c r="A2647" s="343"/>
      <c r="B2647" s="344"/>
      <c r="C2647" s="345"/>
      <c r="D2647" s="346"/>
      <c r="E2647" s="346"/>
      <c r="F2647" s="268"/>
      <c r="G2647" s="269"/>
      <c r="H2647" s="269"/>
      <c r="I2647" s="270"/>
      <c r="J2647" s="434"/>
      <c r="K2647" s="270"/>
      <c r="L2647" s="270"/>
      <c r="M2647" s="348"/>
      <c r="N2647" s="348"/>
      <c r="O2647" s="435"/>
      <c r="P2647" s="349"/>
      <c r="Q2647" s="350"/>
      <c r="R2647" s="271"/>
      <c r="S2647" s="272"/>
      <c r="T2647" s="273"/>
      <c r="U2647" s="351"/>
      <c r="V2647" s="274"/>
      <c r="W2647" s="269"/>
      <c r="X2647" s="269"/>
      <c r="Y2647" s="275"/>
      <c r="Z2647" s="269"/>
      <c r="AA2647" s="350"/>
      <c r="AB2647" s="207"/>
      <c r="AC2647" s="352"/>
      <c r="AD2647" s="353"/>
      <c r="AE2647" s="54"/>
      <c r="AF2647" s="354"/>
      <c r="AG2647" s="355"/>
      <c r="AH2647" s="349"/>
      <c r="AI2647" s="30"/>
      <c r="AJ2647" s="30"/>
      <c r="AK2647" s="30"/>
      <c r="AL2647" s="30"/>
      <c r="AM2647" s="13"/>
      <c r="AN2647" s="13"/>
      <c r="AO2647" s="13"/>
      <c r="AP2647" s="13"/>
      <c r="AQ2647" s="13"/>
      <c r="AR2647" s="14"/>
      <c r="AS2647" s="15"/>
    </row>
    <row r="2648" spans="1:45" s="17" customFormat="1" ht="30.95" hidden="1" customHeight="1" x14ac:dyDescent="0.2">
      <c r="A2648" s="343" t="s">
        <v>3260</v>
      </c>
      <c r="B2648" s="344" t="s">
        <v>3250</v>
      </c>
      <c r="C2648" s="345"/>
      <c r="D2648" s="346"/>
      <c r="E2648" s="346"/>
      <c r="F2648" s="268"/>
      <c r="G2648" s="269"/>
      <c r="H2648" s="269"/>
      <c r="I2648" s="270"/>
      <c r="J2648" s="434" t="s">
        <v>3253</v>
      </c>
      <c r="K2648" s="270"/>
      <c r="L2648" s="270"/>
      <c r="M2648" s="348"/>
      <c r="N2648" s="348"/>
      <c r="O2648" s="435"/>
      <c r="P2648" s="349"/>
      <c r="Q2648" s="350"/>
      <c r="R2648" s="271"/>
      <c r="S2648" s="272"/>
      <c r="T2648" s="273"/>
      <c r="U2648" s="351"/>
      <c r="V2648" s="274"/>
      <c r="W2648" s="269"/>
      <c r="X2648" s="269"/>
      <c r="Y2648" s="275"/>
      <c r="Z2648" s="269"/>
      <c r="AA2648" s="350"/>
      <c r="AB2648" s="207"/>
      <c r="AC2648" s="352"/>
      <c r="AD2648" s="353"/>
      <c r="AE2648" s="54"/>
      <c r="AF2648" s="354"/>
      <c r="AG2648" s="355"/>
      <c r="AH2648" s="349"/>
      <c r="AI2648" s="30"/>
      <c r="AJ2648" s="30"/>
      <c r="AK2648" s="30"/>
      <c r="AL2648" s="30"/>
      <c r="AM2648" s="13"/>
      <c r="AN2648" s="13"/>
      <c r="AO2648" s="13"/>
      <c r="AP2648" s="13"/>
      <c r="AQ2648" s="13"/>
      <c r="AR2648" s="14"/>
      <c r="AS2648" s="15"/>
    </row>
    <row r="2649" spans="1:45" s="17" customFormat="1" ht="30.95" hidden="1" customHeight="1" x14ac:dyDescent="0.2">
      <c r="A2649" s="343"/>
      <c r="B2649" s="344"/>
      <c r="C2649" s="345"/>
      <c r="D2649" s="346"/>
      <c r="E2649" s="346"/>
      <c r="F2649" s="268"/>
      <c r="G2649" s="269"/>
      <c r="H2649" s="269"/>
      <c r="I2649" s="270"/>
      <c r="J2649" s="434"/>
      <c r="K2649" s="270"/>
      <c r="L2649" s="270"/>
      <c r="M2649" s="348"/>
      <c r="N2649" s="348"/>
      <c r="O2649" s="435"/>
      <c r="P2649" s="349"/>
      <c r="Q2649" s="350"/>
      <c r="R2649" s="271"/>
      <c r="S2649" s="272"/>
      <c r="T2649" s="273"/>
      <c r="U2649" s="351"/>
      <c r="V2649" s="274"/>
      <c r="W2649" s="269"/>
      <c r="X2649" s="269"/>
      <c r="Y2649" s="275"/>
      <c r="Z2649" s="269"/>
      <c r="AA2649" s="350"/>
      <c r="AB2649" s="207"/>
      <c r="AC2649" s="352"/>
      <c r="AD2649" s="353"/>
      <c r="AE2649" s="54"/>
      <c r="AF2649" s="354"/>
      <c r="AG2649" s="355"/>
      <c r="AH2649" s="349"/>
      <c r="AI2649" s="30"/>
      <c r="AJ2649" s="30"/>
      <c r="AK2649" s="30"/>
      <c r="AL2649" s="30"/>
      <c r="AM2649" s="13"/>
      <c r="AN2649" s="13"/>
      <c r="AO2649" s="13"/>
      <c r="AP2649" s="13"/>
      <c r="AQ2649" s="13"/>
      <c r="AR2649" s="14"/>
      <c r="AS2649" s="15"/>
    </row>
    <row r="2650" spans="1:45" s="17" customFormat="1" ht="30.95" hidden="1" customHeight="1" x14ac:dyDescent="0.2">
      <c r="A2650" s="343" t="s">
        <v>3261</v>
      </c>
      <c r="B2650" s="344" t="s">
        <v>3252</v>
      </c>
      <c r="C2650" s="345"/>
      <c r="D2650" s="346"/>
      <c r="E2650" s="346"/>
      <c r="F2650" s="268"/>
      <c r="G2650" s="269"/>
      <c r="H2650" s="269"/>
      <c r="I2650" s="270"/>
      <c r="J2650" s="434" t="s">
        <v>3253</v>
      </c>
      <c r="K2650" s="270"/>
      <c r="L2650" s="270"/>
      <c r="M2650" s="348"/>
      <c r="N2650" s="348"/>
      <c r="O2650" s="435"/>
      <c r="P2650" s="349"/>
      <c r="Q2650" s="350"/>
      <c r="R2650" s="271"/>
      <c r="S2650" s="272"/>
      <c r="T2650" s="273"/>
      <c r="U2650" s="351"/>
      <c r="V2650" s="274"/>
      <c r="W2650" s="269"/>
      <c r="X2650" s="269"/>
      <c r="Y2650" s="275"/>
      <c r="Z2650" s="269"/>
      <c r="AA2650" s="350"/>
      <c r="AB2650" s="207"/>
      <c r="AC2650" s="352"/>
      <c r="AD2650" s="353"/>
      <c r="AE2650" s="54"/>
      <c r="AF2650" s="354"/>
      <c r="AG2650" s="355"/>
      <c r="AH2650" s="349"/>
      <c r="AI2650" s="30"/>
      <c r="AJ2650" s="30"/>
      <c r="AK2650" s="30"/>
      <c r="AL2650" s="30"/>
      <c r="AM2650" s="13"/>
      <c r="AN2650" s="13"/>
      <c r="AO2650" s="13"/>
      <c r="AP2650" s="13"/>
      <c r="AQ2650" s="13"/>
      <c r="AR2650" s="14"/>
      <c r="AS2650" s="15"/>
    </row>
    <row r="2651" spans="1:45" s="17" customFormat="1" ht="30.95" hidden="1" customHeight="1" x14ac:dyDescent="0.2">
      <c r="A2651" s="343"/>
      <c r="B2651" s="344"/>
      <c r="C2651" s="345"/>
      <c r="D2651" s="346"/>
      <c r="E2651" s="346"/>
      <c r="F2651" s="268"/>
      <c r="G2651" s="269"/>
      <c r="H2651" s="269"/>
      <c r="I2651" s="270"/>
      <c r="J2651" s="434"/>
      <c r="K2651" s="270"/>
      <c r="L2651" s="270"/>
      <c r="M2651" s="348"/>
      <c r="N2651" s="348"/>
      <c r="O2651" s="435"/>
      <c r="P2651" s="349"/>
      <c r="Q2651" s="350"/>
      <c r="R2651" s="271"/>
      <c r="S2651" s="272"/>
      <c r="T2651" s="273"/>
      <c r="U2651" s="351"/>
      <c r="V2651" s="274"/>
      <c r="W2651" s="269"/>
      <c r="X2651" s="269"/>
      <c r="Y2651" s="275"/>
      <c r="Z2651" s="269"/>
      <c r="AA2651" s="350"/>
      <c r="AB2651" s="207"/>
      <c r="AC2651" s="352"/>
      <c r="AD2651" s="353"/>
      <c r="AE2651" s="54"/>
      <c r="AF2651" s="354"/>
      <c r="AG2651" s="355"/>
      <c r="AH2651" s="349"/>
      <c r="AI2651" s="30"/>
      <c r="AJ2651" s="30"/>
      <c r="AK2651" s="30"/>
      <c r="AL2651" s="30"/>
      <c r="AM2651" s="13"/>
      <c r="AN2651" s="13"/>
      <c r="AO2651" s="13"/>
      <c r="AP2651" s="13"/>
      <c r="AQ2651" s="13"/>
      <c r="AR2651" s="14"/>
      <c r="AS2651" s="15"/>
    </row>
    <row r="2652" spans="1:45" s="17" customFormat="1" ht="30.6" hidden="1" customHeight="1" x14ac:dyDescent="0.2">
      <c r="A2652" s="343" t="s">
        <v>3300</v>
      </c>
      <c r="B2652" s="344" t="s">
        <v>3301</v>
      </c>
      <c r="C2652" s="45"/>
      <c r="D2652" s="31">
        <v>3783816</v>
      </c>
      <c r="E2652" s="31">
        <v>4162724</v>
      </c>
      <c r="F2652" s="268" t="str">
        <f>IF(D2652="","",VLOOKUP(D2652,契約台帳!$A$3:$K$4986,6,FALSE)&amp;VLOOKUP(D2652,契約台帳!$A$3:$K$4986,7,FALSE)&amp;VLOOKUP(D2652,契約台帳!$A$3:$K$4986,8,FALSE)&amp;VLOOKUP(D2652,契約台帳!$A$3:$K$4986,9,FALSE)&amp;VLOOKUP(D2652,契約台帳!$A$3:$K$4986,11,FALSE))</f>
        <v>3SNMLBMNQR66F</v>
      </c>
      <c r="G2652" s="269" t="str">
        <f>IF(D2652="","",VLOOKUP(F2652,製品マスタ!$G$5:$H$5002,2,FALSE))</f>
        <v>S</v>
      </c>
      <c r="H2652" s="269" t="str">
        <f>IF(D2652="","",VLOOKUP(F2652,製品マスタ!$G$5:$K$5002,5,FALSE))</f>
        <v>MNQR66F</v>
      </c>
      <c r="I2652" s="270" t="str">
        <f>IF(D2652="","",VLOOKUP(F2652,製品マスタ!$G$5:$L$5002,6,FALSE))</f>
        <v>ＱＲ６６蒸着品</v>
      </c>
      <c r="J2652" s="210" t="s">
        <v>935</v>
      </c>
      <c r="K2652" s="270">
        <f>IF(D2652="","",VLOOKUP(D2652,契約台帳!$A$3:$L$4986,12,FALSE))</f>
        <v>25</v>
      </c>
      <c r="L2652" s="270" t="str">
        <f>IF(D2652="","",INDEX(製品マスタ!$Q$5:$Q$5002,MATCH('S4'!F2652&amp;'S4'!K2652,製品マスタ!$AO$5:$AO$5002,0)))</f>
        <v>E315</v>
      </c>
      <c r="M2652" s="39">
        <v>1100</v>
      </c>
      <c r="N2652" s="39">
        <v>6000</v>
      </c>
      <c r="O2652" s="156">
        <v>12</v>
      </c>
      <c r="P2652" s="47">
        <v>3</v>
      </c>
      <c r="Q2652" s="213">
        <v>45589</v>
      </c>
      <c r="R2652" s="271">
        <f ca="1">IF(D2652="","",IF(OFFSET(D2652,-1,0)&lt;&gt;"","",IF(OR(J2652="リード付け",J2652="巻足し",J2652="巻返しリード付け"),M2652,VLOOKUP(D2652,契約台帳!$A$3:$N$4986,14,FALSE))))</f>
        <v>1100</v>
      </c>
      <c r="S2652" s="272">
        <f ca="1">IF(D2652="","",IF(OFFSET(D2652,-1,0)&lt;&gt;"","",IF(OR(J2652="リード付け",J2652="巻足し",J2652="巻返しリード付け"),M2652,VLOOKUP(D2652,契約台帳!$A$3:$O$4986,15,FALSE))))</f>
        <v>1100</v>
      </c>
      <c r="T2652" s="273">
        <f ca="1">IF(D2652="","",IF(J2652="リード付け",N2652,IF(J2652="巻返しリード付け",N2652,IF(J2652="巻足し",N2652*P2652+OFFSET(N2652,1,0)*OFFSET(P2652,1,0),VLOOKUP(D2652,契約台帳!$A$3:$P$4986,16,FALSE)))))</f>
        <v>18000</v>
      </c>
      <c r="U2652" s="40">
        <v>4</v>
      </c>
      <c r="V2652" s="274">
        <f ca="1">IF(D2652="","",IF(OFFSET(D2652,-2,0)=D2652,"",VLOOKUP(D2652,契約台帳!$A$3:$R$4986,18,FALSE)))</f>
        <v>12</v>
      </c>
      <c r="W2652" s="269" t="str">
        <f ca="1">IF(D2652="","",IF(T2652="","",IF(OR(J2652="巻足し",J2652="巻返しリード付け"),"",IF(J2652="巻返し",VLOOKUP(F2652&amp;K2652&amp;M2652,製品マスタ!$M$5:$AD$5002,18,FALSE),IF(OR(J2652="リード付け",J2652="巻返しリード付け"),"原反コア",IF(J2652="スリット",VLOOKUP(F2652&amp;K2652&amp;R2652,製品マスタ!$N$5:$AD$5002,17,FALSE),""))))))</f>
        <v/>
      </c>
      <c r="X2652" s="269" t="str">
        <f ca="1">IF(D2652="","",IF(T2652="","",IF(J2652="巻足し","",IF(J2652="巻返し",VLOOKUP(F2652&amp;K2652&amp;M2652,製品マスタ!$M$5:$AE$5002,19,FALSE),IF(OR(J2652="リード付け",J2652="巻返しリード付け"),"",IF(J2652="スリット",VLOOKUP(F2652&amp;K2652&amp;R2652,製品マスタ!$N$5:$AE$5002,18,FALSE),""))))))</f>
        <v/>
      </c>
      <c r="Y2652" s="275">
        <f ca="1">IF(D2652="","",IF(T2652="","",VLOOKUP(D2652,契約台帳!$A$3:$Q$4986,17,FALSE)))</f>
        <v>2</v>
      </c>
      <c r="Z2652" s="269" t="str">
        <f ca="1">IF(D2652="","",IF(T2652="","",VLOOKUP(D2652,契約台帳!$A$3:$E$4986,5,FALSE)))</f>
        <v>リンテック㈱</v>
      </c>
      <c r="AA2652" s="57"/>
      <c r="AB2652" s="207" t="str">
        <f>IFERROR((VLOOKUP(F2652&amp;K2652&amp;M2652,製品マスタ!$M$5:$AM$5002,27,FALSE)),"")</f>
        <v>原反ケース再利用</v>
      </c>
      <c r="AC2652" s="33"/>
      <c r="AD2652" s="189"/>
      <c r="AE2652" s="54"/>
      <c r="AF2652" s="55">
        <f>+M2652*N2652*O2652/1000</f>
        <v>79200</v>
      </c>
      <c r="AG2652" s="43"/>
      <c r="AH2652" s="47"/>
      <c r="AI2652" s="30"/>
      <c r="AJ2652" s="30"/>
      <c r="AK2652" s="30"/>
      <c r="AL2652" s="30"/>
      <c r="AM2652" s="13"/>
      <c r="AN2652" s="13"/>
      <c r="AO2652" s="13"/>
      <c r="AP2652" s="13"/>
      <c r="AQ2652" s="13"/>
      <c r="AR2652" s="14"/>
      <c r="AS2652" s="15"/>
    </row>
    <row r="2653" spans="1:45" s="17" customFormat="1" ht="30.95" hidden="1" customHeight="1" x14ac:dyDescent="0.2">
      <c r="A2653" s="343"/>
      <c r="B2653" s="344"/>
      <c r="C2653" s="345"/>
      <c r="D2653" s="346"/>
      <c r="E2653" s="346"/>
      <c r="F2653" s="268"/>
      <c r="G2653" s="269"/>
      <c r="H2653" s="269"/>
      <c r="I2653" s="270"/>
      <c r="J2653" s="434"/>
      <c r="K2653" s="270"/>
      <c r="L2653" s="270"/>
      <c r="M2653" s="348"/>
      <c r="N2653" s="348"/>
      <c r="O2653" s="435"/>
      <c r="P2653" s="349"/>
      <c r="Q2653" s="350"/>
      <c r="R2653" s="271"/>
      <c r="S2653" s="272"/>
      <c r="T2653" s="273"/>
      <c r="U2653" s="351"/>
      <c r="V2653" s="274"/>
      <c r="W2653" s="269"/>
      <c r="X2653" s="269"/>
      <c r="Y2653" s="275"/>
      <c r="Z2653" s="269"/>
      <c r="AA2653" s="350"/>
      <c r="AB2653" s="207"/>
      <c r="AC2653" s="352"/>
      <c r="AD2653" s="353"/>
      <c r="AE2653" s="54"/>
      <c r="AF2653" s="354"/>
      <c r="AG2653" s="355"/>
      <c r="AH2653" s="349"/>
      <c r="AI2653" s="30"/>
      <c r="AJ2653" s="30"/>
      <c r="AK2653" s="30"/>
      <c r="AL2653" s="30"/>
      <c r="AM2653" s="13"/>
      <c r="AN2653" s="13"/>
      <c r="AO2653" s="13"/>
      <c r="AP2653" s="13"/>
      <c r="AQ2653" s="13"/>
      <c r="AR2653" s="14"/>
      <c r="AS2653" s="15"/>
    </row>
    <row r="2654" spans="1:45" s="17" customFormat="1" ht="30.6" hidden="1" customHeight="1" x14ac:dyDescent="0.2">
      <c r="A2654" s="343"/>
      <c r="B2654" s="344"/>
      <c r="C2654" s="45"/>
      <c r="D2654" s="31">
        <v>3770580</v>
      </c>
      <c r="E2654" s="31">
        <v>4162468</v>
      </c>
      <c r="F2654" s="268" t="str">
        <f>IF(D2654="","",VLOOKUP(D2654,契約台帳!$A$3:$K$4986,6,FALSE)&amp;VLOOKUP(D2654,契約台帳!$A$3:$K$4986,7,FALSE)&amp;VLOOKUP(D2654,契約台帳!$A$3:$K$4986,8,FALSE)&amp;VLOOKUP(D2654,契約台帳!$A$3:$K$4986,9,FALSE)&amp;VLOOKUP(D2654,契約台帳!$A$3:$K$4986,11,FALSE))</f>
        <v>3SNMLBMNGKBF</v>
      </c>
      <c r="G2654" s="269" t="str">
        <f>IF(D2654="","",VLOOKUP(F2654,製品マスタ!$G$5:$H$5002,2,FALSE))</f>
        <v>S</v>
      </c>
      <c r="H2654" s="269" t="str">
        <f>IF(D2654="","",VLOOKUP(F2654,製品マスタ!$G$5:$K$5002,5,FALSE))</f>
        <v>MNGKBF</v>
      </c>
      <c r="I2654" s="270" t="str">
        <f>IF(D2654="","",VLOOKUP(F2654,製品マスタ!$G$5:$L$5002,6,FALSE))</f>
        <v>メタルミー　ネーマー銀消　Ｂ</v>
      </c>
      <c r="J2654" s="210" t="s">
        <v>935</v>
      </c>
      <c r="K2654" s="270">
        <f>IF(D2654="","",VLOOKUP(D2654,契約台帳!$A$3:$L$4986,12,FALSE))</f>
        <v>50</v>
      </c>
      <c r="L2654" s="270" t="str">
        <f>IF(D2654="","",INDEX(製品マスタ!$Q$5:$Q$5002,MATCH('S4'!F2654&amp;'S4'!K2654,製品マスタ!$AO$5:$AO$5002,0)))</f>
        <v>MAT</v>
      </c>
      <c r="M2654" s="39">
        <v>1050</v>
      </c>
      <c r="N2654" s="39">
        <v>4100</v>
      </c>
      <c r="O2654" s="156">
        <v>3</v>
      </c>
      <c r="P2654" s="47">
        <v>3</v>
      </c>
      <c r="Q2654" s="213">
        <v>45576</v>
      </c>
      <c r="R2654" s="271">
        <f ca="1">IF(D2654="","",IF(OFFSET(D2654,-1,0)&lt;&gt;"","",IF(OR(J2654="リード付け",J2654="巻足し",J2654="巻返しリード付け"),M2654,VLOOKUP(D2654,契約台帳!$A$3:$N$4986,14,FALSE))))</f>
        <v>1050</v>
      </c>
      <c r="S2654" s="272">
        <f ca="1">IF(D2654="","",IF(OFFSET(D2654,-1,0)&lt;&gt;"","",IF(OR(J2654="リード付け",J2654="巻足し",J2654="巻返しリード付け"),M2654,VLOOKUP(D2654,契約台帳!$A$3:$O$4986,15,FALSE))))</f>
        <v>1050</v>
      </c>
      <c r="T2654" s="273">
        <f ca="1">IF(D2654="","",IF(J2654="リード付け",N2654,IF(J2654="巻返しリード付け",N2654,IF(J2654="巻足し",N2654*P2654+OFFSET(N2654,1,0)*OFFSET(P2654,1,0),VLOOKUP(D2654,契約台帳!$A$3:$P$4986,16,FALSE)))))</f>
        <v>12300</v>
      </c>
      <c r="U2654" s="40">
        <v>1</v>
      </c>
      <c r="V2654" s="274">
        <f ca="1">IF(D2654="","",IF(OFFSET(D2654,-2,0)=D2654,"",VLOOKUP(D2654,契約台帳!$A$3:$R$4986,18,FALSE)))</f>
        <v>3</v>
      </c>
      <c r="W2654" s="269" t="str">
        <f ca="1">IF(D2654="","",IF(T2654="","",IF(OR(J2654="巻足し",J2654="巻返しリード付け"),"",IF(J2654="巻返し",VLOOKUP(F2654&amp;K2654&amp;M2654,製品マスタ!$M$5:$AD$5002,18,FALSE),IF(OR(J2654="リード付け",J2654="巻返しリード付け"),"原反コア",IF(J2654="スリット",VLOOKUP(F2654&amp;K2654&amp;R2654,製品マスタ!$N$5:$AD$5002,17,FALSE),""))))))</f>
        <v/>
      </c>
      <c r="X2654" s="269" t="str">
        <f ca="1">IF(D2654="","",IF(T2654="","",IF(J2654="巻足し","",IF(J2654="巻返し",VLOOKUP(F2654&amp;K2654&amp;M2654,製品マスタ!$M$5:$AE$5002,19,FALSE),IF(OR(J2654="リード付け",J2654="巻返しリード付け"),"",IF(J2654="スリット",VLOOKUP(F2654&amp;K2654&amp;R2654,製品マスタ!$N$5:$AE$5002,18,FALSE),""))))))</f>
        <v/>
      </c>
      <c r="Y2654" s="275">
        <f ca="1">IF(D2654="","",IF(T2654="","",VLOOKUP(D2654,契約台帳!$A$3:$Q$4986,17,FALSE)))</f>
        <v>2</v>
      </c>
      <c r="Z2654" s="269" t="str">
        <f ca="1">IF(D2654="","",IF(T2654="","",VLOOKUP(D2654,契約台帳!$A$3:$E$4986,5,FALSE)))</f>
        <v>リンテック㈱</v>
      </c>
      <c r="AA2654" s="57"/>
      <c r="AB2654" s="207">
        <f>IFERROR((VLOOKUP(F2654&amp;K2654&amp;M2654,製品マスタ!$M$5:$AM$5002,27,FALSE)),"")</f>
        <v>0</v>
      </c>
      <c r="AC2654" s="33"/>
      <c r="AD2654" s="189"/>
      <c r="AE2654" s="54"/>
      <c r="AF2654" s="55">
        <f>+M2654*N2654*O2654/1000</f>
        <v>12915</v>
      </c>
      <c r="AG2654" s="43"/>
      <c r="AH2654" s="47"/>
      <c r="AI2654" s="30"/>
      <c r="AJ2654" s="30"/>
      <c r="AK2654" s="30"/>
      <c r="AL2654" s="30"/>
      <c r="AM2654" s="13"/>
      <c r="AN2654" s="13"/>
      <c r="AO2654" s="13"/>
      <c r="AP2654" s="13"/>
      <c r="AQ2654" s="13"/>
      <c r="AR2654" s="14"/>
      <c r="AS2654" s="15"/>
    </row>
    <row r="2655" spans="1:45" s="17" customFormat="1" ht="30.95" hidden="1" customHeight="1" x14ac:dyDescent="0.2">
      <c r="A2655" s="343"/>
      <c r="B2655" s="344"/>
      <c r="C2655" s="345"/>
      <c r="D2655" s="346"/>
      <c r="E2655" s="346"/>
      <c r="F2655" s="268"/>
      <c r="G2655" s="269"/>
      <c r="H2655" s="269"/>
      <c r="I2655" s="270"/>
      <c r="J2655" s="434"/>
      <c r="K2655" s="270"/>
      <c r="L2655" s="270"/>
      <c r="M2655" s="348"/>
      <c r="N2655" s="348"/>
      <c r="O2655" s="435"/>
      <c r="P2655" s="349"/>
      <c r="Q2655" s="350"/>
      <c r="R2655" s="271"/>
      <c r="S2655" s="272"/>
      <c r="T2655" s="273"/>
      <c r="U2655" s="351"/>
      <c r="V2655" s="274"/>
      <c r="W2655" s="269"/>
      <c r="X2655" s="269"/>
      <c r="Y2655" s="275"/>
      <c r="Z2655" s="269"/>
      <c r="AA2655" s="350"/>
      <c r="AB2655" s="207"/>
      <c r="AC2655" s="352"/>
      <c r="AD2655" s="353"/>
      <c r="AE2655" s="54"/>
      <c r="AF2655" s="354"/>
      <c r="AG2655" s="355"/>
      <c r="AH2655" s="349"/>
      <c r="AI2655" s="30"/>
      <c r="AJ2655" s="30"/>
      <c r="AK2655" s="30"/>
      <c r="AL2655" s="30"/>
      <c r="AM2655" s="13"/>
      <c r="AN2655" s="13"/>
      <c r="AO2655" s="13"/>
      <c r="AP2655" s="13"/>
      <c r="AQ2655" s="13"/>
      <c r="AR2655" s="14"/>
      <c r="AS2655" s="15"/>
    </row>
    <row r="2656" spans="1:45" s="17" customFormat="1" ht="30.6" hidden="1" customHeight="1" x14ac:dyDescent="0.2">
      <c r="A2656" s="343" t="s">
        <v>3302</v>
      </c>
      <c r="B2656" s="344" t="s">
        <v>3303</v>
      </c>
      <c r="C2656" s="45"/>
      <c r="D2656" s="31">
        <v>3783811</v>
      </c>
      <c r="E2656" s="31">
        <v>4162723</v>
      </c>
      <c r="F2656" s="268" t="str">
        <f>IF(D2656="","",VLOOKUP(D2656,契約台帳!$A$3:$K$4986,6,FALSE)&amp;VLOOKUP(D2656,契約台帳!$A$3:$K$4986,7,FALSE)&amp;VLOOKUP(D2656,契約台帳!$A$3:$K$4986,8,FALSE)&amp;VLOOKUP(D2656,契約台帳!$A$3:$K$4986,9,FALSE)&amp;VLOOKUP(D2656,契約台帳!$A$3:$K$4986,11,FALSE))</f>
        <v>3SNMLBMNNGKBF</v>
      </c>
      <c r="G2656" s="269" t="str">
        <f>IF(D2656="","",VLOOKUP(F2656,製品マスタ!$G$5:$H$5002,2,FALSE))</f>
        <v>S</v>
      </c>
      <c r="H2656" s="269" t="str">
        <f>IF(D2656="","",VLOOKUP(F2656,製品マスタ!$G$5:$K$5002,5,FALSE))</f>
        <v>MNNGKBF</v>
      </c>
      <c r="I2656" s="270" t="str">
        <f>IF(D2656="","",VLOOKUP(F2656,製品マスタ!$G$5:$L$5002,6,FALSE))</f>
        <v>メタルミー　ニューネーマー銀消　Ｂ</v>
      </c>
      <c r="J2656" s="210" t="s">
        <v>935</v>
      </c>
      <c r="K2656" s="270">
        <f>IF(D2656="","",VLOOKUP(D2656,契約台帳!$A$3:$L$4986,12,FALSE))</f>
        <v>25</v>
      </c>
      <c r="L2656" s="270" t="str">
        <f>IF(D2656="","",INDEX(製品マスタ!$Q$5:$Q$5002,MATCH('S4'!F2656&amp;'S4'!K2656,製品マスタ!$AO$5:$AO$5002,0)))</f>
        <v>X44C</v>
      </c>
      <c r="M2656" s="39">
        <v>1005</v>
      </c>
      <c r="N2656" s="39">
        <v>8000</v>
      </c>
      <c r="O2656" s="156">
        <v>2</v>
      </c>
      <c r="P2656" s="47">
        <v>2</v>
      </c>
      <c r="Q2656" s="213">
        <v>45590</v>
      </c>
      <c r="R2656" s="271">
        <f ca="1">IF(D2656="","",IF(OFFSET(D2656,-1,0)&lt;&gt;"","",IF(OR(J2656="リード付け",J2656="巻足し",J2656="巻返しリード付け"),M2656,VLOOKUP(D2656,契約台帳!$A$3:$N$4986,14,FALSE))))</f>
        <v>1005</v>
      </c>
      <c r="S2656" s="272">
        <f ca="1">IF(D2656="","",IF(OFFSET(D2656,-1,0)&lt;&gt;"","",IF(OR(J2656="リード付け",J2656="巻足し",J2656="巻返しリード付け"),M2656,VLOOKUP(D2656,契約台帳!$A$3:$O$4986,15,FALSE))))</f>
        <v>1005</v>
      </c>
      <c r="T2656" s="273">
        <f ca="1">IF(D2656="","",IF(J2656="リード付け",N2656,IF(J2656="巻返しリード付け",N2656,IF(J2656="巻足し",N2656*P2656+OFFSET(N2656,1,0)*OFFSET(P2656,1,0),VLOOKUP(D2656,契約台帳!$A$3:$P$4986,16,FALSE)))))</f>
        <v>16000</v>
      </c>
      <c r="U2656" s="40">
        <v>1</v>
      </c>
      <c r="V2656" s="274">
        <f ca="1">IF(D2656="","",IF(OFFSET(D2656,-2,0)=D2656,"",VLOOKUP(D2656,契約台帳!$A$3:$R$4986,18,FALSE)))</f>
        <v>4</v>
      </c>
      <c r="W2656" s="269" t="str">
        <f ca="1">IF(D2656="","",IF(T2656="","",IF(OR(J2656="巻足し",J2656="巻返しリード付け"),"",IF(J2656="巻返し",VLOOKUP(F2656&amp;K2656&amp;M2656,製品マスタ!$M$5:$AD$5002,18,FALSE),IF(OR(J2656="リード付け",J2656="巻返しリード付け"),"原反コア",IF(J2656="スリット",VLOOKUP(F2656&amp;K2656&amp;R2656,製品マスタ!$N$5:$AD$5002,17,FALSE),""))))))</f>
        <v/>
      </c>
      <c r="X2656" s="269" t="str">
        <f ca="1">IF(D2656="","",IF(T2656="","",IF(J2656="巻足し","",IF(J2656="巻返し",VLOOKUP(F2656&amp;K2656&amp;M2656,製品マスタ!$M$5:$AE$5002,19,FALSE),IF(OR(J2656="リード付け",J2656="巻返しリード付け"),"",IF(J2656="スリット",VLOOKUP(F2656&amp;K2656&amp;R2656,製品マスタ!$N$5:$AE$5002,18,FALSE),""))))))</f>
        <v/>
      </c>
      <c r="Y2656" s="275">
        <f ca="1">IF(D2656="","",IF(T2656="","",VLOOKUP(D2656,契約台帳!$A$3:$Q$4986,17,FALSE)))</f>
        <v>2</v>
      </c>
      <c r="Z2656" s="269" t="str">
        <f ca="1">IF(D2656="","",IF(T2656="","",VLOOKUP(D2656,契約台帳!$A$3:$E$4986,5,FALSE)))</f>
        <v>リンテック㈱</v>
      </c>
      <c r="AA2656" s="57"/>
      <c r="AB2656" s="207">
        <f>IFERROR((VLOOKUP(F2656&amp;K2656&amp;M2656,製品マスタ!$M$5:$AM$5002,27,FALSE)),"")</f>
        <v>0</v>
      </c>
      <c r="AC2656" s="33"/>
      <c r="AD2656" s="189"/>
      <c r="AE2656" s="54"/>
      <c r="AF2656" s="55">
        <f>+M2656*N2656*O2656/1000</f>
        <v>16080</v>
      </c>
      <c r="AG2656" s="43"/>
      <c r="AH2656" s="47"/>
      <c r="AI2656" s="30"/>
      <c r="AJ2656" s="30"/>
      <c r="AK2656" s="30"/>
      <c r="AL2656" s="30"/>
      <c r="AM2656" s="13"/>
      <c r="AN2656" s="13"/>
      <c r="AO2656" s="13"/>
      <c r="AP2656" s="13"/>
      <c r="AQ2656" s="13"/>
      <c r="AR2656" s="14"/>
      <c r="AS2656" s="15"/>
    </row>
    <row r="2657" spans="1:45" s="17" customFormat="1" ht="30.95" hidden="1" customHeight="1" x14ac:dyDescent="0.2">
      <c r="A2657" s="343"/>
      <c r="B2657" s="344"/>
      <c r="C2657" s="345"/>
      <c r="D2657" s="346"/>
      <c r="E2657" s="346"/>
      <c r="F2657" s="268"/>
      <c r="G2657" s="269"/>
      <c r="H2657" s="269"/>
      <c r="I2657" s="270"/>
      <c r="J2657" s="434"/>
      <c r="K2657" s="270"/>
      <c r="L2657" s="270"/>
      <c r="M2657" s="348"/>
      <c r="N2657" s="348"/>
      <c r="O2657" s="435"/>
      <c r="P2657" s="349"/>
      <c r="Q2657" s="350"/>
      <c r="R2657" s="271"/>
      <c r="S2657" s="272"/>
      <c r="T2657" s="273"/>
      <c r="U2657" s="351"/>
      <c r="V2657" s="274"/>
      <c r="W2657" s="269"/>
      <c r="X2657" s="269"/>
      <c r="Y2657" s="275"/>
      <c r="Z2657" s="269"/>
      <c r="AA2657" s="350"/>
      <c r="AB2657" s="207"/>
      <c r="AC2657" s="352"/>
      <c r="AD2657" s="353"/>
      <c r="AE2657" s="54"/>
      <c r="AF2657" s="354"/>
      <c r="AG2657" s="355"/>
      <c r="AH2657" s="349"/>
      <c r="AI2657" s="30"/>
      <c r="AJ2657" s="30"/>
      <c r="AK2657" s="30"/>
      <c r="AL2657" s="30"/>
      <c r="AM2657" s="13"/>
      <c r="AN2657" s="13"/>
      <c r="AO2657" s="13"/>
      <c r="AP2657" s="13"/>
      <c r="AQ2657" s="13"/>
      <c r="AR2657" s="14"/>
      <c r="AS2657" s="15"/>
    </row>
    <row r="2658" spans="1:45" s="17" customFormat="1" ht="30.6" hidden="1" customHeight="1" x14ac:dyDescent="0.2">
      <c r="A2658" s="343"/>
      <c r="B2658" s="344"/>
      <c r="C2658" s="45"/>
      <c r="D2658" s="31">
        <v>3783812</v>
      </c>
      <c r="E2658" s="31">
        <v>4162689</v>
      </c>
      <c r="F2658" s="268" t="str">
        <f>IF(D2658="","",VLOOKUP(D2658,契約台帳!$A$3:$K$4986,6,FALSE)&amp;VLOOKUP(D2658,契約台帳!$A$3:$K$4986,7,FALSE)&amp;VLOOKUP(D2658,契約台帳!$A$3:$K$4986,8,FALSE)&amp;VLOOKUP(D2658,契約台帳!$A$3:$K$4986,9,FALSE)&amp;VLOOKUP(D2658,契約台帳!$A$3:$K$4986,11,FALSE))</f>
        <v>3SNMLBMNNGKBF</v>
      </c>
      <c r="G2658" s="269" t="str">
        <f>IF(D2658="","",VLOOKUP(F2658,製品マスタ!$G$5:$H$5002,2,FALSE))</f>
        <v>S</v>
      </c>
      <c r="H2658" s="269" t="str">
        <f>IF(D2658="","",VLOOKUP(F2658,製品マスタ!$G$5:$K$5002,5,FALSE))</f>
        <v>MNNGKBF</v>
      </c>
      <c r="I2658" s="270" t="str">
        <f>IF(D2658="","",VLOOKUP(F2658,製品マスタ!$G$5:$L$5002,6,FALSE))</f>
        <v>メタルミー　ニューネーマー銀消　Ｂ</v>
      </c>
      <c r="J2658" s="210" t="s">
        <v>935</v>
      </c>
      <c r="K2658" s="270">
        <f>IF(D2658="","",VLOOKUP(D2658,契約台帳!$A$3:$L$4986,12,FALSE))</f>
        <v>50</v>
      </c>
      <c r="L2658" s="270" t="str">
        <f>IF(D2658="","",INDEX(製品マスタ!$Q$5:$Q$5002,MATCH('S4'!F2658&amp;'S4'!K2658,製品マスタ!$AO$5:$AO$5002,0)))</f>
        <v>X44</v>
      </c>
      <c r="M2658" s="39">
        <v>1000</v>
      </c>
      <c r="N2658" s="39">
        <v>4000</v>
      </c>
      <c r="O2658" s="156">
        <v>9</v>
      </c>
      <c r="P2658" s="47">
        <v>3</v>
      </c>
      <c r="Q2658" s="213">
        <v>45590</v>
      </c>
      <c r="R2658" s="271">
        <f ca="1">IF(D2658="","",IF(OFFSET(D2658,-1,0)&lt;&gt;"","",IF(OR(J2658="リード付け",J2658="巻足し",J2658="巻返しリード付け"),M2658,VLOOKUP(D2658,契約台帳!$A$3:$N$4986,14,FALSE))))</f>
        <v>1000</v>
      </c>
      <c r="S2658" s="272">
        <f ca="1">IF(D2658="","",IF(OFFSET(D2658,-1,0)&lt;&gt;"","",IF(OR(J2658="リード付け",J2658="巻足し",J2658="巻返しリード付け"),M2658,VLOOKUP(D2658,契約台帳!$A$3:$O$4986,15,FALSE))))</f>
        <v>1000</v>
      </c>
      <c r="T2658" s="273">
        <f ca="1">IF(D2658="","",IF(J2658="リード付け",N2658,IF(J2658="巻返しリード付け",N2658,IF(J2658="巻足し",N2658*P2658+OFFSET(N2658,1,0)*OFFSET(P2658,1,0),VLOOKUP(D2658,契約台帳!$A$3:$P$4986,16,FALSE)))))</f>
        <v>12000</v>
      </c>
      <c r="U2658" s="40">
        <v>3</v>
      </c>
      <c r="V2658" s="274">
        <f ca="1">IF(D2658="","",IF(OFFSET(D2658,-2,0)=D2658,"",VLOOKUP(D2658,契約台帳!$A$3:$R$4986,18,FALSE)))</f>
        <v>9</v>
      </c>
      <c r="W2658" s="269" t="str">
        <f ca="1">IF(D2658="","",IF(T2658="","",IF(OR(J2658="巻足し",J2658="巻返しリード付け"),"",IF(J2658="巻返し",VLOOKUP(F2658&amp;K2658&amp;M2658,製品マスタ!$M$5:$AD$5002,18,FALSE),IF(OR(J2658="リード付け",J2658="巻返しリード付け"),"原反コア",IF(J2658="スリット",VLOOKUP(F2658&amp;K2658&amp;R2658,製品マスタ!$N$5:$AD$5002,17,FALSE),""))))))</f>
        <v/>
      </c>
      <c r="X2658" s="269" t="str">
        <f ca="1">IF(D2658="","",IF(T2658="","",IF(J2658="巻足し","",IF(J2658="巻返し",VLOOKUP(F2658&amp;K2658&amp;M2658,製品マスタ!$M$5:$AE$5002,19,FALSE),IF(OR(J2658="リード付け",J2658="巻返しリード付け"),"",IF(J2658="スリット",VLOOKUP(F2658&amp;K2658&amp;R2658,製品マスタ!$N$5:$AE$5002,18,FALSE),""))))))</f>
        <v/>
      </c>
      <c r="Y2658" s="275">
        <f ca="1">IF(D2658="","",IF(T2658="","",VLOOKUP(D2658,契約台帳!$A$3:$Q$4986,17,FALSE)))</f>
        <v>2</v>
      </c>
      <c r="Z2658" s="269" t="str">
        <f ca="1">IF(D2658="","",IF(T2658="","",VLOOKUP(D2658,契約台帳!$A$3:$E$4986,5,FALSE)))</f>
        <v>リンテック㈱</v>
      </c>
      <c r="AA2658" s="57"/>
      <c r="AB2658" s="207" t="str">
        <f>IFERROR((VLOOKUP(F2658&amp;K2658&amp;M2658,製品マスタ!$M$5:$AM$5002,27,FALSE)),"")</f>
        <v>原反ケース再利用</v>
      </c>
      <c r="AC2658" s="33"/>
      <c r="AD2658" s="189"/>
      <c r="AE2658" s="54"/>
      <c r="AF2658" s="55">
        <f>+M2658*N2658*O2658/1000</f>
        <v>36000</v>
      </c>
      <c r="AG2658" s="43"/>
      <c r="AH2658" s="47"/>
      <c r="AI2658" s="30"/>
      <c r="AJ2658" s="30"/>
      <c r="AK2658" s="30"/>
      <c r="AL2658" s="30"/>
      <c r="AM2658" s="13"/>
      <c r="AN2658" s="13"/>
      <c r="AO2658" s="13"/>
      <c r="AP2658" s="13"/>
      <c r="AQ2658" s="13"/>
      <c r="AR2658" s="14"/>
      <c r="AS2658" s="15"/>
    </row>
    <row r="2659" spans="1:45" s="17" customFormat="1" ht="30.95" hidden="1" customHeight="1" x14ac:dyDescent="0.2">
      <c r="A2659" s="343"/>
      <c r="B2659" s="344"/>
      <c r="C2659" s="345"/>
      <c r="D2659" s="346"/>
      <c r="E2659" s="346"/>
      <c r="F2659" s="268"/>
      <c r="G2659" s="269"/>
      <c r="H2659" s="269"/>
      <c r="I2659" s="270"/>
      <c r="J2659" s="434"/>
      <c r="K2659" s="270"/>
      <c r="L2659" s="270"/>
      <c r="M2659" s="348"/>
      <c r="N2659" s="348"/>
      <c r="O2659" s="435"/>
      <c r="P2659" s="349"/>
      <c r="Q2659" s="350"/>
      <c r="R2659" s="271"/>
      <c r="S2659" s="272"/>
      <c r="T2659" s="273"/>
      <c r="U2659" s="351"/>
      <c r="V2659" s="274"/>
      <c r="W2659" s="269"/>
      <c r="X2659" s="269"/>
      <c r="Y2659" s="275"/>
      <c r="Z2659" s="269"/>
      <c r="AA2659" s="350"/>
      <c r="AB2659" s="207"/>
      <c r="AC2659" s="352"/>
      <c r="AD2659" s="353"/>
      <c r="AE2659" s="54"/>
      <c r="AF2659" s="354"/>
      <c r="AG2659" s="355"/>
      <c r="AH2659" s="349"/>
      <c r="AI2659" s="30"/>
      <c r="AJ2659" s="30"/>
      <c r="AK2659" s="30"/>
      <c r="AL2659" s="30"/>
      <c r="AM2659" s="13"/>
      <c r="AN2659" s="13"/>
      <c r="AO2659" s="13"/>
      <c r="AP2659" s="13"/>
      <c r="AQ2659" s="13"/>
      <c r="AR2659" s="14"/>
      <c r="AS2659" s="15"/>
    </row>
    <row r="2660" spans="1:45" s="17" customFormat="1" ht="30.95" hidden="1" customHeight="1" x14ac:dyDescent="0.2">
      <c r="A2660" s="343"/>
      <c r="B2660" s="344"/>
      <c r="C2660" s="345"/>
      <c r="D2660" s="346"/>
      <c r="E2660" s="346" t="s">
        <v>3333</v>
      </c>
      <c r="F2660" s="268"/>
      <c r="G2660" s="269" t="s">
        <v>265</v>
      </c>
      <c r="H2660" s="269" t="s">
        <v>2832</v>
      </c>
      <c r="I2660" s="270" t="s">
        <v>3334</v>
      </c>
      <c r="J2660" s="434" t="s">
        <v>447</v>
      </c>
      <c r="K2660" s="270">
        <v>25</v>
      </c>
      <c r="L2660" s="270" t="s">
        <v>3335</v>
      </c>
      <c r="M2660" s="348">
        <v>1050</v>
      </c>
      <c r="N2660" s="348">
        <v>1240</v>
      </c>
      <c r="O2660" s="435">
        <v>1</v>
      </c>
      <c r="P2660" s="349"/>
      <c r="Q2660" s="350"/>
      <c r="R2660" s="271">
        <v>1050</v>
      </c>
      <c r="S2660" s="272">
        <v>1050</v>
      </c>
      <c r="T2660" s="273">
        <v>1200</v>
      </c>
      <c r="U2660" s="40">
        <v>1</v>
      </c>
      <c r="V2660" s="351" t="s">
        <v>928</v>
      </c>
      <c r="W2660" s="274" t="s">
        <v>272</v>
      </c>
      <c r="X2660" s="269">
        <v>1250</v>
      </c>
      <c r="Y2660" s="269">
        <v>2</v>
      </c>
      <c r="Z2660" s="275" t="s">
        <v>61</v>
      </c>
      <c r="AA2660" s="350"/>
      <c r="AB2660" s="207" t="s">
        <v>2892</v>
      </c>
      <c r="AC2660" s="352"/>
      <c r="AD2660" s="353"/>
      <c r="AE2660" s="54"/>
      <c r="AF2660" s="354"/>
      <c r="AG2660" s="355"/>
      <c r="AH2660" s="349"/>
      <c r="AI2660" s="30"/>
      <c r="AJ2660" s="30"/>
      <c r="AK2660" s="30"/>
      <c r="AL2660" s="30"/>
      <c r="AM2660" s="13"/>
      <c r="AN2660" s="13"/>
      <c r="AO2660" s="13"/>
      <c r="AP2660" s="13"/>
      <c r="AQ2660" s="13"/>
      <c r="AR2660" s="14"/>
      <c r="AS2660" s="15"/>
    </row>
    <row r="2661" spans="1:45" s="17" customFormat="1" ht="30.95" hidden="1" customHeight="1" x14ac:dyDescent="0.2">
      <c r="A2661" s="343"/>
      <c r="B2661" s="344"/>
      <c r="C2661" s="345"/>
      <c r="D2661" s="346"/>
      <c r="E2661" s="346"/>
      <c r="F2661" s="268"/>
      <c r="G2661" s="269"/>
      <c r="H2661" s="269"/>
      <c r="I2661" s="270"/>
      <c r="J2661" s="434"/>
      <c r="K2661" s="270"/>
      <c r="L2661" s="270"/>
      <c r="M2661" s="348"/>
      <c r="N2661" s="348"/>
      <c r="O2661" s="435"/>
      <c r="P2661" s="349"/>
      <c r="Q2661" s="350"/>
      <c r="R2661" s="271"/>
      <c r="S2661" s="272"/>
      <c r="T2661" s="273"/>
      <c r="U2661" s="351"/>
      <c r="V2661" s="274"/>
      <c r="W2661" s="269"/>
      <c r="X2661" s="269"/>
      <c r="Y2661" s="275"/>
      <c r="Z2661" s="269"/>
      <c r="AA2661" s="350"/>
      <c r="AB2661" s="207"/>
      <c r="AC2661" s="352"/>
      <c r="AD2661" s="353"/>
      <c r="AE2661" s="54"/>
      <c r="AF2661" s="354"/>
      <c r="AG2661" s="355"/>
      <c r="AH2661" s="349"/>
      <c r="AI2661" s="30"/>
      <c r="AJ2661" s="30"/>
      <c r="AK2661" s="30"/>
      <c r="AL2661" s="30"/>
      <c r="AM2661" s="13"/>
      <c r="AN2661" s="13"/>
      <c r="AO2661" s="13"/>
      <c r="AP2661" s="13"/>
      <c r="AQ2661" s="13"/>
      <c r="AR2661" s="14"/>
      <c r="AS2661" s="15"/>
    </row>
    <row r="2662" spans="1:45" s="17" customFormat="1" ht="30.6" hidden="1" customHeight="1" x14ac:dyDescent="0.2">
      <c r="A2662" s="343" t="s">
        <v>3304</v>
      </c>
      <c r="B2662" s="344" t="s">
        <v>3305</v>
      </c>
      <c r="C2662" s="45"/>
      <c r="D2662" s="31">
        <v>3783819</v>
      </c>
      <c r="E2662" s="31">
        <v>4162668</v>
      </c>
      <c r="F2662" s="268" t="str">
        <f>IF(D2662="","",VLOOKUP(D2662,契約台帳!$A$3:$K$4986,6,FALSE)&amp;VLOOKUP(D2662,契約台帳!$A$3:$K$4986,7,FALSE)&amp;VLOOKUP(D2662,契約台帳!$A$3:$K$4986,8,FALSE)&amp;VLOOKUP(D2662,契約台帳!$A$3:$K$4986,9,FALSE)&amp;VLOOKUP(D2662,契約台帳!$A$3:$K$4986,11,FALSE))</f>
        <v>3HSYMLBMSSMBF</v>
      </c>
      <c r="G2662" s="269" t="str">
        <f>IF(D2662="","",VLOOKUP(F2662,製品マスタ!$G$5:$H$5002,2,FALSE))</f>
        <v>S</v>
      </c>
      <c r="H2662" s="269" t="str">
        <f>IF(D2662="","",VLOOKUP(F2662,製品マスタ!$G$5:$K$5002,5,FALSE))</f>
        <v>MSSMBF</v>
      </c>
      <c r="I2662" s="270" t="str">
        <f>IF(D2662="","",VLOOKUP(F2662,製品マスタ!$G$5:$L$5002,6,FALSE))</f>
        <v>ＭＥＴＡＬＵＭＹ　ＳＩＬＶＥＲ　Ｓ－ＭＡＴＴＥ　Ｓ２８ＭＭ　Ｂ</v>
      </c>
      <c r="J2662" s="210" t="s">
        <v>935</v>
      </c>
      <c r="K2662" s="270">
        <f>IF(D2662="","",VLOOKUP(D2662,契約台帳!$A$3:$L$4986,12,FALSE))</f>
        <v>50</v>
      </c>
      <c r="L2662" s="270" t="str">
        <f>IF(D2662="","",INDEX(製品マスタ!$Q$5:$Q$5002,MATCH('S4'!F2662&amp;'S4'!K2662,製品マスタ!$AO$5:$AO$5002,0)))</f>
        <v>LI-MAT</v>
      </c>
      <c r="M2662" s="39">
        <v>1120</v>
      </c>
      <c r="N2662" s="39">
        <v>4000</v>
      </c>
      <c r="O2662" s="156">
        <v>3</v>
      </c>
      <c r="P2662" s="47">
        <v>3</v>
      </c>
      <c r="Q2662" s="213">
        <v>45595</v>
      </c>
      <c r="R2662" s="271">
        <f ca="1">IF(D2662="","",IF(OFFSET(D2662,-1,0)&lt;&gt;"","",IF(OR(J2662="リード付け",J2662="巻足し",J2662="巻返しリード付け"),M2662,VLOOKUP(D2662,契約台帳!$A$3:$N$4986,14,FALSE))))</f>
        <v>1120</v>
      </c>
      <c r="S2662" s="272">
        <f ca="1">IF(D2662="","",IF(OFFSET(D2662,-1,0)&lt;&gt;"","",IF(OR(J2662="リード付け",J2662="巻足し",J2662="巻返しリード付け"),M2662,VLOOKUP(D2662,契約台帳!$A$3:$O$4986,15,FALSE))))</f>
        <v>1120</v>
      </c>
      <c r="T2662" s="273">
        <f ca="1">IF(D2662="","",IF(J2662="リード付け",N2662,IF(J2662="巻返しリード付け",N2662,IF(J2662="巻足し",N2662*P2662+OFFSET(N2662,1,0)*OFFSET(P2662,1,0),VLOOKUP(D2662,契約台帳!$A$3:$P$4986,16,FALSE)))))</f>
        <v>12000</v>
      </c>
      <c r="U2662" s="40">
        <v>1</v>
      </c>
      <c r="V2662" s="274">
        <f ca="1">IF(D2662="","",IF(OFFSET(D2662,-2,0)=D2662,"",VLOOKUP(D2662,契約台帳!$A$3:$R$4986,18,FALSE)))</f>
        <v>3</v>
      </c>
      <c r="W2662" s="269" t="str">
        <f ca="1">IF(D2662="","",IF(T2662="","",IF(OR(J2662="巻足し",J2662="巻返しリード付け"),"",IF(J2662="巻返し",VLOOKUP(F2662&amp;K2662&amp;M2662,製品マスタ!$M$5:$AD$5002,18,FALSE),IF(OR(J2662="リード付け",J2662="巻返しリード付け"),"原反コア",IF(J2662="スリット",VLOOKUP(F2662&amp;K2662&amp;R2662,製品マスタ!$N$5:$AD$5002,17,FALSE),""))))))</f>
        <v/>
      </c>
      <c r="X2662" s="269" t="str">
        <f ca="1">IF(D2662="","",IF(T2662="","",IF(J2662="巻足し","",IF(J2662="巻返し",VLOOKUP(F2662&amp;K2662&amp;M2662,製品マスタ!$M$5:$AE$5002,19,FALSE),IF(OR(J2662="リード付け",J2662="巻返しリード付け"),"",IF(J2662="スリット",VLOOKUP(F2662&amp;K2662&amp;R2662,製品マスタ!$N$5:$AE$5002,18,FALSE),""))))))</f>
        <v/>
      </c>
      <c r="Y2662" s="275">
        <f ca="1">IF(D2662="","",IF(T2662="","",VLOOKUP(D2662,契約台帳!$A$3:$Q$4986,17,FALSE)))</f>
        <v>2</v>
      </c>
      <c r="Z2662" s="269" t="str">
        <f ca="1">IF(D2662="","",IF(T2662="","",VLOOKUP(D2662,契約台帳!$A$3:$E$4986,5,FALSE)))</f>
        <v>リンテック㈱</v>
      </c>
      <c r="AA2662" s="57"/>
      <c r="AB2662" s="207">
        <f>IFERROR((VLOOKUP(F2662&amp;K2662&amp;M2662,製品マスタ!$M$5:$AM$5002,27,FALSE)),"")</f>
        <v>0</v>
      </c>
      <c r="AC2662" s="33"/>
      <c r="AD2662" s="189"/>
      <c r="AE2662" s="54"/>
      <c r="AF2662" s="55">
        <f>+M2662*N2662*O2662/1000</f>
        <v>13440</v>
      </c>
      <c r="AG2662" s="43"/>
      <c r="AH2662" s="47"/>
      <c r="AI2662" s="30"/>
      <c r="AJ2662" s="30"/>
      <c r="AK2662" s="30"/>
      <c r="AL2662" s="30"/>
      <c r="AM2662" s="13"/>
      <c r="AN2662" s="13"/>
      <c r="AO2662" s="13"/>
      <c r="AP2662" s="13"/>
      <c r="AQ2662" s="13"/>
      <c r="AR2662" s="14"/>
      <c r="AS2662" s="15"/>
    </row>
    <row r="2663" spans="1:45" s="17" customFormat="1" ht="30.95" hidden="1" customHeight="1" x14ac:dyDescent="0.2">
      <c r="A2663" s="343"/>
      <c r="B2663" s="344"/>
      <c r="C2663" s="345"/>
      <c r="D2663" s="346"/>
      <c r="E2663" s="346"/>
      <c r="F2663" s="268"/>
      <c r="G2663" s="269"/>
      <c r="H2663" s="269"/>
      <c r="I2663" s="270"/>
      <c r="J2663" s="434"/>
      <c r="K2663" s="270"/>
      <c r="L2663" s="270"/>
      <c r="M2663" s="348"/>
      <c r="N2663" s="348"/>
      <c r="O2663" s="435"/>
      <c r="P2663" s="349"/>
      <c r="Q2663" s="350"/>
      <c r="R2663" s="271"/>
      <c r="S2663" s="272"/>
      <c r="T2663" s="273"/>
      <c r="U2663" s="351"/>
      <c r="V2663" s="274"/>
      <c r="W2663" s="269"/>
      <c r="X2663" s="269"/>
      <c r="Y2663" s="275"/>
      <c r="Z2663" s="269"/>
      <c r="AA2663" s="350"/>
      <c r="AB2663" s="207"/>
      <c r="AC2663" s="352"/>
      <c r="AD2663" s="353"/>
      <c r="AE2663" s="54"/>
      <c r="AF2663" s="354"/>
      <c r="AG2663" s="355"/>
      <c r="AH2663" s="349"/>
      <c r="AI2663" s="30"/>
      <c r="AJ2663" s="30"/>
      <c r="AK2663" s="30"/>
      <c r="AL2663" s="30"/>
      <c r="AM2663" s="13"/>
      <c r="AN2663" s="13"/>
      <c r="AO2663" s="13"/>
      <c r="AP2663" s="13"/>
      <c r="AQ2663" s="13"/>
      <c r="AR2663" s="14"/>
      <c r="AS2663" s="15"/>
    </row>
    <row r="2664" spans="1:45" s="17" customFormat="1" ht="30.6" hidden="1" customHeight="1" x14ac:dyDescent="0.2">
      <c r="A2664" s="343"/>
      <c r="B2664" s="344"/>
      <c r="C2664" s="45"/>
      <c r="D2664" s="31">
        <v>3785951</v>
      </c>
      <c r="E2664" s="31">
        <v>4162742</v>
      </c>
      <c r="F2664" s="268" t="str">
        <f>IF(D2664="","",VLOOKUP(D2664,契約台帳!$A$3:$K$4986,6,FALSE)&amp;VLOOKUP(D2664,契約台帳!$A$3:$K$4986,7,FALSE)&amp;VLOOKUP(D2664,契約台帳!$A$3:$K$4986,8,FALSE)&amp;VLOOKUP(D2664,契約台帳!$A$3:$K$4986,9,FALSE)&amp;VLOOKUP(D2664,契約台帳!$A$3:$K$4986,11,FALSE))</f>
        <v>3SYMLBMSSMBZF</v>
      </c>
      <c r="G2664" s="269" t="str">
        <f>IF(D2664="","",VLOOKUP(F2664,製品マスタ!$G$5:$H$5002,2,FALSE))</f>
        <v>S</v>
      </c>
      <c r="H2664" s="269" t="str">
        <f>IF(D2664="","",VLOOKUP(F2664,製品マスタ!$G$5:$K$5002,5,FALSE))</f>
        <v>MSSMBZF</v>
      </c>
      <c r="I2664" s="270" t="str">
        <f>IF(D2664="","",VLOOKUP(F2664,製品マスタ!$G$5:$L$5002,6,FALSE))</f>
        <v>ＭＥＴＡＬＵＭＹ　ＳＩＬＶＥＲ　Ｓ－ＭＡＴＴＥ　Ｂ</v>
      </c>
      <c r="J2664" s="210" t="s">
        <v>935</v>
      </c>
      <c r="K2664" s="270">
        <f>IF(D2664="","",VLOOKUP(D2664,契約台帳!$A$3:$L$4986,12,FALSE))</f>
        <v>50</v>
      </c>
      <c r="L2664" s="270" t="str">
        <f>IF(D2664="","",INDEX(製品マスタ!$Q$5:$Q$5002,MATCH('S4'!F2664&amp;'S4'!K2664,製品マスタ!$AO$5:$AO$5002,0)))</f>
        <v>LI-MAT</v>
      </c>
      <c r="M2664" s="39">
        <v>1120</v>
      </c>
      <c r="N2664" s="39">
        <v>4000</v>
      </c>
      <c r="O2664" s="156">
        <v>6</v>
      </c>
      <c r="P2664" s="47">
        <v>3</v>
      </c>
      <c r="Q2664" s="213">
        <v>45595</v>
      </c>
      <c r="R2664" s="271">
        <f ca="1">IF(D2664="","",IF(OFFSET(D2664,-1,0)&lt;&gt;"","",IF(OR(J2664="リード付け",J2664="巻足し",J2664="巻返しリード付け"),M2664,VLOOKUP(D2664,契約台帳!$A$3:$N$4986,14,FALSE))))</f>
        <v>1120</v>
      </c>
      <c r="S2664" s="272">
        <f ca="1">IF(D2664="","",IF(OFFSET(D2664,-1,0)&lt;&gt;"","",IF(OR(J2664="リード付け",J2664="巻足し",J2664="巻返しリード付け"),M2664,VLOOKUP(D2664,契約台帳!$A$3:$O$4986,15,FALSE))))</f>
        <v>1120</v>
      </c>
      <c r="T2664" s="273">
        <f ca="1">IF(D2664="","",IF(J2664="リード付け",N2664,IF(J2664="巻返しリード付け",N2664,IF(J2664="巻足し",N2664*P2664+OFFSET(N2664,1,0)*OFFSET(P2664,1,0),VLOOKUP(D2664,契約台帳!$A$3:$P$4986,16,FALSE)))))</f>
        <v>12000</v>
      </c>
      <c r="U2664" s="40">
        <v>2</v>
      </c>
      <c r="V2664" s="274">
        <f ca="1">IF(D2664="","",IF(OFFSET(D2664,-2,0)=D2664,"",VLOOKUP(D2664,契約台帳!$A$3:$R$4986,18,FALSE)))</f>
        <v>6</v>
      </c>
      <c r="W2664" s="269" t="str">
        <f ca="1">IF(D2664="","",IF(T2664="","",IF(OR(J2664="巻足し",J2664="巻返しリード付け"),"",IF(J2664="巻返し",VLOOKUP(F2664&amp;K2664&amp;M2664,製品マスタ!$M$5:$AD$5002,18,FALSE),IF(OR(J2664="リード付け",J2664="巻返しリード付け"),"原反コア",IF(J2664="スリット",VLOOKUP(F2664&amp;K2664&amp;R2664,製品マスタ!$N$5:$AD$5002,17,FALSE),""))))))</f>
        <v/>
      </c>
      <c r="X2664" s="269" t="str">
        <f ca="1">IF(D2664="","",IF(T2664="","",IF(J2664="巻足し","",IF(J2664="巻返し",VLOOKUP(F2664&amp;K2664&amp;M2664,製品マスタ!$M$5:$AE$5002,19,FALSE),IF(OR(J2664="リード付け",J2664="巻返しリード付け"),"",IF(J2664="スリット",VLOOKUP(F2664&amp;K2664&amp;R2664,製品マスタ!$N$5:$AE$5002,18,FALSE),""))))))</f>
        <v/>
      </c>
      <c r="Y2664" s="275">
        <f ca="1">IF(D2664="","",IF(T2664="","",VLOOKUP(D2664,契約台帳!$A$3:$Q$4986,17,FALSE)))</f>
        <v>2</v>
      </c>
      <c r="Z2664" s="269" t="str">
        <f ca="1">IF(D2664="","",IF(T2664="","",VLOOKUP(D2664,契約台帳!$A$3:$E$4986,5,FALSE)))</f>
        <v>リンテック㈱</v>
      </c>
      <c r="AA2664" s="57"/>
      <c r="AB2664" s="207">
        <f>IFERROR((VLOOKUP(F2664&amp;K2664&amp;M2664,製品マスタ!$M$5:$AM$5002,27,FALSE)),"")</f>
        <v>0</v>
      </c>
      <c r="AC2664" s="33"/>
      <c r="AD2664" s="189"/>
      <c r="AE2664" s="54"/>
      <c r="AF2664" s="55">
        <f>+M2664*N2664*O2664/1000</f>
        <v>26880</v>
      </c>
      <c r="AG2664" s="43"/>
      <c r="AH2664" s="47"/>
      <c r="AI2664" s="30"/>
      <c r="AJ2664" s="30"/>
      <c r="AK2664" s="30"/>
      <c r="AL2664" s="30"/>
      <c r="AM2664" s="13"/>
      <c r="AN2664" s="13"/>
      <c r="AO2664" s="13"/>
      <c r="AP2664" s="13"/>
      <c r="AQ2664" s="13"/>
      <c r="AR2664" s="14"/>
      <c r="AS2664" s="15"/>
    </row>
    <row r="2665" spans="1:45" s="17" customFormat="1" ht="30.95" hidden="1" customHeight="1" x14ac:dyDescent="0.2">
      <c r="A2665" s="343"/>
      <c r="B2665" s="344"/>
      <c r="C2665" s="345"/>
      <c r="D2665" s="346"/>
      <c r="E2665" s="346"/>
      <c r="F2665" s="268"/>
      <c r="G2665" s="269"/>
      <c r="H2665" s="269"/>
      <c r="I2665" s="443" t="s">
        <v>3342</v>
      </c>
      <c r="J2665" s="434"/>
      <c r="K2665" s="270"/>
      <c r="L2665" s="270"/>
      <c r="M2665" s="348"/>
      <c r="N2665" s="348"/>
      <c r="O2665" s="435"/>
      <c r="P2665" s="349"/>
      <c r="Q2665" s="350"/>
      <c r="R2665" s="271"/>
      <c r="S2665" s="272"/>
      <c r="T2665" s="273"/>
      <c r="U2665" s="351"/>
      <c r="V2665" s="274"/>
      <c r="W2665" s="269"/>
      <c r="X2665" s="269"/>
      <c r="Y2665" s="275"/>
      <c r="Z2665" s="269"/>
      <c r="AA2665" s="350"/>
      <c r="AB2665" s="207"/>
      <c r="AC2665" s="352"/>
      <c r="AD2665" s="353"/>
      <c r="AE2665" s="54"/>
      <c r="AF2665" s="354"/>
      <c r="AG2665" s="355"/>
      <c r="AH2665" s="349"/>
      <c r="AI2665" s="30"/>
      <c r="AJ2665" s="30"/>
      <c r="AK2665" s="30"/>
      <c r="AL2665" s="30"/>
      <c r="AM2665" s="13"/>
      <c r="AN2665" s="13"/>
      <c r="AO2665" s="13"/>
      <c r="AP2665" s="13"/>
      <c r="AQ2665" s="13"/>
      <c r="AR2665" s="14"/>
      <c r="AS2665" s="15"/>
    </row>
    <row r="2666" spans="1:45" s="17" customFormat="1" ht="30.6" hidden="1" customHeight="1" x14ac:dyDescent="0.2">
      <c r="A2666" s="343"/>
      <c r="B2666" s="344"/>
      <c r="C2666" s="45"/>
      <c r="D2666" s="31">
        <v>3785953</v>
      </c>
      <c r="E2666" s="31">
        <v>4162738</v>
      </c>
      <c r="F2666" s="268" t="str">
        <f>IF(D2666="","",VLOOKUP(D2666,契約台帳!$A$3:$K$4986,6,FALSE)&amp;VLOOKUP(D2666,契約台帳!$A$3:$K$4986,7,FALSE)&amp;VLOOKUP(D2666,契約台帳!$A$3:$K$4986,8,FALSE)&amp;VLOOKUP(D2666,契約台帳!$A$3:$K$4986,9,FALSE)&amp;VLOOKUP(D2666,契約台帳!$A$3:$K$4986,11,FALSE))</f>
        <v>3HSYMLBMSSMBF</v>
      </c>
      <c r="G2666" s="269" t="str">
        <f>IF(D2666="","",VLOOKUP(F2666,製品マスタ!$G$5:$H$5002,2,FALSE))</f>
        <v>S</v>
      </c>
      <c r="H2666" s="269" t="str">
        <f>IF(D2666="","",VLOOKUP(F2666,製品マスタ!$G$5:$K$5002,5,FALSE))</f>
        <v>MSSMBF</v>
      </c>
      <c r="I2666" s="270" t="str">
        <f>IF(D2666="","",VLOOKUP(F2666,製品マスタ!$G$5:$L$5002,6,FALSE))</f>
        <v>ＭＥＴＡＬＵＭＹ　ＳＩＬＶＥＲ　Ｓ－ＭＡＴＴＥ　Ｓ２８ＭＭ　Ｂ</v>
      </c>
      <c r="J2666" s="210" t="s">
        <v>935</v>
      </c>
      <c r="K2666" s="270">
        <f>IF(D2666="","",VLOOKUP(D2666,契約台帳!$A$3:$L$4986,12,FALSE))</f>
        <v>50</v>
      </c>
      <c r="L2666" s="270" t="str">
        <f>IF(D2666="","",INDEX(製品マスタ!$Q$5:$Q$5002,MATCH('S4'!F2666&amp;'S4'!K2666,製品マスタ!$AO$5:$AO$5002,0)))</f>
        <v>LI-MAT</v>
      </c>
      <c r="M2666" s="39">
        <v>1120</v>
      </c>
      <c r="N2666" s="39">
        <v>4000</v>
      </c>
      <c r="O2666" s="156">
        <v>6</v>
      </c>
      <c r="P2666" s="47">
        <v>3</v>
      </c>
      <c r="Q2666" s="213">
        <v>45595</v>
      </c>
      <c r="R2666" s="271">
        <f ca="1">IF(D2666="","",IF(OFFSET(D2666,-1,0)&lt;&gt;"","",IF(OR(J2666="リード付け",J2666="巻足し",J2666="巻返しリード付け"),M2666,VLOOKUP(D2666,契約台帳!$A$3:$N$4986,14,FALSE))))</f>
        <v>1120</v>
      </c>
      <c r="S2666" s="272">
        <f ca="1">IF(D2666="","",IF(OFFSET(D2666,-1,0)&lt;&gt;"","",IF(OR(J2666="リード付け",J2666="巻足し",J2666="巻返しリード付け"),M2666,VLOOKUP(D2666,契約台帳!$A$3:$O$4986,15,FALSE))))</f>
        <v>1120</v>
      </c>
      <c r="T2666" s="273">
        <f ca="1">IF(D2666="","",IF(J2666="リード付け",N2666,IF(J2666="巻返しリード付け",N2666,IF(J2666="巻足し",N2666*P2666+OFFSET(N2666,1,0)*OFFSET(P2666,1,0),VLOOKUP(D2666,契約台帳!$A$3:$P$4986,16,FALSE)))))</f>
        <v>12000</v>
      </c>
      <c r="U2666" s="40">
        <v>2</v>
      </c>
      <c r="V2666" s="274">
        <f ca="1">IF(D2666="","",IF(OFFSET(D2666,-2,0)=D2666,"",VLOOKUP(D2666,契約台帳!$A$3:$R$4986,18,FALSE)))</f>
        <v>6</v>
      </c>
      <c r="W2666" s="269" t="str">
        <f ca="1">IF(D2666="","",IF(T2666="","",IF(OR(J2666="巻足し",J2666="巻返しリード付け"),"",IF(J2666="巻返し",VLOOKUP(F2666&amp;K2666&amp;M2666,製品マスタ!$M$5:$AD$5002,18,FALSE),IF(OR(J2666="リード付け",J2666="巻返しリード付け"),"原反コア",IF(J2666="スリット",VLOOKUP(F2666&amp;K2666&amp;R2666,製品マスタ!$N$5:$AD$5002,17,FALSE),""))))))</f>
        <v/>
      </c>
      <c r="X2666" s="269" t="str">
        <f ca="1">IF(D2666="","",IF(T2666="","",IF(J2666="巻足し","",IF(J2666="巻返し",VLOOKUP(F2666&amp;K2666&amp;M2666,製品マスタ!$M$5:$AE$5002,19,FALSE),IF(OR(J2666="リード付け",J2666="巻返しリード付け"),"",IF(J2666="スリット",VLOOKUP(F2666&amp;K2666&amp;R2666,製品マスタ!$N$5:$AE$5002,18,FALSE),""))))))</f>
        <v/>
      </c>
      <c r="Y2666" s="275">
        <f ca="1">IF(D2666="","",IF(T2666="","",VLOOKUP(D2666,契約台帳!$A$3:$Q$4986,17,FALSE)))</f>
        <v>2</v>
      </c>
      <c r="Z2666" s="269" t="str">
        <f ca="1">IF(D2666="","",IF(T2666="","",VLOOKUP(D2666,契約台帳!$A$3:$E$4986,5,FALSE)))</f>
        <v>リンテック㈱</v>
      </c>
      <c r="AA2666" s="57"/>
      <c r="AB2666" s="207">
        <f>IFERROR((VLOOKUP(F2666&amp;K2666&amp;M2666,製品マスタ!$M$5:$AM$5002,27,FALSE)),"")</f>
        <v>0</v>
      </c>
      <c r="AC2666" s="33"/>
      <c r="AD2666" s="189"/>
      <c r="AE2666" s="54"/>
      <c r="AF2666" s="55">
        <f>+M2666*N2666*O2666/1000</f>
        <v>26880</v>
      </c>
      <c r="AG2666" s="43"/>
      <c r="AH2666" s="47"/>
      <c r="AI2666" s="30"/>
      <c r="AJ2666" s="30"/>
      <c r="AK2666" s="30"/>
      <c r="AL2666" s="30"/>
      <c r="AM2666" s="13"/>
      <c r="AN2666" s="13"/>
      <c r="AO2666" s="13"/>
      <c r="AP2666" s="13"/>
      <c r="AQ2666" s="13"/>
      <c r="AR2666" s="14"/>
      <c r="AS2666" s="15"/>
    </row>
    <row r="2667" spans="1:45" s="17" customFormat="1" ht="30.95" hidden="1" customHeight="1" x14ac:dyDescent="0.2">
      <c r="A2667" s="343"/>
      <c r="B2667" s="344"/>
      <c r="C2667" s="345"/>
      <c r="D2667" s="346"/>
      <c r="E2667" s="346"/>
      <c r="F2667" s="268"/>
      <c r="G2667" s="269"/>
      <c r="H2667" s="269"/>
      <c r="I2667" s="443" t="s">
        <v>3344</v>
      </c>
      <c r="J2667" s="434"/>
      <c r="K2667" s="270"/>
      <c r="L2667" s="270"/>
      <c r="M2667" s="348"/>
      <c r="N2667" s="348"/>
      <c r="O2667" s="435"/>
      <c r="P2667" s="349"/>
      <c r="Q2667" s="350"/>
      <c r="R2667" s="271"/>
      <c r="S2667" s="272"/>
      <c r="T2667" s="273"/>
      <c r="U2667" s="351"/>
      <c r="V2667" s="274"/>
      <c r="W2667" s="269"/>
      <c r="X2667" s="269"/>
      <c r="Y2667" s="275"/>
      <c r="Z2667" s="269"/>
      <c r="AA2667" s="350"/>
      <c r="AB2667" s="207"/>
      <c r="AC2667" s="352"/>
      <c r="AD2667" s="353"/>
      <c r="AE2667" s="54"/>
      <c r="AF2667" s="354"/>
      <c r="AG2667" s="355"/>
      <c r="AH2667" s="349"/>
      <c r="AI2667" s="30"/>
      <c r="AJ2667" s="30"/>
      <c r="AK2667" s="30"/>
      <c r="AL2667" s="30"/>
      <c r="AM2667" s="13"/>
      <c r="AN2667" s="13"/>
      <c r="AO2667" s="13"/>
      <c r="AP2667" s="13"/>
      <c r="AQ2667" s="13"/>
      <c r="AR2667" s="14"/>
      <c r="AS2667" s="15"/>
    </row>
    <row r="2668" spans="1:45" s="17" customFormat="1" ht="30.6" hidden="1" customHeight="1" x14ac:dyDescent="0.2">
      <c r="A2668" s="343" t="s">
        <v>639</v>
      </c>
      <c r="B2668" s="344" t="s">
        <v>443</v>
      </c>
      <c r="C2668" s="45"/>
      <c r="D2668" s="31">
        <v>3785952</v>
      </c>
      <c r="E2668" s="31">
        <v>4162741</v>
      </c>
      <c r="F2668" s="268" t="str">
        <f>IF(D2668="","",VLOOKUP(D2668,契約台帳!$A$3:$K$4986,6,FALSE)&amp;VLOOKUP(D2668,契約台帳!$A$3:$K$4986,7,FALSE)&amp;VLOOKUP(D2668,契約台帳!$A$3:$K$4986,8,FALSE)&amp;VLOOKUP(D2668,契約台帳!$A$3:$K$4986,9,FALSE)&amp;VLOOKUP(D2668,契約台帳!$A$3:$K$4986,11,FALSE))</f>
        <v>3SYMLBMSNMBZF</v>
      </c>
      <c r="G2668" s="269" t="str">
        <f>IF(D2668="","",VLOOKUP(F2668,製品マスタ!$G$5:$H$5002,2,FALSE))</f>
        <v>S</v>
      </c>
      <c r="H2668" s="269" t="str">
        <f>IF(D2668="","",VLOOKUP(F2668,製品マスタ!$G$5:$K$5002,5,FALSE))</f>
        <v>MSNMBZF</v>
      </c>
      <c r="I2668" s="270" t="str">
        <f>IF(D2668="","",VLOOKUP(F2668,製品マスタ!$G$5:$L$5002,6,FALSE))</f>
        <v>ＭＥＴＡＬＵＭＹ　ＳＩＬＶＥＲ　Ｎ－ＭＡＴＴＥ　Ｂ</v>
      </c>
      <c r="J2668" s="210" t="s">
        <v>935</v>
      </c>
      <c r="K2668" s="270">
        <f>IF(D2668="","",VLOOKUP(D2668,契約台帳!$A$3:$L$4986,12,FALSE))</f>
        <v>50</v>
      </c>
      <c r="L2668" s="270" t="str">
        <f>IF(D2668="","",INDEX(製品マスタ!$Q$5:$Q$5002,MATCH('S4'!F2668&amp;'S4'!K2668,製品マスタ!$AO$5:$AO$5002,0)))</f>
        <v>X44</v>
      </c>
      <c r="M2668" s="39">
        <v>1120</v>
      </c>
      <c r="N2668" s="39">
        <v>4000</v>
      </c>
      <c r="O2668" s="156">
        <v>9</v>
      </c>
      <c r="P2668" s="47">
        <v>3</v>
      </c>
      <c r="Q2668" s="213">
        <v>45595</v>
      </c>
      <c r="R2668" s="271">
        <f ca="1">IF(D2668="","",IF(OFFSET(D2668,-1,0)&lt;&gt;"","",IF(OR(J2668="リード付け",J2668="巻足し",J2668="巻返しリード付け"),M2668,VLOOKUP(D2668,契約台帳!$A$3:$N$4986,14,FALSE))))</f>
        <v>1120</v>
      </c>
      <c r="S2668" s="272">
        <f ca="1">IF(D2668="","",IF(OFFSET(D2668,-1,0)&lt;&gt;"","",IF(OR(J2668="リード付け",J2668="巻足し",J2668="巻返しリード付け"),M2668,VLOOKUP(D2668,契約台帳!$A$3:$O$4986,15,FALSE))))</f>
        <v>1120</v>
      </c>
      <c r="T2668" s="273">
        <f ca="1">IF(D2668="","",IF(J2668="リード付け",N2668,IF(J2668="巻返しリード付け",N2668,IF(J2668="巻足し",N2668*P2668+OFFSET(N2668,1,0)*OFFSET(P2668,1,0),VLOOKUP(D2668,契約台帳!$A$3:$P$4986,16,FALSE)))))</f>
        <v>12000</v>
      </c>
      <c r="U2668" s="40">
        <v>3</v>
      </c>
      <c r="V2668" s="274">
        <f ca="1">IF(D2668="","",IF(OFFSET(D2668,-2,0)=D2668,"",VLOOKUP(D2668,契約台帳!$A$3:$R$4986,18,FALSE)))</f>
        <v>9</v>
      </c>
      <c r="W2668" s="269" t="str">
        <f ca="1">IF(D2668="","",IF(T2668="","",IF(OR(J2668="巻足し",J2668="巻返しリード付け"),"",IF(J2668="巻返し",VLOOKUP(F2668&amp;K2668&amp;M2668,製品マスタ!$M$5:$AD$5002,18,FALSE),IF(OR(J2668="リード付け",J2668="巻返しリード付け"),"原反コア",IF(J2668="スリット",VLOOKUP(F2668&amp;K2668&amp;R2668,製品マスタ!$N$5:$AD$5002,17,FALSE),""))))))</f>
        <v/>
      </c>
      <c r="X2668" s="269" t="str">
        <f ca="1">IF(D2668="","",IF(T2668="","",IF(J2668="巻足し","",IF(J2668="巻返し",VLOOKUP(F2668&amp;K2668&amp;M2668,製品マスタ!$M$5:$AE$5002,19,FALSE),IF(OR(J2668="リード付け",J2668="巻返しリード付け"),"",IF(J2668="スリット",VLOOKUP(F2668&amp;K2668&amp;R2668,製品マスタ!$N$5:$AE$5002,18,FALSE),""))))))</f>
        <v/>
      </c>
      <c r="Y2668" s="275">
        <f ca="1">IF(D2668="","",IF(T2668="","",VLOOKUP(D2668,契約台帳!$A$3:$Q$4986,17,FALSE)))</f>
        <v>2</v>
      </c>
      <c r="Z2668" s="269" t="str">
        <f ca="1">IF(D2668="","",IF(T2668="","",VLOOKUP(D2668,契約台帳!$A$3:$E$4986,5,FALSE)))</f>
        <v>リンテック㈱</v>
      </c>
      <c r="AA2668" s="57"/>
      <c r="AB2668" s="207">
        <f>IFERROR((VLOOKUP(F2668&amp;K2668&amp;M2668,製品マスタ!$M$5:$AM$5002,27,FALSE)),"")</f>
        <v>0</v>
      </c>
      <c r="AC2668" s="33"/>
      <c r="AD2668" s="189"/>
      <c r="AE2668" s="54"/>
      <c r="AF2668" s="55">
        <f>+M2668*N2668*O2668/1000</f>
        <v>40320</v>
      </c>
      <c r="AG2668" s="43"/>
      <c r="AH2668" s="47"/>
      <c r="AI2668" s="30"/>
      <c r="AJ2668" s="30"/>
      <c r="AK2668" s="30"/>
      <c r="AL2668" s="30"/>
      <c r="AM2668" s="13"/>
      <c r="AN2668" s="13"/>
      <c r="AO2668" s="13"/>
      <c r="AP2668" s="13"/>
      <c r="AQ2668" s="13"/>
      <c r="AR2668" s="14"/>
      <c r="AS2668" s="15"/>
    </row>
    <row r="2669" spans="1:45" s="17" customFormat="1" ht="30.95" hidden="1" customHeight="1" x14ac:dyDescent="0.2">
      <c r="A2669" s="343"/>
      <c r="B2669" s="344"/>
      <c r="C2669" s="345"/>
      <c r="D2669" s="346"/>
      <c r="E2669" s="346"/>
      <c r="F2669" s="268"/>
      <c r="G2669" s="269"/>
      <c r="H2669" s="269"/>
      <c r="I2669" s="443" t="s">
        <v>3343</v>
      </c>
      <c r="J2669" s="434"/>
      <c r="K2669" s="270"/>
      <c r="L2669" s="270"/>
      <c r="M2669" s="348"/>
      <c r="N2669" s="348"/>
      <c r="O2669" s="435"/>
      <c r="P2669" s="349"/>
      <c r="Q2669" s="350"/>
      <c r="R2669" s="271"/>
      <c r="S2669" s="272"/>
      <c r="T2669" s="273"/>
      <c r="U2669" s="351"/>
      <c r="V2669" s="274"/>
      <c r="W2669" s="269"/>
      <c r="X2669" s="269"/>
      <c r="Y2669" s="275"/>
      <c r="Z2669" s="269"/>
      <c r="AA2669" s="350"/>
      <c r="AB2669" s="207"/>
      <c r="AC2669" s="352"/>
      <c r="AD2669" s="353"/>
      <c r="AE2669" s="54"/>
      <c r="AF2669" s="354"/>
      <c r="AG2669" s="355"/>
      <c r="AH2669" s="349"/>
      <c r="AI2669" s="30"/>
      <c r="AJ2669" s="30"/>
      <c r="AK2669" s="30"/>
      <c r="AL2669" s="30"/>
      <c r="AM2669" s="13"/>
      <c r="AN2669" s="13"/>
      <c r="AO2669" s="13"/>
      <c r="AP2669" s="13"/>
      <c r="AQ2669" s="13"/>
      <c r="AR2669" s="14"/>
      <c r="AS2669" s="15"/>
    </row>
    <row r="2670" spans="1:45" s="17" customFormat="1" ht="30.6" hidden="1" customHeight="1" x14ac:dyDescent="0.2">
      <c r="A2670" s="343"/>
      <c r="B2670" s="344"/>
      <c r="C2670" s="45"/>
      <c r="D2670" s="31">
        <v>3785950</v>
      </c>
      <c r="E2670" s="31">
        <v>4162746</v>
      </c>
      <c r="F2670" s="268" t="str">
        <f>IF(D2670="","",VLOOKUP(D2670,契約台帳!$A$3:$K$4986,6,FALSE)&amp;VLOOKUP(D2670,契約台帳!$A$3:$K$4986,7,FALSE)&amp;VLOOKUP(D2670,契約台帳!$A$3:$K$4986,8,FALSE)&amp;VLOOKUP(D2670,契約台帳!$A$3:$K$4986,9,FALSE)&amp;VLOOKUP(D2670,契約台帳!$A$3:$K$4986,11,FALSE))</f>
        <v>3SNMLBMNGTBF</v>
      </c>
      <c r="G2670" s="269" t="str">
        <f>IF(D2670="","",VLOOKUP(F2670,製品マスタ!$G$5:$H$5002,2,FALSE))</f>
        <v>S</v>
      </c>
      <c r="H2670" s="269" t="str">
        <f>IF(D2670="","",VLOOKUP(F2670,製品マスタ!$G$5:$K$5002,5,FALSE))</f>
        <v>MNGTBF</v>
      </c>
      <c r="I2670" s="270" t="str">
        <f>IF(D2670="","",VLOOKUP(F2670,製品マスタ!$G$5:$L$5002,6,FALSE))</f>
        <v>メタルミー　ネーマー　銀艶　Ｂ</v>
      </c>
      <c r="J2670" s="210" t="s">
        <v>935</v>
      </c>
      <c r="K2670" s="270">
        <f>IF(D2670="","",VLOOKUP(D2670,契約台帳!$A$3:$L$4986,12,FALSE))</f>
        <v>50</v>
      </c>
      <c r="L2670" s="270" t="str">
        <f>IF(D2670="","",INDEX(製品マスタ!$Q$5:$Q$5002,MATCH('S4'!F2670&amp;'S4'!K2670,製品マスタ!$AO$5:$AO$5002,0)))</f>
        <v>T62</v>
      </c>
      <c r="M2670" s="39">
        <v>1120</v>
      </c>
      <c r="N2670" s="39">
        <v>5000</v>
      </c>
      <c r="O2670" s="156">
        <v>10</v>
      </c>
      <c r="P2670" s="47">
        <v>2</v>
      </c>
      <c r="Q2670" s="213">
        <v>45595</v>
      </c>
      <c r="R2670" s="271">
        <f ca="1">IF(D2670="","",IF(OFFSET(D2670,-1,0)&lt;&gt;"","",IF(OR(J2670="リード付け",J2670="巻足し",J2670="巻返しリード付け"),M2670,VLOOKUP(D2670,契約台帳!$A$3:$N$4986,14,FALSE))))</f>
        <v>1120</v>
      </c>
      <c r="S2670" s="272">
        <f ca="1">IF(D2670="","",IF(OFFSET(D2670,-1,0)&lt;&gt;"","",IF(OR(J2670="リード付け",J2670="巻足し",J2670="巻返しリード付け"),M2670,VLOOKUP(D2670,契約台帳!$A$3:$O$4986,15,FALSE))))</f>
        <v>1120</v>
      </c>
      <c r="T2670" s="273">
        <v>8000</v>
      </c>
      <c r="U2670" s="40">
        <v>5</v>
      </c>
      <c r="V2670" s="274">
        <f ca="1">IF(D2670="","",IF(OFFSET(D2670,-2,0)=D2670,"",VLOOKUP(D2670,契約台帳!$A$3:$R$4986,18,FALSE)))</f>
        <v>10</v>
      </c>
      <c r="W2670" s="269" t="str">
        <f>IF(D2670="","",IF(T2670="","",IF(OR(J2670="巻足し",J2670="巻返しリード付け"),"",IF(J2670="巻返し",VLOOKUP(F2670&amp;K2670&amp;M2670,製品マスタ!$M$5:$AD$5002,18,FALSE),IF(OR(J2670="リード付け",J2670="巻返しリード付け"),"原反コア",IF(J2670="スリット",VLOOKUP(F2670&amp;K2670&amp;R2670,製品マスタ!$N$5:$AD$5002,17,FALSE),""))))))</f>
        <v/>
      </c>
      <c r="X2670" s="269" t="str">
        <f>IF(D2670="","",IF(T2670="","",IF(J2670="巻足し","",IF(J2670="巻返し",VLOOKUP(F2670&amp;K2670&amp;M2670,製品マスタ!$M$5:$AE$5002,19,FALSE),IF(OR(J2670="リード付け",J2670="巻返しリード付け"),"",IF(J2670="スリット",VLOOKUP(F2670&amp;K2670&amp;R2670,製品マスタ!$N$5:$AE$5002,18,FALSE),""))))))</f>
        <v/>
      </c>
      <c r="Y2670" s="275">
        <f>IF(D2670="","",IF(T2670="","",VLOOKUP(D2670,契約台帳!$A$3:$Q$4986,17,FALSE)))</f>
        <v>2</v>
      </c>
      <c r="Z2670" s="269" t="str">
        <f>IF(D2670="","",IF(T2670="","",VLOOKUP(D2670,契約台帳!$A$3:$E$4986,5,FALSE)))</f>
        <v>リンテック㈱</v>
      </c>
      <c r="AA2670" s="57"/>
      <c r="AB2670" s="207" t="str">
        <f>IFERROR((VLOOKUP(F2670&amp;K2670&amp;M2670,製品マスタ!$M$5:$AM$5002,27,FALSE)),"")</f>
        <v>原反ケース再利用</v>
      </c>
      <c r="AC2670" s="33"/>
      <c r="AD2670" s="189"/>
      <c r="AE2670" s="54"/>
      <c r="AF2670" s="55">
        <f>+M2670*N2670*O2670/1000</f>
        <v>56000</v>
      </c>
      <c r="AG2670" s="43"/>
      <c r="AH2670" s="47"/>
      <c r="AI2670" s="30"/>
      <c r="AJ2670" s="30"/>
      <c r="AK2670" s="30"/>
      <c r="AL2670" s="30"/>
      <c r="AM2670" s="13"/>
      <c r="AN2670" s="13"/>
      <c r="AO2670" s="13"/>
      <c r="AP2670" s="13"/>
      <c r="AQ2670" s="13"/>
      <c r="AR2670" s="14"/>
      <c r="AS2670" s="15"/>
    </row>
    <row r="2671" spans="1:45" s="17" customFormat="1" ht="30.95" hidden="1" customHeight="1" x14ac:dyDescent="0.2">
      <c r="A2671" s="343"/>
      <c r="B2671" s="344"/>
      <c r="C2671" s="345"/>
      <c r="D2671" s="346"/>
      <c r="E2671" s="346"/>
      <c r="F2671" s="268"/>
      <c r="G2671" s="269"/>
      <c r="H2671" s="269"/>
      <c r="I2671" s="443" t="s">
        <v>3344</v>
      </c>
      <c r="J2671" s="434"/>
      <c r="K2671" s="270"/>
      <c r="L2671" s="270"/>
      <c r="M2671" s="348"/>
      <c r="N2671" s="348"/>
      <c r="O2671" s="435"/>
      <c r="P2671" s="349"/>
      <c r="Q2671" s="350"/>
      <c r="R2671" s="271"/>
      <c r="S2671" s="272"/>
      <c r="T2671" s="273"/>
      <c r="U2671" s="351"/>
      <c r="V2671" s="274"/>
      <c r="W2671" s="269"/>
      <c r="X2671" s="269"/>
      <c r="Y2671" s="275"/>
      <c r="Z2671" s="269"/>
      <c r="AA2671" s="350"/>
      <c r="AB2671" s="207"/>
      <c r="AC2671" s="352"/>
      <c r="AD2671" s="353"/>
      <c r="AE2671" s="54"/>
      <c r="AF2671" s="354"/>
      <c r="AG2671" s="355"/>
      <c r="AH2671" s="349"/>
      <c r="AI2671" s="30"/>
      <c r="AJ2671" s="30"/>
      <c r="AK2671" s="30"/>
      <c r="AL2671" s="30"/>
      <c r="AM2671" s="13"/>
      <c r="AN2671" s="13"/>
      <c r="AO2671" s="13"/>
      <c r="AP2671" s="13"/>
      <c r="AQ2671" s="13"/>
      <c r="AR2671" s="14"/>
      <c r="AS2671" s="15"/>
    </row>
    <row r="2672" spans="1:45" s="17" customFormat="1" ht="30.6" hidden="1" customHeight="1" x14ac:dyDescent="0.2">
      <c r="A2672" s="343" t="s">
        <v>3380</v>
      </c>
      <c r="B2672" s="344" t="s">
        <v>444</v>
      </c>
      <c r="C2672" s="45"/>
      <c r="D2672" s="31">
        <v>3783800</v>
      </c>
      <c r="E2672" s="31">
        <v>4162699</v>
      </c>
      <c r="F2672" s="268" t="str">
        <f>IF(D2672="","",VLOOKUP(D2672,契約台帳!$A$3:$K$4986,6,FALSE)&amp;VLOOKUP(D2672,契約台帳!$A$3:$K$4986,7,FALSE)&amp;VLOOKUP(D2672,契約台帳!$A$3:$K$4986,8,FALSE)&amp;VLOOKUP(D2672,契約台帳!$A$3:$K$4986,9,FALSE)&amp;VLOOKUP(D2672,契約台帳!$A$3:$K$4986,11,FALSE))</f>
        <v>3SNMLBMTSF</v>
      </c>
      <c r="G2672" s="269" t="str">
        <f>IF(D2672="","",VLOOKUP(F2672,製品マスタ!$G$5:$H$5002,2,FALSE))</f>
        <v>S</v>
      </c>
      <c r="H2672" s="269" t="str">
        <f>IF(D2672="","",VLOOKUP(F2672,製品マスタ!$G$5:$K$5002,5,FALSE))</f>
        <v>MTSF</v>
      </c>
      <c r="I2672" s="270" t="str">
        <f>IF(D2672="","",VLOOKUP(F2672,製品マスタ!$G$5:$L$5002,6,FALSE))</f>
        <v>メタルミー　ＴＳ</v>
      </c>
      <c r="J2672" s="210" t="s">
        <v>574</v>
      </c>
      <c r="K2672" s="270">
        <f>IF(D2672="","",VLOOKUP(D2672,契約台帳!$A$3:$L$4986,12,FALSE))</f>
        <v>75</v>
      </c>
      <c r="L2672" s="270" t="str">
        <f>IF(D2672="","",INDEX(製品マスタ!$Q$5:$Q$5002,MATCH('S4'!F2672&amp;'S4'!K2672,製品マスタ!$AO$5:$AO$5002,0)))</f>
        <v>T60</v>
      </c>
      <c r="M2672" s="39">
        <v>1100</v>
      </c>
      <c r="N2672" s="39">
        <v>2000</v>
      </c>
      <c r="O2672" s="156">
        <v>1</v>
      </c>
      <c r="P2672" s="47">
        <v>1</v>
      </c>
      <c r="Q2672" s="213">
        <v>45597</v>
      </c>
      <c r="R2672" s="271">
        <f ca="1">IF(D2672="","",IF(OFFSET(D2672,-1,0)&lt;&gt;"","",IF(OR(J2672="リード付け",J2672="巻足し",J2672="巻返しリード付け"),M2672,VLOOKUP(D2672,契約台帳!$A$3:$N$4986,14,FALSE))))</f>
        <v>1100</v>
      </c>
      <c r="S2672" s="272">
        <f ca="1">IF(D2672="","",IF(OFFSET(D2672,-1,0)&lt;&gt;"","",IF(OR(J2672="リード付け",J2672="巻足し",J2672="巻返しリード付け"),M2672,VLOOKUP(D2672,契約台帳!$A$3:$O$4986,15,FALSE))))</f>
        <v>1100</v>
      </c>
      <c r="T2672" s="273">
        <f ca="1">IF(D2672="","",IF(J2672="リード付け",N2672,IF(J2672="巻返しリード付け",N2672,IF(J2672="巻足し",N2672*P2672+OFFSET(N2672,1,0)*OFFSET(P2672,1,0),VLOOKUP(D2672,契約台帳!$A$3:$P$4986,16,FALSE)))))</f>
        <v>2000</v>
      </c>
      <c r="U2672" s="40">
        <v>1</v>
      </c>
      <c r="V2672" s="274">
        <f ca="1">IF(D2672="","",IF(OFFSET(D2672,-2,0)=D2672,"",VLOOKUP(D2672,契約台帳!$A$3:$R$4986,18,FALSE)))</f>
        <v>2</v>
      </c>
      <c r="W2672" s="269" t="str">
        <f ca="1">IF(D2672="","",IF(T2672="","",IF(OR(J2672="巻足し",J2672="巻返しリード付け"),"",IF(J2672="巻返し",VLOOKUP(F2672&amp;K2672&amp;M2672,製品マスタ!$M$5:$AD$5002,18,FALSE),IF(OR(J2672="リード付け",J2672="巻返しリード付け"),"原反コア",IF(J2672="スリット",VLOOKUP(F2672&amp;K2672&amp;R2672,製品マスタ!$N$5:$AD$5002,17,FALSE),""))))))</f>
        <v/>
      </c>
      <c r="X2672" s="269" t="str">
        <f ca="1">IF(D2672="","",IF(T2672="","",IF(J2672="巻足し","",IF(J2672="巻返し",VLOOKUP(F2672&amp;K2672&amp;M2672,製品マスタ!$M$5:$AE$5002,19,FALSE),IF(OR(J2672="リード付け",J2672="巻返しリード付け"),"",IF(J2672="スリット",VLOOKUP(F2672&amp;K2672&amp;R2672,製品マスタ!$N$5:$AE$5002,18,FALSE),""))))))</f>
        <v/>
      </c>
      <c r="Y2672" s="275">
        <f ca="1">IF(D2672="","",IF(T2672="","",VLOOKUP(D2672,契約台帳!$A$3:$Q$4986,17,FALSE)))</f>
        <v>2</v>
      </c>
      <c r="Z2672" s="269" t="str">
        <f ca="1">IF(D2672="","",IF(T2672="","",VLOOKUP(D2672,契約台帳!$A$3:$E$4986,5,FALSE)))</f>
        <v>パナック㈱亀山工場</v>
      </c>
      <c r="AA2672" s="57"/>
      <c r="AB2672" s="207">
        <f>IFERROR((VLOOKUP(F2672&amp;K2672&amp;M2672,製品マスタ!$M$5:$AM$5002,27,FALSE)),"")</f>
        <v>0</v>
      </c>
      <c r="AC2672" s="33"/>
      <c r="AD2672" s="189"/>
      <c r="AE2672" s="54"/>
      <c r="AF2672" s="55">
        <f>+M2672*N2672*O2672/1000</f>
        <v>2200</v>
      </c>
      <c r="AG2672" s="43"/>
      <c r="AH2672" s="47"/>
      <c r="AI2672" s="30"/>
      <c r="AJ2672" s="30"/>
      <c r="AK2672" s="30"/>
      <c r="AL2672" s="30"/>
      <c r="AM2672" s="13"/>
      <c r="AN2672" s="13"/>
      <c r="AO2672" s="13"/>
      <c r="AP2672" s="13"/>
      <c r="AQ2672" s="13"/>
      <c r="AR2672" s="14"/>
      <c r="AS2672" s="15"/>
    </row>
    <row r="2673" spans="1:45" s="17" customFormat="1" ht="30.95" hidden="1" customHeight="1" x14ac:dyDescent="0.2">
      <c r="A2673" s="343"/>
      <c r="B2673" s="344"/>
      <c r="C2673" s="345"/>
      <c r="D2673" s="346"/>
      <c r="E2673" s="346"/>
      <c r="F2673" s="268"/>
      <c r="G2673" s="269"/>
      <c r="H2673" s="269"/>
      <c r="I2673" s="270"/>
      <c r="J2673" s="434"/>
      <c r="K2673" s="270"/>
      <c r="L2673" s="270"/>
      <c r="M2673" s="348"/>
      <c r="N2673" s="348"/>
      <c r="O2673" s="435"/>
      <c r="P2673" s="349"/>
      <c r="Q2673" s="350"/>
      <c r="R2673" s="271"/>
      <c r="S2673" s="272"/>
      <c r="T2673" s="273"/>
      <c r="U2673" s="351"/>
      <c r="V2673" s="274"/>
      <c r="W2673" s="269"/>
      <c r="X2673" s="269"/>
      <c r="Y2673" s="275"/>
      <c r="Z2673" s="269"/>
      <c r="AA2673" s="350"/>
      <c r="AB2673" s="207"/>
      <c r="AC2673" s="352"/>
      <c r="AD2673" s="353"/>
      <c r="AE2673" s="54"/>
      <c r="AF2673" s="354"/>
      <c r="AG2673" s="355"/>
      <c r="AH2673" s="349"/>
      <c r="AI2673" s="30"/>
      <c r="AJ2673" s="30"/>
      <c r="AK2673" s="30"/>
      <c r="AL2673" s="30"/>
      <c r="AM2673" s="13"/>
      <c r="AN2673" s="13"/>
      <c r="AO2673" s="13"/>
      <c r="AP2673" s="13"/>
      <c r="AQ2673" s="13"/>
      <c r="AR2673" s="14"/>
      <c r="AS2673" s="15"/>
    </row>
    <row r="2674" spans="1:45" s="17" customFormat="1" ht="30.95" hidden="1" customHeight="1" x14ac:dyDescent="0.2">
      <c r="A2674" s="343" t="s">
        <v>3307</v>
      </c>
      <c r="B2674" s="344" t="s">
        <v>3294</v>
      </c>
      <c r="C2674" s="345"/>
      <c r="D2674" s="346"/>
      <c r="E2674" s="346"/>
      <c r="F2674" s="268"/>
      <c r="G2674" s="269"/>
      <c r="H2674" s="269"/>
      <c r="I2674" s="270"/>
      <c r="J2674" s="434" t="s">
        <v>3308</v>
      </c>
      <c r="K2674" s="270"/>
      <c r="L2674" s="270"/>
      <c r="M2674" s="348"/>
      <c r="N2674" s="348"/>
      <c r="O2674" s="435"/>
      <c r="P2674" s="349"/>
      <c r="Q2674" s="350"/>
      <c r="R2674" s="271"/>
      <c r="S2674" s="272"/>
      <c r="T2674" s="273"/>
      <c r="U2674" s="351"/>
      <c r="V2674" s="274"/>
      <c r="W2674" s="269"/>
      <c r="X2674" s="269"/>
      <c r="Y2674" s="275"/>
      <c r="Z2674" s="269"/>
      <c r="AA2674" s="350"/>
      <c r="AB2674" s="207"/>
      <c r="AC2674" s="352"/>
      <c r="AD2674" s="353"/>
      <c r="AE2674" s="54"/>
      <c r="AF2674" s="354"/>
      <c r="AG2674" s="355"/>
      <c r="AH2674" s="349"/>
      <c r="AI2674" s="30"/>
      <c r="AJ2674" s="30"/>
      <c r="AK2674" s="30"/>
      <c r="AL2674" s="30"/>
      <c r="AM2674" s="13"/>
      <c r="AN2674" s="13"/>
      <c r="AO2674" s="13"/>
      <c r="AP2674" s="13"/>
      <c r="AQ2674" s="13"/>
      <c r="AR2674" s="14"/>
      <c r="AS2674" s="15"/>
    </row>
    <row r="2675" spans="1:45" s="17" customFormat="1" ht="30.95" hidden="1" customHeight="1" x14ac:dyDescent="0.2">
      <c r="A2675" s="343"/>
      <c r="B2675" s="344"/>
      <c r="C2675" s="345"/>
      <c r="D2675" s="346"/>
      <c r="E2675" s="346"/>
      <c r="F2675" s="268"/>
      <c r="G2675" s="269"/>
      <c r="H2675" s="269"/>
      <c r="I2675" s="270"/>
      <c r="J2675" s="434"/>
      <c r="K2675" s="270"/>
      <c r="L2675" s="270"/>
      <c r="M2675" s="348"/>
      <c r="N2675" s="348"/>
      <c r="O2675" s="435"/>
      <c r="P2675" s="349"/>
      <c r="Q2675" s="350"/>
      <c r="R2675" s="271"/>
      <c r="S2675" s="272"/>
      <c r="T2675" s="273"/>
      <c r="U2675" s="351"/>
      <c r="V2675" s="274"/>
      <c r="W2675" s="269"/>
      <c r="X2675" s="269"/>
      <c r="Y2675" s="275"/>
      <c r="Z2675" s="269"/>
      <c r="AA2675" s="350"/>
      <c r="AB2675" s="207"/>
      <c r="AC2675" s="352"/>
      <c r="AD2675" s="353"/>
      <c r="AE2675" s="54"/>
      <c r="AF2675" s="354"/>
      <c r="AG2675" s="355"/>
      <c r="AH2675" s="349"/>
      <c r="AI2675" s="30"/>
      <c r="AJ2675" s="30"/>
      <c r="AK2675" s="30"/>
      <c r="AL2675" s="30"/>
      <c r="AM2675" s="13"/>
      <c r="AN2675" s="13"/>
      <c r="AO2675" s="13"/>
      <c r="AP2675" s="13"/>
      <c r="AQ2675" s="13"/>
      <c r="AR2675" s="14"/>
      <c r="AS2675" s="15"/>
    </row>
    <row r="2676" spans="1:45" s="17" customFormat="1" ht="30.95" hidden="1" customHeight="1" x14ac:dyDescent="0.2">
      <c r="A2676" s="343" t="s">
        <v>3309</v>
      </c>
      <c r="B2676" s="344" t="s">
        <v>3310</v>
      </c>
      <c r="C2676" s="345"/>
      <c r="D2676" s="346"/>
      <c r="E2676" s="346"/>
      <c r="F2676" s="268"/>
      <c r="G2676" s="269"/>
      <c r="H2676" s="269"/>
      <c r="I2676" s="270"/>
      <c r="J2676" s="434" t="s">
        <v>3308</v>
      </c>
      <c r="K2676" s="270"/>
      <c r="L2676" s="270"/>
      <c r="M2676" s="348"/>
      <c r="N2676" s="348"/>
      <c r="O2676" s="435"/>
      <c r="P2676" s="349"/>
      <c r="Q2676" s="350"/>
      <c r="R2676" s="271"/>
      <c r="S2676" s="272"/>
      <c r="T2676" s="273"/>
      <c r="U2676" s="351"/>
      <c r="V2676" s="274"/>
      <c r="W2676" s="269"/>
      <c r="X2676" s="269"/>
      <c r="Y2676" s="275"/>
      <c r="Z2676" s="269"/>
      <c r="AA2676" s="350"/>
      <c r="AB2676" s="207"/>
      <c r="AC2676" s="352"/>
      <c r="AD2676" s="353"/>
      <c r="AE2676" s="54"/>
      <c r="AF2676" s="354"/>
      <c r="AG2676" s="355"/>
      <c r="AH2676" s="349"/>
      <c r="AI2676" s="30"/>
      <c r="AJ2676" s="30"/>
      <c r="AK2676" s="30"/>
      <c r="AL2676" s="30"/>
      <c r="AM2676" s="13"/>
      <c r="AN2676" s="13"/>
      <c r="AO2676" s="13"/>
      <c r="AP2676" s="13"/>
      <c r="AQ2676" s="13"/>
      <c r="AR2676" s="14"/>
      <c r="AS2676" s="15"/>
    </row>
    <row r="2677" spans="1:45" s="17" customFormat="1" ht="30.95" hidden="1" customHeight="1" x14ac:dyDescent="0.2">
      <c r="A2677" s="343"/>
      <c r="B2677" s="344"/>
      <c r="C2677" s="345"/>
      <c r="D2677" s="346"/>
      <c r="E2677" s="346"/>
      <c r="F2677" s="268"/>
      <c r="G2677" s="269"/>
      <c r="H2677" s="269"/>
      <c r="I2677" s="270"/>
      <c r="J2677" s="434"/>
      <c r="K2677" s="270"/>
      <c r="L2677" s="270"/>
      <c r="M2677" s="348"/>
      <c r="N2677" s="348"/>
      <c r="O2677" s="435"/>
      <c r="P2677" s="349"/>
      <c r="Q2677" s="350"/>
      <c r="R2677" s="271"/>
      <c r="S2677" s="272"/>
      <c r="T2677" s="273"/>
      <c r="U2677" s="351"/>
      <c r="V2677" s="274"/>
      <c r="W2677" s="269"/>
      <c r="X2677" s="269"/>
      <c r="Y2677" s="275"/>
      <c r="Z2677" s="269"/>
      <c r="AA2677" s="350"/>
      <c r="AB2677" s="207"/>
      <c r="AC2677" s="352"/>
      <c r="AD2677" s="353"/>
      <c r="AE2677" s="54"/>
      <c r="AF2677" s="354"/>
      <c r="AG2677" s="355"/>
      <c r="AH2677" s="349"/>
      <c r="AI2677" s="30"/>
      <c r="AJ2677" s="30"/>
      <c r="AK2677" s="30"/>
      <c r="AL2677" s="30"/>
      <c r="AM2677" s="13"/>
      <c r="AN2677" s="13"/>
      <c r="AO2677" s="13"/>
      <c r="AP2677" s="13"/>
      <c r="AQ2677" s="13"/>
      <c r="AR2677" s="14"/>
      <c r="AS2677" s="15"/>
    </row>
    <row r="2678" spans="1:45" s="17" customFormat="1" ht="30.95" hidden="1" customHeight="1" x14ac:dyDescent="0.2">
      <c r="A2678" s="343" t="s">
        <v>3311</v>
      </c>
      <c r="B2678" s="344" t="s">
        <v>3301</v>
      </c>
      <c r="C2678" s="345"/>
      <c r="D2678" s="346"/>
      <c r="E2678" s="346"/>
      <c r="F2678" s="268"/>
      <c r="G2678" s="269"/>
      <c r="H2678" s="269"/>
      <c r="I2678" s="270"/>
      <c r="J2678" s="434" t="s">
        <v>3308</v>
      </c>
      <c r="K2678" s="270"/>
      <c r="L2678" s="270"/>
      <c r="M2678" s="348"/>
      <c r="N2678" s="348"/>
      <c r="O2678" s="435"/>
      <c r="P2678" s="349"/>
      <c r="Q2678" s="350"/>
      <c r="R2678" s="271"/>
      <c r="S2678" s="272"/>
      <c r="T2678" s="273"/>
      <c r="U2678" s="351"/>
      <c r="V2678" s="274"/>
      <c r="W2678" s="269"/>
      <c r="X2678" s="269"/>
      <c r="Y2678" s="275"/>
      <c r="Z2678" s="269"/>
      <c r="AA2678" s="350"/>
      <c r="AB2678" s="207"/>
      <c r="AC2678" s="352"/>
      <c r="AD2678" s="353"/>
      <c r="AE2678" s="54"/>
      <c r="AF2678" s="354"/>
      <c r="AG2678" s="355"/>
      <c r="AH2678" s="349"/>
      <c r="AI2678" s="30"/>
      <c r="AJ2678" s="30"/>
      <c r="AK2678" s="30"/>
      <c r="AL2678" s="30"/>
      <c r="AM2678" s="13"/>
      <c r="AN2678" s="13"/>
      <c r="AO2678" s="13"/>
      <c r="AP2678" s="13"/>
      <c r="AQ2678" s="13"/>
      <c r="AR2678" s="14"/>
      <c r="AS2678" s="15"/>
    </row>
    <row r="2679" spans="1:45" s="17" customFormat="1" ht="30.95" hidden="1" customHeight="1" x14ac:dyDescent="0.2">
      <c r="A2679" s="343"/>
      <c r="B2679" s="344"/>
      <c r="C2679" s="345"/>
      <c r="D2679" s="346"/>
      <c r="E2679" s="346"/>
      <c r="F2679" s="268"/>
      <c r="G2679" s="269"/>
      <c r="H2679" s="269"/>
      <c r="I2679" s="270"/>
      <c r="J2679" s="434"/>
      <c r="K2679" s="270"/>
      <c r="L2679" s="270"/>
      <c r="M2679" s="348"/>
      <c r="N2679" s="348"/>
      <c r="O2679" s="435"/>
      <c r="P2679" s="349"/>
      <c r="Q2679" s="350"/>
      <c r="R2679" s="271"/>
      <c r="S2679" s="272"/>
      <c r="T2679" s="273"/>
      <c r="U2679" s="351"/>
      <c r="V2679" s="274"/>
      <c r="W2679" s="269"/>
      <c r="X2679" s="269"/>
      <c r="Y2679" s="275"/>
      <c r="Z2679" s="269"/>
      <c r="AA2679" s="350"/>
      <c r="AB2679" s="207"/>
      <c r="AC2679" s="352"/>
      <c r="AD2679" s="353"/>
      <c r="AE2679" s="54"/>
      <c r="AF2679" s="354"/>
      <c r="AG2679" s="355"/>
      <c r="AH2679" s="349"/>
      <c r="AI2679" s="30"/>
      <c r="AJ2679" s="30"/>
      <c r="AK2679" s="30"/>
      <c r="AL2679" s="30"/>
      <c r="AM2679" s="13"/>
      <c r="AN2679" s="13"/>
      <c r="AO2679" s="13"/>
      <c r="AP2679" s="13"/>
      <c r="AQ2679" s="13"/>
      <c r="AR2679" s="14"/>
      <c r="AS2679" s="15"/>
    </row>
    <row r="2680" spans="1:45" s="17" customFormat="1" ht="30.95" hidden="1" customHeight="1" x14ac:dyDescent="0.2">
      <c r="A2680" s="343" t="s">
        <v>3312</v>
      </c>
      <c r="B2680" s="344" t="s">
        <v>3303</v>
      </c>
      <c r="C2680" s="345"/>
      <c r="D2680" s="346"/>
      <c r="E2680" s="346"/>
      <c r="F2680" s="268"/>
      <c r="G2680" s="269"/>
      <c r="H2680" s="269"/>
      <c r="I2680" s="270"/>
      <c r="J2680" s="434" t="s">
        <v>3306</v>
      </c>
      <c r="K2680" s="270"/>
      <c r="L2680" s="270"/>
      <c r="M2680" s="348"/>
      <c r="N2680" s="348"/>
      <c r="O2680" s="435"/>
      <c r="P2680" s="349"/>
      <c r="Q2680" s="350"/>
      <c r="R2680" s="271"/>
      <c r="S2680" s="272"/>
      <c r="T2680" s="273"/>
      <c r="U2680" s="351"/>
      <c r="V2680" s="274"/>
      <c r="W2680" s="269"/>
      <c r="X2680" s="269"/>
      <c r="Y2680" s="275"/>
      <c r="Z2680" s="269"/>
      <c r="AA2680" s="350"/>
      <c r="AB2680" s="207"/>
      <c r="AC2680" s="352"/>
      <c r="AD2680" s="353"/>
      <c r="AE2680" s="54"/>
      <c r="AF2680" s="354"/>
      <c r="AG2680" s="355"/>
      <c r="AH2680" s="349"/>
      <c r="AI2680" s="30"/>
      <c r="AJ2680" s="30"/>
      <c r="AK2680" s="30"/>
      <c r="AL2680" s="30"/>
      <c r="AM2680" s="13"/>
      <c r="AN2680" s="13"/>
      <c r="AO2680" s="13"/>
      <c r="AP2680" s="13"/>
      <c r="AQ2680" s="13"/>
      <c r="AR2680" s="14"/>
      <c r="AS2680" s="15"/>
    </row>
    <row r="2681" spans="1:45" s="17" customFormat="1" ht="30.95" hidden="1" customHeight="1" x14ac:dyDescent="0.2">
      <c r="A2681" s="343"/>
      <c r="B2681" s="344"/>
      <c r="C2681" s="345"/>
      <c r="D2681" s="346"/>
      <c r="E2681" s="346"/>
      <c r="F2681" s="268"/>
      <c r="G2681" s="269"/>
      <c r="H2681" s="269"/>
      <c r="I2681" s="270"/>
      <c r="J2681" s="434"/>
      <c r="K2681" s="270"/>
      <c r="L2681" s="270"/>
      <c r="M2681" s="348"/>
      <c r="N2681" s="348"/>
      <c r="O2681" s="435"/>
      <c r="P2681" s="349"/>
      <c r="Q2681" s="350"/>
      <c r="R2681" s="271"/>
      <c r="S2681" s="272"/>
      <c r="T2681" s="273"/>
      <c r="U2681" s="351"/>
      <c r="V2681" s="274"/>
      <c r="W2681" s="269"/>
      <c r="X2681" s="269"/>
      <c r="Y2681" s="275"/>
      <c r="Z2681" s="269"/>
      <c r="AA2681" s="350"/>
      <c r="AB2681" s="207"/>
      <c r="AC2681" s="352"/>
      <c r="AD2681" s="353"/>
      <c r="AE2681" s="54"/>
      <c r="AF2681" s="354"/>
      <c r="AG2681" s="355"/>
      <c r="AH2681" s="349"/>
      <c r="AI2681" s="30"/>
      <c r="AJ2681" s="30"/>
      <c r="AK2681" s="30"/>
      <c r="AL2681" s="30"/>
      <c r="AM2681" s="13"/>
      <c r="AN2681" s="13"/>
      <c r="AO2681" s="13"/>
      <c r="AP2681" s="13"/>
      <c r="AQ2681" s="13"/>
      <c r="AR2681" s="14"/>
      <c r="AS2681" s="15"/>
    </row>
    <row r="2682" spans="1:45" s="17" customFormat="1" ht="30.6" hidden="1" customHeight="1" x14ac:dyDescent="0.2">
      <c r="A2682" s="343" t="s">
        <v>3313</v>
      </c>
      <c r="B2682" s="344" t="s">
        <v>3305</v>
      </c>
      <c r="C2682" s="45"/>
      <c r="D2682" s="31">
        <v>3783802</v>
      </c>
      <c r="E2682" s="31">
        <v>4162751</v>
      </c>
      <c r="F2682" s="268" t="str">
        <f>IF(D2682="","",VLOOKUP(D2682,契約台帳!$A$3:$K$4986,6,FALSE)&amp;VLOOKUP(D2682,契約台帳!$A$3:$K$4986,7,FALSE)&amp;VLOOKUP(D2682,契約台帳!$A$3:$K$4986,8,FALSE)&amp;VLOOKUP(D2682,契約台帳!$A$3:$K$4986,9,FALSE)&amp;VLOOKUP(D2682,契約台帳!$A$3:$K$4986,11,FALSE))</f>
        <v>3SNMLBMNGKKBF</v>
      </c>
      <c r="G2682" s="269" t="str">
        <f>IF(D2682="","",VLOOKUP(F2682,製品マスタ!$G$5:$H$5002,2,FALSE))</f>
        <v>S</v>
      </c>
      <c r="H2682" s="269" t="str">
        <f>IF(D2682="","",VLOOKUP(F2682,製品マスタ!$G$5:$K$5002,5,FALSE))</f>
        <v>MNGKKBF</v>
      </c>
      <c r="I2682" s="270" t="str">
        <f>IF(D2682="","",VLOOKUP(F2682,製品マスタ!$G$5:$L$5002,6,FALSE))</f>
        <v>メタルミー　ネーマー銀消改　Ｂ</v>
      </c>
      <c r="J2682" s="210" t="s">
        <v>935</v>
      </c>
      <c r="K2682" s="270">
        <f>IF(D2682="","",VLOOKUP(D2682,契約台帳!$A$3:$L$4986,12,FALSE))</f>
        <v>25</v>
      </c>
      <c r="L2682" s="270" t="str">
        <f>IF(D2682="","",INDEX(製品マスタ!$Q$5:$Q$5002,MATCH('S4'!F2682&amp;'S4'!K2682,製品マスタ!$AO$5:$AO$5002,0)))</f>
        <v>FMATS99</v>
      </c>
      <c r="M2682" s="39">
        <v>1120</v>
      </c>
      <c r="N2682" s="39">
        <v>4000</v>
      </c>
      <c r="O2682" s="156">
        <v>3</v>
      </c>
      <c r="P2682" s="47">
        <v>3</v>
      </c>
      <c r="Q2682" s="213">
        <v>45602</v>
      </c>
      <c r="R2682" s="271">
        <f ca="1">IF(D2682="","",IF(OFFSET(D2682,-1,0)&lt;&gt;"","",IF(OR(J2682="リード付け",J2682="巻足し",J2682="巻返しリード付け"),M2682,VLOOKUP(D2682,契約台帳!$A$3:$N$4986,14,FALSE))))</f>
        <v>1120</v>
      </c>
      <c r="S2682" s="272">
        <f ca="1">IF(D2682="","",IF(OFFSET(D2682,-1,0)&lt;&gt;"","",IF(OR(J2682="リード付け",J2682="巻足し",J2682="巻返しリード付け"),M2682,VLOOKUP(D2682,契約台帳!$A$3:$O$4986,15,FALSE))))</f>
        <v>1120</v>
      </c>
      <c r="T2682" s="273">
        <f ca="1">IF(D2682="","",IF(J2682="リード付け",N2682,IF(J2682="巻返しリード付け",N2682,IF(J2682="巻足し",N2682*P2682+OFFSET(N2682,1,0)*OFFSET(P2682,1,0),VLOOKUP(D2682,契約台帳!$A$3:$P$4986,16,FALSE)))))</f>
        <v>12000</v>
      </c>
      <c r="U2682" s="40">
        <v>1</v>
      </c>
      <c r="V2682" s="274">
        <f ca="1">IF(D2682="","",IF(OFFSET(D2682,-2,0)=D2682,"",VLOOKUP(D2682,契約台帳!$A$3:$R$4986,18,FALSE)))</f>
        <v>4</v>
      </c>
      <c r="W2682" s="269" t="str">
        <f ca="1">IF(D2682="","",IF(T2682="","",IF(OR(J2682="巻足し",J2682="巻返しリード付け"),"",IF(J2682="巻返し",VLOOKUP(F2682&amp;K2682&amp;M2682,製品マスタ!$M$5:$AD$5002,18,FALSE),IF(OR(J2682="リード付け",J2682="巻返しリード付け"),"原反コア",IF(J2682="スリット",VLOOKUP(F2682&amp;K2682&amp;R2682,製品マスタ!$N$5:$AD$5002,17,FALSE),""))))))</f>
        <v/>
      </c>
      <c r="X2682" s="269" t="str">
        <f ca="1">IF(D2682="","",IF(T2682="","",IF(J2682="巻足し","",IF(J2682="巻返し",VLOOKUP(F2682&amp;K2682&amp;M2682,製品マスタ!$M$5:$AE$5002,19,FALSE),IF(OR(J2682="リード付け",J2682="巻返しリード付け"),"",IF(J2682="スリット",VLOOKUP(F2682&amp;K2682&amp;R2682,製品マスタ!$N$5:$AE$5002,18,FALSE),""))))))</f>
        <v/>
      </c>
      <c r="Y2682" s="275">
        <f ca="1">IF(D2682="","",IF(T2682="","",VLOOKUP(D2682,契約台帳!$A$3:$Q$4986,17,FALSE)))</f>
        <v>2</v>
      </c>
      <c r="Z2682" s="269" t="str">
        <f ca="1">IF(D2682="","",IF(T2682="","",VLOOKUP(D2682,契約台帳!$A$3:$E$4986,5,FALSE)))</f>
        <v>リンテック㈱</v>
      </c>
      <c r="AA2682" s="57"/>
      <c r="AB2682" s="207">
        <f>IFERROR((VLOOKUP(F2682&amp;K2682&amp;M2682,製品マスタ!$M$5:$AM$5002,27,FALSE)),"")</f>
        <v>0</v>
      </c>
      <c r="AC2682" s="33"/>
      <c r="AD2682" s="189"/>
      <c r="AE2682" s="54"/>
      <c r="AF2682" s="55">
        <f>+M2682*N2682*O2682/1000</f>
        <v>13440</v>
      </c>
      <c r="AG2682" s="43"/>
      <c r="AH2682" s="47"/>
      <c r="AI2682" s="30"/>
      <c r="AJ2682" s="30"/>
      <c r="AK2682" s="30"/>
      <c r="AL2682" s="30"/>
      <c r="AM2682" s="13"/>
      <c r="AN2682" s="13"/>
      <c r="AO2682" s="13"/>
      <c r="AP2682" s="13"/>
      <c r="AQ2682" s="13"/>
      <c r="AR2682" s="14"/>
      <c r="AS2682" s="15"/>
    </row>
    <row r="2683" spans="1:45" s="17" customFormat="1" ht="30.95" hidden="1" customHeight="1" x14ac:dyDescent="0.2">
      <c r="A2683" s="343"/>
      <c r="B2683" s="344"/>
      <c r="C2683" s="345"/>
      <c r="D2683" s="346"/>
      <c r="E2683" s="346"/>
      <c r="F2683" s="268"/>
      <c r="G2683" s="269"/>
      <c r="H2683" s="269"/>
      <c r="I2683" s="270"/>
      <c r="J2683" s="434"/>
      <c r="K2683" s="270"/>
      <c r="L2683" s="270"/>
      <c r="M2683" s="348"/>
      <c r="N2683" s="348"/>
      <c r="O2683" s="435"/>
      <c r="P2683" s="349"/>
      <c r="Q2683" s="350"/>
      <c r="R2683" s="271"/>
      <c r="S2683" s="272"/>
      <c r="T2683" s="273"/>
      <c r="U2683" s="351"/>
      <c r="V2683" s="274"/>
      <c r="W2683" s="269"/>
      <c r="X2683" s="269"/>
      <c r="Y2683" s="275"/>
      <c r="Z2683" s="269"/>
      <c r="AA2683" s="350"/>
      <c r="AB2683" s="207"/>
      <c r="AC2683" s="352"/>
      <c r="AD2683" s="353"/>
      <c r="AE2683" s="54"/>
      <c r="AF2683" s="354"/>
      <c r="AG2683" s="355"/>
      <c r="AH2683" s="349"/>
      <c r="AI2683" s="30"/>
      <c r="AJ2683" s="30"/>
      <c r="AK2683" s="30"/>
      <c r="AL2683" s="30"/>
      <c r="AM2683" s="13"/>
      <c r="AN2683" s="13"/>
      <c r="AO2683" s="13"/>
      <c r="AP2683" s="13"/>
      <c r="AQ2683" s="13"/>
      <c r="AR2683" s="14"/>
      <c r="AS2683" s="15"/>
    </row>
    <row r="2684" spans="1:45" s="17" customFormat="1" ht="30.6" hidden="1" customHeight="1" x14ac:dyDescent="0.2">
      <c r="A2684" s="343"/>
      <c r="B2684" s="344"/>
      <c r="C2684" s="45"/>
      <c r="D2684" s="31">
        <v>3783805</v>
      </c>
      <c r="E2684" s="31">
        <v>4162679</v>
      </c>
      <c r="F2684" s="268" t="str">
        <f>IF(D2684="","",VLOOKUP(D2684,契約台帳!$A$3:$K$4986,6,FALSE)&amp;VLOOKUP(D2684,契約台帳!$A$3:$K$4986,7,FALSE)&amp;VLOOKUP(D2684,契約台帳!$A$3:$K$4986,8,FALSE)&amp;VLOOKUP(D2684,契約台帳!$A$3:$K$4986,9,FALSE)&amp;VLOOKUP(D2684,契約台帳!$A$3:$K$4986,11,FALSE))</f>
        <v>3SNMLBMNGKBF</v>
      </c>
      <c r="G2684" s="269" t="str">
        <f>IF(D2684="","",VLOOKUP(F2684,製品マスタ!$G$5:$H$5002,2,FALSE))</f>
        <v>S</v>
      </c>
      <c r="H2684" s="269" t="str">
        <f>IF(D2684="","",VLOOKUP(F2684,製品マスタ!$G$5:$K$5002,5,FALSE))</f>
        <v>MNGKBF</v>
      </c>
      <c r="I2684" s="270" t="str">
        <f>IF(D2684="","",VLOOKUP(F2684,製品マスタ!$G$5:$L$5002,6,FALSE))</f>
        <v>メタルミー　ネーマー銀消　Ｂ</v>
      </c>
      <c r="J2684" s="210" t="s">
        <v>935</v>
      </c>
      <c r="K2684" s="270">
        <f>IF(D2684="","",VLOOKUP(D2684,契約台帳!$A$3:$L$4986,12,FALSE))</f>
        <v>50</v>
      </c>
      <c r="L2684" s="270" t="str">
        <f>IF(D2684="","",INDEX(製品マスタ!$Q$5:$Q$5002,MATCH('S4'!F2684&amp;'S4'!K2684,製品マスタ!$AO$5:$AO$5002,0)))</f>
        <v>MAT</v>
      </c>
      <c r="M2684" s="39">
        <v>1050</v>
      </c>
      <c r="N2684" s="39">
        <v>4100</v>
      </c>
      <c r="O2684" s="156">
        <v>3</v>
      </c>
      <c r="P2684" s="47">
        <v>3</v>
      </c>
      <c r="Q2684" s="213">
        <v>45602</v>
      </c>
      <c r="R2684" s="271">
        <f ca="1">IF(D2684="","",IF(OFFSET(D2684,-1,0)&lt;&gt;"","",IF(OR(J2684="リード付け",J2684="巻足し",J2684="巻返しリード付け"),M2684,VLOOKUP(D2684,契約台帳!$A$3:$N$4986,14,FALSE))))</f>
        <v>1050</v>
      </c>
      <c r="S2684" s="272">
        <f ca="1">IF(D2684="","",IF(OFFSET(D2684,-1,0)&lt;&gt;"","",IF(OR(J2684="リード付け",J2684="巻足し",J2684="巻返しリード付け"),M2684,VLOOKUP(D2684,契約台帳!$A$3:$O$4986,15,FALSE))))</f>
        <v>1050</v>
      </c>
      <c r="T2684" s="273">
        <f ca="1">IF(D2684="","",IF(J2684="リード付け",N2684,IF(J2684="巻返しリード付け",N2684,IF(J2684="巻足し",N2684*P2684+OFFSET(N2684,1,0)*OFFSET(P2684,1,0),VLOOKUP(D2684,契約台帳!$A$3:$P$4986,16,FALSE)))))</f>
        <v>12300</v>
      </c>
      <c r="U2684" s="40">
        <v>1</v>
      </c>
      <c r="V2684" s="274">
        <f ca="1">IF(D2684="","",IF(OFFSET(D2684,-2,0)=D2684,"",VLOOKUP(D2684,契約台帳!$A$3:$R$4986,18,FALSE)))</f>
        <v>5</v>
      </c>
      <c r="W2684" s="269" t="str">
        <f ca="1">IF(D2684="","",IF(T2684="","",IF(OR(J2684="巻足し",J2684="巻返しリード付け"),"",IF(J2684="巻返し",VLOOKUP(F2684&amp;K2684&amp;M2684,製品マスタ!$M$5:$AD$5002,18,FALSE),IF(OR(J2684="リード付け",J2684="巻返しリード付け"),"原反コア",IF(J2684="スリット",VLOOKUP(F2684&amp;K2684&amp;R2684,製品マスタ!$N$5:$AD$5002,17,FALSE),""))))))</f>
        <v/>
      </c>
      <c r="X2684" s="269" t="str">
        <f ca="1">IF(D2684="","",IF(T2684="","",IF(J2684="巻足し","",IF(J2684="巻返し",VLOOKUP(F2684&amp;K2684&amp;M2684,製品マスタ!$M$5:$AE$5002,19,FALSE),IF(OR(J2684="リード付け",J2684="巻返しリード付け"),"",IF(J2684="スリット",VLOOKUP(F2684&amp;K2684&amp;R2684,製品マスタ!$N$5:$AE$5002,18,FALSE),""))))))</f>
        <v/>
      </c>
      <c r="Y2684" s="275">
        <f ca="1">IF(D2684="","",IF(T2684="","",VLOOKUP(D2684,契約台帳!$A$3:$Q$4986,17,FALSE)))</f>
        <v>2</v>
      </c>
      <c r="Z2684" s="269" t="str">
        <f ca="1">IF(D2684="","",IF(T2684="","",VLOOKUP(D2684,契約台帳!$A$3:$E$4986,5,FALSE)))</f>
        <v>リンテック㈱</v>
      </c>
      <c r="AA2684" s="57"/>
      <c r="AB2684" s="207">
        <f>IFERROR((VLOOKUP(F2684&amp;K2684&amp;M2684,製品マスタ!$M$5:$AM$5002,27,FALSE)),"")</f>
        <v>0</v>
      </c>
      <c r="AC2684" s="33"/>
      <c r="AD2684" s="189"/>
      <c r="AE2684" s="54"/>
      <c r="AF2684" s="55">
        <f>+M2684*N2684*O2684/1000</f>
        <v>12915</v>
      </c>
      <c r="AG2684" s="43"/>
      <c r="AH2684" s="47"/>
      <c r="AI2684" s="30"/>
      <c r="AJ2684" s="30"/>
      <c r="AK2684" s="30"/>
      <c r="AL2684" s="30"/>
      <c r="AM2684" s="13"/>
      <c r="AN2684" s="13"/>
      <c r="AO2684" s="13"/>
      <c r="AP2684" s="13"/>
      <c r="AQ2684" s="13"/>
      <c r="AR2684" s="14"/>
      <c r="AS2684" s="15"/>
    </row>
    <row r="2685" spans="1:45" s="17" customFormat="1" ht="30.95" hidden="1" customHeight="1" x14ac:dyDescent="0.2">
      <c r="A2685" s="343"/>
      <c r="B2685" s="344"/>
      <c r="C2685" s="345"/>
      <c r="D2685" s="346"/>
      <c r="E2685" s="346"/>
      <c r="F2685" s="268"/>
      <c r="G2685" s="269"/>
      <c r="H2685" s="269"/>
      <c r="I2685" s="270"/>
      <c r="J2685" s="434"/>
      <c r="K2685" s="270"/>
      <c r="L2685" s="270"/>
      <c r="M2685" s="348"/>
      <c r="N2685" s="348"/>
      <c r="O2685" s="435"/>
      <c r="P2685" s="349"/>
      <c r="Q2685" s="350"/>
      <c r="R2685" s="271"/>
      <c r="S2685" s="272"/>
      <c r="T2685" s="273"/>
      <c r="U2685" s="351"/>
      <c r="V2685" s="274"/>
      <c r="W2685" s="269"/>
      <c r="X2685" s="269"/>
      <c r="Y2685" s="275"/>
      <c r="Z2685" s="269"/>
      <c r="AA2685" s="350"/>
      <c r="AB2685" s="207"/>
      <c r="AC2685" s="352"/>
      <c r="AD2685" s="353"/>
      <c r="AE2685" s="54"/>
      <c r="AF2685" s="354"/>
      <c r="AG2685" s="355"/>
      <c r="AH2685" s="349"/>
      <c r="AI2685" s="30"/>
      <c r="AJ2685" s="30"/>
      <c r="AK2685" s="30"/>
      <c r="AL2685" s="30"/>
      <c r="AM2685" s="13"/>
      <c r="AN2685" s="13"/>
      <c r="AO2685" s="13"/>
      <c r="AP2685" s="13"/>
      <c r="AQ2685" s="13"/>
      <c r="AR2685" s="14"/>
      <c r="AS2685" s="15"/>
    </row>
    <row r="2686" spans="1:45" s="17" customFormat="1" ht="30.6" hidden="1" customHeight="1" x14ac:dyDescent="0.2">
      <c r="A2686" s="343"/>
      <c r="B2686" s="344"/>
      <c r="C2686" s="45"/>
      <c r="D2686" s="31">
        <v>3783805</v>
      </c>
      <c r="E2686" s="31">
        <v>4162679</v>
      </c>
      <c r="F2686" s="268" t="str">
        <f>IF(D2686="","",VLOOKUP(D2686,契約台帳!$A$3:$K$4986,6,FALSE)&amp;VLOOKUP(D2686,契約台帳!$A$3:$K$4986,7,FALSE)&amp;VLOOKUP(D2686,契約台帳!$A$3:$K$4986,8,FALSE)&amp;VLOOKUP(D2686,契約台帳!$A$3:$K$4986,9,FALSE)&amp;VLOOKUP(D2686,契約台帳!$A$3:$K$4986,11,FALSE))</f>
        <v>3SNMLBMNGKBF</v>
      </c>
      <c r="G2686" s="269" t="str">
        <f>IF(D2686="","",VLOOKUP(F2686,製品マスタ!$G$5:$H$5002,2,FALSE))</f>
        <v>S</v>
      </c>
      <c r="H2686" s="269" t="str">
        <f>IF(D2686="","",VLOOKUP(F2686,製品マスタ!$G$5:$K$5002,5,FALSE))</f>
        <v>MNGKBF</v>
      </c>
      <c r="I2686" s="270" t="str">
        <f>IF(D2686="","",VLOOKUP(F2686,製品マスタ!$G$5:$L$5002,6,FALSE))</f>
        <v>メタルミー　ネーマー銀消　Ｂ</v>
      </c>
      <c r="J2686" s="210" t="s">
        <v>935</v>
      </c>
      <c r="K2686" s="270">
        <f>IF(D2686="","",VLOOKUP(D2686,契約台帳!$A$3:$L$4986,12,FALSE))</f>
        <v>50</v>
      </c>
      <c r="L2686" s="270" t="str">
        <f>IF(D2686="","",INDEX(製品マスタ!$Q$5:$Q$5002,MATCH('S4'!F2686&amp;'S4'!K2686,製品マスタ!$AO$5:$AO$5002,0)))</f>
        <v>MAT</v>
      </c>
      <c r="M2686" s="39">
        <v>1050</v>
      </c>
      <c r="N2686" s="39">
        <v>4100</v>
      </c>
      <c r="O2686" s="156">
        <v>2</v>
      </c>
      <c r="P2686" s="47">
        <v>2</v>
      </c>
      <c r="Q2686" s="213">
        <v>45602</v>
      </c>
      <c r="R2686" s="271">
        <f ca="1">IF(D2686="","",IF(OFFSET(D2686,-1,0)&lt;&gt;"","",IF(OR(J2686="リード付け",J2686="巻足し",J2686="巻返しリード付け"),M2686,VLOOKUP(D2686,契約台帳!$A$3:$N$4986,14,FALSE))))</f>
        <v>1050</v>
      </c>
      <c r="S2686" s="272">
        <f ca="1">IF(D2686="","",IF(OFFSET(D2686,-1,0)&lt;&gt;"","",IF(OR(J2686="リード付け",J2686="巻足し",J2686="巻返しリード付け"),M2686,VLOOKUP(D2686,契約台帳!$A$3:$O$4986,15,FALSE))))</f>
        <v>1050</v>
      </c>
      <c r="T2686" s="273">
        <f ca="1">IF(D2686="","",IF(J2686="リード付け",N2686,IF(J2686="巻返しリード付け",N2686,IF(J2686="巻足し",N2686*P2686+OFFSET(N2686,1,0)*OFFSET(P2686,1,0),VLOOKUP(D2686,契約台帳!$A$3:$P$4986,16,FALSE)))))</f>
        <v>8200</v>
      </c>
      <c r="U2686" s="40">
        <v>1</v>
      </c>
      <c r="V2686" s="274" t="str">
        <f ca="1">IF(D2686="","",IF(OFFSET(D2686,-2,0)=D2686,"",VLOOKUP(D2686,契約台帳!$A$3:$R$4986,18,FALSE)))</f>
        <v/>
      </c>
      <c r="W2686" s="269" t="str">
        <f ca="1">IF(D2686="","",IF(T2686="","",IF(OR(J2686="巻足し",J2686="巻返しリード付け"),"",IF(J2686="巻返し",VLOOKUP(F2686&amp;K2686&amp;M2686,製品マスタ!$M$5:$AD$5002,18,FALSE),IF(OR(J2686="リード付け",J2686="巻返しリード付け"),"原反コア",IF(J2686="スリット",VLOOKUP(F2686&amp;K2686&amp;R2686,製品マスタ!$N$5:$AD$5002,17,FALSE),""))))))</f>
        <v/>
      </c>
      <c r="X2686" s="269" t="str">
        <f ca="1">IF(D2686="","",IF(T2686="","",IF(J2686="巻足し","",IF(J2686="巻返し",VLOOKUP(F2686&amp;K2686&amp;M2686,製品マスタ!$M$5:$AE$5002,19,FALSE),IF(OR(J2686="リード付け",J2686="巻返しリード付け"),"",IF(J2686="スリット",VLOOKUP(F2686&amp;K2686&amp;R2686,製品マスタ!$N$5:$AE$5002,18,FALSE),""))))))</f>
        <v/>
      </c>
      <c r="Y2686" s="275">
        <f ca="1">IF(D2686="","",IF(T2686="","",VLOOKUP(D2686,契約台帳!$A$3:$Q$4986,17,FALSE)))</f>
        <v>2</v>
      </c>
      <c r="Z2686" s="269" t="str">
        <f ca="1">IF(D2686="","",IF(T2686="","",VLOOKUP(D2686,契約台帳!$A$3:$E$4986,5,FALSE)))</f>
        <v>リンテック㈱</v>
      </c>
      <c r="AA2686" s="57"/>
      <c r="AB2686" s="207">
        <f>IFERROR((VLOOKUP(F2686&amp;K2686&amp;M2686,製品マスタ!$M$5:$AM$5002,27,FALSE)),"")</f>
        <v>0</v>
      </c>
      <c r="AC2686" s="33"/>
      <c r="AD2686" s="189"/>
      <c r="AE2686" s="54"/>
      <c r="AF2686" s="55">
        <f>+M2686*N2686*O2686/1000</f>
        <v>8610</v>
      </c>
      <c r="AG2686" s="43"/>
      <c r="AH2686" s="47"/>
      <c r="AI2686" s="30"/>
      <c r="AJ2686" s="30"/>
      <c r="AK2686" s="30"/>
      <c r="AL2686" s="30"/>
      <c r="AM2686" s="13"/>
      <c r="AN2686" s="13"/>
      <c r="AO2686" s="13"/>
      <c r="AP2686" s="13"/>
      <c r="AQ2686" s="13"/>
      <c r="AR2686" s="14"/>
      <c r="AS2686" s="15"/>
    </row>
    <row r="2687" spans="1:45" s="17" customFormat="1" ht="30.95" hidden="1" customHeight="1" x14ac:dyDescent="0.2">
      <c r="A2687" s="343"/>
      <c r="B2687" s="344"/>
      <c r="C2687" s="345"/>
      <c r="D2687" s="346"/>
      <c r="E2687" s="346"/>
      <c r="F2687" s="268"/>
      <c r="G2687" s="269"/>
      <c r="H2687" s="269"/>
      <c r="I2687" s="270"/>
      <c r="J2687" s="434"/>
      <c r="K2687" s="270"/>
      <c r="L2687" s="270"/>
      <c r="M2687" s="348"/>
      <c r="N2687" s="348"/>
      <c r="O2687" s="435"/>
      <c r="P2687" s="349"/>
      <c r="Q2687" s="350"/>
      <c r="R2687" s="271"/>
      <c r="S2687" s="272"/>
      <c r="T2687" s="273"/>
      <c r="U2687" s="351"/>
      <c r="V2687" s="274"/>
      <c r="W2687" s="269"/>
      <c r="X2687" s="269"/>
      <c r="Y2687" s="275"/>
      <c r="Z2687" s="269"/>
      <c r="AA2687" s="350"/>
      <c r="AB2687" s="207"/>
      <c r="AC2687" s="352"/>
      <c r="AD2687" s="353"/>
      <c r="AE2687" s="54"/>
      <c r="AF2687" s="354"/>
      <c r="AG2687" s="355"/>
      <c r="AH2687" s="349"/>
      <c r="AI2687" s="30"/>
      <c r="AJ2687" s="30"/>
      <c r="AK2687" s="30"/>
      <c r="AL2687" s="30"/>
      <c r="AM2687" s="13"/>
      <c r="AN2687" s="13"/>
      <c r="AO2687" s="13"/>
      <c r="AP2687" s="13"/>
      <c r="AQ2687" s="13"/>
      <c r="AR2687" s="14"/>
      <c r="AS2687" s="15"/>
    </row>
    <row r="2688" spans="1:45" s="17" customFormat="1" ht="30.6" hidden="1" customHeight="1" x14ac:dyDescent="0.2">
      <c r="A2688" s="343"/>
      <c r="B2688" s="344"/>
      <c r="C2688" s="45"/>
      <c r="D2688" s="31">
        <v>3783831</v>
      </c>
      <c r="E2688" s="31">
        <v>4162719</v>
      </c>
      <c r="F2688" s="268" t="str">
        <f>IF(D2688="","",VLOOKUP(D2688,契約台帳!$A$3:$K$4986,6,FALSE)&amp;VLOOKUP(D2688,契約台帳!$A$3:$K$4986,7,FALSE)&amp;VLOOKUP(D2688,契約台帳!$A$3:$K$4986,8,FALSE)&amp;VLOOKUP(D2688,契約台帳!$A$3:$K$4986,9,FALSE)&amp;VLOOKUP(D2688,契約台帳!$A$3:$K$4986,11,FALSE))</f>
        <v>3SNMLBMNGKBF</v>
      </c>
      <c r="G2688" s="269" t="str">
        <f>IF(D2688="","",VLOOKUP(F2688,製品マスタ!$G$5:$H$5002,2,FALSE))</f>
        <v>S</v>
      </c>
      <c r="H2688" s="269" t="str">
        <f>IF(D2688="","",VLOOKUP(F2688,製品マスタ!$G$5:$K$5002,5,FALSE))</f>
        <v>MNGKBF</v>
      </c>
      <c r="I2688" s="270" t="str">
        <f>IF(D2688="","",VLOOKUP(F2688,製品マスタ!$G$5:$L$5002,6,FALSE))</f>
        <v>メタルミー　ネーマー銀消　Ｂ</v>
      </c>
      <c r="J2688" s="210" t="s">
        <v>935</v>
      </c>
      <c r="K2688" s="270">
        <f>IF(D2688="","",VLOOKUP(D2688,契約台帳!$A$3:$L$4986,12,FALSE))</f>
        <v>75</v>
      </c>
      <c r="L2688" s="270" t="str">
        <f>IF(D2688="","",INDEX(製品マスタ!$Q$5:$Q$5002,MATCH('S4'!F2688&amp;'S4'!K2688,製品マスタ!$AO$5:$AO$5002,0)))</f>
        <v>MAT</v>
      </c>
      <c r="M2688" s="39">
        <v>1050</v>
      </c>
      <c r="N2688" s="39">
        <v>2000</v>
      </c>
      <c r="O2688" s="156">
        <v>2</v>
      </c>
      <c r="P2688" s="47">
        <v>2</v>
      </c>
      <c r="Q2688" s="213">
        <v>45602</v>
      </c>
      <c r="R2688" s="271">
        <f ca="1">IF(D2688="","",IF(OFFSET(D2688,-1,0)&lt;&gt;"","",IF(OR(J2688="リード付け",J2688="巻足し",J2688="巻返しリード付け"),M2688,VLOOKUP(D2688,契約台帳!$A$3:$N$4986,14,FALSE))))</f>
        <v>1050</v>
      </c>
      <c r="S2688" s="272">
        <f ca="1">IF(D2688="","",IF(OFFSET(D2688,-1,0)&lt;&gt;"","",IF(OR(J2688="リード付け",J2688="巻足し",J2688="巻返しリード付け"),M2688,VLOOKUP(D2688,契約台帳!$A$3:$O$4986,15,FALSE))))</f>
        <v>1050</v>
      </c>
      <c r="T2688" s="273">
        <f ca="1">IF(D2688="","",IF(J2688="リード付け",N2688,IF(J2688="巻返しリード付け",N2688,IF(J2688="巻足し",N2688*P2688+OFFSET(N2688,1,0)*OFFSET(P2688,1,0),VLOOKUP(D2688,契約台帳!$A$3:$P$4986,16,FALSE)))))</f>
        <v>4000</v>
      </c>
      <c r="U2688" s="40">
        <v>1</v>
      </c>
      <c r="V2688" s="274">
        <f ca="1">IF(D2688="","",IF(OFFSET(D2688,-2,0)=D2688,"",VLOOKUP(D2688,契約台帳!$A$3:$R$4986,18,FALSE)))</f>
        <v>2</v>
      </c>
      <c r="W2688" s="269" t="str">
        <f ca="1">IF(D2688="","",IF(T2688="","",IF(OR(J2688="巻足し",J2688="巻返しリード付け"),"",IF(J2688="巻返し",VLOOKUP(F2688&amp;K2688&amp;M2688,製品マスタ!$M$5:$AD$5002,18,FALSE),IF(OR(J2688="リード付け",J2688="巻返しリード付け"),"原反コア",IF(J2688="スリット",VLOOKUP(F2688&amp;K2688&amp;R2688,製品マスタ!$N$5:$AD$5002,17,FALSE),""))))))</f>
        <v/>
      </c>
      <c r="X2688" s="269" t="str">
        <f ca="1">IF(D2688="","",IF(T2688="","",IF(J2688="巻足し","",IF(J2688="巻返し",VLOOKUP(F2688&amp;K2688&amp;M2688,製品マスタ!$M$5:$AE$5002,19,FALSE),IF(OR(J2688="リード付け",J2688="巻返しリード付け"),"",IF(J2688="スリット",VLOOKUP(F2688&amp;K2688&amp;R2688,製品マスタ!$N$5:$AE$5002,18,FALSE),""))))))</f>
        <v/>
      </c>
      <c r="Y2688" s="275">
        <f ca="1">IF(D2688="","",IF(T2688="","",VLOOKUP(D2688,契約台帳!$A$3:$Q$4986,17,FALSE)))</f>
        <v>2</v>
      </c>
      <c r="Z2688" s="269" t="str">
        <f ca="1">IF(D2688="","",IF(T2688="","",VLOOKUP(D2688,契約台帳!$A$3:$E$4986,5,FALSE)))</f>
        <v>リンテック㈱</v>
      </c>
      <c r="AA2688" s="57"/>
      <c r="AB2688" s="207">
        <f>IFERROR((VLOOKUP(F2688&amp;K2688&amp;M2688,製品マスタ!$M$5:$AM$5002,27,FALSE)),"")</f>
        <v>0</v>
      </c>
      <c r="AC2688" s="33"/>
      <c r="AD2688" s="189"/>
      <c r="AE2688" s="54"/>
      <c r="AF2688" s="55">
        <f>+M2688*N2688*O2688/1000</f>
        <v>4200</v>
      </c>
      <c r="AG2688" s="43"/>
      <c r="AH2688" s="47"/>
      <c r="AI2688" s="30"/>
      <c r="AJ2688" s="30"/>
      <c r="AK2688" s="30"/>
      <c r="AL2688" s="30"/>
      <c r="AM2688" s="13"/>
      <c r="AN2688" s="13"/>
      <c r="AO2688" s="13"/>
      <c r="AP2688" s="13"/>
      <c r="AQ2688" s="13"/>
      <c r="AR2688" s="14"/>
      <c r="AS2688" s="15"/>
    </row>
    <row r="2689" spans="1:45" s="17" customFormat="1" ht="30.95" hidden="1" customHeight="1" x14ac:dyDescent="0.2">
      <c r="A2689" s="343"/>
      <c r="B2689" s="344"/>
      <c r="C2689" s="345"/>
      <c r="D2689" s="346"/>
      <c r="E2689" s="346"/>
      <c r="F2689" s="268"/>
      <c r="G2689" s="269"/>
      <c r="H2689" s="269"/>
      <c r="I2689" s="270"/>
      <c r="J2689" s="434"/>
      <c r="K2689" s="270"/>
      <c r="L2689" s="270"/>
      <c r="M2689" s="348"/>
      <c r="N2689" s="348"/>
      <c r="O2689" s="435"/>
      <c r="P2689" s="349"/>
      <c r="Q2689" s="350"/>
      <c r="R2689" s="271"/>
      <c r="S2689" s="272"/>
      <c r="T2689" s="273"/>
      <c r="U2689" s="351"/>
      <c r="V2689" s="274"/>
      <c r="W2689" s="269"/>
      <c r="X2689" s="269"/>
      <c r="Y2689" s="275"/>
      <c r="Z2689" s="269"/>
      <c r="AA2689" s="350"/>
      <c r="AB2689" s="207"/>
      <c r="AC2689" s="352"/>
      <c r="AD2689" s="353"/>
      <c r="AE2689" s="54"/>
      <c r="AF2689" s="354"/>
      <c r="AG2689" s="355"/>
      <c r="AH2689" s="349"/>
      <c r="AI2689" s="30"/>
      <c r="AJ2689" s="30"/>
      <c r="AK2689" s="30"/>
      <c r="AL2689" s="30"/>
      <c r="AM2689" s="13"/>
      <c r="AN2689" s="13"/>
      <c r="AO2689" s="13"/>
      <c r="AP2689" s="13"/>
      <c r="AQ2689" s="13"/>
      <c r="AR2689" s="14"/>
      <c r="AS2689" s="15"/>
    </row>
    <row r="2690" spans="1:45" s="17" customFormat="1" ht="30.6" hidden="1" customHeight="1" x14ac:dyDescent="0.2">
      <c r="A2690" s="343" t="s">
        <v>3314</v>
      </c>
      <c r="B2690" s="344" t="s">
        <v>3297</v>
      </c>
      <c r="C2690" s="45"/>
      <c r="D2690" s="31">
        <v>3783818</v>
      </c>
      <c r="E2690" s="31">
        <v>4162713</v>
      </c>
      <c r="F2690" s="268" t="str">
        <f>IF(D2690="","",VLOOKUP(D2690,契約台帳!$A$3:$K$4986,6,FALSE)&amp;VLOOKUP(D2690,契約台帳!$A$3:$K$4986,7,FALSE)&amp;VLOOKUP(D2690,契約台帳!$A$3:$K$4986,8,FALSE)&amp;VLOOKUP(D2690,契約台帳!$A$3:$K$4986,9,FALSE)&amp;VLOOKUP(D2690,契約台帳!$A$3:$K$4986,11,FALSE))</f>
        <v>3TNMCLBHLGTV</v>
      </c>
      <c r="G2690" s="269" t="str">
        <f>IF(D2690="","",VLOOKUP(F2690,製品マスタ!$G$5:$H$5002,2,FALSE))</f>
        <v>T</v>
      </c>
      <c r="H2690" s="269" t="str">
        <f>IF(D2690="","",VLOOKUP(F2690,製品マスタ!$G$5:$K$5002,5,FALSE))</f>
        <v>HLGTV</v>
      </c>
      <c r="I2690" s="270" t="str">
        <f>IF(D2690="","",VLOOKUP(F2690,製品マスタ!$G$5:$L$5002,6,FALSE))</f>
        <v>メタルミー　ヘヤライン　銀艶Ｖ</v>
      </c>
      <c r="J2690" s="210" t="s">
        <v>935</v>
      </c>
      <c r="K2690" s="270">
        <f>IF(D2690="","",VLOOKUP(D2690,契約台帳!$A$3:$L$4986,12,FALSE))</f>
        <v>50</v>
      </c>
      <c r="L2690" s="270" t="str">
        <f>IF(D2690="","",INDEX(製品マスタ!$Q$5:$Q$5002,MATCH('S4'!F2690&amp;'S4'!K2690,製品マスタ!$AO$5:$AO$5002,0)))</f>
        <v>BRIGHT</v>
      </c>
      <c r="M2690" s="39">
        <v>1005</v>
      </c>
      <c r="N2690" s="39">
        <v>4100</v>
      </c>
      <c r="O2690" s="156">
        <v>6</v>
      </c>
      <c r="P2690" s="47">
        <v>3</v>
      </c>
      <c r="Q2690" s="213">
        <v>45602</v>
      </c>
      <c r="R2690" s="271">
        <f ca="1">IF(D2690="","",IF(OFFSET(D2690,-1,0)&lt;&gt;"","",IF(OR(J2690="リード付け",J2690="巻足し",J2690="巻返しリード付け"),M2690,VLOOKUP(D2690,契約台帳!$A$3:$N$4986,14,FALSE))))</f>
        <v>1005</v>
      </c>
      <c r="S2690" s="272">
        <f ca="1">IF(D2690="","",IF(OFFSET(D2690,-1,0)&lt;&gt;"","",IF(OR(J2690="リード付け",J2690="巻足し",J2690="巻返しリード付け"),M2690,VLOOKUP(D2690,契約台帳!$A$3:$O$4986,15,FALSE))))</f>
        <v>1005</v>
      </c>
      <c r="T2690" s="273">
        <f ca="1">IF(D2690="","",IF(J2690="リード付け",N2690,IF(J2690="巻返しリード付け",N2690,IF(J2690="巻足し",N2690*P2690+OFFSET(N2690,1,0)*OFFSET(P2690,1,0),VLOOKUP(D2690,契約台帳!$A$3:$P$4986,16,FALSE)))))</f>
        <v>12300</v>
      </c>
      <c r="U2690" s="40">
        <v>2</v>
      </c>
      <c r="V2690" s="274">
        <f ca="1">IF(D2690="","",IF(OFFSET(D2690,-2,0)=D2690,"",VLOOKUP(D2690,契約台帳!$A$3:$R$4986,18,FALSE)))</f>
        <v>6</v>
      </c>
      <c r="W2690" s="269" t="str">
        <f ca="1">IF(D2690="","",IF(T2690="","",IF(OR(J2690="巻足し",J2690="巻返しリード付け"),"",IF(J2690="巻返し",VLOOKUP(F2690&amp;K2690&amp;M2690,製品マスタ!$M$5:$AD$5002,18,FALSE),IF(OR(J2690="リード付け",J2690="巻返しリード付け"),"原反コア",IF(J2690="スリット",VLOOKUP(F2690&amp;K2690&amp;R2690,製品マスタ!$N$5:$AD$5002,17,FALSE),""))))))</f>
        <v/>
      </c>
      <c r="X2690" s="269" t="str">
        <f ca="1">IF(D2690="","",IF(T2690="","",IF(J2690="巻足し","",IF(J2690="巻返し",VLOOKUP(F2690&amp;K2690&amp;M2690,製品マスタ!$M$5:$AE$5002,19,FALSE),IF(OR(J2690="リード付け",J2690="巻返しリード付け"),"",IF(J2690="スリット",VLOOKUP(F2690&amp;K2690&amp;R2690,製品マスタ!$N$5:$AE$5002,18,FALSE),""))))))</f>
        <v/>
      </c>
      <c r="Y2690" s="275">
        <f ca="1">IF(D2690="","",IF(T2690="","",VLOOKUP(D2690,契約台帳!$A$3:$Q$4986,17,FALSE)))</f>
        <v>2</v>
      </c>
      <c r="Z2690" s="269" t="str">
        <f ca="1">IF(D2690="","",IF(T2690="","",VLOOKUP(D2690,契約台帳!$A$3:$E$4986,5,FALSE)))</f>
        <v>リンテック㈱</v>
      </c>
      <c r="AA2690" s="57"/>
      <c r="AB2690" s="303" t="s">
        <v>3325</v>
      </c>
      <c r="AC2690" s="33"/>
      <c r="AD2690" s="189"/>
      <c r="AE2690" s="54"/>
      <c r="AF2690" s="55">
        <f>+M2690*N2690*O2690/1000</f>
        <v>24723</v>
      </c>
      <c r="AG2690" s="43"/>
      <c r="AH2690" s="47"/>
      <c r="AI2690" s="30"/>
      <c r="AJ2690" s="30"/>
      <c r="AK2690" s="30"/>
      <c r="AL2690" s="30"/>
      <c r="AM2690" s="13"/>
      <c r="AN2690" s="13"/>
      <c r="AO2690" s="13"/>
      <c r="AP2690" s="13"/>
      <c r="AQ2690" s="13"/>
      <c r="AR2690" s="14"/>
      <c r="AS2690" s="15"/>
    </row>
    <row r="2691" spans="1:45" s="17" customFormat="1" ht="30.95" hidden="1" customHeight="1" x14ac:dyDescent="0.2">
      <c r="A2691" s="343"/>
      <c r="B2691" s="344"/>
      <c r="C2691" s="345"/>
      <c r="D2691" s="346"/>
      <c r="E2691" s="346"/>
      <c r="F2691" s="268"/>
      <c r="G2691" s="269"/>
      <c r="H2691" s="269"/>
      <c r="I2691" s="270"/>
      <c r="J2691" s="434"/>
      <c r="K2691" s="270"/>
      <c r="L2691" s="270"/>
      <c r="M2691" s="348"/>
      <c r="N2691" s="348"/>
      <c r="O2691" s="435"/>
      <c r="P2691" s="349"/>
      <c r="Q2691" s="350"/>
      <c r="R2691" s="271"/>
      <c r="S2691" s="272"/>
      <c r="T2691" s="273"/>
      <c r="U2691" s="351"/>
      <c r="V2691" s="274"/>
      <c r="W2691" s="269"/>
      <c r="X2691" s="269"/>
      <c r="Y2691" s="275"/>
      <c r="Z2691" s="269"/>
      <c r="AA2691" s="350"/>
      <c r="AB2691" s="207"/>
      <c r="AC2691" s="352"/>
      <c r="AD2691" s="353"/>
      <c r="AE2691" s="54"/>
      <c r="AF2691" s="354"/>
      <c r="AG2691" s="355"/>
      <c r="AH2691" s="349"/>
      <c r="AI2691" s="30"/>
      <c r="AJ2691" s="30"/>
      <c r="AK2691" s="30"/>
      <c r="AL2691" s="30"/>
      <c r="AM2691" s="13"/>
      <c r="AN2691" s="13"/>
      <c r="AO2691" s="13"/>
      <c r="AP2691" s="13"/>
      <c r="AQ2691" s="13"/>
      <c r="AR2691" s="14"/>
      <c r="AS2691" s="15"/>
    </row>
    <row r="2692" spans="1:45" s="17" customFormat="1" ht="30.6" hidden="1" customHeight="1" x14ac:dyDescent="0.2">
      <c r="A2692" s="343"/>
      <c r="B2692" s="344"/>
      <c r="C2692" s="45"/>
      <c r="D2692" s="31">
        <v>3783801</v>
      </c>
      <c r="E2692" s="31">
        <v>4162748</v>
      </c>
      <c r="F2692" s="268" t="str">
        <f>IF(D2692="","",VLOOKUP(D2692,契約台帳!$A$3:$K$4986,6,FALSE)&amp;VLOOKUP(D2692,契約台帳!$A$3:$K$4986,7,FALSE)&amp;VLOOKUP(D2692,契約台帳!$A$3:$K$4986,8,FALSE)&amp;VLOOKUP(D2692,契約台帳!$A$3:$K$4986,9,FALSE)&amp;VLOOKUP(D2692,契約台帳!$A$3:$K$4986,11,FALSE))</f>
        <v>3SNMLBMNGKKBF</v>
      </c>
      <c r="G2692" s="269" t="str">
        <f>IF(D2692="","",VLOOKUP(F2692,製品マスタ!$G$5:$H$5002,2,FALSE))</f>
        <v>S</v>
      </c>
      <c r="H2692" s="269" t="str">
        <f>IF(D2692="","",VLOOKUP(F2692,製品マスタ!$G$5:$K$5002,5,FALSE))</f>
        <v>MNGKKBF</v>
      </c>
      <c r="I2692" s="270" t="str">
        <f>IF(D2692="","",VLOOKUP(F2692,製品マスタ!$G$5:$L$5002,6,FALSE))</f>
        <v>メタルミー　ネーマー銀消改　Ｂ</v>
      </c>
      <c r="J2692" s="210" t="s">
        <v>935</v>
      </c>
      <c r="K2692" s="270">
        <f>IF(D2692="","",VLOOKUP(D2692,契約台帳!$A$3:$L$4986,12,FALSE))</f>
        <v>25</v>
      </c>
      <c r="L2692" s="270" t="str">
        <f>IF(D2692="","",INDEX(製品マスタ!$Q$5:$Q$5002,MATCH('S4'!F2692&amp;'S4'!K2692,製品マスタ!$AO$5:$AO$5002,0)))</f>
        <v>FMATS99</v>
      </c>
      <c r="M2692" s="39">
        <v>1000</v>
      </c>
      <c r="N2692" s="39">
        <v>4000</v>
      </c>
      <c r="O2692" s="156">
        <v>3</v>
      </c>
      <c r="P2692" s="47">
        <v>3</v>
      </c>
      <c r="Q2692" s="213">
        <v>45602</v>
      </c>
      <c r="R2692" s="271">
        <f ca="1">IF(D2692="","",IF(OFFSET(D2692,-1,0)&lt;&gt;"","",IF(OR(J2692="リード付け",J2692="巻足し",J2692="巻返しリード付け"),M2692,VLOOKUP(D2692,契約台帳!$A$3:$N$4986,14,FALSE))))</f>
        <v>1000</v>
      </c>
      <c r="S2692" s="272">
        <f ca="1">IF(D2692="","",IF(OFFSET(D2692,-1,0)&lt;&gt;"","",IF(OR(J2692="リード付け",J2692="巻足し",J2692="巻返しリード付け"),M2692,VLOOKUP(D2692,契約台帳!$A$3:$O$4986,15,FALSE))))</f>
        <v>1000</v>
      </c>
      <c r="T2692" s="273">
        <f ca="1">IF(D2692="","",IF(J2692="リード付け",N2692,IF(J2692="巻返しリード付け",N2692,IF(J2692="巻足し",N2692*P2692+OFFSET(N2692,1,0)*OFFSET(P2692,1,0),VLOOKUP(D2692,契約台帳!$A$3:$P$4986,16,FALSE)))))</f>
        <v>12000</v>
      </c>
      <c r="U2692" s="40">
        <v>1</v>
      </c>
      <c r="V2692" s="274">
        <f ca="1">IF(D2692="","",IF(OFFSET(D2692,-2,0)=D2692,"",VLOOKUP(D2692,契約台帳!$A$3:$R$4986,18,FALSE)))</f>
        <v>3</v>
      </c>
      <c r="W2692" s="269" t="str">
        <f ca="1">IF(D2692="","",IF(T2692="","",IF(OR(J2692="巻足し",J2692="巻返しリード付け"),"",IF(J2692="巻返し",VLOOKUP(F2692&amp;K2692&amp;M2692,製品マスタ!$M$5:$AD$5002,18,FALSE),IF(OR(J2692="リード付け",J2692="巻返しリード付け"),"原反コア",IF(J2692="スリット",VLOOKUP(F2692&amp;K2692&amp;R2692,製品マスタ!$N$5:$AD$5002,17,FALSE),""))))))</f>
        <v/>
      </c>
      <c r="X2692" s="269" t="str">
        <f ca="1">IF(D2692="","",IF(T2692="","",IF(J2692="巻足し","",IF(J2692="巻返し",VLOOKUP(F2692&amp;K2692&amp;M2692,製品マスタ!$M$5:$AE$5002,19,FALSE),IF(OR(J2692="リード付け",J2692="巻返しリード付け"),"",IF(J2692="スリット",VLOOKUP(F2692&amp;K2692&amp;R2692,製品マスタ!$N$5:$AE$5002,18,FALSE),""))))))</f>
        <v/>
      </c>
      <c r="Y2692" s="275">
        <f ca="1">IF(D2692="","",IF(T2692="","",VLOOKUP(D2692,契約台帳!$A$3:$Q$4986,17,FALSE)))</f>
        <v>2</v>
      </c>
      <c r="Z2692" s="269" t="str">
        <f ca="1">IF(D2692="","",IF(T2692="","",VLOOKUP(D2692,契約台帳!$A$3:$E$4986,5,FALSE)))</f>
        <v>リンテック㈱</v>
      </c>
      <c r="AA2692" s="57"/>
      <c r="AB2692" s="207">
        <f>IFERROR((VLOOKUP(F2692&amp;K2692&amp;M2692,製品マスタ!$M$5:$AM$5002,27,FALSE)),"")</f>
        <v>0</v>
      </c>
      <c r="AC2692" s="33"/>
      <c r="AD2692" s="189"/>
      <c r="AE2692" s="54"/>
      <c r="AF2692" s="55">
        <f>+M2692*N2692*O2692/1000</f>
        <v>12000</v>
      </c>
      <c r="AG2692" s="43"/>
      <c r="AH2692" s="47"/>
      <c r="AI2692" s="30"/>
      <c r="AJ2692" s="30"/>
      <c r="AK2692" s="30"/>
      <c r="AL2692" s="30"/>
      <c r="AM2692" s="13"/>
      <c r="AN2692" s="13"/>
      <c r="AO2692" s="13"/>
      <c r="AP2692" s="13"/>
      <c r="AQ2692" s="13"/>
      <c r="AR2692" s="14"/>
      <c r="AS2692" s="15"/>
    </row>
    <row r="2693" spans="1:45" s="17" customFormat="1" ht="30.95" hidden="1" customHeight="1" x14ac:dyDescent="0.2">
      <c r="A2693" s="343"/>
      <c r="B2693" s="344"/>
      <c r="C2693" s="345"/>
      <c r="D2693" s="346"/>
      <c r="E2693" s="346"/>
      <c r="F2693" s="268"/>
      <c r="G2693" s="269"/>
      <c r="H2693" s="269"/>
      <c r="I2693" s="270"/>
      <c r="J2693" s="434"/>
      <c r="K2693" s="270"/>
      <c r="L2693" s="270"/>
      <c r="M2693" s="348"/>
      <c r="N2693" s="348"/>
      <c r="O2693" s="435"/>
      <c r="P2693" s="349"/>
      <c r="Q2693" s="350"/>
      <c r="R2693" s="271"/>
      <c r="S2693" s="272"/>
      <c r="T2693" s="273"/>
      <c r="U2693" s="351"/>
      <c r="V2693" s="274"/>
      <c r="W2693" s="269"/>
      <c r="X2693" s="269"/>
      <c r="Y2693" s="275"/>
      <c r="Z2693" s="269"/>
      <c r="AA2693" s="350"/>
      <c r="AB2693" s="207"/>
      <c r="AC2693" s="352"/>
      <c r="AD2693" s="353"/>
      <c r="AE2693" s="54"/>
      <c r="AF2693" s="354"/>
      <c r="AG2693" s="355"/>
      <c r="AH2693" s="349"/>
      <c r="AI2693" s="30"/>
      <c r="AJ2693" s="30"/>
      <c r="AK2693" s="30"/>
      <c r="AL2693" s="30"/>
      <c r="AM2693" s="13"/>
      <c r="AN2693" s="13"/>
      <c r="AO2693" s="13"/>
      <c r="AP2693" s="13"/>
      <c r="AQ2693" s="13"/>
      <c r="AR2693" s="14"/>
      <c r="AS2693" s="15"/>
    </row>
    <row r="2694" spans="1:45" s="17" customFormat="1" ht="30.6" hidden="1" customHeight="1" x14ac:dyDescent="0.2">
      <c r="A2694" s="343"/>
      <c r="B2694" s="344"/>
      <c r="C2694" s="45"/>
      <c r="D2694" s="31">
        <v>3783813</v>
      </c>
      <c r="E2694" s="31">
        <v>4162665</v>
      </c>
      <c r="F2694" s="268" t="str">
        <f>IF(D2694="","",VLOOKUP(D2694,契約台帳!$A$3:$K$4986,6,FALSE)&amp;VLOOKUP(D2694,契約台帳!$A$3:$K$4986,7,FALSE)&amp;VLOOKUP(D2694,契約台帳!$A$3:$K$4986,8,FALSE)&amp;VLOOKUP(D2694,契約台帳!$A$3:$K$4986,9,FALSE)&amp;VLOOKUP(D2694,契約台帳!$A$3:$K$4986,11,FALSE))</f>
        <v>33SSNMCLBTEKKFV</v>
      </c>
      <c r="G2694" s="269" t="str">
        <f>IF(D2694="","",VLOOKUP(F2694,製品マスタ!$G$5:$H$5002,2,FALSE))</f>
        <v>S</v>
      </c>
      <c r="H2694" s="269" t="str">
        <f>IF(D2694="","",VLOOKUP(F2694,製品マスタ!$G$5:$K$5002,5,FALSE))</f>
        <v>TEKKFV</v>
      </c>
      <c r="I2694" s="270" t="str">
        <f>IF(D2694="","",VLOOKUP(F2694,製品マスタ!$G$5:$L$5002,6,FALSE))</f>
        <v>メタルミー　ＴＥＳ消開封　Ｖ</v>
      </c>
      <c r="J2694" s="210" t="s">
        <v>935</v>
      </c>
      <c r="K2694" s="270">
        <f>IF(D2694="","",VLOOKUP(D2694,契約台帳!$A$3:$L$4986,12,FALSE))</f>
        <v>50</v>
      </c>
      <c r="L2694" s="270" t="str">
        <f>IF(D2694="","",INDEX(製品マスタ!$Q$5:$Q$5002,MATCH('S4'!F2694&amp;'S4'!K2694,製品マスタ!$AO$5:$AO$5002,0)))</f>
        <v>X44SEPA</v>
      </c>
      <c r="M2694" s="39">
        <v>1005</v>
      </c>
      <c r="N2694" s="39">
        <v>4000</v>
      </c>
      <c r="O2694" s="156">
        <v>6</v>
      </c>
      <c r="P2694" s="47">
        <v>3</v>
      </c>
      <c r="Q2694" s="213">
        <v>45603</v>
      </c>
      <c r="R2694" s="271">
        <f ca="1">IF(D2694="","",IF(OFFSET(D2694,-1,0)&lt;&gt;"","",IF(OR(J2694="リード付け",J2694="巻足し",J2694="巻返しリード付け"),M2694,VLOOKUP(D2694,契約台帳!$A$3:$N$4986,14,FALSE))))</f>
        <v>1005</v>
      </c>
      <c r="S2694" s="272">
        <f ca="1">IF(D2694="","",IF(OFFSET(D2694,-1,0)&lt;&gt;"","",IF(OR(J2694="リード付け",J2694="巻足し",J2694="巻返しリード付け"),M2694,VLOOKUP(D2694,契約台帳!$A$3:$O$4986,15,FALSE))))</f>
        <v>1005</v>
      </c>
      <c r="T2694" s="273">
        <f ca="1">IF(D2694="","",IF(J2694="リード付け",N2694,IF(J2694="巻返しリード付け",N2694,IF(J2694="巻足し",N2694*P2694+OFFSET(N2694,1,0)*OFFSET(P2694,1,0),VLOOKUP(D2694,契約台帳!$A$3:$P$4986,16,FALSE)))))</f>
        <v>12000</v>
      </c>
      <c r="U2694" s="40">
        <v>2</v>
      </c>
      <c r="V2694" s="274">
        <f ca="1">IF(D2694="","",IF(OFFSET(D2694,-2,0)=D2694,"",VLOOKUP(D2694,契約台帳!$A$3:$R$4986,18,FALSE)))</f>
        <v>6</v>
      </c>
      <c r="W2694" s="269" t="str">
        <f ca="1">IF(D2694="","",IF(T2694="","",IF(OR(J2694="巻足し",J2694="巻返しリード付け"),"",IF(J2694="巻返し",VLOOKUP(F2694&amp;K2694&amp;M2694,製品マスタ!$M$5:$AD$5002,18,FALSE),IF(OR(J2694="リード付け",J2694="巻返しリード付け"),"原反コア",IF(J2694="スリット",VLOOKUP(F2694&amp;K2694&amp;R2694,製品マスタ!$N$5:$AD$5002,17,FALSE),""))))))</f>
        <v/>
      </c>
      <c r="X2694" s="269" t="str">
        <f ca="1">IF(D2694="","",IF(T2694="","",IF(J2694="巻足し","",IF(J2694="巻返し",VLOOKUP(F2694&amp;K2694&amp;M2694,製品マスタ!$M$5:$AE$5002,19,FALSE),IF(OR(J2694="リード付け",J2694="巻返しリード付け"),"",IF(J2694="スリット",VLOOKUP(F2694&amp;K2694&amp;R2694,製品マスタ!$N$5:$AE$5002,18,FALSE),""))))))</f>
        <v/>
      </c>
      <c r="Y2694" s="275">
        <f ca="1">IF(D2694="","",IF(T2694="","",VLOOKUP(D2694,契約台帳!$A$3:$Q$4986,17,FALSE)))</f>
        <v>2</v>
      </c>
      <c r="Z2694" s="269" t="str">
        <f ca="1">IF(D2694="","",IF(T2694="","",VLOOKUP(D2694,契約台帳!$A$3:$E$4986,5,FALSE)))</f>
        <v>リンテック㈱</v>
      </c>
      <c r="AA2694" s="57"/>
      <c r="AB2694" s="207">
        <f>IFERROR((VLOOKUP(F2694&amp;K2694&amp;M2694,製品マスタ!$M$5:$AM$5002,27,FALSE)),"")</f>
        <v>0</v>
      </c>
      <c r="AC2694" s="33"/>
      <c r="AD2694" s="189"/>
      <c r="AE2694" s="54"/>
      <c r="AF2694" s="55">
        <f>+M2694*N2694*O2694/1000</f>
        <v>24120</v>
      </c>
      <c r="AG2694" s="43"/>
      <c r="AH2694" s="47"/>
      <c r="AI2694" s="30"/>
      <c r="AJ2694" s="30"/>
      <c r="AK2694" s="30"/>
      <c r="AL2694" s="30"/>
      <c r="AM2694" s="13"/>
      <c r="AN2694" s="13"/>
      <c r="AO2694" s="13"/>
      <c r="AP2694" s="13"/>
      <c r="AQ2694" s="13"/>
      <c r="AR2694" s="14"/>
      <c r="AS2694" s="15"/>
    </row>
    <row r="2695" spans="1:45" s="17" customFormat="1" ht="30.95" hidden="1" customHeight="1" x14ac:dyDescent="0.2">
      <c r="A2695" s="343"/>
      <c r="B2695" s="344"/>
      <c r="C2695" s="345"/>
      <c r="D2695" s="346"/>
      <c r="E2695" s="346"/>
      <c r="F2695" s="268"/>
      <c r="G2695" s="269"/>
      <c r="H2695" s="269"/>
      <c r="I2695" s="270"/>
      <c r="J2695" s="434"/>
      <c r="K2695" s="270"/>
      <c r="L2695" s="270"/>
      <c r="M2695" s="348"/>
      <c r="N2695" s="348"/>
      <c r="O2695" s="435"/>
      <c r="P2695" s="349"/>
      <c r="Q2695" s="350"/>
      <c r="R2695" s="271"/>
      <c r="S2695" s="272"/>
      <c r="T2695" s="273"/>
      <c r="U2695" s="351"/>
      <c r="V2695" s="274"/>
      <c r="W2695" s="269"/>
      <c r="X2695" s="269"/>
      <c r="Y2695" s="275"/>
      <c r="Z2695" s="269"/>
      <c r="AA2695" s="350"/>
      <c r="AB2695" s="207"/>
      <c r="AC2695" s="352"/>
      <c r="AD2695" s="353"/>
      <c r="AE2695" s="54"/>
      <c r="AF2695" s="354"/>
      <c r="AG2695" s="355"/>
      <c r="AH2695" s="349"/>
      <c r="AI2695" s="30"/>
      <c r="AJ2695" s="30"/>
      <c r="AK2695" s="30"/>
      <c r="AL2695" s="30"/>
      <c r="AM2695" s="13"/>
      <c r="AN2695" s="13"/>
      <c r="AO2695" s="13"/>
      <c r="AP2695" s="13"/>
      <c r="AQ2695" s="13"/>
      <c r="AR2695" s="14"/>
      <c r="AS2695" s="15"/>
    </row>
    <row r="2696" spans="1:45" s="17" customFormat="1" ht="30.6" hidden="1" customHeight="1" x14ac:dyDescent="0.2">
      <c r="A2696" s="343"/>
      <c r="B2696" s="344"/>
      <c r="C2696" s="45"/>
      <c r="D2696" s="31">
        <v>3783814</v>
      </c>
      <c r="E2696" s="31">
        <v>4162666</v>
      </c>
      <c r="F2696" s="268" t="str">
        <f>IF(D2696="","",VLOOKUP(D2696,契約台帳!$A$3:$K$4986,6,FALSE)&amp;VLOOKUP(D2696,契約台帳!$A$3:$K$4986,7,FALSE)&amp;VLOOKUP(D2696,契約台帳!$A$3:$K$4986,8,FALSE)&amp;VLOOKUP(D2696,契約台帳!$A$3:$K$4986,9,FALSE)&amp;VLOOKUP(D2696,契約台帳!$A$3:$K$4986,11,FALSE))</f>
        <v>33SSNMCLBTEKV0V</v>
      </c>
      <c r="G2696" s="269" t="str">
        <f>IF(D2696="","",VLOOKUP(F2696,製品マスタ!$G$5:$H$5002,2,FALSE))</f>
        <v>S</v>
      </c>
      <c r="H2696" s="269" t="str">
        <f>IF(D2696="","",VLOOKUP(F2696,製品マスタ!$G$5:$K$5002,5,FALSE))</f>
        <v>TEKV0V</v>
      </c>
      <c r="I2696" s="270" t="str">
        <f>IF(D2696="","",VLOOKUP(F2696,製品マスタ!$G$5:$L$5002,6,FALSE))</f>
        <v>メタルミー　ＴＥ－Ｓ消　ＶＯＩＤ　Ｖ</v>
      </c>
      <c r="J2696" s="210" t="s">
        <v>935</v>
      </c>
      <c r="K2696" s="270">
        <f>IF(D2696="","",VLOOKUP(D2696,契約台帳!$A$3:$L$4986,12,FALSE))</f>
        <v>50</v>
      </c>
      <c r="L2696" s="270" t="str">
        <f>IF(D2696="","",INDEX(製品マスタ!$Q$5:$Q$5002,MATCH('S4'!F2696&amp;'S4'!K2696,製品マスタ!$AO$5:$AO$5002,0)))</f>
        <v>X44SEPA</v>
      </c>
      <c r="M2696" s="39">
        <v>1005</v>
      </c>
      <c r="N2696" s="39">
        <v>4000</v>
      </c>
      <c r="O2696" s="156">
        <v>3</v>
      </c>
      <c r="P2696" s="47">
        <v>3</v>
      </c>
      <c r="Q2696" s="213">
        <v>45603</v>
      </c>
      <c r="R2696" s="271">
        <f ca="1">IF(D2696="","",IF(OFFSET(D2696,-1,0)&lt;&gt;"","",IF(OR(J2696="リード付け",J2696="巻足し",J2696="巻返しリード付け"),M2696,VLOOKUP(D2696,契約台帳!$A$3:$N$4986,14,FALSE))))</f>
        <v>1005</v>
      </c>
      <c r="S2696" s="272">
        <f ca="1">IF(D2696="","",IF(OFFSET(D2696,-1,0)&lt;&gt;"","",IF(OR(J2696="リード付け",J2696="巻足し",J2696="巻返しリード付け"),M2696,VLOOKUP(D2696,契約台帳!$A$3:$O$4986,15,FALSE))))</f>
        <v>1005</v>
      </c>
      <c r="T2696" s="273">
        <f ca="1">IF(D2696="","",IF(J2696="リード付け",N2696,IF(J2696="巻返しリード付け",N2696,IF(J2696="巻足し",N2696*P2696+OFFSET(N2696,1,0)*OFFSET(P2696,1,0),VLOOKUP(D2696,契約台帳!$A$3:$P$4986,16,FALSE)))))</f>
        <v>12000</v>
      </c>
      <c r="U2696" s="40">
        <v>1</v>
      </c>
      <c r="V2696" s="274">
        <f ca="1">IF(D2696="","",IF(OFFSET(D2696,-2,0)=D2696,"",VLOOKUP(D2696,契約台帳!$A$3:$R$4986,18,FALSE)))</f>
        <v>3</v>
      </c>
      <c r="W2696" s="269" t="str">
        <f ca="1">IF(D2696="","",IF(T2696="","",IF(OR(J2696="巻足し",J2696="巻返しリード付け"),"",IF(J2696="巻返し",VLOOKUP(F2696&amp;K2696&amp;M2696,製品マスタ!$M$5:$AD$5002,18,FALSE),IF(OR(J2696="リード付け",J2696="巻返しリード付け"),"原反コア",IF(J2696="スリット",VLOOKUP(F2696&amp;K2696&amp;R2696,製品マスタ!$N$5:$AD$5002,17,FALSE),""))))))</f>
        <v/>
      </c>
      <c r="X2696" s="269" t="str">
        <f ca="1">IF(D2696="","",IF(T2696="","",IF(J2696="巻足し","",IF(J2696="巻返し",VLOOKUP(F2696&amp;K2696&amp;M2696,製品マスタ!$M$5:$AE$5002,19,FALSE),IF(OR(J2696="リード付け",J2696="巻返しリード付け"),"",IF(J2696="スリット",VLOOKUP(F2696&amp;K2696&amp;R2696,製品マスタ!$N$5:$AE$5002,18,FALSE),""))))))</f>
        <v/>
      </c>
      <c r="Y2696" s="275">
        <f ca="1">IF(D2696="","",IF(T2696="","",VLOOKUP(D2696,契約台帳!$A$3:$Q$4986,17,FALSE)))</f>
        <v>2</v>
      </c>
      <c r="Z2696" s="269" t="str">
        <f ca="1">IF(D2696="","",IF(T2696="","",VLOOKUP(D2696,契約台帳!$A$3:$E$4986,5,FALSE)))</f>
        <v>リンテック㈱</v>
      </c>
      <c r="AA2696" s="57"/>
      <c r="AB2696" s="207">
        <f>IFERROR((VLOOKUP(F2696&amp;K2696&amp;M2696,製品マスタ!$M$5:$AM$5002,27,FALSE)),"")</f>
        <v>0</v>
      </c>
      <c r="AC2696" s="33"/>
      <c r="AD2696" s="189"/>
      <c r="AE2696" s="54"/>
      <c r="AF2696" s="55">
        <f>+M2696*N2696*O2696/1000</f>
        <v>12060</v>
      </c>
      <c r="AG2696" s="43"/>
      <c r="AH2696" s="47"/>
      <c r="AI2696" s="30"/>
      <c r="AJ2696" s="30"/>
      <c r="AK2696" s="30"/>
      <c r="AL2696" s="30"/>
      <c r="AM2696" s="13"/>
      <c r="AN2696" s="13"/>
      <c r="AO2696" s="13"/>
      <c r="AP2696" s="13"/>
      <c r="AQ2696" s="13"/>
      <c r="AR2696" s="14"/>
      <c r="AS2696" s="15"/>
    </row>
    <row r="2697" spans="1:45" s="17" customFormat="1" ht="30.95" hidden="1" customHeight="1" x14ac:dyDescent="0.2">
      <c r="A2697" s="343"/>
      <c r="B2697" s="344"/>
      <c r="C2697" s="345"/>
      <c r="D2697" s="346"/>
      <c r="E2697" s="346"/>
      <c r="F2697" s="268"/>
      <c r="G2697" s="269"/>
      <c r="H2697" s="269"/>
      <c r="I2697" s="270"/>
      <c r="J2697" s="434"/>
      <c r="K2697" s="270"/>
      <c r="L2697" s="270"/>
      <c r="M2697" s="348"/>
      <c r="N2697" s="348"/>
      <c r="O2697" s="435"/>
      <c r="P2697" s="349"/>
      <c r="Q2697" s="350"/>
      <c r="R2697" s="271"/>
      <c r="S2697" s="272"/>
      <c r="T2697" s="273"/>
      <c r="U2697" s="351"/>
      <c r="V2697" s="274"/>
      <c r="W2697" s="269"/>
      <c r="X2697" s="269"/>
      <c r="Y2697" s="275"/>
      <c r="Z2697" s="269"/>
      <c r="AA2697" s="350"/>
      <c r="AB2697" s="207"/>
      <c r="AC2697" s="352"/>
      <c r="AD2697" s="353"/>
      <c r="AE2697" s="54"/>
      <c r="AF2697" s="354"/>
      <c r="AG2697" s="355"/>
      <c r="AH2697" s="349"/>
      <c r="AI2697" s="30"/>
      <c r="AJ2697" s="30"/>
      <c r="AK2697" s="30"/>
      <c r="AL2697" s="30"/>
      <c r="AM2697" s="13"/>
      <c r="AN2697" s="13"/>
      <c r="AO2697" s="13"/>
      <c r="AP2697" s="13"/>
      <c r="AQ2697" s="13"/>
      <c r="AR2697" s="14"/>
      <c r="AS2697" s="15"/>
    </row>
    <row r="2698" spans="1:45" s="17" customFormat="1" ht="30.6" hidden="1" customHeight="1" x14ac:dyDescent="0.2">
      <c r="A2698" s="343" t="s">
        <v>643</v>
      </c>
      <c r="B2698" s="344" t="s">
        <v>444</v>
      </c>
      <c r="C2698" s="45"/>
      <c r="D2698" s="31">
        <v>3783799</v>
      </c>
      <c r="E2698" s="31">
        <v>4162693</v>
      </c>
      <c r="F2698" s="268" t="str">
        <f>IF(D2698="","",VLOOKUP(D2698,契約台帳!$A$3:$K$4986,6,FALSE)&amp;VLOOKUP(D2698,契約台帳!$A$3:$K$4986,7,FALSE)&amp;VLOOKUP(D2698,契約台帳!$A$3:$K$4986,8,FALSE)&amp;VLOOKUP(D2698,契約台帳!$A$3:$K$4986,9,FALSE)&amp;VLOOKUP(D2698,契約台帳!$A$3:$K$4986,11,FALSE))</f>
        <v>3SNMCLBMSNEYK</v>
      </c>
      <c r="G2698" s="269" t="str">
        <f>IF(D2698="","",VLOOKUP(F2698,製品マスタ!$G$5:$H$5002,2,FALSE))</f>
        <v>S</v>
      </c>
      <c r="H2698" s="269" t="str">
        <f>IF(D2698="","",VLOOKUP(F2698,製品マスタ!$G$5:$K$5002,5,FALSE))</f>
        <v>MSNEYK</v>
      </c>
      <c r="I2698" s="270" t="str">
        <f>IF(D2698="","",VLOOKUP(F2698,製品マスタ!$G$5:$L$5002,6,FALSE))</f>
        <v>ＭＳＮ　ＥＹＫ</v>
      </c>
      <c r="J2698" s="210" t="s">
        <v>935</v>
      </c>
      <c r="K2698" s="270">
        <f>IF(D2698="","",VLOOKUP(D2698,契約台帳!$A$3:$L$4986,12,FALSE))</f>
        <v>50</v>
      </c>
      <c r="L2698" s="270" t="str">
        <f>IF(D2698="","",INDEX(製品マスタ!$Q$5:$Q$5002,MATCH('S4'!F2698&amp;'S4'!K2698,製品マスタ!$AO$5:$AO$5002,0)))</f>
        <v>N-MAT</v>
      </c>
      <c r="M2698" s="39">
        <v>1200</v>
      </c>
      <c r="N2698" s="39">
        <v>6000</v>
      </c>
      <c r="O2698" s="156">
        <v>6</v>
      </c>
      <c r="P2698" s="47">
        <v>2</v>
      </c>
      <c r="Q2698" s="213">
        <v>45604</v>
      </c>
      <c r="R2698" s="271">
        <f ca="1">IF(D2698="","",IF(OFFSET(D2698,-1,0)&lt;&gt;"","",IF(OR(J2698="リード付け",J2698="巻足し",J2698="巻返しリード付け"),M2698,VLOOKUP(D2698,契約台帳!$A$3:$N$4986,14,FALSE))))</f>
        <v>1200</v>
      </c>
      <c r="S2698" s="272">
        <f ca="1">IF(D2698="","",IF(OFFSET(D2698,-1,0)&lt;&gt;"","",IF(OR(J2698="リード付け",J2698="巻足し",J2698="巻返しリード付け"),M2698,VLOOKUP(D2698,契約台帳!$A$3:$O$4986,15,FALSE))))</f>
        <v>1200</v>
      </c>
      <c r="T2698" s="273">
        <f ca="1">IF(D2698="","",IF(J2698="リード付け",N2698,IF(J2698="巻返しリード付け",N2698,IF(J2698="巻足し",N2698*P2698+OFFSET(N2698,1,0)*OFFSET(P2698,1,0),VLOOKUP(D2698,契約台帳!$A$3:$P$4986,16,FALSE)))))</f>
        <v>12000</v>
      </c>
      <c r="U2698" s="40">
        <v>3</v>
      </c>
      <c r="V2698" s="274">
        <f ca="1">IF(D2698="","",IF(OFFSET(D2698,-2,0)=D2698,"",VLOOKUP(D2698,契約台帳!$A$3:$R$4986,18,FALSE)))</f>
        <v>6</v>
      </c>
      <c r="W2698" s="269" t="str">
        <f ca="1">IF(D2698="","",IF(T2698="","",IF(OR(J2698="巻足し",J2698="巻返しリード付け"),"",IF(J2698="巻返し",VLOOKUP(F2698&amp;K2698&amp;M2698,製品マスタ!$M$5:$AD$5002,18,FALSE),IF(OR(J2698="リード付け",J2698="巻返しリード付け"),"原反コア",IF(J2698="スリット",VLOOKUP(F2698&amp;K2698&amp;R2698,製品マスタ!$N$5:$AD$5002,17,FALSE),""))))))</f>
        <v/>
      </c>
      <c r="X2698" s="269" t="str">
        <f ca="1">IF(D2698="","",IF(T2698="","",IF(J2698="巻足し","",IF(J2698="巻返し",VLOOKUP(F2698&amp;K2698&amp;M2698,製品マスタ!$M$5:$AE$5002,19,FALSE),IF(OR(J2698="リード付け",J2698="巻返しリード付け"),"",IF(J2698="スリット",VLOOKUP(F2698&amp;K2698&amp;R2698,製品マスタ!$N$5:$AE$5002,18,FALSE),""))))))</f>
        <v/>
      </c>
      <c r="Y2698" s="275">
        <f ca="1">IF(D2698="","",IF(T2698="","",VLOOKUP(D2698,契約台帳!$A$3:$Q$4986,17,FALSE)))</f>
        <v>2</v>
      </c>
      <c r="Z2698" s="269" t="str">
        <f ca="1">IF(D2698="","",IF(T2698="","",VLOOKUP(D2698,契約台帳!$A$3:$E$4986,5,FALSE)))</f>
        <v>大阪シーリング印刷㈱</v>
      </c>
      <c r="AA2698" s="57"/>
      <c r="AB2698" s="207" t="str">
        <f>IFERROR((VLOOKUP(F2698&amp;K2698&amp;M2698,製品マスタ!$M$5:$AM$5002,27,FALSE)),"")</f>
        <v>原反ケース再利用</v>
      </c>
      <c r="AC2698" s="33"/>
      <c r="AD2698" s="189"/>
      <c r="AE2698" s="54"/>
      <c r="AF2698" s="55">
        <f>+M2698*N2698*O2698/1000</f>
        <v>43200</v>
      </c>
      <c r="AG2698" s="43"/>
      <c r="AH2698" s="47"/>
      <c r="AI2698" s="30"/>
      <c r="AJ2698" s="30"/>
      <c r="AK2698" s="30"/>
      <c r="AL2698" s="30"/>
      <c r="AM2698" s="13"/>
      <c r="AN2698" s="13"/>
      <c r="AO2698" s="13"/>
      <c r="AP2698" s="13"/>
      <c r="AQ2698" s="13"/>
      <c r="AR2698" s="14"/>
      <c r="AS2698" s="15"/>
    </row>
    <row r="2699" spans="1:45" s="17" customFormat="1" ht="30.95" hidden="1" customHeight="1" x14ac:dyDescent="0.2">
      <c r="A2699" s="343"/>
      <c r="B2699" s="344"/>
      <c r="C2699" s="345"/>
      <c r="D2699" s="346"/>
      <c r="E2699" s="346"/>
      <c r="F2699" s="268"/>
      <c r="G2699" s="269"/>
      <c r="H2699" s="269"/>
      <c r="I2699" s="270"/>
      <c r="J2699" s="434"/>
      <c r="K2699" s="270"/>
      <c r="L2699" s="270"/>
      <c r="M2699" s="348"/>
      <c r="N2699" s="348"/>
      <c r="O2699" s="435"/>
      <c r="P2699" s="349"/>
      <c r="Q2699" s="350"/>
      <c r="R2699" s="271"/>
      <c r="S2699" s="272"/>
      <c r="T2699" s="273"/>
      <c r="U2699" s="351"/>
      <c r="V2699" s="274"/>
      <c r="W2699" s="269"/>
      <c r="X2699" s="269"/>
      <c r="Y2699" s="275"/>
      <c r="Z2699" s="269"/>
      <c r="AA2699" s="350"/>
      <c r="AB2699" s="207"/>
      <c r="AC2699" s="352"/>
      <c r="AD2699" s="353"/>
      <c r="AE2699" s="54"/>
      <c r="AF2699" s="354"/>
      <c r="AG2699" s="355"/>
      <c r="AH2699" s="349"/>
      <c r="AI2699" s="30"/>
      <c r="AJ2699" s="30"/>
      <c r="AK2699" s="30"/>
      <c r="AL2699" s="30"/>
      <c r="AM2699" s="13"/>
      <c r="AN2699" s="13"/>
      <c r="AO2699" s="13"/>
      <c r="AP2699" s="13"/>
      <c r="AQ2699" s="13"/>
      <c r="AR2699" s="14"/>
      <c r="AS2699" s="15"/>
    </row>
    <row r="2700" spans="1:45" s="17" customFormat="1" ht="30.6" hidden="1" customHeight="1" x14ac:dyDescent="0.2">
      <c r="A2700" s="343"/>
      <c r="B2700" s="344"/>
      <c r="C2700" s="45"/>
      <c r="D2700" s="31">
        <v>3783821</v>
      </c>
      <c r="E2700" s="31">
        <v>4162697</v>
      </c>
      <c r="F2700" s="268" t="str">
        <f>IF(D2700="","",VLOOKUP(D2700,契約台帳!$A$3:$K$4986,6,FALSE)&amp;VLOOKUP(D2700,契約台帳!$A$3:$K$4986,7,FALSE)&amp;VLOOKUP(D2700,契約台帳!$A$3:$K$4986,8,FALSE)&amp;VLOOKUP(D2700,契約台帳!$A$3:$K$4986,9,FALSE)&amp;VLOOKUP(D2700,契約台帳!$A$3:$K$4986,11,FALSE))</f>
        <v>3SYMLBMSSMBF</v>
      </c>
      <c r="G2700" s="269" t="str">
        <f>IF(D2700="","",VLOOKUP(F2700,製品マスタ!$G$5:$H$5002,2,FALSE))</f>
        <v>S</v>
      </c>
      <c r="H2700" s="269" t="str">
        <f>IF(D2700="","",VLOOKUP(F2700,製品マスタ!$G$5:$K$5002,5,FALSE))</f>
        <v>MSSMBF</v>
      </c>
      <c r="I2700" s="270" t="str">
        <f>IF(D2700="","",VLOOKUP(F2700,製品マスタ!$G$5:$L$5002,6,FALSE))</f>
        <v>ＭＥＴＡＬＵＭＹ　ＳＩＬＶＥＲ　Ｓ－ＭＡＴＴＥ　Ｓ２８ＭＭ　Ｂ</v>
      </c>
      <c r="J2700" s="210" t="s">
        <v>935</v>
      </c>
      <c r="K2700" s="270">
        <f>IF(D2700="","",VLOOKUP(D2700,契約台帳!$A$3:$L$4986,12,FALSE))</f>
        <v>25</v>
      </c>
      <c r="L2700" s="270" t="str">
        <f>IF(D2700="","",INDEX(製品マスタ!$Q$5:$Q$5002,MATCH('S4'!F2700&amp;'S4'!K2700,製品マスタ!$AO$5:$AO$5002,0)))</f>
        <v>LI-MAT</v>
      </c>
      <c r="M2700" s="39">
        <v>1120</v>
      </c>
      <c r="N2700" s="39">
        <v>8000</v>
      </c>
      <c r="O2700" s="156">
        <v>2</v>
      </c>
      <c r="P2700" s="47">
        <v>2</v>
      </c>
      <c r="Q2700" s="213">
        <v>45603</v>
      </c>
      <c r="R2700" s="271">
        <f ca="1">IF(D2700="","",IF(OFFSET(D2700,-1,0)&lt;&gt;"","",IF(OR(J2700="リード付け",J2700="巻足し",J2700="巻返しリード付け"),M2700,VLOOKUP(D2700,契約台帳!$A$3:$N$4986,14,FALSE))))</f>
        <v>1120</v>
      </c>
      <c r="S2700" s="272">
        <f ca="1">IF(D2700="","",IF(OFFSET(D2700,-1,0)&lt;&gt;"","",IF(OR(J2700="リード付け",J2700="巻足し",J2700="巻返しリード付け"),M2700,VLOOKUP(D2700,契約台帳!$A$3:$O$4986,15,FALSE))))</f>
        <v>1120</v>
      </c>
      <c r="T2700" s="273">
        <f ca="1">IF(D2700="","",IF(J2700="リード付け",N2700,IF(J2700="巻返しリード付け",N2700,IF(J2700="巻足し",N2700*P2700+OFFSET(N2700,1,0)*OFFSET(P2700,1,0),VLOOKUP(D2700,契約台帳!$A$3:$P$4986,16,FALSE)))))</f>
        <v>16000</v>
      </c>
      <c r="U2700" s="40">
        <v>1</v>
      </c>
      <c r="V2700" s="274">
        <f ca="1">IF(D2700="","",IF(OFFSET(D2700,-2,0)=D2700,"",VLOOKUP(D2700,契約台帳!$A$3:$R$4986,18,FALSE)))</f>
        <v>2</v>
      </c>
      <c r="W2700" s="269" t="str">
        <f ca="1">IF(D2700="","",IF(T2700="","",IF(OR(J2700="巻足し",J2700="巻返しリード付け"),"",IF(J2700="巻返し",VLOOKUP(F2700&amp;K2700&amp;M2700,製品マスタ!$M$5:$AD$5002,18,FALSE),IF(OR(J2700="リード付け",J2700="巻返しリード付け"),"原反コア",IF(J2700="スリット",VLOOKUP(F2700&amp;K2700&amp;R2700,製品マスタ!$N$5:$AD$5002,17,FALSE),""))))))</f>
        <v/>
      </c>
      <c r="X2700" s="269" t="str">
        <f ca="1">IF(D2700="","",IF(T2700="","",IF(J2700="巻足し","",IF(J2700="巻返し",VLOOKUP(F2700&amp;K2700&amp;M2700,製品マスタ!$M$5:$AE$5002,19,FALSE),IF(OR(J2700="リード付け",J2700="巻返しリード付け"),"",IF(J2700="スリット",VLOOKUP(F2700&amp;K2700&amp;R2700,製品マスタ!$N$5:$AE$5002,18,FALSE),""))))))</f>
        <v/>
      </c>
      <c r="Y2700" s="275">
        <f ca="1">IF(D2700="","",IF(T2700="","",VLOOKUP(D2700,契約台帳!$A$3:$Q$4986,17,FALSE)))</f>
        <v>2</v>
      </c>
      <c r="Z2700" s="269" t="str">
        <f ca="1">IF(D2700="","",IF(T2700="","",VLOOKUP(D2700,契約台帳!$A$3:$E$4986,5,FALSE)))</f>
        <v>リンテック㈱</v>
      </c>
      <c r="AA2700" s="57"/>
      <c r="AB2700" s="207">
        <f>IFERROR((VLOOKUP(F2700&amp;K2700&amp;M2700,製品マスタ!$M$5:$AM$5002,27,FALSE)),"")</f>
        <v>0</v>
      </c>
      <c r="AC2700" s="33"/>
      <c r="AD2700" s="189"/>
      <c r="AE2700" s="54"/>
      <c r="AF2700" s="55">
        <f>+M2700*N2700*O2700/1000</f>
        <v>17920</v>
      </c>
      <c r="AG2700" s="43"/>
      <c r="AH2700" s="47"/>
      <c r="AI2700" s="30"/>
      <c r="AJ2700" s="30"/>
      <c r="AK2700" s="30"/>
      <c r="AL2700" s="30"/>
      <c r="AM2700" s="13"/>
      <c r="AN2700" s="13"/>
      <c r="AO2700" s="13"/>
      <c r="AP2700" s="13"/>
      <c r="AQ2700" s="13"/>
      <c r="AR2700" s="14"/>
      <c r="AS2700" s="15"/>
    </row>
    <row r="2701" spans="1:45" s="17" customFormat="1" ht="30.95" hidden="1" customHeight="1" x14ac:dyDescent="0.2">
      <c r="A2701" s="343"/>
      <c r="B2701" s="344"/>
      <c r="C2701" s="345"/>
      <c r="D2701" s="346"/>
      <c r="E2701" s="346"/>
      <c r="F2701" s="268"/>
      <c r="G2701" s="269"/>
      <c r="H2701" s="269"/>
      <c r="I2701" s="270"/>
      <c r="J2701" s="434"/>
      <c r="K2701" s="270"/>
      <c r="L2701" s="270"/>
      <c r="M2701" s="348"/>
      <c r="N2701" s="348"/>
      <c r="O2701" s="435"/>
      <c r="P2701" s="349"/>
      <c r="Q2701" s="350"/>
      <c r="R2701" s="271"/>
      <c r="S2701" s="272"/>
      <c r="T2701" s="273"/>
      <c r="U2701" s="351"/>
      <c r="V2701" s="274"/>
      <c r="W2701" s="269"/>
      <c r="X2701" s="269"/>
      <c r="Y2701" s="275"/>
      <c r="Z2701" s="269"/>
      <c r="AA2701" s="350"/>
      <c r="AB2701" s="207"/>
      <c r="AC2701" s="352"/>
      <c r="AD2701" s="353"/>
      <c r="AE2701" s="54"/>
      <c r="AF2701" s="354"/>
      <c r="AG2701" s="355"/>
      <c r="AH2701" s="349"/>
      <c r="AI2701" s="30"/>
      <c r="AJ2701" s="30"/>
      <c r="AK2701" s="30"/>
      <c r="AL2701" s="30"/>
      <c r="AM2701" s="13"/>
      <c r="AN2701" s="13"/>
      <c r="AO2701" s="13"/>
      <c r="AP2701" s="13"/>
      <c r="AQ2701" s="13"/>
      <c r="AR2701" s="14"/>
      <c r="AS2701" s="15"/>
    </row>
    <row r="2702" spans="1:45" s="17" customFormat="1" ht="30.6" hidden="1" customHeight="1" x14ac:dyDescent="0.2">
      <c r="A2702" s="343" t="s">
        <v>3315</v>
      </c>
      <c r="B2702" s="344" t="s">
        <v>3294</v>
      </c>
      <c r="C2702" s="45"/>
      <c r="D2702" s="31">
        <v>3783804</v>
      </c>
      <c r="E2702" s="31">
        <v>4162684</v>
      </c>
      <c r="F2702" s="268" t="str">
        <f>IF(D2702="","",VLOOKUP(D2702,契約台帳!$A$3:$K$4986,6,FALSE)&amp;VLOOKUP(D2702,契約台帳!$A$3:$K$4986,7,FALSE)&amp;VLOOKUP(D2702,契約台帳!$A$3:$K$4986,8,FALSE)&amp;VLOOKUP(D2702,契約台帳!$A$3:$K$4986,9,FALSE)&amp;VLOOKUP(D2702,契約台帳!$A$3:$K$4986,11,FALSE))</f>
        <v>3SNMLBMNGKKBF</v>
      </c>
      <c r="G2702" s="269" t="str">
        <f>IF(D2702="","",VLOOKUP(F2702,製品マスタ!$G$5:$H$5002,2,FALSE))</f>
        <v>S</v>
      </c>
      <c r="H2702" s="269" t="str">
        <f>IF(D2702="","",VLOOKUP(F2702,製品マスタ!$G$5:$K$5002,5,FALSE))</f>
        <v>MNGKKBF</v>
      </c>
      <c r="I2702" s="270" t="str">
        <f>IF(D2702="","",VLOOKUP(F2702,製品マスタ!$G$5:$L$5002,6,FALSE))</f>
        <v>メタルミー　ネーマー銀消改　Ｂ</v>
      </c>
      <c r="J2702" s="210" t="s">
        <v>935</v>
      </c>
      <c r="K2702" s="270">
        <f>IF(D2702="","",VLOOKUP(D2702,契約台帳!$A$3:$L$4986,12,FALSE))</f>
        <v>50</v>
      </c>
      <c r="L2702" s="270" t="str">
        <f>IF(D2702="","",INDEX(製品マスタ!$Q$5:$Q$5002,MATCH('S4'!F2702&amp;'S4'!K2702,製品マスタ!$AO$5:$AO$5002,0)))</f>
        <v>S99-MAT</v>
      </c>
      <c r="M2702" s="39">
        <v>1120</v>
      </c>
      <c r="N2702" s="39">
        <v>4000</v>
      </c>
      <c r="O2702" s="156">
        <v>18</v>
      </c>
      <c r="P2702" s="47">
        <v>3</v>
      </c>
      <c r="Q2702" s="213">
        <v>45604</v>
      </c>
      <c r="R2702" s="271">
        <f ca="1">IF(D2702="","",IF(OFFSET(D2702,-1,0)&lt;&gt;"","",IF(OR(J2702="リード付け",J2702="巻足し",J2702="巻返しリード付け"),M2702,VLOOKUP(D2702,契約台帳!$A$3:$N$4986,14,FALSE))))</f>
        <v>1120</v>
      </c>
      <c r="S2702" s="272">
        <f ca="1">IF(D2702="","",IF(OFFSET(D2702,-1,0)&lt;&gt;"","",IF(OR(J2702="リード付け",J2702="巻足し",J2702="巻返しリード付け"),M2702,VLOOKUP(D2702,契約台帳!$A$3:$O$4986,15,FALSE))))</f>
        <v>1120</v>
      </c>
      <c r="T2702" s="273">
        <f ca="1">IF(D2702="","",IF(J2702="リード付け",N2702,IF(J2702="巻返しリード付け",N2702,IF(J2702="巻足し",N2702*P2702+OFFSET(N2702,1,0)*OFFSET(P2702,1,0),VLOOKUP(D2702,契約台帳!$A$3:$P$4986,16,FALSE)))))</f>
        <v>12000</v>
      </c>
      <c r="U2702" s="40">
        <v>6</v>
      </c>
      <c r="V2702" s="274">
        <f ca="1">IF(D2702="","",IF(OFFSET(D2702,-2,0)=D2702,"",VLOOKUP(D2702,契約台帳!$A$3:$R$4986,18,FALSE)))</f>
        <v>24</v>
      </c>
      <c r="W2702" s="269" t="str">
        <f ca="1">IF(D2702="","",IF(T2702="","",IF(OR(J2702="巻足し",J2702="巻返しリード付け"),"",IF(J2702="巻返し",VLOOKUP(F2702&amp;K2702&amp;M2702,製品マスタ!$M$5:$AD$5002,18,FALSE),IF(OR(J2702="リード付け",J2702="巻返しリード付け"),"原反コア",IF(J2702="スリット",VLOOKUP(F2702&amp;K2702&amp;R2702,製品マスタ!$N$5:$AD$5002,17,FALSE),""))))))</f>
        <v/>
      </c>
      <c r="X2702" s="269" t="str">
        <f ca="1">IF(D2702="","",IF(T2702="","",IF(J2702="巻足し","",IF(J2702="巻返し",VLOOKUP(F2702&amp;K2702&amp;M2702,製品マスタ!$M$5:$AE$5002,19,FALSE),IF(OR(J2702="リード付け",J2702="巻返しリード付け"),"",IF(J2702="スリット",VLOOKUP(F2702&amp;K2702&amp;R2702,製品マスタ!$N$5:$AE$5002,18,FALSE),""))))))</f>
        <v/>
      </c>
      <c r="Y2702" s="275">
        <f ca="1">IF(D2702="","",IF(T2702="","",VLOOKUP(D2702,契約台帳!$A$3:$Q$4986,17,FALSE)))</f>
        <v>2</v>
      </c>
      <c r="Z2702" s="269" t="str">
        <f ca="1">IF(D2702="","",IF(T2702="","",VLOOKUP(D2702,契約台帳!$A$3:$E$4986,5,FALSE)))</f>
        <v>リンテック㈱</v>
      </c>
      <c r="AA2702" s="57"/>
      <c r="AB2702" s="207">
        <f>IFERROR((VLOOKUP(F2702&amp;K2702&amp;M2702,製品マスタ!$M$5:$AM$5002,27,FALSE)),"")</f>
        <v>0</v>
      </c>
      <c r="AC2702" s="33"/>
      <c r="AD2702" s="189"/>
      <c r="AE2702" s="54"/>
      <c r="AF2702" s="55">
        <f>+M2702*N2702*O2702/1000</f>
        <v>80640</v>
      </c>
      <c r="AG2702" s="43"/>
      <c r="AH2702" s="47"/>
      <c r="AI2702" s="30"/>
      <c r="AJ2702" s="30"/>
      <c r="AK2702" s="30"/>
      <c r="AL2702" s="30"/>
      <c r="AM2702" s="13"/>
      <c r="AN2702" s="13"/>
      <c r="AO2702" s="13"/>
      <c r="AP2702" s="13"/>
      <c r="AQ2702" s="13"/>
      <c r="AR2702" s="14"/>
      <c r="AS2702" s="15"/>
    </row>
    <row r="2703" spans="1:45" s="17" customFormat="1" ht="30.95" hidden="1" customHeight="1" x14ac:dyDescent="0.2">
      <c r="A2703" s="343"/>
      <c r="B2703" s="344"/>
      <c r="C2703" s="345"/>
      <c r="D2703" s="346"/>
      <c r="E2703" s="346"/>
      <c r="F2703" s="268"/>
      <c r="G2703" s="269"/>
      <c r="H2703" s="269"/>
      <c r="I2703" s="270"/>
      <c r="J2703" s="434"/>
      <c r="K2703" s="270"/>
      <c r="L2703" s="270"/>
      <c r="M2703" s="348"/>
      <c r="N2703" s="348"/>
      <c r="O2703" s="435"/>
      <c r="P2703" s="349"/>
      <c r="Q2703" s="350"/>
      <c r="R2703" s="271"/>
      <c r="S2703" s="272"/>
      <c r="T2703" s="273"/>
      <c r="U2703" s="351"/>
      <c r="V2703" s="274"/>
      <c r="W2703" s="269"/>
      <c r="X2703" s="269"/>
      <c r="Y2703" s="275"/>
      <c r="Z2703" s="269"/>
      <c r="AA2703" s="350"/>
      <c r="AB2703" s="207"/>
      <c r="AC2703" s="352"/>
      <c r="AD2703" s="353"/>
      <c r="AE2703" s="54"/>
      <c r="AF2703" s="354"/>
      <c r="AG2703" s="355"/>
      <c r="AH2703" s="349"/>
      <c r="AI2703" s="30"/>
      <c r="AJ2703" s="30"/>
      <c r="AK2703" s="30"/>
      <c r="AL2703" s="30"/>
      <c r="AM2703" s="13"/>
      <c r="AN2703" s="13"/>
      <c r="AO2703" s="13"/>
      <c r="AP2703" s="13"/>
      <c r="AQ2703" s="13"/>
      <c r="AR2703" s="14"/>
      <c r="AS2703" s="15"/>
    </row>
    <row r="2704" spans="1:45" s="17" customFormat="1" ht="30.95" hidden="1" customHeight="1" x14ac:dyDescent="0.2">
      <c r="A2704" s="343" t="s">
        <v>3316</v>
      </c>
      <c r="B2704" s="344" t="s">
        <v>3310</v>
      </c>
      <c r="C2704" s="345"/>
      <c r="D2704" s="346"/>
      <c r="E2704" s="346"/>
      <c r="F2704" s="268"/>
      <c r="G2704" s="269"/>
      <c r="H2704" s="269"/>
      <c r="I2704" s="270"/>
      <c r="J2704" s="434" t="s">
        <v>3308</v>
      </c>
      <c r="K2704" s="270"/>
      <c r="L2704" s="270"/>
      <c r="M2704" s="348"/>
      <c r="N2704" s="348"/>
      <c r="O2704" s="435"/>
      <c r="P2704" s="349"/>
      <c r="Q2704" s="350"/>
      <c r="R2704" s="271"/>
      <c r="S2704" s="272"/>
      <c r="T2704" s="273"/>
      <c r="U2704" s="351"/>
      <c r="V2704" s="274"/>
      <c r="W2704" s="269"/>
      <c r="X2704" s="269"/>
      <c r="Y2704" s="275"/>
      <c r="Z2704" s="269"/>
      <c r="AA2704" s="350"/>
      <c r="AB2704" s="207"/>
      <c r="AC2704" s="352"/>
      <c r="AD2704" s="353"/>
      <c r="AE2704" s="54"/>
      <c r="AF2704" s="354"/>
      <c r="AG2704" s="355"/>
      <c r="AH2704" s="349"/>
      <c r="AI2704" s="30"/>
      <c r="AJ2704" s="30"/>
      <c r="AK2704" s="30"/>
      <c r="AL2704" s="30"/>
      <c r="AM2704" s="13"/>
      <c r="AN2704" s="13"/>
      <c r="AO2704" s="13"/>
      <c r="AP2704" s="13"/>
      <c r="AQ2704" s="13"/>
      <c r="AR2704" s="14"/>
      <c r="AS2704" s="15"/>
    </row>
    <row r="2705" spans="1:45" s="17" customFormat="1" ht="30.95" hidden="1" customHeight="1" x14ac:dyDescent="0.2">
      <c r="A2705" s="343"/>
      <c r="B2705" s="344"/>
      <c r="C2705" s="345"/>
      <c r="D2705" s="346"/>
      <c r="E2705" s="346"/>
      <c r="F2705" s="268"/>
      <c r="G2705" s="269"/>
      <c r="H2705" s="269"/>
      <c r="I2705" s="270"/>
      <c r="J2705" s="434"/>
      <c r="K2705" s="270"/>
      <c r="L2705" s="270"/>
      <c r="M2705" s="348"/>
      <c r="N2705" s="348"/>
      <c r="O2705" s="435"/>
      <c r="P2705" s="349"/>
      <c r="Q2705" s="350"/>
      <c r="R2705" s="271"/>
      <c r="S2705" s="272"/>
      <c r="T2705" s="273"/>
      <c r="U2705" s="351"/>
      <c r="V2705" s="274"/>
      <c r="W2705" s="269"/>
      <c r="X2705" s="269"/>
      <c r="Y2705" s="275"/>
      <c r="Z2705" s="269"/>
      <c r="AA2705" s="350"/>
      <c r="AB2705" s="207"/>
      <c r="AC2705" s="352"/>
      <c r="AD2705" s="353"/>
      <c r="AE2705" s="54"/>
      <c r="AF2705" s="354"/>
      <c r="AG2705" s="355"/>
      <c r="AH2705" s="349"/>
      <c r="AI2705" s="30"/>
      <c r="AJ2705" s="30"/>
      <c r="AK2705" s="30"/>
      <c r="AL2705" s="30"/>
      <c r="AM2705" s="13"/>
      <c r="AN2705" s="13"/>
      <c r="AO2705" s="13"/>
      <c r="AP2705" s="13"/>
      <c r="AQ2705" s="13"/>
      <c r="AR2705" s="14"/>
      <c r="AS2705" s="15"/>
    </row>
    <row r="2706" spans="1:45" s="17" customFormat="1" ht="30.6" hidden="1" customHeight="1" x14ac:dyDescent="0.2">
      <c r="A2706" s="343" t="s">
        <v>3317</v>
      </c>
      <c r="B2706" s="344" t="s">
        <v>3301</v>
      </c>
      <c r="C2706" s="45"/>
      <c r="D2706" s="31">
        <v>3783804</v>
      </c>
      <c r="E2706" s="31">
        <v>4162684</v>
      </c>
      <c r="F2706" s="268" t="str">
        <f>IF(D2706="","",VLOOKUP(D2706,契約台帳!$A$3:$K$4986,6,FALSE)&amp;VLOOKUP(D2706,契約台帳!$A$3:$K$4986,7,FALSE)&amp;VLOOKUP(D2706,契約台帳!$A$3:$K$4986,8,FALSE)&amp;VLOOKUP(D2706,契約台帳!$A$3:$K$4986,9,FALSE)&amp;VLOOKUP(D2706,契約台帳!$A$3:$K$4986,11,FALSE))</f>
        <v>3SNMLBMNGKKBF</v>
      </c>
      <c r="G2706" s="269" t="str">
        <f>IF(D2706="","",VLOOKUP(F2706,製品マスタ!$G$5:$H$5002,2,FALSE))</f>
        <v>S</v>
      </c>
      <c r="H2706" s="269" t="str">
        <f>IF(D2706="","",VLOOKUP(F2706,製品マスタ!$G$5:$K$5002,5,FALSE))</f>
        <v>MNGKKBF</v>
      </c>
      <c r="I2706" s="270" t="str">
        <f>IF(D2706="","",VLOOKUP(F2706,製品マスタ!$G$5:$L$5002,6,FALSE))</f>
        <v>メタルミー　ネーマー銀消改　Ｂ</v>
      </c>
      <c r="J2706" s="210" t="s">
        <v>935</v>
      </c>
      <c r="K2706" s="270">
        <f>IF(D2706="","",VLOOKUP(D2706,契約台帳!$A$3:$L$4986,12,FALSE))</f>
        <v>50</v>
      </c>
      <c r="L2706" s="270" t="str">
        <f>IF(D2706="","",INDEX(製品マスタ!$Q$5:$Q$5002,MATCH('S4'!F2706&amp;'S4'!K2706,製品マスタ!$AO$5:$AO$5002,0)))</f>
        <v>S99-MAT</v>
      </c>
      <c r="M2706" s="39">
        <v>1120</v>
      </c>
      <c r="N2706" s="39">
        <v>4000</v>
      </c>
      <c r="O2706" s="156">
        <v>6</v>
      </c>
      <c r="P2706" s="47">
        <v>3</v>
      </c>
      <c r="Q2706" s="213">
        <v>45604</v>
      </c>
      <c r="R2706" s="271">
        <f ca="1">IF(D2706="","",IF(OFFSET(D2706,-1,0)&lt;&gt;"","",IF(OR(J2706="リード付け",J2706="巻足し",J2706="巻返しリード付け"),M2706,VLOOKUP(D2706,契約台帳!$A$3:$N$4986,14,FALSE))))</f>
        <v>1120</v>
      </c>
      <c r="S2706" s="272">
        <f ca="1">IF(D2706="","",IF(OFFSET(D2706,-1,0)&lt;&gt;"","",IF(OR(J2706="リード付け",J2706="巻足し",J2706="巻返しリード付け"),M2706,VLOOKUP(D2706,契約台帳!$A$3:$O$4986,15,FALSE))))</f>
        <v>1120</v>
      </c>
      <c r="T2706" s="273">
        <f ca="1">IF(D2706="","",IF(J2706="リード付け",N2706,IF(J2706="巻返しリード付け",N2706,IF(J2706="巻足し",N2706*P2706+OFFSET(N2706,1,0)*OFFSET(P2706,1,0),VLOOKUP(D2706,契約台帳!$A$3:$P$4986,16,FALSE)))))</f>
        <v>12000</v>
      </c>
      <c r="U2706" s="40">
        <v>2</v>
      </c>
      <c r="V2706" s="274">
        <f ca="1">IF(D2706="","",IF(OFFSET(D2706,-2,0)=D2706,"",VLOOKUP(D2706,契約台帳!$A$3:$R$4986,18,FALSE)))</f>
        <v>24</v>
      </c>
      <c r="W2706" s="269" t="str">
        <f ca="1">IF(D2706="","",IF(T2706="","",IF(OR(J2706="巻足し",J2706="巻返しリード付け"),"",IF(J2706="巻返し",VLOOKUP(F2706&amp;K2706&amp;M2706,製品マスタ!$M$5:$AD$5002,18,FALSE),IF(OR(J2706="リード付け",J2706="巻返しリード付け"),"原反コア",IF(J2706="スリット",VLOOKUP(F2706&amp;K2706&amp;R2706,製品マスタ!$N$5:$AD$5002,17,FALSE),""))))))</f>
        <v/>
      </c>
      <c r="X2706" s="269" t="str">
        <f ca="1">IF(D2706="","",IF(T2706="","",IF(J2706="巻足し","",IF(J2706="巻返し",VLOOKUP(F2706&amp;K2706&amp;M2706,製品マスタ!$M$5:$AE$5002,19,FALSE),IF(OR(J2706="リード付け",J2706="巻返しリード付け"),"",IF(J2706="スリット",VLOOKUP(F2706&amp;K2706&amp;R2706,製品マスタ!$N$5:$AE$5002,18,FALSE),""))))))</f>
        <v/>
      </c>
      <c r="Y2706" s="275">
        <f ca="1">IF(D2706="","",IF(T2706="","",VLOOKUP(D2706,契約台帳!$A$3:$Q$4986,17,FALSE)))</f>
        <v>2</v>
      </c>
      <c r="Z2706" s="269" t="str">
        <f ca="1">IF(D2706="","",IF(T2706="","",VLOOKUP(D2706,契約台帳!$A$3:$E$4986,5,FALSE)))</f>
        <v>リンテック㈱</v>
      </c>
      <c r="AA2706" s="57"/>
      <c r="AB2706" s="207">
        <f>IFERROR((VLOOKUP(F2706&amp;K2706&amp;M2706,製品マスタ!$M$5:$AM$5002,27,FALSE)),"")</f>
        <v>0</v>
      </c>
      <c r="AC2706" s="33"/>
      <c r="AD2706" s="189"/>
      <c r="AE2706" s="54"/>
      <c r="AF2706" s="55">
        <f>+M2706*N2706*O2706/1000</f>
        <v>26880</v>
      </c>
      <c r="AG2706" s="43"/>
      <c r="AH2706" s="47"/>
      <c r="AI2706" s="30"/>
      <c r="AJ2706" s="30"/>
      <c r="AK2706" s="30"/>
      <c r="AL2706" s="30"/>
      <c r="AM2706" s="13"/>
      <c r="AN2706" s="13"/>
      <c r="AO2706" s="13"/>
      <c r="AP2706" s="13"/>
      <c r="AQ2706" s="13"/>
      <c r="AR2706" s="14"/>
      <c r="AS2706" s="15"/>
    </row>
    <row r="2707" spans="1:45" s="17" customFormat="1" ht="30.95" hidden="1" customHeight="1" x14ac:dyDescent="0.2">
      <c r="A2707" s="343"/>
      <c r="B2707" s="344"/>
      <c r="C2707" s="345"/>
      <c r="D2707" s="346"/>
      <c r="E2707" s="346"/>
      <c r="F2707" s="268"/>
      <c r="G2707" s="269"/>
      <c r="H2707" s="269"/>
      <c r="I2707" s="270"/>
      <c r="J2707" s="434"/>
      <c r="K2707" s="270"/>
      <c r="L2707" s="270"/>
      <c r="M2707" s="348"/>
      <c r="N2707" s="348"/>
      <c r="O2707" s="435"/>
      <c r="P2707" s="349"/>
      <c r="Q2707" s="350"/>
      <c r="R2707" s="271"/>
      <c r="S2707" s="272"/>
      <c r="T2707" s="273"/>
      <c r="U2707" s="351"/>
      <c r="V2707" s="274"/>
      <c r="W2707" s="269"/>
      <c r="X2707" s="269"/>
      <c r="Y2707" s="275"/>
      <c r="Z2707" s="269"/>
      <c r="AA2707" s="350"/>
      <c r="AB2707" s="207"/>
      <c r="AC2707" s="352"/>
      <c r="AD2707" s="353"/>
      <c r="AE2707" s="54"/>
      <c r="AF2707" s="354"/>
      <c r="AG2707" s="355"/>
      <c r="AH2707" s="349"/>
      <c r="AI2707" s="30"/>
      <c r="AJ2707" s="30"/>
      <c r="AK2707" s="30"/>
      <c r="AL2707" s="30"/>
      <c r="AM2707" s="13"/>
      <c r="AN2707" s="13"/>
      <c r="AO2707" s="13"/>
      <c r="AP2707" s="13"/>
      <c r="AQ2707" s="13"/>
      <c r="AR2707" s="14"/>
      <c r="AS2707" s="15"/>
    </row>
    <row r="2708" spans="1:45" s="17" customFormat="1" ht="30.6" hidden="1" customHeight="1" x14ac:dyDescent="0.2">
      <c r="A2708" s="343"/>
      <c r="B2708" s="344"/>
      <c r="C2708" s="45"/>
      <c r="D2708" s="31">
        <v>3783807</v>
      </c>
      <c r="E2708" s="31">
        <v>4162700</v>
      </c>
      <c r="F2708" s="268" t="str">
        <f>IF(D2708="","",VLOOKUP(D2708,契約台帳!$A$3:$K$4986,6,FALSE)&amp;VLOOKUP(D2708,契約台帳!$A$3:$K$4986,7,FALSE)&amp;VLOOKUP(D2708,契約台帳!$A$3:$K$4986,8,FALSE)&amp;VLOOKUP(D2708,契約台帳!$A$3:$K$4986,9,FALSE)&amp;VLOOKUP(D2708,契約台帳!$A$3:$K$4986,11,FALSE))</f>
        <v>3SNMCLBNGKVB</v>
      </c>
      <c r="G2708" s="269" t="str">
        <f>IF(D2708="","",VLOOKUP(F2708,製品マスタ!$G$5:$H$5002,2,FALSE))</f>
        <v>S</v>
      </c>
      <c r="H2708" s="269" t="str">
        <f>IF(D2708="","",VLOOKUP(F2708,製品マスタ!$G$5:$K$5002,5,FALSE))</f>
        <v>NGKVB</v>
      </c>
      <c r="I2708" s="270" t="str">
        <f>IF(D2708="","",VLOOKUP(F2708,製品マスタ!$G$5:$L$5002,6,FALSE))</f>
        <v>メタルミー　ネーマー銀消　ＶＢ</v>
      </c>
      <c r="J2708" s="210" t="s">
        <v>935</v>
      </c>
      <c r="K2708" s="270">
        <f>IF(D2708="","",VLOOKUP(D2708,契約台帳!$A$3:$L$4986,12,FALSE))</f>
        <v>50</v>
      </c>
      <c r="L2708" s="270" t="str">
        <f>IF(D2708="","",INDEX(製品マスタ!$Q$5:$Q$5002,MATCH('S4'!F2708&amp;'S4'!K2708,製品マスタ!$AO$5:$AO$5002,0)))</f>
        <v>MAT</v>
      </c>
      <c r="M2708" s="39">
        <v>1005</v>
      </c>
      <c r="N2708" s="39">
        <v>4100</v>
      </c>
      <c r="O2708" s="156">
        <v>3</v>
      </c>
      <c r="P2708" s="47">
        <v>3</v>
      </c>
      <c r="Q2708" s="213">
        <v>45604</v>
      </c>
      <c r="R2708" s="271">
        <f ca="1">IF(D2708="","",IF(OFFSET(D2708,-1,0)&lt;&gt;"","",IF(OR(J2708="リード付け",J2708="巻足し",J2708="巻返しリード付け"),M2708,VLOOKUP(D2708,契約台帳!$A$3:$N$4986,14,FALSE))))</f>
        <v>1005</v>
      </c>
      <c r="S2708" s="272">
        <f ca="1">IF(D2708="","",IF(OFFSET(D2708,-1,0)&lt;&gt;"","",IF(OR(J2708="リード付け",J2708="巻足し",J2708="巻返しリード付け"),M2708,VLOOKUP(D2708,契約台帳!$A$3:$O$4986,15,FALSE))))</f>
        <v>1005</v>
      </c>
      <c r="T2708" s="273">
        <f ca="1">IF(D2708="","",IF(J2708="リード付け",N2708,IF(J2708="巻返しリード付け",N2708,IF(J2708="巻足し",N2708*P2708+OFFSET(N2708,1,0)*OFFSET(P2708,1,0),VLOOKUP(D2708,契約台帳!$A$3:$P$4986,16,FALSE)))))</f>
        <v>12300</v>
      </c>
      <c r="U2708" s="40">
        <v>1</v>
      </c>
      <c r="V2708" s="274">
        <f ca="1">IF(D2708="","",IF(OFFSET(D2708,-2,0)=D2708,"",VLOOKUP(D2708,契約台帳!$A$3:$R$4986,18,FALSE)))</f>
        <v>3</v>
      </c>
      <c r="W2708" s="269" t="str">
        <f ca="1">IF(D2708="","",IF(T2708="","",IF(OR(J2708="巻足し",J2708="巻返しリード付け"),"",IF(J2708="巻返し",VLOOKUP(F2708&amp;K2708&amp;M2708,製品マスタ!$M$5:$AD$5002,18,FALSE),IF(OR(J2708="リード付け",J2708="巻返しリード付け"),"原反コア",IF(J2708="スリット",VLOOKUP(F2708&amp;K2708&amp;R2708,製品マスタ!$N$5:$AD$5002,17,FALSE),""))))))</f>
        <v/>
      </c>
      <c r="X2708" s="269" t="str">
        <f ca="1">IF(D2708="","",IF(T2708="","",IF(J2708="巻足し","",IF(J2708="巻返し",VLOOKUP(F2708&amp;K2708&amp;M2708,製品マスタ!$M$5:$AE$5002,19,FALSE),IF(OR(J2708="リード付け",J2708="巻返しリード付け"),"",IF(J2708="スリット",VLOOKUP(F2708&amp;K2708&amp;R2708,製品マスタ!$N$5:$AE$5002,18,FALSE),""))))))</f>
        <v/>
      </c>
      <c r="Y2708" s="275">
        <f ca="1">IF(D2708="","",IF(T2708="","",VLOOKUP(D2708,契約台帳!$A$3:$Q$4986,17,FALSE)))</f>
        <v>2</v>
      </c>
      <c r="Z2708" s="269" t="str">
        <f ca="1">IF(D2708="","",IF(T2708="","",VLOOKUP(D2708,契約台帳!$A$3:$E$4986,5,FALSE)))</f>
        <v>リンテック㈱</v>
      </c>
      <c r="AA2708" s="57"/>
      <c r="AB2708" s="207">
        <f>IFERROR((VLOOKUP(F2708&amp;K2708&amp;M2708,製品マスタ!$M$5:$AM$5002,27,FALSE)),"")</f>
        <v>0</v>
      </c>
      <c r="AC2708" s="33"/>
      <c r="AD2708" s="189"/>
      <c r="AE2708" s="54"/>
      <c r="AF2708" s="55">
        <f>+M2708*N2708*O2708/1000</f>
        <v>12361.5</v>
      </c>
      <c r="AG2708" s="43"/>
      <c r="AH2708" s="47"/>
      <c r="AI2708" s="30"/>
      <c r="AJ2708" s="30"/>
      <c r="AK2708" s="30"/>
      <c r="AL2708" s="30"/>
      <c r="AM2708" s="13"/>
      <c r="AN2708" s="13"/>
      <c r="AO2708" s="13"/>
      <c r="AP2708" s="13"/>
      <c r="AQ2708" s="13"/>
      <c r="AR2708" s="14"/>
      <c r="AS2708" s="15"/>
    </row>
    <row r="2709" spans="1:45" s="17" customFormat="1" ht="30.95" hidden="1" customHeight="1" x14ac:dyDescent="0.2">
      <c r="A2709" s="343"/>
      <c r="B2709" s="344"/>
      <c r="C2709" s="345"/>
      <c r="D2709" s="346"/>
      <c r="E2709" s="346"/>
      <c r="F2709" s="268"/>
      <c r="G2709" s="269"/>
      <c r="H2709" s="269"/>
      <c r="I2709" s="270"/>
      <c r="J2709" s="434"/>
      <c r="K2709" s="270"/>
      <c r="L2709" s="270"/>
      <c r="M2709" s="348"/>
      <c r="N2709" s="348"/>
      <c r="O2709" s="435"/>
      <c r="P2709" s="349"/>
      <c r="Q2709" s="350"/>
      <c r="R2709" s="271"/>
      <c r="S2709" s="272"/>
      <c r="T2709" s="273"/>
      <c r="U2709" s="351"/>
      <c r="V2709" s="274"/>
      <c r="W2709" s="269"/>
      <c r="X2709" s="269"/>
      <c r="Y2709" s="275"/>
      <c r="Z2709" s="269"/>
      <c r="AA2709" s="350"/>
      <c r="AB2709" s="207"/>
      <c r="AC2709" s="352"/>
      <c r="AD2709" s="353"/>
      <c r="AE2709" s="54"/>
      <c r="AF2709" s="354"/>
      <c r="AG2709" s="355"/>
      <c r="AH2709" s="349"/>
      <c r="AI2709" s="30"/>
      <c r="AJ2709" s="30"/>
      <c r="AK2709" s="30"/>
      <c r="AL2709" s="30"/>
      <c r="AM2709" s="13"/>
      <c r="AN2709" s="13"/>
      <c r="AO2709" s="13"/>
      <c r="AP2709" s="13"/>
      <c r="AQ2709" s="13"/>
      <c r="AR2709" s="14"/>
      <c r="AS2709" s="15"/>
    </row>
    <row r="2710" spans="1:45" s="17" customFormat="1" ht="30.6" hidden="1" customHeight="1" x14ac:dyDescent="0.2">
      <c r="A2710" s="343"/>
      <c r="B2710" s="344"/>
      <c r="C2710" s="45"/>
      <c r="D2710" s="31">
        <v>3783817</v>
      </c>
      <c r="E2710" s="31">
        <v>4162712</v>
      </c>
      <c r="F2710" s="268" t="str">
        <f>IF(D2710="","",VLOOKUP(D2710,契約台帳!$A$3:$K$4986,6,FALSE)&amp;VLOOKUP(D2710,契約台帳!$A$3:$K$4986,7,FALSE)&amp;VLOOKUP(D2710,契約台帳!$A$3:$K$4986,8,FALSE)&amp;VLOOKUP(D2710,契約台帳!$A$3:$K$4986,9,FALSE)&amp;VLOOKUP(D2710,契約台帳!$A$3:$K$4986,11,FALSE))</f>
        <v>3TNMCLBHLGKJV</v>
      </c>
      <c r="G2710" s="269" t="str">
        <f>IF(D2710="","",VLOOKUP(F2710,製品マスタ!$G$5:$H$5002,2,FALSE))</f>
        <v>T</v>
      </c>
      <c r="H2710" s="269" t="str">
        <f>IF(D2710="","",VLOOKUP(F2710,製品マスタ!$G$5:$K$5002,5,FALSE))</f>
        <v>HLGKJV</v>
      </c>
      <c r="I2710" s="270" t="str">
        <f>IF(D2710="","",VLOOKUP(F2710,製品マスタ!$G$5:$L$5002,6,FALSE))</f>
        <v>メタルミー　ヘヤライン　銀消Ｖ</v>
      </c>
      <c r="J2710" s="210" t="s">
        <v>935</v>
      </c>
      <c r="K2710" s="270">
        <f>IF(D2710="","",VLOOKUP(D2710,契約台帳!$A$3:$L$4986,12,FALSE))</f>
        <v>50</v>
      </c>
      <c r="L2710" s="270" t="str">
        <f>IF(D2710="","",INDEX(製品マスタ!$Q$5:$Q$5002,MATCH('S4'!F2710&amp;'S4'!K2710,製品マスタ!$AO$5:$AO$5002,0)))</f>
        <v>HL-MAT</v>
      </c>
      <c r="M2710" s="39">
        <v>1005</v>
      </c>
      <c r="N2710" s="39">
        <v>4000</v>
      </c>
      <c r="O2710" s="156">
        <v>2</v>
      </c>
      <c r="P2710" s="47">
        <v>2</v>
      </c>
      <c r="Q2710" s="213">
        <v>45604</v>
      </c>
      <c r="R2710" s="271">
        <f ca="1">IF(D2710="","",IF(OFFSET(D2710,-1,0)&lt;&gt;"","",IF(OR(J2710="リード付け",J2710="巻足し",J2710="巻返しリード付け"),M2710,VLOOKUP(D2710,契約台帳!$A$3:$N$4986,14,FALSE))))</f>
        <v>1005</v>
      </c>
      <c r="S2710" s="272">
        <f ca="1">IF(D2710="","",IF(OFFSET(D2710,-1,0)&lt;&gt;"","",IF(OR(J2710="リード付け",J2710="巻足し",J2710="巻返しリード付け"),M2710,VLOOKUP(D2710,契約台帳!$A$3:$O$4986,15,FALSE))))</f>
        <v>1005</v>
      </c>
      <c r="T2710" s="273">
        <f ca="1">IF(D2710="","",IF(J2710="リード付け",N2710,IF(J2710="巻返しリード付け",N2710,IF(J2710="巻足し",N2710*P2710+OFFSET(N2710,1,0)*OFFSET(P2710,1,0),VLOOKUP(D2710,契約台帳!$A$3:$P$4986,16,FALSE)))))</f>
        <v>8000</v>
      </c>
      <c r="U2710" s="40">
        <v>1</v>
      </c>
      <c r="V2710" s="274">
        <f ca="1">IF(D2710="","",IF(OFFSET(D2710,-2,0)=D2710,"",VLOOKUP(D2710,契約台帳!$A$3:$R$4986,18,FALSE)))</f>
        <v>2</v>
      </c>
      <c r="W2710" s="269" t="str">
        <f ca="1">IF(D2710="","",IF(T2710="","",IF(OR(J2710="巻足し",J2710="巻返しリード付け"),"",IF(J2710="巻返し",VLOOKUP(F2710&amp;K2710&amp;M2710,製品マスタ!$M$5:$AD$5002,18,FALSE),IF(OR(J2710="リード付け",J2710="巻返しリード付け"),"原反コア",IF(J2710="スリット",VLOOKUP(F2710&amp;K2710&amp;R2710,製品マスタ!$N$5:$AD$5002,17,FALSE),""))))))</f>
        <v/>
      </c>
      <c r="X2710" s="269" t="str">
        <f ca="1">IF(D2710="","",IF(T2710="","",IF(J2710="巻足し","",IF(J2710="巻返し",VLOOKUP(F2710&amp;K2710&amp;M2710,製品マスタ!$M$5:$AE$5002,19,FALSE),IF(OR(J2710="リード付け",J2710="巻返しリード付け"),"",IF(J2710="スリット",VLOOKUP(F2710&amp;K2710&amp;R2710,製品マスタ!$N$5:$AE$5002,18,FALSE),""))))))</f>
        <v/>
      </c>
      <c r="Y2710" s="275">
        <f ca="1">IF(D2710="","",IF(T2710="","",VLOOKUP(D2710,契約台帳!$A$3:$Q$4986,17,FALSE)))</f>
        <v>2</v>
      </c>
      <c r="Z2710" s="269" t="str">
        <f ca="1">IF(D2710="","",IF(T2710="","",VLOOKUP(D2710,契約台帳!$A$3:$E$4986,5,FALSE)))</f>
        <v>リンテック㈱</v>
      </c>
      <c r="AA2710" s="57"/>
      <c r="AB2710" s="303" t="s">
        <v>3325</v>
      </c>
      <c r="AC2710" s="33"/>
      <c r="AD2710" s="189"/>
      <c r="AE2710" s="54"/>
      <c r="AF2710" s="55">
        <f>+M2710*N2710*O2710/1000</f>
        <v>8040</v>
      </c>
      <c r="AG2710" s="43"/>
      <c r="AH2710" s="47"/>
      <c r="AI2710" s="30"/>
      <c r="AJ2710" s="30"/>
      <c r="AK2710" s="30"/>
      <c r="AL2710" s="30"/>
      <c r="AM2710" s="13"/>
      <c r="AN2710" s="13"/>
      <c r="AO2710" s="13"/>
      <c r="AP2710" s="13"/>
      <c r="AQ2710" s="13"/>
      <c r="AR2710" s="14"/>
      <c r="AS2710" s="15"/>
    </row>
    <row r="2711" spans="1:45" s="17" customFormat="1" ht="30.95" hidden="1" customHeight="1" x14ac:dyDescent="0.2">
      <c r="A2711" s="343"/>
      <c r="B2711" s="344"/>
      <c r="C2711" s="345"/>
      <c r="D2711" s="346"/>
      <c r="E2711" s="346"/>
      <c r="F2711" s="268"/>
      <c r="G2711" s="269"/>
      <c r="H2711" s="269"/>
      <c r="I2711" s="270"/>
      <c r="J2711" s="434"/>
      <c r="K2711" s="270"/>
      <c r="L2711" s="270"/>
      <c r="M2711" s="348"/>
      <c r="N2711" s="348"/>
      <c r="O2711" s="435"/>
      <c r="P2711" s="349"/>
      <c r="Q2711" s="350"/>
      <c r="R2711" s="271"/>
      <c r="S2711" s="272"/>
      <c r="T2711" s="273"/>
      <c r="U2711" s="351"/>
      <c r="V2711" s="274"/>
      <c r="W2711" s="269"/>
      <c r="X2711" s="269"/>
      <c r="Y2711" s="275"/>
      <c r="Z2711" s="269"/>
      <c r="AA2711" s="350"/>
      <c r="AB2711" s="207"/>
      <c r="AC2711" s="352"/>
      <c r="AD2711" s="353"/>
      <c r="AE2711" s="54"/>
      <c r="AF2711" s="354"/>
      <c r="AG2711" s="355"/>
      <c r="AH2711" s="349"/>
      <c r="AI2711" s="30"/>
      <c r="AJ2711" s="30"/>
      <c r="AK2711" s="30"/>
      <c r="AL2711" s="30"/>
      <c r="AM2711" s="13"/>
      <c r="AN2711" s="13"/>
      <c r="AO2711" s="13"/>
      <c r="AP2711" s="13"/>
      <c r="AQ2711" s="13"/>
      <c r="AR2711" s="14"/>
      <c r="AS2711" s="15"/>
    </row>
    <row r="2712" spans="1:45" s="17" customFormat="1" ht="30.6" hidden="1" customHeight="1" x14ac:dyDescent="0.2">
      <c r="A2712" s="343"/>
      <c r="B2712" s="344"/>
      <c r="C2712" s="45"/>
      <c r="D2712" s="31">
        <v>3783803</v>
      </c>
      <c r="E2712" s="31">
        <v>4162683</v>
      </c>
      <c r="F2712" s="268" t="str">
        <f>IF(D2712="","",VLOOKUP(D2712,契約台帳!$A$3:$K$4986,6,FALSE)&amp;VLOOKUP(D2712,契約台帳!$A$3:$K$4986,7,FALSE)&amp;VLOOKUP(D2712,契約台帳!$A$3:$K$4986,8,FALSE)&amp;VLOOKUP(D2712,契約台帳!$A$3:$K$4986,9,FALSE)&amp;VLOOKUP(D2712,契約台帳!$A$3:$K$4986,11,FALSE))</f>
        <v>3SNMLBMNGKKBF</v>
      </c>
      <c r="G2712" s="269" t="str">
        <f>IF(D2712="","",VLOOKUP(F2712,製品マスタ!$G$5:$H$5002,2,FALSE))</f>
        <v>S</v>
      </c>
      <c r="H2712" s="269" t="str">
        <f>IF(D2712="","",VLOOKUP(F2712,製品マスタ!$G$5:$K$5002,5,FALSE))</f>
        <v>MNGKKBF</v>
      </c>
      <c r="I2712" s="270" t="str">
        <f>IF(D2712="","",VLOOKUP(F2712,製品マスタ!$G$5:$L$5002,6,FALSE))</f>
        <v>メタルミー　ネーマー銀消改　Ｂ</v>
      </c>
      <c r="J2712" s="210" t="s">
        <v>935</v>
      </c>
      <c r="K2712" s="270">
        <f>IF(D2712="","",VLOOKUP(D2712,契約台帳!$A$3:$L$4986,12,FALSE))</f>
        <v>50</v>
      </c>
      <c r="L2712" s="270" t="str">
        <f>IF(D2712="","",INDEX(製品マスタ!$Q$5:$Q$5002,MATCH('S4'!F2712&amp;'S4'!K2712,製品マスタ!$AO$5:$AO$5002,0)))</f>
        <v>S99-MAT</v>
      </c>
      <c r="M2712" s="39">
        <v>1000</v>
      </c>
      <c r="N2712" s="39">
        <v>4000</v>
      </c>
      <c r="O2712" s="156">
        <v>3</v>
      </c>
      <c r="P2712" s="47">
        <v>3</v>
      </c>
      <c r="Q2712" s="213">
        <v>45604</v>
      </c>
      <c r="R2712" s="271">
        <f ca="1">IF(D2712="","",IF(OFFSET(D2712,-1,0)&lt;&gt;"","",IF(OR(J2712="リード付け",J2712="巻足し",J2712="巻返しリード付け"),M2712,VLOOKUP(D2712,契約台帳!$A$3:$N$4986,14,FALSE))))</f>
        <v>1000</v>
      </c>
      <c r="S2712" s="272">
        <f ca="1">IF(D2712="","",IF(OFFSET(D2712,-1,0)&lt;&gt;"","",IF(OR(J2712="リード付け",J2712="巻足し",J2712="巻返しリード付け"),M2712,VLOOKUP(D2712,契約台帳!$A$3:$O$4986,15,FALSE))))</f>
        <v>1000</v>
      </c>
      <c r="T2712" s="273">
        <f ca="1">IF(D2712="","",IF(J2712="リード付け",N2712,IF(J2712="巻返しリード付け",N2712,IF(J2712="巻足し",N2712*P2712+OFFSET(N2712,1,0)*OFFSET(P2712,1,0),VLOOKUP(D2712,契約台帳!$A$3:$P$4986,16,FALSE)))))</f>
        <v>12000</v>
      </c>
      <c r="U2712" s="40">
        <v>1</v>
      </c>
      <c r="V2712" s="274">
        <f ca="1">IF(D2712="","",IF(OFFSET(D2712,-2,0)=D2712,"",VLOOKUP(D2712,契約台帳!$A$3:$R$4986,18,FALSE)))</f>
        <v>3</v>
      </c>
      <c r="W2712" s="269" t="str">
        <f ca="1">IF(D2712="","",IF(T2712="","",IF(OR(J2712="巻足し",J2712="巻返しリード付け"),"",IF(J2712="巻返し",VLOOKUP(F2712&amp;K2712&amp;M2712,製品マスタ!$M$5:$AD$5002,18,FALSE),IF(OR(J2712="リード付け",J2712="巻返しリード付け"),"原反コア",IF(J2712="スリット",VLOOKUP(F2712&amp;K2712&amp;R2712,製品マスタ!$N$5:$AD$5002,17,FALSE),""))))))</f>
        <v/>
      </c>
      <c r="X2712" s="269" t="str">
        <f ca="1">IF(D2712="","",IF(T2712="","",IF(J2712="巻足し","",IF(J2712="巻返し",VLOOKUP(F2712&amp;K2712&amp;M2712,製品マスタ!$M$5:$AE$5002,19,FALSE),IF(OR(J2712="リード付け",J2712="巻返しリード付け"),"",IF(J2712="スリット",VLOOKUP(F2712&amp;K2712&amp;R2712,製品マスタ!$N$5:$AE$5002,18,FALSE),""))))))</f>
        <v/>
      </c>
      <c r="Y2712" s="275">
        <f ca="1">IF(D2712="","",IF(T2712="","",VLOOKUP(D2712,契約台帳!$A$3:$Q$4986,17,FALSE)))</f>
        <v>2</v>
      </c>
      <c r="Z2712" s="269" t="str">
        <f ca="1">IF(D2712="","",IF(T2712="","",VLOOKUP(D2712,契約台帳!$A$3:$E$4986,5,FALSE)))</f>
        <v>リンテック㈱</v>
      </c>
      <c r="AA2712" s="57"/>
      <c r="AB2712" s="207">
        <f>IFERROR((VLOOKUP(F2712&amp;K2712&amp;M2712,製品マスタ!$M$5:$AM$5002,27,FALSE)),"")</f>
        <v>0</v>
      </c>
      <c r="AC2712" s="33"/>
      <c r="AD2712" s="189"/>
      <c r="AE2712" s="54"/>
      <c r="AF2712" s="55">
        <f>+M2712*N2712*O2712/1000</f>
        <v>12000</v>
      </c>
      <c r="AG2712" s="43"/>
      <c r="AH2712" s="47"/>
      <c r="AI2712" s="30"/>
      <c r="AJ2712" s="30"/>
      <c r="AK2712" s="30"/>
      <c r="AL2712" s="30"/>
      <c r="AM2712" s="13"/>
      <c r="AN2712" s="13"/>
      <c r="AO2712" s="13"/>
      <c r="AP2712" s="13"/>
      <c r="AQ2712" s="13"/>
      <c r="AR2712" s="14"/>
      <c r="AS2712" s="15"/>
    </row>
    <row r="2713" spans="1:45" s="17" customFormat="1" ht="30.95" hidden="1" customHeight="1" x14ac:dyDescent="0.2">
      <c r="A2713" s="343"/>
      <c r="B2713" s="344"/>
      <c r="C2713" s="345"/>
      <c r="D2713" s="346"/>
      <c r="E2713" s="346"/>
      <c r="F2713" s="268"/>
      <c r="G2713" s="269"/>
      <c r="H2713" s="269"/>
      <c r="I2713" s="270"/>
      <c r="J2713" s="434"/>
      <c r="K2713" s="270"/>
      <c r="L2713" s="270"/>
      <c r="M2713" s="348"/>
      <c r="N2713" s="348"/>
      <c r="O2713" s="435"/>
      <c r="P2713" s="349"/>
      <c r="Q2713" s="350"/>
      <c r="R2713" s="271"/>
      <c r="S2713" s="272"/>
      <c r="T2713" s="273"/>
      <c r="U2713" s="351"/>
      <c r="V2713" s="274"/>
      <c r="W2713" s="269"/>
      <c r="X2713" s="269"/>
      <c r="Y2713" s="275"/>
      <c r="Z2713" s="269"/>
      <c r="AA2713" s="350"/>
      <c r="AB2713" s="207"/>
      <c r="AC2713" s="352"/>
      <c r="AD2713" s="353"/>
      <c r="AE2713" s="54"/>
      <c r="AF2713" s="354"/>
      <c r="AG2713" s="355"/>
      <c r="AH2713" s="349"/>
      <c r="AI2713" s="30"/>
      <c r="AJ2713" s="30"/>
      <c r="AK2713" s="30"/>
      <c r="AL2713" s="30"/>
      <c r="AM2713" s="13"/>
      <c r="AN2713" s="13"/>
      <c r="AO2713" s="13"/>
      <c r="AP2713" s="13"/>
      <c r="AQ2713" s="13"/>
      <c r="AR2713" s="14"/>
      <c r="AS2713" s="15"/>
    </row>
    <row r="2714" spans="1:45" s="17" customFormat="1" ht="30.95" hidden="1" customHeight="1" x14ac:dyDescent="0.2">
      <c r="A2714" s="343" t="s">
        <v>3318</v>
      </c>
      <c r="B2714" s="344" t="s">
        <v>3303</v>
      </c>
      <c r="C2714" s="345"/>
      <c r="D2714" s="346"/>
      <c r="E2714" s="346"/>
      <c r="F2714" s="268"/>
      <c r="G2714" s="269"/>
      <c r="H2714" s="269"/>
      <c r="I2714" s="270"/>
      <c r="J2714" s="434" t="s">
        <v>3306</v>
      </c>
      <c r="K2714" s="270"/>
      <c r="L2714" s="270"/>
      <c r="M2714" s="348"/>
      <c r="N2714" s="348"/>
      <c r="O2714" s="435"/>
      <c r="P2714" s="349"/>
      <c r="Q2714" s="350"/>
      <c r="R2714" s="271"/>
      <c r="S2714" s="272"/>
      <c r="T2714" s="273"/>
      <c r="U2714" s="351"/>
      <c r="V2714" s="274"/>
      <c r="W2714" s="269"/>
      <c r="X2714" s="269"/>
      <c r="Y2714" s="275"/>
      <c r="Z2714" s="269"/>
      <c r="AA2714" s="350"/>
      <c r="AB2714" s="207"/>
      <c r="AC2714" s="352"/>
      <c r="AD2714" s="353"/>
      <c r="AE2714" s="54"/>
      <c r="AF2714" s="354"/>
      <c r="AG2714" s="355"/>
      <c r="AH2714" s="349"/>
      <c r="AI2714" s="30"/>
      <c r="AJ2714" s="30"/>
      <c r="AK2714" s="30"/>
      <c r="AL2714" s="30"/>
      <c r="AM2714" s="13"/>
      <c r="AN2714" s="13"/>
      <c r="AO2714" s="13"/>
      <c r="AP2714" s="13"/>
      <c r="AQ2714" s="13"/>
      <c r="AR2714" s="14"/>
      <c r="AS2714" s="15"/>
    </row>
    <row r="2715" spans="1:45" s="17" customFormat="1" ht="30.95" hidden="1" customHeight="1" x14ac:dyDescent="0.2">
      <c r="A2715" s="343"/>
      <c r="B2715" s="344"/>
      <c r="C2715" s="345"/>
      <c r="D2715" s="346"/>
      <c r="E2715" s="346"/>
      <c r="F2715" s="268"/>
      <c r="G2715" s="269"/>
      <c r="H2715" s="269"/>
      <c r="I2715" s="270"/>
      <c r="J2715" s="434"/>
      <c r="K2715" s="270"/>
      <c r="L2715" s="270"/>
      <c r="M2715" s="348"/>
      <c r="N2715" s="348"/>
      <c r="O2715" s="435"/>
      <c r="P2715" s="349"/>
      <c r="Q2715" s="350"/>
      <c r="R2715" s="271"/>
      <c r="S2715" s="272"/>
      <c r="T2715" s="273"/>
      <c r="U2715" s="351"/>
      <c r="V2715" s="274"/>
      <c r="W2715" s="269"/>
      <c r="X2715" s="269"/>
      <c r="Y2715" s="275"/>
      <c r="Z2715" s="269"/>
      <c r="AA2715" s="350"/>
      <c r="AB2715" s="207"/>
      <c r="AC2715" s="352"/>
      <c r="AD2715" s="353"/>
      <c r="AE2715" s="54"/>
      <c r="AF2715" s="354"/>
      <c r="AG2715" s="355"/>
      <c r="AH2715" s="349"/>
      <c r="AI2715" s="30"/>
      <c r="AJ2715" s="30"/>
      <c r="AK2715" s="30"/>
      <c r="AL2715" s="30"/>
      <c r="AM2715" s="13"/>
      <c r="AN2715" s="13"/>
      <c r="AO2715" s="13"/>
      <c r="AP2715" s="13"/>
      <c r="AQ2715" s="13"/>
      <c r="AR2715" s="14"/>
      <c r="AS2715" s="15"/>
    </row>
    <row r="2716" spans="1:45" s="17" customFormat="1" ht="30.6" hidden="1" customHeight="1" x14ac:dyDescent="0.2">
      <c r="A2716" s="343" t="s">
        <v>3319</v>
      </c>
      <c r="B2716" s="344" t="s">
        <v>3305</v>
      </c>
      <c r="C2716" s="45"/>
      <c r="D2716" s="31">
        <v>3783810</v>
      </c>
      <c r="E2716" s="31">
        <v>4162747</v>
      </c>
      <c r="F2716" s="268" t="str">
        <f>IF(D2716="","",VLOOKUP(D2716,契約台帳!$A$3:$K$4986,6,FALSE)&amp;VLOOKUP(D2716,契約台帳!$A$3:$K$4986,7,FALSE)&amp;VLOOKUP(D2716,契約台帳!$A$3:$K$4986,8,FALSE)&amp;VLOOKUP(D2716,契約台帳!$A$3:$K$4986,9,FALSE)&amp;VLOOKUP(D2716,契約台帳!$A$3:$K$4986,11,FALSE))</f>
        <v>3SNMLBMNGTBF</v>
      </c>
      <c r="G2716" s="269" t="str">
        <f>IF(D2716="","",VLOOKUP(F2716,製品マスタ!$G$5:$H$5002,2,FALSE))</f>
        <v>S</v>
      </c>
      <c r="H2716" s="269" t="str">
        <f>IF(D2716="","",VLOOKUP(F2716,製品マスタ!$G$5:$K$5002,5,FALSE))</f>
        <v>MNGTBF</v>
      </c>
      <c r="I2716" s="270" t="str">
        <f>IF(D2716="","",VLOOKUP(F2716,製品マスタ!$G$5:$L$5002,6,FALSE))</f>
        <v>メタルミー　ネーマー　銀艶　Ｂ</v>
      </c>
      <c r="J2716" s="210" t="s">
        <v>935</v>
      </c>
      <c r="K2716" s="270">
        <f>IF(D2716="","",VLOOKUP(D2716,契約台帳!$A$3:$L$4986,12,FALSE))</f>
        <v>50</v>
      </c>
      <c r="L2716" s="270" t="str">
        <f>IF(D2716="","",INDEX(製品マスタ!$Q$5:$Q$5002,MATCH('S4'!F2716&amp;'S4'!K2716,製品マスタ!$AO$5:$AO$5002,0)))</f>
        <v>T62</v>
      </c>
      <c r="M2716" s="39">
        <v>1120</v>
      </c>
      <c r="N2716" s="39">
        <v>5000</v>
      </c>
      <c r="O2716" s="156">
        <v>12</v>
      </c>
      <c r="P2716" s="47">
        <v>2</v>
      </c>
      <c r="Q2716" s="213">
        <v>45609</v>
      </c>
      <c r="R2716" s="271">
        <f ca="1">IF(D2716="","",IF(OFFSET(D2716,-1,0)&lt;&gt;"","",IF(OR(J2716="リード付け",J2716="巻足し",J2716="巻返しリード付け"),M2716,VLOOKUP(D2716,契約台帳!$A$3:$N$4986,14,FALSE))))</f>
        <v>1120</v>
      </c>
      <c r="S2716" s="272">
        <f ca="1">IF(D2716="","",IF(OFFSET(D2716,-1,0)&lt;&gt;"","",IF(OR(J2716="リード付け",J2716="巻足し",J2716="巻返しリード付け"),M2716,VLOOKUP(D2716,契約台帳!$A$3:$O$4986,15,FALSE))))</f>
        <v>1120</v>
      </c>
      <c r="T2716" s="273">
        <f ca="1">IF(D2716="","",IF(J2716="リード付け",N2716,IF(J2716="巻返しリード付け",N2716,IF(J2716="巻足し",N2716*P2716+OFFSET(N2716,1,0)*OFFSET(P2716,1,0),VLOOKUP(D2716,契約台帳!$A$3:$P$4986,16,FALSE)))))</f>
        <v>10000</v>
      </c>
      <c r="U2716" s="40">
        <v>6</v>
      </c>
      <c r="V2716" s="274">
        <f ca="1">IF(D2716="","",IF(OFFSET(D2716,-2,0)=D2716,"",VLOOKUP(D2716,契約台帳!$A$3:$R$4986,18,FALSE)))</f>
        <v>48</v>
      </c>
      <c r="W2716" s="269" t="str">
        <f ca="1">IF(D2716="","",IF(T2716="","",IF(OR(J2716="巻足し",J2716="巻返しリード付け"),"",IF(J2716="巻返し",VLOOKUP(F2716&amp;K2716&amp;M2716,製品マスタ!$M$5:$AD$5002,18,FALSE),IF(OR(J2716="リード付け",J2716="巻返しリード付け"),"原反コア",IF(J2716="スリット",VLOOKUP(F2716&amp;K2716&amp;R2716,製品マスタ!$N$5:$AD$5002,17,FALSE),""))))))</f>
        <v/>
      </c>
      <c r="X2716" s="269" t="str">
        <f ca="1">IF(D2716="","",IF(T2716="","",IF(J2716="巻足し","",IF(J2716="巻返し",VLOOKUP(F2716&amp;K2716&amp;M2716,製品マスタ!$M$5:$AE$5002,19,FALSE),IF(OR(J2716="リード付け",J2716="巻返しリード付け"),"",IF(J2716="スリット",VLOOKUP(F2716&amp;K2716&amp;R2716,製品マスタ!$N$5:$AE$5002,18,FALSE),""))))))</f>
        <v/>
      </c>
      <c r="Y2716" s="275">
        <f ca="1">IF(D2716="","",IF(T2716="","",VLOOKUP(D2716,契約台帳!$A$3:$Q$4986,17,FALSE)))</f>
        <v>2</v>
      </c>
      <c r="Z2716" s="269" t="str">
        <f ca="1">IF(D2716="","",IF(T2716="","",VLOOKUP(D2716,契約台帳!$A$3:$E$4986,5,FALSE)))</f>
        <v>リンテック㈱</v>
      </c>
      <c r="AA2716" s="57"/>
      <c r="AB2716" s="207" t="str">
        <f>IFERROR((VLOOKUP(F2716&amp;K2716&amp;M2716,製品マスタ!$M$5:$AM$5002,27,FALSE)),"")</f>
        <v>原反ケース再利用</v>
      </c>
      <c r="AC2716" s="33"/>
      <c r="AD2716" s="189"/>
      <c r="AE2716" s="54"/>
      <c r="AF2716" s="55">
        <f>+M2716*N2716*O2716/1000</f>
        <v>67200</v>
      </c>
      <c r="AG2716" s="43"/>
      <c r="AH2716" s="47"/>
      <c r="AI2716" s="30"/>
      <c r="AJ2716" s="30"/>
      <c r="AK2716" s="30"/>
      <c r="AL2716" s="30"/>
      <c r="AM2716" s="13"/>
      <c r="AN2716" s="13"/>
      <c r="AO2716" s="13"/>
      <c r="AP2716" s="13"/>
      <c r="AQ2716" s="13"/>
      <c r="AR2716" s="14"/>
      <c r="AS2716" s="15"/>
    </row>
    <row r="2717" spans="1:45" s="17" customFormat="1" ht="30.95" hidden="1" customHeight="1" x14ac:dyDescent="0.2">
      <c r="A2717" s="343"/>
      <c r="B2717" s="344"/>
      <c r="C2717" s="345"/>
      <c r="D2717" s="346"/>
      <c r="E2717" s="346"/>
      <c r="F2717" s="268"/>
      <c r="G2717" s="269"/>
      <c r="H2717" s="269"/>
      <c r="I2717" s="270"/>
      <c r="J2717" s="434"/>
      <c r="K2717" s="270"/>
      <c r="L2717" s="270"/>
      <c r="M2717" s="348"/>
      <c r="N2717" s="348"/>
      <c r="O2717" s="435"/>
      <c r="P2717" s="349"/>
      <c r="Q2717" s="350"/>
      <c r="R2717" s="271"/>
      <c r="S2717" s="272"/>
      <c r="T2717" s="273"/>
      <c r="U2717" s="351"/>
      <c r="V2717" s="274"/>
      <c r="W2717" s="269"/>
      <c r="X2717" s="269"/>
      <c r="Y2717" s="275"/>
      <c r="Z2717" s="269"/>
      <c r="AA2717" s="350"/>
      <c r="AB2717" s="207"/>
      <c r="AC2717" s="352"/>
      <c r="AD2717" s="353"/>
      <c r="AE2717" s="54"/>
      <c r="AF2717" s="354"/>
      <c r="AG2717" s="355"/>
      <c r="AH2717" s="349"/>
      <c r="AI2717" s="30"/>
      <c r="AJ2717" s="30"/>
      <c r="AK2717" s="30"/>
      <c r="AL2717" s="30"/>
      <c r="AM2717" s="13"/>
      <c r="AN2717" s="13"/>
      <c r="AO2717" s="13"/>
      <c r="AP2717" s="13"/>
      <c r="AQ2717" s="13"/>
      <c r="AR2717" s="14"/>
      <c r="AS2717" s="15"/>
    </row>
    <row r="2718" spans="1:45" s="17" customFormat="1" ht="30.6" hidden="1" customHeight="1" x14ac:dyDescent="0.2">
      <c r="A2718" s="343" t="s">
        <v>3320</v>
      </c>
      <c r="B2718" s="344" t="s">
        <v>443</v>
      </c>
      <c r="C2718" s="45"/>
      <c r="D2718" s="31">
        <v>3783810</v>
      </c>
      <c r="E2718" s="31">
        <v>4162747</v>
      </c>
      <c r="F2718" s="268" t="str">
        <f>IF(D2718="","",VLOOKUP(D2718,契約台帳!$A$3:$K$4986,6,FALSE)&amp;VLOOKUP(D2718,契約台帳!$A$3:$K$4986,7,FALSE)&amp;VLOOKUP(D2718,契約台帳!$A$3:$K$4986,8,FALSE)&amp;VLOOKUP(D2718,契約台帳!$A$3:$K$4986,9,FALSE)&amp;VLOOKUP(D2718,契約台帳!$A$3:$K$4986,11,FALSE))</f>
        <v>3SNMLBMNGTBF</v>
      </c>
      <c r="G2718" s="269" t="str">
        <f>IF(D2718="","",VLOOKUP(F2718,製品マスタ!$G$5:$H$5002,2,FALSE))</f>
        <v>S</v>
      </c>
      <c r="H2718" s="269" t="str">
        <f>IF(D2718="","",VLOOKUP(F2718,製品マスタ!$G$5:$K$5002,5,FALSE))</f>
        <v>MNGTBF</v>
      </c>
      <c r="I2718" s="270" t="str">
        <f>IF(D2718="","",VLOOKUP(F2718,製品マスタ!$G$5:$L$5002,6,FALSE))</f>
        <v>メタルミー　ネーマー　銀艶　Ｂ</v>
      </c>
      <c r="J2718" s="210" t="s">
        <v>935</v>
      </c>
      <c r="K2718" s="270">
        <f>IF(D2718="","",VLOOKUP(D2718,契約台帳!$A$3:$L$4986,12,FALSE))</f>
        <v>50</v>
      </c>
      <c r="L2718" s="270" t="str">
        <f>IF(D2718="","",INDEX(製品マスタ!$Q$5:$Q$5002,MATCH('S4'!F2718&amp;'S4'!K2718,製品マスタ!$AO$5:$AO$5002,0)))</f>
        <v>T62</v>
      </c>
      <c r="M2718" s="39">
        <v>1120</v>
      </c>
      <c r="N2718" s="39">
        <v>5000</v>
      </c>
      <c r="O2718" s="156">
        <v>18</v>
      </c>
      <c r="P2718" s="47">
        <v>2</v>
      </c>
      <c r="Q2718" s="213">
        <v>45609</v>
      </c>
      <c r="R2718" s="271">
        <f ca="1">IF(D2718="","",IF(OFFSET(D2718,-1,0)&lt;&gt;"","",IF(OR(J2718="リード付け",J2718="巻足し",J2718="巻返しリード付け"),M2718,VLOOKUP(D2718,契約台帳!$A$3:$N$4986,14,FALSE))))</f>
        <v>1120</v>
      </c>
      <c r="S2718" s="272">
        <f ca="1">IF(D2718="","",IF(OFFSET(D2718,-1,0)&lt;&gt;"","",IF(OR(J2718="リード付け",J2718="巻足し",J2718="巻返しリード付け"),M2718,VLOOKUP(D2718,契約台帳!$A$3:$O$4986,15,FALSE))))</f>
        <v>1120</v>
      </c>
      <c r="T2718" s="273">
        <f ca="1">IF(D2718="","",IF(J2718="リード付け",N2718,IF(J2718="巻返しリード付け",N2718,IF(J2718="巻足し",N2718*P2718+OFFSET(N2718,1,0)*OFFSET(P2718,1,0),VLOOKUP(D2718,契約台帳!$A$3:$P$4986,16,FALSE)))))</f>
        <v>10000</v>
      </c>
      <c r="U2718" s="40">
        <v>9</v>
      </c>
      <c r="V2718" s="274" t="str">
        <f ca="1">IF(D2718="","",IF(OFFSET(D2718,-2,0)=D2718,"",VLOOKUP(D2718,契約台帳!$A$3:$R$4986,18,FALSE)))</f>
        <v/>
      </c>
      <c r="W2718" s="269" t="str">
        <f ca="1">IF(D2718="","",IF(T2718="","",IF(OR(J2718="巻足し",J2718="巻返しリード付け"),"",IF(J2718="巻返し",VLOOKUP(F2718&amp;K2718&amp;M2718,製品マスタ!$M$5:$AD$5002,18,FALSE),IF(OR(J2718="リード付け",J2718="巻返しリード付け"),"原反コア",IF(J2718="スリット",VLOOKUP(F2718&amp;K2718&amp;R2718,製品マスタ!$N$5:$AD$5002,17,FALSE),""))))))</f>
        <v/>
      </c>
      <c r="X2718" s="269" t="str">
        <f ca="1">IF(D2718="","",IF(T2718="","",IF(J2718="巻足し","",IF(J2718="巻返し",VLOOKUP(F2718&amp;K2718&amp;M2718,製品マスタ!$M$5:$AE$5002,19,FALSE),IF(OR(J2718="リード付け",J2718="巻返しリード付け"),"",IF(J2718="スリット",VLOOKUP(F2718&amp;K2718&amp;R2718,製品マスタ!$N$5:$AE$5002,18,FALSE),""))))))</f>
        <v/>
      </c>
      <c r="Y2718" s="275">
        <f ca="1">IF(D2718="","",IF(T2718="","",VLOOKUP(D2718,契約台帳!$A$3:$Q$4986,17,FALSE)))</f>
        <v>2</v>
      </c>
      <c r="Z2718" s="269" t="str">
        <f ca="1">IF(D2718="","",IF(T2718="","",VLOOKUP(D2718,契約台帳!$A$3:$E$4986,5,FALSE)))</f>
        <v>リンテック㈱</v>
      </c>
      <c r="AA2718" s="57"/>
      <c r="AB2718" s="207" t="str">
        <f>IFERROR((VLOOKUP(F2718&amp;K2718&amp;M2718,製品マスタ!$M$5:$AM$5002,27,FALSE)),"")</f>
        <v>原反ケース再利用</v>
      </c>
      <c r="AC2718" s="33"/>
      <c r="AD2718" s="189"/>
      <c r="AE2718" s="54"/>
      <c r="AF2718" s="55">
        <f>+M2718*N2718*O2718/1000</f>
        <v>100800</v>
      </c>
      <c r="AG2718" s="43"/>
      <c r="AH2718" s="47"/>
      <c r="AI2718" s="30"/>
      <c r="AJ2718" s="30"/>
      <c r="AK2718" s="30"/>
      <c r="AL2718" s="30"/>
      <c r="AM2718" s="13"/>
      <c r="AN2718" s="13"/>
      <c r="AO2718" s="13"/>
      <c r="AP2718" s="13"/>
      <c r="AQ2718" s="13"/>
      <c r="AR2718" s="14"/>
      <c r="AS2718" s="15"/>
    </row>
    <row r="2719" spans="1:45" s="17" customFormat="1" ht="30.95" hidden="1" customHeight="1" x14ac:dyDescent="0.2">
      <c r="A2719" s="343"/>
      <c r="B2719" s="344"/>
      <c r="C2719" s="345"/>
      <c r="D2719" s="346"/>
      <c r="E2719" s="346"/>
      <c r="F2719" s="268"/>
      <c r="G2719" s="269"/>
      <c r="H2719" s="269"/>
      <c r="I2719" s="270"/>
      <c r="J2719" s="434"/>
      <c r="K2719" s="270"/>
      <c r="L2719" s="270"/>
      <c r="M2719" s="348"/>
      <c r="N2719" s="348"/>
      <c r="O2719" s="435"/>
      <c r="P2719" s="349"/>
      <c r="Q2719" s="350"/>
      <c r="R2719" s="271"/>
      <c r="S2719" s="272"/>
      <c r="T2719" s="273"/>
      <c r="U2719" s="351"/>
      <c r="V2719" s="274"/>
      <c r="W2719" s="269"/>
      <c r="X2719" s="269"/>
      <c r="Y2719" s="275"/>
      <c r="Z2719" s="269"/>
      <c r="AA2719" s="350"/>
      <c r="AB2719" s="207"/>
      <c r="AC2719" s="352"/>
      <c r="AD2719" s="353"/>
      <c r="AE2719" s="54"/>
      <c r="AF2719" s="354"/>
      <c r="AG2719" s="355"/>
      <c r="AH2719" s="349"/>
      <c r="AI2719" s="30"/>
      <c r="AJ2719" s="30"/>
      <c r="AK2719" s="30"/>
      <c r="AL2719" s="30"/>
      <c r="AM2719" s="13"/>
      <c r="AN2719" s="13"/>
      <c r="AO2719" s="13"/>
      <c r="AP2719" s="13"/>
      <c r="AQ2719" s="13"/>
      <c r="AR2719" s="14"/>
      <c r="AS2719" s="15"/>
    </row>
    <row r="2720" spans="1:45" s="17" customFormat="1" ht="30.6" hidden="1" customHeight="1" x14ac:dyDescent="0.2">
      <c r="A2720" s="343" t="s">
        <v>3321</v>
      </c>
      <c r="B2720" s="344" t="s">
        <v>444</v>
      </c>
      <c r="C2720" s="45"/>
      <c r="D2720" s="31">
        <v>3783810</v>
      </c>
      <c r="E2720" s="31">
        <v>4162747</v>
      </c>
      <c r="F2720" s="268" t="str">
        <f>IF(D2720="","",VLOOKUP(D2720,契約台帳!$A$3:$K$4986,6,FALSE)&amp;VLOOKUP(D2720,契約台帳!$A$3:$K$4986,7,FALSE)&amp;VLOOKUP(D2720,契約台帳!$A$3:$K$4986,8,FALSE)&amp;VLOOKUP(D2720,契約台帳!$A$3:$K$4986,9,FALSE)&amp;VLOOKUP(D2720,契約台帳!$A$3:$K$4986,11,FALSE))</f>
        <v>3SNMLBMNGTBF</v>
      </c>
      <c r="G2720" s="269" t="str">
        <f>IF(D2720="","",VLOOKUP(F2720,製品マスタ!$G$5:$H$5002,2,FALSE))</f>
        <v>S</v>
      </c>
      <c r="H2720" s="269" t="str">
        <f>IF(D2720="","",VLOOKUP(F2720,製品マスタ!$G$5:$K$5002,5,FALSE))</f>
        <v>MNGTBF</v>
      </c>
      <c r="I2720" s="270" t="str">
        <f>IF(D2720="","",VLOOKUP(F2720,製品マスタ!$G$5:$L$5002,6,FALSE))</f>
        <v>メタルミー　ネーマー　銀艶　Ｂ</v>
      </c>
      <c r="J2720" s="210" t="s">
        <v>935</v>
      </c>
      <c r="K2720" s="270">
        <f>IF(D2720="","",VLOOKUP(D2720,契約台帳!$A$3:$L$4986,12,FALSE))</f>
        <v>50</v>
      </c>
      <c r="L2720" s="270" t="str">
        <f>IF(D2720="","",INDEX(製品マスタ!$Q$5:$Q$5002,MATCH('S4'!F2720&amp;'S4'!K2720,製品マスタ!$AO$5:$AO$5002,0)))</f>
        <v>T62</v>
      </c>
      <c r="M2720" s="39">
        <v>1120</v>
      </c>
      <c r="N2720" s="39">
        <v>5000</v>
      </c>
      <c r="O2720" s="156">
        <v>18</v>
      </c>
      <c r="P2720" s="47">
        <v>2</v>
      </c>
      <c r="Q2720" s="213">
        <v>45609</v>
      </c>
      <c r="R2720" s="271">
        <f ca="1">IF(D2720="","",IF(OFFSET(D2720,-1,0)&lt;&gt;"","",IF(OR(J2720="リード付け",J2720="巻足し",J2720="巻返しリード付け"),M2720,VLOOKUP(D2720,契約台帳!$A$3:$N$4986,14,FALSE))))</f>
        <v>1120</v>
      </c>
      <c r="S2720" s="272">
        <f ca="1">IF(D2720="","",IF(OFFSET(D2720,-1,0)&lt;&gt;"","",IF(OR(J2720="リード付け",J2720="巻足し",J2720="巻返しリード付け"),M2720,VLOOKUP(D2720,契約台帳!$A$3:$O$4986,15,FALSE))))</f>
        <v>1120</v>
      </c>
      <c r="T2720" s="273">
        <f ca="1">IF(D2720="","",IF(J2720="リード付け",N2720,IF(J2720="巻返しリード付け",N2720,IF(J2720="巻足し",N2720*P2720+OFFSET(N2720,1,0)*OFFSET(P2720,1,0),VLOOKUP(D2720,契約台帳!$A$3:$P$4986,16,FALSE)))))</f>
        <v>10000</v>
      </c>
      <c r="U2720" s="40">
        <v>9</v>
      </c>
      <c r="V2720" s="274" t="str">
        <f ca="1">IF(D2720="","",IF(OFFSET(D2720,-2,0)=D2720,"",VLOOKUP(D2720,契約台帳!$A$3:$R$4986,18,FALSE)))</f>
        <v/>
      </c>
      <c r="W2720" s="269" t="str">
        <f ca="1">IF(D2720="","",IF(T2720="","",IF(OR(J2720="巻足し",J2720="巻返しリード付け"),"",IF(J2720="巻返し",VLOOKUP(F2720&amp;K2720&amp;M2720,製品マスタ!$M$5:$AD$5002,18,FALSE),IF(OR(J2720="リード付け",J2720="巻返しリード付け"),"原反コア",IF(J2720="スリット",VLOOKUP(F2720&amp;K2720&amp;R2720,製品マスタ!$N$5:$AD$5002,17,FALSE),""))))))</f>
        <v/>
      </c>
      <c r="X2720" s="269" t="str">
        <f ca="1">IF(D2720="","",IF(T2720="","",IF(J2720="巻足し","",IF(J2720="巻返し",VLOOKUP(F2720&amp;K2720&amp;M2720,製品マスタ!$M$5:$AE$5002,19,FALSE),IF(OR(J2720="リード付け",J2720="巻返しリード付け"),"",IF(J2720="スリット",VLOOKUP(F2720&amp;K2720&amp;R2720,製品マスタ!$N$5:$AE$5002,18,FALSE),""))))))</f>
        <v/>
      </c>
      <c r="Y2720" s="275">
        <f ca="1">IF(D2720="","",IF(T2720="","",VLOOKUP(D2720,契約台帳!$A$3:$Q$4986,17,FALSE)))</f>
        <v>2</v>
      </c>
      <c r="Z2720" s="269" t="str">
        <f ca="1">IF(D2720="","",IF(T2720="","",VLOOKUP(D2720,契約台帳!$A$3:$E$4986,5,FALSE)))</f>
        <v>リンテック㈱</v>
      </c>
      <c r="AA2720" s="57"/>
      <c r="AB2720" s="207" t="str">
        <f>IFERROR((VLOOKUP(F2720&amp;K2720&amp;M2720,製品マスタ!$M$5:$AM$5002,27,FALSE)),"")</f>
        <v>原反ケース再利用</v>
      </c>
      <c r="AC2720" s="33"/>
      <c r="AD2720" s="189"/>
      <c r="AE2720" s="54"/>
      <c r="AF2720" s="55">
        <f>+M2720*N2720*O2720/1000</f>
        <v>100800</v>
      </c>
      <c r="AG2720" s="43"/>
      <c r="AH2720" s="47"/>
      <c r="AI2720" s="30"/>
      <c r="AJ2720" s="30"/>
      <c r="AK2720" s="30"/>
      <c r="AL2720" s="30"/>
      <c r="AM2720" s="13"/>
      <c r="AN2720" s="13"/>
      <c r="AO2720" s="13"/>
      <c r="AP2720" s="13"/>
      <c r="AQ2720" s="13"/>
      <c r="AR2720" s="14"/>
      <c r="AS2720" s="15"/>
    </row>
    <row r="2721" spans="1:45" s="17" customFormat="1" ht="30.95" hidden="1" customHeight="1" x14ac:dyDescent="0.2">
      <c r="A2721" s="343"/>
      <c r="B2721" s="344"/>
      <c r="C2721" s="345"/>
      <c r="D2721" s="346"/>
      <c r="E2721" s="346"/>
      <c r="F2721" s="268"/>
      <c r="G2721" s="269"/>
      <c r="H2721" s="269"/>
      <c r="I2721" s="270"/>
      <c r="J2721" s="434"/>
      <c r="K2721" s="270"/>
      <c r="L2721" s="270"/>
      <c r="M2721" s="348"/>
      <c r="N2721" s="348"/>
      <c r="O2721" s="435"/>
      <c r="P2721" s="349"/>
      <c r="Q2721" s="350"/>
      <c r="R2721" s="271"/>
      <c r="S2721" s="272"/>
      <c r="T2721" s="273"/>
      <c r="U2721" s="351"/>
      <c r="V2721" s="274"/>
      <c r="W2721" s="269"/>
      <c r="X2721" s="269"/>
      <c r="Y2721" s="275"/>
      <c r="Z2721" s="269"/>
      <c r="AA2721" s="350"/>
      <c r="AB2721" s="207"/>
      <c r="AC2721" s="352"/>
      <c r="AD2721" s="353"/>
      <c r="AE2721" s="54"/>
      <c r="AF2721" s="354"/>
      <c r="AG2721" s="355"/>
      <c r="AH2721" s="349"/>
      <c r="AI2721" s="30"/>
      <c r="AJ2721" s="30"/>
      <c r="AK2721" s="30"/>
      <c r="AL2721" s="30"/>
      <c r="AM2721" s="13"/>
      <c r="AN2721" s="13"/>
      <c r="AO2721" s="13"/>
      <c r="AP2721" s="13"/>
      <c r="AQ2721" s="13"/>
      <c r="AR2721" s="14"/>
      <c r="AS2721" s="15"/>
    </row>
    <row r="2722" spans="1:45" s="17" customFormat="1" ht="30.95" hidden="1" customHeight="1" x14ac:dyDescent="0.2">
      <c r="A2722" s="343" t="s">
        <v>650</v>
      </c>
      <c r="B2722" s="344" t="s">
        <v>3294</v>
      </c>
      <c r="C2722" s="345"/>
      <c r="D2722" s="346"/>
      <c r="E2722" s="346"/>
      <c r="F2722" s="268"/>
      <c r="G2722" s="269"/>
      <c r="H2722" s="269"/>
      <c r="I2722" s="270"/>
      <c r="J2722" s="434" t="s">
        <v>3308</v>
      </c>
      <c r="K2722" s="270"/>
      <c r="L2722" s="270"/>
      <c r="M2722" s="348"/>
      <c r="N2722" s="348"/>
      <c r="O2722" s="435"/>
      <c r="P2722" s="349"/>
      <c r="Q2722" s="350"/>
      <c r="R2722" s="271"/>
      <c r="S2722" s="272"/>
      <c r="T2722" s="273"/>
      <c r="U2722" s="351"/>
      <c r="V2722" s="274"/>
      <c r="W2722" s="269"/>
      <c r="X2722" s="269"/>
      <c r="Y2722" s="275"/>
      <c r="Z2722" s="269"/>
      <c r="AA2722" s="350"/>
      <c r="AB2722" s="207"/>
      <c r="AC2722" s="352"/>
      <c r="AD2722" s="353"/>
      <c r="AE2722" s="54"/>
      <c r="AF2722" s="354"/>
      <c r="AG2722" s="355"/>
      <c r="AH2722" s="349"/>
      <c r="AI2722" s="30"/>
      <c r="AJ2722" s="30"/>
      <c r="AK2722" s="30"/>
      <c r="AL2722" s="30"/>
      <c r="AM2722" s="13"/>
      <c r="AN2722" s="13"/>
      <c r="AO2722" s="13"/>
      <c r="AP2722" s="13"/>
      <c r="AQ2722" s="13"/>
      <c r="AR2722" s="14"/>
      <c r="AS2722" s="15"/>
    </row>
    <row r="2723" spans="1:45" s="17" customFormat="1" ht="30.6" hidden="1" customHeight="1" x14ac:dyDescent="0.2">
      <c r="A2723" s="343"/>
      <c r="B2723" s="344"/>
      <c r="C2723" s="45"/>
      <c r="D2723" s="31"/>
      <c r="E2723" s="31"/>
      <c r="F2723" s="268"/>
      <c r="G2723" s="269"/>
      <c r="H2723" s="269"/>
      <c r="I2723" s="270"/>
      <c r="J2723" s="210"/>
      <c r="K2723" s="270"/>
      <c r="L2723" s="270"/>
      <c r="M2723" s="39"/>
      <c r="N2723" s="39"/>
      <c r="O2723" s="156"/>
      <c r="P2723" s="47"/>
      <c r="Q2723" s="57"/>
      <c r="R2723" s="271"/>
      <c r="S2723" s="272"/>
      <c r="T2723" s="273"/>
      <c r="U2723" s="40"/>
      <c r="V2723" s="274"/>
      <c r="W2723" s="269"/>
      <c r="X2723" s="269"/>
      <c r="Y2723" s="275"/>
      <c r="Z2723" s="269"/>
      <c r="AA2723" s="57"/>
      <c r="AB2723" s="207"/>
      <c r="AC2723" s="33"/>
      <c r="AD2723" s="189"/>
      <c r="AE2723" s="54"/>
      <c r="AF2723" s="55"/>
      <c r="AG2723" s="43"/>
      <c r="AH2723" s="47"/>
      <c r="AI2723" s="30"/>
      <c r="AJ2723" s="30"/>
      <c r="AK2723" s="30"/>
      <c r="AL2723" s="30"/>
      <c r="AM2723" s="13"/>
      <c r="AN2723" s="13"/>
      <c r="AO2723" s="13"/>
      <c r="AP2723" s="13"/>
      <c r="AQ2723" s="13"/>
      <c r="AR2723" s="14"/>
      <c r="AS2723" s="15"/>
    </row>
    <row r="2724" spans="1:45" s="17" customFormat="1" ht="30.95" hidden="1" customHeight="1" x14ac:dyDescent="0.2">
      <c r="A2724" s="343" t="s">
        <v>651</v>
      </c>
      <c r="B2724" s="344" t="s">
        <v>3310</v>
      </c>
      <c r="C2724" s="345"/>
      <c r="D2724" s="346"/>
      <c r="E2724" s="346"/>
      <c r="F2724" s="268"/>
      <c r="G2724" s="269"/>
      <c r="H2724" s="269"/>
      <c r="I2724" s="270"/>
      <c r="J2724" s="434" t="s">
        <v>3308</v>
      </c>
      <c r="K2724" s="270"/>
      <c r="L2724" s="270"/>
      <c r="M2724" s="348"/>
      <c r="N2724" s="348"/>
      <c r="O2724" s="435"/>
      <c r="P2724" s="349"/>
      <c r="Q2724" s="350"/>
      <c r="R2724" s="271"/>
      <c r="S2724" s="272"/>
      <c r="T2724" s="273"/>
      <c r="U2724" s="351"/>
      <c r="V2724" s="274"/>
      <c r="W2724" s="269"/>
      <c r="X2724" s="269"/>
      <c r="Y2724" s="275"/>
      <c r="Z2724" s="269"/>
      <c r="AA2724" s="350"/>
      <c r="AB2724" s="207"/>
      <c r="AC2724" s="352"/>
      <c r="AD2724" s="353"/>
      <c r="AE2724" s="54"/>
      <c r="AF2724" s="354"/>
      <c r="AG2724" s="355"/>
      <c r="AH2724" s="349"/>
      <c r="AI2724" s="30"/>
      <c r="AJ2724" s="30"/>
      <c r="AK2724" s="30"/>
      <c r="AL2724" s="30"/>
      <c r="AM2724" s="13"/>
      <c r="AN2724" s="13"/>
      <c r="AO2724" s="13"/>
      <c r="AP2724" s="13"/>
      <c r="AQ2724" s="13"/>
      <c r="AR2724" s="14"/>
      <c r="AS2724" s="15"/>
    </row>
    <row r="2725" spans="1:45" s="17" customFormat="1" ht="30.6" hidden="1" customHeight="1" x14ac:dyDescent="0.2">
      <c r="A2725" s="343"/>
      <c r="B2725" s="344"/>
      <c r="C2725" s="45"/>
      <c r="D2725" s="31"/>
      <c r="E2725" s="31"/>
      <c r="F2725" s="268"/>
      <c r="G2725" s="269"/>
      <c r="H2725" s="269"/>
      <c r="I2725" s="270"/>
      <c r="J2725" s="210"/>
      <c r="K2725" s="270"/>
      <c r="L2725" s="270"/>
      <c r="M2725" s="39"/>
      <c r="N2725" s="39"/>
      <c r="O2725" s="156"/>
      <c r="P2725" s="47"/>
      <c r="Q2725" s="57"/>
      <c r="R2725" s="271"/>
      <c r="S2725" s="272"/>
      <c r="T2725" s="273"/>
      <c r="U2725" s="40"/>
      <c r="V2725" s="274"/>
      <c r="W2725" s="269"/>
      <c r="X2725" s="269"/>
      <c r="Y2725" s="275"/>
      <c r="Z2725" s="269"/>
      <c r="AA2725" s="57"/>
      <c r="AB2725" s="207"/>
      <c r="AC2725" s="33"/>
      <c r="AD2725" s="189"/>
      <c r="AE2725" s="54"/>
      <c r="AF2725" s="55"/>
      <c r="AG2725" s="43"/>
      <c r="AH2725" s="47"/>
      <c r="AI2725" s="30"/>
      <c r="AJ2725" s="30"/>
      <c r="AK2725" s="30"/>
      <c r="AL2725" s="30"/>
      <c r="AM2725" s="13"/>
      <c r="AN2725" s="13"/>
      <c r="AO2725" s="13"/>
      <c r="AP2725" s="13"/>
      <c r="AQ2725" s="13"/>
      <c r="AR2725" s="14"/>
      <c r="AS2725" s="15"/>
    </row>
    <row r="2726" spans="1:45" s="17" customFormat="1" ht="30.6" hidden="1" customHeight="1" x14ac:dyDescent="0.2">
      <c r="A2726" s="343" t="s">
        <v>3352</v>
      </c>
      <c r="B2726" s="344" t="s">
        <v>462</v>
      </c>
      <c r="C2726" s="45"/>
      <c r="D2726" s="31">
        <v>3789511</v>
      </c>
      <c r="E2726" s="31">
        <v>4162804</v>
      </c>
      <c r="F2726" s="268" t="str">
        <f>IF(D2726="","",VLOOKUP(D2726,契約台帳!$A$3:$K$4986,6,FALSE)&amp;VLOOKUP(D2726,契約台帳!$A$3:$K$4986,7,FALSE)&amp;VLOOKUP(D2726,契約台帳!$A$3:$K$4986,8,FALSE)&amp;VLOOKUP(D2726,契約台帳!$A$3:$K$4986,9,FALSE)&amp;VLOOKUP(D2726,契約台帳!$A$3:$K$4986,11,FALSE))</f>
        <v>3SNMLBMTSF</v>
      </c>
      <c r="G2726" s="269" t="str">
        <f>IF(D2726="","",VLOOKUP(F2726,製品マスタ!$G$5:$H$5002,2,FALSE))</f>
        <v>S</v>
      </c>
      <c r="H2726" s="269" t="str">
        <f>IF(D2726="","",VLOOKUP(F2726,製品マスタ!$G$5:$K$5002,5,FALSE))</f>
        <v>MTSF</v>
      </c>
      <c r="I2726" s="270" t="str">
        <f>IF(D2726="","",VLOOKUP(F2726,製品マスタ!$G$5:$L$5002,6,FALSE))</f>
        <v>メタルミー　ＴＳ</v>
      </c>
      <c r="J2726" s="210" t="s">
        <v>574</v>
      </c>
      <c r="K2726" s="270">
        <f>IF(D2726="","",VLOOKUP(D2726,契約台帳!$A$3:$L$4986,12,FALSE))</f>
        <v>75</v>
      </c>
      <c r="L2726" s="270" t="str">
        <f>IF(D2726="","",INDEX(製品マスタ!$Q$5:$Q$5002,MATCH('S4'!F2726&amp;'S4'!K2726,製品マスタ!$AO$5:$AO$5002,0)))</f>
        <v>T60</v>
      </c>
      <c r="M2726" s="39">
        <v>1100</v>
      </c>
      <c r="N2726" s="39">
        <v>2000</v>
      </c>
      <c r="O2726" s="156">
        <v>1</v>
      </c>
      <c r="P2726" s="47">
        <v>1</v>
      </c>
      <c r="Q2726" s="213">
        <v>45614</v>
      </c>
      <c r="R2726" s="271">
        <f ca="1">IF(D2726="","",IF(OFFSET(D2726,-1,0)&lt;&gt;"","",IF(OR(J2726="リード付け",J2726="巻足し",J2726="巻返しリード付け"),M2726,VLOOKUP(D2726,契約台帳!$A$3:$N$4986,14,FALSE))))</f>
        <v>1100</v>
      </c>
      <c r="S2726" s="272">
        <f ca="1">IF(D2726="","",IF(OFFSET(D2726,-1,0)&lt;&gt;"","",IF(OR(J2726="リード付け",J2726="巻足し",J2726="巻返しリード付け"),M2726,VLOOKUP(D2726,契約台帳!$A$3:$O$4986,15,FALSE))))</f>
        <v>1100</v>
      </c>
      <c r="T2726" s="273">
        <f ca="1">IF(D2726="","",IF(J2726="リード付け",N2726,IF(J2726="巻返しリード付け",N2726,IF(J2726="巻足し",N2726*P2726+OFFSET(N2726,1,0)*OFFSET(P2726,1,0),VLOOKUP(D2726,契約台帳!$A$3:$P$4986,16,FALSE)))))</f>
        <v>2000</v>
      </c>
      <c r="U2726" s="40">
        <v>1</v>
      </c>
      <c r="V2726" s="274">
        <f ca="1">IF(D2726="","",IF(OFFSET(D2726,-2,0)=D2726,"",VLOOKUP(D2726,契約台帳!$A$3:$R$4986,18,FALSE)))</f>
        <v>2</v>
      </c>
      <c r="W2726" s="269" t="str">
        <f ca="1">IF(D2726="","",IF(T2726="","",IF(OR(J2726="巻足し",J2726="巻返しリード付け"),"",IF(J2726="巻返し",VLOOKUP(F2726&amp;K2726&amp;M2726,製品マスタ!$M$5:$AD$5002,18,FALSE),IF(OR(J2726="リード付け",J2726="巻返しリード付け"),"原反コア",IF(J2726="スリット",VLOOKUP(F2726&amp;K2726&amp;R2726,製品マスタ!$N$5:$AD$5002,17,FALSE),""))))))</f>
        <v/>
      </c>
      <c r="X2726" s="269" t="str">
        <f ca="1">IF(D2726="","",IF(T2726="","",IF(J2726="巻足し","",IF(J2726="巻返し",VLOOKUP(F2726&amp;K2726&amp;M2726,製品マスタ!$M$5:$AE$5002,19,FALSE),IF(OR(J2726="リード付け",J2726="巻返しリード付け"),"",IF(J2726="スリット",VLOOKUP(F2726&amp;K2726&amp;R2726,製品マスタ!$N$5:$AE$5002,18,FALSE),""))))))</f>
        <v/>
      </c>
      <c r="Y2726" s="275">
        <f ca="1">IF(D2726="","",IF(T2726="","",VLOOKUP(D2726,契約台帳!$A$3:$Q$4986,17,FALSE)))</f>
        <v>2</v>
      </c>
      <c r="Z2726" s="269" t="str">
        <f ca="1">IF(D2726="","",IF(T2726="","",VLOOKUP(D2726,契約台帳!$A$3:$E$4986,5,FALSE)))</f>
        <v>パナック㈱亀山工場</v>
      </c>
      <c r="AA2726" s="57"/>
      <c r="AB2726" s="207">
        <f>IFERROR((VLOOKUP(F2726&amp;K2726&amp;M2726,製品マスタ!$M$5:$AM$5002,27,FALSE)),"")</f>
        <v>0</v>
      </c>
      <c r="AC2726" s="33"/>
      <c r="AD2726" s="189"/>
      <c r="AE2726" s="54"/>
      <c r="AF2726" s="55">
        <f>+M2726*N2726*O2726/1000</f>
        <v>2200</v>
      </c>
      <c r="AG2726" s="43"/>
      <c r="AH2726" s="47"/>
      <c r="AI2726" s="30"/>
      <c r="AJ2726" s="30"/>
      <c r="AK2726" s="30"/>
      <c r="AL2726" s="30"/>
      <c r="AM2726" s="13"/>
      <c r="AN2726" s="13"/>
      <c r="AO2726" s="13"/>
      <c r="AP2726" s="13"/>
      <c r="AQ2726" s="13"/>
      <c r="AR2726" s="14"/>
      <c r="AS2726" s="15"/>
    </row>
    <row r="2727" spans="1:45" s="17" customFormat="1" ht="30.6" hidden="1" customHeight="1" x14ac:dyDescent="0.2">
      <c r="A2727" s="343"/>
      <c r="B2727" s="344"/>
      <c r="C2727" s="45"/>
      <c r="D2727" s="31"/>
      <c r="E2727" s="31"/>
      <c r="F2727" s="268"/>
      <c r="G2727" s="269"/>
      <c r="H2727" s="269"/>
      <c r="I2727" s="301" t="s">
        <v>3353</v>
      </c>
      <c r="J2727" s="210"/>
      <c r="K2727" s="270"/>
      <c r="L2727" s="270"/>
      <c r="M2727" s="39"/>
      <c r="N2727" s="39"/>
      <c r="O2727" s="156"/>
      <c r="P2727" s="47"/>
      <c r="Q2727" s="57"/>
      <c r="R2727" s="271"/>
      <c r="S2727" s="272"/>
      <c r="T2727" s="273"/>
      <c r="U2727" s="40"/>
      <c r="V2727" s="274"/>
      <c r="W2727" s="269"/>
      <c r="X2727" s="269"/>
      <c r="Y2727" s="275"/>
      <c r="Z2727" s="269"/>
      <c r="AA2727" s="57"/>
      <c r="AB2727" s="207"/>
      <c r="AC2727" s="33"/>
      <c r="AD2727" s="189"/>
      <c r="AE2727" s="54"/>
      <c r="AF2727" s="55"/>
      <c r="AG2727" s="43"/>
      <c r="AH2727" s="47"/>
      <c r="AI2727" s="30"/>
      <c r="AJ2727" s="30"/>
      <c r="AK2727" s="30"/>
      <c r="AL2727" s="30"/>
      <c r="AM2727" s="13"/>
      <c r="AN2727" s="13"/>
      <c r="AO2727" s="13"/>
      <c r="AP2727" s="13"/>
      <c r="AQ2727" s="13"/>
      <c r="AR2727" s="14"/>
      <c r="AS2727" s="15"/>
    </row>
    <row r="2728" spans="1:45" s="17" customFormat="1" ht="30.6" hidden="1" customHeight="1" x14ac:dyDescent="0.2">
      <c r="A2728" s="343" t="s">
        <v>1744</v>
      </c>
      <c r="B2728" s="344" t="s">
        <v>688</v>
      </c>
      <c r="C2728" s="45"/>
      <c r="D2728" s="31">
        <v>3783813</v>
      </c>
      <c r="E2728" s="279">
        <v>4143282</v>
      </c>
      <c r="F2728" s="268" t="str">
        <f>IF(D2728="","",VLOOKUP(D2728,契約台帳!$A$3:$K$4986,6,FALSE)&amp;VLOOKUP(D2728,契約台帳!$A$3:$K$4986,7,FALSE)&amp;VLOOKUP(D2728,契約台帳!$A$3:$K$4986,8,FALSE)&amp;VLOOKUP(D2728,契約台帳!$A$3:$K$4986,9,FALSE)&amp;VLOOKUP(D2728,契約台帳!$A$3:$K$4986,11,FALSE))</f>
        <v>33SSNMCLBTEKKFV</v>
      </c>
      <c r="G2728" s="269" t="str">
        <f>IF(D2728="","",VLOOKUP(F2728,製品マスタ!$G$5:$H$5002,2,FALSE))</f>
        <v>S</v>
      </c>
      <c r="H2728" s="269" t="str">
        <f>IF(D2728="","",VLOOKUP(F2728,製品マスタ!$G$5:$K$5002,5,FALSE))</f>
        <v>TEKKFV</v>
      </c>
      <c r="I2728" s="270" t="str">
        <f>IF(D2728="","",VLOOKUP(F2728,製品マスタ!$G$5:$L$5002,6,FALSE))</f>
        <v>メタルミー　ＴＥＳ消開封　Ｖ</v>
      </c>
      <c r="J2728" s="210" t="s">
        <v>447</v>
      </c>
      <c r="K2728" s="270">
        <f>IF(D2728="","",VLOOKUP(D2728,契約台帳!$A$3:$L$4986,12,FALSE))</f>
        <v>50</v>
      </c>
      <c r="L2728" s="270" t="str">
        <f>IF(D2728="","",INDEX(製品マスタ!$Q$5:$Q$5002,MATCH('S4'!F2728&amp;'S4'!K2728,製品マスタ!$AO$5:$AO$5002,0)))</f>
        <v>X44SEPA</v>
      </c>
      <c r="M2728" s="39">
        <v>1005</v>
      </c>
      <c r="N2728" s="39">
        <v>12000</v>
      </c>
      <c r="O2728" s="156">
        <v>2</v>
      </c>
      <c r="P2728" s="47">
        <v>2</v>
      </c>
      <c r="Q2728" s="57"/>
      <c r="R2728" s="271">
        <f ca="1">IF(D2728="","",IF(OFFSET(D2728,-1,0)&lt;&gt;"","",IF(OR(J2728="リード付け",J2728="巻足し",J2728="巻返しリード付け"),M2728,VLOOKUP(D2728,契約台帳!$A$3:$N$4986,14,FALSE))))</f>
        <v>1005</v>
      </c>
      <c r="S2728" s="272">
        <f ca="1">IF(D2728="","",IF(OFFSET(D2728,-1,0)&lt;&gt;"","",IF(OR(J2728="リード付け",J2728="巻足し",J2728="巻返しリード付け"),M2728,VLOOKUP(D2728,契約台帳!$A$3:$O$4986,15,FALSE))))</f>
        <v>1000</v>
      </c>
      <c r="T2728" s="273">
        <f ca="1">IF(D2728="","",IF(J2728="リード付け",N2728,IF(J2728="巻返しリード付け",N2728,IF(J2728="巻足し",N2728*P2728+OFFSET(N2728,1,0)*OFFSET(P2728,1,0),VLOOKUP(D2728,契約台帳!$A$3:$P$4986,16,FALSE)))))</f>
        <v>4000</v>
      </c>
      <c r="U2728" s="40">
        <v>6</v>
      </c>
      <c r="V2728" s="274">
        <f ca="1">IF(D2728="","",IF(OFFSET(D2728,-2,0)=D2728,"",VLOOKUP(D2728,契約台帳!$A$3:$R$4986,18,FALSE)))</f>
        <v>6</v>
      </c>
      <c r="W2728" s="269" t="str">
        <f ca="1">IF(D2728="","",IF(T2728="","",IF(OR(J2728="巻足し",J2728="巻返しリード付け"),"",IF(J2728="巻返し",VLOOKUP(F2728&amp;K2728&amp;M2728,製品マスタ!$M$5:$AD$5002,18,FALSE),IF(OR(J2728="リード付け",J2728="巻返しリード付け"),"原反コア",IF(J2728="スリット",VLOOKUP(F2728&amp;K2728&amp;R2728,製品マスタ!$N$5:$AD$5002,17,FALSE),""))))))</f>
        <v>6ｲﾝﾁSｺｱ</v>
      </c>
      <c r="X2728" s="269">
        <f ca="1">IF(D2728="","",IF(T2728="","",IF(J2728="巻足し","",IF(J2728="巻返し",VLOOKUP(F2728&amp;K2728&amp;M2728,製品マスタ!$M$5:$AE$5002,19,FALSE),IF(OR(J2728="リード付け",J2728="巻返しリード付け"),"",IF(J2728="スリット",VLOOKUP(F2728&amp;K2728&amp;R2728,製品マスタ!$N$5:$AE$5002,18,FALSE),""))))))</f>
        <v>1015</v>
      </c>
      <c r="Y2728" s="275">
        <f ca="1">IF(D2728="","",IF(T2728="","",VLOOKUP(D2728,契約台帳!$A$3:$Q$4986,17,FALSE)))</f>
        <v>2</v>
      </c>
      <c r="Z2728" s="269" t="str">
        <f ca="1">IF(D2728="","",IF(T2728="","",VLOOKUP(D2728,契約台帳!$A$3:$E$4986,5,FALSE)))</f>
        <v>リンテック㈱</v>
      </c>
      <c r="AA2728" s="57"/>
      <c r="AB2728" s="207"/>
      <c r="AC2728" s="33"/>
      <c r="AD2728" s="189"/>
      <c r="AE2728" s="54"/>
      <c r="AF2728" s="55"/>
      <c r="AG2728" s="43"/>
      <c r="AH2728" s="47"/>
      <c r="AI2728" s="30"/>
      <c r="AJ2728" s="30"/>
      <c r="AK2728" s="30"/>
      <c r="AL2728" s="30"/>
      <c r="AM2728" s="13"/>
      <c r="AN2728" s="13"/>
      <c r="AO2728" s="13"/>
      <c r="AP2728" s="13"/>
      <c r="AQ2728" s="13"/>
      <c r="AR2728" s="14"/>
      <c r="AS2728" s="15"/>
    </row>
    <row r="2729" spans="1:45" s="17" customFormat="1" ht="30.95" hidden="1" customHeight="1" x14ac:dyDescent="0.2">
      <c r="A2729" s="343"/>
      <c r="B2729" s="344"/>
      <c r="C2729" s="345"/>
      <c r="D2729" s="346"/>
      <c r="E2729" s="361"/>
      <c r="F2729" s="268"/>
      <c r="G2729" s="269"/>
      <c r="H2729" s="269"/>
      <c r="I2729" s="270"/>
      <c r="J2729" s="434"/>
      <c r="K2729" s="270"/>
      <c r="L2729" s="270"/>
      <c r="M2729" s="348"/>
      <c r="N2729" s="348"/>
      <c r="O2729" s="435"/>
      <c r="P2729" s="349"/>
      <c r="Q2729" s="350"/>
      <c r="R2729" s="271"/>
      <c r="S2729" s="272"/>
      <c r="T2729" s="273"/>
      <c r="U2729" s="351"/>
      <c r="V2729" s="274"/>
      <c r="W2729" s="269"/>
      <c r="X2729" s="269"/>
      <c r="Y2729" s="275"/>
      <c r="Z2729" s="269"/>
      <c r="AA2729" s="350"/>
      <c r="AB2729" s="207"/>
      <c r="AC2729" s="352"/>
      <c r="AD2729" s="353"/>
      <c r="AE2729" s="54"/>
      <c r="AF2729" s="354"/>
      <c r="AG2729" s="355"/>
      <c r="AH2729" s="349"/>
      <c r="AI2729" s="30"/>
      <c r="AJ2729" s="30"/>
      <c r="AK2729" s="30"/>
      <c r="AL2729" s="30"/>
      <c r="AM2729" s="13"/>
      <c r="AN2729" s="13"/>
      <c r="AO2729" s="13"/>
      <c r="AP2729" s="13"/>
      <c r="AQ2729" s="13"/>
      <c r="AR2729" s="14"/>
      <c r="AS2729" s="15"/>
    </row>
    <row r="2730" spans="1:45" s="17" customFormat="1" ht="30.6" hidden="1" customHeight="1" x14ac:dyDescent="0.2">
      <c r="A2730" s="343" t="s">
        <v>3360</v>
      </c>
      <c r="B2730" s="344" t="s">
        <v>3361</v>
      </c>
      <c r="C2730" s="45"/>
      <c r="D2730" s="31">
        <v>3783814</v>
      </c>
      <c r="E2730" s="279">
        <v>4143283</v>
      </c>
      <c r="F2730" s="268" t="str">
        <f>IF(D2730="","",VLOOKUP(D2730,契約台帳!$A$3:$K$4986,6,FALSE)&amp;VLOOKUP(D2730,契約台帳!$A$3:$K$4986,7,FALSE)&amp;VLOOKUP(D2730,契約台帳!$A$3:$K$4986,8,FALSE)&amp;VLOOKUP(D2730,契約台帳!$A$3:$K$4986,9,FALSE)&amp;VLOOKUP(D2730,契約台帳!$A$3:$K$4986,11,FALSE))</f>
        <v>33SSNMCLBTEKV0V</v>
      </c>
      <c r="G2730" s="269" t="str">
        <f>IF(D2730="","",VLOOKUP(F2730,製品マスタ!$G$5:$H$5002,2,FALSE))</f>
        <v>S</v>
      </c>
      <c r="H2730" s="269" t="str">
        <f>IF(D2730="","",VLOOKUP(F2730,製品マスタ!$G$5:$K$5002,5,FALSE))</f>
        <v>TEKV0V</v>
      </c>
      <c r="I2730" s="270" t="str">
        <f>IF(D2730="","",VLOOKUP(F2730,製品マスタ!$G$5:$L$5002,6,FALSE))</f>
        <v>メタルミー　ＴＥ－Ｓ消　ＶＯＩＤ　Ｖ</v>
      </c>
      <c r="J2730" s="210" t="s">
        <v>447</v>
      </c>
      <c r="K2730" s="270">
        <f>IF(D2730="","",VLOOKUP(D2730,契約台帳!$A$3:$L$4986,12,FALSE))</f>
        <v>50</v>
      </c>
      <c r="L2730" s="270" t="str">
        <f>IF(D2730="","",INDEX(製品マスタ!$Q$5:$Q$5002,MATCH('S4'!F2730&amp;'S4'!K2730,製品マスタ!$AO$5:$AO$5002,0)))</f>
        <v>X44SEPA</v>
      </c>
      <c r="M2730" s="39">
        <v>1005</v>
      </c>
      <c r="N2730" s="39">
        <v>12000</v>
      </c>
      <c r="O2730" s="156">
        <v>1</v>
      </c>
      <c r="P2730" s="47">
        <v>1</v>
      </c>
      <c r="Q2730" s="57"/>
      <c r="R2730" s="271">
        <f ca="1">IF(D2730="","",IF(OFFSET(D2730,-1,0)&lt;&gt;"","",IF(OR(J2730="リード付け",J2730="巻足し",J2730="巻返しリード付け"),M2730,VLOOKUP(D2730,契約台帳!$A$3:$N$4986,14,FALSE))))</f>
        <v>1005</v>
      </c>
      <c r="S2730" s="272">
        <f ca="1">IF(D2730="","",IF(OFFSET(D2730,-1,0)&lt;&gt;"","",IF(OR(J2730="リード付け",J2730="巻足し",J2730="巻返しリード付け"),M2730,VLOOKUP(D2730,契約台帳!$A$3:$O$4986,15,FALSE))))</f>
        <v>1000</v>
      </c>
      <c r="T2730" s="273">
        <f ca="1">IF(D2730="","",IF(J2730="リード付け",N2730,IF(J2730="巻返しリード付け",N2730,IF(J2730="巻足し",N2730*P2730+OFFSET(N2730,1,0)*OFFSET(P2730,1,0),VLOOKUP(D2730,契約台帳!$A$3:$P$4986,16,FALSE)))))</f>
        <v>4000</v>
      </c>
      <c r="U2730" s="40">
        <v>3</v>
      </c>
      <c r="V2730" s="274">
        <f ca="1">IF(D2730="","",IF(OFFSET(D2730,-2,0)=D2730,"",VLOOKUP(D2730,契約台帳!$A$3:$R$4986,18,FALSE)))</f>
        <v>3</v>
      </c>
      <c r="W2730" s="269" t="str">
        <f ca="1">IF(D2730="","",IF(T2730="","",IF(OR(J2730="巻足し",J2730="巻返しリード付け"),"",IF(J2730="巻返し",VLOOKUP(F2730&amp;K2730&amp;M2730,製品マスタ!$M$5:$AD$5002,18,FALSE),IF(OR(J2730="リード付け",J2730="巻返しリード付け"),"原反コア",IF(J2730="スリット",VLOOKUP(F2730&amp;K2730&amp;R2730,製品マスタ!$N$5:$AD$5002,17,FALSE),""))))))</f>
        <v>6ｲﾝﾁSｺｱ</v>
      </c>
      <c r="X2730" s="269">
        <f ca="1">IF(D2730="","",IF(T2730="","",IF(J2730="巻足し","",IF(J2730="巻返し",VLOOKUP(F2730&amp;K2730&amp;M2730,製品マスタ!$M$5:$AE$5002,19,FALSE),IF(OR(J2730="リード付け",J2730="巻返しリード付け"),"",IF(J2730="スリット",VLOOKUP(F2730&amp;K2730&amp;R2730,製品マスタ!$N$5:$AE$5002,18,FALSE),""))))))</f>
        <v>1015</v>
      </c>
      <c r="Y2730" s="275">
        <f ca="1">IF(D2730="","",IF(T2730="","",VLOOKUP(D2730,契約台帳!$A$3:$Q$4986,17,FALSE)))</f>
        <v>2</v>
      </c>
      <c r="Z2730" s="269" t="str">
        <f ca="1">IF(D2730="","",IF(T2730="","",VLOOKUP(D2730,契約台帳!$A$3:$E$4986,5,FALSE)))</f>
        <v>リンテック㈱</v>
      </c>
      <c r="AA2730" s="57"/>
      <c r="AB2730" s="207"/>
      <c r="AC2730" s="33"/>
      <c r="AD2730" s="189"/>
      <c r="AE2730" s="54"/>
      <c r="AF2730" s="55"/>
      <c r="AG2730" s="43"/>
      <c r="AH2730" s="47"/>
      <c r="AI2730" s="30"/>
      <c r="AJ2730" s="30"/>
      <c r="AK2730" s="30"/>
      <c r="AL2730" s="30"/>
      <c r="AM2730" s="13"/>
      <c r="AN2730" s="13"/>
      <c r="AO2730" s="13"/>
      <c r="AP2730" s="13"/>
      <c r="AQ2730" s="13"/>
      <c r="AR2730" s="14"/>
      <c r="AS2730" s="15"/>
    </row>
    <row r="2731" spans="1:45" s="17" customFormat="1" ht="30.95" hidden="1" customHeight="1" x14ac:dyDescent="0.2">
      <c r="A2731" s="343"/>
      <c r="B2731" s="344"/>
      <c r="C2731" s="345"/>
      <c r="D2731" s="346"/>
      <c r="E2731" s="346"/>
      <c r="F2731" s="268"/>
      <c r="G2731" s="269"/>
      <c r="H2731" s="269"/>
      <c r="I2731" s="270"/>
      <c r="J2731" s="434"/>
      <c r="K2731" s="270"/>
      <c r="L2731" s="270"/>
      <c r="M2731" s="348"/>
      <c r="N2731" s="348"/>
      <c r="O2731" s="435"/>
      <c r="P2731" s="349"/>
      <c r="Q2731" s="350"/>
      <c r="R2731" s="271"/>
      <c r="S2731" s="272"/>
      <c r="T2731" s="273"/>
      <c r="U2731" s="351"/>
      <c r="V2731" s="274"/>
      <c r="W2731" s="269"/>
      <c r="X2731" s="269"/>
      <c r="Y2731" s="275"/>
      <c r="Z2731" s="269"/>
      <c r="AA2731" s="350"/>
      <c r="AB2731" s="207"/>
      <c r="AC2731" s="352"/>
      <c r="AD2731" s="353"/>
      <c r="AE2731" s="54"/>
      <c r="AF2731" s="354"/>
      <c r="AG2731" s="355"/>
      <c r="AH2731" s="349"/>
      <c r="AI2731" s="30"/>
      <c r="AJ2731" s="30"/>
      <c r="AK2731" s="30"/>
      <c r="AL2731" s="30"/>
      <c r="AM2731" s="13"/>
      <c r="AN2731" s="13"/>
      <c r="AO2731" s="13"/>
      <c r="AP2731" s="13"/>
      <c r="AQ2731" s="13"/>
      <c r="AR2731" s="14"/>
      <c r="AS2731" s="15"/>
    </row>
    <row r="2732" spans="1:45" s="17" customFormat="1" ht="30.6" hidden="1" customHeight="1" x14ac:dyDescent="0.2">
      <c r="A2732" s="343"/>
      <c r="B2732" s="344"/>
      <c r="C2732" s="45"/>
      <c r="D2732" s="31">
        <v>3789425</v>
      </c>
      <c r="E2732" s="279">
        <v>4144150</v>
      </c>
      <c r="F2732" s="268" t="str">
        <f>IF(D2732="","",VLOOKUP(D2732,契約台帳!$A$3:$K$4986,6,FALSE)&amp;VLOOKUP(D2732,契約台帳!$A$3:$K$4986,7,FALSE)&amp;VLOOKUP(D2732,契約台帳!$A$3:$K$4986,8,FALSE)&amp;VLOOKUP(D2732,契約台帳!$A$3:$K$4986,9,FALSE)&amp;VLOOKUP(D2732,契約台帳!$A$3:$K$4986,11,FALSE))</f>
        <v>3TNMCLBHLKTV</v>
      </c>
      <c r="G2732" s="269" t="str">
        <f>IF(D2732="","",VLOOKUP(F2732,製品マスタ!$G$5:$H$5002,2,FALSE))</f>
        <v>T</v>
      </c>
      <c r="H2732" s="269" t="str">
        <f>IF(D2732="","",VLOOKUP(F2732,製品マスタ!$G$5:$K$5002,5,FALSE))</f>
        <v>HLKTV</v>
      </c>
      <c r="I2732" s="270" t="str">
        <f>IF(D2732="","",VLOOKUP(F2732,製品マスタ!$G$5:$L$5002,6,FALSE))</f>
        <v>メタルミー　ヘヤライン金艶　Ｖ</v>
      </c>
      <c r="J2732" s="210" t="s">
        <v>447</v>
      </c>
      <c r="K2732" s="270">
        <f>IF(D2732="","",VLOOKUP(D2732,契約台帳!$A$3:$L$4986,12,FALSE))</f>
        <v>50</v>
      </c>
      <c r="L2732" s="270" t="str">
        <f>IF(D2732="","",INDEX(製品マスタ!$Q$5:$Q$5002,MATCH('S4'!F2732&amp;'S4'!K2732,製品マスタ!$AO$5:$AO$5002,0)))</f>
        <v>HL50/EC</v>
      </c>
      <c r="M2732" s="39">
        <v>1030</v>
      </c>
      <c r="N2732" s="39">
        <v>2000</v>
      </c>
      <c r="O2732" s="156">
        <v>1</v>
      </c>
      <c r="P2732" s="47">
        <v>1</v>
      </c>
      <c r="Q2732" s="57"/>
      <c r="R2732" s="271">
        <f ca="1">IF(D2732="","",IF(OFFSET(D2732,-1,0)&lt;&gt;"","",IF(OR(J2732="リード付け",J2732="巻足し",J2732="巻返しリード付け"),M2732,VLOOKUP(D2732,契約台帳!$A$3:$N$4986,14,FALSE))))</f>
        <v>1000</v>
      </c>
      <c r="S2732" s="272">
        <f ca="1">IF(D2732="","",IF(OFFSET(D2732,-1,0)&lt;&gt;"","",IF(OR(J2732="リード付け",J2732="巻足し",J2732="巻返しリード付け"),M2732,VLOOKUP(D2732,契約台帳!$A$3:$O$4986,15,FALSE))))</f>
        <v>1000</v>
      </c>
      <c r="T2732" s="273">
        <f ca="1">IF(D2732="","",IF(J2732="リード付け",N2732,IF(J2732="巻返しリード付け",N2732,IF(J2732="巻足し",N2732*P2732+OFFSET(N2732,1,0)*OFFSET(P2732,1,0),VLOOKUP(D2732,契約台帳!$A$3:$P$4986,16,FALSE)))))</f>
        <v>2000</v>
      </c>
      <c r="U2732" s="40">
        <v>1</v>
      </c>
      <c r="V2732" s="274">
        <f ca="1">IF(D2732="","",IF(OFFSET(D2732,-2,0)=D2732,"",VLOOKUP(D2732,契約台帳!$A$3:$R$4986,18,FALSE)))</f>
        <v>1</v>
      </c>
      <c r="W2732" s="269" t="str">
        <f ca="1">IF(D2732="","",IF(T2732="","",IF(OR(J2732="巻足し",J2732="巻返しリード付け"),"",IF(J2732="巻返し",VLOOKUP(F2732&amp;K2732&amp;M2732,製品マスタ!$M$5:$AD$5002,18,FALSE),IF(OR(J2732="リード付け",J2732="巻返しリード付け"),"原反コア",IF(J2732="スリット",VLOOKUP(F2732&amp;K2732&amp;R2732,製品マスタ!$N$5:$AD$5002,17,FALSE),""))))))</f>
        <v>6ｲﾝﾁSｺｱ</v>
      </c>
      <c r="X2732" s="269">
        <f ca="1">IF(D2732="","",IF(T2732="","",IF(J2732="巻足し","",IF(J2732="巻返し",VLOOKUP(F2732&amp;K2732&amp;M2732,製品マスタ!$M$5:$AE$5002,19,FALSE),IF(OR(J2732="リード付け",J2732="巻返しリード付け"),"",IF(J2732="スリット",VLOOKUP(F2732&amp;K2732&amp;R2732,製品マスタ!$N$5:$AE$5002,18,FALSE),""))))))</f>
        <v>1015</v>
      </c>
      <c r="Y2732" s="275">
        <f ca="1">IF(D2732="","",IF(T2732="","",VLOOKUP(D2732,契約台帳!$A$3:$Q$4986,17,FALSE)))</f>
        <v>2</v>
      </c>
      <c r="Z2732" s="269" t="str">
        <f ca="1">IF(D2732="","",IF(T2732="","",VLOOKUP(D2732,契約台帳!$A$3:$E$4986,5,FALSE)))</f>
        <v>リンテック㈱</v>
      </c>
      <c r="AA2732" s="57"/>
      <c r="AB2732" s="207" t="s">
        <v>3325</v>
      </c>
      <c r="AC2732" s="33"/>
      <c r="AD2732" s="189"/>
      <c r="AE2732" s="54"/>
      <c r="AF2732" s="55"/>
      <c r="AG2732" s="43"/>
      <c r="AH2732" s="47"/>
      <c r="AI2732" s="30"/>
      <c r="AJ2732" s="30"/>
      <c r="AK2732" s="30"/>
      <c r="AL2732" s="30"/>
      <c r="AM2732" s="13"/>
      <c r="AN2732" s="13"/>
      <c r="AO2732" s="13"/>
      <c r="AP2732" s="13"/>
      <c r="AQ2732" s="13"/>
      <c r="AR2732" s="14"/>
      <c r="AS2732" s="15"/>
    </row>
    <row r="2733" spans="1:45" s="17" customFormat="1" ht="30.95" hidden="1" customHeight="1" x14ac:dyDescent="0.2">
      <c r="A2733" s="343"/>
      <c r="B2733" s="344"/>
      <c r="C2733" s="345"/>
      <c r="D2733" s="346"/>
      <c r="E2733" s="346"/>
      <c r="F2733" s="268"/>
      <c r="G2733" s="269"/>
      <c r="H2733" s="269"/>
      <c r="I2733" s="270"/>
      <c r="J2733" s="434"/>
      <c r="K2733" s="270"/>
      <c r="L2733" s="270"/>
      <c r="M2733" s="348"/>
      <c r="N2733" s="348"/>
      <c r="O2733" s="435"/>
      <c r="P2733" s="349"/>
      <c r="Q2733" s="350"/>
      <c r="R2733" s="271"/>
      <c r="S2733" s="272"/>
      <c r="T2733" s="273"/>
      <c r="U2733" s="351"/>
      <c r="V2733" s="274"/>
      <c r="W2733" s="269"/>
      <c r="X2733" s="269"/>
      <c r="Y2733" s="275"/>
      <c r="Z2733" s="269"/>
      <c r="AA2733" s="350"/>
      <c r="AB2733" s="207"/>
      <c r="AC2733" s="352"/>
      <c r="AD2733" s="353"/>
      <c r="AE2733" s="54"/>
      <c r="AF2733" s="354"/>
      <c r="AG2733" s="355"/>
      <c r="AH2733" s="349"/>
      <c r="AI2733" s="30"/>
      <c r="AJ2733" s="30"/>
      <c r="AK2733" s="30"/>
      <c r="AL2733" s="30"/>
      <c r="AM2733" s="13"/>
      <c r="AN2733" s="13"/>
      <c r="AO2733" s="13"/>
      <c r="AP2733" s="13"/>
      <c r="AQ2733" s="13"/>
      <c r="AR2733" s="14"/>
      <c r="AS2733" s="15"/>
    </row>
    <row r="2734" spans="1:45" s="17" customFormat="1" ht="30.6" hidden="1" customHeight="1" x14ac:dyDescent="0.2">
      <c r="A2734" s="343"/>
      <c r="B2734" s="344"/>
      <c r="C2734" s="45"/>
      <c r="D2734" s="31">
        <v>3789424</v>
      </c>
      <c r="E2734" s="279">
        <v>4144149</v>
      </c>
      <c r="F2734" s="268" t="str">
        <f>IF(D2734="","",VLOOKUP(D2734,契約台帳!$A$3:$K$4986,6,FALSE)&amp;VLOOKUP(D2734,契約台帳!$A$3:$K$4986,7,FALSE)&amp;VLOOKUP(D2734,契約台帳!$A$3:$K$4986,8,FALSE)&amp;VLOOKUP(D2734,契約台帳!$A$3:$K$4986,9,FALSE)&amp;VLOOKUP(D2734,契約台帳!$A$3:$K$4986,11,FALSE))</f>
        <v>3TNMCLBHLDTV</v>
      </c>
      <c r="G2734" s="269" t="str">
        <f>IF(D2734="","",VLOOKUP(F2734,製品マスタ!$G$5:$H$5002,2,FALSE))</f>
        <v>T</v>
      </c>
      <c r="H2734" s="269" t="str">
        <f>IF(D2734="","",VLOOKUP(F2734,製品マスタ!$G$5:$K$5002,5,FALSE))</f>
        <v>HLDTV</v>
      </c>
      <c r="I2734" s="270" t="str">
        <f>IF(D2734="","",VLOOKUP(F2734,製品マスタ!$G$5:$L$5002,6,FALSE))</f>
        <v>メタルミー　ＨＬ銅艶　Ｖ</v>
      </c>
      <c r="J2734" s="210" t="s">
        <v>447</v>
      </c>
      <c r="K2734" s="270">
        <f>IF(D2734="","",VLOOKUP(D2734,契約台帳!$A$3:$L$4986,12,FALSE))</f>
        <v>50</v>
      </c>
      <c r="L2734" s="270" t="str">
        <f>IF(D2734="","",INDEX(製品マスタ!$Q$5:$Q$5002,MATCH('S4'!F2734&amp;'S4'!K2734,製品マスタ!$AO$5:$AO$5002,0)))</f>
        <v>HL50/EC</v>
      </c>
      <c r="M2734" s="39">
        <v>1030</v>
      </c>
      <c r="N2734" s="39">
        <v>2000</v>
      </c>
      <c r="O2734" s="156">
        <v>1</v>
      </c>
      <c r="P2734" s="47">
        <v>1</v>
      </c>
      <c r="Q2734" s="57"/>
      <c r="R2734" s="271">
        <f ca="1">IF(D2734="","",IF(OFFSET(D2734,-1,0)&lt;&gt;"","",IF(OR(J2734="リード付け",J2734="巻足し",J2734="巻返しリード付け"),M2734,VLOOKUP(D2734,契約台帳!$A$3:$N$4986,14,FALSE))))</f>
        <v>1000</v>
      </c>
      <c r="S2734" s="272">
        <f ca="1">IF(D2734="","",IF(OFFSET(D2734,-1,0)&lt;&gt;"","",IF(OR(J2734="リード付け",J2734="巻足し",J2734="巻返しリード付け"),M2734,VLOOKUP(D2734,契約台帳!$A$3:$O$4986,15,FALSE))))</f>
        <v>1000</v>
      </c>
      <c r="T2734" s="273">
        <f ca="1">IF(D2734="","",IF(J2734="リード付け",N2734,IF(J2734="巻返しリード付け",N2734,IF(J2734="巻足し",N2734*P2734+OFFSET(N2734,1,0)*OFFSET(P2734,1,0),VLOOKUP(D2734,契約台帳!$A$3:$P$4986,16,FALSE)))))</f>
        <v>2000</v>
      </c>
      <c r="U2734" s="40">
        <v>1</v>
      </c>
      <c r="V2734" s="274">
        <f ca="1">IF(D2734="","",IF(OFFSET(D2734,-2,0)=D2734,"",VLOOKUP(D2734,契約台帳!$A$3:$R$4986,18,FALSE)))</f>
        <v>1</v>
      </c>
      <c r="W2734" s="269" t="str">
        <f ca="1">IF(D2734="","",IF(T2734="","",IF(OR(J2734="巻足し",J2734="巻返しリード付け"),"",IF(J2734="巻返し",VLOOKUP(F2734&amp;K2734&amp;M2734,製品マスタ!$M$5:$AD$5002,18,FALSE),IF(OR(J2734="リード付け",J2734="巻返しリード付け"),"原反コア",IF(J2734="スリット",VLOOKUP(F2734&amp;K2734&amp;R2734,製品マスタ!$N$5:$AD$5002,17,FALSE),""))))))</f>
        <v>6ｲﾝﾁSｺｱ</v>
      </c>
      <c r="X2734" s="269">
        <f ca="1">IF(D2734="","",IF(T2734="","",IF(J2734="巻足し","",IF(J2734="巻返し",VLOOKUP(F2734&amp;K2734&amp;M2734,製品マスタ!$M$5:$AE$5002,19,FALSE),IF(OR(J2734="リード付け",J2734="巻返しリード付け"),"",IF(J2734="スリット",VLOOKUP(F2734&amp;K2734&amp;R2734,製品マスタ!$N$5:$AE$5002,18,FALSE),""))))))</f>
        <v>1015</v>
      </c>
      <c r="Y2734" s="275">
        <f ca="1">IF(D2734="","",IF(T2734="","",VLOOKUP(D2734,契約台帳!$A$3:$Q$4986,17,FALSE)))</f>
        <v>2</v>
      </c>
      <c r="Z2734" s="269" t="str">
        <f ca="1">IF(D2734="","",IF(T2734="","",VLOOKUP(D2734,契約台帳!$A$3:$E$4986,5,FALSE)))</f>
        <v>リンテック㈱</v>
      </c>
      <c r="AA2734" s="57"/>
      <c r="AB2734" s="207" t="s">
        <v>3325</v>
      </c>
      <c r="AC2734" s="33"/>
      <c r="AD2734" s="189"/>
      <c r="AE2734" s="54"/>
      <c r="AF2734" s="55"/>
      <c r="AG2734" s="43"/>
      <c r="AH2734" s="47"/>
      <c r="AI2734" s="30"/>
      <c r="AJ2734" s="30"/>
      <c r="AK2734" s="30"/>
      <c r="AL2734" s="30"/>
      <c r="AM2734" s="13"/>
      <c r="AN2734" s="13"/>
      <c r="AO2734" s="13"/>
      <c r="AP2734" s="13"/>
      <c r="AQ2734" s="13"/>
      <c r="AR2734" s="14"/>
      <c r="AS2734" s="15"/>
    </row>
    <row r="2735" spans="1:45" s="17" customFormat="1" ht="30.95" hidden="1" customHeight="1" x14ac:dyDescent="0.2">
      <c r="A2735" s="343"/>
      <c r="B2735" s="344"/>
      <c r="C2735" s="345"/>
      <c r="D2735" s="346"/>
      <c r="E2735" s="346"/>
      <c r="F2735" s="268"/>
      <c r="G2735" s="269"/>
      <c r="H2735" s="269"/>
      <c r="I2735" s="270"/>
      <c r="J2735" s="434"/>
      <c r="K2735" s="270"/>
      <c r="L2735" s="270"/>
      <c r="M2735" s="348"/>
      <c r="N2735" s="348"/>
      <c r="O2735" s="435"/>
      <c r="P2735" s="349"/>
      <c r="Q2735" s="350"/>
      <c r="R2735" s="271"/>
      <c r="S2735" s="272"/>
      <c r="T2735" s="273"/>
      <c r="U2735" s="351"/>
      <c r="V2735" s="274"/>
      <c r="W2735" s="269"/>
      <c r="X2735" s="269"/>
      <c r="Y2735" s="275"/>
      <c r="Z2735" s="269"/>
      <c r="AA2735" s="350"/>
      <c r="AB2735" s="207"/>
      <c r="AC2735" s="352"/>
      <c r="AD2735" s="353"/>
      <c r="AE2735" s="54"/>
      <c r="AF2735" s="354"/>
      <c r="AG2735" s="355"/>
      <c r="AH2735" s="349"/>
      <c r="AI2735" s="30"/>
      <c r="AJ2735" s="30"/>
      <c r="AK2735" s="30"/>
      <c r="AL2735" s="30"/>
      <c r="AM2735" s="13"/>
      <c r="AN2735" s="13"/>
      <c r="AO2735" s="13"/>
      <c r="AP2735" s="13"/>
      <c r="AQ2735" s="13"/>
      <c r="AR2735" s="14"/>
      <c r="AS2735" s="15"/>
    </row>
    <row r="2736" spans="1:45" s="17" customFormat="1" ht="30.95" hidden="1" customHeight="1" x14ac:dyDescent="0.2">
      <c r="A2736" s="343" t="s">
        <v>653</v>
      </c>
      <c r="B2736" s="344" t="s">
        <v>443</v>
      </c>
      <c r="C2736" s="345"/>
      <c r="D2736" s="346"/>
      <c r="E2736" s="346"/>
      <c r="F2736" s="268"/>
      <c r="G2736" s="269"/>
      <c r="H2736" s="269"/>
      <c r="I2736" s="270"/>
      <c r="J2736" s="434" t="s">
        <v>3386</v>
      </c>
      <c r="K2736" s="270"/>
      <c r="L2736" s="270"/>
      <c r="M2736" s="348"/>
      <c r="N2736" s="348"/>
      <c r="O2736" s="435"/>
      <c r="P2736" s="349"/>
      <c r="Q2736" s="350"/>
      <c r="R2736" s="271"/>
      <c r="S2736" s="272"/>
      <c r="T2736" s="273"/>
      <c r="U2736" s="351"/>
      <c r="V2736" s="274"/>
      <c r="W2736" s="269"/>
      <c r="X2736" s="269"/>
      <c r="Y2736" s="275"/>
      <c r="Z2736" s="269"/>
      <c r="AA2736" s="350"/>
      <c r="AB2736" s="207"/>
      <c r="AC2736" s="352"/>
      <c r="AD2736" s="353"/>
      <c r="AE2736" s="54"/>
      <c r="AF2736" s="354"/>
      <c r="AG2736" s="355"/>
      <c r="AH2736" s="349"/>
      <c r="AI2736" s="30"/>
      <c r="AJ2736" s="30"/>
      <c r="AK2736" s="30"/>
      <c r="AL2736" s="30"/>
      <c r="AM2736" s="13"/>
      <c r="AN2736" s="13"/>
      <c r="AO2736" s="13"/>
      <c r="AP2736" s="13"/>
      <c r="AQ2736" s="13"/>
      <c r="AR2736" s="14"/>
      <c r="AS2736" s="15"/>
    </row>
    <row r="2737" spans="1:45" s="17" customFormat="1" ht="30.95" hidden="1" customHeight="1" x14ac:dyDescent="0.2">
      <c r="A2737" s="343"/>
      <c r="B2737" s="344"/>
      <c r="C2737" s="345"/>
      <c r="D2737" s="346"/>
      <c r="E2737" s="346"/>
      <c r="F2737" s="268"/>
      <c r="G2737" s="269"/>
      <c r="H2737" s="269"/>
      <c r="I2737" s="270"/>
      <c r="J2737" s="434"/>
      <c r="K2737" s="270"/>
      <c r="L2737" s="270"/>
      <c r="M2737" s="348"/>
      <c r="N2737" s="348"/>
      <c r="O2737" s="435"/>
      <c r="P2737" s="349"/>
      <c r="Q2737" s="350"/>
      <c r="R2737" s="271"/>
      <c r="S2737" s="272"/>
      <c r="T2737" s="273"/>
      <c r="U2737" s="351"/>
      <c r="V2737" s="274"/>
      <c r="W2737" s="269"/>
      <c r="X2737" s="269"/>
      <c r="Y2737" s="275"/>
      <c r="Z2737" s="269"/>
      <c r="AA2737" s="350"/>
      <c r="AB2737" s="207"/>
      <c r="AC2737" s="352"/>
      <c r="AD2737" s="353"/>
      <c r="AE2737" s="54"/>
      <c r="AF2737" s="354"/>
      <c r="AG2737" s="355"/>
      <c r="AH2737" s="349"/>
      <c r="AI2737" s="30"/>
      <c r="AJ2737" s="30"/>
      <c r="AK2737" s="30"/>
      <c r="AL2737" s="30"/>
      <c r="AM2737" s="13"/>
      <c r="AN2737" s="13"/>
      <c r="AO2737" s="13"/>
      <c r="AP2737" s="13"/>
      <c r="AQ2737" s="13"/>
      <c r="AR2737" s="14"/>
      <c r="AS2737" s="15"/>
    </row>
    <row r="2738" spans="1:45" s="17" customFormat="1" ht="30.95" hidden="1" customHeight="1" x14ac:dyDescent="0.2">
      <c r="A2738" s="343" t="s">
        <v>3369</v>
      </c>
      <c r="B2738" s="344" t="s">
        <v>3364</v>
      </c>
      <c r="C2738" s="345"/>
      <c r="D2738" s="346"/>
      <c r="E2738" s="346"/>
      <c r="F2738" s="268"/>
      <c r="G2738" s="269"/>
      <c r="H2738" s="269"/>
      <c r="I2738" s="270"/>
      <c r="J2738" s="434" t="s">
        <v>3387</v>
      </c>
      <c r="K2738" s="270"/>
      <c r="L2738" s="270"/>
      <c r="M2738" s="348"/>
      <c r="N2738" s="348"/>
      <c r="O2738" s="435"/>
      <c r="P2738" s="349"/>
      <c r="Q2738" s="350"/>
      <c r="R2738" s="271"/>
      <c r="S2738" s="272"/>
      <c r="T2738" s="273"/>
      <c r="U2738" s="351"/>
      <c r="V2738" s="274"/>
      <c r="W2738" s="269"/>
      <c r="X2738" s="269"/>
      <c r="Y2738" s="275"/>
      <c r="Z2738" s="269"/>
      <c r="AA2738" s="350"/>
      <c r="AB2738" s="207"/>
      <c r="AC2738" s="352"/>
      <c r="AD2738" s="353"/>
      <c r="AE2738" s="54"/>
      <c r="AF2738" s="354"/>
      <c r="AG2738" s="355"/>
      <c r="AH2738" s="349"/>
      <c r="AI2738" s="30"/>
      <c r="AJ2738" s="30"/>
      <c r="AK2738" s="30"/>
      <c r="AL2738" s="30"/>
      <c r="AM2738" s="13"/>
      <c r="AN2738" s="13"/>
      <c r="AO2738" s="13"/>
      <c r="AP2738" s="13"/>
      <c r="AQ2738" s="13"/>
      <c r="AR2738" s="14"/>
      <c r="AS2738" s="15"/>
    </row>
    <row r="2739" spans="1:45" s="17" customFormat="1" ht="30.95" hidden="1" customHeight="1" x14ac:dyDescent="0.2">
      <c r="A2739" s="343"/>
      <c r="B2739" s="344"/>
      <c r="C2739" s="345"/>
      <c r="D2739" s="346"/>
      <c r="E2739" s="346"/>
      <c r="F2739" s="268"/>
      <c r="G2739" s="269"/>
      <c r="H2739" s="269"/>
      <c r="I2739" s="270"/>
      <c r="J2739" s="434"/>
      <c r="K2739" s="270"/>
      <c r="L2739" s="270"/>
      <c r="M2739" s="348"/>
      <c r="N2739" s="348"/>
      <c r="O2739" s="435"/>
      <c r="P2739" s="349"/>
      <c r="Q2739" s="350"/>
      <c r="R2739" s="271"/>
      <c r="S2739" s="272"/>
      <c r="T2739" s="273"/>
      <c r="U2739" s="351"/>
      <c r="V2739" s="274"/>
      <c r="W2739" s="269"/>
      <c r="X2739" s="269"/>
      <c r="Y2739" s="275"/>
      <c r="Z2739" s="269"/>
      <c r="AA2739" s="350"/>
      <c r="AB2739" s="207"/>
      <c r="AC2739" s="352"/>
      <c r="AD2739" s="353"/>
      <c r="AE2739" s="54"/>
      <c r="AF2739" s="354"/>
      <c r="AG2739" s="355"/>
      <c r="AH2739" s="349"/>
      <c r="AI2739" s="30"/>
      <c r="AJ2739" s="30"/>
      <c r="AK2739" s="30"/>
      <c r="AL2739" s="30"/>
      <c r="AM2739" s="13"/>
      <c r="AN2739" s="13"/>
      <c r="AO2739" s="13"/>
      <c r="AP2739" s="13"/>
      <c r="AQ2739" s="13"/>
      <c r="AR2739" s="14"/>
      <c r="AS2739" s="15"/>
    </row>
    <row r="2740" spans="1:45" s="17" customFormat="1" ht="30.95" hidden="1" customHeight="1" x14ac:dyDescent="0.2">
      <c r="A2740" s="343" t="s">
        <v>3374</v>
      </c>
      <c r="B2740" s="344" t="s">
        <v>3375</v>
      </c>
      <c r="C2740" s="345"/>
      <c r="D2740" s="346"/>
      <c r="E2740" s="346"/>
      <c r="F2740" s="268"/>
      <c r="G2740" s="269"/>
      <c r="H2740" s="269"/>
      <c r="I2740" s="270"/>
      <c r="J2740" s="434" t="s">
        <v>448</v>
      </c>
      <c r="K2740" s="270"/>
      <c r="L2740" s="270"/>
      <c r="M2740" s="348"/>
      <c r="N2740" s="348"/>
      <c r="O2740" s="435"/>
      <c r="P2740" s="349"/>
      <c r="Q2740" s="350"/>
      <c r="R2740" s="271"/>
      <c r="S2740" s="272"/>
      <c r="T2740" s="273"/>
      <c r="U2740" s="351"/>
      <c r="V2740" s="274"/>
      <c r="W2740" s="269"/>
      <c r="X2740" s="269"/>
      <c r="Y2740" s="275"/>
      <c r="Z2740" s="269"/>
      <c r="AA2740" s="350"/>
      <c r="AB2740" s="207"/>
      <c r="AC2740" s="352"/>
      <c r="AD2740" s="353"/>
      <c r="AE2740" s="54"/>
      <c r="AF2740" s="354"/>
      <c r="AG2740" s="355"/>
      <c r="AH2740" s="349"/>
      <c r="AI2740" s="30"/>
      <c r="AJ2740" s="30"/>
      <c r="AK2740" s="30"/>
      <c r="AL2740" s="30"/>
      <c r="AM2740" s="13"/>
      <c r="AN2740" s="13"/>
      <c r="AO2740" s="13"/>
      <c r="AP2740" s="13"/>
      <c r="AQ2740" s="13"/>
      <c r="AR2740" s="14"/>
      <c r="AS2740" s="15"/>
    </row>
    <row r="2741" spans="1:45" s="17" customFormat="1" ht="30.95" hidden="1" customHeight="1" x14ac:dyDescent="0.2">
      <c r="A2741" s="343"/>
      <c r="B2741" s="344"/>
      <c r="C2741" s="345"/>
      <c r="D2741" s="346"/>
      <c r="E2741" s="346"/>
      <c r="F2741" s="268"/>
      <c r="G2741" s="269"/>
      <c r="H2741" s="269"/>
      <c r="I2741" s="270"/>
      <c r="J2741" s="434"/>
      <c r="K2741" s="270"/>
      <c r="L2741" s="270"/>
      <c r="M2741" s="348"/>
      <c r="N2741" s="348"/>
      <c r="O2741" s="435"/>
      <c r="P2741" s="349"/>
      <c r="Q2741" s="350"/>
      <c r="R2741" s="271"/>
      <c r="S2741" s="272"/>
      <c r="T2741" s="273"/>
      <c r="U2741" s="351"/>
      <c r="V2741" s="274"/>
      <c r="W2741" s="269"/>
      <c r="X2741" s="269"/>
      <c r="Y2741" s="275"/>
      <c r="Z2741" s="269"/>
      <c r="AA2741" s="350"/>
      <c r="AB2741" s="207"/>
      <c r="AC2741" s="352"/>
      <c r="AD2741" s="353"/>
      <c r="AE2741" s="54"/>
      <c r="AF2741" s="354"/>
      <c r="AG2741" s="355"/>
      <c r="AH2741" s="349"/>
      <c r="AI2741" s="30"/>
      <c r="AJ2741" s="30"/>
      <c r="AK2741" s="30"/>
      <c r="AL2741" s="30"/>
      <c r="AM2741" s="13"/>
      <c r="AN2741" s="13"/>
      <c r="AO2741" s="13"/>
      <c r="AP2741" s="13"/>
      <c r="AQ2741" s="13"/>
      <c r="AR2741" s="14"/>
      <c r="AS2741" s="15"/>
    </row>
    <row r="2742" spans="1:45" s="17" customFormat="1" ht="30.95" hidden="1" customHeight="1" x14ac:dyDescent="0.2">
      <c r="A2742" s="343" t="s">
        <v>3376</v>
      </c>
      <c r="B2742" s="344" t="s">
        <v>3377</v>
      </c>
      <c r="C2742" s="345"/>
      <c r="D2742" s="346"/>
      <c r="E2742" s="346"/>
      <c r="F2742" s="268"/>
      <c r="G2742" s="269"/>
      <c r="H2742" s="269"/>
      <c r="I2742" s="270"/>
      <c r="J2742" s="434" t="s">
        <v>448</v>
      </c>
      <c r="K2742" s="270"/>
      <c r="L2742" s="270"/>
      <c r="M2742" s="348"/>
      <c r="N2742" s="348"/>
      <c r="O2742" s="435"/>
      <c r="P2742" s="349"/>
      <c r="Q2742" s="350"/>
      <c r="R2742" s="271"/>
      <c r="S2742" s="272"/>
      <c r="T2742" s="273"/>
      <c r="U2742" s="351"/>
      <c r="V2742" s="274"/>
      <c r="W2742" s="269"/>
      <c r="X2742" s="269"/>
      <c r="Y2742" s="275"/>
      <c r="Z2742" s="269"/>
      <c r="AA2742" s="350"/>
      <c r="AB2742" s="207"/>
      <c r="AC2742" s="352"/>
      <c r="AD2742" s="353"/>
      <c r="AE2742" s="54"/>
      <c r="AF2742" s="354"/>
      <c r="AG2742" s="355"/>
      <c r="AH2742" s="349"/>
      <c r="AI2742" s="30"/>
      <c r="AJ2742" s="30"/>
      <c r="AK2742" s="30"/>
      <c r="AL2742" s="30"/>
      <c r="AM2742" s="13"/>
      <c r="AN2742" s="13"/>
      <c r="AO2742" s="13"/>
      <c r="AP2742" s="13"/>
      <c r="AQ2742" s="13"/>
      <c r="AR2742" s="14"/>
      <c r="AS2742" s="15"/>
    </row>
    <row r="2743" spans="1:45" s="17" customFormat="1" ht="30.95" hidden="1" customHeight="1" x14ac:dyDescent="0.2">
      <c r="A2743" s="343"/>
      <c r="B2743" s="344"/>
      <c r="C2743" s="345"/>
      <c r="D2743" s="346"/>
      <c r="E2743" s="346"/>
      <c r="F2743" s="268"/>
      <c r="G2743" s="269"/>
      <c r="H2743" s="269"/>
      <c r="I2743" s="270"/>
      <c r="J2743" s="434"/>
      <c r="K2743" s="270"/>
      <c r="L2743" s="270"/>
      <c r="M2743" s="348"/>
      <c r="N2743" s="348"/>
      <c r="O2743" s="435"/>
      <c r="P2743" s="349"/>
      <c r="Q2743" s="350"/>
      <c r="R2743" s="271"/>
      <c r="S2743" s="272"/>
      <c r="T2743" s="273"/>
      <c r="U2743" s="351"/>
      <c r="V2743" s="274"/>
      <c r="W2743" s="269"/>
      <c r="X2743" s="269"/>
      <c r="Y2743" s="275"/>
      <c r="Z2743" s="269"/>
      <c r="AA2743" s="350"/>
      <c r="AB2743" s="207"/>
      <c r="AC2743" s="352"/>
      <c r="AD2743" s="353"/>
      <c r="AE2743" s="54"/>
      <c r="AF2743" s="354"/>
      <c r="AG2743" s="355"/>
      <c r="AH2743" s="349"/>
      <c r="AI2743" s="30"/>
      <c r="AJ2743" s="30"/>
      <c r="AK2743" s="30"/>
      <c r="AL2743" s="30"/>
      <c r="AM2743" s="13"/>
      <c r="AN2743" s="13"/>
      <c r="AO2743" s="13"/>
      <c r="AP2743" s="13"/>
      <c r="AQ2743" s="13"/>
      <c r="AR2743" s="14"/>
      <c r="AS2743" s="15"/>
    </row>
    <row r="2744" spans="1:45" s="17" customFormat="1" ht="30.95" hidden="1" customHeight="1" x14ac:dyDescent="0.2">
      <c r="A2744" s="343" t="s">
        <v>3370</v>
      </c>
      <c r="B2744" s="344" t="s">
        <v>3371</v>
      </c>
      <c r="C2744" s="345"/>
      <c r="D2744" s="398">
        <v>3783804</v>
      </c>
      <c r="E2744" s="31">
        <v>4157738</v>
      </c>
      <c r="F2744" s="268" t="str">
        <f>IF(D2744="","",VLOOKUP(D2744,契約台帳!$A$3:$K$4986,6,FALSE)&amp;VLOOKUP(D2744,契約台帳!$A$3:$K$4986,7,FALSE)&amp;VLOOKUP(D2744,契約台帳!$A$3:$K$4986,8,FALSE)&amp;VLOOKUP(D2744,契約台帳!$A$3:$K$4986,9,FALSE)&amp;VLOOKUP(D2744,契約台帳!$A$3:$K$4986,11,FALSE))</f>
        <v>3SNMLBMNGKKBF</v>
      </c>
      <c r="G2744" s="269" t="str">
        <f>IF(D2744="","",VLOOKUP(F2744,製品マスタ!$G$5:$H$5002,2,FALSE))</f>
        <v>S</v>
      </c>
      <c r="H2744" s="269" t="str">
        <f>IF(D2744="","",VLOOKUP(F2744,製品マスタ!$G$5:$K$5002,5,FALSE))</f>
        <v>MNGKKBF</v>
      </c>
      <c r="I2744" s="270" t="str">
        <f>IF(D2744="","",VLOOKUP(F2744,製品マスタ!$G$5:$L$5002,6,FALSE))</f>
        <v>メタルミー　ネーマー銀消改　Ｂ</v>
      </c>
      <c r="J2744" s="434" t="s">
        <v>3292</v>
      </c>
      <c r="K2744" s="270">
        <f>IF(D2744="","",VLOOKUP(D2744,契約台帳!$A$3:$L$4986,12,FALSE))</f>
        <v>50</v>
      </c>
      <c r="L2744" s="270" t="str">
        <f>IF(D2744="","",INDEX(製品マスタ!$Q$5:$Q$5002,MATCH('S4'!F2744&amp;'S4'!K2744,製品マスタ!$AO$5:$AO$5002,0)))</f>
        <v>S99-MAT</v>
      </c>
      <c r="M2744" s="348">
        <v>1120</v>
      </c>
      <c r="N2744" s="348">
        <v>12000</v>
      </c>
      <c r="O2744" s="435">
        <v>5</v>
      </c>
      <c r="P2744" s="349">
        <v>3</v>
      </c>
      <c r="Q2744" s="350"/>
      <c r="R2744" s="271">
        <f ca="1">IF(D2744="","",IF(OFFSET(D2744,-1,0)&lt;&gt;"","",IF(OR(J2744="リード付け",J2744="巻足し",J2744="巻返しリード付け"),M2744,VLOOKUP(D2744,契約台帳!$A$3:$N$4986,14,FALSE))))</f>
        <v>1120</v>
      </c>
      <c r="S2744" s="272">
        <f ca="1">IF(D2744="","",IF(OFFSET(D2744,-1,0)&lt;&gt;"","",IF(OR(J2744="リード付け",J2744="巻足し",J2744="巻返しリード付け"),M2744,VLOOKUP(D2744,契約台帳!$A$3:$O$4986,15,FALSE))))</f>
        <v>1120</v>
      </c>
      <c r="T2744" s="273">
        <f ca="1">IF(D2744="","",IF(J2744="リード付け",N2744,IF(J2744="巻返しリード付け",N2744,IF(J2744="巻足し",N2744*P2744+OFFSET(N2744,1,0)*OFFSET(P2744,1,0),VLOOKUP(D2744,契約台帳!$A$3:$P$4986,16,FALSE)))))</f>
        <v>4000</v>
      </c>
      <c r="U2744" s="351">
        <v>15</v>
      </c>
      <c r="V2744" s="274">
        <f ca="1">IF(D2744="","",IF(OFFSET(D2744,-2,0)=D2744,"",VLOOKUP(D2744,契約台帳!$A$3:$R$4986,18,FALSE)))</f>
        <v>24</v>
      </c>
      <c r="W2744" s="269" t="str">
        <f ca="1">IF(D2744="","",IF(T2744="","",IF(OR(J2744="巻足し",J2744="巻返しリード付け"),"",IF(J2744="巻返し",VLOOKUP(F2744&amp;K2744&amp;M2744,製品マスタ!$M$5:$AD$5002,18,FALSE),IF(OR(J2744="リード付け",J2744="巻返しリード付け"),"原反コア",IF(J2744="スリット",VLOOKUP(F2744&amp;K2744&amp;R2744,製品マスタ!$N$5:$AD$5002,17,FALSE),""))))))</f>
        <v>6ｲﾝﾁSｺｱ</v>
      </c>
      <c r="X2744" s="269">
        <f ca="1">IF(D2744="","",IF(T2744="","",IF(J2744="巻足し","",IF(J2744="巻返し",VLOOKUP(F2744&amp;K2744&amp;M2744,製品マスタ!$M$5:$AE$5002,19,FALSE),IF(OR(J2744="リード付け",J2744="巻返しリード付け"),"",IF(J2744="スリット",VLOOKUP(F2744&amp;K2744&amp;R2744,製品マスタ!$N$5:$AE$5002,18,FALSE),""))))))</f>
        <v>1125</v>
      </c>
      <c r="Y2744" s="275">
        <f ca="1">IF(D2744="","",IF(T2744="","",VLOOKUP(D2744,契約台帳!$A$3:$Q$4986,17,FALSE)))</f>
        <v>2</v>
      </c>
      <c r="Z2744" s="269" t="str">
        <f ca="1">IF(D2744="","",IF(T2744="","",VLOOKUP(D2744,契約台帳!$A$3:$E$4986,5,FALSE)))</f>
        <v>リンテック㈱</v>
      </c>
      <c r="AA2744" s="350"/>
      <c r="AB2744" s="207"/>
      <c r="AC2744" s="352"/>
      <c r="AD2744" s="353"/>
      <c r="AE2744" s="54" t="str">
        <f>IF(F2744="","",+F2744&amp;K2744)</f>
        <v>3SNMLBMNGKKBF50</v>
      </c>
      <c r="AF2744" s="354">
        <f>+M2744*N2744*O2744/1000</f>
        <v>67200</v>
      </c>
      <c r="AG2744" s="355">
        <f>IF(AE2744="","",VLOOKUP(AE2744,原価マスタ!$A$2:$AJ$1693,13,FALSE))</f>
        <v>99</v>
      </c>
      <c r="AH2744" s="349">
        <f>IF(AG2744="","",+AF2744*AG2744/100)</f>
        <v>66528</v>
      </c>
      <c r="AI2744" s="30"/>
      <c r="AJ2744" s="30"/>
      <c r="AK2744" s="30"/>
      <c r="AL2744" s="30"/>
      <c r="AM2744" s="13"/>
      <c r="AN2744" s="13"/>
      <c r="AO2744" s="13"/>
      <c r="AP2744" s="13"/>
      <c r="AQ2744" s="13"/>
      <c r="AR2744" s="14"/>
      <c r="AS2744" s="15"/>
    </row>
    <row r="2745" spans="1:45" s="17" customFormat="1" ht="30.95" hidden="1" customHeight="1" x14ac:dyDescent="0.2">
      <c r="A2745" s="343"/>
      <c r="B2745" s="344"/>
      <c r="C2745" s="345"/>
      <c r="D2745" s="346"/>
      <c r="E2745" s="346"/>
      <c r="F2745" s="268"/>
      <c r="G2745" s="269"/>
      <c r="H2745" s="269"/>
      <c r="I2745" s="270"/>
      <c r="J2745" s="434"/>
      <c r="K2745" s="270"/>
      <c r="L2745" s="270"/>
      <c r="M2745" s="348"/>
      <c r="N2745" s="348"/>
      <c r="O2745" s="435"/>
      <c r="P2745" s="349"/>
      <c r="Q2745" s="350"/>
      <c r="R2745" s="271"/>
      <c r="S2745" s="272"/>
      <c r="T2745" s="273"/>
      <c r="U2745" s="351"/>
      <c r="V2745" s="274"/>
      <c r="W2745" s="269"/>
      <c r="X2745" s="269"/>
      <c r="Y2745" s="275"/>
      <c r="Z2745" s="269"/>
      <c r="AA2745" s="350"/>
      <c r="AB2745" s="207"/>
      <c r="AC2745" s="352"/>
      <c r="AD2745" s="353"/>
      <c r="AE2745" s="54"/>
      <c r="AF2745" s="354"/>
      <c r="AG2745" s="355"/>
      <c r="AH2745" s="349"/>
      <c r="AI2745" s="30"/>
      <c r="AJ2745" s="30"/>
      <c r="AK2745" s="30"/>
      <c r="AL2745" s="30"/>
      <c r="AM2745" s="13"/>
      <c r="AN2745" s="13"/>
      <c r="AO2745" s="13"/>
      <c r="AP2745" s="13"/>
      <c r="AQ2745" s="13"/>
      <c r="AR2745" s="14"/>
      <c r="AS2745" s="15"/>
    </row>
    <row r="2746" spans="1:45" s="17" customFormat="1" ht="30.95" hidden="1" customHeight="1" x14ac:dyDescent="0.2">
      <c r="A2746" s="343" t="s">
        <v>3372</v>
      </c>
      <c r="B2746" s="344" t="s">
        <v>3373</v>
      </c>
      <c r="C2746" s="345"/>
      <c r="D2746" s="398">
        <v>3783823</v>
      </c>
      <c r="E2746" s="31">
        <v>4157875</v>
      </c>
      <c r="F2746" s="268" t="str">
        <f>IF(D2746="","",VLOOKUP(D2746,契約台帳!$A$3:$K$4986,6,FALSE)&amp;VLOOKUP(D2746,契約台帳!$A$3:$K$4986,7,FALSE)&amp;VLOOKUP(D2746,契約台帳!$A$3:$K$4986,8,FALSE)&amp;VLOOKUP(D2746,契約台帳!$A$3:$K$4986,9,FALSE)&amp;VLOOKUP(D2746,契約台帳!$A$3:$K$4986,11,FALSE))</f>
        <v>3SYMLBMSNMBZF</v>
      </c>
      <c r="G2746" s="269" t="str">
        <f>IF(D2746="","",VLOOKUP(F2746,製品マスタ!$G$5:$H$5002,2,FALSE))</f>
        <v>S</v>
      </c>
      <c r="H2746" s="269" t="str">
        <f>IF(D2746="","",VLOOKUP(F2746,製品マスタ!$G$5:$K$5002,5,FALSE))</f>
        <v>MSNMBZF</v>
      </c>
      <c r="I2746" s="270" t="str">
        <f>IF(D2746="","",VLOOKUP(F2746,製品マスタ!$G$5:$L$5002,6,FALSE))</f>
        <v>ＭＥＴＡＬＵＭＹ　ＳＩＬＶＥＲ　Ｎ－ＭＡＴＴＥ　Ｂ</v>
      </c>
      <c r="J2746" s="434" t="s">
        <v>3292</v>
      </c>
      <c r="K2746" s="270">
        <f>IF(D2746="","",VLOOKUP(D2746,契約台帳!$A$3:$L$4986,12,FALSE))</f>
        <v>50</v>
      </c>
      <c r="L2746" s="270" t="str">
        <f>IF(D2746="","",INDEX(製品マスタ!$Q$5:$Q$5002,MATCH('S4'!F2746&amp;'S4'!K2746,製品マスタ!$AO$5:$AO$5002,0)))</f>
        <v>X44</v>
      </c>
      <c r="M2746" s="348">
        <v>1120</v>
      </c>
      <c r="N2746" s="348">
        <v>12000</v>
      </c>
      <c r="O2746" s="435">
        <v>3</v>
      </c>
      <c r="P2746" s="349">
        <v>3</v>
      </c>
      <c r="Q2746" s="350"/>
      <c r="R2746" s="271">
        <f ca="1">IF(D2746="","",IF(OFFSET(D2746,-1,0)&lt;&gt;"","",IF(OR(J2746="リード付け",J2746="巻足し",J2746="巻返しリード付け"),M2746,VLOOKUP(D2746,契約台帳!$A$3:$N$4986,14,FALSE))))</f>
        <v>1120</v>
      </c>
      <c r="S2746" s="272">
        <f ca="1">IF(D2746="","",IF(OFFSET(D2746,-1,0)&lt;&gt;"","",IF(OR(J2746="リード付け",J2746="巻足し",J2746="巻返しリード付け"),M2746,VLOOKUP(D2746,契約台帳!$A$3:$O$4986,15,FALSE))))</f>
        <v>1120</v>
      </c>
      <c r="T2746" s="273">
        <f ca="1">IF(D2746="","",IF(J2746="リード付け",N2746,IF(J2746="巻返しリード付け",N2746,IF(J2746="巻足し",N2746*P2746+OFFSET(N2746,1,0)*OFFSET(P2746,1,0),VLOOKUP(D2746,契約台帳!$A$3:$P$4986,16,FALSE)))))</f>
        <v>4000</v>
      </c>
      <c r="U2746" s="351">
        <v>9</v>
      </c>
      <c r="V2746" s="274">
        <f ca="1">IF(D2746="","",IF(OFFSET(D2746,-2,0)=D2746,"",VLOOKUP(D2746,契約台帳!$A$3:$R$4986,18,FALSE)))</f>
        <v>10</v>
      </c>
      <c r="W2746" s="269" t="str">
        <f ca="1">IF(D2746="","",IF(T2746="","",IF(OR(J2746="巻足し",J2746="巻返しリード付け"),"",IF(J2746="巻返し",VLOOKUP(F2746&amp;K2746&amp;M2746,製品マスタ!$M$5:$AD$5002,18,FALSE),IF(OR(J2746="リード付け",J2746="巻返しリード付け"),"原反コア",IF(J2746="スリット",VLOOKUP(F2746&amp;K2746&amp;R2746,製品マスタ!$N$5:$AD$5002,17,FALSE),""))))))</f>
        <v>6ｲﾝﾁMｺｱ</v>
      </c>
      <c r="X2746" s="269">
        <f ca="1">IF(D2746="","",IF(T2746="","",IF(J2746="巻足し","",IF(J2746="巻返し",VLOOKUP(F2746&amp;K2746&amp;M2746,製品マスタ!$M$5:$AE$5002,19,FALSE),IF(OR(J2746="リード付け",J2746="巻返しリード付け"),"",IF(J2746="スリット",VLOOKUP(F2746&amp;K2746&amp;R2746,製品マスタ!$N$5:$AE$5002,18,FALSE),""))))))</f>
        <v>1125</v>
      </c>
      <c r="Y2746" s="275">
        <f ca="1">IF(D2746="","",IF(T2746="","",VLOOKUP(D2746,契約台帳!$A$3:$Q$4986,17,FALSE)))</f>
        <v>2</v>
      </c>
      <c r="Z2746" s="269" t="str">
        <f ca="1">IF(D2746="","",IF(T2746="","",VLOOKUP(D2746,契約台帳!$A$3:$E$4986,5,FALSE)))</f>
        <v>リンテック㈱</v>
      </c>
      <c r="AA2746" s="350"/>
      <c r="AB2746" s="207"/>
      <c r="AC2746" s="352"/>
      <c r="AD2746" s="353"/>
      <c r="AE2746" s="54" t="str">
        <f>IF(F2746="","",+F2746&amp;K2746)</f>
        <v>3SYMLBMSNMBZF50</v>
      </c>
      <c r="AF2746" s="354">
        <f>+M2746*N2746*O2746/1000</f>
        <v>40320</v>
      </c>
      <c r="AG2746" s="355">
        <f>IF(AE2746="","",VLOOKUP(AE2746,原価マスタ!$A$2:$AJ$1693,13,FALSE))</f>
        <v>99</v>
      </c>
      <c r="AH2746" s="349">
        <f>IF(AG2746="","",+AF2746*AG2746/100)</f>
        <v>39916.800000000003</v>
      </c>
      <c r="AI2746" s="30"/>
      <c r="AJ2746" s="30"/>
      <c r="AK2746" s="30"/>
      <c r="AL2746" s="30"/>
      <c r="AM2746" s="13"/>
      <c r="AN2746" s="13"/>
      <c r="AO2746" s="13"/>
      <c r="AP2746" s="13"/>
      <c r="AQ2746" s="13"/>
      <c r="AR2746" s="14"/>
      <c r="AS2746" s="15"/>
    </row>
    <row r="2747" spans="1:45" s="17" customFormat="1" ht="30.95" hidden="1" customHeight="1" x14ac:dyDescent="0.2">
      <c r="A2747" s="343"/>
      <c r="B2747" s="344"/>
      <c r="C2747" s="345"/>
      <c r="D2747" s="346"/>
      <c r="E2747" s="346"/>
      <c r="F2747" s="268"/>
      <c r="G2747" s="269"/>
      <c r="H2747" s="269"/>
      <c r="I2747" s="270"/>
      <c r="J2747" s="434"/>
      <c r="K2747" s="270"/>
      <c r="L2747" s="270"/>
      <c r="M2747" s="348"/>
      <c r="N2747" s="348"/>
      <c r="O2747" s="435"/>
      <c r="P2747" s="349"/>
      <c r="Q2747" s="350"/>
      <c r="R2747" s="271"/>
      <c r="S2747" s="272"/>
      <c r="T2747" s="273"/>
      <c r="U2747" s="351"/>
      <c r="V2747" s="274"/>
      <c r="W2747" s="269"/>
      <c r="X2747" s="269"/>
      <c r="Y2747" s="275"/>
      <c r="Z2747" s="269"/>
      <c r="AA2747" s="350"/>
      <c r="AB2747" s="207"/>
      <c r="AC2747" s="352"/>
      <c r="AD2747" s="353"/>
      <c r="AE2747" s="54"/>
      <c r="AF2747" s="354"/>
      <c r="AG2747" s="355"/>
      <c r="AH2747" s="349"/>
      <c r="AI2747" s="30"/>
      <c r="AJ2747" s="30"/>
      <c r="AK2747" s="30"/>
      <c r="AL2747" s="30"/>
      <c r="AM2747" s="13"/>
      <c r="AN2747" s="13"/>
      <c r="AO2747" s="13"/>
      <c r="AP2747" s="13"/>
      <c r="AQ2747" s="13"/>
      <c r="AR2747" s="14"/>
      <c r="AS2747" s="15"/>
    </row>
    <row r="2748" spans="1:45" s="17" customFormat="1" ht="30.95" hidden="1" customHeight="1" x14ac:dyDescent="0.2">
      <c r="A2748" s="343"/>
      <c r="B2748" s="344"/>
      <c r="C2748" s="345"/>
      <c r="D2748" s="398">
        <v>3783803</v>
      </c>
      <c r="E2748" s="31">
        <v>4156654</v>
      </c>
      <c r="F2748" s="268" t="str">
        <f>IF(D2748="","",VLOOKUP(D2748,契約台帳!$A$3:$K$4986,6,FALSE)&amp;VLOOKUP(D2748,契約台帳!$A$3:$K$4986,7,FALSE)&amp;VLOOKUP(D2748,契約台帳!$A$3:$K$4986,8,FALSE)&amp;VLOOKUP(D2748,契約台帳!$A$3:$K$4986,9,FALSE)&amp;VLOOKUP(D2748,契約台帳!$A$3:$K$4986,11,FALSE))</f>
        <v>3SNMLBMNGKKBF</v>
      </c>
      <c r="G2748" s="269" t="str">
        <f>IF(D2748="","",VLOOKUP(F2748,製品マスタ!$G$5:$H$5002,2,FALSE))</f>
        <v>S</v>
      </c>
      <c r="H2748" s="269" t="str">
        <f>IF(D2748="","",VLOOKUP(F2748,製品マスタ!$G$5:$K$5002,5,FALSE))</f>
        <v>MNGKKBF</v>
      </c>
      <c r="I2748" s="270" t="str">
        <f>IF(D2748="","",VLOOKUP(F2748,製品マスタ!$G$5:$L$5002,6,FALSE))</f>
        <v>メタルミー　ネーマー銀消改　Ｂ</v>
      </c>
      <c r="J2748" s="434" t="s">
        <v>3292</v>
      </c>
      <c r="K2748" s="270">
        <f>IF(D2748="","",VLOOKUP(D2748,契約台帳!$A$3:$L$4986,12,FALSE))</f>
        <v>50</v>
      </c>
      <c r="L2748" s="270" t="str">
        <f>IF(D2748="","",INDEX(製品マスタ!$Q$5:$Q$5002,MATCH('S4'!F2748&amp;'S4'!K2748,製品マスタ!$AO$5:$AO$5002,0)))</f>
        <v>S99-MAT</v>
      </c>
      <c r="M2748" s="348">
        <v>1000</v>
      </c>
      <c r="N2748" s="348">
        <v>12000</v>
      </c>
      <c r="O2748" s="435">
        <v>1</v>
      </c>
      <c r="P2748" s="349">
        <v>2</v>
      </c>
      <c r="Q2748" s="350"/>
      <c r="R2748" s="271">
        <f ca="1">IF(D2748="","",IF(OFFSET(D2748,-1,0)&lt;&gt;"","",IF(OR(J2748="リード付け",J2748="巻足し",J2748="巻返しリード付け"),M2748,VLOOKUP(D2748,契約台帳!$A$3:$N$4986,14,FALSE))))</f>
        <v>1000</v>
      </c>
      <c r="S2748" s="272">
        <f ca="1">IF(D2748="","",IF(OFFSET(D2748,-1,0)&lt;&gt;"","",IF(OR(J2748="リード付け",J2748="巻足し",J2748="巻返しリード付け"),M2748,VLOOKUP(D2748,契約台帳!$A$3:$O$4986,15,FALSE))))</f>
        <v>1000</v>
      </c>
      <c r="T2748" s="273">
        <f ca="1">IF(D2748="","",IF(J2748="リード付け",N2748,IF(J2748="巻返しリード付け",N2748,IF(J2748="巻足し",N2748*P2748+OFFSET(N2748,1,0)*OFFSET(P2748,1,0),VLOOKUP(D2748,契約台帳!$A$3:$P$4986,16,FALSE)))))</f>
        <v>4000</v>
      </c>
      <c r="U2748" s="351">
        <v>3</v>
      </c>
      <c r="V2748" s="274">
        <f ca="1">IF(D2748="","",IF(OFFSET(D2748,-2,0)=D2748,"",VLOOKUP(D2748,契約台帳!$A$3:$R$4986,18,FALSE)))</f>
        <v>3</v>
      </c>
      <c r="W2748" s="269" t="str">
        <f ca="1">IF(D2748="","",IF(T2748="","",IF(OR(J2748="巻足し",J2748="巻返しリード付け"),"",IF(J2748="巻返し",VLOOKUP(F2748&amp;K2748&amp;M2748,製品マスタ!$M$5:$AD$5002,18,FALSE),IF(OR(J2748="リード付け",J2748="巻返しリード付け"),"原反コア",IF(J2748="スリット",VLOOKUP(F2748&amp;K2748&amp;R2748,製品マスタ!$N$5:$AD$5002,17,FALSE),""))))))</f>
        <v>6ｲﾝﾁSｺｱ</v>
      </c>
      <c r="X2748" s="269">
        <f ca="1">IF(D2748="","",IF(T2748="","",IF(J2748="巻足し","",IF(J2748="巻返し",VLOOKUP(F2748&amp;K2748&amp;M2748,製品マスタ!$M$5:$AE$5002,19,FALSE),IF(OR(J2748="リード付け",J2748="巻返しリード付け"),"",IF(J2748="スリット",VLOOKUP(F2748&amp;K2748&amp;R2748,製品マスタ!$N$5:$AE$5002,18,FALSE),""))))))</f>
        <v>1005</v>
      </c>
      <c r="Y2748" s="275">
        <f ca="1">IF(D2748="","",IF(T2748="","",VLOOKUP(D2748,契約台帳!$A$3:$Q$4986,17,FALSE)))</f>
        <v>2</v>
      </c>
      <c r="Z2748" s="269" t="str">
        <f ca="1">IF(D2748="","",IF(T2748="","",VLOOKUP(D2748,契約台帳!$A$3:$E$4986,5,FALSE)))</f>
        <v>リンテック㈱</v>
      </c>
      <c r="AA2748" s="350"/>
      <c r="AB2748" s="207"/>
      <c r="AC2748" s="352"/>
      <c r="AD2748" s="353"/>
      <c r="AE2748" s="54" t="str">
        <f>IF(F2748="","",+F2748&amp;K2748)</f>
        <v>3SNMLBMNGKKBF50</v>
      </c>
      <c r="AF2748" s="354">
        <f>+M2748*N2748*O2748/1000</f>
        <v>12000</v>
      </c>
      <c r="AG2748" s="355">
        <f>IF(AE2748="","",VLOOKUP(AE2748,原価マスタ!$A$2:$AJ$1693,13,FALSE))</f>
        <v>99</v>
      </c>
      <c r="AH2748" s="349">
        <f>IF(AG2748="","",+AF2748*AG2748/100)</f>
        <v>11880</v>
      </c>
      <c r="AI2748" s="30"/>
      <c r="AJ2748" s="30"/>
      <c r="AK2748" s="30"/>
      <c r="AL2748" s="30"/>
      <c r="AM2748" s="13"/>
      <c r="AN2748" s="13"/>
      <c r="AO2748" s="13"/>
      <c r="AP2748" s="13"/>
      <c r="AQ2748" s="13"/>
      <c r="AR2748" s="14"/>
      <c r="AS2748" s="15"/>
    </row>
    <row r="2749" spans="1:45" s="17" customFormat="1" ht="30.95" hidden="1" customHeight="1" x14ac:dyDescent="0.2">
      <c r="A2749" s="343"/>
      <c r="B2749" s="344"/>
      <c r="C2749" s="345"/>
      <c r="D2749" s="346"/>
      <c r="E2749" s="346"/>
      <c r="F2749" s="268"/>
      <c r="G2749" s="269"/>
      <c r="H2749" s="269"/>
      <c r="I2749" s="270"/>
      <c r="J2749" s="434"/>
      <c r="K2749" s="270"/>
      <c r="L2749" s="270"/>
      <c r="M2749" s="348"/>
      <c r="N2749" s="348"/>
      <c r="O2749" s="435"/>
      <c r="P2749" s="349"/>
      <c r="Q2749" s="350"/>
      <c r="R2749" s="271"/>
      <c r="S2749" s="272"/>
      <c r="T2749" s="273"/>
      <c r="U2749" s="351"/>
      <c r="V2749" s="274"/>
      <c r="W2749" s="269"/>
      <c r="X2749" s="269"/>
      <c r="Y2749" s="275"/>
      <c r="Z2749" s="269"/>
      <c r="AA2749" s="350"/>
      <c r="AB2749" s="207"/>
      <c r="AC2749" s="352"/>
      <c r="AD2749" s="353"/>
      <c r="AE2749" s="54"/>
      <c r="AF2749" s="354"/>
      <c r="AG2749" s="355"/>
      <c r="AH2749" s="349"/>
      <c r="AI2749" s="30"/>
      <c r="AJ2749" s="30"/>
      <c r="AK2749" s="30"/>
      <c r="AL2749" s="30"/>
      <c r="AM2749" s="13"/>
      <c r="AN2749" s="13"/>
      <c r="AO2749" s="13"/>
      <c r="AP2749" s="13"/>
      <c r="AQ2749" s="13"/>
      <c r="AR2749" s="14"/>
      <c r="AS2749" s="15"/>
    </row>
    <row r="2750" spans="1:45" s="233" customFormat="1" ht="30.95" hidden="1" customHeight="1" x14ac:dyDescent="0.2">
      <c r="A2750" s="399"/>
      <c r="B2750" s="400"/>
      <c r="C2750" s="401"/>
      <c r="D2750" s="402"/>
      <c r="E2750" s="402"/>
      <c r="F2750" s="281"/>
      <c r="G2750" s="282"/>
      <c r="H2750" s="282"/>
      <c r="I2750" s="283"/>
      <c r="J2750" s="445"/>
      <c r="K2750" s="283"/>
      <c r="L2750" s="283"/>
      <c r="M2750" s="404"/>
      <c r="N2750" s="404"/>
      <c r="O2750" s="446"/>
      <c r="P2750" s="405"/>
      <c r="Q2750" s="356"/>
      <c r="R2750" s="291"/>
      <c r="S2750" s="292"/>
      <c r="T2750" s="293"/>
      <c r="U2750" s="406"/>
      <c r="V2750" s="294"/>
      <c r="W2750" s="282"/>
      <c r="X2750" s="282"/>
      <c r="Y2750" s="287"/>
      <c r="Z2750" s="282"/>
      <c r="AA2750" s="356"/>
      <c r="AB2750" s="288"/>
      <c r="AC2750" s="407"/>
      <c r="AD2750" s="408"/>
      <c r="AE2750" s="227"/>
      <c r="AF2750" s="409"/>
      <c r="AG2750" s="410"/>
      <c r="AH2750" s="411">
        <f>SUM(AH2744:AH2748)</f>
        <v>118324.8</v>
      </c>
      <c r="AI2750" s="229"/>
      <c r="AJ2750" s="229"/>
      <c r="AK2750" s="229"/>
      <c r="AL2750" s="229"/>
      <c r="AM2750" s="230"/>
      <c r="AN2750" s="230"/>
      <c r="AO2750" s="230"/>
      <c r="AP2750" s="230"/>
      <c r="AQ2750" s="230"/>
      <c r="AR2750" s="231"/>
      <c r="AS2750" s="232"/>
    </row>
    <row r="2751" spans="1:45" s="17" customFormat="1" ht="30.95" hidden="1" customHeight="1" x14ac:dyDescent="0.2">
      <c r="A2751" s="343"/>
      <c r="B2751" s="344"/>
      <c r="C2751" s="345"/>
      <c r="D2751" s="346"/>
      <c r="E2751" s="346"/>
      <c r="F2751" s="268"/>
      <c r="G2751" s="269"/>
      <c r="H2751" s="269"/>
      <c r="I2751" s="270"/>
      <c r="J2751" s="434"/>
      <c r="K2751" s="270"/>
      <c r="L2751" s="270"/>
      <c r="M2751" s="348"/>
      <c r="N2751" s="348"/>
      <c r="O2751" s="435"/>
      <c r="P2751" s="349"/>
      <c r="Q2751" s="350"/>
      <c r="R2751" s="271"/>
      <c r="S2751" s="272"/>
      <c r="T2751" s="273"/>
      <c r="U2751" s="351"/>
      <c r="V2751" s="274"/>
      <c r="W2751" s="269"/>
      <c r="X2751" s="269"/>
      <c r="Y2751" s="275"/>
      <c r="Z2751" s="269"/>
      <c r="AA2751" s="350"/>
      <c r="AB2751" s="207"/>
      <c r="AC2751" s="352"/>
      <c r="AD2751" s="353"/>
      <c r="AE2751" s="54"/>
      <c r="AF2751" s="354"/>
      <c r="AG2751" s="355"/>
      <c r="AH2751" s="349"/>
      <c r="AI2751" s="30"/>
      <c r="AJ2751" s="30"/>
      <c r="AK2751" s="30"/>
      <c r="AL2751" s="30"/>
      <c r="AM2751" s="13"/>
      <c r="AN2751" s="13"/>
      <c r="AO2751" s="13"/>
      <c r="AP2751" s="13"/>
      <c r="AQ2751" s="13"/>
      <c r="AR2751" s="14"/>
      <c r="AS2751" s="15"/>
    </row>
    <row r="2752" spans="1:45" s="17" customFormat="1" ht="30.6" hidden="1" customHeight="1" x14ac:dyDescent="0.2">
      <c r="A2752" s="343"/>
      <c r="B2752" s="344"/>
      <c r="C2752" s="45"/>
      <c r="D2752" s="31">
        <v>3790257</v>
      </c>
      <c r="E2752" s="31">
        <v>4162848</v>
      </c>
      <c r="F2752" s="268" t="str">
        <f>IF(D2752="","",VLOOKUP(D2752,契約台帳!$A$3:$K$4986,6,FALSE)&amp;VLOOKUP(D2752,契約台帳!$A$3:$K$4986,7,FALSE)&amp;VLOOKUP(D2752,契約台帳!$A$3:$K$4986,8,FALSE)&amp;VLOOKUP(D2752,契約台帳!$A$3:$K$4986,9,FALSE)&amp;VLOOKUP(D2752,契約台帳!$A$3:$K$4986,11,FALSE))</f>
        <v>3SNMLBMNGTBF</v>
      </c>
      <c r="G2752" s="269" t="str">
        <f>IF(D2752="","",VLOOKUP(F2752,製品マスタ!$G$5:$H$5002,2,FALSE))</f>
        <v>S</v>
      </c>
      <c r="H2752" s="269" t="str">
        <f>IF(D2752="","",VLOOKUP(F2752,製品マスタ!$G$5:$K$5002,5,FALSE))</f>
        <v>MNGTBF</v>
      </c>
      <c r="I2752" s="270" t="str">
        <f>IF(D2752="","",VLOOKUP(F2752,製品マスタ!$G$5:$L$5002,6,FALSE))</f>
        <v>メタルミー　ネーマー　銀艶　Ｂ</v>
      </c>
      <c r="J2752" s="210" t="s">
        <v>935</v>
      </c>
      <c r="K2752" s="270">
        <f>IF(D2752="","",VLOOKUP(D2752,契約台帳!$A$3:$L$4986,12,FALSE))</f>
        <v>50</v>
      </c>
      <c r="L2752" s="270" t="str">
        <f>IF(D2752="","",INDEX(製品マスタ!$Q$5:$Q$5002,MATCH('S4'!F2752&amp;'S4'!K2752,製品マスタ!$AO$5:$AO$5002,0)))</f>
        <v>T62</v>
      </c>
      <c r="M2752" s="39">
        <v>1120</v>
      </c>
      <c r="N2752" s="39">
        <v>5000</v>
      </c>
      <c r="O2752" s="156">
        <v>6</v>
      </c>
      <c r="P2752" s="47">
        <v>2</v>
      </c>
      <c r="Q2752" s="213">
        <v>45622</v>
      </c>
      <c r="R2752" s="271">
        <f ca="1">IF(D2752="","",IF(OFFSET(D2752,-1,0)&lt;&gt;"","",IF(OR(J2752="リード付け",J2752="巻足し",J2752="巻返しリード付け"),M2752,VLOOKUP(D2752,契約台帳!$A$3:$N$4986,14,FALSE))))</f>
        <v>1120</v>
      </c>
      <c r="S2752" s="272">
        <f ca="1">IF(D2752="","",IF(OFFSET(D2752,-1,0)&lt;&gt;"","",IF(OR(J2752="リード付け",J2752="巻足し",J2752="巻返しリード付け"),M2752,VLOOKUP(D2752,契約台帳!$A$3:$O$4986,15,FALSE))))</f>
        <v>1120</v>
      </c>
      <c r="T2752" s="273">
        <f ca="1">IF(D2752="","",IF(J2752="リード付け",N2752,IF(J2752="巻返しリード付け",N2752,IF(J2752="巻足し",N2752*P2752+OFFSET(N2752,1,0)*OFFSET(P2752,1,0),VLOOKUP(D2752,契約台帳!$A$3:$P$4986,16,FALSE)))))</f>
        <v>10000</v>
      </c>
      <c r="U2752" s="40">
        <v>3</v>
      </c>
      <c r="V2752" s="274">
        <f ca="1">IF(D2752="","",IF(OFFSET(D2752,-2,0)=D2752,"",VLOOKUP(D2752,契約台帳!$A$3:$R$4986,18,FALSE)))</f>
        <v>52</v>
      </c>
      <c r="W2752" s="269" t="str">
        <f ca="1">IF(D2752="","",IF(T2752="","",IF(OR(J2752="巻足し",J2752="巻返しリード付け"),"",IF(J2752="巻返し",VLOOKUP(F2752&amp;K2752&amp;M2752,製品マスタ!$M$5:$AD$5002,18,FALSE),IF(OR(J2752="リード付け",J2752="巻返しリード付け"),"原反コア",IF(J2752="スリット",VLOOKUP(F2752&amp;K2752&amp;R2752,製品マスタ!$N$5:$AD$5002,17,FALSE),""))))))</f>
        <v/>
      </c>
      <c r="X2752" s="269" t="str">
        <f ca="1">IF(D2752="","",IF(T2752="","",IF(J2752="巻足し","",IF(J2752="巻返し",VLOOKUP(F2752&amp;K2752&amp;M2752,製品マスタ!$M$5:$AE$5002,19,FALSE),IF(OR(J2752="リード付け",J2752="巻返しリード付け"),"",IF(J2752="スリット",VLOOKUP(F2752&amp;K2752&amp;R2752,製品マスタ!$N$5:$AE$5002,18,FALSE),""))))))</f>
        <v/>
      </c>
      <c r="Y2752" s="275">
        <f ca="1">IF(D2752="","",IF(T2752="","",VLOOKUP(D2752,契約台帳!$A$3:$Q$4986,17,FALSE)))</f>
        <v>2</v>
      </c>
      <c r="Z2752" s="269" t="str">
        <f ca="1">IF(D2752="","",IF(T2752="","",VLOOKUP(D2752,契約台帳!$A$3:$E$4986,5,FALSE)))</f>
        <v>リンテック㈱</v>
      </c>
      <c r="AA2752" s="57"/>
      <c r="AB2752" s="207" t="str">
        <f>IFERROR((VLOOKUP(F2752&amp;K2752&amp;M2752,製品マスタ!$M$5:$AM$5002,27,FALSE)),"")</f>
        <v>原反ケース再利用</v>
      </c>
      <c r="AC2752" s="33"/>
      <c r="AD2752" s="189"/>
      <c r="AE2752" s="54"/>
      <c r="AF2752" s="55">
        <f>+M2752*N2752*O2752/1000</f>
        <v>33600</v>
      </c>
      <c r="AG2752" s="43"/>
      <c r="AH2752" s="47"/>
      <c r="AI2752" s="30"/>
      <c r="AJ2752" s="30"/>
      <c r="AK2752" s="30"/>
      <c r="AL2752" s="30"/>
      <c r="AM2752" s="13"/>
      <c r="AN2752" s="13"/>
      <c r="AO2752" s="13"/>
      <c r="AP2752" s="13"/>
      <c r="AQ2752" s="13"/>
      <c r="AR2752" s="14"/>
      <c r="AS2752" s="15"/>
    </row>
    <row r="2753" spans="1:45" s="17" customFormat="1" ht="30.95" hidden="1" customHeight="1" x14ac:dyDescent="0.2">
      <c r="A2753" s="343"/>
      <c r="B2753" s="344"/>
      <c r="C2753" s="345"/>
      <c r="D2753" s="346"/>
      <c r="E2753" s="346"/>
      <c r="F2753" s="268"/>
      <c r="G2753" s="269"/>
      <c r="H2753" s="269"/>
      <c r="I2753" s="270"/>
      <c r="J2753" s="434"/>
      <c r="K2753" s="270"/>
      <c r="L2753" s="270"/>
      <c r="M2753" s="348"/>
      <c r="N2753" s="348"/>
      <c r="O2753" s="435"/>
      <c r="P2753" s="349"/>
      <c r="Q2753" s="350"/>
      <c r="R2753" s="271"/>
      <c r="S2753" s="272"/>
      <c r="T2753" s="273"/>
      <c r="U2753" s="351"/>
      <c r="V2753" s="274"/>
      <c r="W2753" s="269"/>
      <c r="X2753" s="269"/>
      <c r="Y2753" s="275"/>
      <c r="Z2753" s="269"/>
      <c r="AA2753" s="350"/>
      <c r="AB2753" s="207"/>
      <c r="AC2753" s="352"/>
      <c r="AD2753" s="353"/>
      <c r="AE2753" s="54"/>
      <c r="AF2753" s="354"/>
      <c r="AG2753" s="355"/>
      <c r="AH2753" s="349"/>
      <c r="AI2753" s="30"/>
      <c r="AJ2753" s="30"/>
      <c r="AK2753" s="30"/>
      <c r="AL2753" s="30"/>
      <c r="AM2753" s="13"/>
      <c r="AN2753" s="13"/>
      <c r="AO2753" s="13"/>
      <c r="AP2753" s="13"/>
      <c r="AQ2753" s="13"/>
      <c r="AR2753" s="14"/>
      <c r="AS2753" s="15"/>
    </row>
    <row r="2754" spans="1:45" s="17" customFormat="1" ht="30.6" hidden="1" customHeight="1" x14ac:dyDescent="0.2">
      <c r="A2754" s="343" t="s">
        <v>660</v>
      </c>
      <c r="B2754" s="344" t="s">
        <v>442</v>
      </c>
      <c r="C2754" s="45"/>
      <c r="D2754" s="31">
        <v>3790257</v>
      </c>
      <c r="E2754" s="31">
        <v>4162848</v>
      </c>
      <c r="F2754" s="268" t="str">
        <f>IF(D2754="","",VLOOKUP(D2754,契約台帳!$A$3:$K$4986,6,FALSE)&amp;VLOOKUP(D2754,契約台帳!$A$3:$K$4986,7,FALSE)&amp;VLOOKUP(D2754,契約台帳!$A$3:$K$4986,8,FALSE)&amp;VLOOKUP(D2754,契約台帳!$A$3:$K$4986,9,FALSE)&amp;VLOOKUP(D2754,契約台帳!$A$3:$K$4986,11,FALSE))</f>
        <v>3SNMLBMNGTBF</v>
      </c>
      <c r="G2754" s="269" t="str">
        <f>IF(D2754="","",VLOOKUP(F2754,製品マスタ!$G$5:$H$5002,2,FALSE))</f>
        <v>S</v>
      </c>
      <c r="H2754" s="269" t="str">
        <f>IF(D2754="","",VLOOKUP(F2754,製品マスタ!$G$5:$K$5002,5,FALSE))</f>
        <v>MNGTBF</v>
      </c>
      <c r="I2754" s="270" t="str">
        <f>IF(D2754="","",VLOOKUP(F2754,製品マスタ!$G$5:$L$5002,6,FALSE))</f>
        <v>メタルミー　ネーマー　銀艶　Ｂ</v>
      </c>
      <c r="J2754" s="210" t="s">
        <v>935</v>
      </c>
      <c r="K2754" s="270">
        <f>IF(D2754="","",VLOOKUP(D2754,契約台帳!$A$3:$L$4986,12,FALSE))</f>
        <v>50</v>
      </c>
      <c r="L2754" s="270" t="str">
        <f>IF(D2754="","",INDEX(製品マスタ!$Q$5:$Q$5002,MATCH('S4'!F2754&amp;'S4'!K2754,製品マスタ!$AO$5:$AO$5002,0)))</f>
        <v>T62</v>
      </c>
      <c r="M2754" s="39">
        <v>1120</v>
      </c>
      <c r="N2754" s="39">
        <v>5000</v>
      </c>
      <c r="O2754" s="156">
        <v>14</v>
      </c>
      <c r="P2754" s="47">
        <v>2</v>
      </c>
      <c r="Q2754" s="213">
        <v>45622</v>
      </c>
      <c r="R2754" s="271">
        <f ca="1">IF(D2754="","",IF(OFFSET(D2754,-1,0)&lt;&gt;"","",IF(OR(J2754="リード付け",J2754="巻足し",J2754="巻返しリード付け"),M2754,VLOOKUP(D2754,契約台帳!$A$3:$N$4986,14,FALSE))))</f>
        <v>1120</v>
      </c>
      <c r="S2754" s="272">
        <f ca="1">IF(D2754="","",IF(OFFSET(D2754,-1,0)&lt;&gt;"","",IF(OR(J2754="リード付け",J2754="巻足し",J2754="巻返しリード付け"),M2754,VLOOKUP(D2754,契約台帳!$A$3:$O$4986,15,FALSE))))</f>
        <v>1120</v>
      </c>
      <c r="T2754" s="273">
        <f ca="1">IF(D2754="","",IF(J2754="リード付け",N2754,IF(J2754="巻返しリード付け",N2754,IF(J2754="巻足し",N2754*P2754+OFFSET(N2754,1,0)*OFFSET(P2754,1,0),VLOOKUP(D2754,契約台帳!$A$3:$P$4986,16,FALSE)))))</f>
        <v>10000</v>
      </c>
      <c r="U2754" s="40">
        <v>7</v>
      </c>
      <c r="V2754" s="274" t="str">
        <f ca="1">IF(D2754="","",IF(OFFSET(D2754,-2,0)=D2754,"",VLOOKUP(D2754,契約台帳!$A$3:$R$4986,18,FALSE)))</f>
        <v/>
      </c>
      <c r="W2754" s="269" t="str">
        <f ca="1">IF(D2754="","",IF(T2754="","",IF(OR(J2754="巻足し",J2754="巻返しリード付け"),"",IF(J2754="巻返し",VLOOKUP(F2754&amp;K2754&amp;M2754,製品マスタ!$M$5:$AD$5002,18,FALSE),IF(OR(J2754="リード付け",J2754="巻返しリード付け"),"原反コア",IF(J2754="スリット",VLOOKUP(F2754&amp;K2754&amp;R2754,製品マスタ!$N$5:$AD$5002,17,FALSE),""))))))</f>
        <v/>
      </c>
      <c r="X2754" s="269" t="str">
        <f ca="1">IF(D2754="","",IF(T2754="","",IF(J2754="巻足し","",IF(J2754="巻返し",VLOOKUP(F2754&amp;K2754&amp;M2754,製品マスタ!$M$5:$AE$5002,19,FALSE),IF(OR(J2754="リード付け",J2754="巻返しリード付け"),"",IF(J2754="スリット",VLOOKUP(F2754&amp;K2754&amp;R2754,製品マスタ!$N$5:$AE$5002,18,FALSE),""))))))</f>
        <v/>
      </c>
      <c r="Y2754" s="275">
        <f ca="1">IF(D2754="","",IF(T2754="","",VLOOKUP(D2754,契約台帳!$A$3:$Q$4986,17,FALSE)))</f>
        <v>2</v>
      </c>
      <c r="Z2754" s="269" t="str">
        <f ca="1">IF(D2754="","",IF(T2754="","",VLOOKUP(D2754,契約台帳!$A$3:$E$4986,5,FALSE)))</f>
        <v>リンテック㈱</v>
      </c>
      <c r="AA2754" s="57"/>
      <c r="AB2754" s="207" t="str">
        <f>IFERROR((VLOOKUP(F2754&amp;K2754&amp;M2754,製品マスタ!$M$5:$AM$5002,27,FALSE)),"")</f>
        <v>原反ケース再利用</v>
      </c>
      <c r="AC2754" s="33"/>
      <c r="AD2754" s="189"/>
      <c r="AE2754" s="54"/>
      <c r="AF2754" s="55">
        <f>+M2754*N2754*O2754/1000</f>
        <v>78400</v>
      </c>
      <c r="AG2754" s="43"/>
      <c r="AH2754" s="47"/>
      <c r="AI2754" s="30"/>
      <c r="AJ2754" s="30"/>
      <c r="AK2754" s="30"/>
      <c r="AL2754" s="30"/>
      <c r="AM2754" s="13"/>
      <c r="AN2754" s="13"/>
      <c r="AO2754" s="13"/>
      <c r="AP2754" s="13"/>
      <c r="AQ2754" s="13"/>
      <c r="AR2754" s="14"/>
      <c r="AS2754" s="15"/>
    </row>
    <row r="2755" spans="1:45" s="17" customFormat="1" ht="30.95" hidden="1" customHeight="1" x14ac:dyDescent="0.2">
      <c r="A2755" s="343"/>
      <c r="B2755" s="344"/>
      <c r="C2755" s="345"/>
      <c r="D2755" s="346"/>
      <c r="E2755" s="346"/>
      <c r="F2755" s="268"/>
      <c r="G2755" s="269"/>
      <c r="H2755" s="269"/>
      <c r="I2755" s="270"/>
      <c r="J2755" s="434"/>
      <c r="K2755" s="270"/>
      <c r="L2755" s="270"/>
      <c r="M2755" s="348"/>
      <c r="N2755" s="348"/>
      <c r="O2755" s="435"/>
      <c r="P2755" s="349"/>
      <c r="Q2755" s="350"/>
      <c r="R2755" s="271"/>
      <c r="S2755" s="272"/>
      <c r="T2755" s="273"/>
      <c r="U2755" s="351"/>
      <c r="V2755" s="274"/>
      <c r="W2755" s="269"/>
      <c r="X2755" s="269"/>
      <c r="Y2755" s="275"/>
      <c r="Z2755" s="269"/>
      <c r="AA2755" s="350"/>
      <c r="AB2755" s="207"/>
      <c r="AC2755" s="352"/>
      <c r="AD2755" s="353"/>
      <c r="AE2755" s="54"/>
      <c r="AF2755" s="354"/>
      <c r="AG2755" s="355"/>
      <c r="AH2755" s="349"/>
      <c r="AI2755" s="30"/>
      <c r="AJ2755" s="30"/>
      <c r="AK2755" s="30"/>
      <c r="AL2755" s="30"/>
      <c r="AM2755" s="13"/>
      <c r="AN2755" s="13"/>
      <c r="AO2755" s="13"/>
      <c r="AP2755" s="13"/>
      <c r="AQ2755" s="13"/>
      <c r="AR2755" s="14"/>
      <c r="AS2755" s="15"/>
    </row>
    <row r="2756" spans="1:45" s="17" customFormat="1" ht="30.6" hidden="1" customHeight="1" x14ac:dyDescent="0.2">
      <c r="A2756" s="343" t="s">
        <v>661</v>
      </c>
      <c r="B2756" s="344" t="s">
        <v>443</v>
      </c>
      <c r="C2756" s="45"/>
      <c r="D2756" s="31">
        <v>3790257</v>
      </c>
      <c r="E2756" s="31">
        <v>4162848</v>
      </c>
      <c r="F2756" s="268" t="str">
        <f>IF(D2756="","",VLOOKUP(D2756,契約台帳!$A$3:$K$4986,6,FALSE)&amp;VLOOKUP(D2756,契約台帳!$A$3:$K$4986,7,FALSE)&amp;VLOOKUP(D2756,契約台帳!$A$3:$K$4986,8,FALSE)&amp;VLOOKUP(D2756,契約台帳!$A$3:$K$4986,9,FALSE)&amp;VLOOKUP(D2756,契約台帳!$A$3:$K$4986,11,FALSE))</f>
        <v>3SNMLBMNGTBF</v>
      </c>
      <c r="G2756" s="269" t="str">
        <f>IF(D2756="","",VLOOKUP(F2756,製品マスタ!$G$5:$H$5002,2,FALSE))</f>
        <v>S</v>
      </c>
      <c r="H2756" s="269" t="str">
        <f>IF(D2756="","",VLOOKUP(F2756,製品マスタ!$G$5:$K$5002,5,FALSE))</f>
        <v>MNGTBF</v>
      </c>
      <c r="I2756" s="270" t="str">
        <f>IF(D2756="","",VLOOKUP(F2756,製品マスタ!$G$5:$L$5002,6,FALSE))</f>
        <v>メタルミー　ネーマー　銀艶　Ｂ</v>
      </c>
      <c r="J2756" s="210" t="s">
        <v>935</v>
      </c>
      <c r="K2756" s="270">
        <f>IF(D2756="","",VLOOKUP(D2756,契約台帳!$A$3:$L$4986,12,FALSE))</f>
        <v>50</v>
      </c>
      <c r="L2756" s="270" t="str">
        <f>IF(D2756="","",INDEX(製品マスタ!$Q$5:$Q$5002,MATCH('S4'!F2756&amp;'S4'!K2756,製品マスタ!$AO$5:$AO$5002,0)))</f>
        <v>T62</v>
      </c>
      <c r="M2756" s="39">
        <v>1120</v>
      </c>
      <c r="N2756" s="39">
        <v>5000</v>
      </c>
      <c r="O2756" s="156">
        <v>14</v>
      </c>
      <c r="P2756" s="47">
        <v>2</v>
      </c>
      <c r="Q2756" s="213">
        <v>45622</v>
      </c>
      <c r="R2756" s="271">
        <f ca="1">IF(D2756="","",IF(OFFSET(D2756,-1,0)&lt;&gt;"","",IF(OR(J2756="リード付け",J2756="巻足し",J2756="巻返しリード付け"),M2756,VLOOKUP(D2756,契約台帳!$A$3:$N$4986,14,FALSE))))</f>
        <v>1120</v>
      </c>
      <c r="S2756" s="272">
        <f ca="1">IF(D2756="","",IF(OFFSET(D2756,-1,0)&lt;&gt;"","",IF(OR(J2756="リード付け",J2756="巻足し",J2756="巻返しリード付け"),M2756,VLOOKUP(D2756,契約台帳!$A$3:$O$4986,15,FALSE))))</f>
        <v>1120</v>
      </c>
      <c r="T2756" s="273">
        <f ca="1">IF(D2756="","",IF(J2756="リード付け",N2756,IF(J2756="巻返しリード付け",N2756,IF(J2756="巻足し",N2756*P2756+OFFSET(N2756,1,0)*OFFSET(P2756,1,0),VLOOKUP(D2756,契約台帳!$A$3:$P$4986,16,FALSE)))))</f>
        <v>10000</v>
      </c>
      <c r="U2756" s="40">
        <v>7</v>
      </c>
      <c r="V2756" s="274" t="str">
        <f ca="1">IF(D2756="","",IF(OFFSET(D2756,-2,0)=D2756,"",VLOOKUP(D2756,契約台帳!$A$3:$R$4986,18,FALSE)))</f>
        <v/>
      </c>
      <c r="W2756" s="269" t="str">
        <f ca="1">IF(D2756="","",IF(T2756="","",IF(OR(J2756="巻足し",J2756="巻返しリード付け"),"",IF(J2756="巻返し",VLOOKUP(F2756&amp;K2756&amp;M2756,製品マスタ!$M$5:$AD$5002,18,FALSE),IF(OR(J2756="リード付け",J2756="巻返しリード付け"),"原反コア",IF(J2756="スリット",VLOOKUP(F2756&amp;K2756&amp;R2756,製品マスタ!$N$5:$AD$5002,17,FALSE),""))))))</f>
        <v/>
      </c>
      <c r="X2756" s="269" t="str">
        <f ca="1">IF(D2756="","",IF(T2756="","",IF(J2756="巻足し","",IF(J2756="巻返し",VLOOKUP(F2756&amp;K2756&amp;M2756,製品マスタ!$M$5:$AE$5002,19,FALSE),IF(OR(J2756="リード付け",J2756="巻返しリード付け"),"",IF(J2756="スリット",VLOOKUP(F2756&amp;K2756&amp;R2756,製品マスタ!$N$5:$AE$5002,18,FALSE),""))))))</f>
        <v/>
      </c>
      <c r="Y2756" s="275">
        <f ca="1">IF(D2756="","",IF(T2756="","",VLOOKUP(D2756,契約台帳!$A$3:$Q$4986,17,FALSE)))</f>
        <v>2</v>
      </c>
      <c r="Z2756" s="269" t="str">
        <f ca="1">IF(D2756="","",IF(T2756="","",VLOOKUP(D2756,契約台帳!$A$3:$E$4986,5,FALSE)))</f>
        <v>リンテック㈱</v>
      </c>
      <c r="AA2756" s="57"/>
      <c r="AB2756" s="207" t="str">
        <f>IFERROR((VLOOKUP(F2756&amp;K2756&amp;M2756,製品マスタ!$M$5:$AM$5002,27,FALSE)),"")</f>
        <v>原反ケース再利用</v>
      </c>
      <c r="AC2756" s="33"/>
      <c r="AD2756" s="189"/>
      <c r="AE2756" s="54"/>
      <c r="AF2756" s="55">
        <f>+M2756*N2756*O2756/1000</f>
        <v>78400</v>
      </c>
      <c r="AG2756" s="43"/>
      <c r="AH2756" s="47"/>
      <c r="AI2756" s="30"/>
      <c r="AJ2756" s="30"/>
      <c r="AK2756" s="30"/>
      <c r="AL2756" s="30"/>
      <c r="AM2756" s="13"/>
      <c r="AN2756" s="13"/>
      <c r="AO2756" s="13"/>
      <c r="AP2756" s="13"/>
      <c r="AQ2756" s="13"/>
      <c r="AR2756" s="14"/>
      <c r="AS2756" s="15"/>
    </row>
    <row r="2757" spans="1:45" s="17" customFormat="1" ht="30.95" hidden="1" customHeight="1" x14ac:dyDescent="0.2">
      <c r="A2757" s="343"/>
      <c r="B2757" s="344"/>
      <c r="C2757" s="345"/>
      <c r="D2757" s="346"/>
      <c r="E2757" s="346"/>
      <c r="F2757" s="268"/>
      <c r="G2757" s="269"/>
      <c r="H2757" s="269"/>
      <c r="I2757" s="270"/>
      <c r="J2757" s="434"/>
      <c r="K2757" s="270"/>
      <c r="L2757" s="270"/>
      <c r="M2757" s="348"/>
      <c r="N2757" s="348"/>
      <c r="O2757" s="435"/>
      <c r="P2757" s="349"/>
      <c r="Q2757" s="350"/>
      <c r="R2757" s="271"/>
      <c r="S2757" s="272"/>
      <c r="T2757" s="273"/>
      <c r="U2757" s="351"/>
      <c r="V2757" s="274"/>
      <c r="W2757" s="269"/>
      <c r="X2757" s="269"/>
      <c r="Y2757" s="275"/>
      <c r="Z2757" s="269"/>
      <c r="AA2757" s="350"/>
      <c r="AB2757" s="207"/>
      <c r="AC2757" s="352"/>
      <c r="AD2757" s="353"/>
      <c r="AE2757" s="54"/>
      <c r="AF2757" s="354"/>
      <c r="AG2757" s="355"/>
      <c r="AH2757" s="349"/>
      <c r="AI2757" s="30"/>
      <c r="AJ2757" s="30"/>
      <c r="AK2757" s="30"/>
      <c r="AL2757" s="30"/>
      <c r="AM2757" s="13"/>
      <c r="AN2757" s="13"/>
      <c r="AO2757" s="13"/>
      <c r="AP2757" s="13"/>
      <c r="AQ2757" s="13"/>
      <c r="AR2757" s="14"/>
      <c r="AS2757" s="15"/>
    </row>
    <row r="2758" spans="1:45" s="17" customFormat="1" ht="30.6" hidden="1" customHeight="1" x14ac:dyDescent="0.2">
      <c r="A2758" s="343" t="s">
        <v>664</v>
      </c>
      <c r="B2758" s="344" t="s">
        <v>444</v>
      </c>
      <c r="C2758" s="45"/>
      <c r="D2758" s="31">
        <v>3790257</v>
      </c>
      <c r="E2758" s="31">
        <v>4162848</v>
      </c>
      <c r="F2758" s="268" t="str">
        <f>IF(D2758="","",VLOOKUP(D2758,契約台帳!$A$3:$K$4986,6,FALSE)&amp;VLOOKUP(D2758,契約台帳!$A$3:$K$4986,7,FALSE)&amp;VLOOKUP(D2758,契約台帳!$A$3:$K$4986,8,FALSE)&amp;VLOOKUP(D2758,契約台帳!$A$3:$K$4986,9,FALSE)&amp;VLOOKUP(D2758,契約台帳!$A$3:$K$4986,11,FALSE))</f>
        <v>3SNMLBMNGTBF</v>
      </c>
      <c r="G2758" s="269" t="str">
        <f>IF(D2758="","",VLOOKUP(F2758,製品マスタ!$G$5:$H$5002,2,FALSE))</f>
        <v>S</v>
      </c>
      <c r="H2758" s="269" t="str">
        <f>IF(D2758="","",VLOOKUP(F2758,製品マスタ!$G$5:$K$5002,5,FALSE))</f>
        <v>MNGTBF</v>
      </c>
      <c r="I2758" s="270" t="str">
        <f>IF(D2758="","",VLOOKUP(F2758,製品マスタ!$G$5:$L$5002,6,FALSE))</f>
        <v>メタルミー　ネーマー　銀艶　Ｂ</v>
      </c>
      <c r="J2758" s="210" t="s">
        <v>935</v>
      </c>
      <c r="K2758" s="270">
        <f>IF(D2758="","",VLOOKUP(D2758,契約台帳!$A$3:$L$4986,12,FALSE))</f>
        <v>50</v>
      </c>
      <c r="L2758" s="270" t="str">
        <f>IF(D2758="","",INDEX(製品マスタ!$Q$5:$Q$5002,MATCH('S4'!F2758&amp;'S4'!K2758,製品マスタ!$AO$5:$AO$5002,0)))</f>
        <v>T62</v>
      </c>
      <c r="M2758" s="39">
        <v>1120</v>
      </c>
      <c r="N2758" s="39">
        <v>5000</v>
      </c>
      <c r="O2758" s="156">
        <v>4</v>
      </c>
      <c r="P2758" s="47">
        <v>2</v>
      </c>
      <c r="Q2758" s="213">
        <v>45622</v>
      </c>
      <c r="R2758" s="271">
        <f ca="1">IF(D2758="","",IF(OFFSET(D2758,-1,0)&lt;&gt;"","",IF(OR(J2758="リード付け",J2758="巻足し",J2758="巻返しリード付け"),M2758,VLOOKUP(D2758,契約台帳!$A$3:$N$4986,14,FALSE))))</f>
        <v>1120</v>
      </c>
      <c r="S2758" s="272">
        <f ca="1">IF(D2758="","",IF(OFFSET(D2758,-1,0)&lt;&gt;"","",IF(OR(J2758="リード付け",J2758="巻足し",J2758="巻返しリード付け"),M2758,VLOOKUP(D2758,契約台帳!$A$3:$O$4986,15,FALSE))))</f>
        <v>1120</v>
      </c>
      <c r="T2758" s="273">
        <f ca="1">IF(D2758="","",IF(J2758="リード付け",N2758,IF(J2758="巻返しリード付け",N2758,IF(J2758="巻足し",N2758*P2758+OFFSET(N2758,1,0)*OFFSET(P2758,1,0),VLOOKUP(D2758,契約台帳!$A$3:$P$4986,16,FALSE)))))</f>
        <v>10000</v>
      </c>
      <c r="U2758" s="40">
        <v>2</v>
      </c>
      <c r="V2758" s="274" t="str">
        <f ca="1">IF(D2758="","",IF(OFFSET(D2758,-2,0)=D2758,"",VLOOKUP(D2758,契約台帳!$A$3:$R$4986,18,FALSE)))</f>
        <v/>
      </c>
      <c r="W2758" s="269" t="str">
        <f ca="1">IF(D2758="","",IF(T2758="","",IF(OR(J2758="巻足し",J2758="巻返しリード付け"),"",IF(J2758="巻返し",VLOOKUP(F2758&amp;K2758&amp;M2758,製品マスタ!$M$5:$AD$5002,18,FALSE),IF(OR(J2758="リード付け",J2758="巻返しリード付け"),"原反コア",IF(J2758="スリット",VLOOKUP(F2758&amp;K2758&amp;R2758,製品マスタ!$N$5:$AD$5002,17,FALSE),""))))))</f>
        <v/>
      </c>
      <c r="X2758" s="269" t="str">
        <f ca="1">IF(D2758="","",IF(T2758="","",IF(J2758="巻足し","",IF(J2758="巻返し",VLOOKUP(F2758&amp;K2758&amp;M2758,製品マスタ!$M$5:$AE$5002,19,FALSE),IF(OR(J2758="リード付け",J2758="巻返しリード付け"),"",IF(J2758="スリット",VLOOKUP(F2758&amp;K2758&amp;R2758,製品マスタ!$N$5:$AE$5002,18,FALSE),""))))))</f>
        <v/>
      </c>
      <c r="Y2758" s="275">
        <f ca="1">IF(D2758="","",IF(T2758="","",VLOOKUP(D2758,契約台帳!$A$3:$Q$4986,17,FALSE)))</f>
        <v>2</v>
      </c>
      <c r="Z2758" s="269" t="str">
        <f ca="1">IF(D2758="","",IF(T2758="","",VLOOKUP(D2758,契約台帳!$A$3:$E$4986,5,FALSE)))</f>
        <v>リンテック㈱</v>
      </c>
      <c r="AA2758" s="57"/>
      <c r="AB2758" s="207" t="str">
        <f>IFERROR((VLOOKUP(F2758&amp;K2758&amp;M2758,製品マスタ!$M$5:$AM$5002,27,FALSE)),"")</f>
        <v>原反ケース再利用</v>
      </c>
      <c r="AC2758" s="33"/>
      <c r="AD2758" s="189"/>
      <c r="AE2758" s="54"/>
      <c r="AF2758" s="55">
        <f>+M2758*N2758*O2758/1000</f>
        <v>22400</v>
      </c>
      <c r="AG2758" s="43"/>
      <c r="AH2758" s="47"/>
      <c r="AI2758" s="30"/>
      <c r="AJ2758" s="30"/>
      <c r="AK2758" s="30"/>
      <c r="AL2758" s="30"/>
      <c r="AM2758" s="13"/>
      <c r="AN2758" s="13"/>
      <c r="AO2758" s="13"/>
      <c r="AP2758" s="13"/>
      <c r="AQ2758" s="13"/>
      <c r="AR2758" s="14"/>
      <c r="AS2758" s="15"/>
    </row>
    <row r="2759" spans="1:45" s="17" customFormat="1" ht="30.95" hidden="1" customHeight="1" x14ac:dyDescent="0.2">
      <c r="A2759" s="343"/>
      <c r="B2759" s="344"/>
      <c r="C2759" s="345"/>
      <c r="D2759" s="346"/>
      <c r="E2759" s="346"/>
      <c r="F2759" s="268"/>
      <c r="G2759" s="269"/>
      <c r="H2759" s="269"/>
      <c r="I2759" s="270"/>
      <c r="J2759" s="434"/>
      <c r="K2759" s="270"/>
      <c r="L2759" s="270"/>
      <c r="M2759" s="348"/>
      <c r="N2759" s="348"/>
      <c r="O2759" s="435"/>
      <c r="P2759" s="349"/>
      <c r="Q2759" s="350"/>
      <c r="R2759" s="271"/>
      <c r="S2759" s="272"/>
      <c r="T2759" s="273"/>
      <c r="U2759" s="351"/>
      <c r="V2759" s="274"/>
      <c r="W2759" s="269"/>
      <c r="X2759" s="269"/>
      <c r="Y2759" s="275"/>
      <c r="Z2759" s="269"/>
      <c r="AA2759" s="350"/>
      <c r="AB2759" s="207"/>
      <c r="AC2759" s="352"/>
      <c r="AD2759" s="353"/>
      <c r="AE2759" s="54"/>
      <c r="AF2759" s="354"/>
      <c r="AG2759" s="355"/>
      <c r="AH2759" s="349"/>
      <c r="AI2759" s="30"/>
      <c r="AJ2759" s="30"/>
      <c r="AK2759" s="30"/>
      <c r="AL2759" s="30"/>
      <c r="AM2759" s="13"/>
      <c r="AN2759" s="13"/>
      <c r="AO2759" s="13"/>
      <c r="AP2759" s="13"/>
      <c r="AQ2759" s="13"/>
      <c r="AR2759" s="14"/>
      <c r="AS2759" s="15"/>
    </row>
    <row r="2760" spans="1:45" s="17" customFormat="1" ht="30.6" hidden="1" customHeight="1" x14ac:dyDescent="0.2">
      <c r="A2760" s="343"/>
      <c r="B2760" s="344"/>
      <c r="C2760" s="45"/>
      <c r="D2760" s="31">
        <v>3790266</v>
      </c>
      <c r="E2760" s="31">
        <v>4162851</v>
      </c>
      <c r="F2760" s="268" t="str">
        <f>IF(D2760="","",VLOOKUP(D2760,契約台帳!$A$3:$K$4986,6,FALSE)&amp;VLOOKUP(D2760,契約台帳!$A$3:$K$4986,7,FALSE)&amp;VLOOKUP(D2760,契約台帳!$A$3:$K$4986,8,FALSE)&amp;VLOOKUP(D2760,契約台帳!$A$3:$K$4986,9,FALSE)&amp;VLOOKUP(D2760,契約台帳!$A$3:$K$4986,11,FALSE))</f>
        <v>3SNMLBMNQR66F</v>
      </c>
      <c r="G2760" s="269" t="str">
        <f>IF(D2760="","",VLOOKUP(F2760,製品マスタ!$G$5:$H$5002,2,FALSE))</f>
        <v>S</v>
      </c>
      <c r="H2760" s="269" t="str">
        <f>IF(D2760="","",VLOOKUP(F2760,製品マスタ!$G$5:$K$5002,5,FALSE))</f>
        <v>MNQR66F</v>
      </c>
      <c r="I2760" s="270" t="str">
        <f>IF(D2760="","",VLOOKUP(F2760,製品マスタ!$G$5:$L$5002,6,FALSE))</f>
        <v>ＱＲ６６蒸着品</v>
      </c>
      <c r="J2760" s="210" t="s">
        <v>935</v>
      </c>
      <c r="K2760" s="270">
        <f>IF(D2760="","",VLOOKUP(D2760,契約台帳!$A$3:$L$4986,12,FALSE))</f>
        <v>25</v>
      </c>
      <c r="L2760" s="270" t="str">
        <f>IF(D2760="","",INDEX(製品マスタ!$Q$5:$Q$5002,MATCH('S4'!F2760&amp;'S4'!K2760,製品マスタ!$AO$5:$AO$5002,0)))</f>
        <v>E315</v>
      </c>
      <c r="M2760" s="39">
        <v>1100</v>
      </c>
      <c r="N2760" s="39">
        <v>6000</v>
      </c>
      <c r="O2760" s="156">
        <v>9</v>
      </c>
      <c r="P2760" s="47">
        <v>3</v>
      </c>
      <c r="Q2760" s="213">
        <v>45623</v>
      </c>
      <c r="R2760" s="271">
        <f ca="1">IF(D2760="","",IF(OFFSET(D2760,-1,0)&lt;&gt;"","",IF(OR(J2760="リード付け",J2760="巻足し",J2760="巻返しリード付け"),M2760,VLOOKUP(D2760,契約台帳!$A$3:$N$4986,14,FALSE))))</f>
        <v>1100</v>
      </c>
      <c r="S2760" s="272">
        <f ca="1">IF(D2760="","",IF(OFFSET(D2760,-1,0)&lt;&gt;"","",IF(OR(J2760="リード付け",J2760="巻足し",J2760="巻返しリード付け"),M2760,VLOOKUP(D2760,契約台帳!$A$3:$O$4986,15,FALSE))))</f>
        <v>1100</v>
      </c>
      <c r="T2760" s="273">
        <f ca="1">IF(D2760="","",IF(J2760="リード付け",N2760,IF(J2760="巻返しリード付け",N2760,IF(J2760="巻足し",N2760*P2760+OFFSET(N2760,1,0)*OFFSET(P2760,1,0),VLOOKUP(D2760,契約台帳!$A$3:$P$4986,16,FALSE)))))</f>
        <v>18000</v>
      </c>
      <c r="U2760" s="40">
        <v>3</v>
      </c>
      <c r="V2760" s="274">
        <f ca="1">IF(D2760="","",IF(OFFSET(D2760,-2,0)=D2760,"",VLOOKUP(D2760,契約台帳!$A$3:$R$4986,18,FALSE)))</f>
        <v>9</v>
      </c>
      <c r="W2760" s="269" t="str">
        <f ca="1">IF(D2760="","",IF(T2760="","",IF(OR(J2760="巻足し",J2760="巻返しリード付け"),"",IF(J2760="巻返し",VLOOKUP(F2760&amp;K2760&amp;M2760,製品マスタ!$M$5:$AD$5002,18,FALSE),IF(OR(J2760="リード付け",J2760="巻返しリード付け"),"原反コア",IF(J2760="スリット",VLOOKUP(F2760&amp;K2760&amp;R2760,製品マスタ!$N$5:$AD$5002,17,FALSE),""))))))</f>
        <v/>
      </c>
      <c r="X2760" s="269" t="str">
        <f ca="1">IF(D2760="","",IF(T2760="","",IF(J2760="巻足し","",IF(J2760="巻返し",VLOOKUP(F2760&amp;K2760&amp;M2760,製品マスタ!$M$5:$AE$5002,19,FALSE),IF(OR(J2760="リード付け",J2760="巻返しリード付け"),"",IF(J2760="スリット",VLOOKUP(F2760&amp;K2760&amp;R2760,製品マスタ!$N$5:$AE$5002,18,FALSE),""))))))</f>
        <v/>
      </c>
      <c r="Y2760" s="275">
        <f ca="1">IF(D2760="","",IF(T2760="","",VLOOKUP(D2760,契約台帳!$A$3:$Q$4986,17,FALSE)))</f>
        <v>2</v>
      </c>
      <c r="Z2760" s="269" t="str">
        <f ca="1">IF(D2760="","",IF(T2760="","",VLOOKUP(D2760,契約台帳!$A$3:$E$4986,5,FALSE)))</f>
        <v>リンテック㈱</v>
      </c>
      <c r="AA2760" s="57"/>
      <c r="AB2760" s="207" t="str">
        <f>IFERROR((VLOOKUP(F2760&amp;K2760&amp;M2760,製品マスタ!$M$5:$AM$5002,27,FALSE)),"")</f>
        <v>原反ケース再利用</v>
      </c>
      <c r="AC2760" s="33"/>
      <c r="AD2760" s="189"/>
      <c r="AE2760" s="54"/>
      <c r="AF2760" s="55">
        <f>+M2760*N2760*O2760/1000</f>
        <v>59400</v>
      </c>
      <c r="AG2760" s="43"/>
      <c r="AH2760" s="47"/>
      <c r="AI2760" s="30"/>
      <c r="AJ2760" s="30"/>
      <c r="AK2760" s="30"/>
      <c r="AL2760" s="30"/>
      <c r="AM2760" s="13"/>
      <c r="AN2760" s="13"/>
      <c r="AO2760" s="13"/>
      <c r="AP2760" s="13"/>
      <c r="AQ2760" s="13"/>
      <c r="AR2760" s="14"/>
      <c r="AS2760" s="15"/>
    </row>
    <row r="2761" spans="1:45" s="17" customFormat="1" ht="30.95" hidden="1" customHeight="1" x14ac:dyDescent="0.2">
      <c r="A2761" s="343"/>
      <c r="B2761" s="344"/>
      <c r="C2761" s="345"/>
      <c r="D2761" s="346"/>
      <c r="E2761" s="346"/>
      <c r="F2761" s="268"/>
      <c r="G2761" s="269"/>
      <c r="H2761" s="269"/>
      <c r="I2761" s="270"/>
      <c r="J2761" s="434"/>
      <c r="K2761" s="270"/>
      <c r="L2761" s="270"/>
      <c r="M2761" s="348"/>
      <c r="N2761" s="348"/>
      <c r="O2761" s="435"/>
      <c r="P2761" s="349"/>
      <c r="Q2761" s="350"/>
      <c r="R2761" s="271"/>
      <c r="S2761" s="272"/>
      <c r="T2761" s="273"/>
      <c r="U2761" s="351"/>
      <c r="V2761" s="274"/>
      <c r="W2761" s="269"/>
      <c r="X2761" s="269"/>
      <c r="Y2761" s="275"/>
      <c r="Z2761" s="269"/>
      <c r="AA2761" s="350"/>
      <c r="AB2761" s="207"/>
      <c r="AC2761" s="352"/>
      <c r="AD2761" s="353"/>
      <c r="AE2761" s="54"/>
      <c r="AF2761" s="354"/>
      <c r="AG2761" s="355"/>
      <c r="AH2761" s="349"/>
      <c r="AI2761" s="30"/>
      <c r="AJ2761" s="30"/>
      <c r="AK2761" s="30"/>
      <c r="AL2761" s="30"/>
      <c r="AM2761" s="13"/>
      <c r="AN2761" s="13"/>
      <c r="AO2761" s="13"/>
      <c r="AP2761" s="13"/>
      <c r="AQ2761" s="13"/>
      <c r="AR2761" s="14"/>
      <c r="AS2761" s="15"/>
    </row>
    <row r="2762" spans="1:45" s="17" customFormat="1" ht="30.6" hidden="1" customHeight="1" x14ac:dyDescent="0.2">
      <c r="A2762" s="343"/>
      <c r="B2762" s="344"/>
      <c r="C2762" s="45"/>
      <c r="D2762" s="31">
        <v>3790254</v>
      </c>
      <c r="E2762" s="31">
        <v>4162842</v>
      </c>
      <c r="F2762" s="268" t="str">
        <f>IF(D2762="","",VLOOKUP(D2762,契約台帳!$A$3:$K$4986,6,FALSE)&amp;VLOOKUP(D2762,契約台帳!$A$3:$K$4986,7,FALSE)&amp;VLOOKUP(D2762,契約台帳!$A$3:$K$4986,8,FALSE)&amp;VLOOKUP(D2762,契約台帳!$A$3:$K$4986,9,FALSE)&amp;VLOOKUP(D2762,契約台帳!$A$3:$K$4986,11,FALSE))</f>
        <v>3SNMLBMNGKBF</v>
      </c>
      <c r="G2762" s="269" t="str">
        <f>IF(D2762="","",VLOOKUP(F2762,製品マスタ!$G$5:$H$5002,2,FALSE))</f>
        <v>S</v>
      </c>
      <c r="H2762" s="269" t="str">
        <f>IF(D2762="","",VLOOKUP(F2762,製品マスタ!$G$5:$K$5002,5,FALSE))</f>
        <v>MNGKBF</v>
      </c>
      <c r="I2762" s="270" t="str">
        <f>IF(D2762="","",VLOOKUP(F2762,製品マスタ!$G$5:$L$5002,6,FALSE))</f>
        <v>メタルミー　ネーマー銀消　Ｂ</v>
      </c>
      <c r="J2762" s="210" t="s">
        <v>935</v>
      </c>
      <c r="K2762" s="270">
        <f>IF(D2762="","",VLOOKUP(D2762,契約台帳!$A$3:$L$4986,12,FALSE))</f>
        <v>50</v>
      </c>
      <c r="L2762" s="270" t="str">
        <f>IF(D2762="","",INDEX(製品マスタ!$Q$5:$Q$5002,MATCH('S4'!F2762&amp;'S4'!K2762,製品マスタ!$AO$5:$AO$5002,0)))</f>
        <v>MAT</v>
      </c>
      <c r="M2762" s="39">
        <v>1050</v>
      </c>
      <c r="N2762" s="39">
        <v>4100</v>
      </c>
      <c r="O2762" s="156">
        <v>3</v>
      </c>
      <c r="P2762" s="47">
        <v>3</v>
      </c>
      <c r="Q2762" s="213">
        <v>45624</v>
      </c>
      <c r="R2762" s="271">
        <f ca="1">IF(D2762="","",IF(OFFSET(D2762,-1,0)&lt;&gt;"","",IF(OR(J2762="リード付け",J2762="巻足し",J2762="巻返しリード付け"),M2762,VLOOKUP(D2762,契約台帳!$A$3:$N$4986,14,FALSE))))</f>
        <v>1050</v>
      </c>
      <c r="S2762" s="272">
        <f ca="1">IF(D2762="","",IF(OFFSET(D2762,-1,0)&lt;&gt;"","",IF(OR(J2762="リード付け",J2762="巻足し",J2762="巻返しリード付け"),M2762,VLOOKUP(D2762,契約台帳!$A$3:$O$4986,15,FALSE))))</f>
        <v>1050</v>
      </c>
      <c r="T2762" s="273">
        <f ca="1">IF(D2762="","",IF(J2762="リード付け",N2762,IF(J2762="巻返しリード付け",N2762,IF(J2762="巻足し",N2762*P2762+OFFSET(N2762,1,0)*OFFSET(P2762,1,0),VLOOKUP(D2762,契約台帳!$A$3:$P$4986,16,FALSE)))))</f>
        <v>12300</v>
      </c>
      <c r="U2762" s="40">
        <v>1</v>
      </c>
      <c r="V2762" s="274">
        <f ca="1">IF(D2762="","",IF(OFFSET(D2762,-2,0)=D2762,"",VLOOKUP(D2762,契約台帳!$A$3:$R$4986,18,FALSE)))</f>
        <v>5</v>
      </c>
      <c r="W2762" s="269" t="str">
        <f ca="1">IF(D2762="","",IF(T2762="","",IF(OR(J2762="巻足し",J2762="巻返しリード付け"),"",IF(J2762="巻返し",VLOOKUP(F2762&amp;K2762&amp;M2762,製品マスタ!$M$5:$AD$5002,18,FALSE),IF(OR(J2762="リード付け",J2762="巻返しリード付け"),"原反コア",IF(J2762="スリット",VLOOKUP(F2762&amp;K2762&amp;R2762,製品マスタ!$N$5:$AD$5002,17,FALSE),""))))))</f>
        <v/>
      </c>
      <c r="X2762" s="269" t="str">
        <f ca="1">IF(D2762="","",IF(T2762="","",IF(J2762="巻足し","",IF(J2762="巻返し",VLOOKUP(F2762&amp;K2762&amp;M2762,製品マスタ!$M$5:$AE$5002,19,FALSE),IF(OR(J2762="リード付け",J2762="巻返しリード付け"),"",IF(J2762="スリット",VLOOKUP(F2762&amp;K2762&amp;R2762,製品マスタ!$N$5:$AE$5002,18,FALSE),""))))))</f>
        <v/>
      </c>
      <c r="Y2762" s="275">
        <f ca="1">IF(D2762="","",IF(T2762="","",VLOOKUP(D2762,契約台帳!$A$3:$Q$4986,17,FALSE)))</f>
        <v>2</v>
      </c>
      <c r="Z2762" s="269" t="str">
        <f ca="1">IF(D2762="","",IF(T2762="","",VLOOKUP(D2762,契約台帳!$A$3:$E$4986,5,FALSE)))</f>
        <v>リンテック㈱</v>
      </c>
      <c r="AA2762" s="57"/>
      <c r="AB2762" s="207">
        <f>IFERROR((VLOOKUP(F2762&amp;K2762&amp;M2762,製品マスタ!$M$5:$AM$5002,27,FALSE)),"")</f>
        <v>0</v>
      </c>
      <c r="AC2762" s="33"/>
      <c r="AD2762" s="189"/>
      <c r="AE2762" s="54"/>
      <c r="AF2762" s="55">
        <f>+M2762*N2762*O2762/1000</f>
        <v>12915</v>
      </c>
      <c r="AG2762" s="43"/>
      <c r="AH2762" s="47"/>
      <c r="AI2762" s="30"/>
      <c r="AJ2762" s="30"/>
      <c r="AK2762" s="30"/>
      <c r="AL2762" s="30"/>
      <c r="AM2762" s="13"/>
      <c r="AN2762" s="13"/>
      <c r="AO2762" s="13"/>
      <c r="AP2762" s="13"/>
      <c r="AQ2762" s="13"/>
      <c r="AR2762" s="14"/>
      <c r="AS2762" s="15"/>
    </row>
    <row r="2763" spans="1:45" s="17" customFormat="1" ht="30.95" hidden="1" customHeight="1" x14ac:dyDescent="0.2">
      <c r="A2763" s="343"/>
      <c r="B2763" s="344"/>
      <c r="C2763" s="345"/>
      <c r="D2763" s="346"/>
      <c r="E2763" s="346"/>
      <c r="F2763" s="268"/>
      <c r="G2763" s="269"/>
      <c r="H2763" s="269"/>
      <c r="I2763" s="270"/>
      <c r="J2763" s="434"/>
      <c r="K2763" s="270"/>
      <c r="L2763" s="270"/>
      <c r="M2763" s="348"/>
      <c r="N2763" s="348"/>
      <c r="O2763" s="435"/>
      <c r="P2763" s="349"/>
      <c r="Q2763" s="350"/>
      <c r="R2763" s="271"/>
      <c r="S2763" s="272"/>
      <c r="T2763" s="273"/>
      <c r="U2763" s="351"/>
      <c r="V2763" s="274"/>
      <c r="W2763" s="269"/>
      <c r="X2763" s="269"/>
      <c r="Y2763" s="275"/>
      <c r="Z2763" s="269"/>
      <c r="AA2763" s="350"/>
      <c r="AB2763" s="207"/>
      <c r="AC2763" s="352"/>
      <c r="AD2763" s="353"/>
      <c r="AE2763" s="54"/>
      <c r="AF2763" s="354"/>
      <c r="AG2763" s="355"/>
      <c r="AH2763" s="349"/>
      <c r="AI2763" s="30"/>
      <c r="AJ2763" s="30"/>
      <c r="AK2763" s="30"/>
      <c r="AL2763" s="30"/>
      <c r="AM2763" s="13"/>
      <c r="AN2763" s="13"/>
      <c r="AO2763" s="13"/>
      <c r="AP2763" s="13"/>
      <c r="AQ2763" s="13"/>
      <c r="AR2763" s="14"/>
      <c r="AS2763" s="15"/>
    </row>
    <row r="2764" spans="1:45" s="17" customFormat="1" ht="30.6" hidden="1" customHeight="1" x14ac:dyDescent="0.2">
      <c r="A2764" s="343"/>
      <c r="B2764" s="344"/>
      <c r="C2764" s="45"/>
      <c r="D2764" s="31">
        <v>3790254</v>
      </c>
      <c r="E2764" s="31">
        <v>4162842</v>
      </c>
      <c r="F2764" s="268" t="str">
        <f>IF(D2764="","",VLOOKUP(D2764,契約台帳!$A$3:$K$4986,6,FALSE)&amp;VLOOKUP(D2764,契約台帳!$A$3:$K$4986,7,FALSE)&amp;VLOOKUP(D2764,契約台帳!$A$3:$K$4986,8,FALSE)&amp;VLOOKUP(D2764,契約台帳!$A$3:$K$4986,9,FALSE)&amp;VLOOKUP(D2764,契約台帳!$A$3:$K$4986,11,FALSE))</f>
        <v>3SNMLBMNGKBF</v>
      </c>
      <c r="G2764" s="269" t="str">
        <f>IF(D2764="","",VLOOKUP(F2764,製品マスタ!$G$5:$H$5002,2,FALSE))</f>
        <v>S</v>
      </c>
      <c r="H2764" s="269" t="str">
        <f>IF(D2764="","",VLOOKUP(F2764,製品マスタ!$G$5:$K$5002,5,FALSE))</f>
        <v>MNGKBF</v>
      </c>
      <c r="I2764" s="270" t="str">
        <f>IF(D2764="","",VLOOKUP(F2764,製品マスタ!$G$5:$L$5002,6,FALSE))</f>
        <v>メタルミー　ネーマー銀消　Ｂ</v>
      </c>
      <c r="J2764" s="210" t="s">
        <v>935</v>
      </c>
      <c r="K2764" s="270">
        <f>IF(D2764="","",VLOOKUP(D2764,契約台帳!$A$3:$L$4986,12,FALSE))</f>
        <v>50</v>
      </c>
      <c r="L2764" s="270" t="str">
        <f>IF(D2764="","",INDEX(製品マスタ!$Q$5:$Q$5002,MATCH('S4'!F2764&amp;'S4'!K2764,製品マスタ!$AO$5:$AO$5002,0)))</f>
        <v>MAT</v>
      </c>
      <c r="M2764" s="39">
        <v>1050</v>
      </c>
      <c r="N2764" s="39">
        <v>4100</v>
      </c>
      <c r="O2764" s="156">
        <v>2</v>
      </c>
      <c r="P2764" s="47">
        <v>2</v>
      </c>
      <c r="Q2764" s="213">
        <v>45624</v>
      </c>
      <c r="R2764" s="271">
        <f ca="1">IF(D2764="","",IF(OFFSET(D2764,-1,0)&lt;&gt;"","",IF(OR(J2764="リード付け",J2764="巻足し",J2764="巻返しリード付け"),M2764,VLOOKUP(D2764,契約台帳!$A$3:$N$4986,14,FALSE))))</f>
        <v>1050</v>
      </c>
      <c r="S2764" s="272">
        <f ca="1">IF(D2764="","",IF(OFFSET(D2764,-1,0)&lt;&gt;"","",IF(OR(J2764="リード付け",J2764="巻足し",J2764="巻返しリード付け"),M2764,VLOOKUP(D2764,契約台帳!$A$3:$O$4986,15,FALSE))))</f>
        <v>1050</v>
      </c>
      <c r="T2764" s="273">
        <f ca="1">IF(D2764="","",IF(J2764="リード付け",N2764,IF(J2764="巻返しリード付け",N2764,IF(J2764="巻足し",N2764*P2764+OFFSET(N2764,1,0)*OFFSET(P2764,1,0),VLOOKUP(D2764,契約台帳!$A$3:$P$4986,16,FALSE)))))</f>
        <v>8200</v>
      </c>
      <c r="U2764" s="40">
        <v>1</v>
      </c>
      <c r="V2764" s="274" t="str">
        <f ca="1">IF(D2764="","",IF(OFFSET(D2764,-2,0)=D2764,"",VLOOKUP(D2764,契約台帳!$A$3:$R$4986,18,FALSE)))</f>
        <v/>
      </c>
      <c r="W2764" s="269" t="str">
        <f ca="1">IF(D2764="","",IF(T2764="","",IF(OR(J2764="巻足し",J2764="巻返しリード付け"),"",IF(J2764="巻返し",VLOOKUP(F2764&amp;K2764&amp;M2764,製品マスタ!$M$5:$AD$5002,18,FALSE),IF(OR(J2764="リード付け",J2764="巻返しリード付け"),"原反コア",IF(J2764="スリット",VLOOKUP(F2764&amp;K2764&amp;R2764,製品マスタ!$N$5:$AD$5002,17,FALSE),""))))))</f>
        <v/>
      </c>
      <c r="X2764" s="269" t="str">
        <f ca="1">IF(D2764="","",IF(T2764="","",IF(J2764="巻足し","",IF(J2764="巻返し",VLOOKUP(F2764&amp;K2764&amp;M2764,製品マスタ!$M$5:$AE$5002,19,FALSE),IF(OR(J2764="リード付け",J2764="巻返しリード付け"),"",IF(J2764="スリット",VLOOKUP(F2764&amp;K2764&amp;R2764,製品マスタ!$N$5:$AE$5002,18,FALSE),""))))))</f>
        <v/>
      </c>
      <c r="Y2764" s="275">
        <f ca="1">IF(D2764="","",IF(T2764="","",VLOOKUP(D2764,契約台帳!$A$3:$Q$4986,17,FALSE)))</f>
        <v>2</v>
      </c>
      <c r="Z2764" s="269" t="str">
        <f ca="1">IF(D2764="","",IF(T2764="","",VLOOKUP(D2764,契約台帳!$A$3:$E$4986,5,FALSE)))</f>
        <v>リンテック㈱</v>
      </c>
      <c r="AA2764" s="57"/>
      <c r="AB2764" s="207">
        <f>IFERROR((VLOOKUP(F2764&amp;K2764&amp;M2764,製品マスタ!$M$5:$AM$5002,27,FALSE)),"")</f>
        <v>0</v>
      </c>
      <c r="AC2764" s="33"/>
      <c r="AD2764" s="189"/>
      <c r="AE2764" s="54"/>
      <c r="AF2764" s="55">
        <f>+M2764*N2764*O2764/1000</f>
        <v>8610</v>
      </c>
      <c r="AG2764" s="43"/>
      <c r="AH2764" s="47"/>
      <c r="AI2764" s="30"/>
      <c r="AJ2764" s="30"/>
      <c r="AK2764" s="30"/>
      <c r="AL2764" s="30"/>
      <c r="AM2764" s="13"/>
      <c r="AN2764" s="13"/>
      <c r="AO2764" s="13"/>
      <c r="AP2764" s="13"/>
      <c r="AQ2764" s="13"/>
      <c r="AR2764" s="14"/>
      <c r="AS2764" s="15"/>
    </row>
    <row r="2765" spans="1:45" s="17" customFormat="1" ht="30.95" hidden="1" customHeight="1" x14ac:dyDescent="0.2">
      <c r="A2765" s="343"/>
      <c r="B2765" s="344"/>
      <c r="C2765" s="345"/>
      <c r="D2765" s="346"/>
      <c r="E2765" s="346"/>
      <c r="F2765" s="268"/>
      <c r="G2765" s="269"/>
      <c r="H2765" s="269"/>
      <c r="I2765" s="270"/>
      <c r="J2765" s="434"/>
      <c r="K2765" s="270"/>
      <c r="L2765" s="270"/>
      <c r="M2765" s="348"/>
      <c r="N2765" s="348"/>
      <c r="O2765" s="435"/>
      <c r="P2765" s="349"/>
      <c r="Q2765" s="350"/>
      <c r="R2765" s="271"/>
      <c r="S2765" s="272"/>
      <c r="T2765" s="273"/>
      <c r="U2765" s="351"/>
      <c r="V2765" s="274"/>
      <c r="W2765" s="269"/>
      <c r="X2765" s="269"/>
      <c r="Y2765" s="275"/>
      <c r="Z2765" s="269"/>
      <c r="AA2765" s="350"/>
      <c r="AB2765" s="207"/>
      <c r="AC2765" s="352"/>
      <c r="AD2765" s="353"/>
      <c r="AE2765" s="54"/>
      <c r="AF2765" s="354"/>
      <c r="AG2765" s="355"/>
      <c r="AH2765" s="349"/>
      <c r="AI2765" s="30"/>
      <c r="AJ2765" s="30"/>
      <c r="AK2765" s="30"/>
      <c r="AL2765" s="30"/>
      <c r="AM2765" s="13"/>
      <c r="AN2765" s="13"/>
      <c r="AO2765" s="13"/>
      <c r="AP2765" s="13"/>
      <c r="AQ2765" s="13"/>
      <c r="AR2765" s="14"/>
      <c r="AS2765" s="15"/>
    </row>
    <row r="2766" spans="1:45" s="17" customFormat="1" ht="30.95" hidden="1" customHeight="1" x14ac:dyDescent="0.2">
      <c r="A2766" s="343" t="s">
        <v>3378</v>
      </c>
      <c r="B2766" s="344" t="s">
        <v>3375</v>
      </c>
      <c r="C2766" s="345"/>
      <c r="D2766" s="346"/>
      <c r="E2766" s="346"/>
      <c r="F2766" s="268"/>
      <c r="G2766" s="269"/>
      <c r="H2766" s="269"/>
      <c r="I2766" s="270"/>
      <c r="J2766" s="434" t="s">
        <v>448</v>
      </c>
      <c r="K2766" s="270"/>
      <c r="L2766" s="270"/>
      <c r="M2766" s="348"/>
      <c r="N2766" s="348"/>
      <c r="O2766" s="435"/>
      <c r="P2766" s="349"/>
      <c r="Q2766" s="350"/>
      <c r="R2766" s="271"/>
      <c r="S2766" s="272"/>
      <c r="T2766" s="273"/>
      <c r="U2766" s="351"/>
      <c r="V2766" s="274"/>
      <c r="W2766" s="269"/>
      <c r="X2766" s="269"/>
      <c r="Y2766" s="275"/>
      <c r="Z2766" s="269"/>
      <c r="AA2766" s="350"/>
      <c r="AB2766" s="207"/>
      <c r="AC2766" s="352"/>
      <c r="AD2766" s="353"/>
      <c r="AE2766" s="54"/>
      <c r="AF2766" s="354"/>
      <c r="AG2766" s="355"/>
      <c r="AH2766" s="349"/>
      <c r="AI2766" s="30"/>
      <c r="AJ2766" s="30"/>
      <c r="AK2766" s="30"/>
      <c r="AL2766" s="30"/>
      <c r="AM2766" s="13"/>
      <c r="AN2766" s="13"/>
      <c r="AO2766" s="13"/>
      <c r="AP2766" s="13"/>
      <c r="AQ2766" s="13"/>
      <c r="AR2766" s="14"/>
      <c r="AS2766" s="15"/>
    </row>
    <row r="2767" spans="1:45" s="17" customFormat="1" ht="30.95" hidden="1" customHeight="1" x14ac:dyDescent="0.2">
      <c r="A2767" s="343"/>
      <c r="B2767" s="344"/>
      <c r="C2767" s="345"/>
      <c r="D2767" s="346"/>
      <c r="E2767" s="346"/>
      <c r="F2767" s="268"/>
      <c r="G2767" s="269"/>
      <c r="H2767" s="269"/>
      <c r="I2767" s="270"/>
      <c r="J2767" s="434"/>
      <c r="K2767" s="270"/>
      <c r="L2767" s="270"/>
      <c r="M2767" s="348"/>
      <c r="N2767" s="348"/>
      <c r="O2767" s="435"/>
      <c r="P2767" s="349"/>
      <c r="Q2767" s="350"/>
      <c r="R2767" s="271"/>
      <c r="S2767" s="272"/>
      <c r="T2767" s="273"/>
      <c r="U2767" s="351"/>
      <c r="V2767" s="274"/>
      <c r="W2767" s="269"/>
      <c r="X2767" s="269"/>
      <c r="Y2767" s="275"/>
      <c r="Z2767" s="269"/>
      <c r="AA2767" s="350"/>
      <c r="AB2767" s="207"/>
      <c r="AC2767" s="352"/>
      <c r="AD2767" s="353"/>
      <c r="AE2767" s="54"/>
      <c r="AF2767" s="354"/>
      <c r="AG2767" s="355"/>
      <c r="AH2767" s="349"/>
      <c r="AI2767" s="30"/>
      <c r="AJ2767" s="30"/>
      <c r="AK2767" s="30"/>
      <c r="AL2767" s="30"/>
      <c r="AM2767" s="13"/>
      <c r="AN2767" s="13"/>
      <c r="AO2767" s="13"/>
      <c r="AP2767" s="13"/>
      <c r="AQ2767" s="13"/>
      <c r="AR2767" s="14"/>
      <c r="AS2767" s="15"/>
    </row>
    <row r="2768" spans="1:45" s="17" customFormat="1" ht="30.95" hidden="1" customHeight="1" x14ac:dyDescent="0.2">
      <c r="A2768" s="343" t="s">
        <v>3379</v>
      </c>
      <c r="B2768" s="344" t="s">
        <v>3377</v>
      </c>
      <c r="C2768" s="345"/>
      <c r="D2768" s="346"/>
      <c r="E2768" s="346"/>
      <c r="F2768" s="268"/>
      <c r="G2768" s="269"/>
      <c r="H2768" s="269"/>
      <c r="I2768" s="270"/>
      <c r="J2768" s="434" t="s">
        <v>448</v>
      </c>
      <c r="K2768" s="270"/>
      <c r="L2768" s="270"/>
      <c r="M2768" s="348"/>
      <c r="N2768" s="348"/>
      <c r="O2768" s="435"/>
      <c r="P2768" s="349"/>
      <c r="Q2768" s="350"/>
      <c r="R2768" s="271"/>
      <c r="S2768" s="272"/>
      <c r="T2768" s="273"/>
      <c r="U2768" s="351"/>
      <c r="V2768" s="274"/>
      <c r="W2768" s="269"/>
      <c r="X2768" s="269"/>
      <c r="Y2768" s="275"/>
      <c r="Z2768" s="269"/>
      <c r="AA2768" s="350"/>
      <c r="AB2768" s="207"/>
      <c r="AC2768" s="352"/>
      <c r="AD2768" s="353"/>
      <c r="AE2768" s="54"/>
      <c r="AF2768" s="354"/>
      <c r="AG2768" s="355"/>
      <c r="AH2768" s="349"/>
      <c r="AI2768" s="30"/>
      <c r="AJ2768" s="30"/>
      <c r="AK2768" s="30"/>
      <c r="AL2768" s="30"/>
      <c r="AM2768" s="13"/>
      <c r="AN2768" s="13"/>
      <c r="AO2768" s="13"/>
      <c r="AP2768" s="13"/>
      <c r="AQ2768" s="13"/>
      <c r="AR2768" s="14"/>
      <c r="AS2768" s="15"/>
    </row>
    <row r="2769" spans="1:45" s="17" customFormat="1" ht="30.95" hidden="1" customHeight="1" x14ac:dyDescent="0.2">
      <c r="A2769" s="343"/>
      <c r="B2769" s="344"/>
      <c r="C2769" s="345"/>
      <c r="D2769" s="346"/>
      <c r="E2769" s="346"/>
      <c r="F2769" s="268"/>
      <c r="G2769" s="269"/>
      <c r="H2769" s="269"/>
      <c r="I2769" s="270"/>
      <c r="J2769" s="434"/>
      <c r="K2769" s="270"/>
      <c r="L2769" s="270"/>
      <c r="M2769" s="348"/>
      <c r="N2769" s="348"/>
      <c r="O2769" s="435"/>
      <c r="P2769" s="349"/>
      <c r="Q2769" s="350"/>
      <c r="R2769" s="271"/>
      <c r="S2769" s="272"/>
      <c r="T2769" s="273"/>
      <c r="U2769" s="351"/>
      <c r="V2769" s="274"/>
      <c r="W2769" s="269"/>
      <c r="X2769" s="269"/>
      <c r="Y2769" s="275"/>
      <c r="Z2769" s="269"/>
      <c r="AA2769" s="350"/>
      <c r="AB2769" s="207"/>
      <c r="AC2769" s="352"/>
      <c r="AD2769" s="353"/>
      <c r="AE2769" s="54"/>
      <c r="AF2769" s="354"/>
      <c r="AG2769" s="355"/>
      <c r="AH2769" s="349"/>
      <c r="AI2769" s="30"/>
      <c r="AJ2769" s="30"/>
      <c r="AK2769" s="30"/>
      <c r="AL2769" s="30"/>
      <c r="AM2769" s="13"/>
      <c r="AN2769" s="13"/>
      <c r="AO2769" s="13"/>
      <c r="AP2769" s="13"/>
      <c r="AQ2769" s="13"/>
      <c r="AR2769" s="14"/>
      <c r="AS2769" s="15"/>
    </row>
    <row r="2770" spans="1:45" s="17" customFormat="1" ht="30.6" hidden="1" customHeight="1" x14ac:dyDescent="0.2">
      <c r="A2770" s="343" t="s">
        <v>671</v>
      </c>
      <c r="B2770" s="344" t="s">
        <v>462</v>
      </c>
      <c r="C2770" s="45"/>
      <c r="D2770" s="31">
        <v>3790253</v>
      </c>
      <c r="E2770" s="31">
        <v>4162841</v>
      </c>
      <c r="F2770" s="268" t="str">
        <f>IF(D2770="","",VLOOKUP(D2770,契約台帳!$A$3:$K$4986,6,FALSE)&amp;VLOOKUP(D2770,契約台帳!$A$3:$K$4986,7,FALSE)&amp;VLOOKUP(D2770,契約台帳!$A$3:$K$4986,8,FALSE)&amp;VLOOKUP(D2770,契約台帳!$A$3:$K$4986,9,FALSE)&amp;VLOOKUP(D2770,契約台帳!$A$3:$K$4986,11,FALSE))</f>
        <v>3SNMLBMNGKBF</v>
      </c>
      <c r="G2770" s="269" t="str">
        <f>IF(D2770="","",VLOOKUP(F2770,製品マスタ!$G$5:$H$5002,2,FALSE))</f>
        <v>S</v>
      </c>
      <c r="H2770" s="269" t="str">
        <f>IF(D2770="","",VLOOKUP(F2770,製品マスタ!$G$5:$K$5002,5,FALSE))</f>
        <v>MNGKBF</v>
      </c>
      <c r="I2770" s="270" t="str">
        <f>IF(D2770="","",VLOOKUP(F2770,製品マスタ!$G$5:$L$5002,6,FALSE))</f>
        <v>メタルミー　ネーマー銀消　Ｂ</v>
      </c>
      <c r="J2770" s="210" t="s">
        <v>935</v>
      </c>
      <c r="K2770" s="270">
        <f>IF(D2770="","",VLOOKUP(D2770,契約台帳!$A$3:$L$4986,12,FALSE))</f>
        <v>38</v>
      </c>
      <c r="L2770" s="270" t="str">
        <f>IF(D2770="","",INDEX(製品マスタ!$Q$5:$Q$5002,MATCH('S4'!F2770&amp;'S4'!K2770,製品マスタ!$AO$5:$AO$5002,0)))</f>
        <v>LUMIMAT</v>
      </c>
      <c r="M2770" s="39">
        <v>1005</v>
      </c>
      <c r="N2770" s="39">
        <v>4100</v>
      </c>
      <c r="O2770" s="156">
        <v>2</v>
      </c>
      <c r="P2770" s="47">
        <v>2</v>
      </c>
      <c r="Q2770" s="213">
        <v>45624</v>
      </c>
      <c r="R2770" s="271">
        <f ca="1">IF(D2770="","",IF(OFFSET(D2770,-1,0)&lt;&gt;"","",IF(OR(J2770="リード付け",J2770="巻足し",J2770="巻返しリード付け"),M2770,VLOOKUP(D2770,契約台帳!$A$3:$N$4986,14,FALSE))))</f>
        <v>1005</v>
      </c>
      <c r="S2770" s="272">
        <f ca="1">IF(D2770="","",IF(OFFSET(D2770,-1,0)&lt;&gt;"","",IF(OR(J2770="リード付け",J2770="巻足し",J2770="巻返しリード付け"),M2770,VLOOKUP(D2770,契約台帳!$A$3:$O$4986,15,FALSE))))</f>
        <v>1005</v>
      </c>
      <c r="T2770" s="273">
        <f ca="1">IF(D2770="","",IF(J2770="リード付け",N2770,IF(J2770="巻返しリード付け",N2770,IF(J2770="巻足し",N2770*P2770+OFFSET(N2770,1,0)*OFFSET(P2770,1,0),VLOOKUP(D2770,契約台帳!$A$3:$P$4986,16,FALSE)))))</f>
        <v>8200</v>
      </c>
      <c r="U2770" s="40">
        <v>1</v>
      </c>
      <c r="V2770" s="274">
        <f ca="1">IF(D2770="","",IF(OFFSET(D2770,-2,0)=D2770,"",VLOOKUP(D2770,契約台帳!$A$3:$R$4986,18,FALSE)))</f>
        <v>2</v>
      </c>
      <c r="W2770" s="269" t="str">
        <f ca="1">IF(D2770="","",IF(T2770="","",IF(OR(J2770="巻足し",J2770="巻返しリード付け"),"",IF(J2770="巻返し",VLOOKUP(F2770&amp;K2770&amp;M2770,製品マスタ!$M$5:$AD$5002,18,FALSE),IF(OR(J2770="リード付け",J2770="巻返しリード付け"),"原反コア",IF(J2770="スリット",VLOOKUP(F2770&amp;K2770&amp;R2770,製品マスタ!$N$5:$AD$5002,17,FALSE),""))))))</f>
        <v/>
      </c>
      <c r="X2770" s="269" t="str">
        <f ca="1">IF(D2770="","",IF(T2770="","",IF(J2770="巻足し","",IF(J2770="巻返し",VLOOKUP(F2770&amp;K2770&amp;M2770,製品マスタ!$M$5:$AE$5002,19,FALSE),IF(OR(J2770="リード付け",J2770="巻返しリード付け"),"",IF(J2770="スリット",VLOOKUP(F2770&amp;K2770&amp;R2770,製品マスタ!$N$5:$AE$5002,18,FALSE),""))))))</f>
        <v/>
      </c>
      <c r="Y2770" s="275">
        <f ca="1">IF(D2770="","",IF(T2770="","",VLOOKUP(D2770,契約台帳!$A$3:$Q$4986,17,FALSE)))</f>
        <v>2</v>
      </c>
      <c r="Z2770" s="269" t="str">
        <f ca="1">IF(D2770="","",IF(T2770="","",VLOOKUP(D2770,契約台帳!$A$3:$E$4986,5,FALSE)))</f>
        <v>リンテック㈱</v>
      </c>
      <c r="AA2770" s="57"/>
      <c r="AB2770" s="207">
        <f>IFERROR((VLOOKUP(F2770&amp;K2770&amp;M2770,製品マスタ!$M$5:$AM$5002,27,FALSE)),"")</f>
        <v>0</v>
      </c>
      <c r="AC2770" s="33"/>
      <c r="AD2770" s="189"/>
      <c r="AE2770" s="54"/>
      <c r="AF2770" s="55">
        <f>+M2770*N2770*O2770/1000</f>
        <v>8241</v>
      </c>
      <c r="AG2770" s="43"/>
      <c r="AH2770" s="47"/>
      <c r="AI2770" s="30"/>
      <c r="AJ2770" s="30"/>
      <c r="AK2770" s="30"/>
      <c r="AL2770" s="30"/>
      <c r="AM2770" s="13"/>
      <c r="AN2770" s="13"/>
      <c r="AO2770" s="13"/>
      <c r="AP2770" s="13"/>
      <c r="AQ2770" s="13"/>
      <c r="AR2770" s="14"/>
      <c r="AS2770" s="15"/>
    </row>
    <row r="2771" spans="1:45" s="17" customFormat="1" ht="30.95" hidden="1" customHeight="1" x14ac:dyDescent="0.2">
      <c r="A2771" s="343"/>
      <c r="B2771" s="344"/>
      <c r="C2771" s="345"/>
      <c r="D2771" s="346"/>
      <c r="E2771" s="346"/>
      <c r="F2771" s="268"/>
      <c r="G2771" s="269"/>
      <c r="H2771" s="269"/>
      <c r="I2771" s="270"/>
      <c r="J2771" s="434"/>
      <c r="K2771" s="270"/>
      <c r="L2771" s="270"/>
      <c r="M2771" s="348"/>
      <c r="N2771" s="348"/>
      <c r="O2771" s="435"/>
      <c r="P2771" s="349"/>
      <c r="Q2771" s="350"/>
      <c r="R2771" s="271"/>
      <c r="S2771" s="272"/>
      <c r="T2771" s="273"/>
      <c r="U2771" s="351"/>
      <c r="V2771" s="274"/>
      <c r="W2771" s="269"/>
      <c r="X2771" s="269"/>
      <c r="Y2771" s="275"/>
      <c r="Z2771" s="269"/>
      <c r="AA2771" s="350"/>
      <c r="AB2771" s="207"/>
      <c r="AC2771" s="352"/>
      <c r="AD2771" s="353"/>
      <c r="AE2771" s="54"/>
      <c r="AF2771" s="354"/>
      <c r="AG2771" s="355"/>
      <c r="AH2771" s="349"/>
      <c r="AI2771" s="30"/>
      <c r="AJ2771" s="30"/>
      <c r="AK2771" s="30"/>
      <c r="AL2771" s="30"/>
      <c r="AM2771" s="13"/>
      <c r="AN2771" s="13"/>
      <c r="AO2771" s="13"/>
      <c r="AP2771" s="13"/>
      <c r="AQ2771" s="13"/>
      <c r="AR2771" s="14"/>
      <c r="AS2771" s="15"/>
    </row>
    <row r="2772" spans="1:45" s="17" customFormat="1" ht="30.6" hidden="1" customHeight="1" x14ac:dyDescent="0.2">
      <c r="A2772" s="343"/>
      <c r="B2772" s="344"/>
      <c r="C2772" s="45"/>
      <c r="D2772" s="31">
        <v>3790258</v>
      </c>
      <c r="E2772" s="31">
        <v>4162849</v>
      </c>
      <c r="F2772" s="268" t="str">
        <f>IF(D2772="","",VLOOKUP(D2772,契約台帳!$A$3:$K$4986,6,FALSE)&amp;VLOOKUP(D2772,契約台帳!$A$3:$K$4986,7,FALSE)&amp;VLOOKUP(D2772,契約台帳!$A$3:$K$4986,8,FALSE)&amp;VLOOKUP(D2772,契約台帳!$A$3:$K$4986,9,FALSE)&amp;VLOOKUP(D2772,契約台帳!$A$3:$K$4986,11,FALSE))</f>
        <v>3SNMLBMNNGKBF</v>
      </c>
      <c r="G2772" s="269" t="str">
        <f>IF(D2772="","",VLOOKUP(F2772,製品マスタ!$G$5:$H$5002,2,FALSE))</f>
        <v>S</v>
      </c>
      <c r="H2772" s="269" t="str">
        <f>IF(D2772="","",VLOOKUP(F2772,製品マスタ!$G$5:$K$5002,5,FALSE))</f>
        <v>MNNGKBF</v>
      </c>
      <c r="I2772" s="270" t="str">
        <f>IF(D2772="","",VLOOKUP(F2772,製品マスタ!$G$5:$L$5002,6,FALSE))</f>
        <v>メタルミー　ニューネーマー銀消　Ｂ</v>
      </c>
      <c r="J2772" s="210" t="s">
        <v>935</v>
      </c>
      <c r="K2772" s="270">
        <f>IF(D2772="","",VLOOKUP(D2772,契約台帳!$A$3:$L$4986,12,FALSE))</f>
        <v>25</v>
      </c>
      <c r="L2772" s="270" t="str">
        <f>IF(D2772="","",INDEX(製品マスタ!$Q$5:$Q$5002,MATCH('S4'!F2772&amp;'S4'!K2772,製品マスタ!$AO$5:$AO$5002,0)))</f>
        <v>X44C</v>
      </c>
      <c r="M2772" s="39">
        <v>1005</v>
      </c>
      <c r="N2772" s="39">
        <v>8000</v>
      </c>
      <c r="O2772" s="156">
        <v>2</v>
      </c>
      <c r="P2772" s="47">
        <v>2</v>
      </c>
      <c r="Q2772" s="213">
        <v>45628</v>
      </c>
      <c r="R2772" s="271">
        <f ca="1">IF(D2772="","",IF(OFFSET(D2772,-1,0)&lt;&gt;"","",IF(OR(J2772="リード付け",J2772="巻足し",J2772="巻返しリード付け"),M2772,VLOOKUP(D2772,契約台帳!$A$3:$N$4986,14,FALSE))))</f>
        <v>1005</v>
      </c>
      <c r="S2772" s="272">
        <f ca="1">IF(D2772="","",IF(OFFSET(D2772,-1,0)&lt;&gt;"","",IF(OR(J2772="リード付け",J2772="巻足し",J2772="巻返しリード付け"),M2772,VLOOKUP(D2772,契約台帳!$A$3:$O$4986,15,FALSE))))</f>
        <v>1005</v>
      </c>
      <c r="T2772" s="273">
        <f ca="1">IF(D2772="","",IF(J2772="リード付け",N2772,IF(J2772="巻返しリード付け",N2772,IF(J2772="巻足し",N2772*P2772+OFFSET(N2772,1,0)*OFFSET(P2772,1,0),VLOOKUP(D2772,契約台帳!$A$3:$P$4986,16,FALSE)))))</f>
        <v>16000</v>
      </c>
      <c r="U2772" s="40">
        <v>1</v>
      </c>
      <c r="V2772" s="274">
        <f ca="1">IF(D2772="","",IF(OFFSET(D2772,-2,0)=D2772,"",VLOOKUP(D2772,契約台帳!$A$3:$R$4986,18,FALSE)))</f>
        <v>6</v>
      </c>
      <c r="W2772" s="269" t="str">
        <f ca="1">IF(D2772="","",IF(T2772="","",IF(OR(J2772="巻足し",J2772="巻返しリード付け"),"",IF(J2772="巻返し",VLOOKUP(F2772&amp;K2772&amp;M2772,製品マスタ!$M$5:$AD$5002,18,FALSE),IF(OR(J2772="リード付け",J2772="巻返しリード付け"),"原反コア",IF(J2772="スリット",VLOOKUP(F2772&amp;K2772&amp;R2772,製品マスタ!$N$5:$AD$5002,17,FALSE),""))))))</f>
        <v/>
      </c>
      <c r="X2772" s="269" t="str">
        <f ca="1">IF(D2772="","",IF(T2772="","",IF(J2772="巻足し","",IF(J2772="巻返し",VLOOKUP(F2772&amp;K2772&amp;M2772,製品マスタ!$M$5:$AE$5002,19,FALSE),IF(OR(J2772="リード付け",J2772="巻返しリード付け"),"",IF(J2772="スリット",VLOOKUP(F2772&amp;K2772&amp;R2772,製品マスタ!$N$5:$AE$5002,18,FALSE),""))))))</f>
        <v/>
      </c>
      <c r="Y2772" s="275">
        <f ca="1">IF(D2772="","",IF(T2772="","",VLOOKUP(D2772,契約台帳!$A$3:$Q$4986,17,FALSE)))</f>
        <v>2</v>
      </c>
      <c r="Z2772" s="269" t="str">
        <f ca="1">IF(D2772="","",IF(T2772="","",VLOOKUP(D2772,契約台帳!$A$3:$E$4986,5,FALSE)))</f>
        <v>リンテック㈱</v>
      </c>
      <c r="AA2772" s="57"/>
      <c r="AB2772" s="207">
        <f>IFERROR((VLOOKUP(F2772&amp;K2772&amp;M2772,製品マスタ!$M$5:$AM$5002,27,FALSE)),"")</f>
        <v>0</v>
      </c>
      <c r="AC2772" s="33"/>
      <c r="AD2772" s="189"/>
      <c r="AE2772" s="54"/>
      <c r="AF2772" s="55">
        <f>+M2772*N2772*O2772/1000</f>
        <v>16080</v>
      </c>
      <c r="AG2772" s="43"/>
      <c r="AH2772" s="47"/>
      <c r="AI2772" s="30"/>
      <c r="AJ2772" s="30"/>
      <c r="AK2772" s="30"/>
      <c r="AL2772" s="30"/>
      <c r="AM2772" s="13"/>
      <c r="AN2772" s="13"/>
      <c r="AO2772" s="13"/>
      <c r="AP2772" s="13"/>
      <c r="AQ2772" s="13"/>
      <c r="AR2772" s="14"/>
      <c r="AS2772" s="15"/>
    </row>
    <row r="2773" spans="1:45" s="17" customFormat="1" ht="30.95" hidden="1" customHeight="1" x14ac:dyDescent="0.2">
      <c r="A2773" s="343"/>
      <c r="B2773" s="344"/>
      <c r="C2773" s="345"/>
      <c r="D2773" s="346"/>
      <c r="E2773" s="346"/>
      <c r="F2773" s="268"/>
      <c r="G2773" s="269"/>
      <c r="H2773" s="269"/>
      <c r="I2773" s="270"/>
      <c r="J2773" s="434"/>
      <c r="K2773" s="270"/>
      <c r="L2773" s="270"/>
      <c r="M2773" s="348"/>
      <c r="N2773" s="348"/>
      <c r="O2773" s="435"/>
      <c r="P2773" s="349"/>
      <c r="Q2773" s="350"/>
      <c r="R2773" s="271"/>
      <c r="S2773" s="272"/>
      <c r="T2773" s="273"/>
      <c r="U2773" s="351"/>
      <c r="V2773" s="274"/>
      <c r="W2773" s="269"/>
      <c r="X2773" s="269"/>
      <c r="Y2773" s="275"/>
      <c r="Z2773" s="269"/>
      <c r="AA2773" s="350"/>
      <c r="AB2773" s="207"/>
      <c r="AC2773" s="352"/>
      <c r="AD2773" s="353"/>
      <c r="AE2773" s="54"/>
      <c r="AF2773" s="354"/>
      <c r="AG2773" s="355"/>
      <c r="AH2773" s="349"/>
      <c r="AI2773" s="30"/>
      <c r="AJ2773" s="30"/>
      <c r="AK2773" s="30"/>
      <c r="AL2773" s="30"/>
      <c r="AM2773" s="13"/>
      <c r="AN2773" s="13"/>
      <c r="AO2773" s="13"/>
      <c r="AP2773" s="13"/>
      <c r="AQ2773" s="13"/>
      <c r="AR2773" s="14"/>
      <c r="AS2773" s="15"/>
    </row>
    <row r="2774" spans="1:45" s="17" customFormat="1" ht="30.6" hidden="1" customHeight="1" x14ac:dyDescent="0.2">
      <c r="A2774" s="343"/>
      <c r="B2774" s="344"/>
      <c r="C2774" s="45"/>
      <c r="D2774" s="31">
        <v>3790258</v>
      </c>
      <c r="E2774" s="31">
        <v>4162849</v>
      </c>
      <c r="F2774" s="268" t="str">
        <f>IF(D2774="","",VLOOKUP(D2774,契約台帳!$A$3:$K$4986,6,FALSE)&amp;VLOOKUP(D2774,契約台帳!$A$3:$K$4986,7,FALSE)&amp;VLOOKUP(D2774,契約台帳!$A$3:$K$4986,8,FALSE)&amp;VLOOKUP(D2774,契約台帳!$A$3:$K$4986,9,FALSE)&amp;VLOOKUP(D2774,契約台帳!$A$3:$K$4986,11,FALSE))</f>
        <v>3SNMLBMNNGKBF</v>
      </c>
      <c r="G2774" s="269" t="str">
        <f>IF(D2774="","",VLOOKUP(F2774,製品マスタ!$G$5:$H$5002,2,FALSE))</f>
        <v>S</v>
      </c>
      <c r="H2774" s="269" t="str">
        <f>IF(D2774="","",VLOOKUP(F2774,製品マスタ!$G$5:$K$5002,5,FALSE))</f>
        <v>MNNGKBF</v>
      </c>
      <c r="I2774" s="270" t="str">
        <f>IF(D2774="","",VLOOKUP(F2774,製品マスタ!$G$5:$L$5002,6,FALSE))</f>
        <v>メタルミー　ニューネーマー銀消　Ｂ</v>
      </c>
      <c r="J2774" s="210" t="s">
        <v>464</v>
      </c>
      <c r="K2774" s="270">
        <f>IF(D2774="","",VLOOKUP(D2774,契約台帳!$A$3:$L$4986,12,FALSE))</f>
        <v>25</v>
      </c>
      <c r="L2774" s="270" t="str">
        <f>IF(D2774="","",INDEX(製品マスタ!$Q$5:$Q$5002,MATCH('S4'!F2774&amp;'S4'!K2774,製品マスタ!$AO$5:$AO$5002,0)))</f>
        <v>X44C</v>
      </c>
      <c r="M2774" s="39">
        <v>1005</v>
      </c>
      <c r="N2774" s="39">
        <v>8000</v>
      </c>
      <c r="O2774" s="156">
        <v>1</v>
      </c>
      <c r="P2774" s="47">
        <v>1</v>
      </c>
      <c r="Q2774" s="213">
        <v>45628</v>
      </c>
      <c r="R2774" s="271">
        <f ca="1">IF(D2774="","",IF(OFFSET(D2774,-1,0)&lt;&gt;"","",IF(OR(J2774="リード付け",J2774="巻足し",J2774="巻返しリード付け"),M2774,VLOOKUP(D2774,契約台帳!$A$3:$N$4986,14,FALSE))))</f>
        <v>1005</v>
      </c>
      <c r="S2774" s="272">
        <f ca="1">IF(D2774="","",IF(OFFSET(D2774,-1,0)&lt;&gt;"","",IF(OR(J2774="リード付け",J2774="巻足し",J2774="巻返しリード付け"),M2774,VLOOKUP(D2774,契約台帳!$A$3:$O$4986,15,FALSE))))</f>
        <v>1005</v>
      </c>
      <c r="T2774" s="273">
        <f ca="1">IF(D2774="","",IF(J2774="リード付け",N2774,IF(J2774="巻返しリード付け",N2774,IF(J2774="巻足し",N2774*P2774+OFFSET(N2774,1,0)*OFFSET(P2774,1,0),VLOOKUP(D2774,契約台帳!$A$3:$P$4986,16,FALSE)))))</f>
        <v>8000</v>
      </c>
      <c r="U2774" s="40">
        <v>1</v>
      </c>
      <c r="V2774" s="274" t="str">
        <f ca="1">IF(D2774="","",IF(OFFSET(D2774,-2,0)=D2774,"",VLOOKUP(D2774,契約台帳!$A$3:$R$4986,18,FALSE)))</f>
        <v/>
      </c>
      <c r="W2774" s="269" t="str">
        <f ca="1">IF(D2774="","",IF(T2774="","",IF(OR(J2774="巻足し",J2774="巻返しリード付け"),"",IF(J2774="巻返し",VLOOKUP(F2774&amp;K2774&amp;M2774,製品マスタ!$M$5:$AD$5002,18,FALSE),IF(OR(J2774="リード付け",J2774="巻返しリード付け"),"原反コア",IF(J2774="スリット",VLOOKUP(F2774&amp;K2774&amp;R2774,製品マスタ!$N$5:$AD$5002,17,FALSE),""))))))</f>
        <v>原反コア</v>
      </c>
      <c r="X2774" s="269" t="str">
        <f ca="1">IF(D2774="","",IF(T2774="","",IF(J2774="巻足し","",IF(J2774="巻返し",VLOOKUP(F2774&amp;K2774&amp;M2774,製品マスタ!$M$5:$AE$5002,19,FALSE),IF(OR(J2774="リード付け",J2774="巻返しリード付け"),"",IF(J2774="スリット",VLOOKUP(F2774&amp;K2774&amp;R2774,製品マスタ!$N$5:$AE$5002,18,FALSE),""))))))</f>
        <v/>
      </c>
      <c r="Y2774" s="275">
        <f ca="1">IF(D2774="","",IF(T2774="","",VLOOKUP(D2774,契約台帳!$A$3:$Q$4986,17,FALSE)))</f>
        <v>2</v>
      </c>
      <c r="Z2774" s="269" t="str">
        <f ca="1">IF(D2774="","",IF(T2774="","",VLOOKUP(D2774,契約台帳!$A$3:$E$4986,5,FALSE)))</f>
        <v>リンテック㈱</v>
      </c>
      <c r="AA2774" s="57"/>
      <c r="AB2774" s="207">
        <f>IFERROR((VLOOKUP(F2774&amp;K2774&amp;M2774,製品マスタ!$M$5:$AM$5002,27,FALSE)),"")</f>
        <v>0</v>
      </c>
      <c r="AC2774" s="33"/>
      <c r="AD2774" s="189"/>
      <c r="AE2774" s="54"/>
      <c r="AF2774" s="55">
        <f>+M2774*N2774*O2774/1000</f>
        <v>8040</v>
      </c>
      <c r="AG2774" s="43"/>
      <c r="AH2774" s="47"/>
      <c r="AI2774" s="30"/>
      <c r="AJ2774" s="30"/>
      <c r="AK2774" s="30"/>
      <c r="AL2774" s="30"/>
      <c r="AM2774" s="13"/>
      <c r="AN2774" s="13"/>
      <c r="AO2774" s="13"/>
      <c r="AP2774" s="13"/>
      <c r="AQ2774" s="13"/>
      <c r="AR2774" s="14"/>
      <c r="AS2774" s="15"/>
    </row>
    <row r="2775" spans="1:45" s="17" customFormat="1" ht="30.95" hidden="1" customHeight="1" x14ac:dyDescent="0.2">
      <c r="A2775" s="343"/>
      <c r="B2775" s="344"/>
      <c r="C2775" s="345"/>
      <c r="D2775" s="346"/>
      <c r="E2775" s="346"/>
      <c r="F2775" s="268"/>
      <c r="G2775" s="269"/>
      <c r="H2775" s="269"/>
      <c r="I2775" s="270"/>
      <c r="J2775" s="434"/>
      <c r="K2775" s="270"/>
      <c r="L2775" s="270"/>
      <c r="M2775" s="348"/>
      <c r="N2775" s="348"/>
      <c r="O2775" s="435"/>
      <c r="P2775" s="349"/>
      <c r="Q2775" s="350"/>
      <c r="R2775" s="271"/>
      <c r="S2775" s="272"/>
      <c r="T2775" s="273"/>
      <c r="U2775" s="351"/>
      <c r="V2775" s="274"/>
      <c r="W2775" s="269"/>
      <c r="X2775" s="269"/>
      <c r="Y2775" s="275"/>
      <c r="Z2775" s="269"/>
      <c r="AA2775" s="350"/>
      <c r="AB2775" s="207"/>
      <c r="AC2775" s="352"/>
      <c r="AD2775" s="353"/>
      <c r="AE2775" s="54"/>
      <c r="AF2775" s="354"/>
      <c r="AG2775" s="355"/>
      <c r="AH2775" s="349"/>
      <c r="AI2775" s="30"/>
      <c r="AJ2775" s="30"/>
      <c r="AK2775" s="30"/>
      <c r="AL2775" s="30"/>
      <c r="AM2775" s="13"/>
      <c r="AN2775" s="13"/>
      <c r="AO2775" s="13"/>
      <c r="AP2775" s="13"/>
      <c r="AQ2775" s="13"/>
      <c r="AR2775" s="14"/>
      <c r="AS2775" s="15"/>
    </row>
    <row r="2776" spans="1:45" s="17" customFormat="1" ht="30.6" hidden="1" customHeight="1" x14ac:dyDescent="0.2">
      <c r="A2776" s="343"/>
      <c r="B2776" s="344"/>
      <c r="C2776" s="45"/>
      <c r="D2776" s="31">
        <v>3790260</v>
      </c>
      <c r="E2776" s="31">
        <v>4162828</v>
      </c>
      <c r="F2776" s="268" t="str">
        <f>IF(D2776="","",VLOOKUP(D2776,契約台帳!$A$3:$K$4986,6,FALSE)&amp;VLOOKUP(D2776,契約台帳!$A$3:$K$4986,7,FALSE)&amp;VLOOKUP(D2776,契約台帳!$A$3:$K$4986,8,FALSE)&amp;VLOOKUP(D2776,契約台帳!$A$3:$K$4986,9,FALSE)&amp;VLOOKUP(D2776,契約台帳!$A$3:$K$4986,11,FALSE))</f>
        <v>33SSNMCLBTEKKFV</v>
      </c>
      <c r="G2776" s="269" t="str">
        <f>IF(D2776="","",VLOOKUP(F2776,製品マスタ!$G$5:$H$5002,2,FALSE))</f>
        <v>S</v>
      </c>
      <c r="H2776" s="269" t="str">
        <f>IF(D2776="","",VLOOKUP(F2776,製品マスタ!$G$5:$K$5002,5,FALSE))</f>
        <v>TEKKFV</v>
      </c>
      <c r="I2776" s="270" t="str">
        <f>IF(D2776="","",VLOOKUP(F2776,製品マスタ!$G$5:$L$5002,6,FALSE))</f>
        <v>メタルミー　ＴＥＳ消開封　Ｖ</v>
      </c>
      <c r="J2776" s="210" t="s">
        <v>3128</v>
      </c>
      <c r="K2776" s="270">
        <f>IF(D2776="","",VLOOKUP(D2776,契約台帳!$A$3:$L$4986,12,FALSE))</f>
        <v>38</v>
      </c>
      <c r="L2776" s="270" t="str">
        <f>IF(D2776="","",INDEX(製品マスタ!$Q$5:$Q$5002,MATCH('S4'!F2776&amp;'S4'!K2776,製品マスタ!$AO$5:$AO$5002,0)))</f>
        <v>X44SEPA</v>
      </c>
      <c r="M2776" s="39">
        <v>1005</v>
      </c>
      <c r="N2776" s="39">
        <v>2000</v>
      </c>
      <c r="O2776" s="156">
        <v>1</v>
      </c>
      <c r="P2776" s="47">
        <v>1</v>
      </c>
      <c r="Q2776" s="213">
        <v>45628</v>
      </c>
      <c r="R2776" s="271">
        <f ca="1">IF(D2776="","",IF(OFFSET(D2776,-1,0)&lt;&gt;"","",IF(OR(J2776="リード付け",J2776="巻足し",J2776="巻返しリード付け"),M2776,VLOOKUP(D2776,契約台帳!$A$3:$N$4986,14,FALSE))))</f>
        <v>1005</v>
      </c>
      <c r="S2776" s="272">
        <f ca="1">IF(D2776="","",IF(OFFSET(D2776,-1,0)&lt;&gt;"","",IF(OR(J2776="リード付け",J2776="巻足し",J2776="巻返しリード付け"),M2776,VLOOKUP(D2776,契約台帳!$A$3:$O$4986,15,FALSE))))</f>
        <v>1000</v>
      </c>
      <c r="T2776" s="273">
        <f ca="1">IF(D2776="","",IF(J2776="リード付け",N2776,IF(J2776="巻返しリード付け",N2776,IF(J2776="巻足し",N2776*P2776+OFFSET(N2776,1,0)*OFFSET(P2776,1,0),VLOOKUP(D2776,契約台帳!$A$3:$P$4986,16,FALSE)))))</f>
        <v>2000</v>
      </c>
      <c r="U2776" s="40">
        <v>1</v>
      </c>
      <c r="V2776" s="274">
        <f ca="1">IF(D2776="","",IF(OFFSET(D2776,-2,0)=D2776,"",VLOOKUP(D2776,契約台帳!$A$3:$R$4986,18,FALSE)))</f>
        <v>1</v>
      </c>
      <c r="W2776" s="269" t="str">
        <f ca="1">IF(D2776="","",IF(T2776="","",IF(OR(J2776="巻足し",J2776="巻返しリード付け"),"",IF(J2776="巻返し",VLOOKUP(F2776&amp;K2776&amp;M2776,製品マスタ!$M$5:$AD$5002,18,FALSE),IF(OR(J2776="リード付け",J2776="巻返しリード付け"),"原反コア",IF(J2776="スリット",VLOOKUP(F2776&amp;K2776&amp;R2776,製品マスタ!$N$5:$AD$5002,17,FALSE),""))))))</f>
        <v/>
      </c>
      <c r="X2776" s="269" t="str">
        <f ca="1">IF(D2776="","",IF(T2776="","",IF(J2776="巻足し","",IF(J2776="巻返し",VLOOKUP(F2776&amp;K2776&amp;M2776,製品マスタ!$M$5:$AE$5002,19,FALSE),IF(OR(J2776="リード付け",J2776="巻返しリード付け"),"",IF(J2776="スリット",VLOOKUP(F2776&amp;K2776&amp;R2776,製品マスタ!$N$5:$AE$5002,18,FALSE),""))))))</f>
        <v/>
      </c>
      <c r="Y2776" s="275">
        <f ca="1">IF(D2776="","",IF(T2776="","",VLOOKUP(D2776,契約台帳!$A$3:$Q$4986,17,FALSE)))</f>
        <v>2</v>
      </c>
      <c r="Z2776" s="269" t="str">
        <f ca="1">IF(D2776="","",IF(T2776="","",VLOOKUP(D2776,契約台帳!$A$3:$E$4986,5,FALSE)))</f>
        <v>リンテック㈱</v>
      </c>
      <c r="AA2776" s="57"/>
      <c r="AB2776" s="207">
        <f>IFERROR((VLOOKUP(F2776&amp;K2776&amp;M2776,製品マスタ!$M$5:$AM$5002,27,FALSE)),"")</f>
        <v>0</v>
      </c>
      <c r="AC2776" s="33"/>
      <c r="AD2776" s="189"/>
      <c r="AE2776" s="54"/>
      <c r="AF2776" s="55">
        <f>+M2776*N2776*O2776/1000</f>
        <v>2010</v>
      </c>
      <c r="AG2776" s="43"/>
      <c r="AH2776" s="47"/>
      <c r="AI2776" s="30"/>
      <c r="AJ2776" s="30"/>
      <c r="AK2776" s="30"/>
      <c r="AL2776" s="30"/>
      <c r="AM2776" s="13"/>
      <c r="AN2776" s="13"/>
      <c r="AO2776" s="13"/>
      <c r="AP2776" s="13"/>
      <c r="AQ2776" s="13"/>
      <c r="AR2776" s="14"/>
      <c r="AS2776" s="15"/>
    </row>
    <row r="2777" spans="1:45" s="17" customFormat="1" ht="30.95" hidden="1" customHeight="1" x14ac:dyDescent="0.2">
      <c r="A2777" s="343"/>
      <c r="B2777" s="344"/>
      <c r="C2777" s="345"/>
      <c r="D2777" s="346"/>
      <c r="E2777" s="346"/>
      <c r="F2777" s="268"/>
      <c r="G2777" s="269"/>
      <c r="H2777" s="269"/>
      <c r="I2777" s="270"/>
      <c r="J2777" s="434"/>
      <c r="K2777" s="270"/>
      <c r="L2777" s="270"/>
      <c r="M2777" s="348"/>
      <c r="N2777" s="348"/>
      <c r="O2777" s="435"/>
      <c r="P2777" s="349"/>
      <c r="Q2777" s="350"/>
      <c r="R2777" s="271"/>
      <c r="S2777" s="272"/>
      <c r="T2777" s="273"/>
      <c r="U2777" s="351"/>
      <c r="V2777" s="274"/>
      <c r="W2777" s="269"/>
      <c r="X2777" s="269"/>
      <c r="Y2777" s="275"/>
      <c r="Z2777" s="269"/>
      <c r="AA2777" s="350"/>
      <c r="AB2777" s="207"/>
      <c r="AC2777" s="352"/>
      <c r="AD2777" s="353"/>
      <c r="AE2777" s="54"/>
      <c r="AF2777" s="354"/>
      <c r="AG2777" s="355"/>
      <c r="AH2777" s="349"/>
      <c r="AI2777" s="30"/>
      <c r="AJ2777" s="30"/>
      <c r="AK2777" s="30"/>
      <c r="AL2777" s="30"/>
      <c r="AM2777" s="13"/>
      <c r="AN2777" s="13"/>
      <c r="AO2777" s="13"/>
      <c r="AP2777" s="13"/>
      <c r="AQ2777" s="13"/>
      <c r="AR2777" s="14"/>
      <c r="AS2777" s="15"/>
    </row>
    <row r="2778" spans="1:45" s="17" customFormat="1" ht="30.6" hidden="1" customHeight="1" x14ac:dyDescent="0.2">
      <c r="A2778" s="343"/>
      <c r="B2778" s="344"/>
      <c r="C2778" s="45"/>
      <c r="D2778" s="31">
        <v>3790261</v>
      </c>
      <c r="E2778" s="31">
        <v>4162829</v>
      </c>
      <c r="F2778" s="268" t="str">
        <f>IF(D2778="","",VLOOKUP(D2778,契約台帳!$A$3:$K$4986,6,FALSE)&amp;VLOOKUP(D2778,契約台帳!$A$3:$K$4986,7,FALSE)&amp;VLOOKUP(D2778,契約台帳!$A$3:$K$4986,8,FALSE)&amp;VLOOKUP(D2778,契約台帳!$A$3:$K$4986,9,FALSE)&amp;VLOOKUP(D2778,契約台帳!$A$3:$K$4986,11,FALSE))</f>
        <v>33SSNMCLBTEKKFV</v>
      </c>
      <c r="G2778" s="269" t="str">
        <f>IF(D2778="","",VLOOKUP(F2778,製品マスタ!$G$5:$H$5002,2,FALSE))</f>
        <v>S</v>
      </c>
      <c r="H2778" s="269" t="str">
        <f>IF(D2778="","",VLOOKUP(F2778,製品マスタ!$G$5:$K$5002,5,FALSE))</f>
        <v>TEKKFV</v>
      </c>
      <c r="I2778" s="270" t="str">
        <f>IF(D2778="","",VLOOKUP(F2778,製品マスタ!$G$5:$L$5002,6,FALSE))</f>
        <v>メタルミー　ＴＥＳ消開封　Ｖ</v>
      </c>
      <c r="J2778" s="210" t="s">
        <v>935</v>
      </c>
      <c r="K2778" s="270">
        <f>IF(D2778="","",VLOOKUP(D2778,契約台帳!$A$3:$L$4986,12,FALSE))</f>
        <v>50</v>
      </c>
      <c r="L2778" s="270" t="str">
        <f>IF(D2778="","",INDEX(製品マスタ!$Q$5:$Q$5002,MATCH('S4'!F2778&amp;'S4'!K2778,製品マスタ!$AO$5:$AO$5002,0)))</f>
        <v>X44SEPA</v>
      </c>
      <c r="M2778" s="39">
        <v>1005</v>
      </c>
      <c r="N2778" s="39">
        <v>4000</v>
      </c>
      <c r="O2778" s="156">
        <v>6</v>
      </c>
      <c r="P2778" s="47">
        <v>3</v>
      </c>
      <c r="Q2778" s="213">
        <v>45628</v>
      </c>
      <c r="R2778" s="271">
        <f ca="1">IF(D2778="","",IF(OFFSET(D2778,-1,0)&lt;&gt;"","",IF(OR(J2778="リード付け",J2778="巻足し",J2778="巻返しリード付け"),M2778,VLOOKUP(D2778,契約台帳!$A$3:$N$4986,14,FALSE))))</f>
        <v>1005</v>
      </c>
      <c r="S2778" s="272">
        <f ca="1">IF(D2778="","",IF(OFFSET(D2778,-1,0)&lt;&gt;"","",IF(OR(J2778="リード付け",J2778="巻足し",J2778="巻返しリード付け"),M2778,VLOOKUP(D2778,契約台帳!$A$3:$O$4986,15,FALSE))))</f>
        <v>1005</v>
      </c>
      <c r="T2778" s="273">
        <f ca="1">IF(D2778="","",IF(J2778="リード付け",N2778,IF(J2778="巻返しリード付け",N2778,IF(J2778="巻足し",N2778*P2778+OFFSET(N2778,1,0)*OFFSET(P2778,1,0),VLOOKUP(D2778,契約台帳!$A$3:$P$4986,16,FALSE)))))</f>
        <v>12000</v>
      </c>
      <c r="U2778" s="40">
        <v>2</v>
      </c>
      <c r="V2778" s="274">
        <f ca="1">IF(D2778="","",IF(OFFSET(D2778,-2,0)=D2778,"",VLOOKUP(D2778,契約台帳!$A$3:$R$4986,18,FALSE)))</f>
        <v>6</v>
      </c>
      <c r="W2778" s="269" t="str">
        <f ca="1">IF(D2778="","",IF(T2778="","",IF(OR(J2778="巻足し",J2778="巻返しリード付け"),"",IF(J2778="巻返し",VLOOKUP(F2778&amp;K2778&amp;M2778,製品マスタ!$M$5:$AD$5002,18,FALSE),IF(OR(J2778="リード付け",J2778="巻返しリード付け"),"原反コア",IF(J2778="スリット",VLOOKUP(F2778&amp;K2778&amp;R2778,製品マスタ!$N$5:$AD$5002,17,FALSE),""))))))</f>
        <v/>
      </c>
      <c r="X2778" s="269" t="str">
        <f ca="1">IF(D2778="","",IF(T2778="","",IF(J2778="巻足し","",IF(J2778="巻返し",VLOOKUP(F2778&amp;K2778&amp;M2778,製品マスタ!$M$5:$AE$5002,19,FALSE),IF(OR(J2778="リード付け",J2778="巻返しリード付け"),"",IF(J2778="スリット",VLOOKUP(F2778&amp;K2778&amp;R2778,製品マスタ!$N$5:$AE$5002,18,FALSE),""))))))</f>
        <v/>
      </c>
      <c r="Y2778" s="275">
        <f ca="1">IF(D2778="","",IF(T2778="","",VLOOKUP(D2778,契約台帳!$A$3:$Q$4986,17,FALSE)))</f>
        <v>2</v>
      </c>
      <c r="Z2778" s="269" t="str">
        <f ca="1">IF(D2778="","",IF(T2778="","",VLOOKUP(D2778,契約台帳!$A$3:$E$4986,5,FALSE)))</f>
        <v>リンテック㈱</v>
      </c>
      <c r="AA2778" s="57"/>
      <c r="AB2778" s="207">
        <f>IFERROR((VLOOKUP(F2778&amp;K2778&amp;M2778,製品マスタ!$M$5:$AM$5002,27,FALSE)),"")</f>
        <v>0</v>
      </c>
      <c r="AC2778" s="33"/>
      <c r="AD2778" s="189"/>
      <c r="AE2778" s="54"/>
      <c r="AF2778" s="55">
        <f>+M2778*N2778*O2778/1000</f>
        <v>24120</v>
      </c>
      <c r="AG2778" s="43"/>
      <c r="AH2778" s="47"/>
      <c r="AI2778" s="30"/>
      <c r="AJ2778" s="30"/>
      <c r="AK2778" s="30"/>
      <c r="AL2778" s="30"/>
      <c r="AM2778" s="13"/>
      <c r="AN2778" s="13"/>
      <c r="AO2778" s="13"/>
      <c r="AP2778" s="13"/>
      <c r="AQ2778" s="13"/>
      <c r="AR2778" s="14"/>
      <c r="AS2778" s="15"/>
    </row>
    <row r="2779" spans="1:45" s="17" customFormat="1" ht="30.95" hidden="1" customHeight="1" x14ac:dyDescent="0.2">
      <c r="A2779" s="343"/>
      <c r="B2779" s="344"/>
      <c r="C2779" s="345"/>
      <c r="D2779" s="346"/>
      <c r="E2779" s="346"/>
      <c r="F2779" s="268"/>
      <c r="G2779" s="269"/>
      <c r="H2779" s="269"/>
      <c r="I2779" s="270"/>
      <c r="J2779" s="434"/>
      <c r="K2779" s="270"/>
      <c r="L2779" s="270"/>
      <c r="M2779" s="348"/>
      <c r="N2779" s="348"/>
      <c r="O2779" s="435"/>
      <c r="P2779" s="349"/>
      <c r="Q2779" s="350"/>
      <c r="R2779" s="271"/>
      <c r="S2779" s="272"/>
      <c r="T2779" s="273"/>
      <c r="U2779" s="351"/>
      <c r="V2779" s="274"/>
      <c r="W2779" s="269"/>
      <c r="X2779" s="269"/>
      <c r="Y2779" s="275"/>
      <c r="Z2779" s="269"/>
      <c r="AA2779" s="350"/>
      <c r="AB2779" s="207"/>
      <c r="AC2779" s="352"/>
      <c r="AD2779" s="353"/>
      <c r="AE2779" s="54"/>
      <c r="AF2779" s="354"/>
      <c r="AG2779" s="355"/>
      <c r="AH2779" s="349"/>
      <c r="AI2779" s="30"/>
      <c r="AJ2779" s="30"/>
      <c r="AK2779" s="30"/>
      <c r="AL2779" s="30"/>
      <c r="AM2779" s="13"/>
      <c r="AN2779" s="13"/>
      <c r="AO2779" s="13"/>
      <c r="AP2779" s="13"/>
      <c r="AQ2779" s="13"/>
      <c r="AR2779" s="14"/>
      <c r="AS2779" s="15"/>
    </row>
    <row r="2780" spans="1:45" s="17" customFormat="1" ht="30.6" hidden="1" customHeight="1" x14ac:dyDescent="0.2">
      <c r="A2780" s="343"/>
      <c r="B2780" s="344"/>
      <c r="C2780" s="45"/>
      <c r="D2780" s="31">
        <v>3790262</v>
      </c>
      <c r="E2780" s="31">
        <v>4162830</v>
      </c>
      <c r="F2780" s="268" t="str">
        <f>IF(D2780="","",VLOOKUP(D2780,契約台帳!$A$3:$K$4986,6,FALSE)&amp;VLOOKUP(D2780,契約台帳!$A$3:$K$4986,7,FALSE)&amp;VLOOKUP(D2780,契約台帳!$A$3:$K$4986,8,FALSE)&amp;VLOOKUP(D2780,契約台帳!$A$3:$K$4986,9,FALSE)&amp;VLOOKUP(D2780,契約台帳!$A$3:$K$4986,11,FALSE))</f>
        <v>33SSNMCLBTEKV0V</v>
      </c>
      <c r="G2780" s="269" t="str">
        <f>IF(D2780="","",VLOOKUP(F2780,製品マスタ!$G$5:$H$5002,2,FALSE))</f>
        <v>S</v>
      </c>
      <c r="H2780" s="269" t="str">
        <f>IF(D2780="","",VLOOKUP(F2780,製品マスタ!$G$5:$K$5002,5,FALSE))</f>
        <v>TEKV0V</v>
      </c>
      <c r="I2780" s="270" t="str">
        <f>IF(D2780="","",VLOOKUP(F2780,製品マスタ!$G$5:$L$5002,6,FALSE))</f>
        <v>メタルミー　ＴＥ－Ｓ消　ＶＯＩＤ　Ｖ</v>
      </c>
      <c r="J2780" s="210" t="s">
        <v>935</v>
      </c>
      <c r="K2780" s="270">
        <f>IF(D2780="","",VLOOKUP(D2780,契約台帳!$A$3:$L$4986,12,FALSE))</f>
        <v>50</v>
      </c>
      <c r="L2780" s="270" t="str">
        <f>IF(D2780="","",INDEX(製品マスタ!$Q$5:$Q$5002,MATCH('S4'!F2780&amp;'S4'!K2780,製品マスタ!$AO$5:$AO$5002,0)))</f>
        <v>X44SEPA</v>
      </c>
      <c r="M2780" s="39">
        <v>1005</v>
      </c>
      <c r="N2780" s="39">
        <v>4000</v>
      </c>
      <c r="O2780" s="156">
        <v>2</v>
      </c>
      <c r="P2780" s="47">
        <v>3</v>
      </c>
      <c r="Q2780" s="213">
        <v>45628</v>
      </c>
      <c r="R2780" s="271">
        <f ca="1">IF(D2780="","",IF(OFFSET(D2780,-1,0)&lt;&gt;"","",IF(OR(J2780="リード付け",J2780="巻足し",J2780="巻返しリード付け"),M2780,VLOOKUP(D2780,契約台帳!$A$3:$N$4986,14,FALSE))))</f>
        <v>1005</v>
      </c>
      <c r="S2780" s="272">
        <f ca="1">IF(D2780="","",IF(OFFSET(D2780,-1,0)&lt;&gt;"","",IF(OR(J2780="リード付け",J2780="巻足し",J2780="巻返しリード付け"),M2780,VLOOKUP(D2780,契約台帳!$A$3:$O$4986,15,FALSE))))</f>
        <v>1005</v>
      </c>
      <c r="T2780" s="273">
        <f ca="1">IF(D2780="","",IF(J2780="リード付け",N2780,IF(J2780="巻返しリード付け",N2780,IF(J2780="巻足し",N2780*P2780+OFFSET(N2780,1,0)*OFFSET(P2780,1,0),VLOOKUP(D2780,契約台帳!$A$3:$P$4986,16,FALSE)))))</f>
        <v>12000</v>
      </c>
      <c r="U2780" s="40">
        <v>1</v>
      </c>
      <c r="V2780" s="274">
        <f ca="1">IF(D2780="","",IF(OFFSET(D2780,-2,0)=D2780,"",VLOOKUP(D2780,契約台帳!$A$3:$R$4986,18,FALSE)))</f>
        <v>2</v>
      </c>
      <c r="W2780" s="269" t="str">
        <f ca="1">IF(D2780="","",IF(T2780="","",IF(OR(J2780="巻足し",J2780="巻返しリード付け"),"",IF(J2780="巻返し",VLOOKUP(F2780&amp;K2780&amp;M2780,製品マスタ!$M$5:$AD$5002,18,FALSE),IF(OR(J2780="リード付け",J2780="巻返しリード付け"),"原反コア",IF(J2780="スリット",VLOOKUP(F2780&amp;K2780&amp;R2780,製品マスタ!$N$5:$AD$5002,17,FALSE),""))))))</f>
        <v/>
      </c>
      <c r="X2780" s="269" t="str">
        <f ca="1">IF(D2780="","",IF(T2780="","",IF(J2780="巻足し","",IF(J2780="巻返し",VLOOKUP(F2780&amp;K2780&amp;M2780,製品マスタ!$M$5:$AE$5002,19,FALSE),IF(OR(J2780="リード付け",J2780="巻返しリード付け"),"",IF(J2780="スリット",VLOOKUP(F2780&amp;K2780&amp;R2780,製品マスタ!$N$5:$AE$5002,18,FALSE),""))))))</f>
        <v/>
      </c>
      <c r="Y2780" s="275">
        <f ca="1">IF(D2780="","",IF(T2780="","",VLOOKUP(D2780,契約台帳!$A$3:$Q$4986,17,FALSE)))</f>
        <v>2</v>
      </c>
      <c r="Z2780" s="269" t="str">
        <f ca="1">IF(D2780="","",IF(T2780="","",VLOOKUP(D2780,契約台帳!$A$3:$E$4986,5,FALSE)))</f>
        <v>リンテック㈱</v>
      </c>
      <c r="AA2780" s="57"/>
      <c r="AB2780" s="207">
        <f>IFERROR((VLOOKUP(F2780&amp;K2780&amp;M2780,製品マスタ!$M$5:$AM$5002,27,FALSE)),"")</f>
        <v>0</v>
      </c>
      <c r="AC2780" s="33"/>
      <c r="AD2780" s="189"/>
      <c r="AE2780" s="54"/>
      <c r="AF2780" s="55">
        <f>+M2780*N2780*O2780/1000</f>
        <v>8040</v>
      </c>
      <c r="AG2780" s="43"/>
      <c r="AH2780" s="47"/>
      <c r="AI2780" s="30"/>
      <c r="AJ2780" s="30"/>
      <c r="AK2780" s="30"/>
      <c r="AL2780" s="30"/>
      <c r="AM2780" s="13"/>
      <c r="AN2780" s="13"/>
      <c r="AO2780" s="13"/>
      <c r="AP2780" s="13"/>
      <c r="AQ2780" s="13"/>
      <c r="AR2780" s="14"/>
      <c r="AS2780" s="15"/>
    </row>
    <row r="2781" spans="1:45" s="17" customFormat="1" ht="30.6" hidden="1" customHeight="1" x14ac:dyDescent="0.2">
      <c r="A2781" s="343"/>
      <c r="B2781" s="344"/>
      <c r="C2781" s="45"/>
      <c r="D2781" s="31">
        <v>3790263</v>
      </c>
      <c r="E2781" s="31"/>
      <c r="F2781" s="268" t="str">
        <f>IF(D2781="","",VLOOKUP(D2781,契約台帳!$A$3:$K$4986,6,FALSE)&amp;VLOOKUP(D2781,契約台帳!$A$3:$K$4986,7,FALSE)&amp;VLOOKUP(D2781,契約台帳!$A$3:$K$4986,8,FALSE)&amp;VLOOKUP(D2781,契約台帳!$A$3:$K$4986,9,FALSE)&amp;VLOOKUP(D2781,契約台帳!$A$3:$K$4986,11,FALSE))</f>
        <v>33SSYMCLBTEKV0V</v>
      </c>
      <c r="G2781" s="269" t="str">
        <f>IF(D2781="","",VLOOKUP(F2781,製品マスタ!$G$5:$H$5002,2,FALSE))</f>
        <v>S</v>
      </c>
      <c r="H2781" s="269" t="str">
        <f>IF(D2781="","",VLOOKUP(F2781,製品マスタ!$G$5:$K$5002,5,FALSE))</f>
        <v>TEKV0V</v>
      </c>
      <c r="I2781" s="270" t="str">
        <f>IF(D2781="","",VLOOKUP(F2781,製品マスタ!$G$5:$L$5002,6,FALSE))</f>
        <v>メタルミー　ＴＥ－Ｓ消　ＶＯＩＤ　Ｖ</v>
      </c>
      <c r="J2781" s="210" t="s">
        <v>935</v>
      </c>
      <c r="K2781" s="270">
        <f>IF(D2781="","",VLOOKUP(D2781,契約台帳!$A$3:$L$4986,12,FALSE))</f>
        <v>50</v>
      </c>
      <c r="L2781" s="270" t="str">
        <f>IF(D2781="","",INDEX(製品マスタ!$Q$5:$Q$5002,MATCH('S4'!F2781&amp;'S4'!K2781,製品マスタ!$AO$5:$AO$5002,0)))</f>
        <v>X44SEPA</v>
      </c>
      <c r="M2781" s="39">
        <v>1005</v>
      </c>
      <c r="N2781" s="39">
        <v>4000</v>
      </c>
      <c r="O2781" s="156">
        <v>1</v>
      </c>
      <c r="P2781" s="47"/>
      <c r="Q2781" s="213">
        <v>45628</v>
      </c>
      <c r="R2781" s="271" t="str">
        <f ca="1">IF(D2781="","",IF(OFFSET(D2781,-1,0)&lt;&gt;"","",IF(OR(J2781="リード付け",J2781="巻足し",J2781="巻返しリード付け"),M2781,VLOOKUP(D2781,契約台帳!$A$3:$N$4986,14,FALSE))))</f>
        <v/>
      </c>
      <c r="S2781" s="272" t="str">
        <f ca="1">IF(D2781="","",IF(OFFSET(D2781,-1,0)&lt;&gt;"","",IF(OR(J2781="リード付け",J2781="巻足し",J2781="巻返しリード付け"),M2781,VLOOKUP(D2781,契約台帳!$A$3:$O$4986,15,FALSE))))</f>
        <v/>
      </c>
      <c r="T2781" s="273">
        <f ca="1">IF(D2781="","",IF(J2781="リード付け",N2781,IF(J2781="巻返しリード付け",N2781,IF(J2781="巻足し",N2781*P2781+OFFSET(N2781,1,0)*OFFSET(P2781,1,0),VLOOKUP(D2781,契約台帳!$A$3:$P$4986,16,FALSE)))))</f>
        <v>0</v>
      </c>
      <c r="U2781" s="40"/>
      <c r="V2781" s="274">
        <f ca="1">IF(D2781="","",IF(OFFSET(D2781,-2,0)=D2781,"",VLOOKUP(D2781,契約台帳!$A$3:$R$4986,18,FALSE)))</f>
        <v>1</v>
      </c>
      <c r="W2781" s="269" t="str">
        <f ca="1">IF(D2781="","",IF(T2781="","",IF(OR(J2781="巻足し",J2781="巻返しリード付け"),"",IF(J2781="巻返し",VLOOKUP(F2781&amp;K2781&amp;M2781,製品マスタ!$M$5:$AD$5002,18,FALSE),IF(OR(J2781="リード付け",J2781="巻返しリード付け"),"原反コア",IF(J2781="スリット",VLOOKUP(F2781&amp;K2781&amp;R2781,製品マスタ!$N$5:$AD$5002,17,FALSE),""))))))</f>
        <v/>
      </c>
      <c r="X2781" s="269" t="str">
        <f ca="1">IF(D2781="","",IF(T2781="","",IF(J2781="巻足し","",IF(J2781="巻返し",VLOOKUP(F2781&amp;K2781&amp;M2781,製品マスタ!$M$5:$AE$5002,19,FALSE),IF(OR(J2781="リード付け",J2781="巻返しリード付け"),"",IF(J2781="スリット",VLOOKUP(F2781&amp;K2781&amp;R2781,製品マスタ!$N$5:$AE$5002,18,FALSE),""))))))</f>
        <v/>
      </c>
      <c r="Y2781" s="275">
        <f ca="1">IF(D2781="","",IF(T2781="","",VLOOKUP(D2781,契約台帳!$A$3:$Q$4986,17,FALSE)))</f>
        <v>2</v>
      </c>
      <c r="Z2781" s="269" t="str">
        <f ca="1">IF(D2781="","",IF(T2781="","",VLOOKUP(D2781,契約台帳!$A$3:$E$4986,5,FALSE)))</f>
        <v>リンテック㈱</v>
      </c>
      <c r="AA2781" s="57"/>
      <c r="AB2781" s="207">
        <f>IFERROR((VLOOKUP(F2781&amp;K2781&amp;M2781,製品マスタ!$M$5:$AM$5002,27,FALSE)),"")</f>
        <v>0</v>
      </c>
      <c r="AC2781" s="33"/>
      <c r="AD2781" s="189"/>
      <c r="AE2781" s="54"/>
      <c r="AF2781" s="55">
        <f>+M2781*N2781*O2781/1000</f>
        <v>4020</v>
      </c>
      <c r="AG2781" s="43"/>
      <c r="AH2781" s="47"/>
      <c r="AI2781" s="30"/>
      <c r="AJ2781" s="30"/>
      <c r="AK2781" s="30"/>
      <c r="AL2781" s="30"/>
      <c r="AM2781" s="13"/>
      <c r="AN2781" s="13"/>
      <c r="AO2781" s="13"/>
      <c r="AP2781" s="13"/>
      <c r="AQ2781" s="13"/>
      <c r="AR2781" s="14"/>
      <c r="AS2781" s="15"/>
    </row>
    <row r="2782" spans="1:45" s="17" customFormat="1" ht="30.95" hidden="1" customHeight="1" x14ac:dyDescent="0.2">
      <c r="A2782" s="343"/>
      <c r="B2782" s="344"/>
      <c r="C2782" s="345"/>
      <c r="D2782" s="346"/>
      <c r="E2782" s="346"/>
      <c r="F2782" s="268"/>
      <c r="G2782" s="269"/>
      <c r="H2782" s="269"/>
      <c r="I2782" s="270"/>
      <c r="J2782" s="434"/>
      <c r="K2782" s="270"/>
      <c r="L2782" s="270"/>
      <c r="M2782" s="348"/>
      <c r="N2782" s="348"/>
      <c r="O2782" s="435"/>
      <c r="P2782" s="349"/>
      <c r="Q2782" s="350"/>
      <c r="R2782" s="271"/>
      <c r="S2782" s="272"/>
      <c r="T2782" s="273"/>
      <c r="U2782" s="351"/>
      <c r="V2782" s="274"/>
      <c r="W2782" s="269"/>
      <c r="X2782" s="269"/>
      <c r="Y2782" s="275"/>
      <c r="Z2782" s="269"/>
      <c r="AA2782" s="350"/>
      <c r="AB2782" s="207"/>
      <c r="AC2782" s="352"/>
      <c r="AD2782" s="353"/>
      <c r="AE2782" s="54"/>
      <c r="AF2782" s="354"/>
      <c r="AG2782" s="355"/>
      <c r="AH2782" s="349"/>
      <c r="AI2782" s="30"/>
      <c r="AJ2782" s="30"/>
      <c r="AK2782" s="30"/>
      <c r="AL2782" s="30"/>
      <c r="AM2782" s="13"/>
      <c r="AN2782" s="13"/>
      <c r="AO2782" s="13"/>
      <c r="AP2782" s="13"/>
      <c r="AQ2782" s="13"/>
      <c r="AR2782" s="14"/>
      <c r="AS2782" s="15"/>
    </row>
    <row r="2783" spans="1:45" s="17" customFormat="1" ht="30.6" hidden="1" customHeight="1" x14ac:dyDescent="0.2">
      <c r="A2783" s="343" t="s">
        <v>3420</v>
      </c>
      <c r="B2783" s="344" t="s">
        <v>3421</v>
      </c>
      <c r="C2783" s="45"/>
      <c r="D2783" s="31">
        <v>3790264</v>
      </c>
      <c r="E2783" s="31">
        <v>4162832</v>
      </c>
      <c r="F2783" s="268" t="str">
        <f>IF(D2783="","",VLOOKUP(D2783,契約台帳!$A$3:$K$4986,6,FALSE)&amp;VLOOKUP(D2783,契約台帳!$A$3:$K$4986,7,FALSE)&amp;VLOOKUP(D2783,契約台帳!$A$3:$K$4986,8,FALSE)&amp;VLOOKUP(D2783,契約台帳!$A$3:$K$4986,9,FALSE)&amp;VLOOKUP(D2783,契約台帳!$A$3:$K$4986,11,FALSE))</f>
        <v>33SSNMCLBTETKFV</v>
      </c>
      <c r="G2783" s="269" t="str">
        <f>IF(D2783="","",VLOOKUP(F2783,製品マスタ!$G$5:$H$5002,2,FALSE))</f>
        <v>S</v>
      </c>
      <c r="H2783" s="269" t="str">
        <f>IF(D2783="","",VLOOKUP(F2783,製品マスタ!$G$5:$K$5002,5,FALSE))</f>
        <v>TETKFV</v>
      </c>
      <c r="I2783" s="270" t="str">
        <f>IF(D2783="","",VLOOKUP(F2783,製品マスタ!$G$5:$L$5002,6,FALSE))</f>
        <v>メタルミー　ＴＥＳ艶開封　Ｖ</v>
      </c>
      <c r="J2783" s="210" t="s">
        <v>935</v>
      </c>
      <c r="K2783" s="270">
        <f>IF(D2783="","",VLOOKUP(D2783,契約台帳!$A$3:$L$4986,12,FALSE))</f>
        <v>50</v>
      </c>
      <c r="L2783" s="270" t="str">
        <f>IF(D2783="","",INDEX(製品マスタ!$Q$5:$Q$5002,MATCH('S4'!F2783&amp;'S4'!K2783,製品マスタ!$AO$5:$AO$5002,0)))</f>
        <v>S28SEPA</v>
      </c>
      <c r="M2783" s="39">
        <v>1005</v>
      </c>
      <c r="N2783" s="39">
        <v>4100</v>
      </c>
      <c r="O2783" s="156">
        <v>3</v>
      </c>
      <c r="P2783" s="47">
        <v>3</v>
      </c>
      <c r="Q2783" s="213">
        <v>45628</v>
      </c>
      <c r="R2783" s="271">
        <f ca="1">IF(D2783="","",IF(OFFSET(D2783,-1,0)&lt;&gt;"","",IF(OR(J2783="リード付け",J2783="巻足し",J2783="巻返しリード付け"),M2783,VLOOKUP(D2783,契約台帳!$A$3:$N$4986,14,FALSE))))</f>
        <v>1005</v>
      </c>
      <c r="S2783" s="272">
        <f ca="1">IF(D2783="","",IF(OFFSET(D2783,-1,0)&lt;&gt;"","",IF(OR(J2783="リード付け",J2783="巻足し",J2783="巻返しリード付け"),M2783,VLOOKUP(D2783,契約台帳!$A$3:$O$4986,15,FALSE))))</f>
        <v>1005</v>
      </c>
      <c r="T2783" s="273">
        <f ca="1">IF(D2783="","",IF(J2783="リード付け",N2783,IF(J2783="巻返しリード付け",N2783,IF(J2783="巻足し",N2783*P2783+OFFSET(N2783,1,0)*OFFSET(P2783,1,0),VLOOKUP(D2783,契約台帳!$A$3:$P$4986,16,FALSE)))))</f>
        <v>12300</v>
      </c>
      <c r="U2783" s="40">
        <v>1</v>
      </c>
      <c r="V2783" s="274">
        <f ca="1">IF(D2783="","",IF(OFFSET(D2783,-2,0)=D2783,"",VLOOKUP(D2783,契約台帳!$A$3:$R$4986,18,FALSE)))</f>
        <v>3</v>
      </c>
      <c r="W2783" s="269" t="str">
        <f ca="1">IF(D2783="","",IF(T2783="","",IF(OR(J2783="巻足し",J2783="巻返しリード付け"),"",IF(J2783="巻返し",VLOOKUP(F2783&amp;K2783&amp;M2783,製品マスタ!$M$5:$AD$5002,18,FALSE),IF(OR(J2783="リード付け",J2783="巻返しリード付け"),"原反コア",IF(J2783="スリット",VLOOKUP(F2783&amp;K2783&amp;R2783,製品マスタ!$N$5:$AD$5002,17,FALSE),""))))))</f>
        <v/>
      </c>
      <c r="X2783" s="269" t="str">
        <f ca="1">IF(D2783="","",IF(T2783="","",IF(J2783="巻足し","",IF(J2783="巻返し",VLOOKUP(F2783&amp;K2783&amp;M2783,製品マスタ!$M$5:$AE$5002,19,FALSE),IF(OR(J2783="リード付け",J2783="巻返しリード付け"),"",IF(J2783="スリット",VLOOKUP(F2783&amp;K2783&amp;R2783,製品マスタ!$N$5:$AE$5002,18,FALSE),""))))))</f>
        <v/>
      </c>
      <c r="Y2783" s="275">
        <f ca="1">IF(D2783="","",IF(T2783="","",VLOOKUP(D2783,契約台帳!$A$3:$Q$4986,17,FALSE)))</f>
        <v>2</v>
      </c>
      <c r="Z2783" s="269" t="str">
        <f ca="1">IF(D2783="","",IF(T2783="","",VLOOKUP(D2783,契約台帳!$A$3:$E$4986,5,FALSE)))</f>
        <v>リンテック㈱</v>
      </c>
      <c r="AA2783" s="57"/>
      <c r="AB2783" s="207">
        <f>IFERROR((VLOOKUP(F2783&amp;K2783&amp;M2783,製品マスタ!$M$5:$AM$5002,27,FALSE)),"")</f>
        <v>0</v>
      </c>
      <c r="AC2783" s="33"/>
      <c r="AD2783" s="189"/>
      <c r="AE2783" s="54"/>
      <c r="AF2783" s="55">
        <f>+M2783*N2783*O2783/1000</f>
        <v>12361.5</v>
      </c>
      <c r="AG2783" s="43"/>
      <c r="AH2783" s="47"/>
      <c r="AI2783" s="30"/>
      <c r="AJ2783" s="30"/>
      <c r="AK2783" s="30"/>
      <c r="AL2783" s="30"/>
      <c r="AM2783" s="13"/>
      <c r="AN2783" s="13"/>
      <c r="AO2783" s="13"/>
      <c r="AP2783" s="13"/>
      <c r="AQ2783" s="13"/>
      <c r="AR2783" s="14"/>
      <c r="AS2783" s="15"/>
    </row>
    <row r="2784" spans="1:45" s="17" customFormat="1" ht="30.95" hidden="1" customHeight="1" x14ac:dyDescent="0.2">
      <c r="A2784" s="343"/>
      <c r="B2784" s="344"/>
      <c r="C2784" s="345"/>
      <c r="D2784" s="346"/>
      <c r="E2784" s="346"/>
      <c r="F2784" s="268"/>
      <c r="G2784" s="269"/>
      <c r="H2784" s="269"/>
      <c r="I2784" s="270"/>
      <c r="J2784" s="434"/>
      <c r="K2784" s="270"/>
      <c r="L2784" s="270"/>
      <c r="M2784" s="348"/>
      <c r="N2784" s="348"/>
      <c r="O2784" s="435"/>
      <c r="P2784" s="349"/>
      <c r="Q2784" s="350"/>
      <c r="R2784" s="271"/>
      <c r="S2784" s="272"/>
      <c r="T2784" s="273"/>
      <c r="U2784" s="351"/>
      <c r="V2784" s="274"/>
      <c r="W2784" s="269"/>
      <c r="X2784" s="269"/>
      <c r="Y2784" s="275"/>
      <c r="Z2784" s="269"/>
      <c r="AA2784" s="350"/>
      <c r="AB2784" s="207"/>
      <c r="AC2784" s="352"/>
      <c r="AD2784" s="353"/>
      <c r="AE2784" s="54"/>
      <c r="AF2784" s="354"/>
      <c r="AG2784" s="355"/>
      <c r="AH2784" s="349"/>
      <c r="AI2784" s="30"/>
      <c r="AJ2784" s="30"/>
      <c r="AK2784" s="30"/>
      <c r="AL2784" s="30"/>
      <c r="AM2784" s="13"/>
      <c r="AN2784" s="13"/>
      <c r="AO2784" s="13"/>
      <c r="AP2784" s="13"/>
      <c r="AQ2784" s="13"/>
      <c r="AR2784" s="14"/>
      <c r="AS2784" s="15"/>
    </row>
    <row r="2785" spans="1:45" s="17" customFormat="1" ht="30.6" hidden="1" customHeight="1" x14ac:dyDescent="0.2">
      <c r="A2785" s="343"/>
      <c r="B2785" s="344"/>
      <c r="C2785" s="45"/>
      <c r="D2785" s="31">
        <v>3790265</v>
      </c>
      <c r="E2785" s="31">
        <v>4162888</v>
      </c>
      <c r="F2785" s="268" t="str">
        <f>IF(D2785="","",VLOOKUP(D2785,契約台帳!$A$3:$K$4986,6,FALSE)&amp;VLOOKUP(D2785,契約台帳!$A$3:$K$4986,7,FALSE)&amp;VLOOKUP(D2785,契約台帳!$A$3:$K$4986,8,FALSE)&amp;VLOOKUP(D2785,契約台帳!$A$3:$K$4986,9,FALSE)&amp;VLOOKUP(D2785,契約台帳!$A$3:$K$4986,11,FALSE))</f>
        <v>3SNMCLBTETV0V</v>
      </c>
      <c r="G2785" s="269" t="str">
        <f>IF(D2785="","",VLOOKUP(F2785,製品マスタ!$G$5:$H$5002,2,FALSE))</f>
        <v>S</v>
      </c>
      <c r="H2785" s="269" t="str">
        <f>IF(D2785="","",VLOOKUP(F2785,製品マスタ!$G$5:$K$5002,5,FALSE))</f>
        <v>TETV0V</v>
      </c>
      <c r="I2785" s="270" t="str">
        <f>IF(D2785="","",VLOOKUP(F2785,製品マスタ!$G$5:$L$5002,6,FALSE))</f>
        <v>メタルミー　ＴＥＳ艶ＶＯＩＤＶ</v>
      </c>
      <c r="J2785" s="210" t="s">
        <v>935</v>
      </c>
      <c r="K2785" s="270">
        <f>IF(D2785="","",VLOOKUP(D2785,契約台帳!$A$3:$L$4986,12,FALSE))</f>
        <v>50</v>
      </c>
      <c r="L2785" s="270" t="str">
        <f>IF(D2785="","",INDEX(製品マスタ!$Q$5:$Q$5002,MATCH('S4'!F2785&amp;'S4'!K2785,製品マスタ!$AO$5:$AO$5002,0)))</f>
        <v>S28SEPA</v>
      </c>
      <c r="M2785" s="39">
        <v>1005</v>
      </c>
      <c r="N2785" s="39">
        <v>4100</v>
      </c>
      <c r="O2785" s="156">
        <v>2</v>
      </c>
      <c r="P2785" s="47">
        <v>2</v>
      </c>
      <c r="Q2785" s="213">
        <v>45628</v>
      </c>
      <c r="R2785" s="271">
        <f ca="1">IF(D2785="","",IF(OFFSET(D2785,-1,0)&lt;&gt;"","",IF(OR(J2785="リード付け",J2785="巻足し",J2785="巻返しリード付け"),M2785,VLOOKUP(D2785,契約台帳!$A$3:$N$4986,14,FALSE))))</f>
        <v>1005</v>
      </c>
      <c r="S2785" s="272">
        <f ca="1">IF(D2785="","",IF(OFFSET(D2785,-1,0)&lt;&gt;"","",IF(OR(J2785="リード付け",J2785="巻足し",J2785="巻返しリード付け"),M2785,VLOOKUP(D2785,契約台帳!$A$3:$O$4986,15,FALSE))))</f>
        <v>1005</v>
      </c>
      <c r="T2785" s="273">
        <f ca="1">IF(D2785="","",IF(J2785="リード付け",N2785,IF(J2785="巻返しリード付け",N2785,IF(J2785="巻足し",N2785*P2785+OFFSET(N2785,1,0)*OFFSET(P2785,1,0),VLOOKUP(D2785,契約台帳!$A$3:$P$4986,16,FALSE)))))</f>
        <v>8200</v>
      </c>
      <c r="U2785" s="40">
        <v>1</v>
      </c>
      <c r="V2785" s="274">
        <f ca="1">IF(D2785="","",IF(OFFSET(D2785,-2,0)=D2785,"",VLOOKUP(D2785,契約台帳!$A$3:$R$4986,18,FALSE)))</f>
        <v>2</v>
      </c>
      <c r="W2785" s="269" t="str">
        <f ca="1">IF(D2785="","",IF(T2785="","",IF(OR(J2785="巻足し",J2785="巻返しリード付け"),"",IF(J2785="巻返し",VLOOKUP(F2785&amp;K2785&amp;M2785,製品マスタ!$M$5:$AD$5002,18,FALSE),IF(OR(J2785="リード付け",J2785="巻返しリード付け"),"原反コア",IF(J2785="スリット",VLOOKUP(F2785&amp;K2785&amp;R2785,製品マスタ!$N$5:$AD$5002,17,FALSE),""))))))</f>
        <v/>
      </c>
      <c r="X2785" s="269" t="str">
        <f ca="1">IF(D2785="","",IF(T2785="","",IF(J2785="巻足し","",IF(J2785="巻返し",VLOOKUP(F2785&amp;K2785&amp;M2785,製品マスタ!$M$5:$AE$5002,19,FALSE),IF(OR(J2785="リード付け",J2785="巻返しリード付け"),"",IF(J2785="スリット",VLOOKUP(F2785&amp;K2785&amp;R2785,製品マスタ!$N$5:$AE$5002,18,FALSE),""))))))</f>
        <v/>
      </c>
      <c r="Y2785" s="275">
        <f ca="1">IF(D2785="","",IF(T2785="","",VLOOKUP(D2785,契約台帳!$A$3:$Q$4986,17,FALSE)))</f>
        <v>2</v>
      </c>
      <c r="Z2785" s="269" t="str">
        <f ca="1">IF(D2785="","",IF(T2785="","",VLOOKUP(D2785,契約台帳!$A$3:$E$4986,5,FALSE)))</f>
        <v>リンテック㈱</v>
      </c>
      <c r="AA2785" s="57"/>
      <c r="AB2785" s="207">
        <f>IFERROR((VLOOKUP(F2785&amp;K2785&amp;M2785,製品マスタ!$M$5:$AM$5002,27,FALSE)),"")</f>
        <v>0</v>
      </c>
      <c r="AC2785" s="33"/>
      <c r="AD2785" s="189"/>
      <c r="AE2785" s="54"/>
      <c r="AF2785" s="55">
        <f>+M2785*N2785*O2785/1000</f>
        <v>8241</v>
      </c>
      <c r="AG2785" s="43"/>
      <c r="AH2785" s="47"/>
      <c r="AI2785" s="30"/>
      <c r="AJ2785" s="30"/>
      <c r="AK2785" s="30"/>
      <c r="AL2785" s="30"/>
      <c r="AM2785" s="13"/>
      <c r="AN2785" s="13"/>
      <c r="AO2785" s="13"/>
      <c r="AP2785" s="13"/>
      <c r="AQ2785" s="13"/>
      <c r="AR2785" s="14"/>
      <c r="AS2785" s="15"/>
    </row>
    <row r="2786" spans="1:45" s="17" customFormat="1" ht="30.95" hidden="1" customHeight="1" x14ac:dyDescent="0.2">
      <c r="A2786" s="343"/>
      <c r="B2786" s="344"/>
      <c r="C2786" s="345"/>
      <c r="D2786" s="346"/>
      <c r="E2786" s="346"/>
      <c r="F2786" s="268"/>
      <c r="G2786" s="269"/>
      <c r="H2786" s="269"/>
      <c r="I2786" s="270"/>
      <c r="J2786" s="434"/>
      <c r="K2786" s="270"/>
      <c r="L2786" s="270"/>
      <c r="M2786" s="348"/>
      <c r="N2786" s="348"/>
      <c r="O2786" s="435"/>
      <c r="P2786" s="349"/>
      <c r="Q2786" s="350"/>
      <c r="R2786" s="271"/>
      <c r="S2786" s="272"/>
      <c r="T2786" s="273"/>
      <c r="U2786" s="351"/>
      <c r="V2786" s="274"/>
      <c r="W2786" s="269"/>
      <c r="X2786" s="269"/>
      <c r="Y2786" s="275"/>
      <c r="Z2786" s="269"/>
      <c r="AA2786" s="350"/>
      <c r="AB2786" s="207"/>
      <c r="AC2786" s="352"/>
      <c r="AD2786" s="353"/>
      <c r="AE2786" s="54"/>
      <c r="AF2786" s="354"/>
      <c r="AG2786" s="355"/>
      <c r="AH2786" s="349"/>
      <c r="AI2786" s="30"/>
      <c r="AJ2786" s="30"/>
      <c r="AK2786" s="30"/>
      <c r="AL2786" s="30"/>
      <c r="AM2786" s="13"/>
      <c r="AN2786" s="13"/>
      <c r="AO2786" s="13"/>
      <c r="AP2786" s="13"/>
      <c r="AQ2786" s="13"/>
      <c r="AR2786" s="14"/>
      <c r="AS2786" s="15"/>
    </row>
    <row r="2787" spans="1:45" s="477" customFormat="1" ht="30.95" customHeight="1" x14ac:dyDescent="0.2">
      <c r="A2787" s="449" t="s">
        <v>3413</v>
      </c>
      <c r="B2787" s="450" t="s">
        <v>3414</v>
      </c>
      <c r="C2787" s="451"/>
      <c r="D2787" s="452"/>
      <c r="E2787" s="452"/>
      <c r="F2787" s="453"/>
      <c r="G2787" s="454"/>
      <c r="H2787" s="454"/>
      <c r="I2787" s="455"/>
      <c r="J2787" s="456" t="s">
        <v>3410</v>
      </c>
      <c r="K2787" s="455"/>
      <c r="L2787" s="455"/>
      <c r="M2787" s="457"/>
      <c r="N2787" s="457"/>
      <c r="O2787" s="458"/>
      <c r="P2787" s="459"/>
      <c r="Q2787" s="460"/>
      <c r="R2787" s="461"/>
      <c r="S2787" s="462"/>
      <c r="T2787" s="463"/>
      <c r="U2787" s="464"/>
      <c r="V2787" s="465"/>
      <c r="W2787" s="454"/>
      <c r="X2787" s="454"/>
      <c r="Y2787" s="466"/>
      <c r="Z2787" s="454"/>
      <c r="AA2787" s="460"/>
      <c r="AB2787" s="467"/>
      <c r="AC2787" s="468"/>
      <c r="AD2787" s="469"/>
      <c r="AE2787" s="470"/>
      <c r="AF2787" s="471"/>
      <c r="AG2787" s="472"/>
      <c r="AH2787" s="459"/>
      <c r="AI2787" s="473"/>
      <c r="AJ2787" s="473"/>
      <c r="AK2787" s="473"/>
      <c r="AL2787" s="473"/>
      <c r="AM2787" s="474"/>
      <c r="AN2787" s="474"/>
      <c r="AO2787" s="474"/>
      <c r="AP2787" s="474"/>
      <c r="AQ2787" s="474"/>
      <c r="AR2787" s="475"/>
      <c r="AS2787" s="476"/>
    </row>
    <row r="2788" spans="1:45" s="477" customFormat="1" ht="30.95" customHeight="1" x14ac:dyDescent="0.2">
      <c r="A2788" s="449"/>
      <c r="B2788" s="450"/>
      <c r="C2788" s="451"/>
      <c r="D2788" s="452"/>
      <c r="E2788" s="452"/>
      <c r="F2788" s="453"/>
      <c r="G2788" s="454"/>
      <c r="H2788" s="454"/>
      <c r="I2788" s="455"/>
      <c r="J2788" s="456"/>
      <c r="K2788" s="455"/>
      <c r="L2788" s="455"/>
      <c r="M2788" s="457"/>
      <c r="N2788" s="457"/>
      <c r="O2788" s="458"/>
      <c r="P2788" s="459"/>
      <c r="Q2788" s="460"/>
      <c r="R2788" s="461"/>
      <c r="S2788" s="462"/>
      <c r="T2788" s="463"/>
      <c r="U2788" s="464"/>
      <c r="V2788" s="465"/>
      <c r="W2788" s="454"/>
      <c r="X2788" s="454"/>
      <c r="Y2788" s="466"/>
      <c r="Z2788" s="454"/>
      <c r="AA2788" s="460"/>
      <c r="AB2788" s="467"/>
      <c r="AC2788" s="468"/>
      <c r="AD2788" s="469"/>
      <c r="AE2788" s="470"/>
      <c r="AF2788" s="471"/>
      <c r="AG2788" s="472"/>
      <c r="AH2788" s="459"/>
      <c r="AI2788" s="473"/>
      <c r="AJ2788" s="473"/>
      <c r="AK2788" s="473"/>
      <c r="AL2788" s="473"/>
      <c r="AM2788" s="474"/>
      <c r="AN2788" s="474"/>
      <c r="AO2788" s="474"/>
      <c r="AP2788" s="474"/>
      <c r="AQ2788" s="474"/>
      <c r="AR2788" s="475"/>
      <c r="AS2788" s="476"/>
    </row>
    <row r="2789" spans="1:45" s="477" customFormat="1" ht="30.95" customHeight="1" x14ac:dyDescent="0.2">
      <c r="A2789" s="449" t="s">
        <v>3415</v>
      </c>
      <c r="B2789" s="450" t="s">
        <v>3399</v>
      </c>
      <c r="C2789" s="451"/>
      <c r="D2789" s="452"/>
      <c r="E2789" s="452"/>
      <c r="F2789" s="453"/>
      <c r="G2789" s="454"/>
      <c r="H2789" s="454"/>
      <c r="I2789" s="455"/>
      <c r="J2789" s="456" t="s">
        <v>3410</v>
      </c>
      <c r="K2789" s="455"/>
      <c r="L2789" s="455"/>
      <c r="M2789" s="457"/>
      <c r="N2789" s="457"/>
      <c r="O2789" s="458"/>
      <c r="P2789" s="459"/>
      <c r="Q2789" s="460"/>
      <c r="R2789" s="461"/>
      <c r="S2789" s="462"/>
      <c r="T2789" s="463"/>
      <c r="U2789" s="464"/>
      <c r="V2789" s="465"/>
      <c r="W2789" s="454"/>
      <c r="X2789" s="454"/>
      <c r="Y2789" s="466"/>
      <c r="Z2789" s="454"/>
      <c r="AA2789" s="460"/>
      <c r="AB2789" s="467"/>
      <c r="AC2789" s="468"/>
      <c r="AD2789" s="469"/>
      <c r="AE2789" s="470"/>
      <c r="AF2789" s="471"/>
      <c r="AG2789" s="472"/>
      <c r="AH2789" s="459"/>
      <c r="AI2789" s="473"/>
      <c r="AJ2789" s="473"/>
      <c r="AK2789" s="473"/>
      <c r="AL2789" s="473"/>
      <c r="AM2789" s="474"/>
      <c r="AN2789" s="474"/>
      <c r="AO2789" s="474"/>
      <c r="AP2789" s="474"/>
      <c r="AQ2789" s="474"/>
      <c r="AR2789" s="475"/>
      <c r="AS2789" s="476"/>
    </row>
    <row r="2790" spans="1:45" s="477" customFormat="1" ht="30.95" customHeight="1" x14ac:dyDescent="0.2">
      <c r="A2790" s="449"/>
      <c r="B2790" s="450"/>
      <c r="C2790" s="451"/>
      <c r="D2790" s="452"/>
      <c r="E2790" s="452"/>
      <c r="F2790" s="453"/>
      <c r="G2790" s="454"/>
      <c r="H2790" s="454"/>
      <c r="I2790" s="455"/>
      <c r="J2790" s="456"/>
      <c r="K2790" s="455"/>
      <c r="L2790" s="455"/>
      <c r="M2790" s="457"/>
      <c r="N2790" s="457"/>
      <c r="O2790" s="458"/>
      <c r="P2790" s="459"/>
      <c r="Q2790" s="460"/>
      <c r="R2790" s="461"/>
      <c r="S2790" s="462"/>
      <c r="T2790" s="463"/>
      <c r="U2790" s="464"/>
      <c r="V2790" s="465"/>
      <c r="W2790" s="454"/>
      <c r="X2790" s="454"/>
      <c r="Y2790" s="466"/>
      <c r="Z2790" s="454"/>
      <c r="AA2790" s="460"/>
      <c r="AB2790" s="467"/>
      <c r="AC2790" s="468"/>
      <c r="AD2790" s="469"/>
      <c r="AE2790" s="470"/>
      <c r="AF2790" s="471"/>
      <c r="AG2790" s="472"/>
      <c r="AH2790" s="459"/>
      <c r="AI2790" s="473"/>
      <c r="AJ2790" s="473"/>
      <c r="AK2790" s="473"/>
      <c r="AL2790" s="473"/>
      <c r="AM2790" s="474"/>
      <c r="AN2790" s="474"/>
      <c r="AO2790" s="474"/>
      <c r="AP2790" s="474"/>
      <c r="AQ2790" s="474"/>
      <c r="AR2790" s="475"/>
      <c r="AS2790" s="476"/>
    </row>
    <row r="2791" spans="1:45" s="477" customFormat="1" ht="30.6" customHeight="1" x14ac:dyDescent="0.2">
      <c r="A2791" s="449" t="s">
        <v>674</v>
      </c>
      <c r="B2791" s="450" t="s">
        <v>444</v>
      </c>
      <c r="C2791" s="478"/>
      <c r="D2791" s="479">
        <v>3790252</v>
      </c>
      <c r="E2791" s="479">
        <v>4162845</v>
      </c>
      <c r="F2791" s="453" t="str">
        <f>IF(D2791="","",VLOOKUP(D2791,契約台帳!$A$3:$K$4986,6,FALSE)&amp;VLOOKUP(D2791,契約台帳!$A$3:$K$4986,7,FALSE)&amp;VLOOKUP(D2791,契約台帳!$A$3:$K$4986,8,FALSE)&amp;VLOOKUP(D2791,契約台帳!$A$3:$K$4986,9,FALSE)&amp;VLOOKUP(D2791,契約台帳!$A$3:$K$4986,11,FALSE))</f>
        <v>3SNMLBMNGKKBF</v>
      </c>
      <c r="G2791" s="454" t="str">
        <f>IF(D2791="","",VLOOKUP(F2791,製品マスタ!$G$5:$H$5002,2,FALSE))</f>
        <v>S</v>
      </c>
      <c r="H2791" s="454" t="str">
        <f>IF(D2791="","",VLOOKUP(F2791,製品マスタ!$G$5:$K$5002,5,FALSE))</f>
        <v>MNGKKBF</v>
      </c>
      <c r="I2791" s="455" t="str">
        <f>IF(D2791="","",VLOOKUP(F2791,製品マスタ!$G$5:$L$5002,6,FALSE))</f>
        <v>メタルミー　ネーマー銀消改　Ｂ</v>
      </c>
      <c r="J2791" s="480" t="s">
        <v>935</v>
      </c>
      <c r="K2791" s="455">
        <f>IF(D2791="","",VLOOKUP(D2791,契約台帳!$A$3:$L$4986,12,FALSE))</f>
        <v>50</v>
      </c>
      <c r="L2791" s="455" t="str">
        <f>IF(D2791="","",INDEX(製品マスタ!$Q$5:$Q$5002,MATCH('S4'!F2791&amp;'S4'!K2791,製品マスタ!$AO$5:$AO$5002,0)))</f>
        <v>S99-MAT</v>
      </c>
      <c r="M2791" s="481">
        <v>1120</v>
      </c>
      <c r="N2791" s="481">
        <v>4000</v>
      </c>
      <c r="O2791" s="482">
        <v>15</v>
      </c>
      <c r="P2791" s="483">
        <v>3</v>
      </c>
      <c r="Q2791" s="484">
        <v>45632</v>
      </c>
      <c r="R2791" s="461">
        <f ca="1">IF(D2791="","",IF(OFFSET(D2791,-1,0)&lt;&gt;"","",IF(OR(J2791="リード付け",J2791="巻足し",J2791="巻返しリード付け"),M2791,VLOOKUP(D2791,契約台帳!$A$3:$N$4986,14,FALSE))))</f>
        <v>1120</v>
      </c>
      <c r="S2791" s="462">
        <f ca="1">IF(D2791="","",IF(OFFSET(D2791,-1,0)&lt;&gt;"","",IF(OR(J2791="リード付け",J2791="巻足し",J2791="巻返しリード付け"),M2791,VLOOKUP(D2791,契約台帳!$A$3:$O$4986,15,FALSE))))</f>
        <v>1120</v>
      </c>
      <c r="T2791" s="463">
        <f ca="1">IF(D2791="","",IF(J2791="リード付け",N2791,IF(J2791="巻返しリード付け",N2791,IF(J2791="巻足し",N2791*P2791+OFFSET(N2791,1,0)*OFFSET(P2791,1,0),VLOOKUP(D2791,契約台帳!$A$3:$P$4986,16,FALSE)))))</f>
        <v>12000</v>
      </c>
      <c r="U2791" s="485">
        <v>5</v>
      </c>
      <c r="V2791" s="465">
        <f ca="1">IF(D2791="","",IF(OFFSET(D2791,-2,0)=D2791,"",VLOOKUP(D2791,契約台帳!$A$3:$R$4986,18,FALSE)))</f>
        <v>36</v>
      </c>
      <c r="W2791" s="454" t="str">
        <f ca="1">IF(D2791="","",IF(T2791="","",IF(OR(J2791="巻足し",J2791="巻返しリード付け"),"",IF(J2791="巻返し",VLOOKUP(F2791&amp;K2791&amp;M2791,製品マスタ!$M$5:$AD$5002,18,FALSE),IF(OR(J2791="リード付け",J2791="巻返しリード付け"),"原反コア",IF(J2791="スリット",VLOOKUP(F2791&amp;K2791&amp;R2791,製品マスタ!$N$5:$AD$5002,17,FALSE),""))))))</f>
        <v/>
      </c>
      <c r="X2791" s="454" t="str">
        <f ca="1">IF(D2791="","",IF(T2791="","",IF(J2791="巻足し","",IF(J2791="巻返し",VLOOKUP(F2791&amp;K2791&amp;M2791,製品マスタ!$M$5:$AE$5002,19,FALSE),IF(OR(J2791="リード付け",J2791="巻返しリード付け"),"",IF(J2791="スリット",VLOOKUP(F2791&amp;K2791&amp;R2791,製品マスタ!$N$5:$AE$5002,18,FALSE),""))))))</f>
        <v/>
      </c>
      <c r="Y2791" s="466">
        <f ca="1">IF(D2791="","",IF(T2791="","",VLOOKUP(D2791,契約台帳!$A$3:$Q$4986,17,FALSE)))</f>
        <v>2</v>
      </c>
      <c r="Z2791" s="454" t="str">
        <f ca="1">IF(D2791="","",IF(T2791="","",VLOOKUP(D2791,契約台帳!$A$3:$E$4986,5,FALSE)))</f>
        <v>リンテック㈱</v>
      </c>
      <c r="AA2791" s="484"/>
      <c r="AB2791" s="467">
        <f>IFERROR((VLOOKUP(F2791&amp;K2791&amp;M2791,製品マスタ!$M$5:$AM$5002,27,FALSE)),"")</f>
        <v>0</v>
      </c>
      <c r="AC2791" s="486"/>
      <c r="AD2791" s="487"/>
      <c r="AE2791" s="470"/>
      <c r="AF2791" s="488">
        <f>+M2791*N2791*O2791/1000</f>
        <v>67200</v>
      </c>
      <c r="AG2791" s="489"/>
      <c r="AH2791" s="483"/>
      <c r="AI2791" s="473"/>
      <c r="AJ2791" s="473"/>
      <c r="AK2791" s="473"/>
      <c r="AL2791" s="473"/>
      <c r="AM2791" s="474"/>
      <c r="AN2791" s="474"/>
      <c r="AO2791" s="474"/>
      <c r="AP2791" s="474"/>
      <c r="AQ2791" s="474"/>
      <c r="AR2791" s="475"/>
      <c r="AS2791" s="476"/>
    </row>
    <row r="2792" spans="1:45" s="477" customFormat="1" ht="30.95" customHeight="1" x14ac:dyDescent="0.2">
      <c r="A2792" s="449"/>
      <c r="B2792" s="450"/>
      <c r="C2792" s="451"/>
      <c r="D2792" s="452"/>
      <c r="E2792" s="452"/>
      <c r="F2792" s="453"/>
      <c r="G2792" s="454"/>
      <c r="H2792" s="454"/>
      <c r="I2792" s="455"/>
      <c r="J2792" s="456"/>
      <c r="K2792" s="455"/>
      <c r="L2792" s="455"/>
      <c r="M2792" s="457"/>
      <c r="N2792" s="457"/>
      <c r="O2792" s="458"/>
      <c r="P2792" s="459"/>
      <c r="Q2792" s="460"/>
      <c r="R2792" s="461"/>
      <c r="S2792" s="462"/>
      <c r="T2792" s="463"/>
      <c r="U2792" s="464"/>
      <c r="V2792" s="465"/>
      <c r="W2792" s="454"/>
      <c r="X2792" s="454"/>
      <c r="Y2792" s="466"/>
      <c r="Z2792" s="454"/>
      <c r="AA2792" s="460"/>
      <c r="AB2792" s="467"/>
      <c r="AC2792" s="468"/>
      <c r="AD2792" s="469"/>
      <c r="AE2792" s="470"/>
      <c r="AF2792" s="471"/>
      <c r="AG2792" s="472"/>
      <c r="AH2792" s="459"/>
      <c r="AI2792" s="473"/>
      <c r="AJ2792" s="473"/>
      <c r="AK2792" s="473"/>
      <c r="AL2792" s="473"/>
      <c r="AM2792" s="474"/>
      <c r="AN2792" s="474"/>
      <c r="AO2792" s="474"/>
      <c r="AP2792" s="474"/>
      <c r="AQ2792" s="474"/>
      <c r="AR2792" s="475"/>
      <c r="AS2792" s="476"/>
    </row>
    <row r="2793" spans="1:45" s="477" customFormat="1" ht="30.6" customHeight="1" x14ac:dyDescent="0.2">
      <c r="A2793" s="449" t="s">
        <v>675</v>
      </c>
      <c r="B2793" s="450" t="s">
        <v>445</v>
      </c>
      <c r="C2793" s="478"/>
      <c r="D2793" s="479">
        <v>3790252</v>
      </c>
      <c r="E2793" s="479">
        <v>4162845</v>
      </c>
      <c r="F2793" s="453" t="str">
        <f>IF(D2793="","",VLOOKUP(D2793,契約台帳!$A$3:$K$4986,6,FALSE)&amp;VLOOKUP(D2793,契約台帳!$A$3:$K$4986,7,FALSE)&amp;VLOOKUP(D2793,契約台帳!$A$3:$K$4986,8,FALSE)&amp;VLOOKUP(D2793,契約台帳!$A$3:$K$4986,9,FALSE)&amp;VLOOKUP(D2793,契約台帳!$A$3:$K$4986,11,FALSE))</f>
        <v>3SNMLBMNGKKBF</v>
      </c>
      <c r="G2793" s="454" t="str">
        <f>IF(D2793="","",VLOOKUP(F2793,製品マスタ!$G$5:$H$5002,2,FALSE))</f>
        <v>S</v>
      </c>
      <c r="H2793" s="454" t="str">
        <f>IF(D2793="","",VLOOKUP(F2793,製品マスタ!$G$5:$K$5002,5,FALSE))</f>
        <v>MNGKKBF</v>
      </c>
      <c r="I2793" s="455" t="str">
        <f>IF(D2793="","",VLOOKUP(F2793,製品マスタ!$G$5:$L$5002,6,FALSE))</f>
        <v>メタルミー　ネーマー銀消改　Ｂ</v>
      </c>
      <c r="J2793" s="480" t="s">
        <v>935</v>
      </c>
      <c r="K2793" s="455">
        <f>IF(D2793="","",VLOOKUP(D2793,契約台帳!$A$3:$L$4986,12,FALSE))</f>
        <v>50</v>
      </c>
      <c r="L2793" s="455" t="str">
        <f>IF(D2793="","",INDEX(製品マスタ!$Q$5:$Q$5002,MATCH('S4'!F2793&amp;'S4'!K2793,製品マスタ!$AO$5:$AO$5002,0)))</f>
        <v>S99-MAT</v>
      </c>
      <c r="M2793" s="481">
        <v>1120</v>
      </c>
      <c r="N2793" s="481">
        <v>4000</v>
      </c>
      <c r="O2793" s="482">
        <v>18</v>
      </c>
      <c r="P2793" s="483">
        <v>3</v>
      </c>
      <c r="Q2793" s="484">
        <v>45632</v>
      </c>
      <c r="R2793" s="461">
        <f ca="1">IF(D2793="","",IF(OFFSET(D2793,-1,0)&lt;&gt;"","",IF(OR(J2793="リード付け",J2793="巻足し",J2793="巻返しリード付け"),M2793,VLOOKUP(D2793,契約台帳!$A$3:$N$4986,14,FALSE))))</f>
        <v>1120</v>
      </c>
      <c r="S2793" s="462">
        <f ca="1">IF(D2793="","",IF(OFFSET(D2793,-1,0)&lt;&gt;"","",IF(OR(J2793="リード付け",J2793="巻足し",J2793="巻返しリード付け"),M2793,VLOOKUP(D2793,契約台帳!$A$3:$O$4986,15,FALSE))))</f>
        <v>1120</v>
      </c>
      <c r="T2793" s="463">
        <f ca="1">IF(D2793="","",IF(J2793="リード付け",N2793,IF(J2793="巻返しリード付け",N2793,IF(J2793="巻足し",N2793*P2793+OFFSET(N2793,1,0)*OFFSET(P2793,1,0),VLOOKUP(D2793,契約台帳!$A$3:$P$4986,16,FALSE)))))</f>
        <v>12000</v>
      </c>
      <c r="U2793" s="485">
        <v>6</v>
      </c>
      <c r="V2793" s="465" t="str">
        <f ca="1">IF(D2793="","",IF(OFFSET(D2793,-2,0)=D2793,"",VLOOKUP(D2793,契約台帳!$A$3:$R$4986,18,FALSE)))</f>
        <v/>
      </c>
      <c r="W2793" s="454" t="str">
        <f ca="1">IF(D2793="","",IF(T2793="","",IF(OR(J2793="巻足し",J2793="巻返しリード付け"),"",IF(J2793="巻返し",VLOOKUP(F2793&amp;K2793&amp;M2793,製品マスタ!$M$5:$AD$5002,18,FALSE),IF(OR(J2793="リード付け",J2793="巻返しリード付け"),"原反コア",IF(J2793="スリット",VLOOKUP(F2793&amp;K2793&amp;R2793,製品マスタ!$N$5:$AD$5002,17,FALSE),""))))))</f>
        <v/>
      </c>
      <c r="X2793" s="454" t="str">
        <f ca="1">IF(D2793="","",IF(T2793="","",IF(J2793="巻足し","",IF(J2793="巻返し",VLOOKUP(F2793&amp;K2793&amp;M2793,製品マスタ!$M$5:$AE$5002,19,FALSE),IF(OR(J2793="リード付け",J2793="巻返しリード付け"),"",IF(J2793="スリット",VLOOKUP(F2793&amp;K2793&amp;R2793,製品マスタ!$N$5:$AE$5002,18,FALSE),""))))))</f>
        <v/>
      </c>
      <c r="Y2793" s="466">
        <f ca="1">IF(D2793="","",IF(T2793="","",VLOOKUP(D2793,契約台帳!$A$3:$Q$4986,17,FALSE)))</f>
        <v>2</v>
      </c>
      <c r="Z2793" s="454" t="str">
        <f ca="1">IF(D2793="","",IF(T2793="","",VLOOKUP(D2793,契約台帳!$A$3:$E$4986,5,FALSE)))</f>
        <v>リンテック㈱</v>
      </c>
      <c r="AA2793" s="484"/>
      <c r="AB2793" s="467">
        <f>IFERROR((VLOOKUP(F2793&amp;K2793&amp;M2793,製品マスタ!$M$5:$AM$5002,27,FALSE)),"")</f>
        <v>0</v>
      </c>
      <c r="AC2793" s="486"/>
      <c r="AD2793" s="487"/>
      <c r="AE2793" s="470"/>
      <c r="AF2793" s="488">
        <f>+M2793*N2793*O2793/1000</f>
        <v>80640</v>
      </c>
      <c r="AG2793" s="489"/>
      <c r="AH2793" s="483"/>
      <c r="AI2793" s="473"/>
      <c r="AJ2793" s="473"/>
      <c r="AK2793" s="473"/>
      <c r="AL2793" s="473"/>
      <c r="AM2793" s="474"/>
      <c r="AN2793" s="474"/>
      <c r="AO2793" s="474"/>
      <c r="AP2793" s="474"/>
      <c r="AQ2793" s="474"/>
      <c r="AR2793" s="475"/>
      <c r="AS2793" s="476"/>
    </row>
    <row r="2794" spans="1:45" s="477" customFormat="1" ht="30.95" customHeight="1" x14ac:dyDescent="0.2">
      <c r="A2794" s="449"/>
      <c r="B2794" s="450"/>
      <c r="C2794" s="451"/>
      <c r="D2794" s="452"/>
      <c r="E2794" s="452"/>
      <c r="F2794" s="453"/>
      <c r="G2794" s="454"/>
      <c r="H2794" s="454"/>
      <c r="I2794" s="455"/>
      <c r="J2794" s="456"/>
      <c r="K2794" s="455"/>
      <c r="L2794" s="455"/>
      <c r="M2794" s="457"/>
      <c r="N2794" s="457"/>
      <c r="O2794" s="458"/>
      <c r="P2794" s="459"/>
      <c r="Q2794" s="460"/>
      <c r="R2794" s="461"/>
      <c r="S2794" s="462"/>
      <c r="T2794" s="463"/>
      <c r="U2794" s="464"/>
      <c r="V2794" s="465"/>
      <c r="W2794" s="454"/>
      <c r="X2794" s="454"/>
      <c r="Y2794" s="466"/>
      <c r="Z2794" s="454"/>
      <c r="AA2794" s="460"/>
      <c r="AB2794" s="467"/>
      <c r="AC2794" s="468"/>
      <c r="AD2794" s="469"/>
      <c r="AE2794" s="470"/>
      <c r="AF2794" s="471"/>
      <c r="AG2794" s="472"/>
      <c r="AH2794" s="459"/>
      <c r="AI2794" s="473"/>
      <c r="AJ2794" s="473"/>
      <c r="AK2794" s="473"/>
      <c r="AL2794" s="473"/>
      <c r="AM2794" s="474"/>
      <c r="AN2794" s="474"/>
      <c r="AO2794" s="474"/>
      <c r="AP2794" s="474"/>
      <c r="AQ2794" s="474"/>
      <c r="AR2794" s="475"/>
      <c r="AS2794" s="476"/>
    </row>
    <row r="2795" spans="1:45" s="477" customFormat="1" ht="30.95" customHeight="1" x14ac:dyDescent="0.2">
      <c r="A2795" s="449" t="s">
        <v>3417</v>
      </c>
      <c r="B2795" s="450" t="s">
        <v>3407</v>
      </c>
      <c r="C2795" s="451"/>
      <c r="D2795" s="452"/>
      <c r="E2795" s="452"/>
      <c r="F2795" s="453"/>
      <c r="G2795" s="454"/>
      <c r="H2795" s="454"/>
      <c r="I2795" s="455"/>
      <c r="J2795" s="456" t="s">
        <v>3405</v>
      </c>
      <c r="K2795" s="455"/>
      <c r="L2795" s="455"/>
      <c r="M2795" s="457"/>
      <c r="N2795" s="457"/>
      <c r="O2795" s="458"/>
      <c r="P2795" s="459"/>
      <c r="Q2795" s="460"/>
      <c r="R2795" s="461"/>
      <c r="S2795" s="462"/>
      <c r="T2795" s="463"/>
      <c r="U2795" s="464"/>
      <c r="V2795" s="465"/>
      <c r="W2795" s="454"/>
      <c r="X2795" s="454"/>
      <c r="Y2795" s="466"/>
      <c r="Z2795" s="454"/>
      <c r="AA2795" s="460"/>
      <c r="AB2795" s="467"/>
      <c r="AC2795" s="468"/>
      <c r="AD2795" s="469"/>
      <c r="AE2795" s="470"/>
      <c r="AF2795" s="471"/>
      <c r="AG2795" s="472"/>
      <c r="AH2795" s="459"/>
      <c r="AI2795" s="473"/>
      <c r="AJ2795" s="473"/>
      <c r="AK2795" s="473"/>
      <c r="AL2795" s="473"/>
      <c r="AM2795" s="474"/>
      <c r="AN2795" s="474"/>
      <c r="AO2795" s="474"/>
      <c r="AP2795" s="474"/>
      <c r="AQ2795" s="474"/>
      <c r="AR2795" s="475"/>
      <c r="AS2795" s="476"/>
    </row>
    <row r="2796" spans="1:45" s="477" customFormat="1" ht="30.95" customHeight="1" x14ac:dyDescent="0.2">
      <c r="A2796" s="449"/>
      <c r="B2796" s="450"/>
      <c r="C2796" s="451"/>
      <c r="D2796" s="452"/>
      <c r="E2796" s="452"/>
      <c r="F2796" s="453"/>
      <c r="G2796" s="454"/>
      <c r="H2796" s="454"/>
      <c r="I2796" s="455"/>
      <c r="J2796" s="456"/>
      <c r="K2796" s="455"/>
      <c r="L2796" s="455"/>
      <c r="M2796" s="457"/>
      <c r="N2796" s="457"/>
      <c r="O2796" s="458"/>
      <c r="P2796" s="459"/>
      <c r="Q2796" s="460"/>
      <c r="R2796" s="461"/>
      <c r="S2796" s="462"/>
      <c r="T2796" s="463"/>
      <c r="U2796" s="464"/>
      <c r="V2796" s="465"/>
      <c r="W2796" s="454"/>
      <c r="X2796" s="454"/>
      <c r="Y2796" s="466"/>
      <c r="Z2796" s="454"/>
      <c r="AA2796" s="460"/>
      <c r="AB2796" s="467"/>
      <c r="AC2796" s="468"/>
      <c r="AD2796" s="469"/>
      <c r="AE2796" s="470"/>
      <c r="AF2796" s="471"/>
      <c r="AG2796" s="472"/>
      <c r="AH2796" s="459"/>
      <c r="AI2796" s="473"/>
      <c r="AJ2796" s="473"/>
      <c r="AK2796" s="473"/>
      <c r="AL2796" s="473"/>
      <c r="AM2796" s="474"/>
      <c r="AN2796" s="474"/>
      <c r="AO2796" s="474"/>
      <c r="AP2796" s="474"/>
      <c r="AQ2796" s="474"/>
      <c r="AR2796" s="475"/>
      <c r="AS2796" s="476"/>
    </row>
    <row r="2797" spans="1:45" s="477" customFormat="1" ht="30.6" customHeight="1" x14ac:dyDescent="0.2">
      <c r="A2797" s="449" t="s">
        <v>1826</v>
      </c>
      <c r="B2797" s="450" t="s">
        <v>3418</v>
      </c>
      <c r="C2797" s="478"/>
      <c r="D2797" s="479">
        <v>3790252</v>
      </c>
      <c r="E2797" s="479">
        <v>4162845</v>
      </c>
      <c r="F2797" s="453" t="str">
        <f>IF(D2797="","",VLOOKUP(D2797,契約台帳!$A$3:$K$4986,6,FALSE)&amp;VLOOKUP(D2797,契約台帳!$A$3:$K$4986,7,FALSE)&amp;VLOOKUP(D2797,契約台帳!$A$3:$K$4986,8,FALSE)&amp;VLOOKUP(D2797,契約台帳!$A$3:$K$4986,9,FALSE)&amp;VLOOKUP(D2797,契約台帳!$A$3:$K$4986,11,FALSE))</f>
        <v>3SNMLBMNGKKBF</v>
      </c>
      <c r="G2797" s="454" t="str">
        <f>IF(D2797="","",VLOOKUP(F2797,製品マスタ!$G$5:$H$5002,2,FALSE))</f>
        <v>S</v>
      </c>
      <c r="H2797" s="454" t="str">
        <f>IF(D2797="","",VLOOKUP(F2797,製品マスタ!$G$5:$K$5002,5,FALSE))</f>
        <v>MNGKKBF</v>
      </c>
      <c r="I2797" s="455" t="str">
        <f>IF(D2797="","",VLOOKUP(F2797,製品マスタ!$G$5:$L$5002,6,FALSE))</f>
        <v>メタルミー　ネーマー銀消改　Ｂ</v>
      </c>
      <c r="J2797" s="480" t="s">
        <v>935</v>
      </c>
      <c r="K2797" s="455">
        <f>IF(D2797="","",VLOOKUP(D2797,契約台帳!$A$3:$L$4986,12,FALSE))</f>
        <v>50</v>
      </c>
      <c r="L2797" s="455" t="str">
        <f>IF(D2797="","",INDEX(製品マスタ!$Q$5:$Q$5002,MATCH('S4'!F2797&amp;'S4'!K2797,製品マスタ!$AO$5:$AO$5002,0)))</f>
        <v>S99-MAT</v>
      </c>
      <c r="M2797" s="481">
        <v>1120</v>
      </c>
      <c r="N2797" s="481">
        <v>4000</v>
      </c>
      <c r="O2797" s="482">
        <v>3</v>
      </c>
      <c r="P2797" s="483">
        <v>3</v>
      </c>
      <c r="Q2797" s="484">
        <v>45632</v>
      </c>
      <c r="R2797" s="461">
        <f ca="1">IF(D2797="","",IF(OFFSET(D2797,-1,0)&lt;&gt;"","",IF(OR(J2797="リード付け",J2797="巻足し",J2797="巻返しリード付け"),M2797,VLOOKUP(D2797,契約台帳!$A$3:$N$4986,14,FALSE))))</f>
        <v>1120</v>
      </c>
      <c r="S2797" s="462">
        <f ca="1">IF(D2797="","",IF(OFFSET(D2797,-1,0)&lt;&gt;"","",IF(OR(J2797="リード付け",J2797="巻足し",J2797="巻返しリード付け"),M2797,VLOOKUP(D2797,契約台帳!$A$3:$O$4986,15,FALSE))))</f>
        <v>1120</v>
      </c>
      <c r="T2797" s="463">
        <f ca="1">IF(D2797="","",IF(J2797="リード付け",N2797,IF(J2797="巻返しリード付け",N2797,IF(J2797="巻足し",N2797*P2797+OFFSET(N2797,1,0)*OFFSET(P2797,1,0),VLOOKUP(D2797,契約台帳!$A$3:$P$4986,16,FALSE)))))</f>
        <v>12000</v>
      </c>
      <c r="U2797" s="485">
        <v>1</v>
      </c>
      <c r="V2797" s="465">
        <f ca="1">IF(D2797="","",IF(OFFSET(D2797,-2,0)=D2797,"",VLOOKUP(D2797,契約台帳!$A$3:$R$4986,18,FALSE)))</f>
        <v>36</v>
      </c>
      <c r="W2797" s="454" t="str">
        <f ca="1">IF(D2797="","",IF(T2797="","",IF(OR(J2797="巻足し",J2797="巻返しリード付け"),"",IF(J2797="巻返し",VLOOKUP(F2797&amp;K2797&amp;M2797,製品マスタ!$M$5:$AD$5002,18,FALSE),IF(OR(J2797="リード付け",J2797="巻返しリード付け"),"原反コア",IF(J2797="スリット",VLOOKUP(F2797&amp;K2797&amp;R2797,製品マスタ!$N$5:$AD$5002,17,FALSE),""))))))</f>
        <v/>
      </c>
      <c r="X2797" s="454" t="str">
        <f ca="1">IF(D2797="","",IF(T2797="","",IF(J2797="巻足し","",IF(J2797="巻返し",VLOOKUP(F2797&amp;K2797&amp;M2797,製品マスタ!$M$5:$AE$5002,19,FALSE),IF(OR(J2797="リード付け",J2797="巻返しリード付け"),"",IF(J2797="スリット",VLOOKUP(F2797&amp;K2797&amp;R2797,製品マスタ!$N$5:$AE$5002,18,FALSE),""))))))</f>
        <v/>
      </c>
      <c r="Y2797" s="466">
        <f ca="1">IF(D2797="","",IF(T2797="","",VLOOKUP(D2797,契約台帳!$A$3:$Q$4986,17,FALSE)))</f>
        <v>2</v>
      </c>
      <c r="Z2797" s="454" t="str">
        <f ca="1">IF(D2797="","",IF(T2797="","",VLOOKUP(D2797,契約台帳!$A$3:$E$4986,5,FALSE)))</f>
        <v>リンテック㈱</v>
      </c>
      <c r="AA2797" s="484"/>
      <c r="AB2797" s="467">
        <f>IFERROR((VLOOKUP(F2797&amp;K2797&amp;M2797,製品マスタ!$M$5:$AM$5002,27,FALSE)),"")</f>
        <v>0</v>
      </c>
      <c r="AC2797" s="486"/>
      <c r="AD2797" s="487"/>
      <c r="AE2797" s="470"/>
      <c r="AF2797" s="488">
        <f>+M2797*N2797*O2797/1000</f>
        <v>13440</v>
      </c>
      <c r="AG2797" s="489"/>
      <c r="AH2797" s="483"/>
      <c r="AI2797" s="473"/>
      <c r="AJ2797" s="473"/>
      <c r="AK2797" s="473"/>
      <c r="AL2797" s="473"/>
      <c r="AM2797" s="474"/>
      <c r="AN2797" s="474"/>
      <c r="AO2797" s="474"/>
      <c r="AP2797" s="474"/>
      <c r="AQ2797" s="474"/>
      <c r="AR2797" s="475"/>
      <c r="AS2797" s="476"/>
    </row>
    <row r="2798" spans="1:45" s="477" customFormat="1" ht="30.95" customHeight="1" x14ac:dyDescent="0.2">
      <c r="A2798" s="449"/>
      <c r="B2798" s="450"/>
      <c r="C2798" s="451"/>
      <c r="D2798" s="452"/>
      <c r="E2798" s="452"/>
      <c r="F2798" s="453"/>
      <c r="G2798" s="454"/>
      <c r="H2798" s="454"/>
      <c r="I2798" s="455"/>
      <c r="J2798" s="456"/>
      <c r="K2798" s="455"/>
      <c r="L2798" s="455"/>
      <c r="M2798" s="457"/>
      <c r="N2798" s="457"/>
      <c r="O2798" s="458"/>
      <c r="P2798" s="459"/>
      <c r="Q2798" s="460"/>
      <c r="R2798" s="461"/>
      <c r="S2798" s="462"/>
      <c r="T2798" s="463"/>
      <c r="U2798" s="464"/>
      <c r="V2798" s="465"/>
      <c r="W2798" s="454"/>
      <c r="X2798" s="454"/>
      <c r="Y2798" s="466"/>
      <c r="Z2798" s="454"/>
      <c r="AA2798" s="460"/>
      <c r="AB2798" s="467"/>
      <c r="AC2798" s="468"/>
      <c r="AD2798" s="469"/>
      <c r="AE2798" s="470"/>
      <c r="AF2798" s="471"/>
      <c r="AG2798" s="472"/>
      <c r="AH2798" s="459"/>
      <c r="AI2798" s="473"/>
      <c r="AJ2798" s="473"/>
      <c r="AK2798" s="473"/>
      <c r="AL2798" s="473"/>
      <c r="AM2798" s="474"/>
      <c r="AN2798" s="474"/>
      <c r="AO2798" s="474"/>
      <c r="AP2798" s="474"/>
      <c r="AQ2798" s="474"/>
      <c r="AR2798" s="475"/>
      <c r="AS2798" s="476"/>
    </row>
    <row r="2799" spans="1:45" s="477" customFormat="1" ht="30.6" customHeight="1" x14ac:dyDescent="0.2">
      <c r="A2799" s="449"/>
      <c r="B2799" s="450"/>
      <c r="C2799" s="478"/>
      <c r="D2799" s="479">
        <v>3790250</v>
      </c>
      <c r="E2799" s="479">
        <v>4162843</v>
      </c>
      <c r="F2799" s="453" t="str">
        <f>IF(D2799="","",VLOOKUP(D2799,契約台帳!$A$3:$K$4986,6,FALSE)&amp;VLOOKUP(D2799,契約台帳!$A$3:$K$4986,7,FALSE)&amp;VLOOKUP(D2799,契約台帳!$A$3:$K$4986,8,FALSE)&amp;VLOOKUP(D2799,契約台帳!$A$3:$K$4986,9,FALSE)&amp;VLOOKUP(D2799,契約台帳!$A$3:$K$4986,11,FALSE))</f>
        <v>3SNMLBMNGKKBF</v>
      </c>
      <c r="G2799" s="454" t="str">
        <f>IF(D2799="","",VLOOKUP(F2799,製品マスタ!$G$5:$H$5002,2,FALSE))</f>
        <v>S</v>
      </c>
      <c r="H2799" s="454" t="str">
        <f>IF(D2799="","",VLOOKUP(F2799,製品マスタ!$G$5:$K$5002,5,FALSE))</f>
        <v>MNGKKBF</v>
      </c>
      <c r="I2799" s="455" t="str">
        <f>IF(D2799="","",VLOOKUP(F2799,製品マスタ!$G$5:$L$5002,6,FALSE))</f>
        <v>メタルミー　ネーマー銀消改　Ｂ</v>
      </c>
      <c r="J2799" s="480" t="s">
        <v>935</v>
      </c>
      <c r="K2799" s="455">
        <f>IF(D2799="","",VLOOKUP(D2799,契約台帳!$A$3:$L$4986,12,FALSE))</f>
        <v>25</v>
      </c>
      <c r="L2799" s="455" t="str">
        <f>IF(D2799="","",INDEX(製品マスタ!$Q$5:$Q$5002,MATCH('S4'!F2799&amp;'S4'!K2799,製品マスタ!$AO$5:$AO$5002,0)))</f>
        <v>FMATS99</v>
      </c>
      <c r="M2799" s="481">
        <v>1120</v>
      </c>
      <c r="N2799" s="481">
        <v>4000</v>
      </c>
      <c r="O2799" s="482">
        <v>3</v>
      </c>
      <c r="P2799" s="483">
        <v>3</v>
      </c>
      <c r="Q2799" s="484">
        <v>45632</v>
      </c>
      <c r="R2799" s="461">
        <f ca="1">IF(D2799="","",IF(OFFSET(D2799,-1,0)&lt;&gt;"","",IF(OR(J2799="リード付け",J2799="巻足し",J2799="巻返しリード付け"),M2799,VLOOKUP(D2799,契約台帳!$A$3:$N$4986,14,FALSE))))</f>
        <v>1120</v>
      </c>
      <c r="S2799" s="462">
        <f ca="1">IF(D2799="","",IF(OFFSET(D2799,-1,0)&lt;&gt;"","",IF(OR(J2799="リード付け",J2799="巻足し",J2799="巻返しリード付け"),M2799,VLOOKUP(D2799,契約台帳!$A$3:$O$4986,15,FALSE))))</f>
        <v>1120</v>
      </c>
      <c r="T2799" s="463">
        <f ca="1">IF(D2799="","",IF(J2799="リード付け",N2799,IF(J2799="巻返しリード付け",N2799,IF(J2799="巻足し",N2799*P2799+OFFSET(N2799,1,0)*OFFSET(P2799,1,0),VLOOKUP(D2799,契約台帳!$A$3:$P$4986,16,FALSE)))))</f>
        <v>12000</v>
      </c>
      <c r="U2799" s="485">
        <v>1</v>
      </c>
      <c r="V2799" s="465">
        <f ca="1">IF(D2799="","",IF(OFFSET(D2799,-2,0)=D2799,"",VLOOKUP(D2799,契約台帳!$A$3:$R$4986,18,FALSE)))</f>
        <v>5</v>
      </c>
      <c r="W2799" s="454" t="str">
        <f ca="1">IF(D2799="","",IF(T2799="","",IF(OR(J2799="巻足し",J2799="巻返しリード付け"),"",IF(J2799="巻返し",VLOOKUP(F2799&amp;K2799&amp;M2799,製品マスタ!$M$5:$AD$5002,18,FALSE),IF(OR(J2799="リード付け",J2799="巻返しリード付け"),"原反コア",IF(J2799="スリット",VLOOKUP(F2799&amp;K2799&amp;R2799,製品マスタ!$N$5:$AD$5002,17,FALSE),""))))))</f>
        <v/>
      </c>
      <c r="X2799" s="454" t="str">
        <f ca="1">IF(D2799="","",IF(T2799="","",IF(J2799="巻足し","",IF(J2799="巻返し",VLOOKUP(F2799&amp;K2799&amp;M2799,製品マスタ!$M$5:$AE$5002,19,FALSE),IF(OR(J2799="リード付け",J2799="巻返しリード付け"),"",IF(J2799="スリット",VLOOKUP(F2799&amp;K2799&amp;R2799,製品マスタ!$N$5:$AE$5002,18,FALSE),""))))))</f>
        <v/>
      </c>
      <c r="Y2799" s="466">
        <f ca="1">IF(D2799="","",IF(T2799="","",VLOOKUP(D2799,契約台帳!$A$3:$Q$4986,17,FALSE)))</f>
        <v>2</v>
      </c>
      <c r="Z2799" s="454" t="str">
        <f ca="1">IF(D2799="","",IF(T2799="","",VLOOKUP(D2799,契約台帳!$A$3:$E$4986,5,FALSE)))</f>
        <v>リンテック㈱</v>
      </c>
      <c r="AA2799" s="484"/>
      <c r="AB2799" s="467">
        <f>IFERROR((VLOOKUP(F2799&amp;K2799&amp;M2799,製品マスタ!$M$5:$AM$5002,27,FALSE)),"")</f>
        <v>0</v>
      </c>
      <c r="AC2799" s="486"/>
      <c r="AD2799" s="487"/>
      <c r="AE2799" s="470"/>
      <c r="AF2799" s="488">
        <f>+M2799*N2799*O2799/1000</f>
        <v>13440</v>
      </c>
      <c r="AG2799" s="489"/>
      <c r="AH2799" s="483"/>
      <c r="AI2799" s="473"/>
      <c r="AJ2799" s="473"/>
      <c r="AK2799" s="473"/>
      <c r="AL2799" s="473"/>
      <c r="AM2799" s="474"/>
      <c r="AN2799" s="474"/>
      <c r="AO2799" s="474"/>
      <c r="AP2799" s="474"/>
      <c r="AQ2799" s="474"/>
      <c r="AR2799" s="475"/>
      <c r="AS2799" s="476"/>
    </row>
    <row r="2800" spans="1:45" s="477" customFormat="1" ht="30.95" customHeight="1" x14ac:dyDescent="0.2">
      <c r="A2800" s="449"/>
      <c r="B2800" s="450"/>
      <c r="C2800" s="451"/>
      <c r="D2800" s="452"/>
      <c r="E2800" s="452"/>
      <c r="F2800" s="453"/>
      <c r="G2800" s="454"/>
      <c r="H2800" s="454"/>
      <c r="I2800" s="490"/>
      <c r="J2800" s="456"/>
      <c r="K2800" s="455"/>
      <c r="L2800" s="455"/>
      <c r="M2800" s="457"/>
      <c r="N2800" s="457"/>
      <c r="O2800" s="458"/>
      <c r="P2800" s="459"/>
      <c r="Q2800" s="460"/>
      <c r="R2800" s="461"/>
      <c r="S2800" s="462"/>
      <c r="T2800" s="463"/>
      <c r="U2800" s="464"/>
      <c r="V2800" s="465"/>
      <c r="W2800" s="454"/>
      <c r="X2800" s="454"/>
      <c r="Y2800" s="466"/>
      <c r="Z2800" s="454"/>
      <c r="AA2800" s="460"/>
      <c r="AB2800" s="467"/>
      <c r="AC2800" s="468"/>
      <c r="AD2800" s="469"/>
      <c r="AE2800" s="470"/>
      <c r="AF2800" s="471"/>
      <c r="AG2800" s="472"/>
      <c r="AH2800" s="459"/>
      <c r="AI2800" s="473"/>
      <c r="AJ2800" s="473"/>
      <c r="AK2800" s="473"/>
      <c r="AL2800" s="473"/>
      <c r="AM2800" s="474"/>
      <c r="AN2800" s="474"/>
      <c r="AO2800" s="474"/>
      <c r="AP2800" s="474"/>
      <c r="AQ2800" s="474"/>
      <c r="AR2800" s="475"/>
      <c r="AS2800" s="476"/>
    </row>
    <row r="2801" spans="1:45" s="477" customFormat="1" ht="30.6" customHeight="1" x14ac:dyDescent="0.2">
      <c r="A2801" s="449"/>
      <c r="B2801" s="450"/>
      <c r="C2801" s="478"/>
      <c r="D2801" s="479">
        <v>3790250</v>
      </c>
      <c r="E2801" s="479">
        <v>4162843</v>
      </c>
      <c r="F2801" s="453" t="str">
        <f>IF(D2801="","",VLOOKUP(D2801,契約台帳!$A$3:$K$4986,6,FALSE)&amp;VLOOKUP(D2801,契約台帳!$A$3:$K$4986,7,FALSE)&amp;VLOOKUP(D2801,契約台帳!$A$3:$K$4986,8,FALSE)&amp;VLOOKUP(D2801,契約台帳!$A$3:$K$4986,9,FALSE)&amp;VLOOKUP(D2801,契約台帳!$A$3:$K$4986,11,FALSE))</f>
        <v>3SNMLBMNGKKBF</v>
      </c>
      <c r="G2801" s="454" t="str">
        <f>IF(D2801="","",VLOOKUP(F2801,製品マスタ!$G$5:$H$5002,2,FALSE))</f>
        <v>S</v>
      </c>
      <c r="H2801" s="454" t="str">
        <f>IF(D2801="","",VLOOKUP(F2801,製品マスタ!$G$5:$K$5002,5,FALSE))</f>
        <v>MNGKKBF</v>
      </c>
      <c r="I2801" s="455" t="str">
        <f>IF(D2801="","",VLOOKUP(F2801,製品マスタ!$G$5:$L$5002,6,FALSE))</f>
        <v>メタルミー　ネーマー銀消改　Ｂ</v>
      </c>
      <c r="J2801" s="480" t="s">
        <v>935</v>
      </c>
      <c r="K2801" s="455">
        <f>IF(D2801="","",VLOOKUP(D2801,契約台帳!$A$3:$L$4986,12,FALSE))</f>
        <v>25</v>
      </c>
      <c r="L2801" s="455" t="str">
        <f>IF(D2801="","",INDEX(製品マスタ!$Q$5:$Q$5002,MATCH('S4'!F2801&amp;'S4'!K2801,製品マスタ!$AO$5:$AO$5002,0)))</f>
        <v>FMATS99</v>
      </c>
      <c r="M2801" s="481">
        <v>1120</v>
      </c>
      <c r="N2801" s="481">
        <v>4000</v>
      </c>
      <c r="O2801" s="482">
        <v>2</v>
      </c>
      <c r="P2801" s="483">
        <v>2</v>
      </c>
      <c r="Q2801" s="484">
        <v>45632</v>
      </c>
      <c r="R2801" s="461">
        <f ca="1">IF(D2801="","",IF(OFFSET(D2801,-1,0)&lt;&gt;"","",IF(OR(J2801="リード付け",J2801="巻足し",J2801="巻返しリード付け"),M2801,VLOOKUP(D2801,契約台帳!$A$3:$N$4986,14,FALSE))))</f>
        <v>1120</v>
      </c>
      <c r="S2801" s="462">
        <f ca="1">IF(D2801="","",IF(OFFSET(D2801,-1,0)&lt;&gt;"","",IF(OR(J2801="リード付け",J2801="巻足し",J2801="巻返しリード付け"),M2801,VLOOKUP(D2801,契約台帳!$A$3:$O$4986,15,FALSE))))</f>
        <v>1120</v>
      </c>
      <c r="T2801" s="463">
        <f ca="1">IF(D2801="","",IF(J2801="リード付け",N2801,IF(J2801="巻返しリード付け",N2801,IF(J2801="巻足し",N2801*P2801+OFFSET(N2801,1,0)*OFFSET(P2801,1,0),VLOOKUP(D2801,契約台帳!$A$3:$P$4986,16,FALSE)))))</f>
        <v>8000</v>
      </c>
      <c r="U2801" s="485">
        <v>1</v>
      </c>
      <c r="V2801" s="465" t="str">
        <f ca="1">IF(D2801="","",IF(OFFSET(D2801,-2,0)=D2801,"",VLOOKUP(D2801,契約台帳!$A$3:$R$4986,18,FALSE)))</f>
        <v/>
      </c>
      <c r="W2801" s="454" t="str">
        <f ca="1">IF(D2801="","",IF(T2801="","",IF(OR(J2801="巻足し",J2801="巻返しリード付け"),"",IF(J2801="巻返し",VLOOKUP(F2801&amp;K2801&amp;M2801,製品マスタ!$M$5:$AD$5002,18,FALSE),IF(OR(J2801="リード付け",J2801="巻返しリード付け"),"原反コア",IF(J2801="スリット",VLOOKUP(F2801&amp;K2801&amp;R2801,製品マスタ!$N$5:$AD$5002,17,FALSE),""))))))</f>
        <v/>
      </c>
      <c r="X2801" s="454" t="str">
        <f ca="1">IF(D2801="","",IF(T2801="","",IF(J2801="巻足し","",IF(J2801="巻返し",VLOOKUP(F2801&amp;K2801&amp;M2801,製品マスタ!$M$5:$AE$5002,19,FALSE),IF(OR(J2801="リード付け",J2801="巻返しリード付け"),"",IF(J2801="スリット",VLOOKUP(F2801&amp;K2801&amp;R2801,製品マスタ!$N$5:$AE$5002,18,FALSE),""))))))</f>
        <v/>
      </c>
      <c r="Y2801" s="466">
        <f ca="1">IF(D2801="","",IF(T2801="","",VLOOKUP(D2801,契約台帳!$A$3:$Q$4986,17,FALSE)))</f>
        <v>2</v>
      </c>
      <c r="Z2801" s="454" t="str">
        <f ca="1">IF(D2801="","",IF(T2801="","",VLOOKUP(D2801,契約台帳!$A$3:$E$4986,5,FALSE)))</f>
        <v>リンテック㈱</v>
      </c>
      <c r="AA2801" s="484"/>
      <c r="AB2801" s="467">
        <f>IFERROR((VLOOKUP(F2801&amp;K2801&amp;M2801,製品マスタ!$M$5:$AM$5002,27,FALSE)),"")</f>
        <v>0</v>
      </c>
      <c r="AC2801" s="486"/>
      <c r="AD2801" s="487"/>
      <c r="AE2801" s="470"/>
      <c r="AF2801" s="488">
        <f>+M2801*N2801*O2801/1000</f>
        <v>8960</v>
      </c>
      <c r="AG2801" s="489"/>
      <c r="AH2801" s="483"/>
      <c r="AI2801" s="473"/>
      <c r="AJ2801" s="473"/>
      <c r="AK2801" s="473"/>
      <c r="AL2801" s="473"/>
      <c r="AM2801" s="474"/>
      <c r="AN2801" s="474"/>
      <c r="AO2801" s="474"/>
      <c r="AP2801" s="474"/>
      <c r="AQ2801" s="474"/>
      <c r="AR2801" s="475"/>
      <c r="AS2801" s="476"/>
    </row>
    <row r="2802" spans="1:45" s="477" customFormat="1" ht="30.95" customHeight="1" x14ac:dyDescent="0.2">
      <c r="A2802" s="449"/>
      <c r="B2802" s="450"/>
      <c r="C2802" s="451"/>
      <c r="D2802" s="452"/>
      <c r="E2802" s="452"/>
      <c r="F2802" s="453"/>
      <c r="G2802" s="454"/>
      <c r="H2802" s="454"/>
      <c r="I2802" s="455"/>
      <c r="J2802" s="456"/>
      <c r="K2802" s="455"/>
      <c r="L2802" s="455"/>
      <c r="M2802" s="457"/>
      <c r="N2802" s="457"/>
      <c r="O2802" s="458"/>
      <c r="P2802" s="459"/>
      <c r="Q2802" s="460"/>
      <c r="R2802" s="461"/>
      <c r="S2802" s="462"/>
      <c r="T2802" s="463"/>
      <c r="U2802" s="464"/>
      <c r="V2802" s="465"/>
      <c r="W2802" s="454"/>
      <c r="X2802" s="454"/>
      <c r="Y2802" s="466"/>
      <c r="Z2802" s="454"/>
      <c r="AA2802" s="460"/>
      <c r="AB2802" s="467"/>
      <c r="AC2802" s="468"/>
      <c r="AD2802" s="469"/>
      <c r="AE2802" s="470"/>
      <c r="AF2802" s="471"/>
      <c r="AG2802" s="472"/>
      <c r="AH2802" s="459"/>
      <c r="AI2802" s="473"/>
      <c r="AJ2802" s="473"/>
      <c r="AK2802" s="473"/>
      <c r="AL2802" s="473"/>
      <c r="AM2802" s="474"/>
      <c r="AN2802" s="474"/>
      <c r="AO2802" s="474"/>
      <c r="AP2802" s="474"/>
      <c r="AQ2802" s="474"/>
      <c r="AR2802" s="475"/>
      <c r="AS2802" s="476"/>
    </row>
    <row r="2803" spans="1:45" s="477" customFormat="1" ht="30.6" customHeight="1" x14ac:dyDescent="0.2">
      <c r="A2803" s="449"/>
      <c r="B2803" s="450"/>
      <c r="C2803" s="478"/>
      <c r="D2803" s="479">
        <v>3790251</v>
      </c>
      <c r="E2803" s="479">
        <v>4162844</v>
      </c>
      <c r="F2803" s="453" t="str">
        <f>IF(D2803="","",VLOOKUP(D2803,契約台帳!$A$3:$K$4986,6,FALSE)&amp;VLOOKUP(D2803,契約台帳!$A$3:$K$4986,7,FALSE)&amp;VLOOKUP(D2803,契約台帳!$A$3:$K$4986,8,FALSE)&amp;VLOOKUP(D2803,契約台帳!$A$3:$K$4986,9,FALSE)&amp;VLOOKUP(D2803,契約台帳!$A$3:$K$4986,11,FALSE))</f>
        <v>3SNMLBMNGKKBF</v>
      </c>
      <c r="G2803" s="454" t="str">
        <f>IF(D2803="","",VLOOKUP(F2803,製品マスタ!$G$5:$H$5002,2,FALSE))</f>
        <v>S</v>
      </c>
      <c r="H2803" s="454" t="str">
        <f>IF(D2803="","",VLOOKUP(F2803,製品マスタ!$G$5:$K$5002,5,FALSE))</f>
        <v>MNGKKBF</v>
      </c>
      <c r="I2803" s="455" t="str">
        <f>IF(D2803="","",VLOOKUP(F2803,製品マスタ!$G$5:$L$5002,6,FALSE))</f>
        <v>メタルミー　ネーマー銀消改　Ｂ</v>
      </c>
      <c r="J2803" s="480" t="s">
        <v>935</v>
      </c>
      <c r="K2803" s="455">
        <f>IF(D2803="","",VLOOKUP(D2803,契約台帳!$A$3:$L$4986,12,FALSE))</f>
        <v>50</v>
      </c>
      <c r="L2803" s="455" t="str">
        <f>IF(D2803="","",INDEX(製品マスタ!$Q$5:$Q$5002,MATCH('S4'!F2803&amp;'S4'!K2803,製品マスタ!$AO$5:$AO$5002,0)))</f>
        <v>S99-MAT</v>
      </c>
      <c r="M2803" s="481">
        <v>1000</v>
      </c>
      <c r="N2803" s="481">
        <v>4000</v>
      </c>
      <c r="O2803" s="482">
        <v>2</v>
      </c>
      <c r="P2803" s="483">
        <v>2</v>
      </c>
      <c r="Q2803" s="484">
        <v>45632</v>
      </c>
      <c r="R2803" s="461">
        <f ca="1">IF(D2803="","",IF(OFFSET(D2803,-1,0)&lt;&gt;"","",IF(OR(J2803="リード付け",J2803="巻足し",J2803="巻返しリード付け"),M2803,VLOOKUP(D2803,契約台帳!$A$3:$N$4986,14,FALSE))))</f>
        <v>1000</v>
      </c>
      <c r="S2803" s="462">
        <f ca="1">IF(D2803="","",IF(OFFSET(D2803,-1,0)&lt;&gt;"","",IF(OR(J2803="リード付け",J2803="巻足し",J2803="巻返しリード付け"),M2803,VLOOKUP(D2803,契約台帳!$A$3:$O$4986,15,FALSE))))</f>
        <v>1000</v>
      </c>
      <c r="T2803" s="463">
        <f ca="1">IF(D2803="","",IF(J2803="リード付け",N2803,IF(J2803="巻返しリード付け",N2803,IF(J2803="巻足し",N2803*P2803+OFFSET(N2803,1,0)*OFFSET(P2803,1,0),VLOOKUP(D2803,契約台帳!$A$3:$P$4986,16,FALSE)))))</f>
        <v>8000</v>
      </c>
      <c r="U2803" s="485">
        <v>1</v>
      </c>
      <c r="V2803" s="465">
        <f ca="1">IF(D2803="","",IF(OFFSET(D2803,-2,0)=D2803,"",VLOOKUP(D2803,契約台帳!$A$3:$R$4986,18,FALSE)))</f>
        <v>2</v>
      </c>
      <c r="W2803" s="454" t="str">
        <f ca="1">IF(D2803="","",IF(T2803="","",IF(OR(J2803="巻足し",J2803="巻返しリード付け"),"",IF(J2803="巻返し",VLOOKUP(F2803&amp;K2803&amp;M2803,製品マスタ!$M$5:$AD$5002,18,FALSE),IF(OR(J2803="リード付け",J2803="巻返しリード付け"),"原反コア",IF(J2803="スリット",VLOOKUP(F2803&amp;K2803&amp;R2803,製品マスタ!$N$5:$AD$5002,17,FALSE),""))))))</f>
        <v/>
      </c>
      <c r="X2803" s="454" t="str">
        <f ca="1">IF(D2803="","",IF(T2803="","",IF(J2803="巻足し","",IF(J2803="巻返し",VLOOKUP(F2803&amp;K2803&amp;M2803,製品マスタ!$M$5:$AE$5002,19,FALSE),IF(OR(J2803="リード付け",J2803="巻返しリード付け"),"",IF(J2803="スリット",VLOOKUP(F2803&amp;K2803&amp;R2803,製品マスタ!$N$5:$AE$5002,18,FALSE),""))))))</f>
        <v/>
      </c>
      <c r="Y2803" s="466">
        <f ca="1">IF(D2803="","",IF(T2803="","",VLOOKUP(D2803,契約台帳!$A$3:$Q$4986,17,FALSE)))</f>
        <v>2</v>
      </c>
      <c r="Z2803" s="454" t="str">
        <f ca="1">IF(D2803="","",IF(T2803="","",VLOOKUP(D2803,契約台帳!$A$3:$E$4986,5,FALSE)))</f>
        <v>リンテック㈱</v>
      </c>
      <c r="AA2803" s="484"/>
      <c r="AB2803" s="467">
        <f>IFERROR((VLOOKUP(F2803&amp;K2803&amp;M2803,製品マスタ!$M$5:$AM$5002,27,FALSE)),"")</f>
        <v>0</v>
      </c>
      <c r="AC2803" s="486"/>
      <c r="AD2803" s="487"/>
      <c r="AE2803" s="470"/>
      <c r="AF2803" s="488">
        <f>+M2803*N2803*O2803/1000</f>
        <v>8000</v>
      </c>
      <c r="AG2803" s="489"/>
      <c r="AH2803" s="483"/>
      <c r="AI2803" s="473"/>
      <c r="AJ2803" s="473"/>
      <c r="AK2803" s="473"/>
      <c r="AL2803" s="473"/>
      <c r="AM2803" s="474"/>
      <c r="AN2803" s="474"/>
      <c r="AO2803" s="474"/>
      <c r="AP2803" s="474"/>
      <c r="AQ2803" s="474"/>
      <c r="AR2803" s="475"/>
      <c r="AS2803" s="476"/>
    </row>
    <row r="2804" spans="1:45" s="477" customFormat="1" ht="30.95" customHeight="1" x14ac:dyDescent="0.2">
      <c r="A2804" s="449"/>
      <c r="B2804" s="450"/>
      <c r="C2804" s="451"/>
      <c r="D2804" s="452"/>
      <c r="E2804" s="452"/>
      <c r="F2804" s="453"/>
      <c r="G2804" s="454"/>
      <c r="H2804" s="454"/>
      <c r="I2804" s="455"/>
      <c r="J2804" s="456"/>
      <c r="K2804" s="455"/>
      <c r="L2804" s="455"/>
      <c r="M2804" s="457"/>
      <c r="N2804" s="457"/>
      <c r="O2804" s="458"/>
      <c r="P2804" s="459"/>
      <c r="Q2804" s="460"/>
      <c r="R2804" s="461"/>
      <c r="S2804" s="462"/>
      <c r="T2804" s="463"/>
      <c r="U2804" s="464"/>
      <c r="V2804" s="465"/>
      <c r="W2804" s="454"/>
      <c r="X2804" s="454"/>
      <c r="Y2804" s="466"/>
      <c r="Z2804" s="454"/>
      <c r="AA2804" s="460"/>
      <c r="AB2804" s="467"/>
      <c r="AC2804" s="468"/>
      <c r="AD2804" s="469"/>
      <c r="AE2804" s="470"/>
      <c r="AF2804" s="471"/>
      <c r="AG2804" s="472"/>
      <c r="AH2804" s="459"/>
      <c r="AI2804" s="473"/>
      <c r="AJ2804" s="473"/>
      <c r="AK2804" s="473"/>
      <c r="AL2804" s="473"/>
      <c r="AM2804" s="474"/>
      <c r="AN2804" s="474"/>
      <c r="AO2804" s="474"/>
      <c r="AP2804" s="474"/>
      <c r="AQ2804" s="474"/>
      <c r="AR2804" s="475"/>
      <c r="AS2804" s="476"/>
    </row>
    <row r="2805" spans="1:45" s="477" customFormat="1" ht="30.6" customHeight="1" x14ac:dyDescent="0.2">
      <c r="A2805" s="449"/>
      <c r="B2805" s="450"/>
      <c r="C2805" s="478"/>
      <c r="D2805" s="479">
        <v>3790245</v>
      </c>
      <c r="E2805" s="479">
        <v>4162856</v>
      </c>
      <c r="F2805" s="453" t="str">
        <f>IF(D2805="","",VLOOKUP(D2805,契約台帳!$A$3:$K$4986,6,FALSE)&amp;VLOOKUP(D2805,契約台帳!$A$3:$K$4986,7,FALSE)&amp;VLOOKUP(D2805,契約台帳!$A$3:$K$4986,8,FALSE)&amp;VLOOKUP(D2805,契約台帳!$A$3:$K$4986,9,FALSE)&amp;VLOOKUP(D2805,契約台帳!$A$3:$K$4986,11,FALSE))</f>
        <v>3SNMCLBMSNEYK</v>
      </c>
      <c r="G2805" s="454" t="str">
        <f>IF(D2805="","",VLOOKUP(F2805,製品マスタ!$G$5:$H$5002,2,FALSE))</f>
        <v>S</v>
      </c>
      <c r="H2805" s="454" t="str">
        <f>IF(D2805="","",VLOOKUP(F2805,製品マスタ!$G$5:$K$5002,5,FALSE))</f>
        <v>MSNEYK</v>
      </c>
      <c r="I2805" s="455" t="str">
        <f>IF(D2805="","",VLOOKUP(F2805,製品マスタ!$G$5:$L$5002,6,FALSE))</f>
        <v>ＭＳＮ　ＥＹＫ</v>
      </c>
      <c r="J2805" s="480" t="s">
        <v>935</v>
      </c>
      <c r="K2805" s="455">
        <f>IF(D2805="","",VLOOKUP(D2805,契約台帳!$A$3:$L$4986,12,FALSE))</f>
        <v>50</v>
      </c>
      <c r="L2805" s="455" t="str">
        <f>IF(D2805="","",INDEX(製品マスタ!$Q$5:$Q$5002,MATCH('S4'!F2805&amp;'S4'!K2805,製品マスタ!$AO$5:$AO$5002,0)))</f>
        <v>N-MAT</v>
      </c>
      <c r="M2805" s="481">
        <v>1200</v>
      </c>
      <c r="N2805" s="481">
        <v>6000</v>
      </c>
      <c r="O2805" s="482">
        <v>10</v>
      </c>
      <c r="P2805" s="483">
        <v>2</v>
      </c>
      <c r="Q2805" s="484">
        <v>45635</v>
      </c>
      <c r="R2805" s="461">
        <f ca="1">IF(D2805="","",IF(OFFSET(D2805,-1,0)&lt;&gt;"","",IF(OR(J2805="リード付け",J2805="巻足し",J2805="巻返しリード付け"),M2805,VLOOKUP(D2805,契約台帳!$A$3:$N$4986,14,FALSE))))</f>
        <v>1200</v>
      </c>
      <c r="S2805" s="462">
        <f ca="1">IF(D2805="","",IF(OFFSET(D2805,-1,0)&lt;&gt;"","",IF(OR(J2805="リード付け",J2805="巻足し",J2805="巻返しリード付け"),M2805,VLOOKUP(D2805,契約台帳!$A$3:$O$4986,15,FALSE))))</f>
        <v>1200</v>
      </c>
      <c r="T2805" s="463">
        <f ca="1">IF(D2805="","",IF(J2805="リード付け",N2805,IF(J2805="巻返しリード付け",N2805,IF(J2805="巻足し",N2805*P2805+OFFSET(N2805,1,0)*OFFSET(P2805,1,0),VLOOKUP(D2805,契約台帳!$A$3:$P$4986,16,FALSE)))))</f>
        <v>12000</v>
      </c>
      <c r="U2805" s="485">
        <v>5</v>
      </c>
      <c r="V2805" s="465">
        <f ca="1">IF(D2805="","",IF(OFFSET(D2805,-2,0)=D2805,"",VLOOKUP(D2805,契約台帳!$A$3:$R$4986,18,FALSE)))</f>
        <v>10</v>
      </c>
      <c r="W2805" s="454" t="str">
        <f ca="1">IF(D2805="","",IF(T2805="","",IF(OR(J2805="巻足し",J2805="巻返しリード付け"),"",IF(J2805="巻返し",VLOOKUP(F2805&amp;K2805&amp;M2805,製品マスタ!$M$5:$AD$5002,18,FALSE),IF(OR(J2805="リード付け",J2805="巻返しリード付け"),"原反コア",IF(J2805="スリット",VLOOKUP(F2805&amp;K2805&amp;R2805,製品マスタ!$N$5:$AD$5002,17,FALSE),""))))))</f>
        <v/>
      </c>
      <c r="X2805" s="454" t="str">
        <f ca="1">IF(D2805="","",IF(T2805="","",IF(J2805="巻足し","",IF(J2805="巻返し",VLOOKUP(F2805&amp;K2805&amp;M2805,製品マスタ!$M$5:$AE$5002,19,FALSE),IF(OR(J2805="リード付け",J2805="巻返しリード付け"),"",IF(J2805="スリット",VLOOKUP(F2805&amp;K2805&amp;R2805,製品マスタ!$N$5:$AE$5002,18,FALSE),""))))))</f>
        <v/>
      </c>
      <c r="Y2805" s="466">
        <f ca="1">IF(D2805="","",IF(T2805="","",VLOOKUP(D2805,契約台帳!$A$3:$Q$4986,17,FALSE)))</f>
        <v>2</v>
      </c>
      <c r="Z2805" s="454" t="str">
        <f ca="1">IF(D2805="","",IF(T2805="","",VLOOKUP(D2805,契約台帳!$A$3:$E$4986,5,FALSE)))</f>
        <v>大阪シーリング印刷㈱</v>
      </c>
      <c r="AA2805" s="484"/>
      <c r="AB2805" s="467" t="str">
        <f>IFERROR((VLOOKUP(F2805&amp;K2805&amp;M2805,製品マスタ!$M$5:$AM$5002,27,FALSE)),"")</f>
        <v>原反ケース再利用</v>
      </c>
      <c r="AC2805" s="486"/>
      <c r="AD2805" s="487"/>
      <c r="AE2805" s="470"/>
      <c r="AF2805" s="488">
        <f>+M2805*N2805*O2805/1000</f>
        <v>72000</v>
      </c>
      <c r="AG2805" s="489"/>
      <c r="AH2805" s="483"/>
      <c r="AI2805" s="473"/>
      <c r="AJ2805" s="473"/>
      <c r="AK2805" s="473"/>
      <c r="AL2805" s="473"/>
      <c r="AM2805" s="474"/>
      <c r="AN2805" s="474"/>
      <c r="AO2805" s="474"/>
      <c r="AP2805" s="474"/>
      <c r="AQ2805" s="474"/>
      <c r="AR2805" s="475"/>
      <c r="AS2805" s="476"/>
    </row>
    <row r="2806" spans="1:45" s="477" customFormat="1" ht="30.95" customHeight="1" x14ac:dyDescent="0.2">
      <c r="A2806" s="449"/>
      <c r="B2806" s="450"/>
      <c r="C2806" s="451"/>
      <c r="D2806" s="452"/>
      <c r="E2806" s="452"/>
      <c r="F2806" s="453"/>
      <c r="G2806" s="454"/>
      <c r="H2806" s="454"/>
      <c r="I2806" s="455"/>
      <c r="J2806" s="456"/>
      <c r="K2806" s="455"/>
      <c r="L2806" s="455"/>
      <c r="M2806" s="457"/>
      <c r="N2806" s="457"/>
      <c r="O2806" s="458"/>
      <c r="P2806" s="459"/>
      <c r="Q2806" s="460"/>
      <c r="R2806" s="461"/>
      <c r="S2806" s="462"/>
      <c r="T2806" s="463"/>
      <c r="U2806" s="464"/>
      <c r="V2806" s="465"/>
      <c r="W2806" s="454"/>
      <c r="X2806" s="454"/>
      <c r="Y2806" s="466"/>
      <c r="Z2806" s="454"/>
      <c r="AA2806" s="460"/>
      <c r="AB2806" s="467"/>
      <c r="AC2806" s="468"/>
      <c r="AD2806" s="469"/>
      <c r="AE2806" s="470"/>
      <c r="AF2806" s="471"/>
      <c r="AG2806" s="472"/>
      <c r="AH2806" s="459"/>
      <c r="AI2806" s="473"/>
      <c r="AJ2806" s="473"/>
      <c r="AK2806" s="473"/>
      <c r="AL2806" s="473"/>
      <c r="AM2806" s="474"/>
      <c r="AN2806" s="474"/>
      <c r="AO2806" s="474"/>
      <c r="AP2806" s="474"/>
      <c r="AQ2806" s="474"/>
      <c r="AR2806" s="475"/>
      <c r="AS2806" s="476"/>
    </row>
    <row r="2807" spans="1:45" s="477" customFormat="1" ht="30.6" customHeight="1" x14ac:dyDescent="0.2">
      <c r="A2807" s="449" t="s">
        <v>3426</v>
      </c>
      <c r="B2807" s="450" t="s">
        <v>3427</v>
      </c>
      <c r="C2807" s="478"/>
      <c r="D2807" s="479">
        <v>3790267</v>
      </c>
      <c r="E2807" s="479">
        <v>4162875</v>
      </c>
      <c r="F2807" s="453" t="str">
        <f>IF(D2807="","",VLOOKUP(D2807,契約台帳!$A$3:$K$4986,6,FALSE)&amp;VLOOKUP(D2807,契約台帳!$A$3:$K$4986,7,FALSE)&amp;VLOOKUP(D2807,契約台帳!$A$3:$K$4986,8,FALSE)&amp;VLOOKUP(D2807,契約台帳!$A$3:$K$4986,9,FALSE)&amp;VLOOKUP(D2807,契約台帳!$A$3:$K$4986,11,FALSE))</f>
        <v>3TNMCLBHLGKJV</v>
      </c>
      <c r="G2807" s="454" t="str">
        <f>IF(D2807="","",VLOOKUP(F2807,製品マスタ!$G$5:$H$5002,2,FALSE))</f>
        <v>T</v>
      </c>
      <c r="H2807" s="454" t="str">
        <f>IF(D2807="","",VLOOKUP(F2807,製品マスタ!$G$5:$K$5002,5,FALSE))</f>
        <v>HLGKJV</v>
      </c>
      <c r="I2807" s="455" t="str">
        <f>IF(D2807="","",VLOOKUP(F2807,製品マスタ!$G$5:$L$5002,6,FALSE))</f>
        <v>メタルミー　ヘヤライン　銀消Ｖ</v>
      </c>
      <c r="J2807" s="480" t="s">
        <v>935</v>
      </c>
      <c r="K2807" s="455">
        <f>IF(D2807="","",VLOOKUP(D2807,契約台帳!$A$3:$L$4986,12,FALSE))</f>
        <v>50</v>
      </c>
      <c r="L2807" s="455" t="str">
        <f>IF(D2807="","",INDEX(製品マスタ!$Q$5:$Q$5002,MATCH('S4'!F2807&amp;'S4'!K2807,製品マスタ!$AO$5:$AO$5002,0)))</f>
        <v>HL-MAT</v>
      </c>
      <c r="M2807" s="481">
        <v>1005</v>
      </c>
      <c r="N2807" s="481">
        <v>4000</v>
      </c>
      <c r="O2807" s="482">
        <v>2</v>
      </c>
      <c r="P2807" s="483">
        <v>2</v>
      </c>
      <c r="Q2807" s="484">
        <v>45632</v>
      </c>
      <c r="R2807" s="461">
        <f ca="1">IF(D2807="","",IF(OFFSET(D2807,-1,0)&lt;&gt;"","",IF(OR(J2807="リード付け",J2807="巻足し",J2807="巻返しリード付け"),M2807,VLOOKUP(D2807,契約台帳!$A$3:$N$4986,14,FALSE))))</f>
        <v>1005</v>
      </c>
      <c r="S2807" s="462">
        <f ca="1">IF(D2807="","",IF(OFFSET(D2807,-1,0)&lt;&gt;"","",IF(OR(J2807="リード付け",J2807="巻足し",J2807="巻返しリード付け"),M2807,VLOOKUP(D2807,契約台帳!$A$3:$O$4986,15,FALSE))))</f>
        <v>1005</v>
      </c>
      <c r="T2807" s="463">
        <f ca="1">IF(D2807="","",IF(J2807="リード付け",N2807,IF(J2807="巻返しリード付け",N2807,IF(J2807="巻足し",N2807*P2807+OFFSET(N2807,1,0)*OFFSET(P2807,1,0),VLOOKUP(D2807,契約台帳!$A$3:$P$4986,16,FALSE)))))</f>
        <v>8000</v>
      </c>
      <c r="U2807" s="485">
        <v>1</v>
      </c>
      <c r="V2807" s="465">
        <f ca="1">IF(D2807="","",IF(OFFSET(D2807,-2,0)=D2807,"",VLOOKUP(D2807,契約台帳!$A$3:$R$4986,18,FALSE)))</f>
        <v>2</v>
      </c>
      <c r="W2807" s="454" t="str">
        <f ca="1">IF(D2807="","",IF(T2807="","",IF(OR(J2807="巻足し",J2807="巻返しリード付け"),"",IF(J2807="巻返し",VLOOKUP(F2807&amp;K2807&amp;M2807,製品マスタ!$M$5:$AD$5002,18,FALSE),IF(OR(J2807="リード付け",J2807="巻返しリード付け"),"原反コア",IF(J2807="スリット",VLOOKUP(F2807&amp;K2807&amp;R2807,製品マスタ!$N$5:$AD$5002,17,FALSE),""))))))</f>
        <v/>
      </c>
      <c r="X2807" s="454" t="str">
        <f ca="1">IF(D2807="","",IF(T2807="","",IF(J2807="巻足し","",IF(J2807="巻返し",VLOOKUP(F2807&amp;K2807&amp;M2807,製品マスタ!$M$5:$AE$5002,19,FALSE),IF(OR(J2807="リード付け",J2807="巻返しリード付け"),"",IF(J2807="スリット",VLOOKUP(F2807&amp;K2807&amp;R2807,製品マスタ!$N$5:$AE$5002,18,FALSE),""))))))</f>
        <v/>
      </c>
      <c r="Y2807" s="466">
        <f ca="1">IF(D2807="","",IF(T2807="","",VLOOKUP(D2807,契約台帳!$A$3:$Q$4986,17,FALSE)))</f>
        <v>2</v>
      </c>
      <c r="Z2807" s="454" t="str">
        <f ca="1">IF(D2807="","",IF(T2807="","",VLOOKUP(D2807,契約台帳!$A$3:$E$4986,5,FALSE)))</f>
        <v>リンテック㈱</v>
      </c>
      <c r="AA2807" s="484"/>
      <c r="AB2807" s="467" t="s">
        <v>3325</v>
      </c>
      <c r="AC2807" s="486"/>
      <c r="AD2807" s="487"/>
      <c r="AE2807" s="470"/>
      <c r="AF2807" s="488">
        <f>+M2807*N2807*O2807/1000</f>
        <v>8040</v>
      </c>
      <c r="AG2807" s="489"/>
      <c r="AH2807" s="483"/>
      <c r="AI2807" s="473"/>
      <c r="AJ2807" s="473"/>
      <c r="AK2807" s="473"/>
      <c r="AL2807" s="473"/>
      <c r="AM2807" s="474"/>
      <c r="AN2807" s="474"/>
      <c r="AO2807" s="474"/>
      <c r="AP2807" s="474"/>
      <c r="AQ2807" s="474"/>
      <c r="AR2807" s="475"/>
      <c r="AS2807" s="476"/>
    </row>
    <row r="2808" spans="1:45" s="477" customFormat="1" ht="30.95" customHeight="1" x14ac:dyDescent="0.2">
      <c r="A2808" s="449"/>
      <c r="B2808" s="450"/>
      <c r="C2808" s="451"/>
      <c r="D2808" s="452"/>
      <c r="E2808" s="452"/>
      <c r="F2808" s="453"/>
      <c r="G2808" s="454"/>
      <c r="H2808" s="454"/>
      <c r="I2808" s="455"/>
      <c r="J2808" s="456"/>
      <c r="K2808" s="455"/>
      <c r="L2808" s="455"/>
      <c r="M2808" s="457"/>
      <c r="N2808" s="457"/>
      <c r="O2808" s="458"/>
      <c r="P2808" s="459"/>
      <c r="Q2808" s="460"/>
      <c r="R2808" s="461"/>
      <c r="S2808" s="462"/>
      <c r="T2808" s="463"/>
      <c r="U2808" s="464"/>
      <c r="V2808" s="465"/>
      <c r="W2808" s="454"/>
      <c r="X2808" s="454"/>
      <c r="Y2808" s="466"/>
      <c r="Z2808" s="454"/>
      <c r="AA2808" s="460"/>
      <c r="AB2808" s="467"/>
      <c r="AC2808" s="468"/>
      <c r="AD2808" s="469"/>
      <c r="AE2808" s="470"/>
      <c r="AF2808" s="471"/>
      <c r="AG2808" s="472"/>
      <c r="AH2808" s="459"/>
      <c r="AI2808" s="473"/>
      <c r="AJ2808" s="473"/>
      <c r="AK2808" s="473"/>
      <c r="AL2808" s="473"/>
      <c r="AM2808" s="474"/>
      <c r="AN2808" s="474"/>
      <c r="AO2808" s="474"/>
      <c r="AP2808" s="474"/>
      <c r="AQ2808" s="474"/>
      <c r="AR2808" s="475"/>
      <c r="AS2808" s="476"/>
    </row>
    <row r="2809" spans="1:45" s="477" customFormat="1" ht="30.6" customHeight="1" x14ac:dyDescent="0.2">
      <c r="A2809" s="449"/>
      <c r="B2809" s="450"/>
      <c r="C2809" s="478"/>
      <c r="D2809" s="479">
        <v>3790269</v>
      </c>
      <c r="E2809" s="479">
        <v>4162877</v>
      </c>
      <c r="F2809" s="453" t="str">
        <f>IF(D2809="","",VLOOKUP(D2809,契約台帳!$A$3:$K$4986,6,FALSE)&amp;VLOOKUP(D2809,契約台帳!$A$3:$K$4986,7,FALSE)&amp;VLOOKUP(D2809,契約台帳!$A$3:$K$4986,8,FALSE)&amp;VLOOKUP(D2809,契約台帳!$A$3:$K$4986,9,FALSE)&amp;VLOOKUP(D2809,契約台帳!$A$3:$K$4986,11,FALSE))</f>
        <v>3TNMCLBHLGTV</v>
      </c>
      <c r="G2809" s="454" t="str">
        <f>IF(D2809="","",VLOOKUP(F2809,製品マスタ!$G$5:$H$5002,2,FALSE))</f>
        <v>T</v>
      </c>
      <c r="H2809" s="454" t="str">
        <f>IF(D2809="","",VLOOKUP(F2809,製品マスタ!$G$5:$K$5002,5,FALSE))</f>
        <v>HLGTV</v>
      </c>
      <c r="I2809" s="455" t="str">
        <f>IF(D2809="","",VLOOKUP(F2809,製品マスタ!$G$5:$L$5002,6,FALSE))</f>
        <v>メタルミー　ヘヤライン　銀艶Ｖ</v>
      </c>
      <c r="J2809" s="480" t="s">
        <v>935</v>
      </c>
      <c r="K2809" s="455">
        <f>IF(D2809="","",VLOOKUP(D2809,契約台帳!$A$3:$L$4986,12,FALSE))</f>
        <v>50</v>
      </c>
      <c r="L2809" s="455" t="str">
        <f>IF(D2809="","",INDEX(製品マスタ!$Q$5:$Q$5002,MATCH('S4'!F2809&amp;'S4'!K2809,製品マスタ!$AO$5:$AO$5002,0)))</f>
        <v>BRIGHT</v>
      </c>
      <c r="M2809" s="481">
        <v>1005</v>
      </c>
      <c r="N2809" s="481">
        <v>4100</v>
      </c>
      <c r="O2809" s="482">
        <v>3</v>
      </c>
      <c r="P2809" s="483">
        <v>3</v>
      </c>
      <c r="Q2809" s="484">
        <v>45632</v>
      </c>
      <c r="R2809" s="461">
        <f ca="1">IF(D2809="","",IF(OFFSET(D2809,-1,0)&lt;&gt;"","",IF(OR(J2809="リード付け",J2809="巻足し",J2809="巻返しリード付け"),M2809,VLOOKUP(D2809,契約台帳!$A$3:$N$4986,14,FALSE))))</f>
        <v>1005</v>
      </c>
      <c r="S2809" s="462">
        <f ca="1">IF(D2809="","",IF(OFFSET(D2809,-1,0)&lt;&gt;"","",IF(OR(J2809="リード付け",J2809="巻足し",J2809="巻返しリード付け"),M2809,VLOOKUP(D2809,契約台帳!$A$3:$O$4986,15,FALSE))))</f>
        <v>1005</v>
      </c>
      <c r="T2809" s="463">
        <f ca="1">IF(D2809="","",IF(J2809="リード付け",N2809,IF(J2809="巻返しリード付け",N2809,IF(J2809="巻足し",N2809*P2809+OFFSET(N2809,1,0)*OFFSET(P2809,1,0),VLOOKUP(D2809,契約台帳!$A$3:$P$4986,16,FALSE)))))</f>
        <v>12300</v>
      </c>
      <c r="U2809" s="485">
        <v>1</v>
      </c>
      <c r="V2809" s="465">
        <f ca="1">IF(D2809="","",IF(OFFSET(D2809,-2,0)=D2809,"",VLOOKUP(D2809,契約台帳!$A$3:$R$4986,18,FALSE)))</f>
        <v>3</v>
      </c>
      <c r="W2809" s="454" t="str">
        <f ca="1">IF(D2809="","",IF(T2809="","",IF(OR(J2809="巻足し",J2809="巻返しリード付け"),"",IF(J2809="巻返し",VLOOKUP(F2809&amp;K2809&amp;M2809,製品マスタ!$M$5:$AD$5002,18,FALSE),IF(OR(J2809="リード付け",J2809="巻返しリード付け"),"原反コア",IF(J2809="スリット",VLOOKUP(F2809&amp;K2809&amp;R2809,製品マスタ!$N$5:$AD$5002,17,FALSE),""))))))</f>
        <v/>
      </c>
      <c r="X2809" s="454" t="str">
        <f ca="1">IF(D2809="","",IF(T2809="","",IF(J2809="巻足し","",IF(J2809="巻返し",VLOOKUP(F2809&amp;K2809&amp;M2809,製品マスタ!$M$5:$AE$5002,19,FALSE),IF(OR(J2809="リード付け",J2809="巻返しリード付け"),"",IF(J2809="スリット",VLOOKUP(F2809&amp;K2809&amp;R2809,製品マスタ!$N$5:$AE$5002,18,FALSE),""))))))</f>
        <v/>
      </c>
      <c r="Y2809" s="466">
        <f ca="1">IF(D2809="","",IF(T2809="","",VLOOKUP(D2809,契約台帳!$A$3:$Q$4986,17,FALSE)))</f>
        <v>2</v>
      </c>
      <c r="Z2809" s="454" t="str">
        <f ca="1">IF(D2809="","",IF(T2809="","",VLOOKUP(D2809,契約台帳!$A$3:$E$4986,5,FALSE)))</f>
        <v>リンテック㈱</v>
      </c>
      <c r="AA2809" s="484"/>
      <c r="AB2809" s="467" t="s">
        <v>3325</v>
      </c>
      <c r="AC2809" s="486"/>
      <c r="AD2809" s="487"/>
      <c r="AE2809" s="470"/>
      <c r="AF2809" s="488">
        <f>+M2809*N2809*O2809/1000</f>
        <v>12361.5</v>
      </c>
      <c r="AG2809" s="489"/>
      <c r="AH2809" s="483"/>
      <c r="AI2809" s="473"/>
      <c r="AJ2809" s="473"/>
      <c r="AK2809" s="473"/>
      <c r="AL2809" s="473"/>
      <c r="AM2809" s="474"/>
      <c r="AN2809" s="474"/>
      <c r="AO2809" s="474"/>
      <c r="AP2809" s="474"/>
      <c r="AQ2809" s="474"/>
      <c r="AR2809" s="475"/>
      <c r="AS2809" s="476"/>
    </row>
    <row r="2810" spans="1:45" s="477" customFormat="1" ht="30.95" customHeight="1" x14ac:dyDescent="0.2">
      <c r="A2810" s="449"/>
      <c r="B2810" s="450"/>
      <c r="C2810" s="451"/>
      <c r="D2810" s="452"/>
      <c r="E2810" s="452"/>
      <c r="F2810" s="453"/>
      <c r="G2810" s="454"/>
      <c r="H2810" s="454"/>
      <c r="I2810" s="455"/>
      <c r="J2810" s="456"/>
      <c r="K2810" s="455"/>
      <c r="L2810" s="455"/>
      <c r="M2810" s="457"/>
      <c r="N2810" s="457"/>
      <c r="O2810" s="458"/>
      <c r="P2810" s="459"/>
      <c r="Q2810" s="460"/>
      <c r="R2810" s="461"/>
      <c r="S2810" s="462"/>
      <c r="T2810" s="463"/>
      <c r="U2810" s="464"/>
      <c r="V2810" s="465"/>
      <c r="W2810" s="454"/>
      <c r="X2810" s="454"/>
      <c r="Y2810" s="466"/>
      <c r="Z2810" s="454"/>
      <c r="AA2810" s="460"/>
      <c r="AB2810" s="467"/>
      <c r="AC2810" s="468"/>
      <c r="AD2810" s="469"/>
      <c r="AE2810" s="470"/>
      <c r="AF2810" s="471"/>
      <c r="AG2810" s="472"/>
      <c r="AH2810" s="459"/>
      <c r="AI2810" s="473"/>
      <c r="AJ2810" s="473"/>
      <c r="AK2810" s="473"/>
      <c r="AL2810" s="473"/>
      <c r="AM2810" s="474"/>
      <c r="AN2810" s="474"/>
      <c r="AO2810" s="474"/>
      <c r="AP2810" s="474"/>
      <c r="AQ2810" s="474"/>
      <c r="AR2810" s="475"/>
      <c r="AS2810" s="476"/>
    </row>
    <row r="2811" spans="1:45" s="477" customFormat="1" ht="30.6" customHeight="1" x14ac:dyDescent="0.2">
      <c r="A2811" s="449"/>
      <c r="B2811" s="450"/>
      <c r="C2811" s="478"/>
      <c r="D2811" s="479">
        <v>3790268</v>
      </c>
      <c r="E2811" s="479">
        <v>4162876</v>
      </c>
      <c r="F2811" s="453" t="str">
        <f>IF(D2811="","",VLOOKUP(D2811,契約台帳!$A$3:$K$4986,6,FALSE)&amp;VLOOKUP(D2811,契約台帳!$A$3:$K$4986,7,FALSE)&amp;VLOOKUP(D2811,契約台帳!$A$3:$K$4986,8,FALSE)&amp;VLOOKUP(D2811,契約台帳!$A$3:$K$4986,9,FALSE)&amp;VLOOKUP(D2811,契約台帳!$A$3:$K$4986,11,FALSE))</f>
        <v>3TNMCLBHLGTV</v>
      </c>
      <c r="G2811" s="454" t="str">
        <f>IF(D2811="","",VLOOKUP(F2811,製品マスタ!$G$5:$H$5002,2,FALSE))</f>
        <v>T</v>
      </c>
      <c r="H2811" s="454" t="str">
        <f>IF(D2811="","",VLOOKUP(F2811,製品マスタ!$G$5:$K$5002,5,FALSE))</f>
        <v>HLGTV</v>
      </c>
      <c r="I2811" s="455" t="str">
        <f>IF(D2811="","",VLOOKUP(F2811,製品マスタ!$G$5:$L$5002,6,FALSE))</f>
        <v>メタルミー　ヘヤライン　銀艶Ｖ</v>
      </c>
      <c r="J2811" s="480" t="s">
        <v>3128</v>
      </c>
      <c r="K2811" s="455">
        <f>IF(D2811="","",VLOOKUP(D2811,契約台帳!$A$3:$L$4986,12,FALSE))</f>
        <v>25</v>
      </c>
      <c r="L2811" s="455" t="str">
        <f>IF(D2811="","",INDEX(製品マスタ!$Q$5:$Q$5002,MATCH('S4'!F2811&amp;'S4'!K2811,製品マスタ!$AO$5:$AO$5002,0)))</f>
        <v>BRIGHT</v>
      </c>
      <c r="M2811" s="481">
        <v>1005</v>
      </c>
      <c r="N2811" s="481">
        <v>8000</v>
      </c>
      <c r="O2811" s="482">
        <v>1</v>
      </c>
      <c r="P2811" s="483">
        <v>1</v>
      </c>
      <c r="Q2811" s="484">
        <v>45632</v>
      </c>
      <c r="R2811" s="461">
        <f ca="1">IF(D2811="","",IF(OFFSET(D2811,-1,0)&lt;&gt;"","",IF(OR(J2811="リード付け",J2811="巻足し",J2811="巻返しリード付け"),M2811,VLOOKUP(D2811,契約台帳!$A$3:$N$4986,14,FALSE))))</f>
        <v>1005</v>
      </c>
      <c r="S2811" s="462">
        <f ca="1">IF(D2811="","",IF(OFFSET(D2811,-1,0)&lt;&gt;"","",IF(OR(J2811="リード付け",J2811="巻足し",J2811="巻返しリード付け"),M2811,VLOOKUP(D2811,契約台帳!$A$3:$O$4986,15,FALSE))))</f>
        <v>1000</v>
      </c>
      <c r="T2811" s="463">
        <f ca="1">IF(D2811="","",IF(J2811="リード付け",N2811,IF(J2811="巻返しリード付け",N2811,IF(J2811="巻足し",N2811*P2811+OFFSET(N2811,1,0)*OFFSET(P2811,1,0),VLOOKUP(D2811,契約台帳!$A$3:$P$4986,16,FALSE)))))</f>
        <v>2000</v>
      </c>
      <c r="U2811" s="485">
        <v>1</v>
      </c>
      <c r="V2811" s="465">
        <f ca="1">IF(D2811="","",IF(OFFSET(D2811,-2,0)=D2811,"",VLOOKUP(D2811,契約台帳!$A$3:$R$4986,18,FALSE)))</f>
        <v>4</v>
      </c>
      <c r="W2811" s="454" t="str">
        <f ca="1">IF(D2811="","",IF(T2811="","",IF(OR(J2811="巻足し",J2811="巻返しリード付け"),"",IF(J2811="巻返し",VLOOKUP(F2811&amp;K2811&amp;M2811,製品マスタ!$M$5:$AD$5002,18,FALSE),IF(OR(J2811="リード付け",J2811="巻返しリード付け"),"原反コア",IF(J2811="スリット",VLOOKUP(F2811&amp;K2811&amp;R2811,製品マスタ!$N$5:$AD$5002,17,FALSE),""))))))</f>
        <v/>
      </c>
      <c r="X2811" s="454" t="str">
        <f ca="1">IF(D2811="","",IF(T2811="","",IF(J2811="巻足し","",IF(J2811="巻返し",VLOOKUP(F2811&amp;K2811&amp;M2811,製品マスタ!$M$5:$AE$5002,19,FALSE),IF(OR(J2811="リード付け",J2811="巻返しリード付け"),"",IF(J2811="スリット",VLOOKUP(F2811&amp;K2811&amp;R2811,製品マスタ!$N$5:$AE$5002,18,FALSE),""))))))</f>
        <v/>
      </c>
      <c r="Y2811" s="466">
        <f ca="1">IF(D2811="","",IF(T2811="","",VLOOKUP(D2811,契約台帳!$A$3:$Q$4986,17,FALSE)))</f>
        <v>2</v>
      </c>
      <c r="Z2811" s="454" t="str">
        <f ca="1">IF(D2811="","",IF(T2811="","",VLOOKUP(D2811,契約台帳!$A$3:$E$4986,5,FALSE)))</f>
        <v>リンテック㈱</v>
      </c>
      <c r="AA2811" s="484"/>
      <c r="AB2811" s="467" t="s">
        <v>3325</v>
      </c>
      <c r="AC2811" s="486"/>
      <c r="AD2811" s="487"/>
      <c r="AE2811" s="470"/>
      <c r="AF2811" s="488">
        <f>+M2811*N2811*O2811/1000</f>
        <v>8040</v>
      </c>
      <c r="AG2811" s="489"/>
      <c r="AH2811" s="483"/>
      <c r="AI2811" s="473"/>
      <c r="AJ2811" s="473"/>
      <c r="AK2811" s="473"/>
      <c r="AL2811" s="473"/>
      <c r="AM2811" s="474"/>
      <c r="AN2811" s="474"/>
      <c r="AO2811" s="474"/>
      <c r="AP2811" s="474"/>
      <c r="AQ2811" s="474"/>
      <c r="AR2811" s="475"/>
      <c r="AS2811" s="476"/>
    </row>
    <row r="2812" spans="1:45" s="477" customFormat="1" ht="30.95" customHeight="1" x14ac:dyDescent="0.2">
      <c r="A2812" s="449"/>
      <c r="B2812" s="450"/>
      <c r="C2812" s="451"/>
      <c r="D2812" s="452"/>
      <c r="E2812" s="452"/>
      <c r="F2812" s="453"/>
      <c r="G2812" s="454"/>
      <c r="H2812" s="454"/>
      <c r="I2812" s="455"/>
      <c r="J2812" s="456"/>
      <c r="K2812" s="455"/>
      <c r="L2812" s="455"/>
      <c r="M2812" s="457"/>
      <c r="N2812" s="457"/>
      <c r="O2812" s="458"/>
      <c r="P2812" s="459"/>
      <c r="Q2812" s="460"/>
      <c r="R2812" s="461"/>
      <c r="S2812" s="462"/>
      <c r="T2812" s="463"/>
      <c r="U2812" s="464"/>
      <c r="V2812" s="465"/>
      <c r="W2812" s="454"/>
      <c r="X2812" s="454"/>
      <c r="Y2812" s="466"/>
      <c r="Z2812" s="454"/>
      <c r="AA2812" s="460"/>
      <c r="AB2812" s="467"/>
      <c r="AC2812" s="468"/>
      <c r="AD2812" s="469"/>
      <c r="AE2812" s="470"/>
      <c r="AF2812" s="471"/>
      <c r="AG2812" s="472"/>
      <c r="AH2812" s="459"/>
      <c r="AI2812" s="473"/>
      <c r="AJ2812" s="473"/>
      <c r="AK2812" s="473"/>
      <c r="AL2812" s="473"/>
      <c r="AM2812" s="474"/>
      <c r="AN2812" s="474"/>
      <c r="AO2812" s="474"/>
      <c r="AP2812" s="474"/>
      <c r="AQ2812" s="474"/>
      <c r="AR2812" s="475"/>
      <c r="AS2812" s="476"/>
    </row>
    <row r="2813" spans="1:45" s="477" customFormat="1" ht="30.6" customHeight="1" x14ac:dyDescent="0.2">
      <c r="A2813" s="449"/>
      <c r="B2813" s="450"/>
      <c r="C2813" s="478"/>
      <c r="D2813" s="479">
        <v>3790259</v>
      </c>
      <c r="E2813" s="479">
        <v>4162850</v>
      </c>
      <c r="F2813" s="453" t="str">
        <f>IF(D2813="","",VLOOKUP(D2813,契約台帳!$A$3:$K$4986,6,FALSE)&amp;VLOOKUP(D2813,契約台帳!$A$3:$K$4986,7,FALSE)&amp;VLOOKUP(D2813,契約台帳!$A$3:$K$4986,8,FALSE)&amp;VLOOKUP(D2813,契約台帳!$A$3:$K$4986,9,FALSE)&amp;VLOOKUP(D2813,契約台帳!$A$3:$K$4986,11,FALSE))</f>
        <v>3SNMLBMNNGKBF</v>
      </c>
      <c r="G2813" s="454" t="str">
        <f>IF(D2813="","",VLOOKUP(F2813,製品マスタ!$G$5:$H$5002,2,FALSE))</f>
        <v>S</v>
      </c>
      <c r="H2813" s="454" t="str">
        <f>IF(D2813="","",VLOOKUP(F2813,製品マスタ!$G$5:$K$5002,5,FALSE))</f>
        <v>MNNGKBF</v>
      </c>
      <c r="I2813" s="455" t="str">
        <f>IF(D2813="","",VLOOKUP(F2813,製品マスタ!$G$5:$L$5002,6,FALSE))</f>
        <v>メタルミー　ニューネーマー銀消　Ｂ</v>
      </c>
      <c r="J2813" s="480" t="s">
        <v>935</v>
      </c>
      <c r="K2813" s="455">
        <f>IF(D2813="","",VLOOKUP(D2813,契約台帳!$A$3:$L$4986,12,FALSE))</f>
        <v>50</v>
      </c>
      <c r="L2813" s="455" t="str">
        <f>IF(D2813="","",INDEX(製品マスタ!$Q$5:$Q$5002,MATCH('S4'!F2813&amp;'S4'!K2813,製品マスタ!$AO$5:$AO$5002,0)))</f>
        <v>X44</v>
      </c>
      <c r="M2813" s="481">
        <v>1000</v>
      </c>
      <c r="N2813" s="481">
        <v>4000</v>
      </c>
      <c r="O2813" s="482">
        <v>15</v>
      </c>
      <c r="P2813" s="483">
        <v>3</v>
      </c>
      <c r="Q2813" s="484">
        <v>45635</v>
      </c>
      <c r="R2813" s="461">
        <f ca="1">IF(D2813="","",IF(OFFSET(D2813,-1,0)&lt;&gt;"","",IF(OR(J2813="リード付け",J2813="巻足し",J2813="巻返しリード付け"),M2813,VLOOKUP(D2813,契約台帳!$A$3:$N$4986,14,FALSE))))</f>
        <v>1000</v>
      </c>
      <c r="S2813" s="462">
        <f ca="1">IF(D2813="","",IF(OFFSET(D2813,-1,0)&lt;&gt;"","",IF(OR(J2813="リード付け",J2813="巻足し",J2813="巻返しリード付け"),M2813,VLOOKUP(D2813,契約台帳!$A$3:$O$4986,15,FALSE))))</f>
        <v>1000</v>
      </c>
      <c r="T2813" s="463">
        <f ca="1">IF(D2813="","",IF(J2813="リード付け",N2813,IF(J2813="巻返しリード付け",N2813,IF(J2813="巻足し",N2813*P2813+OFFSET(N2813,1,0)*OFFSET(P2813,1,0),VLOOKUP(D2813,契約台帳!$A$3:$P$4986,16,FALSE)))))</f>
        <v>12000</v>
      </c>
      <c r="U2813" s="485">
        <v>5</v>
      </c>
      <c r="V2813" s="465">
        <f ca="1">IF(D2813="","",IF(OFFSET(D2813,-2,0)=D2813,"",VLOOKUP(D2813,契約台帳!$A$3:$R$4986,18,FALSE)))</f>
        <v>15</v>
      </c>
      <c r="W2813" s="454" t="str">
        <f ca="1">IF(D2813="","",IF(T2813="","",IF(OR(J2813="巻足し",J2813="巻返しリード付け"),"",IF(J2813="巻返し",VLOOKUP(F2813&amp;K2813&amp;M2813,製品マスタ!$M$5:$AD$5002,18,FALSE),IF(OR(J2813="リード付け",J2813="巻返しリード付け"),"原反コア",IF(J2813="スリット",VLOOKUP(F2813&amp;K2813&amp;R2813,製品マスタ!$N$5:$AD$5002,17,FALSE),""))))))</f>
        <v/>
      </c>
      <c r="X2813" s="454" t="str">
        <f ca="1">IF(D2813="","",IF(T2813="","",IF(J2813="巻足し","",IF(J2813="巻返し",VLOOKUP(F2813&amp;K2813&amp;M2813,製品マスタ!$M$5:$AE$5002,19,FALSE),IF(OR(J2813="リード付け",J2813="巻返しリード付け"),"",IF(J2813="スリット",VLOOKUP(F2813&amp;K2813&amp;R2813,製品マスタ!$N$5:$AE$5002,18,FALSE),""))))))</f>
        <v/>
      </c>
      <c r="Y2813" s="466">
        <f ca="1">IF(D2813="","",IF(T2813="","",VLOOKUP(D2813,契約台帳!$A$3:$Q$4986,17,FALSE)))</f>
        <v>2</v>
      </c>
      <c r="Z2813" s="454" t="str">
        <f ca="1">IF(D2813="","",IF(T2813="","",VLOOKUP(D2813,契約台帳!$A$3:$E$4986,5,FALSE)))</f>
        <v>リンテック㈱</v>
      </c>
      <c r="AA2813" s="484"/>
      <c r="AB2813" s="467" t="str">
        <f>IFERROR((VLOOKUP(F2813&amp;K2813&amp;M2813,製品マスタ!$M$5:$AM$5002,27,FALSE)),"")</f>
        <v>原反ケース再利用</v>
      </c>
      <c r="AC2813" s="486"/>
      <c r="AD2813" s="487"/>
      <c r="AE2813" s="470"/>
      <c r="AF2813" s="488">
        <f>+M2813*N2813*O2813/1000</f>
        <v>60000</v>
      </c>
      <c r="AG2813" s="489"/>
      <c r="AH2813" s="483"/>
      <c r="AI2813" s="473"/>
      <c r="AJ2813" s="473"/>
      <c r="AK2813" s="473"/>
      <c r="AL2813" s="473"/>
      <c r="AM2813" s="474"/>
      <c r="AN2813" s="474"/>
      <c r="AO2813" s="474"/>
      <c r="AP2813" s="474"/>
      <c r="AQ2813" s="474"/>
      <c r="AR2813" s="475"/>
      <c r="AS2813" s="476"/>
    </row>
    <row r="2814" spans="1:45" s="477" customFormat="1" ht="30.95" customHeight="1" x14ac:dyDescent="0.2">
      <c r="A2814" s="449"/>
      <c r="B2814" s="450"/>
      <c r="C2814" s="451"/>
      <c r="D2814" s="452"/>
      <c r="E2814" s="452"/>
      <c r="F2814" s="453"/>
      <c r="G2814" s="454"/>
      <c r="H2814" s="454"/>
      <c r="I2814" s="455"/>
      <c r="J2814" s="456"/>
      <c r="K2814" s="455"/>
      <c r="L2814" s="455"/>
      <c r="M2814" s="457"/>
      <c r="N2814" s="457"/>
      <c r="O2814" s="458"/>
      <c r="P2814" s="459"/>
      <c r="Q2814" s="460"/>
      <c r="R2814" s="461"/>
      <c r="S2814" s="462"/>
      <c r="T2814" s="463"/>
      <c r="U2814" s="464"/>
      <c r="V2814" s="465"/>
      <c r="W2814" s="454"/>
      <c r="X2814" s="454"/>
      <c r="Y2814" s="466"/>
      <c r="Z2814" s="454"/>
      <c r="AA2814" s="460"/>
      <c r="AB2814" s="467"/>
      <c r="AC2814" s="468"/>
      <c r="AD2814" s="469"/>
      <c r="AE2814" s="470"/>
      <c r="AF2814" s="471"/>
      <c r="AG2814" s="472"/>
      <c r="AH2814" s="459"/>
      <c r="AI2814" s="473"/>
      <c r="AJ2814" s="473"/>
      <c r="AK2814" s="473"/>
      <c r="AL2814" s="473"/>
      <c r="AM2814" s="474"/>
      <c r="AN2814" s="474"/>
      <c r="AO2814" s="474"/>
      <c r="AP2814" s="474"/>
      <c r="AQ2814" s="474"/>
      <c r="AR2814" s="475"/>
      <c r="AS2814" s="476"/>
    </row>
    <row r="2815" spans="1:45" s="477" customFormat="1" ht="30.6" customHeight="1" x14ac:dyDescent="0.2">
      <c r="A2815" s="449" t="s">
        <v>3422</v>
      </c>
      <c r="B2815" s="450" t="s">
        <v>3423</v>
      </c>
      <c r="C2815" s="478"/>
      <c r="D2815" s="479">
        <v>3790270</v>
      </c>
      <c r="E2815" s="479">
        <v>4162858</v>
      </c>
      <c r="F2815" s="453" t="str">
        <f>IF(D2815="","",VLOOKUP(D2815,契約台帳!$A$3:$K$4986,6,FALSE)&amp;VLOOKUP(D2815,契約台帳!$A$3:$K$4986,7,FALSE)&amp;VLOOKUP(D2815,契約台帳!$A$3:$K$4986,8,FALSE)&amp;VLOOKUP(D2815,契約台帳!$A$3:$K$4986,9,FALSE)&amp;VLOOKUP(D2815,契約台帳!$A$3:$K$4986,11,FALSE))</f>
        <v>3SYMLBMSNMBF</v>
      </c>
      <c r="G2815" s="454" t="str">
        <f>IF(D2815="","",VLOOKUP(F2815,製品マスタ!$G$5:$H$5002,2,FALSE))</f>
        <v>S</v>
      </c>
      <c r="H2815" s="454" t="str">
        <f>IF(D2815="","",VLOOKUP(F2815,製品マスタ!$G$5:$K$5002,5,FALSE))</f>
        <v>MSNMBF</v>
      </c>
      <c r="I2815" s="455" t="str">
        <f>IF(D2815="","",VLOOKUP(F2815,製品マスタ!$G$5:$L$5002,6,FALSE))</f>
        <v>ＭＥＴＡＬＵＭＹ　ＳＩＬＶＥＲ　Ｎ－ＭＡＴＴＥ　Ｘ４４Ｍ　Ｂ</v>
      </c>
      <c r="J2815" s="480" t="s">
        <v>935</v>
      </c>
      <c r="K2815" s="455">
        <f>IF(D2815="","",VLOOKUP(D2815,契約台帳!$A$3:$L$4986,12,FALSE))</f>
        <v>50</v>
      </c>
      <c r="L2815" s="455" t="str">
        <f>IF(D2815="","",INDEX(製品マスタ!$Q$5:$Q$5002,MATCH('S4'!F2815&amp;'S4'!K2815,製品マスタ!$AO$5:$AO$5002,0)))</f>
        <v>X44</v>
      </c>
      <c r="M2815" s="481">
        <v>1120</v>
      </c>
      <c r="N2815" s="481">
        <v>4000</v>
      </c>
      <c r="O2815" s="482">
        <v>6</v>
      </c>
      <c r="P2815" s="483">
        <v>3</v>
      </c>
      <c r="Q2815" s="484">
        <v>45635</v>
      </c>
      <c r="R2815" s="461">
        <f ca="1">IF(D2815="","",IF(OFFSET(D2815,-1,0)&lt;&gt;"","",IF(OR(J2815="リード付け",J2815="巻足し",J2815="巻返しリード付け"),M2815,VLOOKUP(D2815,契約台帳!$A$3:$N$4986,14,FALSE))))</f>
        <v>1120</v>
      </c>
      <c r="S2815" s="462">
        <f ca="1">IF(D2815="","",IF(OFFSET(D2815,-1,0)&lt;&gt;"","",IF(OR(J2815="リード付け",J2815="巻足し",J2815="巻返しリード付け"),M2815,VLOOKUP(D2815,契約台帳!$A$3:$O$4986,15,FALSE))))</f>
        <v>1120</v>
      </c>
      <c r="T2815" s="463">
        <f ca="1">IF(D2815="","",IF(J2815="リード付け",N2815,IF(J2815="巻返しリード付け",N2815,IF(J2815="巻足し",N2815*P2815+OFFSET(N2815,1,0)*OFFSET(P2815,1,0),VLOOKUP(D2815,契約台帳!$A$3:$P$4986,16,FALSE)))))</f>
        <v>12000</v>
      </c>
      <c r="U2815" s="485">
        <v>2</v>
      </c>
      <c r="V2815" s="465">
        <f ca="1">IF(D2815="","",IF(OFFSET(D2815,-2,0)=D2815,"",VLOOKUP(D2815,契約台帳!$A$3:$R$4986,18,FALSE)))</f>
        <v>8</v>
      </c>
      <c r="W2815" s="454" t="str">
        <f ca="1">IF(D2815="","",IF(T2815="","",IF(OR(J2815="巻足し",J2815="巻返しリード付け"),"",IF(J2815="巻返し",VLOOKUP(F2815&amp;K2815&amp;M2815,製品マスタ!$M$5:$AD$5002,18,FALSE),IF(OR(J2815="リード付け",J2815="巻返しリード付け"),"原反コア",IF(J2815="スリット",VLOOKUP(F2815&amp;K2815&amp;R2815,製品マスタ!$N$5:$AD$5002,17,FALSE),""))))))</f>
        <v/>
      </c>
      <c r="X2815" s="454" t="str">
        <f ca="1">IF(D2815="","",IF(T2815="","",IF(J2815="巻足し","",IF(J2815="巻返し",VLOOKUP(F2815&amp;K2815&amp;M2815,製品マスタ!$M$5:$AE$5002,19,FALSE),IF(OR(J2815="リード付け",J2815="巻返しリード付け"),"",IF(J2815="スリット",VLOOKUP(F2815&amp;K2815&amp;R2815,製品マスタ!$N$5:$AE$5002,18,FALSE),""))))))</f>
        <v/>
      </c>
      <c r="Y2815" s="466">
        <f ca="1">IF(D2815="","",IF(T2815="","",VLOOKUP(D2815,契約台帳!$A$3:$Q$4986,17,FALSE)))</f>
        <v>2</v>
      </c>
      <c r="Z2815" s="454" t="str">
        <f ca="1">IF(D2815="","",IF(T2815="","",VLOOKUP(D2815,契約台帳!$A$3:$E$4986,5,FALSE)))</f>
        <v>リンテック㈱</v>
      </c>
      <c r="AA2815" s="484"/>
      <c r="AB2815" s="467">
        <f>IFERROR((VLOOKUP(F2815&amp;K2815&amp;M2815,製品マスタ!$M$5:$AM$5002,27,FALSE)),"")</f>
        <v>0</v>
      </c>
      <c r="AC2815" s="486"/>
      <c r="AD2815" s="487"/>
      <c r="AE2815" s="470"/>
      <c r="AF2815" s="488">
        <f>+M2815*N2815*O2815/1000</f>
        <v>26880</v>
      </c>
      <c r="AG2815" s="489"/>
      <c r="AH2815" s="483"/>
      <c r="AI2815" s="473"/>
      <c r="AJ2815" s="473"/>
      <c r="AK2815" s="473"/>
      <c r="AL2815" s="473"/>
      <c r="AM2815" s="474"/>
      <c r="AN2815" s="474"/>
      <c r="AO2815" s="474"/>
      <c r="AP2815" s="474"/>
      <c r="AQ2815" s="474"/>
      <c r="AR2815" s="475"/>
      <c r="AS2815" s="476"/>
    </row>
    <row r="2816" spans="1:45" s="477" customFormat="1" ht="30.95" customHeight="1" x14ac:dyDescent="0.2">
      <c r="A2816" s="449"/>
      <c r="B2816" s="450"/>
      <c r="C2816" s="451"/>
      <c r="D2816" s="452"/>
      <c r="E2816" s="452"/>
      <c r="F2816" s="453"/>
      <c r="G2816" s="454"/>
      <c r="H2816" s="454"/>
      <c r="I2816" s="455"/>
      <c r="J2816" s="456"/>
      <c r="K2816" s="455"/>
      <c r="L2816" s="455"/>
      <c r="M2816" s="457"/>
      <c r="N2816" s="457"/>
      <c r="O2816" s="458"/>
      <c r="P2816" s="459"/>
      <c r="Q2816" s="460"/>
      <c r="R2816" s="461"/>
      <c r="S2816" s="462"/>
      <c r="T2816" s="463"/>
      <c r="U2816" s="464"/>
      <c r="V2816" s="465"/>
      <c r="W2816" s="454"/>
      <c r="X2816" s="454"/>
      <c r="Y2816" s="466"/>
      <c r="Z2816" s="454"/>
      <c r="AA2816" s="460"/>
      <c r="AB2816" s="467"/>
      <c r="AC2816" s="468"/>
      <c r="AD2816" s="469"/>
      <c r="AE2816" s="470"/>
      <c r="AF2816" s="471"/>
      <c r="AG2816" s="472"/>
      <c r="AH2816" s="459"/>
      <c r="AI2816" s="473"/>
      <c r="AJ2816" s="473"/>
      <c r="AK2816" s="473"/>
      <c r="AL2816" s="473"/>
      <c r="AM2816" s="474"/>
      <c r="AN2816" s="474"/>
      <c r="AO2816" s="474"/>
      <c r="AP2816" s="474"/>
      <c r="AQ2816" s="474"/>
      <c r="AR2816" s="475"/>
      <c r="AS2816" s="476"/>
    </row>
    <row r="2817" spans="1:45" s="477" customFormat="1" ht="30.6" customHeight="1" x14ac:dyDescent="0.2">
      <c r="A2817" s="449"/>
      <c r="B2817" s="450"/>
      <c r="C2817" s="478"/>
      <c r="D2817" s="479">
        <v>3790270</v>
      </c>
      <c r="E2817" s="479">
        <v>4162858</v>
      </c>
      <c r="F2817" s="453" t="str">
        <f>IF(D2817="","",VLOOKUP(D2817,契約台帳!$A$3:$K$4986,6,FALSE)&amp;VLOOKUP(D2817,契約台帳!$A$3:$K$4986,7,FALSE)&amp;VLOOKUP(D2817,契約台帳!$A$3:$K$4986,8,FALSE)&amp;VLOOKUP(D2817,契約台帳!$A$3:$K$4986,9,FALSE)&amp;VLOOKUP(D2817,契約台帳!$A$3:$K$4986,11,FALSE))</f>
        <v>3SYMLBMSNMBF</v>
      </c>
      <c r="G2817" s="454" t="str">
        <f>IF(D2817="","",VLOOKUP(F2817,製品マスタ!$G$5:$H$5002,2,FALSE))</f>
        <v>S</v>
      </c>
      <c r="H2817" s="454" t="str">
        <f>IF(D2817="","",VLOOKUP(F2817,製品マスタ!$G$5:$K$5002,5,FALSE))</f>
        <v>MSNMBF</v>
      </c>
      <c r="I2817" s="455" t="str">
        <f>IF(D2817="","",VLOOKUP(F2817,製品マスタ!$G$5:$L$5002,6,FALSE))</f>
        <v>ＭＥＴＡＬＵＭＹ　ＳＩＬＶＥＲ　Ｎ－ＭＡＴＴＥ　Ｘ４４Ｍ　Ｂ</v>
      </c>
      <c r="J2817" s="480" t="s">
        <v>935</v>
      </c>
      <c r="K2817" s="455">
        <f>IF(D2817="","",VLOOKUP(D2817,契約台帳!$A$3:$L$4986,12,FALSE))</f>
        <v>50</v>
      </c>
      <c r="L2817" s="455" t="str">
        <f>IF(D2817="","",INDEX(製品マスタ!$Q$5:$Q$5002,MATCH('S4'!F2817&amp;'S4'!K2817,製品マスタ!$AO$5:$AO$5002,0)))</f>
        <v>X44</v>
      </c>
      <c r="M2817" s="481">
        <v>1120</v>
      </c>
      <c r="N2817" s="481">
        <v>4000</v>
      </c>
      <c r="O2817" s="482">
        <v>2</v>
      </c>
      <c r="P2817" s="483">
        <v>3</v>
      </c>
      <c r="Q2817" s="484">
        <v>45635</v>
      </c>
      <c r="R2817" s="461">
        <f ca="1">IF(D2817="","",IF(OFFSET(D2817,-1,0)&lt;&gt;"","",IF(OR(J2817="リード付け",J2817="巻足し",J2817="巻返しリード付け"),M2817,VLOOKUP(D2817,契約台帳!$A$3:$N$4986,14,FALSE))))</f>
        <v>1120</v>
      </c>
      <c r="S2817" s="462">
        <f ca="1">IF(D2817="","",IF(OFFSET(D2817,-1,0)&lt;&gt;"","",IF(OR(J2817="リード付け",J2817="巻足し",J2817="巻返しリード付け"),M2817,VLOOKUP(D2817,契約台帳!$A$3:$O$4986,15,FALSE))))</f>
        <v>1120</v>
      </c>
      <c r="T2817" s="463">
        <f ca="1">IF(D2817="","",IF(J2817="リード付け",N2817,IF(J2817="巻返しリード付け",N2817,IF(J2817="巻足し",N2817*P2817+OFFSET(N2817,1,0)*OFFSET(P2817,1,0),VLOOKUP(D2817,契約台帳!$A$3:$P$4986,16,FALSE)))))</f>
        <v>12000</v>
      </c>
      <c r="U2817" s="485">
        <v>1</v>
      </c>
      <c r="V2817" s="465" t="str">
        <f ca="1">IF(D2817="","",IF(OFFSET(D2817,-2,0)=D2817,"",VLOOKUP(D2817,契約台帳!$A$3:$R$4986,18,FALSE)))</f>
        <v/>
      </c>
      <c r="W2817" s="454" t="str">
        <f ca="1">IF(D2817="","",IF(T2817="","",IF(OR(J2817="巻足し",J2817="巻返しリード付け"),"",IF(J2817="巻返し",VLOOKUP(F2817&amp;K2817&amp;M2817,製品マスタ!$M$5:$AD$5002,18,FALSE),IF(OR(J2817="リード付け",J2817="巻返しリード付け"),"原反コア",IF(J2817="スリット",VLOOKUP(F2817&amp;K2817&amp;R2817,製品マスタ!$N$5:$AD$5002,17,FALSE),""))))))</f>
        <v/>
      </c>
      <c r="X2817" s="454" t="str">
        <f ca="1">IF(D2817="","",IF(T2817="","",IF(J2817="巻足し","",IF(J2817="巻返し",VLOOKUP(F2817&amp;K2817&amp;M2817,製品マスタ!$M$5:$AE$5002,19,FALSE),IF(OR(J2817="リード付け",J2817="巻返しリード付け"),"",IF(J2817="スリット",VLOOKUP(F2817&amp;K2817&amp;R2817,製品マスタ!$N$5:$AE$5002,18,FALSE),""))))))</f>
        <v/>
      </c>
      <c r="Y2817" s="466">
        <f ca="1">IF(D2817="","",IF(T2817="","",VLOOKUP(D2817,契約台帳!$A$3:$Q$4986,17,FALSE)))</f>
        <v>2</v>
      </c>
      <c r="Z2817" s="454" t="str">
        <f ca="1">IF(D2817="","",IF(T2817="","",VLOOKUP(D2817,契約台帳!$A$3:$E$4986,5,FALSE)))</f>
        <v>リンテック㈱</v>
      </c>
      <c r="AA2817" s="484"/>
      <c r="AB2817" s="467">
        <f>IFERROR((VLOOKUP(F2817&amp;K2817&amp;M2817,製品マスタ!$M$5:$AM$5002,27,FALSE)),"")</f>
        <v>0</v>
      </c>
      <c r="AC2817" s="486"/>
      <c r="AD2817" s="487"/>
      <c r="AE2817" s="470"/>
      <c r="AF2817" s="488">
        <f>+M2817*N2817*O2817/1000</f>
        <v>8960</v>
      </c>
      <c r="AG2817" s="489"/>
      <c r="AH2817" s="483"/>
      <c r="AI2817" s="473"/>
      <c r="AJ2817" s="473"/>
      <c r="AK2817" s="473"/>
      <c r="AL2817" s="473"/>
      <c r="AM2817" s="474"/>
      <c r="AN2817" s="474"/>
      <c r="AO2817" s="474"/>
      <c r="AP2817" s="474"/>
      <c r="AQ2817" s="474"/>
      <c r="AR2817" s="475"/>
      <c r="AS2817" s="476"/>
    </row>
    <row r="2818" spans="1:45" s="477" customFormat="1" ht="30.6" customHeight="1" x14ac:dyDescent="0.2">
      <c r="A2818" s="449"/>
      <c r="B2818" s="450"/>
      <c r="C2818" s="478"/>
      <c r="D2818" s="479">
        <v>3790274</v>
      </c>
      <c r="E2818" s="479">
        <v>4162859</v>
      </c>
      <c r="F2818" s="453" t="str">
        <f>IF(D2818="","",VLOOKUP(D2818,契約台帳!$A$3:$K$4986,6,FALSE)&amp;VLOOKUP(D2818,契約台帳!$A$3:$K$4986,7,FALSE)&amp;VLOOKUP(D2818,契約台帳!$A$3:$K$4986,8,FALSE)&amp;VLOOKUP(D2818,契約台帳!$A$3:$K$4986,9,FALSE)&amp;VLOOKUP(D2818,契約台帳!$A$3:$K$4986,11,FALSE))</f>
        <v>3SYMLBMSNMBF</v>
      </c>
      <c r="G2818" s="454" t="str">
        <f>IF(D2818="","",VLOOKUP(F2818,製品マスタ!$G$5:$H$5002,2,FALSE))</f>
        <v>S</v>
      </c>
      <c r="H2818" s="454" t="str">
        <f>IF(D2818="","",VLOOKUP(F2818,製品マスタ!$G$5:$K$5002,5,FALSE))</f>
        <v>MSNMBF</v>
      </c>
      <c r="I2818" s="455" t="str">
        <f>IF(D2818="","",VLOOKUP(F2818,製品マスタ!$G$5:$L$5002,6,FALSE))</f>
        <v>ＭＥＴＡＬＵＭＹ　ＳＩＬＶＥＲ　Ｎ－ＭＡＴＴＥ　Ｘ４４Ｍ　Ｂ</v>
      </c>
      <c r="J2818" s="480" t="s">
        <v>935</v>
      </c>
      <c r="K2818" s="455">
        <f>IF(D2818="","",VLOOKUP(D2818,契約台帳!$A$3:$L$4986,12,FALSE))</f>
        <v>50</v>
      </c>
      <c r="L2818" s="455" t="str">
        <f>IF(D2818="","",INDEX(製品マスタ!$Q$5:$Q$5002,MATCH('S4'!F2818&amp;'S4'!K2818,製品マスタ!$AO$5:$AO$5002,0)))</f>
        <v>X44</v>
      </c>
      <c r="M2818" s="481">
        <v>1120</v>
      </c>
      <c r="N2818" s="481">
        <v>4000</v>
      </c>
      <c r="O2818" s="482">
        <v>1</v>
      </c>
      <c r="P2818" s="483"/>
      <c r="Q2818" s="484">
        <v>45635</v>
      </c>
      <c r="R2818" s="461" t="str">
        <f ca="1">IF(D2818="","",IF(OFFSET(D2818,-1,0)&lt;&gt;"","",IF(OR(J2818="リード付け",J2818="巻足し",J2818="巻返しリード付け"),M2818,VLOOKUP(D2818,契約台帳!$A$3:$N$4986,14,FALSE))))</f>
        <v/>
      </c>
      <c r="S2818" s="462" t="str">
        <f ca="1">IF(D2818="","",IF(OFFSET(D2818,-1,0)&lt;&gt;"","",IF(OR(J2818="リード付け",J2818="巻足し",J2818="巻返しリード付け"),M2818,VLOOKUP(D2818,契約台帳!$A$3:$O$4986,15,FALSE))))</f>
        <v/>
      </c>
      <c r="T2818" s="463">
        <f ca="1">IF(D2818="","",IF(J2818="リード付け",N2818,IF(J2818="巻返しリード付け",N2818,IF(J2818="巻足し",N2818*P2818+OFFSET(N2818,1,0)*OFFSET(P2818,1,0),VLOOKUP(D2818,契約台帳!$A$3:$P$4986,16,FALSE)))))</f>
        <v>0</v>
      </c>
      <c r="U2818" s="485"/>
      <c r="V2818" s="465">
        <f ca="1">IF(D2818="","",IF(OFFSET(D2818,-2,0)=D2818,"",VLOOKUP(D2818,契約台帳!$A$3:$R$4986,18,FALSE)))</f>
        <v>2</v>
      </c>
      <c r="W2818" s="454" t="str">
        <f ca="1">IF(D2818="","",IF(T2818="","",IF(OR(J2818="巻足し",J2818="巻返しリード付け"),"",IF(J2818="巻返し",VLOOKUP(F2818&amp;K2818&amp;M2818,製品マスタ!$M$5:$AD$5002,18,FALSE),IF(OR(J2818="リード付け",J2818="巻返しリード付け"),"原反コア",IF(J2818="スリット",VLOOKUP(F2818&amp;K2818&amp;R2818,製品マスタ!$N$5:$AD$5002,17,FALSE),""))))))</f>
        <v/>
      </c>
      <c r="X2818" s="454" t="str">
        <f ca="1">IF(D2818="","",IF(T2818="","",IF(J2818="巻足し","",IF(J2818="巻返し",VLOOKUP(F2818&amp;K2818&amp;M2818,製品マスタ!$M$5:$AE$5002,19,FALSE),IF(OR(J2818="リード付け",J2818="巻返しリード付け"),"",IF(J2818="スリット",VLOOKUP(F2818&amp;K2818&amp;R2818,製品マスタ!$N$5:$AE$5002,18,FALSE),""))))))</f>
        <v/>
      </c>
      <c r="Y2818" s="466">
        <f ca="1">IF(D2818="","",IF(T2818="","",VLOOKUP(D2818,契約台帳!$A$3:$Q$4986,17,FALSE)))</f>
        <v>2</v>
      </c>
      <c r="Z2818" s="454" t="str">
        <f ca="1">IF(D2818="","",IF(T2818="","",VLOOKUP(D2818,契約台帳!$A$3:$E$4986,5,FALSE)))</f>
        <v>リンテック㈱</v>
      </c>
      <c r="AA2818" s="484"/>
      <c r="AB2818" s="467">
        <f>IFERROR((VLOOKUP(F2818&amp;K2818&amp;M2818,製品マスタ!$M$5:$AM$5002,27,FALSE)),"")</f>
        <v>0</v>
      </c>
      <c r="AC2818" s="486"/>
      <c r="AD2818" s="487"/>
      <c r="AE2818" s="470"/>
      <c r="AF2818" s="488">
        <f>+M2818*N2818*O2818/1000</f>
        <v>4480</v>
      </c>
      <c r="AG2818" s="489"/>
      <c r="AH2818" s="483"/>
      <c r="AI2818" s="473"/>
      <c r="AJ2818" s="473"/>
      <c r="AK2818" s="473"/>
      <c r="AL2818" s="473"/>
      <c r="AM2818" s="474"/>
      <c r="AN2818" s="474"/>
      <c r="AO2818" s="474"/>
      <c r="AP2818" s="474"/>
      <c r="AQ2818" s="474"/>
      <c r="AR2818" s="475"/>
      <c r="AS2818" s="476"/>
    </row>
    <row r="2819" spans="1:45" s="17" customFormat="1" ht="30.95" customHeight="1" x14ac:dyDescent="0.2">
      <c r="A2819" s="343"/>
      <c r="B2819" s="344"/>
      <c r="C2819" s="345"/>
      <c r="D2819" s="346"/>
      <c r="E2819" s="346"/>
      <c r="F2819" s="268"/>
      <c r="G2819" s="269"/>
      <c r="H2819" s="269"/>
      <c r="I2819" s="270"/>
      <c r="J2819" s="434"/>
      <c r="K2819" s="270"/>
      <c r="L2819" s="270"/>
      <c r="M2819" s="348"/>
      <c r="N2819" s="348"/>
      <c r="O2819" s="435"/>
      <c r="P2819" s="349"/>
      <c r="Q2819" s="350"/>
      <c r="R2819" s="271"/>
      <c r="S2819" s="272"/>
      <c r="T2819" s="273"/>
      <c r="U2819" s="351"/>
      <c r="V2819" s="274"/>
      <c r="W2819" s="269"/>
      <c r="X2819" s="269"/>
      <c r="Y2819" s="275"/>
      <c r="Z2819" s="269"/>
      <c r="AA2819" s="350"/>
      <c r="AB2819" s="207"/>
      <c r="AC2819" s="352"/>
      <c r="AD2819" s="353"/>
      <c r="AE2819" s="54"/>
      <c r="AF2819" s="354"/>
      <c r="AG2819" s="355"/>
      <c r="AH2819" s="349"/>
      <c r="AI2819" s="30"/>
      <c r="AJ2819" s="30"/>
      <c r="AK2819" s="30"/>
      <c r="AL2819" s="30"/>
      <c r="AM2819" s="13"/>
      <c r="AN2819" s="13"/>
      <c r="AO2819" s="13"/>
      <c r="AP2819" s="13"/>
      <c r="AQ2819" s="13"/>
      <c r="AR2819" s="14"/>
      <c r="AS2819" s="15"/>
    </row>
    <row r="2820" spans="1:45" s="17" customFormat="1" ht="30.6" customHeight="1" x14ac:dyDescent="0.2">
      <c r="A2820" s="343"/>
      <c r="B2820" s="344"/>
      <c r="C2820" s="45"/>
      <c r="D2820" s="31">
        <v>3790274</v>
      </c>
      <c r="E2820" s="31">
        <v>4162859</v>
      </c>
      <c r="F2820" s="268" t="str">
        <f>IF(D2820="","",VLOOKUP(D2820,契約台帳!$A$3:$K$4986,6,FALSE)&amp;VLOOKUP(D2820,契約台帳!$A$3:$K$4986,7,FALSE)&amp;VLOOKUP(D2820,契約台帳!$A$3:$K$4986,8,FALSE)&amp;VLOOKUP(D2820,契約台帳!$A$3:$K$4986,9,FALSE)&amp;VLOOKUP(D2820,契約台帳!$A$3:$K$4986,11,FALSE))</f>
        <v>3SYMLBMSNMBF</v>
      </c>
      <c r="G2820" s="269" t="str">
        <f>IF(D2820="","",VLOOKUP(F2820,製品マスタ!$G$5:$H$5002,2,FALSE))</f>
        <v>S</v>
      </c>
      <c r="H2820" s="269" t="str">
        <f>IF(D2820="","",VLOOKUP(F2820,製品マスタ!$G$5:$K$5002,5,FALSE))</f>
        <v>MSNMBF</v>
      </c>
      <c r="I2820" s="270" t="str">
        <f>IF(D2820="","",VLOOKUP(F2820,製品マスタ!$G$5:$L$5002,6,FALSE))</f>
        <v>ＭＥＴＡＬＵＭＹ　ＳＩＬＶＥＲ　Ｎ－ＭＡＴＴＥ　Ｘ４４Ｍ　Ｂ</v>
      </c>
      <c r="J2820" s="210" t="s">
        <v>935</v>
      </c>
      <c r="K2820" s="270">
        <f>IF(D2820="","",VLOOKUP(D2820,契約台帳!$A$3:$L$4986,12,FALSE))</f>
        <v>50</v>
      </c>
      <c r="L2820" s="270" t="str">
        <f>IF(D2820="","",INDEX(製品マスタ!$Q$5:$Q$5002,MATCH('S4'!F2820&amp;'S4'!K2820,製品マスタ!$AO$5:$AO$5002,0)))</f>
        <v>X44</v>
      </c>
      <c r="M2820" s="39">
        <v>1120</v>
      </c>
      <c r="N2820" s="39">
        <v>4000</v>
      </c>
      <c r="O2820" s="156">
        <v>1</v>
      </c>
      <c r="P2820" s="47">
        <v>3</v>
      </c>
      <c r="Q2820" s="213">
        <v>45635</v>
      </c>
      <c r="R2820" s="271">
        <f ca="1">IF(D2820="","",IF(OFFSET(D2820,-1,0)&lt;&gt;"","",IF(OR(J2820="リード付け",J2820="巻足し",J2820="巻返しリード付け"),M2820,VLOOKUP(D2820,契約台帳!$A$3:$N$4986,14,FALSE))))</f>
        <v>1120</v>
      </c>
      <c r="S2820" s="272">
        <f ca="1">IF(D2820="","",IF(OFFSET(D2820,-1,0)&lt;&gt;"","",IF(OR(J2820="リード付け",J2820="巻足し",J2820="巻返しリード付け"),M2820,VLOOKUP(D2820,契約台帳!$A$3:$O$4986,15,FALSE))))</f>
        <v>1120</v>
      </c>
      <c r="T2820" s="273">
        <f ca="1">IF(D2820="","",IF(J2820="リード付け",N2820,IF(J2820="巻返しリード付け",N2820,IF(J2820="巻足し",N2820*P2820+OFFSET(N2820,1,0)*OFFSET(P2820,1,0),VLOOKUP(D2820,契約台帳!$A$3:$P$4986,16,FALSE)))))</f>
        <v>12000</v>
      </c>
      <c r="U2820" s="40">
        <v>1</v>
      </c>
      <c r="V2820" s="274" t="str">
        <f ca="1">IF(D2820="","",IF(OFFSET(D2820,-2,0)=D2820,"",VLOOKUP(D2820,契約台帳!$A$3:$R$4986,18,FALSE)))</f>
        <v/>
      </c>
      <c r="W2820" s="269" t="str">
        <f ca="1">IF(D2820="","",IF(T2820="","",IF(OR(J2820="巻足し",J2820="巻返しリード付け"),"",IF(J2820="巻返し",VLOOKUP(F2820&amp;K2820&amp;M2820,製品マスタ!$M$5:$AD$5002,18,FALSE),IF(OR(J2820="リード付け",J2820="巻返しリード付け"),"原反コア",IF(J2820="スリット",VLOOKUP(F2820&amp;K2820&amp;R2820,製品マスタ!$N$5:$AD$5002,17,FALSE),""))))))</f>
        <v/>
      </c>
      <c r="X2820" s="269" t="str">
        <f ca="1">IF(D2820="","",IF(T2820="","",IF(J2820="巻足し","",IF(J2820="巻返し",VLOOKUP(F2820&amp;K2820&amp;M2820,製品マスタ!$M$5:$AE$5002,19,FALSE),IF(OR(J2820="リード付け",J2820="巻返しリード付け"),"",IF(J2820="スリット",VLOOKUP(F2820&amp;K2820&amp;R2820,製品マスタ!$N$5:$AE$5002,18,FALSE),""))))))</f>
        <v/>
      </c>
      <c r="Y2820" s="275">
        <f ca="1">IF(D2820="","",IF(T2820="","",VLOOKUP(D2820,契約台帳!$A$3:$Q$4986,17,FALSE)))</f>
        <v>2</v>
      </c>
      <c r="Z2820" s="269" t="str">
        <f ca="1">IF(D2820="","",IF(T2820="","",VLOOKUP(D2820,契約台帳!$A$3:$E$4986,5,FALSE)))</f>
        <v>リンテック㈱</v>
      </c>
      <c r="AA2820" s="57"/>
      <c r="AB2820" s="207">
        <f>IFERROR((VLOOKUP(F2820&amp;K2820&amp;M2820,製品マスタ!$M$5:$AM$5002,27,FALSE)),"")</f>
        <v>0</v>
      </c>
      <c r="AC2820" s="33"/>
      <c r="AD2820" s="189"/>
      <c r="AE2820" s="54"/>
      <c r="AF2820" s="55">
        <f>+M2820*N2820*O2820/1000</f>
        <v>4480</v>
      </c>
      <c r="AG2820" s="43"/>
      <c r="AH2820" s="47"/>
      <c r="AI2820" s="30"/>
      <c r="AJ2820" s="30"/>
      <c r="AK2820" s="30"/>
      <c r="AL2820" s="30"/>
      <c r="AM2820" s="13"/>
      <c r="AN2820" s="13"/>
      <c r="AO2820" s="13"/>
      <c r="AP2820" s="13"/>
      <c r="AQ2820" s="13"/>
      <c r="AR2820" s="14"/>
      <c r="AS2820" s="15"/>
    </row>
    <row r="2821" spans="1:45" s="17" customFormat="1" ht="30.6" customHeight="1" x14ac:dyDescent="0.2">
      <c r="A2821" s="343"/>
      <c r="B2821" s="344"/>
      <c r="C2821" s="45"/>
      <c r="D2821" s="31">
        <v>3790275</v>
      </c>
      <c r="E2821" s="31"/>
      <c r="F2821" s="268" t="str">
        <f>IF(D2821="","",VLOOKUP(D2821,契約台帳!$A$3:$K$4986,6,FALSE)&amp;VLOOKUP(D2821,契約台帳!$A$3:$K$4986,7,FALSE)&amp;VLOOKUP(D2821,契約台帳!$A$3:$K$4986,8,FALSE)&amp;VLOOKUP(D2821,契約台帳!$A$3:$K$4986,9,FALSE)&amp;VLOOKUP(D2821,契約台帳!$A$3:$K$4986,11,FALSE))</f>
        <v>3SYMLBMSNMBF</v>
      </c>
      <c r="G2821" s="269" t="str">
        <f>IF(D2821="","",VLOOKUP(F2821,製品マスタ!$G$5:$H$5002,2,FALSE))</f>
        <v>S</v>
      </c>
      <c r="H2821" s="269" t="str">
        <f>IF(D2821="","",VLOOKUP(F2821,製品マスタ!$G$5:$K$5002,5,FALSE))</f>
        <v>MSNMBF</v>
      </c>
      <c r="I2821" s="270" t="str">
        <f>IF(D2821="","",VLOOKUP(F2821,製品マスタ!$G$5:$L$5002,6,FALSE))</f>
        <v>ＭＥＴＡＬＵＭＹ　ＳＩＬＶＥＲ　Ｎ－ＭＡＴＴＥ　Ｘ４４Ｍ　Ｂ</v>
      </c>
      <c r="J2821" s="210" t="s">
        <v>935</v>
      </c>
      <c r="K2821" s="270">
        <f>IF(D2821="","",VLOOKUP(D2821,契約台帳!$A$3:$L$4986,12,FALSE))</f>
        <v>50</v>
      </c>
      <c r="L2821" s="270" t="str">
        <f>IF(D2821="","",INDEX(製品マスタ!$Q$5:$Q$5002,MATCH('S4'!F2821&amp;'S4'!K2821,製品マスタ!$AO$5:$AO$5002,0)))</f>
        <v>X44</v>
      </c>
      <c r="M2821" s="39">
        <v>1120</v>
      </c>
      <c r="N2821" s="39">
        <v>4000</v>
      </c>
      <c r="O2821" s="156">
        <v>2</v>
      </c>
      <c r="P2821" s="47"/>
      <c r="Q2821" s="213">
        <v>45635</v>
      </c>
      <c r="R2821" s="271" t="str">
        <f ca="1">IF(D2821="","",IF(OFFSET(D2821,-1,0)&lt;&gt;"","",IF(OR(J2821="リード付け",J2821="巻足し",J2821="巻返しリード付け"),M2821,VLOOKUP(D2821,契約台帳!$A$3:$N$4986,14,FALSE))))</f>
        <v/>
      </c>
      <c r="S2821" s="272" t="str">
        <f ca="1">IF(D2821="","",IF(OFFSET(D2821,-1,0)&lt;&gt;"","",IF(OR(J2821="リード付け",J2821="巻足し",J2821="巻返しリード付け"),M2821,VLOOKUP(D2821,契約台帳!$A$3:$O$4986,15,FALSE))))</f>
        <v/>
      </c>
      <c r="T2821" s="273">
        <f ca="1">IF(D2821="","",IF(J2821="リード付け",N2821,IF(J2821="巻返しリード付け",N2821,IF(J2821="巻足し",N2821*P2821+OFFSET(N2821,1,0)*OFFSET(P2821,1,0),VLOOKUP(D2821,契約台帳!$A$3:$P$4986,16,FALSE)))))</f>
        <v>0</v>
      </c>
      <c r="U2821" s="40"/>
      <c r="V2821" s="274">
        <f ca="1">IF(D2821="","",IF(OFFSET(D2821,-2,0)=D2821,"",VLOOKUP(D2821,契約台帳!$A$3:$R$4986,18,FALSE)))</f>
        <v>8</v>
      </c>
      <c r="W2821" s="269" t="str">
        <f ca="1">IF(D2821="","",IF(T2821="","",IF(OR(J2821="巻足し",J2821="巻返しリード付け"),"",IF(J2821="巻返し",VLOOKUP(F2821&amp;K2821&amp;M2821,製品マスタ!$M$5:$AD$5002,18,FALSE),IF(OR(J2821="リード付け",J2821="巻返しリード付け"),"原反コア",IF(J2821="スリット",VLOOKUP(F2821&amp;K2821&amp;R2821,製品マスタ!$N$5:$AD$5002,17,FALSE),""))))))</f>
        <v/>
      </c>
      <c r="X2821" s="269" t="str">
        <f ca="1">IF(D2821="","",IF(T2821="","",IF(J2821="巻足し","",IF(J2821="巻返し",VLOOKUP(F2821&amp;K2821&amp;M2821,製品マスタ!$M$5:$AE$5002,19,FALSE),IF(OR(J2821="リード付け",J2821="巻返しリード付け"),"",IF(J2821="スリット",VLOOKUP(F2821&amp;K2821&amp;R2821,製品マスタ!$N$5:$AE$5002,18,FALSE),""))))))</f>
        <v/>
      </c>
      <c r="Y2821" s="275">
        <f ca="1">IF(D2821="","",IF(T2821="","",VLOOKUP(D2821,契約台帳!$A$3:$Q$4986,17,FALSE)))</f>
        <v>2</v>
      </c>
      <c r="Z2821" s="269" t="str">
        <f ca="1">IF(D2821="","",IF(T2821="","",VLOOKUP(D2821,契約台帳!$A$3:$E$4986,5,FALSE)))</f>
        <v>リンテック㈱</v>
      </c>
      <c r="AA2821" s="57"/>
      <c r="AB2821" s="207">
        <f>IFERROR((VLOOKUP(F2821&amp;K2821&amp;M2821,製品マスタ!$M$5:$AM$5002,27,FALSE)),"")</f>
        <v>0</v>
      </c>
      <c r="AC2821" s="33"/>
      <c r="AD2821" s="189"/>
      <c r="AE2821" s="54"/>
      <c r="AF2821" s="55">
        <f>+M2821*N2821*O2821/1000</f>
        <v>8960</v>
      </c>
      <c r="AG2821" s="43"/>
      <c r="AH2821" s="47"/>
      <c r="AI2821" s="30"/>
      <c r="AJ2821" s="30"/>
      <c r="AK2821" s="30"/>
      <c r="AL2821" s="30"/>
      <c r="AM2821" s="13"/>
      <c r="AN2821" s="13"/>
      <c r="AO2821" s="13"/>
      <c r="AP2821" s="13"/>
      <c r="AQ2821" s="13"/>
      <c r="AR2821" s="14"/>
      <c r="AS2821" s="15"/>
    </row>
    <row r="2822" spans="1:45" s="17" customFormat="1" ht="30.95" customHeight="1" x14ac:dyDescent="0.2">
      <c r="A2822" s="343"/>
      <c r="B2822" s="344"/>
      <c r="C2822" s="345"/>
      <c r="D2822" s="346"/>
      <c r="E2822" s="346"/>
      <c r="F2822" s="268"/>
      <c r="G2822" s="269"/>
      <c r="H2822" s="269"/>
      <c r="I2822" s="270"/>
      <c r="J2822" s="434"/>
      <c r="K2822" s="270"/>
      <c r="L2822" s="270"/>
      <c r="M2822" s="348"/>
      <c r="N2822" s="348"/>
      <c r="O2822" s="435"/>
      <c r="P2822" s="349"/>
      <c r="Q2822" s="350"/>
      <c r="R2822" s="271"/>
      <c r="S2822" s="272"/>
      <c r="T2822" s="273"/>
      <c r="U2822" s="351"/>
      <c r="V2822" s="274"/>
      <c r="W2822" s="269"/>
      <c r="X2822" s="269"/>
      <c r="Y2822" s="275"/>
      <c r="Z2822" s="269"/>
      <c r="AA2822" s="350"/>
      <c r="AB2822" s="207"/>
      <c r="AC2822" s="352"/>
      <c r="AD2822" s="353"/>
      <c r="AE2822" s="54"/>
      <c r="AF2822" s="354"/>
      <c r="AG2822" s="355"/>
      <c r="AH2822" s="349"/>
      <c r="AI2822" s="30"/>
      <c r="AJ2822" s="30"/>
      <c r="AK2822" s="30"/>
      <c r="AL2822" s="30"/>
      <c r="AM2822" s="13"/>
      <c r="AN2822" s="13"/>
      <c r="AO2822" s="13"/>
      <c r="AP2822" s="13"/>
      <c r="AQ2822" s="13"/>
      <c r="AR2822" s="14"/>
      <c r="AS2822" s="15"/>
    </row>
    <row r="2823" spans="1:45" s="17" customFormat="1" ht="30.6" customHeight="1" x14ac:dyDescent="0.2">
      <c r="A2823" s="31"/>
      <c r="B2823" s="344"/>
      <c r="C2823" s="45"/>
      <c r="D2823" s="31">
        <v>3790275</v>
      </c>
      <c r="E2823" s="31">
        <v>4162860</v>
      </c>
      <c r="F2823" s="268" t="str">
        <f>IF(D2823="","",VLOOKUP(D2823,契約台帳!$A$3:$K$4986,6,FALSE)&amp;VLOOKUP(D2823,契約台帳!$A$3:$K$4986,7,FALSE)&amp;VLOOKUP(D2823,契約台帳!$A$3:$K$4986,8,FALSE)&amp;VLOOKUP(D2823,契約台帳!$A$3:$K$4986,9,FALSE)&amp;VLOOKUP(D2823,契約台帳!$A$3:$K$4986,11,FALSE))</f>
        <v>3SYMLBMSNMBF</v>
      </c>
      <c r="G2823" s="269" t="str">
        <f>IF(D2823="","",VLOOKUP(F2823,製品マスタ!$G$5:$H$5002,2,FALSE))</f>
        <v>S</v>
      </c>
      <c r="H2823" s="269" t="str">
        <f>IF(D2823="","",VLOOKUP(F2823,製品マスタ!$G$5:$K$5002,5,FALSE))</f>
        <v>MSNMBF</v>
      </c>
      <c r="I2823" s="270" t="str">
        <f>IF(D2823="","",VLOOKUP(F2823,製品マスタ!$G$5:$L$5002,6,FALSE))</f>
        <v>ＭＥＴＡＬＵＭＹ　ＳＩＬＶＥＲ　Ｎ－ＭＡＴＴＥ　Ｘ４４Ｍ　Ｂ</v>
      </c>
      <c r="J2823" s="210" t="s">
        <v>935</v>
      </c>
      <c r="K2823" s="270">
        <f>IF(D2823="","",VLOOKUP(D2823,契約台帳!$A$3:$L$4986,12,FALSE))</f>
        <v>50</v>
      </c>
      <c r="L2823" s="270" t="str">
        <f>IF(D2823="","",INDEX(製品マスタ!$Q$5:$Q$5002,MATCH('S4'!F2823&amp;'S4'!K2823,製品マスタ!$AO$5:$AO$5002,0)))</f>
        <v>X44</v>
      </c>
      <c r="M2823" s="39">
        <v>1120</v>
      </c>
      <c r="N2823" s="39">
        <v>4000</v>
      </c>
      <c r="O2823" s="156">
        <v>6</v>
      </c>
      <c r="P2823" s="47">
        <v>3</v>
      </c>
      <c r="Q2823" s="213">
        <v>45635</v>
      </c>
      <c r="R2823" s="271">
        <f ca="1">IF(D2823="","",IF(OFFSET(D2823,-1,0)&lt;&gt;"","",IF(OR(J2823="リード付け",J2823="巻足し",J2823="巻返しリード付け"),M2823,VLOOKUP(D2823,契約台帳!$A$3:$N$4986,14,FALSE))))</f>
        <v>1120</v>
      </c>
      <c r="S2823" s="272">
        <f ca="1">IF(D2823="","",IF(OFFSET(D2823,-1,0)&lt;&gt;"","",IF(OR(J2823="リード付け",J2823="巻足し",J2823="巻返しリード付け"),M2823,VLOOKUP(D2823,契約台帳!$A$3:$O$4986,15,FALSE))))</f>
        <v>1120</v>
      </c>
      <c r="T2823" s="273">
        <f ca="1">IF(D2823="","",IF(J2823="リード付け",N2823,IF(J2823="巻返しリード付け",N2823,IF(J2823="巻足し",N2823*P2823+OFFSET(N2823,1,0)*OFFSET(P2823,1,0),VLOOKUP(D2823,契約台帳!$A$3:$P$4986,16,FALSE)))))</f>
        <v>12000</v>
      </c>
      <c r="U2823" s="40">
        <v>2</v>
      </c>
      <c r="V2823" s="274" t="str">
        <f ca="1">IF(D2823="","",IF(OFFSET(D2823,-2,0)=D2823,"",VLOOKUP(D2823,契約台帳!$A$3:$R$4986,18,FALSE)))</f>
        <v/>
      </c>
      <c r="W2823" s="269" t="str">
        <f ca="1">IF(D2823="","",IF(T2823="","",IF(OR(J2823="巻足し",J2823="巻返しリード付け"),"",IF(J2823="巻返し",VLOOKUP(F2823&amp;K2823&amp;M2823,製品マスタ!$M$5:$AD$5002,18,FALSE),IF(OR(J2823="リード付け",J2823="巻返しリード付け"),"原反コア",IF(J2823="スリット",VLOOKUP(F2823&amp;K2823&amp;R2823,製品マスタ!$N$5:$AD$5002,17,FALSE),""))))))</f>
        <v/>
      </c>
      <c r="X2823" s="269" t="str">
        <f ca="1">IF(D2823="","",IF(T2823="","",IF(J2823="巻足し","",IF(J2823="巻返し",VLOOKUP(F2823&amp;K2823&amp;M2823,製品マスタ!$M$5:$AE$5002,19,FALSE),IF(OR(J2823="リード付け",J2823="巻返しリード付け"),"",IF(J2823="スリット",VLOOKUP(F2823&amp;K2823&amp;R2823,製品マスタ!$N$5:$AE$5002,18,FALSE),""))))))</f>
        <v/>
      </c>
      <c r="Y2823" s="275">
        <f ca="1">IF(D2823="","",IF(T2823="","",VLOOKUP(D2823,契約台帳!$A$3:$Q$4986,17,FALSE)))</f>
        <v>2</v>
      </c>
      <c r="Z2823" s="269" t="str">
        <f ca="1">IF(D2823="","",IF(T2823="","",VLOOKUP(D2823,契約台帳!$A$3:$E$4986,5,FALSE)))</f>
        <v>リンテック㈱</v>
      </c>
      <c r="AA2823" s="57"/>
      <c r="AB2823" s="207">
        <f>IFERROR((VLOOKUP(F2823&amp;K2823&amp;M2823,製品マスタ!$M$5:$AM$5002,27,FALSE)),"")</f>
        <v>0</v>
      </c>
      <c r="AC2823" s="33"/>
      <c r="AD2823" s="189"/>
      <c r="AE2823" s="54"/>
      <c r="AF2823" s="55">
        <f>+M2823*N2823*O2823/1000</f>
        <v>26880</v>
      </c>
      <c r="AG2823" s="43"/>
      <c r="AH2823" s="47"/>
      <c r="AI2823" s="30"/>
      <c r="AJ2823" s="30"/>
      <c r="AK2823" s="30"/>
      <c r="AL2823" s="30"/>
      <c r="AM2823" s="13"/>
      <c r="AN2823" s="13"/>
      <c r="AO2823" s="13"/>
      <c r="AP2823" s="13"/>
      <c r="AQ2823" s="13"/>
      <c r="AR2823" s="14"/>
      <c r="AS2823" s="15"/>
    </row>
    <row r="2824" spans="1:45" s="17" customFormat="1" ht="30.95" customHeight="1" x14ac:dyDescent="0.2">
      <c r="A2824" s="343"/>
      <c r="B2824" s="344"/>
      <c r="C2824" s="345"/>
      <c r="D2824" s="346"/>
      <c r="E2824" s="346"/>
      <c r="F2824" s="268"/>
      <c r="G2824" s="269"/>
      <c r="H2824" s="269"/>
      <c r="I2824" s="270"/>
      <c r="J2824" s="434"/>
      <c r="K2824" s="270"/>
      <c r="L2824" s="270"/>
      <c r="M2824" s="348"/>
      <c r="N2824" s="348"/>
      <c r="O2824" s="435"/>
      <c r="P2824" s="349"/>
      <c r="Q2824" s="350"/>
      <c r="R2824" s="271"/>
      <c r="S2824" s="272"/>
      <c r="T2824" s="273"/>
      <c r="U2824" s="351"/>
      <c r="V2824" s="274"/>
      <c r="W2824" s="269"/>
      <c r="X2824" s="269"/>
      <c r="Y2824" s="275"/>
      <c r="Z2824" s="269"/>
      <c r="AA2824" s="350"/>
      <c r="AB2824" s="207"/>
      <c r="AC2824" s="352"/>
      <c r="AD2824" s="353"/>
      <c r="AE2824" s="54"/>
      <c r="AF2824" s="354"/>
      <c r="AG2824" s="355"/>
      <c r="AH2824" s="349"/>
      <c r="AI2824" s="30"/>
      <c r="AJ2824" s="30"/>
      <c r="AK2824" s="30"/>
      <c r="AL2824" s="30"/>
      <c r="AM2824" s="13"/>
      <c r="AN2824" s="13"/>
      <c r="AO2824" s="13"/>
      <c r="AP2824" s="13"/>
      <c r="AQ2824" s="13"/>
      <c r="AR2824" s="14"/>
      <c r="AS2824" s="15"/>
    </row>
    <row r="2825" spans="1:45" s="17" customFormat="1" ht="30.6" customHeight="1" x14ac:dyDescent="0.2">
      <c r="A2825" s="343" t="s">
        <v>3424</v>
      </c>
      <c r="B2825" s="344" t="s">
        <v>3425</v>
      </c>
      <c r="C2825" s="45"/>
      <c r="D2825" s="31">
        <v>3790272</v>
      </c>
      <c r="E2825" s="31">
        <v>4162884</v>
      </c>
      <c r="F2825" s="268" t="str">
        <f>IF(D2825="","",VLOOKUP(D2825,契約台帳!$A$3:$K$4986,6,FALSE)&amp;VLOOKUP(D2825,契約台帳!$A$3:$K$4986,7,FALSE)&amp;VLOOKUP(D2825,契約台帳!$A$3:$K$4986,8,FALSE)&amp;VLOOKUP(D2825,契約台帳!$A$3:$K$4986,9,FALSE)&amp;VLOOKUP(D2825,契約台帳!$A$3:$K$4986,11,FALSE))</f>
        <v>3SYMLBMSNMBZF</v>
      </c>
      <c r="G2825" s="269" t="str">
        <f>IF(D2825="","",VLOOKUP(F2825,製品マスタ!$G$5:$H$5002,2,FALSE))</f>
        <v>S</v>
      </c>
      <c r="H2825" s="269" t="str">
        <f>IF(D2825="","",VLOOKUP(F2825,製品マスタ!$G$5:$K$5002,5,FALSE))</f>
        <v>MSNMBZF</v>
      </c>
      <c r="I2825" s="270" t="str">
        <f>IF(D2825="","",VLOOKUP(F2825,製品マスタ!$G$5:$L$5002,6,FALSE))</f>
        <v>ＭＥＴＡＬＵＭＹ　ＳＩＬＶＥＲ　Ｎ－ＭＡＴＴＥ　Ｂ</v>
      </c>
      <c r="J2825" s="210" t="s">
        <v>935</v>
      </c>
      <c r="K2825" s="270">
        <f>IF(D2825="","",VLOOKUP(D2825,契約台帳!$A$3:$L$4986,12,FALSE))</f>
        <v>50</v>
      </c>
      <c r="L2825" s="270" t="str">
        <f>IF(D2825="","",INDEX(製品マスタ!$Q$5:$Q$5002,MATCH('S4'!F2825&amp;'S4'!K2825,製品マスタ!$AO$5:$AO$5002,0)))</f>
        <v>X44</v>
      </c>
      <c r="M2825" s="39">
        <v>1120</v>
      </c>
      <c r="N2825" s="39">
        <v>4000</v>
      </c>
      <c r="O2825" s="156">
        <v>9</v>
      </c>
      <c r="P2825" s="47">
        <v>3</v>
      </c>
      <c r="Q2825" s="213">
        <v>45635</v>
      </c>
      <c r="R2825" s="271">
        <f ca="1">IF(D2825="","",IF(OFFSET(D2825,-1,0)&lt;&gt;"","",IF(OR(J2825="リード付け",J2825="巻足し",J2825="巻返しリード付け"),M2825,VLOOKUP(D2825,契約台帳!$A$3:$N$4986,14,FALSE))))</f>
        <v>1120</v>
      </c>
      <c r="S2825" s="272">
        <f ca="1">IF(D2825="","",IF(OFFSET(D2825,-1,0)&lt;&gt;"","",IF(OR(J2825="リード付け",J2825="巻足し",J2825="巻返しリード付け"),M2825,VLOOKUP(D2825,契約台帳!$A$3:$O$4986,15,FALSE))))</f>
        <v>1120</v>
      </c>
      <c r="T2825" s="273">
        <f ca="1">IF(D2825="","",IF(J2825="リード付け",N2825,IF(J2825="巻返しリード付け",N2825,IF(J2825="巻足し",N2825*P2825+OFFSET(N2825,1,0)*OFFSET(P2825,1,0),VLOOKUP(D2825,契約台帳!$A$3:$P$4986,16,FALSE)))))</f>
        <v>12000</v>
      </c>
      <c r="U2825" s="40">
        <v>3</v>
      </c>
      <c r="V2825" s="274">
        <f ca="1">IF(D2825="","",IF(OFFSET(D2825,-2,0)=D2825,"",VLOOKUP(D2825,契約台帳!$A$3:$R$4986,18,FALSE)))</f>
        <v>9</v>
      </c>
      <c r="W2825" s="269" t="str">
        <f ca="1">IF(D2825="","",IF(T2825="","",IF(OR(J2825="巻足し",J2825="巻返しリード付け"),"",IF(J2825="巻返し",VLOOKUP(F2825&amp;K2825&amp;M2825,製品マスタ!$M$5:$AD$5002,18,FALSE),IF(OR(J2825="リード付け",J2825="巻返しリード付け"),"原反コア",IF(J2825="スリット",VLOOKUP(F2825&amp;K2825&amp;R2825,製品マスタ!$N$5:$AD$5002,17,FALSE),""))))))</f>
        <v/>
      </c>
      <c r="X2825" s="269" t="str">
        <f ca="1">IF(D2825="","",IF(T2825="","",IF(J2825="巻足し","",IF(J2825="巻返し",VLOOKUP(F2825&amp;K2825&amp;M2825,製品マスタ!$M$5:$AE$5002,19,FALSE),IF(OR(J2825="リード付け",J2825="巻返しリード付け"),"",IF(J2825="スリット",VLOOKUP(F2825&amp;K2825&amp;R2825,製品マスタ!$N$5:$AE$5002,18,FALSE),""))))))</f>
        <v/>
      </c>
      <c r="Y2825" s="275">
        <f ca="1">IF(D2825="","",IF(T2825="","",VLOOKUP(D2825,契約台帳!$A$3:$Q$4986,17,FALSE)))</f>
        <v>2</v>
      </c>
      <c r="Z2825" s="269" t="str">
        <f ca="1">IF(D2825="","",IF(T2825="","",VLOOKUP(D2825,契約台帳!$A$3:$E$4986,5,FALSE)))</f>
        <v>リンテック㈱</v>
      </c>
      <c r="AA2825" s="57"/>
      <c r="AB2825" s="207">
        <f>IFERROR((VLOOKUP(F2825&amp;K2825&amp;M2825,製品マスタ!$M$5:$AM$5002,27,FALSE)),"")</f>
        <v>0</v>
      </c>
      <c r="AC2825" s="33"/>
      <c r="AD2825" s="189"/>
      <c r="AE2825" s="54"/>
      <c r="AF2825" s="55">
        <f>+M2825*N2825*O2825/1000</f>
        <v>40320</v>
      </c>
      <c r="AG2825" s="43"/>
      <c r="AH2825" s="47"/>
      <c r="AI2825" s="30"/>
      <c r="AJ2825" s="30"/>
      <c r="AK2825" s="30"/>
      <c r="AL2825" s="30"/>
      <c r="AM2825" s="13"/>
      <c r="AN2825" s="13"/>
      <c r="AO2825" s="13"/>
      <c r="AP2825" s="13"/>
      <c r="AQ2825" s="13"/>
      <c r="AR2825" s="14"/>
      <c r="AS2825" s="15"/>
    </row>
    <row r="2826" spans="1:45" s="17" customFormat="1" ht="30.95" customHeight="1" x14ac:dyDescent="0.2">
      <c r="A2826" s="343"/>
      <c r="B2826" s="344"/>
      <c r="C2826" s="345"/>
      <c r="D2826" s="346"/>
      <c r="E2826" s="346"/>
      <c r="F2826" s="268"/>
      <c r="G2826" s="269"/>
      <c r="H2826" s="269"/>
      <c r="I2826" s="270"/>
      <c r="J2826" s="434"/>
      <c r="K2826" s="270"/>
      <c r="L2826" s="270"/>
      <c r="M2826" s="348"/>
      <c r="N2826" s="348"/>
      <c r="O2826" s="435"/>
      <c r="P2826" s="349"/>
      <c r="Q2826" s="350"/>
      <c r="R2826" s="271"/>
      <c r="S2826" s="272"/>
      <c r="T2826" s="273"/>
      <c r="U2826" s="351"/>
      <c r="V2826" s="274"/>
      <c r="W2826" s="269"/>
      <c r="X2826" s="269"/>
      <c r="Y2826" s="275"/>
      <c r="Z2826" s="269"/>
      <c r="AA2826" s="350"/>
      <c r="AB2826" s="207"/>
      <c r="AC2826" s="352"/>
      <c r="AD2826" s="353"/>
      <c r="AE2826" s="54"/>
      <c r="AF2826" s="354"/>
      <c r="AG2826" s="355"/>
      <c r="AH2826" s="349"/>
      <c r="AI2826" s="30"/>
      <c r="AJ2826" s="30"/>
      <c r="AK2826" s="30"/>
      <c r="AL2826" s="30"/>
      <c r="AM2826" s="13"/>
      <c r="AN2826" s="13"/>
      <c r="AO2826" s="13"/>
      <c r="AP2826" s="13"/>
      <c r="AQ2826" s="13"/>
      <c r="AR2826" s="14"/>
      <c r="AS2826" s="15"/>
    </row>
    <row r="2827" spans="1:45" s="17" customFormat="1" ht="30.6" customHeight="1" x14ac:dyDescent="0.2">
      <c r="A2827" s="343" t="s">
        <v>3419</v>
      </c>
      <c r="B2827" s="344" t="s">
        <v>3402</v>
      </c>
      <c r="C2827" s="45"/>
      <c r="D2827" s="31">
        <v>3790257</v>
      </c>
      <c r="E2827" s="31"/>
      <c r="F2827" s="268" t="str">
        <f>IF(D2827="","",VLOOKUP(D2827,契約台帳!$A$3:$K$4986,6,FALSE)&amp;VLOOKUP(D2827,契約台帳!$A$3:$K$4986,7,FALSE)&amp;VLOOKUP(D2827,契約台帳!$A$3:$K$4986,8,FALSE)&amp;VLOOKUP(D2827,契約台帳!$A$3:$K$4986,9,FALSE)&amp;VLOOKUP(D2827,契約台帳!$A$3:$K$4986,11,FALSE))</f>
        <v>3SNMLBMNGTBF</v>
      </c>
      <c r="G2827" s="269" t="str">
        <f>IF(D2827="","",VLOOKUP(F2827,製品マスタ!$G$5:$H$5002,2,FALSE))</f>
        <v>S</v>
      </c>
      <c r="H2827" s="269" t="str">
        <f>IF(D2827="","",VLOOKUP(F2827,製品マスタ!$G$5:$K$5002,5,FALSE))</f>
        <v>MNGTBF</v>
      </c>
      <c r="I2827" s="270" t="str">
        <f>IF(D2827="","",VLOOKUP(F2827,製品マスタ!$G$5:$L$5002,6,FALSE))</f>
        <v>メタルミー　ネーマー　銀艶　Ｂ</v>
      </c>
      <c r="J2827" s="210" t="s">
        <v>935</v>
      </c>
      <c r="K2827" s="270">
        <f>IF(D2827="","",VLOOKUP(D2827,契約台帳!$A$3:$L$4986,12,FALSE))</f>
        <v>50</v>
      </c>
      <c r="L2827" s="270" t="str">
        <f>IF(D2827="","",INDEX(製品マスタ!$Q$5:$Q$5002,MATCH('S4'!F2827&amp;'S4'!K2827,製品マスタ!$AO$5:$AO$5002,0)))</f>
        <v>T62</v>
      </c>
      <c r="M2827" s="39">
        <v>1120</v>
      </c>
      <c r="N2827" s="39">
        <v>5000</v>
      </c>
      <c r="O2827" s="156">
        <v>14</v>
      </c>
      <c r="P2827" s="47">
        <v>2</v>
      </c>
      <c r="Q2827" s="57"/>
      <c r="R2827" s="271">
        <f ca="1">IF(D2827="","",IF(OFFSET(D2827,-1,0)&lt;&gt;"","",IF(OR(J2827="リード付け",J2827="巻足し",J2827="巻返しリード付け"),M2827,VLOOKUP(D2827,契約台帳!$A$3:$N$4986,14,FALSE))))</f>
        <v>1120</v>
      </c>
      <c r="S2827" s="272">
        <f ca="1">IF(D2827="","",IF(OFFSET(D2827,-1,0)&lt;&gt;"","",IF(OR(J2827="リード付け",J2827="巻足し",J2827="巻返しリード付け"),M2827,VLOOKUP(D2827,契約台帳!$A$3:$O$4986,15,FALSE))))</f>
        <v>1120</v>
      </c>
      <c r="T2827" s="273">
        <f ca="1">IF(D2827="","",IF(J2827="リード付け",N2827,IF(J2827="巻返しリード付け",N2827,IF(J2827="巻足し",N2827*P2827+OFFSET(N2827,1,0)*OFFSET(P2827,1,0),VLOOKUP(D2827,契約台帳!$A$3:$P$4986,16,FALSE)))))</f>
        <v>10000</v>
      </c>
      <c r="U2827" s="40">
        <v>2</v>
      </c>
      <c r="V2827" s="274">
        <f ca="1">IF(D2827="","",IF(OFFSET(D2827,-2,0)=D2827,"",VLOOKUP(D2827,契約台帳!$A$3:$R$4986,18,FALSE)))</f>
        <v>52</v>
      </c>
      <c r="W2827" s="269" t="str">
        <f ca="1">IF(D2827="","",IF(T2827="","",IF(OR(J2827="巻足し",J2827="巻返しリード付け"),"",IF(J2827="巻返し",VLOOKUP(F2827&amp;K2827&amp;M2827,製品マスタ!$M$5:$AD$5002,18,FALSE),IF(OR(J2827="リード付け",J2827="巻返しリード付け"),"原反コア",IF(J2827="スリット",VLOOKUP(F2827&amp;K2827&amp;R2827,製品マスタ!$N$5:$AD$5002,17,FALSE),""))))))</f>
        <v/>
      </c>
      <c r="X2827" s="269" t="str">
        <f ca="1">IF(D2827="","",IF(T2827="","",IF(J2827="巻足し","",IF(J2827="巻返し",VLOOKUP(F2827&amp;K2827&amp;M2827,製品マスタ!$M$5:$AE$5002,19,FALSE),IF(OR(J2827="リード付け",J2827="巻返しリード付け"),"",IF(J2827="スリット",VLOOKUP(F2827&amp;K2827&amp;R2827,製品マスタ!$N$5:$AE$5002,18,FALSE),""))))))</f>
        <v/>
      </c>
      <c r="Y2827" s="275">
        <f ca="1">IF(D2827="","",IF(T2827="","",VLOOKUP(D2827,契約台帳!$A$3:$Q$4986,17,FALSE)))</f>
        <v>2</v>
      </c>
      <c r="Z2827" s="269" t="str">
        <f ca="1">IF(D2827="","",IF(T2827="","",VLOOKUP(D2827,契約台帳!$A$3:$E$4986,5,FALSE)))</f>
        <v>リンテック㈱</v>
      </c>
      <c r="AA2827" s="57"/>
      <c r="AB2827" s="207" t="str">
        <f>IFERROR((VLOOKUP(F2827&amp;K2827&amp;M2827,製品マスタ!$M$5:$AM$5002,27,FALSE)),"")</f>
        <v>原反ケース再利用</v>
      </c>
      <c r="AC2827" s="33"/>
      <c r="AD2827" s="189"/>
      <c r="AE2827" s="54"/>
      <c r="AF2827" s="55">
        <f>+M2827*N2827*O2827/1000</f>
        <v>78400</v>
      </c>
      <c r="AG2827" s="43"/>
      <c r="AH2827" s="47"/>
      <c r="AI2827" s="30"/>
      <c r="AJ2827" s="30"/>
      <c r="AK2827" s="30"/>
      <c r="AL2827" s="30"/>
      <c r="AM2827" s="13"/>
      <c r="AN2827" s="13"/>
      <c r="AO2827" s="13"/>
      <c r="AP2827" s="13"/>
      <c r="AQ2827" s="13"/>
      <c r="AR2827" s="14"/>
      <c r="AS2827" s="15"/>
    </row>
    <row r="2828" spans="1:45" s="17" customFormat="1" ht="30.95" customHeight="1" x14ac:dyDescent="0.2">
      <c r="A2828" s="343"/>
      <c r="B2828" s="344"/>
      <c r="C2828" s="345"/>
      <c r="D2828" s="346"/>
      <c r="E2828" s="346"/>
      <c r="F2828" s="268"/>
      <c r="G2828" s="269"/>
      <c r="H2828" s="269"/>
      <c r="I2828" s="270"/>
      <c r="J2828" s="434"/>
      <c r="K2828" s="270"/>
      <c r="L2828" s="270"/>
      <c r="M2828" s="348"/>
      <c r="N2828" s="348"/>
      <c r="O2828" s="435"/>
      <c r="P2828" s="349"/>
      <c r="Q2828" s="350"/>
      <c r="R2828" s="271"/>
      <c r="S2828" s="272"/>
      <c r="T2828" s="273"/>
      <c r="U2828" s="351"/>
      <c r="V2828" s="274"/>
      <c r="W2828" s="269"/>
      <c r="X2828" s="269"/>
      <c r="Y2828" s="275"/>
      <c r="Z2828" s="269"/>
      <c r="AA2828" s="350"/>
      <c r="AB2828" s="207"/>
      <c r="AC2828" s="352"/>
      <c r="AD2828" s="353"/>
      <c r="AE2828" s="54"/>
      <c r="AF2828" s="354"/>
      <c r="AG2828" s="355"/>
      <c r="AH2828" s="349"/>
      <c r="AI2828" s="30"/>
      <c r="AJ2828" s="30"/>
      <c r="AK2828" s="30"/>
      <c r="AL2828" s="30"/>
      <c r="AM2828" s="13"/>
      <c r="AN2828" s="13"/>
      <c r="AO2828" s="13"/>
      <c r="AP2828" s="13"/>
      <c r="AQ2828" s="13"/>
      <c r="AR2828" s="14"/>
      <c r="AS2828" s="15"/>
    </row>
    <row r="2829" spans="1:45" s="17" customFormat="1" ht="30.6" customHeight="1" x14ac:dyDescent="0.2">
      <c r="A2829" s="343"/>
      <c r="B2829" s="344"/>
      <c r="C2829" s="45"/>
      <c r="D2829" s="31">
        <v>3790271</v>
      </c>
      <c r="E2829" s="31"/>
      <c r="F2829" s="268" t="str">
        <f>IF(D2829="","",VLOOKUP(D2829,契約台帳!$A$3:$K$4986,6,FALSE)&amp;VLOOKUP(D2829,契約台帳!$A$3:$K$4986,7,FALSE)&amp;VLOOKUP(D2829,契約台帳!$A$3:$K$4986,8,FALSE)&amp;VLOOKUP(D2829,契約台帳!$A$3:$K$4986,9,FALSE)&amp;VLOOKUP(D2829,契約台帳!$A$3:$K$4986,11,FALSE))</f>
        <v>3SYMLBMSBBF</v>
      </c>
      <c r="G2829" s="269" t="str">
        <f>IF(D2829="","",VLOOKUP(F2829,製品マスタ!$G$5:$H$5002,2,FALSE))</f>
        <v>S</v>
      </c>
      <c r="H2829" s="269" t="str">
        <f>IF(D2829="","",VLOOKUP(F2829,製品マスタ!$G$5:$K$5002,5,FALSE))</f>
        <v>MSBBF</v>
      </c>
      <c r="I2829" s="270" t="str">
        <f>IF(D2829="","",VLOOKUP(F2829,製品マスタ!$G$5:$L$5002,6,FALSE))</f>
        <v>ＭＥＴＡＬＵＭＹ　ＳＩＬＶＥＲ　ＢＲＩＧＨＴ　Ｔ６２Ｍ　Ｂ</v>
      </c>
      <c r="J2829" s="210" t="s">
        <v>935</v>
      </c>
      <c r="K2829" s="270">
        <f>IF(D2829="","",VLOOKUP(D2829,契約台帳!$A$3:$L$4986,12,FALSE))</f>
        <v>50</v>
      </c>
      <c r="L2829" s="270" t="str">
        <f>IF(D2829="","",INDEX(製品マスタ!$Q$5:$Q$5002,MATCH('S4'!F2829&amp;'S4'!K2829,製品マスタ!$AO$5:$AO$5002,0)))</f>
        <v>T62</v>
      </c>
      <c r="M2829" s="39">
        <v>1120</v>
      </c>
      <c r="N2829" s="39">
        <v>5000</v>
      </c>
      <c r="O2829" s="156">
        <v>2</v>
      </c>
      <c r="P2829" s="47">
        <v>2</v>
      </c>
      <c r="Q2829" s="57"/>
      <c r="R2829" s="271">
        <f ca="1">IF(D2829="","",IF(OFFSET(D2829,-1,0)&lt;&gt;"","",IF(OR(J2829="リード付け",J2829="巻足し",J2829="巻返しリード付け"),M2829,VLOOKUP(D2829,契約台帳!$A$3:$N$4986,14,FALSE))))</f>
        <v>1120</v>
      </c>
      <c r="S2829" s="272">
        <f ca="1">IF(D2829="","",IF(OFFSET(D2829,-1,0)&lt;&gt;"","",IF(OR(J2829="リード付け",J2829="巻足し",J2829="巻返しリード付け"),M2829,VLOOKUP(D2829,契約台帳!$A$3:$O$4986,15,FALSE))))</f>
        <v>1120</v>
      </c>
      <c r="T2829" s="273">
        <f ca="1">IF(D2829="","",IF(J2829="リード付け",N2829,IF(J2829="巻返しリード付け",N2829,IF(J2829="巻足し",N2829*P2829+OFFSET(N2829,1,0)*OFFSET(P2829,1,0),VLOOKUP(D2829,契約台帳!$A$3:$P$4986,16,FALSE)))))</f>
        <v>10000</v>
      </c>
      <c r="U2829" s="40">
        <v>1</v>
      </c>
      <c r="V2829" s="274">
        <f ca="1">IF(D2829="","",IF(OFFSET(D2829,-2,0)=D2829,"",VLOOKUP(D2829,契約台帳!$A$3:$R$4986,18,FALSE)))</f>
        <v>2</v>
      </c>
      <c r="W2829" s="269" t="str">
        <f ca="1">IF(D2829="","",IF(T2829="","",IF(OR(J2829="巻足し",J2829="巻返しリード付け"),"",IF(J2829="巻返し",VLOOKUP(F2829&amp;K2829&amp;M2829,製品マスタ!$M$5:$AD$5002,18,FALSE),IF(OR(J2829="リード付け",J2829="巻返しリード付け"),"原反コア",IF(J2829="スリット",VLOOKUP(F2829&amp;K2829&amp;R2829,製品マスタ!$N$5:$AD$5002,17,FALSE),""))))))</f>
        <v/>
      </c>
      <c r="X2829" s="269" t="str">
        <f ca="1">IF(D2829="","",IF(T2829="","",IF(J2829="巻足し","",IF(J2829="巻返し",VLOOKUP(F2829&amp;K2829&amp;M2829,製品マスタ!$M$5:$AE$5002,19,FALSE),IF(OR(J2829="リード付け",J2829="巻返しリード付け"),"",IF(J2829="スリット",VLOOKUP(F2829&amp;K2829&amp;R2829,製品マスタ!$N$5:$AE$5002,18,FALSE),""))))))</f>
        <v/>
      </c>
      <c r="Y2829" s="275">
        <f ca="1">IF(D2829="","",IF(T2829="","",VLOOKUP(D2829,契約台帳!$A$3:$Q$4986,17,FALSE)))</f>
        <v>2</v>
      </c>
      <c r="Z2829" s="269" t="str">
        <f ca="1">IF(D2829="","",IF(T2829="","",VLOOKUP(D2829,契約台帳!$A$3:$E$4986,5,FALSE)))</f>
        <v>リンテック㈱</v>
      </c>
      <c r="AA2829" s="57"/>
      <c r="AB2829" s="207" t="str">
        <f>IFERROR((VLOOKUP(F2829&amp;K2829&amp;M2829,製品マスタ!$M$5:$AM$5002,27,FALSE)),"")</f>
        <v>原反ケース再利用</v>
      </c>
      <c r="AC2829" s="33"/>
      <c r="AD2829" s="189"/>
      <c r="AE2829" s="54"/>
      <c r="AF2829" s="55">
        <f>+M2829*N2829*O2829/1000</f>
        <v>11200</v>
      </c>
      <c r="AG2829" s="43"/>
      <c r="AH2829" s="47"/>
      <c r="AI2829" s="30"/>
      <c r="AJ2829" s="30"/>
      <c r="AK2829" s="30"/>
      <c r="AL2829" s="30"/>
      <c r="AM2829" s="13"/>
      <c r="AN2829" s="13"/>
      <c r="AO2829" s="13"/>
      <c r="AP2829" s="13"/>
      <c r="AQ2829" s="13"/>
      <c r="AR2829" s="14"/>
      <c r="AS2829" s="15"/>
    </row>
    <row r="2830" spans="1:45" s="17" customFormat="1" ht="30.95" customHeight="1" x14ac:dyDescent="0.2">
      <c r="A2830" s="343"/>
      <c r="B2830" s="344"/>
      <c r="C2830" s="345"/>
      <c r="D2830" s="346"/>
      <c r="E2830" s="346"/>
      <c r="F2830" s="268"/>
      <c r="G2830" s="269"/>
      <c r="H2830" s="269"/>
      <c r="I2830" s="270"/>
      <c r="J2830" s="434"/>
      <c r="K2830" s="270"/>
      <c r="L2830" s="270"/>
      <c r="M2830" s="348"/>
      <c r="N2830" s="348"/>
      <c r="O2830" s="435"/>
      <c r="P2830" s="349"/>
      <c r="Q2830" s="350"/>
      <c r="R2830" s="271"/>
      <c r="S2830" s="272"/>
      <c r="T2830" s="273"/>
      <c r="U2830" s="351"/>
      <c r="V2830" s="274"/>
      <c r="W2830" s="269"/>
      <c r="X2830" s="269"/>
      <c r="Y2830" s="275"/>
      <c r="Z2830" s="269"/>
      <c r="AA2830" s="350"/>
      <c r="AB2830" s="207"/>
      <c r="AC2830" s="352"/>
      <c r="AD2830" s="353"/>
      <c r="AE2830" s="54"/>
      <c r="AF2830" s="354"/>
      <c r="AG2830" s="355"/>
      <c r="AH2830" s="349"/>
      <c r="AI2830" s="30"/>
      <c r="AJ2830" s="30"/>
      <c r="AK2830" s="30"/>
      <c r="AL2830" s="30"/>
      <c r="AM2830" s="13"/>
      <c r="AN2830" s="13"/>
      <c r="AO2830" s="13"/>
      <c r="AP2830" s="13"/>
      <c r="AQ2830" s="13"/>
      <c r="AR2830" s="14"/>
      <c r="AS2830" s="15"/>
    </row>
    <row r="2831" spans="1:45" s="17" customFormat="1" ht="30.6" customHeight="1" x14ac:dyDescent="0.2">
      <c r="A2831" s="343"/>
      <c r="B2831" s="344"/>
      <c r="C2831" s="45"/>
      <c r="D2831" s="31">
        <v>3790273</v>
      </c>
      <c r="E2831" s="31"/>
      <c r="F2831" s="268" t="str">
        <f>IF(D2831="","",VLOOKUP(D2831,契約台帳!$A$3:$K$4986,6,FALSE)&amp;VLOOKUP(D2831,契約台帳!$A$3:$K$4986,7,FALSE)&amp;VLOOKUP(D2831,契約台帳!$A$3:$K$4986,8,FALSE)&amp;VLOOKUP(D2831,契約台帳!$A$3:$K$4986,9,FALSE)&amp;VLOOKUP(D2831,契約台帳!$A$3:$K$4986,11,FALSE))</f>
        <v>3SYMLBMSBBF</v>
      </c>
      <c r="G2831" s="269" t="str">
        <f>IF(D2831="","",VLOOKUP(F2831,製品マスタ!$G$5:$H$5002,2,FALSE))</f>
        <v>S</v>
      </c>
      <c r="H2831" s="269" t="str">
        <f>IF(D2831="","",VLOOKUP(F2831,製品マスタ!$G$5:$K$5002,5,FALSE))</f>
        <v>MSBBF</v>
      </c>
      <c r="I2831" s="270" t="str">
        <f>IF(D2831="","",VLOOKUP(F2831,製品マスタ!$G$5:$L$5002,6,FALSE))</f>
        <v>ＭＥＴＡＬＵＭＹ　ＳＩＬＶＥＲ　ＢＲＩＧＨＴ　Ｔ６２Ｍ　Ｂ</v>
      </c>
      <c r="J2831" s="210" t="s">
        <v>935</v>
      </c>
      <c r="K2831" s="270">
        <f>IF(D2831="","",VLOOKUP(D2831,契約台帳!$A$3:$L$4986,12,FALSE))</f>
        <v>50</v>
      </c>
      <c r="L2831" s="270" t="str">
        <f>IF(D2831="","",INDEX(製品マスタ!$Q$5:$Q$5002,MATCH('S4'!F2831&amp;'S4'!K2831,製品マスタ!$AO$5:$AO$5002,0)))</f>
        <v>T62</v>
      </c>
      <c r="M2831" s="39">
        <v>1120</v>
      </c>
      <c r="N2831" s="39">
        <v>5000</v>
      </c>
      <c r="O2831" s="156">
        <v>2</v>
      </c>
      <c r="P2831" s="47">
        <v>2</v>
      </c>
      <c r="Q2831" s="57"/>
      <c r="R2831" s="271">
        <f ca="1">IF(D2831="","",IF(OFFSET(D2831,-1,0)&lt;&gt;"","",IF(OR(J2831="リード付け",J2831="巻足し",J2831="巻返しリード付け"),M2831,VLOOKUP(D2831,契約台帳!$A$3:$N$4986,14,FALSE))))</f>
        <v>1120</v>
      </c>
      <c r="S2831" s="272">
        <f ca="1">IF(D2831="","",IF(OFFSET(D2831,-1,0)&lt;&gt;"","",IF(OR(J2831="リード付け",J2831="巻足し",J2831="巻返しリード付け"),M2831,VLOOKUP(D2831,契約台帳!$A$3:$O$4986,15,FALSE))))</f>
        <v>1120</v>
      </c>
      <c r="T2831" s="273">
        <f ca="1">IF(D2831="","",IF(J2831="リード付け",N2831,IF(J2831="巻返しリード付け",N2831,IF(J2831="巻足し",N2831*P2831+OFFSET(N2831,1,0)*OFFSET(P2831,1,0),VLOOKUP(D2831,契約台帳!$A$3:$P$4986,16,FALSE)))))</f>
        <v>10000</v>
      </c>
      <c r="U2831" s="40">
        <v>1</v>
      </c>
      <c r="V2831" s="274">
        <f ca="1">IF(D2831="","",IF(OFFSET(D2831,-2,0)=D2831,"",VLOOKUP(D2831,契約台帳!$A$3:$R$4986,18,FALSE)))</f>
        <v>2</v>
      </c>
      <c r="W2831" s="269" t="str">
        <f ca="1">IF(D2831="","",IF(T2831="","",IF(OR(J2831="巻足し",J2831="巻返しリード付け"),"",IF(J2831="巻返し",VLOOKUP(F2831&amp;K2831&amp;M2831,製品マスタ!$M$5:$AD$5002,18,FALSE),IF(OR(J2831="リード付け",J2831="巻返しリード付け"),"原反コア",IF(J2831="スリット",VLOOKUP(F2831&amp;K2831&amp;R2831,製品マスタ!$N$5:$AD$5002,17,FALSE),""))))))</f>
        <v/>
      </c>
      <c r="X2831" s="269" t="str">
        <f ca="1">IF(D2831="","",IF(T2831="","",IF(J2831="巻足し","",IF(J2831="巻返し",VLOOKUP(F2831&amp;K2831&amp;M2831,製品マスタ!$M$5:$AE$5002,19,FALSE),IF(OR(J2831="リード付け",J2831="巻返しリード付け"),"",IF(J2831="スリット",VLOOKUP(F2831&amp;K2831&amp;R2831,製品マスタ!$N$5:$AE$5002,18,FALSE),""))))))</f>
        <v/>
      </c>
      <c r="Y2831" s="275">
        <f ca="1">IF(D2831="","",IF(T2831="","",VLOOKUP(D2831,契約台帳!$A$3:$Q$4986,17,FALSE)))</f>
        <v>2</v>
      </c>
      <c r="Z2831" s="269" t="str">
        <f ca="1">IF(D2831="","",IF(T2831="","",VLOOKUP(D2831,契約台帳!$A$3:$E$4986,5,FALSE)))</f>
        <v>リンテック㈱</v>
      </c>
      <c r="AA2831" s="57"/>
      <c r="AB2831" s="207" t="str">
        <f>IFERROR((VLOOKUP(F2831&amp;K2831&amp;M2831,製品マスタ!$M$5:$AM$5002,27,FALSE)),"")</f>
        <v>原反ケース再利用</v>
      </c>
      <c r="AC2831" s="33"/>
      <c r="AD2831" s="189"/>
      <c r="AE2831" s="54"/>
      <c r="AF2831" s="55">
        <f>+M2831*N2831*O2831/1000</f>
        <v>11200</v>
      </c>
      <c r="AG2831" s="43"/>
      <c r="AH2831" s="47"/>
      <c r="AI2831" s="30"/>
      <c r="AJ2831" s="30"/>
      <c r="AK2831" s="30"/>
      <c r="AL2831" s="30"/>
      <c r="AM2831" s="13"/>
      <c r="AN2831" s="13"/>
      <c r="AO2831" s="13"/>
      <c r="AP2831" s="13"/>
      <c r="AQ2831" s="13"/>
      <c r="AR2831" s="14"/>
      <c r="AS2831" s="15"/>
    </row>
    <row r="2832" spans="1:45" s="17" customFormat="1" ht="30.95" customHeight="1" x14ac:dyDescent="0.2">
      <c r="A2832" s="343"/>
      <c r="B2832" s="344"/>
      <c r="C2832" s="345"/>
      <c r="D2832" s="346"/>
      <c r="E2832" s="346"/>
      <c r="F2832" s="268"/>
      <c r="G2832" s="269"/>
      <c r="H2832" s="269"/>
      <c r="I2832" s="270"/>
      <c r="J2832" s="434"/>
      <c r="K2832" s="270"/>
      <c r="L2832" s="270"/>
      <c r="M2832" s="348"/>
      <c r="N2832" s="348"/>
      <c r="O2832" s="435"/>
      <c r="P2832" s="349"/>
      <c r="Q2832" s="350"/>
      <c r="R2832" s="271"/>
      <c r="S2832" s="272"/>
      <c r="T2832" s="273"/>
      <c r="U2832" s="351"/>
      <c r="V2832" s="274"/>
      <c r="W2832" s="269"/>
      <c r="X2832" s="269"/>
      <c r="Y2832" s="275"/>
      <c r="Z2832" s="269"/>
      <c r="AA2832" s="350"/>
      <c r="AB2832" s="207"/>
      <c r="AC2832" s="352"/>
      <c r="AD2832" s="353"/>
      <c r="AE2832" s="54"/>
      <c r="AF2832" s="354"/>
      <c r="AG2832" s="355"/>
      <c r="AH2832" s="349"/>
      <c r="AI2832" s="30"/>
      <c r="AJ2832" s="30"/>
      <c r="AK2832" s="30"/>
      <c r="AL2832" s="30"/>
      <c r="AM2832" s="13"/>
      <c r="AN2832" s="13"/>
      <c r="AO2832" s="13"/>
      <c r="AP2832" s="13"/>
      <c r="AQ2832" s="13"/>
      <c r="AR2832" s="14"/>
      <c r="AS2832" s="15"/>
    </row>
    <row r="2833" spans="1:45" s="17" customFormat="1" ht="30.95" customHeight="1" x14ac:dyDescent="0.2">
      <c r="A2833" s="343" t="s">
        <v>3434</v>
      </c>
      <c r="B2833" s="344" t="s">
        <v>3435</v>
      </c>
      <c r="C2833" s="345"/>
      <c r="D2833" s="346"/>
      <c r="E2833" s="346"/>
      <c r="F2833" s="268"/>
      <c r="G2833" s="269"/>
      <c r="H2833" s="269"/>
      <c r="I2833" s="270"/>
      <c r="J2833" s="434" t="s">
        <v>3444</v>
      </c>
      <c r="K2833" s="270"/>
      <c r="L2833" s="270"/>
      <c r="M2833" s="348"/>
      <c r="N2833" s="348"/>
      <c r="O2833" s="435"/>
      <c r="P2833" s="349"/>
      <c r="Q2833" s="350"/>
      <c r="R2833" s="271"/>
      <c r="S2833" s="272"/>
      <c r="T2833" s="273"/>
      <c r="U2833" s="351"/>
      <c r="V2833" s="274"/>
      <c r="W2833" s="269"/>
      <c r="X2833" s="269"/>
      <c r="Y2833" s="275"/>
      <c r="Z2833" s="269"/>
      <c r="AA2833" s="350"/>
      <c r="AB2833" s="207"/>
      <c r="AC2833" s="352"/>
      <c r="AD2833" s="353"/>
      <c r="AE2833" s="54"/>
      <c r="AF2833" s="354"/>
      <c r="AG2833" s="355"/>
      <c r="AH2833" s="349"/>
      <c r="AI2833" s="30"/>
      <c r="AJ2833" s="30"/>
      <c r="AK2833" s="30"/>
      <c r="AL2833" s="30"/>
      <c r="AM2833" s="13"/>
      <c r="AN2833" s="13"/>
      <c r="AO2833" s="13"/>
      <c r="AP2833" s="13"/>
      <c r="AQ2833" s="13"/>
      <c r="AR2833" s="14"/>
      <c r="AS2833" s="15"/>
    </row>
    <row r="2834" spans="1:45" s="17" customFormat="1" ht="30.95" customHeight="1" x14ac:dyDescent="0.2">
      <c r="A2834" s="343"/>
      <c r="B2834" s="344"/>
      <c r="C2834" s="345"/>
      <c r="D2834" s="346"/>
      <c r="E2834" s="346"/>
      <c r="F2834" s="268"/>
      <c r="G2834" s="269"/>
      <c r="H2834" s="269"/>
      <c r="I2834" s="270"/>
      <c r="J2834" s="434"/>
      <c r="K2834" s="270"/>
      <c r="L2834" s="270"/>
      <c r="M2834" s="348"/>
      <c r="N2834" s="348"/>
      <c r="O2834" s="435"/>
      <c r="P2834" s="349"/>
      <c r="Q2834" s="350"/>
      <c r="R2834" s="271"/>
      <c r="S2834" s="272"/>
      <c r="T2834" s="273"/>
      <c r="U2834" s="351"/>
      <c r="V2834" s="274"/>
      <c r="W2834" s="269"/>
      <c r="X2834" s="269"/>
      <c r="Y2834" s="275"/>
      <c r="Z2834" s="269"/>
      <c r="AA2834" s="350"/>
      <c r="AB2834" s="207"/>
      <c r="AC2834" s="352"/>
      <c r="AD2834" s="353"/>
      <c r="AE2834" s="54"/>
      <c r="AF2834" s="354"/>
      <c r="AG2834" s="355"/>
      <c r="AH2834" s="349"/>
      <c r="AI2834" s="30"/>
      <c r="AJ2834" s="30"/>
      <c r="AK2834" s="30"/>
      <c r="AL2834" s="30"/>
      <c r="AM2834" s="13"/>
      <c r="AN2834" s="13"/>
      <c r="AO2834" s="13"/>
      <c r="AP2834" s="13"/>
      <c r="AQ2834" s="13"/>
      <c r="AR2834" s="14"/>
      <c r="AS2834" s="15"/>
    </row>
    <row r="2835" spans="1:45" s="17" customFormat="1" ht="30.95" customHeight="1" x14ac:dyDescent="0.2">
      <c r="A2835" s="343" t="s">
        <v>3436</v>
      </c>
      <c r="B2835" s="344" t="s">
        <v>3437</v>
      </c>
      <c r="C2835" s="345"/>
      <c r="D2835" s="346"/>
      <c r="E2835" s="346"/>
      <c r="F2835" s="268"/>
      <c r="G2835" s="269"/>
      <c r="H2835" s="269"/>
      <c r="I2835" s="270"/>
      <c r="J2835" s="434" t="s">
        <v>3444</v>
      </c>
      <c r="K2835" s="270"/>
      <c r="L2835" s="270"/>
      <c r="M2835" s="348"/>
      <c r="N2835" s="348"/>
      <c r="O2835" s="435"/>
      <c r="P2835" s="349"/>
      <c r="Q2835" s="350"/>
      <c r="R2835" s="271"/>
      <c r="S2835" s="272"/>
      <c r="T2835" s="273"/>
      <c r="U2835" s="351"/>
      <c r="V2835" s="274"/>
      <c r="W2835" s="269"/>
      <c r="X2835" s="269"/>
      <c r="Y2835" s="275"/>
      <c r="Z2835" s="269"/>
      <c r="AA2835" s="350"/>
      <c r="AB2835" s="207"/>
      <c r="AC2835" s="352"/>
      <c r="AD2835" s="353"/>
      <c r="AE2835" s="54"/>
      <c r="AF2835" s="354"/>
      <c r="AG2835" s="355"/>
      <c r="AH2835" s="349"/>
      <c r="AI2835" s="30"/>
      <c r="AJ2835" s="30"/>
      <c r="AK2835" s="30"/>
      <c r="AL2835" s="30"/>
      <c r="AM2835" s="13"/>
      <c r="AN2835" s="13"/>
      <c r="AO2835" s="13"/>
      <c r="AP2835" s="13"/>
      <c r="AQ2835" s="13"/>
      <c r="AR2835" s="14"/>
      <c r="AS2835" s="15"/>
    </row>
    <row r="2836" spans="1:45" s="17" customFormat="1" ht="30.95" customHeight="1" x14ac:dyDescent="0.2">
      <c r="A2836" s="343"/>
      <c r="B2836" s="344"/>
      <c r="C2836" s="345"/>
      <c r="D2836" s="346"/>
      <c r="E2836" s="346"/>
      <c r="F2836" s="268"/>
      <c r="G2836" s="269"/>
      <c r="H2836" s="269"/>
      <c r="I2836" s="270"/>
      <c r="J2836" s="434"/>
      <c r="K2836" s="270"/>
      <c r="L2836" s="270"/>
      <c r="M2836" s="348"/>
      <c r="N2836" s="348"/>
      <c r="O2836" s="435"/>
      <c r="P2836" s="349"/>
      <c r="Q2836" s="350"/>
      <c r="R2836" s="271"/>
      <c r="S2836" s="272"/>
      <c r="T2836" s="273"/>
      <c r="U2836" s="351"/>
      <c r="V2836" s="274"/>
      <c r="W2836" s="269"/>
      <c r="X2836" s="269"/>
      <c r="Y2836" s="275"/>
      <c r="Z2836" s="269"/>
      <c r="AA2836" s="350"/>
      <c r="AB2836" s="207"/>
      <c r="AC2836" s="352"/>
      <c r="AD2836" s="353"/>
      <c r="AE2836" s="54"/>
      <c r="AF2836" s="354"/>
      <c r="AG2836" s="355"/>
      <c r="AH2836" s="349"/>
      <c r="AI2836" s="30"/>
      <c r="AJ2836" s="30"/>
      <c r="AK2836" s="30"/>
      <c r="AL2836" s="30"/>
      <c r="AM2836" s="13"/>
      <c r="AN2836" s="13"/>
      <c r="AO2836" s="13"/>
      <c r="AP2836" s="13"/>
      <c r="AQ2836" s="13"/>
      <c r="AR2836" s="14"/>
      <c r="AS2836" s="15"/>
    </row>
    <row r="2837" spans="1:45" s="17" customFormat="1" ht="30.95" customHeight="1" x14ac:dyDescent="0.2">
      <c r="A2837" s="343" t="s">
        <v>3473</v>
      </c>
      <c r="B2837" s="344" t="s">
        <v>3474</v>
      </c>
      <c r="C2837" s="345"/>
      <c r="D2837" s="346"/>
      <c r="E2837" s="346"/>
      <c r="F2837" s="268"/>
      <c r="G2837" s="269"/>
      <c r="H2837" s="269"/>
      <c r="I2837" s="304" t="s">
        <v>3036</v>
      </c>
      <c r="J2837" s="444"/>
      <c r="K2837" s="270">
        <v>20</v>
      </c>
      <c r="L2837" s="270"/>
      <c r="M2837" s="348">
        <v>1020</v>
      </c>
      <c r="N2837" s="348">
        <v>4000</v>
      </c>
      <c r="O2837" s="435">
        <v>4</v>
      </c>
      <c r="P2837" s="349">
        <v>4</v>
      </c>
      <c r="Q2837" s="350"/>
      <c r="R2837" s="271">
        <v>1020</v>
      </c>
      <c r="S2837" s="272">
        <v>1020</v>
      </c>
      <c r="T2837" s="273">
        <v>16000</v>
      </c>
      <c r="U2837" s="351">
        <v>1</v>
      </c>
      <c r="V2837" s="274"/>
      <c r="W2837" s="269"/>
      <c r="X2837" s="269"/>
      <c r="Y2837" s="275"/>
      <c r="Z2837" s="269"/>
      <c r="AA2837" s="350"/>
      <c r="AB2837" s="207" t="s">
        <v>3341</v>
      </c>
      <c r="AC2837" s="352"/>
      <c r="AD2837" s="353"/>
      <c r="AE2837" s="54"/>
      <c r="AF2837" s="354"/>
      <c r="AG2837" s="355"/>
      <c r="AH2837" s="349"/>
      <c r="AI2837" s="30"/>
      <c r="AJ2837" s="30"/>
      <c r="AK2837" s="30"/>
      <c r="AL2837" s="30"/>
      <c r="AM2837" s="13"/>
      <c r="AN2837" s="13"/>
      <c r="AO2837" s="13"/>
      <c r="AP2837" s="13"/>
      <c r="AQ2837" s="13"/>
      <c r="AR2837" s="14"/>
      <c r="AS2837" s="15"/>
    </row>
    <row r="2838" spans="1:45" s="17" customFormat="1" ht="30.95" customHeight="1" x14ac:dyDescent="0.2">
      <c r="A2838" s="343"/>
      <c r="B2838" s="344"/>
      <c r="C2838" s="345"/>
      <c r="D2838" s="346"/>
      <c r="E2838" s="346"/>
      <c r="F2838" s="268"/>
      <c r="G2838" s="269"/>
      <c r="H2838" s="269"/>
      <c r="I2838" s="270"/>
      <c r="J2838" s="434"/>
      <c r="K2838" s="270"/>
      <c r="L2838" s="270"/>
      <c r="M2838" s="348"/>
      <c r="N2838" s="348"/>
      <c r="O2838" s="435"/>
      <c r="P2838" s="349"/>
      <c r="Q2838" s="350"/>
      <c r="R2838" s="271"/>
      <c r="S2838" s="272"/>
      <c r="T2838" s="273"/>
      <c r="U2838" s="351"/>
      <c r="V2838" s="274"/>
      <c r="W2838" s="269"/>
      <c r="X2838" s="269"/>
      <c r="Y2838" s="275"/>
      <c r="Z2838" s="269"/>
      <c r="AA2838" s="350"/>
      <c r="AB2838" s="207"/>
      <c r="AC2838" s="352"/>
      <c r="AD2838" s="353"/>
      <c r="AE2838" s="54"/>
      <c r="AF2838" s="354"/>
      <c r="AG2838" s="355"/>
      <c r="AH2838" s="349"/>
      <c r="AI2838" s="30"/>
      <c r="AJ2838" s="30"/>
      <c r="AK2838" s="30"/>
      <c r="AL2838" s="30"/>
      <c r="AM2838" s="13"/>
      <c r="AN2838" s="13"/>
      <c r="AO2838" s="13"/>
      <c r="AP2838" s="13"/>
      <c r="AQ2838" s="13"/>
      <c r="AR2838" s="14"/>
      <c r="AS2838" s="15"/>
    </row>
    <row r="2839" spans="1:45" s="17" customFormat="1" ht="30.95" customHeight="1" x14ac:dyDescent="0.2">
      <c r="A2839" s="343" t="s">
        <v>3440</v>
      </c>
      <c r="B2839" s="344" t="s">
        <v>3427</v>
      </c>
      <c r="C2839" s="345"/>
      <c r="D2839" s="346"/>
      <c r="E2839" s="346"/>
      <c r="F2839" s="268"/>
      <c r="G2839" s="269"/>
      <c r="H2839" s="269"/>
      <c r="I2839" s="270"/>
      <c r="J2839" s="434"/>
      <c r="K2839" s="270"/>
      <c r="L2839" s="270"/>
      <c r="M2839" s="348"/>
      <c r="N2839" s="348"/>
      <c r="O2839" s="435"/>
      <c r="P2839" s="349"/>
      <c r="Q2839" s="350"/>
      <c r="R2839" s="271"/>
      <c r="S2839" s="272"/>
      <c r="T2839" s="273"/>
      <c r="U2839" s="351"/>
      <c r="V2839" s="274"/>
      <c r="W2839" s="269"/>
      <c r="X2839" s="269"/>
      <c r="Y2839" s="275"/>
      <c r="Z2839" s="269"/>
      <c r="AA2839" s="350"/>
      <c r="AB2839" s="207"/>
      <c r="AC2839" s="352"/>
      <c r="AD2839" s="353"/>
      <c r="AE2839" s="54"/>
      <c r="AF2839" s="354"/>
      <c r="AG2839" s="355"/>
      <c r="AH2839" s="349"/>
      <c r="AI2839" s="30"/>
      <c r="AJ2839" s="30"/>
      <c r="AK2839" s="30"/>
      <c r="AL2839" s="30"/>
      <c r="AM2839" s="13"/>
      <c r="AN2839" s="13"/>
      <c r="AO2839" s="13"/>
      <c r="AP2839" s="13"/>
      <c r="AQ2839" s="13"/>
      <c r="AR2839" s="14"/>
      <c r="AS2839" s="15"/>
    </row>
    <row r="2840" spans="1:45" s="17" customFormat="1" ht="30.95" customHeight="1" x14ac:dyDescent="0.2">
      <c r="A2840" s="343"/>
      <c r="B2840" s="344"/>
      <c r="C2840" s="345"/>
      <c r="D2840" s="346"/>
      <c r="E2840" s="346"/>
      <c r="F2840" s="268"/>
      <c r="G2840" s="269"/>
      <c r="H2840" s="269"/>
      <c r="I2840" s="270"/>
      <c r="J2840" s="434"/>
      <c r="K2840" s="270"/>
      <c r="L2840" s="270"/>
      <c r="M2840" s="348"/>
      <c r="N2840" s="348"/>
      <c r="O2840" s="435"/>
      <c r="P2840" s="349"/>
      <c r="Q2840" s="350"/>
      <c r="R2840" s="271"/>
      <c r="S2840" s="272"/>
      <c r="T2840" s="273"/>
      <c r="U2840" s="351"/>
      <c r="V2840" s="274"/>
      <c r="W2840" s="269"/>
      <c r="X2840" s="269"/>
      <c r="Y2840" s="275"/>
      <c r="Z2840" s="269"/>
      <c r="AA2840" s="350"/>
      <c r="AB2840" s="207"/>
      <c r="AC2840" s="352"/>
      <c r="AD2840" s="353"/>
      <c r="AE2840" s="54"/>
      <c r="AF2840" s="354"/>
      <c r="AG2840" s="355"/>
      <c r="AH2840" s="349"/>
      <c r="AI2840" s="30"/>
      <c r="AJ2840" s="30"/>
      <c r="AK2840" s="30"/>
      <c r="AL2840" s="30"/>
      <c r="AM2840" s="13"/>
      <c r="AN2840" s="13"/>
      <c r="AO2840" s="13"/>
      <c r="AP2840" s="13"/>
      <c r="AQ2840" s="13"/>
      <c r="AR2840" s="14"/>
      <c r="AS2840" s="15"/>
    </row>
    <row r="2841" spans="1:45" s="17" customFormat="1" ht="30.6" customHeight="1" x14ac:dyDescent="0.2">
      <c r="A2841" s="343" t="s">
        <v>3441</v>
      </c>
      <c r="B2841" s="344" t="s">
        <v>3429</v>
      </c>
      <c r="C2841" s="45"/>
      <c r="D2841" s="31">
        <v>3790264</v>
      </c>
      <c r="E2841" s="279"/>
      <c r="F2841" s="268" t="str">
        <f>IF(D2841="","",VLOOKUP(D2841,契約台帳!$A$3:$K$4986,6,FALSE)&amp;VLOOKUP(D2841,契約台帳!$A$3:$K$4986,7,FALSE)&amp;VLOOKUP(D2841,契約台帳!$A$3:$K$4986,8,FALSE)&amp;VLOOKUP(D2841,契約台帳!$A$3:$K$4986,9,FALSE)&amp;VLOOKUP(D2841,契約台帳!$A$3:$K$4986,11,FALSE))</f>
        <v>33SSNMCLBTETKFV</v>
      </c>
      <c r="G2841" s="269" t="str">
        <f>IF(D2841="","",VLOOKUP(F2841,製品マスタ!$G$5:$H$5002,2,FALSE))</f>
        <v>S</v>
      </c>
      <c r="H2841" s="269" t="str">
        <f>IF(D2841="","",VLOOKUP(F2841,製品マスタ!$G$5:$K$5002,5,FALSE))</f>
        <v>TETKFV</v>
      </c>
      <c r="I2841" s="270" t="str">
        <f>IF(D2841="","",VLOOKUP(F2841,製品マスタ!$G$5:$L$5002,6,FALSE))</f>
        <v>メタルミー　ＴＥＳ艶開封　Ｖ</v>
      </c>
      <c r="J2841" s="210" t="s">
        <v>447</v>
      </c>
      <c r="K2841" s="270">
        <f>IF(D2841="","",VLOOKUP(D2841,契約台帳!$A$3:$L$4986,12,FALSE))</f>
        <v>50</v>
      </c>
      <c r="L2841" s="270" t="str">
        <f>IF(D2841="","",INDEX(製品マスタ!$Q$5:$Q$5002,MATCH('S4'!F2841&amp;'S4'!K2841,製品マスタ!$AO$5:$AO$5002,0)))</f>
        <v>S28SEPA</v>
      </c>
      <c r="M2841" s="39">
        <v>1005</v>
      </c>
      <c r="N2841" s="39">
        <v>12300</v>
      </c>
      <c r="O2841" s="156">
        <v>1</v>
      </c>
      <c r="P2841" s="47">
        <v>1</v>
      </c>
      <c r="Q2841" s="57"/>
      <c r="R2841" s="271">
        <f ca="1">IF(D2841="","",IF(OFFSET(D2841,-1,0)&lt;&gt;"","",IF(OR(J2841="リード付け",J2841="巻足し",J2841="巻返しリード付け"),M2841,VLOOKUP(D2841,契約台帳!$A$3:$N$4986,14,FALSE))))</f>
        <v>1005</v>
      </c>
      <c r="S2841" s="272">
        <f ca="1">IF(D2841="","",IF(OFFSET(D2841,-1,0)&lt;&gt;"","",IF(OR(J2841="リード付け",J2841="巻足し",J2841="巻返しリード付け"),M2841,VLOOKUP(D2841,契約台帳!$A$3:$O$4986,15,FALSE))))</f>
        <v>1000</v>
      </c>
      <c r="T2841" s="273">
        <f ca="1">IF(D2841="","",IF(J2841="リード付け",N2841,IF(J2841="巻返しリード付け",N2841,IF(J2841="巻足し",N2841*P2841+OFFSET(N2841,1,0)*OFFSET(P2841,1,0),VLOOKUP(D2841,契約台帳!$A$3:$P$4986,16,FALSE)))))</f>
        <v>4100</v>
      </c>
      <c r="U2841" s="40">
        <v>3</v>
      </c>
      <c r="V2841" s="274">
        <f ca="1">IF(D2841="","",IF(OFFSET(D2841,-2,0)=D2841,"",VLOOKUP(D2841,契約台帳!$A$3:$R$4986,18,FALSE)))</f>
        <v>3</v>
      </c>
      <c r="W2841" s="269" t="str">
        <f ca="1">IF(D2841="","",IF(T2841="","",IF(OR(J2841="巻足し",J2841="巻返しリード付け"),"",IF(J2841="巻返し",VLOOKUP(F2841&amp;K2841&amp;M2841,製品マスタ!$M$5:$AD$5002,18,FALSE),IF(OR(J2841="リード付け",J2841="巻返しリード付け"),"原反コア",IF(J2841="スリット",VLOOKUP(F2841&amp;K2841&amp;R2841,製品マスタ!$N$5:$AD$5002,17,FALSE),""))))))</f>
        <v>6ｲﾝﾁSｺｱ</v>
      </c>
      <c r="X2841" s="269">
        <f ca="1">IF(D2841="","",IF(T2841="","",IF(J2841="巻足し","",IF(J2841="巻返し",VLOOKUP(F2841&amp;K2841&amp;M2841,製品マスタ!$M$5:$AE$5002,19,FALSE),IF(OR(J2841="リード付け",J2841="巻返しリード付け"),"",IF(J2841="スリット",VLOOKUP(F2841&amp;K2841&amp;R2841,製品マスタ!$N$5:$AE$5002,18,FALSE),""))))))</f>
        <v>1015</v>
      </c>
      <c r="Y2841" s="275">
        <f ca="1">IF(D2841="","",IF(T2841="","",VLOOKUP(D2841,契約台帳!$A$3:$Q$4986,17,FALSE)))</f>
        <v>2</v>
      </c>
      <c r="Z2841" s="269" t="str">
        <f ca="1">IF(D2841="","",IF(T2841="","",VLOOKUP(D2841,契約台帳!$A$3:$E$4986,5,FALSE)))</f>
        <v>リンテック㈱</v>
      </c>
      <c r="AA2841" s="57"/>
      <c r="AB2841" s="207"/>
      <c r="AC2841" s="33"/>
      <c r="AD2841" s="189"/>
      <c r="AE2841" s="54"/>
      <c r="AF2841" s="55"/>
      <c r="AG2841" s="43"/>
      <c r="AH2841" s="47"/>
      <c r="AI2841" s="30"/>
      <c r="AJ2841" s="30"/>
      <c r="AK2841" s="30"/>
      <c r="AL2841" s="30"/>
      <c r="AM2841" s="13"/>
      <c r="AN2841" s="13"/>
      <c r="AO2841" s="13"/>
      <c r="AP2841" s="13"/>
      <c r="AQ2841" s="13"/>
      <c r="AR2841" s="14"/>
      <c r="AS2841" s="15"/>
    </row>
    <row r="2842" spans="1:45" s="17" customFormat="1" ht="30.95" customHeight="1" x14ac:dyDescent="0.2">
      <c r="A2842" s="343"/>
      <c r="B2842" s="344"/>
      <c r="C2842" s="345"/>
      <c r="D2842" s="346"/>
      <c r="E2842" s="346"/>
      <c r="F2842" s="268"/>
      <c r="G2842" s="269"/>
      <c r="H2842" s="269"/>
      <c r="I2842" s="270"/>
      <c r="J2842" s="434"/>
      <c r="K2842" s="270"/>
      <c r="L2842" s="270"/>
      <c r="M2842" s="348"/>
      <c r="N2842" s="348"/>
      <c r="O2842" s="435"/>
      <c r="P2842" s="349"/>
      <c r="Q2842" s="350"/>
      <c r="R2842" s="271"/>
      <c r="S2842" s="272"/>
      <c r="T2842" s="273"/>
      <c r="U2842" s="351"/>
      <c r="V2842" s="274"/>
      <c r="W2842" s="269"/>
      <c r="X2842" s="269"/>
      <c r="Y2842" s="275"/>
      <c r="Z2842" s="269"/>
      <c r="AA2842" s="350"/>
      <c r="AB2842" s="207"/>
      <c r="AC2842" s="352"/>
      <c r="AD2842" s="353"/>
      <c r="AE2842" s="54"/>
      <c r="AF2842" s="354"/>
      <c r="AG2842" s="355"/>
      <c r="AH2842" s="349"/>
      <c r="AI2842" s="30"/>
      <c r="AJ2842" s="30"/>
      <c r="AK2842" s="30"/>
      <c r="AL2842" s="30"/>
      <c r="AM2842" s="13"/>
      <c r="AN2842" s="13"/>
      <c r="AO2842" s="13"/>
      <c r="AP2842" s="13"/>
      <c r="AQ2842" s="13"/>
      <c r="AR2842" s="14"/>
      <c r="AS2842" s="15"/>
    </row>
    <row r="2843" spans="1:45" s="17" customFormat="1" ht="30.6" customHeight="1" x14ac:dyDescent="0.2">
      <c r="A2843" s="343"/>
      <c r="B2843" s="344"/>
      <c r="C2843" s="45"/>
      <c r="D2843" s="31">
        <v>3790265</v>
      </c>
      <c r="E2843" s="279"/>
      <c r="F2843" s="268" t="str">
        <f>IF(D2843="","",VLOOKUP(D2843,契約台帳!$A$3:$K$4986,6,FALSE)&amp;VLOOKUP(D2843,契約台帳!$A$3:$K$4986,7,FALSE)&amp;VLOOKUP(D2843,契約台帳!$A$3:$K$4986,8,FALSE)&amp;VLOOKUP(D2843,契約台帳!$A$3:$K$4986,9,FALSE)&amp;VLOOKUP(D2843,契約台帳!$A$3:$K$4986,11,FALSE))</f>
        <v>3SNMCLBTETV0V</v>
      </c>
      <c r="G2843" s="269" t="str">
        <f>IF(D2843="","",VLOOKUP(F2843,製品マスタ!$G$5:$H$5002,2,FALSE))</f>
        <v>S</v>
      </c>
      <c r="H2843" s="269" t="str">
        <f>IF(D2843="","",VLOOKUP(F2843,製品マスタ!$G$5:$K$5002,5,FALSE))</f>
        <v>TETV0V</v>
      </c>
      <c r="I2843" s="270" t="str">
        <f>IF(D2843="","",VLOOKUP(F2843,製品マスタ!$G$5:$L$5002,6,FALSE))</f>
        <v>メタルミー　ＴＥＳ艶ＶＯＩＤＶ</v>
      </c>
      <c r="J2843" s="210" t="s">
        <v>447</v>
      </c>
      <c r="K2843" s="270">
        <f>IF(D2843="","",VLOOKUP(D2843,契約台帳!$A$3:$L$4986,12,FALSE))</f>
        <v>50</v>
      </c>
      <c r="L2843" s="270" t="str">
        <f>IF(D2843="","",INDEX(製品マスタ!$Q$5:$Q$5002,MATCH('S4'!F2843&amp;'S4'!K2843,製品マスタ!$AO$5:$AO$5002,0)))</f>
        <v>S28SEPA</v>
      </c>
      <c r="M2843" s="39">
        <v>1005</v>
      </c>
      <c r="N2843" s="39">
        <v>8200</v>
      </c>
      <c r="O2843" s="156">
        <v>1</v>
      </c>
      <c r="P2843" s="47">
        <v>1</v>
      </c>
      <c r="Q2843" s="57"/>
      <c r="R2843" s="271">
        <f ca="1">IF(D2843="","",IF(OFFSET(D2843,-1,0)&lt;&gt;"","",IF(OR(J2843="リード付け",J2843="巻足し",J2843="巻返しリード付け"),M2843,VLOOKUP(D2843,契約台帳!$A$3:$N$4986,14,FALSE))))</f>
        <v>1005</v>
      </c>
      <c r="S2843" s="272">
        <f ca="1">IF(D2843="","",IF(OFFSET(D2843,-1,0)&lt;&gt;"","",IF(OR(J2843="リード付け",J2843="巻足し",J2843="巻返しリード付け"),M2843,VLOOKUP(D2843,契約台帳!$A$3:$O$4986,15,FALSE))))</f>
        <v>1000</v>
      </c>
      <c r="T2843" s="273">
        <f ca="1">IF(D2843="","",IF(J2843="リード付け",N2843,IF(J2843="巻返しリード付け",N2843,IF(J2843="巻足し",N2843*P2843+OFFSET(N2843,1,0)*OFFSET(P2843,1,0),VLOOKUP(D2843,契約台帳!$A$3:$P$4986,16,FALSE)))))</f>
        <v>4100</v>
      </c>
      <c r="U2843" s="40">
        <v>2</v>
      </c>
      <c r="V2843" s="274">
        <f ca="1">IF(D2843="","",IF(OFFSET(D2843,-2,0)=D2843,"",VLOOKUP(D2843,契約台帳!$A$3:$R$4986,18,FALSE)))</f>
        <v>2</v>
      </c>
      <c r="W2843" s="269" t="str">
        <f ca="1">IF(D2843="","",IF(T2843="","",IF(OR(J2843="巻足し",J2843="巻返しリード付け"),"",IF(J2843="巻返し",VLOOKUP(F2843&amp;K2843&amp;M2843,製品マスタ!$M$5:$AD$5002,18,FALSE),IF(OR(J2843="リード付け",J2843="巻返しリード付け"),"原反コア",IF(J2843="スリット",VLOOKUP(F2843&amp;K2843&amp;R2843,製品マスタ!$N$5:$AD$5002,17,FALSE),""))))))</f>
        <v>6ｲﾝﾁSｺｱ</v>
      </c>
      <c r="X2843" s="269">
        <f ca="1">IF(D2843="","",IF(T2843="","",IF(J2843="巻足し","",IF(J2843="巻返し",VLOOKUP(F2843&amp;K2843&amp;M2843,製品マスタ!$M$5:$AE$5002,19,FALSE),IF(OR(J2843="リード付け",J2843="巻返しリード付け"),"",IF(J2843="スリット",VLOOKUP(F2843&amp;K2843&amp;R2843,製品マスタ!$N$5:$AE$5002,18,FALSE),""))))))</f>
        <v>1015</v>
      </c>
      <c r="Y2843" s="275">
        <f ca="1">IF(D2843="","",IF(T2843="","",VLOOKUP(D2843,契約台帳!$A$3:$Q$4986,17,FALSE)))</f>
        <v>2</v>
      </c>
      <c r="Z2843" s="269" t="str">
        <f ca="1">IF(D2843="","",IF(T2843="","",VLOOKUP(D2843,契約台帳!$A$3:$E$4986,5,FALSE)))</f>
        <v>リンテック㈱</v>
      </c>
      <c r="AA2843" s="57"/>
      <c r="AB2843" s="207"/>
      <c r="AC2843" s="33"/>
      <c r="AD2843" s="189"/>
      <c r="AE2843" s="54"/>
      <c r="AF2843" s="55"/>
      <c r="AG2843" s="43"/>
      <c r="AH2843" s="47"/>
      <c r="AI2843" s="30"/>
      <c r="AJ2843" s="30"/>
      <c r="AK2843" s="30"/>
      <c r="AL2843" s="30"/>
      <c r="AM2843" s="13"/>
      <c r="AN2843" s="13"/>
      <c r="AO2843" s="13"/>
      <c r="AP2843" s="13"/>
      <c r="AQ2843" s="13"/>
      <c r="AR2843" s="14"/>
      <c r="AS2843" s="15"/>
    </row>
    <row r="2844" spans="1:45" s="17" customFormat="1" ht="30.95" customHeight="1" x14ac:dyDescent="0.2">
      <c r="A2844" s="343"/>
      <c r="B2844" s="344"/>
      <c r="C2844" s="345"/>
      <c r="D2844" s="346"/>
      <c r="E2844" s="346"/>
      <c r="F2844" s="268"/>
      <c r="G2844" s="269"/>
      <c r="H2844" s="269"/>
      <c r="I2844" s="270"/>
      <c r="J2844" s="434"/>
      <c r="K2844" s="270"/>
      <c r="L2844" s="270"/>
      <c r="M2844" s="348"/>
      <c r="N2844" s="348"/>
      <c r="O2844" s="435"/>
      <c r="P2844" s="349"/>
      <c r="Q2844" s="350"/>
      <c r="R2844" s="271"/>
      <c r="S2844" s="272"/>
      <c r="T2844" s="273"/>
      <c r="U2844" s="351"/>
      <c r="V2844" s="274"/>
      <c r="W2844" s="269"/>
      <c r="X2844" s="269"/>
      <c r="Y2844" s="275"/>
      <c r="Z2844" s="269"/>
      <c r="AA2844" s="350"/>
      <c r="AB2844" s="207"/>
      <c r="AC2844" s="352"/>
      <c r="AD2844" s="353"/>
      <c r="AE2844" s="54"/>
      <c r="AF2844" s="354"/>
      <c r="AG2844" s="355"/>
      <c r="AH2844" s="349"/>
      <c r="AI2844" s="30"/>
      <c r="AJ2844" s="30"/>
      <c r="AK2844" s="30"/>
      <c r="AL2844" s="30"/>
      <c r="AM2844" s="13"/>
      <c r="AN2844" s="13"/>
      <c r="AO2844" s="13"/>
      <c r="AP2844" s="13"/>
      <c r="AQ2844" s="13"/>
      <c r="AR2844" s="14"/>
      <c r="AS2844" s="15"/>
    </row>
    <row r="2845" spans="1:45" s="17" customFormat="1" ht="30.6" customHeight="1" x14ac:dyDescent="0.2">
      <c r="A2845" s="343"/>
      <c r="B2845" s="344"/>
      <c r="C2845" s="45"/>
      <c r="D2845" s="31">
        <v>3790260</v>
      </c>
      <c r="E2845" s="279"/>
      <c r="F2845" s="268" t="str">
        <f>IF(D2845="","",VLOOKUP(D2845,契約台帳!$A$3:$K$4986,6,FALSE)&amp;VLOOKUP(D2845,契約台帳!$A$3:$K$4986,7,FALSE)&amp;VLOOKUP(D2845,契約台帳!$A$3:$K$4986,8,FALSE)&amp;VLOOKUP(D2845,契約台帳!$A$3:$K$4986,9,FALSE)&amp;VLOOKUP(D2845,契約台帳!$A$3:$K$4986,11,FALSE))</f>
        <v>33SSNMCLBTEKKFV</v>
      </c>
      <c r="G2845" s="269" t="str">
        <f>IF(D2845="","",VLOOKUP(F2845,製品マスタ!$G$5:$H$5002,2,FALSE))</f>
        <v>S</v>
      </c>
      <c r="H2845" s="269" t="str">
        <f>IF(D2845="","",VLOOKUP(F2845,製品マスタ!$G$5:$K$5002,5,FALSE))</f>
        <v>TEKKFV</v>
      </c>
      <c r="I2845" s="270" t="str">
        <f>IF(D2845="","",VLOOKUP(F2845,製品マスタ!$G$5:$L$5002,6,FALSE))</f>
        <v>メタルミー　ＴＥＳ消開封　Ｖ</v>
      </c>
      <c r="J2845" s="210" t="s">
        <v>447</v>
      </c>
      <c r="K2845" s="270">
        <f>IF(D2845="","",VLOOKUP(D2845,契約台帳!$A$3:$L$4986,12,FALSE))</f>
        <v>38</v>
      </c>
      <c r="L2845" s="270" t="str">
        <f>IF(D2845="","",INDEX(製品マスタ!$Q$5:$Q$5002,MATCH('S4'!F2845&amp;'S4'!K2845,製品マスタ!$AO$5:$AO$5002,0)))</f>
        <v>X44SEPA</v>
      </c>
      <c r="M2845" s="39">
        <v>1005</v>
      </c>
      <c r="N2845" s="39">
        <v>2000</v>
      </c>
      <c r="O2845" s="156">
        <v>1</v>
      </c>
      <c r="P2845" s="47">
        <v>1</v>
      </c>
      <c r="Q2845" s="57"/>
      <c r="R2845" s="271">
        <f ca="1">IF(D2845="","",IF(OFFSET(D2845,-1,0)&lt;&gt;"","",IF(OR(J2845="リード付け",J2845="巻足し",J2845="巻返しリード付け"),M2845,VLOOKUP(D2845,契約台帳!$A$3:$N$4986,14,FALSE))))</f>
        <v>1005</v>
      </c>
      <c r="S2845" s="272">
        <f ca="1">IF(D2845="","",IF(OFFSET(D2845,-1,0)&lt;&gt;"","",IF(OR(J2845="リード付け",J2845="巻足し",J2845="巻返しリード付け"),M2845,VLOOKUP(D2845,契約台帳!$A$3:$O$4986,15,FALSE))))</f>
        <v>1000</v>
      </c>
      <c r="T2845" s="273">
        <f ca="1">IF(D2845="","",IF(J2845="リード付け",N2845,IF(J2845="巻返しリード付け",N2845,IF(J2845="巻足し",N2845*P2845+OFFSET(N2845,1,0)*OFFSET(P2845,1,0),VLOOKUP(D2845,契約台帳!$A$3:$P$4986,16,FALSE)))))</f>
        <v>2000</v>
      </c>
      <c r="U2845" s="40">
        <v>1</v>
      </c>
      <c r="V2845" s="274">
        <f ca="1">IF(D2845="","",IF(OFFSET(D2845,-2,0)=D2845,"",VLOOKUP(D2845,契約台帳!$A$3:$R$4986,18,FALSE)))</f>
        <v>1</v>
      </c>
      <c r="W2845" s="269" t="str">
        <f ca="1">IF(D2845="","",IF(T2845="","",IF(OR(J2845="巻足し",J2845="巻返しリード付け"),"",IF(J2845="巻返し",VLOOKUP(F2845&amp;K2845&amp;M2845,製品マスタ!$M$5:$AD$5002,18,FALSE),IF(OR(J2845="リード付け",J2845="巻返しリード付け"),"原反コア",IF(J2845="スリット",VLOOKUP(F2845&amp;K2845&amp;R2845,製品マスタ!$N$5:$AD$5002,17,FALSE),""))))))</f>
        <v>6ｲﾝﾁSｺｱ</v>
      </c>
      <c r="X2845" s="269">
        <f ca="1">IF(D2845="","",IF(T2845="","",IF(J2845="巻足し","",IF(J2845="巻返し",VLOOKUP(F2845&amp;K2845&amp;M2845,製品マスタ!$M$5:$AE$5002,19,FALSE),IF(OR(J2845="リード付け",J2845="巻返しリード付け"),"",IF(J2845="スリット",VLOOKUP(F2845&amp;K2845&amp;R2845,製品マスタ!$N$5:$AE$5002,18,FALSE),""))))))</f>
        <v>1015</v>
      </c>
      <c r="Y2845" s="275">
        <f ca="1">IF(D2845="","",IF(T2845="","",VLOOKUP(D2845,契約台帳!$A$3:$Q$4986,17,FALSE)))</f>
        <v>2</v>
      </c>
      <c r="Z2845" s="269" t="str">
        <f ca="1">IF(D2845="","",IF(T2845="","",VLOOKUP(D2845,契約台帳!$A$3:$E$4986,5,FALSE)))</f>
        <v>リンテック㈱</v>
      </c>
      <c r="AA2845" s="57"/>
      <c r="AB2845" s="207"/>
      <c r="AC2845" s="33"/>
      <c r="AD2845" s="189"/>
      <c r="AE2845" s="54"/>
      <c r="AF2845" s="55"/>
      <c r="AG2845" s="43"/>
      <c r="AH2845" s="47"/>
      <c r="AI2845" s="30"/>
      <c r="AJ2845" s="30"/>
      <c r="AK2845" s="30"/>
      <c r="AL2845" s="30"/>
      <c r="AM2845" s="13"/>
      <c r="AN2845" s="13"/>
      <c r="AO2845" s="13"/>
      <c r="AP2845" s="13"/>
      <c r="AQ2845" s="13"/>
      <c r="AR2845" s="14"/>
      <c r="AS2845" s="15"/>
    </row>
    <row r="2846" spans="1:45" s="17" customFormat="1" ht="30.95" customHeight="1" x14ac:dyDescent="0.2">
      <c r="A2846" s="343"/>
      <c r="B2846" s="344"/>
      <c r="C2846" s="345"/>
      <c r="D2846" s="346"/>
      <c r="E2846" s="346"/>
      <c r="F2846" s="268"/>
      <c r="G2846" s="269"/>
      <c r="H2846" s="269"/>
      <c r="I2846" s="270"/>
      <c r="J2846" s="434"/>
      <c r="K2846" s="270"/>
      <c r="L2846" s="270"/>
      <c r="M2846" s="348"/>
      <c r="N2846" s="348"/>
      <c r="O2846" s="435"/>
      <c r="P2846" s="349"/>
      <c r="Q2846" s="350"/>
      <c r="R2846" s="271"/>
      <c r="S2846" s="272"/>
      <c r="T2846" s="273"/>
      <c r="U2846" s="351"/>
      <c r="V2846" s="274"/>
      <c r="W2846" s="269"/>
      <c r="X2846" s="269"/>
      <c r="Y2846" s="275"/>
      <c r="Z2846" s="269"/>
      <c r="AA2846" s="350"/>
      <c r="AB2846" s="207"/>
      <c r="AC2846" s="352"/>
      <c r="AD2846" s="353"/>
      <c r="AE2846" s="54"/>
      <c r="AF2846" s="354"/>
      <c r="AG2846" s="355"/>
      <c r="AH2846" s="349"/>
      <c r="AI2846" s="30"/>
      <c r="AJ2846" s="30"/>
      <c r="AK2846" s="30"/>
      <c r="AL2846" s="30"/>
      <c r="AM2846" s="13"/>
      <c r="AN2846" s="13"/>
      <c r="AO2846" s="13"/>
      <c r="AP2846" s="13"/>
      <c r="AQ2846" s="13"/>
      <c r="AR2846" s="14"/>
      <c r="AS2846" s="15"/>
    </row>
    <row r="2847" spans="1:45" s="17" customFormat="1" ht="30.6" customHeight="1" x14ac:dyDescent="0.2">
      <c r="A2847" s="343" t="s">
        <v>3442</v>
      </c>
      <c r="B2847" s="344" t="s">
        <v>3431</v>
      </c>
      <c r="C2847" s="45"/>
      <c r="D2847" s="31">
        <v>3790261</v>
      </c>
      <c r="E2847" s="279"/>
      <c r="F2847" s="268" t="str">
        <f>IF(D2847="","",VLOOKUP(D2847,契約台帳!$A$3:$K$4986,6,FALSE)&amp;VLOOKUP(D2847,契約台帳!$A$3:$K$4986,7,FALSE)&amp;VLOOKUP(D2847,契約台帳!$A$3:$K$4986,8,FALSE)&amp;VLOOKUP(D2847,契約台帳!$A$3:$K$4986,9,FALSE)&amp;VLOOKUP(D2847,契約台帳!$A$3:$K$4986,11,FALSE))</f>
        <v>33SSNMCLBTEKKFV</v>
      </c>
      <c r="G2847" s="269" t="str">
        <f>IF(D2847="","",VLOOKUP(F2847,製品マスタ!$G$5:$H$5002,2,FALSE))</f>
        <v>S</v>
      </c>
      <c r="H2847" s="269" t="str">
        <f>IF(D2847="","",VLOOKUP(F2847,製品マスタ!$G$5:$K$5002,5,FALSE))</f>
        <v>TEKKFV</v>
      </c>
      <c r="I2847" s="270" t="str">
        <f>IF(D2847="","",VLOOKUP(F2847,製品マスタ!$G$5:$L$5002,6,FALSE))</f>
        <v>メタルミー　ＴＥＳ消開封　Ｖ</v>
      </c>
      <c r="J2847" s="210" t="s">
        <v>447</v>
      </c>
      <c r="K2847" s="270">
        <f>IF(D2847="","",VLOOKUP(D2847,契約台帳!$A$3:$L$4986,12,FALSE))</f>
        <v>50</v>
      </c>
      <c r="L2847" s="270" t="str">
        <f>IF(D2847="","",INDEX(製品マスタ!$Q$5:$Q$5002,MATCH('S4'!F2847&amp;'S4'!K2847,製品マスタ!$AO$5:$AO$5002,0)))</f>
        <v>X44SEPA</v>
      </c>
      <c r="M2847" s="39">
        <v>1005</v>
      </c>
      <c r="N2847" s="39">
        <v>12000</v>
      </c>
      <c r="O2847" s="156">
        <v>2</v>
      </c>
      <c r="P2847" s="47">
        <v>2</v>
      </c>
      <c r="Q2847" s="57"/>
      <c r="R2847" s="271">
        <f ca="1">IF(D2847="","",IF(OFFSET(D2847,-1,0)&lt;&gt;"","",IF(OR(J2847="リード付け",J2847="巻足し",J2847="巻返しリード付け"),M2847,VLOOKUP(D2847,契約台帳!$A$3:$N$4986,14,FALSE))))</f>
        <v>1005</v>
      </c>
      <c r="S2847" s="272">
        <f ca="1">IF(D2847="","",IF(OFFSET(D2847,-1,0)&lt;&gt;"","",IF(OR(J2847="リード付け",J2847="巻足し",J2847="巻返しリード付け"),M2847,VLOOKUP(D2847,契約台帳!$A$3:$O$4986,15,FALSE))))</f>
        <v>1000</v>
      </c>
      <c r="T2847" s="273">
        <f ca="1">IF(D2847="","",IF(J2847="リード付け",N2847,IF(J2847="巻返しリード付け",N2847,IF(J2847="巻足し",N2847*P2847+OFFSET(N2847,1,0)*OFFSET(P2847,1,0),VLOOKUP(D2847,契約台帳!$A$3:$P$4986,16,FALSE)))))</f>
        <v>4000</v>
      </c>
      <c r="U2847" s="40">
        <v>6</v>
      </c>
      <c r="V2847" s="274">
        <f ca="1">IF(D2847="","",IF(OFFSET(D2847,-2,0)=D2847,"",VLOOKUP(D2847,契約台帳!$A$3:$R$4986,18,FALSE)))</f>
        <v>6</v>
      </c>
      <c r="W2847" s="269" t="str">
        <f ca="1">IF(D2847="","",IF(T2847="","",IF(OR(J2847="巻足し",J2847="巻返しリード付け"),"",IF(J2847="巻返し",VLOOKUP(F2847&amp;K2847&amp;M2847,製品マスタ!$M$5:$AD$5002,18,FALSE),IF(OR(J2847="リード付け",J2847="巻返しリード付け"),"原反コア",IF(J2847="スリット",VLOOKUP(F2847&amp;K2847&amp;R2847,製品マスタ!$N$5:$AD$5002,17,FALSE),""))))))</f>
        <v>6ｲﾝﾁSｺｱ</v>
      </c>
      <c r="X2847" s="269">
        <f ca="1">IF(D2847="","",IF(T2847="","",IF(J2847="巻足し","",IF(J2847="巻返し",VLOOKUP(F2847&amp;K2847&amp;M2847,製品マスタ!$M$5:$AE$5002,19,FALSE),IF(OR(J2847="リード付け",J2847="巻返しリード付け"),"",IF(J2847="スリット",VLOOKUP(F2847&amp;K2847&amp;R2847,製品マスタ!$N$5:$AE$5002,18,FALSE),""))))))</f>
        <v>1015</v>
      </c>
      <c r="Y2847" s="275">
        <f ca="1">IF(D2847="","",IF(T2847="","",VLOOKUP(D2847,契約台帳!$A$3:$Q$4986,17,FALSE)))</f>
        <v>2</v>
      </c>
      <c r="Z2847" s="269" t="str">
        <f ca="1">IF(D2847="","",IF(T2847="","",VLOOKUP(D2847,契約台帳!$A$3:$E$4986,5,FALSE)))</f>
        <v>リンテック㈱</v>
      </c>
      <c r="AA2847" s="57"/>
      <c r="AB2847" s="207"/>
      <c r="AC2847" s="33"/>
      <c r="AD2847" s="189"/>
      <c r="AE2847" s="54"/>
      <c r="AF2847" s="55"/>
      <c r="AG2847" s="43"/>
      <c r="AH2847" s="47"/>
      <c r="AI2847" s="30"/>
      <c r="AJ2847" s="30"/>
      <c r="AK2847" s="30"/>
      <c r="AL2847" s="30"/>
      <c r="AM2847" s="13"/>
      <c r="AN2847" s="13"/>
      <c r="AO2847" s="13"/>
      <c r="AP2847" s="13"/>
      <c r="AQ2847" s="13"/>
      <c r="AR2847" s="14"/>
      <c r="AS2847" s="15"/>
    </row>
    <row r="2848" spans="1:45" s="17" customFormat="1" ht="30.95" customHeight="1" x14ac:dyDescent="0.2">
      <c r="A2848" s="343"/>
      <c r="B2848" s="344"/>
      <c r="C2848" s="345"/>
      <c r="D2848" s="346"/>
      <c r="E2848" s="346"/>
      <c r="F2848" s="268"/>
      <c r="G2848" s="269"/>
      <c r="H2848" s="269"/>
      <c r="I2848" s="270"/>
      <c r="J2848" s="434"/>
      <c r="K2848" s="270"/>
      <c r="L2848" s="270"/>
      <c r="M2848" s="348"/>
      <c r="N2848" s="348"/>
      <c r="O2848" s="435"/>
      <c r="P2848" s="349"/>
      <c r="Q2848" s="350"/>
      <c r="R2848" s="271"/>
      <c r="S2848" s="272"/>
      <c r="T2848" s="273"/>
      <c r="U2848" s="351"/>
      <c r="V2848" s="274"/>
      <c r="W2848" s="269"/>
      <c r="X2848" s="269"/>
      <c r="Y2848" s="275"/>
      <c r="Z2848" s="269"/>
      <c r="AA2848" s="350"/>
      <c r="AB2848" s="207"/>
      <c r="AC2848" s="352"/>
      <c r="AD2848" s="353"/>
      <c r="AE2848" s="54"/>
      <c r="AF2848" s="354"/>
      <c r="AG2848" s="355"/>
      <c r="AH2848" s="349"/>
      <c r="AI2848" s="30"/>
      <c r="AJ2848" s="30"/>
      <c r="AK2848" s="30"/>
      <c r="AL2848" s="30"/>
      <c r="AM2848" s="13"/>
      <c r="AN2848" s="13"/>
      <c r="AO2848" s="13"/>
      <c r="AP2848" s="13"/>
      <c r="AQ2848" s="13"/>
      <c r="AR2848" s="14"/>
      <c r="AS2848" s="15"/>
    </row>
    <row r="2849" spans="1:45" s="17" customFormat="1" ht="30.6" customHeight="1" x14ac:dyDescent="0.2">
      <c r="A2849" s="343"/>
      <c r="B2849" s="344"/>
      <c r="C2849" s="45"/>
      <c r="D2849" s="31">
        <v>3790262</v>
      </c>
      <c r="E2849" s="279"/>
      <c r="F2849" s="268" t="str">
        <f>IF(D2849="","",VLOOKUP(D2849,契約台帳!$A$3:$K$4986,6,FALSE)&amp;VLOOKUP(D2849,契約台帳!$A$3:$K$4986,7,FALSE)&amp;VLOOKUP(D2849,契約台帳!$A$3:$K$4986,8,FALSE)&amp;VLOOKUP(D2849,契約台帳!$A$3:$K$4986,9,FALSE)&amp;VLOOKUP(D2849,契約台帳!$A$3:$K$4986,11,FALSE))</f>
        <v>33SSNMCLBTEKV0V</v>
      </c>
      <c r="G2849" s="269" t="str">
        <f>IF(D2849="","",VLOOKUP(F2849,製品マスタ!$G$5:$H$5002,2,FALSE))</f>
        <v>S</v>
      </c>
      <c r="H2849" s="269" t="str">
        <f>IF(D2849="","",VLOOKUP(F2849,製品マスタ!$G$5:$K$5002,5,FALSE))</f>
        <v>TEKV0V</v>
      </c>
      <c r="I2849" s="270" t="str">
        <f>IF(D2849="","",VLOOKUP(F2849,製品マスタ!$G$5:$L$5002,6,FALSE))</f>
        <v>メタルミー　ＴＥ－Ｓ消　ＶＯＩＤ　Ｖ</v>
      </c>
      <c r="J2849" s="210" t="s">
        <v>447</v>
      </c>
      <c r="K2849" s="270">
        <f>IF(D2849="","",VLOOKUP(D2849,契約台帳!$A$3:$L$4986,12,FALSE))</f>
        <v>50</v>
      </c>
      <c r="L2849" s="270" t="str">
        <f>IF(D2849="","",INDEX(製品マスタ!$Q$5:$Q$5002,MATCH('S4'!F2849&amp;'S4'!K2849,製品マスタ!$AO$5:$AO$5002,0)))</f>
        <v>X44SEPA</v>
      </c>
      <c r="M2849" s="39">
        <v>1005</v>
      </c>
      <c r="N2849" s="39">
        <v>12000</v>
      </c>
      <c r="O2849" s="156">
        <v>1</v>
      </c>
      <c r="P2849" s="47">
        <v>1</v>
      </c>
      <c r="Q2849" s="57"/>
      <c r="R2849" s="271">
        <f ca="1">IF(D2849="","",IF(OFFSET(D2849,-1,0)&lt;&gt;"","",IF(OR(J2849="リード付け",J2849="巻足し",J2849="巻返しリード付け"),M2849,VLOOKUP(D2849,契約台帳!$A$3:$N$4986,14,FALSE))))</f>
        <v>1005</v>
      </c>
      <c r="S2849" s="272">
        <f ca="1">IF(D2849="","",IF(OFFSET(D2849,-1,0)&lt;&gt;"","",IF(OR(J2849="リード付け",J2849="巻足し",J2849="巻返しリード付け"),M2849,VLOOKUP(D2849,契約台帳!$A$3:$O$4986,15,FALSE))))</f>
        <v>1000</v>
      </c>
      <c r="T2849" s="273">
        <f ca="1">IF(D2849="","",IF(J2849="リード付け",N2849,IF(J2849="巻返しリード付け",N2849,IF(J2849="巻足し",N2849*P2849+OFFSET(N2849,1,0)*OFFSET(P2849,1,0),VLOOKUP(D2849,契約台帳!$A$3:$P$4986,16,FALSE)))))</f>
        <v>4000</v>
      </c>
      <c r="U2849" s="40">
        <v>2</v>
      </c>
      <c r="V2849" s="274">
        <f ca="1">IF(D2849="","",IF(OFFSET(D2849,-2,0)=D2849,"",VLOOKUP(D2849,契約台帳!$A$3:$R$4986,18,FALSE)))</f>
        <v>2</v>
      </c>
      <c r="W2849" s="269" t="str">
        <f ca="1">IF(D2849="","",IF(T2849="","",IF(OR(J2849="巻足し",J2849="巻返しリード付け"),"",IF(J2849="巻返し",VLOOKUP(F2849&amp;K2849&amp;M2849,製品マスタ!$M$5:$AD$5002,18,FALSE),IF(OR(J2849="リード付け",J2849="巻返しリード付け"),"原反コア",IF(J2849="スリット",VLOOKUP(F2849&amp;K2849&amp;R2849,製品マスタ!$N$5:$AD$5002,17,FALSE),""))))))</f>
        <v>6ｲﾝﾁSｺｱ</v>
      </c>
      <c r="X2849" s="269">
        <f ca="1">IF(D2849="","",IF(T2849="","",IF(J2849="巻足し","",IF(J2849="巻返し",VLOOKUP(F2849&amp;K2849&amp;M2849,製品マスタ!$M$5:$AE$5002,19,FALSE),IF(OR(J2849="リード付け",J2849="巻返しリード付け"),"",IF(J2849="スリット",VLOOKUP(F2849&amp;K2849&amp;R2849,製品マスタ!$N$5:$AE$5002,18,FALSE),""))))))</f>
        <v>1015</v>
      </c>
      <c r="Y2849" s="275">
        <f ca="1">IF(D2849="","",IF(T2849="","",VLOOKUP(D2849,契約台帳!$A$3:$Q$4986,17,FALSE)))</f>
        <v>2</v>
      </c>
      <c r="Z2849" s="269" t="str">
        <f ca="1">IF(D2849="","",IF(T2849="","",VLOOKUP(D2849,契約台帳!$A$3:$E$4986,5,FALSE)))</f>
        <v>リンテック㈱</v>
      </c>
      <c r="AA2849" s="57"/>
      <c r="AB2849" s="207"/>
      <c r="AC2849" s="33"/>
      <c r="AD2849" s="189"/>
      <c r="AE2849" s="54"/>
      <c r="AF2849" s="55"/>
      <c r="AG2849" s="43"/>
      <c r="AH2849" s="47"/>
      <c r="AI2849" s="30"/>
      <c r="AJ2849" s="30"/>
      <c r="AK2849" s="30"/>
      <c r="AL2849" s="30"/>
      <c r="AM2849" s="13"/>
      <c r="AN2849" s="13"/>
      <c r="AO2849" s="13"/>
      <c r="AP2849" s="13"/>
      <c r="AQ2849" s="13"/>
      <c r="AR2849" s="14"/>
      <c r="AS2849" s="15"/>
    </row>
    <row r="2850" spans="1:45" s="17" customFormat="1" ht="30.6" customHeight="1" x14ac:dyDescent="0.2">
      <c r="A2850" s="343"/>
      <c r="B2850" s="344"/>
      <c r="C2850" s="45"/>
      <c r="D2850" s="31">
        <v>3790263</v>
      </c>
      <c r="E2850" s="279"/>
      <c r="F2850" s="268" t="str">
        <f>IF(D2850="","",VLOOKUP(D2850,契約台帳!$A$3:$K$4986,6,FALSE)&amp;VLOOKUP(D2850,契約台帳!$A$3:$K$4986,7,FALSE)&amp;VLOOKUP(D2850,契約台帳!$A$3:$K$4986,8,FALSE)&amp;VLOOKUP(D2850,契約台帳!$A$3:$K$4986,9,FALSE)&amp;VLOOKUP(D2850,契約台帳!$A$3:$K$4986,11,FALSE))</f>
        <v>33SSYMCLBTEKV0V</v>
      </c>
      <c r="G2850" s="269" t="str">
        <f>IF(D2850="","",VLOOKUP(F2850,製品マスタ!$G$5:$H$5002,2,FALSE))</f>
        <v>S</v>
      </c>
      <c r="H2850" s="269" t="str">
        <f>IF(D2850="","",VLOOKUP(F2850,製品マスタ!$G$5:$K$5002,5,FALSE))</f>
        <v>TEKV0V</v>
      </c>
      <c r="I2850" s="270" t="str">
        <f>IF(D2850="","",VLOOKUP(F2850,製品マスタ!$G$5:$L$5002,6,FALSE))</f>
        <v>メタルミー　ＴＥ－Ｓ消　ＶＯＩＤ　Ｖ</v>
      </c>
      <c r="J2850" s="210" t="s">
        <v>447</v>
      </c>
      <c r="K2850" s="270">
        <f>IF(D2850="","",VLOOKUP(D2850,契約台帳!$A$3:$L$4986,12,FALSE))</f>
        <v>50</v>
      </c>
      <c r="L2850" s="270" t="str">
        <f>IF(D2850="","",INDEX(製品マスタ!$Q$5:$Q$5002,MATCH('S4'!F2850&amp;'S4'!K2850,製品マスタ!$AO$5:$AO$5002,0)))</f>
        <v>X44SEPA</v>
      </c>
      <c r="M2850" s="39">
        <v>1005</v>
      </c>
      <c r="N2850" s="39"/>
      <c r="O2850" s="156"/>
      <c r="P2850" s="47"/>
      <c r="Q2850" s="57"/>
      <c r="R2850" s="271" t="str">
        <f ca="1">IF(D2850="","",IF(OFFSET(D2850,-1,0)&lt;&gt;"","",IF(OR(J2850="リード付け",J2850="巻足し",J2850="巻返しリード付け"),M2850,VLOOKUP(D2850,契約台帳!$A$3:$N$4986,14,FALSE))))</f>
        <v/>
      </c>
      <c r="S2850" s="272" t="str">
        <f ca="1">IF(D2850="","",IF(OFFSET(D2850,-1,0)&lt;&gt;"","",IF(OR(J2850="リード付け",J2850="巻足し",J2850="巻返しリード付け"),M2850,VLOOKUP(D2850,契約台帳!$A$3:$O$4986,15,FALSE))))</f>
        <v/>
      </c>
      <c r="T2850" s="273">
        <f ca="1">IF(D2850="","",IF(J2850="リード付け",N2850,IF(J2850="巻返しリード付け",N2850,IF(J2850="巻足し",N2850*P2850+OFFSET(N2850,1,0)*OFFSET(P2850,1,0),VLOOKUP(D2850,契約台帳!$A$3:$P$4986,16,FALSE)))))</f>
        <v>4000</v>
      </c>
      <c r="U2850" s="40">
        <v>1</v>
      </c>
      <c r="V2850" s="274">
        <f ca="1">IF(D2850="","",IF(OFFSET(D2850,-2,0)=D2850,"",VLOOKUP(D2850,契約台帳!$A$3:$R$4986,18,FALSE)))</f>
        <v>1</v>
      </c>
      <c r="W2850" s="269" t="str">
        <f ca="1">IF(D2850="","",IF(T2850="","",IF(OR(J2850="巻足し",J2850="巻返しリード付け"),"",IF(J2850="巻返し",VLOOKUP(F2850&amp;K2850&amp;M2850,製品マスタ!$M$5:$AD$5002,18,FALSE),IF(OR(J2850="リード付け",J2850="巻返しリード付け"),"原反コア",IF(J2850="スリット",VLOOKUP(F2850&amp;K2850&amp;R2850,製品マスタ!$N$5:$AD$5002,17,FALSE),""))))))</f>
        <v>6ｲﾝﾁSｺｱ</v>
      </c>
      <c r="X2850" s="269">
        <f ca="1">IF(D2850="","",IF(T2850="","",IF(J2850="巻足し","",IF(J2850="巻返し",VLOOKUP(F2850&amp;K2850&amp;M2850,製品マスタ!$M$5:$AE$5002,19,FALSE),IF(OR(J2850="リード付け",J2850="巻返しリード付け"),"",IF(J2850="スリット",VLOOKUP(F2850&amp;K2850&amp;R2850,製品マスタ!$N$5:$AE$5002,18,FALSE),""))))))</f>
        <v>1015</v>
      </c>
      <c r="Y2850" s="275">
        <f ca="1">IF(D2850="","",IF(T2850="","",VLOOKUP(D2850,契約台帳!$A$3:$Q$4986,17,FALSE)))</f>
        <v>2</v>
      </c>
      <c r="Z2850" s="269" t="str">
        <f ca="1">IF(D2850="","",IF(T2850="","",VLOOKUP(D2850,契約台帳!$A$3:$E$4986,5,FALSE)))</f>
        <v>リンテック㈱</v>
      </c>
      <c r="AA2850" s="57"/>
      <c r="AB2850" s="429" t="s">
        <v>3445</v>
      </c>
      <c r="AC2850" s="33"/>
      <c r="AD2850" s="189"/>
      <c r="AE2850" s="54"/>
      <c r="AF2850" s="55"/>
      <c r="AG2850" s="43"/>
      <c r="AH2850" s="47"/>
      <c r="AI2850" s="30"/>
      <c r="AJ2850" s="30"/>
      <c r="AK2850" s="30"/>
      <c r="AL2850" s="30"/>
      <c r="AM2850" s="13"/>
      <c r="AN2850" s="13"/>
      <c r="AO2850" s="13"/>
      <c r="AP2850" s="13"/>
      <c r="AQ2850" s="13"/>
      <c r="AR2850" s="14"/>
      <c r="AS2850" s="15"/>
    </row>
    <row r="2851" spans="1:45" s="17" customFormat="1" ht="30.95" customHeight="1" x14ac:dyDescent="0.2">
      <c r="A2851" s="343"/>
      <c r="B2851" s="344"/>
      <c r="C2851" s="345"/>
      <c r="D2851" s="346"/>
      <c r="E2851" s="346"/>
      <c r="F2851" s="268"/>
      <c r="G2851" s="269"/>
      <c r="H2851" s="269"/>
      <c r="I2851" s="270"/>
      <c r="J2851" s="434"/>
      <c r="K2851" s="270"/>
      <c r="L2851" s="270"/>
      <c r="M2851" s="348"/>
      <c r="N2851" s="348"/>
      <c r="O2851" s="435"/>
      <c r="P2851" s="349"/>
      <c r="Q2851" s="350"/>
      <c r="R2851" s="271"/>
      <c r="S2851" s="272"/>
      <c r="T2851" s="273"/>
      <c r="U2851" s="351"/>
      <c r="V2851" s="274"/>
      <c r="W2851" s="269"/>
      <c r="X2851" s="269"/>
      <c r="Y2851" s="275"/>
      <c r="Z2851" s="269"/>
      <c r="AA2851" s="350"/>
      <c r="AB2851" s="207"/>
      <c r="AC2851" s="352"/>
      <c r="AD2851" s="353"/>
      <c r="AE2851" s="54"/>
      <c r="AF2851" s="354"/>
      <c r="AG2851" s="355"/>
      <c r="AH2851" s="349"/>
      <c r="AI2851" s="30"/>
      <c r="AJ2851" s="30"/>
      <c r="AK2851" s="30"/>
      <c r="AL2851" s="30"/>
      <c r="AM2851" s="13"/>
      <c r="AN2851" s="13"/>
      <c r="AO2851" s="13"/>
      <c r="AP2851" s="13"/>
      <c r="AQ2851" s="13"/>
      <c r="AR2851" s="14"/>
      <c r="AS2851" s="15"/>
    </row>
    <row r="2852" spans="1:45" s="17" customFormat="1" ht="30.6" customHeight="1" x14ac:dyDescent="0.2">
      <c r="A2852" s="343"/>
      <c r="B2852" s="344"/>
      <c r="C2852" s="45"/>
      <c r="D2852" s="31">
        <v>3790268</v>
      </c>
      <c r="E2852" s="279"/>
      <c r="F2852" s="268" t="str">
        <f>IF(D2852="","",VLOOKUP(D2852,契約台帳!$A$3:$K$4986,6,FALSE)&amp;VLOOKUP(D2852,契約台帳!$A$3:$K$4986,7,FALSE)&amp;VLOOKUP(D2852,契約台帳!$A$3:$K$4986,8,FALSE)&amp;VLOOKUP(D2852,契約台帳!$A$3:$K$4986,9,FALSE)&amp;VLOOKUP(D2852,契約台帳!$A$3:$K$4986,11,FALSE))</f>
        <v>3TNMCLBHLGTV</v>
      </c>
      <c r="G2852" s="269" t="str">
        <f>IF(D2852="","",VLOOKUP(F2852,製品マスタ!$G$5:$H$5002,2,FALSE))</f>
        <v>T</v>
      </c>
      <c r="H2852" s="269" t="str">
        <f>IF(D2852="","",VLOOKUP(F2852,製品マスタ!$G$5:$K$5002,5,FALSE))</f>
        <v>HLGTV</v>
      </c>
      <c r="I2852" s="270" t="str">
        <f>IF(D2852="","",VLOOKUP(F2852,製品マスタ!$G$5:$L$5002,6,FALSE))</f>
        <v>メタルミー　ヘヤライン　銀艶Ｖ</v>
      </c>
      <c r="J2852" s="210" t="s">
        <v>447</v>
      </c>
      <c r="K2852" s="270">
        <f>IF(D2852="","",VLOOKUP(D2852,契約台帳!$A$3:$L$4986,12,FALSE))</f>
        <v>25</v>
      </c>
      <c r="L2852" s="270" t="str">
        <f>IF(D2852="","",INDEX(製品マスタ!$Q$5:$Q$5002,MATCH('S4'!F2852&amp;'S4'!K2852,製品マスタ!$AO$5:$AO$5002,0)))</f>
        <v>BRIGHT</v>
      </c>
      <c r="M2852" s="39">
        <v>1005</v>
      </c>
      <c r="N2852" s="39">
        <v>8000</v>
      </c>
      <c r="O2852" s="156">
        <v>1</v>
      </c>
      <c r="P2852" s="47">
        <v>1</v>
      </c>
      <c r="Q2852" s="57"/>
      <c r="R2852" s="271">
        <f ca="1">IF(D2852="","",IF(OFFSET(D2852,-1,0)&lt;&gt;"","",IF(OR(J2852="リード付け",J2852="巻足し",J2852="巻返しリード付け"),M2852,VLOOKUP(D2852,契約台帳!$A$3:$N$4986,14,FALSE))))</f>
        <v>1005</v>
      </c>
      <c r="S2852" s="272">
        <f ca="1">IF(D2852="","",IF(OFFSET(D2852,-1,0)&lt;&gt;"","",IF(OR(J2852="リード付け",J2852="巻足し",J2852="巻返しリード付け"),M2852,VLOOKUP(D2852,契約台帳!$A$3:$O$4986,15,FALSE))))</f>
        <v>1000</v>
      </c>
      <c r="T2852" s="273">
        <f ca="1">IF(D2852="","",IF(J2852="リード付け",N2852,IF(J2852="巻返しリード付け",N2852,IF(J2852="巻足し",N2852*P2852+OFFSET(N2852,1,0)*OFFSET(P2852,1,0),VLOOKUP(D2852,契約台帳!$A$3:$P$4986,16,FALSE)))))</f>
        <v>2000</v>
      </c>
      <c r="U2852" s="40">
        <v>4</v>
      </c>
      <c r="V2852" s="274">
        <f ca="1">IF(D2852="","",IF(OFFSET(D2852,-2,0)=D2852,"",VLOOKUP(D2852,契約台帳!$A$3:$R$4986,18,FALSE)))</f>
        <v>4</v>
      </c>
      <c r="W2852" s="269" t="str">
        <f ca="1">IF(D2852="","",IF(T2852="","",IF(OR(J2852="巻足し",J2852="巻返しリード付け"),"",IF(J2852="巻返し",VLOOKUP(F2852&amp;K2852&amp;M2852,製品マスタ!$M$5:$AD$5002,18,FALSE),IF(OR(J2852="リード付け",J2852="巻返しリード付け"),"原反コア",IF(J2852="スリット",VLOOKUP(F2852&amp;K2852&amp;R2852,製品マスタ!$N$5:$AD$5002,17,FALSE),""))))))</f>
        <v>6ｲﾝﾁSｺｱ</v>
      </c>
      <c r="X2852" s="269">
        <f ca="1">IF(D2852="","",IF(T2852="","",IF(J2852="巻足し","",IF(J2852="巻返し",VLOOKUP(F2852&amp;K2852&amp;M2852,製品マスタ!$M$5:$AE$5002,19,FALSE),IF(OR(J2852="リード付け",J2852="巻返しリード付け"),"",IF(J2852="スリット",VLOOKUP(F2852&amp;K2852&amp;R2852,製品マスタ!$N$5:$AE$5002,18,FALSE),""))))))</f>
        <v>1015</v>
      </c>
      <c r="Y2852" s="275">
        <f ca="1">IF(D2852="","",IF(T2852="","",VLOOKUP(D2852,契約台帳!$A$3:$Q$4986,17,FALSE)))</f>
        <v>2</v>
      </c>
      <c r="Z2852" s="269" t="str">
        <f ca="1">IF(D2852="","",IF(T2852="","",VLOOKUP(D2852,契約台帳!$A$3:$E$4986,5,FALSE)))</f>
        <v>リンテック㈱</v>
      </c>
      <c r="AA2852" s="57"/>
      <c r="AB2852" s="207"/>
      <c r="AC2852" s="33"/>
      <c r="AD2852" s="189"/>
      <c r="AE2852" s="54"/>
      <c r="AF2852" s="55"/>
      <c r="AG2852" s="43"/>
      <c r="AH2852" s="47"/>
      <c r="AI2852" s="30"/>
      <c r="AJ2852" s="30"/>
      <c r="AK2852" s="30"/>
      <c r="AL2852" s="30"/>
      <c r="AM2852" s="13"/>
      <c r="AN2852" s="13"/>
      <c r="AO2852" s="13"/>
      <c r="AP2852" s="13"/>
      <c r="AQ2852" s="13"/>
      <c r="AR2852" s="14"/>
      <c r="AS2852" s="15"/>
    </row>
    <row r="2853" spans="1:45" s="17" customFormat="1" ht="30.95" customHeight="1" x14ac:dyDescent="0.2">
      <c r="A2853" s="343"/>
      <c r="B2853" s="344"/>
      <c r="C2853" s="345"/>
      <c r="D2853" s="346"/>
      <c r="E2853" s="346"/>
      <c r="F2853" s="268"/>
      <c r="G2853" s="269"/>
      <c r="H2853" s="269"/>
      <c r="I2853" s="270"/>
      <c r="J2853" s="434"/>
      <c r="K2853" s="270"/>
      <c r="L2853" s="270"/>
      <c r="M2853" s="348"/>
      <c r="N2853" s="348"/>
      <c r="O2853" s="435"/>
      <c r="P2853" s="349"/>
      <c r="Q2853" s="350"/>
      <c r="R2853" s="271"/>
      <c r="S2853" s="272"/>
      <c r="T2853" s="273"/>
      <c r="U2853" s="351"/>
      <c r="V2853" s="274"/>
      <c r="W2853" s="269"/>
      <c r="X2853" s="269"/>
      <c r="Y2853" s="275"/>
      <c r="Z2853" s="269"/>
      <c r="AA2853" s="350"/>
      <c r="AB2853" s="207"/>
      <c r="AC2853" s="352"/>
      <c r="AD2853" s="353"/>
      <c r="AE2853" s="54"/>
      <c r="AF2853" s="354"/>
      <c r="AG2853" s="355"/>
      <c r="AH2853" s="349"/>
      <c r="AI2853" s="30"/>
      <c r="AJ2853" s="30"/>
      <c r="AK2853" s="30"/>
      <c r="AL2853" s="30"/>
      <c r="AM2853" s="13"/>
      <c r="AN2853" s="13"/>
      <c r="AO2853" s="13"/>
      <c r="AP2853" s="13"/>
      <c r="AQ2853" s="13"/>
      <c r="AR2853" s="14"/>
      <c r="AS2853" s="15"/>
    </row>
    <row r="2854" spans="1:45" s="17" customFormat="1" ht="30.95" customHeight="1" x14ac:dyDescent="0.2">
      <c r="A2854" s="343" t="s">
        <v>3443</v>
      </c>
      <c r="B2854" s="344" t="s">
        <v>3433</v>
      </c>
      <c r="C2854" s="345"/>
      <c r="D2854" s="346"/>
      <c r="E2854" s="346"/>
      <c r="F2854" s="268"/>
      <c r="G2854" s="269"/>
      <c r="H2854" s="269"/>
      <c r="I2854" s="270"/>
      <c r="J2854" s="434" t="s">
        <v>3446</v>
      </c>
      <c r="K2854" s="270"/>
      <c r="L2854" s="270"/>
      <c r="M2854" s="348"/>
      <c r="N2854" s="348"/>
      <c r="O2854" s="435"/>
      <c r="P2854" s="349"/>
      <c r="Q2854" s="350"/>
      <c r="R2854" s="271"/>
      <c r="S2854" s="272"/>
      <c r="T2854" s="273"/>
      <c r="U2854" s="351"/>
      <c r="V2854" s="274"/>
      <c r="W2854" s="269"/>
      <c r="X2854" s="269"/>
      <c r="Y2854" s="275"/>
      <c r="Z2854" s="269"/>
      <c r="AA2854" s="350"/>
      <c r="AB2854" s="207"/>
      <c r="AC2854" s="352"/>
      <c r="AD2854" s="353"/>
      <c r="AE2854" s="54"/>
      <c r="AF2854" s="354"/>
      <c r="AG2854" s="355"/>
      <c r="AH2854" s="349"/>
      <c r="AI2854" s="30"/>
      <c r="AJ2854" s="30"/>
      <c r="AK2854" s="30"/>
      <c r="AL2854" s="30"/>
      <c r="AM2854" s="13"/>
      <c r="AN2854" s="13"/>
      <c r="AO2854" s="13"/>
      <c r="AP2854" s="13"/>
      <c r="AQ2854" s="13"/>
      <c r="AR2854" s="14"/>
      <c r="AS2854" s="15"/>
    </row>
    <row r="2855" spans="1:45" s="17" customFormat="1" ht="30.95" customHeight="1" x14ac:dyDescent="0.2">
      <c r="A2855" s="343"/>
      <c r="B2855" s="344"/>
      <c r="C2855" s="345"/>
      <c r="D2855" s="346"/>
      <c r="E2855" s="346"/>
      <c r="F2855" s="268"/>
      <c r="G2855" s="269"/>
      <c r="H2855" s="269"/>
      <c r="I2855" s="270"/>
      <c r="J2855" s="434"/>
      <c r="K2855" s="270"/>
      <c r="L2855" s="270"/>
      <c r="M2855" s="348"/>
      <c r="N2855" s="348"/>
      <c r="O2855" s="435"/>
      <c r="P2855" s="349"/>
      <c r="Q2855" s="350"/>
      <c r="R2855" s="271"/>
      <c r="S2855" s="272"/>
      <c r="T2855" s="273"/>
      <c r="U2855" s="351"/>
      <c r="V2855" s="274"/>
      <c r="W2855" s="269"/>
      <c r="X2855" s="269"/>
      <c r="Y2855" s="275"/>
      <c r="Z2855" s="269"/>
      <c r="AA2855" s="350"/>
      <c r="AB2855" s="207"/>
      <c r="AC2855" s="352"/>
      <c r="AD2855" s="353"/>
      <c r="AE2855" s="54"/>
      <c r="AF2855" s="354"/>
      <c r="AG2855" s="355"/>
      <c r="AH2855" s="349"/>
      <c r="AI2855" s="30"/>
      <c r="AJ2855" s="30"/>
      <c r="AK2855" s="30"/>
      <c r="AL2855" s="30"/>
      <c r="AM2855" s="13"/>
      <c r="AN2855" s="13"/>
      <c r="AO2855" s="13"/>
      <c r="AP2855" s="13"/>
      <c r="AQ2855" s="13"/>
      <c r="AR2855" s="14"/>
      <c r="AS2855" s="15"/>
    </row>
    <row r="2856" spans="1:45" s="17" customFormat="1" ht="30.95" customHeight="1" x14ac:dyDescent="0.2">
      <c r="A2856" s="343" t="s">
        <v>3447</v>
      </c>
      <c r="B2856" s="344" t="s">
        <v>3435</v>
      </c>
      <c r="C2856" s="345"/>
      <c r="D2856" s="346"/>
      <c r="E2856" s="346"/>
      <c r="F2856" s="268"/>
      <c r="G2856" s="269"/>
      <c r="H2856" s="269"/>
      <c r="I2856" s="270"/>
      <c r="J2856" s="434" t="s">
        <v>3446</v>
      </c>
      <c r="K2856" s="270"/>
      <c r="L2856" s="270"/>
      <c r="M2856" s="348"/>
      <c r="N2856" s="348"/>
      <c r="O2856" s="435"/>
      <c r="P2856" s="349"/>
      <c r="Q2856" s="350"/>
      <c r="R2856" s="271"/>
      <c r="S2856" s="272"/>
      <c r="T2856" s="273"/>
      <c r="U2856" s="351"/>
      <c r="V2856" s="274"/>
      <c r="W2856" s="269"/>
      <c r="X2856" s="269"/>
      <c r="Y2856" s="275"/>
      <c r="Z2856" s="269"/>
      <c r="AA2856" s="350"/>
      <c r="AB2856" s="207"/>
      <c r="AC2856" s="352"/>
      <c r="AD2856" s="353"/>
      <c r="AE2856" s="54"/>
      <c r="AF2856" s="354"/>
      <c r="AG2856" s="355"/>
      <c r="AH2856" s="349"/>
      <c r="AI2856" s="30"/>
      <c r="AJ2856" s="30"/>
      <c r="AK2856" s="30"/>
      <c r="AL2856" s="30"/>
      <c r="AM2856" s="13"/>
      <c r="AN2856" s="13"/>
      <c r="AO2856" s="13"/>
      <c r="AP2856" s="13"/>
      <c r="AQ2856" s="13"/>
      <c r="AR2856" s="14"/>
      <c r="AS2856" s="15"/>
    </row>
    <row r="2857" spans="1:45" s="17" customFormat="1" ht="30.95" customHeight="1" x14ac:dyDescent="0.2">
      <c r="A2857" s="343"/>
      <c r="B2857" s="344"/>
      <c r="C2857" s="345"/>
      <c r="D2857" s="346"/>
      <c r="E2857" s="346"/>
      <c r="F2857" s="268"/>
      <c r="G2857" s="269"/>
      <c r="H2857" s="269"/>
      <c r="I2857" s="270"/>
      <c r="J2857" s="434"/>
      <c r="K2857" s="270"/>
      <c r="L2857" s="270"/>
      <c r="M2857" s="348"/>
      <c r="N2857" s="348"/>
      <c r="O2857" s="435"/>
      <c r="P2857" s="349"/>
      <c r="Q2857" s="350"/>
      <c r="R2857" s="271"/>
      <c r="S2857" s="272"/>
      <c r="T2857" s="273"/>
      <c r="U2857" s="351"/>
      <c r="V2857" s="274"/>
      <c r="W2857" s="269"/>
      <c r="X2857" s="269"/>
      <c r="Y2857" s="275"/>
      <c r="Z2857" s="269"/>
      <c r="AA2857" s="350"/>
      <c r="AB2857" s="207"/>
      <c r="AC2857" s="352"/>
      <c r="AD2857" s="353"/>
      <c r="AE2857" s="54"/>
      <c r="AF2857" s="354"/>
      <c r="AG2857" s="355"/>
      <c r="AH2857" s="349"/>
      <c r="AI2857" s="30"/>
      <c r="AJ2857" s="30"/>
      <c r="AK2857" s="30"/>
      <c r="AL2857" s="30"/>
      <c r="AM2857" s="13"/>
      <c r="AN2857" s="13"/>
      <c r="AO2857" s="13"/>
      <c r="AP2857" s="13"/>
      <c r="AQ2857" s="13"/>
      <c r="AR2857" s="14"/>
      <c r="AS2857" s="15"/>
    </row>
    <row r="2858" spans="1:45" s="17" customFormat="1" ht="30.95" customHeight="1" x14ac:dyDescent="0.2">
      <c r="A2858" s="343" t="s">
        <v>3448</v>
      </c>
      <c r="B2858" s="344" t="s">
        <v>3437</v>
      </c>
      <c r="C2858" s="345"/>
      <c r="D2858" s="346"/>
      <c r="E2858" s="346"/>
      <c r="F2858" s="268"/>
      <c r="G2858" s="269"/>
      <c r="H2858" s="269"/>
      <c r="I2858" s="270"/>
      <c r="J2858" s="434" t="s">
        <v>3444</v>
      </c>
      <c r="K2858" s="270"/>
      <c r="L2858" s="270"/>
      <c r="M2858" s="348"/>
      <c r="N2858" s="348"/>
      <c r="O2858" s="435"/>
      <c r="P2858" s="349"/>
      <c r="Q2858" s="350"/>
      <c r="R2858" s="271"/>
      <c r="S2858" s="272"/>
      <c r="T2858" s="273"/>
      <c r="U2858" s="351"/>
      <c r="V2858" s="274"/>
      <c r="W2858" s="269"/>
      <c r="X2858" s="269"/>
      <c r="Y2858" s="275"/>
      <c r="Z2858" s="269"/>
      <c r="AA2858" s="350"/>
      <c r="AB2858" s="207"/>
      <c r="AC2858" s="352"/>
      <c r="AD2858" s="353"/>
      <c r="AE2858" s="54"/>
      <c r="AF2858" s="354"/>
      <c r="AG2858" s="355"/>
      <c r="AH2858" s="349"/>
      <c r="AI2858" s="30"/>
      <c r="AJ2858" s="30"/>
      <c r="AK2858" s="30"/>
      <c r="AL2858" s="30"/>
      <c r="AM2858" s="13"/>
      <c r="AN2858" s="13"/>
      <c r="AO2858" s="13"/>
      <c r="AP2858" s="13"/>
      <c r="AQ2858" s="13"/>
      <c r="AR2858" s="14"/>
      <c r="AS2858" s="15"/>
    </row>
    <row r="2859" spans="1:45" s="17" customFormat="1" ht="30.95" customHeight="1" x14ac:dyDescent="0.2">
      <c r="A2859" s="343"/>
      <c r="B2859" s="344"/>
      <c r="C2859" s="345"/>
      <c r="D2859" s="346"/>
      <c r="E2859" s="346"/>
      <c r="F2859" s="268"/>
      <c r="G2859" s="269"/>
      <c r="H2859" s="269"/>
      <c r="I2859" s="270"/>
      <c r="J2859" s="434"/>
      <c r="K2859" s="270"/>
      <c r="L2859" s="270"/>
      <c r="M2859" s="348"/>
      <c r="N2859" s="348"/>
      <c r="O2859" s="435"/>
      <c r="P2859" s="349"/>
      <c r="Q2859" s="350"/>
      <c r="R2859" s="271"/>
      <c r="S2859" s="272"/>
      <c r="T2859" s="273"/>
      <c r="U2859" s="351"/>
      <c r="V2859" s="274"/>
      <c r="W2859" s="269"/>
      <c r="X2859" s="269"/>
      <c r="Y2859" s="275"/>
      <c r="Z2859" s="269"/>
      <c r="AA2859" s="350"/>
      <c r="AB2859" s="207"/>
      <c r="AC2859" s="352"/>
      <c r="AD2859" s="353"/>
      <c r="AE2859" s="54"/>
      <c r="AF2859" s="354"/>
      <c r="AG2859" s="355"/>
      <c r="AH2859" s="349"/>
      <c r="AI2859" s="30"/>
      <c r="AJ2859" s="30"/>
      <c r="AK2859" s="30"/>
      <c r="AL2859" s="30"/>
      <c r="AM2859" s="13"/>
      <c r="AN2859" s="13"/>
      <c r="AO2859" s="13"/>
      <c r="AP2859" s="13"/>
      <c r="AQ2859" s="13"/>
      <c r="AR2859" s="14"/>
      <c r="AS2859" s="15"/>
    </row>
    <row r="2860" spans="1:45" s="17" customFormat="1" ht="30.6" customHeight="1" x14ac:dyDescent="0.2">
      <c r="A2860" s="343" t="s">
        <v>3449</v>
      </c>
      <c r="B2860" s="344" t="s">
        <v>3439</v>
      </c>
      <c r="C2860" s="45"/>
      <c r="D2860" s="31">
        <v>3790248</v>
      </c>
      <c r="E2860" s="31"/>
      <c r="F2860" s="268" t="str">
        <f>IF(D2860="","",VLOOKUP(D2860,契約台帳!$A$3:$K$4986,6,FALSE)&amp;VLOOKUP(D2860,契約台帳!$A$3:$K$4986,7,FALSE)&amp;VLOOKUP(D2860,契約台帳!$A$3:$K$4986,8,FALSE)&amp;VLOOKUP(D2860,契約台帳!$A$3:$K$4986,9,FALSE)&amp;VLOOKUP(D2860,契約台帳!$A$3:$K$4986,11,FALSE))</f>
        <v>3SNMCLBMSNEYK</v>
      </c>
      <c r="G2860" s="269" t="str">
        <f>IF(D2860="","",VLOOKUP(F2860,製品マスタ!$G$5:$H$5002,2,FALSE))</f>
        <v>S</v>
      </c>
      <c r="H2860" s="269" t="str">
        <f>IF(D2860="","",VLOOKUP(F2860,製品マスタ!$G$5:$K$5002,5,FALSE))</f>
        <v>MSNEYK</v>
      </c>
      <c r="I2860" s="270" t="str">
        <f>IF(D2860="","",VLOOKUP(F2860,製品マスタ!$G$5:$L$5002,6,FALSE))</f>
        <v>ＭＳＮ　ＥＹＫ</v>
      </c>
      <c r="J2860" s="210" t="s">
        <v>935</v>
      </c>
      <c r="K2860" s="270">
        <f>IF(D2860="","",VLOOKUP(D2860,契約台帳!$A$3:$L$4986,12,FALSE))</f>
        <v>100</v>
      </c>
      <c r="L2860" s="270" t="str">
        <f>IF(D2860="","",INDEX(製品マスタ!$Q$5:$Q$5002,MATCH('S4'!F2860&amp;'S4'!K2860,製品マスタ!$AO$5:$AO$5002,0)))</f>
        <v>N-MAT</v>
      </c>
      <c r="M2860" s="39">
        <v>1205</v>
      </c>
      <c r="N2860" s="39">
        <v>2500</v>
      </c>
      <c r="O2860" s="156">
        <v>2</v>
      </c>
      <c r="P2860" s="47">
        <v>2</v>
      </c>
      <c r="Q2860" s="213">
        <v>45646</v>
      </c>
      <c r="R2860" s="271">
        <f ca="1">IF(D2860="","",IF(OFFSET(D2860,-1,0)&lt;&gt;"","",IF(OR(J2860="リード付け",J2860="巻足し",J2860="巻返しリード付け"),M2860,VLOOKUP(D2860,契約台帳!$A$3:$N$4986,14,FALSE))))</f>
        <v>1205</v>
      </c>
      <c r="S2860" s="272">
        <f ca="1">IF(D2860="","",IF(OFFSET(D2860,-1,0)&lt;&gt;"","",IF(OR(J2860="リード付け",J2860="巻足し",J2860="巻返しリード付け"),M2860,VLOOKUP(D2860,契約台帳!$A$3:$O$4986,15,FALSE))))</f>
        <v>1205</v>
      </c>
      <c r="T2860" s="273">
        <f ca="1">IF(D2860="","",IF(J2860="リード付け",N2860,IF(J2860="巻返しリード付け",N2860,IF(J2860="巻足し",N2860*P2860+OFFSET(N2860,1,0)*OFFSET(P2860,1,0),VLOOKUP(D2860,契約台帳!$A$3:$P$4986,16,FALSE)))))</f>
        <v>5000</v>
      </c>
      <c r="U2860" s="40">
        <v>1</v>
      </c>
      <c r="V2860" s="274">
        <f ca="1">IF(D2860="","",IF(OFFSET(D2860,-2,0)=D2860,"",VLOOKUP(D2860,契約台帳!$A$3:$R$4986,18,FALSE)))</f>
        <v>2</v>
      </c>
      <c r="W2860" s="269" t="str">
        <f ca="1">IF(D2860="","",IF(T2860="","",IF(OR(J2860="巻足し",J2860="巻返しリード付け"),"",IF(J2860="巻返し",VLOOKUP(F2860&amp;K2860&amp;M2860,製品マスタ!$M$5:$AD$5002,18,FALSE),IF(OR(J2860="リード付け",J2860="巻返しリード付け"),"原反コア",IF(J2860="スリット",VLOOKUP(F2860&amp;K2860&amp;R2860,製品マスタ!$N$5:$AD$5002,17,FALSE),""))))))</f>
        <v/>
      </c>
      <c r="X2860" s="269" t="str">
        <f ca="1">IF(D2860="","",IF(T2860="","",IF(J2860="巻足し","",IF(J2860="巻返し",VLOOKUP(F2860&amp;K2860&amp;M2860,製品マスタ!$M$5:$AE$5002,19,FALSE),IF(OR(J2860="リード付け",J2860="巻返しリード付け"),"",IF(J2860="スリット",VLOOKUP(F2860&amp;K2860&amp;R2860,製品マスタ!$N$5:$AE$5002,18,FALSE),""))))))</f>
        <v/>
      </c>
      <c r="Y2860" s="275">
        <f ca="1">IF(D2860="","",IF(T2860="","",VLOOKUP(D2860,契約台帳!$A$3:$Q$4986,17,FALSE)))</f>
        <v>2</v>
      </c>
      <c r="Z2860" s="269" t="str">
        <f ca="1">IF(D2860="","",IF(T2860="","",VLOOKUP(D2860,契約台帳!$A$3:$E$4986,5,FALSE)))</f>
        <v>マルウ接着㈱</v>
      </c>
      <c r="AA2860" s="57"/>
      <c r="AB2860" s="207" t="str">
        <f>IFERROR((VLOOKUP(F2860&amp;K2860&amp;M2860,製品マスタ!$M$5:$AM$5002,27,FALSE)),"")</f>
        <v>原反ケース再利用</v>
      </c>
      <c r="AC2860" s="33"/>
      <c r="AD2860" s="189"/>
      <c r="AE2860" s="54"/>
      <c r="AF2860" s="55">
        <f>+M2860*N2860*O2860/1000</f>
        <v>6025</v>
      </c>
      <c r="AG2860" s="43"/>
      <c r="AH2860" s="47"/>
      <c r="AI2860" s="30"/>
      <c r="AJ2860" s="30"/>
      <c r="AK2860" s="30"/>
      <c r="AL2860" s="30"/>
      <c r="AM2860" s="13"/>
      <c r="AN2860" s="13"/>
      <c r="AO2860" s="13"/>
      <c r="AP2860" s="13"/>
      <c r="AQ2860" s="13"/>
      <c r="AR2860" s="14"/>
      <c r="AS2860" s="15"/>
    </row>
    <row r="2861" spans="1:45" s="17" customFormat="1" ht="30.95" customHeight="1" x14ac:dyDescent="0.2">
      <c r="A2861" s="343"/>
      <c r="B2861" s="344"/>
      <c r="C2861" s="345"/>
      <c r="D2861" s="346"/>
      <c r="E2861" s="346"/>
      <c r="F2861" s="268"/>
      <c r="G2861" s="269"/>
      <c r="H2861" s="269"/>
      <c r="I2861" s="270"/>
      <c r="J2861" s="434"/>
      <c r="K2861" s="270"/>
      <c r="L2861" s="270"/>
      <c r="M2861" s="348"/>
      <c r="N2861" s="348"/>
      <c r="O2861" s="435"/>
      <c r="P2861" s="349"/>
      <c r="Q2861" s="350"/>
      <c r="R2861" s="271"/>
      <c r="S2861" s="272"/>
      <c r="T2861" s="273"/>
      <c r="U2861" s="351"/>
      <c r="V2861" s="274"/>
      <c r="W2861" s="269"/>
      <c r="X2861" s="269"/>
      <c r="Y2861" s="275"/>
      <c r="Z2861" s="269"/>
      <c r="AA2861" s="350"/>
      <c r="AB2861" s="207"/>
      <c r="AC2861" s="352"/>
      <c r="AD2861" s="353"/>
      <c r="AE2861" s="54"/>
      <c r="AF2861" s="354"/>
      <c r="AG2861" s="355"/>
      <c r="AH2861" s="349"/>
      <c r="AI2861" s="30"/>
      <c r="AJ2861" s="30"/>
      <c r="AK2861" s="30"/>
      <c r="AL2861" s="30"/>
      <c r="AM2861" s="13"/>
      <c r="AN2861" s="13"/>
      <c r="AO2861" s="13"/>
      <c r="AP2861" s="13"/>
      <c r="AQ2861" s="13"/>
      <c r="AR2861" s="14"/>
      <c r="AS2861" s="15"/>
    </row>
    <row r="2862" spans="1:45" s="17" customFormat="1" ht="30.95" customHeight="1" x14ac:dyDescent="0.2">
      <c r="A2862" s="343" t="s">
        <v>3450</v>
      </c>
      <c r="B2862" s="344" t="s">
        <v>3427</v>
      </c>
      <c r="C2862" s="345"/>
      <c r="D2862" s="346"/>
      <c r="E2862" s="346"/>
      <c r="F2862" s="268"/>
      <c r="G2862" s="269"/>
      <c r="H2862" s="269"/>
      <c r="I2862" s="270"/>
      <c r="J2862" s="434"/>
      <c r="K2862" s="270"/>
      <c r="L2862" s="270"/>
      <c r="M2862" s="348"/>
      <c r="N2862" s="348"/>
      <c r="O2862" s="435"/>
      <c r="P2862" s="349"/>
      <c r="Q2862" s="350"/>
      <c r="R2862" s="271"/>
      <c r="S2862" s="272"/>
      <c r="T2862" s="273"/>
      <c r="U2862" s="351"/>
      <c r="V2862" s="274"/>
      <c r="W2862" s="269"/>
      <c r="X2862" s="269"/>
      <c r="Y2862" s="275"/>
      <c r="Z2862" s="269"/>
      <c r="AA2862" s="350"/>
      <c r="AB2862" s="207"/>
      <c r="AC2862" s="352"/>
      <c r="AD2862" s="353"/>
      <c r="AE2862" s="54"/>
      <c r="AF2862" s="354"/>
      <c r="AG2862" s="355"/>
      <c r="AH2862" s="349"/>
      <c r="AI2862" s="30"/>
      <c r="AJ2862" s="30"/>
      <c r="AK2862" s="30"/>
      <c r="AL2862" s="30"/>
      <c r="AM2862" s="13"/>
      <c r="AN2862" s="13"/>
      <c r="AO2862" s="13"/>
      <c r="AP2862" s="13"/>
      <c r="AQ2862" s="13"/>
      <c r="AR2862" s="14"/>
      <c r="AS2862" s="15"/>
    </row>
    <row r="2863" spans="1:45" s="17" customFormat="1" ht="30.95" customHeight="1" x14ac:dyDescent="0.2">
      <c r="A2863" s="343"/>
      <c r="B2863" s="344"/>
      <c r="C2863" s="345"/>
      <c r="D2863" s="346"/>
      <c r="E2863" s="346"/>
      <c r="F2863" s="268"/>
      <c r="G2863" s="269"/>
      <c r="H2863" s="269"/>
      <c r="I2863" s="270"/>
      <c r="J2863" s="434"/>
      <c r="K2863" s="270"/>
      <c r="L2863" s="270"/>
      <c r="M2863" s="348"/>
      <c r="N2863" s="348"/>
      <c r="O2863" s="435"/>
      <c r="P2863" s="349"/>
      <c r="Q2863" s="350"/>
      <c r="R2863" s="271"/>
      <c r="S2863" s="272"/>
      <c r="T2863" s="273"/>
      <c r="U2863" s="351"/>
      <c r="V2863" s="274"/>
      <c r="W2863" s="269"/>
      <c r="X2863" s="269"/>
      <c r="Y2863" s="275"/>
      <c r="Z2863" s="269"/>
      <c r="AA2863" s="350"/>
      <c r="AB2863" s="207"/>
      <c r="AC2863" s="352"/>
      <c r="AD2863" s="353"/>
      <c r="AE2863" s="54"/>
      <c r="AF2863" s="354"/>
      <c r="AG2863" s="355"/>
      <c r="AH2863" s="349"/>
      <c r="AI2863" s="30"/>
      <c r="AJ2863" s="30"/>
      <c r="AK2863" s="30"/>
      <c r="AL2863" s="30"/>
      <c r="AM2863" s="13"/>
      <c r="AN2863" s="13"/>
      <c r="AO2863" s="13"/>
      <c r="AP2863" s="13"/>
      <c r="AQ2863" s="13"/>
      <c r="AR2863" s="14"/>
      <c r="AS2863" s="15"/>
    </row>
    <row r="2864" spans="1:45" s="17" customFormat="1" ht="30.6" customHeight="1" x14ac:dyDescent="0.2">
      <c r="A2864" s="343" t="s">
        <v>3451</v>
      </c>
      <c r="B2864" s="344" t="s">
        <v>3429</v>
      </c>
      <c r="C2864" s="45"/>
      <c r="D2864" s="31">
        <v>3790249</v>
      </c>
      <c r="E2864" s="31"/>
      <c r="F2864" s="268" t="str">
        <f>IF(D2864="","",VLOOKUP(D2864,契約台帳!$A$3:$K$4986,6,FALSE)&amp;VLOOKUP(D2864,契約台帳!$A$3:$K$4986,7,FALSE)&amp;VLOOKUP(D2864,契約台帳!$A$3:$K$4986,8,FALSE)&amp;VLOOKUP(D2864,契約台帳!$A$3:$K$4986,9,FALSE)&amp;VLOOKUP(D2864,契約台帳!$A$3:$K$4986,11,FALSE))</f>
        <v>3SNMCLBMSNEYK</v>
      </c>
      <c r="G2864" s="269" t="str">
        <f>IF(D2864="","",VLOOKUP(F2864,製品マスタ!$G$5:$H$5002,2,FALSE))</f>
        <v>S</v>
      </c>
      <c r="H2864" s="269" t="str">
        <f>IF(D2864="","",VLOOKUP(F2864,製品マスタ!$G$5:$K$5002,5,FALSE))</f>
        <v>MSNEYK</v>
      </c>
      <c r="I2864" s="270" t="str">
        <f>IF(D2864="","",VLOOKUP(F2864,製品マスタ!$G$5:$L$5002,6,FALSE))</f>
        <v>ＭＳＮ　ＥＹＫ</v>
      </c>
      <c r="J2864" s="210" t="s">
        <v>935</v>
      </c>
      <c r="K2864" s="270">
        <f>IF(D2864="","",VLOOKUP(D2864,契約台帳!$A$3:$L$4986,12,FALSE))</f>
        <v>50</v>
      </c>
      <c r="L2864" s="270" t="str">
        <f>IF(D2864="","",INDEX(製品マスタ!$Q$5:$Q$5002,MATCH('S4'!F2864&amp;'S4'!K2864,製品マスタ!$AO$5:$AO$5002,0)))</f>
        <v>N-MAT</v>
      </c>
      <c r="M2864" s="39">
        <v>1120</v>
      </c>
      <c r="N2864" s="39">
        <v>4000</v>
      </c>
      <c r="O2864" s="156">
        <v>4</v>
      </c>
      <c r="P2864" s="47">
        <v>2</v>
      </c>
      <c r="Q2864" s="213">
        <v>45651</v>
      </c>
      <c r="R2864" s="271">
        <f ca="1">IF(D2864="","",IF(OFFSET(D2864,-1,0)&lt;&gt;"","",IF(OR(J2864="リード付け",J2864="巻足し",J2864="巻返しリード付け"),M2864,VLOOKUP(D2864,契約台帳!$A$3:$N$4986,14,FALSE))))</f>
        <v>1120</v>
      </c>
      <c r="S2864" s="272">
        <f ca="1">IF(D2864="","",IF(OFFSET(D2864,-1,0)&lt;&gt;"","",IF(OR(J2864="リード付け",J2864="巻足し",J2864="巻返しリード付け"),M2864,VLOOKUP(D2864,契約台帳!$A$3:$O$4986,15,FALSE))))</f>
        <v>1120</v>
      </c>
      <c r="T2864" s="273">
        <f ca="1">IF(D2864="","",IF(J2864="リード付け",N2864,IF(J2864="巻返しリード付け",N2864,IF(J2864="巻足し",N2864*P2864+OFFSET(N2864,1,0)*OFFSET(P2864,1,0),VLOOKUP(D2864,契約台帳!$A$3:$P$4986,16,FALSE)))))</f>
        <v>8000</v>
      </c>
      <c r="U2864" s="40">
        <v>2</v>
      </c>
      <c r="V2864" s="274">
        <f ca="1">IF(D2864="","",IF(OFFSET(D2864,-2,0)=D2864,"",VLOOKUP(D2864,契約台帳!$A$3:$R$4986,18,FALSE)))</f>
        <v>4</v>
      </c>
      <c r="W2864" s="269" t="str">
        <f ca="1">IF(D2864="","",IF(T2864="","",IF(OR(J2864="巻足し",J2864="巻返しリード付け"),"",IF(J2864="巻返し",VLOOKUP(F2864&amp;K2864&amp;M2864,製品マスタ!$M$5:$AD$5002,18,FALSE),IF(OR(J2864="リード付け",J2864="巻返しリード付け"),"原反コア",IF(J2864="スリット",VLOOKUP(F2864&amp;K2864&amp;R2864,製品マスタ!$N$5:$AD$5002,17,FALSE),""))))))</f>
        <v/>
      </c>
      <c r="X2864" s="269" t="str">
        <f ca="1">IF(D2864="","",IF(T2864="","",IF(J2864="巻足し","",IF(J2864="巻返し",VLOOKUP(F2864&amp;K2864&amp;M2864,製品マスタ!$M$5:$AE$5002,19,FALSE),IF(OR(J2864="リード付け",J2864="巻返しリード付け"),"",IF(J2864="スリット",VLOOKUP(F2864&amp;K2864&amp;R2864,製品マスタ!$N$5:$AE$5002,18,FALSE),""))))))</f>
        <v/>
      </c>
      <c r="Y2864" s="275">
        <f ca="1">IF(D2864="","",IF(T2864="","",VLOOKUP(D2864,契約台帳!$A$3:$Q$4986,17,FALSE)))</f>
        <v>2</v>
      </c>
      <c r="Z2864" s="269" t="str">
        <f ca="1">IF(D2864="","",IF(T2864="","",VLOOKUP(D2864,契約台帳!$A$3:$E$4986,5,FALSE)))</f>
        <v>新タック化成㈱</v>
      </c>
      <c r="AA2864" s="57"/>
      <c r="AB2864" s="207" t="str">
        <f>IFERROR((VLOOKUP(F2864&amp;K2864&amp;M2864,製品マスタ!$M$5:$AM$5002,27,FALSE)),"")</f>
        <v>原反ケース再利用</v>
      </c>
      <c r="AC2864" s="33"/>
      <c r="AD2864" s="189"/>
      <c r="AE2864" s="54"/>
      <c r="AF2864" s="55">
        <f>+M2864*N2864*O2864/1000</f>
        <v>17920</v>
      </c>
      <c r="AG2864" s="43"/>
      <c r="AH2864" s="47"/>
      <c r="AI2864" s="30"/>
      <c r="AJ2864" s="30"/>
      <c r="AK2864" s="30"/>
      <c r="AL2864" s="30"/>
      <c r="AM2864" s="13"/>
      <c r="AN2864" s="13"/>
      <c r="AO2864" s="13"/>
      <c r="AP2864" s="13"/>
      <c r="AQ2864" s="13"/>
      <c r="AR2864" s="14"/>
      <c r="AS2864" s="15"/>
    </row>
    <row r="2865" spans="1:45" s="17" customFormat="1" ht="30.95" customHeight="1" x14ac:dyDescent="0.2">
      <c r="A2865" s="343"/>
      <c r="B2865" s="344"/>
      <c r="C2865" s="345"/>
      <c r="D2865" s="346"/>
      <c r="E2865" s="346"/>
      <c r="F2865" s="268"/>
      <c r="G2865" s="269"/>
      <c r="H2865" s="269"/>
      <c r="I2865" s="270"/>
      <c r="J2865" s="434"/>
      <c r="K2865" s="270"/>
      <c r="L2865" s="270"/>
      <c r="M2865" s="348"/>
      <c r="N2865" s="348"/>
      <c r="O2865" s="435"/>
      <c r="P2865" s="349"/>
      <c r="Q2865" s="350"/>
      <c r="R2865" s="271"/>
      <c r="S2865" s="272"/>
      <c r="T2865" s="273"/>
      <c r="U2865" s="351"/>
      <c r="V2865" s="274"/>
      <c r="W2865" s="269"/>
      <c r="X2865" s="269"/>
      <c r="Y2865" s="275"/>
      <c r="Z2865" s="269"/>
      <c r="AA2865" s="350"/>
      <c r="AB2865" s="207"/>
      <c r="AC2865" s="352"/>
      <c r="AD2865" s="353"/>
      <c r="AE2865" s="54"/>
      <c r="AF2865" s="354"/>
      <c r="AG2865" s="355"/>
      <c r="AH2865" s="349"/>
      <c r="AI2865" s="30"/>
      <c r="AJ2865" s="30"/>
      <c r="AK2865" s="30"/>
      <c r="AL2865" s="30"/>
      <c r="AM2865" s="13"/>
      <c r="AN2865" s="13"/>
      <c r="AO2865" s="13"/>
      <c r="AP2865" s="13"/>
      <c r="AQ2865" s="13"/>
      <c r="AR2865" s="14"/>
      <c r="AS2865" s="15"/>
    </row>
    <row r="2866" spans="1:45" s="17" customFormat="1" ht="30.95" customHeight="1" x14ac:dyDescent="0.2">
      <c r="A2866" s="343"/>
      <c r="B2866" s="344"/>
      <c r="C2866" s="345"/>
      <c r="D2866" s="346"/>
      <c r="E2866" s="346"/>
      <c r="F2866" s="268"/>
      <c r="G2866" s="269"/>
      <c r="H2866" s="269"/>
      <c r="I2866" s="270"/>
      <c r="J2866" s="434"/>
      <c r="K2866" s="270"/>
      <c r="L2866" s="270"/>
      <c r="M2866" s="348"/>
      <c r="N2866" s="348"/>
      <c r="O2866" s="435"/>
      <c r="P2866" s="349"/>
      <c r="Q2866" s="350"/>
      <c r="R2866" s="271"/>
      <c r="S2866" s="272"/>
      <c r="T2866" s="273"/>
      <c r="U2866" s="351"/>
      <c r="V2866" s="274"/>
      <c r="W2866" s="269"/>
      <c r="X2866" s="269"/>
      <c r="Y2866" s="275"/>
      <c r="Z2866" s="269"/>
      <c r="AA2866" s="350"/>
      <c r="AB2866" s="207"/>
      <c r="AC2866" s="352"/>
      <c r="AD2866" s="353"/>
      <c r="AE2866" s="54"/>
      <c r="AF2866" s="354"/>
      <c r="AG2866" s="355"/>
      <c r="AH2866" s="349"/>
      <c r="AI2866" s="30"/>
      <c r="AJ2866" s="30"/>
      <c r="AK2866" s="30"/>
      <c r="AL2866" s="30"/>
      <c r="AM2866" s="13"/>
      <c r="AN2866" s="13"/>
      <c r="AO2866" s="13"/>
      <c r="AP2866" s="13"/>
      <c r="AQ2866" s="13"/>
      <c r="AR2866" s="14"/>
      <c r="AS2866" s="15"/>
    </row>
    <row r="2867" spans="1:45" s="17" customFormat="1" ht="30.95" customHeight="1" x14ac:dyDescent="0.2">
      <c r="A2867" s="343"/>
      <c r="B2867" s="344"/>
      <c r="C2867" s="345"/>
      <c r="D2867" s="346"/>
      <c r="E2867" s="346"/>
      <c r="F2867" s="268"/>
      <c r="G2867" s="269"/>
      <c r="H2867" s="269"/>
      <c r="I2867" s="270"/>
      <c r="J2867" s="434"/>
      <c r="K2867" s="270"/>
      <c r="L2867" s="270"/>
      <c r="M2867" s="348"/>
      <c r="N2867" s="348"/>
      <c r="O2867" s="435"/>
      <c r="P2867" s="349"/>
      <c r="Q2867" s="350"/>
      <c r="R2867" s="271"/>
      <c r="S2867" s="272"/>
      <c r="T2867" s="273"/>
      <c r="U2867" s="351"/>
      <c r="V2867" s="274"/>
      <c r="W2867" s="269"/>
      <c r="X2867" s="269"/>
      <c r="Y2867" s="275"/>
      <c r="Z2867" s="269"/>
      <c r="AA2867" s="350"/>
      <c r="AB2867" s="207"/>
      <c r="AC2867" s="352"/>
      <c r="AD2867" s="353"/>
      <c r="AE2867" s="54"/>
      <c r="AF2867" s="354"/>
      <c r="AG2867" s="355"/>
      <c r="AH2867" s="349"/>
      <c r="AI2867" s="30"/>
      <c r="AJ2867" s="30"/>
      <c r="AK2867" s="30"/>
      <c r="AL2867" s="30"/>
      <c r="AM2867" s="13"/>
      <c r="AN2867" s="13"/>
      <c r="AO2867" s="13"/>
      <c r="AP2867" s="13"/>
      <c r="AQ2867" s="13"/>
      <c r="AR2867" s="14"/>
      <c r="AS2867" s="15"/>
    </row>
    <row r="2868" spans="1:45" s="17" customFormat="1" ht="30.95" customHeight="1" x14ac:dyDescent="0.2">
      <c r="A2868" s="343"/>
      <c r="B2868" s="344"/>
      <c r="C2868" s="345"/>
      <c r="D2868" s="346"/>
      <c r="E2868" s="346"/>
      <c r="F2868" s="268"/>
      <c r="G2868" s="269"/>
      <c r="H2868" s="269"/>
      <c r="I2868" s="270"/>
      <c r="J2868" s="434"/>
      <c r="K2868" s="270"/>
      <c r="L2868" s="270"/>
      <c r="M2868" s="348"/>
      <c r="N2868" s="348"/>
      <c r="O2868" s="435"/>
      <c r="P2868" s="349"/>
      <c r="Q2868" s="350"/>
      <c r="R2868" s="271"/>
      <c r="S2868" s="272"/>
      <c r="T2868" s="273"/>
      <c r="U2868" s="351"/>
      <c r="V2868" s="274"/>
      <c r="W2868" s="269"/>
      <c r="X2868" s="269"/>
      <c r="Y2868" s="275"/>
      <c r="Z2868" s="269"/>
      <c r="AA2868" s="350"/>
      <c r="AB2868" s="207"/>
      <c r="AC2868" s="352"/>
      <c r="AD2868" s="353"/>
      <c r="AE2868" s="54"/>
      <c r="AF2868" s="354"/>
      <c r="AG2868" s="355"/>
      <c r="AH2868" s="349"/>
      <c r="AI2868" s="30"/>
      <c r="AJ2868" s="30"/>
      <c r="AK2868" s="30"/>
      <c r="AL2868" s="30"/>
      <c r="AM2868" s="13"/>
      <c r="AN2868" s="13"/>
      <c r="AO2868" s="13"/>
      <c r="AP2868" s="13"/>
      <c r="AQ2868" s="13"/>
      <c r="AR2868" s="14"/>
      <c r="AS2868" s="15"/>
    </row>
    <row r="2869" spans="1:45" s="17" customFormat="1" ht="30.95" customHeight="1" x14ac:dyDescent="0.2">
      <c r="A2869" s="343"/>
      <c r="B2869" s="344"/>
      <c r="C2869" s="345"/>
      <c r="D2869" s="346"/>
      <c r="E2869" s="346"/>
      <c r="F2869" s="268"/>
      <c r="G2869" s="269"/>
      <c r="H2869" s="269"/>
      <c r="I2869" s="270"/>
      <c r="J2869" s="434"/>
      <c r="K2869" s="270"/>
      <c r="L2869" s="270"/>
      <c r="M2869" s="348"/>
      <c r="N2869" s="348"/>
      <c r="O2869" s="435"/>
      <c r="P2869" s="349"/>
      <c r="Q2869" s="350"/>
      <c r="R2869" s="271"/>
      <c r="S2869" s="272"/>
      <c r="T2869" s="273"/>
      <c r="U2869" s="351"/>
      <c r="V2869" s="274"/>
      <c r="W2869" s="269"/>
      <c r="X2869" s="269"/>
      <c r="Y2869" s="275"/>
      <c r="Z2869" s="269"/>
      <c r="AA2869" s="350"/>
      <c r="AB2869" s="207"/>
      <c r="AC2869" s="352"/>
      <c r="AD2869" s="353"/>
      <c r="AE2869" s="54"/>
      <c r="AF2869" s="354"/>
      <c r="AG2869" s="355"/>
      <c r="AH2869" s="349"/>
      <c r="AI2869" s="30"/>
      <c r="AJ2869" s="30"/>
      <c r="AK2869" s="30"/>
      <c r="AL2869" s="30"/>
      <c r="AM2869" s="13"/>
      <c r="AN2869" s="13"/>
      <c r="AO2869" s="13"/>
      <c r="AP2869" s="13"/>
      <c r="AQ2869" s="13"/>
      <c r="AR2869" s="14"/>
      <c r="AS2869" s="15"/>
    </row>
    <row r="2870" spans="1:45" s="17" customFormat="1" ht="30.95" customHeight="1" x14ac:dyDescent="0.2">
      <c r="A2870" s="343"/>
      <c r="B2870" s="344"/>
      <c r="C2870" s="345"/>
      <c r="D2870" s="346"/>
      <c r="E2870" s="346"/>
      <c r="F2870" s="268"/>
      <c r="G2870" s="269"/>
      <c r="H2870" s="269"/>
      <c r="I2870" s="270"/>
      <c r="J2870" s="434"/>
      <c r="K2870" s="270"/>
      <c r="L2870" s="270"/>
      <c r="M2870" s="348"/>
      <c r="N2870" s="348"/>
      <c r="O2870" s="435"/>
      <c r="P2870" s="349"/>
      <c r="Q2870" s="350"/>
      <c r="R2870" s="271"/>
      <c r="S2870" s="272"/>
      <c r="T2870" s="273"/>
      <c r="U2870" s="351"/>
      <c r="V2870" s="274"/>
      <c r="W2870" s="269"/>
      <c r="X2870" s="269"/>
      <c r="Y2870" s="275"/>
      <c r="Z2870" s="269"/>
      <c r="AA2870" s="350"/>
      <c r="AB2870" s="207"/>
      <c r="AC2870" s="352"/>
      <c r="AD2870" s="353"/>
      <c r="AE2870" s="54"/>
      <c r="AF2870" s="354"/>
      <c r="AG2870" s="355"/>
      <c r="AH2870" s="349"/>
      <c r="AI2870" s="30"/>
      <c r="AJ2870" s="30"/>
      <c r="AK2870" s="30"/>
      <c r="AL2870" s="30"/>
      <c r="AM2870" s="13"/>
      <c r="AN2870" s="13"/>
      <c r="AO2870" s="13"/>
      <c r="AP2870" s="13"/>
      <c r="AQ2870" s="13"/>
      <c r="AR2870" s="14"/>
      <c r="AS2870" s="15"/>
    </row>
    <row r="2871" spans="1:45" s="17" customFormat="1" ht="30.95" customHeight="1" x14ac:dyDescent="0.2">
      <c r="A2871" s="343"/>
      <c r="B2871" s="344"/>
      <c r="C2871" s="345"/>
      <c r="D2871" s="346"/>
      <c r="E2871" s="346"/>
      <c r="F2871" s="268"/>
      <c r="G2871" s="269"/>
      <c r="H2871" s="269"/>
      <c r="I2871" s="447"/>
      <c r="J2871" s="434"/>
      <c r="K2871" s="270"/>
      <c r="L2871" s="270"/>
      <c r="M2871" s="348"/>
      <c r="N2871" s="348"/>
      <c r="O2871" s="435"/>
      <c r="P2871" s="349"/>
      <c r="Q2871" s="350"/>
      <c r="R2871" s="271"/>
      <c r="S2871" s="272"/>
      <c r="T2871" s="273"/>
      <c r="U2871" s="351"/>
      <c r="V2871" s="274"/>
      <c r="W2871" s="269"/>
      <c r="X2871" s="269"/>
      <c r="Y2871" s="275"/>
      <c r="Z2871" s="269"/>
      <c r="AA2871" s="350"/>
      <c r="AB2871" s="207"/>
      <c r="AC2871" s="352"/>
      <c r="AD2871" s="353"/>
      <c r="AE2871" s="54"/>
      <c r="AF2871" s="354"/>
      <c r="AG2871" s="355"/>
      <c r="AH2871" s="349"/>
      <c r="AI2871" s="30"/>
      <c r="AJ2871" s="30"/>
      <c r="AK2871" s="30"/>
      <c r="AL2871" s="30"/>
      <c r="AM2871" s="13"/>
      <c r="AN2871" s="13"/>
      <c r="AO2871" s="13"/>
      <c r="AP2871" s="13"/>
      <c r="AQ2871" s="13"/>
      <c r="AR2871" s="14"/>
      <c r="AS2871" s="15"/>
    </row>
    <row r="2872" spans="1:45" s="17" customFormat="1" ht="30.95" customHeight="1" x14ac:dyDescent="0.2">
      <c r="A2872" s="343"/>
      <c r="B2872" s="344"/>
      <c r="C2872" s="345"/>
      <c r="D2872" s="346"/>
      <c r="E2872" s="346"/>
      <c r="F2872" s="268"/>
      <c r="G2872" s="269"/>
      <c r="H2872" s="269"/>
      <c r="I2872" s="270"/>
      <c r="J2872" s="434"/>
      <c r="K2872" s="270"/>
      <c r="L2872" s="270"/>
      <c r="M2872" s="348"/>
      <c r="N2872" s="348"/>
      <c r="O2872" s="435"/>
      <c r="P2872" s="349"/>
      <c r="Q2872" s="350"/>
      <c r="R2872" s="271"/>
      <c r="S2872" s="272"/>
      <c r="T2872" s="273"/>
      <c r="U2872" s="351"/>
      <c r="V2872" s="274"/>
      <c r="W2872" s="269"/>
      <c r="X2872" s="269"/>
      <c r="Y2872" s="275"/>
      <c r="Z2872" s="269"/>
      <c r="AA2872" s="350"/>
      <c r="AB2872" s="207"/>
      <c r="AC2872" s="352"/>
      <c r="AD2872" s="353"/>
      <c r="AE2872" s="54"/>
      <c r="AF2872" s="354"/>
      <c r="AG2872" s="355"/>
      <c r="AH2872" s="349"/>
      <c r="AI2872" s="30"/>
      <c r="AJ2872" s="30"/>
      <c r="AK2872" s="30"/>
      <c r="AL2872" s="30"/>
      <c r="AM2872" s="13"/>
      <c r="AN2872" s="13"/>
      <c r="AO2872" s="13"/>
      <c r="AP2872" s="13"/>
      <c r="AQ2872" s="13"/>
      <c r="AR2872" s="14"/>
      <c r="AS2872" s="15"/>
    </row>
    <row r="2873" spans="1:45" s="17" customFormat="1" ht="30.95" customHeight="1" x14ac:dyDescent="0.2">
      <c r="A2873" s="343"/>
      <c r="B2873" s="344"/>
      <c r="C2873" s="345"/>
      <c r="D2873" s="346"/>
      <c r="E2873" s="346"/>
      <c r="F2873" s="268"/>
      <c r="G2873" s="269"/>
      <c r="H2873" s="269"/>
      <c r="I2873" s="270"/>
      <c r="J2873" s="434"/>
      <c r="K2873" s="270"/>
      <c r="L2873" s="270"/>
      <c r="M2873" s="348"/>
      <c r="N2873" s="348"/>
      <c r="O2873" s="435"/>
      <c r="P2873" s="349"/>
      <c r="Q2873" s="350"/>
      <c r="R2873" s="271"/>
      <c r="S2873" s="272"/>
      <c r="T2873" s="273"/>
      <c r="U2873" s="351"/>
      <c r="V2873" s="274"/>
      <c r="W2873" s="269"/>
      <c r="X2873" s="269"/>
      <c r="Y2873" s="275"/>
      <c r="Z2873" s="269"/>
      <c r="AA2873" s="350"/>
      <c r="AB2873" s="207"/>
      <c r="AC2873" s="352"/>
      <c r="AD2873" s="353"/>
      <c r="AE2873" s="54"/>
      <c r="AF2873" s="354"/>
      <c r="AG2873" s="355"/>
      <c r="AH2873" s="349"/>
      <c r="AI2873" s="30"/>
      <c r="AJ2873" s="30"/>
      <c r="AK2873" s="30"/>
      <c r="AL2873" s="30"/>
      <c r="AM2873" s="13"/>
      <c r="AN2873" s="13"/>
      <c r="AO2873" s="13"/>
      <c r="AP2873" s="13"/>
      <c r="AQ2873" s="13"/>
      <c r="AR2873" s="14"/>
      <c r="AS2873" s="15"/>
    </row>
    <row r="2874" spans="1:45" s="17" customFormat="1" ht="30.95" customHeight="1" x14ac:dyDescent="0.2">
      <c r="A2874" s="343"/>
      <c r="B2874" s="344"/>
      <c r="C2874" s="345"/>
      <c r="D2874" s="346"/>
      <c r="E2874" s="346"/>
      <c r="F2874" s="268"/>
      <c r="G2874" s="269"/>
      <c r="H2874" s="269"/>
      <c r="I2874" s="270"/>
      <c r="J2874" s="434"/>
      <c r="K2874" s="270"/>
      <c r="L2874" s="270"/>
      <c r="M2874" s="348"/>
      <c r="N2874" s="348"/>
      <c r="O2874" s="435"/>
      <c r="P2874" s="349"/>
      <c r="Q2874" s="350"/>
      <c r="R2874" s="271"/>
      <c r="S2874" s="272"/>
      <c r="T2874" s="273"/>
      <c r="U2874" s="351"/>
      <c r="V2874" s="274"/>
      <c r="W2874" s="269"/>
      <c r="X2874" s="269"/>
      <c r="Y2874" s="275"/>
      <c r="Z2874" s="269"/>
      <c r="AA2874" s="350"/>
      <c r="AB2874" s="207"/>
      <c r="AC2874" s="352"/>
      <c r="AD2874" s="353"/>
      <c r="AE2874" s="54"/>
      <c r="AF2874" s="354"/>
      <c r="AG2874" s="355"/>
      <c r="AH2874" s="349"/>
      <c r="AI2874" s="30"/>
      <c r="AJ2874" s="30"/>
      <c r="AK2874" s="30"/>
      <c r="AL2874" s="30"/>
      <c r="AM2874" s="13"/>
      <c r="AN2874" s="13"/>
      <c r="AO2874" s="13"/>
      <c r="AP2874" s="13"/>
      <c r="AQ2874" s="13"/>
      <c r="AR2874" s="14"/>
      <c r="AS2874" s="15"/>
    </row>
    <row r="2875" spans="1:45" s="17" customFormat="1" ht="30.95" customHeight="1" x14ac:dyDescent="0.2">
      <c r="A2875" s="343"/>
      <c r="B2875" s="344"/>
      <c r="C2875" s="345"/>
      <c r="D2875" s="346"/>
      <c r="E2875" s="346"/>
      <c r="F2875" s="268"/>
      <c r="G2875" s="269"/>
      <c r="H2875" s="269"/>
      <c r="I2875" s="270"/>
      <c r="J2875" s="434"/>
      <c r="K2875" s="270"/>
      <c r="L2875" s="270"/>
      <c r="M2875" s="348"/>
      <c r="N2875" s="348"/>
      <c r="O2875" s="435"/>
      <c r="P2875" s="349"/>
      <c r="Q2875" s="350"/>
      <c r="R2875" s="271"/>
      <c r="S2875" s="272"/>
      <c r="T2875" s="273"/>
      <c r="U2875" s="351"/>
      <c r="V2875" s="274"/>
      <c r="W2875" s="269"/>
      <c r="X2875" s="269"/>
      <c r="Y2875" s="275"/>
      <c r="Z2875" s="269"/>
      <c r="AA2875" s="350"/>
      <c r="AB2875" s="207"/>
      <c r="AC2875" s="352"/>
      <c r="AD2875" s="353"/>
      <c r="AE2875" s="54"/>
      <c r="AF2875" s="354"/>
      <c r="AG2875" s="355"/>
      <c r="AH2875" s="349"/>
      <c r="AI2875" s="30"/>
      <c r="AJ2875" s="30"/>
      <c r="AK2875" s="30"/>
      <c r="AL2875" s="30"/>
      <c r="AM2875" s="13"/>
      <c r="AN2875" s="13"/>
      <c r="AO2875" s="13"/>
      <c r="AP2875" s="13"/>
      <c r="AQ2875" s="13"/>
      <c r="AR2875" s="14"/>
      <c r="AS2875" s="15"/>
    </row>
    <row r="2876" spans="1:45" s="17" customFormat="1" ht="30.95" customHeight="1" x14ac:dyDescent="0.2">
      <c r="A2876" s="343"/>
      <c r="B2876" s="344"/>
      <c r="C2876" s="345"/>
      <c r="D2876" s="346"/>
      <c r="E2876" s="346"/>
      <c r="F2876" s="268"/>
      <c r="G2876" s="269"/>
      <c r="H2876" s="269"/>
      <c r="I2876" s="270"/>
      <c r="J2876" s="434"/>
      <c r="K2876" s="270"/>
      <c r="L2876" s="270"/>
      <c r="M2876" s="348"/>
      <c r="N2876" s="348"/>
      <c r="O2876" s="435"/>
      <c r="P2876" s="349"/>
      <c r="Q2876" s="350"/>
      <c r="R2876" s="271"/>
      <c r="S2876" s="272"/>
      <c r="T2876" s="273"/>
      <c r="U2876" s="351"/>
      <c r="V2876" s="274"/>
      <c r="W2876" s="269"/>
      <c r="X2876" s="269"/>
      <c r="Y2876" s="275"/>
      <c r="Z2876" s="269"/>
      <c r="AA2876" s="350"/>
      <c r="AB2876" s="207"/>
      <c r="AC2876" s="352"/>
      <c r="AD2876" s="353"/>
      <c r="AE2876" s="54"/>
      <c r="AF2876" s="354"/>
      <c r="AG2876" s="355"/>
      <c r="AH2876" s="349"/>
      <c r="AI2876" s="30"/>
      <c r="AJ2876" s="30"/>
      <c r="AK2876" s="30"/>
      <c r="AL2876" s="30"/>
      <c r="AM2876" s="13"/>
      <c r="AN2876" s="13"/>
      <c r="AO2876" s="13"/>
      <c r="AP2876" s="13"/>
      <c r="AQ2876" s="13"/>
      <c r="AR2876" s="14"/>
      <c r="AS2876" s="15"/>
    </row>
    <row r="2877" spans="1:45" s="17" customFormat="1" ht="30.95" customHeight="1" x14ac:dyDescent="0.2">
      <c r="A2877" s="343"/>
      <c r="B2877" s="344"/>
      <c r="C2877" s="345"/>
      <c r="D2877" s="346"/>
      <c r="E2877" s="346"/>
      <c r="F2877" s="268"/>
      <c r="G2877" s="269"/>
      <c r="H2877" s="269"/>
      <c r="I2877" s="270"/>
      <c r="J2877" s="434"/>
      <c r="K2877" s="270"/>
      <c r="L2877" s="270"/>
      <c r="M2877" s="348"/>
      <c r="N2877" s="348"/>
      <c r="O2877" s="435"/>
      <c r="P2877" s="349"/>
      <c r="Q2877" s="350"/>
      <c r="R2877" s="271"/>
      <c r="S2877" s="272"/>
      <c r="T2877" s="273"/>
      <c r="U2877" s="351"/>
      <c r="V2877" s="274"/>
      <c r="W2877" s="269"/>
      <c r="X2877" s="269"/>
      <c r="Y2877" s="275"/>
      <c r="Z2877" s="269"/>
      <c r="AA2877" s="350"/>
      <c r="AB2877" s="207"/>
      <c r="AC2877" s="352"/>
      <c r="AD2877" s="353"/>
      <c r="AE2877" s="54"/>
      <c r="AF2877" s="354"/>
      <c r="AG2877" s="355"/>
      <c r="AH2877" s="349"/>
      <c r="AI2877" s="30"/>
      <c r="AJ2877" s="30"/>
      <c r="AK2877" s="30"/>
      <c r="AL2877" s="30"/>
      <c r="AM2877" s="13"/>
      <c r="AN2877" s="13"/>
      <c r="AO2877" s="13"/>
      <c r="AP2877" s="13"/>
      <c r="AQ2877" s="13"/>
      <c r="AR2877" s="14"/>
      <c r="AS2877" s="15"/>
    </row>
    <row r="2878" spans="1:45" s="17" customFormat="1" ht="30.95" customHeight="1" x14ac:dyDescent="0.2">
      <c r="A2878" s="343"/>
      <c r="B2878" s="344"/>
      <c r="C2878" s="345"/>
      <c r="D2878" s="346"/>
      <c r="E2878" s="346"/>
      <c r="F2878" s="268"/>
      <c r="G2878" s="269"/>
      <c r="H2878" s="269"/>
      <c r="I2878" s="270"/>
      <c r="J2878" s="434"/>
      <c r="K2878" s="270"/>
      <c r="L2878" s="270"/>
      <c r="M2878" s="348"/>
      <c r="N2878" s="348"/>
      <c r="O2878" s="435"/>
      <c r="P2878" s="349"/>
      <c r="Q2878" s="350"/>
      <c r="R2878" s="271"/>
      <c r="S2878" s="272"/>
      <c r="T2878" s="273"/>
      <c r="U2878" s="351"/>
      <c r="V2878" s="274"/>
      <c r="W2878" s="269"/>
      <c r="X2878" s="269"/>
      <c r="Y2878" s="275"/>
      <c r="Z2878" s="269"/>
      <c r="AA2878" s="350"/>
      <c r="AB2878" s="207"/>
      <c r="AC2878" s="352"/>
      <c r="AD2878" s="353"/>
      <c r="AE2878" s="54"/>
      <c r="AF2878" s="354"/>
      <c r="AG2878" s="355"/>
      <c r="AH2878" s="349"/>
      <c r="AI2878" s="30"/>
      <c r="AJ2878" s="30"/>
      <c r="AK2878" s="30"/>
      <c r="AL2878" s="30"/>
      <c r="AM2878" s="13"/>
      <c r="AN2878" s="13"/>
      <c r="AO2878" s="13"/>
      <c r="AP2878" s="13"/>
      <c r="AQ2878" s="13"/>
      <c r="AR2878" s="14"/>
      <c r="AS2878" s="15"/>
    </row>
    <row r="2879" spans="1:45" s="17" customFormat="1" ht="30.95" customHeight="1" x14ac:dyDescent="0.2">
      <c r="A2879" s="343"/>
      <c r="B2879" s="344"/>
      <c r="C2879" s="345"/>
      <c r="D2879" s="346"/>
      <c r="E2879" s="346"/>
      <c r="F2879" s="268"/>
      <c r="G2879" s="269"/>
      <c r="H2879" s="269"/>
      <c r="I2879" s="270"/>
      <c r="J2879" s="434"/>
      <c r="K2879" s="270"/>
      <c r="L2879" s="270"/>
      <c r="M2879" s="348"/>
      <c r="N2879" s="348"/>
      <c r="O2879" s="435"/>
      <c r="P2879" s="349"/>
      <c r="Q2879" s="350"/>
      <c r="R2879" s="271"/>
      <c r="S2879" s="272"/>
      <c r="T2879" s="273"/>
      <c r="U2879" s="351"/>
      <c r="V2879" s="274"/>
      <c r="W2879" s="269"/>
      <c r="X2879" s="269"/>
      <c r="Y2879" s="275"/>
      <c r="Z2879" s="269"/>
      <c r="AA2879" s="350"/>
      <c r="AB2879" s="207"/>
      <c r="AC2879" s="352"/>
      <c r="AD2879" s="353"/>
      <c r="AE2879" s="54"/>
      <c r="AF2879" s="354"/>
      <c r="AG2879" s="355"/>
      <c r="AH2879" s="349"/>
      <c r="AI2879" s="30"/>
      <c r="AJ2879" s="30"/>
      <c r="AK2879" s="30"/>
      <c r="AL2879" s="30"/>
      <c r="AM2879" s="13"/>
      <c r="AN2879" s="13"/>
      <c r="AO2879" s="13"/>
      <c r="AP2879" s="13"/>
      <c r="AQ2879" s="13"/>
      <c r="AR2879" s="14"/>
      <c r="AS2879" s="15"/>
    </row>
    <row r="2880" spans="1:45" s="17" customFormat="1" ht="30.95" customHeight="1" x14ac:dyDescent="0.2">
      <c r="A2880" s="343"/>
      <c r="B2880" s="344"/>
      <c r="C2880" s="345"/>
      <c r="D2880" s="346"/>
      <c r="E2880" s="346"/>
      <c r="F2880" s="268"/>
      <c r="G2880" s="269"/>
      <c r="H2880" s="269"/>
      <c r="I2880" s="270"/>
      <c r="J2880" s="434"/>
      <c r="K2880" s="270"/>
      <c r="L2880" s="270"/>
      <c r="M2880" s="348"/>
      <c r="N2880" s="348"/>
      <c r="O2880" s="435"/>
      <c r="P2880" s="349"/>
      <c r="Q2880" s="350"/>
      <c r="R2880" s="271"/>
      <c r="S2880" s="272"/>
      <c r="T2880" s="273"/>
      <c r="U2880" s="351"/>
      <c r="V2880" s="274"/>
      <c r="W2880" s="269"/>
      <c r="X2880" s="269"/>
      <c r="Y2880" s="275"/>
      <c r="Z2880" s="269"/>
      <c r="AA2880" s="350"/>
      <c r="AB2880" s="207"/>
      <c r="AC2880" s="352"/>
      <c r="AD2880" s="353"/>
      <c r="AE2880" s="54"/>
      <c r="AF2880" s="354"/>
      <c r="AG2880" s="355"/>
      <c r="AH2880" s="349"/>
      <c r="AI2880" s="30"/>
      <c r="AJ2880" s="30"/>
      <c r="AK2880" s="30"/>
      <c r="AL2880" s="30"/>
      <c r="AM2880" s="13"/>
      <c r="AN2880" s="13"/>
      <c r="AO2880" s="13"/>
      <c r="AP2880" s="13"/>
      <c r="AQ2880" s="13"/>
      <c r="AR2880" s="14"/>
      <c r="AS2880" s="15"/>
    </row>
    <row r="2881" spans="1:45" s="17" customFormat="1" ht="30.95" customHeight="1" x14ac:dyDescent="0.2">
      <c r="A2881" s="343"/>
      <c r="B2881" s="344"/>
      <c r="C2881" s="345"/>
      <c r="D2881" s="346"/>
      <c r="E2881" s="346"/>
      <c r="F2881" s="268"/>
      <c r="G2881" s="269"/>
      <c r="H2881" s="269"/>
      <c r="I2881" s="270"/>
      <c r="J2881" s="434"/>
      <c r="K2881" s="270"/>
      <c r="L2881" s="270"/>
      <c r="M2881" s="348"/>
      <c r="N2881" s="348"/>
      <c r="O2881" s="435"/>
      <c r="P2881" s="349"/>
      <c r="Q2881" s="350"/>
      <c r="R2881" s="271"/>
      <c r="S2881" s="272"/>
      <c r="T2881" s="273"/>
      <c r="U2881" s="351"/>
      <c r="V2881" s="274"/>
      <c r="W2881" s="269"/>
      <c r="X2881" s="269"/>
      <c r="Y2881" s="275"/>
      <c r="Z2881" s="269"/>
      <c r="AA2881" s="350"/>
      <c r="AB2881" s="207"/>
      <c r="AC2881" s="352"/>
      <c r="AD2881" s="353"/>
      <c r="AE2881" s="54"/>
      <c r="AF2881" s="354"/>
      <c r="AG2881" s="355"/>
      <c r="AH2881" s="349"/>
      <c r="AI2881" s="30"/>
      <c r="AJ2881" s="30"/>
      <c r="AK2881" s="30"/>
      <c r="AL2881" s="30"/>
      <c r="AM2881" s="13"/>
      <c r="AN2881" s="13"/>
      <c r="AO2881" s="13"/>
      <c r="AP2881" s="13"/>
      <c r="AQ2881" s="13"/>
      <c r="AR2881" s="14"/>
      <c r="AS2881" s="15"/>
    </row>
    <row r="2882" spans="1:45" s="17" customFormat="1" ht="30.95" customHeight="1" x14ac:dyDescent="0.2">
      <c r="A2882" s="343"/>
      <c r="B2882" s="344"/>
      <c r="C2882" s="345"/>
      <c r="D2882" s="346"/>
      <c r="E2882" s="346"/>
      <c r="F2882" s="268"/>
      <c r="G2882" s="269"/>
      <c r="H2882" s="269"/>
      <c r="I2882" s="270"/>
      <c r="J2882" s="434"/>
      <c r="K2882" s="270"/>
      <c r="L2882" s="270"/>
      <c r="M2882" s="348"/>
      <c r="N2882" s="348"/>
      <c r="O2882" s="435"/>
      <c r="P2882" s="349"/>
      <c r="Q2882" s="350"/>
      <c r="R2882" s="271"/>
      <c r="S2882" s="272"/>
      <c r="T2882" s="273"/>
      <c r="U2882" s="351"/>
      <c r="V2882" s="274"/>
      <c r="W2882" s="269"/>
      <c r="X2882" s="269"/>
      <c r="Y2882" s="275"/>
      <c r="Z2882" s="269"/>
      <c r="AA2882" s="350"/>
      <c r="AB2882" s="207"/>
      <c r="AC2882" s="352"/>
      <c r="AD2882" s="353"/>
      <c r="AE2882" s="54"/>
      <c r="AF2882" s="354"/>
      <c r="AG2882" s="355"/>
      <c r="AH2882" s="349"/>
      <c r="AI2882" s="30"/>
      <c r="AJ2882" s="30"/>
      <c r="AK2882" s="30"/>
      <c r="AL2882" s="30"/>
      <c r="AM2882" s="13"/>
      <c r="AN2882" s="13"/>
      <c r="AO2882" s="13"/>
      <c r="AP2882" s="13"/>
      <c r="AQ2882" s="13"/>
      <c r="AR2882" s="14"/>
      <c r="AS2882" s="15"/>
    </row>
    <row r="2883" spans="1:45" s="17" customFormat="1" ht="30.95" customHeight="1" x14ac:dyDescent="0.2">
      <c r="A2883" s="343"/>
      <c r="B2883" s="344"/>
      <c r="C2883" s="345"/>
      <c r="D2883" s="346"/>
      <c r="E2883" s="346"/>
      <c r="F2883" s="268"/>
      <c r="G2883" s="269"/>
      <c r="H2883" s="269"/>
      <c r="I2883" s="270"/>
      <c r="J2883" s="434"/>
      <c r="K2883" s="270"/>
      <c r="L2883" s="270"/>
      <c r="M2883" s="348"/>
      <c r="N2883" s="348"/>
      <c r="O2883" s="435"/>
      <c r="P2883" s="349"/>
      <c r="Q2883" s="350"/>
      <c r="R2883" s="271"/>
      <c r="S2883" s="272"/>
      <c r="T2883" s="273"/>
      <c r="U2883" s="351"/>
      <c r="V2883" s="274"/>
      <c r="W2883" s="269"/>
      <c r="X2883" s="269"/>
      <c r="Y2883" s="275"/>
      <c r="Z2883" s="269"/>
      <c r="AA2883" s="350"/>
      <c r="AB2883" s="207"/>
      <c r="AC2883" s="352"/>
      <c r="AD2883" s="353"/>
      <c r="AE2883" s="54"/>
      <c r="AF2883" s="354"/>
      <c r="AG2883" s="355"/>
      <c r="AH2883" s="349"/>
      <c r="AI2883" s="30"/>
      <c r="AJ2883" s="30"/>
      <c r="AK2883" s="30"/>
      <c r="AL2883" s="30"/>
      <c r="AM2883" s="13"/>
      <c r="AN2883" s="13"/>
      <c r="AO2883" s="13"/>
      <c r="AP2883" s="13"/>
      <c r="AQ2883" s="13"/>
      <c r="AR2883" s="14"/>
      <c r="AS2883" s="15"/>
    </row>
    <row r="2884" spans="1:45" s="17" customFormat="1" ht="30.95" customHeight="1" x14ac:dyDescent="0.2">
      <c r="A2884" s="343"/>
      <c r="B2884" s="344"/>
      <c r="C2884" s="345"/>
      <c r="D2884" s="346"/>
      <c r="E2884" s="346"/>
      <c r="F2884" s="268"/>
      <c r="G2884" s="269"/>
      <c r="H2884" s="269"/>
      <c r="I2884" s="270"/>
      <c r="J2884" s="434"/>
      <c r="K2884" s="270"/>
      <c r="L2884" s="270"/>
      <c r="M2884" s="348"/>
      <c r="N2884" s="348"/>
      <c r="O2884" s="435"/>
      <c r="P2884" s="349"/>
      <c r="Q2884" s="350"/>
      <c r="R2884" s="271"/>
      <c r="S2884" s="272"/>
      <c r="T2884" s="273"/>
      <c r="U2884" s="351"/>
      <c r="V2884" s="274"/>
      <c r="W2884" s="269"/>
      <c r="X2884" s="269"/>
      <c r="Y2884" s="275"/>
      <c r="Z2884" s="269"/>
      <c r="AA2884" s="350"/>
      <c r="AB2884" s="207"/>
      <c r="AC2884" s="352"/>
      <c r="AD2884" s="353"/>
      <c r="AE2884" s="54"/>
      <c r="AF2884" s="354"/>
      <c r="AG2884" s="355"/>
      <c r="AH2884" s="349"/>
      <c r="AI2884" s="30"/>
      <c r="AJ2884" s="30"/>
      <c r="AK2884" s="30"/>
      <c r="AL2884" s="30"/>
      <c r="AM2884" s="13"/>
      <c r="AN2884" s="13"/>
      <c r="AO2884" s="13"/>
      <c r="AP2884" s="13"/>
      <c r="AQ2884" s="13"/>
      <c r="AR2884" s="14"/>
      <c r="AS2884" s="15"/>
    </row>
    <row r="2885" spans="1:45" s="17" customFormat="1" ht="30.95" customHeight="1" x14ac:dyDescent="0.2">
      <c r="A2885" s="343"/>
      <c r="B2885" s="344"/>
      <c r="C2885" s="345"/>
      <c r="D2885" s="346"/>
      <c r="E2885" s="346"/>
      <c r="F2885" s="268"/>
      <c r="G2885" s="269"/>
      <c r="H2885" s="269"/>
      <c r="I2885" s="270"/>
      <c r="J2885" s="434"/>
      <c r="K2885" s="270"/>
      <c r="L2885" s="270"/>
      <c r="M2885" s="348"/>
      <c r="N2885" s="348"/>
      <c r="O2885" s="435"/>
      <c r="P2885" s="349"/>
      <c r="Q2885" s="350"/>
      <c r="R2885" s="271"/>
      <c r="S2885" s="272"/>
      <c r="T2885" s="273"/>
      <c r="U2885" s="351"/>
      <c r="V2885" s="274"/>
      <c r="W2885" s="269"/>
      <c r="X2885" s="269"/>
      <c r="Y2885" s="275"/>
      <c r="Z2885" s="269"/>
      <c r="AA2885" s="350"/>
      <c r="AB2885" s="207"/>
      <c r="AC2885" s="352"/>
      <c r="AD2885" s="353"/>
      <c r="AE2885" s="54"/>
      <c r="AF2885" s="354"/>
      <c r="AG2885" s="355"/>
      <c r="AH2885" s="349"/>
      <c r="AI2885" s="30"/>
      <c r="AJ2885" s="30"/>
      <c r="AK2885" s="30"/>
      <c r="AL2885" s="30"/>
      <c r="AM2885" s="13"/>
      <c r="AN2885" s="13"/>
      <c r="AO2885" s="13"/>
      <c r="AP2885" s="13"/>
      <c r="AQ2885" s="13"/>
      <c r="AR2885" s="14"/>
      <c r="AS2885" s="15"/>
    </row>
    <row r="2886" spans="1:45" s="17" customFormat="1" ht="30.95" customHeight="1" x14ac:dyDescent="0.2">
      <c r="A2886" s="343"/>
      <c r="B2886" s="344"/>
      <c r="C2886" s="345"/>
      <c r="D2886" s="346"/>
      <c r="E2886" s="346"/>
      <c r="F2886" s="268"/>
      <c r="G2886" s="269"/>
      <c r="H2886" s="269"/>
      <c r="I2886" s="270"/>
      <c r="J2886" s="434"/>
      <c r="K2886" s="270"/>
      <c r="L2886" s="270"/>
      <c r="M2886" s="348"/>
      <c r="N2886" s="348"/>
      <c r="O2886" s="435"/>
      <c r="P2886" s="349"/>
      <c r="Q2886" s="350"/>
      <c r="R2886" s="271"/>
      <c r="S2886" s="272"/>
      <c r="T2886" s="273"/>
      <c r="U2886" s="351"/>
      <c r="V2886" s="274"/>
      <c r="W2886" s="269"/>
      <c r="X2886" s="269"/>
      <c r="Y2886" s="275"/>
      <c r="Z2886" s="269"/>
      <c r="AA2886" s="350"/>
      <c r="AB2886" s="207"/>
      <c r="AC2886" s="352"/>
      <c r="AD2886" s="353"/>
      <c r="AE2886" s="54"/>
      <c r="AF2886" s="354"/>
      <c r="AG2886" s="355"/>
      <c r="AH2886" s="349"/>
      <c r="AI2886" s="30"/>
      <c r="AJ2886" s="30"/>
      <c r="AK2886" s="30"/>
      <c r="AL2886" s="30"/>
      <c r="AM2886" s="13"/>
      <c r="AN2886" s="13"/>
      <c r="AO2886" s="13"/>
      <c r="AP2886" s="13"/>
      <c r="AQ2886" s="13"/>
      <c r="AR2886" s="14"/>
      <c r="AS2886" s="15"/>
    </row>
    <row r="2887" spans="1:45" s="17" customFormat="1" ht="30.95" customHeight="1" x14ac:dyDescent="0.2">
      <c r="A2887" s="343"/>
      <c r="B2887" s="344"/>
      <c r="C2887" s="345"/>
      <c r="D2887" s="346"/>
      <c r="E2887" s="346"/>
      <c r="F2887" s="268"/>
      <c r="G2887" s="269"/>
      <c r="H2887" s="269"/>
      <c r="I2887" s="270"/>
      <c r="J2887" s="434"/>
      <c r="K2887" s="270"/>
      <c r="L2887" s="270"/>
      <c r="M2887" s="348"/>
      <c r="N2887" s="348"/>
      <c r="O2887" s="435"/>
      <c r="P2887" s="349"/>
      <c r="Q2887" s="350"/>
      <c r="R2887" s="271"/>
      <c r="S2887" s="272"/>
      <c r="T2887" s="273"/>
      <c r="U2887" s="351"/>
      <c r="V2887" s="274"/>
      <c r="W2887" s="269"/>
      <c r="X2887" s="269"/>
      <c r="Y2887" s="275"/>
      <c r="Z2887" s="269"/>
      <c r="AA2887" s="350"/>
      <c r="AB2887" s="207"/>
      <c r="AC2887" s="352"/>
      <c r="AD2887" s="353"/>
      <c r="AE2887" s="54"/>
      <c r="AF2887" s="354"/>
      <c r="AG2887" s="355"/>
      <c r="AH2887" s="349"/>
      <c r="AI2887" s="30"/>
      <c r="AJ2887" s="30"/>
      <c r="AK2887" s="30"/>
      <c r="AL2887" s="30"/>
      <c r="AM2887" s="13"/>
      <c r="AN2887" s="13"/>
      <c r="AO2887" s="13"/>
      <c r="AP2887" s="13"/>
      <c r="AQ2887" s="13"/>
      <c r="AR2887" s="14"/>
      <c r="AS2887" s="15"/>
    </row>
    <row r="2888" spans="1:45" s="17" customFormat="1" ht="30.95" customHeight="1" x14ac:dyDescent="0.2">
      <c r="A2888" s="343"/>
      <c r="B2888" s="344"/>
      <c r="C2888" s="345"/>
      <c r="D2888" s="346"/>
      <c r="E2888" s="346"/>
      <c r="F2888" s="268"/>
      <c r="G2888" s="269"/>
      <c r="H2888" s="269"/>
      <c r="I2888" s="270"/>
      <c r="J2888" s="434"/>
      <c r="K2888" s="270"/>
      <c r="L2888" s="270"/>
      <c r="M2888" s="348"/>
      <c r="N2888" s="348"/>
      <c r="O2888" s="435"/>
      <c r="P2888" s="349"/>
      <c r="Q2888" s="350"/>
      <c r="R2888" s="271"/>
      <c r="S2888" s="272"/>
      <c r="T2888" s="273"/>
      <c r="U2888" s="351"/>
      <c r="V2888" s="274"/>
      <c r="W2888" s="269"/>
      <c r="X2888" s="269"/>
      <c r="Y2888" s="275"/>
      <c r="Z2888" s="269"/>
      <c r="AA2888" s="350"/>
      <c r="AB2888" s="207"/>
      <c r="AC2888" s="352"/>
      <c r="AD2888" s="353"/>
      <c r="AE2888" s="54"/>
      <c r="AF2888" s="354"/>
      <c r="AG2888" s="355"/>
      <c r="AH2888" s="349"/>
      <c r="AI2888" s="30"/>
      <c r="AJ2888" s="30"/>
      <c r="AK2888" s="30"/>
      <c r="AL2888" s="30"/>
      <c r="AM2888" s="13"/>
      <c r="AN2888" s="13"/>
      <c r="AO2888" s="13"/>
      <c r="AP2888" s="13"/>
      <c r="AQ2888" s="13"/>
      <c r="AR2888" s="14"/>
      <c r="AS2888" s="15"/>
    </row>
    <row r="2889" spans="1:45" s="17" customFormat="1" ht="30.95" customHeight="1" x14ac:dyDescent="0.2">
      <c r="A2889" s="343"/>
      <c r="B2889" s="344"/>
      <c r="C2889" s="345"/>
      <c r="D2889" s="346"/>
      <c r="E2889" s="346"/>
      <c r="F2889" s="268"/>
      <c r="G2889" s="269"/>
      <c r="H2889" s="269"/>
      <c r="I2889" s="270"/>
      <c r="J2889" s="434"/>
      <c r="K2889" s="270"/>
      <c r="L2889" s="270"/>
      <c r="M2889" s="348"/>
      <c r="N2889" s="348"/>
      <c r="O2889" s="435"/>
      <c r="P2889" s="349"/>
      <c r="Q2889" s="350"/>
      <c r="R2889" s="271"/>
      <c r="S2889" s="272"/>
      <c r="T2889" s="273"/>
      <c r="U2889" s="351"/>
      <c r="V2889" s="274"/>
      <c r="W2889" s="269"/>
      <c r="X2889" s="269"/>
      <c r="Y2889" s="275"/>
      <c r="Z2889" s="269"/>
      <c r="AA2889" s="350"/>
      <c r="AB2889" s="207"/>
      <c r="AC2889" s="352"/>
      <c r="AD2889" s="353"/>
      <c r="AE2889" s="54"/>
      <c r="AF2889" s="354"/>
      <c r="AG2889" s="355"/>
      <c r="AH2889" s="349"/>
      <c r="AI2889" s="30"/>
      <c r="AJ2889" s="30"/>
      <c r="AK2889" s="30"/>
      <c r="AL2889" s="30"/>
      <c r="AM2889" s="13"/>
      <c r="AN2889" s="13"/>
      <c r="AO2889" s="13"/>
      <c r="AP2889" s="13"/>
      <c r="AQ2889" s="13"/>
      <c r="AR2889" s="14"/>
      <c r="AS2889" s="15"/>
    </row>
    <row r="2890" spans="1:45" s="17" customFormat="1" ht="30.95" customHeight="1" x14ac:dyDescent="0.2">
      <c r="A2890" s="343"/>
      <c r="B2890" s="344"/>
      <c r="C2890" s="345"/>
      <c r="D2890" s="346"/>
      <c r="E2890" s="346"/>
      <c r="F2890" s="268"/>
      <c r="G2890" s="269"/>
      <c r="H2890" s="269"/>
      <c r="I2890" s="270"/>
      <c r="J2890" s="434"/>
      <c r="K2890" s="270"/>
      <c r="L2890" s="270"/>
      <c r="M2890" s="348"/>
      <c r="N2890" s="348"/>
      <c r="O2890" s="435"/>
      <c r="P2890" s="349"/>
      <c r="Q2890" s="350"/>
      <c r="R2890" s="271"/>
      <c r="S2890" s="272"/>
      <c r="T2890" s="273"/>
      <c r="U2890" s="351"/>
      <c r="V2890" s="274"/>
      <c r="W2890" s="269"/>
      <c r="X2890" s="269"/>
      <c r="Y2890" s="275"/>
      <c r="Z2890" s="269"/>
      <c r="AA2890" s="350"/>
      <c r="AB2890" s="207"/>
      <c r="AC2890" s="352"/>
      <c r="AD2890" s="353"/>
      <c r="AE2890" s="54"/>
      <c r="AF2890" s="354"/>
      <c r="AG2890" s="355"/>
      <c r="AH2890" s="349"/>
      <c r="AI2890" s="30"/>
      <c r="AJ2890" s="30"/>
      <c r="AK2890" s="30"/>
      <c r="AL2890" s="30"/>
      <c r="AM2890" s="13"/>
      <c r="AN2890" s="13"/>
      <c r="AO2890" s="13"/>
      <c r="AP2890" s="13"/>
      <c r="AQ2890" s="13"/>
      <c r="AR2890" s="14"/>
      <c r="AS2890" s="15"/>
    </row>
    <row r="2891" spans="1:45" s="17" customFormat="1" ht="30.95" customHeight="1" x14ac:dyDescent="0.2">
      <c r="A2891" s="343"/>
      <c r="B2891" s="344"/>
      <c r="C2891" s="345"/>
      <c r="D2891" s="346"/>
      <c r="E2891" s="346"/>
      <c r="F2891" s="268"/>
      <c r="G2891" s="269"/>
      <c r="H2891" s="269"/>
      <c r="I2891" s="270"/>
      <c r="J2891" s="434"/>
      <c r="K2891" s="270"/>
      <c r="L2891" s="270"/>
      <c r="M2891" s="348"/>
      <c r="N2891" s="348"/>
      <c r="O2891" s="435"/>
      <c r="P2891" s="349"/>
      <c r="Q2891" s="350"/>
      <c r="R2891" s="271"/>
      <c r="S2891" s="272"/>
      <c r="T2891" s="273"/>
      <c r="U2891" s="351"/>
      <c r="V2891" s="274"/>
      <c r="W2891" s="269"/>
      <c r="X2891" s="269"/>
      <c r="Y2891" s="275"/>
      <c r="Z2891" s="269"/>
      <c r="AA2891" s="350"/>
      <c r="AB2891" s="207"/>
      <c r="AC2891" s="352"/>
      <c r="AD2891" s="353"/>
      <c r="AE2891" s="54"/>
      <c r="AF2891" s="354"/>
      <c r="AG2891" s="355"/>
      <c r="AH2891" s="349"/>
      <c r="AI2891" s="30"/>
      <c r="AJ2891" s="30"/>
      <c r="AK2891" s="30"/>
      <c r="AL2891" s="30"/>
      <c r="AM2891" s="13"/>
      <c r="AN2891" s="13"/>
      <c r="AO2891" s="13"/>
      <c r="AP2891" s="13"/>
      <c r="AQ2891" s="13"/>
      <c r="AR2891" s="14"/>
      <c r="AS2891" s="15"/>
    </row>
    <row r="2892" spans="1:45" s="17" customFormat="1" ht="30.95" customHeight="1" x14ac:dyDescent="0.2">
      <c r="A2892" s="343"/>
      <c r="B2892" s="344"/>
      <c r="C2892" s="345"/>
      <c r="D2892" s="346"/>
      <c r="E2892" s="346"/>
      <c r="F2892" s="268"/>
      <c r="G2892" s="269"/>
      <c r="H2892" s="269"/>
      <c r="I2892" s="270"/>
      <c r="J2892" s="434"/>
      <c r="K2892" s="270"/>
      <c r="L2892" s="270"/>
      <c r="M2892" s="348"/>
      <c r="N2892" s="348"/>
      <c r="O2892" s="435"/>
      <c r="P2892" s="349"/>
      <c r="Q2892" s="350"/>
      <c r="R2892" s="271"/>
      <c r="S2892" s="272"/>
      <c r="T2892" s="273"/>
      <c r="U2892" s="351"/>
      <c r="V2892" s="274"/>
      <c r="W2892" s="269"/>
      <c r="X2892" s="269"/>
      <c r="Y2892" s="275"/>
      <c r="Z2892" s="269"/>
      <c r="AA2892" s="350"/>
      <c r="AB2892" s="207"/>
      <c r="AC2892" s="352"/>
      <c r="AD2892" s="353"/>
      <c r="AE2892" s="54"/>
      <c r="AF2892" s="354"/>
      <c r="AG2892" s="355"/>
      <c r="AH2892" s="349"/>
      <c r="AI2892" s="30"/>
      <c r="AJ2892" s="30"/>
      <c r="AK2892" s="30"/>
      <c r="AL2892" s="30"/>
      <c r="AM2892" s="13"/>
      <c r="AN2892" s="13"/>
      <c r="AO2892" s="13"/>
      <c r="AP2892" s="13"/>
      <c r="AQ2892" s="13"/>
      <c r="AR2892" s="14"/>
      <c r="AS2892" s="15"/>
    </row>
    <row r="2893" spans="1:45" s="17" customFormat="1" ht="30.95" customHeight="1" thickBot="1" x14ac:dyDescent="0.25">
      <c r="A2893" s="41"/>
      <c r="B2893" s="42"/>
      <c r="C2893" s="46"/>
      <c r="D2893" s="34"/>
      <c r="E2893" s="34"/>
      <c r="F2893" s="268" t="str">
        <f>IF(D2893="","",VLOOKUP(D2893,契約台帳!$A$3:$K$4986,6,FALSE)&amp;VLOOKUP(D2893,契約台帳!$A$3:$K$4986,7,FALSE)&amp;VLOOKUP(D2893,契約台帳!$A$3:$K$4986,8,FALSE)&amp;VLOOKUP(D2893,契約台帳!$A$3:$K$4986,9,FALSE)&amp;VLOOKUP(D2893,契約台帳!$A$3:$K$4986,11,FALSE))</f>
        <v/>
      </c>
      <c r="G2893" s="269" t="str">
        <f>IF(D2893="","",VLOOKUP(F2893,製品マスタ!$G$5:$H$5002,2,FALSE))</f>
        <v/>
      </c>
      <c r="H2893" s="269" t="str">
        <f>IF(D2893="","",VLOOKUP(F2893,製品マスタ!$G$5:$K$5002,5,FALSE))</f>
        <v/>
      </c>
      <c r="I2893" s="270" t="str">
        <f>IF(D2893="","",VLOOKUP(F2893,製品マスタ!$G$5:$L$5002,6,FALSE))</f>
        <v/>
      </c>
      <c r="J2893" s="211"/>
      <c r="K2893" s="270" t="str">
        <f>IF(D2893="","",VLOOKUP(D2893,契約台帳!$A$3:$L$4986,12,FALSE))</f>
        <v/>
      </c>
      <c r="L2893" s="270" t="str">
        <f>IF(D2893="","",INDEX(製品マスタ!$Q$5:$Q$5002,MATCH('S4'!F2893&amp;'S4'!K2893,製品マスタ!$AO$5:$AO$5002,0)))</f>
        <v/>
      </c>
      <c r="M2893" s="48"/>
      <c r="N2893" s="48"/>
      <c r="O2893" s="157"/>
      <c r="P2893" s="49"/>
      <c r="Q2893" s="58"/>
      <c r="R2893" s="271" t="str">
        <f ca="1">IF(D2893="","",IF(OFFSET(D2893,-1,0)&lt;&gt;"","",IF(OR(J2893="リード付け",J2893="巻足し",J2893="巻返しリード付け"),M2893,VLOOKUP(D2893,契約台帳!$A$3:$N$4986,14,FALSE))))</f>
        <v/>
      </c>
      <c r="S2893" s="272" t="str">
        <f ca="1">IF(D2893="","",IF(OFFSET(D2893,-1,0)&lt;&gt;"","",IF(OR(J2893="リード付け",J2893="巻足し",J2893="巻返しリード付け"),M2893,VLOOKUP(D2893,契約台帳!$A$3:$O$4986,15,FALSE))))</f>
        <v/>
      </c>
      <c r="T2893" s="273" t="str">
        <f ca="1">IF(D2893="","",IF(J2893="リード付け",N2893,IF(J2893="巻返しリード付け",N2893,IF(J2893="巻足し",N2893*P2893+OFFSET(N2893,1,0)*OFFSET(P2893,1,0),VLOOKUP(D2893,契約台帳!$A$3:$P$4986,16,FALSE)))))</f>
        <v/>
      </c>
      <c r="U2893" s="50"/>
      <c r="V2893" s="274" t="str">
        <f ca="1">IF(D2893="","",IF(OFFSET(D2893,-2,0)=D2893,"",VLOOKUP(D2893,契約台帳!$A$3:$R$4986,18,FALSE)))</f>
        <v/>
      </c>
      <c r="W2893" s="269" t="str">
        <f>IF(D2893="","",IF(T2893="","",IF(OR(J2893="巻足し",J2893="巻返しリード付け"),"",IF(J2893="巻返し",VLOOKUP(F2893&amp;K2893&amp;M2893,製品マスタ!$M$5:$AD$5002,18,FALSE),IF(OR(J2893="リード付け",J2893="巻返しリード付け"),"原反コア",IF(J2893="スリット",VLOOKUP(F2893&amp;K2893&amp;R2893,製品マスタ!$N$5:$AD$5002,17,FALSE),""))))))</f>
        <v/>
      </c>
      <c r="X2893" s="269" t="str">
        <f>IF(D2893="","",IF(T2893="","",IF(J2893="巻足し","",IF(J2893="巻返し",VLOOKUP(F2893&amp;K2893&amp;M2893,製品マスタ!$M$5:$AE$5002,19,FALSE),IF(OR(J2893="リード付け",J2893="巻返しリード付け"),"",IF(J2893="スリット",VLOOKUP(F2893&amp;K2893&amp;R2893,製品マスタ!$N$5:$AE$5002,18,FALSE),""))))))</f>
        <v/>
      </c>
      <c r="Y2893" s="275" t="str">
        <f>IF(D2893="","",IF(T2893="","",VLOOKUP(D2893,契約台帳!$A$3:$Q$4986,17,FALSE)))</f>
        <v/>
      </c>
      <c r="Z2893" s="269" t="str">
        <f>IF(D2893="","",IF(T2893="","",VLOOKUP(D2893,契約台帳!$A$3:$E$4986,5,FALSE)))</f>
        <v/>
      </c>
      <c r="AA2893" s="58"/>
      <c r="AB2893" s="207" t="str">
        <f>IFERROR((VLOOKUP(F2893&amp;K2893&amp;M2893,製品マスタ!$M$5:$AM$5002,27,FALSE)),"")</f>
        <v/>
      </c>
      <c r="AC2893" s="36"/>
      <c r="AD2893" s="190"/>
      <c r="AE2893" s="54"/>
      <c r="AF2893" s="56"/>
      <c r="AG2893" s="212"/>
      <c r="AH2893" s="49"/>
      <c r="AI2893" s="30"/>
      <c r="AJ2893" s="30"/>
      <c r="AK2893" s="30"/>
      <c r="AL2893" s="30"/>
      <c r="AM2893" s="13"/>
      <c r="AN2893" s="13"/>
      <c r="AO2893" s="13"/>
      <c r="AP2893" s="13"/>
      <c r="AQ2893" s="13"/>
      <c r="AR2893" s="14"/>
      <c r="AS2893" s="15"/>
    </row>
  </sheetData>
  <mergeCells count="1">
    <mergeCell ref="L2:X2"/>
  </mergeCells>
  <phoneticPr fontId="17"/>
  <printOptions horizontalCentered="1"/>
  <pageMargins left="0" right="0" top="0.27559055118110237" bottom="0" header="0" footer="0"/>
  <pageSetup paperSize="9" scale="43" orientation="landscape" r:id="rId1"/>
  <headerFooter alignWithMargins="0">
    <oddHeader>&amp;L品質記録-PM-10-03-(PM)&amp;R&amp;D  &amp;T</oddHeader>
    <oddFooter>&amp;C&amp;P/&amp;N</oddFooter>
  </headerFooter>
  <rowBreaks count="11" manualBreakCount="11">
    <brk id="274" max="29" man="1"/>
    <brk id="378" max="29" man="1"/>
    <brk id="496" max="29" man="1"/>
    <brk id="596" max="29" man="1"/>
    <brk id="702" max="29" man="1"/>
    <brk id="811" max="29" man="1"/>
    <brk id="834" max="29" man="1"/>
    <brk id="961" max="29" man="1"/>
    <brk id="1166" max="29" man="1"/>
    <brk id="1196" max="29" man="1"/>
    <brk id="1625" max="2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R2424"/>
  <sheetViews>
    <sheetView showZeros="0" zoomScale="60" zoomScaleNormal="60" zoomScaleSheetLayoutView="40" workbookViewId="0">
      <pane xSplit="15" ySplit="4" topLeftCell="P5" activePane="bottomRight" state="frozen"/>
      <selection activeCell="AH1917" sqref="AH1917"/>
      <selection pane="topRight" activeCell="AH1917" sqref="AH1917"/>
      <selection pane="bottomLeft" activeCell="AH1917" sqref="AH1917"/>
      <selection pane="bottomRight" activeCell="E2231" sqref="E2231"/>
    </sheetView>
  </sheetViews>
  <sheetFormatPr defaultColWidth="0.125" defaultRowHeight="21" x14ac:dyDescent="0.2"/>
  <cols>
    <col min="1" max="1" width="9" style="3" customWidth="1"/>
    <col min="2" max="2" width="5.25" style="3" customWidth="1"/>
    <col min="3" max="3" width="6.875" style="4" hidden="1" customWidth="1"/>
    <col min="4" max="5" width="15.75" style="3" customWidth="1"/>
    <col min="6" max="6" width="31.75" style="5" hidden="1" customWidth="1"/>
    <col min="7" max="7" width="7.375" style="6" customWidth="1"/>
    <col min="8" max="8" width="13.875" style="6" customWidth="1"/>
    <col min="9" max="9" width="72.625" style="3" bestFit="1" customWidth="1"/>
    <col min="10" max="10" width="15.625" style="3" customWidth="1"/>
    <col min="11" max="11" width="7" style="3" bestFit="1" customWidth="1"/>
    <col min="12" max="12" width="14.125" style="3" bestFit="1" customWidth="1"/>
    <col min="13" max="13" width="9.75" style="7" customWidth="1"/>
    <col min="14" max="14" width="12.875" style="7" bestFit="1" customWidth="1"/>
    <col min="15" max="15" width="7" style="3" bestFit="1" customWidth="1"/>
    <col min="16" max="16" width="9.625" style="1" bestFit="1" customWidth="1"/>
    <col min="17" max="17" width="9.75" style="22" bestFit="1" customWidth="1"/>
    <col min="18" max="19" width="11.125" style="23" customWidth="1"/>
    <col min="20" max="21" width="6.25" style="8" customWidth="1"/>
    <col min="22" max="22" width="13.625" style="24" bestFit="1" customWidth="1"/>
    <col min="23" max="23" width="12.625" style="24" bestFit="1" customWidth="1"/>
    <col min="24" max="24" width="6.25" style="8" customWidth="1"/>
    <col min="25" max="25" width="31.125" style="24" bestFit="1" customWidth="1"/>
    <col min="26" max="26" width="9.625" style="1" bestFit="1" customWidth="1"/>
    <col min="27" max="29" width="18.625" style="1" customWidth="1"/>
    <col min="30" max="30" width="15.125" style="1" customWidth="1"/>
    <col min="31" max="32" width="16.75" style="1" customWidth="1"/>
    <col min="33" max="33" width="19.875" style="1" bestFit="1" customWidth="1"/>
    <col min="34" max="34" width="15.375" style="12" bestFit="1" customWidth="1"/>
    <col min="35" max="35" width="15.375" style="12" customWidth="1"/>
    <col min="36" max="36" width="9.75" style="12" customWidth="1"/>
    <col min="37" max="37" width="14.5" style="12" customWidth="1"/>
    <col min="38" max="42" width="12.875" style="13" hidden="1" customWidth="1"/>
    <col min="43" max="43" width="12.875" style="14" hidden="1" customWidth="1"/>
    <col min="44" max="44" width="12.875" style="15" hidden="1" customWidth="1"/>
    <col min="45" max="45" width="15.375" style="1" customWidth="1"/>
    <col min="46" max="16384" width="0.125" style="1"/>
  </cols>
  <sheetData>
    <row r="1" spans="1:44" ht="29.25" thickBot="1" x14ac:dyDescent="0.35">
      <c r="A1" s="2"/>
      <c r="F1" s="59" t="s">
        <v>379</v>
      </c>
      <c r="P1" s="51"/>
      <c r="Q1" s="3"/>
      <c r="R1" s="6"/>
      <c r="S1" s="6"/>
      <c r="V1" s="6"/>
      <c r="W1" s="6"/>
      <c r="Y1" s="6"/>
      <c r="Z1" s="9"/>
      <c r="AA1" s="10" t="s">
        <v>380</v>
      </c>
      <c r="AB1" s="10" t="s">
        <v>381</v>
      </c>
      <c r="AC1" s="11" t="s">
        <v>382</v>
      </c>
      <c r="AD1" s="51"/>
    </row>
    <row r="2" spans="1:44" ht="112.5" customHeight="1" thickBot="1" x14ac:dyDescent="0.35">
      <c r="A2" s="16" t="s">
        <v>417</v>
      </c>
      <c r="I2" s="17" t="s">
        <v>384</v>
      </c>
      <c r="J2" s="492" t="s">
        <v>3475</v>
      </c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18"/>
      <c r="AA2" s="19"/>
      <c r="AB2" s="19"/>
      <c r="AC2" s="20"/>
      <c r="AD2" s="52"/>
      <c r="AG2" s="21"/>
      <c r="AL2" s="13" t="s">
        <v>385</v>
      </c>
      <c r="AM2" s="13" t="s">
        <v>386</v>
      </c>
      <c r="AN2" s="13" t="s">
        <v>387</v>
      </c>
      <c r="AO2" s="13" t="s">
        <v>388</v>
      </c>
      <c r="AP2" s="13" t="s">
        <v>389</v>
      </c>
      <c r="AQ2" s="14" t="s">
        <v>390</v>
      </c>
      <c r="AR2" s="15" t="s">
        <v>391</v>
      </c>
    </row>
    <row r="3" spans="1:44" ht="18" customHeight="1" thickBot="1" x14ac:dyDescent="0.25"/>
    <row r="4" spans="1:44" ht="52.5" thickBot="1" x14ac:dyDescent="0.25">
      <c r="A4" s="184" t="s">
        <v>392</v>
      </c>
      <c r="B4" s="185" t="s">
        <v>393</v>
      </c>
      <c r="C4" s="186" t="s">
        <v>394</v>
      </c>
      <c r="D4" s="167" t="s">
        <v>395</v>
      </c>
      <c r="E4" s="168" t="s">
        <v>396</v>
      </c>
      <c r="F4" s="169" t="s">
        <v>397</v>
      </c>
      <c r="G4" s="170" t="s">
        <v>398</v>
      </c>
      <c r="H4" s="165" t="s">
        <v>399</v>
      </c>
      <c r="I4" s="171" t="s">
        <v>400</v>
      </c>
      <c r="J4" s="263">
        <v>1</v>
      </c>
      <c r="K4" s="165" t="s">
        <v>401</v>
      </c>
      <c r="L4" s="165" t="s">
        <v>402</v>
      </c>
      <c r="M4" s="172" t="s">
        <v>403</v>
      </c>
      <c r="N4" s="158" t="s">
        <v>404</v>
      </c>
      <c r="O4" s="173" t="s">
        <v>405</v>
      </c>
      <c r="P4" s="161" t="s">
        <v>481</v>
      </c>
      <c r="Q4" s="162" t="s">
        <v>406</v>
      </c>
      <c r="R4" s="163" t="s">
        <v>407</v>
      </c>
      <c r="S4" s="163" t="s">
        <v>408</v>
      </c>
      <c r="T4" s="164" t="s">
        <v>418</v>
      </c>
      <c r="U4" s="164" t="s">
        <v>488</v>
      </c>
      <c r="V4" s="165" t="s">
        <v>410</v>
      </c>
      <c r="W4" s="165" t="s">
        <v>411</v>
      </c>
      <c r="X4" s="174" t="s">
        <v>412</v>
      </c>
      <c r="Y4" s="173" t="s">
        <v>413</v>
      </c>
      <c r="Z4" s="161" t="s">
        <v>482</v>
      </c>
      <c r="AA4" s="171" t="s">
        <v>414</v>
      </c>
      <c r="AB4" s="264">
        <v>2</v>
      </c>
      <c r="AC4" s="265">
        <v>3</v>
      </c>
      <c r="AD4" s="266">
        <v>4</v>
      </c>
      <c r="AE4" s="25" t="s">
        <v>415</v>
      </c>
      <c r="AF4" s="215" t="s">
        <v>543</v>
      </c>
      <c r="AG4" s="44" t="s">
        <v>416</v>
      </c>
      <c r="AH4" s="26"/>
      <c r="AI4" s="26"/>
      <c r="AJ4" s="26"/>
      <c r="AK4" s="26"/>
      <c r="AL4" s="27"/>
      <c r="AM4" s="27"/>
      <c r="AN4" s="27"/>
      <c r="AO4" s="27"/>
      <c r="AP4" s="27"/>
      <c r="AQ4" s="28"/>
      <c r="AR4" s="29"/>
    </row>
    <row r="5" spans="1:44" s="17" customFormat="1" ht="30.95" hidden="1" customHeight="1" x14ac:dyDescent="0.2">
      <c r="A5" s="37" t="s">
        <v>740</v>
      </c>
      <c r="B5" s="38" t="s">
        <v>748</v>
      </c>
      <c r="C5" s="45"/>
      <c r="D5" s="31"/>
      <c r="E5" s="31"/>
      <c r="F5" s="268" t="str">
        <f>IF(D5="","",VLOOKUP(D5,契約台帳!$A$3:$K$4986,6,FALSE)&amp;VLOOKUP(D5,契約台帳!$A$3:$K$4986,7,FALSE)&amp;VLOOKUP(D5,契約台帳!$A$3:$K$4986,8,FALSE)&amp;VLOOKUP(D5,契約台帳!$A$3:$K$4986,9,FALSE)&amp;VLOOKUP(D5,契約台帳!$A$3:$K$4986,11,FALSE))</f>
        <v/>
      </c>
      <c r="G5" s="269" t="str">
        <f>IF(D5="","",VLOOKUP(F5,製品マスタ!$G$5:$H$5002,2,FALSE))</f>
        <v/>
      </c>
      <c r="H5" s="269" t="str">
        <f>IF(D5="","",VLOOKUP(F5,製品マスタ!$G$5:$K$5002,5,FALSE))</f>
        <v/>
      </c>
      <c r="I5" s="270" t="str">
        <f>IF(D5="","",VLOOKUP(F5,製品マスタ!$G$5:$L$5002,6,FALSE))</f>
        <v/>
      </c>
      <c r="J5" s="210" t="s">
        <v>448</v>
      </c>
      <c r="K5" s="270" t="str">
        <f>IF(D5="","",VLOOKUP(D5,契約台帳!$A$3:$L$4986,12,FALSE))</f>
        <v/>
      </c>
      <c r="L5" s="270" t="str">
        <f>IF(D5="","",INDEX(製品マスタ!$Q$5:$Q$5002,MATCH(F5&amp;K5,製品マスタ!$AO$5:$AO$5002,0)))</f>
        <v/>
      </c>
      <c r="M5" s="39"/>
      <c r="N5" s="39"/>
      <c r="O5" s="47"/>
      <c r="P5" s="57"/>
      <c r="Q5" s="276" t="str">
        <f>IF(D5="","",IF(J5="リード付け",M5,VLOOKUP(D5,契約台帳!$A$3:$N$4986,14,FALSE)))</f>
        <v/>
      </c>
      <c r="R5" s="277" t="str">
        <f>IF(D5="","",IF(J5="リード付け",M5,VLOOKUP(D5,契約台帳!$A$3:$O$4986,15,FALSE)))</f>
        <v/>
      </c>
      <c r="S5" s="277" t="str">
        <f>IF(D5="","",IF(J5="リード付け",N5,VLOOKUP(D5,契約台帳!$A$3:$P$4986,16,FALSE)))</f>
        <v/>
      </c>
      <c r="T5" s="40"/>
      <c r="U5" s="278" t="str">
        <f ca="1">IF(D5="","",IF(OFFSET(D5,-2,0)=D5,"",VLOOKUP(D5,契約台帳!$A$3:$R$4986,18,FALSE)))</f>
        <v/>
      </c>
      <c r="V5" s="269" t="str">
        <f>IF(J5="巻返し",VLOOKUP(F5&amp;K5&amp;M5,製品マスタ!$M$5:$AD$5002,18,FALSE),IF(J5="リード付け","原反コア",IF(J5="スリット",VLOOKUP(F5&amp;K5&amp;Q5,製品マスタ!$N$5:$AD$5002,17,FALSE),"")))</f>
        <v/>
      </c>
      <c r="W5" s="269" t="str">
        <f>IF(J5="巻返し",VLOOKUP(F5&amp;K5&amp;M5,製品マスタ!$M$5:$AE$5002,19,FALSE),IF(J5="リード付け","-",IF(J5="スリット",VLOOKUP(F5&amp;K5&amp;Q5,製品マスタ!$N$5:$AE$5002,18,FALSE),"")))</f>
        <v/>
      </c>
      <c r="X5" s="275" t="str">
        <f>IF(D5="","",VLOOKUP(D5,契約台帳!$A$3:$Q$4986,17,FALSE))</f>
        <v/>
      </c>
      <c r="Y5" s="269" t="str">
        <f>IF(D5="","",VLOOKUP(D5,契約台帳!$A$3:$E$4986,5,FALSE))</f>
        <v/>
      </c>
      <c r="Z5" s="57"/>
      <c r="AA5" s="207" t="str">
        <f>IFERROR(VLOOKUP(F5&amp;K5&amp;M5,製品マスタ!$M$5:$AM$5002,27,FALSE),"")</f>
        <v/>
      </c>
      <c r="AB5" s="33"/>
      <c r="AC5" s="189"/>
      <c r="AD5" s="54"/>
      <c r="AE5" s="55"/>
      <c r="AF5" s="43"/>
      <c r="AG5" s="47"/>
      <c r="AH5" s="30"/>
      <c r="AI5" s="30"/>
      <c r="AJ5" s="30"/>
      <c r="AK5" s="30"/>
      <c r="AL5" s="13"/>
      <c r="AM5" s="13"/>
      <c r="AN5" s="13"/>
      <c r="AO5" s="13"/>
      <c r="AP5" s="13"/>
      <c r="AQ5" s="14"/>
      <c r="AR5" s="15"/>
    </row>
    <row r="6" spans="1:44" s="17" customFormat="1" ht="30.95" hidden="1" customHeight="1" x14ac:dyDescent="0.2">
      <c r="A6" s="37"/>
      <c r="B6" s="38"/>
      <c r="C6" s="45"/>
      <c r="D6" s="31"/>
      <c r="E6" s="31"/>
      <c r="F6" s="268" t="str">
        <f>IF(D6="","",VLOOKUP(D6,契約台帳!$A$3:$K$4986,6,FALSE)&amp;VLOOKUP(D6,契約台帳!$A$3:$K$4986,7,FALSE)&amp;VLOOKUP(D6,契約台帳!$A$3:$K$4986,8,FALSE)&amp;VLOOKUP(D6,契約台帳!$A$3:$K$4986,9,FALSE)&amp;VLOOKUP(D6,契約台帳!$A$3:$K$4986,11,FALSE))</f>
        <v/>
      </c>
      <c r="G6" s="269" t="str">
        <f>IF(D6="","",VLOOKUP(F6,製品マスタ!$G$5:$H$5002,2,FALSE))</f>
        <v/>
      </c>
      <c r="H6" s="269" t="str">
        <f>IF(D6="","",VLOOKUP(F6,製品マスタ!$G$5:$K$5002,5,FALSE))</f>
        <v/>
      </c>
      <c r="I6" s="270" t="str">
        <f>IF(D6="","",VLOOKUP(F6,製品マスタ!$G$5:$L$5002,6,FALSE))</f>
        <v/>
      </c>
      <c r="J6" s="210"/>
      <c r="K6" s="270" t="str">
        <f>IF(D6="","",VLOOKUP(D6,契約台帳!$A$3:$L$4986,12,FALSE))</f>
        <v/>
      </c>
      <c r="L6" s="270" t="str">
        <f>IF(D6="","",INDEX(製品マスタ!$Q$5:$Q$5002,MATCH(F6&amp;K6,製品マスタ!$AO$5:$AO$5002,0)))</f>
        <v/>
      </c>
      <c r="M6" s="39"/>
      <c r="N6" s="39"/>
      <c r="O6" s="47"/>
      <c r="P6" s="57"/>
      <c r="Q6" s="276" t="str">
        <f>IF(D6="","",IF(J6="リード付け",M6,VLOOKUP(D6,契約台帳!$A$3:$N$4986,14,FALSE)))</f>
        <v/>
      </c>
      <c r="R6" s="277" t="str">
        <f>IF(D6="","",IF(J6="リード付け",M6,VLOOKUP(D6,契約台帳!$A$3:$O$4986,15,FALSE)))</f>
        <v/>
      </c>
      <c r="S6" s="277" t="str">
        <f>IF(D6="","",IF(J6="リード付け",N6,VLOOKUP(D6,契約台帳!$A$3:$P$4986,16,FALSE)))</f>
        <v/>
      </c>
      <c r="T6" s="40"/>
      <c r="U6" s="278" t="str">
        <f ca="1">IF(D6="","",IF(OFFSET(D6,-2,0)=D6,"",VLOOKUP(D6,契約台帳!$A$3:$R$4986,18,FALSE)))</f>
        <v/>
      </c>
      <c r="V6" s="269" t="str">
        <f>IF(J6="巻返し",VLOOKUP(F6&amp;K6&amp;M6,製品マスタ!$M$5:$AD$5002,18,FALSE),IF(J6="リード付け","原反コア",IF(J6="スリット",VLOOKUP(F6&amp;K6&amp;Q6,製品マスタ!$N$5:$AD$5002,17,FALSE),"")))</f>
        <v/>
      </c>
      <c r="W6" s="269" t="str">
        <f>IF(J6="巻返し",VLOOKUP(F6&amp;K6&amp;M6,製品マスタ!$M$5:$AE$5002,19,FALSE),IF(J6="リード付け","-",IF(J6="スリット",VLOOKUP(F6&amp;K6&amp;Q6,製品マスタ!$N$5:$AE$5002,18,FALSE),"")))</f>
        <v/>
      </c>
      <c r="X6" s="275" t="str">
        <f>IF(D6="","",VLOOKUP(D6,契約台帳!$A$3:$Q$4986,17,FALSE))</f>
        <v/>
      </c>
      <c r="Y6" s="269" t="str">
        <f>IF(D6="","",VLOOKUP(D6,契約台帳!$A$3:$E$4986,5,FALSE))</f>
        <v/>
      </c>
      <c r="Z6" s="57"/>
      <c r="AA6" s="207" t="str">
        <f>IFERROR(VLOOKUP(F6&amp;K6&amp;M6,製品マスタ!$M$5:$AM$5002,27,FALSE),"")</f>
        <v/>
      </c>
      <c r="AB6" s="33"/>
      <c r="AC6" s="189"/>
      <c r="AD6" s="54"/>
      <c r="AE6" s="55"/>
      <c r="AF6" s="43"/>
      <c r="AG6" s="47"/>
      <c r="AH6" s="30"/>
      <c r="AI6" s="30"/>
      <c r="AJ6" s="30"/>
      <c r="AK6" s="30"/>
      <c r="AL6" s="13"/>
      <c r="AM6" s="13"/>
      <c r="AN6" s="13"/>
      <c r="AO6" s="13"/>
      <c r="AP6" s="13"/>
      <c r="AQ6" s="14"/>
      <c r="AR6" s="15"/>
    </row>
    <row r="7" spans="1:44" s="17" customFormat="1" ht="30.95" hidden="1" customHeight="1" x14ac:dyDescent="0.2">
      <c r="A7" s="37" t="s">
        <v>741</v>
      </c>
      <c r="B7" s="38" t="s">
        <v>749</v>
      </c>
      <c r="C7" s="45"/>
      <c r="D7" s="31"/>
      <c r="E7" s="31"/>
      <c r="F7" s="268" t="str">
        <f>IF(D7="","",VLOOKUP(D7,契約台帳!$A$3:$K$4986,6,FALSE)&amp;VLOOKUP(D7,契約台帳!$A$3:$K$4986,7,FALSE)&amp;VLOOKUP(D7,契約台帳!$A$3:$K$4986,8,FALSE)&amp;VLOOKUP(D7,契約台帳!$A$3:$K$4986,9,FALSE)&amp;VLOOKUP(D7,契約台帳!$A$3:$K$4986,11,FALSE))</f>
        <v/>
      </c>
      <c r="G7" s="269" t="str">
        <f>IF(D7="","",VLOOKUP(F7,製品マスタ!$G$5:$H$5002,2,FALSE))</f>
        <v/>
      </c>
      <c r="H7" s="269" t="str">
        <f>IF(D7="","",VLOOKUP(F7,製品マスタ!$G$5:$K$5002,5,FALSE))</f>
        <v/>
      </c>
      <c r="I7" s="270" t="str">
        <f>IF(D7="","",VLOOKUP(F7,製品マスタ!$G$5:$L$5002,6,FALSE))</f>
        <v/>
      </c>
      <c r="J7" s="210" t="s">
        <v>448</v>
      </c>
      <c r="K7" s="270" t="str">
        <f>IF(D7="","",VLOOKUP(D7,契約台帳!$A$3:$L$4986,12,FALSE))</f>
        <v/>
      </c>
      <c r="L7" s="270" t="str">
        <f>IF(D7="","",INDEX(製品マスタ!$Q$5:$Q$5002,MATCH(F7&amp;K7,製品マスタ!$AO$5:$AO$5002,0)))</f>
        <v/>
      </c>
      <c r="M7" s="39"/>
      <c r="N7" s="39"/>
      <c r="O7" s="47"/>
      <c r="P7" s="57"/>
      <c r="Q7" s="276" t="str">
        <f>IF(D7="","",IF(J7="リード付け",M7,VLOOKUP(D7,契約台帳!$A$3:$N$4986,14,FALSE)))</f>
        <v/>
      </c>
      <c r="R7" s="277" t="str">
        <f>IF(D7="","",IF(J7="リード付け",M7,VLOOKUP(D7,契約台帳!$A$3:$O$4986,15,FALSE)))</f>
        <v/>
      </c>
      <c r="S7" s="277" t="str">
        <f>IF(D7="","",IF(J7="リード付け",N7,VLOOKUP(D7,契約台帳!$A$3:$P$4986,16,FALSE)))</f>
        <v/>
      </c>
      <c r="T7" s="40"/>
      <c r="U7" s="278" t="str">
        <f ca="1">IF(D7="","",IF(OFFSET(D7,-2,0)=D7,"",VLOOKUP(D7,契約台帳!$A$3:$R$4986,18,FALSE)))</f>
        <v/>
      </c>
      <c r="V7" s="269" t="str">
        <f>IF(J7="巻返し",VLOOKUP(F7&amp;K7&amp;M7,製品マスタ!$M$5:$AD$5002,18,FALSE),IF(J7="リード付け","原反コア",IF(J7="スリット",VLOOKUP(F7&amp;K7&amp;Q7,製品マスタ!$N$5:$AD$5002,17,FALSE),"")))</f>
        <v/>
      </c>
      <c r="W7" s="269" t="str">
        <f>IF(J7="巻返し",VLOOKUP(F7&amp;K7&amp;M7,製品マスタ!$M$5:$AE$5002,19,FALSE),IF(J7="リード付け","-",IF(J7="スリット",VLOOKUP(F7&amp;K7&amp;Q7,製品マスタ!$N$5:$AE$5002,18,FALSE),"")))</f>
        <v/>
      </c>
      <c r="X7" s="275" t="str">
        <f>IF(D7="","",VLOOKUP(D7,契約台帳!$A$3:$Q$4986,17,FALSE))</f>
        <v/>
      </c>
      <c r="Y7" s="269" t="str">
        <f>IF(D7="","",VLOOKUP(D7,契約台帳!$A$3:$E$4986,5,FALSE))</f>
        <v/>
      </c>
      <c r="Z7" s="57"/>
      <c r="AA7" s="207" t="str">
        <f>IFERROR(VLOOKUP(F7&amp;K7&amp;M7,製品マスタ!$M$5:$AM$5002,27,FALSE),"")</f>
        <v/>
      </c>
      <c r="AB7" s="33"/>
      <c r="AC7" s="189"/>
      <c r="AD7" s="54"/>
      <c r="AE7" s="55"/>
      <c r="AF7" s="43"/>
      <c r="AG7" s="47"/>
      <c r="AH7" s="30"/>
      <c r="AI7" s="30"/>
      <c r="AJ7" s="30"/>
      <c r="AK7" s="30"/>
      <c r="AL7" s="13"/>
      <c r="AM7" s="13"/>
      <c r="AN7" s="13"/>
      <c r="AO7" s="13"/>
      <c r="AP7" s="13"/>
      <c r="AQ7" s="14"/>
      <c r="AR7" s="15"/>
    </row>
    <row r="8" spans="1:44" s="17" customFormat="1" ht="30.95" hidden="1" customHeight="1" x14ac:dyDescent="0.2">
      <c r="A8" s="37"/>
      <c r="B8" s="38"/>
      <c r="C8" s="45"/>
      <c r="D8" s="31"/>
      <c r="E8" s="31"/>
      <c r="F8" s="268" t="str">
        <f>IF(D8="","",VLOOKUP(D8,契約台帳!$A$3:$K$4986,6,FALSE)&amp;VLOOKUP(D8,契約台帳!$A$3:$K$4986,7,FALSE)&amp;VLOOKUP(D8,契約台帳!$A$3:$K$4986,8,FALSE)&amp;VLOOKUP(D8,契約台帳!$A$3:$K$4986,9,FALSE)&amp;VLOOKUP(D8,契約台帳!$A$3:$K$4986,11,FALSE))</f>
        <v/>
      </c>
      <c r="G8" s="269" t="str">
        <f>IF(D8="","",VLOOKUP(F8,製品マスタ!$G$5:$H$5002,2,FALSE))</f>
        <v/>
      </c>
      <c r="H8" s="269" t="str">
        <f>IF(D8="","",VLOOKUP(F8,製品マスタ!$G$5:$K$5002,5,FALSE))</f>
        <v/>
      </c>
      <c r="I8" s="270" t="str">
        <f>IF(D8="","",VLOOKUP(F8,製品マスタ!$G$5:$L$5002,6,FALSE))</f>
        <v/>
      </c>
      <c r="J8" s="210"/>
      <c r="K8" s="270" t="str">
        <f>IF(D8="","",VLOOKUP(D8,契約台帳!$A$3:$L$4986,12,FALSE))</f>
        <v/>
      </c>
      <c r="L8" s="270" t="str">
        <f>IF(D8="","",INDEX(製品マスタ!$Q$5:$Q$5002,MATCH(F8&amp;K8,製品マスタ!$AO$5:$AO$5002,0)))</f>
        <v/>
      </c>
      <c r="M8" s="39"/>
      <c r="N8" s="39"/>
      <c r="O8" s="47"/>
      <c r="P8" s="57"/>
      <c r="Q8" s="276" t="str">
        <f>IF(D8="","",IF(J8="リード付け",M8,VLOOKUP(D8,契約台帳!$A$3:$N$4986,14,FALSE)))</f>
        <v/>
      </c>
      <c r="R8" s="277" t="str">
        <f>IF(D8="","",IF(J8="リード付け",M8,VLOOKUP(D8,契約台帳!$A$3:$O$4986,15,FALSE)))</f>
        <v/>
      </c>
      <c r="S8" s="277" t="str">
        <f>IF(D8="","",IF(J8="リード付け",N8,VLOOKUP(D8,契約台帳!$A$3:$P$4986,16,FALSE)))</f>
        <v/>
      </c>
      <c r="T8" s="40"/>
      <c r="U8" s="278" t="str">
        <f ca="1">IF(D8="","",IF(OFFSET(D8,-2,0)=D8,"",VLOOKUP(D8,契約台帳!$A$3:$R$4986,18,FALSE)))</f>
        <v/>
      </c>
      <c r="V8" s="269" t="str">
        <f>IF(J8="巻返し",VLOOKUP(F8&amp;K8&amp;M8,製品マスタ!$M$5:$AD$5002,18,FALSE),IF(J8="リード付け","原反コア",IF(J8="スリット",VLOOKUP(F8&amp;K8&amp;Q8,製品マスタ!$N$5:$AD$5002,17,FALSE),"")))</f>
        <v/>
      </c>
      <c r="W8" s="269" t="str">
        <f>IF(J8="巻返し",VLOOKUP(F8&amp;K8&amp;M8,製品マスタ!$M$5:$AE$5002,19,FALSE),IF(J8="リード付け","-",IF(J8="スリット",VLOOKUP(F8&amp;K8&amp;Q8,製品マスタ!$N$5:$AE$5002,18,FALSE),"")))</f>
        <v/>
      </c>
      <c r="X8" s="275" t="str">
        <f>IF(D8="","",VLOOKUP(D8,契約台帳!$A$3:$Q$4986,17,FALSE))</f>
        <v/>
      </c>
      <c r="Y8" s="269" t="str">
        <f>IF(D8="","",VLOOKUP(D8,契約台帳!$A$3:$E$4986,5,FALSE))</f>
        <v/>
      </c>
      <c r="Z8" s="57"/>
      <c r="AA8" s="207" t="str">
        <f>IFERROR(VLOOKUP(F8&amp;K8&amp;M8,製品マスタ!$M$5:$AM$5002,27,FALSE),"")</f>
        <v/>
      </c>
      <c r="AB8" s="33"/>
      <c r="AC8" s="189"/>
      <c r="AD8" s="54"/>
      <c r="AE8" s="55"/>
      <c r="AF8" s="43"/>
      <c r="AG8" s="47"/>
      <c r="AH8" s="30"/>
      <c r="AI8" s="30"/>
      <c r="AJ8" s="30"/>
      <c r="AK8" s="30"/>
      <c r="AL8" s="13"/>
      <c r="AM8" s="13"/>
      <c r="AN8" s="13"/>
      <c r="AO8" s="13"/>
      <c r="AP8" s="13"/>
      <c r="AQ8" s="14"/>
      <c r="AR8" s="15"/>
    </row>
    <row r="9" spans="1:44" s="17" customFormat="1" ht="30.95" hidden="1" customHeight="1" x14ac:dyDescent="0.2">
      <c r="A9" s="37" t="s">
        <v>742</v>
      </c>
      <c r="B9" s="38" t="s">
        <v>750</v>
      </c>
      <c r="C9" s="45"/>
      <c r="D9" s="31"/>
      <c r="E9" s="31"/>
      <c r="F9" s="268" t="str">
        <f>IF(D9="","",VLOOKUP(D9,契約台帳!$A$3:$K$4986,6,FALSE)&amp;VLOOKUP(D9,契約台帳!$A$3:$K$4986,7,FALSE)&amp;VLOOKUP(D9,契約台帳!$A$3:$K$4986,8,FALSE)&amp;VLOOKUP(D9,契約台帳!$A$3:$K$4986,9,FALSE)&amp;VLOOKUP(D9,契約台帳!$A$3:$K$4986,11,FALSE))</f>
        <v/>
      </c>
      <c r="G9" s="269" t="str">
        <f>IF(D9="","",VLOOKUP(F9,製品マスタ!$G$5:$H$5002,2,FALSE))</f>
        <v/>
      </c>
      <c r="H9" s="269" t="str">
        <f>IF(D9="","",VLOOKUP(F9,製品マスタ!$G$5:$K$5002,5,FALSE))</f>
        <v/>
      </c>
      <c r="I9" s="270" t="str">
        <f>IF(D9="","",VLOOKUP(F9,製品マスタ!$G$5:$L$5002,6,FALSE))</f>
        <v/>
      </c>
      <c r="J9" s="210" t="s">
        <v>448</v>
      </c>
      <c r="K9" s="270" t="str">
        <f>IF(D9="","",VLOOKUP(D9,契約台帳!$A$3:$L$4986,12,FALSE))</f>
        <v/>
      </c>
      <c r="L9" s="270" t="str">
        <f>IF(D9="","",INDEX(製品マスタ!$Q$5:$Q$5002,MATCH(F9&amp;K9,製品マスタ!$AO$5:$AO$5002,0)))</f>
        <v/>
      </c>
      <c r="M9" s="39"/>
      <c r="N9" s="39"/>
      <c r="O9" s="47"/>
      <c r="P9" s="57"/>
      <c r="Q9" s="276" t="str">
        <f>IF(D9="","",IF(J9="リード付け",M9,VLOOKUP(D9,契約台帳!$A$3:$N$4986,14,FALSE)))</f>
        <v/>
      </c>
      <c r="R9" s="277" t="str">
        <f>IF(D9="","",IF(J9="リード付け",M9,VLOOKUP(D9,契約台帳!$A$3:$O$4986,15,FALSE)))</f>
        <v/>
      </c>
      <c r="S9" s="277" t="str">
        <f>IF(D9="","",IF(J9="リード付け",N9,VLOOKUP(D9,契約台帳!$A$3:$P$4986,16,FALSE)))</f>
        <v/>
      </c>
      <c r="T9" s="40"/>
      <c r="U9" s="278" t="str">
        <f ca="1">IF(D9="","",IF(OFFSET(D9,-2,0)=D9,"",VLOOKUP(D9,契約台帳!$A$3:$R$4986,18,FALSE)))</f>
        <v/>
      </c>
      <c r="V9" s="269" t="str">
        <f>IF(J9="巻返し",VLOOKUP(F9&amp;K9&amp;M9,製品マスタ!$M$5:$AD$5002,18,FALSE),IF(J9="リード付け","原反コア",IF(J9="スリット",VLOOKUP(F9&amp;K9&amp;Q9,製品マスタ!$N$5:$AD$5002,17,FALSE),"")))</f>
        <v/>
      </c>
      <c r="W9" s="269" t="str">
        <f>IF(J9="巻返し",VLOOKUP(F9&amp;K9&amp;M9,製品マスタ!$M$5:$AE$5002,19,FALSE),IF(J9="リード付け","-",IF(J9="スリット",VLOOKUP(F9&amp;K9&amp;Q9,製品マスタ!$N$5:$AE$5002,18,FALSE),"")))</f>
        <v/>
      </c>
      <c r="X9" s="275" t="str">
        <f>IF(D9="","",VLOOKUP(D9,契約台帳!$A$3:$Q$4986,17,FALSE))</f>
        <v/>
      </c>
      <c r="Y9" s="269" t="str">
        <f>IF(D9="","",VLOOKUP(D9,契約台帳!$A$3:$E$4986,5,FALSE))</f>
        <v/>
      </c>
      <c r="Z9" s="57"/>
      <c r="AA9" s="207" t="str">
        <f>IFERROR(VLOOKUP(F9&amp;K9&amp;M9,製品マスタ!$M$5:$AM$5002,27,FALSE),"")</f>
        <v/>
      </c>
      <c r="AB9" s="33"/>
      <c r="AC9" s="189"/>
      <c r="AD9" s="54"/>
      <c r="AE9" s="55"/>
      <c r="AF9" s="43"/>
      <c r="AG9" s="47"/>
      <c r="AH9" s="30"/>
      <c r="AI9" s="30"/>
      <c r="AJ9" s="30"/>
      <c r="AK9" s="30"/>
      <c r="AL9" s="13"/>
      <c r="AM9" s="13"/>
      <c r="AN9" s="13"/>
      <c r="AO9" s="13"/>
      <c r="AP9" s="13"/>
      <c r="AQ9" s="14"/>
      <c r="AR9" s="15"/>
    </row>
    <row r="10" spans="1:44" s="17" customFormat="1" ht="30.95" hidden="1" customHeight="1" x14ac:dyDescent="0.2">
      <c r="A10" s="37"/>
      <c r="B10" s="38"/>
      <c r="C10" s="45"/>
      <c r="D10" s="31"/>
      <c r="E10" s="31"/>
      <c r="F10" s="268" t="str">
        <f>IF(D10="","",VLOOKUP(D10,契約台帳!$A$3:$K$4986,6,FALSE)&amp;VLOOKUP(D10,契約台帳!$A$3:$K$4986,7,FALSE)&amp;VLOOKUP(D10,契約台帳!$A$3:$K$4986,8,FALSE)&amp;VLOOKUP(D10,契約台帳!$A$3:$K$4986,9,FALSE)&amp;VLOOKUP(D10,契約台帳!$A$3:$K$4986,11,FALSE))</f>
        <v/>
      </c>
      <c r="G10" s="269" t="str">
        <f>IF(D10="","",VLOOKUP(F10,製品マスタ!$G$5:$H$5002,2,FALSE))</f>
        <v/>
      </c>
      <c r="H10" s="269" t="str">
        <f>IF(D10="","",VLOOKUP(F10,製品マスタ!$G$5:$K$5002,5,FALSE))</f>
        <v/>
      </c>
      <c r="I10" s="270" t="str">
        <f>IF(D10="","",VLOOKUP(F10,製品マスタ!$G$5:$L$5002,6,FALSE))</f>
        <v/>
      </c>
      <c r="J10" s="210"/>
      <c r="K10" s="270" t="str">
        <f>IF(D10="","",VLOOKUP(D10,契約台帳!$A$3:$L$4986,12,FALSE))</f>
        <v/>
      </c>
      <c r="L10" s="270" t="str">
        <f>IF(D10="","",INDEX(製品マスタ!$Q$5:$Q$5002,MATCH(F10&amp;K10,製品マスタ!$AO$5:$AO$5002,0)))</f>
        <v/>
      </c>
      <c r="M10" s="39"/>
      <c r="N10" s="39"/>
      <c r="O10" s="47"/>
      <c r="P10" s="57"/>
      <c r="Q10" s="276" t="str">
        <f>IF(D10="","",IF(J10="リード付け",M10,VLOOKUP(D10,契約台帳!$A$3:$N$4986,14,FALSE)))</f>
        <v/>
      </c>
      <c r="R10" s="277" t="str">
        <f>IF(D10="","",IF(J10="リード付け",M10,VLOOKUP(D10,契約台帳!$A$3:$O$4986,15,FALSE)))</f>
        <v/>
      </c>
      <c r="S10" s="277" t="str">
        <f>IF(D10="","",IF(J10="リード付け",N10,VLOOKUP(D10,契約台帳!$A$3:$P$4986,16,FALSE)))</f>
        <v/>
      </c>
      <c r="T10" s="40"/>
      <c r="U10" s="278" t="str">
        <f ca="1">IF(D10="","",IF(OFFSET(D10,-2,0)=D10,"",VLOOKUP(D10,契約台帳!$A$3:$R$4986,18,FALSE)))</f>
        <v/>
      </c>
      <c r="V10" s="269" t="str">
        <f>IF(J10="巻返し",VLOOKUP(F10&amp;K10&amp;M10,製品マスタ!$M$5:$AD$5002,18,FALSE),IF(J10="リード付け","原反コア",IF(J10="スリット",VLOOKUP(F10&amp;K10&amp;Q10,製品マスタ!$N$5:$AD$5002,17,FALSE),"")))</f>
        <v/>
      </c>
      <c r="W10" s="269" t="str">
        <f>IF(J10="巻返し",VLOOKUP(F10&amp;K10&amp;M10,製品マスタ!$M$5:$AE$5002,19,FALSE),IF(J10="リード付け","-",IF(J10="スリット",VLOOKUP(F10&amp;K10&amp;Q10,製品マスタ!$N$5:$AE$5002,18,FALSE),"")))</f>
        <v/>
      </c>
      <c r="X10" s="275" t="str">
        <f>IF(D10="","",VLOOKUP(D10,契約台帳!$A$3:$Q$4986,17,FALSE))</f>
        <v/>
      </c>
      <c r="Y10" s="269" t="str">
        <f>IF(D10="","",VLOOKUP(D10,契約台帳!$A$3:$E$4986,5,FALSE))</f>
        <v/>
      </c>
      <c r="Z10" s="57"/>
      <c r="AA10" s="207" t="str">
        <f>IFERROR(VLOOKUP(F10&amp;K10&amp;M10,製品マスタ!$M$5:$AM$5002,27,FALSE),"")</f>
        <v/>
      </c>
      <c r="AB10" s="33"/>
      <c r="AC10" s="189"/>
      <c r="AD10" s="54"/>
      <c r="AE10" s="55"/>
      <c r="AF10" s="43"/>
      <c r="AG10" s="47"/>
      <c r="AH10" s="30"/>
      <c r="AI10" s="30"/>
      <c r="AJ10" s="30"/>
      <c r="AK10" s="30"/>
      <c r="AL10" s="13"/>
      <c r="AM10" s="13"/>
      <c r="AN10" s="13"/>
      <c r="AO10" s="13"/>
      <c r="AP10" s="13"/>
      <c r="AQ10" s="14"/>
      <c r="AR10" s="15"/>
    </row>
    <row r="11" spans="1:44" s="17" customFormat="1" ht="30.95" hidden="1" customHeight="1" x14ac:dyDescent="0.2">
      <c r="A11" s="37" t="s">
        <v>743</v>
      </c>
      <c r="B11" s="38" t="s">
        <v>738</v>
      </c>
      <c r="C11" s="45"/>
      <c r="D11" s="31"/>
      <c r="E11" s="31"/>
      <c r="F11" s="268" t="str">
        <f>IF(D11="","",VLOOKUP(D11,契約台帳!$A$3:$K$4986,6,FALSE)&amp;VLOOKUP(D11,契約台帳!$A$3:$K$4986,7,FALSE)&amp;VLOOKUP(D11,契約台帳!$A$3:$K$4986,8,FALSE)&amp;VLOOKUP(D11,契約台帳!$A$3:$K$4986,9,FALSE)&amp;VLOOKUP(D11,契約台帳!$A$3:$K$4986,11,FALSE))</f>
        <v/>
      </c>
      <c r="G11" s="269" t="str">
        <f>IF(D11="","",VLOOKUP(F11,製品マスタ!$G$5:$H$5002,2,FALSE))</f>
        <v/>
      </c>
      <c r="H11" s="269" t="str">
        <f>IF(D11="","",VLOOKUP(F11,製品マスタ!$G$5:$K$5002,5,FALSE))</f>
        <v/>
      </c>
      <c r="I11" s="270" t="str">
        <f>IF(D11="","",VLOOKUP(F11,製品マスタ!$G$5:$L$5002,6,FALSE))</f>
        <v/>
      </c>
      <c r="J11" s="210" t="s">
        <v>448</v>
      </c>
      <c r="K11" s="270" t="str">
        <f>IF(D11="","",VLOOKUP(D11,契約台帳!$A$3:$L$4986,12,FALSE))</f>
        <v/>
      </c>
      <c r="L11" s="270" t="str">
        <f>IF(D11="","",INDEX(製品マスタ!$Q$5:$Q$5002,MATCH(F11&amp;K11,製品マスタ!$AO$5:$AO$5002,0)))</f>
        <v/>
      </c>
      <c r="M11" s="39"/>
      <c r="N11" s="39"/>
      <c r="O11" s="47"/>
      <c r="P11" s="57"/>
      <c r="Q11" s="276" t="str">
        <f>IF(D11="","",IF(J11="リード付け",M11,VLOOKUP(D11,契約台帳!$A$3:$N$4986,14,FALSE)))</f>
        <v/>
      </c>
      <c r="R11" s="277" t="str">
        <f>IF(D11="","",IF(J11="リード付け",M11,VLOOKUP(D11,契約台帳!$A$3:$O$4986,15,FALSE)))</f>
        <v/>
      </c>
      <c r="S11" s="277" t="str">
        <f>IF(D11="","",IF(J11="リード付け",N11,VLOOKUP(D11,契約台帳!$A$3:$P$4986,16,FALSE)))</f>
        <v/>
      </c>
      <c r="T11" s="40"/>
      <c r="U11" s="278" t="str">
        <f ca="1">IF(D11="","",IF(OFFSET(D11,-2,0)=D11,"",VLOOKUP(D11,契約台帳!$A$3:$R$4986,18,FALSE)))</f>
        <v/>
      </c>
      <c r="V11" s="269" t="str">
        <f>IF(J11="巻返し",VLOOKUP(F11&amp;K11&amp;M11,製品マスタ!$M$5:$AD$5002,18,FALSE),IF(J11="リード付け","原反コア",IF(J11="スリット",VLOOKUP(F11&amp;K11&amp;Q11,製品マスタ!$N$5:$AD$5002,17,FALSE),"")))</f>
        <v/>
      </c>
      <c r="W11" s="269" t="str">
        <f>IF(J11="巻返し",VLOOKUP(F11&amp;K11&amp;M11,製品マスタ!$M$5:$AE$5002,19,FALSE),IF(J11="リード付け","-",IF(J11="スリット",VLOOKUP(F11&amp;K11&amp;Q11,製品マスタ!$N$5:$AE$5002,18,FALSE),"")))</f>
        <v/>
      </c>
      <c r="X11" s="275" t="str">
        <f>IF(D11="","",VLOOKUP(D11,契約台帳!$A$3:$Q$4986,17,FALSE))</f>
        <v/>
      </c>
      <c r="Y11" s="269" t="str">
        <f>IF(D11="","",VLOOKUP(D11,契約台帳!$A$3:$E$4986,5,FALSE))</f>
        <v/>
      </c>
      <c r="Z11" s="57"/>
      <c r="AA11" s="207" t="str">
        <f>IFERROR(VLOOKUP(F11&amp;K11&amp;M11,製品マスタ!$M$5:$AM$5002,27,FALSE),"")</f>
        <v/>
      </c>
      <c r="AB11" s="33"/>
      <c r="AC11" s="189"/>
      <c r="AD11" s="54"/>
      <c r="AE11" s="55"/>
      <c r="AF11" s="43"/>
      <c r="AG11" s="47"/>
      <c r="AH11" s="30"/>
      <c r="AI11" s="30"/>
      <c r="AJ11" s="30"/>
      <c r="AK11" s="30"/>
      <c r="AL11" s="13"/>
      <c r="AM11" s="13"/>
      <c r="AN11" s="13"/>
      <c r="AO11" s="13"/>
      <c r="AP11" s="13"/>
      <c r="AQ11" s="14"/>
      <c r="AR11" s="15"/>
    </row>
    <row r="12" spans="1:44" s="17" customFormat="1" ht="30.95" hidden="1" customHeight="1" x14ac:dyDescent="0.2">
      <c r="A12" s="37"/>
      <c r="B12" s="38"/>
      <c r="C12" s="45"/>
      <c r="D12" s="31"/>
      <c r="E12" s="31"/>
      <c r="F12" s="268" t="str">
        <f>IF(D12="","",VLOOKUP(D12,契約台帳!$A$3:$K$4986,6,FALSE)&amp;VLOOKUP(D12,契約台帳!$A$3:$K$4986,7,FALSE)&amp;VLOOKUP(D12,契約台帳!$A$3:$K$4986,8,FALSE)&amp;VLOOKUP(D12,契約台帳!$A$3:$K$4986,9,FALSE)&amp;VLOOKUP(D12,契約台帳!$A$3:$K$4986,11,FALSE))</f>
        <v/>
      </c>
      <c r="G12" s="269" t="str">
        <f>IF(D12="","",VLOOKUP(F12,製品マスタ!$G$5:$H$5002,2,FALSE))</f>
        <v/>
      </c>
      <c r="H12" s="269" t="str">
        <f>IF(D12="","",VLOOKUP(F12,製品マスタ!$G$5:$K$5002,5,FALSE))</f>
        <v/>
      </c>
      <c r="I12" s="270" t="str">
        <f>IF(D12="","",VLOOKUP(F12,製品マスタ!$G$5:$L$5002,6,FALSE))</f>
        <v/>
      </c>
      <c r="J12" s="210"/>
      <c r="K12" s="270" t="str">
        <f>IF(D12="","",VLOOKUP(D12,契約台帳!$A$3:$L$4986,12,FALSE))</f>
        <v/>
      </c>
      <c r="L12" s="270" t="str">
        <f>IF(D12="","",INDEX(製品マスタ!$Q$5:$Q$5002,MATCH(F12&amp;K12,製品マスタ!$AO$5:$AO$5002,0)))</f>
        <v/>
      </c>
      <c r="M12" s="39"/>
      <c r="N12" s="39"/>
      <c r="O12" s="47"/>
      <c r="P12" s="57"/>
      <c r="Q12" s="276" t="str">
        <f>IF(D12="","",IF(J12="リード付け",M12,VLOOKUP(D12,契約台帳!$A$3:$N$4986,14,FALSE)))</f>
        <v/>
      </c>
      <c r="R12" s="277" t="str">
        <f>IF(D12="","",IF(J12="リード付け",M12,VLOOKUP(D12,契約台帳!$A$3:$O$4986,15,FALSE)))</f>
        <v/>
      </c>
      <c r="S12" s="277" t="str">
        <f>IF(D12="","",IF(J12="リード付け",N12,VLOOKUP(D12,契約台帳!$A$3:$P$4986,16,FALSE)))</f>
        <v/>
      </c>
      <c r="T12" s="40"/>
      <c r="U12" s="278" t="str">
        <f ca="1">IF(D12="","",IF(OFFSET(D12,-2,0)=D12,"",VLOOKUP(D12,契約台帳!$A$3:$R$4986,18,FALSE)))</f>
        <v/>
      </c>
      <c r="V12" s="269" t="str">
        <f>IF(J12="巻返し",VLOOKUP(F12&amp;K12&amp;M12,製品マスタ!$M$5:$AD$5002,18,FALSE),IF(J12="リード付け","原反コア",IF(J12="スリット",VLOOKUP(F12&amp;K12&amp;Q12,製品マスタ!$N$5:$AD$5002,17,FALSE),"")))</f>
        <v/>
      </c>
      <c r="W12" s="269" t="str">
        <f>IF(J12="巻返し",VLOOKUP(F12&amp;K12&amp;M12,製品マスタ!$M$5:$AE$5002,19,FALSE),IF(J12="リード付け","-",IF(J12="スリット",VLOOKUP(F12&amp;K12&amp;Q12,製品マスタ!$N$5:$AE$5002,18,FALSE),"")))</f>
        <v/>
      </c>
      <c r="X12" s="275" t="str">
        <f>IF(D12="","",VLOOKUP(D12,契約台帳!$A$3:$Q$4986,17,FALSE))</f>
        <v/>
      </c>
      <c r="Y12" s="269" t="str">
        <f>IF(D12="","",VLOOKUP(D12,契約台帳!$A$3:$E$4986,5,FALSE))</f>
        <v/>
      </c>
      <c r="Z12" s="57"/>
      <c r="AA12" s="207" t="str">
        <f>IFERROR(VLOOKUP(F12&amp;K12&amp;M12,製品マスタ!$M$5:$AM$5002,27,FALSE),"")</f>
        <v/>
      </c>
      <c r="AB12" s="33"/>
      <c r="AC12" s="189"/>
      <c r="AD12" s="54"/>
      <c r="AE12" s="55"/>
      <c r="AF12" s="43"/>
      <c r="AG12" s="47"/>
      <c r="AH12" s="30"/>
      <c r="AI12" s="30"/>
      <c r="AJ12" s="30"/>
      <c r="AK12" s="30"/>
      <c r="AL12" s="13"/>
      <c r="AM12" s="13"/>
      <c r="AN12" s="13"/>
      <c r="AO12" s="13"/>
      <c r="AP12" s="13"/>
      <c r="AQ12" s="14"/>
      <c r="AR12" s="15"/>
    </row>
    <row r="13" spans="1:44" s="17" customFormat="1" ht="30.95" hidden="1" customHeight="1" x14ac:dyDescent="0.2">
      <c r="A13" s="37" t="s">
        <v>744</v>
      </c>
      <c r="B13" s="38" t="s">
        <v>745</v>
      </c>
      <c r="C13" s="45"/>
      <c r="D13" s="31"/>
      <c r="E13" s="31"/>
      <c r="F13" s="268" t="str">
        <f>IF(D13="","",VLOOKUP(D13,契約台帳!$A$3:$K$4986,6,FALSE)&amp;VLOOKUP(D13,契約台帳!$A$3:$K$4986,7,FALSE)&amp;VLOOKUP(D13,契約台帳!$A$3:$K$4986,8,FALSE)&amp;VLOOKUP(D13,契約台帳!$A$3:$K$4986,9,FALSE)&amp;VLOOKUP(D13,契約台帳!$A$3:$K$4986,11,FALSE))</f>
        <v/>
      </c>
      <c r="G13" s="269" t="str">
        <f>IF(D13="","",VLOOKUP(F13,製品マスタ!$G$5:$H$5002,2,FALSE))</f>
        <v/>
      </c>
      <c r="H13" s="269" t="str">
        <f>IF(D13="","",VLOOKUP(F13,製品マスタ!$G$5:$K$5002,5,FALSE))</f>
        <v/>
      </c>
      <c r="I13" s="270" t="str">
        <f>IF(D13="","",VLOOKUP(F13,製品マスタ!$G$5:$L$5002,6,FALSE))</f>
        <v/>
      </c>
      <c r="J13" s="210" t="s">
        <v>751</v>
      </c>
      <c r="K13" s="270" t="str">
        <f>IF(D13="","",VLOOKUP(D13,契約台帳!$A$3:$L$4986,12,FALSE))</f>
        <v/>
      </c>
      <c r="L13" s="270" t="str">
        <f>IF(D13="","",INDEX(製品マスタ!$Q$5:$Q$5002,MATCH(F13&amp;K13,製品マスタ!$AO$5:$AO$5002,0)))</f>
        <v/>
      </c>
      <c r="M13" s="39"/>
      <c r="N13" s="39"/>
      <c r="O13" s="47"/>
      <c r="P13" s="57"/>
      <c r="Q13" s="276" t="str">
        <f>IF(D13="","",IF(J13="リード付け",M13,VLOOKUP(D13,契約台帳!$A$3:$N$4986,14,FALSE)))</f>
        <v/>
      </c>
      <c r="R13" s="277" t="str">
        <f>IF(D13="","",IF(J13="リード付け",M13,VLOOKUP(D13,契約台帳!$A$3:$O$4986,15,FALSE)))</f>
        <v/>
      </c>
      <c r="S13" s="277" t="str">
        <f>IF(D13="","",IF(J13="リード付け",N13,VLOOKUP(D13,契約台帳!$A$3:$P$4986,16,FALSE)))</f>
        <v/>
      </c>
      <c r="T13" s="40"/>
      <c r="U13" s="278" t="str">
        <f ca="1">IF(D13="","",IF(OFFSET(D13,-2,0)=D13,"",VLOOKUP(D13,契約台帳!$A$3:$R$4986,18,FALSE)))</f>
        <v/>
      </c>
      <c r="V13" s="269" t="str">
        <f>IF(J13="巻返し",VLOOKUP(F13&amp;K13&amp;M13,製品マスタ!$M$5:$AD$5002,18,FALSE),IF(J13="リード付け","原反コア",IF(J13="スリット",VLOOKUP(F13&amp;K13&amp;Q13,製品マスタ!$N$5:$AD$5002,17,FALSE),"")))</f>
        <v/>
      </c>
      <c r="W13" s="269" t="str">
        <f>IF(J13="巻返し",VLOOKUP(F13&amp;K13&amp;M13,製品マスタ!$M$5:$AE$5002,19,FALSE),IF(J13="リード付け","-",IF(J13="スリット",VLOOKUP(F13&amp;K13&amp;Q13,製品マスタ!$N$5:$AE$5002,18,FALSE),"")))</f>
        <v/>
      </c>
      <c r="X13" s="275" t="str">
        <f>IF(D13="","",VLOOKUP(D13,契約台帳!$A$3:$Q$4986,17,FALSE))</f>
        <v/>
      </c>
      <c r="Y13" s="269" t="str">
        <f>IF(D13="","",VLOOKUP(D13,契約台帳!$A$3:$E$4986,5,FALSE))</f>
        <v/>
      </c>
      <c r="Z13" s="57"/>
      <c r="AA13" s="207" t="str">
        <f>IFERROR(VLOOKUP(F13&amp;K13&amp;M13,製品マスタ!$M$5:$AM$5002,27,FALSE),"")</f>
        <v/>
      </c>
      <c r="AB13" s="33"/>
      <c r="AC13" s="189"/>
      <c r="AD13" s="54"/>
      <c r="AE13" s="55"/>
      <c r="AF13" s="43"/>
      <c r="AG13" s="47"/>
      <c r="AH13" s="30"/>
      <c r="AI13" s="30"/>
      <c r="AJ13" s="30"/>
      <c r="AK13" s="30"/>
      <c r="AL13" s="13"/>
      <c r="AM13" s="13"/>
      <c r="AN13" s="13"/>
      <c r="AO13" s="13"/>
      <c r="AP13" s="13"/>
      <c r="AQ13" s="14"/>
      <c r="AR13" s="15"/>
    </row>
    <row r="14" spans="1:44" s="17" customFormat="1" ht="30.95" hidden="1" customHeight="1" x14ac:dyDescent="0.2">
      <c r="A14" s="37"/>
      <c r="B14" s="38"/>
      <c r="C14" s="45"/>
      <c r="D14" s="31"/>
      <c r="E14" s="31"/>
      <c r="F14" s="268" t="str">
        <f>IF(D14="","",VLOOKUP(D14,契約台帳!$A$3:$K$4986,6,FALSE)&amp;VLOOKUP(D14,契約台帳!$A$3:$K$4986,7,FALSE)&amp;VLOOKUP(D14,契約台帳!$A$3:$K$4986,8,FALSE)&amp;VLOOKUP(D14,契約台帳!$A$3:$K$4986,9,FALSE)&amp;VLOOKUP(D14,契約台帳!$A$3:$K$4986,11,FALSE))</f>
        <v/>
      </c>
      <c r="G14" s="269" t="str">
        <f>IF(D14="","",VLOOKUP(F14,製品マスタ!$G$5:$H$5002,2,FALSE))</f>
        <v/>
      </c>
      <c r="H14" s="269" t="str">
        <f>IF(D14="","",VLOOKUP(F14,製品マスタ!$G$5:$K$5002,5,FALSE))</f>
        <v/>
      </c>
      <c r="I14" s="270" t="str">
        <f>IF(D14="","",VLOOKUP(F14,製品マスタ!$G$5:$L$5002,6,FALSE))</f>
        <v/>
      </c>
      <c r="J14" s="32"/>
      <c r="K14" s="270" t="str">
        <f>IF(D14="","",VLOOKUP(D14,契約台帳!$A$3:$L$4986,12,FALSE))</f>
        <v/>
      </c>
      <c r="L14" s="270" t="str">
        <f>IF(D14="","",INDEX(製品マスタ!$Q$5:$Q$5002,MATCH(F14&amp;K14,製品マスタ!$AO$5:$AO$5002,0)))</f>
        <v/>
      </c>
      <c r="M14" s="39"/>
      <c r="N14" s="39"/>
      <c r="O14" s="47"/>
      <c r="P14" s="57"/>
      <c r="Q14" s="276" t="str">
        <f>IF(D14="","",IF(J14="リード付け",M14,VLOOKUP(D14,契約台帳!$A$3:$N$4986,14,FALSE)))</f>
        <v/>
      </c>
      <c r="R14" s="277" t="str">
        <f>IF(D14="","",IF(J14="リード付け",M14,VLOOKUP(D14,契約台帳!$A$3:$O$4986,15,FALSE)))</f>
        <v/>
      </c>
      <c r="S14" s="277" t="str">
        <f>IF(D14="","",IF(J14="リード付け",N14,VLOOKUP(D14,契約台帳!$A$3:$P$4986,16,FALSE)))</f>
        <v/>
      </c>
      <c r="T14" s="40"/>
      <c r="U14" s="278" t="str">
        <f ca="1">IF(D14="","",IF(OFFSET(D14,-2,0)=D14,"",VLOOKUP(D14,契約台帳!$A$3:$R$4986,18,FALSE)))</f>
        <v/>
      </c>
      <c r="V14" s="269" t="str">
        <f>IF(J14="巻返し",VLOOKUP(F14&amp;K14&amp;M14,製品マスタ!$M$5:$AD$5002,18,FALSE),IF(J14="リード付け","原反コア",IF(J14="スリット",VLOOKUP(F14&amp;K14&amp;Q14,製品マスタ!$N$5:$AD$5002,17,FALSE),"")))</f>
        <v/>
      </c>
      <c r="W14" s="269" t="str">
        <f>IF(J14="巻返し",VLOOKUP(F14&amp;K14&amp;M14,製品マスタ!$M$5:$AE$5002,19,FALSE),IF(J14="リード付け","-",IF(J14="スリット",VLOOKUP(F14&amp;K14&amp;Q14,製品マスタ!$N$5:$AE$5002,18,FALSE),"")))</f>
        <v/>
      </c>
      <c r="X14" s="275" t="str">
        <f>IF(D14="","",VLOOKUP(D14,契約台帳!$A$3:$Q$4986,17,FALSE))</f>
        <v/>
      </c>
      <c r="Y14" s="269" t="str">
        <f>IF(D14="","",VLOOKUP(D14,契約台帳!$A$3:$E$4986,5,FALSE))</f>
        <v/>
      </c>
      <c r="Z14" s="57"/>
      <c r="AA14" s="207" t="str">
        <f>IFERROR(VLOOKUP(F14&amp;K14&amp;M14,製品マスタ!$M$5:$AM$5002,27,FALSE),"")</f>
        <v/>
      </c>
      <c r="AB14" s="33"/>
      <c r="AC14" s="189"/>
      <c r="AD14" s="54"/>
      <c r="AE14" s="55"/>
      <c r="AF14" s="43"/>
      <c r="AG14" s="47"/>
      <c r="AH14" s="30"/>
      <c r="AI14" s="30"/>
      <c r="AJ14" s="30"/>
      <c r="AK14" s="30"/>
      <c r="AL14" s="13"/>
      <c r="AM14" s="13"/>
      <c r="AN14" s="13"/>
      <c r="AO14" s="13"/>
      <c r="AP14" s="13"/>
      <c r="AQ14" s="14"/>
      <c r="AR14" s="15"/>
    </row>
    <row r="15" spans="1:44" s="17" customFormat="1" ht="30.95" hidden="1" customHeight="1" x14ac:dyDescent="0.2">
      <c r="A15" s="37" t="s">
        <v>752</v>
      </c>
      <c r="B15" s="267"/>
      <c r="C15" s="45"/>
      <c r="D15" s="31">
        <v>3694097</v>
      </c>
      <c r="E15" s="279">
        <v>4170094</v>
      </c>
      <c r="F15" s="268" t="str">
        <f>IF(D15="","",VLOOKUP(D15,契約台帳!$A$3:$K$4986,6,FALSE)&amp;VLOOKUP(D15,契約台帳!$A$3:$K$4986,7,FALSE)&amp;VLOOKUP(D15,契約台帳!$A$3:$K$4986,8,FALSE)&amp;VLOOKUP(D15,契約台帳!$A$3:$K$4986,9,FALSE)&amp;VLOOKUP(D15,契約台帳!$A$3:$K$4986,11,FALSE))</f>
        <v>3SNMLBMSF</v>
      </c>
      <c r="G15" s="269" t="str">
        <f>IF(D15="","",VLOOKUP(F15,製品マスタ!$G$5:$H$5002,2,FALSE))</f>
        <v>S</v>
      </c>
      <c r="H15" s="269" t="str">
        <f>IF(D15="","",VLOOKUP(F15,製品マスタ!$G$5:$K$5002,5,FALSE))</f>
        <v>MSF</v>
      </c>
      <c r="I15" s="270" t="str">
        <f>IF(D15="","",VLOOKUP(F15,製品マスタ!$G$5:$L$5002,6,FALSE))</f>
        <v>メタルミー　Ｓ</v>
      </c>
      <c r="J15" s="32" t="s">
        <v>464</v>
      </c>
      <c r="K15" s="270">
        <f>IF(D15="","",VLOOKUP(D15,契約台帳!$A$3:$L$4986,12,FALSE))</f>
        <v>25</v>
      </c>
      <c r="L15" s="270" t="str">
        <f>IF(D15="","",INDEX(製品マスタ!$Q$5:$Q$5002,MATCH(F15&amp;K15,製品マスタ!$AO$5:$AO$5002,0)))</f>
        <v>T62M</v>
      </c>
      <c r="M15" s="39">
        <v>1240</v>
      </c>
      <c r="N15" s="39">
        <v>12200</v>
      </c>
      <c r="O15" s="47">
        <v>1</v>
      </c>
      <c r="P15" s="213">
        <v>44921</v>
      </c>
      <c r="Q15" s="276">
        <f>IF(D15="","",IF(J15="リード付け",M15,VLOOKUP(D15,契約台帳!$A$3:$N$4986,14,FALSE)))</f>
        <v>1240</v>
      </c>
      <c r="R15" s="277">
        <f>IF(D15="","",IF(J15="リード付け",M15,VLOOKUP(D15,契約台帳!$A$3:$O$4986,15,FALSE)))</f>
        <v>1240</v>
      </c>
      <c r="S15" s="277">
        <f>IF(D15="","",IF(J15="リード付け",N15,VLOOKUP(D15,契約台帳!$A$3:$P$4986,16,FALSE)))</f>
        <v>12200</v>
      </c>
      <c r="T15" s="40">
        <v>1</v>
      </c>
      <c r="U15" s="278">
        <f ca="1">IF(D15="","",IF(OFFSET(D15,-2,0)=D15,"",VLOOKUP(D15,契約台帳!$A$3:$R$4986,18,FALSE)))</f>
        <v>6</v>
      </c>
      <c r="V15" s="269" t="str">
        <f>IF(J15="巻返し",VLOOKUP(F15&amp;K15&amp;M15,製品マスタ!$M$5:$AD$5002,18,FALSE),IF(J15="リード付け","原反コア",IF(J15="スリット",VLOOKUP(F15&amp;K15&amp;Q15,製品マスタ!$N$5:$AD$5002,17,FALSE),"")))</f>
        <v>原反コア</v>
      </c>
      <c r="W15" s="269" t="str">
        <f>IF(J15="巻返し",VLOOKUP(F15&amp;K15&amp;M15,製品マスタ!$M$5:$AE$5002,19,FALSE),IF(J15="リード付け","-",IF(J15="スリット",VLOOKUP(F15&amp;K15&amp;Q15,製品マスタ!$N$5:$AE$5002,18,FALSE),"")))</f>
        <v>-</v>
      </c>
      <c r="X15" s="275">
        <f>IF(D15="","",VLOOKUP(D15,契約台帳!$A$3:$Q$4986,17,FALSE))</f>
        <v>1</v>
      </c>
      <c r="Y15" s="269" t="str">
        <f>IF(D15="","",VLOOKUP(D15,契約台帳!$A$3:$E$4986,5,FALSE))</f>
        <v>日精㈱東京支店</v>
      </c>
      <c r="Z15" s="57"/>
      <c r="AA15" s="207">
        <f>IFERROR(VLOOKUP(F15&amp;K15&amp;M15,製品マスタ!$M$5:$AM$5002,27,FALSE),"")</f>
        <v>0</v>
      </c>
      <c r="AB15" s="33"/>
      <c r="AC15" s="189"/>
      <c r="AD15" s="54"/>
      <c r="AE15" s="55"/>
      <c r="AF15" s="43"/>
      <c r="AG15" s="47"/>
      <c r="AH15" s="30"/>
      <c r="AI15" s="30"/>
      <c r="AJ15" s="30"/>
      <c r="AK15" s="30"/>
      <c r="AL15" s="13"/>
      <c r="AM15" s="13"/>
      <c r="AN15" s="13"/>
      <c r="AO15" s="13"/>
      <c r="AP15" s="13"/>
      <c r="AQ15" s="14"/>
      <c r="AR15" s="15"/>
    </row>
    <row r="16" spans="1:44" s="17" customFormat="1" ht="30.95" hidden="1" customHeight="1" x14ac:dyDescent="0.2">
      <c r="A16" s="37"/>
      <c r="B16" s="38"/>
      <c r="C16" s="45"/>
      <c r="D16" s="31"/>
      <c r="E16" s="279"/>
      <c r="F16" s="268" t="str">
        <f>IF(D16="","",VLOOKUP(D16,契約台帳!$A$3:$K$4986,6,FALSE)&amp;VLOOKUP(D16,契約台帳!$A$3:$K$4986,7,FALSE)&amp;VLOOKUP(D16,契約台帳!$A$3:$K$4986,8,FALSE)&amp;VLOOKUP(D16,契約台帳!$A$3:$K$4986,9,FALSE)&amp;VLOOKUP(D16,契約台帳!$A$3:$K$4986,11,FALSE))</f>
        <v/>
      </c>
      <c r="G16" s="269" t="str">
        <f>IF(D16="","",VLOOKUP(F16,製品マスタ!$G$5:$H$5002,2,FALSE))</f>
        <v/>
      </c>
      <c r="H16" s="269" t="str">
        <f>IF(D16="","",VLOOKUP(F16,製品マスタ!$G$5:$K$5002,5,FALSE))</f>
        <v/>
      </c>
      <c r="I16" s="270" t="str">
        <f>IF(D16="","",VLOOKUP(F16,製品マスタ!$G$5:$L$5002,6,FALSE))</f>
        <v/>
      </c>
      <c r="J16" s="32"/>
      <c r="K16" s="270" t="str">
        <f>IF(D16="","",VLOOKUP(D16,契約台帳!$A$3:$L$4986,12,FALSE))</f>
        <v/>
      </c>
      <c r="L16" s="270" t="str">
        <f>IF(D16="","",INDEX(製品マスタ!$Q$5:$Q$5002,MATCH(F16&amp;K16,製品マスタ!$AO$5:$AO$5002,0)))</f>
        <v/>
      </c>
      <c r="M16" s="39"/>
      <c r="N16" s="39"/>
      <c r="O16" s="47"/>
      <c r="P16" s="57"/>
      <c r="Q16" s="276" t="str">
        <f>IF(D16="","",IF(J16="リード付け",M16,VLOOKUP(D16,契約台帳!$A$3:$N$4986,14,FALSE)))</f>
        <v/>
      </c>
      <c r="R16" s="277" t="str">
        <f>IF(D16="","",IF(J16="リード付け",M16,VLOOKUP(D16,契約台帳!$A$3:$O$4986,15,FALSE)))</f>
        <v/>
      </c>
      <c r="S16" s="277" t="str">
        <f>IF(D16="","",IF(J16="リード付け",N16,VLOOKUP(D16,契約台帳!$A$3:$P$4986,16,FALSE)))</f>
        <v/>
      </c>
      <c r="T16" s="40"/>
      <c r="U16" s="278" t="str">
        <f ca="1">IF(D16="","",IF(OFFSET(D16,-2,0)=D16,"",VLOOKUP(D16,契約台帳!$A$3:$R$4986,18,FALSE)))</f>
        <v/>
      </c>
      <c r="V16" s="269" t="str">
        <f>IF(J16="巻返し",VLOOKUP(F16&amp;K16&amp;M16,製品マスタ!$M$5:$AD$5002,18,FALSE),IF(J16="リード付け","原反コア",IF(J16="スリット",VLOOKUP(F16&amp;K16&amp;Q16,製品マスタ!$N$5:$AD$5002,17,FALSE),"")))</f>
        <v/>
      </c>
      <c r="W16" s="269" t="str">
        <f>IF(J16="巻返し",VLOOKUP(F16&amp;K16&amp;M16,製品マスタ!$M$5:$AE$5002,19,FALSE),IF(J16="リード付け","-",IF(J16="スリット",VLOOKUP(F16&amp;K16&amp;Q16,製品マスタ!$N$5:$AE$5002,18,FALSE),"")))</f>
        <v/>
      </c>
      <c r="X16" s="275" t="str">
        <f>IF(D16="","",VLOOKUP(D16,契約台帳!$A$3:$Q$4986,17,FALSE))</f>
        <v/>
      </c>
      <c r="Y16" s="269" t="str">
        <f>IF(D16="","",VLOOKUP(D16,契約台帳!$A$3:$E$4986,5,FALSE))</f>
        <v/>
      </c>
      <c r="Z16" s="57"/>
      <c r="AA16" s="207" t="str">
        <f>IFERROR(VLOOKUP(F16&amp;K16&amp;M16,製品マスタ!$M$5:$AM$5002,27,FALSE),"")</f>
        <v/>
      </c>
      <c r="AB16" s="33"/>
      <c r="AC16" s="189"/>
      <c r="AD16" s="54"/>
      <c r="AE16" s="55"/>
      <c r="AF16" s="43"/>
      <c r="AG16" s="47"/>
      <c r="AH16" s="30"/>
      <c r="AI16" s="30"/>
      <c r="AJ16" s="30"/>
      <c r="AK16" s="30"/>
      <c r="AL16" s="13"/>
      <c r="AM16" s="13"/>
      <c r="AN16" s="13"/>
      <c r="AO16" s="13"/>
      <c r="AP16" s="13"/>
      <c r="AQ16" s="14"/>
      <c r="AR16" s="15"/>
    </row>
    <row r="17" spans="1:44" s="17" customFormat="1" ht="30.95" hidden="1" customHeight="1" x14ac:dyDescent="0.2">
      <c r="A17" s="37"/>
      <c r="B17" s="38"/>
      <c r="C17" s="45"/>
      <c r="D17" s="31">
        <v>3694128</v>
      </c>
      <c r="E17" s="279">
        <v>4170095</v>
      </c>
      <c r="F17" s="268" t="str">
        <f>IF(D17="","",VLOOKUP(D17,契約台帳!$A$3:$K$4986,6,FALSE)&amp;VLOOKUP(D17,契約台帳!$A$3:$K$4986,7,FALSE)&amp;VLOOKUP(D17,契約台帳!$A$3:$K$4986,8,FALSE)&amp;VLOOKUP(D17,契約台帳!$A$3:$K$4986,9,FALSE)&amp;VLOOKUP(D17,契約台帳!$A$3:$K$4986,11,FALSE))</f>
        <v>3SNMLBMSF</v>
      </c>
      <c r="G17" s="269" t="str">
        <f>IF(D17="","",VLOOKUP(F17,製品マスタ!$G$5:$H$5002,2,FALSE))</f>
        <v>S</v>
      </c>
      <c r="H17" s="269" t="str">
        <f>IF(D17="","",VLOOKUP(F17,製品マスタ!$G$5:$K$5002,5,FALSE))</f>
        <v>MSF</v>
      </c>
      <c r="I17" s="270" t="str">
        <f>IF(D17="","",VLOOKUP(F17,製品マスタ!$G$5:$L$5002,6,FALSE))</f>
        <v>メタルミー　Ｓ</v>
      </c>
      <c r="J17" s="32" t="s">
        <v>464</v>
      </c>
      <c r="K17" s="270">
        <f>IF(D17="","",VLOOKUP(D17,契約台帳!$A$3:$L$4986,12,FALSE))</f>
        <v>25</v>
      </c>
      <c r="L17" s="270" t="str">
        <f>IF(D17="","",INDEX(製品マスタ!$Q$5:$Q$5002,MATCH(F17&amp;K17,製品マスタ!$AO$5:$AO$5002,0)))</f>
        <v>T62M</v>
      </c>
      <c r="M17" s="39">
        <v>1020</v>
      </c>
      <c r="N17" s="39">
        <v>12100</v>
      </c>
      <c r="O17" s="47">
        <v>1</v>
      </c>
      <c r="P17" s="213">
        <v>44921</v>
      </c>
      <c r="Q17" s="276">
        <f>IF(D17="","",IF(J17="リード付け",M17,VLOOKUP(D17,契約台帳!$A$3:$N$4986,14,FALSE)))</f>
        <v>1020</v>
      </c>
      <c r="R17" s="277">
        <f>IF(D17="","",IF(J17="リード付け",M17,VLOOKUP(D17,契約台帳!$A$3:$O$4986,15,FALSE)))</f>
        <v>1020</v>
      </c>
      <c r="S17" s="277">
        <f>IF(D17="","",IF(J17="リード付け",N17,VLOOKUP(D17,契約台帳!$A$3:$P$4986,16,FALSE)))</f>
        <v>12100</v>
      </c>
      <c r="T17" s="40">
        <v>1</v>
      </c>
      <c r="U17" s="278">
        <f ca="1">IF(D17="","",IF(OFFSET(D17,-2,0)=D17,"",VLOOKUP(D17,契約台帳!$A$3:$R$4986,18,FALSE)))</f>
        <v>12</v>
      </c>
      <c r="V17" s="269" t="str">
        <f>IF(J17="巻返し",VLOOKUP(F17&amp;K17&amp;M17,製品マスタ!$M$5:$AD$5002,18,FALSE),IF(J17="リード付け","原反コア",IF(J17="スリット",VLOOKUP(F17&amp;K17&amp;Q17,製品マスタ!$N$5:$AD$5002,17,FALSE),"")))</f>
        <v>原反コア</v>
      </c>
      <c r="W17" s="269" t="str">
        <f>IF(J17="巻返し",VLOOKUP(F17&amp;K17&amp;M17,製品マスタ!$M$5:$AE$5002,19,FALSE),IF(J17="リード付け","-",IF(J17="スリット",VLOOKUP(F17&amp;K17&amp;Q17,製品マスタ!$N$5:$AE$5002,18,FALSE),"")))</f>
        <v>-</v>
      </c>
      <c r="X17" s="275">
        <f>IF(D17="","",VLOOKUP(D17,契約台帳!$A$3:$Q$4986,17,FALSE))</f>
        <v>1</v>
      </c>
      <c r="Y17" s="269" t="str">
        <f>IF(D17="","",VLOOKUP(D17,契約台帳!$A$3:$E$4986,5,FALSE))</f>
        <v>日東シンコー㈱</v>
      </c>
      <c r="Z17" s="57"/>
      <c r="AA17" s="207">
        <f>IFERROR(VLOOKUP(F17&amp;K17&amp;M17,製品マスタ!$M$5:$AM$5002,27,FALSE),"")</f>
        <v>0</v>
      </c>
      <c r="AB17" s="33"/>
      <c r="AC17" s="189"/>
      <c r="AD17" s="54"/>
      <c r="AE17" s="55"/>
      <c r="AF17" s="43"/>
      <c r="AG17" s="47"/>
      <c r="AH17" s="30"/>
      <c r="AI17" s="30"/>
      <c r="AJ17" s="30"/>
      <c r="AK17" s="30"/>
      <c r="AL17" s="13"/>
      <c r="AM17" s="13"/>
      <c r="AN17" s="13"/>
      <c r="AO17" s="13"/>
      <c r="AP17" s="13"/>
      <c r="AQ17" s="14"/>
      <c r="AR17" s="15"/>
    </row>
    <row r="18" spans="1:44" s="17" customFormat="1" ht="30.95" hidden="1" customHeight="1" x14ac:dyDescent="0.2">
      <c r="A18" s="37"/>
      <c r="B18" s="38"/>
      <c r="C18" s="45"/>
      <c r="D18" s="31"/>
      <c r="E18" s="279"/>
      <c r="F18" s="268" t="str">
        <f>IF(D18="","",VLOOKUP(D18,契約台帳!$A$3:$K$4986,6,FALSE)&amp;VLOOKUP(D18,契約台帳!$A$3:$K$4986,7,FALSE)&amp;VLOOKUP(D18,契約台帳!$A$3:$K$4986,8,FALSE)&amp;VLOOKUP(D18,契約台帳!$A$3:$K$4986,9,FALSE)&amp;VLOOKUP(D18,契約台帳!$A$3:$K$4986,11,FALSE))</f>
        <v/>
      </c>
      <c r="G18" s="269" t="str">
        <f>IF(D18="","",VLOOKUP(F18,製品マスタ!$G$5:$H$5002,2,FALSE))</f>
        <v/>
      </c>
      <c r="H18" s="269" t="str">
        <f>IF(D18="","",VLOOKUP(F18,製品マスタ!$G$5:$K$5002,5,FALSE))</f>
        <v/>
      </c>
      <c r="I18" s="270" t="str">
        <f>IF(D18="","",VLOOKUP(F18,製品マスタ!$G$5:$L$5002,6,FALSE))</f>
        <v/>
      </c>
      <c r="J18" s="32"/>
      <c r="K18" s="270" t="str">
        <f>IF(D18="","",VLOOKUP(D18,契約台帳!$A$3:$L$4986,12,FALSE))</f>
        <v/>
      </c>
      <c r="L18" s="270" t="str">
        <f>IF(D18="","",INDEX(製品マスタ!$Q$5:$Q$5002,MATCH(F18&amp;K18,製品マスタ!$AO$5:$AO$5002,0)))</f>
        <v/>
      </c>
      <c r="M18" s="39"/>
      <c r="N18" s="39"/>
      <c r="O18" s="47"/>
      <c r="P18" s="57"/>
      <c r="Q18" s="276" t="str">
        <f>IF(D18="","",IF(J18="リード付け",M18,VLOOKUP(D18,契約台帳!$A$3:$N$4986,14,FALSE)))</f>
        <v/>
      </c>
      <c r="R18" s="277" t="str">
        <f>IF(D18="","",IF(J18="リード付け",M18,VLOOKUP(D18,契約台帳!$A$3:$O$4986,15,FALSE)))</f>
        <v/>
      </c>
      <c r="S18" s="277" t="str">
        <f>IF(D18="","",IF(J18="リード付け",N18,VLOOKUP(D18,契約台帳!$A$3:$P$4986,16,FALSE)))</f>
        <v/>
      </c>
      <c r="T18" s="40"/>
      <c r="U18" s="278" t="str">
        <f ca="1">IF(D18="","",IF(OFFSET(D18,-2,0)=D18,"",VLOOKUP(D18,契約台帳!$A$3:$R$4986,18,FALSE)))</f>
        <v/>
      </c>
      <c r="V18" s="269" t="str">
        <f>IF(J18="巻返し",VLOOKUP(F18&amp;K18&amp;M18,製品マスタ!$M$5:$AD$5002,18,FALSE),IF(J18="リード付け","原反コア",IF(J18="スリット",VLOOKUP(F18&amp;K18&amp;Q18,製品マスタ!$N$5:$AD$5002,17,FALSE),"")))</f>
        <v/>
      </c>
      <c r="W18" s="269" t="str">
        <f>IF(J18="巻返し",VLOOKUP(F18&amp;K18&amp;M18,製品マスタ!$M$5:$AE$5002,19,FALSE),IF(J18="リード付け","-",IF(J18="スリット",VLOOKUP(F18&amp;K18&amp;Q18,製品マスタ!$N$5:$AE$5002,18,FALSE),"")))</f>
        <v/>
      </c>
      <c r="X18" s="275" t="str">
        <f>IF(D18="","",VLOOKUP(D18,契約台帳!$A$3:$Q$4986,17,FALSE))</f>
        <v/>
      </c>
      <c r="Y18" s="269" t="str">
        <f>IF(D18="","",VLOOKUP(D18,契約台帳!$A$3:$E$4986,5,FALSE))</f>
        <v/>
      </c>
      <c r="Z18" s="57"/>
      <c r="AA18" s="207" t="str">
        <f>IFERROR(VLOOKUP(F18&amp;K18&amp;M18,製品マスタ!$M$5:$AM$5002,27,FALSE),"")</f>
        <v/>
      </c>
      <c r="AB18" s="33"/>
      <c r="AC18" s="189"/>
      <c r="AD18" s="54"/>
      <c r="AE18" s="55"/>
      <c r="AF18" s="43"/>
      <c r="AG18" s="47"/>
      <c r="AH18" s="30"/>
      <c r="AI18" s="30"/>
      <c r="AJ18" s="30"/>
      <c r="AK18" s="30"/>
      <c r="AL18" s="13"/>
      <c r="AM18" s="13"/>
      <c r="AN18" s="13"/>
      <c r="AO18" s="13"/>
      <c r="AP18" s="13"/>
      <c r="AQ18" s="14"/>
      <c r="AR18" s="15"/>
    </row>
    <row r="19" spans="1:44" s="17" customFormat="1" ht="30.95" hidden="1" customHeight="1" x14ac:dyDescent="0.2">
      <c r="A19" s="37"/>
      <c r="B19" s="38"/>
      <c r="C19" s="45"/>
      <c r="D19" s="31">
        <v>3694110</v>
      </c>
      <c r="E19" s="279">
        <v>4170093</v>
      </c>
      <c r="F19" s="268" t="str">
        <f>IF(D19="","",VLOOKUP(D19,契約台帳!$A$3:$K$4986,6,FALSE)&amp;VLOOKUP(D19,契約台帳!$A$3:$K$4986,7,FALSE)&amp;VLOOKUP(D19,契約台帳!$A$3:$K$4986,8,FALSE)&amp;VLOOKUP(D19,契約台帳!$A$3:$K$4986,9,FALSE)&amp;VLOOKUP(D19,契約台帳!$A$3:$K$4986,11,FALSE))</f>
        <v>3SNMLBMNGTBF</v>
      </c>
      <c r="G19" s="269" t="str">
        <f>IF(D19="","",VLOOKUP(F19,製品マスタ!$G$5:$H$5002,2,FALSE))</f>
        <v>S</v>
      </c>
      <c r="H19" s="269" t="str">
        <f>IF(D19="","",VLOOKUP(F19,製品マスタ!$G$5:$K$5002,5,FALSE))</f>
        <v>MNGTBF</v>
      </c>
      <c r="I19" s="270" t="str">
        <f>IF(D19="","",VLOOKUP(F19,製品マスタ!$G$5:$L$5002,6,FALSE))</f>
        <v>メタルミー　ネーマー　銀艶　Ｂ</v>
      </c>
      <c r="J19" s="32" t="s">
        <v>464</v>
      </c>
      <c r="K19" s="270">
        <f>IF(D19="","",VLOOKUP(D19,契約台帳!$A$3:$L$4986,12,FALSE))</f>
        <v>25</v>
      </c>
      <c r="L19" s="270" t="str">
        <f>IF(D19="","",INDEX(製品マスタ!$Q$5:$Q$5002,MATCH(F19&amp;K19,製品マスタ!$AO$5:$AO$5002,0)))</f>
        <v>T62M</v>
      </c>
      <c r="M19" s="39">
        <v>1005</v>
      </c>
      <c r="N19" s="39">
        <v>12100</v>
      </c>
      <c r="O19" s="47">
        <v>5</v>
      </c>
      <c r="P19" s="213">
        <v>44921</v>
      </c>
      <c r="Q19" s="276">
        <f>IF(D19="","",IF(J19="リード付け",M19,VLOOKUP(D19,契約台帳!$A$3:$N$4986,14,FALSE)))</f>
        <v>1005</v>
      </c>
      <c r="R19" s="277">
        <f>IF(D19="","",IF(J19="リード付け",M19,VLOOKUP(D19,契約台帳!$A$3:$O$4986,15,FALSE)))</f>
        <v>1005</v>
      </c>
      <c r="S19" s="277">
        <f>IF(D19="","",IF(J19="リード付け",N19,VLOOKUP(D19,契約台帳!$A$3:$P$4986,16,FALSE)))</f>
        <v>12100</v>
      </c>
      <c r="T19" s="40">
        <v>5</v>
      </c>
      <c r="U19" s="278">
        <f ca="1">IF(D19="","",IF(OFFSET(D19,-2,0)=D19,"",VLOOKUP(D19,契約台帳!$A$3:$R$4986,18,FALSE)))</f>
        <v>15</v>
      </c>
      <c r="V19" s="269" t="str">
        <f>IF(J19="巻返し",VLOOKUP(F19&amp;K19&amp;M19,製品マスタ!$M$5:$AD$5002,18,FALSE),IF(J19="リード付け","原反コア",IF(J19="スリット",VLOOKUP(F19&amp;K19&amp;Q19,製品マスタ!$N$5:$AD$5002,17,FALSE),"")))</f>
        <v>原反コア</v>
      </c>
      <c r="W19" s="269" t="str">
        <f>IF(J19="巻返し",VLOOKUP(F19&amp;K19&amp;M19,製品マスタ!$M$5:$AE$5002,19,FALSE),IF(J19="リード付け","-",IF(J19="スリット",VLOOKUP(F19&amp;K19&amp;Q19,製品マスタ!$N$5:$AE$5002,18,FALSE),"")))</f>
        <v>-</v>
      </c>
      <c r="X19" s="275">
        <f>IF(D19="","",VLOOKUP(D19,契約台帳!$A$3:$Q$4986,17,FALSE))</f>
        <v>2</v>
      </c>
      <c r="Y19" s="269" t="str">
        <f>IF(D19="","",VLOOKUP(D19,契約台帳!$A$3:$E$4986,5,FALSE))</f>
        <v>リンテック㈱</v>
      </c>
      <c r="Z19" s="57"/>
      <c r="AA19" s="207">
        <f>IFERROR(VLOOKUP(F19&amp;K19&amp;M19,製品マスタ!$M$5:$AM$5002,27,FALSE),"")</f>
        <v>0</v>
      </c>
      <c r="AB19" s="33"/>
      <c r="AC19" s="189"/>
      <c r="AD19" s="54"/>
      <c r="AE19" s="55"/>
      <c r="AF19" s="43"/>
      <c r="AG19" s="47"/>
      <c r="AH19" s="30"/>
      <c r="AI19" s="30"/>
      <c r="AJ19" s="30"/>
      <c r="AK19" s="30"/>
      <c r="AL19" s="13"/>
      <c r="AM19" s="13"/>
      <c r="AN19" s="13"/>
      <c r="AO19" s="13"/>
      <c r="AP19" s="13"/>
      <c r="AQ19" s="14"/>
      <c r="AR19" s="15"/>
    </row>
    <row r="20" spans="1:44" s="17" customFormat="1" ht="30.95" hidden="1" customHeight="1" x14ac:dyDescent="0.2">
      <c r="A20" s="37"/>
      <c r="B20" s="38"/>
      <c r="C20" s="45"/>
      <c r="D20" s="31"/>
      <c r="E20" s="31"/>
      <c r="F20" s="268" t="str">
        <f>IF(D20="","",VLOOKUP(D20,契約台帳!$A$3:$K$4986,6,FALSE)&amp;VLOOKUP(D20,契約台帳!$A$3:$K$4986,7,FALSE)&amp;VLOOKUP(D20,契約台帳!$A$3:$K$4986,8,FALSE)&amp;VLOOKUP(D20,契約台帳!$A$3:$K$4986,9,FALSE)&amp;VLOOKUP(D20,契約台帳!$A$3:$K$4986,11,FALSE))</f>
        <v/>
      </c>
      <c r="G20" s="269" t="str">
        <f>IF(D20="","",VLOOKUP(F20,製品マスタ!$G$5:$H$5002,2,FALSE))</f>
        <v/>
      </c>
      <c r="H20" s="269" t="str">
        <f>IF(D20="","",VLOOKUP(F20,製品マスタ!$G$5:$K$5002,5,FALSE))</f>
        <v/>
      </c>
      <c r="I20" s="270" t="str">
        <f>IF(D20="","",VLOOKUP(F20,製品マスタ!$G$5:$L$5002,6,FALSE))</f>
        <v/>
      </c>
      <c r="J20" s="32"/>
      <c r="K20" s="270" t="str">
        <f>IF(D20="","",VLOOKUP(D20,契約台帳!$A$3:$L$4986,12,FALSE))</f>
        <v/>
      </c>
      <c r="L20" s="270" t="str">
        <f>IF(D20="","",INDEX(製品マスタ!$Q$5:$Q$5002,MATCH(F20&amp;K20,製品マスタ!$AO$5:$AO$5002,0)))</f>
        <v/>
      </c>
      <c r="M20" s="39"/>
      <c r="N20" s="39"/>
      <c r="O20" s="47"/>
      <c r="P20" s="57"/>
      <c r="Q20" s="276" t="str">
        <f>IF(D20="","",IF(J20="リード付け",M20,VLOOKUP(D20,契約台帳!$A$3:$N$4986,14,FALSE)))</f>
        <v/>
      </c>
      <c r="R20" s="277" t="str">
        <f>IF(D20="","",IF(J20="リード付け",M20,VLOOKUP(D20,契約台帳!$A$3:$O$4986,15,FALSE)))</f>
        <v/>
      </c>
      <c r="S20" s="277" t="str">
        <f>IF(D20="","",IF(J20="リード付け",N20,VLOOKUP(D20,契約台帳!$A$3:$P$4986,16,FALSE)))</f>
        <v/>
      </c>
      <c r="T20" s="40"/>
      <c r="U20" s="278" t="str">
        <f ca="1">IF(D20="","",IF(OFFSET(D20,-2,0)=D20,"",VLOOKUP(D20,契約台帳!$A$3:$R$4986,18,FALSE)))</f>
        <v/>
      </c>
      <c r="V20" s="269" t="str">
        <f>IF(J20="巻返し",VLOOKUP(F20&amp;K20&amp;M20,製品マスタ!$M$5:$AD$5002,18,FALSE),IF(J20="リード付け","原反コア",IF(J20="スリット",VLOOKUP(F20&amp;K20&amp;Q20,製品マスタ!$N$5:$AD$5002,17,FALSE),"")))</f>
        <v/>
      </c>
      <c r="W20" s="269" t="str">
        <f>IF(J20="巻返し",VLOOKUP(F20&amp;K20&amp;M20,製品マスタ!$M$5:$AE$5002,19,FALSE),IF(J20="リード付け","-",IF(J20="スリット",VLOOKUP(F20&amp;K20&amp;Q20,製品マスタ!$N$5:$AE$5002,18,FALSE),"")))</f>
        <v/>
      </c>
      <c r="X20" s="275" t="str">
        <f>IF(D20="","",VLOOKUP(D20,契約台帳!$A$3:$Q$4986,17,FALSE))</f>
        <v/>
      </c>
      <c r="Y20" s="269" t="str">
        <f>IF(D20="","",VLOOKUP(D20,契約台帳!$A$3:$E$4986,5,FALSE))</f>
        <v/>
      </c>
      <c r="Z20" s="57"/>
      <c r="AA20" s="207" t="str">
        <f>IFERROR(VLOOKUP(F20&amp;K20&amp;M20,製品マスタ!$M$5:$AM$5002,27,FALSE),"")</f>
        <v/>
      </c>
      <c r="AB20" s="33"/>
      <c r="AC20" s="189"/>
      <c r="AD20" s="54"/>
      <c r="AE20" s="55"/>
      <c r="AF20" s="43"/>
      <c r="AG20" s="47"/>
      <c r="AH20" s="30"/>
      <c r="AI20" s="30"/>
      <c r="AJ20" s="30"/>
      <c r="AK20" s="30"/>
      <c r="AL20" s="13"/>
      <c r="AM20" s="13"/>
      <c r="AN20" s="13"/>
      <c r="AO20" s="13"/>
      <c r="AP20" s="13"/>
      <c r="AQ20" s="14"/>
      <c r="AR20" s="15"/>
    </row>
    <row r="21" spans="1:44" s="17" customFormat="1" ht="30.95" hidden="1" customHeight="1" x14ac:dyDescent="0.2">
      <c r="A21" s="37" t="s">
        <v>757</v>
      </c>
      <c r="B21" s="38" t="s">
        <v>746</v>
      </c>
      <c r="C21" s="45"/>
      <c r="D21" s="31"/>
      <c r="E21" s="31"/>
      <c r="F21" s="268" t="str">
        <f>IF(D21="","",VLOOKUP(D21,契約台帳!$A$3:$K$4986,6,FALSE)&amp;VLOOKUP(D21,契約台帳!$A$3:$K$4986,7,FALSE)&amp;VLOOKUP(D21,契約台帳!$A$3:$K$4986,8,FALSE)&amp;VLOOKUP(D21,契約台帳!$A$3:$K$4986,9,FALSE)&amp;VLOOKUP(D21,契約台帳!$A$3:$K$4986,11,FALSE))</f>
        <v/>
      </c>
      <c r="G21" s="269" t="str">
        <f>IF(D21="","",VLOOKUP(F21,製品マスタ!$G$5:$H$5002,2,FALSE))</f>
        <v/>
      </c>
      <c r="H21" s="269" t="str">
        <f>IF(D21="","",VLOOKUP(F21,製品マスタ!$G$5:$K$5002,5,FALSE))</f>
        <v/>
      </c>
      <c r="I21" s="270" t="str">
        <f>IF(D21="","",VLOOKUP(F21,製品マスタ!$G$5:$L$5002,6,FALSE))</f>
        <v/>
      </c>
      <c r="J21" s="32"/>
      <c r="K21" s="270" t="str">
        <f>IF(D21="","",VLOOKUP(D21,契約台帳!$A$3:$L$4986,12,FALSE))</f>
        <v/>
      </c>
      <c r="L21" s="270" t="str">
        <f>IF(D21="","",INDEX(製品マスタ!$Q$5:$Q$5002,MATCH(F21&amp;K21,製品マスタ!$AO$5:$AO$5002,0)))</f>
        <v/>
      </c>
      <c r="M21" s="39"/>
      <c r="N21" s="39"/>
      <c r="O21" s="47"/>
      <c r="P21" s="57"/>
      <c r="Q21" s="276" t="str">
        <f>IF(D21="","",IF(J21="リード付け",M21,VLOOKUP(D21,契約台帳!$A$3:$N$4986,14,FALSE)))</f>
        <v/>
      </c>
      <c r="R21" s="277" t="str">
        <f>IF(D21="","",IF(J21="リード付け",M21,VLOOKUP(D21,契約台帳!$A$3:$O$4986,15,FALSE)))</f>
        <v/>
      </c>
      <c r="S21" s="277" t="str">
        <f>IF(D21="","",IF(J21="リード付け",N21,VLOOKUP(D21,契約台帳!$A$3:$P$4986,16,FALSE)))</f>
        <v/>
      </c>
      <c r="T21" s="40"/>
      <c r="U21" s="278" t="str">
        <f ca="1">IF(D21="","",IF(OFFSET(D21,-2,0)=D21,"",VLOOKUP(D21,契約台帳!$A$3:$R$4986,18,FALSE)))</f>
        <v/>
      </c>
      <c r="V21" s="269" t="str">
        <f>IF(J21="巻返し",VLOOKUP(F21&amp;K21&amp;M21,製品マスタ!$M$5:$AD$5002,18,FALSE),IF(J21="リード付け","原反コア",IF(J21="スリット",VLOOKUP(F21&amp;K21&amp;Q21,製品マスタ!$N$5:$AD$5002,17,FALSE),"")))</f>
        <v/>
      </c>
      <c r="W21" s="269" t="str">
        <f>IF(J21="巻返し",VLOOKUP(F21&amp;K21&amp;M21,製品マスタ!$M$5:$AE$5002,19,FALSE),IF(J21="リード付け","-",IF(J21="スリット",VLOOKUP(F21&amp;K21&amp;Q21,製品マスタ!$N$5:$AE$5002,18,FALSE),"")))</f>
        <v/>
      </c>
      <c r="X21" s="275" t="str">
        <f>IF(D21="","",VLOOKUP(D21,契約台帳!$A$3:$Q$4986,17,FALSE))</f>
        <v/>
      </c>
      <c r="Y21" s="269" t="str">
        <f>IF(D21="","",VLOOKUP(D21,契約台帳!$A$3:$E$4986,5,FALSE))</f>
        <v/>
      </c>
      <c r="Z21" s="57"/>
      <c r="AA21" s="207" t="str">
        <f>IFERROR(VLOOKUP(F21&amp;K21&amp;M21,製品マスタ!$M$5:$AM$5002,27,FALSE),"")</f>
        <v/>
      </c>
      <c r="AB21" s="33"/>
      <c r="AC21" s="189"/>
      <c r="AD21" s="54"/>
      <c r="AE21" s="55"/>
      <c r="AF21" s="43"/>
      <c r="AG21" s="47"/>
      <c r="AH21" s="30"/>
      <c r="AI21" s="30"/>
      <c r="AJ21" s="30"/>
      <c r="AK21" s="30"/>
      <c r="AL21" s="13"/>
      <c r="AM21" s="13"/>
      <c r="AN21" s="13"/>
      <c r="AO21" s="13"/>
      <c r="AP21" s="13"/>
      <c r="AQ21" s="14"/>
      <c r="AR21" s="15"/>
    </row>
    <row r="22" spans="1:44" s="17" customFormat="1" ht="30.95" hidden="1" customHeight="1" x14ac:dyDescent="0.2">
      <c r="A22" s="37"/>
      <c r="B22" s="38"/>
      <c r="C22" s="45"/>
      <c r="D22" s="31"/>
      <c r="E22" s="31"/>
      <c r="F22" s="268" t="str">
        <f>IF(D22="","",VLOOKUP(D22,契約台帳!$A$3:$K$4986,6,FALSE)&amp;VLOOKUP(D22,契約台帳!$A$3:$K$4986,7,FALSE)&amp;VLOOKUP(D22,契約台帳!$A$3:$K$4986,8,FALSE)&amp;VLOOKUP(D22,契約台帳!$A$3:$K$4986,9,FALSE)&amp;VLOOKUP(D22,契約台帳!$A$3:$K$4986,11,FALSE))</f>
        <v/>
      </c>
      <c r="G22" s="269" t="str">
        <f>IF(D22="","",VLOOKUP(F22,製品マスタ!$G$5:$H$5002,2,FALSE))</f>
        <v/>
      </c>
      <c r="H22" s="269" t="str">
        <f>IF(D22="","",VLOOKUP(F22,製品マスタ!$G$5:$K$5002,5,FALSE))</f>
        <v/>
      </c>
      <c r="I22" s="270" t="str">
        <f>IF(D22="","",VLOOKUP(F22,製品マスタ!$G$5:$L$5002,6,FALSE))</f>
        <v/>
      </c>
      <c r="J22" s="32"/>
      <c r="K22" s="270" t="str">
        <f>IF(D22="","",VLOOKUP(D22,契約台帳!$A$3:$L$4986,12,FALSE))</f>
        <v/>
      </c>
      <c r="L22" s="270" t="str">
        <f>IF(D22="","",INDEX(製品マスタ!$Q$5:$Q$5002,MATCH(F22&amp;K22,製品マスタ!$AO$5:$AO$5002,0)))</f>
        <v/>
      </c>
      <c r="M22" s="39"/>
      <c r="N22" s="39"/>
      <c r="O22" s="47"/>
      <c r="P22" s="57"/>
      <c r="Q22" s="276" t="str">
        <f>IF(D22="","",IF(J22="リード付け",M22,VLOOKUP(D22,契約台帳!$A$3:$N$4986,14,FALSE)))</f>
        <v/>
      </c>
      <c r="R22" s="277" t="str">
        <f>IF(D22="","",IF(J22="リード付け",M22,VLOOKUP(D22,契約台帳!$A$3:$O$4986,15,FALSE)))</f>
        <v/>
      </c>
      <c r="S22" s="277" t="str">
        <f>IF(D22="","",IF(J22="リード付け",N22,VLOOKUP(D22,契約台帳!$A$3:$P$4986,16,FALSE)))</f>
        <v/>
      </c>
      <c r="T22" s="40"/>
      <c r="U22" s="278" t="str">
        <f ca="1">IF(D22="","",IF(OFFSET(D22,-2,0)=D22,"",VLOOKUP(D22,契約台帳!$A$3:$R$4986,18,FALSE)))</f>
        <v/>
      </c>
      <c r="V22" s="269" t="str">
        <f>IF(J22="巻返し",VLOOKUP(F22&amp;K22&amp;M22,製品マスタ!$M$5:$AD$5002,18,FALSE),IF(J22="リード付け","原反コア",IF(J22="スリット",VLOOKUP(F22&amp;K22&amp;Q22,製品マスタ!$N$5:$AD$5002,17,FALSE),"")))</f>
        <v/>
      </c>
      <c r="W22" s="269" t="str">
        <f>IF(J22="巻返し",VLOOKUP(F22&amp;K22&amp;M22,製品マスタ!$M$5:$AE$5002,19,FALSE),IF(J22="リード付け","-",IF(J22="スリット",VLOOKUP(F22&amp;K22&amp;Q22,製品マスタ!$N$5:$AE$5002,18,FALSE),"")))</f>
        <v/>
      </c>
      <c r="X22" s="275" t="str">
        <f>IF(D22="","",VLOOKUP(D22,契約台帳!$A$3:$Q$4986,17,FALSE))</f>
        <v/>
      </c>
      <c r="Y22" s="269" t="str">
        <f>IF(D22="","",VLOOKUP(D22,契約台帳!$A$3:$E$4986,5,FALSE))</f>
        <v/>
      </c>
      <c r="Z22" s="57"/>
      <c r="AA22" s="207" t="str">
        <f>IFERROR(VLOOKUP(F22&amp;K22&amp;M22,製品マスタ!$M$5:$AM$5002,27,FALSE),"")</f>
        <v/>
      </c>
      <c r="AB22" s="33"/>
      <c r="AC22" s="189"/>
      <c r="AD22" s="54"/>
      <c r="AE22" s="55"/>
      <c r="AF22" s="43"/>
      <c r="AG22" s="47"/>
      <c r="AH22" s="30"/>
      <c r="AI22" s="30"/>
      <c r="AJ22" s="30"/>
      <c r="AK22" s="30"/>
      <c r="AL22" s="13"/>
      <c r="AM22" s="13"/>
      <c r="AN22" s="13"/>
      <c r="AO22" s="13"/>
      <c r="AP22" s="13"/>
      <c r="AQ22" s="14"/>
      <c r="AR22" s="15"/>
    </row>
    <row r="23" spans="1:44" s="17" customFormat="1" ht="30.95" hidden="1" customHeight="1" x14ac:dyDescent="0.2">
      <c r="A23" s="37" t="s">
        <v>758</v>
      </c>
      <c r="B23" s="38" t="s">
        <v>747</v>
      </c>
      <c r="C23" s="45"/>
      <c r="D23" s="31"/>
      <c r="E23" s="31"/>
      <c r="F23" s="268" t="str">
        <f>IF(D23="","",VLOOKUP(D23,契約台帳!$A$3:$K$4986,6,FALSE)&amp;VLOOKUP(D23,契約台帳!$A$3:$K$4986,7,FALSE)&amp;VLOOKUP(D23,契約台帳!$A$3:$K$4986,8,FALSE)&amp;VLOOKUP(D23,契約台帳!$A$3:$K$4986,9,FALSE)&amp;VLOOKUP(D23,契約台帳!$A$3:$K$4986,11,FALSE))</f>
        <v/>
      </c>
      <c r="G23" s="269" t="str">
        <f>IF(D23="","",VLOOKUP(F23,製品マスタ!$G$5:$H$5002,2,FALSE))</f>
        <v/>
      </c>
      <c r="H23" s="269" t="str">
        <f>IF(D23="","",VLOOKUP(F23,製品マスタ!$G$5:$K$5002,5,FALSE))</f>
        <v/>
      </c>
      <c r="I23" s="270" t="str">
        <f>IF(D23="","",VLOOKUP(F23,製品マスタ!$G$5:$L$5002,6,FALSE))</f>
        <v/>
      </c>
      <c r="J23" s="32"/>
      <c r="K23" s="270" t="str">
        <f>IF(D23="","",VLOOKUP(D23,契約台帳!$A$3:$L$4986,12,FALSE))</f>
        <v/>
      </c>
      <c r="L23" s="270" t="str">
        <f>IF(D23="","",INDEX(製品マスタ!$Q$5:$Q$5002,MATCH(F23&amp;K23,製品マスタ!$AO$5:$AO$5002,0)))</f>
        <v/>
      </c>
      <c r="M23" s="39"/>
      <c r="N23" s="39"/>
      <c r="O23" s="47"/>
      <c r="P23" s="57"/>
      <c r="Q23" s="276" t="str">
        <f>IF(D23="","",IF(J23="リード付け",M23,VLOOKUP(D23,契約台帳!$A$3:$N$4986,14,FALSE)))</f>
        <v/>
      </c>
      <c r="R23" s="277" t="str">
        <f>IF(D23="","",IF(J23="リード付け",M23,VLOOKUP(D23,契約台帳!$A$3:$O$4986,15,FALSE)))</f>
        <v/>
      </c>
      <c r="S23" s="277" t="str">
        <f>IF(D23="","",IF(J23="リード付け",N23,VLOOKUP(D23,契約台帳!$A$3:$P$4986,16,FALSE)))</f>
        <v/>
      </c>
      <c r="T23" s="40"/>
      <c r="U23" s="278" t="str">
        <f ca="1">IF(D23="","",IF(OFFSET(D23,-2,0)=D23,"",VLOOKUP(D23,契約台帳!$A$3:$R$4986,18,FALSE)))</f>
        <v/>
      </c>
      <c r="V23" s="269" t="str">
        <f>IF(J23="巻返し",VLOOKUP(F23&amp;K23&amp;M23,製品マスタ!$M$5:$AD$5002,18,FALSE),IF(J23="リード付け","原反コア",IF(J23="スリット",VLOOKUP(F23&amp;K23&amp;Q23,製品マスタ!$N$5:$AD$5002,17,FALSE),"")))</f>
        <v/>
      </c>
      <c r="W23" s="269" t="str">
        <f>IF(J23="巻返し",VLOOKUP(F23&amp;K23&amp;M23,製品マスタ!$M$5:$AE$5002,19,FALSE),IF(J23="リード付け","-",IF(J23="スリット",VLOOKUP(F23&amp;K23&amp;Q23,製品マスタ!$N$5:$AE$5002,18,FALSE),"")))</f>
        <v/>
      </c>
      <c r="X23" s="275" t="str">
        <f>IF(D23="","",VLOOKUP(D23,契約台帳!$A$3:$Q$4986,17,FALSE))</f>
        <v/>
      </c>
      <c r="Y23" s="269" t="str">
        <f>IF(D23="","",VLOOKUP(D23,契約台帳!$A$3:$E$4986,5,FALSE))</f>
        <v/>
      </c>
      <c r="Z23" s="57"/>
      <c r="AA23" s="207" t="str">
        <f>IFERROR(VLOOKUP(F23&amp;K23&amp;M23,製品マスタ!$M$5:$AM$5002,27,FALSE),"")</f>
        <v/>
      </c>
      <c r="AB23" s="33"/>
      <c r="AC23" s="189"/>
      <c r="AD23" s="54"/>
      <c r="AE23" s="55"/>
      <c r="AF23" s="43"/>
      <c r="AG23" s="47"/>
      <c r="AH23" s="30"/>
      <c r="AI23" s="30"/>
      <c r="AJ23" s="30"/>
      <c r="AK23" s="30"/>
      <c r="AL23" s="13"/>
      <c r="AM23" s="13"/>
      <c r="AN23" s="13"/>
      <c r="AO23" s="13"/>
      <c r="AP23" s="13"/>
      <c r="AQ23" s="14"/>
      <c r="AR23" s="15"/>
    </row>
    <row r="24" spans="1:44" s="17" customFormat="1" ht="30.95" hidden="1" customHeight="1" x14ac:dyDescent="0.2">
      <c r="A24" s="37"/>
      <c r="B24" s="38"/>
      <c r="C24" s="45"/>
      <c r="D24" s="31"/>
      <c r="E24" s="31"/>
      <c r="F24" s="268" t="str">
        <f>IF(D24="","",VLOOKUP(D24,契約台帳!$A$3:$K$4986,6,FALSE)&amp;VLOOKUP(D24,契約台帳!$A$3:$K$4986,7,FALSE)&amp;VLOOKUP(D24,契約台帳!$A$3:$K$4986,8,FALSE)&amp;VLOOKUP(D24,契約台帳!$A$3:$K$4986,9,FALSE)&amp;VLOOKUP(D24,契約台帳!$A$3:$K$4986,11,FALSE))</f>
        <v/>
      </c>
      <c r="G24" s="269" t="str">
        <f>IF(D24="","",VLOOKUP(F24,製品マスタ!$G$5:$H$5002,2,FALSE))</f>
        <v/>
      </c>
      <c r="H24" s="269" t="str">
        <f>IF(D24="","",VLOOKUP(F24,製品マスタ!$G$5:$K$5002,5,FALSE))</f>
        <v/>
      </c>
      <c r="I24" s="270" t="str">
        <f>IF(D24="","",VLOOKUP(F24,製品マスタ!$G$5:$L$5002,6,FALSE))</f>
        <v/>
      </c>
      <c r="J24" s="32"/>
      <c r="K24" s="270" t="str">
        <f>IF(D24="","",VLOOKUP(D24,契約台帳!$A$3:$L$4986,12,FALSE))</f>
        <v/>
      </c>
      <c r="L24" s="270" t="str">
        <f>IF(D24="","",INDEX(製品マスタ!$Q$5:$Q$5002,MATCH(F24&amp;K24,製品マスタ!$AO$5:$AO$5002,0)))</f>
        <v/>
      </c>
      <c r="M24" s="39"/>
      <c r="N24" s="39"/>
      <c r="O24" s="47"/>
      <c r="P24" s="57"/>
      <c r="Q24" s="276" t="str">
        <f>IF(D24="","",IF(J24="リード付け",M24,VLOOKUP(D24,契約台帳!$A$3:$N$4986,14,FALSE)))</f>
        <v/>
      </c>
      <c r="R24" s="277" t="str">
        <f>IF(D24="","",IF(J24="リード付け",M24,VLOOKUP(D24,契約台帳!$A$3:$O$4986,15,FALSE)))</f>
        <v/>
      </c>
      <c r="S24" s="277" t="str">
        <f>IF(D24="","",IF(J24="リード付け",N24,VLOOKUP(D24,契約台帳!$A$3:$P$4986,16,FALSE)))</f>
        <v/>
      </c>
      <c r="T24" s="40"/>
      <c r="U24" s="278" t="str">
        <f ca="1">IF(D24="","",IF(OFFSET(D24,-2,0)=D24,"",VLOOKUP(D24,契約台帳!$A$3:$R$4986,18,FALSE)))</f>
        <v/>
      </c>
      <c r="V24" s="269" t="str">
        <f>IF(J24="巻返し",VLOOKUP(F24&amp;K24&amp;M24,製品マスタ!$M$5:$AD$5002,18,FALSE),IF(J24="リード付け","原反コア",IF(J24="スリット",VLOOKUP(F24&amp;K24&amp;Q24,製品マスタ!$N$5:$AD$5002,17,FALSE),"")))</f>
        <v/>
      </c>
      <c r="W24" s="269" t="str">
        <f>IF(J24="巻返し",VLOOKUP(F24&amp;K24&amp;M24,製品マスタ!$M$5:$AE$5002,19,FALSE),IF(J24="リード付け","-",IF(J24="スリット",VLOOKUP(F24&amp;K24&amp;Q24,製品マスタ!$N$5:$AE$5002,18,FALSE),"")))</f>
        <v/>
      </c>
      <c r="X24" s="275" t="str">
        <f>IF(D24="","",VLOOKUP(D24,契約台帳!$A$3:$Q$4986,17,FALSE))</f>
        <v/>
      </c>
      <c r="Y24" s="269" t="str">
        <f>IF(D24="","",VLOOKUP(D24,契約台帳!$A$3:$E$4986,5,FALSE))</f>
        <v/>
      </c>
      <c r="Z24" s="57"/>
      <c r="AA24" s="207" t="str">
        <f>IFERROR(VLOOKUP(F24&amp;K24&amp;M24,製品マスタ!$M$5:$AM$5002,27,FALSE),"")</f>
        <v/>
      </c>
      <c r="AB24" s="33"/>
      <c r="AC24" s="189"/>
      <c r="AD24" s="54"/>
      <c r="AE24" s="55"/>
      <c r="AF24" s="43"/>
      <c r="AG24" s="47"/>
      <c r="AH24" s="30"/>
      <c r="AI24" s="30"/>
      <c r="AJ24" s="30"/>
      <c r="AK24" s="30"/>
      <c r="AL24" s="13"/>
      <c r="AM24" s="13"/>
      <c r="AN24" s="13"/>
      <c r="AO24" s="13"/>
      <c r="AP24" s="13"/>
      <c r="AQ24" s="14"/>
      <c r="AR24" s="15"/>
    </row>
    <row r="25" spans="1:44" s="17" customFormat="1" ht="30.95" hidden="1" customHeight="1" x14ac:dyDescent="0.2">
      <c r="A25" s="37" t="s">
        <v>759</v>
      </c>
      <c r="B25" s="38" t="s">
        <v>748</v>
      </c>
      <c r="C25" s="45"/>
      <c r="D25" s="31"/>
      <c r="E25" s="31"/>
      <c r="F25" s="268" t="str">
        <f>IF(D25="","",VLOOKUP(D25,契約台帳!$A$3:$K$4986,6,FALSE)&amp;VLOOKUP(D25,契約台帳!$A$3:$K$4986,7,FALSE)&amp;VLOOKUP(D25,契約台帳!$A$3:$K$4986,8,FALSE)&amp;VLOOKUP(D25,契約台帳!$A$3:$K$4986,9,FALSE)&amp;VLOOKUP(D25,契約台帳!$A$3:$K$4986,11,FALSE))</f>
        <v/>
      </c>
      <c r="G25" s="269" t="str">
        <f>IF(D25="","",VLOOKUP(F25,製品マスタ!$G$5:$H$5002,2,FALSE))</f>
        <v/>
      </c>
      <c r="H25" s="269" t="str">
        <f>IF(D25="","",VLOOKUP(F25,製品マスタ!$G$5:$K$5002,5,FALSE))</f>
        <v/>
      </c>
      <c r="I25" s="270" t="str">
        <f>IF(D25="","",VLOOKUP(F25,製品マスタ!$G$5:$L$5002,6,FALSE))</f>
        <v/>
      </c>
      <c r="J25" s="32" t="s">
        <v>448</v>
      </c>
      <c r="K25" s="270" t="str">
        <f>IF(D25="","",VLOOKUP(D25,契約台帳!$A$3:$L$4986,12,FALSE))</f>
        <v/>
      </c>
      <c r="L25" s="270" t="str">
        <f>IF(D25="","",INDEX(製品マスタ!$Q$5:$Q$5002,MATCH(F25&amp;K25,製品マスタ!$AO$5:$AO$5002,0)))</f>
        <v/>
      </c>
      <c r="M25" s="39"/>
      <c r="N25" s="39"/>
      <c r="O25" s="47"/>
      <c r="P25" s="57"/>
      <c r="Q25" s="276" t="str">
        <f>IF(D25="","",IF(J25="リード付け",M25,VLOOKUP(D25,契約台帳!$A$3:$N$4986,14,FALSE)))</f>
        <v/>
      </c>
      <c r="R25" s="277" t="str">
        <f>IF(D25="","",IF(J25="リード付け",M25,VLOOKUP(D25,契約台帳!$A$3:$O$4986,15,FALSE)))</f>
        <v/>
      </c>
      <c r="S25" s="277" t="str">
        <f>IF(D25="","",IF(J25="リード付け",N25,VLOOKUP(D25,契約台帳!$A$3:$P$4986,16,FALSE)))</f>
        <v/>
      </c>
      <c r="T25" s="40"/>
      <c r="U25" s="278" t="str">
        <f ca="1">IF(D25="","",IF(OFFSET(D25,-2,0)=D25,"",VLOOKUP(D25,契約台帳!$A$3:$R$4986,18,FALSE)))</f>
        <v/>
      </c>
      <c r="V25" s="269" t="str">
        <f>IF(J25="巻返し",VLOOKUP(F25&amp;K25&amp;M25,製品マスタ!$M$5:$AD$5002,18,FALSE),IF(J25="リード付け","原反コア",IF(J25="スリット",VLOOKUP(F25&amp;K25&amp;Q25,製品マスタ!$N$5:$AD$5002,17,FALSE),"")))</f>
        <v/>
      </c>
      <c r="W25" s="269" t="str">
        <f>IF(J25="巻返し",VLOOKUP(F25&amp;K25&amp;M25,製品マスタ!$M$5:$AE$5002,19,FALSE),IF(J25="リード付け","-",IF(J25="スリット",VLOOKUP(F25&amp;K25&amp;Q25,製品マスタ!$N$5:$AE$5002,18,FALSE),"")))</f>
        <v/>
      </c>
      <c r="X25" s="275" t="str">
        <f>IF(D25="","",VLOOKUP(D25,契約台帳!$A$3:$Q$4986,17,FALSE))</f>
        <v/>
      </c>
      <c r="Y25" s="269" t="str">
        <f>IF(D25="","",VLOOKUP(D25,契約台帳!$A$3:$E$4986,5,FALSE))</f>
        <v/>
      </c>
      <c r="Z25" s="57"/>
      <c r="AA25" s="207" t="str">
        <f>IFERROR(VLOOKUP(F25&amp;K25&amp;M25,製品マスタ!$M$5:$AM$5002,27,FALSE),"")</f>
        <v/>
      </c>
      <c r="AB25" s="33"/>
      <c r="AC25" s="189"/>
      <c r="AD25" s="54"/>
      <c r="AE25" s="55"/>
      <c r="AF25" s="43"/>
      <c r="AG25" s="47"/>
      <c r="AH25" s="30"/>
      <c r="AI25" s="30"/>
      <c r="AJ25" s="30"/>
      <c r="AK25" s="30"/>
      <c r="AL25" s="13"/>
      <c r="AM25" s="13"/>
      <c r="AN25" s="13"/>
      <c r="AO25" s="13"/>
      <c r="AP25" s="13"/>
      <c r="AQ25" s="14"/>
      <c r="AR25" s="15"/>
    </row>
    <row r="26" spans="1:44" s="17" customFormat="1" ht="30.95" hidden="1" customHeight="1" x14ac:dyDescent="0.2">
      <c r="A26" s="37"/>
      <c r="B26" s="38"/>
      <c r="C26" s="45"/>
      <c r="D26" s="31"/>
      <c r="E26" s="31"/>
      <c r="F26" s="268" t="str">
        <f>IF(D26="","",VLOOKUP(D26,契約台帳!$A$3:$K$4986,6,FALSE)&amp;VLOOKUP(D26,契約台帳!$A$3:$K$4986,7,FALSE)&amp;VLOOKUP(D26,契約台帳!$A$3:$K$4986,8,FALSE)&amp;VLOOKUP(D26,契約台帳!$A$3:$K$4986,9,FALSE)&amp;VLOOKUP(D26,契約台帳!$A$3:$K$4986,11,FALSE))</f>
        <v/>
      </c>
      <c r="G26" s="269" t="str">
        <f>IF(D26="","",VLOOKUP(F26,製品マスタ!$G$5:$H$5002,2,FALSE))</f>
        <v/>
      </c>
      <c r="H26" s="269" t="str">
        <f>IF(D26="","",VLOOKUP(F26,製品マスタ!$G$5:$K$5002,5,FALSE))</f>
        <v/>
      </c>
      <c r="I26" s="270" t="str">
        <f>IF(D26="","",VLOOKUP(F26,製品マスタ!$G$5:$L$5002,6,FALSE))</f>
        <v/>
      </c>
      <c r="J26" s="32"/>
      <c r="K26" s="270" t="str">
        <f>IF(D26="","",VLOOKUP(D26,契約台帳!$A$3:$L$4986,12,FALSE))</f>
        <v/>
      </c>
      <c r="L26" s="270" t="str">
        <f>IF(D26="","",INDEX(製品マスタ!$Q$5:$Q$5002,MATCH(F26&amp;K26,製品マスタ!$AO$5:$AO$5002,0)))</f>
        <v/>
      </c>
      <c r="M26" s="39"/>
      <c r="N26" s="39"/>
      <c r="O26" s="47"/>
      <c r="P26" s="57"/>
      <c r="Q26" s="276" t="str">
        <f>IF(D26="","",IF(J26="リード付け",M26,VLOOKUP(D26,契約台帳!$A$3:$N$4986,14,FALSE)))</f>
        <v/>
      </c>
      <c r="R26" s="277" t="str">
        <f>IF(D26="","",IF(J26="リード付け",M26,VLOOKUP(D26,契約台帳!$A$3:$O$4986,15,FALSE)))</f>
        <v/>
      </c>
      <c r="S26" s="277" t="str">
        <f>IF(D26="","",IF(J26="リード付け",N26,VLOOKUP(D26,契約台帳!$A$3:$P$4986,16,FALSE)))</f>
        <v/>
      </c>
      <c r="T26" s="40"/>
      <c r="U26" s="278" t="str">
        <f ca="1">IF(D26="","",IF(OFFSET(D26,-2,0)=D26,"",VLOOKUP(D26,契約台帳!$A$3:$R$4986,18,FALSE)))</f>
        <v/>
      </c>
      <c r="V26" s="269" t="str">
        <f>IF(J26="巻返し",VLOOKUP(F26&amp;K26&amp;M26,製品マスタ!$M$5:$AD$5002,18,FALSE),IF(J26="リード付け","原反コア",IF(J26="スリット",VLOOKUP(F26&amp;K26&amp;Q26,製品マスタ!$N$5:$AD$5002,17,FALSE),"")))</f>
        <v/>
      </c>
      <c r="W26" s="269" t="str">
        <f>IF(J26="巻返し",VLOOKUP(F26&amp;K26&amp;M26,製品マスタ!$M$5:$AE$5002,19,FALSE),IF(J26="リード付け","-",IF(J26="スリット",VLOOKUP(F26&amp;K26&amp;Q26,製品マスタ!$N$5:$AE$5002,18,FALSE),"")))</f>
        <v/>
      </c>
      <c r="X26" s="275" t="str">
        <f>IF(D26="","",VLOOKUP(D26,契約台帳!$A$3:$Q$4986,17,FALSE))</f>
        <v/>
      </c>
      <c r="Y26" s="269" t="str">
        <f>IF(D26="","",VLOOKUP(D26,契約台帳!$A$3:$E$4986,5,FALSE))</f>
        <v/>
      </c>
      <c r="Z26" s="57"/>
      <c r="AA26" s="207" t="str">
        <f>IFERROR(VLOOKUP(F26&amp;K26&amp;M26,製品マスタ!$M$5:$AM$5002,27,FALSE),"")</f>
        <v/>
      </c>
      <c r="AB26" s="33"/>
      <c r="AC26" s="189"/>
      <c r="AD26" s="54"/>
      <c r="AE26" s="55"/>
      <c r="AF26" s="43"/>
      <c r="AG26" s="47"/>
      <c r="AH26" s="30"/>
      <c r="AI26" s="30"/>
      <c r="AJ26" s="30"/>
      <c r="AK26" s="30"/>
      <c r="AL26" s="13"/>
      <c r="AM26" s="13"/>
      <c r="AN26" s="13"/>
      <c r="AO26" s="13"/>
      <c r="AP26" s="13"/>
      <c r="AQ26" s="14"/>
      <c r="AR26" s="15"/>
    </row>
    <row r="27" spans="1:44" s="17" customFormat="1" ht="30.95" hidden="1" customHeight="1" x14ac:dyDescent="0.2">
      <c r="A27" s="37" t="s">
        <v>760</v>
      </c>
      <c r="B27" s="38" t="s">
        <v>749</v>
      </c>
      <c r="C27" s="45"/>
      <c r="D27" s="31"/>
      <c r="E27" s="31"/>
      <c r="F27" s="268" t="str">
        <f>IF(D27="","",VLOOKUP(D27,契約台帳!$A$3:$K$4986,6,FALSE)&amp;VLOOKUP(D27,契約台帳!$A$3:$K$4986,7,FALSE)&amp;VLOOKUP(D27,契約台帳!$A$3:$K$4986,8,FALSE)&amp;VLOOKUP(D27,契約台帳!$A$3:$K$4986,9,FALSE)&amp;VLOOKUP(D27,契約台帳!$A$3:$K$4986,11,FALSE))</f>
        <v/>
      </c>
      <c r="G27" s="269" t="str">
        <f>IF(D27="","",VLOOKUP(F27,製品マスタ!$G$5:$H$5002,2,FALSE))</f>
        <v/>
      </c>
      <c r="H27" s="269" t="str">
        <f>IF(D27="","",VLOOKUP(F27,製品マスタ!$G$5:$K$5002,5,FALSE))</f>
        <v/>
      </c>
      <c r="I27" s="270" t="str">
        <f>IF(D27="","",VLOOKUP(F27,製品マスタ!$G$5:$L$5002,6,FALSE))</f>
        <v/>
      </c>
      <c r="J27" s="32" t="s">
        <v>448</v>
      </c>
      <c r="K27" s="270" t="str">
        <f>IF(D27="","",VLOOKUP(D27,契約台帳!$A$3:$L$4986,12,FALSE))</f>
        <v/>
      </c>
      <c r="L27" s="270" t="str">
        <f>IF(D27="","",INDEX(製品マスタ!$Q$5:$Q$5002,MATCH(F27&amp;K27,製品マスタ!$AO$5:$AO$5002,0)))</f>
        <v/>
      </c>
      <c r="M27" s="39"/>
      <c r="N27" s="39"/>
      <c r="O27" s="47"/>
      <c r="P27" s="57"/>
      <c r="Q27" s="276" t="str">
        <f>IF(D27="","",IF(J27="リード付け",M27,VLOOKUP(D27,契約台帳!$A$3:$N$4986,14,FALSE)))</f>
        <v/>
      </c>
      <c r="R27" s="277" t="str">
        <f>IF(D27="","",IF(J27="リード付け",M27,VLOOKUP(D27,契約台帳!$A$3:$O$4986,15,FALSE)))</f>
        <v/>
      </c>
      <c r="S27" s="277" t="str">
        <f>IF(D27="","",IF(J27="リード付け",N27,VLOOKUP(D27,契約台帳!$A$3:$P$4986,16,FALSE)))</f>
        <v/>
      </c>
      <c r="T27" s="40"/>
      <c r="U27" s="278" t="str">
        <f ca="1">IF(D27="","",IF(OFFSET(D27,-2,0)=D27,"",VLOOKUP(D27,契約台帳!$A$3:$R$4986,18,FALSE)))</f>
        <v/>
      </c>
      <c r="V27" s="269" t="str">
        <f>IF(J27="巻返し",VLOOKUP(F27&amp;K27&amp;M27,製品マスタ!$M$5:$AD$5002,18,FALSE),IF(J27="リード付け","原反コア",IF(J27="スリット",VLOOKUP(F27&amp;K27&amp;Q27,製品マスタ!$N$5:$AD$5002,17,FALSE),"")))</f>
        <v/>
      </c>
      <c r="W27" s="269" t="str">
        <f>IF(J27="巻返し",VLOOKUP(F27&amp;K27&amp;M27,製品マスタ!$M$5:$AE$5002,19,FALSE),IF(J27="リード付け","-",IF(J27="スリット",VLOOKUP(F27&amp;K27&amp;Q27,製品マスタ!$N$5:$AE$5002,18,FALSE),"")))</f>
        <v/>
      </c>
      <c r="X27" s="275" t="str">
        <f>IF(D27="","",VLOOKUP(D27,契約台帳!$A$3:$Q$4986,17,FALSE))</f>
        <v/>
      </c>
      <c r="Y27" s="269" t="str">
        <f>IF(D27="","",VLOOKUP(D27,契約台帳!$A$3:$E$4986,5,FALSE))</f>
        <v/>
      </c>
      <c r="Z27" s="57"/>
      <c r="AA27" s="207" t="str">
        <f>IFERROR(VLOOKUP(F27&amp;K27&amp;M27,製品マスタ!$M$5:$AM$5002,27,FALSE),"")</f>
        <v/>
      </c>
      <c r="AB27" s="33"/>
      <c r="AC27" s="189"/>
      <c r="AD27" s="54"/>
      <c r="AE27" s="55"/>
      <c r="AF27" s="43"/>
      <c r="AG27" s="47"/>
      <c r="AH27" s="30"/>
      <c r="AI27" s="30"/>
      <c r="AJ27" s="30"/>
      <c r="AK27" s="30"/>
      <c r="AL27" s="13"/>
      <c r="AM27" s="13"/>
      <c r="AN27" s="13"/>
      <c r="AO27" s="13"/>
      <c r="AP27" s="13"/>
      <c r="AQ27" s="14"/>
      <c r="AR27" s="15"/>
    </row>
    <row r="28" spans="1:44" s="17" customFormat="1" ht="30.95" hidden="1" customHeight="1" x14ac:dyDescent="0.2">
      <c r="A28" s="37"/>
      <c r="B28" s="38"/>
      <c r="C28" s="45"/>
      <c r="D28" s="31"/>
      <c r="E28" s="31"/>
      <c r="F28" s="268" t="str">
        <f>IF(D28="","",VLOOKUP(D28,契約台帳!$A$3:$K$4986,6,FALSE)&amp;VLOOKUP(D28,契約台帳!$A$3:$K$4986,7,FALSE)&amp;VLOOKUP(D28,契約台帳!$A$3:$K$4986,8,FALSE)&amp;VLOOKUP(D28,契約台帳!$A$3:$K$4986,9,FALSE)&amp;VLOOKUP(D28,契約台帳!$A$3:$K$4986,11,FALSE))</f>
        <v/>
      </c>
      <c r="G28" s="269" t="str">
        <f>IF(D28="","",VLOOKUP(F28,製品マスタ!$G$5:$H$5002,2,FALSE))</f>
        <v/>
      </c>
      <c r="H28" s="269" t="str">
        <f>IF(D28="","",VLOOKUP(F28,製品マスタ!$G$5:$K$5002,5,FALSE))</f>
        <v/>
      </c>
      <c r="I28" s="270" t="str">
        <f>IF(D28="","",VLOOKUP(F28,製品マスタ!$G$5:$L$5002,6,FALSE))</f>
        <v/>
      </c>
      <c r="J28" s="32"/>
      <c r="K28" s="270" t="str">
        <f>IF(D28="","",VLOOKUP(D28,契約台帳!$A$3:$L$4986,12,FALSE))</f>
        <v/>
      </c>
      <c r="L28" s="270" t="str">
        <f>IF(D28="","",INDEX(製品マスタ!$Q$5:$Q$5002,MATCH(F28&amp;K28,製品マスタ!$AO$5:$AO$5002,0)))</f>
        <v/>
      </c>
      <c r="M28" s="39"/>
      <c r="N28" s="39"/>
      <c r="O28" s="47"/>
      <c r="P28" s="57"/>
      <c r="Q28" s="276" t="str">
        <f>IF(D28="","",IF(J28="リード付け",M28,VLOOKUP(D28,契約台帳!$A$3:$N$4986,14,FALSE)))</f>
        <v/>
      </c>
      <c r="R28" s="277" t="str">
        <f>IF(D28="","",IF(J28="リード付け",M28,VLOOKUP(D28,契約台帳!$A$3:$O$4986,15,FALSE)))</f>
        <v/>
      </c>
      <c r="S28" s="277" t="str">
        <f>IF(D28="","",IF(J28="リード付け",N28,VLOOKUP(D28,契約台帳!$A$3:$P$4986,16,FALSE)))</f>
        <v/>
      </c>
      <c r="T28" s="40"/>
      <c r="U28" s="278" t="str">
        <f ca="1">IF(D28="","",IF(OFFSET(D28,-2,0)=D28,"",VLOOKUP(D28,契約台帳!$A$3:$R$4986,18,FALSE)))</f>
        <v/>
      </c>
      <c r="V28" s="269" t="str">
        <f>IF(J28="巻返し",VLOOKUP(F28&amp;K28&amp;M28,製品マスタ!$M$5:$AD$5002,18,FALSE),IF(J28="リード付け","原反コア",IF(J28="スリット",VLOOKUP(F28&amp;K28&amp;Q28,製品マスタ!$N$5:$AD$5002,17,FALSE),"")))</f>
        <v/>
      </c>
      <c r="W28" s="269" t="str">
        <f>IF(J28="巻返し",VLOOKUP(F28&amp;K28&amp;M28,製品マスタ!$M$5:$AE$5002,19,FALSE),IF(J28="リード付け","-",IF(J28="スリット",VLOOKUP(F28&amp;K28&amp;Q28,製品マスタ!$N$5:$AE$5002,18,FALSE),"")))</f>
        <v/>
      </c>
      <c r="X28" s="275" t="str">
        <f>IF(D28="","",VLOOKUP(D28,契約台帳!$A$3:$Q$4986,17,FALSE))</f>
        <v/>
      </c>
      <c r="Y28" s="269" t="str">
        <f>IF(D28="","",VLOOKUP(D28,契約台帳!$A$3:$E$4986,5,FALSE))</f>
        <v/>
      </c>
      <c r="Z28" s="57"/>
      <c r="AA28" s="207" t="str">
        <f>IFERROR(VLOOKUP(F28&amp;K28&amp;M28,製品マスタ!$M$5:$AM$5002,27,FALSE),"")</f>
        <v/>
      </c>
      <c r="AB28" s="33"/>
      <c r="AC28" s="189"/>
      <c r="AD28" s="54"/>
      <c r="AE28" s="55"/>
      <c r="AF28" s="43"/>
      <c r="AG28" s="47"/>
      <c r="AH28" s="30"/>
      <c r="AI28" s="30"/>
      <c r="AJ28" s="30"/>
      <c r="AK28" s="30"/>
      <c r="AL28" s="13"/>
      <c r="AM28" s="13"/>
      <c r="AN28" s="13"/>
      <c r="AO28" s="13"/>
      <c r="AP28" s="13"/>
      <c r="AQ28" s="14"/>
      <c r="AR28" s="15"/>
    </row>
    <row r="29" spans="1:44" s="17" customFormat="1" ht="30.95" hidden="1" customHeight="1" x14ac:dyDescent="0.2">
      <c r="A29" s="37" t="s">
        <v>761</v>
      </c>
      <c r="B29" s="38" t="s">
        <v>750</v>
      </c>
      <c r="C29" s="45"/>
      <c r="D29" s="31"/>
      <c r="E29" s="31"/>
      <c r="F29" s="268" t="str">
        <f>IF(D29="","",VLOOKUP(D29,契約台帳!$A$3:$K$4986,6,FALSE)&amp;VLOOKUP(D29,契約台帳!$A$3:$K$4986,7,FALSE)&amp;VLOOKUP(D29,契約台帳!$A$3:$K$4986,8,FALSE)&amp;VLOOKUP(D29,契約台帳!$A$3:$K$4986,9,FALSE)&amp;VLOOKUP(D29,契約台帳!$A$3:$K$4986,11,FALSE))</f>
        <v/>
      </c>
      <c r="G29" s="269" t="str">
        <f>IF(D29="","",VLOOKUP(F29,製品マスタ!$G$5:$H$5002,2,FALSE))</f>
        <v/>
      </c>
      <c r="H29" s="269" t="str">
        <f>IF(D29="","",VLOOKUP(F29,製品マスタ!$G$5:$K$5002,5,FALSE))</f>
        <v/>
      </c>
      <c r="I29" s="270" t="str">
        <f>IF(D29="","",VLOOKUP(F29,製品マスタ!$G$5:$L$5002,6,FALSE))</f>
        <v/>
      </c>
      <c r="J29" s="32"/>
      <c r="K29" s="270" t="str">
        <f>IF(D29="","",VLOOKUP(D29,契約台帳!$A$3:$L$4986,12,FALSE))</f>
        <v/>
      </c>
      <c r="L29" s="270" t="str">
        <f>IF(D29="","",INDEX(製品マスタ!$Q$5:$Q$5002,MATCH(F29&amp;K29,製品マスタ!$AO$5:$AO$5002,0)))</f>
        <v/>
      </c>
      <c r="M29" s="39"/>
      <c r="N29" s="39"/>
      <c r="O29" s="47"/>
      <c r="P29" s="57"/>
      <c r="Q29" s="276" t="str">
        <f>IF(D29="","",IF(J29="リード付け",M29,VLOOKUP(D29,契約台帳!$A$3:$N$4986,14,FALSE)))</f>
        <v/>
      </c>
      <c r="R29" s="277" t="str">
        <f>IF(D29="","",IF(J29="リード付け",M29,VLOOKUP(D29,契約台帳!$A$3:$O$4986,15,FALSE)))</f>
        <v/>
      </c>
      <c r="S29" s="277" t="str">
        <f>IF(D29="","",IF(J29="リード付け",N29,VLOOKUP(D29,契約台帳!$A$3:$P$4986,16,FALSE)))</f>
        <v/>
      </c>
      <c r="T29" s="40"/>
      <c r="U29" s="278" t="str">
        <f ca="1">IF(D29="","",IF(OFFSET(D29,-2,0)=D29,"",VLOOKUP(D29,契約台帳!$A$3:$R$4986,18,FALSE)))</f>
        <v/>
      </c>
      <c r="V29" s="269" t="str">
        <f>IF(J29="巻返し",VLOOKUP(F29&amp;K29&amp;M29,製品マスタ!$M$5:$AD$5002,18,FALSE),IF(J29="リード付け","原反コア",IF(J29="スリット",VLOOKUP(F29&amp;K29&amp;Q29,製品マスタ!$N$5:$AD$5002,17,FALSE),"")))</f>
        <v/>
      </c>
      <c r="W29" s="269" t="str">
        <f>IF(J29="巻返し",VLOOKUP(F29&amp;K29&amp;M29,製品マスタ!$M$5:$AE$5002,19,FALSE),IF(J29="リード付け","-",IF(J29="スリット",VLOOKUP(F29&amp;K29&amp;Q29,製品マスタ!$N$5:$AE$5002,18,FALSE),"")))</f>
        <v/>
      </c>
      <c r="X29" s="275" t="str">
        <f>IF(D29="","",VLOOKUP(D29,契約台帳!$A$3:$Q$4986,17,FALSE))</f>
        <v/>
      </c>
      <c r="Y29" s="269" t="str">
        <f>IF(D29="","",VLOOKUP(D29,契約台帳!$A$3:$E$4986,5,FALSE))</f>
        <v/>
      </c>
      <c r="Z29" s="57"/>
      <c r="AA29" s="207" t="str">
        <f>IFERROR(VLOOKUP(F29&amp;K29&amp;M29,製品マスタ!$M$5:$AM$5002,27,FALSE),"")</f>
        <v/>
      </c>
      <c r="AB29" s="33"/>
      <c r="AC29" s="189"/>
      <c r="AD29" s="54"/>
      <c r="AE29" s="55"/>
      <c r="AF29" s="43"/>
      <c r="AG29" s="47"/>
      <c r="AH29" s="30"/>
      <c r="AI29" s="30"/>
      <c r="AJ29" s="30"/>
      <c r="AK29" s="30"/>
      <c r="AL29" s="13"/>
      <c r="AM29" s="13"/>
      <c r="AN29" s="13"/>
      <c r="AO29" s="13"/>
      <c r="AP29" s="13"/>
      <c r="AQ29" s="14"/>
      <c r="AR29" s="15"/>
    </row>
    <row r="30" spans="1:44" s="17" customFormat="1" ht="30.95" hidden="1" customHeight="1" x14ac:dyDescent="0.2">
      <c r="A30" s="37"/>
      <c r="B30" s="38"/>
      <c r="C30" s="45"/>
      <c r="D30" s="31"/>
      <c r="E30" s="31"/>
      <c r="F30" s="268" t="str">
        <f>IF(D30="","",VLOOKUP(D30,契約台帳!$A$3:$K$4986,6,FALSE)&amp;VLOOKUP(D30,契約台帳!$A$3:$K$4986,7,FALSE)&amp;VLOOKUP(D30,契約台帳!$A$3:$K$4986,8,FALSE)&amp;VLOOKUP(D30,契約台帳!$A$3:$K$4986,9,FALSE)&amp;VLOOKUP(D30,契約台帳!$A$3:$K$4986,11,FALSE))</f>
        <v/>
      </c>
      <c r="G30" s="269" t="str">
        <f>IF(D30="","",VLOOKUP(F30,製品マスタ!$G$5:$H$5002,2,FALSE))</f>
        <v/>
      </c>
      <c r="H30" s="269" t="str">
        <f>IF(D30="","",VLOOKUP(F30,製品マスタ!$G$5:$K$5002,5,FALSE))</f>
        <v/>
      </c>
      <c r="I30" s="270" t="str">
        <f>IF(D30="","",VLOOKUP(F30,製品マスタ!$G$5:$L$5002,6,FALSE))</f>
        <v/>
      </c>
      <c r="J30" s="32"/>
      <c r="K30" s="270" t="str">
        <f>IF(D30="","",VLOOKUP(D30,契約台帳!$A$3:$L$4986,12,FALSE))</f>
        <v/>
      </c>
      <c r="L30" s="270" t="str">
        <f>IF(D30="","",INDEX(製品マスタ!$Q$5:$Q$5002,MATCH(F30&amp;K30,製品マスタ!$AO$5:$AO$5002,0)))</f>
        <v/>
      </c>
      <c r="M30" s="39"/>
      <c r="N30" s="39"/>
      <c r="O30" s="47"/>
      <c r="P30" s="57"/>
      <c r="Q30" s="276" t="str">
        <f>IF(D30="","",IF(J30="リード付け",M30,VLOOKUP(D30,契約台帳!$A$3:$N$4986,14,FALSE)))</f>
        <v/>
      </c>
      <c r="R30" s="277" t="str">
        <f>IF(D30="","",IF(J30="リード付け",M30,VLOOKUP(D30,契約台帳!$A$3:$O$4986,15,FALSE)))</f>
        <v/>
      </c>
      <c r="S30" s="277" t="str">
        <f>IF(D30="","",IF(J30="リード付け",N30,VLOOKUP(D30,契約台帳!$A$3:$P$4986,16,FALSE)))</f>
        <v/>
      </c>
      <c r="T30" s="40"/>
      <c r="U30" s="278" t="str">
        <f ca="1">IF(D30="","",IF(OFFSET(D30,-2,0)=D30,"",VLOOKUP(D30,契約台帳!$A$3:$R$4986,18,FALSE)))</f>
        <v/>
      </c>
      <c r="V30" s="269" t="str">
        <f>IF(J30="巻返し",VLOOKUP(F30&amp;K30&amp;M30,製品マスタ!$M$5:$AD$5002,18,FALSE),IF(J30="リード付け","原反コア",IF(J30="スリット",VLOOKUP(F30&amp;K30&amp;Q30,製品マスタ!$N$5:$AD$5002,17,FALSE),"")))</f>
        <v/>
      </c>
      <c r="W30" s="269" t="str">
        <f>IF(J30="巻返し",VLOOKUP(F30&amp;K30&amp;M30,製品マスタ!$M$5:$AE$5002,19,FALSE),IF(J30="リード付け","-",IF(J30="スリット",VLOOKUP(F30&amp;K30&amp;Q30,製品マスタ!$N$5:$AE$5002,18,FALSE),"")))</f>
        <v/>
      </c>
      <c r="X30" s="275" t="str">
        <f>IF(D30="","",VLOOKUP(D30,契約台帳!$A$3:$Q$4986,17,FALSE))</f>
        <v/>
      </c>
      <c r="Y30" s="269" t="str">
        <f>IF(D30="","",VLOOKUP(D30,契約台帳!$A$3:$E$4986,5,FALSE))</f>
        <v/>
      </c>
      <c r="Z30" s="57"/>
      <c r="AA30" s="207" t="str">
        <f>IFERROR(VLOOKUP(F30&amp;K30&amp;M30,製品マスタ!$M$5:$AM$5002,27,FALSE),"")</f>
        <v/>
      </c>
      <c r="AB30" s="33"/>
      <c r="AC30" s="189"/>
      <c r="AD30" s="54"/>
      <c r="AE30" s="55"/>
      <c r="AF30" s="43"/>
      <c r="AG30" s="47"/>
      <c r="AH30" s="30"/>
      <c r="AI30" s="30"/>
      <c r="AJ30" s="30"/>
      <c r="AK30" s="30"/>
      <c r="AL30" s="13"/>
      <c r="AM30" s="13"/>
      <c r="AN30" s="13"/>
      <c r="AO30" s="13"/>
      <c r="AP30" s="13"/>
      <c r="AQ30" s="14"/>
      <c r="AR30" s="15"/>
    </row>
    <row r="31" spans="1:44" s="17" customFormat="1" ht="30.95" hidden="1" customHeight="1" x14ac:dyDescent="0.2">
      <c r="A31" s="37" t="s">
        <v>775</v>
      </c>
      <c r="B31" s="38" t="s">
        <v>778</v>
      </c>
      <c r="C31" s="45"/>
      <c r="D31" s="31"/>
      <c r="E31" s="31"/>
      <c r="F31" s="268" t="str">
        <f>IF(D31="","",VLOOKUP(D31,契約台帳!$A$3:$K$4986,6,FALSE)&amp;VLOOKUP(D31,契約台帳!$A$3:$K$4986,7,FALSE)&amp;VLOOKUP(D31,契約台帳!$A$3:$K$4986,8,FALSE)&amp;VLOOKUP(D31,契約台帳!$A$3:$K$4986,9,FALSE)&amp;VLOOKUP(D31,契約台帳!$A$3:$K$4986,11,FALSE))</f>
        <v/>
      </c>
      <c r="G31" s="269" t="str">
        <f>IF(D31="","",VLOOKUP(F31,製品マスタ!$G$5:$H$5002,2,FALSE))</f>
        <v/>
      </c>
      <c r="H31" s="269" t="str">
        <f>IF(D31="","",VLOOKUP(F31,製品マスタ!$G$5:$K$5002,5,FALSE))</f>
        <v/>
      </c>
      <c r="I31" s="270" t="str">
        <f>IF(D31="","",VLOOKUP(F31,製品マスタ!$G$5:$L$5002,6,FALSE))</f>
        <v/>
      </c>
      <c r="J31" s="32"/>
      <c r="K31" s="270" t="str">
        <f>IF(D31="","",VLOOKUP(D31,契約台帳!$A$3:$L$4986,12,FALSE))</f>
        <v/>
      </c>
      <c r="L31" s="270" t="str">
        <f>IF(D31="","",INDEX(製品マスタ!$Q$5:$Q$5002,MATCH(F31&amp;K31,製品マスタ!$AO$5:$AO$5002,0)))</f>
        <v/>
      </c>
      <c r="M31" s="39"/>
      <c r="N31" s="39"/>
      <c r="O31" s="47"/>
      <c r="P31" s="57"/>
      <c r="Q31" s="276" t="str">
        <f>IF(D31="","",IF(J31="リード付け",M31,VLOOKUP(D31,契約台帳!$A$3:$N$4986,14,FALSE)))</f>
        <v/>
      </c>
      <c r="R31" s="277" t="str">
        <f>IF(D31="","",IF(J31="リード付け",M31,VLOOKUP(D31,契約台帳!$A$3:$O$4986,15,FALSE)))</f>
        <v/>
      </c>
      <c r="S31" s="277" t="str">
        <f>IF(D31="","",IF(J31="リード付け",N31,VLOOKUP(D31,契約台帳!$A$3:$P$4986,16,FALSE)))</f>
        <v/>
      </c>
      <c r="T31" s="40"/>
      <c r="U31" s="278" t="str">
        <f ca="1">IF(D31="","",IF(OFFSET(D31,-2,0)=D31,"",VLOOKUP(D31,契約台帳!$A$3:$R$4986,18,FALSE)))</f>
        <v/>
      </c>
      <c r="V31" s="269" t="str">
        <f>IF(J31="巻返し",VLOOKUP(F31&amp;K31&amp;M31,製品マスタ!$M$5:$AD$5002,18,FALSE),IF(J31="リード付け","原反コア",IF(J31="スリット",VLOOKUP(F31&amp;K31&amp;Q31,製品マスタ!$N$5:$AD$5002,17,FALSE),"")))</f>
        <v/>
      </c>
      <c r="W31" s="269" t="str">
        <f>IF(J31="巻返し",VLOOKUP(F31&amp;K31&amp;M31,製品マスタ!$M$5:$AE$5002,19,FALSE),IF(J31="リード付け","-",IF(J31="スリット",VLOOKUP(F31&amp;K31&amp;Q31,製品マスタ!$N$5:$AE$5002,18,FALSE),"")))</f>
        <v/>
      </c>
      <c r="X31" s="275" t="str">
        <f>IF(D31="","",VLOOKUP(D31,契約台帳!$A$3:$Q$4986,17,FALSE))</f>
        <v/>
      </c>
      <c r="Y31" s="269" t="str">
        <f>IF(D31="","",VLOOKUP(D31,契約台帳!$A$3:$E$4986,5,FALSE))</f>
        <v/>
      </c>
      <c r="Z31" s="57"/>
      <c r="AA31" s="207" t="str">
        <f>IFERROR(VLOOKUP(F31&amp;K31&amp;M31,製品マスタ!$M$5:$AM$5002,27,FALSE),"")</f>
        <v/>
      </c>
      <c r="AB31" s="33"/>
      <c r="AC31" s="189"/>
      <c r="AD31" s="54"/>
      <c r="AE31" s="55"/>
      <c r="AF31" s="43"/>
      <c r="AG31" s="47"/>
      <c r="AH31" s="30"/>
      <c r="AI31" s="30"/>
      <c r="AJ31" s="30"/>
      <c r="AK31" s="30"/>
      <c r="AL31" s="13"/>
      <c r="AM31" s="13"/>
      <c r="AN31" s="13"/>
      <c r="AO31" s="13"/>
      <c r="AP31" s="13"/>
      <c r="AQ31" s="14"/>
      <c r="AR31" s="15"/>
    </row>
    <row r="32" spans="1:44" s="17" customFormat="1" ht="30.95" hidden="1" customHeight="1" x14ac:dyDescent="0.2">
      <c r="A32" s="37"/>
      <c r="B32" s="38"/>
      <c r="C32" s="45"/>
      <c r="D32" s="31"/>
      <c r="E32" s="31"/>
      <c r="F32" s="268" t="str">
        <f>IF(D32="","",VLOOKUP(D32,契約台帳!$A$3:$K$4986,6,FALSE)&amp;VLOOKUP(D32,契約台帳!$A$3:$K$4986,7,FALSE)&amp;VLOOKUP(D32,契約台帳!$A$3:$K$4986,8,FALSE)&amp;VLOOKUP(D32,契約台帳!$A$3:$K$4986,9,FALSE)&amp;VLOOKUP(D32,契約台帳!$A$3:$K$4986,11,FALSE))</f>
        <v/>
      </c>
      <c r="G32" s="269" t="str">
        <f>IF(D32="","",VLOOKUP(F32,製品マスタ!$G$5:$H$5002,2,FALSE))</f>
        <v/>
      </c>
      <c r="H32" s="269" t="str">
        <f>IF(D32="","",VLOOKUP(F32,製品マスタ!$G$5:$K$5002,5,FALSE))</f>
        <v/>
      </c>
      <c r="I32" s="270" t="str">
        <f>IF(D32="","",VLOOKUP(F32,製品マスタ!$G$5:$L$5002,6,FALSE))</f>
        <v/>
      </c>
      <c r="J32" s="32"/>
      <c r="K32" s="270" t="str">
        <f>IF(D32="","",VLOOKUP(D32,契約台帳!$A$3:$L$4986,12,FALSE))</f>
        <v/>
      </c>
      <c r="L32" s="270" t="str">
        <f>IF(D32="","",INDEX(製品マスタ!$Q$5:$Q$5002,MATCH(F32&amp;K32,製品マスタ!$AO$5:$AO$5002,0)))</f>
        <v/>
      </c>
      <c r="M32" s="39"/>
      <c r="N32" s="39"/>
      <c r="O32" s="47"/>
      <c r="P32" s="57"/>
      <c r="Q32" s="276" t="str">
        <f>IF(D32="","",IF(J32="リード付け",M32,VLOOKUP(D32,契約台帳!$A$3:$N$4986,14,FALSE)))</f>
        <v/>
      </c>
      <c r="R32" s="277" t="str">
        <f>IF(D32="","",IF(J32="リード付け",M32,VLOOKUP(D32,契約台帳!$A$3:$O$4986,15,FALSE)))</f>
        <v/>
      </c>
      <c r="S32" s="277" t="str">
        <f>IF(D32="","",IF(J32="リード付け",N32,VLOOKUP(D32,契約台帳!$A$3:$P$4986,16,FALSE)))</f>
        <v/>
      </c>
      <c r="T32" s="40"/>
      <c r="U32" s="278" t="str">
        <f ca="1">IF(D32="","",IF(OFFSET(D32,-2,0)=D32,"",VLOOKUP(D32,契約台帳!$A$3:$R$4986,18,FALSE)))</f>
        <v/>
      </c>
      <c r="V32" s="269" t="str">
        <f>IF(J32="巻返し",VLOOKUP(F32&amp;K32&amp;M32,製品マスタ!$M$5:$AD$5002,18,FALSE),IF(J32="リード付け","原反コア",IF(J32="スリット",VLOOKUP(F32&amp;K32&amp;Q32,製品マスタ!$N$5:$AD$5002,17,FALSE),"")))</f>
        <v/>
      </c>
      <c r="W32" s="269" t="str">
        <f>IF(J32="巻返し",VLOOKUP(F32&amp;K32&amp;M32,製品マスタ!$M$5:$AE$5002,19,FALSE),IF(J32="リード付け","-",IF(J32="スリット",VLOOKUP(F32&amp;K32&amp;Q32,製品マスタ!$N$5:$AE$5002,18,FALSE),"")))</f>
        <v/>
      </c>
      <c r="X32" s="275" t="str">
        <f>IF(D32="","",VLOOKUP(D32,契約台帳!$A$3:$Q$4986,17,FALSE))</f>
        <v/>
      </c>
      <c r="Y32" s="269" t="str">
        <f>IF(D32="","",VLOOKUP(D32,契約台帳!$A$3:$E$4986,5,FALSE))</f>
        <v/>
      </c>
      <c r="Z32" s="57"/>
      <c r="AA32" s="207" t="str">
        <f>IFERROR(VLOOKUP(F32&amp;K32&amp;M32,製品マスタ!$M$5:$AM$5002,27,FALSE),"")</f>
        <v/>
      </c>
      <c r="AB32" s="33"/>
      <c r="AC32" s="189"/>
      <c r="AD32" s="54"/>
      <c r="AE32" s="55"/>
      <c r="AF32" s="43"/>
      <c r="AG32" s="47"/>
      <c r="AH32" s="30"/>
      <c r="AI32" s="30"/>
      <c r="AJ32" s="30"/>
      <c r="AK32" s="30"/>
      <c r="AL32" s="13"/>
      <c r="AM32" s="13"/>
      <c r="AN32" s="13"/>
      <c r="AO32" s="13"/>
      <c r="AP32" s="13"/>
      <c r="AQ32" s="14"/>
      <c r="AR32" s="15"/>
    </row>
    <row r="33" spans="1:44" s="17" customFormat="1" ht="30.95" hidden="1" customHeight="1" x14ac:dyDescent="0.2">
      <c r="A33" s="37" t="s">
        <v>776</v>
      </c>
      <c r="B33" s="38" t="s">
        <v>779</v>
      </c>
      <c r="C33" s="45"/>
      <c r="D33" s="31"/>
      <c r="E33" s="31"/>
      <c r="F33" s="268" t="str">
        <f>IF(D33="","",VLOOKUP(D33,契約台帳!$A$3:$K$4986,6,FALSE)&amp;VLOOKUP(D33,契約台帳!$A$3:$K$4986,7,FALSE)&amp;VLOOKUP(D33,契約台帳!$A$3:$K$4986,8,FALSE)&amp;VLOOKUP(D33,契約台帳!$A$3:$K$4986,9,FALSE)&amp;VLOOKUP(D33,契約台帳!$A$3:$K$4986,11,FALSE))</f>
        <v/>
      </c>
      <c r="G33" s="269" t="str">
        <f>IF(D33="","",VLOOKUP(F33,製品マスタ!$G$5:$H$5002,2,FALSE))</f>
        <v/>
      </c>
      <c r="H33" s="269" t="str">
        <f>IF(D33="","",VLOOKUP(F33,製品マスタ!$G$5:$K$5002,5,FALSE))</f>
        <v/>
      </c>
      <c r="I33" s="270" t="str">
        <f>IF(D33="","",VLOOKUP(F33,製品マスタ!$G$5:$L$5002,6,FALSE))</f>
        <v/>
      </c>
      <c r="J33" s="32"/>
      <c r="K33" s="270" t="str">
        <f>IF(D33="","",VLOOKUP(D33,契約台帳!$A$3:$L$4986,12,FALSE))</f>
        <v/>
      </c>
      <c r="L33" s="270" t="str">
        <f>IF(D33="","",INDEX(製品マスタ!$Q$5:$Q$5002,MATCH(F33&amp;K33,製品マスタ!$AO$5:$AO$5002,0)))</f>
        <v/>
      </c>
      <c r="M33" s="39"/>
      <c r="N33" s="39"/>
      <c r="O33" s="47"/>
      <c r="P33" s="57"/>
      <c r="Q33" s="276" t="str">
        <f>IF(D33="","",IF(J33="リード付け",M33,VLOOKUP(D33,契約台帳!$A$3:$N$4986,14,FALSE)))</f>
        <v/>
      </c>
      <c r="R33" s="277" t="str">
        <f>IF(D33="","",IF(J33="リード付け",M33,VLOOKUP(D33,契約台帳!$A$3:$O$4986,15,FALSE)))</f>
        <v/>
      </c>
      <c r="S33" s="277" t="str">
        <f>IF(D33="","",IF(J33="リード付け",N33,VLOOKUP(D33,契約台帳!$A$3:$P$4986,16,FALSE)))</f>
        <v/>
      </c>
      <c r="T33" s="40"/>
      <c r="U33" s="278" t="str">
        <f ca="1">IF(D33="","",IF(OFFSET(D33,-2,0)=D33,"",VLOOKUP(D33,契約台帳!$A$3:$R$4986,18,FALSE)))</f>
        <v/>
      </c>
      <c r="V33" s="269" t="str">
        <f>IF(J33="巻返し",VLOOKUP(F33&amp;K33&amp;M33,製品マスタ!$M$5:$AD$5002,18,FALSE),IF(J33="リード付け","原反コア",IF(J33="スリット",VLOOKUP(F33&amp;K33&amp;Q33,製品マスタ!$N$5:$AD$5002,17,FALSE),"")))</f>
        <v/>
      </c>
      <c r="W33" s="269" t="str">
        <f>IF(J33="巻返し",VLOOKUP(F33&amp;K33&amp;M33,製品マスタ!$M$5:$AE$5002,19,FALSE),IF(J33="リード付け","-",IF(J33="スリット",VLOOKUP(F33&amp;K33&amp;Q33,製品マスタ!$N$5:$AE$5002,18,FALSE),"")))</f>
        <v/>
      </c>
      <c r="X33" s="275" t="str">
        <f>IF(D33="","",VLOOKUP(D33,契約台帳!$A$3:$Q$4986,17,FALSE))</f>
        <v/>
      </c>
      <c r="Y33" s="269" t="str">
        <f>IF(D33="","",VLOOKUP(D33,契約台帳!$A$3:$E$4986,5,FALSE))</f>
        <v/>
      </c>
      <c r="Z33" s="57"/>
      <c r="AA33" s="207" t="str">
        <f>IFERROR(VLOOKUP(F33&amp;K33&amp;M33,製品マスタ!$M$5:$AM$5002,27,FALSE),"")</f>
        <v/>
      </c>
      <c r="AB33" s="33"/>
      <c r="AC33" s="189"/>
      <c r="AD33" s="54"/>
      <c r="AE33" s="55"/>
      <c r="AF33" s="43"/>
      <c r="AG33" s="47"/>
      <c r="AH33" s="30"/>
      <c r="AI33" s="30"/>
      <c r="AJ33" s="30"/>
      <c r="AK33" s="30"/>
      <c r="AL33" s="13"/>
      <c r="AM33" s="13"/>
      <c r="AN33" s="13"/>
      <c r="AO33" s="13"/>
      <c r="AP33" s="13"/>
      <c r="AQ33" s="14"/>
      <c r="AR33" s="15"/>
    </row>
    <row r="34" spans="1:44" s="17" customFormat="1" ht="30.95" hidden="1" customHeight="1" x14ac:dyDescent="0.2">
      <c r="A34" s="37"/>
      <c r="B34" s="38"/>
      <c r="C34" s="45"/>
      <c r="D34" s="31"/>
      <c r="E34" s="31"/>
      <c r="F34" s="268" t="str">
        <f>IF(D34="","",VLOOKUP(D34,契約台帳!$A$3:$K$4986,6,FALSE)&amp;VLOOKUP(D34,契約台帳!$A$3:$K$4986,7,FALSE)&amp;VLOOKUP(D34,契約台帳!$A$3:$K$4986,8,FALSE)&amp;VLOOKUP(D34,契約台帳!$A$3:$K$4986,9,FALSE)&amp;VLOOKUP(D34,契約台帳!$A$3:$K$4986,11,FALSE))</f>
        <v/>
      </c>
      <c r="G34" s="269" t="str">
        <f>IF(D34="","",VLOOKUP(F34,製品マスタ!$G$5:$H$5002,2,FALSE))</f>
        <v/>
      </c>
      <c r="H34" s="269" t="str">
        <f>IF(D34="","",VLOOKUP(F34,製品マスタ!$G$5:$K$5002,5,FALSE))</f>
        <v/>
      </c>
      <c r="I34" s="270" t="str">
        <f>IF(D34="","",VLOOKUP(F34,製品マスタ!$G$5:$L$5002,6,FALSE))</f>
        <v/>
      </c>
      <c r="J34" s="32"/>
      <c r="K34" s="270" t="str">
        <f>IF(D34="","",VLOOKUP(D34,契約台帳!$A$3:$L$4986,12,FALSE))</f>
        <v/>
      </c>
      <c r="L34" s="270" t="str">
        <f>IF(D34="","",INDEX(製品マスタ!$Q$5:$Q$5002,MATCH(F34&amp;K34,製品マスタ!$AO$5:$AO$5002,0)))</f>
        <v/>
      </c>
      <c r="M34" s="39"/>
      <c r="N34" s="39"/>
      <c r="O34" s="47"/>
      <c r="P34" s="57"/>
      <c r="Q34" s="276" t="str">
        <f>IF(D34="","",IF(J34="リード付け",M34,VLOOKUP(D34,契約台帳!$A$3:$N$4986,14,FALSE)))</f>
        <v/>
      </c>
      <c r="R34" s="277" t="str">
        <f>IF(D34="","",IF(J34="リード付け",M34,VLOOKUP(D34,契約台帳!$A$3:$O$4986,15,FALSE)))</f>
        <v/>
      </c>
      <c r="S34" s="277" t="str">
        <f>IF(D34="","",IF(J34="リード付け",N34,VLOOKUP(D34,契約台帳!$A$3:$P$4986,16,FALSE)))</f>
        <v/>
      </c>
      <c r="T34" s="40"/>
      <c r="U34" s="278" t="str">
        <f ca="1">IF(D34="","",IF(OFFSET(D34,-2,0)=D34,"",VLOOKUP(D34,契約台帳!$A$3:$R$4986,18,FALSE)))</f>
        <v/>
      </c>
      <c r="V34" s="269" t="str">
        <f>IF(J34="巻返し",VLOOKUP(F34&amp;K34&amp;M34,製品マスタ!$M$5:$AD$5002,18,FALSE),IF(J34="リード付け","原反コア",IF(J34="スリット",VLOOKUP(F34&amp;K34&amp;Q34,製品マスタ!$N$5:$AD$5002,17,FALSE),"")))</f>
        <v/>
      </c>
      <c r="W34" s="269" t="str">
        <f>IF(J34="巻返し",VLOOKUP(F34&amp;K34&amp;M34,製品マスタ!$M$5:$AE$5002,19,FALSE),IF(J34="リード付け","-",IF(J34="スリット",VLOOKUP(F34&amp;K34&amp;Q34,製品マスタ!$N$5:$AE$5002,18,FALSE),"")))</f>
        <v/>
      </c>
      <c r="X34" s="275" t="str">
        <f>IF(D34="","",VLOOKUP(D34,契約台帳!$A$3:$Q$4986,17,FALSE))</f>
        <v/>
      </c>
      <c r="Y34" s="269" t="str">
        <f>IF(D34="","",VLOOKUP(D34,契約台帳!$A$3:$E$4986,5,FALSE))</f>
        <v/>
      </c>
      <c r="Z34" s="57"/>
      <c r="AA34" s="207" t="str">
        <f>IFERROR(VLOOKUP(F34&amp;K34&amp;M34,製品マスタ!$M$5:$AM$5002,27,FALSE),"")</f>
        <v/>
      </c>
      <c r="AB34" s="33"/>
      <c r="AC34" s="189"/>
      <c r="AD34" s="54"/>
      <c r="AE34" s="55"/>
      <c r="AF34" s="43"/>
      <c r="AG34" s="47"/>
      <c r="AH34" s="30"/>
      <c r="AI34" s="30"/>
      <c r="AJ34" s="30"/>
      <c r="AK34" s="30"/>
      <c r="AL34" s="13"/>
      <c r="AM34" s="13"/>
      <c r="AN34" s="13"/>
      <c r="AO34" s="13"/>
      <c r="AP34" s="13"/>
      <c r="AQ34" s="14"/>
      <c r="AR34" s="15"/>
    </row>
    <row r="35" spans="1:44" s="17" customFormat="1" ht="30.95" hidden="1" customHeight="1" x14ac:dyDescent="0.2">
      <c r="A35" s="37" t="s">
        <v>777</v>
      </c>
      <c r="B35" s="38" t="s">
        <v>780</v>
      </c>
      <c r="C35" s="45"/>
      <c r="D35" s="31"/>
      <c r="E35" s="31"/>
      <c r="F35" s="268" t="str">
        <f>IF(D35="","",VLOOKUP(D35,契約台帳!$A$3:$K$4986,6,FALSE)&amp;VLOOKUP(D35,契約台帳!$A$3:$K$4986,7,FALSE)&amp;VLOOKUP(D35,契約台帳!$A$3:$K$4986,8,FALSE)&amp;VLOOKUP(D35,契約台帳!$A$3:$K$4986,9,FALSE)&amp;VLOOKUP(D35,契約台帳!$A$3:$K$4986,11,FALSE))</f>
        <v/>
      </c>
      <c r="G35" s="269" t="str">
        <f>IF(D35="","",VLOOKUP(F35,製品マスタ!$G$5:$H$5002,2,FALSE))</f>
        <v/>
      </c>
      <c r="H35" s="269" t="str">
        <f>IF(D35="","",VLOOKUP(F35,製品マスタ!$G$5:$K$5002,5,FALSE))</f>
        <v/>
      </c>
      <c r="I35" s="270" t="str">
        <f>IF(D35="","",VLOOKUP(F35,製品マスタ!$G$5:$L$5002,6,FALSE))</f>
        <v/>
      </c>
      <c r="J35" s="32"/>
      <c r="K35" s="270" t="str">
        <f>IF(D35="","",VLOOKUP(D35,契約台帳!$A$3:$L$4986,12,FALSE))</f>
        <v/>
      </c>
      <c r="L35" s="270" t="str">
        <f>IF(D35="","",INDEX(製品マスタ!$Q$5:$Q$5002,MATCH(F35&amp;K35,製品マスタ!$AO$5:$AO$5002,0)))</f>
        <v/>
      </c>
      <c r="M35" s="39"/>
      <c r="N35" s="39"/>
      <c r="O35" s="47"/>
      <c r="P35" s="57"/>
      <c r="Q35" s="276" t="str">
        <f>IF(D35="","",IF(J35="リード付け",M35,VLOOKUP(D35,契約台帳!$A$3:$N$4986,14,FALSE)))</f>
        <v/>
      </c>
      <c r="R35" s="277" t="str">
        <f>IF(D35="","",IF(J35="リード付け",M35,VLOOKUP(D35,契約台帳!$A$3:$O$4986,15,FALSE)))</f>
        <v/>
      </c>
      <c r="S35" s="277" t="str">
        <f>IF(D35="","",IF(J35="リード付け",N35,VLOOKUP(D35,契約台帳!$A$3:$P$4986,16,FALSE)))</f>
        <v/>
      </c>
      <c r="T35" s="40"/>
      <c r="U35" s="278" t="str">
        <f ca="1">IF(D35="","",IF(OFFSET(D35,-2,0)=D35,"",VLOOKUP(D35,契約台帳!$A$3:$R$4986,18,FALSE)))</f>
        <v/>
      </c>
      <c r="V35" s="269" t="str">
        <f>IF(J35="巻返し",VLOOKUP(F35&amp;K35&amp;M35,製品マスタ!$M$5:$AD$5002,18,FALSE),IF(J35="リード付け","原反コア",IF(J35="スリット",VLOOKUP(F35&amp;K35&amp;Q35,製品マスタ!$N$5:$AD$5002,17,FALSE),"")))</f>
        <v/>
      </c>
      <c r="W35" s="269" t="str">
        <f>IF(J35="巻返し",VLOOKUP(F35&amp;K35&amp;M35,製品マスタ!$M$5:$AE$5002,19,FALSE),IF(J35="リード付け","-",IF(J35="スリット",VLOOKUP(F35&amp;K35&amp;Q35,製品マスタ!$N$5:$AE$5002,18,FALSE),"")))</f>
        <v/>
      </c>
      <c r="X35" s="275" t="str">
        <f>IF(D35="","",VLOOKUP(D35,契約台帳!$A$3:$Q$4986,17,FALSE))</f>
        <v/>
      </c>
      <c r="Y35" s="269" t="str">
        <f>IF(D35="","",VLOOKUP(D35,契約台帳!$A$3:$E$4986,5,FALSE))</f>
        <v/>
      </c>
      <c r="Z35" s="57"/>
      <c r="AA35" s="207" t="str">
        <f>IFERROR(VLOOKUP(F35&amp;K35&amp;M35,製品マスタ!$M$5:$AM$5002,27,FALSE),"")</f>
        <v/>
      </c>
      <c r="AB35" s="33"/>
      <c r="AC35" s="189"/>
      <c r="AD35" s="54"/>
      <c r="AE35" s="55"/>
      <c r="AF35" s="43"/>
      <c r="AG35" s="47"/>
      <c r="AH35" s="30"/>
      <c r="AI35" s="30"/>
      <c r="AJ35" s="30"/>
      <c r="AK35" s="30"/>
      <c r="AL35" s="13"/>
      <c r="AM35" s="13"/>
      <c r="AN35" s="13"/>
      <c r="AO35" s="13"/>
      <c r="AP35" s="13"/>
      <c r="AQ35" s="14"/>
      <c r="AR35" s="15"/>
    </row>
    <row r="36" spans="1:44" s="17" customFormat="1" ht="30.95" hidden="1" customHeight="1" x14ac:dyDescent="0.2">
      <c r="A36" s="37"/>
      <c r="B36" s="38"/>
      <c r="C36" s="45"/>
      <c r="D36" s="31"/>
      <c r="E36" s="31"/>
      <c r="F36" s="268" t="str">
        <f>IF(D36="","",VLOOKUP(D36,契約台帳!$A$3:$K$4986,6,FALSE)&amp;VLOOKUP(D36,契約台帳!$A$3:$K$4986,7,FALSE)&amp;VLOOKUP(D36,契約台帳!$A$3:$K$4986,8,FALSE)&amp;VLOOKUP(D36,契約台帳!$A$3:$K$4986,9,FALSE)&amp;VLOOKUP(D36,契約台帳!$A$3:$K$4986,11,FALSE))</f>
        <v/>
      </c>
      <c r="G36" s="269" t="str">
        <f>IF(D36="","",VLOOKUP(F36,製品マスタ!$G$5:$H$5002,2,FALSE))</f>
        <v/>
      </c>
      <c r="H36" s="269" t="str">
        <f>IF(D36="","",VLOOKUP(F36,製品マスタ!$G$5:$K$5002,5,FALSE))</f>
        <v/>
      </c>
      <c r="I36" s="270" t="str">
        <f>IF(D36="","",VLOOKUP(F36,製品マスタ!$G$5:$L$5002,6,FALSE))</f>
        <v/>
      </c>
      <c r="J36" s="32"/>
      <c r="K36" s="270" t="str">
        <f>IF(D36="","",VLOOKUP(D36,契約台帳!$A$3:$L$4986,12,FALSE))</f>
        <v/>
      </c>
      <c r="L36" s="270" t="str">
        <f>IF(D36="","",INDEX(製品マスタ!$Q$5:$Q$5002,MATCH(F36&amp;K36,製品マスタ!$AO$5:$AO$5002,0)))</f>
        <v/>
      </c>
      <c r="M36" s="39"/>
      <c r="N36" s="39"/>
      <c r="O36" s="47"/>
      <c r="P36" s="57"/>
      <c r="Q36" s="276" t="str">
        <f>IF(D36="","",IF(J36="リード付け",M36,VLOOKUP(D36,契約台帳!$A$3:$N$4986,14,FALSE)))</f>
        <v/>
      </c>
      <c r="R36" s="277" t="str">
        <f>IF(D36="","",IF(J36="リード付け",M36,VLOOKUP(D36,契約台帳!$A$3:$O$4986,15,FALSE)))</f>
        <v/>
      </c>
      <c r="S36" s="277" t="str">
        <f>IF(D36="","",IF(J36="リード付け",N36,VLOOKUP(D36,契約台帳!$A$3:$P$4986,16,FALSE)))</f>
        <v/>
      </c>
      <c r="T36" s="40"/>
      <c r="U36" s="278" t="str">
        <f ca="1">IF(D36="","",IF(OFFSET(D36,-2,0)=D36,"",VLOOKUP(D36,契約台帳!$A$3:$R$4986,18,FALSE)))</f>
        <v/>
      </c>
      <c r="V36" s="269" t="str">
        <f>IF(J36="巻返し",VLOOKUP(F36&amp;K36&amp;M36,製品マスタ!$M$5:$AD$5002,18,FALSE),IF(J36="リード付け","原反コア",IF(J36="スリット",VLOOKUP(F36&amp;K36&amp;Q36,製品マスタ!$N$5:$AD$5002,17,FALSE),"")))</f>
        <v/>
      </c>
      <c r="W36" s="269" t="str">
        <f>IF(J36="巻返し",VLOOKUP(F36&amp;K36&amp;M36,製品マスタ!$M$5:$AE$5002,19,FALSE),IF(J36="リード付け","-",IF(J36="スリット",VLOOKUP(F36&amp;K36&amp;Q36,製品マスタ!$N$5:$AE$5002,18,FALSE),"")))</f>
        <v/>
      </c>
      <c r="X36" s="275" t="str">
        <f>IF(D36="","",VLOOKUP(D36,契約台帳!$A$3:$Q$4986,17,FALSE))</f>
        <v/>
      </c>
      <c r="Y36" s="269" t="str">
        <f>IF(D36="","",VLOOKUP(D36,契約台帳!$A$3:$E$4986,5,FALSE))</f>
        <v/>
      </c>
      <c r="Z36" s="57"/>
      <c r="AA36" s="207" t="str">
        <f>IFERROR(VLOOKUP(F36&amp;K36&amp;M36,製品マスタ!$M$5:$AM$5002,27,FALSE),"")</f>
        <v/>
      </c>
      <c r="AB36" s="33"/>
      <c r="AC36" s="189"/>
      <c r="AD36" s="54"/>
      <c r="AE36" s="55"/>
      <c r="AF36" s="43"/>
      <c r="AG36" s="47"/>
      <c r="AH36" s="30"/>
      <c r="AI36" s="30"/>
      <c r="AJ36" s="30"/>
      <c r="AK36" s="30"/>
      <c r="AL36" s="13"/>
      <c r="AM36" s="13"/>
      <c r="AN36" s="13"/>
      <c r="AO36" s="13"/>
      <c r="AP36" s="13"/>
      <c r="AQ36" s="14"/>
      <c r="AR36" s="15"/>
    </row>
    <row r="37" spans="1:44" s="17" customFormat="1" ht="30.95" hidden="1" customHeight="1" x14ac:dyDescent="0.2">
      <c r="A37" s="37" t="s">
        <v>813</v>
      </c>
      <c r="B37" s="38"/>
      <c r="C37" s="45"/>
      <c r="D37" s="31">
        <v>3694097</v>
      </c>
      <c r="E37" s="31">
        <v>4151269</v>
      </c>
      <c r="F37" s="268" t="str">
        <f>IF(D37="","",VLOOKUP(D37,契約台帳!$A$3:$K$4986,6,FALSE)&amp;VLOOKUP(D37,契約台帳!$A$3:$K$4986,7,FALSE)&amp;VLOOKUP(D37,契約台帳!$A$3:$K$4986,8,FALSE)&amp;VLOOKUP(D37,契約台帳!$A$3:$K$4986,9,FALSE)&amp;VLOOKUP(D37,契約台帳!$A$3:$K$4986,11,FALSE))</f>
        <v>3SNMLBMSF</v>
      </c>
      <c r="G37" s="269" t="str">
        <f>IF(D37="","",VLOOKUP(F37,製品マスタ!$G$5:$H$5002,2,FALSE))</f>
        <v>S</v>
      </c>
      <c r="H37" s="269" t="str">
        <f>IF(D37="","",VLOOKUP(F37,製品マスタ!$G$5:$K$5002,5,FALSE))</f>
        <v>MSF</v>
      </c>
      <c r="I37" s="270" t="str">
        <f>IF(D37="","",VLOOKUP(F37,製品マスタ!$G$5:$L$5002,6,FALSE))</f>
        <v>メタルミー　Ｓ</v>
      </c>
      <c r="J37" s="32" t="s">
        <v>447</v>
      </c>
      <c r="K37" s="270">
        <f>IF(D37="","",VLOOKUP(D37,契約台帳!$A$3:$L$4986,12,FALSE))</f>
        <v>25</v>
      </c>
      <c r="L37" s="270" t="str">
        <f>IF(D37="","",INDEX(製品マスタ!$Q$5:$Q$5002,MATCH(F37&amp;K37,製品マスタ!$AO$5:$AO$5002,0)))</f>
        <v>T62M</v>
      </c>
      <c r="M37" s="39">
        <v>1240</v>
      </c>
      <c r="N37" s="39">
        <v>12200</v>
      </c>
      <c r="O37" s="47">
        <v>1</v>
      </c>
      <c r="P37" s="57">
        <v>44939</v>
      </c>
      <c r="Q37" s="276">
        <f>IF(D37="","",IF(J37="リード付け",M37,VLOOKUP(D37,契約台帳!$A$3:$N$4986,14,FALSE)))</f>
        <v>1240</v>
      </c>
      <c r="R37" s="277">
        <f>IF(D37="","",IF(J37="リード付け",M37,VLOOKUP(D37,契約台帳!$A$3:$O$4986,15,FALSE)))</f>
        <v>1240</v>
      </c>
      <c r="S37" s="277">
        <f>IF(D37="","",IF(J37="リード付け",N37,VLOOKUP(D37,契約台帳!$A$3:$P$4986,16,FALSE)))</f>
        <v>2000</v>
      </c>
      <c r="T37" s="40"/>
      <c r="U37" s="278">
        <f ca="1">IF(D37="","",IF(OFFSET(D37,-2,0)=D37,"",VLOOKUP(D37,契約台帳!$A$3:$R$4986,18,FALSE)))</f>
        <v>6</v>
      </c>
      <c r="V37" s="269" t="str">
        <f>IF(J37="巻返し",VLOOKUP(F37&amp;K37&amp;M37,製品マスタ!$M$5:$AD$5002,18,FALSE),IF(J37="リード付け","原反コア",IF(J37="スリット",VLOOKUP(F37&amp;K37&amp;Q37,製品マスタ!$N$5:$AD$5002,17,FALSE),"")))</f>
        <v>3ｲﾝﾁSｺｱ</v>
      </c>
      <c r="W37" s="269">
        <f>IF(J37="巻返し",VLOOKUP(F37&amp;K37&amp;M37,製品マスタ!$M$5:$AE$5002,19,FALSE),IF(J37="リード付け","-",IF(J37="スリット",VLOOKUP(F37&amp;K37&amp;Q37,製品マスタ!$N$5:$AE$5002,18,FALSE),"")))</f>
        <v>1245</v>
      </c>
      <c r="X37" s="275">
        <f>IF(D37="","",VLOOKUP(D37,契約台帳!$A$3:$Q$4986,17,FALSE))</f>
        <v>1</v>
      </c>
      <c r="Y37" s="269" t="str">
        <f>IF(D37="","",VLOOKUP(D37,契約台帳!$A$3:$E$4986,5,FALSE))</f>
        <v>日精㈱東京支店</v>
      </c>
      <c r="Z37" s="57">
        <v>44944</v>
      </c>
      <c r="AA37" s="207">
        <f>IFERROR(VLOOKUP(F37&amp;K37&amp;M37,製品マスタ!$M$5:$AM$5002,27,FALSE),"")</f>
        <v>0</v>
      </c>
      <c r="AB37" s="33"/>
      <c r="AC37" s="189"/>
      <c r="AD37" s="54" t="str">
        <f>IF(F37="","",+F37&amp;K37)</f>
        <v>3SNMLBMSF25</v>
      </c>
      <c r="AE37" s="55">
        <f>+M37*N37*O37/1000</f>
        <v>15128</v>
      </c>
      <c r="AF37" s="43">
        <f>IF(AD37="","",VLOOKUP(AD37,原価マスタ!$A$2:$AJ$1693,13,FALSE))</f>
        <v>97</v>
      </c>
      <c r="AG37" s="47">
        <f>IF(AF37="","",+AE37*AF37/100)</f>
        <v>14674.16</v>
      </c>
      <c r="AH37" s="30"/>
      <c r="AI37" s="30"/>
      <c r="AJ37" s="30"/>
      <c r="AK37" s="30"/>
      <c r="AL37" s="13"/>
      <c r="AM37" s="13"/>
      <c r="AN37" s="13"/>
      <c r="AO37" s="13"/>
      <c r="AP37" s="13"/>
      <c r="AQ37" s="14"/>
      <c r="AR37" s="15"/>
    </row>
    <row r="38" spans="1:44" s="17" customFormat="1" ht="30.95" hidden="1" customHeight="1" x14ac:dyDescent="0.2">
      <c r="A38" s="37"/>
      <c r="B38" s="38"/>
      <c r="C38" s="45"/>
      <c r="D38" s="31"/>
      <c r="E38" s="31"/>
      <c r="F38" s="268" t="str">
        <f>IF(D38="","",VLOOKUP(D38,契約台帳!$A$3:$K$4986,6,FALSE)&amp;VLOOKUP(D38,契約台帳!$A$3:$K$4986,7,FALSE)&amp;VLOOKUP(D38,契約台帳!$A$3:$K$4986,8,FALSE)&amp;VLOOKUP(D38,契約台帳!$A$3:$K$4986,9,FALSE)&amp;VLOOKUP(D38,契約台帳!$A$3:$K$4986,11,FALSE))</f>
        <v/>
      </c>
      <c r="G38" s="269" t="str">
        <f>IF(D38="","",VLOOKUP(F38,製品マスタ!$G$5:$H$5002,2,FALSE))</f>
        <v/>
      </c>
      <c r="H38" s="269" t="str">
        <f>IF(D38="","",VLOOKUP(F38,製品マスタ!$G$5:$K$5002,5,FALSE))</f>
        <v/>
      </c>
      <c r="I38" s="270" t="str">
        <f>IF(D38="","",VLOOKUP(F38,製品マスタ!$G$5:$L$5002,6,FALSE))</f>
        <v/>
      </c>
      <c r="J38" s="32"/>
      <c r="K38" s="270" t="str">
        <f>IF(D38="","",VLOOKUP(D38,契約台帳!$A$3:$L$4986,12,FALSE))</f>
        <v/>
      </c>
      <c r="L38" s="270" t="str">
        <f>IF(D38="","",INDEX(製品マスタ!$Q$5:$Q$5002,MATCH(F38&amp;K38,製品マスタ!$AO$5:$AO$5002,0)))</f>
        <v/>
      </c>
      <c r="M38" s="39"/>
      <c r="N38" s="39"/>
      <c r="O38" s="47"/>
      <c r="P38" s="57"/>
      <c r="Q38" s="276" t="str">
        <f>IF(D38="","",IF(J38="リード付け",M38,VLOOKUP(D38,契約台帳!$A$3:$N$4986,14,FALSE)))</f>
        <v/>
      </c>
      <c r="R38" s="277" t="str">
        <f>IF(D38="","",IF(J38="リード付け",M38,VLOOKUP(D38,契約台帳!$A$3:$O$4986,15,FALSE)))</f>
        <v/>
      </c>
      <c r="S38" s="277" t="str">
        <f>IF(D38="","",IF(J38="リード付け",N38,VLOOKUP(D38,契約台帳!$A$3:$P$4986,16,FALSE)))</f>
        <v/>
      </c>
      <c r="T38" s="40"/>
      <c r="U38" s="278" t="str">
        <f ca="1">IF(D38="","",IF(OFFSET(D38,-2,0)=D38,"",VLOOKUP(D38,契約台帳!$A$3:$R$4986,18,FALSE)))</f>
        <v/>
      </c>
      <c r="V38" s="269" t="str">
        <f>IF(J38="巻返し",VLOOKUP(F38&amp;K38&amp;M38,製品マスタ!$M$5:$AD$5002,18,FALSE),IF(J38="リード付け","原反コア",IF(J38="スリット",VLOOKUP(F38&amp;K38&amp;Q38,製品マスタ!$N$5:$AD$5002,17,FALSE),"")))</f>
        <v/>
      </c>
      <c r="W38" s="269" t="str">
        <f>IF(J38="巻返し",VLOOKUP(F38&amp;K38&amp;M38,製品マスタ!$M$5:$AE$5002,19,FALSE),IF(J38="リード付け","-",IF(J38="スリット",VLOOKUP(F38&amp;K38&amp;Q38,製品マスタ!$N$5:$AE$5002,18,FALSE),"")))</f>
        <v/>
      </c>
      <c r="X38" s="275" t="str">
        <f>IF(D38="","",VLOOKUP(D38,契約台帳!$A$3:$Q$4986,17,FALSE))</f>
        <v/>
      </c>
      <c r="Y38" s="269" t="str">
        <f>IF(D38="","",VLOOKUP(D38,契約台帳!$A$3:$E$4986,5,FALSE))</f>
        <v/>
      </c>
      <c r="Z38" s="57"/>
      <c r="AA38" s="207" t="str">
        <f>IFERROR(VLOOKUP(F38&amp;K38&amp;M38,製品マスタ!$M$5:$AM$5002,27,FALSE),"")</f>
        <v/>
      </c>
      <c r="AB38" s="33"/>
      <c r="AC38" s="189"/>
      <c r="AD38" s="54"/>
      <c r="AE38" s="55"/>
      <c r="AF38" s="43"/>
      <c r="AG38" s="47"/>
      <c r="AH38" s="30"/>
      <c r="AI38" s="30"/>
      <c r="AJ38" s="30"/>
      <c r="AK38" s="30"/>
      <c r="AL38" s="13"/>
      <c r="AM38" s="13"/>
      <c r="AN38" s="13"/>
      <c r="AO38" s="13"/>
      <c r="AP38" s="13"/>
      <c r="AQ38" s="14"/>
      <c r="AR38" s="15"/>
    </row>
    <row r="39" spans="1:44" s="17" customFormat="1" ht="30.95" hidden="1" customHeight="1" x14ac:dyDescent="0.2">
      <c r="A39" s="37" t="s">
        <v>782</v>
      </c>
      <c r="B39" s="38" t="s">
        <v>783</v>
      </c>
      <c r="C39" s="45"/>
      <c r="D39" s="31"/>
      <c r="E39" s="31"/>
      <c r="F39" s="268" t="str">
        <f>IF(D39="","",VLOOKUP(D39,契約台帳!$A$3:$K$4986,6,FALSE)&amp;VLOOKUP(D39,契約台帳!$A$3:$K$4986,7,FALSE)&amp;VLOOKUP(D39,契約台帳!$A$3:$K$4986,8,FALSE)&amp;VLOOKUP(D39,契約台帳!$A$3:$K$4986,9,FALSE)&amp;VLOOKUP(D39,契約台帳!$A$3:$K$4986,11,FALSE))</f>
        <v/>
      </c>
      <c r="G39" s="269" t="str">
        <f>IF(D39="","",VLOOKUP(F39,製品マスタ!$G$5:$H$5002,2,FALSE))</f>
        <v/>
      </c>
      <c r="H39" s="269" t="str">
        <f>IF(D39="","",VLOOKUP(F39,製品マスタ!$G$5:$K$5002,5,FALSE))</f>
        <v/>
      </c>
      <c r="I39" s="270" t="str">
        <f>IF(D39="","",VLOOKUP(F39,製品マスタ!$G$5:$L$5002,6,FALSE))</f>
        <v/>
      </c>
      <c r="J39" s="32"/>
      <c r="K39" s="270" t="str">
        <f>IF(D39="","",VLOOKUP(D39,契約台帳!$A$3:$L$4986,12,FALSE))</f>
        <v/>
      </c>
      <c r="L39" s="270" t="str">
        <f>IF(D39="","",INDEX(製品マスタ!$Q$5:$Q$5002,MATCH(F39&amp;K39,製品マスタ!$AO$5:$AO$5002,0)))</f>
        <v/>
      </c>
      <c r="M39" s="39"/>
      <c r="N39" s="39"/>
      <c r="O39" s="47"/>
      <c r="P39" s="57"/>
      <c r="Q39" s="276" t="str">
        <f>IF(D39="","",IF(J39="リード付け",M39,VLOOKUP(D39,契約台帳!$A$3:$N$4986,14,FALSE)))</f>
        <v/>
      </c>
      <c r="R39" s="277" t="str">
        <f>IF(D39="","",IF(J39="リード付け",M39,VLOOKUP(D39,契約台帳!$A$3:$O$4986,15,FALSE)))</f>
        <v/>
      </c>
      <c r="S39" s="277" t="str">
        <f>IF(D39="","",IF(J39="リード付け",N39,VLOOKUP(D39,契約台帳!$A$3:$P$4986,16,FALSE)))</f>
        <v/>
      </c>
      <c r="T39" s="40"/>
      <c r="U39" s="278" t="str">
        <f ca="1">IF(D39="","",IF(OFFSET(D39,-2,0)=D39,"",VLOOKUP(D39,契約台帳!$A$3:$R$4986,18,FALSE)))</f>
        <v/>
      </c>
      <c r="V39" s="269" t="str">
        <f>IF(J39="巻返し",VLOOKUP(F39&amp;K39&amp;M39,製品マスタ!$M$5:$AD$5002,18,FALSE),IF(J39="リード付け","原反コア",IF(J39="スリット",VLOOKUP(F39&amp;K39&amp;Q39,製品マスタ!$N$5:$AD$5002,17,FALSE),"")))</f>
        <v/>
      </c>
      <c r="W39" s="269" t="str">
        <f>IF(J39="巻返し",VLOOKUP(F39&amp;K39&amp;M39,製品マスタ!$M$5:$AE$5002,19,FALSE),IF(J39="リード付け","-",IF(J39="スリット",VLOOKUP(F39&amp;K39&amp;Q39,製品マスタ!$N$5:$AE$5002,18,FALSE),"")))</f>
        <v/>
      </c>
      <c r="X39" s="275" t="str">
        <f>IF(D39="","",VLOOKUP(D39,契約台帳!$A$3:$Q$4986,17,FALSE))</f>
        <v/>
      </c>
      <c r="Y39" s="269" t="str">
        <f>IF(D39="","",VLOOKUP(D39,契約台帳!$A$3:$E$4986,5,FALSE))</f>
        <v/>
      </c>
      <c r="Z39" s="57"/>
      <c r="AA39" s="207" t="str">
        <f>IFERROR(VLOOKUP(F39&amp;K39&amp;M39,製品マスタ!$M$5:$AM$5002,27,FALSE),"")</f>
        <v/>
      </c>
      <c r="AB39" s="33"/>
      <c r="AC39" s="189"/>
      <c r="AD39" s="54"/>
      <c r="AE39" s="55"/>
      <c r="AF39" s="43"/>
      <c r="AG39" s="47"/>
      <c r="AH39" s="30"/>
      <c r="AI39" s="30"/>
      <c r="AJ39" s="30"/>
      <c r="AK39" s="30"/>
      <c r="AL39" s="13"/>
      <c r="AM39" s="13"/>
      <c r="AN39" s="13"/>
      <c r="AO39" s="13"/>
      <c r="AP39" s="13"/>
      <c r="AQ39" s="14"/>
      <c r="AR39" s="15"/>
    </row>
    <row r="40" spans="1:44" s="17" customFormat="1" ht="30.95" hidden="1" customHeight="1" x14ac:dyDescent="0.2">
      <c r="A40" s="37"/>
      <c r="B40" s="38"/>
      <c r="C40" s="45"/>
      <c r="D40" s="31"/>
      <c r="E40" s="31"/>
      <c r="F40" s="268" t="str">
        <f>IF(D40="","",VLOOKUP(D40,契約台帳!$A$3:$K$4986,6,FALSE)&amp;VLOOKUP(D40,契約台帳!$A$3:$K$4986,7,FALSE)&amp;VLOOKUP(D40,契約台帳!$A$3:$K$4986,8,FALSE)&amp;VLOOKUP(D40,契約台帳!$A$3:$K$4986,9,FALSE)&amp;VLOOKUP(D40,契約台帳!$A$3:$K$4986,11,FALSE))</f>
        <v/>
      </c>
      <c r="G40" s="269" t="str">
        <f>IF(D40="","",VLOOKUP(F40,製品マスタ!$G$5:$H$5002,2,FALSE))</f>
        <v/>
      </c>
      <c r="H40" s="269" t="str">
        <f>IF(D40="","",VLOOKUP(F40,製品マスタ!$G$5:$K$5002,5,FALSE))</f>
        <v/>
      </c>
      <c r="I40" s="270" t="str">
        <f>IF(D40="","",VLOOKUP(F40,製品マスタ!$G$5:$L$5002,6,FALSE))</f>
        <v/>
      </c>
      <c r="J40" s="32"/>
      <c r="K40" s="270" t="str">
        <f>IF(D40="","",VLOOKUP(D40,契約台帳!$A$3:$L$4986,12,FALSE))</f>
        <v/>
      </c>
      <c r="L40" s="270" t="str">
        <f>IF(D40="","",INDEX(製品マスタ!$Q$5:$Q$5002,MATCH(F40&amp;K40,製品マスタ!$AO$5:$AO$5002,0)))</f>
        <v/>
      </c>
      <c r="M40" s="39"/>
      <c r="N40" s="39"/>
      <c r="O40" s="47"/>
      <c r="P40" s="57"/>
      <c r="Q40" s="276" t="str">
        <f>IF(D40="","",IF(J40="リード付け",M40,VLOOKUP(D40,契約台帳!$A$3:$N$4986,14,FALSE)))</f>
        <v/>
      </c>
      <c r="R40" s="277" t="str">
        <f>IF(D40="","",IF(J40="リード付け",M40,VLOOKUP(D40,契約台帳!$A$3:$O$4986,15,FALSE)))</f>
        <v/>
      </c>
      <c r="S40" s="277" t="str">
        <f>IF(D40="","",IF(J40="リード付け",N40,VLOOKUP(D40,契約台帳!$A$3:$P$4986,16,FALSE)))</f>
        <v/>
      </c>
      <c r="T40" s="40"/>
      <c r="U40" s="278" t="str">
        <f ca="1">IF(D40="","",IF(OFFSET(D40,-2,0)=D40,"",VLOOKUP(D40,契約台帳!$A$3:$R$4986,18,FALSE)))</f>
        <v/>
      </c>
      <c r="V40" s="269" t="str">
        <f>IF(J40="巻返し",VLOOKUP(F40&amp;K40&amp;M40,製品マスタ!$M$5:$AD$5002,18,FALSE),IF(J40="リード付け","原反コア",IF(J40="スリット",VLOOKUP(F40&amp;K40&amp;Q40,製品マスタ!$N$5:$AD$5002,17,FALSE),"")))</f>
        <v/>
      </c>
      <c r="W40" s="269" t="str">
        <f>IF(J40="巻返し",VLOOKUP(F40&amp;K40&amp;M40,製品マスタ!$M$5:$AE$5002,19,FALSE),IF(J40="リード付け","-",IF(J40="スリット",VLOOKUP(F40&amp;K40&amp;Q40,製品マスタ!$N$5:$AE$5002,18,FALSE),"")))</f>
        <v/>
      </c>
      <c r="X40" s="275" t="str">
        <f>IF(D40="","",VLOOKUP(D40,契約台帳!$A$3:$Q$4986,17,FALSE))</f>
        <v/>
      </c>
      <c r="Y40" s="269" t="str">
        <f>IF(D40="","",VLOOKUP(D40,契約台帳!$A$3:$E$4986,5,FALSE))</f>
        <v/>
      </c>
      <c r="Z40" s="57"/>
      <c r="AA40" s="207" t="str">
        <f>IFERROR(VLOOKUP(F40&amp;K40&amp;M40,製品マスタ!$M$5:$AM$5002,27,FALSE),"")</f>
        <v/>
      </c>
      <c r="AB40" s="33"/>
      <c r="AC40" s="189"/>
      <c r="AD40" s="54"/>
      <c r="AE40" s="55"/>
      <c r="AF40" s="43"/>
      <c r="AG40" s="47"/>
      <c r="AH40" s="30"/>
      <c r="AI40" s="30"/>
      <c r="AJ40" s="30"/>
      <c r="AK40" s="30"/>
      <c r="AL40" s="13"/>
      <c r="AM40" s="13"/>
      <c r="AN40" s="13"/>
      <c r="AO40" s="13"/>
      <c r="AP40" s="13"/>
      <c r="AQ40" s="14"/>
      <c r="AR40" s="15"/>
    </row>
    <row r="41" spans="1:44" s="17" customFormat="1" ht="30.95" hidden="1" customHeight="1" x14ac:dyDescent="0.2">
      <c r="A41" s="37" t="s">
        <v>781</v>
      </c>
      <c r="B41" s="38"/>
      <c r="C41" s="45"/>
      <c r="D41" s="31">
        <v>3694128</v>
      </c>
      <c r="E41" s="31">
        <v>4151270</v>
      </c>
      <c r="F41" s="268" t="str">
        <f>IF(D41="","",VLOOKUP(D41,契約台帳!$A$3:$K$4986,6,FALSE)&amp;VLOOKUP(D41,契約台帳!$A$3:$K$4986,7,FALSE)&amp;VLOOKUP(D41,契約台帳!$A$3:$K$4986,8,FALSE)&amp;VLOOKUP(D41,契約台帳!$A$3:$K$4986,9,FALSE)&amp;VLOOKUP(D41,契約台帳!$A$3:$K$4986,11,FALSE))</f>
        <v>3SNMLBMSF</v>
      </c>
      <c r="G41" s="269" t="str">
        <f>IF(D41="","",VLOOKUP(F41,製品マスタ!$G$5:$H$5002,2,FALSE))</f>
        <v>S</v>
      </c>
      <c r="H41" s="269" t="str">
        <f>IF(D41="","",VLOOKUP(F41,製品マスタ!$G$5:$K$5002,5,FALSE))</f>
        <v>MSF</v>
      </c>
      <c r="I41" s="270" t="str">
        <f>IF(D41="","",VLOOKUP(F41,製品マスタ!$G$5:$L$5002,6,FALSE))</f>
        <v>メタルミー　Ｓ</v>
      </c>
      <c r="J41" s="32" t="s">
        <v>463</v>
      </c>
      <c r="K41" s="270">
        <f>IF(D41="","",VLOOKUP(D41,契約台帳!$A$3:$L$4986,12,FALSE))</f>
        <v>25</v>
      </c>
      <c r="L41" s="270" t="str">
        <f>IF(D41="","",INDEX(製品マスタ!$Q$5:$Q$5002,MATCH(F41&amp;K41,製品マスタ!$AO$5:$AO$5002,0)))</f>
        <v>T62M</v>
      </c>
      <c r="M41" s="39">
        <v>1020</v>
      </c>
      <c r="N41" s="39">
        <v>12100</v>
      </c>
      <c r="O41" s="47">
        <v>1</v>
      </c>
      <c r="P41" s="57">
        <v>44939</v>
      </c>
      <c r="Q41" s="276">
        <f>IF(D41="","",IF(J41="リード付け",M41,VLOOKUP(D41,契約台帳!$A$3:$N$4986,14,FALSE)))</f>
        <v>510</v>
      </c>
      <c r="R41" s="277">
        <f>IF(D41="","",IF(J41="リード付け",M41,VLOOKUP(D41,契約台帳!$A$3:$O$4986,15,FALSE)))</f>
        <v>510</v>
      </c>
      <c r="S41" s="277">
        <f>IF(D41="","",IF(J41="リード付け",N41,VLOOKUP(D41,契約台帳!$A$3:$P$4986,16,FALSE)))</f>
        <v>2000</v>
      </c>
      <c r="T41" s="40">
        <v>12</v>
      </c>
      <c r="U41" s="278">
        <f ca="1">IF(D41="","",IF(OFFSET(D41,-2,0)=D41,"",VLOOKUP(D41,契約台帳!$A$3:$R$4986,18,FALSE)))</f>
        <v>12</v>
      </c>
      <c r="V41" s="269" t="str">
        <f>IF(J41="巻返し",VLOOKUP(F41&amp;K41&amp;M41,製品マスタ!$M$5:$AD$5002,18,FALSE),IF(J41="リード付け","原反コア",IF(J41="スリット",VLOOKUP(F41&amp;K41&amp;Q41,製品マスタ!$N$5:$AD$5002,17,FALSE),"")))</f>
        <v>3ｲﾝﾁSｺｱ</v>
      </c>
      <c r="W41" s="269">
        <f>IF(J41="巻返し",VLOOKUP(F41&amp;K41&amp;M41,製品マスタ!$M$5:$AE$5002,19,FALSE),IF(J41="リード付け","-",IF(J41="スリット",VLOOKUP(F41&amp;K41&amp;Q41,製品マスタ!$N$5:$AE$5002,18,FALSE),"")))</f>
        <v>515</v>
      </c>
      <c r="X41" s="275">
        <f>IF(D41="","",VLOOKUP(D41,契約台帳!$A$3:$Q$4986,17,FALSE))</f>
        <v>1</v>
      </c>
      <c r="Y41" s="269" t="str">
        <f>IF(D41="","",VLOOKUP(D41,契約台帳!$A$3:$E$4986,5,FALSE))</f>
        <v>日東シンコー㈱</v>
      </c>
      <c r="Z41" s="57">
        <v>44944</v>
      </c>
      <c r="AA41" s="207">
        <f>IFERROR(VLOOKUP(F41&amp;K41&amp;M41,製品マスタ!$M$5:$AM$5002,27,FALSE),"")</f>
        <v>0</v>
      </c>
      <c r="AB41" s="33"/>
      <c r="AC41" s="189"/>
      <c r="AD41" s="54" t="str">
        <f>IF(F41="","",+F41&amp;K41)</f>
        <v>3SNMLBMSF25</v>
      </c>
      <c r="AE41" s="55">
        <f>+M41*N41*O41/1000</f>
        <v>12342</v>
      </c>
      <c r="AF41" s="43">
        <f>IF(AD41="","",VLOOKUP(AD41,原価マスタ!$A$2:$AJ$1693,13,FALSE))</f>
        <v>97</v>
      </c>
      <c r="AG41" s="47">
        <f>IF(AF41="","",+AE41*AF41/100)</f>
        <v>11971.74</v>
      </c>
      <c r="AH41" s="30"/>
      <c r="AI41" s="30"/>
      <c r="AJ41" s="30"/>
      <c r="AK41" s="30"/>
      <c r="AL41" s="13"/>
      <c r="AM41" s="13"/>
      <c r="AN41" s="13"/>
      <c r="AO41" s="13"/>
      <c r="AP41" s="13"/>
      <c r="AQ41" s="14"/>
      <c r="AR41" s="15"/>
    </row>
    <row r="42" spans="1:44" s="17" customFormat="1" ht="30.95" hidden="1" customHeight="1" x14ac:dyDescent="0.2">
      <c r="A42" s="37"/>
      <c r="B42" s="38"/>
      <c r="C42" s="45"/>
      <c r="D42" s="31"/>
      <c r="E42" s="31"/>
      <c r="F42" s="268" t="str">
        <f>IF(D42="","",VLOOKUP(D42,契約台帳!$A$3:$K$4986,6,FALSE)&amp;VLOOKUP(D42,契約台帳!$A$3:$K$4986,7,FALSE)&amp;VLOOKUP(D42,契約台帳!$A$3:$K$4986,8,FALSE)&amp;VLOOKUP(D42,契約台帳!$A$3:$K$4986,9,FALSE)&amp;VLOOKUP(D42,契約台帳!$A$3:$K$4986,11,FALSE))</f>
        <v/>
      </c>
      <c r="G42" s="269" t="str">
        <f>IF(D42="","",VLOOKUP(F42,製品マスタ!$G$5:$H$5002,2,FALSE))</f>
        <v/>
      </c>
      <c r="H42" s="269" t="str">
        <f>IF(D42="","",VLOOKUP(F42,製品マスタ!$G$5:$K$5002,5,FALSE))</f>
        <v/>
      </c>
      <c r="I42" s="270" t="str">
        <f>IF(D42="","",VLOOKUP(F42,製品マスタ!$G$5:$L$5002,6,FALSE))</f>
        <v/>
      </c>
      <c r="J42" s="32"/>
      <c r="K42" s="270" t="str">
        <f>IF(D42="","",VLOOKUP(D42,契約台帳!$A$3:$L$4986,12,FALSE))</f>
        <v/>
      </c>
      <c r="L42" s="270" t="str">
        <f>IF(D42="","",INDEX(製品マスタ!$Q$5:$Q$5002,MATCH(F42&amp;K42,製品マスタ!$AO$5:$AO$5002,0)))</f>
        <v/>
      </c>
      <c r="M42" s="39"/>
      <c r="N42" s="39"/>
      <c r="O42" s="47"/>
      <c r="P42" s="57"/>
      <c r="Q42" s="276" t="str">
        <f>IF(D42="","",IF(J42="リード付け",M42,VLOOKUP(D42,契約台帳!$A$3:$N$4986,14,FALSE)))</f>
        <v/>
      </c>
      <c r="R42" s="277" t="str">
        <f>IF(D42="","",IF(J42="リード付け",M42,VLOOKUP(D42,契約台帳!$A$3:$O$4986,15,FALSE)))</f>
        <v/>
      </c>
      <c r="S42" s="277" t="str">
        <f>IF(D42="","",IF(J42="リード付け",N42,VLOOKUP(D42,契約台帳!$A$3:$P$4986,16,FALSE)))</f>
        <v/>
      </c>
      <c r="T42" s="40"/>
      <c r="U42" s="278" t="str">
        <f ca="1">IF(D42="","",IF(OFFSET(D42,-2,0)=D42,"",VLOOKUP(D42,契約台帳!$A$3:$R$4986,18,FALSE)))</f>
        <v/>
      </c>
      <c r="V42" s="269" t="str">
        <f>IF(J42="巻返し",VLOOKUP(F42&amp;K42&amp;M42,製品マスタ!$M$5:$AD$5002,18,FALSE),IF(J42="リード付け","原反コア",IF(J42="スリット",VLOOKUP(F42&amp;K42&amp;Q42,製品マスタ!$N$5:$AD$5002,17,FALSE),"")))</f>
        <v/>
      </c>
      <c r="W42" s="269" t="str">
        <f>IF(J42="巻返し",VLOOKUP(F42&amp;K42&amp;M42,製品マスタ!$M$5:$AE$5002,19,FALSE),IF(J42="リード付け","-",IF(J42="スリット",VLOOKUP(F42&amp;K42&amp;Q42,製品マスタ!$N$5:$AE$5002,18,FALSE),"")))</f>
        <v/>
      </c>
      <c r="X42" s="275" t="str">
        <f>IF(D42="","",VLOOKUP(D42,契約台帳!$A$3:$Q$4986,17,FALSE))</f>
        <v/>
      </c>
      <c r="Y42" s="269" t="str">
        <f>IF(D42="","",VLOOKUP(D42,契約台帳!$A$3:$E$4986,5,FALSE))</f>
        <v/>
      </c>
      <c r="Z42" s="57"/>
      <c r="AA42" s="207" t="str">
        <f>IFERROR(VLOOKUP(F42&amp;K42&amp;M42,製品マスタ!$M$5:$AM$5002,27,FALSE),"")</f>
        <v/>
      </c>
      <c r="AB42" s="33"/>
      <c r="AC42" s="189"/>
      <c r="AD42" s="54"/>
      <c r="AE42" s="55"/>
      <c r="AF42" s="43"/>
      <c r="AG42" s="47"/>
      <c r="AH42" s="30"/>
      <c r="AI42" s="30"/>
      <c r="AJ42" s="30"/>
      <c r="AK42" s="30"/>
      <c r="AL42" s="13"/>
      <c r="AM42" s="13"/>
      <c r="AN42" s="13"/>
      <c r="AO42" s="13"/>
      <c r="AP42" s="13"/>
      <c r="AQ42" s="14"/>
      <c r="AR42" s="15"/>
    </row>
    <row r="43" spans="1:44" s="17" customFormat="1" ht="30.95" hidden="1" customHeight="1" x14ac:dyDescent="0.2">
      <c r="A43" s="37"/>
      <c r="B43" s="38"/>
      <c r="C43" s="45"/>
      <c r="D43" s="31">
        <v>3694111</v>
      </c>
      <c r="E43" s="31">
        <v>4151259</v>
      </c>
      <c r="F43" s="268" t="str">
        <f>IF(D43="","",VLOOKUP(D43,契約台帳!$A$3:$K$4986,6,FALSE)&amp;VLOOKUP(D43,契約台帳!$A$3:$K$4986,7,FALSE)&amp;VLOOKUP(D43,契約台帳!$A$3:$K$4986,8,FALSE)&amp;VLOOKUP(D43,契約台帳!$A$3:$K$4986,9,FALSE)&amp;VLOOKUP(D43,契約台帳!$A$3:$K$4986,11,FALSE))</f>
        <v>3SNMLBMNGTBF</v>
      </c>
      <c r="G43" s="269" t="str">
        <f>IF(D43="","",VLOOKUP(F43,製品マスタ!$G$5:$H$5002,2,FALSE))</f>
        <v>S</v>
      </c>
      <c r="H43" s="269" t="str">
        <f>IF(D43="","",VLOOKUP(F43,製品マスタ!$G$5:$K$5002,5,FALSE))</f>
        <v>MNGTBF</v>
      </c>
      <c r="I43" s="270" t="str">
        <f>IF(D43="","",VLOOKUP(F43,製品マスタ!$G$5:$L$5002,6,FALSE))</f>
        <v>メタルミー　ネーマー　銀艶　Ｂ</v>
      </c>
      <c r="J43" s="32" t="s">
        <v>447</v>
      </c>
      <c r="K43" s="270">
        <f>IF(D43="","",VLOOKUP(D43,契約台帳!$A$3:$L$4986,12,FALSE))</f>
        <v>50</v>
      </c>
      <c r="L43" s="270" t="str">
        <f>IF(D43="","",INDEX(製品マスタ!$Q$5:$Q$5002,MATCH(F43&amp;K43,製品マスタ!$AO$5:$AO$5002,0)))</f>
        <v>T62</v>
      </c>
      <c r="M43" s="39">
        <v>1120</v>
      </c>
      <c r="N43" s="39">
        <v>10000</v>
      </c>
      <c r="O43" s="47">
        <v>2</v>
      </c>
      <c r="P43" s="57">
        <v>44939</v>
      </c>
      <c r="Q43" s="276">
        <f>IF(D43="","",IF(J43="リード付け",M43,VLOOKUP(D43,契約台帳!$A$3:$N$4986,14,FALSE)))</f>
        <v>1120</v>
      </c>
      <c r="R43" s="277">
        <f>IF(D43="","",IF(J43="リード付け",M43,VLOOKUP(D43,契約台帳!$A$3:$O$4986,15,FALSE)))</f>
        <v>1120</v>
      </c>
      <c r="S43" s="277">
        <f>IF(D43="","",IF(J43="リード付け",N43,VLOOKUP(D43,契約台帳!$A$3:$P$4986,16,FALSE)))</f>
        <v>5000</v>
      </c>
      <c r="T43" s="40">
        <v>4</v>
      </c>
      <c r="U43" s="278">
        <f ca="1">IF(D43="","",IF(OFFSET(D43,-2,0)=D43,"",VLOOKUP(D43,契約台帳!$A$3:$R$4986,18,FALSE)))</f>
        <v>12</v>
      </c>
      <c r="V43" s="269" t="str">
        <f>IF(J43="巻返し",VLOOKUP(F43&amp;K43&amp;M43,製品マスタ!$M$5:$AD$5002,18,FALSE),IF(J43="リード付け","原反コア",IF(J43="スリット",VLOOKUP(F43&amp;K43&amp;Q43,製品マスタ!$N$5:$AD$5002,17,FALSE),"")))</f>
        <v>6ｲﾝﾁSｺｱ</v>
      </c>
      <c r="W43" s="269">
        <f>IF(J43="巻返し",VLOOKUP(F43&amp;K43&amp;M43,製品マスタ!$M$5:$AE$5002,19,FALSE),IF(J43="リード付け","-",IF(J43="スリット",VLOOKUP(F43&amp;K43&amp;Q43,製品マスタ!$N$5:$AE$5002,18,FALSE),"")))</f>
        <v>1125</v>
      </c>
      <c r="X43" s="275">
        <f>IF(D43="","",VLOOKUP(D43,契約台帳!$A$3:$Q$4986,17,FALSE))</f>
        <v>2</v>
      </c>
      <c r="Y43" s="269" t="str">
        <f>IF(D43="","",VLOOKUP(D43,契約台帳!$A$3:$E$4986,5,FALSE))</f>
        <v>リンテック㈱</v>
      </c>
      <c r="Z43" s="57">
        <v>44944</v>
      </c>
      <c r="AA43" s="207" t="str">
        <f>IFERROR(VLOOKUP(F43&amp;K43&amp;M43,製品マスタ!$M$5:$AM$5002,27,FALSE),"")</f>
        <v>原反ケース再利用</v>
      </c>
      <c r="AB43" s="33"/>
      <c r="AC43" s="189"/>
      <c r="AD43" s="54" t="str">
        <f>IF(F43="","",+F43&amp;K43)</f>
        <v>3SNMLBMNGTBF50</v>
      </c>
      <c r="AE43" s="55">
        <f>+M43*N43*O43/1000</f>
        <v>22400</v>
      </c>
      <c r="AF43" s="43">
        <f>IF(AD43="","",VLOOKUP(AD43,原価マスタ!$A$2:$AJ$1693,13,FALSE))</f>
        <v>99</v>
      </c>
      <c r="AG43" s="47">
        <f>IF(AF43="","",+AE43*AF43/100)</f>
        <v>22176</v>
      </c>
      <c r="AH43" s="30"/>
      <c r="AI43" s="30"/>
      <c r="AJ43" s="30"/>
      <c r="AK43" s="30"/>
      <c r="AL43" s="13"/>
      <c r="AM43" s="13"/>
      <c r="AN43" s="13"/>
      <c r="AO43" s="13"/>
      <c r="AP43" s="13"/>
      <c r="AQ43" s="14"/>
      <c r="AR43" s="15"/>
    </row>
    <row r="44" spans="1:44" s="17" customFormat="1" ht="30.95" hidden="1" customHeight="1" x14ac:dyDescent="0.2">
      <c r="A44" s="37"/>
      <c r="B44" s="38"/>
      <c r="C44" s="45"/>
      <c r="D44" s="31"/>
      <c r="E44" s="31"/>
      <c r="F44" s="268" t="str">
        <f>IF(D44="","",VLOOKUP(D44,契約台帳!$A$3:$K$4986,6,FALSE)&amp;VLOOKUP(D44,契約台帳!$A$3:$K$4986,7,FALSE)&amp;VLOOKUP(D44,契約台帳!$A$3:$K$4986,8,FALSE)&amp;VLOOKUP(D44,契約台帳!$A$3:$K$4986,9,FALSE)&amp;VLOOKUP(D44,契約台帳!$A$3:$K$4986,11,FALSE))</f>
        <v/>
      </c>
      <c r="G44" s="269" t="str">
        <f>IF(D44="","",VLOOKUP(F44,製品マスタ!$G$5:$H$5002,2,FALSE))</f>
        <v/>
      </c>
      <c r="H44" s="269" t="str">
        <f>IF(D44="","",VLOOKUP(F44,製品マスタ!$G$5:$K$5002,5,FALSE))</f>
        <v/>
      </c>
      <c r="I44" s="270" t="str">
        <f>IF(D44="","",VLOOKUP(F44,製品マスタ!$G$5:$L$5002,6,FALSE))</f>
        <v/>
      </c>
      <c r="J44" s="32"/>
      <c r="K44" s="270" t="str">
        <f>IF(D44="","",VLOOKUP(D44,契約台帳!$A$3:$L$4986,12,FALSE))</f>
        <v/>
      </c>
      <c r="L44" s="270" t="str">
        <f>IF(D44="","",INDEX(製品マスタ!$Q$5:$Q$5002,MATCH(F44&amp;K44,製品マスタ!$AO$5:$AO$5002,0)))</f>
        <v/>
      </c>
      <c r="M44" s="39"/>
      <c r="N44" s="39"/>
      <c r="O44" s="47"/>
      <c r="P44" s="57"/>
      <c r="Q44" s="276" t="str">
        <f>IF(D44="","",IF(J44="リード付け",M44,VLOOKUP(D44,契約台帳!$A$3:$N$4986,14,FALSE)))</f>
        <v/>
      </c>
      <c r="R44" s="277" t="str">
        <f>IF(D44="","",IF(J44="リード付け",M44,VLOOKUP(D44,契約台帳!$A$3:$O$4986,15,FALSE)))</f>
        <v/>
      </c>
      <c r="S44" s="277" t="str">
        <f>IF(D44="","",IF(J44="リード付け",N44,VLOOKUP(D44,契約台帳!$A$3:$P$4986,16,FALSE)))</f>
        <v/>
      </c>
      <c r="T44" s="40"/>
      <c r="U44" s="278" t="str">
        <f ca="1">IF(D44="","",IF(OFFSET(D44,-2,0)=D44,"",VLOOKUP(D44,契約台帳!$A$3:$R$4986,18,FALSE)))</f>
        <v/>
      </c>
      <c r="V44" s="269" t="str">
        <f>IF(J44="巻返し",VLOOKUP(F44&amp;K44&amp;M44,製品マスタ!$M$5:$AD$5002,18,FALSE),IF(J44="リード付け","原反コア",IF(J44="スリット",VLOOKUP(F44&amp;K44&amp;Q44,製品マスタ!$N$5:$AD$5002,17,FALSE),"")))</f>
        <v/>
      </c>
      <c r="W44" s="269" t="str">
        <f>IF(J44="巻返し",VLOOKUP(F44&amp;K44&amp;M44,製品マスタ!$M$5:$AE$5002,19,FALSE),IF(J44="リード付け","-",IF(J44="スリット",VLOOKUP(F44&amp;K44&amp;Q44,製品マスタ!$N$5:$AE$5002,18,FALSE),"")))</f>
        <v/>
      </c>
      <c r="X44" s="275" t="str">
        <f>IF(D44="","",VLOOKUP(D44,契約台帳!$A$3:$Q$4986,17,FALSE))</f>
        <v/>
      </c>
      <c r="Y44" s="269" t="str">
        <f>IF(D44="","",VLOOKUP(D44,契約台帳!$A$3:$E$4986,5,FALSE))</f>
        <v/>
      </c>
      <c r="Z44" s="57"/>
      <c r="AA44" s="207" t="str">
        <f>IFERROR(VLOOKUP(F44&amp;K44&amp;M44,製品マスタ!$M$5:$AM$5002,27,FALSE),"")</f>
        <v/>
      </c>
      <c r="AB44" s="33"/>
      <c r="AC44" s="189"/>
      <c r="AD44" s="54"/>
      <c r="AE44" s="55"/>
      <c r="AF44" s="43"/>
      <c r="AG44" s="47"/>
      <c r="AH44" s="30"/>
      <c r="AI44" s="30"/>
      <c r="AJ44" s="30"/>
      <c r="AK44" s="30"/>
      <c r="AL44" s="13"/>
      <c r="AM44" s="13"/>
      <c r="AN44" s="13"/>
      <c r="AO44" s="13"/>
      <c r="AP44" s="13"/>
      <c r="AQ44" s="14"/>
      <c r="AR44" s="15"/>
    </row>
    <row r="45" spans="1:44" s="17" customFormat="1" ht="30.95" hidden="1" customHeight="1" x14ac:dyDescent="0.2">
      <c r="A45" s="37" t="s">
        <v>784</v>
      </c>
      <c r="B45" s="38" t="s">
        <v>785</v>
      </c>
      <c r="C45" s="45"/>
      <c r="D45" s="31"/>
      <c r="E45" s="31"/>
      <c r="F45" s="268" t="str">
        <f>IF(D45="","",VLOOKUP(D45,契約台帳!$A$3:$K$4986,6,FALSE)&amp;VLOOKUP(D45,契約台帳!$A$3:$K$4986,7,FALSE)&amp;VLOOKUP(D45,契約台帳!$A$3:$K$4986,8,FALSE)&amp;VLOOKUP(D45,契約台帳!$A$3:$K$4986,9,FALSE)&amp;VLOOKUP(D45,契約台帳!$A$3:$K$4986,11,FALSE))</f>
        <v/>
      </c>
      <c r="G45" s="269" t="str">
        <f>IF(D45="","",VLOOKUP(F45,製品マスタ!$G$5:$H$5002,2,FALSE))</f>
        <v/>
      </c>
      <c r="H45" s="269" t="str">
        <f>IF(D45="","",VLOOKUP(F45,製品マスタ!$G$5:$K$5002,5,FALSE))</f>
        <v/>
      </c>
      <c r="I45" s="270" t="str">
        <f>IF(D45="","",VLOOKUP(F45,製品マスタ!$G$5:$L$5002,6,FALSE))</f>
        <v/>
      </c>
      <c r="J45" s="32" t="s">
        <v>448</v>
      </c>
      <c r="K45" s="270" t="str">
        <f>IF(D45="","",VLOOKUP(D45,契約台帳!$A$3:$L$4986,12,FALSE))</f>
        <v/>
      </c>
      <c r="L45" s="270" t="str">
        <f>IF(D45="","",INDEX(製品マスタ!$Q$5:$Q$5002,MATCH(F45&amp;K45,製品マスタ!$AO$5:$AO$5002,0)))</f>
        <v/>
      </c>
      <c r="M45" s="39"/>
      <c r="N45" s="39"/>
      <c r="O45" s="47"/>
      <c r="P45" s="57"/>
      <c r="Q45" s="276" t="str">
        <f>IF(D45="","",IF(J45="リード付け",M45,VLOOKUP(D45,契約台帳!$A$3:$N$4986,14,FALSE)))</f>
        <v/>
      </c>
      <c r="R45" s="277" t="str">
        <f>IF(D45="","",IF(J45="リード付け",M45,VLOOKUP(D45,契約台帳!$A$3:$O$4986,15,FALSE)))</f>
        <v/>
      </c>
      <c r="S45" s="277" t="str">
        <f>IF(D45="","",IF(J45="リード付け",N45,VLOOKUP(D45,契約台帳!$A$3:$P$4986,16,FALSE)))</f>
        <v/>
      </c>
      <c r="T45" s="40"/>
      <c r="U45" s="278" t="str">
        <f ca="1">IF(D45="","",IF(OFFSET(D45,-2,0)=D45,"",VLOOKUP(D45,契約台帳!$A$3:$R$4986,18,FALSE)))</f>
        <v/>
      </c>
      <c r="V45" s="269" t="str">
        <f>IF(J45="巻返し",VLOOKUP(F45&amp;K45&amp;M45,製品マスタ!$M$5:$AD$5002,18,FALSE),IF(J45="リード付け","原反コア",IF(J45="スリット",VLOOKUP(F45&amp;K45&amp;Q45,製品マスタ!$N$5:$AD$5002,17,FALSE),"")))</f>
        <v/>
      </c>
      <c r="W45" s="269" t="str">
        <f>IF(J45="巻返し",VLOOKUP(F45&amp;K45&amp;M45,製品マスタ!$M$5:$AE$5002,19,FALSE),IF(J45="リード付け","-",IF(J45="スリット",VLOOKUP(F45&amp;K45&amp;Q45,製品マスタ!$N$5:$AE$5002,18,FALSE),"")))</f>
        <v/>
      </c>
      <c r="X45" s="275" t="str">
        <f>IF(D45="","",VLOOKUP(D45,契約台帳!$A$3:$Q$4986,17,FALSE))</f>
        <v/>
      </c>
      <c r="Y45" s="269" t="str">
        <f>IF(D45="","",VLOOKUP(D45,契約台帳!$A$3:$E$4986,5,FALSE))</f>
        <v/>
      </c>
      <c r="Z45" s="57"/>
      <c r="AA45" s="207" t="str">
        <f>IFERROR(VLOOKUP(F45&amp;K45&amp;M45,製品マスタ!$M$5:$AM$5002,27,FALSE),"")</f>
        <v/>
      </c>
      <c r="AB45" s="33"/>
      <c r="AC45" s="189"/>
      <c r="AD45" s="54"/>
      <c r="AE45" s="55"/>
      <c r="AF45" s="43"/>
      <c r="AG45" s="47"/>
      <c r="AH45" s="30"/>
      <c r="AI45" s="30"/>
      <c r="AJ45" s="30"/>
      <c r="AK45" s="30"/>
      <c r="AL45" s="13"/>
      <c r="AM45" s="13"/>
      <c r="AN45" s="13"/>
      <c r="AO45" s="13"/>
      <c r="AP45" s="13"/>
      <c r="AQ45" s="14"/>
      <c r="AR45" s="15"/>
    </row>
    <row r="46" spans="1:44" s="17" customFormat="1" ht="30.95" hidden="1" customHeight="1" x14ac:dyDescent="0.2">
      <c r="A46" s="37"/>
      <c r="B46" s="38"/>
      <c r="C46" s="45"/>
      <c r="D46" s="31"/>
      <c r="E46" s="31"/>
      <c r="F46" s="268" t="str">
        <f>IF(D46="","",VLOOKUP(D46,契約台帳!$A$3:$K$4986,6,FALSE)&amp;VLOOKUP(D46,契約台帳!$A$3:$K$4986,7,FALSE)&amp;VLOOKUP(D46,契約台帳!$A$3:$K$4986,8,FALSE)&amp;VLOOKUP(D46,契約台帳!$A$3:$K$4986,9,FALSE)&amp;VLOOKUP(D46,契約台帳!$A$3:$K$4986,11,FALSE))</f>
        <v/>
      </c>
      <c r="G46" s="269" t="str">
        <f>IF(D46="","",VLOOKUP(F46,製品マスタ!$G$5:$H$5002,2,FALSE))</f>
        <v/>
      </c>
      <c r="H46" s="269" t="str">
        <f>IF(D46="","",VLOOKUP(F46,製品マスタ!$G$5:$K$5002,5,FALSE))</f>
        <v/>
      </c>
      <c r="I46" s="270" t="str">
        <f>IF(D46="","",VLOOKUP(F46,製品マスタ!$G$5:$L$5002,6,FALSE))</f>
        <v/>
      </c>
      <c r="J46" s="32"/>
      <c r="K46" s="270" t="str">
        <f>IF(D46="","",VLOOKUP(D46,契約台帳!$A$3:$L$4986,12,FALSE))</f>
        <v/>
      </c>
      <c r="L46" s="270" t="str">
        <f>IF(D46="","",INDEX(製品マスタ!$Q$5:$Q$5002,MATCH(F46&amp;K46,製品マスタ!$AO$5:$AO$5002,0)))</f>
        <v/>
      </c>
      <c r="M46" s="39"/>
      <c r="N46" s="39"/>
      <c r="O46" s="47"/>
      <c r="P46" s="57"/>
      <c r="Q46" s="276" t="str">
        <f>IF(D46="","",IF(J46="リード付け",M46,VLOOKUP(D46,契約台帳!$A$3:$N$4986,14,FALSE)))</f>
        <v/>
      </c>
      <c r="R46" s="277" t="str">
        <f>IF(D46="","",IF(J46="リード付け",M46,VLOOKUP(D46,契約台帳!$A$3:$O$4986,15,FALSE)))</f>
        <v/>
      </c>
      <c r="S46" s="277" t="str">
        <f>IF(D46="","",IF(J46="リード付け",N46,VLOOKUP(D46,契約台帳!$A$3:$P$4986,16,FALSE)))</f>
        <v/>
      </c>
      <c r="T46" s="40"/>
      <c r="U46" s="278" t="str">
        <f ca="1">IF(D46="","",IF(OFFSET(D46,-2,0)=D46,"",VLOOKUP(D46,契約台帳!$A$3:$R$4986,18,FALSE)))</f>
        <v/>
      </c>
      <c r="V46" s="269" t="str">
        <f>IF(J46="巻返し",VLOOKUP(F46&amp;K46&amp;M46,製品マスタ!$M$5:$AD$5002,18,FALSE),IF(J46="リード付け","原反コア",IF(J46="スリット",VLOOKUP(F46&amp;K46&amp;Q46,製品マスタ!$N$5:$AD$5002,17,FALSE),"")))</f>
        <v/>
      </c>
      <c r="W46" s="269" t="str">
        <f>IF(J46="巻返し",VLOOKUP(F46&amp;K46&amp;M46,製品マスタ!$M$5:$AE$5002,19,FALSE),IF(J46="リード付け","-",IF(J46="スリット",VLOOKUP(F46&amp;K46&amp;Q46,製品マスタ!$N$5:$AE$5002,18,FALSE),"")))</f>
        <v/>
      </c>
      <c r="X46" s="275" t="str">
        <f>IF(D46="","",VLOOKUP(D46,契約台帳!$A$3:$Q$4986,17,FALSE))</f>
        <v/>
      </c>
      <c r="Y46" s="269" t="str">
        <f>IF(D46="","",VLOOKUP(D46,契約台帳!$A$3:$E$4986,5,FALSE))</f>
        <v/>
      </c>
      <c r="Z46" s="57"/>
      <c r="AA46" s="207" t="str">
        <f>IFERROR(VLOOKUP(F46&amp;K46&amp;M46,製品マスタ!$M$5:$AM$5002,27,FALSE),"")</f>
        <v/>
      </c>
      <c r="AB46" s="33"/>
      <c r="AC46" s="189"/>
      <c r="AD46" s="54"/>
      <c r="AE46" s="55"/>
      <c r="AF46" s="43"/>
      <c r="AG46" s="47"/>
      <c r="AH46" s="30"/>
      <c r="AI46" s="30"/>
      <c r="AJ46" s="30"/>
      <c r="AK46" s="30"/>
      <c r="AL46" s="13"/>
      <c r="AM46" s="13"/>
      <c r="AN46" s="13"/>
      <c r="AO46" s="13"/>
      <c r="AP46" s="13"/>
      <c r="AQ46" s="14"/>
      <c r="AR46" s="15"/>
    </row>
    <row r="47" spans="1:44" s="17" customFormat="1" ht="30.95" hidden="1" customHeight="1" x14ac:dyDescent="0.2">
      <c r="A47" s="37" t="s">
        <v>786</v>
      </c>
      <c r="B47" s="38" t="s">
        <v>787</v>
      </c>
      <c r="C47" s="45"/>
      <c r="D47" s="31">
        <v>3694111</v>
      </c>
      <c r="E47" s="31">
        <v>4151259</v>
      </c>
      <c r="F47" s="268" t="str">
        <f>IF(D47="","",VLOOKUP(D47,契約台帳!$A$3:$K$4986,6,FALSE)&amp;VLOOKUP(D47,契約台帳!$A$3:$K$4986,7,FALSE)&amp;VLOOKUP(D47,契約台帳!$A$3:$K$4986,8,FALSE)&amp;VLOOKUP(D47,契約台帳!$A$3:$K$4986,9,FALSE)&amp;VLOOKUP(D47,契約台帳!$A$3:$K$4986,11,FALSE))</f>
        <v>3SNMLBMNGTBF</v>
      </c>
      <c r="G47" s="269" t="str">
        <f>IF(D47="","",VLOOKUP(F47,製品マスタ!$G$5:$H$5002,2,FALSE))</f>
        <v>S</v>
      </c>
      <c r="H47" s="269" t="str">
        <f>IF(D47="","",VLOOKUP(F47,製品マスタ!$G$5:$K$5002,5,FALSE))</f>
        <v>MNGTBF</v>
      </c>
      <c r="I47" s="270" t="str">
        <f>IF(D47="","",VLOOKUP(F47,製品マスタ!$G$5:$L$5002,6,FALSE))</f>
        <v>メタルミー　ネーマー　銀艶　Ｂ</v>
      </c>
      <c r="J47" s="32" t="s">
        <v>447</v>
      </c>
      <c r="K47" s="270">
        <f>IF(D47="","",VLOOKUP(D47,契約台帳!$A$3:$L$4986,12,FALSE))</f>
        <v>50</v>
      </c>
      <c r="L47" s="270" t="str">
        <f>IF(D47="","",INDEX(製品マスタ!$Q$5:$Q$5002,MATCH(F47&amp;K47,製品マスタ!$AO$5:$AO$5002,0)))</f>
        <v>T62</v>
      </c>
      <c r="M47" s="39">
        <v>1120</v>
      </c>
      <c r="N47" s="39">
        <v>10000</v>
      </c>
      <c r="O47" s="47">
        <v>4</v>
      </c>
      <c r="P47" s="57">
        <v>44939</v>
      </c>
      <c r="Q47" s="276">
        <f>IF(D47="","",IF(J47="リード付け",M47,VLOOKUP(D47,契約台帳!$A$3:$N$4986,14,FALSE)))</f>
        <v>1120</v>
      </c>
      <c r="R47" s="277">
        <f>IF(D47="","",IF(J47="リード付け",M47,VLOOKUP(D47,契約台帳!$A$3:$O$4986,15,FALSE)))</f>
        <v>1120</v>
      </c>
      <c r="S47" s="277">
        <f>IF(D47="","",IF(J47="リード付け",N47,VLOOKUP(D47,契約台帳!$A$3:$P$4986,16,FALSE)))</f>
        <v>5000</v>
      </c>
      <c r="T47" s="40">
        <v>8</v>
      </c>
      <c r="U47" s="278">
        <f ca="1">IF(D47="","",IF(OFFSET(D47,-2,0)=D47,"",VLOOKUP(D47,契約台帳!$A$3:$R$4986,18,FALSE)))</f>
        <v>12</v>
      </c>
      <c r="V47" s="269" t="str">
        <f>IF(J47="巻返し",VLOOKUP(F47&amp;K47&amp;M47,製品マスタ!$M$5:$AD$5002,18,FALSE),IF(J47="リード付け","原反コア",IF(J47="スリット",VLOOKUP(F47&amp;K47&amp;Q47,製品マスタ!$N$5:$AD$5002,17,FALSE),"")))</f>
        <v>6ｲﾝﾁSｺｱ</v>
      </c>
      <c r="W47" s="269">
        <f>IF(J47="巻返し",VLOOKUP(F47&amp;K47&amp;M47,製品マスタ!$M$5:$AE$5002,19,FALSE),IF(J47="リード付け","-",IF(J47="スリット",VLOOKUP(F47&amp;K47&amp;Q47,製品マスタ!$N$5:$AE$5002,18,FALSE),"")))</f>
        <v>1125</v>
      </c>
      <c r="X47" s="275">
        <f>IF(D47="","",VLOOKUP(D47,契約台帳!$A$3:$Q$4986,17,FALSE))</f>
        <v>2</v>
      </c>
      <c r="Y47" s="269" t="str">
        <f>IF(D47="","",VLOOKUP(D47,契約台帳!$A$3:$E$4986,5,FALSE))</f>
        <v>リンテック㈱</v>
      </c>
      <c r="Z47" s="57">
        <v>44945</v>
      </c>
      <c r="AA47" s="207" t="str">
        <f>IFERROR(VLOOKUP(F47&amp;K47&amp;M47,製品マスタ!$M$5:$AM$5002,27,FALSE),"")</f>
        <v>原反ケース再利用</v>
      </c>
      <c r="AB47" s="33"/>
      <c r="AC47" s="189"/>
      <c r="AD47" s="54" t="str">
        <f>IF(F47="","",+F47&amp;K47)</f>
        <v>3SNMLBMNGTBF50</v>
      </c>
      <c r="AE47" s="55">
        <f>+M47*N47*O47/1000</f>
        <v>44800</v>
      </c>
      <c r="AF47" s="43">
        <f>IF(AD47="","",VLOOKUP(AD47,原価マスタ!$A$2:$AJ$1693,13,FALSE))</f>
        <v>99</v>
      </c>
      <c r="AG47" s="47">
        <f>IF(AF47="","",+AE47*AF47/100)</f>
        <v>44352</v>
      </c>
      <c r="AH47" s="30"/>
      <c r="AI47" s="30"/>
      <c r="AJ47" s="30"/>
      <c r="AK47" s="30"/>
      <c r="AL47" s="13"/>
      <c r="AM47" s="13"/>
      <c r="AN47" s="13"/>
      <c r="AO47" s="13"/>
      <c r="AP47" s="13"/>
      <c r="AQ47" s="14"/>
      <c r="AR47" s="15"/>
    </row>
    <row r="48" spans="1:44" s="17" customFormat="1" ht="30.95" hidden="1" customHeight="1" x14ac:dyDescent="0.2">
      <c r="A48" s="37"/>
      <c r="B48" s="38"/>
      <c r="C48" s="45"/>
      <c r="D48" s="31"/>
      <c r="E48" s="31"/>
      <c r="F48" s="268" t="str">
        <f>IF(D48="","",VLOOKUP(D48,契約台帳!$A$3:$K$4986,6,FALSE)&amp;VLOOKUP(D48,契約台帳!$A$3:$K$4986,7,FALSE)&amp;VLOOKUP(D48,契約台帳!$A$3:$K$4986,8,FALSE)&amp;VLOOKUP(D48,契約台帳!$A$3:$K$4986,9,FALSE)&amp;VLOOKUP(D48,契約台帳!$A$3:$K$4986,11,FALSE))</f>
        <v/>
      </c>
      <c r="G48" s="269" t="str">
        <f>IF(D48="","",VLOOKUP(F48,製品マスタ!$G$5:$H$5002,2,FALSE))</f>
        <v/>
      </c>
      <c r="H48" s="269" t="str">
        <f>IF(D48="","",VLOOKUP(F48,製品マスタ!$G$5:$K$5002,5,FALSE))</f>
        <v/>
      </c>
      <c r="I48" s="270" t="str">
        <f>IF(D48="","",VLOOKUP(F48,製品マスタ!$G$5:$L$5002,6,FALSE))</f>
        <v/>
      </c>
      <c r="J48" s="32"/>
      <c r="K48" s="270" t="str">
        <f>IF(D48="","",VLOOKUP(D48,契約台帳!$A$3:$L$4986,12,FALSE))</f>
        <v/>
      </c>
      <c r="L48" s="270" t="str">
        <f>IF(D48="","",INDEX(製品マスタ!$Q$5:$Q$5002,MATCH(F48&amp;K48,製品マスタ!$AO$5:$AO$5002,0)))</f>
        <v/>
      </c>
      <c r="M48" s="39"/>
      <c r="N48" s="39"/>
      <c r="O48" s="47"/>
      <c r="P48" s="57"/>
      <c r="Q48" s="276" t="str">
        <f>IF(D48="","",IF(J48="リード付け",M48,VLOOKUP(D48,契約台帳!$A$3:$N$4986,14,FALSE)))</f>
        <v/>
      </c>
      <c r="R48" s="277" t="str">
        <f>IF(D48="","",IF(J48="リード付け",M48,VLOOKUP(D48,契約台帳!$A$3:$O$4986,15,FALSE)))</f>
        <v/>
      </c>
      <c r="S48" s="277" t="str">
        <f>IF(D48="","",IF(J48="リード付け",N48,VLOOKUP(D48,契約台帳!$A$3:$P$4986,16,FALSE)))</f>
        <v/>
      </c>
      <c r="T48" s="40"/>
      <c r="U48" s="278" t="str">
        <f ca="1">IF(D48="","",IF(OFFSET(D48,-2,0)=D48,"",VLOOKUP(D48,契約台帳!$A$3:$R$4986,18,FALSE)))</f>
        <v/>
      </c>
      <c r="V48" s="269" t="str">
        <f>IF(J48="巻返し",VLOOKUP(F48&amp;K48&amp;M48,製品マスタ!$M$5:$AD$5002,18,FALSE),IF(J48="リード付け","原反コア",IF(J48="スリット",VLOOKUP(F48&amp;K48&amp;Q48,製品マスタ!$N$5:$AD$5002,17,FALSE),"")))</f>
        <v/>
      </c>
      <c r="W48" s="269" t="str">
        <f>IF(J48="巻返し",VLOOKUP(F48&amp;K48&amp;M48,製品マスタ!$M$5:$AE$5002,19,FALSE),IF(J48="リード付け","-",IF(J48="スリット",VLOOKUP(F48&amp;K48&amp;Q48,製品マスタ!$N$5:$AE$5002,18,FALSE),"")))</f>
        <v/>
      </c>
      <c r="X48" s="275" t="str">
        <f>IF(D48="","",VLOOKUP(D48,契約台帳!$A$3:$Q$4986,17,FALSE))</f>
        <v/>
      </c>
      <c r="Y48" s="269" t="str">
        <f>IF(D48="","",VLOOKUP(D48,契約台帳!$A$3:$E$4986,5,FALSE))</f>
        <v/>
      </c>
      <c r="Z48" s="57"/>
      <c r="AA48" s="207" t="str">
        <f>IFERROR(VLOOKUP(F48&amp;K48&amp;M48,製品マスタ!$M$5:$AM$5002,27,FALSE),"")</f>
        <v/>
      </c>
      <c r="AB48" s="33"/>
      <c r="AC48" s="189"/>
      <c r="AD48" s="54"/>
      <c r="AE48" s="55"/>
      <c r="AF48" s="43"/>
      <c r="AG48" s="47"/>
      <c r="AH48" s="30"/>
      <c r="AI48" s="30"/>
      <c r="AJ48" s="30"/>
      <c r="AK48" s="30"/>
      <c r="AL48" s="13"/>
      <c r="AM48" s="13"/>
      <c r="AN48" s="13"/>
      <c r="AO48" s="13"/>
      <c r="AP48" s="13"/>
      <c r="AQ48" s="14"/>
      <c r="AR48" s="15"/>
    </row>
    <row r="49" spans="1:44" s="17" customFormat="1" ht="30.95" hidden="1" customHeight="1" x14ac:dyDescent="0.2">
      <c r="A49" s="37"/>
      <c r="B49" s="38"/>
      <c r="C49" s="45"/>
      <c r="D49" s="31">
        <v>3694120</v>
      </c>
      <c r="E49" s="31">
        <v>4151273</v>
      </c>
      <c r="F49" s="268" t="str">
        <f>IF(D49="","",VLOOKUP(D49,契約台帳!$A$3:$K$4986,6,FALSE)&amp;VLOOKUP(D49,契約台帳!$A$3:$K$4986,7,FALSE)&amp;VLOOKUP(D49,契約台帳!$A$3:$K$4986,8,FALSE)&amp;VLOOKUP(D49,契約台帳!$A$3:$K$4986,9,FALSE)&amp;VLOOKUP(D49,契約台帳!$A$3:$K$4986,11,FALSE))</f>
        <v>3SNMLBMNQR66F</v>
      </c>
      <c r="G49" s="269" t="str">
        <f>IF(D49="","",VLOOKUP(F49,製品マスタ!$G$5:$H$5002,2,FALSE))</f>
        <v>S</v>
      </c>
      <c r="H49" s="269" t="str">
        <f>IF(D49="","",VLOOKUP(F49,製品マスタ!$G$5:$K$5002,5,FALSE))</f>
        <v>MNQR66F</v>
      </c>
      <c r="I49" s="270" t="str">
        <f>IF(D49="","",VLOOKUP(F49,製品マスタ!$G$5:$L$5002,6,FALSE))</f>
        <v>ＱＲ６６蒸着品</v>
      </c>
      <c r="J49" s="32" t="s">
        <v>447</v>
      </c>
      <c r="K49" s="270">
        <f>IF(D49="","",VLOOKUP(D49,契約台帳!$A$3:$L$4986,12,FALSE))</f>
        <v>25</v>
      </c>
      <c r="L49" s="270" t="str">
        <f>IF(D49="","",INDEX(製品マスタ!$Q$5:$Q$5002,MATCH(F49&amp;K49,製品マスタ!$AO$5:$AO$5002,0)))</f>
        <v>E315</v>
      </c>
      <c r="M49" s="39">
        <v>1100</v>
      </c>
      <c r="N49" s="39">
        <v>24000</v>
      </c>
      <c r="O49" s="47">
        <v>1</v>
      </c>
      <c r="P49" s="57">
        <v>44940</v>
      </c>
      <c r="Q49" s="276">
        <f>IF(D49="","",IF(J49="リード付け",M49,VLOOKUP(D49,契約台帳!$A$3:$N$4986,14,FALSE)))</f>
        <v>1100</v>
      </c>
      <c r="R49" s="277">
        <f>IF(D49="","",IF(J49="リード付け",M49,VLOOKUP(D49,契約台帳!$A$3:$O$4986,15,FALSE)))</f>
        <v>1100</v>
      </c>
      <c r="S49" s="277">
        <f>IF(D49="","",IF(J49="リード付け",N49,VLOOKUP(D49,契約台帳!$A$3:$P$4986,16,FALSE)))</f>
        <v>6000</v>
      </c>
      <c r="T49" s="40">
        <v>4</v>
      </c>
      <c r="U49" s="278">
        <f ca="1">IF(D49="","",IF(OFFSET(D49,-2,0)=D49,"",VLOOKUP(D49,契約台帳!$A$3:$R$4986,18,FALSE)))</f>
        <v>20</v>
      </c>
      <c r="V49" s="269" t="str">
        <f>IF(J49="巻返し",VLOOKUP(F49&amp;K49&amp;M49,製品マスタ!$M$5:$AD$5002,18,FALSE),IF(J49="リード付け","原反コア",IF(J49="スリット",VLOOKUP(F49&amp;K49&amp;Q49,製品マスタ!$N$5:$AD$5002,17,FALSE),"")))</f>
        <v>6ｲﾝﾁMｺｱ</v>
      </c>
      <c r="W49" s="269">
        <f>IF(J49="巻返し",VLOOKUP(F49&amp;K49&amp;M49,製品マスタ!$M$5:$AE$5002,19,FALSE),IF(J49="リード付け","-",IF(J49="スリット",VLOOKUP(F49&amp;K49&amp;Q49,製品マスタ!$N$5:$AE$5002,18,FALSE),"")))</f>
        <v>1110</v>
      </c>
      <c r="X49" s="275">
        <f>IF(D49="","",VLOOKUP(D49,契約台帳!$A$3:$Q$4986,17,FALSE))</f>
        <v>2</v>
      </c>
      <c r="Y49" s="269" t="str">
        <f>IF(D49="","",VLOOKUP(D49,契約台帳!$A$3:$E$4986,5,FALSE))</f>
        <v>リンテック㈱</v>
      </c>
      <c r="Z49" s="57">
        <v>44945</v>
      </c>
      <c r="AA49" s="207" t="str">
        <f>IFERROR(VLOOKUP(F49&amp;K49&amp;M49,製品マスタ!$M$5:$AM$5002,27,FALSE),"")</f>
        <v>原反ケース再利用</v>
      </c>
      <c r="AB49" s="33"/>
      <c r="AC49" s="189"/>
      <c r="AD49" s="54" t="str">
        <f>IF(F49="","",+F49&amp;K49)</f>
        <v>3SNMLBMNQR66F25</v>
      </c>
      <c r="AE49" s="55">
        <f>+M49*N49*O49/1000</f>
        <v>26400</v>
      </c>
      <c r="AF49" s="43">
        <f>IF(AD49="","",VLOOKUP(AD49,原価マスタ!$A$2:$AJ$1693,13,FALSE))</f>
        <v>98</v>
      </c>
      <c r="AG49" s="47">
        <f>IF(AF49="","",+AE49*AF49/100)</f>
        <v>25872</v>
      </c>
      <c r="AH49" s="30"/>
      <c r="AI49" s="30"/>
      <c r="AJ49" s="30"/>
      <c r="AK49" s="30"/>
      <c r="AL49" s="13"/>
      <c r="AM49" s="13"/>
      <c r="AN49" s="13"/>
      <c r="AO49" s="13"/>
      <c r="AP49" s="13"/>
      <c r="AQ49" s="14"/>
      <c r="AR49" s="15"/>
    </row>
    <row r="50" spans="1:44" s="17" customFormat="1" ht="30.95" hidden="1" customHeight="1" x14ac:dyDescent="0.2">
      <c r="A50" s="37"/>
      <c r="B50" s="38"/>
      <c r="C50" s="45"/>
      <c r="D50" s="31"/>
      <c r="E50" s="31"/>
      <c r="F50" s="268" t="str">
        <f>IF(D50="","",VLOOKUP(D50,契約台帳!$A$3:$K$4986,6,FALSE)&amp;VLOOKUP(D50,契約台帳!$A$3:$K$4986,7,FALSE)&amp;VLOOKUP(D50,契約台帳!$A$3:$K$4986,8,FALSE)&amp;VLOOKUP(D50,契約台帳!$A$3:$K$4986,9,FALSE)&amp;VLOOKUP(D50,契約台帳!$A$3:$K$4986,11,FALSE))</f>
        <v/>
      </c>
      <c r="G50" s="269" t="str">
        <f>IF(D50="","",VLOOKUP(F50,製品マスタ!$G$5:$H$5002,2,FALSE))</f>
        <v/>
      </c>
      <c r="H50" s="269" t="str">
        <f>IF(D50="","",VLOOKUP(F50,製品マスタ!$G$5:$K$5002,5,FALSE))</f>
        <v/>
      </c>
      <c r="I50" s="270" t="str">
        <f>IF(D50="","",VLOOKUP(F50,製品マスタ!$G$5:$L$5002,6,FALSE))</f>
        <v/>
      </c>
      <c r="J50" s="32"/>
      <c r="K50" s="270" t="str">
        <f>IF(D50="","",VLOOKUP(D50,契約台帳!$A$3:$L$4986,12,FALSE))</f>
        <v/>
      </c>
      <c r="L50" s="270" t="str">
        <f>IF(D50="","",INDEX(製品マスタ!$Q$5:$Q$5002,MATCH(F50&amp;K50,製品マスタ!$AO$5:$AO$5002,0)))</f>
        <v/>
      </c>
      <c r="M50" s="39"/>
      <c r="N50" s="39"/>
      <c r="O50" s="47"/>
      <c r="P50" s="57"/>
      <c r="Q50" s="276" t="str">
        <f>IF(D50="","",IF(J50="リード付け",M50,VLOOKUP(D50,契約台帳!$A$3:$N$4986,14,FALSE)))</f>
        <v/>
      </c>
      <c r="R50" s="277" t="str">
        <f>IF(D50="","",IF(J50="リード付け",M50,VLOOKUP(D50,契約台帳!$A$3:$O$4986,15,FALSE)))</f>
        <v/>
      </c>
      <c r="S50" s="277" t="str">
        <f>IF(D50="","",IF(J50="リード付け",N50,VLOOKUP(D50,契約台帳!$A$3:$P$4986,16,FALSE)))</f>
        <v/>
      </c>
      <c r="T50" s="40"/>
      <c r="U50" s="278" t="str">
        <f ca="1">IF(D50="","",IF(OFFSET(D50,-2,0)=D50,"",VLOOKUP(D50,契約台帳!$A$3:$R$4986,18,FALSE)))</f>
        <v/>
      </c>
      <c r="V50" s="269" t="str">
        <f>IF(J50="巻返し",VLOOKUP(F50&amp;K50&amp;M50,製品マスタ!$M$5:$AD$5002,18,FALSE),IF(J50="リード付け","原反コア",IF(J50="スリット",VLOOKUP(F50&amp;K50&amp;Q50,製品マスタ!$N$5:$AD$5002,17,FALSE),"")))</f>
        <v/>
      </c>
      <c r="W50" s="269" t="str">
        <f>IF(J50="巻返し",VLOOKUP(F50&amp;K50&amp;M50,製品マスタ!$M$5:$AE$5002,19,FALSE),IF(J50="リード付け","-",IF(J50="スリット",VLOOKUP(F50&amp;K50&amp;Q50,製品マスタ!$N$5:$AE$5002,18,FALSE),"")))</f>
        <v/>
      </c>
      <c r="X50" s="275" t="str">
        <f>IF(D50="","",VLOOKUP(D50,契約台帳!$A$3:$Q$4986,17,FALSE))</f>
        <v/>
      </c>
      <c r="Y50" s="269" t="str">
        <f>IF(D50="","",VLOOKUP(D50,契約台帳!$A$3:$E$4986,5,FALSE))</f>
        <v/>
      </c>
      <c r="Z50" s="57"/>
      <c r="AA50" s="207" t="str">
        <f>IFERROR(VLOOKUP(F50&amp;K50&amp;M50,製品マスタ!$M$5:$AM$5002,27,FALSE),"")</f>
        <v/>
      </c>
      <c r="AB50" s="33"/>
      <c r="AC50" s="189"/>
      <c r="AD50" s="54"/>
      <c r="AE50" s="55"/>
      <c r="AF50" s="43"/>
      <c r="AG50" s="47"/>
      <c r="AH50" s="30"/>
      <c r="AI50" s="30"/>
      <c r="AJ50" s="30"/>
      <c r="AK50" s="30"/>
      <c r="AL50" s="13"/>
      <c r="AM50" s="13"/>
      <c r="AN50" s="13"/>
      <c r="AO50" s="13"/>
      <c r="AP50" s="13"/>
      <c r="AQ50" s="14"/>
      <c r="AR50" s="15"/>
    </row>
    <row r="51" spans="1:44" s="17" customFormat="1" ht="30.95" hidden="1" customHeight="1" x14ac:dyDescent="0.2">
      <c r="A51" s="37" t="s">
        <v>788</v>
      </c>
      <c r="B51" s="38" t="s">
        <v>789</v>
      </c>
      <c r="C51" s="45"/>
      <c r="D51" s="31">
        <v>3694120</v>
      </c>
      <c r="E51" s="31">
        <v>4151273</v>
      </c>
      <c r="F51" s="268" t="str">
        <f>IF(D51="","",VLOOKUP(D51,契約台帳!$A$3:$K$4986,6,FALSE)&amp;VLOOKUP(D51,契約台帳!$A$3:$K$4986,7,FALSE)&amp;VLOOKUP(D51,契約台帳!$A$3:$K$4986,8,FALSE)&amp;VLOOKUP(D51,契約台帳!$A$3:$K$4986,9,FALSE)&amp;VLOOKUP(D51,契約台帳!$A$3:$K$4986,11,FALSE))</f>
        <v>3SNMLBMNQR66F</v>
      </c>
      <c r="G51" s="269" t="str">
        <f>IF(D51="","",VLOOKUP(F51,製品マスタ!$G$5:$H$5002,2,FALSE))</f>
        <v>S</v>
      </c>
      <c r="H51" s="269" t="str">
        <f>IF(D51="","",VLOOKUP(F51,製品マスタ!$G$5:$K$5002,5,FALSE))</f>
        <v>MNQR66F</v>
      </c>
      <c r="I51" s="270" t="str">
        <f>IF(D51="","",VLOOKUP(F51,製品マスタ!$G$5:$L$5002,6,FALSE))</f>
        <v>ＱＲ６６蒸着品</v>
      </c>
      <c r="J51" s="32" t="s">
        <v>447</v>
      </c>
      <c r="K51" s="270">
        <f>IF(D51="","",VLOOKUP(D51,契約台帳!$A$3:$L$4986,12,FALSE))</f>
        <v>25</v>
      </c>
      <c r="L51" s="270" t="str">
        <f>IF(D51="","",INDEX(製品マスタ!$Q$5:$Q$5002,MATCH(F51&amp;K51,製品マスタ!$AO$5:$AO$5002,0)))</f>
        <v>E315</v>
      </c>
      <c r="M51" s="39">
        <v>1100</v>
      </c>
      <c r="N51" s="39">
        <v>24000</v>
      </c>
      <c r="O51" s="47">
        <v>1</v>
      </c>
      <c r="P51" s="57">
        <v>44940</v>
      </c>
      <c r="Q51" s="276">
        <f>IF(D51="","",IF(J51="リード付け",M51,VLOOKUP(D51,契約台帳!$A$3:$N$4986,14,FALSE)))</f>
        <v>1100</v>
      </c>
      <c r="R51" s="277">
        <f>IF(D51="","",IF(J51="リード付け",M51,VLOOKUP(D51,契約台帳!$A$3:$O$4986,15,FALSE)))</f>
        <v>1100</v>
      </c>
      <c r="S51" s="277">
        <f>IF(D51="","",IF(J51="リード付け",N51,VLOOKUP(D51,契約台帳!$A$3:$P$4986,16,FALSE)))</f>
        <v>6000</v>
      </c>
      <c r="T51" s="40">
        <v>4</v>
      </c>
      <c r="U51" s="278" t="str">
        <f ca="1">IF(D51="","",IF(OFFSET(D51,-2,0)=D51,"",VLOOKUP(D51,契約台帳!$A$3:$R$4986,18,FALSE)))</f>
        <v/>
      </c>
      <c r="V51" s="269" t="str">
        <f>IF(J51="巻返し",VLOOKUP(F51&amp;K51&amp;M51,製品マスタ!$M$5:$AD$5002,18,FALSE),IF(J51="リード付け","原反コア",IF(J51="スリット",VLOOKUP(F51&amp;K51&amp;Q51,製品マスタ!$N$5:$AD$5002,17,FALSE),"")))</f>
        <v>6ｲﾝﾁMｺｱ</v>
      </c>
      <c r="W51" s="269">
        <f>IF(J51="巻返し",VLOOKUP(F51&amp;K51&amp;M51,製品マスタ!$M$5:$AE$5002,19,FALSE),IF(J51="リード付け","-",IF(J51="スリット",VLOOKUP(F51&amp;K51&amp;Q51,製品マスタ!$N$5:$AE$5002,18,FALSE),"")))</f>
        <v>1110</v>
      </c>
      <c r="X51" s="275">
        <f>IF(D51="","",VLOOKUP(D51,契約台帳!$A$3:$Q$4986,17,FALSE))</f>
        <v>2</v>
      </c>
      <c r="Y51" s="269" t="str">
        <f>IF(D51="","",VLOOKUP(D51,契約台帳!$A$3:$E$4986,5,FALSE))</f>
        <v>リンテック㈱</v>
      </c>
      <c r="Z51" s="57">
        <v>44946</v>
      </c>
      <c r="AA51" s="207" t="str">
        <f>IFERROR(VLOOKUP(F51&amp;K51&amp;M51,製品マスタ!$M$5:$AM$5002,27,FALSE),"")</f>
        <v>原反ケース再利用</v>
      </c>
      <c r="AB51" s="33"/>
      <c r="AC51" s="189"/>
      <c r="AD51" s="54" t="str">
        <f>IF(F51="","",+F51&amp;K51)</f>
        <v>3SNMLBMNQR66F25</v>
      </c>
      <c r="AE51" s="55">
        <f>+M51*N51*O51/1000</f>
        <v>26400</v>
      </c>
      <c r="AF51" s="43">
        <f>IF(AD51="","",VLOOKUP(AD51,原価マスタ!$A$2:$AJ$1693,13,FALSE))</f>
        <v>98</v>
      </c>
      <c r="AG51" s="47">
        <f>IF(AF51="","",+AE51*AF51/100)</f>
        <v>25872</v>
      </c>
      <c r="AH51" s="30"/>
      <c r="AI51" s="30"/>
      <c r="AJ51" s="30"/>
      <c r="AK51" s="30"/>
      <c r="AL51" s="13"/>
      <c r="AM51" s="13"/>
      <c r="AN51" s="13"/>
      <c r="AO51" s="13"/>
      <c r="AP51" s="13"/>
      <c r="AQ51" s="14"/>
      <c r="AR51" s="15"/>
    </row>
    <row r="52" spans="1:44" s="17" customFormat="1" ht="30.95" hidden="1" customHeight="1" x14ac:dyDescent="0.2">
      <c r="A52" s="37"/>
      <c r="B52" s="38"/>
      <c r="C52" s="45"/>
      <c r="D52" s="31"/>
      <c r="E52" s="31"/>
      <c r="F52" s="268" t="str">
        <f>IF(D52="","",VLOOKUP(D52,契約台帳!$A$3:$K$4986,6,FALSE)&amp;VLOOKUP(D52,契約台帳!$A$3:$K$4986,7,FALSE)&amp;VLOOKUP(D52,契約台帳!$A$3:$K$4986,8,FALSE)&amp;VLOOKUP(D52,契約台帳!$A$3:$K$4986,9,FALSE)&amp;VLOOKUP(D52,契約台帳!$A$3:$K$4986,11,FALSE))</f>
        <v/>
      </c>
      <c r="G52" s="269" t="str">
        <f>IF(D52="","",VLOOKUP(F52,製品マスタ!$G$5:$H$5002,2,FALSE))</f>
        <v/>
      </c>
      <c r="H52" s="269" t="str">
        <f>IF(D52="","",VLOOKUP(F52,製品マスタ!$G$5:$K$5002,5,FALSE))</f>
        <v/>
      </c>
      <c r="I52" s="270" t="str">
        <f>IF(D52="","",VLOOKUP(F52,製品マスタ!$G$5:$L$5002,6,FALSE))</f>
        <v/>
      </c>
      <c r="J52" s="32"/>
      <c r="K52" s="270" t="str">
        <f>IF(D52="","",VLOOKUP(D52,契約台帳!$A$3:$L$4986,12,FALSE))</f>
        <v/>
      </c>
      <c r="L52" s="270" t="str">
        <f>IF(D52="","",INDEX(製品マスタ!$Q$5:$Q$5002,MATCH(F52&amp;K52,製品マスタ!$AO$5:$AO$5002,0)))</f>
        <v/>
      </c>
      <c r="M52" s="39"/>
      <c r="N52" s="39"/>
      <c r="O52" s="47"/>
      <c r="P52" s="57"/>
      <c r="Q52" s="276" t="str">
        <f>IF(D52="","",IF(J52="リード付け",M52,VLOOKUP(D52,契約台帳!$A$3:$N$4986,14,FALSE)))</f>
        <v/>
      </c>
      <c r="R52" s="277" t="str">
        <f>IF(D52="","",IF(J52="リード付け",M52,VLOOKUP(D52,契約台帳!$A$3:$O$4986,15,FALSE)))</f>
        <v/>
      </c>
      <c r="S52" s="277" t="str">
        <f>IF(D52="","",IF(J52="リード付け",N52,VLOOKUP(D52,契約台帳!$A$3:$P$4986,16,FALSE)))</f>
        <v/>
      </c>
      <c r="T52" s="40"/>
      <c r="U52" s="278" t="str">
        <f ca="1">IF(D52="","",IF(OFFSET(D52,-2,0)=D52,"",VLOOKUP(D52,契約台帳!$A$3:$R$4986,18,FALSE)))</f>
        <v/>
      </c>
      <c r="V52" s="269" t="str">
        <f>IF(J52="巻返し",VLOOKUP(F52&amp;K52&amp;M52,製品マスタ!$M$5:$AD$5002,18,FALSE),IF(J52="リード付け","原反コア",IF(J52="スリット",VLOOKUP(F52&amp;K52&amp;Q52,製品マスタ!$N$5:$AD$5002,17,FALSE),"")))</f>
        <v/>
      </c>
      <c r="W52" s="269" t="str">
        <f>IF(J52="巻返し",VLOOKUP(F52&amp;K52&amp;M52,製品マスタ!$M$5:$AE$5002,19,FALSE),IF(J52="リード付け","-",IF(J52="スリット",VLOOKUP(F52&amp;K52&amp;Q52,製品マスタ!$N$5:$AE$5002,18,FALSE),"")))</f>
        <v/>
      </c>
      <c r="X52" s="275" t="str">
        <f>IF(D52="","",VLOOKUP(D52,契約台帳!$A$3:$Q$4986,17,FALSE))</f>
        <v/>
      </c>
      <c r="Y52" s="269" t="str">
        <f>IF(D52="","",VLOOKUP(D52,契約台帳!$A$3:$E$4986,5,FALSE))</f>
        <v/>
      </c>
      <c r="Z52" s="57"/>
      <c r="AA52" s="207" t="str">
        <f>IFERROR(VLOOKUP(F52&amp;K52&amp;M52,製品マスタ!$M$5:$AM$5002,27,FALSE),"")</f>
        <v/>
      </c>
      <c r="AB52" s="33"/>
      <c r="AC52" s="189"/>
      <c r="AD52" s="54"/>
      <c r="AE52" s="55"/>
      <c r="AF52" s="43"/>
      <c r="AG52" s="47"/>
      <c r="AH52" s="30"/>
      <c r="AI52" s="30"/>
      <c r="AJ52" s="30"/>
      <c r="AK52" s="30"/>
      <c r="AL52" s="13"/>
      <c r="AM52" s="13"/>
      <c r="AN52" s="13"/>
      <c r="AO52" s="13"/>
      <c r="AP52" s="13"/>
      <c r="AQ52" s="14"/>
      <c r="AR52" s="15"/>
    </row>
    <row r="53" spans="1:44" s="17" customFormat="1" ht="30.95" hidden="1" customHeight="1" x14ac:dyDescent="0.2">
      <c r="A53" s="37"/>
      <c r="B53" s="38"/>
      <c r="C53" s="45"/>
      <c r="D53" s="31">
        <v>3694120</v>
      </c>
      <c r="E53" s="31">
        <v>4151273</v>
      </c>
      <c r="F53" s="268" t="str">
        <f>IF(D53="","",VLOOKUP(D53,契約台帳!$A$3:$K$4986,6,FALSE)&amp;VLOOKUP(D53,契約台帳!$A$3:$K$4986,7,FALSE)&amp;VLOOKUP(D53,契約台帳!$A$3:$K$4986,8,FALSE)&amp;VLOOKUP(D53,契約台帳!$A$3:$K$4986,9,FALSE)&amp;VLOOKUP(D53,契約台帳!$A$3:$K$4986,11,FALSE))</f>
        <v>3SNMLBMNQR66F</v>
      </c>
      <c r="G53" s="269" t="str">
        <f>IF(D53="","",VLOOKUP(F53,製品マスタ!$G$5:$H$5002,2,FALSE))</f>
        <v>S</v>
      </c>
      <c r="H53" s="269" t="str">
        <f>IF(D53="","",VLOOKUP(F53,製品マスタ!$G$5:$K$5002,5,FALSE))</f>
        <v>MNQR66F</v>
      </c>
      <c r="I53" s="270" t="str">
        <f>IF(D53="","",VLOOKUP(F53,製品マスタ!$G$5:$L$5002,6,FALSE))</f>
        <v>ＱＲ６６蒸着品</v>
      </c>
      <c r="J53" s="32" t="s">
        <v>447</v>
      </c>
      <c r="K53" s="270">
        <f>IF(D53="","",VLOOKUP(D53,契約台帳!$A$3:$L$4986,12,FALSE))</f>
        <v>25</v>
      </c>
      <c r="L53" s="270" t="str">
        <f>IF(D53="","",INDEX(製品マスタ!$Q$5:$Q$5002,MATCH(F53&amp;K53,製品マスタ!$AO$5:$AO$5002,0)))</f>
        <v>E315</v>
      </c>
      <c r="M53" s="39">
        <v>1100</v>
      </c>
      <c r="N53" s="39">
        <v>18000</v>
      </c>
      <c r="O53" s="47">
        <v>4</v>
      </c>
      <c r="P53" s="57">
        <v>44941</v>
      </c>
      <c r="Q53" s="276">
        <f>IF(D53="","",IF(J53="リード付け",M53,VLOOKUP(D53,契約台帳!$A$3:$N$4986,14,FALSE)))</f>
        <v>1100</v>
      </c>
      <c r="R53" s="277">
        <f>IF(D53="","",IF(J53="リード付け",M53,VLOOKUP(D53,契約台帳!$A$3:$O$4986,15,FALSE)))</f>
        <v>1100</v>
      </c>
      <c r="S53" s="277">
        <f>IF(D53="","",IF(J53="リード付け",N53,VLOOKUP(D53,契約台帳!$A$3:$P$4986,16,FALSE)))</f>
        <v>6000</v>
      </c>
      <c r="T53" s="40">
        <v>12</v>
      </c>
      <c r="U53" s="278" t="str">
        <f ca="1">IF(D53="","",IF(OFFSET(D53,-2,0)=D53,"",VLOOKUP(D53,契約台帳!$A$3:$R$4986,18,FALSE)))</f>
        <v/>
      </c>
      <c r="V53" s="269" t="str">
        <f>IF(J53="巻返し",VLOOKUP(F53&amp;K53&amp;M53,製品マスタ!$M$5:$AD$5002,18,FALSE),IF(J53="リード付け","原反コア",IF(J53="スリット",VLOOKUP(F53&amp;K53&amp;Q53,製品マスタ!$N$5:$AD$5002,17,FALSE),"")))</f>
        <v>6ｲﾝﾁMｺｱ</v>
      </c>
      <c r="W53" s="269">
        <f>IF(J53="巻返し",VLOOKUP(F53&amp;K53&amp;M53,製品マスタ!$M$5:$AE$5002,19,FALSE),IF(J53="リード付け","-",IF(J53="スリット",VLOOKUP(F53&amp;K53&amp;Q53,製品マスタ!$N$5:$AE$5002,18,FALSE),"")))</f>
        <v>1110</v>
      </c>
      <c r="X53" s="275">
        <f>IF(D53="","",VLOOKUP(D53,契約台帳!$A$3:$Q$4986,17,FALSE))</f>
        <v>2</v>
      </c>
      <c r="Y53" s="269" t="str">
        <f>IF(D53="","",VLOOKUP(D53,契約台帳!$A$3:$E$4986,5,FALSE))</f>
        <v>リンテック㈱</v>
      </c>
      <c r="Z53" s="57">
        <v>44946</v>
      </c>
      <c r="AA53" s="207" t="str">
        <f>IFERROR(VLOOKUP(F53&amp;K53&amp;M53,製品マスタ!$M$5:$AM$5002,27,FALSE),"")</f>
        <v>原反ケース再利用</v>
      </c>
      <c r="AB53" s="33"/>
      <c r="AC53" s="189"/>
      <c r="AD53" s="54" t="str">
        <f>IF(F53="","",+F53&amp;K53)</f>
        <v>3SNMLBMNQR66F25</v>
      </c>
      <c r="AE53" s="55">
        <f>+M53*N53*O53/1000</f>
        <v>79200</v>
      </c>
      <c r="AF53" s="43">
        <f>IF(AD53="","",VLOOKUP(AD53,原価マスタ!$A$2:$AJ$1693,13,FALSE))</f>
        <v>98</v>
      </c>
      <c r="AG53" s="47">
        <f>IF(AF53="","",+AE53*AF53/100)</f>
        <v>77616</v>
      </c>
      <c r="AH53" s="30"/>
      <c r="AI53" s="30"/>
      <c r="AJ53" s="30"/>
      <c r="AK53" s="30"/>
      <c r="AL53" s="13"/>
      <c r="AM53" s="13"/>
      <c r="AN53" s="13"/>
      <c r="AO53" s="13"/>
      <c r="AP53" s="13"/>
      <c r="AQ53" s="14"/>
      <c r="AR53" s="15"/>
    </row>
    <row r="54" spans="1:44" s="17" customFormat="1" ht="30.95" hidden="1" customHeight="1" x14ac:dyDescent="0.2">
      <c r="A54" s="37"/>
      <c r="B54" s="38"/>
      <c r="C54" s="45"/>
      <c r="D54" s="31"/>
      <c r="E54" s="31"/>
      <c r="F54" s="268" t="str">
        <f>IF(D54="","",VLOOKUP(D54,契約台帳!$A$3:$K$4986,6,FALSE)&amp;VLOOKUP(D54,契約台帳!$A$3:$K$4986,7,FALSE)&amp;VLOOKUP(D54,契約台帳!$A$3:$K$4986,8,FALSE)&amp;VLOOKUP(D54,契約台帳!$A$3:$K$4986,9,FALSE)&amp;VLOOKUP(D54,契約台帳!$A$3:$K$4986,11,FALSE))</f>
        <v/>
      </c>
      <c r="G54" s="269" t="str">
        <f>IF(D54="","",VLOOKUP(F54,製品マスタ!$G$5:$H$5002,2,FALSE))</f>
        <v/>
      </c>
      <c r="H54" s="269" t="str">
        <f>IF(D54="","",VLOOKUP(F54,製品マスタ!$G$5:$K$5002,5,FALSE))</f>
        <v/>
      </c>
      <c r="I54" s="270" t="str">
        <f>IF(D54="","",VLOOKUP(F54,製品マスタ!$G$5:$L$5002,6,FALSE))</f>
        <v/>
      </c>
      <c r="J54" s="32"/>
      <c r="K54" s="270" t="str">
        <f>IF(D54="","",VLOOKUP(D54,契約台帳!$A$3:$L$4986,12,FALSE))</f>
        <v/>
      </c>
      <c r="L54" s="270" t="str">
        <f>IF(D54="","",INDEX(製品マスタ!$Q$5:$Q$5002,MATCH(F54&amp;K54,製品マスタ!$AO$5:$AO$5002,0)))</f>
        <v/>
      </c>
      <c r="M54" s="39"/>
      <c r="N54" s="39"/>
      <c r="O54" s="47"/>
      <c r="P54" s="57"/>
      <c r="Q54" s="276" t="str">
        <f>IF(D54="","",IF(J54="リード付け",M54,VLOOKUP(D54,契約台帳!$A$3:$N$4986,14,FALSE)))</f>
        <v/>
      </c>
      <c r="R54" s="277" t="str">
        <f>IF(D54="","",IF(J54="リード付け",M54,VLOOKUP(D54,契約台帳!$A$3:$O$4986,15,FALSE)))</f>
        <v/>
      </c>
      <c r="S54" s="277" t="str">
        <f>IF(D54="","",IF(J54="リード付け",N54,VLOOKUP(D54,契約台帳!$A$3:$P$4986,16,FALSE)))</f>
        <v/>
      </c>
      <c r="T54" s="40"/>
      <c r="U54" s="278" t="str">
        <f ca="1">IF(D54="","",IF(OFFSET(D54,-2,0)=D54,"",VLOOKUP(D54,契約台帳!$A$3:$R$4986,18,FALSE)))</f>
        <v/>
      </c>
      <c r="V54" s="269" t="str">
        <f>IF(J54="巻返し",VLOOKUP(F54&amp;K54&amp;M54,製品マスタ!$M$5:$AD$5002,18,FALSE),IF(J54="リード付け","原反コア",IF(J54="スリット",VLOOKUP(F54&amp;K54&amp;Q54,製品マスタ!$N$5:$AD$5002,17,FALSE),"")))</f>
        <v/>
      </c>
      <c r="W54" s="269" t="str">
        <f>IF(J54="巻返し",VLOOKUP(F54&amp;K54&amp;M54,製品マスタ!$M$5:$AE$5002,19,FALSE),IF(J54="リード付け","-",IF(J54="スリット",VLOOKUP(F54&amp;K54&amp;Q54,製品マスタ!$N$5:$AE$5002,18,FALSE),"")))</f>
        <v/>
      </c>
      <c r="X54" s="275" t="str">
        <f>IF(D54="","",VLOOKUP(D54,契約台帳!$A$3:$Q$4986,17,FALSE))</f>
        <v/>
      </c>
      <c r="Y54" s="269" t="str">
        <f>IF(D54="","",VLOOKUP(D54,契約台帳!$A$3:$E$4986,5,FALSE))</f>
        <v/>
      </c>
      <c r="Z54" s="57"/>
      <c r="AA54" s="207" t="str">
        <f>IFERROR(VLOOKUP(F54&amp;K54&amp;M54,製品マスタ!$M$5:$AM$5002,27,FALSE),"")</f>
        <v/>
      </c>
      <c r="AB54" s="33"/>
      <c r="AC54" s="189"/>
      <c r="AD54" s="54"/>
      <c r="AE54" s="55"/>
      <c r="AF54" s="43"/>
      <c r="AG54" s="47"/>
      <c r="AH54" s="30"/>
      <c r="AI54" s="30"/>
      <c r="AJ54" s="30"/>
      <c r="AK54" s="30"/>
      <c r="AL54" s="13"/>
      <c r="AM54" s="13"/>
      <c r="AN54" s="13"/>
      <c r="AO54" s="13"/>
      <c r="AP54" s="13"/>
      <c r="AQ54" s="14"/>
      <c r="AR54" s="15"/>
    </row>
    <row r="55" spans="1:44" s="17" customFormat="1" ht="30.95" hidden="1" customHeight="1" x14ac:dyDescent="0.2">
      <c r="A55" s="37" t="s">
        <v>790</v>
      </c>
      <c r="B55" s="38" t="s">
        <v>778</v>
      </c>
      <c r="C55" s="45"/>
      <c r="D55" s="31"/>
      <c r="E55" s="31"/>
      <c r="F55" s="268" t="str">
        <f>IF(D55="","",VLOOKUP(D55,契約台帳!$A$3:$K$4986,6,FALSE)&amp;VLOOKUP(D55,契約台帳!$A$3:$K$4986,7,FALSE)&amp;VLOOKUP(D55,契約台帳!$A$3:$K$4986,8,FALSE)&amp;VLOOKUP(D55,契約台帳!$A$3:$K$4986,9,FALSE)&amp;VLOOKUP(D55,契約台帳!$A$3:$K$4986,11,FALSE))</f>
        <v/>
      </c>
      <c r="G55" s="269" t="str">
        <f>IF(D55="","",VLOOKUP(F55,製品マスタ!$G$5:$H$5002,2,FALSE))</f>
        <v/>
      </c>
      <c r="H55" s="269" t="str">
        <f>IF(D55="","",VLOOKUP(F55,製品マスタ!$G$5:$K$5002,5,FALSE))</f>
        <v/>
      </c>
      <c r="I55" s="270" t="str">
        <f>IF(D55="","",VLOOKUP(F55,製品マスタ!$G$5:$L$5002,6,FALSE))</f>
        <v/>
      </c>
      <c r="J55" s="32"/>
      <c r="K55" s="270" t="str">
        <f>IF(D55="","",VLOOKUP(D55,契約台帳!$A$3:$L$4986,12,FALSE))</f>
        <v/>
      </c>
      <c r="L55" s="270" t="str">
        <f>IF(D55="","",INDEX(製品マスタ!$Q$5:$Q$5002,MATCH(F55&amp;K55,製品マスタ!$AO$5:$AO$5002,0)))</f>
        <v/>
      </c>
      <c r="M55" s="39"/>
      <c r="N55" s="39"/>
      <c r="O55" s="47"/>
      <c r="P55" s="57"/>
      <c r="Q55" s="276" t="str">
        <f>IF(D55="","",IF(J55="リード付け",M55,VLOOKUP(D55,契約台帳!$A$3:$N$4986,14,FALSE)))</f>
        <v/>
      </c>
      <c r="R55" s="277" t="str">
        <f>IF(D55="","",IF(J55="リード付け",M55,VLOOKUP(D55,契約台帳!$A$3:$O$4986,15,FALSE)))</f>
        <v/>
      </c>
      <c r="S55" s="277" t="str">
        <f>IF(D55="","",IF(J55="リード付け",N55,VLOOKUP(D55,契約台帳!$A$3:$P$4986,16,FALSE)))</f>
        <v/>
      </c>
      <c r="T55" s="40"/>
      <c r="U55" s="278" t="str">
        <f ca="1">IF(D55="","",IF(OFFSET(D55,-2,0)=D55,"",VLOOKUP(D55,契約台帳!$A$3:$R$4986,18,FALSE)))</f>
        <v/>
      </c>
      <c r="V55" s="269" t="str">
        <f>IF(J55="巻返し",VLOOKUP(F55&amp;K55&amp;M55,製品マスタ!$M$5:$AD$5002,18,FALSE),IF(J55="リード付け","原反コア",IF(J55="スリット",VLOOKUP(F55&amp;K55&amp;Q55,製品マスタ!$N$5:$AD$5002,17,FALSE),"")))</f>
        <v/>
      </c>
      <c r="W55" s="269" t="str">
        <f>IF(J55="巻返し",VLOOKUP(F55&amp;K55&amp;M55,製品マスタ!$M$5:$AE$5002,19,FALSE),IF(J55="リード付け","-",IF(J55="スリット",VLOOKUP(F55&amp;K55&amp;Q55,製品マスタ!$N$5:$AE$5002,18,FALSE),"")))</f>
        <v/>
      </c>
      <c r="X55" s="275" t="str">
        <f>IF(D55="","",VLOOKUP(D55,契約台帳!$A$3:$Q$4986,17,FALSE))</f>
        <v/>
      </c>
      <c r="Y55" s="269" t="str">
        <f>IF(D55="","",VLOOKUP(D55,契約台帳!$A$3:$E$4986,5,FALSE))</f>
        <v/>
      </c>
      <c r="Z55" s="57"/>
      <c r="AA55" s="207" t="str">
        <f>IFERROR(VLOOKUP(F55&amp;K55&amp;M55,製品マスタ!$M$5:$AM$5002,27,FALSE),"")</f>
        <v/>
      </c>
      <c r="AB55" s="33"/>
      <c r="AC55" s="189"/>
      <c r="AD55" s="54"/>
      <c r="AE55" s="55"/>
      <c r="AF55" s="43"/>
      <c r="AG55" s="47"/>
      <c r="AH55" s="30"/>
      <c r="AI55" s="30"/>
      <c r="AJ55" s="30"/>
      <c r="AK55" s="30"/>
      <c r="AL55" s="13"/>
      <c r="AM55" s="13"/>
      <c r="AN55" s="13"/>
      <c r="AO55" s="13"/>
      <c r="AP55" s="13"/>
      <c r="AQ55" s="14"/>
      <c r="AR55" s="15"/>
    </row>
    <row r="56" spans="1:44" s="17" customFormat="1" ht="30.95" hidden="1" customHeight="1" x14ac:dyDescent="0.2">
      <c r="A56" s="37"/>
      <c r="B56" s="38"/>
      <c r="C56" s="45"/>
      <c r="D56" s="31"/>
      <c r="E56" s="31"/>
      <c r="F56" s="268" t="str">
        <f>IF(D56="","",VLOOKUP(D56,契約台帳!$A$3:$K$4986,6,FALSE)&amp;VLOOKUP(D56,契約台帳!$A$3:$K$4986,7,FALSE)&amp;VLOOKUP(D56,契約台帳!$A$3:$K$4986,8,FALSE)&amp;VLOOKUP(D56,契約台帳!$A$3:$K$4986,9,FALSE)&amp;VLOOKUP(D56,契約台帳!$A$3:$K$4986,11,FALSE))</f>
        <v/>
      </c>
      <c r="G56" s="269" t="str">
        <f>IF(D56="","",VLOOKUP(F56,製品マスタ!$G$5:$H$5002,2,FALSE))</f>
        <v/>
      </c>
      <c r="H56" s="269" t="str">
        <f>IF(D56="","",VLOOKUP(F56,製品マスタ!$G$5:$K$5002,5,FALSE))</f>
        <v/>
      </c>
      <c r="I56" s="270" t="str">
        <f>IF(D56="","",VLOOKUP(F56,製品マスタ!$G$5:$L$5002,6,FALSE))</f>
        <v/>
      </c>
      <c r="J56" s="32"/>
      <c r="K56" s="270" t="str">
        <f>IF(D56="","",VLOOKUP(D56,契約台帳!$A$3:$L$4986,12,FALSE))</f>
        <v/>
      </c>
      <c r="L56" s="270" t="str">
        <f>IF(D56="","",INDEX(製品マスタ!$Q$5:$Q$5002,MATCH(F56&amp;K56,製品マスタ!$AO$5:$AO$5002,0)))</f>
        <v/>
      </c>
      <c r="M56" s="39"/>
      <c r="N56" s="39"/>
      <c r="O56" s="47"/>
      <c r="P56" s="57"/>
      <c r="Q56" s="276" t="str">
        <f>IF(D56="","",IF(J56="リード付け",M56,VLOOKUP(D56,契約台帳!$A$3:$N$4986,14,FALSE)))</f>
        <v/>
      </c>
      <c r="R56" s="277" t="str">
        <f>IF(D56="","",IF(J56="リード付け",M56,VLOOKUP(D56,契約台帳!$A$3:$O$4986,15,FALSE)))</f>
        <v/>
      </c>
      <c r="S56" s="277" t="str">
        <f>IF(D56="","",IF(J56="リード付け",N56,VLOOKUP(D56,契約台帳!$A$3:$P$4986,16,FALSE)))</f>
        <v/>
      </c>
      <c r="T56" s="40"/>
      <c r="U56" s="278" t="str">
        <f ca="1">IF(D56="","",IF(OFFSET(D56,-2,0)=D56,"",VLOOKUP(D56,契約台帳!$A$3:$R$4986,18,FALSE)))</f>
        <v/>
      </c>
      <c r="V56" s="269" t="str">
        <f>IF(J56="巻返し",VLOOKUP(F56&amp;K56&amp;M56,製品マスタ!$M$5:$AD$5002,18,FALSE),IF(J56="リード付け","原反コア",IF(J56="スリット",VLOOKUP(F56&amp;K56&amp;Q56,製品マスタ!$N$5:$AD$5002,17,FALSE),"")))</f>
        <v/>
      </c>
      <c r="W56" s="269" t="str">
        <f>IF(J56="巻返し",VLOOKUP(F56&amp;K56&amp;M56,製品マスタ!$M$5:$AE$5002,19,FALSE),IF(J56="リード付け","-",IF(J56="スリット",VLOOKUP(F56&amp;K56&amp;Q56,製品マスタ!$N$5:$AE$5002,18,FALSE),"")))</f>
        <v/>
      </c>
      <c r="X56" s="275" t="str">
        <f>IF(D56="","",VLOOKUP(D56,契約台帳!$A$3:$Q$4986,17,FALSE))</f>
        <v/>
      </c>
      <c r="Y56" s="269" t="str">
        <f>IF(D56="","",VLOOKUP(D56,契約台帳!$A$3:$E$4986,5,FALSE))</f>
        <v/>
      </c>
      <c r="Z56" s="57"/>
      <c r="AA56" s="207" t="str">
        <f>IFERROR(VLOOKUP(F56&amp;K56&amp;M56,製品マスタ!$M$5:$AM$5002,27,FALSE),"")</f>
        <v/>
      </c>
      <c r="AB56" s="33"/>
      <c r="AC56" s="189"/>
      <c r="AD56" s="54"/>
      <c r="AE56" s="55"/>
      <c r="AF56" s="43"/>
      <c r="AG56" s="47"/>
      <c r="AH56" s="30"/>
      <c r="AI56" s="30"/>
      <c r="AJ56" s="30"/>
      <c r="AK56" s="30"/>
      <c r="AL56" s="13"/>
      <c r="AM56" s="13"/>
      <c r="AN56" s="13"/>
      <c r="AO56" s="13"/>
      <c r="AP56" s="13"/>
      <c r="AQ56" s="14"/>
      <c r="AR56" s="15"/>
    </row>
    <row r="57" spans="1:44" s="17" customFormat="1" ht="30.95" hidden="1" customHeight="1" x14ac:dyDescent="0.2">
      <c r="A57" s="37" t="s">
        <v>791</v>
      </c>
      <c r="B57" s="38" t="s">
        <v>779</v>
      </c>
      <c r="C57" s="45"/>
      <c r="D57" s="31"/>
      <c r="E57" s="31"/>
      <c r="F57" s="268" t="str">
        <f>IF(D57="","",VLOOKUP(D57,契約台帳!$A$3:$K$4986,6,FALSE)&amp;VLOOKUP(D57,契約台帳!$A$3:$K$4986,7,FALSE)&amp;VLOOKUP(D57,契約台帳!$A$3:$K$4986,8,FALSE)&amp;VLOOKUP(D57,契約台帳!$A$3:$K$4986,9,FALSE)&amp;VLOOKUP(D57,契約台帳!$A$3:$K$4986,11,FALSE))</f>
        <v/>
      </c>
      <c r="G57" s="269" t="str">
        <f>IF(D57="","",VLOOKUP(F57,製品マスタ!$G$5:$H$5002,2,FALSE))</f>
        <v/>
      </c>
      <c r="H57" s="269" t="str">
        <f>IF(D57="","",VLOOKUP(F57,製品マスタ!$G$5:$K$5002,5,FALSE))</f>
        <v/>
      </c>
      <c r="I57" s="270" t="str">
        <f>IF(D57="","",VLOOKUP(F57,製品マスタ!$G$5:$L$5002,6,FALSE))</f>
        <v/>
      </c>
      <c r="J57" s="32"/>
      <c r="K57" s="270" t="str">
        <f>IF(D57="","",VLOOKUP(D57,契約台帳!$A$3:$L$4986,12,FALSE))</f>
        <v/>
      </c>
      <c r="L57" s="270" t="str">
        <f>IF(D57="","",INDEX(製品マスタ!$Q$5:$Q$5002,MATCH(F57&amp;K57,製品マスタ!$AO$5:$AO$5002,0)))</f>
        <v/>
      </c>
      <c r="M57" s="39"/>
      <c r="N57" s="39"/>
      <c r="O57" s="47"/>
      <c r="P57" s="57"/>
      <c r="Q57" s="276" t="str">
        <f>IF(D57="","",IF(J57="リード付け",M57,VLOOKUP(D57,契約台帳!$A$3:$N$4986,14,FALSE)))</f>
        <v/>
      </c>
      <c r="R57" s="277" t="str">
        <f>IF(D57="","",IF(J57="リード付け",M57,VLOOKUP(D57,契約台帳!$A$3:$O$4986,15,FALSE)))</f>
        <v/>
      </c>
      <c r="S57" s="277" t="str">
        <f>IF(D57="","",IF(J57="リード付け",N57,VLOOKUP(D57,契約台帳!$A$3:$P$4986,16,FALSE)))</f>
        <v/>
      </c>
      <c r="T57" s="40"/>
      <c r="U57" s="278" t="str">
        <f ca="1">IF(D57="","",IF(OFFSET(D57,-2,0)=D57,"",VLOOKUP(D57,契約台帳!$A$3:$R$4986,18,FALSE)))</f>
        <v/>
      </c>
      <c r="V57" s="269" t="str">
        <f>IF(J57="巻返し",VLOOKUP(F57&amp;K57&amp;M57,製品マスタ!$M$5:$AD$5002,18,FALSE),IF(J57="リード付け","原反コア",IF(J57="スリット",VLOOKUP(F57&amp;K57&amp;Q57,製品マスタ!$N$5:$AD$5002,17,FALSE),"")))</f>
        <v/>
      </c>
      <c r="W57" s="269" t="str">
        <f>IF(J57="巻返し",VLOOKUP(F57&amp;K57&amp;M57,製品マスタ!$M$5:$AE$5002,19,FALSE),IF(J57="リード付け","-",IF(J57="スリット",VLOOKUP(F57&amp;K57&amp;Q57,製品マスタ!$N$5:$AE$5002,18,FALSE),"")))</f>
        <v/>
      </c>
      <c r="X57" s="275" t="str">
        <f>IF(D57="","",VLOOKUP(D57,契約台帳!$A$3:$Q$4986,17,FALSE))</f>
        <v/>
      </c>
      <c r="Y57" s="269" t="str">
        <f>IF(D57="","",VLOOKUP(D57,契約台帳!$A$3:$E$4986,5,FALSE))</f>
        <v/>
      </c>
      <c r="Z57" s="57"/>
      <c r="AA57" s="207" t="str">
        <f>IFERROR(VLOOKUP(F57&amp;K57&amp;M57,製品マスタ!$M$5:$AM$5002,27,FALSE),"")</f>
        <v/>
      </c>
      <c r="AB57" s="33"/>
      <c r="AC57" s="189"/>
      <c r="AD57" s="54"/>
      <c r="AE57" s="55"/>
      <c r="AF57" s="43"/>
      <c r="AG57" s="47"/>
      <c r="AH57" s="30"/>
      <c r="AI57" s="30"/>
      <c r="AJ57" s="30"/>
      <c r="AK57" s="30"/>
      <c r="AL57" s="13"/>
      <c r="AM57" s="13"/>
      <c r="AN57" s="13"/>
      <c r="AO57" s="13"/>
      <c r="AP57" s="13"/>
      <c r="AQ57" s="14"/>
      <c r="AR57" s="15"/>
    </row>
    <row r="58" spans="1:44" s="17" customFormat="1" ht="30.95" hidden="1" customHeight="1" x14ac:dyDescent="0.2">
      <c r="A58" s="37"/>
      <c r="B58" s="38"/>
      <c r="C58" s="45"/>
      <c r="D58" s="31"/>
      <c r="E58" s="31"/>
      <c r="F58" s="268" t="str">
        <f>IF(D58="","",VLOOKUP(D58,契約台帳!$A$3:$K$4986,6,FALSE)&amp;VLOOKUP(D58,契約台帳!$A$3:$K$4986,7,FALSE)&amp;VLOOKUP(D58,契約台帳!$A$3:$K$4986,8,FALSE)&amp;VLOOKUP(D58,契約台帳!$A$3:$K$4986,9,FALSE)&amp;VLOOKUP(D58,契約台帳!$A$3:$K$4986,11,FALSE))</f>
        <v/>
      </c>
      <c r="G58" s="269" t="str">
        <f>IF(D58="","",VLOOKUP(F58,製品マスタ!$G$5:$H$5002,2,FALSE))</f>
        <v/>
      </c>
      <c r="H58" s="269" t="str">
        <f>IF(D58="","",VLOOKUP(F58,製品マスタ!$G$5:$K$5002,5,FALSE))</f>
        <v/>
      </c>
      <c r="I58" s="270" t="str">
        <f>IF(D58="","",VLOOKUP(F58,製品マスタ!$G$5:$L$5002,6,FALSE))</f>
        <v/>
      </c>
      <c r="J58" s="32"/>
      <c r="K58" s="270" t="str">
        <f>IF(D58="","",VLOOKUP(D58,契約台帳!$A$3:$L$4986,12,FALSE))</f>
        <v/>
      </c>
      <c r="L58" s="270" t="str">
        <f>IF(D58="","",INDEX(製品マスタ!$Q$5:$Q$5002,MATCH(F58&amp;K58,製品マスタ!$AO$5:$AO$5002,0)))</f>
        <v/>
      </c>
      <c r="M58" s="39"/>
      <c r="N58" s="39"/>
      <c r="O58" s="47"/>
      <c r="P58" s="57"/>
      <c r="Q58" s="276" t="str">
        <f>IF(D58="","",IF(J58="リード付け",M58,VLOOKUP(D58,契約台帳!$A$3:$N$4986,14,FALSE)))</f>
        <v/>
      </c>
      <c r="R58" s="277" t="str">
        <f>IF(D58="","",IF(J58="リード付け",M58,VLOOKUP(D58,契約台帳!$A$3:$O$4986,15,FALSE)))</f>
        <v/>
      </c>
      <c r="S58" s="277" t="str">
        <f>IF(D58="","",IF(J58="リード付け",N58,VLOOKUP(D58,契約台帳!$A$3:$P$4986,16,FALSE)))</f>
        <v/>
      </c>
      <c r="T58" s="40"/>
      <c r="U58" s="278" t="str">
        <f ca="1">IF(D58="","",IF(OFFSET(D58,-2,0)=D58,"",VLOOKUP(D58,契約台帳!$A$3:$R$4986,18,FALSE)))</f>
        <v/>
      </c>
      <c r="V58" s="269" t="str">
        <f>IF(J58="巻返し",VLOOKUP(F58&amp;K58&amp;M58,製品マスタ!$M$5:$AD$5002,18,FALSE),IF(J58="リード付け","原反コア",IF(J58="スリット",VLOOKUP(F58&amp;K58&amp;Q58,製品マスタ!$N$5:$AD$5002,17,FALSE),"")))</f>
        <v/>
      </c>
      <c r="W58" s="269" t="str">
        <f>IF(J58="巻返し",VLOOKUP(F58&amp;K58&amp;M58,製品マスタ!$M$5:$AE$5002,19,FALSE),IF(J58="リード付け","-",IF(J58="スリット",VLOOKUP(F58&amp;K58&amp;Q58,製品マスタ!$N$5:$AE$5002,18,FALSE),"")))</f>
        <v/>
      </c>
      <c r="X58" s="275" t="str">
        <f>IF(D58="","",VLOOKUP(D58,契約台帳!$A$3:$Q$4986,17,FALSE))</f>
        <v/>
      </c>
      <c r="Y58" s="269" t="str">
        <f>IF(D58="","",VLOOKUP(D58,契約台帳!$A$3:$E$4986,5,FALSE))</f>
        <v/>
      </c>
      <c r="Z58" s="57"/>
      <c r="AA58" s="207" t="str">
        <f>IFERROR(VLOOKUP(F58&amp;K58&amp;M58,製品マスタ!$M$5:$AM$5002,27,FALSE),"")</f>
        <v/>
      </c>
      <c r="AB58" s="33"/>
      <c r="AC58" s="189"/>
      <c r="AD58" s="54"/>
      <c r="AE58" s="55"/>
      <c r="AF58" s="43"/>
      <c r="AG58" s="47"/>
      <c r="AH58" s="30"/>
      <c r="AI58" s="30"/>
      <c r="AJ58" s="30"/>
      <c r="AK58" s="30"/>
      <c r="AL58" s="13"/>
      <c r="AM58" s="13"/>
      <c r="AN58" s="13"/>
      <c r="AO58" s="13"/>
      <c r="AP58" s="13"/>
      <c r="AQ58" s="14"/>
      <c r="AR58" s="15"/>
    </row>
    <row r="59" spans="1:44" s="17" customFormat="1" ht="30.95" hidden="1" customHeight="1" x14ac:dyDescent="0.2">
      <c r="A59" s="37" t="s">
        <v>792</v>
      </c>
      <c r="B59" s="38" t="s">
        <v>780</v>
      </c>
      <c r="C59" s="45"/>
      <c r="D59" s="31"/>
      <c r="E59" s="31"/>
      <c r="F59" s="268" t="str">
        <f>IF(D59="","",VLOOKUP(D59,契約台帳!$A$3:$K$4986,6,FALSE)&amp;VLOOKUP(D59,契約台帳!$A$3:$K$4986,7,FALSE)&amp;VLOOKUP(D59,契約台帳!$A$3:$K$4986,8,FALSE)&amp;VLOOKUP(D59,契約台帳!$A$3:$K$4986,9,FALSE)&amp;VLOOKUP(D59,契約台帳!$A$3:$K$4986,11,FALSE))</f>
        <v/>
      </c>
      <c r="G59" s="269" t="str">
        <f>IF(D59="","",VLOOKUP(F59,製品マスタ!$G$5:$H$5002,2,FALSE))</f>
        <v/>
      </c>
      <c r="H59" s="269" t="str">
        <f>IF(D59="","",VLOOKUP(F59,製品マスタ!$G$5:$K$5002,5,FALSE))</f>
        <v/>
      </c>
      <c r="I59" s="270" t="str">
        <f>IF(D59="","",VLOOKUP(F59,製品マスタ!$G$5:$L$5002,6,FALSE))</f>
        <v/>
      </c>
      <c r="J59" s="32"/>
      <c r="K59" s="270" t="str">
        <f>IF(D59="","",VLOOKUP(D59,契約台帳!$A$3:$L$4986,12,FALSE))</f>
        <v/>
      </c>
      <c r="L59" s="270" t="str">
        <f>IF(D59="","",INDEX(製品マスタ!$Q$5:$Q$5002,MATCH(F59&amp;K59,製品マスタ!$AO$5:$AO$5002,0)))</f>
        <v/>
      </c>
      <c r="M59" s="39"/>
      <c r="N59" s="39"/>
      <c r="O59" s="47"/>
      <c r="P59" s="57"/>
      <c r="Q59" s="276" t="str">
        <f>IF(D59="","",IF(J59="リード付け",M59,VLOOKUP(D59,契約台帳!$A$3:$N$4986,14,FALSE)))</f>
        <v/>
      </c>
      <c r="R59" s="277" t="str">
        <f>IF(D59="","",IF(J59="リード付け",M59,VLOOKUP(D59,契約台帳!$A$3:$O$4986,15,FALSE)))</f>
        <v/>
      </c>
      <c r="S59" s="277" t="str">
        <f>IF(D59="","",IF(J59="リード付け",N59,VLOOKUP(D59,契約台帳!$A$3:$P$4986,16,FALSE)))</f>
        <v/>
      </c>
      <c r="T59" s="40"/>
      <c r="U59" s="278" t="str">
        <f ca="1">IF(D59="","",IF(OFFSET(D59,-2,0)=D59,"",VLOOKUP(D59,契約台帳!$A$3:$R$4986,18,FALSE)))</f>
        <v/>
      </c>
      <c r="V59" s="269" t="str">
        <f>IF(J59="巻返し",VLOOKUP(F59&amp;K59&amp;M59,製品マスタ!$M$5:$AD$5002,18,FALSE),IF(J59="リード付け","原反コア",IF(J59="スリット",VLOOKUP(F59&amp;K59&amp;Q59,製品マスタ!$N$5:$AD$5002,17,FALSE),"")))</f>
        <v/>
      </c>
      <c r="W59" s="269" t="str">
        <f>IF(J59="巻返し",VLOOKUP(F59&amp;K59&amp;M59,製品マスタ!$M$5:$AE$5002,19,FALSE),IF(J59="リード付け","-",IF(J59="スリット",VLOOKUP(F59&amp;K59&amp;Q59,製品マスタ!$N$5:$AE$5002,18,FALSE),"")))</f>
        <v/>
      </c>
      <c r="X59" s="275" t="str">
        <f>IF(D59="","",VLOOKUP(D59,契約台帳!$A$3:$Q$4986,17,FALSE))</f>
        <v/>
      </c>
      <c r="Y59" s="269" t="str">
        <f>IF(D59="","",VLOOKUP(D59,契約台帳!$A$3:$E$4986,5,FALSE))</f>
        <v/>
      </c>
      <c r="Z59" s="57"/>
      <c r="AA59" s="207" t="str">
        <f>IFERROR(VLOOKUP(F59&amp;K59&amp;M59,製品マスタ!$M$5:$AM$5002,27,FALSE),"")</f>
        <v/>
      </c>
      <c r="AB59" s="33"/>
      <c r="AC59" s="189"/>
      <c r="AD59" s="54"/>
      <c r="AE59" s="55"/>
      <c r="AF59" s="43"/>
      <c r="AG59" s="47"/>
      <c r="AH59" s="30"/>
      <c r="AI59" s="30"/>
      <c r="AJ59" s="30"/>
      <c r="AK59" s="30"/>
      <c r="AL59" s="13"/>
      <c r="AM59" s="13"/>
      <c r="AN59" s="13"/>
      <c r="AO59" s="13"/>
      <c r="AP59" s="13"/>
      <c r="AQ59" s="14"/>
      <c r="AR59" s="15"/>
    </row>
    <row r="60" spans="1:44" s="17" customFormat="1" ht="30.95" hidden="1" customHeight="1" x14ac:dyDescent="0.2">
      <c r="A60" s="37"/>
      <c r="B60" s="38"/>
      <c r="C60" s="45"/>
      <c r="D60" s="31"/>
      <c r="E60" s="31"/>
      <c r="F60" s="268" t="str">
        <f>IF(D60="","",VLOOKUP(D60,契約台帳!$A$3:$K$4986,6,FALSE)&amp;VLOOKUP(D60,契約台帳!$A$3:$K$4986,7,FALSE)&amp;VLOOKUP(D60,契約台帳!$A$3:$K$4986,8,FALSE)&amp;VLOOKUP(D60,契約台帳!$A$3:$K$4986,9,FALSE)&amp;VLOOKUP(D60,契約台帳!$A$3:$K$4986,11,FALSE))</f>
        <v/>
      </c>
      <c r="G60" s="269" t="str">
        <f>IF(D60="","",VLOOKUP(F60,製品マスタ!$G$5:$H$5002,2,FALSE))</f>
        <v/>
      </c>
      <c r="H60" s="269" t="str">
        <f>IF(D60="","",VLOOKUP(F60,製品マスタ!$G$5:$K$5002,5,FALSE))</f>
        <v/>
      </c>
      <c r="I60" s="270" t="str">
        <f>IF(D60="","",VLOOKUP(F60,製品マスタ!$G$5:$L$5002,6,FALSE))</f>
        <v/>
      </c>
      <c r="J60" s="32"/>
      <c r="K60" s="270" t="str">
        <f>IF(D60="","",VLOOKUP(D60,契約台帳!$A$3:$L$4986,12,FALSE))</f>
        <v/>
      </c>
      <c r="L60" s="270" t="str">
        <f>IF(D60="","",INDEX(製品マスタ!$Q$5:$Q$5002,MATCH(F60&amp;K60,製品マスタ!$AO$5:$AO$5002,0)))</f>
        <v/>
      </c>
      <c r="M60" s="39"/>
      <c r="N60" s="39"/>
      <c r="O60" s="47"/>
      <c r="P60" s="57"/>
      <c r="Q60" s="276" t="str">
        <f>IF(D60="","",IF(J60="リード付け",M60,VLOOKUP(D60,契約台帳!$A$3:$N$4986,14,FALSE)))</f>
        <v/>
      </c>
      <c r="R60" s="277" t="str">
        <f>IF(D60="","",IF(J60="リード付け",M60,VLOOKUP(D60,契約台帳!$A$3:$O$4986,15,FALSE)))</f>
        <v/>
      </c>
      <c r="S60" s="277" t="str">
        <f>IF(D60="","",IF(J60="リード付け",N60,VLOOKUP(D60,契約台帳!$A$3:$P$4986,16,FALSE)))</f>
        <v/>
      </c>
      <c r="T60" s="40"/>
      <c r="U60" s="278" t="str">
        <f ca="1">IF(D60="","",IF(OFFSET(D60,-2,0)=D60,"",VLOOKUP(D60,契約台帳!$A$3:$R$4986,18,FALSE)))</f>
        <v/>
      </c>
      <c r="V60" s="269" t="str">
        <f>IF(J60="巻返し",VLOOKUP(F60&amp;K60&amp;M60,製品マスタ!$M$5:$AD$5002,18,FALSE),IF(J60="リード付け","原反コア",IF(J60="スリット",VLOOKUP(F60&amp;K60&amp;Q60,製品マスタ!$N$5:$AD$5002,17,FALSE),"")))</f>
        <v/>
      </c>
      <c r="W60" s="269" t="str">
        <f>IF(J60="巻返し",VLOOKUP(F60&amp;K60&amp;M60,製品マスタ!$M$5:$AE$5002,19,FALSE),IF(J60="リード付け","-",IF(J60="スリット",VLOOKUP(F60&amp;K60&amp;Q60,製品マスタ!$N$5:$AE$5002,18,FALSE),"")))</f>
        <v/>
      </c>
      <c r="X60" s="275" t="str">
        <f>IF(D60="","",VLOOKUP(D60,契約台帳!$A$3:$Q$4986,17,FALSE))</f>
        <v/>
      </c>
      <c r="Y60" s="269" t="str">
        <f>IF(D60="","",VLOOKUP(D60,契約台帳!$A$3:$E$4986,5,FALSE))</f>
        <v/>
      </c>
      <c r="Z60" s="57"/>
      <c r="AA60" s="207" t="str">
        <f>IFERROR(VLOOKUP(F60&amp;K60&amp;M60,製品マスタ!$M$5:$AM$5002,27,FALSE),"")</f>
        <v/>
      </c>
      <c r="AB60" s="33"/>
      <c r="AC60" s="189"/>
      <c r="AD60" s="54"/>
      <c r="AE60" s="55"/>
      <c r="AF60" s="43"/>
      <c r="AG60" s="47"/>
      <c r="AH60" s="30"/>
      <c r="AI60" s="30"/>
      <c r="AJ60" s="30"/>
      <c r="AK60" s="30"/>
      <c r="AL60" s="13"/>
      <c r="AM60" s="13"/>
      <c r="AN60" s="13"/>
      <c r="AO60" s="13"/>
      <c r="AP60" s="13"/>
      <c r="AQ60" s="14"/>
      <c r="AR60" s="15"/>
    </row>
    <row r="61" spans="1:44" s="17" customFormat="1" ht="30.95" hidden="1" customHeight="1" x14ac:dyDescent="0.2">
      <c r="A61" s="37" t="s">
        <v>781</v>
      </c>
      <c r="B61" s="38"/>
      <c r="C61" s="45"/>
      <c r="D61" s="31">
        <v>3694110</v>
      </c>
      <c r="E61" s="31">
        <v>4151268</v>
      </c>
      <c r="F61" s="268" t="str">
        <f>IF(D61="","",VLOOKUP(D61,契約台帳!$A$3:$K$4986,6,FALSE)&amp;VLOOKUP(D61,契約台帳!$A$3:$K$4986,7,FALSE)&amp;VLOOKUP(D61,契約台帳!$A$3:$K$4986,8,FALSE)&amp;VLOOKUP(D61,契約台帳!$A$3:$K$4986,9,FALSE)&amp;VLOOKUP(D61,契約台帳!$A$3:$K$4986,11,FALSE))</f>
        <v>3SNMLBMNGTBF</v>
      </c>
      <c r="G61" s="269" t="str">
        <f>IF(D61="","",VLOOKUP(F61,製品マスタ!$G$5:$H$5002,2,FALSE))</f>
        <v>S</v>
      </c>
      <c r="H61" s="269" t="str">
        <f>IF(D61="","",VLOOKUP(F61,製品マスタ!$G$5:$K$5002,5,FALSE))</f>
        <v>MNGTBF</v>
      </c>
      <c r="I61" s="270" t="str">
        <f>IF(D61="","",VLOOKUP(F61,製品マスタ!$G$5:$L$5002,6,FALSE))</f>
        <v>メタルミー　ネーマー　銀艶　Ｂ</v>
      </c>
      <c r="J61" s="32" t="s">
        <v>447</v>
      </c>
      <c r="K61" s="270">
        <f>IF(D61="","",VLOOKUP(D61,契約台帳!$A$3:$L$4986,12,FALSE))</f>
        <v>25</v>
      </c>
      <c r="L61" s="270" t="str">
        <f>IF(D61="","",INDEX(製品マスタ!$Q$5:$Q$5002,MATCH(F61&amp;K61,製品マスタ!$AO$5:$AO$5002,0)))</f>
        <v>T62M</v>
      </c>
      <c r="M61" s="39">
        <v>1005</v>
      </c>
      <c r="N61" s="39">
        <v>12100</v>
      </c>
      <c r="O61" s="47">
        <v>4</v>
      </c>
      <c r="P61" s="57">
        <v>44945</v>
      </c>
      <c r="Q61" s="276">
        <f>IF(D61="","",IF(J61="リード付け",M61,VLOOKUP(D61,契約台帳!$A$3:$N$4986,14,FALSE)))</f>
        <v>1005</v>
      </c>
      <c r="R61" s="277">
        <f>IF(D61="","",IF(J61="リード付け",M61,VLOOKUP(D61,契約台帳!$A$3:$O$4986,15,FALSE)))</f>
        <v>1000</v>
      </c>
      <c r="S61" s="277">
        <f>IF(D61="","",IF(J61="リード付け",N61,VLOOKUP(D61,契約台帳!$A$3:$P$4986,16,FALSE)))</f>
        <v>4000</v>
      </c>
      <c r="T61" s="40">
        <v>12</v>
      </c>
      <c r="U61" s="278">
        <f ca="1">IF(D61="","",IF(OFFSET(D61,-2,0)=D61,"",VLOOKUP(D61,契約台帳!$A$3:$R$4986,18,FALSE)))</f>
        <v>15</v>
      </c>
      <c r="V61" s="269" t="str">
        <f>IF(J61="巻返し",VLOOKUP(F61&amp;K61&amp;M61,製品マスタ!$M$5:$AD$5002,18,FALSE),IF(J61="リード付け","原反コア",IF(J61="スリット",VLOOKUP(F61&amp;K61&amp;Q61,製品マスタ!$N$5:$AD$5002,17,FALSE),"")))</f>
        <v>6ｲﾝﾁSｺｱ</v>
      </c>
      <c r="W61" s="269">
        <f>IF(J61="巻返し",VLOOKUP(F61&amp;K61&amp;M61,製品マスタ!$M$5:$AE$5002,19,FALSE),IF(J61="リード付け","-",IF(J61="スリット",VLOOKUP(F61&amp;K61&amp;Q61,製品マスタ!$N$5:$AE$5002,18,FALSE),"")))</f>
        <v>1015</v>
      </c>
      <c r="X61" s="275">
        <f>IF(D61="","",VLOOKUP(D61,契約台帳!$A$3:$Q$4986,17,FALSE))</f>
        <v>2</v>
      </c>
      <c r="Y61" s="269" t="str">
        <f>IF(D61="","",VLOOKUP(D61,契約台帳!$A$3:$E$4986,5,FALSE))</f>
        <v>リンテック㈱</v>
      </c>
      <c r="Z61" s="57">
        <v>44951</v>
      </c>
      <c r="AA61" s="207">
        <f>IFERROR(VLOOKUP(F61&amp;K61&amp;M61,製品マスタ!$M$5:$AM$5002,27,FALSE),"")</f>
        <v>0</v>
      </c>
      <c r="AB61" s="33"/>
      <c r="AC61" s="189"/>
      <c r="AD61" s="54" t="str">
        <f>IF(F61="","",+F61&amp;K61)</f>
        <v>3SNMLBMNGTBF25</v>
      </c>
      <c r="AE61" s="55">
        <f>+M61*N61*O61/1000</f>
        <v>48642</v>
      </c>
      <c r="AF61" s="43">
        <f>IF(AD61="","",VLOOKUP(AD61,原価マスタ!$A$2:$AJ$1693,13,FALSE))</f>
        <v>97.5</v>
      </c>
      <c r="AG61" s="47">
        <f>IF(AF61="","",+AE61*AF61/100)</f>
        <v>47425.95</v>
      </c>
      <c r="AH61" s="30"/>
      <c r="AI61" s="30"/>
      <c r="AJ61" s="30"/>
      <c r="AK61" s="30"/>
      <c r="AL61" s="13"/>
      <c r="AM61" s="13"/>
      <c r="AN61" s="13"/>
      <c r="AO61" s="13"/>
      <c r="AP61" s="13"/>
      <c r="AQ61" s="14"/>
      <c r="AR61" s="15"/>
    </row>
    <row r="62" spans="1:44" s="17" customFormat="1" ht="30.95" hidden="1" customHeight="1" x14ac:dyDescent="0.2">
      <c r="A62" s="37"/>
      <c r="B62" s="38"/>
      <c r="C62" s="45"/>
      <c r="D62" s="31"/>
      <c r="E62" s="31"/>
      <c r="F62" s="268" t="str">
        <f>IF(D62="","",VLOOKUP(D62,契約台帳!$A$3:$K$4986,6,FALSE)&amp;VLOOKUP(D62,契約台帳!$A$3:$K$4986,7,FALSE)&amp;VLOOKUP(D62,契約台帳!$A$3:$K$4986,8,FALSE)&amp;VLOOKUP(D62,契約台帳!$A$3:$K$4986,9,FALSE)&amp;VLOOKUP(D62,契約台帳!$A$3:$K$4986,11,FALSE))</f>
        <v/>
      </c>
      <c r="G62" s="269" t="str">
        <f>IF(D62="","",VLOOKUP(F62,製品マスタ!$G$5:$H$5002,2,FALSE))</f>
        <v/>
      </c>
      <c r="H62" s="269" t="str">
        <f>IF(D62="","",VLOOKUP(F62,製品マスタ!$G$5:$K$5002,5,FALSE))</f>
        <v/>
      </c>
      <c r="I62" s="270" t="str">
        <f>IF(D62="","",VLOOKUP(F62,製品マスタ!$G$5:$L$5002,6,FALSE))</f>
        <v/>
      </c>
      <c r="J62" s="32"/>
      <c r="K62" s="270" t="str">
        <f>IF(D62="","",VLOOKUP(D62,契約台帳!$A$3:$L$4986,12,FALSE))</f>
        <v/>
      </c>
      <c r="L62" s="270" t="str">
        <f>IF(D62="","",INDEX(製品マスタ!$Q$5:$Q$5002,MATCH(F62&amp;K62,製品マスタ!$AO$5:$AO$5002,0)))</f>
        <v/>
      </c>
      <c r="M62" s="39"/>
      <c r="N62" s="39"/>
      <c r="O62" s="47"/>
      <c r="P62" s="57"/>
      <c r="Q62" s="276" t="str">
        <f>IF(D62="","",IF(J62="リード付け",M62,VLOOKUP(D62,契約台帳!$A$3:$N$4986,14,FALSE)))</f>
        <v/>
      </c>
      <c r="R62" s="277" t="str">
        <f>IF(D62="","",IF(J62="リード付け",M62,VLOOKUP(D62,契約台帳!$A$3:$O$4986,15,FALSE)))</f>
        <v/>
      </c>
      <c r="S62" s="277" t="str">
        <f>IF(D62="","",IF(J62="リード付け",N62,VLOOKUP(D62,契約台帳!$A$3:$P$4986,16,FALSE)))</f>
        <v/>
      </c>
      <c r="T62" s="40"/>
      <c r="U62" s="278" t="str">
        <f ca="1">IF(D62="","",IF(OFFSET(D62,-2,0)=D62,"",VLOOKUP(D62,契約台帳!$A$3:$R$4986,18,FALSE)))</f>
        <v/>
      </c>
      <c r="V62" s="269" t="str">
        <f>IF(J62="巻返し",VLOOKUP(F62&amp;K62&amp;M62,製品マスタ!$M$5:$AD$5002,18,FALSE),IF(J62="リード付け","原反コア",IF(J62="スリット",VLOOKUP(F62&amp;K62&amp;Q62,製品マスタ!$N$5:$AD$5002,17,FALSE),"")))</f>
        <v/>
      </c>
      <c r="W62" s="269" t="str">
        <f>IF(J62="巻返し",VLOOKUP(F62&amp;K62&amp;M62,製品マスタ!$M$5:$AE$5002,19,FALSE),IF(J62="リード付け","-",IF(J62="スリット",VLOOKUP(F62&amp;K62&amp;Q62,製品マスタ!$N$5:$AE$5002,18,FALSE),"")))</f>
        <v/>
      </c>
      <c r="X62" s="275" t="str">
        <f>IF(D62="","",VLOOKUP(D62,契約台帳!$A$3:$Q$4986,17,FALSE))</f>
        <v/>
      </c>
      <c r="Y62" s="269" t="str">
        <f>IF(D62="","",VLOOKUP(D62,契約台帳!$A$3:$E$4986,5,FALSE))</f>
        <v/>
      </c>
      <c r="Z62" s="57"/>
      <c r="AA62" s="207" t="str">
        <f>IFERROR(VLOOKUP(F62&amp;K62&amp;M62,製品マスタ!$M$5:$AM$5002,27,FALSE),"")</f>
        <v/>
      </c>
      <c r="AB62" s="33"/>
      <c r="AC62" s="189"/>
      <c r="AD62" s="54"/>
      <c r="AE62" s="55"/>
      <c r="AF62" s="43"/>
      <c r="AG62" s="47"/>
      <c r="AH62" s="30"/>
      <c r="AI62" s="30"/>
      <c r="AJ62" s="30"/>
      <c r="AK62" s="30"/>
      <c r="AL62" s="13"/>
      <c r="AM62" s="13"/>
      <c r="AN62" s="13"/>
      <c r="AO62" s="13"/>
      <c r="AP62" s="13"/>
      <c r="AQ62" s="14"/>
      <c r="AR62" s="15"/>
    </row>
    <row r="63" spans="1:44" s="17" customFormat="1" ht="30.95" hidden="1" customHeight="1" x14ac:dyDescent="0.2">
      <c r="A63" s="37" t="s">
        <v>793</v>
      </c>
      <c r="B63" s="38" t="s">
        <v>783</v>
      </c>
      <c r="C63" s="45"/>
      <c r="D63" s="31"/>
      <c r="E63" s="31"/>
      <c r="F63" s="268" t="str">
        <f>IF(D63="","",VLOOKUP(D63,契約台帳!$A$3:$K$4986,6,FALSE)&amp;VLOOKUP(D63,契約台帳!$A$3:$K$4986,7,FALSE)&amp;VLOOKUP(D63,契約台帳!$A$3:$K$4986,8,FALSE)&amp;VLOOKUP(D63,契約台帳!$A$3:$K$4986,9,FALSE)&amp;VLOOKUP(D63,契約台帳!$A$3:$K$4986,11,FALSE))</f>
        <v/>
      </c>
      <c r="G63" s="269" t="str">
        <f>IF(D63="","",VLOOKUP(F63,製品マスタ!$G$5:$H$5002,2,FALSE))</f>
        <v/>
      </c>
      <c r="H63" s="269" t="str">
        <f>IF(D63="","",VLOOKUP(F63,製品マスタ!$G$5:$K$5002,5,FALSE))</f>
        <v/>
      </c>
      <c r="I63" s="270" t="str">
        <f>IF(D63="","",VLOOKUP(F63,製品マスタ!$G$5:$L$5002,6,FALSE))</f>
        <v/>
      </c>
      <c r="J63" s="32" t="s">
        <v>448</v>
      </c>
      <c r="K63" s="270" t="str">
        <f>IF(D63="","",VLOOKUP(D63,契約台帳!$A$3:$L$4986,12,FALSE))</f>
        <v/>
      </c>
      <c r="L63" s="270" t="str">
        <f>IF(D63="","",INDEX(製品マスタ!$Q$5:$Q$5002,MATCH(F63&amp;K63,製品マスタ!$AO$5:$AO$5002,0)))</f>
        <v/>
      </c>
      <c r="M63" s="39"/>
      <c r="N63" s="39"/>
      <c r="O63" s="47"/>
      <c r="P63" s="57"/>
      <c r="Q63" s="276" t="str">
        <f>IF(D63="","",IF(J63="リード付け",M63,VLOOKUP(D63,契約台帳!$A$3:$N$4986,14,FALSE)))</f>
        <v/>
      </c>
      <c r="R63" s="277" t="str">
        <f>IF(D63="","",IF(J63="リード付け",M63,VLOOKUP(D63,契約台帳!$A$3:$O$4986,15,FALSE)))</f>
        <v/>
      </c>
      <c r="S63" s="277" t="str">
        <f>IF(D63="","",IF(J63="リード付け",N63,VLOOKUP(D63,契約台帳!$A$3:$P$4986,16,FALSE)))</f>
        <v/>
      </c>
      <c r="T63" s="40"/>
      <c r="U63" s="278" t="str">
        <f ca="1">IF(D63="","",IF(OFFSET(D63,-2,0)=D63,"",VLOOKUP(D63,契約台帳!$A$3:$R$4986,18,FALSE)))</f>
        <v/>
      </c>
      <c r="V63" s="269" t="str">
        <f>IF(J63="巻返し",VLOOKUP(F63&amp;K63&amp;M63,製品マスタ!$M$5:$AD$5002,18,FALSE),IF(J63="リード付け","原反コア",IF(J63="スリット",VLOOKUP(F63&amp;K63&amp;Q63,製品マスタ!$N$5:$AD$5002,17,FALSE),"")))</f>
        <v/>
      </c>
      <c r="W63" s="269" t="str">
        <f>IF(J63="巻返し",VLOOKUP(F63&amp;K63&amp;M63,製品マスタ!$M$5:$AE$5002,19,FALSE),IF(J63="リード付け","-",IF(J63="スリット",VLOOKUP(F63&amp;K63&amp;Q63,製品マスタ!$N$5:$AE$5002,18,FALSE),"")))</f>
        <v/>
      </c>
      <c r="X63" s="275" t="str">
        <f>IF(D63="","",VLOOKUP(D63,契約台帳!$A$3:$Q$4986,17,FALSE))</f>
        <v/>
      </c>
      <c r="Y63" s="269" t="str">
        <f>IF(D63="","",VLOOKUP(D63,契約台帳!$A$3:$E$4986,5,FALSE))</f>
        <v/>
      </c>
      <c r="Z63" s="57"/>
      <c r="AA63" s="207" t="str">
        <f>IFERROR(VLOOKUP(F63&amp;K63&amp;M63,製品マスタ!$M$5:$AM$5002,27,FALSE),"")</f>
        <v/>
      </c>
      <c r="AB63" s="33"/>
      <c r="AC63" s="189"/>
      <c r="AD63" s="54"/>
      <c r="AE63" s="55"/>
      <c r="AF63" s="43"/>
      <c r="AG63" s="47"/>
      <c r="AH63" s="30"/>
      <c r="AI63" s="30"/>
      <c r="AJ63" s="30"/>
      <c r="AK63" s="30"/>
      <c r="AL63" s="13"/>
      <c r="AM63" s="13"/>
      <c r="AN63" s="13"/>
      <c r="AO63" s="13"/>
      <c r="AP63" s="13"/>
      <c r="AQ63" s="14"/>
      <c r="AR63" s="15"/>
    </row>
    <row r="64" spans="1:44" s="17" customFormat="1" ht="30.95" hidden="1" customHeight="1" x14ac:dyDescent="0.2">
      <c r="A64" s="37"/>
      <c r="B64" s="38"/>
      <c r="C64" s="45"/>
      <c r="D64" s="31"/>
      <c r="E64" s="31"/>
      <c r="F64" s="268" t="str">
        <f>IF(D64="","",VLOOKUP(D64,契約台帳!$A$3:$K$4986,6,FALSE)&amp;VLOOKUP(D64,契約台帳!$A$3:$K$4986,7,FALSE)&amp;VLOOKUP(D64,契約台帳!$A$3:$K$4986,8,FALSE)&amp;VLOOKUP(D64,契約台帳!$A$3:$K$4986,9,FALSE)&amp;VLOOKUP(D64,契約台帳!$A$3:$K$4986,11,FALSE))</f>
        <v/>
      </c>
      <c r="G64" s="269" t="str">
        <f>IF(D64="","",VLOOKUP(F64,製品マスタ!$G$5:$H$5002,2,FALSE))</f>
        <v/>
      </c>
      <c r="H64" s="269" t="str">
        <f>IF(D64="","",VLOOKUP(F64,製品マスタ!$G$5:$K$5002,5,FALSE))</f>
        <v/>
      </c>
      <c r="I64" s="270" t="str">
        <f>IF(D64="","",VLOOKUP(F64,製品マスタ!$G$5:$L$5002,6,FALSE))</f>
        <v/>
      </c>
      <c r="J64" s="32"/>
      <c r="K64" s="270" t="str">
        <f>IF(D64="","",VLOOKUP(D64,契約台帳!$A$3:$L$4986,12,FALSE))</f>
        <v/>
      </c>
      <c r="L64" s="270" t="str">
        <f>IF(D64="","",INDEX(製品マスタ!$Q$5:$Q$5002,MATCH(F64&amp;K64,製品マスタ!$AO$5:$AO$5002,0)))</f>
        <v/>
      </c>
      <c r="M64" s="39"/>
      <c r="N64" s="39"/>
      <c r="O64" s="47"/>
      <c r="P64" s="57"/>
      <c r="Q64" s="276" t="str">
        <f>IF(D64="","",IF(J64="リード付け",M64,VLOOKUP(D64,契約台帳!$A$3:$N$4986,14,FALSE)))</f>
        <v/>
      </c>
      <c r="R64" s="277" t="str">
        <f>IF(D64="","",IF(J64="リード付け",M64,VLOOKUP(D64,契約台帳!$A$3:$O$4986,15,FALSE)))</f>
        <v/>
      </c>
      <c r="S64" s="277" t="str">
        <f>IF(D64="","",IF(J64="リード付け",N64,VLOOKUP(D64,契約台帳!$A$3:$P$4986,16,FALSE)))</f>
        <v/>
      </c>
      <c r="T64" s="40"/>
      <c r="U64" s="278" t="str">
        <f ca="1">IF(D64="","",IF(OFFSET(D64,-2,0)=D64,"",VLOOKUP(D64,契約台帳!$A$3:$R$4986,18,FALSE)))</f>
        <v/>
      </c>
      <c r="V64" s="269" t="str">
        <f>IF(J64="巻返し",VLOOKUP(F64&amp;K64&amp;M64,製品マスタ!$M$5:$AD$5002,18,FALSE),IF(J64="リード付け","原反コア",IF(J64="スリット",VLOOKUP(F64&amp;K64&amp;Q64,製品マスタ!$N$5:$AD$5002,17,FALSE),"")))</f>
        <v/>
      </c>
      <c r="W64" s="269" t="str">
        <f>IF(J64="巻返し",VLOOKUP(F64&amp;K64&amp;M64,製品マスタ!$M$5:$AE$5002,19,FALSE),IF(J64="リード付け","-",IF(J64="スリット",VLOOKUP(F64&amp;K64&amp;Q64,製品マスタ!$N$5:$AE$5002,18,FALSE),"")))</f>
        <v/>
      </c>
      <c r="X64" s="275" t="str">
        <f>IF(D64="","",VLOOKUP(D64,契約台帳!$A$3:$Q$4986,17,FALSE))</f>
        <v/>
      </c>
      <c r="Y64" s="269" t="str">
        <f>IF(D64="","",VLOOKUP(D64,契約台帳!$A$3:$E$4986,5,FALSE))</f>
        <v/>
      </c>
      <c r="Z64" s="57"/>
      <c r="AA64" s="207" t="str">
        <f>IFERROR(VLOOKUP(F64&amp;K64&amp;M64,製品マスタ!$M$5:$AM$5002,27,FALSE),"")</f>
        <v/>
      </c>
      <c r="AB64" s="33"/>
      <c r="AC64" s="189"/>
      <c r="AD64" s="54"/>
      <c r="AE64" s="55"/>
      <c r="AF64" s="43"/>
      <c r="AG64" s="47"/>
      <c r="AH64" s="30"/>
      <c r="AI64" s="30"/>
      <c r="AJ64" s="30"/>
      <c r="AK64" s="30"/>
      <c r="AL64" s="13"/>
      <c r="AM64" s="13"/>
      <c r="AN64" s="13"/>
      <c r="AO64" s="13"/>
      <c r="AP64" s="13"/>
      <c r="AQ64" s="14"/>
      <c r="AR64" s="15"/>
    </row>
    <row r="65" spans="1:44" s="17" customFormat="1" ht="30.95" hidden="1" customHeight="1" x14ac:dyDescent="0.2">
      <c r="A65" s="37" t="s">
        <v>794</v>
      </c>
      <c r="B65" s="38" t="s">
        <v>785</v>
      </c>
      <c r="C65" s="45"/>
      <c r="D65" s="31"/>
      <c r="E65" s="31"/>
      <c r="F65" s="268" t="str">
        <f>IF(D65="","",VLOOKUP(D65,契約台帳!$A$3:$K$4986,6,FALSE)&amp;VLOOKUP(D65,契約台帳!$A$3:$K$4986,7,FALSE)&amp;VLOOKUP(D65,契約台帳!$A$3:$K$4986,8,FALSE)&amp;VLOOKUP(D65,契約台帳!$A$3:$K$4986,9,FALSE)&amp;VLOOKUP(D65,契約台帳!$A$3:$K$4986,11,FALSE))</f>
        <v/>
      </c>
      <c r="G65" s="269" t="str">
        <f>IF(D65="","",VLOOKUP(F65,製品マスタ!$G$5:$H$5002,2,FALSE))</f>
        <v/>
      </c>
      <c r="H65" s="269" t="str">
        <f>IF(D65="","",VLOOKUP(F65,製品マスタ!$G$5:$K$5002,5,FALSE))</f>
        <v/>
      </c>
      <c r="I65" s="270" t="str">
        <f>IF(D65="","",VLOOKUP(F65,製品マスタ!$G$5:$L$5002,6,FALSE))</f>
        <v/>
      </c>
      <c r="J65" s="32" t="s">
        <v>448</v>
      </c>
      <c r="K65" s="270" t="str">
        <f>IF(D65="","",VLOOKUP(D65,契約台帳!$A$3:$L$4986,12,FALSE))</f>
        <v/>
      </c>
      <c r="L65" s="270" t="str">
        <f>IF(D65="","",INDEX(製品マスタ!$Q$5:$Q$5002,MATCH(F65&amp;K65,製品マスタ!$AO$5:$AO$5002,0)))</f>
        <v/>
      </c>
      <c r="M65" s="39"/>
      <c r="N65" s="39"/>
      <c r="O65" s="47"/>
      <c r="P65" s="57"/>
      <c r="Q65" s="276" t="str">
        <f>IF(D65="","",IF(J65="リード付け",M65,VLOOKUP(D65,契約台帳!$A$3:$N$4986,14,FALSE)))</f>
        <v/>
      </c>
      <c r="R65" s="277" t="str">
        <f>IF(D65="","",IF(J65="リード付け",M65,VLOOKUP(D65,契約台帳!$A$3:$O$4986,15,FALSE)))</f>
        <v/>
      </c>
      <c r="S65" s="277" t="str">
        <f>IF(D65="","",IF(J65="リード付け",N65,VLOOKUP(D65,契約台帳!$A$3:$P$4986,16,FALSE)))</f>
        <v/>
      </c>
      <c r="T65" s="40"/>
      <c r="U65" s="278" t="str">
        <f ca="1">IF(D65="","",IF(OFFSET(D65,-2,0)=D65,"",VLOOKUP(D65,契約台帳!$A$3:$R$4986,18,FALSE)))</f>
        <v/>
      </c>
      <c r="V65" s="269" t="str">
        <f>IF(J65="巻返し",VLOOKUP(F65&amp;K65&amp;M65,製品マスタ!$M$5:$AD$5002,18,FALSE),IF(J65="リード付け","原反コア",IF(J65="スリット",VLOOKUP(F65&amp;K65&amp;Q65,製品マスタ!$N$5:$AD$5002,17,FALSE),"")))</f>
        <v/>
      </c>
      <c r="W65" s="269" t="str">
        <f>IF(J65="巻返し",VLOOKUP(F65&amp;K65&amp;M65,製品マスタ!$M$5:$AE$5002,19,FALSE),IF(J65="リード付け","-",IF(J65="スリット",VLOOKUP(F65&amp;K65&amp;Q65,製品マスタ!$N$5:$AE$5002,18,FALSE),"")))</f>
        <v/>
      </c>
      <c r="X65" s="275" t="str">
        <f>IF(D65="","",VLOOKUP(D65,契約台帳!$A$3:$Q$4986,17,FALSE))</f>
        <v/>
      </c>
      <c r="Y65" s="269" t="str">
        <f>IF(D65="","",VLOOKUP(D65,契約台帳!$A$3:$E$4986,5,FALSE))</f>
        <v/>
      </c>
      <c r="Z65" s="57"/>
      <c r="AA65" s="207" t="str">
        <f>IFERROR(VLOOKUP(F65&amp;K65&amp;M65,製品マスタ!$M$5:$AM$5002,27,FALSE),"")</f>
        <v/>
      </c>
      <c r="AB65" s="33"/>
      <c r="AC65" s="189"/>
      <c r="AD65" s="54"/>
      <c r="AE65" s="55"/>
      <c r="AF65" s="43"/>
      <c r="AG65" s="47"/>
      <c r="AH65" s="30"/>
      <c r="AI65" s="30"/>
      <c r="AJ65" s="30"/>
      <c r="AK65" s="30"/>
      <c r="AL65" s="13"/>
      <c r="AM65" s="13"/>
      <c r="AN65" s="13"/>
      <c r="AO65" s="13"/>
      <c r="AP65" s="13"/>
      <c r="AQ65" s="14"/>
      <c r="AR65" s="15"/>
    </row>
    <row r="66" spans="1:44" s="17" customFormat="1" ht="30.95" hidden="1" customHeight="1" x14ac:dyDescent="0.2">
      <c r="A66" s="37"/>
      <c r="B66" s="38"/>
      <c r="C66" s="45"/>
      <c r="D66" s="31"/>
      <c r="E66" s="31"/>
      <c r="F66" s="268" t="str">
        <f>IF(D66="","",VLOOKUP(D66,契約台帳!$A$3:$K$4986,6,FALSE)&amp;VLOOKUP(D66,契約台帳!$A$3:$K$4986,7,FALSE)&amp;VLOOKUP(D66,契約台帳!$A$3:$K$4986,8,FALSE)&amp;VLOOKUP(D66,契約台帳!$A$3:$K$4986,9,FALSE)&amp;VLOOKUP(D66,契約台帳!$A$3:$K$4986,11,FALSE))</f>
        <v/>
      </c>
      <c r="G66" s="269" t="str">
        <f>IF(D66="","",VLOOKUP(F66,製品マスタ!$G$5:$H$5002,2,FALSE))</f>
        <v/>
      </c>
      <c r="H66" s="269" t="str">
        <f>IF(D66="","",VLOOKUP(F66,製品マスタ!$G$5:$K$5002,5,FALSE))</f>
        <v/>
      </c>
      <c r="I66" s="270" t="str">
        <f>IF(D66="","",VLOOKUP(F66,製品マスタ!$G$5:$L$5002,6,FALSE))</f>
        <v/>
      </c>
      <c r="J66" s="32"/>
      <c r="K66" s="270" t="str">
        <f>IF(D66="","",VLOOKUP(D66,契約台帳!$A$3:$L$4986,12,FALSE))</f>
        <v/>
      </c>
      <c r="L66" s="270" t="str">
        <f>IF(D66="","",INDEX(製品マスタ!$Q$5:$Q$5002,MATCH(F66&amp;K66,製品マスタ!$AO$5:$AO$5002,0)))</f>
        <v/>
      </c>
      <c r="M66" s="39"/>
      <c r="N66" s="39"/>
      <c r="O66" s="47"/>
      <c r="P66" s="57"/>
      <c r="Q66" s="276" t="str">
        <f>IF(D66="","",IF(J66="リード付け",M66,VLOOKUP(D66,契約台帳!$A$3:$N$4986,14,FALSE)))</f>
        <v/>
      </c>
      <c r="R66" s="277" t="str">
        <f>IF(D66="","",IF(J66="リード付け",M66,VLOOKUP(D66,契約台帳!$A$3:$O$4986,15,FALSE)))</f>
        <v/>
      </c>
      <c r="S66" s="277" t="str">
        <f>IF(D66="","",IF(J66="リード付け",N66,VLOOKUP(D66,契約台帳!$A$3:$P$4986,16,FALSE)))</f>
        <v/>
      </c>
      <c r="T66" s="40"/>
      <c r="U66" s="278" t="str">
        <f ca="1">IF(D66="","",IF(OFFSET(D66,-2,0)=D66,"",VLOOKUP(D66,契約台帳!$A$3:$R$4986,18,FALSE)))</f>
        <v/>
      </c>
      <c r="V66" s="269" t="str">
        <f>IF(J66="巻返し",VLOOKUP(F66&amp;K66&amp;M66,製品マスタ!$M$5:$AD$5002,18,FALSE),IF(J66="リード付け","原反コア",IF(J66="スリット",VLOOKUP(F66&amp;K66&amp;Q66,製品マスタ!$N$5:$AD$5002,17,FALSE),"")))</f>
        <v/>
      </c>
      <c r="W66" s="269" t="str">
        <f>IF(J66="巻返し",VLOOKUP(F66&amp;K66&amp;M66,製品マスタ!$M$5:$AE$5002,19,FALSE),IF(J66="リード付け","-",IF(J66="スリット",VLOOKUP(F66&amp;K66&amp;Q66,製品マスタ!$N$5:$AE$5002,18,FALSE),"")))</f>
        <v/>
      </c>
      <c r="X66" s="275" t="str">
        <f>IF(D66="","",VLOOKUP(D66,契約台帳!$A$3:$Q$4986,17,FALSE))</f>
        <v/>
      </c>
      <c r="Y66" s="269" t="str">
        <f>IF(D66="","",VLOOKUP(D66,契約台帳!$A$3:$E$4986,5,FALSE))</f>
        <v/>
      </c>
      <c r="Z66" s="57"/>
      <c r="AA66" s="207" t="str">
        <f>IFERROR(VLOOKUP(F66&amp;K66&amp;M66,製品マスタ!$M$5:$AM$5002,27,FALSE),"")</f>
        <v/>
      </c>
      <c r="AB66" s="33"/>
      <c r="AC66" s="189"/>
      <c r="AD66" s="54"/>
      <c r="AE66" s="55"/>
      <c r="AF66" s="43"/>
      <c r="AG66" s="47"/>
      <c r="AH66" s="30"/>
      <c r="AI66" s="30"/>
      <c r="AJ66" s="30"/>
      <c r="AK66" s="30"/>
      <c r="AL66" s="13"/>
      <c r="AM66" s="13"/>
      <c r="AN66" s="13"/>
      <c r="AO66" s="13"/>
      <c r="AP66" s="13"/>
      <c r="AQ66" s="14"/>
      <c r="AR66" s="15"/>
    </row>
    <row r="67" spans="1:44" s="17" customFormat="1" ht="30.95" hidden="1" customHeight="1" x14ac:dyDescent="0.2">
      <c r="A67" s="37" t="s">
        <v>795</v>
      </c>
      <c r="B67" s="38" t="s">
        <v>787</v>
      </c>
      <c r="C67" s="45"/>
      <c r="D67" s="31">
        <v>3694110</v>
      </c>
      <c r="E67" s="31">
        <v>4151268</v>
      </c>
      <c r="F67" s="268" t="str">
        <f>IF(D67="","",VLOOKUP(D67,契約台帳!$A$3:$K$4986,6,FALSE)&amp;VLOOKUP(D67,契約台帳!$A$3:$K$4986,7,FALSE)&amp;VLOOKUP(D67,契約台帳!$A$3:$K$4986,8,FALSE)&amp;VLOOKUP(D67,契約台帳!$A$3:$K$4986,9,FALSE)&amp;VLOOKUP(D67,契約台帳!$A$3:$K$4986,11,FALSE))</f>
        <v>3SNMLBMNGTBF</v>
      </c>
      <c r="G67" s="269" t="str">
        <f>IF(D67="","",VLOOKUP(F67,製品マスタ!$G$5:$H$5002,2,FALSE))</f>
        <v>S</v>
      </c>
      <c r="H67" s="269" t="str">
        <f>IF(D67="","",VLOOKUP(F67,製品マスタ!$G$5:$K$5002,5,FALSE))</f>
        <v>MNGTBF</v>
      </c>
      <c r="I67" s="270" t="str">
        <f>IF(D67="","",VLOOKUP(F67,製品マスタ!$G$5:$L$5002,6,FALSE))</f>
        <v>メタルミー　ネーマー　銀艶　Ｂ</v>
      </c>
      <c r="J67" s="32" t="s">
        <v>447</v>
      </c>
      <c r="K67" s="270">
        <f>IF(D67="","",VLOOKUP(D67,契約台帳!$A$3:$L$4986,12,FALSE))</f>
        <v>25</v>
      </c>
      <c r="L67" s="270" t="str">
        <f>IF(D67="","",INDEX(製品マスタ!$Q$5:$Q$5002,MATCH(F67&amp;K67,製品マスタ!$AO$5:$AO$5002,0)))</f>
        <v>T62M</v>
      </c>
      <c r="M67" s="39">
        <v>1005</v>
      </c>
      <c r="N67" s="39">
        <v>12100</v>
      </c>
      <c r="O67" s="47">
        <v>1</v>
      </c>
      <c r="P67" s="57">
        <v>44945</v>
      </c>
      <c r="Q67" s="276">
        <f>IF(D67="","",IF(J67="リード付け",M67,VLOOKUP(D67,契約台帳!$A$3:$N$4986,14,FALSE)))</f>
        <v>1005</v>
      </c>
      <c r="R67" s="277">
        <f>IF(D67="","",IF(J67="リード付け",M67,VLOOKUP(D67,契約台帳!$A$3:$O$4986,15,FALSE)))</f>
        <v>1000</v>
      </c>
      <c r="S67" s="277">
        <f>IF(D67="","",IF(J67="リード付け",N67,VLOOKUP(D67,契約台帳!$A$3:$P$4986,16,FALSE)))</f>
        <v>4000</v>
      </c>
      <c r="T67" s="40">
        <v>3</v>
      </c>
      <c r="U67" s="278">
        <f ca="1">IF(D67="","",IF(OFFSET(D67,-2,0)=D67,"",VLOOKUP(D67,契約台帳!$A$3:$R$4986,18,FALSE)))</f>
        <v>15</v>
      </c>
      <c r="V67" s="269" t="str">
        <f>IF(J67="巻返し",VLOOKUP(F67&amp;K67&amp;M67,製品マスタ!$M$5:$AD$5002,18,FALSE),IF(J67="リード付け","原反コア",IF(J67="スリット",VLOOKUP(F67&amp;K67&amp;Q67,製品マスタ!$N$5:$AD$5002,17,FALSE),"")))</f>
        <v>6ｲﾝﾁSｺｱ</v>
      </c>
      <c r="W67" s="269">
        <f>IF(J67="巻返し",VLOOKUP(F67&amp;K67&amp;M67,製品マスタ!$M$5:$AE$5002,19,FALSE),IF(J67="リード付け","-",IF(J67="スリット",VLOOKUP(F67&amp;K67&amp;Q67,製品マスタ!$N$5:$AE$5002,18,FALSE),"")))</f>
        <v>1015</v>
      </c>
      <c r="X67" s="275">
        <f>IF(D67="","",VLOOKUP(D67,契約台帳!$A$3:$Q$4986,17,FALSE))</f>
        <v>2</v>
      </c>
      <c r="Y67" s="269" t="str">
        <f>IF(D67="","",VLOOKUP(D67,契約台帳!$A$3:$E$4986,5,FALSE))</f>
        <v>リンテック㈱</v>
      </c>
      <c r="Z67" s="57">
        <v>44952</v>
      </c>
      <c r="AA67" s="207">
        <f>IFERROR(VLOOKUP(F67&amp;K67&amp;M67,製品マスタ!$M$5:$AM$5002,27,FALSE),"")</f>
        <v>0</v>
      </c>
      <c r="AB67" s="33"/>
      <c r="AC67" s="189"/>
      <c r="AD67" s="54" t="str">
        <f>IF(F67="","",+F67&amp;K67)</f>
        <v>3SNMLBMNGTBF25</v>
      </c>
      <c r="AE67" s="55">
        <f>+M67*N67*O67/1000</f>
        <v>12160.5</v>
      </c>
      <c r="AF67" s="43">
        <f>IF(AD67="","",VLOOKUP(AD67,原価マスタ!$A$2:$AJ$1693,13,FALSE))</f>
        <v>97.5</v>
      </c>
      <c r="AG67" s="47">
        <f>IF(AF67="","",+AE67*AF67/100)</f>
        <v>11856.487499999999</v>
      </c>
      <c r="AH67" s="30"/>
      <c r="AI67" s="30"/>
      <c r="AJ67" s="30"/>
      <c r="AK67" s="30"/>
      <c r="AL67" s="13"/>
      <c r="AM67" s="13"/>
      <c r="AN67" s="13"/>
      <c r="AO67" s="13"/>
      <c r="AP67" s="13"/>
      <c r="AQ67" s="14"/>
      <c r="AR67" s="15"/>
    </row>
    <row r="68" spans="1:44" s="17" customFormat="1" ht="30.95" hidden="1" customHeight="1" x14ac:dyDescent="0.2">
      <c r="A68" s="37"/>
      <c r="B68" s="38"/>
      <c r="C68" s="45"/>
      <c r="D68" s="31"/>
      <c r="E68" s="31"/>
      <c r="F68" s="268" t="str">
        <f>IF(D68="","",VLOOKUP(D68,契約台帳!$A$3:$K$4986,6,FALSE)&amp;VLOOKUP(D68,契約台帳!$A$3:$K$4986,7,FALSE)&amp;VLOOKUP(D68,契約台帳!$A$3:$K$4986,8,FALSE)&amp;VLOOKUP(D68,契約台帳!$A$3:$K$4986,9,FALSE)&amp;VLOOKUP(D68,契約台帳!$A$3:$K$4986,11,FALSE))</f>
        <v/>
      </c>
      <c r="G68" s="269" t="str">
        <f>IF(D68="","",VLOOKUP(F68,製品マスタ!$G$5:$H$5002,2,FALSE))</f>
        <v/>
      </c>
      <c r="H68" s="269" t="str">
        <f>IF(D68="","",VLOOKUP(F68,製品マスタ!$G$5:$K$5002,5,FALSE))</f>
        <v/>
      </c>
      <c r="I68" s="270" t="str">
        <f>IF(D68="","",VLOOKUP(F68,製品マスタ!$G$5:$L$5002,6,FALSE))</f>
        <v/>
      </c>
      <c r="J68" s="32"/>
      <c r="K68" s="270" t="str">
        <f>IF(D68="","",VLOOKUP(D68,契約台帳!$A$3:$L$4986,12,FALSE))</f>
        <v/>
      </c>
      <c r="L68" s="270" t="str">
        <f>IF(D68="","",INDEX(製品マスタ!$Q$5:$Q$5002,MATCH(F68&amp;K68,製品マスタ!$AO$5:$AO$5002,0)))</f>
        <v/>
      </c>
      <c r="M68" s="39"/>
      <c r="N68" s="39"/>
      <c r="O68" s="47"/>
      <c r="P68" s="57"/>
      <c r="Q68" s="276" t="str">
        <f>IF(D68="","",IF(J68="リード付け",M68,VLOOKUP(D68,契約台帳!$A$3:$N$4986,14,FALSE)))</f>
        <v/>
      </c>
      <c r="R68" s="277" t="str">
        <f>IF(D68="","",IF(J68="リード付け",M68,VLOOKUP(D68,契約台帳!$A$3:$O$4986,15,FALSE)))</f>
        <v/>
      </c>
      <c r="S68" s="277" t="str">
        <f>IF(D68="","",IF(J68="リード付け",N68,VLOOKUP(D68,契約台帳!$A$3:$P$4986,16,FALSE)))</f>
        <v/>
      </c>
      <c r="T68" s="40"/>
      <c r="U68" s="278" t="str">
        <f ca="1">IF(D68="","",IF(OFFSET(D68,-2,0)=D68,"",VLOOKUP(D68,契約台帳!$A$3:$R$4986,18,FALSE)))</f>
        <v/>
      </c>
      <c r="V68" s="269" t="str">
        <f>IF(J68="巻返し",VLOOKUP(F68&amp;K68&amp;M68,製品マスタ!$M$5:$AD$5002,18,FALSE),IF(J68="リード付け","原反コア",IF(J68="スリット",VLOOKUP(F68&amp;K68&amp;Q68,製品マスタ!$N$5:$AD$5002,17,FALSE),"")))</f>
        <v/>
      </c>
      <c r="W68" s="269" t="str">
        <f>IF(J68="巻返し",VLOOKUP(F68&amp;K68&amp;M68,製品マスタ!$M$5:$AE$5002,19,FALSE),IF(J68="リード付け","-",IF(J68="スリット",VLOOKUP(F68&amp;K68&amp;Q68,製品マスタ!$N$5:$AE$5002,18,FALSE),"")))</f>
        <v/>
      </c>
      <c r="X68" s="275" t="str">
        <f>IF(D68="","",VLOOKUP(D68,契約台帳!$A$3:$Q$4986,17,FALSE))</f>
        <v/>
      </c>
      <c r="Y68" s="269" t="str">
        <f>IF(D68="","",VLOOKUP(D68,契約台帳!$A$3:$E$4986,5,FALSE))</f>
        <v/>
      </c>
      <c r="Z68" s="57"/>
      <c r="AA68" s="207" t="str">
        <f>IFERROR(VLOOKUP(F68&amp;K68&amp;M68,製品マスタ!$M$5:$AM$5002,27,FALSE),"")</f>
        <v/>
      </c>
      <c r="AB68" s="33"/>
      <c r="AC68" s="189"/>
      <c r="AD68" s="54"/>
      <c r="AE68" s="55"/>
      <c r="AF68" s="43"/>
      <c r="AG68" s="47"/>
      <c r="AH68" s="30"/>
      <c r="AI68" s="30"/>
      <c r="AJ68" s="30"/>
      <c r="AK68" s="30"/>
      <c r="AL68" s="13"/>
      <c r="AM68" s="13"/>
      <c r="AN68" s="13"/>
      <c r="AO68" s="13"/>
      <c r="AP68" s="13"/>
      <c r="AQ68" s="14"/>
      <c r="AR68" s="15"/>
    </row>
    <row r="69" spans="1:44" s="17" customFormat="1" ht="30.95" hidden="1" customHeight="1" x14ac:dyDescent="0.2">
      <c r="A69" s="37"/>
      <c r="B69" s="38"/>
      <c r="C69" s="45"/>
      <c r="D69" s="31">
        <v>3694119</v>
      </c>
      <c r="E69" s="31">
        <v>4151272</v>
      </c>
      <c r="F69" s="268" t="str">
        <f>IF(D69="","",VLOOKUP(D69,契約台帳!$A$3:$K$4986,6,FALSE)&amp;VLOOKUP(D69,契約台帳!$A$3:$K$4986,7,FALSE)&amp;VLOOKUP(D69,契約台帳!$A$3:$K$4986,8,FALSE)&amp;VLOOKUP(D69,契約台帳!$A$3:$K$4986,9,FALSE)&amp;VLOOKUP(D69,契約台帳!$A$3:$K$4986,11,FALSE))</f>
        <v>3SNMLBMNQR66F</v>
      </c>
      <c r="G69" s="269" t="str">
        <f>IF(D69="","",VLOOKUP(F69,製品マスタ!$G$5:$H$5002,2,FALSE))</f>
        <v>S</v>
      </c>
      <c r="H69" s="269" t="str">
        <f>IF(D69="","",VLOOKUP(F69,製品マスタ!$G$5:$K$5002,5,FALSE))</f>
        <v>MNQR66F</v>
      </c>
      <c r="I69" s="270" t="str">
        <f>IF(D69="","",VLOOKUP(F69,製品マスタ!$G$5:$L$5002,6,FALSE))</f>
        <v>ＱＲ６６蒸着品</v>
      </c>
      <c r="J69" s="32" t="s">
        <v>447</v>
      </c>
      <c r="K69" s="270">
        <f>IF(D69="","",VLOOKUP(D69,契約台帳!$A$3:$L$4986,12,FALSE))</f>
        <v>25</v>
      </c>
      <c r="L69" s="270" t="str">
        <f>IF(D69="","",INDEX(製品マスタ!$Q$5:$Q$5002,MATCH(F69&amp;K69,製品マスタ!$AO$5:$AO$5002,0)))</f>
        <v>E315</v>
      </c>
      <c r="M69" s="39">
        <v>1000</v>
      </c>
      <c r="N69" s="39">
        <v>18000</v>
      </c>
      <c r="O69" s="47">
        <v>1</v>
      </c>
      <c r="P69" s="57">
        <v>44946</v>
      </c>
      <c r="Q69" s="276">
        <f>IF(D69="","",IF(J69="リード付け",M69,VLOOKUP(D69,契約台帳!$A$3:$N$4986,14,FALSE)))</f>
        <v>1000</v>
      </c>
      <c r="R69" s="277">
        <f>IF(D69="","",IF(J69="リード付け",M69,VLOOKUP(D69,契約台帳!$A$3:$O$4986,15,FALSE)))</f>
        <v>1000</v>
      </c>
      <c r="S69" s="277">
        <f>IF(D69="","",IF(J69="リード付け",N69,VLOOKUP(D69,契約台帳!$A$3:$P$4986,16,FALSE)))</f>
        <v>6000</v>
      </c>
      <c r="T69" s="40">
        <v>3</v>
      </c>
      <c r="U69" s="278">
        <f ca="1">IF(D69="","",IF(OFFSET(D69,-2,0)=D69,"",VLOOKUP(D69,契約台帳!$A$3:$R$4986,18,FALSE)))</f>
        <v>8</v>
      </c>
      <c r="V69" s="269" t="str">
        <f>IF(J69="巻返し",VLOOKUP(F69&amp;K69&amp;M69,製品マスタ!$M$5:$AD$5002,18,FALSE),IF(J69="リード付け","原反コア",IF(J69="スリット",VLOOKUP(F69&amp;K69&amp;Q69,製品マスタ!$N$5:$AD$5002,17,FALSE),"")))</f>
        <v>6ｲﾝﾁMｺｱ</v>
      </c>
      <c r="W69" s="269">
        <f>IF(J69="巻返し",VLOOKUP(F69&amp;K69&amp;M69,製品マスタ!$M$5:$AE$5002,19,FALSE),IF(J69="リード付け","-",IF(J69="スリット",VLOOKUP(F69&amp;K69&amp;Q69,製品マスタ!$N$5:$AE$5002,18,FALSE),"")))</f>
        <v>1010</v>
      </c>
      <c r="X69" s="275">
        <f>IF(D69="","",VLOOKUP(D69,契約台帳!$A$3:$Q$4986,17,FALSE))</f>
        <v>2</v>
      </c>
      <c r="Y69" s="269" t="str">
        <f>IF(D69="","",VLOOKUP(D69,契約台帳!$A$3:$E$4986,5,FALSE))</f>
        <v>リンテック㈱</v>
      </c>
      <c r="Z69" s="57">
        <v>44952</v>
      </c>
      <c r="AA69" s="207" t="str">
        <f>IFERROR(VLOOKUP(F69&amp;K69&amp;M69,製品マスタ!$M$5:$AM$5002,27,FALSE),"")</f>
        <v>原反ケース再利用</v>
      </c>
      <c r="AB69" s="33"/>
      <c r="AC69" s="189"/>
      <c r="AD69" s="54" t="str">
        <f>IF(F69="","",+F69&amp;K69)</f>
        <v>3SNMLBMNQR66F25</v>
      </c>
      <c r="AE69" s="55">
        <f>+M69*N69*O69/1000</f>
        <v>18000</v>
      </c>
      <c r="AF69" s="43">
        <f>IF(AD69="","",VLOOKUP(AD69,原価マスタ!$A$2:$AJ$1693,13,FALSE))</f>
        <v>98</v>
      </c>
      <c r="AG69" s="47">
        <f>IF(AF69="","",+AE69*AF69/100)</f>
        <v>17640</v>
      </c>
      <c r="AH69" s="30"/>
      <c r="AI69" s="30"/>
      <c r="AJ69" s="30"/>
      <c r="AK69" s="30"/>
      <c r="AL69" s="13"/>
      <c r="AM69" s="13"/>
      <c r="AN69" s="13"/>
      <c r="AO69" s="13"/>
      <c r="AP69" s="13"/>
      <c r="AQ69" s="14"/>
      <c r="AR69" s="15"/>
    </row>
    <row r="70" spans="1:44" s="17" customFormat="1" ht="30.95" hidden="1" customHeight="1" x14ac:dyDescent="0.2">
      <c r="A70" s="37"/>
      <c r="B70" s="38"/>
      <c r="C70" s="45"/>
      <c r="D70" s="31"/>
      <c r="E70" s="31"/>
      <c r="F70" s="268" t="str">
        <f>IF(D70="","",VLOOKUP(D70,契約台帳!$A$3:$K$4986,6,FALSE)&amp;VLOOKUP(D70,契約台帳!$A$3:$K$4986,7,FALSE)&amp;VLOOKUP(D70,契約台帳!$A$3:$K$4986,8,FALSE)&amp;VLOOKUP(D70,契約台帳!$A$3:$K$4986,9,FALSE)&amp;VLOOKUP(D70,契約台帳!$A$3:$K$4986,11,FALSE))</f>
        <v/>
      </c>
      <c r="G70" s="269" t="str">
        <f>IF(D70="","",VLOOKUP(F70,製品マスタ!$G$5:$H$5002,2,FALSE))</f>
        <v/>
      </c>
      <c r="H70" s="269" t="str">
        <f>IF(D70="","",VLOOKUP(F70,製品マスタ!$G$5:$K$5002,5,FALSE))</f>
        <v/>
      </c>
      <c r="I70" s="270" t="str">
        <f>IF(D70="","",VLOOKUP(F70,製品マスタ!$G$5:$L$5002,6,FALSE))</f>
        <v/>
      </c>
      <c r="J70" s="32"/>
      <c r="K70" s="270" t="str">
        <f>IF(D70="","",VLOOKUP(D70,契約台帳!$A$3:$L$4986,12,FALSE))</f>
        <v/>
      </c>
      <c r="L70" s="270" t="str">
        <f>IF(D70="","",INDEX(製品マスタ!$Q$5:$Q$5002,MATCH(F70&amp;K70,製品マスタ!$AO$5:$AO$5002,0)))</f>
        <v/>
      </c>
      <c r="M70" s="39"/>
      <c r="N70" s="39"/>
      <c r="O70" s="47"/>
      <c r="P70" s="57"/>
      <c r="Q70" s="276" t="str">
        <f>IF(D70="","",IF(J70="リード付け",M70,VLOOKUP(D70,契約台帳!$A$3:$N$4986,14,FALSE)))</f>
        <v/>
      </c>
      <c r="R70" s="277" t="str">
        <f>IF(D70="","",IF(J70="リード付け",M70,VLOOKUP(D70,契約台帳!$A$3:$O$4986,15,FALSE)))</f>
        <v/>
      </c>
      <c r="S70" s="277" t="str">
        <f>IF(D70="","",IF(J70="リード付け",N70,VLOOKUP(D70,契約台帳!$A$3:$P$4986,16,FALSE)))</f>
        <v/>
      </c>
      <c r="T70" s="40"/>
      <c r="U70" s="278" t="str">
        <f ca="1">IF(D70="","",IF(OFFSET(D70,-2,0)=D70,"",VLOOKUP(D70,契約台帳!$A$3:$R$4986,18,FALSE)))</f>
        <v/>
      </c>
      <c r="V70" s="269" t="str">
        <f>IF(J70="巻返し",VLOOKUP(F70&amp;K70&amp;M70,製品マスタ!$M$5:$AD$5002,18,FALSE),IF(J70="リード付け","原反コア",IF(J70="スリット",VLOOKUP(F70&amp;K70&amp;Q70,製品マスタ!$N$5:$AD$5002,17,FALSE),"")))</f>
        <v/>
      </c>
      <c r="W70" s="269" t="str">
        <f>IF(J70="巻返し",VLOOKUP(F70&amp;K70&amp;M70,製品マスタ!$M$5:$AE$5002,19,FALSE),IF(J70="リード付け","-",IF(J70="スリット",VLOOKUP(F70&amp;K70&amp;Q70,製品マスタ!$N$5:$AE$5002,18,FALSE),"")))</f>
        <v/>
      </c>
      <c r="X70" s="275" t="str">
        <f>IF(D70="","",VLOOKUP(D70,契約台帳!$A$3:$Q$4986,17,FALSE))</f>
        <v/>
      </c>
      <c r="Y70" s="269" t="str">
        <f>IF(D70="","",VLOOKUP(D70,契約台帳!$A$3:$E$4986,5,FALSE))</f>
        <v/>
      </c>
      <c r="Z70" s="57"/>
      <c r="AA70" s="207" t="str">
        <f>IFERROR(VLOOKUP(F70&amp;K70&amp;M70,製品マスタ!$M$5:$AM$5002,27,FALSE),"")</f>
        <v/>
      </c>
      <c r="AB70" s="33"/>
      <c r="AC70" s="189"/>
      <c r="AD70" s="54"/>
      <c r="AE70" s="55"/>
      <c r="AF70" s="43"/>
      <c r="AG70" s="47"/>
      <c r="AH70" s="30"/>
      <c r="AI70" s="30"/>
      <c r="AJ70" s="30"/>
      <c r="AK70" s="30"/>
      <c r="AL70" s="13"/>
      <c r="AM70" s="13"/>
      <c r="AN70" s="13"/>
      <c r="AO70" s="13"/>
      <c r="AP70" s="13"/>
      <c r="AQ70" s="14"/>
      <c r="AR70" s="15"/>
    </row>
    <row r="71" spans="1:44" s="17" customFormat="1" ht="30.95" hidden="1" customHeight="1" x14ac:dyDescent="0.2">
      <c r="A71" s="37"/>
      <c r="B71" s="38"/>
      <c r="C71" s="45"/>
      <c r="D71" s="31">
        <v>3694119</v>
      </c>
      <c r="E71" s="31">
        <v>4151272</v>
      </c>
      <c r="F71" s="268" t="str">
        <f>IF(D71="","",VLOOKUP(D71,契約台帳!$A$3:$K$4986,6,FALSE)&amp;VLOOKUP(D71,契約台帳!$A$3:$K$4986,7,FALSE)&amp;VLOOKUP(D71,契約台帳!$A$3:$K$4986,8,FALSE)&amp;VLOOKUP(D71,契約台帳!$A$3:$K$4986,9,FALSE)&amp;VLOOKUP(D71,契約台帳!$A$3:$K$4986,11,FALSE))</f>
        <v>3SNMLBMNQR66F</v>
      </c>
      <c r="G71" s="269" t="str">
        <f>IF(D71="","",VLOOKUP(F71,製品マスタ!$G$5:$H$5002,2,FALSE))</f>
        <v>S</v>
      </c>
      <c r="H71" s="269" t="str">
        <f>IF(D71="","",VLOOKUP(F71,製品マスタ!$G$5:$K$5002,5,FALSE))</f>
        <v>MNQR66F</v>
      </c>
      <c r="I71" s="270" t="str">
        <f>IF(D71="","",VLOOKUP(F71,製品マスタ!$G$5:$L$5002,6,FALSE))</f>
        <v>ＱＲ６６蒸着品</v>
      </c>
      <c r="J71" s="32" t="s">
        <v>447</v>
      </c>
      <c r="K71" s="270">
        <f>IF(D71="","",VLOOKUP(D71,契約台帳!$A$3:$L$4986,12,FALSE))</f>
        <v>25</v>
      </c>
      <c r="L71" s="270" t="str">
        <f>IF(D71="","",INDEX(製品マスタ!$Q$5:$Q$5002,MATCH(F71&amp;K71,製品マスタ!$AO$5:$AO$5002,0)))</f>
        <v>E315</v>
      </c>
      <c r="M71" s="39">
        <v>1000</v>
      </c>
      <c r="N71" s="39">
        <v>12000</v>
      </c>
      <c r="O71" s="47">
        <v>2</v>
      </c>
      <c r="P71" s="57">
        <v>44946</v>
      </c>
      <c r="Q71" s="276">
        <f>IF(D71="","",IF(J71="リード付け",M71,VLOOKUP(D71,契約台帳!$A$3:$N$4986,14,FALSE)))</f>
        <v>1000</v>
      </c>
      <c r="R71" s="277">
        <f>IF(D71="","",IF(J71="リード付け",M71,VLOOKUP(D71,契約台帳!$A$3:$O$4986,15,FALSE)))</f>
        <v>1000</v>
      </c>
      <c r="S71" s="277">
        <f>IF(D71="","",IF(J71="リード付け",N71,VLOOKUP(D71,契約台帳!$A$3:$P$4986,16,FALSE)))</f>
        <v>6000</v>
      </c>
      <c r="T71" s="40">
        <v>4</v>
      </c>
      <c r="U71" s="278" t="str">
        <f ca="1">IF(D71="","",IF(OFFSET(D71,-2,0)=D71,"",VLOOKUP(D71,契約台帳!$A$3:$R$4986,18,FALSE)))</f>
        <v/>
      </c>
      <c r="V71" s="269" t="str">
        <f>IF(J71="巻返し",VLOOKUP(F71&amp;K71&amp;M71,製品マスタ!$M$5:$AD$5002,18,FALSE),IF(J71="リード付け","原反コア",IF(J71="スリット",VLOOKUP(F71&amp;K71&amp;Q71,製品マスタ!$N$5:$AD$5002,17,FALSE),"")))</f>
        <v>6ｲﾝﾁMｺｱ</v>
      </c>
      <c r="W71" s="269">
        <f>IF(J71="巻返し",VLOOKUP(F71&amp;K71&amp;M71,製品マスタ!$M$5:$AE$5002,19,FALSE),IF(J71="リード付け","-",IF(J71="スリット",VLOOKUP(F71&amp;K71&amp;Q71,製品マスタ!$N$5:$AE$5002,18,FALSE),"")))</f>
        <v>1010</v>
      </c>
      <c r="X71" s="275">
        <f>IF(D71="","",VLOOKUP(D71,契約台帳!$A$3:$Q$4986,17,FALSE))</f>
        <v>2</v>
      </c>
      <c r="Y71" s="269" t="str">
        <f>IF(D71="","",VLOOKUP(D71,契約台帳!$A$3:$E$4986,5,FALSE))</f>
        <v>リンテック㈱</v>
      </c>
      <c r="Z71" s="57">
        <v>44952</v>
      </c>
      <c r="AA71" s="207" t="str">
        <f>IFERROR(VLOOKUP(F71&amp;K71&amp;M71,製品マスタ!$M$5:$AM$5002,27,FALSE),"")</f>
        <v>原反ケース再利用</v>
      </c>
      <c r="AB71" s="33"/>
      <c r="AC71" s="189"/>
      <c r="AD71" s="54" t="str">
        <f>IF(F71="","",+F71&amp;K71)</f>
        <v>3SNMLBMNQR66F25</v>
      </c>
      <c r="AE71" s="55">
        <f>+M71*N71*O71/1000</f>
        <v>24000</v>
      </c>
      <c r="AF71" s="43">
        <f>IF(AD71="","",VLOOKUP(AD71,原価マスタ!$A$2:$AJ$1693,13,FALSE))</f>
        <v>98</v>
      </c>
      <c r="AG71" s="47">
        <f>IF(AF71="","",+AE71*AF71/100)</f>
        <v>23520</v>
      </c>
      <c r="AH71" s="30"/>
      <c r="AI71" s="30"/>
      <c r="AJ71" s="30"/>
      <c r="AK71" s="30"/>
      <c r="AL71" s="13"/>
      <c r="AM71" s="13"/>
      <c r="AN71" s="13"/>
      <c r="AO71" s="13"/>
      <c r="AP71" s="13"/>
      <c r="AQ71" s="14"/>
      <c r="AR71" s="15"/>
    </row>
    <row r="72" spans="1:44" s="17" customFormat="1" ht="30.95" hidden="1" customHeight="1" x14ac:dyDescent="0.2">
      <c r="A72" s="37"/>
      <c r="B72" s="38"/>
      <c r="C72" s="45"/>
      <c r="D72" s="31"/>
      <c r="E72" s="31"/>
      <c r="F72" s="268" t="str">
        <f>IF(D72="","",VLOOKUP(D72,契約台帳!$A$3:$K$4986,6,FALSE)&amp;VLOOKUP(D72,契約台帳!$A$3:$K$4986,7,FALSE)&amp;VLOOKUP(D72,契約台帳!$A$3:$K$4986,8,FALSE)&amp;VLOOKUP(D72,契約台帳!$A$3:$K$4986,9,FALSE)&amp;VLOOKUP(D72,契約台帳!$A$3:$K$4986,11,FALSE))</f>
        <v/>
      </c>
      <c r="G72" s="269" t="str">
        <f>IF(D72="","",VLOOKUP(F72,製品マスタ!$G$5:$H$5002,2,FALSE))</f>
        <v/>
      </c>
      <c r="H72" s="269" t="str">
        <f>IF(D72="","",VLOOKUP(F72,製品マスタ!$G$5:$K$5002,5,FALSE))</f>
        <v/>
      </c>
      <c r="I72" s="270" t="str">
        <f>IF(D72="","",VLOOKUP(F72,製品マスタ!$G$5:$L$5002,6,FALSE))</f>
        <v/>
      </c>
      <c r="J72" s="32"/>
      <c r="K72" s="270" t="str">
        <f>IF(D72="","",VLOOKUP(D72,契約台帳!$A$3:$L$4986,12,FALSE))</f>
        <v/>
      </c>
      <c r="L72" s="270" t="str">
        <f>IF(D72="","",INDEX(製品マスタ!$Q$5:$Q$5002,MATCH(F72&amp;K72,製品マスタ!$AO$5:$AO$5002,0)))</f>
        <v/>
      </c>
      <c r="M72" s="39"/>
      <c r="N72" s="39"/>
      <c r="O72" s="47"/>
      <c r="P72" s="57"/>
      <c r="Q72" s="276" t="str">
        <f>IF(D72="","",IF(J72="リード付け",M72,VLOOKUP(D72,契約台帳!$A$3:$N$4986,14,FALSE)))</f>
        <v/>
      </c>
      <c r="R72" s="277" t="str">
        <f>IF(D72="","",IF(J72="リード付け",M72,VLOOKUP(D72,契約台帳!$A$3:$O$4986,15,FALSE)))</f>
        <v/>
      </c>
      <c r="S72" s="277" t="str">
        <f>IF(D72="","",IF(J72="リード付け",N72,VLOOKUP(D72,契約台帳!$A$3:$P$4986,16,FALSE)))</f>
        <v/>
      </c>
      <c r="T72" s="40"/>
      <c r="U72" s="278" t="str">
        <f ca="1">IF(D72="","",IF(OFFSET(D72,-2,0)=D72,"",VLOOKUP(D72,契約台帳!$A$3:$R$4986,18,FALSE)))</f>
        <v/>
      </c>
      <c r="V72" s="269" t="str">
        <f>IF(J72="巻返し",VLOOKUP(F72&amp;K72&amp;M72,製品マスタ!$M$5:$AD$5002,18,FALSE),IF(J72="リード付け","原反コア",IF(J72="スリット",VLOOKUP(F72&amp;K72&amp;Q72,製品マスタ!$N$5:$AD$5002,17,FALSE),"")))</f>
        <v/>
      </c>
      <c r="W72" s="269" t="str">
        <f>IF(J72="巻返し",VLOOKUP(F72&amp;K72&amp;M72,製品マスタ!$M$5:$AE$5002,19,FALSE),IF(J72="リード付け","-",IF(J72="スリット",VLOOKUP(F72&amp;K72&amp;Q72,製品マスタ!$N$5:$AE$5002,18,FALSE),"")))</f>
        <v/>
      </c>
      <c r="X72" s="275" t="str">
        <f>IF(D72="","",VLOOKUP(D72,契約台帳!$A$3:$Q$4986,17,FALSE))</f>
        <v/>
      </c>
      <c r="Y72" s="269" t="str">
        <f>IF(D72="","",VLOOKUP(D72,契約台帳!$A$3:$E$4986,5,FALSE))</f>
        <v/>
      </c>
      <c r="Z72" s="57"/>
      <c r="AA72" s="207" t="str">
        <f>IFERROR(VLOOKUP(F72&amp;K72&amp;M72,製品マスタ!$M$5:$AM$5002,27,FALSE),"")</f>
        <v/>
      </c>
      <c r="AB72" s="33"/>
      <c r="AC72" s="189"/>
      <c r="AD72" s="54"/>
      <c r="AE72" s="55"/>
      <c r="AF72" s="43"/>
      <c r="AG72" s="47"/>
      <c r="AH72" s="30"/>
      <c r="AI72" s="30"/>
      <c r="AJ72" s="30"/>
      <c r="AK72" s="30"/>
      <c r="AL72" s="13"/>
      <c r="AM72" s="13"/>
      <c r="AN72" s="13"/>
      <c r="AO72" s="13"/>
      <c r="AP72" s="13"/>
      <c r="AQ72" s="14"/>
      <c r="AR72" s="15"/>
    </row>
    <row r="73" spans="1:44" s="17" customFormat="1" ht="30.95" hidden="1" customHeight="1" x14ac:dyDescent="0.2">
      <c r="A73" s="37"/>
      <c r="B73" s="38"/>
      <c r="C73" s="45"/>
      <c r="D73" s="31">
        <v>3694106</v>
      </c>
      <c r="E73" s="31">
        <v>4151254</v>
      </c>
      <c r="F73" s="268" t="str">
        <f>IF(D73="","",VLOOKUP(D73,契約台帳!$A$3:$K$4986,6,FALSE)&amp;VLOOKUP(D73,契約台帳!$A$3:$K$4986,7,FALSE)&amp;VLOOKUP(D73,契約台帳!$A$3:$K$4986,8,FALSE)&amp;VLOOKUP(D73,契約台帳!$A$3:$K$4986,9,FALSE)&amp;VLOOKUP(D73,契約台帳!$A$3:$K$4986,11,FALSE))</f>
        <v>3SNMLBMNGKBF</v>
      </c>
      <c r="G73" s="269" t="str">
        <f>IF(D73="","",VLOOKUP(F73,製品マスタ!$G$5:$H$5002,2,FALSE))</f>
        <v>S</v>
      </c>
      <c r="H73" s="269" t="str">
        <f>IF(D73="","",VLOOKUP(F73,製品マスタ!$G$5:$K$5002,5,FALSE))</f>
        <v>MNGKBF</v>
      </c>
      <c r="I73" s="270" t="str">
        <f>IF(D73="","",VLOOKUP(F73,製品マスタ!$G$5:$L$5002,6,FALSE))</f>
        <v>メタルミー　ネーマー銀消　Ｂ</v>
      </c>
      <c r="J73" s="32" t="s">
        <v>447</v>
      </c>
      <c r="K73" s="270">
        <f>IF(D73="","",VLOOKUP(D73,契約台帳!$A$3:$L$4986,12,FALSE))</f>
        <v>50</v>
      </c>
      <c r="L73" s="270" t="str">
        <f>IF(D73="","",INDEX(製品マスタ!$Q$5:$Q$5002,MATCH(F73&amp;K73,製品マスタ!$AO$5:$AO$5002,0)))</f>
        <v>MAT</v>
      </c>
      <c r="M73" s="39">
        <v>1050</v>
      </c>
      <c r="N73" s="39">
        <v>12300</v>
      </c>
      <c r="O73" s="47">
        <v>1</v>
      </c>
      <c r="P73" s="57">
        <v>44946</v>
      </c>
      <c r="Q73" s="276">
        <f>IF(D73="","",IF(J73="リード付け",M73,VLOOKUP(D73,契約台帳!$A$3:$N$4986,14,FALSE)))</f>
        <v>1050</v>
      </c>
      <c r="R73" s="277">
        <f>IF(D73="","",IF(J73="リード付け",M73,VLOOKUP(D73,契約台帳!$A$3:$O$4986,15,FALSE)))</f>
        <v>1050</v>
      </c>
      <c r="S73" s="277">
        <f>IF(D73="","",IF(J73="リード付け",N73,VLOOKUP(D73,契約台帳!$A$3:$P$4986,16,FALSE)))</f>
        <v>4100</v>
      </c>
      <c r="T73" s="40">
        <v>3</v>
      </c>
      <c r="U73" s="278">
        <f ca="1">IF(D73="","",IF(OFFSET(D73,-2,0)=D73,"",VLOOKUP(D73,契約台帳!$A$3:$R$4986,18,FALSE)))</f>
        <v>3</v>
      </c>
      <c r="V73" s="269" t="str">
        <f>IF(J73="巻返し",VLOOKUP(F73&amp;K73&amp;M73,製品マスタ!$M$5:$AD$5002,18,FALSE),IF(J73="リード付け","原反コア",IF(J73="スリット",VLOOKUP(F73&amp;K73&amp;Q73,製品マスタ!$N$5:$AD$5002,17,FALSE),"")))</f>
        <v>6ｲﾝﾁSｺｱ</v>
      </c>
      <c r="W73" s="269">
        <f>IF(J73="巻返し",VLOOKUP(F73&amp;K73&amp;M73,製品マスタ!$M$5:$AE$5002,19,FALSE),IF(J73="リード付け","-",IF(J73="スリット",VLOOKUP(F73&amp;K73&amp;Q73,製品マスタ!$N$5:$AE$5002,18,FALSE),"")))</f>
        <v>1055</v>
      </c>
      <c r="X73" s="275">
        <f>IF(D73="","",VLOOKUP(D73,契約台帳!$A$3:$Q$4986,17,FALSE))</f>
        <v>2</v>
      </c>
      <c r="Y73" s="269" t="str">
        <f>IF(D73="","",VLOOKUP(D73,契約台帳!$A$3:$E$4986,5,FALSE))</f>
        <v>リンテック㈱</v>
      </c>
      <c r="Z73" s="57">
        <v>44952</v>
      </c>
      <c r="AA73" s="207">
        <f>IFERROR(VLOOKUP(F73&amp;K73&amp;M73,製品マスタ!$M$5:$AM$5002,27,FALSE),"")</f>
        <v>0</v>
      </c>
      <c r="AB73" s="33"/>
      <c r="AC73" s="189"/>
      <c r="AD73" s="54" t="str">
        <f>IF(F73="","",+F73&amp;K73)</f>
        <v>3SNMLBMNGKBF50</v>
      </c>
      <c r="AE73" s="55">
        <f>+M73*N73*O73/1000</f>
        <v>12915</v>
      </c>
      <c r="AF73" s="43">
        <f>IF(AD73="","",VLOOKUP(AD73,原価マスタ!$A$2:$AJ$1693,13,FALSE))</f>
        <v>98</v>
      </c>
      <c r="AG73" s="47">
        <f>IF(AF73="","",+AE73*AF73/100)</f>
        <v>12656.7</v>
      </c>
      <c r="AH73" s="30"/>
      <c r="AI73" s="30"/>
      <c r="AJ73" s="30"/>
      <c r="AK73" s="30"/>
      <c r="AL73" s="13"/>
      <c r="AM73" s="13"/>
      <c r="AN73" s="13"/>
      <c r="AO73" s="13"/>
      <c r="AP73" s="13"/>
      <c r="AQ73" s="14"/>
      <c r="AR73" s="15"/>
    </row>
    <row r="74" spans="1:44" s="17" customFormat="1" ht="30.95" hidden="1" customHeight="1" x14ac:dyDescent="0.2">
      <c r="A74" s="37"/>
      <c r="B74" s="38"/>
      <c r="C74" s="45"/>
      <c r="D74" s="31"/>
      <c r="E74" s="31"/>
      <c r="F74" s="268" t="str">
        <f>IF(D74="","",VLOOKUP(D74,契約台帳!$A$3:$K$4986,6,FALSE)&amp;VLOOKUP(D74,契約台帳!$A$3:$K$4986,7,FALSE)&amp;VLOOKUP(D74,契約台帳!$A$3:$K$4986,8,FALSE)&amp;VLOOKUP(D74,契約台帳!$A$3:$K$4986,9,FALSE)&amp;VLOOKUP(D74,契約台帳!$A$3:$K$4986,11,FALSE))</f>
        <v/>
      </c>
      <c r="G74" s="269" t="str">
        <f>IF(D74="","",VLOOKUP(F74,製品マスタ!$G$5:$H$5002,2,FALSE))</f>
        <v/>
      </c>
      <c r="H74" s="269" t="str">
        <f>IF(D74="","",VLOOKUP(F74,製品マスタ!$G$5:$K$5002,5,FALSE))</f>
        <v/>
      </c>
      <c r="I74" s="270" t="str">
        <f>IF(D74="","",VLOOKUP(F74,製品マスタ!$G$5:$L$5002,6,FALSE))</f>
        <v/>
      </c>
      <c r="J74" s="32"/>
      <c r="K74" s="270" t="str">
        <f>IF(D74="","",VLOOKUP(D74,契約台帳!$A$3:$L$4986,12,FALSE))</f>
        <v/>
      </c>
      <c r="L74" s="270" t="str">
        <f>IF(D74="","",INDEX(製品マスタ!$Q$5:$Q$5002,MATCH(F74&amp;K74,製品マスタ!$AO$5:$AO$5002,0)))</f>
        <v/>
      </c>
      <c r="M74" s="39"/>
      <c r="N74" s="39"/>
      <c r="O74" s="47"/>
      <c r="P74" s="57"/>
      <c r="Q74" s="276" t="str">
        <f>IF(D74="","",IF(J74="リード付け",M74,VLOOKUP(D74,契約台帳!$A$3:$N$4986,14,FALSE)))</f>
        <v/>
      </c>
      <c r="R74" s="277" t="str">
        <f>IF(D74="","",IF(J74="リード付け",M74,VLOOKUP(D74,契約台帳!$A$3:$O$4986,15,FALSE)))</f>
        <v/>
      </c>
      <c r="S74" s="277" t="str">
        <f>IF(D74="","",IF(J74="リード付け",N74,VLOOKUP(D74,契約台帳!$A$3:$P$4986,16,FALSE)))</f>
        <v/>
      </c>
      <c r="T74" s="40"/>
      <c r="U74" s="278" t="str">
        <f ca="1">IF(D74="","",IF(OFFSET(D74,-2,0)=D74,"",VLOOKUP(D74,契約台帳!$A$3:$R$4986,18,FALSE)))</f>
        <v/>
      </c>
      <c r="V74" s="269" t="str">
        <f>IF(J74="巻返し",VLOOKUP(F74&amp;K74&amp;M74,製品マスタ!$M$5:$AD$5002,18,FALSE),IF(J74="リード付け","原反コア",IF(J74="スリット",VLOOKUP(F74&amp;K74&amp;Q74,製品マスタ!$N$5:$AD$5002,17,FALSE),"")))</f>
        <v/>
      </c>
      <c r="W74" s="269" t="str">
        <f>IF(J74="巻返し",VLOOKUP(F74&amp;K74&amp;M74,製品マスタ!$M$5:$AE$5002,19,FALSE),IF(J74="リード付け","-",IF(J74="スリット",VLOOKUP(F74&amp;K74&amp;Q74,製品マスタ!$N$5:$AE$5002,18,FALSE),"")))</f>
        <v/>
      </c>
      <c r="X74" s="275" t="str">
        <f>IF(D74="","",VLOOKUP(D74,契約台帳!$A$3:$Q$4986,17,FALSE))</f>
        <v/>
      </c>
      <c r="Y74" s="269" t="str">
        <f>IF(D74="","",VLOOKUP(D74,契約台帳!$A$3:$E$4986,5,FALSE))</f>
        <v/>
      </c>
      <c r="Z74" s="57"/>
      <c r="AA74" s="207" t="str">
        <f>IFERROR(VLOOKUP(F74&amp;K74&amp;M74,製品マスタ!$M$5:$AM$5002,27,FALSE),"")</f>
        <v/>
      </c>
      <c r="AB74" s="33"/>
      <c r="AC74" s="189"/>
      <c r="AD74" s="54"/>
      <c r="AE74" s="55"/>
      <c r="AF74" s="43"/>
      <c r="AG74" s="47"/>
      <c r="AH74" s="30"/>
      <c r="AI74" s="30"/>
      <c r="AJ74" s="30"/>
      <c r="AK74" s="30"/>
      <c r="AL74" s="13"/>
      <c r="AM74" s="13"/>
      <c r="AN74" s="13"/>
      <c r="AO74" s="13"/>
      <c r="AP74" s="13"/>
      <c r="AQ74" s="14"/>
      <c r="AR74" s="15"/>
    </row>
    <row r="75" spans="1:44" s="17" customFormat="1" ht="30.95" hidden="1" customHeight="1" x14ac:dyDescent="0.2">
      <c r="A75" s="37"/>
      <c r="B75" s="38"/>
      <c r="C75" s="45"/>
      <c r="D75" s="31">
        <v>3694105</v>
      </c>
      <c r="E75" s="31">
        <v>4151253</v>
      </c>
      <c r="F75" s="268" t="str">
        <f>IF(D75="","",VLOOKUP(D75,契約台帳!$A$3:$K$4986,6,FALSE)&amp;VLOOKUP(D75,契約台帳!$A$3:$K$4986,7,FALSE)&amp;VLOOKUP(D75,契約台帳!$A$3:$K$4986,8,FALSE)&amp;VLOOKUP(D75,契約台帳!$A$3:$K$4986,9,FALSE)&amp;VLOOKUP(D75,契約台帳!$A$3:$K$4986,11,FALSE))</f>
        <v>3SNMLBMNGKBF</v>
      </c>
      <c r="G75" s="269" t="str">
        <f>IF(D75="","",VLOOKUP(F75,製品マスタ!$G$5:$H$5002,2,FALSE))</f>
        <v>S</v>
      </c>
      <c r="H75" s="269" t="str">
        <f>IF(D75="","",VLOOKUP(F75,製品マスタ!$G$5:$K$5002,5,FALSE))</f>
        <v>MNGKBF</v>
      </c>
      <c r="I75" s="270" t="str">
        <f>IF(D75="","",VLOOKUP(F75,製品マスタ!$G$5:$L$5002,6,FALSE))</f>
        <v>メタルミー　ネーマー銀消　Ｂ</v>
      </c>
      <c r="J75" s="32" t="s">
        <v>447</v>
      </c>
      <c r="K75" s="270">
        <f>IF(D75="","",VLOOKUP(D75,契約台帳!$A$3:$L$4986,12,FALSE))</f>
        <v>38</v>
      </c>
      <c r="L75" s="270" t="str">
        <f>IF(D75="","",INDEX(製品マスタ!$Q$5:$Q$5002,MATCH(F75&amp;K75,製品マスタ!$AO$5:$AO$5002,0)))</f>
        <v>LUMIMAT</v>
      </c>
      <c r="M75" s="39">
        <v>1005</v>
      </c>
      <c r="N75" s="39">
        <v>12300</v>
      </c>
      <c r="O75" s="47">
        <v>1</v>
      </c>
      <c r="P75" s="57">
        <v>44946</v>
      </c>
      <c r="Q75" s="276">
        <f>IF(D75="","",IF(J75="リード付け",M75,VLOOKUP(D75,契約台帳!$A$3:$N$4986,14,FALSE)))</f>
        <v>1005</v>
      </c>
      <c r="R75" s="277">
        <f>IF(D75="","",IF(J75="リード付け",M75,VLOOKUP(D75,契約台帳!$A$3:$O$4986,15,FALSE)))</f>
        <v>1000</v>
      </c>
      <c r="S75" s="277">
        <f>IF(D75="","",IF(J75="リード付け",N75,VLOOKUP(D75,契約台帳!$A$3:$P$4986,16,FALSE)))</f>
        <v>4000</v>
      </c>
      <c r="T75" s="40">
        <v>3</v>
      </c>
      <c r="U75" s="278">
        <f ca="1">IF(D75="","",IF(OFFSET(D75,-2,0)=D75,"",VLOOKUP(D75,契約台帳!$A$3:$R$4986,18,FALSE)))</f>
        <v>3</v>
      </c>
      <c r="V75" s="269" t="str">
        <f>IF(J75="巻返し",VLOOKUP(F75&amp;K75&amp;M75,製品マスタ!$M$5:$AD$5002,18,FALSE),IF(J75="リード付け","原反コア",IF(J75="スリット",VLOOKUP(F75&amp;K75&amp;Q75,製品マスタ!$N$5:$AD$5002,17,FALSE),"")))</f>
        <v>6ｲﾝﾁSｺｱ</v>
      </c>
      <c r="W75" s="269">
        <f>IF(J75="巻返し",VLOOKUP(F75&amp;K75&amp;M75,製品マスタ!$M$5:$AE$5002,19,FALSE),IF(J75="リード付け","-",IF(J75="スリット",VLOOKUP(F75&amp;K75&amp;Q75,製品マスタ!$N$5:$AE$5002,18,FALSE),"")))</f>
        <v>1015</v>
      </c>
      <c r="X75" s="275">
        <f>IF(D75="","",VLOOKUP(D75,契約台帳!$A$3:$Q$4986,17,FALSE))</f>
        <v>2</v>
      </c>
      <c r="Y75" s="269" t="str">
        <f>IF(D75="","",VLOOKUP(D75,契約台帳!$A$3:$E$4986,5,FALSE))</f>
        <v>リンテック㈱</v>
      </c>
      <c r="Z75" s="57">
        <v>44952</v>
      </c>
      <c r="AA75" s="207">
        <f>IFERROR(VLOOKUP(F75&amp;K75&amp;M75,製品マスタ!$M$5:$AM$5002,27,FALSE),"")</f>
        <v>0</v>
      </c>
      <c r="AB75" s="33"/>
      <c r="AC75" s="189"/>
      <c r="AD75" s="54" t="str">
        <f>IF(F75="","",+F75&amp;K75)</f>
        <v>3SNMLBMNGKBF38</v>
      </c>
      <c r="AE75" s="55">
        <f>+M75*N75*O75/1000</f>
        <v>12361.5</v>
      </c>
      <c r="AF75" s="43">
        <f>IF(AD75="","",VLOOKUP(AD75,原価マスタ!$A$2:$AJ$1693,13,FALSE))</f>
        <v>97.2</v>
      </c>
      <c r="AG75" s="47">
        <f>IF(AF75="","",+AE75*AF75/100)</f>
        <v>12015.378000000001</v>
      </c>
      <c r="AH75" s="30"/>
      <c r="AI75" s="30"/>
      <c r="AJ75" s="30"/>
      <c r="AK75" s="30"/>
      <c r="AL75" s="13"/>
      <c r="AM75" s="13"/>
      <c r="AN75" s="13"/>
      <c r="AO75" s="13"/>
      <c r="AP75" s="13"/>
      <c r="AQ75" s="14"/>
      <c r="AR75" s="15"/>
    </row>
    <row r="76" spans="1:44" s="17" customFormat="1" ht="30.95" hidden="1" customHeight="1" x14ac:dyDescent="0.2">
      <c r="A76" s="37"/>
      <c r="B76" s="38"/>
      <c r="C76" s="45"/>
      <c r="D76" s="31"/>
      <c r="E76" s="31"/>
      <c r="F76" s="268" t="str">
        <f>IF(D76="","",VLOOKUP(D76,契約台帳!$A$3:$K$4986,6,FALSE)&amp;VLOOKUP(D76,契約台帳!$A$3:$K$4986,7,FALSE)&amp;VLOOKUP(D76,契約台帳!$A$3:$K$4986,8,FALSE)&amp;VLOOKUP(D76,契約台帳!$A$3:$K$4986,9,FALSE)&amp;VLOOKUP(D76,契約台帳!$A$3:$K$4986,11,FALSE))</f>
        <v/>
      </c>
      <c r="G76" s="269" t="str">
        <f>IF(D76="","",VLOOKUP(F76,製品マスタ!$G$5:$H$5002,2,FALSE))</f>
        <v/>
      </c>
      <c r="H76" s="269" t="str">
        <f>IF(D76="","",VLOOKUP(F76,製品マスタ!$G$5:$K$5002,5,FALSE))</f>
        <v/>
      </c>
      <c r="I76" s="270" t="str">
        <f>IF(D76="","",VLOOKUP(F76,製品マスタ!$G$5:$L$5002,6,FALSE))</f>
        <v/>
      </c>
      <c r="J76" s="32"/>
      <c r="K76" s="270" t="str">
        <f>IF(D76="","",VLOOKUP(D76,契約台帳!$A$3:$L$4986,12,FALSE))</f>
        <v/>
      </c>
      <c r="L76" s="270" t="str">
        <f>IF(D76="","",INDEX(製品マスタ!$Q$5:$Q$5002,MATCH(F76&amp;K76,製品マスタ!$AO$5:$AO$5002,0)))</f>
        <v/>
      </c>
      <c r="M76" s="39"/>
      <c r="N76" s="39"/>
      <c r="O76" s="47"/>
      <c r="P76" s="57"/>
      <c r="Q76" s="276" t="str">
        <f>IF(D76="","",IF(J76="リード付け",M76,VLOOKUP(D76,契約台帳!$A$3:$N$4986,14,FALSE)))</f>
        <v/>
      </c>
      <c r="R76" s="277" t="str">
        <f>IF(D76="","",IF(J76="リード付け",M76,VLOOKUP(D76,契約台帳!$A$3:$O$4986,15,FALSE)))</f>
        <v/>
      </c>
      <c r="S76" s="277" t="str">
        <f>IF(D76="","",IF(J76="リード付け",N76,VLOOKUP(D76,契約台帳!$A$3:$P$4986,16,FALSE)))</f>
        <v/>
      </c>
      <c r="T76" s="40"/>
      <c r="U76" s="278" t="str">
        <f ca="1">IF(D76="","",IF(OFFSET(D76,-2,0)=D76,"",VLOOKUP(D76,契約台帳!$A$3:$R$4986,18,FALSE)))</f>
        <v/>
      </c>
      <c r="V76" s="269" t="str">
        <f>IF(J76="巻返し",VLOOKUP(F76&amp;K76&amp;M76,製品マスタ!$M$5:$AD$5002,18,FALSE),IF(J76="リード付け","原反コア",IF(J76="スリット",VLOOKUP(F76&amp;K76&amp;Q76,製品マスタ!$N$5:$AD$5002,17,FALSE),"")))</f>
        <v/>
      </c>
      <c r="W76" s="269" t="str">
        <f>IF(J76="巻返し",VLOOKUP(F76&amp;K76&amp;M76,製品マスタ!$M$5:$AE$5002,19,FALSE),IF(J76="リード付け","-",IF(J76="スリット",VLOOKUP(F76&amp;K76&amp;Q76,製品マスタ!$N$5:$AE$5002,18,FALSE),"")))</f>
        <v/>
      </c>
      <c r="X76" s="275" t="str">
        <f>IF(D76="","",VLOOKUP(D76,契約台帳!$A$3:$Q$4986,17,FALSE))</f>
        <v/>
      </c>
      <c r="Y76" s="269" t="str">
        <f>IF(D76="","",VLOOKUP(D76,契約台帳!$A$3:$E$4986,5,FALSE))</f>
        <v/>
      </c>
      <c r="Z76" s="57"/>
      <c r="AA76" s="207" t="str">
        <f>IFERROR(VLOOKUP(F76&amp;K76&amp;M76,製品マスタ!$M$5:$AM$5002,27,FALSE),"")</f>
        <v/>
      </c>
      <c r="AB76" s="33"/>
      <c r="AC76" s="189"/>
      <c r="AD76" s="54"/>
      <c r="AE76" s="55"/>
      <c r="AF76" s="43"/>
      <c r="AG76" s="47"/>
      <c r="AH76" s="30"/>
      <c r="AI76" s="30"/>
      <c r="AJ76" s="30"/>
      <c r="AK76" s="30"/>
      <c r="AL76" s="13"/>
      <c r="AM76" s="13"/>
      <c r="AN76" s="13"/>
      <c r="AO76" s="13"/>
      <c r="AP76" s="13"/>
      <c r="AQ76" s="14"/>
      <c r="AR76" s="15"/>
    </row>
    <row r="77" spans="1:44" s="17" customFormat="1" ht="30.95" hidden="1" customHeight="1" x14ac:dyDescent="0.2">
      <c r="A77" s="37" t="s">
        <v>796</v>
      </c>
      <c r="B77" s="38" t="s">
        <v>789</v>
      </c>
      <c r="C77" s="45"/>
      <c r="D77" s="31">
        <v>3694114</v>
      </c>
      <c r="E77" s="31">
        <v>4140866</v>
      </c>
      <c r="F77" s="268" t="str">
        <f>IF(D77="","",VLOOKUP(D77,契約台帳!$A$3:$K$4986,6,FALSE)&amp;VLOOKUP(D77,契約台帳!$A$3:$K$4986,7,FALSE)&amp;VLOOKUP(D77,契約台帳!$A$3:$K$4986,8,FALSE)&amp;VLOOKUP(D77,契約台帳!$A$3:$K$4986,9,FALSE)&amp;VLOOKUP(D77,契約台帳!$A$3:$K$4986,11,FALSE))</f>
        <v>3SNMLBMNNGKBF</v>
      </c>
      <c r="G77" s="269" t="str">
        <f>IF(D77="","",VLOOKUP(F77,製品マスタ!$G$5:$H$5002,2,FALSE))</f>
        <v>S</v>
      </c>
      <c r="H77" s="269" t="str">
        <f>IF(D77="","",VLOOKUP(F77,製品マスタ!$G$5:$K$5002,5,FALSE))</f>
        <v>MNNGKBF</v>
      </c>
      <c r="I77" s="270" t="str">
        <f>IF(D77="","",VLOOKUP(F77,製品マスタ!$G$5:$L$5002,6,FALSE))</f>
        <v>メタルミー　ニューネーマー銀消　Ｂ</v>
      </c>
      <c r="J77" s="32" t="s">
        <v>447</v>
      </c>
      <c r="K77" s="270">
        <f>IF(D77="","",VLOOKUP(D77,契約台帳!$A$3:$L$4986,12,FALSE))</f>
        <v>25</v>
      </c>
      <c r="L77" s="270" t="str">
        <f>IF(D77="","",INDEX(製品マスタ!$Q$5:$Q$5002,MATCH(F77&amp;K77,製品マスタ!$AO$5:$AO$5002,0)))</f>
        <v>X44C</v>
      </c>
      <c r="M77" s="39">
        <v>1005</v>
      </c>
      <c r="N77" s="39">
        <v>16000</v>
      </c>
      <c r="O77" s="47">
        <v>1</v>
      </c>
      <c r="P77" s="57">
        <v>44947</v>
      </c>
      <c r="Q77" s="276">
        <f>IF(D77="","",IF(J77="リード付け",M77,VLOOKUP(D77,契約台帳!$A$3:$N$4986,14,FALSE)))</f>
        <v>1005</v>
      </c>
      <c r="R77" s="277">
        <f>IF(D77="","",IF(J77="リード付け",M77,VLOOKUP(D77,契約台帳!$A$3:$O$4986,15,FALSE)))</f>
        <v>1000</v>
      </c>
      <c r="S77" s="277">
        <f>IF(D77="","",IF(J77="リード付け",N77,VLOOKUP(D77,契約台帳!$A$3:$P$4986,16,FALSE)))</f>
        <v>4000</v>
      </c>
      <c r="T77" s="40">
        <v>4</v>
      </c>
      <c r="U77" s="278">
        <f ca="1">IF(D77="","",IF(OFFSET(D77,-2,0)=D77,"",VLOOKUP(D77,契約台帳!$A$3:$R$4986,18,FALSE)))</f>
        <v>4</v>
      </c>
      <c r="V77" s="269" t="str">
        <f>IF(J77="巻返し",VLOOKUP(F77&amp;K77&amp;M77,製品マスタ!$M$5:$AD$5002,18,FALSE),IF(J77="リード付け","原反コア",IF(J77="スリット",VLOOKUP(F77&amp;K77&amp;Q77,製品マスタ!$N$5:$AD$5002,17,FALSE),"")))</f>
        <v>6ｲﾝﾁSｺｱ</v>
      </c>
      <c r="W77" s="269">
        <f>IF(J77="巻返し",VLOOKUP(F77&amp;K77&amp;M77,製品マスタ!$M$5:$AE$5002,19,FALSE),IF(J77="リード付け","-",IF(J77="スリット",VLOOKUP(F77&amp;K77&amp;Q77,製品マスタ!$N$5:$AE$5002,18,FALSE),"")))</f>
        <v>1015</v>
      </c>
      <c r="X77" s="275">
        <f>IF(D77="","",VLOOKUP(D77,契約台帳!$A$3:$Q$4986,17,FALSE))</f>
        <v>2</v>
      </c>
      <c r="Y77" s="269" t="str">
        <f>IF(D77="","",VLOOKUP(D77,契約台帳!$A$3:$E$4986,5,FALSE))</f>
        <v>リンテック㈱</v>
      </c>
      <c r="Z77" s="57">
        <v>44953</v>
      </c>
      <c r="AA77" s="207" t="s">
        <v>827</v>
      </c>
      <c r="AB77" s="33"/>
      <c r="AC77" s="189"/>
      <c r="AD77" s="54" t="str">
        <f>IF(F77="","",+F77&amp;K77)</f>
        <v>3SNMLBMNNGKBF25</v>
      </c>
      <c r="AE77" s="55">
        <f>+M77*N77*O77/1000</f>
        <v>16080</v>
      </c>
      <c r="AF77" s="43">
        <f>IF(AD77="","",VLOOKUP(AD77,原価マスタ!$A$2:$AJ$1693,13,FALSE))</f>
        <v>98.3</v>
      </c>
      <c r="AG77" s="47">
        <f>IF(AF77="","",+AE77*AF77/100)</f>
        <v>15806.64</v>
      </c>
      <c r="AH77" s="30"/>
      <c r="AI77" s="30"/>
      <c r="AJ77" s="30"/>
      <c r="AK77" s="30"/>
      <c r="AL77" s="13"/>
      <c r="AM77" s="13"/>
      <c r="AN77" s="13"/>
      <c r="AO77" s="13"/>
      <c r="AP77" s="13"/>
      <c r="AQ77" s="14"/>
      <c r="AR77" s="15"/>
    </row>
    <row r="78" spans="1:44" s="17" customFormat="1" ht="30.95" hidden="1" customHeight="1" x14ac:dyDescent="0.2">
      <c r="A78" s="37"/>
      <c r="B78" s="38"/>
      <c r="C78" s="45"/>
      <c r="D78" s="31"/>
      <c r="E78" s="31"/>
      <c r="F78" s="268" t="str">
        <f>IF(D78="","",VLOOKUP(D78,契約台帳!$A$3:$K$4986,6,FALSE)&amp;VLOOKUP(D78,契約台帳!$A$3:$K$4986,7,FALSE)&amp;VLOOKUP(D78,契約台帳!$A$3:$K$4986,8,FALSE)&amp;VLOOKUP(D78,契約台帳!$A$3:$K$4986,9,FALSE)&amp;VLOOKUP(D78,契約台帳!$A$3:$K$4986,11,FALSE))</f>
        <v/>
      </c>
      <c r="G78" s="269" t="str">
        <f>IF(D78="","",VLOOKUP(F78,製品マスタ!$G$5:$H$5002,2,FALSE))</f>
        <v/>
      </c>
      <c r="H78" s="269" t="str">
        <f>IF(D78="","",VLOOKUP(F78,製品マスタ!$G$5:$K$5002,5,FALSE))</f>
        <v/>
      </c>
      <c r="I78" s="270" t="str">
        <f>IF(D78="","",VLOOKUP(F78,製品マスタ!$G$5:$L$5002,6,FALSE))</f>
        <v/>
      </c>
      <c r="J78" s="32"/>
      <c r="K78" s="270" t="str">
        <f>IF(D78="","",VLOOKUP(D78,契約台帳!$A$3:$L$4986,12,FALSE))</f>
        <v/>
      </c>
      <c r="L78" s="270" t="str">
        <f>IF(D78="","",INDEX(製品マスタ!$Q$5:$Q$5002,MATCH(F78&amp;K78,製品マスタ!$AO$5:$AO$5002,0)))</f>
        <v/>
      </c>
      <c r="M78" s="39"/>
      <c r="N78" s="39"/>
      <c r="O78" s="47"/>
      <c r="P78" s="57"/>
      <c r="Q78" s="276" t="str">
        <f>IF(D78="","",IF(J78="リード付け",M78,VLOOKUP(D78,契約台帳!$A$3:$N$4986,14,FALSE)))</f>
        <v/>
      </c>
      <c r="R78" s="277" t="str">
        <f>IF(D78="","",IF(J78="リード付け",M78,VLOOKUP(D78,契約台帳!$A$3:$O$4986,15,FALSE)))</f>
        <v/>
      </c>
      <c r="S78" s="277" t="str">
        <f>IF(D78="","",IF(J78="リード付け",N78,VLOOKUP(D78,契約台帳!$A$3:$P$4986,16,FALSE)))</f>
        <v/>
      </c>
      <c r="T78" s="40"/>
      <c r="U78" s="278" t="str">
        <f ca="1">IF(D78="","",IF(OFFSET(D78,-2,0)=D78,"",VLOOKUP(D78,契約台帳!$A$3:$R$4986,18,FALSE)))</f>
        <v/>
      </c>
      <c r="V78" s="269" t="str">
        <f>IF(J78="巻返し",VLOOKUP(F78&amp;K78&amp;M78,製品マスタ!$M$5:$AD$5002,18,FALSE),IF(J78="リード付け","原反コア",IF(J78="スリット",VLOOKUP(F78&amp;K78&amp;Q78,製品マスタ!$N$5:$AD$5002,17,FALSE),"")))</f>
        <v/>
      </c>
      <c r="W78" s="269" t="str">
        <f>IF(J78="巻返し",VLOOKUP(F78&amp;K78&amp;M78,製品マスタ!$M$5:$AE$5002,19,FALSE),IF(J78="リード付け","-",IF(J78="スリット",VLOOKUP(F78&amp;K78&amp;Q78,製品マスタ!$N$5:$AE$5002,18,FALSE),"")))</f>
        <v/>
      </c>
      <c r="X78" s="275" t="str">
        <f>IF(D78="","",VLOOKUP(D78,契約台帳!$A$3:$Q$4986,17,FALSE))</f>
        <v/>
      </c>
      <c r="Y78" s="269" t="str">
        <f>IF(D78="","",VLOOKUP(D78,契約台帳!$A$3:$E$4986,5,FALSE))</f>
        <v/>
      </c>
      <c r="Z78" s="57"/>
      <c r="AA78" s="207" t="str">
        <f>IFERROR(VLOOKUP(F78&amp;K78&amp;M78,製品マスタ!$M$5:$AM$5002,27,FALSE),"")</f>
        <v/>
      </c>
      <c r="AB78" s="33"/>
      <c r="AC78" s="189"/>
      <c r="AD78" s="54"/>
      <c r="AE78" s="55"/>
      <c r="AF78" s="43"/>
      <c r="AG78" s="47"/>
      <c r="AH78" s="30"/>
      <c r="AI78" s="30"/>
      <c r="AJ78" s="30"/>
      <c r="AK78" s="30"/>
      <c r="AL78" s="13"/>
      <c r="AM78" s="13"/>
      <c r="AN78" s="13"/>
      <c r="AO78" s="13"/>
      <c r="AP78" s="13"/>
      <c r="AQ78" s="14"/>
      <c r="AR78" s="15"/>
    </row>
    <row r="79" spans="1:44" s="17" customFormat="1" ht="30.95" hidden="1" customHeight="1" x14ac:dyDescent="0.2">
      <c r="A79" s="37"/>
      <c r="B79" s="38"/>
      <c r="C79" s="45"/>
      <c r="D79" s="31">
        <v>3694115</v>
      </c>
      <c r="E79" s="31">
        <v>4151260</v>
      </c>
      <c r="F79" s="268" t="str">
        <f>IF(D79="","",VLOOKUP(D79,契約台帳!$A$3:$K$4986,6,FALSE)&amp;VLOOKUP(D79,契約台帳!$A$3:$K$4986,7,FALSE)&amp;VLOOKUP(D79,契約台帳!$A$3:$K$4986,8,FALSE)&amp;VLOOKUP(D79,契約台帳!$A$3:$K$4986,9,FALSE)&amp;VLOOKUP(D79,契約台帳!$A$3:$K$4986,11,FALSE))</f>
        <v>3SNMLBMNNGKBF</v>
      </c>
      <c r="G79" s="269" t="str">
        <f>IF(D79="","",VLOOKUP(F79,製品マスタ!$G$5:$H$5002,2,FALSE))</f>
        <v>S</v>
      </c>
      <c r="H79" s="269" t="str">
        <f>IF(D79="","",VLOOKUP(F79,製品マスタ!$G$5:$K$5002,5,FALSE))</f>
        <v>MNNGKBF</v>
      </c>
      <c r="I79" s="270" t="str">
        <f>IF(D79="","",VLOOKUP(F79,製品マスタ!$G$5:$L$5002,6,FALSE))</f>
        <v>メタルミー　ニューネーマー銀消　Ｂ</v>
      </c>
      <c r="J79" s="32" t="s">
        <v>447</v>
      </c>
      <c r="K79" s="270">
        <f>IF(D79="","",VLOOKUP(D79,契約台帳!$A$3:$L$4986,12,FALSE))</f>
        <v>50</v>
      </c>
      <c r="L79" s="270" t="str">
        <f>IF(D79="","",INDEX(製品マスタ!$Q$5:$Q$5002,MATCH(F79&amp;K79,製品マスタ!$AO$5:$AO$5002,0)))</f>
        <v>X44</v>
      </c>
      <c r="M79" s="39">
        <v>1000</v>
      </c>
      <c r="N79" s="39">
        <v>12000</v>
      </c>
      <c r="O79" s="47">
        <v>4</v>
      </c>
      <c r="P79" s="57">
        <v>44947</v>
      </c>
      <c r="Q79" s="276">
        <f>IF(D79="","",IF(J79="リード付け",M79,VLOOKUP(D79,契約台帳!$A$3:$N$4986,14,FALSE)))</f>
        <v>1000</v>
      </c>
      <c r="R79" s="277">
        <f>IF(D79="","",IF(J79="リード付け",M79,VLOOKUP(D79,契約台帳!$A$3:$O$4986,15,FALSE)))</f>
        <v>1000</v>
      </c>
      <c r="S79" s="277">
        <f>IF(D79="","",IF(J79="リード付け",N79,VLOOKUP(D79,契約台帳!$A$3:$P$4986,16,FALSE)))</f>
        <v>4000</v>
      </c>
      <c r="T79" s="40">
        <v>12</v>
      </c>
      <c r="U79" s="278">
        <f ca="1">IF(D79="","",IF(OFFSET(D79,-2,0)=D79,"",VLOOKUP(D79,契約台帳!$A$3:$R$4986,18,FALSE)))</f>
        <v>21</v>
      </c>
      <c r="V79" s="269" t="str">
        <f>IF(J79="巻返し",VLOOKUP(F79&amp;K79&amp;M79,製品マスタ!$M$5:$AD$5002,18,FALSE),IF(J79="リード付け","原反コア",IF(J79="スリット",VLOOKUP(F79&amp;K79&amp;Q79,製品マスタ!$N$5:$AD$5002,17,FALSE),"")))</f>
        <v>6ｲﾝﾁSｺｱ</v>
      </c>
      <c r="W79" s="269">
        <f>IF(J79="巻返し",VLOOKUP(F79&amp;K79&amp;M79,製品マスタ!$M$5:$AE$5002,19,FALSE),IF(J79="リード付け","-",IF(J79="スリット",VLOOKUP(F79&amp;K79&amp;Q79,製品マスタ!$N$5:$AE$5002,18,FALSE),"")))</f>
        <v>1005</v>
      </c>
      <c r="X79" s="275">
        <f>IF(D79="","",VLOOKUP(D79,契約台帳!$A$3:$Q$4986,17,FALSE))</f>
        <v>2</v>
      </c>
      <c r="Y79" s="269" t="str">
        <f>IF(D79="","",VLOOKUP(D79,契約台帳!$A$3:$E$4986,5,FALSE))</f>
        <v>リンテック㈱</v>
      </c>
      <c r="Z79" s="57">
        <v>44953</v>
      </c>
      <c r="AA79" s="207" t="str">
        <f>IFERROR(VLOOKUP(F79&amp;K79&amp;M79,製品マスタ!$M$5:$AM$5002,27,FALSE),"")</f>
        <v>原反ケース再利用</v>
      </c>
      <c r="AB79" s="33"/>
      <c r="AC79" s="189"/>
      <c r="AD79" s="54" t="str">
        <f>IF(F79="","",+F79&amp;K79)</f>
        <v>3SNMLBMNNGKBF50</v>
      </c>
      <c r="AE79" s="55">
        <f>+M79*N79*O79/1000</f>
        <v>48000</v>
      </c>
      <c r="AF79" s="43">
        <f>IF(AD79="","",VLOOKUP(AD79,原価マスタ!$A$2:$AJ$1693,13,FALSE))</f>
        <v>99</v>
      </c>
      <c r="AG79" s="47">
        <f>IF(AF79="","",+AE79*AF79/100)</f>
        <v>47520</v>
      </c>
      <c r="AH79" s="30"/>
      <c r="AI79" s="30"/>
      <c r="AJ79" s="30"/>
      <c r="AK79" s="30"/>
      <c r="AL79" s="13"/>
      <c r="AM79" s="13"/>
      <c r="AN79" s="13"/>
      <c r="AO79" s="13"/>
      <c r="AP79" s="13"/>
      <c r="AQ79" s="14"/>
      <c r="AR79" s="15"/>
    </row>
    <row r="80" spans="1:44" s="17" customFormat="1" ht="30.95" hidden="1" customHeight="1" x14ac:dyDescent="0.2">
      <c r="A80" s="37"/>
      <c r="B80" s="38"/>
      <c r="C80" s="45"/>
      <c r="D80" s="31"/>
      <c r="E80" s="31"/>
      <c r="F80" s="268" t="str">
        <f>IF(D80="","",VLOOKUP(D80,契約台帳!$A$3:$K$4986,6,FALSE)&amp;VLOOKUP(D80,契約台帳!$A$3:$K$4986,7,FALSE)&amp;VLOOKUP(D80,契約台帳!$A$3:$K$4986,8,FALSE)&amp;VLOOKUP(D80,契約台帳!$A$3:$K$4986,9,FALSE)&amp;VLOOKUP(D80,契約台帳!$A$3:$K$4986,11,FALSE))</f>
        <v/>
      </c>
      <c r="G80" s="269" t="str">
        <f>IF(D80="","",VLOOKUP(F80,製品マスタ!$G$5:$H$5002,2,FALSE))</f>
        <v/>
      </c>
      <c r="H80" s="269" t="str">
        <f>IF(D80="","",VLOOKUP(F80,製品マスタ!$G$5:$K$5002,5,FALSE))</f>
        <v/>
      </c>
      <c r="I80" s="270" t="str">
        <f>IF(D80="","",VLOOKUP(F80,製品マスタ!$G$5:$L$5002,6,FALSE))</f>
        <v/>
      </c>
      <c r="J80" s="32"/>
      <c r="K80" s="270" t="str">
        <f>IF(D80="","",VLOOKUP(D80,契約台帳!$A$3:$L$4986,12,FALSE))</f>
        <v/>
      </c>
      <c r="L80" s="270" t="str">
        <f>IF(D80="","",INDEX(製品マスタ!$Q$5:$Q$5002,MATCH(F80&amp;K80,製品マスタ!$AO$5:$AO$5002,0)))</f>
        <v/>
      </c>
      <c r="M80" s="39"/>
      <c r="N80" s="39"/>
      <c r="O80" s="47"/>
      <c r="P80" s="57"/>
      <c r="Q80" s="276" t="str">
        <f>IF(D80="","",IF(J80="リード付け",M80,VLOOKUP(D80,契約台帳!$A$3:$N$4986,14,FALSE)))</f>
        <v/>
      </c>
      <c r="R80" s="277" t="str">
        <f>IF(D80="","",IF(J80="リード付け",M80,VLOOKUP(D80,契約台帳!$A$3:$O$4986,15,FALSE)))</f>
        <v/>
      </c>
      <c r="S80" s="277" t="str">
        <f>IF(D80="","",IF(J80="リード付け",N80,VLOOKUP(D80,契約台帳!$A$3:$P$4986,16,FALSE)))</f>
        <v/>
      </c>
      <c r="T80" s="40"/>
      <c r="U80" s="278" t="str">
        <f ca="1">IF(D80="","",IF(OFFSET(D80,-2,0)=D80,"",VLOOKUP(D80,契約台帳!$A$3:$R$4986,18,FALSE)))</f>
        <v/>
      </c>
      <c r="V80" s="269" t="str">
        <f>IF(J80="巻返し",VLOOKUP(F80&amp;K80&amp;M80,製品マスタ!$M$5:$AD$5002,18,FALSE),IF(J80="リード付け","原反コア",IF(J80="スリット",VLOOKUP(F80&amp;K80&amp;Q80,製品マスタ!$N$5:$AD$5002,17,FALSE),"")))</f>
        <v/>
      </c>
      <c r="W80" s="269" t="str">
        <f>IF(J80="巻返し",VLOOKUP(F80&amp;K80&amp;M80,製品マスタ!$M$5:$AE$5002,19,FALSE),IF(J80="リード付け","-",IF(J80="スリット",VLOOKUP(F80&amp;K80&amp;Q80,製品マスタ!$N$5:$AE$5002,18,FALSE),"")))</f>
        <v/>
      </c>
      <c r="X80" s="275" t="str">
        <f>IF(D80="","",VLOOKUP(D80,契約台帳!$A$3:$Q$4986,17,FALSE))</f>
        <v/>
      </c>
      <c r="Y80" s="269" t="str">
        <f>IF(D80="","",VLOOKUP(D80,契約台帳!$A$3:$E$4986,5,FALSE))</f>
        <v/>
      </c>
      <c r="Z80" s="57"/>
      <c r="AA80" s="207" t="str">
        <f>IFERROR(VLOOKUP(F80&amp;K80&amp;M80,製品マスタ!$M$5:$AM$5002,27,FALSE),"")</f>
        <v/>
      </c>
      <c r="AB80" s="33"/>
      <c r="AC80" s="189"/>
      <c r="AD80" s="54"/>
      <c r="AE80" s="55"/>
      <c r="AF80" s="43"/>
      <c r="AG80" s="47"/>
      <c r="AH80" s="30"/>
      <c r="AI80" s="30"/>
      <c r="AJ80" s="30"/>
      <c r="AK80" s="30"/>
      <c r="AL80" s="13"/>
      <c r="AM80" s="13"/>
      <c r="AN80" s="13"/>
      <c r="AO80" s="13"/>
      <c r="AP80" s="13"/>
      <c r="AQ80" s="14"/>
      <c r="AR80" s="15"/>
    </row>
    <row r="81" spans="1:44" s="17" customFormat="1" ht="30.95" hidden="1" customHeight="1" x14ac:dyDescent="0.2">
      <c r="A81" s="37" t="s">
        <v>797</v>
      </c>
      <c r="B81" s="38" t="s">
        <v>778</v>
      </c>
      <c r="C81" s="45"/>
      <c r="D81" s="31">
        <v>3694115</v>
      </c>
      <c r="E81" s="31">
        <v>4151260</v>
      </c>
      <c r="F81" s="268" t="str">
        <f>IF(D81="","",VLOOKUP(D81,契約台帳!$A$3:$K$4986,6,FALSE)&amp;VLOOKUP(D81,契約台帳!$A$3:$K$4986,7,FALSE)&amp;VLOOKUP(D81,契約台帳!$A$3:$K$4986,8,FALSE)&amp;VLOOKUP(D81,契約台帳!$A$3:$K$4986,9,FALSE)&amp;VLOOKUP(D81,契約台帳!$A$3:$K$4986,11,FALSE))</f>
        <v>3SNMLBMNNGKBF</v>
      </c>
      <c r="G81" s="269" t="str">
        <f>IF(D81="","",VLOOKUP(F81,製品マスタ!$G$5:$H$5002,2,FALSE))</f>
        <v>S</v>
      </c>
      <c r="H81" s="269" t="str">
        <f>IF(D81="","",VLOOKUP(F81,製品マスタ!$G$5:$K$5002,5,FALSE))</f>
        <v>MNNGKBF</v>
      </c>
      <c r="I81" s="270" t="str">
        <f>IF(D81="","",VLOOKUP(F81,製品マスタ!$G$5:$L$5002,6,FALSE))</f>
        <v>メタルミー　ニューネーマー銀消　Ｂ</v>
      </c>
      <c r="J81" s="32" t="s">
        <v>447</v>
      </c>
      <c r="K81" s="270">
        <f>IF(D81="","",VLOOKUP(D81,契約台帳!$A$3:$L$4986,12,FALSE))</f>
        <v>50</v>
      </c>
      <c r="L81" s="270" t="str">
        <f>IF(D81="","",INDEX(製品マスタ!$Q$5:$Q$5002,MATCH(F81&amp;K81,製品マスタ!$AO$5:$AO$5002,0)))</f>
        <v>X44</v>
      </c>
      <c r="M81" s="39">
        <v>1000</v>
      </c>
      <c r="N81" s="39">
        <v>12000</v>
      </c>
      <c r="O81" s="47">
        <v>3</v>
      </c>
      <c r="P81" s="57">
        <v>44947</v>
      </c>
      <c r="Q81" s="276">
        <f>IF(D81="","",IF(J81="リード付け",M81,VLOOKUP(D81,契約台帳!$A$3:$N$4986,14,FALSE)))</f>
        <v>1000</v>
      </c>
      <c r="R81" s="277">
        <f>IF(D81="","",IF(J81="リード付け",M81,VLOOKUP(D81,契約台帳!$A$3:$O$4986,15,FALSE)))</f>
        <v>1000</v>
      </c>
      <c r="S81" s="277">
        <f>IF(D81="","",IF(J81="リード付け",N81,VLOOKUP(D81,契約台帳!$A$3:$P$4986,16,FALSE)))</f>
        <v>4000</v>
      </c>
      <c r="T81" s="40">
        <v>9</v>
      </c>
      <c r="U81" s="278" t="str">
        <f ca="1">IF(D81="","",IF(OFFSET(D81,-2,0)=D81,"",VLOOKUP(D81,契約台帳!$A$3:$R$4986,18,FALSE)))</f>
        <v/>
      </c>
      <c r="V81" s="269" t="str">
        <f>IF(J81="巻返し",VLOOKUP(F81&amp;K81&amp;M81,製品マスタ!$M$5:$AD$5002,18,FALSE),IF(J81="リード付け","原反コア",IF(J81="スリット",VLOOKUP(F81&amp;K81&amp;Q81,製品マスタ!$N$5:$AD$5002,17,FALSE),"")))</f>
        <v>6ｲﾝﾁSｺｱ</v>
      </c>
      <c r="W81" s="269">
        <f>IF(J81="巻返し",VLOOKUP(F81&amp;K81&amp;M81,製品マスタ!$M$5:$AE$5002,19,FALSE),IF(J81="リード付け","-",IF(J81="スリット",VLOOKUP(F81&amp;K81&amp;Q81,製品マスタ!$N$5:$AE$5002,18,FALSE),"")))</f>
        <v>1005</v>
      </c>
      <c r="X81" s="275">
        <f>IF(D81="","",VLOOKUP(D81,契約台帳!$A$3:$Q$4986,17,FALSE))</f>
        <v>2</v>
      </c>
      <c r="Y81" s="269" t="str">
        <f>IF(D81="","",VLOOKUP(D81,契約台帳!$A$3:$E$4986,5,FALSE))</f>
        <v>リンテック㈱</v>
      </c>
      <c r="Z81" s="57">
        <v>44956</v>
      </c>
      <c r="AA81" s="207" t="str">
        <f>IFERROR(VLOOKUP(F81&amp;K81&amp;M81,製品マスタ!$M$5:$AM$5002,27,FALSE),"")</f>
        <v>原反ケース再利用</v>
      </c>
      <c r="AB81" s="33"/>
      <c r="AC81" s="189"/>
      <c r="AD81" s="54" t="str">
        <f>IF(F81="","",+F81&amp;K81)</f>
        <v>3SNMLBMNNGKBF50</v>
      </c>
      <c r="AE81" s="55">
        <f>+M81*N81*O81/1000</f>
        <v>36000</v>
      </c>
      <c r="AF81" s="43">
        <f>IF(AD81="","",VLOOKUP(AD81,原価マスタ!$A$2:$AJ$1693,13,FALSE))</f>
        <v>99</v>
      </c>
      <c r="AG81" s="47">
        <f>IF(AF81="","",+AE81*AF81/100)</f>
        <v>35640</v>
      </c>
      <c r="AH81" s="30"/>
      <c r="AI81" s="30"/>
      <c r="AJ81" s="30"/>
      <c r="AK81" s="30"/>
      <c r="AL81" s="13"/>
      <c r="AM81" s="13"/>
      <c r="AN81" s="13"/>
      <c r="AO81" s="13"/>
      <c r="AP81" s="13"/>
      <c r="AQ81" s="14"/>
      <c r="AR81" s="15"/>
    </row>
    <row r="82" spans="1:44" s="17" customFormat="1" ht="30.95" hidden="1" customHeight="1" x14ac:dyDescent="0.2">
      <c r="A82" s="37"/>
      <c r="B82" s="38"/>
      <c r="C82" s="45"/>
      <c r="D82" s="31"/>
      <c r="E82" s="31"/>
      <c r="F82" s="268" t="str">
        <f>IF(D82="","",VLOOKUP(D82,契約台帳!$A$3:$K$4986,6,FALSE)&amp;VLOOKUP(D82,契約台帳!$A$3:$K$4986,7,FALSE)&amp;VLOOKUP(D82,契約台帳!$A$3:$K$4986,8,FALSE)&amp;VLOOKUP(D82,契約台帳!$A$3:$K$4986,9,FALSE)&amp;VLOOKUP(D82,契約台帳!$A$3:$K$4986,11,FALSE))</f>
        <v/>
      </c>
      <c r="G82" s="269" t="str">
        <f>IF(D82="","",VLOOKUP(F82,製品マスタ!$G$5:$H$5002,2,FALSE))</f>
        <v/>
      </c>
      <c r="H82" s="269" t="str">
        <f>IF(D82="","",VLOOKUP(F82,製品マスタ!$G$5:$K$5002,5,FALSE))</f>
        <v/>
      </c>
      <c r="I82" s="270" t="str">
        <f>IF(D82="","",VLOOKUP(F82,製品マスタ!$G$5:$L$5002,6,FALSE))</f>
        <v/>
      </c>
      <c r="J82" s="32"/>
      <c r="K82" s="270" t="str">
        <f>IF(D82="","",VLOOKUP(D82,契約台帳!$A$3:$L$4986,12,FALSE))</f>
        <v/>
      </c>
      <c r="L82" s="270" t="str">
        <f>IF(D82="","",INDEX(製品マスタ!$Q$5:$Q$5002,MATCH(F82&amp;K82,製品マスタ!$AO$5:$AO$5002,0)))</f>
        <v/>
      </c>
      <c r="M82" s="39"/>
      <c r="N82" s="39"/>
      <c r="O82" s="47"/>
      <c r="P82" s="57"/>
      <c r="Q82" s="276" t="str">
        <f>IF(D82="","",IF(J82="リード付け",M82,VLOOKUP(D82,契約台帳!$A$3:$N$4986,14,FALSE)))</f>
        <v/>
      </c>
      <c r="R82" s="277" t="str">
        <f>IF(D82="","",IF(J82="リード付け",M82,VLOOKUP(D82,契約台帳!$A$3:$O$4986,15,FALSE)))</f>
        <v/>
      </c>
      <c r="S82" s="277" t="str">
        <f>IF(D82="","",IF(J82="リード付け",N82,VLOOKUP(D82,契約台帳!$A$3:$P$4986,16,FALSE)))</f>
        <v/>
      </c>
      <c r="T82" s="40"/>
      <c r="U82" s="278" t="str">
        <f ca="1">IF(D82="","",IF(OFFSET(D82,-2,0)=D82,"",VLOOKUP(D82,契約台帳!$A$3:$R$4986,18,FALSE)))</f>
        <v/>
      </c>
      <c r="V82" s="269" t="str">
        <f>IF(J82="巻返し",VLOOKUP(F82&amp;K82&amp;M82,製品マスタ!$M$5:$AD$5002,18,FALSE),IF(J82="リード付け","原反コア",IF(J82="スリット",VLOOKUP(F82&amp;K82&amp;Q82,製品マスタ!$N$5:$AD$5002,17,FALSE),"")))</f>
        <v/>
      </c>
      <c r="W82" s="269" t="str">
        <f>IF(J82="巻返し",VLOOKUP(F82&amp;K82&amp;M82,製品マスタ!$M$5:$AE$5002,19,FALSE),IF(J82="リード付け","-",IF(J82="スリット",VLOOKUP(F82&amp;K82&amp;Q82,製品マスタ!$N$5:$AE$5002,18,FALSE),"")))</f>
        <v/>
      </c>
      <c r="X82" s="275" t="str">
        <f>IF(D82="","",VLOOKUP(D82,契約台帳!$A$3:$Q$4986,17,FALSE))</f>
        <v/>
      </c>
      <c r="Y82" s="269" t="str">
        <f>IF(D82="","",VLOOKUP(D82,契約台帳!$A$3:$E$4986,5,FALSE))</f>
        <v/>
      </c>
      <c r="Z82" s="57"/>
      <c r="AA82" s="207" t="str">
        <f>IFERROR(VLOOKUP(F82&amp;K82&amp;M82,製品マスタ!$M$5:$AM$5002,27,FALSE),"")</f>
        <v/>
      </c>
      <c r="AB82" s="33"/>
      <c r="AC82" s="189"/>
      <c r="AD82" s="54"/>
      <c r="AE82" s="55"/>
      <c r="AF82" s="43"/>
      <c r="AG82" s="47"/>
      <c r="AH82" s="30"/>
      <c r="AI82" s="30"/>
      <c r="AJ82" s="30"/>
      <c r="AK82" s="30"/>
      <c r="AL82" s="13"/>
      <c r="AM82" s="13"/>
      <c r="AN82" s="13"/>
      <c r="AO82" s="13"/>
      <c r="AP82" s="13"/>
      <c r="AQ82" s="14"/>
      <c r="AR82" s="15"/>
    </row>
    <row r="83" spans="1:44" s="17" customFormat="1" ht="30.95" hidden="1" customHeight="1" x14ac:dyDescent="0.2">
      <c r="A83" s="37"/>
      <c r="B83" s="38"/>
      <c r="C83" s="45"/>
      <c r="D83" s="31">
        <v>3694102</v>
      </c>
      <c r="E83" s="31">
        <v>4151255</v>
      </c>
      <c r="F83" s="268" t="str">
        <f>IF(D83="","",VLOOKUP(D83,契約台帳!$A$3:$K$4986,6,FALSE)&amp;VLOOKUP(D83,契約台帳!$A$3:$K$4986,7,FALSE)&amp;VLOOKUP(D83,契約台帳!$A$3:$K$4986,8,FALSE)&amp;VLOOKUP(D83,契約台帳!$A$3:$K$4986,9,FALSE)&amp;VLOOKUP(D83,契約台帳!$A$3:$K$4986,11,FALSE))</f>
        <v>3SNMLBMNGKKBF</v>
      </c>
      <c r="G83" s="269" t="str">
        <f>IF(D83="","",VLOOKUP(F83,製品マスタ!$G$5:$H$5002,2,FALSE))</f>
        <v>S</v>
      </c>
      <c r="H83" s="269" t="str">
        <f>IF(D83="","",VLOOKUP(F83,製品マスタ!$G$5:$K$5002,5,FALSE))</f>
        <v>MNGKKBF</v>
      </c>
      <c r="I83" s="270" t="str">
        <f>IF(D83="","",VLOOKUP(F83,製品マスタ!$G$5:$L$5002,6,FALSE))</f>
        <v>メタルミー　ネーマー銀消改　Ｂ</v>
      </c>
      <c r="J83" s="32" t="s">
        <v>447</v>
      </c>
      <c r="K83" s="270">
        <f>IF(D83="","",VLOOKUP(D83,契約台帳!$A$3:$L$4986,12,FALSE))</f>
        <v>25</v>
      </c>
      <c r="L83" s="270" t="str">
        <f>IF(D83="","",INDEX(製品マスタ!$Q$5:$Q$5002,MATCH(F83&amp;K83,製品マスタ!$AO$5:$AO$5002,0)))</f>
        <v>FMATS99</v>
      </c>
      <c r="M83" s="39">
        <v>1000</v>
      </c>
      <c r="N83" s="39">
        <v>12000</v>
      </c>
      <c r="O83" s="47">
        <v>1</v>
      </c>
      <c r="P83" s="57">
        <v>44948</v>
      </c>
      <c r="Q83" s="276">
        <f>IF(D83="","",IF(J83="リード付け",M83,VLOOKUP(D83,契約台帳!$A$3:$N$4986,14,FALSE)))</f>
        <v>1000</v>
      </c>
      <c r="R83" s="277">
        <f>IF(D83="","",IF(J83="リード付け",M83,VLOOKUP(D83,契約台帳!$A$3:$O$4986,15,FALSE)))</f>
        <v>1000</v>
      </c>
      <c r="S83" s="277">
        <f>IF(D83="","",IF(J83="リード付け",N83,VLOOKUP(D83,契約台帳!$A$3:$P$4986,16,FALSE)))</f>
        <v>4000</v>
      </c>
      <c r="T83" s="40">
        <v>3</v>
      </c>
      <c r="U83" s="278">
        <f ca="1">IF(D83="","",IF(OFFSET(D83,-2,0)=D83,"",VLOOKUP(D83,契約台帳!$A$3:$R$4986,18,FALSE)))</f>
        <v>3</v>
      </c>
      <c r="V83" s="269" t="str">
        <f>IF(J83="巻返し",VLOOKUP(F83&amp;K83&amp;M83,製品マスタ!$M$5:$AD$5002,18,FALSE),IF(J83="リード付け","原反コア",IF(J83="スリット",VLOOKUP(F83&amp;K83&amp;Q83,製品マスタ!$N$5:$AD$5002,17,FALSE),"")))</f>
        <v>6ｲﾝﾁSｺｱ</v>
      </c>
      <c r="W83" s="269">
        <f>IF(J83="巻返し",VLOOKUP(F83&amp;K83&amp;M83,製品マスタ!$M$5:$AE$5002,19,FALSE),IF(J83="リード付け","-",IF(J83="スリット",VLOOKUP(F83&amp;K83&amp;Q83,製品マスタ!$N$5:$AE$5002,18,FALSE),"")))</f>
        <v>1005</v>
      </c>
      <c r="X83" s="275">
        <f>IF(D83="","",VLOOKUP(D83,契約台帳!$A$3:$Q$4986,17,FALSE))</f>
        <v>2</v>
      </c>
      <c r="Y83" s="269" t="str">
        <f>IF(D83="","",VLOOKUP(D83,契約台帳!$A$3:$E$4986,5,FALSE))</f>
        <v>リンテック㈱</v>
      </c>
      <c r="Z83" s="57">
        <v>44956</v>
      </c>
      <c r="AA83" s="207">
        <f>IFERROR(VLOOKUP(F83&amp;K83&amp;M83,製品マスタ!$M$5:$AM$5002,27,FALSE),"")</f>
        <v>0</v>
      </c>
      <c r="AB83" s="33"/>
      <c r="AC83" s="189"/>
      <c r="AD83" s="54" t="str">
        <f>IF(F83="","",+F83&amp;K83)</f>
        <v>3SNMLBMNGKKBF25</v>
      </c>
      <c r="AE83" s="55">
        <f>+M83*N83*O83/1000</f>
        <v>12000</v>
      </c>
      <c r="AF83" s="43">
        <f>IF(AD83="","",VLOOKUP(AD83,原価マスタ!$A$2:$AJ$1693,13,FALSE))</f>
        <v>96</v>
      </c>
      <c r="AG83" s="47">
        <f>IF(AF83="","",+AE83*AF83/100)</f>
        <v>11520</v>
      </c>
      <c r="AH83" s="30"/>
      <c r="AI83" s="30"/>
      <c r="AJ83" s="30"/>
      <c r="AK83" s="30"/>
      <c r="AL83" s="13"/>
      <c r="AM83" s="13"/>
      <c r="AN83" s="13"/>
      <c r="AO83" s="13"/>
      <c r="AP83" s="13"/>
      <c r="AQ83" s="14"/>
      <c r="AR83" s="15"/>
    </row>
    <row r="84" spans="1:44" s="17" customFormat="1" ht="30.95" hidden="1" customHeight="1" x14ac:dyDescent="0.2">
      <c r="A84" s="37"/>
      <c r="B84" s="38"/>
      <c r="C84" s="45"/>
      <c r="D84" s="31"/>
      <c r="E84" s="31"/>
      <c r="F84" s="268" t="str">
        <f>IF(D84="","",VLOOKUP(D84,契約台帳!$A$3:$K$4986,6,FALSE)&amp;VLOOKUP(D84,契約台帳!$A$3:$K$4986,7,FALSE)&amp;VLOOKUP(D84,契約台帳!$A$3:$K$4986,8,FALSE)&amp;VLOOKUP(D84,契約台帳!$A$3:$K$4986,9,FALSE)&amp;VLOOKUP(D84,契約台帳!$A$3:$K$4986,11,FALSE))</f>
        <v/>
      </c>
      <c r="G84" s="269" t="str">
        <f>IF(D84="","",VLOOKUP(F84,製品マスタ!$G$5:$H$5002,2,FALSE))</f>
        <v/>
      </c>
      <c r="H84" s="269" t="str">
        <f>IF(D84="","",VLOOKUP(F84,製品マスタ!$G$5:$K$5002,5,FALSE))</f>
        <v/>
      </c>
      <c r="I84" s="270" t="str">
        <f>IF(D84="","",VLOOKUP(F84,製品マスタ!$G$5:$L$5002,6,FALSE))</f>
        <v/>
      </c>
      <c r="J84" s="32"/>
      <c r="K84" s="270" t="str">
        <f>IF(D84="","",VLOOKUP(D84,契約台帳!$A$3:$L$4986,12,FALSE))</f>
        <v/>
      </c>
      <c r="L84" s="270" t="str">
        <f>IF(D84="","",INDEX(製品マスタ!$Q$5:$Q$5002,MATCH(F84&amp;K84,製品マスタ!$AO$5:$AO$5002,0)))</f>
        <v/>
      </c>
      <c r="M84" s="39"/>
      <c r="N84" s="39"/>
      <c r="O84" s="47"/>
      <c r="P84" s="57"/>
      <c r="Q84" s="276" t="str">
        <f>IF(D84="","",IF(J84="リード付け",M84,VLOOKUP(D84,契約台帳!$A$3:$N$4986,14,FALSE)))</f>
        <v/>
      </c>
      <c r="R84" s="277" t="str">
        <f>IF(D84="","",IF(J84="リード付け",M84,VLOOKUP(D84,契約台帳!$A$3:$O$4986,15,FALSE)))</f>
        <v/>
      </c>
      <c r="S84" s="277" t="str">
        <f>IF(D84="","",IF(J84="リード付け",N84,VLOOKUP(D84,契約台帳!$A$3:$P$4986,16,FALSE)))</f>
        <v/>
      </c>
      <c r="T84" s="40"/>
      <c r="U84" s="278" t="str">
        <f ca="1">IF(D84="","",IF(OFFSET(D84,-2,0)=D84,"",VLOOKUP(D84,契約台帳!$A$3:$R$4986,18,FALSE)))</f>
        <v/>
      </c>
      <c r="V84" s="269" t="str">
        <f>IF(J84="巻返し",VLOOKUP(F84&amp;K84&amp;M84,製品マスタ!$M$5:$AD$5002,18,FALSE),IF(J84="リード付け","原反コア",IF(J84="スリット",VLOOKUP(F84&amp;K84&amp;Q84,製品マスタ!$N$5:$AD$5002,17,FALSE),"")))</f>
        <v/>
      </c>
      <c r="W84" s="269" t="str">
        <f>IF(J84="巻返し",VLOOKUP(F84&amp;K84&amp;M84,製品マスタ!$M$5:$AE$5002,19,FALSE),IF(J84="リード付け","-",IF(J84="スリット",VLOOKUP(F84&amp;K84&amp;Q84,製品マスタ!$N$5:$AE$5002,18,FALSE),"")))</f>
        <v/>
      </c>
      <c r="X84" s="275" t="str">
        <f>IF(D84="","",VLOOKUP(D84,契約台帳!$A$3:$Q$4986,17,FALSE))</f>
        <v/>
      </c>
      <c r="Y84" s="269" t="str">
        <f>IF(D84="","",VLOOKUP(D84,契約台帳!$A$3:$E$4986,5,FALSE))</f>
        <v/>
      </c>
      <c r="Z84" s="57"/>
      <c r="AA84" s="207" t="str">
        <f>IFERROR(VLOOKUP(F84&amp;K84&amp;M84,製品マスタ!$M$5:$AM$5002,27,FALSE),"")</f>
        <v/>
      </c>
      <c r="AB84" s="33"/>
      <c r="AC84" s="189"/>
      <c r="AD84" s="54"/>
      <c r="AE84" s="55"/>
      <c r="AF84" s="43"/>
      <c r="AG84" s="47"/>
      <c r="AH84" s="30"/>
      <c r="AI84" s="30"/>
      <c r="AJ84" s="30"/>
      <c r="AK84" s="30"/>
      <c r="AL84" s="13"/>
      <c r="AM84" s="13"/>
      <c r="AN84" s="13"/>
      <c r="AO84" s="13"/>
      <c r="AP84" s="13"/>
      <c r="AQ84" s="14"/>
      <c r="AR84" s="15"/>
    </row>
    <row r="85" spans="1:44" s="17" customFormat="1" ht="30.95" hidden="1" customHeight="1" x14ac:dyDescent="0.2">
      <c r="A85" s="37"/>
      <c r="B85" s="38"/>
      <c r="C85" s="45"/>
      <c r="D85" s="31">
        <v>3694103</v>
      </c>
      <c r="E85" s="31">
        <v>4151256</v>
      </c>
      <c r="F85" s="268" t="str">
        <f>IF(D85="","",VLOOKUP(D85,契約台帳!$A$3:$K$4986,6,FALSE)&amp;VLOOKUP(D85,契約台帳!$A$3:$K$4986,7,FALSE)&amp;VLOOKUP(D85,契約台帳!$A$3:$K$4986,8,FALSE)&amp;VLOOKUP(D85,契約台帳!$A$3:$K$4986,9,FALSE)&amp;VLOOKUP(D85,契約台帳!$A$3:$K$4986,11,FALSE))</f>
        <v>3SNMLBMNGKKBF</v>
      </c>
      <c r="G85" s="269" t="str">
        <f>IF(D85="","",VLOOKUP(F85,製品マスタ!$G$5:$H$5002,2,FALSE))</f>
        <v>S</v>
      </c>
      <c r="H85" s="269" t="str">
        <f>IF(D85="","",VLOOKUP(F85,製品マスタ!$G$5:$K$5002,5,FALSE))</f>
        <v>MNGKKBF</v>
      </c>
      <c r="I85" s="270" t="str">
        <f>IF(D85="","",VLOOKUP(F85,製品マスタ!$G$5:$L$5002,6,FALSE))</f>
        <v>メタルミー　ネーマー銀消改　Ｂ</v>
      </c>
      <c r="J85" s="32" t="s">
        <v>447</v>
      </c>
      <c r="K85" s="270">
        <f>IF(D85="","",VLOOKUP(D85,契約台帳!$A$3:$L$4986,12,FALSE))</f>
        <v>25</v>
      </c>
      <c r="L85" s="270" t="str">
        <f>IF(D85="","",INDEX(製品マスタ!$Q$5:$Q$5002,MATCH(F85&amp;K85,製品マスタ!$AO$5:$AO$5002,0)))</f>
        <v>FMATS99</v>
      </c>
      <c r="M85" s="39">
        <v>1120</v>
      </c>
      <c r="N85" s="39">
        <v>12000</v>
      </c>
      <c r="O85" s="47">
        <v>2</v>
      </c>
      <c r="P85" s="57">
        <v>44948</v>
      </c>
      <c r="Q85" s="276">
        <f>IF(D85="","",IF(J85="リード付け",M85,VLOOKUP(D85,契約台帳!$A$3:$N$4986,14,FALSE)))</f>
        <v>1120</v>
      </c>
      <c r="R85" s="277">
        <f>IF(D85="","",IF(J85="リード付け",M85,VLOOKUP(D85,契約台帳!$A$3:$O$4986,15,FALSE)))</f>
        <v>1120</v>
      </c>
      <c r="S85" s="277">
        <f>IF(D85="","",IF(J85="リード付け",N85,VLOOKUP(D85,契約台帳!$A$3:$P$4986,16,FALSE)))</f>
        <v>4000</v>
      </c>
      <c r="T85" s="40">
        <v>6</v>
      </c>
      <c r="U85" s="278">
        <f ca="1">IF(D85="","",IF(OFFSET(D85,-2,0)=D85,"",VLOOKUP(D85,契約台帳!$A$3:$R$4986,18,FALSE)))</f>
        <v>9</v>
      </c>
      <c r="V85" s="269" t="str">
        <f>IF(J85="巻返し",VLOOKUP(F85&amp;K85&amp;M85,製品マスタ!$M$5:$AD$5002,18,FALSE),IF(J85="リード付け","原反コア",IF(J85="スリット",VLOOKUP(F85&amp;K85&amp;Q85,製品マスタ!$N$5:$AD$5002,17,FALSE),"")))</f>
        <v>6ｲﾝﾁSｺｱ</v>
      </c>
      <c r="W85" s="269">
        <f>IF(J85="巻返し",VLOOKUP(F85&amp;K85&amp;M85,製品マスタ!$M$5:$AE$5002,19,FALSE),IF(J85="リード付け","-",IF(J85="スリット",VLOOKUP(F85&amp;K85&amp;Q85,製品マスタ!$N$5:$AE$5002,18,FALSE),"")))</f>
        <v>1125</v>
      </c>
      <c r="X85" s="275">
        <f>IF(D85="","",VLOOKUP(D85,契約台帳!$A$3:$Q$4986,17,FALSE))</f>
        <v>2</v>
      </c>
      <c r="Y85" s="269" t="str">
        <f>IF(D85="","",VLOOKUP(D85,契約台帳!$A$3:$E$4986,5,FALSE))</f>
        <v>リンテック㈱</v>
      </c>
      <c r="Z85" s="57">
        <v>44956</v>
      </c>
      <c r="AA85" s="207">
        <f>IFERROR(VLOOKUP(F85&amp;K85&amp;M85,製品マスタ!$M$5:$AM$5002,27,FALSE),"")</f>
        <v>0</v>
      </c>
      <c r="AB85" s="33"/>
      <c r="AC85" s="189"/>
      <c r="AD85" s="54" t="str">
        <f>IF(F85="","",+F85&amp;K85)</f>
        <v>3SNMLBMNGKKBF25</v>
      </c>
      <c r="AE85" s="55">
        <f>+M85*N85*O85/1000</f>
        <v>26880</v>
      </c>
      <c r="AF85" s="43">
        <f>IF(AD85="","",VLOOKUP(AD85,原価マスタ!$A$2:$AJ$1693,13,FALSE))</f>
        <v>96</v>
      </c>
      <c r="AG85" s="47">
        <f>IF(AF85="","",+AE85*AF85/100)</f>
        <v>25804.799999999999</v>
      </c>
      <c r="AH85" s="30"/>
      <c r="AI85" s="30"/>
      <c r="AJ85" s="30"/>
      <c r="AK85" s="30"/>
      <c r="AL85" s="13"/>
      <c r="AM85" s="13"/>
      <c r="AN85" s="13"/>
      <c r="AO85" s="13"/>
      <c r="AP85" s="13"/>
      <c r="AQ85" s="14"/>
      <c r="AR85" s="15"/>
    </row>
    <row r="86" spans="1:44" s="17" customFormat="1" ht="30.95" hidden="1" customHeight="1" x14ac:dyDescent="0.2">
      <c r="A86" s="37"/>
      <c r="B86" s="38"/>
      <c r="C86" s="45"/>
      <c r="D86" s="31"/>
      <c r="E86" s="31"/>
      <c r="F86" s="268" t="str">
        <f>IF(D86="","",VLOOKUP(D86,契約台帳!$A$3:$K$4986,6,FALSE)&amp;VLOOKUP(D86,契約台帳!$A$3:$K$4986,7,FALSE)&amp;VLOOKUP(D86,契約台帳!$A$3:$K$4986,8,FALSE)&amp;VLOOKUP(D86,契約台帳!$A$3:$K$4986,9,FALSE)&amp;VLOOKUP(D86,契約台帳!$A$3:$K$4986,11,FALSE))</f>
        <v/>
      </c>
      <c r="G86" s="269" t="str">
        <f>IF(D86="","",VLOOKUP(F86,製品マスタ!$G$5:$H$5002,2,FALSE))</f>
        <v/>
      </c>
      <c r="H86" s="269" t="str">
        <f>IF(D86="","",VLOOKUP(F86,製品マスタ!$G$5:$K$5002,5,FALSE))</f>
        <v/>
      </c>
      <c r="I86" s="270" t="str">
        <f>IF(D86="","",VLOOKUP(F86,製品マスタ!$G$5:$L$5002,6,FALSE))</f>
        <v/>
      </c>
      <c r="J86" s="32"/>
      <c r="K86" s="270" t="str">
        <f>IF(D86="","",VLOOKUP(D86,契約台帳!$A$3:$L$4986,12,FALSE))</f>
        <v/>
      </c>
      <c r="L86" s="270" t="str">
        <f>IF(D86="","",INDEX(製品マスタ!$Q$5:$Q$5002,MATCH(F86&amp;K86,製品マスタ!$AO$5:$AO$5002,0)))</f>
        <v/>
      </c>
      <c r="M86" s="39"/>
      <c r="N86" s="39"/>
      <c r="O86" s="47"/>
      <c r="P86" s="57"/>
      <c r="Q86" s="276" t="str">
        <f>IF(D86="","",IF(J86="リード付け",M86,VLOOKUP(D86,契約台帳!$A$3:$N$4986,14,FALSE)))</f>
        <v/>
      </c>
      <c r="R86" s="277" t="str">
        <f>IF(D86="","",IF(J86="リード付け",M86,VLOOKUP(D86,契約台帳!$A$3:$O$4986,15,FALSE)))</f>
        <v/>
      </c>
      <c r="S86" s="277" t="str">
        <f>IF(D86="","",IF(J86="リード付け",N86,VLOOKUP(D86,契約台帳!$A$3:$P$4986,16,FALSE)))</f>
        <v/>
      </c>
      <c r="T86" s="40"/>
      <c r="U86" s="278" t="str">
        <f ca="1">IF(D86="","",IF(OFFSET(D86,-2,0)=D86,"",VLOOKUP(D86,契約台帳!$A$3:$R$4986,18,FALSE)))</f>
        <v/>
      </c>
      <c r="V86" s="269" t="str">
        <f>IF(J86="巻返し",VLOOKUP(F86&amp;K86&amp;M86,製品マスタ!$M$5:$AD$5002,18,FALSE),IF(J86="リード付け","原反コア",IF(J86="スリット",VLOOKUP(F86&amp;K86&amp;Q86,製品マスタ!$N$5:$AD$5002,17,FALSE),"")))</f>
        <v/>
      </c>
      <c r="W86" s="269" t="str">
        <f>IF(J86="巻返し",VLOOKUP(F86&amp;K86&amp;M86,製品マスタ!$M$5:$AE$5002,19,FALSE),IF(J86="リード付け","-",IF(J86="スリット",VLOOKUP(F86&amp;K86&amp;Q86,製品マスタ!$N$5:$AE$5002,18,FALSE),"")))</f>
        <v/>
      </c>
      <c r="X86" s="275" t="str">
        <f>IF(D86="","",VLOOKUP(D86,契約台帳!$A$3:$Q$4986,17,FALSE))</f>
        <v/>
      </c>
      <c r="Y86" s="269" t="str">
        <f>IF(D86="","",VLOOKUP(D86,契約台帳!$A$3:$E$4986,5,FALSE))</f>
        <v/>
      </c>
      <c r="Z86" s="57"/>
      <c r="AA86" s="207" t="str">
        <f>IFERROR(VLOOKUP(F86&amp;K86&amp;M86,製品マスタ!$M$5:$AM$5002,27,FALSE),"")</f>
        <v/>
      </c>
      <c r="AB86" s="33"/>
      <c r="AC86" s="189"/>
      <c r="AD86" s="54"/>
      <c r="AE86" s="55"/>
      <c r="AF86" s="43"/>
      <c r="AG86" s="47"/>
      <c r="AH86" s="30"/>
      <c r="AI86" s="30"/>
      <c r="AJ86" s="30"/>
      <c r="AK86" s="30"/>
      <c r="AL86" s="13"/>
      <c r="AM86" s="13"/>
      <c r="AN86" s="13"/>
      <c r="AO86" s="13"/>
      <c r="AP86" s="13"/>
      <c r="AQ86" s="14"/>
      <c r="AR86" s="15"/>
    </row>
    <row r="87" spans="1:44" s="17" customFormat="1" ht="30.95" hidden="1" customHeight="1" x14ac:dyDescent="0.2">
      <c r="A87" s="37" t="s">
        <v>798</v>
      </c>
      <c r="B87" s="38" t="s">
        <v>779</v>
      </c>
      <c r="C87" s="45"/>
      <c r="D87" s="31">
        <v>3694103</v>
      </c>
      <c r="E87" s="31">
        <v>4151256</v>
      </c>
      <c r="F87" s="268" t="str">
        <f>IF(D87="","",VLOOKUP(D87,契約台帳!$A$3:$K$4986,6,FALSE)&amp;VLOOKUP(D87,契約台帳!$A$3:$K$4986,7,FALSE)&amp;VLOOKUP(D87,契約台帳!$A$3:$K$4986,8,FALSE)&amp;VLOOKUP(D87,契約台帳!$A$3:$K$4986,9,FALSE)&amp;VLOOKUP(D87,契約台帳!$A$3:$K$4986,11,FALSE))</f>
        <v>3SNMLBMNGKKBF</v>
      </c>
      <c r="G87" s="269" t="str">
        <f>IF(D87="","",VLOOKUP(F87,製品マスタ!$G$5:$H$5002,2,FALSE))</f>
        <v>S</v>
      </c>
      <c r="H87" s="269" t="str">
        <f>IF(D87="","",VLOOKUP(F87,製品マスタ!$G$5:$K$5002,5,FALSE))</f>
        <v>MNGKKBF</v>
      </c>
      <c r="I87" s="270" t="str">
        <f>IF(D87="","",VLOOKUP(F87,製品マスタ!$G$5:$L$5002,6,FALSE))</f>
        <v>メタルミー　ネーマー銀消改　Ｂ</v>
      </c>
      <c r="J87" s="32" t="s">
        <v>447</v>
      </c>
      <c r="K87" s="270">
        <f>IF(D87="","",VLOOKUP(D87,契約台帳!$A$3:$L$4986,12,FALSE))</f>
        <v>25</v>
      </c>
      <c r="L87" s="270" t="str">
        <f>IF(D87="","",INDEX(製品マスタ!$Q$5:$Q$5002,MATCH(F87&amp;K87,製品マスタ!$AO$5:$AO$5002,0)))</f>
        <v>FMATS99</v>
      </c>
      <c r="M87" s="39">
        <v>1120</v>
      </c>
      <c r="N87" s="39">
        <v>12000</v>
      </c>
      <c r="O87" s="47">
        <v>1</v>
      </c>
      <c r="P87" s="57">
        <v>44948</v>
      </c>
      <c r="Q87" s="276">
        <f>IF(D87="","",IF(J87="リード付け",M87,VLOOKUP(D87,契約台帳!$A$3:$N$4986,14,FALSE)))</f>
        <v>1120</v>
      </c>
      <c r="R87" s="277">
        <f>IF(D87="","",IF(J87="リード付け",M87,VLOOKUP(D87,契約台帳!$A$3:$O$4986,15,FALSE)))</f>
        <v>1120</v>
      </c>
      <c r="S87" s="277">
        <f>IF(D87="","",IF(J87="リード付け",N87,VLOOKUP(D87,契約台帳!$A$3:$P$4986,16,FALSE)))</f>
        <v>4000</v>
      </c>
      <c r="T87" s="40">
        <v>3</v>
      </c>
      <c r="U87" s="278" t="str">
        <f ca="1">IF(D87="","",IF(OFFSET(D87,-2,0)=D87,"",VLOOKUP(D87,契約台帳!$A$3:$R$4986,18,FALSE)))</f>
        <v/>
      </c>
      <c r="V87" s="269" t="str">
        <f>IF(J87="巻返し",VLOOKUP(F87&amp;K87&amp;M87,製品マスタ!$M$5:$AD$5002,18,FALSE),IF(J87="リード付け","原反コア",IF(J87="スリット",VLOOKUP(F87&amp;K87&amp;Q87,製品マスタ!$N$5:$AD$5002,17,FALSE),"")))</f>
        <v>6ｲﾝﾁSｺｱ</v>
      </c>
      <c r="W87" s="269">
        <f>IF(J87="巻返し",VLOOKUP(F87&amp;K87&amp;M87,製品マスタ!$M$5:$AE$5002,19,FALSE),IF(J87="リード付け","-",IF(J87="スリット",VLOOKUP(F87&amp;K87&amp;Q87,製品マスタ!$N$5:$AE$5002,18,FALSE),"")))</f>
        <v>1125</v>
      </c>
      <c r="X87" s="275">
        <f>IF(D87="","",VLOOKUP(D87,契約台帳!$A$3:$Q$4986,17,FALSE))</f>
        <v>2</v>
      </c>
      <c r="Y87" s="269" t="str">
        <f>IF(D87="","",VLOOKUP(D87,契約台帳!$A$3:$E$4986,5,FALSE))</f>
        <v>リンテック㈱</v>
      </c>
      <c r="Z87" s="57">
        <v>44957</v>
      </c>
      <c r="AA87" s="207">
        <f>IFERROR(VLOOKUP(F87&amp;K87&amp;M87,製品マスタ!$M$5:$AM$5002,27,FALSE),"")</f>
        <v>0</v>
      </c>
      <c r="AB87" s="33"/>
      <c r="AC87" s="189"/>
      <c r="AD87" s="54" t="str">
        <f>IF(F87="","",+F87&amp;K87)</f>
        <v>3SNMLBMNGKKBF25</v>
      </c>
      <c r="AE87" s="55">
        <f>+M87*N87*O87/1000</f>
        <v>13440</v>
      </c>
      <c r="AF87" s="43">
        <f>IF(AD87="","",VLOOKUP(AD87,原価マスタ!$A$2:$AJ$1693,13,FALSE))</f>
        <v>96</v>
      </c>
      <c r="AG87" s="47">
        <f>IF(AF87="","",+AE87*AF87/100)</f>
        <v>12902.4</v>
      </c>
      <c r="AH87" s="30"/>
      <c r="AI87" s="30"/>
      <c r="AJ87" s="30"/>
      <c r="AK87" s="30"/>
      <c r="AL87" s="13"/>
      <c r="AM87" s="13"/>
      <c r="AN87" s="13"/>
      <c r="AO87" s="13"/>
      <c r="AP87" s="13"/>
      <c r="AQ87" s="14"/>
      <c r="AR87" s="15"/>
    </row>
    <row r="88" spans="1:44" s="17" customFormat="1" ht="30.95" hidden="1" customHeight="1" x14ac:dyDescent="0.2">
      <c r="A88" s="37"/>
      <c r="B88" s="38"/>
      <c r="C88" s="45"/>
      <c r="D88" s="31"/>
      <c r="E88" s="31"/>
      <c r="F88" s="268" t="str">
        <f>IF(D88="","",VLOOKUP(D88,契約台帳!$A$3:$K$4986,6,FALSE)&amp;VLOOKUP(D88,契約台帳!$A$3:$K$4986,7,FALSE)&amp;VLOOKUP(D88,契約台帳!$A$3:$K$4986,8,FALSE)&amp;VLOOKUP(D88,契約台帳!$A$3:$K$4986,9,FALSE)&amp;VLOOKUP(D88,契約台帳!$A$3:$K$4986,11,FALSE))</f>
        <v/>
      </c>
      <c r="G88" s="269" t="str">
        <f>IF(D88="","",VLOOKUP(F88,製品マスタ!$G$5:$H$5002,2,FALSE))</f>
        <v/>
      </c>
      <c r="H88" s="269" t="str">
        <f>IF(D88="","",VLOOKUP(F88,製品マスタ!$G$5:$K$5002,5,FALSE))</f>
        <v/>
      </c>
      <c r="I88" s="270" t="str">
        <f>IF(D88="","",VLOOKUP(F88,製品マスタ!$G$5:$L$5002,6,FALSE))</f>
        <v/>
      </c>
      <c r="J88" s="32"/>
      <c r="K88" s="270" t="str">
        <f>IF(D88="","",VLOOKUP(D88,契約台帳!$A$3:$L$4986,12,FALSE))</f>
        <v/>
      </c>
      <c r="L88" s="270" t="str">
        <f>IF(D88="","",INDEX(製品マスタ!$Q$5:$Q$5002,MATCH(F88&amp;K88,製品マスタ!$AO$5:$AO$5002,0)))</f>
        <v/>
      </c>
      <c r="M88" s="39"/>
      <c r="N88" s="39"/>
      <c r="O88" s="47"/>
      <c r="P88" s="57"/>
      <c r="Q88" s="276" t="str">
        <f>IF(D88="","",IF(J88="リード付け",M88,VLOOKUP(D88,契約台帳!$A$3:$N$4986,14,FALSE)))</f>
        <v/>
      </c>
      <c r="R88" s="277" t="str">
        <f>IF(D88="","",IF(J88="リード付け",M88,VLOOKUP(D88,契約台帳!$A$3:$O$4986,15,FALSE)))</f>
        <v/>
      </c>
      <c r="S88" s="277" t="str">
        <f>IF(D88="","",IF(J88="リード付け",N88,VLOOKUP(D88,契約台帳!$A$3:$P$4986,16,FALSE)))</f>
        <v/>
      </c>
      <c r="T88" s="40"/>
      <c r="U88" s="278" t="str">
        <f ca="1">IF(D88="","",IF(OFFSET(D88,-2,0)=D88,"",VLOOKUP(D88,契約台帳!$A$3:$R$4986,18,FALSE)))</f>
        <v/>
      </c>
      <c r="V88" s="269" t="str">
        <f>IF(J88="巻返し",VLOOKUP(F88&amp;K88&amp;M88,製品マスタ!$M$5:$AD$5002,18,FALSE),IF(J88="リード付け","原反コア",IF(J88="スリット",VLOOKUP(F88&amp;K88&amp;Q88,製品マスタ!$N$5:$AD$5002,17,FALSE),"")))</f>
        <v/>
      </c>
      <c r="W88" s="269" t="str">
        <f>IF(J88="巻返し",VLOOKUP(F88&amp;K88&amp;M88,製品マスタ!$M$5:$AE$5002,19,FALSE),IF(J88="リード付け","-",IF(J88="スリット",VLOOKUP(F88&amp;K88&amp;Q88,製品マスタ!$N$5:$AE$5002,18,FALSE),"")))</f>
        <v/>
      </c>
      <c r="X88" s="275" t="str">
        <f>IF(D88="","",VLOOKUP(D88,契約台帳!$A$3:$Q$4986,17,FALSE))</f>
        <v/>
      </c>
      <c r="Y88" s="269" t="str">
        <f>IF(D88="","",VLOOKUP(D88,契約台帳!$A$3:$E$4986,5,FALSE))</f>
        <v/>
      </c>
      <c r="Z88" s="57"/>
      <c r="AA88" s="207" t="str">
        <f>IFERROR(VLOOKUP(F88&amp;K88&amp;M88,製品マスタ!$M$5:$AM$5002,27,FALSE),"")</f>
        <v/>
      </c>
      <c r="AB88" s="33"/>
      <c r="AC88" s="189"/>
      <c r="AD88" s="54"/>
      <c r="AE88" s="55"/>
      <c r="AF88" s="43"/>
      <c r="AG88" s="47"/>
      <c r="AH88" s="30"/>
      <c r="AI88" s="30"/>
      <c r="AJ88" s="30"/>
      <c r="AK88" s="30"/>
      <c r="AL88" s="13"/>
      <c r="AM88" s="13"/>
      <c r="AN88" s="13"/>
      <c r="AO88" s="13"/>
      <c r="AP88" s="13"/>
      <c r="AQ88" s="14"/>
      <c r="AR88" s="15"/>
    </row>
    <row r="89" spans="1:44" s="17" customFormat="1" ht="30.95" hidden="1" customHeight="1" x14ac:dyDescent="0.2">
      <c r="A89" s="37"/>
      <c r="B89" s="38"/>
      <c r="C89" s="45"/>
      <c r="D89" s="31"/>
      <c r="E89" s="31"/>
      <c r="F89" s="268" t="str">
        <f>IF(D89="","",VLOOKUP(D89,契約台帳!$A$3:$K$4986,6,FALSE)&amp;VLOOKUP(D89,契約台帳!$A$3:$K$4986,7,FALSE)&amp;VLOOKUP(D89,契約台帳!$A$3:$K$4986,8,FALSE)&amp;VLOOKUP(D89,契約台帳!$A$3:$K$4986,9,FALSE)&amp;VLOOKUP(D89,契約台帳!$A$3:$K$4986,11,FALSE))</f>
        <v/>
      </c>
      <c r="G89" s="269" t="s">
        <v>269</v>
      </c>
      <c r="H89" s="269" t="s">
        <v>820</v>
      </c>
      <c r="I89" s="270" t="s">
        <v>821</v>
      </c>
      <c r="J89" s="32" t="s">
        <v>463</v>
      </c>
      <c r="K89" s="270">
        <v>25</v>
      </c>
      <c r="L89" s="270" t="s">
        <v>78</v>
      </c>
      <c r="M89" s="39">
        <v>1110</v>
      </c>
      <c r="N89" s="39">
        <v>12100</v>
      </c>
      <c r="O89" s="47">
        <v>1</v>
      </c>
      <c r="P89" s="57"/>
      <c r="Q89" s="276">
        <v>1050</v>
      </c>
      <c r="R89" s="277">
        <v>1050</v>
      </c>
      <c r="S89" s="277">
        <v>5800</v>
      </c>
      <c r="T89" s="40">
        <v>2</v>
      </c>
      <c r="U89" s="278">
        <v>2</v>
      </c>
      <c r="V89" s="269" t="e">
        <f>IF(J89="巻返し",VLOOKUP(F89&amp;K89&amp;M89,製品マスタ!$M$5:$AD$5002,18,FALSE),IF(J89="リード付け","原反コア",IF(J89="スリット",VLOOKUP(F89&amp;K89&amp;Q89,製品マスタ!$N$5:$AD$5002,17,FALSE),"")))</f>
        <v>#N/A</v>
      </c>
      <c r="W89" s="269" t="e">
        <f>IF(J89="巻返し",VLOOKUP(F89&amp;K89&amp;M89,製品マスタ!$M$5:$AE$5002,19,FALSE),IF(J89="リード付け","-",IF(J89="スリット",VLOOKUP(F89&amp;K89&amp;Q89,製品マスタ!$N$5:$AE$5002,18,FALSE),"")))</f>
        <v>#N/A</v>
      </c>
      <c r="X89" s="275" t="str">
        <f>IF(D89="","",VLOOKUP(D89,契約台帳!$A$3:$Q$4986,17,FALSE))</f>
        <v/>
      </c>
      <c r="Y89" s="269" t="s">
        <v>822</v>
      </c>
      <c r="Z89" s="57"/>
      <c r="AA89" s="207" t="str">
        <f>IFERROR(VLOOKUP(F89&amp;K89&amp;M89,製品マスタ!$M$5:$AM$5002,27,FALSE),"")</f>
        <v/>
      </c>
      <c r="AB89" s="33"/>
      <c r="AC89" s="189"/>
      <c r="AD89" s="54"/>
      <c r="AE89" s="55"/>
      <c r="AF89" s="43"/>
      <c r="AG89" s="47"/>
      <c r="AH89" s="30"/>
      <c r="AI89" s="30"/>
      <c r="AJ89" s="30"/>
      <c r="AK89" s="30"/>
      <c r="AL89" s="13"/>
      <c r="AM89" s="13"/>
      <c r="AN89" s="13"/>
      <c r="AO89" s="13"/>
      <c r="AP89" s="13"/>
      <c r="AQ89" s="14"/>
      <c r="AR89" s="15"/>
    </row>
    <row r="90" spans="1:44" s="17" customFormat="1" ht="30.95" hidden="1" customHeight="1" x14ac:dyDescent="0.2">
      <c r="A90" s="37"/>
      <c r="B90" s="38"/>
      <c r="C90" s="45"/>
      <c r="D90" s="31"/>
      <c r="E90" s="31"/>
      <c r="F90" s="268" t="str">
        <f>IF(D90="","",VLOOKUP(D90,契約台帳!$A$3:$K$4986,6,FALSE)&amp;VLOOKUP(D90,契約台帳!$A$3:$K$4986,7,FALSE)&amp;VLOOKUP(D90,契約台帳!$A$3:$K$4986,8,FALSE)&amp;VLOOKUP(D90,契約台帳!$A$3:$K$4986,9,FALSE)&amp;VLOOKUP(D90,契約台帳!$A$3:$K$4986,11,FALSE))</f>
        <v/>
      </c>
      <c r="G90" s="269" t="str">
        <f>IF(D90="","",VLOOKUP(F90,製品マスタ!$G$5:$H$5002,2,FALSE))</f>
        <v/>
      </c>
      <c r="H90" s="269" t="str">
        <f>IF(D90="","",VLOOKUP(F90,製品マスタ!$G$5:$K$5002,5,FALSE))</f>
        <v/>
      </c>
      <c r="I90" s="270" t="str">
        <f>IF(D90="","",VLOOKUP(F90,製品マスタ!$G$5:$L$5002,6,FALSE))</f>
        <v/>
      </c>
      <c r="J90" s="32"/>
      <c r="K90" s="270" t="str">
        <f>IF(D90="","",VLOOKUP(D90,契約台帳!$A$3:$L$4986,12,FALSE))</f>
        <v/>
      </c>
      <c r="L90" s="270" t="str">
        <f>IF(D90="","",INDEX(製品マスタ!$Q$5:$Q$5002,MATCH(F90&amp;K90,製品マスタ!$AO$5:$AO$5002,0)))</f>
        <v/>
      </c>
      <c r="M90" s="39"/>
      <c r="N90" s="39"/>
      <c r="O90" s="47"/>
      <c r="P90" s="57"/>
      <c r="Q90" s="276" t="str">
        <f>IF(D90="","",IF(J90="リード付け",M90,VLOOKUP(D90,契約台帳!$A$3:$N$4986,14,FALSE)))</f>
        <v/>
      </c>
      <c r="R90" s="277" t="str">
        <f>IF(D90="","",IF(J90="リード付け",M90,VLOOKUP(D90,契約台帳!$A$3:$O$4986,15,FALSE)))</f>
        <v/>
      </c>
      <c r="S90" s="277" t="str">
        <f>IF(D90="","",IF(J90="リード付け",N90,VLOOKUP(D90,契約台帳!$A$3:$P$4986,16,FALSE)))</f>
        <v/>
      </c>
      <c r="T90" s="40"/>
      <c r="U90" s="278" t="str">
        <f ca="1">IF(D90="","",IF(OFFSET(D90,-2,0)=D90,"",VLOOKUP(D90,契約台帳!$A$3:$R$4986,18,FALSE)))</f>
        <v/>
      </c>
      <c r="V90" s="269" t="str">
        <f>IF(J90="巻返し",VLOOKUP(F90&amp;K90&amp;M90,製品マスタ!$M$5:$AD$5002,18,FALSE),IF(J90="リード付け","原反コア",IF(J90="スリット",VLOOKUP(F90&amp;K90&amp;Q90,製品マスタ!$N$5:$AD$5002,17,FALSE),"")))</f>
        <v/>
      </c>
      <c r="W90" s="269" t="str">
        <f>IF(J90="巻返し",VLOOKUP(F90&amp;K90&amp;M90,製品マスタ!$M$5:$AE$5002,19,FALSE),IF(J90="リード付け","-",IF(J90="スリット",VLOOKUP(F90&amp;K90&amp;Q90,製品マスタ!$N$5:$AE$5002,18,FALSE),"")))</f>
        <v/>
      </c>
      <c r="X90" s="275" t="str">
        <f>IF(D90="","",VLOOKUP(D90,契約台帳!$A$3:$Q$4986,17,FALSE))</f>
        <v/>
      </c>
      <c r="Y90" s="269" t="str">
        <f>IF(D90="","",VLOOKUP(D90,契約台帳!$A$3:$E$4986,5,FALSE))</f>
        <v/>
      </c>
      <c r="Z90" s="57"/>
      <c r="AA90" s="207" t="str">
        <f>IFERROR(VLOOKUP(F90&amp;K90&amp;M90,製品マスタ!$M$5:$AM$5002,27,FALSE),"")</f>
        <v/>
      </c>
      <c r="AB90" s="33"/>
      <c r="AC90" s="189"/>
      <c r="AD90" s="54"/>
      <c r="AE90" s="55"/>
      <c r="AF90" s="43"/>
      <c r="AG90" s="47"/>
      <c r="AH90" s="30"/>
      <c r="AI90" s="30"/>
      <c r="AJ90" s="30"/>
      <c r="AK90" s="30"/>
      <c r="AL90" s="13"/>
      <c r="AM90" s="13"/>
      <c r="AN90" s="13"/>
      <c r="AO90" s="13"/>
      <c r="AP90" s="13"/>
      <c r="AQ90" s="14"/>
      <c r="AR90" s="15"/>
    </row>
    <row r="91" spans="1:44" s="17" customFormat="1" ht="30.95" hidden="1" customHeight="1" x14ac:dyDescent="0.2">
      <c r="A91" s="37" t="s">
        <v>799</v>
      </c>
      <c r="B91" s="38" t="s">
        <v>780</v>
      </c>
      <c r="C91" s="45"/>
      <c r="D91" s="31"/>
      <c r="E91" s="31"/>
      <c r="F91" s="268" t="str">
        <f>IF(D91="","",VLOOKUP(D91,契約台帳!$A$3:$K$4986,6,FALSE)&amp;VLOOKUP(D91,契約台帳!$A$3:$K$4986,7,FALSE)&amp;VLOOKUP(D91,契約台帳!$A$3:$K$4986,8,FALSE)&amp;VLOOKUP(D91,契約台帳!$A$3:$K$4986,9,FALSE)&amp;VLOOKUP(D91,契約台帳!$A$3:$K$4986,11,FALSE))</f>
        <v/>
      </c>
      <c r="G91" s="269" t="str">
        <f>IF(D91="","",VLOOKUP(F91,製品マスタ!$G$5:$H$5002,2,FALSE))</f>
        <v/>
      </c>
      <c r="H91" s="269" t="str">
        <f>IF(D91="","",VLOOKUP(F91,製品マスタ!$G$5:$K$5002,5,FALSE))</f>
        <v/>
      </c>
      <c r="I91" s="270" t="str">
        <f>IF(D91="","",VLOOKUP(F91,製品マスタ!$G$5:$L$5002,6,FALSE))</f>
        <v/>
      </c>
      <c r="J91" s="32" t="s">
        <v>800</v>
      </c>
      <c r="K91" s="270" t="str">
        <f>IF(D91="","",VLOOKUP(D91,契約台帳!$A$3:$L$4986,12,FALSE))</f>
        <v/>
      </c>
      <c r="L91" s="270" t="str">
        <f>IF(D91="","",INDEX(製品マスタ!$Q$5:$Q$5002,MATCH(F91&amp;K91,製品マスタ!$AO$5:$AO$5002,0)))</f>
        <v/>
      </c>
      <c r="M91" s="39"/>
      <c r="N91" s="39"/>
      <c r="O91" s="47"/>
      <c r="P91" s="57"/>
      <c r="Q91" s="276" t="str">
        <f>IF(D91="","",IF(J91="リード付け",M91,VLOOKUP(D91,契約台帳!$A$3:$N$4986,14,FALSE)))</f>
        <v/>
      </c>
      <c r="R91" s="277" t="str">
        <f>IF(D91="","",IF(J91="リード付け",M91,VLOOKUP(D91,契約台帳!$A$3:$O$4986,15,FALSE)))</f>
        <v/>
      </c>
      <c r="S91" s="277" t="str">
        <f>IF(D91="","",IF(J91="リード付け",N91,VLOOKUP(D91,契約台帳!$A$3:$P$4986,16,FALSE)))</f>
        <v/>
      </c>
      <c r="T91" s="40"/>
      <c r="U91" s="278" t="str">
        <f ca="1">IF(D91="","",IF(OFFSET(D91,-2,0)=D91,"",VLOOKUP(D91,契約台帳!$A$3:$R$4986,18,FALSE)))</f>
        <v/>
      </c>
      <c r="V91" s="269" t="str">
        <f>IF(J91="巻返し",VLOOKUP(F91&amp;K91&amp;M91,製品マスタ!$M$5:$AD$5002,18,FALSE),IF(J91="リード付け","原反コア",IF(J91="スリット",VLOOKUP(F91&amp;K91&amp;Q91,製品マスタ!$N$5:$AD$5002,17,FALSE),"")))</f>
        <v/>
      </c>
      <c r="W91" s="269" t="str">
        <f>IF(J91="巻返し",VLOOKUP(F91&amp;K91&amp;M91,製品マスタ!$M$5:$AE$5002,19,FALSE),IF(J91="リード付け","-",IF(J91="スリット",VLOOKUP(F91&amp;K91&amp;Q91,製品マスタ!$N$5:$AE$5002,18,FALSE),"")))</f>
        <v/>
      </c>
      <c r="X91" s="275" t="str">
        <f>IF(D91="","",VLOOKUP(D91,契約台帳!$A$3:$Q$4986,17,FALSE))</f>
        <v/>
      </c>
      <c r="Y91" s="269" t="str">
        <f>IF(D91="","",VLOOKUP(D91,契約台帳!$A$3:$E$4986,5,FALSE))</f>
        <v/>
      </c>
      <c r="Z91" s="57"/>
      <c r="AA91" s="207" t="str">
        <f>IFERROR(VLOOKUP(F91&amp;K91&amp;M91,製品マスタ!$M$5:$AM$5002,27,FALSE),"")</f>
        <v/>
      </c>
      <c r="AB91" s="33"/>
      <c r="AC91" s="189"/>
      <c r="AD91" s="54"/>
      <c r="AE91" s="55"/>
      <c r="AF91" s="43"/>
      <c r="AG91" s="47"/>
      <c r="AH91" s="30"/>
      <c r="AI91" s="30"/>
      <c r="AJ91" s="30"/>
      <c r="AK91" s="30"/>
      <c r="AL91" s="13"/>
      <c r="AM91" s="13"/>
      <c r="AN91" s="13"/>
      <c r="AO91" s="13"/>
      <c r="AP91" s="13"/>
      <c r="AQ91" s="14"/>
      <c r="AR91" s="15"/>
    </row>
    <row r="92" spans="1:44" s="17" customFormat="1" ht="30.95" hidden="1" customHeight="1" x14ac:dyDescent="0.2">
      <c r="A92" s="37"/>
      <c r="B92" s="38"/>
      <c r="C92" s="45"/>
      <c r="D92" s="31"/>
      <c r="E92" s="31"/>
      <c r="F92" s="268" t="str">
        <f>IF(D92="","",VLOOKUP(D92,契約台帳!$A$3:$K$4986,6,FALSE)&amp;VLOOKUP(D92,契約台帳!$A$3:$K$4986,7,FALSE)&amp;VLOOKUP(D92,契約台帳!$A$3:$K$4986,8,FALSE)&amp;VLOOKUP(D92,契約台帳!$A$3:$K$4986,9,FALSE)&amp;VLOOKUP(D92,契約台帳!$A$3:$K$4986,11,FALSE))</f>
        <v/>
      </c>
      <c r="G92" s="269" t="str">
        <f>IF(D92="","",VLOOKUP(F92,製品マスタ!$G$5:$H$5002,2,FALSE))</f>
        <v/>
      </c>
      <c r="H92" s="269" t="str">
        <f>IF(D92="","",VLOOKUP(F92,製品マスタ!$G$5:$K$5002,5,FALSE))</f>
        <v/>
      </c>
      <c r="I92" s="270" t="str">
        <f>IF(D92="","",VLOOKUP(F92,製品マスタ!$G$5:$L$5002,6,FALSE))</f>
        <v/>
      </c>
      <c r="J92" s="32"/>
      <c r="K92" s="270" t="str">
        <f>IF(D92="","",VLOOKUP(D92,契約台帳!$A$3:$L$4986,12,FALSE))</f>
        <v/>
      </c>
      <c r="L92" s="270" t="str">
        <f>IF(D92="","",INDEX(製品マスタ!$Q$5:$Q$5002,MATCH(F92&amp;K92,製品マスタ!$AO$5:$AO$5002,0)))</f>
        <v/>
      </c>
      <c r="M92" s="39"/>
      <c r="N92" s="39"/>
      <c r="O92" s="47"/>
      <c r="P92" s="57"/>
      <c r="Q92" s="276" t="str">
        <f>IF(D92="","",IF(J92="リード付け",M92,VLOOKUP(D92,契約台帳!$A$3:$N$4986,14,FALSE)))</f>
        <v/>
      </c>
      <c r="R92" s="277" t="str">
        <f>IF(D92="","",IF(J92="リード付け",M92,VLOOKUP(D92,契約台帳!$A$3:$O$4986,15,FALSE)))</f>
        <v/>
      </c>
      <c r="S92" s="277" t="str">
        <f>IF(D92="","",IF(J92="リード付け",N92,VLOOKUP(D92,契約台帳!$A$3:$P$4986,16,FALSE)))</f>
        <v/>
      </c>
      <c r="T92" s="40"/>
      <c r="U92" s="278" t="str">
        <f ca="1">IF(D92="","",IF(OFFSET(D92,-2,0)=D92,"",VLOOKUP(D92,契約台帳!$A$3:$R$4986,18,FALSE)))</f>
        <v/>
      </c>
      <c r="V92" s="269" t="str">
        <f>IF(J92="巻返し",VLOOKUP(F92&amp;K92&amp;M92,製品マスタ!$M$5:$AD$5002,18,FALSE),IF(J92="リード付け","原反コア",IF(J92="スリット",VLOOKUP(F92&amp;K92&amp;Q92,製品マスタ!$N$5:$AD$5002,17,FALSE),"")))</f>
        <v/>
      </c>
      <c r="W92" s="269" t="str">
        <f>IF(J92="巻返し",VLOOKUP(F92&amp;K92&amp;M92,製品マスタ!$M$5:$AE$5002,19,FALSE),IF(J92="リード付け","-",IF(J92="スリット",VLOOKUP(F92&amp;K92&amp;Q92,製品マスタ!$N$5:$AE$5002,18,FALSE),"")))</f>
        <v/>
      </c>
      <c r="X92" s="275" t="str">
        <f>IF(D92="","",VLOOKUP(D92,契約台帳!$A$3:$Q$4986,17,FALSE))</f>
        <v/>
      </c>
      <c r="Y92" s="269" t="str">
        <f>IF(D92="","",VLOOKUP(D92,契約台帳!$A$3:$E$4986,5,FALSE))</f>
        <v/>
      </c>
      <c r="Z92" s="57"/>
      <c r="AA92" s="207" t="str">
        <f>IFERROR(VLOOKUP(F92&amp;K92&amp;M92,製品マスタ!$M$5:$AM$5002,27,FALSE),"")</f>
        <v/>
      </c>
      <c r="AB92" s="33"/>
      <c r="AC92" s="189"/>
      <c r="AD92" s="54"/>
      <c r="AE92" s="55"/>
      <c r="AF92" s="43"/>
      <c r="AG92" s="47"/>
      <c r="AH92" s="30"/>
      <c r="AI92" s="30"/>
      <c r="AJ92" s="30"/>
      <c r="AK92" s="30"/>
      <c r="AL92" s="13"/>
      <c r="AM92" s="13"/>
      <c r="AN92" s="13"/>
      <c r="AO92" s="13"/>
      <c r="AP92" s="13"/>
      <c r="AQ92" s="14"/>
      <c r="AR92" s="15"/>
    </row>
    <row r="93" spans="1:44" s="17" customFormat="1" ht="30.95" hidden="1" customHeight="1" x14ac:dyDescent="0.2">
      <c r="A93" s="37" t="s">
        <v>819</v>
      </c>
      <c r="B93" s="38" t="s">
        <v>783</v>
      </c>
      <c r="C93" s="45"/>
      <c r="D93" s="31"/>
      <c r="E93" s="31"/>
      <c r="F93" s="268" t="str">
        <f>IF(D93="","",VLOOKUP(D93,契約台帳!$A$3:$K$4986,6,FALSE)&amp;VLOOKUP(D93,契約台帳!$A$3:$K$4986,7,FALSE)&amp;VLOOKUP(D93,契約台帳!$A$3:$K$4986,8,FALSE)&amp;VLOOKUP(D93,契約台帳!$A$3:$K$4986,9,FALSE)&amp;VLOOKUP(D93,契約台帳!$A$3:$K$4986,11,FALSE))</f>
        <v/>
      </c>
      <c r="G93" s="269" t="str">
        <f>IF(D93="","",VLOOKUP(F93,製品マスタ!$G$5:$H$5002,2,FALSE))</f>
        <v/>
      </c>
      <c r="H93" s="269" t="str">
        <f>IF(D93="","",VLOOKUP(F93,製品マスタ!$G$5:$K$5002,5,FALSE))</f>
        <v/>
      </c>
      <c r="I93" s="270" t="str">
        <f>IF(D93="","",VLOOKUP(F93,製品マスタ!$G$5:$L$5002,6,FALSE))</f>
        <v/>
      </c>
      <c r="J93" s="32" t="s">
        <v>818</v>
      </c>
      <c r="K93" s="270" t="str">
        <f>IF(D93="","",VLOOKUP(D93,契約台帳!$A$3:$L$4986,12,FALSE))</f>
        <v/>
      </c>
      <c r="L93" s="270" t="str">
        <f>IF(D93="","",INDEX(製品マスタ!$Q$5:$Q$5002,MATCH(F93&amp;K93,製品マスタ!$AO$5:$AO$5002,0)))</f>
        <v/>
      </c>
      <c r="M93" s="39"/>
      <c r="N93" s="39"/>
      <c r="O93" s="47"/>
      <c r="P93" s="57"/>
      <c r="Q93" s="276" t="str">
        <f>IF(D93="","",IF(J93="リード付け",M93,VLOOKUP(D93,契約台帳!$A$3:$N$4986,14,FALSE)))</f>
        <v/>
      </c>
      <c r="R93" s="277" t="str">
        <f>IF(D93="","",IF(J93="リード付け",M93,VLOOKUP(D93,契約台帳!$A$3:$O$4986,15,FALSE)))</f>
        <v/>
      </c>
      <c r="S93" s="277" t="str">
        <f>IF(D93="","",IF(J93="リード付け",N93,VLOOKUP(D93,契約台帳!$A$3:$P$4986,16,FALSE)))</f>
        <v/>
      </c>
      <c r="T93" s="40"/>
      <c r="U93" s="278" t="str">
        <f ca="1">IF(D93="","",IF(OFFSET(D93,-2,0)=D93,"",VLOOKUP(D93,契約台帳!$A$3:$R$4986,18,FALSE)))</f>
        <v/>
      </c>
      <c r="V93" s="269" t="str">
        <f>IF(J93="巻返し",VLOOKUP(F93&amp;K93&amp;M93,製品マスタ!$M$5:$AD$5002,18,FALSE),IF(J93="リード付け","原反コア",IF(J93="スリット",VLOOKUP(F93&amp;K93&amp;Q93,製品マスタ!$N$5:$AD$5002,17,FALSE),"")))</f>
        <v/>
      </c>
      <c r="W93" s="269" t="str">
        <f>IF(J93="巻返し",VLOOKUP(F93&amp;K93&amp;M93,製品マスタ!$M$5:$AE$5002,19,FALSE),IF(J93="リード付け","-",IF(J93="スリット",VLOOKUP(F93&amp;K93&amp;Q93,製品マスタ!$N$5:$AE$5002,18,FALSE),"")))</f>
        <v/>
      </c>
      <c r="X93" s="275" t="str">
        <f>IF(D93="","",VLOOKUP(D93,契約台帳!$A$3:$Q$4986,17,FALSE))</f>
        <v/>
      </c>
      <c r="Y93" s="269" t="str">
        <f>IF(D93="","",VLOOKUP(D93,契約台帳!$A$3:$E$4986,5,FALSE))</f>
        <v/>
      </c>
      <c r="Z93" s="57"/>
      <c r="AA93" s="207" t="str">
        <f>IFERROR(VLOOKUP(F93&amp;K93&amp;M93,製品マスタ!$M$5:$AM$5002,27,FALSE),"")</f>
        <v/>
      </c>
      <c r="AB93" s="33"/>
      <c r="AC93" s="189"/>
      <c r="AD93" s="54"/>
      <c r="AE93" s="55"/>
      <c r="AF93" s="43"/>
      <c r="AG93" s="47"/>
      <c r="AH93" s="30"/>
      <c r="AI93" s="30"/>
      <c r="AJ93" s="30"/>
      <c r="AK93" s="30"/>
      <c r="AL93" s="13"/>
      <c r="AM93" s="13"/>
      <c r="AN93" s="13"/>
      <c r="AO93" s="13"/>
      <c r="AP93" s="13"/>
      <c r="AQ93" s="14"/>
      <c r="AR93" s="15"/>
    </row>
    <row r="94" spans="1:44" s="17" customFormat="1" ht="30.95" hidden="1" customHeight="1" x14ac:dyDescent="0.2">
      <c r="A94" s="37"/>
      <c r="B94" s="38"/>
      <c r="C94" s="45"/>
      <c r="D94" s="31"/>
      <c r="E94" s="31"/>
      <c r="F94" s="268" t="str">
        <f>IF(D94="","",VLOOKUP(D94,契約台帳!$A$3:$K$4986,6,FALSE)&amp;VLOOKUP(D94,契約台帳!$A$3:$K$4986,7,FALSE)&amp;VLOOKUP(D94,契約台帳!$A$3:$K$4986,8,FALSE)&amp;VLOOKUP(D94,契約台帳!$A$3:$K$4986,9,FALSE)&amp;VLOOKUP(D94,契約台帳!$A$3:$K$4986,11,FALSE))</f>
        <v/>
      </c>
      <c r="G94" s="269" t="str">
        <f>IF(D94="","",VLOOKUP(F94,製品マスタ!$G$5:$H$5002,2,FALSE))</f>
        <v/>
      </c>
      <c r="H94" s="269" t="str">
        <f>IF(D94="","",VLOOKUP(F94,製品マスタ!$G$5:$K$5002,5,FALSE))</f>
        <v/>
      </c>
      <c r="I94" s="270" t="str">
        <f>IF(D94="","",VLOOKUP(F94,製品マスタ!$G$5:$L$5002,6,FALSE))</f>
        <v/>
      </c>
      <c r="J94" s="32"/>
      <c r="K94" s="270" t="str">
        <f>IF(D94="","",VLOOKUP(D94,契約台帳!$A$3:$L$4986,12,FALSE))</f>
        <v/>
      </c>
      <c r="L94" s="270" t="str">
        <f>IF(D94="","",INDEX(製品マスタ!$Q$5:$Q$5002,MATCH(F94&amp;K94,製品マスタ!$AO$5:$AO$5002,0)))</f>
        <v/>
      </c>
      <c r="M94" s="39"/>
      <c r="N94" s="39"/>
      <c r="O94" s="47"/>
      <c r="P94" s="57"/>
      <c r="Q94" s="276" t="str">
        <f>IF(D94="","",IF(J94="リード付け",M94,VLOOKUP(D94,契約台帳!$A$3:$N$4986,14,FALSE)))</f>
        <v/>
      </c>
      <c r="R94" s="277" t="str">
        <f>IF(D94="","",IF(J94="リード付け",M94,VLOOKUP(D94,契約台帳!$A$3:$O$4986,15,FALSE)))</f>
        <v/>
      </c>
      <c r="S94" s="277" t="str">
        <f>IF(D94="","",IF(J94="リード付け",N94,VLOOKUP(D94,契約台帳!$A$3:$P$4986,16,FALSE)))</f>
        <v/>
      </c>
      <c r="T94" s="40"/>
      <c r="U94" s="278" t="str">
        <f ca="1">IF(D94="","",IF(OFFSET(D94,-2,0)=D94,"",VLOOKUP(D94,契約台帳!$A$3:$R$4986,18,FALSE)))</f>
        <v/>
      </c>
      <c r="V94" s="269" t="str">
        <f>IF(J94="巻返し",VLOOKUP(F94&amp;K94&amp;M94,製品マスタ!$M$5:$AD$5002,18,FALSE),IF(J94="リード付け","原反コア",IF(J94="スリット",VLOOKUP(F94&amp;K94&amp;Q94,製品マスタ!$N$5:$AD$5002,17,FALSE),"")))</f>
        <v/>
      </c>
      <c r="W94" s="269" t="str">
        <f>IF(J94="巻返し",VLOOKUP(F94&amp;K94&amp;M94,製品マスタ!$M$5:$AE$5002,19,FALSE),IF(J94="リード付け","-",IF(J94="スリット",VLOOKUP(F94&amp;K94&amp;Q94,製品マスタ!$N$5:$AE$5002,18,FALSE),"")))</f>
        <v/>
      </c>
      <c r="X94" s="275" t="str">
        <f>IF(D94="","",VLOOKUP(D94,契約台帳!$A$3:$Q$4986,17,FALSE))</f>
        <v/>
      </c>
      <c r="Y94" s="269" t="str">
        <f>IF(D94="","",VLOOKUP(D94,契約台帳!$A$3:$E$4986,5,FALSE))</f>
        <v/>
      </c>
      <c r="Z94" s="57"/>
      <c r="AA94" s="207" t="str">
        <f>IFERROR(VLOOKUP(F94&amp;K94&amp;M94,製品マスタ!$M$5:$AM$5002,27,FALSE),"")</f>
        <v/>
      </c>
      <c r="AB94" s="33"/>
      <c r="AC94" s="189"/>
      <c r="AD94" s="54"/>
      <c r="AE94" s="55"/>
      <c r="AF94" s="43"/>
      <c r="AG94" s="47"/>
      <c r="AH94" s="30"/>
      <c r="AI94" s="30"/>
      <c r="AJ94" s="30"/>
      <c r="AK94" s="30"/>
      <c r="AL94" s="13"/>
      <c r="AM94" s="13"/>
      <c r="AN94" s="13"/>
      <c r="AO94" s="13"/>
      <c r="AP94" s="13"/>
      <c r="AQ94" s="14"/>
      <c r="AR94" s="15"/>
    </row>
    <row r="95" spans="1:44" s="17" customFormat="1" ht="30.95" hidden="1" customHeight="1" x14ac:dyDescent="0.2">
      <c r="A95" s="37" t="s">
        <v>823</v>
      </c>
      <c r="B95" s="38" t="s">
        <v>785</v>
      </c>
      <c r="C95" s="45"/>
      <c r="D95" s="31"/>
      <c r="E95" s="31"/>
      <c r="F95" s="268" t="str">
        <f>IF(D95="","",VLOOKUP(D95,契約台帳!$A$3:$K$4986,6,FALSE)&amp;VLOOKUP(D95,契約台帳!$A$3:$K$4986,7,FALSE)&amp;VLOOKUP(D95,契約台帳!$A$3:$K$4986,8,FALSE)&amp;VLOOKUP(D95,契約台帳!$A$3:$K$4986,9,FALSE)&amp;VLOOKUP(D95,契約台帳!$A$3:$K$4986,11,FALSE))</f>
        <v/>
      </c>
      <c r="G95" s="269" t="str">
        <f>IF(D95="","",VLOOKUP(F95,製品マスタ!$G$5:$H$5002,2,FALSE))</f>
        <v/>
      </c>
      <c r="H95" s="269" t="str">
        <f>IF(D95="","",VLOOKUP(F95,製品マスタ!$G$5:$K$5002,5,FALSE))</f>
        <v/>
      </c>
      <c r="I95" s="270" t="str">
        <f>IF(D95="","",VLOOKUP(F95,製品マスタ!$G$5:$L$5002,6,FALSE))</f>
        <v/>
      </c>
      <c r="J95" s="32" t="s">
        <v>448</v>
      </c>
      <c r="K95" s="270" t="str">
        <f>IF(D95="","",VLOOKUP(D95,契約台帳!$A$3:$L$4986,12,FALSE))</f>
        <v/>
      </c>
      <c r="L95" s="270" t="str">
        <f>IF(D95="","",INDEX(製品マスタ!$Q$5:$Q$5002,MATCH(F95&amp;K95,製品マスタ!$AO$5:$AO$5002,0)))</f>
        <v/>
      </c>
      <c r="M95" s="39"/>
      <c r="N95" s="39"/>
      <c r="O95" s="47"/>
      <c r="P95" s="57"/>
      <c r="Q95" s="276" t="str">
        <f>IF(D95="","",IF(J95="リード付け",M95,VLOOKUP(D95,契約台帳!$A$3:$N$4986,14,FALSE)))</f>
        <v/>
      </c>
      <c r="R95" s="277" t="str">
        <f>IF(D95="","",IF(J95="リード付け",M95,VLOOKUP(D95,契約台帳!$A$3:$O$4986,15,FALSE)))</f>
        <v/>
      </c>
      <c r="S95" s="277" t="str">
        <f>IF(D95="","",IF(J95="リード付け",N95,VLOOKUP(D95,契約台帳!$A$3:$P$4986,16,FALSE)))</f>
        <v/>
      </c>
      <c r="T95" s="40"/>
      <c r="U95" s="278" t="str">
        <f ca="1">IF(D95="","",IF(OFFSET(D95,-2,0)=D95,"",VLOOKUP(D95,契約台帳!$A$3:$R$4986,18,FALSE)))</f>
        <v/>
      </c>
      <c r="V95" s="269" t="str">
        <f>IF(J95="巻返し",VLOOKUP(F95&amp;K95&amp;M95,製品マスタ!$M$5:$AD$5002,18,FALSE),IF(J95="リード付け","原反コア",IF(J95="スリット",VLOOKUP(F95&amp;K95&amp;Q95,製品マスタ!$N$5:$AD$5002,17,FALSE),"")))</f>
        <v/>
      </c>
      <c r="W95" s="269" t="str">
        <f>IF(J95="巻返し",VLOOKUP(F95&amp;K95&amp;M95,製品マスタ!$M$5:$AE$5002,19,FALSE),IF(J95="リード付け","-",IF(J95="スリット",VLOOKUP(F95&amp;K95&amp;Q95,製品マスタ!$N$5:$AE$5002,18,FALSE),"")))</f>
        <v/>
      </c>
      <c r="X95" s="275" t="str">
        <f>IF(D95="","",VLOOKUP(D95,契約台帳!$A$3:$Q$4986,17,FALSE))</f>
        <v/>
      </c>
      <c r="Y95" s="269" t="str">
        <f>IF(D95="","",VLOOKUP(D95,契約台帳!$A$3:$E$4986,5,FALSE))</f>
        <v/>
      </c>
      <c r="Z95" s="57"/>
      <c r="AA95" s="207" t="str">
        <f>IFERROR(VLOOKUP(F95&amp;K95&amp;M95,製品マスタ!$M$5:$AM$5002,27,FALSE),"")</f>
        <v/>
      </c>
      <c r="AB95" s="33"/>
      <c r="AC95" s="189"/>
      <c r="AD95" s="54"/>
      <c r="AE95" s="55"/>
      <c r="AF95" s="43"/>
      <c r="AG95" s="47"/>
      <c r="AH95" s="30"/>
      <c r="AI95" s="30"/>
      <c r="AJ95" s="30"/>
      <c r="AK95" s="30"/>
      <c r="AL95" s="13"/>
      <c r="AM95" s="13"/>
      <c r="AN95" s="13"/>
      <c r="AO95" s="13"/>
      <c r="AP95" s="13"/>
      <c r="AQ95" s="14"/>
      <c r="AR95" s="15"/>
    </row>
    <row r="96" spans="1:44" s="17" customFormat="1" ht="30.95" hidden="1" customHeight="1" x14ac:dyDescent="0.2">
      <c r="A96" s="37"/>
      <c r="B96" s="38"/>
      <c r="C96" s="45"/>
      <c r="D96" s="31"/>
      <c r="E96" s="31"/>
      <c r="F96" s="268" t="str">
        <f>IF(D96="","",VLOOKUP(D96,契約台帳!$A$3:$K$4986,6,FALSE)&amp;VLOOKUP(D96,契約台帳!$A$3:$K$4986,7,FALSE)&amp;VLOOKUP(D96,契約台帳!$A$3:$K$4986,8,FALSE)&amp;VLOOKUP(D96,契約台帳!$A$3:$K$4986,9,FALSE)&amp;VLOOKUP(D96,契約台帳!$A$3:$K$4986,11,FALSE))</f>
        <v/>
      </c>
      <c r="G96" s="269" t="str">
        <f>IF(D96="","",VLOOKUP(F96,製品マスタ!$G$5:$H$5002,2,FALSE))</f>
        <v/>
      </c>
      <c r="H96" s="269" t="str">
        <f>IF(D96="","",VLOOKUP(F96,製品マスタ!$G$5:$K$5002,5,FALSE))</f>
        <v/>
      </c>
      <c r="I96" s="270" t="str">
        <f>IF(D96="","",VLOOKUP(F96,製品マスタ!$G$5:$L$5002,6,FALSE))</f>
        <v/>
      </c>
      <c r="J96" s="32"/>
      <c r="K96" s="270" t="str">
        <f>IF(D96="","",VLOOKUP(D96,契約台帳!$A$3:$L$4986,12,FALSE))</f>
        <v/>
      </c>
      <c r="L96" s="270" t="str">
        <f>IF(D96="","",INDEX(製品マスタ!$Q$5:$Q$5002,MATCH(F96&amp;K96,製品マスタ!$AO$5:$AO$5002,0)))</f>
        <v/>
      </c>
      <c r="M96" s="39"/>
      <c r="N96" s="39"/>
      <c r="O96" s="47"/>
      <c r="P96" s="57"/>
      <c r="Q96" s="276" t="str">
        <f>IF(D96="","",IF(J96="リード付け",M96,VLOOKUP(D96,契約台帳!$A$3:$N$4986,14,FALSE)))</f>
        <v/>
      </c>
      <c r="R96" s="277" t="str">
        <f>IF(D96="","",IF(J96="リード付け",M96,VLOOKUP(D96,契約台帳!$A$3:$O$4986,15,FALSE)))</f>
        <v/>
      </c>
      <c r="S96" s="277" t="str">
        <f>IF(D96="","",IF(J96="リード付け",N96,VLOOKUP(D96,契約台帳!$A$3:$P$4986,16,FALSE)))</f>
        <v/>
      </c>
      <c r="T96" s="40"/>
      <c r="U96" s="278" t="str">
        <f ca="1">IF(D96="","",IF(OFFSET(D96,-2,0)=D96,"",VLOOKUP(D96,契約台帳!$A$3:$R$4986,18,FALSE)))</f>
        <v/>
      </c>
      <c r="V96" s="269" t="str">
        <f>IF(J96="巻返し",VLOOKUP(F96&amp;K96&amp;M96,製品マスタ!$M$5:$AD$5002,18,FALSE),IF(J96="リード付け","原反コア",IF(J96="スリット",VLOOKUP(F96&amp;K96&amp;Q96,製品マスタ!$N$5:$AD$5002,17,FALSE),"")))</f>
        <v/>
      </c>
      <c r="W96" s="269" t="str">
        <f>IF(J96="巻返し",VLOOKUP(F96&amp;K96&amp;M96,製品マスタ!$M$5:$AE$5002,19,FALSE),IF(J96="リード付け","-",IF(J96="スリット",VLOOKUP(F96&amp;K96&amp;Q96,製品マスタ!$N$5:$AE$5002,18,FALSE),"")))</f>
        <v/>
      </c>
      <c r="X96" s="275" t="str">
        <f>IF(D96="","",VLOOKUP(D96,契約台帳!$A$3:$Q$4986,17,FALSE))</f>
        <v/>
      </c>
      <c r="Y96" s="269" t="str">
        <f>IF(D96="","",VLOOKUP(D96,契約台帳!$A$3:$E$4986,5,FALSE))</f>
        <v/>
      </c>
      <c r="Z96" s="57"/>
      <c r="AA96" s="207" t="str">
        <f>IFERROR(VLOOKUP(F96&amp;K96&amp;M96,製品マスタ!$M$5:$AM$5002,27,FALSE),"")</f>
        <v/>
      </c>
      <c r="AB96" s="33"/>
      <c r="AC96" s="189"/>
      <c r="AD96" s="54"/>
      <c r="AE96" s="55"/>
      <c r="AF96" s="43"/>
      <c r="AG96" s="47"/>
      <c r="AH96" s="30"/>
      <c r="AI96" s="30" t="s">
        <v>826</v>
      </c>
      <c r="AJ96" s="30"/>
      <c r="AK96" s="30"/>
      <c r="AL96" s="13"/>
      <c r="AM96" s="13"/>
      <c r="AN96" s="13"/>
      <c r="AO96" s="13"/>
      <c r="AP96" s="13"/>
      <c r="AQ96" s="14"/>
      <c r="AR96" s="15"/>
    </row>
    <row r="97" spans="1:44" s="233" customFormat="1" ht="30.95" hidden="1" customHeight="1" x14ac:dyDescent="0.2">
      <c r="A97" s="217"/>
      <c r="B97" s="218"/>
      <c r="C97" s="280"/>
      <c r="D97" s="219"/>
      <c r="E97" s="219"/>
      <c r="F97" s="281" t="str">
        <f>IF(D97="","",VLOOKUP(D97,契約台帳!$A$3:$K$4986,6,FALSE)&amp;VLOOKUP(D97,契約台帳!$A$3:$K$4986,7,FALSE)&amp;VLOOKUP(D97,契約台帳!$A$3:$K$4986,8,FALSE)&amp;VLOOKUP(D97,契約台帳!$A$3:$K$4986,9,FALSE)&amp;VLOOKUP(D97,契約台帳!$A$3:$K$4986,11,FALSE))</f>
        <v/>
      </c>
      <c r="G97" s="282" t="str">
        <f>IF(D97="","",VLOOKUP(F97,製品マスタ!$G$5:$H$5002,2,FALSE))</f>
        <v/>
      </c>
      <c r="H97" s="282" t="str">
        <f>IF(D97="","",VLOOKUP(F97,製品マスタ!$G$5:$K$5002,5,FALSE))</f>
        <v/>
      </c>
      <c r="I97" s="283" t="str">
        <f>IF(D97="","",VLOOKUP(F97,製品マスタ!$G$5:$L$5002,6,FALSE))</f>
        <v/>
      </c>
      <c r="J97" s="220"/>
      <c r="K97" s="283" t="str">
        <f>IF(D97="","",VLOOKUP(D97,契約台帳!$A$3:$L$4986,12,FALSE))</f>
        <v/>
      </c>
      <c r="L97" s="283" t="str">
        <f>IF(D97="","",INDEX(製品マスタ!$Q$5:$Q$5002,MATCH(F97&amp;K97,製品マスタ!$AO$5:$AO$5002,0)))</f>
        <v/>
      </c>
      <c r="M97" s="221"/>
      <c r="N97" s="221"/>
      <c r="O97" s="222"/>
      <c r="P97" s="213"/>
      <c r="Q97" s="284" t="str">
        <f>IF(D97="","",IF(J97="リード付け",M97,VLOOKUP(D97,契約台帳!$A$3:$N$4986,14,FALSE)))</f>
        <v/>
      </c>
      <c r="R97" s="285" t="str">
        <f>IF(D97="","",IF(J97="リード付け",M97,VLOOKUP(D97,契約台帳!$A$3:$O$4986,15,FALSE)))</f>
        <v/>
      </c>
      <c r="S97" s="285" t="str">
        <f>IF(D97="","",IF(J97="リード付け",N97,VLOOKUP(D97,契約台帳!$A$3:$P$4986,16,FALSE)))</f>
        <v/>
      </c>
      <c r="T97" s="224"/>
      <c r="U97" s="286" t="str">
        <f ca="1">IF(D97="","",IF(OFFSET(D97,-2,0)=D97,"",VLOOKUP(D97,契約台帳!$A$3:$R$4986,18,FALSE)))</f>
        <v/>
      </c>
      <c r="V97" s="282" t="str">
        <f>IF(J97="巻返し",VLOOKUP(F97&amp;K97&amp;M97,製品マスタ!$M$5:$AD$5002,18,FALSE),IF(J97="リード付け","原反コア",IF(J97="スリット",VLOOKUP(F97&amp;K97&amp;Q97,製品マスタ!$N$5:$AD$5002,17,FALSE),"")))</f>
        <v/>
      </c>
      <c r="W97" s="282" t="str">
        <f>IF(J97="巻返し",VLOOKUP(F97&amp;K97&amp;M97,製品マスタ!$M$5:$AE$5002,19,FALSE),IF(J97="リード付け","-",IF(J97="スリット",VLOOKUP(F97&amp;K97&amp;Q97,製品マスタ!$N$5:$AE$5002,18,FALSE),"")))</f>
        <v/>
      </c>
      <c r="X97" s="287" t="str">
        <f>IF(D97="","",VLOOKUP(D97,契約台帳!$A$3:$Q$4986,17,FALSE))</f>
        <v/>
      </c>
      <c r="Y97" s="282" t="str">
        <f>IF(D97="","",VLOOKUP(D97,契約台帳!$A$3:$E$4986,5,FALSE))</f>
        <v/>
      </c>
      <c r="Z97" s="213"/>
      <c r="AA97" s="288" t="str">
        <f>IFERROR(VLOOKUP(F97&amp;K97&amp;M97,製品マスタ!$M$5:$AM$5002,27,FALSE),"")</f>
        <v/>
      </c>
      <c r="AB97" s="225"/>
      <c r="AC97" s="226"/>
      <c r="AD97" s="227"/>
      <c r="AE97" s="228"/>
      <c r="AF97" s="223"/>
      <c r="AG97" s="234">
        <f>SUM(AG37:AG95)</f>
        <v>496842.25550000003</v>
      </c>
      <c r="AH97" s="229"/>
      <c r="AI97" s="295">
        <f>+AG97+'S4'!AI138</f>
        <v>540961.29550000001</v>
      </c>
      <c r="AJ97" s="229"/>
      <c r="AK97" s="229"/>
      <c r="AL97" s="230"/>
      <c r="AM97" s="230"/>
      <c r="AN97" s="230"/>
      <c r="AO97" s="230"/>
      <c r="AP97" s="230"/>
      <c r="AQ97" s="231"/>
      <c r="AR97" s="232"/>
    </row>
    <row r="98" spans="1:44" s="17" customFormat="1" ht="30.95" hidden="1" customHeight="1" x14ac:dyDescent="0.2">
      <c r="A98" s="37"/>
      <c r="B98" s="38"/>
      <c r="C98" s="45"/>
      <c r="D98" s="31"/>
      <c r="E98" s="31"/>
      <c r="F98" s="268" t="str">
        <f>IF(D98="","",VLOOKUP(D98,契約台帳!$A$3:$K$4986,6,FALSE)&amp;VLOOKUP(D98,契約台帳!$A$3:$K$4986,7,FALSE)&amp;VLOOKUP(D98,契約台帳!$A$3:$K$4986,8,FALSE)&amp;VLOOKUP(D98,契約台帳!$A$3:$K$4986,9,FALSE)&amp;VLOOKUP(D98,契約台帳!$A$3:$K$4986,11,FALSE))</f>
        <v/>
      </c>
      <c r="G98" s="269" t="str">
        <f>IF(D98="","",VLOOKUP(F98,製品マスタ!$G$5:$H$5002,2,FALSE))</f>
        <v/>
      </c>
      <c r="H98" s="269" t="str">
        <f>IF(D98="","",VLOOKUP(F98,製品マスタ!$G$5:$K$5002,5,FALSE))</f>
        <v/>
      </c>
      <c r="I98" s="270" t="str">
        <f>IF(D98="","",VLOOKUP(F98,製品マスタ!$G$5:$L$5002,6,FALSE))</f>
        <v/>
      </c>
      <c r="J98" s="32"/>
      <c r="K98" s="270" t="str">
        <f>IF(D98="","",VLOOKUP(D98,契約台帳!$A$3:$L$4986,12,FALSE))</f>
        <v/>
      </c>
      <c r="L98" s="270" t="str">
        <f>IF(D98="","",INDEX(製品マスタ!$Q$5:$Q$5002,MATCH(F98&amp;K98,製品マスタ!$AO$5:$AO$5002,0)))</f>
        <v/>
      </c>
      <c r="M98" s="39"/>
      <c r="N98" s="39"/>
      <c r="O98" s="47"/>
      <c r="P98" s="57"/>
      <c r="Q98" s="276" t="str">
        <f>IF(D98="","",IF(J98="リード付け",M98,VLOOKUP(D98,契約台帳!$A$3:$N$4986,14,FALSE)))</f>
        <v/>
      </c>
      <c r="R98" s="277" t="str">
        <f>IF(D98="","",IF(J98="リード付け",M98,VLOOKUP(D98,契約台帳!$A$3:$O$4986,15,FALSE)))</f>
        <v/>
      </c>
      <c r="S98" s="277" t="str">
        <f>IF(D98="","",IF(J98="リード付け",N98,VLOOKUP(D98,契約台帳!$A$3:$P$4986,16,FALSE)))</f>
        <v/>
      </c>
      <c r="T98" s="40"/>
      <c r="U98" s="278" t="str">
        <f ca="1">IF(D98="","",IF(OFFSET(D98,-2,0)=D98,"",VLOOKUP(D98,契約台帳!$A$3:$R$4986,18,FALSE)))</f>
        <v/>
      </c>
      <c r="V98" s="269" t="str">
        <f>IF(J98="巻返し",VLOOKUP(F98&amp;K98&amp;M98,製品マスタ!$M$5:$AD$5002,18,FALSE),IF(J98="リード付け","原反コア",IF(J98="スリット",VLOOKUP(F98&amp;K98&amp;Q98,製品マスタ!$N$5:$AD$5002,17,FALSE),"")))</f>
        <v/>
      </c>
      <c r="W98" s="269" t="str">
        <f>IF(J98="巻返し",VLOOKUP(F98&amp;K98&amp;M98,製品マスタ!$M$5:$AE$5002,19,FALSE),IF(J98="リード付け","-",IF(J98="スリット",VLOOKUP(F98&amp;K98&amp;Q98,製品マスタ!$N$5:$AE$5002,18,FALSE),"")))</f>
        <v/>
      </c>
      <c r="X98" s="275" t="str">
        <f>IF(D98="","",VLOOKUP(D98,契約台帳!$A$3:$Q$4986,17,FALSE))</f>
        <v/>
      </c>
      <c r="Y98" s="269" t="str">
        <f>IF(D98="","",VLOOKUP(D98,契約台帳!$A$3:$E$4986,5,FALSE))</f>
        <v/>
      </c>
      <c r="Z98" s="57"/>
      <c r="AA98" s="207" t="str">
        <f>IFERROR(VLOOKUP(F98&amp;K98&amp;M98,製品マスタ!$M$5:$AM$5002,27,FALSE),"")</f>
        <v/>
      </c>
      <c r="AB98" s="33"/>
      <c r="AC98" s="189"/>
      <c r="AD98" s="54"/>
      <c r="AE98" s="55"/>
      <c r="AF98" s="43"/>
      <c r="AG98" s="47"/>
      <c r="AH98" s="30"/>
      <c r="AI98" s="30"/>
      <c r="AJ98" s="30"/>
      <c r="AK98" s="30"/>
      <c r="AL98" s="13"/>
      <c r="AM98" s="13"/>
      <c r="AN98" s="13"/>
      <c r="AO98" s="13"/>
      <c r="AP98" s="13"/>
      <c r="AQ98" s="14"/>
      <c r="AR98" s="15"/>
    </row>
    <row r="99" spans="1:44" s="17" customFormat="1" ht="30.95" hidden="1" customHeight="1" x14ac:dyDescent="0.2">
      <c r="A99" s="37"/>
      <c r="B99" s="38"/>
      <c r="C99" s="45"/>
      <c r="D99" s="31"/>
      <c r="E99" s="31"/>
      <c r="F99" s="268"/>
      <c r="G99" s="269"/>
      <c r="H99" s="269"/>
      <c r="I99" s="270"/>
      <c r="J99" s="32"/>
      <c r="K99" s="270"/>
      <c r="L99" s="270"/>
      <c r="M99" s="39"/>
      <c r="N99" s="39"/>
      <c r="O99" s="47"/>
      <c r="P99" s="57"/>
      <c r="Q99" s="276"/>
      <c r="R99" s="277"/>
      <c r="S99" s="277"/>
      <c r="T99" s="40"/>
      <c r="U99" s="278"/>
      <c r="V99" s="269"/>
      <c r="W99" s="269"/>
      <c r="X99" s="275"/>
      <c r="Y99" s="269"/>
      <c r="Z99" s="57"/>
      <c r="AA99" s="207"/>
      <c r="AB99" s="33"/>
      <c r="AC99" s="189"/>
      <c r="AD99" s="54"/>
      <c r="AE99" s="55"/>
      <c r="AF99" s="43"/>
      <c r="AG99" s="47"/>
      <c r="AH99" s="30"/>
      <c r="AI99" s="30"/>
      <c r="AJ99" s="30"/>
      <c r="AK99" s="30"/>
      <c r="AL99" s="13"/>
      <c r="AM99" s="13"/>
      <c r="AN99" s="13"/>
      <c r="AO99" s="13"/>
      <c r="AP99" s="13"/>
      <c r="AQ99" s="14"/>
      <c r="AR99" s="15"/>
    </row>
    <row r="100" spans="1:44" s="17" customFormat="1" ht="30.95" hidden="1" customHeight="1" x14ac:dyDescent="0.2">
      <c r="A100" s="37"/>
      <c r="B100" s="38"/>
      <c r="C100" s="45"/>
      <c r="D100" s="31"/>
      <c r="E100" s="31"/>
      <c r="F100" s="268"/>
      <c r="G100" s="269"/>
      <c r="H100" s="269"/>
      <c r="I100" s="270"/>
      <c r="J100" s="32"/>
      <c r="K100" s="270"/>
      <c r="L100" s="270"/>
      <c r="M100" s="39"/>
      <c r="N100" s="39"/>
      <c r="O100" s="47"/>
      <c r="P100" s="57"/>
      <c r="Q100" s="276"/>
      <c r="R100" s="277"/>
      <c r="S100" s="277"/>
      <c r="T100" s="40"/>
      <c r="U100" s="278"/>
      <c r="V100" s="269"/>
      <c r="W100" s="269"/>
      <c r="X100" s="275"/>
      <c r="Y100" s="269"/>
      <c r="Z100" s="57"/>
      <c r="AA100" s="207"/>
      <c r="AB100" s="33"/>
      <c r="AC100" s="189"/>
      <c r="AD100" s="54"/>
      <c r="AE100" s="55"/>
      <c r="AF100" s="43"/>
      <c r="AG100" s="47"/>
      <c r="AH100" s="30"/>
      <c r="AI100" s="30"/>
      <c r="AJ100" s="30"/>
      <c r="AK100" s="30"/>
      <c r="AL100" s="13"/>
      <c r="AM100" s="13"/>
      <c r="AN100" s="13"/>
      <c r="AO100" s="13"/>
      <c r="AP100" s="13"/>
      <c r="AQ100" s="14"/>
      <c r="AR100" s="15"/>
    </row>
    <row r="101" spans="1:44" s="17" customFormat="1" ht="30.95" hidden="1" customHeight="1" x14ac:dyDescent="0.2">
      <c r="A101" s="37" t="s">
        <v>837</v>
      </c>
      <c r="B101" s="38" t="s">
        <v>462</v>
      </c>
      <c r="C101" s="45"/>
      <c r="D101" s="31">
        <v>3697663</v>
      </c>
      <c r="E101" s="31">
        <v>4170097</v>
      </c>
      <c r="F101" s="268" t="str">
        <f>IF(D101="","",VLOOKUP(D101,契約台帳!$A$3:$K$4986,6,FALSE)&amp;VLOOKUP(D101,契約台帳!$A$3:$K$4986,7,FALSE)&amp;VLOOKUP(D101,契約台帳!$A$3:$K$4986,8,FALSE)&amp;VLOOKUP(D101,契約台帳!$A$3:$K$4986,9,FALSE)&amp;VLOOKUP(D101,契約台帳!$A$3:$K$4986,11,FALSE))</f>
        <v>3SNMLBMNGTBF</v>
      </c>
      <c r="G101" s="269" t="str">
        <f>IF(D101="","",VLOOKUP(F101,製品マスタ!$G$5:$H$5002,2,FALSE))</f>
        <v>S</v>
      </c>
      <c r="H101" s="269" t="str">
        <f>IF(D101="","",VLOOKUP(F101,製品マスタ!$G$5:$K$5002,5,FALSE))</f>
        <v>MNGTBF</v>
      </c>
      <c r="I101" s="270" t="str">
        <f>IF(D101="","",VLOOKUP(F101,製品マスタ!$G$5:$L$5002,6,FALSE))</f>
        <v>メタルミー　ネーマー　銀艶　Ｂ</v>
      </c>
      <c r="J101" s="32" t="s">
        <v>850</v>
      </c>
      <c r="K101" s="270">
        <f>IF(D101="","",VLOOKUP(D101,契約台帳!$A$3:$L$4986,12,FALSE))</f>
        <v>25</v>
      </c>
      <c r="L101" s="270" t="str">
        <f>IF(D101="","",INDEX(製品マスタ!$Q$5:$Q$5002,MATCH(F101&amp;K101,製品マスタ!$AO$5:$AO$5002,0)))</f>
        <v>T62M</v>
      </c>
      <c r="M101" s="39">
        <v>1125</v>
      </c>
      <c r="N101" s="39">
        <v>12100</v>
      </c>
      <c r="O101" s="47">
        <v>1</v>
      </c>
      <c r="P101" s="57">
        <v>44952</v>
      </c>
      <c r="Q101" s="276">
        <f>IF(D101="","",IF(J101="リード付け",M101,VLOOKUP(D101,契約台帳!$A$3:$N$4986,14,FALSE)))</f>
        <v>1125</v>
      </c>
      <c r="R101" s="277">
        <f>IF(D101="","",IF(J101="リード付け",M101,VLOOKUP(D101,契約台帳!$A$3:$O$4986,15,FALSE)))</f>
        <v>1125</v>
      </c>
      <c r="S101" s="277">
        <f>IF(D101="","",IF(J101="リード付け",N101,VLOOKUP(D101,契約台帳!$A$3:$P$4986,16,FALSE)))</f>
        <v>12100</v>
      </c>
      <c r="T101" s="40">
        <v>1</v>
      </c>
      <c r="U101" s="278">
        <f ca="1">IF(D101="","",IF(OFFSET(D101,-2,0)=D101,"",VLOOKUP(D101,契約台帳!$A$3:$R$4986,18,FALSE)))</f>
        <v>3</v>
      </c>
      <c r="V101" s="269" t="str">
        <f>IF(J101="巻返し",VLOOKUP(F101&amp;K101&amp;M101,製品マスタ!$M$5:$AD$5002,18,FALSE),IF(J101="リード付け","原反コア",IF(J101="スリット",VLOOKUP(F101&amp;K101&amp;Q101,製品マスタ!$N$5:$AD$5002,17,FALSE),"")))</f>
        <v>原反コア</v>
      </c>
      <c r="W101" s="269" t="str">
        <f>IF(J101="巻返し",VLOOKUP(F101&amp;K101&amp;M101,製品マスタ!$M$5:$AE$5002,19,FALSE),IF(J101="リード付け","-",IF(J101="スリット",VLOOKUP(F101&amp;K101&amp;Q101,製品マスタ!$N$5:$AE$5002,18,FALSE),"")))</f>
        <v>-</v>
      </c>
      <c r="X101" s="275">
        <f>IF(D101="","",VLOOKUP(D101,契約台帳!$A$3:$Q$4986,17,FALSE))</f>
        <v>2</v>
      </c>
      <c r="Y101" s="269" t="str">
        <f>IF(D101="","",VLOOKUP(D101,契約台帳!$A$3:$E$4986,5,FALSE))</f>
        <v>リンテック㈱</v>
      </c>
      <c r="Z101" s="57"/>
      <c r="AA101" s="207">
        <f>IFERROR(VLOOKUP(F101&amp;K101&amp;M101,製品マスタ!$M$5:$AM$5002,27,FALSE),"")</f>
        <v>0</v>
      </c>
      <c r="AB101" s="33"/>
      <c r="AC101" s="189"/>
      <c r="AD101" s="54"/>
      <c r="AE101" s="55"/>
      <c r="AF101" s="43"/>
      <c r="AG101" s="47"/>
      <c r="AH101" s="30"/>
      <c r="AI101" s="30"/>
      <c r="AJ101" s="30"/>
      <c r="AK101" s="30"/>
      <c r="AL101" s="13"/>
      <c r="AM101" s="13"/>
      <c r="AN101" s="13"/>
      <c r="AO101" s="13"/>
      <c r="AP101" s="13"/>
      <c r="AQ101" s="14"/>
      <c r="AR101" s="15"/>
    </row>
    <row r="102" spans="1:44" s="17" customFormat="1" ht="30.95" hidden="1" customHeight="1" x14ac:dyDescent="0.2">
      <c r="A102" s="37"/>
      <c r="B102" s="38"/>
      <c r="C102" s="45"/>
      <c r="D102" s="31"/>
      <c r="E102" s="31"/>
      <c r="F102" s="268" t="str">
        <f>IF(D102="","",VLOOKUP(D102,契約台帳!$A$3:$K$4986,6,FALSE)&amp;VLOOKUP(D102,契約台帳!$A$3:$K$4986,7,FALSE)&amp;VLOOKUP(D102,契約台帳!$A$3:$K$4986,8,FALSE)&amp;VLOOKUP(D102,契約台帳!$A$3:$K$4986,9,FALSE)&amp;VLOOKUP(D102,契約台帳!$A$3:$K$4986,11,FALSE))</f>
        <v/>
      </c>
      <c r="G102" s="269" t="str">
        <f>IF(D102="","",VLOOKUP(F102,製品マスタ!$G$5:$H$5002,2,FALSE))</f>
        <v/>
      </c>
      <c r="H102" s="269" t="str">
        <f>IF(D102="","",VLOOKUP(F102,製品マスタ!$G$5:$K$5002,5,FALSE))</f>
        <v/>
      </c>
      <c r="I102" s="270" t="str">
        <f>IF(D102="","",VLOOKUP(F102,製品マスタ!$G$5:$L$5002,6,FALSE))</f>
        <v/>
      </c>
      <c r="J102" s="32"/>
      <c r="K102" s="270" t="str">
        <f>IF(D102="","",VLOOKUP(D102,契約台帳!$A$3:$L$4986,12,FALSE))</f>
        <v/>
      </c>
      <c r="L102" s="270" t="str">
        <f>IF(D102="","",INDEX(製品マスタ!$Q$5:$Q$5002,MATCH(F102&amp;K102,製品マスタ!$AO$5:$AO$5002,0)))</f>
        <v/>
      </c>
      <c r="M102" s="39"/>
      <c r="N102" s="39"/>
      <c r="O102" s="47"/>
      <c r="P102" s="57"/>
      <c r="Q102" s="276" t="str">
        <f>IF(D102="","",IF(J102="リード付け",M102,VLOOKUP(D102,契約台帳!$A$3:$N$4986,14,FALSE)))</f>
        <v/>
      </c>
      <c r="R102" s="277" t="str">
        <f>IF(D102="","",IF(J102="リード付け",M102,VLOOKUP(D102,契約台帳!$A$3:$O$4986,15,FALSE)))</f>
        <v/>
      </c>
      <c r="S102" s="277" t="str">
        <f>IF(D102="","",IF(J102="リード付け",N102,VLOOKUP(D102,契約台帳!$A$3:$P$4986,16,FALSE)))</f>
        <v/>
      </c>
      <c r="T102" s="40"/>
      <c r="U102" s="278" t="str">
        <f ca="1">IF(D102="","",IF(OFFSET(D102,-2,0)=D102,"",VLOOKUP(D102,契約台帳!$A$3:$R$4986,18,FALSE)))</f>
        <v/>
      </c>
      <c r="V102" s="269" t="str">
        <f>IF(J102="巻返し",VLOOKUP(F102&amp;K102&amp;M102,製品マスタ!$M$5:$AD$5002,18,FALSE),IF(J102="リード付け","原反コア",IF(J102="スリット",VLOOKUP(F102&amp;K102&amp;Q102,製品マスタ!$N$5:$AD$5002,17,FALSE),"")))</f>
        <v/>
      </c>
      <c r="W102" s="269" t="str">
        <f>IF(J102="巻返し",VLOOKUP(F102&amp;K102&amp;M102,製品マスタ!$M$5:$AE$5002,19,FALSE),IF(J102="リード付け","-",IF(J102="スリット",VLOOKUP(F102&amp;K102&amp;Q102,製品マスタ!$N$5:$AE$5002,18,FALSE),"")))</f>
        <v/>
      </c>
      <c r="X102" s="275" t="str">
        <f>IF(D102="","",VLOOKUP(D102,契約台帳!$A$3:$Q$4986,17,FALSE))</f>
        <v/>
      </c>
      <c r="Y102" s="269" t="str">
        <f>IF(D102="","",VLOOKUP(D102,契約台帳!$A$3:$E$4986,5,FALSE))</f>
        <v/>
      </c>
      <c r="Z102" s="57"/>
      <c r="AA102" s="207" t="str">
        <f>IFERROR(VLOOKUP(F102&amp;K102&amp;M102,製品マスタ!$M$5:$AM$5002,27,FALSE),"")</f>
        <v/>
      </c>
      <c r="AB102" s="33"/>
      <c r="AC102" s="189"/>
      <c r="AD102" s="54"/>
      <c r="AE102" s="55"/>
      <c r="AF102" s="43"/>
      <c r="AG102" s="47"/>
      <c r="AH102" s="30"/>
      <c r="AI102" s="30"/>
      <c r="AJ102" s="30"/>
      <c r="AK102" s="30"/>
      <c r="AL102" s="13"/>
      <c r="AM102" s="13"/>
      <c r="AN102" s="13"/>
      <c r="AO102" s="13"/>
      <c r="AP102" s="13"/>
      <c r="AQ102" s="14"/>
      <c r="AR102" s="15"/>
    </row>
    <row r="103" spans="1:44" s="17" customFormat="1" ht="30.95" hidden="1" customHeight="1" x14ac:dyDescent="0.2">
      <c r="A103" s="37"/>
      <c r="B103" s="38"/>
      <c r="C103" s="45"/>
      <c r="D103" s="31">
        <v>3697647</v>
      </c>
      <c r="E103" s="31">
        <v>4170098</v>
      </c>
      <c r="F103" s="268" t="str">
        <f>IF(D103="","",VLOOKUP(D103,契約台帳!$A$3:$K$4986,6,FALSE)&amp;VLOOKUP(D103,契約台帳!$A$3:$K$4986,7,FALSE)&amp;VLOOKUP(D103,契約台帳!$A$3:$K$4986,8,FALSE)&amp;VLOOKUP(D103,契約台帳!$A$3:$K$4986,9,FALSE)&amp;VLOOKUP(D103,契約台帳!$A$3:$K$4986,11,FALSE))</f>
        <v>3SNMLBMTSF</v>
      </c>
      <c r="G103" s="269" t="str">
        <f>IF(D103="","",VLOOKUP(F103,製品マスタ!$G$5:$H$5002,2,FALSE))</f>
        <v>S</v>
      </c>
      <c r="H103" s="269" t="str">
        <f>IF(D103="","",VLOOKUP(F103,製品マスタ!$G$5:$K$5002,5,FALSE))</f>
        <v>MTSF</v>
      </c>
      <c r="I103" s="270" t="str">
        <f>IF(D103="","",VLOOKUP(F103,製品マスタ!$G$5:$L$5002,6,FALSE))</f>
        <v>メタルミー　ＴＳ</v>
      </c>
      <c r="J103" s="32" t="s">
        <v>850</v>
      </c>
      <c r="K103" s="270">
        <f>IF(D103="","",VLOOKUP(D103,契約台帳!$A$3:$L$4986,12,FALSE))</f>
        <v>75</v>
      </c>
      <c r="L103" s="270" t="str">
        <f>IF(D103="","",INDEX(製品マスタ!$Q$5:$Q$5002,MATCH(F103&amp;K103,製品マスタ!$AO$5:$AO$5002,0)))</f>
        <v>T60</v>
      </c>
      <c r="M103" s="39">
        <v>1100</v>
      </c>
      <c r="N103" s="39">
        <v>2000</v>
      </c>
      <c r="O103" s="47">
        <v>1</v>
      </c>
      <c r="P103" s="57">
        <v>44952</v>
      </c>
      <c r="Q103" s="276">
        <f>IF(D103="","",IF(J103="リード付け",M103,VLOOKUP(D103,契約台帳!$A$3:$N$4986,14,FALSE)))</f>
        <v>1100</v>
      </c>
      <c r="R103" s="277">
        <f>IF(D103="","",IF(J103="リード付け",M103,VLOOKUP(D103,契約台帳!$A$3:$O$4986,15,FALSE)))</f>
        <v>1100</v>
      </c>
      <c r="S103" s="277">
        <f>IF(D103="","",IF(J103="リード付け",N103,VLOOKUP(D103,契約台帳!$A$3:$P$4986,16,FALSE)))</f>
        <v>2000</v>
      </c>
      <c r="T103" s="40">
        <v>1</v>
      </c>
      <c r="U103" s="278">
        <f ca="1">IF(D103="","",IF(OFFSET(D103,-2,0)=D103,"",VLOOKUP(D103,契約台帳!$A$3:$R$4986,18,FALSE)))</f>
        <v>2</v>
      </c>
      <c r="V103" s="269" t="str">
        <f>IF(J103="巻返し",VLOOKUP(F103&amp;K103&amp;M103,製品マスタ!$M$5:$AD$5002,18,FALSE),IF(J103="リード付け","原反コア",IF(J103="スリット",VLOOKUP(F103&amp;K103&amp;Q103,製品マスタ!$N$5:$AD$5002,17,FALSE),"")))</f>
        <v>原反コア</v>
      </c>
      <c r="W103" s="269" t="str">
        <f>IF(J103="巻返し",VLOOKUP(F103&amp;K103&amp;M103,製品マスタ!$M$5:$AE$5002,19,FALSE),IF(J103="リード付け","-",IF(J103="スリット",VLOOKUP(F103&amp;K103&amp;Q103,製品マスタ!$N$5:$AE$5002,18,FALSE),"")))</f>
        <v>-</v>
      </c>
      <c r="X103" s="275">
        <f>IF(D103="","",VLOOKUP(D103,契約台帳!$A$3:$Q$4986,17,FALSE))</f>
        <v>2</v>
      </c>
      <c r="Y103" s="269" t="str">
        <f>IF(D103="","",VLOOKUP(D103,契約台帳!$A$3:$E$4986,5,FALSE))</f>
        <v>パナック㈱亀山工場</v>
      </c>
      <c r="Z103" s="57"/>
      <c r="AA103" s="207">
        <f>IFERROR(VLOOKUP(F103&amp;K103&amp;M103,製品マスタ!$M$5:$AM$5002,27,FALSE),"")</f>
        <v>0</v>
      </c>
      <c r="AB103" s="33"/>
      <c r="AC103" s="189"/>
      <c r="AD103" s="54"/>
      <c r="AE103" s="55"/>
      <c r="AF103" s="43"/>
      <c r="AG103" s="47"/>
      <c r="AH103" s="30"/>
      <c r="AI103" s="30"/>
      <c r="AJ103" s="30"/>
      <c r="AK103" s="30"/>
      <c r="AL103" s="13"/>
      <c r="AM103" s="13"/>
      <c r="AN103" s="13"/>
      <c r="AO103" s="13"/>
      <c r="AP103" s="13"/>
      <c r="AQ103" s="14"/>
      <c r="AR103" s="15"/>
    </row>
    <row r="104" spans="1:44" s="17" customFormat="1" ht="30.95" hidden="1" customHeight="1" x14ac:dyDescent="0.2">
      <c r="A104" s="37"/>
      <c r="B104" s="38"/>
      <c r="C104" s="45"/>
      <c r="D104" s="31"/>
      <c r="E104" s="31"/>
      <c r="F104" s="268" t="str">
        <f>IF(D104="","",VLOOKUP(D104,契約台帳!$A$3:$K$4986,6,FALSE)&amp;VLOOKUP(D104,契約台帳!$A$3:$K$4986,7,FALSE)&amp;VLOOKUP(D104,契約台帳!$A$3:$K$4986,8,FALSE)&amp;VLOOKUP(D104,契約台帳!$A$3:$K$4986,9,FALSE)&amp;VLOOKUP(D104,契約台帳!$A$3:$K$4986,11,FALSE))</f>
        <v/>
      </c>
      <c r="G104" s="269" t="str">
        <f>IF(D104="","",VLOOKUP(F104,製品マスタ!$G$5:$H$5002,2,FALSE))</f>
        <v/>
      </c>
      <c r="H104" s="269" t="str">
        <f>IF(D104="","",VLOOKUP(F104,製品マスタ!$G$5:$K$5002,5,FALSE))</f>
        <v/>
      </c>
      <c r="I104" s="270" t="str">
        <f>IF(D104="","",VLOOKUP(F104,製品マスタ!$G$5:$L$5002,6,FALSE))</f>
        <v/>
      </c>
      <c r="J104" s="32"/>
      <c r="K104" s="270" t="str">
        <f>IF(D104="","",VLOOKUP(D104,契約台帳!$A$3:$L$4986,12,FALSE))</f>
        <v/>
      </c>
      <c r="L104" s="270" t="str">
        <f>IF(D104="","",INDEX(製品マスタ!$Q$5:$Q$5002,MATCH(F104&amp;K104,製品マスタ!$AO$5:$AO$5002,0)))</f>
        <v/>
      </c>
      <c r="M104" s="39"/>
      <c r="N104" s="39"/>
      <c r="O104" s="47"/>
      <c r="P104" s="57"/>
      <c r="Q104" s="276" t="str">
        <f>IF(D104="","",IF(J104="リード付け",M104,VLOOKUP(D104,契約台帳!$A$3:$N$4986,14,FALSE)))</f>
        <v/>
      </c>
      <c r="R104" s="277" t="str">
        <f>IF(D104="","",IF(J104="リード付け",M104,VLOOKUP(D104,契約台帳!$A$3:$O$4986,15,FALSE)))</f>
        <v/>
      </c>
      <c r="S104" s="277" t="str">
        <f>IF(D104="","",IF(J104="リード付け",N104,VLOOKUP(D104,契約台帳!$A$3:$P$4986,16,FALSE)))</f>
        <v/>
      </c>
      <c r="T104" s="40"/>
      <c r="U104" s="278" t="str">
        <f ca="1">IF(D104="","",IF(OFFSET(D104,-2,0)=D104,"",VLOOKUP(D104,契約台帳!$A$3:$R$4986,18,FALSE)))</f>
        <v/>
      </c>
      <c r="V104" s="269" t="str">
        <f>IF(J104="巻返し",VLOOKUP(F104&amp;K104&amp;M104,製品マスタ!$M$5:$AD$5002,18,FALSE),IF(J104="リード付け","原反コア",IF(J104="スリット",VLOOKUP(F104&amp;K104&amp;Q104,製品マスタ!$N$5:$AD$5002,17,FALSE),"")))</f>
        <v/>
      </c>
      <c r="W104" s="269" t="str">
        <f>IF(J104="巻返し",VLOOKUP(F104&amp;K104&amp;M104,製品マスタ!$M$5:$AE$5002,19,FALSE),IF(J104="リード付け","-",IF(J104="スリット",VLOOKUP(F104&amp;K104&amp;Q104,製品マスタ!$N$5:$AE$5002,18,FALSE),"")))</f>
        <v/>
      </c>
      <c r="X104" s="275" t="str">
        <f>IF(D104="","",VLOOKUP(D104,契約台帳!$A$3:$Q$4986,17,FALSE))</f>
        <v/>
      </c>
      <c r="Y104" s="269" t="str">
        <f>IF(D104="","",VLOOKUP(D104,契約台帳!$A$3:$E$4986,5,FALSE))</f>
        <v/>
      </c>
      <c r="Z104" s="57"/>
      <c r="AA104" s="207" t="str">
        <f>IFERROR(VLOOKUP(F104&amp;K104&amp;M104,製品マスタ!$M$5:$AM$5002,27,FALSE),"")</f>
        <v/>
      </c>
      <c r="AB104" s="33"/>
      <c r="AC104" s="189"/>
      <c r="AD104" s="54"/>
      <c r="AE104" s="55"/>
      <c r="AF104" s="43"/>
      <c r="AG104" s="47"/>
      <c r="AH104" s="30"/>
      <c r="AI104" s="30"/>
      <c r="AJ104" s="30"/>
      <c r="AK104" s="30"/>
      <c r="AL104" s="13"/>
      <c r="AM104" s="13"/>
      <c r="AN104" s="13"/>
      <c r="AO104" s="13"/>
      <c r="AP104" s="13"/>
      <c r="AQ104" s="14"/>
      <c r="AR104" s="15"/>
    </row>
    <row r="105" spans="1:44" s="17" customFormat="1" ht="30.95" hidden="1" customHeight="1" x14ac:dyDescent="0.2">
      <c r="A105" s="37"/>
      <c r="B105" s="38"/>
      <c r="C105" s="45"/>
      <c r="D105" s="31">
        <v>3697857</v>
      </c>
      <c r="E105" s="31">
        <v>4170099</v>
      </c>
      <c r="F105" s="268" t="str">
        <f>IF(D105="","",VLOOKUP(D105,契約台帳!$A$3:$K$4986,6,FALSE)&amp;VLOOKUP(D105,契約台帳!$A$3:$K$4986,7,FALSE)&amp;VLOOKUP(D105,契約台帳!$A$3:$K$4986,8,FALSE)&amp;VLOOKUP(D105,契約台帳!$A$3:$K$4986,9,FALSE)&amp;VLOOKUP(D105,契約台帳!$A$3:$K$4986,11,FALSE))</f>
        <v>3SNMLBMSF</v>
      </c>
      <c r="G105" s="269" t="str">
        <f>IF(D105="","",VLOOKUP(F105,製品マスタ!$G$5:$H$5002,2,FALSE))</f>
        <v>S</v>
      </c>
      <c r="H105" s="269" t="str">
        <f>IF(D105="","",VLOOKUP(F105,製品マスタ!$G$5:$K$5002,5,FALSE))</f>
        <v>MSF</v>
      </c>
      <c r="I105" s="270" t="str">
        <f>IF(D105="","",VLOOKUP(F105,製品マスタ!$G$5:$L$5002,6,FALSE))</f>
        <v>メタルミー　Ｓ</v>
      </c>
      <c r="J105" s="32" t="s">
        <v>464</v>
      </c>
      <c r="K105" s="270">
        <f>IF(D105="","",VLOOKUP(D105,契約台帳!$A$3:$L$4986,12,FALSE))</f>
        <v>25</v>
      </c>
      <c r="L105" s="270" t="str">
        <f>IF(D105="","",INDEX(製品マスタ!$Q$5:$Q$5002,MATCH(F105&amp;K105,製品マスタ!$AO$5:$AO$5002,0)))</f>
        <v>T62M</v>
      </c>
      <c r="M105" s="39">
        <v>1020</v>
      </c>
      <c r="N105" s="39">
        <v>12100</v>
      </c>
      <c r="O105" s="47">
        <v>1</v>
      </c>
      <c r="P105" s="57">
        <v>44953</v>
      </c>
      <c r="Q105" s="276">
        <f>IF(D105="","",IF(J105="リード付け",M105,VLOOKUP(D105,契約台帳!$A$3:$N$4986,14,FALSE)))</f>
        <v>1020</v>
      </c>
      <c r="R105" s="277">
        <f>IF(D105="","",IF(J105="リード付け",M105,VLOOKUP(D105,契約台帳!$A$3:$O$4986,15,FALSE)))</f>
        <v>1020</v>
      </c>
      <c r="S105" s="277">
        <f>IF(D105="","",IF(J105="リード付け",N105,VLOOKUP(D105,契約台帳!$A$3:$P$4986,16,FALSE)))</f>
        <v>12100</v>
      </c>
      <c r="T105" s="40">
        <v>1</v>
      </c>
      <c r="U105" s="278">
        <f ca="1">IF(D105="","",IF(OFFSET(D105,-2,0)=D105,"",VLOOKUP(D105,契約台帳!$A$3:$R$4986,18,FALSE)))</f>
        <v>6</v>
      </c>
      <c r="V105" s="269" t="str">
        <f>IF(J105="巻返し",VLOOKUP(F105&amp;K105&amp;M105,製品マスタ!$M$5:$AD$5002,18,FALSE),IF(J105="リード付け","原反コア",IF(J105="スリット",VLOOKUP(F105&amp;K105&amp;Q105,製品マスタ!$N$5:$AD$5002,17,FALSE),"")))</f>
        <v>原反コア</v>
      </c>
      <c r="W105" s="269" t="str">
        <f>IF(J105="巻返し",VLOOKUP(F105&amp;K105&amp;M105,製品マスタ!$M$5:$AE$5002,19,FALSE),IF(J105="リード付け","-",IF(J105="スリット",VLOOKUP(F105&amp;K105&amp;Q105,製品マスタ!$N$5:$AE$5002,18,FALSE),"")))</f>
        <v>-</v>
      </c>
      <c r="X105" s="275">
        <f>IF(D105="","",VLOOKUP(D105,契約台帳!$A$3:$Q$4986,17,FALSE))</f>
        <v>2</v>
      </c>
      <c r="Y105" s="269" t="str">
        <f>IF(D105="","",VLOOKUP(D105,契約台帳!$A$3:$E$4986,5,FALSE))</f>
        <v>パナック㈱亀山工場</v>
      </c>
      <c r="Z105" s="57"/>
      <c r="AA105" s="207">
        <f>IFERROR(VLOOKUP(F105&amp;K105&amp;M105,製品マスタ!$M$5:$AM$5002,27,FALSE),"")</f>
        <v>0</v>
      </c>
      <c r="AB105" s="33"/>
      <c r="AC105" s="189"/>
      <c r="AD105" s="54"/>
      <c r="AE105" s="55"/>
      <c r="AF105" s="43"/>
      <c r="AG105" s="47"/>
      <c r="AH105" s="30"/>
      <c r="AI105" s="30"/>
      <c r="AJ105" s="30"/>
      <c r="AK105" s="30"/>
      <c r="AL105" s="13"/>
      <c r="AM105" s="13"/>
      <c r="AN105" s="13"/>
      <c r="AO105" s="13"/>
      <c r="AP105" s="13"/>
      <c r="AQ105" s="14"/>
      <c r="AR105" s="15"/>
    </row>
    <row r="106" spans="1:44" s="17" customFormat="1" ht="30.95" hidden="1" customHeight="1" x14ac:dyDescent="0.2">
      <c r="A106" s="37"/>
      <c r="B106" s="38"/>
      <c r="C106" s="45"/>
      <c r="D106" s="31"/>
      <c r="E106" s="31"/>
      <c r="F106" s="268"/>
      <c r="G106" s="269"/>
      <c r="H106" s="269"/>
      <c r="I106" s="270"/>
      <c r="J106" s="32"/>
      <c r="K106" s="270"/>
      <c r="L106" s="270"/>
      <c r="M106" s="39"/>
      <c r="N106" s="39"/>
      <c r="O106" s="47"/>
      <c r="P106" s="57"/>
      <c r="Q106" s="276"/>
      <c r="R106" s="277"/>
      <c r="S106" s="277"/>
      <c r="T106" s="40"/>
      <c r="U106" s="278"/>
      <c r="V106" s="269"/>
      <c r="W106" s="269"/>
      <c r="X106" s="275"/>
      <c r="Y106" s="269"/>
      <c r="Z106" s="57"/>
      <c r="AA106" s="207"/>
      <c r="AB106" s="33"/>
      <c r="AC106" s="189"/>
      <c r="AD106" s="54"/>
      <c r="AE106" s="55"/>
      <c r="AF106" s="43"/>
      <c r="AG106" s="47"/>
      <c r="AH106" s="30"/>
      <c r="AI106" s="30"/>
      <c r="AJ106" s="30"/>
      <c r="AK106" s="30"/>
      <c r="AL106" s="13"/>
      <c r="AM106" s="13"/>
      <c r="AN106" s="13"/>
      <c r="AO106" s="13"/>
      <c r="AP106" s="13"/>
      <c r="AQ106" s="14"/>
      <c r="AR106" s="15"/>
    </row>
    <row r="107" spans="1:44" s="17" customFormat="1" ht="30.95" hidden="1" customHeight="1" x14ac:dyDescent="0.2">
      <c r="A107" s="37"/>
      <c r="B107" s="38"/>
      <c r="C107" s="45"/>
      <c r="D107" s="31">
        <v>3697662</v>
      </c>
      <c r="E107" s="31">
        <v>4170096</v>
      </c>
      <c r="F107" s="268" t="str">
        <f>IF(D107="","",VLOOKUP(D107,契約台帳!$A$3:$K$4986,6,FALSE)&amp;VLOOKUP(D107,契約台帳!$A$3:$K$4986,7,FALSE)&amp;VLOOKUP(D107,契約台帳!$A$3:$K$4986,8,FALSE)&amp;VLOOKUP(D107,契約台帳!$A$3:$K$4986,9,FALSE)&amp;VLOOKUP(D107,契約台帳!$A$3:$K$4986,11,FALSE))</f>
        <v>3SNMLBMNGTBF</v>
      </c>
      <c r="G107" s="269" t="str">
        <f>IF(D107="","",VLOOKUP(F107,製品マスタ!$G$5:$H$5002,2,FALSE))</f>
        <v>S</v>
      </c>
      <c r="H107" s="269" t="str">
        <f>IF(D107="","",VLOOKUP(F107,製品マスタ!$G$5:$K$5002,5,FALSE))</f>
        <v>MNGTBF</v>
      </c>
      <c r="I107" s="270" t="str">
        <f>IF(D107="","",VLOOKUP(F107,製品マスタ!$G$5:$L$5002,6,FALSE))</f>
        <v>メタルミー　ネーマー　銀艶　Ｂ</v>
      </c>
      <c r="J107" s="32" t="s">
        <v>850</v>
      </c>
      <c r="K107" s="270">
        <f>IF(D107="","",VLOOKUP(D107,契約台帳!$A$3:$L$4986,12,FALSE))</f>
        <v>25</v>
      </c>
      <c r="L107" s="270" t="str">
        <f>IF(D107="","",INDEX(製品マスタ!$Q$5:$Q$5002,MATCH(F107&amp;K107,製品マスタ!$AO$5:$AO$5002,0)))</f>
        <v>T62M</v>
      </c>
      <c r="M107" s="39">
        <v>1005</v>
      </c>
      <c r="N107" s="39">
        <v>12100</v>
      </c>
      <c r="O107" s="47">
        <v>1</v>
      </c>
      <c r="P107" s="57">
        <v>44952</v>
      </c>
      <c r="Q107" s="276">
        <f>IF(D107="","",IF(J107="リード付け",M107,VLOOKUP(D107,契約台帳!$A$3:$N$4986,14,FALSE)))</f>
        <v>1005</v>
      </c>
      <c r="R107" s="277">
        <f>IF(D107="","",IF(J107="リード付け",M107,VLOOKUP(D107,契約台帳!$A$3:$O$4986,15,FALSE)))</f>
        <v>1005</v>
      </c>
      <c r="S107" s="277">
        <f>IF(D107="","",IF(J107="リード付け",N107,VLOOKUP(D107,契約台帳!$A$3:$P$4986,16,FALSE)))</f>
        <v>12100</v>
      </c>
      <c r="T107" s="40">
        <v>1</v>
      </c>
      <c r="U107" s="278">
        <f ca="1">IF(D107="","",IF(OFFSET(D107,-2,0)=D107,"",VLOOKUP(D107,契約台帳!$A$3:$R$4986,18,FALSE)))</f>
        <v>3</v>
      </c>
      <c r="V107" s="269" t="str">
        <f>IF(J107="巻返し",VLOOKUP(F107&amp;K107&amp;M107,製品マスタ!$M$5:$AD$5002,18,FALSE),IF(J107="リード付け","原反コア",IF(J107="スリット",VLOOKUP(F107&amp;K107&amp;Q107,製品マスタ!$N$5:$AD$5002,17,FALSE),"")))</f>
        <v>原反コア</v>
      </c>
      <c r="W107" s="269" t="str">
        <f>IF(J107="巻返し",VLOOKUP(F107&amp;K107&amp;M107,製品マスタ!$M$5:$AE$5002,19,FALSE),IF(J107="リード付け","-",IF(J107="スリット",VLOOKUP(F107&amp;K107&amp;Q107,製品マスタ!$N$5:$AE$5002,18,FALSE),"")))</f>
        <v>-</v>
      </c>
      <c r="X107" s="275">
        <f>IF(D107="","",VLOOKUP(D107,契約台帳!$A$3:$Q$4986,17,FALSE))</f>
        <v>2</v>
      </c>
      <c r="Y107" s="269" t="str">
        <f>IF(D107="","",VLOOKUP(D107,契約台帳!$A$3:$E$4986,5,FALSE))</f>
        <v>リンテック㈱</v>
      </c>
      <c r="Z107" s="57"/>
      <c r="AA107" s="207">
        <f>IFERROR(VLOOKUP(F107&amp;K107&amp;M107,製品マスタ!$M$5:$AM$5002,27,FALSE),"")</f>
        <v>0</v>
      </c>
      <c r="AB107" s="33"/>
      <c r="AC107" s="189"/>
      <c r="AD107" s="54"/>
      <c r="AE107" s="55"/>
      <c r="AF107" s="43"/>
      <c r="AG107" s="47"/>
      <c r="AH107" s="30"/>
      <c r="AI107" s="30"/>
      <c r="AJ107" s="30"/>
      <c r="AK107" s="30"/>
      <c r="AL107" s="13"/>
      <c r="AM107" s="13"/>
      <c r="AN107" s="13"/>
      <c r="AO107" s="13"/>
      <c r="AP107" s="13"/>
      <c r="AQ107" s="14"/>
      <c r="AR107" s="15"/>
    </row>
    <row r="108" spans="1:44" s="17" customFormat="1" ht="30.95" hidden="1" customHeight="1" x14ac:dyDescent="0.2">
      <c r="A108" s="37"/>
      <c r="B108" s="38"/>
      <c r="C108" s="45"/>
      <c r="D108" s="31"/>
      <c r="E108" s="31"/>
      <c r="F108" s="268" t="str">
        <f>IF(D108="","",VLOOKUP(D108,契約台帳!$A$3:$K$4986,6,FALSE)&amp;VLOOKUP(D108,契約台帳!$A$3:$K$4986,7,FALSE)&amp;VLOOKUP(D108,契約台帳!$A$3:$K$4986,8,FALSE)&amp;VLOOKUP(D108,契約台帳!$A$3:$K$4986,9,FALSE)&amp;VLOOKUP(D108,契約台帳!$A$3:$K$4986,11,FALSE))</f>
        <v/>
      </c>
      <c r="G108" s="269" t="str">
        <f>IF(D108="","",VLOOKUP(F108,製品マスタ!$G$5:$H$5002,2,FALSE))</f>
        <v/>
      </c>
      <c r="H108" s="269" t="str">
        <f>IF(D108="","",VLOOKUP(F108,製品マスタ!$G$5:$K$5002,5,FALSE))</f>
        <v/>
      </c>
      <c r="I108" s="270" t="str">
        <f>IF(D108="","",VLOOKUP(F108,製品マスタ!$G$5:$L$5002,6,FALSE))</f>
        <v/>
      </c>
      <c r="J108" s="32"/>
      <c r="K108" s="270" t="str">
        <f>IF(D108="","",VLOOKUP(D108,契約台帳!$A$3:$L$4986,12,FALSE))</f>
        <v/>
      </c>
      <c r="L108" s="270" t="str">
        <f>IF(D108="","",INDEX(製品マスタ!$Q$5:$Q$5002,MATCH(F108&amp;K108,製品マスタ!$AO$5:$AO$5002,0)))</f>
        <v/>
      </c>
      <c r="M108" s="39"/>
      <c r="N108" s="39"/>
      <c r="O108" s="47"/>
      <c r="P108" s="57"/>
      <c r="Q108" s="276" t="str">
        <f>IF(D108="","",IF(J108="リード付け",M108,VLOOKUP(D108,契約台帳!$A$3:$N$4986,14,FALSE)))</f>
        <v/>
      </c>
      <c r="R108" s="277" t="str">
        <f>IF(D108="","",IF(J108="リード付け",M108,VLOOKUP(D108,契約台帳!$A$3:$O$4986,15,FALSE)))</f>
        <v/>
      </c>
      <c r="S108" s="277" t="str">
        <f>IF(D108="","",IF(J108="リード付け",N108,VLOOKUP(D108,契約台帳!$A$3:$P$4986,16,FALSE)))</f>
        <v/>
      </c>
      <c r="T108" s="40"/>
      <c r="U108" s="278" t="str">
        <f ca="1">IF(D108="","",IF(OFFSET(D108,-2,0)=D108,"",VLOOKUP(D108,契約台帳!$A$3:$R$4986,18,FALSE)))</f>
        <v/>
      </c>
      <c r="V108" s="269" t="str">
        <f>IF(J108="巻返し",VLOOKUP(F108&amp;K108&amp;M108,製品マスタ!$M$5:$AD$5002,18,FALSE),IF(J108="リード付け","原反コア",IF(J108="スリット",VLOOKUP(F108&amp;K108&amp;Q108,製品マスタ!$N$5:$AD$5002,17,FALSE),"")))</f>
        <v/>
      </c>
      <c r="W108" s="269" t="str">
        <f>IF(J108="巻返し",VLOOKUP(F108&amp;K108&amp;M108,製品マスタ!$M$5:$AE$5002,19,FALSE),IF(J108="リード付け","-",IF(J108="スリット",VLOOKUP(F108&amp;K108&amp;Q108,製品マスタ!$N$5:$AE$5002,18,FALSE),"")))</f>
        <v/>
      </c>
      <c r="X108" s="275" t="str">
        <f>IF(D108="","",VLOOKUP(D108,契約台帳!$A$3:$Q$4986,17,FALSE))</f>
        <v/>
      </c>
      <c r="Y108" s="269" t="str">
        <f>IF(D108="","",VLOOKUP(D108,契約台帳!$A$3:$E$4986,5,FALSE))</f>
        <v/>
      </c>
      <c r="Z108" s="57"/>
      <c r="AA108" s="207" t="str">
        <f>IFERROR(VLOOKUP(F108&amp;K108&amp;M108,製品マスタ!$M$5:$AM$5002,27,FALSE),"")</f>
        <v/>
      </c>
      <c r="AB108" s="33"/>
      <c r="AC108" s="189"/>
      <c r="AD108" s="54"/>
      <c r="AE108" s="55"/>
      <c r="AF108" s="43"/>
      <c r="AG108" s="47"/>
      <c r="AH108" s="30"/>
      <c r="AI108" s="30"/>
      <c r="AJ108" s="30"/>
      <c r="AK108" s="30"/>
      <c r="AL108" s="13"/>
      <c r="AM108" s="13"/>
      <c r="AN108" s="13"/>
      <c r="AO108" s="13"/>
      <c r="AP108" s="13"/>
      <c r="AQ108" s="14"/>
      <c r="AR108" s="15"/>
    </row>
    <row r="109" spans="1:44" s="17" customFormat="1" ht="30.95" hidden="1" customHeight="1" x14ac:dyDescent="0.2">
      <c r="A109" s="37" t="s">
        <v>866</v>
      </c>
      <c r="B109" s="38" t="s">
        <v>867</v>
      </c>
      <c r="C109" s="45"/>
      <c r="D109" s="31"/>
      <c r="E109" s="31"/>
      <c r="F109" s="268"/>
      <c r="G109" s="269"/>
      <c r="H109" s="269"/>
      <c r="I109" s="270" t="s">
        <v>868</v>
      </c>
      <c r="J109" s="32"/>
      <c r="K109" s="270"/>
      <c r="L109" s="270"/>
      <c r="M109" s="39"/>
      <c r="N109" s="39"/>
      <c r="O109" s="47"/>
      <c r="P109" s="57"/>
      <c r="Q109" s="276"/>
      <c r="R109" s="277"/>
      <c r="S109" s="277"/>
      <c r="T109" s="40"/>
      <c r="U109" s="278"/>
      <c r="V109" s="269"/>
      <c r="W109" s="269"/>
      <c r="X109" s="275"/>
      <c r="Y109" s="269"/>
      <c r="Z109" s="57"/>
      <c r="AA109" s="207"/>
      <c r="AB109" s="33"/>
      <c r="AC109" s="189"/>
      <c r="AD109" s="54"/>
      <c r="AE109" s="55"/>
      <c r="AF109" s="43"/>
      <c r="AG109" s="47"/>
      <c r="AH109" s="30"/>
      <c r="AI109" s="30"/>
      <c r="AJ109" s="30"/>
      <c r="AK109" s="30"/>
      <c r="AL109" s="13"/>
      <c r="AM109" s="13"/>
      <c r="AN109" s="13"/>
      <c r="AO109" s="13"/>
      <c r="AP109" s="13"/>
      <c r="AQ109" s="14"/>
      <c r="AR109" s="15"/>
    </row>
    <row r="110" spans="1:44" s="17" customFormat="1" ht="30.95" hidden="1" customHeight="1" x14ac:dyDescent="0.2">
      <c r="A110" s="37"/>
      <c r="B110" s="38"/>
      <c r="C110" s="45"/>
      <c r="D110" s="31"/>
      <c r="E110" s="31"/>
      <c r="F110" s="268"/>
      <c r="G110" s="269"/>
      <c r="H110" s="269"/>
      <c r="I110" s="270"/>
      <c r="J110" s="32"/>
      <c r="K110" s="270"/>
      <c r="L110" s="270"/>
      <c r="M110" s="39"/>
      <c r="N110" s="39"/>
      <c r="O110" s="47"/>
      <c r="P110" s="57"/>
      <c r="Q110" s="276"/>
      <c r="R110" s="277"/>
      <c r="S110" s="277"/>
      <c r="T110" s="40"/>
      <c r="U110" s="278"/>
      <c r="V110" s="269"/>
      <c r="W110" s="269"/>
      <c r="X110" s="275"/>
      <c r="Y110" s="269"/>
      <c r="Z110" s="57"/>
      <c r="AA110" s="207"/>
      <c r="AB110" s="33"/>
      <c r="AC110" s="189"/>
      <c r="AD110" s="54"/>
      <c r="AE110" s="55"/>
      <c r="AF110" s="43"/>
      <c r="AG110" s="47"/>
      <c r="AH110" s="30"/>
      <c r="AI110" s="30"/>
      <c r="AJ110" s="30"/>
      <c r="AK110" s="30"/>
      <c r="AL110" s="13"/>
      <c r="AM110" s="13"/>
      <c r="AN110" s="13"/>
      <c r="AO110" s="13"/>
      <c r="AP110" s="13"/>
      <c r="AQ110" s="14"/>
      <c r="AR110" s="15"/>
    </row>
    <row r="111" spans="1:44" s="17" customFormat="1" ht="30.95" hidden="1" customHeight="1" x14ac:dyDescent="0.2">
      <c r="A111" s="37" t="s">
        <v>861</v>
      </c>
      <c r="B111" s="38" t="s">
        <v>862</v>
      </c>
      <c r="C111" s="45"/>
      <c r="D111" s="31"/>
      <c r="E111" s="31"/>
      <c r="F111" s="268" t="str">
        <f>IF(D111="","",VLOOKUP(D111,契約台帳!$A$3:$K$4986,6,FALSE)&amp;VLOOKUP(D111,契約台帳!$A$3:$K$4986,7,FALSE)&amp;VLOOKUP(D111,契約台帳!$A$3:$K$4986,8,FALSE)&amp;VLOOKUP(D111,契約台帳!$A$3:$K$4986,9,FALSE)&amp;VLOOKUP(D111,契約台帳!$A$3:$K$4986,11,FALSE))</f>
        <v/>
      </c>
      <c r="G111" s="269" t="str">
        <f>IF(D111="","",VLOOKUP(F111,製品マスタ!$G$5:$H$5002,2,FALSE))</f>
        <v/>
      </c>
      <c r="H111" s="269" t="str">
        <f>IF(D111="","",VLOOKUP(F111,製品マスタ!$G$5:$K$5002,5,FALSE))</f>
        <v/>
      </c>
      <c r="I111" s="270" t="str">
        <f>IF(D111="","",VLOOKUP(F111,製品マスタ!$G$5:$L$5002,6,FALSE))</f>
        <v/>
      </c>
      <c r="J111" s="32"/>
      <c r="K111" s="270" t="str">
        <f>IF(D111="","",VLOOKUP(D111,契約台帳!$A$3:$L$4986,12,FALSE))</f>
        <v/>
      </c>
      <c r="L111" s="270" t="str">
        <f>IF(D111="","",INDEX(製品マスタ!$Q$5:$Q$5002,MATCH(F111&amp;K111,製品マスタ!$AO$5:$AO$5002,0)))</f>
        <v/>
      </c>
      <c r="M111" s="39"/>
      <c r="N111" s="39"/>
      <c r="O111" s="47"/>
      <c r="P111" s="57"/>
      <c r="Q111" s="276" t="str">
        <f>IF(D111="","",IF(J111="リード付け",M111,VLOOKUP(D111,契約台帳!$A$3:$N$4986,14,FALSE)))</f>
        <v/>
      </c>
      <c r="R111" s="277" t="str">
        <f>IF(D111="","",IF(J111="リード付け",M111,VLOOKUP(D111,契約台帳!$A$3:$O$4986,15,FALSE)))</f>
        <v/>
      </c>
      <c r="S111" s="277" t="str">
        <f>IF(D111="","",IF(J111="リード付け",N111,VLOOKUP(D111,契約台帳!$A$3:$P$4986,16,FALSE)))</f>
        <v/>
      </c>
      <c r="T111" s="40"/>
      <c r="U111" s="278" t="str">
        <f ca="1">IF(D111="","",IF(OFFSET(D111,-2,0)=D111,"",VLOOKUP(D111,契約台帳!$A$3:$R$4986,18,FALSE)))</f>
        <v/>
      </c>
      <c r="V111" s="269" t="str">
        <f>IF(J111="巻返し",VLOOKUP(F111&amp;K111&amp;M111,製品マスタ!$M$5:$AD$5002,18,FALSE),IF(J111="リード付け","原反コア",IF(J111="スリット",VLOOKUP(F111&amp;K111&amp;Q111,製品マスタ!$N$5:$AD$5002,17,FALSE),"")))</f>
        <v/>
      </c>
      <c r="W111" s="269" t="str">
        <f>IF(J111="巻返し",VLOOKUP(F111&amp;K111&amp;M111,製品マスタ!$M$5:$AE$5002,19,FALSE),IF(J111="リード付け","-",IF(J111="スリット",VLOOKUP(F111&amp;K111&amp;Q111,製品マスタ!$N$5:$AE$5002,18,FALSE),"")))</f>
        <v/>
      </c>
      <c r="X111" s="275" t="str">
        <f>IF(D111="","",VLOOKUP(D111,契約台帳!$A$3:$Q$4986,17,FALSE))</f>
        <v/>
      </c>
      <c r="Y111" s="269" t="str">
        <f>IF(D111="","",VLOOKUP(D111,契約台帳!$A$3:$E$4986,5,FALSE))</f>
        <v/>
      </c>
      <c r="Z111" s="57"/>
      <c r="AA111" s="207" t="str">
        <f>IFERROR(VLOOKUP(F111&amp;K111&amp;M111,製品マスタ!$M$5:$AM$5002,27,FALSE),"")</f>
        <v/>
      </c>
      <c r="AB111" s="33"/>
      <c r="AC111" s="189"/>
      <c r="AD111" s="54"/>
      <c r="AE111" s="55"/>
      <c r="AF111" s="43"/>
      <c r="AG111" s="47"/>
      <c r="AH111" s="30"/>
      <c r="AI111" s="30"/>
      <c r="AJ111" s="30"/>
      <c r="AK111" s="30"/>
      <c r="AL111" s="13"/>
      <c r="AM111" s="13"/>
      <c r="AN111" s="13"/>
      <c r="AO111" s="13"/>
      <c r="AP111" s="13"/>
      <c r="AQ111" s="14"/>
      <c r="AR111" s="15"/>
    </row>
    <row r="112" spans="1:44" s="17" customFormat="1" ht="30.95" hidden="1" customHeight="1" x14ac:dyDescent="0.2">
      <c r="A112" s="37"/>
      <c r="B112" s="38"/>
      <c r="C112" s="45"/>
      <c r="D112" s="31"/>
      <c r="E112" s="31"/>
      <c r="F112" s="268" t="str">
        <f>IF(D112="","",VLOOKUP(D112,契約台帳!$A$3:$K$4986,6,FALSE)&amp;VLOOKUP(D112,契約台帳!$A$3:$K$4986,7,FALSE)&amp;VLOOKUP(D112,契約台帳!$A$3:$K$4986,8,FALSE)&amp;VLOOKUP(D112,契約台帳!$A$3:$K$4986,9,FALSE)&amp;VLOOKUP(D112,契約台帳!$A$3:$K$4986,11,FALSE))</f>
        <v/>
      </c>
      <c r="G112" s="269" t="str">
        <f>IF(D112="","",VLOOKUP(F112,製品マスタ!$G$5:$H$5002,2,FALSE))</f>
        <v/>
      </c>
      <c r="H112" s="269" t="str">
        <f>IF(D112="","",VLOOKUP(F112,製品マスタ!$G$5:$K$5002,5,FALSE))</f>
        <v/>
      </c>
      <c r="I112" s="270" t="str">
        <f>IF(D112="","",VLOOKUP(F112,製品マスタ!$G$5:$L$5002,6,FALSE))</f>
        <v/>
      </c>
      <c r="J112" s="32"/>
      <c r="K112" s="270" t="str">
        <f>IF(D112="","",VLOOKUP(D112,契約台帳!$A$3:$L$4986,12,FALSE))</f>
        <v/>
      </c>
      <c r="L112" s="270" t="str">
        <f>IF(D112="","",INDEX(製品マスタ!$Q$5:$Q$5002,MATCH(F112&amp;K112,製品マスタ!$AO$5:$AO$5002,0)))</f>
        <v/>
      </c>
      <c r="M112" s="39"/>
      <c r="N112" s="39"/>
      <c r="O112" s="47"/>
      <c r="P112" s="57"/>
      <c r="Q112" s="276" t="str">
        <f>IF(D112="","",IF(J112="リード付け",M112,VLOOKUP(D112,契約台帳!$A$3:$N$4986,14,FALSE)))</f>
        <v/>
      </c>
      <c r="R112" s="277" t="str">
        <f>IF(D112="","",IF(J112="リード付け",M112,VLOOKUP(D112,契約台帳!$A$3:$O$4986,15,FALSE)))</f>
        <v/>
      </c>
      <c r="S112" s="277" t="str">
        <f>IF(D112="","",IF(J112="リード付け",N112,VLOOKUP(D112,契約台帳!$A$3:$P$4986,16,FALSE)))</f>
        <v/>
      </c>
      <c r="T112" s="40"/>
      <c r="U112" s="278" t="str">
        <f ca="1">IF(D112="","",IF(OFFSET(D112,-2,0)=D112,"",VLOOKUP(D112,契約台帳!$A$3:$R$4986,18,FALSE)))</f>
        <v/>
      </c>
      <c r="V112" s="269" t="str">
        <f>IF(J112="巻返し",VLOOKUP(F112&amp;K112&amp;M112,製品マスタ!$M$5:$AD$5002,18,FALSE),IF(J112="リード付け","原反コア",IF(J112="スリット",VLOOKUP(F112&amp;K112&amp;Q112,製品マスタ!$N$5:$AD$5002,17,FALSE),"")))</f>
        <v/>
      </c>
      <c r="W112" s="269" t="str">
        <f>IF(J112="巻返し",VLOOKUP(F112&amp;K112&amp;M112,製品マスタ!$M$5:$AE$5002,19,FALSE),IF(J112="リード付け","-",IF(J112="スリット",VLOOKUP(F112&amp;K112&amp;Q112,製品マスタ!$N$5:$AE$5002,18,FALSE),"")))</f>
        <v/>
      </c>
      <c r="X112" s="275" t="str">
        <f>IF(D112="","",VLOOKUP(D112,契約台帳!$A$3:$Q$4986,17,FALSE))</f>
        <v/>
      </c>
      <c r="Y112" s="269" t="str">
        <f>IF(D112="","",VLOOKUP(D112,契約台帳!$A$3:$E$4986,5,FALSE))</f>
        <v/>
      </c>
      <c r="Z112" s="57"/>
      <c r="AA112" s="207" t="str">
        <f>IFERROR(VLOOKUP(F112&amp;K112&amp;M112,製品マスタ!$M$5:$AM$5002,27,FALSE),"")</f>
        <v/>
      </c>
      <c r="AB112" s="33"/>
      <c r="AC112" s="189"/>
      <c r="AD112" s="54"/>
      <c r="AE112" s="55"/>
      <c r="AF112" s="43"/>
      <c r="AG112" s="47"/>
      <c r="AH112" s="30"/>
      <c r="AI112" s="30"/>
      <c r="AJ112" s="30"/>
      <c r="AK112" s="30"/>
      <c r="AL112" s="13"/>
      <c r="AM112" s="13"/>
      <c r="AN112" s="13"/>
      <c r="AO112" s="13"/>
      <c r="AP112" s="13"/>
      <c r="AQ112" s="14"/>
      <c r="AR112" s="15"/>
    </row>
    <row r="113" spans="1:44" s="17" customFormat="1" ht="30.95" hidden="1" customHeight="1" x14ac:dyDescent="0.2">
      <c r="A113" s="37" t="s">
        <v>863</v>
      </c>
      <c r="B113" s="38" t="s">
        <v>864</v>
      </c>
      <c r="C113" s="45"/>
      <c r="D113" s="31">
        <v>3698026</v>
      </c>
      <c r="E113" s="31">
        <v>4170100</v>
      </c>
      <c r="F113" s="268" t="str">
        <f>IF(D113="","",VLOOKUP(D113,契約台帳!$A$3:$K$4986,6,FALSE)&amp;VLOOKUP(D113,契約台帳!$A$3:$K$4986,7,FALSE)&amp;VLOOKUP(D113,契約台帳!$A$3:$K$4986,8,FALSE)&amp;VLOOKUP(D113,契約台帳!$A$3:$K$4986,9,FALSE)&amp;VLOOKUP(D113,契約台帳!$A$3:$K$4986,11,FALSE))</f>
        <v>3SNMLBMNQR66F</v>
      </c>
      <c r="G113" s="269" t="str">
        <f>IF(D113="","",VLOOKUP(F113,製品マスタ!$G$5:$H$5002,2,FALSE))</f>
        <v>S</v>
      </c>
      <c r="H113" s="269" t="str">
        <f>IF(D113="","",VLOOKUP(F113,製品マスタ!$G$5:$K$5002,5,FALSE))</f>
        <v>MNQR66F</v>
      </c>
      <c r="I113" s="270" t="str">
        <f>IF(D113="","",VLOOKUP(F113,製品マスタ!$G$5:$L$5002,6,FALSE))</f>
        <v>ＱＲ６６蒸着品</v>
      </c>
      <c r="J113" s="32" t="s">
        <v>464</v>
      </c>
      <c r="K113" s="270">
        <f>IF(D113="","",VLOOKUP(D113,契約台帳!$A$3:$L$4986,12,FALSE))</f>
        <v>25</v>
      </c>
      <c r="L113" s="270" t="str">
        <f>IF(D113="","",INDEX(製品マスタ!$Q$5:$Q$5002,MATCH(F113&amp;K113,製品マスタ!$AO$5:$AO$5002,0)))</f>
        <v>E315</v>
      </c>
      <c r="M113" s="39">
        <v>1100</v>
      </c>
      <c r="N113" s="39">
        <v>6000</v>
      </c>
      <c r="O113" s="47">
        <v>7</v>
      </c>
      <c r="P113" s="299" t="s">
        <v>865</v>
      </c>
      <c r="Q113" s="276">
        <f>IF(D113="","",IF(J113="リード付け",M113,VLOOKUP(D113,契約台帳!$A$3:$N$4986,14,FALSE)))</f>
        <v>1100</v>
      </c>
      <c r="R113" s="277">
        <f>IF(D113="","",IF(J113="リード付け",M113,VLOOKUP(D113,契約台帳!$A$3:$O$4986,15,FALSE)))</f>
        <v>1100</v>
      </c>
      <c r="S113" s="277">
        <f>IF(D113="","",IF(J113="リード付け",N113,VLOOKUP(D113,契約台帳!$A$3:$P$4986,16,FALSE)))</f>
        <v>6000</v>
      </c>
      <c r="T113" s="40">
        <v>7</v>
      </c>
      <c r="U113" s="278">
        <f ca="1">IF(D113="","",IF(OFFSET(D113,-2,0)=D113,"",VLOOKUP(D113,契約台帳!$A$3:$R$4986,18,FALSE)))</f>
        <v>7</v>
      </c>
      <c r="V113" s="269" t="str">
        <f>IF(J113="巻返し",VLOOKUP(F113&amp;K113&amp;M113,製品マスタ!$M$5:$AD$5002,18,FALSE),IF(J113="リード付け","原反コア",IF(J113="スリット",VLOOKUP(F113&amp;K113&amp;Q113,製品マスタ!$N$5:$AD$5002,17,FALSE),"")))</f>
        <v>原反コア</v>
      </c>
      <c r="W113" s="269" t="str">
        <f>IF(J113="巻返し",VLOOKUP(F113&amp;K113&amp;M113,製品マスタ!$M$5:$AE$5002,19,FALSE),IF(J113="リード付け","-",IF(J113="スリット",VLOOKUP(F113&amp;K113&amp;Q113,製品マスタ!$N$5:$AE$5002,18,FALSE),"")))</f>
        <v>-</v>
      </c>
      <c r="X113" s="275">
        <f>IF(D113="","",VLOOKUP(D113,契約台帳!$A$3:$Q$4986,17,FALSE))</f>
        <v>2</v>
      </c>
      <c r="Y113" s="269" t="str">
        <f>IF(D113="","",VLOOKUP(D113,契約台帳!$A$3:$E$4986,5,FALSE))</f>
        <v>リンテック㈱</v>
      </c>
      <c r="Z113" s="57"/>
      <c r="AA113" s="207" t="str">
        <f>IFERROR(VLOOKUP(F113&amp;K113&amp;M113,製品マスタ!$M$5:$AM$5002,27,FALSE),"")</f>
        <v>原反ケース再利用</v>
      </c>
      <c r="AB113" s="33"/>
      <c r="AC113" s="189"/>
      <c r="AD113" s="54"/>
      <c r="AE113" s="55"/>
      <c r="AF113" s="43"/>
      <c r="AG113" s="47"/>
      <c r="AH113" s="30"/>
      <c r="AI113" s="30"/>
      <c r="AJ113" s="30"/>
      <c r="AK113" s="30"/>
      <c r="AL113" s="13"/>
      <c r="AM113" s="13"/>
      <c r="AN113" s="13"/>
      <c r="AO113" s="13"/>
      <c r="AP113" s="13"/>
      <c r="AQ113" s="14"/>
      <c r="AR113" s="15"/>
    </row>
    <row r="114" spans="1:44" s="17" customFormat="1" ht="30.95" hidden="1" customHeight="1" x14ac:dyDescent="0.2">
      <c r="A114" s="37"/>
      <c r="B114" s="38"/>
      <c r="C114" s="45"/>
      <c r="D114" s="31"/>
      <c r="E114" s="31"/>
      <c r="F114" s="268" t="str">
        <f>IF(D114="","",VLOOKUP(D114,契約台帳!$A$3:$K$4986,6,FALSE)&amp;VLOOKUP(D114,契約台帳!$A$3:$K$4986,7,FALSE)&amp;VLOOKUP(D114,契約台帳!$A$3:$K$4986,8,FALSE)&amp;VLOOKUP(D114,契約台帳!$A$3:$K$4986,9,FALSE)&amp;VLOOKUP(D114,契約台帳!$A$3:$K$4986,11,FALSE))</f>
        <v/>
      </c>
      <c r="G114" s="269" t="str">
        <f>IF(D114="","",VLOOKUP(F114,製品マスタ!$G$5:$H$5002,2,FALSE))</f>
        <v/>
      </c>
      <c r="H114" s="269" t="str">
        <f>IF(D114="","",VLOOKUP(F114,製品マスタ!$G$5:$K$5002,5,FALSE))</f>
        <v/>
      </c>
      <c r="I114" s="270" t="str">
        <f>IF(D114="","",VLOOKUP(F114,製品マスタ!$G$5:$L$5002,6,FALSE))</f>
        <v/>
      </c>
      <c r="J114" s="32"/>
      <c r="K114" s="270" t="str">
        <f>IF(D114="","",VLOOKUP(D114,契約台帳!$A$3:$L$4986,12,FALSE))</f>
        <v/>
      </c>
      <c r="L114" s="270" t="str">
        <f>IF(D114="","",INDEX(製品マスタ!$Q$5:$Q$5002,MATCH(F114&amp;K114,製品マスタ!$AO$5:$AO$5002,0)))</f>
        <v/>
      </c>
      <c r="M114" s="39"/>
      <c r="N114" s="39"/>
      <c r="O114" s="47"/>
      <c r="P114" s="57"/>
      <c r="Q114" s="276" t="str">
        <f>IF(D114="","",IF(J114="リード付け",M114,VLOOKUP(D114,契約台帳!$A$3:$N$4986,14,FALSE)))</f>
        <v/>
      </c>
      <c r="R114" s="277" t="str">
        <f>IF(D114="","",IF(J114="リード付け",M114,VLOOKUP(D114,契約台帳!$A$3:$O$4986,15,FALSE)))</f>
        <v/>
      </c>
      <c r="S114" s="277" t="str">
        <f>IF(D114="","",IF(J114="リード付け",N114,VLOOKUP(D114,契約台帳!$A$3:$P$4986,16,FALSE)))</f>
        <v/>
      </c>
      <c r="T114" s="40"/>
      <c r="U114" s="278" t="str">
        <f ca="1">IF(D114="","",IF(OFFSET(D114,-2,0)=D114,"",VLOOKUP(D114,契約台帳!$A$3:$R$4986,18,FALSE)))</f>
        <v/>
      </c>
      <c r="V114" s="269" t="str">
        <f>IF(J114="巻返し",VLOOKUP(F114&amp;K114&amp;M114,製品マスタ!$M$5:$AD$5002,18,FALSE),IF(J114="リード付け","原反コア",IF(J114="スリット",VLOOKUP(F114&amp;K114&amp;Q114,製品マスタ!$N$5:$AD$5002,17,FALSE),"")))</f>
        <v/>
      </c>
      <c r="W114" s="269" t="str">
        <f>IF(J114="巻返し",VLOOKUP(F114&amp;K114&amp;M114,製品マスタ!$M$5:$AE$5002,19,FALSE),IF(J114="リード付け","-",IF(J114="スリット",VLOOKUP(F114&amp;K114&amp;Q114,製品マスタ!$N$5:$AE$5002,18,FALSE),"")))</f>
        <v/>
      </c>
      <c r="X114" s="275" t="str">
        <f>IF(D114="","",VLOOKUP(D114,契約台帳!$A$3:$Q$4986,17,FALSE))</f>
        <v/>
      </c>
      <c r="Y114" s="269" t="str">
        <f>IF(D114="","",VLOOKUP(D114,契約台帳!$A$3:$E$4986,5,FALSE))</f>
        <v/>
      </c>
      <c r="Z114" s="57"/>
      <c r="AA114" s="207" t="str">
        <f>IFERROR(VLOOKUP(F114&amp;K114&amp;M114,製品マスタ!$M$5:$AM$5002,27,FALSE),"")</f>
        <v/>
      </c>
      <c r="AB114" s="33"/>
      <c r="AC114" s="189"/>
      <c r="AD114" s="54"/>
      <c r="AE114" s="55"/>
      <c r="AF114" s="43"/>
      <c r="AG114" s="47"/>
      <c r="AH114" s="30"/>
      <c r="AI114" s="30"/>
      <c r="AJ114" s="30"/>
      <c r="AK114" s="30"/>
      <c r="AL114" s="13"/>
      <c r="AM114" s="13"/>
      <c r="AN114" s="13"/>
      <c r="AO114" s="13"/>
      <c r="AP114" s="13"/>
      <c r="AQ114" s="14"/>
      <c r="AR114" s="15"/>
    </row>
    <row r="115" spans="1:44" s="17" customFormat="1" ht="30.95" hidden="1" customHeight="1" x14ac:dyDescent="0.2">
      <c r="A115" s="37" t="s">
        <v>874</v>
      </c>
      <c r="B115" s="38" t="s">
        <v>875</v>
      </c>
      <c r="C115" s="45"/>
      <c r="D115" s="31"/>
      <c r="E115" s="31"/>
      <c r="F115" s="268" t="str">
        <f>IF(D115="","",VLOOKUP(D115,契約台帳!$A$3:$K$4986,6,FALSE)&amp;VLOOKUP(D115,契約台帳!$A$3:$K$4986,7,FALSE)&amp;VLOOKUP(D115,契約台帳!$A$3:$K$4986,8,FALSE)&amp;VLOOKUP(D115,契約台帳!$A$3:$K$4986,9,FALSE)&amp;VLOOKUP(D115,契約台帳!$A$3:$K$4986,11,FALSE))</f>
        <v/>
      </c>
      <c r="G115" s="269" t="str">
        <f>IF(D115="","",VLOOKUP(F115,製品マスタ!$G$5:$H$5002,2,FALSE))</f>
        <v/>
      </c>
      <c r="H115" s="269" t="str">
        <f>IF(D115="","",VLOOKUP(F115,製品マスタ!$G$5:$K$5002,5,FALSE))</f>
        <v/>
      </c>
      <c r="I115" s="270" t="str">
        <f>IF(D115="","",VLOOKUP(F115,製品マスタ!$G$5:$L$5002,6,FALSE))</f>
        <v/>
      </c>
      <c r="J115" s="32"/>
      <c r="K115" s="270" t="str">
        <f>IF(D115="","",VLOOKUP(D115,契約台帳!$A$3:$L$4986,12,FALSE))</f>
        <v/>
      </c>
      <c r="L115" s="270" t="str">
        <f>IF(D115="","",INDEX(製品マスタ!$Q$5:$Q$5002,MATCH(F115&amp;K115,製品マスタ!$AO$5:$AO$5002,0)))</f>
        <v/>
      </c>
      <c r="M115" s="39"/>
      <c r="N115" s="39"/>
      <c r="O115" s="47"/>
      <c r="P115" s="57"/>
      <c r="Q115" s="276" t="str">
        <f>IF(D115="","",IF(J115="リード付け",M115,VLOOKUP(D115,契約台帳!$A$3:$N$4986,14,FALSE)))</f>
        <v/>
      </c>
      <c r="R115" s="277" t="str">
        <f>IF(D115="","",IF(J115="リード付け",M115,VLOOKUP(D115,契約台帳!$A$3:$O$4986,15,FALSE)))</f>
        <v/>
      </c>
      <c r="S115" s="277" t="str">
        <f>IF(D115="","",IF(J115="リード付け",N115,VLOOKUP(D115,契約台帳!$A$3:$P$4986,16,FALSE)))</f>
        <v/>
      </c>
      <c r="T115" s="40"/>
      <c r="U115" s="278" t="str">
        <f ca="1">IF(D115="","",IF(OFFSET(D115,-2,0)=D115,"",VLOOKUP(D115,契約台帳!$A$3:$R$4986,18,FALSE)))</f>
        <v/>
      </c>
      <c r="V115" s="269" t="str">
        <f>IF(J115="巻返し",VLOOKUP(F115&amp;K115&amp;M115,製品マスタ!$M$5:$AD$5002,18,FALSE),IF(J115="リード付け","原反コア",IF(J115="スリット",VLOOKUP(F115&amp;K115&amp;Q115,製品マスタ!$N$5:$AD$5002,17,FALSE),"")))</f>
        <v/>
      </c>
      <c r="W115" s="269" t="str">
        <f>IF(J115="巻返し",VLOOKUP(F115&amp;K115&amp;M115,製品マスタ!$M$5:$AE$5002,19,FALSE),IF(J115="リード付け","-",IF(J115="スリット",VLOOKUP(F115&amp;K115&amp;Q115,製品マスタ!$N$5:$AE$5002,18,FALSE),"")))</f>
        <v/>
      </c>
      <c r="X115" s="275" t="str">
        <f>IF(D115="","",VLOOKUP(D115,契約台帳!$A$3:$Q$4986,17,FALSE))</f>
        <v/>
      </c>
      <c r="Y115" s="269" t="str">
        <f>IF(D115="","",VLOOKUP(D115,契約台帳!$A$3:$E$4986,5,FALSE))</f>
        <v/>
      </c>
      <c r="Z115" s="57"/>
      <c r="AA115" s="207" t="str">
        <f>IFERROR(VLOOKUP(F115&amp;K115&amp;M115,製品マスタ!$M$5:$AM$5002,27,FALSE),"")</f>
        <v/>
      </c>
      <c r="AB115" s="33"/>
      <c r="AC115" s="189"/>
      <c r="AD115" s="54"/>
      <c r="AE115" s="55"/>
      <c r="AF115" s="43"/>
      <c r="AG115" s="47"/>
      <c r="AH115" s="30"/>
      <c r="AI115" s="30"/>
      <c r="AJ115" s="30"/>
      <c r="AK115" s="30"/>
      <c r="AL115" s="13"/>
      <c r="AM115" s="13"/>
      <c r="AN115" s="13"/>
      <c r="AO115" s="13"/>
      <c r="AP115" s="13"/>
      <c r="AQ115" s="14"/>
      <c r="AR115" s="15"/>
    </row>
    <row r="116" spans="1:44" s="17" customFormat="1" ht="30.95" hidden="1" customHeight="1" x14ac:dyDescent="0.2">
      <c r="A116" s="37"/>
      <c r="B116" s="38"/>
      <c r="C116" s="45"/>
      <c r="D116" s="31"/>
      <c r="E116" s="31"/>
      <c r="F116" s="268" t="str">
        <f>IF(D116="","",VLOOKUP(D116,契約台帳!$A$3:$K$4986,6,FALSE)&amp;VLOOKUP(D116,契約台帳!$A$3:$K$4986,7,FALSE)&amp;VLOOKUP(D116,契約台帳!$A$3:$K$4986,8,FALSE)&amp;VLOOKUP(D116,契約台帳!$A$3:$K$4986,9,FALSE)&amp;VLOOKUP(D116,契約台帳!$A$3:$K$4986,11,FALSE))</f>
        <v/>
      </c>
      <c r="G116" s="269" t="str">
        <f>IF(D116="","",VLOOKUP(F116,製品マスタ!$G$5:$H$5002,2,FALSE))</f>
        <v/>
      </c>
      <c r="H116" s="269" t="str">
        <f>IF(D116="","",VLOOKUP(F116,製品マスタ!$G$5:$K$5002,5,FALSE))</f>
        <v/>
      </c>
      <c r="I116" s="270" t="str">
        <f>IF(D116="","",VLOOKUP(F116,製品マスタ!$G$5:$L$5002,6,FALSE))</f>
        <v/>
      </c>
      <c r="J116" s="32"/>
      <c r="K116" s="270" t="str">
        <f>IF(D116="","",VLOOKUP(D116,契約台帳!$A$3:$L$4986,12,FALSE))</f>
        <v/>
      </c>
      <c r="L116" s="270" t="str">
        <f>IF(D116="","",INDEX(製品マスタ!$Q$5:$Q$5002,MATCH(F116&amp;K116,製品マスタ!$AO$5:$AO$5002,0)))</f>
        <v/>
      </c>
      <c r="M116" s="39"/>
      <c r="N116" s="39"/>
      <c r="O116" s="47"/>
      <c r="P116" s="57"/>
      <c r="Q116" s="276" t="str">
        <f>IF(D116="","",IF(J116="リード付け",M116,VLOOKUP(D116,契約台帳!$A$3:$N$4986,14,FALSE)))</f>
        <v/>
      </c>
      <c r="R116" s="277" t="str">
        <f>IF(D116="","",IF(J116="リード付け",M116,VLOOKUP(D116,契約台帳!$A$3:$O$4986,15,FALSE)))</f>
        <v/>
      </c>
      <c r="S116" s="277" t="str">
        <f>IF(D116="","",IF(J116="リード付け",N116,VLOOKUP(D116,契約台帳!$A$3:$P$4986,16,FALSE)))</f>
        <v/>
      </c>
      <c r="T116" s="40"/>
      <c r="U116" s="278" t="str">
        <f ca="1">IF(D116="","",IF(OFFSET(D116,-2,0)=D116,"",VLOOKUP(D116,契約台帳!$A$3:$R$4986,18,FALSE)))</f>
        <v/>
      </c>
      <c r="V116" s="269" t="str">
        <f>IF(J116="巻返し",VLOOKUP(F116&amp;K116&amp;M116,製品マスタ!$M$5:$AD$5002,18,FALSE),IF(J116="リード付け","原反コア",IF(J116="スリット",VLOOKUP(F116&amp;K116&amp;Q116,製品マスタ!$N$5:$AD$5002,17,FALSE),"")))</f>
        <v/>
      </c>
      <c r="W116" s="269" t="str">
        <f>IF(J116="巻返し",VLOOKUP(F116&amp;K116&amp;M116,製品マスタ!$M$5:$AE$5002,19,FALSE),IF(J116="リード付け","-",IF(J116="スリット",VLOOKUP(F116&amp;K116&amp;Q116,製品マスタ!$N$5:$AE$5002,18,FALSE),"")))</f>
        <v/>
      </c>
      <c r="X116" s="275" t="str">
        <f>IF(D116="","",VLOOKUP(D116,契約台帳!$A$3:$Q$4986,17,FALSE))</f>
        <v/>
      </c>
      <c r="Y116" s="269" t="str">
        <f>IF(D116="","",VLOOKUP(D116,契約台帳!$A$3:$E$4986,5,FALSE))</f>
        <v/>
      </c>
      <c r="Z116" s="57"/>
      <c r="AA116" s="207" t="str">
        <f>IFERROR(VLOOKUP(F116&amp;K116&amp;M116,製品マスタ!$M$5:$AM$5002,27,FALSE),"")</f>
        <v/>
      </c>
      <c r="AB116" s="33"/>
      <c r="AC116" s="189"/>
      <c r="AD116" s="54"/>
      <c r="AE116" s="55"/>
      <c r="AF116" s="43"/>
      <c r="AG116" s="47"/>
      <c r="AH116" s="30"/>
      <c r="AI116" s="30"/>
      <c r="AJ116" s="30"/>
      <c r="AK116" s="30"/>
      <c r="AL116" s="13"/>
      <c r="AM116" s="13"/>
      <c r="AN116" s="13"/>
      <c r="AO116" s="13"/>
      <c r="AP116" s="13"/>
      <c r="AQ116" s="14"/>
      <c r="AR116" s="15"/>
    </row>
    <row r="117" spans="1:44" s="17" customFormat="1" ht="30.95" hidden="1" customHeight="1" x14ac:dyDescent="0.2">
      <c r="A117" s="37" t="s">
        <v>876</v>
      </c>
      <c r="B117" s="38" t="s">
        <v>877</v>
      </c>
      <c r="C117" s="45"/>
      <c r="D117" s="31"/>
      <c r="E117" s="31"/>
      <c r="F117" s="268" t="str">
        <f>IF(D117="","",VLOOKUP(D117,契約台帳!$A$3:$K$4986,6,FALSE)&amp;VLOOKUP(D117,契約台帳!$A$3:$K$4986,7,FALSE)&amp;VLOOKUP(D117,契約台帳!$A$3:$K$4986,8,FALSE)&amp;VLOOKUP(D117,契約台帳!$A$3:$K$4986,9,FALSE)&amp;VLOOKUP(D117,契約台帳!$A$3:$K$4986,11,FALSE))</f>
        <v/>
      </c>
      <c r="G117" s="269" t="str">
        <f>IF(D117="","",VLOOKUP(F117,製品マスタ!$G$5:$H$5002,2,FALSE))</f>
        <v/>
      </c>
      <c r="H117" s="269" t="str">
        <f>IF(D117="","",VLOOKUP(F117,製品マスタ!$G$5:$K$5002,5,FALSE))</f>
        <v/>
      </c>
      <c r="I117" s="270" t="str">
        <f>IF(D117="","",VLOOKUP(F117,製品マスタ!$G$5:$L$5002,6,FALSE))</f>
        <v/>
      </c>
      <c r="J117" s="32" t="s">
        <v>448</v>
      </c>
      <c r="K117" s="270" t="str">
        <f>IF(D117="","",VLOOKUP(D117,契約台帳!$A$3:$L$4986,12,FALSE))</f>
        <v/>
      </c>
      <c r="L117" s="270" t="str">
        <f>IF(D117="","",INDEX(製品マスタ!$Q$5:$Q$5002,MATCH(F117&amp;K117,製品マスタ!$AO$5:$AO$5002,0)))</f>
        <v/>
      </c>
      <c r="M117" s="39"/>
      <c r="N117" s="39"/>
      <c r="O117" s="47"/>
      <c r="P117" s="57"/>
      <c r="Q117" s="276" t="str">
        <f>IF(D117="","",IF(J117="リード付け",M117,VLOOKUP(D117,契約台帳!$A$3:$N$4986,14,FALSE)))</f>
        <v/>
      </c>
      <c r="R117" s="277" t="str">
        <f>IF(D117="","",IF(J117="リード付け",M117,VLOOKUP(D117,契約台帳!$A$3:$O$4986,15,FALSE)))</f>
        <v/>
      </c>
      <c r="S117" s="277" t="str">
        <f>IF(D117="","",IF(J117="リード付け",N117,VLOOKUP(D117,契約台帳!$A$3:$P$4986,16,FALSE)))</f>
        <v/>
      </c>
      <c r="T117" s="40"/>
      <c r="U117" s="278" t="str">
        <f ca="1">IF(D117="","",IF(OFFSET(D117,-2,0)=D117,"",VLOOKUP(D117,契約台帳!$A$3:$R$4986,18,FALSE)))</f>
        <v/>
      </c>
      <c r="V117" s="269" t="str">
        <f>IF(J117="巻返し",VLOOKUP(F117&amp;K117&amp;M117,製品マスタ!$M$5:$AD$5002,18,FALSE),IF(J117="リード付け","原反コア",IF(J117="スリット",VLOOKUP(F117&amp;K117&amp;Q117,製品マスタ!$N$5:$AD$5002,17,FALSE),"")))</f>
        <v/>
      </c>
      <c r="W117" s="269" t="str">
        <f>IF(J117="巻返し",VLOOKUP(F117&amp;K117&amp;M117,製品マスタ!$M$5:$AE$5002,19,FALSE),IF(J117="リード付け","-",IF(J117="スリット",VLOOKUP(F117&amp;K117&amp;Q117,製品マスタ!$N$5:$AE$5002,18,FALSE),"")))</f>
        <v/>
      </c>
      <c r="X117" s="275" t="str">
        <f>IF(D117="","",VLOOKUP(D117,契約台帳!$A$3:$Q$4986,17,FALSE))</f>
        <v/>
      </c>
      <c r="Y117" s="269" t="str">
        <f>IF(D117="","",VLOOKUP(D117,契約台帳!$A$3:$E$4986,5,FALSE))</f>
        <v/>
      </c>
      <c r="Z117" s="57"/>
      <c r="AA117" s="207" t="str">
        <f>IFERROR(VLOOKUP(F117&amp;K117&amp;M117,製品マスタ!$M$5:$AM$5002,27,FALSE),"")</f>
        <v/>
      </c>
      <c r="AB117" s="33"/>
      <c r="AC117" s="189"/>
      <c r="AD117" s="54"/>
      <c r="AE117" s="55"/>
      <c r="AF117" s="43"/>
      <c r="AG117" s="47"/>
      <c r="AH117" s="30"/>
      <c r="AI117" s="30"/>
      <c r="AJ117" s="30"/>
      <c r="AK117" s="30"/>
      <c r="AL117" s="13"/>
      <c r="AM117" s="13"/>
      <c r="AN117" s="13"/>
      <c r="AO117" s="13"/>
      <c r="AP117" s="13"/>
      <c r="AQ117" s="14"/>
      <c r="AR117" s="15"/>
    </row>
    <row r="118" spans="1:44" s="17" customFormat="1" ht="30.95" hidden="1" customHeight="1" x14ac:dyDescent="0.2">
      <c r="A118" s="37"/>
      <c r="B118" s="38"/>
      <c r="C118" s="45"/>
      <c r="D118" s="31"/>
      <c r="E118" s="31"/>
      <c r="F118" s="268" t="str">
        <f>IF(D118="","",VLOOKUP(D118,契約台帳!$A$3:$K$4986,6,FALSE)&amp;VLOOKUP(D118,契約台帳!$A$3:$K$4986,7,FALSE)&amp;VLOOKUP(D118,契約台帳!$A$3:$K$4986,8,FALSE)&amp;VLOOKUP(D118,契約台帳!$A$3:$K$4986,9,FALSE)&amp;VLOOKUP(D118,契約台帳!$A$3:$K$4986,11,FALSE))</f>
        <v/>
      </c>
      <c r="G118" s="269" t="str">
        <f>IF(D118="","",VLOOKUP(F118,製品マスタ!$G$5:$H$5002,2,FALSE))</f>
        <v/>
      </c>
      <c r="H118" s="269" t="str">
        <f>IF(D118="","",VLOOKUP(F118,製品マスタ!$G$5:$K$5002,5,FALSE))</f>
        <v/>
      </c>
      <c r="I118" s="270" t="str">
        <f>IF(D118="","",VLOOKUP(F118,製品マスタ!$G$5:$L$5002,6,FALSE))</f>
        <v/>
      </c>
      <c r="J118" s="32"/>
      <c r="K118" s="270" t="str">
        <f>IF(D118="","",VLOOKUP(D118,契約台帳!$A$3:$L$4986,12,FALSE))</f>
        <v/>
      </c>
      <c r="L118" s="270" t="str">
        <f>IF(D118="","",INDEX(製品マスタ!$Q$5:$Q$5002,MATCH(F118&amp;K118,製品マスタ!$AO$5:$AO$5002,0)))</f>
        <v/>
      </c>
      <c r="M118" s="39"/>
      <c r="N118" s="39"/>
      <c r="O118" s="47"/>
      <c r="P118" s="57"/>
      <c r="Q118" s="276" t="str">
        <f>IF(D118="","",IF(J118="リード付け",M118,VLOOKUP(D118,契約台帳!$A$3:$N$4986,14,FALSE)))</f>
        <v/>
      </c>
      <c r="R118" s="277" t="str">
        <f>IF(D118="","",IF(J118="リード付け",M118,VLOOKUP(D118,契約台帳!$A$3:$O$4986,15,FALSE)))</f>
        <v/>
      </c>
      <c r="S118" s="277" t="str">
        <f>IF(D118="","",IF(J118="リード付け",N118,VLOOKUP(D118,契約台帳!$A$3:$P$4986,16,FALSE)))</f>
        <v/>
      </c>
      <c r="T118" s="40"/>
      <c r="U118" s="278" t="str">
        <f ca="1">IF(D118="","",IF(OFFSET(D118,-2,0)=D118,"",VLOOKUP(D118,契約台帳!$A$3:$R$4986,18,FALSE)))</f>
        <v/>
      </c>
      <c r="V118" s="269" t="str">
        <f>IF(J118="巻返し",VLOOKUP(F118&amp;K118&amp;M118,製品マスタ!$M$5:$AD$5002,18,FALSE),IF(J118="リード付け","原反コア",IF(J118="スリット",VLOOKUP(F118&amp;K118&amp;Q118,製品マスタ!$N$5:$AD$5002,17,FALSE),"")))</f>
        <v/>
      </c>
      <c r="W118" s="269" t="str">
        <f>IF(J118="巻返し",VLOOKUP(F118&amp;K118&amp;M118,製品マスタ!$M$5:$AE$5002,19,FALSE),IF(J118="リード付け","-",IF(J118="スリット",VLOOKUP(F118&amp;K118&amp;Q118,製品マスタ!$N$5:$AE$5002,18,FALSE),"")))</f>
        <v/>
      </c>
      <c r="X118" s="275" t="str">
        <f>IF(D118="","",VLOOKUP(D118,契約台帳!$A$3:$Q$4986,17,FALSE))</f>
        <v/>
      </c>
      <c r="Y118" s="269" t="str">
        <f>IF(D118="","",VLOOKUP(D118,契約台帳!$A$3:$E$4986,5,FALSE))</f>
        <v/>
      </c>
      <c r="Z118" s="57"/>
      <c r="AA118" s="207" t="str">
        <f>IFERROR(VLOOKUP(F118&amp;K118&amp;M118,製品マスタ!$M$5:$AM$5002,27,FALSE),"")</f>
        <v/>
      </c>
      <c r="AB118" s="33"/>
      <c r="AC118" s="189"/>
      <c r="AD118" s="54"/>
      <c r="AE118" s="55"/>
      <c r="AF118" s="43"/>
      <c r="AG118" s="47"/>
      <c r="AH118" s="30"/>
      <c r="AI118" s="30"/>
      <c r="AJ118" s="30"/>
      <c r="AK118" s="30"/>
      <c r="AL118" s="13"/>
      <c r="AM118" s="13"/>
      <c r="AN118" s="13"/>
      <c r="AO118" s="13"/>
      <c r="AP118" s="13"/>
      <c r="AQ118" s="14"/>
      <c r="AR118" s="15"/>
    </row>
    <row r="119" spans="1:44" s="17" customFormat="1" ht="30.95" hidden="1" customHeight="1" x14ac:dyDescent="0.2">
      <c r="A119" s="37" t="s">
        <v>878</v>
      </c>
      <c r="B119" s="38" t="s">
        <v>879</v>
      </c>
      <c r="C119" s="45"/>
      <c r="D119" s="31"/>
      <c r="E119" s="31"/>
      <c r="F119" s="268" t="str">
        <f>IF(D119="","",VLOOKUP(D119,契約台帳!$A$3:$K$4986,6,FALSE)&amp;VLOOKUP(D119,契約台帳!$A$3:$K$4986,7,FALSE)&amp;VLOOKUP(D119,契約台帳!$A$3:$K$4986,8,FALSE)&amp;VLOOKUP(D119,契約台帳!$A$3:$K$4986,9,FALSE)&amp;VLOOKUP(D119,契約台帳!$A$3:$K$4986,11,FALSE))</f>
        <v/>
      </c>
      <c r="G119" s="269" t="str">
        <f>IF(D119="","",VLOOKUP(F119,製品マスタ!$G$5:$H$5002,2,FALSE))</f>
        <v/>
      </c>
      <c r="H119" s="269" t="str">
        <f>IF(D119="","",VLOOKUP(F119,製品マスタ!$G$5:$K$5002,5,FALSE))</f>
        <v/>
      </c>
      <c r="I119" s="270" t="str">
        <f>IF(D119="","",VLOOKUP(F119,製品マスタ!$G$5:$L$5002,6,FALSE))</f>
        <v/>
      </c>
      <c r="J119" s="32" t="s">
        <v>448</v>
      </c>
      <c r="K119" s="270" t="str">
        <f>IF(D119="","",VLOOKUP(D119,契約台帳!$A$3:$L$4986,12,FALSE))</f>
        <v/>
      </c>
      <c r="L119" s="270" t="str">
        <f>IF(D119="","",INDEX(製品マスタ!$Q$5:$Q$5002,MATCH(F119&amp;K119,製品マスタ!$AO$5:$AO$5002,0)))</f>
        <v/>
      </c>
      <c r="M119" s="39"/>
      <c r="N119" s="39"/>
      <c r="O119" s="47"/>
      <c r="P119" s="57"/>
      <c r="Q119" s="276" t="str">
        <f>IF(D119="","",IF(J119="リード付け",M119,VLOOKUP(D119,契約台帳!$A$3:$N$4986,14,FALSE)))</f>
        <v/>
      </c>
      <c r="R119" s="277" t="str">
        <f>IF(D119="","",IF(J119="リード付け",M119,VLOOKUP(D119,契約台帳!$A$3:$O$4986,15,FALSE)))</f>
        <v/>
      </c>
      <c r="S119" s="277" t="str">
        <f>IF(D119="","",IF(J119="リード付け",N119,VLOOKUP(D119,契約台帳!$A$3:$P$4986,16,FALSE)))</f>
        <v/>
      </c>
      <c r="T119" s="40"/>
      <c r="U119" s="278" t="str">
        <f ca="1">IF(D119="","",IF(OFFSET(D119,-2,0)=D119,"",VLOOKUP(D119,契約台帳!$A$3:$R$4986,18,FALSE)))</f>
        <v/>
      </c>
      <c r="V119" s="269" t="str">
        <f>IF(J119="巻返し",VLOOKUP(F119&amp;K119&amp;M119,製品マスタ!$M$5:$AD$5002,18,FALSE),IF(J119="リード付け","原反コア",IF(J119="スリット",VLOOKUP(F119&amp;K119&amp;Q119,製品マスタ!$N$5:$AD$5002,17,FALSE),"")))</f>
        <v/>
      </c>
      <c r="W119" s="269" t="str">
        <f>IF(J119="巻返し",VLOOKUP(F119&amp;K119&amp;M119,製品マスタ!$M$5:$AE$5002,19,FALSE),IF(J119="リード付け","-",IF(J119="スリット",VLOOKUP(F119&amp;K119&amp;Q119,製品マスタ!$N$5:$AE$5002,18,FALSE),"")))</f>
        <v/>
      </c>
      <c r="X119" s="275" t="str">
        <f>IF(D119="","",VLOOKUP(D119,契約台帳!$A$3:$Q$4986,17,FALSE))</f>
        <v/>
      </c>
      <c r="Y119" s="269" t="str">
        <f>IF(D119="","",VLOOKUP(D119,契約台帳!$A$3:$E$4986,5,FALSE))</f>
        <v/>
      </c>
      <c r="Z119" s="57"/>
      <c r="AA119" s="207" t="str">
        <f>IFERROR(VLOOKUP(F119&amp;K119&amp;M119,製品マスタ!$M$5:$AM$5002,27,FALSE),"")</f>
        <v/>
      </c>
      <c r="AB119" s="33"/>
      <c r="AC119" s="189"/>
      <c r="AD119" s="54"/>
      <c r="AE119" s="55"/>
      <c r="AF119" s="43"/>
      <c r="AG119" s="47"/>
      <c r="AH119" s="30"/>
      <c r="AI119" s="30"/>
      <c r="AJ119" s="30"/>
      <c r="AK119" s="30"/>
      <c r="AL119" s="13"/>
      <c r="AM119" s="13"/>
      <c r="AN119" s="13"/>
      <c r="AO119" s="13"/>
      <c r="AP119" s="13"/>
      <c r="AQ119" s="14"/>
      <c r="AR119" s="15"/>
    </row>
    <row r="120" spans="1:44" s="17" customFormat="1" ht="30.95" hidden="1" customHeight="1" x14ac:dyDescent="0.2">
      <c r="A120" s="37"/>
      <c r="B120" s="38"/>
      <c r="C120" s="45"/>
      <c r="D120" s="31"/>
      <c r="E120" s="31"/>
      <c r="F120" s="268" t="str">
        <f>IF(D120="","",VLOOKUP(D120,契約台帳!$A$3:$K$4986,6,FALSE)&amp;VLOOKUP(D120,契約台帳!$A$3:$K$4986,7,FALSE)&amp;VLOOKUP(D120,契約台帳!$A$3:$K$4986,8,FALSE)&amp;VLOOKUP(D120,契約台帳!$A$3:$K$4986,9,FALSE)&amp;VLOOKUP(D120,契約台帳!$A$3:$K$4986,11,FALSE))</f>
        <v/>
      </c>
      <c r="G120" s="269" t="str">
        <f>IF(D120="","",VLOOKUP(F120,製品マスタ!$G$5:$H$5002,2,FALSE))</f>
        <v/>
      </c>
      <c r="H120" s="269" t="str">
        <f>IF(D120="","",VLOOKUP(F120,製品マスタ!$G$5:$K$5002,5,FALSE))</f>
        <v/>
      </c>
      <c r="I120" s="270" t="str">
        <f>IF(D120="","",VLOOKUP(F120,製品マスタ!$G$5:$L$5002,6,FALSE))</f>
        <v/>
      </c>
      <c r="J120" s="32"/>
      <c r="K120" s="270" t="str">
        <f>IF(D120="","",VLOOKUP(D120,契約台帳!$A$3:$L$4986,12,FALSE))</f>
        <v/>
      </c>
      <c r="L120" s="270" t="str">
        <f>IF(D120="","",INDEX(製品マスタ!$Q$5:$Q$5002,MATCH(F120&amp;K120,製品マスタ!$AO$5:$AO$5002,0)))</f>
        <v/>
      </c>
      <c r="M120" s="39"/>
      <c r="N120" s="39"/>
      <c r="O120" s="47"/>
      <c r="P120" s="57"/>
      <c r="Q120" s="276" t="str">
        <f>IF(D120="","",IF(J120="リード付け",M120,VLOOKUP(D120,契約台帳!$A$3:$N$4986,14,FALSE)))</f>
        <v/>
      </c>
      <c r="R120" s="277" t="str">
        <f>IF(D120="","",IF(J120="リード付け",M120,VLOOKUP(D120,契約台帳!$A$3:$O$4986,15,FALSE)))</f>
        <v/>
      </c>
      <c r="S120" s="277" t="str">
        <f>IF(D120="","",IF(J120="リード付け",N120,VLOOKUP(D120,契約台帳!$A$3:$P$4986,16,FALSE)))</f>
        <v/>
      </c>
      <c r="T120" s="40"/>
      <c r="U120" s="278" t="str">
        <f ca="1">IF(D120="","",IF(OFFSET(D120,-2,0)=D120,"",VLOOKUP(D120,契約台帳!$A$3:$R$4986,18,FALSE)))</f>
        <v/>
      </c>
      <c r="V120" s="269" t="str">
        <f>IF(J120="巻返し",VLOOKUP(F120&amp;K120&amp;M120,製品マスタ!$M$5:$AD$5002,18,FALSE),IF(J120="リード付け","原反コア",IF(J120="スリット",VLOOKUP(F120&amp;K120&amp;Q120,製品マスタ!$N$5:$AD$5002,17,FALSE),"")))</f>
        <v/>
      </c>
      <c r="W120" s="269" t="str">
        <f>IF(J120="巻返し",VLOOKUP(F120&amp;K120&amp;M120,製品マスタ!$M$5:$AE$5002,19,FALSE),IF(J120="リード付け","-",IF(J120="スリット",VLOOKUP(F120&amp;K120&amp;Q120,製品マスタ!$N$5:$AE$5002,18,FALSE),"")))</f>
        <v/>
      </c>
      <c r="X120" s="275" t="str">
        <f>IF(D120="","",VLOOKUP(D120,契約台帳!$A$3:$Q$4986,17,FALSE))</f>
        <v/>
      </c>
      <c r="Y120" s="269" t="str">
        <f>IF(D120="","",VLOOKUP(D120,契約台帳!$A$3:$E$4986,5,FALSE))</f>
        <v/>
      </c>
      <c r="Z120" s="57"/>
      <c r="AA120" s="207" t="str">
        <f>IFERROR(VLOOKUP(F120&amp;K120&amp;M120,製品マスタ!$M$5:$AM$5002,27,FALSE),"")</f>
        <v/>
      </c>
      <c r="AB120" s="33"/>
      <c r="AC120" s="189"/>
      <c r="AD120" s="54"/>
      <c r="AE120" s="55"/>
      <c r="AF120" s="43"/>
      <c r="AG120" s="47"/>
      <c r="AH120" s="30"/>
      <c r="AI120" s="30"/>
      <c r="AJ120" s="30"/>
      <c r="AK120" s="30"/>
      <c r="AL120" s="13"/>
      <c r="AM120" s="13"/>
      <c r="AN120" s="13"/>
      <c r="AO120" s="13"/>
      <c r="AP120" s="13"/>
      <c r="AQ120" s="14"/>
      <c r="AR120" s="15"/>
    </row>
    <row r="121" spans="1:44" s="17" customFormat="1" ht="30.95" hidden="1" customHeight="1" x14ac:dyDescent="0.2">
      <c r="A121" s="37" t="s">
        <v>880</v>
      </c>
      <c r="B121" s="38" t="s">
        <v>881</v>
      </c>
      <c r="C121" s="45"/>
      <c r="D121" s="31"/>
      <c r="E121" s="31"/>
      <c r="F121" s="268" t="str">
        <f>IF(D121="","",VLOOKUP(D121,契約台帳!$A$3:$K$4986,6,FALSE)&amp;VLOOKUP(D121,契約台帳!$A$3:$K$4986,7,FALSE)&amp;VLOOKUP(D121,契約台帳!$A$3:$K$4986,8,FALSE)&amp;VLOOKUP(D121,契約台帳!$A$3:$K$4986,9,FALSE)&amp;VLOOKUP(D121,契約台帳!$A$3:$K$4986,11,FALSE))</f>
        <v/>
      </c>
      <c r="G121" s="269" t="str">
        <f>IF(D121="","",VLOOKUP(F121,製品マスタ!$G$5:$H$5002,2,FALSE))</f>
        <v/>
      </c>
      <c r="H121" s="269" t="str">
        <f>IF(D121="","",VLOOKUP(F121,製品マスタ!$G$5:$K$5002,5,FALSE))</f>
        <v/>
      </c>
      <c r="I121" s="270" t="str">
        <f>IF(D121="","",VLOOKUP(F121,製品マスタ!$G$5:$L$5002,6,FALSE))</f>
        <v/>
      </c>
      <c r="J121" s="32"/>
      <c r="K121" s="270" t="str">
        <f>IF(D121="","",VLOOKUP(D121,契約台帳!$A$3:$L$4986,12,FALSE))</f>
        <v/>
      </c>
      <c r="L121" s="270" t="str">
        <f>IF(D121="","",INDEX(製品マスタ!$Q$5:$Q$5002,MATCH(F121&amp;K121,製品マスタ!$AO$5:$AO$5002,0)))</f>
        <v/>
      </c>
      <c r="M121" s="39"/>
      <c r="N121" s="39"/>
      <c r="O121" s="47"/>
      <c r="P121" s="57"/>
      <c r="Q121" s="276" t="str">
        <f>IF(D121="","",IF(J121="リード付け",M121,VLOOKUP(D121,契約台帳!$A$3:$N$4986,14,FALSE)))</f>
        <v/>
      </c>
      <c r="R121" s="277" t="str">
        <f>IF(D121="","",IF(J121="リード付け",M121,VLOOKUP(D121,契約台帳!$A$3:$O$4986,15,FALSE)))</f>
        <v/>
      </c>
      <c r="S121" s="277" t="str">
        <f>IF(D121="","",IF(J121="リード付け",N121,VLOOKUP(D121,契約台帳!$A$3:$P$4986,16,FALSE)))</f>
        <v/>
      </c>
      <c r="T121" s="40"/>
      <c r="U121" s="278" t="str">
        <f ca="1">IF(D121="","",IF(OFFSET(D121,-2,0)=D121,"",VLOOKUP(D121,契約台帳!$A$3:$R$4986,18,FALSE)))</f>
        <v/>
      </c>
      <c r="V121" s="269" t="str">
        <f>IF(J121="巻返し",VLOOKUP(F121&amp;K121&amp;M121,製品マスタ!$M$5:$AD$5002,18,FALSE),IF(J121="リード付け","原反コア",IF(J121="スリット",VLOOKUP(F121&amp;K121&amp;Q121,製品マスタ!$N$5:$AD$5002,17,FALSE),"")))</f>
        <v/>
      </c>
      <c r="W121" s="269" t="str">
        <f>IF(J121="巻返し",VLOOKUP(F121&amp;K121&amp;M121,製品マスタ!$M$5:$AE$5002,19,FALSE),IF(J121="リード付け","-",IF(J121="スリット",VLOOKUP(F121&amp;K121&amp;Q121,製品マスタ!$N$5:$AE$5002,18,FALSE),"")))</f>
        <v/>
      </c>
      <c r="X121" s="275" t="str">
        <f>IF(D121="","",VLOOKUP(D121,契約台帳!$A$3:$Q$4986,17,FALSE))</f>
        <v/>
      </c>
      <c r="Y121" s="269" t="str">
        <f>IF(D121="","",VLOOKUP(D121,契約台帳!$A$3:$E$4986,5,FALSE))</f>
        <v/>
      </c>
      <c r="Z121" s="57"/>
      <c r="AA121" s="207" t="str">
        <f>IFERROR(VLOOKUP(F121&amp;K121&amp;M121,製品マスタ!$M$5:$AM$5002,27,FALSE),"")</f>
        <v/>
      </c>
      <c r="AB121" s="33"/>
      <c r="AC121" s="189"/>
      <c r="AD121" s="54"/>
      <c r="AE121" s="55"/>
      <c r="AF121" s="43"/>
      <c r="AG121" s="47"/>
      <c r="AH121" s="30"/>
      <c r="AI121" s="30"/>
      <c r="AJ121" s="30"/>
      <c r="AK121" s="30"/>
      <c r="AL121" s="13"/>
      <c r="AM121" s="13"/>
      <c r="AN121" s="13"/>
      <c r="AO121" s="13"/>
      <c r="AP121" s="13"/>
      <c r="AQ121" s="14"/>
      <c r="AR121" s="15"/>
    </row>
    <row r="122" spans="1:44" s="17" customFormat="1" ht="30.95" hidden="1" customHeight="1" x14ac:dyDescent="0.2">
      <c r="A122" s="37"/>
      <c r="B122" s="38"/>
      <c r="C122" s="45"/>
      <c r="D122" s="31"/>
      <c r="E122" s="31"/>
      <c r="F122" s="268" t="str">
        <f>IF(D122="","",VLOOKUP(D122,契約台帳!$A$3:$K$4986,6,FALSE)&amp;VLOOKUP(D122,契約台帳!$A$3:$K$4986,7,FALSE)&amp;VLOOKUP(D122,契約台帳!$A$3:$K$4986,8,FALSE)&amp;VLOOKUP(D122,契約台帳!$A$3:$K$4986,9,FALSE)&amp;VLOOKUP(D122,契約台帳!$A$3:$K$4986,11,FALSE))</f>
        <v/>
      </c>
      <c r="G122" s="269" t="str">
        <f>IF(D122="","",VLOOKUP(F122,製品マスタ!$G$5:$H$5002,2,FALSE))</f>
        <v/>
      </c>
      <c r="H122" s="269" t="str">
        <f>IF(D122="","",VLOOKUP(F122,製品マスタ!$G$5:$K$5002,5,FALSE))</f>
        <v/>
      </c>
      <c r="I122" s="270" t="str">
        <f>IF(D122="","",VLOOKUP(F122,製品マスタ!$G$5:$L$5002,6,FALSE))</f>
        <v/>
      </c>
      <c r="J122" s="32"/>
      <c r="K122" s="270" t="str">
        <f>IF(D122="","",VLOOKUP(D122,契約台帳!$A$3:$L$4986,12,FALSE))</f>
        <v/>
      </c>
      <c r="L122" s="270" t="str">
        <f>IF(D122="","",INDEX(製品マスタ!$Q$5:$Q$5002,MATCH(F122&amp;K122,製品マスタ!$AO$5:$AO$5002,0)))</f>
        <v/>
      </c>
      <c r="M122" s="39"/>
      <c r="N122" s="39"/>
      <c r="O122" s="47"/>
      <c r="P122" s="57"/>
      <c r="Q122" s="276" t="str">
        <f>IF(D122="","",IF(J122="リード付け",M122,VLOOKUP(D122,契約台帳!$A$3:$N$4986,14,FALSE)))</f>
        <v/>
      </c>
      <c r="R122" s="277" t="str">
        <f>IF(D122="","",IF(J122="リード付け",M122,VLOOKUP(D122,契約台帳!$A$3:$O$4986,15,FALSE)))</f>
        <v/>
      </c>
      <c r="S122" s="277" t="str">
        <f>IF(D122="","",IF(J122="リード付け",N122,VLOOKUP(D122,契約台帳!$A$3:$P$4986,16,FALSE)))</f>
        <v/>
      </c>
      <c r="T122" s="40"/>
      <c r="U122" s="278" t="str">
        <f ca="1">IF(D122="","",IF(OFFSET(D122,-2,0)=D122,"",VLOOKUP(D122,契約台帳!$A$3:$R$4986,18,FALSE)))</f>
        <v/>
      </c>
      <c r="V122" s="269" t="str">
        <f>IF(J122="巻返し",VLOOKUP(F122&amp;K122&amp;M122,製品マスタ!$M$5:$AD$5002,18,FALSE),IF(J122="リード付け","原反コア",IF(J122="スリット",VLOOKUP(F122&amp;K122&amp;Q122,製品マスタ!$N$5:$AD$5002,17,FALSE),"")))</f>
        <v/>
      </c>
      <c r="W122" s="269" t="str">
        <f>IF(J122="巻返し",VLOOKUP(F122&amp;K122&amp;M122,製品マスタ!$M$5:$AE$5002,19,FALSE),IF(J122="リード付け","-",IF(J122="スリット",VLOOKUP(F122&amp;K122&amp;Q122,製品マスタ!$N$5:$AE$5002,18,FALSE),"")))</f>
        <v/>
      </c>
      <c r="X122" s="275" t="str">
        <f>IF(D122="","",VLOOKUP(D122,契約台帳!$A$3:$Q$4986,17,FALSE))</f>
        <v/>
      </c>
      <c r="Y122" s="269" t="str">
        <f>IF(D122="","",VLOOKUP(D122,契約台帳!$A$3:$E$4986,5,FALSE))</f>
        <v/>
      </c>
      <c r="Z122" s="57"/>
      <c r="AA122" s="207" t="str">
        <f>IFERROR(VLOOKUP(F122&amp;K122&amp;M122,製品マスタ!$M$5:$AM$5002,27,FALSE),"")</f>
        <v/>
      </c>
      <c r="AB122" s="33"/>
      <c r="AC122" s="189"/>
      <c r="AD122" s="54"/>
      <c r="AE122" s="55"/>
      <c r="AF122" s="43"/>
      <c r="AG122" s="47"/>
      <c r="AH122" s="30"/>
      <c r="AI122" s="30"/>
      <c r="AJ122" s="30"/>
      <c r="AK122" s="30"/>
      <c r="AL122" s="13"/>
      <c r="AM122" s="13"/>
      <c r="AN122" s="13"/>
      <c r="AO122" s="13"/>
      <c r="AP122" s="13"/>
      <c r="AQ122" s="14"/>
      <c r="AR122" s="15"/>
    </row>
    <row r="123" spans="1:44" s="17" customFormat="1" ht="30.95" hidden="1" customHeight="1" x14ac:dyDescent="0.2">
      <c r="A123" s="37" t="s">
        <v>851</v>
      </c>
      <c r="B123" s="38" t="s">
        <v>688</v>
      </c>
      <c r="C123" s="45"/>
      <c r="D123" s="31">
        <v>3697663</v>
      </c>
      <c r="E123" s="31">
        <v>4151295</v>
      </c>
      <c r="F123" s="268" t="str">
        <f>IF(D123="","",VLOOKUP(D123,契約台帳!$A$3:$K$4986,6,FALSE)&amp;VLOOKUP(D123,契約台帳!$A$3:$K$4986,7,FALSE)&amp;VLOOKUP(D123,契約台帳!$A$3:$K$4986,8,FALSE)&amp;VLOOKUP(D123,契約台帳!$A$3:$K$4986,9,FALSE)&amp;VLOOKUP(D123,契約台帳!$A$3:$K$4986,11,FALSE))</f>
        <v>3SNMLBMNGTBF</v>
      </c>
      <c r="G123" s="269" t="str">
        <f>IF(D123="","",VLOOKUP(F123,製品マスタ!$G$5:$H$5002,2,FALSE))</f>
        <v>S</v>
      </c>
      <c r="H123" s="269" t="str">
        <f>IF(D123="","",VLOOKUP(F123,製品マスタ!$G$5:$K$5002,5,FALSE))</f>
        <v>MNGTBF</v>
      </c>
      <c r="I123" s="270" t="str">
        <f>IF(D123="","",VLOOKUP(F123,製品マスタ!$G$5:$L$5002,6,FALSE))</f>
        <v>メタルミー　ネーマー　銀艶　Ｂ</v>
      </c>
      <c r="J123" s="32" t="s">
        <v>447</v>
      </c>
      <c r="K123" s="270">
        <f>IF(D123="","",VLOOKUP(D123,契約台帳!$A$3:$L$4986,12,FALSE))</f>
        <v>25</v>
      </c>
      <c r="L123" s="270" t="str">
        <f>IF(D123="","",INDEX(製品マスタ!$Q$5:$Q$5002,MATCH(F123&amp;K123,製品マスタ!$AO$5:$AO$5002,0)))</f>
        <v>T62M</v>
      </c>
      <c r="M123" s="39">
        <v>1125</v>
      </c>
      <c r="N123" s="39">
        <v>12100</v>
      </c>
      <c r="O123" s="47">
        <v>1</v>
      </c>
      <c r="P123" s="57">
        <v>44963</v>
      </c>
      <c r="Q123" s="276">
        <f>IF(D123="","",IF(J123="リード付け",M123,VLOOKUP(D123,契約台帳!$A$3:$N$4986,14,FALSE)))</f>
        <v>1125</v>
      </c>
      <c r="R123" s="277">
        <f>IF(D123="","",IF(J123="リード付け",M123,VLOOKUP(D123,契約台帳!$A$3:$O$4986,15,FALSE)))</f>
        <v>1120</v>
      </c>
      <c r="S123" s="277">
        <f>IF(D123="","",IF(J123="リード付け",N123,VLOOKUP(D123,契約台帳!$A$3:$P$4986,16,FALSE)))</f>
        <v>4000</v>
      </c>
      <c r="T123" s="40">
        <v>3</v>
      </c>
      <c r="U123" s="278">
        <f ca="1">IF(D123="","",IF(OFFSET(D123,-2,0)=D123,"",VLOOKUP(D123,契約台帳!$A$3:$R$4986,18,FALSE)))</f>
        <v>3</v>
      </c>
      <c r="V123" s="269" t="str">
        <f>IF(J123="巻返し",VLOOKUP(F123&amp;K123&amp;M123,製品マスタ!$M$5:$AD$5002,18,FALSE),IF(J123="リード付け","原反コア",IF(J123="スリット",VLOOKUP(F123&amp;K123&amp;Q123,製品マスタ!$N$5:$AD$5002,17,FALSE),"")))</f>
        <v>6ｲﾝﾁSｺｱ</v>
      </c>
      <c r="W123" s="269">
        <f>IF(J123="巻返し",VLOOKUP(F123&amp;K123&amp;M123,製品マスタ!$M$5:$AE$5002,19,FALSE),IF(J123="リード付け","-",IF(J123="スリット",VLOOKUP(F123&amp;K123&amp;Q123,製品マスタ!$N$5:$AE$5002,18,FALSE),"")))</f>
        <v>1130</v>
      </c>
      <c r="X123" s="275">
        <f>IF(D123="","",VLOOKUP(D123,契約台帳!$A$3:$Q$4986,17,FALSE))</f>
        <v>2</v>
      </c>
      <c r="Y123" s="269" t="str">
        <f>IF(D123="","",VLOOKUP(D123,契約台帳!$A$3:$E$4986,5,FALSE))</f>
        <v>リンテック㈱</v>
      </c>
      <c r="Z123" s="57"/>
      <c r="AA123" s="207">
        <f>IFERROR(VLOOKUP(F123&amp;K123&amp;M123,製品マスタ!$M$5:$AM$5002,27,FALSE),"")</f>
        <v>0</v>
      </c>
      <c r="AB123" s="33"/>
      <c r="AC123" s="189"/>
      <c r="AD123" s="54" t="str">
        <f>IF(F123="","",+F123&amp;K123)</f>
        <v>3SNMLBMNGTBF25</v>
      </c>
      <c r="AE123" s="55">
        <f>+M123*N123*O123/1000</f>
        <v>13612.5</v>
      </c>
      <c r="AF123" s="43">
        <f>IF(AD123="","",VLOOKUP(AD123,原価マスタ!$A$2:$AJ$1693,13,FALSE))</f>
        <v>97.5</v>
      </c>
      <c r="AG123" s="47">
        <f>IF(AF123="","",+AE123*AF123/100)</f>
        <v>13272.1875</v>
      </c>
      <c r="AH123" s="30"/>
      <c r="AI123" s="30"/>
      <c r="AJ123" s="30"/>
      <c r="AK123" s="30"/>
      <c r="AL123" s="13"/>
      <c r="AM123" s="13"/>
      <c r="AN123" s="13"/>
      <c r="AO123" s="13"/>
      <c r="AP123" s="13"/>
      <c r="AQ123" s="14"/>
      <c r="AR123" s="15"/>
    </row>
    <row r="124" spans="1:44" s="17" customFormat="1" ht="30.95" hidden="1" customHeight="1" x14ac:dyDescent="0.2">
      <c r="A124" s="37"/>
      <c r="B124" s="38"/>
      <c r="C124" s="45"/>
      <c r="D124" s="31"/>
      <c r="E124" s="31"/>
      <c r="F124" s="268"/>
      <c r="G124" s="269"/>
      <c r="H124" s="269"/>
      <c r="I124" s="270"/>
      <c r="J124" s="32"/>
      <c r="K124" s="270"/>
      <c r="L124" s="270"/>
      <c r="M124" s="39"/>
      <c r="N124" s="39"/>
      <c r="O124" s="47"/>
      <c r="P124" s="57"/>
      <c r="Q124" s="276"/>
      <c r="R124" s="277"/>
      <c r="S124" s="277"/>
      <c r="T124" s="40"/>
      <c r="U124" s="278"/>
      <c r="V124" s="269"/>
      <c r="W124" s="269"/>
      <c r="X124" s="275"/>
      <c r="Y124" s="269"/>
      <c r="Z124" s="57"/>
      <c r="AA124" s="207"/>
      <c r="AB124" s="33"/>
      <c r="AC124" s="189"/>
      <c r="AD124" s="54"/>
      <c r="AE124" s="55"/>
      <c r="AF124" s="43"/>
      <c r="AG124" s="47"/>
      <c r="AH124" s="30"/>
      <c r="AI124" s="30"/>
      <c r="AJ124" s="30"/>
      <c r="AK124" s="30"/>
      <c r="AL124" s="13"/>
      <c r="AM124" s="13"/>
      <c r="AN124" s="13"/>
      <c r="AO124" s="13"/>
      <c r="AP124" s="13"/>
      <c r="AQ124" s="14"/>
      <c r="AR124" s="15"/>
    </row>
    <row r="125" spans="1:44" s="17" customFormat="1" ht="30.95" hidden="1" customHeight="1" x14ac:dyDescent="0.2">
      <c r="A125" s="37"/>
      <c r="B125" s="38"/>
      <c r="C125" s="45"/>
      <c r="D125" s="31">
        <v>3697664</v>
      </c>
      <c r="E125" s="31">
        <v>4151280</v>
      </c>
      <c r="F125" s="268" t="str">
        <f>IF(D125="","",VLOOKUP(D125,契約台帳!$A$3:$K$4986,6,FALSE)&amp;VLOOKUP(D125,契約台帳!$A$3:$K$4986,7,FALSE)&amp;VLOOKUP(D125,契約台帳!$A$3:$K$4986,8,FALSE)&amp;VLOOKUP(D125,契約台帳!$A$3:$K$4986,9,FALSE)&amp;VLOOKUP(D125,契約台帳!$A$3:$K$4986,11,FALSE))</f>
        <v>3SNMLBMNGTBF</v>
      </c>
      <c r="G125" s="269" t="str">
        <f>IF(D125="","",VLOOKUP(F125,製品マスタ!$G$5:$H$5002,2,FALSE))</f>
        <v>S</v>
      </c>
      <c r="H125" s="269" t="str">
        <f>IF(D125="","",VLOOKUP(F125,製品マスタ!$G$5:$K$5002,5,FALSE))</f>
        <v>MNGTBF</v>
      </c>
      <c r="I125" s="270" t="str">
        <f>IF(D125="","",VLOOKUP(F125,製品マスタ!$G$5:$L$5002,6,FALSE))</f>
        <v>メタルミー　ネーマー　銀艶　Ｂ</v>
      </c>
      <c r="J125" s="32" t="s">
        <v>893</v>
      </c>
      <c r="K125" s="270">
        <f>IF(D125="","",VLOOKUP(D125,契約台帳!$A$3:$L$4986,12,FALSE))</f>
        <v>50</v>
      </c>
      <c r="L125" s="270" t="str">
        <f>IF(D125="","",INDEX(製品マスタ!$Q$5:$Q$5002,MATCH(F125&amp;K125,製品マスタ!$AO$5:$AO$5002,0)))</f>
        <v>T62</v>
      </c>
      <c r="M125" s="39">
        <v>1120</v>
      </c>
      <c r="N125" s="39">
        <v>10000</v>
      </c>
      <c r="O125" s="47">
        <v>3</v>
      </c>
      <c r="P125" s="57">
        <v>44963</v>
      </c>
      <c r="Q125" s="276">
        <f>IF(D125="","",IF(J125="リード付け",M125,VLOOKUP(D125,契約台帳!$A$3:$N$4986,14,FALSE)))</f>
        <v>1120</v>
      </c>
      <c r="R125" s="277">
        <f>IF(D125="","",IF(J125="リード付け",M125,VLOOKUP(D125,契約台帳!$A$3:$O$4986,15,FALSE)))</f>
        <v>1120</v>
      </c>
      <c r="S125" s="277">
        <f>IF(D125="","",IF(J125="リード付け",N125,VLOOKUP(D125,契約台帳!$A$3:$P$4986,16,FALSE)))</f>
        <v>5000</v>
      </c>
      <c r="T125" s="40">
        <v>6</v>
      </c>
      <c r="U125" s="278">
        <f ca="1">IF(D125="","",IF(OFFSET(D125,-2,0)=D125,"",VLOOKUP(D125,契約台帳!$A$3:$R$4986,18,FALSE)))</f>
        <v>12</v>
      </c>
      <c r="V125" s="269" t="str">
        <f>IF(J125="巻返し",VLOOKUP(F125&amp;K125&amp;M125,製品マスタ!$M$5:$AD$5002,18,FALSE),IF(J125="リード付け","原反コア",IF(J125="スリット",VLOOKUP(F125&amp;K125&amp;Q125,製品マスタ!$N$5:$AD$5002,17,FALSE),"")))</f>
        <v>6ｲﾝﾁSｺｱ</v>
      </c>
      <c r="W125" s="269">
        <f>IF(J125="巻返し",VLOOKUP(F125&amp;K125&amp;M125,製品マスタ!$M$5:$AE$5002,19,FALSE),IF(J125="リード付け","-",IF(J125="スリット",VLOOKUP(F125&amp;K125&amp;Q125,製品マスタ!$N$5:$AE$5002,18,FALSE),"")))</f>
        <v>1125</v>
      </c>
      <c r="X125" s="275">
        <f>IF(D125="","",VLOOKUP(D125,契約台帳!$A$3:$Q$4986,17,FALSE))</f>
        <v>2</v>
      </c>
      <c r="Y125" s="269" t="str">
        <f>IF(D125="","",VLOOKUP(D125,契約台帳!$A$3:$E$4986,5,FALSE))</f>
        <v>リンテック㈱</v>
      </c>
      <c r="Z125" s="57"/>
      <c r="AA125" s="207" t="str">
        <f>IFERROR(VLOOKUP(F125&amp;K125&amp;M125,製品マスタ!$M$5:$AM$5002,27,FALSE),"")</f>
        <v>原反ケース再利用</v>
      </c>
      <c r="AB125" s="33"/>
      <c r="AC125" s="189"/>
      <c r="AD125" s="54" t="str">
        <f>IF(F125="","",+F125&amp;K125)</f>
        <v>3SNMLBMNGTBF50</v>
      </c>
      <c r="AE125" s="55">
        <f>+M125*N125*O125/1000</f>
        <v>33600</v>
      </c>
      <c r="AF125" s="43">
        <f>IF(AD125="","",VLOOKUP(AD125,原価マスタ!$A$2:$AJ$1693,13,FALSE))</f>
        <v>99</v>
      </c>
      <c r="AG125" s="47">
        <f>IF(AF125="","",+AE125*AF125/100)</f>
        <v>33264</v>
      </c>
      <c r="AH125" s="30"/>
      <c r="AI125" s="30"/>
      <c r="AJ125" s="30"/>
      <c r="AK125" s="30"/>
      <c r="AL125" s="13"/>
      <c r="AM125" s="13"/>
      <c r="AN125" s="13"/>
      <c r="AO125" s="13"/>
      <c r="AP125" s="13"/>
      <c r="AQ125" s="14"/>
      <c r="AR125" s="15"/>
    </row>
    <row r="126" spans="1:44" s="17" customFormat="1" ht="30.95" hidden="1" customHeight="1" x14ac:dyDescent="0.2">
      <c r="A126" s="37"/>
      <c r="B126" s="38"/>
      <c r="C126" s="45"/>
      <c r="D126" s="31"/>
      <c r="E126" s="31"/>
      <c r="F126" s="268" t="str">
        <f>IF(D126="","",VLOOKUP(D126,契約台帳!$A$3:$K$4986,6,FALSE)&amp;VLOOKUP(D126,契約台帳!$A$3:$K$4986,7,FALSE)&amp;VLOOKUP(D126,契約台帳!$A$3:$K$4986,8,FALSE)&amp;VLOOKUP(D126,契約台帳!$A$3:$K$4986,9,FALSE)&amp;VLOOKUP(D126,契約台帳!$A$3:$K$4986,11,FALSE))</f>
        <v/>
      </c>
      <c r="G126" s="269" t="str">
        <f>IF(D126="","",VLOOKUP(F126,製品マスタ!$G$5:$H$5002,2,FALSE))</f>
        <v/>
      </c>
      <c r="H126" s="269" t="str">
        <f>IF(D126="","",VLOOKUP(F126,製品マスタ!$G$5:$K$5002,5,FALSE))</f>
        <v/>
      </c>
      <c r="I126" s="270" t="str">
        <f>IF(D126="","",VLOOKUP(F126,製品マスタ!$G$5:$L$5002,6,FALSE))</f>
        <v/>
      </c>
      <c r="J126" s="32"/>
      <c r="K126" s="270" t="str">
        <f>IF(D126="","",VLOOKUP(D126,契約台帳!$A$3:$L$4986,12,FALSE))</f>
        <v/>
      </c>
      <c r="L126" s="270" t="str">
        <f>IF(D126="","",INDEX(製品マスタ!$Q$5:$Q$5002,MATCH(F126&amp;K126,製品マスタ!$AO$5:$AO$5002,0)))</f>
        <v/>
      </c>
      <c r="M126" s="39"/>
      <c r="N126" s="39"/>
      <c r="O126" s="47"/>
      <c r="P126" s="57"/>
      <c r="Q126" s="276" t="str">
        <f>IF(D126="","",IF(J126="リード付け",M126,VLOOKUP(D126,契約台帳!$A$3:$N$4986,14,FALSE)))</f>
        <v/>
      </c>
      <c r="R126" s="277" t="str">
        <f>IF(D126="","",IF(J126="リード付け",M126,VLOOKUP(D126,契約台帳!$A$3:$O$4986,15,FALSE)))</f>
        <v/>
      </c>
      <c r="S126" s="277" t="str">
        <f>IF(D126="","",IF(J126="リード付け",N126,VLOOKUP(D126,契約台帳!$A$3:$P$4986,16,FALSE)))</f>
        <v/>
      </c>
      <c r="T126" s="40"/>
      <c r="U126" s="278" t="str">
        <f ca="1">IF(D126="","",IF(OFFSET(D126,-2,0)=D126,"",VLOOKUP(D126,契約台帳!$A$3:$R$4986,18,FALSE)))</f>
        <v/>
      </c>
      <c r="V126" s="269" t="str">
        <f>IF(J126="巻返し",VLOOKUP(F126&amp;K126&amp;M126,製品マスタ!$M$5:$AD$5002,18,FALSE),IF(J126="リード付け","原反コア",IF(J126="スリット",VLOOKUP(F126&amp;K126&amp;Q126,製品マスタ!$N$5:$AD$5002,17,FALSE),"")))</f>
        <v/>
      </c>
      <c r="W126" s="269" t="str">
        <f>IF(J126="巻返し",VLOOKUP(F126&amp;K126&amp;M126,製品マスタ!$M$5:$AE$5002,19,FALSE),IF(J126="リード付け","-",IF(J126="スリット",VLOOKUP(F126&amp;K126&amp;Q126,製品マスタ!$N$5:$AE$5002,18,FALSE),"")))</f>
        <v/>
      </c>
      <c r="X126" s="275" t="str">
        <f>IF(D126="","",VLOOKUP(D126,契約台帳!$A$3:$Q$4986,17,FALSE))</f>
        <v/>
      </c>
      <c r="Y126" s="269" t="str">
        <f>IF(D126="","",VLOOKUP(D126,契約台帳!$A$3:$E$4986,5,FALSE))</f>
        <v/>
      </c>
      <c r="Z126" s="57"/>
      <c r="AA126" s="207" t="str">
        <f>IFERROR(VLOOKUP(F126&amp;K126&amp;M126,製品マスタ!$M$5:$AM$5002,27,FALSE),"")</f>
        <v/>
      </c>
      <c r="AB126" s="33"/>
      <c r="AC126" s="189"/>
      <c r="AD126" s="54"/>
      <c r="AE126" s="55"/>
      <c r="AF126" s="43"/>
      <c r="AG126" s="47"/>
      <c r="AH126" s="30"/>
      <c r="AI126" s="30"/>
      <c r="AJ126" s="30"/>
      <c r="AK126" s="30"/>
      <c r="AL126" s="13"/>
      <c r="AM126" s="13"/>
      <c r="AN126" s="13"/>
      <c r="AO126" s="13"/>
      <c r="AP126" s="13"/>
      <c r="AQ126" s="14"/>
      <c r="AR126" s="15"/>
    </row>
    <row r="127" spans="1:44" s="17" customFormat="1" ht="30.95" hidden="1" customHeight="1" x14ac:dyDescent="0.2">
      <c r="A127" s="37" t="s">
        <v>852</v>
      </c>
      <c r="B127" s="38" t="s">
        <v>442</v>
      </c>
      <c r="C127" s="45"/>
      <c r="D127" s="31">
        <v>3697664</v>
      </c>
      <c r="E127" s="31">
        <v>4151280</v>
      </c>
      <c r="F127" s="268" t="str">
        <f>IF(D127="","",VLOOKUP(D127,契約台帳!$A$3:$K$4986,6,FALSE)&amp;VLOOKUP(D127,契約台帳!$A$3:$K$4986,7,FALSE)&amp;VLOOKUP(D127,契約台帳!$A$3:$K$4986,8,FALSE)&amp;VLOOKUP(D127,契約台帳!$A$3:$K$4986,9,FALSE)&amp;VLOOKUP(D127,契約台帳!$A$3:$K$4986,11,FALSE))</f>
        <v>3SNMLBMNGTBF</v>
      </c>
      <c r="G127" s="269" t="str">
        <f>IF(D127="","",VLOOKUP(F127,製品マスタ!$G$5:$H$5002,2,FALSE))</f>
        <v>S</v>
      </c>
      <c r="H127" s="269" t="str">
        <f>IF(D127="","",VLOOKUP(F127,製品マスタ!$G$5:$K$5002,5,FALSE))</f>
        <v>MNGTBF</v>
      </c>
      <c r="I127" s="270" t="str">
        <f>IF(D127="","",VLOOKUP(F127,製品マスタ!$G$5:$L$5002,6,FALSE))</f>
        <v>メタルミー　ネーマー　銀艶　Ｂ</v>
      </c>
      <c r="J127" s="32" t="s">
        <v>447</v>
      </c>
      <c r="K127" s="270">
        <f>IF(D127="","",VLOOKUP(D127,契約台帳!$A$3:$L$4986,12,FALSE))</f>
        <v>50</v>
      </c>
      <c r="L127" s="270" t="str">
        <f>IF(D127="","",INDEX(製品マスタ!$Q$5:$Q$5002,MATCH(F127&amp;K127,製品マスタ!$AO$5:$AO$5002,0)))</f>
        <v>T62</v>
      </c>
      <c r="M127" s="39">
        <v>1120</v>
      </c>
      <c r="N127" s="39">
        <v>10000</v>
      </c>
      <c r="O127" s="47">
        <v>3</v>
      </c>
      <c r="P127" s="57">
        <v>44964</v>
      </c>
      <c r="Q127" s="276">
        <f>IF(D127="","",IF(J127="リード付け",M127,VLOOKUP(D127,契約台帳!$A$3:$N$4986,14,FALSE)))</f>
        <v>1120</v>
      </c>
      <c r="R127" s="277">
        <f>IF(D127="","",IF(J127="リード付け",M127,VLOOKUP(D127,契約台帳!$A$3:$O$4986,15,FALSE)))</f>
        <v>1120</v>
      </c>
      <c r="S127" s="277">
        <f>IF(D127="","",IF(J127="リード付け",N127,VLOOKUP(D127,契約台帳!$A$3:$P$4986,16,FALSE)))</f>
        <v>5000</v>
      </c>
      <c r="T127" s="40">
        <v>6</v>
      </c>
      <c r="U127" s="278" t="str">
        <f ca="1">IF(D127="","",IF(OFFSET(D127,-2,0)=D127,"",VLOOKUP(D127,契約台帳!$A$3:$R$4986,18,FALSE)))</f>
        <v/>
      </c>
      <c r="V127" s="269" t="str">
        <f>IF(J127="巻返し",VLOOKUP(F127&amp;K127&amp;M127,製品マスタ!$M$5:$AD$5002,18,FALSE),IF(J127="リード付け","原反コア",IF(J127="スリット",VLOOKUP(F127&amp;K127&amp;Q127,製品マスタ!$N$5:$AD$5002,17,FALSE),"")))</f>
        <v>6ｲﾝﾁSｺｱ</v>
      </c>
      <c r="W127" s="269">
        <f>IF(J127="巻返し",VLOOKUP(F127&amp;K127&amp;M127,製品マスタ!$M$5:$AE$5002,19,FALSE),IF(J127="リード付け","-",IF(J127="スリット",VLOOKUP(F127&amp;K127&amp;Q127,製品マスタ!$N$5:$AE$5002,18,FALSE),"")))</f>
        <v>1125</v>
      </c>
      <c r="X127" s="275">
        <f>IF(D127="","",VLOOKUP(D127,契約台帳!$A$3:$Q$4986,17,FALSE))</f>
        <v>2</v>
      </c>
      <c r="Y127" s="269" t="str">
        <f>IF(D127="","",VLOOKUP(D127,契約台帳!$A$3:$E$4986,5,FALSE))</f>
        <v>リンテック㈱</v>
      </c>
      <c r="Z127" s="57"/>
      <c r="AA127" s="207" t="str">
        <f>IFERROR(VLOOKUP(F127&amp;K127&amp;M127,製品マスタ!$M$5:$AM$5002,27,FALSE),"")</f>
        <v>原反ケース再利用</v>
      </c>
      <c r="AB127" s="33"/>
      <c r="AC127" s="189"/>
      <c r="AD127" s="54" t="str">
        <f>IF(F127="","",+F127&amp;K127)</f>
        <v>3SNMLBMNGTBF50</v>
      </c>
      <c r="AE127" s="55">
        <f>+M127*N127*O127/1000</f>
        <v>33600</v>
      </c>
      <c r="AF127" s="43">
        <f>IF(AD127="","",VLOOKUP(AD127,原価マスタ!$A$2:$AJ$1693,13,FALSE))</f>
        <v>99</v>
      </c>
      <c r="AG127" s="47">
        <f>IF(AF127="","",+AE127*AF127/100)</f>
        <v>33264</v>
      </c>
      <c r="AH127" s="30"/>
      <c r="AI127" s="30"/>
      <c r="AJ127" s="30"/>
      <c r="AK127" s="30"/>
      <c r="AL127" s="13"/>
      <c r="AM127" s="13"/>
      <c r="AN127" s="13"/>
      <c r="AO127" s="13"/>
      <c r="AP127" s="13"/>
      <c r="AQ127" s="14"/>
      <c r="AR127" s="15"/>
    </row>
    <row r="128" spans="1:44" s="17" customFormat="1" ht="30.95" hidden="1" customHeight="1" x14ac:dyDescent="0.2">
      <c r="A128" s="37"/>
      <c r="B128" s="38"/>
      <c r="C128" s="45"/>
      <c r="D128" s="31"/>
      <c r="E128" s="31"/>
      <c r="F128" s="268"/>
      <c r="G128" s="269"/>
      <c r="H128" s="269"/>
      <c r="I128" s="270"/>
      <c r="J128" s="32"/>
      <c r="K128" s="270"/>
      <c r="L128" s="270"/>
      <c r="M128" s="39"/>
      <c r="N128" s="39"/>
      <c r="O128" s="47"/>
      <c r="P128" s="57"/>
      <c r="Q128" s="276"/>
      <c r="R128" s="277"/>
      <c r="S128" s="277"/>
      <c r="T128" s="40"/>
      <c r="U128" s="278"/>
      <c r="V128" s="269"/>
      <c r="W128" s="269"/>
      <c r="X128" s="275"/>
      <c r="Y128" s="269"/>
      <c r="Z128" s="57"/>
      <c r="AA128" s="207"/>
      <c r="AB128" s="33"/>
      <c r="AC128" s="189"/>
      <c r="AD128" s="54"/>
      <c r="AE128" s="55"/>
      <c r="AF128" s="43"/>
      <c r="AG128" s="47"/>
      <c r="AH128" s="30"/>
      <c r="AI128" s="30"/>
      <c r="AJ128" s="30"/>
      <c r="AK128" s="30"/>
      <c r="AL128" s="13"/>
      <c r="AM128" s="13"/>
      <c r="AN128" s="13"/>
      <c r="AO128" s="13"/>
      <c r="AP128" s="13"/>
      <c r="AQ128" s="14"/>
      <c r="AR128" s="15"/>
    </row>
    <row r="129" spans="1:44" s="17" customFormat="1" ht="30.95" hidden="1" customHeight="1" x14ac:dyDescent="0.2">
      <c r="A129" s="37"/>
      <c r="B129" s="38"/>
      <c r="C129" s="45"/>
      <c r="D129" s="31">
        <v>3697665</v>
      </c>
      <c r="E129" s="31">
        <v>4151281</v>
      </c>
      <c r="F129" s="268" t="str">
        <f>IF(D129="","",VLOOKUP(D129,契約台帳!$A$3:$K$4986,6,FALSE)&amp;VLOOKUP(D129,契約台帳!$A$3:$K$4986,7,FALSE)&amp;VLOOKUP(D129,契約台帳!$A$3:$K$4986,8,FALSE)&amp;VLOOKUP(D129,契約台帳!$A$3:$K$4986,9,FALSE)&amp;VLOOKUP(D129,契約台帳!$A$3:$K$4986,11,FALSE))</f>
        <v>3SNMLBMNGTBF</v>
      </c>
      <c r="G129" s="269" t="str">
        <f>IF(D129="","",VLOOKUP(F129,製品マスタ!$G$5:$H$5002,2,FALSE))</f>
        <v>S</v>
      </c>
      <c r="H129" s="269" t="str">
        <f>IF(D129="","",VLOOKUP(F129,製品マスタ!$G$5:$K$5002,5,FALSE))</f>
        <v>MNGTBF</v>
      </c>
      <c r="I129" s="270" t="str">
        <f>IF(D129="","",VLOOKUP(F129,製品マスタ!$G$5:$L$5002,6,FALSE))</f>
        <v>メタルミー　ネーマー　銀艶　Ｂ</v>
      </c>
      <c r="J129" s="32" t="s">
        <v>893</v>
      </c>
      <c r="K129" s="270">
        <f>IF(D129="","",VLOOKUP(D129,契約台帳!$A$3:$L$4986,12,FALSE))</f>
        <v>50</v>
      </c>
      <c r="L129" s="270" t="str">
        <f>IF(D129="","",INDEX(製品マスタ!$Q$5:$Q$5002,MATCH(F129&amp;K129,製品マスタ!$AO$5:$AO$5002,0)))</f>
        <v>T62</v>
      </c>
      <c r="M129" s="39">
        <v>1120</v>
      </c>
      <c r="N129" s="39">
        <v>10000</v>
      </c>
      <c r="O129" s="47">
        <v>4</v>
      </c>
      <c r="P129" s="57">
        <v>44964</v>
      </c>
      <c r="Q129" s="276">
        <f>IF(D129="","",IF(J129="リード付け",M129,VLOOKUP(D129,契約台帳!$A$3:$N$4986,14,FALSE)))</f>
        <v>1120</v>
      </c>
      <c r="R129" s="277">
        <f>IF(D129="","",IF(J129="リード付け",M129,VLOOKUP(D129,契約台帳!$A$3:$O$4986,15,FALSE)))</f>
        <v>1120</v>
      </c>
      <c r="S129" s="277">
        <f>IF(D129="","",IF(J129="リード付け",N129,VLOOKUP(D129,契約台帳!$A$3:$P$4986,16,FALSE)))</f>
        <v>5000</v>
      </c>
      <c r="T129" s="40">
        <v>8</v>
      </c>
      <c r="U129" s="278">
        <f ca="1">IF(D129="","",IF(OFFSET(D129,-2,0)=D129,"",VLOOKUP(D129,契約台帳!$A$3:$R$4986,18,FALSE)))</f>
        <v>12</v>
      </c>
      <c r="V129" s="269" t="str">
        <f>IF(J129="巻返し",VLOOKUP(F129&amp;K129&amp;M129,製品マスタ!$M$5:$AD$5002,18,FALSE),IF(J129="リード付け","原反コア",IF(J129="スリット",VLOOKUP(F129&amp;K129&amp;Q129,製品マスタ!$N$5:$AD$5002,17,FALSE),"")))</f>
        <v>6ｲﾝﾁSｺｱ</v>
      </c>
      <c r="W129" s="269">
        <f>IF(J129="巻返し",VLOOKUP(F129&amp;K129&amp;M129,製品マスタ!$M$5:$AE$5002,19,FALSE),IF(J129="リード付け","-",IF(J129="スリット",VLOOKUP(F129&amp;K129&amp;Q129,製品マスタ!$N$5:$AE$5002,18,FALSE),"")))</f>
        <v>1125</v>
      </c>
      <c r="X129" s="275">
        <f>IF(D129="","",VLOOKUP(D129,契約台帳!$A$3:$Q$4986,17,FALSE))</f>
        <v>2</v>
      </c>
      <c r="Y129" s="269" t="str">
        <f>IF(D129="","",VLOOKUP(D129,契約台帳!$A$3:$E$4986,5,FALSE))</f>
        <v>リンテック㈱</v>
      </c>
      <c r="Z129" s="57"/>
      <c r="AA129" s="207" t="str">
        <f>IFERROR(VLOOKUP(F129&amp;K129&amp;M129,製品マスタ!$M$5:$AM$5002,27,FALSE),"")</f>
        <v>原反ケース再利用</v>
      </c>
      <c r="AB129" s="33"/>
      <c r="AC129" s="189"/>
      <c r="AD129" s="54" t="str">
        <f>IF(F129="","",+F129&amp;K129)</f>
        <v>3SNMLBMNGTBF50</v>
      </c>
      <c r="AE129" s="55">
        <f>+M129*N129*O129/1000</f>
        <v>44800</v>
      </c>
      <c r="AF129" s="43">
        <f>IF(AD129="","",VLOOKUP(AD129,原価マスタ!$A$2:$AJ$1693,13,FALSE))</f>
        <v>99</v>
      </c>
      <c r="AG129" s="47">
        <f>IF(AF129="","",+AE129*AF129/100)</f>
        <v>44352</v>
      </c>
      <c r="AH129" s="30"/>
      <c r="AI129" s="30"/>
      <c r="AJ129" s="30"/>
      <c r="AK129" s="30"/>
      <c r="AL129" s="13"/>
      <c r="AM129" s="13"/>
      <c r="AN129" s="13"/>
      <c r="AO129" s="13"/>
      <c r="AP129" s="13"/>
      <c r="AQ129" s="14"/>
      <c r="AR129" s="15"/>
    </row>
    <row r="130" spans="1:44" s="17" customFormat="1" ht="30.95" hidden="1" customHeight="1" x14ac:dyDescent="0.2">
      <c r="A130" s="37"/>
      <c r="B130" s="38"/>
      <c r="C130" s="45"/>
      <c r="D130" s="31"/>
      <c r="E130" s="31"/>
      <c r="F130" s="268" t="str">
        <f>IF(D130="","",VLOOKUP(D130,契約台帳!$A$3:$K$4986,6,FALSE)&amp;VLOOKUP(D130,契約台帳!$A$3:$K$4986,7,FALSE)&amp;VLOOKUP(D130,契約台帳!$A$3:$K$4986,8,FALSE)&amp;VLOOKUP(D130,契約台帳!$A$3:$K$4986,9,FALSE)&amp;VLOOKUP(D130,契約台帳!$A$3:$K$4986,11,FALSE))</f>
        <v/>
      </c>
      <c r="G130" s="269" t="str">
        <f>IF(D130="","",VLOOKUP(F130,製品マスタ!$G$5:$H$5002,2,FALSE))</f>
        <v/>
      </c>
      <c r="H130" s="269" t="str">
        <f>IF(D130="","",VLOOKUP(F130,製品マスタ!$G$5:$K$5002,5,FALSE))</f>
        <v/>
      </c>
      <c r="I130" s="270" t="str">
        <f>IF(D130="","",VLOOKUP(F130,製品マスタ!$G$5:$L$5002,6,FALSE))</f>
        <v/>
      </c>
      <c r="J130" s="32"/>
      <c r="K130" s="270" t="str">
        <f>IF(D130="","",VLOOKUP(D130,契約台帳!$A$3:$L$4986,12,FALSE))</f>
        <v/>
      </c>
      <c r="L130" s="270" t="str">
        <f>IF(D130="","",INDEX(製品マスタ!$Q$5:$Q$5002,MATCH(F130&amp;K130,製品マスタ!$AO$5:$AO$5002,0)))</f>
        <v/>
      </c>
      <c r="M130" s="39"/>
      <c r="N130" s="39"/>
      <c r="O130" s="47"/>
      <c r="P130" s="57"/>
      <c r="Q130" s="276" t="str">
        <f>IF(D130="","",IF(J130="リード付け",M130,VLOOKUP(D130,契約台帳!$A$3:$N$4986,14,FALSE)))</f>
        <v/>
      </c>
      <c r="R130" s="277" t="str">
        <f>IF(D130="","",IF(J130="リード付け",M130,VLOOKUP(D130,契約台帳!$A$3:$O$4986,15,FALSE)))</f>
        <v/>
      </c>
      <c r="S130" s="277" t="str">
        <f>IF(D130="","",IF(J130="リード付け",N130,VLOOKUP(D130,契約台帳!$A$3:$P$4986,16,FALSE)))</f>
        <v/>
      </c>
      <c r="T130" s="40"/>
      <c r="U130" s="278" t="str">
        <f ca="1">IF(D130="","",IF(OFFSET(D130,-2,0)=D130,"",VLOOKUP(D130,契約台帳!$A$3:$R$4986,18,FALSE)))</f>
        <v/>
      </c>
      <c r="V130" s="269" t="str">
        <f>IF(J130="巻返し",VLOOKUP(F130&amp;K130&amp;M130,製品マスタ!$M$5:$AD$5002,18,FALSE),IF(J130="リード付け","原反コア",IF(J130="スリット",VLOOKUP(F130&amp;K130&amp;Q130,製品マスタ!$N$5:$AD$5002,17,FALSE),"")))</f>
        <v/>
      </c>
      <c r="W130" s="269" t="str">
        <f>IF(J130="巻返し",VLOOKUP(F130&amp;K130&amp;M130,製品マスタ!$M$5:$AE$5002,19,FALSE),IF(J130="リード付け","-",IF(J130="スリット",VLOOKUP(F130&amp;K130&amp;Q130,製品マスタ!$N$5:$AE$5002,18,FALSE),"")))</f>
        <v/>
      </c>
      <c r="X130" s="275" t="str">
        <f>IF(D130="","",VLOOKUP(D130,契約台帳!$A$3:$Q$4986,17,FALSE))</f>
        <v/>
      </c>
      <c r="Y130" s="269" t="str">
        <f>IF(D130="","",VLOOKUP(D130,契約台帳!$A$3:$E$4986,5,FALSE))</f>
        <v/>
      </c>
      <c r="Z130" s="57"/>
      <c r="AA130" s="207" t="str">
        <f>IFERROR(VLOOKUP(F130&amp;K130&amp;M130,製品マスタ!$M$5:$AM$5002,27,FALSE),"")</f>
        <v/>
      </c>
      <c r="AB130" s="33"/>
      <c r="AC130" s="189"/>
      <c r="AD130" s="54"/>
      <c r="AE130" s="55"/>
      <c r="AF130" s="43"/>
      <c r="AG130" s="47"/>
      <c r="AH130" s="30"/>
      <c r="AI130" s="30"/>
      <c r="AJ130" s="30"/>
      <c r="AK130" s="30"/>
      <c r="AL130" s="13"/>
      <c r="AM130" s="13"/>
      <c r="AN130" s="13"/>
      <c r="AO130" s="13"/>
      <c r="AP130" s="13"/>
      <c r="AQ130" s="14"/>
      <c r="AR130" s="15"/>
    </row>
    <row r="131" spans="1:44" s="17" customFormat="1" ht="30.95" hidden="1" customHeight="1" x14ac:dyDescent="0.2">
      <c r="A131" s="37" t="s">
        <v>853</v>
      </c>
      <c r="B131" s="38" t="s">
        <v>443</v>
      </c>
      <c r="C131" s="45"/>
      <c r="D131" s="31">
        <v>3697665</v>
      </c>
      <c r="E131" s="31">
        <v>4151281</v>
      </c>
      <c r="F131" s="268" t="str">
        <f>IF(D131="","",VLOOKUP(D131,契約台帳!$A$3:$K$4986,6,FALSE)&amp;VLOOKUP(D131,契約台帳!$A$3:$K$4986,7,FALSE)&amp;VLOOKUP(D131,契約台帳!$A$3:$K$4986,8,FALSE)&amp;VLOOKUP(D131,契約台帳!$A$3:$K$4986,9,FALSE)&amp;VLOOKUP(D131,契約台帳!$A$3:$K$4986,11,FALSE))</f>
        <v>3SNMLBMNGTBF</v>
      </c>
      <c r="G131" s="269" t="str">
        <f>IF(D131="","",VLOOKUP(F131,製品マスタ!$G$5:$H$5002,2,FALSE))</f>
        <v>S</v>
      </c>
      <c r="H131" s="269" t="str">
        <f>IF(D131="","",VLOOKUP(F131,製品マスタ!$G$5:$K$5002,5,FALSE))</f>
        <v>MNGTBF</v>
      </c>
      <c r="I131" s="270" t="str">
        <f>IF(D131="","",VLOOKUP(F131,製品マスタ!$G$5:$L$5002,6,FALSE))</f>
        <v>メタルミー　ネーマー　銀艶　Ｂ</v>
      </c>
      <c r="J131" s="32" t="s">
        <v>447</v>
      </c>
      <c r="K131" s="270">
        <f>IF(D131="","",VLOOKUP(D131,契約台帳!$A$3:$L$4986,12,FALSE))</f>
        <v>50</v>
      </c>
      <c r="L131" s="270" t="str">
        <f>IF(D131="","",INDEX(製品マスタ!$Q$5:$Q$5002,MATCH(F131&amp;K131,製品マスタ!$AO$5:$AO$5002,0)))</f>
        <v>T62</v>
      </c>
      <c r="M131" s="39">
        <v>1120</v>
      </c>
      <c r="N131" s="39">
        <v>10000</v>
      </c>
      <c r="O131" s="47">
        <v>2</v>
      </c>
      <c r="P131" s="57">
        <v>44965</v>
      </c>
      <c r="Q131" s="276">
        <f>IF(D131="","",IF(J131="リード付け",M131,VLOOKUP(D131,契約台帳!$A$3:$N$4986,14,FALSE)))</f>
        <v>1120</v>
      </c>
      <c r="R131" s="277">
        <f>IF(D131="","",IF(J131="リード付け",M131,VLOOKUP(D131,契約台帳!$A$3:$O$4986,15,FALSE)))</f>
        <v>1120</v>
      </c>
      <c r="S131" s="277">
        <f>IF(D131="","",IF(J131="リード付け",N131,VLOOKUP(D131,契約台帳!$A$3:$P$4986,16,FALSE)))</f>
        <v>5000</v>
      </c>
      <c r="T131" s="40">
        <v>4</v>
      </c>
      <c r="U131" s="278" t="str">
        <f ca="1">IF(D131="","",IF(OFFSET(D131,-2,0)=D131,"",VLOOKUP(D131,契約台帳!$A$3:$R$4986,18,FALSE)))</f>
        <v/>
      </c>
      <c r="V131" s="269" t="str">
        <f>IF(J131="巻返し",VLOOKUP(F131&amp;K131&amp;M131,製品マスタ!$M$5:$AD$5002,18,FALSE),IF(J131="リード付け","原反コア",IF(J131="スリット",VLOOKUP(F131&amp;K131&amp;Q131,製品マスタ!$N$5:$AD$5002,17,FALSE),"")))</f>
        <v>6ｲﾝﾁSｺｱ</v>
      </c>
      <c r="W131" s="269">
        <f>IF(J131="巻返し",VLOOKUP(F131&amp;K131&amp;M131,製品マスタ!$M$5:$AE$5002,19,FALSE),IF(J131="リード付け","-",IF(J131="スリット",VLOOKUP(F131&amp;K131&amp;Q131,製品マスタ!$N$5:$AE$5002,18,FALSE),"")))</f>
        <v>1125</v>
      </c>
      <c r="X131" s="275">
        <f>IF(D131="","",VLOOKUP(D131,契約台帳!$A$3:$Q$4986,17,FALSE))</f>
        <v>2</v>
      </c>
      <c r="Y131" s="269" t="str">
        <f>IF(D131="","",VLOOKUP(D131,契約台帳!$A$3:$E$4986,5,FALSE))</f>
        <v>リンテック㈱</v>
      </c>
      <c r="Z131" s="57"/>
      <c r="AA131" s="207" t="str">
        <f>IFERROR(VLOOKUP(F131&amp;K131&amp;M131,製品マスタ!$M$5:$AM$5002,27,FALSE),"")</f>
        <v>原反ケース再利用</v>
      </c>
      <c r="AB131" s="33"/>
      <c r="AC131" s="189"/>
      <c r="AD131" s="54" t="str">
        <f>IF(F131="","",+F131&amp;K131)</f>
        <v>3SNMLBMNGTBF50</v>
      </c>
      <c r="AE131" s="55">
        <f>+M131*N131*O131/1000</f>
        <v>22400</v>
      </c>
      <c r="AF131" s="43">
        <f>IF(AD131="","",VLOOKUP(AD131,原価マスタ!$A$2:$AJ$1693,13,FALSE))</f>
        <v>99</v>
      </c>
      <c r="AG131" s="47">
        <f>IF(AF131="","",+AE131*AF131/100)</f>
        <v>22176</v>
      </c>
      <c r="AH131" s="30"/>
      <c r="AI131" s="30"/>
      <c r="AJ131" s="30"/>
      <c r="AK131" s="30"/>
      <c r="AL131" s="13"/>
      <c r="AM131" s="13"/>
      <c r="AN131" s="13"/>
      <c r="AO131" s="13"/>
      <c r="AP131" s="13"/>
      <c r="AQ131" s="14"/>
      <c r="AR131" s="15"/>
    </row>
    <row r="132" spans="1:44" s="17" customFormat="1" ht="30.95" hidden="1" customHeight="1" x14ac:dyDescent="0.2">
      <c r="A132" s="37"/>
      <c r="B132" s="38"/>
      <c r="C132" s="45"/>
      <c r="D132" s="31"/>
      <c r="E132" s="31"/>
      <c r="F132" s="268"/>
      <c r="G132" s="269"/>
      <c r="H132" s="269"/>
      <c r="I132" s="270"/>
      <c r="J132" s="32"/>
      <c r="K132" s="270"/>
      <c r="L132" s="270"/>
      <c r="M132" s="39"/>
      <c r="N132" s="39"/>
      <c r="O132" s="47"/>
      <c r="P132" s="57"/>
      <c r="Q132" s="276"/>
      <c r="R132" s="277"/>
      <c r="S132" s="277"/>
      <c r="T132" s="40"/>
      <c r="U132" s="278"/>
      <c r="V132" s="269"/>
      <c r="W132" s="269"/>
      <c r="X132" s="275"/>
      <c r="Y132" s="269"/>
      <c r="Z132" s="57"/>
      <c r="AA132" s="207"/>
      <c r="AB132" s="33"/>
      <c r="AC132" s="189"/>
      <c r="AD132" s="54"/>
      <c r="AE132" s="55"/>
      <c r="AF132" s="43"/>
      <c r="AG132" s="47"/>
      <c r="AH132" s="30"/>
      <c r="AI132" s="30"/>
      <c r="AJ132" s="30"/>
      <c r="AK132" s="30"/>
      <c r="AL132" s="13"/>
      <c r="AM132" s="13"/>
      <c r="AN132" s="13"/>
      <c r="AO132" s="13"/>
      <c r="AP132" s="13"/>
      <c r="AQ132" s="14"/>
      <c r="AR132" s="15"/>
    </row>
    <row r="133" spans="1:44" s="17" customFormat="1" ht="30.95" hidden="1" customHeight="1" x14ac:dyDescent="0.2">
      <c r="A133" s="37"/>
      <c r="B133" s="38"/>
      <c r="C133" s="45"/>
      <c r="D133" s="31">
        <v>3697666</v>
      </c>
      <c r="E133" s="31">
        <v>4151282</v>
      </c>
      <c r="F133" s="268" t="str">
        <f>IF(D133="","",VLOOKUP(D133,契約台帳!$A$3:$K$4986,6,FALSE)&amp;VLOOKUP(D133,契約台帳!$A$3:$K$4986,7,FALSE)&amp;VLOOKUP(D133,契約台帳!$A$3:$K$4986,8,FALSE)&amp;VLOOKUP(D133,契約台帳!$A$3:$K$4986,9,FALSE)&amp;VLOOKUP(D133,契約台帳!$A$3:$K$4986,11,FALSE))</f>
        <v>3SNMLBMNGTBF</v>
      </c>
      <c r="G133" s="269" t="str">
        <f>IF(D133="","",VLOOKUP(F133,製品マスタ!$G$5:$H$5002,2,FALSE))</f>
        <v>S</v>
      </c>
      <c r="H133" s="269" t="str">
        <f>IF(D133="","",VLOOKUP(F133,製品マスタ!$G$5:$K$5002,5,FALSE))</f>
        <v>MNGTBF</v>
      </c>
      <c r="I133" s="270" t="str">
        <f>IF(D133="","",VLOOKUP(F133,製品マスタ!$G$5:$L$5002,6,FALSE))</f>
        <v>メタルミー　ネーマー　銀艶　Ｂ</v>
      </c>
      <c r="J133" s="32" t="s">
        <v>893</v>
      </c>
      <c r="K133" s="270">
        <f>IF(D133="","",VLOOKUP(D133,契約台帳!$A$3:$L$4986,12,FALSE))</f>
        <v>50</v>
      </c>
      <c r="L133" s="270" t="str">
        <f>IF(D133="","",INDEX(製品マスタ!$Q$5:$Q$5002,MATCH(F133&amp;K133,製品マスタ!$AO$5:$AO$5002,0)))</f>
        <v>T62</v>
      </c>
      <c r="M133" s="39">
        <v>1120</v>
      </c>
      <c r="N133" s="39">
        <v>10000</v>
      </c>
      <c r="O133" s="47">
        <v>5</v>
      </c>
      <c r="P133" s="57">
        <v>44965</v>
      </c>
      <c r="Q133" s="276">
        <f>IF(D133="","",IF(J133="リード付け",M133,VLOOKUP(D133,契約台帳!$A$3:$N$4986,14,FALSE)))</f>
        <v>1120</v>
      </c>
      <c r="R133" s="277">
        <f>IF(D133="","",IF(J133="リード付け",M133,VLOOKUP(D133,契約台帳!$A$3:$O$4986,15,FALSE)))</f>
        <v>1120</v>
      </c>
      <c r="S133" s="277">
        <f>IF(D133="","",IF(J133="リード付け",N133,VLOOKUP(D133,契約台帳!$A$3:$P$4986,16,FALSE)))</f>
        <v>5000</v>
      </c>
      <c r="T133" s="40">
        <v>10</v>
      </c>
      <c r="U133" s="278">
        <f ca="1">IF(D133="","",IF(OFFSET(D133,-2,0)=D133,"",VLOOKUP(D133,契約台帳!$A$3:$R$4986,18,FALSE)))</f>
        <v>14</v>
      </c>
      <c r="V133" s="269" t="str">
        <f>IF(J133="巻返し",VLOOKUP(F133&amp;K133&amp;M133,製品マスタ!$M$5:$AD$5002,18,FALSE),IF(J133="リード付け","原反コア",IF(J133="スリット",VLOOKUP(F133&amp;K133&amp;Q133,製品マスタ!$N$5:$AD$5002,17,FALSE),"")))</f>
        <v>6ｲﾝﾁSｺｱ</v>
      </c>
      <c r="W133" s="269">
        <f>IF(J133="巻返し",VLOOKUP(F133&amp;K133&amp;M133,製品マスタ!$M$5:$AE$5002,19,FALSE),IF(J133="リード付け","-",IF(J133="スリット",VLOOKUP(F133&amp;K133&amp;Q133,製品マスタ!$N$5:$AE$5002,18,FALSE),"")))</f>
        <v>1125</v>
      </c>
      <c r="X133" s="275">
        <f>IF(D133="","",VLOOKUP(D133,契約台帳!$A$3:$Q$4986,17,FALSE))</f>
        <v>2</v>
      </c>
      <c r="Y133" s="269" t="str">
        <f>IF(D133="","",VLOOKUP(D133,契約台帳!$A$3:$E$4986,5,FALSE))</f>
        <v>リンテック㈱</v>
      </c>
      <c r="Z133" s="57"/>
      <c r="AA133" s="207" t="str">
        <f>IFERROR(VLOOKUP(F133&amp;K133&amp;M133,製品マスタ!$M$5:$AM$5002,27,FALSE),"")</f>
        <v>原反ケース再利用</v>
      </c>
      <c r="AB133" s="33"/>
      <c r="AC133" s="189"/>
      <c r="AD133" s="54" t="str">
        <f>IF(F133="","",+F133&amp;K133)</f>
        <v>3SNMLBMNGTBF50</v>
      </c>
      <c r="AE133" s="55">
        <f>+M133*N133*O133/1000</f>
        <v>56000</v>
      </c>
      <c r="AF133" s="43">
        <f>IF(AD133="","",VLOOKUP(AD133,原価マスタ!$A$2:$AJ$1693,13,FALSE))</f>
        <v>99</v>
      </c>
      <c r="AG133" s="47">
        <f>IF(AF133="","",+AE133*AF133/100)</f>
        <v>55440</v>
      </c>
      <c r="AH133" s="30"/>
      <c r="AI133" s="30"/>
      <c r="AJ133" s="30"/>
      <c r="AK133" s="30"/>
      <c r="AL133" s="13"/>
      <c r="AM133" s="13"/>
      <c r="AN133" s="13"/>
      <c r="AO133" s="13"/>
      <c r="AP133" s="13"/>
      <c r="AQ133" s="14"/>
      <c r="AR133" s="15"/>
    </row>
    <row r="134" spans="1:44" s="17" customFormat="1" ht="30.95" hidden="1" customHeight="1" x14ac:dyDescent="0.2">
      <c r="A134" s="37"/>
      <c r="B134" s="38"/>
      <c r="C134" s="45"/>
      <c r="D134" s="31"/>
      <c r="E134" s="31"/>
      <c r="F134" s="268" t="str">
        <f>IF(D134="","",VLOOKUP(D134,契約台帳!$A$3:$K$4986,6,FALSE)&amp;VLOOKUP(D134,契約台帳!$A$3:$K$4986,7,FALSE)&amp;VLOOKUP(D134,契約台帳!$A$3:$K$4986,8,FALSE)&amp;VLOOKUP(D134,契約台帳!$A$3:$K$4986,9,FALSE)&amp;VLOOKUP(D134,契約台帳!$A$3:$K$4986,11,FALSE))</f>
        <v/>
      </c>
      <c r="G134" s="269" t="str">
        <f>IF(D134="","",VLOOKUP(F134,製品マスタ!$G$5:$H$5002,2,FALSE))</f>
        <v/>
      </c>
      <c r="H134" s="269" t="str">
        <f>IF(D134="","",VLOOKUP(F134,製品マスタ!$G$5:$K$5002,5,FALSE))</f>
        <v/>
      </c>
      <c r="I134" s="270" t="str">
        <f>IF(D134="","",VLOOKUP(F134,製品マスタ!$G$5:$L$5002,6,FALSE))</f>
        <v/>
      </c>
      <c r="J134" s="32"/>
      <c r="K134" s="270" t="str">
        <f>IF(D134="","",VLOOKUP(D134,契約台帳!$A$3:$L$4986,12,FALSE))</f>
        <v/>
      </c>
      <c r="L134" s="270" t="str">
        <f>IF(D134="","",INDEX(製品マスタ!$Q$5:$Q$5002,MATCH(F134&amp;K134,製品マスタ!$AO$5:$AO$5002,0)))</f>
        <v/>
      </c>
      <c r="M134" s="39"/>
      <c r="N134" s="39"/>
      <c r="O134" s="47"/>
      <c r="P134" s="57"/>
      <c r="Q134" s="276" t="str">
        <f>IF(D134="","",IF(J134="リード付け",M134,VLOOKUP(D134,契約台帳!$A$3:$N$4986,14,FALSE)))</f>
        <v/>
      </c>
      <c r="R134" s="277" t="str">
        <f>IF(D134="","",IF(J134="リード付け",M134,VLOOKUP(D134,契約台帳!$A$3:$O$4986,15,FALSE)))</f>
        <v/>
      </c>
      <c r="S134" s="277" t="str">
        <f>IF(D134="","",IF(J134="リード付け",N134,VLOOKUP(D134,契約台帳!$A$3:$P$4986,16,FALSE)))</f>
        <v/>
      </c>
      <c r="T134" s="40"/>
      <c r="U134" s="278" t="str">
        <f ca="1">IF(D134="","",IF(OFFSET(D134,-2,0)=D134,"",VLOOKUP(D134,契約台帳!$A$3:$R$4986,18,FALSE)))</f>
        <v/>
      </c>
      <c r="V134" s="269" t="str">
        <f>IF(J134="巻返し",VLOOKUP(F134&amp;K134&amp;M134,製品マスタ!$M$5:$AD$5002,18,FALSE),IF(J134="リード付け","原反コア",IF(J134="スリット",VLOOKUP(F134&amp;K134&amp;Q134,製品マスタ!$N$5:$AD$5002,17,FALSE),"")))</f>
        <v/>
      </c>
      <c r="W134" s="269" t="str">
        <f>IF(J134="巻返し",VLOOKUP(F134&amp;K134&amp;M134,製品マスタ!$M$5:$AE$5002,19,FALSE),IF(J134="リード付け","-",IF(J134="スリット",VLOOKUP(F134&amp;K134&amp;Q134,製品マスタ!$N$5:$AE$5002,18,FALSE),"")))</f>
        <v/>
      </c>
      <c r="X134" s="275" t="str">
        <f>IF(D134="","",VLOOKUP(D134,契約台帳!$A$3:$Q$4986,17,FALSE))</f>
        <v/>
      </c>
      <c r="Y134" s="269" t="str">
        <f>IF(D134="","",VLOOKUP(D134,契約台帳!$A$3:$E$4986,5,FALSE))</f>
        <v/>
      </c>
      <c r="Z134" s="57"/>
      <c r="AA134" s="207" t="str">
        <f>IFERROR(VLOOKUP(F134&amp;K134&amp;M134,製品マスタ!$M$5:$AM$5002,27,FALSE),"")</f>
        <v/>
      </c>
      <c r="AB134" s="33"/>
      <c r="AC134" s="189"/>
      <c r="AD134" s="54"/>
      <c r="AE134" s="55"/>
      <c r="AF134" s="43"/>
      <c r="AG134" s="47"/>
      <c r="AH134" s="30"/>
      <c r="AI134" s="30"/>
      <c r="AJ134" s="30"/>
      <c r="AK134" s="30"/>
      <c r="AL134" s="13"/>
      <c r="AM134" s="13"/>
      <c r="AN134" s="13"/>
      <c r="AO134" s="13"/>
      <c r="AP134" s="13"/>
      <c r="AQ134" s="14"/>
      <c r="AR134" s="15"/>
    </row>
    <row r="135" spans="1:44" s="17" customFormat="1" ht="30.95" hidden="1" customHeight="1" x14ac:dyDescent="0.2">
      <c r="A135" s="37" t="s">
        <v>894</v>
      </c>
      <c r="B135" s="38" t="s">
        <v>895</v>
      </c>
      <c r="C135" s="45"/>
      <c r="D135" s="31">
        <v>3697666</v>
      </c>
      <c r="E135" s="31">
        <v>4151282</v>
      </c>
      <c r="F135" s="268" t="str">
        <f>IF(D135="","",VLOOKUP(D135,契約台帳!$A$3:$K$4986,6,FALSE)&amp;VLOOKUP(D135,契約台帳!$A$3:$K$4986,7,FALSE)&amp;VLOOKUP(D135,契約台帳!$A$3:$K$4986,8,FALSE)&amp;VLOOKUP(D135,契約台帳!$A$3:$K$4986,9,FALSE)&amp;VLOOKUP(D135,契約台帳!$A$3:$K$4986,11,FALSE))</f>
        <v>3SNMLBMNGTBF</v>
      </c>
      <c r="G135" s="269" t="str">
        <f>IF(D135="","",VLOOKUP(F135,製品マスタ!$G$5:$H$5002,2,FALSE))</f>
        <v>S</v>
      </c>
      <c r="H135" s="269" t="str">
        <f>IF(D135="","",VLOOKUP(F135,製品マスタ!$G$5:$K$5002,5,FALSE))</f>
        <v>MNGTBF</v>
      </c>
      <c r="I135" s="270" t="str">
        <f>IF(D135="","",VLOOKUP(F135,製品マスタ!$G$5:$L$5002,6,FALSE))</f>
        <v>メタルミー　ネーマー　銀艶　Ｂ</v>
      </c>
      <c r="J135" s="32" t="s">
        <v>447</v>
      </c>
      <c r="K135" s="270">
        <f>IF(D135="","",VLOOKUP(D135,契約台帳!$A$3:$L$4986,12,FALSE))</f>
        <v>50</v>
      </c>
      <c r="L135" s="270" t="str">
        <f>IF(D135="","",INDEX(製品マスタ!$Q$5:$Q$5002,MATCH(F135&amp;K135,製品マスタ!$AO$5:$AO$5002,0)))</f>
        <v>T62</v>
      </c>
      <c r="M135" s="39">
        <v>1120</v>
      </c>
      <c r="N135" s="39">
        <v>10000</v>
      </c>
      <c r="O135" s="47">
        <v>2</v>
      </c>
      <c r="P135" s="57">
        <v>44965</v>
      </c>
      <c r="Q135" s="276">
        <f>IF(D135="","",IF(J135="リード付け",M135,VLOOKUP(D135,契約台帳!$A$3:$N$4986,14,FALSE)))</f>
        <v>1120</v>
      </c>
      <c r="R135" s="277">
        <f>IF(D135="","",IF(J135="リード付け",M135,VLOOKUP(D135,契約台帳!$A$3:$O$4986,15,FALSE)))</f>
        <v>1120</v>
      </c>
      <c r="S135" s="277">
        <f>IF(D135="","",IF(J135="リード付け",N135,VLOOKUP(D135,契約台帳!$A$3:$P$4986,16,FALSE)))</f>
        <v>5000</v>
      </c>
      <c r="T135" s="40">
        <v>4</v>
      </c>
      <c r="U135" s="278" t="str">
        <f ca="1">IF(D135="","",IF(OFFSET(D135,-2,0)=D135,"",VLOOKUP(D135,契約台帳!$A$3:$R$4986,18,FALSE)))</f>
        <v/>
      </c>
      <c r="V135" s="269" t="str">
        <f>IF(J135="巻返し",VLOOKUP(F135&amp;K135&amp;M135,製品マスタ!$M$5:$AD$5002,18,FALSE),IF(J135="リード付け","原反コア",IF(J135="スリット",VLOOKUP(F135&amp;K135&amp;Q135,製品マスタ!$N$5:$AD$5002,17,FALSE),"")))</f>
        <v>6ｲﾝﾁSｺｱ</v>
      </c>
      <c r="W135" s="269">
        <f>IF(J135="巻返し",VLOOKUP(F135&amp;K135&amp;M135,製品マスタ!$M$5:$AE$5002,19,FALSE),IF(J135="リード付け","-",IF(J135="スリット",VLOOKUP(F135&amp;K135&amp;Q135,製品マスタ!$N$5:$AE$5002,18,FALSE),"")))</f>
        <v>1125</v>
      </c>
      <c r="X135" s="275">
        <f>IF(D135="","",VLOOKUP(D135,契約台帳!$A$3:$Q$4986,17,FALSE))</f>
        <v>2</v>
      </c>
      <c r="Y135" s="269" t="str">
        <f>IF(D135="","",VLOOKUP(D135,契約台帳!$A$3:$E$4986,5,FALSE))</f>
        <v>リンテック㈱</v>
      </c>
      <c r="Z135" s="57"/>
      <c r="AA135" s="207" t="str">
        <f>IFERROR(VLOOKUP(F135&amp;K135&amp;M135,製品マスタ!$M$5:$AM$5002,27,FALSE),"")</f>
        <v>原反ケース再利用</v>
      </c>
      <c r="AB135" s="33"/>
      <c r="AC135" s="189"/>
      <c r="AD135" s="54" t="str">
        <f>IF(F135="","",+F135&amp;K135)</f>
        <v>3SNMLBMNGTBF50</v>
      </c>
      <c r="AE135" s="55">
        <f>+M135*N135*O135/1000</f>
        <v>22400</v>
      </c>
      <c r="AF135" s="43">
        <f>IF(AD135="","",VLOOKUP(AD135,原価マスタ!$A$2:$AJ$1693,13,FALSE))</f>
        <v>99</v>
      </c>
      <c r="AG135" s="47">
        <f>IF(AF135="","",+AE135*AF135/100)</f>
        <v>22176</v>
      </c>
      <c r="AH135" s="30"/>
      <c r="AI135" s="30"/>
      <c r="AJ135" s="30"/>
      <c r="AK135" s="30"/>
      <c r="AL135" s="13"/>
      <c r="AM135" s="13"/>
      <c r="AN135" s="13"/>
      <c r="AO135" s="13"/>
      <c r="AP135" s="13"/>
      <c r="AQ135" s="14"/>
      <c r="AR135" s="15"/>
    </row>
    <row r="136" spans="1:44" s="17" customFormat="1" ht="30.95" hidden="1" customHeight="1" x14ac:dyDescent="0.2">
      <c r="A136" s="37"/>
      <c r="B136" s="38"/>
      <c r="C136" s="45"/>
      <c r="D136" s="31"/>
      <c r="E136" s="31"/>
      <c r="F136" s="268" t="str">
        <f>IF(D136="","",VLOOKUP(D136,契約台帳!$A$3:$K$4986,6,FALSE)&amp;VLOOKUP(D136,契約台帳!$A$3:$K$4986,7,FALSE)&amp;VLOOKUP(D136,契約台帳!$A$3:$K$4986,8,FALSE)&amp;VLOOKUP(D136,契約台帳!$A$3:$K$4986,9,FALSE)&amp;VLOOKUP(D136,契約台帳!$A$3:$K$4986,11,FALSE))</f>
        <v/>
      </c>
      <c r="G136" s="269" t="str">
        <f>IF(D136="","",VLOOKUP(F136,製品マスタ!$G$5:$H$5002,2,FALSE))</f>
        <v/>
      </c>
      <c r="H136" s="269" t="str">
        <f>IF(D136="","",VLOOKUP(F136,製品マスタ!$G$5:$K$5002,5,FALSE))</f>
        <v/>
      </c>
      <c r="I136" s="270" t="str">
        <f>IF(D136="","",VLOOKUP(F136,製品マスタ!$G$5:$L$5002,6,FALSE))</f>
        <v/>
      </c>
      <c r="J136" s="32"/>
      <c r="K136" s="270" t="str">
        <f>IF(D136="","",VLOOKUP(D136,契約台帳!$A$3:$L$4986,12,FALSE))</f>
        <v/>
      </c>
      <c r="L136" s="270" t="str">
        <f>IF(D136="","",INDEX(製品マスタ!$Q$5:$Q$5002,MATCH(F136&amp;K136,製品マスタ!$AO$5:$AO$5002,0)))</f>
        <v/>
      </c>
      <c r="M136" s="39"/>
      <c r="N136" s="39"/>
      <c r="O136" s="47"/>
      <c r="P136" s="57"/>
      <c r="Q136" s="276" t="str">
        <f>IF(D136="","",IF(J136="リード付け",M136,VLOOKUP(D136,契約台帳!$A$3:$N$4986,14,FALSE)))</f>
        <v/>
      </c>
      <c r="R136" s="277" t="str">
        <f>IF(D136="","",IF(J136="リード付け",M136,VLOOKUP(D136,契約台帳!$A$3:$O$4986,15,FALSE)))</f>
        <v/>
      </c>
      <c r="S136" s="277" t="str">
        <f>IF(D136="","",IF(J136="リード付け",N136,VLOOKUP(D136,契約台帳!$A$3:$P$4986,16,FALSE)))</f>
        <v/>
      </c>
      <c r="T136" s="40"/>
      <c r="U136" s="278" t="str">
        <f ca="1">IF(D136="","",IF(OFFSET(D136,-2,0)=D136,"",VLOOKUP(D136,契約台帳!$A$3:$R$4986,18,FALSE)))</f>
        <v/>
      </c>
      <c r="V136" s="269" t="str">
        <f>IF(J136="巻返し",VLOOKUP(F136&amp;K136&amp;M136,製品マスタ!$M$5:$AD$5002,18,FALSE),IF(J136="リード付け","原反コア",IF(J136="スリット",VLOOKUP(F136&amp;K136&amp;Q136,製品マスタ!$N$5:$AD$5002,17,FALSE),"")))</f>
        <v/>
      </c>
      <c r="W136" s="269" t="str">
        <f>IF(J136="巻返し",VLOOKUP(F136&amp;K136&amp;M136,製品マスタ!$M$5:$AE$5002,19,FALSE),IF(J136="リード付け","-",IF(J136="スリット",VLOOKUP(F136&amp;K136&amp;Q136,製品マスタ!$N$5:$AE$5002,18,FALSE),"")))</f>
        <v/>
      </c>
      <c r="X136" s="275" t="str">
        <f>IF(D136="","",VLOOKUP(D136,契約台帳!$A$3:$Q$4986,17,FALSE))</f>
        <v/>
      </c>
      <c r="Y136" s="269" t="str">
        <f>IF(D136="","",VLOOKUP(D136,契約台帳!$A$3:$E$4986,5,FALSE))</f>
        <v/>
      </c>
      <c r="Z136" s="57"/>
      <c r="AA136" s="207" t="str">
        <f>IFERROR(VLOOKUP(F136&amp;K136&amp;M136,製品マスタ!$M$5:$AM$5002,27,FALSE),"")</f>
        <v/>
      </c>
      <c r="AB136" s="33"/>
      <c r="AC136" s="189"/>
      <c r="AD136" s="54"/>
      <c r="AE136" s="55"/>
      <c r="AF136" s="43"/>
      <c r="AG136" s="47"/>
      <c r="AH136" s="30"/>
      <c r="AI136" s="30"/>
      <c r="AJ136" s="30"/>
      <c r="AK136" s="30"/>
      <c r="AL136" s="13"/>
      <c r="AM136" s="13"/>
      <c r="AN136" s="13"/>
      <c r="AO136" s="13"/>
      <c r="AP136" s="13"/>
      <c r="AQ136" s="14"/>
      <c r="AR136" s="15"/>
    </row>
    <row r="137" spans="1:44" s="17" customFormat="1" ht="30.95" hidden="1" customHeight="1" x14ac:dyDescent="0.2">
      <c r="A137" s="37"/>
      <c r="B137" s="38"/>
      <c r="C137" s="45"/>
      <c r="D137" s="31">
        <v>3697857</v>
      </c>
      <c r="E137" s="31">
        <v>4151297</v>
      </c>
      <c r="F137" s="268" t="str">
        <f>IF(D137="","",VLOOKUP(D137,契約台帳!$A$3:$K$4986,6,FALSE)&amp;VLOOKUP(D137,契約台帳!$A$3:$K$4986,7,FALSE)&amp;VLOOKUP(D137,契約台帳!$A$3:$K$4986,8,FALSE)&amp;VLOOKUP(D137,契約台帳!$A$3:$K$4986,9,FALSE)&amp;VLOOKUP(D137,契約台帳!$A$3:$K$4986,11,FALSE))</f>
        <v>3SNMLBMSF</v>
      </c>
      <c r="G137" s="269" t="str">
        <f>IF(D137="","",VLOOKUP(F137,製品マスタ!$G$5:$H$5002,2,FALSE))</f>
        <v>S</v>
      </c>
      <c r="H137" s="269" t="str">
        <f>IF(D137="","",VLOOKUP(F137,製品マスタ!$G$5:$K$5002,5,FALSE))</f>
        <v>MSF</v>
      </c>
      <c r="I137" s="270" t="str">
        <f>IF(D137="","",VLOOKUP(F137,製品マスタ!$G$5:$L$5002,6,FALSE))</f>
        <v>メタルミー　Ｓ</v>
      </c>
      <c r="J137" s="32" t="s">
        <v>463</v>
      </c>
      <c r="K137" s="270">
        <f>IF(D137="","",VLOOKUP(D137,契約台帳!$A$3:$L$4986,12,FALSE))</f>
        <v>25</v>
      </c>
      <c r="L137" s="270" t="str">
        <f>IF(D137="","",INDEX(製品マスタ!$Q$5:$Q$5002,MATCH(F137&amp;K137,製品マスタ!$AO$5:$AO$5002,0)))</f>
        <v>T62M</v>
      </c>
      <c r="M137" s="39">
        <v>1020</v>
      </c>
      <c r="N137" s="39">
        <v>12100</v>
      </c>
      <c r="O137" s="47">
        <v>1</v>
      </c>
      <c r="P137" s="57">
        <v>44967</v>
      </c>
      <c r="Q137" s="276">
        <f>IF(D137="","",IF(J137="リード付け",M137,VLOOKUP(D137,契約台帳!$A$3:$N$4986,14,FALSE)))</f>
        <v>1020</v>
      </c>
      <c r="R137" s="277">
        <f>IF(D137="","",IF(J137="リード付け",M137,VLOOKUP(D137,契約台帳!$A$3:$O$4986,15,FALSE)))</f>
        <v>1020</v>
      </c>
      <c r="S137" s="277">
        <f>IF(D137="","",IF(J137="リード付け",N137,VLOOKUP(D137,契約台帳!$A$3:$P$4986,16,FALSE)))</f>
        <v>2000</v>
      </c>
      <c r="T137" s="40">
        <v>6</v>
      </c>
      <c r="U137" s="278">
        <f ca="1">IF(D137="","",IF(OFFSET(D137,-2,0)=D137,"",VLOOKUP(D137,契約台帳!$A$3:$R$4986,18,FALSE)))</f>
        <v>6</v>
      </c>
      <c r="V137" s="269" t="str">
        <f>IF(J137="巻返し",VLOOKUP(F137&amp;K137&amp;M137,製品マスタ!$M$5:$AD$5002,18,FALSE),IF(J137="リード付け","原反コア",IF(J137="スリット",VLOOKUP(F137&amp;K137&amp;Q137,製品マスタ!$N$5:$AD$5002,17,FALSE),"")))</f>
        <v>3ｲﾝﾁSｺｱ</v>
      </c>
      <c r="W137" s="269">
        <f>IF(J137="巻返し",VLOOKUP(F137&amp;K137&amp;M137,製品マスタ!$M$5:$AE$5002,19,FALSE),IF(J137="リード付け","-",IF(J137="スリット",VLOOKUP(F137&amp;K137&amp;Q137,製品マスタ!$N$5:$AE$5002,18,FALSE),"")))</f>
        <v>1025</v>
      </c>
      <c r="X137" s="275">
        <f>IF(D137="","",VLOOKUP(D137,契約台帳!$A$3:$Q$4986,17,FALSE))</f>
        <v>2</v>
      </c>
      <c r="Y137" s="269" t="str">
        <f>IF(D137="","",VLOOKUP(D137,契約台帳!$A$3:$E$4986,5,FALSE))</f>
        <v>パナック㈱亀山工場</v>
      </c>
      <c r="Z137" s="57"/>
      <c r="AA137" s="207">
        <f>IFERROR(VLOOKUP(F137&amp;K137&amp;M137,製品マスタ!$M$5:$AM$5002,27,FALSE),"")</f>
        <v>0</v>
      </c>
      <c r="AB137" s="33"/>
      <c r="AC137" s="189"/>
      <c r="AD137" s="54" t="str">
        <f>IF(F137="","",+F137&amp;K137)</f>
        <v>3SNMLBMSF25</v>
      </c>
      <c r="AE137" s="55">
        <f>+M137*N137*O137/1000</f>
        <v>12342</v>
      </c>
      <c r="AF137" s="43">
        <f>IF(AD137="","",VLOOKUP(AD137,原価マスタ!$A$2:$AJ$1693,13,FALSE))</f>
        <v>97</v>
      </c>
      <c r="AG137" s="47">
        <f>IF(AF137="","",+AE137*AF137/100)</f>
        <v>11971.74</v>
      </c>
      <c r="AH137" s="30"/>
      <c r="AI137" s="30"/>
      <c r="AJ137" s="30"/>
      <c r="AK137" s="30"/>
      <c r="AL137" s="13"/>
      <c r="AM137" s="13"/>
      <c r="AN137" s="13"/>
      <c r="AO137" s="13"/>
      <c r="AP137" s="13"/>
      <c r="AQ137" s="14"/>
      <c r="AR137" s="15"/>
    </row>
    <row r="138" spans="1:44" s="17" customFormat="1" ht="30.95" hidden="1" customHeight="1" x14ac:dyDescent="0.2">
      <c r="A138" s="37"/>
      <c r="B138" s="38"/>
      <c r="C138" s="45"/>
      <c r="D138" s="31"/>
      <c r="E138" s="31"/>
      <c r="F138" s="268"/>
      <c r="G138" s="269"/>
      <c r="H138" s="269"/>
      <c r="I138" s="270"/>
      <c r="J138" s="32"/>
      <c r="K138" s="270"/>
      <c r="L138" s="270"/>
      <c r="M138" s="39"/>
      <c r="N138" s="39"/>
      <c r="O138" s="47"/>
      <c r="P138" s="57"/>
      <c r="Q138" s="276"/>
      <c r="R138" s="277"/>
      <c r="S138" s="277"/>
      <c r="T138" s="40"/>
      <c r="U138" s="278"/>
      <c r="V138" s="269"/>
      <c r="W138" s="269"/>
      <c r="X138" s="275"/>
      <c r="Y138" s="269"/>
      <c r="Z138" s="57"/>
      <c r="AA138" s="207"/>
      <c r="AB138" s="33"/>
      <c r="AC138" s="189"/>
      <c r="AD138" s="54"/>
      <c r="AE138" s="55"/>
      <c r="AF138" s="43"/>
      <c r="AG138" s="47"/>
      <c r="AH138" s="30"/>
      <c r="AI138" s="30"/>
      <c r="AJ138" s="30"/>
      <c r="AK138" s="30"/>
      <c r="AL138" s="13"/>
      <c r="AM138" s="13"/>
      <c r="AN138" s="13"/>
      <c r="AO138" s="13"/>
      <c r="AP138" s="13"/>
      <c r="AQ138" s="14"/>
      <c r="AR138" s="15"/>
    </row>
    <row r="139" spans="1:44" s="17" customFormat="1" ht="30.95" hidden="1" customHeight="1" x14ac:dyDescent="0.2">
      <c r="A139" s="37"/>
      <c r="B139" s="38"/>
      <c r="C139" s="45"/>
      <c r="D139" s="31">
        <v>3697647</v>
      </c>
      <c r="E139" s="31">
        <v>4151296</v>
      </c>
      <c r="F139" s="268" t="str">
        <f>IF(D139="","",VLOOKUP(D139,契約台帳!$A$3:$K$4986,6,FALSE)&amp;VLOOKUP(D139,契約台帳!$A$3:$K$4986,7,FALSE)&amp;VLOOKUP(D139,契約台帳!$A$3:$K$4986,8,FALSE)&amp;VLOOKUP(D139,契約台帳!$A$3:$K$4986,9,FALSE)&amp;VLOOKUP(D139,契約台帳!$A$3:$K$4986,11,FALSE))</f>
        <v>3SNMLBMTSF</v>
      </c>
      <c r="G139" s="269" t="str">
        <f>IF(D139="","",VLOOKUP(F139,製品マスタ!$G$5:$H$5002,2,FALSE))</f>
        <v>S</v>
      </c>
      <c r="H139" s="269" t="str">
        <f>IF(D139="","",VLOOKUP(F139,製品マスタ!$G$5:$K$5002,5,FALSE))</f>
        <v>MTSF</v>
      </c>
      <c r="I139" s="270" t="str">
        <f>IF(D139="","",VLOOKUP(F139,製品マスタ!$G$5:$L$5002,6,FALSE))</f>
        <v>メタルミー　ＴＳ</v>
      </c>
      <c r="J139" s="32" t="s">
        <v>463</v>
      </c>
      <c r="K139" s="270">
        <f>IF(D139="","",VLOOKUP(D139,契約台帳!$A$3:$L$4986,12,FALSE))</f>
        <v>75</v>
      </c>
      <c r="L139" s="270" t="str">
        <f>IF(D139="","",INDEX(製品マスタ!$Q$5:$Q$5002,MATCH(F139&amp;K139,製品マスタ!$AO$5:$AO$5002,0)))</f>
        <v>T60</v>
      </c>
      <c r="M139" s="39">
        <v>1100</v>
      </c>
      <c r="N139" s="39">
        <v>2000</v>
      </c>
      <c r="O139" s="47">
        <v>1</v>
      </c>
      <c r="P139" s="57">
        <v>44967</v>
      </c>
      <c r="Q139" s="276">
        <f>IF(D139="","",IF(J139="リード付け",M139,VLOOKUP(D139,契約台帳!$A$3:$N$4986,14,FALSE)))</f>
        <v>1000</v>
      </c>
      <c r="R139" s="277">
        <f>IF(D139="","",IF(J139="リード付け",M139,VLOOKUP(D139,契約台帳!$A$3:$O$4986,15,FALSE)))</f>
        <v>1000</v>
      </c>
      <c r="S139" s="277">
        <f>IF(D139="","",IF(J139="リード付け",N139,VLOOKUP(D139,契約台帳!$A$3:$P$4986,16,FALSE)))</f>
        <v>1000</v>
      </c>
      <c r="T139" s="40">
        <v>2</v>
      </c>
      <c r="U139" s="278">
        <f ca="1">IF(D139="","",IF(OFFSET(D139,-2,0)=D139,"",VLOOKUP(D139,契約台帳!$A$3:$R$4986,18,FALSE)))</f>
        <v>2</v>
      </c>
      <c r="V139" s="269" t="str">
        <f>IF(J139="巻返し",VLOOKUP(F139&amp;K139&amp;M139,製品マスタ!$M$5:$AD$5002,18,FALSE),IF(J139="リード付け","原反コア",IF(J139="スリット",VLOOKUP(F139&amp;K139&amp;Q139,製品マスタ!$N$5:$AD$5002,17,FALSE),"")))</f>
        <v>3ｲﾝﾁSｺｱ</v>
      </c>
      <c r="W139" s="269">
        <f>IF(J139="巻返し",VLOOKUP(F139&amp;K139&amp;M139,製品マスタ!$M$5:$AE$5002,19,FALSE),IF(J139="リード付け","-",IF(J139="スリット",VLOOKUP(F139&amp;K139&amp;Q139,製品マスタ!$N$5:$AE$5002,18,FALSE),"")))</f>
        <v>1005</v>
      </c>
      <c r="X139" s="275">
        <f>IF(D139="","",VLOOKUP(D139,契約台帳!$A$3:$Q$4986,17,FALSE))</f>
        <v>2</v>
      </c>
      <c r="Y139" s="269" t="str">
        <f>IF(D139="","",VLOOKUP(D139,契約台帳!$A$3:$E$4986,5,FALSE))</f>
        <v>パナック㈱亀山工場</v>
      </c>
      <c r="Z139" s="57"/>
      <c r="AA139" s="207">
        <f>IFERROR(VLOOKUP(F139&amp;K139&amp;M139,製品マスタ!$M$5:$AM$5002,27,FALSE),"")</f>
        <v>0</v>
      </c>
      <c r="AB139" s="33"/>
      <c r="AC139" s="189"/>
      <c r="AD139" s="54" t="str">
        <f>IF(F139="","",+F139&amp;K139)</f>
        <v>3SNMLBMTSF75</v>
      </c>
      <c r="AE139" s="55">
        <f>+M139*N139*O139/1000</f>
        <v>2200</v>
      </c>
      <c r="AF139" s="43">
        <f>IF(AD139="","",VLOOKUP(AD139,原価マスタ!$A$2:$AJ$1693,13,FALSE))</f>
        <v>86</v>
      </c>
      <c r="AG139" s="47">
        <f>IF(AF139="","",+AE139*AF139/100)</f>
        <v>1892</v>
      </c>
      <c r="AH139" s="30"/>
      <c r="AI139" s="30"/>
      <c r="AJ139" s="30"/>
      <c r="AK139" s="30"/>
      <c r="AL139" s="13"/>
      <c r="AM139" s="13"/>
      <c r="AN139" s="13"/>
      <c r="AO139" s="13"/>
      <c r="AP139" s="13"/>
      <c r="AQ139" s="14"/>
      <c r="AR139" s="15"/>
    </row>
    <row r="140" spans="1:44" s="17" customFormat="1" ht="30.95" hidden="1" customHeight="1" x14ac:dyDescent="0.2">
      <c r="A140" s="37"/>
      <c r="B140" s="38"/>
      <c r="C140" s="45"/>
      <c r="D140" s="31"/>
      <c r="E140" s="31"/>
      <c r="F140" s="268"/>
      <c r="G140" s="269"/>
      <c r="H140" s="269"/>
      <c r="I140" s="270"/>
      <c r="J140" s="32"/>
      <c r="K140" s="270"/>
      <c r="L140" s="270"/>
      <c r="M140" s="39"/>
      <c r="N140" s="39"/>
      <c r="O140" s="47"/>
      <c r="P140" s="57"/>
      <c r="Q140" s="276"/>
      <c r="R140" s="277"/>
      <c r="S140" s="277"/>
      <c r="T140" s="40"/>
      <c r="U140" s="278"/>
      <c r="V140" s="269"/>
      <c r="W140" s="269"/>
      <c r="X140" s="275"/>
      <c r="Y140" s="269"/>
      <c r="Z140" s="57"/>
      <c r="AA140" s="207"/>
      <c r="AB140" s="33"/>
      <c r="AC140" s="189"/>
      <c r="AD140" s="54"/>
      <c r="AE140" s="55"/>
      <c r="AF140" s="43"/>
      <c r="AG140" s="47"/>
      <c r="AH140" s="30"/>
      <c r="AI140" s="30"/>
      <c r="AJ140" s="30"/>
      <c r="AK140" s="30"/>
      <c r="AL140" s="13"/>
      <c r="AM140" s="13"/>
      <c r="AN140" s="13"/>
      <c r="AO140" s="13"/>
      <c r="AP140" s="13"/>
      <c r="AQ140" s="14"/>
      <c r="AR140" s="15"/>
    </row>
    <row r="141" spans="1:44" s="17" customFormat="1" ht="30.95" hidden="1" customHeight="1" x14ac:dyDescent="0.2">
      <c r="A141" s="37" t="s">
        <v>883</v>
      </c>
      <c r="B141" s="38" t="s">
        <v>877</v>
      </c>
      <c r="C141" s="45"/>
      <c r="D141" s="31"/>
      <c r="E141" s="31"/>
      <c r="F141" s="268" t="str">
        <f>IF(D141="","",VLOOKUP(D141,契約台帳!$A$3:$K$4986,6,FALSE)&amp;VLOOKUP(D141,契約台帳!$A$3:$K$4986,7,FALSE)&amp;VLOOKUP(D141,契約台帳!$A$3:$K$4986,8,FALSE)&amp;VLOOKUP(D141,契約台帳!$A$3:$K$4986,9,FALSE)&amp;VLOOKUP(D141,契約台帳!$A$3:$K$4986,11,FALSE))</f>
        <v/>
      </c>
      <c r="G141" s="269" t="str">
        <f>IF(D141="","",VLOOKUP(F141,製品マスタ!$G$5:$H$5002,2,FALSE))</f>
        <v/>
      </c>
      <c r="H141" s="269" t="str">
        <f>IF(D141="","",VLOOKUP(F141,製品マスタ!$G$5:$K$5002,5,FALSE))</f>
        <v/>
      </c>
      <c r="I141" s="270" t="str">
        <f>IF(D141="","",VLOOKUP(F141,製品マスタ!$G$5:$L$5002,6,FALSE))</f>
        <v/>
      </c>
      <c r="J141" s="32" t="s">
        <v>448</v>
      </c>
      <c r="K141" s="270" t="str">
        <f>IF(D141="","",VLOOKUP(D141,契約台帳!$A$3:$L$4986,12,FALSE))</f>
        <v/>
      </c>
      <c r="L141" s="270" t="str">
        <f>IF(D141="","",INDEX(製品マスタ!$Q$5:$Q$5002,MATCH(F141&amp;K141,製品マスタ!$AO$5:$AO$5002,0)))</f>
        <v/>
      </c>
      <c r="M141" s="39"/>
      <c r="N141" s="39"/>
      <c r="O141" s="47"/>
      <c r="P141" s="57"/>
      <c r="Q141" s="276" t="str">
        <f>IF(D141="","",IF(J141="リード付け",M141,VLOOKUP(D141,契約台帳!$A$3:$N$4986,14,FALSE)))</f>
        <v/>
      </c>
      <c r="R141" s="277" t="str">
        <f>IF(D141="","",IF(J141="リード付け",M141,VLOOKUP(D141,契約台帳!$A$3:$O$4986,15,FALSE)))</f>
        <v/>
      </c>
      <c r="S141" s="277" t="str">
        <f>IF(D141="","",IF(J141="リード付け",N141,VLOOKUP(D141,契約台帳!$A$3:$P$4986,16,FALSE)))</f>
        <v/>
      </c>
      <c r="T141" s="40"/>
      <c r="U141" s="278" t="str">
        <f ca="1">IF(D141="","",IF(OFFSET(D141,-2,0)=D141,"",VLOOKUP(D141,契約台帳!$A$3:$R$4986,18,FALSE)))</f>
        <v/>
      </c>
      <c r="V141" s="269" t="str">
        <f>IF(J141="巻返し",VLOOKUP(F141&amp;K141&amp;M141,製品マスタ!$M$5:$AD$5002,18,FALSE),IF(J141="リード付け","原反コア",IF(J141="スリット",VLOOKUP(F141&amp;K141&amp;Q141,製品マスタ!$N$5:$AD$5002,17,FALSE),"")))</f>
        <v/>
      </c>
      <c r="W141" s="269" t="str">
        <f>IF(J141="巻返し",VLOOKUP(F141&amp;K141&amp;M141,製品マスタ!$M$5:$AE$5002,19,FALSE),IF(J141="リード付け","-",IF(J141="スリット",VLOOKUP(F141&amp;K141&amp;Q141,製品マスタ!$N$5:$AE$5002,18,FALSE),"")))</f>
        <v/>
      </c>
      <c r="X141" s="275" t="str">
        <f>IF(D141="","",VLOOKUP(D141,契約台帳!$A$3:$Q$4986,17,FALSE))</f>
        <v/>
      </c>
      <c r="Y141" s="269" t="str">
        <f>IF(D141="","",VLOOKUP(D141,契約台帳!$A$3:$E$4986,5,FALSE))</f>
        <v/>
      </c>
      <c r="Z141" s="57"/>
      <c r="AA141" s="207" t="str">
        <f>IFERROR(VLOOKUP(F141&amp;K141&amp;M141,製品マスタ!$M$5:$AM$5002,27,FALSE),"")</f>
        <v/>
      </c>
      <c r="AB141" s="33"/>
      <c r="AC141" s="189"/>
      <c r="AD141" s="54"/>
      <c r="AE141" s="55"/>
      <c r="AF141" s="43"/>
      <c r="AG141" s="47"/>
      <c r="AH141" s="30"/>
      <c r="AI141" s="30"/>
      <c r="AJ141" s="30"/>
      <c r="AK141" s="30"/>
      <c r="AL141" s="13"/>
      <c r="AM141" s="13"/>
      <c r="AN141" s="13"/>
      <c r="AO141" s="13"/>
      <c r="AP141" s="13"/>
      <c r="AQ141" s="14"/>
      <c r="AR141" s="15"/>
    </row>
    <row r="142" spans="1:44" s="17" customFormat="1" ht="30.95" hidden="1" customHeight="1" x14ac:dyDescent="0.2">
      <c r="A142" s="37"/>
      <c r="B142" s="38"/>
      <c r="C142" s="45"/>
      <c r="D142" s="31"/>
      <c r="E142" s="31"/>
      <c r="F142" s="268" t="str">
        <f>IF(D142="","",VLOOKUP(D142,契約台帳!$A$3:$K$4986,6,FALSE)&amp;VLOOKUP(D142,契約台帳!$A$3:$K$4986,7,FALSE)&amp;VLOOKUP(D142,契約台帳!$A$3:$K$4986,8,FALSE)&amp;VLOOKUP(D142,契約台帳!$A$3:$K$4986,9,FALSE)&amp;VLOOKUP(D142,契約台帳!$A$3:$K$4986,11,FALSE))</f>
        <v/>
      </c>
      <c r="G142" s="269" t="str">
        <f>IF(D142="","",VLOOKUP(F142,製品マスタ!$G$5:$H$5002,2,FALSE))</f>
        <v/>
      </c>
      <c r="H142" s="269" t="str">
        <f>IF(D142="","",VLOOKUP(F142,製品マスタ!$G$5:$K$5002,5,FALSE))</f>
        <v/>
      </c>
      <c r="I142" s="270" t="str">
        <f>IF(D142="","",VLOOKUP(F142,製品マスタ!$G$5:$L$5002,6,FALSE))</f>
        <v/>
      </c>
      <c r="J142" s="32"/>
      <c r="K142" s="270" t="str">
        <f>IF(D142="","",VLOOKUP(D142,契約台帳!$A$3:$L$4986,12,FALSE))</f>
        <v/>
      </c>
      <c r="L142" s="270" t="str">
        <f>IF(D142="","",INDEX(製品マスタ!$Q$5:$Q$5002,MATCH(F142&amp;K142,製品マスタ!$AO$5:$AO$5002,0)))</f>
        <v/>
      </c>
      <c r="M142" s="39"/>
      <c r="N142" s="39"/>
      <c r="O142" s="47"/>
      <c r="P142" s="57"/>
      <c r="Q142" s="276" t="str">
        <f>IF(D142="","",IF(J142="リード付け",M142,VLOOKUP(D142,契約台帳!$A$3:$N$4986,14,FALSE)))</f>
        <v/>
      </c>
      <c r="R142" s="277" t="str">
        <f>IF(D142="","",IF(J142="リード付け",M142,VLOOKUP(D142,契約台帳!$A$3:$O$4986,15,FALSE)))</f>
        <v/>
      </c>
      <c r="S142" s="277" t="str">
        <f>IF(D142="","",IF(J142="リード付け",N142,VLOOKUP(D142,契約台帳!$A$3:$P$4986,16,FALSE)))</f>
        <v/>
      </c>
      <c r="T142" s="40"/>
      <c r="U142" s="278" t="str">
        <f ca="1">IF(D142="","",IF(OFFSET(D142,-2,0)=D142,"",VLOOKUP(D142,契約台帳!$A$3:$R$4986,18,FALSE)))</f>
        <v/>
      </c>
      <c r="V142" s="269" t="str">
        <f>IF(J142="巻返し",VLOOKUP(F142&amp;K142&amp;M142,製品マスタ!$M$5:$AD$5002,18,FALSE),IF(J142="リード付け","原反コア",IF(J142="スリット",VLOOKUP(F142&amp;K142&amp;Q142,製品マスタ!$N$5:$AD$5002,17,FALSE),"")))</f>
        <v/>
      </c>
      <c r="W142" s="269" t="str">
        <f>IF(J142="巻返し",VLOOKUP(F142&amp;K142&amp;M142,製品マスタ!$M$5:$AE$5002,19,FALSE),IF(J142="リード付け","-",IF(J142="スリット",VLOOKUP(F142&amp;K142&amp;Q142,製品マスタ!$N$5:$AE$5002,18,FALSE),"")))</f>
        <v/>
      </c>
      <c r="X142" s="275" t="str">
        <f>IF(D142="","",VLOOKUP(D142,契約台帳!$A$3:$Q$4986,17,FALSE))</f>
        <v/>
      </c>
      <c r="Y142" s="269" t="str">
        <f>IF(D142="","",VLOOKUP(D142,契約台帳!$A$3:$E$4986,5,FALSE))</f>
        <v/>
      </c>
      <c r="Z142" s="57"/>
      <c r="AA142" s="207" t="str">
        <f>IFERROR(VLOOKUP(F142&amp;K142&amp;M142,製品マスタ!$M$5:$AM$5002,27,FALSE),"")</f>
        <v/>
      </c>
      <c r="AB142" s="33"/>
      <c r="AC142" s="189"/>
      <c r="AD142" s="54"/>
      <c r="AE142" s="55"/>
      <c r="AF142" s="43"/>
      <c r="AG142" s="47"/>
      <c r="AH142" s="30"/>
      <c r="AI142" s="30"/>
      <c r="AJ142" s="30"/>
      <c r="AK142" s="30"/>
      <c r="AL142" s="13"/>
      <c r="AM142" s="13"/>
      <c r="AN142" s="13"/>
      <c r="AO142" s="13"/>
      <c r="AP142" s="13"/>
      <c r="AQ142" s="14"/>
      <c r="AR142" s="15"/>
    </row>
    <row r="143" spans="1:44" s="17" customFormat="1" ht="30.95" hidden="1" customHeight="1" x14ac:dyDescent="0.2">
      <c r="A143" s="37" t="s">
        <v>884</v>
      </c>
      <c r="B143" s="38" t="s">
        <v>879</v>
      </c>
      <c r="C143" s="45"/>
      <c r="D143" s="31"/>
      <c r="E143" s="31"/>
      <c r="F143" s="268" t="str">
        <f>IF(D143="","",VLOOKUP(D143,契約台帳!$A$3:$K$4986,6,FALSE)&amp;VLOOKUP(D143,契約台帳!$A$3:$K$4986,7,FALSE)&amp;VLOOKUP(D143,契約台帳!$A$3:$K$4986,8,FALSE)&amp;VLOOKUP(D143,契約台帳!$A$3:$K$4986,9,FALSE)&amp;VLOOKUP(D143,契約台帳!$A$3:$K$4986,11,FALSE))</f>
        <v/>
      </c>
      <c r="G143" s="269" t="str">
        <f>IF(D143="","",VLOOKUP(F143,製品マスタ!$G$5:$H$5002,2,FALSE))</f>
        <v/>
      </c>
      <c r="H143" s="269" t="str">
        <f>IF(D143="","",VLOOKUP(F143,製品マスタ!$G$5:$K$5002,5,FALSE))</f>
        <v/>
      </c>
      <c r="I143" s="270" t="str">
        <f>IF(D143="","",VLOOKUP(F143,製品マスタ!$G$5:$L$5002,6,FALSE))</f>
        <v/>
      </c>
      <c r="J143" s="32" t="s">
        <v>448</v>
      </c>
      <c r="K143" s="270" t="str">
        <f>IF(D143="","",VLOOKUP(D143,契約台帳!$A$3:$L$4986,12,FALSE))</f>
        <v/>
      </c>
      <c r="L143" s="270" t="str">
        <f>IF(D143="","",INDEX(製品マスタ!$Q$5:$Q$5002,MATCH(F143&amp;K143,製品マスタ!$AO$5:$AO$5002,0)))</f>
        <v/>
      </c>
      <c r="M143" s="39"/>
      <c r="N143" s="39"/>
      <c r="O143" s="47"/>
      <c r="P143" s="57"/>
      <c r="Q143" s="276" t="str">
        <f>IF(D143="","",IF(J143="リード付け",M143,VLOOKUP(D143,契約台帳!$A$3:$N$4986,14,FALSE)))</f>
        <v/>
      </c>
      <c r="R143" s="277" t="str">
        <f>IF(D143="","",IF(J143="リード付け",M143,VLOOKUP(D143,契約台帳!$A$3:$O$4986,15,FALSE)))</f>
        <v/>
      </c>
      <c r="S143" s="277" t="str">
        <f>IF(D143="","",IF(J143="リード付け",N143,VLOOKUP(D143,契約台帳!$A$3:$P$4986,16,FALSE)))</f>
        <v/>
      </c>
      <c r="T143" s="40"/>
      <c r="U143" s="278" t="str">
        <f ca="1">IF(D143="","",IF(OFFSET(D143,-2,0)=D143,"",VLOOKUP(D143,契約台帳!$A$3:$R$4986,18,FALSE)))</f>
        <v/>
      </c>
      <c r="V143" s="269" t="str">
        <f>IF(J143="巻返し",VLOOKUP(F143&amp;K143&amp;M143,製品マスタ!$M$5:$AD$5002,18,FALSE),IF(J143="リード付け","原反コア",IF(J143="スリット",VLOOKUP(F143&amp;K143&amp;Q143,製品マスタ!$N$5:$AD$5002,17,FALSE),"")))</f>
        <v/>
      </c>
      <c r="W143" s="269" t="str">
        <f>IF(J143="巻返し",VLOOKUP(F143&amp;K143&amp;M143,製品マスタ!$M$5:$AE$5002,19,FALSE),IF(J143="リード付け","-",IF(J143="スリット",VLOOKUP(F143&amp;K143&amp;Q143,製品マスタ!$N$5:$AE$5002,18,FALSE),"")))</f>
        <v/>
      </c>
      <c r="X143" s="275" t="str">
        <f>IF(D143="","",VLOOKUP(D143,契約台帳!$A$3:$Q$4986,17,FALSE))</f>
        <v/>
      </c>
      <c r="Y143" s="269" t="str">
        <f>IF(D143="","",VLOOKUP(D143,契約台帳!$A$3:$E$4986,5,FALSE))</f>
        <v/>
      </c>
      <c r="Z143" s="57"/>
      <c r="AA143" s="207" t="str">
        <f>IFERROR(VLOOKUP(F143&amp;K143&amp;M143,製品マスタ!$M$5:$AM$5002,27,FALSE),"")</f>
        <v/>
      </c>
      <c r="AB143" s="33"/>
      <c r="AC143" s="189"/>
      <c r="AD143" s="54"/>
      <c r="AE143" s="55"/>
      <c r="AF143" s="43"/>
      <c r="AG143" s="47"/>
      <c r="AH143" s="30"/>
      <c r="AI143" s="30"/>
      <c r="AJ143" s="30"/>
      <c r="AK143" s="30"/>
      <c r="AL143" s="13"/>
      <c r="AM143" s="13"/>
      <c r="AN143" s="13"/>
      <c r="AO143" s="13"/>
      <c r="AP143" s="13"/>
      <c r="AQ143" s="14"/>
      <c r="AR143" s="15"/>
    </row>
    <row r="144" spans="1:44" s="17" customFormat="1" ht="30.95" hidden="1" customHeight="1" x14ac:dyDescent="0.2">
      <c r="A144" s="37"/>
      <c r="B144" s="38"/>
      <c r="C144" s="45"/>
      <c r="D144" s="31"/>
      <c r="E144" s="31"/>
      <c r="F144" s="268" t="str">
        <f>IF(D144="","",VLOOKUP(D144,契約台帳!$A$3:$K$4986,6,FALSE)&amp;VLOOKUP(D144,契約台帳!$A$3:$K$4986,7,FALSE)&amp;VLOOKUP(D144,契約台帳!$A$3:$K$4986,8,FALSE)&amp;VLOOKUP(D144,契約台帳!$A$3:$K$4986,9,FALSE)&amp;VLOOKUP(D144,契約台帳!$A$3:$K$4986,11,FALSE))</f>
        <v/>
      </c>
      <c r="G144" s="269" t="str">
        <f>IF(D144="","",VLOOKUP(F144,製品マスタ!$G$5:$H$5002,2,FALSE))</f>
        <v/>
      </c>
      <c r="H144" s="269" t="str">
        <f>IF(D144="","",VLOOKUP(F144,製品マスタ!$G$5:$K$5002,5,FALSE))</f>
        <v/>
      </c>
      <c r="I144" s="270" t="str">
        <f>IF(D144="","",VLOOKUP(F144,製品マスタ!$G$5:$L$5002,6,FALSE))</f>
        <v/>
      </c>
      <c r="J144" s="32"/>
      <c r="K144" s="270" t="str">
        <f>IF(D144="","",VLOOKUP(D144,契約台帳!$A$3:$L$4986,12,FALSE))</f>
        <v/>
      </c>
      <c r="L144" s="270" t="str">
        <f>IF(D144="","",INDEX(製品マスタ!$Q$5:$Q$5002,MATCH(F144&amp;K144,製品マスタ!$AO$5:$AO$5002,0)))</f>
        <v/>
      </c>
      <c r="M144" s="39"/>
      <c r="N144" s="39"/>
      <c r="O144" s="47"/>
      <c r="P144" s="57"/>
      <c r="Q144" s="276" t="str">
        <f>IF(D144="","",IF(J144="リード付け",M144,VLOOKUP(D144,契約台帳!$A$3:$N$4986,14,FALSE)))</f>
        <v/>
      </c>
      <c r="R144" s="277" t="str">
        <f>IF(D144="","",IF(J144="リード付け",M144,VLOOKUP(D144,契約台帳!$A$3:$O$4986,15,FALSE)))</f>
        <v/>
      </c>
      <c r="S144" s="277" t="str">
        <f>IF(D144="","",IF(J144="リード付け",N144,VLOOKUP(D144,契約台帳!$A$3:$P$4986,16,FALSE)))</f>
        <v/>
      </c>
      <c r="T144" s="40"/>
      <c r="U144" s="278" t="str">
        <f ca="1">IF(D144="","",IF(OFFSET(D144,-2,0)=D144,"",VLOOKUP(D144,契約台帳!$A$3:$R$4986,18,FALSE)))</f>
        <v/>
      </c>
      <c r="V144" s="269" t="str">
        <f>IF(J144="巻返し",VLOOKUP(F144&amp;K144&amp;M144,製品マスタ!$M$5:$AD$5002,18,FALSE),IF(J144="リード付け","原反コア",IF(J144="スリット",VLOOKUP(F144&amp;K144&amp;Q144,製品マスタ!$N$5:$AD$5002,17,FALSE),"")))</f>
        <v/>
      </c>
      <c r="W144" s="269" t="str">
        <f>IF(J144="巻返し",VLOOKUP(F144&amp;K144&amp;M144,製品マスタ!$M$5:$AE$5002,19,FALSE),IF(J144="リード付け","-",IF(J144="スリット",VLOOKUP(F144&amp;K144&amp;Q144,製品マスタ!$N$5:$AE$5002,18,FALSE),"")))</f>
        <v/>
      </c>
      <c r="X144" s="275" t="str">
        <f>IF(D144="","",VLOOKUP(D144,契約台帳!$A$3:$Q$4986,17,FALSE))</f>
        <v/>
      </c>
      <c r="Y144" s="269" t="str">
        <f>IF(D144="","",VLOOKUP(D144,契約台帳!$A$3:$E$4986,5,FALSE))</f>
        <v/>
      </c>
      <c r="Z144" s="57"/>
      <c r="AA144" s="207" t="str">
        <f>IFERROR(VLOOKUP(F144&amp;K144&amp;M144,製品マスタ!$M$5:$AM$5002,27,FALSE),"")</f>
        <v/>
      </c>
      <c r="AB144" s="33"/>
      <c r="AC144" s="189"/>
      <c r="AD144" s="54"/>
      <c r="AE144" s="55"/>
      <c r="AF144" s="43"/>
      <c r="AG144" s="47"/>
      <c r="AH144" s="30"/>
      <c r="AI144" s="30"/>
      <c r="AJ144" s="30"/>
      <c r="AK144" s="30"/>
      <c r="AL144" s="13"/>
      <c r="AM144" s="13"/>
      <c r="AN144" s="13"/>
      <c r="AO144" s="13"/>
      <c r="AP144" s="13"/>
      <c r="AQ144" s="14"/>
      <c r="AR144" s="15"/>
    </row>
    <row r="145" spans="1:44" s="17" customFormat="1" ht="30.95" hidden="1" customHeight="1" x14ac:dyDescent="0.2">
      <c r="A145" s="37" t="s">
        <v>856</v>
      </c>
      <c r="B145" s="38" t="s">
        <v>462</v>
      </c>
      <c r="C145" s="45"/>
      <c r="D145" s="31">
        <v>3697662</v>
      </c>
      <c r="E145" s="31">
        <v>4151294</v>
      </c>
      <c r="F145" s="268" t="str">
        <f>IF(D145="","",VLOOKUP(D145,契約台帳!$A$3:$K$4986,6,FALSE)&amp;VLOOKUP(D145,契約台帳!$A$3:$K$4986,7,FALSE)&amp;VLOOKUP(D145,契約台帳!$A$3:$K$4986,8,FALSE)&amp;VLOOKUP(D145,契約台帳!$A$3:$K$4986,9,FALSE)&amp;VLOOKUP(D145,契約台帳!$A$3:$K$4986,11,FALSE))</f>
        <v>3SNMLBMNGTBF</v>
      </c>
      <c r="G145" s="269" t="str">
        <f>IF(D145="","",VLOOKUP(F145,製品マスタ!$G$5:$H$5002,2,FALSE))</f>
        <v>S</v>
      </c>
      <c r="H145" s="269" t="str">
        <f>IF(D145="","",VLOOKUP(F145,製品マスタ!$G$5:$K$5002,5,FALSE))</f>
        <v>MNGTBF</v>
      </c>
      <c r="I145" s="270" t="str">
        <f>IF(D145="","",VLOOKUP(F145,製品マスタ!$G$5:$L$5002,6,FALSE))</f>
        <v>メタルミー　ネーマー　銀艶　Ｂ</v>
      </c>
      <c r="J145" s="32" t="s">
        <v>447</v>
      </c>
      <c r="K145" s="270">
        <f>IF(D145="","",VLOOKUP(D145,契約台帳!$A$3:$L$4986,12,FALSE))</f>
        <v>25</v>
      </c>
      <c r="L145" s="270" t="str">
        <f>IF(D145="","",INDEX(製品マスタ!$Q$5:$Q$5002,MATCH(F145&amp;K145,製品マスタ!$AO$5:$AO$5002,0)))</f>
        <v>T62M</v>
      </c>
      <c r="M145" s="39">
        <v>1005</v>
      </c>
      <c r="N145" s="39">
        <v>12100</v>
      </c>
      <c r="O145" s="47">
        <v>1</v>
      </c>
      <c r="P145" s="57">
        <v>44967</v>
      </c>
      <c r="Q145" s="276">
        <f>IF(D145="","",IF(J145="リード付け",M145,VLOOKUP(D145,契約台帳!$A$3:$N$4986,14,FALSE)))</f>
        <v>1005</v>
      </c>
      <c r="R145" s="277">
        <f>IF(D145="","",IF(J145="リード付け",M145,VLOOKUP(D145,契約台帳!$A$3:$O$4986,15,FALSE)))</f>
        <v>1000</v>
      </c>
      <c r="S145" s="277">
        <f>IF(D145="","",IF(J145="リード付け",N145,VLOOKUP(D145,契約台帳!$A$3:$P$4986,16,FALSE)))</f>
        <v>4000</v>
      </c>
      <c r="T145" s="40">
        <v>3</v>
      </c>
      <c r="U145" s="302">
        <f ca="1">IF(D145="","",IF(OFFSET(D145,-2,0)=D145,"",VLOOKUP(D145,契約台帳!$A$3:$R$4986,18,FALSE)))</f>
        <v>3</v>
      </c>
      <c r="V145" s="269" t="str">
        <f>IF(J145="巻返し",VLOOKUP(F145&amp;K145&amp;M145,製品マスタ!$M$5:$AD$5002,18,FALSE),IF(J145="リード付け","原反コア",IF(J145="スリット",VLOOKUP(F145&amp;K145&amp;Q145,製品マスタ!$N$5:$AD$5002,17,FALSE),"")))</f>
        <v>6ｲﾝﾁSｺｱ</v>
      </c>
      <c r="W145" s="269">
        <f>IF(J145="巻返し",VLOOKUP(F145&amp;K145&amp;M145,製品マスタ!$M$5:$AE$5002,19,FALSE),IF(J145="リード付け","-",IF(J145="スリット",VLOOKUP(F145&amp;K145&amp;Q145,製品マスタ!$N$5:$AE$5002,18,FALSE),"")))</f>
        <v>1015</v>
      </c>
      <c r="X145" s="275">
        <f>IF(D145="","",VLOOKUP(D145,契約台帳!$A$3:$Q$4986,17,FALSE))</f>
        <v>2</v>
      </c>
      <c r="Y145" s="269" t="str">
        <f>IF(D145="","",VLOOKUP(D145,契約台帳!$A$3:$E$4986,5,FALSE))</f>
        <v>リンテック㈱</v>
      </c>
      <c r="Z145" s="57"/>
      <c r="AA145" s="303">
        <f>IFERROR(VLOOKUP(F145&amp;K145&amp;M145,製品マスタ!$M$5:$AM$5002,27,FALSE),"")</f>
        <v>0</v>
      </c>
      <c r="AB145" s="33"/>
      <c r="AC145" s="189"/>
      <c r="AD145" s="54" t="str">
        <f>IF(F145="","",+F145&amp;K145)</f>
        <v>3SNMLBMNGTBF25</v>
      </c>
      <c r="AE145" s="55">
        <f>+M145*N145*O145/1000</f>
        <v>12160.5</v>
      </c>
      <c r="AF145" s="43">
        <f>IF(AD145="","",VLOOKUP(AD145,原価マスタ!$A$2:$AJ$1693,13,FALSE))</f>
        <v>97.5</v>
      </c>
      <c r="AG145" s="47">
        <f>IF(AF145="","",+AE145*AF145/100)</f>
        <v>11856.487499999999</v>
      </c>
      <c r="AH145" s="30"/>
      <c r="AI145" s="30"/>
      <c r="AJ145" s="30"/>
      <c r="AK145" s="30"/>
      <c r="AL145" s="13"/>
      <c r="AM145" s="13"/>
      <c r="AN145" s="13"/>
      <c r="AO145" s="13"/>
      <c r="AP145" s="13"/>
      <c r="AQ145" s="14"/>
      <c r="AR145" s="15"/>
    </row>
    <row r="146" spans="1:44" s="17" customFormat="1" ht="30.95" hidden="1" customHeight="1" x14ac:dyDescent="0.2">
      <c r="A146" s="37"/>
      <c r="B146" s="38"/>
      <c r="C146" s="45"/>
      <c r="D146" s="31"/>
      <c r="E146" s="31"/>
      <c r="F146" s="268"/>
      <c r="G146" s="269"/>
      <c r="H146" s="269"/>
      <c r="I146" s="270"/>
      <c r="J146" s="32"/>
      <c r="K146" s="270"/>
      <c r="L146" s="270"/>
      <c r="M146" s="39"/>
      <c r="N146" s="39"/>
      <c r="O146" s="47"/>
      <c r="P146" s="57"/>
      <c r="Q146" s="276"/>
      <c r="R146" s="277"/>
      <c r="S146" s="277"/>
      <c r="T146" s="40"/>
      <c r="U146" s="278"/>
      <c r="V146" s="269"/>
      <c r="W146" s="269"/>
      <c r="X146" s="275"/>
      <c r="Y146" s="269"/>
      <c r="Z146" s="57"/>
      <c r="AA146" s="207"/>
      <c r="AB146" s="33"/>
      <c r="AC146" s="189"/>
      <c r="AD146" s="54"/>
      <c r="AE146" s="55"/>
      <c r="AF146" s="43"/>
      <c r="AG146" s="47"/>
      <c r="AH146" s="30"/>
      <c r="AI146" s="30"/>
      <c r="AJ146" s="30"/>
      <c r="AK146" s="30"/>
      <c r="AL146" s="13"/>
      <c r="AM146" s="13"/>
      <c r="AN146" s="13"/>
      <c r="AO146" s="13"/>
      <c r="AP146" s="13"/>
      <c r="AQ146" s="14"/>
      <c r="AR146" s="15"/>
    </row>
    <row r="147" spans="1:44" s="17" customFormat="1" ht="30.95" hidden="1" customHeight="1" x14ac:dyDescent="0.2">
      <c r="A147" s="37"/>
      <c r="B147" s="38"/>
      <c r="C147" s="45"/>
      <c r="D147" s="31">
        <v>3697667</v>
      </c>
      <c r="E147" s="31">
        <v>4151283</v>
      </c>
      <c r="F147" s="268" t="str">
        <f>IF(D147="","",VLOOKUP(D147,契約台帳!$A$3:$K$4986,6,FALSE)&amp;VLOOKUP(D147,契約台帳!$A$3:$K$4986,7,FALSE)&amp;VLOOKUP(D147,契約台帳!$A$3:$K$4986,8,FALSE)&amp;VLOOKUP(D147,契約台帳!$A$3:$K$4986,9,FALSE)&amp;VLOOKUP(D147,契約台帳!$A$3:$K$4986,11,FALSE))</f>
        <v>3SNMLBMNGTBF</v>
      </c>
      <c r="G147" s="269" t="str">
        <f>IF(D147="","",VLOOKUP(F147,製品マスタ!$G$5:$H$5002,2,FALSE))</f>
        <v>S</v>
      </c>
      <c r="H147" s="269" t="str">
        <f>IF(D147="","",VLOOKUP(F147,製品マスタ!$G$5:$K$5002,5,FALSE))</f>
        <v>MNGTBF</v>
      </c>
      <c r="I147" s="270" t="str">
        <f>IF(D147="","",VLOOKUP(F147,製品マスタ!$G$5:$L$5002,6,FALSE))</f>
        <v>メタルミー　ネーマー　銀艶　Ｂ</v>
      </c>
      <c r="J147" s="32" t="s">
        <v>447</v>
      </c>
      <c r="K147" s="270">
        <f>IF(D147="","",VLOOKUP(D147,契約台帳!$A$3:$L$4986,12,FALSE))</f>
        <v>50</v>
      </c>
      <c r="L147" s="270" t="str">
        <f>IF(D147="","",INDEX(製品マスタ!$Q$5:$Q$5002,MATCH(F147&amp;K147,製品マスタ!$AO$5:$AO$5002,0)))</f>
        <v>T62</v>
      </c>
      <c r="M147" s="39">
        <v>1120</v>
      </c>
      <c r="N147" s="39">
        <v>10000</v>
      </c>
      <c r="O147" s="47">
        <v>7</v>
      </c>
      <c r="P147" s="57">
        <v>44967</v>
      </c>
      <c r="Q147" s="276">
        <f>IF(D147="","",IF(J147="リード付け",M147,VLOOKUP(D147,契約台帳!$A$3:$N$4986,14,FALSE)))</f>
        <v>1120</v>
      </c>
      <c r="R147" s="277">
        <f>IF(D147="","",IF(J147="リード付け",M147,VLOOKUP(D147,契約台帳!$A$3:$O$4986,15,FALSE)))</f>
        <v>1120</v>
      </c>
      <c r="S147" s="277">
        <f>IF(D147="","",IF(J147="リード付け",N147,VLOOKUP(D147,契約台帳!$A$3:$P$4986,16,FALSE)))</f>
        <v>5000</v>
      </c>
      <c r="T147" s="40">
        <v>14</v>
      </c>
      <c r="U147" s="278">
        <f ca="1">IF(D147="","",IF(OFFSET(D147,-2,0)=D147,"",VLOOKUP(D147,契約台帳!$A$3:$R$4986,18,FALSE)))</f>
        <v>14</v>
      </c>
      <c r="V147" s="269" t="str">
        <f>IF(J147="巻返し",VLOOKUP(F147&amp;K147&amp;M147,製品マスタ!$M$5:$AD$5002,18,FALSE),IF(J147="リード付け","原反コア",IF(J147="スリット",VLOOKUP(F147&amp;K147&amp;Q147,製品マスタ!$N$5:$AD$5002,17,FALSE),"")))</f>
        <v>6ｲﾝﾁSｺｱ</v>
      </c>
      <c r="W147" s="269">
        <f>IF(J147="巻返し",VLOOKUP(F147&amp;K147&amp;M147,製品マスタ!$M$5:$AE$5002,19,FALSE),IF(J147="リード付け","-",IF(J147="スリット",VLOOKUP(F147&amp;K147&amp;Q147,製品マスタ!$N$5:$AE$5002,18,FALSE),"")))</f>
        <v>1125</v>
      </c>
      <c r="X147" s="275">
        <f>IF(D147="","",VLOOKUP(D147,契約台帳!$A$3:$Q$4986,17,FALSE))</f>
        <v>2</v>
      </c>
      <c r="Y147" s="269" t="str">
        <f>IF(D147="","",VLOOKUP(D147,契約台帳!$A$3:$E$4986,5,FALSE))</f>
        <v>リンテック㈱</v>
      </c>
      <c r="Z147" s="57"/>
      <c r="AA147" s="207" t="str">
        <f>IFERROR(VLOOKUP(F147&amp;K147&amp;M147,製品マスタ!$M$5:$AM$5002,27,FALSE),"")</f>
        <v>原反ケース再利用</v>
      </c>
      <c r="AB147" s="33"/>
      <c r="AC147" s="189"/>
      <c r="AD147" s="54" t="str">
        <f>IF(F147="","",+F147&amp;K147)</f>
        <v>3SNMLBMNGTBF50</v>
      </c>
      <c r="AE147" s="55">
        <f>+M147*N147*O147/1000</f>
        <v>78400</v>
      </c>
      <c r="AF147" s="43">
        <f>IF(AD147="","",VLOOKUP(AD147,原価マスタ!$A$2:$AJ$1693,13,FALSE))</f>
        <v>99</v>
      </c>
      <c r="AG147" s="47">
        <f>IF(AF147="","",+AE147*AF147/100)</f>
        <v>77616</v>
      </c>
      <c r="AH147" s="30"/>
      <c r="AI147" s="30"/>
      <c r="AJ147" s="30"/>
      <c r="AK147" s="30"/>
      <c r="AL147" s="13"/>
      <c r="AM147" s="13"/>
      <c r="AN147" s="13"/>
      <c r="AO147" s="13"/>
      <c r="AP147" s="13"/>
      <c r="AQ147" s="14"/>
      <c r="AR147" s="15"/>
    </row>
    <row r="148" spans="1:44" s="17" customFormat="1" ht="30.95" hidden="1" customHeight="1" x14ac:dyDescent="0.2">
      <c r="A148" s="37"/>
      <c r="B148" s="38"/>
      <c r="C148" s="45"/>
      <c r="D148" s="31"/>
      <c r="E148" s="31"/>
      <c r="F148" s="268"/>
      <c r="G148" s="269"/>
      <c r="H148" s="269"/>
      <c r="I148" s="270"/>
      <c r="J148" s="32"/>
      <c r="K148" s="270"/>
      <c r="L148" s="270"/>
      <c r="M148" s="39"/>
      <c r="N148" s="39"/>
      <c r="O148" s="47"/>
      <c r="P148" s="57"/>
      <c r="Q148" s="276"/>
      <c r="R148" s="277"/>
      <c r="S148" s="277"/>
      <c r="T148" s="40"/>
      <c r="U148" s="278"/>
      <c r="V148" s="269"/>
      <c r="W148" s="269"/>
      <c r="X148" s="275"/>
      <c r="Y148" s="269"/>
      <c r="Z148" s="57"/>
      <c r="AA148" s="207"/>
      <c r="AB148" s="33"/>
      <c r="AC148" s="189"/>
      <c r="AD148" s="54"/>
      <c r="AE148" s="55"/>
      <c r="AF148" s="43"/>
      <c r="AG148" s="47"/>
      <c r="AH148" s="30"/>
      <c r="AI148" s="30"/>
      <c r="AJ148" s="30"/>
      <c r="AK148" s="30"/>
      <c r="AL148" s="13"/>
      <c r="AM148" s="13"/>
      <c r="AN148" s="13"/>
      <c r="AO148" s="13"/>
      <c r="AP148" s="13"/>
      <c r="AQ148" s="14"/>
      <c r="AR148" s="15"/>
    </row>
    <row r="149" spans="1:44" s="17" customFormat="1" ht="30.95" hidden="1" customHeight="1" x14ac:dyDescent="0.2">
      <c r="A149" s="37" t="s">
        <v>873</v>
      </c>
      <c r="B149" s="38" t="s">
        <v>688</v>
      </c>
      <c r="C149" s="45"/>
      <c r="D149" s="31">
        <v>3697668</v>
      </c>
      <c r="E149" s="31">
        <v>4151284</v>
      </c>
      <c r="F149" s="268" t="str">
        <f>IF(D149="","",VLOOKUP(D149,契約台帳!$A$3:$K$4986,6,FALSE)&amp;VLOOKUP(D149,契約台帳!$A$3:$K$4986,7,FALSE)&amp;VLOOKUP(D149,契約台帳!$A$3:$K$4986,8,FALSE)&amp;VLOOKUP(D149,契約台帳!$A$3:$K$4986,9,FALSE)&amp;VLOOKUP(D149,契約台帳!$A$3:$K$4986,11,FALSE))</f>
        <v>3SNMLBMNGTBF</v>
      </c>
      <c r="G149" s="269" t="str">
        <f>IF(D149="","",VLOOKUP(F149,製品マスタ!$G$5:$H$5002,2,FALSE))</f>
        <v>S</v>
      </c>
      <c r="H149" s="269" t="str">
        <f>IF(D149="","",VLOOKUP(F149,製品マスタ!$G$5:$K$5002,5,FALSE))</f>
        <v>MNGTBF</v>
      </c>
      <c r="I149" s="270" t="str">
        <f>IF(D149="","",VLOOKUP(F149,製品マスタ!$G$5:$L$5002,6,FALSE))</f>
        <v>メタルミー　ネーマー　銀艶　Ｂ</v>
      </c>
      <c r="J149" s="32" t="s">
        <v>893</v>
      </c>
      <c r="K149" s="270">
        <f>IF(D149="","",VLOOKUP(D149,契約台帳!$A$3:$L$4986,12,FALSE))</f>
        <v>50</v>
      </c>
      <c r="L149" s="270" t="str">
        <f>IF(D149="","",INDEX(製品マスタ!$Q$5:$Q$5002,MATCH(F149&amp;K149,製品マスタ!$AO$5:$AO$5002,0)))</f>
        <v>T62</v>
      </c>
      <c r="M149" s="39">
        <v>1120</v>
      </c>
      <c r="N149" s="39">
        <v>10000</v>
      </c>
      <c r="O149" s="47">
        <v>6</v>
      </c>
      <c r="P149" s="57">
        <v>44968</v>
      </c>
      <c r="Q149" s="276">
        <f>IF(D149="","",IF(J149="リード付け",M149,VLOOKUP(D149,契約台帳!$A$3:$N$4986,14,FALSE)))</f>
        <v>1120</v>
      </c>
      <c r="R149" s="277">
        <f>IF(D149="","",IF(J149="リード付け",M149,VLOOKUP(D149,契約台帳!$A$3:$O$4986,15,FALSE)))</f>
        <v>1120</v>
      </c>
      <c r="S149" s="277">
        <f>IF(D149="","",IF(J149="リード付け",N149,VLOOKUP(D149,契約台帳!$A$3:$P$4986,16,FALSE)))</f>
        <v>5000</v>
      </c>
      <c r="T149" s="40">
        <v>12</v>
      </c>
      <c r="U149" s="278">
        <f ca="1">IF(D149="","",IF(OFFSET(D149,-2,0)=D149,"",VLOOKUP(D149,契約台帳!$A$3:$R$4986,18,FALSE)))</f>
        <v>12</v>
      </c>
      <c r="V149" s="269" t="str">
        <f>IF(J149="巻返し",VLOOKUP(F149&amp;K149&amp;M149,製品マスタ!$M$5:$AD$5002,18,FALSE),IF(J149="リード付け","原反コア",IF(J149="スリット",VLOOKUP(F149&amp;K149&amp;Q149,製品マスタ!$N$5:$AD$5002,17,FALSE),"")))</f>
        <v>6ｲﾝﾁSｺｱ</v>
      </c>
      <c r="W149" s="269">
        <f>IF(J149="巻返し",VLOOKUP(F149&amp;K149&amp;M149,製品マスタ!$M$5:$AE$5002,19,FALSE),IF(J149="リード付け","-",IF(J149="スリット",VLOOKUP(F149&amp;K149&amp;Q149,製品マスタ!$N$5:$AE$5002,18,FALSE),"")))</f>
        <v>1125</v>
      </c>
      <c r="X149" s="275">
        <f>IF(D149="","",VLOOKUP(D149,契約台帳!$A$3:$Q$4986,17,FALSE))</f>
        <v>2</v>
      </c>
      <c r="Y149" s="269" t="str">
        <f>IF(D149="","",VLOOKUP(D149,契約台帳!$A$3:$E$4986,5,FALSE))</f>
        <v>リンテック㈱</v>
      </c>
      <c r="Z149" s="57"/>
      <c r="AA149" s="207" t="str">
        <f>IFERROR(VLOOKUP(F149&amp;K149&amp;M149,製品マスタ!$M$5:$AM$5002,27,FALSE),"")</f>
        <v>原反ケース再利用</v>
      </c>
      <c r="AB149" s="33"/>
      <c r="AC149" s="189"/>
      <c r="AD149" s="54" t="str">
        <f>IF(F149="","",+F149&amp;K149)</f>
        <v>3SNMLBMNGTBF50</v>
      </c>
      <c r="AE149" s="55">
        <f>+M149*N149*O149/1000</f>
        <v>67200</v>
      </c>
      <c r="AF149" s="43">
        <f>IF(AD149="","",VLOOKUP(AD149,原価マスタ!$A$2:$AJ$1693,13,FALSE))</f>
        <v>99</v>
      </c>
      <c r="AG149" s="47">
        <f>IF(AF149="","",+AE149*AF149/100)</f>
        <v>66528</v>
      </c>
      <c r="AH149" s="30"/>
      <c r="AI149" s="30"/>
      <c r="AJ149" s="30"/>
      <c r="AK149" s="30"/>
      <c r="AL149" s="13"/>
      <c r="AM149" s="13"/>
      <c r="AN149" s="13"/>
      <c r="AO149" s="13"/>
      <c r="AP149" s="13"/>
      <c r="AQ149" s="14"/>
      <c r="AR149" s="15"/>
    </row>
    <row r="150" spans="1:44" s="17" customFormat="1" ht="30.95" hidden="1" customHeight="1" x14ac:dyDescent="0.2">
      <c r="A150" s="37"/>
      <c r="B150" s="38"/>
      <c r="C150" s="45"/>
      <c r="D150" s="31"/>
      <c r="E150" s="31"/>
      <c r="F150" s="268" t="str">
        <f>IF(D150="","",VLOOKUP(D150,契約台帳!$A$3:$K$4986,6,FALSE)&amp;VLOOKUP(D150,契約台帳!$A$3:$K$4986,7,FALSE)&amp;VLOOKUP(D150,契約台帳!$A$3:$K$4986,8,FALSE)&amp;VLOOKUP(D150,契約台帳!$A$3:$K$4986,9,FALSE)&amp;VLOOKUP(D150,契約台帳!$A$3:$K$4986,11,FALSE))</f>
        <v/>
      </c>
      <c r="G150" s="269" t="str">
        <f>IF(D150="","",VLOOKUP(F150,製品マスタ!$G$5:$H$5002,2,FALSE))</f>
        <v/>
      </c>
      <c r="H150" s="269" t="str">
        <f>IF(D150="","",VLOOKUP(F150,製品マスタ!$G$5:$K$5002,5,FALSE))</f>
        <v/>
      </c>
      <c r="I150" s="270" t="str">
        <f>IF(D150="","",VLOOKUP(F150,製品マスタ!$G$5:$L$5002,6,FALSE))</f>
        <v/>
      </c>
      <c r="J150" s="32"/>
      <c r="K150" s="270" t="str">
        <f>IF(D150="","",VLOOKUP(D150,契約台帳!$A$3:$L$4986,12,FALSE))</f>
        <v/>
      </c>
      <c r="L150" s="270" t="str">
        <f>IF(D150="","",INDEX(製品マスタ!$Q$5:$Q$5002,MATCH(F150&amp;K150,製品マスタ!$AO$5:$AO$5002,0)))</f>
        <v/>
      </c>
      <c r="M150" s="39"/>
      <c r="N150" s="39"/>
      <c r="O150" s="47"/>
      <c r="P150" s="57"/>
      <c r="Q150" s="276" t="str">
        <f>IF(D150="","",IF(J150="リード付け",M150,VLOOKUP(D150,契約台帳!$A$3:$N$4986,14,FALSE)))</f>
        <v/>
      </c>
      <c r="R150" s="277" t="str">
        <f>IF(D150="","",IF(J150="リード付け",M150,VLOOKUP(D150,契約台帳!$A$3:$O$4986,15,FALSE)))</f>
        <v/>
      </c>
      <c r="S150" s="277" t="str">
        <f>IF(D150="","",IF(J150="リード付け",N150,VLOOKUP(D150,契約台帳!$A$3:$P$4986,16,FALSE)))</f>
        <v/>
      </c>
      <c r="T150" s="40"/>
      <c r="U150" s="278" t="str">
        <f ca="1">IF(D150="","",IF(OFFSET(D150,-2,0)=D150,"",VLOOKUP(D150,契約台帳!$A$3:$R$4986,18,FALSE)))</f>
        <v/>
      </c>
      <c r="V150" s="269" t="str">
        <f>IF(J150="巻返し",VLOOKUP(F150&amp;K150&amp;M150,製品マスタ!$M$5:$AD$5002,18,FALSE),IF(J150="リード付け","原反コア",IF(J150="スリット",VLOOKUP(F150&amp;K150&amp;Q150,製品マスタ!$N$5:$AD$5002,17,FALSE),"")))</f>
        <v/>
      </c>
      <c r="W150" s="269" t="str">
        <f>IF(J150="巻返し",VLOOKUP(F150&amp;K150&amp;M150,製品マスタ!$M$5:$AE$5002,19,FALSE),IF(J150="リード付け","-",IF(J150="スリット",VLOOKUP(F150&amp;K150&amp;Q150,製品マスタ!$N$5:$AE$5002,18,FALSE),"")))</f>
        <v/>
      </c>
      <c r="X150" s="275" t="str">
        <f>IF(D150="","",VLOOKUP(D150,契約台帳!$A$3:$Q$4986,17,FALSE))</f>
        <v/>
      </c>
      <c r="Y150" s="269" t="str">
        <f>IF(D150="","",VLOOKUP(D150,契約台帳!$A$3:$E$4986,5,FALSE))</f>
        <v/>
      </c>
      <c r="Z150" s="57"/>
      <c r="AA150" s="207" t="str">
        <f>IFERROR(VLOOKUP(F150&amp;K150&amp;M150,製品マスタ!$M$5:$AM$5002,27,FALSE),"")</f>
        <v/>
      </c>
      <c r="AB150" s="33"/>
      <c r="AC150" s="189"/>
      <c r="AD150" s="54"/>
      <c r="AE150" s="55"/>
      <c r="AF150" s="43"/>
      <c r="AG150" s="47"/>
      <c r="AH150" s="30"/>
      <c r="AI150" s="30"/>
      <c r="AJ150" s="30"/>
      <c r="AK150" s="30"/>
      <c r="AL150" s="13"/>
      <c r="AM150" s="13"/>
      <c r="AN150" s="13"/>
      <c r="AO150" s="13"/>
      <c r="AP150" s="13"/>
      <c r="AQ150" s="14"/>
      <c r="AR150" s="15"/>
    </row>
    <row r="151" spans="1:44" s="17" customFormat="1" ht="30.95" hidden="1" customHeight="1" x14ac:dyDescent="0.2">
      <c r="A151" s="37" t="s">
        <v>896</v>
      </c>
      <c r="B151" s="38" t="s">
        <v>897</v>
      </c>
      <c r="C151" s="45"/>
      <c r="D151" s="31">
        <v>3697682</v>
      </c>
      <c r="E151" s="31">
        <v>4151288</v>
      </c>
      <c r="F151" s="268" t="str">
        <f>IF(D151="","",VLOOKUP(D151,契約台帳!$A$3:$K$4986,6,FALSE)&amp;VLOOKUP(D151,契約台帳!$A$3:$K$4986,7,FALSE)&amp;VLOOKUP(D151,契約台帳!$A$3:$K$4986,8,FALSE)&amp;VLOOKUP(D151,契約台帳!$A$3:$K$4986,9,FALSE)&amp;VLOOKUP(D151,契約台帳!$A$3:$K$4986,11,FALSE))</f>
        <v>3SYMLBMSSMBF</v>
      </c>
      <c r="G151" s="269" t="str">
        <f>IF(D151="","",VLOOKUP(F151,製品マスタ!$G$5:$H$5002,2,FALSE))</f>
        <v>S</v>
      </c>
      <c r="H151" s="269" t="str">
        <f>IF(D151="","",VLOOKUP(F151,製品マスタ!$G$5:$K$5002,5,FALSE))</f>
        <v>MSSMBF</v>
      </c>
      <c r="I151" s="270" t="str">
        <f>IF(D151="","",VLOOKUP(F151,製品マスタ!$G$5:$L$5002,6,FALSE))</f>
        <v>ＭＥＴＡＬＵＭＹ　ＳＩＬＶＥＲ　Ｓ－ＭＡＴＴＥ　Ｓ２８ＭＭ　Ｂ</v>
      </c>
      <c r="J151" s="32" t="s">
        <v>447</v>
      </c>
      <c r="K151" s="270">
        <f>IF(D151="","",VLOOKUP(D151,契約台帳!$A$3:$L$4986,12,FALSE))</f>
        <v>50</v>
      </c>
      <c r="L151" s="270" t="e">
        <f>IF(D151="","",INDEX(製品マスタ!$Q$5:$Q$5002,MATCH(F151&amp;K151,製品マスタ!$AO$5:$AO$5002,0)))</f>
        <v>#N/A</v>
      </c>
      <c r="M151" s="39">
        <v>1120</v>
      </c>
      <c r="N151" s="39">
        <v>8000</v>
      </c>
      <c r="O151" s="47">
        <v>2</v>
      </c>
      <c r="P151" s="57">
        <v>44969</v>
      </c>
      <c r="Q151" s="276">
        <f>IF(D151="","",IF(J151="リード付け",M151,VLOOKUP(D151,契約台帳!$A$3:$N$4986,14,FALSE)))</f>
        <v>1120</v>
      </c>
      <c r="R151" s="277">
        <f>IF(D151="","",IF(J151="リード付け",M151,VLOOKUP(D151,契約台帳!$A$3:$O$4986,15,FALSE)))</f>
        <v>1120</v>
      </c>
      <c r="S151" s="277">
        <f>IF(D151="","",IF(J151="リード付け",N151,VLOOKUP(D151,契約台帳!$A$3:$P$4986,16,FALSE)))</f>
        <v>4000</v>
      </c>
      <c r="T151" s="40">
        <v>4</v>
      </c>
      <c r="U151" s="278">
        <f ca="1">IF(D151="","",IF(OFFSET(D151,-2,0)=D151,"",VLOOKUP(D151,契約台帳!$A$3:$R$4986,18,FALSE)))</f>
        <v>4</v>
      </c>
      <c r="V151" s="269" t="e">
        <f>IF(J151="巻返し",VLOOKUP(F151&amp;K151&amp;M151,製品マスタ!$M$5:$AD$5002,18,FALSE),IF(J151="リード付け","原反コア",IF(J151="スリット",VLOOKUP(F151&amp;K151&amp;Q151,製品マスタ!$N$5:$AD$5002,17,FALSE),"")))</f>
        <v>#N/A</v>
      </c>
      <c r="W151" s="269" t="e">
        <f>IF(J151="巻返し",VLOOKUP(F151&amp;K151&amp;M151,製品マスタ!$M$5:$AE$5002,19,FALSE),IF(J151="リード付け","-",IF(J151="スリット",VLOOKUP(F151&amp;K151&amp;Q151,製品マスタ!$N$5:$AE$5002,18,FALSE),"")))</f>
        <v>#N/A</v>
      </c>
      <c r="X151" s="275">
        <f>IF(D151="","",VLOOKUP(D151,契約台帳!$A$3:$Q$4986,17,FALSE))</f>
        <v>2</v>
      </c>
      <c r="Y151" s="269" t="str">
        <f>IF(D151="","",VLOOKUP(D151,契約台帳!$A$3:$E$4986,5,FALSE))</f>
        <v>リンテック㈱</v>
      </c>
      <c r="Z151" s="57"/>
      <c r="AA151" s="207" t="str">
        <f>IFERROR(VLOOKUP(F151&amp;K151&amp;M151,製品マスタ!$M$5:$AM$5002,27,FALSE),"")</f>
        <v/>
      </c>
      <c r="AB151" s="33"/>
      <c r="AC151" s="189"/>
      <c r="AD151" s="54" t="str">
        <f>IF(F151="","",+F151&amp;K151)</f>
        <v>3SYMLBMSSMBF50</v>
      </c>
      <c r="AE151" s="55">
        <f>+M151*N151*O151/1000</f>
        <v>17920</v>
      </c>
      <c r="AF151" s="43">
        <f>IF(AD151="","",VLOOKUP(AD151,原価マスタ!$A$2:$AJ$1693,13,FALSE))</f>
        <v>98</v>
      </c>
      <c r="AG151" s="47">
        <f>IF(AF151="","",+AE151*AF151/100)</f>
        <v>17561.599999999999</v>
      </c>
      <c r="AH151" s="30"/>
      <c r="AI151" s="30"/>
      <c r="AJ151" s="30"/>
      <c r="AK151" s="30"/>
      <c r="AL151" s="13"/>
      <c r="AM151" s="13"/>
      <c r="AN151" s="13"/>
      <c r="AO151" s="13"/>
      <c r="AP151" s="13"/>
      <c r="AQ151" s="14"/>
      <c r="AR151" s="15"/>
    </row>
    <row r="152" spans="1:44" s="17" customFormat="1" ht="30.95" hidden="1" customHeight="1" x14ac:dyDescent="0.2">
      <c r="A152" s="37"/>
      <c r="B152" s="38"/>
      <c r="C152" s="45"/>
      <c r="D152" s="31"/>
      <c r="E152" s="31"/>
      <c r="F152" s="268"/>
      <c r="G152" s="269"/>
      <c r="H152" s="269"/>
      <c r="I152" s="270"/>
      <c r="J152" s="32"/>
      <c r="K152" s="270"/>
      <c r="L152" s="270"/>
      <c r="M152" s="39"/>
      <c r="N152" s="39"/>
      <c r="O152" s="47"/>
      <c r="P152" s="57"/>
      <c r="Q152" s="276"/>
      <c r="R152" s="277"/>
      <c r="S152" s="277"/>
      <c r="T152" s="40"/>
      <c r="U152" s="278"/>
      <c r="V152" s="269"/>
      <c r="W152" s="269"/>
      <c r="X152" s="275"/>
      <c r="Y152" s="269"/>
      <c r="Z152" s="57"/>
      <c r="AA152" s="207"/>
      <c r="AB152" s="33"/>
      <c r="AC152" s="189"/>
      <c r="AD152" s="54"/>
      <c r="AE152" s="55"/>
      <c r="AF152" s="43"/>
      <c r="AG152" s="47"/>
      <c r="AH152" s="30"/>
      <c r="AI152" s="30"/>
      <c r="AJ152" s="30"/>
      <c r="AK152" s="30"/>
      <c r="AL152" s="13"/>
      <c r="AM152" s="13"/>
      <c r="AN152" s="13"/>
      <c r="AO152" s="13"/>
      <c r="AP152" s="13"/>
      <c r="AQ152" s="14"/>
      <c r="AR152" s="15"/>
    </row>
    <row r="153" spans="1:44" s="17" customFormat="1" ht="30.95" hidden="1" customHeight="1" x14ac:dyDescent="0.2">
      <c r="A153" s="37"/>
      <c r="B153" s="38"/>
      <c r="C153" s="45"/>
      <c r="D153" s="31">
        <v>3697683</v>
      </c>
      <c r="E153" s="31">
        <v>4151286</v>
      </c>
      <c r="F153" s="268" t="str">
        <f>IF(D153="","",VLOOKUP(D153,契約台帳!$A$3:$K$4986,6,FALSE)&amp;VLOOKUP(D153,契約台帳!$A$3:$K$4986,7,FALSE)&amp;VLOOKUP(D153,契約台帳!$A$3:$K$4986,8,FALSE)&amp;VLOOKUP(D153,契約台帳!$A$3:$K$4986,9,FALSE)&amp;VLOOKUP(D153,契約台帳!$A$3:$K$4986,11,FALSE))</f>
        <v>3SYMLBMSNMBF</v>
      </c>
      <c r="G153" s="269" t="str">
        <f>IF(D153="","",VLOOKUP(F153,製品マスタ!$G$5:$H$5002,2,FALSE))</f>
        <v>S</v>
      </c>
      <c r="H153" s="269" t="str">
        <f>IF(D153="","",VLOOKUP(F153,製品マスタ!$G$5:$K$5002,5,FALSE))</f>
        <v>MSNMBF</v>
      </c>
      <c r="I153" s="270" t="str">
        <f>IF(D153="","",VLOOKUP(F153,製品マスタ!$G$5:$L$5002,6,FALSE))</f>
        <v>ＭＥＴＡＬＵＭＹ　ＳＩＬＶＥＲ　Ｎ－ＭＡＴＴＥ　Ｘ４４Ｍ　Ｂ</v>
      </c>
      <c r="J153" s="32" t="s">
        <v>447</v>
      </c>
      <c r="K153" s="270">
        <f>IF(D153="","",VLOOKUP(D153,契約台帳!$A$3:$L$4986,12,FALSE))</f>
        <v>50</v>
      </c>
      <c r="L153" s="270" t="str">
        <f>IF(D153="","",INDEX(製品マスタ!$Q$5:$Q$5002,MATCH(F153&amp;K153,製品マスタ!$AO$5:$AO$5002,0)))</f>
        <v>X44</v>
      </c>
      <c r="M153" s="39">
        <v>1120</v>
      </c>
      <c r="N153" s="39">
        <v>12000</v>
      </c>
      <c r="O153" s="47">
        <v>1</v>
      </c>
      <c r="P153" s="57">
        <v>44969</v>
      </c>
      <c r="Q153" s="276">
        <f>IF(D153="","",IF(J153="リード付け",M153,VLOOKUP(D153,契約台帳!$A$3:$N$4986,14,FALSE)))</f>
        <v>1120</v>
      </c>
      <c r="R153" s="277">
        <f>IF(D153="","",IF(J153="リード付け",M153,VLOOKUP(D153,契約台帳!$A$3:$O$4986,15,FALSE)))</f>
        <v>1120</v>
      </c>
      <c r="S153" s="277">
        <f>IF(D153="","",IF(J153="リード付け",N153,VLOOKUP(D153,契約台帳!$A$3:$P$4986,16,FALSE)))</f>
        <v>4000</v>
      </c>
      <c r="T153" s="40">
        <v>3</v>
      </c>
      <c r="U153" s="278">
        <f ca="1">IF(D153="","",IF(OFFSET(D153,-2,0)=D153,"",VLOOKUP(D153,契約台帳!$A$3:$R$4986,18,FALSE)))</f>
        <v>4</v>
      </c>
      <c r="V153" s="269" t="str">
        <f>IF(J153="巻返し",VLOOKUP(F153&amp;K153&amp;M153,製品マスタ!$M$5:$AD$5002,18,FALSE),IF(J153="リード付け","原反コア",IF(J153="スリット",VLOOKUP(F153&amp;K153&amp;Q153,製品マスタ!$N$5:$AD$5002,17,FALSE),"")))</f>
        <v>6ｲﾝﾁMｺｱ</v>
      </c>
      <c r="W153" s="269">
        <f>IF(J153="巻返し",VLOOKUP(F153&amp;K153&amp;M153,製品マスタ!$M$5:$AE$5002,19,FALSE),IF(J153="リード付け","-",IF(J153="スリット",VLOOKUP(F153&amp;K153&amp;Q153,製品マスタ!$N$5:$AE$5002,18,FALSE),"")))</f>
        <v>1125</v>
      </c>
      <c r="X153" s="275">
        <f>IF(D153="","",VLOOKUP(D153,契約台帳!$A$3:$Q$4986,17,FALSE))</f>
        <v>2</v>
      </c>
      <c r="Y153" s="269" t="str">
        <f>IF(D153="","",VLOOKUP(D153,契約台帳!$A$3:$E$4986,5,FALSE))</f>
        <v>リンテック㈱</v>
      </c>
      <c r="Z153" s="57"/>
      <c r="AA153" s="207">
        <f>IFERROR(VLOOKUP(F153&amp;K153&amp;M153,製品マスタ!$M$5:$AM$5002,27,FALSE),"")</f>
        <v>0</v>
      </c>
      <c r="AB153" s="33"/>
      <c r="AC153" s="189"/>
      <c r="AD153" s="54" t="str">
        <f>IF(F153="","",+F153&amp;K153)</f>
        <v>3SYMLBMSNMBF50</v>
      </c>
      <c r="AE153" s="55">
        <f>+M153*N153*O153/1000</f>
        <v>13440</v>
      </c>
      <c r="AF153" s="43">
        <f>IF(AD153="","",VLOOKUP(AD153,原価マスタ!$A$2:$AJ$1693,13,FALSE))</f>
        <v>98.8</v>
      </c>
      <c r="AG153" s="47">
        <f>IF(AF153="","",+AE153*AF153/100)</f>
        <v>13278.72</v>
      </c>
      <c r="AH153" s="30"/>
      <c r="AI153" s="30"/>
      <c r="AJ153" s="30"/>
      <c r="AK153" s="30"/>
      <c r="AL153" s="13"/>
      <c r="AM153" s="13"/>
      <c r="AN153" s="13"/>
      <c r="AO153" s="13"/>
      <c r="AP153" s="13"/>
      <c r="AQ153" s="14"/>
      <c r="AR153" s="15"/>
    </row>
    <row r="154" spans="1:44" s="17" customFormat="1" ht="30.95" hidden="1" customHeight="1" x14ac:dyDescent="0.2">
      <c r="A154" s="37"/>
      <c r="B154" s="38"/>
      <c r="C154" s="45"/>
      <c r="D154" s="31"/>
      <c r="E154" s="31"/>
      <c r="F154" s="268"/>
      <c r="G154" s="269"/>
      <c r="H154" s="269"/>
      <c r="I154" s="270"/>
      <c r="J154" s="32"/>
      <c r="K154" s="270"/>
      <c r="L154" s="270"/>
      <c r="M154" s="39"/>
      <c r="N154" s="39"/>
      <c r="O154" s="47"/>
      <c r="P154" s="57"/>
      <c r="Q154" s="276"/>
      <c r="R154" s="277"/>
      <c r="S154" s="277"/>
      <c r="T154" s="40"/>
      <c r="U154" s="278"/>
      <c r="V154" s="269"/>
      <c r="W154" s="269"/>
      <c r="X154" s="275"/>
      <c r="Y154" s="269"/>
      <c r="Z154" s="57"/>
      <c r="AA154" s="207"/>
      <c r="AB154" s="33"/>
      <c r="AC154" s="189"/>
      <c r="AD154" s="54"/>
      <c r="AE154" s="55"/>
      <c r="AF154" s="43"/>
      <c r="AG154" s="47"/>
      <c r="AH154" s="30"/>
      <c r="AI154" s="30"/>
      <c r="AJ154" s="30"/>
      <c r="AK154" s="30"/>
      <c r="AL154" s="13"/>
      <c r="AM154" s="13"/>
      <c r="AN154" s="13"/>
      <c r="AO154" s="13"/>
      <c r="AP154" s="13"/>
      <c r="AQ154" s="14"/>
      <c r="AR154" s="15"/>
    </row>
    <row r="155" spans="1:44" s="17" customFormat="1" ht="30.95" hidden="1" customHeight="1" x14ac:dyDescent="0.2">
      <c r="A155" s="37"/>
      <c r="B155" s="38"/>
      <c r="C155" s="45"/>
      <c r="D155" s="31">
        <v>3697683</v>
      </c>
      <c r="E155" s="31">
        <v>4151286</v>
      </c>
      <c r="F155" s="268" t="str">
        <f>IF(D155="","",VLOOKUP(D155,契約台帳!$A$3:$K$4986,6,FALSE)&amp;VLOOKUP(D155,契約台帳!$A$3:$K$4986,7,FALSE)&amp;VLOOKUP(D155,契約台帳!$A$3:$K$4986,8,FALSE)&amp;VLOOKUP(D155,契約台帳!$A$3:$K$4986,9,FALSE)&amp;VLOOKUP(D155,契約台帳!$A$3:$K$4986,11,FALSE))</f>
        <v>3SYMLBMSNMBF</v>
      </c>
      <c r="G155" s="269" t="str">
        <f>IF(D155="","",VLOOKUP(F155,製品マスタ!$G$5:$H$5002,2,FALSE))</f>
        <v>S</v>
      </c>
      <c r="H155" s="269" t="str">
        <f>IF(D155="","",VLOOKUP(F155,製品マスタ!$G$5:$K$5002,5,FALSE))</f>
        <v>MSNMBF</v>
      </c>
      <c r="I155" s="270" t="str">
        <f>IF(D155="","",VLOOKUP(F155,製品マスタ!$G$5:$L$5002,6,FALSE))</f>
        <v>ＭＥＴＡＬＵＭＹ　ＳＩＬＶＥＲ　Ｎ－ＭＡＴＴＥ　Ｘ４４Ｍ　Ｂ</v>
      </c>
      <c r="J155" s="32" t="s">
        <v>447</v>
      </c>
      <c r="K155" s="270">
        <f>IF(D155="","",VLOOKUP(D155,契約台帳!$A$3:$L$4986,12,FALSE))</f>
        <v>50</v>
      </c>
      <c r="L155" s="270" t="str">
        <f>IF(D155="","",INDEX(製品マスタ!$Q$5:$Q$5002,MATCH(F155&amp;K155,製品マスタ!$AO$5:$AO$5002,0)))</f>
        <v>X44</v>
      </c>
      <c r="M155" s="39">
        <v>1120</v>
      </c>
      <c r="N155" s="39">
        <v>12000</v>
      </c>
      <c r="O155" s="47">
        <v>1</v>
      </c>
      <c r="P155" s="57">
        <v>44969</v>
      </c>
      <c r="Q155" s="276">
        <f>IF(D155="","",IF(J155="リード付け",M155,VLOOKUP(D155,契約台帳!$A$3:$N$4986,14,FALSE)))</f>
        <v>1120</v>
      </c>
      <c r="R155" s="277">
        <f>IF(D155="","",IF(J155="リード付け",M155,VLOOKUP(D155,契約台帳!$A$3:$O$4986,15,FALSE)))</f>
        <v>1120</v>
      </c>
      <c r="S155" s="277">
        <f>IF(D155="","",IF(J155="リード付け",N155,VLOOKUP(D155,契約台帳!$A$3:$P$4986,16,FALSE)))</f>
        <v>4000</v>
      </c>
      <c r="T155" s="40">
        <v>1</v>
      </c>
      <c r="U155" s="278" t="str">
        <f ca="1">IF(D155="","",IF(OFFSET(D155,-2,0)=D155,"",VLOOKUP(D155,契約台帳!$A$3:$R$4986,18,FALSE)))</f>
        <v/>
      </c>
      <c r="V155" s="269" t="str">
        <f>IF(J155="巻返し",VLOOKUP(F155&amp;K155&amp;M155,製品マスタ!$M$5:$AD$5002,18,FALSE),IF(J155="リード付け","原反コア",IF(J155="スリット",VLOOKUP(F155&amp;K155&amp;Q155,製品マスタ!$N$5:$AD$5002,17,FALSE),"")))</f>
        <v>6ｲﾝﾁMｺｱ</v>
      </c>
      <c r="W155" s="269">
        <f>IF(J155="巻返し",VLOOKUP(F155&amp;K155&amp;M155,製品マスタ!$M$5:$AE$5002,19,FALSE),IF(J155="リード付け","-",IF(J155="スリット",VLOOKUP(F155&amp;K155&amp;Q155,製品マスタ!$N$5:$AE$5002,18,FALSE),"")))</f>
        <v>1125</v>
      </c>
      <c r="X155" s="275">
        <f>IF(D155="","",VLOOKUP(D155,契約台帳!$A$3:$Q$4986,17,FALSE))</f>
        <v>2</v>
      </c>
      <c r="Y155" s="269" t="str">
        <f>IF(D155="","",VLOOKUP(D155,契約台帳!$A$3:$E$4986,5,FALSE))</f>
        <v>リンテック㈱</v>
      </c>
      <c r="Z155" s="57"/>
      <c r="AA155" s="207">
        <f>IFERROR(VLOOKUP(F155&amp;K155&amp;M155,製品マスタ!$M$5:$AM$5002,27,FALSE),"")</f>
        <v>0</v>
      </c>
      <c r="AB155" s="33"/>
      <c r="AC155" s="189"/>
      <c r="AD155" s="54" t="str">
        <f>IF(F155="","",+F155&amp;K155)</f>
        <v>3SYMLBMSNMBF50</v>
      </c>
      <c r="AE155" s="55">
        <f>+M155*N155*O155/1000</f>
        <v>13440</v>
      </c>
      <c r="AF155" s="43">
        <f>IF(AD155="","",VLOOKUP(AD155,原価マスタ!$A$2:$AJ$1693,13,FALSE))</f>
        <v>98.8</v>
      </c>
      <c r="AG155" s="47">
        <f>IF(AF155="","",+AE155*AF155/100)</f>
        <v>13278.72</v>
      </c>
      <c r="AH155" s="30"/>
      <c r="AI155" s="30"/>
      <c r="AJ155" s="30"/>
      <c r="AK155" s="30"/>
      <c r="AL155" s="13"/>
      <c r="AM155" s="13"/>
      <c r="AN155" s="13"/>
      <c r="AO155" s="13"/>
      <c r="AP155" s="13"/>
      <c r="AQ155" s="14"/>
      <c r="AR155" s="15"/>
    </row>
    <row r="156" spans="1:44" s="17" customFormat="1" ht="30.95" hidden="1" customHeight="1" x14ac:dyDescent="0.2">
      <c r="A156" s="37"/>
      <c r="B156" s="38"/>
      <c r="C156" s="45"/>
      <c r="D156" s="31">
        <v>3697684</v>
      </c>
      <c r="E156" s="31"/>
      <c r="F156" s="268" t="str">
        <f>IF(D156="","",VLOOKUP(D156,契約台帳!$A$3:$K$4986,6,FALSE)&amp;VLOOKUP(D156,契約台帳!$A$3:$K$4986,7,FALSE)&amp;VLOOKUP(D156,契約台帳!$A$3:$K$4986,8,FALSE)&amp;VLOOKUP(D156,契約台帳!$A$3:$K$4986,9,FALSE)&amp;VLOOKUP(D156,契約台帳!$A$3:$K$4986,11,FALSE))</f>
        <v>3SYMLBMSNMBF</v>
      </c>
      <c r="G156" s="269" t="str">
        <f>IF(D156="","",VLOOKUP(F156,製品マスタ!$G$5:$H$5002,2,FALSE))</f>
        <v>S</v>
      </c>
      <c r="H156" s="269" t="str">
        <f>IF(D156="","",VLOOKUP(F156,製品マスタ!$G$5:$K$5002,5,FALSE))</f>
        <v>MSNMBF</v>
      </c>
      <c r="I156" s="270" t="str">
        <f>IF(D156="","",VLOOKUP(F156,製品マスタ!$G$5:$L$5002,6,FALSE))</f>
        <v>ＭＥＴＡＬＵＭＹ　ＳＩＬＶＥＲ　Ｎ－ＭＡＴＴＥ　Ｘ４４Ｍ　Ｂ</v>
      </c>
      <c r="J156" s="32"/>
      <c r="K156" s="270">
        <f>IF(D156="","",VLOOKUP(D156,契約台帳!$A$3:$L$4986,12,FALSE))</f>
        <v>50</v>
      </c>
      <c r="L156" s="270" t="str">
        <f>IF(D156="","",INDEX(製品マスタ!$Q$5:$Q$5002,MATCH(F156&amp;K156,製品マスタ!$AO$5:$AO$5002,0)))</f>
        <v>X44</v>
      </c>
      <c r="M156" s="39"/>
      <c r="N156" s="39"/>
      <c r="O156" s="47"/>
      <c r="P156" s="57"/>
      <c r="Q156" s="276">
        <f>IF(D156="","",IF(J156="リード付け",M156,VLOOKUP(D156,契約台帳!$A$3:$N$4986,14,FALSE)))</f>
        <v>1120</v>
      </c>
      <c r="R156" s="277">
        <f>IF(D156="","",IF(J156="リード付け",M156,VLOOKUP(D156,契約台帳!$A$3:$O$4986,15,FALSE)))</f>
        <v>1120</v>
      </c>
      <c r="S156" s="277">
        <f>IF(D156="","",IF(J156="リード付け",N156,VLOOKUP(D156,契約台帳!$A$3:$P$4986,16,FALSE)))</f>
        <v>4000</v>
      </c>
      <c r="T156" s="40">
        <v>2</v>
      </c>
      <c r="U156" s="278">
        <f ca="1">IF(D156="","",IF(OFFSET(D156,-2,0)=D156,"",VLOOKUP(D156,契約台帳!$A$3:$R$4986,18,FALSE)))</f>
        <v>4</v>
      </c>
      <c r="V156" s="269" t="str">
        <f>IF(J156="巻返し",VLOOKUP(F156&amp;K156&amp;M156,製品マスタ!$M$5:$AD$5002,18,FALSE),IF(J156="リード付け","原反コア",IF(J156="スリット",VLOOKUP(F156&amp;K156&amp;Q156,製品マスタ!$N$5:$AD$5002,17,FALSE),"")))</f>
        <v/>
      </c>
      <c r="W156" s="269" t="str">
        <f>IF(J156="巻返し",VLOOKUP(F156&amp;K156&amp;M156,製品マスタ!$M$5:$AE$5002,19,FALSE),IF(J156="リード付け","-",IF(J156="スリット",VLOOKUP(F156&amp;K156&amp;Q156,製品マスタ!$N$5:$AE$5002,18,FALSE),"")))</f>
        <v/>
      </c>
      <c r="X156" s="275">
        <f>IF(D156="","",VLOOKUP(D156,契約台帳!$A$3:$Q$4986,17,FALSE))</f>
        <v>2</v>
      </c>
      <c r="Y156" s="269" t="str">
        <f>IF(D156="","",VLOOKUP(D156,契約台帳!$A$3:$E$4986,5,FALSE))</f>
        <v>リンテック㈱</v>
      </c>
      <c r="Z156" s="57"/>
      <c r="AA156" s="207" t="str">
        <f>IFERROR(VLOOKUP(F156&amp;K156&amp;M156,製品マスタ!$M$5:$AM$5002,27,FALSE),"")</f>
        <v/>
      </c>
      <c r="AB156" s="33"/>
      <c r="AC156" s="189"/>
      <c r="AD156" s="54"/>
      <c r="AE156" s="55"/>
      <c r="AF156" s="43"/>
      <c r="AG156" s="47"/>
      <c r="AH156" s="30"/>
      <c r="AI156" s="30"/>
      <c r="AJ156" s="30"/>
      <c r="AK156" s="30"/>
      <c r="AL156" s="13"/>
      <c r="AM156" s="13"/>
      <c r="AN156" s="13"/>
      <c r="AO156" s="13"/>
      <c r="AP156" s="13"/>
      <c r="AQ156" s="14"/>
      <c r="AR156" s="15"/>
    </row>
    <row r="157" spans="1:44" s="17" customFormat="1" ht="30.95" hidden="1" customHeight="1" x14ac:dyDescent="0.2">
      <c r="A157" s="37"/>
      <c r="B157" s="38"/>
      <c r="C157" s="45"/>
      <c r="D157" s="31"/>
      <c r="E157" s="31"/>
      <c r="F157" s="268"/>
      <c r="G157" s="269"/>
      <c r="H157" s="269"/>
      <c r="I157" s="270"/>
      <c r="J157" s="32"/>
      <c r="K157" s="270"/>
      <c r="L157" s="270"/>
      <c r="M157" s="39"/>
      <c r="N157" s="39"/>
      <c r="O157" s="47"/>
      <c r="P157" s="57"/>
      <c r="Q157" s="276"/>
      <c r="R157" s="277"/>
      <c r="S157" s="277"/>
      <c r="T157" s="40"/>
      <c r="U157" s="278"/>
      <c r="V157" s="269"/>
      <c r="W157" s="269"/>
      <c r="X157" s="275"/>
      <c r="Y157" s="269"/>
      <c r="Z157" s="57"/>
      <c r="AA157" s="207"/>
      <c r="AB157" s="33"/>
      <c r="AC157" s="189"/>
      <c r="AD157" s="54"/>
      <c r="AE157" s="55"/>
      <c r="AF157" s="43"/>
      <c r="AG157" s="47"/>
      <c r="AH157" s="30"/>
      <c r="AI157" s="30"/>
      <c r="AJ157" s="30"/>
      <c r="AK157" s="30"/>
      <c r="AL157" s="13"/>
      <c r="AM157" s="13"/>
      <c r="AN157" s="13"/>
      <c r="AO157" s="13"/>
      <c r="AP157" s="13"/>
      <c r="AQ157" s="14"/>
      <c r="AR157" s="15"/>
    </row>
    <row r="158" spans="1:44" s="17" customFormat="1" ht="30.95" hidden="1" customHeight="1" x14ac:dyDescent="0.2">
      <c r="A158" s="37"/>
      <c r="B158" s="38"/>
      <c r="C158" s="45"/>
      <c r="D158" s="31">
        <v>3697684</v>
      </c>
      <c r="E158" s="31">
        <v>4151287</v>
      </c>
      <c r="F158" s="268" t="str">
        <f>IF(D158="","",VLOOKUP(D158,契約台帳!$A$3:$K$4986,6,FALSE)&amp;VLOOKUP(D158,契約台帳!$A$3:$K$4986,7,FALSE)&amp;VLOOKUP(D158,契約台帳!$A$3:$K$4986,8,FALSE)&amp;VLOOKUP(D158,契約台帳!$A$3:$K$4986,9,FALSE)&amp;VLOOKUP(D158,契約台帳!$A$3:$K$4986,11,FALSE))</f>
        <v>3SYMLBMSNMBF</v>
      </c>
      <c r="G158" s="269" t="str">
        <f>IF(D158="","",VLOOKUP(F158,製品マスタ!$G$5:$H$5002,2,FALSE))</f>
        <v>S</v>
      </c>
      <c r="H158" s="269" t="str">
        <f>IF(D158="","",VLOOKUP(F158,製品マスタ!$G$5:$K$5002,5,FALSE))</f>
        <v>MSNMBF</v>
      </c>
      <c r="I158" s="270" t="str">
        <f>IF(D158="","",VLOOKUP(F158,製品マスタ!$G$5:$L$5002,6,FALSE))</f>
        <v>ＭＥＴＡＬＵＭＹ　ＳＩＬＶＥＲ　Ｎ－ＭＡＴＴＥ　Ｘ４４Ｍ　Ｂ</v>
      </c>
      <c r="J158" s="32" t="s">
        <v>447</v>
      </c>
      <c r="K158" s="270">
        <f>IF(D158="","",VLOOKUP(D158,契約台帳!$A$3:$L$4986,12,FALSE))</f>
        <v>50</v>
      </c>
      <c r="L158" s="270" t="str">
        <f>IF(D158="","",INDEX(製品マスタ!$Q$5:$Q$5002,MATCH(F158&amp;K158,製品マスタ!$AO$5:$AO$5002,0)))</f>
        <v>X44</v>
      </c>
      <c r="M158" s="39">
        <v>1120</v>
      </c>
      <c r="N158" s="39">
        <v>8000</v>
      </c>
      <c r="O158" s="47">
        <v>1</v>
      </c>
      <c r="P158" s="57">
        <v>44969</v>
      </c>
      <c r="Q158" s="276">
        <f>IF(D158="","",IF(J158="リード付け",M158,VLOOKUP(D158,契約台帳!$A$3:$N$4986,14,FALSE)))</f>
        <v>1120</v>
      </c>
      <c r="R158" s="277">
        <f>IF(D158="","",IF(J158="リード付け",M158,VLOOKUP(D158,契約台帳!$A$3:$O$4986,15,FALSE)))</f>
        <v>1120</v>
      </c>
      <c r="S158" s="277">
        <f>IF(D158="","",IF(J158="リード付け",N158,VLOOKUP(D158,契約台帳!$A$3:$P$4986,16,FALSE)))</f>
        <v>4000</v>
      </c>
      <c r="T158" s="40">
        <v>2</v>
      </c>
      <c r="U158" s="278" t="str">
        <f ca="1">IF(D158="","",IF(OFFSET(D158,-2,0)=D158,"",VLOOKUP(D158,契約台帳!$A$3:$R$4986,18,FALSE)))</f>
        <v/>
      </c>
      <c r="V158" s="269" t="str">
        <f>IF(J158="巻返し",VLOOKUP(F158&amp;K158&amp;M158,製品マスタ!$M$5:$AD$5002,18,FALSE),IF(J158="リード付け","原反コア",IF(J158="スリット",VLOOKUP(F158&amp;K158&amp;Q158,製品マスタ!$N$5:$AD$5002,17,FALSE),"")))</f>
        <v>6ｲﾝﾁMｺｱ</v>
      </c>
      <c r="W158" s="269">
        <f>IF(J158="巻返し",VLOOKUP(F158&amp;K158&amp;M158,製品マスタ!$M$5:$AE$5002,19,FALSE),IF(J158="リード付け","-",IF(J158="スリット",VLOOKUP(F158&amp;K158&amp;Q158,製品マスタ!$N$5:$AE$5002,18,FALSE),"")))</f>
        <v>1125</v>
      </c>
      <c r="X158" s="275">
        <f>IF(D158="","",VLOOKUP(D158,契約台帳!$A$3:$Q$4986,17,FALSE))</f>
        <v>2</v>
      </c>
      <c r="Y158" s="269" t="str">
        <f>IF(D158="","",VLOOKUP(D158,契約台帳!$A$3:$E$4986,5,FALSE))</f>
        <v>リンテック㈱</v>
      </c>
      <c r="Z158" s="57"/>
      <c r="AA158" s="207">
        <f>IFERROR(VLOOKUP(F158&amp;K158&amp;M158,製品マスタ!$M$5:$AM$5002,27,FALSE),"")</f>
        <v>0</v>
      </c>
      <c r="AB158" s="33"/>
      <c r="AC158" s="189"/>
      <c r="AD158" s="54" t="str">
        <f>IF(F158="","",+F158&amp;K158)</f>
        <v>3SYMLBMSNMBF50</v>
      </c>
      <c r="AE158" s="55">
        <f>+M158*N158*O158/1000</f>
        <v>8960</v>
      </c>
      <c r="AF158" s="43">
        <f>IF(AD158="","",VLOOKUP(AD158,原価マスタ!$A$2:$AJ$1693,13,FALSE))</f>
        <v>98.8</v>
      </c>
      <c r="AG158" s="47">
        <f>IF(AF158="","",+AE158*AF158/100)</f>
        <v>8852.48</v>
      </c>
      <c r="AH158" s="30"/>
      <c r="AI158" s="30"/>
      <c r="AJ158" s="30"/>
      <c r="AK158" s="30"/>
      <c r="AL158" s="13"/>
      <c r="AM158" s="13"/>
      <c r="AN158" s="13"/>
      <c r="AO158" s="13"/>
      <c r="AP158" s="13"/>
      <c r="AQ158" s="14"/>
      <c r="AR158" s="15"/>
    </row>
    <row r="159" spans="1:44" s="17" customFormat="1" ht="30.95" hidden="1" customHeight="1" x14ac:dyDescent="0.2">
      <c r="A159" s="37"/>
      <c r="B159" s="38"/>
      <c r="C159" s="45"/>
      <c r="D159" s="31"/>
      <c r="E159" s="31"/>
      <c r="F159" s="268"/>
      <c r="G159" s="269"/>
      <c r="H159" s="269"/>
      <c r="I159" s="270"/>
      <c r="J159" s="32"/>
      <c r="K159" s="270"/>
      <c r="L159" s="270"/>
      <c r="M159" s="39"/>
      <c r="N159" s="39"/>
      <c r="O159" s="47"/>
      <c r="P159" s="57"/>
      <c r="Q159" s="276"/>
      <c r="R159" s="277"/>
      <c r="S159" s="277"/>
      <c r="T159" s="40"/>
      <c r="U159" s="278"/>
      <c r="V159" s="269"/>
      <c r="W159" s="269"/>
      <c r="X159" s="275"/>
      <c r="Y159" s="269"/>
      <c r="Z159" s="57"/>
      <c r="AA159" s="207"/>
      <c r="AB159" s="33"/>
      <c r="AC159" s="189"/>
      <c r="AD159" s="54"/>
      <c r="AE159" s="55"/>
      <c r="AF159" s="43"/>
      <c r="AG159" s="47"/>
      <c r="AH159" s="30"/>
      <c r="AI159" s="30"/>
      <c r="AJ159" s="30"/>
      <c r="AK159" s="30"/>
      <c r="AL159" s="13"/>
      <c r="AM159" s="13"/>
      <c r="AN159" s="13"/>
      <c r="AO159" s="13"/>
      <c r="AP159" s="13"/>
      <c r="AQ159" s="14"/>
      <c r="AR159" s="15"/>
    </row>
    <row r="160" spans="1:44" s="17" customFormat="1" ht="30.95" hidden="1" customHeight="1" x14ac:dyDescent="0.2">
      <c r="A160" s="37" t="s">
        <v>898</v>
      </c>
      <c r="B160" s="38" t="s">
        <v>899</v>
      </c>
      <c r="C160" s="45"/>
      <c r="D160" s="31">
        <v>3697676</v>
      </c>
      <c r="E160" s="31">
        <v>4151299</v>
      </c>
      <c r="F160" s="268" t="str">
        <f>IF(D160="","",VLOOKUP(D160,契約台帳!$A$3:$K$4986,6,FALSE)&amp;VLOOKUP(D160,契約台帳!$A$3:$K$4986,7,FALSE)&amp;VLOOKUP(D160,契約台帳!$A$3:$K$4986,8,FALSE)&amp;VLOOKUP(D160,契約台帳!$A$3:$K$4986,9,FALSE)&amp;VLOOKUP(D160,契約台帳!$A$3:$K$4986,11,FALSE))</f>
        <v>3SNMLBMNQR66F</v>
      </c>
      <c r="G160" s="269" t="str">
        <f>IF(D160="","",VLOOKUP(F160,製品マスタ!$G$5:$H$5002,2,FALSE))</f>
        <v>S</v>
      </c>
      <c r="H160" s="269" t="str">
        <f>IF(D160="","",VLOOKUP(F160,製品マスタ!$G$5:$K$5002,5,FALSE))</f>
        <v>MNQR66F</v>
      </c>
      <c r="I160" s="270" t="str">
        <f>IF(D160="","",VLOOKUP(F160,製品マスタ!$G$5:$L$5002,6,FALSE))</f>
        <v>ＱＲ６６蒸着品</v>
      </c>
      <c r="J160" s="32" t="s">
        <v>893</v>
      </c>
      <c r="K160" s="270">
        <f>IF(D160="","",VLOOKUP(D160,契約台帳!$A$3:$L$4986,12,FALSE))</f>
        <v>25</v>
      </c>
      <c r="L160" s="270" t="str">
        <f>IF(D160="","",INDEX(製品マスタ!$Q$5:$Q$5002,MATCH(F160&amp;K160,製品マスタ!$AO$5:$AO$5002,0)))</f>
        <v>E315</v>
      </c>
      <c r="M160" s="39">
        <v>1100</v>
      </c>
      <c r="N160" s="39">
        <v>24000</v>
      </c>
      <c r="O160" s="47">
        <v>4</v>
      </c>
      <c r="P160" s="57">
        <v>44970</v>
      </c>
      <c r="Q160" s="276">
        <f>IF(D160="","",IF(J160="リード付け",M160,VLOOKUP(D160,契約台帳!$A$3:$N$4986,14,FALSE)))</f>
        <v>1100</v>
      </c>
      <c r="R160" s="277">
        <f>IF(D160="","",IF(J160="リード付け",M160,VLOOKUP(D160,契約台帳!$A$3:$O$4986,15,FALSE)))</f>
        <v>1100</v>
      </c>
      <c r="S160" s="277">
        <f>IF(D160="","",IF(J160="リード付け",N160,VLOOKUP(D160,契約台帳!$A$3:$P$4986,16,FALSE)))</f>
        <v>6000</v>
      </c>
      <c r="T160" s="40">
        <v>16</v>
      </c>
      <c r="U160" s="278">
        <f ca="1">IF(D160="","",IF(OFFSET(D160,-2,0)=D160,"",VLOOKUP(D160,契約台帳!$A$3:$R$4986,18,FALSE)))</f>
        <v>20</v>
      </c>
      <c r="V160" s="269" t="str">
        <f>IF(J160="巻返し",VLOOKUP(F160&amp;K160&amp;M160,製品マスタ!$M$5:$AD$5002,18,FALSE),IF(J160="リード付け","原反コア",IF(J160="スリット",VLOOKUP(F160&amp;K160&amp;Q160,製品マスタ!$N$5:$AD$5002,17,FALSE),"")))</f>
        <v>6ｲﾝﾁMｺｱ</v>
      </c>
      <c r="W160" s="269">
        <f>IF(J160="巻返し",VLOOKUP(F160&amp;K160&amp;M160,製品マスタ!$M$5:$AE$5002,19,FALSE),IF(J160="リード付け","-",IF(J160="スリット",VLOOKUP(F160&amp;K160&amp;Q160,製品マスタ!$N$5:$AE$5002,18,FALSE),"")))</f>
        <v>1110</v>
      </c>
      <c r="X160" s="275">
        <f>IF(D160="","",VLOOKUP(D160,契約台帳!$A$3:$Q$4986,17,FALSE))</f>
        <v>2</v>
      </c>
      <c r="Y160" s="269" t="str">
        <f>IF(D160="","",VLOOKUP(D160,契約台帳!$A$3:$E$4986,5,FALSE))</f>
        <v>リンテック㈱</v>
      </c>
      <c r="Z160" s="57"/>
      <c r="AA160" s="207" t="str">
        <f>IFERROR(VLOOKUP(F160&amp;K160&amp;M160,製品マスタ!$M$5:$AM$5002,27,FALSE),"")</f>
        <v>原反ケース再利用</v>
      </c>
      <c r="AB160" s="33"/>
      <c r="AC160" s="189"/>
      <c r="AD160" s="54" t="str">
        <f>IF(F160="","",+F160&amp;K160)</f>
        <v>3SNMLBMNQR66F25</v>
      </c>
      <c r="AE160" s="55">
        <f>+M160*N160*O160/1000</f>
        <v>105600</v>
      </c>
      <c r="AF160" s="43">
        <f>IF(AD160="","",VLOOKUP(AD160,原価マスタ!$A$2:$AJ$1693,13,FALSE))</f>
        <v>98</v>
      </c>
      <c r="AG160" s="47">
        <f>IF(AF160="","",+AE160*AF160/100)</f>
        <v>103488</v>
      </c>
      <c r="AH160" s="30"/>
      <c r="AI160" s="30"/>
      <c r="AJ160" s="30"/>
      <c r="AK160" s="30"/>
      <c r="AL160" s="13"/>
      <c r="AM160" s="13"/>
      <c r="AN160" s="13"/>
      <c r="AO160" s="13"/>
      <c r="AP160" s="13"/>
      <c r="AQ160" s="14"/>
      <c r="AR160" s="15"/>
    </row>
    <row r="161" spans="1:44" s="17" customFormat="1" ht="30.95" hidden="1" customHeight="1" x14ac:dyDescent="0.2">
      <c r="A161" s="37"/>
      <c r="B161" s="38"/>
      <c r="C161" s="45"/>
      <c r="D161" s="31"/>
      <c r="E161" s="31"/>
      <c r="F161" s="268" t="str">
        <f>IF(D161="","",VLOOKUP(D161,契約台帳!$A$3:$K$4986,6,FALSE)&amp;VLOOKUP(D161,契約台帳!$A$3:$K$4986,7,FALSE)&amp;VLOOKUP(D161,契約台帳!$A$3:$K$4986,8,FALSE)&amp;VLOOKUP(D161,契約台帳!$A$3:$K$4986,9,FALSE)&amp;VLOOKUP(D161,契約台帳!$A$3:$K$4986,11,FALSE))</f>
        <v/>
      </c>
      <c r="G161" s="269" t="str">
        <f>IF(D161="","",VLOOKUP(F161,製品マスタ!$G$5:$H$5002,2,FALSE))</f>
        <v/>
      </c>
      <c r="H161" s="269" t="str">
        <f>IF(D161="","",VLOOKUP(F161,製品マスタ!$G$5:$K$5002,5,FALSE))</f>
        <v/>
      </c>
      <c r="I161" s="270" t="str">
        <f>IF(D161="","",VLOOKUP(F161,製品マスタ!$G$5:$L$5002,6,FALSE))</f>
        <v/>
      </c>
      <c r="J161" s="32"/>
      <c r="K161" s="270" t="str">
        <f>IF(D161="","",VLOOKUP(D161,契約台帳!$A$3:$L$4986,12,FALSE))</f>
        <v/>
      </c>
      <c r="L161" s="270" t="str">
        <f>IF(D161="","",INDEX(製品マスタ!$Q$5:$Q$5002,MATCH(F161&amp;K161,製品マスタ!$AO$5:$AO$5002,0)))</f>
        <v/>
      </c>
      <c r="M161" s="39"/>
      <c r="N161" s="39"/>
      <c r="O161" s="47"/>
      <c r="P161" s="57"/>
      <c r="Q161" s="276" t="str">
        <f>IF(D161="","",IF(J161="リード付け",M161,VLOOKUP(D161,契約台帳!$A$3:$N$4986,14,FALSE)))</f>
        <v/>
      </c>
      <c r="R161" s="277" t="str">
        <f>IF(D161="","",IF(J161="リード付け",M161,VLOOKUP(D161,契約台帳!$A$3:$O$4986,15,FALSE)))</f>
        <v/>
      </c>
      <c r="S161" s="277" t="str">
        <f>IF(D161="","",IF(J161="リード付け",N161,VLOOKUP(D161,契約台帳!$A$3:$P$4986,16,FALSE)))</f>
        <v/>
      </c>
      <c r="T161" s="40"/>
      <c r="U161" s="278" t="str">
        <f ca="1">IF(D161="","",IF(OFFSET(D161,-2,0)=D161,"",VLOOKUP(D161,契約台帳!$A$3:$R$4986,18,FALSE)))</f>
        <v/>
      </c>
      <c r="V161" s="269" t="str">
        <f>IF(J161="巻返し",VLOOKUP(F161&amp;K161&amp;M161,製品マスタ!$M$5:$AD$5002,18,FALSE),IF(J161="リード付け","原反コア",IF(J161="スリット",VLOOKUP(F161&amp;K161&amp;Q161,製品マスタ!$N$5:$AD$5002,17,FALSE),"")))</f>
        <v/>
      </c>
      <c r="W161" s="269" t="str">
        <f>IF(J161="巻返し",VLOOKUP(F161&amp;K161&amp;M161,製品マスタ!$M$5:$AE$5002,19,FALSE),IF(J161="リード付け","-",IF(J161="スリット",VLOOKUP(F161&amp;K161&amp;Q161,製品マスタ!$N$5:$AE$5002,18,FALSE),"")))</f>
        <v/>
      </c>
      <c r="X161" s="275" t="str">
        <f>IF(D161="","",VLOOKUP(D161,契約台帳!$A$3:$Q$4986,17,FALSE))</f>
        <v/>
      </c>
      <c r="Y161" s="269" t="str">
        <f>IF(D161="","",VLOOKUP(D161,契約台帳!$A$3:$E$4986,5,FALSE))</f>
        <v/>
      </c>
      <c r="Z161" s="57"/>
      <c r="AA161" s="207" t="str">
        <f>IFERROR(VLOOKUP(F161&amp;K161&amp;M161,製品マスタ!$M$5:$AM$5002,27,FALSE),"")</f>
        <v/>
      </c>
      <c r="AB161" s="33"/>
      <c r="AC161" s="189"/>
      <c r="AD161" s="54"/>
      <c r="AE161" s="55"/>
      <c r="AF161" s="43"/>
      <c r="AG161" s="47"/>
      <c r="AH161" s="30"/>
      <c r="AI161" s="30"/>
      <c r="AJ161" s="30"/>
      <c r="AK161" s="30"/>
      <c r="AL161" s="13"/>
      <c r="AM161" s="13"/>
      <c r="AN161" s="13"/>
      <c r="AO161" s="13"/>
      <c r="AP161" s="13"/>
      <c r="AQ161" s="14"/>
      <c r="AR161" s="15"/>
    </row>
    <row r="162" spans="1:44" s="17" customFormat="1" ht="30.95" hidden="1" customHeight="1" x14ac:dyDescent="0.2">
      <c r="A162" s="37" t="s">
        <v>900</v>
      </c>
      <c r="B162" s="38" t="s">
        <v>444</v>
      </c>
      <c r="C162" s="45"/>
      <c r="D162" s="31">
        <v>3697669</v>
      </c>
      <c r="E162" s="31">
        <v>4151302</v>
      </c>
      <c r="F162" s="268" t="str">
        <f>IF(D162="","",VLOOKUP(D162,契約台帳!$A$3:$K$4986,6,FALSE)&amp;VLOOKUP(D162,契約台帳!$A$3:$K$4986,7,FALSE)&amp;VLOOKUP(D162,契約台帳!$A$3:$K$4986,8,FALSE)&amp;VLOOKUP(D162,契約台帳!$A$3:$K$4986,9,FALSE)&amp;VLOOKUP(D162,契約台帳!$A$3:$K$4986,11,FALSE))</f>
        <v>3SNMLBMNNGKBF</v>
      </c>
      <c r="G162" s="269" t="str">
        <f>IF(D162="","",VLOOKUP(F162,製品マスタ!$G$5:$H$5002,2,FALSE))</f>
        <v>S</v>
      </c>
      <c r="H162" s="269" t="str">
        <f>IF(D162="","",VLOOKUP(F162,製品マスタ!$G$5:$K$5002,5,FALSE))</f>
        <v>MNNGKBF</v>
      </c>
      <c r="I162" s="270" t="str">
        <f>IF(D162="","",VLOOKUP(F162,製品マスタ!$G$5:$L$5002,6,FALSE))</f>
        <v>メタルミー　ニューネーマー銀消　Ｂ</v>
      </c>
      <c r="J162" s="32" t="s">
        <v>447</v>
      </c>
      <c r="K162" s="270">
        <f>IF(D162="","",VLOOKUP(D162,契約台帳!$A$3:$L$4986,12,FALSE))</f>
        <v>25</v>
      </c>
      <c r="L162" s="270" t="str">
        <f>IF(D162="","",INDEX(製品マスタ!$Q$5:$Q$5002,MATCH(F162&amp;K162,製品マスタ!$AO$5:$AO$5002,0)))</f>
        <v>X44C</v>
      </c>
      <c r="M162" s="39">
        <v>1005</v>
      </c>
      <c r="N162" s="39">
        <v>16000</v>
      </c>
      <c r="O162" s="47">
        <v>1</v>
      </c>
      <c r="P162" s="57">
        <v>44973</v>
      </c>
      <c r="Q162" s="276">
        <f>IF(D162="","",IF(J162="リード付け",M162,VLOOKUP(D162,契約台帳!$A$3:$N$4986,14,FALSE)))</f>
        <v>1005</v>
      </c>
      <c r="R162" s="277">
        <f>IF(D162="","",IF(J162="リード付け",M162,VLOOKUP(D162,契約台帳!$A$3:$O$4986,15,FALSE)))</f>
        <v>1000</v>
      </c>
      <c r="S162" s="277">
        <f>IF(D162="","",IF(J162="リード付け",N162,VLOOKUP(D162,契約台帳!$A$3:$P$4986,16,FALSE)))</f>
        <v>4000</v>
      </c>
      <c r="T162" s="40">
        <v>4</v>
      </c>
      <c r="U162" s="278">
        <f ca="1">IF(D162="","",IF(OFFSET(D162,-2,0)=D162,"",VLOOKUP(D162,契約台帳!$A$3:$R$4986,18,FALSE)))</f>
        <v>4</v>
      </c>
      <c r="V162" s="269" t="str">
        <f>IF(J162="巻返し",VLOOKUP(F162&amp;K162&amp;M162,製品マスタ!$M$5:$AD$5002,18,FALSE),IF(J162="リード付け","原反コア",IF(J162="スリット",VLOOKUP(F162&amp;K162&amp;Q162,製品マスタ!$N$5:$AD$5002,17,FALSE),"")))</f>
        <v>6ｲﾝﾁSｺｱ</v>
      </c>
      <c r="W162" s="269">
        <f>IF(J162="巻返し",VLOOKUP(F162&amp;K162&amp;M162,製品マスタ!$M$5:$AE$5002,19,FALSE),IF(J162="リード付け","-",IF(J162="スリット",VLOOKUP(F162&amp;K162&amp;Q162,製品マスタ!$N$5:$AE$5002,18,FALSE),"")))</f>
        <v>1015</v>
      </c>
      <c r="X162" s="275">
        <f>IF(D162="","",VLOOKUP(D162,契約台帳!$A$3:$Q$4986,17,FALSE))</f>
        <v>2</v>
      </c>
      <c r="Y162" s="269" t="str">
        <f>IF(D162="","",VLOOKUP(D162,契約台帳!$A$3:$E$4986,5,FALSE))</f>
        <v>リンテック㈱</v>
      </c>
      <c r="Z162" s="57"/>
      <c r="AA162" s="207">
        <f>IFERROR(VLOOKUP(F162&amp;K162&amp;M162,製品マスタ!$M$5:$AM$5002,27,FALSE),"")</f>
        <v>0</v>
      </c>
      <c r="AB162" s="33"/>
      <c r="AC162" s="189"/>
      <c r="AD162" s="54" t="str">
        <f>IF(F162="","",+F162&amp;K162)</f>
        <v>3SNMLBMNNGKBF25</v>
      </c>
      <c r="AE162" s="55">
        <f>+M162*N162*O162/1000</f>
        <v>16080</v>
      </c>
      <c r="AF162" s="43">
        <f>IF(AD162="","",VLOOKUP(AD162,原価マスタ!$A$2:$AJ$1693,13,FALSE))</f>
        <v>98.3</v>
      </c>
      <c r="AG162" s="47">
        <f>IF(AF162="","",+AE162*AF162/100)</f>
        <v>15806.64</v>
      </c>
      <c r="AH162" s="30"/>
      <c r="AI162" s="30"/>
      <c r="AJ162" s="30"/>
      <c r="AK162" s="30"/>
      <c r="AL162" s="13"/>
      <c r="AM162" s="13"/>
      <c r="AN162" s="13"/>
      <c r="AO162" s="13"/>
      <c r="AP162" s="13"/>
      <c r="AQ162" s="14"/>
      <c r="AR162" s="15"/>
    </row>
    <row r="163" spans="1:44" s="17" customFormat="1" ht="30.95" hidden="1" customHeight="1" x14ac:dyDescent="0.2">
      <c r="A163" s="37"/>
      <c r="B163" s="38"/>
      <c r="C163" s="45"/>
      <c r="D163" s="31"/>
      <c r="E163" s="31"/>
      <c r="F163" s="268"/>
      <c r="G163" s="269"/>
      <c r="H163" s="269"/>
      <c r="I163" s="270"/>
      <c r="J163" s="32"/>
      <c r="K163" s="270"/>
      <c r="L163" s="270"/>
      <c r="M163" s="39"/>
      <c r="N163" s="39"/>
      <c r="O163" s="47"/>
      <c r="P163" s="57"/>
      <c r="Q163" s="276"/>
      <c r="R163" s="277"/>
      <c r="S163" s="277"/>
      <c r="T163" s="40"/>
      <c r="U163" s="278"/>
      <c r="V163" s="269"/>
      <c r="W163" s="269"/>
      <c r="X163" s="275"/>
      <c r="Y163" s="269"/>
      <c r="Z163" s="57"/>
      <c r="AA163" s="207"/>
      <c r="AB163" s="33"/>
      <c r="AC163" s="189"/>
      <c r="AD163" s="54"/>
      <c r="AE163" s="55"/>
      <c r="AF163" s="43"/>
      <c r="AG163" s="47"/>
      <c r="AH163" s="30"/>
      <c r="AI163" s="30"/>
      <c r="AJ163" s="30"/>
      <c r="AK163" s="30"/>
      <c r="AL163" s="13"/>
      <c r="AM163" s="13"/>
      <c r="AN163" s="13"/>
      <c r="AO163" s="13"/>
      <c r="AP163" s="13"/>
      <c r="AQ163" s="14"/>
      <c r="AR163" s="15"/>
    </row>
    <row r="164" spans="1:44" s="17" customFormat="1" ht="30.95" hidden="1" customHeight="1" x14ac:dyDescent="0.2">
      <c r="A164" s="37"/>
      <c r="B164" s="38"/>
      <c r="C164" s="45"/>
      <c r="D164" s="31">
        <v>3697657</v>
      </c>
      <c r="E164" s="31">
        <v>4151276</v>
      </c>
      <c r="F164" s="268" t="str">
        <f>IF(D164="","",VLOOKUP(D164,契約台帳!$A$3:$K$4986,6,FALSE)&amp;VLOOKUP(D164,契約台帳!$A$3:$K$4986,7,FALSE)&amp;VLOOKUP(D164,契約台帳!$A$3:$K$4986,8,FALSE)&amp;VLOOKUP(D164,契約台帳!$A$3:$K$4986,9,FALSE)&amp;VLOOKUP(D164,契約台帳!$A$3:$K$4986,11,FALSE))</f>
        <v>3SYMLBMNGKKBF</v>
      </c>
      <c r="G164" s="269" t="str">
        <f>IF(D164="","",VLOOKUP(F164,製品マスタ!$G$5:$H$5002,2,FALSE))</f>
        <v>S</v>
      </c>
      <c r="H164" s="269" t="str">
        <f>IF(D164="","",VLOOKUP(F164,製品マスタ!$G$5:$K$5002,5,FALSE))</f>
        <v>MNGKKBF</v>
      </c>
      <c r="I164" s="270" t="str">
        <f>IF(D164="","",VLOOKUP(F164,製品マスタ!$G$5:$L$5002,6,FALSE))</f>
        <v>メタルミー　ネーマー銀消改　Ｂ</v>
      </c>
      <c r="J164" s="32" t="s">
        <v>447</v>
      </c>
      <c r="K164" s="270">
        <f>IF(D164="","",VLOOKUP(D164,契約台帳!$A$3:$L$4986,12,FALSE))</f>
        <v>25</v>
      </c>
      <c r="L164" s="270" t="str">
        <f>IF(D164="","",INDEX(製品マスタ!$Q$5:$Q$5002,MATCH(F164&amp;K164,製品マスタ!$AO$5:$AO$5002,0)))</f>
        <v>FMATS99</v>
      </c>
      <c r="M164" s="39">
        <v>1120</v>
      </c>
      <c r="N164" s="39">
        <v>8000</v>
      </c>
      <c r="O164" s="47">
        <v>2</v>
      </c>
      <c r="P164" s="57">
        <v>44971</v>
      </c>
      <c r="Q164" s="276">
        <f>IF(D164="","",IF(J164="リード付け",M164,VLOOKUP(D164,契約台帳!$A$3:$N$4986,14,FALSE)))</f>
        <v>1120</v>
      </c>
      <c r="R164" s="277">
        <f>IF(D164="","",IF(J164="リード付け",M164,VLOOKUP(D164,契約台帳!$A$3:$O$4986,15,FALSE)))</f>
        <v>1120</v>
      </c>
      <c r="S164" s="277">
        <f>IF(D164="","",IF(J164="リード付け",N164,VLOOKUP(D164,契約台帳!$A$3:$P$4986,16,FALSE)))</f>
        <v>4000</v>
      </c>
      <c r="T164" s="40">
        <v>4</v>
      </c>
      <c r="U164" s="278">
        <f ca="1">IF(D164="","",IF(OFFSET(D164,-2,0)=D164,"",VLOOKUP(D164,契約台帳!$A$3:$R$4986,18,FALSE)))</f>
        <v>4</v>
      </c>
      <c r="V164" s="269" t="str">
        <f>IF(J164="巻返し",VLOOKUP(F164&amp;K164&amp;M164,製品マスタ!$M$5:$AD$5002,18,FALSE),IF(J164="リード付け","原反コア",IF(J164="スリット",VLOOKUP(F164&amp;K164&amp;Q164,製品マスタ!$N$5:$AD$5002,17,FALSE),"")))</f>
        <v>6ｲﾝﾁSｺｱ</v>
      </c>
      <c r="W164" s="269">
        <f>IF(J164="巻返し",VLOOKUP(F164&amp;K164&amp;M164,製品マスタ!$M$5:$AE$5002,19,FALSE),IF(J164="リード付け","-",IF(J164="スリット",VLOOKUP(F164&amp;K164&amp;Q164,製品マスタ!$N$5:$AE$5002,18,FALSE),"")))</f>
        <v>1125</v>
      </c>
      <c r="X164" s="275">
        <f>IF(D164="","",VLOOKUP(D164,契約台帳!$A$3:$Q$4986,17,FALSE))</f>
        <v>2</v>
      </c>
      <c r="Y164" s="269" t="str">
        <f>IF(D164="","",VLOOKUP(D164,契約台帳!$A$3:$E$4986,5,FALSE))</f>
        <v>リンテック㈱</v>
      </c>
      <c r="Z164" s="57"/>
      <c r="AA164" s="207">
        <f>IFERROR(VLOOKUP(F164&amp;K164&amp;M164,製品マスタ!$M$5:$AM$5002,27,FALSE),"")</f>
        <v>0</v>
      </c>
      <c r="AB164" s="33"/>
      <c r="AC164" s="189"/>
      <c r="AD164" s="54" t="str">
        <f>IF(F164="","",+F164&amp;K164)</f>
        <v>3SYMLBMNGKKBF25</v>
      </c>
      <c r="AE164" s="55">
        <f>+M164*N164*O164/1000</f>
        <v>17920</v>
      </c>
      <c r="AF164" s="43">
        <v>95</v>
      </c>
      <c r="AG164" s="47">
        <f>IF(AF164="","",+AE164*AF164/100)</f>
        <v>17024</v>
      </c>
      <c r="AH164" s="30"/>
      <c r="AI164" s="30"/>
      <c r="AJ164" s="30"/>
      <c r="AK164" s="30"/>
      <c r="AL164" s="13"/>
      <c r="AM164" s="13"/>
      <c r="AN164" s="13"/>
      <c r="AO164" s="13"/>
      <c r="AP164" s="13"/>
      <c r="AQ164" s="14"/>
      <c r="AR164" s="15"/>
    </row>
    <row r="165" spans="1:44" s="17" customFormat="1" ht="30.95" hidden="1" customHeight="1" x14ac:dyDescent="0.2">
      <c r="A165" s="37"/>
      <c r="B165" s="38"/>
      <c r="C165" s="45"/>
      <c r="D165" s="31"/>
      <c r="E165" s="31"/>
      <c r="F165" s="268" t="str">
        <f>IF(D165="","",VLOOKUP(D165,契約台帳!$A$3:$K$4986,6,FALSE)&amp;VLOOKUP(D165,契約台帳!$A$3:$K$4986,7,FALSE)&amp;VLOOKUP(D165,契約台帳!$A$3:$K$4986,8,FALSE)&amp;VLOOKUP(D165,契約台帳!$A$3:$K$4986,9,FALSE)&amp;VLOOKUP(D165,契約台帳!$A$3:$K$4986,11,FALSE))</f>
        <v/>
      </c>
      <c r="G165" s="269" t="str">
        <f>IF(D165="","",VLOOKUP(F165,製品マスタ!$G$5:$H$5002,2,FALSE))</f>
        <v/>
      </c>
      <c r="H165" s="269" t="str">
        <f>IF(D165="","",VLOOKUP(F165,製品マスタ!$G$5:$K$5002,5,FALSE))</f>
        <v/>
      </c>
      <c r="I165" s="270" t="str">
        <f>IF(D165="","",VLOOKUP(F165,製品マスタ!$G$5:$L$5002,6,FALSE))</f>
        <v/>
      </c>
      <c r="J165" s="32"/>
      <c r="K165" s="270" t="str">
        <f>IF(D165="","",VLOOKUP(D165,契約台帳!$A$3:$L$4986,12,FALSE))</f>
        <v/>
      </c>
      <c r="L165" s="270" t="str">
        <f>IF(D165="","",INDEX(製品マスタ!$Q$5:$Q$5002,MATCH(F165&amp;K165,製品マスタ!$AO$5:$AO$5002,0)))</f>
        <v/>
      </c>
      <c r="M165" s="39"/>
      <c r="N165" s="39"/>
      <c r="O165" s="47"/>
      <c r="P165" s="57"/>
      <c r="Q165" s="276" t="str">
        <f>IF(D165="","",IF(J165="リード付け",M165,VLOOKUP(D165,契約台帳!$A$3:$N$4986,14,FALSE)))</f>
        <v/>
      </c>
      <c r="R165" s="277" t="str">
        <f>IF(D165="","",IF(J165="リード付け",M165,VLOOKUP(D165,契約台帳!$A$3:$O$4986,15,FALSE)))</f>
        <v/>
      </c>
      <c r="S165" s="277" t="str">
        <f>IF(D165="","",IF(J165="リード付け",N165,VLOOKUP(D165,契約台帳!$A$3:$P$4986,16,FALSE)))</f>
        <v/>
      </c>
      <c r="T165" s="40"/>
      <c r="U165" s="278" t="str">
        <f ca="1">IF(D165="","",IF(OFFSET(D165,-2,0)=D165,"",VLOOKUP(D165,契約台帳!$A$3:$R$4986,18,FALSE)))</f>
        <v/>
      </c>
      <c r="V165" s="269" t="str">
        <f>IF(J165="巻返し",VLOOKUP(F165&amp;K165&amp;M165,製品マスタ!$M$5:$AD$5002,18,FALSE),IF(J165="リード付け","原反コア",IF(J165="スリット",VLOOKUP(F165&amp;K165&amp;Q165,製品マスタ!$N$5:$AD$5002,17,FALSE),"")))</f>
        <v/>
      </c>
      <c r="W165" s="269" t="str">
        <f>IF(J165="巻返し",VLOOKUP(F165&amp;K165&amp;M165,製品マスタ!$M$5:$AE$5002,19,FALSE),IF(J165="リード付け","-",IF(J165="スリット",VLOOKUP(F165&amp;K165&amp;Q165,製品マスタ!$N$5:$AE$5002,18,FALSE),"")))</f>
        <v/>
      </c>
      <c r="X165" s="275" t="str">
        <f>IF(D165="","",VLOOKUP(D165,契約台帳!$A$3:$Q$4986,17,FALSE))</f>
        <v/>
      </c>
      <c r="Y165" s="269" t="str">
        <f>IF(D165="","",VLOOKUP(D165,契約台帳!$A$3:$E$4986,5,FALSE))</f>
        <v/>
      </c>
      <c r="Z165" s="57"/>
      <c r="AA165" s="207" t="str">
        <f>IFERROR(VLOOKUP(F165&amp;K165&amp;M165,製品マスタ!$M$5:$AM$5002,27,FALSE),"")</f>
        <v/>
      </c>
      <c r="AB165" s="33"/>
      <c r="AC165" s="189"/>
      <c r="AD165" s="54"/>
      <c r="AE165" s="55"/>
      <c r="AF165" s="43"/>
      <c r="AG165" s="47"/>
      <c r="AH165" s="30"/>
      <c r="AI165" s="30"/>
      <c r="AJ165" s="30"/>
      <c r="AK165" s="30"/>
      <c r="AL165" s="13"/>
      <c r="AM165" s="13"/>
      <c r="AN165" s="13"/>
      <c r="AO165" s="13"/>
      <c r="AP165" s="13"/>
      <c r="AQ165" s="14"/>
      <c r="AR165" s="15"/>
    </row>
    <row r="166" spans="1:44" s="17" customFormat="1" ht="30.75" hidden="1" customHeight="1" x14ac:dyDescent="0.2">
      <c r="A166" s="37"/>
      <c r="B166" s="38"/>
      <c r="C166" s="45"/>
      <c r="D166" s="31">
        <v>3698026</v>
      </c>
      <c r="E166" s="31">
        <v>4151298</v>
      </c>
      <c r="F166" s="268" t="str">
        <f>IF(D166="","",VLOOKUP(D166,契約台帳!$A$3:$K$4986,6,FALSE)&amp;VLOOKUP(D166,契約台帳!$A$3:$K$4986,7,FALSE)&amp;VLOOKUP(D166,契約台帳!$A$3:$K$4986,8,FALSE)&amp;VLOOKUP(D166,契約台帳!$A$3:$K$4986,9,FALSE)&amp;VLOOKUP(D166,契約台帳!$A$3:$K$4986,11,FALSE))</f>
        <v>3SNMLBMNQR66F</v>
      </c>
      <c r="G166" s="269" t="str">
        <f>IF(D166="","",VLOOKUP(F166,製品マスタ!$G$5:$H$5002,2,FALSE))</f>
        <v>S</v>
      </c>
      <c r="H166" s="269" t="str">
        <f>IF(D166="","",VLOOKUP(F166,製品マスタ!$G$5:$K$5002,5,FALSE))</f>
        <v>MNQR66F</v>
      </c>
      <c r="I166" s="270" t="str">
        <f>IF(D166="","",VLOOKUP(F166,製品マスタ!$G$5:$L$5002,6,FALSE))</f>
        <v>ＱＲ６６蒸着品</v>
      </c>
      <c r="J166" s="32" t="s">
        <v>447</v>
      </c>
      <c r="K166" s="270">
        <f>IF(D166="","",VLOOKUP(D166,契約台帳!$A$3:$L$4986,12,FALSE))</f>
        <v>25</v>
      </c>
      <c r="L166" s="270" t="str">
        <f>IF(D166="","",INDEX(製品マスタ!$Q$5:$Q$5002,MATCH(F166&amp;K166,製品マスタ!$AO$5:$AO$5002,0)))</f>
        <v>E315</v>
      </c>
      <c r="M166" s="39">
        <v>1100</v>
      </c>
      <c r="N166" s="39">
        <v>6000</v>
      </c>
      <c r="O166" s="47">
        <v>1</v>
      </c>
      <c r="P166" s="57">
        <v>44974</v>
      </c>
      <c r="Q166" s="276">
        <f>IF(D166="","",IF(J166="リード付け",M166,VLOOKUP(D166,契約台帳!$A$3:$N$4986,14,FALSE)))</f>
        <v>1100</v>
      </c>
      <c r="R166" s="277">
        <f>IF(D166="","",IF(J166="リード付け",M166,VLOOKUP(D166,契約台帳!$A$3:$O$4986,15,FALSE)))</f>
        <v>1100</v>
      </c>
      <c r="S166" s="277">
        <f>IF(D166="","",IF(J166="リード付け",N166,VLOOKUP(D166,契約台帳!$A$3:$P$4986,16,FALSE)))</f>
        <v>6000</v>
      </c>
      <c r="T166" s="40">
        <v>1</v>
      </c>
      <c r="U166" s="278">
        <f ca="1">IF(D166="","",IF(OFFSET(D166,-2,0)=D166,"",VLOOKUP(D166,契約台帳!$A$3:$R$4986,18,FALSE)))</f>
        <v>7</v>
      </c>
      <c r="V166" s="269" t="str">
        <f>IF(J166="巻返し",VLOOKUP(F166&amp;K166&amp;M166,製品マスタ!$M$5:$AD$5002,18,FALSE),IF(J166="リード付け","原反コア",IF(J166="スリット",VLOOKUP(F166&amp;K166&amp;Q166,製品マスタ!$N$5:$AD$5002,17,FALSE),"")))</f>
        <v>6ｲﾝﾁMｺｱ</v>
      </c>
      <c r="W166" s="269">
        <f>IF(J166="巻返し",VLOOKUP(F166&amp;K166&amp;M166,製品マスタ!$M$5:$AE$5002,19,FALSE),IF(J166="リード付け","-",IF(J166="スリット",VLOOKUP(F166&amp;K166&amp;Q166,製品マスタ!$N$5:$AE$5002,18,FALSE),"")))</f>
        <v>1110</v>
      </c>
      <c r="X166" s="275">
        <f>IF(D166="","",VLOOKUP(D166,契約台帳!$A$3:$Q$4986,17,FALSE))</f>
        <v>2</v>
      </c>
      <c r="Y166" s="269" t="str">
        <f>IF(D166="","",VLOOKUP(D166,契約台帳!$A$3:$E$4986,5,FALSE))</f>
        <v>リンテック㈱</v>
      </c>
      <c r="Z166" s="57"/>
      <c r="AA166" s="207" t="str">
        <f>IFERROR(VLOOKUP(F166&amp;K166&amp;M166,製品マスタ!$M$5:$AM$5002,27,FALSE),"")</f>
        <v>原反ケース再利用</v>
      </c>
      <c r="AB166" s="33"/>
      <c r="AC166" s="189"/>
      <c r="AD166" s="54" t="str">
        <f>IF(F166="","",+F166&amp;K166)</f>
        <v>3SNMLBMNQR66F25</v>
      </c>
      <c r="AE166" s="55">
        <f>+M166*N166*O166/1000</f>
        <v>6600</v>
      </c>
      <c r="AF166" s="43">
        <f>IF(AD166="","",VLOOKUP(AD166,原価マスタ!$A$2:$AJ$1693,13,FALSE))</f>
        <v>98</v>
      </c>
      <c r="AG166" s="47">
        <f>IF(AF166="","",+AE166*AF166/100)</f>
        <v>6468</v>
      </c>
      <c r="AH166" s="30"/>
      <c r="AI166" s="30"/>
      <c r="AJ166" s="30"/>
      <c r="AK166" s="30"/>
      <c r="AL166" s="13"/>
      <c r="AM166" s="13"/>
      <c r="AN166" s="13"/>
      <c r="AO166" s="13"/>
      <c r="AP166" s="13"/>
      <c r="AQ166" s="14"/>
      <c r="AR166" s="15"/>
    </row>
    <row r="167" spans="1:44" s="17" customFormat="1" ht="30.95" hidden="1" customHeight="1" x14ac:dyDescent="0.2">
      <c r="A167" s="37"/>
      <c r="B167" s="38"/>
      <c r="C167" s="45"/>
      <c r="D167" s="31"/>
      <c r="E167" s="31"/>
      <c r="F167" s="268"/>
      <c r="G167" s="269"/>
      <c r="H167" s="269"/>
      <c r="I167" s="270"/>
      <c r="J167" s="32"/>
      <c r="K167" s="270"/>
      <c r="L167" s="270"/>
      <c r="M167" s="39"/>
      <c r="N167" s="39"/>
      <c r="O167" s="47"/>
      <c r="P167" s="57"/>
      <c r="Q167" s="276"/>
      <c r="R167" s="277"/>
      <c r="S167" s="277"/>
      <c r="T167" s="40"/>
      <c r="U167" s="278"/>
      <c r="V167" s="269"/>
      <c r="W167" s="269"/>
      <c r="X167" s="275"/>
      <c r="Y167" s="269"/>
      <c r="Z167" s="57"/>
      <c r="AA167" s="207"/>
      <c r="AB167" s="33"/>
      <c r="AC167" s="189"/>
      <c r="AD167" s="54"/>
      <c r="AE167" s="55"/>
      <c r="AF167" s="43"/>
      <c r="AG167" s="47"/>
      <c r="AH167" s="30"/>
      <c r="AI167" s="30"/>
      <c r="AJ167" s="30"/>
      <c r="AK167" s="30"/>
      <c r="AL167" s="13"/>
      <c r="AM167" s="13"/>
      <c r="AN167" s="13"/>
      <c r="AO167" s="13"/>
      <c r="AP167" s="13"/>
      <c r="AQ167" s="14"/>
      <c r="AR167" s="15"/>
    </row>
    <row r="168" spans="1:44" s="17" customFormat="1" ht="30.95" hidden="1" customHeight="1" x14ac:dyDescent="0.2">
      <c r="A168" s="37"/>
      <c r="B168" s="38"/>
      <c r="C168" s="45"/>
      <c r="D168" s="31">
        <v>3699538</v>
      </c>
      <c r="E168" s="31">
        <v>4151305</v>
      </c>
      <c r="F168" s="268" t="str">
        <f>IF(D168="","",VLOOKUP(D168,契約台帳!$A$3:$K$4986,6,FALSE)&amp;VLOOKUP(D168,契約台帳!$A$3:$K$4986,7,FALSE)&amp;VLOOKUP(D168,契約台帳!$A$3:$K$4986,8,FALSE)&amp;VLOOKUP(D168,契約台帳!$A$3:$K$4986,9,FALSE)&amp;VLOOKUP(D168,契約台帳!$A$3:$K$4986,11,FALSE))</f>
        <v>3UNMLBKF9BF</v>
      </c>
      <c r="G168" s="269" t="str">
        <f>IF(D168="","",VLOOKUP(F168,製品マスタ!$G$5:$H$5002,2,FALSE))</f>
        <v>U</v>
      </c>
      <c r="H168" s="269" t="str">
        <f>IF(D168="","",VLOOKUP(F168,製品マスタ!$G$5:$K$5002,5,FALSE))</f>
        <v>KF9BF</v>
      </c>
      <c r="I168" s="270" t="str">
        <f>IF(D168="","",VLOOKUP(F168,製品マスタ!$G$5:$L$5002,6,FALSE))</f>
        <v>ＫＦ－９Ｂ</v>
      </c>
      <c r="J168" s="32" t="s">
        <v>463</v>
      </c>
      <c r="K168" s="270">
        <f>IF(D168="","",VLOOKUP(D168,契約台帳!$A$3:$L$4986,12,FALSE))</f>
        <v>9</v>
      </c>
      <c r="L168" s="270" t="str">
        <f>IF(D168="","",INDEX(製品マスタ!$Q$5:$Q$5002,MATCH(F168&amp;K168,製品マスタ!$AO$5:$AO$5002,0)))</f>
        <v>F53</v>
      </c>
      <c r="M168" s="39">
        <v>1400</v>
      </c>
      <c r="N168" s="39">
        <v>12000</v>
      </c>
      <c r="O168" s="47">
        <v>2</v>
      </c>
      <c r="P168" s="57">
        <v>44970</v>
      </c>
      <c r="Q168" s="276">
        <f>IF(D168="","",IF(J168="リード付け",M168,VLOOKUP(D168,契約台帳!$A$3:$N$4986,14,FALSE)))</f>
        <v>1200</v>
      </c>
      <c r="R168" s="277">
        <f>IF(D168="","",IF(J168="リード付け",M168,VLOOKUP(D168,契約台帳!$A$3:$O$4986,15,FALSE)))</f>
        <v>1200</v>
      </c>
      <c r="S168" s="277">
        <f>IF(D168="","",IF(J168="リード付け",N168,VLOOKUP(D168,契約台帳!$A$3:$P$4986,16,FALSE)))</f>
        <v>2000</v>
      </c>
      <c r="T168" s="40">
        <v>12</v>
      </c>
      <c r="U168" s="278">
        <f ca="1">IF(D168="","",IF(OFFSET(D168,-2,0)=D168,"",VLOOKUP(D168,契約台帳!$A$3:$R$4986,18,FALSE)))</f>
        <v>12</v>
      </c>
      <c r="V168" s="269" t="str">
        <f>IF(J168="巻返し",VLOOKUP(F168&amp;K168&amp;M168,製品マスタ!$M$5:$AD$5002,18,FALSE),IF(J168="リード付け","原反コア",IF(J168="スリット",VLOOKUP(F168&amp;K168&amp;Q168,製品マスタ!$N$5:$AD$5002,17,FALSE),"")))</f>
        <v>3ｲﾝﾁMｺｱ</v>
      </c>
      <c r="W168" s="269">
        <f>IF(J168="巻返し",VLOOKUP(F168&amp;K168&amp;M168,製品マスタ!$M$5:$AE$5002,19,FALSE),IF(J168="リード付け","-",IF(J168="スリット",VLOOKUP(F168&amp;K168&amp;Q168,製品マスタ!$N$5:$AE$5002,18,FALSE),"")))</f>
        <v>1220</v>
      </c>
      <c r="X168" s="275">
        <f>IF(D168="","",VLOOKUP(D168,契約台帳!$A$3:$Q$4986,17,FALSE))</f>
        <v>2</v>
      </c>
      <c r="Y168" s="269" t="str">
        <f>IF(D168="","",VLOOKUP(D168,契約台帳!$A$3:$E$4986,5,FALSE))</f>
        <v>栃木カネカ㈱電材検査</v>
      </c>
      <c r="Z168" s="57"/>
      <c r="AA168" s="207" t="s">
        <v>774</v>
      </c>
      <c r="AB168" s="33"/>
      <c r="AC168" s="189"/>
      <c r="AD168" s="54"/>
      <c r="AE168" s="55"/>
      <c r="AF168" s="43"/>
      <c r="AG168" s="47"/>
      <c r="AH168" s="30"/>
      <c r="AI168" s="30"/>
      <c r="AJ168" s="30"/>
      <c r="AK168" s="30"/>
      <c r="AL168" s="13"/>
      <c r="AM168" s="13"/>
      <c r="AN168" s="13"/>
      <c r="AO168" s="13"/>
      <c r="AP168" s="13"/>
      <c r="AQ168" s="14"/>
      <c r="AR168" s="15"/>
    </row>
    <row r="169" spans="1:44" s="17" customFormat="1" ht="30.95" hidden="1" customHeight="1" x14ac:dyDescent="0.2">
      <c r="A169" s="37"/>
      <c r="B169" s="38"/>
      <c r="C169" s="45"/>
      <c r="D169" s="31"/>
      <c r="E169" s="31"/>
      <c r="F169" s="268"/>
      <c r="G169" s="269"/>
      <c r="H169" s="269"/>
      <c r="I169" s="270"/>
      <c r="J169" s="32"/>
      <c r="K169" s="270"/>
      <c r="L169" s="270"/>
      <c r="M169" s="39"/>
      <c r="N169" s="39"/>
      <c r="O169" s="47"/>
      <c r="P169" s="57"/>
      <c r="Q169" s="276"/>
      <c r="R169" s="277"/>
      <c r="S169" s="277"/>
      <c r="T169" s="40"/>
      <c r="U169" s="278"/>
      <c r="V169" s="269"/>
      <c r="W169" s="269"/>
      <c r="X169" s="275"/>
      <c r="Y169" s="269"/>
      <c r="Z169" s="57"/>
      <c r="AA169" s="207"/>
      <c r="AB169" s="33"/>
      <c r="AC169" s="189"/>
      <c r="AD169" s="54"/>
      <c r="AE169" s="55"/>
      <c r="AF169" s="43"/>
      <c r="AG169" s="47"/>
      <c r="AH169" s="30"/>
      <c r="AI169" s="30"/>
      <c r="AJ169" s="30"/>
      <c r="AK169" s="30"/>
      <c r="AL169" s="13"/>
      <c r="AM169" s="13"/>
      <c r="AN169" s="13"/>
      <c r="AO169" s="13"/>
      <c r="AP169" s="13"/>
      <c r="AQ169" s="14"/>
      <c r="AR169" s="15"/>
    </row>
    <row r="170" spans="1:44" s="17" customFormat="1" ht="30.95" hidden="1" customHeight="1" x14ac:dyDescent="0.2">
      <c r="A170" s="37" t="s">
        <v>885</v>
      </c>
      <c r="B170" s="38" t="s">
        <v>445</v>
      </c>
      <c r="C170" s="45"/>
      <c r="D170" s="31"/>
      <c r="E170" s="31"/>
      <c r="F170" s="268" t="str">
        <f>IF(D170="","",VLOOKUP(D170,契約台帳!$A$3:$K$4986,6,FALSE)&amp;VLOOKUP(D170,契約台帳!$A$3:$K$4986,7,FALSE)&amp;VLOOKUP(D170,契約台帳!$A$3:$K$4986,8,FALSE)&amp;VLOOKUP(D170,契約台帳!$A$3:$K$4986,9,FALSE)&amp;VLOOKUP(D170,契約台帳!$A$3:$K$4986,11,FALSE))</f>
        <v/>
      </c>
      <c r="G170" s="269" t="str">
        <f>IF(D170="","",VLOOKUP(F170,製品マスタ!$G$5:$H$5002,2,FALSE))</f>
        <v/>
      </c>
      <c r="H170" s="269" t="str">
        <f>IF(D170="","",VLOOKUP(F170,製品マスタ!$G$5:$K$5002,5,FALSE))</f>
        <v/>
      </c>
      <c r="I170" s="270" t="str">
        <f>IF(D170="","",VLOOKUP(F170,製品マスタ!$G$5:$L$5002,6,FALSE))</f>
        <v/>
      </c>
      <c r="J170" s="32" t="s">
        <v>448</v>
      </c>
      <c r="K170" s="270" t="str">
        <f>IF(D170="","",VLOOKUP(D170,契約台帳!$A$3:$L$4986,12,FALSE))</f>
        <v/>
      </c>
      <c r="L170" s="270" t="str">
        <f>IF(D170="","",INDEX(製品マスタ!$Q$5:$Q$5002,MATCH(F170&amp;K170,製品マスタ!$AO$5:$AO$5002,0)))</f>
        <v/>
      </c>
      <c r="M170" s="39"/>
      <c r="N170" s="39"/>
      <c r="O170" s="47"/>
      <c r="P170" s="57"/>
      <c r="Q170" s="276" t="str">
        <f>IF(D170="","",IF(J170="リード付け",M170,VLOOKUP(D170,契約台帳!$A$3:$N$4986,14,FALSE)))</f>
        <v/>
      </c>
      <c r="R170" s="277" t="str">
        <f>IF(D170="","",IF(J170="リード付け",M170,VLOOKUP(D170,契約台帳!$A$3:$O$4986,15,FALSE)))</f>
        <v/>
      </c>
      <c r="S170" s="277" t="str">
        <f>IF(D170="","",IF(J170="リード付け",N170,VLOOKUP(D170,契約台帳!$A$3:$P$4986,16,FALSE)))</f>
        <v/>
      </c>
      <c r="T170" s="40"/>
      <c r="U170" s="278" t="str">
        <f ca="1">IF(D170="","",IF(OFFSET(D170,-2,0)=D170,"",VLOOKUP(D170,契約台帳!$A$3:$R$4986,18,FALSE)))</f>
        <v/>
      </c>
      <c r="V170" s="269" t="str">
        <f>IF(J170="巻返し",VLOOKUP(F170&amp;K170&amp;M170,製品マスタ!$M$5:$AD$5002,18,FALSE),IF(J170="リード付け","原反コア",IF(J170="スリット",VLOOKUP(F170&amp;K170&amp;Q170,製品マスタ!$N$5:$AD$5002,17,FALSE),"")))</f>
        <v/>
      </c>
      <c r="W170" s="269" t="str">
        <f>IF(J170="巻返し",VLOOKUP(F170&amp;K170&amp;M170,製品マスタ!$M$5:$AE$5002,19,FALSE),IF(J170="リード付け","-",IF(J170="スリット",VLOOKUP(F170&amp;K170&amp;Q170,製品マスタ!$N$5:$AE$5002,18,FALSE),"")))</f>
        <v/>
      </c>
      <c r="X170" s="275" t="str">
        <f>IF(D170="","",VLOOKUP(D170,契約台帳!$A$3:$Q$4986,17,FALSE))</f>
        <v/>
      </c>
      <c r="Y170" s="269" t="str">
        <f>IF(D170="","",VLOOKUP(D170,契約台帳!$A$3:$E$4986,5,FALSE))</f>
        <v/>
      </c>
      <c r="Z170" s="57"/>
      <c r="AA170" s="207" t="str">
        <f>IFERROR(VLOOKUP(F170&amp;K170&amp;M170,製品マスタ!$M$5:$AM$5002,27,FALSE),"")</f>
        <v/>
      </c>
      <c r="AB170" s="33"/>
      <c r="AC170" s="189"/>
      <c r="AD170" s="54"/>
      <c r="AE170" s="55"/>
      <c r="AF170" s="43"/>
      <c r="AG170" s="47"/>
      <c r="AH170" s="30"/>
      <c r="AI170" s="30"/>
      <c r="AJ170" s="30"/>
      <c r="AK170" s="30"/>
      <c r="AL170" s="13"/>
      <c r="AM170" s="13"/>
      <c r="AN170" s="13"/>
      <c r="AO170" s="13"/>
      <c r="AP170" s="13"/>
      <c r="AQ170" s="14"/>
      <c r="AR170" s="15"/>
    </row>
    <row r="171" spans="1:44" s="17" customFormat="1" ht="30.95" hidden="1" customHeight="1" x14ac:dyDescent="0.2">
      <c r="A171" s="37"/>
      <c r="B171" s="38"/>
      <c r="C171" s="45"/>
      <c r="D171" s="31"/>
      <c r="E171" s="31"/>
      <c r="F171" s="268" t="str">
        <f>IF(D171="","",VLOOKUP(D171,契約台帳!$A$3:$K$4986,6,FALSE)&amp;VLOOKUP(D171,契約台帳!$A$3:$K$4986,7,FALSE)&amp;VLOOKUP(D171,契約台帳!$A$3:$K$4986,8,FALSE)&amp;VLOOKUP(D171,契約台帳!$A$3:$K$4986,9,FALSE)&amp;VLOOKUP(D171,契約台帳!$A$3:$K$4986,11,FALSE))</f>
        <v/>
      </c>
      <c r="G171" s="269" t="str">
        <f>IF(D171="","",VLOOKUP(F171,製品マスタ!$G$5:$H$5002,2,FALSE))</f>
        <v/>
      </c>
      <c r="H171" s="269" t="str">
        <f>IF(D171="","",VLOOKUP(F171,製品マスタ!$G$5:$K$5002,5,FALSE))</f>
        <v/>
      </c>
      <c r="I171" s="270" t="str">
        <f>IF(D171="","",VLOOKUP(F171,製品マスタ!$G$5:$L$5002,6,FALSE))</f>
        <v/>
      </c>
      <c r="J171" s="32"/>
      <c r="K171" s="270" t="str">
        <f>IF(D171="","",VLOOKUP(D171,契約台帳!$A$3:$L$4986,12,FALSE))</f>
        <v/>
      </c>
      <c r="L171" s="270" t="str">
        <f>IF(D171="","",INDEX(製品マスタ!$Q$5:$Q$5002,MATCH(F171&amp;K171,製品マスタ!$AO$5:$AO$5002,0)))</f>
        <v/>
      </c>
      <c r="M171" s="39"/>
      <c r="N171" s="39"/>
      <c r="O171" s="47"/>
      <c r="P171" s="57"/>
      <c r="Q171" s="276" t="str">
        <f>IF(D171="","",IF(J171="リード付け",M171,VLOOKUP(D171,契約台帳!$A$3:$N$4986,14,FALSE)))</f>
        <v/>
      </c>
      <c r="R171" s="277" t="str">
        <f>IF(D171="","",IF(J171="リード付け",M171,VLOOKUP(D171,契約台帳!$A$3:$O$4986,15,FALSE)))</f>
        <v/>
      </c>
      <c r="S171" s="277" t="str">
        <f>IF(D171="","",IF(J171="リード付け",N171,VLOOKUP(D171,契約台帳!$A$3:$P$4986,16,FALSE)))</f>
        <v/>
      </c>
      <c r="T171" s="40"/>
      <c r="U171" s="278" t="str">
        <f ca="1">IF(D171="","",IF(OFFSET(D171,-2,0)=D171,"",VLOOKUP(D171,契約台帳!$A$3:$R$4986,18,FALSE)))</f>
        <v/>
      </c>
      <c r="V171" s="269" t="str">
        <f>IF(J171="巻返し",VLOOKUP(F171&amp;K171&amp;M171,製品マスタ!$M$5:$AD$5002,18,FALSE),IF(J171="リード付け","原反コア",IF(J171="スリット",VLOOKUP(F171&amp;K171&amp;Q171,製品マスタ!$N$5:$AD$5002,17,FALSE),"")))</f>
        <v/>
      </c>
      <c r="W171" s="269" t="str">
        <f>IF(J171="巻返し",VLOOKUP(F171&amp;K171&amp;M171,製品マスタ!$M$5:$AE$5002,19,FALSE),IF(J171="リード付け","-",IF(J171="スリット",VLOOKUP(F171&amp;K171&amp;Q171,製品マスタ!$N$5:$AE$5002,18,FALSE),"")))</f>
        <v/>
      </c>
      <c r="X171" s="275" t="str">
        <f>IF(D171="","",VLOOKUP(D171,契約台帳!$A$3:$Q$4986,17,FALSE))</f>
        <v/>
      </c>
      <c r="Y171" s="269" t="str">
        <f>IF(D171="","",VLOOKUP(D171,契約台帳!$A$3:$E$4986,5,FALSE))</f>
        <v/>
      </c>
      <c r="Z171" s="57"/>
      <c r="AA171" s="207" t="str">
        <f>IFERROR(VLOOKUP(F171&amp;K171&amp;M171,製品マスタ!$M$5:$AM$5002,27,FALSE),"")</f>
        <v/>
      </c>
      <c r="AB171" s="33"/>
      <c r="AC171" s="189"/>
      <c r="AD171" s="54"/>
      <c r="AE171" s="55"/>
      <c r="AF171" s="43"/>
      <c r="AG171" s="47"/>
      <c r="AH171" s="30"/>
      <c r="AI171" s="30"/>
      <c r="AJ171" s="30"/>
      <c r="AK171" s="30"/>
      <c r="AL171" s="13"/>
      <c r="AM171" s="13"/>
      <c r="AN171" s="13"/>
      <c r="AO171" s="13"/>
      <c r="AP171" s="13"/>
      <c r="AQ171" s="14"/>
      <c r="AR171" s="15"/>
    </row>
    <row r="172" spans="1:44" s="17" customFormat="1" ht="30.95" hidden="1" customHeight="1" x14ac:dyDescent="0.2">
      <c r="A172" s="37" t="s">
        <v>886</v>
      </c>
      <c r="B172" s="38" t="s">
        <v>446</v>
      </c>
      <c r="C172" s="45"/>
      <c r="D172" s="31"/>
      <c r="E172" s="31"/>
      <c r="F172" s="268" t="str">
        <f>IF(D172="","",VLOOKUP(D172,契約台帳!$A$3:$K$4986,6,FALSE)&amp;VLOOKUP(D172,契約台帳!$A$3:$K$4986,7,FALSE)&amp;VLOOKUP(D172,契約台帳!$A$3:$K$4986,8,FALSE)&amp;VLOOKUP(D172,契約台帳!$A$3:$K$4986,9,FALSE)&amp;VLOOKUP(D172,契約台帳!$A$3:$K$4986,11,FALSE))</f>
        <v/>
      </c>
      <c r="G172" s="269" t="str">
        <f>IF(D172="","",VLOOKUP(F172,製品マスタ!$G$5:$H$5002,2,FALSE))</f>
        <v/>
      </c>
      <c r="H172" s="269" t="str">
        <f>IF(D172="","",VLOOKUP(F172,製品マスタ!$G$5:$K$5002,5,FALSE))</f>
        <v/>
      </c>
      <c r="I172" s="270" t="str">
        <f>IF(D172="","",VLOOKUP(F172,製品マスタ!$G$5:$L$5002,6,FALSE))</f>
        <v/>
      </c>
      <c r="J172" s="32" t="s">
        <v>448</v>
      </c>
      <c r="K172" s="270" t="str">
        <f>IF(D172="","",VLOOKUP(D172,契約台帳!$A$3:$L$4986,12,FALSE))</f>
        <v/>
      </c>
      <c r="L172" s="270" t="str">
        <f>IF(D172="","",INDEX(製品マスタ!$Q$5:$Q$5002,MATCH(F172&amp;K172,製品マスタ!$AO$5:$AO$5002,0)))</f>
        <v/>
      </c>
      <c r="M172" s="39"/>
      <c r="N172" s="39"/>
      <c r="O172" s="47"/>
      <c r="P172" s="57"/>
      <c r="Q172" s="276" t="str">
        <f>IF(D172="","",IF(J172="リード付け",M172,VLOOKUP(D172,契約台帳!$A$3:$N$4986,14,FALSE)))</f>
        <v/>
      </c>
      <c r="R172" s="277" t="str">
        <f>IF(D172="","",IF(J172="リード付け",M172,VLOOKUP(D172,契約台帳!$A$3:$O$4986,15,FALSE)))</f>
        <v/>
      </c>
      <c r="S172" s="277" t="str">
        <f>IF(D172="","",IF(J172="リード付け",N172,VLOOKUP(D172,契約台帳!$A$3:$P$4986,16,FALSE)))</f>
        <v/>
      </c>
      <c r="T172" s="40"/>
      <c r="U172" s="278" t="str">
        <f ca="1">IF(D172="","",IF(OFFSET(D172,-2,0)=D172,"",VLOOKUP(D172,契約台帳!$A$3:$R$4986,18,FALSE)))</f>
        <v/>
      </c>
      <c r="V172" s="269" t="str">
        <f>IF(J172="巻返し",VLOOKUP(F172&amp;K172&amp;M172,製品マスタ!$M$5:$AD$5002,18,FALSE),IF(J172="リード付け","原反コア",IF(J172="スリット",VLOOKUP(F172&amp;K172&amp;Q172,製品マスタ!$N$5:$AD$5002,17,FALSE),"")))</f>
        <v/>
      </c>
      <c r="W172" s="269" t="str">
        <f>IF(J172="巻返し",VLOOKUP(F172&amp;K172&amp;M172,製品マスタ!$M$5:$AE$5002,19,FALSE),IF(J172="リード付け","-",IF(J172="スリット",VLOOKUP(F172&amp;K172&amp;Q172,製品マスタ!$N$5:$AE$5002,18,FALSE),"")))</f>
        <v/>
      </c>
      <c r="X172" s="275" t="str">
        <f>IF(D172="","",VLOOKUP(D172,契約台帳!$A$3:$Q$4986,17,FALSE))</f>
        <v/>
      </c>
      <c r="Y172" s="269" t="str">
        <f>IF(D172="","",VLOOKUP(D172,契約台帳!$A$3:$E$4986,5,FALSE))</f>
        <v/>
      </c>
      <c r="Z172" s="57"/>
      <c r="AA172" s="207" t="str">
        <f>IFERROR(VLOOKUP(F172&amp;K172&amp;M172,製品マスタ!$M$5:$AM$5002,27,FALSE),"")</f>
        <v/>
      </c>
      <c r="AB172" s="33"/>
      <c r="AC172" s="189"/>
      <c r="AD172" s="54"/>
      <c r="AE172" s="55"/>
      <c r="AF172" s="43"/>
      <c r="AG172" s="47"/>
      <c r="AH172" s="30"/>
      <c r="AI172" s="30"/>
      <c r="AJ172" s="30"/>
      <c r="AK172" s="30"/>
      <c r="AL172" s="13"/>
      <c r="AM172" s="13"/>
      <c r="AN172" s="13"/>
      <c r="AO172" s="13"/>
      <c r="AP172" s="13"/>
      <c r="AQ172" s="14"/>
      <c r="AR172" s="15"/>
    </row>
    <row r="173" spans="1:44" s="17" customFormat="1" ht="30.95" hidden="1" customHeight="1" x14ac:dyDescent="0.2">
      <c r="A173" s="37"/>
      <c r="B173" s="38"/>
      <c r="C173" s="45"/>
      <c r="D173" s="31"/>
      <c r="E173" s="31"/>
      <c r="F173" s="268"/>
      <c r="G173" s="269"/>
      <c r="H173" s="269"/>
      <c r="I173" s="270"/>
      <c r="J173" s="32"/>
      <c r="K173" s="270"/>
      <c r="L173" s="270"/>
      <c r="M173" s="39"/>
      <c r="N173" s="39"/>
      <c r="O173" s="47"/>
      <c r="P173" s="57"/>
      <c r="Q173" s="276"/>
      <c r="R173" s="277"/>
      <c r="S173" s="277"/>
      <c r="T173" s="40"/>
      <c r="U173" s="278"/>
      <c r="V173" s="269"/>
      <c r="W173" s="269"/>
      <c r="X173" s="275"/>
      <c r="Y173" s="269"/>
      <c r="Z173" s="57"/>
      <c r="AA173" s="207"/>
      <c r="AB173" s="33"/>
      <c r="AC173" s="189"/>
      <c r="AD173" s="54"/>
      <c r="AE173" s="55"/>
      <c r="AF173" s="43"/>
      <c r="AG173" s="47"/>
      <c r="AH173" s="30"/>
      <c r="AI173" s="30"/>
      <c r="AJ173" s="30"/>
      <c r="AK173" s="30"/>
      <c r="AL173" s="13"/>
      <c r="AM173" s="13"/>
      <c r="AN173" s="13"/>
      <c r="AO173" s="13"/>
      <c r="AP173" s="13"/>
      <c r="AQ173" s="14"/>
      <c r="AR173" s="15"/>
    </row>
    <row r="174" spans="1:44" s="17" customFormat="1" ht="30.75" hidden="1" customHeight="1" x14ac:dyDescent="0.2">
      <c r="A174" s="37" t="s">
        <v>901</v>
      </c>
      <c r="B174" s="38" t="s">
        <v>462</v>
      </c>
      <c r="C174" s="45"/>
      <c r="D174" s="31">
        <v>3698026</v>
      </c>
      <c r="E174" s="31">
        <v>4151298</v>
      </c>
      <c r="F174" s="268" t="str">
        <f>IF(D174="","",VLOOKUP(D174,契約台帳!$A$3:$K$4986,6,FALSE)&amp;VLOOKUP(D174,契約台帳!$A$3:$K$4986,7,FALSE)&amp;VLOOKUP(D174,契約台帳!$A$3:$K$4986,8,FALSE)&amp;VLOOKUP(D174,契約台帳!$A$3:$K$4986,9,FALSE)&amp;VLOOKUP(D174,契約台帳!$A$3:$K$4986,11,FALSE))</f>
        <v>3SNMLBMNQR66F</v>
      </c>
      <c r="G174" s="269" t="str">
        <f>IF(D174="","",VLOOKUP(F174,製品マスタ!$G$5:$H$5002,2,FALSE))</f>
        <v>S</v>
      </c>
      <c r="H174" s="269" t="str">
        <f>IF(D174="","",VLOOKUP(F174,製品マスタ!$G$5:$K$5002,5,FALSE))</f>
        <v>MNQR66F</v>
      </c>
      <c r="I174" s="270" t="str">
        <f>IF(D174="","",VLOOKUP(F174,製品マスタ!$G$5:$L$5002,6,FALSE))</f>
        <v>ＱＲ６６蒸着品</v>
      </c>
      <c r="J174" s="32" t="s">
        <v>447</v>
      </c>
      <c r="K174" s="270">
        <f>IF(D174="","",VLOOKUP(D174,契約台帳!$A$3:$L$4986,12,FALSE))</f>
        <v>25</v>
      </c>
      <c r="L174" s="270" t="str">
        <f>IF(D174="","",INDEX(製品マスタ!$Q$5:$Q$5002,MATCH(F174&amp;K174,製品マスタ!$AO$5:$AO$5002,0)))</f>
        <v>E315</v>
      </c>
      <c r="M174" s="39">
        <v>1100</v>
      </c>
      <c r="N174" s="39">
        <v>6000</v>
      </c>
      <c r="O174" s="47">
        <v>6</v>
      </c>
      <c r="P174" s="57">
        <v>44974</v>
      </c>
      <c r="Q174" s="276">
        <f>IF(D174="","",IF(J174="リード付け",M174,VLOOKUP(D174,契約台帳!$A$3:$N$4986,14,FALSE)))</f>
        <v>1100</v>
      </c>
      <c r="R174" s="277">
        <f>IF(D174="","",IF(J174="リード付け",M174,VLOOKUP(D174,契約台帳!$A$3:$O$4986,15,FALSE)))</f>
        <v>1100</v>
      </c>
      <c r="S174" s="277">
        <f>IF(D174="","",IF(J174="リード付け",N174,VLOOKUP(D174,契約台帳!$A$3:$P$4986,16,FALSE)))</f>
        <v>6000</v>
      </c>
      <c r="T174" s="40">
        <v>6</v>
      </c>
      <c r="U174" s="278">
        <f ca="1">IF(D174="","",IF(OFFSET(D174,-2,0)=D174,"",VLOOKUP(D174,契約台帳!$A$3:$R$4986,18,FALSE)))</f>
        <v>7</v>
      </c>
      <c r="V174" s="269" t="str">
        <f>IF(J174="巻返し",VLOOKUP(F174&amp;K174&amp;M174,製品マスタ!$M$5:$AD$5002,18,FALSE),IF(J174="リード付け","原反コア",IF(J174="スリット",VLOOKUP(F174&amp;K174&amp;Q174,製品マスタ!$N$5:$AD$5002,17,FALSE),"")))</f>
        <v>6ｲﾝﾁMｺｱ</v>
      </c>
      <c r="W174" s="269">
        <f>IF(J174="巻返し",VLOOKUP(F174&amp;K174&amp;M174,製品マスタ!$M$5:$AE$5002,19,FALSE),IF(J174="リード付け","-",IF(J174="スリット",VLOOKUP(F174&amp;K174&amp;Q174,製品マスタ!$N$5:$AE$5002,18,FALSE),"")))</f>
        <v>1110</v>
      </c>
      <c r="X174" s="275">
        <f>IF(D174="","",VLOOKUP(D174,契約台帳!$A$3:$Q$4986,17,FALSE))</f>
        <v>2</v>
      </c>
      <c r="Y174" s="269" t="str">
        <f>IF(D174="","",VLOOKUP(D174,契約台帳!$A$3:$E$4986,5,FALSE))</f>
        <v>リンテック㈱</v>
      </c>
      <c r="Z174" s="57"/>
      <c r="AA174" s="207" t="str">
        <f>IFERROR(VLOOKUP(F174&amp;K174&amp;M174,製品マスタ!$M$5:$AM$5002,27,FALSE),"")</f>
        <v>原反ケース再利用</v>
      </c>
      <c r="AB174" s="33"/>
      <c r="AC174" s="189"/>
      <c r="AD174" s="54" t="str">
        <f>IF(F174="","",+F174&amp;K174)</f>
        <v>3SNMLBMNQR66F25</v>
      </c>
      <c r="AE174" s="55">
        <f>+M174*N174*O174/1000</f>
        <v>39600</v>
      </c>
      <c r="AF174" s="43">
        <f>IF(AD174="","",VLOOKUP(AD174,原価マスタ!$A$2:$AJ$1693,13,FALSE))</f>
        <v>98</v>
      </c>
      <c r="AG174" s="47">
        <f>IF(AF174="","",+AE174*AF174/100)</f>
        <v>38808</v>
      </c>
      <c r="AH174" s="30"/>
      <c r="AI174" s="30"/>
      <c r="AJ174" s="30"/>
      <c r="AK174" s="30"/>
      <c r="AL174" s="13"/>
      <c r="AM174" s="13"/>
      <c r="AN174" s="13"/>
      <c r="AO174" s="13"/>
      <c r="AP174" s="13"/>
      <c r="AQ174" s="14"/>
      <c r="AR174" s="15"/>
    </row>
    <row r="175" spans="1:44" s="17" customFormat="1" ht="30.95" hidden="1" customHeight="1" x14ac:dyDescent="0.2">
      <c r="A175" s="37"/>
      <c r="B175" s="38"/>
      <c r="C175" s="45"/>
      <c r="D175" s="31"/>
      <c r="E175" s="31"/>
      <c r="F175" s="268"/>
      <c r="G175" s="269"/>
      <c r="H175" s="269"/>
      <c r="I175" s="270"/>
      <c r="J175" s="32"/>
      <c r="K175" s="270"/>
      <c r="L175" s="270"/>
      <c r="M175" s="39"/>
      <c r="N175" s="39"/>
      <c r="O175" s="47"/>
      <c r="P175" s="57"/>
      <c r="Q175" s="276"/>
      <c r="R175" s="277"/>
      <c r="S175" s="277"/>
      <c r="T175" s="40"/>
      <c r="U175" s="278"/>
      <c r="V175" s="269"/>
      <c r="W175" s="269"/>
      <c r="X175" s="275"/>
      <c r="Y175" s="269"/>
      <c r="Z175" s="57"/>
      <c r="AA175" s="207"/>
      <c r="AB175" s="33"/>
      <c r="AC175" s="189"/>
      <c r="AD175" s="54"/>
      <c r="AE175" s="55"/>
      <c r="AF175" s="43"/>
      <c r="AG175" s="47"/>
      <c r="AH175" s="30"/>
      <c r="AI175" s="30"/>
      <c r="AJ175" s="30"/>
      <c r="AK175" s="30"/>
      <c r="AL175" s="13"/>
      <c r="AM175" s="13"/>
      <c r="AN175" s="13"/>
      <c r="AO175" s="13"/>
      <c r="AP175" s="13"/>
      <c r="AQ175" s="14"/>
      <c r="AR175" s="15"/>
    </row>
    <row r="176" spans="1:44" s="17" customFormat="1" ht="30.95" hidden="1" customHeight="1" x14ac:dyDescent="0.2">
      <c r="A176" s="37"/>
      <c r="B176" s="38"/>
      <c r="C176" s="45"/>
      <c r="D176" s="31">
        <v>3697676</v>
      </c>
      <c r="E176" s="31">
        <v>4151299</v>
      </c>
      <c r="F176" s="268" t="str">
        <f>IF(D176="","",VLOOKUP(D176,契約台帳!$A$3:$K$4986,6,FALSE)&amp;VLOOKUP(D176,契約台帳!$A$3:$K$4986,7,FALSE)&amp;VLOOKUP(D176,契約台帳!$A$3:$K$4986,8,FALSE)&amp;VLOOKUP(D176,契約台帳!$A$3:$K$4986,9,FALSE)&amp;VLOOKUP(D176,契約台帳!$A$3:$K$4986,11,FALSE))</f>
        <v>3SNMLBMNQR66F</v>
      </c>
      <c r="G176" s="269" t="str">
        <f>IF(D176="","",VLOOKUP(F176,製品マスタ!$G$5:$H$5002,2,FALSE))</f>
        <v>S</v>
      </c>
      <c r="H176" s="269" t="str">
        <f>IF(D176="","",VLOOKUP(F176,製品マスタ!$G$5:$K$5002,5,FALSE))</f>
        <v>MNQR66F</v>
      </c>
      <c r="I176" s="270" t="str">
        <f>IF(D176="","",VLOOKUP(F176,製品マスタ!$G$5:$L$5002,6,FALSE))</f>
        <v>ＱＲ６６蒸着品</v>
      </c>
      <c r="J176" s="32" t="s">
        <v>447</v>
      </c>
      <c r="K176" s="270">
        <f>IF(D176="","",VLOOKUP(D176,契約台帳!$A$3:$L$4986,12,FALSE))</f>
        <v>25</v>
      </c>
      <c r="L176" s="270" t="str">
        <f>IF(D176="","",INDEX(製品マスタ!$Q$5:$Q$5002,MATCH(F176&amp;K176,製品マスタ!$AO$5:$AO$5002,0)))</f>
        <v>E315</v>
      </c>
      <c r="M176" s="39">
        <v>1100</v>
      </c>
      <c r="N176" s="39">
        <v>24000</v>
      </c>
      <c r="O176" s="47">
        <v>1</v>
      </c>
      <c r="P176" s="57">
        <v>44970</v>
      </c>
      <c r="Q176" s="276">
        <f>IF(D176="","",IF(J176="リード付け",M176,VLOOKUP(D176,契約台帳!$A$3:$N$4986,14,FALSE)))</f>
        <v>1100</v>
      </c>
      <c r="R176" s="277">
        <f>IF(D176="","",IF(J176="リード付け",M176,VLOOKUP(D176,契約台帳!$A$3:$O$4986,15,FALSE)))</f>
        <v>1100</v>
      </c>
      <c r="S176" s="277">
        <f>IF(D176="","",IF(J176="リード付け",N176,VLOOKUP(D176,契約台帳!$A$3:$P$4986,16,FALSE)))</f>
        <v>6000</v>
      </c>
      <c r="T176" s="40">
        <v>4</v>
      </c>
      <c r="U176" s="278">
        <f ca="1">IF(D176="","",IF(OFFSET(D176,-2,0)=D176,"",VLOOKUP(D176,契約台帳!$A$3:$R$4986,18,FALSE)))</f>
        <v>20</v>
      </c>
      <c r="V176" s="269" t="str">
        <f>IF(J176="巻返し",VLOOKUP(F176&amp;K176&amp;M176,製品マスタ!$M$5:$AD$5002,18,FALSE),IF(J176="リード付け","原反コア",IF(J176="スリット",VLOOKUP(F176&amp;K176&amp;Q176,製品マスタ!$N$5:$AD$5002,17,FALSE),"")))</f>
        <v>6ｲﾝﾁMｺｱ</v>
      </c>
      <c r="W176" s="269">
        <f>IF(J176="巻返し",VLOOKUP(F176&amp;K176&amp;M176,製品マスタ!$M$5:$AE$5002,19,FALSE),IF(J176="リード付け","-",IF(J176="スリット",VLOOKUP(F176&amp;K176&amp;Q176,製品マスタ!$N$5:$AE$5002,18,FALSE),"")))</f>
        <v>1110</v>
      </c>
      <c r="X176" s="275">
        <f>IF(D176="","",VLOOKUP(D176,契約台帳!$A$3:$Q$4986,17,FALSE))</f>
        <v>2</v>
      </c>
      <c r="Y176" s="269" t="str">
        <f>IF(D176="","",VLOOKUP(D176,契約台帳!$A$3:$E$4986,5,FALSE))</f>
        <v>リンテック㈱</v>
      </c>
      <c r="Z176" s="57"/>
      <c r="AA176" s="207" t="str">
        <f>IFERROR(VLOOKUP(F176&amp;K176&amp;M176,製品マスタ!$M$5:$AM$5002,27,FALSE),"")</f>
        <v>原反ケース再利用</v>
      </c>
      <c r="AB176" s="33"/>
      <c r="AC176" s="189"/>
      <c r="AD176" s="54" t="str">
        <f>IF(F176="","",+F176&amp;K176)</f>
        <v>3SNMLBMNQR66F25</v>
      </c>
      <c r="AE176" s="55">
        <f>+M176*N176*O176/1000</f>
        <v>26400</v>
      </c>
      <c r="AF176" s="43">
        <f>IF(AD176="","",VLOOKUP(AD176,原価マスタ!$A$2:$AJ$1693,13,FALSE))</f>
        <v>98</v>
      </c>
      <c r="AG176" s="47">
        <f>IF(AF176="","",+AE176*AF176/100)</f>
        <v>25872</v>
      </c>
      <c r="AH176" s="30"/>
      <c r="AI176" s="30"/>
      <c r="AJ176" s="30"/>
      <c r="AK176" s="30"/>
      <c r="AL176" s="13"/>
      <c r="AM176" s="13"/>
      <c r="AN176" s="13"/>
      <c r="AO176" s="13"/>
      <c r="AP176" s="13"/>
      <c r="AQ176" s="14"/>
      <c r="AR176" s="15"/>
    </row>
    <row r="177" spans="1:44" s="17" customFormat="1" ht="30.95" hidden="1" customHeight="1" x14ac:dyDescent="0.2">
      <c r="A177" s="37"/>
      <c r="B177" s="38"/>
      <c r="C177" s="45"/>
      <c r="D177" s="31"/>
      <c r="E177" s="31"/>
      <c r="F177" s="268" t="str">
        <f>IF(D177="","",VLOOKUP(D177,契約台帳!$A$3:$K$4986,6,FALSE)&amp;VLOOKUP(D177,契約台帳!$A$3:$K$4986,7,FALSE)&amp;VLOOKUP(D177,契約台帳!$A$3:$K$4986,8,FALSE)&amp;VLOOKUP(D177,契約台帳!$A$3:$K$4986,9,FALSE)&amp;VLOOKUP(D177,契約台帳!$A$3:$K$4986,11,FALSE))</f>
        <v/>
      </c>
      <c r="G177" s="269" t="str">
        <f>IF(D177="","",VLOOKUP(F177,製品マスタ!$G$5:$H$5002,2,FALSE))</f>
        <v/>
      </c>
      <c r="H177" s="269" t="str">
        <f>IF(D177="","",VLOOKUP(F177,製品マスタ!$G$5:$K$5002,5,FALSE))</f>
        <v/>
      </c>
      <c r="I177" s="270" t="str">
        <f>IF(D177="","",VLOOKUP(F177,製品マスタ!$G$5:$L$5002,6,FALSE))</f>
        <v/>
      </c>
      <c r="J177" s="32"/>
      <c r="K177" s="270" t="str">
        <f>IF(D177="","",VLOOKUP(D177,契約台帳!$A$3:$L$4986,12,FALSE))</f>
        <v/>
      </c>
      <c r="L177" s="270" t="str">
        <f>IF(D177="","",INDEX(製品マスタ!$Q$5:$Q$5002,MATCH(F177&amp;K177,製品マスタ!$AO$5:$AO$5002,0)))</f>
        <v/>
      </c>
      <c r="M177" s="39"/>
      <c r="N177" s="39"/>
      <c r="O177" s="47"/>
      <c r="P177" s="57"/>
      <c r="Q177" s="276" t="str">
        <f>IF(D177="","",IF(J177="リード付け",M177,VLOOKUP(D177,契約台帳!$A$3:$N$4986,14,FALSE)))</f>
        <v/>
      </c>
      <c r="R177" s="277" t="str">
        <f>IF(D177="","",IF(J177="リード付け",M177,VLOOKUP(D177,契約台帳!$A$3:$O$4986,15,FALSE)))</f>
        <v/>
      </c>
      <c r="S177" s="277" t="str">
        <f>IF(D177="","",IF(J177="リード付け",N177,VLOOKUP(D177,契約台帳!$A$3:$P$4986,16,FALSE)))</f>
        <v/>
      </c>
      <c r="T177" s="40"/>
      <c r="U177" s="278" t="str">
        <f ca="1">IF(D177="","",IF(OFFSET(D177,-2,0)=D177,"",VLOOKUP(D177,契約台帳!$A$3:$R$4986,18,FALSE)))</f>
        <v/>
      </c>
      <c r="V177" s="269" t="str">
        <f>IF(J177="巻返し",VLOOKUP(F177&amp;K177&amp;M177,製品マスタ!$M$5:$AD$5002,18,FALSE),IF(J177="リード付け","原反コア",IF(J177="スリット",VLOOKUP(F177&amp;K177&amp;Q177,製品マスタ!$N$5:$AD$5002,17,FALSE),"")))</f>
        <v/>
      </c>
      <c r="W177" s="269" t="str">
        <f>IF(J177="巻返し",VLOOKUP(F177&amp;K177&amp;M177,製品マスタ!$M$5:$AE$5002,19,FALSE),IF(J177="リード付け","-",IF(J177="スリット",VLOOKUP(F177&amp;K177&amp;Q177,製品マスタ!$N$5:$AE$5002,18,FALSE),"")))</f>
        <v/>
      </c>
      <c r="X177" s="275" t="str">
        <f>IF(D177="","",VLOOKUP(D177,契約台帳!$A$3:$Q$4986,17,FALSE))</f>
        <v/>
      </c>
      <c r="Y177" s="269" t="str">
        <f>IF(D177="","",VLOOKUP(D177,契約台帳!$A$3:$E$4986,5,FALSE))</f>
        <v/>
      </c>
      <c r="Z177" s="57"/>
      <c r="AA177" s="207" t="str">
        <f>IFERROR(VLOOKUP(F177&amp;K177&amp;M177,製品マスタ!$M$5:$AM$5002,27,FALSE),"")</f>
        <v/>
      </c>
      <c r="AB177" s="33"/>
      <c r="AC177" s="189"/>
      <c r="AD177" s="54"/>
      <c r="AE177" s="55"/>
      <c r="AF177" s="43"/>
      <c r="AG177" s="47"/>
      <c r="AH177" s="30"/>
      <c r="AI177" s="30"/>
      <c r="AJ177" s="30"/>
      <c r="AK177" s="30"/>
      <c r="AL177" s="13"/>
      <c r="AM177" s="13"/>
      <c r="AN177" s="13"/>
      <c r="AO177" s="13"/>
      <c r="AP177" s="13"/>
      <c r="AQ177" s="14"/>
      <c r="AR177" s="15"/>
    </row>
    <row r="178" spans="1:44" s="17" customFormat="1" ht="30.95" hidden="1" customHeight="1" x14ac:dyDescent="0.2">
      <c r="A178" s="37" t="s">
        <v>929</v>
      </c>
      <c r="B178" s="38" t="s">
        <v>930</v>
      </c>
      <c r="C178" s="45"/>
      <c r="D178" s="31">
        <v>3697659</v>
      </c>
      <c r="E178" s="31">
        <v>4151275</v>
      </c>
      <c r="F178" s="268" t="str">
        <f>IF(D178="","",VLOOKUP(D178,契約台帳!$A$3:$K$4986,6,FALSE)&amp;VLOOKUP(D178,契約台帳!$A$3:$K$4986,7,FALSE)&amp;VLOOKUP(D178,契約台帳!$A$3:$K$4986,8,FALSE)&amp;VLOOKUP(D178,契約台帳!$A$3:$K$4986,9,FALSE)&amp;VLOOKUP(D178,契約台帳!$A$3:$K$4986,11,FALSE))</f>
        <v>3SNMLBMNGKBF</v>
      </c>
      <c r="G178" s="269" t="str">
        <f>IF(D178="","",VLOOKUP(F178,製品マスタ!$G$5:$H$5002,2,FALSE))</f>
        <v>S</v>
      </c>
      <c r="H178" s="269" t="str">
        <f>IF(D178="","",VLOOKUP(F178,製品マスタ!$G$5:$K$5002,5,FALSE))</f>
        <v>MNGKBF</v>
      </c>
      <c r="I178" s="270" t="str">
        <f>IF(D178="","",VLOOKUP(F178,製品マスタ!$G$5:$L$5002,6,FALSE))</f>
        <v>メタルミー　ネーマー銀消　Ｂ</v>
      </c>
      <c r="J178" s="32" t="s">
        <v>447</v>
      </c>
      <c r="K178" s="270">
        <f>IF(D178="","",VLOOKUP(D178,契約台帳!$A$3:$L$4986,12,FALSE))</f>
        <v>50</v>
      </c>
      <c r="L178" s="270" t="str">
        <f>IF(D178="","",INDEX(製品マスタ!$Q$5:$Q$5002,MATCH(F178&amp;K178,製品マスタ!$AO$5:$AO$5002,0)))</f>
        <v>MAT</v>
      </c>
      <c r="M178" s="39">
        <v>1170</v>
      </c>
      <c r="N178" s="39">
        <v>4000</v>
      </c>
      <c r="O178" s="47">
        <v>1</v>
      </c>
      <c r="P178" s="57">
        <v>44975</v>
      </c>
      <c r="Q178" s="276">
        <f>IF(D178="","",IF(J178="リード付け",M178,VLOOKUP(D178,契約台帳!$A$3:$N$4986,14,FALSE)))</f>
        <v>1170</v>
      </c>
      <c r="R178" s="277">
        <f>IF(D178="","",IF(J178="リード付け",M178,VLOOKUP(D178,契約台帳!$A$3:$O$4986,15,FALSE)))</f>
        <v>1170</v>
      </c>
      <c r="S178" s="277">
        <f>IF(D178="","",IF(J178="リード付け",N178,VLOOKUP(D178,契約台帳!$A$3:$P$4986,16,FALSE)))</f>
        <v>4000</v>
      </c>
      <c r="T178" s="40">
        <v>1</v>
      </c>
      <c r="U178" s="278">
        <f ca="1">IF(D178="","",IF(OFFSET(D178,-2,0)=D178,"",VLOOKUP(D178,契約台帳!$A$3:$R$4986,18,FALSE)))</f>
        <v>1</v>
      </c>
      <c r="V178" s="269" t="str">
        <f>IF(J178="巻返し",VLOOKUP(F178&amp;K178&amp;M178,製品マスタ!$M$5:$AD$5002,18,FALSE),IF(J178="リード付け","原反コア",IF(J178="スリット",VLOOKUP(F178&amp;K178&amp;Q178,製品マスタ!$N$5:$AD$5002,17,FALSE),"")))</f>
        <v>6ｲﾝﾁSｺｱ</v>
      </c>
      <c r="W178" s="269">
        <f>IF(J178="巻返し",VLOOKUP(F178&amp;K178&amp;M178,製品マスタ!$M$5:$AE$5002,19,FALSE),IF(J178="リード付け","-",IF(J178="スリット",VLOOKUP(F178&amp;K178&amp;Q178,製品マスタ!$N$5:$AE$5002,18,FALSE),"")))</f>
        <v>1175</v>
      </c>
      <c r="X178" s="275">
        <f>IF(D178="","",VLOOKUP(D178,契約台帳!$A$3:$Q$4986,17,FALSE))</f>
        <v>2</v>
      </c>
      <c r="Y178" s="269" t="str">
        <f>IF(D178="","",VLOOKUP(D178,契約台帳!$A$3:$E$4986,5,FALSE))</f>
        <v>リンテック㈱</v>
      </c>
      <c r="Z178" s="57"/>
      <c r="AA178" s="207">
        <f>IFERROR(VLOOKUP(F178&amp;K178&amp;M178,製品マスタ!$M$5:$AM$5002,27,FALSE),"")</f>
        <v>0</v>
      </c>
      <c r="AB178" s="33"/>
      <c r="AC178" s="189"/>
      <c r="AD178" s="54" t="str">
        <f>IF(F178="","",+F178&amp;K178)</f>
        <v>3SNMLBMNGKBF50</v>
      </c>
      <c r="AE178" s="55">
        <f>+M178*N178*O178/1000</f>
        <v>4680</v>
      </c>
      <c r="AF178" s="43">
        <f>IF(AD178="","",VLOOKUP(AD178,原価マスタ!$A$2:$AJ$1693,13,FALSE))</f>
        <v>98</v>
      </c>
      <c r="AG178" s="47">
        <f>IF(AF178="","",+AE178*AF178/100)</f>
        <v>4586.3999999999996</v>
      </c>
      <c r="AH178" s="30"/>
      <c r="AI178" s="30"/>
      <c r="AJ178" s="30"/>
      <c r="AK178" s="30"/>
      <c r="AL178" s="13"/>
      <c r="AM178" s="13"/>
      <c r="AN178" s="13"/>
      <c r="AO178" s="13"/>
      <c r="AP178" s="13"/>
      <c r="AQ178" s="14"/>
      <c r="AR178" s="15"/>
    </row>
    <row r="179" spans="1:44" s="17" customFormat="1" ht="30.95" hidden="1" customHeight="1" x14ac:dyDescent="0.2">
      <c r="A179" s="37"/>
      <c r="B179" s="38"/>
      <c r="C179" s="45"/>
      <c r="D179" s="31"/>
      <c r="E179" s="31"/>
      <c r="F179" s="268" t="str">
        <f>IF(D179="","",VLOOKUP(D179,契約台帳!$A$3:$K$4986,6,FALSE)&amp;VLOOKUP(D179,契約台帳!$A$3:$K$4986,7,FALSE)&amp;VLOOKUP(D179,契約台帳!$A$3:$K$4986,8,FALSE)&amp;VLOOKUP(D179,契約台帳!$A$3:$K$4986,9,FALSE)&amp;VLOOKUP(D179,契約台帳!$A$3:$K$4986,11,FALSE))</f>
        <v/>
      </c>
      <c r="G179" s="269" t="str">
        <f>IF(D179="","",VLOOKUP(F179,製品マスタ!$G$5:$H$5002,2,FALSE))</f>
        <v/>
      </c>
      <c r="H179" s="269" t="str">
        <f>IF(D179="","",VLOOKUP(F179,製品マスタ!$G$5:$K$5002,5,FALSE))</f>
        <v/>
      </c>
      <c r="I179" s="270" t="str">
        <f>IF(D179="","",VLOOKUP(F179,製品マスタ!$G$5:$L$5002,6,FALSE))</f>
        <v/>
      </c>
      <c r="J179" s="32"/>
      <c r="K179" s="270" t="str">
        <f>IF(D179="","",VLOOKUP(D179,契約台帳!$A$3:$L$4986,12,FALSE))</f>
        <v/>
      </c>
      <c r="L179" s="270" t="str">
        <f>IF(D179="","",INDEX(製品マスタ!$Q$5:$Q$5002,MATCH(F179&amp;K179,製品マスタ!$AO$5:$AO$5002,0)))</f>
        <v/>
      </c>
      <c r="M179" s="39"/>
      <c r="N179" s="39"/>
      <c r="O179" s="47"/>
      <c r="P179" s="57"/>
      <c r="Q179" s="276" t="str">
        <f>IF(D179="","",IF(J179="リード付け",M179,VLOOKUP(D179,契約台帳!$A$3:$N$4986,14,FALSE)))</f>
        <v/>
      </c>
      <c r="R179" s="277" t="str">
        <f>IF(D179="","",IF(J179="リード付け",M179,VLOOKUP(D179,契約台帳!$A$3:$O$4986,15,FALSE)))</f>
        <v/>
      </c>
      <c r="S179" s="277" t="str">
        <f>IF(D179="","",IF(J179="リード付け",N179,VLOOKUP(D179,契約台帳!$A$3:$P$4986,16,FALSE)))</f>
        <v/>
      </c>
      <c r="T179" s="40"/>
      <c r="U179" s="278" t="str">
        <f ca="1">IF(D179="","",IF(OFFSET(D179,-2,0)=D179,"",VLOOKUP(D179,契約台帳!$A$3:$R$4986,18,FALSE)))</f>
        <v/>
      </c>
      <c r="V179" s="269" t="str">
        <f>IF(J179="巻返し",VLOOKUP(F179&amp;K179&amp;M179,製品マスタ!$M$5:$AD$5002,18,FALSE),IF(J179="リード付け","原反コア",IF(J179="スリット",VLOOKUP(F179&amp;K179&amp;Q179,製品マスタ!$N$5:$AD$5002,17,FALSE),"")))</f>
        <v/>
      </c>
      <c r="W179" s="269" t="str">
        <f>IF(J179="巻返し",VLOOKUP(F179&amp;K179&amp;M179,製品マスタ!$M$5:$AE$5002,19,FALSE),IF(J179="リード付け","-",IF(J179="スリット",VLOOKUP(F179&amp;K179&amp;Q179,製品マスタ!$N$5:$AE$5002,18,FALSE),"")))</f>
        <v/>
      </c>
      <c r="X179" s="275" t="str">
        <f>IF(D179="","",VLOOKUP(D179,契約台帳!$A$3:$Q$4986,17,FALSE))</f>
        <v/>
      </c>
      <c r="Y179" s="269" t="str">
        <f>IF(D179="","",VLOOKUP(D179,契約台帳!$A$3:$E$4986,5,FALSE))</f>
        <v/>
      </c>
      <c r="Z179" s="57"/>
      <c r="AA179" s="207" t="str">
        <f>IFERROR(VLOOKUP(F179&amp;K179&amp;M179,製品マスタ!$M$5:$AM$5002,27,FALSE),"")</f>
        <v/>
      </c>
      <c r="AB179" s="33"/>
      <c r="AC179" s="189"/>
      <c r="AD179" s="54"/>
      <c r="AE179" s="55"/>
      <c r="AF179" s="43"/>
      <c r="AG179" s="47"/>
      <c r="AH179" s="30"/>
      <c r="AI179" s="30"/>
      <c r="AJ179" s="30"/>
      <c r="AK179" s="30"/>
      <c r="AL179" s="13"/>
      <c r="AM179" s="13"/>
      <c r="AN179" s="13"/>
      <c r="AO179" s="13"/>
      <c r="AP179" s="13"/>
      <c r="AQ179" s="14"/>
      <c r="AR179" s="15"/>
    </row>
    <row r="180" spans="1:44" s="17" customFormat="1" ht="30.95" hidden="1" customHeight="1" x14ac:dyDescent="0.2">
      <c r="A180" s="37"/>
      <c r="B180" s="38"/>
      <c r="C180" s="45"/>
      <c r="D180" s="31">
        <v>3697658</v>
      </c>
      <c r="E180" s="31">
        <v>4151277</v>
      </c>
      <c r="F180" s="268" t="str">
        <f>IF(D180="","",VLOOKUP(D180,契約台帳!$A$3:$K$4986,6,FALSE)&amp;VLOOKUP(D180,契約台帳!$A$3:$K$4986,7,FALSE)&amp;VLOOKUP(D180,契約台帳!$A$3:$K$4986,8,FALSE)&amp;VLOOKUP(D180,契約台帳!$A$3:$K$4986,9,FALSE)&amp;VLOOKUP(D180,契約台帳!$A$3:$K$4986,11,FALSE))</f>
        <v>3SNMLBMNGKKBF</v>
      </c>
      <c r="G180" s="269" t="str">
        <f>IF(D180="","",VLOOKUP(F180,製品マスタ!$G$5:$H$5002,2,FALSE))</f>
        <v>S</v>
      </c>
      <c r="H180" s="269" t="str">
        <f>IF(D180="","",VLOOKUP(F180,製品マスタ!$G$5:$K$5002,5,FALSE))</f>
        <v>MNGKKBF</v>
      </c>
      <c r="I180" s="270" t="str">
        <f>IF(D180="","",VLOOKUP(F180,製品マスタ!$G$5:$L$5002,6,FALSE))</f>
        <v>メタルミー　ネーマー銀消改　Ｂ</v>
      </c>
      <c r="J180" s="32" t="s">
        <v>447</v>
      </c>
      <c r="K180" s="270">
        <f>IF(D180="","",VLOOKUP(D180,契約台帳!$A$3:$L$4986,12,FALSE))</f>
        <v>50</v>
      </c>
      <c r="L180" s="270" t="str">
        <f>IF(D180="","",INDEX(製品マスタ!$Q$5:$Q$5002,MATCH(F180&amp;K180,製品マスタ!$AO$5:$AO$5002,0)))</f>
        <v>S99-MAT</v>
      </c>
      <c r="M180" s="39">
        <v>1120</v>
      </c>
      <c r="N180" s="39">
        <v>12000</v>
      </c>
      <c r="O180" s="47">
        <v>5</v>
      </c>
      <c r="P180" s="57">
        <v>44975</v>
      </c>
      <c r="Q180" s="276">
        <f>IF(D180="","",IF(J180="リード付け",M180,VLOOKUP(D180,契約台帳!$A$3:$N$4986,14,FALSE)))</f>
        <v>1120</v>
      </c>
      <c r="R180" s="277">
        <f>IF(D180="","",IF(J180="リード付け",M180,VLOOKUP(D180,契約台帳!$A$3:$O$4986,15,FALSE)))</f>
        <v>1120</v>
      </c>
      <c r="S180" s="277">
        <f>IF(D180="","",IF(J180="リード付け",N180,VLOOKUP(D180,契約台帳!$A$3:$P$4986,16,FALSE)))</f>
        <v>4000</v>
      </c>
      <c r="T180" s="40">
        <v>15</v>
      </c>
      <c r="U180" s="278">
        <f ca="1">IF(D180="","",IF(OFFSET(D180,-2,0)=D180,"",VLOOKUP(D180,契約台帳!$A$3:$R$4986,18,FALSE)))</f>
        <v>15</v>
      </c>
      <c r="V180" s="269" t="str">
        <f>IF(J180="巻返し",VLOOKUP(F180&amp;K180&amp;M180,製品マスタ!$M$5:$AD$5002,18,FALSE),IF(J180="リード付け","原反コア",IF(J180="スリット",VLOOKUP(F180&amp;K180&amp;Q180,製品マスタ!$N$5:$AD$5002,17,FALSE),"")))</f>
        <v>6ｲﾝﾁSｺｱ</v>
      </c>
      <c r="W180" s="269">
        <f>IF(J180="巻返し",VLOOKUP(F180&amp;K180&amp;M180,製品マスタ!$M$5:$AE$5002,19,FALSE),IF(J180="リード付け","-",IF(J180="スリット",VLOOKUP(F180&amp;K180&amp;Q180,製品マスタ!$N$5:$AE$5002,18,FALSE),"")))</f>
        <v>1125</v>
      </c>
      <c r="X180" s="275">
        <f>IF(D180="","",VLOOKUP(D180,契約台帳!$A$3:$Q$4986,17,FALSE))</f>
        <v>2</v>
      </c>
      <c r="Y180" s="269" t="str">
        <f>IF(D180="","",VLOOKUP(D180,契約台帳!$A$3:$E$4986,5,FALSE))</f>
        <v>リンテック㈱</v>
      </c>
      <c r="Z180" s="57"/>
      <c r="AA180" s="207">
        <f>IFERROR(VLOOKUP(F180&amp;K180&amp;M180,製品マスタ!$M$5:$AM$5002,27,FALSE),"")</f>
        <v>0</v>
      </c>
      <c r="AB180" s="33"/>
      <c r="AC180" s="189"/>
      <c r="AD180" s="54" t="str">
        <f>IF(F180="","",+F180&amp;K180)</f>
        <v>3SNMLBMNGKKBF50</v>
      </c>
      <c r="AE180" s="55">
        <f>+M180*N180*O180/1000</f>
        <v>67200</v>
      </c>
      <c r="AF180" s="43">
        <f>IF(AD180="","",VLOOKUP(AD180,原価マスタ!$A$2:$AJ$1693,13,FALSE))</f>
        <v>99</v>
      </c>
      <c r="AG180" s="47">
        <f>IF(AF180="","",+AE180*AF180/100)</f>
        <v>66528</v>
      </c>
      <c r="AH180" s="30"/>
      <c r="AI180" s="30"/>
      <c r="AJ180" s="30"/>
      <c r="AK180" s="30"/>
      <c r="AL180" s="13"/>
      <c r="AM180" s="13"/>
      <c r="AN180" s="13"/>
      <c r="AO180" s="13"/>
      <c r="AP180" s="13"/>
      <c r="AQ180" s="14"/>
      <c r="AR180" s="15"/>
    </row>
    <row r="181" spans="1:44" s="17" customFormat="1" ht="30.95" hidden="1" customHeight="1" x14ac:dyDescent="0.2">
      <c r="A181" s="37"/>
      <c r="B181" s="38"/>
      <c r="C181" s="45"/>
      <c r="D181" s="31"/>
      <c r="E181" s="31"/>
      <c r="F181" s="268"/>
      <c r="G181" s="269"/>
      <c r="H181" s="269"/>
      <c r="I181" s="270"/>
      <c r="J181" s="32"/>
      <c r="K181" s="270"/>
      <c r="L181" s="270"/>
      <c r="M181" s="39"/>
      <c r="N181" s="39"/>
      <c r="O181" s="47"/>
      <c r="P181" s="57"/>
      <c r="Q181" s="276"/>
      <c r="R181" s="277"/>
      <c r="S181" s="277"/>
      <c r="T181" s="40"/>
      <c r="U181" s="278"/>
      <c r="V181" s="269"/>
      <c r="W181" s="269"/>
      <c r="X181" s="275"/>
      <c r="Y181" s="269"/>
      <c r="Z181" s="57"/>
      <c r="AA181" s="207"/>
      <c r="AB181" s="33"/>
      <c r="AC181" s="189"/>
      <c r="AD181" s="54"/>
      <c r="AE181" s="55"/>
      <c r="AF181" s="43"/>
      <c r="AG181" s="47"/>
      <c r="AH181" s="30"/>
      <c r="AI181" s="30"/>
      <c r="AJ181" s="30"/>
      <c r="AK181" s="30"/>
      <c r="AL181" s="13"/>
      <c r="AM181" s="13"/>
      <c r="AN181" s="13"/>
      <c r="AO181" s="13"/>
      <c r="AP181" s="13"/>
      <c r="AQ181" s="14"/>
      <c r="AR181" s="15"/>
    </row>
    <row r="182" spans="1:44" s="17" customFormat="1" ht="30.95" hidden="1" customHeight="1" x14ac:dyDescent="0.2">
      <c r="A182" s="37" t="s">
        <v>902</v>
      </c>
      <c r="B182" s="38" t="s">
        <v>897</v>
      </c>
      <c r="C182" s="45"/>
      <c r="D182" s="31">
        <v>5352339</v>
      </c>
      <c r="E182" s="31">
        <v>4151308</v>
      </c>
      <c r="F182" s="268" t="s">
        <v>927</v>
      </c>
      <c r="G182" s="269" t="s">
        <v>19</v>
      </c>
      <c r="H182" s="269" t="s">
        <v>206</v>
      </c>
      <c r="I182" s="270" t="s">
        <v>207</v>
      </c>
      <c r="J182" s="32" t="s">
        <v>447</v>
      </c>
      <c r="K182" s="270">
        <v>50</v>
      </c>
      <c r="L182" s="270" t="s">
        <v>168</v>
      </c>
      <c r="M182" s="39">
        <v>1100</v>
      </c>
      <c r="N182" s="39">
        <v>8000</v>
      </c>
      <c r="O182" s="47">
        <v>1</v>
      </c>
      <c r="P182" s="57">
        <v>44973</v>
      </c>
      <c r="Q182" s="276">
        <v>1000</v>
      </c>
      <c r="R182" s="277">
        <v>1000</v>
      </c>
      <c r="S182" s="277">
        <v>2000</v>
      </c>
      <c r="T182" s="40">
        <v>4</v>
      </c>
      <c r="U182" s="278">
        <v>4</v>
      </c>
      <c r="V182" s="269" t="s">
        <v>903</v>
      </c>
      <c r="W182" s="269">
        <v>1005</v>
      </c>
      <c r="X182" s="275">
        <v>2</v>
      </c>
      <c r="Y182" s="269" t="s">
        <v>204</v>
      </c>
      <c r="Z182" s="57"/>
      <c r="AA182" s="303" t="str">
        <f>IFERROR(VLOOKUP(F182&amp;K182&amp;M182,製品マスタ!$M$5:$AM$5002,27,FALSE),"")</f>
        <v/>
      </c>
      <c r="AB182" s="33"/>
      <c r="AC182" s="189"/>
      <c r="AD182" s="54"/>
      <c r="AE182" s="55"/>
      <c r="AF182" s="43"/>
      <c r="AG182" s="47"/>
      <c r="AH182" s="30"/>
      <c r="AI182" s="30"/>
      <c r="AJ182" s="30"/>
      <c r="AK182" s="30"/>
      <c r="AL182" s="13"/>
      <c r="AM182" s="13"/>
      <c r="AN182" s="13"/>
      <c r="AO182" s="13"/>
      <c r="AP182" s="13"/>
      <c r="AQ182" s="14"/>
      <c r="AR182" s="15"/>
    </row>
    <row r="183" spans="1:44" s="17" customFormat="1" ht="30.95" hidden="1" customHeight="1" x14ac:dyDescent="0.2">
      <c r="A183" s="37"/>
      <c r="B183" s="38"/>
      <c r="C183" s="45"/>
      <c r="D183" s="300" t="s">
        <v>932</v>
      </c>
      <c r="E183" s="31"/>
      <c r="F183" s="268"/>
      <c r="G183" s="269"/>
      <c r="H183" s="269"/>
      <c r="I183" s="270"/>
      <c r="J183" s="32"/>
      <c r="K183" s="270"/>
      <c r="L183" s="270"/>
      <c r="M183" s="39"/>
      <c r="N183" s="39"/>
      <c r="O183" s="47"/>
      <c r="P183" s="57"/>
      <c r="Q183" s="276"/>
      <c r="R183" s="277"/>
      <c r="S183" s="277"/>
      <c r="T183" s="40"/>
      <c r="U183" s="278"/>
      <c r="V183" s="269"/>
      <c r="W183" s="269"/>
      <c r="X183" s="275"/>
      <c r="Y183" s="269"/>
      <c r="Z183" s="57"/>
      <c r="AA183" s="207"/>
      <c r="AB183" s="33"/>
      <c r="AC183" s="189"/>
      <c r="AD183" s="54"/>
      <c r="AE183" s="55"/>
      <c r="AF183" s="43"/>
      <c r="AG183" s="47"/>
      <c r="AH183" s="30"/>
      <c r="AI183" s="30"/>
      <c r="AJ183" s="30"/>
      <c r="AK183" s="30"/>
      <c r="AL183" s="13"/>
      <c r="AM183" s="13"/>
      <c r="AN183" s="13"/>
      <c r="AO183" s="13"/>
      <c r="AP183" s="13"/>
      <c r="AQ183" s="14"/>
      <c r="AR183" s="15"/>
    </row>
    <row r="184" spans="1:44" s="17" customFormat="1" ht="30.95" hidden="1" customHeight="1" x14ac:dyDescent="0.2">
      <c r="A184" s="37"/>
      <c r="B184" s="38"/>
      <c r="C184" s="45"/>
      <c r="D184" s="31">
        <v>3697654</v>
      </c>
      <c r="E184" s="31">
        <v>4151290</v>
      </c>
      <c r="F184" s="268" t="str">
        <f>IF(D184="","",VLOOKUP(D184,契約台帳!$A$3:$K$4986,6,FALSE)&amp;VLOOKUP(D184,契約台帳!$A$3:$K$4986,7,FALSE)&amp;VLOOKUP(D184,契約台帳!$A$3:$K$4986,8,FALSE)&amp;VLOOKUP(D184,契約台帳!$A$3:$K$4986,9,FALSE)&amp;VLOOKUP(D184,契約台帳!$A$3:$K$4986,11,FALSE))</f>
        <v>3TNDMSX42GPC</v>
      </c>
      <c r="G184" s="269" t="str">
        <f>IF(D184="","",VLOOKUP(F184,製品マスタ!$G$5:$H$5002,2,FALSE))</f>
        <v>T</v>
      </c>
      <c r="H184" s="269" t="str">
        <f>IF(D184="","",VLOOKUP(F184,製品マスタ!$G$5:$K$5002,5,FALSE))</f>
        <v>X42GPC</v>
      </c>
      <c r="I184" s="270" t="str">
        <f>IF(D184="","",VLOOKUP(F184,製品マスタ!$G$5:$L$5002,6,FALSE))</f>
        <v>ＤＭＳ（Ｘ４２Ｇ）ＰＣ</v>
      </c>
      <c r="J184" s="32" t="s">
        <v>463</v>
      </c>
      <c r="K184" s="270">
        <f>IF(D184="","",VLOOKUP(D184,契約台帳!$A$3:$L$4986,12,FALSE))</f>
        <v>50</v>
      </c>
      <c r="L184" s="270" t="str">
        <f>IF(D184="","",INDEX(製品マスタ!$Q$5:$Q$5002,MATCH(F184&amp;K184,製品マスタ!$AO$5:$AO$5002,0)))</f>
        <v>X42G</v>
      </c>
      <c r="M184" s="39">
        <v>1360</v>
      </c>
      <c r="N184" s="39">
        <v>4100</v>
      </c>
      <c r="O184" s="47">
        <v>1</v>
      </c>
      <c r="P184" s="57">
        <v>44977</v>
      </c>
      <c r="Q184" s="276">
        <f>IF(D184="","",IF(J184="リード付け",M184,VLOOKUP(D184,契約台帳!$A$3:$N$4986,14,FALSE)))</f>
        <v>680</v>
      </c>
      <c r="R184" s="277">
        <f>IF(D184="","",IF(J184="リード付け",M184,VLOOKUP(D184,契約台帳!$A$3:$O$4986,15,FALSE)))</f>
        <v>680</v>
      </c>
      <c r="S184" s="277">
        <f>IF(D184="","",IF(J184="リード付け",N184,VLOOKUP(D184,契約台帳!$A$3:$P$4986,16,FALSE)))</f>
        <v>2000</v>
      </c>
      <c r="T184" s="40">
        <v>4</v>
      </c>
      <c r="U184" s="278">
        <f ca="1">IF(D184="","",IF(OFFSET(D184,-2,0)=D184,"",VLOOKUP(D184,契約台帳!$A$3:$R$4986,18,FALSE)))</f>
        <v>4</v>
      </c>
      <c r="V184" s="269" t="str">
        <f>IF(J184="巻返し",VLOOKUP(F184&amp;K184&amp;M184,製品マスタ!$M$5:$AD$5002,18,FALSE),IF(J184="リード付け","原反コア",IF(J184="スリット",VLOOKUP(F184&amp;K184&amp;Q184,製品マスタ!$N$5:$AD$5002,17,FALSE),"")))</f>
        <v>3ｲﾝﾁMｺｱ</v>
      </c>
      <c r="W184" s="269">
        <f>IF(J184="巻返し",VLOOKUP(F184&amp;K184&amp;M184,製品マスタ!$M$5:$AE$5002,19,FALSE),IF(J184="リード付け","-",IF(J184="スリット",VLOOKUP(F184&amp;K184&amp;Q184,製品マスタ!$N$5:$AE$5002,18,FALSE),"")))</f>
        <v>690</v>
      </c>
      <c r="X184" s="275">
        <f>IF(D184="","",VLOOKUP(D184,契約台帳!$A$3:$Q$4986,17,FALSE))</f>
        <v>2</v>
      </c>
      <c r="Y184" s="269" t="str">
        <f>IF(D184="","",VLOOKUP(D184,契約台帳!$A$3:$E$4986,5,FALSE))</f>
        <v>㈱ポラテクノ</v>
      </c>
      <c r="Z184" s="57"/>
      <c r="AA184" s="207" t="s">
        <v>774</v>
      </c>
      <c r="AB184" s="33"/>
      <c r="AC184" s="189"/>
      <c r="AD184" s="54"/>
      <c r="AE184" s="55"/>
      <c r="AF184" s="43"/>
      <c r="AG184" s="47"/>
      <c r="AH184" s="30"/>
      <c r="AI184" s="30"/>
      <c r="AJ184" s="30"/>
      <c r="AK184" s="30"/>
      <c r="AL184" s="13"/>
      <c r="AM184" s="13"/>
      <c r="AN184" s="13"/>
      <c r="AO184" s="13"/>
      <c r="AP184" s="13"/>
      <c r="AQ184" s="14"/>
      <c r="AR184" s="15"/>
    </row>
    <row r="185" spans="1:44" s="17" customFormat="1" ht="30.95" hidden="1" customHeight="1" x14ac:dyDescent="0.2">
      <c r="A185" s="37"/>
      <c r="B185" s="38"/>
      <c r="C185" s="45"/>
      <c r="D185" s="31"/>
      <c r="E185" s="31"/>
      <c r="F185" s="268"/>
      <c r="G185" s="269"/>
      <c r="H185" s="269"/>
      <c r="I185" s="270"/>
      <c r="J185" s="32"/>
      <c r="K185" s="270"/>
      <c r="L185" s="270"/>
      <c r="M185" s="39"/>
      <c r="N185" s="39"/>
      <c r="O185" s="47"/>
      <c r="P185" s="57"/>
      <c r="Q185" s="276"/>
      <c r="R185" s="277"/>
      <c r="S185" s="277"/>
      <c r="T185" s="40"/>
      <c r="U185" s="278"/>
      <c r="V185" s="269"/>
      <c r="W185" s="269"/>
      <c r="X185" s="275"/>
      <c r="Y185" s="269"/>
      <c r="Z185" s="57"/>
      <c r="AA185" s="207"/>
      <c r="AB185" s="33"/>
      <c r="AC185" s="189"/>
      <c r="AD185" s="54"/>
      <c r="AE185" s="55"/>
      <c r="AF185" s="43"/>
      <c r="AG185" s="47"/>
      <c r="AH185" s="30"/>
      <c r="AI185" s="30"/>
      <c r="AJ185" s="30"/>
      <c r="AK185" s="30"/>
      <c r="AL185" s="13"/>
      <c r="AM185" s="13"/>
      <c r="AN185" s="13"/>
      <c r="AO185" s="13"/>
      <c r="AP185" s="13"/>
      <c r="AQ185" s="14"/>
      <c r="AR185" s="15"/>
    </row>
    <row r="186" spans="1:44" s="17" customFormat="1" ht="30.95" hidden="1" customHeight="1" x14ac:dyDescent="0.2">
      <c r="A186" s="37" t="s">
        <v>887</v>
      </c>
      <c r="B186" s="38" t="s">
        <v>443</v>
      </c>
      <c r="C186" s="45"/>
      <c r="D186" s="31"/>
      <c r="E186" s="31"/>
      <c r="F186" s="268" t="str">
        <f>IF(D186="","",VLOOKUP(D186,契約台帳!$A$3:$K$4986,6,FALSE)&amp;VLOOKUP(D186,契約台帳!$A$3:$K$4986,7,FALSE)&amp;VLOOKUP(D186,契約台帳!$A$3:$K$4986,8,FALSE)&amp;VLOOKUP(D186,契約台帳!$A$3:$K$4986,9,FALSE)&amp;VLOOKUP(D186,契約台帳!$A$3:$K$4986,11,FALSE))</f>
        <v/>
      </c>
      <c r="G186" s="269" t="str">
        <f>IF(D186="","",VLOOKUP(F186,製品マスタ!$G$5:$H$5002,2,FALSE))</f>
        <v/>
      </c>
      <c r="H186" s="269" t="str">
        <f>IF(D186="","",VLOOKUP(F186,製品マスタ!$G$5:$K$5002,5,FALSE))</f>
        <v/>
      </c>
      <c r="I186" s="270" t="str">
        <f>IF(D186="","",VLOOKUP(F186,製品マスタ!$G$5:$L$5002,6,FALSE))</f>
        <v/>
      </c>
      <c r="J186" s="32" t="s">
        <v>448</v>
      </c>
      <c r="K186" s="270" t="str">
        <f>IF(D186="","",VLOOKUP(D186,契約台帳!$A$3:$L$4986,12,FALSE))</f>
        <v/>
      </c>
      <c r="L186" s="270" t="str">
        <f>IF(D186="","",INDEX(製品マスタ!$Q$5:$Q$5002,MATCH(F186&amp;K186,製品マスタ!$AO$5:$AO$5002,0)))</f>
        <v/>
      </c>
      <c r="M186" s="39"/>
      <c r="N186" s="39"/>
      <c r="O186" s="47"/>
      <c r="P186" s="57"/>
      <c r="Q186" s="276" t="str">
        <f>IF(D186="","",IF(J186="リード付け",M186,VLOOKUP(D186,契約台帳!$A$3:$N$4986,14,FALSE)))</f>
        <v/>
      </c>
      <c r="R186" s="277" t="str">
        <f>IF(D186="","",IF(J186="リード付け",M186,VLOOKUP(D186,契約台帳!$A$3:$O$4986,15,FALSE)))</f>
        <v/>
      </c>
      <c r="S186" s="277" t="str">
        <f>IF(D186="","",IF(J186="リード付け",N186,VLOOKUP(D186,契約台帳!$A$3:$P$4986,16,FALSE)))</f>
        <v/>
      </c>
      <c r="T186" s="40"/>
      <c r="U186" s="278" t="str">
        <f ca="1">IF(D186="","",IF(OFFSET(D186,-2,0)=D186,"",VLOOKUP(D186,契約台帳!$A$3:$R$4986,18,FALSE)))</f>
        <v/>
      </c>
      <c r="V186" s="269" t="str">
        <f>IF(J186="巻返し",VLOOKUP(F186&amp;K186&amp;M186,製品マスタ!$M$5:$AD$5002,18,FALSE),IF(J186="リード付け","原反コア",IF(J186="スリット",VLOOKUP(F186&amp;K186&amp;Q186,製品マスタ!$N$5:$AD$5002,17,FALSE),"")))</f>
        <v/>
      </c>
      <c r="W186" s="269" t="str">
        <f>IF(J186="巻返し",VLOOKUP(F186&amp;K186&amp;M186,製品マスタ!$M$5:$AE$5002,19,FALSE),IF(J186="リード付け","-",IF(J186="スリット",VLOOKUP(F186&amp;K186&amp;Q186,製品マスタ!$N$5:$AE$5002,18,FALSE),"")))</f>
        <v/>
      </c>
      <c r="X186" s="275" t="str">
        <f>IF(D186="","",VLOOKUP(D186,契約台帳!$A$3:$Q$4986,17,FALSE))</f>
        <v/>
      </c>
      <c r="Y186" s="269" t="str">
        <f>IF(D186="","",VLOOKUP(D186,契約台帳!$A$3:$E$4986,5,FALSE))</f>
        <v/>
      </c>
      <c r="Z186" s="57"/>
      <c r="AA186" s="207" t="str">
        <f>IFERROR(VLOOKUP(F186&amp;K186&amp;M186,製品マスタ!$M$5:$AM$5002,27,FALSE),"")</f>
        <v/>
      </c>
      <c r="AB186" s="33"/>
      <c r="AC186" s="189"/>
      <c r="AD186" s="54"/>
      <c r="AE186" s="55"/>
      <c r="AF186" s="43"/>
      <c r="AG186" s="47"/>
      <c r="AH186" s="30"/>
      <c r="AI186" s="30"/>
      <c r="AJ186" s="30"/>
      <c r="AK186" s="30"/>
      <c r="AL186" s="13"/>
      <c r="AM186" s="13"/>
      <c r="AN186" s="13"/>
      <c r="AO186" s="13"/>
      <c r="AP186" s="13"/>
      <c r="AQ186" s="14"/>
      <c r="AR186" s="15"/>
    </row>
    <row r="187" spans="1:44" s="17" customFormat="1" ht="30.95" hidden="1" customHeight="1" x14ac:dyDescent="0.2">
      <c r="A187" s="37"/>
      <c r="B187" s="38"/>
      <c r="C187" s="45"/>
      <c r="D187" s="31"/>
      <c r="E187" s="31"/>
      <c r="F187" s="268"/>
      <c r="G187" s="269"/>
      <c r="H187" s="269"/>
      <c r="I187" s="270"/>
      <c r="J187" s="32"/>
      <c r="K187" s="270"/>
      <c r="L187" s="270"/>
      <c r="M187" s="39"/>
      <c r="N187" s="39"/>
      <c r="O187" s="47"/>
      <c r="P187" s="57"/>
      <c r="Q187" s="276"/>
      <c r="R187" s="277"/>
      <c r="S187" s="277"/>
      <c r="T187" s="40"/>
      <c r="U187" s="278"/>
      <c r="V187" s="269"/>
      <c r="W187" s="269"/>
      <c r="X187" s="275"/>
      <c r="Y187" s="269"/>
      <c r="Z187" s="57"/>
      <c r="AA187" s="207"/>
      <c r="AB187" s="33"/>
      <c r="AC187" s="189"/>
      <c r="AD187" s="54"/>
      <c r="AE187" s="55"/>
      <c r="AF187" s="43"/>
      <c r="AG187" s="47"/>
      <c r="AH187" s="30"/>
      <c r="AI187" s="30"/>
      <c r="AJ187" s="30"/>
      <c r="AK187" s="30"/>
      <c r="AL187" s="13"/>
      <c r="AM187" s="13"/>
      <c r="AN187" s="13"/>
      <c r="AO187" s="13"/>
      <c r="AP187" s="13"/>
      <c r="AQ187" s="14"/>
      <c r="AR187" s="15"/>
    </row>
    <row r="188" spans="1:44" s="17" customFormat="1" ht="30.95" hidden="1" customHeight="1" x14ac:dyDescent="0.2">
      <c r="A188" s="37" t="s">
        <v>888</v>
      </c>
      <c r="B188" s="38" t="s">
        <v>444</v>
      </c>
      <c r="C188" s="45"/>
      <c r="D188" s="31"/>
      <c r="E188" s="300"/>
      <c r="F188" s="268"/>
      <c r="G188" s="269"/>
      <c r="H188" s="269"/>
      <c r="I188" s="270"/>
      <c r="J188" s="32" t="s">
        <v>490</v>
      </c>
      <c r="K188" s="270"/>
      <c r="L188" s="270"/>
      <c r="M188" s="39"/>
      <c r="N188" s="39"/>
      <c r="O188" s="47"/>
      <c r="P188" s="57"/>
      <c r="Q188" s="276"/>
      <c r="R188" s="277"/>
      <c r="S188" s="277"/>
      <c r="T188" s="40"/>
      <c r="U188" s="278"/>
      <c r="V188" s="269"/>
      <c r="W188" s="269"/>
      <c r="X188" s="275"/>
      <c r="Y188" s="269"/>
      <c r="Z188" s="57"/>
      <c r="AA188" s="207" t="s">
        <v>928</v>
      </c>
      <c r="AB188" s="33"/>
      <c r="AC188" s="189"/>
      <c r="AD188" s="54"/>
      <c r="AE188" s="55"/>
      <c r="AF188" s="43"/>
      <c r="AG188" s="47"/>
      <c r="AH188" s="30"/>
      <c r="AI188" s="30"/>
      <c r="AJ188" s="30"/>
      <c r="AK188" s="30"/>
      <c r="AL188" s="13"/>
      <c r="AM188" s="13"/>
      <c r="AN188" s="13"/>
      <c r="AO188" s="13"/>
      <c r="AP188" s="13"/>
      <c r="AQ188" s="14"/>
      <c r="AR188" s="15"/>
    </row>
    <row r="189" spans="1:44" s="17" customFormat="1" ht="30.95" hidden="1" customHeight="1" x14ac:dyDescent="0.2">
      <c r="A189" s="37"/>
      <c r="B189" s="38"/>
      <c r="C189" s="45"/>
      <c r="D189" s="31"/>
      <c r="E189" s="31"/>
      <c r="F189" s="268"/>
      <c r="G189" s="269"/>
      <c r="H189" s="269"/>
      <c r="I189" s="270"/>
      <c r="J189" s="32"/>
      <c r="K189" s="270"/>
      <c r="L189" s="270"/>
      <c r="M189" s="39"/>
      <c r="N189" s="39"/>
      <c r="O189" s="47"/>
      <c r="P189" s="57"/>
      <c r="Q189" s="276"/>
      <c r="R189" s="277"/>
      <c r="S189" s="277"/>
      <c r="T189" s="40"/>
      <c r="U189" s="278"/>
      <c r="V189" s="269"/>
      <c r="W189" s="269"/>
      <c r="X189" s="275"/>
      <c r="Y189" s="269"/>
      <c r="Z189" s="57"/>
      <c r="AA189" s="207"/>
      <c r="AB189" s="33"/>
      <c r="AC189" s="189"/>
      <c r="AD189" s="54"/>
      <c r="AE189" s="55"/>
      <c r="AF189" s="43"/>
      <c r="AG189" s="47"/>
      <c r="AH189" s="30"/>
      <c r="AI189" s="30"/>
      <c r="AJ189" s="30"/>
      <c r="AK189" s="30"/>
      <c r="AL189" s="13"/>
      <c r="AM189" s="13"/>
      <c r="AN189" s="13"/>
      <c r="AO189" s="13"/>
      <c r="AP189" s="13"/>
      <c r="AQ189" s="14"/>
      <c r="AR189" s="15"/>
    </row>
    <row r="190" spans="1:44" s="233" customFormat="1" ht="30.95" hidden="1" customHeight="1" x14ac:dyDescent="0.2">
      <c r="A190" s="217"/>
      <c r="B190" s="218"/>
      <c r="C190" s="280"/>
      <c r="D190" s="219"/>
      <c r="E190" s="219"/>
      <c r="F190" s="281"/>
      <c r="G190" s="282"/>
      <c r="H190" s="282"/>
      <c r="I190" s="283"/>
      <c r="J190" s="220"/>
      <c r="K190" s="283"/>
      <c r="L190" s="283"/>
      <c r="M190" s="221"/>
      <c r="N190" s="221"/>
      <c r="O190" s="222"/>
      <c r="P190" s="213"/>
      <c r="Q190" s="284"/>
      <c r="R190" s="285"/>
      <c r="S190" s="285"/>
      <c r="T190" s="224"/>
      <c r="U190" s="286"/>
      <c r="V190" s="282"/>
      <c r="W190" s="282"/>
      <c r="X190" s="287"/>
      <c r="Y190" s="282"/>
      <c r="Z190" s="213"/>
      <c r="AA190" s="288"/>
      <c r="AB190" s="225"/>
      <c r="AC190" s="226"/>
      <c r="AD190" s="227"/>
      <c r="AE190" s="228"/>
      <c r="AF190" s="223"/>
      <c r="AG190" s="234">
        <f>SUM(AG123:AG188)</f>
        <v>725360.97499999986</v>
      </c>
      <c r="AH190" s="229"/>
      <c r="AI190" s="229"/>
      <c r="AJ190" s="229"/>
      <c r="AK190" s="229"/>
      <c r="AL190" s="230"/>
      <c r="AM190" s="230"/>
      <c r="AN190" s="230"/>
      <c r="AO190" s="230"/>
      <c r="AP190" s="230"/>
      <c r="AQ190" s="231"/>
      <c r="AR190" s="232"/>
    </row>
    <row r="191" spans="1:44" s="17" customFormat="1" ht="30.95" hidden="1" customHeight="1" x14ac:dyDescent="0.2">
      <c r="A191" s="37"/>
      <c r="B191" s="38"/>
      <c r="C191" s="45"/>
      <c r="D191" s="31"/>
      <c r="E191" s="31"/>
      <c r="F191" s="268"/>
      <c r="G191" s="269"/>
      <c r="H191" s="269"/>
      <c r="I191" s="270"/>
      <c r="J191" s="32"/>
      <c r="K191" s="270"/>
      <c r="L191" s="270"/>
      <c r="M191" s="39"/>
      <c r="N191" s="39"/>
      <c r="O191" s="47"/>
      <c r="P191" s="57"/>
      <c r="Q191" s="276"/>
      <c r="R191" s="277"/>
      <c r="S191" s="277"/>
      <c r="T191" s="40"/>
      <c r="U191" s="278"/>
      <c r="V191" s="269"/>
      <c r="W191" s="269"/>
      <c r="X191" s="275"/>
      <c r="Y191" s="269"/>
      <c r="Z191" s="57"/>
      <c r="AA191" s="207"/>
      <c r="AB191" s="33"/>
      <c r="AC191" s="189"/>
      <c r="AD191" s="54"/>
      <c r="AE191" s="55"/>
      <c r="AF191" s="43"/>
      <c r="AG191" s="47"/>
      <c r="AH191" s="30"/>
      <c r="AI191" s="30"/>
      <c r="AJ191" s="30"/>
      <c r="AK191" s="30"/>
      <c r="AL191" s="13"/>
      <c r="AM191" s="13"/>
      <c r="AN191" s="13"/>
      <c r="AO191" s="13"/>
      <c r="AP191" s="13"/>
      <c r="AQ191" s="14"/>
      <c r="AR191" s="15"/>
    </row>
    <row r="192" spans="1:44" s="17" customFormat="1" ht="30.95" hidden="1" customHeight="1" x14ac:dyDescent="0.2">
      <c r="A192" s="37" t="s">
        <v>889</v>
      </c>
      <c r="B192" s="38" t="s">
        <v>877</v>
      </c>
      <c r="C192" s="45"/>
      <c r="D192" s="31"/>
      <c r="E192" s="31"/>
      <c r="F192" s="268" t="str">
        <f>IF(D192="","",VLOOKUP(D192,契約台帳!$A$3:$K$4986,6,FALSE)&amp;VLOOKUP(D192,契約台帳!$A$3:$K$4986,7,FALSE)&amp;VLOOKUP(D192,契約台帳!$A$3:$K$4986,8,FALSE)&amp;VLOOKUP(D192,契約台帳!$A$3:$K$4986,9,FALSE)&amp;VLOOKUP(D192,契約台帳!$A$3:$K$4986,11,FALSE))</f>
        <v/>
      </c>
      <c r="G192" s="269" t="str">
        <f>IF(D192="","",VLOOKUP(F192,製品マスタ!$G$5:$H$5002,2,FALSE))</f>
        <v/>
      </c>
      <c r="H192" s="269" t="str">
        <f>IF(D192="","",VLOOKUP(F192,製品マスタ!$G$5:$K$5002,5,FALSE))</f>
        <v/>
      </c>
      <c r="I192" s="270" t="str">
        <f>IF(D192="","",VLOOKUP(F192,製品マスタ!$G$5:$L$5002,6,FALSE))</f>
        <v/>
      </c>
      <c r="J192" s="32" t="s">
        <v>448</v>
      </c>
      <c r="K192" s="270" t="str">
        <f>IF(D192="","",VLOOKUP(D192,契約台帳!$A$3:$L$4986,12,FALSE))</f>
        <v/>
      </c>
      <c r="L192" s="270" t="str">
        <f>IF(D192="","",INDEX(製品マスタ!$Q$5:$Q$5002,MATCH(F192&amp;K192,製品マスタ!$AO$5:$AO$5002,0)))</f>
        <v/>
      </c>
      <c r="M192" s="39"/>
      <c r="N192" s="39"/>
      <c r="O192" s="47"/>
      <c r="P192" s="57"/>
      <c r="Q192" s="276" t="str">
        <f>IF(D192="","",IF(J192="リード付け",M192,VLOOKUP(D192,契約台帳!$A$3:$N$4986,14,FALSE)))</f>
        <v/>
      </c>
      <c r="R192" s="277" t="str">
        <f>IF(D192="","",IF(J192="リード付け",M192,VLOOKUP(D192,契約台帳!$A$3:$O$4986,15,FALSE)))</f>
        <v/>
      </c>
      <c r="S192" s="277" t="str">
        <f>IF(D192="","",IF(J192="リード付け",N192,VLOOKUP(D192,契約台帳!$A$3:$P$4986,16,FALSE)))</f>
        <v/>
      </c>
      <c r="T192" s="40"/>
      <c r="U192" s="278" t="str">
        <f ca="1">IF(D192="","",IF(OFFSET(D192,-2,0)=D192,"",VLOOKUP(D192,契約台帳!$A$3:$R$4986,18,FALSE)))</f>
        <v/>
      </c>
      <c r="V192" s="269" t="str">
        <f>IF(J192="巻返し",VLOOKUP(F192&amp;K192&amp;M192,製品マスタ!$M$5:$AD$5002,18,FALSE),IF(J192="リード付け","原反コア",IF(J192="スリット",VLOOKUP(F192&amp;K192&amp;Q192,製品マスタ!$N$5:$AD$5002,17,FALSE),"")))</f>
        <v/>
      </c>
      <c r="W192" s="269" t="str">
        <f>IF(J192="巻返し",VLOOKUP(F192&amp;K192&amp;M192,製品マスタ!$M$5:$AE$5002,19,FALSE),IF(J192="リード付け","-",IF(J192="スリット",VLOOKUP(F192&amp;K192&amp;Q192,製品マスタ!$N$5:$AE$5002,18,FALSE),"")))</f>
        <v/>
      </c>
      <c r="X192" s="275" t="str">
        <f>IF(D192="","",VLOOKUP(D192,契約台帳!$A$3:$Q$4986,17,FALSE))</f>
        <v/>
      </c>
      <c r="Y192" s="269" t="str">
        <f>IF(D192="","",VLOOKUP(D192,契約台帳!$A$3:$E$4986,5,FALSE))</f>
        <v/>
      </c>
      <c r="Z192" s="57"/>
      <c r="AA192" s="207" t="str">
        <f>IFERROR(VLOOKUP(F192&amp;K192&amp;M192,製品マスタ!$M$5:$AM$5002,27,FALSE),"")</f>
        <v/>
      </c>
      <c r="AB192" s="33"/>
      <c r="AC192" s="189"/>
      <c r="AD192" s="54"/>
      <c r="AE192" s="55"/>
      <c r="AF192" s="43"/>
      <c r="AG192" s="47"/>
      <c r="AH192" s="30"/>
      <c r="AI192" s="30"/>
      <c r="AJ192" s="30"/>
      <c r="AK192" s="30"/>
      <c r="AL192" s="13"/>
      <c r="AM192" s="13"/>
      <c r="AN192" s="13"/>
      <c r="AO192" s="13"/>
      <c r="AP192" s="13"/>
      <c r="AQ192" s="14"/>
      <c r="AR192" s="15"/>
    </row>
    <row r="193" spans="1:44" s="17" customFormat="1" ht="30.95" hidden="1" customHeight="1" x14ac:dyDescent="0.2">
      <c r="A193" s="37"/>
      <c r="B193" s="38"/>
      <c r="C193" s="45"/>
      <c r="D193" s="31"/>
      <c r="E193" s="31"/>
      <c r="F193" s="268" t="str">
        <f>IF(D193="","",VLOOKUP(D193,契約台帳!$A$3:$K$4986,6,FALSE)&amp;VLOOKUP(D193,契約台帳!$A$3:$K$4986,7,FALSE)&amp;VLOOKUP(D193,契約台帳!$A$3:$K$4986,8,FALSE)&amp;VLOOKUP(D193,契約台帳!$A$3:$K$4986,9,FALSE)&amp;VLOOKUP(D193,契約台帳!$A$3:$K$4986,11,FALSE))</f>
        <v/>
      </c>
      <c r="G193" s="269" t="str">
        <f>IF(D193="","",VLOOKUP(F193,製品マスタ!$G$5:$H$5002,2,FALSE))</f>
        <v/>
      </c>
      <c r="H193" s="269" t="str">
        <f>IF(D193="","",VLOOKUP(F193,製品マスタ!$G$5:$K$5002,5,FALSE))</f>
        <v/>
      </c>
      <c r="I193" s="270" t="str">
        <f>IF(D193="","",VLOOKUP(F193,製品マスタ!$G$5:$L$5002,6,FALSE))</f>
        <v/>
      </c>
      <c r="J193" s="32"/>
      <c r="K193" s="270" t="str">
        <f>IF(D193="","",VLOOKUP(D193,契約台帳!$A$3:$L$4986,12,FALSE))</f>
        <v/>
      </c>
      <c r="L193" s="270" t="str">
        <f>IF(D193="","",INDEX(製品マスタ!$Q$5:$Q$5002,MATCH(F193&amp;K193,製品マスタ!$AO$5:$AO$5002,0)))</f>
        <v/>
      </c>
      <c r="M193" s="39"/>
      <c r="N193" s="39"/>
      <c r="O193" s="47"/>
      <c r="P193" s="57"/>
      <c r="Q193" s="276" t="str">
        <f>IF(D193="","",IF(J193="リード付け",M193,VLOOKUP(D193,契約台帳!$A$3:$N$4986,14,FALSE)))</f>
        <v/>
      </c>
      <c r="R193" s="277" t="str">
        <f>IF(D193="","",IF(J193="リード付け",M193,VLOOKUP(D193,契約台帳!$A$3:$O$4986,15,FALSE)))</f>
        <v/>
      </c>
      <c r="S193" s="277" t="str">
        <f>IF(D193="","",IF(J193="リード付け",N193,VLOOKUP(D193,契約台帳!$A$3:$P$4986,16,FALSE)))</f>
        <v/>
      </c>
      <c r="T193" s="40"/>
      <c r="U193" s="278" t="str">
        <f ca="1">IF(D193="","",IF(OFFSET(D193,-2,0)=D193,"",VLOOKUP(D193,契約台帳!$A$3:$R$4986,18,FALSE)))</f>
        <v/>
      </c>
      <c r="V193" s="269" t="str">
        <f>IF(J193="巻返し",VLOOKUP(F193&amp;K193&amp;M193,製品マスタ!$M$5:$AD$5002,18,FALSE),IF(J193="リード付け","原反コア",IF(J193="スリット",VLOOKUP(F193&amp;K193&amp;Q193,製品マスタ!$N$5:$AD$5002,17,FALSE),"")))</f>
        <v/>
      </c>
      <c r="W193" s="269" t="str">
        <f>IF(J193="巻返し",VLOOKUP(F193&amp;K193&amp;M193,製品マスタ!$M$5:$AE$5002,19,FALSE),IF(J193="リード付け","-",IF(J193="スリット",VLOOKUP(F193&amp;K193&amp;Q193,製品マスタ!$N$5:$AE$5002,18,FALSE),"")))</f>
        <v/>
      </c>
      <c r="X193" s="275" t="str">
        <f>IF(D193="","",VLOOKUP(D193,契約台帳!$A$3:$Q$4986,17,FALSE))</f>
        <v/>
      </c>
      <c r="Y193" s="269" t="str">
        <f>IF(D193="","",VLOOKUP(D193,契約台帳!$A$3:$E$4986,5,FALSE))</f>
        <v/>
      </c>
      <c r="Z193" s="57"/>
      <c r="AA193" s="207" t="str">
        <f>IFERROR(VLOOKUP(F193&amp;K193&amp;M193,製品マスタ!$M$5:$AM$5002,27,FALSE),"")</f>
        <v/>
      </c>
      <c r="AB193" s="33"/>
      <c r="AC193" s="189"/>
      <c r="AD193" s="54"/>
      <c r="AE193" s="55"/>
      <c r="AF193" s="43"/>
      <c r="AG193" s="47"/>
      <c r="AH193" s="30"/>
      <c r="AI193" s="30"/>
      <c r="AJ193" s="30"/>
      <c r="AK193" s="30"/>
      <c r="AL193" s="13"/>
      <c r="AM193" s="13"/>
      <c r="AN193" s="13"/>
      <c r="AO193" s="13"/>
      <c r="AP193" s="13"/>
      <c r="AQ193" s="14"/>
      <c r="AR193" s="15"/>
    </row>
    <row r="194" spans="1:44" s="17" customFormat="1" ht="30.95" hidden="1" customHeight="1" x14ac:dyDescent="0.2">
      <c r="A194" s="37" t="s">
        <v>890</v>
      </c>
      <c r="B194" s="38" t="s">
        <v>879</v>
      </c>
      <c r="C194" s="45"/>
      <c r="D194" s="31"/>
      <c r="E194" s="31"/>
      <c r="F194" s="268" t="str">
        <f>IF(D194="","",VLOOKUP(D194,契約台帳!$A$3:$K$4986,6,FALSE)&amp;VLOOKUP(D194,契約台帳!$A$3:$K$4986,7,FALSE)&amp;VLOOKUP(D194,契約台帳!$A$3:$K$4986,8,FALSE)&amp;VLOOKUP(D194,契約台帳!$A$3:$K$4986,9,FALSE)&amp;VLOOKUP(D194,契約台帳!$A$3:$K$4986,11,FALSE))</f>
        <v/>
      </c>
      <c r="G194" s="269" t="str">
        <f>IF(D194="","",VLOOKUP(F194,製品マスタ!$G$5:$H$5002,2,FALSE))</f>
        <v/>
      </c>
      <c r="H194" s="269" t="str">
        <f>IF(D194="","",VLOOKUP(F194,製品マスタ!$G$5:$K$5002,5,FALSE))</f>
        <v/>
      </c>
      <c r="I194" s="270" t="str">
        <f>IF(D194="","",VLOOKUP(F194,製品マスタ!$G$5:$L$5002,6,FALSE))</f>
        <v/>
      </c>
      <c r="J194" s="32" t="s">
        <v>448</v>
      </c>
      <c r="K194" s="270" t="str">
        <f>IF(D194="","",VLOOKUP(D194,契約台帳!$A$3:$L$4986,12,FALSE))</f>
        <v/>
      </c>
      <c r="L194" s="270" t="str">
        <f>IF(D194="","",INDEX(製品マスタ!$Q$5:$Q$5002,MATCH(F194&amp;K194,製品マスタ!$AO$5:$AO$5002,0)))</f>
        <v/>
      </c>
      <c r="M194" s="39"/>
      <c r="N194" s="39"/>
      <c r="O194" s="47"/>
      <c r="P194" s="57"/>
      <c r="Q194" s="276" t="str">
        <f>IF(D194="","",IF(J194="リード付け",M194,VLOOKUP(D194,契約台帳!$A$3:$N$4986,14,FALSE)))</f>
        <v/>
      </c>
      <c r="R194" s="277" t="str">
        <f>IF(D194="","",IF(J194="リード付け",M194,VLOOKUP(D194,契約台帳!$A$3:$O$4986,15,FALSE)))</f>
        <v/>
      </c>
      <c r="S194" s="277" t="str">
        <f>IF(D194="","",IF(J194="リード付け",N194,VLOOKUP(D194,契約台帳!$A$3:$P$4986,16,FALSE)))</f>
        <v/>
      </c>
      <c r="T194" s="40"/>
      <c r="U194" s="278" t="str">
        <f ca="1">IF(D194="","",IF(OFFSET(D194,-2,0)=D194,"",VLOOKUP(D194,契約台帳!$A$3:$R$4986,18,FALSE)))</f>
        <v/>
      </c>
      <c r="V194" s="269" t="str">
        <f>IF(J194="巻返し",VLOOKUP(F194&amp;K194&amp;M194,製品マスタ!$M$5:$AD$5002,18,FALSE),IF(J194="リード付け","原反コア",IF(J194="スリット",VLOOKUP(F194&amp;K194&amp;Q194,製品マスタ!$N$5:$AD$5002,17,FALSE),"")))</f>
        <v/>
      </c>
      <c r="W194" s="269" t="str">
        <f>IF(J194="巻返し",VLOOKUP(F194&amp;K194&amp;M194,製品マスタ!$M$5:$AE$5002,19,FALSE),IF(J194="リード付け","-",IF(J194="スリット",VLOOKUP(F194&amp;K194&amp;Q194,製品マスタ!$N$5:$AE$5002,18,FALSE),"")))</f>
        <v/>
      </c>
      <c r="X194" s="275" t="str">
        <f>IF(D194="","",VLOOKUP(D194,契約台帳!$A$3:$Q$4986,17,FALSE))</f>
        <v/>
      </c>
      <c r="Y194" s="269" t="str">
        <f>IF(D194="","",VLOOKUP(D194,契約台帳!$A$3:$E$4986,5,FALSE))</f>
        <v/>
      </c>
      <c r="Z194" s="57"/>
      <c r="AA194" s="207" t="str">
        <f>IFERROR(VLOOKUP(F194&amp;K194&amp;M194,製品マスタ!$M$5:$AM$5002,27,FALSE),"")</f>
        <v/>
      </c>
      <c r="AB194" s="33"/>
      <c r="AC194" s="189"/>
      <c r="AD194" s="54"/>
      <c r="AE194" s="55"/>
      <c r="AF194" s="43"/>
      <c r="AG194" s="47"/>
      <c r="AH194" s="30"/>
      <c r="AI194" s="30"/>
      <c r="AJ194" s="30"/>
      <c r="AK194" s="30"/>
      <c r="AL194" s="13"/>
      <c r="AM194" s="13"/>
      <c r="AN194" s="13"/>
      <c r="AO194" s="13"/>
      <c r="AP194" s="13"/>
      <c r="AQ194" s="14"/>
      <c r="AR194" s="15"/>
    </row>
    <row r="195" spans="1:44" s="17" customFormat="1" ht="30.95" hidden="1" customHeight="1" x14ac:dyDescent="0.2">
      <c r="A195" s="37"/>
      <c r="B195" s="38"/>
      <c r="C195" s="45"/>
      <c r="D195" s="31"/>
      <c r="E195" s="31"/>
      <c r="F195" s="268" t="str">
        <f>IF(D195="","",VLOOKUP(D195,契約台帳!$A$3:$K$4986,6,FALSE)&amp;VLOOKUP(D195,契約台帳!$A$3:$K$4986,7,FALSE)&amp;VLOOKUP(D195,契約台帳!$A$3:$K$4986,8,FALSE)&amp;VLOOKUP(D195,契約台帳!$A$3:$K$4986,9,FALSE)&amp;VLOOKUP(D195,契約台帳!$A$3:$K$4986,11,FALSE))</f>
        <v/>
      </c>
      <c r="G195" s="269" t="str">
        <f>IF(D195="","",VLOOKUP(F195,製品マスタ!$G$5:$H$5002,2,FALSE))</f>
        <v/>
      </c>
      <c r="H195" s="269" t="str">
        <f>IF(D195="","",VLOOKUP(F195,製品マスタ!$G$5:$K$5002,5,FALSE))</f>
        <v/>
      </c>
      <c r="I195" s="270" t="str">
        <f>IF(D195="","",VLOOKUP(F195,製品マスタ!$G$5:$L$5002,6,FALSE))</f>
        <v/>
      </c>
      <c r="J195" s="32"/>
      <c r="K195" s="270" t="str">
        <f>IF(D195="","",VLOOKUP(D195,契約台帳!$A$3:$L$4986,12,FALSE))</f>
        <v/>
      </c>
      <c r="L195" s="270" t="str">
        <f>IF(D195="","",INDEX(製品マスタ!$Q$5:$Q$5002,MATCH(F195&amp;K195,製品マスタ!$AO$5:$AO$5002,0)))</f>
        <v/>
      </c>
      <c r="M195" s="39"/>
      <c r="N195" s="39"/>
      <c r="O195" s="47"/>
      <c r="P195" s="57"/>
      <c r="Q195" s="276" t="str">
        <f>IF(D195="","",IF(J195="リード付け",M195,VLOOKUP(D195,契約台帳!$A$3:$N$4986,14,FALSE)))</f>
        <v/>
      </c>
      <c r="R195" s="277" t="str">
        <f>IF(D195="","",IF(J195="リード付け",M195,VLOOKUP(D195,契約台帳!$A$3:$O$4986,15,FALSE)))</f>
        <v/>
      </c>
      <c r="S195" s="277" t="str">
        <f>IF(D195="","",IF(J195="リード付け",N195,VLOOKUP(D195,契約台帳!$A$3:$P$4986,16,FALSE)))</f>
        <v/>
      </c>
      <c r="T195" s="40"/>
      <c r="U195" s="278" t="str">
        <f ca="1">IF(D195="","",IF(OFFSET(D195,-2,0)=D195,"",VLOOKUP(D195,契約台帳!$A$3:$R$4986,18,FALSE)))</f>
        <v/>
      </c>
      <c r="V195" s="269" t="str">
        <f>IF(J195="巻返し",VLOOKUP(F195&amp;K195&amp;M195,製品マスタ!$M$5:$AD$5002,18,FALSE),IF(J195="リード付け","原反コア",IF(J195="スリット",VLOOKUP(F195&amp;K195&amp;Q195,製品マスタ!$N$5:$AD$5002,17,FALSE),"")))</f>
        <v/>
      </c>
      <c r="W195" s="269" t="str">
        <f>IF(J195="巻返し",VLOOKUP(F195&amp;K195&amp;M195,製品マスタ!$M$5:$AE$5002,19,FALSE),IF(J195="リード付け","-",IF(J195="スリット",VLOOKUP(F195&amp;K195&amp;Q195,製品マスタ!$N$5:$AE$5002,18,FALSE),"")))</f>
        <v/>
      </c>
      <c r="X195" s="275" t="str">
        <f>IF(D195="","",VLOOKUP(D195,契約台帳!$A$3:$Q$4986,17,FALSE))</f>
        <v/>
      </c>
      <c r="Y195" s="269" t="str">
        <f>IF(D195="","",VLOOKUP(D195,契約台帳!$A$3:$E$4986,5,FALSE))</f>
        <v/>
      </c>
      <c r="Z195" s="57"/>
      <c r="AA195" s="207" t="str">
        <f>IFERROR(VLOOKUP(F195&amp;K195&amp;M195,製品マスタ!$M$5:$AM$5002,27,FALSE),"")</f>
        <v/>
      </c>
      <c r="AB195" s="33"/>
      <c r="AC195" s="189"/>
      <c r="AD195" s="54"/>
      <c r="AE195" s="55"/>
      <c r="AF195" s="43"/>
      <c r="AG195" s="47"/>
      <c r="AH195" s="30"/>
      <c r="AI195" s="30"/>
      <c r="AJ195" s="30"/>
      <c r="AK195" s="30"/>
      <c r="AL195" s="13"/>
      <c r="AM195" s="13"/>
      <c r="AN195" s="13"/>
      <c r="AO195" s="13"/>
      <c r="AP195" s="13"/>
      <c r="AQ195" s="14"/>
      <c r="AR195" s="15"/>
    </row>
    <row r="196" spans="1:44" s="17" customFormat="1" ht="30.95" hidden="1" customHeight="1" x14ac:dyDescent="0.2">
      <c r="A196" s="37" t="s">
        <v>891</v>
      </c>
      <c r="B196" s="38" t="s">
        <v>881</v>
      </c>
      <c r="C196" s="45"/>
      <c r="D196" s="31"/>
      <c r="E196" s="31"/>
      <c r="F196" s="268" t="str">
        <f>IF(D196="","",VLOOKUP(D196,契約台帳!$A$3:$K$4986,6,FALSE)&amp;VLOOKUP(D196,契約台帳!$A$3:$K$4986,7,FALSE)&amp;VLOOKUP(D196,契約台帳!$A$3:$K$4986,8,FALSE)&amp;VLOOKUP(D196,契約台帳!$A$3:$K$4986,9,FALSE)&amp;VLOOKUP(D196,契約台帳!$A$3:$K$4986,11,FALSE))</f>
        <v/>
      </c>
      <c r="G196" s="269" t="str">
        <f>IF(D196="","",VLOOKUP(F196,製品マスタ!$G$5:$H$5002,2,FALSE))</f>
        <v/>
      </c>
      <c r="H196" s="269" t="str">
        <f>IF(D196="","",VLOOKUP(F196,製品マスタ!$G$5:$K$5002,5,FALSE))</f>
        <v/>
      </c>
      <c r="I196" s="270" t="str">
        <f>IF(D196="","",VLOOKUP(F196,製品マスタ!$G$5:$L$5002,6,FALSE))</f>
        <v/>
      </c>
      <c r="J196" s="32" t="s">
        <v>904</v>
      </c>
      <c r="K196" s="270" t="str">
        <f>IF(D196="","",VLOOKUP(D196,契約台帳!$A$3:$L$4986,12,FALSE))</f>
        <v/>
      </c>
      <c r="L196" s="270" t="str">
        <f>IF(D196="","",INDEX(製品マスタ!$Q$5:$Q$5002,MATCH(F196&amp;K196,製品マスタ!$AO$5:$AO$5002,0)))</f>
        <v/>
      </c>
      <c r="M196" s="39"/>
      <c r="N196" s="39"/>
      <c r="O196" s="47"/>
      <c r="P196" s="57"/>
      <c r="Q196" s="276" t="str">
        <f>IF(D196="","",IF(J196="リード付け",M196,VLOOKUP(D196,契約台帳!$A$3:$N$4986,14,FALSE)))</f>
        <v/>
      </c>
      <c r="R196" s="277" t="str">
        <f>IF(D196="","",IF(J196="リード付け",M196,VLOOKUP(D196,契約台帳!$A$3:$O$4986,15,FALSE)))</f>
        <v/>
      </c>
      <c r="S196" s="277" t="str">
        <f>IF(D196="","",IF(J196="リード付け",N196,VLOOKUP(D196,契約台帳!$A$3:$P$4986,16,FALSE)))</f>
        <v/>
      </c>
      <c r="T196" s="40"/>
      <c r="U196" s="278" t="str">
        <f ca="1">IF(D196="","",IF(OFFSET(D196,-2,0)=D196,"",VLOOKUP(D196,契約台帳!$A$3:$R$4986,18,FALSE)))</f>
        <v/>
      </c>
      <c r="V196" s="269" t="str">
        <f>IF(J196="巻返し",VLOOKUP(F196&amp;K196&amp;M196,製品マスタ!$M$5:$AD$5002,18,FALSE),IF(J196="リード付け","原反コア",IF(J196="スリット",VLOOKUP(F196&amp;K196&amp;Q196,製品マスタ!$N$5:$AD$5002,17,FALSE),"")))</f>
        <v/>
      </c>
      <c r="W196" s="269" t="str">
        <f>IF(J196="巻返し",VLOOKUP(F196&amp;K196&amp;M196,製品マスタ!$M$5:$AE$5002,19,FALSE),IF(J196="リード付け","-",IF(J196="スリット",VLOOKUP(F196&amp;K196&amp;Q196,製品マスタ!$N$5:$AE$5002,18,FALSE),"")))</f>
        <v/>
      </c>
      <c r="X196" s="275" t="str">
        <f>IF(D196="","",VLOOKUP(D196,契約台帳!$A$3:$Q$4986,17,FALSE))</f>
        <v/>
      </c>
      <c r="Y196" s="269" t="str">
        <f>IF(D196="","",VLOOKUP(D196,契約台帳!$A$3:$E$4986,5,FALSE))</f>
        <v/>
      </c>
      <c r="Z196" s="57"/>
      <c r="AA196" s="207" t="str">
        <f>IFERROR(VLOOKUP(F196&amp;K196&amp;M196,製品マスタ!$M$5:$AM$5002,27,FALSE),"")</f>
        <v/>
      </c>
      <c r="AB196" s="33"/>
      <c r="AC196" s="189"/>
      <c r="AD196" s="54"/>
      <c r="AE196" s="55"/>
      <c r="AF196" s="43"/>
      <c r="AG196" s="47"/>
      <c r="AH196" s="30"/>
      <c r="AI196" s="30"/>
      <c r="AJ196" s="30"/>
      <c r="AK196" s="30"/>
      <c r="AL196" s="13"/>
      <c r="AM196" s="13"/>
      <c r="AN196" s="13"/>
      <c r="AO196" s="13"/>
      <c r="AP196" s="13"/>
      <c r="AQ196" s="14"/>
      <c r="AR196" s="15"/>
    </row>
    <row r="197" spans="1:44" s="17" customFormat="1" ht="30.95" hidden="1" customHeight="1" x14ac:dyDescent="0.2">
      <c r="A197" s="37"/>
      <c r="B197" s="38"/>
      <c r="C197" s="45"/>
      <c r="D197" s="31"/>
      <c r="E197" s="31"/>
      <c r="F197" s="268" t="str">
        <f>IF(D197="","",VLOOKUP(D197,契約台帳!$A$3:$K$4986,6,FALSE)&amp;VLOOKUP(D197,契約台帳!$A$3:$K$4986,7,FALSE)&amp;VLOOKUP(D197,契約台帳!$A$3:$K$4986,8,FALSE)&amp;VLOOKUP(D197,契約台帳!$A$3:$K$4986,9,FALSE)&amp;VLOOKUP(D197,契約台帳!$A$3:$K$4986,11,FALSE))</f>
        <v/>
      </c>
      <c r="G197" s="269" t="str">
        <f>IF(D197="","",VLOOKUP(F197,製品マスタ!$G$5:$H$5002,2,FALSE))</f>
        <v/>
      </c>
      <c r="H197" s="269" t="str">
        <f>IF(D197="","",VLOOKUP(F197,製品マスタ!$G$5:$K$5002,5,FALSE))</f>
        <v/>
      </c>
      <c r="I197" s="270" t="str">
        <f>IF(D197="","",VLOOKUP(F197,製品マスタ!$G$5:$L$5002,6,FALSE))</f>
        <v/>
      </c>
      <c r="J197" s="32"/>
      <c r="K197" s="270" t="str">
        <f>IF(D197="","",VLOOKUP(D197,契約台帳!$A$3:$L$4986,12,FALSE))</f>
        <v/>
      </c>
      <c r="L197" s="270" t="str">
        <f>IF(D197="","",INDEX(製品マスタ!$Q$5:$Q$5002,MATCH(F197&amp;K197,製品マスタ!$AO$5:$AO$5002,0)))</f>
        <v/>
      </c>
      <c r="M197" s="39"/>
      <c r="N197" s="39"/>
      <c r="O197" s="47"/>
      <c r="P197" s="57"/>
      <c r="Q197" s="276" t="str">
        <f>IF(D197="","",IF(J197="リード付け",M197,VLOOKUP(D197,契約台帳!$A$3:$N$4986,14,FALSE)))</f>
        <v/>
      </c>
      <c r="R197" s="277" t="str">
        <f>IF(D197="","",IF(J197="リード付け",M197,VLOOKUP(D197,契約台帳!$A$3:$O$4986,15,FALSE)))</f>
        <v/>
      </c>
      <c r="S197" s="277" t="str">
        <f>IF(D197="","",IF(J197="リード付け",N197,VLOOKUP(D197,契約台帳!$A$3:$P$4986,16,FALSE)))</f>
        <v/>
      </c>
      <c r="T197" s="40"/>
      <c r="U197" s="278" t="str">
        <f ca="1">IF(D197="","",IF(OFFSET(D197,-2,0)=D197,"",VLOOKUP(D197,契約台帳!$A$3:$R$4986,18,FALSE)))</f>
        <v/>
      </c>
      <c r="V197" s="269" t="str">
        <f>IF(J197="巻返し",VLOOKUP(F197&amp;K197&amp;M197,製品マスタ!$M$5:$AD$5002,18,FALSE),IF(J197="リード付け","原反コア",IF(J197="スリット",VLOOKUP(F197&amp;K197&amp;Q197,製品マスタ!$N$5:$AD$5002,17,FALSE),"")))</f>
        <v/>
      </c>
      <c r="W197" s="269" t="str">
        <f>IF(J197="巻返し",VLOOKUP(F197&amp;K197&amp;M197,製品マスタ!$M$5:$AE$5002,19,FALSE),IF(J197="リード付け","-",IF(J197="スリット",VLOOKUP(F197&amp;K197&amp;Q197,製品マスタ!$N$5:$AE$5002,18,FALSE),"")))</f>
        <v/>
      </c>
      <c r="X197" s="275" t="str">
        <f>IF(D197="","",VLOOKUP(D197,契約台帳!$A$3:$Q$4986,17,FALSE))</f>
        <v/>
      </c>
      <c r="Y197" s="269" t="str">
        <f>IF(D197="","",VLOOKUP(D197,契約台帳!$A$3:$E$4986,5,FALSE))</f>
        <v/>
      </c>
      <c r="Z197" s="57"/>
      <c r="AA197" s="207" t="str">
        <f>IFERROR(VLOOKUP(F197&amp;K197&amp;M197,製品マスタ!$M$5:$AM$5002,27,FALSE),"")</f>
        <v/>
      </c>
      <c r="AB197" s="33"/>
      <c r="AC197" s="189"/>
      <c r="AD197" s="54"/>
      <c r="AE197" s="55"/>
      <c r="AF197" s="43"/>
      <c r="AG197" s="47"/>
      <c r="AH197" s="30"/>
      <c r="AI197" s="30"/>
      <c r="AJ197" s="30"/>
      <c r="AK197" s="30"/>
      <c r="AL197" s="13"/>
      <c r="AM197" s="13"/>
      <c r="AN197" s="13"/>
      <c r="AO197" s="13"/>
      <c r="AP197" s="13"/>
      <c r="AQ197" s="14"/>
      <c r="AR197" s="15"/>
    </row>
    <row r="198" spans="1:44" s="17" customFormat="1" ht="30.95" hidden="1" customHeight="1" x14ac:dyDescent="0.2">
      <c r="A198" s="37" t="s">
        <v>892</v>
      </c>
      <c r="B198" s="38" t="s">
        <v>882</v>
      </c>
      <c r="C198" s="45"/>
      <c r="D198" s="31"/>
      <c r="E198" s="31"/>
      <c r="F198" s="268" t="str">
        <f>IF(D198="","",VLOOKUP(D198,契約台帳!$A$3:$K$4986,6,FALSE)&amp;VLOOKUP(D198,契約台帳!$A$3:$K$4986,7,FALSE)&amp;VLOOKUP(D198,契約台帳!$A$3:$K$4986,8,FALSE)&amp;VLOOKUP(D198,契約台帳!$A$3:$K$4986,9,FALSE)&amp;VLOOKUP(D198,契約台帳!$A$3:$K$4986,11,FALSE))</f>
        <v/>
      </c>
      <c r="G198" s="269" t="str">
        <f>IF(D198="","",VLOOKUP(F198,製品マスタ!$G$5:$H$5002,2,FALSE))</f>
        <v/>
      </c>
      <c r="H198" s="269" t="str">
        <f>IF(D198="","",VLOOKUP(F198,製品マスタ!$G$5:$K$5002,5,FALSE))</f>
        <v/>
      </c>
      <c r="I198" s="301"/>
      <c r="J198" s="32" t="s">
        <v>906</v>
      </c>
      <c r="K198" s="270" t="str">
        <f>IF(D198="","",VLOOKUP(D198,契約台帳!$A$3:$L$4986,12,FALSE))</f>
        <v/>
      </c>
      <c r="L198" s="270" t="str">
        <f>IF(D198="","",INDEX(製品マスタ!$Q$5:$Q$5002,MATCH(F198&amp;K198,製品マスタ!$AO$5:$AO$5002,0)))</f>
        <v/>
      </c>
      <c r="M198" s="39"/>
      <c r="N198" s="39"/>
      <c r="O198" s="47"/>
      <c r="P198" s="57"/>
      <c r="Q198" s="276" t="str">
        <f>IF(D198="","",IF(J198="リード付け",M198,VLOOKUP(D198,契約台帳!$A$3:$N$4986,14,FALSE)))</f>
        <v/>
      </c>
      <c r="R198" s="277" t="str">
        <f>IF(D198="","",IF(J198="リード付け",M198,VLOOKUP(D198,契約台帳!$A$3:$O$4986,15,FALSE)))</f>
        <v/>
      </c>
      <c r="S198" s="277" t="str">
        <f>IF(D198="","",IF(J198="リード付け",N198,VLOOKUP(D198,契約台帳!$A$3:$P$4986,16,FALSE)))</f>
        <v/>
      </c>
      <c r="T198" s="40"/>
      <c r="U198" s="278" t="str">
        <f ca="1">IF(D198="","",IF(OFFSET(D198,-2,0)=D198,"",VLOOKUP(D198,契約台帳!$A$3:$R$4986,18,FALSE)))</f>
        <v/>
      </c>
      <c r="V198" s="269" t="str">
        <f>IF(J198="巻返し",VLOOKUP(F198&amp;K198&amp;M198,製品マスタ!$M$5:$AD$5002,18,FALSE),IF(J198="リード付け","原反コア",IF(J198="スリット",VLOOKUP(F198&amp;K198&amp;Q198,製品マスタ!$N$5:$AD$5002,17,FALSE),"")))</f>
        <v/>
      </c>
      <c r="W198" s="269" t="str">
        <f>IF(J198="巻返し",VLOOKUP(F198&amp;K198&amp;M198,製品マスタ!$M$5:$AE$5002,19,FALSE),IF(J198="リード付け","-",IF(J198="スリット",VLOOKUP(F198&amp;K198&amp;Q198,製品マスタ!$N$5:$AE$5002,18,FALSE),"")))</f>
        <v/>
      </c>
      <c r="X198" s="275" t="str">
        <f>IF(D198="","",VLOOKUP(D198,契約台帳!$A$3:$Q$4986,17,FALSE))</f>
        <v/>
      </c>
      <c r="Y198" s="269" t="str">
        <f>IF(D198="","",VLOOKUP(D198,契約台帳!$A$3:$E$4986,5,FALSE))</f>
        <v/>
      </c>
      <c r="Z198" s="57"/>
      <c r="AA198" s="207" t="str">
        <f>IFERROR(VLOOKUP(F198&amp;K198&amp;M198,製品マスタ!$M$5:$AM$5002,27,FALSE),"")</f>
        <v/>
      </c>
      <c r="AB198" s="33"/>
      <c r="AC198" s="189"/>
      <c r="AD198" s="54"/>
      <c r="AE198" s="55"/>
      <c r="AF198" s="43"/>
      <c r="AG198" s="47"/>
      <c r="AH198" s="30"/>
      <c r="AI198" s="30"/>
      <c r="AJ198" s="30"/>
      <c r="AK198" s="30"/>
      <c r="AL198" s="13"/>
      <c r="AM198" s="13"/>
      <c r="AN198" s="13"/>
      <c r="AO198" s="13"/>
      <c r="AP198" s="13"/>
      <c r="AQ198" s="14"/>
      <c r="AR198" s="15"/>
    </row>
    <row r="199" spans="1:44" s="17" customFormat="1" ht="30.95" hidden="1" customHeight="1" x14ac:dyDescent="0.2">
      <c r="A199" s="37"/>
      <c r="B199" s="38"/>
      <c r="C199" s="45"/>
      <c r="D199" s="31"/>
      <c r="E199" s="31"/>
      <c r="F199" s="268" t="str">
        <f>IF(D199="","",VLOOKUP(D199,契約台帳!$A$3:$K$4986,6,FALSE)&amp;VLOOKUP(D199,契約台帳!$A$3:$K$4986,7,FALSE)&amp;VLOOKUP(D199,契約台帳!$A$3:$K$4986,8,FALSE)&amp;VLOOKUP(D199,契約台帳!$A$3:$K$4986,9,FALSE)&amp;VLOOKUP(D199,契約台帳!$A$3:$K$4986,11,FALSE))</f>
        <v/>
      </c>
      <c r="G199" s="269" t="str">
        <f>IF(D199="","",VLOOKUP(F199,製品マスタ!$G$5:$H$5002,2,FALSE))</f>
        <v/>
      </c>
      <c r="H199" s="269" t="str">
        <f>IF(D199="","",VLOOKUP(F199,製品マスタ!$G$5:$K$5002,5,FALSE))</f>
        <v/>
      </c>
      <c r="I199" s="270" t="str">
        <f>IF(D199="","",VLOOKUP(F199,製品マスタ!$G$5:$L$5002,6,FALSE))</f>
        <v/>
      </c>
      <c r="J199" s="32"/>
      <c r="K199" s="270" t="str">
        <f>IF(D199="","",VLOOKUP(D199,契約台帳!$A$3:$L$4986,12,FALSE))</f>
        <v/>
      </c>
      <c r="L199" s="270" t="str">
        <f>IF(D199="","",INDEX(製品マスタ!$Q$5:$Q$5002,MATCH(F199&amp;K199,製品マスタ!$AO$5:$AO$5002,0)))</f>
        <v/>
      </c>
      <c r="M199" s="39"/>
      <c r="N199" s="39"/>
      <c r="O199" s="47"/>
      <c r="P199" s="57"/>
      <c r="Q199" s="276" t="str">
        <f>IF(D199="","",IF(J199="リード付け",M199,VLOOKUP(D199,契約台帳!$A$3:$N$4986,14,FALSE)))</f>
        <v/>
      </c>
      <c r="R199" s="277" t="str">
        <f>IF(D199="","",IF(J199="リード付け",M199,VLOOKUP(D199,契約台帳!$A$3:$O$4986,15,FALSE)))</f>
        <v/>
      </c>
      <c r="S199" s="277" t="str">
        <f>IF(D199="","",IF(J199="リード付け",N199,VLOOKUP(D199,契約台帳!$A$3:$P$4986,16,FALSE)))</f>
        <v/>
      </c>
      <c r="T199" s="40"/>
      <c r="U199" s="278" t="str">
        <f ca="1">IF(D199="","",IF(OFFSET(D199,-2,0)=D199,"",VLOOKUP(D199,契約台帳!$A$3:$R$4986,18,FALSE)))</f>
        <v/>
      </c>
      <c r="V199" s="269" t="str">
        <f>IF(J199="巻返し",VLOOKUP(F199&amp;K199&amp;M199,製品マスタ!$M$5:$AD$5002,18,FALSE),IF(J199="リード付け","原反コア",IF(J199="スリット",VLOOKUP(F199&amp;K199&amp;Q199,製品マスタ!$N$5:$AD$5002,17,FALSE),"")))</f>
        <v/>
      </c>
      <c r="W199" s="269" t="str">
        <f>IF(J199="巻返し",VLOOKUP(F199&amp;K199&amp;M199,製品マスタ!$M$5:$AE$5002,19,FALSE),IF(J199="リード付け","-",IF(J199="スリット",VLOOKUP(F199&amp;K199&amp;Q199,製品マスタ!$N$5:$AE$5002,18,FALSE),"")))</f>
        <v/>
      </c>
      <c r="X199" s="275" t="str">
        <f>IF(D199="","",VLOOKUP(D199,契約台帳!$A$3:$Q$4986,17,FALSE))</f>
        <v/>
      </c>
      <c r="Y199" s="269" t="str">
        <f>IF(D199="","",VLOOKUP(D199,契約台帳!$A$3:$E$4986,5,FALSE))</f>
        <v/>
      </c>
      <c r="Z199" s="57"/>
      <c r="AA199" s="207" t="str">
        <f>IFERROR(VLOOKUP(F199&amp;K199&amp;M199,製品マスタ!$M$5:$AM$5002,27,FALSE),"")</f>
        <v/>
      </c>
      <c r="AB199" s="33"/>
      <c r="AC199" s="189"/>
      <c r="AD199" s="54"/>
      <c r="AE199" s="55"/>
      <c r="AF199" s="43"/>
      <c r="AG199" s="47"/>
      <c r="AH199" s="30"/>
      <c r="AI199" s="30"/>
      <c r="AJ199" s="30"/>
      <c r="AK199" s="30"/>
      <c r="AL199" s="13"/>
      <c r="AM199" s="13"/>
      <c r="AN199" s="13"/>
      <c r="AO199" s="13"/>
      <c r="AP199" s="13"/>
      <c r="AQ199" s="14"/>
      <c r="AR199" s="15"/>
    </row>
    <row r="200" spans="1:44" s="17" customFormat="1" ht="30.95" hidden="1" customHeight="1" x14ac:dyDescent="0.2">
      <c r="A200" s="37" t="s">
        <v>933</v>
      </c>
      <c r="B200" s="38" t="s">
        <v>934</v>
      </c>
      <c r="C200" s="45"/>
      <c r="D200" s="31">
        <v>3700955</v>
      </c>
      <c r="E200" s="31">
        <v>4170102</v>
      </c>
      <c r="F200" s="268" t="str">
        <f>IF(D200="","",VLOOKUP(D200,契約台帳!$A$3:$K$4986,6,FALSE)&amp;VLOOKUP(D200,契約台帳!$A$3:$K$4986,7,FALSE)&amp;VLOOKUP(D200,契約台帳!$A$3:$K$4986,8,FALSE)&amp;VLOOKUP(D200,契約台帳!$A$3:$K$4986,9,FALSE)&amp;VLOOKUP(D200,契約台帳!$A$3:$K$4986,11,FALSE))</f>
        <v>3SNMLBMNGTBF</v>
      </c>
      <c r="G200" s="269" t="str">
        <f>IF(D200="","",VLOOKUP(F200,製品マスタ!$G$5:$H$5002,2,FALSE))</f>
        <v>S</v>
      </c>
      <c r="H200" s="269" t="str">
        <f>IF(D200="","",VLOOKUP(F200,製品マスタ!$G$5:$K$5002,5,FALSE))</f>
        <v>MNGTBF</v>
      </c>
      <c r="I200" s="270" t="str">
        <f>IF(D200="","",VLOOKUP(F200,製品マスタ!$G$5:$L$5002,6,FALSE))</f>
        <v>メタルミー　ネーマー　銀艶　Ｂ</v>
      </c>
      <c r="J200" s="32" t="s">
        <v>464</v>
      </c>
      <c r="K200" s="270">
        <f>IF(D200="","",VLOOKUP(D200,契約台帳!$A$3:$L$4986,12,FALSE))</f>
        <v>25</v>
      </c>
      <c r="L200" s="270" t="str">
        <f>IF(D200="","",INDEX(製品マスタ!$Q$5:$Q$5002,MATCH(F200&amp;K200,製品マスタ!$AO$5:$AO$5002,0)))</f>
        <v>T62M</v>
      </c>
      <c r="M200" s="39">
        <v>1005</v>
      </c>
      <c r="N200" s="39">
        <v>12100</v>
      </c>
      <c r="O200" s="47">
        <v>5</v>
      </c>
      <c r="P200" s="213">
        <v>44986</v>
      </c>
      <c r="Q200" s="276">
        <f>IF(D200="","",IF(J200="リード付け",M200,VLOOKUP(D200,契約台帳!$A$3:$N$4986,14,FALSE)))</f>
        <v>1005</v>
      </c>
      <c r="R200" s="277">
        <f>IF(D200="","",IF(J200="リード付け",M200,VLOOKUP(D200,契約台帳!$A$3:$O$4986,15,FALSE)))</f>
        <v>1005</v>
      </c>
      <c r="S200" s="277">
        <f>IF(D200="","",IF(J200="リード付け",N200,VLOOKUP(D200,契約台帳!$A$3:$P$4986,16,FALSE)))</f>
        <v>12100</v>
      </c>
      <c r="T200" s="40">
        <v>5</v>
      </c>
      <c r="U200" s="278">
        <f ca="1">IF(D200="","",IF(OFFSET(D200,-2,0)=D200,"",VLOOKUP(D200,契約台帳!$A$3:$R$4986,18,FALSE)))</f>
        <v>15</v>
      </c>
      <c r="V200" s="269" t="str">
        <f>IF(J200="巻返し",VLOOKUP(F200&amp;K200&amp;M200,製品マスタ!$M$5:$AD$5002,18,FALSE),IF(J200="リード付け","原反コア",IF(J200="スリット",VLOOKUP(F200&amp;K200&amp;Q200,製品マスタ!$N$5:$AD$5002,17,FALSE),"")))</f>
        <v>原反コア</v>
      </c>
      <c r="W200" s="269" t="str">
        <f>IF(J200="巻返し",VLOOKUP(F200&amp;K200&amp;M200,製品マスタ!$M$5:$AE$5002,19,FALSE),IF(J200="リード付け","-",IF(J200="スリット",VLOOKUP(F200&amp;K200&amp;Q200,製品マスタ!$N$5:$AE$5002,18,FALSE),"")))</f>
        <v>-</v>
      </c>
      <c r="X200" s="275">
        <f>IF(D200="","",VLOOKUP(D200,契約台帳!$A$3:$Q$4986,17,FALSE))</f>
        <v>2</v>
      </c>
      <c r="Y200" s="269" t="str">
        <f>IF(D200="","",VLOOKUP(D200,契約台帳!$A$3:$E$4986,5,FALSE))</f>
        <v>リンテック㈱</v>
      </c>
      <c r="Z200" s="57"/>
      <c r="AA200" s="207">
        <f>IFERROR(VLOOKUP(F200&amp;K200&amp;M200,製品マスタ!$M$5:$AM$5002,27,FALSE),"")</f>
        <v>0</v>
      </c>
      <c r="AB200" s="33"/>
      <c r="AC200" s="189"/>
      <c r="AD200" s="54"/>
      <c r="AE200" s="55"/>
      <c r="AF200" s="43"/>
      <c r="AG200" s="47"/>
      <c r="AH200" s="30"/>
      <c r="AI200" s="30"/>
      <c r="AJ200" s="30"/>
      <c r="AK200" s="30"/>
      <c r="AL200" s="13"/>
      <c r="AM200" s="13"/>
      <c r="AN200" s="13"/>
      <c r="AO200" s="13"/>
      <c r="AP200" s="13"/>
      <c r="AQ200" s="14"/>
      <c r="AR200" s="15"/>
    </row>
    <row r="201" spans="1:44" s="17" customFormat="1" ht="30.95" hidden="1" customHeight="1" x14ac:dyDescent="0.2">
      <c r="A201" s="37"/>
      <c r="B201" s="38"/>
      <c r="C201" s="45"/>
      <c r="D201" s="31"/>
      <c r="E201" s="31"/>
      <c r="F201" s="268" t="str">
        <f>IF(D201="","",VLOOKUP(D201,契約台帳!$A$3:$K$4986,6,FALSE)&amp;VLOOKUP(D201,契約台帳!$A$3:$K$4986,7,FALSE)&amp;VLOOKUP(D201,契約台帳!$A$3:$K$4986,8,FALSE)&amp;VLOOKUP(D201,契約台帳!$A$3:$K$4986,9,FALSE)&amp;VLOOKUP(D201,契約台帳!$A$3:$K$4986,11,FALSE))</f>
        <v/>
      </c>
      <c r="G201" s="269" t="str">
        <f>IF(D201="","",VLOOKUP(F201,製品マスタ!$G$5:$H$5002,2,FALSE))</f>
        <v/>
      </c>
      <c r="H201" s="269" t="str">
        <f>IF(D201="","",VLOOKUP(F201,製品マスタ!$G$5:$K$5002,5,FALSE))</f>
        <v/>
      </c>
      <c r="I201" s="270" t="str">
        <f>IF(D201="","",VLOOKUP(F201,製品マスタ!$G$5:$L$5002,6,FALSE))</f>
        <v/>
      </c>
      <c r="J201" s="32"/>
      <c r="K201" s="270" t="str">
        <f>IF(D201="","",VLOOKUP(D201,契約台帳!$A$3:$L$4986,12,FALSE))</f>
        <v/>
      </c>
      <c r="L201" s="270" t="str">
        <f>IF(D201="","",INDEX(製品マスタ!$Q$5:$Q$5002,MATCH(F201&amp;K201,製品マスタ!$AO$5:$AO$5002,0)))</f>
        <v/>
      </c>
      <c r="M201" s="39"/>
      <c r="N201" s="39"/>
      <c r="O201" s="47"/>
      <c r="P201" s="57"/>
      <c r="Q201" s="276" t="str">
        <f>IF(D201="","",IF(J201="リード付け",M201,VLOOKUP(D201,契約台帳!$A$3:$N$4986,14,FALSE)))</f>
        <v/>
      </c>
      <c r="R201" s="277" t="str">
        <f>IF(D201="","",IF(J201="リード付け",M201,VLOOKUP(D201,契約台帳!$A$3:$O$4986,15,FALSE)))</f>
        <v/>
      </c>
      <c r="S201" s="277" t="str">
        <f>IF(D201="","",IF(J201="リード付け",N201,VLOOKUP(D201,契約台帳!$A$3:$P$4986,16,FALSE)))</f>
        <v/>
      </c>
      <c r="T201" s="40"/>
      <c r="U201" s="278" t="str">
        <f ca="1">IF(D201="","",IF(OFFSET(D201,-2,0)=D201,"",VLOOKUP(D201,契約台帳!$A$3:$R$4986,18,FALSE)))</f>
        <v/>
      </c>
      <c r="V201" s="269" t="str">
        <f>IF(J201="巻返し",VLOOKUP(F201&amp;K201&amp;M201,製品マスタ!$M$5:$AD$5002,18,FALSE),IF(J201="リード付け","原反コア",IF(J201="スリット",VLOOKUP(F201&amp;K201&amp;Q201,製品マスタ!$N$5:$AD$5002,17,FALSE),"")))</f>
        <v/>
      </c>
      <c r="W201" s="269" t="str">
        <f>IF(J201="巻返し",VLOOKUP(F201&amp;K201&amp;M201,製品マスタ!$M$5:$AE$5002,19,FALSE),IF(J201="リード付け","-",IF(J201="スリット",VLOOKUP(F201&amp;K201&amp;Q201,製品マスタ!$N$5:$AE$5002,18,FALSE),"")))</f>
        <v/>
      </c>
      <c r="X201" s="275" t="str">
        <f>IF(D201="","",VLOOKUP(D201,契約台帳!$A$3:$Q$4986,17,FALSE))</f>
        <v/>
      </c>
      <c r="Y201" s="269" t="str">
        <f>IF(D201="","",VLOOKUP(D201,契約台帳!$A$3:$E$4986,5,FALSE))</f>
        <v/>
      </c>
      <c r="Z201" s="57"/>
      <c r="AA201" s="207" t="str">
        <f>IFERROR(VLOOKUP(F201&amp;K201&amp;M201,製品マスタ!$M$5:$AM$5002,27,FALSE),"")</f>
        <v/>
      </c>
      <c r="AB201" s="33"/>
      <c r="AC201" s="189"/>
      <c r="AD201" s="54"/>
      <c r="AE201" s="55"/>
      <c r="AF201" s="43"/>
      <c r="AG201" s="47"/>
      <c r="AH201" s="30"/>
      <c r="AI201" s="30"/>
      <c r="AJ201" s="30"/>
      <c r="AK201" s="30"/>
      <c r="AL201" s="13"/>
      <c r="AM201" s="13"/>
      <c r="AN201" s="13"/>
      <c r="AO201" s="13"/>
      <c r="AP201" s="13"/>
      <c r="AQ201" s="14"/>
      <c r="AR201" s="15"/>
    </row>
    <row r="202" spans="1:44" s="17" customFormat="1" ht="30.95" hidden="1" customHeight="1" x14ac:dyDescent="0.2">
      <c r="A202" s="37" t="s">
        <v>936</v>
      </c>
      <c r="B202" s="38" t="s">
        <v>937</v>
      </c>
      <c r="C202" s="45"/>
      <c r="D202" s="31"/>
      <c r="E202" s="31"/>
      <c r="F202" s="268" t="str">
        <f>IF(D202="","",VLOOKUP(D202,契約台帳!$A$3:$K$4986,6,FALSE)&amp;VLOOKUP(D202,契約台帳!$A$3:$K$4986,7,FALSE)&amp;VLOOKUP(D202,契約台帳!$A$3:$K$4986,8,FALSE)&amp;VLOOKUP(D202,契約台帳!$A$3:$K$4986,9,FALSE)&amp;VLOOKUP(D202,契約台帳!$A$3:$K$4986,11,FALSE))</f>
        <v/>
      </c>
      <c r="G202" s="269" t="str">
        <f>IF(D202="","",VLOOKUP(F202,製品マスタ!$G$5:$H$5002,2,FALSE))</f>
        <v/>
      </c>
      <c r="H202" s="269" t="str">
        <f>IF(D202="","",VLOOKUP(F202,製品マスタ!$G$5:$K$5002,5,FALSE))</f>
        <v/>
      </c>
      <c r="I202" s="270" t="str">
        <f>IF(D202="","",VLOOKUP(F202,製品マスタ!$G$5:$L$5002,6,FALSE))</f>
        <v/>
      </c>
      <c r="J202" s="32"/>
      <c r="K202" s="270" t="str">
        <f>IF(D202="","",VLOOKUP(D202,契約台帳!$A$3:$L$4986,12,FALSE))</f>
        <v/>
      </c>
      <c r="L202" s="270" t="str">
        <f>IF(D202="","",INDEX(製品マスタ!$Q$5:$Q$5002,MATCH(F202&amp;K202,製品マスタ!$AO$5:$AO$5002,0)))</f>
        <v/>
      </c>
      <c r="M202" s="39"/>
      <c r="N202" s="39"/>
      <c r="O202" s="47"/>
      <c r="P202" s="57"/>
      <c r="Q202" s="276" t="str">
        <f>IF(D202="","",IF(J202="リード付け",M202,VLOOKUP(D202,契約台帳!$A$3:$N$4986,14,FALSE)))</f>
        <v/>
      </c>
      <c r="R202" s="277" t="str">
        <f>IF(D202="","",IF(J202="リード付け",M202,VLOOKUP(D202,契約台帳!$A$3:$O$4986,15,FALSE)))</f>
        <v/>
      </c>
      <c r="S202" s="277" t="str">
        <f>IF(D202="","",IF(J202="リード付け",N202,VLOOKUP(D202,契約台帳!$A$3:$P$4986,16,FALSE)))</f>
        <v/>
      </c>
      <c r="T202" s="40"/>
      <c r="U202" s="278" t="str">
        <f ca="1">IF(D202="","",IF(OFFSET(D202,-2,0)=D202,"",VLOOKUP(D202,契約台帳!$A$3:$R$4986,18,FALSE)))</f>
        <v/>
      </c>
      <c r="V202" s="269" t="str">
        <f>IF(J202="巻返し",VLOOKUP(F202&amp;K202&amp;M202,製品マスタ!$M$5:$AD$5002,18,FALSE),IF(J202="リード付け","原反コア",IF(J202="スリット",VLOOKUP(F202&amp;K202&amp;Q202,製品マスタ!$N$5:$AD$5002,17,FALSE),"")))</f>
        <v/>
      </c>
      <c r="W202" s="269" t="str">
        <f>IF(J202="巻返し",VLOOKUP(F202&amp;K202&amp;M202,製品マスタ!$M$5:$AE$5002,19,FALSE),IF(J202="リード付け","-",IF(J202="スリット",VLOOKUP(F202&amp;K202&amp;Q202,製品マスタ!$N$5:$AE$5002,18,FALSE),"")))</f>
        <v/>
      </c>
      <c r="X202" s="275" t="str">
        <f>IF(D202="","",VLOOKUP(D202,契約台帳!$A$3:$Q$4986,17,FALSE))</f>
        <v/>
      </c>
      <c r="Y202" s="269" t="str">
        <f>IF(D202="","",VLOOKUP(D202,契約台帳!$A$3:$E$4986,5,FALSE))</f>
        <v/>
      </c>
      <c r="Z202" s="57"/>
      <c r="AA202" s="207" t="str">
        <f>IFERROR(VLOOKUP(F202&amp;K202&amp;M202,製品マスタ!$M$5:$AM$5002,27,FALSE),"")</f>
        <v/>
      </c>
      <c r="AB202" s="33"/>
      <c r="AC202" s="189"/>
      <c r="AD202" s="54"/>
      <c r="AE202" s="55"/>
      <c r="AF202" s="43"/>
      <c r="AG202" s="47"/>
      <c r="AH202" s="30"/>
      <c r="AI202" s="30"/>
      <c r="AJ202" s="30"/>
      <c r="AK202" s="30"/>
      <c r="AL202" s="13"/>
      <c r="AM202" s="13"/>
      <c r="AN202" s="13"/>
      <c r="AO202" s="13"/>
      <c r="AP202" s="13"/>
      <c r="AQ202" s="14"/>
      <c r="AR202" s="15"/>
    </row>
    <row r="203" spans="1:44" s="17" customFormat="1" ht="30.95" hidden="1" customHeight="1" x14ac:dyDescent="0.2">
      <c r="A203" s="37"/>
      <c r="B203" s="38"/>
      <c r="C203" s="45"/>
      <c r="D203" s="31"/>
      <c r="E203" s="31"/>
      <c r="F203" s="268" t="str">
        <f>IF(D203="","",VLOOKUP(D203,契約台帳!$A$3:$K$4986,6,FALSE)&amp;VLOOKUP(D203,契約台帳!$A$3:$K$4986,7,FALSE)&amp;VLOOKUP(D203,契約台帳!$A$3:$K$4986,8,FALSE)&amp;VLOOKUP(D203,契約台帳!$A$3:$K$4986,9,FALSE)&amp;VLOOKUP(D203,契約台帳!$A$3:$K$4986,11,FALSE))</f>
        <v/>
      </c>
      <c r="G203" s="269" t="str">
        <f>IF(D203="","",VLOOKUP(F203,製品マスタ!$G$5:$H$5002,2,FALSE))</f>
        <v/>
      </c>
      <c r="H203" s="269" t="str">
        <f>IF(D203="","",VLOOKUP(F203,製品マスタ!$G$5:$K$5002,5,FALSE))</f>
        <v/>
      </c>
      <c r="I203" s="270" t="str">
        <f>IF(D203="","",VLOOKUP(F203,製品マスタ!$G$5:$L$5002,6,FALSE))</f>
        <v/>
      </c>
      <c r="J203" s="32"/>
      <c r="K203" s="270" t="str">
        <f>IF(D203="","",VLOOKUP(D203,契約台帳!$A$3:$L$4986,12,FALSE))</f>
        <v/>
      </c>
      <c r="L203" s="270" t="str">
        <f>IF(D203="","",INDEX(製品マスタ!$Q$5:$Q$5002,MATCH(F203&amp;K203,製品マスタ!$AO$5:$AO$5002,0)))</f>
        <v/>
      </c>
      <c r="M203" s="39"/>
      <c r="N203" s="39"/>
      <c r="O203" s="47"/>
      <c r="P203" s="57"/>
      <c r="Q203" s="276" t="str">
        <f>IF(D203="","",IF(J203="リード付け",M203,VLOOKUP(D203,契約台帳!$A$3:$N$4986,14,FALSE)))</f>
        <v/>
      </c>
      <c r="R203" s="277" t="str">
        <f>IF(D203="","",IF(J203="リード付け",M203,VLOOKUP(D203,契約台帳!$A$3:$O$4986,15,FALSE)))</f>
        <v/>
      </c>
      <c r="S203" s="277" t="str">
        <f>IF(D203="","",IF(J203="リード付け",N203,VLOOKUP(D203,契約台帳!$A$3:$P$4986,16,FALSE)))</f>
        <v/>
      </c>
      <c r="T203" s="40"/>
      <c r="U203" s="278" t="str">
        <f ca="1">IF(D203="","",IF(OFFSET(D203,-2,0)=D203,"",VLOOKUP(D203,契約台帳!$A$3:$R$4986,18,FALSE)))</f>
        <v/>
      </c>
      <c r="V203" s="269" t="str">
        <f>IF(J203="巻返し",VLOOKUP(F203&amp;K203&amp;M203,製品マスタ!$M$5:$AD$5002,18,FALSE),IF(J203="リード付け","原反コア",IF(J203="スリット",VLOOKUP(F203&amp;K203&amp;Q203,製品マスタ!$N$5:$AD$5002,17,FALSE),"")))</f>
        <v/>
      </c>
      <c r="W203" s="269" t="str">
        <f>IF(J203="巻返し",VLOOKUP(F203&amp;K203&amp;M203,製品マスタ!$M$5:$AE$5002,19,FALSE),IF(J203="リード付け","-",IF(J203="スリット",VLOOKUP(F203&amp;K203&amp;Q203,製品マスタ!$N$5:$AE$5002,18,FALSE),"")))</f>
        <v/>
      </c>
      <c r="X203" s="275" t="str">
        <f>IF(D203="","",VLOOKUP(D203,契約台帳!$A$3:$Q$4986,17,FALSE))</f>
        <v/>
      </c>
      <c r="Y203" s="269" t="str">
        <f>IF(D203="","",VLOOKUP(D203,契約台帳!$A$3:$E$4986,5,FALSE))</f>
        <v/>
      </c>
      <c r="Z203" s="57"/>
      <c r="AA203" s="207" t="str">
        <f>IFERROR(VLOOKUP(F203&amp;K203&amp;M203,製品マスタ!$M$5:$AM$5002,27,FALSE),"")</f>
        <v/>
      </c>
      <c r="AB203" s="33"/>
      <c r="AC203" s="189"/>
      <c r="AD203" s="54"/>
      <c r="AE203" s="55"/>
      <c r="AF203" s="43"/>
      <c r="AG203" s="47"/>
      <c r="AH203" s="30"/>
      <c r="AI203" s="30"/>
      <c r="AJ203" s="30"/>
      <c r="AK203" s="30"/>
      <c r="AL203" s="13"/>
      <c r="AM203" s="13"/>
      <c r="AN203" s="13"/>
      <c r="AO203" s="13"/>
      <c r="AP203" s="13"/>
      <c r="AQ203" s="14"/>
      <c r="AR203" s="15"/>
    </row>
    <row r="204" spans="1:44" s="17" customFormat="1" ht="30.95" hidden="1" customHeight="1" x14ac:dyDescent="0.2">
      <c r="A204" s="37" t="s">
        <v>938</v>
      </c>
      <c r="B204" s="38" t="s">
        <v>939</v>
      </c>
      <c r="C204" s="45"/>
      <c r="D204" s="31"/>
      <c r="E204" s="31"/>
      <c r="F204" s="268" t="str">
        <f>IF(D204="","",VLOOKUP(D204,契約台帳!$A$3:$K$4986,6,FALSE)&amp;VLOOKUP(D204,契約台帳!$A$3:$K$4986,7,FALSE)&amp;VLOOKUP(D204,契約台帳!$A$3:$K$4986,8,FALSE)&amp;VLOOKUP(D204,契約台帳!$A$3:$K$4986,9,FALSE)&amp;VLOOKUP(D204,契約台帳!$A$3:$K$4986,11,FALSE))</f>
        <v/>
      </c>
      <c r="G204" s="269" t="str">
        <f>IF(D204="","",VLOOKUP(F204,製品マスタ!$G$5:$H$5002,2,FALSE))</f>
        <v/>
      </c>
      <c r="H204" s="269" t="str">
        <f>IF(D204="","",VLOOKUP(F204,製品マスタ!$G$5:$K$5002,5,FALSE))</f>
        <v/>
      </c>
      <c r="I204" s="270" t="str">
        <f>IF(D204="","",VLOOKUP(F204,製品マスタ!$G$5:$L$5002,6,FALSE))</f>
        <v/>
      </c>
      <c r="J204" s="32"/>
      <c r="K204" s="270" t="str">
        <f>IF(D204="","",VLOOKUP(D204,契約台帳!$A$3:$L$4986,12,FALSE))</f>
        <v/>
      </c>
      <c r="L204" s="270" t="str">
        <f>IF(D204="","",INDEX(製品マスタ!$Q$5:$Q$5002,MATCH(F204&amp;K204,製品マスタ!$AO$5:$AO$5002,0)))</f>
        <v/>
      </c>
      <c r="M204" s="39"/>
      <c r="N204" s="39"/>
      <c r="O204" s="47"/>
      <c r="P204" s="57"/>
      <c r="Q204" s="276" t="str">
        <f>IF(D204="","",IF(J204="リード付け",M204,VLOOKUP(D204,契約台帳!$A$3:$N$4986,14,FALSE)))</f>
        <v/>
      </c>
      <c r="R204" s="277" t="str">
        <f>IF(D204="","",IF(J204="リード付け",M204,VLOOKUP(D204,契約台帳!$A$3:$O$4986,15,FALSE)))</f>
        <v/>
      </c>
      <c r="S204" s="277" t="str">
        <f>IF(D204="","",IF(J204="リード付け",N204,VLOOKUP(D204,契約台帳!$A$3:$P$4986,16,FALSE)))</f>
        <v/>
      </c>
      <c r="T204" s="40"/>
      <c r="U204" s="278" t="str">
        <f ca="1">IF(D204="","",IF(OFFSET(D204,-2,0)=D204,"",VLOOKUP(D204,契約台帳!$A$3:$R$4986,18,FALSE)))</f>
        <v/>
      </c>
      <c r="V204" s="269" t="str">
        <f>IF(J204="巻返し",VLOOKUP(F204&amp;K204&amp;M204,製品マスタ!$M$5:$AD$5002,18,FALSE),IF(J204="リード付け","原反コア",IF(J204="スリット",VLOOKUP(F204&amp;K204&amp;Q204,製品マスタ!$N$5:$AD$5002,17,FALSE),"")))</f>
        <v/>
      </c>
      <c r="W204" s="269" t="str">
        <f>IF(J204="巻返し",VLOOKUP(F204&amp;K204&amp;M204,製品マスタ!$M$5:$AE$5002,19,FALSE),IF(J204="リード付け","-",IF(J204="スリット",VLOOKUP(F204&amp;K204&amp;Q204,製品マスタ!$N$5:$AE$5002,18,FALSE),"")))</f>
        <v/>
      </c>
      <c r="X204" s="275" t="str">
        <f>IF(D204="","",VLOOKUP(D204,契約台帳!$A$3:$Q$4986,17,FALSE))</f>
        <v/>
      </c>
      <c r="Y204" s="269" t="str">
        <f>IF(D204="","",VLOOKUP(D204,契約台帳!$A$3:$E$4986,5,FALSE))</f>
        <v/>
      </c>
      <c r="Z204" s="57"/>
      <c r="AA204" s="207" t="str">
        <f>IFERROR(VLOOKUP(F204&amp;K204&amp;M204,製品マスタ!$M$5:$AM$5002,27,FALSE),"")</f>
        <v/>
      </c>
      <c r="AB204" s="33"/>
      <c r="AC204" s="189"/>
      <c r="AD204" s="54"/>
      <c r="AE204" s="55"/>
      <c r="AF204" s="43"/>
      <c r="AG204" s="47"/>
      <c r="AH204" s="30"/>
      <c r="AI204" s="30"/>
      <c r="AJ204" s="30"/>
      <c r="AK204" s="30"/>
      <c r="AL204" s="13"/>
      <c r="AM204" s="13"/>
      <c r="AN204" s="13"/>
      <c r="AO204" s="13"/>
      <c r="AP204" s="13"/>
      <c r="AQ204" s="14"/>
      <c r="AR204" s="15"/>
    </row>
    <row r="205" spans="1:44" s="17" customFormat="1" ht="30.95" hidden="1" customHeight="1" x14ac:dyDescent="0.2">
      <c r="A205" s="37"/>
      <c r="B205" s="38"/>
      <c r="C205" s="45"/>
      <c r="D205" s="31"/>
      <c r="E205" s="31"/>
      <c r="F205" s="268" t="str">
        <f>IF(D205="","",VLOOKUP(D205,契約台帳!$A$3:$K$4986,6,FALSE)&amp;VLOOKUP(D205,契約台帳!$A$3:$K$4986,7,FALSE)&amp;VLOOKUP(D205,契約台帳!$A$3:$K$4986,8,FALSE)&amp;VLOOKUP(D205,契約台帳!$A$3:$K$4986,9,FALSE)&amp;VLOOKUP(D205,契約台帳!$A$3:$K$4986,11,FALSE))</f>
        <v/>
      </c>
      <c r="G205" s="269" t="str">
        <f>IF(D205="","",VLOOKUP(F205,製品マスタ!$G$5:$H$5002,2,FALSE))</f>
        <v/>
      </c>
      <c r="H205" s="269" t="str">
        <f>IF(D205="","",VLOOKUP(F205,製品マスタ!$G$5:$K$5002,5,FALSE))</f>
        <v/>
      </c>
      <c r="I205" s="270" t="str">
        <f>IF(D205="","",VLOOKUP(F205,製品マスタ!$G$5:$L$5002,6,FALSE))</f>
        <v/>
      </c>
      <c r="J205" s="32"/>
      <c r="K205" s="270" t="str">
        <f>IF(D205="","",VLOOKUP(D205,契約台帳!$A$3:$L$4986,12,FALSE))</f>
        <v/>
      </c>
      <c r="L205" s="270" t="str">
        <f>IF(D205="","",INDEX(製品マスタ!$Q$5:$Q$5002,MATCH(F205&amp;K205,製品マスタ!$AO$5:$AO$5002,0)))</f>
        <v/>
      </c>
      <c r="M205" s="39"/>
      <c r="N205" s="39"/>
      <c r="O205" s="47"/>
      <c r="P205" s="57"/>
      <c r="Q205" s="276" t="str">
        <f>IF(D205="","",IF(J205="リード付け",M205,VLOOKUP(D205,契約台帳!$A$3:$N$4986,14,FALSE)))</f>
        <v/>
      </c>
      <c r="R205" s="277" t="str">
        <f>IF(D205="","",IF(J205="リード付け",M205,VLOOKUP(D205,契約台帳!$A$3:$O$4986,15,FALSE)))</f>
        <v/>
      </c>
      <c r="S205" s="277" t="str">
        <f>IF(D205="","",IF(J205="リード付け",N205,VLOOKUP(D205,契約台帳!$A$3:$P$4986,16,FALSE)))</f>
        <v/>
      </c>
      <c r="T205" s="40"/>
      <c r="U205" s="278" t="str">
        <f ca="1">IF(D205="","",IF(OFFSET(D205,-2,0)=D205,"",VLOOKUP(D205,契約台帳!$A$3:$R$4986,18,FALSE)))</f>
        <v/>
      </c>
      <c r="V205" s="269" t="str">
        <f>IF(J205="巻返し",VLOOKUP(F205&amp;K205&amp;M205,製品マスタ!$M$5:$AD$5002,18,FALSE),IF(J205="リード付け","原反コア",IF(J205="スリット",VLOOKUP(F205&amp;K205&amp;Q205,製品マスタ!$N$5:$AD$5002,17,FALSE),"")))</f>
        <v/>
      </c>
      <c r="W205" s="269" t="str">
        <f>IF(J205="巻返し",VLOOKUP(F205&amp;K205&amp;M205,製品マスタ!$M$5:$AE$5002,19,FALSE),IF(J205="リード付け","-",IF(J205="スリット",VLOOKUP(F205&amp;K205&amp;Q205,製品マスタ!$N$5:$AE$5002,18,FALSE),"")))</f>
        <v/>
      </c>
      <c r="X205" s="275" t="str">
        <f>IF(D205="","",VLOOKUP(D205,契約台帳!$A$3:$Q$4986,17,FALSE))</f>
        <v/>
      </c>
      <c r="Y205" s="269" t="str">
        <f>IF(D205="","",VLOOKUP(D205,契約台帳!$A$3:$E$4986,5,FALSE))</f>
        <v/>
      </c>
      <c r="Z205" s="57"/>
      <c r="AA205" s="207" t="str">
        <f>IFERROR(VLOOKUP(F205&amp;K205&amp;M205,製品マスタ!$M$5:$AM$5002,27,FALSE),"")</f>
        <v/>
      </c>
      <c r="AB205" s="33"/>
      <c r="AC205" s="189"/>
      <c r="AD205" s="54"/>
      <c r="AE205" s="55"/>
      <c r="AF205" s="43"/>
      <c r="AG205" s="47"/>
      <c r="AH205" s="30"/>
      <c r="AI205" s="30"/>
      <c r="AJ205" s="30"/>
      <c r="AK205" s="30"/>
      <c r="AL205" s="13"/>
      <c r="AM205" s="13"/>
      <c r="AN205" s="13"/>
      <c r="AO205" s="13"/>
      <c r="AP205" s="13"/>
      <c r="AQ205" s="14"/>
      <c r="AR205" s="15"/>
    </row>
    <row r="206" spans="1:44" s="17" customFormat="1" ht="30.95" hidden="1" customHeight="1" x14ac:dyDescent="0.2">
      <c r="A206" s="37" t="s">
        <v>940</v>
      </c>
      <c r="B206" s="38" t="s">
        <v>941</v>
      </c>
      <c r="C206" s="45"/>
      <c r="D206" s="31"/>
      <c r="E206" s="31"/>
      <c r="F206" s="268" t="str">
        <f>IF(D206="","",VLOOKUP(D206,契約台帳!$A$3:$K$4986,6,FALSE)&amp;VLOOKUP(D206,契約台帳!$A$3:$K$4986,7,FALSE)&amp;VLOOKUP(D206,契約台帳!$A$3:$K$4986,8,FALSE)&amp;VLOOKUP(D206,契約台帳!$A$3:$K$4986,9,FALSE)&amp;VLOOKUP(D206,契約台帳!$A$3:$K$4986,11,FALSE))</f>
        <v/>
      </c>
      <c r="G206" s="269" t="str">
        <f>IF(D206="","",VLOOKUP(F206,製品マスタ!$G$5:$H$5002,2,FALSE))</f>
        <v/>
      </c>
      <c r="H206" s="269" t="str">
        <f>IF(D206="","",VLOOKUP(F206,製品マスタ!$G$5:$K$5002,5,FALSE))</f>
        <v/>
      </c>
      <c r="I206" s="270" t="str">
        <f>IF(D206="","",VLOOKUP(F206,製品マスタ!$G$5:$L$5002,6,FALSE))</f>
        <v/>
      </c>
      <c r="J206" s="32" t="s">
        <v>448</v>
      </c>
      <c r="K206" s="270" t="str">
        <f>IF(D206="","",VLOOKUP(D206,契約台帳!$A$3:$L$4986,12,FALSE))</f>
        <v/>
      </c>
      <c r="L206" s="270" t="str">
        <f>IF(D206="","",INDEX(製品マスタ!$Q$5:$Q$5002,MATCH(F206&amp;K206,製品マスタ!$AO$5:$AO$5002,0)))</f>
        <v/>
      </c>
      <c r="M206" s="39"/>
      <c r="N206" s="39"/>
      <c r="O206" s="47"/>
      <c r="P206" s="57"/>
      <c r="Q206" s="276" t="str">
        <f>IF(D206="","",IF(J206="リード付け",M206,VLOOKUP(D206,契約台帳!$A$3:$N$4986,14,FALSE)))</f>
        <v/>
      </c>
      <c r="R206" s="277" t="str">
        <f>IF(D206="","",IF(J206="リード付け",M206,VLOOKUP(D206,契約台帳!$A$3:$O$4986,15,FALSE)))</f>
        <v/>
      </c>
      <c r="S206" s="277" t="str">
        <f>IF(D206="","",IF(J206="リード付け",N206,VLOOKUP(D206,契約台帳!$A$3:$P$4986,16,FALSE)))</f>
        <v/>
      </c>
      <c r="T206" s="40"/>
      <c r="U206" s="278" t="str">
        <f ca="1">IF(D206="","",IF(OFFSET(D206,-2,0)=D206,"",VLOOKUP(D206,契約台帳!$A$3:$R$4986,18,FALSE)))</f>
        <v/>
      </c>
      <c r="V206" s="269" t="str">
        <f>IF(J206="巻返し",VLOOKUP(F206&amp;K206&amp;M206,製品マスタ!$M$5:$AD$5002,18,FALSE),IF(J206="リード付け","原反コア",IF(J206="スリット",VLOOKUP(F206&amp;K206&amp;Q206,製品マスタ!$N$5:$AD$5002,17,FALSE),"")))</f>
        <v/>
      </c>
      <c r="W206" s="269" t="str">
        <f>IF(J206="巻返し",VLOOKUP(F206&amp;K206&amp;M206,製品マスタ!$M$5:$AE$5002,19,FALSE),IF(J206="リード付け","-",IF(J206="スリット",VLOOKUP(F206&amp;K206&amp;Q206,製品マスタ!$N$5:$AE$5002,18,FALSE),"")))</f>
        <v/>
      </c>
      <c r="X206" s="275" t="str">
        <f>IF(D206="","",VLOOKUP(D206,契約台帳!$A$3:$Q$4986,17,FALSE))</f>
        <v/>
      </c>
      <c r="Y206" s="269" t="str">
        <f>IF(D206="","",VLOOKUP(D206,契約台帳!$A$3:$E$4986,5,FALSE))</f>
        <v/>
      </c>
      <c r="Z206" s="57"/>
      <c r="AA206" s="207" t="str">
        <f>IFERROR(VLOOKUP(F206&amp;K206&amp;M206,製品マスタ!$M$5:$AM$5002,27,FALSE),"")</f>
        <v/>
      </c>
      <c r="AB206" s="33"/>
      <c r="AC206" s="189"/>
      <c r="AD206" s="54"/>
      <c r="AE206" s="55"/>
      <c r="AF206" s="43"/>
      <c r="AG206" s="47"/>
      <c r="AH206" s="30"/>
      <c r="AI206" s="30"/>
      <c r="AJ206" s="30"/>
      <c r="AK206" s="30"/>
      <c r="AL206" s="13"/>
      <c r="AM206" s="13"/>
      <c r="AN206" s="13"/>
      <c r="AO206" s="13"/>
      <c r="AP206" s="13"/>
      <c r="AQ206" s="14"/>
      <c r="AR206" s="15"/>
    </row>
    <row r="207" spans="1:44" s="17" customFormat="1" ht="30.95" hidden="1" customHeight="1" x14ac:dyDescent="0.2">
      <c r="A207" s="37"/>
      <c r="B207" s="38"/>
      <c r="C207" s="45"/>
      <c r="D207" s="31"/>
      <c r="E207" s="31"/>
      <c r="F207" s="268" t="str">
        <f>IF(D207="","",VLOOKUP(D207,契約台帳!$A$3:$K$4986,6,FALSE)&amp;VLOOKUP(D207,契約台帳!$A$3:$K$4986,7,FALSE)&amp;VLOOKUP(D207,契約台帳!$A$3:$K$4986,8,FALSE)&amp;VLOOKUP(D207,契約台帳!$A$3:$K$4986,9,FALSE)&amp;VLOOKUP(D207,契約台帳!$A$3:$K$4986,11,FALSE))</f>
        <v/>
      </c>
      <c r="G207" s="269" t="str">
        <f>IF(D207="","",VLOOKUP(F207,製品マスタ!$G$5:$H$5002,2,FALSE))</f>
        <v/>
      </c>
      <c r="H207" s="269" t="str">
        <f>IF(D207="","",VLOOKUP(F207,製品マスタ!$G$5:$K$5002,5,FALSE))</f>
        <v/>
      </c>
      <c r="I207" s="270" t="str">
        <f>IF(D207="","",VLOOKUP(F207,製品マスタ!$G$5:$L$5002,6,FALSE))</f>
        <v/>
      </c>
      <c r="J207" s="32"/>
      <c r="K207" s="270" t="str">
        <f>IF(D207="","",VLOOKUP(D207,契約台帳!$A$3:$L$4986,12,FALSE))</f>
        <v/>
      </c>
      <c r="L207" s="270" t="str">
        <f>IF(D207="","",INDEX(製品マスタ!$Q$5:$Q$5002,MATCH(F207&amp;K207,製品マスタ!$AO$5:$AO$5002,0)))</f>
        <v/>
      </c>
      <c r="M207" s="39"/>
      <c r="N207" s="39"/>
      <c r="O207" s="47"/>
      <c r="P207" s="57"/>
      <c r="Q207" s="276" t="str">
        <f>IF(D207="","",IF(J207="リード付け",M207,VLOOKUP(D207,契約台帳!$A$3:$N$4986,14,FALSE)))</f>
        <v/>
      </c>
      <c r="R207" s="277" t="str">
        <f>IF(D207="","",IF(J207="リード付け",M207,VLOOKUP(D207,契約台帳!$A$3:$O$4986,15,FALSE)))</f>
        <v/>
      </c>
      <c r="S207" s="277" t="str">
        <f>IF(D207="","",IF(J207="リード付け",N207,VLOOKUP(D207,契約台帳!$A$3:$P$4986,16,FALSE)))</f>
        <v/>
      </c>
      <c r="T207" s="40"/>
      <c r="U207" s="278" t="str">
        <f ca="1">IF(D207="","",IF(OFFSET(D207,-2,0)=D207,"",VLOOKUP(D207,契約台帳!$A$3:$R$4986,18,FALSE)))</f>
        <v/>
      </c>
      <c r="V207" s="269" t="str">
        <f>IF(J207="巻返し",VLOOKUP(F207&amp;K207&amp;M207,製品マスタ!$M$5:$AD$5002,18,FALSE),IF(J207="リード付け","原反コア",IF(J207="スリット",VLOOKUP(F207&amp;K207&amp;Q207,製品マスタ!$N$5:$AD$5002,17,FALSE),"")))</f>
        <v/>
      </c>
      <c r="W207" s="269" t="str">
        <f>IF(J207="巻返し",VLOOKUP(F207&amp;K207&amp;M207,製品マスタ!$M$5:$AE$5002,19,FALSE),IF(J207="リード付け","-",IF(J207="スリット",VLOOKUP(F207&amp;K207&amp;Q207,製品マスタ!$N$5:$AE$5002,18,FALSE),"")))</f>
        <v/>
      </c>
      <c r="X207" s="275" t="str">
        <f>IF(D207="","",VLOOKUP(D207,契約台帳!$A$3:$Q$4986,17,FALSE))</f>
        <v/>
      </c>
      <c r="Y207" s="269" t="str">
        <f>IF(D207="","",VLOOKUP(D207,契約台帳!$A$3:$E$4986,5,FALSE))</f>
        <v/>
      </c>
      <c r="Z207" s="57"/>
      <c r="AA207" s="207" t="str">
        <f>IFERROR(VLOOKUP(F207&amp;K207&amp;M207,製品マスタ!$M$5:$AM$5002,27,FALSE),"")</f>
        <v/>
      </c>
      <c r="AB207" s="33"/>
      <c r="AC207" s="189"/>
      <c r="AD207" s="54"/>
      <c r="AE207" s="55"/>
      <c r="AF207" s="43"/>
      <c r="AG207" s="47"/>
      <c r="AH207" s="30"/>
      <c r="AI207" s="30"/>
      <c r="AJ207" s="30"/>
      <c r="AK207" s="30"/>
      <c r="AL207" s="13"/>
      <c r="AM207" s="13"/>
      <c r="AN207" s="13"/>
      <c r="AO207" s="13"/>
      <c r="AP207" s="13"/>
      <c r="AQ207" s="14"/>
      <c r="AR207" s="15"/>
    </row>
    <row r="208" spans="1:44" s="17" customFormat="1" ht="30.95" hidden="1" customHeight="1" x14ac:dyDescent="0.2">
      <c r="A208" s="37" t="s">
        <v>942</v>
      </c>
      <c r="B208" s="38" t="s">
        <v>943</v>
      </c>
      <c r="C208" s="45"/>
      <c r="D208" s="31"/>
      <c r="E208" s="31"/>
      <c r="F208" s="268" t="str">
        <f>IF(D208="","",VLOOKUP(D208,契約台帳!$A$3:$K$4986,6,FALSE)&amp;VLOOKUP(D208,契約台帳!$A$3:$K$4986,7,FALSE)&amp;VLOOKUP(D208,契約台帳!$A$3:$K$4986,8,FALSE)&amp;VLOOKUP(D208,契約台帳!$A$3:$K$4986,9,FALSE)&amp;VLOOKUP(D208,契約台帳!$A$3:$K$4986,11,FALSE))</f>
        <v/>
      </c>
      <c r="G208" s="269" t="str">
        <f>IF(D208="","",VLOOKUP(F208,製品マスタ!$G$5:$H$5002,2,FALSE))</f>
        <v/>
      </c>
      <c r="H208" s="269" t="str">
        <f>IF(D208="","",VLOOKUP(F208,製品マスタ!$G$5:$K$5002,5,FALSE))</f>
        <v/>
      </c>
      <c r="I208" s="270" t="str">
        <f>IF(D208="","",VLOOKUP(F208,製品マスタ!$G$5:$L$5002,6,FALSE))</f>
        <v/>
      </c>
      <c r="J208" s="32" t="s">
        <v>448</v>
      </c>
      <c r="K208" s="270" t="str">
        <f>IF(D208="","",VLOOKUP(D208,契約台帳!$A$3:$L$4986,12,FALSE))</f>
        <v/>
      </c>
      <c r="L208" s="270" t="str">
        <f>IF(D208="","",INDEX(製品マスタ!$Q$5:$Q$5002,MATCH(F208&amp;K208,製品マスタ!$AO$5:$AO$5002,0)))</f>
        <v/>
      </c>
      <c r="M208" s="39"/>
      <c r="N208" s="39"/>
      <c r="O208" s="47"/>
      <c r="P208" s="57"/>
      <c r="Q208" s="276" t="str">
        <f>IF(D208="","",IF(J208="リード付け",M208,VLOOKUP(D208,契約台帳!$A$3:$N$4986,14,FALSE)))</f>
        <v/>
      </c>
      <c r="R208" s="277" t="str">
        <f>IF(D208="","",IF(J208="リード付け",M208,VLOOKUP(D208,契約台帳!$A$3:$O$4986,15,FALSE)))</f>
        <v/>
      </c>
      <c r="S208" s="277" t="str">
        <f>IF(D208="","",IF(J208="リード付け",N208,VLOOKUP(D208,契約台帳!$A$3:$P$4986,16,FALSE)))</f>
        <v/>
      </c>
      <c r="T208" s="40"/>
      <c r="U208" s="278" t="str">
        <f ca="1">IF(D208="","",IF(OFFSET(D208,-2,0)=D208,"",VLOOKUP(D208,契約台帳!$A$3:$R$4986,18,FALSE)))</f>
        <v/>
      </c>
      <c r="V208" s="269" t="str">
        <f>IF(J208="巻返し",VLOOKUP(F208&amp;K208&amp;M208,製品マスタ!$M$5:$AD$5002,18,FALSE),IF(J208="リード付け","原反コア",IF(J208="スリット",VLOOKUP(F208&amp;K208&amp;Q208,製品マスタ!$N$5:$AD$5002,17,FALSE),"")))</f>
        <v/>
      </c>
      <c r="W208" s="269" t="str">
        <f>IF(J208="巻返し",VLOOKUP(F208&amp;K208&amp;M208,製品マスタ!$M$5:$AE$5002,19,FALSE),IF(J208="リード付け","-",IF(J208="スリット",VLOOKUP(F208&amp;K208&amp;Q208,製品マスタ!$N$5:$AE$5002,18,FALSE),"")))</f>
        <v/>
      </c>
      <c r="X208" s="275" t="str">
        <f>IF(D208="","",VLOOKUP(D208,契約台帳!$A$3:$Q$4986,17,FALSE))</f>
        <v/>
      </c>
      <c r="Y208" s="269" t="str">
        <f>IF(D208="","",VLOOKUP(D208,契約台帳!$A$3:$E$4986,5,FALSE))</f>
        <v/>
      </c>
      <c r="Z208" s="57"/>
      <c r="AA208" s="207" t="str">
        <f>IFERROR(VLOOKUP(F208&amp;K208&amp;M208,製品マスタ!$M$5:$AM$5002,27,FALSE),"")</f>
        <v/>
      </c>
      <c r="AB208" s="33"/>
      <c r="AC208" s="189"/>
      <c r="AD208" s="54"/>
      <c r="AE208" s="55"/>
      <c r="AF208" s="43"/>
      <c r="AG208" s="47"/>
      <c r="AH208" s="30"/>
      <c r="AI208" s="30"/>
      <c r="AJ208" s="30"/>
      <c r="AK208" s="30"/>
      <c r="AL208" s="13"/>
      <c r="AM208" s="13"/>
      <c r="AN208" s="13"/>
      <c r="AO208" s="13"/>
      <c r="AP208" s="13"/>
      <c r="AQ208" s="14"/>
      <c r="AR208" s="15"/>
    </row>
    <row r="209" spans="1:44" s="17" customFormat="1" ht="30.95" hidden="1" customHeight="1" x14ac:dyDescent="0.2">
      <c r="A209" s="37"/>
      <c r="B209" s="38"/>
      <c r="C209" s="45"/>
      <c r="D209" s="31"/>
      <c r="E209" s="31"/>
      <c r="F209" s="268" t="str">
        <f>IF(D209="","",VLOOKUP(D209,契約台帳!$A$3:$K$4986,6,FALSE)&amp;VLOOKUP(D209,契約台帳!$A$3:$K$4986,7,FALSE)&amp;VLOOKUP(D209,契約台帳!$A$3:$K$4986,8,FALSE)&amp;VLOOKUP(D209,契約台帳!$A$3:$K$4986,9,FALSE)&amp;VLOOKUP(D209,契約台帳!$A$3:$K$4986,11,FALSE))</f>
        <v/>
      </c>
      <c r="G209" s="269" t="str">
        <f>IF(D209="","",VLOOKUP(F209,製品マスタ!$G$5:$H$5002,2,FALSE))</f>
        <v/>
      </c>
      <c r="H209" s="269" t="str">
        <f>IF(D209="","",VLOOKUP(F209,製品マスタ!$G$5:$K$5002,5,FALSE))</f>
        <v/>
      </c>
      <c r="I209" s="270" t="str">
        <f>IF(D209="","",VLOOKUP(F209,製品マスタ!$G$5:$L$5002,6,FALSE))</f>
        <v/>
      </c>
      <c r="J209" s="32"/>
      <c r="K209" s="270" t="str">
        <f>IF(D209="","",VLOOKUP(D209,契約台帳!$A$3:$L$4986,12,FALSE))</f>
        <v/>
      </c>
      <c r="L209" s="270" t="str">
        <f>IF(D209="","",INDEX(製品マスタ!$Q$5:$Q$5002,MATCH(F209&amp;K209,製品マスタ!$AO$5:$AO$5002,0)))</f>
        <v/>
      </c>
      <c r="M209" s="39"/>
      <c r="N209" s="39"/>
      <c r="O209" s="47"/>
      <c r="P209" s="57"/>
      <c r="Q209" s="276" t="str">
        <f>IF(D209="","",IF(J209="リード付け",M209,VLOOKUP(D209,契約台帳!$A$3:$N$4986,14,FALSE)))</f>
        <v/>
      </c>
      <c r="R209" s="277" t="str">
        <f>IF(D209="","",IF(J209="リード付け",M209,VLOOKUP(D209,契約台帳!$A$3:$O$4986,15,FALSE)))</f>
        <v/>
      </c>
      <c r="S209" s="277" t="str">
        <f>IF(D209="","",IF(J209="リード付け",N209,VLOOKUP(D209,契約台帳!$A$3:$P$4986,16,FALSE)))</f>
        <v/>
      </c>
      <c r="T209" s="40"/>
      <c r="U209" s="278" t="str">
        <f ca="1">IF(D209="","",IF(OFFSET(D209,-2,0)=D209,"",VLOOKUP(D209,契約台帳!$A$3:$R$4986,18,FALSE)))</f>
        <v/>
      </c>
      <c r="V209" s="269" t="str">
        <f>IF(J209="巻返し",VLOOKUP(F209&amp;K209&amp;M209,製品マスタ!$M$5:$AD$5002,18,FALSE),IF(J209="リード付け","原反コア",IF(J209="スリット",VLOOKUP(F209&amp;K209&amp;Q209,製品マスタ!$N$5:$AD$5002,17,FALSE),"")))</f>
        <v/>
      </c>
      <c r="W209" s="269" t="str">
        <f>IF(J209="巻返し",VLOOKUP(F209&amp;K209&amp;M209,製品マスタ!$M$5:$AE$5002,19,FALSE),IF(J209="リード付け","-",IF(J209="スリット",VLOOKUP(F209&amp;K209&amp;Q209,製品マスタ!$N$5:$AE$5002,18,FALSE),"")))</f>
        <v/>
      </c>
      <c r="X209" s="275" t="str">
        <f>IF(D209="","",VLOOKUP(D209,契約台帳!$A$3:$Q$4986,17,FALSE))</f>
        <v/>
      </c>
      <c r="Y209" s="269" t="str">
        <f>IF(D209="","",VLOOKUP(D209,契約台帳!$A$3:$E$4986,5,FALSE))</f>
        <v/>
      </c>
      <c r="Z209" s="57"/>
      <c r="AA209" s="207" t="str">
        <f>IFERROR(VLOOKUP(F209&amp;K209&amp;M209,製品マスタ!$M$5:$AM$5002,27,FALSE),"")</f>
        <v/>
      </c>
      <c r="AB209" s="33"/>
      <c r="AC209" s="189"/>
      <c r="AD209" s="54"/>
      <c r="AE209" s="55"/>
      <c r="AF209" s="43"/>
      <c r="AG209" s="47"/>
      <c r="AH209" s="30"/>
      <c r="AI209" s="30"/>
      <c r="AJ209" s="30"/>
      <c r="AK209" s="30"/>
      <c r="AL209" s="13"/>
      <c r="AM209" s="13"/>
      <c r="AN209" s="13"/>
      <c r="AO209" s="13"/>
      <c r="AP209" s="13"/>
      <c r="AQ209" s="14"/>
      <c r="AR209" s="15"/>
    </row>
    <row r="210" spans="1:44" s="17" customFormat="1" ht="30.95" hidden="1" customHeight="1" x14ac:dyDescent="0.2">
      <c r="A210" s="37" t="s">
        <v>944</v>
      </c>
      <c r="B210" s="38" t="s">
        <v>945</v>
      </c>
      <c r="C210" s="45"/>
      <c r="D210" s="31"/>
      <c r="E210" s="31"/>
      <c r="F210" s="268" t="str">
        <f>IF(D210="","",VLOOKUP(D210,契約台帳!$A$3:$K$4986,6,FALSE)&amp;VLOOKUP(D210,契約台帳!$A$3:$K$4986,7,FALSE)&amp;VLOOKUP(D210,契約台帳!$A$3:$K$4986,8,FALSE)&amp;VLOOKUP(D210,契約台帳!$A$3:$K$4986,9,FALSE)&amp;VLOOKUP(D210,契約台帳!$A$3:$K$4986,11,FALSE))</f>
        <v/>
      </c>
      <c r="G210" s="269" t="str">
        <f>IF(D210="","",VLOOKUP(F210,製品マスタ!$G$5:$H$5002,2,FALSE))</f>
        <v/>
      </c>
      <c r="H210" s="269" t="str">
        <f>IF(D210="","",VLOOKUP(F210,製品マスタ!$G$5:$K$5002,5,FALSE))</f>
        <v/>
      </c>
      <c r="I210" s="270" t="str">
        <f>IF(D210="","",VLOOKUP(F210,製品マスタ!$G$5:$L$5002,6,FALSE))</f>
        <v/>
      </c>
      <c r="J210" s="32"/>
      <c r="K210" s="270" t="str">
        <f>IF(D210="","",VLOOKUP(D210,契約台帳!$A$3:$L$4986,12,FALSE))</f>
        <v/>
      </c>
      <c r="L210" s="270" t="str">
        <f>IF(D210="","",INDEX(製品マスタ!$Q$5:$Q$5002,MATCH(F210&amp;K210,製品マスタ!$AO$5:$AO$5002,0)))</f>
        <v/>
      </c>
      <c r="M210" s="39"/>
      <c r="N210" s="39"/>
      <c r="O210" s="47"/>
      <c r="P210" s="57"/>
      <c r="Q210" s="276" t="str">
        <f>IF(D210="","",IF(J210="リード付け",M210,VLOOKUP(D210,契約台帳!$A$3:$N$4986,14,FALSE)))</f>
        <v/>
      </c>
      <c r="R210" s="277" t="str">
        <f>IF(D210="","",IF(J210="リード付け",M210,VLOOKUP(D210,契約台帳!$A$3:$O$4986,15,FALSE)))</f>
        <v/>
      </c>
      <c r="S210" s="277" t="str">
        <f>IF(D210="","",IF(J210="リード付け",N210,VLOOKUP(D210,契約台帳!$A$3:$P$4986,16,FALSE)))</f>
        <v/>
      </c>
      <c r="T210" s="40"/>
      <c r="U210" s="278" t="str">
        <f ca="1">IF(D210="","",IF(OFFSET(D210,-2,0)=D210,"",VLOOKUP(D210,契約台帳!$A$3:$R$4986,18,FALSE)))</f>
        <v/>
      </c>
      <c r="V210" s="269" t="str">
        <f>IF(J210="巻返し",VLOOKUP(F210&amp;K210&amp;M210,製品マスタ!$M$5:$AD$5002,18,FALSE),IF(J210="リード付け","原反コア",IF(J210="スリット",VLOOKUP(F210&amp;K210&amp;Q210,製品マスタ!$N$5:$AD$5002,17,FALSE),"")))</f>
        <v/>
      </c>
      <c r="W210" s="269" t="str">
        <f>IF(J210="巻返し",VLOOKUP(F210&amp;K210&amp;M210,製品マスタ!$M$5:$AE$5002,19,FALSE),IF(J210="リード付け","-",IF(J210="スリット",VLOOKUP(F210&amp;K210&amp;Q210,製品マスタ!$N$5:$AE$5002,18,FALSE),"")))</f>
        <v/>
      </c>
      <c r="X210" s="275" t="str">
        <f>IF(D210="","",VLOOKUP(D210,契約台帳!$A$3:$Q$4986,17,FALSE))</f>
        <v/>
      </c>
      <c r="Y210" s="269" t="str">
        <f>IF(D210="","",VLOOKUP(D210,契約台帳!$A$3:$E$4986,5,FALSE))</f>
        <v/>
      </c>
      <c r="Z210" s="57"/>
      <c r="AA210" s="207" t="str">
        <f>IFERROR(VLOOKUP(F210&amp;K210&amp;M210,製品マスタ!$M$5:$AM$5002,27,FALSE),"")</f>
        <v/>
      </c>
      <c r="AB210" s="33"/>
      <c r="AC210" s="189"/>
      <c r="AD210" s="54"/>
      <c r="AE210" s="55"/>
      <c r="AF210" s="43"/>
      <c r="AG210" s="47"/>
      <c r="AH210" s="30"/>
      <c r="AI210" s="30"/>
      <c r="AJ210" s="30"/>
      <c r="AK210" s="30"/>
      <c r="AL210" s="13"/>
      <c r="AM210" s="13"/>
      <c r="AN210" s="13"/>
      <c r="AO210" s="13"/>
      <c r="AP210" s="13"/>
      <c r="AQ210" s="14"/>
      <c r="AR210" s="15"/>
    </row>
    <row r="211" spans="1:44" s="17" customFormat="1" ht="30.95" hidden="1" customHeight="1" x14ac:dyDescent="0.2">
      <c r="A211" s="37"/>
      <c r="B211" s="38"/>
      <c r="C211" s="45"/>
      <c r="D211" s="31"/>
      <c r="E211" s="31"/>
      <c r="F211" s="268" t="str">
        <f>IF(D211="","",VLOOKUP(D211,契約台帳!$A$3:$K$4986,6,FALSE)&amp;VLOOKUP(D211,契約台帳!$A$3:$K$4986,7,FALSE)&amp;VLOOKUP(D211,契約台帳!$A$3:$K$4986,8,FALSE)&amp;VLOOKUP(D211,契約台帳!$A$3:$K$4986,9,FALSE)&amp;VLOOKUP(D211,契約台帳!$A$3:$K$4986,11,FALSE))</f>
        <v/>
      </c>
      <c r="G211" s="269" t="str">
        <f>IF(D211="","",VLOOKUP(F211,製品マスタ!$G$5:$H$5002,2,FALSE))</f>
        <v/>
      </c>
      <c r="H211" s="269" t="str">
        <f>IF(D211="","",VLOOKUP(F211,製品マスタ!$G$5:$K$5002,5,FALSE))</f>
        <v/>
      </c>
      <c r="I211" s="270" t="str">
        <f>IF(D211="","",VLOOKUP(F211,製品マスタ!$G$5:$L$5002,6,FALSE))</f>
        <v/>
      </c>
      <c r="J211" s="32"/>
      <c r="K211" s="270" t="str">
        <f>IF(D211="","",VLOOKUP(D211,契約台帳!$A$3:$L$4986,12,FALSE))</f>
        <v/>
      </c>
      <c r="L211" s="270" t="str">
        <f>IF(D211="","",INDEX(製品マスタ!$Q$5:$Q$5002,MATCH(F211&amp;K211,製品マスタ!$AO$5:$AO$5002,0)))</f>
        <v/>
      </c>
      <c r="M211" s="39"/>
      <c r="N211" s="39"/>
      <c r="O211" s="47"/>
      <c r="P211" s="57"/>
      <c r="Q211" s="276" t="str">
        <f>IF(D211="","",IF(J211="リード付け",M211,VLOOKUP(D211,契約台帳!$A$3:$N$4986,14,FALSE)))</f>
        <v/>
      </c>
      <c r="R211" s="277" t="str">
        <f>IF(D211="","",IF(J211="リード付け",M211,VLOOKUP(D211,契約台帳!$A$3:$O$4986,15,FALSE)))</f>
        <v/>
      </c>
      <c r="S211" s="277" t="str">
        <f>IF(D211="","",IF(J211="リード付け",N211,VLOOKUP(D211,契約台帳!$A$3:$P$4986,16,FALSE)))</f>
        <v/>
      </c>
      <c r="T211" s="40"/>
      <c r="U211" s="278" t="str">
        <f ca="1">IF(D211="","",IF(OFFSET(D211,-2,0)=D211,"",VLOOKUP(D211,契約台帳!$A$3:$R$4986,18,FALSE)))</f>
        <v/>
      </c>
      <c r="V211" s="269" t="str">
        <f>IF(J211="巻返し",VLOOKUP(F211&amp;K211&amp;M211,製品マスタ!$M$5:$AD$5002,18,FALSE),IF(J211="リード付け","原反コア",IF(J211="スリット",VLOOKUP(F211&amp;K211&amp;Q211,製品マスタ!$N$5:$AD$5002,17,FALSE),"")))</f>
        <v/>
      </c>
      <c r="W211" s="269" t="str">
        <f>IF(J211="巻返し",VLOOKUP(F211&amp;K211&amp;M211,製品マスタ!$M$5:$AE$5002,19,FALSE),IF(J211="リード付け","-",IF(J211="スリット",VLOOKUP(F211&amp;K211&amp;Q211,製品マスタ!$N$5:$AE$5002,18,FALSE),"")))</f>
        <v/>
      </c>
      <c r="X211" s="275" t="str">
        <f>IF(D211="","",VLOOKUP(D211,契約台帳!$A$3:$Q$4986,17,FALSE))</f>
        <v/>
      </c>
      <c r="Y211" s="269" t="str">
        <f>IF(D211="","",VLOOKUP(D211,契約台帳!$A$3:$E$4986,5,FALSE))</f>
        <v/>
      </c>
      <c r="Z211" s="57"/>
      <c r="AA211" s="207" t="str">
        <f>IFERROR(VLOOKUP(F211&amp;K211&amp;M211,製品マスタ!$M$5:$AM$5002,27,FALSE),"")</f>
        <v/>
      </c>
      <c r="AB211" s="33"/>
      <c r="AC211" s="189"/>
      <c r="AD211" s="54"/>
      <c r="AE211" s="55"/>
      <c r="AF211" s="43"/>
      <c r="AG211" s="47"/>
      <c r="AH211" s="30"/>
      <c r="AI211" s="30"/>
      <c r="AJ211" s="30"/>
      <c r="AK211" s="30"/>
      <c r="AL211" s="13"/>
      <c r="AM211" s="13"/>
      <c r="AN211" s="13"/>
      <c r="AO211" s="13"/>
      <c r="AP211" s="13"/>
      <c r="AQ211" s="14"/>
      <c r="AR211" s="15"/>
    </row>
    <row r="212" spans="1:44" s="17" customFormat="1" ht="30.95" hidden="1" customHeight="1" x14ac:dyDescent="0.2">
      <c r="A212" s="37" t="s">
        <v>946</v>
      </c>
      <c r="B212" s="38" t="s">
        <v>947</v>
      </c>
      <c r="C212" s="45"/>
      <c r="D212" s="31"/>
      <c r="E212" s="31"/>
      <c r="F212" s="268" t="str">
        <f>IF(D212="","",VLOOKUP(D212,契約台帳!$A$3:$K$4986,6,FALSE)&amp;VLOOKUP(D212,契約台帳!$A$3:$K$4986,7,FALSE)&amp;VLOOKUP(D212,契約台帳!$A$3:$K$4986,8,FALSE)&amp;VLOOKUP(D212,契約台帳!$A$3:$K$4986,9,FALSE)&amp;VLOOKUP(D212,契約台帳!$A$3:$K$4986,11,FALSE))</f>
        <v/>
      </c>
      <c r="G212" s="269" t="str">
        <f>IF(D212="","",VLOOKUP(F212,製品マスタ!$G$5:$H$5002,2,FALSE))</f>
        <v/>
      </c>
      <c r="H212" s="269" t="str">
        <f>IF(D212="","",VLOOKUP(F212,製品マスタ!$G$5:$K$5002,5,FALSE))</f>
        <v/>
      </c>
      <c r="I212" s="270" t="str">
        <f>IF(D212="","",VLOOKUP(F212,製品マスタ!$G$5:$L$5002,6,FALSE))</f>
        <v/>
      </c>
      <c r="J212" s="32"/>
      <c r="K212" s="270" t="str">
        <f>IF(D212="","",VLOOKUP(D212,契約台帳!$A$3:$L$4986,12,FALSE))</f>
        <v/>
      </c>
      <c r="L212" s="270" t="str">
        <f>IF(D212="","",INDEX(製品マスタ!$Q$5:$Q$5002,MATCH(F212&amp;K212,製品マスタ!$AO$5:$AO$5002,0)))</f>
        <v/>
      </c>
      <c r="M212" s="39"/>
      <c r="N212" s="39"/>
      <c r="O212" s="47"/>
      <c r="P212" s="57"/>
      <c r="Q212" s="276" t="str">
        <f>IF(D212="","",IF(J212="リード付け",M212,VLOOKUP(D212,契約台帳!$A$3:$N$4986,14,FALSE)))</f>
        <v/>
      </c>
      <c r="R212" s="277" t="str">
        <f>IF(D212="","",IF(J212="リード付け",M212,VLOOKUP(D212,契約台帳!$A$3:$O$4986,15,FALSE)))</f>
        <v/>
      </c>
      <c r="S212" s="277" t="str">
        <f>IF(D212="","",IF(J212="リード付け",N212,VLOOKUP(D212,契約台帳!$A$3:$P$4986,16,FALSE)))</f>
        <v/>
      </c>
      <c r="T212" s="40"/>
      <c r="U212" s="278" t="str">
        <f ca="1">IF(D212="","",IF(OFFSET(D212,-2,0)=D212,"",VLOOKUP(D212,契約台帳!$A$3:$R$4986,18,FALSE)))</f>
        <v/>
      </c>
      <c r="V212" s="269" t="str">
        <f>IF(J212="巻返し",VLOOKUP(F212&amp;K212&amp;M212,製品マスタ!$M$5:$AD$5002,18,FALSE),IF(J212="リード付け","原反コア",IF(J212="スリット",VLOOKUP(F212&amp;K212&amp;Q212,製品マスタ!$N$5:$AD$5002,17,FALSE),"")))</f>
        <v/>
      </c>
      <c r="W212" s="269" t="str">
        <f>IF(J212="巻返し",VLOOKUP(F212&amp;K212&amp;M212,製品マスタ!$M$5:$AE$5002,19,FALSE),IF(J212="リード付け","-",IF(J212="スリット",VLOOKUP(F212&amp;K212&amp;Q212,製品マスタ!$N$5:$AE$5002,18,FALSE),"")))</f>
        <v/>
      </c>
      <c r="X212" s="275" t="str">
        <f>IF(D212="","",VLOOKUP(D212,契約台帳!$A$3:$Q$4986,17,FALSE))</f>
        <v/>
      </c>
      <c r="Y212" s="269" t="str">
        <f>IF(D212="","",VLOOKUP(D212,契約台帳!$A$3:$E$4986,5,FALSE))</f>
        <v/>
      </c>
      <c r="Z212" s="57"/>
      <c r="AA212" s="207" t="str">
        <f>IFERROR(VLOOKUP(F212&amp;K212&amp;M212,製品マスタ!$M$5:$AM$5002,27,FALSE),"")</f>
        <v/>
      </c>
      <c r="AB212" s="33"/>
      <c r="AC212" s="189"/>
      <c r="AD212" s="54"/>
      <c r="AE212" s="55"/>
      <c r="AF212" s="43"/>
      <c r="AG212" s="47"/>
      <c r="AH212" s="30"/>
      <c r="AI212" s="30"/>
      <c r="AJ212" s="30"/>
      <c r="AK212" s="30"/>
      <c r="AL212" s="13"/>
      <c r="AM212" s="13"/>
      <c r="AN212" s="13"/>
      <c r="AO212" s="13"/>
      <c r="AP212" s="13"/>
      <c r="AQ212" s="14"/>
      <c r="AR212" s="15"/>
    </row>
    <row r="213" spans="1:44" s="17" customFormat="1" ht="30.95" hidden="1" customHeight="1" x14ac:dyDescent="0.2">
      <c r="A213" s="37"/>
      <c r="B213" s="38"/>
      <c r="C213" s="45"/>
      <c r="D213" s="31"/>
      <c r="E213" s="31"/>
      <c r="F213" s="268" t="str">
        <f>IF(D213="","",VLOOKUP(D213,契約台帳!$A$3:$K$4986,6,FALSE)&amp;VLOOKUP(D213,契約台帳!$A$3:$K$4986,7,FALSE)&amp;VLOOKUP(D213,契約台帳!$A$3:$K$4986,8,FALSE)&amp;VLOOKUP(D213,契約台帳!$A$3:$K$4986,9,FALSE)&amp;VLOOKUP(D213,契約台帳!$A$3:$K$4986,11,FALSE))</f>
        <v/>
      </c>
      <c r="G213" s="269" t="str">
        <f>IF(D213="","",VLOOKUP(F213,製品マスタ!$G$5:$H$5002,2,FALSE))</f>
        <v/>
      </c>
      <c r="H213" s="269" t="str">
        <f>IF(D213="","",VLOOKUP(F213,製品マスタ!$G$5:$K$5002,5,FALSE))</f>
        <v/>
      </c>
      <c r="I213" s="270" t="str">
        <f>IF(D213="","",VLOOKUP(F213,製品マスタ!$G$5:$L$5002,6,FALSE))</f>
        <v/>
      </c>
      <c r="J213" s="32"/>
      <c r="K213" s="270" t="str">
        <f>IF(D213="","",VLOOKUP(D213,契約台帳!$A$3:$L$4986,12,FALSE))</f>
        <v/>
      </c>
      <c r="L213" s="270" t="str">
        <f>IF(D213="","",INDEX(製品マスタ!$Q$5:$Q$5002,MATCH(F213&amp;K213,製品マスタ!$AO$5:$AO$5002,0)))</f>
        <v/>
      </c>
      <c r="M213" s="39"/>
      <c r="N213" s="39"/>
      <c r="O213" s="47"/>
      <c r="P213" s="57"/>
      <c r="Q213" s="276" t="str">
        <f>IF(D213="","",IF(J213="リード付け",M213,VLOOKUP(D213,契約台帳!$A$3:$N$4986,14,FALSE)))</f>
        <v/>
      </c>
      <c r="R213" s="277" t="str">
        <f>IF(D213="","",IF(J213="リード付け",M213,VLOOKUP(D213,契約台帳!$A$3:$O$4986,15,FALSE)))</f>
        <v/>
      </c>
      <c r="S213" s="277" t="str">
        <f>IF(D213="","",IF(J213="リード付け",N213,VLOOKUP(D213,契約台帳!$A$3:$P$4986,16,FALSE)))</f>
        <v/>
      </c>
      <c r="T213" s="40"/>
      <c r="U213" s="278" t="str">
        <f ca="1">IF(D213="","",IF(OFFSET(D213,-2,0)=D213,"",VLOOKUP(D213,契約台帳!$A$3:$R$4986,18,FALSE)))</f>
        <v/>
      </c>
      <c r="V213" s="269" t="str">
        <f>IF(J213="巻返し",VLOOKUP(F213&amp;K213&amp;M213,製品マスタ!$M$5:$AD$5002,18,FALSE),IF(J213="リード付け","原反コア",IF(J213="スリット",VLOOKUP(F213&amp;K213&amp;Q213,製品マスタ!$N$5:$AD$5002,17,FALSE),"")))</f>
        <v/>
      </c>
      <c r="W213" s="269" t="str">
        <f>IF(J213="巻返し",VLOOKUP(F213&amp;K213&amp;M213,製品マスタ!$M$5:$AE$5002,19,FALSE),IF(J213="リード付け","-",IF(J213="スリット",VLOOKUP(F213&amp;K213&amp;Q213,製品マスタ!$N$5:$AE$5002,18,FALSE),"")))</f>
        <v/>
      </c>
      <c r="X213" s="275" t="str">
        <f>IF(D213="","",VLOOKUP(D213,契約台帳!$A$3:$Q$4986,17,FALSE))</f>
        <v/>
      </c>
      <c r="Y213" s="269" t="str">
        <f>IF(D213="","",VLOOKUP(D213,契約台帳!$A$3:$E$4986,5,FALSE))</f>
        <v/>
      </c>
      <c r="Z213" s="57"/>
      <c r="AA213" s="207" t="str">
        <f>IFERROR(VLOOKUP(F213&amp;K213&amp;M213,製品マスタ!$M$5:$AM$5002,27,FALSE),"")</f>
        <v/>
      </c>
      <c r="AB213" s="33"/>
      <c r="AC213" s="189"/>
      <c r="AD213" s="54"/>
      <c r="AE213" s="55"/>
      <c r="AF213" s="43"/>
      <c r="AG213" s="47"/>
      <c r="AH213" s="30"/>
      <c r="AI213" s="30"/>
      <c r="AJ213" s="30"/>
      <c r="AK213" s="30"/>
      <c r="AL213" s="13"/>
      <c r="AM213" s="13"/>
      <c r="AN213" s="13"/>
      <c r="AO213" s="13"/>
      <c r="AP213" s="13"/>
      <c r="AQ213" s="14"/>
      <c r="AR213" s="15"/>
    </row>
    <row r="214" spans="1:44" s="17" customFormat="1" ht="30.95" hidden="1" customHeight="1" x14ac:dyDescent="0.2">
      <c r="A214" s="37" t="s">
        <v>948</v>
      </c>
      <c r="B214" s="38" t="s">
        <v>442</v>
      </c>
      <c r="C214" s="45"/>
      <c r="D214" s="31"/>
      <c r="E214" s="31"/>
      <c r="F214" s="268"/>
      <c r="G214" s="269"/>
      <c r="H214" s="269"/>
      <c r="I214" s="270"/>
      <c r="J214" s="32"/>
      <c r="K214" s="270"/>
      <c r="L214" s="270"/>
      <c r="M214" s="39"/>
      <c r="N214" s="39"/>
      <c r="O214" s="47"/>
      <c r="P214" s="57"/>
      <c r="Q214" s="276"/>
      <c r="R214" s="277"/>
      <c r="S214" s="277"/>
      <c r="T214" s="40"/>
      <c r="U214" s="278"/>
      <c r="V214" s="269"/>
      <c r="W214" s="269"/>
      <c r="X214" s="275"/>
      <c r="Y214" s="269"/>
      <c r="Z214" s="57"/>
      <c r="AA214" s="207"/>
      <c r="AB214" s="33"/>
      <c r="AC214" s="189"/>
      <c r="AD214" s="54"/>
      <c r="AE214" s="55"/>
      <c r="AF214" s="43"/>
      <c r="AG214" s="47"/>
      <c r="AH214" s="30"/>
      <c r="AI214" s="30"/>
      <c r="AJ214" s="30"/>
      <c r="AK214" s="30"/>
      <c r="AL214" s="13"/>
      <c r="AM214" s="13"/>
      <c r="AN214" s="13"/>
      <c r="AO214" s="13"/>
      <c r="AP214" s="13"/>
      <c r="AQ214" s="14"/>
      <c r="AR214" s="15"/>
    </row>
    <row r="215" spans="1:44" s="17" customFormat="1" ht="30.95" hidden="1" customHeight="1" x14ac:dyDescent="0.2">
      <c r="A215" s="37"/>
      <c r="B215" s="38"/>
      <c r="C215" s="45"/>
      <c r="D215" s="31"/>
      <c r="E215" s="31"/>
      <c r="F215" s="268"/>
      <c r="G215" s="269"/>
      <c r="H215" s="269"/>
      <c r="I215" s="270"/>
      <c r="J215" s="32"/>
      <c r="K215" s="270"/>
      <c r="L215" s="270"/>
      <c r="M215" s="39"/>
      <c r="N215" s="39"/>
      <c r="O215" s="47"/>
      <c r="P215" s="57"/>
      <c r="Q215" s="276"/>
      <c r="R215" s="277"/>
      <c r="S215" s="277"/>
      <c r="T215" s="40"/>
      <c r="U215" s="278"/>
      <c r="V215" s="269"/>
      <c r="W215" s="269"/>
      <c r="X215" s="275"/>
      <c r="Y215" s="269"/>
      <c r="Z215" s="57"/>
      <c r="AA215" s="207"/>
      <c r="AB215" s="33"/>
      <c r="AC215" s="189"/>
      <c r="AD215" s="54"/>
      <c r="AE215" s="55"/>
      <c r="AF215" s="43"/>
      <c r="AG215" s="47"/>
      <c r="AH215" s="30"/>
      <c r="AI215" s="30"/>
      <c r="AJ215" s="30"/>
      <c r="AK215" s="30"/>
      <c r="AL215" s="13"/>
      <c r="AM215" s="13"/>
      <c r="AN215" s="13"/>
      <c r="AO215" s="13"/>
      <c r="AP215" s="13"/>
      <c r="AQ215" s="14"/>
      <c r="AR215" s="15"/>
    </row>
    <row r="216" spans="1:44" s="17" customFormat="1" ht="30.95" hidden="1" customHeight="1" x14ac:dyDescent="0.2">
      <c r="A216" s="37" t="s">
        <v>949</v>
      </c>
      <c r="B216" s="38" t="s">
        <v>443</v>
      </c>
      <c r="C216" s="45"/>
      <c r="D216" s="31">
        <v>3700956</v>
      </c>
      <c r="E216" s="31">
        <v>4151314</v>
      </c>
      <c r="F216" s="268" t="str">
        <f>IF(D216="","",VLOOKUP(D216,契約台帳!$A$3:$K$4986,6,FALSE)&amp;VLOOKUP(D216,契約台帳!$A$3:$K$4986,7,FALSE)&amp;VLOOKUP(D216,契約台帳!$A$3:$K$4986,8,FALSE)&amp;VLOOKUP(D216,契約台帳!$A$3:$K$4986,9,FALSE)&amp;VLOOKUP(D216,契約台帳!$A$3:$K$4986,11,FALSE))</f>
        <v>3SNMLBMNGTBF</v>
      </c>
      <c r="G216" s="269" t="str">
        <f>IF(D216="","",VLOOKUP(F216,製品マスタ!$G$5:$H$5002,2,FALSE))</f>
        <v>S</v>
      </c>
      <c r="H216" s="269" t="str">
        <f>IF(D216="","",VLOOKUP(F216,製品マスタ!$G$5:$K$5002,5,FALSE))</f>
        <v>MNGTBF</v>
      </c>
      <c r="I216" s="270" t="str">
        <f>IF(D216="","",VLOOKUP(F216,製品マスタ!$G$5:$L$5002,6,FALSE))</f>
        <v>メタルミー　ネーマー　銀艶　Ｂ</v>
      </c>
      <c r="J216" s="32" t="s">
        <v>962</v>
      </c>
      <c r="K216" s="270">
        <f>IF(D216="","",VLOOKUP(D216,契約台帳!$A$3:$L$4986,12,FALSE))</f>
        <v>50</v>
      </c>
      <c r="L216" s="270" t="str">
        <f>IF(D216="","",INDEX(製品マスタ!$Q$5:$Q$5002,MATCH(F216&amp;K216,製品マスタ!$AO$5:$AO$5002,0)))</f>
        <v>T62</v>
      </c>
      <c r="M216" s="39">
        <v>1120</v>
      </c>
      <c r="N216" s="39">
        <v>10000</v>
      </c>
      <c r="O216" s="47">
        <v>6</v>
      </c>
      <c r="P216" s="57"/>
      <c r="Q216" s="276">
        <f>IF(D216="","",IF(J216="リード付け",M216,VLOOKUP(D216,契約台帳!$A$3:$N$4986,14,FALSE)))</f>
        <v>1120</v>
      </c>
      <c r="R216" s="277">
        <f>IF(D216="","",IF(J216="リード付け",M216,VLOOKUP(D216,契約台帳!$A$3:$O$4986,15,FALSE)))</f>
        <v>1120</v>
      </c>
      <c r="S216" s="277">
        <f>IF(D216="","",IF(J216="リード付け",N216,VLOOKUP(D216,契約台帳!$A$3:$P$4986,16,FALSE)))</f>
        <v>5000</v>
      </c>
      <c r="T216" s="40">
        <v>12</v>
      </c>
      <c r="U216" s="278">
        <f ca="1">IF(D216="","",IF(OFFSET(D216,-2,0)=D216,"",VLOOKUP(D216,契約台帳!$A$3:$R$4986,18,FALSE)))</f>
        <v>12</v>
      </c>
      <c r="V216" s="269" t="str">
        <f>IF(J216="巻返し",VLOOKUP(F216&amp;K216&amp;M216,製品マスタ!$M$5:$AD$5002,18,FALSE),IF(J216="リード付け","原反コア",IF(J216="スリット",VLOOKUP(F216&amp;K216&amp;Q216,製品マスタ!$N$5:$AD$5002,17,FALSE),"")))</f>
        <v>6ｲﾝﾁSｺｱ</v>
      </c>
      <c r="W216" s="269">
        <f>IF(J216="巻返し",VLOOKUP(F216&amp;K216&amp;M216,製品マスタ!$M$5:$AE$5002,19,FALSE),IF(J216="リード付け","-",IF(J216="スリット",VLOOKUP(F216&amp;K216&amp;Q216,製品マスタ!$N$5:$AE$5002,18,FALSE),"")))</f>
        <v>1125</v>
      </c>
      <c r="X216" s="275">
        <f>IF(D216="","",VLOOKUP(D216,契約台帳!$A$3:$Q$4986,17,FALSE))</f>
        <v>2</v>
      </c>
      <c r="Y216" s="269" t="str">
        <f>IF(D216="","",VLOOKUP(D216,契約台帳!$A$3:$E$4986,5,FALSE))</f>
        <v>リンテック㈱</v>
      </c>
      <c r="Z216" s="57">
        <v>44998</v>
      </c>
      <c r="AA216" s="207" t="str">
        <f>IFERROR(VLOOKUP(F216&amp;K216&amp;M216,製品マスタ!$M$5:$AM$5002,27,FALSE),"")</f>
        <v>原反ケース再利用</v>
      </c>
      <c r="AB216" s="33"/>
      <c r="AC216" s="189"/>
      <c r="AD216" s="54" t="str">
        <f>IF(F216="","",+F216&amp;K216)</f>
        <v>3SNMLBMNGTBF50</v>
      </c>
      <c r="AE216" s="55">
        <f>+M216*N216*O216/1000</f>
        <v>67200</v>
      </c>
      <c r="AF216" s="43">
        <f>IF(AD216="","",VLOOKUP(AD216,原価マスタ!$A$2:$AJ$1693,13,FALSE))</f>
        <v>99</v>
      </c>
      <c r="AG216" s="47">
        <f>IF(AF216="","",+AE216*AF216/100)</f>
        <v>66528</v>
      </c>
      <c r="AH216" s="30"/>
      <c r="AI216" s="30"/>
      <c r="AJ216" s="30"/>
      <c r="AK216" s="30"/>
      <c r="AL216" s="13"/>
      <c r="AM216" s="13"/>
      <c r="AN216" s="13"/>
      <c r="AO216" s="13"/>
      <c r="AP216" s="13"/>
      <c r="AQ216" s="14"/>
      <c r="AR216" s="15"/>
    </row>
    <row r="217" spans="1:44" s="17" customFormat="1" ht="30.95" hidden="1" customHeight="1" x14ac:dyDescent="0.2">
      <c r="A217" s="37"/>
      <c r="B217" s="38"/>
      <c r="C217" s="45"/>
      <c r="D217" s="31"/>
      <c r="E217" s="31"/>
      <c r="F217" s="268" t="str">
        <f>IF(D217="","",VLOOKUP(D217,契約台帳!$A$3:$K$4986,6,FALSE)&amp;VLOOKUP(D217,契約台帳!$A$3:$K$4986,7,FALSE)&amp;VLOOKUP(D217,契約台帳!$A$3:$K$4986,8,FALSE)&amp;VLOOKUP(D217,契約台帳!$A$3:$K$4986,9,FALSE)&amp;VLOOKUP(D217,契約台帳!$A$3:$K$4986,11,FALSE))</f>
        <v/>
      </c>
      <c r="G217" s="269" t="str">
        <f>IF(D217="","",VLOOKUP(F217,製品マスタ!$G$5:$H$5002,2,FALSE))</f>
        <v/>
      </c>
      <c r="H217" s="269" t="str">
        <f>IF(D217="","",VLOOKUP(F217,製品マスタ!$G$5:$K$5002,5,FALSE))</f>
        <v/>
      </c>
      <c r="I217" s="270" t="str">
        <f>IF(D217="","",VLOOKUP(F217,製品マスタ!$G$5:$L$5002,6,FALSE))</f>
        <v/>
      </c>
      <c r="J217" s="32"/>
      <c r="K217" s="270" t="str">
        <f>IF(D217="","",VLOOKUP(D217,契約台帳!$A$3:$L$4986,12,FALSE))</f>
        <v/>
      </c>
      <c r="L217" s="270" t="str">
        <f>IF(D217="","",INDEX(製品マスタ!$Q$5:$Q$5002,MATCH(F217&amp;K217,製品マスタ!$AO$5:$AO$5002,0)))</f>
        <v/>
      </c>
      <c r="M217" s="39"/>
      <c r="N217" s="39"/>
      <c r="O217" s="47"/>
      <c r="P217" s="57"/>
      <c r="Q217" s="276" t="str">
        <f>IF(D217="","",IF(J217="リード付け",M217,VLOOKUP(D217,契約台帳!$A$3:$N$4986,14,FALSE)))</f>
        <v/>
      </c>
      <c r="R217" s="277" t="str">
        <f>IF(D217="","",IF(J217="リード付け",M217,VLOOKUP(D217,契約台帳!$A$3:$O$4986,15,FALSE)))</f>
        <v/>
      </c>
      <c r="S217" s="277" t="str">
        <f>IF(D217="","",IF(J217="リード付け",N217,VLOOKUP(D217,契約台帳!$A$3:$P$4986,16,FALSE)))</f>
        <v/>
      </c>
      <c r="T217" s="40"/>
      <c r="U217" s="278" t="str">
        <f ca="1">IF(D217="","",IF(OFFSET(D217,-2,0)=D217,"",VLOOKUP(D217,契約台帳!$A$3:$R$4986,18,FALSE)))</f>
        <v/>
      </c>
      <c r="V217" s="269" t="str">
        <f>IF(J217="巻返し",VLOOKUP(F217&amp;K217&amp;M217,製品マスタ!$M$5:$AD$5002,18,FALSE),IF(J217="リード付け","原反コア",IF(J217="スリット",VLOOKUP(F217&amp;K217&amp;Q217,製品マスタ!$N$5:$AD$5002,17,FALSE),"")))</f>
        <v/>
      </c>
      <c r="W217" s="269" t="str">
        <f>IF(J217="巻返し",VLOOKUP(F217&amp;K217&amp;M217,製品マスタ!$M$5:$AE$5002,19,FALSE),IF(J217="リード付け","-",IF(J217="スリット",VLOOKUP(F217&amp;K217&amp;Q217,製品マスタ!$N$5:$AE$5002,18,FALSE),"")))</f>
        <v/>
      </c>
      <c r="X217" s="275" t="str">
        <f>IF(D217="","",VLOOKUP(D217,契約台帳!$A$3:$Q$4986,17,FALSE))</f>
        <v/>
      </c>
      <c r="Y217" s="269" t="str">
        <f>IF(D217="","",VLOOKUP(D217,契約台帳!$A$3:$E$4986,5,FALSE))</f>
        <v/>
      </c>
      <c r="Z217" s="57"/>
      <c r="AA217" s="207" t="str">
        <f>IFERROR(VLOOKUP(F217&amp;K217&amp;M217,製品マスタ!$M$5:$AM$5002,27,FALSE),"")</f>
        <v/>
      </c>
      <c r="AB217" s="33"/>
      <c r="AC217" s="189"/>
      <c r="AD217" s="54"/>
      <c r="AE217" s="55"/>
      <c r="AF217" s="43"/>
      <c r="AG217" s="47"/>
      <c r="AH217" s="30"/>
      <c r="AI217" s="30"/>
      <c r="AJ217" s="30"/>
      <c r="AK217" s="30"/>
      <c r="AL217" s="13"/>
      <c r="AM217" s="13"/>
      <c r="AN217" s="13"/>
      <c r="AO217" s="13"/>
      <c r="AP217" s="13"/>
      <c r="AQ217" s="14"/>
      <c r="AR217" s="15"/>
    </row>
    <row r="218" spans="1:44" s="17" customFormat="1" ht="30.95" hidden="1" customHeight="1" x14ac:dyDescent="0.2">
      <c r="A218" s="37" t="s">
        <v>950</v>
      </c>
      <c r="B218" s="38" t="s">
        <v>444</v>
      </c>
      <c r="C218" s="45"/>
      <c r="D218" s="31">
        <v>3700957</v>
      </c>
      <c r="E218" s="31">
        <v>4151315</v>
      </c>
      <c r="F218" s="268" t="str">
        <f>IF(D218="","",VLOOKUP(D218,契約台帳!$A$3:$K$4986,6,FALSE)&amp;VLOOKUP(D218,契約台帳!$A$3:$K$4986,7,FALSE)&amp;VLOOKUP(D218,契約台帳!$A$3:$K$4986,8,FALSE)&amp;VLOOKUP(D218,契約台帳!$A$3:$K$4986,9,FALSE)&amp;VLOOKUP(D218,契約台帳!$A$3:$K$4986,11,FALSE))</f>
        <v>3SNMLBMNGTBF</v>
      </c>
      <c r="G218" s="269" t="str">
        <f>IF(D218="","",VLOOKUP(F218,製品マスタ!$G$5:$H$5002,2,FALSE))</f>
        <v>S</v>
      </c>
      <c r="H218" s="269" t="str">
        <f>IF(D218="","",VLOOKUP(F218,製品マスタ!$G$5:$K$5002,5,FALSE))</f>
        <v>MNGTBF</v>
      </c>
      <c r="I218" s="270" t="str">
        <f>IF(D218="","",VLOOKUP(F218,製品マスタ!$G$5:$L$5002,6,FALSE))</f>
        <v>メタルミー　ネーマー　銀艶　Ｂ</v>
      </c>
      <c r="J218" s="32" t="s">
        <v>962</v>
      </c>
      <c r="K218" s="270">
        <f>IF(D218="","",VLOOKUP(D218,契約台帳!$A$3:$L$4986,12,FALSE))</f>
        <v>50</v>
      </c>
      <c r="L218" s="270" t="str">
        <f>IF(D218="","",INDEX(製品マスタ!$Q$5:$Q$5002,MATCH(F218&amp;K218,製品マスタ!$AO$5:$AO$5002,0)))</f>
        <v>T62</v>
      </c>
      <c r="M218" s="39">
        <v>1120</v>
      </c>
      <c r="N218" s="39">
        <v>10000</v>
      </c>
      <c r="O218" s="47">
        <v>6</v>
      </c>
      <c r="P218" s="57"/>
      <c r="Q218" s="276">
        <f>IF(D218="","",IF(J218="リード付け",M218,VLOOKUP(D218,契約台帳!$A$3:$N$4986,14,FALSE)))</f>
        <v>1120</v>
      </c>
      <c r="R218" s="277">
        <f>IF(D218="","",IF(J218="リード付け",M218,VLOOKUP(D218,契約台帳!$A$3:$O$4986,15,FALSE)))</f>
        <v>1120</v>
      </c>
      <c r="S218" s="277">
        <f>IF(D218="","",IF(J218="リード付け",N218,VLOOKUP(D218,契約台帳!$A$3:$P$4986,16,FALSE)))</f>
        <v>5000</v>
      </c>
      <c r="T218" s="40">
        <v>12</v>
      </c>
      <c r="U218" s="278">
        <f ca="1">IF(D218="","",IF(OFFSET(D218,-2,0)=D218,"",VLOOKUP(D218,契約台帳!$A$3:$R$4986,18,FALSE)))</f>
        <v>12</v>
      </c>
      <c r="V218" s="269" t="str">
        <f>IF(J218="巻返し",VLOOKUP(F218&amp;K218&amp;M218,製品マスタ!$M$5:$AD$5002,18,FALSE),IF(J218="リード付け","原反コア",IF(J218="スリット",VLOOKUP(F218&amp;K218&amp;Q218,製品マスタ!$N$5:$AD$5002,17,FALSE),"")))</f>
        <v>6ｲﾝﾁSｺｱ</v>
      </c>
      <c r="W218" s="269">
        <f>IF(J218="巻返し",VLOOKUP(F218&amp;K218&amp;M218,製品マスタ!$M$5:$AE$5002,19,FALSE),IF(J218="リード付け","-",IF(J218="スリット",VLOOKUP(F218&amp;K218&amp;Q218,製品マスタ!$N$5:$AE$5002,18,FALSE),"")))</f>
        <v>1125</v>
      </c>
      <c r="X218" s="275">
        <f>IF(D218="","",VLOOKUP(D218,契約台帳!$A$3:$Q$4986,17,FALSE))</f>
        <v>2</v>
      </c>
      <c r="Y218" s="269" t="str">
        <f>IF(D218="","",VLOOKUP(D218,契約台帳!$A$3:$E$4986,5,FALSE))</f>
        <v>リンテック㈱</v>
      </c>
      <c r="Z218" s="57">
        <v>44999</v>
      </c>
      <c r="AA218" s="207" t="str">
        <f>IFERROR(VLOOKUP(F218&amp;K218&amp;M218,製品マスタ!$M$5:$AM$5002,27,FALSE),"")</f>
        <v>原反ケース再利用</v>
      </c>
      <c r="AB218" s="33"/>
      <c r="AC218" s="189"/>
      <c r="AD218" s="54" t="str">
        <f>IF(F218="","",+F218&amp;K218)</f>
        <v>3SNMLBMNGTBF50</v>
      </c>
      <c r="AE218" s="55">
        <f>+M218*N218*O218/1000</f>
        <v>67200</v>
      </c>
      <c r="AF218" s="43">
        <f>IF(AD218="","",VLOOKUP(AD218,原価マスタ!$A$2:$AJ$1693,13,FALSE))</f>
        <v>99</v>
      </c>
      <c r="AG218" s="47">
        <f>IF(AF218="","",+AE218*AF218/100)</f>
        <v>66528</v>
      </c>
      <c r="AH218" s="30"/>
      <c r="AI218" s="30"/>
      <c r="AJ218" s="30"/>
      <c r="AK218" s="30"/>
      <c r="AL218" s="13"/>
      <c r="AM218" s="13"/>
      <c r="AN218" s="13"/>
      <c r="AO218" s="13"/>
      <c r="AP218" s="13"/>
      <c r="AQ218" s="14"/>
      <c r="AR218" s="15"/>
    </row>
    <row r="219" spans="1:44" s="17" customFormat="1" ht="30.95" hidden="1" customHeight="1" x14ac:dyDescent="0.2">
      <c r="A219" s="37"/>
      <c r="B219" s="38"/>
      <c r="C219" s="45"/>
      <c r="D219" s="31"/>
      <c r="E219" s="31"/>
      <c r="F219" s="268" t="str">
        <f>IF(D219="","",VLOOKUP(D219,契約台帳!$A$3:$K$4986,6,FALSE)&amp;VLOOKUP(D219,契約台帳!$A$3:$K$4986,7,FALSE)&amp;VLOOKUP(D219,契約台帳!$A$3:$K$4986,8,FALSE)&amp;VLOOKUP(D219,契約台帳!$A$3:$K$4986,9,FALSE)&amp;VLOOKUP(D219,契約台帳!$A$3:$K$4986,11,FALSE))</f>
        <v/>
      </c>
      <c r="G219" s="269" t="str">
        <f>IF(D219="","",VLOOKUP(F219,製品マスタ!$G$5:$H$5002,2,FALSE))</f>
        <v/>
      </c>
      <c r="H219" s="269" t="str">
        <f>IF(D219="","",VLOOKUP(F219,製品マスタ!$G$5:$K$5002,5,FALSE))</f>
        <v/>
      </c>
      <c r="I219" s="270" t="str">
        <f>IF(D219="","",VLOOKUP(F219,製品マスタ!$G$5:$L$5002,6,FALSE))</f>
        <v/>
      </c>
      <c r="J219" s="32"/>
      <c r="K219" s="270" t="str">
        <f>IF(D219="","",VLOOKUP(D219,契約台帳!$A$3:$L$4986,12,FALSE))</f>
        <v/>
      </c>
      <c r="L219" s="270" t="str">
        <f>IF(D219="","",INDEX(製品マスタ!$Q$5:$Q$5002,MATCH(F219&amp;K219,製品マスタ!$AO$5:$AO$5002,0)))</f>
        <v/>
      </c>
      <c r="M219" s="39"/>
      <c r="N219" s="39"/>
      <c r="O219" s="47"/>
      <c r="P219" s="57"/>
      <c r="Q219" s="276" t="str">
        <f>IF(D219="","",IF(J219="リード付け",M219,VLOOKUP(D219,契約台帳!$A$3:$N$4986,14,FALSE)))</f>
        <v/>
      </c>
      <c r="R219" s="277" t="str">
        <f>IF(D219="","",IF(J219="リード付け",M219,VLOOKUP(D219,契約台帳!$A$3:$O$4986,15,FALSE)))</f>
        <v/>
      </c>
      <c r="S219" s="277" t="str">
        <f>IF(D219="","",IF(J219="リード付け",N219,VLOOKUP(D219,契約台帳!$A$3:$P$4986,16,FALSE)))</f>
        <v/>
      </c>
      <c r="T219" s="40"/>
      <c r="U219" s="278" t="str">
        <f ca="1">IF(D219="","",IF(OFFSET(D219,-2,0)=D219,"",VLOOKUP(D219,契約台帳!$A$3:$R$4986,18,FALSE)))</f>
        <v/>
      </c>
      <c r="V219" s="269" t="str">
        <f>IF(J219="巻返し",VLOOKUP(F219&amp;K219&amp;M219,製品マスタ!$M$5:$AD$5002,18,FALSE),IF(J219="リード付け","原反コア",IF(J219="スリット",VLOOKUP(F219&amp;K219&amp;Q219,製品マスタ!$N$5:$AD$5002,17,FALSE),"")))</f>
        <v/>
      </c>
      <c r="W219" s="269" t="str">
        <f>IF(J219="巻返し",VLOOKUP(F219&amp;K219&amp;M219,製品マスタ!$M$5:$AE$5002,19,FALSE),IF(J219="リード付け","-",IF(J219="スリット",VLOOKUP(F219&amp;K219&amp;Q219,製品マスタ!$N$5:$AE$5002,18,FALSE),"")))</f>
        <v/>
      </c>
      <c r="X219" s="275" t="str">
        <f>IF(D219="","",VLOOKUP(D219,契約台帳!$A$3:$Q$4986,17,FALSE))</f>
        <v/>
      </c>
      <c r="Y219" s="269" t="str">
        <f>IF(D219="","",VLOOKUP(D219,契約台帳!$A$3:$E$4986,5,FALSE))</f>
        <v/>
      </c>
      <c r="Z219" s="57"/>
      <c r="AA219" s="207" t="str">
        <f>IFERROR(VLOOKUP(F219&amp;K219&amp;M219,製品マスタ!$M$5:$AM$5002,27,FALSE),"")</f>
        <v/>
      </c>
      <c r="AB219" s="33"/>
      <c r="AC219" s="189"/>
      <c r="AD219" s="54"/>
      <c r="AE219" s="55"/>
      <c r="AF219" s="43"/>
      <c r="AG219" s="47"/>
      <c r="AH219" s="30"/>
      <c r="AI219" s="30"/>
      <c r="AJ219" s="30"/>
      <c r="AK219" s="30"/>
      <c r="AL219" s="13"/>
      <c r="AM219" s="13"/>
      <c r="AN219" s="13"/>
      <c r="AO219" s="13"/>
      <c r="AP219" s="13"/>
      <c r="AQ219" s="14"/>
      <c r="AR219" s="15"/>
    </row>
    <row r="220" spans="1:44" s="17" customFormat="1" ht="30.95" hidden="1" customHeight="1" x14ac:dyDescent="0.2">
      <c r="A220" s="37" t="s">
        <v>951</v>
      </c>
      <c r="B220" s="38" t="s">
        <v>445</v>
      </c>
      <c r="C220" s="45"/>
      <c r="D220" s="31">
        <v>3700958</v>
      </c>
      <c r="E220" s="31">
        <v>4151316</v>
      </c>
      <c r="F220" s="268" t="str">
        <f>IF(D220="","",VLOOKUP(D220,契約台帳!$A$3:$K$4986,6,FALSE)&amp;VLOOKUP(D220,契約台帳!$A$3:$K$4986,7,FALSE)&amp;VLOOKUP(D220,契約台帳!$A$3:$K$4986,8,FALSE)&amp;VLOOKUP(D220,契約台帳!$A$3:$K$4986,9,FALSE)&amp;VLOOKUP(D220,契約台帳!$A$3:$K$4986,11,FALSE))</f>
        <v>3SNMLBMNGTBF</v>
      </c>
      <c r="G220" s="269" t="str">
        <f>IF(D220="","",VLOOKUP(F220,製品マスタ!$G$5:$H$5002,2,FALSE))</f>
        <v>S</v>
      </c>
      <c r="H220" s="269" t="str">
        <f>IF(D220="","",VLOOKUP(F220,製品マスタ!$G$5:$K$5002,5,FALSE))</f>
        <v>MNGTBF</v>
      </c>
      <c r="I220" s="270" t="str">
        <f>IF(D220="","",VLOOKUP(F220,製品マスタ!$G$5:$L$5002,6,FALSE))</f>
        <v>メタルミー　ネーマー　銀艶　Ｂ</v>
      </c>
      <c r="J220" s="32" t="s">
        <v>962</v>
      </c>
      <c r="K220" s="270">
        <f>IF(D220="","",VLOOKUP(D220,契約台帳!$A$3:$L$4986,12,FALSE))</f>
        <v>50</v>
      </c>
      <c r="L220" s="270" t="str">
        <f>IF(D220="","",INDEX(製品マスタ!$Q$5:$Q$5002,MATCH(F220&amp;K220,製品マスタ!$AO$5:$AO$5002,0)))</f>
        <v>T62</v>
      </c>
      <c r="M220" s="39">
        <v>1120</v>
      </c>
      <c r="N220" s="39">
        <v>10000</v>
      </c>
      <c r="O220" s="47">
        <v>6</v>
      </c>
      <c r="P220" s="57"/>
      <c r="Q220" s="276">
        <f>IF(D220="","",IF(J220="リード付け",M220,VLOOKUP(D220,契約台帳!$A$3:$N$4986,14,FALSE)))</f>
        <v>1120</v>
      </c>
      <c r="R220" s="277">
        <f>IF(D220="","",IF(J220="リード付け",M220,VLOOKUP(D220,契約台帳!$A$3:$O$4986,15,FALSE)))</f>
        <v>1120</v>
      </c>
      <c r="S220" s="277">
        <f>IF(D220="","",IF(J220="リード付け",N220,VLOOKUP(D220,契約台帳!$A$3:$P$4986,16,FALSE)))</f>
        <v>5000</v>
      </c>
      <c r="T220" s="40">
        <v>12</v>
      </c>
      <c r="U220" s="278">
        <f ca="1">IF(D220="","",IF(OFFSET(D220,-2,0)=D220,"",VLOOKUP(D220,契約台帳!$A$3:$R$4986,18,FALSE)))</f>
        <v>12</v>
      </c>
      <c r="V220" s="269" t="str">
        <f>IF(J220="巻返し",VLOOKUP(F220&amp;K220&amp;M220,製品マスタ!$M$5:$AD$5002,18,FALSE),IF(J220="リード付け","原反コア",IF(J220="スリット",VLOOKUP(F220&amp;K220&amp;Q220,製品マスタ!$N$5:$AD$5002,17,FALSE),"")))</f>
        <v>6ｲﾝﾁSｺｱ</v>
      </c>
      <c r="W220" s="269">
        <f>IF(J220="巻返し",VLOOKUP(F220&amp;K220&amp;M220,製品マスタ!$M$5:$AE$5002,19,FALSE),IF(J220="リード付け","-",IF(J220="スリット",VLOOKUP(F220&amp;K220&amp;Q220,製品マスタ!$N$5:$AE$5002,18,FALSE),"")))</f>
        <v>1125</v>
      </c>
      <c r="X220" s="275">
        <f>IF(D220="","",VLOOKUP(D220,契約台帳!$A$3:$Q$4986,17,FALSE))</f>
        <v>2</v>
      </c>
      <c r="Y220" s="269" t="str">
        <f>IF(D220="","",VLOOKUP(D220,契約台帳!$A$3:$E$4986,5,FALSE))</f>
        <v>リンテック㈱</v>
      </c>
      <c r="Z220" s="57">
        <v>44999</v>
      </c>
      <c r="AA220" s="207" t="str">
        <f>IFERROR(VLOOKUP(F220&amp;K220&amp;M220,製品マスタ!$M$5:$AM$5002,27,FALSE),"")</f>
        <v>原反ケース再利用</v>
      </c>
      <c r="AB220" s="33"/>
      <c r="AC220" s="189"/>
      <c r="AD220" s="54" t="str">
        <f>IF(F220="","",+F220&amp;K220)</f>
        <v>3SNMLBMNGTBF50</v>
      </c>
      <c r="AE220" s="55">
        <f>+M220*N220*O220/1000</f>
        <v>67200</v>
      </c>
      <c r="AF220" s="43">
        <f>IF(AD220="","",VLOOKUP(AD220,原価マスタ!$A$2:$AJ$1693,13,FALSE))</f>
        <v>99</v>
      </c>
      <c r="AG220" s="47">
        <f>IF(AF220="","",+AE220*AF220/100)</f>
        <v>66528</v>
      </c>
      <c r="AH220" s="30"/>
      <c r="AI220" s="30"/>
      <c r="AJ220" s="30"/>
      <c r="AK220" s="30"/>
      <c r="AL220" s="13"/>
      <c r="AM220" s="13"/>
      <c r="AN220" s="13"/>
      <c r="AO220" s="13"/>
      <c r="AP220" s="13"/>
      <c r="AQ220" s="14"/>
      <c r="AR220" s="15"/>
    </row>
    <row r="221" spans="1:44" s="17" customFormat="1" ht="30.95" hidden="1" customHeight="1" x14ac:dyDescent="0.2">
      <c r="A221" s="37"/>
      <c r="B221" s="38"/>
      <c r="C221" s="45"/>
      <c r="D221" s="31"/>
      <c r="E221" s="31"/>
      <c r="F221" s="268" t="str">
        <f>IF(D221="","",VLOOKUP(D221,契約台帳!$A$3:$K$4986,6,FALSE)&amp;VLOOKUP(D221,契約台帳!$A$3:$K$4986,7,FALSE)&amp;VLOOKUP(D221,契約台帳!$A$3:$K$4986,8,FALSE)&amp;VLOOKUP(D221,契約台帳!$A$3:$K$4986,9,FALSE)&amp;VLOOKUP(D221,契約台帳!$A$3:$K$4986,11,FALSE))</f>
        <v/>
      </c>
      <c r="G221" s="269" t="str">
        <f>IF(D221="","",VLOOKUP(F221,製品マスタ!$G$5:$H$5002,2,FALSE))</f>
        <v/>
      </c>
      <c r="H221" s="269" t="str">
        <f>IF(D221="","",VLOOKUP(F221,製品マスタ!$G$5:$K$5002,5,FALSE))</f>
        <v/>
      </c>
      <c r="I221" s="270" t="str">
        <f>IF(D221="","",VLOOKUP(F221,製品マスタ!$G$5:$L$5002,6,FALSE))</f>
        <v/>
      </c>
      <c r="J221" s="32"/>
      <c r="K221" s="270" t="str">
        <f>IF(D221="","",VLOOKUP(D221,契約台帳!$A$3:$L$4986,12,FALSE))</f>
        <v/>
      </c>
      <c r="L221" s="270" t="str">
        <f>IF(D221="","",INDEX(製品マスタ!$Q$5:$Q$5002,MATCH(F221&amp;K221,製品マスタ!$AO$5:$AO$5002,0)))</f>
        <v/>
      </c>
      <c r="M221" s="39"/>
      <c r="N221" s="39"/>
      <c r="O221" s="47"/>
      <c r="P221" s="57"/>
      <c r="Q221" s="276" t="str">
        <f>IF(D221="","",IF(J221="リード付け",M221,VLOOKUP(D221,契約台帳!$A$3:$N$4986,14,FALSE)))</f>
        <v/>
      </c>
      <c r="R221" s="277" t="str">
        <f>IF(D221="","",IF(J221="リード付け",M221,VLOOKUP(D221,契約台帳!$A$3:$O$4986,15,FALSE)))</f>
        <v/>
      </c>
      <c r="S221" s="277" t="str">
        <f>IF(D221="","",IF(J221="リード付け",N221,VLOOKUP(D221,契約台帳!$A$3:$P$4986,16,FALSE)))</f>
        <v/>
      </c>
      <c r="T221" s="40"/>
      <c r="U221" s="278" t="str">
        <f ca="1">IF(D221="","",IF(OFFSET(D221,-2,0)=D221,"",VLOOKUP(D221,契約台帳!$A$3:$R$4986,18,FALSE)))</f>
        <v/>
      </c>
      <c r="V221" s="269" t="str">
        <f>IF(J221="巻返し",VLOOKUP(F221&amp;K221&amp;M221,製品マスタ!$M$5:$AD$5002,18,FALSE),IF(J221="リード付け","原反コア",IF(J221="スリット",VLOOKUP(F221&amp;K221&amp;Q221,製品マスタ!$N$5:$AD$5002,17,FALSE),"")))</f>
        <v/>
      </c>
      <c r="W221" s="269" t="str">
        <f>IF(J221="巻返し",VLOOKUP(F221&amp;K221&amp;M221,製品マスタ!$M$5:$AE$5002,19,FALSE),IF(J221="リード付け","-",IF(J221="スリット",VLOOKUP(F221&amp;K221&amp;Q221,製品マスタ!$N$5:$AE$5002,18,FALSE),"")))</f>
        <v/>
      </c>
      <c r="X221" s="275" t="str">
        <f>IF(D221="","",VLOOKUP(D221,契約台帳!$A$3:$Q$4986,17,FALSE))</f>
        <v/>
      </c>
      <c r="Y221" s="269" t="str">
        <f>IF(D221="","",VLOOKUP(D221,契約台帳!$A$3:$E$4986,5,FALSE))</f>
        <v/>
      </c>
      <c r="Z221" s="57"/>
      <c r="AA221" s="207" t="str">
        <f>IFERROR(VLOOKUP(F221&amp;K221&amp;M221,製品マスタ!$M$5:$AM$5002,27,FALSE),"")</f>
        <v/>
      </c>
      <c r="AB221" s="33"/>
      <c r="AC221" s="189"/>
      <c r="AD221" s="54"/>
      <c r="AE221" s="55"/>
      <c r="AF221" s="43"/>
      <c r="AG221" s="47"/>
      <c r="AH221" s="30"/>
      <c r="AI221" s="30"/>
      <c r="AJ221" s="30"/>
      <c r="AK221" s="30"/>
      <c r="AL221" s="13"/>
      <c r="AM221" s="13"/>
      <c r="AN221" s="13"/>
      <c r="AO221" s="13"/>
      <c r="AP221" s="13"/>
      <c r="AQ221" s="14"/>
      <c r="AR221" s="15"/>
    </row>
    <row r="222" spans="1:44" s="17" customFormat="1" ht="30.95" hidden="1" customHeight="1" x14ac:dyDescent="0.2">
      <c r="A222" s="37" t="s">
        <v>952</v>
      </c>
      <c r="B222" s="38" t="s">
        <v>446</v>
      </c>
      <c r="C222" s="45"/>
      <c r="D222" s="31"/>
      <c r="E222" s="31"/>
      <c r="F222" s="268" t="str">
        <f>IF(D222="","",VLOOKUP(D222,契約台帳!$A$3:$K$4986,6,FALSE)&amp;VLOOKUP(D222,契約台帳!$A$3:$K$4986,7,FALSE)&amp;VLOOKUP(D222,契約台帳!$A$3:$K$4986,8,FALSE)&amp;VLOOKUP(D222,契約台帳!$A$3:$K$4986,9,FALSE)&amp;VLOOKUP(D222,契約台帳!$A$3:$K$4986,11,FALSE))</f>
        <v/>
      </c>
      <c r="G222" s="269" t="str">
        <f>IF(D222="","",VLOOKUP(F222,製品マスタ!$G$5:$H$5002,2,FALSE))</f>
        <v/>
      </c>
      <c r="H222" s="269" t="str">
        <f>IF(D222="","",VLOOKUP(F222,製品マスタ!$G$5:$K$5002,5,FALSE))</f>
        <v/>
      </c>
      <c r="I222" s="270" t="str">
        <f>IF(D222="","",VLOOKUP(F222,製品マスタ!$G$5:$L$5002,6,FALSE))</f>
        <v/>
      </c>
      <c r="J222" s="32" t="s">
        <v>448</v>
      </c>
      <c r="K222" s="270" t="str">
        <f>IF(D222="","",VLOOKUP(D222,契約台帳!$A$3:$L$4986,12,FALSE))</f>
        <v/>
      </c>
      <c r="L222" s="270" t="str">
        <f>IF(D222="","",INDEX(製品マスタ!$Q$5:$Q$5002,MATCH(F222&amp;K222,製品マスタ!$AO$5:$AO$5002,0)))</f>
        <v/>
      </c>
      <c r="M222" s="39"/>
      <c r="N222" s="39"/>
      <c r="O222" s="47"/>
      <c r="P222" s="57"/>
      <c r="Q222" s="276" t="str">
        <f>IF(D222="","",IF(J222="リード付け",M222,VLOOKUP(D222,契約台帳!$A$3:$N$4986,14,FALSE)))</f>
        <v/>
      </c>
      <c r="R222" s="277" t="str">
        <f>IF(D222="","",IF(J222="リード付け",M222,VLOOKUP(D222,契約台帳!$A$3:$O$4986,15,FALSE)))</f>
        <v/>
      </c>
      <c r="S222" s="277" t="str">
        <f>IF(D222="","",IF(J222="リード付け",N222,VLOOKUP(D222,契約台帳!$A$3:$P$4986,16,FALSE)))</f>
        <v/>
      </c>
      <c r="T222" s="40"/>
      <c r="U222" s="278" t="str">
        <f ca="1">IF(D222="","",IF(OFFSET(D222,-2,0)=D222,"",VLOOKUP(D222,契約台帳!$A$3:$R$4986,18,FALSE)))</f>
        <v/>
      </c>
      <c r="V222" s="269" t="str">
        <f>IF(J222="巻返し",VLOOKUP(F222&amp;K222&amp;M222,製品マスタ!$M$5:$AD$5002,18,FALSE),IF(J222="リード付け","原反コア",IF(J222="スリット",VLOOKUP(F222&amp;K222&amp;Q222,製品マスタ!$N$5:$AD$5002,17,FALSE),"")))</f>
        <v/>
      </c>
      <c r="W222" s="269" t="str">
        <f>IF(J222="巻返し",VLOOKUP(F222&amp;K222&amp;M222,製品マスタ!$M$5:$AE$5002,19,FALSE),IF(J222="リード付け","-",IF(J222="スリット",VLOOKUP(F222&amp;K222&amp;Q222,製品マスタ!$N$5:$AE$5002,18,FALSE),"")))</f>
        <v/>
      </c>
      <c r="X222" s="275" t="str">
        <f>IF(D222="","",VLOOKUP(D222,契約台帳!$A$3:$Q$4986,17,FALSE))</f>
        <v/>
      </c>
      <c r="Y222" s="269" t="str">
        <f>IF(D222="","",VLOOKUP(D222,契約台帳!$A$3:$E$4986,5,FALSE))</f>
        <v/>
      </c>
      <c r="Z222" s="57"/>
      <c r="AA222" s="207" t="str">
        <f>IFERROR(VLOOKUP(F222&amp;K222&amp;M222,製品マスタ!$M$5:$AM$5002,27,FALSE),"")</f>
        <v/>
      </c>
      <c r="AB222" s="33"/>
      <c r="AC222" s="189"/>
      <c r="AD222" s="54"/>
      <c r="AE222" s="55"/>
      <c r="AF222" s="43"/>
      <c r="AG222" s="47"/>
      <c r="AH222" s="30"/>
      <c r="AI222" s="30"/>
      <c r="AJ222" s="30"/>
      <c r="AK222" s="30"/>
      <c r="AL222" s="13"/>
      <c r="AM222" s="13"/>
      <c r="AN222" s="13"/>
      <c r="AO222" s="13"/>
      <c r="AP222" s="13"/>
      <c r="AQ222" s="14"/>
      <c r="AR222" s="15"/>
    </row>
    <row r="223" spans="1:44" s="17" customFormat="1" ht="30.95" hidden="1" customHeight="1" x14ac:dyDescent="0.2">
      <c r="A223" s="37"/>
      <c r="B223" s="38"/>
      <c r="C223" s="45"/>
      <c r="D223" s="31"/>
      <c r="E223" s="31"/>
      <c r="F223" s="268"/>
      <c r="G223" s="269"/>
      <c r="H223" s="269"/>
      <c r="I223" s="270"/>
      <c r="J223" s="32"/>
      <c r="K223" s="270"/>
      <c r="L223" s="270"/>
      <c r="M223" s="39"/>
      <c r="N223" s="39"/>
      <c r="O223" s="47"/>
      <c r="P223" s="57"/>
      <c r="Q223" s="276"/>
      <c r="R223" s="277"/>
      <c r="S223" s="277"/>
      <c r="T223" s="40"/>
      <c r="U223" s="278"/>
      <c r="V223" s="269"/>
      <c r="W223" s="269"/>
      <c r="X223" s="275"/>
      <c r="Y223" s="269"/>
      <c r="Z223" s="57"/>
      <c r="AA223" s="207"/>
      <c r="AB223" s="33"/>
      <c r="AC223" s="189"/>
      <c r="AD223" s="54"/>
      <c r="AE223" s="55"/>
      <c r="AF223" s="43"/>
      <c r="AG223" s="47"/>
      <c r="AH223" s="30"/>
      <c r="AI223" s="30"/>
      <c r="AJ223" s="30"/>
      <c r="AK223" s="30"/>
      <c r="AL223" s="13"/>
      <c r="AM223" s="13"/>
      <c r="AN223" s="13"/>
      <c r="AO223" s="13"/>
      <c r="AP223" s="13"/>
      <c r="AQ223" s="14"/>
      <c r="AR223" s="15"/>
    </row>
    <row r="224" spans="1:44" s="17" customFormat="1" ht="30.95" hidden="1" customHeight="1" x14ac:dyDescent="0.2">
      <c r="A224" s="37" t="s">
        <v>983</v>
      </c>
      <c r="B224" s="38" t="s">
        <v>984</v>
      </c>
      <c r="C224" s="45"/>
      <c r="D224" s="31">
        <v>3700959</v>
      </c>
      <c r="E224" s="31">
        <v>4151317</v>
      </c>
      <c r="F224" s="268" t="str">
        <f>IF(D224="","",VLOOKUP(D224,契約台帳!$A$3:$K$4986,6,FALSE)&amp;VLOOKUP(D224,契約台帳!$A$3:$K$4986,7,FALSE)&amp;VLOOKUP(D224,契約台帳!$A$3:$K$4986,8,FALSE)&amp;VLOOKUP(D224,契約台帳!$A$3:$K$4986,9,FALSE)&amp;VLOOKUP(D224,契約台帳!$A$3:$K$4986,11,FALSE))</f>
        <v>3SNMLBMNGTBF</v>
      </c>
      <c r="G224" s="269" t="str">
        <f>IF(D224="","",VLOOKUP(F224,製品マスタ!$G$5:$H$5002,2,FALSE))</f>
        <v>S</v>
      </c>
      <c r="H224" s="269" t="str">
        <f>IF(D224="","",VLOOKUP(F224,製品マスタ!$G$5:$K$5002,5,FALSE))</f>
        <v>MNGTBF</v>
      </c>
      <c r="I224" s="270" t="str">
        <f>IF(D224="","",VLOOKUP(F224,製品マスタ!$G$5:$L$5002,6,FALSE))</f>
        <v>メタルミー　ネーマー　銀艶　Ｂ</v>
      </c>
      <c r="J224" s="32" t="s">
        <v>962</v>
      </c>
      <c r="K224" s="270">
        <f>IF(D224="","",VLOOKUP(D224,契約台帳!$A$3:$L$4986,12,FALSE))</f>
        <v>50</v>
      </c>
      <c r="L224" s="270" t="str">
        <f>IF(D224="","",INDEX(製品マスタ!$Q$5:$Q$5002,MATCH(F224&amp;K224,製品マスタ!$AO$5:$AO$5002,0)))</f>
        <v>T62</v>
      </c>
      <c r="M224" s="39">
        <v>1120</v>
      </c>
      <c r="N224" s="39">
        <v>10000</v>
      </c>
      <c r="O224" s="47">
        <v>6</v>
      </c>
      <c r="P224" s="57"/>
      <c r="Q224" s="276">
        <f>IF(D224="","",IF(J224="リード付け",M224,VLOOKUP(D224,契約台帳!$A$3:$N$4986,14,FALSE)))</f>
        <v>1120</v>
      </c>
      <c r="R224" s="277">
        <f>IF(D224="","",IF(J224="リード付け",M224,VLOOKUP(D224,契約台帳!$A$3:$O$4986,15,FALSE)))</f>
        <v>1120</v>
      </c>
      <c r="S224" s="277">
        <f>IF(D224="","",IF(J224="リード付け",N224,VLOOKUP(D224,契約台帳!$A$3:$P$4986,16,FALSE)))</f>
        <v>5000</v>
      </c>
      <c r="T224" s="40">
        <v>12</v>
      </c>
      <c r="U224" s="278">
        <f ca="1">IF(D224="","",IF(OFFSET(D224,-2,0)=D224,"",VLOOKUP(D224,契約台帳!$A$3:$R$4986,18,FALSE)))</f>
        <v>12</v>
      </c>
      <c r="V224" s="269" t="str">
        <f>IF(J224="巻返し",VLOOKUP(F224&amp;K224&amp;M224,製品マスタ!$M$5:$AD$5002,18,FALSE),IF(J224="リード付け","原反コア",IF(J224="スリット",VLOOKUP(F224&amp;K224&amp;Q224,製品マスタ!$N$5:$AD$5002,17,FALSE),"")))</f>
        <v>6ｲﾝﾁSｺｱ</v>
      </c>
      <c r="W224" s="269">
        <f>IF(J224="巻返し",VLOOKUP(F224&amp;K224&amp;M224,製品マスタ!$M$5:$AE$5002,19,FALSE),IF(J224="リード付け","-",IF(J224="スリット",VLOOKUP(F224&amp;K224&amp;Q224,製品マスタ!$N$5:$AE$5002,18,FALSE),"")))</f>
        <v>1125</v>
      </c>
      <c r="X224" s="275">
        <f>IF(D224="","",VLOOKUP(D224,契約台帳!$A$3:$Q$4986,17,FALSE))</f>
        <v>2</v>
      </c>
      <c r="Y224" s="269" t="str">
        <f>IF(D224="","",VLOOKUP(D224,契約台帳!$A$3:$E$4986,5,FALSE))</f>
        <v>リンテック㈱</v>
      </c>
      <c r="Z224" s="57">
        <v>45001</v>
      </c>
      <c r="AA224" s="207" t="str">
        <f>IFERROR(VLOOKUP(F224&amp;K224&amp;M224,製品マスタ!$M$5:$AM$5002,27,FALSE),"")</f>
        <v>原反ケース再利用</v>
      </c>
      <c r="AB224" s="33"/>
      <c r="AC224" s="189"/>
      <c r="AD224" s="54" t="str">
        <f>IF(F224="","",+F224&amp;K224)</f>
        <v>3SNMLBMNGTBF50</v>
      </c>
      <c r="AE224" s="55">
        <f>+M224*N224*O224/1000</f>
        <v>67200</v>
      </c>
      <c r="AF224" s="43">
        <f>IF(AD224="","",VLOOKUP(AD224,原価マスタ!$A$2:$AJ$1693,13,FALSE))</f>
        <v>99</v>
      </c>
      <c r="AG224" s="47">
        <f>IF(AF224="","",+AE224*AF224/100)</f>
        <v>66528</v>
      </c>
      <c r="AH224" s="30"/>
      <c r="AI224" s="30"/>
      <c r="AJ224" s="30"/>
      <c r="AK224" s="30"/>
      <c r="AL224" s="13"/>
      <c r="AM224" s="13"/>
      <c r="AN224" s="13"/>
      <c r="AO224" s="13"/>
      <c r="AP224" s="13"/>
      <c r="AQ224" s="14"/>
      <c r="AR224" s="15"/>
    </row>
    <row r="225" spans="1:44" s="17" customFormat="1" ht="30.95" hidden="1" customHeight="1" x14ac:dyDescent="0.2">
      <c r="A225" s="37"/>
      <c r="B225" s="38"/>
      <c r="C225" s="45"/>
      <c r="D225" s="31"/>
      <c r="E225" s="31"/>
      <c r="F225" s="268" t="str">
        <f>IF(D225="","",VLOOKUP(D225,契約台帳!$A$3:$K$4986,6,FALSE)&amp;VLOOKUP(D225,契約台帳!$A$3:$K$4986,7,FALSE)&amp;VLOOKUP(D225,契約台帳!$A$3:$K$4986,8,FALSE)&amp;VLOOKUP(D225,契約台帳!$A$3:$K$4986,9,FALSE)&amp;VLOOKUP(D225,契約台帳!$A$3:$K$4986,11,FALSE))</f>
        <v/>
      </c>
      <c r="G225" s="269" t="str">
        <f>IF(D225="","",VLOOKUP(F225,製品マスタ!$G$5:$H$5002,2,FALSE))</f>
        <v/>
      </c>
      <c r="H225" s="269" t="str">
        <f>IF(D225="","",VLOOKUP(F225,製品マスタ!$G$5:$K$5002,5,FALSE))</f>
        <v/>
      </c>
      <c r="I225" s="270" t="str">
        <f>IF(D225="","",VLOOKUP(F225,製品マスタ!$G$5:$L$5002,6,FALSE))</f>
        <v/>
      </c>
      <c r="J225" s="32"/>
      <c r="K225" s="270" t="str">
        <f>IF(D225="","",VLOOKUP(D225,契約台帳!$A$3:$L$4986,12,FALSE))</f>
        <v/>
      </c>
      <c r="L225" s="270" t="str">
        <f>IF(D225="","",INDEX(製品マスタ!$Q$5:$Q$5002,MATCH(F225&amp;K225,製品マスタ!$AO$5:$AO$5002,0)))</f>
        <v/>
      </c>
      <c r="M225" s="39"/>
      <c r="N225" s="39"/>
      <c r="O225" s="47"/>
      <c r="P225" s="57"/>
      <c r="Q225" s="276" t="str">
        <f>IF(D225="","",IF(J225="リード付け",M225,VLOOKUP(D225,契約台帳!$A$3:$N$4986,14,FALSE)))</f>
        <v/>
      </c>
      <c r="R225" s="277" t="str">
        <f>IF(D225="","",IF(J225="リード付け",M225,VLOOKUP(D225,契約台帳!$A$3:$O$4986,15,FALSE)))</f>
        <v/>
      </c>
      <c r="S225" s="277" t="str">
        <f>IF(D225="","",IF(J225="リード付け",N225,VLOOKUP(D225,契約台帳!$A$3:$P$4986,16,FALSE)))</f>
        <v/>
      </c>
      <c r="T225" s="40"/>
      <c r="U225" s="278" t="str">
        <f ca="1">IF(D225="","",IF(OFFSET(D225,-2,0)=D225,"",VLOOKUP(D225,契約台帳!$A$3:$R$4986,18,FALSE)))</f>
        <v/>
      </c>
      <c r="V225" s="269" t="str">
        <f>IF(J225="巻返し",VLOOKUP(F225&amp;K225&amp;M225,製品マスタ!$M$5:$AD$5002,18,FALSE),IF(J225="リード付け","原反コア",IF(J225="スリット",VLOOKUP(F225&amp;K225&amp;Q225,製品マスタ!$N$5:$AD$5002,17,FALSE),"")))</f>
        <v/>
      </c>
      <c r="W225" s="269" t="str">
        <f>IF(J225="巻返し",VLOOKUP(F225&amp;K225&amp;M225,製品マスタ!$M$5:$AE$5002,19,FALSE),IF(J225="リード付け","-",IF(J225="スリット",VLOOKUP(F225&amp;K225&amp;Q225,製品マスタ!$N$5:$AE$5002,18,FALSE),"")))</f>
        <v/>
      </c>
      <c r="X225" s="275" t="str">
        <f>IF(D225="","",VLOOKUP(D225,契約台帳!$A$3:$Q$4986,17,FALSE))</f>
        <v/>
      </c>
      <c r="Y225" s="269" t="str">
        <f>IF(D225="","",VLOOKUP(D225,契約台帳!$A$3:$E$4986,5,FALSE))</f>
        <v/>
      </c>
      <c r="Z225" s="57"/>
      <c r="AA225" s="207" t="str">
        <f>IFERROR(VLOOKUP(F225&amp;K225&amp;M225,製品マスタ!$M$5:$AM$5002,27,FALSE),"")</f>
        <v/>
      </c>
      <c r="AB225" s="33"/>
      <c r="AC225" s="189"/>
      <c r="AD225" s="54"/>
      <c r="AE225" s="55"/>
      <c r="AF225" s="43"/>
      <c r="AG225" s="47"/>
      <c r="AH225" s="30"/>
      <c r="AI225" s="30"/>
      <c r="AJ225" s="30"/>
      <c r="AK225" s="30"/>
      <c r="AL225" s="13"/>
      <c r="AM225" s="13"/>
      <c r="AN225" s="13"/>
      <c r="AO225" s="13"/>
      <c r="AP225" s="13"/>
      <c r="AQ225" s="14"/>
      <c r="AR225" s="15"/>
    </row>
    <row r="226" spans="1:44" s="17" customFormat="1" ht="30.95" hidden="1" customHeight="1" x14ac:dyDescent="0.2">
      <c r="A226" s="37" t="s">
        <v>985</v>
      </c>
      <c r="B226" s="38" t="s">
        <v>986</v>
      </c>
      <c r="C226" s="45"/>
      <c r="D226" s="31">
        <v>3700968</v>
      </c>
      <c r="E226" s="31">
        <v>4151322</v>
      </c>
      <c r="F226" s="268" t="str">
        <f>IF(D226="","",VLOOKUP(D226,契約台帳!$A$3:$K$4986,6,FALSE)&amp;VLOOKUP(D226,契約台帳!$A$3:$K$4986,7,FALSE)&amp;VLOOKUP(D226,契約台帳!$A$3:$K$4986,8,FALSE)&amp;VLOOKUP(D226,契約台帳!$A$3:$K$4986,9,FALSE)&amp;VLOOKUP(D226,契約台帳!$A$3:$K$4986,11,FALSE))</f>
        <v>3SYMLBMSSMBZF</v>
      </c>
      <c r="G226" s="269" t="str">
        <f>IF(D226="","",VLOOKUP(F226,製品マスタ!$G$5:$H$5002,2,FALSE))</f>
        <v>S</v>
      </c>
      <c r="H226" s="269" t="str">
        <f>IF(D226="","",VLOOKUP(F226,製品マスタ!$G$5:$K$5002,5,FALSE))</f>
        <v>MSSMBZF</v>
      </c>
      <c r="I226" s="270" t="str">
        <f>IF(D226="","",VLOOKUP(F226,製品マスタ!$G$5:$L$5002,6,FALSE))</f>
        <v>ＭＥＴＡＬＵＭＹ　ＳＩＬＶＥＲ　Ｓ－ＭＡＴＴＥ　Ｂ</v>
      </c>
      <c r="J226" s="32" t="s">
        <v>447</v>
      </c>
      <c r="K226" s="270">
        <f>IF(D226="","",VLOOKUP(D226,契約台帳!$A$3:$L$4986,12,FALSE))</f>
        <v>50</v>
      </c>
      <c r="L226" s="270" t="str">
        <f>IF(D226="","",INDEX(製品マスタ!$Q$5:$Q$5002,MATCH(F226&amp;K226,製品マスタ!$AO$5:$AO$5002,0)))</f>
        <v>LI-MAT</v>
      </c>
      <c r="M226" s="39">
        <v>1120</v>
      </c>
      <c r="N226" s="39">
        <v>12000</v>
      </c>
      <c r="O226" s="47">
        <v>2</v>
      </c>
      <c r="P226" s="57"/>
      <c r="Q226" s="276">
        <f>IF(D226="","",IF(J226="リード付け",M226,VLOOKUP(D226,契約台帳!$A$3:$N$4986,14,FALSE)))</f>
        <v>1120</v>
      </c>
      <c r="R226" s="277">
        <f>IF(D226="","",IF(J226="リード付け",M226,VLOOKUP(D226,契約台帳!$A$3:$O$4986,15,FALSE)))</f>
        <v>1120</v>
      </c>
      <c r="S226" s="277">
        <f>IF(D226="","",IF(J226="リード付け",N226,VLOOKUP(D226,契約台帳!$A$3:$P$4986,16,FALSE)))</f>
        <v>4000</v>
      </c>
      <c r="T226" s="40">
        <v>6</v>
      </c>
      <c r="U226" s="278">
        <f ca="1">IF(D226="","",IF(OFFSET(D226,-2,0)=D226,"",VLOOKUP(D226,契約台帳!$A$3:$R$4986,18,FALSE)))</f>
        <v>10</v>
      </c>
      <c r="V226" s="269" t="str">
        <f>IF(J226="巻返し",VLOOKUP(F226&amp;K226&amp;M226,製品マスタ!$M$5:$AD$5002,18,FALSE),IF(J226="リード付け","原反コア",IF(J226="スリット",VLOOKUP(F226&amp;K226&amp;Q226,製品マスタ!$N$5:$AD$5002,17,FALSE),"")))</f>
        <v>6ｲﾝﾁSｺｱ</v>
      </c>
      <c r="W226" s="269">
        <f>IF(J226="巻返し",VLOOKUP(F226&amp;K226&amp;M226,製品マスタ!$M$5:$AE$5002,19,FALSE),IF(J226="リード付け","-",IF(J226="スリット",VLOOKUP(F226&amp;K226&amp;Q226,製品マスタ!$N$5:$AE$5002,18,FALSE),"")))</f>
        <v>1125</v>
      </c>
      <c r="X226" s="275">
        <f>IF(D226="","",VLOOKUP(D226,契約台帳!$A$3:$Q$4986,17,FALSE))</f>
        <v>2</v>
      </c>
      <c r="Y226" s="269" t="str">
        <f>IF(D226="","",VLOOKUP(D226,契約台帳!$A$3:$E$4986,5,FALSE))</f>
        <v>リンテック㈱</v>
      </c>
      <c r="Z226" s="57">
        <v>45002</v>
      </c>
      <c r="AA226" s="207">
        <f>IFERROR(VLOOKUP(F226&amp;K226&amp;M226,製品マスタ!$M$5:$AM$5002,27,FALSE),"")</f>
        <v>0</v>
      </c>
      <c r="AB226" s="33"/>
      <c r="AC226" s="189"/>
      <c r="AD226" s="54" t="str">
        <f>IF(F226="","",+F226&amp;K226)</f>
        <v>3SYMLBMSSMBZF50</v>
      </c>
      <c r="AE226" s="55">
        <f>+M226*N226*O226/1000</f>
        <v>26880</v>
      </c>
      <c r="AF226" s="43">
        <f>IF(AD226="","",VLOOKUP(AD226,原価マスタ!$A$2:$AJ$1693,13,FALSE))</f>
        <v>98</v>
      </c>
      <c r="AG226" s="47">
        <f>IF(AF226="","",+AE226*AF226/100)</f>
        <v>26342.400000000001</v>
      </c>
      <c r="AH226" s="30"/>
      <c r="AI226" s="30"/>
      <c r="AJ226" s="30"/>
      <c r="AK226" s="30"/>
      <c r="AL226" s="13"/>
      <c r="AM226" s="13"/>
      <c r="AN226" s="13"/>
      <c r="AO226" s="13"/>
      <c r="AP226" s="13"/>
      <c r="AQ226" s="14"/>
      <c r="AR226" s="15"/>
    </row>
    <row r="227" spans="1:44" s="17" customFormat="1" ht="30.95" hidden="1" customHeight="1" x14ac:dyDescent="0.2">
      <c r="A227" s="37"/>
      <c r="B227" s="38"/>
      <c r="C227" s="45"/>
      <c r="D227" s="31"/>
      <c r="E227" s="31"/>
      <c r="F227" s="268" t="str">
        <f>IF(D227="","",VLOOKUP(D227,契約台帳!$A$3:$K$4986,6,FALSE)&amp;VLOOKUP(D227,契約台帳!$A$3:$K$4986,7,FALSE)&amp;VLOOKUP(D227,契約台帳!$A$3:$K$4986,8,FALSE)&amp;VLOOKUP(D227,契約台帳!$A$3:$K$4986,9,FALSE)&amp;VLOOKUP(D227,契約台帳!$A$3:$K$4986,11,FALSE))</f>
        <v/>
      </c>
      <c r="G227" s="269" t="str">
        <f>IF(D227="","",VLOOKUP(F227,製品マスタ!$G$5:$H$5002,2,FALSE))</f>
        <v/>
      </c>
      <c r="H227" s="269" t="str">
        <f>IF(D227="","",VLOOKUP(F227,製品マスタ!$G$5:$K$5002,5,FALSE))</f>
        <v/>
      </c>
      <c r="I227" s="270" t="str">
        <f>IF(D227="","",VLOOKUP(F227,製品マスタ!$G$5:$L$5002,6,FALSE))</f>
        <v/>
      </c>
      <c r="J227" s="32"/>
      <c r="K227" s="270" t="str">
        <f>IF(D227="","",VLOOKUP(D227,契約台帳!$A$3:$L$4986,12,FALSE))</f>
        <v/>
      </c>
      <c r="L227" s="270" t="str">
        <f>IF(D227="","",INDEX(製品マスタ!$Q$5:$Q$5002,MATCH(F227&amp;K227,製品マスタ!$AO$5:$AO$5002,0)))</f>
        <v/>
      </c>
      <c r="M227" s="39"/>
      <c r="N227" s="39"/>
      <c r="O227" s="47"/>
      <c r="P227" s="57"/>
      <c r="Q227" s="276" t="str">
        <f>IF(D227="","",IF(J227="リード付け",M227,VLOOKUP(D227,契約台帳!$A$3:$N$4986,14,FALSE)))</f>
        <v/>
      </c>
      <c r="R227" s="277" t="str">
        <f>IF(D227="","",IF(J227="リード付け",M227,VLOOKUP(D227,契約台帳!$A$3:$O$4986,15,FALSE)))</f>
        <v/>
      </c>
      <c r="S227" s="277" t="str">
        <f>IF(D227="","",IF(J227="リード付け",N227,VLOOKUP(D227,契約台帳!$A$3:$P$4986,16,FALSE)))</f>
        <v/>
      </c>
      <c r="T227" s="40"/>
      <c r="U227" s="278" t="str">
        <f ca="1">IF(D227="","",IF(OFFSET(D227,-2,0)=D227,"",VLOOKUP(D227,契約台帳!$A$3:$R$4986,18,FALSE)))</f>
        <v/>
      </c>
      <c r="V227" s="269" t="str">
        <f>IF(J227="巻返し",VLOOKUP(F227&amp;K227&amp;M227,製品マスタ!$M$5:$AD$5002,18,FALSE),IF(J227="リード付け","原反コア",IF(J227="スリット",VLOOKUP(F227&amp;K227&amp;Q227,製品マスタ!$N$5:$AD$5002,17,FALSE),"")))</f>
        <v/>
      </c>
      <c r="W227" s="269" t="str">
        <f>IF(J227="巻返し",VLOOKUP(F227&amp;K227&amp;M227,製品マスタ!$M$5:$AE$5002,19,FALSE),IF(J227="リード付け","-",IF(J227="スリット",VLOOKUP(F227&amp;K227&amp;Q227,製品マスタ!$N$5:$AE$5002,18,FALSE),"")))</f>
        <v/>
      </c>
      <c r="X227" s="275" t="str">
        <f>IF(D227="","",VLOOKUP(D227,契約台帳!$A$3:$Q$4986,17,FALSE))</f>
        <v/>
      </c>
      <c r="Y227" s="269" t="str">
        <f>IF(D227="","",VLOOKUP(D227,契約台帳!$A$3:$E$4986,5,FALSE))</f>
        <v/>
      </c>
      <c r="Z227" s="57"/>
      <c r="AA227" s="207" t="str">
        <f>IFERROR(VLOOKUP(F227&amp;K227&amp;M227,製品マスタ!$M$5:$AM$5002,27,FALSE),"")</f>
        <v/>
      </c>
      <c r="AB227" s="33"/>
      <c r="AC227" s="189"/>
      <c r="AD227" s="54"/>
      <c r="AE227" s="55"/>
      <c r="AF227" s="43"/>
      <c r="AG227" s="47"/>
      <c r="AH227" s="30"/>
      <c r="AI227" s="30"/>
      <c r="AJ227" s="30"/>
      <c r="AK227" s="30"/>
      <c r="AL227" s="13"/>
      <c r="AM227" s="13"/>
      <c r="AN227" s="13"/>
      <c r="AO227" s="13"/>
      <c r="AP227" s="13"/>
      <c r="AQ227" s="14"/>
      <c r="AR227" s="15"/>
    </row>
    <row r="228" spans="1:44" s="17" customFormat="1" ht="30.95" hidden="1" customHeight="1" x14ac:dyDescent="0.2">
      <c r="A228" s="37"/>
      <c r="B228" s="38"/>
      <c r="C228" s="45"/>
      <c r="D228" s="31">
        <v>3700968</v>
      </c>
      <c r="E228" s="31">
        <v>4151322</v>
      </c>
      <c r="F228" s="268" t="str">
        <f>IF(D228="","",VLOOKUP(D228,契約台帳!$A$3:$K$4986,6,FALSE)&amp;VLOOKUP(D228,契約台帳!$A$3:$K$4986,7,FALSE)&amp;VLOOKUP(D228,契約台帳!$A$3:$K$4986,8,FALSE)&amp;VLOOKUP(D228,契約台帳!$A$3:$K$4986,9,FALSE)&amp;VLOOKUP(D228,契約台帳!$A$3:$K$4986,11,FALSE))</f>
        <v>3SYMLBMSSMBZF</v>
      </c>
      <c r="G228" s="269" t="str">
        <f>IF(D228="","",VLOOKUP(F228,製品マスタ!$G$5:$H$5002,2,FALSE))</f>
        <v>S</v>
      </c>
      <c r="H228" s="269" t="str">
        <f>IF(D228="","",VLOOKUP(F228,製品マスタ!$G$5:$K$5002,5,FALSE))</f>
        <v>MSSMBZF</v>
      </c>
      <c r="I228" s="270" t="str">
        <f>IF(D228="","",VLOOKUP(F228,製品マスタ!$G$5:$L$5002,6,FALSE))</f>
        <v>ＭＥＴＡＬＵＭＹ　ＳＩＬＶＥＲ　Ｓ－ＭＡＴＴＥ　Ｂ</v>
      </c>
      <c r="J228" s="32" t="s">
        <v>447</v>
      </c>
      <c r="K228" s="270">
        <f>IF(D228="","",VLOOKUP(D228,契約台帳!$A$3:$L$4986,12,FALSE))</f>
        <v>50</v>
      </c>
      <c r="L228" s="270" t="str">
        <f>IF(D228="","",INDEX(製品マスタ!$Q$5:$Q$5002,MATCH(F228&amp;K228,製品マスタ!$AO$5:$AO$5002,0)))</f>
        <v>LI-MAT</v>
      </c>
      <c r="M228" s="39">
        <v>1120</v>
      </c>
      <c r="N228" s="39">
        <v>8000</v>
      </c>
      <c r="O228" s="47">
        <v>2</v>
      </c>
      <c r="P228" s="57"/>
      <c r="Q228" s="276">
        <f>IF(D228="","",IF(J228="リード付け",M228,VLOOKUP(D228,契約台帳!$A$3:$N$4986,14,FALSE)))</f>
        <v>1120</v>
      </c>
      <c r="R228" s="277">
        <f>IF(D228="","",IF(J228="リード付け",M228,VLOOKUP(D228,契約台帳!$A$3:$O$4986,15,FALSE)))</f>
        <v>1120</v>
      </c>
      <c r="S228" s="277">
        <f>IF(D228="","",IF(J228="リード付け",N228,VLOOKUP(D228,契約台帳!$A$3:$P$4986,16,FALSE)))</f>
        <v>4000</v>
      </c>
      <c r="T228" s="40">
        <v>4</v>
      </c>
      <c r="U228" s="278" t="str">
        <f ca="1">IF(D228="","",IF(OFFSET(D228,-2,0)=D228,"",VLOOKUP(D228,契約台帳!$A$3:$R$4986,18,FALSE)))</f>
        <v/>
      </c>
      <c r="V228" s="269" t="str">
        <f>IF(J228="巻返し",VLOOKUP(F228&amp;K228&amp;M228,製品マスタ!$M$5:$AD$5002,18,FALSE),IF(J228="リード付け","原反コア",IF(J228="スリット",VLOOKUP(F228&amp;K228&amp;Q228,製品マスタ!$N$5:$AD$5002,17,FALSE),"")))</f>
        <v>6ｲﾝﾁSｺｱ</v>
      </c>
      <c r="W228" s="269">
        <f>IF(J228="巻返し",VLOOKUP(F228&amp;K228&amp;M228,製品マスタ!$M$5:$AE$5002,19,FALSE),IF(J228="リード付け","-",IF(J228="スリット",VLOOKUP(F228&amp;K228&amp;Q228,製品マスタ!$N$5:$AE$5002,18,FALSE),"")))</f>
        <v>1125</v>
      </c>
      <c r="X228" s="275">
        <f>IF(D228="","",VLOOKUP(D228,契約台帳!$A$3:$Q$4986,17,FALSE))</f>
        <v>2</v>
      </c>
      <c r="Y228" s="269" t="str">
        <f>IF(D228="","",VLOOKUP(D228,契約台帳!$A$3:$E$4986,5,FALSE))</f>
        <v>リンテック㈱</v>
      </c>
      <c r="Z228" s="57">
        <v>45002</v>
      </c>
      <c r="AA228" s="207">
        <f>IFERROR(VLOOKUP(F228&amp;K228&amp;M228,製品マスタ!$M$5:$AM$5002,27,FALSE),"")</f>
        <v>0</v>
      </c>
      <c r="AB228" s="33"/>
      <c r="AC228" s="189"/>
      <c r="AD228" s="54" t="str">
        <f>IF(F228="","",+F228&amp;K228)</f>
        <v>3SYMLBMSSMBZF50</v>
      </c>
      <c r="AE228" s="55">
        <f>+M228*N228*O228/1000</f>
        <v>17920</v>
      </c>
      <c r="AF228" s="43">
        <f>IF(AD228="","",VLOOKUP(AD228,原価マスタ!$A$2:$AJ$1693,13,FALSE))</f>
        <v>98</v>
      </c>
      <c r="AG228" s="47">
        <f>IF(AF228="","",+AE228*AF228/100)</f>
        <v>17561.599999999999</v>
      </c>
      <c r="AH228" s="30"/>
      <c r="AI228" s="30"/>
      <c r="AJ228" s="30"/>
      <c r="AK228" s="30"/>
      <c r="AL228" s="13"/>
      <c r="AM228" s="13"/>
      <c r="AN228" s="13"/>
      <c r="AO228" s="13"/>
      <c r="AP228" s="13"/>
      <c r="AQ228" s="14"/>
      <c r="AR228" s="15"/>
    </row>
    <row r="229" spans="1:44" s="17" customFormat="1" ht="30.95" hidden="1" customHeight="1" x14ac:dyDescent="0.2">
      <c r="A229" s="37"/>
      <c r="B229" s="38"/>
      <c r="C229" s="45"/>
      <c r="D229" s="31"/>
      <c r="E229" s="31"/>
      <c r="F229" s="268"/>
      <c r="G229" s="269"/>
      <c r="H229" s="269"/>
      <c r="I229" s="270"/>
      <c r="J229" s="32"/>
      <c r="K229" s="270"/>
      <c r="L229" s="270"/>
      <c r="M229" s="39"/>
      <c r="N229" s="39"/>
      <c r="O229" s="47"/>
      <c r="P229" s="57"/>
      <c r="Q229" s="276"/>
      <c r="R229" s="277"/>
      <c r="S229" s="277"/>
      <c r="T229" s="40"/>
      <c r="U229" s="278"/>
      <c r="V229" s="269"/>
      <c r="W229" s="269"/>
      <c r="X229" s="275"/>
      <c r="Y229" s="269"/>
      <c r="Z229" s="57"/>
      <c r="AA229" s="207"/>
      <c r="AB229" s="33"/>
      <c r="AC229" s="189"/>
      <c r="AD229" s="54"/>
      <c r="AE229" s="55"/>
      <c r="AF229" s="43"/>
      <c r="AG229" s="47"/>
      <c r="AH229" s="30"/>
      <c r="AI229" s="30"/>
      <c r="AJ229" s="30"/>
      <c r="AK229" s="30"/>
      <c r="AL229" s="13"/>
      <c r="AM229" s="13"/>
      <c r="AN229" s="13"/>
      <c r="AO229" s="13"/>
      <c r="AP229" s="13"/>
      <c r="AQ229" s="14"/>
      <c r="AR229" s="15"/>
    </row>
    <row r="230" spans="1:44" s="17" customFormat="1" ht="30.95" hidden="1" customHeight="1" x14ac:dyDescent="0.2">
      <c r="A230" s="37"/>
      <c r="B230" s="38"/>
      <c r="C230" s="45"/>
      <c r="D230" s="31">
        <v>3700970</v>
      </c>
      <c r="E230" s="31">
        <v>4151319</v>
      </c>
      <c r="F230" s="268" t="str">
        <f>IF(D230="","",VLOOKUP(D230,契約台帳!$A$3:$K$4986,6,FALSE)&amp;VLOOKUP(D230,契約台帳!$A$3:$K$4986,7,FALSE)&amp;VLOOKUP(D230,契約台帳!$A$3:$K$4986,8,FALSE)&amp;VLOOKUP(D230,契約台帳!$A$3:$K$4986,9,FALSE)&amp;VLOOKUP(D230,契約台帳!$A$3:$K$4986,11,FALSE))</f>
        <v>3SYMLBMSBBZF</v>
      </c>
      <c r="G230" s="269" t="str">
        <f>IF(D230="","",VLOOKUP(F230,製品マスタ!$G$5:$H$5002,2,FALSE))</f>
        <v>S</v>
      </c>
      <c r="H230" s="269" t="str">
        <f>IF(D230="","",VLOOKUP(F230,製品マスタ!$G$5:$K$5002,5,FALSE))</f>
        <v>MSBBZF</v>
      </c>
      <c r="I230" s="270" t="str">
        <f>IF(D230="","",VLOOKUP(F230,製品マスタ!$G$5:$L$5002,6,FALSE))</f>
        <v>ＭＥＴＡＬＵＭＹ　ＳＩＬＶＥＲ　ＢＲＩＧＨＴ　Ｂ</v>
      </c>
      <c r="J230" s="32" t="s">
        <v>962</v>
      </c>
      <c r="K230" s="270">
        <f>IF(D230="","",VLOOKUP(D230,契約台帳!$A$3:$L$4986,12,FALSE))</f>
        <v>50</v>
      </c>
      <c r="L230" s="270" t="str">
        <f>IF(D230="","",INDEX(製品マスタ!$Q$5:$Q$5002,MATCH(F230&amp;K230,製品マスタ!$AO$5:$AO$5002,0)))</f>
        <v>T62</v>
      </c>
      <c r="M230" s="39">
        <v>1120</v>
      </c>
      <c r="N230" s="39">
        <v>10000</v>
      </c>
      <c r="O230" s="47">
        <v>1</v>
      </c>
      <c r="P230" s="57"/>
      <c r="Q230" s="276">
        <f>IF(D230="","",IF(J230="リード付け",M230,VLOOKUP(D230,契約台帳!$A$3:$N$4986,14,FALSE)))</f>
        <v>1120</v>
      </c>
      <c r="R230" s="277">
        <f>IF(D230="","",IF(J230="リード付け",M230,VLOOKUP(D230,契約台帳!$A$3:$O$4986,15,FALSE)))</f>
        <v>1120</v>
      </c>
      <c r="S230" s="277">
        <f>IF(D230="","",IF(J230="リード付け",N230,VLOOKUP(D230,契約台帳!$A$3:$P$4986,16,FALSE)))</f>
        <v>5000</v>
      </c>
      <c r="T230" s="40">
        <v>2</v>
      </c>
      <c r="U230" s="278">
        <f ca="1">IF(D230="","",IF(OFFSET(D230,-2,0)=D230,"",VLOOKUP(D230,契約台帳!$A$3:$R$4986,18,FALSE)))</f>
        <v>2</v>
      </c>
      <c r="V230" s="269" t="str">
        <f>IF(J230="巻返し",VLOOKUP(F230&amp;K230&amp;M230,製品マスタ!$M$5:$AD$5002,18,FALSE),IF(J230="リード付け","原反コア",IF(J230="スリット",VLOOKUP(F230&amp;K230&amp;Q230,製品マスタ!$N$5:$AD$5002,17,FALSE),"")))</f>
        <v>6ｲﾝﾁSｺｱ</v>
      </c>
      <c r="W230" s="269">
        <f>IF(J230="巻返し",VLOOKUP(F230&amp;K230&amp;M230,製品マスタ!$M$5:$AE$5002,19,FALSE),IF(J230="リード付け","-",IF(J230="スリット",VLOOKUP(F230&amp;K230&amp;Q230,製品マスタ!$N$5:$AE$5002,18,FALSE),"")))</f>
        <v>1125</v>
      </c>
      <c r="X230" s="275">
        <f>IF(D230="","",VLOOKUP(D230,契約台帳!$A$3:$Q$4986,17,FALSE))</f>
        <v>2</v>
      </c>
      <c r="Y230" s="269" t="str">
        <f>IF(D230="","",VLOOKUP(D230,契約台帳!$A$3:$E$4986,5,FALSE))</f>
        <v>リンテック㈱</v>
      </c>
      <c r="Z230" s="57">
        <v>45002</v>
      </c>
      <c r="AA230" s="207" t="str">
        <f>IFERROR(VLOOKUP(F230&amp;K230&amp;M230,製品マスタ!$M$5:$AM$5002,27,FALSE),"")</f>
        <v>原反ケース再利用</v>
      </c>
      <c r="AB230" s="33"/>
      <c r="AC230" s="189"/>
      <c r="AD230" s="54" t="str">
        <f>IF(F230="","",+F230&amp;K230)</f>
        <v>3SYMLBMSBBZF50</v>
      </c>
      <c r="AE230" s="55">
        <f>+M230*N230*O230/1000</f>
        <v>11200</v>
      </c>
      <c r="AF230" s="43">
        <f>IF(AD230="","",VLOOKUP(AD230,原価マスタ!$A$2:$AJ$1693,13,FALSE))</f>
        <v>99</v>
      </c>
      <c r="AG230" s="47">
        <f>IF(AF230="","",+AE230*AF230/100)</f>
        <v>11088</v>
      </c>
      <c r="AH230" s="30"/>
      <c r="AI230" s="30"/>
      <c r="AJ230" s="30"/>
      <c r="AK230" s="30"/>
      <c r="AL230" s="13"/>
      <c r="AM230" s="13"/>
      <c r="AN230" s="13"/>
      <c r="AO230" s="13"/>
      <c r="AP230" s="13"/>
      <c r="AQ230" s="14"/>
      <c r="AR230" s="15"/>
    </row>
    <row r="231" spans="1:44" s="17" customFormat="1" ht="30.95" hidden="1" customHeight="1" x14ac:dyDescent="0.2">
      <c r="A231" s="37"/>
      <c r="B231" s="38"/>
      <c r="C231" s="45"/>
      <c r="D231" s="31"/>
      <c r="E231" s="31"/>
      <c r="F231" s="268" t="str">
        <f>IF(D231="","",VLOOKUP(D231,契約台帳!$A$3:$K$4986,6,FALSE)&amp;VLOOKUP(D231,契約台帳!$A$3:$K$4986,7,FALSE)&amp;VLOOKUP(D231,契約台帳!$A$3:$K$4986,8,FALSE)&amp;VLOOKUP(D231,契約台帳!$A$3:$K$4986,9,FALSE)&amp;VLOOKUP(D231,契約台帳!$A$3:$K$4986,11,FALSE))</f>
        <v/>
      </c>
      <c r="G231" s="269" t="str">
        <f>IF(D231="","",VLOOKUP(F231,製品マスタ!$G$5:$H$5002,2,FALSE))</f>
        <v/>
      </c>
      <c r="H231" s="269" t="str">
        <f>IF(D231="","",VLOOKUP(F231,製品マスタ!$G$5:$K$5002,5,FALSE))</f>
        <v/>
      </c>
      <c r="I231" s="270" t="str">
        <f>IF(D231="","",VLOOKUP(F231,製品マスタ!$G$5:$L$5002,6,FALSE))</f>
        <v/>
      </c>
      <c r="J231" s="32"/>
      <c r="K231" s="270" t="str">
        <f>IF(D231="","",VLOOKUP(D231,契約台帳!$A$3:$L$4986,12,FALSE))</f>
        <v/>
      </c>
      <c r="L231" s="270" t="str">
        <f>IF(D231="","",INDEX(製品マスタ!$Q$5:$Q$5002,MATCH(F231&amp;K231,製品マスタ!$AO$5:$AO$5002,0)))</f>
        <v/>
      </c>
      <c r="M231" s="39"/>
      <c r="N231" s="39"/>
      <c r="O231" s="47"/>
      <c r="P231" s="57"/>
      <c r="Q231" s="276" t="str">
        <f>IF(D231="","",IF(J231="リード付け",M231,VLOOKUP(D231,契約台帳!$A$3:$N$4986,14,FALSE)))</f>
        <v/>
      </c>
      <c r="R231" s="277" t="str">
        <f>IF(D231="","",IF(J231="リード付け",M231,VLOOKUP(D231,契約台帳!$A$3:$O$4986,15,FALSE)))</f>
        <v/>
      </c>
      <c r="S231" s="277" t="str">
        <f>IF(D231="","",IF(J231="リード付け",N231,VLOOKUP(D231,契約台帳!$A$3:$P$4986,16,FALSE)))</f>
        <v/>
      </c>
      <c r="T231" s="40"/>
      <c r="U231" s="278" t="str">
        <f ca="1">IF(D231="","",IF(OFFSET(D231,-2,0)=D231,"",VLOOKUP(D231,契約台帳!$A$3:$R$4986,18,FALSE)))</f>
        <v/>
      </c>
      <c r="V231" s="269" t="str">
        <f>IF(J231="巻返し",VLOOKUP(F231&amp;K231&amp;M231,製品マスタ!$M$5:$AD$5002,18,FALSE),IF(J231="リード付け","原反コア",IF(J231="スリット",VLOOKUP(F231&amp;K231&amp;Q231,製品マスタ!$N$5:$AD$5002,17,FALSE),"")))</f>
        <v/>
      </c>
      <c r="W231" s="269" t="str">
        <f>IF(J231="巻返し",VLOOKUP(F231&amp;K231&amp;M231,製品マスタ!$M$5:$AE$5002,19,FALSE),IF(J231="リード付け","-",IF(J231="スリット",VLOOKUP(F231&amp;K231&amp;Q231,製品マスタ!$N$5:$AE$5002,18,FALSE),"")))</f>
        <v/>
      </c>
      <c r="X231" s="275" t="str">
        <f>IF(D231="","",VLOOKUP(D231,契約台帳!$A$3:$Q$4986,17,FALSE))</f>
        <v/>
      </c>
      <c r="Y231" s="269" t="str">
        <f>IF(D231="","",VLOOKUP(D231,契約台帳!$A$3:$E$4986,5,FALSE))</f>
        <v/>
      </c>
      <c r="Z231" s="57"/>
      <c r="AA231" s="207" t="str">
        <f>IFERROR(VLOOKUP(F231&amp;K231&amp;M231,製品マスタ!$M$5:$AM$5002,27,FALSE),"")</f>
        <v/>
      </c>
      <c r="AB231" s="33"/>
      <c r="AC231" s="189"/>
      <c r="AD231" s="54"/>
      <c r="AE231" s="55"/>
      <c r="AF231" s="43"/>
      <c r="AG231" s="47"/>
      <c r="AH231" s="30"/>
      <c r="AI231" s="30"/>
      <c r="AJ231" s="30"/>
      <c r="AK231" s="30"/>
      <c r="AL231" s="13"/>
      <c r="AM231" s="13"/>
      <c r="AN231" s="13"/>
      <c r="AO231" s="13"/>
      <c r="AP231" s="13"/>
      <c r="AQ231" s="14"/>
      <c r="AR231" s="15"/>
    </row>
    <row r="232" spans="1:44" s="17" customFormat="1" ht="30.95" hidden="1" customHeight="1" x14ac:dyDescent="0.2">
      <c r="A232" s="37"/>
      <c r="B232" s="38"/>
      <c r="C232" s="45"/>
      <c r="D232" s="31">
        <v>3700967</v>
      </c>
      <c r="E232" s="31">
        <v>4151320</v>
      </c>
      <c r="F232" s="268" t="str">
        <f>IF(D232="","",VLOOKUP(D232,契約台帳!$A$3:$K$4986,6,FALSE)&amp;VLOOKUP(D232,契約台帳!$A$3:$K$4986,7,FALSE)&amp;VLOOKUP(D232,契約台帳!$A$3:$K$4986,8,FALSE)&amp;VLOOKUP(D232,契約台帳!$A$3:$K$4986,9,FALSE)&amp;VLOOKUP(D232,契約台帳!$A$3:$K$4986,11,FALSE))</f>
        <v>3SYMLBMSNMBF</v>
      </c>
      <c r="G232" s="269" t="str">
        <f>IF(D232="","",VLOOKUP(F232,製品マスタ!$G$5:$H$5002,2,FALSE))</f>
        <v>S</v>
      </c>
      <c r="H232" s="269" t="str">
        <f>IF(D232="","",VLOOKUP(F232,製品マスタ!$G$5:$K$5002,5,FALSE))</f>
        <v>MSNMBF</v>
      </c>
      <c r="I232" s="270" t="str">
        <f>IF(D232="","",VLOOKUP(F232,製品マスタ!$G$5:$L$5002,6,FALSE))</f>
        <v>ＭＥＴＡＬＵＭＹ　ＳＩＬＶＥＲ　Ｎ－ＭＡＴＴＥ　Ｘ４４Ｍ　Ｂ</v>
      </c>
      <c r="J232" s="32" t="s">
        <v>962</v>
      </c>
      <c r="K232" s="270">
        <f>IF(D232="","",VLOOKUP(D232,契約台帳!$A$3:$L$4986,12,FALSE))</f>
        <v>50</v>
      </c>
      <c r="L232" s="270" t="str">
        <f>IF(D232="","",INDEX(製品マスタ!$Q$5:$Q$5002,MATCH(F232&amp;K232,製品マスタ!$AO$5:$AO$5002,0)))</f>
        <v>X44</v>
      </c>
      <c r="M232" s="39">
        <v>1120</v>
      </c>
      <c r="N232" s="39">
        <v>8000</v>
      </c>
      <c r="O232" s="47">
        <v>2</v>
      </c>
      <c r="P232" s="57"/>
      <c r="Q232" s="276">
        <f>IF(D232="","",IF(J232="リード付け",M232,VLOOKUP(D232,契約台帳!$A$3:$N$4986,14,FALSE)))</f>
        <v>1120</v>
      </c>
      <c r="R232" s="277">
        <f>IF(D232="","",IF(J232="リード付け",M232,VLOOKUP(D232,契約台帳!$A$3:$O$4986,15,FALSE)))</f>
        <v>1120</v>
      </c>
      <c r="S232" s="277">
        <f>IF(D232="","",IF(J232="リード付け",N232,VLOOKUP(D232,契約台帳!$A$3:$P$4986,16,FALSE)))</f>
        <v>4000</v>
      </c>
      <c r="T232" s="40">
        <v>4</v>
      </c>
      <c r="U232" s="278">
        <f ca="1">IF(D232="","",IF(OFFSET(D232,-2,0)=D232,"",VLOOKUP(D232,契約台帳!$A$3:$R$4986,18,FALSE)))</f>
        <v>4</v>
      </c>
      <c r="V232" s="269" t="str">
        <f>IF(J232="巻返し",VLOOKUP(F232&amp;K232&amp;M232,製品マスタ!$M$5:$AD$5002,18,FALSE),IF(J232="リード付け","原反コア",IF(J232="スリット",VLOOKUP(F232&amp;K232&amp;Q232,製品マスタ!$N$5:$AD$5002,17,FALSE),"")))</f>
        <v>6ｲﾝﾁMｺｱ</v>
      </c>
      <c r="W232" s="269">
        <f>IF(J232="巻返し",VLOOKUP(F232&amp;K232&amp;M232,製品マスタ!$M$5:$AE$5002,19,FALSE),IF(J232="リード付け","-",IF(J232="スリット",VLOOKUP(F232&amp;K232&amp;Q232,製品マスタ!$N$5:$AE$5002,18,FALSE),"")))</f>
        <v>1125</v>
      </c>
      <c r="X232" s="275">
        <f>IF(D232="","",VLOOKUP(D232,契約台帳!$A$3:$Q$4986,17,FALSE))</f>
        <v>2</v>
      </c>
      <c r="Y232" s="269" t="str">
        <f>IF(D232="","",VLOOKUP(D232,契約台帳!$A$3:$E$4986,5,FALSE))</f>
        <v>リンテック㈱</v>
      </c>
      <c r="Z232" s="57">
        <v>45002</v>
      </c>
      <c r="AA232" s="207">
        <f>IFERROR(VLOOKUP(F232&amp;K232&amp;M232,製品マスタ!$M$5:$AM$5002,27,FALSE),"")</f>
        <v>0</v>
      </c>
      <c r="AB232" s="33"/>
      <c r="AC232" s="189"/>
      <c r="AD232" s="54" t="str">
        <f>IF(F232="","",+F232&amp;K232)</f>
        <v>3SYMLBMSNMBF50</v>
      </c>
      <c r="AE232" s="55">
        <f>+M232*N232*O232/1000</f>
        <v>17920</v>
      </c>
      <c r="AF232" s="43">
        <f>IF(AD232="","",VLOOKUP(AD232,原価マスタ!$A$2:$AJ$1693,13,FALSE))</f>
        <v>98.8</v>
      </c>
      <c r="AG232" s="47">
        <f>IF(AF232="","",+AE232*AF232/100)</f>
        <v>17704.96</v>
      </c>
      <c r="AH232" s="30"/>
      <c r="AI232" s="30"/>
      <c r="AJ232" s="30"/>
      <c r="AK232" s="30"/>
      <c r="AL232" s="13"/>
      <c r="AM232" s="13"/>
      <c r="AN232" s="13"/>
      <c r="AO232" s="13"/>
      <c r="AP232" s="13"/>
      <c r="AQ232" s="14"/>
      <c r="AR232" s="15"/>
    </row>
    <row r="233" spans="1:44" s="17" customFormat="1" ht="30.95" hidden="1" customHeight="1" x14ac:dyDescent="0.2">
      <c r="A233" s="37"/>
      <c r="B233" s="38"/>
      <c r="C233" s="45"/>
      <c r="D233" s="31"/>
      <c r="E233" s="31"/>
      <c r="F233" s="268" t="str">
        <f>IF(D233="","",VLOOKUP(D233,契約台帳!$A$3:$K$4986,6,FALSE)&amp;VLOOKUP(D233,契約台帳!$A$3:$K$4986,7,FALSE)&amp;VLOOKUP(D233,契約台帳!$A$3:$K$4986,8,FALSE)&amp;VLOOKUP(D233,契約台帳!$A$3:$K$4986,9,FALSE)&amp;VLOOKUP(D233,契約台帳!$A$3:$K$4986,11,FALSE))</f>
        <v/>
      </c>
      <c r="G233" s="269" t="str">
        <f>IF(D233="","",VLOOKUP(F233,製品マスタ!$G$5:$H$5002,2,FALSE))</f>
        <v/>
      </c>
      <c r="H233" s="269" t="str">
        <f>IF(D233="","",VLOOKUP(F233,製品マスタ!$G$5:$K$5002,5,FALSE))</f>
        <v/>
      </c>
      <c r="I233" s="270" t="str">
        <f>IF(D233="","",VLOOKUP(F233,製品マスタ!$G$5:$L$5002,6,FALSE))</f>
        <v/>
      </c>
      <c r="J233" s="32"/>
      <c r="K233" s="270" t="str">
        <f>IF(D233="","",VLOOKUP(D233,契約台帳!$A$3:$L$4986,12,FALSE))</f>
        <v/>
      </c>
      <c r="L233" s="270" t="str">
        <f>IF(D233="","",INDEX(製品マスタ!$Q$5:$Q$5002,MATCH(F233&amp;K233,製品マスタ!$AO$5:$AO$5002,0)))</f>
        <v/>
      </c>
      <c r="M233" s="39"/>
      <c r="N233" s="39"/>
      <c r="O233" s="47"/>
      <c r="P233" s="57"/>
      <c r="Q233" s="276" t="str">
        <f>IF(D233="","",IF(J233="リード付け",M233,VLOOKUP(D233,契約台帳!$A$3:$N$4986,14,FALSE)))</f>
        <v/>
      </c>
      <c r="R233" s="277" t="str">
        <f>IF(D233="","",IF(J233="リード付け",M233,VLOOKUP(D233,契約台帳!$A$3:$O$4986,15,FALSE)))</f>
        <v/>
      </c>
      <c r="S233" s="277" t="str">
        <f>IF(D233="","",IF(J233="リード付け",N233,VLOOKUP(D233,契約台帳!$A$3:$P$4986,16,FALSE)))</f>
        <v/>
      </c>
      <c r="T233" s="40"/>
      <c r="U233" s="278" t="str">
        <f ca="1">IF(D233="","",IF(OFFSET(D233,-2,0)=D233,"",VLOOKUP(D233,契約台帳!$A$3:$R$4986,18,FALSE)))</f>
        <v/>
      </c>
      <c r="V233" s="269" t="str">
        <f>IF(J233="巻返し",VLOOKUP(F233&amp;K233&amp;M233,製品マスタ!$M$5:$AD$5002,18,FALSE),IF(J233="リード付け","原反コア",IF(J233="スリット",VLOOKUP(F233&amp;K233&amp;Q233,製品マスタ!$N$5:$AD$5002,17,FALSE),"")))</f>
        <v/>
      </c>
      <c r="W233" s="269" t="str">
        <f>IF(J233="巻返し",VLOOKUP(F233&amp;K233&amp;M233,製品マスタ!$M$5:$AE$5002,19,FALSE),IF(J233="リード付け","-",IF(J233="スリット",VLOOKUP(F233&amp;K233&amp;Q233,製品マスタ!$N$5:$AE$5002,18,FALSE),"")))</f>
        <v/>
      </c>
      <c r="X233" s="275" t="str">
        <f>IF(D233="","",VLOOKUP(D233,契約台帳!$A$3:$Q$4986,17,FALSE))</f>
        <v/>
      </c>
      <c r="Y233" s="269" t="str">
        <f>IF(D233="","",VLOOKUP(D233,契約台帳!$A$3:$E$4986,5,FALSE))</f>
        <v/>
      </c>
      <c r="Z233" s="57"/>
      <c r="AA233" s="207" t="str">
        <f>IFERROR(VLOOKUP(F233&amp;K233&amp;M233,製品マスタ!$M$5:$AM$5002,27,FALSE),"")</f>
        <v/>
      </c>
      <c r="AB233" s="33"/>
      <c r="AC233" s="189"/>
      <c r="AD233" s="54"/>
      <c r="AE233" s="55"/>
      <c r="AF233" s="43"/>
      <c r="AG233" s="47"/>
      <c r="AH233" s="30"/>
      <c r="AI233" s="30"/>
      <c r="AJ233" s="30"/>
      <c r="AK233" s="30"/>
      <c r="AL233" s="13"/>
      <c r="AM233" s="13"/>
      <c r="AN233" s="13"/>
      <c r="AO233" s="13"/>
      <c r="AP233" s="13"/>
      <c r="AQ233" s="14"/>
      <c r="AR233" s="15"/>
    </row>
    <row r="234" spans="1:44" s="17" customFormat="1" ht="30.95" hidden="1" customHeight="1" x14ac:dyDescent="0.2">
      <c r="A234" s="37" t="s">
        <v>987</v>
      </c>
      <c r="B234" s="38" t="s">
        <v>988</v>
      </c>
      <c r="C234" s="45"/>
      <c r="D234" s="31">
        <v>3700969</v>
      </c>
      <c r="E234" s="31">
        <v>4151325</v>
      </c>
      <c r="F234" s="268" t="str">
        <f>IF(D234="","",VLOOKUP(D234,契約台帳!$A$3:$K$4986,6,FALSE)&amp;VLOOKUP(D234,契約台帳!$A$3:$K$4986,7,FALSE)&amp;VLOOKUP(D234,契約台帳!$A$3:$K$4986,8,FALSE)&amp;VLOOKUP(D234,契約台帳!$A$3:$K$4986,9,FALSE)&amp;VLOOKUP(D234,契約台帳!$A$3:$K$4986,11,FALSE))</f>
        <v>3SYMLBMSNMBZF</v>
      </c>
      <c r="G234" s="269" t="str">
        <f>IF(D234="","",VLOOKUP(F234,製品マスタ!$G$5:$H$5002,2,FALSE))</f>
        <v>S</v>
      </c>
      <c r="H234" s="269" t="str">
        <f>IF(D234="","",VLOOKUP(F234,製品マスタ!$G$5:$K$5002,5,FALSE))</f>
        <v>MSNMBZF</v>
      </c>
      <c r="I234" s="270" t="str">
        <f>IF(D234="","",VLOOKUP(F234,製品マスタ!$G$5:$L$5002,6,FALSE))</f>
        <v>ＭＥＴＡＬＵＭＹ　ＳＩＬＶＥＲ　Ｎ－ＭＡＴＴＥ　Ｂ</v>
      </c>
      <c r="J234" s="32" t="s">
        <v>962</v>
      </c>
      <c r="K234" s="270">
        <f>IF(D234="","",VLOOKUP(D234,契約台帳!$A$3:$L$4986,12,FALSE))</f>
        <v>50</v>
      </c>
      <c r="L234" s="270" t="str">
        <f>IF(D234="","",INDEX(製品マスタ!$Q$5:$Q$5002,MATCH(F234&amp;K234,製品マスタ!$AO$5:$AO$5002,0)))</f>
        <v>X44</v>
      </c>
      <c r="M234" s="39">
        <v>1120</v>
      </c>
      <c r="N234" s="39">
        <v>12000</v>
      </c>
      <c r="O234" s="47">
        <v>4</v>
      </c>
      <c r="P234" s="57"/>
      <c r="Q234" s="276">
        <f>IF(D234="","",IF(J234="リード付け",M234,VLOOKUP(D234,契約台帳!$A$3:$N$4986,14,FALSE)))</f>
        <v>1120</v>
      </c>
      <c r="R234" s="277">
        <f>IF(D234="","",IF(J234="リード付け",M234,VLOOKUP(D234,契約台帳!$A$3:$O$4986,15,FALSE)))</f>
        <v>1120</v>
      </c>
      <c r="S234" s="277">
        <f>IF(D234="","",IF(J234="リード付け",N234,VLOOKUP(D234,契約台帳!$A$3:$P$4986,16,FALSE)))</f>
        <v>4000</v>
      </c>
      <c r="T234" s="40">
        <v>12</v>
      </c>
      <c r="U234" s="278">
        <f ca="1">IF(D234="","",IF(OFFSET(D234,-2,0)=D234,"",VLOOKUP(D234,契約台帳!$A$3:$R$4986,18,FALSE)))</f>
        <v>16</v>
      </c>
      <c r="V234" s="269" t="str">
        <f>IF(J234="巻返し",VLOOKUP(F234&amp;K234&amp;M234,製品マスタ!$M$5:$AD$5002,18,FALSE),IF(J234="リード付け","原反コア",IF(J234="スリット",VLOOKUP(F234&amp;K234&amp;Q234,製品マスタ!$N$5:$AD$5002,17,FALSE),"")))</f>
        <v>6ｲﾝﾁMｺｱ</v>
      </c>
      <c r="W234" s="269">
        <f>IF(J234="巻返し",VLOOKUP(F234&amp;K234&amp;M234,製品マスタ!$M$5:$AE$5002,19,FALSE),IF(J234="リード付け","-",IF(J234="スリット",VLOOKUP(F234&amp;K234&amp;Q234,製品マスタ!$N$5:$AE$5002,18,FALSE),"")))</f>
        <v>1125</v>
      </c>
      <c r="X234" s="275">
        <f>IF(D234="","",VLOOKUP(D234,契約台帳!$A$3:$Q$4986,17,FALSE))</f>
        <v>2</v>
      </c>
      <c r="Y234" s="269" t="str">
        <f>IF(D234="","",VLOOKUP(D234,契約台帳!$A$3:$E$4986,5,FALSE))</f>
        <v>リンテック㈱</v>
      </c>
      <c r="Z234" s="57">
        <v>45005</v>
      </c>
      <c r="AA234" s="207">
        <f>IFERROR(VLOOKUP(F234&amp;K234&amp;M234,製品マスタ!$M$5:$AM$5002,27,FALSE),"")</f>
        <v>0</v>
      </c>
      <c r="AB234" s="33"/>
      <c r="AC234" s="189"/>
      <c r="AD234" s="54" t="str">
        <f>IF(F234="","",+F234&amp;K234)</f>
        <v>3SYMLBMSNMBZF50</v>
      </c>
      <c r="AE234" s="55">
        <f>+M234*N234*O234/1000</f>
        <v>53760</v>
      </c>
      <c r="AF234" s="43">
        <f>IF(AD234="","",VLOOKUP(AD234,原価マスタ!$A$2:$AJ$1693,13,FALSE))</f>
        <v>99</v>
      </c>
      <c r="AG234" s="47">
        <f>IF(AF234="","",+AE234*AF234/100)</f>
        <v>53222.400000000001</v>
      </c>
      <c r="AH234" s="30"/>
      <c r="AI234" s="30"/>
      <c r="AJ234" s="30"/>
      <c r="AK234" s="30"/>
      <c r="AL234" s="13"/>
      <c r="AM234" s="13"/>
      <c r="AN234" s="13"/>
      <c r="AO234" s="13"/>
      <c r="AP234" s="13"/>
      <c r="AQ234" s="14"/>
      <c r="AR234" s="15"/>
    </row>
    <row r="235" spans="1:44" s="17" customFormat="1" ht="30.95" hidden="1" customHeight="1" x14ac:dyDescent="0.2">
      <c r="A235" s="37"/>
      <c r="B235" s="38"/>
      <c r="C235" s="45"/>
      <c r="D235" s="31"/>
      <c r="E235" s="31"/>
      <c r="F235" s="268" t="str">
        <f>IF(D235="","",VLOOKUP(D235,契約台帳!$A$3:$K$4986,6,FALSE)&amp;VLOOKUP(D235,契約台帳!$A$3:$K$4986,7,FALSE)&amp;VLOOKUP(D235,契約台帳!$A$3:$K$4986,8,FALSE)&amp;VLOOKUP(D235,契約台帳!$A$3:$K$4986,9,FALSE)&amp;VLOOKUP(D235,契約台帳!$A$3:$K$4986,11,FALSE))</f>
        <v/>
      </c>
      <c r="G235" s="269" t="str">
        <f>IF(D235="","",VLOOKUP(F235,製品マスタ!$G$5:$H$5002,2,FALSE))</f>
        <v/>
      </c>
      <c r="H235" s="269" t="str">
        <f>IF(D235="","",VLOOKUP(F235,製品マスタ!$G$5:$K$5002,5,FALSE))</f>
        <v/>
      </c>
      <c r="I235" s="270" t="str">
        <f>IF(D235="","",VLOOKUP(F235,製品マスタ!$G$5:$L$5002,6,FALSE))</f>
        <v/>
      </c>
      <c r="J235" s="32"/>
      <c r="K235" s="270" t="str">
        <f>IF(D235="","",VLOOKUP(D235,契約台帳!$A$3:$L$4986,12,FALSE))</f>
        <v/>
      </c>
      <c r="L235" s="270" t="str">
        <f>IF(D235="","",INDEX(製品マスタ!$Q$5:$Q$5002,MATCH(F235&amp;K235,製品マスタ!$AO$5:$AO$5002,0)))</f>
        <v/>
      </c>
      <c r="M235" s="39"/>
      <c r="N235" s="39"/>
      <c r="O235" s="47"/>
      <c r="P235" s="57"/>
      <c r="Q235" s="276" t="str">
        <f>IF(D235="","",IF(J235="リード付け",M235,VLOOKUP(D235,契約台帳!$A$3:$N$4986,14,FALSE)))</f>
        <v/>
      </c>
      <c r="R235" s="277" t="str">
        <f>IF(D235="","",IF(J235="リード付け",M235,VLOOKUP(D235,契約台帳!$A$3:$O$4986,15,FALSE)))</f>
        <v/>
      </c>
      <c r="S235" s="277" t="str">
        <f>IF(D235="","",IF(J235="リード付け",N235,VLOOKUP(D235,契約台帳!$A$3:$P$4986,16,FALSE)))</f>
        <v/>
      </c>
      <c r="T235" s="40"/>
      <c r="U235" s="278" t="str">
        <f ca="1">IF(D235="","",IF(OFFSET(D235,-2,0)=D235,"",VLOOKUP(D235,契約台帳!$A$3:$R$4986,18,FALSE)))</f>
        <v/>
      </c>
      <c r="V235" s="269" t="str">
        <f>IF(J235="巻返し",VLOOKUP(F235&amp;K235&amp;M235,製品マスタ!$M$5:$AD$5002,18,FALSE),IF(J235="リード付け","原反コア",IF(J235="スリット",VLOOKUP(F235&amp;K235&amp;Q235,製品マスタ!$N$5:$AD$5002,17,FALSE),"")))</f>
        <v/>
      </c>
      <c r="W235" s="269" t="str">
        <f>IF(J235="巻返し",VLOOKUP(F235&amp;K235&amp;M235,製品マスタ!$M$5:$AE$5002,19,FALSE),IF(J235="リード付け","-",IF(J235="スリット",VLOOKUP(F235&amp;K235&amp;Q235,製品マスタ!$N$5:$AE$5002,18,FALSE),"")))</f>
        <v/>
      </c>
      <c r="X235" s="275" t="str">
        <f>IF(D235="","",VLOOKUP(D235,契約台帳!$A$3:$Q$4986,17,FALSE))</f>
        <v/>
      </c>
      <c r="Y235" s="269" t="str">
        <f>IF(D235="","",VLOOKUP(D235,契約台帳!$A$3:$E$4986,5,FALSE))</f>
        <v/>
      </c>
      <c r="Z235" s="57"/>
      <c r="AA235" s="207" t="str">
        <f>IFERROR(VLOOKUP(F235&amp;K235&amp;M235,製品マスタ!$M$5:$AM$5002,27,FALSE),"")</f>
        <v/>
      </c>
      <c r="AB235" s="33"/>
      <c r="AC235" s="189"/>
      <c r="AD235" s="54"/>
      <c r="AE235" s="55"/>
      <c r="AF235" s="43"/>
      <c r="AG235" s="47"/>
      <c r="AH235" s="30"/>
      <c r="AI235" s="30"/>
      <c r="AJ235" s="30"/>
      <c r="AK235" s="30"/>
      <c r="AL235" s="13"/>
      <c r="AM235" s="13"/>
      <c r="AN235" s="13"/>
      <c r="AO235" s="13"/>
      <c r="AP235" s="13"/>
      <c r="AQ235" s="14"/>
      <c r="AR235" s="15"/>
    </row>
    <row r="236" spans="1:44" s="17" customFormat="1" ht="30.95" hidden="1" customHeight="1" x14ac:dyDescent="0.2">
      <c r="A236" s="37"/>
      <c r="B236" s="38"/>
      <c r="C236" s="45"/>
      <c r="D236" s="31">
        <v>3700969</v>
      </c>
      <c r="E236" s="31">
        <v>4151325</v>
      </c>
      <c r="F236" s="268" t="str">
        <f>IF(D236="","",VLOOKUP(D236,契約台帳!$A$3:$K$4986,6,FALSE)&amp;VLOOKUP(D236,契約台帳!$A$3:$K$4986,7,FALSE)&amp;VLOOKUP(D236,契約台帳!$A$3:$K$4986,8,FALSE)&amp;VLOOKUP(D236,契約台帳!$A$3:$K$4986,9,FALSE)&amp;VLOOKUP(D236,契約台帳!$A$3:$K$4986,11,FALSE))</f>
        <v>3SYMLBMSNMBZF</v>
      </c>
      <c r="G236" s="269" t="str">
        <f>IF(D236="","",VLOOKUP(F236,製品マスタ!$G$5:$H$5002,2,FALSE))</f>
        <v>S</v>
      </c>
      <c r="H236" s="269" t="str">
        <f>IF(D236="","",VLOOKUP(F236,製品マスタ!$G$5:$K$5002,5,FALSE))</f>
        <v>MSNMBZF</v>
      </c>
      <c r="I236" s="270" t="str">
        <f>IF(D236="","",VLOOKUP(F236,製品マスタ!$G$5:$L$5002,6,FALSE))</f>
        <v>ＭＥＴＡＬＵＭＹ　ＳＩＬＶＥＲ　Ｎ－ＭＡＴＴＥ　Ｂ</v>
      </c>
      <c r="J236" s="32" t="s">
        <v>962</v>
      </c>
      <c r="K236" s="270">
        <f>IF(D236="","",VLOOKUP(D236,契約台帳!$A$3:$L$4986,12,FALSE))</f>
        <v>50</v>
      </c>
      <c r="L236" s="270" t="str">
        <f>IF(D236="","",INDEX(製品マスタ!$Q$5:$Q$5002,MATCH(F236&amp;K236,製品マスタ!$AO$5:$AO$5002,0)))</f>
        <v>X44</v>
      </c>
      <c r="M236" s="39">
        <v>1120</v>
      </c>
      <c r="N236" s="39">
        <v>8000</v>
      </c>
      <c r="O236" s="47">
        <v>2</v>
      </c>
      <c r="P236" s="57"/>
      <c r="Q236" s="276">
        <f>IF(D236="","",IF(J236="リード付け",M236,VLOOKUP(D236,契約台帳!$A$3:$N$4986,14,FALSE)))</f>
        <v>1120</v>
      </c>
      <c r="R236" s="277">
        <f>IF(D236="","",IF(J236="リード付け",M236,VLOOKUP(D236,契約台帳!$A$3:$O$4986,15,FALSE)))</f>
        <v>1120</v>
      </c>
      <c r="S236" s="277">
        <f>IF(D236="","",IF(J236="リード付け",N236,VLOOKUP(D236,契約台帳!$A$3:$P$4986,16,FALSE)))</f>
        <v>4000</v>
      </c>
      <c r="T236" s="40">
        <v>4</v>
      </c>
      <c r="U236" s="278" t="str">
        <f ca="1">IF(D236="","",IF(OFFSET(D236,-2,0)=D236,"",VLOOKUP(D236,契約台帳!$A$3:$R$4986,18,FALSE)))</f>
        <v/>
      </c>
      <c r="V236" s="269" t="str">
        <f>IF(J236="巻返し",VLOOKUP(F236&amp;K236&amp;M236,製品マスタ!$M$5:$AD$5002,18,FALSE),IF(J236="リード付け","原反コア",IF(J236="スリット",VLOOKUP(F236&amp;K236&amp;Q236,製品マスタ!$N$5:$AD$5002,17,FALSE),"")))</f>
        <v>6ｲﾝﾁMｺｱ</v>
      </c>
      <c r="W236" s="269">
        <f>IF(J236="巻返し",VLOOKUP(F236&amp;K236&amp;M236,製品マスタ!$M$5:$AE$5002,19,FALSE),IF(J236="リード付け","-",IF(J236="スリット",VLOOKUP(F236&amp;K236&amp;Q236,製品マスタ!$N$5:$AE$5002,18,FALSE),"")))</f>
        <v>1125</v>
      </c>
      <c r="X236" s="275">
        <f>IF(D236="","",VLOOKUP(D236,契約台帳!$A$3:$Q$4986,17,FALSE))</f>
        <v>2</v>
      </c>
      <c r="Y236" s="269" t="str">
        <f>IF(D236="","",VLOOKUP(D236,契約台帳!$A$3:$E$4986,5,FALSE))</f>
        <v>リンテック㈱</v>
      </c>
      <c r="Z236" s="57">
        <v>45005</v>
      </c>
      <c r="AA236" s="207">
        <f>IFERROR(VLOOKUP(F236&amp;K236&amp;M236,製品マスタ!$M$5:$AM$5002,27,FALSE),"")</f>
        <v>0</v>
      </c>
      <c r="AB236" s="33"/>
      <c r="AC236" s="189"/>
      <c r="AD236" s="54" t="str">
        <f>IF(F236="","",+F236&amp;K236)</f>
        <v>3SYMLBMSNMBZF50</v>
      </c>
      <c r="AE236" s="55">
        <f>+M236*N236*O236/1000</f>
        <v>17920</v>
      </c>
      <c r="AF236" s="43">
        <f>IF(AD236="","",VLOOKUP(AD236,原価マスタ!$A$2:$AJ$1693,13,FALSE))</f>
        <v>99</v>
      </c>
      <c r="AG236" s="47">
        <f>IF(AF236="","",+AE236*AF236/100)</f>
        <v>17740.8</v>
      </c>
      <c r="AH236" s="30"/>
      <c r="AI236" s="30"/>
      <c r="AJ236" s="30"/>
      <c r="AK236" s="30"/>
      <c r="AL236" s="13"/>
      <c r="AM236" s="13"/>
      <c r="AN236" s="13"/>
      <c r="AO236" s="13"/>
      <c r="AP236" s="13"/>
      <c r="AQ236" s="14"/>
      <c r="AR236" s="15"/>
    </row>
    <row r="237" spans="1:44" s="17" customFormat="1" ht="30.95" hidden="1" customHeight="1" x14ac:dyDescent="0.2">
      <c r="A237" s="37"/>
      <c r="B237" s="38"/>
      <c r="C237" s="45"/>
      <c r="D237" s="31"/>
      <c r="E237" s="31"/>
      <c r="F237" s="268" t="str">
        <f>IF(D237="","",VLOOKUP(D237,契約台帳!$A$3:$K$4986,6,FALSE)&amp;VLOOKUP(D237,契約台帳!$A$3:$K$4986,7,FALSE)&amp;VLOOKUP(D237,契約台帳!$A$3:$K$4986,8,FALSE)&amp;VLOOKUP(D237,契約台帳!$A$3:$K$4986,9,FALSE)&amp;VLOOKUP(D237,契約台帳!$A$3:$K$4986,11,FALSE))</f>
        <v/>
      </c>
      <c r="G237" s="269" t="str">
        <f>IF(D237="","",VLOOKUP(F237,製品マスタ!$G$5:$H$5002,2,FALSE))</f>
        <v/>
      </c>
      <c r="H237" s="269" t="str">
        <f>IF(D237="","",VLOOKUP(F237,製品マスタ!$G$5:$K$5002,5,FALSE))</f>
        <v/>
      </c>
      <c r="I237" s="270" t="str">
        <f>IF(D237="","",VLOOKUP(F237,製品マスタ!$G$5:$L$5002,6,FALSE))</f>
        <v/>
      </c>
      <c r="J237" s="32"/>
      <c r="K237" s="270" t="str">
        <f>IF(D237="","",VLOOKUP(D237,契約台帳!$A$3:$L$4986,12,FALSE))</f>
        <v/>
      </c>
      <c r="L237" s="270" t="str">
        <f>IF(D237="","",INDEX(製品マスタ!$Q$5:$Q$5002,MATCH(F237&amp;K237,製品マスタ!$AO$5:$AO$5002,0)))</f>
        <v/>
      </c>
      <c r="M237" s="39"/>
      <c r="N237" s="39"/>
      <c r="O237" s="47"/>
      <c r="P237" s="57"/>
      <c r="Q237" s="276" t="str">
        <f>IF(D237="","",IF(J237="リード付け",M237,VLOOKUP(D237,契約台帳!$A$3:$N$4986,14,FALSE)))</f>
        <v/>
      </c>
      <c r="R237" s="277" t="str">
        <f>IF(D237="","",IF(J237="リード付け",M237,VLOOKUP(D237,契約台帳!$A$3:$O$4986,15,FALSE)))</f>
        <v/>
      </c>
      <c r="S237" s="277" t="str">
        <f>IF(D237="","",IF(J237="リード付け",N237,VLOOKUP(D237,契約台帳!$A$3:$P$4986,16,FALSE)))</f>
        <v/>
      </c>
      <c r="T237" s="40"/>
      <c r="U237" s="278" t="str">
        <f ca="1">IF(D237="","",IF(OFFSET(D237,-2,0)=D237,"",VLOOKUP(D237,契約台帳!$A$3:$R$4986,18,FALSE)))</f>
        <v/>
      </c>
      <c r="V237" s="269" t="str">
        <f>IF(J237="巻返し",VLOOKUP(F237&amp;K237&amp;M237,製品マスタ!$M$5:$AD$5002,18,FALSE),IF(J237="リード付け","原反コア",IF(J237="スリット",VLOOKUP(F237&amp;K237&amp;Q237,製品マスタ!$N$5:$AD$5002,17,FALSE),"")))</f>
        <v/>
      </c>
      <c r="W237" s="269" t="str">
        <f>IF(J237="巻返し",VLOOKUP(F237&amp;K237&amp;M237,製品マスタ!$M$5:$AE$5002,19,FALSE),IF(J237="リード付け","-",IF(J237="スリット",VLOOKUP(F237&amp;K237&amp;Q237,製品マスタ!$N$5:$AE$5002,18,FALSE),"")))</f>
        <v/>
      </c>
      <c r="X237" s="275" t="str">
        <f>IF(D237="","",VLOOKUP(D237,契約台帳!$A$3:$Q$4986,17,FALSE))</f>
        <v/>
      </c>
      <c r="Y237" s="269" t="str">
        <f>IF(D237="","",VLOOKUP(D237,契約台帳!$A$3:$E$4986,5,FALSE))</f>
        <v/>
      </c>
      <c r="Z237" s="57"/>
      <c r="AA237" s="207" t="str">
        <f>IFERROR(VLOOKUP(F237&amp;K237&amp;M237,製品マスタ!$M$5:$AM$5002,27,FALSE),"")</f>
        <v/>
      </c>
      <c r="AB237" s="33"/>
      <c r="AC237" s="189"/>
      <c r="AD237" s="54"/>
      <c r="AE237" s="55"/>
      <c r="AF237" s="43"/>
      <c r="AG237" s="47"/>
      <c r="AH237" s="30"/>
      <c r="AI237" s="30"/>
      <c r="AJ237" s="30"/>
      <c r="AK237" s="30"/>
      <c r="AL237" s="13"/>
      <c r="AM237" s="13"/>
      <c r="AN237" s="13"/>
      <c r="AO237" s="13"/>
      <c r="AP237" s="13"/>
      <c r="AQ237" s="14"/>
      <c r="AR237" s="15"/>
    </row>
    <row r="238" spans="1:44" s="17" customFormat="1" ht="30.95" hidden="1" customHeight="1" x14ac:dyDescent="0.2">
      <c r="A238" s="37" t="s">
        <v>989</v>
      </c>
      <c r="B238" s="38" t="s">
        <v>990</v>
      </c>
      <c r="C238" s="45"/>
      <c r="D238" s="31">
        <v>3700971</v>
      </c>
      <c r="E238" s="31">
        <v>4151321</v>
      </c>
      <c r="F238" s="268" t="str">
        <f>IF(D238="","",VLOOKUP(D238,契約台帳!$A$3:$K$4986,6,FALSE)&amp;VLOOKUP(D238,契約台帳!$A$3:$K$4986,7,FALSE)&amp;VLOOKUP(D238,契約台帳!$A$3:$K$4986,8,FALSE)&amp;VLOOKUP(D238,契約台帳!$A$3:$K$4986,9,FALSE)&amp;VLOOKUP(D238,契約台帳!$A$3:$K$4986,11,FALSE))</f>
        <v>3SYMLBMSNMBZF</v>
      </c>
      <c r="G238" s="269" t="str">
        <f>IF(D238="","",VLOOKUP(F238,製品マスタ!$G$5:$H$5002,2,FALSE))</f>
        <v>S</v>
      </c>
      <c r="H238" s="269" t="str">
        <f>IF(D238="","",VLOOKUP(F238,製品マスタ!$G$5:$K$5002,5,FALSE))</f>
        <v>MSNMBZF</v>
      </c>
      <c r="I238" s="270" t="str">
        <f>IF(D238="","",VLOOKUP(F238,製品マスタ!$G$5:$L$5002,6,FALSE))</f>
        <v>ＭＥＴＡＬＵＭＹ　ＳＩＬＶＥＲ　Ｎ－ＭＡＴＴＥ　Ｂ</v>
      </c>
      <c r="J238" s="32" t="s">
        <v>962</v>
      </c>
      <c r="K238" s="270">
        <f>IF(D238="","",VLOOKUP(D238,契約台帳!$A$3:$L$4986,12,FALSE))</f>
        <v>25</v>
      </c>
      <c r="L238" s="270" t="str">
        <f>IF(D238="","",INDEX(製品マスタ!$Q$5:$Q$5002,MATCH(F238&amp;K238,製品マスタ!$AO$5:$AO$5002,0)))</f>
        <v>X44</v>
      </c>
      <c r="M238" s="39">
        <v>1120</v>
      </c>
      <c r="N238" s="39">
        <v>16000</v>
      </c>
      <c r="O238" s="47">
        <v>1</v>
      </c>
      <c r="P238" s="57"/>
      <c r="Q238" s="276">
        <f>IF(D238="","",IF(J238="リード付け",M238,VLOOKUP(D238,契約台帳!$A$3:$N$4986,14,FALSE)))</f>
        <v>1120</v>
      </c>
      <c r="R238" s="277">
        <f>IF(D238="","",IF(J238="リード付け",M238,VLOOKUP(D238,契約台帳!$A$3:$O$4986,15,FALSE)))</f>
        <v>1120</v>
      </c>
      <c r="S238" s="277">
        <f>IF(D238="","",IF(J238="リード付け",N238,VLOOKUP(D238,契約台帳!$A$3:$P$4986,16,FALSE)))</f>
        <v>8000</v>
      </c>
      <c r="T238" s="40">
        <v>2</v>
      </c>
      <c r="U238" s="278">
        <f ca="1">IF(D238="","",IF(OFFSET(D238,-2,0)=D238,"",VLOOKUP(D238,契約台帳!$A$3:$R$4986,18,FALSE)))</f>
        <v>2</v>
      </c>
      <c r="V238" s="269" t="str">
        <f>IF(J238="巻返し",VLOOKUP(F238&amp;K238&amp;M238,製品マスタ!$M$5:$AD$5002,18,FALSE),IF(J238="リード付け","原反コア",IF(J238="スリット",VLOOKUP(F238&amp;K238&amp;Q238,製品マスタ!$N$5:$AD$5002,17,FALSE),"")))</f>
        <v>6ｲﾝﾁMｺｱ</v>
      </c>
      <c r="W238" s="269">
        <f>IF(J238="巻返し",VLOOKUP(F238&amp;K238&amp;M238,製品マスタ!$M$5:$AE$5002,19,FALSE),IF(J238="リード付け","-",IF(J238="スリット",VLOOKUP(F238&amp;K238&amp;Q238,製品マスタ!$N$5:$AE$5002,18,FALSE),"")))</f>
        <v>1125</v>
      </c>
      <c r="X238" s="275">
        <f>IF(D238="","",VLOOKUP(D238,契約台帳!$A$3:$Q$4986,17,FALSE))</f>
        <v>2</v>
      </c>
      <c r="Y238" s="269" t="str">
        <f>IF(D238="","",VLOOKUP(D238,契約台帳!$A$3:$E$4986,5,FALSE))</f>
        <v>リンテック㈱</v>
      </c>
      <c r="Z238" s="57">
        <v>45005</v>
      </c>
      <c r="AA238" s="207">
        <f>IFERROR(VLOOKUP(F238&amp;K238&amp;M238,製品マスタ!$M$5:$AM$5002,27,FALSE),"")</f>
        <v>0</v>
      </c>
      <c r="AB238" s="33"/>
      <c r="AC238" s="189"/>
      <c r="AD238" s="54" t="str">
        <f>IF(F238="","",+F238&amp;K238)</f>
        <v>3SYMLBMSNMBZF25</v>
      </c>
      <c r="AE238" s="55">
        <f>+M238*N238*O238/1000</f>
        <v>17920</v>
      </c>
      <c r="AF238" s="43">
        <f>IF(AD238="","",VLOOKUP(AD238,原価マスタ!$A$2:$AJ$1693,13,FALSE))</f>
        <v>98.3</v>
      </c>
      <c r="AG238" s="47">
        <f>IF(AF238="","",+AE238*AF238/100)</f>
        <v>17615.36</v>
      </c>
      <c r="AH238" s="30"/>
      <c r="AI238" s="30"/>
      <c r="AJ238" s="30"/>
      <c r="AK238" s="30"/>
      <c r="AL238" s="13"/>
      <c r="AM238" s="13"/>
      <c r="AN238" s="13"/>
      <c r="AO238" s="13"/>
      <c r="AP238" s="13"/>
      <c r="AQ238" s="14"/>
      <c r="AR238" s="15"/>
    </row>
    <row r="239" spans="1:44" s="17" customFormat="1" ht="30.95" hidden="1" customHeight="1" x14ac:dyDescent="0.2">
      <c r="A239" s="37"/>
      <c r="B239" s="38"/>
      <c r="C239" s="45"/>
      <c r="D239" s="31"/>
      <c r="E239" s="31"/>
      <c r="F239" s="268" t="str">
        <f>IF(D239="","",VLOOKUP(D239,契約台帳!$A$3:$K$4986,6,FALSE)&amp;VLOOKUP(D239,契約台帳!$A$3:$K$4986,7,FALSE)&amp;VLOOKUP(D239,契約台帳!$A$3:$K$4986,8,FALSE)&amp;VLOOKUP(D239,契約台帳!$A$3:$K$4986,9,FALSE)&amp;VLOOKUP(D239,契約台帳!$A$3:$K$4986,11,FALSE))</f>
        <v/>
      </c>
      <c r="G239" s="269" t="str">
        <f>IF(D239="","",VLOOKUP(F239,製品マスタ!$G$5:$H$5002,2,FALSE))</f>
        <v/>
      </c>
      <c r="H239" s="269" t="str">
        <f>IF(D239="","",VLOOKUP(F239,製品マスタ!$G$5:$K$5002,5,FALSE))</f>
        <v/>
      </c>
      <c r="I239" s="270" t="str">
        <f>IF(D239="","",VLOOKUP(F239,製品マスタ!$G$5:$L$5002,6,FALSE))</f>
        <v/>
      </c>
      <c r="J239" s="32"/>
      <c r="K239" s="270" t="str">
        <f>IF(D239="","",VLOOKUP(D239,契約台帳!$A$3:$L$4986,12,FALSE))</f>
        <v/>
      </c>
      <c r="L239" s="270" t="str">
        <f>IF(D239="","",INDEX(製品マスタ!$Q$5:$Q$5002,MATCH(F239&amp;K239,製品マスタ!$AO$5:$AO$5002,0)))</f>
        <v/>
      </c>
      <c r="M239" s="39"/>
      <c r="N239" s="39"/>
      <c r="O239" s="47"/>
      <c r="P239" s="57"/>
      <c r="Q239" s="276" t="str">
        <f>IF(D239="","",IF(J239="リード付け",M239,VLOOKUP(D239,契約台帳!$A$3:$N$4986,14,FALSE)))</f>
        <v/>
      </c>
      <c r="R239" s="277" t="str">
        <f>IF(D239="","",IF(J239="リード付け",M239,VLOOKUP(D239,契約台帳!$A$3:$O$4986,15,FALSE)))</f>
        <v/>
      </c>
      <c r="S239" s="277" t="str">
        <f>IF(D239="","",IF(J239="リード付け",N239,VLOOKUP(D239,契約台帳!$A$3:$P$4986,16,FALSE)))</f>
        <v/>
      </c>
      <c r="T239" s="40"/>
      <c r="U239" s="278" t="str">
        <f ca="1">IF(D239="","",IF(OFFSET(D239,-2,0)=D239,"",VLOOKUP(D239,契約台帳!$A$3:$R$4986,18,FALSE)))</f>
        <v/>
      </c>
      <c r="V239" s="269" t="str">
        <f>IF(J239="巻返し",VLOOKUP(F239&amp;K239&amp;M239,製品マスタ!$M$5:$AD$5002,18,FALSE),IF(J239="リード付け","原反コア",IF(J239="スリット",VLOOKUP(F239&amp;K239&amp;Q239,製品マスタ!$N$5:$AD$5002,17,FALSE),"")))</f>
        <v/>
      </c>
      <c r="W239" s="269" t="str">
        <f>IF(J239="巻返し",VLOOKUP(F239&amp;K239&amp;M239,製品マスタ!$M$5:$AE$5002,19,FALSE),IF(J239="リード付け","-",IF(J239="スリット",VLOOKUP(F239&amp;K239&amp;Q239,製品マスタ!$N$5:$AE$5002,18,FALSE),"")))</f>
        <v/>
      </c>
      <c r="X239" s="275" t="str">
        <f>IF(D239="","",VLOOKUP(D239,契約台帳!$A$3:$Q$4986,17,FALSE))</f>
        <v/>
      </c>
      <c r="Y239" s="269" t="str">
        <f>IF(D239="","",VLOOKUP(D239,契約台帳!$A$3:$E$4986,5,FALSE))</f>
        <v/>
      </c>
      <c r="Z239" s="57"/>
      <c r="AA239" s="207" t="str">
        <f>IFERROR(VLOOKUP(F239&amp;K239&amp;M239,製品マスタ!$M$5:$AM$5002,27,FALSE),"")</f>
        <v/>
      </c>
      <c r="AB239" s="33"/>
      <c r="AC239" s="189"/>
      <c r="AD239" s="54"/>
      <c r="AE239" s="55"/>
      <c r="AF239" s="43"/>
      <c r="AG239" s="47"/>
      <c r="AH239" s="30"/>
      <c r="AI239" s="30"/>
      <c r="AJ239" s="30"/>
      <c r="AK239" s="30"/>
      <c r="AL239" s="13"/>
      <c r="AM239" s="13"/>
      <c r="AN239" s="13"/>
      <c r="AO239" s="13"/>
      <c r="AP239" s="13"/>
      <c r="AQ239" s="14"/>
      <c r="AR239" s="15"/>
    </row>
    <row r="240" spans="1:44" s="17" customFormat="1" ht="30.95" hidden="1" customHeight="1" x14ac:dyDescent="0.2">
      <c r="A240" s="37"/>
      <c r="B240" s="38"/>
      <c r="C240" s="45"/>
      <c r="D240" s="31">
        <v>3700950</v>
      </c>
      <c r="E240" s="31">
        <v>4151310</v>
      </c>
      <c r="F240" s="268" t="str">
        <f>IF(D240="","",VLOOKUP(D240,契約台帳!$A$3:$K$4986,6,FALSE)&amp;VLOOKUP(D240,契約台帳!$A$3:$K$4986,7,FALSE)&amp;VLOOKUP(D240,契約台帳!$A$3:$K$4986,8,FALSE)&amp;VLOOKUP(D240,契約台帳!$A$3:$K$4986,9,FALSE)&amp;VLOOKUP(D240,契約台帳!$A$3:$K$4986,11,FALSE))</f>
        <v>3SNMLBMNGKKBF</v>
      </c>
      <c r="G240" s="269" t="str">
        <f>IF(D240="","",VLOOKUP(F240,製品マスタ!$G$5:$H$5002,2,FALSE))</f>
        <v>S</v>
      </c>
      <c r="H240" s="269" t="str">
        <f>IF(D240="","",VLOOKUP(F240,製品マスタ!$G$5:$K$5002,5,FALSE))</f>
        <v>MNGKKBF</v>
      </c>
      <c r="I240" s="270" t="str">
        <f>IF(D240="","",VLOOKUP(F240,製品マスタ!$G$5:$L$5002,6,FALSE))</f>
        <v>メタルミー　ネーマー銀消改　Ｂ</v>
      </c>
      <c r="J240" s="32" t="s">
        <v>962</v>
      </c>
      <c r="K240" s="270">
        <f>IF(D240="","",VLOOKUP(D240,契約台帳!$A$3:$L$4986,12,FALSE))</f>
        <v>25</v>
      </c>
      <c r="L240" s="270" t="str">
        <f>IF(D240="","",INDEX(製品マスタ!$Q$5:$Q$5002,MATCH(F240&amp;K240,製品マスタ!$AO$5:$AO$5002,0)))</f>
        <v>FMATS99</v>
      </c>
      <c r="M240" s="39">
        <v>1120</v>
      </c>
      <c r="N240" s="39">
        <v>12000</v>
      </c>
      <c r="O240" s="47">
        <v>1</v>
      </c>
      <c r="P240" s="57"/>
      <c r="Q240" s="276">
        <f>IF(D240="","",IF(J240="リード付け",M240,VLOOKUP(D240,契約台帳!$A$3:$N$4986,14,FALSE)))</f>
        <v>1120</v>
      </c>
      <c r="R240" s="277">
        <f>IF(D240="","",IF(J240="リード付け",M240,VLOOKUP(D240,契約台帳!$A$3:$O$4986,15,FALSE)))</f>
        <v>1120</v>
      </c>
      <c r="S240" s="277">
        <f>IF(D240="","",IF(J240="リード付け",N240,VLOOKUP(D240,契約台帳!$A$3:$P$4986,16,FALSE)))</f>
        <v>4000</v>
      </c>
      <c r="T240" s="40">
        <v>3</v>
      </c>
      <c r="U240" s="278">
        <f ca="1">IF(D240="","",IF(OFFSET(D240,-2,0)=D240,"",VLOOKUP(D240,契約台帳!$A$3:$R$4986,18,FALSE)))</f>
        <v>5</v>
      </c>
      <c r="V240" s="269" t="str">
        <f>IF(J240="巻返し",VLOOKUP(F240&amp;K240&amp;M240,製品マスタ!$M$5:$AD$5002,18,FALSE),IF(J240="リード付け","原反コア",IF(J240="スリット",VLOOKUP(F240&amp;K240&amp;Q240,製品マスタ!$N$5:$AD$5002,17,FALSE),"")))</f>
        <v>6ｲﾝﾁSｺｱ</v>
      </c>
      <c r="W240" s="269">
        <f>IF(J240="巻返し",VLOOKUP(F240&amp;K240&amp;M240,製品マスタ!$M$5:$AE$5002,19,FALSE),IF(J240="リード付け","-",IF(J240="スリット",VLOOKUP(F240&amp;K240&amp;Q240,製品マスタ!$N$5:$AE$5002,18,FALSE),"")))</f>
        <v>1125</v>
      </c>
      <c r="X240" s="275">
        <f>IF(D240="","",VLOOKUP(D240,契約台帳!$A$3:$Q$4986,17,FALSE))</f>
        <v>2</v>
      </c>
      <c r="Y240" s="269" t="str">
        <f>IF(D240="","",VLOOKUP(D240,契約台帳!$A$3:$E$4986,5,FALSE))</f>
        <v>リンテック㈱</v>
      </c>
      <c r="Z240" s="57">
        <v>45005</v>
      </c>
      <c r="AA240" s="207">
        <f>IFERROR(VLOOKUP(F240&amp;K240&amp;M240,製品マスタ!$M$5:$AM$5002,27,FALSE),"")</f>
        <v>0</v>
      </c>
      <c r="AB240" s="33"/>
      <c r="AC240" s="189"/>
      <c r="AD240" s="54" t="str">
        <f>IF(F240="","",+F240&amp;K240)</f>
        <v>3SNMLBMNGKKBF25</v>
      </c>
      <c r="AE240" s="55">
        <f>+M240*N240*O240/1000</f>
        <v>13440</v>
      </c>
      <c r="AF240" s="43">
        <f>IF(AD240="","",VLOOKUP(AD240,原価マスタ!$A$2:$AJ$1693,13,FALSE))</f>
        <v>96</v>
      </c>
      <c r="AG240" s="47">
        <f>IF(AF240="","",+AE240*AF240/100)</f>
        <v>12902.4</v>
      </c>
      <c r="AH240" s="30"/>
      <c r="AI240" s="30"/>
      <c r="AJ240" s="30"/>
      <c r="AK240" s="30"/>
      <c r="AL240" s="13"/>
      <c r="AM240" s="13"/>
      <c r="AN240" s="13"/>
      <c r="AO240" s="13"/>
      <c r="AP240" s="13"/>
      <c r="AQ240" s="14"/>
      <c r="AR240" s="15"/>
    </row>
    <row r="241" spans="1:44" s="17" customFormat="1" ht="30.95" hidden="1" customHeight="1" x14ac:dyDescent="0.2">
      <c r="A241" s="37"/>
      <c r="B241" s="38"/>
      <c r="C241" s="45"/>
      <c r="D241" s="31"/>
      <c r="E241" s="31"/>
      <c r="F241" s="268" t="str">
        <f>IF(D241="","",VLOOKUP(D241,契約台帳!$A$3:$K$4986,6,FALSE)&amp;VLOOKUP(D241,契約台帳!$A$3:$K$4986,7,FALSE)&amp;VLOOKUP(D241,契約台帳!$A$3:$K$4986,8,FALSE)&amp;VLOOKUP(D241,契約台帳!$A$3:$K$4986,9,FALSE)&amp;VLOOKUP(D241,契約台帳!$A$3:$K$4986,11,FALSE))</f>
        <v/>
      </c>
      <c r="G241" s="269" t="str">
        <f>IF(D241="","",VLOOKUP(F241,製品マスタ!$G$5:$H$5002,2,FALSE))</f>
        <v/>
      </c>
      <c r="H241" s="269" t="str">
        <f>IF(D241="","",VLOOKUP(F241,製品マスタ!$G$5:$K$5002,5,FALSE))</f>
        <v/>
      </c>
      <c r="I241" s="270" t="str">
        <f>IF(D241="","",VLOOKUP(F241,製品マスタ!$G$5:$L$5002,6,FALSE))</f>
        <v/>
      </c>
      <c r="J241" s="32"/>
      <c r="K241" s="270" t="str">
        <f>IF(D241="","",VLOOKUP(D241,契約台帳!$A$3:$L$4986,12,FALSE))</f>
        <v/>
      </c>
      <c r="L241" s="270" t="str">
        <f>IF(D241="","",INDEX(製品マスタ!$Q$5:$Q$5002,MATCH(F241&amp;K241,製品マスタ!$AO$5:$AO$5002,0)))</f>
        <v/>
      </c>
      <c r="M241" s="39"/>
      <c r="N241" s="39"/>
      <c r="O241" s="47"/>
      <c r="P241" s="57"/>
      <c r="Q241" s="276" t="str">
        <f>IF(D241="","",IF(J241="リード付け",M241,VLOOKUP(D241,契約台帳!$A$3:$N$4986,14,FALSE)))</f>
        <v/>
      </c>
      <c r="R241" s="277" t="str">
        <f>IF(D241="","",IF(J241="リード付け",M241,VLOOKUP(D241,契約台帳!$A$3:$O$4986,15,FALSE)))</f>
        <v/>
      </c>
      <c r="S241" s="277" t="str">
        <f>IF(D241="","",IF(J241="リード付け",N241,VLOOKUP(D241,契約台帳!$A$3:$P$4986,16,FALSE)))</f>
        <v/>
      </c>
      <c r="T241" s="40"/>
      <c r="U241" s="278" t="str">
        <f ca="1">IF(D241="","",IF(OFFSET(D241,-2,0)=D241,"",VLOOKUP(D241,契約台帳!$A$3:$R$4986,18,FALSE)))</f>
        <v/>
      </c>
      <c r="V241" s="269" t="str">
        <f>IF(J241="巻返し",VLOOKUP(F241&amp;K241&amp;M241,製品マスタ!$M$5:$AD$5002,18,FALSE),IF(J241="リード付け","原反コア",IF(J241="スリット",VLOOKUP(F241&amp;K241&amp;Q241,製品マスタ!$N$5:$AD$5002,17,FALSE),"")))</f>
        <v/>
      </c>
      <c r="W241" s="269" t="str">
        <f>IF(J241="巻返し",VLOOKUP(F241&amp;K241&amp;M241,製品マスタ!$M$5:$AE$5002,19,FALSE),IF(J241="リード付け","-",IF(J241="スリット",VLOOKUP(F241&amp;K241&amp;Q241,製品マスタ!$N$5:$AE$5002,18,FALSE),"")))</f>
        <v/>
      </c>
      <c r="X241" s="275" t="str">
        <f>IF(D241="","",VLOOKUP(D241,契約台帳!$A$3:$Q$4986,17,FALSE))</f>
        <v/>
      </c>
      <c r="Y241" s="269" t="str">
        <f>IF(D241="","",VLOOKUP(D241,契約台帳!$A$3:$E$4986,5,FALSE))</f>
        <v/>
      </c>
      <c r="Z241" s="57"/>
      <c r="AA241" s="207" t="str">
        <f>IFERROR(VLOOKUP(F241&amp;K241&amp;M241,製品マスタ!$M$5:$AM$5002,27,FALSE),"")</f>
        <v/>
      </c>
      <c r="AB241" s="33"/>
      <c r="AC241" s="189"/>
      <c r="AD241" s="54"/>
      <c r="AE241" s="55"/>
      <c r="AF241" s="43"/>
      <c r="AG241" s="47"/>
      <c r="AH241" s="30"/>
      <c r="AI241" s="30"/>
      <c r="AJ241" s="30"/>
      <c r="AK241" s="30"/>
      <c r="AL241" s="13"/>
      <c r="AM241" s="13"/>
      <c r="AN241" s="13"/>
      <c r="AO241" s="13"/>
      <c r="AP241" s="13"/>
      <c r="AQ241" s="14"/>
      <c r="AR241" s="15"/>
    </row>
    <row r="242" spans="1:44" s="17" customFormat="1" ht="30.95" hidden="1" customHeight="1" x14ac:dyDescent="0.2">
      <c r="A242" s="37"/>
      <c r="B242" s="38"/>
      <c r="C242" s="45"/>
      <c r="D242" s="31">
        <v>3700950</v>
      </c>
      <c r="E242" s="31">
        <v>4151310</v>
      </c>
      <c r="F242" s="268" t="str">
        <f>IF(D242="","",VLOOKUP(D242,契約台帳!$A$3:$K$4986,6,FALSE)&amp;VLOOKUP(D242,契約台帳!$A$3:$K$4986,7,FALSE)&amp;VLOOKUP(D242,契約台帳!$A$3:$K$4986,8,FALSE)&amp;VLOOKUP(D242,契約台帳!$A$3:$K$4986,9,FALSE)&amp;VLOOKUP(D242,契約台帳!$A$3:$K$4986,11,FALSE))</f>
        <v>3SNMLBMNGKKBF</v>
      </c>
      <c r="G242" s="269" t="str">
        <f>IF(D242="","",VLOOKUP(F242,製品マスタ!$G$5:$H$5002,2,FALSE))</f>
        <v>S</v>
      </c>
      <c r="H242" s="269" t="str">
        <f>IF(D242="","",VLOOKUP(F242,製品マスタ!$G$5:$K$5002,5,FALSE))</f>
        <v>MNGKKBF</v>
      </c>
      <c r="I242" s="270" t="str">
        <f>IF(D242="","",VLOOKUP(F242,製品マスタ!$G$5:$L$5002,6,FALSE))</f>
        <v>メタルミー　ネーマー銀消改　Ｂ</v>
      </c>
      <c r="J242" s="32" t="s">
        <v>962</v>
      </c>
      <c r="K242" s="270">
        <f>IF(D242="","",VLOOKUP(D242,契約台帳!$A$3:$L$4986,12,FALSE))</f>
        <v>25</v>
      </c>
      <c r="L242" s="270" t="str">
        <f>IF(D242="","",INDEX(製品マスタ!$Q$5:$Q$5002,MATCH(F242&amp;K242,製品マスタ!$AO$5:$AO$5002,0)))</f>
        <v>FMATS99</v>
      </c>
      <c r="M242" s="39">
        <v>1120</v>
      </c>
      <c r="N242" s="39">
        <v>8000</v>
      </c>
      <c r="O242" s="47">
        <v>1</v>
      </c>
      <c r="P242" s="57"/>
      <c r="Q242" s="276">
        <f>IF(D242="","",IF(J242="リード付け",M242,VLOOKUP(D242,契約台帳!$A$3:$N$4986,14,FALSE)))</f>
        <v>1120</v>
      </c>
      <c r="R242" s="277">
        <f>IF(D242="","",IF(J242="リード付け",M242,VLOOKUP(D242,契約台帳!$A$3:$O$4986,15,FALSE)))</f>
        <v>1120</v>
      </c>
      <c r="S242" s="277">
        <f>IF(D242="","",IF(J242="リード付け",N242,VLOOKUP(D242,契約台帳!$A$3:$P$4986,16,FALSE)))</f>
        <v>4000</v>
      </c>
      <c r="T242" s="40">
        <v>2</v>
      </c>
      <c r="U242" s="278" t="str">
        <f ca="1">IF(D242="","",IF(OFFSET(D242,-2,0)=D242,"",VLOOKUP(D242,契約台帳!$A$3:$R$4986,18,FALSE)))</f>
        <v/>
      </c>
      <c r="V242" s="269" t="str">
        <f>IF(J242="巻返し",VLOOKUP(F242&amp;K242&amp;M242,製品マスタ!$M$5:$AD$5002,18,FALSE),IF(J242="リード付け","原反コア",IF(J242="スリット",VLOOKUP(F242&amp;K242&amp;Q242,製品マスタ!$N$5:$AD$5002,17,FALSE),"")))</f>
        <v>6ｲﾝﾁSｺｱ</v>
      </c>
      <c r="W242" s="269">
        <f>IF(J242="巻返し",VLOOKUP(F242&amp;K242&amp;M242,製品マスタ!$M$5:$AE$5002,19,FALSE),IF(J242="リード付け","-",IF(J242="スリット",VLOOKUP(F242&amp;K242&amp;Q242,製品マスタ!$N$5:$AE$5002,18,FALSE),"")))</f>
        <v>1125</v>
      </c>
      <c r="X242" s="275">
        <f>IF(D242="","",VLOOKUP(D242,契約台帳!$A$3:$Q$4986,17,FALSE))</f>
        <v>2</v>
      </c>
      <c r="Y242" s="269" t="str">
        <f>IF(D242="","",VLOOKUP(D242,契約台帳!$A$3:$E$4986,5,FALSE))</f>
        <v>リンテック㈱</v>
      </c>
      <c r="Z242" s="57">
        <v>45005</v>
      </c>
      <c r="AA242" s="207">
        <f>IFERROR(VLOOKUP(F242&amp;K242&amp;M242,製品マスタ!$M$5:$AM$5002,27,FALSE),"")</f>
        <v>0</v>
      </c>
      <c r="AB242" s="33"/>
      <c r="AC242" s="189"/>
      <c r="AD242" s="54" t="str">
        <f>IF(F242="","",+F242&amp;K242)</f>
        <v>3SNMLBMNGKKBF25</v>
      </c>
      <c r="AE242" s="55">
        <f>+M242*N242*O242/1000</f>
        <v>8960</v>
      </c>
      <c r="AF242" s="43">
        <f>IF(AD242="","",VLOOKUP(AD242,原価マスタ!$A$2:$AJ$1693,13,FALSE))</f>
        <v>96</v>
      </c>
      <c r="AG242" s="47">
        <f>IF(AF242="","",+AE242*AF242/100)</f>
        <v>8601.6</v>
      </c>
      <c r="AH242" s="30"/>
      <c r="AI242" s="30"/>
      <c r="AJ242" s="30"/>
      <c r="AK242" s="30"/>
      <c r="AL242" s="13"/>
      <c r="AM242" s="13"/>
      <c r="AN242" s="13"/>
      <c r="AO242" s="13"/>
      <c r="AP242" s="13"/>
      <c r="AQ242" s="14"/>
      <c r="AR242" s="15"/>
    </row>
    <row r="243" spans="1:44" s="17" customFormat="1" ht="30.95" hidden="1" customHeight="1" x14ac:dyDescent="0.2">
      <c r="A243" s="37"/>
      <c r="B243" s="38"/>
      <c r="C243" s="45"/>
      <c r="D243" s="31"/>
      <c r="E243" s="31"/>
      <c r="F243" s="268" t="str">
        <f>IF(D243="","",VLOOKUP(D243,契約台帳!$A$3:$K$4986,6,FALSE)&amp;VLOOKUP(D243,契約台帳!$A$3:$K$4986,7,FALSE)&amp;VLOOKUP(D243,契約台帳!$A$3:$K$4986,8,FALSE)&amp;VLOOKUP(D243,契約台帳!$A$3:$K$4986,9,FALSE)&amp;VLOOKUP(D243,契約台帳!$A$3:$K$4986,11,FALSE))</f>
        <v/>
      </c>
      <c r="G243" s="269" t="str">
        <f>IF(D243="","",VLOOKUP(F243,製品マスタ!$G$5:$H$5002,2,FALSE))</f>
        <v/>
      </c>
      <c r="H243" s="269" t="str">
        <f>IF(D243="","",VLOOKUP(F243,製品マスタ!$G$5:$K$5002,5,FALSE))</f>
        <v/>
      </c>
      <c r="I243" s="270" t="str">
        <f>IF(D243="","",VLOOKUP(F243,製品マスタ!$G$5:$L$5002,6,FALSE))</f>
        <v/>
      </c>
      <c r="J243" s="32"/>
      <c r="K243" s="270" t="str">
        <f>IF(D243="","",VLOOKUP(D243,契約台帳!$A$3:$L$4986,12,FALSE))</f>
        <v/>
      </c>
      <c r="L243" s="270" t="str">
        <f>IF(D243="","",INDEX(製品マスタ!$Q$5:$Q$5002,MATCH(F243&amp;K243,製品マスタ!$AO$5:$AO$5002,0)))</f>
        <v/>
      </c>
      <c r="M243" s="39"/>
      <c r="N243" s="39"/>
      <c r="O243" s="47"/>
      <c r="P243" s="57"/>
      <c r="Q243" s="276" t="str">
        <f>IF(D243="","",IF(J243="リード付け",M243,VLOOKUP(D243,契約台帳!$A$3:$N$4986,14,FALSE)))</f>
        <v/>
      </c>
      <c r="R243" s="277" t="str">
        <f>IF(D243="","",IF(J243="リード付け",M243,VLOOKUP(D243,契約台帳!$A$3:$O$4986,15,FALSE)))</f>
        <v/>
      </c>
      <c r="S243" s="277" t="str">
        <f>IF(D243="","",IF(J243="リード付け",N243,VLOOKUP(D243,契約台帳!$A$3:$P$4986,16,FALSE)))</f>
        <v/>
      </c>
      <c r="T243" s="40"/>
      <c r="U243" s="278" t="str">
        <f ca="1">IF(D243="","",IF(OFFSET(D243,-2,0)=D243,"",VLOOKUP(D243,契約台帳!$A$3:$R$4986,18,FALSE)))</f>
        <v/>
      </c>
      <c r="V243" s="269" t="str">
        <f>IF(J243="巻返し",VLOOKUP(F243&amp;K243&amp;M243,製品マスタ!$M$5:$AD$5002,18,FALSE),IF(J243="リード付け","原反コア",IF(J243="スリット",VLOOKUP(F243&amp;K243&amp;Q243,製品マスタ!$N$5:$AD$5002,17,FALSE),"")))</f>
        <v/>
      </c>
      <c r="W243" s="269" t="str">
        <f>IF(J243="巻返し",VLOOKUP(F243&amp;K243&amp;M243,製品マスタ!$M$5:$AE$5002,19,FALSE),IF(J243="リード付け","-",IF(J243="スリット",VLOOKUP(F243&amp;K243&amp;Q243,製品マスタ!$N$5:$AE$5002,18,FALSE),"")))</f>
        <v/>
      </c>
      <c r="X243" s="275" t="str">
        <f>IF(D243="","",VLOOKUP(D243,契約台帳!$A$3:$Q$4986,17,FALSE))</f>
        <v/>
      </c>
      <c r="Y243" s="269" t="str">
        <f>IF(D243="","",VLOOKUP(D243,契約台帳!$A$3:$E$4986,5,FALSE))</f>
        <v/>
      </c>
      <c r="Z243" s="57"/>
      <c r="AA243" s="207" t="str">
        <f>IFERROR(VLOOKUP(F243&amp;K243&amp;M243,製品マスタ!$M$5:$AM$5002,27,FALSE),"")</f>
        <v/>
      </c>
      <c r="AB243" s="33"/>
      <c r="AC243" s="189"/>
      <c r="AD243" s="54"/>
      <c r="AE243" s="55"/>
      <c r="AF243" s="43"/>
      <c r="AG243" s="47"/>
      <c r="AH243" s="30"/>
      <c r="AI243" s="30"/>
      <c r="AJ243" s="30"/>
      <c r="AK243" s="30"/>
      <c r="AL243" s="13"/>
      <c r="AM243" s="13"/>
      <c r="AN243" s="13"/>
      <c r="AO243" s="13"/>
      <c r="AP243" s="13"/>
      <c r="AQ243" s="14"/>
      <c r="AR243" s="15"/>
    </row>
    <row r="244" spans="1:44" s="17" customFormat="1" ht="30.95" hidden="1" customHeight="1" x14ac:dyDescent="0.2">
      <c r="A244" s="37" t="s">
        <v>966</v>
      </c>
      <c r="B244" s="38" t="s">
        <v>444</v>
      </c>
      <c r="C244" s="45"/>
      <c r="D244" s="31">
        <v>3700955</v>
      </c>
      <c r="E244" s="31">
        <v>4151327</v>
      </c>
      <c r="F244" s="268" t="str">
        <f>IF(D244="","",VLOOKUP(D244,契約台帳!$A$3:$K$4986,6,FALSE)&amp;VLOOKUP(D244,契約台帳!$A$3:$K$4986,7,FALSE)&amp;VLOOKUP(D244,契約台帳!$A$3:$K$4986,8,FALSE)&amp;VLOOKUP(D244,契約台帳!$A$3:$K$4986,9,FALSE)&amp;VLOOKUP(D244,契約台帳!$A$3:$K$4986,11,FALSE))</f>
        <v>3SNMLBMNGTBF</v>
      </c>
      <c r="G244" s="269" t="str">
        <f>IF(D244="","",VLOOKUP(F244,製品マスタ!$G$5:$H$5002,2,FALSE))</f>
        <v>S</v>
      </c>
      <c r="H244" s="269" t="str">
        <f>IF(D244="","",VLOOKUP(F244,製品マスタ!$G$5:$K$5002,5,FALSE))</f>
        <v>MNGTBF</v>
      </c>
      <c r="I244" s="270" t="str">
        <f>IF(D244="","",VLOOKUP(F244,製品マスタ!$G$5:$L$5002,6,FALSE))</f>
        <v>メタルミー　ネーマー　銀艶　Ｂ</v>
      </c>
      <c r="J244" s="32" t="s">
        <v>447</v>
      </c>
      <c r="K244" s="270">
        <f>IF(D244="","",VLOOKUP(D244,契約台帳!$A$3:$L$4986,12,FALSE))</f>
        <v>25</v>
      </c>
      <c r="L244" s="270" t="str">
        <f>IF(D244="","",INDEX(製品マスタ!$Q$5:$Q$5002,MATCH(F244&amp;K244,製品マスタ!$AO$5:$AO$5002,0)))</f>
        <v>T62M</v>
      </c>
      <c r="M244" s="39">
        <v>1005</v>
      </c>
      <c r="N244" s="39">
        <v>12100</v>
      </c>
      <c r="O244" s="47">
        <v>4</v>
      </c>
      <c r="P244" s="57"/>
      <c r="Q244" s="276">
        <f>IF(D244="","",IF(J244="リード付け",M244,VLOOKUP(D244,契約台帳!$A$3:$N$4986,14,FALSE)))</f>
        <v>1005</v>
      </c>
      <c r="R244" s="277">
        <f>IF(D244="","",IF(J244="リード付け",M244,VLOOKUP(D244,契約台帳!$A$3:$O$4986,15,FALSE)))</f>
        <v>1000</v>
      </c>
      <c r="S244" s="277">
        <f>IF(D244="","",IF(J244="リード付け",N244,VLOOKUP(D244,契約台帳!$A$3:$P$4986,16,FALSE)))</f>
        <v>4000</v>
      </c>
      <c r="T244" s="40">
        <v>12</v>
      </c>
      <c r="U244" s="278">
        <f ca="1">IF(D244="","",IF(OFFSET(D244,-2,0)=D244,"",VLOOKUP(D244,契約台帳!$A$3:$R$4986,18,FALSE)))</f>
        <v>15</v>
      </c>
      <c r="V244" s="269" t="str">
        <f>IF(J244="巻返し",VLOOKUP(F244&amp;K244&amp;M244,製品マスタ!$M$5:$AD$5002,18,FALSE),IF(J244="リード付け","原反コア",IF(J244="スリット",VLOOKUP(F244&amp;K244&amp;Q244,製品マスタ!$N$5:$AD$5002,17,FALSE),"")))</f>
        <v>6ｲﾝﾁSｺｱ</v>
      </c>
      <c r="W244" s="269">
        <f>IF(J244="巻返し",VLOOKUP(F244&amp;K244&amp;M244,製品マスタ!$M$5:$AE$5002,19,FALSE),IF(J244="リード付け","-",IF(J244="スリット",VLOOKUP(F244&amp;K244&amp;Q244,製品マスタ!$N$5:$AE$5002,18,FALSE),"")))</f>
        <v>1015</v>
      </c>
      <c r="X244" s="275">
        <f>IF(D244="","",VLOOKUP(D244,契約台帳!$A$3:$Q$4986,17,FALSE))</f>
        <v>2</v>
      </c>
      <c r="Y244" s="269" t="str">
        <f>IF(D244="","",VLOOKUP(D244,契約台帳!$A$3:$E$4986,5,FALSE))</f>
        <v>リンテック㈱</v>
      </c>
      <c r="Z244" s="57">
        <v>45005</v>
      </c>
      <c r="AA244" s="207">
        <f>IFERROR(VLOOKUP(F244&amp;K244&amp;M244,製品マスタ!$M$5:$AM$5002,27,FALSE),"")</f>
        <v>0</v>
      </c>
      <c r="AB244" s="33"/>
      <c r="AC244" s="189"/>
      <c r="AD244" s="54" t="str">
        <f>IF(F244="","",+F244&amp;K244)</f>
        <v>3SNMLBMNGTBF25</v>
      </c>
      <c r="AE244" s="55">
        <f>+M244*N244*O244/1000</f>
        <v>48642</v>
      </c>
      <c r="AF244" s="43">
        <f>IF(AD244="","",VLOOKUP(AD244,原価マスタ!$A$2:$AJ$1693,13,FALSE))</f>
        <v>97.5</v>
      </c>
      <c r="AG244" s="47">
        <f>IF(AF244="","",+AE244*AF244/100)</f>
        <v>47425.95</v>
      </c>
      <c r="AH244" s="30"/>
      <c r="AI244" s="30"/>
      <c r="AJ244" s="30"/>
      <c r="AK244" s="30"/>
      <c r="AL244" s="13"/>
      <c r="AM244" s="13"/>
      <c r="AN244" s="13"/>
      <c r="AO244" s="13"/>
      <c r="AP244" s="13"/>
      <c r="AQ244" s="14"/>
      <c r="AR244" s="15"/>
    </row>
    <row r="245" spans="1:44" s="17" customFormat="1" ht="30.95" hidden="1" customHeight="1" x14ac:dyDescent="0.2">
      <c r="A245" s="37"/>
      <c r="B245" s="38"/>
      <c r="C245" s="45"/>
      <c r="D245" s="31"/>
      <c r="E245" s="31"/>
      <c r="F245" s="268"/>
      <c r="G245" s="269"/>
      <c r="H245" s="269"/>
      <c r="I245" s="270"/>
      <c r="J245" s="32"/>
      <c r="K245" s="270"/>
      <c r="L245" s="270"/>
      <c r="M245" s="39"/>
      <c r="N245" s="39"/>
      <c r="O245" s="47"/>
      <c r="P245" s="57"/>
      <c r="Q245" s="276"/>
      <c r="R245" s="277"/>
      <c r="S245" s="277"/>
      <c r="T245" s="40"/>
      <c r="U245" s="278"/>
      <c r="V245" s="269"/>
      <c r="W245" s="269"/>
      <c r="X245" s="275"/>
      <c r="Y245" s="269"/>
      <c r="Z245" s="57"/>
      <c r="AA245" s="207"/>
      <c r="AB245" s="33"/>
      <c r="AC245" s="189"/>
      <c r="AD245" s="54"/>
      <c r="AE245" s="55"/>
      <c r="AF245" s="43"/>
      <c r="AG245" s="47"/>
      <c r="AH245" s="30"/>
      <c r="AI245" s="30"/>
      <c r="AJ245" s="30"/>
      <c r="AK245" s="30"/>
      <c r="AL245" s="13"/>
      <c r="AM245" s="13"/>
      <c r="AN245" s="13"/>
      <c r="AO245" s="13"/>
      <c r="AP245" s="13"/>
      <c r="AQ245" s="14"/>
      <c r="AR245" s="15"/>
    </row>
    <row r="246" spans="1:44" s="17" customFormat="1" ht="30.95" hidden="1" customHeight="1" x14ac:dyDescent="0.2">
      <c r="A246" s="37" t="s">
        <v>967</v>
      </c>
      <c r="B246" s="38" t="s">
        <v>445</v>
      </c>
      <c r="C246" s="45"/>
      <c r="D246" s="31"/>
      <c r="E246" s="31"/>
      <c r="F246" s="268" t="str">
        <f>IF(D246="","",VLOOKUP(D246,契約台帳!$A$3:$K$4986,6,FALSE)&amp;VLOOKUP(D246,契約台帳!$A$3:$K$4986,7,FALSE)&amp;VLOOKUP(D246,契約台帳!$A$3:$K$4986,8,FALSE)&amp;VLOOKUP(D246,契約台帳!$A$3:$K$4986,9,FALSE)&amp;VLOOKUP(D246,契約台帳!$A$3:$K$4986,11,FALSE))</f>
        <v/>
      </c>
      <c r="G246" s="269" t="str">
        <f>IF(D246="","",VLOOKUP(F246,製品マスタ!$G$5:$H$5002,2,FALSE))</f>
        <v/>
      </c>
      <c r="H246" s="269" t="str">
        <f>IF(D246="","",VLOOKUP(F246,製品マスタ!$G$5:$K$5002,5,FALSE))</f>
        <v/>
      </c>
      <c r="I246" s="270" t="str">
        <f>IF(D246="","",VLOOKUP(F246,製品マスタ!$G$5:$L$5002,6,FALSE))</f>
        <v/>
      </c>
      <c r="J246" s="32" t="s">
        <v>448</v>
      </c>
      <c r="K246" s="270" t="str">
        <f>IF(D246="","",VLOOKUP(D246,契約台帳!$A$3:$L$4986,12,FALSE))</f>
        <v/>
      </c>
      <c r="L246" s="270" t="str">
        <f>IF(D246="","",INDEX(製品マスタ!$Q$5:$Q$5002,MATCH(F246&amp;K246,製品マスタ!$AO$5:$AO$5002,0)))</f>
        <v/>
      </c>
      <c r="M246" s="39"/>
      <c r="N246" s="39"/>
      <c r="O246" s="47"/>
      <c r="P246" s="57"/>
      <c r="Q246" s="276" t="str">
        <f>IF(D246="","",IF(J246="リード付け",M246,VLOOKUP(D246,契約台帳!$A$3:$N$4986,14,FALSE)))</f>
        <v/>
      </c>
      <c r="R246" s="277" t="str">
        <f>IF(D246="","",IF(J246="リード付け",M246,VLOOKUP(D246,契約台帳!$A$3:$O$4986,15,FALSE)))</f>
        <v/>
      </c>
      <c r="S246" s="277" t="str">
        <f>IF(D246="","",IF(J246="リード付け",N246,VLOOKUP(D246,契約台帳!$A$3:$P$4986,16,FALSE)))</f>
        <v/>
      </c>
      <c r="T246" s="40"/>
      <c r="U246" s="278" t="str">
        <f ca="1">IF(D246="","",IF(OFFSET(D246,-2,0)=D246,"",VLOOKUP(D246,契約台帳!$A$3:$R$4986,18,FALSE)))</f>
        <v/>
      </c>
      <c r="V246" s="269" t="str">
        <f>IF(J246="巻返し",VLOOKUP(F246&amp;K246&amp;M246,製品マスタ!$M$5:$AD$5002,18,FALSE),IF(J246="リード付け","原反コア",IF(J246="スリット",VLOOKUP(F246&amp;K246&amp;Q246,製品マスタ!$N$5:$AD$5002,17,FALSE),"")))</f>
        <v/>
      </c>
      <c r="W246" s="269" t="str">
        <f>IF(J246="巻返し",VLOOKUP(F246&amp;K246&amp;M246,製品マスタ!$M$5:$AE$5002,19,FALSE),IF(J246="リード付け","-",IF(J246="スリット",VLOOKUP(F246&amp;K246&amp;Q246,製品マスタ!$N$5:$AE$5002,18,FALSE),"")))</f>
        <v/>
      </c>
      <c r="X246" s="275" t="str">
        <f>IF(D246="","",VLOOKUP(D246,契約台帳!$A$3:$Q$4986,17,FALSE))</f>
        <v/>
      </c>
      <c r="Y246" s="269" t="str">
        <f>IF(D246="","",VLOOKUP(D246,契約台帳!$A$3:$E$4986,5,FALSE))</f>
        <v/>
      </c>
      <c r="Z246" s="57"/>
      <c r="AA246" s="207" t="str">
        <f>IFERROR(VLOOKUP(F246&amp;K246&amp;M246,製品マスタ!$M$5:$AM$5002,27,FALSE),"")</f>
        <v/>
      </c>
      <c r="AB246" s="33"/>
      <c r="AC246" s="189"/>
      <c r="AD246" s="54"/>
      <c r="AE246" s="55"/>
      <c r="AF246" s="43"/>
      <c r="AG246" s="47"/>
      <c r="AH246" s="30"/>
      <c r="AI246" s="30"/>
      <c r="AJ246" s="30"/>
      <c r="AK246" s="30"/>
      <c r="AL246" s="13"/>
      <c r="AM246" s="13"/>
      <c r="AN246" s="13"/>
      <c r="AO246" s="13"/>
      <c r="AP246" s="13"/>
      <c r="AQ246" s="14"/>
      <c r="AR246" s="15"/>
    </row>
    <row r="247" spans="1:44" s="17" customFormat="1" ht="30.95" hidden="1" customHeight="1" x14ac:dyDescent="0.2">
      <c r="A247" s="37"/>
      <c r="B247" s="38"/>
      <c r="C247" s="45"/>
      <c r="D247" s="31"/>
      <c r="E247" s="31"/>
      <c r="F247" s="268" t="str">
        <f>IF(D247="","",VLOOKUP(D247,契約台帳!$A$3:$K$4986,6,FALSE)&amp;VLOOKUP(D247,契約台帳!$A$3:$K$4986,7,FALSE)&amp;VLOOKUP(D247,契約台帳!$A$3:$K$4986,8,FALSE)&amp;VLOOKUP(D247,契約台帳!$A$3:$K$4986,9,FALSE)&amp;VLOOKUP(D247,契約台帳!$A$3:$K$4986,11,FALSE))</f>
        <v/>
      </c>
      <c r="G247" s="269" t="str">
        <f>IF(D247="","",VLOOKUP(F247,製品マスタ!$G$5:$H$5002,2,FALSE))</f>
        <v/>
      </c>
      <c r="H247" s="269" t="str">
        <f>IF(D247="","",VLOOKUP(F247,製品マスタ!$G$5:$K$5002,5,FALSE))</f>
        <v/>
      </c>
      <c r="I247" s="270" t="str">
        <f>IF(D247="","",VLOOKUP(F247,製品マスタ!$G$5:$L$5002,6,FALSE))</f>
        <v/>
      </c>
      <c r="J247" s="32"/>
      <c r="K247" s="270" t="str">
        <f>IF(D247="","",VLOOKUP(D247,契約台帳!$A$3:$L$4986,12,FALSE))</f>
        <v/>
      </c>
      <c r="L247" s="270" t="str">
        <f>IF(D247="","",INDEX(製品マスタ!$Q$5:$Q$5002,MATCH(F247&amp;K247,製品マスタ!$AO$5:$AO$5002,0)))</f>
        <v/>
      </c>
      <c r="M247" s="39"/>
      <c r="N247" s="39"/>
      <c r="O247" s="47"/>
      <c r="P247" s="57"/>
      <c r="Q247" s="276" t="str">
        <f>IF(D247="","",IF(J247="リード付け",M247,VLOOKUP(D247,契約台帳!$A$3:$N$4986,14,FALSE)))</f>
        <v/>
      </c>
      <c r="R247" s="277" t="str">
        <f>IF(D247="","",IF(J247="リード付け",M247,VLOOKUP(D247,契約台帳!$A$3:$O$4986,15,FALSE)))</f>
        <v/>
      </c>
      <c r="S247" s="277" t="str">
        <f>IF(D247="","",IF(J247="リード付け",N247,VLOOKUP(D247,契約台帳!$A$3:$P$4986,16,FALSE)))</f>
        <v/>
      </c>
      <c r="T247" s="40"/>
      <c r="U247" s="278" t="str">
        <f ca="1">IF(D247="","",IF(OFFSET(D247,-2,0)=D247,"",VLOOKUP(D247,契約台帳!$A$3:$R$4986,18,FALSE)))</f>
        <v/>
      </c>
      <c r="V247" s="269" t="str">
        <f>IF(J247="巻返し",VLOOKUP(F247&amp;K247&amp;M247,製品マスタ!$M$5:$AD$5002,18,FALSE),IF(J247="リード付け","原反コア",IF(J247="スリット",VLOOKUP(F247&amp;K247&amp;Q247,製品マスタ!$N$5:$AD$5002,17,FALSE),"")))</f>
        <v/>
      </c>
      <c r="W247" s="269" t="str">
        <f>IF(J247="巻返し",VLOOKUP(F247&amp;K247&amp;M247,製品マスタ!$M$5:$AE$5002,19,FALSE),IF(J247="リード付け","-",IF(J247="スリット",VLOOKUP(F247&amp;K247&amp;Q247,製品マスタ!$N$5:$AE$5002,18,FALSE),"")))</f>
        <v/>
      </c>
      <c r="X247" s="275" t="str">
        <f>IF(D247="","",VLOOKUP(D247,契約台帳!$A$3:$Q$4986,17,FALSE))</f>
        <v/>
      </c>
      <c r="Y247" s="269" t="str">
        <f>IF(D247="","",VLOOKUP(D247,契約台帳!$A$3:$E$4986,5,FALSE))</f>
        <v/>
      </c>
      <c r="Z247" s="57"/>
      <c r="AA247" s="207" t="str">
        <f>IFERROR(VLOOKUP(F247&amp;K247&amp;M247,製品マスタ!$M$5:$AM$5002,27,FALSE),"")</f>
        <v/>
      </c>
      <c r="AB247" s="33"/>
      <c r="AC247" s="189"/>
      <c r="AD247" s="54"/>
      <c r="AE247" s="55"/>
      <c r="AF247" s="43"/>
      <c r="AG247" s="47"/>
      <c r="AH247" s="30"/>
      <c r="AI247" s="30"/>
      <c r="AJ247" s="30"/>
      <c r="AK247" s="30"/>
      <c r="AL247" s="13"/>
      <c r="AM247" s="13"/>
      <c r="AN247" s="13"/>
      <c r="AO247" s="13"/>
      <c r="AP247" s="13"/>
      <c r="AQ247" s="14"/>
      <c r="AR247" s="15"/>
    </row>
    <row r="248" spans="1:44" s="17" customFormat="1" ht="30.95" hidden="1" customHeight="1" x14ac:dyDescent="0.2">
      <c r="A248" s="37" t="s">
        <v>968</v>
      </c>
      <c r="B248" s="38" t="s">
        <v>446</v>
      </c>
      <c r="C248" s="45"/>
      <c r="D248" s="31"/>
      <c r="E248" s="31"/>
      <c r="F248" s="268" t="str">
        <f>IF(D248="","",VLOOKUP(D248,契約台帳!$A$3:$K$4986,6,FALSE)&amp;VLOOKUP(D248,契約台帳!$A$3:$K$4986,7,FALSE)&amp;VLOOKUP(D248,契約台帳!$A$3:$K$4986,8,FALSE)&amp;VLOOKUP(D248,契約台帳!$A$3:$K$4986,9,FALSE)&amp;VLOOKUP(D248,契約台帳!$A$3:$K$4986,11,FALSE))</f>
        <v/>
      </c>
      <c r="G248" s="269" t="str">
        <f>IF(D248="","",VLOOKUP(F248,製品マスタ!$G$5:$H$5002,2,FALSE))</f>
        <v/>
      </c>
      <c r="H248" s="269" t="str">
        <f>IF(D248="","",VLOOKUP(F248,製品マスタ!$G$5:$K$5002,5,FALSE))</f>
        <v/>
      </c>
      <c r="I248" s="270" t="str">
        <f>IF(D248="","",VLOOKUP(F248,製品マスタ!$G$5:$L$5002,6,FALSE))</f>
        <v/>
      </c>
      <c r="J248" s="32" t="s">
        <v>448</v>
      </c>
      <c r="K248" s="270" t="str">
        <f>IF(D248="","",VLOOKUP(D248,契約台帳!$A$3:$L$4986,12,FALSE))</f>
        <v/>
      </c>
      <c r="L248" s="270" t="str">
        <f>IF(D248="","",INDEX(製品マスタ!$Q$5:$Q$5002,MATCH(F248&amp;K248,製品マスタ!$AO$5:$AO$5002,0)))</f>
        <v/>
      </c>
      <c r="M248" s="39"/>
      <c r="N248" s="39"/>
      <c r="O248" s="47"/>
      <c r="P248" s="57"/>
      <c r="Q248" s="276" t="str">
        <f>IF(D248="","",IF(J248="リード付け",M248,VLOOKUP(D248,契約台帳!$A$3:$N$4986,14,FALSE)))</f>
        <v/>
      </c>
      <c r="R248" s="277" t="str">
        <f>IF(D248="","",IF(J248="リード付け",M248,VLOOKUP(D248,契約台帳!$A$3:$O$4986,15,FALSE)))</f>
        <v/>
      </c>
      <c r="S248" s="277" t="str">
        <f>IF(D248="","",IF(J248="リード付け",N248,VLOOKUP(D248,契約台帳!$A$3:$P$4986,16,FALSE)))</f>
        <v/>
      </c>
      <c r="T248" s="40"/>
      <c r="U248" s="278" t="str">
        <f ca="1">IF(D248="","",IF(OFFSET(D248,-2,0)=D248,"",VLOOKUP(D248,契約台帳!$A$3:$R$4986,18,FALSE)))</f>
        <v/>
      </c>
      <c r="V248" s="269" t="str">
        <f>IF(J248="巻返し",VLOOKUP(F248&amp;K248&amp;M248,製品マスタ!$M$5:$AD$5002,18,FALSE),IF(J248="リード付け","原反コア",IF(J248="スリット",VLOOKUP(F248&amp;K248&amp;Q248,製品マスタ!$N$5:$AD$5002,17,FALSE),"")))</f>
        <v/>
      </c>
      <c r="W248" s="269" t="str">
        <f>IF(J248="巻返し",VLOOKUP(F248&amp;K248&amp;M248,製品マスタ!$M$5:$AE$5002,19,FALSE),IF(J248="リード付け","-",IF(J248="スリット",VLOOKUP(F248&amp;K248&amp;Q248,製品マスタ!$N$5:$AE$5002,18,FALSE),"")))</f>
        <v/>
      </c>
      <c r="X248" s="275" t="str">
        <f>IF(D248="","",VLOOKUP(D248,契約台帳!$A$3:$Q$4986,17,FALSE))</f>
        <v/>
      </c>
      <c r="Y248" s="269" t="str">
        <f>IF(D248="","",VLOOKUP(D248,契約台帳!$A$3:$E$4986,5,FALSE))</f>
        <v/>
      </c>
      <c r="Z248" s="57"/>
      <c r="AA248" s="207" t="str">
        <f>IFERROR(VLOOKUP(F248&amp;K248&amp;M248,製品マスタ!$M$5:$AM$5002,27,FALSE),"")</f>
        <v/>
      </c>
      <c r="AB248" s="33"/>
      <c r="AC248" s="189"/>
      <c r="AD248" s="54"/>
      <c r="AE248" s="55"/>
      <c r="AF248" s="43"/>
      <c r="AG248" s="47"/>
      <c r="AH248" s="30"/>
      <c r="AI248" s="30"/>
      <c r="AJ248" s="30"/>
      <c r="AK248" s="30"/>
      <c r="AL248" s="13"/>
      <c r="AM248" s="13"/>
      <c r="AN248" s="13"/>
      <c r="AO248" s="13"/>
      <c r="AP248" s="13"/>
      <c r="AQ248" s="14"/>
      <c r="AR248" s="15"/>
    </row>
    <row r="249" spans="1:44" s="17" customFormat="1" ht="30.95" hidden="1" customHeight="1" x14ac:dyDescent="0.2">
      <c r="A249" s="37"/>
      <c r="B249" s="38"/>
      <c r="C249" s="45"/>
      <c r="D249" s="31"/>
      <c r="E249" s="31"/>
      <c r="F249" s="268" t="str">
        <f>IF(D249="","",VLOOKUP(D249,契約台帳!$A$3:$K$4986,6,FALSE)&amp;VLOOKUP(D249,契約台帳!$A$3:$K$4986,7,FALSE)&amp;VLOOKUP(D249,契約台帳!$A$3:$K$4986,8,FALSE)&amp;VLOOKUP(D249,契約台帳!$A$3:$K$4986,9,FALSE)&amp;VLOOKUP(D249,契約台帳!$A$3:$K$4986,11,FALSE))</f>
        <v/>
      </c>
      <c r="G249" s="269" t="str">
        <f>IF(D249="","",VLOOKUP(F249,製品マスタ!$G$5:$H$5002,2,FALSE))</f>
        <v/>
      </c>
      <c r="H249" s="269" t="str">
        <f>IF(D249="","",VLOOKUP(F249,製品マスタ!$G$5:$K$5002,5,FALSE))</f>
        <v/>
      </c>
      <c r="I249" s="270" t="str">
        <f>IF(D249="","",VLOOKUP(F249,製品マスタ!$G$5:$L$5002,6,FALSE))</f>
        <v/>
      </c>
      <c r="J249" s="32"/>
      <c r="K249" s="270" t="str">
        <f>IF(D249="","",VLOOKUP(D249,契約台帳!$A$3:$L$4986,12,FALSE))</f>
        <v/>
      </c>
      <c r="L249" s="270" t="str">
        <f>IF(D249="","",INDEX(製品マスタ!$Q$5:$Q$5002,MATCH(F249&amp;K249,製品マスタ!$AO$5:$AO$5002,0)))</f>
        <v/>
      </c>
      <c r="M249" s="39"/>
      <c r="N249" s="39"/>
      <c r="O249" s="47"/>
      <c r="P249" s="57"/>
      <c r="Q249" s="276" t="str">
        <f>IF(D249="","",IF(J249="リード付け",M249,VLOOKUP(D249,契約台帳!$A$3:$N$4986,14,FALSE)))</f>
        <v/>
      </c>
      <c r="R249" s="277" t="str">
        <f>IF(D249="","",IF(J249="リード付け",M249,VLOOKUP(D249,契約台帳!$A$3:$O$4986,15,FALSE)))</f>
        <v/>
      </c>
      <c r="S249" s="277" t="str">
        <f>IF(D249="","",IF(J249="リード付け",N249,VLOOKUP(D249,契約台帳!$A$3:$P$4986,16,FALSE)))</f>
        <v/>
      </c>
      <c r="T249" s="40"/>
      <c r="U249" s="278" t="str">
        <f ca="1">IF(D249="","",IF(OFFSET(D249,-2,0)=D249,"",VLOOKUP(D249,契約台帳!$A$3:$R$4986,18,FALSE)))</f>
        <v/>
      </c>
      <c r="V249" s="269" t="str">
        <f>IF(J249="巻返し",VLOOKUP(F249&amp;K249&amp;M249,製品マスタ!$M$5:$AD$5002,18,FALSE),IF(J249="リード付け","原反コア",IF(J249="スリット",VLOOKUP(F249&amp;K249&amp;Q249,製品マスタ!$N$5:$AD$5002,17,FALSE),"")))</f>
        <v/>
      </c>
      <c r="W249" s="269" t="str">
        <f>IF(J249="巻返し",VLOOKUP(F249&amp;K249&amp;M249,製品マスタ!$M$5:$AE$5002,19,FALSE),IF(J249="リード付け","-",IF(J249="スリット",VLOOKUP(F249&amp;K249&amp;Q249,製品マスタ!$N$5:$AE$5002,18,FALSE),"")))</f>
        <v/>
      </c>
      <c r="X249" s="275" t="str">
        <f>IF(D249="","",VLOOKUP(D249,契約台帳!$A$3:$Q$4986,17,FALSE))</f>
        <v/>
      </c>
      <c r="Y249" s="269" t="str">
        <f>IF(D249="","",VLOOKUP(D249,契約台帳!$A$3:$E$4986,5,FALSE))</f>
        <v/>
      </c>
      <c r="Z249" s="57"/>
      <c r="AA249" s="207" t="str">
        <f>IFERROR(VLOOKUP(F249&amp;K249&amp;M249,製品マスタ!$M$5:$AM$5002,27,FALSE),"")</f>
        <v/>
      </c>
      <c r="AB249" s="33"/>
      <c r="AC249" s="189"/>
      <c r="AD249" s="54"/>
      <c r="AE249" s="55"/>
      <c r="AF249" s="43"/>
      <c r="AG249" s="47"/>
      <c r="AH249" s="30"/>
      <c r="AI249" s="30"/>
      <c r="AJ249" s="30"/>
      <c r="AK249" s="30"/>
      <c r="AL249" s="13"/>
      <c r="AM249" s="13"/>
      <c r="AN249" s="13"/>
      <c r="AO249" s="13"/>
      <c r="AP249" s="13"/>
      <c r="AQ249" s="14"/>
      <c r="AR249" s="15"/>
    </row>
    <row r="250" spans="1:44" s="17" customFormat="1" ht="30.95" hidden="1" customHeight="1" x14ac:dyDescent="0.2">
      <c r="A250" s="37" t="s">
        <v>991</v>
      </c>
      <c r="B250" s="38" t="s">
        <v>992</v>
      </c>
      <c r="C250" s="45"/>
      <c r="D250" s="31">
        <v>3700952</v>
      </c>
      <c r="E250" s="31">
        <v>4151312</v>
      </c>
      <c r="F250" s="268" t="str">
        <f>IF(D250="","",VLOOKUP(D250,契約台帳!$A$3:$K$4986,6,FALSE)&amp;VLOOKUP(D250,契約台帳!$A$3:$K$4986,7,FALSE)&amp;VLOOKUP(D250,契約台帳!$A$3:$K$4986,8,FALSE)&amp;VLOOKUP(D250,契約台帳!$A$3:$K$4986,9,FALSE)&amp;VLOOKUP(D250,契約台帳!$A$3:$K$4986,11,FALSE))</f>
        <v>3SNMLBMNGKKBF</v>
      </c>
      <c r="G250" s="269" t="str">
        <f>IF(D250="","",VLOOKUP(F250,製品マスタ!$G$5:$H$5002,2,FALSE))</f>
        <v>S</v>
      </c>
      <c r="H250" s="269" t="str">
        <f>IF(D250="","",VLOOKUP(F250,製品マスタ!$G$5:$K$5002,5,FALSE))</f>
        <v>MNGKKBF</v>
      </c>
      <c r="I250" s="270" t="str">
        <f>IF(D250="","",VLOOKUP(F250,製品マスタ!$G$5:$L$5002,6,FALSE))</f>
        <v>メタルミー　ネーマー銀消改　Ｂ</v>
      </c>
      <c r="J250" s="32" t="s">
        <v>447</v>
      </c>
      <c r="K250" s="270">
        <f>IF(D250="","",VLOOKUP(D250,契約台帳!$A$3:$L$4986,12,FALSE))</f>
        <v>50</v>
      </c>
      <c r="L250" s="270" t="str">
        <f>IF(D250="","",INDEX(製品マスタ!$Q$5:$Q$5002,MATCH(F250&amp;K250,製品マスタ!$AO$5:$AO$5002,0)))</f>
        <v>S99-MAT</v>
      </c>
      <c r="M250" s="39">
        <v>1120</v>
      </c>
      <c r="N250" s="39">
        <v>12000</v>
      </c>
      <c r="O250" s="47">
        <v>8</v>
      </c>
      <c r="P250" s="57"/>
      <c r="Q250" s="276">
        <f>IF(D250="","",IF(J250="リード付け",M250,VLOOKUP(D250,契約台帳!$A$3:$N$4986,14,FALSE)))</f>
        <v>1120</v>
      </c>
      <c r="R250" s="277">
        <f>IF(D250="","",IF(J250="リード付け",M250,VLOOKUP(D250,契約台帳!$A$3:$O$4986,15,FALSE)))</f>
        <v>1120</v>
      </c>
      <c r="S250" s="277">
        <f>IF(D250="","",IF(J250="リード付け",N250,VLOOKUP(D250,契約台帳!$A$3:$P$4986,16,FALSE)))</f>
        <v>4000</v>
      </c>
      <c r="T250" s="40">
        <v>24</v>
      </c>
      <c r="U250" s="278">
        <v>24</v>
      </c>
      <c r="V250" s="269" t="str">
        <f>IF(J250="巻返し",VLOOKUP(F250&amp;K250&amp;M250,製品マスタ!$M$5:$AD$5002,18,FALSE),IF(J250="リード付け","原反コア",IF(J250="スリット",VLOOKUP(F250&amp;K250&amp;Q250,製品マスタ!$N$5:$AD$5002,17,FALSE),"")))</f>
        <v>6ｲﾝﾁSｺｱ</v>
      </c>
      <c r="W250" s="269">
        <f>IF(J250="巻返し",VLOOKUP(F250&amp;K250&amp;M250,製品マスタ!$M$5:$AE$5002,19,FALSE),IF(J250="リード付け","-",IF(J250="スリット",VLOOKUP(F250&amp;K250&amp;Q250,製品マスタ!$N$5:$AE$5002,18,FALSE),"")))</f>
        <v>1125</v>
      </c>
      <c r="X250" s="275">
        <f>IF(D250="","",VLOOKUP(D250,契約台帳!$A$3:$Q$4986,17,FALSE))</f>
        <v>2</v>
      </c>
      <c r="Y250" s="269" t="str">
        <f>IF(D250="","",VLOOKUP(D250,契約台帳!$A$3:$E$4986,5,FALSE))</f>
        <v>リンテック㈱</v>
      </c>
      <c r="Z250" s="57">
        <v>45008</v>
      </c>
      <c r="AA250" s="207">
        <f>IFERROR(VLOOKUP(F250&amp;K250&amp;M250,製品マスタ!$M$5:$AM$5002,27,FALSE),"")</f>
        <v>0</v>
      </c>
      <c r="AB250" s="33"/>
      <c r="AC250" s="189"/>
      <c r="AD250" s="54" t="str">
        <f>IF(F250="","",+F250&amp;K250)</f>
        <v>3SNMLBMNGKKBF50</v>
      </c>
      <c r="AE250" s="55">
        <f>+M250*N250*O250/1000</f>
        <v>107520</v>
      </c>
      <c r="AF250" s="43">
        <f>IF(AD250="","",VLOOKUP(AD250,原価マスタ!$A$2:$AJ$1693,13,FALSE))</f>
        <v>99</v>
      </c>
      <c r="AG250" s="47">
        <f>IF(AF250="","",+AE250*AF250/100)</f>
        <v>106444.8</v>
      </c>
      <c r="AH250" s="30"/>
      <c r="AI250" s="30"/>
      <c r="AJ250" s="30"/>
      <c r="AK250" s="30"/>
      <c r="AL250" s="13"/>
      <c r="AM250" s="13"/>
      <c r="AN250" s="13"/>
      <c r="AO250" s="13"/>
      <c r="AP250" s="13"/>
      <c r="AQ250" s="14"/>
      <c r="AR250" s="15"/>
    </row>
    <row r="251" spans="1:44" s="17" customFormat="1" ht="30.95" hidden="1" customHeight="1" x14ac:dyDescent="0.2">
      <c r="A251" s="37"/>
      <c r="B251" s="38"/>
      <c r="C251" s="45"/>
      <c r="D251" s="31"/>
      <c r="E251" s="31"/>
      <c r="F251" s="268"/>
      <c r="G251" s="269"/>
      <c r="H251" s="269"/>
      <c r="I251" s="270"/>
      <c r="J251" s="32"/>
      <c r="K251" s="270"/>
      <c r="L251" s="270"/>
      <c r="M251" s="39"/>
      <c r="N251" s="39"/>
      <c r="O251" s="47"/>
      <c r="P251" s="57"/>
      <c r="Q251" s="276"/>
      <c r="R251" s="277"/>
      <c r="S251" s="277"/>
      <c r="T251" s="40"/>
      <c r="U251" s="278"/>
      <c r="V251" s="269"/>
      <c r="W251" s="269"/>
      <c r="X251" s="275"/>
      <c r="Y251" s="269"/>
      <c r="Z251" s="57"/>
      <c r="AA251" s="207"/>
      <c r="AB251" s="33"/>
      <c r="AC251" s="189"/>
      <c r="AD251" s="54"/>
      <c r="AE251" s="55"/>
      <c r="AF251" s="43"/>
      <c r="AG251" s="47"/>
      <c r="AH251" s="30"/>
      <c r="AI251" s="30"/>
      <c r="AJ251" s="30"/>
      <c r="AK251" s="30"/>
      <c r="AL251" s="13"/>
      <c r="AM251" s="13"/>
      <c r="AN251" s="13"/>
      <c r="AO251" s="13"/>
      <c r="AP251" s="13"/>
      <c r="AQ251" s="14"/>
      <c r="AR251" s="15"/>
    </row>
    <row r="252" spans="1:44" s="17" customFormat="1" ht="30.95" hidden="1" customHeight="1" x14ac:dyDescent="0.2">
      <c r="A252" s="37" t="s">
        <v>993</v>
      </c>
      <c r="B252" s="38" t="s">
        <v>994</v>
      </c>
      <c r="C252" s="45"/>
      <c r="D252" s="31">
        <v>3700963</v>
      </c>
      <c r="E252" s="31">
        <v>4151326</v>
      </c>
      <c r="F252" s="268" t="str">
        <f>IF(D252="","",VLOOKUP(D252,契約台帳!$A$3:$K$4986,6,FALSE)&amp;VLOOKUP(D252,契約台帳!$A$3:$K$4986,7,FALSE)&amp;VLOOKUP(D252,契約台帳!$A$3:$K$4986,8,FALSE)&amp;VLOOKUP(D252,契約台帳!$A$3:$K$4986,9,FALSE)&amp;VLOOKUP(D252,契約台帳!$A$3:$K$4986,11,FALSE))</f>
        <v>3SNMLBMNQR66F</v>
      </c>
      <c r="G252" s="269" t="str">
        <f>IF(D252="","",VLOOKUP(F252,製品マスタ!$G$5:$H$5002,2,FALSE))</f>
        <v>S</v>
      </c>
      <c r="H252" s="269" t="str">
        <f>IF(D252="","",VLOOKUP(F252,製品マスタ!$G$5:$K$5002,5,FALSE))</f>
        <v>MNQR66F</v>
      </c>
      <c r="I252" s="270" t="str">
        <f>IF(D252="","",VLOOKUP(F252,製品マスタ!$G$5:$L$5002,6,FALSE))</f>
        <v>ＱＲ６６蒸着品</v>
      </c>
      <c r="J252" s="32" t="s">
        <v>962</v>
      </c>
      <c r="K252" s="270">
        <f>IF(D252="","",VLOOKUP(D252,契約台帳!$A$3:$L$4986,12,FALSE))</f>
        <v>25</v>
      </c>
      <c r="L252" s="270" t="str">
        <f>IF(D252="","",INDEX(製品マスタ!$Q$5:$Q$5002,MATCH(F252&amp;K252,製品マスタ!$AO$5:$AO$5002,0)))</f>
        <v>E315</v>
      </c>
      <c r="M252" s="39">
        <v>1100</v>
      </c>
      <c r="N252" s="39">
        <v>24000</v>
      </c>
      <c r="O252" s="47">
        <v>3</v>
      </c>
      <c r="P252" s="57"/>
      <c r="Q252" s="276">
        <f>IF(D252="","",IF(J252="リード付け",M252,VLOOKUP(D252,契約台帳!$A$3:$N$4986,14,FALSE)))</f>
        <v>1100</v>
      </c>
      <c r="R252" s="277">
        <f>IF(D252="","",IF(J252="リード付け",M252,VLOOKUP(D252,契約台帳!$A$3:$O$4986,15,FALSE)))</f>
        <v>1100</v>
      </c>
      <c r="S252" s="277">
        <f>IF(D252="","",IF(J252="リード付け",N252,VLOOKUP(D252,契約台帳!$A$3:$P$4986,16,FALSE)))</f>
        <v>6000</v>
      </c>
      <c r="T252" s="40">
        <v>12</v>
      </c>
      <c r="U252" s="278">
        <f ca="1">IF(D252="","",IF(OFFSET(D252,-2,0)=D252,"",VLOOKUP(D252,契約台帳!$A$3:$R$4986,18,FALSE)))</f>
        <v>18</v>
      </c>
      <c r="V252" s="269" t="str">
        <f>IF(J252="巻返し",VLOOKUP(F252&amp;K252&amp;M252,製品マスタ!$M$5:$AD$5002,18,FALSE),IF(J252="リード付け","原反コア",IF(J252="スリット",VLOOKUP(F252&amp;K252&amp;Q252,製品マスタ!$N$5:$AD$5002,17,FALSE),"")))</f>
        <v>6ｲﾝﾁMｺｱ</v>
      </c>
      <c r="W252" s="269">
        <f>IF(J252="巻返し",VLOOKUP(F252&amp;K252&amp;M252,製品マスタ!$M$5:$AE$5002,19,FALSE),IF(J252="リード付け","-",IF(J252="スリット",VLOOKUP(F252&amp;K252&amp;Q252,製品マスタ!$N$5:$AE$5002,18,FALSE),"")))</f>
        <v>1110</v>
      </c>
      <c r="X252" s="275">
        <f>IF(D252="","",VLOOKUP(D252,契約台帳!$A$3:$Q$4986,17,FALSE))</f>
        <v>2</v>
      </c>
      <c r="Y252" s="269" t="str">
        <f>IF(D252="","",VLOOKUP(D252,契約台帳!$A$3:$E$4986,5,FALSE))</f>
        <v>リンテック㈱</v>
      </c>
      <c r="Z252" s="57">
        <v>45009</v>
      </c>
      <c r="AA252" s="207" t="str">
        <f>IFERROR(VLOOKUP(F252&amp;K252&amp;M252,製品マスタ!$M$5:$AM$5002,27,FALSE),"")</f>
        <v>原反ケース再利用</v>
      </c>
      <c r="AB252" s="33"/>
      <c r="AC252" s="189"/>
      <c r="AD252" s="54" t="str">
        <f>IF(F252="","",+F252&amp;K252)</f>
        <v>3SNMLBMNQR66F25</v>
      </c>
      <c r="AE252" s="55">
        <f>+M252*N252*O252/1000</f>
        <v>79200</v>
      </c>
      <c r="AF252" s="43">
        <f>IF(AD252="","",VLOOKUP(AD252,原価マスタ!$A$2:$AJ$1693,13,FALSE))</f>
        <v>98</v>
      </c>
      <c r="AG252" s="47">
        <f>IF(AF252="","",+AE252*AF252/100)</f>
        <v>77616</v>
      </c>
      <c r="AH252" s="30"/>
      <c r="AI252" s="30"/>
      <c r="AJ252" s="30"/>
      <c r="AK252" s="30"/>
      <c r="AL252" s="13"/>
      <c r="AM252" s="13"/>
      <c r="AN252" s="13"/>
      <c r="AO252" s="13"/>
      <c r="AP252" s="13"/>
      <c r="AQ252" s="14"/>
      <c r="AR252" s="15"/>
    </row>
    <row r="253" spans="1:44" s="17" customFormat="1" ht="30.95" hidden="1" customHeight="1" x14ac:dyDescent="0.2">
      <c r="A253" s="37"/>
      <c r="B253" s="38"/>
      <c r="C253" s="45"/>
      <c r="D253" s="31"/>
      <c r="E253" s="31"/>
      <c r="F253" s="268" t="str">
        <f>IF(D253="","",VLOOKUP(D253,契約台帳!$A$3:$K$4986,6,FALSE)&amp;VLOOKUP(D253,契約台帳!$A$3:$K$4986,7,FALSE)&amp;VLOOKUP(D253,契約台帳!$A$3:$K$4986,8,FALSE)&amp;VLOOKUP(D253,契約台帳!$A$3:$K$4986,9,FALSE)&amp;VLOOKUP(D253,契約台帳!$A$3:$K$4986,11,FALSE))</f>
        <v/>
      </c>
      <c r="G253" s="269" t="str">
        <f>IF(D253="","",VLOOKUP(F253,製品マスタ!$G$5:$H$5002,2,FALSE))</f>
        <v/>
      </c>
      <c r="H253" s="269" t="str">
        <f>IF(D253="","",VLOOKUP(F253,製品マスタ!$G$5:$K$5002,5,FALSE))</f>
        <v/>
      </c>
      <c r="I253" s="270" t="str">
        <f>IF(D253="","",VLOOKUP(F253,製品マスタ!$G$5:$L$5002,6,FALSE))</f>
        <v/>
      </c>
      <c r="J253" s="32"/>
      <c r="K253" s="270" t="str">
        <f>IF(D253="","",VLOOKUP(D253,契約台帳!$A$3:$L$4986,12,FALSE))</f>
        <v/>
      </c>
      <c r="L253" s="270" t="str">
        <f>IF(D253="","",INDEX(製品マスタ!$Q$5:$Q$5002,MATCH(F253&amp;K253,製品マスタ!$AO$5:$AO$5002,0)))</f>
        <v/>
      </c>
      <c r="M253" s="39"/>
      <c r="N253" s="39"/>
      <c r="O253" s="47"/>
      <c r="P253" s="57"/>
      <c r="Q253" s="276" t="str">
        <f>IF(D253="","",IF(J253="リード付け",M253,VLOOKUP(D253,契約台帳!$A$3:$N$4986,14,FALSE)))</f>
        <v/>
      </c>
      <c r="R253" s="277" t="str">
        <f>IF(D253="","",IF(J253="リード付け",M253,VLOOKUP(D253,契約台帳!$A$3:$O$4986,15,FALSE)))</f>
        <v/>
      </c>
      <c r="S253" s="277" t="str">
        <f>IF(D253="","",IF(J253="リード付け",N253,VLOOKUP(D253,契約台帳!$A$3:$P$4986,16,FALSE)))</f>
        <v/>
      </c>
      <c r="T253" s="40"/>
      <c r="U253" s="278" t="str">
        <f ca="1">IF(D253="","",IF(OFFSET(D253,-2,0)=D253,"",VLOOKUP(D253,契約台帳!$A$3:$R$4986,18,FALSE)))</f>
        <v/>
      </c>
      <c r="V253" s="269" t="str">
        <f>IF(J253="巻返し",VLOOKUP(F253&amp;K253&amp;M253,製品マスタ!$M$5:$AD$5002,18,FALSE),IF(J253="リード付け","原反コア",IF(J253="スリット",VLOOKUP(F253&amp;K253&amp;Q253,製品マスタ!$N$5:$AD$5002,17,FALSE),"")))</f>
        <v/>
      </c>
      <c r="W253" s="269" t="str">
        <f>IF(J253="巻返し",VLOOKUP(F253&amp;K253&amp;M253,製品マスタ!$M$5:$AE$5002,19,FALSE),IF(J253="リード付け","-",IF(J253="スリット",VLOOKUP(F253&amp;K253&amp;Q253,製品マスタ!$N$5:$AE$5002,18,FALSE),"")))</f>
        <v/>
      </c>
      <c r="X253" s="275" t="str">
        <f>IF(D253="","",VLOOKUP(D253,契約台帳!$A$3:$Q$4986,17,FALSE))</f>
        <v/>
      </c>
      <c r="Y253" s="269" t="str">
        <f>IF(D253="","",VLOOKUP(D253,契約台帳!$A$3:$E$4986,5,FALSE))</f>
        <v/>
      </c>
      <c r="Z253" s="57"/>
      <c r="AA253" s="207" t="str">
        <f>IFERROR(VLOOKUP(F253&amp;K253&amp;M253,製品マスタ!$M$5:$AM$5002,27,FALSE),"")</f>
        <v/>
      </c>
      <c r="AB253" s="33"/>
      <c r="AC253" s="189"/>
      <c r="AD253" s="54"/>
      <c r="AE253" s="55"/>
      <c r="AF253" s="43"/>
      <c r="AG253" s="47"/>
      <c r="AH253" s="30"/>
      <c r="AI253" s="30"/>
      <c r="AJ253" s="30"/>
      <c r="AK253" s="30"/>
      <c r="AL253" s="13"/>
      <c r="AM253" s="13"/>
      <c r="AN253" s="13"/>
      <c r="AO253" s="13"/>
      <c r="AP253" s="13"/>
      <c r="AQ253" s="14"/>
      <c r="AR253" s="15"/>
    </row>
    <row r="254" spans="1:44" s="17" customFormat="1" ht="30.95" hidden="1" customHeight="1" x14ac:dyDescent="0.2">
      <c r="A254" s="37"/>
      <c r="B254" s="38"/>
      <c r="C254" s="45"/>
      <c r="D254" s="31">
        <v>3700963</v>
      </c>
      <c r="E254" s="31">
        <v>4151326</v>
      </c>
      <c r="F254" s="268" t="str">
        <f>IF(D254="","",VLOOKUP(D254,契約台帳!$A$3:$K$4986,6,FALSE)&amp;VLOOKUP(D254,契約台帳!$A$3:$K$4986,7,FALSE)&amp;VLOOKUP(D254,契約台帳!$A$3:$K$4986,8,FALSE)&amp;VLOOKUP(D254,契約台帳!$A$3:$K$4986,9,FALSE)&amp;VLOOKUP(D254,契約台帳!$A$3:$K$4986,11,FALSE))</f>
        <v>3SNMLBMNQR66F</v>
      </c>
      <c r="G254" s="269" t="str">
        <f>IF(D254="","",VLOOKUP(F254,製品マスタ!$G$5:$H$5002,2,FALSE))</f>
        <v>S</v>
      </c>
      <c r="H254" s="269" t="str">
        <f>IF(D254="","",VLOOKUP(F254,製品マスタ!$G$5:$K$5002,5,FALSE))</f>
        <v>MNQR66F</v>
      </c>
      <c r="I254" s="270" t="str">
        <f>IF(D254="","",VLOOKUP(F254,製品マスタ!$G$5:$L$5002,6,FALSE))</f>
        <v>ＱＲ６６蒸着品</v>
      </c>
      <c r="J254" s="32" t="s">
        <v>962</v>
      </c>
      <c r="K254" s="270">
        <f>IF(D254="","",VLOOKUP(D254,契約台帳!$A$3:$L$4986,12,FALSE))</f>
        <v>25</v>
      </c>
      <c r="L254" s="270" t="str">
        <f>IF(D254="","",INDEX(製品マスタ!$Q$5:$Q$5002,MATCH(F254&amp;K254,製品マスタ!$AO$5:$AO$5002,0)))</f>
        <v>E315</v>
      </c>
      <c r="M254" s="39">
        <v>1100</v>
      </c>
      <c r="N254" s="39">
        <v>18000</v>
      </c>
      <c r="O254" s="47">
        <v>2</v>
      </c>
      <c r="P254" s="57"/>
      <c r="Q254" s="276">
        <f>IF(D254="","",IF(J254="リード付け",M254,VLOOKUP(D254,契約台帳!$A$3:$N$4986,14,FALSE)))</f>
        <v>1100</v>
      </c>
      <c r="R254" s="277">
        <f>IF(D254="","",IF(J254="リード付け",M254,VLOOKUP(D254,契約台帳!$A$3:$O$4986,15,FALSE)))</f>
        <v>1100</v>
      </c>
      <c r="S254" s="277">
        <f>IF(D254="","",IF(J254="リード付け",N254,VLOOKUP(D254,契約台帳!$A$3:$P$4986,16,FALSE)))</f>
        <v>6000</v>
      </c>
      <c r="T254" s="40">
        <v>6</v>
      </c>
      <c r="U254" s="278" t="str">
        <f ca="1">IF(D254="","",IF(OFFSET(D254,-2,0)=D254,"",VLOOKUP(D254,契約台帳!$A$3:$R$4986,18,FALSE)))</f>
        <v/>
      </c>
      <c r="V254" s="269" t="str">
        <f>IF(J254="巻返し",VLOOKUP(F254&amp;K254&amp;M254,製品マスタ!$M$5:$AD$5002,18,FALSE),IF(J254="リード付け","原反コア",IF(J254="スリット",VLOOKUP(F254&amp;K254&amp;Q254,製品マスタ!$N$5:$AD$5002,17,FALSE),"")))</f>
        <v>6ｲﾝﾁMｺｱ</v>
      </c>
      <c r="W254" s="269">
        <f>IF(J254="巻返し",VLOOKUP(F254&amp;K254&amp;M254,製品マスタ!$M$5:$AE$5002,19,FALSE),IF(J254="リード付け","-",IF(J254="スリット",VLOOKUP(F254&amp;K254&amp;Q254,製品マスタ!$N$5:$AE$5002,18,FALSE),"")))</f>
        <v>1110</v>
      </c>
      <c r="X254" s="275">
        <f>IF(D254="","",VLOOKUP(D254,契約台帳!$A$3:$Q$4986,17,FALSE))</f>
        <v>2</v>
      </c>
      <c r="Y254" s="269" t="str">
        <f>IF(D254="","",VLOOKUP(D254,契約台帳!$A$3:$E$4986,5,FALSE))</f>
        <v>リンテック㈱</v>
      </c>
      <c r="Z254" s="57">
        <v>45009</v>
      </c>
      <c r="AA254" s="207" t="str">
        <f>IFERROR(VLOOKUP(F254&amp;K254&amp;M254,製品マスタ!$M$5:$AM$5002,27,FALSE),"")</f>
        <v>原反ケース再利用</v>
      </c>
      <c r="AB254" s="33"/>
      <c r="AC254" s="189"/>
      <c r="AD254" s="54" t="str">
        <f>IF(F254="","",+F254&amp;K254)</f>
        <v>3SNMLBMNQR66F25</v>
      </c>
      <c r="AE254" s="55">
        <f>+M254*N254*O254/1000</f>
        <v>39600</v>
      </c>
      <c r="AF254" s="43">
        <f>IF(AD254="","",VLOOKUP(AD254,原価マスタ!$A$2:$AJ$1693,13,FALSE))</f>
        <v>98</v>
      </c>
      <c r="AG254" s="47">
        <f>IF(AF254="","",+AE254*AF254/100)</f>
        <v>38808</v>
      </c>
      <c r="AH254" s="30"/>
      <c r="AI254" s="30"/>
      <c r="AJ254" s="30"/>
      <c r="AK254" s="30"/>
      <c r="AL254" s="13"/>
      <c r="AM254" s="13"/>
      <c r="AN254" s="13"/>
      <c r="AO254" s="13"/>
      <c r="AP254" s="13"/>
      <c r="AQ254" s="14"/>
      <c r="AR254" s="15"/>
    </row>
    <row r="255" spans="1:44" s="17" customFormat="1" ht="30.95" hidden="1" customHeight="1" x14ac:dyDescent="0.2">
      <c r="A255" s="37"/>
      <c r="B255" s="38"/>
      <c r="C255" s="45"/>
      <c r="D255" s="31"/>
      <c r="E255" s="31"/>
      <c r="F255" s="268" t="str">
        <f>IF(D255="","",VLOOKUP(D255,契約台帳!$A$3:$K$4986,6,FALSE)&amp;VLOOKUP(D255,契約台帳!$A$3:$K$4986,7,FALSE)&amp;VLOOKUP(D255,契約台帳!$A$3:$K$4986,8,FALSE)&amp;VLOOKUP(D255,契約台帳!$A$3:$K$4986,9,FALSE)&amp;VLOOKUP(D255,契約台帳!$A$3:$K$4986,11,FALSE))</f>
        <v/>
      </c>
      <c r="G255" s="269" t="str">
        <f>IF(D255="","",VLOOKUP(F255,製品マスタ!$G$5:$H$5002,2,FALSE))</f>
        <v/>
      </c>
      <c r="H255" s="269" t="str">
        <f>IF(D255="","",VLOOKUP(F255,製品マスタ!$G$5:$K$5002,5,FALSE))</f>
        <v/>
      </c>
      <c r="I255" s="270" t="str">
        <f>IF(D255="","",VLOOKUP(F255,製品マスタ!$G$5:$L$5002,6,FALSE))</f>
        <v/>
      </c>
      <c r="J255" s="32"/>
      <c r="K255" s="270" t="str">
        <f>IF(D255="","",VLOOKUP(D255,契約台帳!$A$3:$L$4986,12,FALSE))</f>
        <v/>
      </c>
      <c r="L255" s="270" t="str">
        <f>IF(D255="","",INDEX(製品マスタ!$Q$5:$Q$5002,MATCH(F255&amp;K255,製品マスタ!$AO$5:$AO$5002,0)))</f>
        <v/>
      </c>
      <c r="M255" s="39"/>
      <c r="N255" s="39"/>
      <c r="O255" s="47"/>
      <c r="P255" s="57"/>
      <c r="Q255" s="276" t="str">
        <f>IF(D255="","",IF(J255="リード付け",M255,VLOOKUP(D255,契約台帳!$A$3:$N$4986,14,FALSE)))</f>
        <v/>
      </c>
      <c r="R255" s="277" t="str">
        <f>IF(D255="","",IF(J255="リード付け",M255,VLOOKUP(D255,契約台帳!$A$3:$O$4986,15,FALSE)))</f>
        <v/>
      </c>
      <c r="S255" s="277" t="str">
        <f>IF(D255="","",IF(J255="リード付け",N255,VLOOKUP(D255,契約台帳!$A$3:$P$4986,16,FALSE)))</f>
        <v/>
      </c>
      <c r="T255" s="40"/>
      <c r="U255" s="278" t="str">
        <f ca="1">IF(D255="","",IF(OFFSET(D255,-2,0)=D255,"",VLOOKUP(D255,契約台帳!$A$3:$R$4986,18,FALSE)))</f>
        <v/>
      </c>
      <c r="V255" s="269" t="str">
        <f>IF(J255="巻返し",VLOOKUP(F255&amp;K255&amp;M255,製品マスタ!$M$5:$AD$5002,18,FALSE),IF(J255="リード付け","原反コア",IF(J255="スリット",VLOOKUP(F255&amp;K255&amp;Q255,製品マスタ!$N$5:$AD$5002,17,FALSE),"")))</f>
        <v/>
      </c>
      <c r="W255" s="269" t="str">
        <f>IF(J255="巻返し",VLOOKUP(F255&amp;K255&amp;M255,製品マスタ!$M$5:$AE$5002,19,FALSE),IF(J255="リード付け","-",IF(J255="スリット",VLOOKUP(F255&amp;K255&amp;Q255,製品マスタ!$N$5:$AE$5002,18,FALSE),"")))</f>
        <v/>
      </c>
      <c r="X255" s="275" t="str">
        <f>IF(D255="","",VLOOKUP(D255,契約台帳!$A$3:$Q$4986,17,FALSE))</f>
        <v/>
      </c>
      <c r="Y255" s="269" t="str">
        <f>IF(D255="","",VLOOKUP(D255,契約台帳!$A$3:$E$4986,5,FALSE))</f>
        <v/>
      </c>
      <c r="Z255" s="57"/>
      <c r="AA255" s="207" t="str">
        <f>IFERROR(VLOOKUP(F255&amp;K255&amp;M255,製品マスタ!$M$5:$AM$5002,27,FALSE),"")</f>
        <v/>
      </c>
      <c r="AB255" s="33"/>
      <c r="AC255" s="189"/>
      <c r="AD255" s="54"/>
      <c r="AE255" s="55"/>
      <c r="AF255" s="43"/>
      <c r="AG255" s="47"/>
      <c r="AH255" s="30"/>
      <c r="AI255" s="30"/>
      <c r="AJ255" s="30"/>
      <c r="AK255" s="30"/>
      <c r="AL255" s="13"/>
      <c r="AM255" s="13"/>
      <c r="AN255" s="13"/>
      <c r="AO255" s="13"/>
      <c r="AP255" s="13"/>
      <c r="AQ255" s="14"/>
      <c r="AR255" s="15"/>
    </row>
    <row r="256" spans="1:44" s="17" customFormat="1" ht="30.95" hidden="1" customHeight="1" x14ac:dyDescent="0.2">
      <c r="A256" s="37" t="s">
        <v>995</v>
      </c>
      <c r="B256" s="38" t="s">
        <v>996</v>
      </c>
      <c r="C256" s="45"/>
      <c r="D256" s="31">
        <v>3700953</v>
      </c>
      <c r="E256" s="31">
        <v>4151309</v>
      </c>
      <c r="F256" s="268" t="str">
        <f>IF(D256="","",VLOOKUP(D256,契約台帳!$A$3:$K$4986,6,FALSE)&amp;VLOOKUP(D256,契約台帳!$A$3:$K$4986,7,FALSE)&amp;VLOOKUP(D256,契約台帳!$A$3:$K$4986,8,FALSE)&amp;VLOOKUP(D256,契約台帳!$A$3:$K$4986,9,FALSE)&amp;VLOOKUP(D256,契約台帳!$A$3:$K$4986,11,FALSE))</f>
        <v>3SNMLBMNGKBF</v>
      </c>
      <c r="G256" s="269" t="str">
        <f>IF(D256="","",VLOOKUP(F256,製品マスタ!$G$5:$H$5002,2,FALSE))</f>
        <v>S</v>
      </c>
      <c r="H256" s="269" t="str">
        <f>IF(D256="","",VLOOKUP(F256,製品マスタ!$G$5:$K$5002,5,FALSE))</f>
        <v>MNGKBF</v>
      </c>
      <c r="I256" s="270" t="str">
        <f>IF(D256="","",VLOOKUP(F256,製品マスタ!$G$5:$L$5002,6,FALSE))</f>
        <v>メタルミー　ネーマー銀消　Ｂ</v>
      </c>
      <c r="J256" s="32" t="s">
        <v>962</v>
      </c>
      <c r="K256" s="270">
        <f>IF(D256="","",VLOOKUP(D256,契約台帳!$A$3:$L$4986,12,FALSE))</f>
        <v>50</v>
      </c>
      <c r="L256" s="270" t="str">
        <f>IF(D256="","",INDEX(製品マスタ!$Q$5:$Q$5002,MATCH(F256&amp;K256,製品マスタ!$AO$5:$AO$5002,0)))</f>
        <v>MAT</v>
      </c>
      <c r="M256" s="39">
        <v>1050</v>
      </c>
      <c r="N256" s="39">
        <v>12300</v>
      </c>
      <c r="O256" s="47">
        <v>1</v>
      </c>
      <c r="P256" s="57"/>
      <c r="Q256" s="276">
        <f>IF(D256="","",IF(J256="リード付け",M256,VLOOKUP(D256,契約台帳!$A$3:$N$4986,14,FALSE)))</f>
        <v>1050</v>
      </c>
      <c r="R256" s="277">
        <f>IF(D256="","",IF(J256="リード付け",M256,VLOOKUP(D256,契約台帳!$A$3:$O$4986,15,FALSE)))</f>
        <v>1050</v>
      </c>
      <c r="S256" s="277">
        <f>IF(D256="","",IF(J256="リード付け",N256,VLOOKUP(D256,契約台帳!$A$3:$P$4986,16,FALSE)))</f>
        <v>4100</v>
      </c>
      <c r="T256" s="40">
        <v>3</v>
      </c>
      <c r="U256" s="278">
        <f ca="1">IF(D256="","",IF(OFFSET(D256,-2,0)=D256,"",VLOOKUP(D256,契約台帳!$A$3:$R$4986,18,FALSE)))</f>
        <v>3</v>
      </c>
      <c r="V256" s="269" t="str">
        <f>IF(J256="巻返し",VLOOKUP(F256&amp;K256&amp;M256,製品マスタ!$M$5:$AD$5002,18,FALSE),IF(J256="リード付け","原反コア",IF(J256="スリット",VLOOKUP(F256&amp;K256&amp;Q256,製品マスタ!$N$5:$AD$5002,17,FALSE),"")))</f>
        <v>6ｲﾝﾁSｺｱ</v>
      </c>
      <c r="W256" s="269">
        <f>IF(J256="巻返し",VLOOKUP(F256&amp;K256&amp;M256,製品マスタ!$M$5:$AE$5002,19,FALSE),IF(J256="リード付け","-",IF(J256="スリット",VLOOKUP(F256&amp;K256&amp;Q256,製品マスタ!$N$5:$AE$5002,18,FALSE),"")))</f>
        <v>1055</v>
      </c>
      <c r="X256" s="275">
        <f>IF(D256="","",VLOOKUP(D256,契約台帳!$A$3:$Q$4986,17,FALSE))</f>
        <v>2</v>
      </c>
      <c r="Y256" s="269" t="str">
        <f>IF(D256="","",VLOOKUP(D256,契約台帳!$A$3:$E$4986,5,FALSE))</f>
        <v>リンテック㈱</v>
      </c>
      <c r="Z256" s="57">
        <v>45012</v>
      </c>
      <c r="AA256" s="207">
        <f>IFERROR(VLOOKUP(F256&amp;K256&amp;M256,製品マスタ!$M$5:$AM$5002,27,FALSE),"")</f>
        <v>0</v>
      </c>
      <c r="AB256" s="33"/>
      <c r="AC256" s="189"/>
      <c r="AD256" s="54" t="str">
        <f>IF(F256="","",+F256&amp;K256)</f>
        <v>3SNMLBMNGKBF50</v>
      </c>
      <c r="AE256" s="55">
        <f>+M256*N256*O256/1000</f>
        <v>12915</v>
      </c>
      <c r="AF256" s="43">
        <f>IF(AD256="","",VLOOKUP(AD256,原価マスタ!$A$2:$AJ$1693,13,FALSE))</f>
        <v>98</v>
      </c>
      <c r="AG256" s="47">
        <f>IF(AF256="","",+AE256*AF256/100)</f>
        <v>12656.7</v>
      </c>
      <c r="AH256" s="30"/>
      <c r="AI256" s="30"/>
      <c r="AJ256" s="30"/>
      <c r="AK256" s="30"/>
      <c r="AL256" s="13"/>
      <c r="AM256" s="13"/>
      <c r="AN256" s="13"/>
      <c r="AO256" s="13"/>
      <c r="AP256" s="13"/>
      <c r="AQ256" s="14"/>
      <c r="AR256" s="15"/>
    </row>
    <row r="257" spans="1:44" s="17" customFormat="1" ht="30.95" hidden="1" customHeight="1" x14ac:dyDescent="0.2">
      <c r="A257" s="37"/>
      <c r="B257" s="38"/>
      <c r="C257" s="45"/>
      <c r="D257" s="31"/>
      <c r="E257" s="31"/>
      <c r="F257" s="268" t="str">
        <f>IF(D257="","",VLOOKUP(D257,契約台帳!$A$3:$K$4986,6,FALSE)&amp;VLOOKUP(D257,契約台帳!$A$3:$K$4986,7,FALSE)&amp;VLOOKUP(D257,契約台帳!$A$3:$K$4986,8,FALSE)&amp;VLOOKUP(D257,契約台帳!$A$3:$K$4986,9,FALSE)&amp;VLOOKUP(D257,契約台帳!$A$3:$K$4986,11,FALSE))</f>
        <v/>
      </c>
      <c r="G257" s="269" t="str">
        <f>IF(D257="","",VLOOKUP(F257,製品マスタ!$G$5:$H$5002,2,FALSE))</f>
        <v/>
      </c>
      <c r="H257" s="269" t="str">
        <f>IF(D257="","",VLOOKUP(F257,製品マスタ!$G$5:$K$5002,5,FALSE))</f>
        <v/>
      </c>
      <c r="I257" s="270" t="str">
        <f>IF(D257="","",VLOOKUP(F257,製品マスタ!$G$5:$L$5002,6,FALSE))</f>
        <v/>
      </c>
      <c r="J257" s="32"/>
      <c r="K257" s="270" t="str">
        <f>IF(D257="","",VLOOKUP(D257,契約台帳!$A$3:$L$4986,12,FALSE))</f>
        <v/>
      </c>
      <c r="L257" s="270" t="str">
        <f>IF(D257="","",INDEX(製品マスタ!$Q$5:$Q$5002,MATCH(F257&amp;K257,製品マスタ!$AO$5:$AO$5002,0)))</f>
        <v/>
      </c>
      <c r="M257" s="39"/>
      <c r="N257" s="39"/>
      <c r="O257" s="47"/>
      <c r="P257" s="57"/>
      <c r="Q257" s="276" t="str">
        <f>IF(D257="","",IF(J257="リード付け",M257,VLOOKUP(D257,契約台帳!$A$3:$N$4986,14,FALSE)))</f>
        <v/>
      </c>
      <c r="R257" s="277" t="str">
        <f>IF(D257="","",IF(J257="リード付け",M257,VLOOKUP(D257,契約台帳!$A$3:$O$4986,15,FALSE)))</f>
        <v/>
      </c>
      <c r="S257" s="277" t="str">
        <f>IF(D257="","",IF(J257="リード付け",N257,VLOOKUP(D257,契約台帳!$A$3:$P$4986,16,FALSE)))</f>
        <v/>
      </c>
      <c r="T257" s="40"/>
      <c r="U257" s="278" t="str">
        <f ca="1">IF(D257="","",IF(OFFSET(D257,-2,0)=D257,"",VLOOKUP(D257,契約台帳!$A$3:$R$4986,18,FALSE)))</f>
        <v/>
      </c>
      <c r="V257" s="269" t="str">
        <f>IF(J257="巻返し",VLOOKUP(F257&amp;K257&amp;M257,製品マスタ!$M$5:$AD$5002,18,FALSE),IF(J257="リード付け","原反コア",IF(J257="スリット",VLOOKUP(F257&amp;K257&amp;Q257,製品マスタ!$N$5:$AD$5002,17,FALSE),"")))</f>
        <v/>
      </c>
      <c r="W257" s="269" t="str">
        <f>IF(J257="巻返し",VLOOKUP(F257&amp;K257&amp;M257,製品マスタ!$M$5:$AE$5002,19,FALSE),IF(J257="リード付け","-",IF(J257="スリット",VLOOKUP(F257&amp;K257&amp;Q257,製品マスタ!$N$5:$AE$5002,18,FALSE),"")))</f>
        <v/>
      </c>
      <c r="X257" s="275" t="str">
        <f>IF(D257="","",VLOOKUP(D257,契約台帳!$A$3:$Q$4986,17,FALSE))</f>
        <v/>
      </c>
      <c r="Y257" s="269" t="str">
        <f>IF(D257="","",VLOOKUP(D257,契約台帳!$A$3:$E$4986,5,FALSE))</f>
        <v/>
      </c>
      <c r="Z257" s="57"/>
      <c r="AA257" s="207" t="str">
        <f>IFERROR(VLOOKUP(F257&amp;K257&amp;M257,製品マスタ!$M$5:$AM$5002,27,FALSE),"")</f>
        <v/>
      </c>
      <c r="AB257" s="33"/>
      <c r="AC257" s="189"/>
      <c r="AD257" s="54"/>
      <c r="AE257" s="55"/>
      <c r="AF257" s="43"/>
      <c r="AG257" s="47"/>
      <c r="AH257" s="30"/>
      <c r="AI257" s="30"/>
      <c r="AJ257" s="30"/>
      <c r="AK257" s="30"/>
      <c r="AL257" s="13"/>
      <c r="AM257" s="13"/>
      <c r="AN257" s="13"/>
      <c r="AO257" s="13"/>
      <c r="AP257" s="13"/>
      <c r="AQ257" s="14"/>
      <c r="AR257" s="15"/>
    </row>
    <row r="258" spans="1:44" s="17" customFormat="1" ht="30.95" hidden="1" customHeight="1" x14ac:dyDescent="0.2">
      <c r="A258" s="37"/>
      <c r="B258" s="38"/>
      <c r="C258" s="45"/>
      <c r="D258" s="31">
        <v>3700955</v>
      </c>
      <c r="E258" s="31">
        <v>4151327</v>
      </c>
      <c r="F258" s="268" t="str">
        <f>IF(D258="","",VLOOKUP(D258,契約台帳!$A$3:$K$4986,6,FALSE)&amp;VLOOKUP(D258,契約台帳!$A$3:$K$4986,7,FALSE)&amp;VLOOKUP(D258,契約台帳!$A$3:$K$4986,8,FALSE)&amp;VLOOKUP(D258,契約台帳!$A$3:$K$4986,9,FALSE)&amp;VLOOKUP(D258,契約台帳!$A$3:$K$4986,11,FALSE))</f>
        <v>3SNMLBMNGTBF</v>
      </c>
      <c r="G258" s="269" t="str">
        <f>IF(D258="","",VLOOKUP(F258,製品マスタ!$G$5:$H$5002,2,FALSE))</f>
        <v>S</v>
      </c>
      <c r="H258" s="269" t="str">
        <f>IF(D258="","",VLOOKUP(F258,製品マスタ!$G$5:$K$5002,5,FALSE))</f>
        <v>MNGTBF</v>
      </c>
      <c r="I258" s="270" t="str">
        <f>IF(D258="","",VLOOKUP(F258,製品マスタ!$G$5:$L$5002,6,FALSE))</f>
        <v>メタルミー　ネーマー　銀艶　Ｂ</v>
      </c>
      <c r="J258" s="32" t="s">
        <v>447</v>
      </c>
      <c r="K258" s="270">
        <f>IF(D258="","",VLOOKUP(D258,契約台帳!$A$3:$L$4986,12,FALSE))</f>
        <v>25</v>
      </c>
      <c r="L258" s="270" t="str">
        <f>IF(D258="","",INDEX(製品マスタ!$Q$5:$Q$5002,MATCH(F258&amp;K258,製品マスタ!$AO$5:$AO$5002,0)))</f>
        <v>T62M</v>
      </c>
      <c r="M258" s="39">
        <v>1005</v>
      </c>
      <c r="N258" s="39">
        <v>12100</v>
      </c>
      <c r="O258" s="47">
        <v>1</v>
      </c>
      <c r="P258" s="57"/>
      <c r="Q258" s="276">
        <f>IF(D258="","",IF(J258="リード付け",M258,VLOOKUP(D258,契約台帳!$A$3:$N$4986,14,FALSE)))</f>
        <v>1005</v>
      </c>
      <c r="R258" s="277">
        <f>IF(D258="","",IF(J258="リード付け",M258,VLOOKUP(D258,契約台帳!$A$3:$O$4986,15,FALSE)))</f>
        <v>1000</v>
      </c>
      <c r="S258" s="277">
        <f>IF(D258="","",IF(J258="リード付け",N258,VLOOKUP(D258,契約台帳!$A$3:$P$4986,16,FALSE)))</f>
        <v>4000</v>
      </c>
      <c r="T258" s="40">
        <v>3</v>
      </c>
      <c r="U258" s="278">
        <f ca="1">IF(D258="","",IF(OFFSET(D258,-2,0)=D258,"",VLOOKUP(D258,契約台帳!$A$3:$R$4986,18,FALSE)))</f>
        <v>15</v>
      </c>
      <c r="V258" s="269" t="str">
        <f>IF(J258="巻返し",VLOOKUP(F258&amp;K258&amp;M258,製品マスタ!$M$5:$AD$5002,18,FALSE),IF(J258="リード付け","原反コア",IF(J258="スリット",VLOOKUP(F258&amp;K258&amp;Q258,製品マスタ!$N$5:$AD$5002,17,FALSE),"")))</f>
        <v>6ｲﾝﾁSｺｱ</v>
      </c>
      <c r="W258" s="269">
        <f>IF(J258="巻返し",VLOOKUP(F258&amp;K258&amp;M258,製品マスタ!$M$5:$AE$5002,19,FALSE),IF(J258="リード付け","-",IF(J258="スリット",VLOOKUP(F258&amp;K258&amp;Q258,製品マスタ!$N$5:$AE$5002,18,FALSE),"")))</f>
        <v>1015</v>
      </c>
      <c r="X258" s="275">
        <f>IF(D258="","",VLOOKUP(D258,契約台帳!$A$3:$Q$4986,17,FALSE))</f>
        <v>2</v>
      </c>
      <c r="Y258" s="269" t="str">
        <f>IF(D258="","",VLOOKUP(D258,契約台帳!$A$3:$E$4986,5,FALSE))</f>
        <v>リンテック㈱</v>
      </c>
      <c r="Z258" s="57">
        <v>45005</v>
      </c>
      <c r="AA258" s="207">
        <f>IFERROR(VLOOKUP(F258&amp;K258&amp;M258,製品マスタ!$M$5:$AM$5002,27,FALSE),"")</f>
        <v>0</v>
      </c>
      <c r="AB258" s="33"/>
      <c r="AC258" s="189"/>
      <c r="AD258" s="54" t="str">
        <f>IF(F258="","",+F258&amp;K258)</f>
        <v>3SNMLBMNGTBF25</v>
      </c>
      <c r="AE258" s="55">
        <f>+M258*N258*O258/1000</f>
        <v>12160.5</v>
      </c>
      <c r="AF258" s="43">
        <f>IF(AD258="","",VLOOKUP(AD258,原価マスタ!$A$2:$AJ$1693,13,FALSE))</f>
        <v>97.5</v>
      </c>
      <c r="AG258" s="47">
        <f>IF(AF258="","",+AE258*AF258/100)</f>
        <v>11856.487499999999</v>
      </c>
      <c r="AH258" s="30"/>
      <c r="AI258" s="30"/>
      <c r="AJ258" s="30"/>
      <c r="AK258" s="30"/>
      <c r="AL258" s="13"/>
      <c r="AM258" s="13"/>
      <c r="AN258" s="13"/>
      <c r="AO258" s="13"/>
      <c r="AP258" s="13"/>
      <c r="AQ258" s="14"/>
      <c r="AR258" s="15"/>
    </row>
    <row r="259" spans="1:44" s="17" customFormat="1" ht="30.95" hidden="1" customHeight="1" x14ac:dyDescent="0.2">
      <c r="A259" s="37"/>
      <c r="B259" s="38"/>
      <c r="C259" s="45"/>
      <c r="D259" s="31"/>
      <c r="E259" s="31"/>
      <c r="F259" s="268"/>
      <c r="G259" s="269"/>
      <c r="H259" s="269"/>
      <c r="I259" s="270"/>
      <c r="J259" s="32"/>
      <c r="K259" s="270"/>
      <c r="L259" s="270"/>
      <c r="M259" s="39"/>
      <c r="N259" s="39"/>
      <c r="O259" s="47"/>
      <c r="P259" s="57"/>
      <c r="Q259" s="276"/>
      <c r="R259" s="277"/>
      <c r="S259" s="277"/>
      <c r="T259" s="40"/>
      <c r="U259" s="278"/>
      <c r="V259" s="269"/>
      <c r="W259" s="269"/>
      <c r="X259" s="275"/>
      <c r="Y259" s="269"/>
      <c r="Z259" s="57"/>
      <c r="AA259" s="207"/>
      <c r="AB259" s="33"/>
      <c r="AC259" s="189"/>
      <c r="AD259" s="54"/>
      <c r="AE259" s="55"/>
      <c r="AF259" s="43"/>
      <c r="AG259" s="47"/>
      <c r="AH259" s="30"/>
      <c r="AI259" s="30"/>
      <c r="AJ259" s="30"/>
      <c r="AK259" s="30"/>
      <c r="AL259" s="13"/>
      <c r="AM259" s="13"/>
      <c r="AN259" s="13"/>
      <c r="AO259" s="13"/>
      <c r="AP259" s="13"/>
      <c r="AQ259" s="14"/>
      <c r="AR259" s="15"/>
    </row>
    <row r="260" spans="1:44" s="17" customFormat="1" ht="30.95" hidden="1" customHeight="1" x14ac:dyDescent="0.2">
      <c r="A260" s="37"/>
      <c r="B260" s="38"/>
      <c r="C260" s="45"/>
      <c r="D260" s="31">
        <v>3700951</v>
      </c>
      <c r="E260" s="31">
        <v>4151311</v>
      </c>
      <c r="F260" s="268" t="str">
        <f>IF(D260="","",VLOOKUP(D260,契約台帳!$A$3:$K$4986,6,FALSE)&amp;VLOOKUP(D260,契約台帳!$A$3:$K$4986,7,FALSE)&amp;VLOOKUP(D260,契約台帳!$A$3:$K$4986,8,FALSE)&amp;VLOOKUP(D260,契約台帳!$A$3:$K$4986,9,FALSE)&amp;VLOOKUP(D260,契約台帳!$A$3:$K$4986,11,FALSE))</f>
        <v>3SNMLBMNGKKBF</v>
      </c>
      <c r="G260" s="269" t="str">
        <f>IF(D260="","",VLOOKUP(F260,製品マスタ!$G$5:$H$5002,2,FALSE))</f>
        <v>S</v>
      </c>
      <c r="H260" s="269" t="str">
        <f>IF(D260="","",VLOOKUP(F260,製品マスタ!$G$5:$K$5002,5,FALSE))</f>
        <v>MNGKKBF</v>
      </c>
      <c r="I260" s="270" t="str">
        <f>IF(D260="","",VLOOKUP(F260,製品マスタ!$G$5:$L$5002,6,FALSE))</f>
        <v>メタルミー　ネーマー銀消改　Ｂ</v>
      </c>
      <c r="J260" s="32" t="s">
        <v>962</v>
      </c>
      <c r="K260" s="270">
        <f>IF(D260="","",VLOOKUP(D260,契約台帳!$A$3:$L$4986,12,FALSE))</f>
        <v>50</v>
      </c>
      <c r="L260" s="270" t="str">
        <f>IF(D260="","",INDEX(製品マスタ!$Q$5:$Q$5002,MATCH(F260&amp;K260,製品マスタ!$AO$5:$AO$5002,0)))</f>
        <v>S99-MAT</v>
      </c>
      <c r="M260" s="39">
        <v>1000</v>
      </c>
      <c r="N260" s="39">
        <v>8000</v>
      </c>
      <c r="O260" s="47">
        <v>1</v>
      </c>
      <c r="P260" s="57"/>
      <c r="Q260" s="276">
        <f>IF(D260="","",IF(J260="リード付け",M260,VLOOKUP(D260,契約台帳!$A$3:$N$4986,14,FALSE)))</f>
        <v>1000</v>
      </c>
      <c r="R260" s="277">
        <f>IF(D260="","",IF(J260="リード付け",M260,VLOOKUP(D260,契約台帳!$A$3:$O$4986,15,FALSE)))</f>
        <v>1000</v>
      </c>
      <c r="S260" s="277">
        <f>IF(D260="","",IF(J260="リード付け",N260,VLOOKUP(D260,契約台帳!$A$3:$P$4986,16,FALSE)))</f>
        <v>4000</v>
      </c>
      <c r="T260" s="40">
        <v>2</v>
      </c>
      <c r="U260" s="278">
        <f ca="1">IF(D260="","",IF(OFFSET(D260,-2,0)=D260,"",VLOOKUP(D260,契約台帳!$A$3:$R$4986,18,FALSE)))</f>
        <v>2</v>
      </c>
      <c r="V260" s="269" t="str">
        <f>IF(J260="巻返し",VLOOKUP(F260&amp;K260&amp;M260,製品マスタ!$M$5:$AD$5002,18,FALSE),IF(J260="リード付け","原反コア",IF(J260="スリット",VLOOKUP(F260&amp;K260&amp;Q260,製品マスタ!$N$5:$AD$5002,17,FALSE),"")))</f>
        <v>6ｲﾝﾁSｺｱ</v>
      </c>
      <c r="W260" s="269">
        <f>IF(J260="巻返し",VLOOKUP(F260&amp;K260&amp;M260,製品マスタ!$M$5:$AE$5002,19,FALSE),IF(J260="リード付け","-",IF(J260="スリット",VLOOKUP(F260&amp;K260&amp;Q260,製品マスタ!$N$5:$AE$5002,18,FALSE),"")))</f>
        <v>1005</v>
      </c>
      <c r="X260" s="275">
        <f>IF(D260="","",VLOOKUP(D260,契約台帳!$A$3:$Q$4986,17,FALSE))</f>
        <v>2</v>
      </c>
      <c r="Y260" s="269" t="str">
        <f>IF(D260="","",VLOOKUP(D260,契約台帳!$A$3:$E$4986,5,FALSE))</f>
        <v>リンテック㈱</v>
      </c>
      <c r="Z260" s="57">
        <v>45012</v>
      </c>
      <c r="AA260" s="207">
        <f>IFERROR(VLOOKUP(F260&amp;K260&amp;M260,製品マスタ!$M$5:$AM$5002,27,FALSE),"")</f>
        <v>0</v>
      </c>
      <c r="AB260" s="33"/>
      <c r="AC260" s="189"/>
      <c r="AD260" s="54" t="str">
        <f>IF(F260="","",+F260&amp;K260)</f>
        <v>3SNMLBMNGKKBF50</v>
      </c>
      <c r="AE260" s="55">
        <f>+M260*N260*O260/1000</f>
        <v>8000</v>
      </c>
      <c r="AF260" s="43">
        <f>IF(AD260="","",VLOOKUP(AD260,原価マスタ!$A$2:$AJ$1693,13,FALSE))</f>
        <v>99</v>
      </c>
      <c r="AG260" s="47">
        <f>IF(AF260="","",+AE260*AF260/100)</f>
        <v>7920</v>
      </c>
      <c r="AH260" s="30"/>
      <c r="AI260" s="30"/>
      <c r="AJ260" s="30"/>
      <c r="AK260" s="30"/>
      <c r="AL260" s="13"/>
      <c r="AM260" s="13"/>
      <c r="AN260" s="13"/>
      <c r="AO260" s="13"/>
      <c r="AP260" s="13"/>
      <c r="AQ260" s="14"/>
      <c r="AR260" s="15"/>
    </row>
    <row r="261" spans="1:44" s="17" customFormat="1" ht="30.95" hidden="1" customHeight="1" x14ac:dyDescent="0.2">
      <c r="A261" s="37"/>
      <c r="B261" s="38"/>
      <c r="C261" s="45"/>
      <c r="D261" s="31"/>
      <c r="E261" s="31"/>
      <c r="F261" s="268" t="str">
        <f>IF(D261="","",VLOOKUP(D261,契約台帳!$A$3:$K$4986,6,FALSE)&amp;VLOOKUP(D261,契約台帳!$A$3:$K$4986,7,FALSE)&amp;VLOOKUP(D261,契約台帳!$A$3:$K$4986,8,FALSE)&amp;VLOOKUP(D261,契約台帳!$A$3:$K$4986,9,FALSE)&amp;VLOOKUP(D261,契約台帳!$A$3:$K$4986,11,FALSE))</f>
        <v/>
      </c>
      <c r="G261" s="269" t="str">
        <f>IF(D261="","",VLOOKUP(F261,製品マスタ!$G$5:$H$5002,2,FALSE))</f>
        <v/>
      </c>
      <c r="H261" s="269" t="str">
        <f>IF(D261="","",VLOOKUP(F261,製品マスタ!$G$5:$K$5002,5,FALSE))</f>
        <v/>
      </c>
      <c r="I261" s="270" t="str">
        <f>IF(D261="","",VLOOKUP(F261,製品マスタ!$G$5:$L$5002,6,FALSE))</f>
        <v/>
      </c>
      <c r="J261" s="32"/>
      <c r="K261" s="270" t="str">
        <f>IF(D261="","",VLOOKUP(D261,契約台帳!$A$3:$L$4986,12,FALSE))</f>
        <v/>
      </c>
      <c r="L261" s="270" t="str">
        <f>IF(D261="","",INDEX(製品マスタ!$Q$5:$Q$5002,MATCH(F261&amp;K261,製品マスタ!$AO$5:$AO$5002,0)))</f>
        <v/>
      </c>
      <c r="M261" s="39"/>
      <c r="N261" s="39"/>
      <c r="O261" s="47"/>
      <c r="P261" s="57"/>
      <c r="Q261" s="276" t="str">
        <f>IF(D261="","",IF(J261="リード付け",M261,VLOOKUP(D261,契約台帳!$A$3:$N$4986,14,FALSE)))</f>
        <v/>
      </c>
      <c r="R261" s="277" t="str">
        <f>IF(D261="","",IF(J261="リード付け",M261,VLOOKUP(D261,契約台帳!$A$3:$O$4986,15,FALSE)))</f>
        <v/>
      </c>
      <c r="S261" s="277" t="str">
        <f>IF(D261="","",IF(J261="リード付け",N261,VLOOKUP(D261,契約台帳!$A$3:$P$4986,16,FALSE)))</f>
        <v/>
      </c>
      <c r="T261" s="40"/>
      <c r="U261" s="278" t="str">
        <f ca="1">IF(D261="","",IF(OFFSET(D261,-2,0)=D261,"",VLOOKUP(D261,契約台帳!$A$3:$R$4986,18,FALSE)))</f>
        <v/>
      </c>
      <c r="V261" s="269" t="str">
        <f>IF(J261="巻返し",VLOOKUP(F261&amp;K261&amp;M261,製品マスタ!$M$5:$AD$5002,18,FALSE),IF(J261="リード付け","原反コア",IF(J261="スリット",VLOOKUP(F261&amp;K261&amp;Q261,製品マスタ!$N$5:$AD$5002,17,FALSE),"")))</f>
        <v/>
      </c>
      <c r="W261" s="269" t="str">
        <f>IF(J261="巻返し",VLOOKUP(F261&amp;K261&amp;M261,製品マスタ!$M$5:$AE$5002,19,FALSE),IF(J261="リード付け","-",IF(J261="スリット",VLOOKUP(F261&amp;K261&amp;Q261,製品マスタ!$N$5:$AE$5002,18,FALSE),"")))</f>
        <v/>
      </c>
      <c r="X261" s="275" t="str">
        <f>IF(D261="","",VLOOKUP(D261,契約台帳!$A$3:$Q$4986,17,FALSE))</f>
        <v/>
      </c>
      <c r="Y261" s="269" t="str">
        <f>IF(D261="","",VLOOKUP(D261,契約台帳!$A$3:$E$4986,5,FALSE))</f>
        <v/>
      </c>
      <c r="Z261" s="57"/>
      <c r="AA261" s="207" t="str">
        <f>IFERROR(VLOOKUP(F261&amp;K261&amp;M261,製品マスタ!$M$5:$AM$5002,27,FALSE),"")</f>
        <v/>
      </c>
      <c r="AB261" s="33"/>
      <c r="AC261" s="189"/>
      <c r="AD261" s="54"/>
      <c r="AE261" s="55"/>
      <c r="AF261" s="43"/>
      <c r="AG261" s="47"/>
      <c r="AH261" s="30"/>
      <c r="AI261" s="30"/>
      <c r="AJ261" s="30"/>
      <c r="AK261" s="30"/>
      <c r="AL261" s="13"/>
      <c r="AM261" s="13"/>
      <c r="AN261" s="13"/>
      <c r="AO261" s="13"/>
      <c r="AP261" s="13"/>
      <c r="AQ261" s="14"/>
      <c r="AR261" s="15"/>
    </row>
    <row r="262" spans="1:44" s="17" customFormat="1" ht="30.95" hidden="1" customHeight="1" x14ac:dyDescent="0.2">
      <c r="A262" s="37" t="s">
        <v>971</v>
      </c>
      <c r="B262" s="38" t="s">
        <v>443</v>
      </c>
      <c r="C262" s="45"/>
      <c r="D262" s="31">
        <v>3700960</v>
      </c>
      <c r="E262" s="31">
        <v>4151318</v>
      </c>
      <c r="F262" s="268" t="str">
        <f>IF(D262="","",VLOOKUP(D262,契約台帳!$A$3:$K$4986,6,FALSE)&amp;VLOOKUP(D262,契約台帳!$A$3:$K$4986,7,FALSE)&amp;VLOOKUP(D262,契約台帳!$A$3:$K$4986,8,FALSE)&amp;VLOOKUP(D262,契約台帳!$A$3:$K$4986,9,FALSE)&amp;VLOOKUP(D262,契約台帳!$A$3:$K$4986,11,FALSE))</f>
        <v>3SNMLBMNNGKBF</v>
      </c>
      <c r="G262" s="269" t="str">
        <f>IF(D262="","",VLOOKUP(F262,製品マスタ!$G$5:$H$5002,2,FALSE))</f>
        <v>S</v>
      </c>
      <c r="H262" s="269" t="str">
        <f>IF(D262="","",VLOOKUP(F262,製品マスタ!$G$5:$K$5002,5,FALSE))</f>
        <v>MNNGKBF</v>
      </c>
      <c r="I262" s="270" t="str">
        <f>IF(D262="","",VLOOKUP(F262,製品マスタ!$G$5:$L$5002,6,FALSE))</f>
        <v>メタルミー　ニューネーマー銀消　Ｂ</v>
      </c>
      <c r="J262" s="32" t="s">
        <v>962</v>
      </c>
      <c r="K262" s="270">
        <f>IF(D262="","",VLOOKUP(D262,契約台帳!$A$3:$L$4986,12,FALSE))</f>
        <v>50</v>
      </c>
      <c r="L262" s="270" t="str">
        <f>IF(D262="","",INDEX(製品マスタ!$Q$5:$Q$5002,MATCH(F262&amp;K262,製品マスタ!$AO$5:$AO$5002,0)))</f>
        <v>X44</v>
      </c>
      <c r="M262" s="39">
        <v>1000</v>
      </c>
      <c r="N262" s="39">
        <v>12000</v>
      </c>
      <c r="O262" s="47">
        <v>5</v>
      </c>
      <c r="P262" s="57"/>
      <c r="Q262" s="276">
        <f>IF(D262="","",IF(J262="リード付け",M262,VLOOKUP(D262,契約台帳!$A$3:$N$4986,14,FALSE)))</f>
        <v>1000</v>
      </c>
      <c r="R262" s="277">
        <f>IF(D262="","",IF(J262="リード付け",M262,VLOOKUP(D262,契約台帳!$A$3:$O$4986,15,FALSE)))</f>
        <v>1000</v>
      </c>
      <c r="S262" s="277">
        <f>IF(D262="","",IF(J262="リード付け",N262,VLOOKUP(D262,契約台帳!$A$3:$P$4986,16,FALSE)))</f>
        <v>4000</v>
      </c>
      <c r="T262" s="40">
        <v>15</v>
      </c>
      <c r="U262" s="278">
        <f ca="1">IF(D262="","",IF(OFFSET(D262,-2,0)=D262,"",VLOOKUP(D262,契約台帳!$A$3:$R$4986,18,FALSE)))</f>
        <v>15</v>
      </c>
      <c r="V262" s="269" t="str">
        <f>IF(J262="巻返し",VLOOKUP(F262&amp;K262&amp;M262,製品マスタ!$M$5:$AD$5002,18,FALSE),IF(J262="リード付け","原反コア",IF(J262="スリット",VLOOKUP(F262&amp;K262&amp;Q262,製品マスタ!$N$5:$AD$5002,17,FALSE),"")))</f>
        <v>6ｲﾝﾁSｺｱ</v>
      </c>
      <c r="W262" s="269">
        <f>IF(J262="巻返し",VLOOKUP(F262&amp;K262&amp;M262,製品マスタ!$M$5:$AE$5002,19,FALSE),IF(J262="リード付け","-",IF(J262="スリット",VLOOKUP(F262&amp;K262&amp;Q262,製品マスタ!$N$5:$AE$5002,18,FALSE),"")))</f>
        <v>1005</v>
      </c>
      <c r="X262" s="275">
        <f>IF(D262="","",VLOOKUP(D262,契約台帳!$A$3:$Q$4986,17,FALSE))</f>
        <v>2</v>
      </c>
      <c r="Y262" s="269" t="str">
        <f>IF(D262="","",VLOOKUP(D262,契約台帳!$A$3:$E$4986,5,FALSE))</f>
        <v>リンテック㈱</v>
      </c>
      <c r="Z262" s="57">
        <v>45012</v>
      </c>
      <c r="AA262" s="207" t="str">
        <f>IFERROR(VLOOKUP(F262&amp;K262&amp;M262,製品マスタ!$M$5:$AM$5002,27,FALSE),"")</f>
        <v>原反ケース再利用</v>
      </c>
      <c r="AB262" s="33"/>
      <c r="AC262" s="189"/>
      <c r="AD262" s="54" t="str">
        <f>IF(F262="","",+F262&amp;K262)</f>
        <v>3SNMLBMNNGKBF50</v>
      </c>
      <c r="AE262" s="55">
        <f>+M262*N262*O262/1000</f>
        <v>60000</v>
      </c>
      <c r="AF262" s="43">
        <f>IF(AD262="","",VLOOKUP(AD262,原価マスタ!$A$2:$AJ$1693,13,FALSE))</f>
        <v>99</v>
      </c>
      <c r="AG262" s="47">
        <f>IF(AF262="","",+AE262*AF262/100)</f>
        <v>59400</v>
      </c>
      <c r="AH262" s="30"/>
      <c r="AI262" s="30"/>
      <c r="AJ262" s="30"/>
      <c r="AK262" s="30"/>
      <c r="AL262" s="13"/>
      <c r="AM262" s="13"/>
      <c r="AN262" s="13"/>
      <c r="AO262" s="13"/>
      <c r="AP262" s="13"/>
      <c r="AQ262" s="14"/>
      <c r="AR262" s="15"/>
    </row>
    <row r="263" spans="1:44" s="17" customFormat="1" ht="30.95" hidden="1" customHeight="1" x14ac:dyDescent="0.2">
      <c r="A263" s="37"/>
      <c r="B263" s="38"/>
      <c r="C263" s="45"/>
      <c r="D263" s="31"/>
      <c r="E263" s="31"/>
      <c r="F263" s="268" t="str">
        <f>IF(D263="","",VLOOKUP(D263,契約台帳!$A$3:$K$4986,6,FALSE)&amp;VLOOKUP(D263,契約台帳!$A$3:$K$4986,7,FALSE)&amp;VLOOKUP(D263,契約台帳!$A$3:$K$4986,8,FALSE)&amp;VLOOKUP(D263,契約台帳!$A$3:$K$4986,9,FALSE)&amp;VLOOKUP(D263,契約台帳!$A$3:$K$4986,11,FALSE))</f>
        <v/>
      </c>
      <c r="G263" s="269" t="str">
        <f>IF(D263="","",VLOOKUP(F263,製品マスタ!$G$5:$H$5002,2,FALSE))</f>
        <v/>
      </c>
      <c r="H263" s="269" t="str">
        <f>IF(D263="","",VLOOKUP(F263,製品マスタ!$G$5:$K$5002,5,FALSE))</f>
        <v/>
      </c>
      <c r="I263" s="270" t="str">
        <f>IF(D263="","",VLOOKUP(F263,製品マスタ!$G$5:$L$5002,6,FALSE))</f>
        <v/>
      </c>
      <c r="J263" s="32"/>
      <c r="K263" s="270" t="str">
        <f>IF(D263="","",VLOOKUP(D263,契約台帳!$A$3:$L$4986,12,FALSE))</f>
        <v/>
      </c>
      <c r="L263" s="270" t="str">
        <f>IF(D263="","",INDEX(製品マスタ!$Q$5:$Q$5002,MATCH(F263&amp;K263,製品マスタ!$AO$5:$AO$5002,0)))</f>
        <v/>
      </c>
      <c r="M263" s="39"/>
      <c r="N263" s="39"/>
      <c r="O263" s="47"/>
      <c r="P263" s="57"/>
      <c r="Q263" s="276" t="str">
        <f>IF(D263="","",IF(J263="リード付け",M263,VLOOKUP(D263,契約台帳!$A$3:$N$4986,14,FALSE)))</f>
        <v/>
      </c>
      <c r="R263" s="277" t="str">
        <f>IF(D263="","",IF(J263="リード付け",M263,VLOOKUP(D263,契約台帳!$A$3:$O$4986,15,FALSE)))</f>
        <v/>
      </c>
      <c r="S263" s="277" t="str">
        <f>IF(D263="","",IF(J263="リード付け",N263,VLOOKUP(D263,契約台帳!$A$3:$P$4986,16,FALSE)))</f>
        <v/>
      </c>
      <c r="T263" s="40"/>
      <c r="U263" s="278" t="str">
        <f ca="1">IF(D263="","",IF(OFFSET(D263,-2,0)=D263,"",VLOOKUP(D263,契約台帳!$A$3:$R$4986,18,FALSE)))</f>
        <v/>
      </c>
      <c r="V263" s="269" t="str">
        <f>IF(J263="巻返し",VLOOKUP(F263&amp;K263&amp;M263,製品マスタ!$M$5:$AD$5002,18,FALSE),IF(J263="リード付け","原反コア",IF(J263="スリット",VLOOKUP(F263&amp;K263&amp;Q263,製品マスタ!$N$5:$AD$5002,17,FALSE),"")))</f>
        <v/>
      </c>
      <c r="W263" s="269" t="str">
        <f>IF(J263="巻返し",VLOOKUP(F263&amp;K263&amp;M263,製品マスタ!$M$5:$AE$5002,19,FALSE),IF(J263="リード付け","-",IF(J263="スリット",VLOOKUP(F263&amp;K263&amp;Q263,製品マスタ!$N$5:$AE$5002,18,FALSE),"")))</f>
        <v/>
      </c>
      <c r="X263" s="275" t="str">
        <f>IF(D263="","",VLOOKUP(D263,契約台帳!$A$3:$Q$4986,17,FALSE))</f>
        <v/>
      </c>
      <c r="Y263" s="269" t="str">
        <f>IF(D263="","",VLOOKUP(D263,契約台帳!$A$3:$E$4986,5,FALSE))</f>
        <v/>
      </c>
      <c r="Z263" s="57"/>
      <c r="AA263" s="207" t="str">
        <f>IFERROR(VLOOKUP(F263&amp;K263&amp;M263,製品マスタ!$M$5:$AM$5002,27,FALSE),"")</f>
        <v/>
      </c>
      <c r="AB263" s="33"/>
      <c r="AC263" s="189"/>
      <c r="AD263" s="54"/>
      <c r="AE263" s="55"/>
      <c r="AF263" s="43"/>
      <c r="AG263" s="47"/>
      <c r="AH263" s="30"/>
      <c r="AI263" s="30"/>
      <c r="AJ263" s="30"/>
      <c r="AK263" s="30"/>
      <c r="AL263" s="13"/>
      <c r="AM263" s="13"/>
      <c r="AN263" s="13"/>
      <c r="AO263" s="13"/>
      <c r="AP263" s="13"/>
      <c r="AQ263" s="14"/>
      <c r="AR263" s="15"/>
    </row>
    <row r="264" spans="1:44" s="17" customFormat="1" ht="30.95" hidden="1" customHeight="1" x14ac:dyDescent="0.2">
      <c r="A264" s="37"/>
      <c r="B264" s="38"/>
      <c r="C264" s="45"/>
      <c r="D264" s="31">
        <v>3702343</v>
      </c>
      <c r="E264" s="31">
        <v>4151330</v>
      </c>
      <c r="F264" s="268" t="str">
        <f>IF(D264="","",VLOOKUP(D264,契約台帳!$A$3:$K$4986,6,FALSE)&amp;VLOOKUP(D264,契約台帳!$A$3:$K$4986,7,FALSE)&amp;VLOOKUP(D264,契約台帳!$A$3:$K$4986,8,FALSE)&amp;VLOOKUP(D264,契約台帳!$A$3:$K$4986,9,FALSE)&amp;VLOOKUP(D264,契約台帳!$A$3:$K$4986,11,FALSE))</f>
        <v>3UNMLBKF9BF</v>
      </c>
      <c r="G264" s="269" t="str">
        <f>IF(D264="","",VLOOKUP(F264,製品マスタ!$G$5:$H$5002,2,FALSE))</f>
        <v>U</v>
      </c>
      <c r="H264" s="269" t="str">
        <f>IF(D264="","",VLOOKUP(F264,製品マスタ!$G$5:$K$5002,5,FALSE))</f>
        <v>KF9BF</v>
      </c>
      <c r="I264" s="270" t="str">
        <f>IF(D264="","",VLOOKUP(F264,製品マスタ!$G$5:$L$5002,6,FALSE))</f>
        <v>ＫＦ－９Ｂ</v>
      </c>
      <c r="J264" s="32" t="s">
        <v>970</v>
      </c>
      <c r="K264" s="270">
        <f>IF(D264="","",VLOOKUP(D264,契約台帳!$A$3:$L$4986,12,FALSE))</f>
        <v>9</v>
      </c>
      <c r="L264" s="270" t="str">
        <f>IF(D264="","",INDEX(製品マスタ!$Q$5:$Q$5002,MATCH(F264&amp;K264,製品マスタ!$AO$5:$AO$5002,0)))</f>
        <v>F53</v>
      </c>
      <c r="M264" s="39">
        <v>1400</v>
      </c>
      <c r="N264" s="39">
        <v>12000</v>
      </c>
      <c r="O264" s="47">
        <v>1</v>
      </c>
      <c r="P264" s="57"/>
      <c r="Q264" s="276">
        <f>IF(D264="","",IF(J264="リード付け",M264,VLOOKUP(D264,契約台帳!$A$3:$N$4986,14,FALSE)))</f>
        <v>1200</v>
      </c>
      <c r="R264" s="277">
        <f>IF(D264="","",IF(J264="リード付け",M264,VLOOKUP(D264,契約台帳!$A$3:$O$4986,15,FALSE)))</f>
        <v>1200</v>
      </c>
      <c r="S264" s="277">
        <f>IF(D264="","",IF(J264="リード付け",N264,VLOOKUP(D264,契約台帳!$A$3:$P$4986,16,FALSE)))</f>
        <v>2000</v>
      </c>
      <c r="T264" s="40">
        <v>6</v>
      </c>
      <c r="U264" s="278">
        <f ca="1">IF(D264="","",IF(OFFSET(D264,-2,0)=D264,"",VLOOKUP(D264,契約台帳!$A$3:$R$4986,18,FALSE)))</f>
        <v>6</v>
      </c>
      <c r="V264" s="269" t="str">
        <f>IF(J264="巻返し",VLOOKUP(F264&amp;K264&amp;M264,製品マスタ!$M$5:$AD$5002,18,FALSE),IF(J264="リード付け","原反コア",IF(J264="スリット",VLOOKUP(F264&amp;K264&amp;Q264,製品マスタ!$N$5:$AD$5002,17,FALSE),"")))</f>
        <v>3ｲﾝﾁMｺｱ</v>
      </c>
      <c r="W264" s="269">
        <f>IF(J264="巻返し",VLOOKUP(F264&amp;K264&amp;M264,製品マスタ!$M$5:$AE$5002,19,FALSE),IF(J264="リード付け","-",IF(J264="スリット",VLOOKUP(F264&amp;K264&amp;Q264,製品マスタ!$N$5:$AE$5002,18,FALSE),"")))</f>
        <v>1220</v>
      </c>
      <c r="X264" s="275">
        <f>IF(D264="","",VLOOKUP(D264,契約台帳!$A$3:$Q$4986,17,FALSE))</f>
        <v>2</v>
      </c>
      <c r="Y264" s="269" t="str">
        <f>IF(D264="","",VLOOKUP(D264,契約台帳!$A$3:$E$4986,5,FALSE))</f>
        <v>栃木カネカ㈱電材検査</v>
      </c>
      <c r="Z264" s="57" t="s">
        <v>1016</v>
      </c>
      <c r="AA264" s="207" t="s">
        <v>774</v>
      </c>
      <c r="AB264" s="33"/>
      <c r="AC264" s="189"/>
      <c r="AD264" s="54"/>
      <c r="AE264" s="55"/>
      <c r="AF264" s="43"/>
      <c r="AG264" s="47"/>
      <c r="AH264" s="30"/>
      <c r="AI264" s="30"/>
      <c r="AJ264" s="30"/>
      <c r="AK264" s="30"/>
      <c r="AL264" s="13"/>
      <c r="AM264" s="13"/>
      <c r="AN264" s="13"/>
      <c r="AO264" s="13"/>
      <c r="AP264" s="13"/>
      <c r="AQ264" s="14"/>
      <c r="AR264" s="15"/>
    </row>
    <row r="265" spans="1:44" s="17" customFormat="1" ht="30.95" hidden="1" customHeight="1" x14ac:dyDescent="0.2">
      <c r="A265" s="37"/>
      <c r="B265" s="38"/>
      <c r="C265" s="45"/>
      <c r="D265" s="31"/>
      <c r="E265" s="31"/>
      <c r="F265" s="268" t="str">
        <f>IF(D265="","",VLOOKUP(D265,契約台帳!$A$3:$K$4986,6,FALSE)&amp;VLOOKUP(D265,契約台帳!$A$3:$K$4986,7,FALSE)&amp;VLOOKUP(D265,契約台帳!$A$3:$K$4986,8,FALSE)&amp;VLOOKUP(D265,契約台帳!$A$3:$K$4986,9,FALSE)&amp;VLOOKUP(D265,契約台帳!$A$3:$K$4986,11,FALSE))</f>
        <v/>
      </c>
      <c r="G265" s="269" t="str">
        <f>IF(D265="","",VLOOKUP(F265,製品マスタ!$G$5:$H$5002,2,FALSE))</f>
        <v/>
      </c>
      <c r="H265" s="269" t="str">
        <f>IF(D265="","",VLOOKUP(F265,製品マスタ!$G$5:$K$5002,5,FALSE))</f>
        <v/>
      </c>
      <c r="I265" s="270" t="str">
        <f>IF(D265="","",VLOOKUP(F265,製品マスタ!$G$5:$L$5002,6,FALSE))</f>
        <v/>
      </c>
      <c r="J265" s="32"/>
      <c r="K265" s="270" t="str">
        <f>IF(D265="","",VLOOKUP(D265,契約台帳!$A$3:$L$4986,12,FALSE))</f>
        <v/>
      </c>
      <c r="L265" s="270" t="str">
        <f>IF(D265="","",INDEX(製品マスタ!$Q$5:$Q$5002,MATCH(F265&amp;K265,製品マスタ!$AO$5:$AO$5002,0)))</f>
        <v/>
      </c>
      <c r="M265" s="39"/>
      <c r="N265" s="39"/>
      <c r="O265" s="47"/>
      <c r="P265" s="57"/>
      <c r="Q265" s="276" t="str">
        <f>IF(D265="","",IF(J265="リード付け",M265,VLOOKUP(D265,契約台帳!$A$3:$N$4986,14,FALSE)))</f>
        <v/>
      </c>
      <c r="R265" s="277" t="str">
        <f>IF(D265="","",IF(J265="リード付け",M265,VLOOKUP(D265,契約台帳!$A$3:$O$4986,15,FALSE)))</f>
        <v/>
      </c>
      <c r="S265" s="277" t="str">
        <f>IF(D265="","",IF(J265="リード付け",N265,VLOOKUP(D265,契約台帳!$A$3:$P$4986,16,FALSE)))</f>
        <v/>
      </c>
      <c r="T265" s="40"/>
      <c r="U265" s="278" t="str">
        <f ca="1">IF(D265="","",IF(OFFSET(D265,-2,0)=D265,"",VLOOKUP(D265,契約台帳!$A$3:$R$4986,18,FALSE)))</f>
        <v/>
      </c>
      <c r="V265" s="269" t="str">
        <f>IF(J265="巻返し",VLOOKUP(F265&amp;K265&amp;M265,製品マスタ!$M$5:$AD$5002,18,FALSE),IF(J265="リード付け","原反コア",IF(J265="スリット",VLOOKUP(F265&amp;K265&amp;Q265,製品マスタ!$N$5:$AD$5002,17,FALSE),"")))</f>
        <v/>
      </c>
      <c r="W265" s="269" t="str">
        <f>IF(J265="巻返し",VLOOKUP(F265&amp;K265&amp;M265,製品マスタ!$M$5:$AE$5002,19,FALSE),IF(J265="リード付け","-",IF(J265="スリット",VLOOKUP(F265&amp;K265&amp;Q265,製品マスタ!$N$5:$AE$5002,18,FALSE),"")))</f>
        <v/>
      </c>
      <c r="X265" s="275" t="str">
        <f>IF(D265="","",VLOOKUP(D265,契約台帳!$A$3:$Q$4986,17,FALSE))</f>
        <v/>
      </c>
      <c r="Y265" s="269" t="str">
        <f>IF(D265="","",VLOOKUP(D265,契約台帳!$A$3:$E$4986,5,FALSE))</f>
        <v/>
      </c>
      <c r="Z265" s="57"/>
      <c r="AA265" s="207" t="str">
        <f>IFERROR(VLOOKUP(F265&amp;K265&amp;M265,製品マスタ!$M$5:$AM$5002,27,FALSE),"")</f>
        <v/>
      </c>
      <c r="AB265" s="33"/>
      <c r="AC265" s="189"/>
      <c r="AD265" s="54"/>
      <c r="AE265" s="55"/>
      <c r="AF265" s="43"/>
      <c r="AG265" s="47"/>
      <c r="AH265" s="30"/>
      <c r="AI265" s="30"/>
      <c r="AJ265" s="30"/>
      <c r="AK265" s="30"/>
      <c r="AL265" s="13"/>
      <c r="AM265" s="13"/>
      <c r="AN265" s="13"/>
      <c r="AO265" s="13"/>
      <c r="AP265" s="13"/>
      <c r="AQ265" s="14"/>
      <c r="AR265" s="15"/>
    </row>
    <row r="266" spans="1:44" s="17" customFormat="1" ht="30.95" hidden="1" customHeight="1" x14ac:dyDescent="0.2">
      <c r="A266" s="37"/>
      <c r="B266" s="38"/>
      <c r="C266" s="45"/>
      <c r="D266" s="31">
        <v>3702649</v>
      </c>
      <c r="E266" s="31">
        <v>4151328</v>
      </c>
      <c r="F266" s="268" t="str">
        <f>IF(D266="","",VLOOKUP(D266,契約台帳!$A$3:$K$4986,6,FALSE)&amp;VLOOKUP(D266,契約台帳!$A$3:$K$4986,7,FALSE)&amp;VLOOKUP(D266,契約台帳!$A$3:$K$4986,8,FALSE)&amp;VLOOKUP(D266,契約台帳!$A$3:$K$4986,9,FALSE)&amp;VLOOKUP(D266,契約台帳!$A$3:$K$4986,11,FALSE))</f>
        <v>3TNMLBHLGTF</v>
      </c>
      <c r="G266" s="269" t="str">
        <f>IF(D266="","",VLOOKUP(F266,製品マスタ!$G$5:$H$5002,2,FALSE))</f>
        <v>T</v>
      </c>
      <c r="H266" s="269" t="str">
        <f>IF(D266="","",VLOOKUP(F266,製品マスタ!$G$5:$K$5002,5,FALSE))</f>
        <v>HLGTF</v>
      </c>
      <c r="I266" s="270" t="str">
        <f>IF(D266="","",VLOOKUP(F266,製品マスタ!$G$5:$L$5002,6,FALSE))</f>
        <v>メタルミーヘヤライン銀艶</v>
      </c>
      <c r="J266" s="32" t="s">
        <v>447</v>
      </c>
      <c r="K266" s="270">
        <f>IF(D266="","",VLOOKUP(D266,契約台帳!$A$3:$L$4986,12,FALSE))</f>
        <v>50</v>
      </c>
      <c r="L266" s="270" t="str">
        <f>IF(D266="","",INDEX(製品マスタ!$Q$5:$Q$5002,MATCH(F266&amp;K266,製品マスタ!$AO$5:$AO$5002,0)))</f>
        <v>BRIGHT</v>
      </c>
      <c r="M266" s="39">
        <v>1005</v>
      </c>
      <c r="N266" s="39">
        <v>8200</v>
      </c>
      <c r="O266" s="47">
        <v>1</v>
      </c>
      <c r="P266" s="57"/>
      <c r="Q266" s="276">
        <f>IF(D266="","",IF(J266="リード付け",M266,VLOOKUP(D266,契約台帳!$A$3:$N$4986,14,FALSE)))</f>
        <v>1005</v>
      </c>
      <c r="R266" s="277">
        <f>IF(D266="","",IF(J266="リード付け",M266,VLOOKUP(D266,契約台帳!$A$3:$O$4986,15,FALSE)))</f>
        <v>1000</v>
      </c>
      <c r="S266" s="277">
        <f>IF(D266="","",IF(J266="リード付け",N266,VLOOKUP(D266,契約台帳!$A$3:$P$4986,16,FALSE)))</f>
        <v>4100</v>
      </c>
      <c r="T266" s="40">
        <v>2</v>
      </c>
      <c r="U266" s="278">
        <f ca="1">IF(D266="","",IF(OFFSET(D266,-2,0)=D266,"",VLOOKUP(D266,契約台帳!$A$3:$R$4986,18,FALSE)))</f>
        <v>2</v>
      </c>
      <c r="V266" s="269">
        <f>IF(J266="巻返し",VLOOKUP(F266&amp;K266&amp;M266,製品マスタ!$M$5:$AD$5002,18,FALSE),IF(J266="リード付け","原反コア",IF(J266="スリット",VLOOKUP(F266&amp;K266&amp;Q266,製品マスタ!$N$5:$AD$5002,17,FALSE),"")))</f>
        <v>0</v>
      </c>
      <c r="W266" s="269">
        <f>IF(J266="巻返し",VLOOKUP(F266&amp;K266&amp;M266,製品マスタ!$M$5:$AE$5002,19,FALSE),IF(J266="リード付け","-",IF(J266="スリット",VLOOKUP(F266&amp;K266&amp;Q266,製品マスタ!$N$5:$AE$5002,18,FALSE),"")))</f>
        <v>0</v>
      </c>
      <c r="X266" s="275">
        <f>IF(D266="","",VLOOKUP(D266,契約台帳!$A$3:$Q$4986,17,FALSE))</f>
        <v>2</v>
      </c>
      <c r="Y266" s="269" t="str">
        <f>IF(D266="","",VLOOKUP(D266,契約台帳!$A$3:$E$4986,5,FALSE))</f>
        <v>アジヤアルミ㈱</v>
      </c>
      <c r="Z266" s="57">
        <v>45012</v>
      </c>
      <c r="AA266" s="207" t="s">
        <v>774</v>
      </c>
      <c r="AB266" s="33"/>
      <c r="AC266" s="189"/>
      <c r="AD266" s="54" t="str">
        <f>IF(F266="","",+F266&amp;K266)</f>
        <v>3TNMLBHLGTF50</v>
      </c>
      <c r="AE266" s="55">
        <f>+M266*N266*O266/1000</f>
        <v>8241</v>
      </c>
      <c r="AF266" s="43">
        <v>95</v>
      </c>
      <c r="AG266" s="47">
        <f>IF(AF266="","",+AE266*AF266/100)</f>
        <v>7828.95</v>
      </c>
      <c r="AH266" s="30"/>
      <c r="AI266" s="30"/>
      <c r="AJ266" s="30"/>
      <c r="AK266" s="30"/>
      <c r="AL266" s="13"/>
      <c r="AM266" s="13"/>
      <c r="AN266" s="13"/>
      <c r="AO266" s="13"/>
      <c r="AP266" s="13"/>
      <c r="AQ266" s="14"/>
      <c r="AR266" s="15"/>
    </row>
    <row r="267" spans="1:44" s="17" customFormat="1" ht="30.95" hidden="1" customHeight="1" x14ac:dyDescent="0.2">
      <c r="A267" s="37"/>
      <c r="B267" s="38"/>
      <c r="C267" s="45"/>
      <c r="D267" s="31"/>
      <c r="E267" s="31"/>
      <c r="F267" s="268"/>
      <c r="G267" s="269"/>
      <c r="H267" s="269"/>
      <c r="I267" s="270"/>
      <c r="J267" s="32"/>
      <c r="K267" s="270"/>
      <c r="L267" s="270"/>
      <c r="M267" s="39"/>
      <c r="N267" s="39"/>
      <c r="O267" s="47"/>
      <c r="P267" s="57"/>
      <c r="Q267" s="276"/>
      <c r="R267" s="277"/>
      <c r="S267" s="277"/>
      <c r="T267" s="40"/>
      <c r="U267" s="278"/>
      <c r="V267" s="269"/>
      <c r="W267" s="269"/>
      <c r="X267" s="275"/>
      <c r="Y267" s="269"/>
      <c r="Z267" s="57"/>
      <c r="AA267" s="207"/>
      <c r="AB267" s="33"/>
      <c r="AC267" s="189"/>
      <c r="AD267" s="54"/>
      <c r="AE267" s="55"/>
      <c r="AF267" s="43"/>
      <c r="AG267" s="47"/>
      <c r="AH267" s="30"/>
      <c r="AI267" s="30"/>
      <c r="AJ267" s="30"/>
      <c r="AK267" s="30"/>
      <c r="AL267" s="13"/>
      <c r="AM267" s="13"/>
      <c r="AN267" s="13"/>
      <c r="AO267" s="13"/>
      <c r="AP267" s="13"/>
      <c r="AQ267" s="14"/>
      <c r="AR267" s="15"/>
    </row>
    <row r="268" spans="1:44" s="17" customFormat="1" ht="30.95" hidden="1" customHeight="1" x14ac:dyDescent="0.2">
      <c r="A268" s="37" t="s">
        <v>972</v>
      </c>
      <c r="B268" s="38" t="s">
        <v>958</v>
      </c>
      <c r="C268" s="45"/>
      <c r="D268" s="31"/>
      <c r="E268" s="31"/>
      <c r="F268" s="268" t="str">
        <f>IF(D268="","",VLOOKUP(D268,契約台帳!$A$3:$K$4986,6,FALSE)&amp;VLOOKUP(D268,契約台帳!$A$3:$K$4986,7,FALSE)&amp;VLOOKUP(D268,契約台帳!$A$3:$K$4986,8,FALSE)&amp;VLOOKUP(D268,契約台帳!$A$3:$K$4986,9,FALSE)&amp;VLOOKUP(D268,契約台帳!$A$3:$K$4986,11,FALSE))</f>
        <v/>
      </c>
      <c r="G268" s="269" t="str">
        <f>IF(D268="","",VLOOKUP(F268,製品マスタ!$G$5:$H$5002,2,FALSE))</f>
        <v/>
      </c>
      <c r="H268" s="269" t="str">
        <f>IF(D268="","",VLOOKUP(F268,製品マスタ!$G$5:$K$5002,5,FALSE))</f>
        <v/>
      </c>
      <c r="I268" s="270" t="str">
        <f>IF(D268="","",VLOOKUP(F268,製品マスタ!$G$5:$L$5002,6,FALSE))</f>
        <v/>
      </c>
      <c r="J268" s="32" t="s">
        <v>1001</v>
      </c>
      <c r="K268" s="270" t="str">
        <f>IF(D268="","",VLOOKUP(D268,契約台帳!$A$3:$L$4986,12,FALSE))</f>
        <v/>
      </c>
      <c r="L268" s="270" t="str">
        <f>IF(D268="","",INDEX(製品マスタ!$Q$5:$Q$5002,MATCH(F268&amp;K268,製品マスタ!$AO$5:$AO$5002,0)))</f>
        <v/>
      </c>
      <c r="M268" s="39"/>
      <c r="N268" s="39"/>
      <c r="O268" s="47"/>
      <c r="P268" s="57"/>
      <c r="Q268" s="276" t="str">
        <f>IF(D268="","",IF(J268="リード付け",M268,VLOOKUP(D268,契約台帳!$A$3:$N$4986,14,FALSE)))</f>
        <v/>
      </c>
      <c r="R268" s="277" t="str">
        <f>IF(D268="","",IF(J268="リード付け",M268,VLOOKUP(D268,契約台帳!$A$3:$O$4986,15,FALSE)))</f>
        <v/>
      </c>
      <c r="S268" s="277" t="str">
        <f>IF(D268="","",IF(J268="リード付け",N268,VLOOKUP(D268,契約台帳!$A$3:$P$4986,16,FALSE)))</f>
        <v/>
      </c>
      <c r="T268" s="40"/>
      <c r="U268" s="278" t="str">
        <f ca="1">IF(D268="","",IF(OFFSET(D268,-2,0)=D268,"",VLOOKUP(D268,契約台帳!$A$3:$R$4986,18,FALSE)))</f>
        <v/>
      </c>
      <c r="V268" s="269" t="str">
        <f>IF(J268="巻返し",VLOOKUP(F268&amp;K268&amp;M268,製品マスタ!$M$5:$AD$5002,18,FALSE),IF(J268="リード付け","原反コア",IF(J268="スリット",VLOOKUP(F268&amp;K268&amp;Q268,製品マスタ!$N$5:$AD$5002,17,FALSE),"")))</f>
        <v/>
      </c>
      <c r="W268" s="269" t="str">
        <f>IF(J268="巻返し",VLOOKUP(F268&amp;K268&amp;M268,製品マスタ!$M$5:$AE$5002,19,FALSE),IF(J268="リード付け","-",IF(J268="スリット",VLOOKUP(F268&amp;K268&amp;Q268,製品マスタ!$N$5:$AE$5002,18,FALSE),"")))</f>
        <v/>
      </c>
      <c r="X268" s="275" t="str">
        <f>IF(D268="","",VLOOKUP(D268,契約台帳!$A$3:$Q$4986,17,FALSE))</f>
        <v/>
      </c>
      <c r="Y268" s="269" t="str">
        <f>IF(D268="","",VLOOKUP(D268,契約台帳!$A$3:$E$4986,5,FALSE))</f>
        <v/>
      </c>
      <c r="Z268" s="57"/>
      <c r="AA268" s="207" t="str">
        <f>IFERROR(VLOOKUP(F268&amp;K268&amp;M268,製品マスタ!$M$5:$AM$5002,27,FALSE),"")</f>
        <v/>
      </c>
      <c r="AB268" s="33"/>
      <c r="AC268" s="189"/>
      <c r="AD268" s="54"/>
      <c r="AE268" s="55"/>
      <c r="AF268" s="43"/>
      <c r="AG268" s="47"/>
      <c r="AH268" s="30"/>
      <c r="AI268" s="30"/>
      <c r="AJ268" s="30"/>
      <c r="AK268" s="30"/>
      <c r="AL268" s="13"/>
      <c r="AM268" s="13"/>
      <c r="AN268" s="13"/>
      <c r="AO268" s="13"/>
      <c r="AP268" s="13"/>
      <c r="AQ268" s="14"/>
      <c r="AR268" s="15"/>
    </row>
    <row r="269" spans="1:44" s="17" customFormat="1" ht="30.95" hidden="1" customHeight="1" x14ac:dyDescent="0.2">
      <c r="A269" s="37"/>
      <c r="B269" s="38"/>
      <c r="C269" s="45"/>
      <c r="D269" s="31"/>
      <c r="E269" s="31"/>
      <c r="F269" s="268" t="str">
        <f>IF(D269="","",VLOOKUP(D269,契約台帳!$A$3:$K$4986,6,FALSE)&amp;VLOOKUP(D269,契約台帳!$A$3:$K$4986,7,FALSE)&amp;VLOOKUP(D269,契約台帳!$A$3:$K$4986,8,FALSE)&amp;VLOOKUP(D269,契約台帳!$A$3:$K$4986,9,FALSE)&amp;VLOOKUP(D269,契約台帳!$A$3:$K$4986,11,FALSE))</f>
        <v/>
      </c>
      <c r="G269" s="269" t="str">
        <f>IF(D269="","",VLOOKUP(F269,製品マスタ!$G$5:$H$5002,2,FALSE))</f>
        <v/>
      </c>
      <c r="H269" s="269" t="str">
        <f>IF(D269="","",VLOOKUP(F269,製品マスタ!$G$5:$K$5002,5,FALSE))</f>
        <v/>
      </c>
      <c r="I269" s="270" t="str">
        <f>IF(D269="","",VLOOKUP(F269,製品マスタ!$G$5:$L$5002,6,FALSE))</f>
        <v/>
      </c>
      <c r="J269" s="32"/>
      <c r="K269" s="270" t="str">
        <f>IF(D269="","",VLOOKUP(D269,契約台帳!$A$3:$L$4986,12,FALSE))</f>
        <v/>
      </c>
      <c r="L269" s="270" t="str">
        <f>IF(D269="","",INDEX(製品マスタ!$Q$5:$Q$5002,MATCH(F269&amp;K269,製品マスタ!$AO$5:$AO$5002,0)))</f>
        <v/>
      </c>
      <c r="M269" s="39"/>
      <c r="N269" s="39"/>
      <c r="O269" s="47"/>
      <c r="P269" s="57"/>
      <c r="Q269" s="276" t="str">
        <f>IF(D269="","",IF(J269="リード付け",M269,VLOOKUP(D269,契約台帳!$A$3:$N$4986,14,FALSE)))</f>
        <v/>
      </c>
      <c r="R269" s="277" t="str">
        <f>IF(D269="","",IF(J269="リード付け",M269,VLOOKUP(D269,契約台帳!$A$3:$O$4986,15,FALSE)))</f>
        <v/>
      </c>
      <c r="S269" s="277" t="str">
        <f>IF(D269="","",IF(J269="リード付け",N269,VLOOKUP(D269,契約台帳!$A$3:$P$4986,16,FALSE)))</f>
        <v/>
      </c>
      <c r="T269" s="40"/>
      <c r="U269" s="278" t="str">
        <f ca="1">IF(D269="","",IF(OFFSET(D269,-2,0)=D269,"",VLOOKUP(D269,契約台帳!$A$3:$R$4986,18,FALSE)))</f>
        <v/>
      </c>
      <c r="V269" s="269" t="str">
        <f>IF(J269="巻返し",VLOOKUP(F269&amp;K269&amp;M269,製品マスタ!$M$5:$AD$5002,18,FALSE),IF(J269="リード付け","原反コア",IF(J269="スリット",VLOOKUP(F269&amp;K269&amp;Q269,製品マスタ!$N$5:$AD$5002,17,FALSE),"")))</f>
        <v/>
      </c>
      <c r="W269" s="269" t="str">
        <f>IF(J269="巻返し",VLOOKUP(F269&amp;K269&amp;M269,製品マスタ!$M$5:$AE$5002,19,FALSE),IF(J269="リード付け","-",IF(J269="スリット",VLOOKUP(F269&amp;K269&amp;Q269,製品マスタ!$N$5:$AE$5002,18,FALSE),"")))</f>
        <v/>
      </c>
      <c r="X269" s="275" t="str">
        <f>IF(D269="","",VLOOKUP(D269,契約台帳!$A$3:$Q$4986,17,FALSE))</f>
        <v/>
      </c>
      <c r="Y269" s="269" t="str">
        <f>IF(D269="","",VLOOKUP(D269,契約台帳!$A$3:$E$4986,5,FALSE))</f>
        <v/>
      </c>
      <c r="Z269" s="57"/>
      <c r="AA269" s="207" t="str">
        <f>IFERROR(VLOOKUP(F269&amp;K269&amp;M269,製品マスタ!$M$5:$AM$5002,27,FALSE),"")</f>
        <v/>
      </c>
      <c r="AB269" s="33"/>
      <c r="AC269" s="189"/>
      <c r="AD269" s="54"/>
      <c r="AE269" s="55"/>
      <c r="AF269" s="43"/>
      <c r="AG269" s="47"/>
      <c r="AH269" s="30"/>
      <c r="AI269" s="30"/>
      <c r="AJ269" s="30"/>
      <c r="AK269" s="30"/>
      <c r="AL269" s="13"/>
      <c r="AM269" s="13"/>
      <c r="AN269" s="13"/>
      <c r="AO269" s="13"/>
      <c r="AP269" s="13"/>
      <c r="AQ269" s="14"/>
      <c r="AR269" s="15"/>
    </row>
    <row r="270" spans="1:44" s="17" customFormat="1" ht="30.95" hidden="1" customHeight="1" x14ac:dyDescent="0.2">
      <c r="A270" s="37" t="s">
        <v>973</v>
      </c>
      <c r="B270" s="38" t="s">
        <v>959</v>
      </c>
      <c r="C270" s="45"/>
      <c r="D270" s="31"/>
      <c r="E270" s="31"/>
      <c r="F270" s="268" t="str">
        <f>IF(D270="","",VLOOKUP(D270,契約台帳!$A$3:$K$4986,6,FALSE)&amp;VLOOKUP(D270,契約台帳!$A$3:$K$4986,7,FALSE)&amp;VLOOKUP(D270,契約台帳!$A$3:$K$4986,8,FALSE)&amp;VLOOKUP(D270,契約台帳!$A$3:$K$4986,9,FALSE)&amp;VLOOKUP(D270,契約台帳!$A$3:$K$4986,11,FALSE))</f>
        <v/>
      </c>
      <c r="G270" s="269" t="str">
        <f>IF(D270="","",VLOOKUP(F270,製品マスタ!$G$5:$H$5002,2,FALSE))</f>
        <v/>
      </c>
      <c r="H270" s="269" t="str">
        <f>IF(D270="","",VLOOKUP(F270,製品マスタ!$G$5:$K$5002,5,FALSE))</f>
        <v/>
      </c>
      <c r="I270" s="270" t="str">
        <f>IF(D270="","",VLOOKUP(F270,製品マスタ!$G$5:$L$5002,6,FALSE))</f>
        <v/>
      </c>
      <c r="J270" s="32" t="s">
        <v>448</v>
      </c>
      <c r="K270" s="270" t="str">
        <f>IF(D270="","",VLOOKUP(D270,契約台帳!$A$3:$L$4986,12,FALSE))</f>
        <v/>
      </c>
      <c r="L270" s="270" t="str">
        <f>IF(D270="","",INDEX(製品マスタ!$Q$5:$Q$5002,MATCH(F270&amp;K270,製品マスタ!$AO$5:$AO$5002,0)))</f>
        <v/>
      </c>
      <c r="M270" s="39"/>
      <c r="N270" s="39"/>
      <c r="O270" s="47"/>
      <c r="P270" s="57"/>
      <c r="Q270" s="276" t="str">
        <f>IF(D270="","",IF(J270="リード付け",M270,VLOOKUP(D270,契約台帳!$A$3:$N$4986,14,FALSE)))</f>
        <v/>
      </c>
      <c r="R270" s="277" t="str">
        <f>IF(D270="","",IF(J270="リード付け",M270,VLOOKUP(D270,契約台帳!$A$3:$O$4986,15,FALSE)))</f>
        <v/>
      </c>
      <c r="S270" s="277" t="str">
        <f>IF(D270="","",IF(J270="リード付け",N270,VLOOKUP(D270,契約台帳!$A$3:$P$4986,16,FALSE)))</f>
        <v/>
      </c>
      <c r="T270" s="40"/>
      <c r="U270" s="278" t="str">
        <f ca="1">IF(D270="","",IF(OFFSET(D270,-2,0)=D270,"",VLOOKUP(D270,契約台帳!$A$3:$R$4986,18,FALSE)))</f>
        <v/>
      </c>
      <c r="V270" s="269" t="str">
        <f>IF(J270="巻返し",VLOOKUP(F270&amp;K270&amp;M270,製品マスタ!$M$5:$AD$5002,18,FALSE),IF(J270="リード付け","原反コア",IF(J270="スリット",VLOOKUP(F270&amp;K270&amp;Q270,製品マスタ!$N$5:$AD$5002,17,FALSE),"")))</f>
        <v/>
      </c>
      <c r="W270" s="269" t="str">
        <f>IF(J270="巻返し",VLOOKUP(F270&amp;K270&amp;M270,製品マスタ!$M$5:$AE$5002,19,FALSE),IF(J270="リード付け","-",IF(J270="スリット",VLOOKUP(F270&amp;K270&amp;Q270,製品マスタ!$N$5:$AE$5002,18,FALSE),"")))</f>
        <v/>
      </c>
      <c r="X270" s="275" t="str">
        <f>IF(D270="","",VLOOKUP(D270,契約台帳!$A$3:$Q$4986,17,FALSE))</f>
        <v/>
      </c>
      <c r="Y270" s="269" t="str">
        <f>IF(D270="","",VLOOKUP(D270,契約台帳!$A$3:$E$4986,5,FALSE))</f>
        <v/>
      </c>
      <c r="Z270" s="57"/>
      <c r="AA270" s="207" t="str">
        <f>IFERROR(VLOOKUP(F270&amp;K270&amp;M270,製品マスタ!$M$5:$AM$5002,27,FALSE),"")</f>
        <v/>
      </c>
      <c r="AB270" s="33"/>
      <c r="AC270" s="189"/>
      <c r="AD270" s="54"/>
      <c r="AE270" s="55"/>
      <c r="AF270" s="43"/>
      <c r="AG270" s="47"/>
      <c r="AH270" s="30"/>
      <c r="AI270" s="30"/>
      <c r="AJ270" s="30"/>
      <c r="AK270" s="30"/>
      <c r="AL270" s="13"/>
      <c r="AM270" s="13"/>
      <c r="AN270" s="13"/>
      <c r="AO270" s="13"/>
      <c r="AP270" s="13"/>
      <c r="AQ270" s="14"/>
      <c r="AR270" s="15"/>
    </row>
    <row r="271" spans="1:44" s="17" customFormat="1" ht="30.95" hidden="1" customHeight="1" x14ac:dyDescent="0.2">
      <c r="A271" s="37"/>
      <c r="B271" s="38"/>
      <c r="C271" s="45"/>
      <c r="D271" s="31"/>
      <c r="E271" s="31"/>
      <c r="F271" s="268" t="str">
        <f>IF(D271="","",VLOOKUP(D271,契約台帳!$A$3:$K$4986,6,FALSE)&amp;VLOOKUP(D271,契約台帳!$A$3:$K$4986,7,FALSE)&amp;VLOOKUP(D271,契約台帳!$A$3:$K$4986,8,FALSE)&amp;VLOOKUP(D271,契約台帳!$A$3:$K$4986,9,FALSE)&amp;VLOOKUP(D271,契約台帳!$A$3:$K$4986,11,FALSE))</f>
        <v/>
      </c>
      <c r="G271" s="269" t="str">
        <f>IF(D271="","",VLOOKUP(F271,製品マスタ!$G$5:$H$5002,2,FALSE))</f>
        <v/>
      </c>
      <c r="H271" s="269" t="str">
        <f>IF(D271="","",VLOOKUP(F271,製品マスタ!$G$5:$K$5002,5,FALSE))</f>
        <v/>
      </c>
      <c r="I271" s="270" t="str">
        <f>IF(D271="","",VLOOKUP(F271,製品マスタ!$G$5:$L$5002,6,FALSE))</f>
        <v/>
      </c>
      <c r="J271" s="32"/>
      <c r="K271" s="270" t="str">
        <f>IF(D271="","",VLOOKUP(D271,契約台帳!$A$3:$L$4986,12,FALSE))</f>
        <v/>
      </c>
      <c r="L271" s="270" t="str">
        <f>IF(D271="","",INDEX(製品マスタ!$Q$5:$Q$5002,MATCH(F271&amp;K271,製品マスタ!$AO$5:$AO$5002,0)))</f>
        <v/>
      </c>
      <c r="M271" s="39"/>
      <c r="N271" s="39"/>
      <c r="O271" s="47"/>
      <c r="P271" s="57"/>
      <c r="Q271" s="276" t="str">
        <f>IF(D271="","",IF(J271="リード付け",M271,VLOOKUP(D271,契約台帳!$A$3:$N$4986,14,FALSE)))</f>
        <v/>
      </c>
      <c r="R271" s="277" t="str">
        <f>IF(D271="","",IF(J271="リード付け",M271,VLOOKUP(D271,契約台帳!$A$3:$O$4986,15,FALSE)))</f>
        <v/>
      </c>
      <c r="S271" s="277" t="str">
        <f>IF(D271="","",IF(J271="リード付け",N271,VLOOKUP(D271,契約台帳!$A$3:$P$4986,16,FALSE)))</f>
        <v/>
      </c>
      <c r="T271" s="40"/>
      <c r="U271" s="278" t="str">
        <f ca="1">IF(D271="","",IF(OFFSET(D271,-2,0)=D271,"",VLOOKUP(D271,契約台帳!$A$3:$R$4986,18,FALSE)))</f>
        <v/>
      </c>
      <c r="V271" s="269" t="str">
        <f>IF(J271="巻返し",VLOOKUP(F271&amp;K271&amp;M271,製品マスタ!$M$5:$AD$5002,18,FALSE),IF(J271="リード付け","原反コア",IF(J271="スリット",VLOOKUP(F271&amp;K271&amp;Q271,製品マスタ!$N$5:$AD$5002,17,FALSE),"")))</f>
        <v/>
      </c>
      <c r="W271" s="269" t="str">
        <f>IF(J271="巻返し",VLOOKUP(F271&amp;K271&amp;M271,製品マスタ!$M$5:$AE$5002,19,FALSE),IF(J271="リード付け","-",IF(J271="スリット",VLOOKUP(F271&amp;K271&amp;Q271,製品マスタ!$N$5:$AE$5002,18,FALSE),"")))</f>
        <v/>
      </c>
      <c r="X271" s="275" t="str">
        <f>IF(D271="","",VLOOKUP(D271,契約台帳!$A$3:$Q$4986,17,FALSE))</f>
        <v/>
      </c>
      <c r="Y271" s="269" t="str">
        <f>IF(D271="","",VLOOKUP(D271,契約台帳!$A$3:$E$4986,5,FALSE))</f>
        <v/>
      </c>
      <c r="Z271" s="57"/>
      <c r="AA271" s="207" t="str">
        <f>IFERROR(VLOOKUP(F271&amp;K271&amp;M271,製品マスタ!$M$5:$AM$5002,27,FALSE),"")</f>
        <v/>
      </c>
      <c r="AB271" s="33"/>
      <c r="AC271" s="189"/>
      <c r="AD271" s="54"/>
      <c r="AE271" s="55"/>
      <c r="AF271" s="43"/>
      <c r="AG271" s="47"/>
      <c r="AH271" s="30"/>
      <c r="AI271" s="30"/>
      <c r="AJ271" s="30"/>
      <c r="AK271" s="30"/>
      <c r="AL271" s="13"/>
      <c r="AM271" s="13"/>
      <c r="AN271" s="13"/>
      <c r="AO271" s="13"/>
      <c r="AP271" s="13"/>
      <c r="AQ271" s="14"/>
      <c r="AR271" s="15"/>
    </row>
    <row r="272" spans="1:44" s="17" customFormat="1" ht="30.95" hidden="1" customHeight="1" x14ac:dyDescent="0.2">
      <c r="A272" s="37" t="s">
        <v>974</v>
      </c>
      <c r="B272" s="38" t="s">
        <v>960</v>
      </c>
      <c r="C272" s="45"/>
      <c r="D272" s="31"/>
      <c r="E272" s="31"/>
      <c r="F272" s="268" t="str">
        <f>IF(D272="","",VLOOKUP(D272,契約台帳!$A$3:$K$4986,6,FALSE)&amp;VLOOKUP(D272,契約台帳!$A$3:$K$4986,7,FALSE)&amp;VLOOKUP(D272,契約台帳!$A$3:$K$4986,8,FALSE)&amp;VLOOKUP(D272,契約台帳!$A$3:$K$4986,9,FALSE)&amp;VLOOKUP(D272,契約台帳!$A$3:$K$4986,11,FALSE))</f>
        <v/>
      </c>
      <c r="G272" s="269" t="str">
        <f>IF(D272="","",VLOOKUP(F272,製品マスタ!$G$5:$H$5002,2,FALSE))</f>
        <v/>
      </c>
      <c r="H272" s="269" t="str">
        <f>IF(D272="","",VLOOKUP(F272,製品マスタ!$G$5:$K$5002,5,FALSE))</f>
        <v/>
      </c>
      <c r="I272" s="270" t="str">
        <f>IF(D272="","",VLOOKUP(F272,製品マスタ!$G$5:$L$5002,6,FALSE))</f>
        <v/>
      </c>
      <c r="J272" s="32" t="s">
        <v>448</v>
      </c>
      <c r="K272" s="270" t="str">
        <f>IF(D272="","",VLOOKUP(D272,契約台帳!$A$3:$L$4986,12,FALSE))</f>
        <v/>
      </c>
      <c r="L272" s="270" t="str">
        <f>IF(D272="","",INDEX(製品マスタ!$Q$5:$Q$5002,MATCH(F272&amp;K272,製品マスタ!$AO$5:$AO$5002,0)))</f>
        <v/>
      </c>
      <c r="M272" s="39"/>
      <c r="N272" s="39"/>
      <c r="O272" s="47"/>
      <c r="P272" s="57"/>
      <c r="Q272" s="276" t="str">
        <f>IF(D272="","",IF(J272="リード付け",M272,VLOOKUP(D272,契約台帳!$A$3:$N$4986,14,FALSE)))</f>
        <v/>
      </c>
      <c r="R272" s="277" t="str">
        <f>IF(D272="","",IF(J272="リード付け",M272,VLOOKUP(D272,契約台帳!$A$3:$O$4986,15,FALSE)))</f>
        <v/>
      </c>
      <c r="S272" s="277" t="str">
        <f>IF(D272="","",IF(J272="リード付け",N272,VLOOKUP(D272,契約台帳!$A$3:$P$4986,16,FALSE)))</f>
        <v/>
      </c>
      <c r="T272" s="40"/>
      <c r="U272" s="278" t="str">
        <f ca="1">IF(D272="","",IF(OFFSET(D272,-2,0)=D272,"",VLOOKUP(D272,契約台帳!$A$3:$R$4986,18,FALSE)))</f>
        <v/>
      </c>
      <c r="V272" s="269" t="str">
        <f>IF(J272="巻返し",VLOOKUP(F272&amp;K272&amp;M272,製品マスタ!$M$5:$AD$5002,18,FALSE),IF(J272="リード付け","原反コア",IF(J272="スリット",VLOOKUP(F272&amp;K272&amp;Q272,製品マスタ!$N$5:$AD$5002,17,FALSE),"")))</f>
        <v/>
      </c>
      <c r="W272" s="269" t="str">
        <f>IF(J272="巻返し",VLOOKUP(F272&amp;K272&amp;M272,製品マスタ!$M$5:$AE$5002,19,FALSE),IF(J272="リード付け","-",IF(J272="スリット",VLOOKUP(F272&amp;K272&amp;Q272,製品マスタ!$N$5:$AE$5002,18,FALSE),"")))</f>
        <v/>
      </c>
      <c r="X272" s="275" t="str">
        <f>IF(D272="","",VLOOKUP(D272,契約台帳!$A$3:$Q$4986,17,FALSE))</f>
        <v/>
      </c>
      <c r="Y272" s="269" t="str">
        <f>IF(D272="","",VLOOKUP(D272,契約台帳!$A$3:$E$4986,5,FALSE))</f>
        <v/>
      </c>
      <c r="Z272" s="57"/>
      <c r="AA272" s="207" t="str">
        <f>IFERROR(VLOOKUP(F272&amp;K272&amp;M272,製品マスタ!$M$5:$AM$5002,27,FALSE),"")</f>
        <v/>
      </c>
      <c r="AB272" s="33"/>
      <c r="AC272" s="189"/>
      <c r="AD272" s="54"/>
      <c r="AE272" s="55"/>
      <c r="AF272" s="43"/>
      <c r="AG272" s="47"/>
      <c r="AH272" s="30"/>
      <c r="AI272" s="30"/>
      <c r="AJ272" s="30"/>
      <c r="AK272" s="30"/>
      <c r="AL272" s="13"/>
      <c r="AM272" s="13"/>
      <c r="AN272" s="13"/>
      <c r="AO272" s="13"/>
      <c r="AP272" s="13"/>
      <c r="AQ272" s="14"/>
      <c r="AR272" s="15"/>
    </row>
    <row r="273" spans="1:44" s="17" customFormat="1" ht="30.95" hidden="1" customHeight="1" x14ac:dyDescent="0.2">
      <c r="A273" s="37"/>
      <c r="B273" s="38"/>
      <c r="C273" s="45"/>
      <c r="D273" s="31"/>
      <c r="E273" s="31"/>
      <c r="F273" s="268" t="str">
        <f>IF(D273="","",VLOOKUP(D273,契約台帳!$A$3:$K$4986,6,FALSE)&amp;VLOOKUP(D273,契約台帳!$A$3:$K$4986,7,FALSE)&amp;VLOOKUP(D273,契約台帳!$A$3:$K$4986,8,FALSE)&amp;VLOOKUP(D273,契約台帳!$A$3:$K$4986,9,FALSE)&amp;VLOOKUP(D273,契約台帳!$A$3:$K$4986,11,FALSE))</f>
        <v/>
      </c>
      <c r="G273" s="269" t="str">
        <f>IF(D273="","",VLOOKUP(F273,製品マスタ!$G$5:$H$5002,2,FALSE))</f>
        <v/>
      </c>
      <c r="H273" s="269" t="str">
        <f>IF(D273="","",VLOOKUP(F273,製品マスタ!$G$5:$K$5002,5,FALSE))</f>
        <v/>
      </c>
      <c r="I273" s="270" t="str">
        <f>IF(D273="","",VLOOKUP(F273,製品マスタ!$G$5:$L$5002,6,FALSE))</f>
        <v/>
      </c>
      <c r="J273" s="32"/>
      <c r="K273" s="270" t="str">
        <f>IF(D273="","",VLOOKUP(D273,契約台帳!$A$3:$L$4986,12,FALSE))</f>
        <v/>
      </c>
      <c r="L273" s="270" t="str">
        <f>IF(D273="","",INDEX(製品マスタ!$Q$5:$Q$5002,MATCH(F273&amp;K273,製品マスタ!$AO$5:$AO$5002,0)))</f>
        <v/>
      </c>
      <c r="M273" s="39"/>
      <c r="N273" s="39"/>
      <c r="O273" s="47"/>
      <c r="P273" s="57"/>
      <c r="Q273" s="276" t="str">
        <f>IF(D273="","",IF(J273="リード付け",M273,VLOOKUP(D273,契約台帳!$A$3:$N$4986,14,FALSE)))</f>
        <v/>
      </c>
      <c r="R273" s="277" t="str">
        <f>IF(D273="","",IF(J273="リード付け",M273,VLOOKUP(D273,契約台帳!$A$3:$O$4986,15,FALSE)))</f>
        <v/>
      </c>
      <c r="S273" s="277" t="str">
        <f>IF(D273="","",IF(J273="リード付け",N273,VLOOKUP(D273,契約台帳!$A$3:$P$4986,16,FALSE)))</f>
        <v/>
      </c>
      <c r="T273" s="40"/>
      <c r="U273" s="278" t="str">
        <f ca="1">IF(D273="","",IF(OFFSET(D273,-2,0)=D273,"",VLOOKUP(D273,契約台帳!$A$3:$R$4986,18,FALSE)))</f>
        <v/>
      </c>
      <c r="V273" s="269" t="str">
        <f>IF(J273="巻返し",VLOOKUP(F273&amp;K273&amp;M273,製品マスタ!$M$5:$AD$5002,18,FALSE),IF(J273="リード付け","原反コア",IF(J273="スリット",VLOOKUP(F273&amp;K273&amp;Q273,製品マスタ!$N$5:$AD$5002,17,FALSE),"")))</f>
        <v/>
      </c>
      <c r="W273" s="269" t="str">
        <f>IF(J273="巻返し",VLOOKUP(F273&amp;K273&amp;M273,製品マスタ!$M$5:$AE$5002,19,FALSE),IF(J273="リード付け","-",IF(J273="スリット",VLOOKUP(F273&amp;K273&amp;Q273,製品マスタ!$N$5:$AE$5002,18,FALSE),"")))</f>
        <v/>
      </c>
      <c r="X273" s="275" t="str">
        <f>IF(D273="","",VLOOKUP(D273,契約台帳!$A$3:$Q$4986,17,FALSE))</f>
        <v/>
      </c>
      <c r="Y273" s="269" t="str">
        <f>IF(D273="","",VLOOKUP(D273,契約台帳!$A$3:$E$4986,5,FALSE))</f>
        <v/>
      </c>
      <c r="Z273" s="57"/>
      <c r="AA273" s="207" t="str">
        <f>IFERROR(VLOOKUP(F273&amp;K273&amp;M273,製品マスタ!$M$5:$AM$5002,27,FALSE),"")</f>
        <v/>
      </c>
      <c r="AB273" s="33"/>
      <c r="AC273" s="189"/>
      <c r="AD273" s="54"/>
      <c r="AE273" s="55"/>
      <c r="AF273" s="43"/>
      <c r="AG273" s="47"/>
      <c r="AH273" s="30"/>
      <c r="AI273" s="30"/>
      <c r="AJ273" s="30"/>
      <c r="AK273" s="30"/>
      <c r="AL273" s="13"/>
      <c r="AM273" s="13"/>
      <c r="AN273" s="13"/>
      <c r="AO273" s="13"/>
      <c r="AP273" s="13"/>
      <c r="AQ273" s="14"/>
      <c r="AR273" s="15"/>
    </row>
    <row r="274" spans="1:44" s="17" customFormat="1" ht="30.95" hidden="1" customHeight="1" x14ac:dyDescent="0.2">
      <c r="A274" s="37" t="s">
        <v>975</v>
      </c>
      <c r="B274" s="38" t="s">
        <v>961</v>
      </c>
      <c r="C274" s="45"/>
      <c r="D274" s="31"/>
      <c r="E274" s="31"/>
      <c r="F274" s="268" t="str">
        <f>IF(D274="","",VLOOKUP(D274,契約台帳!$A$3:$K$4986,6,FALSE)&amp;VLOOKUP(D274,契約台帳!$A$3:$K$4986,7,FALSE)&amp;VLOOKUP(D274,契約台帳!$A$3:$K$4986,8,FALSE)&amp;VLOOKUP(D274,契約台帳!$A$3:$K$4986,9,FALSE)&amp;VLOOKUP(D274,契約台帳!$A$3:$K$4986,11,FALSE))</f>
        <v/>
      </c>
      <c r="G274" s="269" t="str">
        <f>IF(D274="","",VLOOKUP(F274,製品マスタ!$G$5:$H$5002,2,FALSE))</f>
        <v/>
      </c>
      <c r="H274" s="269" t="str">
        <f>IF(D274="","",VLOOKUP(F274,製品マスタ!$G$5:$K$5002,5,FALSE))</f>
        <v/>
      </c>
      <c r="I274" s="270" t="str">
        <f>IF(D274="","",VLOOKUP(F274,製品マスタ!$G$5:$L$5002,6,FALSE))</f>
        <v/>
      </c>
      <c r="J274" s="32" t="s">
        <v>1001</v>
      </c>
      <c r="K274" s="270" t="str">
        <f>IF(D274="","",VLOOKUP(D274,契約台帳!$A$3:$L$4986,12,FALSE))</f>
        <v/>
      </c>
      <c r="L274" s="270" t="str">
        <f>IF(D274="","",INDEX(製品マスタ!$Q$5:$Q$5002,MATCH(F274&amp;K274,製品マスタ!$AO$5:$AO$5002,0)))</f>
        <v/>
      </c>
      <c r="M274" s="39"/>
      <c r="N274" s="39"/>
      <c r="O274" s="47"/>
      <c r="P274" s="57"/>
      <c r="Q274" s="276" t="str">
        <f>IF(D274="","",IF(J274="リード付け",M274,VLOOKUP(D274,契約台帳!$A$3:$N$4986,14,FALSE)))</f>
        <v/>
      </c>
      <c r="R274" s="277" t="str">
        <f>IF(D274="","",IF(J274="リード付け",M274,VLOOKUP(D274,契約台帳!$A$3:$O$4986,15,FALSE)))</f>
        <v/>
      </c>
      <c r="S274" s="277" t="str">
        <f>IF(D274="","",IF(J274="リード付け",N274,VLOOKUP(D274,契約台帳!$A$3:$P$4986,16,FALSE)))</f>
        <v/>
      </c>
      <c r="T274" s="40"/>
      <c r="U274" s="278" t="str">
        <f ca="1">IF(D274="","",IF(OFFSET(D274,-2,0)=D274,"",VLOOKUP(D274,契約台帳!$A$3:$R$4986,18,FALSE)))</f>
        <v/>
      </c>
      <c r="V274" s="269" t="str">
        <f>IF(J274="巻返し",VLOOKUP(F274&amp;K274&amp;M274,製品マスタ!$M$5:$AD$5002,18,FALSE),IF(J274="リード付け","原反コア",IF(J274="スリット",VLOOKUP(F274&amp;K274&amp;Q274,製品マスタ!$N$5:$AD$5002,17,FALSE),"")))</f>
        <v/>
      </c>
      <c r="W274" s="269" t="str">
        <f>IF(J274="巻返し",VLOOKUP(F274&amp;K274&amp;M274,製品マスタ!$M$5:$AE$5002,19,FALSE),IF(J274="リード付け","-",IF(J274="スリット",VLOOKUP(F274&amp;K274&amp;Q274,製品マスタ!$N$5:$AE$5002,18,FALSE),"")))</f>
        <v/>
      </c>
      <c r="X274" s="275" t="str">
        <f>IF(D274="","",VLOOKUP(D274,契約台帳!$A$3:$Q$4986,17,FALSE))</f>
        <v/>
      </c>
      <c r="Y274" s="269" t="str">
        <f>IF(D274="","",VLOOKUP(D274,契約台帳!$A$3:$E$4986,5,FALSE))</f>
        <v/>
      </c>
      <c r="Z274" s="57"/>
      <c r="AA274" s="207" t="str">
        <f>IFERROR(VLOOKUP(F274&amp;K274&amp;M274,製品マスタ!$M$5:$AM$5002,27,FALSE),"")</f>
        <v/>
      </c>
      <c r="AB274" s="33"/>
      <c r="AC274" s="189"/>
      <c r="AD274" s="54"/>
      <c r="AE274" s="55"/>
      <c r="AF274" s="43"/>
      <c r="AG274" s="47"/>
      <c r="AH274" s="30"/>
      <c r="AI274" s="30"/>
      <c r="AJ274" s="30"/>
      <c r="AK274" s="30"/>
      <c r="AL274" s="13"/>
      <c r="AM274" s="13"/>
      <c r="AN274" s="13"/>
      <c r="AO274" s="13"/>
      <c r="AP274" s="13"/>
      <c r="AQ274" s="14"/>
      <c r="AR274" s="15"/>
    </row>
    <row r="275" spans="1:44" s="17" customFormat="1" ht="30.95" hidden="1" customHeight="1" x14ac:dyDescent="0.2">
      <c r="A275" s="37"/>
      <c r="B275" s="38"/>
      <c r="C275" s="45"/>
      <c r="D275" s="31"/>
      <c r="E275" s="31"/>
      <c r="F275" s="268" t="str">
        <f>IF(D275="","",VLOOKUP(D275,契約台帳!$A$3:$K$4986,6,FALSE)&amp;VLOOKUP(D275,契約台帳!$A$3:$K$4986,7,FALSE)&amp;VLOOKUP(D275,契約台帳!$A$3:$K$4986,8,FALSE)&amp;VLOOKUP(D275,契約台帳!$A$3:$K$4986,9,FALSE)&amp;VLOOKUP(D275,契約台帳!$A$3:$K$4986,11,FALSE))</f>
        <v/>
      </c>
      <c r="G275" s="269" t="str">
        <f>IF(D275="","",VLOOKUP(F275,製品マスタ!$G$5:$H$5002,2,FALSE))</f>
        <v/>
      </c>
      <c r="H275" s="269" t="str">
        <f>IF(D275="","",VLOOKUP(F275,製品マスタ!$G$5:$K$5002,5,FALSE))</f>
        <v/>
      </c>
      <c r="I275" s="270" t="str">
        <f>IF(D275="","",VLOOKUP(F275,製品マスタ!$G$5:$L$5002,6,FALSE))</f>
        <v/>
      </c>
      <c r="J275" s="32"/>
      <c r="K275" s="270" t="str">
        <f>IF(D275="","",VLOOKUP(D275,契約台帳!$A$3:$L$4986,12,FALSE))</f>
        <v/>
      </c>
      <c r="L275" s="270" t="str">
        <f>IF(D275="","",INDEX(製品マスタ!$Q$5:$Q$5002,MATCH(F275&amp;K275,製品マスタ!$AO$5:$AO$5002,0)))</f>
        <v/>
      </c>
      <c r="M275" s="39"/>
      <c r="N275" s="39"/>
      <c r="O275" s="47"/>
      <c r="P275" s="57"/>
      <c r="Q275" s="276" t="str">
        <f>IF(D275="","",IF(J275="リード付け",M275,VLOOKUP(D275,契約台帳!$A$3:$N$4986,14,FALSE)))</f>
        <v/>
      </c>
      <c r="R275" s="277" t="str">
        <f>IF(D275="","",IF(J275="リード付け",M275,VLOOKUP(D275,契約台帳!$A$3:$O$4986,15,FALSE)))</f>
        <v/>
      </c>
      <c r="S275" s="277" t="str">
        <f>IF(D275="","",IF(J275="リード付け",N275,VLOOKUP(D275,契約台帳!$A$3:$P$4986,16,FALSE)))</f>
        <v/>
      </c>
      <c r="T275" s="40"/>
      <c r="U275" s="278" t="str">
        <f ca="1">IF(D275="","",IF(OFFSET(D275,-2,0)=D275,"",VLOOKUP(D275,契約台帳!$A$3:$R$4986,18,FALSE)))</f>
        <v/>
      </c>
      <c r="V275" s="269" t="str">
        <f>IF(J275="巻返し",VLOOKUP(F275&amp;K275&amp;M275,製品マスタ!$M$5:$AD$5002,18,FALSE),IF(J275="リード付け","原反コア",IF(J275="スリット",VLOOKUP(F275&amp;K275&amp;Q275,製品マスタ!$N$5:$AD$5002,17,FALSE),"")))</f>
        <v/>
      </c>
      <c r="W275" s="269" t="str">
        <f>IF(J275="巻返し",VLOOKUP(F275&amp;K275&amp;M275,製品マスタ!$M$5:$AE$5002,19,FALSE),IF(J275="リード付け","-",IF(J275="スリット",VLOOKUP(F275&amp;K275&amp;Q275,製品マスタ!$N$5:$AE$5002,18,FALSE),"")))</f>
        <v/>
      </c>
      <c r="X275" s="275" t="str">
        <f>IF(D275="","",VLOOKUP(D275,契約台帳!$A$3:$Q$4986,17,FALSE))</f>
        <v/>
      </c>
      <c r="Y275" s="269" t="str">
        <f>IF(D275="","",VLOOKUP(D275,契約台帳!$A$3:$E$4986,5,FALSE))</f>
        <v/>
      </c>
      <c r="Z275" s="57"/>
      <c r="AA275" s="207" t="str">
        <f>IFERROR(VLOOKUP(F275&amp;K275&amp;M275,製品マスタ!$M$5:$AM$5002,27,FALSE),"")</f>
        <v/>
      </c>
      <c r="AB275" s="33"/>
      <c r="AC275" s="189"/>
      <c r="AD275" s="54"/>
      <c r="AE275" s="55"/>
      <c r="AF275" s="43"/>
      <c r="AG275" s="47"/>
      <c r="AH275" s="30"/>
      <c r="AI275" s="30"/>
      <c r="AJ275" s="30"/>
      <c r="AK275" s="30"/>
      <c r="AL275" s="13"/>
      <c r="AM275" s="13"/>
      <c r="AN275" s="13"/>
      <c r="AO275" s="13"/>
      <c r="AP275" s="13"/>
      <c r="AQ275" s="14"/>
      <c r="AR275" s="15"/>
    </row>
    <row r="276" spans="1:44" s="17" customFormat="1" ht="30.95" hidden="1" customHeight="1" x14ac:dyDescent="0.2">
      <c r="A276" s="37" t="s">
        <v>976</v>
      </c>
      <c r="B276" s="38" t="s">
        <v>963</v>
      </c>
      <c r="C276" s="45"/>
      <c r="D276" s="31"/>
      <c r="E276" s="31"/>
      <c r="F276" s="268" t="str">
        <f>IF(D276="","",VLOOKUP(D276,契約台帳!$A$3:$K$4986,6,FALSE)&amp;VLOOKUP(D276,契約台帳!$A$3:$K$4986,7,FALSE)&amp;VLOOKUP(D276,契約台帳!$A$3:$K$4986,8,FALSE)&amp;VLOOKUP(D276,契約台帳!$A$3:$K$4986,9,FALSE)&amp;VLOOKUP(D276,契約台帳!$A$3:$K$4986,11,FALSE))</f>
        <v/>
      </c>
      <c r="G276" s="269" t="str">
        <f>IF(D276="","",VLOOKUP(F276,製品マスタ!$G$5:$H$5002,2,FALSE))</f>
        <v/>
      </c>
      <c r="H276" s="269" t="str">
        <f>IF(D276="","",VLOOKUP(F276,製品マスタ!$G$5:$K$5002,5,FALSE))</f>
        <v/>
      </c>
      <c r="I276" s="270" t="str">
        <f>IF(D276="","",VLOOKUP(F276,製品マスタ!$G$5:$L$5002,6,FALSE))</f>
        <v/>
      </c>
      <c r="J276" s="32" t="s">
        <v>1002</v>
      </c>
      <c r="K276" s="270" t="str">
        <f>IF(D276="","",VLOOKUP(D276,契約台帳!$A$3:$L$4986,12,FALSE))</f>
        <v/>
      </c>
      <c r="L276" s="270" t="str">
        <f>IF(D276="","",INDEX(製品マスタ!$Q$5:$Q$5002,MATCH(F276&amp;K276,製品マスタ!$AO$5:$AO$5002,0)))</f>
        <v/>
      </c>
      <c r="M276" s="39"/>
      <c r="N276" s="39"/>
      <c r="O276" s="47"/>
      <c r="P276" s="57"/>
      <c r="Q276" s="276" t="str">
        <f>IF(D276="","",IF(J276="リード付け",M276,VLOOKUP(D276,契約台帳!$A$3:$N$4986,14,FALSE)))</f>
        <v/>
      </c>
      <c r="R276" s="277" t="str">
        <f>IF(D276="","",IF(J276="リード付け",M276,VLOOKUP(D276,契約台帳!$A$3:$O$4986,15,FALSE)))</f>
        <v/>
      </c>
      <c r="S276" s="277" t="str">
        <f>IF(D276="","",IF(J276="リード付け",N276,VLOOKUP(D276,契約台帳!$A$3:$P$4986,16,FALSE)))</f>
        <v/>
      </c>
      <c r="T276" s="40"/>
      <c r="U276" s="278" t="str">
        <f ca="1">IF(D276="","",IF(OFFSET(D276,-2,0)=D276,"",VLOOKUP(D276,契約台帳!$A$3:$R$4986,18,FALSE)))</f>
        <v/>
      </c>
      <c r="V276" s="269" t="str">
        <f>IF(J276="巻返し",VLOOKUP(F276&amp;K276&amp;M276,製品マスタ!$M$5:$AD$5002,18,FALSE),IF(J276="リード付け","原反コア",IF(J276="スリット",VLOOKUP(F276&amp;K276&amp;Q276,製品マスタ!$N$5:$AD$5002,17,FALSE),"")))</f>
        <v/>
      </c>
      <c r="W276" s="269" t="str">
        <f>IF(J276="巻返し",VLOOKUP(F276&amp;K276&amp;M276,製品マスタ!$M$5:$AE$5002,19,FALSE),IF(J276="リード付け","-",IF(J276="スリット",VLOOKUP(F276&amp;K276&amp;Q276,製品マスタ!$N$5:$AE$5002,18,FALSE),"")))</f>
        <v/>
      </c>
      <c r="X276" s="275" t="str">
        <f>IF(D276="","",VLOOKUP(D276,契約台帳!$A$3:$Q$4986,17,FALSE))</f>
        <v/>
      </c>
      <c r="Y276" s="269" t="str">
        <f>IF(D276="","",VLOOKUP(D276,契約台帳!$A$3:$E$4986,5,FALSE))</f>
        <v/>
      </c>
      <c r="Z276" s="57"/>
      <c r="AA276" s="207" t="str">
        <f>IFERROR(VLOOKUP(F276&amp;K276&amp;M276,製品マスタ!$M$5:$AM$5002,27,FALSE),"")</f>
        <v/>
      </c>
      <c r="AB276" s="33"/>
      <c r="AC276" s="189"/>
      <c r="AD276" s="54"/>
      <c r="AE276" s="55"/>
      <c r="AF276" s="43"/>
      <c r="AG276" s="47"/>
      <c r="AH276" s="30"/>
      <c r="AI276" s="30"/>
      <c r="AJ276" s="30"/>
      <c r="AK276" s="30"/>
      <c r="AL276" s="13"/>
      <c r="AM276" s="13"/>
      <c r="AN276" s="13"/>
      <c r="AO276" s="13"/>
      <c r="AP276" s="13"/>
      <c r="AQ276" s="14"/>
      <c r="AR276" s="15"/>
    </row>
    <row r="277" spans="1:44" s="17" customFormat="1" ht="30.95" hidden="1" customHeight="1" x14ac:dyDescent="0.2">
      <c r="A277" s="37"/>
      <c r="B277" s="38"/>
      <c r="C277" s="45"/>
      <c r="D277" s="31"/>
      <c r="E277" s="31"/>
      <c r="F277" s="268" t="str">
        <f>IF(D277="","",VLOOKUP(D277,契約台帳!$A$3:$K$4986,6,FALSE)&amp;VLOOKUP(D277,契約台帳!$A$3:$K$4986,7,FALSE)&amp;VLOOKUP(D277,契約台帳!$A$3:$K$4986,8,FALSE)&amp;VLOOKUP(D277,契約台帳!$A$3:$K$4986,9,FALSE)&amp;VLOOKUP(D277,契約台帳!$A$3:$K$4986,11,FALSE))</f>
        <v/>
      </c>
      <c r="G277" s="269" t="str">
        <f>IF(D277="","",VLOOKUP(F277,製品マスタ!$G$5:$H$5002,2,FALSE))</f>
        <v/>
      </c>
      <c r="H277" s="269" t="str">
        <f>IF(D277="","",VLOOKUP(F277,製品マスタ!$G$5:$K$5002,5,FALSE))</f>
        <v/>
      </c>
      <c r="I277" s="270" t="str">
        <f>IF(D277="","",VLOOKUP(F277,製品マスタ!$G$5:$L$5002,6,FALSE))</f>
        <v/>
      </c>
      <c r="J277" s="32"/>
      <c r="K277" s="270" t="str">
        <f>IF(D277="","",VLOOKUP(D277,契約台帳!$A$3:$L$4986,12,FALSE))</f>
        <v/>
      </c>
      <c r="L277" s="270" t="str">
        <f>IF(D277="","",INDEX(製品マスタ!$Q$5:$Q$5002,MATCH(F277&amp;K277,製品マスタ!$AO$5:$AO$5002,0)))</f>
        <v/>
      </c>
      <c r="M277" s="39"/>
      <c r="N277" s="39"/>
      <c r="O277" s="47"/>
      <c r="P277" s="57"/>
      <c r="Q277" s="276" t="str">
        <f>IF(D277="","",IF(J277="リード付け",M277,VLOOKUP(D277,契約台帳!$A$3:$N$4986,14,FALSE)))</f>
        <v/>
      </c>
      <c r="R277" s="277" t="str">
        <f>IF(D277="","",IF(J277="リード付け",M277,VLOOKUP(D277,契約台帳!$A$3:$O$4986,15,FALSE)))</f>
        <v/>
      </c>
      <c r="S277" s="277" t="str">
        <f>IF(D277="","",IF(J277="リード付け",N277,VLOOKUP(D277,契約台帳!$A$3:$P$4986,16,FALSE)))</f>
        <v/>
      </c>
      <c r="T277" s="40"/>
      <c r="U277" s="278" t="str">
        <f ca="1">IF(D277="","",IF(OFFSET(D277,-2,0)=D277,"",VLOOKUP(D277,契約台帳!$A$3:$R$4986,18,FALSE)))</f>
        <v/>
      </c>
      <c r="V277" s="269" t="str">
        <f>IF(J277="巻返し",VLOOKUP(F277&amp;K277&amp;M277,製品マスタ!$M$5:$AD$5002,18,FALSE),IF(J277="リード付け","原反コア",IF(J277="スリット",VLOOKUP(F277&amp;K277&amp;Q277,製品マスタ!$N$5:$AD$5002,17,FALSE),"")))</f>
        <v/>
      </c>
      <c r="W277" s="269" t="str">
        <f>IF(J277="巻返し",VLOOKUP(F277&amp;K277&amp;M277,製品マスタ!$M$5:$AE$5002,19,FALSE),IF(J277="リード付け","-",IF(J277="スリット",VLOOKUP(F277&amp;K277&amp;Q277,製品マスタ!$N$5:$AE$5002,18,FALSE),"")))</f>
        <v/>
      </c>
      <c r="X277" s="275" t="str">
        <f>IF(D277="","",VLOOKUP(D277,契約台帳!$A$3:$Q$4986,17,FALSE))</f>
        <v/>
      </c>
      <c r="Y277" s="269" t="str">
        <f>IF(D277="","",VLOOKUP(D277,契約台帳!$A$3:$E$4986,5,FALSE))</f>
        <v/>
      </c>
      <c r="Z277" s="57"/>
      <c r="AA277" s="207" t="str">
        <f>IFERROR(VLOOKUP(F277&amp;K277&amp;M277,製品マスタ!$M$5:$AM$5002,27,FALSE),"")</f>
        <v/>
      </c>
      <c r="AB277" s="33"/>
      <c r="AC277" s="189"/>
      <c r="AD277" s="54"/>
      <c r="AE277" s="55"/>
      <c r="AF277" s="43"/>
      <c r="AG277" s="47"/>
      <c r="AH277" s="30"/>
      <c r="AI277" s="30"/>
      <c r="AJ277" s="30"/>
      <c r="AK277" s="30"/>
      <c r="AL277" s="13"/>
      <c r="AM277" s="13"/>
      <c r="AN277" s="13"/>
      <c r="AO277" s="13"/>
      <c r="AP277" s="13"/>
      <c r="AQ277" s="14"/>
      <c r="AR277" s="15"/>
    </row>
    <row r="278" spans="1:44" s="17" customFormat="1" ht="30.95" hidden="1" customHeight="1" x14ac:dyDescent="0.2">
      <c r="A278" s="37" t="s">
        <v>977</v>
      </c>
      <c r="B278" s="38" t="s">
        <v>956</v>
      </c>
      <c r="C278" s="45"/>
      <c r="D278" s="31"/>
      <c r="E278" s="31"/>
      <c r="F278" s="268" t="str">
        <f>IF(D278="","",VLOOKUP(D278,契約台帳!$A$3:$K$4986,6,FALSE)&amp;VLOOKUP(D278,契約台帳!$A$3:$K$4986,7,FALSE)&amp;VLOOKUP(D278,契約台帳!$A$3:$K$4986,8,FALSE)&amp;VLOOKUP(D278,契約台帳!$A$3:$K$4986,9,FALSE)&amp;VLOOKUP(D278,契約台帳!$A$3:$K$4986,11,FALSE))</f>
        <v/>
      </c>
      <c r="G278" s="269" t="str">
        <f>IF(D278="","",VLOOKUP(F278,製品マスタ!$G$5:$H$5002,2,FALSE))</f>
        <v/>
      </c>
      <c r="H278" s="269" t="str">
        <f>IF(D278="","",VLOOKUP(F278,製品マスタ!$G$5:$K$5002,5,FALSE))</f>
        <v/>
      </c>
      <c r="I278" s="270" t="str">
        <f>IF(D278="","",VLOOKUP(F278,製品マスタ!$G$5:$L$5002,6,FALSE))</f>
        <v/>
      </c>
      <c r="J278" s="32" t="s">
        <v>1002</v>
      </c>
      <c r="K278" s="270" t="str">
        <f>IF(D278="","",VLOOKUP(D278,契約台帳!$A$3:$L$4986,12,FALSE))</f>
        <v/>
      </c>
      <c r="L278" s="270" t="str">
        <f>IF(D278="","",INDEX(製品マスタ!$Q$5:$Q$5002,MATCH(F278&amp;K278,製品マスタ!$AO$5:$AO$5002,0)))</f>
        <v/>
      </c>
      <c r="M278" s="39"/>
      <c r="N278" s="39"/>
      <c r="O278" s="47"/>
      <c r="P278" s="57"/>
      <c r="Q278" s="276" t="str">
        <f>IF(D278="","",IF(J278="リード付け",M278,VLOOKUP(D278,契約台帳!$A$3:$N$4986,14,FALSE)))</f>
        <v/>
      </c>
      <c r="R278" s="277" t="str">
        <f>IF(D278="","",IF(J278="リード付け",M278,VLOOKUP(D278,契約台帳!$A$3:$O$4986,15,FALSE)))</f>
        <v/>
      </c>
      <c r="S278" s="277" t="str">
        <f>IF(D278="","",IF(J278="リード付け",N278,VLOOKUP(D278,契約台帳!$A$3:$P$4986,16,FALSE)))</f>
        <v/>
      </c>
      <c r="T278" s="40"/>
      <c r="U278" s="278" t="str">
        <f ca="1">IF(D278="","",IF(OFFSET(D278,-2,0)=D278,"",VLOOKUP(D278,契約台帳!$A$3:$R$4986,18,FALSE)))</f>
        <v/>
      </c>
      <c r="V278" s="269" t="str">
        <f>IF(J278="巻返し",VLOOKUP(F278&amp;K278&amp;M278,製品マスタ!$M$5:$AD$5002,18,FALSE),IF(J278="リード付け","原反コア",IF(J278="スリット",VLOOKUP(F278&amp;K278&amp;Q278,製品マスタ!$N$5:$AD$5002,17,FALSE),"")))</f>
        <v/>
      </c>
      <c r="W278" s="269" t="str">
        <f>IF(J278="巻返し",VLOOKUP(F278&amp;K278&amp;M278,製品マスタ!$M$5:$AE$5002,19,FALSE),IF(J278="リード付け","-",IF(J278="スリット",VLOOKUP(F278&amp;K278&amp;Q278,製品マスタ!$N$5:$AE$5002,18,FALSE),"")))</f>
        <v/>
      </c>
      <c r="X278" s="275" t="str">
        <f>IF(D278="","",VLOOKUP(D278,契約台帳!$A$3:$Q$4986,17,FALSE))</f>
        <v/>
      </c>
      <c r="Y278" s="269" t="str">
        <f>IF(D278="","",VLOOKUP(D278,契約台帳!$A$3:$E$4986,5,FALSE))</f>
        <v/>
      </c>
      <c r="Z278" s="57"/>
      <c r="AA278" s="207" t="str">
        <f>IFERROR(VLOOKUP(F278&amp;K278&amp;M278,製品マスタ!$M$5:$AM$5002,27,FALSE),"")</f>
        <v/>
      </c>
      <c r="AB278" s="33"/>
      <c r="AC278" s="189"/>
      <c r="AD278" s="54"/>
      <c r="AE278" s="55"/>
      <c r="AF278" s="43"/>
      <c r="AG278" s="47"/>
      <c r="AH278" s="30"/>
      <c r="AI278" s="30"/>
      <c r="AJ278" s="30"/>
      <c r="AK278" s="30"/>
      <c r="AL278" s="13"/>
      <c r="AM278" s="13"/>
      <c r="AN278" s="13"/>
      <c r="AO278" s="13"/>
      <c r="AP278" s="13"/>
      <c r="AQ278" s="14"/>
      <c r="AR278" s="15"/>
    </row>
    <row r="279" spans="1:44" s="17" customFormat="1" ht="30.95" hidden="1" customHeight="1" x14ac:dyDescent="0.2">
      <c r="A279" s="37"/>
      <c r="B279" s="38"/>
      <c r="C279" s="45"/>
      <c r="D279" s="31"/>
      <c r="E279" s="31"/>
      <c r="F279" s="268" t="str">
        <f>IF(D279="","",VLOOKUP(D279,契約台帳!$A$3:$K$4986,6,FALSE)&amp;VLOOKUP(D279,契約台帳!$A$3:$K$4986,7,FALSE)&amp;VLOOKUP(D279,契約台帳!$A$3:$K$4986,8,FALSE)&amp;VLOOKUP(D279,契約台帳!$A$3:$K$4986,9,FALSE)&amp;VLOOKUP(D279,契約台帳!$A$3:$K$4986,11,FALSE))</f>
        <v/>
      </c>
      <c r="G279" s="269" t="str">
        <f>IF(D279="","",VLOOKUP(F279,製品マスタ!$G$5:$H$5002,2,FALSE))</f>
        <v/>
      </c>
      <c r="H279" s="269" t="str">
        <f>IF(D279="","",VLOOKUP(F279,製品マスタ!$G$5:$K$5002,5,FALSE))</f>
        <v/>
      </c>
      <c r="I279" s="270" t="str">
        <f>IF(D279="","",VLOOKUP(F279,製品マスタ!$G$5:$L$5002,6,FALSE))</f>
        <v/>
      </c>
      <c r="J279" s="32"/>
      <c r="K279" s="270" t="str">
        <f>IF(D279="","",VLOOKUP(D279,契約台帳!$A$3:$L$4986,12,FALSE))</f>
        <v/>
      </c>
      <c r="L279" s="270" t="str">
        <f>IF(D279="","",INDEX(製品マスタ!$Q$5:$Q$5002,MATCH(F279&amp;K279,製品マスタ!$AO$5:$AO$5002,0)))</f>
        <v/>
      </c>
      <c r="M279" s="39"/>
      <c r="N279" s="39"/>
      <c r="O279" s="47"/>
      <c r="P279" s="57"/>
      <c r="Q279" s="276" t="str">
        <f>IF(D279="","",IF(J279="リード付け",M279,VLOOKUP(D279,契約台帳!$A$3:$N$4986,14,FALSE)))</f>
        <v/>
      </c>
      <c r="R279" s="277" t="str">
        <f>IF(D279="","",IF(J279="リード付け",M279,VLOOKUP(D279,契約台帳!$A$3:$O$4986,15,FALSE)))</f>
        <v/>
      </c>
      <c r="S279" s="277" t="str">
        <f>IF(D279="","",IF(J279="リード付け",N279,VLOOKUP(D279,契約台帳!$A$3:$P$4986,16,FALSE)))</f>
        <v/>
      </c>
      <c r="T279" s="40"/>
      <c r="U279" s="278" t="str">
        <f ca="1">IF(D279="","",IF(OFFSET(D279,-2,0)=D279,"",VLOOKUP(D279,契約台帳!$A$3:$R$4986,18,FALSE)))</f>
        <v/>
      </c>
      <c r="V279" s="269" t="str">
        <f>IF(J279="巻返し",VLOOKUP(F279&amp;K279&amp;M279,製品マスタ!$M$5:$AD$5002,18,FALSE),IF(J279="リード付け","原反コア",IF(J279="スリット",VLOOKUP(F279&amp;K279&amp;Q279,製品マスタ!$N$5:$AD$5002,17,FALSE),"")))</f>
        <v/>
      </c>
      <c r="W279" s="269" t="str">
        <f>IF(J279="巻返し",VLOOKUP(F279&amp;K279&amp;M279,製品マスタ!$M$5:$AE$5002,19,FALSE),IF(J279="リード付け","-",IF(J279="スリット",VLOOKUP(F279&amp;K279&amp;Q279,製品マスタ!$N$5:$AE$5002,18,FALSE),"")))</f>
        <v/>
      </c>
      <c r="X279" s="275" t="str">
        <f>IF(D279="","",VLOOKUP(D279,契約台帳!$A$3:$Q$4986,17,FALSE))</f>
        <v/>
      </c>
      <c r="Y279" s="269" t="str">
        <f>IF(D279="","",VLOOKUP(D279,契約台帳!$A$3:$E$4986,5,FALSE))</f>
        <v/>
      </c>
      <c r="Z279" s="57"/>
      <c r="AA279" s="207" t="str">
        <f>IFERROR(VLOOKUP(F279&amp;K279&amp;M279,製品マスタ!$M$5:$AM$5002,27,FALSE),"")</f>
        <v/>
      </c>
      <c r="AB279" s="33"/>
      <c r="AC279" s="189"/>
      <c r="AD279" s="54"/>
      <c r="AE279" s="55"/>
      <c r="AF279" s="43"/>
      <c r="AG279" s="47"/>
      <c r="AH279" s="30"/>
      <c r="AI279" s="30"/>
      <c r="AJ279" s="30"/>
      <c r="AK279" s="30"/>
      <c r="AL279" s="13"/>
      <c r="AM279" s="13"/>
      <c r="AN279" s="13"/>
      <c r="AO279" s="13"/>
      <c r="AP279" s="13"/>
      <c r="AQ279" s="14"/>
      <c r="AR279" s="15"/>
    </row>
    <row r="280" spans="1:44" s="233" customFormat="1" ht="30.95" hidden="1" customHeight="1" x14ac:dyDescent="0.2">
      <c r="A280" s="217"/>
      <c r="B280" s="218"/>
      <c r="C280" s="280"/>
      <c r="D280" s="219"/>
      <c r="E280" s="219"/>
      <c r="F280" s="281"/>
      <c r="G280" s="282"/>
      <c r="H280" s="282"/>
      <c r="I280" s="283"/>
      <c r="J280" s="220"/>
      <c r="K280" s="283"/>
      <c r="L280" s="283"/>
      <c r="M280" s="221"/>
      <c r="N280" s="221"/>
      <c r="O280" s="222"/>
      <c r="P280" s="213"/>
      <c r="Q280" s="284"/>
      <c r="R280" s="285"/>
      <c r="S280" s="285"/>
      <c r="T280" s="224"/>
      <c r="U280" s="286"/>
      <c r="V280" s="282"/>
      <c r="W280" s="282"/>
      <c r="X280" s="287"/>
      <c r="Y280" s="282"/>
      <c r="Z280" s="213"/>
      <c r="AA280" s="288"/>
      <c r="AB280" s="225"/>
      <c r="AC280" s="226"/>
      <c r="AD280" s="227"/>
      <c r="AE280" s="228"/>
      <c r="AF280" s="223"/>
      <c r="AG280" s="234">
        <f>SUM(AG192:AG278)</f>
        <v>818848.40749999997</v>
      </c>
      <c r="AH280" s="229"/>
      <c r="AI280" s="229"/>
      <c r="AJ280" s="229"/>
      <c r="AK280" s="229"/>
      <c r="AL280" s="230"/>
      <c r="AM280" s="230"/>
      <c r="AN280" s="230"/>
      <c r="AO280" s="230"/>
      <c r="AP280" s="230"/>
      <c r="AQ280" s="231"/>
      <c r="AR280" s="232"/>
    </row>
    <row r="281" spans="1:44" s="17" customFormat="1" ht="30.95" hidden="1" customHeight="1" x14ac:dyDescent="0.2">
      <c r="A281" s="37"/>
      <c r="B281" s="38"/>
      <c r="C281" s="45"/>
      <c r="D281" s="31"/>
      <c r="E281" s="31"/>
      <c r="F281" s="268"/>
      <c r="G281" s="269"/>
      <c r="H281" s="269"/>
      <c r="I281" s="270"/>
      <c r="J281" s="32"/>
      <c r="K281" s="270"/>
      <c r="L281" s="270"/>
      <c r="M281" s="39"/>
      <c r="N281" s="39"/>
      <c r="O281" s="47"/>
      <c r="P281" s="57"/>
      <c r="Q281" s="276"/>
      <c r="R281" s="277"/>
      <c r="S281" s="277"/>
      <c r="T281" s="40"/>
      <c r="U281" s="278"/>
      <c r="V281" s="269"/>
      <c r="W281" s="269"/>
      <c r="X281" s="275"/>
      <c r="Y281" s="269"/>
      <c r="Z281" s="57"/>
      <c r="AA281" s="207"/>
      <c r="AB281" s="33"/>
      <c r="AC281" s="189"/>
      <c r="AD281" s="54"/>
      <c r="AE281" s="55"/>
      <c r="AF281" s="43"/>
      <c r="AG281" s="47"/>
      <c r="AH281" s="30"/>
      <c r="AI281" s="30"/>
      <c r="AJ281" s="30"/>
      <c r="AK281" s="30"/>
      <c r="AL281" s="13"/>
      <c r="AM281" s="13"/>
      <c r="AN281" s="13"/>
      <c r="AO281" s="13"/>
      <c r="AP281" s="13"/>
      <c r="AQ281" s="14"/>
      <c r="AR281" s="15"/>
    </row>
    <row r="282" spans="1:44" s="17" customFormat="1" ht="30.95" hidden="1" customHeight="1" x14ac:dyDescent="0.2">
      <c r="A282" s="37" t="s">
        <v>978</v>
      </c>
      <c r="B282" s="38" t="s">
        <v>957</v>
      </c>
      <c r="C282" s="45"/>
      <c r="D282" s="31"/>
      <c r="E282" s="31"/>
      <c r="F282" s="268" t="str">
        <f>IF(D282="","",VLOOKUP(D282,契約台帳!$A$3:$K$4986,6,FALSE)&amp;VLOOKUP(D282,契約台帳!$A$3:$K$4986,7,FALSE)&amp;VLOOKUP(D282,契約台帳!$A$3:$K$4986,8,FALSE)&amp;VLOOKUP(D282,契約台帳!$A$3:$K$4986,9,FALSE)&amp;VLOOKUP(D282,契約台帳!$A$3:$K$4986,11,FALSE))</f>
        <v/>
      </c>
      <c r="G282" s="269" t="str">
        <f>IF(D282="","",VLOOKUP(F282,製品マスタ!$G$5:$H$5002,2,FALSE))</f>
        <v/>
      </c>
      <c r="H282" s="269" t="str">
        <f>IF(D282="","",VLOOKUP(F282,製品マスタ!$G$5:$K$5002,5,FALSE))</f>
        <v/>
      </c>
      <c r="I282" s="270" t="str">
        <f>IF(D282="","",VLOOKUP(F282,製品マスタ!$G$5:$L$5002,6,FALSE))</f>
        <v/>
      </c>
      <c r="J282" s="32" t="s">
        <v>1003</v>
      </c>
      <c r="K282" s="270" t="str">
        <f>IF(D282="","",VLOOKUP(D282,契約台帳!$A$3:$L$4986,12,FALSE))</f>
        <v/>
      </c>
      <c r="L282" s="270" t="str">
        <f>IF(D282="","",INDEX(製品マスタ!$Q$5:$Q$5002,MATCH(F282&amp;K282,製品マスタ!$AO$5:$AO$5002,0)))</f>
        <v/>
      </c>
      <c r="M282" s="39"/>
      <c r="N282" s="39"/>
      <c r="O282" s="47"/>
      <c r="P282" s="57"/>
      <c r="Q282" s="276" t="str">
        <f>IF(D282="","",IF(J282="リード付け",M282,VLOOKUP(D282,契約台帳!$A$3:$N$4986,14,FALSE)))</f>
        <v/>
      </c>
      <c r="R282" s="277" t="str">
        <f>IF(D282="","",IF(J282="リード付け",M282,VLOOKUP(D282,契約台帳!$A$3:$O$4986,15,FALSE)))</f>
        <v/>
      </c>
      <c r="S282" s="277" t="str">
        <f>IF(D282="","",IF(J282="リード付け",N282,VLOOKUP(D282,契約台帳!$A$3:$P$4986,16,FALSE)))</f>
        <v/>
      </c>
      <c r="T282" s="40"/>
      <c r="U282" s="278" t="str">
        <f ca="1">IF(D282="","",IF(OFFSET(D282,-2,0)=D282,"",VLOOKUP(D282,契約台帳!$A$3:$R$4986,18,FALSE)))</f>
        <v/>
      </c>
      <c r="V282" s="269" t="str">
        <f>IF(J282="巻返し",VLOOKUP(F282&amp;K282&amp;M282,製品マスタ!$M$5:$AD$5002,18,FALSE),IF(J282="リード付け","原反コア",IF(J282="スリット",VLOOKUP(F282&amp;K282&amp;Q282,製品マスタ!$N$5:$AD$5002,17,FALSE),"")))</f>
        <v/>
      </c>
      <c r="W282" s="269" t="str">
        <f>IF(J282="巻返し",VLOOKUP(F282&amp;K282&amp;M282,製品マスタ!$M$5:$AE$5002,19,FALSE),IF(J282="リード付け","-",IF(J282="スリット",VLOOKUP(F282&amp;K282&amp;Q282,製品マスタ!$N$5:$AE$5002,18,FALSE),"")))</f>
        <v/>
      </c>
      <c r="X282" s="275" t="str">
        <f>IF(D282="","",VLOOKUP(D282,契約台帳!$A$3:$Q$4986,17,FALSE))</f>
        <v/>
      </c>
      <c r="Y282" s="269" t="str">
        <f>IF(D282="","",VLOOKUP(D282,契約台帳!$A$3:$E$4986,5,FALSE))</f>
        <v/>
      </c>
      <c r="Z282" s="57"/>
      <c r="AA282" s="207" t="str">
        <f>IFERROR(VLOOKUP(F282&amp;K282&amp;M282,製品マスタ!$M$5:$AM$5002,27,FALSE),"")</f>
        <v/>
      </c>
      <c r="AB282" s="33"/>
      <c r="AC282" s="189"/>
      <c r="AD282" s="54"/>
      <c r="AE282" s="55"/>
      <c r="AF282" s="43"/>
      <c r="AG282" s="47"/>
      <c r="AH282" s="30"/>
      <c r="AI282" s="30"/>
      <c r="AJ282" s="30"/>
      <c r="AK282" s="30"/>
      <c r="AL282" s="13"/>
      <c r="AM282" s="13"/>
      <c r="AN282" s="13"/>
      <c r="AO282" s="13"/>
      <c r="AP282" s="13"/>
      <c r="AQ282" s="14"/>
      <c r="AR282" s="15"/>
    </row>
    <row r="283" spans="1:44" s="17" customFormat="1" ht="30.95" hidden="1" customHeight="1" x14ac:dyDescent="0.2">
      <c r="A283" s="37"/>
      <c r="B283" s="38"/>
      <c r="C283" s="45"/>
      <c r="D283" s="31"/>
      <c r="E283" s="31"/>
      <c r="F283" s="268" t="str">
        <f>IF(D283="","",VLOOKUP(D283,契約台帳!$A$3:$K$4986,6,FALSE)&amp;VLOOKUP(D283,契約台帳!$A$3:$K$4986,7,FALSE)&amp;VLOOKUP(D283,契約台帳!$A$3:$K$4986,8,FALSE)&amp;VLOOKUP(D283,契約台帳!$A$3:$K$4986,9,FALSE)&amp;VLOOKUP(D283,契約台帳!$A$3:$K$4986,11,FALSE))</f>
        <v/>
      </c>
      <c r="G283" s="269" t="str">
        <f>IF(D283="","",VLOOKUP(F283,製品マスタ!$G$5:$H$5002,2,FALSE))</f>
        <v/>
      </c>
      <c r="H283" s="269" t="str">
        <f>IF(D283="","",VLOOKUP(F283,製品マスタ!$G$5:$K$5002,5,FALSE))</f>
        <v/>
      </c>
      <c r="I283" s="270" t="str">
        <f>IF(D283="","",VLOOKUP(F283,製品マスタ!$G$5:$L$5002,6,FALSE))</f>
        <v/>
      </c>
      <c r="J283" s="32"/>
      <c r="K283" s="270" t="str">
        <f>IF(D283="","",VLOOKUP(D283,契約台帳!$A$3:$L$4986,12,FALSE))</f>
        <v/>
      </c>
      <c r="L283" s="270" t="str">
        <f>IF(D283="","",INDEX(製品マスタ!$Q$5:$Q$5002,MATCH(F283&amp;K283,製品マスタ!$AO$5:$AO$5002,0)))</f>
        <v/>
      </c>
      <c r="M283" s="39"/>
      <c r="N283" s="39"/>
      <c r="O283" s="47"/>
      <c r="P283" s="57"/>
      <c r="Q283" s="276" t="str">
        <f>IF(D283="","",IF(J283="リード付け",M283,VLOOKUP(D283,契約台帳!$A$3:$N$4986,14,FALSE)))</f>
        <v/>
      </c>
      <c r="R283" s="277" t="str">
        <f>IF(D283="","",IF(J283="リード付け",M283,VLOOKUP(D283,契約台帳!$A$3:$O$4986,15,FALSE)))</f>
        <v/>
      </c>
      <c r="S283" s="277" t="str">
        <f>IF(D283="","",IF(J283="リード付け",N283,VLOOKUP(D283,契約台帳!$A$3:$P$4986,16,FALSE)))</f>
        <v/>
      </c>
      <c r="T283" s="40"/>
      <c r="U283" s="278" t="str">
        <f ca="1">IF(D283="","",IF(OFFSET(D283,-2,0)=D283,"",VLOOKUP(D283,契約台帳!$A$3:$R$4986,18,FALSE)))</f>
        <v/>
      </c>
      <c r="V283" s="269" t="str">
        <f>IF(J283="巻返し",VLOOKUP(F283&amp;K283&amp;M283,製品マスタ!$M$5:$AD$5002,18,FALSE),IF(J283="リード付け","原反コア",IF(J283="スリット",VLOOKUP(F283&amp;K283&amp;Q283,製品マスタ!$N$5:$AD$5002,17,FALSE),"")))</f>
        <v/>
      </c>
      <c r="W283" s="269" t="str">
        <f>IF(J283="巻返し",VLOOKUP(F283&amp;K283&amp;M283,製品マスタ!$M$5:$AE$5002,19,FALSE),IF(J283="リード付け","-",IF(J283="スリット",VLOOKUP(F283&amp;K283&amp;Q283,製品マスタ!$N$5:$AE$5002,18,FALSE),"")))</f>
        <v/>
      </c>
      <c r="X283" s="275" t="str">
        <f>IF(D283="","",VLOOKUP(D283,契約台帳!$A$3:$Q$4986,17,FALSE))</f>
        <v/>
      </c>
      <c r="Y283" s="269" t="str">
        <f>IF(D283="","",VLOOKUP(D283,契約台帳!$A$3:$E$4986,5,FALSE))</f>
        <v/>
      </c>
      <c r="Z283" s="57"/>
      <c r="AA283" s="207" t="str">
        <f>IFERROR(VLOOKUP(F283&amp;K283&amp;M283,製品マスタ!$M$5:$AM$5002,27,FALSE),"")</f>
        <v/>
      </c>
      <c r="AB283" s="33"/>
      <c r="AC283" s="189"/>
      <c r="AD283" s="54"/>
      <c r="AE283" s="55"/>
      <c r="AF283" s="43"/>
      <c r="AG283" s="47"/>
      <c r="AH283" s="30"/>
      <c r="AI283" s="30"/>
      <c r="AJ283" s="30"/>
      <c r="AK283" s="30"/>
      <c r="AL283" s="13"/>
      <c r="AM283" s="13"/>
      <c r="AN283" s="13"/>
      <c r="AO283" s="13"/>
      <c r="AP283" s="13"/>
      <c r="AQ283" s="14"/>
      <c r="AR283" s="15"/>
    </row>
    <row r="284" spans="1:44" s="17" customFormat="1" ht="30.95" hidden="1" customHeight="1" x14ac:dyDescent="0.2">
      <c r="A284" s="37" t="s">
        <v>979</v>
      </c>
      <c r="B284" s="38" t="s">
        <v>958</v>
      </c>
      <c r="C284" s="45"/>
      <c r="D284" s="31"/>
      <c r="E284" s="31"/>
      <c r="F284" s="268" t="str">
        <f>IF(D284="","",VLOOKUP(D284,契約台帳!$A$3:$K$4986,6,FALSE)&amp;VLOOKUP(D284,契約台帳!$A$3:$K$4986,7,FALSE)&amp;VLOOKUP(D284,契約台帳!$A$3:$K$4986,8,FALSE)&amp;VLOOKUP(D284,契約台帳!$A$3:$K$4986,9,FALSE)&amp;VLOOKUP(D284,契約台帳!$A$3:$K$4986,11,FALSE))</f>
        <v/>
      </c>
      <c r="G284" s="269" t="str">
        <f>IF(D284="","",VLOOKUP(F284,製品マスタ!$G$5:$H$5002,2,FALSE))</f>
        <v/>
      </c>
      <c r="H284" s="269" t="str">
        <f>IF(D284="","",VLOOKUP(F284,製品マスタ!$G$5:$K$5002,5,FALSE))</f>
        <v/>
      </c>
      <c r="I284" s="270" t="str">
        <f>IF(D284="","",VLOOKUP(F284,製品マスタ!$G$5:$L$5002,6,FALSE))</f>
        <v/>
      </c>
      <c r="J284" s="32" t="s">
        <v>1003</v>
      </c>
      <c r="K284" s="270" t="str">
        <f>IF(D284="","",VLOOKUP(D284,契約台帳!$A$3:$L$4986,12,FALSE))</f>
        <v/>
      </c>
      <c r="L284" s="270" t="str">
        <f>IF(D284="","",INDEX(製品マスタ!$Q$5:$Q$5002,MATCH(F284&amp;K284,製品マスタ!$AO$5:$AO$5002,0)))</f>
        <v/>
      </c>
      <c r="M284" s="39"/>
      <c r="N284" s="39"/>
      <c r="O284" s="47"/>
      <c r="P284" s="57"/>
      <c r="Q284" s="276" t="str">
        <f>IF(D284="","",IF(J284="リード付け",M284,VLOOKUP(D284,契約台帳!$A$3:$N$4986,14,FALSE)))</f>
        <v/>
      </c>
      <c r="R284" s="277" t="str">
        <f>IF(D284="","",IF(J284="リード付け",M284,VLOOKUP(D284,契約台帳!$A$3:$O$4986,15,FALSE)))</f>
        <v/>
      </c>
      <c r="S284" s="277" t="str">
        <f>IF(D284="","",IF(J284="リード付け",N284,VLOOKUP(D284,契約台帳!$A$3:$P$4986,16,FALSE)))</f>
        <v/>
      </c>
      <c r="T284" s="40"/>
      <c r="U284" s="278" t="str">
        <f ca="1">IF(D284="","",IF(OFFSET(D284,-2,0)=D284,"",VLOOKUP(D284,契約台帳!$A$3:$R$4986,18,FALSE)))</f>
        <v/>
      </c>
      <c r="V284" s="269" t="str">
        <f>IF(J284="巻返し",VLOOKUP(F284&amp;K284&amp;M284,製品マスタ!$M$5:$AD$5002,18,FALSE),IF(J284="リード付け","原反コア",IF(J284="スリット",VLOOKUP(F284&amp;K284&amp;Q284,製品マスタ!$N$5:$AD$5002,17,FALSE),"")))</f>
        <v/>
      </c>
      <c r="W284" s="269" t="str">
        <f>IF(J284="巻返し",VLOOKUP(F284&amp;K284&amp;M284,製品マスタ!$M$5:$AE$5002,19,FALSE),IF(J284="リード付け","-",IF(J284="スリット",VLOOKUP(F284&amp;K284&amp;Q284,製品マスタ!$N$5:$AE$5002,18,FALSE),"")))</f>
        <v/>
      </c>
      <c r="X284" s="275" t="str">
        <f>IF(D284="","",VLOOKUP(D284,契約台帳!$A$3:$Q$4986,17,FALSE))</f>
        <v/>
      </c>
      <c r="Y284" s="269" t="str">
        <f>IF(D284="","",VLOOKUP(D284,契約台帳!$A$3:$E$4986,5,FALSE))</f>
        <v/>
      </c>
      <c r="Z284" s="57"/>
      <c r="AA284" s="207" t="str">
        <f>IFERROR(VLOOKUP(F284&amp;K284&amp;M284,製品マスタ!$M$5:$AM$5002,27,FALSE),"")</f>
        <v/>
      </c>
      <c r="AB284" s="33"/>
      <c r="AC284" s="189"/>
      <c r="AD284" s="54"/>
      <c r="AE284" s="55"/>
      <c r="AF284" s="43"/>
      <c r="AG284" s="47"/>
      <c r="AH284" s="30"/>
      <c r="AI284" s="30"/>
      <c r="AJ284" s="30"/>
      <c r="AK284" s="30"/>
      <c r="AL284" s="13"/>
      <c r="AM284" s="13"/>
      <c r="AN284" s="13"/>
      <c r="AO284" s="13"/>
      <c r="AP284" s="13"/>
      <c r="AQ284" s="14"/>
      <c r="AR284" s="15"/>
    </row>
    <row r="285" spans="1:44" s="17" customFormat="1" ht="30.95" hidden="1" customHeight="1" x14ac:dyDescent="0.2">
      <c r="A285" s="37"/>
      <c r="B285" s="38"/>
      <c r="C285" s="45"/>
      <c r="D285" s="31"/>
      <c r="E285" s="31"/>
      <c r="F285" s="268" t="str">
        <f>IF(D285="","",VLOOKUP(D285,契約台帳!$A$3:$K$4986,6,FALSE)&amp;VLOOKUP(D285,契約台帳!$A$3:$K$4986,7,FALSE)&amp;VLOOKUP(D285,契約台帳!$A$3:$K$4986,8,FALSE)&amp;VLOOKUP(D285,契約台帳!$A$3:$K$4986,9,FALSE)&amp;VLOOKUP(D285,契約台帳!$A$3:$K$4986,11,FALSE))</f>
        <v/>
      </c>
      <c r="G285" s="269" t="str">
        <f>IF(D285="","",VLOOKUP(F285,製品マスタ!$G$5:$H$5002,2,FALSE))</f>
        <v/>
      </c>
      <c r="H285" s="269" t="str">
        <f>IF(D285="","",VLOOKUP(F285,製品マスタ!$G$5:$K$5002,5,FALSE))</f>
        <v/>
      </c>
      <c r="I285" s="270" t="str">
        <f>IF(D285="","",VLOOKUP(F285,製品マスタ!$G$5:$L$5002,6,FALSE))</f>
        <v/>
      </c>
      <c r="J285" s="32"/>
      <c r="K285" s="270" t="str">
        <f>IF(D285="","",VLOOKUP(D285,契約台帳!$A$3:$L$4986,12,FALSE))</f>
        <v/>
      </c>
      <c r="L285" s="270" t="str">
        <f>IF(D285="","",INDEX(製品マスタ!$Q$5:$Q$5002,MATCH(F285&amp;K285,製品マスタ!$AO$5:$AO$5002,0)))</f>
        <v/>
      </c>
      <c r="M285" s="39"/>
      <c r="N285" s="39"/>
      <c r="O285" s="47"/>
      <c r="P285" s="57"/>
      <c r="Q285" s="276" t="str">
        <f>IF(D285="","",IF(J285="リード付け",M285,VLOOKUP(D285,契約台帳!$A$3:$N$4986,14,FALSE)))</f>
        <v/>
      </c>
      <c r="R285" s="277" t="str">
        <f>IF(D285="","",IF(J285="リード付け",M285,VLOOKUP(D285,契約台帳!$A$3:$O$4986,15,FALSE)))</f>
        <v/>
      </c>
      <c r="S285" s="277" t="str">
        <f>IF(D285="","",IF(J285="リード付け",N285,VLOOKUP(D285,契約台帳!$A$3:$P$4986,16,FALSE)))</f>
        <v/>
      </c>
      <c r="T285" s="40"/>
      <c r="U285" s="278" t="str">
        <f ca="1">IF(D285="","",IF(OFFSET(D285,-2,0)=D285,"",VLOOKUP(D285,契約台帳!$A$3:$R$4986,18,FALSE)))</f>
        <v/>
      </c>
      <c r="V285" s="269" t="str">
        <f>IF(J285="巻返し",VLOOKUP(F285&amp;K285&amp;M285,製品マスタ!$M$5:$AD$5002,18,FALSE),IF(J285="リード付け","原反コア",IF(J285="スリット",VLOOKUP(F285&amp;K285&amp;Q285,製品マスタ!$N$5:$AD$5002,17,FALSE),"")))</f>
        <v/>
      </c>
      <c r="W285" s="269" t="str">
        <f>IF(J285="巻返し",VLOOKUP(F285&amp;K285&amp;M285,製品マスタ!$M$5:$AE$5002,19,FALSE),IF(J285="リード付け","-",IF(J285="スリット",VLOOKUP(F285&amp;K285&amp;Q285,製品マスタ!$N$5:$AE$5002,18,FALSE),"")))</f>
        <v/>
      </c>
      <c r="X285" s="275" t="str">
        <f>IF(D285="","",VLOOKUP(D285,契約台帳!$A$3:$Q$4986,17,FALSE))</f>
        <v/>
      </c>
      <c r="Y285" s="269" t="str">
        <f>IF(D285="","",VLOOKUP(D285,契約台帳!$A$3:$E$4986,5,FALSE))</f>
        <v/>
      </c>
      <c r="Z285" s="57"/>
      <c r="AA285" s="207" t="str">
        <f>IFERROR(VLOOKUP(F285&amp;K285&amp;M285,製品マスタ!$M$5:$AM$5002,27,FALSE),"")</f>
        <v/>
      </c>
      <c r="AB285" s="33"/>
      <c r="AC285" s="189"/>
      <c r="AD285" s="54"/>
      <c r="AE285" s="55"/>
      <c r="AF285" s="43"/>
      <c r="AG285" s="47"/>
      <c r="AH285" s="30"/>
      <c r="AI285" s="30"/>
      <c r="AJ285" s="30"/>
      <c r="AK285" s="30"/>
      <c r="AL285" s="13"/>
      <c r="AM285" s="13"/>
      <c r="AN285" s="13"/>
      <c r="AO285" s="13"/>
      <c r="AP285" s="13"/>
      <c r="AQ285" s="14"/>
      <c r="AR285" s="15"/>
    </row>
    <row r="286" spans="1:44" s="17" customFormat="1" ht="30.95" hidden="1" customHeight="1" x14ac:dyDescent="0.2">
      <c r="A286" s="37" t="s">
        <v>980</v>
      </c>
      <c r="B286" s="38" t="s">
        <v>959</v>
      </c>
      <c r="C286" s="45"/>
      <c r="D286" s="31"/>
      <c r="E286" s="31"/>
      <c r="F286" s="268" t="str">
        <f>IF(D286="","",VLOOKUP(D286,契約台帳!$A$3:$K$4986,6,FALSE)&amp;VLOOKUP(D286,契約台帳!$A$3:$K$4986,7,FALSE)&amp;VLOOKUP(D286,契約台帳!$A$3:$K$4986,8,FALSE)&amp;VLOOKUP(D286,契約台帳!$A$3:$K$4986,9,FALSE)&amp;VLOOKUP(D286,契約台帳!$A$3:$K$4986,11,FALSE))</f>
        <v/>
      </c>
      <c r="G286" s="269" t="str">
        <f>IF(D286="","",VLOOKUP(F286,製品マスタ!$G$5:$H$5002,2,FALSE))</f>
        <v/>
      </c>
      <c r="H286" s="269" t="str">
        <f>IF(D286="","",VLOOKUP(F286,製品マスタ!$G$5:$K$5002,5,FALSE))</f>
        <v/>
      </c>
      <c r="I286" s="270" t="str">
        <f>IF(D286="","",VLOOKUP(F286,製品マスタ!$G$5:$L$5002,6,FALSE))</f>
        <v/>
      </c>
      <c r="J286" s="32" t="s">
        <v>448</v>
      </c>
      <c r="K286" s="270" t="str">
        <f>IF(D286="","",VLOOKUP(D286,契約台帳!$A$3:$L$4986,12,FALSE))</f>
        <v/>
      </c>
      <c r="L286" s="270" t="str">
        <f>IF(D286="","",INDEX(製品マスタ!$Q$5:$Q$5002,MATCH(F286&amp;K286,製品マスタ!$AO$5:$AO$5002,0)))</f>
        <v/>
      </c>
      <c r="M286" s="39"/>
      <c r="N286" s="39"/>
      <c r="O286" s="47"/>
      <c r="P286" s="57"/>
      <c r="Q286" s="276" t="str">
        <f>IF(D286="","",IF(J286="リード付け",M286,VLOOKUP(D286,契約台帳!$A$3:$N$4986,14,FALSE)))</f>
        <v/>
      </c>
      <c r="R286" s="277" t="str">
        <f>IF(D286="","",IF(J286="リード付け",M286,VLOOKUP(D286,契約台帳!$A$3:$O$4986,15,FALSE)))</f>
        <v/>
      </c>
      <c r="S286" s="277" t="str">
        <f>IF(D286="","",IF(J286="リード付け",N286,VLOOKUP(D286,契約台帳!$A$3:$P$4986,16,FALSE)))</f>
        <v/>
      </c>
      <c r="T286" s="40"/>
      <c r="U286" s="278" t="str">
        <f ca="1">IF(D286="","",IF(OFFSET(D286,-2,0)=D286,"",VLOOKUP(D286,契約台帳!$A$3:$R$4986,18,FALSE)))</f>
        <v/>
      </c>
      <c r="V286" s="269" t="str">
        <f>IF(J286="巻返し",VLOOKUP(F286&amp;K286&amp;M286,製品マスタ!$M$5:$AD$5002,18,FALSE),IF(J286="リード付け","原反コア",IF(J286="スリット",VLOOKUP(F286&amp;K286&amp;Q286,製品マスタ!$N$5:$AD$5002,17,FALSE),"")))</f>
        <v/>
      </c>
      <c r="W286" s="269" t="str">
        <f>IF(J286="巻返し",VLOOKUP(F286&amp;K286&amp;M286,製品マスタ!$M$5:$AE$5002,19,FALSE),IF(J286="リード付け","-",IF(J286="スリット",VLOOKUP(F286&amp;K286&amp;Q286,製品マスタ!$N$5:$AE$5002,18,FALSE),"")))</f>
        <v/>
      </c>
      <c r="X286" s="275" t="str">
        <f>IF(D286="","",VLOOKUP(D286,契約台帳!$A$3:$Q$4986,17,FALSE))</f>
        <v/>
      </c>
      <c r="Y286" s="269" t="str">
        <f>IF(D286="","",VLOOKUP(D286,契約台帳!$A$3:$E$4986,5,FALSE))</f>
        <v/>
      </c>
      <c r="Z286" s="57"/>
      <c r="AA286" s="207" t="str">
        <f>IFERROR(VLOOKUP(F286&amp;K286&amp;M286,製品マスタ!$M$5:$AM$5002,27,FALSE),"")</f>
        <v/>
      </c>
      <c r="AB286" s="33"/>
      <c r="AC286" s="189"/>
      <c r="AD286" s="54"/>
      <c r="AE286" s="55"/>
      <c r="AF286" s="43"/>
      <c r="AG286" s="47"/>
      <c r="AH286" s="30"/>
      <c r="AI286" s="30"/>
      <c r="AJ286" s="30"/>
      <c r="AK286" s="30"/>
      <c r="AL286" s="13"/>
      <c r="AM286" s="13"/>
      <c r="AN286" s="13"/>
      <c r="AO286" s="13"/>
      <c r="AP286" s="13"/>
      <c r="AQ286" s="14"/>
      <c r="AR286" s="15"/>
    </row>
    <row r="287" spans="1:44" s="17" customFormat="1" ht="30.95" hidden="1" customHeight="1" x14ac:dyDescent="0.2">
      <c r="A287" s="37"/>
      <c r="B287" s="38"/>
      <c r="C287" s="45"/>
      <c r="D287" s="31"/>
      <c r="E287" s="31"/>
      <c r="F287" s="268" t="str">
        <f>IF(D287="","",VLOOKUP(D287,契約台帳!$A$3:$K$4986,6,FALSE)&amp;VLOOKUP(D287,契約台帳!$A$3:$K$4986,7,FALSE)&amp;VLOOKUP(D287,契約台帳!$A$3:$K$4986,8,FALSE)&amp;VLOOKUP(D287,契約台帳!$A$3:$K$4986,9,FALSE)&amp;VLOOKUP(D287,契約台帳!$A$3:$K$4986,11,FALSE))</f>
        <v/>
      </c>
      <c r="G287" s="269" t="str">
        <f>IF(D287="","",VLOOKUP(F287,製品マスタ!$G$5:$H$5002,2,FALSE))</f>
        <v/>
      </c>
      <c r="H287" s="269" t="str">
        <f>IF(D287="","",VLOOKUP(F287,製品マスタ!$G$5:$K$5002,5,FALSE))</f>
        <v/>
      </c>
      <c r="I287" s="270" t="str">
        <f>IF(D287="","",VLOOKUP(F287,製品マスタ!$G$5:$L$5002,6,FALSE))</f>
        <v/>
      </c>
      <c r="J287" s="32"/>
      <c r="K287" s="270" t="str">
        <f>IF(D287="","",VLOOKUP(D287,契約台帳!$A$3:$L$4986,12,FALSE))</f>
        <v/>
      </c>
      <c r="L287" s="270" t="str">
        <f>IF(D287="","",INDEX(製品マスタ!$Q$5:$Q$5002,MATCH(F287&amp;K287,製品マスタ!$AO$5:$AO$5002,0)))</f>
        <v/>
      </c>
      <c r="M287" s="39"/>
      <c r="N287" s="39"/>
      <c r="O287" s="47"/>
      <c r="P287" s="57"/>
      <c r="Q287" s="276" t="str">
        <f>IF(D287="","",IF(J287="リード付け",M287,VLOOKUP(D287,契約台帳!$A$3:$N$4986,14,FALSE)))</f>
        <v/>
      </c>
      <c r="R287" s="277" t="str">
        <f>IF(D287="","",IF(J287="リード付け",M287,VLOOKUP(D287,契約台帳!$A$3:$O$4986,15,FALSE)))</f>
        <v/>
      </c>
      <c r="S287" s="277" t="str">
        <f>IF(D287="","",IF(J287="リード付け",N287,VLOOKUP(D287,契約台帳!$A$3:$P$4986,16,FALSE)))</f>
        <v/>
      </c>
      <c r="T287" s="40"/>
      <c r="U287" s="278" t="str">
        <f ca="1">IF(D287="","",IF(OFFSET(D287,-2,0)=D287,"",VLOOKUP(D287,契約台帳!$A$3:$R$4986,18,FALSE)))</f>
        <v/>
      </c>
      <c r="V287" s="269" t="str">
        <f>IF(J287="巻返し",VLOOKUP(F287&amp;K287&amp;M287,製品マスタ!$M$5:$AD$5002,18,FALSE),IF(J287="リード付け","原反コア",IF(J287="スリット",VLOOKUP(F287&amp;K287&amp;Q287,製品マスタ!$N$5:$AD$5002,17,FALSE),"")))</f>
        <v/>
      </c>
      <c r="W287" s="269" t="str">
        <f>IF(J287="巻返し",VLOOKUP(F287&amp;K287&amp;M287,製品マスタ!$M$5:$AE$5002,19,FALSE),IF(J287="リード付け","-",IF(J287="スリット",VLOOKUP(F287&amp;K287&amp;Q287,製品マスタ!$N$5:$AE$5002,18,FALSE),"")))</f>
        <v/>
      </c>
      <c r="X287" s="275" t="str">
        <f>IF(D287="","",VLOOKUP(D287,契約台帳!$A$3:$Q$4986,17,FALSE))</f>
        <v/>
      </c>
      <c r="Y287" s="269" t="str">
        <f>IF(D287="","",VLOOKUP(D287,契約台帳!$A$3:$E$4986,5,FALSE))</f>
        <v/>
      </c>
      <c r="Z287" s="57"/>
      <c r="AA287" s="207" t="str">
        <f>IFERROR(VLOOKUP(F287&amp;K287&amp;M287,製品マスタ!$M$5:$AM$5002,27,FALSE),"")</f>
        <v/>
      </c>
      <c r="AB287" s="33"/>
      <c r="AC287" s="189"/>
      <c r="AD287" s="54"/>
      <c r="AE287" s="55"/>
      <c r="AF287" s="43"/>
      <c r="AG287" s="47"/>
      <c r="AH287" s="30"/>
      <c r="AI287" s="30"/>
      <c r="AJ287" s="30"/>
      <c r="AK287" s="30"/>
      <c r="AL287" s="13"/>
      <c r="AM287" s="13"/>
      <c r="AN287" s="13"/>
      <c r="AO287" s="13"/>
      <c r="AP287" s="13"/>
      <c r="AQ287" s="14"/>
      <c r="AR287" s="15"/>
    </row>
    <row r="288" spans="1:44" s="17" customFormat="1" ht="30.95" hidden="1" customHeight="1" x14ac:dyDescent="0.2">
      <c r="A288" s="37" t="s">
        <v>981</v>
      </c>
      <c r="B288" s="38" t="s">
        <v>960</v>
      </c>
      <c r="C288" s="45"/>
      <c r="D288" s="31"/>
      <c r="E288" s="31"/>
      <c r="F288" s="268" t="str">
        <f>IF(D288="","",VLOOKUP(D288,契約台帳!$A$3:$K$4986,6,FALSE)&amp;VLOOKUP(D288,契約台帳!$A$3:$K$4986,7,FALSE)&amp;VLOOKUP(D288,契約台帳!$A$3:$K$4986,8,FALSE)&amp;VLOOKUP(D288,契約台帳!$A$3:$K$4986,9,FALSE)&amp;VLOOKUP(D288,契約台帳!$A$3:$K$4986,11,FALSE))</f>
        <v/>
      </c>
      <c r="G288" s="269" t="str">
        <f>IF(D288="","",VLOOKUP(F288,製品マスタ!$G$5:$H$5002,2,FALSE))</f>
        <v/>
      </c>
      <c r="H288" s="269" t="str">
        <f>IF(D288="","",VLOOKUP(F288,製品マスタ!$G$5:$K$5002,5,FALSE))</f>
        <v/>
      </c>
      <c r="I288" s="270" t="str">
        <f>IF(D288="","",VLOOKUP(F288,製品マスタ!$G$5:$L$5002,6,FALSE))</f>
        <v/>
      </c>
      <c r="J288" s="32" t="s">
        <v>448</v>
      </c>
      <c r="K288" s="270" t="str">
        <f>IF(D288="","",VLOOKUP(D288,契約台帳!$A$3:$L$4986,12,FALSE))</f>
        <v/>
      </c>
      <c r="L288" s="270" t="str">
        <f>IF(D288="","",INDEX(製品マスタ!$Q$5:$Q$5002,MATCH(F288&amp;K288,製品マスタ!$AO$5:$AO$5002,0)))</f>
        <v/>
      </c>
      <c r="M288" s="39"/>
      <c r="N288" s="39"/>
      <c r="O288" s="47"/>
      <c r="P288" s="57"/>
      <c r="Q288" s="276" t="str">
        <f>IF(D288="","",IF(J288="リード付け",M288,VLOOKUP(D288,契約台帳!$A$3:$N$4986,14,FALSE)))</f>
        <v/>
      </c>
      <c r="R288" s="277" t="str">
        <f>IF(D288="","",IF(J288="リード付け",M288,VLOOKUP(D288,契約台帳!$A$3:$O$4986,15,FALSE)))</f>
        <v/>
      </c>
      <c r="S288" s="277" t="str">
        <f>IF(D288="","",IF(J288="リード付け",N288,VLOOKUP(D288,契約台帳!$A$3:$P$4986,16,FALSE)))</f>
        <v/>
      </c>
      <c r="T288" s="40"/>
      <c r="U288" s="278" t="str">
        <f ca="1">IF(D288="","",IF(OFFSET(D288,-2,0)=D288,"",VLOOKUP(D288,契約台帳!$A$3:$R$4986,18,FALSE)))</f>
        <v/>
      </c>
      <c r="V288" s="269" t="str">
        <f>IF(J288="巻返し",VLOOKUP(F288&amp;K288&amp;M288,製品マスタ!$M$5:$AD$5002,18,FALSE),IF(J288="リード付け","原反コア",IF(J288="スリット",VLOOKUP(F288&amp;K288&amp;Q288,製品マスタ!$N$5:$AD$5002,17,FALSE),"")))</f>
        <v/>
      </c>
      <c r="W288" s="269" t="str">
        <f>IF(J288="巻返し",VLOOKUP(F288&amp;K288&amp;M288,製品マスタ!$M$5:$AE$5002,19,FALSE),IF(J288="リード付け","-",IF(J288="スリット",VLOOKUP(F288&amp;K288&amp;Q288,製品マスタ!$N$5:$AE$5002,18,FALSE),"")))</f>
        <v/>
      </c>
      <c r="X288" s="275" t="str">
        <f>IF(D288="","",VLOOKUP(D288,契約台帳!$A$3:$Q$4986,17,FALSE))</f>
        <v/>
      </c>
      <c r="Y288" s="269" t="str">
        <f>IF(D288="","",VLOOKUP(D288,契約台帳!$A$3:$E$4986,5,FALSE))</f>
        <v/>
      </c>
      <c r="Z288" s="57"/>
      <c r="AA288" s="207" t="str">
        <f>IFERROR(VLOOKUP(F288&amp;K288&amp;M288,製品マスタ!$M$5:$AM$5002,27,FALSE),"")</f>
        <v/>
      </c>
      <c r="AB288" s="33"/>
      <c r="AC288" s="189"/>
      <c r="AD288" s="54"/>
      <c r="AE288" s="55"/>
      <c r="AF288" s="43"/>
      <c r="AG288" s="47"/>
      <c r="AH288" s="30"/>
      <c r="AI288" s="30"/>
      <c r="AJ288" s="30"/>
      <c r="AK288" s="30"/>
      <c r="AL288" s="13"/>
      <c r="AM288" s="13"/>
      <c r="AN288" s="13"/>
      <c r="AO288" s="13"/>
      <c r="AP288" s="13"/>
      <c r="AQ288" s="14"/>
      <c r="AR288" s="15"/>
    </row>
    <row r="289" spans="1:44" s="17" customFormat="1" ht="30.95" hidden="1" customHeight="1" x14ac:dyDescent="0.2">
      <c r="A289" s="37"/>
      <c r="B289" s="38"/>
      <c r="C289" s="45"/>
      <c r="D289" s="31"/>
      <c r="E289" s="31"/>
      <c r="F289" s="268" t="str">
        <f>IF(D289="","",VLOOKUP(D289,契約台帳!$A$3:$K$4986,6,FALSE)&amp;VLOOKUP(D289,契約台帳!$A$3:$K$4986,7,FALSE)&amp;VLOOKUP(D289,契約台帳!$A$3:$K$4986,8,FALSE)&amp;VLOOKUP(D289,契約台帳!$A$3:$K$4986,9,FALSE)&amp;VLOOKUP(D289,契約台帳!$A$3:$K$4986,11,FALSE))</f>
        <v/>
      </c>
      <c r="G289" s="269" t="str">
        <f>IF(D289="","",VLOOKUP(F289,製品マスタ!$G$5:$H$5002,2,FALSE))</f>
        <v/>
      </c>
      <c r="H289" s="269" t="str">
        <f>IF(D289="","",VLOOKUP(F289,製品マスタ!$G$5:$K$5002,5,FALSE))</f>
        <v/>
      </c>
      <c r="I289" s="270" t="str">
        <f>IF(D289="","",VLOOKUP(F289,製品マスタ!$G$5:$L$5002,6,FALSE))</f>
        <v/>
      </c>
      <c r="J289" s="32"/>
      <c r="K289" s="270" t="str">
        <f>IF(D289="","",VLOOKUP(D289,契約台帳!$A$3:$L$4986,12,FALSE))</f>
        <v/>
      </c>
      <c r="L289" s="270" t="str">
        <f>IF(D289="","",INDEX(製品マスタ!$Q$5:$Q$5002,MATCH(F289&amp;K289,製品マスタ!$AO$5:$AO$5002,0)))</f>
        <v/>
      </c>
      <c r="M289" s="39"/>
      <c r="N289" s="39"/>
      <c r="O289" s="47"/>
      <c r="P289" s="57"/>
      <c r="Q289" s="276" t="str">
        <f>IF(D289="","",IF(J289="リード付け",M289,VLOOKUP(D289,契約台帳!$A$3:$N$4986,14,FALSE)))</f>
        <v/>
      </c>
      <c r="R289" s="277" t="str">
        <f>IF(D289="","",IF(J289="リード付け",M289,VLOOKUP(D289,契約台帳!$A$3:$O$4986,15,FALSE)))</f>
        <v/>
      </c>
      <c r="S289" s="277" t="str">
        <f>IF(D289="","",IF(J289="リード付け",N289,VLOOKUP(D289,契約台帳!$A$3:$P$4986,16,FALSE)))</f>
        <v/>
      </c>
      <c r="T289" s="40"/>
      <c r="U289" s="278" t="str">
        <f ca="1">IF(D289="","",IF(OFFSET(D289,-2,0)=D289,"",VLOOKUP(D289,契約台帳!$A$3:$R$4986,18,FALSE)))</f>
        <v/>
      </c>
      <c r="V289" s="269" t="str">
        <f>IF(J289="巻返し",VLOOKUP(F289&amp;K289&amp;M289,製品マスタ!$M$5:$AD$5002,18,FALSE),IF(J289="リード付け","原反コア",IF(J289="スリット",VLOOKUP(F289&amp;K289&amp;Q289,製品マスタ!$N$5:$AD$5002,17,FALSE),"")))</f>
        <v/>
      </c>
      <c r="W289" s="269" t="str">
        <f>IF(J289="巻返し",VLOOKUP(F289&amp;K289&amp;M289,製品マスタ!$M$5:$AE$5002,19,FALSE),IF(J289="リード付け","-",IF(J289="スリット",VLOOKUP(F289&amp;K289&amp;Q289,製品マスタ!$N$5:$AE$5002,18,FALSE),"")))</f>
        <v/>
      </c>
      <c r="X289" s="275" t="str">
        <f>IF(D289="","",VLOOKUP(D289,契約台帳!$A$3:$Q$4986,17,FALSE))</f>
        <v/>
      </c>
      <c r="Y289" s="269" t="str">
        <f>IF(D289="","",VLOOKUP(D289,契約台帳!$A$3:$E$4986,5,FALSE))</f>
        <v/>
      </c>
      <c r="Z289" s="57"/>
      <c r="AA289" s="207" t="str">
        <f>IFERROR(VLOOKUP(F289&amp;K289&amp;M289,製品マスタ!$M$5:$AM$5002,27,FALSE),"")</f>
        <v/>
      </c>
      <c r="AB289" s="33"/>
      <c r="AC289" s="189"/>
      <c r="AD289" s="54"/>
      <c r="AE289" s="55"/>
      <c r="AF289" s="43"/>
      <c r="AG289" s="47"/>
      <c r="AH289" s="30"/>
      <c r="AI289" s="30"/>
      <c r="AJ289" s="30"/>
      <c r="AK289" s="30"/>
      <c r="AL289" s="13"/>
      <c r="AM289" s="13"/>
      <c r="AN289" s="13"/>
      <c r="AO289" s="13"/>
      <c r="AP289" s="13"/>
      <c r="AQ289" s="14"/>
      <c r="AR289" s="15"/>
    </row>
    <row r="290" spans="1:44" s="17" customFormat="1" ht="30.95" hidden="1" customHeight="1" x14ac:dyDescent="0.2">
      <c r="A290" s="37" t="s">
        <v>1019</v>
      </c>
      <c r="B290" s="38" t="s">
        <v>1020</v>
      </c>
      <c r="C290" s="45"/>
      <c r="D290" s="31"/>
      <c r="E290" s="31"/>
      <c r="F290" s="268" t="str">
        <f>IF(D290="","",VLOOKUP(D290,契約台帳!$A$3:$K$4986,6,FALSE)&amp;VLOOKUP(D290,契約台帳!$A$3:$K$4986,7,FALSE)&amp;VLOOKUP(D290,契約台帳!$A$3:$K$4986,8,FALSE)&amp;VLOOKUP(D290,契約台帳!$A$3:$K$4986,9,FALSE)&amp;VLOOKUP(D290,契約台帳!$A$3:$K$4986,11,FALSE))</f>
        <v/>
      </c>
      <c r="G290" s="269" t="str">
        <f>IF(D290="","",VLOOKUP(F290,製品マスタ!$G$5:$H$5002,2,FALSE))</f>
        <v/>
      </c>
      <c r="H290" s="269" t="str">
        <f>IF(D290="","",VLOOKUP(F290,製品マスタ!$G$5:$K$5002,5,FALSE))</f>
        <v/>
      </c>
      <c r="I290" s="270" t="str">
        <f>IF(D290="","",VLOOKUP(F290,製品マスタ!$G$5:$L$5002,6,FALSE))</f>
        <v/>
      </c>
      <c r="J290" s="32" t="s">
        <v>1021</v>
      </c>
      <c r="K290" s="270" t="str">
        <f>IF(D290="","",VLOOKUP(D290,契約台帳!$A$3:$L$4986,12,FALSE))</f>
        <v/>
      </c>
      <c r="L290" s="270" t="str">
        <f>IF(D290="","",INDEX(製品マスタ!$Q$5:$Q$5002,MATCH(F290&amp;K290,製品マスタ!$AO$5:$AO$5002,0)))</f>
        <v/>
      </c>
      <c r="M290" s="39"/>
      <c r="N290" s="39"/>
      <c r="O290" s="47"/>
      <c r="P290" s="57"/>
      <c r="Q290" s="276" t="str">
        <f>IF(D290="","",IF(J290="リード付け",M290,VLOOKUP(D290,契約台帳!$A$3:$N$4986,14,FALSE)))</f>
        <v/>
      </c>
      <c r="R290" s="277" t="str">
        <f>IF(D290="","",IF(J290="リード付け",M290,VLOOKUP(D290,契約台帳!$A$3:$O$4986,15,FALSE)))</f>
        <v/>
      </c>
      <c r="S290" s="277" t="str">
        <f>IF(D290="","",IF(J290="リード付け",N290,VLOOKUP(D290,契約台帳!$A$3:$P$4986,16,FALSE)))</f>
        <v/>
      </c>
      <c r="T290" s="40"/>
      <c r="U290" s="278" t="str">
        <f ca="1">IF(D290="","",IF(OFFSET(D290,-2,0)=D290,"",VLOOKUP(D290,契約台帳!$A$3:$R$4986,18,FALSE)))</f>
        <v/>
      </c>
      <c r="V290" s="269" t="str">
        <f>IF(J290="巻返し",VLOOKUP(F290&amp;K290&amp;M290,製品マスタ!$M$5:$AD$5002,18,FALSE),IF(J290="リード付け","原反コア",IF(J290="スリット",VLOOKUP(F290&amp;K290&amp;Q290,製品マスタ!$N$5:$AD$5002,17,FALSE),"")))</f>
        <v/>
      </c>
      <c r="W290" s="269" t="str">
        <f>IF(J290="巻返し",VLOOKUP(F290&amp;K290&amp;M290,製品マスタ!$M$5:$AE$5002,19,FALSE),IF(J290="リード付け","-",IF(J290="スリット",VLOOKUP(F290&amp;K290&amp;Q290,製品マスタ!$N$5:$AE$5002,18,FALSE),"")))</f>
        <v/>
      </c>
      <c r="X290" s="275" t="str">
        <f>IF(D290="","",VLOOKUP(D290,契約台帳!$A$3:$Q$4986,17,FALSE))</f>
        <v/>
      </c>
      <c r="Y290" s="269" t="str">
        <f>IF(D290="","",VLOOKUP(D290,契約台帳!$A$3:$E$4986,5,FALSE))</f>
        <v/>
      </c>
      <c r="Z290" s="57"/>
      <c r="AA290" s="207" t="str">
        <f>IFERROR(VLOOKUP(F290&amp;K290&amp;M290,製品マスタ!$M$5:$AM$5002,27,FALSE),"")</f>
        <v/>
      </c>
      <c r="AB290" s="33"/>
      <c r="AC290" s="189"/>
      <c r="AD290" s="54"/>
      <c r="AE290" s="55"/>
      <c r="AF290" s="43"/>
      <c r="AG290" s="47"/>
      <c r="AH290" s="30"/>
      <c r="AI290" s="30"/>
      <c r="AJ290" s="30"/>
      <c r="AK290" s="30"/>
      <c r="AL290" s="13"/>
      <c r="AM290" s="13"/>
      <c r="AN290" s="13"/>
      <c r="AO290" s="13"/>
      <c r="AP290" s="13"/>
      <c r="AQ290" s="14"/>
      <c r="AR290" s="15"/>
    </row>
    <row r="291" spans="1:44" s="17" customFormat="1" ht="30.95" hidden="1" customHeight="1" x14ac:dyDescent="0.2">
      <c r="A291" s="37"/>
      <c r="B291" s="38"/>
      <c r="C291" s="45"/>
      <c r="D291" s="31"/>
      <c r="E291" s="31"/>
      <c r="F291" s="268" t="str">
        <f>IF(D291="","",VLOOKUP(D291,契約台帳!$A$3:$K$4986,6,FALSE)&amp;VLOOKUP(D291,契約台帳!$A$3:$K$4986,7,FALSE)&amp;VLOOKUP(D291,契約台帳!$A$3:$K$4986,8,FALSE)&amp;VLOOKUP(D291,契約台帳!$A$3:$K$4986,9,FALSE)&amp;VLOOKUP(D291,契約台帳!$A$3:$K$4986,11,FALSE))</f>
        <v/>
      </c>
      <c r="G291" s="269" t="str">
        <f>IF(D291="","",VLOOKUP(F291,製品マスタ!$G$5:$H$5002,2,FALSE))</f>
        <v/>
      </c>
      <c r="H291" s="269" t="str">
        <f>IF(D291="","",VLOOKUP(F291,製品マスタ!$G$5:$K$5002,5,FALSE))</f>
        <v/>
      </c>
      <c r="I291" s="270" t="str">
        <f>IF(D291="","",VLOOKUP(F291,製品マスタ!$G$5:$L$5002,6,FALSE))</f>
        <v/>
      </c>
      <c r="J291" s="32"/>
      <c r="K291" s="270" t="str">
        <f>IF(D291="","",VLOOKUP(D291,契約台帳!$A$3:$L$4986,12,FALSE))</f>
        <v/>
      </c>
      <c r="L291" s="270" t="str">
        <f>IF(D291="","",INDEX(製品マスタ!$Q$5:$Q$5002,MATCH(F291&amp;K291,製品マスタ!$AO$5:$AO$5002,0)))</f>
        <v/>
      </c>
      <c r="M291" s="39"/>
      <c r="N291" s="39"/>
      <c r="O291" s="47"/>
      <c r="P291" s="57"/>
      <c r="Q291" s="276" t="str">
        <f>IF(D291="","",IF(J291="リード付け",M291,VLOOKUP(D291,契約台帳!$A$3:$N$4986,14,FALSE)))</f>
        <v/>
      </c>
      <c r="R291" s="277" t="str">
        <f>IF(D291="","",IF(J291="リード付け",M291,VLOOKUP(D291,契約台帳!$A$3:$O$4986,15,FALSE)))</f>
        <v/>
      </c>
      <c r="S291" s="277" t="str">
        <f>IF(D291="","",IF(J291="リード付け",N291,VLOOKUP(D291,契約台帳!$A$3:$P$4986,16,FALSE)))</f>
        <v/>
      </c>
      <c r="T291" s="40"/>
      <c r="U291" s="278" t="str">
        <f ca="1">IF(D291="","",IF(OFFSET(D291,-2,0)=D291,"",VLOOKUP(D291,契約台帳!$A$3:$R$4986,18,FALSE)))</f>
        <v/>
      </c>
      <c r="V291" s="269" t="str">
        <f>IF(J291="巻返し",VLOOKUP(F291&amp;K291&amp;M291,製品マスタ!$M$5:$AD$5002,18,FALSE),IF(J291="リード付け","原反コア",IF(J291="スリット",VLOOKUP(F291&amp;K291&amp;Q291,製品マスタ!$N$5:$AD$5002,17,FALSE),"")))</f>
        <v/>
      </c>
      <c r="W291" s="269" t="str">
        <f>IF(J291="巻返し",VLOOKUP(F291&amp;K291&amp;M291,製品マスタ!$M$5:$AE$5002,19,FALSE),IF(J291="リード付け","-",IF(J291="スリット",VLOOKUP(F291&amp;K291&amp;Q291,製品マスタ!$N$5:$AE$5002,18,FALSE),"")))</f>
        <v/>
      </c>
      <c r="X291" s="275" t="str">
        <f>IF(D291="","",VLOOKUP(D291,契約台帳!$A$3:$Q$4986,17,FALSE))</f>
        <v/>
      </c>
      <c r="Y291" s="269" t="str">
        <f>IF(D291="","",VLOOKUP(D291,契約台帳!$A$3:$E$4986,5,FALSE))</f>
        <v/>
      </c>
      <c r="Z291" s="57"/>
      <c r="AA291" s="207" t="str">
        <f>IFERROR(VLOOKUP(F291&amp;K291&amp;M291,製品マスタ!$M$5:$AM$5002,27,FALSE),"")</f>
        <v/>
      </c>
      <c r="AB291" s="33"/>
      <c r="AC291" s="189"/>
      <c r="AD291" s="54"/>
      <c r="AE291" s="55"/>
      <c r="AF291" s="43"/>
      <c r="AG291" s="47"/>
      <c r="AH291" s="30"/>
      <c r="AI291" s="30"/>
      <c r="AJ291" s="30"/>
      <c r="AK291" s="30"/>
      <c r="AL291" s="13"/>
      <c r="AM291" s="13"/>
      <c r="AN291" s="13"/>
      <c r="AO291" s="13"/>
      <c r="AP291" s="13"/>
      <c r="AQ291" s="14"/>
      <c r="AR291" s="15"/>
    </row>
    <row r="292" spans="1:44" s="17" customFormat="1" ht="30.95" hidden="1" customHeight="1" x14ac:dyDescent="0.2">
      <c r="A292" s="37" t="s">
        <v>1023</v>
      </c>
      <c r="B292" s="38" t="s">
        <v>688</v>
      </c>
      <c r="C292" s="45"/>
      <c r="D292" s="31">
        <v>3703995</v>
      </c>
      <c r="E292" s="31">
        <v>4170104</v>
      </c>
      <c r="F292" s="268" t="str">
        <f>IF(D292="","",VLOOKUP(D292,契約台帳!$A$3:$K$4986,6,FALSE)&amp;VLOOKUP(D292,契約台帳!$A$3:$K$4986,7,FALSE)&amp;VLOOKUP(D292,契約台帳!$A$3:$K$4986,8,FALSE)&amp;VLOOKUP(D292,契約台帳!$A$3:$K$4986,9,FALSE)&amp;VLOOKUP(D292,契約台帳!$A$3:$K$4986,11,FALSE))</f>
        <v>3SNMLBMNGTBF</v>
      </c>
      <c r="G292" s="269" t="str">
        <f>IF(D292="","",VLOOKUP(F292,製品マスタ!$G$5:$H$5002,2,FALSE))</f>
        <v>S</v>
      </c>
      <c r="H292" s="269" t="str">
        <f>IF(D292="","",VLOOKUP(F292,製品マスタ!$G$5:$K$5002,5,FALSE))</f>
        <v>MNGTBF</v>
      </c>
      <c r="I292" s="270" t="str">
        <f>IF(D292="","",VLOOKUP(F292,製品マスタ!$G$5:$L$5002,6,FALSE))</f>
        <v>メタルミー　ネーマー　銀艶　Ｂ</v>
      </c>
      <c r="J292" s="32" t="s">
        <v>464</v>
      </c>
      <c r="K292" s="270">
        <f>IF(D292="","",VLOOKUP(D292,契約台帳!$A$3:$L$4986,12,FALSE))</f>
        <v>25</v>
      </c>
      <c r="L292" s="270" t="str">
        <f>IF(D292="","",INDEX(製品マスタ!$Q$5:$Q$5002,MATCH(F292&amp;K292,製品マスタ!$AO$5:$AO$5002,0)))</f>
        <v>T62M</v>
      </c>
      <c r="M292" s="39">
        <v>1005</v>
      </c>
      <c r="N292" s="39">
        <v>12100</v>
      </c>
      <c r="O292" s="47">
        <v>3</v>
      </c>
      <c r="P292" s="213">
        <v>45020</v>
      </c>
      <c r="Q292" s="276">
        <f>IF(D292="","",IF(J292="リード付け",M292,VLOOKUP(D292,契約台帳!$A$3:$N$4986,14,FALSE)))</f>
        <v>1005</v>
      </c>
      <c r="R292" s="277">
        <f>IF(D292="","",IF(J292="リード付け",M292,VLOOKUP(D292,契約台帳!$A$3:$O$4986,15,FALSE)))</f>
        <v>1005</v>
      </c>
      <c r="S292" s="277">
        <f>IF(D292="","",IF(J292="リード付け",N292,VLOOKUP(D292,契約台帳!$A$3:$P$4986,16,FALSE)))</f>
        <v>12100</v>
      </c>
      <c r="T292" s="40">
        <v>3</v>
      </c>
      <c r="U292" s="278">
        <f ca="1">IF(D292="","",IF(OFFSET(D292,-2,0)=D292,"",VLOOKUP(D292,契約台帳!$A$3:$R$4986,18,FALSE)))</f>
        <v>9</v>
      </c>
      <c r="V292" s="269" t="str">
        <f>IF(J292="巻返し",VLOOKUP(F292&amp;K292&amp;M292,製品マスタ!$M$5:$AD$5002,18,FALSE),IF(J292="リード付け","原反コア",IF(J292="スリット",VLOOKUP(F292&amp;K292&amp;Q292,製品マスタ!$N$5:$AD$5002,17,FALSE),"")))</f>
        <v>原反コア</v>
      </c>
      <c r="W292" s="269" t="str">
        <f>IF(J292="巻返し",VLOOKUP(F292&amp;K292&amp;M292,製品マスタ!$M$5:$AE$5002,19,FALSE),IF(J292="リード付け","-",IF(J292="スリット",VLOOKUP(F292&amp;K292&amp;Q292,製品マスタ!$N$5:$AE$5002,18,FALSE),"")))</f>
        <v>-</v>
      </c>
      <c r="X292" s="275">
        <f>IF(D292="","",VLOOKUP(D292,契約台帳!$A$3:$Q$4986,17,FALSE))</f>
        <v>2</v>
      </c>
      <c r="Y292" s="269" t="str">
        <f>IF(D292="","",VLOOKUP(D292,契約台帳!$A$3:$E$4986,5,FALSE))</f>
        <v>リンテック㈱</v>
      </c>
      <c r="Z292" s="57"/>
      <c r="AA292" s="207">
        <f>IFERROR(VLOOKUP(F292&amp;K292&amp;M292,製品マスタ!$M$5:$AM$5002,27,FALSE),"")</f>
        <v>0</v>
      </c>
      <c r="AB292" s="33"/>
      <c r="AC292" s="189"/>
      <c r="AD292" s="54"/>
      <c r="AE292" s="55"/>
      <c r="AF292" s="43"/>
      <c r="AG292" s="47"/>
      <c r="AH292" s="30"/>
      <c r="AI292" s="30"/>
      <c r="AJ292" s="30"/>
      <c r="AK292" s="30"/>
      <c r="AL292" s="13"/>
      <c r="AM292" s="13"/>
      <c r="AN292" s="13"/>
      <c r="AO292" s="13"/>
      <c r="AP292" s="13"/>
      <c r="AQ292" s="14"/>
      <c r="AR292" s="15"/>
    </row>
    <row r="293" spans="1:44" s="17" customFormat="1" ht="30.95" hidden="1" customHeight="1" x14ac:dyDescent="0.2">
      <c r="A293" s="37"/>
      <c r="B293" s="38"/>
      <c r="C293" s="45"/>
      <c r="D293" s="31"/>
      <c r="E293" s="31"/>
      <c r="F293" s="268" t="str">
        <f>IF(D293="","",VLOOKUP(D293,契約台帳!$A$3:$K$4986,6,FALSE)&amp;VLOOKUP(D293,契約台帳!$A$3:$K$4986,7,FALSE)&amp;VLOOKUP(D293,契約台帳!$A$3:$K$4986,8,FALSE)&amp;VLOOKUP(D293,契約台帳!$A$3:$K$4986,9,FALSE)&amp;VLOOKUP(D293,契約台帳!$A$3:$K$4986,11,FALSE))</f>
        <v/>
      </c>
      <c r="G293" s="269" t="str">
        <f>IF(D293="","",VLOOKUP(F293,製品マスタ!$G$5:$H$5002,2,FALSE))</f>
        <v/>
      </c>
      <c r="H293" s="269" t="str">
        <f>IF(D293="","",VLOOKUP(F293,製品マスタ!$G$5:$K$5002,5,FALSE))</f>
        <v/>
      </c>
      <c r="I293" s="270" t="str">
        <f>IF(D293="","",VLOOKUP(F293,製品マスタ!$G$5:$L$5002,6,FALSE))</f>
        <v/>
      </c>
      <c r="J293" s="32"/>
      <c r="K293" s="270" t="str">
        <f>IF(D293="","",VLOOKUP(D293,契約台帳!$A$3:$L$4986,12,FALSE))</f>
        <v/>
      </c>
      <c r="L293" s="270" t="str">
        <f>IF(D293="","",INDEX(製品マスタ!$Q$5:$Q$5002,MATCH(F293&amp;K293,製品マスタ!$AO$5:$AO$5002,0)))</f>
        <v/>
      </c>
      <c r="M293" s="39"/>
      <c r="N293" s="39"/>
      <c r="O293" s="47"/>
      <c r="P293" s="57"/>
      <c r="Q293" s="276" t="str">
        <f>IF(D293="","",IF(J293="リード付け",M293,VLOOKUP(D293,契約台帳!$A$3:$N$4986,14,FALSE)))</f>
        <v/>
      </c>
      <c r="R293" s="277" t="str">
        <f>IF(D293="","",IF(J293="リード付け",M293,VLOOKUP(D293,契約台帳!$A$3:$O$4986,15,FALSE)))</f>
        <v/>
      </c>
      <c r="S293" s="277" t="str">
        <f>IF(D293="","",IF(J293="リード付け",N293,VLOOKUP(D293,契約台帳!$A$3:$P$4986,16,FALSE)))</f>
        <v/>
      </c>
      <c r="T293" s="40"/>
      <c r="U293" s="278" t="str">
        <f ca="1">IF(D293="","",IF(OFFSET(D293,-2,0)=D293,"",VLOOKUP(D293,契約台帳!$A$3:$R$4986,18,FALSE)))</f>
        <v/>
      </c>
      <c r="V293" s="269" t="str">
        <f>IF(J293="巻返し",VLOOKUP(F293&amp;K293&amp;M293,製品マスタ!$M$5:$AD$5002,18,FALSE),IF(J293="リード付け","原反コア",IF(J293="スリット",VLOOKUP(F293&amp;K293&amp;Q293,製品マスタ!$N$5:$AD$5002,17,FALSE),"")))</f>
        <v/>
      </c>
      <c r="W293" s="269" t="str">
        <f>IF(J293="巻返し",VLOOKUP(F293&amp;K293&amp;M293,製品マスタ!$M$5:$AE$5002,19,FALSE),IF(J293="リード付け","-",IF(J293="スリット",VLOOKUP(F293&amp;K293&amp;Q293,製品マスタ!$N$5:$AE$5002,18,FALSE),"")))</f>
        <v/>
      </c>
      <c r="X293" s="275" t="str">
        <f>IF(D293="","",VLOOKUP(D293,契約台帳!$A$3:$Q$4986,17,FALSE))</f>
        <v/>
      </c>
      <c r="Y293" s="269" t="str">
        <f>IF(D293="","",VLOOKUP(D293,契約台帳!$A$3:$E$4986,5,FALSE))</f>
        <v/>
      </c>
      <c r="Z293" s="57"/>
      <c r="AA293" s="207" t="str">
        <f>IFERROR(VLOOKUP(F293&amp;K293&amp;M293,製品マスタ!$M$5:$AM$5002,27,FALSE),"")</f>
        <v/>
      </c>
      <c r="AB293" s="33"/>
      <c r="AC293" s="189"/>
      <c r="AD293" s="54"/>
      <c r="AE293" s="55"/>
      <c r="AF293" s="43"/>
      <c r="AG293" s="47"/>
      <c r="AH293" s="30"/>
      <c r="AI293" s="30"/>
      <c r="AJ293" s="30"/>
      <c r="AK293" s="30"/>
      <c r="AL293" s="13"/>
      <c r="AM293" s="13"/>
      <c r="AN293" s="13"/>
      <c r="AO293" s="13"/>
      <c r="AP293" s="13"/>
      <c r="AQ293" s="14"/>
      <c r="AR293" s="15"/>
    </row>
    <row r="294" spans="1:44" s="17" customFormat="1" ht="30.95" hidden="1" customHeight="1" x14ac:dyDescent="0.2">
      <c r="A294" s="37"/>
      <c r="B294" s="38"/>
      <c r="C294" s="45"/>
      <c r="D294" s="31">
        <v>3703999</v>
      </c>
      <c r="E294" s="31">
        <v>4170105</v>
      </c>
      <c r="F294" s="268" t="str">
        <f>IF(D294="","",VLOOKUP(D294,契約台帳!$A$3:$K$4986,6,FALSE)&amp;VLOOKUP(D294,契約台帳!$A$3:$K$4986,7,FALSE)&amp;VLOOKUP(D294,契約台帳!$A$3:$K$4986,8,FALSE)&amp;VLOOKUP(D294,契約台帳!$A$3:$K$4986,9,FALSE)&amp;VLOOKUP(D294,契約台帳!$A$3:$K$4986,11,FALSE))</f>
        <v>3SNMLBMNNGKBF</v>
      </c>
      <c r="G294" s="269" t="str">
        <f>IF(D294="","",VLOOKUP(F294,製品マスタ!$G$5:$H$5002,2,FALSE))</f>
        <v>S</v>
      </c>
      <c r="H294" s="269" t="str">
        <f>IF(D294="","",VLOOKUP(F294,製品マスタ!$G$5:$K$5002,5,FALSE))</f>
        <v>MNNGKBF</v>
      </c>
      <c r="I294" s="270" t="str">
        <f>IF(D294="","",VLOOKUP(F294,製品マスタ!$G$5:$L$5002,6,FALSE))</f>
        <v>メタルミー　ニューネーマー銀消　Ｂ</v>
      </c>
      <c r="J294" s="32" t="s">
        <v>464</v>
      </c>
      <c r="K294" s="270">
        <f>IF(D294="","",VLOOKUP(D294,契約台帳!$A$3:$L$4986,12,FALSE))</f>
        <v>25</v>
      </c>
      <c r="L294" s="270" t="str">
        <f>IF(D294="","",INDEX(製品マスタ!$Q$5:$Q$5002,MATCH(F294&amp;K294,製品マスタ!$AO$5:$AO$5002,0)))</f>
        <v>X44C</v>
      </c>
      <c r="M294" s="39">
        <v>1005</v>
      </c>
      <c r="N294" s="39">
        <v>8000</v>
      </c>
      <c r="O294" s="47">
        <v>1</v>
      </c>
      <c r="P294" s="213">
        <v>45020</v>
      </c>
      <c r="Q294" s="276">
        <f>IF(D294="","",IF(J294="リード付け",M294,VLOOKUP(D294,契約台帳!$A$3:$N$4986,14,FALSE)))</f>
        <v>1005</v>
      </c>
      <c r="R294" s="277">
        <f>IF(D294="","",IF(J294="リード付け",M294,VLOOKUP(D294,契約台帳!$A$3:$O$4986,15,FALSE)))</f>
        <v>1005</v>
      </c>
      <c r="S294" s="277">
        <f>IF(D294="","",IF(J294="リード付け",N294,VLOOKUP(D294,契約台帳!$A$3:$P$4986,16,FALSE)))</f>
        <v>8000</v>
      </c>
      <c r="T294" s="40">
        <v>1</v>
      </c>
      <c r="U294" s="278">
        <f ca="1">IF(D294="","",IF(OFFSET(D294,-2,0)=D294,"",VLOOKUP(D294,契約台帳!$A$3:$R$4986,18,FALSE)))</f>
        <v>2</v>
      </c>
      <c r="V294" s="269" t="str">
        <f>IF(J294="巻返し",VLOOKUP(F294&amp;K294&amp;M294,製品マスタ!$M$5:$AD$5002,18,FALSE),IF(J294="リード付け","原反コア",IF(J294="スリット",VLOOKUP(F294&amp;K294&amp;Q294,製品マスタ!$N$5:$AD$5002,17,FALSE),"")))</f>
        <v>原反コア</v>
      </c>
      <c r="W294" s="269" t="str">
        <f>IF(J294="巻返し",VLOOKUP(F294&amp;K294&amp;M294,製品マスタ!$M$5:$AE$5002,19,FALSE),IF(J294="リード付け","-",IF(J294="スリット",VLOOKUP(F294&amp;K294&amp;Q294,製品マスタ!$N$5:$AE$5002,18,FALSE),"")))</f>
        <v>-</v>
      </c>
      <c r="X294" s="275">
        <f>IF(D294="","",VLOOKUP(D294,契約台帳!$A$3:$Q$4986,17,FALSE))</f>
        <v>2</v>
      </c>
      <c r="Y294" s="269" t="str">
        <f>IF(D294="","",VLOOKUP(D294,契約台帳!$A$3:$E$4986,5,FALSE))</f>
        <v>リンテック㈱</v>
      </c>
      <c r="Z294" s="57"/>
      <c r="AA294" s="207">
        <f>IFERROR(VLOOKUP(F294&amp;K294&amp;M294,製品マスタ!$M$5:$AM$5002,27,FALSE),"")</f>
        <v>0</v>
      </c>
      <c r="AB294" s="33"/>
      <c r="AC294" s="189"/>
      <c r="AD294" s="54"/>
      <c r="AE294" s="55"/>
      <c r="AF294" s="43"/>
      <c r="AG294" s="47"/>
      <c r="AH294" s="30"/>
      <c r="AI294" s="30"/>
      <c r="AJ294" s="30"/>
      <c r="AK294" s="30"/>
      <c r="AL294" s="13"/>
      <c r="AM294" s="13"/>
      <c r="AN294" s="13"/>
      <c r="AO294" s="13"/>
      <c r="AP294" s="13"/>
      <c r="AQ294" s="14"/>
      <c r="AR294" s="15"/>
    </row>
    <row r="295" spans="1:44" s="17" customFormat="1" ht="30.95" hidden="1" customHeight="1" x14ac:dyDescent="0.2">
      <c r="A295" s="37"/>
      <c r="B295" s="38"/>
      <c r="C295" s="45"/>
      <c r="D295" s="31"/>
      <c r="E295" s="31"/>
      <c r="F295" s="268" t="str">
        <f>IF(D295="","",VLOOKUP(D295,契約台帳!$A$3:$K$4986,6,FALSE)&amp;VLOOKUP(D295,契約台帳!$A$3:$K$4986,7,FALSE)&amp;VLOOKUP(D295,契約台帳!$A$3:$K$4986,8,FALSE)&amp;VLOOKUP(D295,契約台帳!$A$3:$K$4986,9,FALSE)&amp;VLOOKUP(D295,契約台帳!$A$3:$K$4986,11,FALSE))</f>
        <v/>
      </c>
      <c r="G295" s="269" t="str">
        <f>IF(D295="","",VLOOKUP(F295,製品マスタ!$G$5:$H$5002,2,FALSE))</f>
        <v/>
      </c>
      <c r="H295" s="269" t="str">
        <f>IF(D295="","",VLOOKUP(F295,製品マスタ!$G$5:$K$5002,5,FALSE))</f>
        <v/>
      </c>
      <c r="I295" s="270" t="str">
        <f>IF(D295="","",VLOOKUP(F295,製品マスタ!$G$5:$L$5002,6,FALSE))</f>
        <v/>
      </c>
      <c r="J295" s="32"/>
      <c r="K295" s="270" t="str">
        <f>IF(D295="","",VLOOKUP(D295,契約台帳!$A$3:$L$4986,12,FALSE))</f>
        <v/>
      </c>
      <c r="L295" s="270" t="str">
        <f>IF(D295="","",INDEX(製品マスタ!$Q$5:$Q$5002,MATCH(F295&amp;K295,製品マスタ!$AO$5:$AO$5002,0)))</f>
        <v/>
      </c>
      <c r="M295" s="39"/>
      <c r="N295" s="39"/>
      <c r="O295" s="47"/>
      <c r="P295" s="57"/>
      <c r="Q295" s="276" t="str">
        <f>IF(D295="","",IF(J295="リード付け",M295,VLOOKUP(D295,契約台帳!$A$3:$N$4986,14,FALSE)))</f>
        <v/>
      </c>
      <c r="R295" s="277" t="str">
        <f>IF(D295="","",IF(J295="リード付け",M295,VLOOKUP(D295,契約台帳!$A$3:$O$4986,15,FALSE)))</f>
        <v/>
      </c>
      <c r="S295" s="277" t="str">
        <f>IF(D295="","",IF(J295="リード付け",N295,VLOOKUP(D295,契約台帳!$A$3:$P$4986,16,FALSE)))</f>
        <v/>
      </c>
      <c r="T295" s="40"/>
      <c r="U295" s="278" t="str">
        <f ca="1">IF(D295="","",IF(OFFSET(D295,-2,0)=D295,"",VLOOKUP(D295,契約台帳!$A$3:$R$4986,18,FALSE)))</f>
        <v/>
      </c>
      <c r="V295" s="269" t="str">
        <f>IF(J295="巻返し",VLOOKUP(F295&amp;K295&amp;M295,製品マスタ!$M$5:$AD$5002,18,FALSE),IF(J295="リード付け","原反コア",IF(J295="スリット",VLOOKUP(F295&amp;K295&amp;Q295,製品マスタ!$N$5:$AD$5002,17,FALSE),"")))</f>
        <v/>
      </c>
      <c r="W295" s="269" t="str">
        <f>IF(J295="巻返し",VLOOKUP(F295&amp;K295&amp;M295,製品マスタ!$M$5:$AE$5002,19,FALSE),IF(J295="リード付け","-",IF(J295="スリット",VLOOKUP(F295&amp;K295&amp;Q295,製品マスタ!$N$5:$AE$5002,18,FALSE),"")))</f>
        <v/>
      </c>
      <c r="X295" s="275" t="str">
        <f>IF(D295="","",VLOOKUP(D295,契約台帳!$A$3:$Q$4986,17,FALSE))</f>
        <v/>
      </c>
      <c r="Y295" s="269" t="str">
        <f>IF(D295="","",VLOOKUP(D295,契約台帳!$A$3:$E$4986,5,FALSE))</f>
        <v/>
      </c>
      <c r="Z295" s="57"/>
      <c r="AA295" s="207" t="str">
        <f>IFERROR(VLOOKUP(F295&amp;K295&amp;M295,製品マスタ!$M$5:$AM$5002,27,FALSE),"")</f>
        <v/>
      </c>
      <c r="AB295" s="33"/>
      <c r="AC295" s="189"/>
      <c r="AD295" s="54"/>
      <c r="AE295" s="55"/>
      <c r="AF295" s="43"/>
      <c r="AG295" s="47"/>
      <c r="AH295" s="30"/>
      <c r="AI295" s="30"/>
      <c r="AJ295" s="30"/>
      <c r="AK295" s="30"/>
      <c r="AL295" s="13"/>
      <c r="AM295" s="13"/>
      <c r="AN295" s="13"/>
      <c r="AO295" s="13"/>
      <c r="AP295" s="13"/>
      <c r="AQ295" s="14"/>
      <c r="AR295" s="15"/>
    </row>
    <row r="296" spans="1:44" s="17" customFormat="1" ht="30.95" hidden="1" customHeight="1" x14ac:dyDescent="0.2">
      <c r="A296" s="37" t="s">
        <v>1017</v>
      </c>
      <c r="B296" s="38" t="s">
        <v>1018</v>
      </c>
      <c r="C296" s="45"/>
      <c r="D296" s="31"/>
      <c r="E296" s="31"/>
      <c r="F296" s="268"/>
      <c r="G296" s="269"/>
      <c r="H296" s="269"/>
      <c r="I296" s="301" t="s">
        <v>905</v>
      </c>
      <c r="J296" s="32"/>
      <c r="K296" s="270"/>
      <c r="L296" s="270"/>
      <c r="M296" s="39"/>
      <c r="N296" s="39"/>
      <c r="O296" s="47"/>
      <c r="P296" s="57"/>
      <c r="Q296" s="276"/>
      <c r="R296" s="277"/>
      <c r="S296" s="277"/>
      <c r="T296" s="40"/>
      <c r="U296" s="278"/>
      <c r="V296" s="269"/>
      <c r="W296" s="269"/>
      <c r="X296" s="275"/>
      <c r="Y296" s="269"/>
      <c r="Z296" s="57"/>
      <c r="AA296" s="207"/>
      <c r="AB296" s="33"/>
      <c r="AC296" s="189"/>
      <c r="AD296" s="54"/>
      <c r="AE296" s="55"/>
      <c r="AF296" s="43"/>
      <c r="AG296" s="47"/>
      <c r="AH296" s="30"/>
      <c r="AI296" s="30"/>
      <c r="AJ296" s="30"/>
      <c r="AK296" s="30"/>
      <c r="AL296" s="13"/>
      <c r="AM296" s="13"/>
      <c r="AN296" s="13"/>
      <c r="AO296" s="13"/>
      <c r="AP296" s="13"/>
      <c r="AQ296" s="14"/>
      <c r="AR296" s="15"/>
    </row>
    <row r="297" spans="1:44" s="17" customFormat="1" ht="30.95" hidden="1" customHeight="1" x14ac:dyDescent="0.2">
      <c r="A297" s="37"/>
      <c r="B297" s="38"/>
      <c r="C297" s="45"/>
      <c r="D297" s="31"/>
      <c r="E297" s="31"/>
      <c r="F297" s="268"/>
      <c r="G297" s="269"/>
      <c r="H297" s="269"/>
      <c r="I297" s="270"/>
      <c r="J297" s="32"/>
      <c r="K297" s="270"/>
      <c r="L297" s="270"/>
      <c r="M297" s="39"/>
      <c r="N297" s="39"/>
      <c r="O297" s="47"/>
      <c r="P297" s="57"/>
      <c r="Q297" s="276"/>
      <c r="R297" s="277"/>
      <c r="S297" s="277"/>
      <c r="T297" s="40"/>
      <c r="U297" s="278"/>
      <c r="V297" s="269"/>
      <c r="W297" s="269"/>
      <c r="X297" s="275"/>
      <c r="Y297" s="269"/>
      <c r="Z297" s="57"/>
      <c r="AA297" s="207"/>
      <c r="AB297" s="33"/>
      <c r="AC297" s="189"/>
      <c r="AD297" s="54"/>
      <c r="AE297" s="55"/>
      <c r="AF297" s="43"/>
      <c r="AG297" s="47"/>
      <c r="AH297" s="30"/>
      <c r="AI297" s="30"/>
      <c r="AJ297" s="30"/>
      <c r="AK297" s="30"/>
      <c r="AL297" s="13"/>
      <c r="AM297" s="13"/>
      <c r="AN297" s="13"/>
      <c r="AO297" s="13"/>
      <c r="AP297" s="13"/>
      <c r="AQ297" s="14"/>
      <c r="AR297" s="15"/>
    </row>
    <row r="298" spans="1:44" s="17" customFormat="1" ht="30.95" hidden="1" customHeight="1" x14ac:dyDescent="0.2">
      <c r="A298" s="37" t="s">
        <v>1025</v>
      </c>
      <c r="B298" s="38" t="s">
        <v>1026</v>
      </c>
      <c r="C298" s="45"/>
      <c r="D298" s="31"/>
      <c r="E298" s="31"/>
      <c r="F298" s="268"/>
      <c r="G298" s="269"/>
      <c r="H298" s="269"/>
      <c r="I298" s="270"/>
      <c r="J298" s="32" t="s">
        <v>1035</v>
      </c>
      <c r="K298" s="270"/>
      <c r="L298" s="270"/>
      <c r="M298" s="39"/>
      <c r="N298" s="39"/>
      <c r="O298" s="47"/>
      <c r="P298" s="57"/>
      <c r="Q298" s="276"/>
      <c r="R298" s="277"/>
      <c r="S298" s="277"/>
      <c r="T298" s="40"/>
      <c r="U298" s="278"/>
      <c r="V298" s="269"/>
      <c r="W298" s="269"/>
      <c r="X298" s="275"/>
      <c r="Y298" s="269"/>
      <c r="Z298" s="57"/>
      <c r="AA298" s="207"/>
      <c r="AB298" s="33"/>
      <c r="AC298" s="189"/>
      <c r="AD298" s="54"/>
      <c r="AE298" s="55"/>
      <c r="AF298" s="43"/>
      <c r="AG298" s="47"/>
      <c r="AH298" s="30"/>
      <c r="AI298" s="30"/>
      <c r="AJ298" s="30"/>
      <c r="AK298" s="30"/>
      <c r="AL298" s="13"/>
      <c r="AM298" s="13"/>
      <c r="AN298" s="13"/>
      <c r="AO298" s="13"/>
      <c r="AP298" s="13"/>
      <c r="AQ298" s="14"/>
      <c r="AR298" s="15"/>
    </row>
    <row r="299" spans="1:44" s="17" customFormat="1" ht="30.95" hidden="1" customHeight="1" x14ac:dyDescent="0.2">
      <c r="A299" s="37"/>
      <c r="B299" s="38"/>
      <c r="C299" s="45"/>
      <c r="D299" s="31"/>
      <c r="E299" s="31"/>
      <c r="F299" s="268"/>
      <c r="G299" s="269"/>
      <c r="H299" s="269"/>
      <c r="I299" s="270"/>
      <c r="J299" s="32"/>
      <c r="K299" s="270"/>
      <c r="L299" s="270"/>
      <c r="M299" s="39"/>
      <c r="N299" s="39"/>
      <c r="O299" s="47"/>
      <c r="P299" s="57"/>
      <c r="Q299" s="276"/>
      <c r="R299" s="277"/>
      <c r="S299" s="277"/>
      <c r="T299" s="40"/>
      <c r="U299" s="278"/>
      <c r="V299" s="269"/>
      <c r="W299" s="269"/>
      <c r="X299" s="275"/>
      <c r="Y299" s="269"/>
      <c r="Z299" s="57"/>
      <c r="AA299" s="207"/>
      <c r="AB299" s="33"/>
      <c r="AC299" s="189"/>
      <c r="AD299" s="54"/>
      <c r="AE299" s="55"/>
      <c r="AF299" s="43"/>
      <c r="AG299" s="47"/>
      <c r="AH299" s="30"/>
      <c r="AI299" s="30"/>
      <c r="AJ299" s="30"/>
      <c r="AK299" s="30"/>
      <c r="AL299" s="13"/>
      <c r="AM299" s="13"/>
      <c r="AN299" s="13"/>
      <c r="AO299" s="13"/>
      <c r="AP299" s="13"/>
      <c r="AQ299" s="14"/>
      <c r="AR299" s="15"/>
    </row>
    <row r="300" spans="1:44" s="17" customFormat="1" ht="30.95" hidden="1" customHeight="1" x14ac:dyDescent="0.2">
      <c r="A300" s="37" t="s">
        <v>1027</v>
      </c>
      <c r="B300" s="38" t="s">
        <v>1028</v>
      </c>
      <c r="C300" s="45"/>
      <c r="D300" s="31"/>
      <c r="E300" s="31"/>
      <c r="F300" s="268"/>
      <c r="G300" s="269"/>
      <c r="H300" s="269"/>
      <c r="I300" s="270"/>
      <c r="J300" s="32" t="s">
        <v>1035</v>
      </c>
      <c r="K300" s="270"/>
      <c r="L300" s="270"/>
      <c r="M300" s="39"/>
      <c r="N300" s="39"/>
      <c r="O300" s="47"/>
      <c r="P300" s="57"/>
      <c r="Q300" s="276"/>
      <c r="R300" s="277"/>
      <c r="S300" s="277"/>
      <c r="T300" s="40"/>
      <c r="U300" s="278"/>
      <c r="V300" s="269"/>
      <c r="W300" s="269"/>
      <c r="X300" s="275"/>
      <c r="Y300" s="269"/>
      <c r="Z300" s="57"/>
      <c r="AA300" s="207"/>
      <c r="AB300" s="33"/>
      <c r="AC300" s="189"/>
      <c r="AD300" s="54"/>
      <c r="AE300" s="55"/>
      <c r="AF300" s="43"/>
      <c r="AG300" s="47"/>
      <c r="AH300" s="30"/>
      <c r="AI300" s="30"/>
      <c r="AJ300" s="30"/>
      <c r="AK300" s="30"/>
      <c r="AL300" s="13"/>
      <c r="AM300" s="13"/>
      <c r="AN300" s="13"/>
      <c r="AO300" s="13"/>
      <c r="AP300" s="13"/>
      <c r="AQ300" s="14"/>
      <c r="AR300" s="15"/>
    </row>
    <row r="301" spans="1:44" s="17" customFormat="1" ht="30.95" hidden="1" customHeight="1" x14ac:dyDescent="0.2">
      <c r="A301" s="37"/>
      <c r="B301" s="38"/>
      <c r="C301" s="45"/>
      <c r="D301" s="31"/>
      <c r="E301" s="31"/>
      <c r="F301" s="268"/>
      <c r="G301" s="269"/>
      <c r="H301" s="269"/>
      <c r="I301" s="270"/>
      <c r="J301" s="32"/>
      <c r="K301" s="270"/>
      <c r="L301" s="270"/>
      <c r="M301" s="39"/>
      <c r="N301" s="39"/>
      <c r="O301" s="47"/>
      <c r="P301" s="57"/>
      <c r="Q301" s="276"/>
      <c r="R301" s="277"/>
      <c r="S301" s="277"/>
      <c r="T301" s="40"/>
      <c r="U301" s="278"/>
      <c r="V301" s="269"/>
      <c r="W301" s="269"/>
      <c r="X301" s="275"/>
      <c r="Y301" s="269"/>
      <c r="Z301" s="57"/>
      <c r="AA301" s="207"/>
      <c r="AB301" s="33"/>
      <c r="AC301" s="189"/>
      <c r="AD301" s="54"/>
      <c r="AE301" s="55"/>
      <c r="AF301" s="43"/>
      <c r="AG301" s="47"/>
      <c r="AH301" s="30"/>
      <c r="AI301" s="30"/>
      <c r="AJ301" s="30"/>
      <c r="AK301" s="30"/>
      <c r="AL301" s="13"/>
      <c r="AM301" s="13"/>
      <c r="AN301" s="13"/>
      <c r="AO301" s="13"/>
      <c r="AP301" s="13"/>
      <c r="AQ301" s="14"/>
      <c r="AR301" s="15"/>
    </row>
    <row r="302" spans="1:44" s="17" customFormat="1" ht="30.95" hidden="1" customHeight="1" x14ac:dyDescent="0.2">
      <c r="A302" s="37" t="s">
        <v>1029</v>
      </c>
      <c r="B302" s="38" t="s">
        <v>1030</v>
      </c>
      <c r="C302" s="45"/>
      <c r="D302" s="31"/>
      <c r="E302" s="31"/>
      <c r="F302" s="268"/>
      <c r="G302" s="269"/>
      <c r="H302" s="269"/>
      <c r="I302" s="270"/>
      <c r="J302" s="32" t="s">
        <v>1035</v>
      </c>
      <c r="K302" s="270"/>
      <c r="L302" s="270"/>
      <c r="M302" s="39"/>
      <c r="N302" s="39"/>
      <c r="O302" s="47"/>
      <c r="P302" s="57"/>
      <c r="Q302" s="276"/>
      <c r="R302" s="277"/>
      <c r="S302" s="277"/>
      <c r="T302" s="40"/>
      <c r="U302" s="278"/>
      <c r="V302" s="269"/>
      <c r="W302" s="269"/>
      <c r="X302" s="275"/>
      <c r="Y302" s="269"/>
      <c r="Z302" s="57"/>
      <c r="AA302" s="207"/>
      <c r="AB302" s="33"/>
      <c r="AC302" s="189"/>
      <c r="AD302" s="54"/>
      <c r="AE302" s="55"/>
      <c r="AF302" s="43"/>
      <c r="AG302" s="47"/>
      <c r="AH302" s="30"/>
      <c r="AI302" s="30"/>
      <c r="AJ302" s="30"/>
      <c r="AK302" s="30"/>
      <c r="AL302" s="13"/>
      <c r="AM302" s="13"/>
      <c r="AN302" s="13"/>
      <c r="AO302" s="13"/>
      <c r="AP302" s="13"/>
      <c r="AQ302" s="14"/>
      <c r="AR302" s="15"/>
    </row>
    <row r="303" spans="1:44" s="17" customFormat="1" ht="30.95" hidden="1" customHeight="1" x14ac:dyDescent="0.2">
      <c r="A303" s="37"/>
      <c r="B303" s="38"/>
      <c r="C303" s="45"/>
      <c r="D303" s="31"/>
      <c r="E303" s="31"/>
      <c r="F303" s="268"/>
      <c r="G303" s="269"/>
      <c r="H303" s="269"/>
      <c r="I303" s="270"/>
      <c r="J303" s="32"/>
      <c r="K303" s="270"/>
      <c r="L303" s="270"/>
      <c r="M303" s="39"/>
      <c r="N303" s="39"/>
      <c r="O303" s="47"/>
      <c r="P303" s="57"/>
      <c r="Q303" s="276"/>
      <c r="R303" s="277"/>
      <c r="S303" s="277"/>
      <c r="T303" s="40"/>
      <c r="U303" s="278"/>
      <c r="V303" s="269"/>
      <c r="W303" s="269"/>
      <c r="X303" s="275"/>
      <c r="Y303" s="269"/>
      <c r="Z303" s="57"/>
      <c r="AA303" s="207"/>
      <c r="AB303" s="33"/>
      <c r="AC303" s="189"/>
      <c r="AD303" s="54"/>
      <c r="AE303" s="55"/>
      <c r="AF303" s="43"/>
      <c r="AG303" s="47"/>
      <c r="AH303" s="30"/>
      <c r="AI303" s="30"/>
      <c r="AJ303" s="30"/>
      <c r="AK303" s="30"/>
      <c r="AL303" s="13"/>
      <c r="AM303" s="13"/>
      <c r="AN303" s="13"/>
      <c r="AO303" s="13"/>
      <c r="AP303" s="13"/>
      <c r="AQ303" s="14"/>
      <c r="AR303" s="15"/>
    </row>
    <row r="304" spans="1:44" s="17" customFormat="1" ht="30.95" hidden="1" customHeight="1" x14ac:dyDescent="0.2">
      <c r="A304" s="37" t="s">
        <v>1033</v>
      </c>
      <c r="B304" s="38" t="s">
        <v>1034</v>
      </c>
      <c r="C304" s="45"/>
      <c r="D304" s="31"/>
      <c r="E304" s="31"/>
      <c r="F304" s="268"/>
      <c r="G304" s="269"/>
      <c r="H304" s="269"/>
      <c r="I304" s="270"/>
      <c r="J304" s="32" t="s">
        <v>448</v>
      </c>
      <c r="K304" s="270"/>
      <c r="L304" s="270"/>
      <c r="M304" s="39"/>
      <c r="N304" s="39"/>
      <c r="O304" s="47"/>
      <c r="P304" s="57"/>
      <c r="Q304" s="276"/>
      <c r="R304" s="277"/>
      <c r="S304" s="277"/>
      <c r="T304" s="40"/>
      <c r="U304" s="278"/>
      <c r="V304" s="269"/>
      <c r="W304" s="269"/>
      <c r="X304" s="275"/>
      <c r="Y304" s="269"/>
      <c r="Z304" s="57"/>
      <c r="AA304" s="207"/>
      <c r="AB304" s="33"/>
      <c r="AC304" s="189"/>
      <c r="AD304" s="54"/>
      <c r="AE304" s="55"/>
      <c r="AF304" s="43"/>
      <c r="AG304" s="47"/>
      <c r="AH304" s="30"/>
      <c r="AI304" s="30"/>
      <c r="AJ304" s="30"/>
      <c r="AK304" s="30"/>
      <c r="AL304" s="13"/>
      <c r="AM304" s="13"/>
      <c r="AN304" s="13"/>
      <c r="AO304" s="13"/>
      <c r="AP304" s="13"/>
      <c r="AQ304" s="14"/>
      <c r="AR304" s="15"/>
    </row>
    <row r="305" spans="1:44" s="17" customFormat="1" ht="30.95" hidden="1" customHeight="1" x14ac:dyDescent="0.2">
      <c r="A305" s="37"/>
      <c r="B305" s="38"/>
      <c r="C305" s="45"/>
      <c r="D305" s="31"/>
      <c r="E305" s="31"/>
      <c r="F305" s="268"/>
      <c r="G305" s="269"/>
      <c r="H305" s="269"/>
      <c r="I305" s="270"/>
      <c r="J305" s="32"/>
      <c r="K305" s="270"/>
      <c r="L305" s="270"/>
      <c r="M305" s="39"/>
      <c r="N305" s="39"/>
      <c r="O305" s="47"/>
      <c r="P305" s="57"/>
      <c r="Q305" s="276"/>
      <c r="R305" s="277"/>
      <c r="S305" s="277"/>
      <c r="T305" s="40"/>
      <c r="U305" s="278"/>
      <c r="V305" s="269"/>
      <c r="W305" s="269"/>
      <c r="X305" s="275"/>
      <c r="Y305" s="269"/>
      <c r="Z305" s="57"/>
      <c r="AA305" s="207"/>
      <c r="AB305" s="33"/>
      <c r="AC305" s="189"/>
      <c r="AD305" s="54"/>
      <c r="AE305" s="55"/>
      <c r="AF305" s="43"/>
      <c r="AG305" s="47"/>
      <c r="AH305" s="30"/>
      <c r="AI305" s="30"/>
      <c r="AJ305" s="30"/>
      <c r="AK305" s="30"/>
      <c r="AL305" s="13"/>
      <c r="AM305" s="13"/>
      <c r="AN305" s="13"/>
      <c r="AO305" s="13"/>
      <c r="AP305" s="13"/>
      <c r="AQ305" s="14"/>
      <c r="AR305" s="15"/>
    </row>
    <row r="306" spans="1:44" s="17" customFormat="1" ht="30.95" hidden="1" customHeight="1" x14ac:dyDescent="0.2">
      <c r="A306" s="37" t="s">
        <v>1047</v>
      </c>
      <c r="B306" s="38" t="s">
        <v>1048</v>
      </c>
      <c r="C306" s="45"/>
      <c r="D306" s="31">
        <v>5354175</v>
      </c>
      <c r="E306" s="31">
        <v>4151345</v>
      </c>
      <c r="F306" s="268" t="s">
        <v>927</v>
      </c>
      <c r="G306" s="269" t="s">
        <v>19</v>
      </c>
      <c r="H306" s="269" t="s">
        <v>1081</v>
      </c>
      <c r="I306" s="270" t="s">
        <v>222</v>
      </c>
      <c r="J306" s="32" t="s">
        <v>463</v>
      </c>
      <c r="K306" s="270">
        <v>25</v>
      </c>
      <c r="L306" s="270" t="s">
        <v>221</v>
      </c>
      <c r="M306" s="39">
        <v>1100</v>
      </c>
      <c r="N306" s="39">
        <v>6000</v>
      </c>
      <c r="O306" s="47">
        <v>2</v>
      </c>
      <c r="P306" s="213">
        <v>45026</v>
      </c>
      <c r="Q306" s="276">
        <v>1000</v>
      </c>
      <c r="R306" s="277">
        <v>1000</v>
      </c>
      <c r="S306" s="277">
        <v>5900</v>
      </c>
      <c r="T306" s="40">
        <v>2</v>
      </c>
      <c r="U306" s="302">
        <v>2</v>
      </c>
      <c r="V306" s="269" t="s">
        <v>1082</v>
      </c>
      <c r="W306" s="269">
        <v>1010</v>
      </c>
      <c r="X306" s="275">
        <v>2</v>
      </c>
      <c r="Y306" s="269" t="s">
        <v>116</v>
      </c>
      <c r="Z306" s="57"/>
      <c r="AA306" s="303" t="s">
        <v>1083</v>
      </c>
      <c r="AB306" s="33"/>
      <c r="AC306" s="189"/>
      <c r="AD306" s="54"/>
      <c r="AE306" s="55"/>
      <c r="AF306" s="43"/>
      <c r="AG306" s="47"/>
      <c r="AH306" s="30"/>
      <c r="AI306" s="30"/>
      <c r="AJ306" s="30"/>
      <c r="AK306" s="30"/>
      <c r="AL306" s="13"/>
      <c r="AM306" s="13"/>
      <c r="AN306" s="13"/>
      <c r="AO306" s="13"/>
      <c r="AP306" s="13"/>
      <c r="AQ306" s="14"/>
      <c r="AR306" s="15"/>
    </row>
    <row r="307" spans="1:44" s="17" customFormat="1" ht="30.95" hidden="1" customHeight="1" x14ac:dyDescent="0.2">
      <c r="A307" s="37"/>
      <c r="B307" s="38"/>
      <c r="C307" s="45"/>
      <c r="D307" s="300" t="s">
        <v>932</v>
      </c>
      <c r="E307" s="31"/>
      <c r="F307" s="268"/>
      <c r="G307" s="269"/>
      <c r="H307" s="269"/>
      <c r="I307" s="270"/>
      <c r="J307" s="32"/>
      <c r="K307" s="270"/>
      <c r="L307" s="270"/>
      <c r="M307" s="39"/>
      <c r="N307" s="39"/>
      <c r="O307" s="47"/>
      <c r="P307" s="57"/>
      <c r="Q307" s="276"/>
      <c r="R307" s="277"/>
      <c r="S307" s="277"/>
      <c r="T307" s="40"/>
      <c r="U307" s="278"/>
      <c r="V307" s="269"/>
      <c r="W307" s="269"/>
      <c r="X307" s="275"/>
      <c r="Y307" s="269"/>
      <c r="Z307" s="57"/>
      <c r="AA307" s="207" t="str">
        <f>IFERROR(VLOOKUP(F307&amp;K307&amp;M307,製品マスタ!$M$5:$AM$5002,27,FALSE),"")</f>
        <v/>
      </c>
      <c r="AB307" s="33"/>
      <c r="AC307" s="189"/>
      <c r="AD307" s="54"/>
      <c r="AE307" s="55"/>
      <c r="AF307" s="43"/>
      <c r="AG307" s="47"/>
      <c r="AH307" s="30"/>
      <c r="AI307" s="30"/>
      <c r="AJ307" s="30"/>
      <c r="AK307" s="30"/>
      <c r="AL307" s="13"/>
      <c r="AM307" s="13"/>
      <c r="AN307" s="13"/>
      <c r="AO307" s="13"/>
      <c r="AP307" s="13"/>
      <c r="AQ307" s="14"/>
      <c r="AR307" s="15"/>
    </row>
    <row r="308" spans="1:44" s="17" customFormat="1" ht="30.95" hidden="1" customHeight="1" x14ac:dyDescent="0.2">
      <c r="A308" s="37" t="s">
        <v>1049</v>
      </c>
      <c r="B308" s="38" t="s">
        <v>1050</v>
      </c>
      <c r="C308" s="45"/>
      <c r="D308" s="31">
        <v>3703996</v>
      </c>
      <c r="E308" s="31">
        <v>4151335</v>
      </c>
      <c r="F308" s="268" t="str">
        <f>IF(D308="","",VLOOKUP(D308,契約台帳!$A$3:$K$4986,6,FALSE)&amp;VLOOKUP(D308,契約台帳!$A$3:$K$4986,7,FALSE)&amp;VLOOKUP(D308,契約台帳!$A$3:$K$4986,8,FALSE)&amp;VLOOKUP(D308,契約台帳!$A$3:$K$4986,9,FALSE)&amp;VLOOKUP(D308,契約台帳!$A$3:$K$4986,11,FALSE))</f>
        <v>3SNMLBMNGTBF</v>
      </c>
      <c r="G308" s="269" t="str">
        <f>IF(D308="","",VLOOKUP(F308,製品マスタ!$G$5:$H$5002,2,FALSE))</f>
        <v>S</v>
      </c>
      <c r="H308" s="269" t="str">
        <f>IF(D308="","",VLOOKUP(F308,製品マスタ!$G$5:$K$5002,5,FALSE))</f>
        <v>MNGTBF</v>
      </c>
      <c r="I308" s="270" t="str">
        <f>IF(D308="","",VLOOKUP(F308,製品マスタ!$G$5:$L$5002,6,FALSE))</f>
        <v>メタルミー　ネーマー　銀艶　Ｂ</v>
      </c>
      <c r="J308" s="32" t="s">
        <v>1051</v>
      </c>
      <c r="K308" s="270">
        <f>IF(D308="","",VLOOKUP(D308,契約台帳!$A$3:$L$4986,12,FALSE))</f>
        <v>50</v>
      </c>
      <c r="L308" s="270" t="str">
        <f>IF(D308="","",INDEX(製品マスタ!$Q$5:$Q$5002,MATCH(F308&amp;K308,製品マスタ!$AO$5:$AO$5002,0)))</f>
        <v>T62</v>
      </c>
      <c r="M308" s="39">
        <v>1120</v>
      </c>
      <c r="N308" s="39">
        <v>10000</v>
      </c>
      <c r="O308" s="47">
        <v>3</v>
      </c>
      <c r="P308" s="57"/>
      <c r="Q308" s="276">
        <f>IF(D308="","",IF(J308="リード付け",M308,VLOOKUP(D308,契約台帳!$A$3:$N$4986,14,FALSE)))</f>
        <v>1120</v>
      </c>
      <c r="R308" s="277">
        <f>IF(D308="","",IF(J308="リード付け",M308,VLOOKUP(D308,契約台帳!$A$3:$O$4986,15,FALSE)))</f>
        <v>1120</v>
      </c>
      <c r="S308" s="277">
        <f>IF(D308="","",IF(J308="リード付け",N308,VLOOKUP(D308,契約台帳!$A$3:$P$4986,16,FALSE)))</f>
        <v>5000</v>
      </c>
      <c r="T308" s="40">
        <v>6</v>
      </c>
      <c r="U308" s="278">
        <f ca="1">IF(D308="","",IF(OFFSET(D308,-2,0)=D308,"",VLOOKUP(D308,契約台帳!$A$3:$R$4986,18,FALSE)))</f>
        <v>12</v>
      </c>
      <c r="V308" s="269" t="str">
        <f>IF(J308="巻返し",VLOOKUP(F308&amp;K308&amp;M308,製品マスタ!$M$5:$AD$5002,18,FALSE),IF(J308="リード付け","原反コア",IF(J308="スリット",VLOOKUP(F308&amp;K308&amp;Q308,製品マスタ!$N$5:$AD$5002,17,FALSE),"")))</f>
        <v>6ｲﾝﾁSｺｱ</v>
      </c>
      <c r="W308" s="269">
        <f>IF(J308="巻返し",VLOOKUP(F308&amp;K308&amp;M308,製品マスタ!$M$5:$AE$5002,19,FALSE),IF(J308="リード付け","-",IF(J308="スリット",VLOOKUP(F308&amp;K308&amp;Q308,製品マスタ!$N$5:$AE$5002,18,FALSE),"")))</f>
        <v>1125</v>
      </c>
      <c r="X308" s="275">
        <f>IF(D308="","",VLOOKUP(D308,契約台帳!$A$3:$Q$4986,17,FALSE))</f>
        <v>2</v>
      </c>
      <c r="Y308" s="269" t="str">
        <f>IF(D308="","",VLOOKUP(D308,契約台帳!$A$3:$E$4986,5,FALSE))</f>
        <v>リンテック㈱</v>
      </c>
      <c r="Z308" s="57">
        <v>45030</v>
      </c>
      <c r="AA308" s="207" t="str">
        <f>IFERROR(VLOOKUP(F308&amp;K308&amp;M308,製品マスタ!$M$5:$AM$5002,27,FALSE),"")</f>
        <v>原反ケース再利用</v>
      </c>
      <c r="AB308" s="33"/>
      <c r="AC308" s="189"/>
      <c r="AD308" s="54" t="str">
        <f>IF(F308="","",+F308&amp;K308)</f>
        <v>3SNMLBMNGTBF50</v>
      </c>
      <c r="AE308" s="55">
        <f>+M308*N308*O308/1000</f>
        <v>33600</v>
      </c>
      <c r="AF308" s="43">
        <f>IF(AD308="","",VLOOKUP(AD308,原価マスタ!$A$2:$AJ$1693,13,FALSE))</f>
        <v>99</v>
      </c>
      <c r="AG308" s="47">
        <f>IF(AF308="","",+AE308*AF308/100)</f>
        <v>33264</v>
      </c>
      <c r="AH308" s="30"/>
      <c r="AI308" s="30"/>
      <c r="AJ308" s="30"/>
      <c r="AK308" s="30"/>
      <c r="AL308" s="13"/>
      <c r="AM308" s="13"/>
      <c r="AN308" s="13"/>
      <c r="AO308" s="13"/>
      <c r="AP308" s="13"/>
      <c r="AQ308" s="14"/>
      <c r="AR308" s="15"/>
    </row>
    <row r="309" spans="1:44" s="17" customFormat="1" ht="30.95" hidden="1" customHeight="1" x14ac:dyDescent="0.2">
      <c r="A309" s="37"/>
      <c r="B309" s="38"/>
      <c r="C309" s="45"/>
      <c r="D309" s="31"/>
      <c r="E309" s="31"/>
      <c r="F309" s="268" t="str">
        <f>IF(D309="","",VLOOKUP(D309,契約台帳!$A$3:$K$4986,6,FALSE)&amp;VLOOKUP(D309,契約台帳!$A$3:$K$4986,7,FALSE)&amp;VLOOKUP(D309,契約台帳!$A$3:$K$4986,8,FALSE)&amp;VLOOKUP(D309,契約台帳!$A$3:$K$4986,9,FALSE)&amp;VLOOKUP(D309,契約台帳!$A$3:$K$4986,11,FALSE))</f>
        <v/>
      </c>
      <c r="G309" s="269" t="str">
        <f>IF(D309="","",VLOOKUP(F309,製品マスタ!$G$5:$H$5002,2,FALSE))</f>
        <v/>
      </c>
      <c r="H309" s="269" t="str">
        <f>IF(D309="","",VLOOKUP(F309,製品マスタ!$G$5:$K$5002,5,FALSE))</f>
        <v/>
      </c>
      <c r="I309" s="270" t="str">
        <f>IF(D309="","",VLOOKUP(F309,製品マスタ!$G$5:$L$5002,6,FALSE))</f>
        <v/>
      </c>
      <c r="J309" s="32"/>
      <c r="K309" s="270" t="str">
        <f>IF(D309="","",VLOOKUP(D309,契約台帳!$A$3:$L$4986,12,FALSE))</f>
        <v/>
      </c>
      <c r="L309" s="270" t="str">
        <f>IF(D309="","",INDEX(製品マスタ!$Q$5:$Q$5002,MATCH(F309&amp;K309,製品マスタ!$AO$5:$AO$5002,0)))</f>
        <v/>
      </c>
      <c r="M309" s="39"/>
      <c r="N309" s="39"/>
      <c r="O309" s="47"/>
      <c r="P309" s="57"/>
      <c r="Q309" s="276" t="str">
        <f>IF(D309="","",IF(J309="リード付け",M309,VLOOKUP(D309,契約台帳!$A$3:$N$4986,14,FALSE)))</f>
        <v/>
      </c>
      <c r="R309" s="277" t="str">
        <f>IF(D309="","",IF(J309="リード付け",M309,VLOOKUP(D309,契約台帳!$A$3:$O$4986,15,FALSE)))</f>
        <v/>
      </c>
      <c r="S309" s="277" t="str">
        <f>IF(D309="","",IF(J309="リード付け",N309,VLOOKUP(D309,契約台帳!$A$3:$P$4986,16,FALSE)))</f>
        <v/>
      </c>
      <c r="T309" s="40"/>
      <c r="U309" s="278" t="str">
        <f ca="1">IF(D309="","",IF(OFFSET(D309,-2,0)=D309,"",VLOOKUP(D309,契約台帳!$A$3:$R$4986,18,FALSE)))</f>
        <v/>
      </c>
      <c r="V309" s="269" t="str">
        <f>IF(J309="巻返し",VLOOKUP(F309&amp;K309&amp;M309,製品マスタ!$M$5:$AD$5002,18,FALSE),IF(J309="リード付け","原反コア",IF(J309="スリット",VLOOKUP(F309&amp;K309&amp;Q309,製品マスタ!$N$5:$AD$5002,17,FALSE),"")))</f>
        <v/>
      </c>
      <c r="W309" s="269" t="str">
        <f>IF(J309="巻返し",VLOOKUP(F309&amp;K309&amp;M309,製品マスタ!$M$5:$AE$5002,19,FALSE),IF(J309="リード付け","-",IF(J309="スリット",VLOOKUP(F309&amp;K309&amp;Q309,製品マスタ!$N$5:$AE$5002,18,FALSE),"")))</f>
        <v/>
      </c>
      <c r="X309" s="275" t="str">
        <f>IF(D309="","",VLOOKUP(D309,契約台帳!$A$3:$Q$4986,17,FALSE))</f>
        <v/>
      </c>
      <c r="Y309" s="269" t="str">
        <f>IF(D309="","",VLOOKUP(D309,契約台帳!$A$3:$E$4986,5,FALSE))</f>
        <v/>
      </c>
      <c r="Z309" s="57"/>
      <c r="AA309" s="207" t="str">
        <f>IFERROR(VLOOKUP(F309&amp;K309&amp;M309,製品マスタ!$M$5:$AM$5002,27,FALSE),"")</f>
        <v/>
      </c>
      <c r="AB309" s="33"/>
      <c r="AC309" s="189"/>
      <c r="AD309" s="54"/>
      <c r="AE309" s="55"/>
      <c r="AF309" s="43"/>
      <c r="AG309" s="47"/>
      <c r="AH309" s="30"/>
      <c r="AI309" s="30"/>
      <c r="AJ309" s="30"/>
      <c r="AK309" s="30"/>
      <c r="AL309" s="13"/>
      <c r="AM309" s="13"/>
      <c r="AN309" s="13"/>
      <c r="AO309" s="13"/>
      <c r="AP309" s="13"/>
      <c r="AQ309" s="14"/>
      <c r="AR309" s="15"/>
    </row>
    <row r="310" spans="1:44" s="17" customFormat="1" ht="30.95" hidden="1" customHeight="1" x14ac:dyDescent="0.2">
      <c r="A310" s="37" t="s">
        <v>1037</v>
      </c>
      <c r="B310" s="38" t="s">
        <v>442</v>
      </c>
      <c r="C310" s="45"/>
      <c r="D310" s="31">
        <v>3703996</v>
      </c>
      <c r="E310" s="31">
        <v>4151335</v>
      </c>
      <c r="F310" s="268" t="str">
        <f>IF(D310="","",VLOOKUP(D310,契約台帳!$A$3:$K$4986,6,FALSE)&amp;VLOOKUP(D310,契約台帳!$A$3:$K$4986,7,FALSE)&amp;VLOOKUP(D310,契約台帳!$A$3:$K$4986,8,FALSE)&amp;VLOOKUP(D310,契約台帳!$A$3:$K$4986,9,FALSE)&amp;VLOOKUP(D310,契約台帳!$A$3:$K$4986,11,FALSE))</f>
        <v>3SNMLBMNGTBF</v>
      </c>
      <c r="G310" s="269" t="str">
        <f>IF(D310="","",VLOOKUP(F310,製品マスタ!$G$5:$H$5002,2,FALSE))</f>
        <v>S</v>
      </c>
      <c r="H310" s="269" t="str">
        <f>IF(D310="","",VLOOKUP(F310,製品マスタ!$G$5:$K$5002,5,FALSE))</f>
        <v>MNGTBF</v>
      </c>
      <c r="I310" s="270" t="str">
        <f>IF(D310="","",VLOOKUP(F310,製品マスタ!$G$5:$L$5002,6,FALSE))</f>
        <v>メタルミー　ネーマー　銀艶　Ｂ</v>
      </c>
      <c r="J310" s="32" t="s">
        <v>447</v>
      </c>
      <c r="K310" s="270">
        <f>IF(D310="","",VLOOKUP(D310,契約台帳!$A$3:$L$4986,12,FALSE))</f>
        <v>50</v>
      </c>
      <c r="L310" s="270" t="str">
        <f>IF(D310="","",INDEX(製品マスタ!$Q$5:$Q$5002,MATCH(F310&amp;K310,製品マスタ!$AO$5:$AO$5002,0)))</f>
        <v>T62</v>
      </c>
      <c r="M310" s="39">
        <v>1120</v>
      </c>
      <c r="N310" s="39">
        <v>10000</v>
      </c>
      <c r="O310" s="47">
        <v>3</v>
      </c>
      <c r="P310" s="57"/>
      <c r="Q310" s="276">
        <f>IF(D310="","",IF(J310="リード付け",M310,VLOOKUP(D310,契約台帳!$A$3:$N$4986,14,FALSE)))</f>
        <v>1120</v>
      </c>
      <c r="R310" s="277">
        <f>IF(D310="","",IF(J310="リード付け",M310,VLOOKUP(D310,契約台帳!$A$3:$O$4986,15,FALSE)))</f>
        <v>1120</v>
      </c>
      <c r="S310" s="277">
        <f>IF(D310="","",IF(J310="リード付け",N310,VLOOKUP(D310,契約台帳!$A$3:$P$4986,16,FALSE)))</f>
        <v>5000</v>
      </c>
      <c r="T310" s="40">
        <v>6</v>
      </c>
      <c r="U310" s="278" t="str">
        <f ca="1">IF(D310="","",IF(OFFSET(D310,-2,0)=D310,"",VLOOKUP(D310,契約台帳!$A$3:$R$4986,18,FALSE)))</f>
        <v/>
      </c>
      <c r="V310" s="269" t="str">
        <f>IF(J310="巻返し",VLOOKUP(F310&amp;K310&amp;M310,製品マスタ!$M$5:$AD$5002,18,FALSE),IF(J310="リード付け","原反コア",IF(J310="スリット",VLOOKUP(F310&amp;K310&amp;Q310,製品マスタ!$N$5:$AD$5002,17,FALSE),"")))</f>
        <v>6ｲﾝﾁSｺｱ</v>
      </c>
      <c r="W310" s="269">
        <f>IF(J310="巻返し",VLOOKUP(F310&amp;K310&amp;M310,製品マスタ!$M$5:$AE$5002,19,FALSE),IF(J310="リード付け","-",IF(J310="スリット",VLOOKUP(F310&amp;K310&amp;Q310,製品マスタ!$N$5:$AE$5002,18,FALSE),"")))</f>
        <v>1125</v>
      </c>
      <c r="X310" s="275">
        <f>IF(D310="","",VLOOKUP(D310,契約台帳!$A$3:$Q$4986,17,FALSE))</f>
        <v>2</v>
      </c>
      <c r="Y310" s="269" t="str">
        <f>IF(D310="","",VLOOKUP(D310,契約台帳!$A$3:$E$4986,5,FALSE))</f>
        <v>リンテック㈱</v>
      </c>
      <c r="Z310" s="57">
        <v>45030</v>
      </c>
      <c r="AA310" s="207" t="str">
        <f>IFERROR(VLOOKUP(F310&amp;K310&amp;M310,製品マスタ!$M$5:$AM$5002,27,FALSE),"")</f>
        <v>原反ケース再利用</v>
      </c>
      <c r="AB310" s="33"/>
      <c r="AC310" s="189"/>
      <c r="AD310" s="54" t="str">
        <f>IF(F310="","",+F310&amp;K310)</f>
        <v>3SNMLBMNGTBF50</v>
      </c>
      <c r="AE310" s="55">
        <f>+M310*N310*O310/1000</f>
        <v>33600</v>
      </c>
      <c r="AF310" s="43">
        <f>IF(AD310="","",VLOOKUP(AD310,原価マスタ!$A$2:$AJ$1693,13,FALSE))</f>
        <v>99</v>
      </c>
      <c r="AG310" s="47">
        <f>IF(AF310="","",+AE310*AF310/100)</f>
        <v>33264</v>
      </c>
      <c r="AH310" s="30"/>
      <c r="AI310" s="30"/>
      <c r="AJ310" s="30"/>
      <c r="AK310" s="30"/>
      <c r="AL310" s="13"/>
      <c r="AM310" s="13"/>
      <c r="AN310" s="13"/>
      <c r="AO310" s="13"/>
      <c r="AP310" s="13"/>
      <c r="AQ310" s="14"/>
      <c r="AR310" s="15"/>
    </row>
    <row r="311" spans="1:44" s="17" customFormat="1" ht="30.95" hidden="1" customHeight="1" x14ac:dyDescent="0.2">
      <c r="A311" s="37"/>
      <c r="B311" s="38"/>
      <c r="C311" s="45"/>
      <c r="D311" s="31"/>
      <c r="E311" s="31"/>
      <c r="F311" s="268"/>
      <c r="G311" s="269"/>
      <c r="H311" s="269"/>
      <c r="I311" s="270"/>
      <c r="J311" s="32"/>
      <c r="K311" s="270"/>
      <c r="L311" s="270"/>
      <c r="M311" s="39"/>
      <c r="N311" s="39"/>
      <c r="O311" s="47"/>
      <c r="P311" s="57"/>
      <c r="Q311" s="276"/>
      <c r="R311" s="277"/>
      <c r="S311" s="277"/>
      <c r="T311" s="40"/>
      <c r="U311" s="278"/>
      <c r="V311" s="269"/>
      <c r="W311" s="269"/>
      <c r="X311" s="275"/>
      <c r="Y311" s="269"/>
      <c r="Z311" s="57"/>
      <c r="AA311" s="207"/>
      <c r="AB311" s="33"/>
      <c r="AC311" s="189"/>
      <c r="AD311" s="54"/>
      <c r="AE311" s="55"/>
      <c r="AF311" s="43"/>
      <c r="AG311" s="47"/>
      <c r="AH311" s="30"/>
      <c r="AI311" s="30"/>
      <c r="AJ311" s="30"/>
      <c r="AK311" s="30"/>
      <c r="AL311" s="13"/>
      <c r="AM311" s="13"/>
      <c r="AN311" s="13"/>
      <c r="AO311" s="13"/>
      <c r="AP311" s="13"/>
      <c r="AQ311" s="14"/>
      <c r="AR311" s="15"/>
    </row>
    <row r="312" spans="1:44" s="17" customFormat="1" ht="30.95" hidden="1" customHeight="1" x14ac:dyDescent="0.2">
      <c r="A312" s="37"/>
      <c r="B312" s="38"/>
      <c r="C312" s="45"/>
      <c r="D312" s="31">
        <v>3703997</v>
      </c>
      <c r="E312" s="31">
        <v>4151336</v>
      </c>
      <c r="F312" s="268" t="str">
        <f>IF(D312="","",VLOOKUP(D312,契約台帳!$A$3:$K$4986,6,FALSE)&amp;VLOOKUP(D312,契約台帳!$A$3:$K$4986,7,FALSE)&amp;VLOOKUP(D312,契約台帳!$A$3:$K$4986,8,FALSE)&amp;VLOOKUP(D312,契約台帳!$A$3:$K$4986,9,FALSE)&amp;VLOOKUP(D312,契約台帳!$A$3:$K$4986,11,FALSE))</f>
        <v>3SNMLBMNGTBF</v>
      </c>
      <c r="G312" s="269" t="str">
        <f>IF(D312="","",VLOOKUP(F312,製品マスタ!$G$5:$H$5002,2,FALSE))</f>
        <v>S</v>
      </c>
      <c r="H312" s="269" t="str">
        <f>IF(D312="","",VLOOKUP(F312,製品マスタ!$G$5:$K$5002,5,FALSE))</f>
        <v>MNGTBF</v>
      </c>
      <c r="I312" s="270" t="str">
        <f>IF(D312="","",VLOOKUP(F312,製品マスタ!$G$5:$L$5002,6,FALSE))</f>
        <v>メタルミー　ネーマー　銀艶　Ｂ</v>
      </c>
      <c r="J312" s="32" t="s">
        <v>1051</v>
      </c>
      <c r="K312" s="270">
        <f>IF(D312="","",VLOOKUP(D312,契約台帳!$A$3:$L$4986,12,FALSE))</f>
        <v>50</v>
      </c>
      <c r="L312" s="270" t="str">
        <f>IF(D312="","",INDEX(製品マスタ!$Q$5:$Q$5002,MATCH(F312&amp;K312,製品マスタ!$AO$5:$AO$5002,0)))</f>
        <v>T62</v>
      </c>
      <c r="M312" s="39">
        <v>1120</v>
      </c>
      <c r="N312" s="39">
        <v>10000</v>
      </c>
      <c r="O312" s="47">
        <v>1</v>
      </c>
      <c r="P312" s="57"/>
      <c r="Q312" s="276">
        <f>IF(D312="","",IF(J312="リード付け",M312,VLOOKUP(D312,契約台帳!$A$3:$N$4986,14,FALSE)))</f>
        <v>1120</v>
      </c>
      <c r="R312" s="277">
        <f>IF(D312="","",IF(J312="リード付け",M312,VLOOKUP(D312,契約台帳!$A$3:$O$4986,15,FALSE)))</f>
        <v>1120</v>
      </c>
      <c r="S312" s="277">
        <f>IF(D312="","",IF(J312="リード付け",N312,VLOOKUP(D312,契約台帳!$A$3:$P$4986,16,FALSE)))</f>
        <v>5000</v>
      </c>
      <c r="T312" s="40">
        <v>2</v>
      </c>
      <c r="U312" s="278">
        <f ca="1">IF(D312="","",IF(OFFSET(D312,-2,0)=D312,"",VLOOKUP(D312,契約台帳!$A$3:$R$4986,18,FALSE)))</f>
        <v>12</v>
      </c>
      <c r="V312" s="269" t="str">
        <f>IF(J312="巻返し",VLOOKUP(F312&amp;K312&amp;M312,製品マスタ!$M$5:$AD$5002,18,FALSE),IF(J312="リード付け","原反コア",IF(J312="スリット",VLOOKUP(F312&amp;K312&amp;Q312,製品マスタ!$N$5:$AD$5002,17,FALSE),"")))</f>
        <v>6ｲﾝﾁSｺｱ</v>
      </c>
      <c r="W312" s="269">
        <f>IF(J312="巻返し",VLOOKUP(F312&amp;K312&amp;M312,製品マスタ!$M$5:$AE$5002,19,FALSE),IF(J312="リード付け","-",IF(J312="スリット",VLOOKUP(F312&amp;K312&amp;Q312,製品マスタ!$N$5:$AE$5002,18,FALSE),"")))</f>
        <v>1125</v>
      </c>
      <c r="X312" s="275">
        <f>IF(D312="","",VLOOKUP(D312,契約台帳!$A$3:$Q$4986,17,FALSE))</f>
        <v>2</v>
      </c>
      <c r="Y312" s="269" t="str">
        <f>IF(D312="","",VLOOKUP(D312,契約台帳!$A$3:$E$4986,5,FALSE))</f>
        <v>リンテック㈱</v>
      </c>
      <c r="Z312" s="57">
        <v>45030</v>
      </c>
      <c r="AA312" s="207" t="str">
        <f>IFERROR(VLOOKUP(F312&amp;K312&amp;M312,製品マスタ!$M$5:$AM$5002,27,FALSE),"")</f>
        <v>原反ケース再利用</v>
      </c>
      <c r="AB312" s="33"/>
      <c r="AC312" s="189"/>
      <c r="AD312" s="54" t="str">
        <f>IF(F312="","",+F312&amp;K312)</f>
        <v>3SNMLBMNGTBF50</v>
      </c>
      <c r="AE312" s="55">
        <f>+M312*N312*O312/1000</f>
        <v>11200</v>
      </c>
      <c r="AF312" s="43">
        <f>IF(AD312="","",VLOOKUP(AD312,原価マスタ!$A$2:$AJ$1693,13,FALSE))</f>
        <v>99</v>
      </c>
      <c r="AG312" s="47">
        <f>IF(AF312="","",+AE312*AF312/100)</f>
        <v>11088</v>
      </c>
      <c r="AH312" s="30"/>
      <c r="AI312" s="30"/>
      <c r="AJ312" s="30"/>
      <c r="AK312" s="30"/>
      <c r="AL312" s="13"/>
      <c r="AM312" s="13"/>
      <c r="AN312" s="13"/>
      <c r="AO312" s="13"/>
      <c r="AP312" s="13"/>
      <c r="AQ312" s="14"/>
      <c r="AR312" s="15"/>
    </row>
    <row r="313" spans="1:44" s="17" customFormat="1" ht="30.95" hidden="1" customHeight="1" x14ac:dyDescent="0.2">
      <c r="A313" s="37"/>
      <c r="B313" s="38"/>
      <c r="C313" s="45"/>
      <c r="D313" s="31"/>
      <c r="E313" s="31"/>
      <c r="F313" s="268" t="str">
        <f>IF(D313="","",VLOOKUP(D313,契約台帳!$A$3:$K$4986,6,FALSE)&amp;VLOOKUP(D313,契約台帳!$A$3:$K$4986,7,FALSE)&amp;VLOOKUP(D313,契約台帳!$A$3:$K$4986,8,FALSE)&amp;VLOOKUP(D313,契約台帳!$A$3:$K$4986,9,FALSE)&amp;VLOOKUP(D313,契約台帳!$A$3:$K$4986,11,FALSE))</f>
        <v/>
      </c>
      <c r="G313" s="269" t="str">
        <f>IF(D313="","",VLOOKUP(F313,製品マスタ!$G$5:$H$5002,2,FALSE))</f>
        <v/>
      </c>
      <c r="H313" s="269" t="str">
        <f>IF(D313="","",VLOOKUP(F313,製品マスタ!$G$5:$K$5002,5,FALSE))</f>
        <v/>
      </c>
      <c r="I313" s="270" t="str">
        <f>IF(D313="","",VLOOKUP(F313,製品マスタ!$G$5:$L$5002,6,FALSE))</f>
        <v/>
      </c>
      <c r="J313" s="32"/>
      <c r="K313" s="270" t="str">
        <f>IF(D313="","",VLOOKUP(D313,契約台帳!$A$3:$L$4986,12,FALSE))</f>
        <v/>
      </c>
      <c r="L313" s="270" t="str">
        <f>IF(D313="","",INDEX(製品マスタ!$Q$5:$Q$5002,MATCH(F313&amp;K313,製品マスタ!$AO$5:$AO$5002,0)))</f>
        <v/>
      </c>
      <c r="M313" s="39"/>
      <c r="N313" s="39"/>
      <c r="O313" s="47"/>
      <c r="P313" s="57"/>
      <c r="Q313" s="276" t="str">
        <f>IF(D313="","",IF(J313="リード付け",M313,VLOOKUP(D313,契約台帳!$A$3:$N$4986,14,FALSE)))</f>
        <v/>
      </c>
      <c r="R313" s="277" t="str">
        <f>IF(D313="","",IF(J313="リード付け",M313,VLOOKUP(D313,契約台帳!$A$3:$O$4986,15,FALSE)))</f>
        <v/>
      </c>
      <c r="S313" s="277" t="str">
        <f>IF(D313="","",IF(J313="リード付け",N313,VLOOKUP(D313,契約台帳!$A$3:$P$4986,16,FALSE)))</f>
        <v/>
      </c>
      <c r="T313" s="40"/>
      <c r="U313" s="278" t="str">
        <f ca="1">IF(D313="","",IF(OFFSET(D313,-2,0)=D313,"",VLOOKUP(D313,契約台帳!$A$3:$R$4986,18,FALSE)))</f>
        <v/>
      </c>
      <c r="V313" s="269" t="str">
        <f>IF(J313="巻返し",VLOOKUP(F313&amp;K313&amp;M313,製品マスタ!$M$5:$AD$5002,18,FALSE),IF(J313="リード付け","原反コア",IF(J313="スリット",VLOOKUP(F313&amp;K313&amp;Q313,製品マスタ!$N$5:$AD$5002,17,FALSE),"")))</f>
        <v/>
      </c>
      <c r="W313" s="269" t="str">
        <f>IF(J313="巻返し",VLOOKUP(F313&amp;K313&amp;M313,製品マスタ!$M$5:$AE$5002,19,FALSE),IF(J313="リード付け","-",IF(J313="スリット",VLOOKUP(F313&amp;K313&amp;Q313,製品マスタ!$N$5:$AE$5002,18,FALSE),"")))</f>
        <v/>
      </c>
      <c r="X313" s="275" t="str">
        <f>IF(D313="","",VLOOKUP(D313,契約台帳!$A$3:$Q$4986,17,FALSE))</f>
        <v/>
      </c>
      <c r="Y313" s="269" t="str">
        <f>IF(D313="","",VLOOKUP(D313,契約台帳!$A$3:$E$4986,5,FALSE))</f>
        <v/>
      </c>
      <c r="Z313" s="57"/>
      <c r="AA313" s="207" t="str">
        <f>IFERROR(VLOOKUP(F313&amp;K313&amp;M313,製品マスタ!$M$5:$AM$5002,27,FALSE),"")</f>
        <v/>
      </c>
      <c r="AB313" s="33"/>
      <c r="AC313" s="189"/>
      <c r="AD313" s="54"/>
      <c r="AE313" s="55"/>
      <c r="AF313" s="43"/>
      <c r="AG313" s="47"/>
      <c r="AH313" s="30"/>
      <c r="AI313" s="30"/>
      <c r="AJ313" s="30"/>
      <c r="AK313" s="30"/>
      <c r="AL313" s="13"/>
      <c r="AM313" s="13"/>
      <c r="AN313" s="13"/>
      <c r="AO313" s="13"/>
      <c r="AP313" s="13"/>
      <c r="AQ313" s="14"/>
      <c r="AR313" s="15"/>
    </row>
    <row r="314" spans="1:44" s="17" customFormat="1" ht="30.95" hidden="1" customHeight="1" x14ac:dyDescent="0.2">
      <c r="A314" s="37" t="s">
        <v>1039</v>
      </c>
      <c r="B314" s="38" t="s">
        <v>443</v>
      </c>
      <c r="C314" s="45"/>
      <c r="D314" s="31">
        <v>3703997</v>
      </c>
      <c r="E314" s="31">
        <v>4151336</v>
      </c>
      <c r="F314" s="268" t="str">
        <f>IF(D314="","",VLOOKUP(D314,契約台帳!$A$3:$K$4986,6,FALSE)&amp;VLOOKUP(D314,契約台帳!$A$3:$K$4986,7,FALSE)&amp;VLOOKUP(D314,契約台帳!$A$3:$K$4986,8,FALSE)&amp;VLOOKUP(D314,契約台帳!$A$3:$K$4986,9,FALSE)&amp;VLOOKUP(D314,契約台帳!$A$3:$K$4986,11,FALSE))</f>
        <v>3SNMLBMNGTBF</v>
      </c>
      <c r="G314" s="269" t="str">
        <f>IF(D314="","",VLOOKUP(F314,製品マスタ!$G$5:$H$5002,2,FALSE))</f>
        <v>S</v>
      </c>
      <c r="H314" s="269" t="str">
        <f>IF(D314="","",VLOOKUP(F314,製品マスタ!$G$5:$K$5002,5,FALSE))</f>
        <v>MNGTBF</v>
      </c>
      <c r="I314" s="270" t="str">
        <f>IF(D314="","",VLOOKUP(F314,製品マスタ!$G$5:$L$5002,6,FALSE))</f>
        <v>メタルミー　ネーマー　銀艶　Ｂ</v>
      </c>
      <c r="J314" s="32" t="s">
        <v>447</v>
      </c>
      <c r="K314" s="270">
        <f>IF(D314="","",VLOOKUP(D314,契約台帳!$A$3:$L$4986,12,FALSE))</f>
        <v>50</v>
      </c>
      <c r="L314" s="270" t="str">
        <f>IF(D314="","",INDEX(製品マスタ!$Q$5:$Q$5002,MATCH(F314&amp;K314,製品マスタ!$AO$5:$AO$5002,0)))</f>
        <v>T62</v>
      </c>
      <c r="M314" s="39">
        <v>1120</v>
      </c>
      <c r="N314" s="39">
        <v>10000</v>
      </c>
      <c r="O314" s="47">
        <v>5</v>
      </c>
      <c r="P314" s="57"/>
      <c r="Q314" s="276">
        <f>IF(D314="","",IF(J314="リード付け",M314,VLOOKUP(D314,契約台帳!$A$3:$N$4986,14,FALSE)))</f>
        <v>1120</v>
      </c>
      <c r="R314" s="277">
        <f>IF(D314="","",IF(J314="リード付け",M314,VLOOKUP(D314,契約台帳!$A$3:$O$4986,15,FALSE)))</f>
        <v>1120</v>
      </c>
      <c r="S314" s="277">
        <f>IF(D314="","",IF(J314="リード付け",N314,VLOOKUP(D314,契約台帳!$A$3:$P$4986,16,FALSE)))</f>
        <v>5000</v>
      </c>
      <c r="T314" s="40">
        <v>10</v>
      </c>
      <c r="U314" s="278" t="str">
        <f ca="1">IF(D314="","",IF(OFFSET(D314,-2,0)=D314,"",VLOOKUP(D314,契約台帳!$A$3:$R$4986,18,FALSE)))</f>
        <v/>
      </c>
      <c r="V314" s="269" t="str">
        <f>IF(J314="巻返し",VLOOKUP(F314&amp;K314&amp;M314,製品マスタ!$M$5:$AD$5002,18,FALSE),IF(J314="リード付け","原反コア",IF(J314="スリット",VLOOKUP(F314&amp;K314&amp;Q314,製品マスタ!$N$5:$AD$5002,17,FALSE),"")))</f>
        <v>6ｲﾝﾁSｺｱ</v>
      </c>
      <c r="W314" s="269">
        <f>IF(J314="巻返し",VLOOKUP(F314&amp;K314&amp;M314,製品マスタ!$M$5:$AE$5002,19,FALSE),IF(J314="リード付け","-",IF(J314="スリット",VLOOKUP(F314&amp;K314&amp;Q314,製品マスタ!$N$5:$AE$5002,18,FALSE),"")))</f>
        <v>1125</v>
      </c>
      <c r="X314" s="275">
        <f>IF(D314="","",VLOOKUP(D314,契約台帳!$A$3:$Q$4986,17,FALSE))</f>
        <v>2</v>
      </c>
      <c r="Y314" s="269" t="str">
        <f>IF(D314="","",VLOOKUP(D314,契約台帳!$A$3:$E$4986,5,FALSE))</f>
        <v>リンテック㈱</v>
      </c>
      <c r="Z314" s="57">
        <v>45034</v>
      </c>
      <c r="AA314" s="207" t="str">
        <f>IFERROR(VLOOKUP(F314&amp;K314&amp;M314,製品マスタ!$M$5:$AM$5002,27,FALSE),"")</f>
        <v>原反ケース再利用</v>
      </c>
      <c r="AB314" s="33"/>
      <c r="AC314" s="189"/>
      <c r="AD314" s="54" t="str">
        <f>IF(F314="","",+F314&amp;K314)</f>
        <v>3SNMLBMNGTBF50</v>
      </c>
      <c r="AE314" s="55">
        <f>+M314*N314*O314/1000</f>
        <v>56000</v>
      </c>
      <c r="AF314" s="43">
        <f>IF(AD314="","",VLOOKUP(AD314,原価マスタ!$A$2:$AJ$1693,13,FALSE))</f>
        <v>99</v>
      </c>
      <c r="AG314" s="47">
        <f>IF(AF314="","",+AE314*AF314/100)</f>
        <v>55440</v>
      </c>
      <c r="AH314" s="30"/>
      <c r="AI314" s="30"/>
      <c r="AJ314" s="30"/>
      <c r="AK314" s="30"/>
      <c r="AL314" s="13"/>
      <c r="AM314" s="13"/>
      <c r="AN314" s="13"/>
      <c r="AO314" s="13"/>
      <c r="AP314" s="13"/>
      <c r="AQ314" s="14"/>
      <c r="AR314" s="15"/>
    </row>
    <row r="315" spans="1:44" s="17" customFormat="1" ht="30.95" hidden="1" customHeight="1" x14ac:dyDescent="0.2">
      <c r="A315" s="37"/>
      <c r="B315" s="38"/>
      <c r="C315" s="45"/>
      <c r="D315" s="31"/>
      <c r="E315" s="31"/>
      <c r="F315" s="268"/>
      <c r="G315" s="269"/>
      <c r="H315" s="269"/>
      <c r="I315" s="270"/>
      <c r="J315" s="32"/>
      <c r="K315" s="270"/>
      <c r="L315" s="270"/>
      <c r="M315" s="39"/>
      <c r="N315" s="39"/>
      <c r="O315" s="47"/>
      <c r="P315" s="57"/>
      <c r="Q315" s="276"/>
      <c r="R315" s="277"/>
      <c r="S315" s="277"/>
      <c r="T315" s="40"/>
      <c r="U315" s="278"/>
      <c r="V315" s="269"/>
      <c r="W315" s="269"/>
      <c r="X315" s="275"/>
      <c r="Y315" s="269"/>
      <c r="Z315" s="57"/>
      <c r="AA315" s="207"/>
      <c r="AB315" s="33"/>
      <c r="AC315" s="189"/>
      <c r="AD315" s="54"/>
      <c r="AE315" s="55"/>
      <c r="AF315" s="43"/>
      <c r="AG315" s="47"/>
      <c r="AH315" s="30"/>
      <c r="AI315" s="30"/>
      <c r="AJ315" s="30"/>
      <c r="AK315" s="30"/>
      <c r="AL315" s="13"/>
      <c r="AM315" s="13"/>
      <c r="AN315" s="13"/>
      <c r="AO315" s="13"/>
      <c r="AP315" s="13"/>
      <c r="AQ315" s="14"/>
      <c r="AR315" s="15"/>
    </row>
    <row r="316" spans="1:44" s="17" customFormat="1" ht="30.95" hidden="1" customHeight="1" x14ac:dyDescent="0.2">
      <c r="A316" s="37" t="s">
        <v>1041</v>
      </c>
      <c r="B316" s="38" t="s">
        <v>444</v>
      </c>
      <c r="C316" s="45"/>
      <c r="D316" s="31">
        <v>3703998</v>
      </c>
      <c r="E316" s="31">
        <v>4151337</v>
      </c>
      <c r="F316" s="268" t="str">
        <f>IF(D316="","",VLOOKUP(D316,契約台帳!$A$3:$K$4986,6,FALSE)&amp;VLOOKUP(D316,契約台帳!$A$3:$K$4986,7,FALSE)&amp;VLOOKUP(D316,契約台帳!$A$3:$K$4986,8,FALSE)&amp;VLOOKUP(D316,契約台帳!$A$3:$K$4986,9,FALSE)&amp;VLOOKUP(D316,契約台帳!$A$3:$K$4986,11,FALSE))</f>
        <v>3SNMLBMNGTBF</v>
      </c>
      <c r="G316" s="269" t="str">
        <f>IF(D316="","",VLOOKUP(F316,製品マスタ!$G$5:$H$5002,2,FALSE))</f>
        <v>S</v>
      </c>
      <c r="H316" s="269" t="str">
        <f>IF(D316="","",VLOOKUP(F316,製品マスタ!$G$5:$K$5002,5,FALSE))</f>
        <v>MNGTBF</v>
      </c>
      <c r="I316" s="270" t="str">
        <f>IF(D316="","",VLOOKUP(F316,製品マスタ!$G$5:$L$5002,6,FALSE))</f>
        <v>メタルミー　ネーマー　銀艶　Ｂ</v>
      </c>
      <c r="J316" s="32" t="s">
        <v>1051</v>
      </c>
      <c r="K316" s="270">
        <f>IF(D316="","",VLOOKUP(D316,契約台帳!$A$3:$L$4986,12,FALSE))</f>
        <v>50</v>
      </c>
      <c r="L316" s="270" t="str">
        <f>IF(D316="","",INDEX(製品マスタ!$Q$5:$Q$5002,MATCH(F316&amp;K316,製品マスタ!$AO$5:$AO$5002,0)))</f>
        <v>T62</v>
      </c>
      <c r="M316" s="39">
        <v>1120</v>
      </c>
      <c r="N316" s="39">
        <v>10000</v>
      </c>
      <c r="O316" s="47">
        <v>4</v>
      </c>
      <c r="P316" s="57"/>
      <c r="Q316" s="276">
        <f>IF(D316="","",IF(J316="リード付け",M316,VLOOKUP(D316,契約台帳!$A$3:$N$4986,14,FALSE)))</f>
        <v>1120</v>
      </c>
      <c r="R316" s="277">
        <f>IF(D316="","",IF(J316="リード付け",M316,VLOOKUP(D316,契約台帳!$A$3:$O$4986,15,FALSE)))</f>
        <v>1120</v>
      </c>
      <c r="S316" s="277">
        <f>IF(D316="","",IF(J316="リード付け",N316,VLOOKUP(D316,契約台帳!$A$3:$P$4986,16,FALSE)))</f>
        <v>5000</v>
      </c>
      <c r="T316" s="40">
        <v>8</v>
      </c>
      <c r="U316" s="278">
        <f ca="1">IF(D316="","",IF(OFFSET(D316,-2,0)=D316,"",VLOOKUP(D316,契約台帳!$A$3:$R$4986,18,FALSE)))</f>
        <v>12</v>
      </c>
      <c r="V316" s="269" t="str">
        <f>IF(J316="巻返し",VLOOKUP(F316&amp;K316&amp;M316,製品マスタ!$M$5:$AD$5002,18,FALSE),IF(J316="リード付け","原反コア",IF(J316="スリット",VLOOKUP(F316&amp;K316&amp;Q316,製品マスタ!$N$5:$AD$5002,17,FALSE),"")))</f>
        <v>6ｲﾝﾁSｺｱ</v>
      </c>
      <c r="W316" s="269">
        <f>IF(J316="巻返し",VLOOKUP(F316&amp;K316&amp;M316,製品マスタ!$M$5:$AE$5002,19,FALSE),IF(J316="リード付け","-",IF(J316="スリット",VLOOKUP(F316&amp;K316&amp;Q316,製品マスタ!$N$5:$AE$5002,18,FALSE),"")))</f>
        <v>1125</v>
      </c>
      <c r="X316" s="275">
        <f>IF(D316="","",VLOOKUP(D316,契約台帳!$A$3:$Q$4986,17,FALSE))</f>
        <v>2</v>
      </c>
      <c r="Y316" s="269" t="str">
        <f>IF(D316="","",VLOOKUP(D316,契約台帳!$A$3:$E$4986,5,FALSE))</f>
        <v>リンテック㈱</v>
      </c>
      <c r="Z316" s="57">
        <v>45034</v>
      </c>
      <c r="AA316" s="207" t="str">
        <f>IFERROR(VLOOKUP(F316&amp;K316&amp;M316,製品マスタ!$M$5:$AM$5002,27,FALSE),"")</f>
        <v>原反ケース再利用</v>
      </c>
      <c r="AB316" s="33"/>
      <c r="AC316" s="189"/>
      <c r="AD316" s="54" t="str">
        <f>IF(F316="","",+F316&amp;K316)</f>
        <v>3SNMLBMNGTBF50</v>
      </c>
      <c r="AE316" s="55">
        <f>+M316*N316*O316/1000</f>
        <v>44800</v>
      </c>
      <c r="AF316" s="43">
        <f>IF(AD316="","",VLOOKUP(AD316,原価マスタ!$A$2:$AJ$1693,13,FALSE))</f>
        <v>99</v>
      </c>
      <c r="AG316" s="47">
        <f>IF(AF316="","",+AE316*AF316/100)</f>
        <v>44352</v>
      </c>
      <c r="AH316" s="30"/>
      <c r="AI316" s="30"/>
      <c r="AJ316" s="30"/>
      <c r="AK316" s="30"/>
      <c r="AL316" s="13"/>
      <c r="AM316" s="13"/>
      <c r="AN316" s="13"/>
      <c r="AO316" s="13"/>
      <c r="AP316" s="13"/>
      <c r="AQ316" s="14"/>
      <c r="AR316" s="15"/>
    </row>
    <row r="317" spans="1:44" s="17" customFormat="1" ht="30.95" hidden="1" customHeight="1" x14ac:dyDescent="0.2">
      <c r="A317" s="37"/>
      <c r="B317" s="38"/>
      <c r="C317" s="45"/>
      <c r="D317" s="31"/>
      <c r="E317" s="31"/>
      <c r="F317" s="268" t="str">
        <f>IF(D317="","",VLOOKUP(D317,契約台帳!$A$3:$K$4986,6,FALSE)&amp;VLOOKUP(D317,契約台帳!$A$3:$K$4986,7,FALSE)&amp;VLOOKUP(D317,契約台帳!$A$3:$K$4986,8,FALSE)&amp;VLOOKUP(D317,契約台帳!$A$3:$K$4986,9,FALSE)&amp;VLOOKUP(D317,契約台帳!$A$3:$K$4986,11,FALSE))</f>
        <v/>
      </c>
      <c r="G317" s="269" t="str">
        <f>IF(D317="","",VLOOKUP(F317,製品マスタ!$G$5:$H$5002,2,FALSE))</f>
        <v/>
      </c>
      <c r="H317" s="269" t="str">
        <f>IF(D317="","",VLOOKUP(F317,製品マスタ!$G$5:$K$5002,5,FALSE))</f>
        <v/>
      </c>
      <c r="I317" s="270" t="str">
        <f>IF(D317="","",VLOOKUP(F317,製品マスタ!$G$5:$L$5002,6,FALSE))</f>
        <v/>
      </c>
      <c r="J317" s="32"/>
      <c r="K317" s="270" t="str">
        <f>IF(D317="","",VLOOKUP(D317,契約台帳!$A$3:$L$4986,12,FALSE))</f>
        <v/>
      </c>
      <c r="L317" s="270" t="str">
        <f>IF(D317="","",INDEX(製品マスタ!$Q$5:$Q$5002,MATCH(F317&amp;K317,製品マスタ!$AO$5:$AO$5002,0)))</f>
        <v/>
      </c>
      <c r="M317" s="39"/>
      <c r="N317" s="39"/>
      <c r="O317" s="47"/>
      <c r="P317" s="57"/>
      <c r="Q317" s="276" t="str">
        <f>IF(D317="","",IF(J317="リード付け",M317,VLOOKUP(D317,契約台帳!$A$3:$N$4986,14,FALSE)))</f>
        <v/>
      </c>
      <c r="R317" s="277" t="str">
        <f>IF(D317="","",IF(J317="リード付け",M317,VLOOKUP(D317,契約台帳!$A$3:$O$4986,15,FALSE)))</f>
        <v/>
      </c>
      <c r="S317" s="277" t="str">
        <f>IF(D317="","",IF(J317="リード付け",N317,VLOOKUP(D317,契約台帳!$A$3:$P$4986,16,FALSE)))</f>
        <v/>
      </c>
      <c r="T317" s="40"/>
      <c r="U317" s="278" t="str">
        <f ca="1">IF(D317="","",IF(OFFSET(D317,-2,0)=D317,"",VLOOKUP(D317,契約台帳!$A$3:$R$4986,18,FALSE)))</f>
        <v/>
      </c>
      <c r="V317" s="269" t="str">
        <f>IF(J317="巻返し",VLOOKUP(F317&amp;K317&amp;M317,製品マスタ!$M$5:$AD$5002,18,FALSE),IF(J317="リード付け","原反コア",IF(J317="スリット",VLOOKUP(F317&amp;K317&amp;Q317,製品マスタ!$N$5:$AD$5002,17,FALSE),"")))</f>
        <v/>
      </c>
      <c r="W317" s="269" t="str">
        <f>IF(J317="巻返し",VLOOKUP(F317&amp;K317&amp;M317,製品マスタ!$M$5:$AE$5002,19,FALSE),IF(J317="リード付け","-",IF(J317="スリット",VLOOKUP(F317&amp;K317&amp;Q317,製品マスタ!$N$5:$AE$5002,18,FALSE),"")))</f>
        <v/>
      </c>
      <c r="X317" s="275" t="str">
        <f>IF(D317="","",VLOOKUP(D317,契約台帳!$A$3:$Q$4986,17,FALSE))</f>
        <v/>
      </c>
      <c r="Y317" s="269" t="str">
        <f>IF(D317="","",VLOOKUP(D317,契約台帳!$A$3:$E$4986,5,FALSE))</f>
        <v/>
      </c>
      <c r="Z317" s="57"/>
      <c r="AA317" s="207" t="str">
        <f>IFERROR(VLOOKUP(F317&amp;K317&amp;M317,製品マスタ!$M$5:$AM$5002,27,FALSE),"")</f>
        <v/>
      </c>
      <c r="AB317" s="33"/>
      <c r="AC317" s="189"/>
      <c r="AD317" s="54"/>
      <c r="AE317" s="55"/>
      <c r="AF317" s="43"/>
      <c r="AG317" s="47"/>
      <c r="AH317" s="30"/>
      <c r="AI317" s="30"/>
      <c r="AJ317" s="30"/>
      <c r="AK317" s="30"/>
      <c r="AL317" s="13"/>
      <c r="AM317" s="13"/>
      <c r="AN317" s="13"/>
      <c r="AO317" s="13"/>
      <c r="AP317" s="13"/>
      <c r="AQ317" s="14"/>
      <c r="AR317" s="15"/>
    </row>
    <row r="318" spans="1:44" s="17" customFormat="1" ht="30.95" hidden="1" customHeight="1" x14ac:dyDescent="0.2">
      <c r="A318" s="37" t="s">
        <v>1043</v>
      </c>
      <c r="B318" s="38" t="s">
        <v>445</v>
      </c>
      <c r="C318" s="45"/>
      <c r="D318" s="31"/>
      <c r="E318" s="31"/>
      <c r="F318" s="268" t="str">
        <f>IF(D318="","",VLOOKUP(D318,契約台帳!$A$3:$K$4986,6,FALSE)&amp;VLOOKUP(D318,契約台帳!$A$3:$K$4986,7,FALSE)&amp;VLOOKUP(D318,契約台帳!$A$3:$K$4986,8,FALSE)&amp;VLOOKUP(D318,契約台帳!$A$3:$K$4986,9,FALSE)&amp;VLOOKUP(D318,契約台帳!$A$3:$K$4986,11,FALSE))</f>
        <v/>
      </c>
      <c r="G318" s="269" t="str">
        <f>IF(D318="","",VLOOKUP(F318,製品マスタ!$G$5:$H$5002,2,FALSE))</f>
        <v/>
      </c>
      <c r="H318" s="269" t="str">
        <f>IF(D318="","",VLOOKUP(F318,製品マスタ!$G$5:$K$5002,5,FALSE))</f>
        <v/>
      </c>
      <c r="I318" s="270" t="str">
        <f>IF(D318="","",VLOOKUP(F318,製品マスタ!$G$5:$L$5002,6,FALSE))</f>
        <v/>
      </c>
      <c r="J318" s="32" t="s">
        <v>448</v>
      </c>
      <c r="K318" s="270" t="str">
        <f>IF(D318="","",VLOOKUP(D318,契約台帳!$A$3:$L$4986,12,FALSE))</f>
        <v/>
      </c>
      <c r="L318" s="270" t="str">
        <f>IF(D318="","",INDEX(製品マスタ!$Q$5:$Q$5002,MATCH(F318&amp;K318,製品マスタ!$AO$5:$AO$5002,0)))</f>
        <v/>
      </c>
      <c r="M318" s="39"/>
      <c r="N318" s="39"/>
      <c r="O318" s="47"/>
      <c r="P318" s="57"/>
      <c r="Q318" s="276" t="str">
        <f>IF(D318="","",IF(J318="リード付け",M318,VLOOKUP(D318,契約台帳!$A$3:$N$4986,14,FALSE)))</f>
        <v/>
      </c>
      <c r="R318" s="277" t="str">
        <f>IF(D318="","",IF(J318="リード付け",M318,VLOOKUP(D318,契約台帳!$A$3:$O$4986,15,FALSE)))</f>
        <v/>
      </c>
      <c r="S318" s="277" t="str">
        <f>IF(D318="","",IF(J318="リード付け",N318,VLOOKUP(D318,契約台帳!$A$3:$P$4986,16,FALSE)))</f>
        <v/>
      </c>
      <c r="T318" s="40"/>
      <c r="U318" s="278" t="str">
        <f ca="1">IF(D318="","",IF(OFFSET(D318,-2,0)=D318,"",VLOOKUP(D318,契約台帳!$A$3:$R$4986,18,FALSE)))</f>
        <v/>
      </c>
      <c r="V318" s="269" t="str">
        <f>IF(J318="巻返し",VLOOKUP(F318&amp;K318&amp;M318,製品マスタ!$M$5:$AD$5002,18,FALSE),IF(J318="リード付け","原反コア",IF(J318="スリット",VLOOKUP(F318&amp;K318&amp;Q318,製品マスタ!$N$5:$AD$5002,17,FALSE),"")))</f>
        <v/>
      </c>
      <c r="W318" s="269" t="str">
        <f>IF(J318="巻返し",VLOOKUP(F318&amp;K318&amp;M318,製品マスタ!$M$5:$AE$5002,19,FALSE),IF(J318="リード付け","-",IF(J318="スリット",VLOOKUP(F318&amp;K318&amp;Q318,製品マスタ!$N$5:$AE$5002,18,FALSE),"")))</f>
        <v/>
      </c>
      <c r="X318" s="275" t="str">
        <f>IF(D318="","",VLOOKUP(D318,契約台帳!$A$3:$Q$4986,17,FALSE))</f>
        <v/>
      </c>
      <c r="Y318" s="269" t="str">
        <f>IF(D318="","",VLOOKUP(D318,契約台帳!$A$3:$E$4986,5,FALSE))</f>
        <v/>
      </c>
      <c r="Z318" s="57"/>
      <c r="AA318" s="207" t="str">
        <f>IFERROR(VLOOKUP(F318&amp;K318&amp;M318,製品マスタ!$M$5:$AM$5002,27,FALSE),"")</f>
        <v/>
      </c>
      <c r="AB318" s="33"/>
      <c r="AC318" s="189"/>
      <c r="AD318" s="54"/>
      <c r="AE318" s="55"/>
      <c r="AF318" s="43"/>
      <c r="AG318" s="47"/>
      <c r="AH318" s="30"/>
      <c r="AI318" s="30"/>
      <c r="AJ318" s="30"/>
      <c r="AK318" s="30"/>
      <c r="AL318" s="13"/>
      <c r="AM318" s="13"/>
      <c r="AN318" s="13"/>
      <c r="AO318" s="13"/>
      <c r="AP318" s="13"/>
      <c r="AQ318" s="14"/>
      <c r="AR318" s="15"/>
    </row>
    <row r="319" spans="1:44" s="17" customFormat="1" ht="30.95" hidden="1" customHeight="1" x14ac:dyDescent="0.2">
      <c r="A319" s="37"/>
      <c r="B319" s="38"/>
      <c r="C319" s="45"/>
      <c r="D319" s="31"/>
      <c r="E319" s="31"/>
      <c r="F319" s="268" t="str">
        <f>IF(D319="","",VLOOKUP(D319,契約台帳!$A$3:$K$4986,6,FALSE)&amp;VLOOKUP(D319,契約台帳!$A$3:$K$4986,7,FALSE)&amp;VLOOKUP(D319,契約台帳!$A$3:$K$4986,8,FALSE)&amp;VLOOKUP(D319,契約台帳!$A$3:$K$4986,9,FALSE)&amp;VLOOKUP(D319,契約台帳!$A$3:$K$4986,11,FALSE))</f>
        <v/>
      </c>
      <c r="G319" s="269" t="str">
        <f>IF(D319="","",VLOOKUP(F319,製品マスタ!$G$5:$H$5002,2,FALSE))</f>
        <v/>
      </c>
      <c r="H319" s="269" t="str">
        <f>IF(D319="","",VLOOKUP(F319,製品マスタ!$G$5:$K$5002,5,FALSE))</f>
        <v/>
      </c>
      <c r="I319" s="270" t="str">
        <f>IF(D319="","",VLOOKUP(F319,製品マスタ!$G$5:$L$5002,6,FALSE))</f>
        <v/>
      </c>
      <c r="J319" s="32"/>
      <c r="K319" s="270" t="str">
        <f>IF(D319="","",VLOOKUP(D319,契約台帳!$A$3:$L$4986,12,FALSE))</f>
        <v/>
      </c>
      <c r="L319" s="270" t="str">
        <f>IF(D319="","",INDEX(製品マスタ!$Q$5:$Q$5002,MATCH(F319&amp;K319,製品マスタ!$AO$5:$AO$5002,0)))</f>
        <v/>
      </c>
      <c r="M319" s="39"/>
      <c r="N319" s="39"/>
      <c r="O319" s="47"/>
      <c r="P319" s="57"/>
      <c r="Q319" s="276" t="str">
        <f>IF(D319="","",IF(J319="リード付け",M319,VLOOKUP(D319,契約台帳!$A$3:$N$4986,14,FALSE)))</f>
        <v/>
      </c>
      <c r="R319" s="277" t="str">
        <f>IF(D319="","",IF(J319="リード付け",M319,VLOOKUP(D319,契約台帳!$A$3:$O$4986,15,FALSE)))</f>
        <v/>
      </c>
      <c r="S319" s="277" t="str">
        <f>IF(D319="","",IF(J319="リード付け",N319,VLOOKUP(D319,契約台帳!$A$3:$P$4986,16,FALSE)))</f>
        <v/>
      </c>
      <c r="T319" s="40"/>
      <c r="U319" s="278" t="str">
        <f ca="1">IF(D319="","",IF(OFFSET(D319,-2,0)=D319,"",VLOOKUP(D319,契約台帳!$A$3:$R$4986,18,FALSE)))</f>
        <v/>
      </c>
      <c r="V319" s="269" t="str">
        <f>IF(J319="巻返し",VLOOKUP(F319&amp;K319&amp;M319,製品マスタ!$M$5:$AD$5002,18,FALSE),IF(J319="リード付け","原反コア",IF(J319="スリット",VLOOKUP(F319&amp;K319&amp;Q319,製品マスタ!$N$5:$AD$5002,17,FALSE),"")))</f>
        <v/>
      </c>
      <c r="W319" s="269" t="str">
        <f>IF(J319="巻返し",VLOOKUP(F319&amp;K319&amp;M319,製品マスタ!$M$5:$AE$5002,19,FALSE),IF(J319="リード付け","-",IF(J319="スリット",VLOOKUP(F319&amp;K319&amp;Q319,製品マスタ!$N$5:$AE$5002,18,FALSE),"")))</f>
        <v/>
      </c>
      <c r="X319" s="275" t="str">
        <f>IF(D319="","",VLOOKUP(D319,契約台帳!$A$3:$Q$4986,17,FALSE))</f>
        <v/>
      </c>
      <c r="Y319" s="269" t="str">
        <f>IF(D319="","",VLOOKUP(D319,契約台帳!$A$3:$E$4986,5,FALSE))</f>
        <v/>
      </c>
      <c r="Z319" s="57"/>
      <c r="AA319" s="207" t="str">
        <f>IFERROR(VLOOKUP(F319&amp;K319&amp;M319,製品マスタ!$M$5:$AM$5002,27,FALSE),"")</f>
        <v/>
      </c>
      <c r="AB319" s="33"/>
      <c r="AC319" s="189"/>
      <c r="AD319" s="54"/>
      <c r="AE319" s="55"/>
      <c r="AF319" s="43"/>
      <c r="AG319" s="47"/>
      <c r="AH319" s="30"/>
      <c r="AI319" s="30"/>
      <c r="AJ319" s="30"/>
      <c r="AK319" s="30"/>
      <c r="AL319" s="13"/>
      <c r="AM319" s="13"/>
      <c r="AN319" s="13"/>
      <c r="AO319" s="13"/>
      <c r="AP319" s="13"/>
      <c r="AQ319" s="14"/>
      <c r="AR319" s="15"/>
    </row>
    <row r="320" spans="1:44" s="17" customFormat="1" ht="30.95" hidden="1" customHeight="1" x14ac:dyDescent="0.2">
      <c r="A320" s="37" t="s">
        <v>1045</v>
      </c>
      <c r="B320" s="38" t="s">
        <v>446</v>
      </c>
      <c r="C320" s="45"/>
      <c r="D320" s="31"/>
      <c r="E320" s="31"/>
      <c r="F320" s="268" t="str">
        <f>IF(D320="","",VLOOKUP(D320,契約台帳!$A$3:$K$4986,6,FALSE)&amp;VLOOKUP(D320,契約台帳!$A$3:$K$4986,7,FALSE)&amp;VLOOKUP(D320,契約台帳!$A$3:$K$4986,8,FALSE)&amp;VLOOKUP(D320,契約台帳!$A$3:$K$4986,9,FALSE)&amp;VLOOKUP(D320,契約台帳!$A$3:$K$4986,11,FALSE))</f>
        <v/>
      </c>
      <c r="G320" s="269" t="str">
        <f>IF(D320="","",VLOOKUP(F320,製品マスタ!$G$5:$H$5002,2,FALSE))</f>
        <v/>
      </c>
      <c r="H320" s="269" t="str">
        <f>IF(D320="","",VLOOKUP(F320,製品マスタ!$G$5:$K$5002,5,FALSE))</f>
        <v/>
      </c>
      <c r="I320" s="270" t="str">
        <f>IF(D320="","",VLOOKUP(F320,製品マスタ!$G$5:$L$5002,6,FALSE))</f>
        <v/>
      </c>
      <c r="J320" s="32" t="s">
        <v>448</v>
      </c>
      <c r="K320" s="270" t="str">
        <f>IF(D320="","",VLOOKUP(D320,契約台帳!$A$3:$L$4986,12,FALSE))</f>
        <v/>
      </c>
      <c r="L320" s="270" t="str">
        <f>IF(D320="","",INDEX(製品マスタ!$Q$5:$Q$5002,MATCH(F320&amp;K320,製品マスタ!$AO$5:$AO$5002,0)))</f>
        <v/>
      </c>
      <c r="M320" s="39"/>
      <c r="N320" s="39"/>
      <c r="O320" s="47"/>
      <c r="P320" s="57"/>
      <c r="Q320" s="276" t="str">
        <f>IF(D320="","",IF(J320="リード付け",M320,VLOOKUP(D320,契約台帳!$A$3:$N$4986,14,FALSE)))</f>
        <v/>
      </c>
      <c r="R320" s="277" t="str">
        <f>IF(D320="","",IF(J320="リード付け",M320,VLOOKUP(D320,契約台帳!$A$3:$O$4986,15,FALSE)))</f>
        <v/>
      </c>
      <c r="S320" s="277" t="str">
        <f>IF(D320="","",IF(J320="リード付け",N320,VLOOKUP(D320,契約台帳!$A$3:$P$4986,16,FALSE)))</f>
        <v/>
      </c>
      <c r="T320" s="40"/>
      <c r="U320" s="278" t="str">
        <f ca="1">IF(D320="","",IF(OFFSET(D320,-2,0)=D320,"",VLOOKUP(D320,契約台帳!$A$3:$R$4986,18,FALSE)))</f>
        <v/>
      </c>
      <c r="V320" s="269" t="str">
        <f>IF(J320="巻返し",VLOOKUP(F320&amp;K320&amp;M320,製品マスタ!$M$5:$AD$5002,18,FALSE),IF(J320="リード付け","原反コア",IF(J320="スリット",VLOOKUP(F320&amp;K320&amp;Q320,製品マスタ!$N$5:$AD$5002,17,FALSE),"")))</f>
        <v/>
      </c>
      <c r="W320" s="269" t="str">
        <f>IF(J320="巻返し",VLOOKUP(F320&amp;K320&amp;M320,製品マスタ!$M$5:$AE$5002,19,FALSE),IF(J320="リード付け","-",IF(J320="スリット",VLOOKUP(F320&amp;K320&amp;Q320,製品マスタ!$N$5:$AE$5002,18,FALSE),"")))</f>
        <v/>
      </c>
      <c r="X320" s="275" t="str">
        <f>IF(D320="","",VLOOKUP(D320,契約台帳!$A$3:$Q$4986,17,FALSE))</f>
        <v/>
      </c>
      <c r="Y320" s="269" t="str">
        <f>IF(D320="","",VLOOKUP(D320,契約台帳!$A$3:$E$4986,5,FALSE))</f>
        <v/>
      </c>
      <c r="Z320" s="57"/>
      <c r="AA320" s="207" t="str">
        <f>IFERROR(VLOOKUP(F320&amp;K320&amp;M320,製品マスタ!$M$5:$AM$5002,27,FALSE),"")</f>
        <v/>
      </c>
      <c r="AB320" s="33"/>
      <c r="AC320" s="189"/>
      <c r="AD320" s="54"/>
      <c r="AE320" s="55"/>
      <c r="AF320" s="43"/>
      <c r="AG320" s="47"/>
      <c r="AH320" s="30"/>
      <c r="AI320" s="30"/>
      <c r="AJ320" s="30"/>
      <c r="AK320" s="30"/>
      <c r="AL320" s="13"/>
      <c r="AM320" s="13"/>
      <c r="AN320" s="13"/>
      <c r="AO320" s="13"/>
      <c r="AP320" s="13"/>
      <c r="AQ320" s="14"/>
      <c r="AR320" s="15"/>
    </row>
    <row r="321" spans="1:44" s="17" customFormat="1" ht="30.95" hidden="1" customHeight="1" x14ac:dyDescent="0.2">
      <c r="A321" s="37"/>
      <c r="B321" s="38"/>
      <c r="C321" s="45"/>
      <c r="D321" s="31"/>
      <c r="E321" s="31"/>
      <c r="F321" s="268"/>
      <c r="G321" s="269"/>
      <c r="H321" s="269"/>
      <c r="I321" s="270"/>
      <c r="J321" s="32"/>
      <c r="K321" s="270"/>
      <c r="L321" s="270"/>
      <c r="M321" s="39"/>
      <c r="N321" s="39"/>
      <c r="O321" s="47"/>
      <c r="P321" s="57"/>
      <c r="Q321" s="276"/>
      <c r="R321" s="277"/>
      <c r="S321" s="277"/>
      <c r="T321" s="40"/>
      <c r="U321" s="278"/>
      <c r="V321" s="269"/>
      <c r="W321" s="269"/>
      <c r="X321" s="275"/>
      <c r="Y321" s="269"/>
      <c r="Z321" s="57"/>
      <c r="AA321" s="207"/>
      <c r="AB321" s="33"/>
      <c r="AC321" s="189"/>
      <c r="AD321" s="54"/>
      <c r="AE321" s="55"/>
      <c r="AF321" s="43"/>
      <c r="AG321" s="47"/>
      <c r="AH321" s="30"/>
      <c r="AI321" s="30"/>
      <c r="AJ321" s="30"/>
      <c r="AK321" s="30"/>
      <c r="AL321" s="13"/>
      <c r="AM321" s="13"/>
      <c r="AN321" s="13"/>
      <c r="AO321" s="13"/>
      <c r="AP321" s="13"/>
      <c r="AQ321" s="14"/>
      <c r="AR321" s="15"/>
    </row>
    <row r="322" spans="1:44" s="17" customFormat="1" ht="30.95" hidden="1" customHeight="1" x14ac:dyDescent="0.2">
      <c r="A322" s="37" t="s">
        <v>1084</v>
      </c>
      <c r="B322" s="38" t="s">
        <v>1085</v>
      </c>
      <c r="C322" s="45"/>
      <c r="D322" s="31">
        <v>3703998</v>
      </c>
      <c r="E322" s="31">
        <v>4151337</v>
      </c>
      <c r="F322" s="268" t="str">
        <f>IF(D322="","",VLOOKUP(D322,契約台帳!$A$3:$K$4986,6,FALSE)&amp;VLOOKUP(D322,契約台帳!$A$3:$K$4986,7,FALSE)&amp;VLOOKUP(D322,契約台帳!$A$3:$K$4986,8,FALSE)&amp;VLOOKUP(D322,契約台帳!$A$3:$K$4986,9,FALSE)&amp;VLOOKUP(D322,契約台帳!$A$3:$K$4986,11,FALSE))</f>
        <v>3SNMLBMNGTBF</v>
      </c>
      <c r="G322" s="269" t="str">
        <f>IF(D322="","",VLOOKUP(F322,製品マスタ!$G$5:$H$5002,2,FALSE))</f>
        <v>S</v>
      </c>
      <c r="H322" s="269" t="str">
        <f>IF(D322="","",VLOOKUP(F322,製品マスタ!$G$5:$K$5002,5,FALSE))</f>
        <v>MNGTBF</v>
      </c>
      <c r="I322" s="270" t="str">
        <f>IF(D322="","",VLOOKUP(F322,製品マスタ!$G$5:$L$5002,6,FALSE))</f>
        <v>メタルミー　ネーマー　銀艶　Ｂ</v>
      </c>
      <c r="J322" s="32" t="s">
        <v>447</v>
      </c>
      <c r="K322" s="270">
        <f>IF(D322="","",VLOOKUP(D322,契約台帳!$A$3:$L$4986,12,FALSE))</f>
        <v>50</v>
      </c>
      <c r="L322" s="270" t="str">
        <f>IF(D322="","",INDEX(製品マスタ!$Q$5:$Q$5002,MATCH(F322&amp;K322,製品マスタ!$AO$5:$AO$5002,0)))</f>
        <v>T62</v>
      </c>
      <c r="M322" s="39">
        <v>1120</v>
      </c>
      <c r="N322" s="39">
        <v>10000</v>
      </c>
      <c r="O322" s="47">
        <v>2</v>
      </c>
      <c r="P322" s="57"/>
      <c r="Q322" s="276">
        <f>IF(D322="","",IF(J322="リード付け",M322,VLOOKUP(D322,契約台帳!$A$3:$N$4986,14,FALSE)))</f>
        <v>1120</v>
      </c>
      <c r="R322" s="277">
        <f>IF(D322="","",IF(J322="リード付け",M322,VLOOKUP(D322,契約台帳!$A$3:$O$4986,15,FALSE)))</f>
        <v>1120</v>
      </c>
      <c r="S322" s="277">
        <f>IF(D322="","",IF(J322="リード付け",N322,VLOOKUP(D322,契約台帳!$A$3:$P$4986,16,FALSE)))</f>
        <v>5000</v>
      </c>
      <c r="T322" s="40">
        <v>4</v>
      </c>
      <c r="U322" s="278">
        <f ca="1">IF(D322="","",IF(OFFSET(D322,-2,0)=D322,"",VLOOKUP(D322,契約台帳!$A$3:$R$4986,18,FALSE)))</f>
        <v>12</v>
      </c>
      <c r="V322" s="269" t="str">
        <f>IF(J322="巻返し",VLOOKUP(F322&amp;K322&amp;M322,製品マスタ!$M$5:$AD$5002,18,FALSE),IF(J322="リード付け","原反コア",IF(J322="スリット",VLOOKUP(F322&amp;K322&amp;Q322,製品マスタ!$N$5:$AD$5002,17,FALSE),"")))</f>
        <v>6ｲﾝﾁSｺｱ</v>
      </c>
      <c r="W322" s="269">
        <f>IF(J322="巻返し",VLOOKUP(F322&amp;K322&amp;M322,製品マスタ!$M$5:$AE$5002,19,FALSE),IF(J322="リード付け","-",IF(J322="スリット",VLOOKUP(F322&amp;K322&amp;Q322,製品マスタ!$N$5:$AE$5002,18,FALSE),"")))</f>
        <v>1125</v>
      </c>
      <c r="X322" s="275">
        <f>IF(D322="","",VLOOKUP(D322,契約台帳!$A$3:$Q$4986,17,FALSE))</f>
        <v>2</v>
      </c>
      <c r="Y322" s="269" t="str">
        <f>IF(D322="","",VLOOKUP(D322,契約台帳!$A$3:$E$4986,5,FALSE))</f>
        <v>リンテック㈱</v>
      </c>
      <c r="Z322" s="57">
        <v>45036</v>
      </c>
      <c r="AA322" s="207" t="str">
        <f>IFERROR(VLOOKUP(F322&amp;K322&amp;M322,製品マスタ!$M$5:$AM$5002,27,FALSE),"")</f>
        <v>原反ケース再利用</v>
      </c>
      <c r="AB322" s="33"/>
      <c r="AC322" s="189"/>
      <c r="AD322" s="54" t="str">
        <f>IF(F322="","",+F322&amp;K322)</f>
        <v>3SNMLBMNGTBF50</v>
      </c>
      <c r="AE322" s="55">
        <f>+M322*N322*O322/1000</f>
        <v>22400</v>
      </c>
      <c r="AF322" s="43">
        <f>IF(AD322="","",VLOOKUP(AD322,原価マスタ!$A$2:$AJ$1693,13,FALSE))</f>
        <v>99</v>
      </c>
      <c r="AG322" s="47">
        <f>IF(AF322="","",+AE322*AF322/100)</f>
        <v>22176</v>
      </c>
      <c r="AH322" s="30"/>
      <c r="AI322" s="30"/>
      <c r="AJ322" s="30"/>
      <c r="AK322" s="30"/>
      <c r="AL322" s="13"/>
      <c r="AM322" s="13"/>
      <c r="AN322" s="13"/>
      <c r="AO322" s="13"/>
      <c r="AP322" s="13"/>
      <c r="AQ322" s="14"/>
      <c r="AR322" s="15"/>
    </row>
    <row r="323" spans="1:44" s="17" customFormat="1" ht="30.95" hidden="1" customHeight="1" x14ac:dyDescent="0.2">
      <c r="A323" s="37"/>
      <c r="B323" s="38"/>
      <c r="C323" s="45"/>
      <c r="D323" s="31"/>
      <c r="E323" s="31"/>
      <c r="F323" s="268"/>
      <c r="G323" s="269"/>
      <c r="H323" s="269"/>
      <c r="I323" s="270"/>
      <c r="J323" s="32"/>
      <c r="K323" s="270"/>
      <c r="L323" s="270"/>
      <c r="M323" s="39"/>
      <c r="N323" s="39"/>
      <c r="O323" s="47"/>
      <c r="P323" s="57"/>
      <c r="Q323" s="276"/>
      <c r="R323" s="277"/>
      <c r="S323" s="277"/>
      <c r="T323" s="40"/>
      <c r="U323" s="278"/>
      <c r="V323" s="269"/>
      <c r="W323" s="269"/>
      <c r="X323" s="275"/>
      <c r="Y323" s="269"/>
      <c r="Z323" s="57"/>
      <c r="AA323" s="207"/>
      <c r="AB323" s="33"/>
      <c r="AC323" s="189"/>
      <c r="AD323" s="54"/>
      <c r="AE323" s="55"/>
      <c r="AF323" s="43"/>
      <c r="AG323" s="47"/>
      <c r="AH323" s="30"/>
      <c r="AI323" s="30"/>
      <c r="AJ323" s="30"/>
      <c r="AK323" s="30"/>
      <c r="AL323" s="13"/>
      <c r="AM323" s="13"/>
      <c r="AN323" s="13"/>
      <c r="AO323" s="13"/>
      <c r="AP323" s="13"/>
      <c r="AQ323" s="14"/>
      <c r="AR323" s="15"/>
    </row>
    <row r="324" spans="1:44" s="17" customFormat="1" ht="30.95" hidden="1" customHeight="1" x14ac:dyDescent="0.2">
      <c r="A324" s="37"/>
      <c r="B324" s="38"/>
      <c r="C324" s="45"/>
      <c r="D324" s="31">
        <v>3704001</v>
      </c>
      <c r="E324" s="31">
        <v>4151339</v>
      </c>
      <c r="F324" s="268" t="str">
        <f>IF(D324="","",VLOOKUP(D324,契約台帳!$A$3:$K$4986,6,FALSE)&amp;VLOOKUP(D324,契約台帳!$A$3:$K$4986,7,FALSE)&amp;VLOOKUP(D324,契約台帳!$A$3:$K$4986,8,FALSE)&amp;VLOOKUP(D324,契約台帳!$A$3:$K$4986,9,FALSE)&amp;VLOOKUP(D324,契約台帳!$A$3:$K$4986,11,FALSE))</f>
        <v>3SYMLBMSBBF</v>
      </c>
      <c r="G324" s="269" t="str">
        <f>IF(D324="","",VLOOKUP(F324,製品マスタ!$G$5:$H$5002,2,FALSE))</f>
        <v>S</v>
      </c>
      <c r="H324" s="269" t="str">
        <f>IF(D324="","",VLOOKUP(F324,製品マスタ!$G$5:$K$5002,5,FALSE))</f>
        <v>MSBBF</v>
      </c>
      <c r="I324" s="270" t="str">
        <f>IF(D324="","",VLOOKUP(F324,製品マスタ!$G$5:$L$5002,6,FALSE))</f>
        <v>ＭＥＴＡＬＵＭＹ　ＳＩＬＶＥＲ　ＢＲＩＧＨＴ　Ｔ６２Ｍ　Ｂ</v>
      </c>
      <c r="J324" s="32" t="s">
        <v>447</v>
      </c>
      <c r="K324" s="270">
        <f>IF(D324="","",VLOOKUP(D324,契約台帳!$A$3:$L$4986,12,FALSE))</f>
        <v>50</v>
      </c>
      <c r="L324" s="270" t="str">
        <f>IF(D324="","",INDEX(製品マスタ!$Q$5:$Q$5002,MATCH(F324&amp;K324,製品マスタ!$AO$5:$AO$5002,0)))</f>
        <v>T62</v>
      </c>
      <c r="M324" s="39">
        <v>1120</v>
      </c>
      <c r="N324" s="39">
        <v>10000</v>
      </c>
      <c r="O324" s="47">
        <v>1</v>
      </c>
      <c r="P324" s="57"/>
      <c r="Q324" s="276">
        <f>IF(D324="","",IF(J324="リード付け",M324,VLOOKUP(D324,契約台帳!$A$3:$N$4986,14,FALSE)))</f>
        <v>1120</v>
      </c>
      <c r="R324" s="277">
        <f>IF(D324="","",IF(J324="リード付け",M324,VLOOKUP(D324,契約台帳!$A$3:$O$4986,15,FALSE)))</f>
        <v>1120</v>
      </c>
      <c r="S324" s="277">
        <f>IF(D324="","",IF(J324="リード付け",N324,VLOOKUP(D324,契約台帳!$A$3:$P$4986,16,FALSE)))</f>
        <v>5000</v>
      </c>
      <c r="T324" s="40">
        <v>2</v>
      </c>
      <c r="U324" s="278">
        <f ca="1">IF(D324="","",IF(OFFSET(D324,-2,0)=D324,"",VLOOKUP(D324,契約台帳!$A$3:$R$4986,18,FALSE)))</f>
        <v>2</v>
      </c>
      <c r="V324" s="269" t="str">
        <f>IF(J324="巻返し",VLOOKUP(F324&amp;K324&amp;M324,製品マスタ!$M$5:$AD$5002,18,FALSE),IF(J324="リード付け","原反コア",IF(J324="スリット",VLOOKUP(F324&amp;K324&amp;Q324,製品マスタ!$N$5:$AD$5002,17,FALSE),"")))</f>
        <v>6ｲﾝﾁSｺｱ</v>
      </c>
      <c r="W324" s="269">
        <f>IF(J324="巻返し",VLOOKUP(F324&amp;K324&amp;M324,製品マスタ!$M$5:$AE$5002,19,FALSE),IF(J324="リード付け","-",IF(J324="スリット",VLOOKUP(F324&amp;K324&amp;Q324,製品マスタ!$N$5:$AE$5002,18,FALSE),"")))</f>
        <v>1125</v>
      </c>
      <c r="X324" s="275">
        <f>IF(D324="","",VLOOKUP(D324,契約台帳!$A$3:$Q$4986,17,FALSE))</f>
        <v>2</v>
      </c>
      <c r="Y324" s="269" t="str">
        <f>IF(D324="","",VLOOKUP(D324,契約台帳!$A$3:$E$4986,5,FALSE))</f>
        <v>リンテック㈱</v>
      </c>
      <c r="Z324" s="57">
        <v>45036</v>
      </c>
      <c r="AA324" s="207" t="str">
        <f>IFERROR(VLOOKUP(F324&amp;K324&amp;M324,製品マスタ!$M$5:$AM$5002,27,FALSE),"")</f>
        <v>原反ケース再利用</v>
      </c>
      <c r="AB324" s="33"/>
      <c r="AC324" s="189"/>
      <c r="AD324" s="54" t="str">
        <f>IF(F324="","",+F324&amp;K324)</f>
        <v>3SYMLBMSBBF50</v>
      </c>
      <c r="AE324" s="55">
        <f>+M324*N324*O324/1000</f>
        <v>11200</v>
      </c>
      <c r="AF324" s="43">
        <f>IF(AD324="","",VLOOKUP(AD324,原価マスタ!$A$2:$AJ$1693,13,FALSE))</f>
        <v>99</v>
      </c>
      <c r="AG324" s="47">
        <f>IF(AF324="","",+AE324*AF324/100)</f>
        <v>11088</v>
      </c>
      <c r="AH324" s="30"/>
      <c r="AI324" s="30"/>
      <c r="AJ324" s="30"/>
      <c r="AK324" s="30"/>
      <c r="AL324" s="13"/>
      <c r="AM324" s="13"/>
      <c r="AN324" s="13"/>
      <c r="AO324" s="13"/>
      <c r="AP324" s="13"/>
      <c r="AQ324" s="14"/>
      <c r="AR324" s="15"/>
    </row>
    <row r="325" spans="1:44" s="17" customFormat="1" ht="30.95" hidden="1" customHeight="1" x14ac:dyDescent="0.2">
      <c r="A325" s="37"/>
      <c r="B325" s="38"/>
      <c r="C325" s="45"/>
      <c r="D325" s="31"/>
      <c r="E325" s="31"/>
      <c r="F325" s="268" t="str">
        <f>IF(D325="","",VLOOKUP(D325,契約台帳!$A$3:$K$4986,6,FALSE)&amp;VLOOKUP(D325,契約台帳!$A$3:$K$4986,7,FALSE)&amp;VLOOKUP(D325,契約台帳!$A$3:$K$4986,8,FALSE)&amp;VLOOKUP(D325,契約台帳!$A$3:$K$4986,9,FALSE)&amp;VLOOKUP(D325,契約台帳!$A$3:$K$4986,11,FALSE))</f>
        <v/>
      </c>
      <c r="G325" s="269" t="str">
        <f>IF(D325="","",VLOOKUP(F325,製品マスタ!$G$5:$H$5002,2,FALSE))</f>
        <v/>
      </c>
      <c r="H325" s="269" t="str">
        <f>IF(D325="","",VLOOKUP(F325,製品マスタ!$G$5:$K$5002,5,FALSE))</f>
        <v/>
      </c>
      <c r="I325" s="270" t="str">
        <f>IF(D325="","",VLOOKUP(F325,製品マスタ!$G$5:$L$5002,6,FALSE))</f>
        <v/>
      </c>
      <c r="J325" s="32"/>
      <c r="K325" s="270" t="str">
        <f>IF(D325="","",VLOOKUP(D325,契約台帳!$A$3:$L$4986,12,FALSE))</f>
        <v/>
      </c>
      <c r="L325" s="270" t="str">
        <f>IF(D325="","",INDEX(製品マスタ!$Q$5:$Q$5002,MATCH(F325&amp;K325,製品マスタ!$AO$5:$AO$5002,0)))</f>
        <v/>
      </c>
      <c r="M325" s="39"/>
      <c r="N325" s="39"/>
      <c r="O325" s="47"/>
      <c r="P325" s="57"/>
      <c r="Q325" s="276" t="str">
        <f>IF(D325="","",IF(J325="リード付け",M325,VLOOKUP(D325,契約台帳!$A$3:$N$4986,14,FALSE)))</f>
        <v/>
      </c>
      <c r="R325" s="277" t="str">
        <f>IF(D325="","",IF(J325="リード付け",M325,VLOOKUP(D325,契約台帳!$A$3:$O$4986,15,FALSE)))</f>
        <v/>
      </c>
      <c r="S325" s="277" t="str">
        <f>IF(D325="","",IF(J325="リード付け",N325,VLOOKUP(D325,契約台帳!$A$3:$P$4986,16,FALSE)))</f>
        <v/>
      </c>
      <c r="T325" s="40"/>
      <c r="U325" s="278" t="str">
        <f ca="1">IF(D325="","",IF(OFFSET(D325,-2,0)=D325,"",VLOOKUP(D325,契約台帳!$A$3:$R$4986,18,FALSE)))</f>
        <v/>
      </c>
      <c r="V325" s="269" t="str">
        <f>IF(J325="巻返し",VLOOKUP(F325&amp;K325&amp;M325,製品マスタ!$M$5:$AD$5002,18,FALSE),IF(J325="リード付け","原反コア",IF(J325="スリット",VLOOKUP(F325&amp;K325&amp;Q325,製品マスタ!$N$5:$AD$5002,17,FALSE),"")))</f>
        <v/>
      </c>
      <c r="W325" s="269" t="str">
        <f>IF(J325="巻返し",VLOOKUP(F325&amp;K325&amp;M325,製品マスタ!$M$5:$AE$5002,19,FALSE),IF(J325="リード付け","-",IF(J325="スリット",VLOOKUP(F325&amp;K325&amp;Q325,製品マスタ!$N$5:$AE$5002,18,FALSE),"")))</f>
        <v/>
      </c>
      <c r="X325" s="275" t="str">
        <f>IF(D325="","",VLOOKUP(D325,契約台帳!$A$3:$Q$4986,17,FALSE))</f>
        <v/>
      </c>
      <c r="Y325" s="269" t="str">
        <f>IF(D325="","",VLOOKUP(D325,契約台帳!$A$3:$E$4986,5,FALSE))</f>
        <v/>
      </c>
      <c r="Z325" s="57"/>
      <c r="AA325" s="207" t="str">
        <f>IFERROR(VLOOKUP(F325&amp;K325&amp;M325,製品マスタ!$M$5:$AM$5002,27,FALSE),"")</f>
        <v/>
      </c>
      <c r="AB325" s="33"/>
      <c r="AC325" s="189"/>
      <c r="AD325" s="54"/>
      <c r="AE325" s="55"/>
      <c r="AF325" s="43"/>
      <c r="AG325" s="47"/>
      <c r="AH325" s="30"/>
      <c r="AI325" s="30"/>
      <c r="AJ325" s="30"/>
      <c r="AK325" s="30"/>
      <c r="AL325" s="13"/>
      <c r="AM325" s="13"/>
      <c r="AN325" s="13"/>
      <c r="AO325" s="13"/>
      <c r="AP325" s="13"/>
      <c r="AQ325" s="14"/>
      <c r="AR325" s="15"/>
    </row>
    <row r="326" spans="1:44" s="17" customFormat="1" ht="30.95" hidden="1" customHeight="1" x14ac:dyDescent="0.2">
      <c r="A326" s="37"/>
      <c r="B326" s="38"/>
      <c r="C326" s="45"/>
      <c r="D326" s="31">
        <v>3706174</v>
      </c>
      <c r="E326" s="31">
        <v>4151343</v>
      </c>
      <c r="F326" s="268" t="str">
        <f>IF(D326="","",VLOOKUP(D326,契約台帳!$A$3:$K$4986,6,FALSE)&amp;VLOOKUP(D326,契約台帳!$A$3:$K$4986,7,FALSE)&amp;VLOOKUP(D326,契約台帳!$A$3:$K$4986,8,FALSE)&amp;VLOOKUP(D326,契約台帳!$A$3:$K$4986,9,FALSE)&amp;VLOOKUP(D326,契約台帳!$A$3:$K$4986,11,FALSE))</f>
        <v>3SNMLBMNGTBF</v>
      </c>
      <c r="G326" s="269" t="str">
        <f>IF(D326="","",VLOOKUP(F326,製品マスタ!$G$5:$H$5002,2,FALSE))</f>
        <v>S</v>
      </c>
      <c r="H326" s="269" t="str">
        <f>IF(D326="","",VLOOKUP(F326,製品マスタ!$G$5:$K$5002,5,FALSE))</f>
        <v>MNGTBF</v>
      </c>
      <c r="I326" s="270" t="str">
        <f>IF(D326="","",VLOOKUP(F326,製品マスタ!$G$5:$L$5002,6,FALSE))</f>
        <v>メタルミー　ネーマー　銀艶　Ｂ</v>
      </c>
      <c r="J326" s="32" t="s">
        <v>447</v>
      </c>
      <c r="K326" s="270">
        <f>IF(D326="","",VLOOKUP(D326,契約台帳!$A$3:$L$4986,12,FALSE))</f>
        <v>50</v>
      </c>
      <c r="L326" s="270" t="str">
        <f>IF(D326="","",INDEX(製品マスタ!$Q$5:$Q$5002,MATCH(F326&amp;K326,製品マスタ!$AO$5:$AO$5002,0)))</f>
        <v>T62</v>
      </c>
      <c r="M326" s="39">
        <v>1120</v>
      </c>
      <c r="N326" s="39">
        <v>10000</v>
      </c>
      <c r="O326" s="47">
        <v>1</v>
      </c>
      <c r="P326" s="57"/>
      <c r="Q326" s="276">
        <f>IF(D326="","",IF(J326="リード付け",M326,VLOOKUP(D326,契約台帳!$A$3:$N$4986,14,FALSE)))</f>
        <v>1120</v>
      </c>
      <c r="R326" s="277">
        <f>IF(D326="","",IF(J326="リード付け",M326,VLOOKUP(D326,契約台帳!$A$3:$O$4986,15,FALSE)))</f>
        <v>1120</v>
      </c>
      <c r="S326" s="277">
        <f>IF(D326="","",IF(J326="リード付け",N326,VLOOKUP(D326,契約台帳!$A$3:$P$4986,16,FALSE)))</f>
        <v>5000</v>
      </c>
      <c r="T326" s="40">
        <v>2</v>
      </c>
      <c r="U326" s="302">
        <f ca="1">IF(D326="","",IF(OFFSET(D326,-2,0)=D326,"",VLOOKUP(D326,契約台帳!$A$3:$R$4986,18,FALSE)))</f>
        <v>12</v>
      </c>
      <c r="V326" s="269" t="str">
        <f>IF(J326="巻返し",VLOOKUP(F326&amp;K326&amp;M326,製品マスタ!$M$5:$AD$5002,18,FALSE),IF(J326="リード付け","原反コア",IF(J326="スリット",VLOOKUP(F326&amp;K326&amp;Q326,製品マスタ!$N$5:$AD$5002,17,FALSE),"")))</f>
        <v>6ｲﾝﾁSｺｱ</v>
      </c>
      <c r="W326" s="269">
        <f>IF(J326="巻返し",VLOOKUP(F326&amp;K326&amp;M326,製品マスタ!$M$5:$AE$5002,19,FALSE),IF(J326="リード付け","-",IF(J326="スリット",VLOOKUP(F326&amp;K326&amp;Q326,製品マスタ!$N$5:$AE$5002,18,FALSE),"")))</f>
        <v>1125</v>
      </c>
      <c r="X326" s="275">
        <f>IF(D326="","",VLOOKUP(D326,契約台帳!$A$3:$Q$4986,17,FALSE))</f>
        <v>2</v>
      </c>
      <c r="Y326" s="269" t="str">
        <f>IF(D326="","",VLOOKUP(D326,契約台帳!$A$3:$E$4986,5,FALSE))</f>
        <v>リンテック㈱</v>
      </c>
      <c r="Z326" s="57">
        <v>45036</v>
      </c>
      <c r="AA326" s="303" t="str">
        <f>IFERROR(VLOOKUP(F326&amp;K326&amp;M326,製品マスタ!$M$5:$AM$5002,27,FALSE),"")</f>
        <v>原反ケース再利用</v>
      </c>
      <c r="AB326" s="33"/>
      <c r="AC326" s="189"/>
      <c r="AD326" s="54" t="str">
        <f>IF(F326="","",+F326&amp;K326)</f>
        <v>3SNMLBMNGTBF50</v>
      </c>
      <c r="AE326" s="55">
        <f>+M326*N326*O326/1000</f>
        <v>11200</v>
      </c>
      <c r="AF326" s="43">
        <f>IF(AD326="","",VLOOKUP(AD326,原価マスタ!$A$2:$AJ$1693,13,FALSE))</f>
        <v>99</v>
      </c>
      <c r="AG326" s="47">
        <f>IF(AF326="","",+AE326*AF326/100)</f>
        <v>11088</v>
      </c>
      <c r="AH326" s="30"/>
      <c r="AI326" s="30"/>
      <c r="AJ326" s="30"/>
      <c r="AK326" s="30"/>
      <c r="AL326" s="13"/>
      <c r="AM326" s="13"/>
      <c r="AN326" s="13"/>
      <c r="AO326" s="13"/>
      <c r="AP326" s="13"/>
      <c r="AQ326" s="14"/>
      <c r="AR326" s="15"/>
    </row>
    <row r="327" spans="1:44" s="17" customFormat="1" ht="30.95" hidden="1" customHeight="1" x14ac:dyDescent="0.2">
      <c r="A327" s="37"/>
      <c r="B327" s="38"/>
      <c r="C327" s="45"/>
      <c r="D327" s="31"/>
      <c r="E327" s="31"/>
      <c r="F327" s="268" t="str">
        <f>IF(D327="","",VLOOKUP(D327,契約台帳!$A$3:$K$4986,6,FALSE)&amp;VLOOKUP(D327,契約台帳!$A$3:$K$4986,7,FALSE)&amp;VLOOKUP(D327,契約台帳!$A$3:$K$4986,8,FALSE)&amp;VLOOKUP(D327,契約台帳!$A$3:$K$4986,9,FALSE)&amp;VLOOKUP(D327,契約台帳!$A$3:$K$4986,11,FALSE))</f>
        <v/>
      </c>
      <c r="G327" s="269" t="str">
        <f>IF(D327="","",VLOOKUP(F327,製品マスタ!$G$5:$H$5002,2,FALSE))</f>
        <v/>
      </c>
      <c r="H327" s="269" t="str">
        <f>IF(D327="","",VLOOKUP(F327,製品マスタ!$G$5:$K$5002,5,FALSE))</f>
        <v/>
      </c>
      <c r="I327" s="270" t="str">
        <f>IF(D327="","",VLOOKUP(F327,製品マスタ!$G$5:$L$5002,6,FALSE))</f>
        <v/>
      </c>
      <c r="J327" s="32"/>
      <c r="K327" s="270" t="str">
        <f>IF(D327="","",VLOOKUP(D327,契約台帳!$A$3:$L$4986,12,FALSE))</f>
        <v/>
      </c>
      <c r="L327" s="270" t="str">
        <f>IF(D327="","",INDEX(製品マスタ!$Q$5:$Q$5002,MATCH(F327&amp;K327,製品マスタ!$AO$5:$AO$5002,0)))</f>
        <v/>
      </c>
      <c r="M327" s="39"/>
      <c r="N327" s="39"/>
      <c r="O327" s="47"/>
      <c r="P327" s="57"/>
      <c r="Q327" s="276" t="str">
        <f>IF(D327="","",IF(J327="リード付け",M327,VLOOKUP(D327,契約台帳!$A$3:$N$4986,14,FALSE)))</f>
        <v/>
      </c>
      <c r="R327" s="277" t="str">
        <f>IF(D327="","",IF(J327="リード付け",M327,VLOOKUP(D327,契約台帳!$A$3:$O$4986,15,FALSE)))</f>
        <v/>
      </c>
      <c r="S327" s="277" t="str">
        <f>IF(D327="","",IF(J327="リード付け",N327,VLOOKUP(D327,契約台帳!$A$3:$P$4986,16,FALSE)))</f>
        <v/>
      </c>
      <c r="T327" s="40"/>
      <c r="U327" s="278" t="str">
        <f ca="1">IF(D327="","",IF(OFFSET(D327,-2,0)=D327,"",VLOOKUP(D327,契約台帳!$A$3:$R$4986,18,FALSE)))</f>
        <v/>
      </c>
      <c r="V327" s="269" t="str">
        <f>IF(J327="巻返し",VLOOKUP(F327&amp;K327&amp;M327,製品マスタ!$M$5:$AD$5002,18,FALSE),IF(J327="リード付け","原反コア",IF(J327="スリット",VLOOKUP(F327&amp;K327&amp;Q327,製品マスタ!$N$5:$AD$5002,17,FALSE),"")))</f>
        <v/>
      </c>
      <c r="W327" s="269" t="str">
        <f>IF(J327="巻返し",VLOOKUP(F327&amp;K327&amp;M327,製品マスタ!$M$5:$AE$5002,19,FALSE),IF(J327="リード付け","-",IF(J327="スリット",VLOOKUP(F327&amp;K327&amp;Q327,製品マスタ!$N$5:$AE$5002,18,FALSE),"")))</f>
        <v/>
      </c>
      <c r="X327" s="275" t="str">
        <f>IF(D327="","",VLOOKUP(D327,契約台帳!$A$3:$Q$4986,17,FALSE))</f>
        <v/>
      </c>
      <c r="Y327" s="269" t="str">
        <f>IF(D327="","",VLOOKUP(D327,契約台帳!$A$3:$E$4986,5,FALSE))</f>
        <v/>
      </c>
      <c r="Z327" s="57"/>
      <c r="AA327" s="207" t="str">
        <f>IFERROR(VLOOKUP(F327&amp;K327&amp;M327,製品マスタ!$M$5:$AM$5002,27,FALSE),"")</f>
        <v/>
      </c>
      <c r="AB327" s="33"/>
      <c r="AC327" s="189"/>
      <c r="AD327" s="54"/>
      <c r="AE327" s="55"/>
      <c r="AF327" s="43"/>
      <c r="AG327" s="47"/>
      <c r="AH327" s="30"/>
      <c r="AI327" s="30"/>
      <c r="AJ327" s="30"/>
      <c r="AK327" s="30"/>
      <c r="AL327" s="13"/>
      <c r="AM327" s="13"/>
      <c r="AN327" s="13"/>
      <c r="AO327" s="13"/>
      <c r="AP327" s="13"/>
      <c r="AQ327" s="14"/>
      <c r="AR327" s="15"/>
    </row>
    <row r="328" spans="1:44" s="17" customFormat="1" ht="30.95" hidden="1" customHeight="1" x14ac:dyDescent="0.2">
      <c r="A328" s="37" t="s">
        <v>1086</v>
      </c>
      <c r="B328" s="38" t="s">
        <v>1087</v>
      </c>
      <c r="C328" s="45"/>
      <c r="D328" s="31">
        <v>3706174</v>
      </c>
      <c r="E328" s="31">
        <v>4151343</v>
      </c>
      <c r="F328" s="268" t="str">
        <f>IF(D328="","",VLOOKUP(D328,契約台帳!$A$3:$K$4986,6,FALSE)&amp;VLOOKUP(D328,契約台帳!$A$3:$K$4986,7,FALSE)&amp;VLOOKUP(D328,契約台帳!$A$3:$K$4986,8,FALSE)&amp;VLOOKUP(D328,契約台帳!$A$3:$K$4986,9,FALSE)&amp;VLOOKUP(D328,契約台帳!$A$3:$K$4986,11,FALSE))</f>
        <v>3SNMLBMNGTBF</v>
      </c>
      <c r="G328" s="269" t="str">
        <f>IF(D328="","",VLOOKUP(F328,製品マスタ!$G$5:$H$5002,2,FALSE))</f>
        <v>S</v>
      </c>
      <c r="H328" s="269" t="str">
        <f>IF(D328="","",VLOOKUP(F328,製品マスタ!$G$5:$K$5002,5,FALSE))</f>
        <v>MNGTBF</v>
      </c>
      <c r="I328" s="270" t="str">
        <f>IF(D328="","",VLOOKUP(F328,製品マスタ!$G$5:$L$5002,6,FALSE))</f>
        <v>メタルミー　ネーマー　銀艶　Ｂ</v>
      </c>
      <c r="J328" s="32" t="s">
        <v>447</v>
      </c>
      <c r="K328" s="270">
        <f>IF(D328="","",VLOOKUP(D328,契約台帳!$A$3:$L$4986,12,FALSE))</f>
        <v>50</v>
      </c>
      <c r="L328" s="270" t="str">
        <f>IF(D328="","",INDEX(製品マスタ!$Q$5:$Q$5002,MATCH(F328&amp;K328,製品マスタ!$AO$5:$AO$5002,0)))</f>
        <v>T62</v>
      </c>
      <c r="M328" s="39">
        <v>1120</v>
      </c>
      <c r="N328" s="39">
        <v>10000</v>
      </c>
      <c r="O328" s="47">
        <v>5</v>
      </c>
      <c r="P328" s="57"/>
      <c r="Q328" s="276">
        <f>IF(D328="","",IF(J328="リード付け",M328,VLOOKUP(D328,契約台帳!$A$3:$N$4986,14,FALSE)))</f>
        <v>1120</v>
      </c>
      <c r="R328" s="277">
        <f>IF(D328="","",IF(J328="リード付け",M328,VLOOKUP(D328,契約台帳!$A$3:$O$4986,15,FALSE)))</f>
        <v>1120</v>
      </c>
      <c r="S328" s="277">
        <f>IF(D328="","",IF(J328="リード付け",N328,VLOOKUP(D328,契約台帳!$A$3:$P$4986,16,FALSE)))</f>
        <v>5000</v>
      </c>
      <c r="T328" s="40">
        <v>10</v>
      </c>
      <c r="U328" s="302" t="str">
        <f ca="1">IF(D328="","",IF(OFFSET(D328,-2,0)=D328,"",VLOOKUP(D328,契約台帳!$A$3:$R$4986,18,FALSE)))</f>
        <v/>
      </c>
      <c r="V328" s="269" t="str">
        <f>IF(J328="巻返し",VLOOKUP(F328&amp;K328&amp;M328,製品マスタ!$M$5:$AD$5002,18,FALSE),IF(J328="リード付け","原反コア",IF(J328="スリット",VLOOKUP(F328&amp;K328&amp;Q328,製品マスタ!$N$5:$AD$5002,17,FALSE),"")))</f>
        <v>6ｲﾝﾁSｺｱ</v>
      </c>
      <c r="W328" s="269">
        <f>IF(J328="巻返し",VLOOKUP(F328&amp;K328&amp;M328,製品マスタ!$M$5:$AE$5002,19,FALSE),IF(J328="リード付け","-",IF(J328="スリット",VLOOKUP(F328&amp;K328&amp;Q328,製品マスタ!$N$5:$AE$5002,18,FALSE),"")))</f>
        <v>1125</v>
      </c>
      <c r="X328" s="275">
        <f>IF(D328="","",VLOOKUP(D328,契約台帳!$A$3:$Q$4986,17,FALSE))</f>
        <v>2</v>
      </c>
      <c r="Y328" s="269" t="str">
        <f>IF(D328="","",VLOOKUP(D328,契約台帳!$A$3:$E$4986,5,FALSE))</f>
        <v>リンテック㈱</v>
      </c>
      <c r="Z328" s="57">
        <v>45037</v>
      </c>
      <c r="AA328" s="303" t="str">
        <f>IFERROR(VLOOKUP(F328&amp;K328&amp;M328,製品マスタ!$M$5:$AM$5002,27,FALSE),"")</f>
        <v>原反ケース再利用</v>
      </c>
      <c r="AB328" s="33"/>
      <c r="AC328" s="189"/>
      <c r="AD328" s="54" t="str">
        <f>IF(F328="","",+F328&amp;K328)</f>
        <v>3SNMLBMNGTBF50</v>
      </c>
      <c r="AE328" s="55">
        <f>+M328*N328*O328/1000</f>
        <v>56000</v>
      </c>
      <c r="AF328" s="43">
        <f>IF(AD328="","",VLOOKUP(AD328,原価マスタ!$A$2:$AJ$1693,13,FALSE))</f>
        <v>99</v>
      </c>
      <c r="AG328" s="47">
        <f>IF(AF328="","",+AE328*AF328/100)</f>
        <v>55440</v>
      </c>
      <c r="AH328" s="30"/>
      <c r="AI328" s="30"/>
      <c r="AJ328" s="30"/>
      <c r="AK328" s="30"/>
      <c r="AL328" s="13"/>
      <c r="AM328" s="13"/>
      <c r="AN328" s="13"/>
      <c r="AO328" s="13"/>
      <c r="AP328" s="13"/>
      <c r="AQ328" s="14"/>
      <c r="AR328" s="15"/>
    </row>
    <row r="329" spans="1:44" s="17" customFormat="1" ht="30.95" hidden="1" customHeight="1" x14ac:dyDescent="0.2">
      <c r="A329" s="37"/>
      <c r="B329" s="38"/>
      <c r="C329" s="45"/>
      <c r="D329" s="31"/>
      <c r="E329" s="31"/>
      <c r="F329" s="268" t="str">
        <f>IF(D329="","",VLOOKUP(D329,契約台帳!$A$3:$K$4986,6,FALSE)&amp;VLOOKUP(D329,契約台帳!$A$3:$K$4986,7,FALSE)&amp;VLOOKUP(D329,契約台帳!$A$3:$K$4986,8,FALSE)&amp;VLOOKUP(D329,契約台帳!$A$3:$K$4986,9,FALSE)&amp;VLOOKUP(D329,契約台帳!$A$3:$K$4986,11,FALSE))</f>
        <v/>
      </c>
      <c r="G329" s="269" t="str">
        <f>IF(D329="","",VLOOKUP(F329,製品マスタ!$G$5:$H$5002,2,FALSE))</f>
        <v/>
      </c>
      <c r="H329" s="269" t="str">
        <f>IF(D329="","",VLOOKUP(F329,製品マスタ!$G$5:$K$5002,5,FALSE))</f>
        <v/>
      </c>
      <c r="I329" s="270" t="str">
        <f>IF(D329="","",VLOOKUP(F329,製品マスタ!$G$5:$L$5002,6,FALSE))</f>
        <v/>
      </c>
      <c r="J329" s="32"/>
      <c r="K329" s="270" t="str">
        <f>IF(D329="","",VLOOKUP(D329,契約台帳!$A$3:$L$4986,12,FALSE))</f>
        <v/>
      </c>
      <c r="L329" s="270" t="str">
        <f>IF(D329="","",INDEX(製品マスタ!$Q$5:$Q$5002,MATCH(F329&amp;K329,製品マスタ!$AO$5:$AO$5002,0)))</f>
        <v/>
      </c>
      <c r="M329" s="39"/>
      <c r="N329" s="39"/>
      <c r="O329" s="47"/>
      <c r="P329" s="57"/>
      <c r="Q329" s="276" t="str">
        <f>IF(D329="","",IF(J329="リード付け",M329,VLOOKUP(D329,契約台帳!$A$3:$N$4986,14,FALSE)))</f>
        <v/>
      </c>
      <c r="R329" s="277" t="str">
        <f>IF(D329="","",IF(J329="リード付け",M329,VLOOKUP(D329,契約台帳!$A$3:$O$4986,15,FALSE)))</f>
        <v/>
      </c>
      <c r="S329" s="277" t="str">
        <f>IF(D329="","",IF(J329="リード付け",N329,VLOOKUP(D329,契約台帳!$A$3:$P$4986,16,FALSE)))</f>
        <v/>
      </c>
      <c r="T329" s="40"/>
      <c r="U329" s="278" t="str">
        <f ca="1">IF(D329="","",IF(OFFSET(D329,-2,0)=D329,"",VLOOKUP(D329,契約台帳!$A$3:$R$4986,18,FALSE)))</f>
        <v/>
      </c>
      <c r="V329" s="269" t="str">
        <f>IF(J329="巻返し",VLOOKUP(F329&amp;K329&amp;M329,製品マスタ!$M$5:$AD$5002,18,FALSE),IF(J329="リード付け","原反コア",IF(J329="スリット",VLOOKUP(F329&amp;K329&amp;Q329,製品マスタ!$N$5:$AD$5002,17,FALSE),"")))</f>
        <v/>
      </c>
      <c r="W329" s="269" t="str">
        <f>IF(J329="巻返し",VLOOKUP(F329&amp;K329&amp;M329,製品マスタ!$M$5:$AE$5002,19,FALSE),IF(J329="リード付け","-",IF(J329="スリット",VLOOKUP(F329&amp;K329&amp;Q329,製品マスタ!$N$5:$AE$5002,18,FALSE),"")))</f>
        <v/>
      </c>
      <c r="X329" s="275" t="str">
        <f>IF(D329="","",VLOOKUP(D329,契約台帳!$A$3:$Q$4986,17,FALSE))</f>
        <v/>
      </c>
      <c r="Y329" s="269" t="str">
        <f>IF(D329="","",VLOOKUP(D329,契約台帳!$A$3:$E$4986,5,FALSE))</f>
        <v/>
      </c>
      <c r="Z329" s="57"/>
      <c r="AA329" s="207" t="str">
        <f>IFERROR(VLOOKUP(F329&amp;K329&amp;M329,製品マスタ!$M$5:$AM$5002,27,FALSE),"")</f>
        <v/>
      </c>
      <c r="AB329" s="33"/>
      <c r="AC329" s="189"/>
      <c r="AD329" s="54"/>
      <c r="AE329" s="55"/>
      <c r="AF329" s="43"/>
      <c r="AG329" s="47"/>
      <c r="AH329" s="30"/>
      <c r="AI329" s="30"/>
      <c r="AJ329" s="30"/>
      <c r="AK329" s="30"/>
      <c r="AL329" s="13"/>
      <c r="AM329" s="13"/>
      <c r="AN329" s="13"/>
      <c r="AO329" s="13"/>
      <c r="AP329" s="13"/>
      <c r="AQ329" s="14"/>
      <c r="AR329" s="15"/>
    </row>
    <row r="330" spans="1:44" s="17" customFormat="1" ht="30.95" hidden="1" customHeight="1" x14ac:dyDescent="0.2">
      <c r="A330" s="37" t="s">
        <v>1088</v>
      </c>
      <c r="B330" s="38" t="s">
        <v>1089</v>
      </c>
      <c r="C330" s="45"/>
      <c r="D330" s="31">
        <v>3703994</v>
      </c>
      <c r="E330" s="31">
        <v>4151333</v>
      </c>
      <c r="F330" s="268" t="str">
        <f>IF(D330="","",VLOOKUP(D330,契約台帳!$A$3:$K$4986,6,FALSE)&amp;VLOOKUP(D330,契約台帳!$A$3:$K$4986,7,FALSE)&amp;VLOOKUP(D330,契約台帳!$A$3:$K$4986,8,FALSE)&amp;VLOOKUP(D330,契約台帳!$A$3:$K$4986,9,FALSE)&amp;VLOOKUP(D330,契約台帳!$A$3:$K$4986,11,FALSE))</f>
        <v>3SNMLBMNGKKBF</v>
      </c>
      <c r="G330" s="269" t="str">
        <f>IF(D330="","",VLOOKUP(F330,製品マスタ!$G$5:$H$5002,2,FALSE))</f>
        <v>S</v>
      </c>
      <c r="H330" s="269" t="str">
        <f>IF(D330="","",VLOOKUP(F330,製品マスタ!$G$5:$K$5002,5,FALSE))</f>
        <v>MNGKKBF</v>
      </c>
      <c r="I330" s="270" t="str">
        <f>IF(D330="","",VLOOKUP(F330,製品マスタ!$G$5:$L$5002,6,FALSE))</f>
        <v>メタルミー　ネーマー銀消改　Ｂ</v>
      </c>
      <c r="J330" s="32" t="s">
        <v>447</v>
      </c>
      <c r="K330" s="270">
        <f>IF(D330="","",VLOOKUP(D330,契約台帳!$A$3:$L$4986,12,FALSE))</f>
        <v>25</v>
      </c>
      <c r="L330" s="270" t="str">
        <f>IF(D330="","",INDEX(製品マスタ!$Q$5:$Q$5002,MATCH(F330&amp;K330,製品マスタ!$AO$5:$AO$5002,0)))</f>
        <v>FMATS99</v>
      </c>
      <c r="M330" s="39">
        <v>1120</v>
      </c>
      <c r="N330" s="39">
        <v>12000</v>
      </c>
      <c r="O330" s="47">
        <v>2</v>
      </c>
      <c r="P330" s="57"/>
      <c r="Q330" s="276">
        <f>IF(D330="","",IF(J330="リード付け",M330,VLOOKUP(D330,契約台帳!$A$3:$N$4986,14,FALSE)))</f>
        <v>1120</v>
      </c>
      <c r="R330" s="277">
        <f>IF(D330="","",IF(J330="リード付け",M330,VLOOKUP(D330,契約台帳!$A$3:$O$4986,15,FALSE)))</f>
        <v>1120</v>
      </c>
      <c r="S330" s="277">
        <f>IF(D330="","",IF(J330="リード付け",N330,VLOOKUP(D330,契約台帳!$A$3:$P$4986,16,FALSE)))</f>
        <v>4000</v>
      </c>
      <c r="T330" s="40">
        <v>6</v>
      </c>
      <c r="U330" s="278">
        <f ca="1">IF(D330="","",IF(OFFSET(D330,-2,0)=D330,"",VLOOKUP(D330,契約台帳!$A$3:$R$4986,18,FALSE)))</f>
        <v>6</v>
      </c>
      <c r="V330" s="269" t="str">
        <f>IF(J330="巻返し",VLOOKUP(F330&amp;K330&amp;M330,製品マスタ!$M$5:$AD$5002,18,FALSE),IF(J330="リード付け","原反コア",IF(J330="スリット",VLOOKUP(F330&amp;K330&amp;Q330,製品マスタ!$N$5:$AD$5002,17,FALSE),"")))</f>
        <v>6ｲﾝﾁSｺｱ</v>
      </c>
      <c r="W330" s="269">
        <f>IF(J330="巻返し",VLOOKUP(F330&amp;K330&amp;M330,製品マスタ!$M$5:$AE$5002,19,FALSE),IF(J330="リード付け","-",IF(J330="スリット",VLOOKUP(F330&amp;K330&amp;Q330,製品マスタ!$N$5:$AE$5002,18,FALSE),"")))</f>
        <v>1125</v>
      </c>
      <c r="X330" s="275">
        <f>IF(D330="","",VLOOKUP(D330,契約台帳!$A$3:$Q$4986,17,FALSE))</f>
        <v>2</v>
      </c>
      <c r="Y330" s="269" t="str">
        <f>IF(D330="","",VLOOKUP(D330,契約台帳!$A$3:$E$4986,5,FALSE))</f>
        <v>リンテック㈱</v>
      </c>
      <c r="Z330" s="57">
        <v>45040</v>
      </c>
      <c r="AA330" s="207">
        <f>IFERROR(VLOOKUP(F330&amp;K330&amp;M330,製品マスタ!$M$5:$AM$5002,27,FALSE),"")</f>
        <v>0</v>
      </c>
      <c r="AB330" s="33"/>
      <c r="AC330" s="189"/>
      <c r="AD330" s="54" t="str">
        <f>IF(F330="","",+F330&amp;K330)</f>
        <v>3SNMLBMNGKKBF25</v>
      </c>
      <c r="AE330" s="55">
        <f>+M330*N330*O330/1000</f>
        <v>26880</v>
      </c>
      <c r="AF330" s="43">
        <f>IF(AD330="","",VLOOKUP(AD330,原価マスタ!$A$2:$AJ$1693,13,FALSE))</f>
        <v>96</v>
      </c>
      <c r="AG330" s="47">
        <f>IF(AF330="","",+AE330*AF330/100)</f>
        <v>25804.799999999999</v>
      </c>
      <c r="AH330" s="30"/>
      <c r="AI330" s="30"/>
      <c r="AJ330" s="30"/>
      <c r="AK330" s="30"/>
      <c r="AL330" s="13"/>
      <c r="AM330" s="13"/>
      <c r="AN330" s="13"/>
      <c r="AO330" s="13"/>
      <c r="AP330" s="13"/>
      <c r="AQ330" s="14"/>
      <c r="AR330" s="15"/>
    </row>
    <row r="331" spans="1:44" s="17" customFormat="1" ht="30.95" hidden="1" customHeight="1" x14ac:dyDescent="0.2">
      <c r="A331" s="37"/>
      <c r="B331" s="38"/>
      <c r="C331" s="45"/>
      <c r="D331" s="31"/>
      <c r="E331" s="31"/>
      <c r="F331" s="268" t="str">
        <f>IF(D331="","",VLOOKUP(D331,契約台帳!$A$3:$K$4986,6,FALSE)&amp;VLOOKUP(D331,契約台帳!$A$3:$K$4986,7,FALSE)&amp;VLOOKUP(D331,契約台帳!$A$3:$K$4986,8,FALSE)&amp;VLOOKUP(D331,契約台帳!$A$3:$K$4986,9,FALSE)&amp;VLOOKUP(D331,契約台帳!$A$3:$K$4986,11,FALSE))</f>
        <v/>
      </c>
      <c r="G331" s="269" t="str">
        <f>IF(D331="","",VLOOKUP(F331,製品マスタ!$G$5:$H$5002,2,FALSE))</f>
        <v/>
      </c>
      <c r="H331" s="269" t="str">
        <f>IF(D331="","",VLOOKUP(F331,製品マスタ!$G$5:$K$5002,5,FALSE))</f>
        <v/>
      </c>
      <c r="I331" s="270" t="str">
        <f>IF(D331="","",VLOOKUP(F331,製品マスタ!$G$5:$L$5002,6,FALSE))</f>
        <v/>
      </c>
      <c r="J331" s="32"/>
      <c r="K331" s="270" t="str">
        <f>IF(D331="","",VLOOKUP(D331,契約台帳!$A$3:$L$4986,12,FALSE))</f>
        <v/>
      </c>
      <c r="L331" s="270" t="str">
        <f>IF(D331="","",INDEX(製品マスタ!$Q$5:$Q$5002,MATCH(F331&amp;K331,製品マスタ!$AO$5:$AO$5002,0)))</f>
        <v/>
      </c>
      <c r="M331" s="39"/>
      <c r="N331" s="39"/>
      <c r="O331" s="47"/>
      <c r="P331" s="57"/>
      <c r="Q331" s="276" t="str">
        <f>IF(D331="","",IF(J331="リード付け",M331,VLOOKUP(D331,契約台帳!$A$3:$N$4986,14,FALSE)))</f>
        <v/>
      </c>
      <c r="R331" s="277" t="str">
        <f>IF(D331="","",IF(J331="リード付け",M331,VLOOKUP(D331,契約台帳!$A$3:$O$4986,15,FALSE)))</f>
        <v/>
      </c>
      <c r="S331" s="277" t="str">
        <f>IF(D331="","",IF(J331="リード付け",N331,VLOOKUP(D331,契約台帳!$A$3:$P$4986,16,FALSE)))</f>
        <v/>
      </c>
      <c r="T331" s="40"/>
      <c r="U331" s="278" t="str">
        <f ca="1">IF(D331="","",IF(OFFSET(D331,-2,0)=D331,"",VLOOKUP(D331,契約台帳!$A$3:$R$4986,18,FALSE)))</f>
        <v/>
      </c>
      <c r="V331" s="269" t="str">
        <f>IF(J331="巻返し",VLOOKUP(F331&amp;K331&amp;M331,製品マスタ!$M$5:$AD$5002,18,FALSE),IF(J331="リード付け","原反コア",IF(J331="スリット",VLOOKUP(F331&amp;K331&amp;Q331,製品マスタ!$N$5:$AD$5002,17,FALSE),"")))</f>
        <v/>
      </c>
      <c r="W331" s="269" t="str">
        <f>IF(J331="巻返し",VLOOKUP(F331&amp;K331&amp;M331,製品マスタ!$M$5:$AE$5002,19,FALSE),IF(J331="リード付け","-",IF(J331="スリット",VLOOKUP(F331&amp;K331&amp;Q331,製品マスタ!$N$5:$AE$5002,18,FALSE),"")))</f>
        <v/>
      </c>
      <c r="X331" s="275" t="str">
        <f>IF(D331="","",VLOOKUP(D331,契約台帳!$A$3:$Q$4986,17,FALSE))</f>
        <v/>
      </c>
      <c r="Y331" s="269" t="str">
        <f>IF(D331="","",VLOOKUP(D331,契約台帳!$A$3:$E$4986,5,FALSE))</f>
        <v/>
      </c>
      <c r="Z331" s="57"/>
      <c r="AA331" s="207" t="str">
        <f>IFERROR(VLOOKUP(F331&amp;K331&amp;M331,製品マスタ!$M$5:$AM$5002,27,FALSE),"")</f>
        <v/>
      </c>
      <c r="AB331" s="33"/>
      <c r="AC331" s="189"/>
      <c r="AD331" s="54"/>
      <c r="AE331" s="55"/>
      <c r="AF331" s="43"/>
      <c r="AG331" s="47"/>
      <c r="AH331" s="30"/>
      <c r="AI331" s="30"/>
      <c r="AJ331" s="30"/>
      <c r="AK331" s="30"/>
      <c r="AL331" s="13"/>
      <c r="AM331" s="13"/>
      <c r="AN331" s="13"/>
      <c r="AO331" s="13"/>
      <c r="AP331" s="13"/>
      <c r="AQ331" s="14"/>
      <c r="AR331" s="15"/>
    </row>
    <row r="332" spans="1:44" s="17" customFormat="1" ht="30.95" hidden="1" customHeight="1" x14ac:dyDescent="0.2">
      <c r="A332" s="37"/>
      <c r="B332" s="38"/>
      <c r="C332" s="45"/>
      <c r="D332" s="31">
        <v>3703993</v>
      </c>
      <c r="E332" s="31">
        <v>4151332</v>
      </c>
      <c r="F332" s="268" t="str">
        <f>IF(D332="","",VLOOKUP(D332,契約台帳!$A$3:$K$4986,6,FALSE)&amp;VLOOKUP(D332,契約台帳!$A$3:$K$4986,7,FALSE)&amp;VLOOKUP(D332,契約台帳!$A$3:$K$4986,8,FALSE)&amp;VLOOKUP(D332,契約台帳!$A$3:$K$4986,9,FALSE)&amp;VLOOKUP(D332,契約台帳!$A$3:$K$4986,11,FALSE))</f>
        <v>3SNMLBMNGKBF</v>
      </c>
      <c r="G332" s="269" t="str">
        <f>IF(D332="","",VLOOKUP(F332,製品マスタ!$G$5:$H$5002,2,FALSE))</f>
        <v>S</v>
      </c>
      <c r="H332" s="269" t="str">
        <f>IF(D332="","",VLOOKUP(F332,製品マスタ!$G$5:$K$5002,5,FALSE))</f>
        <v>MNGKBF</v>
      </c>
      <c r="I332" s="270" t="str">
        <f>IF(D332="","",VLOOKUP(F332,製品マスタ!$G$5:$L$5002,6,FALSE))</f>
        <v>メタルミー　ネーマー銀消　Ｂ</v>
      </c>
      <c r="J332" s="32" t="s">
        <v>447</v>
      </c>
      <c r="K332" s="270">
        <f>IF(D332="","",VLOOKUP(D332,契約台帳!$A$3:$L$4986,12,FALSE))</f>
        <v>50</v>
      </c>
      <c r="L332" s="270" t="str">
        <f>IF(D332="","",INDEX(製品マスタ!$Q$5:$Q$5002,MATCH(F332&amp;K332,製品マスタ!$AO$5:$AO$5002,0)))</f>
        <v>MAT</v>
      </c>
      <c r="M332" s="39">
        <v>1050</v>
      </c>
      <c r="N332" s="39">
        <v>8200</v>
      </c>
      <c r="O332" s="47">
        <v>2</v>
      </c>
      <c r="P332" s="57"/>
      <c r="Q332" s="276">
        <f>IF(D332="","",IF(J332="リード付け",M332,VLOOKUP(D332,契約台帳!$A$3:$N$4986,14,FALSE)))</f>
        <v>1050</v>
      </c>
      <c r="R332" s="277">
        <f>IF(D332="","",IF(J332="リード付け",M332,VLOOKUP(D332,契約台帳!$A$3:$O$4986,15,FALSE)))</f>
        <v>1050</v>
      </c>
      <c r="S332" s="277">
        <f>IF(D332="","",IF(J332="リード付け",N332,VLOOKUP(D332,契約台帳!$A$3:$P$4986,16,FALSE)))</f>
        <v>4100</v>
      </c>
      <c r="T332" s="40">
        <v>4</v>
      </c>
      <c r="U332" s="278">
        <f ca="1">IF(D332="","",IF(OFFSET(D332,-2,0)=D332,"",VLOOKUP(D332,契約台帳!$A$3:$R$4986,18,FALSE)))</f>
        <v>4</v>
      </c>
      <c r="V332" s="269" t="str">
        <f>IF(J332="巻返し",VLOOKUP(F332&amp;K332&amp;M332,製品マスタ!$M$5:$AD$5002,18,FALSE),IF(J332="リード付け","原反コア",IF(J332="スリット",VLOOKUP(F332&amp;K332&amp;Q332,製品マスタ!$N$5:$AD$5002,17,FALSE),"")))</f>
        <v>6ｲﾝﾁSｺｱ</v>
      </c>
      <c r="W332" s="269">
        <f>IF(J332="巻返し",VLOOKUP(F332&amp;K332&amp;M332,製品マスタ!$M$5:$AE$5002,19,FALSE),IF(J332="リード付け","-",IF(J332="スリット",VLOOKUP(F332&amp;K332&amp;Q332,製品マスタ!$N$5:$AE$5002,18,FALSE),"")))</f>
        <v>1055</v>
      </c>
      <c r="X332" s="275">
        <f>IF(D332="","",VLOOKUP(D332,契約台帳!$A$3:$Q$4986,17,FALSE))</f>
        <v>2</v>
      </c>
      <c r="Y332" s="269" t="str">
        <f>IF(D332="","",VLOOKUP(D332,契約台帳!$A$3:$E$4986,5,FALSE))</f>
        <v>リンテック㈱</v>
      </c>
      <c r="Z332" s="57">
        <v>45040</v>
      </c>
      <c r="AA332" s="207">
        <f>IFERROR(VLOOKUP(F332&amp;K332&amp;M332,製品マスタ!$M$5:$AM$5002,27,FALSE),"")</f>
        <v>0</v>
      </c>
      <c r="AB332" s="33"/>
      <c r="AC332" s="189"/>
      <c r="AD332" s="54" t="str">
        <f>IF(F332="","",+F332&amp;K332)</f>
        <v>3SNMLBMNGKBF50</v>
      </c>
      <c r="AE332" s="55">
        <f>+M332*N332*O332/1000</f>
        <v>17220</v>
      </c>
      <c r="AF332" s="43">
        <f>IF(AD332="","",VLOOKUP(AD332,原価マスタ!$A$2:$AJ$1693,13,FALSE))</f>
        <v>98</v>
      </c>
      <c r="AG332" s="47">
        <f>IF(AF332="","",+AE332*AF332/100)</f>
        <v>16875.599999999999</v>
      </c>
      <c r="AH332" s="30"/>
      <c r="AI332" s="30"/>
      <c r="AJ332" s="30"/>
      <c r="AK332" s="30"/>
      <c r="AL332" s="13"/>
      <c r="AM332" s="13"/>
      <c r="AN332" s="13"/>
      <c r="AO332" s="13"/>
      <c r="AP332" s="13"/>
      <c r="AQ332" s="14"/>
      <c r="AR332" s="15"/>
    </row>
    <row r="333" spans="1:44" s="17" customFormat="1" ht="30.95" hidden="1" customHeight="1" x14ac:dyDescent="0.2">
      <c r="A333" s="37"/>
      <c r="B333" s="38"/>
      <c r="C333" s="45"/>
      <c r="D333" s="31"/>
      <c r="E333" s="31"/>
      <c r="F333" s="268"/>
      <c r="G333" s="269"/>
      <c r="H333" s="269"/>
      <c r="I333" s="270"/>
      <c r="J333" s="32"/>
      <c r="K333" s="270"/>
      <c r="L333" s="270"/>
      <c r="M333" s="39"/>
      <c r="N333" s="39"/>
      <c r="O333" s="47"/>
      <c r="P333" s="57"/>
      <c r="Q333" s="276"/>
      <c r="R333" s="277"/>
      <c r="S333" s="277"/>
      <c r="T333" s="40"/>
      <c r="U333" s="278"/>
      <c r="V333" s="269"/>
      <c r="W333" s="269"/>
      <c r="X333" s="275"/>
      <c r="Y333" s="269"/>
      <c r="Z333" s="57"/>
      <c r="AA333" s="207"/>
      <c r="AB333" s="33"/>
      <c r="AC333" s="189"/>
      <c r="AD333" s="54"/>
      <c r="AE333" s="55"/>
      <c r="AF333" s="43"/>
      <c r="AG333" s="47"/>
      <c r="AH333" s="30"/>
      <c r="AI333" s="30"/>
      <c r="AJ333" s="30"/>
      <c r="AK333" s="30"/>
      <c r="AL333" s="13"/>
      <c r="AM333" s="13"/>
      <c r="AN333" s="13"/>
      <c r="AO333" s="13"/>
      <c r="AP333" s="13"/>
      <c r="AQ333" s="14"/>
      <c r="AR333" s="15"/>
    </row>
    <row r="334" spans="1:44" s="17" customFormat="1" ht="30.95" hidden="1" customHeight="1" x14ac:dyDescent="0.2">
      <c r="A334" s="37" t="s">
        <v>1090</v>
      </c>
      <c r="B334" s="38" t="s">
        <v>1091</v>
      </c>
      <c r="C334" s="45"/>
      <c r="D334" s="31">
        <v>3703995</v>
      </c>
      <c r="E334" s="31">
        <v>4151342</v>
      </c>
      <c r="F334" s="268" t="str">
        <f>IF(D334="","",VLOOKUP(D334,契約台帳!$A$3:$K$4986,6,FALSE)&amp;VLOOKUP(D334,契約台帳!$A$3:$K$4986,7,FALSE)&amp;VLOOKUP(D334,契約台帳!$A$3:$K$4986,8,FALSE)&amp;VLOOKUP(D334,契約台帳!$A$3:$K$4986,9,FALSE)&amp;VLOOKUP(D334,契約台帳!$A$3:$K$4986,11,FALSE))</f>
        <v>3SNMLBMNGTBF</v>
      </c>
      <c r="G334" s="269" t="str">
        <f>IF(D334="","",VLOOKUP(F334,製品マスタ!$G$5:$H$5002,2,FALSE))</f>
        <v>S</v>
      </c>
      <c r="H334" s="269" t="str">
        <f>IF(D334="","",VLOOKUP(F334,製品マスタ!$G$5:$K$5002,5,FALSE))</f>
        <v>MNGTBF</v>
      </c>
      <c r="I334" s="270" t="str">
        <f>IF(D334="","",VLOOKUP(F334,製品マスタ!$G$5:$L$5002,6,FALSE))</f>
        <v>メタルミー　ネーマー　銀艶　Ｂ</v>
      </c>
      <c r="J334" s="32" t="s">
        <v>447</v>
      </c>
      <c r="K334" s="270">
        <f>IF(D334="","",VLOOKUP(D334,契約台帳!$A$3:$L$4986,12,FALSE))</f>
        <v>25</v>
      </c>
      <c r="L334" s="270" t="str">
        <f>IF(D334="","",INDEX(製品マスタ!$Q$5:$Q$5002,MATCH(F334&amp;K334,製品マスタ!$AO$5:$AO$5002,0)))</f>
        <v>T62M</v>
      </c>
      <c r="M334" s="39">
        <v>1005</v>
      </c>
      <c r="N334" s="39">
        <v>12100</v>
      </c>
      <c r="O334" s="47">
        <v>3</v>
      </c>
      <c r="P334" s="57"/>
      <c r="Q334" s="276">
        <f>IF(D334="","",IF(J334="リード付け",M334,VLOOKUP(D334,契約台帳!$A$3:$N$4986,14,FALSE)))</f>
        <v>1005</v>
      </c>
      <c r="R334" s="277">
        <f>IF(D334="","",IF(J334="リード付け",M334,VLOOKUP(D334,契約台帳!$A$3:$O$4986,15,FALSE)))</f>
        <v>1000</v>
      </c>
      <c r="S334" s="277">
        <f>IF(D334="","",IF(J334="リード付け",N334,VLOOKUP(D334,契約台帳!$A$3:$P$4986,16,FALSE)))</f>
        <v>4000</v>
      </c>
      <c r="T334" s="40">
        <v>9</v>
      </c>
      <c r="U334" s="278">
        <f ca="1">IF(D334="","",IF(OFFSET(D334,-2,0)=D334,"",VLOOKUP(D334,契約台帳!$A$3:$R$4986,18,FALSE)))</f>
        <v>9</v>
      </c>
      <c r="V334" s="269" t="str">
        <f>IF(J334="巻返し",VLOOKUP(F334&amp;K334&amp;M334,製品マスタ!$M$5:$AD$5002,18,FALSE),IF(J334="リード付け","原反コア",IF(J334="スリット",VLOOKUP(F334&amp;K334&amp;Q334,製品マスタ!$N$5:$AD$5002,17,FALSE),"")))</f>
        <v>6ｲﾝﾁSｺｱ</v>
      </c>
      <c r="W334" s="269">
        <f>IF(J334="巻返し",VLOOKUP(F334&amp;K334&amp;M334,製品マスタ!$M$5:$AE$5002,19,FALSE),IF(J334="リード付け","-",IF(J334="スリット",VLOOKUP(F334&amp;K334&amp;Q334,製品マスタ!$N$5:$AE$5002,18,FALSE),"")))</f>
        <v>1015</v>
      </c>
      <c r="X334" s="275">
        <f>IF(D334="","",VLOOKUP(D334,契約台帳!$A$3:$Q$4986,17,FALSE))</f>
        <v>2</v>
      </c>
      <c r="Y334" s="269" t="str">
        <f>IF(D334="","",VLOOKUP(D334,契約台帳!$A$3:$E$4986,5,FALSE))</f>
        <v>リンテック㈱</v>
      </c>
      <c r="Z334" s="57">
        <v>45040</v>
      </c>
      <c r="AA334" s="207">
        <f>IFERROR(VLOOKUP(F334&amp;K334&amp;M334,製品マスタ!$M$5:$AM$5002,27,FALSE),"")</f>
        <v>0</v>
      </c>
      <c r="AB334" s="33"/>
      <c r="AC334" s="189"/>
      <c r="AD334" s="54" t="str">
        <f>IF(F334="","",+F334&amp;K334)</f>
        <v>3SNMLBMNGTBF25</v>
      </c>
      <c r="AE334" s="55">
        <f>+M334*N334*O334/1000</f>
        <v>36481.5</v>
      </c>
      <c r="AF334" s="43">
        <f>IF(AD334="","",VLOOKUP(AD334,原価マスタ!$A$2:$AJ$1693,13,FALSE))</f>
        <v>97.5</v>
      </c>
      <c r="AG334" s="47">
        <f>IF(AF334="","",+AE334*AF334/100)</f>
        <v>35569.462500000001</v>
      </c>
      <c r="AH334" s="30"/>
      <c r="AI334" s="30"/>
      <c r="AJ334" s="30"/>
      <c r="AK334" s="30"/>
      <c r="AL334" s="13"/>
      <c r="AM334" s="13"/>
      <c r="AN334" s="13"/>
      <c r="AO334" s="13"/>
      <c r="AP334" s="13"/>
      <c r="AQ334" s="14"/>
      <c r="AR334" s="15"/>
    </row>
    <row r="335" spans="1:44" s="17" customFormat="1" ht="30.95" hidden="1" customHeight="1" x14ac:dyDescent="0.2">
      <c r="A335" s="37"/>
      <c r="B335" s="38"/>
      <c r="C335" s="45"/>
      <c r="D335" s="31"/>
      <c r="E335" s="31"/>
      <c r="F335" s="268"/>
      <c r="G335" s="269"/>
      <c r="H335" s="269"/>
      <c r="I335" s="270"/>
      <c r="J335" s="32"/>
      <c r="K335" s="270"/>
      <c r="L335" s="270"/>
      <c r="M335" s="39"/>
      <c r="N335" s="39"/>
      <c r="O335" s="47"/>
      <c r="P335" s="57"/>
      <c r="Q335" s="276"/>
      <c r="R335" s="277"/>
      <c r="S335" s="277"/>
      <c r="T335" s="40"/>
      <c r="U335" s="278"/>
      <c r="V335" s="269"/>
      <c r="W335" s="269"/>
      <c r="X335" s="275"/>
      <c r="Y335" s="269"/>
      <c r="Z335" s="57"/>
      <c r="AA335" s="207"/>
      <c r="AB335" s="33"/>
      <c r="AC335" s="189"/>
      <c r="AD335" s="54"/>
      <c r="AE335" s="55"/>
      <c r="AF335" s="43"/>
      <c r="AG335" s="47"/>
      <c r="AH335" s="30"/>
      <c r="AI335" s="30"/>
      <c r="AJ335" s="30"/>
      <c r="AK335" s="30"/>
      <c r="AL335" s="13"/>
      <c r="AM335" s="13"/>
      <c r="AN335" s="13"/>
      <c r="AO335" s="13"/>
      <c r="AP335" s="13"/>
      <c r="AQ335" s="14"/>
      <c r="AR335" s="15"/>
    </row>
    <row r="336" spans="1:44" s="17" customFormat="1" ht="30.95" hidden="1" customHeight="1" x14ac:dyDescent="0.2">
      <c r="A336" s="37"/>
      <c r="B336" s="38"/>
      <c r="C336" s="45"/>
      <c r="D336" s="31">
        <v>3703992</v>
      </c>
      <c r="E336" s="31">
        <v>4151331</v>
      </c>
      <c r="F336" s="268" t="str">
        <f>IF(D336="","",VLOOKUP(D336,契約台帳!$A$3:$K$4986,6,FALSE)&amp;VLOOKUP(D336,契約台帳!$A$3:$K$4986,7,FALSE)&amp;VLOOKUP(D336,契約台帳!$A$3:$K$4986,8,FALSE)&amp;VLOOKUP(D336,契約台帳!$A$3:$K$4986,9,FALSE)&amp;VLOOKUP(D336,契約台帳!$A$3:$K$4986,11,FALSE))</f>
        <v>3SNMLBMNGKBF</v>
      </c>
      <c r="G336" s="269" t="str">
        <f>IF(D336="","",VLOOKUP(F336,製品マスタ!$G$5:$H$5002,2,FALSE))</f>
        <v>S</v>
      </c>
      <c r="H336" s="269" t="str">
        <f>IF(D336="","",VLOOKUP(F336,製品マスタ!$G$5:$K$5002,5,FALSE))</f>
        <v>MNGKBF</v>
      </c>
      <c r="I336" s="270" t="str">
        <f>IF(D336="","",VLOOKUP(F336,製品マスタ!$G$5:$L$5002,6,FALSE))</f>
        <v>メタルミー　ネーマー銀消　Ｂ</v>
      </c>
      <c r="J336" s="32" t="s">
        <v>1051</v>
      </c>
      <c r="K336" s="270">
        <f>IF(D336="","",VLOOKUP(D336,契約台帳!$A$3:$L$4986,12,FALSE))</f>
        <v>38</v>
      </c>
      <c r="L336" s="270" t="str">
        <f>IF(D336="","",INDEX(製品マスタ!$Q$5:$Q$5002,MATCH(F336&amp;K336,製品マスタ!$AO$5:$AO$5002,0)))</f>
        <v>LUMIMAT</v>
      </c>
      <c r="M336" s="39">
        <v>1005</v>
      </c>
      <c r="N336" s="39">
        <v>12300</v>
      </c>
      <c r="O336" s="47">
        <v>1</v>
      </c>
      <c r="P336" s="57"/>
      <c r="Q336" s="276">
        <f>IF(D336="","",IF(J336="リード付け",M336,VLOOKUP(D336,契約台帳!$A$3:$N$4986,14,FALSE)))</f>
        <v>1005</v>
      </c>
      <c r="R336" s="277">
        <f>IF(D336="","",IF(J336="リード付け",M336,VLOOKUP(D336,契約台帳!$A$3:$O$4986,15,FALSE)))</f>
        <v>1000</v>
      </c>
      <c r="S336" s="277">
        <f>IF(D336="","",IF(J336="リード付け",N336,VLOOKUP(D336,契約台帳!$A$3:$P$4986,16,FALSE)))</f>
        <v>4000</v>
      </c>
      <c r="T336" s="40">
        <v>3</v>
      </c>
      <c r="U336" s="278">
        <f ca="1">IF(D336="","",IF(OFFSET(D336,-2,0)=D336,"",VLOOKUP(D336,契約台帳!$A$3:$R$4986,18,FALSE)))</f>
        <v>3</v>
      </c>
      <c r="V336" s="269" t="str">
        <f>IF(J336="巻返し",VLOOKUP(F336&amp;K336&amp;M336,製品マスタ!$M$5:$AD$5002,18,FALSE),IF(J336="リード付け","原反コア",IF(J336="スリット",VLOOKUP(F336&amp;K336&amp;Q336,製品マスタ!$N$5:$AD$5002,17,FALSE),"")))</f>
        <v>6ｲﾝﾁSｺｱ</v>
      </c>
      <c r="W336" s="269">
        <f>IF(J336="巻返し",VLOOKUP(F336&amp;K336&amp;M336,製品マスタ!$M$5:$AE$5002,19,FALSE),IF(J336="リード付け","-",IF(J336="スリット",VLOOKUP(F336&amp;K336&amp;Q336,製品マスタ!$N$5:$AE$5002,18,FALSE),"")))</f>
        <v>1015</v>
      </c>
      <c r="X336" s="275">
        <f>IF(D336="","",VLOOKUP(D336,契約台帳!$A$3:$Q$4986,17,FALSE))</f>
        <v>2</v>
      </c>
      <c r="Y336" s="269" t="str">
        <f>IF(D336="","",VLOOKUP(D336,契約台帳!$A$3:$E$4986,5,FALSE))</f>
        <v>リンテック㈱</v>
      </c>
      <c r="Z336" s="57">
        <v>45041</v>
      </c>
      <c r="AA336" s="207">
        <f>IFERROR(VLOOKUP(F336&amp;K336&amp;M336,製品マスタ!$M$5:$AM$5002,27,FALSE),"")</f>
        <v>0</v>
      </c>
      <c r="AB336" s="33"/>
      <c r="AC336" s="189"/>
      <c r="AD336" s="54" t="str">
        <f>IF(F336="","",+F336&amp;K336)</f>
        <v>3SNMLBMNGKBF38</v>
      </c>
      <c r="AE336" s="55">
        <f>+M336*N336*O336/1000</f>
        <v>12361.5</v>
      </c>
      <c r="AF336" s="43">
        <f>IF(AD336="","",VLOOKUP(AD336,原価マスタ!$A$2:$AJ$1693,13,FALSE))</f>
        <v>97.2</v>
      </c>
      <c r="AG336" s="47">
        <f>IF(AF336="","",+AE336*AF336/100)</f>
        <v>12015.378000000001</v>
      </c>
      <c r="AH336" s="30"/>
      <c r="AI336" s="30"/>
      <c r="AJ336" s="30"/>
      <c r="AK336" s="30"/>
      <c r="AL336" s="13"/>
      <c r="AM336" s="13"/>
      <c r="AN336" s="13"/>
      <c r="AO336" s="13"/>
      <c r="AP336" s="13"/>
      <c r="AQ336" s="14"/>
      <c r="AR336" s="15"/>
    </row>
    <row r="337" spans="1:44" s="17" customFormat="1" ht="30.95" hidden="1" customHeight="1" x14ac:dyDescent="0.2">
      <c r="A337" s="37"/>
      <c r="B337" s="38"/>
      <c r="C337" s="45"/>
      <c r="D337" s="31"/>
      <c r="E337" s="31"/>
      <c r="F337" s="268" t="str">
        <f>IF(D337="","",VLOOKUP(D337,契約台帳!$A$3:$K$4986,6,FALSE)&amp;VLOOKUP(D337,契約台帳!$A$3:$K$4986,7,FALSE)&amp;VLOOKUP(D337,契約台帳!$A$3:$K$4986,8,FALSE)&amp;VLOOKUP(D337,契約台帳!$A$3:$K$4986,9,FALSE)&amp;VLOOKUP(D337,契約台帳!$A$3:$K$4986,11,FALSE))</f>
        <v/>
      </c>
      <c r="G337" s="269" t="str">
        <f>IF(D337="","",VLOOKUP(F337,製品マスタ!$G$5:$H$5002,2,FALSE))</f>
        <v/>
      </c>
      <c r="H337" s="269" t="str">
        <f>IF(D337="","",VLOOKUP(F337,製品マスタ!$G$5:$K$5002,5,FALSE))</f>
        <v/>
      </c>
      <c r="I337" s="270" t="str">
        <f>IF(D337="","",VLOOKUP(F337,製品マスタ!$G$5:$L$5002,6,FALSE))</f>
        <v/>
      </c>
      <c r="J337" s="32"/>
      <c r="K337" s="270" t="str">
        <f>IF(D337="","",VLOOKUP(D337,契約台帳!$A$3:$L$4986,12,FALSE))</f>
        <v/>
      </c>
      <c r="L337" s="270" t="str">
        <f>IF(D337="","",INDEX(製品マスタ!$Q$5:$Q$5002,MATCH(F337&amp;K337,製品マスタ!$AO$5:$AO$5002,0)))</f>
        <v/>
      </c>
      <c r="M337" s="39"/>
      <c r="N337" s="39"/>
      <c r="O337" s="47"/>
      <c r="P337" s="57"/>
      <c r="Q337" s="276" t="str">
        <f>IF(D337="","",IF(J337="リード付け",M337,VLOOKUP(D337,契約台帳!$A$3:$N$4986,14,FALSE)))</f>
        <v/>
      </c>
      <c r="R337" s="277" t="str">
        <f>IF(D337="","",IF(J337="リード付け",M337,VLOOKUP(D337,契約台帳!$A$3:$O$4986,15,FALSE)))</f>
        <v/>
      </c>
      <c r="S337" s="277" t="str">
        <f>IF(D337="","",IF(J337="リード付け",N337,VLOOKUP(D337,契約台帳!$A$3:$P$4986,16,FALSE)))</f>
        <v/>
      </c>
      <c r="T337" s="40"/>
      <c r="U337" s="278" t="str">
        <f ca="1">IF(D337="","",IF(OFFSET(D337,-2,0)=D337,"",VLOOKUP(D337,契約台帳!$A$3:$R$4986,18,FALSE)))</f>
        <v/>
      </c>
      <c r="V337" s="269" t="str">
        <f>IF(J337="巻返し",VLOOKUP(F337&amp;K337&amp;M337,製品マスタ!$M$5:$AD$5002,18,FALSE),IF(J337="リード付け","原反コア",IF(J337="スリット",VLOOKUP(F337&amp;K337&amp;Q337,製品マスタ!$N$5:$AD$5002,17,FALSE),"")))</f>
        <v/>
      </c>
      <c r="W337" s="269" t="str">
        <f>IF(J337="巻返し",VLOOKUP(F337&amp;K337&amp;M337,製品マスタ!$M$5:$AE$5002,19,FALSE),IF(J337="リード付け","-",IF(J337="スリット",VLOOKUP(F337&amp;K337&amp;Q337,製品マスタ!$N$5:$AE$5002,18,FALSE),"")))</f>
        <v/>
      </c>
      <c r="X337" s="275" t="str">
        <f>IF(D337="","",VLOOKUP(D337,契約台帳!$A$3:$Q$4986,17,FALSE))</f>
        <v/>
      </c>
      <c r="Y337" s="269" t="str">
        <f>IF(D337="","",VLOOKUP(D337,契約台帳!$A$3:$E$4986,5,FALSE))</f>
        <v/>
      </c>
      <c r="Z337" s="57"/>
      <c r="AA337" s="207" t="str">
        <f>IFERROR(VLOOKUP(F337&amp;K337&amp;M337,製品マスタ!$M$5:$AM$5002,27,FALSE),"")</f>
        <v/>
      </c>
      <c r="AB337" s="33"/>
      <c r="AC337" s="189"/>
      <c r="AD337" s="54"/>
      <c r="AE337" s="55"/>
      <c r="AF337" s="43" t="str">
        <f>IF(AD337="","",VLOOKUP(AD337,原価マスタ!$A$2:$AJ$1693,13,FALSE))</f>
        <v/>
      </c>
      <c r="AG337" s="47"/>
      <c r="AH337" s="30"/>
      <c r="AI337" s="30"/>
      <c r="AJ337" s="30"/>
      <c r="AK337" s="30"/>
      <c r="AL337" s="13"/>
      <c r="AM337" s="13"/>
      <c r="AN337" s="13"/>
      <c r="AO337" s="13"/>
      <c r="AP337" s="13"/>
      <c r="AQ337" s="14"/>
      <c r="AR337" s="15"/>
    </row>
    <row r="338" spans="1:44" s="17" customFormat="1" ht="30.95" hidden="1" customHeight="1" x14ac:dyDescent="0.2">
      <c r="A338" s="37"/>
      <c r="B338" s="38"/>
      <c r="C338" s="45"/>
      <c r="D338" s="31">
        <v>3703999</v>
      </c>
      <c r="E338" s="31">
        <v>4151341</v>
      </c>
      <c r="F338" s="268" t="str">
        <f>IF(D338="","",VLOOKUP(D338,契約台帳!$A$3:$K$4986,6,FALSE)&amp;VLOOKUP(D338,契約台帳!$A$3:$K$4986,7,FALSE)&amp;VLOOKUP(D338,契約台帳!$A$3:$K$4986,8,FALSE)&amp;VLOOKUP(D338,契約台帳!$A$3:$K$4986,9,FALSE)&amp;VLOOKUP(D338,契約台帳!$A$3:$K$4986,11,FALSE))</f>
        <v>3SNMLBMNNGKBF</v>
      </c>
      <c r="G338" s="269" t="str">
        <f>IF(D338="","",VLOOKUP(F338,製品マスタ!$G$5:$H$5002,2,FALSE))</f>
        <v>S</v>
      </c>
      <c r="H338" s="269" t="str">
        <f>IF(D338="","",VLOOKUP(F338,製品マスタ!$G$5:$K$5002,5,FALSE))</f>
        <v>MNNGKBF</v>
      </c>
      <c r="I338" s="270" t="str">
        <f>IF(D338="","",VLOOKUP(F338,製品マスタ!$G$5:$L$5002,6,FALSE))</f>
        <v>メタルミー　ニューネーマー銀消　Ｂ</v>
      </c>
      <c r="J338" s="32" t="s">
        <v>1051</v>
      </c>
      <c r="K338" s="270">
        <f>IF(D338="","",VLOOKUP(D338,契約台帳!$A$3:$L$4986,12,FALSE))</f>
        <v>25</v>
      </c>
      <c r="L338" s="270" t="str">
        <f>IF(D338="","",INDEX(製品マスタ!$Q$5:$Q$5002,MATCH(F338&amp;K338,製品マスタ!$AO$5:$AO$5002,0)))</f>
        <v>X44C</v>
      </c>
      <c r="M338" s="39">
        <v>1005</v>
      </c>
      <c r="N338" s="39">
        <v>8000</v>
      </c>
      <c r="O338" s="47">
        <v>1</v>
      </c>
      <c r="P338" s="57"/>
      <c r="Q338" s="276">
        <f>IF(D338="","",IF(J338="リード付け",M338,VLOOKUP(D338,契約台帳!$A$3:$N$4986,14,FALSE)))</f>
        <v>1005</v>
      </c>
      <c r="R338" s="277">
        <f>IF(D338="","",IF(J338="リード付け",M338,VLOOKUP(D338,契約台帳!$A$3:$O$4986,15,FALSE)))</f>
        <v>1000</v>
      </c>
      <c r="S338" s="277">
        <f>IF(D338="","",IF(J338="リード付け",N338,VLOOKUP(D338,契約台帳!$A$3:$P$4986,16,FALSE)))</f>
        <v>4000</v>
      </c>
      <c r="T338" s="40">
        <v>2</v>
      </c>
      <c r="U338" s="278">
        <f ca="1">IF(D338="","",IF(OFFSET(D338,-2,0)=D338,"",VLOOKUP(D338,契約台帳!$A$3:$R$4986,18,FALSE)))</f>
        <v>2</v>
      </c>
      <c r="V338" s="269" t="str">
        <f>IF(J338="巻返し",VLOOKUP(F338&amp;K338&amp;M338,製品マスタ!$M$5:$AD$5002,18,FALSE),IF(J338="リード付け","原反コア",IF(J338="スリット",VLOOKUP(F338&amp;K338&amp;Q338,製品マスタ!$N$5:$AD$5002,17,FALSE),"")))</f>
        <v>6ｲﾝﾁSｺｱ</v>
      </c>
      <c r="W338" s="269">
        <f>IF(J338="巻返し",VLOOKUP(F338&amp;K338&amp;M338,製品マスタ!$M$5:$AE$5002,19,FALSE),IF(J338="リード付け","-",IF(J338="スリット",VLOOKUP(F338&amp;K338&amp;Q338,製品マスタ!$N$5:$AE$5002,18,FALSE),"")))</f>
        <v>1015</v>
      </c>
      <c r="X338" s="275">
        <f>IF(D338="","",VLOOKUP(D338,契約台帳!$A$3:$Q$4986,17,FALSE))</f>
        <v>2</v>
      </c>
      <c r="Y338" s="269" t="str">
        <f>IF(D338="","",VLOOKUP(D338,契約台帳!$A$3:$E$4986,5,FALSE))</f>
        <v>リンテック㈱</v>
      </c>
      <c r="Z338" s="57">
        <v>45041</v>
      </c>
      <c r="AA338" s="207">
        <f>IFERROR(VLOOKUP(F338&amp;K338&amp;M338,製品マスタ!$M$5:$AM$5002,27,FALSE),"")</f>
        <v>0</v>
      </c>
      <c r="AB338" s="33"/>
      <c r="AC338" s="189"/>
      <c r="AD338" s="54" t="str">
        <f>IF(F338="","",+F338&amp;K338)</f>
        <v>3SNMLBMNNGKBF25</v>
      </c>
      <c r="AE338" s="55">
        <f>+M338*N338*O338/1000</f>
        <v>8040</v>
      </c>
      <c r="AF338" s="43">
        <f>IF(AD338="","",VLOOKUP(AD338,原価マスタ!$A$2:$AJ$1693,13,FALSE))</f>
        <v>98.3</v>
      </c>
      <c r="AG338" s="47">
        <f>IF(AF338="","",+AE338*AF338/100)</f>
        <v>7903.32</v>
      </c>
      <c r="AH338" s="30"/>
      <c r="AI338" s="30"/>
      <c r="AJ338" s="30"/>
      <c r="AK338" s="30"/>
      <c r="AL338" s="13"/>
      <c r="AM338" s="13"/>
      <c r="AN338" s="13"/>
      <c r="AO338" s="13"/>
      <c r="AP338" s="13"/>
      <c r="AQ338" s="14"/>
      <c r="AR338" s="15"/>
    </row>
    <row r="339" spans="1:44" s="17" customFormat="1" ht="30.95" hidden="1" customHeight="1" x14ac:dyDescent="0.2">
      <c r="A339" s="37"/>
      <c r="B339" s="38"/>
      <c r="C339" s="45"/>
      <c r="D339" s="31"/>
      <c r="E339" s="31"/>
      <c r="F339" s="268" t="str">
        <f>IF(D339="","",VLOOKUP(D339,契約台帳!$A$3:$K$4986,6,FALSE)&amp;VLOOKUP(D339,契約台帳!$A$3:$K$4986,7,FALSE)&amp;VLOOKUP(D339,契約台帳!$A$3:$K$4986,8,FALSE)&amp;VLOOKUP(D339,契約台帳!$A$3:$K$4986,9,FALSE)&amp;VLOOKUP(D339,契約台帳!$A$3:$K$4986,11,FALSE))</f>
        <v/>
      </c>
      <c r="G339" s="269" t="str">
        <f>IF(D339="","",VLOOKUP(F339,製品マスタ!$G$5:$H$5002,2,FALSE))</f>
        <v/>
      </c>
      <c r="H339" s="269" t="str">
        <f>IF(D339="","",VLOOKUP(F339,製品マスタ!$G$5:$K$5002,5,FALSE))</f>
        <v/>
      </c>
      <c r="I339" s="270" t="str">
        <f>IF(D339="","",VLOOKUP(F339,製品マスタ!$G$5:$L$5002,6,FALSE))</f>
        <v/>
      </c>
      <c r="J339" s="32"/>
      <c r="K339" s="270" t="str">
        <f>IF(D339="","",VLOOKUP(D339,契約台帳!$A$3:$L$4986,12,FALSE))</f>
        <v/>
      </c>
      <c r="L339" s="270" t="str">
        <f>IF(D339="","",INDEX(製品マスタ!$Q$5:$Q$5002,MATCH(F339&amp;K339,製品マスタ!$AO$5:$AO$5002,0)))</f>
        <v/>
      </c>
      <c r="M339" s="39"/>
      <c r="N339" s="39"/>
      <c r="O339" s="47"/>
      <c r="P339" s="57"/>
      <c r="Q339" s="276" t="str">
        <f>IF(D339="","",IF(J339="リード付け",M339,VLOOKUP(D339,契約台帳!$A$3:$N$4986,14,FALSE)))</f>
        <v/>
      </c>
      <c r="R339" s="277" t="str">
        <f>IF(D339="","",IF(J339="リード付け",M339,VLOOKUP(D339,契約台帳!$A$3:$O$4986,15,FALSE)))</f>
        <v/>
      </c>
      <c r="S339" s="277" t="str">
        <f>IF(D339="","",IF(J339="リード付け",N339,VLOOKUP(D339,契約台帳!$A$3:$P$4986,16,FALSE)))</f>
        <v/>
      </c>
      <c r="T339" s="40"/>
      <c r="U339" s="278" t="str">
        <f ca="1">IF(D339="","",IF(OFFSET(D339,-2,0)=D339,"",VLOOKUP(D339,契約台帳!$A$3:$R$4986,18,FALSE)))</f>
        <v/>
      </c>
      <c r="V339" s="269" t="str">
        <f>IF(J339="巻返し",VLOOKUP(F339&amp;K339&amp;M339,製品マスタ!$M$5:$AD$5002,18,FALSE),IF(J339="リード付け","原反コア",IF(J339="スリット",VLOOKUP(F339&amp;K339&amp;Q339,製品マスタ!$N$5:$AD$5002,17,FALSE),"")))</f>
        <v/>
      </c>
      <c r="W339" s="269" t="str">
        <f>IF(J339="巻返し",VLOOKUP(F339&amp;K339&amp;M339,製品マスタ!$M$5:$AE$5002,19,FALSE),IF(J339="リード付け","-",IF(J339="スリット",VLOOKUP(F339&amp;K339&amp;Q339,製品マスタ!$N$5:$AE$5002,18,FALSE),"")))</f>
        <v/>
      </c>
      <c r="X339" s="275" t="str">
        <f>IF(D339="","",VLOOKUP(D339,契約台帳!$A$3:$Q$4986,17,FALSE))</f>
        <v/>
      </c>
      <c r="Y339" s="269" t="str">
        <f>IF(D339="","",VLOOKUP(D339,契約台帳!$A$3:$E$4986,5,FALSE))</f>
        <v/>
      </c>
      <c r="Z339" s="57"/>
      <c r="AA339" s="207" t="str">
        <f>IFERROR(VLOOKUP(F339&amp;K339&amp;M339,製品マスタ!$M$5:$AM$5002,27,FALSE),"")</f>
        <v/>
      </c>
      <c r="AB339" s="33"/>
      <c r="AC339" s="189"/>
      <c r="AD339" s="54"/>
      <c r="AE339" s="55"/>
      <c r="AF339" s="43"/>
      <c r="AG339" s="47"/>
      <c r="AH339" s="30"/>
      <c r="AI339" s="30"/>
      <c r="AJ339" s="30"/>
      <c r="AK339" s="30"/>
      <c r="AL339" s="13"/>
      <c r="AM339" s="13"/>
      <c r="AN339" s="13"/>
      <c r="AO339" s="13"/>
      <c r="AP339" s="13"/>
      <c r="AQ339" s="14"/>
      <c r="AR339" s="15"/>
    </row>
    <row r="340" spans="1:44" s="17" customFormat="1" ht="30.95" hidden="1" customHeight="1" x14ac:dyDescent="0.2">
      <c r="A340" s="37" t="s">
        <v>1092</v>
      </c>
      <c r="B340" s="38" t="s">
        <v>1093</v>
      </c>
      <c r="C340" s="45"/>
      <c r="D340" s="31">
        <v>3704000</v>
      </c>
      <c r="E340" s="31">
        <v>4151338</v>
      </c>
      <c r="F340" s="268" t="str">
        <f>IF(D340="","",VLOOKUP(D340,契約台帳!$A$3:$K$4986,6,FALSE)&amp;VLOOKUP(D340,契約台帳!$A$3:$K$4986,7,FALSE)&amp;VLOOKUP(D340,契約台帳!$A$3:$K$4986,8,FALSE)&amp;VLOOKUP(D340,契約台帳!$A$3:$K$4986,9,FALSE)&amp;VLOOKUP(D340,契約台帳!$A$3:$K$4986,11,FALSE))</f>
        <v>3SNMLBMNNGKBF</v>
      </c>
      <c r="G340" s="269" t="str">
        <f>IF(D340="","",VLOOKUP(F340,製品マスタ!$G$5:$H$5002,2,FALSE))</f>
        <v>S</v>
      </c>
      <c r="H340" s="269" t="str">
        <f>IF(D340="","",VLOOKUP(F340,製品マスタ!$G$5:$K$5002,5,FALSE))</f>
        <v>MNNGKBF</v>
      </c>
      <c r="I340" s="270" t="str">
        <f>IF(D340="","",VLOOKUP(F340,製品マスタ!$G$5:$L$5002,6,FALSE))</f>
        <v>メタルミー　ニューネーマー銀消　Ｂ</v>
      </c>
      <c r="J340" s="32" t="s">
        <v>1051</v>
      </c>
      <c r="K340" s="270">
        <f>IF(D340="","",VLOOKUP(D340,契約台帳!$A$3:$L$4986,12,FALSE))</f>
        <v>50</v>
      </c>
      <c r="L340" s="270" t="str">
        <f>IF(D340="","",INDEX(製品マスタ!$Q$5:$Q$5002,MATCH(F340&amp;K340,製品マスタ!$AO$5:$AO$5002,0)))</f>
        <v>X44</v>
      </c>
      <c r="M340" s="39">
        <v>1000</v>
      </c>
      <c r="N340" s="39">
        <v>12000</v>
      </c>
      <c r="O340" s="47">
        <v>5</v>
      </c>
      <c r="P340" s="57"/>
      <c r="Q340" s="276">
        <f>IF(D340="","",IF(J340="リード付け",M340,VLOOKUP(D340,契約台帳!$A$3:$N$4986,14,FALSE)))</f>
        <v>1000</v>
      </c>
      <c r="R340" s="277">
        <f>IF(D340="","",IF(J340="リード付け",M340,VLOOKUP(D340,契約台帳!$A$3:$O$4986,15,FALSE)))</f>
        <v>1000</v>
      </c>
      <c r="S340" s="277">
        <f>IF(D340="","",IF(J340="リード付け",N340,VLOOKUP(D340,契約台帳!$A$3:$P$4986,16,FALSE)))</f>
        <v>4000</v>
      </c>
      <c r="T340" s="40">
        <v>15</v>
      </c>
      <c r="U340" s="278">
        <f ca="1">IF(D340="","",IF(OFFSET(D340,-2,0)=D340,"",VLOOKUP(D340,契約台帳!$A$3:$R$4986,18,FALSE)))</f>
        <v>15</v>
      </c>
      <c r="V340" s="269" t="str">
        <f>IF(J340="巻返し",VLOOKUP(F340&amp;K340&amp;M340,製品マスタ!$M$5:$AD$5002,18,FALSE),IF(J340="リード付け","原反コア",IF(J340="スリット",VLOOKUP(F340&amp;K340&amp;Q340,製品マスタ!$N$5:$AD$5002,17,FALSE),"")))</f>
        <v>6ｲﾝﾁSｺｱ</v>
      </c>
      <c r="W340" s="269">
        <f>IF(J340="巻返し",VLOOKUP(F340&amp;K340&amp;M340,製品マスタ!$M$5:$AE$5002,19,FALSE),IF(J340="リード付け","-",IF(J340="スリット",VLOOKUP(F340&amp;K340&amp;Q340,製品マスタ!$N$5:$AE$5002,18,FALSE),"")))</f>
        <v>1005</v>
      </c>
      <c r="X340" s="275">
        <f>IF(D340="","",VLOOKUP(D340,契約台帳!$A$3:$Q$4986,17,FALSE))</f>
        <v>2</v>
      </c>
      <c r="Y340" s="269" t="str">
        <f>IF(D340="","",VLOOKUP(D340,契約台帳!$A$3:$E$4986,5,FALSE))</f>
        <v>リンテック㈱</v>
      </c>
      <c r="Z340" s="57">
        <v>45041</v>
      </c>
      <c r="AA340" s="207" t="str">
        <f>IFERROR(VLOOKUP(F340&amp;K340&amp;M340,製品マスタ!$M$5:$AM$5002,27,FALSE),"")</f>
        <v>原反ケース再利用</v>
      </c>
      <c r="AB340" s="33"/>
      <c r="AC340" s="189"/>
      <c r="AD340" s="54" t="str">
        <f>IF(F340="","",+F340&amp;K340)</f>
        <v>3SNMLBMNNGKBF50</v>
      </c>
      <c r="AE340" s="55">
        <f>+M340*N340*O340/1000</f>
        <v>60000</v>
      </c>
      <c r="AF340" s="43">
        <f>IF(AD340="","",VLOOKUP(AD340,原価マスタ!$A$2:$AJ$1693,13,FALSE))</f>
        <v>99</v>
      </c>
      <c r="AG340" s="47">
        <f>IF(AF340="","",+AE340*AF340/100)</f>
        <v>59400</v>
      </c>
      <c r="AH340" s="30"/>
      <c r="AI340" s="30"/>
      <c r="AJ340" s="30"/>
      <c r="AK340" s="30"/>
      <c r="AL340" s="13"/>
      <c r="AM340" s="13"/>
      <c r="AN340" s="13"/>
      <c r="AO340" s="13"/>
      <c r="AP340" s="13"/>
      <c r="AQ340" s="14"/>
      <c r="AR340" s="15"/>
    </row>
    <row r="341" spans="1:44" s="17" customFormat="1" ht="30.95" hidden="1" customHeight="1" x14ac:dyDescent="0.2">
      <c r="A341" s="37"/>
      <c r="B341" s="38"/>
      <c r="C341" s="45"/>
      <c r="D341" s="31"/>
      <c r="E341" s="31"/>
      <c r="F341" s="268" t="str">
        <f>IF(D341="","",VLOOKUP(D341,契約台帳!$A$3:$K$4986,6,FALSE)&amp;VLOOKUP(D341,契約台帳!$A$3:$K$4986,7,FALSE)&amp;VLOOKUP(D341,契約台帳!$A$3:$K$4986,8,FALSE)&amp;VLOOKUP(D341,契約台帳!$A$3:$K$4986,9,FALSE)&amp;VLOOKUP(D341,契約台帳!$A$3:$K$4986,11,FALSE))</f>
        <v/>
      </c>
      <c r="G341" s="269" t="str">
        <f>IF(D341="","",VLOOKUP(F341,製品マスタ!$G$5:$H$5002,2,FALSE))</f>
        <v/>
      </c>
      <c r="H341" s="269" t="str">
        <f>IF(D341="","",VLOOKUP(F341,製品マスタ!$G$5:$K$5002,5,FALSE))</f>
        <v/>
      </c>
      <c r="I341" s="270" t="str">
        <f>IF(D341="","",VLOOKUP(F341,製品マスタ!$G$5:$L$5002,6,FALSE))</f>
        <v/>
      </c>
      <c r="J341" s="32"/>
      <c r="K341" s="270" t="str">
        <f>IF(D341="","",VLOOKUP(D341,契約台帳!$A$3:$L$4986,12,FALSE))</f>
        <v/>
      </c>
      <c r="L341" s="270" t="str">
        <f>IF(D341="","",INDEX(製品マスタ!$Q$5:$Q$5002,MATCH(F341&amp;K341,製品マスタ!$AO$5:$AO$5002,0)))</f>
        <v/>
      </c>
      <c r="M341" s="39"/>
      <c r="N341" s="39"/>
      <c r="O341" s="47"/>
      <c r="P341" s="57"/>
      <c r="Q341" s="276" t="str">
        <f>IF(D341="","",IF(J341="リード付け",M341,VLOOKUP(D341,契約台帳!$A$3:$N$4986,14,FALSE)))</f>
        <v/>
      </c>
      <c r="R341" s="277" t="str">
        <f>IF(D341="","",IF(J341="リード付け",M341,VLOOKUP(D341,契約台帳!$A$3:$O$4986,15,FALSE)))</f>
        <v/>
      </c>
      <c r="S341" s="277" t="str">
        <f>IF(D341="","",IF(J341="リード付け",N341,VLOOKUP(D341,契約台帳!$A$3:$P$4986,16,FALSE)))</f>
        <v/>
      </c>
      <c r="T341" s="40"/>
      <c r="U341" s="278" t="str">
        <f ca="1">IF(D341="","",IF(OFFSET(D341,-2,0)=D341,"",VLOOKUP(D341,契約台帳!$A$3:$R$4986,18,FALSE)))</f>
        <v/>
      </c>
      <c r="V341" s="269" t="str">
        <f>IF(J341="巻返し",VLOOKUP(F341&amp;K341&amp;M341,製品マスタ!$M$5:$AD$5002,18,FALSE),IF(J341="リード付け","原反コア",IF(J341="スリット",VLOOKUP(F341&amp;K341&amp;Q341,製品マスタ!$N$5:$AD$5002,17,FALSE),"")))</f>
        <v/>
      </c>
      <c r="W341" s="269" t="str">
        <f>IF(J341="巻返し",VLOOKUP(F341&amp;K341&amp;M341,製品マスタ!$M$5:$AE$5002,19,FALSE),IF(J341="リード付け","-",IF(J341="スリット",VLOOKUP(F341&amp;K341&amp;Q341,製品マスタ!$N$5:$AE$5002,18,FALSE),"")))</f>
        <v/>
      </c>
      <c r="X341" s="275" t="str">
        <f>IF(D341="","",VLOOKUP(D341,契約台帳!$A$3:$Q$4986,17,FALSE))</f>
        <v/>
      </c>
      <c r="Y341" s="269" t="str">
        <f>IF(D341="","",VLOOKUP(D341,契約台帳!$A$3:$E$4986,5,FALSE))</f>
        <v/>
      </c>
      <c r="Z341" s="57"/>
      <c r="AA341" s="207" t="str">
        <f>IFERROR(VLOOKUP(F341&amp;K341&amp;M341,製品マスタ!$M$5:$AM$5002,27,FALSE),"")</f>
        <v/>
      </c>
      <c r="AB341" s="33"/>
      <c r="AC341" s="189"/>
      <c r="AD341" s="54"/>
      <c r="AE341" s="55"/>
      <c r="AF341" s="43"/>
      <c r="AG341" s="47"/>
      <c r="AH341" s="30"/>
      <c r="AI341" s="30"/>
      <c r="AJ341" s="30"/>
      <c r="AK341" s="30"/>
      <c r="AL341" s="13"/>
      <c r="AM341" s="13"/>
      <c r="AN341" s="13"/>
      <c r="AO341" s="13"/>
      <c r="AP341" s="13"/>
      <c r="AQ341" s="14"/>
      <c r="AR341" s="15"/>
    </row>
    <row r="342" spans="1:44" s="17" customFormat="1" ht="30.95" hidden="1" customHeight="1" x14ac:dyDescent="0.2">
      <c r="A342" s="37" t="s">
        <v>1063</v>
      </c>
      <c r="B342" s="38" t="s">
        <v>445</v>
      </c>
      <c r="C342" s="45"/>
      <c r="D342" s="31"/>
      <c r="E342" s="31"/>
      <c r="F342" s="268" t="str">
        <f>IF(D342="","",VLOOKUP(D342,契約台帳!$A$3:$K$4986,6,FALSE)&amp;VLOOKUP(D342,契約台帳!$A$3:$K$4986,7,FALSE)&amp;VLOOKUP(D342,契約台帳!$A$3:$K$4986,8,FALSE)&amp;VLOOKUP(D342,契約台帳!$A$3:$K$4986,9,FALSE)&amp;VLOOKUP(D342,契約台帳!$A$3:$K$4986,11,FALSE))</f>
        <v/>
      </c>
      <c r="G342" s="269" t="str">
        <f>IF(D342="","",VLOOKUP(F342,製品マスタ!$G$5:$H$5002,2,FALSE))</f>
        <v/>
      </c>
      <c r="H342" s="269" t="str">
        <f>IF(D342="","",VLOOKUP(F342,製品マスタ!$G$5:$K$5002,5,FALSE))</f>
        <v/>
      </c>
      <c r="I342" s="270" t="str">
        <f>IF(D342="","",VLOOKUP(F342,製品マスタ!$G$5:$L$5002,6,FALSE))</f>
        <v/>
      </c>
      <c r="J342" s="32" t="s">
        <v>448</v>
      </c>
      <c r="K342" s="270" t="str">
        <f>IF(D342="","",VLOOKUP(D342,契約台帳!$A$3:$L$4986,12,FALSE))</f>
        <v/>
      </c>
      <c r="L342" s="270" t="str">
        <f>IF(D342="","",INDEX(製品マスタ!$Q$5:$Q$5002,MATCH(F342&amp;K342,製品マスタ!$AO$5:$AO$5002,0)))</f>
        <v/>
      </c>
      <c r="M342" s="39"/>
      <c r="N342" s="39"/>
      <c r="O342" s="47"/>
      <c r="P342" s="57"/>
      <c r="Q342" s="276" t="str">
        <f>IF(D342="","",IF(J342="リード付け",M342,VLOOKUP(D342,契約台帳!$A$3:$N$4986,14,FALSE)))</f>
        <v/>
      </c>
      <c r="R342" s="277" t="str">
        <f>IF(D342="","",IF(J342="リード付け",M342,VLOOKUP(D342,契約台帳!$A$3:$O$4986,15,FALSE)))</f>
        <v/>
      </c>
      <c r="S342" s="277" t="str">
        <f>IF(D342="","",IF(J342="リード付け",N342,VLOOKUP(D342,契約台帳!$A$3:$P$4986,16,FALSE)))</f>
        <v/>
      </c>
      <c r="T342" s="40"/>
      <c r="U342" s="278" t="str">
        <f ca="1">IF(D342="","",IF(OFFSET(D342,-2,0)=D342,"",VLOOKUP(D342,契約台帳!$A$3:$R$4986,18,FALSE)))</f>
        <v/>
      </c>
      <c r="V342" s="269" t="str">
        <f>IF(J342="巻返し",VLOOKUP(F342&amp;K342&amp;M342,製品マスタ!$M$5:$AD$5002,18,FALSE),IF(J342="リード付け","原反コア",IF(J342="スリット",VLOOKUP(F342&amp;K342&amp;Q342,製品マスタ!$N$5:$AD$5002,17,FALSE),"")))</f>
        <v/>
      </c>
      <c r="W342" s="269" t="str">
        <f>IF(J342="巻返し",VLOOKUP(F342&amp;K342&amp;M342,製品マスタ!$M$5:$AE$5002,19,FALSE),IF(J342="リード付け","-",IF(J342="スリット",VLOOKUP(F342&amp;K342&amp;Q342,製品マスタ!$N$5:$AE$5002,18,FALSE),"")))</f>
        <v/>
      </c>
      <c r="X342" s="275" t="str">
        <f>IF(D342="","",VLOOKUP(D342,契約台帳!$A$3:$Q$4986,17,FALSE))</f>
        <v/>
      </c>
      <c r="Y342" s="269" t="str">
        <f>IF(D342="","",VLOOKUP(D342,契約台帳!$A$3:$E$4986,5,FALSE))</f>
        <v/>
      </c>
      <c r="Z342" s="57"/>
      <c r="AA342" s="207" t="str">
        <f>IFERROR(VLOOKUP(F342&amp;K342&amp;M342,製品マスタ!$M$5:$AM$5002,27,FALSE),"")</f>
        <v/>
      </c>
      <c r="AB342" s="33"/>
      <c r="AC342" s="189"/>
      <c r="AD342" s="54"/>
      <c r="AE342" s="55"/>
      <c r="AF342" s="43"/>
      <c r="AG342" s="47"/>
      <c r="AH342" s="30"/>
      <c r="AI342" s="30"/>
      <c r="AJ342" s="30"/>
      <c r="AK342" s="30"/>
      <c r="AL342" s="13"/>
      <c r="AM342" s="13"/>
      <c r="AN342" s="13"/>
      <c r="AO342" s="13"/>
      <c r="AP342" s="13"/>
      <c r="AQ342" s="14"/>
      <c r="AR342" s="15"/>
    </row>
    <row r="343" spans="1:44" s="17" customFormat="1" ht="30.95" hidden="1" customHeight="1" x14ac:dyDescent="0.2">
      <c r="A343" s="37"/>
      <c r="B343" s="38"/>
      <c r="C343" s="45"/>
      <c r="D343" s="31"/>
      <c r="E343" s="31"/>
      <c r="F343" s="268" t="str">
        <f>IF(D343="","",VLOOKUP(D343,契約台帳!$A$3:$K$4986,6,FALSE)&amp;VLOOKUP(D343,契約台帳!$A$3:$K$4986,7,FALSE)&amp;VLOOKUP(D343,契約台帳!$A$3:$K$4986,8,FALSE)&amp;VLOOKUP(D343,契約台帳!$A$3:$K$4986,9,FALSE)&amp;VLOOKUP(D343,契約台帳!$A$3:$K$4986,11,FALSE))</f>
        <v/>
      </c>
      <c r="G343" s="269" t="str">
        <f>IF(D343="","",VLOOKUP(F343,製品マスタ!$G$5:$H$5002,2,FALSE))</f>
        <v/>
      </c>
      <c r="H343" s="269" t="str">
        <f>IF(D343="","",VLOOKUP(F343,製品マスタ!$G$5:$K$5002,5,FALSE))</f>
        <v/>
      </c>
      <c r="I343" s="270" t="str">
        <f>IF(D343="","",VLOOKUP(F343,製品マスタ!$G$5:$L$5002,6,FALSE))</f>
        <v/>
      </c>
      <c r="J343" s="32"/>
      <c r="K343" s="270" t="str">
        <f>IF(D343="","",VLOOKUP(D343,契約台帳!$A$3:$L$4986,12,FALSE))</f>
        <v/>
      </c>
      <c r="L343" s="270" t="str">
        <f>IF(D343="","",INDEX(製品マスタ!$Q$5:$Q$5002,MATCH(F343&amp;K343,製品マスタ!$AO$5:$AO$5002,0)))</f>
        <v/>
      </c>
      <c r="M343" s="39"/>
      <c r="N343" s="39"/>
      <c r="O343" s="47"/>
      <c r="P343" s="57"/>
      <c r="Q343" s="276" t="str">
        <f>IF(D343="","",IF(J343="リード付け",M343,VLOOKUP(D343,契約台帳!$A$3:$N$4986,14,FALSE)))</f>
        <v/>
      </c>
      <c r="R343" s="277" t="str">
        <f>IF(D343="","",IF(J343="リード付け",M343,VLOOKUP(D343,契約台帳!$A$3:$O$4986,15,FALSE)))</f>
        <v/>
      </c>
      <c r="S343" s="277" t="str">
        <f>IF(D343="","",IF(J343="リード付け",N343,VLOOKUP(D343,契約台帳!$A$3:$P$4986,16,FALSE)))</f>
        <v/>
      </c>
      <c r="T343" s="40"/>
      <c r="U343" s="278" t="str">
        <f ca="1">IF(D343="","",IF(OFFSET(D343,-2,0)=D343,"",VLOOKUP(D343,契約台帳!$A$3:$R$4986,18,FALSE)))</f>
        <v/>
      </c>
      <c r="V343" s="269" t="str">
        <f>IF(J343="巻返し",VLOOKUP(F343&amp;K343&amp;M343,製品マスタ!$M$5:$AD$5002,18,FALSE),IF(J343="リード付け","原反コア",IF(J343="スリット",VLOOKUP(F343&amp;K343&amp;Q343,製品マスタ!$N$5:$AD$5002,17,FALSE),"")))</f>
        <v/>
      </c>
      <c r="W343" s="269" t="str">
        <f>IF(J343="巻返し",VLOOKUP(F343&amp;K343&amp;M343,製品マスタ!$M$5:$AE$5002,19,FALSE),IF(J343="リード付け","-",IF(J343="スリット",VLOOKUP(F343&amp;K343&amp;Q343,製品マスタ!$N$5:$AE$5002,18,FALSE),"")))</f>
        <v/>
      </c>
      <c r="X343" s="275" t="str">
        <f>IF(D343="","",VLOOKUP(D343,契約台帳!$A$3:$Q$4986,17,FALSE))</f>
        <v/>
      </c>
      <c r="Y343" s="269" t="str">
        <f>IF(D343="","",VLOOKUP(D343,契約台帳!$A$3:$E$4986,5,FALSE))</f>
        <v/>
      </c>
      <c r="Z343" s="57"/>
      <c r="AA343" s="207" t="str">
        <f>IFERROR(VLOOKUP(F343&amp;K343&amp;M343,製品マスタ!$M$5:$AM$5002,27,FALSE),"")</f>
        <v/>
      </c>
      <c r="AB343" s="33"/>
      <c r="AC343" s="189"/>
      <c r="AD343" s="54"/>
      <c r="AE343" s="55"/>
      <c r="AF343" s="43"/>
      <c r="AG343" s="47"/>
      <c r="AH343" s="30"/>
      <c r="AI343" s="30"/>
      <c r="AJ343" s="30"/>
      <c r="AK343" s="30"/>
      <c r="AL343" s="13"/>
      <c r="AM343" s="13"/>
      <c r="AN343" s="13"/>
      <c r="AO343" s="13"/>
      <c r="AP343" s="13"/>
      <c r="AQ343" s="14"/>
      <c r="AR343" s="15"/>
    </row>
    <row r="344" spans="1:44" s="17" customFormat="1" ht="30.95" hidden="1" customHeight="1" x14ac:dyDescent="0.2">
      <c r="A344" s="37" t="s">
        <v>1064</v>
      </c>
      <c r="B344" s="38" t="s">
        <v>446</v>
      </c>
      <c r="C344" s="45"/>
      <c r="D344" s="31"/>
      <c r="E344" s="31"/>
      <c r="F344" s="268" t="str">
        <f>IF(D344="","",VLOOKUP(D344,契約台帳!$A$3:$K$4986,6,FALSE)&amp;VLOOKUP(D344,契約台帳!$A$3:$K$4986,7,FALSE)&amp;VLOOKUP(D344,契約台帳!$A$3:$K$4986,8,FALSE)&amp;VLOOKUP(D344,契約台帳!$A$3:$K$4986,9,FALSE)&amp;VLOOKUP(D344,契約台帳!$A$3:$K$4986,11,FALSE))</f>
        <v/>
      </c>
      <c r="G344" s="269" t="str">
        <f>IF(D344="","",VLOOKUP(F344,製品マスタ!$G$5:$H$5002,2,FALSE))</f>
        <v/>
      </c>
      <c r="H344" s="269" t="str">
        <f>IF(D344="","",VLOOKUP(F344,製品マスタ!$G$5:$K$5002,5,FALSE))</f>
        <v/>
      </c>
      <c r="I344" s="270" t="str">
        <f>IF(D344="","",VLOOKUP(F344,製品マスタ!$G$5:$L$5002,6,FALSE))</f>
        <v/>
      </c>
      <c r="J344" s="32" t="s">
        <v>448</v>
      </c>
      <c r="K344" s="270" t="str">
        <f>IF(D344="","",VLOOKUP(D344,契約台帳!$A$3:$L$4986,12,FALSE))</f>
        <v/>
      </c>
      <c r="L344" s="270" t="str">
        <f>IF(D344="","",INDEX(製品マスタ!$Q$5:$Q$5002,MATCH(F344&amp;K344,製品マスタ!$AO$5:$AO$5002,0)))</f>
        <v/>
      </c>
      <c r="M344" s="39"/>
      <c r="N344" s="39"/>
      <c r="O344" s="47"/>
      <c r="P344" s="57"/>
      <c r="Q344" s="276" t="str">
        <f>IF(D344="","",IF(J344="リード付け",M344,VLOOKUP(D344,契約台帳!$A$3:$N$4986,14,FALSE)))</f>
        <v/>
      </c>
      <c r="R344" s="277" t="str">
        <f>IF(D344="","",IF(J344="リード付け",M344,VLOOKUP(D344,契約台帳!$A$3:$O$4986,15,FALSE)))</f>
        <v/>
      </c>
      <c r="S344" s="277" t="str">
        <f>IF(D344="","",IF(J344="リード付け",N344,VLOOKUP(D344,契約台帳!$A$3:$P$4986,16,FALSE)))</f>
        <v/>
      </c>
      <c r="T344" s="40"/>
      <c r="U344" s="278" t="str">
        <f ca="1">IF(D344="","",IF(OFFSET(D344,-2,0)=D344,"",VLOOKUP(D344,契約台帳!$A$3:$R$4986,18,FALSE)))</f>
        <v/>
      </c>
      <c r="V344" s="269" t="str">
        <f>IF(J344="巻返し",VLOOKUP(F344&amp;K344&amp;M344,製品マスタ!$M$5:$AD$5002,18,FALSE),IF(J344="リード付け","原反コア",IF(J344="スリット",VLOOKUP(F344&amp;K344&amp;Q344,製品マスタ!$N$5:$AD$5002,17,FALSE),"")))</f>
        <v/>
      </c>
      <c r="W344" s="269" t="str">
        <f>IF(J344="巻返し",VLOOKUP(F344&amp;K344&amp;M344,製品マスタ!$M$5:$AE$5002,19,FALSE),IF(J344="リード付け","-",IF(J344="スリット",VLOOKUP(F344&amp;K344&amp;Q344,製品マスタ!$N$5:$AE$5002,18,FALSE),"")))</f>
        <v/>
      </c>
      <c r="X344" s="275" t="str">
        <f>IF(D344="","",VLOOKUP(D344,契約台帳!$A$3:$Q$4986,17,FALSE))</f>
        <v/>
      </c>
      <c r="Y344" s="269" t="str">
        <f>IF(D344="","",VLOOKUP(D344,契約台帳!$A$3:$E$4986,5,FALSE))</f>
        <v/>
      </c>
      <c r="Z344" s="57"/>
      <c r="AA344" s="207" t="str">
        <f>IFERROR(VLOOKUP(F344&amp;K344&amp;M344,製品マスタ!$M$5:$AM$5002,27,FALSE),"")</f>
        <v/>
      </c>
      <c r="AB344" s="33"/>
      <c r="AC344" s="189"/>
      <c r="AD344" s="54"/>
      <c r="AE344" s="55"/>
      <c r="AF344" s="43"/>
      <c r="AG344" s="47"/>
      <c r="AH344" s="30"/>
      <c r="AI344" s="30"/>
      <c r="AJ344" s="30"/>
      <c r="AK344" s="30"/>
      <c r="AL344" s="13"/>
      <c r="AM344" s="13"/>
      <c r="AN344" s="13"/>
      <c r="AO344" s="13"/>
      <c r="AP344" s="13"/>
      <c r="AQ344" s="14"/>
      <c r="AR344" s="15"/>
    </row>
    <row r="345" spans="1:44" s="17" customFormat="1" ht="30.95" hidden="1" customHeight="1" x14ac:dyDescent="0.2">
      <c r="A345" s="37"/>
      <c r="B345" s="38"/>
      <c r="C345" s="45"/>
      <c r="D345" s="31"/>
      <c r="E345" s="31"/>
      <c r="F345" s="268" t="str">
        <f>IF(D345="","",VLOOKUP(D345,契約台帳!$A$3:$K$4986,6,FALSE)&amp;VLOOKUP(D345,契約台帳!$A$3:$K$4986,7,FALSE)&amp;VLOOKUP(D345,契約台帳!$A$3:$K$4986,8,FALSE)&amp;VLOOKUP(D345,契約台帳!$A$3:$K$4986,9,FALSE)&amp;VLOOKUP(D345,契約台帳!$A$3:$K$4986,11,FALSE))</f>
        <v/>
      </c>
      <c r="G345" s="269" t="str">
        <f>IF(D345="","",VLOOKUP(F345,製品マスタ!$G$5:$H$5002,2,FALSE))</f>
        <v/>
      </c>
      <c r="H345" s="269" t="str">
        <f>IF(D345="","",VLOOKUP(F345,製品マスタ!$G$5:$K$5002,5,FALSE))</f>
        <v/>
      </c>
      <c r="I345" s="270" t="str">
        <f>IF(D345="","",VLOOKUP(F345,製品マスタ!$G$5:$L$5002,6,FALSE))</f>
        <v/>
      </c>
      <c r="J345" s="32"/>
      <c r="K345" s="270" t="str">
        <f>IF(D345="","",VLOOKUP(D345,契約台帳!$A$3:$L$4986,12,FALSE))</f>
        <v/>
      </c>
      <c r="L345" s="270" t="str">
        <f>IF(D345="","",INDEX(製品マスタ!$Q$5:$Q$5002,MATCH(F345&amp;K345,製品マスタ!$AO$5:$AO$5002,0)))</f>
        <v/>
      </c>
      <c r="M345" s="39"/>
      <c r="N345" s="39"/>
      <c r="O345" s="47"/>
      <c r="P345" s="57"/>
      <c r="Q345" s="276" t="str">
        <f>IF(D345="","",IF(J345="リード付け",M345,VLOOKUP(D345,契約台帳!$A$3:$N$4986,14,FALSE)))</f>
        <v/>
      </c>
      <c r="R345" s="277" t="str">
        <f>IF(D345="","",IF(J345="リード付け",M345,VLOOKUP(D345,契約台帳!$A$3:$O$4986,15,FALSE)))</f>
        <v/>
      </c>
      <c r="S345" s="277" t="str">
        <f>IF(D345="","",IF(J345="リード付け",N345,VLOOKUP(D345,契約台帳!$A$3:$P$4986,16,FALSE)))</f>
        <v/>
      </c>
      <c r="T345" s="40"/>
      <c r="U345" s="278" t="str">
        <f ca="1">IF(D345="","",IF(OFFSET(D345,-2,0)=D345,"",VLOOKUP(D345,契約台帳!$A$3:$R$4986,18,FALSE)))</f>
        <v/>
      </c>
      <c r="V345" s="269" t="str">
        <f>IF(J345="巻返し",VLOOKUP(F345&amp;K345&amp;M345,製品マスタ!$M$5:$AD$5002,18,FALSE),IF(J345="リード付け","原反コア",IF(J345="スリット",VLOOKUP(F345&amp;K345&amp;Q345,製品マスタ!$N$5:$AD$5002,17,FALSE),"")))</f>
        <v/>
      </c>
      <c r="W345" s="269" t="str">
        <f>IF(J345="巻返し",VLOOKUP(F345&amp;K345&amp;M345,製品マスタ!$M$5:$AE$5002,19,FALSE),IF(J345="リード付け","-",IF(J345="スリット",VLOOKUP(F345&amp;K345&amp;Q345,製品マスタ!$N$5:$AE$5002,18,FALSE),"")))</f>
        <v/>
      </c>
      <c r="X345" s="275" t="str">
        <f>IF(D345="","",VLOOKUP(D345,契約台帳!$A$3:$Q$4986,17,FALSE))</f>
        <v/>
      </c>
      <c r="Y345" s="269" t="str">
        <f>IF(D345="","",VLOOKUP(D345,契約台帳!$A$3:$E$4986,5,FALSE))</f>
        <v/>
      </c>
      <c r="Z345" s="57"/>
      <c r="AA345" s="207" t="str">
        <f>IFERROR(VLOOKUP(F345&amp;K345&amp;M345,製品マスタ!$M$5:$AM$5002,27,FALSE),"")</f>
        <v/>
      </c>
      <c r="AB345" s="33"/>
      <c r="AC345" s="189"/>
      <c r="AD345" s="54"/>
      <c r="AE345" s="55"/>
      <c r="AF345" s="43"/>
      <c r="AG345" s="47"/>
      <c r="AH345" s="30"/>
      <c r="AI345" s="30"/>
      <c r="AJ345" s="30"/>
      <c r="AK345" s="30"/>
      <c r="AL345" s="13"/>
      <c r="AM345" s="13"/>
      <c r="AN345" s="13"/>
      <c r="AO345" s="13"/>
      <c r="AP345" s="13"/>
      <c r="AQ345" s="14"/>
      <c r="AR345" s="15"/>
    </row>
    <row r="346" spans="1:44" s="17" customFormat="1" ht="30.95" hidden="1" customHeight="1" x14ac:dyDescent="0.2">
      <c r="A346" s="37" t="s">
        <v>1094</v>
      </c>
      <c r="B346" s="38" t="s">
        <v>1085</v>
      </c>
      <c r="C346" s="45"/>
      <c r="D346" s="31">
        <v>3706175</v>
      </c>
      <c r="E346" s="31">
        <v>4151344</v>
      </c>
      <c r="F346" s="268" t="str">
        <f>IF(D346="","",VLOOKUP(D346,契約台帳!$A$3:$K$4986,6,FALSE)&amp;VLOOKUP(D346,契約台帳!$A$3:$K$4986,7,FALSE)&amp;VLOOKUP(D346,契約台帳!$A$3:$K$4986,8,FALSE)&amp;VLOOKUP(D346,契約台帳!$A$3:$K$4986,9,FALSE)&amp;VLOOKUP(D346,契約台帳!$A$3:$K$4986,11,FALSE))</f>
        <v>3SNMLBMNNGKBF</v>
      </c>
      <c r="G346" s="269" t="str">
        <f>IF(D346="","",VLOOKUP(F346,製品マスタ!$G$5:$H$5002,2,FALSE))</f>
        <v>S</v>
      </c>
      <c r="H346" s="269" t="str">
        <f>IF(D346="","",VLOOKUP(F346,製品マスタ!$G$5:$K$5002,5,FALSE))</f>
        <v>MNNGKBF</v>
      </c>
      <c r="I346" s="270" t="str">
        <f>IF(D346="","",VLOOKUP(F346,製品マスタ!$G$5:$L$5002,6,FALSE))</f>
        <v>メタルミー　ニューネーマー銀消　Ｂ</v>
      </c>
      <c r="J346" s="32" t="s">
        <v>447</v>
      </c>
      <c r="K346" s="270">
        <f>IF(D346="","",VLOOKUP(D346,契約台帳!$A$3:$L$4986,12,FALSE))</f>
        <v>50</v>
      </c>
      <c r="L346" s="270" t="str">
        <f>IF(D346="","",INDEX(製品マスタ!$Q$5:$Q$5002,MATCH(F346&amp;K346,製品マスタ!$AO$5:$AO$5002,0)))</f>
        <v>X44</v>
      </c>
      <c r="M346" s="39">
        <v>1000</v>
      </c>
      <c r="N346" s="39">
        <v>12000</v>
      </c>
      <c r="O346" s="47">
        <v>2</v>
      </c>
      <c r="P346" s="57"/>
      <c r="Q346" s="276">
        <f>IF(D346="","",IF(J346="リード付け",M346,VLOOKUP(D346,契約台帳!$A$3:$N$4986,14,FALSE)))</f>
        <v>1000</v>
      </c>
      <c r="R346" s="277">
        <f>IF(D346="","",IF(J346="リード付け",M346,VLOOKUP(D346,契約台帳!$A$3:$O$4986,15,FALSE)))</f>
        <v>1000</v>
      </c>
      <c r="S346" s="277">
        <f>IF(D346="","",IF(J346="リード付け",N346,VLOOKUP(D346,契約台帳!$A$3:$P$4986,16,FALSE)))</f>
        <v>4000</v>
      </c>
      <c r="T346" s="40">
        <v>6</v>
      </c>
      <c r="U346" s="302">
        <f ca="1">IF(D346="","",IF(OFFSET(D346,-2,0)=D346,"",VLOOKUP(D346,契約台帳!$A$3:$R$4986,18,FALSE)))</f>
        <v>8</v>
      </c>
      <c r="V346" s="269" t="str">
        <f>IF(J346="巻返し",VLOOKUP(F346&amp;K346&amp;M346,製品マスタ!$M$5:$AD$5002,18,FALSE),IF(J346="リード付け","原反コア",IF(J346="スリット",VLOOKUP(F346&amp;K346&amp;Q346,製品マスタ!$N$5:$AD$5002,17,FALSE),"")))</f>
        <v>6ｲﾝﾁSｺｱ</v>
      </c>
      <c r="W346" s="269">
        <f>IF(J346="巻返し",VLOOKUP(F346&amp;K346&amp;M346,製品マスタ!$M$5:$AE$5002,19,FALSE),IF(J346="リード付け","-",IF(J346="スリット",VLOOKUP(F346&amp;K346&amp;Q346,製品マスタ!$N$5:$AE$5002,18,FALSE),"")))</f>
        <v>1005</v>
      </c>
      <c r="X346" s="275">
        <f>IF(D346="","",VLOOKUP(D346,契約台帳!$A$3:$Q$4986,17,FALSE))</f>
        <v>2</v>
      </c>
      <c r="Y346" s="269" t="str">
        <f>IF(D346="","",VLOOKUP(D346,契約台帳!$A$3:$E$4986,5,FALSE))</f>
        <v>リンテック㈱</v>
      </c>
      <c r="Z346" s="57">
        <v>45043</v>
      </c>
      <c r="AA346" s="303" t="str">
        <f>IFERROR(VLOOKUP(F346&amp;K346&amp;M346,製品マスタ!$M$5:$AM$5002,27,FALSE),"")</f>
        <v>原反ケース再利用</v>
      </c>
      <c r="AB346" s="33"/>
      <c r="AC346" s="189"/>
      <c r="AD346" s="54" t="str">
        <f>IF(F346="","",+F346&amp;K346)</f>
        <v>3SNMLBMNNGKBF50</v>
      </c>
      <c r="AE346" s="55">
        <f>+M346*N346*O346/1000</f>
        <v>24000</v>
      </c>
      <c r="AF346" s="43">
        <f>IF(AD346="","",VLOOKUP(AD346,原価マスタ!$A$2:$AJ$1693,13,FALSE))</f>
        <v>99</v>
      </c>
      <c r="AG346" s="47">
        <f>IF(AF346="","",+AE346*AF346/100)</f>
        <v>23760</v>
      </c>
      <c r="AH346" s="30"/>
      <c r="AI346" s="30"/>
      <c r="AJ346" s="30"/>
      <c r="AK346" s="30"/>
      <c r="AL346" s="13"/>
      <c r="AM346" s="13"/>
      <c r="AN346" s="13"/>
      <c r="AO346" s="13"/>
      <c r="AP346" s="13"/>
      <c r="AQ346" s="14"/>
      <c r="AR346" s="15"/>
    </row>
    <row r="347" spans="1:44" s="17" customFormat="1" ht="30.95" hidden="1" customHeight="1" x14ac:dyDescent="0.2">
      <c r="A347" s="37"/>
      <c r="B347" s="38"/>
      <c r="C347" s="45"/>
      <c r="D347" s="31"/>
      <c r="E347" s="31"/>
      <c r="F347" s="268" t="str">
        <f>IF(D347="","",VLOOKUP(D347,契約台帳!$A$3:$K$4986,6,FALSE)&amp;VLOOKUP(D347,契約台帳!$A$3:$K$4986,7,FALSE)&amp;VLOOKUP(D347,契約台帳!$A$3:$K$4986,8,FALSE)&amp;VLOOKUP(D347,契約台帳!$A$3:$K$4986,9,FALSE)&amp;VLOOKUP(D347,契約台帳!$A$3:$K$4986,11,FALSE))</f>
        <v/>
      </c>
      <c r="G347" s="269" t="str">
        <f>IF(D347="","",VLOOKUP(F347,製品マスタ!$G$5:$H$5002,2,FALSE))</f>
        <v/>
      </c>
      <c r="H347" s="269" t="str">
        <f>IF(D347="","",VLOOKUP(F347,製品マスタ!$G$5:$K$5002,5,FALSE))</f>
        <v/>
      </c>
      <c r="I347" s="270" t="str">
        <f>IF(D347="","",VLOOKUP(F347,製品マスタ!$G$5:$L$5002,6,FALSE))</f>
        <v/>
      </c>
      <c r="J347" s="32"/>
      <c r="K347" s="270" t="str">
        <f>IF(D347="","",VLOOKUP(D347,契約台帳!$A$3:$L$4986,12,FALSE))</f>
        <v/>
      </c>
      <c r="L347" s="270" t="str">
        <f>IF(D347="","",INDEX(製品マスタ!$Q$5:$Q$5002,MATCH(F347&amp;K347,製品マスタ!$AO$5:$AO$5002,0)))</f>
        <v/>
      </c>
      <c r="M347" s="39"/>
      <c r="N347" s="39"/>
      <c r="O347" s="47"/>
      <c r="P347" s="57"/>
      <c r="Q347" s="276" t="str">
        <f>IF(D347="","",IF(J347="リード付け",M347,VLOOKUP(D347,契約台帳!$A$3:$N$4986,14,FALSE)))</f>
        <v/>
      </c>
      <c r="R347" s="277" t="str">
        <f>IF(D347="","",IF(J347="リード付け",M347,VLOOKUP(D347,契約台帳!$A$3:$O$4986,15,FALSE)))</f>
        <v/>
      </c>
      <c r="S347" s="277" t="str">
        <f>IF(D347="","",IF(J347="リード付け",N347,VLOOKUP(D347,契約台帳!$A$3:$P$4986,16,FALSE)))</f>
        <v/>
      </c>
      <c r="T347" s="40"/>
      <c r="U347" s="278" t="str">
        <f ca="1">IF(D347="","",IF(OFFSET(D347,-2,0)=D347,"",VLOOKUP(D347,契約台帳!$A$3:$R$4986,18,FALSE)))</f>
        <v/>
      </c>
      <c r="V347" s="269" t="str">
        <f>IF(J347="巻返し",VLOOKUP(F347&amp;K347&amp;M347,製品マスタ!$M$5:$AD$5002,18,FALSE),IF(J347="リード付け","原反コア",IF(J347="スリット",VLOOKUP(F347&amp;K347&amp;Q347,製品マスタ!$N$5:$AD$5002,17,FALSE),"")))</f>
        <v/>
      </c>
      <c r="W347" s="269" t="str">
        <f>IF(J347="巻返し",VLOOKUP(F347&amp;K347&amp;M347,製品マスタ!$M$5:$AE$5002,19,FALSE),IF(J347="リード付け","-",IF(J347="スリット",VLOOKUP(F347&amp;K347&amp;Q347,製品マスタ!$N$5:$AE$5002,18,FALSE),"")))</f>
        <v/>
      </c>
      <c r="X347" s="275" t="str">
        <f>IF(D347="","",VLOOKUP(D347,契約台帳!$A$3:$Q$4986,17,FALSE))</f>
        <v/>
      </c>
      <c r="Y347" s="269" t="str">
        <f>IF(D347="","",VLOOKUP(D347,契約台帳!$A$3:$E$4986,5,FALSE))</f>
        <v/>
      </c>
      <c r="Z347" s="57"/>
      <c r="AA347" s="207" t="str">
        <f>IFERROR(VLOOKUP(F347&amp;K347&amp;M347,製品マスタ!$M$5:$AM$5002,27,FALSE),"")</f>
        <v/>
      </c>
      <c r="AB347" s="33"/>
      <c r="AC347" s="189"/>
      <c r="AD347" s="54"/>
      <c r="AE347" s="55"/>
      <c r="AF347" s="43"/>
      <c r="AG347" s="47"/>
      <c r="AH347" s="30"/>
      <c r="AI347" s="30"/>
      <c r="AJ347" s="30"/>
      <c r="AK347" s="30"/>
      <c r="AL347" s="13"/>
      <c r="AM347" s="13"/>
      <c r="AN347" s="13"/>
      <c r="AO347" s="13"/>
      <c r="AP347" s="13"/>
      <c r="AQ347" s="14"/>
      <c r="AR347" s="15"/>
    </row>
    <row r="348" spans="1:44" s="17" customFormat="1" ht="30.95" hidden="1" customHeight="1" x14ac:dyDescent="0.2">
      <c r="A348" s="37"/>
      <c r="B348" s="38"/>
      <c r="C348" s="45"/>
      <c r="D348" s="31">
        <v>3706175</v>
      </c>
      <c r="E348" s="31">
        <v>4151344</v>
      </c>
      <c r="F348" s="268" t="str">
        <f>IF(D348="","",VLOOKUP(D348,契約台帳!$A$3:$K$4986,6,FALSE)&amp;VLOOKUP(D348,契約台帳!$A$3:$K$4986,7,FALSE)&amp;VLOOKUP(D348,契約台帳!$A$3:$K$4986,8,FALSE)&amp;VLOOKUP(D348,契約台帳!$A$3:$K$4986,9,FALSE)&amp;VLOOKUP(D348,契約台帳!$A$3:$K$4986,11,FALSE))</f>
        <v>3SNMLBMNNGKBF</v>
      </c>
      <c r="G348" s="269" t="str">
        <f>IF(D348="","",VLOOKUP(F348,製品マスタ!$G$5:$H$5002,2,FALSE))</f>
        <v>S</v>
      </c>
      <c r="H348" s="269" t="str">
        <f>IF(D348="","",VLOOKUP(F348,製品マスタ!$G$5:$K$5002,5,FALSE))</f>
        <v>MNNGKBF</v>
      </c>
      <c r="I348" s="270" t="str">
        <f>IF(D348="","",VLOOKUP(F348,製品マスタ!$G$5:$L$5002,6,FALSE))</f>
        <v>メタルミー　ニューネーマー銀消　Ｂ</v>
      </c>
      <c r="J348" s="32" t="s">
        <v>447</v>
      </c>
      <c r="K348" s="270">
        <f>IF(D348="","",VLOOKUP(D348,契約台帳!$A$3:$L$4986,12,FALSE))</f>
        <v>50</v>
      </c>
      <c r="L348" s="270" t="str">
        <f>IF(D348="","",INDEX(製品マスタ!$Q$5:$Q$5002,MATCH(F348&amp;K348,製品マスタ!$AO$5:$AO$5002,0)))</f>
        <v>X44</v>
      </c>
      <c r="M348" s="39">
        <v>1000</v>
      </c>
      <c r="N348" s="39">
        <v>8000</v>
      </c>
      <c r="O348" s="47">
        <v>1</v>
      </c>
      <c r="P348" s="57"/>
      <c r="Q348" s="276">
        <f>IF(D348="","",IF(J348="リード付け",M348,VLOOKUP(D348,契約台帳!$A$3:$N$4986,14,FALSE)))</f>
        <v>1000</v>
      </c>
      <c r="R348" s="277">
        <f>IF(D348="","",IF(J348="リード付け",M348,VLOOKUP(D348,契約台帳!$A$3:$O$4986,15,FALSE)))</f>
        <v>1000</v>
      </c>
      <c r="S348" s="277">
        <f>IF(D348="","",IF(J348="リード付け",N348,VLOOKUP(D348,契約台帳!$A$3:$P$4986,16,FALSE)))</f>
        <v>4000</v>
      </c>
      <c r="T348" s="40">
        <v>2</v>
      </c>
      <c r="U348" s="302" t="str">
        <f ca="1">IF(D348="","",IF(OFFSET(D348,-2,0)=D348,"",VLOOKUP(D348,契約台帳!$A$3:$R$4986,18,FALSE)))</f>
        <v/>
      </c>
      <c r="V348" s="269" t="str">
        <f>IF(J348="巻返し",VLOOKUP(F348&amp;K348&amp;M348,製品マスタ!$M$5:$AD$5002,18,FALSE),IF(J348="リード付け","原反コア",IF(J348="スリット",VLOOKUP(F348&amp;K348&amp;Q348,製品マスタ!$N$5:$AD$5002,17,FALSE),"")))</f>
        <v>6ｲﾝﾁSｺｱ</v>
      </c>
      <c r="W348" s="269">
        <f>IF(J348="巻返し",VLOOKUP(F348&amp;K348&amp;M348,製品マスタ!$M$5:$AE$5002,19,FALSE),IF(J348="リード付け","-",IF(J348="スリット",VLOOKUP(F348&amp;K348&amp;Q348,製品マスタ!$N$5:$AE$5002,18,FALSE),"")))</f>
        <v>1005</v>
      </c>
      <c r="X348" s="275">
        <f>IF(D348="","",VLOOKUP(D348,契約台帳!$A$3:$Q$4986,17,FALSE))</f>
        <v>2</v>
      </c>
      <c r="Y348" s="269" t="str">
        <f>IF(D348="","",VLOOKUP(D348,契約台帳!$A$3:$E$4986,5,FALSE))</f>
        <v>リンテック㈱</v>
      </c>
      <c r="Z348" s="57">
        <v>45043</v>
      </c>
      <c r="AA348" s="303" t="str">
        <f>IFERROR(VLOOKUP(F348&amp;K348&amp;M348,製品マスタ!$M$5:$AM$5002,27,FALSE),"")</f>
        <v>原反ケース再利用</v>
      </c>
      <c r="AB348" s="33"/>
      <c r="AC348" s="189"/>
      <c r="AD348" s="54" t="str">
        <f>IF(F348="","",+F348&amp;K348)</f>
        <v>3SNMLBMNNGKBF50</v>
      </c>
      <c r="AE348" s="55">
        <f>+M348*N348*O348/1000</f>
        <v>8000</v>
      </c>
      <c r="AF348" s="43">
        <f>IF(AD348="","",VLOOKUP(AD348,原価マスタ!$A$2:$AJ$1693,13,FALSE))</f>
        <v>99</v>
      </c>
      <c r="AG348" s="47">
        <f>IF(AF348="","",+AE348*AF348/100)</f>
        <v>7920</v>
      </c>
      <c r="AH348" s="30"/>
      <c r="AI348" s="30"/>
      <c r="AJ348" s="30"/>
      <c r="AK348" s="30"/>
      <c r="AL348" s="13"/>
      <c r="AM348" s="13"/>
      <c r="AN348" s="13"/>
      <c r="AO348" s="13"/>
      <c r="AP348" s="13"/>
      <c r="AQ348" s="14"/>
      <c r="AR348" s="15"/>
    </row>
    <row r="349" spans="1:44" s="17" customFormat="1" ht="30.95" hidden="1" customHeight="1" x14ac:dyDescent="0.2">
      <c r="A349" s="37"/>
      <c r="B349" s="38"/>
      <c r="C349" s="45"/>
      <c r="D349" s="31"/>
      <c r="E349" s="31"/>
      <c r="F349" s="268" t="str">
        <f>IF(D349="","",VLOOKUP(D349,契約台帳!$A$3:$K$4986,6,FALSE)&amp;VLOOKUP(D349,契約台帳!$A$3:$K$4986,7,FALSE)&amp;VLOOKUP(D349,契約台帳!$A$3:$K$4986,8,FALSE)&amp;VLOOKUP(D349,契約台帳!$A$3:$K$4986,9,FALSE)&amp;VLOOKUP(D349,契約台帳!$A$3:$K$4986,11,FALSE))</f>
        <v/>
      </c>
      <c r="G349" s="269" t="str">
        <f>IF(D349="","",VLOOKUP(F349,製品マスタ!$G$5:$H$5002,2,FALSE))</f>
        <v/>
      </c>
      <c r="H349" s="269" t="str">
        <f>IF(D349="","",VLOOKUP(F349,製品マスタ!$G$5:$K$5002,5,FALSE))</f>
        <v/>
      </c>
      <c r="I349" s="270" t="str">
        <f>IF(D349="","",VLOOKUP(F349,製品マスタ!$G$5:$L$5002,6,FALSE))</f>
        <v/>
      </c>
      <c r="J349" s="32"/>
      <c r="K349" s="270" t="str">
        <f>IF(D349="","",VLOOKUP(D349,契約台帳!$A$3:$L$4986,12,FALSE))</f>
        <v/>
      </c>
      <c r="L349" s="270" t="str">
        <f>IF(D349="","",INDEX(製品マスタ!$Q$5:$Q$5002,MATCH(F349&amp;K349,製品マスタ!$AO$5:$AO$5002,0)))</f>
        <v/>
      </c>
      <c r="M349" s="39"/>
      <c r="N349" s="39"/>
      <c r="O349" s="47"/>
      <c r="P349" s="57"/>
      <c r="Q349" s="276" t="str">
        <f>IF(D349="","",IF(J349="リード付け",M349,VLOOKUP(D349,契約台帳!$A$3:$N$4986,14,FALSE)))</f>
        <v/>
      </c>
      <c r="R349" s="277" t="str">
        <f>IF(D349="","",IF(J349="リード付け",M349,VLOOKUP(D349,契約台帳!$A$3:$O$4986,15,FALSE)))</f>
        <v/>
      </c>
      <c r="S349" s="277" t="str">
        <f>IF(D349="","",IF(J349="リード付け",N349,VLOOKUP(D349,契約台帳!$A$3:$P$4986,16,FALSE)))</f>
        <v/>
      </c>
      <c r="T349" s="40"/>
      <c r="U349" s="278" t="str">
        <f ca="1">IF(D349="","",IF(OFFSET(D349,-2,0)=D349,"",VLOOKUP(D349,契約台帳!$A$3:$R$4986,18,FALSE)))</f>
        <v/>
      </c>
      <c r="V349" s="269" t="str">
        <f>IF(J349="巻返し",VLOOKUP(F349&amp;K349&amp;M349,製品マスタ!$M$5:$AD$5002,18,FALSE),IF(J349="リード付け","原反コア",IF(J349="スリット",VLOOKUP(F349&amp;K349&amp;Q349,製品マスタ!$N$5:$AD$5002,17,FALSE),"")))</f>
        <v/>
      </c>
      <c r="W349" s="269" t="str">
        <f>IF(J349="巻返し",VLOOKUP(F349&amp;K349&amp;M349,製品マスタ!$M$5:$AE$5002,19,FALSE),IF(J349="リード付け","-",IF(J349="スリット",VLOOKUP(F349&amp;K349&amp;Q349,製品マスタ!$N$5:$AE$5002,18,FALSE),"")))</f>
        <v/>
      </c>
      <c r="X349" s="275" t="str">
        <f>IF(D349="","",VLOOKUP(D349,契約台帳!$A$3:$Q$4986,17,FALSE))</f>
        <v/>
      </c>
      <c r="Y349" s="269" t="str">
        <f>IF(D349="","",VLOOKUP(D349,契約台帳!$A$3:$E$4986,5,FALSE))</f>
        <v/>
      </c>
      <c r="Z349" s="57"/>
      <c r="AA349" s="207" t="str">
        <f>IFERROR(VLOOKUP(F349&amp;K349&amp;M349,製品マスタ!$M$5:$AM$5002,27,FALSE),"")</f>
        <v/>
      </c>
      <c r="AB349" s="33"/>
      <c r="AC349" s="189"/>
      <c r="AD349" s="54"/>
      <c r="AE349" s="55"/>
      <c r="AF349" s="43"/>
      <c r="AG349" s="47"/>
      <c r="AH349" s="30"/>
      <c r="AI349" s="30"/>
      <c r="AJ349" s="30"/>
      <c r="AK349" s="30"/>
      <c r="AL349" s="13"/>
      <c r="AM349" s="13"/>
      <c r="AN349" s="13"/>
      <c r="AO349" s="13"/>
      <c r="AP349" s="13"/>
      <c r="AQ349" s="14"/>
      <c r="AR349" s="15"/>
    </row>
    <row r="350" spans="1:44" s="17" customFormat="1" ht="30.95" hidden="1" customHeight="1" x14ac:dyDescent="0.2">
      <c r="A350" s="37"/>
      <c r="B350" s="38"/>
      <c r="C350" s="45"/>
      <c r="D350" s="31">
        <v>3704005</v>
      </c>
      <c r="E350" s="31">
        <v>4151340</v>
      </c>
      <c r="F350" s="268" t="str">
        <f>IF(D350="","",VLOOKUP(D350,契約台帳!$A$3:$K$4986,6,FALSE)&amp;VLOOKUP(D350,契約台帳!$A$3:$K$4986,7,FALSE)&amp;VLOOKUP(D350,契約台帳!$A$3:$K$4986,8,FALSE)&amp;VLOOKUP(D350,契約台帳!$A$3:$K$4986,9,FALSE)&amp;VLOOKUP(D350,契約台帳!$A$3:$K$4986,11,FALSE))</f>
        <v>3TNDMSX42GPC</v>
      </c>
      <c r="G350" s="269" t="str">
        <f>IF(D350="","",VLOOKUP(F350,製品マスタ!$G$5:$H$5002,2,FALSE))</f>
        <v>T</v>
      </c>
      <c r="H350" s="269" t="str">
        <f>IF(D350="","",VLOOKUP(F350,製品マスタ!$G$5:$K$5002,5,FALSE))</f>
        <v>X42GPC</v>
      </c>
      <c r="I350" s="270" t="str">
        <f>IF(D350="","",VLOOKUP(F350,製品マスタ!$G$5:$L$5002,6,FALSE))</f>
        <v>ＤＭＳ（Ｘ４２Ｇ）ＰＣ</v>
      </c>
      <c r="J350" s="32" t="s">
        <v>1072</v>
      </c>
      <c r="K350" s="270">
        <f>IF(D350="","",VLOOKUP(D350,契約台帳!$A$3:$L$4986,12,FALSE))</f>
        <v>50</v>
      </c>
      <c r="L350" s="270" t="str">
        <f>IF(D350="","",INDEX(製品マスタ!$Q$5:$Q$5002,MATCH(F350&amp;K350,製品マスタ!$AO$5:$AO$5002,0)))</f>
        <v>X42G</v>
      </c>
      <c r="M350" s="39">
        <v>1360</v>
      </c>
      <c r="N350" s="39">
        <v>4100</v>
      </c>
      <c r="O350" s="47">
        <v>1</v>
      </c>
      <c r="P350" s="57"/>
      <c r="Q350" s="276">
        <f>IF(D350="","",IF(J350="リード付け",M350,VLOOKUP(D350,契約台帳!$A$3:$N$4986,14,FALSE)))</f>
        <v>680</v>
      </c>
      <c r="R350" s="277">
        <f>IF(D350="","",IF(J350="リード付け",M350,VLOOKUP(D350,契約台帳!$A$3:$O$4986,15,FALSE)))</f>
        <v>680</v>
      </c>
      <c r="S350" s="277">
        <f>IF(D350="","",IF(J350="リード付け",N350,VLOOKUP(D350,契約台帳!$A$3:$P$4986,16,FALSE)))</f>
        <v>2000</v>
      </c>
      <c r="T350" s="40">
        <v>4</v>
      </c>
      <c r="U350" s="278">
        <f ca="1">IF(D350="","",IF(OFFSET(D350,-2,0)=D350,"",VLOOKUP(D350,契約台帳!$A$3:$R$4986,18,FALSE)))</f>
        <v>4</v>
      </c>
      <c r="V350" s="269" t="str">
        <f>IF(J350="巻返し",VLOOKUP(F350&amp;K350&amp;M350,製品マスタ!$M$5:$AD$5002,18,FALSE),IF(J350="リード付け","原反コア",IF(J350="スリット",VLOOKUP(F350&amp;K350&amp;Q350,製品マスタ!$N$5:$AD$5002,17,FALSE),"")))</f>
        <v>3ｲﾝﾁMｺｱ</v>
      </c>
      <c r="W350" s="269">
        <f>IF(J350="巻返し",VLOOKUP(F350&amp;K350&amp;M350,製品マスタ!$M$5:$AE$5002,19,FALSE),IF(J350="リード付け","-",IF(J350="スリット",VLOOKUP(F350&amp;K350&amp;Q350,製品マスタ!$N$5:$AE$5002,18,FALSE),"")))</f>
        <v>690</v>
      </c>
      <c r="X350" s="275">
        <f>IF(D350="","",VLOOKUP(D350,契約台帳!$A$3:$Q$4986,17,FALSE))</f>
        <v>2</v>
      </c>
      <c r="Y350" s="269" t="str">
        <f>IF(D350="","",VLOOKUP(D350,契約台帳!$A$3:$E$4986,5,FALSE))</f>
        <v>㈱ポラテクノ</v>
      </c>
      <c r="Z350" s="57">
        <v>45043</v>
      </c>
      <c r="AA350" s="207" t="s">
        <v>774</v>
      </c>
      <c r="AB350" s="33"/>
      <c r="AC350" s="189"/>
      <c r="AD350" s="54"/>
      <c r="AE350" s="55"/>
      <c r="AF350" s="43"/>
      <c r="AG350" s="47"/>
      <c r="AH350" s="30"/>
      <c r="AI350" s="30"/>
      <c r="AJ350" s="30"/>
      <c r="AK350" s="30"/>
      <c r="AL350" s="13"/>
      <c r="AM350" s="13"/>
      <c r="AN350" s="13"/>
      <c r="AO350" s="13"/>
      <c r="AP350" s="13"/>
      <c r="AQ350" s="14"/>
      <c r="AR350" s="15"/>
    </row>
    <row r="351" spans="1:44" s="17" customFormat="1" ht="30.95" hidden="1" customHeight="1" x14ac:dyDescent="0.2">
      <c r="A351" s="37"/>
      <c r="B351" s="38"/>
      <c r="C351" s="45"/>
      <c r="D351" s="31"/>
      <c r="E351" s="31"/>
      <c r="F351" s="268" t="str">
        <f>IF(D351="","",VLOOKUP(D351,契約台帳!$A$3:$K$4986,6,FALSE)&amp;VLOOKUP(D351,契約台帳!$A$3:$K$4986,7,FALSE)&amp;VLOOKUP(D351,契約台帳!$A$3:$K$4986,8,FALSE)&amp;VLOOKUP(D351,契約台帳!$A$3:$K$4986,9,FALSE)&amp;VLOOKUP(D351,契約台帳!$A$3:$K$4986,11,FALSE))</f>
        <v/>
      </c>
      <c r="G351" s="269" t="str">
        <f>IF(D351="","",VLOOKUP(F351,製品マスタ!$G$5:$H$5002,2,FALSE))</f>
        <v/>
      </c>
      <c r="H351" s="269" t="str">
        <f>IF(D351="","",VLOOKUP(F351,製品マスタ!$G$5:$K$5002,5,FALSE))</f>
        <v/>
      </c>
      <c r="I351" s="270" t="str">
        <f>IF(D351="","",VLOOKUP(F351,製品マスタ!$G$5:$L$5002,6,FALSE))</f>
        <v/>
      </c>
      <c r="J351" s="32"/>
      <c r="K351" s="270" t="str">
        <f>IF(D351="","",VLOOKUP(D351,契約台帳!$A$3:$L$4986,12,FALSE))</f>
        <v/>
      </c>
      <c r="L351" s="270" t="str">
        <f>IF(D351="","",INDEX(製品マスタ!$Q$5:$Q$5002,MATCH(F351&amp;K351,製品マスタ!$AO$5:$AO$5002,0)))</f>
        <v/>
      </c>
      <c r="M351" s="39"/>
      <c r="N351" s="39"/>
      <c r="O351" s="47"/>
      <c r="P351" s="57"/>
      <c r="Q351" s="276" t="str">
        <f>IF(D351="","",IF(J351="リード付け",M351,VLOOKUP(D351,契約台帳!$A$3:$N$4986,14,FALSE)))</f>
        <v/>
      </c>
      <c r="R351" s="277" t="str">
        <f>IF(D351="","",IF(J351="リード付け",M351,VLOOKUP(D351,契約台帳!$A$3:$O$4986,15,FALSE)))</f>
        <v/>
      </c>
      <c r="S351" s="277" t="str">
        <f>IF(D351="","",IF(J351="リード付け",N351,VLOOKUP(D351,契約台帳!$A$3:$P$4986,16,FALSE)))</f>
        <v/>
      </c>
      <c r="T351" s="40"/>
      <c r="U351" s="278" t="str">
        <f ca="1">IF(D351="","",IF(OFFSET(D351,-2,0)=D351,"",VLOOKUP(D351,契約台帳!$A$3:$R$4986,18,FALSE)))</f>
        <v/>
      </c>
      <c r="V351" s="269" t="str">
        <f>IF(J351="巻返し",VLOOKUP(F351&amp;K351&amp;M351,製品マスタ!$M$5:$AD$5002,18,FALSE),IF(J351="リード付け","原反コア",IF(J351="スリット",VLOOKUP(F351&amp;K351&amp;Q351,製品マスタ!$N$5:$AD$5002,17,FALSE),"")))</f>
        <v/>
      </c>
      <c r="W351" s="269" t="str">
        <f>IF(J351="巻返し",VLOOKUP(F351&amp;K351&amp;M351,製品マスタ!$M$5:$AE$5002,19,FALSE),IF(J351="リード付け","-",IF(J351="スリット",VLOOKUP(F351&amp;K351&amp;Q351,製品マスタ!$N$5:$AE$5002,18,FALSE),"")))</f>
        <v/>
      </c>
      <c r="X351" s="275" t="str">
        <f>IF(D351="","",VLOOKUP(D351,契約台帳!$A$3:$Q$4986,17,FALSE))</f>
        <v/>
      </c>
      <c r="Y351" s="269" t="str">
        <f>IF(D351="","",VLOOKUP(D351,契約台帳!$A$3:$E$4986,5,FALSE))</f>
        <v/>
      </c>
      <c r="Z351" s="57"/>
      <c r="AA351" s="207" t="str">
        <f>IFERROR(VLOOKUP(F351&amp;K351&amp;M351,製品マスタ!$M$5:$AM$5002,27,FALSE),"")</f>
        <v/>
      </c>
      <c r="AB351" s="33"/>
      <c r="AC351" s="189"/>
      <c r="AD351" s="54"/>
      <c r="AE351" s="55"/>
      <c r="AF351" s="43"/>
      <c r="AG351" s="47"/>
      <c r="AH351" s="30"/>
      <c r="AI351" s="30"/>
      <c r="AJ351" s="30"/>
      <c r="AK351" s="30"/>
      <c r="AL351" s="13"/>
      <c r="AM351" s="13"/>
      <c r="AN351" s="13"/>
      <c r="AO351" s="13"/>
      <c r="AP351" s="13"/>
      <c r="AQ351" s="14"/>
      <c r="AR351" s="15"/>
    </row>
    <row r="352" spans="1:44" s="17" customFormat="1" ht="30.95" hidden="1" customHeight="1" x14ac:dyDescent="0.2">
      <c r="A352" s="37" t="s">
        <v>1066</v>
      </c>
      <c r="B352" s="38" t="s">
        <v>688</v>
      </c>
      <c r="C352" s="45"/>
      <c r="D352" s="31"/>
      <c r="E352" s="31"/>
      <c r="F352" s="268" t="str">
        <f>IF(D352="","",VLOOKUP(D352,契約台帳!$A$3:$K$4986,6,FALSE)&amp;VLOOKUP(D352,契約台帳!$A$3:$K$4986,7,FALSE)&amp;VLOOKUP(D352,契約台帳!$A$3:$K$4986,8,FALSE)&amp;VLOOKUP(D352,契約台帳!$A$3:$K$4986,9,FALSE)&amp;VLOOKUP(D352,契約台帳!$A$3:$K$4986,11,FALSE))</f>
        <v/>
      </c>
      <c r="G352" s="269" t="str">
        <f>IF(D352="","",VLOOKUP(F352,製品マスタ!$G$5:$H$5002,2,FALSE))</f>
        <v/>
      </c>
      <c r="H352" s="269" t="str">
        <f>IF(D352="","",VLOOKUP(F352,製品マスタ!$G$5:$K$5002,5,FALSE))</f>
        <v/>
      </c>
      <c r="I352" s="270" t="str">
        <f>IF(D352="","",VLOOKUP(F352,製品マスタ!$G$5:$L$5002,6,FALSE))</f>
        <v/>
      </c>
      <c r="J352" s="32" t="s">
        <v>1075</v>
      </c>
      <c r="K352" s="270" t="str">
        <f>IF(D352="","",VLOOKUP(D352,契約台帳!$A$3:$L$4986,12,FALSE))</f>
        <v/>
      </c>
      <c r="L352" s="270" t="str">
        <f>IF(D352="","",INDEX(製品マスタ!$Q$5:$Q$5002,MATCH(F352&amp;K352,製品マスタ!$AO$5:$AO$5002,0)))</f>
        <v/>
      </c>
      <c r="M352" s="39"/>
      <c r="N352" s="39"/>
      <c r="O352" s="47"/>
      <c r="P352" s="57"/>
      <c r="Q352" s="276" t="str">
        <f>IF(D352="","",IF(J352="リード付け",M352,VLOOKUP(D352,契約台帳!$A$3:$N$4986,14,FALSE)))</f>
        <v/>
      </c>
      <c r="R352" s="277" t="str">
        <f>IF(D352="","",IF(J352="リード付け",M352,VLOOKUP(D352,契約台帳!$A$3:$O$4986,15,FALSE)))</f>
        <v/>
      </c>
      <c r="S352" s="277" t="str">
        <f>IF(D352="","",IF(J352="リード付け",N352,VLOOKUP(D352,契約台帳!$A$3:$P$4986,16,FALSE)))</f>
        <v/>
      </c>
      <c r="T352" s="40"/>
      <c r="U352" s="278" t="str">
        <f ca="1">IF(D352="","",IF(OFFSET(D352,-2,0)=D352,"",VLOOKUP(D352,契約台帳!$A$3:$R$4986,18,FALSE)))</f>
        <v/>
      </c>
      <c r="V352" s="269" t="str">
        <f>IF(J352="巻返し",VLOOKUP(F352&amp;K352&amp;M352,製品マスタ!$M$5:$AD$5002,18,FALSE),IF(J352="リード付け","原反コア",IF(J352="スリット",VLOOKUP(F352&amp;K352&amp;Q352,製品マスタ!$N$5:$AD$5002,17,FALSE),"")))</f>
        <v/>
      </c>
      <c r="W352" s="269" t="str">
        <f>IF(J352="巻返し",VLOOKUP(F352&amp;K352&amp;M352,製品マスタ!$M$5:$AE$5002,19,FALSE),IF(J352="リード付け","-",IF(J352="スリット",VLOOKUP(F352&amp;K352&amp;Q352,製品マスタ!$N$5:$AE$5002,18,FALSE),"")))</f>
        <v/>
      </c>
      <c r="X352" s="275" t="str">
        <f>IF(D352="","",VLOOKUP(D352,契約台帳!$A$3:$Q$4986,17,FALSE))</f>
        <v/>
      </c>
      <c r="Y352" s="269" t="str">
        <f>IF(D352="","",VLOOKUP(D352,契約台帳!$A$3:$E$4986,5,FALSE))</f>
        <v/>
      </c>
      <c r="Z352" s="57"/>
      <c r="AA352" s="207" t="str">
        <f>IFERROR(VLOOKUP(F352&amp;K352&amp;M352,製品マスタ!$M$5:$AM$5002,27,FALSE),"")</f>
        <v/>
      </c>
      <c r="AB352" s="33"/>
      <c r="AC352" s="189"/>
      <c r="AD352" s="54"/>
      <c r="AE352" s="55"/>
      <c r="AF352" s="43"/>
      <c r="AG352" s="47"/>
      <c r="AH352" s="30"/>
      <c r="AI352" s="30"/>
      <c r="AJ352" s="30"/>
      <c r="AK352" s="30"/>
      <c r="AL352" s="13"/>
      <c r="AM352" s="13"/>
      <c r="AN352" s="13"/>
      <c r="AO352" s="13"/>
      <c r="AP352" s="13"/>
      <c r="AQ352" s="14"/>
      <c r="AR352" s="15"/>
    </row>
    <row r="353" spans="1:44" s="17" customFormat="1" ht="30.95" hidden="1" customHeight="1" x14ac:dyDescent="0.2">
      <c r="A353" s="37"/>
      <c r="B353" s="38"/>
      <c r="C353" s="45"/>
      <c r="D353" s="31"/>
      <c r="E353" s="31"/>
      <c r="F353" s="268" t="str">
        <f>IF(D353="","",VLOOKUP(D353,契約台帳!$A$3:$K$4986,6,FALSE)&amp;VLOOKUP(D353,契約台帳!$A$3:$K$4986,7,FALSE)&amp;VLOOKUP(D353,契約台帳!$A$3:$K$4986,8,FALSE)&amp;VLOOKUP(D353,契約台帳!$A$3:$K$4986,9,FALSE)&amp;VLOOKUP(D353,契約台帳!$A$3:$K$4986,11,FALSE))</f>
        <v/>
      </c>
      <c r="G353" s="269" t="str">
        <f>IF(D353="","",VLOOKUP(F353,製品マスタ!$G$5:$H$5002,2,FALSE))</f>
        <v/>
      </c>
      <c r="H353" s="269" t="str">
        <f>IF(D353="","",VLOOKUP(F353,製品マスタ!$G$5:$K$5002,5,FALSE))</f>
        <v/>
      </c>
      <c r="I353" s="270" t="str">
        <f>IF(D353="","",VLOOKUP(F353,製品マスタ!$G$5:$L$5002,6,FALSE))</f>
        <v/>
      </c>
      <c r="J353" s="32"/>
      <c r="K353" s="270" t="str">
        <f>IF(D353="","",VLOOKUP(D353,契約台帳!$A$3:$L$4986,12,FALSE))</f>
        <v/>
      </c>
      <c r="L353" s="270" t="str">
        <f>IF(D353="","",INDEX(製品マスタ!$Q$5:$Q$5002,MATCH(F353&amp;K353,製品マスタ!$AO$5:$AO$5002,0)))</f>
        <v/>
      </c>
      <c r="M353" s="39"/>
      <c r="N353" s="39"/>
      <c r="O353" s="47"/>
      <c r="P353" s="57"/>
      <c r="Q353" s="276" t="str">
        <f>IF(D353="","",IF(J353="リード付け",M353,VLOOKUP(D353,契約台帳!$A$3:$N$4986,14,FALSE)))</f>
        <v/>
      </c>
      <c r="R353" s="277" t="str">
        <f>IF(D353="","",IF(J353="リード付け",M353,VLOOKUP(D353,契約台帳!$A$3:$O$4986,15,FALSE)))</f>
        <v/>
      </c>
      <c r="S353" s="277" t="str">
        <f>IF(D353="","",IF(J353="リード付け",N353,VLOOKUP(D353,契約台帳!$A$3:$P$4986,16,FALSE)))</f>
        <v/>
      </c>
      <c r="T353" s="40"/>
      <c r="U353" s="278" t="str">
        <f ca="1">IF(D353="","",IF(OFFSET(D353,-2,0)=D353,"",VLOOKUP(D353,契約台帳!$A$3:$R$4986,18,FALSE)))</f>
        <v/>
      </c>
      <c r="V353" s="269" t="str">
        <f>IF(J353="巻返し",VLOOKUP(F353&amp;K353&amp;M353,製品マスタ!$M$5:$AD$5002,18,FALSE),IF(J353="リード付け","原反コア",IF(J353="スリット",VLOOKUP(F353&amp;K353&amp;Q353,製品マスタ!$N$5:$AD$5002,17,FALSE),"")))</f>
        <v/>
      </c>
      <c r="W353" s="269" t="str">
        <f>IF(J353="巻返し",VLOOKUP(F353&amp;K353&amp;M353,製品マスタ!$M$5:$AE$5002,19,FALSE),IF(J353="リード付け","-",IF(J353="スリット",VLOOKUP(F353&amp;K353&amp;Q353,製品マスタ!$N$5:$AE$5002,18,FALSE),"")))</f>
        <v/>
      </c>
      <c r="X353" s="275" t="str">
        <f>IF(D353="","",VLOOKUP(D353,契約台帳!$A$3:$Q$4986,17,FALSE))</f>
        <v/>
      </c>
      <c r="Y353" s="269" t="str">
        <f>IF(D353="","",VLOOKUP(D353,契約台帳!$A$3:$E$4986,5,FALSE))</f>
        <v/>
      </c>
      <c r="Z353" s="57"/>
      <c r="AA353" s="207" t="str">
        <f>IFERROR(VLOOKUP(F353&amp;K353&amp;M353,製品マスタ!$M$5:$AM$5002,27,FALSE),"")</f>
        <v/>
      </c>
      <c r="AB353" s="33"/>
      <c r="AC353" s="189"/>
      <c r="AD353" s="54"/>
      <c r="AE353" s="55"/>
      <c r="AF353" s="43"/>
      <c r="AG353" s="47"/>
      <c r="AH353" s="30"/>
      <c r="AI353" s="30"/>
      <c r="AJ353" s="30"/>
      <c r="AK353" s="30"/>
      <c r="AL353" s="13"/>
      <c r="AM353" s="13"/>
      <c r="AN353" s="13"/>
      <c r="AO353" s="13"/>
      <c r="AP353" s="13"/>
      <c r="AQ353" s="14"/>
      <c r="AR353" s="15"/>
    </row>
    <row r="354" spans="1:44" s="17" customFormat="1" ht="30.95" hidden="1" customHeight="1" x14ac:dyDescent="0.2">
      <c r="A354" s="37" t="s">
        <v>1067</v>
      </c>
      <c r="B354" s="38" t="s">
        <v>442</v>
      </c>
      <c r="C354" s="45"/>
      <c r="D354" s="31"/>
      <c r="E354" s="31"/>
      <c r="F354" s="268" t="str">
        <f>IF(D354="","",VLOOKUP(D354,契約台帳!$A$3:$K$4986,6,FALSE)&amp;VLOOKUP(D354,契約台帳!$A$3:$K$4986,7,FALSE)&amp;VLOOKUP(D354,契約台帳!$A$3:$K$4986,8,FALSE)&amp;VLOOKUP(D354,契約台帳!$A$3:$K$4986,9,FALSE)&amp;VLOOKUP(D354,契約台帳!$A$3:$K$4986,11,FALSE))</f>
        <v/>
      </c>
      <c r="G354" s="269" t="str">
        <f>IF(D354="","",VLOOKUP(F354,製品マスタ!$G$5:$H$5002,2,FALSE))</f>
        <v/>
      </c>
      <c r="H354" s="269" t="str">
        <f>IF(D354="","",VLOOKUP(F354,製品マスタ!$G$5:$K$5002,5,FALSE))</f>
        <v/>
      </c>
      <c r="I354" s="270" t="str">
        <f>IF(D354="","",VLOOKUP(F354,製品マスタ!$G$5:$L$5002,6,FALSE))</f>
        <v/>
      </c>
      <c r="J354" s="32" t="s">
        <v>1076</v>
      </c>
      <c r="K354" s="270" t="str">
        <f>IF(D354="","",VLOOKUP(D354,契約台帳!$A$3:$L$4986,12,FALSE))</f>
        <v/>
      </c>
      <c r="L354" s="270" t="str">
        <f>IF(D354="","",INDEX(製品マスタ!$Q$5:$Q$5002,MATCH(F354&amp;K354,製品マスタ!$AO$5:$AO$5002,0)))</f>
        <v/>
      </c>
      <c r="M354" s="39"/>
      <c r="N354" s="39"/>
      <c r="O354" s="47"/>
      <c r="P354" s="57"/>
      <c r="Q354" s="276" t="str">
        <f>IF(D354="","",IF(J354="リード付け",M354,VLOOKUP(D354,契約台帳!$A$3:$N$4986,14,FALSE)))</f>
        <v/>
      </c>
      <c r="R354" s="277" t="str">
        <f>IF(D354="","",IF(J354="リード付け",M354,VLOOKUP(D354,契約台帳!$A$3:$O$4986,15,FALSE)))</f>
        <v/>
      </c>
      <c r="S354" s="277" t="str">
        <f>IF(D354="","",IF(J354="リード付け",N354,VLOOKUP(D354,契約台帳!$A$3:$P$4986,16,FALSE)))</f>
        <v/>
      </c>
      <c r="T354" s="40"/>
      <c r="U354" s="278" t="str">
        <f ca="1">IF(D354="","",IF(OFFSET(D354,-2,0)=D354,"",VLOOKUP(D354,契約台帳!$A$3:$R$4986,18,FALSE)))</f>
        <v/>
      </c>
      <c r="V354" s="269" t="str">
        <f>IF(J354="巻返し",VLOOKUP(F354&amp;K354&amp;M354,製品マスタ!$M$5:$AD$5002,18,FALSE),IF(J354="リード付け","原反コア",IF(J354="スリット",VLOOKUP(F354&amp;K354&amp;Q354,製品マスタ!$N$5:$AD$5002,17,FALSE),"")))</f>
        <v/>
      </c>
      <c r="W354" s="269" t="str">
        <f>IF(J354="巻返し",VLOOKUP(F354&amp;K354&amp;M354,製品マスタ!$M$5:$AE$5002,19,FALSE),IF(J354="リード付け","-",IF(J354="スリット",VLOOKUP(F354&amp;K354&amp;Q354,製品マスタ!$N$5:$AE$5002,18,FALSE),"")))</f>
        <v/>
      </c>
      <c r="X354" s="275" t="str">
        <f>IF(D354="","",VLOOKUP(D354,契約台帳!$A$3:$Q$4986,17,FALSE))</f>
        <v/>
      </c>
      <c r="Y354" s="269" t="str">
        <f>IF(D354="","",VLOOKUP(D354,契約台帳!$A$3:$E$4986,5,FALSE))</f>
        <v/>
      </c>
      <c r="Z354" s="57"/>
      <c r="AA354" s="207" t="str">
        <f>IFERROR(VLOOKUP(F354&amp;K354&amp;M354,製品マスタ!$M$5:$AM$5002,27,FALSE),"")</f>
        <v/>
      </c>
      <c r="AB354" s="33"/>
      <c r="AC354" s="189"/>
      <c r="AD354" s="54"/>
      <c r="AE354" s="55"/>
      <c r="AF354" s="43"/>
      <c r="AG354" s="47"/>
      <c r="AH354" s="30"/>
      <c r="AI354" s="30"/>
      <c r="AJ354" s="30"/>
      <c r="AK354" s="30"/>
      <c r="AL354" s="13"/>
      <c r="AM354" s="13"/>
      <c r="AN354" s="13"/>
      <c r="AO354" s="13"/>
      <c r="AP354" s="13"/>
      <c r="AQ354" s="14"/>
      <c r="AR354" s="15"/>
    </row>
    <row r="355" spans="1:44" s="17" customFormat="1" ht="30.95" hidden="1" customHeight="1" x14ac:dyDescent="0.2">
      <c r="A355" s="37"/>
      <c r="B355" s="38"/>
      <c r="C355" s="45"/>
      <c r="D355" s="31"/>
      <c r="E355" s="31"/>
      <c r="F355" s="268" t="str">
        <f>IF(D355="","",VLOOKUP(D355,契約台帳!$A$3:$K$4986,6,FALSE)&amp;VLOOKUP(D355,契約台帳!$A$3:$K$4986,7,FALSE)&amp;VLOOKUP(D355,契約台帳!$A$3:$K$4986,8,FALSE)&amp;VLOOKUP(D355,契約台帳!$A$3:$K$4986,9,FALSE)&amp;VLOOKUP(D355,契約台帳!$A$3:$K$4986,11,FALSE))</f>
        <v/>
      </c>
      <c r="G355" s="269" t="str">
        <f>IF(D355="","",VLOOKUP(F355,製品マスタ!$G$5:$H$5002,2,FALSE))</f>
        <v/>
      </c>
      <c r="H355" s="269" t="str">
        <f>IF(D355="","",VLOOKUP(F355,製品マスタ!$G$5:$K$5002,5,FALSE))</f>
        <v/>
      </c>
      <c r="I355" s="270" t="str">
        <f>IF(D355="","",VLOOKUP(F355,製品マスタ!$G$5:$L$5002,6,FALSE))</f>
        <v/>
      </c>
      <c r="J355" s="32"/>
      <c r="K355" s="270" t="str">
        <f>IF(D355="","",VLOOKUP(D355,契約台帳!$A$3:$L$4986,12,FALSE))</f>
        <v/>
      </c>
      <c r="L355" s="270" t="str">
        <f>IF(D355="","",INDEX(製品マスタ!$Q$5:$Q$5002,MATCH(F355&amp;K355,製品マスタ!$AO$5:$AO$5002,0)))</f>
        <v/>
      </c>
      <c r="M355" s="39"/>
      <c r="N355" s="39"/>
      <c r="O355" s="47"/>
      <c r="P355" s="57"/>
      <c r="Q355" s="276" t="str">
        <f>IF(D355="","",IF(J355="リード付け",M355,VLOOKUP(D355,契約台帳!$A$3:$N$4986,14,FALSE)))</f>
        <v/>
      </c>
      <c r="R355" s="277" t="str">
        <f>IF(D355="","",IF(J355="リード付け",M355,VLOOKUP(D355,契約台帳!$A$3:$O$4986,15,FALSE)))</f>
        <v/>
      </c>
      <c r="S355" s="277" t="str">
        <f>IF(D355="","",IF(J355="リード付け",N355,VLOOKUP(D355,契約台帳!$A$3:$P$4986,16,FALSE)))</f>
        <v/>
      </c>
      <c r="T355" s="40"/>
      <c r="U355" s="278" t="str">
        <f ca="1">IF(D355="","",IF(OFFSET(D355,-2,0)=D355,"",VLOOKUP(D355,契約台帳!$A$3:$R$4986,18,FALSE)))</f>
        <v/>
      </c>
      <c r="V355" s="269" t="str">
        <f>IF(J355="巻返し",VLOOKUP(F355&amp;K355&amp;M355,製品マスタ!$M$5:$AD$5002,18,FALSE),IF(J355="リード付け","原反コア",IF(J355="スリット",VLOOKUP(F355&amp;K355&amp;Q355,製品マスタ!$N$5:$AD$5002,17,FALSE),"")))</f>
        <v/>
      </c>
      <c r="W355" s="269" t="str">
        <f>IF(J355="巻返し",VLOOKUP(F355&amp;K355&amp;M355,製品マスタ!$M$5:$AE$5002,19,FALSE),IF(J355="リード付け","-",IF(J355="スリット",VLOOKUP(F355&amp;K355&amp;Q355,製品マスタ!$N$5:$AE$5002,18,FALSE),"")))</f>
        <v/>
      </c>
      <c r="X355" s="275" t="str">
        <f>IF(D355="","",VLOOKUP(D355,契約台帳!$A$3:$Q$4986,17,FALSE))</f>
        <v/>
      </c>
      <c r="Y355" s="269" t="str">
        <f>IF(D355="","",VLOOKUP(D355,契約台帳!$A$3:$E$4986,5,FALSE))</f>
        <v/>
      </c>
      <c r="Z355" s="57"/>
      <c r="AA355" s="207" t="str">
        <f>IFERROR(VLOOKUP(F355&amp;K355&amp;M355,製品マスタ!$M$5:$AM$5002,27,FALSE),"")</f>
        <v/>
      </c>
      <c r="AB355" s="33"/>
      <c r="AC355" s="189"/>
      <c r="AD355" s="54"/>
      <c r="AE355" s="55"/>
      <c r="AF355" s="43"/>
      <c r="AG355" s="47"/>
      <c r="AH355" s="30"/>
      <c r="AI355" s="30"/>
      <c r="AJ355" s="30"/>
      <c r="AK355" s="30"/>
      <c r="AL355" s="13"/>
      <c r="AM355" s="13"/>
      <c r="AN355" s="13"/>
      <c r="AO355" s="13"/>
      <c r="AP355" s="13"/>
      <c r="AQ355" s="14"/>
      <c r="AR355" s="15"/>
    </row>
    <row r="356" spans="1:44" s="233" customFormat="1" ht="30.95" hidden="1" customHeight="1" x14ac:dyDescent="0.2">
      <c r="A356" s="217"/>
      <c r="B356" s="218"/>
      <c r="C356" s="280"/>
      <c r="D356" s="219"/>
      <c r="E356" s="219"/>
      <c r="F356" s="281"/>
      <c r="G356" s="282"/>
      <c r="H356" s="282"/>
      <c r="I356" s="283"/>
      <c r="J356" s="220"/>
      <c r="K356" s="283"/>
      <c r="L356" s="283"/>
      <c r="M356" s="221"/>
      <c r="N356" s="221"/>
      <c r="O356" s="222"/>
      <c r="P356" s="213"/>
      <c r="Q356" s="284"/>
      <c r="R356" s="285"/>
      <c r="S356" s="285"/>
      <c r="T356" s="224"/>
      <c r="U356" s="286"/>
      <c r="V356" s="282"/>
      <c r="W356" s="282"/>
      <c r="X356" s="287"/>
      <c r="Y356" s="282"/>
      <c r="Z356" s="213"/>
      <c r="AA356" s="288"/>
      <c r="AB356" s="225"/>
      <c r="AC356" s="226"/>
      <c r="AD356" s="227"/>
      <c r="AE356" s="228"/>
      <c r="AF356" s="223"/>
      <c r="AG356" s="234">
        <f>SUM(AG282:AG355)</f>
        <v>466448.56050000002</v>
      </c>
      <c r="AH356" s="229"/>
      <c r="AI356" s="229"/>
      <c r="AJ356" s="229"/>
      <c r="AK356" s="229"/>
      <c r="AL356" s="230"/>
      <c r="AM356" s="230"/>
      <c r="AN356" s="230"/>
      <c r="AO356" s="230"/>
      <c r="AP356" s="230"/>
      <c r="AQ356" s="231"/>
      <c r="AR356" s="232"/>
    </row>
    <row r="357" spans="1:44" s="17" customFormat="1" ht="30.95" hidden="1" customHeight="1" x14ac:dyDescent="0.2">
      <c r="A357" s="37"/>
      <c r="B357" s="38"/>
      <c r="C357" s="45"/>
      <c r="D357" s="31"/>
      <c r="E357" s="31"/>
      <c r="F357" s="268"/>
      <c r="G357" s="269"/>
      <c r="H357" s="269"/>
      <c r="I357" s="270"/>
      <c r="J357" s="32"/>
      <c r="K357" s="270"/>
      <c r="L357" s="270"/>
      <c r="M357" s="39"/>
      <c r="N357" s="39"/>
      <c r="O357" s="47"/>
      <c r="P357" s="57"/>
      <c r="Q357" s="276"/>
      <c r="R357" s="277"/>
      <c r="S357" s="277"/>
      <c r="T357" s="40"/>
      <c r="U357" s="278"/>
      <c r="V357" s="269"/>
      <c r="W357" s="269"/>
      <c r="X357" s="275"/>
      <c r="Y357" s="269"/>
      <c r="Z357" s="57"/>
      <c r="AA357" s="207"/>
      <c r="AB357" s="33"/>
      <c r="AC357" s="189"/>
      <c r="AD357" s="54"/>
      <c r="AE357" s="55"/>
      <c r="AF357" s="43"/>
      <c r="AG357" s="47"/>
      <c r="AH357" s="30"/>
      <c r="AI357" s="30"/>
      <c r="AJ357" s="30"/>
      <c r="AK357" s="30"/>
      <c r="AL357" s="13"/>
      <c r="AM357" s="13"/>
      <c r="AN357" s="13"/>
      <c r="AO357" s="13"/>
      <c r="AP357" s="13"/>
      <c r="AQ357" s="14"/>
      <c r="AR357" s="15"/>
    </row>
    <row r="358" spans="1:44" s="17" customFormat="1" ht="30.95" hidden="1" customHeight="1" x14ac:dyDescent="0.2">
      <c r="A358" s="37" t="s">
        <v>1068</v>
      </c>
      <c r="B358" s="38" t="s">
        <v>443</v>
      </c>
      <c r="C358" s="45"/>
      <c r="D358" s="31">
        <v>3708696</v>
      </c>
      <c r="E358" s="31">
        <v>4170107</v>
      </c>
      <c r="F358" s="268" t="str">
        <f>IF(D358="","",VLOOKUP(D358,契約台帳!$A$3:$K$4986,6,FALSE)&amp;VLOOKUP(D358,契約台帳!$A$3:$K$4986,7,FALSE)&amp;VLOOKUP(D358,契約台帳!$A$3:$K$4986,8,FALSE)&amp;VLOOKUP(D358,契約台帳!$A$3:$K$4986,9,FALSE)&amp;VLOOKUP(D358,契約台帳!$A$3:$K$4986,11,FALSE))</f>
        <v>3SNMLBMSF</v>
      </c>
      <c r="G358" s="269" t="str">
        <f>IF(D358="","",VLOOKUP(F358,製品マスタ!$G$5:$H$5002,2,FALSE))</f>
        <v>S</v>
      </c>
      <c r="H358" s="269" t="str">
        <f>IF(D358="","",VLOOKUP(F358,製品マスタ!$G$5:$K$5002,5,FALSE))</f>
        <v>MSF</v>
      </c>
      <c r="I358" s="270" t="str">
        <f>IF(D358="","",VLOOKUP(F358,製品マスタ!$G$5:$L$5002,6,FALSE))</f>
        <v>メタルミー　Ｓ</v>
      </c>
      <c r="J358" s="32" t="s">
        <v>1122</v>
      </c>
      <c r="K358" s="270">
        <f>IF(D358="","",VLOOKUP(D358,契約台帳!$A$3:$L$4986,12,FALSE))</f>
        <v>25</v>
      </c>
      <c r="L358" s="270" t="str">
        <f>IF(D358="","",INDEX(製品マスタ!$Q$5:$Q$5002,MATCH(F358&amp;K358,製品マスタ!$AO$5:$AO$5002,0)))</f>
        <v>T62M</v>
      </c>
      <c r="M358" s="39">
        <v>1020</v>
      </c>
      <c r="N358" s="39">
        <v>12100</v>
      </c>
      <c r="O358" s="47">
        <v>1</v>
      </c>
      <c r="P358" s="213">
        <v>45043</v>
      </c>
      <c r="Q358" s="276">
        <f>IF(D358="","",IF(J358="リード付け",M358,VLOOKUP(D358,契約台帳!$A$3:$N$4986,14,FALSE)))</f>
        <v>1020</v>
      </c>
      <c r="R358" s="277">
        <f>IF(D358="","",IF(J358="リード付け",M358,VLOOKUP(D358,契約台帳!$A$3:$O$4986,15,FALSE)))</f>
        <v>1020</v>
      </c>
      <c r="S358" s="277">
        <f>IF(D358="","",IF(J358="リード付け",N358,VLOOKUP(D358,契約台帳!$A$3:$P$4986,16,FALSE)))</f>
        <v>12100</v>
      </c>
      <c r="T358" s="40">
        <v>1</v>
      </c>
      <c r="U358" s="278">
        <f ca="1">IF(D358="","",IF(OFFSET(D358,-2,0)=D358,"",VLOOKUP(D358,契約台帳!$A$3:$R$4986,18,FALSE)))</f>
        <v>6</v>
      </c>
      <c r="V358" s="269" t="str">
        <f>IF(J358="巻返し",VLOOKUP(F358&amp;K358&amp;M358,製品マスタ!$M$5:$AD$5002,18,FALSE),IF(J358="リード付け","原反コア",IF(J358="スリット",VLOOKUP(F358&amp;K358&amp;Q358,製品マスタ!$N$5:$AD$5002,17,FALSE),"")))</f>
        <v>原反コア</v>
      </c>
      <c r="W358" s="269" t="str">
        <f>IF(J358="巻返し",VLOOKUP(F358&amp;K358&amp;M358,製品マスタ!$M$5:$AE$5002,19,FALSE),IF(J358="リード付け","-",IF(J358="スリット",VLOOKUP(F358&amp;K358&amp;Q358,製品マスタ!$N$5:$AE$5002,18,FALSE),"")))</f>
        <v>-</v>
      </c>
      <c r="X358" s="275">
        <f>IF(D358="","",VLOOKUP(D358,契約台帳!$A$3:$Q$4986,17,FALSE))</f>
        <v>2</v>
      </c>
      <c r="Y358" s="269" t="str">
        <f>IF(D358="","",VLOOKUP(D358,契約台帳!$A$3:$E$4986,5,FALSE))</f>
        <v>寺岡製作所　大宮工場</v>
      </c>
      <c r="Z358" s="57"/>
      <c r="AA358" s="207">
        <f>IFERROR(VLOOKUP(F358&amp;K358&amp;M358,製品マスタ!$M$5:$AM$5002,27,FALSE),"")</f>
        <v>0</v>
      </c>
      <c r="AB358" s="33"/>
      <c r="AC358" s="189"/>
      <c r="AD358" s="54"/>
      <c r="AE358" s="55"/>
      <c r="AF358" s="43"/>
      <c r="AG358" s="47"/>
      <c r="AH358" s="30"/>
      <c r="AI358" s="30"/>
      <c r="AJ358" s="30"/>
      <c r="AK358" s="30"/>
      <c r="AL358" s="13"/>
      <c r="AM358" s="13"/>
      <c r="AN358" s="13"/>
      <c r="AO358" s="13"/>
      <c r="AP358" s="13"/>
      <c r="AQ358" s="14"/>
      <c r="AR358" s="15"/>
    </row>
    <row r="359" spans="1:44" s="17" customFormat="1" ht="30.95" hidden="1" customHeight="1" x14ac:dyDescent="0.2">
      <c r="A359" s="37"/>
      <c r="B359" s="38"/>
      <c r="C359" s="45"/>
      <c r="D359" s="31"/>
      <c r="E359" s="31"/>
      <c r="F359" s="268" t="str">
        <f>IF(D359="","",VLOOKUP(D359,契約台帳!$A$3:$K$4986,6,FALSE)&amp;VLOOKUP(D359,契約台帳!$A$3:$K$4986,7,FALSE)&amp;VLOOKUP(D359,契約台帳!$A$3:$K$4986,8,FALSE)&amp;VLOOKUP(D359,契約台帳!$A$3:$K$4986,9,FALSE)&amp;VLOOKUP(D359,契約台帳!$A$3:$K$4986,11,FALSE))</f>
        <v/>
      </c>
      <c r="G359" s="269" t="str">
        <f>IF(D359="","",VLOOKUP(F359,製品マスタ!$G$5:$H$5002,2,FALSE))</f>
        <v/>
      </c>
      <c r="H359" s="269" t="str">
        <f>IF(D359="","",VLOOKUP(F359,製品マスタ!$G$5:$K$5002,5,FALSE))</f>
        <v/>
      </c>
      <c r="I359" s="270" t="str">
        <f>IF(D359="","",VLOOKUP(F359,製品マスタ!$G$5:$L$5002,6,FALSE))</f>
        <v/>
      </c>
      <c r="J359" s="32"/>
      <c r="K359" s="270" t="str">
        <f>IF(D359="","",VLOOKUP(D359,契約台帳!$A$3:$L$4986,12,FALSE))</f>
        <v/>
      </c>
      <c r="L359" s="270" t="str">
        <f>IF(D359="","",INDEX(製品マスタ!$Q$5:$Q$5002,MATCH(F359&amp;K359,製品マスタ!$AO$5:$AO$5002,0)))</f>
        <v/>
      </c>
      <c r="M359" s="39"/>
      <c r="N359" s="39"/>
      <c r="O359" s="47"/>
      <c r="P359" s="57"/>
      <c r="Q359" s="276" t="str">
        <f>IF(D359="","",IF(J359="リード付け",M359,VLOOKUP(D359,契約台帳!$A$3:$N$4986,14,FALSE)))</f>
        <v/>
      </c>
      <c r="R359" s="277" t="str">
        <f>IF(D359="","",IF(J359="リード付け",M359,VLOOKUP(D359,契約台帳!$A$3:$O$4986,15,FALSE)))</f>
        <v/>
      </c>
      <c r="S359" s="277" t="str">
        <f>IF(D359="","",IF(J359="リード付け",N359,VLOOKUP(D359,契約台帳!$A$3:$P$4986,16,FALSE)))</f>
        <v/>
      </c>
      <c r="T359" s="40"/>
      <c r="U359" s="278" t="str">
        <f ca="1">IF(D359="","",IF(OFFSET(D359,-2,0)=D359,"",VLOOKUP(D359,契約台帳!$A$3:$R$4986,18,FALSE)))</f>
        <v/>
      </c>
      <c r="V359" s="269" t="str">
        <f>IF(J359="巻返し",VLOOKUP(F359&amp;K359&amp;M359,製品マスタ!$M$5:$AD$5002,18,FALSE),IF(J359="リード付け","原反コア",IF(J359="スリット",VLOOKUP(F359&amp;K359&amp;Q359,製品マスタ!$N$5:$AD$5002,17,FALSE),"")))</f>
        <v/>
      </c>
      <c r="W359" s="269" t="str">
        <f>IF(J359="巻返し",VLOOKUP(F359&amp;K359&amp;M359,製品マスタ!$M$5:$AE$5002,19,FALSE),IF(J359="リード付け","-",IF(J359="スリット",VLOOKUP(F359&amp;K359&amp;Q359,製品マスタ!$N$5:$AE$5002,18,FALSE),"")))</f>
        <v/>
      </c>
      <c r="X359" s="275" t="str">
        <f>IF(D359="","",VLOOKUP(D359,契約台帳!$A$3:$Q$4986,17,FALSE))</f>
        <v/>
      </c>
      <c r="Y359" s="269" t="str">
        <f>IF(D359="","",VLOOKUP(D359,契約台帳!$A$3:$E$4986,5,FALSE))</f>
        <v/>
      </c>
      <c r="Z359" s="57"/>
      <c r="AA359" s="207" t="str">
        <f>IFERROR(VLOOKUP(F359&amp;K359&amp;M359,製品マスタ!$M$5:$AM$5002,27,FALSE),"")</f>
        <v/>
      </c>
      <c r="AB359" s="33"/>
      <c r="AC359" s="189"/>
      <c r="AD359" s="54"/>
      <c r="AE359" s="55"/>
      <c r="AF359" s="43"/>
      <c r="AG359" s="47"/>
      <c r="AH359" s="30"/>
      <c r="AI359" s="30"/>
      <c r="AJ359" s="30"/>
      <c r="AK359" s="30"/>
      <c r="AL359" s="13"/>
      <c r="AM359" s="13"/>
      <c r="AN359" s="13"/>
      <c r="AO359" s="13"/>
      <c r="AP359" s="13"/>
      <c r="AQ359" s="14"/>
      <c r="AR359" s="15"/>
    </row>
    <row r="360" spans="1:44" s="17" customFormat="1" ht="30.95" hidden="1" customHeight="1" x14ac:dyDescent="0.2">
      <c r="A360" s="37" t="s">
        <v>1069</v>
      </c>
      <c r="B360" s="38" t="s">
        <v>1053</v>
      </c>
      <c r="C360" s="45"/>
      <c r="D360" s="31">
        <v>3708709</v>
      </c>
      <c r="E360" s="31">
        <v>4170105</v>
      </c>
      <c r="F360" s="268" t="str">
        <f>IF(D360="","",VLOOKUP(D360,契約台帳!$A$3:$K$4986,6,FALSE)&amp;VLOOKUP(D360,契約台帳!$A$3:$K$4986,7,FALSE)&amp;VLOOKUP(D360,契約台帳!$A$3:$K$4986,8,FALSE)&amp;VLOOKUP(D360,契約台帳!$A$3:$K$4986,9,FALSE)&amp;VLOOKUP(D360,契約台帳!$A$3:$K$4986,11,FALSE))</f>
        <v>3SNMLBMNGTBF</v>
      </c>
      <c r="G360" s="269" t="str">
        <f>IF(D360="","",VLOOKUP(F360,製品マスタ!$G$5:$H$5002,2,FALSE))</f>
        <v>S</v>
      </c>
      <c r="H360" s="269" t="str">
        <f>IF(D360="","",VLOOKUP(F360,製品マスタ!$G$5:$K$5002,5,FALSE))</f>
        <v>MNGTBF</v>
      </c>
      <c r="I360" s="270" t="str">
        <f>IF(D360="","",VLOOKUP(F360,製品マスタ!$G$5:$L$5002,6,FALSE))</f>
        <v>メタルミー　ネーマー　銀艶　Ｂ</v>
      </c>
      <c r="J360" s="32" t="s">
        <v>1122</v>
      </c>
      <c r="K360" s="270">
        <f>IF(D360="","",VLOOKUP(D360,契約台帳!$A$3:$L$4986,12,FALSE))</f>
        <v>25</v>
      </c>
      <c r="L360" s="270" t="str">
        <f>IF(D360="","",INDEX(製品マスタ!$Q$5:$Q$5002,MATCH(F360&amp;K360,製品マスタ!$AO$5:$AO$5002,0)))</f>
        <v>T62M</v>
      </c>
      <c r="M360" s="39">
        <v>1005</v>
      </c>
      <c r="N360" s="39">
        <v>12100</v>
      </c>
      <c r="O360" s="47">
        <v>4</v>
      </c>
      <c r="P360" s="213">
        <v>45043</v>
      </c>
      <c r="Q360" s="276">
        <f>IF(D360="","",IF(J360="リード付け",M360,VLOOKUP(D360,契約台帳!$A$3:$N$4986,14,FALSE)))</f>
        <v>1005</v>
      </c>
      <c r="R360" s="277">
        <f>IF(D360="","",IF(J360="リード付け",M360,VLOOKUP(D360,契約台帳!$A$3:$O$4986,15,FALSE)))</f>
        <v>1005</v>
      </c>
      <c r="S360" s="277">
        <f>IF(D360="","",IF(J360="リード付け",N360,VLOOKUP(D360,契約台帳!$A$3:$P$4986,16,FALSE)))</f>
        <v>12100</v>
      </c>
      <c r="T360" s="40">
        <v>4</v>
      </c>
      <c r="U360" s="278">
        <f ca="1">IF(D360="","",IF(OFFSET(D360,-2,0)=D360,"",VLOOKUP(D360,契約台帳!$A$3:$R$4986,18,FALSE)))</f>
        <v>12</v>
      </c>
      <c r="V360" s="269" t="str">
        <f>IF(J360="巻返し",VLOOKUP(F360&amp;K360&amp;M360,製品マスタ!$M$5:$AD$5002,18,FALSE),IF(J360="リード付け","原反コア",IF(J360="スリット",VLOOKUP(F360&amp;K360&amp;Q360,製品マスタ!$N$5:$AD$5002,17,FALSE),"")))</f>
        <v>原反コア</v>
      </c>
      <c r="W360" s="269" t="str">
        <f>IF(J360="巻返し",VLOOKUP(F360&amp;K360&amp;M360,製品マスタ!$M$5:$AE$5002,19,FALSE),IF(J360="リード付け","-",IF(J360="スリット",VLOOKUP(F360&amp;K360&amp;Q360,製品マスタ!$N$5:$AE$5002,18,FALSE),"")))</f>
        <v>-</v>
      </c>
      <c r="X360" s="275">
        <f>IF(D360="","",VLOOKUP(D360,契約台帳!$A$3:$Q$4986,17,FALSE))</f>
        <v>2</v>
      </c>
      <c r="Y360" s="269" t="str">
        <f>IF(D360="","",VLOOKUP(D360,契約台帳!$A$3:$E$4986,5,FALSE))</f>
        <v>リンテック㈱</v>
      </c>
      <c r="Z360" s="57"/>
      <c r="AA360" s="207">
        <f>IFERROR(VLOOKUP(F360&amp;K360&amp;M360,製品マスタ!$M$5:$AM$5002,27,FALSE),"")</f>
        <v>0</v>
      </c>
      <c r="AB360" s="33"/>
      <c r="AC360" s="189"/>
      <c r="AD360" s="54"/>
      <c r="AE360" s="55"/>
      <c r="AF360" s="43"/>
      <c r="AG360" s="47"/>
      <c r="AH360" s="30"/>
      <c r="AI360" s="30"/>
      <c r="AJ360" s="30"/>
      <c r="AK360" s="30"/>
      <c r="AL360" s="13"/>
      <c r="AM360" s="13"/>
      <c r="AN360" s="13"/>
      <c r="AO360" s="13"/>
      <c r="AP360" s="13"/>
      <c r="AQ360" s="14"/>
      <c r="AR360" s="15"/>
    </row>
    <row r="361" spans="1:44" s="17" customFormat="1" ht="30.95" hidden="1" customHeight="1" x14ac:dyDescent="0.2">
      <c r="A361" s="37"/>
      <c r="B361" s="38"/>
      <c r="C361" s="45"/>
      <c r="D361" s="31"/>
      <c r="E361" s="31"/>
      <c r="F361" s="268" t="str">
        <f>IF(D361="","",VLOOKUP(D361,契約台帳!$A$3:$K$4986,6,FALSE)&amp;VLOOKUP(D361,契約台帳!$A$3:$K$4986,7,FALSE)&amp;VLOOKUP(D361,契約台帳!$A$3:$K$4986,8,FALSE)&amp;VLOOKUP(D361,契約台帳!$A$3:$K$4986,9,FALSE)&amp;VLOOKUP(D361,契約台帳!$A$3:$K$4986,11,FALSE))</f>
        <v/>
      </c>
      <c r="G361" s="269" t="str">
        <f>IF(D361="","",VLOOKUP(F361,製品マスタ!$G$5:$H$5002,2,FALSE))</f>
        <v/>
      </c>
      <c r="H361" s="269" t="str">
        <f>IF(D361="","",VLOOKUP(F361,製品マスタ!$G$5:$K$5002,5,FALSE))</f>
        <v/>
      </c>
      <c r="I361" s="270" t="str">
        <f>IF(D361="","",VLOOKUP(F361,製品マスタ!$G$5:$L$5002,6,FALSE))</f>
        <v/>
      </c>
      <c r="J361" s="32"/>
      <c r="K361" s="270" t="str">
        <f>IF(D361="","",VLOOKUP(D361,契約台帳!$A$3:$L$4986,12,FALSE))</f>
        <v/>
      </c>
      <c r="L361" s="270" t="str">
        <f>IF(D361="","",INDEX(製品マスタ!$Q$5:$Q$5002,MATCH(F361&amp;K361,製品マスタ!$AO$5:$AO$5002,0)))</f>
        <v/>
      </c>
      <c r="M361" s="39"/>
      <c r="N361" s="39"/>
      <c r="O361" s="47"/>
      <c r="P361" s="57"/>
      <c r="Q361" s="276" t="str">
        <f>IF(D361="","",IF(J361="リード付け",M361,VLOOKUP(D361,契約台帳!$A$3:$N$4986,14,FALSE)))</f>
        <v/>
      </c>
      <c r="R361" s="277" t="str">
        <f>IF(D361="","",IF(J361="リード付け",M361,VLOOKUP(D361,契約台帳!$A$3:$O$4986,15,FALSE)))</f>
        <v/>
      </c>
      <c r="S361" s="277" t="str">
        <f>IF(D361="","",IF(J361="リード付け",N361,VLOOKUP(D361,契約台帳!$A$3:$P$4986,16,FALSE)))</f>
        <v/>
      </c>
      <c r="T361" s="40"/>
      <c r="U361" s="278" t="str">
        <f ca="1">IF(D361="","",IF(OFFSET(D361,-2,0)=D361,"",VLOOKUP(D361,契約台帳!$A$3:$R$4986,18,FALSE)))</f>
        <v/>
      </c>
      <c r="V361" s="269" t="str">
        <f>IF(J361="巻返し",VLOOKUP(F361&amp;K361&amp;M361,製品マスタ!$M$5:$AD$5002,18,FALSE),IF(J361="リード付け","原反コア",IF(J361="スリット",VLOOKUP(F361&amp;K361&amp;Q361,製品マスタ!$N$5:$AD$5002,17,FALSE),"")))</f>
        <v/>
      </c>
      <c r="W361" s="269" t="str">
        <f>IF(J361="巻返し",VLOOKUP(F361&amp;K361&amp;M361,製品マスタ!$M$5:$AE$5002,19,FALSE),IF(J361="リード付け","-",IF(J361="スリット",VLOOKUP(F361&amp;K361&amp;Q361,製品マスタ!$N$5:$AE$5002,18,FALSE),"")))</f>
        <v/>
      </c>
      <c r="X361" s="275" t="str">
        <f>IF(D361="","",VLOOKUP(D361,契約台帳!$A$3:$Q$4986,17,FALSE))</f>
        <v/>
      </c>
      <c r="Y361" s="269" t="str">
        <f>IF(D361="","",VLOOKUP(D361,契約台帳!$A$3:$E$4986,5,FALSE))</f>
        <v/>
      </c>
      <c r="Z361" s="57"/>
      <c r="AA361" s="207" t="str">
        <f>IFERROR(VLOOKUP(F361&amp;K361&amp;M361,製品マスタ!$M$5:$AM$5002,27,FALSE),"")</f>
        <v/>
      </c>
      <c r="AB361" s="33"/>
      <c r="AC361" s="189"/>
      <c r="AD361" s="54"/>
      <c r="AE361" s="55"/>
      <c r="AF361" s="43"/>
      <c r="AG361" s="47"/>
      <c r="AH361" s="30"/>
      <c r="AI361" s="30"/>
      <c r="AJ361" s="30"/>
      <c r="AK361" s="30"/>
      <c r="AL361" s="13"/>
      <c r="AM361" s="13"/>
      <c r="AN361" s="13"/>
      <c r="AO361" s="13"/>
      <c r="AP361" s="13"/>
      <c r="AQ361" s="14"/>
      <c r="AR361" s="15"/>
    </row>
    <row r="362" spans="1:44" s="17" customFormat="1" ht="30.95" hidden="1" customHeight="1" x14ac:dyDescent="0.2">
      <c r="A362" s="37"/>
      <c r="B362" s="38"/>
      <c r="C362" s="45"/>
      <c r="D362" s="31">
        <v>3708714</v>
      </c>
      <c r="E362" s="31">
        <v>4170108</v>
      </c>
      <c r="F362" s="268" t="str">
        <f>IF(D362="","",VLOOKUP(D362,契約台帳!$A$3:$K$4986,6,FALSE)&amp;VLOOKUP(D362,契約台帳!$A$3:$K$4986,7,FALSE)&amp;VLOOKUP(D362,契約台帳!$A$3:$K$4986,8,FALSE)&amp;VLOOKUP(D362,契約台帳!$A$3:$K$4986,9,FALSE)&amp;VLOOKUP(D362,契約台帳!$A$3:$K$4986,11,FALSE))</f>
        <v>3SNMLBMNNGKBF</v>
      </c>
      <c r="G362" s="269" t="str">
        <f>IF(D362="","",VLOOKUP(F362,製品マスタ!$G$5:$H$5002,2,FALSE))</f>
        <v>S</v>
      </c>
      <c r="H362" s="269" t="str">
        <f>IF(D362="","",VLOOKUP(F362,製品マスタ!$G$5:$K$5002,5,FALSE))</f>
        <v>MNNGKBF</v>
      </c>
      <c r="I362" s="270" t="str">
        <f>IF(D362="","",VLOOKUP(F362,製品マスタ!$G$5:$L$5002,6,FALSE))</f>
        <v>メタルミー　ニューネーマー銀消　Ｂ</v>
      </c>
      <c r="J362" s="32" t="s">
        <v>464</v>
      </c>
      <c r="K362" s="270">
        <f>IF(D362="","",VLOOKUP(D362,契約台帳!$A$3:$L$4986,12,FALSE))</f>
        <v>25</v>
      </c>
      <c r="L362" s="270" t="str">
        <f>IF(D362="","",INDEX(製品マスタ!$Q$5:$Q$5002,MATCH(F362&amp;K362,製品マスタ!$AO$5:$AO$5002,0)))</f>
        <v>X44C</v>
      </c>
      <c r="M362" s="39">
        <v>1005</v>
      </c>
      <c r="N362" s="39">
        <v>8000</v>
      </c>
      <c r="O362" s="47">
        <v>2</v>
      </c>
      <c r="P362" s="57">
        <v>45043</v>
      </c>
      <c r="Q362" s="276">
        <f>IF(D362="","",IF(J362="リード付け",M362,VLOOKUP(D362,契約台帳!$A$3:$N$4986,14,FALSE)))</f>
        <v>1005</v>
      </c>
      <c r="R362" s="277">
        <f>IF(D362="","",IF(J362="リード付け",M362,VLOOKUP(D362,契約台帳!$A$3:$O$4986,15,FALSE)))</f>
        <v>1005</v>
      </c>
      <c r="S362" s="277">
        <f>IF(D362="","",IF(J362="リード付け",N362,VLOOKUP(D362,契約台帳!$A$3:$P$4986,16,FALSE)))</f>
        <v>8000</v>
      </c>
      <c r="T362" s="40">
        <v>2</v>
      </c>
      <c r="U362" s="302">
        <f ca="1">IF(D362="","",IF(OFFSET(D362,-2,0)=D362,"",VLOOKUP(D362,契約台帳!$A$3:$R$4986,18,FALSE)))</f>
        <v>4</v>
      </c>
      <c r="V362" s="269" t="str">
        <f>IF(J362="巻返し",VLOOKUP(F362&amp;K362&amp;M362,製品マスタ!$M$5:$AD$5002,18,FALSE),IF(J362="リード付け","原反コア",IF(J362="スリット",VLOOKUP(F362&amp;K362&amp;Q362,製品マスタ!$N$5:$AD$5002,17,FALSE),"")))</f>
        <v>原反コア</v>
      </c>
      <c r="W362" s="269" t="str">
        <f>IF(J362="巻返し",VLOOKUP(F362&amp;K362&amp;M362,製品マスタ!$M$5:$AE$5002,19,FALSE),IF(J362="リード付け","-",IF(J362="スリット",VLOOKUP(F362&amp;K362&amp;Q362,製品マスタ!$N$5:$AE$5002,18,FALSE),"")))</f>
        <v>-</v>
      </c>
      <c r="X362" s="275">
        <f>IF(D362="","",VLOOKUP(D362,契約台帳!$A$3:$Q$4986,17,FALSE))</f>
        <v>2</v>
      </c>
      <c r="Y362" s="269" t="str">
        <f>IF(D362="","",VLOOKUP(D362,契約台帳!$A$3:$E$4986,5,FALSE))</f>
        <v>リンテック㈱</v>
      </c>
      <c r="Z362" s="57"/>
      <c r="AA362" s="303">
        <f>IFERROR(VLOOKUP(F362&amp;K362&amp;M362,製品マスタ!$M$5:$AM$5002,27,FALSE),"")</f>
        <v>0</v>
      </c>
      <c r="AB362" s="33"/>
      <c r="AC362" s="189"/>
      <c r="AD362" s="54"/>
      <c r="AE362" s="55"/>
      <c r="AF362" s="43"/>
      <c r="AG362" s="47"/>
      <c r="AH362" s="30"/>
      <c r="AI362" s="30"/>
      <c r="AJ362" s="30"/>
      <c r="AK362" s="30"/>
      <c r="AL362" s="13"/>
      <c r="AM362" s="13"/>
      <c r="AN362" s="13"/>
      <c r="AO362" s="13"/>
      <c r="AP362" s="13"/>
      <c r="AQ362" s="14"/>
      <c r="AR362" s="15"/>
    </row>
    <row r="363" spans="1:44" s="17" customFormat="1" ht="30.95" hidden="1" customHeight="1" x14ac:dyDescent="0.2">
      <c r="A363" s="37"/>
      <c r="B363" s="38"/>
      <c r="C363" s="45"/>
      <c r="D363" s="31"/>
      <c r="E363" s="31"/>
      <c r="F363" s="268"/>
      <c r="G363" s="269"/>
      <c r="H363" s="269"/>
      <c r="I363" s="270"/>
      <c r="J363" s="32"/>
      <c r="K363" s="270"/>
      <c r="L363" s="270"/>
      <c r="M363" s="39"/>
      <c r="N363" s="39"/>
      <c r="O363" s="47"/>
      <c r="P363" s="57"/>
      <c r="Q363" s="276"/>
      <c r="R363" s="277"/>
      <c r="S363" s="277"/>
      <c r="T363" s="40"/>
      <c r="U363" s="278"/>
      <c r="V363" s="269"/>
      <c r="W363" s="269"/>
      <c r="X363" s="275"/>
      <c r="Y363" s="269"/>
      <c r="Z363" s="57"/>
      <c r="AA363" s="207"/>
      <c r="AB363" s="33"/>
      <c r="AC363" s="189"/>
      <c r="AD363" s="54"/>
      <c r="AE363" s="55"/>
      <c r="AF363" s="43"/>
      <c r="AG363" s="47"/>
      <c r="AH363" s="30"/>
      <c r="AI363" s="30"/>
      <c r="AJ363" s="30"/>
      <c r="AK363" s="30"/>
      <c r="AL363" s="13"/>
      <c r="AM363" s="13"/>
      <c r="AN363" s="13"/>
      <c r="AO363" s="13"/>
      <c r="AP363" s="13"/>
      <c r="AQ363" s="14"/>
      <c r="AR363" s="15"/>
    </row>
    <row r="364" spans="1:44" s="17" customFormat="1" ht="30.95" hidden="1" customHeight="1" x14ac:dyDescent="0.2">
      <c r="A364" s="37" t="s">
        <v>1070</v>
      </c>
      <c r="B364" s="38" t="s">
        <v>1054</v>
      </c>
      <c r="C364" s="45"/>
      <c r="D364" s="31"/>
      <c r="E364" s="31"/>
      <c r="F364" s="268" t="str">
        <f>IF(D364="","",VLOOKUP(D364,契約台帳!$A$3:$K$4986,6,FALSE)&amp;VLOOKUP(D364,契約台帳!$A$3:$K$4986,7,FALSE)&amp;VLOOKUP(D364,契約台帳!$A$3:$K$4986,8,FALSE)&amp;VLOOKUP(D364,契約台帳!$A$3:$K$4986,9,FALSE)&amp;VLOOKUP(D364,契約台帳!$A$3:$K$4986,11,FALSE))</f>
        <v/>
      </c>
      <c r="G364" s="269" t="str">
        <f>IF(D364="","",VLOOKUP(F364,製品マスタ!$G$5:$H$5002,2,FALSE))</f>
        <v/>
      </c>
      <c r="H364" s="269" t="str">
        <f>IF(D364="","",VLOOKUP(F364,製品マスタ!$G$5:$K$5002,5,FALSE))</f>
        <v/>
      </c>
      <c r="I364" s="270" t="str">
        <f>IF(D364="","",VLOOKUP(F364,製品マスタ!$G$5:$L$5002,6,FALSE))</f>
        <v/>
      </c>
      <c r="J364" s="32" t="s">
        <v>448</v>
      </c>
      <c r="K364" s="270" t="str">
        <f>IF(D364="","",VLOOKUP(D364,契約台帳!$A$3:$L$4986,12,FALSE))</f>
        <v/>
      </c>
      <c r="L364" s="270" t="str">
        <f>IF(D364="","",INDEX(製品マスタ!$Q$5:$Q$5002,MATCH(F364&amp;K364,製品マスタ!$AO$5:$AO$5002,0)))</f>
        <v/>
      </c>
      <c r="M364" s="39"/>
      <c r="N364" s="39"/>
      <c r="O364" s="47"/>
      <c r="P364" s="57"/>
      <c r="Q364" s="276" t="str">
        <f>IF(D364="","",IF(J364="リード付け",M364,VLOOKUP(D364,契約台帳!$A$3:$N$4986,14,FALSE)))</f>
        <v/>
      </c>
      <c r="R364" s="277" t="str">
        <f>IF(D364="","",IF(J364="リード付け",M364,VLOOKUP(D364,契約台帳!$A$3:$O$4986,15,FALSE)))</f>
        <v/>
      </c>
      <c r="S364" s="277" t="str">
        <f>IF(D364="","",IF(J364="リード付け",N364,VLOOKUP(D364,契約台帳!$A$3:$P$4986,16,FALSE)))</f>
        <v/>
      </c>
      <c r="T364" s="40"/>
      <c r="U364" s="278" t="str">
        <f ca="1">IF(D364="","",IF(OFFSET(D364,-2,0)=D364,"",VLOOKUP(D364,契約台帳!$A$3:$R$4986,18,FALSE)))</f>
        <v/>
      </c>
      <c r="V364" s="269" t="str">
        <f>IF(J364="巻返し",VLOOKUP(F364&amp;K364&amp;M364,製品マスタ!$M$5:$AD$5002,18,FALSE),IF(J364="リード付け","原反コア",IF(J364="スリット",VLOOKUP(F364&amp;K364&amp;Q364,製品マスタ!$N$5:$AD$5002,17,FALSE),"")))</f>
        <v/>
      </c>
      <c r="W364" s="269" t="str">
        <f>IF(J364="巻返し",VLOOKUP(F364&amp;K364&amp;M364,製品マスタ!$M$5:$AE$5002,19,FALSE),IF(J364="リード付け","-",IF(J364="スリット",VLOOKUP(F364&amp;K364&amp;Q364,製品マスタ!$N$5:$AE$5002,18,FALSE),"")))</f>
        <v/>
      </c>
      <c r="X364" s="275" t="str">
        <f>IF(D364="","",VLOOKUP(D364,契約台帳!$A$3:$Q$4986,17,FALSE))</f>
        <v/>
      </c>
      <c r="Y364" s="269" t="str">
        <f>IF(D364="","",VLOOKUP(D364,契約台帳!$A$3:$E$4986,5,FALSE))</f>
        <v/>
      </c>
      <c r="Z364" s="57"/>
      <c r="AA364" s="207" t="str">
        <f>IFERROR(VLOOKUP(F364&amp;K364&amp;M364,製品マスタ!$M$5:$AM$5002,27,FALSE),"")</f>
        <v/>
      </c>
      <c r="AB364" s="33"/>
      <c r="AC364" s="189"/>
      <c r="AD364" s="54"/>
      <c r="AE364" s="55"/>
      <c r="AF364" s="43"/>
      <c r="AG364" s="47"/>
      <c r="AH364" s="30"/>
      <c r="AI364" s="30"/>
      <c r="AJ364" s="30"/>
      <c r="AK364" s="30"/>
      <c r="AL364" s="13"/>
      <c r="AM364" s="13"/>
      <c r="AN364" s="13"/>
      <c r="AO364" s="13"/>
      <c r="AP364" s="13"/>
      <c r="AQ364" s="14"/>
      <c r="AR364" s="15"/>
    </row>
    <row r="365" spans="1:44" s="17" customFormat="1" ht="30.95" hidden="1" customHeight="1" x14ac:dyDescent="0.2">
      <c r="A365" s="37"/>
      <c r="B365" s="38"/>
      <c r="C365" s="45"/>
      <c r="D365" s="31"/>
      <c r="E365" s="31"/>
      <c r="F365" s="268" t="str">
        <f>IF(D365="","",VLOOKUP(D365,契約台帳!$A$3:$K$4986,6,FALSE)&amp;VLOOKUP(D365,契約台帳!$A$3:$K$4986,7,FALSE)&amp;VLOOKUP(D365,契約台帳!$A$3:$K$4986,8,FALSE)&amp;VLOOKUP(D365,契約台帳!$A$3:$K$4986,9,FALSE)&amp;VLOOKUP(D365,契約台帳!$A$3:$K$4986,11,FALSE))</f>
        <v/>
      </c>
      <c r="G365" s="269" t="str">
        <f>IF(D365="","",VLOOKUP(F365,製品マスタ!$G$5:$H$5002,2,FALSE))</f>
        <v/>
      </c>
      <c r="H365" s="269" t="str">
        <f>IF(D365="","",VLOOKUP(F365,製品マスタ!$G$5:$K$5002,5,FALSE))</f>
        <v/>
      </c>
      <c r="I365" s="270" t="str">
        <f>IF(D365="","",VLOOKUP(F365,製品マスタ!$G$5:$L$5002,6,FALSE))</f>
        <v/>
      </c>
      <c r="J365" s="32"/>
      <c r="K365" s="270" t="str">
        <f>IF(D365="","",VLOOKUP(D365,契約台帳!$A$3:$L$4986,12,FALSE))</f>
        <v/>
      </c>
      <c r="L365" s="270" t="str">
        <f>IF(D365="","",INDEX(製品マスタ!$Q$5:$Q$5002,MATCH(F365&amp;K365,製品マスタ!$AO$5:$AO$5002,0)))</f>
        <v/>
      </c>
      <c r="M365" s="39"/>
      <c r="N365" s="39"/>
      <c r="O365" s="47"/>
      <c r="P365" s="57"/>
      <c r="Q365" s="276" t="str">
        <f>IF(D365="","",IF(J365="リード付け",M365,VLOOKUP(D365,契約台帳!$A$3:$N$4986,14,FALSE)))</f>
        <v/>
      </c>
      <c r="R365" s="277" t="str">
        <f>IF(D365="","",IF(J365="リード付け",M365,VLOOKUP(D365,契約台帳!$A$3:$O$4986,15,FALSE)))</f>
        <v/>
      </c>
      <c r="S365" s="277" t="str">
        <f>IF(D365="","",IF(J365="リード付け",N365,VLOOKUP(D365,契約台帳!$A$3:$P$4986,16,FALSE)))</f>
        <v/>
      </c>
      <c r="T365" s="40"/>
      <c r="U365" s="278" t="str">
        <f ca="1">IF(D365="","",IF(OFFSET(D365,-2,0)=D365,"",VLOOKUP(D365,契約台帳!$A$3:$R$4986,18,FALSE)))</f>
        <v/>
      </c>
      <c r="V365" s="269" t="str">
        <f>IF(J365="巻返し",VLOOKUP(F365&amp;K365&amp;M365,製品マスタ!$M$5:$AD$5002,18,FALSE),IF(J365="リード付け","原反コア",IF(J365="スリット",VLOOKUP(F365&amp;K365&amp;Q365,製品マスタ!$N$5:$AD$5002,17,FALSE),"")))</f>
        <v/>
      </c>
      <c r="W365" s="269" t="str">
        <f>IF(J365="巻返し",VLOOKUP(F365&amp;K365&amp;M365,製品マスタ!$M$5:$AE$5002,19,FALSE),IF(J365="リード付け","-",IF(J365="スリット",VLOOKUP(F365&amp;K365&amp;Q365,製品マスタ!$N$5:$AE$5002,18,FALSE),"")))</f>
        <v/>
      </c>
      <c r="X365" s="275" t="str">
        <f>IF(D365="","",VLOOKUP(D365,契約台帳!$A$3:$Q$4986,17,FALSE))</f>
        <v/>
      </c>
      <c r="Y365" s="269" t="str">
        <f>IF(D365="","",VLOOKUP(D365,契約台帳!$A$3:$E$4986,5,FALSE))</f>
        <v/>
      </c>
      <c r="Z365" s="57"/>
      <c r="AA365" s="207" t="str">
        <f>IFERROR(VLOOKUP(F365&amp;K365&amp;M365,製品マスタ!$M$5:$AM$5002,27,FALSE),"")</f>
        <v/>
      </c>
      <c r="AB365" s="33"/>
      <c r="AC365" s="189"/>
      <c r="AD365" s="54"/>
      <c r="AE365" s="55"/>
      <c r="AF365" s="43"/>
      <c r="AG365" s="47"/>
      <c r="AH365" s="30"/>
      <c r="AI365" s="30"/>
      <c r="AJ365" s="30"/>
      <c r="AK365" s="30"/>
      <c r="AL365" s="13"/>
      <c r="AM365" s="13"/>
      <c r="AN365" s="13"/>
      <c r="AO365" s="13"/>
      <c r="AP365" s="13"/>
      <c r="AQ365" s="14"/>
      <c r="AR365" s="15"/>
    </row>
    <row r="366" spans="1:44" s="17" customFormat="1" ht="30.95" hidden="1" customHeight="1" x14ac:dyDescent="0.2">
      <c r="A366" s="37" t="s">
        <v>1071</v>
      </c>
      <c r="B366" s="38" t="s">
        <v>1055</v>
      </c>
      <c r="C366" s="45"/>
      <c r="D366" s="31"/>
      <c r="E366" s="31"/>
      <c r="F366" s="268" t="str">
        <f>IF(D366="","",VLOOKUP(D366,契約台帳!$A$3:$K$4986,6,FALSE)&amp;VLOOKUP(D366,契約台帳!$A$3:$K$4986,7,FALSE)&amp;VLOOKUP(D366,契約台帳!$A$3:$K$4986,8,FALSE)&amp;VLOOKUP(D366,契約台帳!$A$3:$K$4986,9,FALSE)&amp;VLOOKUP(D366,契約台帳!$A$3:$K$4986,11,FALSE))</f>
        <v/>
      </c>
      <c r="G366" s="269" t="str">
        <f>IF(D366="","",VLOOKUP(F366,製品マスタ!$G$5:$H$5002,2,FALSE))</f>
        <v/>
      </c>
      <c r="H366" s="269" t="str">
        <f>IF(D366="","",VLOOKUP(F366,製品マスタ!$G$5:$K$5002,5,FALSE))</f>
        <v/>
      </c>
      <c r="I366" s="270" t="str">
        <f>IF(D366="","",VLOOKUP(F366,製品マスタ!$G$5:$L$5002,6,FALSE))</f>
        <v/>
      </c>
      <c r="J366" s="32" t="s">
        <v>448</v>
      </c>
      <c r="K366" s="270" t="str">
        <f>IF(D366="","",VLOOKUP(D366,契約台帳!$A$3:$L$4986,12,FALSE))</f>
        <v/>
      </c>
      <c r="L366" s="270" t="str">
        <f>IF(D366="","",INDEX(製品マスタ!$Q$5:$Q$5002,MATCH(F366&amp;K366,製品マスタ!$AO$5:$AO$5002,0)))</f>
        <v/>
      </c>
      <c r="M366" s="39"/>
      <c r="N366" s="39"/>
      <c r="O366" s="47"/>
      <c r="P366" s="57"/>
      <c r="Q366" s="276" t="str">
        <f>IF(D366="","",IF(J366="リード付け",M366,VLOOKUP(D366,契約台帳!$A$3:$N$4986,14,FALSE)))</f>
        <v/>
      </c>
      <c r="R366" s="277" t="str">
        <f>IF(D366="","",IF(J366="リード付け",M366,VLOOKUP(D366,契約台帳!$A$3:$O$4986,15,FALSE)))</f>
        <v/>
      </c>
      <c r="S366" s="277" t="str">
        <f>IF(D366="","",IF(J366="リード付け",N366,VLOOKUP(D366,契約台帳!$A$3:$P$4986,16,FALSE)))</f>
        <v/>
      </c>
      <c r="T366" s="40"/>
      <c r="U366" s="278" t="str">
        <f ca="1">IF(D366="","",IF(OFFSET(D366,-2,0)=D366,"",VLOOKUP(D366,契約台帳!$A$3:$R$4986,18,FALSE)))</f>
        <v/>
      </c>
      <c r="V366" s="269" t="str">
        <f>IF(J366="巻返し",VLOOKUP(F366&amp;K366&amp;M366,製品マスタ!$M$5:$AD$5002,18,FALSE),IF(J366="リード付け","原反コア",IF(J366="スリット",VLOOKUP(F366&amp;K366&amp;Q366,製品マスタ!$N$5:$AD$5002,17,FALSE),"")))</f>
        <v/>
      </c>
      <c r="W366" s="269" t="str">
        <f>IF(J366="巻返し",VLOOKUP(F366&amp;K366&amp;M366,製品マスタ!$M$5:$AE$5002,19,FALSE),IF(J366="リード付け","-",IF(J366="スリット",VLOOKUP(F366&amp;K366&amp;Q366,製品マスタ!$N$5:$AE$5002,18,FALSE),"")))</f>
        <v/>
      </c>
      <c r="X366" s="275" t="str">
        <f>IF(D366="","",VLOOKUP(D366,契約台帳!$A$3:$Q$4986,17,FALSE))</f>
        <v/>
      </c>
      <c r="Y366" s="269" t="str">
        <f>IF(D366="","",VLOOKUP(D366,契約台帳!$A$3:$E$4986,5,FALSE))</f>
        <v/>
      </c>
      <c r="Z366" s="57"/>
      <c r="AA366" s="207" t="str">
        <f>IFERROR(VLOOKUP(F366&amp;K366&amp;M366,製品マスタ!$M$5:$AM$5002,27,FALSE),"")</f>
        <v/>
      </c>
      <c r="AB366" s="33"/>
      <c r="AC366" s="189"/>
      <c r="AD366" s="54"/>
      <c r="AE366" s="55"/>
      <c r="AF366" s="43"/>
      <c r="AG366" s="47"/>
      <c r="AH366" s="30"/>
      <c r="AI366" s="30"/>
      <c r="AJ366" s="30"/>
      <c r="AK366" s="30"/>
      <c r="AL366" s="13"/>
      <c r="AM366" s="13"/>
      <c r="AN366" s="13"/>
      <c r="AO366" s="13"/>
      <c r="AP366" s="13"/>
      <c r="AQ366" s="14"/>
      <c r="AR366" s="15"/>
    </row>
    <row r="367" spans="1:44" s="17" customFormat="1" ht="30.95" hidden="1" customHeight="1" x14ac:dyDescent="0.2">
      <c r="A367" s="37"/>
      <c r="B367" s="38"/>
      <c r="C367" s="45"/>
      <c r="D367" s="31"/>
      <c r="E367" s="31"/>
      <c r="F367" s="268" t="str">
        <f>IF(D367="","",VLOOKUP(D367,契約台帳!$A$3:$K$4986,6,FALSE)&amp;VLOOKUP(D367,契約台帳!$A$3:$K$4986,7,FALSE)&amp;VLOOKUP(D367,契約台帳!$A$3:$K$4986,8,FALSE)&amp;VLOOKUP(D367,契約台帳!$A$3:$K$4986,9,FALSE)&amp;VLOOKUP(D367,契約台帳!$A$3:$K$4986,11,FALSE))</f>
        <v/>
      </c>
      <c r="G367" s="269" t="str">
        <f>IF(D367="","",VLOOKUP(F367,製品マスタ!$G$5:$H$5002,2,FALSE))</f>
        <v/>
      </c>
      <c r="H367" s="269" t="str">
        <f>IF(D367="","",VLOOKUP(F367,製品マスタ!$G$5:$K$5002,5,FALSE))</f>
        <v/>
      </c>
      <c r="I367" s="270" t="str">
        <f>IF(D367="","",VLOOKUP(F367,製品マスタ!$G$5:$L$5002,6,FALSE))</f>
        <v/>
      </c>
      <c r="J367" s="32"/>
      <c r="K367" s="270" t="str">
        <f>IF(D367="","",VLOOKUP(D367,契約台帳!$A$3:$L$4986,12,FALSE))</f>
        <v/>
      </c>
      <c r="L367" s="270" t="str">
        <f>IF(D367="","",INDEX(製品マスタ!$Q$5:$Q$5002,MATCH(F367&amp;K367,製品マスタ!$AO$5:$AO$5002,0)))</f>
        <v/>
      </c>
      <c r="M367" s="39"/>
      <c r="N367" s="39"/>
      <c r="O367" s="47"/>
      <c r="P367" s="57"/>
      <c r="Q367" s="276" t="str">
        <f>IF(D367="","",IF(J367="リード付け",M367,VLOOKUP(D367,契約台帳!$A$3:$N$4986,14,FALSE)))</f>
        <v/>
      </c>
      <c r="R367" s="277" t="str">
        <f>IF(D367="","",IF(J367="リード付け",M367,VLOOKUP(D367,契約台帳!$A$3:$O$4986,15,FALSE)))</f>
        <v/>
      </c>
      <c r="S367" s="277" t="str">
        <f>IF(D367="","",IF(J367="リード付け",N367,VLOOKUP(D367,契約台帳!$A$3:$P$4986,16,FALSE)))</f>
        <v/>
      </c>
      <c r="T367" s="40"/>
      <c r="U367" s="278" t="str">
        <f ca="1">IF(D367="","",IF(OFFSET(D367,-2,0)=D367,"",VLOOKUP(D367,契約台帳!$A$3:$R$4986,18,FALSE)))</f>
        <v/>
      </c>
      <c r="V367" s="269" t="str">
        <f>IF(J367="巻返し",VLOOKUP(F367&amp;K367&amp;M367,製品マスタ!$M$5:$AD$5002,18,FALSE),IF(J367="リード付け","原反コア",IF(J367="スリット",VLOOKUP(F367&amp;K367&amp;Q367,製品マスタ!$N$5:$AD$5002,17,FALSE),"")))</f>
        <v/>
      </c>
      <c r="W367" s="269" t="str">
        <f>IF(J367="巻返し",VLOOKUP(F367&amp;K367&amp;M367,製品マスタ!$M$5:$AE$5002,19,FALSE),IF(J367="リード付け","-",IF(J367="スリット",VLOOKUP(F367&amp;K367&amp;Q367,製品マスタ!$N$5:$AE$5002,18,FALSE),"")))</f>
        <v/>
      </c>
      <c r="X367" s="275" t="str">
        <f>IF(D367="","",VLOOKUP(D367,契約台帳!$A$3:$Q$4986,17,FALSE))</f>
        <v/>
      </c>
      <c r="Y367" s="269" t="str">
        <f>IF(D367="","",VLOOKUP(D367,契約台帳!$A$3:$E$4986,5,FALSE))</f>
        <v/>
      </c>
      <c r="Z367" s="57"/>
      <c r="AA367" s="207" t="str">
        <f>IFERROR(VLOOKUP(F367&amp;K367&amp;M367,製品マスタ!$M$5:$AM$5002,27,FALSE),"")</f>
        <v/>
      </c>
      <c r="AB367" s="33"/>
      <c r="AC367" s="189"/>
      <c r="AD367" s="54"/>
      <c r="AE367" s="55"/>
      <c r="AF367" s="43"/>
      <c r="AG367" s="47"/>
      <c r="AH367" s="30"/>
      <c r="AI367" s="30"/>
      <c r="AJ367" s="30"/>
      <c r="AK367" s="30"/>
      <c r="AL367" s="13"/>
      <c r="AM367" s="13"/>
      <c r="AN367" s="13"/>
      <c r="AO367" s="13"/>
      <c r="AP367" s="13"/>
      <c r="AQ367" s="14"/>
      <c r="AR367" s="15"/>
    </row>
    <row r="368" spans="1:44" s="17" customFormat="1" ht="30.95" hidden="1" customHeight="1" x14ac:dyDescent="0.2">
      <c r="A368" s="37" t="s">
        <v>1108</v>
      </c>
      <c r="B368" s="38" t="s">
        <v>1109</v>
      </c>
      <c r="C368" s="45"/>
      <c r="D368" s="31"/>
      <c r="E368" s="31"/>
      <c r="F368" s="268" t="str">
        <f>IF(D368="","",VLOOKUP(D368,契約台帳!$A$3:$K$4986,6,FALSE)&amp;VLOOKUP(D368,契約台帳!$A$3:$K$4986,7,FALSE)&amp;VLOOKUP(D368,契約台帳!$A$3:$K$4986,8,FALSE)&amp;VLOOKUP(D368,契約台帳!$A$3:$K$4986,9,FALSE)&amp;VLOOKUP(D368,契約台帳!$A$3:$K$4986,11,FALSE))</f>
        <v/>
      </c>
      <c r="G368" s="269" t="str">
        <f>IF(D368="","",VLOOKUP(F368,製品マスタ!$G$5:$H$5002,2,FALSE))</f>
        <v/>
      </c>
      <c r="H368" s="269" t="str">
        <f>IF(D368="","",VLOOKUP(F368,製品マスタ!$G$5:$K$5002,5,FALSE))</f>
        <v/>
      </c>
      <c r="I368" s="270" t="str">
        <f>IF(D368="","",VLOOKUP(F368,製品マスタ!$G$5:$L$5002,6,FALSE))</f>
        <v/>
      </c>
      <c r="J368" s="32"/>
      <c r="K368" s="270" t="str">
        <f>IF(D368="","",VLOOKUP(D368,契約台帳!$A$3:$L$4986,12,FALSE))</f>
        <v/>
      </c>
      <c r="L368" s="270" t="str">
        <f>IF(D368="","",INDEX(製品マスタ!$Q$5:$Q$5002,MATCH(F368&amp;K368,製品マスタ!$AO$5:$AO$5002,0)))</f>
        <v/>
      </c>
      <c r="M368" s="39"/>
      <c r="N368" s="39"/>
      <c r="O368" s="47"/>
      <c r="P368" s="57"/>
      <c r="Q368" s="276" t="str">
        <f>IF(D368="","",IF(J368="リード付け",M368,VLOOKUP(D368,契約台帳!$A$3:$N$4986,14,FALSE)))</f>
        <v/>
      </c>
      <c r="R368" s="277" t="str">
        <f>IF(D368="","",IF(J368="リード付け",M368,VLOOKUP(D368,契約台帳!$A$3:$O$4986,15,FALSE)))</f>
        <v/>
      </c>
      <c r="S368" s="277" t="str">
        <f>IF(D368="","",IF(J368="リード付け",N368,VLOOKUP(D368,契約台帳!$A$3:$P$4986,16,FALSE)))</f>
        <v/>
      </c>
      <c r="T368" s="40"/>
      <c r="U368" s="278" t="str">
        <f ca="1">IF(D368="","",IF(OFFSET(D368,-2,0)=D368,"",VLOOKUP(D368,契約台帳!$A$3:$R$4986,18,FALSE)))</f>
        <v/>
      </c>
      <c r="V368" s="269" t="str">
        <f>IF(J368="巻返し",VLOOKUP(F368&amp;K368&amp;M368,製品マスタ!$M$5:$AD$5002,18,FALSE),IF(J368="リード付け","原反コア",IF(J368="スリット",VLOOKUP(F368&amp;K368&amp;Q368,製品マスタ!$N$5:$AD$5002,17,FALSE),"")))</f>
        <v/>
      </c>
      <c r="W368" s="269" t="str">
        <f>IF(J368="巻返し",VLOOKUP(F368&amp;K368&amp;M368,製品マスタ!$M$5:$AE$5002,19,FALSE),IF(J368="リード付け","-",IF(J368="スリット",VLOOKUP(F368&amp;K368&amp;Q368,製品マスタ!$N$5:$AE$5002,18,FALSE),"")))</f>
        <v/>
      </c>
      <c r="X368" s="275" t="str">
        <f>IF(D368="","",VLOOKUP(D368,契約台帳!$A$3:$Q$4986,17,FALSE))</f>
        <v/>
      </c>
      <c r="Y368" s="269" t="str">
        <f>IF(D368="","",VLOOKUP(D368,契約台帳!$A$3:$E$4986,5,FALSE))</f>
        <v/>
      </c>
      <c r="Z368" s="57"/>
      <c r="AA368" s="207" t="str">
        <f>IFERROR(VLOOKUP(F368&amp;K368&amp;M368,製品マスタ!$M$5:$AM$5002,27,FALSE),"")</f>
        <v/>
      </c>
      <c r="AB368" s="33"/>
      <c r="AC368" s="189"/>
      <c r="AD368" s="54"/>
      <c r="AE368" s="55"/>
      <c r="AF368" s="43"/>
      <c r="AG368" s="47"/>
      <c r="AH368" s="30"/>
      <c r="AI368" s="30"/>
      <c r="AJ368" s="30"/>
      <c r="AK368" s="30"/>
      <c r="AL368" s="13"/>
      <c r="AM368" s="13"/>
      <c r="AN368" s="13"/>
      <c r="AO368" s="13"/>
      <c r="AP368" s="13"/>
      <c r="AQ368" s="14"/>
      <c r="AR368" s="15"/>
    </row>
    <row r="369" spans="1:44" s="17" customFormat="1" ht="30.95" hidden="1" customHeight="1" x14ac:dyDescent="0.2">
      <c r="A369" s="37"/>
      <c r="B369" s="38"/>
      <c r="C369" s="45"/>
      <c r="D369" s="31"/>
      <c r="E369" s="31"/>
      <c r="F369" s="268" t="str">
        <f>IF(D369="","",VLOOKUP(D369,契約台帳!$A$3:$K$4986,6,FALSE)&amp;VLOOKUP(D369,契約台帳!$A$3:$K$4986,7,FALSE)&amp;VLOOKUP(D369,契約台帳!$A$3:$K$4986,8,FALSE)&amp;VLOOKUP(D369,契約台帳!$A$3:$K$4986,9,FALSE)&amp;VLOOKUP(D369,契約台帳!$A$3:$K$4986,11,FALSE))</f>
        <v/>
      </c>
      <c r="G369" s="269" t="str">
        <f>IF(D369="","",VLOOKUP(F369,製品マスタ!$G$5:$H$5002,2,FALSE))</f>
        <v/>
      </c>
      <c r="H369" s="269" t="str">
        <f>IF(D369="","",VLOOKUP(F369,製品マスタ!$G$5:$K$5002,5,FALSE))</f>
        <v/>
      </c>
      <c r="I369" s="270" t="str">
        <f>IF(D369="","",VLOOKUP(F369,製品マスタ!$G$5:$L$5002,6,FALSE))</f>
        <v/>
      </c>
      <c r="J369" s="32"/>
      <c r="K369" s="270" t="str">
        <f>IF(D369="","",VLOOKUP(D369,契約台帳!$A$3:$L$4986,12,FALSE))</f>
        <v/>
      </c>
      <c r="L369" s="270" t="str">
        <f>IF(D369="","",INDEX(製品マスタ!$Q$5:$Q$5002,MATCH(F369&amp;K369,製品マスタ!$AO$5:$AO$5002,0)))</f>
        <v/>
      </c>
      <c r="M369" s="39"/>
      <c r="N369" s="39"/>
      <c r="O369" s="47"/>
      <c r="P369" s="57"/>
      <c r="Q369" s="276" t="str">
        <f>IF(D369="","",IF(J369="リード付け",M369,VLOOKUP(D369,契約台帳!$A$3:$N$4986,14,FALSE)))</f>
        <v/>
      </c>
      <c r="R369" s="277" t="str">
        <f>IF(D369="","",IF(J369="リード付け",M369,VLOOKUP(D369,契約台帳!$A$3:$O$4986,15,FALSE)))</f>
        <v/>
      </c>
      <c r="S369" s="277" t="str">
        <f>IF(D369="","",IF(J369="リード付け",N369,VLOOKUP(D369,契約台帳!$A$3:$P$4986,16,FALSE)))</f>
        <v/>
      </c>
      <c r="T369" s="40"/>
      <c r="U369" s="278" t="str">
        <f ca="1">IF(D369="","",IF(OFFSET(D369,-2,0)=D369,"",VLOOKUP(D369,契約台帳!$A$3:$R$4986,18,FALSE)))</f>
        <v/>
      </c>
      <c r="V369" s="269" t="str">
        <f>IF(J369="巻返し",VLOOKUP(F369&amp;K369&amp;M369,製品マスタ!$M$5:$AD$5002,18,FALSE),IF(J369="リード付け","原反コア",IF(J369="スリット",VLOOKUP(F369&amp;K369&amp;Q369,製品マスタ!$N$5:$AD$5002,17,FALSE),"")))</f>
        <v/>
      </c>
      <c r="W369" s="269" t="str">
        <f>IF(J369="巻返し",VLOOKUP(F369&amp;K369&amp;M369,製品マスタ!$M$5:$AE$5002,19,FALSE),IF(J369="リード付け","-",IF(J369="スリット",VLOOKUP(F369&amp;K369&amp;Q369,製品マスタ!$N$5:$AE$5002,18,FALSE),"")))</f>
        <v/>
      </c>
      <c r="X369" s="275" t="str">
        <f>IF(D369="","",VLOOKUP(D369,契約台帳!$A$3:$Q$4986,17,FALSE))</f>
        <v/>
      </c>
      <c r="Y369" s="269" t="str">
        <f>IF(D369="","",VLOOKUP(D369,契約台帳!$A$3:$E$4986,5,FALSE))</f>
        <v/>
      </c>
      <c r="Z369" s="57"/>
      <c r="AA369" s="207" t="str">
        <f>IFERROR(VLOOKUP(F369&amp;K369&amp;M369,製品マスタ!$M$5:$AM$5002,27,FALSE),"")</f>
        <v/>
      </c>
      <c r="AB369" s="33"/>
      <c r="AC369" s="189"/>
      <c r="AD369" s="54"/>
      <c r="AE369" s="55"/>
      <c r="AF369" s="43"/>
      <c r="AG369" s="47"/>
      <c r="AH369" s="30"/>
      <c r="AI369" s="30"/>
      <c r="AJ369" s="30"/>
      <c r="AK369" s="30"/>
      <c r="AL369" s="13"/>
      <c r="AM369" s="13"/>
      <c r="AN369" s="13"/>
      <c r="AO369" s="13"/>
      <c r="AP369" s="13"/>
      <c r="AQ369" s="14"/>
      <c r="AR369" s="15"/>
    </row>
    <row r="370" spans="1:44" s="17" customFormat="1" ht="30.95" hidden="1" customHeight="1" x14ac:dyDescent="0.2">
      <c r="A370" s="37" t="s">
        <v>1110</v>
      </c>
      <c r="B370" s="38" t="s">
        <v>1111</v>
      </c>
      <c r="C370" s="45"/>
      <c r="D370" s="31"/>
      <c r="E370" s="31"/>
      <c r="F370" s="268" t="str">
        <f>IF(D370="","",VLOOKUP(D370,契約台帳!$A$3:$K$4986,6,FALSE)&amp;VLOOKUP(D370,契約台帳!$A$3:$K$4986,7,FALSE)&amp;VLOOKUP(D370,契約台帳!$A$3:$K$4986,8,FALSE)&amp;VLOOKUP(D370,契約台帳!$A$3:$K$4986,9,FALSE)&amp;VLOOKUP(D370,契約台帳!$A$3:$K$4986,11,FALSE))</f>
        <v/>
      </c>
      <c r="G370" s="269" t="str">
        <f>IF(D370="","",VLOOKUP(F370,製品マスタ!$G$5:$H$5002,2,FALSE))</f>
        <v/>
      </c>
      <c r="H370" s="269" t="str">
        <f>IF(D370="","",VLOOKUP(F370,製品マスタ!$G$5:$K$5002,5,FALSE))</f>
        <v/>
      </c>
      <c r="I370" s="270" t="str">
        <f>IF(D370="","",VLOOKUP(F370,製品マスタ!$G$5:$L$5002,6,FALSE))</f>
        <v/>
      </c>
      <c r="J370" s="32"/>
      <c r="K370" s="270" t="str">
        <f>IF(D370="","",VLOOKUP(D370,契約台帳!$A$3:$L$4986,12,FALSE))</f>
        <v/>
      </c>
      <c r="L370" s="270" t="str">
        <f>IF(D370="","",INDEX(製品マスタ!$Q$5:$Q$5002,MATCH(F370&amp;K370,製品マスタ!$AO$5:$AO$5002,0)))</f>
        <v/>
      </c>
      <c r="M370" s="39"/>
      <c r="N370" s="39"/>
      <c r="O370" s="47"/>
      <c r="P370" s="57"/>
      <c r="Q370" s="276" t="str">
        <f>IF(D370="","",IF(J370="リード付け",M370,VLOOKUP(D370,契約台帳!$A$3:$N$4986,14,FALSE)))</f>
        <v/>
      </c>
      <c r="R370" s="277" t="str">
        <f>IF(D370="","",IF(J370="リード付け",M370,VLOOKUP(D370,契約台帳!$A$3:$O$4986,15,FALSE)))</f>
        <v/>
      </c>
      <c r="S370" s="277" t="str">
        <f>IF(D370="","",IF(J370="リード付け",N370,VLOOKUP(D370,契約台帳!$A$3:$P$4986,16,FALSE)))</f>
        <v/>
      </c>
      <c r="T370" s="40"/>
      <c r="U370" s="278" t="str">
        <f ca="1">IF(D370="","",IF(OFFSET(D370,-2,0)=D370,"",VLOOKUP(D370,契約台帳!$A$3:$R$4986,18,FALSE)))</f>
        <v/>
      </c>
      <c r="V370" s="269" t="str">
        <f>IF(J370="巻返し",VLOOKUP(F370&amp;K370&amp;M370,製品マスタ!$M$5:$AD$5002,18,FALSE),IF(J370="リード付け","原反コア",IF(J370="スリット",VLOOKUP(F370&amp;K370&amp;Q370,製品マスタ!$N$5:$AD$5002,17,FALSE),"")))</f>
        <v/>
      </c>
      <c r="W370" s="269" t="str">
        <f>IF(J370="巻返し",VLOOKUP(F370&amp;K370&amp;M370,製品マスタ!$M$5:$AE$5002,19,FALSE),IF(J370="リード付け","-",IF(J370="スリット",VLOOKUP(F370&amp;K370&amp;Q370,製品マスタ!$N$5:$AE$5002,18,FALSE),"")))</f>
        <v/>
      </c>
      <c r="X370" s="275" t="str">
        <f>IF(D370="","",VLOOKUP(D370,契約台帳!$A$3:$Q$4986,17,FALSE))</f>
        <v/>
      </c>
      <c r="Y370" s="269" t="str">
        <f>IF(D370="","",VLOOKUP(D370,契約台帳!$A$3:$E$4986,5,FALSE))</f>
        <v/>
      </c>
      <c r="Z370" s="57"/>
      <c r="AA370" s="207" t="str">
        <f>IFERROR(VLOOKUP(F370&amp;K370&amp;M370,製品マスタ!$M$5:$AM$5002,27,FALSE),"")</f>
        <v/>
      </c>
      <c r="AB370" s="33"/>
      <c r="AC370" s="189"/>
      <c r="AD370" s="54"/>
      <c r="AE370" s="55"/>
      <c r="AF370" s="43"/>
      <c r="AG370" s="47"/>
      <c r="AH370" s="30"/>
      <c r="AI370" s="30"/>
      <c r="AJ370" s="30"/>
      <c r="AK370" s="30"/>
      <c r="AL370" s="13"/>
      <c r="AM370" s="13"/>
      <c r="AN370" s="13"/>
      <c r="AO370" s="13"/>
      <c r="AP370" s="13"/>
      <c r="AQ370" s="14"/>
      <c r="AR370" s="15"/>
    </row>
    <row r="371" spans="1:44" s="17" customFormat="1" ht="30.95" hidden="1" customHeight="1" x14ac:dyDescent="0.2">
      <c r="A371" s="37"/>
      <c r="B371" s="38"/>
      <c r="C371" s="45"/>
      <c r="D371" s="31"/>
      <c r="E371" s="31"/>
      <c r="F371" s="268" t="str">
        <f>IF(D371="","",VLOOKUP(D371,契約台帳!$A$3:$K$4986,6,FALSE)&amp;VLOOKUP(D371,契約台帳!$A$3:$K$4986,7,FALSE)&amp;VLOOKUP(D371,契約台帳!$A$3:$K$4986,8,FALSE)&amp;VLOOKUP(D371,契約台帳!$A$3:$K$4986,9,FALSE)&amp;VLOOKUP(D371,契約台帳!$A$3:$K$4986,11,FALSE))</f>
        <v/>
      </c>
      <c r="G371" s="269" t="str">
        <f>IF(D371="","",VLOOKUP(F371,製品マスタ!$G$5:$H$5002,2,FALSE))</f>
        <v/>
      </c>
      <c r="H371" s="269" t="str">
        <f>IF(D371="","",VLOOKUP(F371,製品マスタ!$G$5:$K$5002,5,FALSE))</f>
        <v/>
      </c>
      <c r="I371" s="270" t="str">
        <f>IF(D371="","",VLOOKUP(F371,製品マスタ!$G$5:$L$5002,6,FALSE))</f>
        <v/>
      </c>
      <c r="J371" s="32"/>
      <c r="K371" s="270" t="str">
        <f>IF(D371="","",VLOOKUP(D371,契約台帳!$A$3:$L$4986,12,FALSE))</f>
        <v/>
      </c>
      <c r="L371" s="270" t="str">
        <f>IF(D371="","",INDEX(製品マスタ!$Q$5:$Q$5002,MATCH(F371&amp;K371,製品マスタ!$AO$5:$AO$5002,0)))</f>
        <v/>
      </c>
      <c r="M371" s="39"/>
      <c r="N371" s="39"/>
      <c r="O371" s="47"/>
      <c r="P371" s="57"/>
      <c r="Q371" s="276" t="str">
        <f>IF(D371="","",IF(J371="リード付け",M371,VLOOKUP(D371,契約台帳!$A$3:$N$4986,14,FALSE)))</f>
        <v/>
      </c>
      <c r="R371" s="277" t="str">
        <f>IF(D371="","",IF(J371="リード付け",M371,VLOOKUP(D371,契約台帳!$A$3:$O$4986,15,FALSE)))</f>
        <v/>
      </c>
      <c r="S371" s="277" t="str">
        <f>IF(D371="","",IF(J371="リード付け",N371,VLOOKUP(D371,契約台帳!$A$3:$P$4986,16,FALSE)))</f>
        <v/>
      </c>
      <c r="T371" s="40"/>
      <c r="U371" s="278" t="str">
        <f ca="1">IF(D371="","",IF(OFFSET(D371,-2,0)=D371,"",VLOOKUP(D371,契約台帳!$A$3:$R$4986,18,FALSE)))</f>
        <v/>
      </c>
      <c r="V371" s="269" t="str">
        <f>IF(J371="巻返し",VLOOKUP(F371&amp;K371&amp;M371,製品マスタ!$M$5:$AD$5002,18,FALSE),IF(J371="リード付け","原反コア",IF(J371="スリット",VLOOKUP(F371&amp;K371&amp;Q371,製品マスタ!$N$5:$AD$5002,17,FALSE),"")))</f>
        <v/>
      </c>
      <c r="W371" s="269" t="str">
        <f>IF(J371="巻返し",VLOOKUP(F371&amp;K371&amp;M371,製品マスタ!$M$5:$AE$5002,19,FALSE),IF(J371="リード付け","-",IF(J371="スリット",VLOOKUP(F371&amp;K371&amp;Q371,製品マスタ!$N$5:$AE$5002,18,FALSE),"")))</f>
        <v/>
      </c>
      <c r="X371" s="275" t="str">
        <f>IF(D371="","",VLOOKUP(D371,契約台帳!$A$3:$Q$4986,17,FALSE))</f>
        <v/>
      </c>
      <c r="Y371" s="269" t="str">
        <f>IF(D371="","",VLOOKUP(D371,契約台帳!$A$3:$E$4986,5,FALSE))</f>
        <v/>
      </c>
      <c r="Z371" s="57"/>
      <c r="AA371" s="207" t="str">
        <f>IFERROR(VLOOKUP(F371&amp;K371&amp;M371,製品マスタ!$M$5:$AM$5002,27,FALSE),"")</f>
        <v/>
      </c>
      <c r="AB371" s="33"/>
      <c r="AC371" s="189"/>
      <c r="AD371" s="54"/>
      <c r="AE371" s="55"/>
      <c r="AF371" s="43"/>
      <c r="AG371" s="47"/>
      <c r="AH371" s="30"/>
      <c r="AI371" s="30"/>
      <c r="AJ371" s="30"/>
      <c r="AK371" s="30"/>
      <c r="AL371" s="13"/>
      <c r="AM371" s="13"/>
      <c r="AN371" s="13"/>
      <c r="AO371" s="13"/>
      <c r="AP371" s="13"/>
      <c r="AQ371" s="14"/>
      <c r="AR371" s="15"/>
    </row>
    <row r="372" spans="1:44" s="17" customFormat="1" ht="30.95" hidden="1" customHeight="1" x14ac:dyDescent="0.2">
      <c r="A372" s="37" t="s">
        <v>1112</v>
      </c>
      <c r="B372" s="38" t="s">
        <v>1099</v>
      </c>
      <c r="C372" s="45"/>
      <c r="D372" s="31"/>
      <c r="E372" s="31"/>
      <c r="F372" s="268" t="str">
        <f>IF(D372="","",VLOOKUP(D372,契約台帳!$A$3:$K$4986,6,FALSE)&amp;VLOOKUP(D372,契約台帳!$A$3:$K$4986,7,FALSE)&amp;VLOOKUP(D372,契約台帳!$A$3:$K$4986,8,FALSE)&amp;VLOOKUP(D372,契約台帳!$A$3:$K$4986,9,FALSE)&amp;VLOOKUP(D372,契約台帳!$A$3:$K$4986,11,FALSE))</f>
        <v/>
      </c>
      <c r="G372" s="269" t="str">
        <f>IF(D372="","",VLOOKUP(F372,製品マスタ!$G$5:$H$5002,2,FALSE))</f>
        <v/>
      </c>
      <c r="H372" s="269" t="str">
        <f>IF(D372="","",VLOOKUP(F372,製品マスタ!$G$5:$K$5002,5,FALSE))</f>
        <v/>
      </c>
      <c r="I372" s="270" t="str">
        <f>IF(D372="","",VLOOKUP(F372,製品マスタ!$G$5:$L$5002,6,FALSE))</f>
        <v/>
      </c>
      <c r="J372" s="32" t="s">
        <v>448</v>
      </c>
      <c r="K372" s="270" t="str">
        <f>IF(D372="","",VLOOKUP(D372,契約台帳!$A$3:$L$4986,12,FALSE))</f>
        <v/>
      </c>
      <c r="L372" s="270" t="str">
        <f>IF(D372="","",INDEX(製品マスタ!$Q$5:$Q$5002,MATCH(F372&amp;K372,製品マスタ!$AO$5:$AO$5002,0)))</f>
        <v/>
      </c>
      <c r="M372" s="39"/>
      <c r="N372" s="39"/>
      <c r="O372" s="47"/>
      <c r="P372" s="57"/>
      <c r="Q372" s="276" t="str">
        <f>IF(D372="","",IF(J372="リード付け",M372,VLOOKUP(D372,契約台帳!$A$3:$N$4986,14,FALSE)))</f>
        <v/>
      </c>
      <c r="R372" s="277" t="str">
        <f>IF(D372="","",IF(J372="リード付け",M372,VLOOKUP(D372,契約台帳!$A$3:$O$4986,15,FALSE)))</f>
        <v/>
      </c>
      <c r="S372" s="277" t="str">
        <f>IF(D372="","",IF(J372="リード付け",N372,VLOOKUP(D372,契約台帳!$A$3:$P$4986,16,FALSE)))</f>
        <v/>
      </c>
      <c r="T372" s="40"/>
      <c r="U372" s="278" t="str">
        <f ca="1">IF(D372="","",IF(OFFSET(D372,-2,0)=D372,"",VLOOKUP(D372,契約台帳!$A$3:$R$4986,18,FALSE)))</f>
        <v/>
      </c>
      <c r="V372" s="269" t="str">
        <f>IF(J372="巻返し",VLOOKUP(F372&amp;K372&amp;M372,製品マスタ!$M$5:$AD$5002,18,FALSE),IF(J372="リード付け","原反コア",IF(J372="スリット",VLOOKUP(F372&amp;K372&amp;Q372,製品マスタ!$N$5:$AD$5002,17,FALSE),"")))</f>
        <v/>
      </c>
      <c r="W372" s="269" t="str">
        <f>IF(J372="巻返し",VLOOKUP(F372&amp;K372&amp;M372,製品マスタ!$M$5:$AE$5002,19,FALSE),IF(J372="リード付け","-",IF(J372="スリット",VLOOKUP(F372&amp;K372&amp;Q372,製品マスタ!$N$5:$AE$5002,18,FALSE),"")))</f>
        <v/>
      </c>
      <c r="X372" s="275" t="str">
        <f>IF(D372="","",VLOOKUP(D372,契約台帳!$A$3:$Q$4986,17,FALSE))</f>
        <v/>
      </c>
      <c r="Y372" s="269" t="str">
        <f>IF(D372="","",VLOOKUP(D372,契約台帳!$A$3:$E$4986,5,FALSE))</f>
        <v/>
      </c>
      <c r="Z372" s="57"/>
      <c r="AA372" s="207" t="str">
        <f>IFERROR(VLOOKUP(F372&amp;K372&amp;M372,製品マスタ!$M$5:$AM$5002,27,FALSE),"")</f>
        <v/>
      </c>
      <c r="AB372" s="33"/>
      <c r="AC372" s="189"/>
      <c r="AD372" s="54"/>
      <c r="AE372" s="55"/>
      <c r="AF372" s="43"/>
      <c r="AG372" s="47"/>
      <c r="AH372" s="30"/>
      <c r="AI372" s="30"/>
      <c r="AJ372" s="30"/>
      <c r="AK372" s="30"/>
      <c r="AL372" s="13"/>
      <c r="AM372" s="13"/>
      <c r="AN372" s="13"/>
      <c r="AO372" s="13"/>
      <c r="AP372" s="13"/>
      <c r="AQ372" s="14"/>
      <c r="AR372" s="15"/>
    </row>
    <row r="373" spans="1:44" s="17" customFormat="1" ht="30.95" hidden="1" customHeight="1" x14ac:dyDescent="0.2">
      <c r="A373" s="37"/>
      <c r="B373" s="38"/>
      <c r="C373" s="45"/>
      <c r="D373" s="31"/>
      <c r="E373" s="31"/>
      <c r="F373" s="268" t="str">
        <f>IF(D373="","",VLOOKUP(D373,契約台帳!$A$3:$K$4986,6,FALSE)&amp;VLOOKUP(D373,契約台帳!$A$3:$K$4986,7,FALSE)&amp;VLOOKUP(D373,契約台帳!$A$3:$K$4986,8,FALSE)&amp;VLOOKUP(D373,契約台帳!$A$3:$K$4986,9,FALSE)&amp;VLOOKUP(D373,契約台帳!$A$3:$K$4986,11,FALSE))</f>
        <v/>
      </c>
      <c r="G373" s="269" t="str">
        <f>IF(D373="","",VLOOKUP(F373,製品マスタ!$G$5:$H$5002,2,FALSE))</f>
        <v/>
      </c>
      <c r="H373" s="269" t="str">
        <f>IF(D373="","",VLOOKUP(F373,製品マスタ!$G$5:$K$5002,5,FALSE))</f>
        <v/>
      </c>
      <c r="I373" s="270" t="str">
        <f>IF(D373="","",VLOOKUP(F373,製品マスタ!$G$5:$L$5002,6,FALSE))</f>
        <v/>
      </c>
      <c r="J373" s="32"/>
      <c r="K373" s="270" t="str">
        <f>IF(D373="","",VLOOKUP(D373,契約台帳!$A$3:$L$4986,12,FALSE))</f>
        <v/>
      </c>
      <c r="L373" s="270" t="str">
        <f>IF(D373="","",INDEX(製品マスタ!$Q$5:$Q$5002,MATCH(F373&amp;K373,製品マスタ!$AO$5:$AO$5002,0)))</f>
        <v/>
      </c>
      <c r="M373" s="39"/>
      <c r="N373" s="39"/>
      <c r="O373" s="47"/>
      <c r="P373" s="57"/>
      <c r="Q373" s="276" t="str">
        <f>IF(D373="","",IF(J373="リード付け",M373,VLOOKUP(D373,契約台帳!$A$3:$N$4986,14,FALSE)))</f>
        <v/>
      </c>
      <c r="R373" s="277" t="str">
        <f>IF(D373="","",IF(J373="リード付け",M373,VLOOKUP(D373,契約台帳!$A$3:$O$4986,15,FALSE)))</f>
        <v/>
      </c>
      <c r="S373" s="277" t="str">
        <f>IF(D373="","",IF(J373="リード付け",N373,VLOOKUP(D373,契約台帳!$A$3:$P$4986,16,FALSE)))</f>
        <v/>
      </c>
      <c r="T373" s="40"/>
      <c r="U373" s="278" t="str">
        <f ca="1">IF(D373="","",IF(OFFSET(D373,-2,0)=D373,"",VLOOKUP(D373,契約台帳!$A$3:$R$4986,18,FALSE)))</f>
        <v/>
      </c>
      <c r="V373" s="269" t="str">
        <f>IF(J373="巻返し",VLOOKUP(F373&amp;K373&amp;M373,製品マスタ!$M$5:$AD$5002,18,FALSE),IF(J373="リード付け","原反コア",IF(J373="スリット",VLOOKUP(F373&amp;K373&amp;Q373,製品マスタ!$N$5:$AD$5002,17,FALSE),"")))</f>
        <v/>
      </c>
      <c r="W373" s="269" t="str">
        <f>IF(J373="巻返し",VLOOKUP(F373&amp;K373&amp;M373,製品マスタ!$M$5:$AE$5002,19,FALSE),IF(J373="リード付け","-",IF(J373="スリット",VLOOKUP(F373&amp;K373&amp;Q373,製品マスタ!$N$5:$AE$5002,18,FALSE),"")))</f>
        <v/>
      </c>
      <c r="X373" s="275" t="str">
        <f>IF(D373="","",VLOOKUP(D373,契約台帳!$A$3:$Q$4986,17,FALSE))</f>
        <v/>
      </c>
      <c r="Y373" s="269" t="str">
        <f>IF(D373="","",VLOOKUP(D373,契約台帳!$A$3:$E$4986,5,FALSE))</f>
        <v/>
      </c>
      <c r="Z373" s="57"/>
      <c r="AA373" s="207" t="str">
        <f>IFERROR(VLOOKUP(F373&amp;K373&amp;M373,製品マスタ!$M$5:$AM$5002,27,FALSE),"")</f>
        <v/>
      </c>
      <c r="AB373" s="33"/>
      <c r="AC373" s="189"/>
      <c r="AD373" s="54"/>
      <c r="AE373" s="55"/>
      <c r="AF373" s="43"/>
      <c r="AG373" s="47"/>
      <c r="AH373" s="30"/>
      <c r="AI373" s="30"/>
      <c r="AJ373" s="30"/>
      <c r="AK373" s="30"/>
      <c r="AL373" s="13"/>
      <c r="AM373" s="13"/>
      <c r="AN373" s="13"/>
      <c r="AO373" s="13"/>
      <c r="AP373" s="13"/>
      <c r="AQ373" s="14"/>
      <c r="AR373" s="15"/>
    </row>
    <row r="374" spans="1:44" s="17" customFormat="1" ht="30.95" hidden="1" customHeight="1" x14ac:dyDescent="0.2">
      <c r="A374" s="37" t="s">
        <v>1113</v>
      </c>
      <c r="B374" s="38" t="s">
        <v>1101</v>
      </c>
      <c r="C374" s="45"/>
      <c r="D374" s="31"/>
      <c r="E374" s="31"/>
      <c r="F374" s="268" t="str">
        <f>IF(D374="","",VLOOKUP(D374,契約台帳!$A$3:$K$4986,6,FALSE)&amp;VLOOKUP(D374,契約台帳!$A$3:$K$4986,7,FALSE)&amp;VLOOKUP(D374,契約台帳!$A$3:$K$4986,8,FALSE)&amp;VLOOKUP(D374,契約台帳!$A$3:$K$4986,9,FALSE)&amp;VLOOKUP(D374,契約台帳!$A$3:$K$4986,11,FALSE))</f>
        <v/>
      </c>
      <c r="G374" s="269" t="str">
        <f>IF(D374="","",VLOOKUP(F374,製品マスタ!$G$5:$H$5002,2,FALSE))</f>
        <v/>
      </c>
      <c r="H374" s="269" t="str">
        <f>IF(D374="","",VLOOKUP(F374,製品マスタ!$G$5:$K$5002,5,FALSE))</f>
        <v/>
      </c>
      <c r="I374" s="270" t="str">
        <f>IF(D374="","",VLOOKUP(F374,製品マスタ!$G$5:$L$5002,6,FALSE))</f>
        <v/>
      </c>
      <c r="J374" s="32" t="s">
        <v>448</v>
      </c>
      <c r="K374" s="270" t="str">
        <f>IF(D374="","",VLOOKUP(D374,契約台帳!$A$3:$L$4986,12,FALSE))</f>
        <v/>
      </c>
      <c r="L374" s="270" t="str">
        <f>IF(D374="","",INDEX(製品マスタ!$Q$5:$Q$5002,MATCH(F374&amp;K374,製品マスタ!$AO$5:$AO$5002,0)))</f>
        <v/>
      </c>
      <c r="M374" s="39"/>
      <c r="N374" s="39"/>
      <c r="O374" s="47"/>
      <c r="P374" s="57"/>
      <c r="Q374" s="276" t="str">
        <f>IF(D374="","",IF(J374="リード付け",M374,VLOOKUP(D374,契約台帳!$A$3:$N$4986,14,FALSE)))</f>
        <v/>
      </c>
      <c r="R374" s="277" t="str">
        <f>IF(D374="","",IF(J374="リード付け",M374,VLOOKUP(D374,契約台帳!$A$3:$O$4986,15,FALSE)))</f>
        <v/>
      </c>
      <c r="S374" s="277" t="str">
        <f>IF(D374="","",IF(J374="リード付け",N374,VLOOKUP(D374,契約台帳!$A$3:$P$4986,16,FALSE)))</f>
        <v/>
      </c>
      <c r="T374" s="40"/>
      <c r="U374" s="278" t="str">
        <f ca="1">IF(D374="","",IF(OFFSET(D374,-2,0)=D374,"",VLOOKUP(D374,契約台帳!$A$3:$R$4986,18,FALSE)))</f>
        <v/>
      </c>
      <c r="V374" s="269" t="str">
        <f>IF(J374="巻返し",VLOOKUP(F374&amp;K374&amp;M374,製品マスタ!$M$5:$AD$5002,18,FALSE),IF(J374="リード付け","原反コア",IF(J374="スリット",VLOOKUP(F374&amp;K374&amp;Q374,製品マスタ!$N$5:$AD$5002,17,FALSE),"")))</f>
        <v/>
      </c>
      <c r="W374" s="269" t="str">
        <f>IF(J374="巻返し",VLOOKUP(F374&amp;K374&amp;M374,製品マスタ!$M$5:$AE$5002,19,FALSE),IF(J374="リード付け","-",IF(J374="スリット",VLOOKUP(F374&amp;K374&amp;Q374,製品マスタ!$N$5:$AE$5002,18,FALSE),"")))</f>
        <v/>
      </c>
      <c r="X374" s="275" t="str">
        <f>IF(D374="","",VLOOKUP(D374,契約台帳!$A$3:$Q$4986,17,FALSE))</f>
        <v/>
      </c>
      <c r="Y374" s="269" t="str">
        <f>IF(D374="","",VLOOKUP(D374,契約台帳!$A$3:$E$4986,5,FALSE))</f>
        <v/>
      </c>
      <c r="Z374" s="57"/>
      <c r="AA374" s="207" t="str">
        <f>IFERROR(VLOOKUP(F374&amp;K374&amp;M374,製品マスタ!$M$5:$AM$5002,27,FALSE),"")</f>
        <v/>
      </c>
      <c r="AB374" s="33"/>
      <c r="AC374" s="189"/>
      <c r="AD374" s="54"/>
      <c r="AE374" s="55"/>
      <c r="AF374" s="43"/>
      <c r="AG374" s="47"/>
      <c r="AH374" s="30"/>
      <c r="AI374" s="30"/>
      <c r="AJ374" s="30"/>
      <c r="AK374" s="30"/>
      <c r="AL374" s="13"/>
      <c r="AM374" s="13"/>
      <c r="AN374" s="13"/>
      <c r="AO374" s="13"/>
      <c r="AP374" s="13"/>
      <c r="AQ374" s="14"/>
      <c r="AR374" s="15"/>
    </row>
    <row r="375" spans="1:44" s="17" customFormat="1" ht="30.95" hidden="1" customHeight="1" x14ac:dyDescent="0.2">
      <c r="A375" s="37"/>
      <c r="B375" s="38"/>
      <c r="C375" s="45"/>
      <c r="D375" s="31"/>
      <c r="E375" s="31"/>
      <c r="F375" s="268" t="str">
        <f>IF(D375="","",VLOOKUP(D375,契約台帳!$A$3:$K$4986,6,FALSE)&amp;VLOOKUP(D375,契約台帳!$A$3:$K$4986,7,FALSE)&amp;VLOOKUP(D375,契約台帳!$A$3:$K$4986,8,FALSE)&amp;VLOOKUP(D375,契約台帳!$A$3:$K$4986,9,FALSE)&amp;VLOOKUP(D375,契約台帳!$A$3:$K$4986,11,FALSE))</f>
        <v/>
      </c>
      <c r="G375" s="269" t="str">
        <f>IF(D375="","",VLOOKUP(F375,製品マスタ!$G$5:$H$5002,2,FALSE))</f>
        <v/>
      </c>
      <c r="H375" s="269" t="str">
        <f>IF(D375="","",VLOOKUP(F375,製品マスタ!$G$5:$K$5002,5,FALSE))</f>
        <v/>
      </c>
      <c r="I375" s="270" t="str">
        <f>IF(D375="","",VLOOKUP(F375,製品マスタ!$G$5:$L$5002,6,FALSE))</f>
        <v/>
      </c>
      <c r="J375" s="32"/>
      <c r="K375" s="270" t="str">
        <f>IF(D375="","",VLOOKUP(D375,契約台帳!$A$3:$L$4986,12,FALSE))</f>
        <v/>
      </c>
      <c r="L375" s="270" t="str">
        <f>IF(D375="","",INDEX(製品マスタ!$Q$5:$Q$5002,MATCH(F375&amp;K375,製品マスタ!$AO$5:$AO$5002,0)))</f>
        <v/>
      </c>
      <c r="M375" s="39"/>
      <c r="N375" s="39"/>
      <c r="O375" s="47"/>
      <c r="P375" s="57"/>
      <c r="Q375" s="276" t="str">
        <f>IF(D375="","",IF(J375="リード付け",M375,VLOOKUP(D375,契約台帳!$A$3:$N$4986,14,FALSE)))</f>
        <v/>
      </c>
      <c r="R375" s="277" t="str">
        <f>IF(D375="","",IF(J375="リード付け",M375,VLOOKUP(D375,契約台帳!$A$3:$O$4986,15,FALSE)))</f>
        <v/>
      </c>
      <c r="S375" s="277" t="str">
        <f>IF(D375="","",IF(J375="リード付け",N375,VLOOKUP(D375,契約台帳!$A$3:$P$4986,16,FALSE)))</f>
        <v/>
      </c>
      <c r="T375" s="40"/>
      <c r="U375" s="278" t="str">
        <f ca="1">IF(D375="","",IF(OFFSET(D375,-2,0)=D375,"",VLOOKUP(D375,契約台帳!$A$3:$R$4986,18,FALSE)))</f>
        <v/>
      </c>
      <c r="V375" s="269" t="str">
        <f>IF(J375="巻返し",VLOOKUP(F375&amp;K375&amp;M375,製品マスタ!$M$5:$AD$5002,18,FALSE),IF(J375="リード付け","原反コア",IF(J375="スリット",VLOOKUP(F375&amp;K375&amp;Q375,製品マスタ!$N$5:$AD$5002,17,FALSE),"")))</f>
        <v/>
      </c>
      <c r="W375" s="269" t="str">
        <f>IF(J375="巻返し",VLOOKUP(F375&amp;K375&amp;M375,製品マスタ!$M$5:$AE$5002,19,FALSE),IF(J375="リード付け","-",IF(J375="スリット",VLOOKUP(F375&amp;K375&amp;Q375,製品マスタ!$N$5:$AE$5002,18,FALSE),"")))</f>
        <v/>
      </c>
      <c r="X375" s="275" t="str">
        <f>IF(D375="","",VLOOKUP(D375,契約台帳!$A$3:$Q$4986,17,FALSE))</f>
        <v/>
      </c>
      <c r="Y375" s="269" t="str">
        <f>IF(D375="","",VLOOKUP(D375,契約台帳!$A$3:$E$4986,5,FALSE))</f>
        <v/>
      </c>
      <c r="Z375" s="57"/>
      <c r="AA375" s="207" t="str">
        <f>IFERROR(VLOOKUP(F375&amp;K375&amp;M375,製品マスタ!$M$5:$AM$5002,27,FALSE),"")</f>
        <v/>
      </c>
      <c r="AB375" s="33"/>
      <c r="AC375" s="189"/>
      <c r="AD375" s="54"/>
      <c r="AE375" s="55"/>
      <c r="AF375" s="43"/>
      <c r="AG375" s="47"/>
      <c r="AH375" s="30"/>
      <c r="AI375" s="30"/>
      <c r="AJ375" s="30"/>
      <c r="AK375" s="30"/>
      <c r="AL375" s="13"/>
      <c r="AM375" s="13"/>
      <c r="AN375" s="13"/>
      <c r="AO375" s="13"/>
      <c r="AP375" s="13"/>
      <c r="AQ375" s="14"/>
      <c r="AR375" s="15"/>
    </row>
    <row r="376" spans="1:44" s="17" customFormat="1" ht="30.95" hidden="1" customHeight="1" x14ac:dyDescent="0.2">
      <c r="A376" s="37" t="s">
        <v>1114</v>
      </c>
      <c r="B376" s="38" t="s">
        <v>1103</v>
      </c>
      <c r="C376" s="45"/>
      <c r="D376" s="31"/>
      <c r="E376" s="31"/>
      <c r="F376" s="268" t="str">
        <f>IF(D376="","",VLOOKUP(D376,契約台帳!$A$3:$K$4986,6,FALSE)&amp;VLOOKUP(D376,契約台帳!$A$3:$K$4986,7,FALSE)&amp;VLOOKUP(D376,契約台帳!$A$3:$K$4986,8,FALSE)&amp;VLOOKUP(D376,契約台帳!$A$3:$K$4986,9,FALSE)&amp;VLOOKUP(D376,契約台帳!$A$3:$K$4986,11,FALSE))</f>
        <v/>
      </c>
      <c r="G376" s="269" t="str">
        <f>IF(D376="","",VLOOKUP(F376,製品マスタ!$G$5:$H$5002,2,FALSE))</f>
        <v/>
      </c>
      <c r="H376" s="269" t="str">
        <f>IF(D376="","",VLOOKUP(F376,製品マスタ!$G$5:$K$5002,5,FALSE))</f>
        <v/>
      </c>
      <c r="I376" s="270" t="str">
        <f>IF(D376="","",VLOOKUP(F376,製品マスタ!$G$5:$L$5002,6,FALSE))</f>
        <v/>
      </c>
      <c r="J376" s="32" t="s">
        <v>448</v>
      </c>
      <c r="K376" s="270" t="str">
        <f>IF(D376="","",VLOOKUP(D376,契約台帳!$A$3:$L$4986,12,FALSE))</f>
        <v/>
      </c>
      <c r="L376" s="270" t="str">
        <f>IF(D376="","",INDEX(製品マスタ!$Q$5:$Q$5002,MATCH(F376&amp;K376,製品マスタ!$AO$5:$AO$5002,0)))</f>
        <v/>
      </c>
      <c r="M376" s="39"/>
      <c r="N376" s="39"/>
      <c r="O376" s="47"/>
      <c r="P376" s="57"/>
      <c r="Q376" s="276" t="str">
        <f>IF(D376="","",IF(J376="リード付け",M376,VLOOKUP(D376,契約台帳!$A$3:$N$4986,14,FALSE)))</f>
        <v/>
      </c>
      <c r="R376" s="277" t="str">
        <f>IF(D376="","",IF(J376="リード付け",M376,VLOOKUP(D376,契約台帳!$A$3:$O$4986,15,FALSE)))</f>
        <v/>
      </c>
      <c r="S376" s="277" t="str">
        <f>IF(D376="","",IF(J376="リード付け",N376,VLOOKUP(D376,契約台帳!$A$3:$P$4986,16,FALSE)))</f>
        <v/>
      </c>
      <c r="T376" s="40"/>
      <c r="U376" s="278" t="str">
        <f ca="1">IF(D376="","",IF(OFFSET(D376,-2,0)=D376,"",VLOOKUP(D376,契約台帳!$A$3:$R$4986,18,FALSE)))</f>
        <v/>
      </c>
      <c r="V376" s="269" t="str">
        <f>IF(J376="巻返し",VLOOKUP(F376&amp;K376&amp;M376,製品マスタ!$M$5:$AD$5002,18,FALSE),IF(J376="リード付け","原反コア",IF(J376="スリット",VLOOKUP(F376&amp;K376&amp;Q376,製品マスタ!$N$5:$AD$5002,17,FALSE),"")))</f>
        <v/>
      </c>
      <c r="W376" s="269" t="str">
        <f>IF(J376="巻返し",VLOOKUP(F376&amp;K376&amp;M376,製品マスタ!$M$5:$AE$5002,19,FALSE),IF(J376="リード付け","-",IF(J376="スリット",VLOOKUP(F376&amp;K376&amp;Q376,製品マスタ!$N$5:$AE$5002,18,FALSE),"")))</f>
        <v/>
      </c>
      <c r="X376" s="275" t="str">
        <f>IF(D376="","",VLOOKUP(D376,契約台帳!$A$3:$Q$4986,17,FALSE))</f>
        <v/>
      </c>
      <c r="Y376" s="269" t="str">
        <f>IF(D376="","",VLOOKUP(D376,契約台帳!$A$3:$E$4986,5,FALSE))</f>
        <v/>
      </c>
      <c r="Z376" s="57"/>
      <c r="AA376" s="207" t="str">
        <f>IFERROR(VLOOKUP(F376&amp;K376&amp;M376,製品マスタ!$M$5:$AM$5002,27,FALSE),"")</f>
        <v/>
      </c>
      <c r="AB376" s="33"/>
      <c r="AC376" s="189"/>
      <c r="AD376" s="54"/>
      <c r="AE376" s="55"/>
      <c r="AF376" s="43"/>
      <c r="AG376" s="47"/>
      <c r="AH376" s="30"/>
      <c r="AI376" s="30"/>
      <c r="AJ376" s="30"/>
      <c r="AK376" s="30"/>
      <c r="AL376" s="13"/>
      <c r="AM376" s="13"/>
      <c r="AN376" s="13"/>
      <c r="AO376" s="13"/>
      <c r="AP376" s="13"/>
      <c r="AQ376" s="14"/>
      <c r="AR376" s="15"/>
    </row>
    <row r="377" spans="1:44" s="17" customFormat="1" ht="30.95" hidden="1" customHeight="1" x14ac:dyDescent="0.2">
      <c r="A377" s="37"/>
      <c r="B377" s="38"/>
      <c r="C377" s="45"/>
      <c r="D377" s="31"/>
      <c r="E377" s="31"/>
      <c r="F377" s="268" t="str">
        <f>IF(D377="","",VLOOKUP(D377,契約台帳!$A$3:$K$4986,6,FALSE)&amp;VLOOKUP(D377,契約台帳!$A$3:$K$4986,7,FALSE)&amp;VLOOKUP(D377,契約台帳!$A$3:$K$4986,8,FALSE)&amp;VLOOKUP(D377,契約台帳!$A$3:$K$4986,9,FALSE)&amp;VLOOKUP(D377,契約台帳!$A$3:$K$4986,11,FALSE))</f>
        <v/>
      </c>
      <c r="G377" s="269" t="str">
        <f>IF(D377="","",VLOOKUP(F377,製品マスタ!$G$5:$H$5002,2,FALSE))</f>
        <v/>
      </c>
      <c r="H377" s="269" t="str">
        <f>IF(D377="","",VLOOKUP(F377,製品マスタ!$G$5:$K$5002,5,FALSE))</f>
        <v/>
      </c>
      <c r="I377" s="270" t="str">
        <f>IF(D377="","",VLOOKUP(F377,製品マスタ!$G$5:$L$5002,6,FALSE))</f>
        <v/>
      </c>
      <c r="J377" s="32"/>
      <c r="K377" s="270" t="str">
        <f>IF(D377="","",VLOOKUP(D377,契約台帳!$A$3:$L$4986,12,FALSE))</f>
        <v/>
      </c>
      <c r="L377" s="270" t="str">
        <f>IF(D377="","",INDEX(製品マスタ!$Q$5:$Q$5002,MATCH(F377&amp;K377,製品マスタ!$AO$5:$AO$5002,0)))</f>
        <v/>
      </c>
      <c r="M377" s="39"/>
      <c r="N377" s="39"/>
      <c r="O377" s="47"/>
      <c r="P377" s="57"/>
      <c r="Q377" s="276" t="str">
        <f>IF(D377="","",IF(J377="リード付け",M377,VLOOKUP(D377,契約台帳!$A$3:$N$4986,14,FALSE)))</f>
        <v/>
      </c>
      <c r="R377" s="277" t="str">
        <f>IF(D377="","",IF(J377="リード付け",M377,VLOOKUP(D377,契約台帳!$A$3:$O$4986,15,FALSE)))</f>
        <v/>
      </c>
      <c r="S377" s="277" t="str">
        <f>IF(D377="","",IF(J377="リード付け",N377,VLOOKUP(D377,契約台帳!$A$3:$P$4986,16,FALSE)))</f>
        <v/>
      </c>
      <c r="T377" s="40"/>
      <c r="U377" s="278" t="str">
        <f ca="1">IF(D377="","",IF(OFFSET(D377,-2,0)=D377,"",VLOOKUP(D377,契約台帳!$A$3:$R$4986,18,FALSE)))</f>
        <v/>
      </c>
      <c r="V377" s="269" t="str">
        <f>IF(J377="巻返し",VLOOKUP(F377&amp;K377&amp;M377,製品マスタ!$M$5:$AD$5002,18,FALSE),IF(J377="リード付け","原反コア",IF(J377="スリット",VLOOKUP(F377&amp;K377&amp;Q377,製品マスタ!$N$5:$AD$5002,17,FALSE),"")))</f>
        <v/>
      </c>
      <c r="W377" s="269" t="str">
        <f>IF(J377="巻返し",VLOOKUP(F377&amp;K377&amp;M377,製品マスタ!$M$5:$AE$5002,19,FALSE),IF(J377="リード付け","-",IF(J377="スリット",VLOOKUP(F377&amp;K377&amp;Q377,製品マスタ!$N$5:$AE$5002,18,FALSE),"")))</f>
        <v/>
      </c>
      <c r="X377" s="275" t="str">
        <f>IF(D377="","",VLOOKUP(D377,契約台帳!$A$3:$Q$4986,17,FALSE))</f>
        <v/>
      </c>
      <c r="Y377" s="269" t="str">
        <f>IF(D377="","",VLOOKUP(D377,契約台帳!$A$3:$E$4986,5,FALSE))</f>
        <v/>
      </c>
      <c r="Z377" s="57"/>
      <c r="AA377" s="207" t="str">
        <f>IFERROR(VLOOKUP(F377&amp;K377&amp;M377,製品マスタ!$M$5:$AM$5002,27,FALSE),"")</f>
        <v/>
      </c>
      <c r="AB377" s="33"/>
      <c r="AC377" s="189"/>
      <c r="AD377" s="54"/>
      <c r="AE377" s="55"/>
      <c r="AF377" s="43"/>
      <c r="AG377" s="47"/>
      <c r="AH377" s="30"/>
      <c r="AI377" s="30"/>
      <c r="AJ377" s="30"/>
      <c r="AK377" s="30"/>
      <c r="AL377" s="13"/>
      <c r="AM377" s="13"/>
      <c r="AN377" s="13"/>
      <c r="AO377" s="13"/>
      <c r="AP377" s="13"/>
      <c r="AQ377" s="14"/>
      <c r="AR377" s="15"/>
    </row>
    <row r="378" spans="1:44" s="17" customFormat="1" ht="30.95" hidden="1" customHeight="1" x14ac:dyDescent="0.2">
      <c r="A378" s="37" t="s">
        <v>1115</v>
      </c>
      <c r="B378" s="38" t="s">
        <v>1105</v>
      </c>
      <c r="C378" s="45"/>
      <c r="D378" s="31"/>
      <c r="E378" s="31"/>
      <c r="F378" s="268" t="str">
        <f>IF(D378="","",VLOOKUP(D378,契約台帳!$A$3:$K$4986,6,FALSE)&amp;VLOOKUP(D378,契約台帳!$A$3:$K$4986,7,FALSE)&amp;VLOOKUP(D378,契約台帳!$A$3:$K$4986,8,FALSE)&amp;VLOOKUP(D378,契約台帳!$A$3:$K$4986,9,FALSE)&amp;VLOOKUP(D378,契約台帳!$A$3:$K$4986,11,FALSE))</f>
        <v/>
      </c>
      <c r="G378" s="269" t="str">
        <f>IF(D378="","",VLOOKUP(F378,製品マスタ!$G$5:$H$5002,2,FALSE))</f>
        <v/>
      </c>
      <c r="H378" s="269" t="str">
        <f>IF(D378="","",VLOOKUP(F378,製品マスタ!$G$5:$K$5002,5,FALSE))</f>
        <v/>
      </c>
      <c r="I378" s="270" t="str">
        <f>IF(D378="","",VLOOKUP(F378,製品マスタ!$G$5:$L$5002,6,FALSE))</f>
        <v/>
      </c>
      <c r="J378" s="32" t="s">
        <v>448</v>
      </c>
      <c r="K378" s="270" t="str">
        <f>IF(D378="","",VLOOKUP(D378,契約台帳!$A$3:$L$4986,12,FALSE))</f>
        <v/>
      </c>
      <c r="L378" s="270" t="str">
        <f>IF(D378="","",INDEX(製品マスタ!$Q$5:$Q$5002,MATCH(F378&amp;K378,製品マスタ!$AO$5:$AO$5002,0)))</f>
        <v/>
      </c>
      <c r="M378" s="39"/>
      <c r="N378" s="39"/>
      <c r="O378" s="47"/>
      <c r="P378" s="57"/>
      <c r="Q378" s="276" t="str">
        <f>IF(D378="","",IF(J378="リード付け",M378,VLOOKUP(D378,契約台帳!$A$3:$N$4986,14,FALSE)))</f>
        <v/>
      </c>
      <c r="R378" s="277" t="str">
        <f>IF(D378="","",IF(J378="リード付け",M378,VLOOKUP(D378,契約台帳!$A$3:$O$4986,15,FALSE)))</f>
        <v/>
      </c>
      <c r="S378" s="277" t="str">
        <f>IF(D378="","",IF(J378="リード付け",N378,VLOOKUP(D378,契約台帳!$A$3:$P$4986,16,FALSE)))</f>
        <v/>
      </c>
      <c r="T378" s="40"/>
      <c r="U378" s="278" t="str">
        <f ca="1">IF(D378="","",IF(OFFSET(D378,-2,0)=D378,"",VLOOKUP(D378,契約台帳!$A$3:$R$4986,18,FALSE)))</f>
        <v/>
      </c>
      <c r="V378" s="269" t="str">
        <f>IF(J378="巻返し",VLOOKUP(F378&amp;K378&amp;M378,製品マスタ!$M$5:$AD$5002,18,FALSE),IF(J378="リード付け","原反コア",IF(J378="スリット",VLOOKUP(F378&amp;K378&amp;Q378,製品マスタ!$N$5:$AD$5002,17,FALSE),"")))</f>
        <v/>
      </c>
      <c r="W378" s="269" t="str">
        <f>IF(J378="巻返し",VLOOKUP(F378&amp;K378&amp;M378,製品マスタ!$M$5:$AE$5002,19,FALSE),IF(J378="リード付け","-",IF(J378="スリット",VLOOKUP(F378&amp;K378&amp;Q378,製品マスタ!$N$5:$AE$5002,18,FALSE),"")))</f>
        <v/>
      </c>
      <c r="X378" s="275" t="str">
        <f>IF(D378="","",VLOOKUP(D378,契約台帳!$A$3:$Q$4986,17,FALSE))</f>
        <v/>
      </c>
      <c r="Y378" s="269" t="str">
        <f>IF(D378="","",VLOOKUP(D378,契約台帳!$A$3:$E$4986,5,FALSE))</f>
        <v/>
      </c>
      <c r="Z378" s="57"/>
      <c r="AA378" s="207" t="str">
        <f>IFERROR(VLOOKUP(F378&amp;K378&amp;M378,製品マスタ!$M$5:$AM$5002,27,FALSE),"")</f>
        <v/>
      </c>
      <c r="AB378" s="33"/>
      <c r="AC378" s="189"/>
      <c r="AD378" s="54"/>
      <c r="AE378" s="55"/>
      <c r="AF378" s="43"/>
      <c r="AG378" s="47"/>
      <c r="AH378" s="30"/>
      <c r="AI378" s="30"/>
      <c r="AJ378" s="30"/>
      <c r="AK378" s="30"/>
      <c r="AL378" s="13"/>
      <c r="AM378" s="13"/>
      <c r="AN378" s="13"/>
      <c r="AO378" s="13"/>
      <c r="AP378" s="13"/>
      <c r="AQ378" s="14"/>
      <c r="AR378" s="15"/>
    </row>
    <row r="379" spans="1:44" s="17" customFormat="1" ht="30.95" hidden="1" customHeight="1" x14ac:dyDescent="0.2">
      <c r="A379" s="37"/>
      <c r="B379" s="38"/>
      <c r="C379" s="45"/>
      <c r="D379" s="31"/>
      <c r="E379" s="31"/>
      <c r="F379" s="268" t="str">
        <f>IF(D379="","",VLOOKUP(D379,契約台帳!$A$3:$K$4986,6,FALSE)&amp;VLOOKUP(D379,契約台帳!$A$3:$K$4986,7,FALSE)&amp;VLOOKUP(D379,契約台帳!$A$3:$K$4986,8,FALSE)&amp;VLOOKUP(D379,契約台帳!$A$3:$K$4986,9,FALSE)&amp;VLOOKUP(D379,契約台帳!$A$3:$K$4986,11,FALSE))</f>
        <v/>
      </c>
      <c r="G379" s="269" t="str">
        <f>IF(D379="","",VLOOKUP(F379,製品マスタ!$G$5:$H$5002,2,FALSE))</f>
        <v/>
      </c>
      <c r="H379" s="269" t="str">
        <f>IF(D379="","",VLOOKUP(F379,製品マスタ!$G$5:$K$5002,5,FALSE))</f>
        <v/>
      </c>
      <c r="I379" s="270" t="str">
        <f>IF(D379="","",VLOOKUP(F379,製品マスタ!$G$5:$L$5002,6,FALSE))</f>
        <v/>
      </c>
      <c r="J379" s="32"/>
      <c r="K379" s="270" t="str">
        <f>IF(D379="","",VLOOKUP(D379,契約台帳!$A$3:$L$4986,12,FALSE))</f>
        <v/>
      </c>
      <c r="L379" s="270" t="str">
        <f>IF(D379="","",INDEX(製品マスタ!$Q$5:$Q$5002,MATCH(F379&amp;K379,製品マスタ!$AO$5:$AO$5002,0)))</f>
        <v/>
      </c>
      <c r="M379" s="39"/>
      <c r="N379" s="39"/>
      <c r="O379" s="47"/>
      <c r="P379" s="57"/>
      <c r="Q379" s="276" t="str">
        <f>IF(D379="","",IF(J379="リード付け",M379,VLOOKUP(D379,契約台帳!$A$3:$N$4986,14,FALSE)))</f>
        <v/>
      </c>
      <c r="R379" s="277" t="str">
        <f>IF(D379="","",IF(J379="リード付け",M379,VLOOKUP(D379,契約台帳!$A$3:$O$4986,15,FALSE)))</f>
        <v/>
      </c>
      <c r="S379" s="277" t="str">
        <f>IF(D379="","",IF(J379="リード付け",N379,VLOOKUP(D379,契約台帳!$A$3:$P$4986,16,FALSE)))</f>
        <v/>
      </c>
      <c r="T379" s="40"/>
      <c r="U379" s="278" t="str">
        <f ca="1">IF(D379="","",IF(OFFSET(D379,-2,0)=D379,"",VLOOKUP(D379,契約台帳!$A$3:$R$4986,18,FALSE)))</f>
        <v/>
      </c>
      <c r="V379" s="269" t="str">
        <f>IF(J379="巻返し",VLOOKUP(F379&amp;K379&amp;M379,製品マスタ!$M$5:$AD$5002,18,FALSE),IF(J379="リード付け","原反コア",IF(J379="スリット",VLOOKUP(F379&amp;K379&amp;Q379,製品マスタ!$N$5:$AD$5002,17,FALSE),"")))</f>
        <v/>
      </c>
      <c r="W379" s="269" t="str">
        <f>IF(J379="巻返し",VLOOKUP(F379&amp;K379&amp;M379,製品マスタ!$M$5:$AE$5002,19,FALSE),IF(J379="リード付け","-",IF(J379="スリット",VLOOKUP(F379&amp;K379&amp;Q379,製品マスタ!$N$5:$AE$5002,18,FALSE),"")))</f>
        <v/>
      </c>
      <c r="X379" s="275" t="str">
        <f>IF(D379="","",VLOOKUP(D379,契約台帳!$A$3:$Q$4986,17,FALSE))</f>
        <v/>
      </c>
      <c r="Y379" s="269" t="str">
        <f>IF(D379="","",VLOOKUP(D379,契約台帳!$A$3:$E$4986,5,FALSE))</f>
        <v/>
      </c>
      <c r="Z379" s="57"/>
      <c r="AA379" s="207" t="str">
        <f>IFERROR(VLOOKUP(F379&amp;K379&amp;M379,製品マスタ!$M$5:$AM$5002,27,FALSE),"")</f>
        <v/>
      </c>
      <c r="AB379" s="33"/>
      <c r="AC379" s="189"/>
      <c r="AD379" s="54"/>
      <c r="AE379" s="55"/>
      <c r="AF379" s="43"/>
      <c r="AG379" s="47"/>
      <c r="AH379" s="30"/>
      <c r="AI379" s="30"/>
      <c r="AJ379" s="30"/>
      <c r="AK379" s="30"/>
      <c r="AL379" s="13"/>
      <c r="AM379" s="13"/>
      <c r="AN379" s="13"/>
      <c r="AO379" s="13"/>
      <c r="AP379" s="13"/>
      <c r="AQ379" s="14"/>
      <c r="AR379" s="15"/>
    </row>
    <row r="380" spans="1:44" s="17" customFormat="1" ht="30.95" hidden="1" customHeight="1" x14ac:dyDescent="0.2">
      <c r="A380" s="37" t="s">
        <v>1116</v>
      </c>
      <c r="B380" s="38" t="s">
        <v>1107</v>
      </c>
      <c r="C380" s="45"/>
      <c r="D380" s="31"/>
      <c r="E380" s="31"/>
      <c r="F380" s="268" t="str">
        <f>IF(D380="","",VLOOKUP(D380,契約台帳!$A$3:$K$4986,6,FALSE)&amp;VLOOKUP(D380,契約台帳!$A$3:$K$4986,7,FALSE)&amp;VLOOKUP(D380,契約台帳!$A$3:$K$4986,8,FALSE)&amp;VLOOKUP(D380,契約台帳!$A$3:$K$4986,9,FALSE)&amp;VLOOKUP(D380,契約台帳!$A$3:$K$4986,11,FALSE))</f>
        <v/>
      </c>
      <c r="G380" s="269" t="str">
        <f>IF(D380="","",VLOOKUP(F380,製品マスタ!$G$5:$H$5002,2,FALSE))</f>
        <v/>
      </c>
      <c r="H380" s="269" t="str">
        <f>IF(D380="","",VLOOKUP(F380,製品マスタ!$G$5:$K$5002,5,FALSE))</f>
        <v/>
      </c>
      <c r="I380" s="270" t="str">
        <f>IF(D380="","",VLOOKUP(F380,製品マスタ!$G$5:$L$5002,6,FALSE))</f>
        <v/>
      </c>
      <c r="J380" s="32" t="s">
        <v>448</v>
      </c>
      <c r="K380" s="270" t="str">
        <f>IF(D380="","",VLOOKUP(D380,契約台帳!$A$3:$L$4986,12,FALSE))</f>
        <v/>
      </c>
      <c r="L380" s="270" t="str">
        <f>IF(D380="","",INDEX(製品マスタ!$Q$5:$Q$5002,MATCH(F380&amp;K380,製品マスタ!$AO$5:$AO$5002,0)))</f>
        <v/>
      </c>
      <c r="M380" s="39"/>
      <c r="N380" s="39"/>
      <c r="O380" s="47"/>
      <c r="P380" s="57"/>
      <c r="Q380" s="276" t="str">
        <f>IF(D380="","",IF(J380="リード付け",M380,VLOOKUP(D380,契約台帳!$A$3:$N$4986,14,FALSE)))</f>
        <v/>
      </c>
      <c r="R380" s="277" t="str">
        <f>IF(D380="","",IF(J380="リード付け",M380,VLOOKUP(D380,契約台帳!$A$3:$O$4986,15,FALSE)))</f>
        <v/>
      </c>
      <c r="S380" s="277" t="str">
        <f>IF(D380="","",IF(J380="リード付け",N380,VLOOKUP(D380,契約台帳!$A$3:$P$4986,16,FALSE)))</f>
        <v/>
      </c>
      <c r="T380" s="40"/>
      <c r="U380" s="278" t="str">
        <f ca="1">IF(D380="","",IF(OFFSET(D380,-2,0)=D380,"",VLOOKUP(D380,契約台帳!$A$3:$R$4986,18,FALSE)))</f>
        <v/>
      </c>
      <c r="V380" s="269" t="str">
        <f>IF(J380="巻返し",VLOOKUP(F380&amp;K380&amp;M380,製品マスタ!$M$5:$AD$5002,18,FALSE),IF(J380="リード付け","原反コア",IF(J380="スリット",VLOOKUP(F380&amp;K380&amp;Q380,製品マスタ!$N$5:$AD$5002,17,FALSE),"")))</f>
        <v/>
      </c>
      <c r="W380" s="269" t="str">
        <f>IF(J380="巻返し",VLOOKUP(F380&amp;K380&amp;M380,製品マスタ!$M$5:$AE$5002,19,FALSE),IF(J380="リード付け","-",IF(J380="スリット",VLOOKUP(F380&amp;K380&amp;Q380,製品マスタ!$N$5:$AE$5002,18,FALSE),"")))</f>
        <v/>
      </c>
      <c r="X380" s="275" t="str">
        <f>IF(D380="","",VLOOKUP(D380,契約台帳!$A$3:$Q$4986,17,FALSE))</f>
        <v/>
      </c>
      <c r="Y380" s="269" t="str">
        <f>IF(D380="","",VLOOKUP(D380,契約台帳!$A$3:$E$4986,5,FALSE))</f>
        <v/>
      </c>
      <c r="Z380" s="57"/>
      <c r="AA380" s="207" t="str">
        <f>IFERROR(VLOOKUP(F380&amp;K380&amp;M380,製品マスタ!$M$5:$AM$5002,27,FALSE),"")</f>
        <v/>
      </c>
      <c r="AB380" s="33"/>
      <c r="AC380" s="189"/>
      <c r="AD380" s="54"/>
      <c r="AE380" s="55"/>
      <c r="AF380" s="43"/>
      <c r="AG380" s="47"/>
      <c r="AH380" s="30"/>
      <c r="AI380" s="30"/>
      <c r="AJ380" s="30"/>
      <c r="AK380" s="30"/>
      <c r="AL380" s="13"/>
      <c r="AM380" s="13"/>
      <c r="AN380" s="13"/>
      <c r="AO380" s="13"/>
      <c r="AP380" s="13"/>
      <c r="AQ380" s="14"/>
      <c r="AR380" s="15"/>
    </row>
    <row r="381" spans="1:44" s="17" customFormat="1" ht="30.95" hidden="1" customHeight="1" x14ac:dyDescent="0.2">
      <c r="A381" s="37"/>
      <c r="B381" s="38"/>
      <c r="C381" s="45"/>
      <c r="D381" s="31"/>
      <c r="E381" s="31"/>
      <c r="F381" s="268" t="str">
        <f>IF(D381="","",VLOOKUP(D381,契約台帳!$A$3:$K$4986,6,FALSE)&amp;VLOOKUP(D381,契約台帳!$A$3:$K$4986,7,FALSE)&amp;VLOOKUP(D381,契約台帳!$A$3:$K$4986,8,FALSE)&amp;VLOOKUP(D381,契約台帳!$A$3:$K$4986,9,FALSE)&amp;VLOOKUP(D381,契約台帳!$A$3:$K$4986,11,FALSE))</f>
        <v/>
      </c>
      <c r="G381" s="269" t="str">
        <f>IF(D381="","",VLOOKUP(F381,製品マスタ!$G$5:$H$5002,2,FALSE))</f>
        <v/>
      </c>
      <c r="H381" s="269" t="str">
        <f>IF(D381="","",VLOOKUP(F381,製品マスタ!$G$5:$K$5002,5,FALSE))</f>
        <v/>
      </c>
      <c r="I381" s="270" t="str">
        <f>IF(D381="","",VLOOKUP(F381,製品マスタ!$G$5:$L$5002,6,FALSE))</f>
        <v/>
      </c>
      <c r="J381" s="32"/>
      <c r="K381" s="270" t="str">
        <f>IF(D381="","",VLOOKUP(D381,契約台帳!$A$3:$L$4986,12,FALSE))</f>
        <v/>
      </c>
      <c r="L381" s="270" t="str">
        <f>IF(D381="","",INDEX(製品マスタ!$Q$5:$Q$5002,MATCH(F381&amp;K381,製品マスタ!$AO$5:$AO$5002,0)))</f>
        <v/>
      </c>
      <c r="M381" s="39"/>
      <c r="N381" s="39"/>
      <c r="O381" s="47"/>
      <c r="P381" s="57"/>
      <c r="Q381" s="276" t="str">
        <f>IF(D381="","",IF(J381="リード付け",M381,VLOOKUP(D381,契約台帳!$A$3:$N$4986,14,FALSE)))</f>
        <v/>
      </c>
      <c r="R381" s="277" t="str">
        <f>IF(D381="","",IF(J381="リード付け",M381,VLOOKUP(D381,契約台帳!$A$3:$O$4986,15,FALSE)))</f>
        <v/>
      </c>
      <c r="S381" s="277" t="str">
        <f>IF(D381="","",IF(J381="リード付け",N381,VLOOKUP(D381,契約台帳!$A$3:$P$4986,16,FALSE)))</f>
        <v/>
      </c>
      <c r="T381" s="40"/>
      <c r="U381" s="278" t="str">
        <f ca="1">IF(D381="","",IF(OFFSET(D381,-2,0)=D381,"",VLOOKUP(D381,契約台帳!$A$3:$R$4986,18,FALSE)))</f>
        <v/>
      </c>
      <c r="V381" s="269" t="str">
        <f>IF(J381="巻返し",VLOOKUP(F381&amp;K381&amp;M381,製品マスタ!$M$5:$AD$5002,18,FALSE),IF(J381="リード付け","原反コア",IF(J381="スリット",VLOOKUP(F381&amp;K381&amp;Q381,製品マスタ!$N$5:$AD$5002,17,FALSE),"")))</f>
        <v/>
      </c>
      <c r="W381" s="269" t="str">
        <f>IF(J381="巻返し",VLOOKUP(F381&amp;K381&amp;M381,製品マスタ!$M$5:$AE$5002,19,FALSE),IF(J381="リード付け","-",IF(J381="スリット",VLOOKUP(F381&amp;K381&amp;Q381,製品マスタ!$N$5:$AE$5002,18,FALSE),"")))</f>
        <v/>
      </c>
      <c r="X381" s="275" t="str">
        <f>IF(D381="","",VLOOKUP(D381,契約台帳!$A$3:$Q$4986,17,FALSE))</f>
        <v/>
      </c>
      <c r="Y381" s="269" t="str">
        <f>IF(D381="","",VLOOKUP(D381,契約台帳!$A$3:$E$4986,5,FALSE))</f>
        <v/>
      </c>
      <c r="Z381" s="57"/>
      <c r="AA381" s="207" t="str">
        <f>IFERROR(VLOOKUP(F381&amp;K381&amp;M381,製品マスタ!$M$5:$AM$5002,27,FALSE),"")</f>
        <v/>
      </c>
      <c r="AB381" s="33"/>
      <c r="AC381" s="189"/>
      <c r="AD381" s="54"/>
      <c r="AE381" s="55"/>
      <c r="AF381" s="43"/>
      <c r="AG381" s="47"/>
      <c r="AH381" s="30"/>
      <c r="AI381" s="30"/>
      <c r="AJ381" s="30"/>
      <c r="AK381" s="30"/>
      <c r="AL381" s="13"/>
      <c r="AM381" s="13"/>
      <c r="AN381" s="13"/>
      <c r="AO381" s="13"/>
      <c r="AP381" s="13"/>
      <c r="AQ381" s="14"/>
      <c r="AR381" s="15"/>
    </row>
    <row r="382" spans="1:44" s="17" customFormat="1" ht="30.95" hidden="1" customHeight="1" x14ac:dyDescent="0.2">
      <c r="A382" s="37" t="s">
        <v>1117</v>
      </c>
      <c r="B382" s="38" t="s">
        <v>1109</v>
      </c>
      <c r="C382" s="45"/>
      <c r="D382" s="31"/>
      <c r="E382" s="31"/>
      <c r="F382" s="268" t="str">
        <f>IF(D382="","",VLOOKUP(D382,契約台帳!$A$3:$K$4986,6,FALSE)&amp;VLOOKUP(D382,契約台帳!$A$3:$K$4986,7,FALSE)&amp;VLOOKUP(D382,契約台帳!$A$3:$K$4986,8,FALSE)&amp;VLOOKUP(D382,契約台帳!$A$3:$K$4986,9,FALSE)&amp;VLOOKUP(D382,契約台帳!$A$3:$K$4986,11,FALSE))</f>
        <v/>
      </c>
      <c r="G382" s="269" t="str">
        <f>IF(D382="","",VLOOKUP(F382,製品マスタ!$G$5:$H$5002,2,FALSE))</f>
        <v/>
      </c>
      <c r="H382" s="269" t="str">
        <f>IF(D382="","",VLOOKUP(F382,製品マスタ!$G$5:$K$5002,5,FALSE))</f>
        <v/>
      </c>
      <c r="I382" s="270" t="str">
        <f>IF(D382="","",VLOOKUP(F382,製品マスタ!$G$5:$L$5002,6,FALSE))</f>
        <v/>
      </c>
      <c r="J382" s="32"/>
      <c r="K382" s="270" t="str">
        <f>IF(D382="","",VLOOKUP(D382,契約台帳!$A$3:$L$4986,12,FALSE))</f>
        <v/>
      </c>
      <c r="L382" s="270" t="str">
        <f>IF(D382="","",INDEX(製品マスタ!$Q$5:$Q$5002,MATCH(F382&amp;K382,製品マスタ!$AO$5:$AO$5002,0)))</f>
        <v/>
      </c>
      <c r="M382" s="39"/>
      <c r="N382" s="39"/>
      <c r="O382" s="47"/>
      <c r="P382" s="57"/>
      <c r="Q382" s="276" t="str">
        <f>IF(D382="","",IF(J382="リード付け",M382,VLOOKUP(D382,契約台帳!$A$3:$N$4986,14,FALSE)))</f>
        <v/>
      </c>
      <c r="R382" s="277" t="str">
        <f>IF(D382="","",IF(J382="リード付け",M382,VLOOKUP(D382,契約台帳!$A$3:$O$4986,15,FALSE)))</f>
        <v/>
      </c>
      <c r="S382" s="277" t="str">
        <f>IF(D382="","",IF(J382="リード付け",N382,VLOOKUP(D382,契約台帳!$A$3:$P$4986,16,FALSE)))</f>
        <v/>
      </c>
      <c r="T382" s="40"/>
      <c r="U382" s="278" t="str">
        <f ca="1">IF(D382="","",IF(OFFSET(D382,-2,0)=D382,"",VLOOKUP(D382,契約台帳!$A$3:$R$4986,18,FALSE)))</f>
        <v/>
      </c>
      <c r="V382" s="269" t="str">
        <f>IF(J382="巻返し",VLOOKUP(F382&amp;K382&amp;M382,製品マスタ!$M$5:$AD$5002,18,FALSE),IF(J382="リード付け","原反コア",IF(J382="スリット",VLOOKUP(F382&amp;K382&amp;Q382,製品マスタ!$N$5:$AD$5002,17,FALSE),"")))</f>
        <v/>
      </c>
      <c r="W382" s="269" t="str">
        <f>IF(J382="巻返し",VLOOKUP(F382&amp;K382&amp;M382,製品マスタ!$M$5:$AE$5002,19,FALSE),IF(J382="リード付け","-",IF(J382="スリット",VLOOKUP(F382&amp;K382&amp;Q382,製品マスタ!$N$5:$AE$5002,18,FALSE),"")))</f>
        <v/>
      </c>
      <c r="X382" s="275" t="str">
        <f>IF(D382="","",VLOOKUP(D382,契約台帳!$A$3:$Q$4986,17,FALSE))</f>
        <v/>
      </c>
      <c r="Y382" s="269" t="str">
        <f>IF(D382="","",VLOOKUP(D382,契約台帳!$A$3:$E$4986,5,FALSE))</f>
        <v/>
      </c>
      <c r="Z382" s="57"/>
      <c r="AA382" s="207" t="str">
        <f>IFERROR(VLOOKUP(F382&amp;K382&amp;M382,製品マスタ!$M$5:$AM$5002,27,FALSE),"")</f>
        <v/>
      </c>
      <c r="AB382" s="33"/>
      <c r="AC382" s="189"/>
      <c r="AD382" s="54"/>
      <c r="AE382" s="55"/>
      <c r="AF382" s="43"/>
      <c r="AG382" s="47"/>
      <c r="AH382" s="30"/>
      <c r="AI382" s="30"/>
      <c r="AJ382" s="30"/>
      <c r="AK382" s="30"/>
      <c r="AL382" s="13"/>
      <c r="AM382" s="13"/>
      <c r="AN382" s="13"/>
      <c r="AO382" s="13"/>
      <c r="AP382" s="13"/>
      <c r="AQ382" s="14"/>
      <c r="AR382" s="15"/>
    </row>
    <row r="383" spans="1:44" s="17" customFormat="1" ht="30.95" hidden="1" customHeight="1" x14ac:dyDescent="0.2">
      <c r="A383" s="37"/>
      <c r="B383" s="38"/>
      <c r="C383" s="45"/>
      <c r="D383" s="31"/>
      <c r="E383" s="31"/>
      <c r="F383" s="268" t="str">
        <f>IF(D383="","",VLOOKUP(D383,契約台帳!$A$3:$K$4986,6,FALSE)&amp;VLOOKUP(D383,契約台帳!$A$3:$K$4986,7,FALSE)&amp;VLOOKUP(D383,契約台帳!$A$3:$K$4986,8,FALSE)&amp;VLOOKUP(D383,契約台帳!$A$3:$K$4986,9,FALSE)&amp;VLOOKUP(D383,契約台帳!$A$3:$K$4986,11,FALSE))</f>
        <v/>
      </c>
      <c r="G383" s="269" t="str">
        <f>IF(D383="","",VLOOKUP(F383,製品マスタ!$G$5:$H$5002,2,FALSE))</f>
        <v/>
      </c>
      <c r="H383" s="269" t="str">
        <f>IF(D383="","",VLOOKUP(F383,製品マスタ!$G$5:$K$5002,5,FALSE))</f>
        <v/>
      </c>
      <c r="I383" s="270" t="str">
        <f>IF(D383="","",VLOOKUP(F383,製品マスタ!$G$5:$L$5002,6,FALSE))</f>
        <v/>
      </c>
      <c r="J383" s="32"/>
      <c r="K383" s="270" t="str">
        <f>IF(D383="","",VLOOKUP(D383,契約台帳!$A$3:$L$4986,12,FALSE))</f>
        <v/>
      </c>
      <c r="L383" s="270" t="str">
        <f>IF(D383="","",INDEX(製品マスタ!$Q$5:$Q$5002,MATCH(F383&amp;K383,製品マスタ!$AO$5:$AO$5002,0)))</f>
        <v/>
      </c>
      <c r="M383" s="39"/>
      <c r="N383" s="39"/>
      <c r="O383" s="47"/>
      <c r="P383" s="57"/>
      <c r="Q383" s="276" t="str">
        <f>IF(D383="","",IF(J383="リード付け",M383,VLOOKUP(D383,契約台帳!$A$3:$N$4986,14,FALSE)))</f>
        <v/>
      </c>
      <c r="R383" s="277" t="str">
        <f>IF(D383="","",IF(J383="リード付け",M383,VLOOKUP(D383,契約台帳!$A$3:$O$4986,15,FALSE)))</f>
        <v/>
      </c>
      <c r="S383" s="277" t="str">
        <f>IF(D383="","",IF(J383="リード付け",N383,VLOOKUP(D383,契約台帳!$A$3:$P$4986,16,FALSE)))</f>
        <v/>
      </c>
      <c r="T383" s="40"/>
      <c r="U383" s="278" t="str">
        <f ca="1">IF(D383="","",IF(OFFSET(D383,-2,0)=D383,"",VLOOKUP(D383,契約台帳!$A$3:$R$4986,18,FALSE)))</f>
        <v/>
      </c>
      <c r="V383" s="269" t="str">
        <f>IF(J383="巻返し",VLOOKUP(F383&amp;K383&amp;M383,製品マスタ!$M$5:$AD$5002,18,FALSE),IF(J383="リード付け","原反コア",IF(J383="スリット",VLOOKUP(F383&amp;K383&amp;Q383,製品マスタ!$N$5:$AD$5002,17,FALSE),"")))</f>
        <v/>
      </c>
      <c r="W383" s="269" t="str">
        <f>IF(J383="巻返し",VLOOKUP(F383&amp;K383&amp;M383,製品マスタ!$M$5:$AE$5002,19,FALSE),IF(J383="リード付け","-",IF(J383="スリット",VLOOKUP(F383&amp;K383&amp;Q383,製品マスタ!$N$5:$AE$5002,18,FALSE),"")))</f>
        <v/>
      </c>
      <c r="X383" s="275" t="str">
        <f>IF(D383="","",VLOOKUP(D383,契約台帳!$A$3:$Q$4986,17,FALSE))</f>
        <v/>
      </c>
      <c r="Y383" s="269" t="str">
        <f>IF(D383="","",VLOOKUP(D383,契約台帳!$A$3:$E$4986,5,FALSE))</f>
        <v/>
      </c>
      <c r="Z383" s="57"/>
      <c r="AA383" s="207" t="str">
        <f>IFERROR(VLOOKUP(F383&amp;K383&amp;M383,製品マスタ!$M$5:$AM$5002,27,FALSE),"")</f>
        <v/>
      </c>
      <c r="AB383" s="33"/>
      <c r="AC383" s="189"/>
      <c r="AD383" s="54"/>
      <c r="AE383" s="55"/>
      <c r="AF383" s="43"/>
      <c r="AG383" s="47"/>
      <c r="AH383" s="30"/>
      <c r="AI383" s="30"/>
      <c r="AJ383" s="30"/>
      <c r="AK383" s="30"/>
      <c r="AL383" s="13"/>
      <c r="AM383" s="13"/>
      <c r="AN383" s="13"/>
      <c r="AO383" s="13"/>
      <c r="AP383" s="13"/>
      <c r="AQ383" s="14"/>
      <c r="AR383" s="15"/>
    </row>
    <row r="384" spans="1:44" s="17" customFormat="1" ht="30.95" hidden="1" customHeight="1" x14ac:dyDescent="0.2">
      <c r="A384" s="37" t="s">
        <v>1118</v>
      </c>
      <c r="B384" s="38" t="s">
        <v>1111</v>
      </c>
      <c r="C384" s="45"/>
      <c r="D384" s="31"/>
      <c r="E384" s="31"/>
      <c r="F384" s="268" t="str">
        <f>IF(D384="","",VLOOKUP(D384,契約台帳!$A$3:$K$4986,6,FALSE)&amp;VLOOKUP(D384,契約台帳!$A$3:$K$4986,7,FALSE)&amp;VLOOKUP(D384,契約台帳!$A$3:$K$4986,8,FALSE)&amp;VLOOKUP(D384,契約台帳!$A$3:$K$4986,9,FALSE)&amp;VLOOKUP(D384,契約台帳!$A$3:$K$4986,11,FALSE))</f>
        <v/>
      </c>
      <c r="G384" s="269" t="str">
        <f>IF(D384="","",VLOOKUP(F384,製品マスタ!$G$5:$H$5002,2,FALSE))</f>
        <v/>
      </c>
      <c r="H384" s="269" t="str">
        <f>IF(D384="","",VLOOKUP(F384,製品マスタ!$G$5:$K$5002,5,FALSE))</f>
        <v/>
      </c>
      <c r="I384" s="270" t="str">
        <f>IF(D384="","",VLOOKUP(F384,製品マスタ!$G$5:$L$5002,6,FALSE))</f>
        <v/>
      </c>
      <c r="J384" s="32"/>
      <c r="K384" s="270" t="str">
        <f>IF(D384="","",VLOOKUP(D384,契約台帳!$A$3:$L$4986,12,FALSE))</f>
        <v/>
      </c>
      <c r="L384" s="270" t="str">
        <f>IF(D384="","",INDEX(製品マスタ!$Q$5:$Q$5002,MATCH(F384&amp;K384,製品マスタ!$AO$5:$AO$5002,0)))</f>
        <v/>
      </c>
      <c r="M384" s="39"/>
      <c r="N384" s="39"/>
      <c r="O384" s="47"/>
      <c r="P384" s="57"/>
      <c r="Q384" s="276" t="str">
        <f>IF(D384="","",IF(J384="リード付け",M384,VLOOKUP(D384,契約台帳!$A$3:$N$4986,14,FALSE)))</f>
        <v/>
      </c>
      <c r="R384" s="277" t="str">
        <f>IF(D384="","",IF(J384="リード付け",M384,VLOOKUP(D384,契約台帳!$A$3:$O$4986,15,FALSE)))</f>
        <v/>
      </c>
      <c r="S384" s="277" t="str">
        <f>IF(D384="","",IF(J384="リード付け",N384,VLOOKUP(D384,契約台帳!$A$3:$P$4986,16,FALSE)))</f>
        <v/>
      </c>
      <c r="T384" s="40"/>
      <c r="U384" s="278" t="str">
        <f ca="1">IF(D384="","",IF(OFFSET(D384,-2,0)=D384,"",VLOOKUP(D384,契約台帳!$A$3:$R$4986,18,FALSE)))</f>
        <v/>
      </c>
      <c r="V384" s="269" t="str">
        <f>IF(J384="巻返し",VLOOKUP(F384&amp;K384&amp;M384,製品マスタ!$M$5:$AD$5002,18,FALSE),IF(J384="リード付け","原反コア",IF(J384="スリット",VLOOKUP(F384&amp;K384&amp;Q384,製品マスタ!$N$5:$AD$5002,17,FALSE),"")))</f>
        <v/>
      </c>
      <c r="W384" s="269" t="str">
        <f>IF(J384="巻返し",VLOOKUP(F384&amp;K384&amp;M384,製品マスタ!$M$5:$AE$5002,19,FALSE),IF(J384="リード付け","-",IF(J384="スリット",VLOOKUP(F384&amp;K384&amp;Q384,製品マスタ!$N$5:$AE$5002,18,FALSE),"")))</f>
        <v/>
      </c>
      <c r="X384" s="275" t="str">
        <f>IF(D384="","",VLOOKUP(D384,契約台帳!$A$3:$Q$4986,17,FALSE))</f>
        <v/>
      </c>
      <c r="Y384" s="269" t="str">
        <f>IF(D384="","",VLOOKUP(D384,契約台帳!$A$3:$E$4986,5,FALSE))</f>
        <v/>
      </c>
      <c r="Z384" s="57"/>
      <c r="AA384" s="207" t="str">
        <f>IFERROR(VLOOKUP(F384&amp;K384&amp;M384,製品マスタ!$M$5:$AM$5002,27,FALSE),"")</f>
        <v/>
      </c>
      <c r="AB384" s="33"/>
      <c r="AC384" s="189"/>
      <c r="AD384" s="54"/>
      <c r="AE384" s="55"/>
      <c r="AF384" s="43"/>
      <c r="AG384" s="47"/>
      <c r="AH384" s="30"/>
      <c r="AI384" s="30"/>
      <c r="AJ384" s="30"/>
      <c r="AK384" s="30"/>
      <c r="AL384" s="13"/>
      <c r="AM384" s="13"/>
      <c r="AN384" s="13"/>
      <c r="AO384" s="13"/>
      <c r="AP384" s="13"/>
      <c r="AQ384" s="14"/>
      <c r="AR384" s="15"/>
    </row>
    <row r="385" spans="1:44" s="17" customFormat="1" ht="30.95" hidden="1" customHeight="1" x14ac:dyDescent="0.2">
      <c r="A385" s="37"/>
      <c r="B385" s="38"/>
      <c r="C385" s="45"/>
      <c r="D385" s="31"/>
      <c r="E385" s="31"/>
      <c r="F385" s="268" t="str">
        <f>IF(D385="","",VLOOKUP(D385,契約台帳!$A$3:$K$4986,6,FALSE)&amp;VLOOKUP(D385,契約台帳!$A$3:$K$4986,7,FALSE)&amp;VLOOKUP(D385,契約台帳!$A$3:$K$4986,8,FALSE)&amp;VLOOKUP(D385,契約台帳!$A$3:$K$4986,9,FALSE)&amp;VLOOKUP(D385,契約台帳!$A$3:$K$4986,11,FALSE))</f>
        <v/>
      </c>
      <c r="G385" s="269" t="str">
        <f>IF(D385="","",VLOOKUP(F385,製品マスタ!$G$5:$H$5002,2,FALSE))</f>
        <v/>
      </c>
      <c r="H385" s="269" t="str">
        <f>IF(D385="","",VLOOKUP(F385,製品マスタ!$G$5:$K$5002,5,FALSE))</f>
        <v/>
      </c>
      <c r="I385" s="270" t="str">
        <f>IF(D385="","",VLOOKUP(F385,製品マスタ!$G$5:$L$5002,6,FALSE))</f>
        <v/>
      </c>
      <c r="J385" s="32"/>
      <c r="K385" s="270" t="str">
        <f>IF(D385="","",VLOOKUP(D385,契約台帳!$A$3:$L$4986,12,FALSE))</f>
        <v/>
      </c>
      <c r="L385" s="270" t="str">
        <f>IF(D385="","",INDEX(製品マスタ!$Q$5:$Q$5002,MATCH(F385&amp;K385,製品マスタ!$AO$5:$AO$5002,0)))</f>
        <v/>
      </c>
      <c r="M385" s="39"/>
      <c r="N385" s="39"/>
      <c r="O385" s="47"/>
      <c r="P385" s="57"/>
      <c r="Q385" s="276" t="str">
        <f>IF(D385="","",IF(J385="リード付け",M385,VLOOKUP(D385,契約台帳!$A$3:$N$4986,14,FALSE)))</f>
        <v/>
      </c>
      <c r="R385" s="277" t="str">
        <f>IF(D385="","",IF(J385="リード付け",M385,VLOOKUP(D385,契約台帳!$A$3:$O$4986,15,FALSE)))</f>
        <v/>
      </c>
      <c r="S385" s="277" t="str">
        <f>IF(D385="","",IF(J385="リード付け",N385,VLOOKUP(D385,契約台帳!$A$3:$P$4986,16,FALSE)))</f>
        <v/>
      </c>
      <c r="T385" s="40"/>
      <c r="U385" s="278" t="str">
        <f ca="1">IF(D385="","",IF(OFFSET(D385,-2,0)=D385,"",VLOOKUP(D385,契約台帳!$A$3:$R$4986,18,FALSE)))</f>
        <v/>
      </c>
      <c r="V385" s="269" t="str">
        <f>IF(J385="巻返し",VLOOKUP(F385&amp;K385&amp;M385,製品マスタ!$M$5:$AD$5002,18,FALSE),IF(J385="リード付け","原反コア",IF(J385="スリット",VLOOKUP(F385&amp;K385&amp;Q385,製品マスタ!$N$5:$AD$5002,17,FALSE),"")))</f>
        <v/>
      </c>
      <c r="W385" s="269" t="str">
        <f>IF(J385="巻返し",VLOOKUP(F385&amp;K385&amp;M385,製品マスタ!$M$5:$AE$5002,19,FALSE),IF(J385="リード付け","-",IF(J385="スリット",VLOOKUP(F385&amp;K385&amp;Q385,製品マスタ!$N$5:$AE$5002,18,FALSE),"")))</f>
        <v/>
      </c>
      <c r="X385" s="275" t="str">
        <f>IF(D385="","",VLOOKUP(D385,契約台帳!$A$3:$Q$4986,17,FALSE))</f>
        <v/>
      </c>
      <c r="Y385" s="269" t="str">
        <f>IF(D385="","",VLOOKUP(D385,契約台帳!$A$3:$E$4986,5,FALSE))</f>
        <v/>
      </c>
      <c r="Z385" s="57"/>
      <c r="AA385" s="207" t="str">
        <f>IFERROR(VLOOKUP(F385&amp;K385&amp;M385,製品マスタ!$M$5:$AM$5002,27,FALSE),"")</f>
        <v/>
      </c>
      <c r="AB385" s="33"/>
      <c r="AC385" s="189"/>
      <c r="AD385" s="54"/>
      <c r="AE385" s="55"/>
      <c r="AF385" s="43"/>
      <c r="AG385" s="47"/>
      <c r="AH385" s="30"/>
      <c r="AI385" s="30"/>
      <c r="AJ385" s="30"/>
      <c r="AK385" s="30"/>
      <c r="AL385" s="13"/>
      <c r="AM385" s="13"/>
      <c r="AN385" s="13"/>
      <c r="AO385" s="13"/>
      <c r="AP385" s="13"/>
      <c r="AQ385" s="14"/>
      <c r="AR385" s="15"/>
    </row>
    <row r="386" spans="1:44" s="17" customFormat="1" ht="30.95" hidden="1" customHeight="1" x14ac:dyDescent="0.2">
      <c r="A386" s="37" t="s">
        <v>1119</v>
      </c>
      <c r="B386" s="38" t="s">
        <v>442</v>
      </c>
      <c r="C386" s="45"/>
      <c r="D386" s="31">
        <v>3708710</v>
      </c>
      <c r="E386" s="31">
        <v>4170106</v>
      </c>
      <c r="F386" s="268" t="str">
        <f>IF(D386="","",VLOOKUP(D386,契約台帳!$A$3:$K$4986,6,FALSE)&amp;VLOOKUP(D386,契約台帳!$A$3:$K$4986,7,FALSE)&amp;VLOOKUP(D386,契約台帳!$A$3:$K$4986,8,FALSE)&amp;VLOOKUP(D386,契約台帳!$A$3:$K$4986,9,FALSE)&amp;VLOOKUP(D386,契約台帳!$A$3:$K$4986,11,FALSE))</f>
        <v>3SNMLBMNGTBF</v>
      </c>
      <c r="G386" s="269" t="str">
        <f>IF(D386="","",VLOOKUP(F386,製品マスタ!$G$5:$H$5002,2,FALSE))</f>
        <v>S</v>
      </c>
      <c r="H386" s="269" t="str">
        <f>IF(D386="","",VLOOKUP(F386,製品マスタ!$G$5:$K$5002,5,FALSE))</f>
        <v>MNGTBF</v>
      </c>
      <c r="I386" s="270" t="str">
        <f>IF(D386="","",VLOOKUP(F386,製品マスタ!$G$5:$L$5002,6,FALSE))</f>
        <v>メタルミー　ネーマー　銀艶　Ｂ</v>
      </c>
      <c r="J386" s="32" t="s">
        <v>464</v>
      </c>
      <c r="K386" s="270">
        <f>IF(D386="","",VLOOKUP(D386,契約台帳!$A$3:$L$4986,12,FALSE))</f>
        <v>25</v>
      </c>
      <c r="L386" s="270" t="str">
        <f>IF(D386="","",INDEX(製品マスタ!$Q$5:$Q$5002,MATCH(F386&amp;K386,製品マスタ!$AO$5:$AO$5002,0)))</f>
        <v>T62M</v>
      </c>
      <c r="M386" s="39">
        <v>1125</v>
      </c>
      <c r="N386" s="39">
        <v>12100</v>
      </c>
      <c r="O386" s="47">
        <v>1</v>
      </c>
      <c r="P386" s="213">
        <v>45056</v>
      </c>
      <c r="Q386" s="276">
        <f>IF(D386="","",IF(J386="リード付け",M386,VLOOKUP(D386,契約台帳!$A$3:$N$4986,14,FALSE)))</f>
        <v>1125</v>
      </c>
      <c r="R386" s="277">
        <f>IF(D386="","",IF(J386="リード付け",M386,VLOOKUP(D386,契約台帳!$A$3:$O$4986,15,FALSE)))</f>
        <v>1125</v>
      </c>
      <c r="S386" s="277">
        <f>IF(D386="","",IF(J386="リード付け",N386,VLOOKUP(D386,契約台帳!$A$3:$P$4986,16,FALSE)))</f>
        <v>12100</v>
      </c>
      <c r="T386" s="40">
        <v>1</v>
      </c>
      <c r="U386" s="278">
        <f ca="1">IF(D386="","",IF(OFFSET(D386,-2,0)=D386,"",VLOOKUP(D386,契約台帳!$A$3:$R$4986,18,FALSE)))</f>
        <v>3</v>
      </c>
      <c r="V386" s="269" t="str">
        <f>IF(J386="巻返し",VLOOKUP(F386&amp;K386&amp;M386,製品マスタ!$M$5:$AD$5002,18,FALSE),IF(J386="リード付け","原反コア",IF(J386="スリット",VLOOKUP(F386&amp;K386&amp;Q386,製品マスタ!$N$5:$AD$5002,17,FALSE),"")))</f>
        <v>原反コア</v>
      </c>
      <c r="W386" s="269" t="str">
        <f>IF(J386="巻返し",VLOOKUP(F386&amp;K386&amp;M386,製品マスタ!$M$5:$AE$5002,19,FALSE),IF(J386="リード付け","-",IF(J386="スリット",VLOOKUP(F386&amp;K386&amp;Q386,製品マスタ!$N$5:$AE$5002,18,FALSE),"")))</f>
        <v>-</v>
      </c>
      <c r="X386" s="275">
        <f>IF(D386="","",VLOOKUP(D386,契約台帳!$A$3:$Q$4986,17,FALSE))</f>
        <v>2</v>
      </c>
      <c r="Y386" s="269" t="str">
        <f>IF(D386="","",VLOOKUP(D386,契約台帳!$A$3:$E$4986,5,FALSE))</f>
        <v>リンテック㈱</v>
      </c>
      <c r="Z386" s="57"/>
      <c r="AA386" s="207">
        <f>IFERROR(VLOOKUP(F386&amp;K386&amp;M386,製品マスタ!$M$5:$AM$5002,27,FALSE),"")</f>
        <v>0</v>
      </c>
      <c r="AB386" s="33"/>
      <c r="AC386" s="189"/>
      <c r="AD386" s="54"/>
      <c r="AE386" s="55"/>
      <c r="AF386" s="43"/>
      <c r="AG386" s="47"/>
      <c r="AH386" s="30"/>
      <c r="AI386" s="30"/>
      <c r="AJ386" s="30"/>
      <c r="AK386" s="30"/>
      <c r="AL386" s="13"/>
      <c r="AM386" s="13"/>
      <c r="AN386" s="13"/>
      <c r="AO386" s="13"/>
      <c r="AP386" s="13"/>
      <c r="AQ386" s="14"/>
      <c r="AR386" s="15"/>
    </row>
    <row r="387" spans="1:44" s="17" customFormat="1" ht="30.95" hidden="1" customHeight="1" x14ac:dyDescent="0.2">
      <c r="A387" s="37"/>
      <c r="B387" s="38"/>
      <c r="C387" s="45"/>
      <c r="D387" s="31"/>
      <c r="E387" s="31"/>
      <c r="F387" s="268" t="str">
        <f>IF(D387="","",VLOOKUP(D387,契約台帳!$A$3:$K$4986,6,FALSE)&amp;VLOOKUP(D387,契約台帳!$A$3:$K$4986,7,FALSE)&amp;VLOOKUP(D387,契約台帳!$A$3:$K$4986,8,FALSE)&amp;VLOOKUP(D387,契約台帳!$A$3:$K$4986,9,FALSE)&amp;VLOOKUP(D387,契約台帳!$A$3:$K$4986,11,FALSE))</f>
        <v/>
      </c>
      <c r="G387" s="269" t="str">
        <f>IF(D387="","",VLOOKUP(F387,製品マスタ!$G$5:$H$5002,2,FALSE))</f>
        <v/>
      </c>
      <c r="H387" s="269" t="str">
        <f>IF(D387="","",VLOOKUP(F387,製品マスタ!$G$5:$K$5002,5,FALSE))</f>
        <v/>
      </c>
      <c r="I387" s="270" t="str">
        <f>IF(D387="","",VLOOKUP(F387,製品マスタ!$G$5:$L$5002,6,FALSE))</f>
        <v/>
      </c>
      <c r="J387" s="32"/>
      <c r="K387" s="270" t="str">
        <f>IF(D387="","",VLOOKUP(D387,契約台帳!$A$3:$L$4986,12,FALSE))</f>
        <v/>
      </c>
      <c r="L387" s="270" t="str">
        <f>IF(D387="","",INDEX(製品マスタ!$Q$5:$Q$5002,MATCH(F387&amp;K387,製品マスタ!$AO$5:$AO$5002,0)))</f>
        <v/>
      </c>
      <c r="M387" s="39"/>
      <c r="N387" s="39"/>
      <c r="O387" s="47"/>
      <c r="P387" s="57"/>
      <c r="Q387" s="276" t="str">
        <f>IF(D387="","",IF(J387="リード付け",M387,VLOOKUP(D387,契約台帳!$A$3:$N$4986,14,FALSE)))</f>
        <v/>
      </c>
      <c r="R387" s="277" t="str">
        <f>IF(D387="","",IF(J387="リード付け",M387,VLOOKUP(D387,契約台帳!$A$3:$O$4986,15,FALSE)))</f>
        <v/>
      </c>
      <c r="S387" s="277" t="str">
        <f>IF(D387="","",IF(J387="リード付け",N387,VLOOKUP(D387,契約台帳!$A$3:$P$4986,16,FALSE)))</f>
        <v/>
      </c>
      <c r="T387" s="40"/>
      <c r="U387" s="278" t="str">
        <f ca="1">IF(D387="","",IF(OFFSET(D387,-2,0)=D387,"",VLOOKUP(D387,契約台帳!$A$3:$R$4986,18,FALSE)))</f>
        <v/>
      </c>
      <c r="V387" s="269" t="str">
        <f>IF(J387="巻返し",VLOOKUP(F387&amp;K387&amp;M387,製品マスタ!$M$5:$AD$5002,18,FALSE),IF(J387="リード付け","原反コア",IF(J387="スリット",VLOOKUP(F387&amp;K387&amp;Q387,製品マスタ!$N$5:$AD$5002,17,FALSE),"")))</f>
        <v/>
      </c>
      <c r="W387" s="269" t="str">
        <f>IF(J387="巻返し",VLOOKUP(F387&amp;K387&amp;M387,製品マスタ!$M$5:$AE$5002,19,FALSE),IF(J387="リード付け","-",IF(J387="スリット",VLOOKUP(F387&amp;K387&amp;Q387,製品マスタ!$N$5:$AE$5002,18,FALSE),"")))</f>
        <v/>
      </c>
      <c r="X387" s="275" t="str">
        <f>IF(D387="","",VLOOKUP(D387,契約台帳!$A$3:$Q$4986,17,FALSE))</f>
        <v/>
      </c>
      <c r="Y387" s="269" t="str">
        <f>IF(D387="","",VLOOKUP(D387,契約台帳!$A$3:$E$4986,5,FALSE))</f>
        <v/>
      </c>
      <c r="Z387" s="57"/>
      <c r="AA387" s="207" t="str">
        <f>IFERROR(VLOOKUP(F387&amp;K387&amp;M387,製品マスタ!$M$5:$AM$5002,27,FALSE),"")</f>
        <v/>
      </c>
      <c r="AB387" s="33"/>
      <c r="AC387" s="189"/>
      <c r="AD387" s="54"/>
      <c r="AE387" s="55"/>
      <c r="AF387" s="43"/>
      <c r="AG387" s="47"/>
      <c r="AH387" s="30"/>
      <c r="AI387" s="30"/>
      <c r="AJ387" s="30"/>
      <c r="AK387" s="30"/>
      <c r="AL387" s="13"/>
      <c r="AM387" s="13"/>
      <c r="AN387" s="13"/>
      <c r="AO387" s="13"/>
      <c r="AP387" s="13"/>
      <c r="AQ387" s="14"/>
      <c r="AR387" s="15"/>
    </row>
    <row r="388" spans="1:44" s="17" customFormat="1" ht="30.95" hidden="1" customHeight="1" x14ac:dyDescent="0.2">
      <c r="A388" s="37" t="s">
        <v>1120</v>
      </c>
      <c r="B388" s="38" t="s">
        <v>443</v>
      </c>
      <c r="C388" s="45"/>
      <c r="D388" s="31"/>
      <c r="E388" s="31"/>
      <c r="F388" s="268"/>
      <c r="G388" s="269"/>
      <c r="H388" s="269"/>
      <c r="I388" s="270"/>
      <c r="J388" s="32"/>
      <c r="K388" s="270"/>
      <c r="L388" s="270"/>
      <c r="M388" s="39"/>
      <c r="N388" s="39"/>
      <c r="O388" s="47"/>
      <c r="P388" s="57"/>
      <c r="Q388" s="276"/>
      <c r="R388" s="277"/>
      <c r="S388" s="277"/>
      <c r="T388" s="40"/>
      <c r="U388" s="278"/>
      <c r="V388" s="269"/>
      <c r="W388" s="269"/>
      <c r="X388" s="275"/>
      <c r="Y388" s="269"/>
      <c r="Z388" s="57"/>
      <c r="AA388" s="207"/>
      <c r="AB388" s="33"/>
      <c r="AC388" s="189"/>
      <c r="AD388" s="54"/>
      <c r="AE388" s="55"/>
      <c r="AF388" s="43"/>
      <c r="AG388" s="47"/>
      <c r="AH388" s="30"/>
      <c r="AI388" s="30"/>
      <c r="AJ388" s="30"/>
      <c r="AK388" s="30"/>
      <c r="AL388" s="13"/>
      <c r="AM388" s="13"/>
      <c r="AN388" s="13"/>
      <c r="AO388" s="13"/>
      <c r="AP388" s="13"/>
      <c r="AQ388" s="14"/>
      <c r="AR388" s="15"/>
    </row>
    <row r="389" spans="1:44" s="17" customFormat="1" ht="30.95" hidden="1" customHeight="1" x14ac:dyDescent="0.2">
      <c r="A389" s="37"/>
      <c r="B389" s="38"/>
      <c r="C389" s="45"/>
      <c r="D389" s="31"/>
      <c r="E389" s="31"/>
      <c r="F389" s="268"/>
      <c r="G389" s="269"/>
      <c r="H389" s="269"/>
      <c r="I389" s="270"/>
      <c r="J389" s="32"/>
      <c r="K389" s="270"/>
      <c r="L389" s="270"/>
      <c r="M389" s="39"/>
      <c r="N389" s="39"/>
      <c r="O389" s="47"/>
      <c r="P389" s="57"/>
      <c r="Q389" s="276"/>
      <c r="R389" s="277"/>
      <c r="S389" s="277"/>
      <c r="T389" s="40"/>
      <c r="U389" s="278"/>
      <c r="V389" s="269"/>
      <c r="W389" s="269"/>
      <c r="X389" s="275"/>
      <c r="Y389" s="269"/>
      <c r="Z389" s="57"/>
      <c r="AA389" s="207"/>
      <c r="AB389" s="33"/>
      <c r="AC389" s="189"/>
      <c r="AD389" s="54"/>
      <c r="AE389" s="55"/>
      <c r="AF389" s="43"/>
      <c r="AG389" s="47"/>
      <c r="AH389" s="30"/>
      <c r="AI389" s="30"/>
      <c r="AJ389" s="30"/>
      <c r="AK389" s="30"/>
      <c r="AL389" s="13"/>
      <c r="AM389" s="13"/>
      <c r="AN389" s="13"/>
      <c r="AO389" s="13"/>
      <c r="AP389" s="13"/>
      <c r="AQ389" s="14"/>
      <c r="AR389" s="15"/>
    </row>
    <row r="390" spans="1:44" s="17" customFormat="1" ht="30.95" hidden="1" customHeight="1" x14ac:dyDescent="0.2">
      <c r="A390" s="37" t="s">
        <v>1121</v>
      </c>
      <c r="B390" s="38" t="s">
        <v>444</v>
      </c>
      <c r="C390" s="45"/>
      <c r="D390" s="31">
        <v>3708724</v>
      </c>
      <c r="E390" s="31">
        <v>4151362</v>
      </c>
      <c r="F390" s="268" t="str">
        <f>IF(D390="","",VLOOKUP(D390,契約台帳!$A$3:$K$4986,6,FALSE)&amp;VLOOKUP(D390,契約台帳!$A$3:$K$4986,7,FALSE)&amp;VLOOKUP(D390,契約台帳!$A$3:$K$4986,8,FALSE)&amp;VLOOKUP(D390,契約台帳!$A$3:$K$4986,9,FALSE)&amp;VLOOKUP(D390,契約台帳!$A$3:$K$4986,11,FALSE))</f>
        <v>3SYMLBMSNMBZF</v>
      </c>
      <c r="G390" s="269" t="str">
        <f>IF(D390="","",VLOOKUP(F390,製品マスタ!$G$5:$H$5002,2,FALSE))</f>
        <v>S</v>
      </c>
      <c r="H390" s="269" t="str">
        <f>IF(D390="","",VLOOKUP(F390,製品マスタ!$G$5:$K$5002,5,FALSE))</f>
        <v>MSNMBZF</v>
      </c>
      <c r="I390" s="270" t="str">
        <f>IF(D390="","",VLOOKUP(F390,製品マスタ!$G$5:$L$5002,6,FALSE))</f>
        <v>ＭＥＴＡＬＵＭＹ　ＳＩＬＶＥＲ　Ｎ－ＭＡＴＴＥ　Ｂ</v>
      </c>
      <c r="J390" s="32" t="s">
        <v>1123</v>
      </c>
      <c r="K390" s="270">
        <f>IF(D390="","",VLOOKUP(D390,契約台帳!$A$3:$L$4986,12,FALSE))</f>
        <v>50</v>
      </c>
      <c r="L390" s="270" t="str">
        <f>IF(D390="","",INDEX(製品マスタ!$Q$5:$Q$5002,MATCH(F390&amp;K390,製品マスタ!$AO$5:$AO$5002,0)))</f>
        <v>X44</v>
      </c>
      <c r="M390" s="39">
        <v>1120</v>
      </c>
      <c r="N390" s="39">
        <v>12000</v>
      </c>
      <c r="O390" s="47">
        <v>4</v>
      </c>
      <c r="P390" s="57">
        <v>45057</v>
      </c>
      <c r="Q390" s="276">
        <f>IF(D390="","",IF(J390="リード付け",M390,VLOOKUP(D390,契約台帳!$A$3:$N$4986,14,FALSE)))</f>
        <v>1120</v>
      </c>
      <c r="R390" s="277">
        <f>IF(D390="","",IF(J390="リード付け",M390,VLOOKUP(D390,契約台帳!$A$3:$O$4986,15,FALSE)))</f>
        <v>1120</v>
      </c>
      <c r="S390" s="277">
        <f>IF(D390="","",IF(J390="リード付け",N390,VLOOKUP(D390,契約台帳!$A$3:$P$4986,16,FALSE)))</f>
        <v>4000</v>
      </c>
      <c r="T390" s="40">
        <v>12</v>
      </c>
      <c r="U390" s="278">
        <f ca="1">IF(D390="","",IF(OFFSET(D390,-2,0)=D390,"",VLOOKUP(D390,契約台帳!$A$3:$R$4986,18,FALSE)))</f>
        <v>16</v>
      </c>
      <c r="V390" s="269" t="str">
        <f>IF(J390="巻返し",VLOOKUP(F390&amp;K390&amp;M390,製品マスタ!$M$5:$AD$5002,18,FALSE),IF(J390="リード付け","原反コア",IF(J390="スリット",VLOOKUP(F390&amp;K390&amp;Q390,製品マスタ!$N$5:$AD$5002,17,FALSE),"")))</f>
        <v>6ｲﾝﾁMｺｱ</v>
      </c>
      <c r="W390" s="269">
        <f>IF(J390="巻返し",VLOOKUP(F390&amp;K390&amp;M390,製品マスタ!$M$5:$AE$5002,19,FALSE),IF(J390="リード付け","-",IF(J390="スリット",VLOOKUP(F390&amp;K390&amp;Q390,製品マスタ!$N$5:$AE$5002,18,FALSE),"")))</f>
        <v>1125</v>
      </c>
      <c r="X390" s="275">
        <f>IF(D390="","",VLOOKUP(D390,契約台帳!$A$3:$Q$4986,17,FALSE))</f>
        <v>2</v>
      </c>
      <c r="Y390" s="269" t="str">
        <f>IF(D390="","",VLOOKUP(D390,契約台帳!$A$3:$E$4986,5,FALSE))</f>
        <v>リンテック㈱</v>
      </c>
      <c r="Z390" s="57">
        <v>45062</v>
      </c>
      <c r="AA390" s="207">
        <f>IFERROR(VLOOKUP(F390&amp;K390&amp;M390,製品マスタ!$M$5:$AM$5002,27,FALSE),"")</f>
        <v>0</v>
      </c>
      <c r="AB390" s="33"/>
      <c r="AC390" s="189"/>
      <c r="AD390" s="54" t="str">
        <f>IF(F390="","",+F390&amp;K390)</f>
        <v>3SYMLBMSNMBZF50</v>
      </c>
      <c r="AE390" s="55">
        <f>+M390*N390*O390/1000</f>
        <v>53760</v>
      </c>
      <c r="AF390" s="43">
        <f>IF(AD390="","",VLOOKUP(AD390,原価マスタ!$A$2:$AJ$1693,13,FALSE))</f>
        <v>99</v>
      </c>
      <c r="AG390" s="47">
        <f>IF(AF390="","",+AE390*AF390/100)</f>
        <v>53222.400000000001</v>
      </c>
      <c r="AH390" s="30"/>
      <c r="AI390" s="30"/>
      <c r="AJ390" s="30"/>
      <c r="AK390" s="30"/>
      <c r="AL390" s="13"/>
      <c r="AM390" s="13"/>
      <c r="AN390" s="13"/>
      <c r="AO390" s="13"/>
      <c r="AP390" s="13"/>
      <c r="AQ390" s="14"/>
      <c r="AR390" s="15"/>
    </row>
    <row r="391" spans="1:44" s="17" customFormat="1" ht="30.95" hidden="1" customHeight="1" x14ac:dyDescent="0.2">
      <c r="A391" s="37"/>
      <c r="B391" s="38"/>
      <c r="C391" s="45"/>
      <c r="D391" s="31"/>
      <c r="E391" s="31"/>
      <c r="F391" s="268" t="str">
        <f>IF(D391="","",VLOOKUP(D391,契約台帳!$A$3:$K$4986,6,FALSE)&amp;VLOOKUP(D391,契約台帳!$A$3:$K$4986,7,FALSE)&amp;VLOOKUP(D391,契約台帳!$A$3:$K$4986,8,FALSE)&amp;VLOOKUP(D391,契約台帳!$A$3:$K$4986,9,FALSE)&amp;VLOOKUP(D391,契約台帳!$A$3:$K$4986,11,FALSE))</f>
        <v/>
      </c>
      <c r="G391" s="269" t="str">
        <f>IF(D391="","",VLOOKUP(F391,製品マスタ!$G$5:$H$5002,2,FALSE))</f>
        <v/>
      </c>
      <c r="H391" s="269" t="str">
        <f>IF(D391="","",VLOOKUP(F391,製品マスタ!$G$5:$K$5002,5,FALSE))</f>
        <v/>
      </c>
      <c r="I391" s="270" t="str">
        <f>IF(D391="","",VLOOKUP(F391,製品マスタ!$G$5:$L$5002,6,FALSE))</f>
        <v/>
      </c>
      <c r="J391" s="32"/>
      <c r="K391" s="270" t="str">
        <f>IF(D391="","",VLOOKUP(D391,契約台帳!$A$3:$L$4986,12,FALSE))</f>
        <v/>
      </c>
      <c r="L391" s="270" t="str">
        <f>IF(D391="","",INDEX(製品マスタ!$Q$5:$Q$5002,MATCH(F391&amp;K391,製品マスタ!$AO$5:$AO$5002,0)))</f>
        <v/>
      </c>
      <c r="M391" s="39"/>
      <c r="N391" s="39"/>
      <c r="O391" s="47"/>
      <c r="P391" s="57"/>
      <c r="Q391" s="276" t="str">
        <f>IF(D391="","",IF(J391="リード付け",M391,VLOOKUP(D391,契約台帳!$A$3:$N$4986,14,FALSE)))</f>
        <v/>
      </c>
      <c r="R391" s="277" t="str">
        <f>IF(D391="","",IF(J391="リード付け",M391,VLOOKUP(D391,契約台帳!$A$3:$O$4986,15,FALSE)))</f>
        <v/>
      </c>
      <c r="S391" s="277" t="str">
        <f>IF(D391="","",IF(J391="リード付け",N391,VLOOKUP(D391,契約台帳!$A$3:$P$4986,16,FALSE)))</f>
        <v/>
      </c>
      <c r="T391" s="40"/>
      <c r="U391" s="278" t="str">
        <f ca="1">IF(D391="","",IF(OFFSET(D391,-2,0)=D391,"",VLOOKUP(D391,契約台帳!$A$3:$R$4986,18,FALSE)))</f>
        <v/>
      </c>
      <c r="V391" s="269" t="str">
        <f>IF(J391="巻返し",VLOOKUP(F391&amp;K391&amp;M391,製品マスタ!$M$5:$AD$5002,18,FALSE),IF(J391="リード付け","原反コア",IF(J391="スリット",VLOOKUP(F391&amp;K391&amp;Q391,製品マスタ!$N$5:$AD$5002,17,FALSE),"")))</f>
        <v/>
      </c>
      <c r="W391" s="269" t="str">
        <f>IF(J391="巻返し",VLOOKUP(F391&amp;K391&amp;M391,製品マスタ!$M$5:$AE$5002,19,FALSE),IF(J391="リード付け","-",IF(J391="スリット",VLOOKUP(F391&amp;K391&amp;Q391,製品マスタ!$N$5:$AE$5002,18,FALSE),"")))</f>
        <v/>
      </c>
      <c r="X391" s="275" t="str">
        <f>IF(D391="","",VLOOKUP(D391,契約台帳!$A$3:$Q$4986,17,FALSE))</f>
        <v/>
      </c>
      <c r="Y391" s="269" t="str">
        <f>IF(D391="","",VLOOKUP(D391,契約台帳!$A$3:$E$4986,5,FALSE))</f>
        <v/>
      </c>
      <c r="Z391" s="57"/>
      <c r="AA391" s="207" t="str">
        <f>IFERROR(VLOOKUP(F391&amp;K391&amp;M391,製品マスタ!$M$5:$AM$5002,27,FALSE),"")</f>
        <v/>
      </c>
      <c r="AB391" s="33"/>
      <c r="AC391" s="189"/>
      <c r="AD391" s="54"/>
      <c r="AE391" s="55"/>
      <c r="AF391" s="43"/>
      <c r="AG391" s="47"/>
      <c r="AH391" s="30"/>
      <c r="AI391" s="30"/>
      <c r="AJ391" s="30"/>
      <c r="AK391" s="30"/>
      <c r="AL391" s="13"/>
      <c r="AM391" s="13"/>
      <c r="AN391" s="13"/>
      <c r="AO391" s="13"/>
      <c r="AP391" s="13"/>
      <c r="AQ391" s="14"/>
      <c r="AR391" s="15"/>
    </row>
    <row r="392" spans="1:44" s="17" customFormat="1" ht="30.95" hidden="1" customHeight="1" x14ac:dyDescent="0.2">
      <c r="A392" s="37" t="s">
        <v>1124</v>
      </c>
      <c r="B392" s="38" t="s">
        <v>445</v>
      </c>
      <c r="C392" s="45"/>
      <c r="D392" s="31">
        <v>3708724</v>
      </c>
      <c r="E392" s="31">
        <v>4151362</v>
      </c>
      <c r="F392" s="268" t="str">
        <f>IF(D392="","",VLOOKUP(D392,契約台帳!$A$3:$K$4986,6,FALSE)&amp;VLOOKUP(D392,契約台帳!$A$3:$K$4986,7,FALSE)&amp;VLOOKUP(D392,契約台帳!$A$3:$K$4986,8,FALSE)&amp;VLOOKUP(D392,契約台帳!$A$3:$K$4986,9,FALSE)&amp;VLOOKUP(D392,契約台帳!$A$3:$K$4986,11,FALSE))</f>
        <v>3SYMLBMSNMBZF</v>
      </c>
      <c r="G392" s="269" t="str">
        <f>IF(D392="","",VLOOKUP(F392,製品マスタ!$G$5:$H$5002,2,FALSE))</f>
        <v>S</v>
      </c>
      <c r="H392" s="269" t="str">
        <f>IF(D392="","",VLOOKUP(F392,製品マスタ!$G$5:$K$5002,5,FALSE))</f>
        <v>MSNMBZF</v>
      </c>
      <c r="I392" s="270" t="str">
        <f>IF(D392="","",VLOOKUP(F392,製品マスタ!$G$5:$L$5002,6,FALSE))</f>
        <v>ＭＥＴＡＬＵＭＹ　ＳＩＬＶＥＲ　Ｎ－ＭＡＴＴＥ　Ｂ</v>
      </c>
      <c r="J392" s="32" t="s">
        <v>1123</v>
      </c>
      <c r="K392" s="270">
        <f>IF(D392="","",VLOOKUP(D392,契約台帳!$A$3:$L$4986,12,FALSE))</f>
        <v>50</v>
      </c>
      <c r="L392" s="270" t="str">
        <f>IF(D392="","",INDEX(製品マスタ!$Q$5:$Q$5002,MATCH(F392&amp;K392,製品マスタ!$AO$5:$AO$5002,0)))</f>
        <v>X44</v>
      </c>
      <c r="M392" s="39">
        <v>1120</v>
      </c>
      <c r="N392" s="39">
        <v>8000</v>
      </c>
      <c r="O392" s="47">
        <v>2</v>
      </c>
      <c r="P392" s="57">
        <v>45057</v>
      </c>
      <c r="Q392" s="276">
        <f>IF(D392="","",IF(J392="リード付け",M392,VLOOKUP(D392,契約台帳!$A$3:$N$4986,14,FALSE)))</f>
        <v>1120</v>
      </c>
      <c r="R392" s="277">
        <f>IF(D392="","",IF(J392="リード付け",M392,VLOOKUP(D392,契約台帳!$A$3:$O$4986,15,FALSE)))</f>
        <v>1120</v>
      </c>
      <c r="S392" s="277">
        <f>IF(D392="","",IF(J392="リード付け",N392,VLOOKUP(D392,契約台帳!$A$3:$P$4986,16,FALSE)))</f>
        <v>4000</v>
      </c>
      <c r="T392" s="40">
        <v>4</v>
      </c>
      <c r="U392" s="278" t="str">
        <f ca="1">IF(D392="","",IF(OFFSET(D392,-2,0)=D392,"",VLOOKUP(D392,契約台帳!$A$3:$R$4986,18,FALSE)))</f>
        <v/>
      </c>
      <c r="V392" s="269" t="str">
        <f>IF(J392="巻返し",VLOOKUP(F392&amp;K392&amp;M392,製品マスタ!$M$5:$AD$5002,18,FALSE),IF(J392="リード付け","原反コア",IF(J392="スリット",VLOOKUP(F392&amp;K392&amp;Q392,製品マスタ!$N$5:$AD$5002,17,FALSE),"")))</f>
        <v>6ｲﾝﾁMｺｱ</v>
      </c>
      <c r="W392" s="269">
        <f>IF(J392="巻返し",VLOOKUP(F392&amp;K392&amp;M392,製品マスタ!$M$5:$AE$5002,19,FALSE),IF(J392="リード付け","-",IF(J392="スリット",VLOOKUP(F392&amp;K392&amp;Q392,製品マスタ!$N$5:$AE$5002,18,FALSE),"")))</f>
        <v>1125</v>
      </c>
      <c r="X392" s="275">
        <f>IF(D392="","",VLOOKUP(D392,契約台帳!$A$3:$Q$4986,17,FALSE))</f>
        <v>2</v>
      </c>
      <c r="Y392" s="269" t="str">
        <f>IF(D392="","",VLOOKUP(D392,契約台帳!$A$3:$E$4986,5,FALSE))</f>
        <v>リンテック㈱</v>
      </c>
      <c r="Z392" s="57">
        <v>45062</v>
      </c>
      <c r="AA392" s="207">
        <f>IFERROR(VLOOKUP(F392&amp;K392&amp;M392,製品マスタ!$M$5:$AM$5002,27,FALSE),"")</f>
        <v>0</v>
      </c>
      <c r="AB392" s="33"/>
      <c r="AC392" s="189"/>
      <c r="AD392" s="54" t="str">
        <f>IF(F392="","",+F392&amp;K392)</f>
        <v>3SYMLBMSNMBZF50</v>
      </c>
      <c r="AE392" s="55">
        <f>+M392*N392*O392/1000</f>
        <v>17920</v>
      </c>
      <c r="AF392" s="43">
        <f>IF(AD392="","",VLOOKUP(AD392,原価マスタ!$A$2:$AJ$1693,13,FALSE))</f>
        <v>99</v>
      </c>
      <c r="AG392" s="47">
        <f>IF(AF392="","",+AE392*AF392/100)</f>
        <v>17740.8</v>
      </c>
      <c r="AH392" s="30"/>
      <c r="AI392" s="30"/>
      <c r="AJ392" s="30"/>
      <c r="AK392" s="30"/>
      <c r="AL392" s="13"/>
      <c r="AM392" s="13"/>
      <c r="AN392" s="13"/>
      <c r="AO392" s="13"/>
      <c r="AP392" s="13"/>
      <c r="AQ392" s="14"/>
      <c r="AR392" s="15"/>
    </row>
    <row r="393" spans="1:44" s="17" customFormat="1" ht="30.95" hidden="1" customHeight="1" x14ac:dyDescent="0.2">
      <c r="A393" s="37"/>
      <c r="B393" s="38"/>
      <c r="C393" s="45"/>
      <c r="D393" s="31"/>
      <c r="E393" s="31"/>
      <c r="F393" s="268" t="str">
        <f>IF(D393="","",VLOOKUP(D393,契約台帳!$A$3:$K$4986,6,FALSE)&amp;VLOOKUP(D393,契約台帳!$A$3:$K$4986,7,FALSE)&amp;VLOOKUP(D393,契約台帳!$A$3:$K$4986,8,FALSE)&amp;VLOOKUP(D393,契約台帳!$A$3:$K$4986,9,FALSE)&amp;VLOOKUP(D393,契約台帳!$A$3:$K$4986,11,FALSE))</f>
        <v/>
      </c>
      <c r="G393" s="269" t="str">
        <f>IF(D393="","",VLOOKUP(F393,製品マスタ!$G$5:$H$5002,2,FALSE))</f>
        <v/>
      </c>
      <c r="H393" s="269" t="str">
        <f>IF(D393="","",VLOOKUP(F393,製品マスタ!$G$5:$K$5002,5,FALSE))</f>
        <v/>
      </c>
      <c r="I393" s="270" t="str">
        <f>IF(D393="","",VLOOKUP(F393,製品マスタ!$G$5:$L$5002,6,FALSE))</f>
        <v/>
      </c>
      <c r="J393" s="32"/>
      <c r="K393" s="270" t="str">
        <f>IF(D393="","",VLOOKUP(D393,契約台帳!$A$3:$L$4986,12,FALSE))</f>
        <v/>
      </c>
      <c r="L393" s="270" t="str">
        <f>IF(D393="","",INDEX(製品マスタ!$Q$5:$Q$5002,MATCH(F393&amp;K393,製品マスタ!$AO$5:$AO$5002,0)))</f>
        <v/>
      </c>
      <c r="M393" s="39"/>
      <c r="N393" s="39"/>
      <c r="O393" s="47"/>
      <c r="P393" s="57"/>
      <c r="Q393" s="276" t="str">
        <f>IF(D393="","",IF(J393="リード付け",M393,VLOOKUP(D393,契約台帳!$A$3:$N$4986,14,FALSE)))</f>
        <v/>
      </c>
      <c r="R393" s="277" t="str">
        <f>IF(D393="","",IF(J393="リード付け",M393,VLOOKUP(D393,契約台帳!$A$3:$O$4986,15,FALSE)))</f>
        <v/>
      </c>
      <c r="S393" s="277" t="str">
        <f>IF(D393="","",IF(J393="リード付け",N393,VLOOKUP(D393,契約台帳!$A$3:$P$4986,16,FALSE)))</f>
        <v/>
      </c>
      <c r="T393" s="40"/>
      <c r="U393" s="278" t="str">
        <f ca="1">IF(D393="","",IF(OFFSET(D393,-2,0)=D393,"",VLOOKUP(D393,契約台帳!$A$3:$R$4986,18,FALSE)))</f>
        <v/>
      </c>
      <c r="V393" s="269" t="str">
        <f>IF(J393="巻返し",VLOOKUP(F393&amp;K393&amp;M393,製品マスタ!$M$5:$AD$5002,18,FALSE),IF(J393="リード付け","原反コア",IF(J393="スリット",VLOOKUP(F393&amp;K393&amp;Q393,製品マスタ!$N$5:$AD$5002,17,FALSE),"")))</f>
        <v/>
      </c>
      <c r="W393" s="269" t="str">
        <f>IF(J393="巻返し",VLOOKUP(F393&amp;K393&amp;M393,製品マスタ!$M$5:$AE$5002,19,FALSE),IF(J393="リード付け","-",IF(J393="スリット",VLOOKUP(F393&amp;K393&amp;Q393,製品マスタ!$N$5:$AE$5002,18,FALSE),"")))</f>
        <v/>
      </c>
      <c r="X393" s="275" t="str">
        <f>IF(D393="","",VLOOKUP(D393,契約台帳!$A$3:$Q$4986,17,FALSE))</f>
        <v/>
      </c>
      <c r="Y393" s="269" t="str">
        <f>IF(D393="","",VLOOKUP(D393,契約台帳!$A$3:$E$4986,5,FALSE))</f>
        <v/>
      </c>
      <c r="Z393" s="57"/>
      <c r="AA393" s="207" t="str">
        <f>IFERROR(VLOOKUP(F393&amp;K393&amp;M393,製品マスタ!$M$5:$AM$5002,27,FALSE),"")</f>
        <v/>
      </c>
      <c r="AB393" s="33"/>
      <c r="AC393" s="189"/>
      <c r="AD393" s="54"/>
      <c r="AE393" s="55"/>
      <c r="AF393" s="43"/>
      <c r="AG393" s="47"/>
      <c r="AH393" s="30"/>
      <c r="AI393" s="30"/>
      <c r="AJ393" s="30"/>
      <c r="AK393" s="30"/>
      <c r="AL393" s="13"/>
      <c r="AM393" s="13"/>
      <c r="AN393" s="13"/>
      <c r="AO393" s="13"/>
      <c r="AP393" s="13"/>
      <c r="AQ393" s="14"/>
      <c r="AR393" s="15"/>
    </row>
    <row r="394" spans="1:44" s="17" customFormat="1" ht="30.95" hidden="1" customHeight="1" x14ac:dyDescent="0.2">
      <c r="A394" s="37"/>
      <c r="B394" s="38"/>
      <c r="C394" s="45"/>
      <c r="D394" s="31">
        <v>3708705</v>
      </c>
      <c r="E394" s="31">
        <v>4151349</v>
      </c>
      <c r="F394" s="268" t="str">
        <f>IF(D394="","",VLOOKUP(D394,契約台帳!$A$3:$K$4986,6,FALSE)&amp;VLOOKUP(D394,契約台帳!$A$3:$K$4986,7,FALSE)&amp;VLOOKUP(D394,契約台帳!$A$3:$K$4986,8,FALSE)&amp;VLOOKUP(D394,契約台帳!$A$3:$K$4986,9,FALSE)&amp;VLOOKUP(D394,契約台帳!$A$3:$K$4986,11,FALSE))</f>
        <v>3SNMLBMNGKKBF</v>
      </c>
      <c r="G394" s="269" t="str">
        <f>IF(D394="","",VLOOKUP(F394,製品マスタ!$G$5:$H$5002,2,FALSE))</f>
        <v>S</v>
      </c>
      <c r="H394" s="269" t="str">
        <f>IF(D394="","",VLOOKUP(F394,製品マスタ!$G$5:$K$5002,5,FALSE))</f>
        <v>MNGKKBF</v>
      </c>
      <c r="I394" s="270" t="str">
        <f>IF(D394="","",VLOOKUP(F394,製品マスタ!$G$5:$L$5002,6,FALSE))</f>
        <v>メタルミー　ネーマー銀消改　Ｂ</v>
      </c>
      <c r="J394" s="32" t="s">
        <v>1123</v>
      </c>
      <c r="K394" s="270">
        <f>IF(D394="","",VLOOKUP(D394,契約台帳!$A$3:$L$4986,12,FALSE))</f>
        <v>25</v>
      </c>
      <c r="L394" s="270" t="str">
        <f>IF(D394="","",INDEX(製品マスタ!$Q$5:$Q$5002,MATCH(F394&amp;K394,製品マスタ!$AO$5:$AO$5002,0)))</f>
        <v>FMATS99</v>
      </c>
      <c r="M394" s="39">
        <v>1120</v>
      </c>
      <c r="N394" s="39">
        <v>11400</v>
      </c>
      <c r="O394" s="47">
        <v>3</v>
      </c>
      <c r="P394" s="57">
        <v>45058</v>
      </c>
      <c r="Q394" s="276">
        <f>IF(D394="","",IF(J394="リード付け",M394,VLOOKUP(D394,契約台帳!$A$3:$N$4986,14,FALSE)))</f>
        <v>1120</v>
      </c>
      <c r="R394" s="277">
        <f>IF(D394="","",IF(J394="リード付け",M394,VLOOKUP(D394,契約台帳!$A$3:$O$4986,15,FALSE)))</f>
        <v>1120</v>
      </c>
      <c r="S394" s="277">
        <f>IF(D394="","",IF(J394="リード付け",N394,VLOOKUP(D394,契約台帳!$A$3:$P$4986,16,FALSE)))</f>
        <v>4000</v>
      </c>
      <c r="T394" s="40">
        <v>9</v>
      </c>
      <c r="U394" s="278">
        <f ca="1">IF(D394="","",IF(OFFSET(D394,-2,0)=D394,"",VLOOKUP(D394,契約台帳!$A$3:$R$4986,18,FALSE)))</f>
        <v>9</v>
      </c>
      <c r="V394" s="269" t="str">
        <f>IF(J394="巻返し",VLOOKUP(F394&amp;K394&amp;M394,製品マスタ!$M$5:$AD$5002,18,FALSE),IF(J394="リード付け","原反コア",IF(J394="スリット",VLOOKUP(F394&amp;K394&amp;Q394,製品マスタ!$N$5:$AD$5002,17,FALSE),"")))</f>
        <v>6ｲﾝﾁSｺｱ</v>
      </c>
      <c r="W394" s="269">
        <f>IF(J394="巻返し",VLOOKUP(F394&amp;K394&amp;M394,製品マスタ!$M$5:$AE$5002,19,FALSE),IF(J394="リード付け","-",IF(J394="スリット",VLOOKUP(F394&amp;K394&amp;Q394,製品マスタ!$N$5:$AE$5002,18,FALSE),"")))</f>
        <v>1125</v>
      </c>
      <c r="X394" s="275">
        <f>IF(D394="","",VLOOKUP(D394,契約台帳!$A$3:$Q$4986,17,FALSE))</f>
        <v>2</v>
      </c>
      <c r="Y394" s="269" t="str">
        <f>IF(D394="","",VLOOKUP(D394,契約台帳!$A$3:$E$4986,5,FALSE))</f>
        <v>リンテック㈱</v>
      </c>
      <c r="Z394" s="57">
        <v>45062</v>
      </c>
      <c r="AA394" s="207">
        <f>IFERROR(VLOOKUP(F394&amp;K394&amp;M394,製品マスタ!$M$5:$AM$5002,27,FALSE),"")</f>
        <v>0</v>
      </c>
      <c r="AB394" s="33"/>
      <c r="AC394" s="189"/>
      <c r="AD394" s="54" t="str">
        <f>IF(F394="","",+F394&amp;K394)</f>
        <v>3SNMLBMNGKKBF25</v>
      </c>
      <c r="AE394" s="55">
        <f>+M394*N394*O394/1000</f>
        <v>38304</v>
      </c>
      <c r="AF394" s="43">
        <f>IF(AD394="","",VLOOKUP(AD394,原価マスタ!$A$2:$AJ$1693,13,FALSE))</f>
        <v>96</v>
      </c>
      <c r="AG394" s="47">
        <f>IF(AF394="","",+AE394*AF394/100)</f>
        <v>36771.839999999997</v>
      </c>
      <c r="AH394" s="30"/>
      <c r="AI394" s="30"/>
      <c r="AJ394" s="30"/>
      <c r="AK394" s="30"/>
      <c r="AL394" s="13"/>
      <c r="AM394" s="13"/>
      <c r="AN394" s="13"/>
      <c r="AO394" s="13"/>
      <c r="AP394" s="13"/>
      <c r="AQ394" s="14"/>
      <c r="AR394" s="15"/>
    </row>
    <row r="395" spans="1:44" s="17" customFormat="1" ht="30.95" hidden="1" customHeight="1" x14ac:dyDescent="0.2">
      <c r="A395" s="37"/>
      <c r="B395" s="38"/>
      <c r="C395" s="45"/>
      <c r="D395" s="31"/>
      <c r="E395" s="31"/>
      <c r="F395" s="268" t="str">
        <f>IF(D395="","",VLOOKUP(D395,契約台帳!$A$3:$K$4986,6,FALSE)&amp;VLOOKUP(D395,契約台帳!$A$3:$K$4986,7,FALSE)&amp;VLOOKUP(D395,契約台帳!$A$3:$K$4986,8,FALSE)&amp;VLOOKUP(D395,契約台帳!$A$3:$K$4986,9,FALSE)&amp;VLOOKUP(D395,契約台帳!$A$3:$K$4986,11,FALSE))</f>
        <v/>
      </c>
      <c r="G395" s="269" t="str">
        <f>IF(D395="","",VLOOKUP(F395,製品マスタ!$G$5:$H$5002,2,FALSE))</f>
        <v/>
      </c>
      <c r="H395" s="269" t="str">
        <f>IF(D395="","",VLOOKUP(F395,製品マスタ!$G$5:$K$5002,5,FALSE))</f>
        <v/>
      </c>
      <c r="I395" s="270" t="str">
        <f>IF(D395="","",VLOOKUP(F395,製品マスタ!$G$5:$L$5002,6,FALSE))</f>
        <v/>
      </c>
      <c r="J395" s="32"/>
      <c r="K395" s="270" t="str">
        <f>IF(D395="","",VLOOKUP(D395,契約台帳!$A$3:$L$4986,12,FALSE))</f>
        <v/>
      </c>
      <c r="L395" s="270" t="str">
        <f>IF(D395="","",INDEX(製品マスタ!$Q$5:$Q$5002,MATCH(F395&amp;K395,製品マスタ!$AO$5:$AO$5002,0)))</f>
        <v/>
      </c>
      <c r="M395" s="39"/>
      <c r="N395" s="39"/>
      <c r="O395" s="47"/>
      <c r="P395" s="57"/>
      <c r="Q395" s="276" t="str">
        <f>IF(D395="","",IF(J395="リード付け",M395,VLOOKUP(D395,契約台帳!$A$3:$N$4986,14,FALSE)))</f>
        <v/>
      </c>
      <c r="R395" s="277" t="str">
        <f>IF(D395="","",IF(J395="リード付け",M395,VLOOKUP(D395,契約台帳!$A$3:$O$4986,15,FALSE)))</f>
        <v/>
      </c>
      <c r="S395" s="277" t="str">
        <f>IF(D395="","",IF(J395="リード付け",N395,VLOOKUP(D395,契約台帳!$A$3:$P$4986,16,FALSE)))</f>
        <v/>
      </c>
      <c r="T395" s="40"/>
      <c r="U395" s="278" t="str">
        <f ca="1">IF(D395="","",IF(OFFSET(D395,-2,0)=D395,"",VLOOKUP(D395,契約台帳!$A$3:$R$4986,18,FALSE)))</f>
        <v/>
      </c>
      <c r="V395" s="269" t="str">
        <f>IF(J395="巻返し",VLOOKUP(F395&amp;K395&amp;M395,製品マスタ!$M$5:$AD$5002,18,FALSE),IF(J395="リード付け","原反コア",IF(J395="スリット",VLOOKUP(F395&amp;K395&amp;Q395,製品マスタ!$N$5:$AD$5002,17,FALSE),"")))</f>
        <v/>
      </c>
      <c r="W395" s="269" t="str">
        <f>IF(J395="巻返し",VLOOKUP(F395&amp;K395&amp;M395,製品マスタ!$M$5:$AE$5002,19,FALSE),IF(J395="リード付け","-",IF(J395="スリット",VLOOKUP(F395&amp;K395&amp;Q395,製品マスタ!$N$5:$AE$5002,18,FALSE),"")))</f>
        <v/>
      </c>
      <c r="X395" s="275" t="str">
        <f>IF(D395="","",VLOOKUP(D395,契約台帳!$A$3:$Q$4986,17,FALSE))</f>
        <v/>
      </c>
      <c r="Y395" s="269" t="str">
        <f>IF(D395="","",VLOOKUP(D395,契約台帳!$A$3:$E$4986,5,FALSE))</f>
        <v/>
      </c>
      <c r="Z395" s="57"/>
      <c r="AA395" s="207" t="str">
        <f>IFERROR(VLOOKUP(F395&amp;K395&amp;M395,製品マスタ!$M$5:$AM$5002,27,FALSE),"")</f>
        <v/>
      </c>
      <c r="AB395" s="33"/>
      <c r="AC395" s="189"/>
      <c r="AD395" s="54"/>
      <c r="AE395" s="55"/>
      <c r="AF395" s="43"/>
      <c r="AG395" s="47"/>
      <c r="AH395" s="30"/>
      <c r="AI395" s="30"/>
      <c r="AJ395" s="30"/>
      <c r="AK395" s="30"/>
      <c r="AL395" s="13"/>
      <c r="AM395" s="13"/>
      <c r="AN395" s="13"/>
      <c r="AO395" s="13"/>
      <c r="AP395" s="13"/>
      <c r="AQ395" s="14"/>
      <c r="AR395" s="15"/>
    </row>
    <row r="396" spans="1:44" s="17" customFormat="1" ht="30.95" hidden="1" customHeight="1" x14ac:dyDescent="0.2">
      <c r="A396" s="37" t="s">
        <v>1125</v>
      </c>
      <c r="B396" s="38" t="s">
        <v>1107</v>
      </c>
      <c r="C396" s="45"/>
      <c r="D396" s="31"/>
      <c r="E396" s="31"/>
      <c r="F396" s="268" t="str">
        <f>IF(D396="","",VLOOKUP(D396,契約台帳!$A$3:$K$4986,6,FALSE)&amp;VLOOKUP(D396,契約台帳!$A$3:$K$4986,7,FALSE)&amp;VLOOKUP(D396,契約台帳!$A$3:$K$4986,8,FALSE)&amp;VLOOKUP(D396,契約台帳!$A$3:$K$4986,9,FALSE)&amp;VLOOKUP(D396,契約台帳!$A$3:$K$4986,11,FALSE))</f>
        <v/>
      </c>
      <c r="G396" s="269" t="str">
        <f>IF(D396="","",VLOOKUP(F396,製品マスタ!$G$5:$H$5002,2,FALSE))</f>
        <v/>
      </c>
      <c r="H396" s="269" t="str">
        <f>IF(D396="","",VLOOKUP(F396,製品マスタ!$G$5:$K$5002,5,FALSE))</f>
        <v/>
      </c>
      <c r="I396" s="270" t="str">
        <f>IF(D396="","",VLOOKUP(F396,製品マスタ!$G$5:$L$5002,6,FALSE))</f>
        <v/>
      </c>
      <c r="J396" s="32" t="s">
        <v>1126</v>
      </c>
      <c r="K396" s="270" t="str">
        <f>IF(D396="","",VLOOKUP(D396,契約台帳!$A$3:$L$4986,12,FALSE))</f>
        <v/>
      </c>
      <c r="L396" s="270" t="str">
        <f>IF(D396="","",INDEX(製品マスタ!$Q$5:$Q$5002,MATCH(F396&amp;K396,製品マスタ!$AO$5:$AO$5002,0)))</f>
        <v/>
      </c>
      <c r="M396" s="39"/>
      <c r="N396" s="39"/>
      <c r="O396" s="47"/>
      <c r="P396" s="57"/>
      <c r="Q396" s="276" t="str">
        <f>IF(D396="","",IF(J396="リード付け",M396,VLOOKUP(D396,契約台帳!$A$3:$N$4986,14,FALSE)))</f>
        <v/>
      </c>
      <c r="R396" s="277" t="str">
        <f>IF(D396="","",IF(J396="リード付け",M396,VLOOKUP(D396,契約台帳!$A$3:$O$4986,15,FALSE)))</f>
        <v/>
      </c>
      <c r="S396" s="277" t="str">
        <f>IF(D396="","",IF(J396="リード付け",N396,VLOOKUP(D396,契約台帳!$A$3:$P$4986,16,FALSE)))</f>
        <v/>
      </c>
      <c r="T396" s="40"/>
      <c r="U396" s="278" t="str">
        <f ca="1">IF(D396="","",IF(OFFSET(D396,-2,0)=D396,"",VLOOKUP(D396,契約台帳!$A$3:$R$4986,18,FALSE)))</f>
        <v/>
      </c>
      <c r="V396" s="269" t="str">
        <f>IF(J396="巻返し",VLOOKUP(F396&amp;K396&amp;M396,製品マスタ!$M$5:$AD$5002,18,FALSE),IF(J396="リード付け","原反コア",IF(J396="スリット",VLOOKUP(F396&amp;K396&amp;Q396,製品マスタ!$N$5:$AD$5002,17,FALSE),"")))</f>
        <v/>
      </c>
      <c r="W396" s="269" t="str">
        <f>IF(J396="巻返し",VLOOKUP(F396&amp;K396&amp;M396,製品マスタ!$M$5:$AE$5002,19,FALSE),IF(J396="リード付け","-",IF(J396="スリット",VLOOKUP(F396&amp;K396&amp;Q396,製品マスタ!$N$5:$AE$5002,18,FALSE),"")))</f>
        <v/>
      </c>
      <c r="X396" s="275" t="str">
        <f>IF(D396="","",VLOOKUP(D396,契約台帳!$A$3:$Q$4986,17,FALSE))</f>
        <v/>
      </c>
      <c r="Y396" s="269" t="str">
        <f>IF(D396="","",VLOOKUP(D396,契約台帳!$A$3:$E$4986,5,FALSE))</f>
        <v/>
      </c>
      <c r="Z396" s="57"/>
      <c r="AA396" s="207" t="str">
        <f>IFERROR(VLOOKUP(F396&amp;K396&amp;M396,製品マスタ!$M$5:$AM$5002,27,FALSE),"")</f>
        <v/>
      </c>
      <c r="AB396" s="33"/>
      <c r="AC396" s="189"/>
      <c r="AD396" s="54"/>
      <c r="AE396" s="55"/>
      <c r="AF396" s="43"/>
      <c r="AG396" s="47"/>
      <c r="AH396" s="30"/>
      <c r="AI396" s="30"/>
      <c r="AJ396" s="30"/>
      <c r="AK396" s="30"/>
      <c r="AL396" s="13"/>
      <c r="AM396" s="13"/>
      <c r="AN396" s="13"/>
      <c r="AO396" s="13"/>
      <c r="AP396" s="13"/>
      <c r="AQ396" s="14"/>
      <c r="AR396" s="15"/>
    </row>
    <row r="397" spans="1:44" s="17" customFormat="1" ht="30.95" hidden="1" customHeight="1" x14ac:dyDescent="0.2">
      <c r="A397" s="37"/>
      <c r="B397" s="38"/>
      <c r="C397" s="45"/>
      <c r="D397" s="31"/>
      <c r="E397" s="31"/>
      <c r="F397" s="268" t="str">
        <f>IF(D397="","",VLOOKUP(D397,契約台帳!$A$3:$K$4986,6,FALSE)&amp;VLOOKUP(D397,契約台帳!$A$3:$K$4986,7,FALSE)&amp;VLOOKUP(D397,契約台帳!$A$3:$K$4986,8,FALSE)&amp;VLOOKUP(D397,契約台帳!$A$3:$K$4986,9,FALSE)&amp;VLOOKUP(D397,契約台帳!$A$3:$K$4986,11,FALSE))</f>
        <v/>
      </c>
      <c r="G397" s="269" t="str">
        <f>IF(D397="","",VLOOKUP(F397,製品マスタ!$G$5:$H$5002,2,FALSE))</f>
        <v/>
      </c>
      <c r="H397" s="269" t="str">
        <f>IF(D397="","",VLOOKUP(F397,製品マスタ!$G$5:$K$5002,5,FALSE))</f>
        <v/>
      </c>
      <c r="I397" s="270" t="str">
        <f>IF(D397="","",VLOOKUP(F397,製品マスタ!$G$5:$L$5002,6,FALSE))</f>
        <v/>
      </c>
      <c r="J397" s="32"/>
      <c r="K397" s="270" t="str">
        <f>IF(D397="","",VLOOKUP(D397,契約台帳!$A$3:$L$4986,12,FALSE))</f>
        <v/>
      </c>
      <c r="L397" s="270" t="str">
        <f>IF(D397="","",INDEX(製品マスタ!$Q$5:$Q$5002,MATCH(F397&amp;K397,製品マスタ!$AO$5:$AO$5002,0)))</f>
        <v/>
      </c>
      <c r="M397" s="39"/>
      <c r="N397" s="39"/>
      <c r="O397" s="47"/>
      <c r="P397" s="57"/>
      <c r="Q397" s="276" t="str">
        <f>IF(D397="","",IF(J397="リード付け",M397,VLOOKUP(D397,契約台帳!$A$3:$N$4986,14,FALSE)))</f>
        <v/>
      </c>
      <c r="R397" s="277" t="str">
        <f>IF(D397="","",IF(J397="リード付け",M397,VLOOKUP(D397,契約台帳!$A$3:$O$4986,15,FALSE)))</f>
        <v/>
      </c>
      <c r="S397" s="277" t="str">
        <f>IF(D397="","",IF(J397="リード付け",N397,VLOOKUP(D397,契約台帳!$A$3:$P$4986,16,FALSE)))</f>
        <v/>
      </c>
      <c r="T397" s="40"/>
      <c r="U397" s="278" t="str">
        <f ca="1">IF(D397="","",IF(OFFSET(D397,-2,0)=D397,"",VLOOKUP(D397,契約台帳!$A$3:$R$4986,18,FALSE)))</f>
        <v/>
      </c>
      <c r="V397" s="269" t="str">
        <f>IF(J397="巻返し",VLOOKUP(F397&amp;K397&amp;M397,製品マスタ!$M$5:$AD$5002,18,FALSE),IF(J397="リード付け","原反コア",IF(J397="スリット",VLOOKUP(F397&amp;K397&amp;Q397,製品マスタ!$N$5:$AD$5002,17,FALSE),"")))</f>
        <v/>
      </c>
      <c r="W397" s="269" t="str">
        <f>IF(J397="巻返し",VLOOKUP(F397&amp;K397&amp;M397,製品マスタ!$M$5:$AE$5002,19,FALSE),IF(J397="リード付け","-",IF(J397="スリット",VLOOKUP(F397&amp;K397&amp;Q397,製品マスタ!$N$5:$AE$5002,18,FALSE),"")))</f>
        <v/>
      </c>
      <c r="X397" s="275" t="str">
        <f>IF(D397="","",VLOOKUP(D397,契約台帳!$A$3:$Q$4986,17,FALSE))</f>
        <v/>
      </c>
      <c r="Y397" s="269" t="str">
        <f>IF(D397="","",VLOOKUP(D397,契約台帳!$A$3:$E$4986,5,FALSE))</f>
        <v/>
      </c>
      <c r="Z397" s="57"/>
      <c r="AA397" s="207" t="str">
        <f>IFERROR(VLOOKUP(F397&amp;K397&amp;M397,製品マスタ!$M$5:$AM$5002,27,FALSE),"")</f>
        <v/>
      </c>
      <c r="AB397" s="33"/>
      <c r="AC397" s="189"/>
      <c r="AD397" s="54"/>
      <c r="AE397" s="55"/>
      <c r="AF397" s="43"/>
      <c r="AG397" s="47"/>
      <c r="AH397" s="30"/>
      <c r="AI397" s="30"/>
      <c r="AJ397" s="30"/>
      <c r="AK397" s="30"/>
      <c r="AL397" s="13"/>
      <c r="AM397" s="13"/>
      <c r="AN397" s="13"/>
      <c r="AO397" s="13"/>
      <c r="AP397" s="13"/>
      <c r="AQ397" s="14"/>
      <c r="AR397" s="15"/>
    </row>
    <row r="398" spans="1:44" s="17" customFormat="1" ht="30.75" hidden="1" customHeight="1" x14ac:dyDescent="0.2">
      <c r="A398" s="37" t="s">
        <v>1152</v>
      </c>
      <c r="B398" s="38" t="s">
        <v>1153</v>
      </c>
      <c r="C398" s="45"/>
      <c r="D398" s="31">
        <v>3708725</v>
      </c>
      <c r="E398" s="31">
        <v>4151357</v>
      </c>
      <c r="F398" s="268" t="str">
        <f>IF(D398="","",VLOOKUP(D398,契約台帳!$A$3:$K$4986,6,FALSE)&amp;VLOOKUP(D398,契約台帳!$A$3:$K$4986,7,FALSE)&amp;VLOOKUP(D398,契約台帳!$A$3:$K$4986,8,FALSE)&amp;VLOOKUP(D398,契約台帳!$A$3:$K$4986,9,FALSE)&amp;VLOOKUP(D398,契約台帳!$A$3:$K$4986,11,FALSE))</f>
        <v>3SYMLBMSBBZF</v>
      </c>
      <c r="G398" s="269" t="str">
        <f>IF(D398="","",VLOOKUP(F398,製品マスタ!$G$5:$H$5002,2,FALSE))</f>
        <v>S</v>
      </c>
      <c r="H398" s="269" t="str">
        <f>IF(D398="","",VLOOKUP(F398,製品マスタ!$G$5:$K$5002,5,FALSE))</f>
        <v>MSBBZF</v>
      </c>
      <c r="I398" s="270" t="str">
        <f>IF(D398="","",VLOOKUP(F398,製品マスタ!$G$5:$L$5002,6,FALSE))</f>
        <v>ＭＥＴＡＬＵＭＹ　ＳＩＬＶＥＲ　ＢＲＩＧＨＴ　Ｂ</v>
      </c>
      <c r="J398" s="32" t="s">
        <v>447</v>
      </c>
      <c r="K398" s="270">
        <f>IF(D398="","",VLOOKUP(D398,契約台帳!$A$3:$L$4986,12,FALSE))</f>
        <v>50</v>
      </c>
      <c r="L398" s="270" t="str">
        <f>IF(D398="","",INDEX(製品マスタ!$Q$5:$Q$5002,MATCH(F398&amp;K398,製品マスタ!$AO$5:$AO$5002,0)))</f>
        <v>T62</v>
      </c>
      <c r="M398" s="39">
        <v>1120</v>
      </c>
      <c r="N398" s="39">
        <v>10000</v>
      </c>
      <c r="O398" s="47">
        <v>1</v>
      </c>
      <c r="P398" s="57">
        <v>45058</v>
      </c>
      <c r="Q398" s="276">
        <f>IF(D398="","",IF(J398="リード付け",M398,VLOOKUP(D398,契約台帳!$A$3:$N$4986,14,FALSE)))</f>
        <v>1120</v>
      </c>
      <c r="R398" s="277">
        <f>IF(D398="","",IF(J398="リード付け",M398,VLOOKUP(D398,契約台帳!$A$3:$O$4986,15,FALSE)))</f>
        <v>1120</v>
      </c>
      <c r="S398" s="277">
        <f>IF(D398="","",IF(J398="リード付け",N398,VLOOKUP(D398,契約台帳!$A$3:$P$4986,16,FALSE)))</f>
        <v>5000</v>
      </c>
      <c r="T398" s="40">
        <v>2</v>
      </c>
      <c r="U398" s="278">
        <f ca="1">IF(D398="","",IF(OFFSET(D398,-2,0)=D398,"",VLOOKUP(D398,契約台帳!$A$3:$R$4986,18,FALSE)))</f>
        <v>2</v>
      </c>
      <c r="V398" s="269" t="str">
        <f>IF(J398="巻返し",VLOOKUP(F398&amp;K398&amp;M398,製品マスタ!$M$5:$AD$5002,18,FALSE),IF(J398="リード付け","原反コア",IF(J398="スリット",VLOOKUP(F398&amp;K398&amp;Q398,製品マスタ!$N$5:$AD$5002,17,FALSE),"")))</f>
        <v>6ｲﾝﾁSｺｱ</v>
      </c>
      <c r="W398" s="269">
        <f>IF(J398="巻返し",VLOOKUP(F398&amp;K398&amp;M398,製品マスタ!$M$5:$AE$5002,19,FALSE),IF(J398="リード付け","-",IF(J398="スリット",VLOOKUP(F398&amp;K398&amp;Q398,製品マスタ!$N$5:$AE$5002,18,FALSE),"")))</f>
        <v>1125</v>
      </c>
      <c r="X398" s="275">
        <f>IF(D398="","",VLOOKUP(D398,契約台帳!$A$3:$Q$4986,17,FALSE))</f>
        <v>2</v>
      </c>
      <c r="Y398" s="269" t="str">
        <f>IF(D398="","",VLOOKUP(D398,契約台帳!$A$3:$E$4986,5,FALSE))</f>
        <v>リンテック㈱</v>
      </c>
      <c r="Z398" s="57">
        <v>45063</v>
      </c>
      <c r="AA398" s="207" t="str">
        <f>IFERROR(VLOOKUP(F398&amp;K398&amp;M398,製品マスタ!$M$5:$AM$5002,27,FALSE),"")</f>
        <v>原反ケース再利用</v>
      </c>
      <c r="AB398" s="33"/>
      <c r="AC398" s="189"/>
      <c r="AD398" s="54" t="str">
        <f>IF(F398="","",+F398&amp;K398)</f>
        <v>3SYMLBMSBBZF50</v>
      </c>
      <c r="AE398" s="55">
        <f>+M398*N398*O398/1000</f>
        <v>11200</v>
      </c>
      <c r="AF398" s="43">
        <f>IF(AD398="","",VLOOKUP(AD398,原価マスタ!$A$2:$AJ$1693,13,FALSE))</f>
        <v>99</v>
      </c>
      <c r="AG398" s="47">
        <f>IF(AF398="","",+AE398*AF398/100)</f>
        <v>11088</v>
      </c>
      <c r="AH398" s="30"/>
      <c r="AI398" s="30"/>
      <c r="AJ398" s="30"/>
      <c r="AK398" s="30"/>
      <c r="AL398" s="13"/>
      <c r="AM398" s="13"/>
      <c r="AN398" s="13"/>
      <c r="AO398" s="13"/>
      <c r="AP398" s="13"/>
      <c r="AQ398" s="14"/>
      <c r="AR398" s="15"/>
    </row>
    <row r="399" spans="1:44" s="17" customFormat="1" ht="30.95" hidden="1" customHeight="1" x14ac:dyDescent="0.2">
      <c r="A399" s="37"/>
      <c r="B399" s="38"/>
      <c r="C399" s="45"/>
      <c r="D399" s="31"/>
      <c r="E399" s="31"/>
      <c r="F399" s="268" t="str">
        <f>IF(D399="","",VLOOKUP(D399,契約台帳!$A$3:$K$4986,6,FALSE)&amp;VLOOKUP(D399,契約台帳!$A$3:$K$4986,7,FALSE)&amp;VLOOKUP(D399,契約台帳!$A$3:$K$4986,8,FALSE)&amp;VLOOKUP(D399,契約台帳!$A$3:$K$4986,9,FALSE)&amp;VLOOKUP(D399,契約台帳!$A$3:$K$4986,11,FALSE))</f>
        <v/>
      </c>
      <c r="G399" s="269" t="str">
        <f>IF(D399="","",VLOOKUP(F399,製品マスタ!$G$5:$H$5002,2,FALSE))</f>
        <v/>
      </c>
      <c r="H399" s="269" t="str">
        <f>IF(D399="","",VLOOKUP(F399,製品マスタ!$G$5:$K$5002,5,FALSE))</f>
        <v/>
      </c>
      <c r="I399" s="270" t="str">
        <f>IF(D399="","",VLOOKUP(F399,製品マスタ!$G$5:$L$5002,6,FALSE))</f>
        <v/>
      </c>
      <c r="J399" s="32"/>
      <c r="K399" s="270" t="str">
        <f>IF(D399="","",VLOOKUP(D399,契約台帳!$A$3:$L$4986,12,FALSE))</f>
        <v/>
      </c>
      <c r="L399" s="270" t="str">
        <f>IF(D399="","",INDEX(製品マスタ!$Q$5:$Q$5002,MATCH(F399&amp;K399,製品マスタ!$AO$5:$AO$5002,0)))</f>
        <v/>
      </c>
      <c r="M399" s="39"/>
      <c r="N399" s="39"/>
      <c r="O399" s="47"/>
      <c r="P399" s="57"/>
      <c r="Q399" s="276" t="str">
        <f>IF(D399="","",IF(J399="リード付け",M399,VLOOKUP(D399,契約台帳!$A$3:$N$4986,14,FALSE)))</f>
        <v/>
      </c>
      <c r="R399" s="277" t="str">
        <f>IF(D399="","",IF(J399="リード付け",M399,VLOOKUP(D399,契約台帳!$A$3:$O$4986,15,FALSE)))</f>
        <v/>
      </c>
      <c r="S399" s="277" t="str">
        <f>IF(D399="","",IF(J399="リード付け",N399,VLOOKUP(D399,契約台帳!$A$3:$P$4986,16,FALSE)))</f>
        <v/>
      </c>
      <c r="T399" s="40"/>
      <c r="U399" s="278" t="str">
        <f ca="1">IF(D399="","",IF(OFFSET(D399,-2,0)=D399,"",VLOOKUP(D399,契約台帳!$A$3:$R$4986,18,FALSE)))</f>
        <v/>
      </c>
      <c r="V399" s="269" t="str">
        <f>IF(J399="巻返し",VLOOKUP(F399&amp;K399&amp;M399,製品マスタ!$M$5:$AD$5002,18,FALSE),IF(J399="リード付け","原反コア",IF(J399="スリット",VLOOKUP(F399&amp;K399&amp;Q399,製品マスタ!$N$5:$AD$5002,17,FALSE),"")))</f>
        <v/>
      </c>
      <c r="W399" s="269" t="str">
        <f>IF(J399="巻返し",VLOOKUP(F399&amp;K399&amp;M399,製品マスタ!$M$5:$AE$5002,19,FALSE),IF(J399="リード付け","-",IF(J399="スリット",VLOOKUP(F399&amp;K399&amp;Q399,製品マスタ!$N$5:$AE$5002,18,FALSE),"")))</f>
        <v/>
      </c>
      <c r="X399" s="275" t="str">
        <f>IF(D399="","",VLOOKUP(D399,契約台帳!$A$3:$Q$4986,17,FALSE))</f>
        <v/>
      </c>
      <c r="Y399" s="269" t="str">
        <f>IF(D399="","",VLOOKUP(D399,契約台帳!$A$3:$E$4986,5,FALSE))</f>
        <v/>
      </c>
      <c r="Z399" s="57"/>
      <c r="AA399" s="207" t="str">
        <f>IFERROR(VLOOKUP(F399&amp;K399&amp;M399,製品マスタ!$M$5:$AM$5002,27,FALSE),"")</f>
        <v/>
      </c>
      <c r="AB399" s="33"/>
      <c r="AC399" s="189"/>
      <c r="AD399" s="54"/>
      <c r="AE399" s="55"/>
      <c r="AF399" s="43"/>
      <c r="AG399" s="47"/>
      <c r="AH399" s="30"/>
      <c r="AI399" s="30"/>
      <c r="AJ399" s="30"/>
      <c r="AK399" s="30"/>
      <c r="AL399" s="13"/>
      <c r="AM399" s="13"/>
      <c r="AN399" s="13"/>
      <c r="AO399" s="13"/>
      <c r="AP399" s="13"/>
      <c r="AQ399" s="14"/>
      <c r="AR399" s="15"/>
    </row>
    <row r="400" spans="1:44" s="17" customFormat="1" ht="30.95" hidden="1" customHeight="1" x14ac:dyDescent="0.2">
      <c r="A400" s="37"/>
      <c r="B400" s="38"/>
      <c r="C400" s="45"/>
      <c r="D400" s="31">
        <v>3708707</v>
      </c>
      <c r="E400" s="31">
        <v>4151347</v>
      </c>
      <c r="F400" s="268" t="str">
        <f>IF(D400="","",VLOOKUP(D400,契約台帳!$A$3:$K$4986,6,FALSE)&amp;VLOOKUP(D400,契約台帳!$A$3:$K$4986,7,FALSE)&amp;VLOOKUP(D400,契約台帳!$A$3:$K$4986,8,FALSE)&amp;VLOOKUP(D400,契約台帳!$A$3:$K$4986,9,FALSE)&amp;VLOOKUP(D400,契約台帳!$A$3:$K$4986,11,FALSE))</f>
        <v>3SNMLBMNGKBF</v>
      </c>
      <c r="G400" s="269" t="str">
        <f>IF(D400="","",VLOOKUP(F400,製品マスタ!$G$5:$H$5002,2,FALSE))</f>
        <v>S</v>
      </c>
      <c r="H400" s="269" t="str">
        <f>IF(D400="","",VLOOKUP(F400,製品マスタ!$G$5:$K$5002,5,FALSE))</f>
        <v>MNGKBF</v>
      </c>
      <c r="I400" s="270" t="str">
        <f>IF(D400="","",VLOOKUP(F400,製品マスタ!$G$5:$L$5002,6,FALSE))</f>
        <v>メタルミー　ネーマー銀消　Ｂ</v>
      </c>
      <c r="J400" s="32" t="s">
        <v>447</v>
      </c>
      <c r="K400" s="270">
        <f>IF(D400="","",VLOOKUP(D400,契約台帳!$A$3:$L$4986,12,FALSE))</f>
        <v>50</v>
      </c>
      <c r="L400" s="270" t="str">
        <f>IF(D400="","",INDEX(製品マスタ!$Q$5:$Q$5002,MATCH(F400&amp;K400,製品マスタ!$AO$5:$AO$5002,0)))</f>
        <v>MAT</v>
      </c>
      <c r="M400" s="39">
        <v>1050</v>
      </c>
      <c r="N400" s="39">
        <v>8200</v>
      </c>
      <c r="O400" s="47">
        <v>2</v>
      </c>
      <c r="P400" s="57">
        <v>45058</v>
      </c>
      <c r="Q400" s="276">
        <f>IF(D400="","",IF(J400="リード付け",M400,VLOOKUP(D400,契約台帳!$A$3:$N$4986,14,FALSE)))</f>
        <v>1050</v>
      </c>
      <c r="R400" s="277">
        <f>IF(D400="","",IF(J400="リード付け",M400,VLOOKUP(D400,契約台帳!$A$3:$O$4986,15,FALSE)))</f>
        <v>1050</v>
      </c>
      <c r="S400" s="277">
        <f>IF(D400="","",IF(J400="リード付け",N400,VLOOKUP(D400,契約台帳!$A$3:$P$4986,16,FALSE)))</f>
        <v>4100</v>
      </c>
      <c r="T400" s="40">
        <v>4</v>
      </c>
      <c r="U400" s="278">
        <f ca="1">IF(D400="","",IF(OFFSET(D400,-2,0)=D400,"",VLOOKUP(D400,契約台帳!$A$3:$R$4986,18,FALSE)))</f>
        <v>4</v>
      </c>
      <c r="V400" s="269" t="str">
        <f>IF(J400="巻返し",VLOOKUP(F400&amp;K400&amp;M400,製品マスタ!$M$5:$AD$5002,18,FALSE),IF(J400="リード付け","原反コア",IF(J400="スリット",VLOOKUP(F400&amp;K400&amp;Q400,製品マスタ!$N$5:$AD$5002,17,FALSE),"")))</f>
        <v>6ｲﾝﾁSｺｱ</v>
      </c>
      <c r="W400" s="269">
        <f>IF(J400="巻返し",VLOOKUP(F400&amp;K400&amp;M400,製品マスタ!$M$5:$AE$5002,19,FALSE),IF(J400="リード付け","-",IF(J400="スリット",VLOOKUP(F400&amp;K400&amp;Q400,製品マスタ!$N$5:$AE$5002,18,FALSE),"")))</f>
        <v>1055</v>
      </c>
      <c r="X400" s="275">
        <f>IF(D400="","",VLOOKUP(D400,契約台帳!$A$3:$Q$4986,17,FALSE))</f>
        <v>2</v>
      </c>
      <c r="Y400" s="269" t="str">
        <f>IF(D400="","",VLOOKUP(D400,契約台帳!$A$3:$E$4986,5,FALSE))</f>
        <v>リンテック㈱</v>
      </c>
      <c r="Z400" s="57">
        <v>45063</v>
      </c>
      <c r="AA400" s="207">
        <f>IFERROR(VLOOKUP(F400&amp;K400&amp;M400,製品マスタ!$M$5:$AM$5002,27,FALSE),"")</f>
        <v>0</v>
      </c>
      <c r="AB400" s="33"/>
      <c r="AC400" s="189"/>
      <c r="AD400" s="54" t="str">
        <f>IF(F400="","",+F400&amp;K400)</f>
        <v>3SNMLBMNGKBF50</v>
      </c>
      <c r="AE400" s="55">
        <f>+M400*N400*O400/1000</f>
        <v>17220</v>
      </c>
      <c r="AF400" s="43">
        <f>IF(AD400="","",VLOOKUP(AD400,原価マスタ!$A$2:$AJ$1693,13,FALSE))</f>
        <v>98</v>
      </c>
      <c r="AG400" s="47">
        <f>IF(AF400="","",+AE400*AF400/100)</f>
        <v>16875.599999999999</v>
      </c>
      <c r="AH400" s="30"/>
      <c r="AI400" s="30"/>
      <c r="AJ400" s="30"/>
      <c r="AK400" s="30"/>
      <c r="AL400" s="13"/>
      <c r="AM400" s="13"/>
      <c r="AN400" s="13"/>
      <c r="AO400" s="13"/>
      <c r="AP400" s="13"/>
      <c r="AQ400" s="14"/>
      <c r="AR400" s="15"/>
    </row>
    <row r="401" spans="1:44" s="17" customFormat="1" ht="30.95" hidden="1" customHeight="1" x14ac:dyDescent="0.2">
      <c r="A401" s="37"/>
      <c r="B401" s="38"/>
      <c r="C401" s="45"/>
      <c r="D401" s="31"/>
      <c r="E401" s="31"/>
      <c r="F401" s="268" t="str">
        <f>IF(D401="","",VLOOKUP(D401,契約台帳!$A$3:$K$4986,6,FALSE)&amp;VLOOKUP(D401,契約台帳!$A$3:$K$4986,7,FALSE)&amp;VLOOKUP(D401,契約台帳!$A$3:$K$4986,8,FALSE)&amp;VLOOKUP(D401,契約台帳!$A$3:$K$4986,9,FALSE)&amp;VLOOKUP(D401,契約台帳!$A$3:$K$4986,11,FALSE))</f>
        <v/>
      </c>
      <c r="G401" s="269" t="str">
        <f>IF(D401="","",VLOOKUP(F401,製品マスタ!$G$5:$H$5002,2,FALSE))</f>
        <v/>
      </c>
      <c r="H401" s="269" t="str">
        <f>IF(D401="","",VLOOKUP(F401,製品マスタ!$G$5:$K$5002,5,FALSE))</f>
        <v/>
      </c>
      <c r="I401" s="270" t="str">
        <f>IF(D401="","",VLOOKUP(F401,製品マスタ!$G$5:$L$5002,6,FALSE))</f>
        <v/>
      </c>
      <c r="J401" s="32"/>
      <c r="K401" s="270" t="str">
        <f>IF(D401="","",VLOOKUP(D401,契約台帳!$A$3:$L$4986,12,FALSE))</f>
        <v/>
      </c>
      <c r="L401" s="270" t="str">
        <f>IF(D401="","",INDEX(製品マスタ!$Q$5:$Q$5002,MATCH(F401&amp;K401,製品マスタ!$AO$5:$AO$5002,0)))</f>
        <v/>
      </c>
      <c r="M401" s="39"/>
      <c r="N401" s="39"/>
      <c r="O401" s="47"/>
      <c r="P401" s="57"/>
      <c r="Q401" s="276" t="str">
        <f>IF(D401="","",IF(J401="リード付け",M401,VLOOKUP(D401,契約台帳!$A$3:$N$4986,14,FALSE)))</f>
        <v/>
      </c>
      <c r="R401" s="277" t="str">
        <f>IF(D401="","",IF(J401="リード付け",M401,VLOOKUP(D401,契約台帳!$A$3:$O$4986,15,FALSE)))</f>
        <v/>
      </c>
      <c r="S401" s="277" t="str">
        <f>IF(D401="","",IF(J401="リード付け",N401,VLOOKUP(D401,契約台帳!$A$3:$P$4986,16,FALSE)))</f>
        <v/>
      </c>
      <c r="T401" s="40"/>
      <c r="U401" s="278" t="str">
        <f ca="1">IF(D401="","",IF(OFFSET(D401,-2,0)=D401,"",VLOOKUP(D401,契約台帳!$A$3:$R$4986,18,FALSE)))</f>
        <v/>
      </c>
      <c r="V401" s="269" t="str">
        <f>IF(J401="巻返し",VLOOKUP(F401&amp;K401&amp;M401,製品マスタ!$M$5:$AD$5002,18,FALSE),IF(J401="リード付け","原反コア",IF(J401="スリット",VLOOKUP(F401&amp;K401&amp;Q401,製品マスタ!$N$5:$AD$5002,17,FALSE),"")))</f>
        <v/>
      </c>
      <c r="W401" s="269" t="str">
        <f>IF(J401="巻返し",VLOOKUP(F401&amp;K401&amp;M401,製品マスタ!$M$5:$AE$5002,19,FALSE),IF(J401="リード付け","-",IF(J401="スリット",VLOOKUP(F401&amp;K401&amp;Q401,製品マスタ!$N$5:$AE$5002,18,FALSE),"")))</f>
        <v/>
      </c>
      <c r="X401" s="275" t="str">
        <f>IF(D401="","",VLOOKUP(D401,契約台帳!$A$3:$Q$4986,17,FALSE))</f>
        <v/>
      </c>
      <c r="Y401" s="269" t="str">
        <f>IF(D401="","",VLOOKUP(D401,契約台帳!$A$3:$E$4986,5,FALSE))</f>
        <v/>
      </c>
      <c r="Z401" s="57"/>
      <c r="AA401" s="207" t="str">
        <f>IFERROR(VLOOKUP(F401&amp;K401&amp;M401,製品マスタ!$M$5:$AM$5002,27,FALSE),"")</f>
        <v/>
      </c>
      <c r="AB401" s="33"/>
      <c r="AC401" s="189"/>
      <c r="AD401" s="54"/>
      <c r="AE401" s="55"/>
      <c r="AF401" s="43"/>
      <c r="AG401" s="47"/>
      <c r="AH401" s="30"/>
      <c r="AI401" s="30"/>
      <c r="AJ401" s="30"/>
      <c r="AK401" s="30"/>
      <c r="AL401" s="13"/>
      <c r="AM401" s="13"/>
      <c r="AN401" s="13"/>
      <c r="AO401" s="13"/>
      <c r="AP401" s="13"/>
      <c r="AQ401" s="14"/>
      <c r="AR401" s="15"/>
    </row>
    <row r="402" spans="1:44" s="17" customFormat="1" ht="30.95" hidden="1" customHeight="1" x14ac:dyDescent="0.2">
      <c r="A402" s="37"/>
      <c r="B402" s="38"/>
      <c r="C402" s="45"/>
      <c r="D402" s="31">
        <v>3708708</v>
      </c>
      <c r="E402" s="31">
        <v>4151348</v>
      </c>
      <c r="F402" s="268" t="str">
        <f>IF(D402="","",VLOOKUP(D402,契約台帳!$A$3:$K$4986,6,FALSE)&amp;VLOOKUP(D402,契約台帳!$A$3:$K$4986,7,FALSE)&amp;VLOOKUP(D402,契約台帳!$A$3:$K$4986,8,FALSE)&amp;VLOOKUP(D402,契約台帳!$A$3:$K$4986,9,FALSE)&amp;VLOOKUP(D402,契約台帳!$A$3:$K$4986,11,FALSE))</f>
        <v>3SNMLBMNGKBF</v>
      </c>
      <c r="G402" s="269" t="str">
        <f>IF(D402="","",VLOOKUP(F402,製品マスタ!$G$5:$H$5002,2,FALSE))</f>
        <v>S</v>
      </c>
      <c r="H402" s="269" t="str">
        <f>IF(D402="","",VLOOKUP(F402,製品マスタ!$G$5:$K$5002,5,FALSE))</f>
        <v>MNGKBF</v>
      </c>
      <c r="I402" s="270" t="str">
        <f>IF(D402="","",VLOOKUP(F402,製品マスタ!$G$5:$L$5002,6,FALSE))</f>
        <v>メタルミー　ネーマー銀消　Ｂ</v>
      </c>
      <c r="J402" s="32" t="s">
        <v>447</v>
      </c>
      <c r="K402" s="270">
        <f>IF(D402="","",VLOOKUP(D402,契約台帳!$A$3:$L$4986,12,FALSE))</f>
        <v>75</v>
      </c>
      <c r="L402" s="270" t="str">
        <f>IF(D402="","",INDEX(製品マスタ!$Q$5:$Q$5002,MATCH(F402&amp;K402,製品マスタ!$AO$5:$AO$5002,0)))</f>
        <v>MAT</v>
      </c>
      <c r="M402" s="39">
        <v>1050</v>
      </c>
      <c r="N402" s="39">
        <v>6000</v>
      </c>
      <c r="O402" s="47">
        <v>1</v>
      </c>
      <c r="P402" s="57">
        <v>45058</v>
      </c>
      <c r="Q402" s="276">
        <f>IF(D402="","",IF(J402="リード付け",M402,VLOOKUP(D402,契約台帳!$A$3:$N$4986,14,FALSE)))</f>
        <v>1050</v>
      </c>
      <c r="R402" s="277">
        <f>IF(D402="","",IF(J402="リード付け",M402,VLOOKUP(D402,契約台帳!$A$3:$O$4986,15,FALSE)))</f>
        <v>1050</v>
      </c>
      <c r="S402" s="277">
        <f>IF(D402="","",IF(J402="リード付け",N402,VLOOKUP(D402,契約台帳!$A$3:$P$4986,16,FALSE)))</f>
        <v>2000</v>
      </c>
      <c r="T402" s="40">
        <v>3</v>
      </c>
      <c r="U402" s="278">
        <f ca="1">IF(D402="","",IF(OFFSET(D402,-2,0)=D402,"",VLOOKUP(D402,契約台帳!$A$3:$R$4986,18,FALSE)))</f>
        <v>3</v>
      </c>
      <c r="V402" s="269" t="str">
        <f>IF(J402="巻返し",VLOOKUP(F402&amp;K402&amp;M402,製品マスタ!$M$5:$AD$5002,18,FALSE),IF(J402="リード付け","原反コア",IF(J402="スリット",VLOOKUP(F402&amp;K402&amp;Q402,製品マスタ!$N$5:$AD$5002,17,FALSE),"")))</f>
        <v>6ｲﾝﾁSｺｱ</v>
      </c>
      <c r="W402" s="269">
        <f>IF(J402="巻返し",VLOOKUP(F402&amp;K402&amp;M402,製品マスタ!$M$5:$AE$5002,19,FALSE),IF(J402="リード付け","-",IF(J402="スリット",VLOOKUP(F402&amp;K402&amp;Q402,製品マスタ!$N$5:$AE$5002,18,FALSE),"")))</f>
        <v>1055</v>
      </c>
      <c r="X402" s="275">
        <f>IF(D402="","",VLOOKUP(D402,契約台帳!$A$3:$Q$4986,17,FALSE))</f>
        <v>2</v>
      </c>
      <c r="Y402" s="269" t="str">
        <f>IF(D402="","",VLOOKUP(D402,契約台帳!$A$3:$E$4986,5,FALSE))</f>
        <v>リンテック㈱</v>
      </c>
      <c r="Z402" s="57">
        <v>45063</v>
      </c>
      <c r="AA402" s="207">
        <f>IFERROR(VLOOKUP(F402&amp;K402&amp;M402,製品マスタ!$M$5:$AM$5002,27,FALSE),"")</f>
        <v>0</v>
      </c>
      <c r="AB402" s="33"/>
      <c r="AC402" s="189"/>
      <c r="AD402" s="54" t="str">
        <f>IF(F402="","",+F402&amp;K402)</f>
        <v>3SNMLBMNGKBF75</v>
      </c>
      <c r="AE402" s="55">
        <f>+M402*N402*O402/1000</f>
        <v>6300</v>
      </c>
      <c r="AF402" s="43">
        <f>IF(AD402="","",VLOOKUP(AD402,原価マスタ!$A$2:$AJ$1693,13,FALSE))</f>
        <v>97</v>
      </c>
      <c r="AG402" s="47">
        <f>IF(AF402="","",+AE402*AF402/100)</f>
        <v>6111</v>
      </c>
      <c r="AH402" s="30"/>
      <c r="AI402" s="30"/>
      <c r="AJ402" s="30"/>
      <c r="AK402" s="30"/>
      <c r="AL402" s="13"/>
      <c r="AM402" s="13"/>
      <c r="AN402" s="13"/>
      <c r="AO402" s="13"/>
      <c r="AP402" s="13"/>
      <c r="AQ402" s="14"/>
      <c r="AR402" s="15"/>
    </row>
    <row r="403" spans="1:44" s="17" customFormat="1" ht="30.95" hidden="1" customHeight="1" x14ac:dyDescent="0.2">
      <c r="A403" s="37"/>
      <c r="B403" s="38"/>
      <c r="C403" s="45"/>
      <c r="D403" s="31"/>
      <c r="E403" s="31"/>
      <c r="F403" s="268"/>
      <c r="G403" s="269"/>
      <c r="H403" s="269"/>
      <c r="I403" s="270"/>
      <c r="J403" s="32"/>
      <c r="K403" s="270"/>
      <c r="L403" s="270"/>
      <c r="M403" s="39"/>
      <c r="N403" s="39"/>
      <c r="O403" s="47"/>
      <c r="P403" s="57"/>
      <c r="Q403" s="276"/>
      <c r="R403" s="277"/>
      <c r="S403" s="277"/>
      <c r="T403" s="40"/>
      <c r="U403" s="278"/>
      <c r="V403" s="269"/>
      <c r="W403" s="269"/>
      <c r="X403" s="275"/>
      <c r="Y403" s="269"/>
      <c r="Z403" s="57"/>
      <c r="AA403" s="207"/>
      <c r="AB403" s="33"/>
      <c r="AC403" s="189"/>
      <c r="AD403" s="54"/>
      <c r="AE403" s="55"/>
      <c r="AF403" s="43"/>
      <c r="AG403" s="47"/>
      <c r="AH403" s="30"/>
      <c r="AI403" s="30"/>
      <c r="AJ403" s="30"/>
      <c r="AK403" s="30"/>
      <c r="AL403" s="13"/>
      <c r="AM403" s="13"/>
      <c r="AN403" s="13"/>
      <c r="AO403" s="13"/>
      <c r="AP403" s="13"/>
      <c r="AQ403" s="14"/>
      <c r="AR403" s="15"/>
    </row>
    <row r="404" spans="1:44" s="17" customFormat="1" ht="30.95" hidden="1" customHeight="1" x14ac:dyDescent="0.2">
      <c r="A404" s="37" t="s">
        <v>1128</v>
      </c>
      <c r="B404" s="38" t="s">
        <v>688</v>
      </c>
      <c r="C404" s="45"/>
      <c r="D404" s="31">
        <v>3708715</v>
      </c>
      <c r="E404" s="31">
        <v>4151356</v>
      </c>
      <c r="F404" s="268" t="str">
        <f>IF(D404="","",VLOOKUP(D404,契約台帳!$A$3:$K$4986,6,FALSE)&amp;VLOOKUP(D404,契約台帳!$A$3:$K$4986,7,FALSE)&amp;VLOOKUP(D404,契約台帳!$A$3:$K$4986,8,FALSE)&amp;VLOOKUP(D404,契約台帳!$A$3:$K$4986,9,FALSE)&amp;VLOOKUP(D404,契約台帳!$A$3:$K$4986,11,FALSE))</f>
        <v>3SNMLBMNNGKBF</v>
      </c>
      <c r="G404" s="269" t="str">
        <f>IF(D404="","",VLOOKUP(F404,製品マスタ!$G$5:$H$5002,2,FALSE))</f>
        <v>S</v>
      </c>
      <c r="H404" s="269" t="str">
        <f>IF(D404="","",VLOOKUP(F404,製品マスタ!$G$5:$K$5002,5,FALSE))</f>
        <v>MNNGKBF</v>
      </c>
      <c r="I404" s="270" t="str">
        <f>IF(D404="","",VLOOKUP(F404,製品マスタ!$G$5:$L$5002,6,FALSE))</f>
        <v>メタルミー　ニューネーマー銀消　Ｂ</v>
      </c>
      <c r="J404" s="32" t="s">
        <v>447</v>
      </c>
      <c r="K404" s="270">
        <f>IF(D404="","",VLOOKUP(D404,契約台帳!$A$3:$L$4986,12,FALSE))</f>
        <v>50</v>
      </c>
      <c r="L404" s="270" t="str">
        <f>IF(D404="","",INDEX(製品マスタ!$Q$5:$Q$5002,MATCH(F404&amp;K404,製品マスタ!$AO$5:$AO$5002,0)))</f>
        <v>X44</v>
      </c>
      <c r="M404" s="39">
        <v>1000</v>
      </c>
      <c r="N404" s="39">
        <v>12000</v>
      </c>
      <c r="O404" s="47">
        <v>5</v>
      </c>
      <c r="P404" s="57">
        <v>45059</v>
      </c>
      <c r="Q404" s="276">
        <f>IF(D404="","",IF(J404="リード付け",M404,VLOOKUP(D404,契約台帳!$A$3:$N$4986,14,FALSE)))</f>
        <v>1000</v>
      </c>
      <c r="R404" s="277">
        <f>IF(D404="","",IF(J404="リード付け",M404,VLOOKUP(D404,契約台帳!$A$3:$O$4986,15,FALSE)))</f>
        <v>1000</v>
      </c>
      <c r="S404" s="277">
        <f>IF(D404="","",IF(J404="リード付け",N404,VLOOKUP(D404,契約台帳!$A$3:$P$4986,16,FALSE)))</f>
        <v>4000</v>
      </c>
      <c r="T404" s="40">
        <v>15</v>
      </c>
      <c r="U404" s="278">
        <f ca="1">IF(D404="","",IF(OFFSET(D404,-2,0)=D404,"",VLOOKUP(D404,契約台帳!$A$3:$R$4986,18,FALSE)))</f>
        <v>15</v>
      </c>
      <c r="V404" s="269" t="str">
        <f>IF(J404="巻返し",VLOOKUP(F404&amp;K404&amp;M404,製品マスタ!$M$5:$AD$5002,18,FALSE),IF(J404="リード付け","原反コア",IF(J404="スリット",VLOOKUP(F404&amp;K404&amp;Q404,製品マスタ!$N$5:$AD$5002,17,FALSE),"")))</f>
        <v>6ｲﾝﾁSｺｱ</v>
      </c>
      <c r="W404" s="269">
        <f>IF(J404="巻返し",VLOOKUP(F404&amp;K404&amp;M404,製品マスタ!$M$5:$AE$5002,19,FALSE),IF(J404="リード付け","-",IF(J404="スリット",VLOOKUP(F404&amp;K404&amp;Q404,製品マスタ!$N$5:$AE$5002,18,FALSE),"")))</f>
        <v>1005</v>
      </c>
      <c r="X404" s="275">
        <f>IF(D404="","",VLOOKUP(D404,契約台帳!$A$3:$Q$4986,17,FALSE))</f>
        <v>2</v>
      </c>
      <c r="Y404" s="269" t="str">
        <f>IF(D404="","",VLOOKUP(D404,契約台帳!$A$3:$E$4986,5,FALSE))</f>
        <v>リンテック㈱</v>
      </c>
      <c r="Z404" s="57">
        <v>45064</v>
      </c>
      <c r="AA404" s="207" t="str">
        <f>IFERROR(VLOOKUP(F404&amp;K404&amp;M404,製品マスタ!$M$5:$AM$5002,27,FALSE),"")</f>
        <v>原反ケース再利用</v>
      </c>
      <c r="AB404" s="33"/>
      <c r="AC404" s="189"/>
      <c r="AD404" s="54" t="str">
        <f>IF(F404="","",+F404&amp;K404)</f>
        <v>3SNMLBMNNGKBF50</v>
      </c>
      <c r="AE404" s="55">
        <f>+M404*N404*O404/1000</f>
        <v>60000</v>
      </c>
      <c r="AF404" s="43">
        <f>IF(AD404="","",VLOOKUP(AD404,原価マスタ!$A$2:$AJ$1693,13,FALSE))</f>
        <v>99</v>
      </c>
      <c r="AG404" s="47">
        <f>IF(AF404="","",+AE404*AF404/100)</f>
        <v>59400</v>
      </c>
      <c r="AH404" s="30"/>
      <c r="AI404" s="30"/>
      <c r="AJ404" s="30"/>
      <c r="AK404" s="30"/>
      <c r="AL404" s="13"/>
      <c r="AM404" s="13"/>
      <c r="AN404" s="13"/>
      <c r="AO404" s="13"/>
      <c r="AP404" s="13"/>
      <c r="AQ404" s="14"/>
      <c r="AR404" s="15"/>
    </row>
    <row r="405" spans="1:44" s="17" customFormat="1" ht="30.95" hidden="1" customHeight="1" x14ac:dyDescent="0.2">
      <c r="A405" s="37"/>
      <c r="B405" s="38"/>
      <c r="C405" s="45"/>
      <c r="D405" s="31"/>
      <c r="E405" s="31"/>
      <c r="F405" s="268" t="str">
        <f>IF(D405="","",VLOOKUP(D405,契約台帳!$A$3:$K$4986,6,FALSE)&amp;VLOOKUP(D405,契約台帳!$A$3:$K$4986,7,FALSE)&amp;VLOOKUP(D405,契約台帳!$A$3:$K$4986,8,FALSE)&amp;VLOOKUP(D405,契約台帳!$A$3:$K$4986,9,FALSE)&amp;VLOOKUP(D405,契約台帳!$A$3:$K$4986,11,FALSE))</f>
        <v/>
      </c>
      <c r="G405" s="269" t="str">
        <f>IF(D405="","",VLOOKUP(F405,製品マスタ!$G$5:$H$5002,2,FALSE))</f>
        <v/>
      </c>
      <c r="H405" s="269" t="str">
        <f>IF(D405="","",VLOOKUP(F405,製品マスタ!$G$5:$K$5002,5,FALSE))</f>
        <v/>
      </c>
      <c r="I405" s="270" t="str">
        <f>IF(D405="","",VLOOKUP(F405,製品マスタ!$G$5:$L$5002,6,FALSE))</f>
        <v/>
      </c>
      <c r="J405" s="32"/>
      <c r="K405" s="270" t="str">
        <f>IF(D405="","",VLOOKUP(D405,契約台帳!$A$3:$L$4986,12,FALSE))</f>
        <v/>
      </c>
      <c r="L405" s="270" t="str">
        <f>IF(D405="","",INDEX(製品マスタ!$Q$5:$Q$5002,MATCH(F405&amp;K405,製品マスタ!$AO$5:$AO$5002,0)))</f>
        <v/>
      </c>
      <c r="M405" s="39"/>
      <c r="N405" s="39"/>
      <c r="O405" s="47"/>
      <c r="P405" s="57"/>
      <c r="Q405" s="276" t="str">
        <f>IF(D405="","",IF(J405="リード付け",M405,VLOOKUP(D405,契約台帳!$A$3:$N$4986,14,FALSE)))</f>
        <v/>
      </c>
      <c r="R405" s="277" t="str">
        <f>IF(D405="","",IF(J405="リード付け",M405,VLOOKUP(D405,契約台帳!$A$3:$O$4986,15,FALSE)))</f>
        <v/>
      </c>
      <c r="S405" s="277" t="str">
        <f>IF(D405="","",IF(J405="リード付け",N405,VLOOKUP(D405,契約台帳!$A$3:$P$4986,16,FALSE)))</f>
        <v/>
      </c>
      <c r="T405" s="40"/>
      <c r="U405" s="278" t="str">
        <f ca="1">IF(D405="","",IF(OFFSET(D405,-2,0)=D405,"",VLOOKUP(D405,契約台帳!$A$3:$R$4986,18,FALSE)))</f>
        <v/>
      </c>
      <c r="V405" s="269" t="str">
        <f>IF(J405="巻返し",VLOOKUP(F405&amp;K405&amp;M405,製品マスタ!$M$5:$AD$5002,18,FALSE),IF(J405="リード付け","原反コア",IF(J405="スリット",VLOOKUP(F405&amp;K405&amp;Q405,製品マスタ!$N$5:$AD$5002,17,FALSE),"")))</f>
        <v/>
      </c>
      <c r="W405" s="269" t="str">
        <f>IF(J405="巻返し",VLOOKUP(F405&amp;K405&amp;M405,製品マスタ!$M$5:$AE$5002,19,FALSE),IF(J405="リード付け","-",IF(J405="スリット",VLOOKUP(F405&amp;K405&amp;Q405,製品マスタ!$N$5:$AE$5002,18,FALSE),"")))</f>
        <v/>
      </c>
      <c r="X405" s="275" t="str">
        <f>IF(D405="","",VLOOKUP(D405,契約台帳!$A$3:$Q$4986,17,FALSE))</f>
        <v/>
      </c>
      <c r="Y405" s="269" t="str">
        <f>IF(D405="","",VLOOKUP(D405,契約台帳!$A$3:$E$4986,5,FALSE))</f>
        <v/>
      </c>
      <c r="Z405" s="57"/>
      <c r="AA405" s="207" t="str">
        <f>IFERROR(VLOOKUP(F405&amp;K405&amp;M405,製品マスタ!$M$5:$AM$5002,27,FALSE),"")</f>
        <v/>
      </c>
      <c r="AB405" s="33"/>
      <c r="AC405" s="189"/>
      <c r="AD405" s="54"/>
      <c r="AE405" s="55"/>
      <c r="AF405" s="43"/>
      <c r="AG405" s="47"/>
      <c r="AH405" s="30"/>
      <c r="AI405" s="30"/>
      <c r="AJ405" s="30"/>
      <c r="AK405" s="30"/>
      <c r="AL405" s="13"/>
      <c r="AM405" s="13"/>
      <c r="AN405" s="13"/>
      <c r="AO405" s="13"/>
      <c r="AP405" s="13"/>
      <c r="AQ405" s="14"/>
      <c r="AR405" s="15"/>
    </row>
    <row r="406" spans="1:44" s="17" customFormat="1" ht="30.95" hidden="1" customHeight="1" x14ac:dyDescent="0.2">
      <c r="A406" s="37" t="s">
        <v>1129</v>
      </c>
      <c r="B406" s="38" t="s">
        <v>442</v>
      </c>
      <c r="C406" s="45"/>
      <c r="D406" s="31">
        <v>3708709</v>
      </c>
      <c r="E406" s="31">
        <v>4151363</v>
      </c>
      <c r="F406" s="268" t="str">
        <f>IF(D406="","",VLOOKUP(D406,契約台帳!$A$3:$K$4986,6,FALSE)&amp;VLOOKUP(D406,契約台帳!$A$3:$K$4986,7,FALSE)&amp;VLOOKUP(D406,契約台帳!$A$3:$K$4986,8,FALSE)&amp;VLOOKUP(D406,契約台帳!$A$3:$K$4986,9,FALSE)&amp;VLOOKUP(D406,契約台帳!$A$3:$K$4986,11,FALSE))</f>
        <v>3SNMLBMNGTBF</v>
      </c>
      <c r="G406" s="269" t="str">
        <f>IF(D406="","",VLOOKUP(F406,製品マスタ!$G$5:$H$5002,2,FALSE))</f>
        <v>S</v>
      </c>
      <c r="H406" s="269" t="str">
        <f>IF(D406="","",VLOOKUP(F406,製品マスタ!$G$5:$K$5002,5,FALSE))</f>
        <v>MNGTBF</v>
      </c>
      <c r="I406" s="270" t="str">
        <f>IF(D406="","",VLOOKUP(F406,製品マスタ!$G$5:$L$5002,6,FALSE))</f>
        <v>メタルミー　ネーマー　銀艶　Ｂ</v>
      </c>
      <c r="J406" s="32" t="s">
        <v>1123</v>
      </c>
      <c r="K406" s="270">
        <f>IF(D406="","",VLOOKUP(D406,契約台帳!$A$3:$L$4986,12,FALSE))</f>
        <v>25</v>
      </c>
      <c r="L406" s="270" t="str">
        <f>IF(D406="","",INDEX(製品マスタ!$Q$5:$Q$5002,MATCH(F406&amp;K406,製品マスタ!$AO$5:$AO$5002,0)))</f>
        <v>T62M</v>
      </c>
      <c r="M406" s="39">
        <v>1005</v>
      </c>
      <c r="N406" s="39">
        <v>12100</v>
      </c>
      <c r="O406" s="47">
        <v>4</v>
      </c>
      <c r="P406" s="57">
        <v>45060</v>
      </c>
      <c r="Q406" s="276">
        <f>IF(D406="","",IF(J406="リード付け",M406,VLOOKUP(D406,契約台帳!$A$3:$N$4986,14,FALSE)))</f>
        <v>1005</v>
      </c>
      <c r="R406" s="277">
        <f>IF(D406="","",IF(J406="リード付け",M406,VLOOKUP(D406,契約台帳!$A$3:$O$4986,15,FALSE)))</f>
        <v>1000</v>
      </c>
      <c r="S406" s="277">
        <f>IF(D406="","",IF(J406="リード付け",N406,VLOOKUP(D406,契約台帳!$A$3:$P$4986,16,FALSE)))</f>
        <v>4000</v>
      </c>
      <c r="T406" s="40">
        <v>12</v>
      </c>
      <c r="U406" s="278">
        <f ca="1">IF(D406="","",IF(OFFSET(D406,-2,0)=D406,"",VLOOKUP(D406,契約台帳!$A$3:$R$4986,18,FALSE)))</f>
        <v>12</v>
      </c>
      <c r="V406" s="269" t="str">
        <f>IF(J406="巻返し",VLOOKUP(F406&amp;K406&amp;M406,製品マスタ!$M$5:$AD$5002,18,FALSE),IF(J406="リード付け","原反コア",IF(J406="スリット",VLOOKUP(F406&amp;K406&amp;Q406,製品マスタ!$N$5:$AD$5002,17,FALSE),"")))</f>
        <v>6ｲﾝﾁSｺｱ</v>
      </c>
      <c r="W406" s="269">
        <f>IF(J406="巻返し",VLOOKUP(F406&amp;K406&amp;M406,製品マスタ!$M$5:$AE$5002,19,FALSE),IF(J406="リード付け","-",IF(J406="スリット",VLOOKUP(F406&amp;K406&amp;Q406,製品マスタ!$N$5:$AE$5002,18,FALSE),"")))</f>
        <v>1015</v>
      </c>
      <c r="X406" s="275">
        <f>IF(D406="","",VLOOKUP(D406,契約台帳!$A$3:$Q$4986,17,FALSE))</f>
        <v>2</v>
      </c>
      <c r="Y406" s="269" t="str">
        <f>IF(D406="","",VLOOKUP(D406,契約台帳!$A$3:$E$4986,5,FALSE))</f>
        <v>リンテック㈱</v>
      </c>
      <c r="Z406" s="57">
        <v>45065</v>
      </c>
      <c r="AA406" s="207">
        <f>IFERROR(VLOOKUP(F406&amp;K406&amp;M406,製品マスタ!$M$5:$AM$5002,27,FALSE),"")</f>
        <v>0</v>
      </c>
      <c r="AB406" s="33"/>
      <c r="AC406" s="189"/>
      <c r="AD406" s="54" t="str">
        <f>IF(F406="","",+F406&amp;K406)</f>
        <v>3SNMLBMNGTBF25</v>
      </c>
      <c r="AE406" s="55">
        <f>+M406*N406*O406/1000</f>
        <v>48642</v>
      </c>
      <c r="AF406" s="43">
        <f>IF(AD406="","",VLOOKUP(AD406,原価マスタ!$A$2:$AJ$1693,13,FALSE))</f>
        <v>97.5</v>
      </c>
      <c r="AG406" s="47">
        <f>IF(AF406="","",+AE406*AF406/100)</f>
        <v>47425.95</v>
      </c>
      <c r="AH406" s="30"/>
      <c r="AI406" s="30"/>
      <c r="AJ406" s="30"/>
      <c r="AK406" s="30"/>
      <c r="AL406" s="13"/>
      <c r="AM406" s="13"/>
      <c r="AN406" s="13"/>
      <c r="AO406" s="13"/>
      <c r="AP406" s="13"/>
      <c r="AQ406" s="14"/>
      <c r="AR406" s="15"/>
    </row>
    <row r="407" spans="1:44" s="17" customFormat="1" ht="30.95" hidden="1" customHeight="1" x14ac:dyDescent="0.2">
      <c r="A407" s="37"/>
      <c r="B407" s="38"/>
      <c r="C407" s="45"/>
      <c r="D407" s="31"/>
      <c r="E407" s="31"/>
      <c r="F407" s="268" t="str">
        <f>IF(D407="","",VLOOKUP(D407,契約台帳!$A$3:$K$4986,6,FALSE)&amp;VLOOKUP(D407,契約台帳!$A$3:$K$4986,7,FALSE)&amp;VLOOKUP(D407,契約台帳!$A$3:$K$4986,8,FALSE)&amp;VLOOKUP(D407,契約台帳!$A$3:$K$4986,9,FALSE)&amp;VLOOKUP(D407,契約台帳!$A$3:$K$4986,11,FALSE))</f>
        <v/>
      </c>
      <c r="G407" s="269" t="str">
        <f>IF(D407="","",VLOOKUP(F407,製品マスタ!$G$5:$H$5002,2,FALSE))</f>
        <v/>
      </c>
      <c r="H407" s="269" t="str">
        <f>IF(D407="","",VLOOKUP(F407,製品マスタ!$G$5:$K$5002,5,FALSE))</f>
        <v/>
      </c>
      <c r="I407" s="270" t="str">
        <f>IF(D407="","",VLOOKUP(F407,製品マスタ!$G$5:$L$5002,6,FALSE))</f>
        <v/>
      </c>
      <c r="J407" s="32"/>
      <c r="K407" s="270" t="str">
        <f>IF(D407="","",VLOOKUP(D407,契約台帳!$A$3:$L$4986,12,FALSE))</f>
        <v/>
      </c>
      <c r="L407" s="270" t="str">
        <f>IF(D407="","",INDEX(製品マスタ!$Q$5:$Q$5002,MATCH(F407&amp;K407,製品マスタ!$AO$5:$AO$5002,0)))</f>
        <v/>
      </c>
      <c r="M407" s="39"/>
      <c r="N407" s="39"/>
      <c r="O407" s="47"/>
      <c r="P407" s="57"/>
      <c r="Q407" s="276" t="str">
        <f>IF(D407="","",IF(J407="リード付け",M407,VLOOKUP(D407,契約台帳!$A$3:$N$4986,14,FALSE)))</f>
        <v/>
      </c>
      <c r="R407" s="277" t="str">
        <f>IF(D407="","",IF(J407="リード付け",M407,VLOOKUP(D407,契約台帳!$A$3:$O$4986,15,FALSE)))</f>
        <v/>
      </c>
      <c r="S407" s="277" t="str">
        <f>IF(D407="","",IF(J407="リード付け",N407,VLOOKUP(D407,契約台帳!$A$3:$P$4986,16,FALSE)))</f>
        <v/>
      </c>
      <c r="T407" s="40"/>
      <c r="U407" s="278" t="str">
        <f ca="1">IF(D407="","",IF(OFFSET(D407,-2,0)=D407,"",VLOOKUP(D407,契約台帳!$A$3:$R$4986,18,FALSE)))</f>
        <v/>
      </c>
      <c r="V407" s="269" t="str">
        <f>IF(J407="巻返し",VLOOKUP(F407&amp;K407&amp;M407,製品マスタ!$M$5:$AD$5002,18,FALSE),IF(J407="リード付け","原反コア",IF(J407="スリット",VLOOKUP(F407&amp;K407&amp;Q407,製品マスタ!$N$5:$AD$5002,17,FALSE),"")))</f>
        <v/>
      </c>
      <c r="W407" s="269" t="str">
        <f>IF(J407="巻返し",VLOOKUP(F407&amp;K407&amp;M407,製品マスタ!$M$5:$AE$5002,19,FALSE),IF(J407="リード付け","-",IF(J407="スリット",VLOOKUP(F407&amp;K407&amp;Q407,製品マスタ!$N$5:$AE$5002,18,FALSE),"")))</f>
        <v/>
      </c>
      <c r="X407" s="275" t="str">
        <f>IF(D407="","",VLOOKUP(D407,契約台帳!$A$3:$Q$4986,17,FALSE))</f>
        <v/>
      </c>
      <c r="Y407" s="269" t="str">
        <f>IF(D407="","",VLOOKUP(D407,契約台帳!$A$3:$E$4986,5,FALSE))</f>
        <v/>
      </c>
      <c r="Z407" s="57"/>
      <c r="AA407" s="207" t="str">
        <f>IFERROR(VLOOKUP(F407&amp;K407&amp;M407,製品マスタ!$M$5:$AM$5002,27,FALSE),"")</f>
        <v/>
      </c>
      <c r="AB407" s="33"/>
      <c r="AC407" s="189"/>
      <c r="AD407" s="54"/>
      <c r="AE407" s="55"/>
      <c r="AF407" s="43"/>
      <c r="AG407" s="47"/>
      <c r="AH407" s="30"/>
      <c r="AI407" s="30"/>
      <c r="AJ407" s="30"/>
      <c r="AK407" s="30"/>
      <c r="AL407" s="13"/>
      <c r="AM407" s="13"/>
      <c r="AN407" s="13"/>
      <c r="AO407" s="13"/>
      <c r="AP407" s="13"/>
      <c r="AQ407" s="14"/>
      <c r="AR407" s="15"/>
    </row>
    <row r="408" spans="1:44" s="17" customFormat="1" ht="30.95" hidden="1" customHeight="1" x14ac:dyDescent="0.2">
      <c r="A408" s="37" t="s">
        <v>1154</v>
      </c>
      <c r="B408" s="38" t="s">
        <v>1155</v>
      </c>
      <c r="C408" s="45"/>
      <c r="D408" s="31">
        <v>3708714</v>
      </c>
      <c r="E408" s="31">
        <v>4151370</v>
      </c>
      <c r="F408" s="268" t="str">
        <f>IF(D408="","",VLOOKUP(D408,契約台帳!$A$3:$K$4986,6,FALSE)&amp;VLOOKUP(D408,契約台帳!$A$3:$K$4986,7,FALSE)&amp;VLOOKUP(D408,契約台帳!$A$3:$K$4986,8,FALSE)&amp;VLOOKUP(D408,契約台帳!$A$3:$K$4986,9,FALSE)&amp;VLOOKUP(D408,契約台帳!$A$3:$K$4986,11,FALSE))</f>
        <v>3SNMLBMNNGKBF</v>
      </c>
      <c r="G408" s="269" t="str">
        <f>IF(D408="","",VLOOKUP(F408,製品マスタ!$G$5:$H$5002,2,FALSE))</f>
        <v>S</v>
      </c>
      <c r="H408" s="269" t="str">
        <f>IF(D408="","",VLOOKUP(F408,製品マスタ!$G$5:$K$5002,5,FALSE))</f>
        <v>MNNGKBF</v>
      </c>
      <c r="I408" s="270" t="str">
        <f>IF(D408="","",VLOOKUP(F408,製品マスタ!$G$5:$L$5002,6,FALSE))</f>
        <v>メタルミー　ニューネーマー銀消　Ｂ</v>
      </c>
      <c r="J408" s="32" t="s">
        <v>447</v>
      </c>
      <c r="K408" s="270">
        <f>IF(D408="","",VLOOKUP(D408,契約台帳!$A$3:$L$4986,12,FALSE))</f>
        <v>25</v>
      </c>
      <c r="L408" s="270" t="str">
        <f>IF(D408="","",INDEX(製品マスタ!$Q$5:$Q$5002,MATCH(F408&amp;K408,製品マスタ!$AO$5:$AO$5002,0)))</f>
        <v>X44C</v>
      </c>
      <c r="M408" s="39">
        <v>1005</v>
      </c>
      <c r="N408" s="39">
        <v>8000</v>
      </c>
      <c r="O408" s="47">
        <v>2</v>
      </c>
      <c r="P408" s="57">
        <v>45061</v>
      </c>
      <c r="Q408" s="276">
        <f>IF(D408="","",IF(J408="リード付け",M408,VLOOKUP(D408,契約台帳!$A$3:$N$4986,14,FALSE)))</f>
        <v>1005</v>
      </c>
      <c r="R408" s="277">
        <f>IF(D408="","",IF(J408="リード付け",M408,VLOOKUP(D408,契約台帳!$A$3:$O$4986,15,FALSE)))</f>
        <v>1000</v>
      </c>
      <c r="S408" s="277">
        <f>IF(D408="","",IF(J408="リード付け",N408,VLOOKUP(D408,契約台帳!$A$3:$P$4986,16,FALSE)))</f>
        <v>4000</v>
      </c>
      <c r="T408" s="40">
        <v>4</v>
      </c>
      <c r="U408" s="278">
        <f ca="1">IF(D408="","",IF(OFFSET(D408,-2,0)=D408,"",VLOOKUP(D408,契約台帳!$A$3:$R$4986,18,FALSE)))</f>
        <v>4</v>
      </c>
      <c r="V408" s="269" t="str">
        <f>IF(J408="巻返し",VLOOKUP(F408&amp;K408&amp;M408,製品マスタ!$M$5:$AD$5002,18,FALSE),IF(J408="リード付け","原反コア",IF(J408="スリット",VLOOKUP(F408&amp;K408&amp;Q408,製品マスタ!$N$5:$AD$5002,17,FALSE),"")))</f>
        <v>6ｲﾝﾁSｺｱ</v>
      </c>
      <c r="W408" s="269">
        <f>IF(J408="巻返し",VLOOKUP(F408&amp;K408&amp;M408,製品マスタ!$M$5:$AE$5002,19,FALSE),IF(J408="リード付け","-",IF(J408="スリット",VLOOKUP(F408&amp;K408&amp;Q408,製品マスタ!$N$5:$AE$5002,18,FALSE),"")))</f>
        <v>1015</v>
      </c>
      <c r="X408" s="275">
        <f>IF(D408="","",VLOOKUP(D408,契約台帳!$A$3:$Q$4986,17,FALSE))</f>
        <v>2</v>
      </c>
      <c r="Y408" s="269" t="str">
        <f>IF(D408="","",VLOOKUP(D408,契約台帳!$A$3:$E$4986,5,FALSE))</f>
        <v>リンテック㈱</v>
      </c>
      <c r="Z408" s="57">
        <v>45069</v>
      </c>
      <c r="AA408" s="207">
        <f>IFERROR(VLOOKUP(F408&amp;K408&amp;M408,製品マスタ!$M$5:$AM$5002,27,FALSE),"")</f>
        <v>0</v>
      </c>
      <c r="AB408" s="33"/>
      <c r="AC408" s="189"/>
      <c r="AD408" s="54" t="str">
        <f>IF(F408="","",+F408&amp;K408)</f>
        <v>3SNMLBMNNGKBF25</v>
      </c>
      <c r="AE408" s="55">
        <f>+M408*N408*O408/1000</f>
        <v>16080</v>
      </c>
      <c r="AF408" s="43">
        <f>IF(AD408="","",VLOOKUP(AD408,原価マスタ!$A$2:$AJ$1693,13,FALSE))</f>
        <v>98.3</v>
      </c>
      <c r="AG408" s="47">
        <f>IF(AF408="","",+AE408*AF408/100)</f>
        <v>15806.64</v>
      </c>
      <c r="AH408" s="30"/>
      <c r="AI408" s="30"/>
      <c r="AJ408" s="30"/>
      <c r="AK408" s="30"/>
      <c r="AL408" s="13"/>
      <c r="AM408" s="13"/>
      <c r="AN408" s="13"/>
      <c r="AO408" s="13"/>
      <c r="AP408" s="13"/>
      <c r="AQ408" s="14"/>
      <c r="AR408" s="15"/>
    </row>
    <row r="409" spans="1:44" s="17" customFormat="1" ht="30.95" hidden="1" customHeight="1" x14ac:dyDescent="0.2">
      <c r="A409" s="37"/>
      <c r="B409" s="38"/>
      <c r="C409" s="45"/>
      <c r="D409" s="31"/>
      <c r="E409" s="31"/>
      <c r="F409" s="268" t="str">
        <f>IF(D409="","",VLOOKUP(D409,契約台帳!$A$3:$K$4986,6,FALSE)&amp;VLOOKUP(D409,契約台帳!$A$3:$K$4986,7,FALSE)&amp;VLOOKUP(D409,契約台帳!$A$3:$K$4986,8,FALSE)&amp;VLOOKUP(D409,契約台帳!$A$3:$K$4986,9,FALSE)&amp;VLOOKUP(D409,契約台帳!$A$3:$K$4986,11,FALSE))</f>
        <v/>
      </c>
      <c r="G409" s="269" t="str">
        <f>IF(D409="","",VLOOKUP(F409,製品マスタ!$G$5:$H$5002,2,FALSE))</f>
        <v/>
      </c>
      <c r="H409" s="269" t="str">
        <f>IF(D409="","",VLOOKUP(F409,製品マスタ!$G$5:$K$5002,5,FALSE))</f>
        <v/>
      </c>
      <c r="I409" s="270" t="str">
        <f>IF(D409="","",VLOOKUP(F409,製品マスタ!$G$5:$L$5002,6,FALSE))</f>
        <v/>
      </c>
      <c r="J409" s="32"/>
      <c r="K409" s="270" t="str">
        <f>IF(D409="","",VLOOKUP(D409,契約台帳!$A$3:$L$4986,12,FALSE))</f>
        <v/>
      </c>
      <c r="L409" s="270" t="str">
        <f>IF(D409="","",INDEX(製品マスタ!$Q$5:$Q$5002,MATCH(F409&amp;K409,製品マスタ!$AO$5:$AO$5002,0)))</f>
        <v/>
      </c>
      <c r="M409" s="39"/>
      <c r="N409" s="39"/>
      <c r="O409" s="47"/>
      <c r="P409" s="57"/>
      <c r="Q409" s="276" t="str">
        <f>IF(D409="","",IF(J409="リード付け",M409,VLOOKUP(D409,契約台帳!$A$3:$N$4986,14,FALSE)))</f>
        <v/>
      </c>
      <c r="R409" s="277" t="str">
        <f>IF(D409="","",IF(J409="リード付け",M409,VLOOKUP(D409,契約台帳!$A$3:$O$4986,15,FALSE)))</f>
        <v/>
      </c>
      <c r="S409" s="277" t="str">
        <f>IF(D409="","",IF(J409="リード付け",N409,VLOOKUP(D409,契約台帳!$A$3:$P$4986,16,FALSE)))</f>
        <v/>
      </c>
      <c r="T409" s="40"/>
      <c r="U409" s="278" t="str">
        <f ca="1">IF(D409="","",IF(OFFSET(D409,-2,0)=D409,"",VLOOKUP(D409,契約台帳!$A$3:$R$4986,18,FALSE)))</f>
        <v/>
      </c>
      <c r="V409" s="269" t="str">
        <f>IF(J409="巻返し",VLOOKUP(F409&amp;K409&amp;M409,製品マスタ!$M$5:$AD$5002,18,FALSE),IF(J409="リード付け","原反コア",IF(J409="スリット",VLOOKUP(F409&amp;K409&amp;Q409,製品マスタ!$N$5:$AD$5002,17,FALSE),"")))</f>
        <v/>
      </c>
      <c r="W409" s="269" t="str">
        <f>IF(J409="巻返し",VLOOKUP(F409&amp;K409&amp;M409,製品マスタ!$M$5:$AE$5002,19,FALSE),IF(J409="リード付け","-",IF(J409="スリット",VLOOKUP(F409&amp;K409&amp;Q409,製品マスタ!$N$5:$AE$5002,18,FALSE),"")))</f>
        <v/>
      </c>
      <c r="X409" s="275" t="str">
        <f>IF(D409="","",VLOOKUP(D409,契約台帳!$A$3:$Q$4986,17,FALSE))</f>
        <v/>
      </c>
      <c r="Y409" s="269" t="str">
        <f>IF(D409="","",VLOOKUP(D409,契約台帳!$A$3:$E$4986,5,FALSE))</f>
        <v/>
      </c>
      <c r="Z409" s="57"/>
      <c r="AA409" s="207" t="str">
        <f>IFERROR(VLOOKUP(F409&amp;K409&amp;M409,製品マスタ!$M$5:$AM$5002,27,FALSE),"")</f>
        <v/>
      </c>
      <c r="AB409" s="33"/>
      <c r="AC409" s="189"/>
      <c r="AD409" s="54"/>
      <c r="AE409" s="55"/>
      <c r="AF409" s="43"/>
      <c r="AG409" s="47"/>
      <c r="AH409" s="30"/>
      <c r="AI409" s="30"/>
      <c r="AJ409" s="30"/>
      <c r="AK409" s="30"/>
      <c r="AL409" s="13"/>
      <c r="AM409" s="13"/>
      <c r="AN409" s="13"/>
      <c r="AO409" s="13"/>
      <c r="AP409" s="13"/>
      <c r="AQ409" s="14"/>
      <c r="AR409" s="15"/>
    </row>
    <row r="410" spans="1:44" s="17" customFormat="1" ht="30.95" hidden="1" customHeight="1" x14ac:dyDescent="0.2">
      <c r="A410" s="37"/>
      <c r="B410" s="38"/>
      <c r="C410" s="45"/>
      <c r="D410" s="31">
        <v>3708710</v>
      </c>
      <c r="E410" s="31">
        <v>4151364</v>
      </c>
      <c r="F410" s="268" t="str">
        <f>IF(D410="","",VLOOKUP(D410,契約台帳!$A$3:$K$4986,6,FALSE)&amp;VLOOKUP(D410,契約台帳!$A$3:$K$4986,7,FALSE)&amp;VLOOKUP(D410,契約台帳!$A$3:$K$4986,8,FALSE)&amp;VLOOKUP(D410,契約台帳!$A$3:$K$4986,9,FALSE)&amp;VLOOKUP(D410,契約台帳!$A$3:$K$4986,11,FALSE))</f>
        <v>3SNMLBMNGTBF</v>
      </c>
      <c r="G410" s="269" t="str">
        <f>IF(D410="","",VLOOKUP(F410,製品マスタ!$G$5:$H$5002,2,FALSE))</f>
        <v>S</v>
      </c>
      <c r="H410" s="269" t="str">
        <f>IF(D410="","",VLOOKUP(F410,製品マスタ!$G$5:$K$5002,5,FALSE))</f>
        <v>MNGTBF</v>
      </c>
      <c r="I410" s="270" t="str">
        <f>IF(D410="","",VLOOKUP(F410,製品マスタ!$G$5:$L$5002,6,FALSE))</f>
        <v>メタルミー　ネーマー　銀艶　Ｂ</v>
      </c>
      <c r="J410" s="32" t="s">
        <v>447</v>
      </c>
      <c r="K410" s="270">
        <f>IF(D410="","",VLOOKUP(D410,契約台帳!$A$3:$L$4986,12,FALSE))</f>
        <v>25</v>
      </c>
      <c r="L410" s="270" t="str">
        <f>IF(D410="","",INDEX(製品マスタ!$Q$5:$Q$5002,MATCH(F410&amp;K410,製品マスタ!$AO$5:$AO$5002,0)))</f>
        <v>T62M</v>
      </c>
      <c r="M410" s="39">
        <v>1125</v>
      </c>
      <c r="N410" s="39">
        <v>12100</v>
      </c>
      <c r="O410" s="47">
        <v>1</v>
      </c>
      <c r="P410" s="57">
        <v>45061</v>
      </c>
      <c r="Q410" s="276">
        <f>IF(D410="","",IF(J410="リード付け",M410,VLOOKUP(D410,契約台帳!$A$3:$N$4986,14,FALSE)))</f>
        <v>1125</v>
      </c>
      <c r="R410" s="277">
        <f>IF(D410="","",IF(J410="リード付け",M410,VLOOKUP(D410,契約台帳!$A$3:$O$4986,15,FALSE)))</f>
        <v>1120</v>
      </c>
      <c r="S410" s="277">
        <f>IF(D410="","",IF(J410="リード付け",N410,VLOOKUP(D410,契約台帳!$A$3:$P$4986,16,FALSE)))</f>
        <v>4000</v>
      </c>
      <c r="T410" s="40">
        <v>3</v>
      </c>
      <c r="U410" s="278">
        <f ca="1">IF(D410="","",IF(OFFSET(D410,-2,0)=D410,"",VLOOKUP(D410,契約台帳!$A$3:$R$4986,18,FALSE)))</f>
        <v>3</v>
      </c>
      <c r="V410" s="269" t="str">
        <f>IF(J410="巻返し",VLOOKUP(F410&amp;K410&amp;M410,製品マスタ!$M$5:$AD$5002,18,FALSE),IF(J410="リード付け","原反コア",IF(J410="スリット",VLOOKUP(F410&amp;K410&amp;Q410,製品マスタ!$N$5:$AD$5002,17,FALSE),"")))</f>
        <v>6ｲﾝﾁSｺｱ</v>
      </c>
      <c r="W410" s="269">
        <f>IF(J410="巻返し",VLOOKUP(F410&amp;K410&amp;M410,製品マスタ!$M$5:$AE$5002,19,FALSE),IF(J410="リード付け","-",IF(J410="スリット",VLOOKUP(F410&amp;K410&amp;Q410,製品マスタ!$N$5:$AE$5002,18,FALSE),"")))</f>
        <v>1130</v>
      </c>
      <c r="X410" s="275">
        <f>IF(D410="","",VLOOKUP(D410,契約台帳!$A$3:$Q$4986,17,FALSE))</f>
        <v>2</v>
      </c>
      <c r="Y410" s="269" t="str">
        <f>IF(D410="","",VLOOKUP(D410,契約台帳!$A$3:$E$4986,5,FALSE))</f>
        <v>リンテック㈱</v>
      </c>
      <c r="Z410" s="57">
        <v>45069</v>
      </c>
      <c r="AA410" s="207">
        <f>IFERROR(VLOOKUP(F410&amp;K410&amp;M410,製品マスタ!$M$5:$AM$5002,27,FALSE),"")</f>
        <v>0</v>
      </c>
      <c r="AB410" s="33"/>
      <c r="AC410" s="189"/>
      <c r="AD410" s="54" t="str">
        <f>IF(F410="","",+F410&amp;K410)</f>
        <v>3SNMLBMNGTBF25</v>
      </c>
      <c r="AE410" s="55">
        <f>+M410*N410*O410/1000</f>
        <v>13612.5</v>
      </c>
      <c r="AF410" s="43">
        <f>IF(AD410="","",VLOOKUP(AD410,原価マスタ!$A$2:$AJ$1693,13,FALSE))</f>
        <v>97.5</v>
      </c>
      <c r="AG410" s="47">
        <f>IF(AF410="","",+AE410*AF410/100)</f>
        <v>13272.1875</v>
      </c>
      <c r="AH410" s="30"/>
      <c r="AI410" s="30"/>
      <c r="AJ410" s="30"/>
      <c r="AK410" s="30"/>
      <c r="AL410" s="13"/>
      <c r="AM410" s="13"/>
      <c r="AN410" s="13"/>
      <c r="AO410" s="13"/>
      <c r="AP410" s="13"/>
      <c r="AQ410" s="14"/>
      <c r="AR410" s="15"/>
    </row>
    <row r="411" spans="1:44" s="17" customFormat="1" ht="30.95" hidden="1" customHeight="1" x14ac:dyDescent="0.2">
      <c r="A411" s="37"/>
      <c r="B411" s="38"/>
      <c r="C411" s="45"/>
      <c r="D411" s="31"/>
      <c r="E411" s="31"/>
      <c r="F411" s="268" t="str">
        <f>IF(D411="","",VLOOKUP(D411,契約台帳!$A$3:$K$4986,6,FALSE)&amp;VLOOKUP(D411,契約台帳!$A$3:$K$4986,7,FALSE)&amp;VLOOKUP(D411,契約台帳!$A$3:$K$4986,8,FALSE)&amp;VLOOKUP(D411,契約台帳!$A$3:$K$4986,9,FALSE)&amp;VLOOKUP(D411,契約台帳!$A$3:$K$4986,11,FALSE))</f>
        <v/>
      </c>
      <c r="G411" s="269" t="str">
        <f>IF(D411="","",VLOOKUP(F411,製品マスタ!$G$5:$H$5002,2,FALSE))</f>
        <v/>
      </c>
      <c r="H411" s="269" t="str">
        <f>IF(D411="","",VLOOKUP(F411,製品マスタ!$G$5:$K$5002,5,FALSE))</f>
        <v/>
      </c>
      <c r="I411" s="301"/>
      <c r="J411" s="32"/>
      <c r="K411" s="270" t="str">
        <f>IF(D411="","",VLOOKUP(D411,契約台帳!$A$3:$L$4986,12,FALSE))</f>
        <v/>
      </c>
      <c r="L411" s="270" t="str">
        <f>IF(D411="","",INDEX(製品マスタ!$Q$5:$Q$5002,MATCH(F411&amp;K411,製品マスタ!$AO$5:$AO$5002,0)))</f>
        <v/>
      </c>
      <c r="M411" s="39"/>
      <c r="N411" s="39"/>
      <c r="O411" s="47"/>
      <c r="P411" s="57"/>
      <c r="Q411" s="276" t="str">
        <f>IF(D411="","",IF(J411="リード付け",M411,VLOOKUP(D411,契約台帳!$A$3:$N$4986,14,FALSE)))</f>
        <v/>
      </c>
      <c r="R411" s="277" t="str">
        <f>IF(D411="","",IF(J411="リード付け",M411,VLOOKUP(D411,契約台帳!$A$3:$O$4986,15,FALSE)))</f>
        <v/>
      </c>
      <c r="S411" s="277" t="str">
        <f>IF(D411="","",IF(J411="リード付け",N411,VLOOKUP(D411,契約台帳!$A$3:$P$4986,16,FALSE)))</f>
        <v/>
      </c>
      <c r="T411" s="40"/>
      <c r="U411" s="278" t="str">
        <f ca="1">IF(D411="","",IF(OFFSET(D411,-2,0)=D411,"",VLOOKUP(D411,契約台帳!$A$3:$R$4986,18,FALSE)))</f>
        <v/>
      </c>
      <c r="V411" s="269" t="str">
        <f>IF(J411="巻返し",VLOOKUP(F411&amp;K411&amp;M411,製品マスタ!$M$5:$AD$5002,18,FALSE),IF(J411="リード付け","原反コア",IF(J411="スリット",VLOOKUP(F411&amp;K411&amp;Q411,製品マスタ!$N$5:$AD$5002,17,FALSE),"")))</f>
        <v/>
      </c>
      <c r="W411" s="269" t="str">
        <f>IF(J411="巻返し",VLOOKUP(F411&amp;K411&amp;M411,製品マスタ!$M$5:$AE$5002,19,FALSE),IF(J411="リード付け","-",IF(J411="スリット",VLOOKUP(F411&amp;K411&amp;Q411,製品マスタ!$N$5:$AE$5002,18,FALSE),"")))</f>
        <v/>
      </c>
      <c r="X411" s="275" t="str">
        <f>IF(D411="","",VLOOKUP(D411,契約台帳!$A$3:$Q$4986,17,FALSE))</f>
        <v/>
      </c>
      <c r="Y411" s="269" t="str">
        <f>IF(D411="","",VLOOKUP(D411,契約台帳!$A$3:$E$4986,5,FALSE))</f>
        <v/>
      </c>
      <c r="Z411" s="57"/>
      <c r="AA411" s="207" t="str">
        <f>IFERROR(VLOOKUP(F411&amp;K411&amp;M411,製品マスタ!$M$5:$AM$5002,27,FALSE),"")</f>
        <v/>
      </c>
      <c r="AB411" s="33"/>
      <c r="AC411" s="189"/>
      <c r="AD411" s="54"/>
      <c r="AE411" s="55"/>
      <c r="AF411" s="43"/>
      <c r="AG411" s="47"/>
      <c r="AH411" s="30"/>
      <c r="AI411" s="30"/>
      <c r="AJ411" s="30"/>
      <c r="AK411" s="30"/>
      <c r="AL411" s="13"/>
      <c r="AM411" s="13"/>
      <c r="AN411" s="13"/>
      <c r="AO411" s="13"/>
      <c r="AP411" s="13"/>
      <c r="AQ411" s="14"/>
      <c r="AR411" s="15"/>
    </row>
    <row r="412" spans="1:44" s="17" customFormat="1" ht="30.95" hidden="1" customHeight="1" x14ac:dyDescent="0.2">
      <c r="A412" s="37" t="s">
        <v>1156</v>
      </c>
      <c r="B412" s="38" t="s">
        <v>1157</v>
      </c>
      <c r="C412" s="45"/>
      <c r="D412" s="31">
        <v>3708706</v>
      </c>
      <c r="E412" s="31">
        <v>4151350</v>
      </c>
      <c r="F412" s="268" t="str">
        <f>IF(D412="","",VLOOKUP(D412,契約台帳!$A$3:$K$4986,6,FALSE)&amp;VLOOKUP(D412,契約台帳!$A$3:$K$4986,7,FALSE)&amp;VLOOKUP(D412,契約台帳!$A$3:$K$4986,8,FALSE)&amp;VLOOKUP(D412,契約台帳!$A$3:$K$4986,9,FALSE)&amp;VLOOKUP(D412,契約台帳!$A$3:$K$4986,11,FALSE))</f>
        <v>3SNMLBMNGKKBF</v>
      </c>
      <c r="G412" s="269" t="str">
        <f>IF(D412="","",VLOOKUP(F412,製品マスタ!$G$5:$H$5002,2,FALSE))</f>
        <v>S</v>
      </c>
      <c r="H412" s="269" t="str">
        <f>IF(D412="","",VLOOKUP(F412,製品マスタ!$G$5:$K$5002,5,FALSE))</f>
        <v>MNGKKBF</v>
      </c>
      <c r="I412" s="270" t="str">
        <f>IF(D412="","",VLOOKUP(F412,製品マスタ!$G$5:$L$5002,6,FALSE))</f>
        <v>メタルミー　ネーマー銀消改　Ｂ</v>
      </c>
      <c r="J412" s="32" t="s">
        <v>1123</v>
      </c>
      <c r="K412" s="270">
        <f>IF(D412="","",VLOOKUP(D412,契約台帳!$A$3:$L$4986,12,FALSE))</f>
        <v>50</v>
      </c>
      <c r="L412" s="270" t="str">
        <f>IF(D412="","",INDEX(製品マスタ!$Q$5:$Q$5002,MATCH(F412&amp;K412,製品マスタ!$AO$5:$AO$5002,0)))</f>
        <v>S99-MAT</v>
      </c>
      <c r="M412" s="39">
        <v>1120</v>
      </c>
      <c r="N412" s="39">
        <v>12000</v>
      </c>
      <c r="O412" s="47">
        <v>4</v>
      </c>
      <c r="P412" s="57">
        <v>45062</v>
      </c>
      <c r="Q412" s="276">
        <f>IF(D412="","",IF(J412="リード付け",M412,VLOOKUP(D412,契約台帳!$A$3:$N$4986,14,FALSE)))</f>
        <v>1120</v>
      </c>
      <c r="R412" s="277">
        <f>IF(D412="","",IF(J412="リード付け",M412,VLOOKUP(D412,契約台帳!$A$3:$O$4986,15,FALSE)))</f>
        <v>1120</v>
      </c>
      <c r="S412" s="277">
        <f>IF(D412="","",IF(J412="リード付け",N412,VLOOKUP(D412,契約台帳!$A$3:$P$4986,16,FALSE)))</f>
        <v>4000</v>
      </c>
      <c r="T412" s="40">
        <v>12</v>
      </c>
      <c r="U412" s="278">
        <f ca="1">IF(D412="","",IF(OFFSET(D412,-2,0)=D412,"",VLOOKUP(D412,契約台帳!$A$3:$R$4986,18,FALSE)))</f>
        <v>16</v>
      </c>
      <c r="V412" s="269" t="str">
        <f>IF(J412="巻返し",VLOOKUP(F412&amp;K412&amp;M412,製品マスタ!$M$5:$AD$5002,18,FALSE),IF(J412="リード付け","原反コア",IF(J412="スリット",VLOOKUP(F412&amp;K412&amp;Q412,製品マスタ!$N$5:$AD$5002,17,FALSE),"")))</f>
        <v>6ｲﾝﾁSｺｱ</v>
      </c>
      <c r="W412" s="269">
        <f>IF(J412="巻返し",VLOOKUP(F412&amp;K412&amp;M412,製品マスタ!$M$5:$AE$5002,19,FALSE),IF(J412="リード付け","-",IF(J412="スリット",VLOOKUP(F412&amp;K412&amp;Q412,製品マスタ!$N$5:$AE$5002,18,FALSE),"")))</f>
        <v>1125</v>
      </c>
      <c r="X412" s="275">
        <f>IF(D412="","",VLOOKUP(D412,契約台帳!$A$3:$Q$4986,17,FALSE))</f>
        <v>2</v>
      </c>
      <c r="Y412" s="269" t="str">
        <f>IF(D412="","",VLOOKUP(D412,契約台帳!$A$3:$E$4986,5,FALSE))</f>
        <v>リンテック㈱</v>
      </c>
      <c r="Z412" s="57">
        <v>45069</v>
      </c>
      <c r="AA412" s="207">
        <f>IFERROR(VLOOKUP(F412&amp;K412&amp;M412,製品マスタ!$M$5:$AM$5002,27,FALSE),"")</f>
        <v>0</v>
      </c>
      <c r="AB412" s="33"/>
      <c r="AC412" s="189"/>
      <c r="AD412" s="54" t="str">
        <f>IF(F412="","",+F412&amp;K412)</f>
        <v>3SNMLBMNGKKBF50</v>
      </c>
      <c r="AE412" s="55">
        <f>+M412*N412*O412/1000</f>
        <v>53760</v>
      </c>
      <c r="AF412" s="43">
        <f>IF(AD412="","",VLOOKUP(AD412,原価マスタ!$A$2:$AJ$1693,13,FALSE))</f>
        <v>99</v>
      </c>
      <c r="AG412" s="47">
        <f>IF(AF412="","",+AE412*AF412/100)</f>
        <v>53222.400000000001</v>
      </c>
      <c r="AH412" s="30"/>
      <c r="AI412" s="30"/>
      <c r="AJ412" s="30"/>
      <c r="AK412" s="30"/>
      <c r="AL412" s="13"/>
      <c r="AM412" s="13"/>
      <c r="AN412" s="13"/>
      <c r="AO412" s="13"/>
      <c r="AP412" s="13"/>
      <c r="AQ412" s="14"/>
      <c r="AR412" s="15"/>
    </row>
    <row r="413" spans="1:44" s="17" customFormat="1" ht="30.95" hidden="1" customHeight="1" x14ac:dyDescent="0.2">
      <c r="A413" s="37"/>
      <c r="B413" s="38"/>
      <c r="C413" s="45"/>
      <c r="D413" s="31"/>
      <c r="E413" s="31"/>
      <c r="F413" s="268" t="str">
        <f>IF(D413="","",VLOOKUP(D413,契約台帳!$A$3:$K$4986,6,FALSE)&amp;VLOOKUP(D413,契約台帳!$A$3:$K$4986,7,FALSE)&amp;VLOOKUP(D413,契約台帳!$A$3:$K$4986,8,FALSE)&amp;VLOOKUP(D413,契約台帳!$A$3:$K$4986,9,FALSE)&amp;VLOOKUP(D413,契約台帳!$A$3:$K$4986,11,FALSE))</f>
        <v/>
      </c>
      <c r="G413" s="269" t="str">
        <f>IF(D413="","",VLOOKUP(F413,製品マスタ!$G$5:$H$5002,2,FALSE))</f>
        <v/>
      </c>
      <c r="H413" s="269" t="str">
        <f>IF(D413="","",VLOOKUP(F413,製品マスタ!$G$5:$K$5002,5,FALSE))</f>
        <v/>
      </c>
      <c r="I413" s="270" t="str">
        <f>IF(D413="","",VLOOKUP(F413,製品マスタ!$G$5:$L$5002,6,FALSE))</f>
        <v/>
      </c>
      <c r="J413" s="32"/>
      <c r="K413" s="270" t="str">
        <f>IF(D413="","",VLOOKUP(D413,契約台帳!$A$3:$L$4986,12,FALSE))</f>
        <v/>
      </c>
      <c r="L413" s="270" t="str">
        <f>IF(D413="","",INDEX(製品マスタ!$Q$5:$Q$5002,MATCH(F413&amp;K413,製品マスタ!$AO$5:$AO$5002,0)))</f>
        <v/>
      </c>
      <c r="M413" s="39"/>
      <c r="N413" s="39"/>
      <c r="O413" s="47"/>
      <c r="P413" s="57"/>
      <c r="Q413" s="276" t="str">
        <f>IF(D413="","",IF(J413="リード付け",M413,VLOOKUP(D413,契約台帳!$A$3:$N$4986,14,FALSE)))</f>
        <v/>
      </c>
      <c r="R413" s="277" t="str">
        <f>IF(D413="","",IF(J413="リード付け",M413,VLOOKUP(D413,契約台帳!$A$3:$O$4986,15,FALSE)))</f>
        <v/>
      </c>
      <c r="S413" s="277" t="str">
        <f>IF(D413="","",IF(J413="リード付け",N413,VLOOKUP(D413,契約台帳!$A$3:$P$4986,16,FALSE)))</f>
        <v/>
      </c>
      <c r="T413" s="40"/>
      <c r="U413" s="278" t="str">
        <f ca="1">IF(D413="","",IF(OFFSET(D413,-2,0)=D413,"",VLOOKUP(D413,契約台帳!$A$3:$R$4986,18,FALSE)))</f>
        <v/>
      </c>
      <c r="V413" s="269" t="str">
        <f>IF(J413="巻返し",VLOOKUP(F413&amp;K413&amp;M413,製品マスタ!$M$5:$AD$5002,18,FALSE),IF(J413="リード付け","原反コア",IF(J413="スリット",VLOOKUP(F413&amp;K413&amp;Q413,製品マスタ!$N$5:$AD$5002,17,FALSE),"")))</f>
        <v/>
      </c>
      <c r="W413" s="269" t="str">
        <f>IF(J413="巻返し",VLOOKUP(F413&amp;K413&amp;M413,製品マスタ!$M$5:$AE$5002,19,FALSE),IF(J413="リード付け","-",IF(J413="スリット",VLOOKUP(F413&amp;K413&amp;Q413,製品マスタ!$N$5:$AE$5002,18,FALSE),"")))</f>
        <v/>
      </c>
      <c r="X413" s="275" t="str">
        <f>IF(D413="","",VLOOKUP(D413,契約台帳!$A$3:$Q$4986,17,FALSE))</f>
        <v/>
      </c>
      <c r="Y413" s="269" t="str">
        <f>IF(D413="","",VLOOKUP(D413,契約台帳!$A$3:$E$4986,5,FALSE))</f>
        <v/>
      </c>
      <c r="Z413" s="57"/>
      <c r="AA413" s="207" t="str">
        <f>IFERROR(VLOOKUP(F413&amp;K413&amp;M413,製品マスタ!$M$5:$AM$5002,27,FALSE),"")</f>
        <v/>
      </c>
      <c r="AB413" s="33"/>
      <c r="AC413" s="189"/>
      <c r="AD413" s="54"/>
      <c r="AE413" s="55"/>
      <c r="AF413" s="43"/>
      <c r="AG413" s="47"/>
      <c r="AH413" s="30"/>
      <c r="AI413" s="30"/>
      <c r="AJ413" s="30"/>
      <c r="AK413" s="30"/>
      <c r="AL413" s="13"/>
      <c r="AM413" s="13"/>
      <c r="AN413" s="13"/>
      <c r="AO413" s="13"/>
      <c r="AP413" s="13"/>
      <c r="AQ413" s="14"/>
      <c r="AR413" s="15"/>
    </row>
    <row r="414" spans="1:44" s="17" customFormat="1" ht="30.95" hidden="1" customHeight="1" x14ac:dyDescent="0.2">
      <c r="A414" s="37" t="s">
        <v>1132</v>
      </c>
      <c r="B414" s="38" t="s">
        <v>1105</v>
      </c>
      <c r="C414" s="45"/>
      <c r="D414" s="31"/>
      <c r="E414" s="31"/>
      <c r="F414" s="268"/>
      <c r="G414" s="269"/>
      <c r="H414" s="269"/>
      <c r="I414" s="270"/>
      <c r="J414" s="32" t="s">
        <v>1126</v>
      </c>
      <c r="K414" s="270"/>
      <c r="L414" s="270"/>
      <c r="M414" s="39"/>
      <c r="N414" s="39"/>
      <c r="O414" s="47"/>
      <c r="P414" s="57"/>
      <c r="Q414" s="276"/>
      <c r="R414" s="277"/>
      <c r="S414" s="277"/>
      <c r="T414" s="40"/>
      <c r="U414" s="278"/>
      <c r="V414" s="269"/>
      <c r="W414" s="269"/>
      <c r="X414" s="275"/>
      <c r="Y414" s="269"/>
      <c r="Z414" s="57"/>
      <c r="AA414" s="207"/>
      <c r="AB414" s="33"/>
      <c r="AC414" s="189"/>
      <c r="AD414" s="54"/>
      <c r="AE414" s="55"/>
      <c r="AF414" s="43"/>
      <c r="AG414" s="47"/>
      <c r="AH414" s="30"/>
      <c r="AI414" s="30"/>
      <c r="AJ414" s="30"/>
      <c r="AK414" s="30"/>
      <c r="AL414" s="13"/>
      <c r="AM414" s="13"/>
      <c r="AN414" s="13"/>
      <c r="AO414" s="13"/>
      <c r="AP414" s="13"/>
      <c r="AQ414" s="14"/>
      <c r="AR414" s="15"/>
    </row>
    <row r="415" spans="1:44" s="17" customFormat="1" ht="30.95" hidden="1" customHeight="1" x14ac:dyDescent="0.2">
      <c r="A415" s="37"/>
      <c r="B415" s="38"/>
      <c r="C415" s="45"/>
      <c r="D415" s="31"/>
      <c r="E415" s="31"/>
      <c r="F415" s="268"/>
      <c r="G415" s="269"/>
      <c r="H415" s="269"/>
      <c r="I415" s="270"/>
      <c r="J415" s="32"/>
      <c r="K415" s="270"/>
      <c r="L415" s="270"/>
      <c r="M415" s="39"/>
      <c r="N415" s="39"/>
      <c r="O415" s="47"/>
      <c r="P415" s="57"/>
      <c r="Q415" s="276"/>
      <c r="R415" s="277"/>
      <c r="S415" s="277"/>
      <c r="T415" s="40"/>
      <c r="U415" s="278"/>
      <c r="V415" s="269"/>
      <c r="W415" s="269"/>
      <c r="X415" s="275"/>
      <c r="Y415" s="269"/>
      <c r="Z415" s="57"/>
      <c r="AA415" s="207"/>
      <c r="AB415" s="33"/>
      <c r="AC415" s="189"/>
      <c r="AD415" s="54"/>
      <c r="AE415" s="55"/>
      <c r="AF415" s="43"/>
      <c r="AG415" s="47"/>
      <c r="AH415" s="30"/>
      <c r="AI415" s="30"/>
      <c r="AJ415" s="30"/>
      <c r="AK415" s="30"/>
      <c r="AL415" s="13"/>
      <c r="AM415" s="13"/>
      <c r="AN415" s="13"/>
      <c r="AO415" s="13"/>
      <c r="AP415" s="13"/>
      <c r="AQ415" s="14"/>
      <c r="AR415" s="15"/>
    </row>
    <row r="416" spans="1:44" s="17" customFormat="1" ht="30.95" hidden="1" customHeight="1" x14ac:dyDescent="0.2">
      <c r="A416" s="37" t="s">
        <v>1133</v>
      </c>
      <c r="B416" s="38" t="s">
        <v>1107</v>
      </c>
      <c r="C416" s="45"/>
      <c r="D416" s="31"/>
      <c r="E416" s="31"/>
      <c r="F416" s="268"/>
      <c r="G416" s="269"/>
      <c r="H416" s="269"/>
      <c r="I416" s="270"/>
      <c r="J416" s="32" t="s">
        <v>1126</v>
      </c>
      <c r="K416" s="270"/>
      <c r="L416" s="270"/>
      <c r="M416" s="39"/>
      <c r="N416" s="39"/>
      <c r="O416" s="47"/>
      <c r="P416" s="57"/>
      <c r="Q416" s="276"/>
      <c r="R416" s="277"/>
      <c r="S416" s="277"/>
      <c r="T416" s="40"/>
      <c r="U416" s="278"/>
      <c r="V416" s="269"/>
      <c r="W416" s="269"/>
      <c r="X416" s="275"/>
      <c r="Y416" s="269"/>
      <c r="Z416" s="57"/>
      <c r="AA416" s="207"/>
      <c r="AB416" s="33"/>
      <c r="AC416" s="189"/>
      <c r="AD416" s="54"/>
      <c r="AE416" s="55"/>
      <c r="AF416" s="43"/>
      <c r="AG416" s="47"/>
      <c r="AH416" s="30"/>
      <c r="AI416" s="30"/>
      <c r="AJ416" s="30"/>
      <c r="AK416" s="30"/>
      <c r="AL416" s="13"/>
      <c r="AM416" s="13"/>
      <c r="AN416" s="13"/>
      <c r="AO416" s="13"/>
      <c r="AP416" s="13"/>
      <c r="AQ416" s="14"/>
      <c r="AR416" s="15"/>
    </row>
    <row r="417" spans="1:44" s="17" customFormat="1" ht="30.95" hidden="1" customHeight="1" x14ac:dyDescent="0.2">
      <c r="A417" s="37"/>
      <c r="B417" s="38"/>
      <c r="C417" s="45"/>
      <c r="D417" s="31"/>
      <c r="E417" s="31"/>
      <c r="F417" s="268"/>
      <c r="G417" s="269"/>
      <c r="H417" s="269"/>
      <c r="I417" s="270"/>
      <c r="J417" s="32"/>
      <c r="K417" s="270"/>
      <c r="L417" s="270"/>
      <c r="M417" s="39"/>
      <c r="N417" s="39"/>
      <c r="O417" s="47"/>
      <c r="P417" s="57"/>
      <c r="Q417" s="276"/>
      <c r="R417" s="277"/>
      <c r="S417" s="277"/>
      <c r="T417" s="40"/>
      <c r="U417" s="278"/>
      <c r="V417" s="269"/>
      <c r="W417" s="269"/>
      <c r="X417" s="275"/>
      <c r="Y417" s="269"/>
      <c r="Z417" s="57"/>
      <c r="AA417" s="207"/>
      <c r="AB417" s="33"/>
      <c r="AC417" s="189"/>
      <c r="AD417" s="54"/>
      <c r="AE417" s="55"/>
      <c r="AF417" s="43"/>
      <c r="AG417" s="47"/>
      <c r="AH417" s="30"/>
      <c r="AI417" s="30"/>
      <c r="AJ417" s="30"/>
      <c r="AK417" s="30"/>
      <c r="AL417" s="13"/>
      <c r="AM417" s="13"/>
      <c r="AN417" s="13"/>
      <c r="AO417" s="13"/>
      <c r="AP417" s="13"/>
      <c r="AQ417" s="14"/>
      <c r="AR417" s="15"/>
    </row>
    <row r="418" spans="1:44" s="17" customFormat="1" ht="30.95" hidden="1" customHeight="1" x14ac:dyDescent="0.2">
      <c r="A418" s="37" t="s">
        <v>1158</v>
      </c>
      <c r="B418" s="38" t="s">
        <v>1153</v>
      </c>
      <c r="C418" s="45"/>
      <c r="D418" s="31">
        <v>3708706</v>
      </c>
      <c r="E418" s="31">
        <v>4151350</v>
      </c>
      <c r="F418" s="268" t="str">
        <f>IF(D418="","",VLOOKUP(D418,契約台帳!$A$3:$K$4986,6,FALSE)&amp;VLOOKUP(D418,契約台帳!$A$3:$K$4986,7,FALSE)&amp;VLOOKUP(D418,契約台帳!$A$3:$K$4986,8,FALSE)&amp;VLOOKUP(D418,契約台帳!$A$3:$K$4986,9,FALSE)&amp;VLOOKUP(D418,契約台帳!$A$3:$K$4986,11,FALSE))</f>
        <v>3SNMLBMNGKKBF</v>
      </c>
      <c r="G418" s="269" t="str">
        <f>IF(D418="","",VLOOKUP(F418,製品マスタ!$G$5:$H$5002,2,FALSE))</f>
        <v>S</v>
      </c>
      <c r="H418" s="269" t="str">
        <f>IF(D418="","",VLOOKUP(F418,製品マスタ!$G$5:$K$5002,5,FALSE))</f>
        <v>MNGKKBF</v>
      </c>
      <c r="I418" s="270" t="str">
        <f>IF(D418="","",VLOOKUP(F418,製品マスタ!$G$5:$L$5002,6,FALSE))</f>
        <v>メタルミー　ネーマー銀消改　Ｂ</v>
      </c>
      <c r="J418" s="32" t="s">
        <v>447</v>
      </c>
      <c r="K418" s="270">
        <f>IF(D418="","",VLOOKUP(D418,契約台帳!$A$3:$L$4986,12,FALSE))</f>
        <v>50</v>
      </c>
      <c r="L418" s="270" t="str">
        <f>IF(D418="","",INDEX(製品マスタ!$Q$5:$Q$5002,MATCH(F418&amp;K418,製品マスタ!$AO$5:$AO$5002,0)))</f>
        <v>S99-MAT</v>
      </c>
      <c r="M418" s="39">
        <v>1120</v>
      </c>
      <c r="N418" s="39">
        <v>8000</v>
      </c>
      <c r="O418" s="47">
        <v>2</v>
      </c>
      <c r="P418" s="57">
        <v>45062</v>
      </c>
      <c r="Q418" s="276">
        <f>IF(D418="","",IF(J418="リード付け",M418,VLOOKUP(D418,契約台帳!$A$3:$N$4986,14,FALSE)))</f>
        <v>1120</v>
      </c>
      <c r="R418" s="277">
        <f>IF(D418="","",IF(J418="リード付け",M418,VLOOKUP(D418,契約台帳!$A$3:$O$4986,15,FALSE)))</f>
        <v>1120</v>
      </c>
      <c r="S418" s="277">
        <f>IF(D418="","",IF(J418="リード付け",N418,VLOOKUP(D418,契約台帳!$A$3:$P$4986,16,FALSE)))</f>
        <v>4000</v>
      </c>
      <c r="T418" s="40">
        <v>4</v>
      </c>
      <c r="U418" s="278">
        <f ca="1">IF(D418="","",IF(OFFSET(D418,-2,0)=D418,"",VLOOKUP(D418,契約台帳!$A$3:$R$4986,18,FALSE)))</f>
        <v>16</v>
      </c>
      <c r="V418" s="269" t="str">
        <f>IF(J418="巻返し",VLOOKUP(F418&amp;K418&amp;M418,製品マスタ!$M$5:$AD$5002,18,FALSE),IF(J418="リード付け","原反コア",IF(J418="スリット",VLOOKUP(F418&amp;K418&amp;Q418,製品マスタ!$N$5:$AD$5002,17,FALSE),"")))</f>
        <v>6ｲﾝﾁSｺｱ</v>
      </c>
      <c r="W418" s="269">
        <f>IF(J418="巻返し",VLOOKUP(F418&amp;K418&amp;M418,製品マスタ!$M$5:$AE$5002,19,FALSE),IF(J418="リード付け","-",IF(J418="スリット",VLOOKUP(F418&amp;K418&amp;Q418,製品マスタ!$N$5:$AE$5002,18,FALSE),"")))</f>
        <v>1125</v>
      </c>
      <c r="X418" s="275">
        <f>IF(D418="","",VLOOKUP(D418,契約台帳!$A$3:$Q$4986,17,FALSE))</f>
        <v>2</v>
      </c>
      <c r="Y418" s="269" t="str">
        <f>IF(D418="","",VLOOKUP(D418,契約台帳!$A$3:$E$4986,5,FALSE))</f>
        <v>リンテック㈱</v>
      </c>
      <c r="Z418" s="57">
        <v>45070</v>
      </c>
      <c r="AA418" s="207">
        <f>IFERROR(VLOOKUP(F418&amp;K418&amp;M418,製品マスタ!$M$5:$AM$5002,27,FALSE),"")</f>
        <v>0</v>
      </c>
      <c r="AB418" s="33"/>
      <c r="AC418" s="189"/>
      <c r="AD418" s="54" t="str">
        <f>IF(F418="","",+F418&amp;K418)</f>
        <v>3SNMLBMNGKKBF50</v>
      </c>
      <c r="AE418" s="55">
        <f>+M418*N418*O418/1000</f>
        <v>17920</v>
      </c>
      <c r="AF418" s="43">
        <f>IF(AD418="","",VLOOKUP(AD418,原価マスタ!$A$2:$AJ$1693,13,FALSE))</f>
        <v>99</v>
      </c>
      <c r="AG418" s="47">
        <f>IF(AF418="","",+AE418*AF418/100)</f>
        <v>17740.8</v>
      </c>
      <c r="AH418" s="30"/>
      <c r="AI418" s="30"/>
      <c r="AJ418" s="30"/>
      <c r="AK418" s="30"/>
      <c r="AL418" s="13"/>
      <c r="AM418" s="13"/>
      <c r="AN418" s="13"/>
      <c r="AO418" s="13"/>
      <c r="AP418" s="13"/>
      <c r="AQ418" s="14"/>
      <c r="AR418" s="15"/>
    </row>
    <row r="419" spans="1:44" s="17" customFormat="1" ht="30.95" hidden="1" customHeight="1" x14ac:dyDescent="0.2">
      <c r="A419" s="37"/>
      <c r="B419" s="38"/>
      <c r="C419" s="45"/>
      <c r="D419" s="31"/>
      <c r="E419" s="31"/>
      <c r="F419" s="268" t="str">
        <f>IF(D419="","",VLOOKUP(D419,契約台帳!$A$3:$K$4986,6,FALSE)&amp;VLOOKUP(D419,契約台帳!$A$3:$K$4986,7,FALSE)&amp;VLOOKUP(D419,契約台帳!$A$3:$K$4986,8,FALSE)&amp;VLOOKUP(D419,契約台帳!$A$3:$K$4986,9,FALSE)&amp;VLOOKUP(D419,契約台帳!$A$3:$K$4986,11,FALSE))</f>
        <v/>
      </c>
      <c r="G419" s="269" t="str">
        <f>IF(D419="","",VLOOKUP(F419,製品マスタ!$G$5:$H$5002,2,FALSE))</f>
        <v/>
      </c>
      <c r="H419" s="269" t="str">
        <f>IF(D419="","",VLOOKUP(F419,製品マスタ!$G$5:$K$5002,5,FALSE))</f>
        <v/>
      </c>
      <c r="I419" s="270" t="str">
        <f>IF(D419="","",VLOOKUP(F419,製品マスタ!$G$5:$L$5002,6,FALSE))</f>
        <v/>
      </c>
      <c r="J419" s="32"/>
      <c r="K419" s="270" t="str">
        <f>IF(D419="","",VLOOKUP(D419,契約台帳!$A$3:$L$4986,12,FALSE))</f>
        <v/>
      </c>
      <c r="L419" s="270" t="str">
        <f>IF(D419="","",INDEX(製品マスタ!$Q$5:$Q$5002,MATCH(F419&amp;K419,製品マスタ!$AO$5:$AO$5002,0)))</f>
        <v/>
      </c>
      <c r="M419" s="39"/>
      <c r="N419" s="39"/>
      <c r="O419" s="47"/>
      <c r="P419" s="57"/>
      <c r="Q419" s="276" t="str">
        <f>IF(D419="","",IF(J419="リード付け",M419,VLOOKUP(D419,契約台帳!$A$3:$N$4986,14,FALSE)))</f>
        <v/>
      </c>
      <c r="R419" s="277" t="str">
        <f>IF(D419="","",IF(J419="リード付け",M419,VLOOKUP(D419,契約台帳!$A$3:$O$4986,15,FALSE)))</f>
        <v/>
      </c>
      <c r="S419" s="277" t="str">
        <f>IF(D419="","",IF(J419="リード付け",N419,VLOOKUP(D419,契約台帳!$A$3:$P$4986,16,FALSE)))</f>
        <v/>
      </c>
      <c r="T419" s="40"/>
      <c r="U419" s="278" t="str">
        <f ca="1">IF(D419="","",IF(OFFSET(D419,-2,0)=D419,"",VLOOKUP(D419,契約台帳!$A$3:$R$4986,18,FALSE)))</f>
        <v/>
      </c>
      <c r="V419" s="269" t="str">
        <f>IF(J419="巻返し",VLOOKUP(F419&amp;K419&amp;M419,製品マスタ!$M$5:$AD$5002,18,FALSE),IF(J419="リード付け","原反コア",IF(J419="スリット",VLOOKUP(F419&amp;K419&amp;Q419,製品マスタ!$N$5:$AD$5002,17,FALSE),"")))</f>
        <v/>
      </c>
      <c r="W419" s="269" t="str">
        <f>IF(J419="巻返し",VLOOKUP(F419&amp;K419&amp;M419,製品マスタ!$M$5:$AE$5002,19,FALSE),IF(J419="リード付け","-",IF(J419="スリット",VLOOKUP(F419&amp;K419&amp;Q419,製品マスタ!$N$5:$AE$5002,18,FALSE),"")))</f>
        <v/>
      </c>
      <c r="X419" s="275" t="str">
        <f>IF(D419="","",VLOOKUP(D419,契約台帳!$A$3:$Q$4986,17,FALSE))</f>
        <v/>
      </c>
      <c r="Y419" s="269" t="str">
        <f>IF(D419="","",VLOOKUP(D419,契約台帳!$A$3:$E$4986,5,FALSE))</f>
        <v/>
      </c>
      <c r="Z419" s="57"/>
      <c r="AA419" s="207" t="str">
        <f>IFERROR(VLOOKUP(F419&amp;K419&amp;M419,製品マスタ!$M$5:$AM$5002,27,FALSE),"")</f>
        <v/>
      </c>
      <c r="AB419" s="33"/>
      <c r="AC419" s="189"/>
      <c r="AD419" s="54"/>
      <c r="AE419" s="55"/>
      <c r="AF419" s="43"/>
      <c r="AG419" s="47"/>
      <c r="AH419" s="30"/>
      <c r="AI419" s="30"/>
      <c r="AJ419" s="30"/>
      <c r="AK419" s="30"/>
      <c r="AL419" s="13"/>
      <c r="AM419" s="13"/>
      <c r="AN419" s="13"/>
      <c r="AO419" s="13"/>
      <c r="AP419" s="13"/>
      <c r="AQ419" s="14"/>
      <c r="AR419" s="15"/>
    </row>
    <row r="420" spans="1:44" s="17" customFormat="1" ht="30.95" hidden="1" customHeight="1" x14ac:dyDescent="0.2">
      <c r="A420" s="37"/>
      <c r="B420" s="38"/>
      <c r="C420" s="45"/>
      <c r="D420" s="31">
        <v>3708726</v>
      </c>
      <c r="E420" s="31">
        <v>4151360</v>
      </c>
      <c r="F420" s="268" t="str">
        <f>IF(D420="","",VLOOKUP(D420,契約台帳!$A$3:$K$4986,6,FALSE)&amp;VLOOKUP(D420,契約台帳!$A$3:$K$4986,7,FALSE)&amp;VLOOKUP(D420,契約台帳!$A$3:$K$4986,8,FALSE)&amp;VLOOKUP(D420,契約台帳!$A$3:$K$4986,9,FALSE)&amp;VLOOKUP(D420,契約台帳!$A$3:$K$4986,11,FALSE))</f>
        <v>3SNMLBMTSF</v>
      </c>
      <c r="G420" s="269" t="str">
        <f>IF(D420="","",VLOOKUP(F420,製品マスタ!$G$5:$H$5002,2,FALSE))</f>
        <v>S</v>
      </c>
      <c r="H420" s="269" t="str">
        <f>IF(D420="","",VLOOKUP(F420,製品マスタ!$G$5:$K$5002,5,FALSE))</f>
        <v>MTSF</v>
      </c>
      <c r="I420" s="270" t="str">
        <f>IF(D420="","",VLOOKUP(F420,製品マスタ!$G$5:$L$5002,6,FALSE))</f>
        <v>メタルミー　ＴＳ</v>
      </c>
      <c r="J420" s="32" t="s">
        <v>447</v>
      </c>
      <c r="K420" s="270">
        <f>IF(D420="","",VLOOKUP(D420,契約台帳!$A$3:$L$4986,12,FALSE))</f>
        <v>50</v>
      </c>
      <c r="L420" s="270" t="str">
        <f>IF(D420="","",INDEX(製品マスタ!$Q$5:$Q$5002,MATCH(F420&amp;K420,製品マスタ!$AO$5:$AO$5002,0)))</f>
        <v>T62M</v>
      </c>
      <c r="M420" s="39">
        <v>1255</v>
      </c>
      <c r="N420" s="39">
        <v>12200</v>
      </c>
      <c r="O420" s="47">
        <v>1</v>
      </c>
      <c r="P420" s="57">
        <v>45063</v>
      </c>
      <c r="Q420" s="276">
        <f>IF(D420="","",IF(J420="リード付け",M420,VLOOKUP(D420,契約台帳!$A$3:$N$4986,14,FALSE)))</f>
        <v>1255</v>
      </c>
      <c r="R420" s="277">
        <f>IF(D420="","",IF(J420="リード付け",M420,VLOOKUP(D420,契約台帳!$A$3:$O$4986,15,FALSE)))</f>
        <v>1250</v>
      </c>
      <c r="S420" s="277">
        <f>IF(D420="","",IF(J420="リード付け",N420,VLOOKUP(D420,契約台帳!$A$3:$P$4986,16,FALSE)))</f>
        <v>2000</v>
      </c>
      <c r="T420" s="40">
        <v>3</v>
      </c>
      <c r="U420" s="278">
        <f ca="1">IF(D420="","",IF(OFFSET(D420,-2,0)=D420,"",VLOOKUP(D420,契約台帳!$A$3:$R$4986,18,FALSE)))</f>
        <v>3</v>
      </c>
      <c r="V420" s="269" t="str">
        <f>IF(J420="巻返し",VLOOKUP(F420&amp;K420&amp;M420,製品マスタ!$M$5:$AD$5002,18,FALSE),IF(J420="リード付け","原反コア",IF(J420="スリット",VLOOKUP(F420&amp;K420&amp;Q420,製品マスタ!$N$5:$AD$5002,17,FALSE),"")))</f>
        <v>3ｲﾝﾁSｺｱ</v>
      </c>
      <c r="W420" s="269">
        <f>IF(J420="巻返し",VLOOKUP(F420&amp;K420&amp;M420,製品マスタ!$M$5:$AE$5002,19,FALSE),IF(J420="リード付け","-",IF(J420="スリット",VLOOKUP(F420&amp;K420&amp;Q420,製品マスタ!$N$5:$AE$5002,18,FALSE),"")))</f>
        <v>1260</v>
      </c>
      <c r="X420" s="275">
        <f>IF(D420="","",VLOOKUP(D420,契約台帳!$A$3:$Q$4986,17,FALSE))</f>
        <v>2</v>
      </c>
      <c r="Y420" s="269" t="str">
        <f>IF(D420="","",VLOOKUP(D420,契約台帳!$A$3:$E$4986,5,FALSE))</f>
        <v>日東電工㈱豊橋工場</v>
      </c>
      <c r="Z420" s="57">
        <v>45070</v>
      </c>
      <c r="AA420" s="207">
        <f>IFERROR(VLOOKUP(F420&amp;K420&amp;M420,製品マスタ!$M$5:$AM$5002,27,FALSE),"")</f>
        <v>0</v>
      </c>
      <c r="AB420" s="33"/>
      <c r="AC420" s="189"/>
      <c r="AD420" s="54" t="str">
        <f>IF(F420="","",+F420&amp;K420)</f>
        <v>3SNMLBMTSF50</v>
      </c>
      <c r="AE420" s="55">
        <f>+M420*N420*O420/1000</f>
        <v>15311</v>
      </c>
      <c r="AF420" s="43">
        <f>IF(AD420="","",VLOOKUP(AD420,原価マスタ!$A$2:$AJ$1693,13,FALSE))</f>
        <v>95</v>
      </c>
      <c r="AG420" s="47">
        <f>IF(AF420="","",+AE420*AF420/100)</f>
        <v>14545.45</v>
      </c>
      <c r="AH420" s="30"/>
      <c r="AI420" s="30"/>
      <c r="AJ420" s="30"/>
      <c r="AK420" s="30"/>
      <c r="AL420" s="13"/>
      <c r="AM420" s="13"/>
      <c r="AN420" s="13"/>
      <c r="AO420" s="13"/>
      <c r="AP420" s="13"/>
      <c r="AQ420" s="14"/>
      <c r="AR420" s="15"/>
    </row>
    <row r="421" spans="1:44" s="17" customFormat="1" ht="30.95" hidden="1" customHeight="1" x14ac:dyDescent="0.2">
      <c r="A421" s="37"/>
      <c r="B421" s="38"/>
      <c r="C421" s="45"/>
      <c r="D421" s="31">
        <v>3709496</v>
      </c>
      <c r="E421" s="31"/>
      <c r="F421" s="268" t="str">
        <f>IF(D421="","",VLOOKUP(D421,契約台帳!$A$3:$K$4986,6,FALSE)&amp;VLOOKUP(D421,契約台帳!$A$3:$K$4986,7,FALSE)&amp;VLOOKUP(D421,契約台帳!$A$3:$K$4986,8,FALSE)&amp;VLOOKUP(D421,契約台帳!$A$3:$K$4986,9,FALSE)&amp;VLOOKUP(D421,契約台帳!$A$3:$K$4986,11,FALSE))</f>
        <v>3TNMLBMTSF</v>
      </c>
      <c r="G421" s="269" t="str">
        <f>IF(D421="","",VLOOKUP(F421,製品マスタ!$G$5:$H$5002,2,FALSE))</f>
        <v>T</v>
      </c>
      <c r="H421" s="269" t="str">
        <f>IF(D421="","",VLOOKUP(F421,製品マスタ!$G$5:$K$5002,5,FALSE))</f>
        <v>MTSF</v>
      </c>
      <c r="I421" s="270" t="str">
        <f>IF(D421="","",VLOOKUP(F421,製品マスタ!$G$5:$L$5002,6,FALSE))</f>
        <v>メタルミー　ＴＳ</v>
      </c>
      <c r="J421" s="32" t="s">
        <v>447</v>
      </c>
      <c r="K421" s="270">
        <f>IF(D421="","",VLOOKUP(D421,契約台帳!$A$3:$L$4986,12,FALSE))</f>
        <v>50</v>
      </c>
      <c r="L421" s="270" t="str">
        <f>IF(D421="","",INDEX(製品マスタ!$Q$5:$Q$5002,MATCH(F421&amp;K421,製品マスタ!$AO$5:$AO$5002,0)))</f>
        <v>T62M</v>
      </c>
      <c r="M421" s="39"/>
      <c r="N421" s="39"/>
      <c r="O421" s="47"/>
      <c r="P421" s="57"/>
      <c r="Q421" s="276">
        <f>IF(D421="","",IF(J421="リード付け",M421,VLOOKUP(D421,契約台帳!$A$3:$N$4986,14,FALSE)))</f>
        <v>1255</v>
      </c>
      <c r="R421" s="277">
        <f>IF(D421="","",IF(J421="リード付け",M421,VLOOKUP(D421,契約台帳!$A$3:$O$4986,15,FALSE)))</f>
        <v>1250</v>
      </c>
      <c r="S421" s="277">
        <f>IF(D421="","",IF(J421="リード付け",N421,VLOOKUP(D421,契約台帳!$A$3:$P$4986,16,FALSE)))</f>
        <v>3000</v>
      </c>
      <c r="T421" s="40">
        <v>2</v>
      </c>
      <c r="U421" s="278">
        <f ca="1">IF(D421="","",IF(OFFSET(D421,-2,0)=D421,"",VLOOKUP(D421,契約台帳!$A$3:$R$4986,18,FALSE)))</f>
        <v>2</v>
      </c>
      <c r="V421" s="269" t="s">
        <v>903</v>
      </c>
      <c r="W421" s="269">
        <v>1260</v>
      </c>
      <c r="X421" s="275">
        <f>IF(D421="","",VLOOKUP(D421,契約台帳!$A$3:$Q$4986,17,FALSE))</f>
        <v>2</v>
      </c>
      <c r="Y421" s="269" t="str">
        <f>IF(D421="","",VLOOKUP(D421,契約台帳!$A$3:$E$4986,5,FALSE))</f>
        <v>日東電工㈱豊橋工場</v>
      </c>
      <c r="Z421" s="57">
        <v>45068</v>
      </c>
      <c r="AA421" s="207" t="str">
        <f>IFERROR(VLOOKUP(F421&amp;K421&amp;M421,製品マスタ!$M$5:$AM$5002,27,FALSE),"")</f>
        <v/>
      </c>
      <c r="AB421" s="33"/>
      <c r="AC421" s="189"/>
      <c r="AD421" s="54"/>
      <c r="AE421" s="55"/>
      <c r="AF421" s="43"/>
      <c r="AG421" s="47"/>
      <c r="AH421" s="30"/>
      <c r="AI421" s="30"/>
      <c r="AJ421" s="30"/>
      <c r="AK421" s="30"/>
      <c r="AL421" s="13"/>
      <c r="AM421" s="13"/>
      <c r="AN421" s="13"/>
      <c r="AO421" s="13"/>
      <c r="AP421" s="13"/>
      <c r="AQ421" s="14"/>
      <c r="AR421" s="15"/>
    </row>
    <row r="422" spans="1:44" s="17" customFormat="1" ht="30.95" hidden="1" customHeight="1" x14ac:dyDescent="0.2">
      <c r="A422" s="37"/>
      <c r="B422" s="38"/>
      <c r="C422" s="45"/>
      <c r="D422" s="31"/>
      <c r="E422" s="31"/>
      <c r="F422" s="268"/>
      <c r="G422" s="269"/>
      <c r="H422" s="269"/>
      <c r="I422" s="270"/>
      <c r="J422" s="32"/>
      <c r="K422" s="270"/>
      <c r="L422" s="270"/>
      <c r="M422" s="39"/>
      <c r="N422" s="39"/>
      <c r="O422" s="47"/>
      <c r="P422" s="57"/>
      <c r="Q422" s="276"/>
      <c r="R422" s="277"/>
      <c r="S422" s="277"/>
      <c r="T422" s="40"/>
      <c r="U422" s="278"/>
      <c r="V422" s="269"/>
      <c r="W422" s="269"/>
      <c r="X422" s="275"/>
      <c r="Y422" s="269"/>
      <c r="Z422" s="57"/>
      <c r="AA422" s="207"/>
      <c r="AB422" s="33"/>
      <c r="AC422" s="189"/>
      <c r="AD422" s="54"/>
      <c r="AE422" s="55"/>
      <c r="AF422" s="43"/>
      <c r="AG422" s="47"/>
      <c r="AH422" s="30"/>
      <c r="AI422" s="30"/>
      <c r="AJ422" s="30"/>
      <c r="AK422" s="30"/>
      <c r="AL422" s="13"/>
      <c r="AM422" s="13"/>
      <c r="AN422" s="13"/>
      <c r="AO422" s="13"/>
      <c r="AP422" s="13"/>
      <c r="AQ422" s="14"/>
      <c r="AR422" s="15"/>
    </row>
    <row r="423" spans="1:44" s="17" customFormat="1" ht="30.95" hidden="1" customHeight="1" x14ac:dyDescent="0.2">
      <c r="A423" s="37"/>
      <c r="B423" s="38"/>
      <c r="C423" s="45"/>
      <c r="D423" s="31">
        <v>3711137</v>
      </c>
      <c r="E423" s="31">
        <v>4151371</v>
      </c>
      <c r="F423" s="268" t="str">
        <f>IF(D423="","",VLOOKUP(D423,契約台帳!$A$3:$K$4986,6,FALSE)&amp;VLOOKUP(D423,契約台帳!$A$3:$K$4986,7,FALSE)&amp;VLOOKUP(D423,契約台帳!$A$3:$K$4986,8,FALSE)&amp;VLOOKUP(D423,契約台帳!$A$3:$K$4986,9,FALSE)&amp;VLOOKUP(D423,契約台帳!$A$3:$K$4986,11,FALSE))</f>
        <v>3SNMLBMTSF</v>
      </c>
      <c r="G423" s="269" t="str">
        <f>IF(D423="","",VLOOKUP(F423,製品マスタ!$G$5:$H$5002,2,FALSE))</f>
        <v>S</v>
      </c>
      <c r="H423" s="269" t="str">
        <f>IF(D423="","",VLOOKUP(F423,製品マスタ!$G$5:$K$5002,5,FALSE))</f>
        <v>MTSF</v>
      </c>
      <c r="I423" s="270" t="str">
        <f>IF(D423="","",VLOOKUP(F423,製品マスタ!$G$5:$L$5002,6,FALSE))</f>
        <v>メタルミー　ＴＳ</v>
      </c>
      <c r="J423" s="32" t="s">
        <v>447</v>
      </c>
      <c r="K423" s="270">
        <f>IF(D423="","",VLOOKUP(D423,契約台帳!$A$3:$L$4986,12,FALSE))</f>
        <v>75</v>
      </c>
      <c r="L423" s="270" t="str">
        <f>IF(D423="","",INDEX(製品マスタ!$Q$5:$Q$5002,MATCH(F423&amp;K423,製品マスタ!$AO$5:$AO$5002,0)))</f>
        <v>T60</v>
      </c>
      <c r="M423" s="39">
        <v>1100</v>
      </c>
      <c r="N423" s="39">
        <v>2000</v>
      </c>
      <c r="O423" s="47">
        <v>1</v>
      </c>
      <c r="P423" s="57">
        <v>45063</v>
      </c>
      <c r="Q423" s="276">
        <f>IF(D423="","",IF(J423="リード付け",M423,VLOOKUP(D423,契約台帳!$A$3:$N$4986,14,FALSE)))</f>
        <v>1000</v>
      </c>
      <c r="R423" s="277">
        <f>IF(D423="","",IF(J423="リード付け",M423,VLOOKUP(D423,契約台帳!$A$3:$O$4986,15,FALSE)))</f>
        <v>1000</v>
      </c>
      <c r="S423" s="277">
        <f>IF(D423="","",IF(J423="リード付け",N423,VLOOKUP(D423,契約台帳!$A$3:$P$4986,16,FALSE)))</f>
        <v>1000</v>
      </c>
      <c r="T423" s="40">
        <v>2</v>
      </c>
      <c r="U423" s="278">
        <f ca="1">IF(D423="","",IF(OFFSET(D423,-2,0)=D423,"",VLOOKUP(D423,契約台帳!$A$3:$R$4986,18,FALSE)))</f>
        <v>2</v>
      </c>
      <c r="V423" s="269" t="str">
        <f>IF(J423="巻返し",VLOOKUP(F423&amp;K423&amp;M423,製品マスタ!$M$5:$AD$5002,18,FALSE),IF(J423="リード付け","原反コア",IF(J423="スリット",VLOOKUP(F423&amp;K423&amp;Q423,製品マスタ!$N$5:$AD$5002,17,FALSE),"")))</f>
        <v>3ｲﾝﾁSｺｱ</v>
      </c>
      <c r="W423" s="269">
        <f>IF(J423="巻返し",VLOOKUP(F423&amp;K423&amp;M423,製品マスタ!$M$5:$AE$5002,19,FALSE),IF(J423="リード付け","-",IF(J423="スリット",VLOOKUP(F423&amp;K423&amp;Q423,製品マスタ!$N$5:$AE$5002,18,FALSE),"")))</f>
        <v>1005</v>
      </c>
      <c r="X423" s="275">
        <f>IF(D423="","",VLOOKUP(D423,契約台帳!$A$3:$Q$4986,17,FALSE))</f>
        <v>2</v>
      </c>
      <c r="Y423" s="269" t="str">
        <f>IF(D423="","",VLOOKUP(D423,契約台帳!$A$3:$E$4986,5,FALSE))</f>
        <v>パナック㈱亀山工場</v>
      </c>
      <c r="Z423" s="57">
        <v>45070</v>
      </c>
      <c r="AA423" s="207">
        <f>IFERROR(VLOOKUP(F423&amp;K423&amp;M423,製品マスタ!$M$5:$AM$5002,27,FALSE),"")</f>
        <v>0</v>
      </c>
      <c r="AB423" s="33"/>
      <c r="AC423" s="189"/>
      <c r="AD423" s="54" t="str">
        <f>IF(F423="","",+F423&amp;K423)</f>
        <v>3SNMLBMTSF75</v>
      </c>
      <c r="AE423" s="55">
        <f>+M423*N423*O423/1000</f>
        <v>2200</v>
      </c>
      <c r="AF423" s="43">
        <f>IF(AD423="","",VLOOKUP(AD423,原価マスタ!$A$2:$AJ$1693,13,FALSE))</f>
        <v>86</v>
      </c>
      <c r="AG423" s="47">
        <f>IF(AF423="","",+AE423*AF423/100)</f>
        <v>1892</v>
      </c>
      <c r="AH423" s="30"/>
      <c r="AI423" s="30"/>
      <c r="AJ423" s="30"/>
      <c r="AK423" s="30"/>
      <c r="AL423" s="13"/>
      <c r="AM423" s="13"/>
      <c r="AN423" s="13"/>
      <c r="AO423" s="13"/>
      <c r="AP423" s="13"/>
      <c r="AQ423" s="14"/>
      <c r="AR423" s="15"/>
    </row>
    <row r="424" spans="1:44" s="17" customFormat="1" ht="30.95" hidden="1" customHeight="1" x14ac:dyDescent="0.2">
      <c r="A424" s="37"/>
      <c r="B424" s="38"/>
      <c r="C424" s="45"/>
      <c r="D424" s="31"/>
      <c r="E424" s="31"/>
      <c r="F424" s="268" t="str">
        <f>IF(D424="","",VLOOKUP(D424,契約台帳!$A$3:$K$4986,6,FALSE)&amp;VLOOKUP(D424,契約台帳!$A$3:$K$4986,7,FALSE)&amp;VLOOKUP(D424,契約台帳!$A$3:$K$4986,8,FALSE)&amp;VLOOKUP(D424,契約台帳!$A$3:$K$4986,9,FALSE)&amp;VLOOKUP(D424,契約台帳!$A$3:$K$4986,11,FALSE))</f>
        <v/>
      </c>
      <c r="G424" s="269" t="str">
        <f>IF(D424="","",VLOOKUP(F424,製品マスタ!$G$5:$H$5002,2,FALSE))</f>
        <v/>
      </c>
      <c r="H424" s="269" t="str">
        <f>IF(D424="","",VLOOKUP(F424,製品マスタ!$G$5:$K$5002,5,FALSE))</f>
        <v/>
      </c>
      <c r="I424" s="301"/>
      <c r="J424" s="32"/>
      <c r="K424" s="270" t="str">
        <f>IF(D424="","",VLOOKUP(D424,契約台帳!$A$3:$L$4986,12,FALSE))</f>
        <v/>
      </c>
      <c r="L424" s="270" t="str">
        <f>IF(D424="","",INDEX(製品マスタ!$Q$5:$Q$5002,MATCH(F424&amp;K424,製品マスタ!$AO$5:$AO$5002,0)))</f>
        <v/>
      </c>
      <c r="M424" s="39"/>
      <c r="N424" s="39"/>
      <c r="O424" s="47"/>
      <c r="P424" s="57"/>
      <c r="Q424" s="276" t="str">
        <f>IF(D424="","",IF(J424="リード付け",M424,VLOOKUP(D424,契約台帳!$A$3:$N$4986,14,FALSE)))</f>
        <v/>
      </c>
      <c r="R424" s="277" t="str">
        <f>IF(D424="","",IF(J424="リード付け",M424,VLOOKUP(D424,契約台帳!$A$3:$O$4986,15,FALSE)))</f>
        <v/>
      </c>
      <c r="S424" s="277" t="str">
        <f>IF(D424="","",IF(J424="リード付け",N424,VLOOKUP(D424,契約台帳!$A$3:$P$4986,16,FALSE)))</f>
        <v/>
      </c>
      <c r="T424" s="40"/>
      <c r="U424" s="278" t="str">
        <f ca="1">IF(D424="","",IF(OFFSET(D424,-2,0)=D424,"",VLOOKUP(D424,契約台帳!$A$3:$R$4986,18,FALSE)))</f>
        <v/>
      </c>
      <c r="V424" s="269" t="str">
        <f>IF(J424="巻返し",VLOOKUP(F424&amp;K424&amp;M424,製品マスタ!$M$5:$AD$5002,18,FALSE),IF(J424="リード付け","原反コア",IF(J424="スリット",VLOOKUP(F424&amp;K424&amp;Q424,製品マスタ!$N$5:$AD$5002,17,FALSE),"")))</f>
        <v/>
      </c>
      <c r="W424" s="269" t="str">
        <f>IF(J424="巻返し",VLOOKUP(F424&amp;K424&amp;M424,製品マスタ!$M$5:$AE$5002,19,FALSE),IF(J424="リード付け","-",IF(J424="スリット",VLOOKUP(F424&amp;K424&amp;Q424,製品マスタ!$N$5:$AE$5002,18,FALSE),"")))</f>
        <v/>
      </c>
      <c r="X424" s="275" t="str">
        <f>IF(D424="","",VLOOKUP(D424,契約台帳!$A$3:$Q$4986,17,FALSE))</f>
        <v/>
      </c>
      <c r="Y424" s="269" t="str">
        <f>IF(D424="","",VLOOKUP(D424,契約台帳!$A$3:$E$4986,5,FALSE))</f>
        <v/>
      </c>
      <c r="Z424" s="57"/>
      <c r="AA424" s="207" t="str">
        <f>IFERROR(VLOOKUP(F424&amp;K424&amp;M424,製品マスタ!$M$5:$AM$5002,27,FALSE),"")</f>
        <v/>
      </c>
      <c r="AB424" s="33"/>
      <c r="AC424" s="189"/>
      <c r="AD424" s="54"/>
      <c r="AE424" s="55"/>
      <c r="AF424" s="43"/>
      <c r="AG424" s="47"/>
      <c r="AH424" s="30"/>
      <c r="AI424" s="30"/>
      <c r="AJ424" s="30"/>
      <c r="AK424" s="30"/>
      <c r="AL424" s="13"/>
      <c r="AM424" s="13"/>
      <c r="AN424" s="13"/>
      <c r="AO424" s="13"/>
      <c r="AP424" s="13"/>
      <c r="AQ424" s="14"/>
      <c r="AR424" s="15"/>
    </row>
    <row r="425" spans="1:44" s="17" customFormat="1" ht="30.95" hidden="1" customHeight="1" x14ac:dyDescent="0.2">
      <c r="A425" s="37"/>
      <c r="B425" s="38"/>
      <c r="C425" s="45"/>
      <c r="D425" s="31">
        <v>3708696</v>
      </c>
      <c r="E425" s="31">
        <v>4151369</v>
      </c>
      <c r="F425" s="268" t="str">
        <f>IF(D425="","",VLOOKUP(D425,契約台帳!$A$3:$K$4986,6,FALSE)&amp;VLOOKUP(D425,契約台帳!$A$3:$K$4986,7,FALSE)&amp;VLOOKUP(D425,契約台帳!$A$3:$K$4986,8,FALSE)&amp;VLOOKUP(D425,契約台帳!$A$3:$K$4986,9,FALSE)&amp;VLOOKUP(D425,契約台帳!$A$3:$K$4986,11,FALSE))</f>
        <v>3SNMLBMSF</v>
      </c>
      <c r="G425" s="269" t="str">
        <f>IF(D425="","",VLOOKUP(F425,製品マスタ!$G$5:$H$5002,2,FALSE))</f>
        <v>S</v>
      </c>
      <c r="H425" s="269" t="str">
        <f>IF(D425="","",VLOOKUP(F425,製品マスタ!$G$5:$K$5002,5,FALSE))</f>
        <v>MSF</v>
      </c>
      <c r="I425" s="270" t="str">
        <f>IF(D425="","",VLOOKUP(F425,製品マスタ!$G$5:$L$5002,6,FALSE))</f>
        <v>メタルミー　Ｓ</v>
      </c>
      <c r="J425" s="32" t="s">
        <v>447</v>
      </c>
      <c r="K425" s="270">
        <f>IF(D425="","",VLOOKUP(D425,契約台帳!$A$3:$L$4986,12,FALSE))</f>
        <v>25</v>
      </c>
      <c r="L425" s="270" t="str">
        <f>IF(D425="","",INDEX(製品マスタ!$Q$5:$Q$5002,MATCH(F425&amp;K425,製品マスタ!$AO$5:$AO$5002,0)))</f>
        <v>T62M</v>
      </c>
      <c r="M425" s="39">
        <v>1020</v>
      </c>
      <c r="N425" s="39">
        <v>12100</v>
      </c>
      <c r="O425" s="47">
        <v>1</v>
      </c>
      <c r="P425" s="57">
        <v>45059</v>
      </c>
      <c r="Q425" s="276">
        <f>IF(D425="","",IF(J425="リード付け",M425,VLOOKUP(D425,契約台帳!$A$3:$N$4986,14,FALSE)))</f>
        <v>1000</v>
      </c>
      <c r="R425" s="277">
        <f>IF(D425="","",IF(J425="リード付け",M425,VLOOKUP(D425,契約台帳!$A$3:$O$4986,15,FALSE)))</f>
        <v>1000</v>
      </c>
      <c r="S425" s="277">
        <f>IF(D425="","",IF(J425="リード付け",N425,VLOOKUP(D425,契約台帳!$A$3:$P$4986,16,FALSE)))</f>
        <v>2000</v>
      </c>
      <c r="T425" s="40">
        <v>6</v>
      </c>
      <c r="U425" s="278">
        <f ca="1">IF(D425="","",IF(OFFSET(D425,-2,0)=D425,"",VLOOKUP(D425,契約台帳!$A$3:$R$4986,18,FALSE)))</f>
        <v>6</v>
      </c>
      <c r="V425" s="269" t="str">
        <f>IF(J425="巻返し",VLOOKUP(F425&amp;K425&amp;M425,製品マスタ!$M$5:$AD$5002,18,FALSE),IF(J425="リード付け","原反コア",IF(J425="スリット",VLOOKUP(F425&amp;K425&amp;Q425,製品マスタ!$N$5:$AD$5002,17,FALSE),"")))</f>
        <v>3ｲﾝﾁSｺｱ</v>
      </c>
      <c r="W425" s="269">
        <f>IF(J425="巻返し",VLOOKUP(F425&amp;K425&amp;M425,製品マスタ!$M$5:$AE$5002,19,FALSE),IF(J425="リード付け","-",IF(J425="スリット",VLOOKUP(F425&amp;K425&amp;Q425,製品マスタ!$N$5:$AE$5002,18,FALSE),"")))</f>
        <v>1005</v>
      </c>
      <c r="X425" s="275">
        <f>IF(D425="","",VLOOKUP(D425,契約台帳!$A$3:$Q$4986,17,FALSE))</f>
        <v>2</v>
      </c>
      <c r="Y425" s="269" t="str">
        <f>IF(D425="","",VLOOKUP(D425,契約台帳!$A$3:$E$4986,5,FALSE))</f>
        <v>寺岡製作所　大宮工場</v>
      </c>
      <c r="Z425" s="57">
        <v>45070</v>
      </c>
      <c r="AA425" s="207">
        <f>IFERROR(VLOOKUP(F425&amp;K425&amp;M425,製品マスタ!$M$5:$AM$5002,27,FALSE),"")</f>
        <v>0</v>
      </c>
      <c r="AB425" s="33"/>
      <c r="AC425" s="189"/>
      <c r="AD425" s="54" t="str">
        <f>IF(F425="","",+F425&amp;K425)</f>
        <v>3SNMLBMSF25</v>
      </c>
      <c r="AE425" s="55">
        <f>+M425*N425*O425/1000</f>
        <v>12342</v>
      </c>
      <c r="AF425" s="43">
        <f>IF(AD425="","",VLOOKUP(AD425,原価マスタ!$A$2:$AJ$1693,13,FALSE))</f>
        <v>97</v>
      </c>
      <c r="AG425" s="47">
        <f>IF(AF425="","",+AE425*AF425/100)</f>
        <v>11971.74</v>
      </c>
      <c r="AH425" s="30"/>
      <c r="AI425" s="30"/>
      <c r="AJ425" s="30"/>
      <c r="AK425" s="30"/>
      <c r="AL425" s="13"/>
      <c r="AM425" s="13"/>
      <c r="AN425" s="13"/>
      <c r="AO425" s="13"/>
      <c r="AP425" s="13"/>
      <c r="AQ425" s="14"/>
      <c r="AR425" s="15"/>
    </row>
    <row r="426" spans="1:44" s="17" customFormat="1" ht="30.95" hidden="1" customHeight="1" x14ac:dyDescent="0.2">
      <c r="A426" s="37"/>
      <c r="B426" s="38"/>
      <c r="C426" s="45"/>
      <c r="D426" s="31"/>
      <c r="E426" s="31"/>
      <c r="F426" s="268" t="str">
        <f>IF(D426="","",VLOOKUP(D426,契約台帳!$A$3:$K$4986,6,FALSE)&amp;VLOOKUP(D426,契約台帳!$A$3:$K$4986,7,FALSE)&amp;VLOOKUP(D426,契約台帳!$A$3:$K$4986,8,FALSE)&amp;VLOOKUP(D426,契約台帳!$A$3:$K$4986,9,FALSE)&amp;VLOOKUP(D426,契約台帳!$A$3:$K$4986,11,FALSE))</f>
        <v/>
      </c>
      <c r="G426" s="269" t="str">
        <f>IF(D426="","",VLOOKUP(F426,製品マスタ!$G$5:$H$5002,2,FALSE))</f>
        <v/>
      </c>
      <c r="H426" s="269" t="str">
        <f>IF(D426="","",VLOOKUP(F426,製品マスタ!$G$5:$K$5002,5,FALSE))</f>
        <v/>
      </c>
      <c r="I426" s="270" t="str">
        <f>IF(D426="","",VLOOKUP(F426,製品マスタ!$G$5:$L$5002,6,FALSE))</f>
        <v/>
      </c>
      <c r="J426" s="32"/>
      <c r="K426" s="270" t="str">
        <f>IF(D426="","",VLOOKUP(D426,契約台帳!$A$3:$L$4986,12,FALSE))</f>
        <v/>
      </c>
      <c r="L426" s="270" t="str">
        <f>IF(D426="","",INDEX(製品マスタ!$Q$5:$Q$5002,MATCH(F426&amp;K426,製品マスタ!$AO$5:$AO$5002,0)))</f>
        <v/>
      </c>
      <c r="M426" s="39"/>
      <c r="N426" s="39"/>
      <c r="O426" s="47"/>
      <c r="P426" s="57"/>
      <c r="Q426" s="276" t="str">
        <f>IF(D426="","",IF(J426="リード付け",M426,VLOOKUP(D426,契約台帳!$A$3:$N$4986,14,FALSE)))</f>
        <v/>
      </c>
      <c r="R426" s="277" t="str">
        <f>IF(D426="","",IF(J426="リード付け",M426,VLOOKUP(D426,契約台帳!$A$3:$O$4986,15,FALSE)))</f>
        <v/>
      </c>
      <c r="S426" s="277" t="str">
        <f>IF(D426="","",IF(J426="リード付け",N426,VLOOKUP(D426,契約台帳!$A$3:$P$4986,16,FALSE)))</f>
        <v/>
      </c>
      <c r="T426" s="40"/>
      <c r="U426" s="278" t="str">
        <f ca="1">IF(D426="","",IF(OFFSET(D426,-2,0)=D426,"",VLOOKUP(D426,契約台帳!$A$3:$R$4986,18,FALSE)))</f>
        <v/>
      </c>
      <c r="V426" s="269" t="str">
        <f>IF(J426="巻返し",VLOOKUP(F426&amp;K426&amp;M426,製品マスタ!$M$5:$AD$5002,18,FALSE),IF(J426="リード付け","原反コア",IF(J426="スリット",VLOOKUP(F426&amp;K426&amp;Q426,製品マスタ!$N$5:$AD$5002,17,FALSE),"")))</f>
        <v/>
      </c>
      <c r="W426" s="269" t="str">
        <f>IF(J426="巻返し",VLOOKUP(F426&amp;K426&amp;M426,製品マスタ!$M$5:$AE$5002,19,FALSE),IF(J426="リード付け","-",IF(J426="スリット",VLOOKUP(F426&amp;K426&amp;Q426,製品マスタ!$N$5:$AE$5002,18,FALSE),"")))</f>
        <v/>
      </c>
      <c r="X426" s="275" t="str">
        <f>IF(D426="","",VLOOKUP(D426,契約台帳!$A$3:$Q$4986,17,FALSE))</f>
        <v/>
      </c>
      <c r="Y426" s="269" t="str">
        <f>IF(D426="","",VLOOKUP(D426,契約台帳!$A$3:$E$4986,5,FALSE))</f>
        <v/>
      </c>
      <c r="Z426" s="57"/>
      <c r="AA426" s="207" t="str">
        <f>IFERROR(VLOOKUP(F426&amp;K426&amp;M426,製品マスタ!$M$5:$AM$5002,27,FALSE),"")</f>
        <v/>
      </c>
      <c r="AB426" s="33"/>
      <c r="AC426" s="189"/>
      <c r="AD426" s="54"/>
      <c r="AE426" s="55"/>
      <c r="AF426" s="43"/>
      <c r="AG426" s="47"/>
      <c r="AH426" s="30"/>
      <c r="AI426" s="30"/>
      <c r="AJ426" s="30"/>
      <c r="AK426" s="30"/>
      <c r="AL426" s="13"/>
      <c r="AM426" s="13"/>
      <c r="AN426" s="13"/>
      <c r="AO426" s="13"/>
      <c r="AP426" s="13"/>
      <c r="AQ426" s="14"/>
      <c r="AR426" s="15"/>
    </row>
    <row r="427" spans="1:44" s="17" customFormat="1" ht="30.95" hidden="1" customHeight="1" x14ac:dyDescent="0.2">
      <c r="A427" s="37" t="s">
        <v>1137</v>
      </c>
      <c r="B427" s="38" t="s">
        <v>688</v>
      </c>
      <c r="C427" s="45"/>
      <c r="D427" s="31">
        <v>3708694</v>
      </c>
      <c r="E427" s="31">
        <v>4151346</v>
      </c>
      <c r="F427" s="268" t="str">
        <f>IF(D427="","",VLOOKUP(D427,契約台帳!$A$3:$K$4986,6,FALSE)&amp;VLOOKUP(D427,契約台帳!$A$3:$K$4986,7,FALSE)&amp;VLOOKUP(D427,契約台帳!$A$3:$K$4986,8,FALSE)&amp;VLOOKUP(D427,契約台帳!$A$3:$K$4986,9,FALSE)&amp;VLOOKUP(D427,契約台帳!$A$3:$K$4986,11,FALSE))</f>
        <v>3HSNMLBMSF</v>
      </c>
      <c r="G427" s="269" t="str">
        <f>IF(D427="","",VLOOKUP(F427,製品マスタ!$G$5:$H$5002,2,FALSE))</f>
        <v>S</v>
      </c>
      <c r="H427" s="269" t="str">
        <f>IF(D427="","",VLOOKUP(F427,製品マスタ!$G$5:$K$5002,5,FALSE))</f>
        <v>MSF</v>
      </c>
      <c r="I427" s="270" t="str">
        <f>IF(D427="","",VLOOKUP(F427,製品マスタ!$G$5:$L$5002,6,FALSE))</f>
        <v>メタルミー　Ｓ</v>
      </c>
      <c r="J427" s="32" t="s">
        <v>447</v>
      </c>
      <c r="K427" s="270">
        <f>IF(D427="","",VLOOKUP(D427,契約台帳!$A$3:$L$4986,12,FALSE))</f>
        <v>38</v>
      </c>
      <c r="L427" s="270" t="str">
        <f>IF(D427="","",INDEX(製品マスタ!$Q$5:$Q$5002,MATCH(F427&amp;K427,製品マスタ!$AO$5:$AO$5002,0)))</f>
        <v>S10</v>
      </c>
      <c r="M427" s="39">
        <v>1000</v>
      </c>
      <c r="N427" s="39">
        <v>12000</v>
      </c>
      <c r="O427" s="47">
        <v>5</v>
      </c>
      <c r="P427" s="57">
        <v>45061</v>
      </c>
      <c r="Q427" s="276">
        <f>IF(D427="","",IF(J427="リード付け",M427,VLOOKUP(D427,契約台帳!$A$3:$N$4986,14,FALSE)))</f>
        <v>865</v>
      </c>
      <c r="R427" s="277">
        <f>IF(D427="","",IF(J427="リード付け",M427,VLOOKUP(D427,契約台帳!$A$3:$O$4986,15,FALSE)))</f>
        <v>865</v>
      </c>
      <c r="S427" s="277">
        <f>IF(D427="","",IF(J427="リード付け",N427,VLOOKUP(D427,契約台帳!$A$3:$P$4986,16,FALSE)))</f>
        <v>2800</v>
      </c>
      <c r="T427" s="40">
        <v>20</v>
      </c>
      <c r="U427" s="278">
        <f ca="1">IF(D427="","",IF(OFFSET(D427,-2,0)=D427,"",VLOOKUP(D427,契約台帳!$A$3:$R$4986,18,FALSE)))</f>
        <v>20</v>
      </c>
      <c r="V427" s="269" t="str">
        <f>IF(J427="巻返し",VLOOKUP(F427&amp;K427&amp;M427,製品マスタ!$M$5:$AD$5002,18,FALSE),IF(J427="リード付け","原反コア",IF(J427="スリット",VLOOKUP(F427&amp;K427&amp;Q427,製品マスタ!$N$5:$AD$5002,17,FALSE),"")))</f>
        <v>3ｲﾝﾁSｺｱ</v>
      </c>
      <c r="W427" s="269">
        <f>IF(J427="巻返し",VLOOKUP(F427&amp;K427&amp;M427,製品マスタ!$M$5:$AE$5002,19,FALSE),IF(J427="リード付け","-",IF(J427="スリット",VLOOKUP(F427&amp;K427&amp;Q427,製品マスタ!$N$5:$AE$5002,18,FALSE),"")))</f>
        <v>870</v>
      </c>
      <c r="X427" s="275">
        <f>IF(D427="","",VLOOKUP(D427,契約台帳!$A$3:$Q$4986,17,FALSE))</f>
        <v>2</v>
      </c>
      <c r="Y427" s="269" t="str">
        <f>IF(D427="","",VLOOKUP(D427,契約台帳!$A$3:$E$4986,5,FALSE))</f>
        <v>特種東海製紙㈱</v>
      </c>
      <c r="Z427" s="57">
        <v>45071</v>
      </c>
      <c r="AA427" s="207">
        <f>IFERROR(VLOOKUP(F427&amp;K427&amp;M427,製品マスタ!$M$5:$AM$5002,27,FALSE),"")</f>
        <v>0</v>
      </c>
      <c r="AB427" s="33"/>
      <c r="AC427" s="189"/>
      <c r="AD427" s="54" t="str">
        <f>IF(F427="","",+F427&amp;K427)</f>
        <v>3HSNMLBMSF38</v>
      </c>
      <c r="AE427" s="55">
        <f>+M427*N427*O427/1000</f>
        <v>60000</v>
      </c>
      <c r="AF427" s="43" t="e">
        <f>IF(AD427="","",VLOOKUP(AD427,原価マスタ!$A$2:$AJ$1693,13,FALSE))</f>
        <v>#N/A</v>
      </c>
      <c r="AG427" s="47" t="e">
        <f>IF(AF427="","",+AE427*AF427/100)</f>
        <v>#N/A</v>
      </c>
      <c r="AH427" s="30"/>
      <c r="AI427" s="30"/>
      <c r="AJ427" s="30"/>
      <c r="AK427" s="30"/>
      <c r="AL427" s="13"/>
      <c r="AM427" s="13"/>
      <c r="AN427" s="13"/>
      <c r="AO427" s="13"/>
      <c r="AP427" s="13"/>
      <c r="AQ427" s="14"/>
      <c r="AR427" s="15"/>
    </row>
    <row r="428" spans="1:44" s="17" customFormat="1" ht="30.95" hidden="1" customHeight="1" x14ac:dyDescent="0.2">
      <c r="A428" s="37"/>
      <c r="B428" s="38"/>
      <c r="C428" s="45"/>
      <c r="D428" s="31"/>
      <c r="E428" s="31"/>
      <c r="F428" s="268" t="str">
        <f>IF(D428="","",VLOOKUP(D428,契約台帳!$A$3:$K$4986,6,FALSE)&amp;VLOOKUP(D428,契約台帳!$A$3:$K$4986,7,FALSE)&amp;VLOOKUP(D428,契約台帳!$A$3:$K$4986,8,FALSE)&amp;VLOOKUP(D428,契約台帳!$A$3:$K$4986,9,FALSE)&amp;VLOOKUP(D428,契約台帳!$A$3:$K$4986,11,FALSE))</f>
        <v/>
      </c>
      <c r="G428" s="269" t="str">
        <f>IF(D428="","",VLOOKUP(F428,製品マスタ!$G$5:$H$5002,2,FALSE))</f>
        <v/>
      </c>
      <c r="H428" s="269" t="str">
        <f>IF(D428="","",VLOOKUP(F428,製品マスタ!$G$5:$K$5002,5,FALSE))</f>
        <v/>
      </c>
      <c r="I428" s="270" t="str">
        <f>IF(D428="","",VLOOKUP(F428,製品マスタ!$G$5:$L$5002,6,FALSE))</f>
        <v/>
      </c>
      <c r="J428" s="32"/>
      <c r="K428" s="270" t="str">
        <f>IF(D428="","",VLOOKUP(D428,契約台帳!$A$3:$L$4986,12,FALSE))</f>
        <v/>
      </c>
      <c r="L428" s="270" t="str">
        <f>IF(D428="","",INDEX(製品マスタ!$Q$5:$Q$5002,MATCH(F428&amp;K428,製品マスタ!$AO$5:$AO$5002,0)))</f>
        <v/>
      </c>
      <c r="M428" s="39"/>
      <c r="N428" s="39"/>
      <c r="O428" s="47"/>
      <c r="P428" s="57"/>
      <c r="Q428" s="276" t="str">
        <f>IF(D428="","",IF(J428="リード付け",M428,VLOOKUP(D428,契約台帳!$A$3:$N$4986,14,FALSE)))</f>
        <v/>
      </c>
      <c r="R428" s="277" t="str">
        <f>IF(D428="","",IF(J428="リード付け",M428,VLOOKUP(D428,契約台帳!$A$3:$O$4986,15,FALSE)))</f>
        <v/>
      </c>
      <c r="S428" s="277" t="str">
        <f>IF(D428="","",IF(J428="リード付け",N428,VLOOKUP(D428,契約台帳!$A$3:$P$4986,16,FALSE)))</f>
        <v/>
      </c>
      <c r="T428" s="40"/>
      <c r="U428" s="278" t="str">
        <f ca="1">IF(D428="","",IF(OFFSET(D428,-2,0)=D428,"",VLOOKUP(D428,契約台帳!$A$3:$R$4986,18,FALSE)))</f>
        <v/>
      </c>
      <c r="V428" s="269" t="str">
        <f>IF(J428="巻返し",VLOOKUP(F428&amp;K428&amp;M428,製品マスタ!$M$5:$AD$5002,18,FALSE),IF(J428="リード付け","原反コア",IF(J428="スリット",VLOOKUP(F428&amp;K428&amp;Q428,製品マスタ!$N$5:$AD$5002,17,FALSE),"")))</f>
        <v/>
      </c>
      <c r="W428" s="269" t="str">
        <f>IF(J428="巻返し",VLOOKUP(F428&amp;K428&amp;M428,製品マスタ!$M$5:$AE$5002,19,FALSE),IF(J428="リード付け","-",IF(J428="スリット",VLOOKUP(F428&amp;K428&amp;Q428,製品マスタ!$N$5:$AE$5002,18,FALSE),"")))</f>
        <v/>
      </c>
      <c r="X428" s="275" t="str">
        <f>IF(D428="","",VLOOKUP(D428,契約台帳!$A$3:$Q$4986,17,FALSE))</f>
        <v/>
      </c>
      <c r="Y428" s="269" t="str">
        <f>IF(D428="","",VLOOKUP(D428,契約台帳!$A$3:$E$4986,5,FALSE))</f>
        <v/>
      </c>
      <c r="Z428" s="57"/>
      <c r="AA428" s="207" t="str">
        <f>IFERROR(VLOOKUP(F428&amp;K428&amp;M428,製品マスタ!$M$5:$AM$5002,27,FALSE),"")</f>
        <v/>
      </c>
      <c r="AB428" s="33"/>
      <c r="AC428" s="189"/>
      <c r="AD428" s="54"/>
      <c r="AE428" s="55"/>
      <c r="AF428" s="43"/>
      <c r="AG428" s="47"/>
      <c r="AH428" s="30"/>
      <c r="AI428" s="30"/>
      <c r="AJ428" s="30"/>
      <c r="AK428" s="30"/>
      <c r="AL428" s="13"/>
      <c r="AM428" s="13"/>
      <c r="AN428" s="13"/>
      <c r="AO428" s="13"/>
      <c r="AP428" s="13"/>
      <c r="AQ428" s="14"/>
      <c r="AR428" s="15"/>
    </row>
    <row r="429" spans="1:44" s="17" customFormat="1" ht="30.95" hidden="1" customHeight="1" x14ac:dyDescent="0.2">
      <c r="A429" s="37" t="s">
        <v>1138</v>
      </c>
      <c r="B429" s="38" t="s">
        <v>442</v>
      </c>
      <c r="C429" s="45"/>
      <c r="D429" s="31"/>
      <c r="E429" s="31"/>
      <c r="F429" s="268"/>
      <c r="G429" s="269"/>
      <c r="H429" s="269"/>
      <c r="I429" s="270"/>
      <c r="J429" s="32" t="s">
        <v>1136</v>
      </c>
      <c r="K429" s="270"/>
      <c r="L429" s="270"/>
      <c r="M429" s="39"/>
      <c r="N429" s="39"/>
      <c r="O429" s="47"/>
      <c r="P429" s="57"/>
      <c r="Q429" s="276"/>
      <c r="R429" s="277"/>
      <c r="S429" s="277"/>
      <c r="T429" s="40"/>
      <c r="U429" s="278"/>
      <c r="V429" s="269"/>
      <c r="W429" s="269"/>
      <c r="X429" s="275"/>
      <c r="Y429" s="269"/>
      <c r="Z429" s="57"/>
      <c r="AA429" s="207"/>
      <c r="AB429" s="33"/>
      <c r="AC429" s="189"/>
      <c r="AD429" s="54"/>
      <c r="AE429" s="55"/>
      <c r="AF429" s="43"/>
      <c r="AG429" s="47"/>
      <c r="AH429" s="30"/>
      <c r="AI429" s="30"/>
      <c r="AJ429" s="30"/>
      <c r="AK429" s="30"/>
      <c r="AL429" s="13"/>
      <c r="AM429" s="13"/>
      <c r="AN429" s="13"/>
      <c r="AO429" s="13"/>
      <c r="AP429" s="13"/>
      <c r="AQ429" s="14"/>
      <c r="AR429" s="15"/>
    </row>
    <row r="430" spans="1:44" s="17" customFormat="1" ht="30.95" hidden="1" customHeight="1" x14ac:dyDescent="0.2">
      <c r="A430" s="37"/>
      <c r="B430" s="38"/>
      <c r="C430" s="45"/>
      <c r="D430" s="31"/>
      <c r="E430" s="31"/>
      <c r="F430" s="268"/>
      <c r="G430" s="269"/>
      <c r="H430" s="269"/>
      <c r="I430" s="270"/>
      <c r="J430" s="32"/>
      <c r="K430" s="270"/>
      <c r="L430" s="270"/>
      <c r="M430" s="39"/>
      <c r="N430" s="39"/>
      <c r="O430" s="47"/>
      <c r="P430" s="57"/>
      <c r="Q430" s="276"/>
      <c r="R430" s="277"/>
      <c r="S430" s="277"/>
      <c r="T430" s="40"/>
      <c r="U430" s="278"/>
      <c r="V430" s="269"/>
      <c r="W430" s="269"/>
      <c r="X430" s="275"/>
      <c r="Y430" s="269"/>
      <c r="Z430" s="57"/>
      <c r="AA430" s="207"/>
      <c r="AB430" s="33"/>
      <c r="AC430" s="189"/>
      <c r="AD430" s="54"/>
      <c r="AE430" s="55"/>
      <c r="AF430" s="43"/>
      <c r="AG430" s="47"/>
      <c r="AH430" s="30"/>
      <c r="AI430" s="30"/>
      <c r="AJ430" s="30"/>
      <c r="AK430" s="30"/>
      <c r="AL430" s="13"/>
      <c r="AM430" s="13"/>
      <c r="AN430" s="13"/>
      <c r="AO430" s="13"/>
      <c r="AP430" s="13"/>
      <c r="AQ430" s="14"/>
      <c r="AR430" s="15"/>
    </row>
    <row r="431" spans="1:44" s="17" customFormat="1" ht="30.95" hidden="1" customHeight="1" x14ac:dyDescent="0.2">
      <c r="A431" s="37" t="s">
        <v>1139</v>
      </c>
      <c r="B431" s="38" t="s">
        <v>443</v>
      </c>
      <c r="C431" s="45"/>
      <c r="D431" s="31"/>
      <c r="E431" s="31"/>
      <c r="F431" s="268"/>
      <c r="G431" s="269"/>
      <c r="H431" s="269"/>
      <c r="I431" s="270"/>
      <c r="J431" s="32" t="s">
        <v>1134</v>
      </c>
      <c r="K431" s="270"/>
      <c r="L431" s="270"/>
      <c r="M431" s="39"/>
      <c r="N431" s="39"/>
      <c r="O431" s="47"/>
      <c r="P431" s="57"/>
      <c r="Q431" s="276"/>
      <c r="R431" s="277"/>
      <c r="S431" s="277"/>
      <c r="T431" s="40"/>
      <c r="U431" s="278"/>
      <c r="V431" s="269"/>
      <c r="W431" s="269"/>
      <c r="X431" s="275"/>
      <c r="Y431" s="269"/>
      <c r="Z431" s="57"/>
      <c r="AA431" s="207"/>
      <c r="AB431" s="33"/>
      <c r="AC431" s="189"/>
      <c r="AD431" s="54"/>
      <c r="AE431" s="55"/>
      <c r="AF431" s="43"/>
      <c r="AG431" s="47"/>
      <c r="AH431" s="30"/>
      <c r="AI431" s="30"/>
      <c r="AJ431" s="30"/>
      <c r="AK431" s="30"/>
      <c r="AL431" s="13"/>
      <c r="AM431" s="13"/>
      <c r="AN431" s="13"/>
      <c r="AO431" s="13"/>
      <c r="AP431" s="13"/>
      <c r="AQ431" s="14"/>
      <c r="AR431" s="15"/>
    </row>
    <row r="432" spans="1:44" s="17" customFormat="1" ht="30.95" hidden="1" customHeight="1" x14ac:dyDescent="0.2">
      <c r="A432" s="37"/>
      <c r="B432" s="38"/>
      <c r="C432" s="45"/>
      <c r="D432" s="31"/>
      <c r="E432" s="31"/>
      <c r="F432" s="268"/>
      <c r="G432" s="269"/>
      <c r="H432" s="269"/>
      <c r="I432" s="270"/>
      <c r="J432" s="32"/>
      <c r="K432" s="270"/>
      <c r="L432" s="270"/>
      <c r="M432" s="39"/>
      <c r="N432" s="39"/>
      <c r="O432" s="47"/>
      <c r="P432" s="57"/>
      <c r="Q432" s="276"/>
      <c r="R432" s="277"/>
      <c r="S432" s="277"/>
      <c r="T432" s="40"/>
      <c r="U432" s="278"/>
      <c r="V432" s="269"/>
      <c r="W432" s="269"/>
      <c r="X432" s="275"/>
      <c r="Y432" s="269"/>
      <c r="Z432" s="57"/>
      <c r="AA432" s="207"/>
      <c r="AB432" s="33"/>
      <c r="AC432" s="189"/>
      <c r="AD432" s="54"/>
      <c r="AE432" s="55"/>
      <c r="AF432" s="43"/>
      <c r="AG432" s="47"/>
      <c r="AH432" s="30"/>
      <c r="AI432" s="30"/>
      <c r="AJ432" s="30"/>
      <c r="AK432" s="30"/>
      <c r="AL432" s="13"/>
      <c r="AM432" s="13"/>
      <c r="AN432" s="13"/>
      <c r="AO432" s="13"/>
      <c r="AP432" s="13"/>
      <c r="AQ432" s="14"/>
      <c r="AR432" s="15"/>
    </row>
    <row r="433" spans="1:44" s="17" customFormat="1" ht="30.95" hidden="1" customHeight="1" x14ac:dyDescent="0.2">
      <c r="A433" s="37" t="s">
        <v>1140</v>
      </c>
      <c r="B433" s="38" t="s">
        <v>1103</v>
      </c>
      <c r="C433" s="45"/>
      <c r="D433" s="31"/>
      <c r="E433" s="31"/>
      <c r="F433" s="268"/>
      <c r="G433" s="269"/>
      <c r="H433" s="269"/>
      <c r="I433" s="270"/>
      <c r="J433" s="32"/>
      <c r="K433" s="270"/>
      <c r="L433" s="270"/>
      <c r="M433" s="39"/>
      <c r="N433" s="39"/>
      <c r="O433" s="47"/>
      <c r="P433" s="57"/>
      <c r="Q433" s="276"/>
      <c r="R433" s="277"/>
      <c r="S433" s="277"/>
      <c r="T433" s="40"/>
      <c r="U433" s="278"/>
      <c r="V433" s="269"/>
      <c r="W433" s="269"/>
      <c r="X433" s="275"/>
      <c r="Y433" s="269"/>
      <c r="Z433" s="57"/>
      <c r="AA433" s="207"/>
      <c r="AB433" s="33"/>
      <c r="AC433" s="189"/>
      <c r="AD433" s="54"/>
      <c r="AE433" s="55"/>
      <c r="AF433" s="43"/>
      <c r="AG433" s="47"/>
      <c r="AH433" s="30"/>
      <c r="AI433" s="30"/>
      <c r="AJ433" s="30"/>
      <c r="AK433" s="30"/>
      <c r="AL433" s="13"/>
      <c r="AM433" s="13"/>
      <c r="AN433" s="13"/>
      <c r="AO433" s="13"/>
      <c r="AP433" s="13"/>
      <c r="AQ433" s="14"/>
      <c r="AR433" s="15"/>
    </row>
    <row r="434" spans="1:44" s="17" customFormat="1" ht="30.95" hidden="1" customHeight="1" x14ac:dyDescent="0.2">
      <c r="A434" s="37"/>
      <c r="B434" s="38"/>
      <c r="C434" s="45"/>
      <c r="D434" s="31"/>
      <c r="E434" s="31"/>
      <c r="F434" s="268"/>
      <c r="G434" s="269"/>
      <c r="H434" s="269"/>
      <c r="I434" s="270"/>
      <c r="J434" s="32"/>
      <c r="K434" s="270"/>
      <c r="L434" s="270"/>
      <c r="M434" s="39"/>
      <c r="N434" s="39"/>
      <c r="O434" s="47"/>
      <c r="P434" s="57"/>
      <c r="Q434" s="276"/>
      <c r="R434" s="277"/>
      <c r="S434" s="277"/>
      <c r="T434" s="40"/>
      <c r="U434" s="278"/>
      <c r="V434" s="269"/>
      <c r="W434" s="269"/>
      <c r="X434" s="275"/>
      <c r="Y434" s="269"/>
      <c r="Z434" s="57"/>
      <c r="AA434" s="207"/>
      <c r="AB434" s="33"/>
      <c r="AC434" s="189"/>
      <c r="AD434" s="54"/>
      <c r="AE434" s="55"/>
      <c r="AF434" s="43"/>
      <c r="AG434" s="47"/>
      <c r="AH434" s="30"/>
      <c r="AI434" s="30"/>
      <c r="AJ434" s="30"/>
      <c r="AK434" s="30"/>
      <c r="AL434" s="13"/>
      <c r="AM434" s="13"/>
      <c r="AN434" s="13"/>
      <c r="AO434" s="13"/>
      <c r="AP434" s="13"/>
      <c r="AQ434" s="14"/>
      <c r="AR434" s="15"/>
    </row>
    <row r="435" spans="1:44" s="17" customFormat="1" ht="30.95" hidden="1" customHeight="1" x14ac:dyDescent="0.2">
      <c r="A435" s="37" t="s">
        <v>1141</v>
      </c>
      <c r="B435" s="38" t="s">
        <v>1105</v>
      </c>
      <c r="C435" s="45"/>
      <c r="D435" s="31"/>
      <c r="E435" s="31"/>
      <c r="F435" s="268"/>
      <c r="G435" s="269"/>
      <c r="H435" s="269"/>
      <c r="I435" s="270"/>
      <c r="J435" s="32"/>
      <c r="K435" s="270"/>
      <c r="L435" s="270"/>
      <c r="M435" s="39"/>
      <c r="N435" s="39"/>
      <c r="O435" s="47"/>
      <c r="P435" s="57"/>
      <c r="Q435" s="276"/>
      <c r="R435" s="277"/>
      <c r="S435" s="277"/>
      <c r="T435" s="40"/>
      <c r="U435" s="278"/>
      <c r="V435" s="269"/>
      <c r="W435" s="269"/>
      <c r="X435" s="275"/>
      <c r="Y435" s="269"/>
      <c r="Z435" s="57"/>
      <c r="AA435" s="207"/>
      <c r="AB435" s="33"/>
      <c r="AC435" s="189"/>
      <c r="AD435" s="54"/>
      <c r="AE435" s="55"/>
      <c r="AF435" s="43"/>
      <c r="AG435" s="47"/>
      <c r="AH435" s="30"/>
      <c r="AI435" s="30"/>
      <c r="AJ435" s="30"/>
      <c r="AK435" s="30"/>
      <c r="AL435" s="13"/>
      <c r="AM435" s="13"/>
      <c r="AN435" s="13"/>
      <c r="AO435" s="13"/>
      <c r="AP435" s="13"/>
      <c r="AQ435" s="14"/>
      <c r="AR435" s="15"/>
    </row>
    <row r="436" spans="1:44" s="17" customFormat="1" ht="30.95" hidden="1" customHeight="1" x14ac:dyDescent="0.2">
      <c r="A436" s="37"/>
      <c r="B436" s="38"/>
      <c r="C436" s="45"/>
      <c r="D436" s="31"/>
      <c r="E436" s="31"/>
      <c r="F436" s="268"/>
      <c r="G436" s="269"/>
      <c r="H436" s="269"/>
      <c r="I436" s="270"/>
      <c r="J436" s="32"/>
      <c r="K436" s="270"/>
      <c r="L436" s="270"/>
      <c r="M436" s="39"/>
      <c r="N436" s="39"/>
      <c r="O436" s="47"/>
      <c r="P436" s="57"/>
      <c r="Q436" s="276"/>
      <c r="R436" s="277"/>
      <c r="S436" s="277"/>
      <c r="T436" s="40"/>
      <c r="U436" s="278"/>
      <c r="V436" s="269"/>
      <c r="W436" s="269"/>
      <c r="X436" s="275"/>
      <c r="Y436" s="269"/>
      <c r="Z436" s="57"/>
      <c r="AA436" s="207"/>
      <c r="AB436" s="33"/>
      <c r="AC436" s="189"/>
      <c r="AD436" s="54"/>
      <c r="AE436" s="55"/>
      <c r="AF436" s="43"/>
      <c r="AG436" s="47"/>
      <c r="AH436" s="30"/>
      <c r="AI436" s="30"/>
      <c r="AJ436" s="30"/>
      <c r="AK436" s="30"/>
      <c r="AL436" s="13"/>
      <c r="AM436" s="13"/>
      <c r="AN436" s="13"/>
      <c r="AO436" s="13"/>
      <c r="AP436" s="13"/>
      <c r="AQ436" s="14"/>
      <c r="AR436" s="15"/>
    </row>
    <row r="437" spans="1:44" s="17" customFormat="1" ht="30.95" hidden="1" customHeight="1" x14ac:dyDescent="0.2">
      <c r="A437" s="37" t="s">
        <v>1142</v>
      </c>
      <c r="B437" s="38" t="s">
        <v>1107</v>
      </c>
      <c r="C437" s="45"/>
      <c r="D437" s="31"/>
      <c r="E437" s="31"/>
      <c r="F437" s="268"/>
      <c r="G437" s="269"/>
      <c r="H437" s="269"/>
      <c r="I437" s="270"/>
      <c r="J437" s="32" t="s">
        <v>1126</v>
      </c>
      <c r="K437" s="270"/>
      <c r="L437" s="270"/>
      <c r="M437" s="39"/>
      <c r="N437" s="39"/>
      <c r="O437" s="47"/>
      <c r="P437" s="57"/>
      <c r="Q437" s="276"/>
      <c r="R437" s="277"/>
      <c r="S437" s="277"/>
      <c r="T437" s="40"/>
      <c r="U437" s="278"/>
      <c r="V437" s="269"/>
      <c r="W437" s="269"/>
      <c r="X437" s="275"/>
      <c r="Y437" s="269"/>
      <c r="Z437" s="57"/>
      <c r="AA437" s="207"/>
      <c r="AB437" s="33"/>
      <c r="AC437" s="189"/>
      <c r="AD437" s="54"/>
      <c r="AE437" s="55"/>
      <c r="AF437" s="43"/>
      <c r="AG437" s="47"/>
      <c r="AH437" s="30"/>
      <c r="AI437" s="30"/>
      <c r="AJ437" s="30"/>
      <c r="AK437" s="30"/>
      <c r="AL437" s="13"/>
      <c r="AM437" s="13"/>
      <c r="AN437" s="13"/>
      <c r="AO437" s="13"/>
      <c r="AP437" s="13"/>
      <c r="AQ437" s="14"/>
      <c r="AR437" s="15"/>
    </row>
    <row r="438" spans="1:44" s="17" customFormat="1" ht="30.95" hidden="1" customHeight="1" x14ac:dyDescent="0.2">
      <c r="A438" s="37"/>
      <c r="B438" s="38"/>
      <c r="C438" s="45"/>
      <c r="D438" s="31"/>
      <c r="E438" s="31"/>
      <c r="F438" s="268"/>
      <c r="G438" s="269"/>
      <c r="H438" s="269"/>
      <c r="I438" s="270"/>
      <c r="J438" s="32"/>
      <c r="K438" s="270"/>
      <c r="L438" s="270"/>
      <c r="M438" s="39"/>
      <c r="N438" s="39"/>
      <c r="O438" s="47"/>
      <c r="P438" s="57"/>
      <c r="Q438" s="276"/>
      <c r="R438" s="277"/>
      <c r="S438" s="277"/>
      <c r="T438" s="40"/>
      <c r="U438" s="278"/>
      <c r="V438" s="269"/>
      <c r="W438" s="269"/>
      <c r="X438" s="275"/>
      <c r="Y438" s="269"/>
      <c r="Z438" s="57"/>
      <c r="AA438" s="207"/>
      <c r="AB438" s="33"/>
      <c r="AC438" s="189"/>
      <c r="AD438" s="54"/>
      <c r="AE438" s="55"/>
      <c r="AF438" s="43"/>
      <c r="AG438" s="47"/>
      <c r="AH438" s="30"/>
      <c r="AI438" s="30"/>
      <c r="AJ438" s="30"/>
      <c r="AK438" s="30"/>
      <c r="AL438" s="13"/>
      <c r="AM438" s="13"/>
      <c r="AN438" s="13"/>
      <c r="AO438" s="13"/>
      <c r="AP438" s="13"/>
      <c r="AQ438" s="14"/>
      <c r="AR438" s="15"/>
    </row>
    <row r="439" spans="1:44" s="233" customFormat="1" ht="30.95" hidden="1" customHeight="1" x14ac:dyDescent="0.2">
      <c r="A439" s="217"/>
      <c r="B439" s="218"/>
      <c r="C439" s="280"/>
      <c r="D439" s="219"/>
      <c r="E439" s="219"/>
      <c r="F439" s="281"/>
      <c r="G439" s="282"/>
      <c r="H439" s="282"/>
      <c r="I439" s="283"/>
      <c r="J439" s="220"/>
      <c r="K439" s="283"/>
      <c r="L439" s="283"/>
      <c r="M439" s="221"/>
      <c r="N439" s="221"/>
      <c r="O439" s="222"/>
      <c r="P439" s="213"/>
      <c r="Q439" s="284"/>
      <c r="R439" s="285"/>
      <c r="S439" s="285"/>
      <c r="T439" s="224"/>
      <c r="U439" s="286"/>
      <c r="V439" s="282"/>
      <c r="W439" s="282"/>
      <c r="X439" s="287"/>
      <c r="Y439" s="282"/>
      <c r="Z439" s="213"/>
      <c r="AA439" s="288"/>
      <c r="AB439" s="225"/>
      <c r="AC439" s="226"/>
      <c r="AD439" s="227"/>
      <c r="AE439" s="228"/>
      <c r="AF439" s="223"/>
      <c r="AG439" s="234" t="e">
        <f>SUM(AG358:AG437)</f>
        <v>#N/A</v>
      </c>
      <c r="AH439" s="229"/>
      <c r="AI439" s="229"/>
      <c r="AJ439" s="229"/>
      <c r="AK439" s="229"/>
      <c r="AL439" s="230"/>
      <c r="AM439" s="230"/>
      <c r="AN439" s="230"/>
      <c r="AO439" s="230"/>
      <c r="AP439" s="230"/>
      <c r="AQ439" s="231"/>
      <c r="AR439" s="232"/>
    </row>
    <row r="440" spans="1:44" s="17" customFormat="1" ht="30.95" hidden="1" customHeight="1" x14ac:dyDescent="0.2">
      <c r="A440" s="37"/>
      <c r="B440" s="38"/>
      <c r="C440" s="45"/>
      <c r="D440" s="31"/>
      <c r="E440" s="31"/>
      <c r="F440" s="268"/>
      <c r="G440" s="269"/>
      <c r="H440" s="269"/>
      <c r="I440" s="270"/>
      <c r="J440" s="32"/>
      <c r="K440" s="270"/>
      <c r="L440" s="270"/>
      <c r="M440" s="39"/>
      <c r="N440" s="39"/>
      <c r="O440" s="47"/>
      <c r="P440" s="57"/>
      <c r="Q440" s="276"/>
      <c r="R440" s="277"/>
      <c r="S440" s="277"/>
      <c r="T440" s="40"/>
      <c r="U440" s="278"/>
      <c r="V440" s="269"/>
      <c r="W440" s="269"/>
      <c r="X440" s="275"/>
      <c r="Y440" s="269"/>
      <c r="Z440" s="57"/>
      <c r="AA440" s="207"/>
      <c r="AB440" s="33"/>
      <c r="AC440" s="189"/>
      <c r="AD440" s="54"/>
      <c r="AE440" s="55"/>
      <c r="AF440" s="43"/>
      <c r="AG440" s="47"/>
      <c r="AH440" s="30"/>
      <c r="AI440" s="30"/>
      <c r="AJ440" s="30"/>
      <c r="AK440" s="30"/>
      <c r="AL440" s="13"/>
      <c r="AM440" s="13"/>
      <c r="AN440" s="13"/>
      <c r="AO440" s="13"/>
      <c r="AP440" s="13"/>
      <c r="AQ440" s="14"/>
      <c r="AR440" s="15"/>
    </row>
    <row r="441" spans="1:44" s="17" customFormat="1" ht="30.95" hidden="1" customHeight="1" x14ac:dyDescent="0.2">
      <c r="A441" s="37" t="s">
        <v>1186</v>
      </c>
      <c r="B441" s="38" t="s">
        <v>1187</v>
      </c>
      <c r="C441" s="45"/>
      <c r="D441" s="31"/>
      <c r="E441" s="31"/>
      <c r="F441" s="268"/>
      <c r="G441" s="269"/>
      <c r="H441" s="269"/>
      <c r="I441" s="270"/>
      <c r="J441" s="32"/>
      <c r="K441" s="270"/>
      <c r="L441" s="270"/>
      <c r="M441" s="39"/>
      <c r="N441" s="39"/>
      <c r="O441" s="47"/>
      <c r="P441" s="57"/>
      <c r="Q441" s="276"/>
      <c r="R441" s="277"/>
      <c r="S441" s="277"/>
      <c r="T441" s="40"/>
      <c r="U441" s="278"/>
      <c r="V441" s="269"/>
      <c r="W441" s="269"/>
      <c r="X441" s="275"/>
      <c r="Y441" s="269"/>
      <c r="Z441" s="57"/>
      <c r="AA441" s="207"/>
      <c r="AB441" s="33"/>
      <c r="AC441" s="189"/>
      <c r="AD441" s="54"/>
      <c r="AE441" s="55"/>
      <c r="AF441" s="43"/>
      <c r="AG441" s="47"/>
      <c r="AH441" s="30"/>
      <c r="AI441" s="30"/>
      <c r="AJ441" s="30"/>
      <c r="AK441" s="30"/>
      <c r="AL441" s="13"/>
      <c r="AM441" s="13"/>
      <c r="AN441" s="13"/>
      <c r="AO441" s="13"/>
      <c r="AP441" s="13"/>
      <c r="AQ441" s="14"/>
      <c r="AR441" s="15"/>
    </row>
    <row r="442" spans="1:44" s="17" customFormat="1" ht="30.95" hidden="1" customHeight="1" x14ac:dyDescent="0.2">
      <c r="A442" s="37"/>
      <c r="B442" s="38"/>
      <c r="C442" s="45"/>
      <c r="D442" s="31"/>
      <c r="E442" s="31"/>
      <c r="F442" s="268"/>
      <c r="G442" s="269"/>
      <c r="H442" s="269"/>
      <c r="I442" s="270"/>
      <c r="J442" s="32"/>
      <c r="K442" s="270"/>
      <c r="L442" s="270"/>
      <c r="M442" s="39"/>
      <c r="N442" s="39"/>
      <c r="O442" s="47"/>
      <c r="P442" s="57"/>
      <c r="Q442" s="276"/>
      <c r="R442" s="277"/>
      <c r="S442" s="277"/>
      <c r="T442" s="40"/>
      <c r="U442" s="278"/>
      <c r="V442" s="269"/>
      <c r="W442" s="269"/>
      <c r="X442" s="275"/>
      <c r="Y442" s="269"/>
      <c r="Z442" s="57"/>
      <c r="AA442" s="207"/>
      <c r="AB442" s="33"/>
      <c r="AC442" s="189"/>
      <c r="AD442" s="54"/>
      <c r="AE442" s="55"/>
      <c r="AF442" s="43"/>
      <c r="AG442" s="47"/>
      <c r="AH442" s="30"/>
      <c r="AI442" s="30"/>
      <c r="AJ442" s="30"/>
      <c r="AK442" s="30"/>
      <c r="AL442" s="13"/>
      <c r="AM442" s="13"/>
      <c r="AN442" s="13"/>
      <c r="AO442" s="13"/>
      <c r="AP442" s="13"/>
      <c r="AQ442" s="14"/>
      <c r="AR442" s="15"/>
    </row>
    <row r="443" spans="1:44" s="17" customFormat="1" ht="30.95" hidden="1" customHeight="1" x14ac:dyDescent="0.2">
      <c r="A443" s="37" t="s">
        <v>1143</v>
      </c>
      <c r="B443" s="38" t="s">
        <v>688</v>
      </c>
      <c r="C443" s="45"/>
      <c r="D443" s="31">
        <v>3712089</v>
      </c>
      <c r="E443" s="31">
        <v>4170109</v>
      </c>
      <c r="F443" s="268" t="str">
        <f>IF(D443="","",VLOOKUP(D443,契約台帳!$A$3:$K$4986,6,FALSE)&amp;VLOOKUP(D443,契約台帳!$A$3:$K$4986,7,FALSE)&amp;VLOOKUP(D443,契約台帳!$A$3:$K$4986,8,FALSE)&amp;VLOOKUP(D443,契約台帳!$A$3:$K$4986,9,FALSE)&amp;VLOOKUP(D443,契約台帳!$A$3:$K$4986,11,FALSE))</f>
        <v>3SNMLBMSF</v>
      </c>
      <c r="G443" s="269" t="str">
        <f>IF(D443="","",VLOOKUP(F443,製品マスタ!$G$5:$H$5002,2,FALSE))</f>
        <v>S</v>
      </c>
      <c r="H443" s="269" t="str">
        <f>IF(D443="","",VLOOKUP(F443,製品マスタ!$G$5:$K$5002,5,FALSE))</f>
        <v>MSF</v>
      </c>
      <c r="I443" s="270" t="str">
        <f>IF(D443="","",VLOOKUP(F443,製品マスタ!$G$5:$L$5002,6,FALSE))</f>
        <v>メタルミー　Ｓ</v>
      </c>
      <c r="J443" s="32" t="s">
        <v>464</v>
      </c>
      <c r="K443" s="270">
        <f>IF(D443="","",VLOOKUP(D443,契約台帳!$A$3:$L$4986,12,FALSE))</f>
        <v>25</v>
      </c>
      <c r="L443" s="270" t="str">
        <f>IF(D443="","",INDEX(製品マスタ!$Q$5:$Q$5002,MATCH(F443&amp;K443,製品マスタ!$AO$5:$AO$5002,0)))</f>
        <v>T62M</v>
      </c>
      <c r="M443" s="39">
        <v>1020</v>
      </c>
      <c r="N443" s="39">
        <v>12100</v>
      </c>
      <c r="O443" s="47">
        <v>1</v>
      </c>
      <c r="P443" s="213">
        <v>45076</v>
      </c>
      <c r="Q443" s="276">
        <f>IF(D443="","",IF(J443="リード付け",M443,VLOOKUP(D443,契約台帳!$A$3:$N$4986,14,FALSE)))</f>
        <v>1020</v>
      </c>
      <c r="R443" s="277">
        <f>IF(D443="","",IF(J443="リード付け",M443,VLOOKUP(D443,契約台帳!$A$3:$O$4986,15,FALSE)))</f>
        <v>1020</v>
      </c>
      <c r="S443" s="277">
        <f>IF(D443="","",IF(J443="リード付け",N443,VLOOKUP(D443,契約台帳!$A$3:$P$4986,16,FALSE)))</f>
        <v>12100</v>
      </c>
      <c r="T443" s="40">
        <v>1</v>
      </c>
      <c r="U443" s="278">
        <f ca="1">IF(D443="","",IF(OFFSET(D443,-2,0)=D443,"",VLOOKUP(D443,契約台帳!$A$3:$R$4986,18,FALSE)))</f>
        <v>6</v>
      </c>
      <c r="V443" s="269" t="str">
        <f>IF(J443="巻返し",VLOOKUP(F443&amp;K443&amp;M443,製品マスタ!$M$5:$AD$5002,18,FALSE),IF(J443="リード付け","原反コア",IF(J443="スリット",VLOOKUP(F443&amp;K443&amp;Q443,製品マスタ!$N$5:$AD$5002,17,FALSE),"")))</f>
        <v>原反コア</v>
      </c>
      <c r="W443" s="269" t="str">
        <f>IF(J443="巻返し",VLOOKUP(F443&amp;K443&amp;M443,製品マスタ!$M$5:$AE$5002,19,FALSE),IF(J443="リード付け","-",IF(J443="スリット",VLOOKUP(F443&amp;K443&amp;Q443,製品マスタ!$N$5:$AE$5002,18,FALSE),"")))</f>
        <v>-</v>
      </c>
      <c r="X443" s="275">
        <f>IF(D443="","",VLOOKUP(D443,契約台帳!$A$3:$Q$4986,17,FALSE))</f>
        <v>1</v>
      </c>
      <c r="Y443" s="269" t="str">
        <f>IF(D443="","",VLOOKUP(D443,契約台帳!$A$3:$E$4986,5,FALSE))</f>
        <v>日精㈱東京支店</v>
      </c>
      <c r="Z443" s="57"/>
      <c r="AA443" s="207">
        <f>IFERROR(VLOOKUP(F443&amp;K443&amp;M443,製品マスタ!$M$5:$AM$5002,27,FALSE),"")</f>
        <v>0</v>
      </c>
      <c r="AB443" s="33"/>
      <c r="AC443" s="189"/>
      <c r="AD443" s="54"/>
      <c r="AE443" s="55"/>
      <c r="AF443" s="43"/>
      <c r="AG443" s="47"/>
      <c r="AH443" s="30"/>
      <c r="AI443" s="30"/>
      <c r="AJ443" s="30"/>
      <c r="AK443" s="30"/>
      <c r="AL443" s="13"/>
      <c r="AM443" s="13"/>
      <c r="AN443" s="13"/>
      <c r="AO443" s="13"/>
      <c r="AP443" s="13"/>
      <c r="AQ443" s="14"/>
      <c r="AR443" s="15"/>
    </row>
    <row r="444" spans="1:44" s="17" customFormat="1" ht="30.95" hidden="1" customHeight="1" x14ac:dyDescent="0.2">
      <c r="A444" s="37"/>
      <c r="B444" s="38"/>
      <c r="C444" s="45"/>
      <c r="D444" s="31"/>
      <c r="E444" s="31"/>
      <c r="F444" s="268"/>
      <c r="G444" s="269"/>
      <c r="H444" s="269"/>
      <c r="I444" s="270"/>
      <c r="J444" s="32"/>
      <c r="K444" s="270"/>
      <c r="L444" s="270"/>
      <c r="M444" s="39"/>
      <c r="N444" s="39"/>
      <c r="O444" s="47"/>
      <c r="P444" s="57"/>
      <c r="Q444" s="276"/>
      <c r="R444" s="277"/>
      <c r="S444" s="277"/>
      <c r="T444" s="40"/>
      <c r="U444" s="278"/>
      <c r="V444" s="269"/>
      <c r="W444" s="269"/>
      <c r="X444" s="275"/>
      <c r="Y444" s="269"/>
      <c r="Z444" s="57"/>
      <c r="AA444" s="207"/>
      <c r="AB444" s="33"/>
      <c r="AC444" s="189"/>
      <c r="AD444" s="54"/>
      <c r="AE444" s="55"/>
      <c r="AF444" s="43"/>
      <c r="AG444" s="47"/>
      <c r="AH444" s="30"/>
      <c r="AI444" s="30"/>
      <c r="AJ444" s="30"/>
      <c r="AK444" s="30"/>
      <c r="AL444" s="13"/>
      <c r="AM444" s="13"/>
      <c r="AN444" s="13"/>
      <c r="AO444" s="13"/>
      <c r="AP444" s="13"/>
      <c r="AQ444" s="14"/>
      <c r="AR444" s="15"/>
    </row>
    <row r="445" spans="1:44" s="17" customFormat="1" ht="30.95" hidden="1" customHeight="1" x14ac:dyDescent="0.2">
      <c r="A445" s="37"/>
      <c r="B445" s="38"/>
      <c r="C445" s="45"/>
      <c r="D445" s="31">
        <v>3712107</v>
      </c>
      <c r="E445" s="31">
        <v>4170110</v>
      </c>
      <c r="F445" s="268" t="str">
        <f>IF(D445="","",VLOOKUP(D445,契約台帳!$A$3:$K$4986,6,FALSE)&amp;VLOOKUP(D445,契約台帳!$A$3:$K$4986,7,FALSE)&amp;VLOOKUP(D445,契約台帳!$A$3:$K$4986,8,FALSE)&amp;VLOOKUP(D445,契約台帳!$A$3:$K$4986,9,FALSE)&amp;VLOOKUP(D445,契約台帳!$A$3:$K$4986,11,FALSE))</f>
        <v>3SNMLBMNNGKBF</v>
      </c>
      <c r="G445" s="269" t="str">
        <f>IF(D445="","",VLOOKUP(F445,製品マスタ!$G$5:$H$5002,2,FALSE))</f>
        <v>S</v>
      </c>
      <c r="H445" s="269" t="str">
        <f>IF(D445="","",VLOOKUP(F445,製品マスタ!$G$5:$K$5002,5,FALSE))</f>
        <v>MNNGKBF</v>
      </c>
      <c r="I445" s="270" t="str">
        <f>IF(D445="","",VLOOKUP(F445,製品マスタ!$G$5:$L$5002,6,FALSE))</f>
        <v>メタルミー　ニューネーマー銀消　Ｂ</v>
      </c>
      <c r="J445" s="32" t="s">
        <v>464</v>
      </c>
      <c r="K445" s="270">
        <f>IF(D445="","",VLOOKUP(D445,契約台帳!$A$3:$L$4986,12,FALSE))</f>
        <v>25</v>
      </c>
      <c r="L445" s="270" t="str">
        <f>IF(D445="","",INDEX(製品マスタ!$Q$5:$Q$5002,MATCH(F445&amp;K445,製品マスタ!$AO$5:$AO$5002,0)))</f>
        <v>X44C</v>
      </c>
      <c r="M445" s="39">
        <v>1005</v>
      </c>
      <c r="N445" s="39">
        <v>8000</v>
      </c>
      <c r="O445" s="47">
        <v>2</v>
      </c>
      <c r="P445" s="213">
        <v>45076</v>
      </c>
      <c r="Q445" s="276">
        <f>IF(D445="","",IF(J445="リード付け",M445,VLOOKUP(D445,契約台帳!$A$3:$N$4986,14,FALSE)))</f>
        <v>1005</v>
      </c>
      <c r="R445" s="277">
        <f>IF(D445="","",IF(J445="リード付け",M445,VLOOKUP(D445,契約台帳!$A$3:$O$4986,15,FALSE)))</f>
        <v>1005</v>
      </c>
      <c r="S445" s="277">
        <f>IF(D445="","",IF(J445="リード付け",N445,VLOOKUP(D445,契約台帳!$A$3:$P$4986,16,FALSE)))</f>
        <v>8000</v>
      </c>
      <c r="T445" s="40">
        <v>2</v>
      </c>
      <c r="U445" s="278">
        <f ca="1">IF(D445="","",IF(OFFSET(D445,-2,0)=D445,"",VLOOKUP(D445,契約台帳!$A$3:$R$4986,18,FALSE)))</f>
        <v>4</v>
      </c>
      <c r="V445" s="269" t="str">
        <f>IF(J445="巻返し",VLOOKUP(F445&amp;K445&amp;M445,製品マスタ!$M$5:$AD$5002,18,FALSE),IF(J445="リード付け","原反コア",IF(J445="スリット",VLOOKUP(F445&amp;K445&amp;Q445,製品マスタ!$N$5:$AD$5002,17,FALSE),"")))</f>
        <v>原反コア</v>
      </c>
      <c r="W445" s="269" t="str">
        <f>IF(J445="巻返し",VLOOKUP(F445&amp;K445&amp;M445,製品マスタ!$M$5:$AE$5002,19,FALSE),IF(J445="リード付け","-",IF(J445="スリット",VLOOKUP(F445&amp;K445&amp;Q445,製品マスタ!$N$5:$AE$5002,18,FALSE),"")))</f>
        <v>-</v>
      </c>
      <c r="X445" s="275">
        <f>IF(D445="","",VLOOKUP(D445,契約台帳!$A$3:$Q$4986,17,FALSE))</f>
        <v>2</v>
      </c>
      <c r="Y445" s="269" t="str">
        <f>IF(D445="","",VLOOKUP(D445,契約台帳!$A$3:$E$4986,5,FALSE))</f>
        <v>リンテック㈱</v>
      </c>
      <c r="Z445" s="57"/>
      <c r="AA445" s="207">
        <f>IFERROR(VLOOKUP(F445&amp;K445&amp;M445,製品マスタ!$M$5:$AM$5002,27,FALSE),"")</f>
        <v>0</v>
      </c>
      <c r="AB445" s="33"/>
      <c r="AC445" s="189"/>
      <c r="AD445" s="54"/>
      <c r="AE445" s="55"/>
      <c r="AF445" s="43"/>
      <c r="AG445" s="47"/>
      <c r="AH445" s="30"/>
      <c r="AI445" s="30"/>
      <c r="AJ445" s="30"/>
      <c r="AK445" s="30"/>
      <c r="AL445" s="13"/>
      <c r="AM445" s="13"/>
      <c r="AN445" s="13"/>
      <c r="AO445" s="13"/>
      <c r="AP445" s="13"/>
      <c r="AQ445" s="14"/>
      <c r="AR445" s="15"/>
    </row>
    <row r="446" spans="1:44" s="17" customFormat="1" ht="30.95" hidden="1" customHeight="1" x14ac:dyDescent="0.2">
      <c r="A446" s="37"/>
      <c r="B446" s="38"/>
      <c r="C446" s="45"/>
      <c r="D446" s="31"/>
      <c r="E446" s="31"/>
      <c r="F446" s="268"/>
      <c r="G446" s="269"/>
      <c r="H446" s="269"/>
      <c r="I446" s="270"/>
      <c r="J446" s="32"/>
      <c r="K446" s="270"/>
      <c r="L446" s="270"/>
      <c r="M446" s="39"/>
      <c r="N446" s="39"/>
      <c r="O446" s="47"/>
      <c r="P446" s="57"/>
      <c r="Q446" s="276"/>
      <c r="R446" s="277"/>
      <c r="S446" s="277"/>
      <c r="T446" s="40"/>
      <c r="U446" s="278"/>
      <c r="V446" s="269"/>
      <c r="W446" s="269"/>
      <c r="X446" s="275"/>
      <c r="Y446" s="269"/>
      <c r="Z446" s="57"/>
      <c r="AA446" s="207"/>
      <c r="AB446" s="33"/>
      <c r="AC446" s="189"/>
      <c r="AD446" s="54"/>
      <c r="AE446" s="55"/>
      <c r="AF446" s="43"/>
      <c r="AG446" s="47"/>
      <c r="AH446" s="30"/>
      <c r="AI446" s="30"/>
      <c r="AJ446" s="30"/>
      <c r="AK446" s="30"/>
      <c r="AL446" s="13"/>
      <c r="AM446" s="13"/>
      <c r="AN446" s="13"/>
      <c r="AO446" s="13"/>
      <c r="AP446" s="13"/>
      <c r="AQ446" s="14"/>
      <c r="AR446" s="15"/>
    </row>
    <row r="447" spans="1:44" s="17" customFormat="1" ht="30.95" hidden="1" customHeight="1" x14ac:dyDescent="0.2">
      <c r="A447" s="37" t="s">
        <v>1144</v>
      </c>
      <c r="B447" s="38" t="s">
        <v>1099</v>
      </c>
      <c r="C447" s="45"/>
      <c r="D447" s="31">
        <v>3712096</v>
      </c>
      <c r="E447" s="31">
        <v>4170111</v>
      </c>
      <c r="F447" s="268" t="str">
        <f>IF(D447="","",VLOOKUP(D447,契約台帳!$A$3:$K$4986,6,FALSE)&amp;VLOOKUP(D447,契約台帳!$A$3:$K$4986,7,FALSE)&amp;VLOOKUP(D447,契約台帳!$A$3:$K$4986,8,FALSE)&amp;VLOOKUP(D447,契約台帳!$A$3:$K$4986,9,FALSE)&amp;VLOOKUP(D447,契約台帳!$A$3:$K$4986,11,FALSE))</f>
        <v>3SNMCLBSCB</v>
      </c>
      <c r="G447" s="269" t="str">
        <f>IF(D447="","",VLOOKUP(F447,製品マスタ!$G$5:$H$5002,2,FALSE))</f>
        <v>S</v>
      </c>
      <c r="H447" s="269" t="str">
        <f>IF(D447="","",VLOOKUP(F447,製品マスタ!$G$5:$K$5002,5,FALSE))</f>
        <v>SCB</v>
      </c>
      <c r="I447" s="270" t="str">
        <f>IF(D447="","",VLOOKUP(F447,製品マスタ!$G$5:$L$5002,6,FALSE))</f>
        <v>メタルミー　シロコート（Ｂ）</v>
      </c>
      <c r="J447" s="32" t="s">
        <v>464</v>
      </c>
      <c r="K447" s="270">
        <f>IF(D447="","",VLOOKUP(D447,契約台帳!$A$3:$L$4986,12,FALSE))</f>
        <v>25</v>
      </c>
      <c r="L447" s="270" t="str">
        <f>IF(D447="","",INDEX(製品マスタ!$Q$5:$Q$5002,MATCH(F447&amp;K447,製品マスタ!$AO$5:$AO$5002,0)))</f>
        <v>T70A</v>
      </c>
      <c r="M447" s="39">
        <v>1060</v>
      </c>
      <c r="N447" s="39">
        <v>12200</v>
      </c>
      <c r="O447" s="47">
        <v>3</v>
      </c>
      <c r="P447" s="213">
        <v>45077</v>
      </c>
      <c r="Q447" s="276">
        <f>IF(D447="","",IF(J447="リード付け",M447,VLOOKUP(D447,契約台帳!$A$3:$N$4986,14,FALSE)))</f>
        <v>1060</v>
      </c>
      <c r="R447" s="277">
        <f>IF(D447="","",IF(J447="リード付け",M447,VLOOKUP(D447,契約台帳!$A$3:$O$4986,15,FALSE)))</f>
        <v>1060</v>
      </c>
      <c r="S447" s="277">
        <f>IF(D447="","",IF(J447="リード付け",N447,VLOOKUP(D447,契約台帳!$A$3:$P$4986,16,FALSE)))</f>
        <v>12200</v>
      </c>
      <c r="T447" s="40">
        <v>3</v>
      </c>
      <c r="U447" s="278">
        <f ca="1">IF(D447="","",IF(OFFSET(D447,-2,0)=D447,"",VLOOKUP(D447,契約台帳!$A$3:$R$4986,18,FALSE)))</f>
        <v>6</v>
      </c>
      <c r="V447" s="269" t="str">
        <f>IF(J447="巻返し",VLOOKUP(F447&amp;K447&amp;M447,製品マスタ!$M$5:$AD$5002,18,FALSE),IF(J447="リード付け","原反コア",IF(J447="スリット",VLOOKUP(F447&amp;K447&amp;Q447,製品マスタ!$N$5:$AD$5002,17,FALSE),"")))</f>
        <v>原反コア</v>
      </c>
      <c r="W447" s="269" t="str">
        <f>IF(J447="巻返し",VLOOKUP(F447&amp;K447&amp;M447,製品マスタ!$M$5:$AE$5002,19,FALSE),IF(J447="リード付け","-",IF(J447="スリット",VLOOKUP(F447&amp;K447&amp;Q447,製品マスタ!$N$5:$AE$5002,18,FALSE),"")))</f>
        <v>-</v>
      </c>
      <c r="X447" s="275">
        <f>IF(D447="","",VLOOKUP(D447,契約台帳!$A$3:$Q$4986,17,FALSE))</f>
        <v>2</v>
      </c>
      <c r="Y447" s="269" t="str">
        <f>IF(D447="","",VLOOKUP(D447,契約台帳!$A$3:$E$4986,5,FALSE))</f>
        <v>新タック化成㈱</v>
      </c>
      <c r="Z447" s="57"/>
      <c r="AA447" s="207" t="s">
        <v>1185</v>
      </c>
      <c r="AB447" s="33"/>
      <c r="AC447" s="189"/>
      <c r="AD447" s="54"/>
      <c r="AE447" s="55"/>
      <c r="AF447" s="43"/>
      <c r="AG447" s="47"/>
      <c r="AH447" s="30"/>
      <c r="AI447" s="30"/>
      <c r="AJ447" s="30"/>
      <c r="AK447" s="30"/>
      <c r="AL447" s="13"/>
      <c r="AM447" s="13"/>
      <c r="AN447" s="13"/>
      <c r="AO447" s="13"/>
      <c r="AP447" s="13"/>
      <c r="AQ447" s="14"/>
      <c r="AR447" s="15"/>
    </row>
    <row r="448" spans="1:44" s="17" customFormat="1" ht="30.95" hidden="1" customHeight="1" x14ac:dyDescent="0.2">
      <c r="A448" s="37"/>
      <c r="B448" s="38"/>
      <c r="C448" s="45"/>
      <c r="D448" s="31"/>
      <c r="E448" s="31"/>
      <c r="F448" s="268"/>
      <c r="G448" s="269"/>
      <c r="H448" s="269"/>
      <c r="I448" s="270"/>
      <c r="J448" s="32"/>
      <c r="K448" s="270"/>
      <c r="L448" s="270"/>
      <c r="M448" s="39"/>
      <c r="N448" s="39"/>
      <c r="O448" s="47"/>
      <c r="P448" s="57"/>
      <c r="Q448" s="276"/>
      <c r="R448" s="277"/>
      <c r="S448" s="277"/>
      <c r="T448" s="40"/>
      <c r="U448" s="278"/>
      <c r="V448" s="269"/>
      <c r="W448" s="269"/>
      <c r="X448" s="275"/>
      <c r="Y448" s="269"/>
      <c r="Z448" s="57"/>
      <c r="AA448" s="207"/>
      <c r="AB448" s="33"/>
      <c r="AC448" s="189"/>
      <c r="AD448" s="54"/>
      <c r="AE448" s="55"/>
      <c r="AF448" s="43"/>
      <c r="AG448" s="47"/>
      <c r="AH448" s="30"/>
      <c r="AI448" s="30"/>
      <c r="AJ448" s="30"/>
      <c r="AK448" s="30"/>
      <c r="AL448" s="13"/>
      <c r="AM448" s="13"/>
      <c r="AN448" s="13"/>
      <c r="AO448" s="13"/>
      <c r="AP448" s="13"/>
      <c r="AQ448" s="14"/>
      <c r="AR448" s="15"/>
    </row>
    <row r="449" spans="1:44" s="17" customFormat="1" ht="30.95" hidden="1" customHeight="1" x14ac:dyDescent="0.2">
      <c r="A449" s="37" t="s">
        <v>1189</v>
      </c>
      <c r="B449" s="38" t="s">
        <v>1190</v>
      </c>
      <c r="C449" s="45"/>
      <c r="D449" s="31"/>
      <c r="E449" s="31"/>
      <c r="F449" s="268"/>
      <c r="G449" s="269"/>
      <c r="H449" s="269"/>
      <c r="I449" s="270"/>
      <c r="J449" s="32"/>
      <c r="K449" s="270"/>
      <c r="L449" s="270"/>
      <c r="M449" s="39"/>
      <c r="N449" s="39"/>
      <c r="O449" s="47"/>
      <c r="P449" s="57"/>
      <c r="Q449" s="276"/>
      <c r="R449" s="277"/>
      <c r="S449" s="277"/>
      <c r="T449" s="40"/>
      <c r="U449" s="278"/>
      <c r="V449" s="269"/>
      <c r="W449" s="269"/>
      <c r="X449" s="275"/>
      <c r="Y449" s="269"/>
      <c r="Z449" s="57"/>
      <c r="AA449" s="207"/>
      <c r="AB449" s="33"/>
      <c r="AC449" s="189"/>
      <c r="AD449" s="54"/>
      <c r="AE449" s="55"/>
      <c r="AF449" s="43"/>
      <c r="AG449" s="47"/>
      <c r="AH449" s="30"/>
      <c r="AI449" s="30"/>
      <c r="AJ449" s="30"/>
      <c r="AK449" s="30"/>
      <c r="AL449" s="13"/>
      <c r="AM449" s="13"/>
      <c r="AN449" s="13"/>
      <c r="AO449" s="13"/>
      <c r="AP449" s="13"/>
      <c r="AQ449" s="14"/>
      <c r="AR449" s="15"/>
    </row>
    <row r="450" spans="1:44" s="17" customFormat="1" ht="30.95" hidden="1" customHeight="1" x14ac:dyDescent="0.2">
      <c r="A450" s="37"/>
      <c r="B450" s="38"/>
      <c r="C450" s="45"/>
      <c r="D450" s="31"/>
      <c r="E450" s="31"/>
      <c r="F450" s="268"/>
      <c r="G450" s="269"/>
      <c r="H450" s="269"/>
      <c r="I450" s="270"/>
      <c r="J450" s="32"/>
      <c r="K450" s="270"/>
      <c r="L450" s="270"/>
      <c r="M450" s="39"/>
      <c r="N450" s="39"/>
      <c r="O450" s="47"/>
      <c r="P450" s="57"/>
      <c r="Q450" s="276"/>
      <c r="R450" s="277"/>
      <c r="S450" s="277"/>
      <c r="T450" s="40"/>
      <c r="U450" s="278"/>
      <c r="V450" s="269"/>
      <c r="W450" s="269"/>
      <c r="X450" s="275"/>
      <c r="Y450" s="269"/>
      <c r="Z450" s="57"/>
      <c r="AA450" s="207"/>
      <c r="AB450" s="33"/>
      <c r="AC450" s="189"/>
      <c r="AD450" s="54"/>
      <c r="AE450" s="55"/>
      <c r="AF450" s="43"/>
      <c r="AG450" s="47"/>
      <c r="AH450" s="30"/>
      <c r="AI450" s="30"/>
      <c r="AJ450" s="30"/>
      <c r="AK450" s="30"/>
      <c r="AL450" s="13"/>
      <c r="AM450" s="13"/>
      <c r="AN450" s="13"/>
      <c r="AO450" s="13"/>
      <c r="AP450" s="13"/>
      <c r="AQ450" s="14"/>
      <c r="AR450" s="15"/>
    </row>
    <row r="451" spans="1:44" s="17" customFormat="1" ht="30.95" hidden="1" customHeight="1" x14ac:dyDescent="0.2">
      <c r="A451" s="37" t="s">
        <v>1191</v>
      </c>
      <c r="B451" s="38" t="s">
        <v>1192</v>
      </c>
      <c r="C451" s="45"/>
      <c r="D451" s="31"/>
      <c r="E451" s="31"/>
      <c r="F451" s="268"/>
      <c r="G451" s="269"/>
      <c r="H451" s="269"/>
      <c r="I451" s="270"/>
      <c r="J451" s="32"/>
      <c r="K451" s="270"/>
      <c r="L451" s="270"/>
      <c r="M451" s="39"/>
      <c r="N451" s="39"/>
      <c r="O451" s="47"/>
      <c r="P451" s="57"/>
      <c r="Q451" s="276"/>
      <c r="R451" s="277"/>
      <c r="S451" s="277"/>
      <c r="T451" s="40"/>
      <c r="U451" s="278"/>
      <c r="V451" s="269"/>
      <c r="W451" s="269"/>
      <c r="X451" s="275"/>
      <c r="Y451" s="269"/>
      <c r="Z451" s="57"/>
      <c r="AA451" s="207"/>
      <c r="AB451" s="33"/>
      <c r="AC451" s="189"/>
      <c r="AD451" s="54"/>
      <c r="AE451" s="55"/>
      <c r="AF451" s="43"/>
      <c r="AG451" s="47"/>
      <c r="AH451" s="30"/>
      <c r="AI451" s="30"/>
      <c r="AJ451" s="30"/>
      <c r="AK451" s="30"/>
      <c r="AL451" s="13"/>
      <c r="AM451" s="13"/>
      <c r="AN451" s="13"/>
      <c r="AO451" s="13"/>
      <c r="AP451" s="13"/>
      <c r="AQ451" s="14"/>
      <c r="AR451" s="15"/>
    </row>
    <row r="452" spans="1:44" s="17" customFormat="1" ht="30.95" hidden="1" customHeight="1" x14ac:dyDescent="0.2">
      <c r="A452" s="37"/>
      <c r="B452" s="38"/>
      <c r="C452" s="45"/>
      <c r="D452" s="31"/>
      <c r="E452" s="31"/>
      <c r="F452" s="268"/>
      <c r="G452" s="269"/>
      <c r="H452" s="269"/>
      <c r="I452" s="270"/>
      <c r="J452" s="32"/>
      <c r="K452" s="270"/>
      <c r="L452" s="270"/>
      <c r="M452" s="39"/>
      <c r="N452" s="39"/>
      <c r="O452" s="47"/>
      <c r="P452" s="57"/>
      <c r="Q452" s="276"/>
      <c r="R452" s="277"/>
      <c r="S452" s="277"/>
      <c r="T452" s="40"/>
      <c r="U452" s="278"/>
      <c r="V452" s="269"/>
      <c r="W452" s="269"/>
      <c r="X452" s="275"/>
      <c r="Y452" s="269"/>
      <c r="Z452" s="57"/>
      <c r="AA452" s="207"/>
      <c r="AB452" s="33"/>
      <c r="AC452" s="189"/>
      <c r="AD452" s="54"/>
      <c r="AE452" s="55"/>
      <c r="AF452" s="43"/>
      <c r="AG452" s="47"/>
      <c r="AH452" s="30"/>
      <c r="AI452" s="30"/>
      <c r="AJ452" s="30"/>
      <c r="AK452" s="30"/>
      <c r="AL452" s="13"/>
      <c r="AM452" s="13"/>
      <c r="AN452" s="13"/>
      <c r="AO452" s="13"/>
      <c r="AP452" s="13"/>
      <c r="AQ452" s="14"/>
      <c r="AR452" s="15"/>
    </row>
    <row r="453" spans="1:44" s="17" customFormat="1" ht="30.95" hidden="1" customHeight="1" x14ac:dyDescent="0.2">
      <c r="A453" s="37" t="s">
        <v>1193</v>
      </c>
      <c r="B453" s="38" t="s">
        <v>1194</v>
      </c>
      <c r="C453" s="45"/>
      <c r="D453" s="31"/>
      <c r="E453" s="31"/>
      <c r="F453" s="268"/>
      <c r="G453" s="269"/>
      <c r="H453" s="269"/>
      <c r="I453" s="270"/>
      <c r="J453" s="32" t="s">
        <v>448</v>
      </c>
      <c r="K453" s="270"/>
      <c r="L453" s="270"/>
      <c r="M453" s="39"/>
      <c r="N453" s="39"/>
      <c r="O453" s="47"/>
      <c r="P453" s="57"/>
      <c r="Q453" s="276"/>
      <c r="R453" s="277"/>
      <c r="S453" s="277"/>
      <c r="T453" s="40"/>
      <c r="U453" s="278"/>
      <c r="V453" s="269"/>
      <c r="W453" s="269"/>
      <c r="X453" s="275"/>
      <c r="Y453" s="269"/>
      <c r="Z453" s="57"/>
      <c r="AA453" s="207"/>
      <c r="AB453" s="33"/>
      <c r="AC453" s="189"/>
      <c r="AD453" s="54"/>
      <c r="AE453" s="55"/>
      <c r="AF453" s="43"/>
      <c r="AG453" s="47"/>
      <c r="AH453" s="30"/>
      <c r="AI453" s="30"/>
      <c r="AJ453" s="30"/>
      <c r="AK453" s="30"/>
      <c r="AL453" s="13"/>
      <c r="AM453" s="13"/>
      <c r="AN453" s="13"/>
      <c r="AO453" s="13"/>
      <c r="AP453" s="13"/>
      <c r="AQ453" s="14"/>
      <c r="AR453" s="15"/>
    </row>
    <row r="454" spans="1:44" s="17" customFormat="1" ht="30.95" hidden="1" customHeight="1" x14ac:dyDescent="0.2">
      <c r="A454" s="37"/>
      <c r="B454" s="38"/>
      <c r="C454" s="45"/>
      <c r="D454" s="31"/>
      <c r="E454" s="31"/>
      <c r="F454" s="268"/>
      <c r="G454" s="269"/>
      <c r="H454" s="269"/>
      <c r="I454" s="270"/>
      <c r="J454" s="32"/>
      <c r="K454" s="270"/>
      <c r="L454" s="270"/>
      <c r="M454" s="39"/>
      <c r="N454" s="39"/>
      <c r="O454" s="47"/>
      <c r="P454" s="57"/>
      <c r="Q454" s="276"/>
      <c r="R454" s="277"/>
      <c r="S454" s="277"/>
      <c r="T454" s="40"/>
      <c r="U454" s="278"/>
      <c r="V454" s="269"/>
      <c r="W454" s="269"/>
      <c r="X454" s="275"/>
      <c r="Y454" s="269"/>
      <c r="Z454" s="57"/>
      <c r="AA454" s="207"/>
      <c r="AB454" s="33"/>
      <c r="AC454" s="189"/>
      <c r="AD454" s="54"/>
      <c r="AE454" s="55"/>
      <c r="AF454" s="43"/>
      <c r="AG454" s="47"/>
      <c r="AH454" s="30"/>
      <c r="AI454" s="30"/>
      <c r="AJ454" s="30"/>
      <c r="AK454" s="30"/>
      <c r="AL454" s="13"/>
      <c r="AM454" s="13"/>
      <c r="AN454" s="13"/>
      <c r="AO454" s="13"/>
      <c r="AP454" s="13"/>
      <c r="AQ454" s="14"/>
      <c r="AR454" s="15"/>
    </row>
    <row r="455" spans="1:44" s="17" customFormat="1" ht="30.95" hidden="1" customHeight="1" x14ac:dyDescent="0.2">
      <c r="A455" s="37" t="s">
        <v>1195</v>
      </c>
      <c r="B455" s="38" t="s">
        <v>1196</v>
      </c>
      <c r="C455" s="45"/>
      <c r="D455" s="31"/>
      <c r="E455" s="31"/>
      <c r="F455" s="268"/>
      <c r="G455" s="269"/>
      <c r="H455" s="269"/>
      <c r="I455" s="270"/>
      <c r="J455" s="32" t="s">
        <v>448</v>
      </c>
      <c r="K455" s="270"/>
      <c r="L455" s="270"/>
      <c r="M455" s="39"/>
      <c r="N455" s="39"/>
      <c r="O455" s="47"/>
      <c r="P455" s="57"/>
      <c r="Q455" s="276"/>
      <c r="R455" s="277"/>
      <c r="S455" s="277"/>
      <c r="T455" s="40"/>
      <c r="U455" s="278"/>
      <c r="V455" s="269"/>
      <c r="W455" s="269"/>
      <c r="X455" s="275"/>
      <c r="Y455" s="269"/>
      <c r="Z455" s="57"/>
      <c r="AA455" s="207"/>
      <c r="AB455" s="33"/>
      <c r="AC455" s="189"/>
      <c r="AD455" s="54"/>
      <c r="AE455" s="55"/>
      <c r="AF455" s="43"/>
      <c r="AG455" s="47"/>
      <c r="AH455" s="30"/>
      <c r="AI455" s="30"/>
      <c r="AJ455" s="30"/>
      <c r="AK455" s="30"/>
      <c r="AL455" s="13"/>
      <c r="AM455" s="13"/>
      <c r="AN455" s="13"/>
      <c r="AO455" s="13"/>
      <c r="AP455" s="13"/>
      <c r="AQ455" s="14"/>
      <c r="AR455" s="15"/>
    </row>
    <row r="456" spans="1:44" s="17" customFormat="1" ht="30.95" hidden="1" customHeight="1" x14ac:dyDescent="0.2">
      <c r="A456" s="37"/>
      <c r="B456" s="38"/>
      <c r="C456" s="45"/>
      <c r="D456" s="31"/>
      <c r="E456" s="31"/>
      <c r="F456" s="268"/>
      <c r="G456" s="269"/>
      <c r="H456" s="269"/>
      <c r="I456" s="270"/>
      <c r="J456" s="32"/>
      <c r="K456" s="270"/>
      <c r="L456" s="270"/>
      <c r="M456" s="39"/>
      <c r="N456" s="39"/>
      <c r="O456" s="47"/>
      <c r="P456" s="57"/>
      <c r="Q456" s="276"/>
      <c r="R456" s="277"/>
      <c r="S456" s="277"/>
      <c r="T456" s="40"/>
      <c r="U456" s="278"/>
      <c r="V456" s="269"/>
      <c r="W456" s="269"/>
      <c r="X456" s="275"/>
      <c r="Y456" s="269"/>
      <c r="Z456" s="57"/>
      <c r="AA456" s="207"/>
      <c r="AB456" s="33"/>
      <c r="AC456" s="189"/>
      <c r="AD456" s="54"/>
      <c r="AE456" s="55"/>
      <c r="AF456" s="43"/>
      <c r="AG456" s="47"/>
      <c r="AH456" s="30"/>
      <c r="AI456" s="30"/>
      <c r="AJ456" s="30"/>
      <c r="AK456" s="30"/>
      <c r="AL456" s="13"/>
      <c r="AM456" s="13"/>
      <c r="AN456" s="13"/>
      <c r="AO456" s="13"/>
      <c r="AP456" s="13"/>
      <c r="AQ456" s="14"/>
      <c r="AR456" s="15"/>
    </row>
    <row r="457" spans="1:44" s="17" customFormat="1" ht="30.95" hidden="1" customHeight="1" x14ac:dyDescent="0.2">
      <c r="A457" s="37" t="s">
        <v>1197</v>
      </c>
      <c r="B457" s="38" t="s">
        <v>1198</v>
      </c>
      <c r="C457" s="45"/>
      <c r="D457" s="31"/>
      <c r="E457" s="31"/>
      <c r="F457" s="268"/>
      <c r="G457" s="269"/>
      <c r="H457" s="269"/>
      <c r="I457" s="270"/>
      <c r="J457" s="32"/>
      <c r="K457" s="270"/>
      <c r="L457" s="270"/>
      <c r="M457" s="39"/>
      <c r="N457" s="39"/>
      <c r="O457" s="47"/>
      <c r="P457" s="57"/>
      <c r="Q457" s="276"/>
      <c r="R457" s="277"/>
      <c r="S457" s="277"/>
      <c r="T457" s="40"/>
      <c r="U457" s="278"/>
      <c r="V457" s="269"/>
      <c r="W457" s="269"/>
      <c r="X457" s="275"/>
      <c r="Y457" s="269"/>
      <c r="Z457" s="57"/>
      <c r="AA457" s="207"/>
      <c r="AB457" s="33"/>
      <c r="AC457" s="189"/>
      <c r="AD457" s="54"/>
      <c r="AE457" s="55"/>
      <c r="AF457" s="43"/>
      <c r="AG457" s="47"/>
      <c r="AH457" s="30"/>
      <c r="AI457" s="30"/>
      <c r="AJ457" s="30"/>
      <c r="AK457" s="30"/>
      <c r="AL457" s="13"/>
      <c r="AM457" s="13"/>
      <c r="AN457" s="13"/>
      <c r="AO457" s="13"/>
      <c r="AP457" s="13"/>
      <c r="AQ457" s="14"/>
      <c r="AR457" s="15"/>
    </row>
    <row r="458" spans="1:44" s="17" customFormat="1" ht="30.95" hidden="1" customHeight="1" x14ac:dyDescent="0.2">
      <c r="A458" s="37"/>
      <c r="B458" s="38"/>
      <c r="C458" s="45"/>
      <c r="D458" s="31"/>
      <c r="E458" s="31"/>
      <c r="F458" s="268"/>
      <c r="G458" s="269"/>
      <c r="H458" s="269"/>
      <c r="I458" s="270"/>
      <c r="J458" s="32"/>
      <c r="K458" s="270"/>
      <c r="L458" s="270"/>
      <c r="M458" s="39"/>
      <c r="N458" s="39"/>
      <c r="O458" s="47"/>
      <c r="P458" s="57"/>
      <c r="Q458" s="276"/>
      <c r="R458" s="277"/>
      <c r="S458" s="277"/>
      <c r="T458" s="40"/>
      <c r="U458" s="278"/>
      <c r="V458" s="269"/>
      <c r="W458" s="269"/>
      <c r="X458" s="275"/>
      <c r="Y458" s="269"/>
      <c r="Z458" s="57"/>
      <c r="AA458" s="207"/>
      <c r="AB458" s="33"/>
      <c r="AC458" s="189"/>
      <c r="AD458" s="54"/>
      <c r="AE458" s="55"/>
      <c r="AF458" s="43"/>
      <c r="AG458" s="47"/>
      <c r="AH458" s="30"/>
      <c r="AI458" s="30"/>
      <c r="AJ458" s="30"/>
      <c r="AK458" s="30"/>
      <c r="AL458" s="13"/>
      <c r="AM458" s="13"/>
      <c r="AN458" s="13"/>
      <c r="AO458" s="13"/>
      <c r="AP458" s="13"/>
      <c r="AQ458" s="14"/>
      <c r="AR458" s="15"/>
    </row>
    <row r="459" spans="1:44" s="17" customFormat="1" ht="30.95" hidden="1" customHeight="1" x14ac:dyDescent="0.2">
      <c r="A459" s="37" t="s">
        <v>1199</v>
      </c>
      <c r="B459" s="38" t="s">
        <v>1200</v>
      </c>
      <c r="C459" s="45"/>
      <c r="D459" s="31"/>
      <c r="E459" s="31"/>
      <c r="F459" s="268"/>
      <c r="G459" s="269"/>
      <c r="H459" s="269"/>
      <c r="I459" s="270"/>
      <c r="J459" s="32"/>
      <c r="K459" s="270"/>
      <c r="L459" s="270"/>
      <c r="M459" s="39"/>
      <c r="N459" s="39"/>
      <c r="O459" s="47"/>
      <c r="P459" s="57"/>
      <c r="Q459" s="276"/>
      <c r="R459" s="277"/>
      <c r="S459" s="277"/>
      <c r="T459" s="40"/>
      <c r="U459" s="278"/>
      <c r="V459" s="269"/>
      <c r="W459" s="269"/>
      <c r="X459" s="275"/>
      <c r="Y459" s="269"/>
      <c r="Z459" s="57"/>
      <c r="AA459" s="207"/>
      <c r="AB459" s="33"/>
      <c r="AC459" s="189"/>
      <c r="AD459" s="54"/>
      <c r="AE459" s="55"/>
      <c r="AF459" s="43"/>
      <c r="AG459" s="47"/>
      <c r="AH459" s="30"/>
      <c r="AI459" s="30"/>
      <c r="AJ459" s="30"/>
      <c r="AK459" s="30"/>
      <c r="AL459" s="13"/>
      <c r="AM459" s="13"/>
      <c r="AN459" s="13"/>
      <c r="AO459" s="13"/>
      <c r="AP459" s="13"/>
      <c r="AQ459" s="14"/>
      <c r="AR459" s="15"/>
    </row>
    <row r="460" spans="1:44" s="17" customFormat="1" ht="30.95" hidden="1" customHeight="1" x14ac:dyDescent="0.2">
      <c r="A460" s="37"/>
      <c r="B460" s="38"/>
      <c r="C460" s="45"/>
      <c r="D460" s="31"/>
      <c r="E460" s="31"/>
      <c r="F460" s="268"/>
      <c r="G460" s="269"/>
      <c r="H460" s="269"/>
      <c r="I460" s="270"/>
      <c r="J460" s="32"/>
      <c r="K460" s="270"/>
      <c r="L460" s="270"/>
      <c r="M460" s="39"/>
      <c r="N460" s="39"/>
      <c r="O460" s="47"/>
      <c r="P460" s="57"/>
      <c r="Q460" s="276"/>
      <c r="R460" s="277"/>
      <c r="S460" s="277"/>
      <c r="T460" s="40"/>
      <c r="U460" s="278"/>
      <c r="V460" s="269"/>
      <c r="W460" s="269"/>
      <c r="X460" s="275"/>
      <c r="Y460" s="269"/>
      <c r="Z460" s="57"/>
      <c r="AA460" s="207"/>
      <c r="AB460" s="33"/>
      <c r="AC460" s="189"/>
      <c r="AD460" s="54"/>
      <c r="AE460" s="55"/>
      <c r="AF460" s="43"/>
      <c r="AG460" s="47"/>
      <c r="AH460" s="30"/>
      <c r="AI460" s="30"/>
      <c r="AJ460" s="30"/>
      <c r="AK460" s="30"/>
      <c r="AL460" s="13"/>
      <c r="AM460" s="13"/>
      <c r="AN460" s="13"/>
      <c r="AO460" s="13"/>
      <c r="AP460" s="13"/>
      <c r="AQ460" s="14"/>
      <c r="AR460" s="15"/>
    </row>
    <row r="461" spans="1:44" s="17" customFormat="1" ht="30.95" hidden="1" customHeight="1" x14ac:dyDescent="0.2">
      <c r="A461" s="37" t="s">
        <v>1201</v>
      </c>
      <c r="B461" s="38" t="s">
        <v>1202</v>
      </c>
      <c r="C461" s="45"/>
      <c r="D461" s="31"/>
      <c r="E461" s="31"/>
      <c r="F461" s="268"/>
      <c r="G461" s="269"/>
      <c r="H461" s="269"/>
      <c r="I461" s="270"/>
      <c r="J461" s="32"/>
      <c r="K461" s="270"/>
      <c r="L461" s="270"/>
      <c r="M461" s="39"/>
      <c r="N461" s="39"/>
      <c r="O461" s="47"/>
      <c r="P461" s="57"/>
      <c r="Q461" s="276"/>
      <c r="R461" s="277"/>
      <c r="S461" s="277"/>
      <c r="T461" s="40"/>
      <c r="U461" s="278"/>
      <c r="V461" s="269"/>
      <c r="W461" s="269"/>
      <c r="X461" s="275"/>
      <c r="Y461" s="269"/>
      <c r="Z461" s="57"/>
      <c r="AA461" s="207"/>
      <c r="AB461" s="33"/>
      <c r="AC461" s="189"/>
      <c r="AD461" s="54"/>
      <c r="AE461" s="55"/>
      <c r="AF461" s="43"/>
      <c r="AG461" s="47"/>
      <c r="AH461" s="30"/>
      <c r="AI461" s="30"/>
      <c r="AJ461" s="30"/>
      <c r="AK461" s="30"/>
      <c r="AL461" s="13"/>
      <c r="AM461" s="13"/>
      <c r="AN461" s="13"/>
      <c r="AO461" s="13"/>
      <c r="AP461" s="13"/>
      <c r="AQ461" s="14"/>
      <c r="AR461" s="15"/>
    </row>
    <row r="462" spans="1:44" s="17" customFormat="1" ht="30.95" hidden="1" customHeight="1" x14ac:dyDescent="0.2">
      <c r="A462" s="37"/>
      <c r="B462" s="38"/>
      <c r="C462" s="45"/>
      <c r="D462" s="31"/>
      <c r="E462" s="31"/>
      <c r="F462" s="268"/>
      <c r="G462" s="269"/>
      <c r="H462" s="269"/>
      <c r="I462" s="270"/>
      <c r="J462" s="32"/>
      <c r="K462" s="270"/>
      <c r="L462" s="270"/>
      <c r="M462" s="39"/>
      <c r="N462" s="39"/>
      <c r="O462" s="47"/>
      <c r="P462" s="57"/>
      <c r="Q462" s="276"/>
      <c r="R462" s="277"/>
      <c r="S462" s="277"/>
      <c r="T462" s="40"/>
      <c r="U462" s="278"/>
      <c r="V462" s="269"/>
      <c r="W462" s="269"/>
      <c r="X462" s="275"/>
      <c r="Y462" s="269"/>
      <c r="Z462" s="57"/>
      <c r="AA462" s="207"/>
      <c r="AB462" s="33"/>
      <c r="AC462" s="189"/>
      <c r="AD462" s="54"/>
      <c r="AE462" s="55"/>
      <c r="AF462" s="43"/>
      <c r="AG462" s="47"/>
      <c r="AH462" s="30"/>
      <c r="AI462" s="30"/>
      <c r="AJ462" s="30"/>
      <c r="AK462" s="30"/>
      <c r="AL462" s="13"/>
      <c r="AM462" s="13"/>
      <c r="AN462" s="13"/>
      <c r="AO462" s="13"/>
      <c r="AP462" s="13"/>
      <c r="AQ462" s="14"/>
      <c r="AR462" s="15"/>
    </row>
    <row r="463" spans="1:44" s="17" customFormat="1" ht="30.95" hidden="1" customHeight="1" x14ac:dyDescent="0.2">
      <c r="A463" s="37" t="s">
        <v>1180</v>
      </c>
      <c r="B463" s="38" t="s">
        <v>443</v>
      </c>
      <c r="C463" s="45"/>
      <c r="D463" s="31">
        <v>3708711</v>
      </c>
      <c r="E463" s="31">
        <v>4151353</v>
      </c>
      <c r="F463" s="268" t="str">
        <f>IF(D463="","",VLOOKUP(D463,契約台帳!$A$3:$K$4986,6,FALSE)&amp;VLOOKUP(D463,契約台帳!$A$3:$K$4986,7,FALSE)&amp;VLOOKUP(D463,契約台帳!$A$3:$K$4986,8,FALSE)&amp;VLOOKUP(D463,契約台帳!$A$3:$K$4986,9,FALSE)&amp;VLOOKUP(D463,契約台帳!$A$3:$K$4986,11,FALSE))</f>
        <v>3SNMLBMNGTBF</v>
      </c>
      <c r="G463" s="269" t="str">
        <f>IF(D463="","",VLOOKUP(F463,製品マスタ!$G$5:$H$5002,2,FALSE))</f>
        <v>S</v>
      </c>
      <c r="H463" s="269" t="str">
        <f>IF(D463="","",VLOOKUP(F463,製品マスタ!$G$5:$K$5002,5,FALSE))</f>
        <v>MNGTBF</v>
      </c>
      <c r="I463" s="270" t="str">
        <f>IF(D463="","",VLOOKUP(F463,製品マスタ!$G$5:$L$5002,6,FALSE))</f>
        <v>メタルミー　ネーマー　銀艶　Ｂ</v>
      </c>
      <c r="J463" s="32" t="s">
        <v>447</v>
      </c>
      <c r="K463" s="270">
        <f>IF(D463="","",VLOOKUP(D463,契約台帳!$A$3:$L$4986,12,FALSE))</f>
        <v>50</v>
      </c>
      <c r="L463" s="270" t="str">
        <f>IF(D463="","",INDEX(製品マスタ!$Q$5:$Q$5002,MATCH(F463&amp;K463,製品マスタ!$AO$5:$AO$5002,0)))</f>
        <v>T62</v>
      </c>
      <c r="M463" s="39">
        <v>1120</v>
      </c>
      <c r="N463" s="39">
        <v>10000</v>
      </c>
      <c r="O463" s="47">
        <v>4</v>
      </c>
      <c r="P463" s="57"/>
      <c r="Q463" s="276">
        <f>IF(D463="","",IF(J463="リード付け",M463,VLOOKUP(D463,契約台帳!$A$3:$N$4986,14,FALSE)))</f>
        <v>1120</v>
      </c>
      <c r="R463" s="277">
        <f>IF(D463="","",IF(J463="リード付け",M463,VLOOKUP(D463,契約台帳!$A$3:$O$4986,15,FALSE)))</f>
        <v>1120</v>
      </c>
      <c r="S463" s="277">
        <f>IF(D463="","",IF(J463="リード付け",N463,VLOOKUP(D463,契約台帳!$A$3:$P$4986,16,FALSE)))</f>
        <v>5000</v>
      </c>
      <c r="T463" s="40">
        <v>8</v>
      </c>
      <c r="U463" s="302">
        <f ca="1">IF(D463="","",IF(OFFSET(D463,-2,0)=D463,"",VLOOKUP(D463,契約台帳!$A$3:$R$4986,18,FALSE)))</f>
        <v>15</v>
      </c>
      <c r="V463" s="269" t="str">
        <f>IF(J463="巻返し",VLOOKUP(F463&amp;K463&amp;M463,製品マスタ!$M$5:$AD$5002,18,FALSE),IF(J463="リード付け","原反コア",IF(J463="スリット",VLOOKUP(F463&amp;K463&amp;Q463,製品マスタ!$N$5:$AD$5002,17,FALSE),"")))</f>
        <v>6ｲﾝﾁSｺｱ</v>
      </c>
      <c r="W463" s="269">
        <f>IF(J463="巻返し",VLOOKUP(F463&amp;K463&amp;M463,製品マスタ!$M$5:$AE$5002,19,FALSE),IF(J463="リード付け","-",IF(J463="スリット",VLOOKUP(F463&amp;K463&amp;Q463,製品マスタ!$N$5:$AE$5002,18,FALSE),"")))</f>
        <v>1125</v>
      </c>
      <c r="X463" s="275">
        <f>IF(D463="","",VLOOKUP(D463,契約台帳!$A$3:$Q$4986,17,FALSE))</f>
        <v>2</v>
      </c>
      <c r="Y463" s="269" t="str">
        <f>IF(D463="","",VLOOKUP(D463,契約台帳!$A$3:$E$4986,5,FALSE))</f>
        <v>リンテック㈱</v>
      </c>
      <c r="Z463" s="57">
        <v>45090</v>
      </c>
      <c r="AA463" s="303" t="str">
        <f>IFERROR(VLOOKUP(F463&amp;K463&amp;M463,製品マスタ!$M$5:$AM$5002,27,FALSE),"")</f>
        <v>原反ケース再利用</v>
      </c>
      <c r="AB463" s="33"/>
      <c r="AC463" s="189"/>
      <c r="AD463" s="54" t="str">
        <f>IF(F463="","",+F463&amp;K463)</f>
        <v>3SNMLBMNGTBF50</v>
      </c>
      <c r="AE463" s="55">
        <f>+M463*N463*O463/1000</f>
        <v>44800</v>
      </c>
      <c r="AF463" s="43">
        <f>IF(AD463="","",VLOOKUP(AD463,原価マスタ!$A$2:$AJ$1693,13,FALSE))</f>
        <v>99</v>
      </c>
      <c r="AG463" s="47">
        <f>IF(AF463="","",+AE463*AF463/100)</f>
        <v>44352</v>
      </c>
      <c r="AH463" s="30"/>
      <c r="AI463" s="30"/>
      <c r="AJ463" s="30"/>
      <c r="AK463" s="30"/>
      <c r="AL463" s="13"/>
      <c r="AM463" s="13"/>
      <c r="AN463" s="13"/>
      <c r="AO463" s="13"/>
      <c r="AP463" s="13"/>
      <c r="AQ463" s="14"/>
      <c r="AR463" s="15"/>
    </row>
    <row r="464" spans="1:44" s="17" customFormat="1" ht="30.95" hidden="1" customHeight="1" x14ac:dyDescent="0.2">
      <c r="A464" s="37"/>
      <c r="B464" s="38"/>
      <c r="C464" s="45"/>
      <c r="D464" s="31"/>
      <c r="E464" s="31"/>
      <c r="F464" s="268"/>
      <c r="G464" s="269"/>
      <c r="H464" s="269"/>
      <c r="I464" s="270"/>
      <c r="J464" s="32"/>
      <c r="K464" s="270"/>
      <c r="L464" s="270"/>
      <c r="M464" s="39"/>
      <c r="N464" s="39"/>
      <c r="O464" s="47"/>
      <c r="P464" s="57"/>
      <c r="Q464" s="276"/>
      <c r="R464" s="277"/>
      <c r="S464" s="277"/>
      <c r="T464" s="40"/>
      <c r="U464" s="278"/>
      <c r="V464" s="269"/>
      <c r="W464" s="269"/>
      <c r="X464" s="275"/>
      <c r="Y464" s="269"/>
      <c r="Z464" s="57"/>
      <c r="AA464" s="207"/>
      <c r="AB464" s="33"/>
      <c r="AC464" s="189"/>
      <c r="AD464" s="54"/>
      <c r="AE464" s="55"/>
      <c r="AF464" s="43"/>
      <c r="AG464" s="47"/>
      <c r="AH464" s="30"/>
      <c r="AI464" s="30"/>
      <c r="AJ464" s="30"/>
      <c r="AK464" s="30"/>
      <c r="AL464" s="13"/>
      <c r="AM464" s="13"/>
      <c r="AN464" s="13"/>
      <c r="AO464" s="13"/>
      <c r="AP464" s="13"/>
      <c r="AQ464" s="14"/>
      <c r="AR464" s="15"/>
    </row>
    <row r="465" spans="1:44" s="17" customFormat="1" ht="30.95" hidden="1" customHeight="1" x14ac:dyDescent="0.2">
      <c r="A465" s="37" t="s">
        <v>1203</v>
      </c>
      <c r="B465" s="38" t="s">
        <v>1192</v>
      </c>
      <c r="C465" s="45"/>
      <c r="D465" s="31">
        <v>3708711</v>
      </c>
      <c r="E465" s="31">
        <v>4151353</v>
      </c>
      <c r="F465" s="268" t="str">
        <f>IF(D465="","",VLOOKUP(D465,契約台帳!$A$3:$K$4986,6,FALSE)&amp;VLOOKUP(D465,契約台帳!$A$3:$K$4986,7,FALSE)&amp;VLOOKUP(D465,契約台帳!$A$3:$K$4986,8,FALSE)&amp;VLOOKUP(D465,契約台帳!$A$3:$K$4986,9,FALSE)&amp;VLOOKUP(D465,契約台帳!$A$3:$K$4986,11,FALSE))</f>
        <v>3SNMLBMNGTBF</v>
      </c>
      <c r="G465" s="269" t="str">
        <f>IF(D465="","",VLOOKUP(F465,製品マスタ!$G$5:$H$5002,2,FALSE))</f>
        <v>S</v>
      </c>
      <c r="H465" s="269" t="str">
        <f>IF(D465="","",VLOOKUP(F465,製品マスタ!$G$5:$K$5002,5,FALSE))</f>
        <v>MNGTBF</v>
      </c>
      <c r="I465" s="270" t="str">
        <f>IF(D465="","",VLOOKUP(F465,製品マスタ!$G$5:$L$5002,6,FALSE))</f>
        <v>メタルミー　ネーマー　銀艶　Ｂ</v>
      </c>
      <c r="J465" s="32" t="s">
        <v>447</v>
      </c>
      <c r="K465" s="270">
        <f>IF(D465="","",VLOOKUP(D465,契約台帳!$A$3:$L$4986,12,FALSE))</f>
        <v>50</v>
      </c>
      <c r="L465" s="270" t="str">
        <f>IF(D465="","",INDEX(製品マスタ!$Q$5:$Q$5002,MATCH(F465&amp;K465,製品マスタ!$AO$5:$AO$5002,0)))</f>
        <v>T62</v>
      </c>
      <c r="M465" s="39">
        <v>1120</v>
      </c>
      <c r="N465" s="39">
        <v>10000</v>
      </c>
      <c r="O465" s="47">
        <v>3</v>
      </c>
      <c r="P465" s="57"/>
      <c r="Q465" s="276">
        <f>IF(D465="","",IF(J465="リード付け",M465,VLOOKUP(D465,契約台帳!$A$3:$N$4986,14,FALSE)))</f>
        <v>1120</v>
      </c>
      <c r="R465" s="277">
        <f>IF(D465="","",IF(J465="リード付け",M465,VLOOKUP(D465,契約台帳!$A$3:$O$4986,15,FALSE)))</f>
        <v>1120</v>
      </c>
      <c r="S465" s="277">
        <f>IF(D465="","",IF(J465="リード付け",N465,VLOOKUP(D465,契約台帳!$A$3:$P$4986,16,FALSE)))</f>
        <v>5000</v>
      </c>
      <c r="T465" s="40">
        <v>6</v>
      </c>
      <c r="U465" s="302" t="str">
        <f ca="1">IF(D465="","",IF(OFFSET(D465,-2,0)=D465,"",VLOOKUP(D465,契約台帳!$A$3:$R$4986,18,FALSE)))</f>
        <v/>
      </c>
      <c r="V465" s="269" t="str">
        <f>IF(J465="巻返し",VLOOKUP(F465&amp;K465&amp;M465,製品マスタ!$M$5:$AD$5002,18,FALSE),IF(J465="リード付け","原反コア",IF(J465="スリット",VLOOKUP(F465&amp;K465&amp;Q465,製品マスタ!$N$5:$AD$5002,17,FALSE),"")))</f>
        <v>6ｲﾝﾁSｺｱ</v>
      </c>
      <c r="W465" s="269">
        <f>IF(J465="巻返し",VLOOKUP(F465&amp;K465&amp;M465,製品マスタ!$M$5:$AE$5002,19,FALSE),IF(J465="リード付け","-",IF(J465="スリット",VLOOKUP(F465&amp;K465&amp;Q465,製品マスタ!$N$5:$AE$5002,18,FALSE),"")))</f>
        <v>1125</v>
      </c>
      <c r="X465" s="275">
        <f>IF(D465="","",VLOOKUP(D465,契約台帳!$A$3:$Q$4986,17,FALSE))</f>
        <v>2</v>
      </c>
      <c r="Y465" s="269" t="str">
        <f>IF(D465="","",VLOOKUP(D465,契約台帳!$A$3:$E$4986,5,FALSE))</f>
        <v>リンテック㈱</v>
      </c>
      <c r="Z465" s="57">
        <v>45090</v>
      </c>
      <c r="AA465" s="303" t="str">
        <f>IFERROR(VLOOKUP(F465&amp;K465&amp;M465,製品マスタ!$M$5:$AM$5002,27,FALSE),"")</f>
        <v>原反ケース再利用</v>
      </c>
      <c r="AB465" s="33"/>
      <c r="AC465" s="189"/>
      <c r="AD465" s="54" t="str">
        <f>IF(F465="","",+F465&amp;K465)</f>
        <v>3SNMLBMNGTBF50</v>
      </c>
      <c r="AE465" s="55">
        <f>+M465*N465*O465/1000</f>
        <v>33600</v>
      </c>
      <c r="AF465" s="43">
        <f>IF(AD465="","",VLOOKUP(AD465,原価マスタ!$A$2:$AJ$1693,13,FALSE))</f>
        <v>99</v>
      </c>
      <c r="AG465" s="47">
        <f>IF(AF465="","",+AE465*AF465/100)</f>
        <v>33264</v>
      </c>
      <c r="AH465" s="30"/>
      <c r="AI465" s="30"/>
      <c r="AJ465" s="30"/>
      <c r="AK465" s="30"/>
      <c r="AL465" s="13"/>
      <c r="AM465" s="13"/>
      <c r="AN465" s="13"/>
      <c r="AO465" s="13"/>
      <c r="AP465" s="13"/>
      <c r="AQ465" s="14"/>
      <c r="AR465" s="15"/>
    </row>
    <row r="466" spans="1:44" s="17" customFormat="1" ht="30.95" hidden="1" customHeight="1" x14ac:dyDescent="0.2">
      <c r="A466" s="37"/>
      <c r="B466" s="38"/>
      <c r="C466" s="45"/>
      <c r="D466" s="31"/>
      <c r="E466" s="31"/>
      <c r="F466" s="268"/>
      <c r="G466" s="269"/>
      <c r="H466" s="269"/>
      <c r="I466" s="270"/>
      <c r="J466" s="32"/>
      <c r="K466" s="270"/>
      <c r="L466" s="270"/>
      <c r="M466" s="39"/>
      <c r="N466" s="39"/>
      <c r="O466" s="47"/>
      <c r="P466" s="57"/>
      <c r="Q466" s="276"/>
      <c r="R466" s="277"/>
      <c r="S466" s="277"/>
      <c r="T466" s="40"/>
      <c r="U466" s="278"/>
      <c r="V466" s="269"/>
      <c r="W466" s="269"/>
      <c r="X466" s="275"/>
      <c r="Y466" s="269"/>
      <c r="Z466" s="57"/>
      <c r="AA466" s="207"/>
      <c r="AB466" s="33"/>
      <c r="AC466" s="189"/>
      <c r="AD466" s="54"/>
      <c r="AE466" s="55"/>
      <c r="AF466" s="43"/>
      <c r="AG466" s="47"/>
      <c r="AH466" s="30"/>
      <c r="AI466" s="30"/>
      <c r="AJ466" s="30"/>
      <c r="AK466" s="30"/>
      <c r="AL466" s="13"/>
      <c r="AM466" s="13"/>
      <c r="AN466" s="13"/>
      <c r="AO466" s="13"/>
      <c r="AP466" s="13"/>
      <c r="AQ466" s="14"/>
      <c r="AR466" s="15"/>
    </row>
    <row r="467" spans="1:44" s="17" customFormat="1" ht="30.95" hidden="1" customHeight="1" x14ac:dyDescent="0.2">
      <c r="A467" s="37"/>
      <c r="B467" s="38"/>
      <c r="C467" s="45"/>
      <c r="D467" s="31">
        <v>3708711</v>
      </c>
      <c r="E467" s="31">
        <v>4151353</v>
      </c>
      <c r="F467" s="268" t="str">
        <f>IF(D467="","",VLOOKUP(D467,契約台帳!$A$3:$K$4986,6,FALSE)&amp;VLOOKUP(D467,契約台帳!$A$3:$K$4986,7,FALSE)&amp;VLOOKUP(D467,契約台帳!$A$3:$K$4986,8,FALSE)&amp;VLOOKUP(D467,契約台帳!$A$3:$K$4986,9,FALSE)&amp;VLOOKUP(D467,契約台帳!$A$3:$K$4986,11,FALSE))</f>
        <v>3SNMLBMNGTBF</v>
      </c>
      <c r="G467" s="269" t="str">
        <f>IF(D467="","",VLOOKUP(F467,製品マスタ!$G$5:$H$5002,2,FALSE))</f>
        <v>S</v>
      </c>
      <c r="H467" s="269" t="str">
        <f>IF(D467="","",VLOOKUP(F467,製品マスタ!$G$5:$K$5002,5,FALSE))</f>
        <v>MNGTBF</v>
      </c>
      <c r="I467" s="270" t="str">
        <f>IF(D467="","",VLOOKUP(F467,製品マスタ!$G$5:$L$5002,6,FALSE))</f>
        <v>メタルミー　ネーマー　銀艶　Ｂ</v>
      </c>
      <c r="J467" s="32" t="s">
        <v>447</v>
      </c>
      <c r="K467" s="270">
        <f>IF(D467="","",VLOOKUP(D467,契約台帳!$A$3:$L$4986,12,FALSE))</f>
        <v>50</v>
      </c>
      <c r="L467" s="270" t="str">
        <f>IF(D467="","",INDEX(製品マスタ!$Q$5:$Q$5002,MATCH(F467&amp;K467,製品マスタ!$AO$5:$AO$5002,0)))</f>
        <v>T62</v>
      </c>
      <c r="M467" s="39">
        <v>1120</v>
      </c>
      <c r="N467" s="39">
        <v>10000</v>
      </c>
      <c r="O467" s="47">
        <v>1</v>
      </c>
      <c r="P467" s="57"/>
      <c r="Q467" s="276">
        <f>IF(D467="","",IF(J467="リード付け",M467,VLOOKUP(D467,契約台帳!$A$3:$N$4986,14,FALSE)))</f>
        <v>1120</v>
      </c>
      <c r="R467" s="277">
        <f>IF(D467="","",IF(J467="リード付け",M467,VLOOKUP(D467,契約台帳!$A$3:$O$4986,15,FALSE)))</f>
        <v>1120</v>
      </c>
      <c r="S467" s="277">
        <f>IF(D467="","",IF(J467="リード付け",N467,VLOOKUP(D467,契約台帳!$A$3:$P$4986,16,FALSE)))</f>
        <v>5000</v>
      </c>
      <c r="T467" s="40">
        <v>1</v>
      </c>
      <c r="U467" s="302" t="str">
        <f ca="1">IF(D467="","",IF(OFFSET(D467,-2,0)=D467,"",VLOOKUP(D467,契約台帳!$A$3:$R$4986,18,FALSE)))</f>
        <v/>
      </c>
      <c r="V467" s="269" t="str">
        <f>IF(J467="巻返し",VLOOKUP(F467&amp;K467&amp;M467,製品マスタ!$M$5:$AD$5002,18,FALSE),IF(J467="リード付け","原反コア",IF(J467="スリット",VLOOKUP(F467&amp;K467&amp;Q467,製品マスタ!$N$5:$AD$5002,17,FALSE),"")))</f>
        <v>6ｲﾝﾁSｺｱ</v>
      </c>
      <c r="W467" s="269">
        <f>IF(J467="巻返し",VLOOKUP(F467&amp;K467&amp;M467,製品マスタ!$M$5:$AE$5002,19,FALSE),IF(J467="リード付け","-",IF(J467="スリット",VLOOKUP(F467&amp;K467&amp;Q467,製品マスタ!$N$5:$AE$5002,18,FALSE),"")))</f>
        <v>1125</v>
      </c>
      <c r="X467" s="275">
        <f>IF(D467="","",VLOOKUP(D467,契約台帳!$A$3:$Q$4986,17,FALSE))</f>
        <v>2</v>
      </c>
      <c r="Y467" s="269" t="str">
        <f>IF(D467="","",VLOOKUP(D467,契約台帳!$A$3:$E$4986,5,FALSE))</f>
        <v>リンテック㈱</v>
      </c>
      <c r="Z467" s="57">
        <v>45090</v>
      </c>
      <c r="AA467" s="303" t="str">
        <f>IFERROR(VLOOKUP(F467&amp;K467&amp;M467,製品マスタ!$M$5:$AM$5002,27,FALSE),"")</f>
        <v>原反ケース再利用</v>
      </c>
      <c r="AB467" s="33"/>
      <c r="AC467" s="189"/>
      <c r="AD467" s="54" t="str">
        <f>IF(F467="","",+F467&amp;K467)</f>
        <v>3SNMLBMNGTBF50</v>
      </c>
      <c r="AE467" s="55">
        <f>+M467*N467*O467/1000</f>
        <v>11200</v>
      </c>
      <c r="AF467" s="43">
        <f>IF(AD467="","",VLOOKUP(AD467,原価マスタ!$A$2:$AJ$1693,13,FALSE))</f>
        <v>99</v>
      </c>
      <c r="AG467" s="47">
        <f>IF(AF467="","",+AE467*AF467/100)</f>
        <v>11088</v>
      </c>
      <c r="AH467" s="30"/>
      <c r="AI467" s="30"/>
      <c r="AJ467" s="30"/>
      <c r="AK467" s="30"/>
      <c r="AL467" s="13"/>
      <c r="AM467" s="13"/>
      <c r="AN467" s="13"/>
      <c r="AO467" s="13"/>
      <c r="AP467" s="13"/>
      <c r="AQ467" s="14"/>
      <c r="AR467" s="15"/>
    </row>
    <row r="468" spans="1:44" s="17" customFormat="1" ht="30.95" hidden="1" customHeight="1" x14ac:dyDescent="0.2">
      <c r="A468" s="37"/>
      <c r="B468" s="38"/>
      <c r="C468" s="45"/>
      <c r="D468" s="31">
        <v>3708713</v>
      </c>
      <c r="E468" s="31"/>
      <c r="F468" s="268" t="str">
        <f>IF(D468="","",VLOOKUP(D468,契約台帳!$A$3:$K$4986,6,FALSE)&amp;VLOOKUP(D468,契約台帳!$A$3:$K$4986,7,FALSE)&amp;VLOOKUP(D468,契約台帳!$A$3:$K$4986,8,FALSE)&amp;VLOOKUP(D468,契約台帳!$A$3:$K$4986,9,FALSE)&amp;VLOOKUP(D468,契約台帳!$A$3:$K$4986,11,FALSE))</f>
        <v>3SNMLBMNGTBF</v>
      </c>
      <c r="G468" s="269" t="str">
        <f>IF(D468="","",VLOOKUP(F468,製品マスタ!$G$5:$H$5002,2,FALSE))</f>
        <v>S</v>
      </c>
      <c r="H468" s="269" t="str">
        <f>IF(D468="","",VLOOKUP(F468,製品マスタ!$G$5:$K$5002,5,FALSE))</f>
        <v>MNGTBF</v>
      </c>
      <c r="I468" s="270" t="str">
        <f>IF(D468="","",VLOOKUP(F468,製品マスタ!$G$5:$L$5002,6,FALSE))</f>
        <v>メタルミー　ネーマー　銀艶　Ｂ</v>
      </c>
      <c r="J468" s="32" t="s">
        <v>447</v>
      </c>
      <c r="K468" s="270">
        <f>IF(D468="","",VLOOKUP(D468,契約台帳!$A$3:$L$4986,12,FALSE))</f>
        <v>50</v>
      </c>
      <c r="L468" s="270" t="str">
        <f>IF(D468="","",INDEX(製品マスタ!$Q$5:$Q$5002,MATCH(F468&amp;K468,製品マスタ!$AO$5:$AO$5002,0)))</f>
        <v>T62</v>
      </c>
      <c r="M468" s="39">
        <v>1120</v>
      </c>
      <c r="N468" s="39"/>
      <c r="O468" s="47"/>
      <c r="P468" s="57"/>
      <c r="Q468" s="276">
        <f>IF(D468="","",IF(J468="リード付け",M468,VLOOKUP(D468,契約台帳!$A$3:$N$4986,14,FALSE)))</f>
        <v>1120</v>
      </c>
      <c r="R468" s="277">
        <f>IF(D468="","",IF(J468="リード付け",M468,VLOOKUP(D468,契約台帳!$A$3:$O$4986,15,FALSE)))</f>
        <v>1120</v>
      </c>
      <c r="S468" s="277">
        <f>IF(D468="","",IF(J468="リード付け",N468,VLOOKUP(D468,契約台帳!$A$3:$P$4986,16,FALSE)))</f>
        <v>5000</v>
      </c>
      <c r="T468" s="40">
        <v>1</v>
      </c>
      <c r="U468" s="302">
        <f ca="1">IF(D468="","",IF(OFFSET(D468,-2,0)=D468,"",VLOOKUP(D468,契約台帳!$A$3:$R$4986,18,FALSE)))</f>
        <v>1</v>
      </c>
      <c r="V468" s="269" t="str">
        <f>IF(J468="巻返し",VLOOKUP(F468&amp;K468&amp;M468,製品マスタ!$M$5:$AD$5002,18,FALSE),IF(J468="リード付け","原反コア",IF(J468="スリット",VLOOKUP(F468&amp;K468&amp;Q468,製品マスタ!$N$5:$AD$5002,17,FALSE),"")))</f>
        <v>6ｲﾝﾁSｺｱ</v>
      </c>
      <c r="W468" s="269">
        <f>IF(J468="巻返し",VLOOKUP(F468&amp;K468&amp;M468,製品マスタ!$M$5:$AE$5002,19,FALSE),IF(J468="リード付け","-",IF(J468="スリット",VLOOKUP(F468&amp;K468&amp;Q468,製品マスタ!$N$5:$AE$5002,18,FALSE),"")))</f>
        <v>1125</v>
      </c>
      <c r="X468" s="275">
        <f>IF(D468="","",VLOOKUP(D468,契約台帳!$A$3:$Q$4986,17,FALSE))</f>
        <v>2</v>
      </c>
      <c r="Y468" s="269" t="str">
        <f>IF(D468="","",VLOOKUP(D468,契約台帳!$A$3:$E$4986,5,FALSE))</f>
        <v>リンテック㈱</v>
      </c>
      <c r="Z468" s="57"/>
      <c r="AA468" s="303" t="str">
        <f>IFERROR(VLOOKUP(F468&amp;K468&amp;M468,製品マスタ!$M$5:$AM$5002,27,FALSE),"")</f>
        <v>原反ケース再利用</v>
      </c>
      <c r="AB468" s="33"/>
      <c r="AC468" s="189"/>
      <c r="AD468" s="54" t="str">
        <f>IF(F468="","",+F468&amp;K468)</f>
        <v>3SNMLBMNGTBF50</v>
      </c>
      <c r="AE468" s="55">
        <f>+M468*N468*O468/1000</f>
        <v>0</v>
      </c>
      <c r="AF468" s="43">
        <f>IF(AD468="","",VLOOKUP(AD468,原価マスタ!$A$2:$AJ$1693,13,FALSE))</f>
        <v>99</v>
      </c>
      <c r="AG468" s="47">
        <f>IF(AF468="","",+AE468*AF468/100)</f>
        <v>0</v>
      </c>
      <c r="AH468" s="30"/>
      <c r="AI468" s="30"/>
      <c r="AJ468" s="30"/>
      <c r="AK468" s="30"/>
      <c r="AL468" s="13"/>
      <c r="AM468" s="13"/>
      <c r="AN468" s="13"/>
      <c r="AO468" s="13"/>
      <c r="AP468" s="13"/>
      <c r="AQ468" s="14"/>
      <c r="AR468" s="15"/>
    </row>
    <row r="469" spans="1:44" s="17" customFormat="1" ht="30.95" hidden="1" customHeight="1" x14ac:dyDescent="0.2">
      <c r="A469" s="37" t="s">
        <v>1204</v>
      </c>
      <c r="B469" s="38" t="s">
        <v>1194</v>
      </c>
      <c r="C469" s="45"/>
      <c r="D469" s="31"/>
      <c r="E469" s="31"/>
      <c r="F469" s="268"/>
      <c r="G469" s="269"/>
      <c r="H469" s="269"/>
      <c r="I469" s="270"/>
      <c r="J469" s="32" t="s">
        <v>448</v>
      </c>
      <c r="K469" s="270"/>
      <c r="L469" s="270"/>
      <c r="M469" s="39"/>
      <c r="N469" s="39"/>
      <c r="O469" s="47"/>
      <c r="P469" s="57"/>
      <c r="Q469" s="276"/>
      <c r="R469" s="277"/>
      <c r="S469" s="277"/>
      <c r="T469" s="40"/>
      <c r="U469" s="278"/>
      <c r="V469" s="269"/>
      <c r="W469" s="269"/>
      <c r="X469" s="275"/>
      <c r="Y469" s="269"/>
      <c r="Z469" s="57"/>
      <c r="AA469" s="207"/>
      <c r="AB469" s="33"/>
      <c r="AC469" s="189"/>
      <c r="AD469" s="54"/>
      <c r="AE469" s="55"/>
      <c r="AF469" s="43"/>
      <c r="AG469" s="47"/>
      <c r="AH469" s="30"/>
      <c r="AI469" s="30"/>
      <c r="AJ469" s="30"/>
      <c r="AK469" s="30"/>
      <c r="AL469" s="13"/>
      <c r="AM469" s="13"/>
      <c r="AN469" s="13"/>
      <c r="AO469" s="13"/>
      <c r="AP469" s="13"/>
      <c r="AQ469" s="14"/>
      <c r="AR469" s="15"/>
    </row>
    <row r="470" spans="1:44" s="17" customFormat="1" ht="30.95" hidden="1" customHeight="1" x14ac:dyDescent="0.2">
      <c r="A470" s="37"/>
      <c r="B470" s="38"/>
      <c r="C470" s="45"/>
      <c r="D470" s="31"/>
      <c r="E470" s="31"/>
      <c r="F470" s="268"/>
      <c r="G470" s="269"/>
      <c r="H470" s="269"/>
      <c r="I470" s="270"/>
      <c r="J470" s="32"/>
      <c r="K470" s="270"/>
      <c r="L470" s="270"/>
      <c r="M470" s="39"/>
      <c r="N470" s="39"/>
      <c r="O470" s="47"/>
      <c r="P470" s="57"/>
      <c r="Q470" s="276"/>
      <c r="R470" s="277"/>
      <c r="S470" s="277"/>
      <c r="T470" s="40"/>
      <c r="U470" s="278"/>
      <c r="V470" s="269"/>
      <c r="W470" s="269"/>
      <c r="X470" s="275"/>
      <c r="Y470" s="269"/>
      <c r="Z470" s="57"/>
      <c r="AA470" s="207"/>
      <c r="AB470" s="33"/>
      <c r="AC470" s="189"/>
      <c r="AD470" s="54"/>
      <c r="AE470" s="55"/>
      <c r="AF470" s="43"/>
      <c r="AG470" s="47"/>
      <c r="AH470" s="30"/>
      <c r="AI470" s="30"/>
      <c r="AJ470" s="30"/>
      <c r="AK470" s="30"/>
      <c r="AL470" s="13"/>
      <c r="AM470" s="13"/>
      <c r="AN470" s="13"/>
      <c r="AO470" s="13"/>
      <c r="AP470" s="13"/>
      <c r="AQ470" s="14"/>
      <c r="AR470" s="15"/>
    </row>
    <row r="471" spans="1:44" s="17" customFormat="1" ht="30.95" hidden="1" customHeight="1" x14ac:dyDescent="0.2">
      <c r="A471" s="37" t="s">
        <v>1205</v>
      </c>
      <c r="B471" s="38" t="s">
        <v>1196</v>
      </c>
      <c r="C471" s="45"/>
      <c r="D471" s="31"/>
      <c r="E471" s="31"/>
      <c r="F471" s="268"/>
      <c r="G471" s="269"/>
      <c r="H471" s="269"/>
      <c r="I471" s="270"/>
      <c r="J471" s="32" t="s">
        <v>448</v>
      </c>
      <c r="K471" s="270"/>
      <c r="L471" s="270"/>
      <c r="M471" s="39"/>
      <c r="N471" s="39"/>
      <c r="O471" s="47"/>
      <c r="P471" s="57"/>
      <c r="Q471" s="276"/>
      <c r="R471" s="277"/>
      <c r="S471" s="277"/>
      <c r="T471" s="40"/>
      <c r="U471" s="278"/>
      <c r="V471" s="269"/>
      <c r="W471" s="269"/>
      <c r="X471" s="275"/>
      <c r="Y471" s="269"/>
      <c r="Z471" s="57"/>
      <c r="AA471" s="207"/>
      <c r="AB471" s="33"/>
      <c r="AC471" s="189"/>
      <c r="AD471" s="54"/>
      <c r="AE471" s="55"/>
      <c r="AF471" s="43"/>
      <c r="AG471" s="47"/>
      <c r="AH471" s="30"/>
      <c r="AI471" s="30"/>
      <c r="AJ471" s="30"/>
      <c r="AK471" s="30"/>
      <c r="AL471" s="13"/>
      <c r="AM471" s="13"/>
      <c r="AN471" s="13"/>
      <c r="AO471" s="13"/>
      <c r="AP471" s="13"/>
      <c r="AQ471" s="14"/>
      <c r="AR471" s="15"/>
    </row>
    <row r="472" spans="1:44" s="17" customFormat="1" ht="30.95" hidden="1" customHeight="1" x14ac:dyDescent="0.2">
      <c r="A472" s="37"/>
      <c r="B472" s="38"/>
      <c r="C472" s="45"/>
      <c r="D472" s="31"/>
      <c r="E472" s="31"/>
      <c r="F472" s="268"/>
      <c r="G472" s="269"/>
      <c r="H472" s="269"/>
      <c r="I472" s="270"/>
      <c r="J472" s="32"/>
      <c r="K472" s="270"/>
      <c r="L472" s="270"/>
      <c r="M472" s="39"/>
      <c r="N472" s="39"/>
      <c r="O472" s="47"/>
      <c r="P472" s="57"/>
      <c r="Q472" s="276"/>
      <c r="R472" s="277"/>
      <c r="S472" s="277"/>
      <c r="T472" s="40"/>
      <c r="U472" s="278"/>
      <c r="V472" s="269"/>
      <c r="W472" s="269"/>
      <c r="X472" s="275"/>
      <c r="Y472" s="269"/>
      <c r="Z472" s="57"/>
      <c r="AA472" s="207"/>
      <c r="AB472" s="33"/>
      <c r="AC472" s="189"/>
      <c r="AD472" s="54"/>
      <c r="AE472" s="55"/>
      <c r="AF472" s="43"/>
      <c r="AG472" s="47"/>
      <c r="AH472" s="30"/>
      <c r="AI472" s="30"/>
      <c r="AJ472" s="30"/>
      <c r="AK472" s="30"/>
      <c r="AL472" s="13"/>
      <c r="AM472" s="13"/>
      <c r="AN472" s="13"/>
      <c r="AO472" s="13"/>
      <c r="AP472" s="13"/>
      <c r="AQ472" s="14"/>
      <c r="AR472" s="15"/>
    </row>
    <row r="473" spans="1:44" s="17" customFormat="1" ht="30.95" hidden="1" customHeight="1" x14ac:dyDescent="0.2">
      <c r="A473" s="37" t="s">
        <v>1184</v>
      </c>
      <c r="B473" s="38" t="s">
        <v>462</v>
      </c>
      <c r="C473" s="45"/>
      <c r="D473" s="31">
        <v>3708712</v>
      </c>
      <c r="E473" s="31">
        <v>4151354</v>
      </c>
      <c r="F473" s="268" t="str">
        <f>IF(D473="","",VLOOKUP(D473,契約台帳!$A$3:$K$4986,6,FALSE)&amp;VLOOKUP(D473,契約台帳!$A$3:$K$4986,7,FALSE)&amp;VLOOKUP(D473,契約台帳!$A$3:$K$4986,8,FALSE)&amp;VLOOKUP(D473,契約台帳!$A$3:$K$4986,9,FALSE)&amp;VLOOKUP(D473,契約台帳!$A$3:$K$4986,11,FALSE))</f>
        <v>3SNMLBMNGTBF</v>
      </c>
      <c r="G473" s="269" t="str">
        <f>IF(D473="","",VLOOKUP(F473,製品マスタ!$G$5:$H$5002,2,FALSE))</f>
        <v>S</v>
      </c>
      <c r="H473" s="269" t="str">
        <f>IF(D473="","",VLOOKUP(F473,製品マスタ!$G$5:$K$5002,5,FALSE))</f>
        <v>MNGTBF</v>
      </c>
      <c r="I473" s="270" t="str">
        <f>IF(D473="","",VLOOKUP(F473,製品マスタ!$G$5:$L$5002,6,FALSE))</f>
        <v>メタルミー　ネーマー　銀艶　Ｂ</v>
      </c>
      <c r="J473" s="32" t="s">
        <v>447</v>
      </c>
      <c r="K473" s="270">
        <f>IF(D473="","",VLOOKUP(D473,契約台帳!$A$3:$L$4986,12,FALSE))</f>
        <v>50</v>
      </c>
      <c r="L473" s="270" t="str">
        <f>IF(D473="","",INDEX(製品マスタ!$Q$5:$Q$5002,MATCH(F473&amp;K473,製品マスタ!$AO$5:$AO$5002,0)))</f>
        <v>T62</v>
      </c>
      <c r="M473" s="39">
        <v>1120</v>
      </c>
      <c r="N473" s="39">
        <v>10000</v>
      </c>
      <c r="O473" s="47">
        <v>4</v>
      </c>
      <c r="P473" s="57"/>
      <c r="Q473" s="276">
        <f>IF(D473="","",IF(J473="リード付け",M473,VLOOKUP(D473,契約台帳!$A$3:$N$4986,14,FALSE)))</f>
        <v>1120</v>
      </c>
      <c r="R473" s="277">
        <f>IF(D473="","",IF(J473="リード付け",M473,VLOOKUP(D473,契約台帳!$A$3:$O$4986,15,FALSE)))</f>
        <v>1120</v>
      </c>
      <c r="S473" s="277">
        <f>IF(D473="","",IF(J473="リード付け",N473,VLOOKUP(D473,契約台帳!$A$3:$P$4986,16,FALSE)))</f>
        <v>5000</v>
      </c>
      <c r="T473" s="40">
        <v>8</v>
      </c>
      <c r="U473" s="302">
        <f ca="1">IF(D473="","",IF(OFFSET(D473,-2,0)=D473,"",VLOOKUP(D473,契約台帳!$A$3:$R$4986,18,FALSE)))</f>
        <v>14</v>
      </c>
      <c r="V473" s="269" t="str">
        <f>IF(J473="巻返し",VLOOKUP(F473&amp;K473&amp;M473,製品マスタ!$M$5:$AD$5002,18,FALSE),IF(J473="リード付け","原反コア",IF(J473="スリット",VLOOKUP(F473&amp;K473&amp;Q473,製品マスタ!$N$5:$AD$5002,17,FALSE),"")))</f>
        <v>6ｲﾝﾁSｺｱ</v>
      </c>
      <c r="W473" s="269">
        <f>IF(J473="巻返し",VLOOKUP(F473&amp;K473&amp;M473,製品マスタ!$M$5:$AE$5002,19,FALSE),IF(J473="リード付け","-",IF(J473="スリット",VLOOKUP(F473&amp;K473&amp;Q473,製品マスタ!$N$5:$AE$5002,18,FALSE),"")))</f>
        <v>1125</v>
      </c>
      <c r="X473" s="275">
        <f>IF(D473="","",VLOOKUP(D473,契約台帳!$A$3:$Q$4986,17,FALSE))</f>
        <v>2</v>
      </c>
      <c r="Y473" s="269" t="str">
        <f>IF(D473="","",VLOOKUP(D473,契約台帳!$A$3:$E$4986,5,FALSE))</f>
        <v>リンテック㈱</v>
      </c>
      <c r="Z473" s="57">
        <v>45091</v>
      </c>
      <c r="AA473" s="303" t="str">
        <f>IFERROR(VLOOKUP(F473&amp;K473&amp;M473,製品マスタ!$M$5:$AM$5002,27,FALSE),"")</f>
        <v>原反ケース再利用</v>
      </c>
      <c r="AB473" s="33"/>
      <c r="AC473" s="189"/>
      <c r="AD473" s="54" t="str">
        <f>IF(F473="","",+F473&amp;K473)</f>
        <v>3SNMLBMNGTBF50</v>
      </c>
      <c r="AE473" s="55">
        <f>+M473*N473*O473/1000</f>
        <v>44800</v>
      </c>
      <c r="AF473" s="43">
        <f>IF(AD473="","",VLOOKUP(AD473,原価マスタ!$A$2:$AJ$1693,13,FALSE))</f>
        <v>99</v>
      </c>
      <c r="AG473" s="47">
        <f>IF(AF473="","",+AE473*AF473/100)</f>
        <v>44352</v>
      </c>
      <c r="AH473" s="30"/>
      <c r="AI473" s="30"/>
      <c r="AJ473" s="30"/>
      <c r="AK473" s="30"/>
      <c r="AL473" s="13"/>
      <c r="AM473" s="13"/>
      <c r="AN473" s="13"/>
      <c r="AO473" s="13"/>
      <c r="AP473" s="13"/>
      <c r="AQ473" s="14"/>
      <c r="AR473" s="15"/>
    </row>
    <row r="474" spans="1:44" s="17" customFormat="1" ht="30.95" hidden="1" customHeight="1" x14ac:dyDescent="0.2">
      <c r="A474" s="37"/>
      <c r="B474" s="38"/>
      <c r="C474" s="45"/>
      <c r="D474" s="31"/>
      <c r="E474" s="31"/>
      <c r="F474" s="268"/>
      <c r="G474" s="269"/>
      <c r="H474" s="269"/>
      <c r="I474" s="270"/>
      <c r="J474" s="32"/>
      <c r="K474" s="270"/>
      <c r="L474" s="270"/>
      <c r="M474" s="39"/>
      <c r="N474" s="39"/>
      <c r="O474" s="47"/>
      <c r="P474" s="57"/>
      <c r="Q474" s="276"/>
      <c r="R474" s="277"/>
      <c r="S474" s="277"/>
      <c r="T474" s="40"/>
      <c r="U474" s="278"/>
      <c r="V474" s="269"/>
      <c r="W474" s="269"/>
      <c r="X474" s="275"/>
      <c r="Y474" s="269"/>
      <c r="Z474" s="57"/>
      <c r="AA474" s="207"/>
      <c r="AB474" s="33"/>
      <c r="AC474" s="189"/>
      <c r="AD474" s="54"/>
      <c r="AE474" s="55"/>
      <c r="AF474" s="43"/>
      <c r="AG474" s="47"/>
      <c r="AH474" s="30"/>
      <c r="AI474" s="30"/>
      <c r="AJ474" s="30"/>
      <c r="AK474" s="30"/>
      <c r="AL474" s="13"/>
      <c r="AM474" s="13"/>
      <c r="AN474" s="13"/>
      <c r="AO474" s="13"/>
      <c r="AP474" s="13"/>
      <c r="AQ474" s="14"/>
      <c r="AR474" s="15"/>
    </row>
    <row r="475" spans="1:44" s="17" customFormat="1" ht="30.95" hidden="1" customHeight="1" x14ac:dyDescent="0.2">
      <c r="A475" s="37" t="s">
        <v>1206</v>
      </c>
      <c r="B475" s="38" t="s">
        <v>688</v>
      </c>
      <c r="C475" s="45"/>
      <c r="D475" s="31">
        <v>3708712</v>
      </c>
      <c r="E475" s="31">
        <v>4151354</v>
      </c>
      <c r="F475" s="268" t="str">
        <f>IF(D475="","",VLOOKUP(D475,契約台帳!$A$3:$K$4986,6,FALSE)&amp;VLOOKUP(D475,契約台帳!$A$3:$K$4986,7,FALSE)&amp;VLOOKUP(D475,契約台帳!$A$3:$K$4986,8,FALSE)&amp;VLOOKUP(D475,契約台帳!$A$3:$K$4986,9,FALSE)&amp;VLOOKUP(D475,契約台帳!$A$3:$K$4986,11,FALSE))</f>
        <v>3SNMLBMNGTBF</v>
      </c>
      <c r="G475" s="269" t="str">
        <f>IF(D475="","",VLOOKUP(F475,製品マスタ!$G$5:$H$5002,2,FALSE))</f>
        <v>S</v>
      </c>
      <c r="H475" s="269" t="str">
        <f>IF(D475="","",VLOOKUP(F475,製品マスタ!$G$5:$K$5002,5,FALSE))</f>
        <v>MNGTBF</v>
      </c>
      <c r="I475" s="270" t="str">
        <f>IF(D475="","",VLOOKUP(F475,製品マスタ!$G$5:$L$5002,6,FALSE))</f>
        <v>メタルミー　ネーマー　銀艶　Ｂ</v>
      </c>
      <c r="J475" s="32" t="s">
        <v>447</v>
      </c>
      <c r="K475" s="270">
        <f>IF(D475="","",VLOOKUP(D475,契約台帳!$A$3:$L$4986,12,FALSE))</f>
        <v>50</v>
      </c>
      <c r="L475" s="270" t="str">
        <f>IF(D475="","",INDEX(製品マスタ!$Q$5:$Q$5002,MATCH(F475&amp;K475,製品マスタ!$AO$5:$AO$5002,0)))</f>
        <v>T62</v>
      </c>
      <c r="M475" s="39">
        <v>1120</v>
      </c>
      <c r="N475" s="39">
        <v>10000</v>
      </c>
      <c r="O475" s="47">
        <v>3</v>
      </c>
      <c r="P475" s="57"/>
      <c r="Q475" s="276">
        <f>IF(D475="","",IF(J475="リード付け",M475,VLOOKUP(D475,契約台帳!$A$3:$N$4986,14,FALSE)))</f>
        <v>1120</v>
      </c>
      <c r="R475" s="277">
        <f>IF(D475="","",IF(J475="リード付け",M475,VLOOKUP(D475,契約台帳!$A$3:$O$4986,15,FALSE)))</f>
        <v>1120</v>
      </c>
      <c r="S475" s="277">
        <f>IF(D475="","",IF(J475="リード付け",N475,VLOOKUP(D475,契約台帳!$A$3:$P$4986,16,FALSE)))</f>
        <v>5000</v>
      </c>
      <c r="T475" s="40">
        <v>6</v>
      </c>
      <c r="U475" s="302" t="str">
        <f ca="1">IF(D475="","",IF(OFFSET(D475,-2,0)=D475,"",VLOOKUP(D475,契約台帳!$A$3:$R$4986,18,FALSE)))</f>
        <v/>
      </c>
      <c r="V475" s="269" t="str">
        <f>IF(J475="巻返し",VLOOKUP(F475&amp;K475&amp;M475,製品マスタ!$M$5:$AD$5002,18,FALSE),IF(J475="リード付け","原反コア",IF(J475="スリット",VLOOKUP(F475&amp;K475&amp;Q475,製品マスタ!$N$5:$AD$5002,17,FALSE),"")))</f>
        <v>6ｲﾝﾁSｺｱ</v>
      </c>
      <c r="W475" s="269">
        <f>IF(J475="巻返し",VLOOKUP(F475&amp;K475&amp;M475,製品マスタ!$M$5:$AE$5002,19,FALSE),IF(J475="リード付け","-",IF(J475="スリット",VLOOKUP(F475&amp;K475&amp;Q475,製品マスタ!$N$5:$AE$5002,18,FALSE),"")))</f>
        <v>1125</v>
      </c>
      <c r="X475" s="275">
        <f>IF(D475="","",VLOOKUP(D475,契約台帳!$A$3:$Q$4986,17,FALSE))</f>
        <v>2</v>
      </c>
      <c r="Y475" s="269" t="str">
        <f>IF(D475="","",VLOOKUP(D475,契約台帳!$A$3:$E$4986,5,FALSE))</f>
        <v>リンテック㈱</v>
      </c>
      <c r="Z475" s="57">
        <v>45092</v>
      </c>
      <c r="AA475" s="303" t="str">
        <f>IFERROR(VLOOKUP(F475&amp;K475&amp;M475,製品マスタ!$M$5:$AM$5002,27,FALSE),"")</f>
        <v>原反ケース再利用</v>
      </c>
      <c r="AB475" s="33"/>
      <c r="AC475" s="189"/>
      <c r="AD475" s="54" t="str">
        <f>IF(F475="","",+F475&amp;K475)</f>
        <v>3SNMLBMNGTBF50</v>
      </c>
      <c r="AE475" s="55">
        <f>+M475*N475*O475/1000</f>
        <v>33600</v>
      </c>
      <c r="AF475" s="43">
        <f>IF(AD475="","",VLOOKUP(AD475,原価マスタ!$A$2:$AJ$1693,13,FALSE))</f>
        <v>99</v>
      </c>
      <c r="AG475" s="47">
        <f>IF(AF475="","",+AE475*AF475/100)</f>
        <v>33264</v>
      </c>
      <c r="AH475" s="30"/>
      <c r="AI475" s="30"/>
      <c r="AJ475" s="30"/>
      <c r="AK475" s="30"/>
      <c r="AL475" s="13"/>
      <c r="AM475" s="13"/>
      <c r="AN475" s="13"/>
      <c r="AO475" s="13"/>
      <c r="AP475" s="13"/>
      <c r="AQ475" s="14"/>
      <c r="AR475" s="15"/>
    </row>
    <row r="476" spans="1:44" s="17" customFormat="1" ht="30.95" hidden="1" customHeight="1" x14ac:dyDescent="0.2">
      <c r="A476" s="37"/>
      <c r="B476" s="38"/>
      <c r="C476" s="45"/>
      <c r="D476" s="31"/>
      <c r="E476" s="31"/>
      <c r="F476" s="268"/>
      <c r="G476" s="269"/>
      <c r="H476" s="269"/>
      <c r="I476" s="270"/>
      <c r="J476" s="32"/>
      <c r="K476" s="270"/>
      <c r="L476" s="270"/>
      <c r="M476" s="39"/>
      <c r="N476" s="39"/>
      <c r="O476" s="47"/>
      <c r="P476" s="57"/>
      <c r="Q476" s="276"/>
      <c r="R476" s="277"/>
      <c r="S476" s="277"/>
      <c r="T476" s="40"/>
      <c r="U476" s="278"/>
      <c r="V476" s="269"/>
      <c r="W476" s="269"/>
      <c r="X476" s="275"/>
      <c r="Y476" s="269"/>
      <c r="Z476" s="57"/>
      <c r="AA476" s="207"/>
      <c r="AB476" s="33"/>
      <c r="AC476" s="189"/>
      <c r="AD476" s="54"/>
      <c r="AE476" s="55"/>
      <c r="AF476" s="43"/>
      <c r="AG476" s="47"/>
      <c r="AH476" s="30"/>
      <c r="AI476" s="30"/>
      <c r="AJ476" s="30"/>
      <c r="AK476" s="30"/>
      <c r="AL476" s="13"/>
      <c r="AM476" s="13"/>
      <c r="AN476" s="13"/>
      <c r="AO476" s="13"/>
      <c r="AP476" s="13"/>
      <c r="AQ476" s="14"/>
      <c r="AR476" s="15"/>
    </row>
    <row r="477" spans="1:44" s="17" customFormat="1" ht="30.95" hidden="1" customHeight="1" x14ac:dyDescent="0.2">
      <c r="A477" s="37"/>
      <c r="B477" s="38"/>
      <c r="C477" s="45"/>
      <c r="D477" s="31">
        <v>3712105</v>
      </c>
      <c r="E477" s="31">
        <v>4151379</v>
      </c>
      <c r="F477" s="268" t="str">
        <f>IF(D477="","",VLOOKUP(D477,契約台帳!$A$3:$K$4986,6,FALSE)&amp;VLOOKUP(D477,契約台帳!$A$3:$K$4986,7,FALSE)&amp;VLOOKUP(D477,契約台帳!$A$3:$K$4986,8,FALSE)&amp;VLOOKUP(D477,契約台帳!$A$3:$K$4986,9,FALSE)&amp;VLOOKUP(D477,契約台帳!$A$3:$K$4986,11,FALSE))</f>
        <v>3SNMLBMNGTBF</v>
      </c>
      <c r="G477" s="269" t="str">
        <f>IF(D477="","",VLOOKUP(F477,製品マスタ!$G$5:$H$5002,2,FALSE))</f>
        <v>S</v>
      </c>
      <c r="H477" s="269" t="str">
        <f>IF(D477="","",VLOOKUP(F477,製品マスタ!$G$5:$K$5002,5,FALSE))</f>
        <v>MNGTBF</v>
      </c>
      <c r="I477" s="270" t="str">
        <f>IF(D477="","",VLOOKUP(F477,製品マスタ!$G$5:$L$5002,6,FALSE))</f>
        <v>メタルミー　ネーマー　銀艶　Ｂ</v>
      </c>
      <c r="J477" s="32" t="s">
        <v>447</v>
      </c>
      <c r="K477" s="270">
        <f>IF(D477="","",VLOOKUP(D477,契約台帳!$A$3:$L$4986,12,FALSE))</f>
        <v>50</v>
      </c>
      <c r="L477" s="270" t="str">
        <f>IF(D477="","",INDEX(製品マスタ!$Q$5:$Q$5002,MATCH(F477&amp;K477,製品マスタ!$AO$5:$AO$5002,0)))</f>
        <v>T62</v>
      </c>
      <c r="M477" s="39">
        <v>1120</v>
      </c>
      <c r="N477" s="39">
        <v>10000</v>
      </c>
      <c r="O477" s="47">
        <v>3</v>
      </c>
      <c r="P477" s="57"/>
      <c r="Q477" s="276">
        <f>IF(D477="","",IF(J477="リード付け",M477,VLOOKUP(D477,契約台帳!$A$3:$N$4986,14,FALSE)))</f>
        <v>1120</v>
      </c>
      <c r="R477" s="277">
        <f>IF(D477="","",IF(J477="リード付け",M477,VLOOKUP(D477,契約台帳!$A$3:$O$4986,15,FALSE)))</f>
        <v>1120</v>
      </c>
      <c r="S477" s="277">
        <f>IF(D477="","",IF(J477="リード付け",N477,VLOOKUP(D477,契約台帳!$A$3:$P$4986,16,FALSE)))</f>
        <v>5000</v>
      </c>
      <c r="T477" s="40">
        <v>6</v>
      </c>
      <c r="U477" s="302">
        <f ca="1">IF(D477="","",IF(OFFSET(D477,-2,0)=D477,"",VLOOKUP(D477,契約台帳!$A$3:$R$4986,18,FALSE)))</f>
        <v>15</v>
      </c>
      <c r="V477" s="269" t="str">
        <f>IF(J477="巻返し",VLOOKUP(F477&amp;K477&amp;M477,製品マスタ!$M$5:$AD$5002,18,FALSE),IF(J477="リード付け","原反コア",IF(J477="スリット",VLOOKUP(F477&amp;K477&amp;Q477,製品マスタ!$N$5:$AD$5002,17,FALSE),"")))</f>
        <v>6ｲﾝﾁSｺｱ</v>
      </c>
      <c r="W477" s="269">
        <f>IF(J477="巻返し",VLOOKUP(F477&amp;K477&amp;M477,製品マスタ!$M$5:$AE$5002,19,FALSE),IF(J477="リード付け","-",IF(J477="スリット",VLOOKUP(F477&amp;K477&amp;Q477,製品マスタ!$N$5:$AE$5002,18,FALSE),"")))</f>
        <v>1125</v>
      </c>
      <c r="X477" s="275">
        <f>IF(D477="","",VLOOKUP(D477,契約台帳!$A$3:$Q$4986,17,FALSE))</f>
        <v>2</v>
      </c>
      <c r="Y477" s="269" t="str">
        <f>IF(D477="","",VLOOKUP(D477,契約台帳!$A$3:$E$4986,5,FALSE))</f>
        <v>リンテック㈱</v>
      </c>
      <c r="Z477" s="57">
        <v>45092</v>
      </c>
      <c r="AA477" s="303" t="str">
        <f>IFERROR(VLOOKUP(F477&amp;K477&amp;M477,製品マスタ!$M$5:$AM$5002,27,FALSE),"")</f>
        <v>原反ケース再利用</v>
      </c>
      <c r="AB477" s="33"/>
      <c r="AC477" s="189"/>
      <c r="AD477" s="54" t="str">
        <f>IF(F477="","",+F477&amp;K477)</f>
        <v>3SNMLBMNGTBF50</v>
      </c>
      <c r="AE477" s="55">
        <f>+M477*N477*O477/1000</f>
        <v>33600</v>
      </c>
      <c r="AF477" s="43">
        <f>IF(AD477="","",VLOOKUP(AD477,原価マスタ!$A$2:$AJ$1693,13,FALSE))</f>
        <v>99</v>
      </c>
      <c r="AG477" s="47">
        <f>IF(AF477="","",+AE477*AF477/100)</f>
        <v>33264</v>
      </c>
      <c r="AH477" s="30"/>
      <c r="AI477" s="30"/>
      <c r="AJ477" s="30"/>
      <c r="AK477" s="30"/>
      <c r="AL477" s="13"/>
      <c r="AM477" s="13"/>
      <c r="AN477" s="13"/>
      <c r="AO477" s="13"/>
      <c r="AP477" s="13"/>
      <c r="AQ477" s="14"/>
      <c r="AR477" s="15"/>
    </row>
    <row r="478" spans="1:44" s="17" customFormat="1" ht="30.95" hidden="1" customHeight="1" x14ac:dyDescent="0.2">
      <c r="A478" s="37"/>
      <c r="B478" s="38"/>
      <c r="C478" s="45"/>
      <c r="D478" s="31"/>
      <c r="E478" s="31"/>
      <c r="F478" s="268" t="str">
        <f>IF(D478="","",VLOOKUP(D478,契約台帳!$A$3:$K$4986,6,FALSE)&amp;VLOOKUP(D478,契約台帳!$A$3:$K$4986,7,FALSE)&amp;VLOOKUP(D478,契約台帳!$A$3:$K$4986,8,FALSE)&amp;VLOOKUP(D478,契約台帳!$A$3:$K$4986,9,FALSE)&amp;VLOOKUP(D478,契約台帳!$A$3:$K$4986,11,FALSE))</f>
        <v/>
      </c>
      <c r="G478" s="269" t="str">
        <f>IF(D478="","",VLOOKUP(F478,製品マスタ!$G$5:$H$5002,2,FALSE))</f>
        <v/>
      </c>
      <c r="H478" s="269" t="str">
        <f>IF(D478="","",VLOOKUP(F478,製品マスタ!$G$5:$K$5002,5,FALSE))</f>
        <v/>
      </c>
      <c r="I478" s="270" t="str">
        <f>IF(D478="","",VLOOKUP(F478,製品マスタ!$G$5:$L$5002,6,FALSE))</f>
        <v/>
      </c>
      <c r="J478" s="32"/>
      <c r="K478" s="270" t="str">
        <f>IF(D478="","",VLOOKUP(D478,契約台帳!$A$3:$L$4986,12,FALSE))</f>
        <v/>
      </c>
      <c r="L478" s="270" t="str">
        <f>IF(D478="","",INDEX(製品マスタ!$Q$5:$Q$5002,MATCH(F478&amp;K478,製品マスタ!$AO$5:$AO$5002,0)))</f>
        <v/>
      </c>
      <c r="M478" s="39"/>
      <c r="N478" s="39"/>
      <c r="O478" s="47"/>
      <c r="P478" s="57"/>
      <c r="Q478" s="276" t="str">
        <f>IF(D478="","",IF(J478="リード付け",M478,VLOOKUP(D478,契約台帳!$A$3:$N$4986,14,FALSE)))</f>
        <v/>
      </c>
      <c r="R478" s="277" t="str">
        <f>IF(D478="","",IF(J478="リード付け",M478,VLOOKUP(D478,契約台帳!$A$3:$O$4986,15,FALSE)))</f>
        <v/>
      </c>
      <c r="S478" s="277" t="str">
        <f>IF(D478="","",IF(J478="リード付け",N478,VLOOKUP(D478,契約台帳!$A$3:$P$4986,16,FALSE)))</f>
        <v/>
      </c>
      <c r="T478" s="40"/>
      <c r="U478" s="278" t="str">
        <f ca="1">IF(D478="","",IF(OFFSET(D478,-2,0)=D478,"",VLOOKUP(D478,契約台帳!$A$3:$R$4986,18,FALSE)))</f>
        <v/>
      </c>
      <c r="V478" s="269" t="str">
        <f>IF(J478="巻返し",VLOOKUP(F478&amp;K478&amp;M478,製品マスタ!$M$5:$AD$5002,18,FALSE),IF(J478="リード付け","原反コア",IF(J478="スリット",VLOOKUP(F478&amp;K478&amp;Q478,製品マスタ!$N$5:$AD$5002,17,FALSE),"")))</f>
        <v/>
      </c>
      <c r="W478" s="269" t="str">
        <f>IF(J478="巻返し",VLOOKUP(F478&amp;K478&amp;M478,製品マスタ!$M$5:$AE$5002,19,FALSE),IF(J478="リード付け","-",IF(J478="スリット",VLOOKUP(F478&amp;K478&amp;Q478,製品マスタ!$N$5:$AE$5002,18,FALSE),"")))</f>
        <v/>
      </c>
      <c r="X478" s="275" t="str">
        <f>IF(D478="","",VLOOKUP(D478,契約台帳!$A$3:$Q$4986,17,FALSE))</f>
        <v/>
      </c>
      <c r="Y478" s="269" t="str">
        <f>IF(D478="","",VLOOKUP(D478,契約台帳!$A$3:$E$4986,5,FALSE))</f>
        <v/>
      </c>
      <c r="Z478" s="57"/>
      <c r="AA478" s="207" t="str">
        <f>IFERROR(VLOOKUP(F478&amp;K478&amp;M478,製品マスタ!$M$5:$AM$5002,27,FALSE),"")</f>
        <v/>
      </c>
      <c r="AB478" s="33"/>
      <c r="AC478" s="189"/>
      <c r="AD478" s="54"/>
      <c r="AE478" s="55"/>
      <c r="AF478" s="43"/>
      <c r="AG478" s="47"/>
      <c r="AH478" s="30"/>
      <c r="AI478" s="30"/>
      <c r="AJ478" s="30"/>
      <c r="AK478" s="30"/>
      <c r="AL478" s="13"/>
      <c r="AM478" s="13"/>
      <c r="AN478" s="13"/>
      <c r="AO478" s="13"/>
      <c r="AP478" s="13"/>
      <c r="AQ478" s="14"/>
      <c r="AR478" s="15"/>
    </row>
    <row r="479" spans="1:44" s="17" customFormat="1" ht="30.95" hidden="1" customHeight="1" x14ac:dyDescent="0.2">
      <c r="A479" s="37" t="s">
        <v>1207</v>
      </c>
      <c r="B479" s="38" t="s">
        <v>442</v>
      </c>
      <c r="C479" s="45"/>
      <c r="D479" s="31">
        <v>3712105</v>
      </c>
      <c r="E479" s="31">
        <v>4151379</v>
      </c>
      <c r="F479" s="268" t="str">
        <f>IF(D479="","",VLOOKUP(D479,契約台帳!$A$3:$K$4986,6,FALSE)&amp;VLOOKUP(D479,契約台帳!$A$3:$K$4986,7,FALSE)&amp;VLOOKUP(D479,契約台帳!$A$3:$K$4986,8,FALSE)&amp;VLOOKUP(D479,契約台帳!$A$3:$K$4986,9,FALSE)&amp;VLOOKUP(D479,契約台帳!$A$3:$K$4986,11,FALSE))</f>
        <v>3SNMLBMNGTBF</v>
      </c>
      <c r="G479" s="269" t="str">
        <f>IF(D479="","",VLOOKUP(F479,製品マスタ!$G$5:$H$5002,2,FALSE))</f>
        <v>S</v>
      </c>
      <c r="H479" s="269" t="str">
        <f>IF(D479="","",VLOOKUP(F479,製品マスタ!$G$5:$K$5002,5,FALSE))</f>
        <v>MNGTBF</v>
      </c>
      <c r="I479" s="270" t="str">
        <f>IF(D479="","",VLOOKUP(F479,製品マスタ!$G$5:$L$5002,6,FALSE))</f>
        <v>メタルミー　ネーマー　銀艶　Ｂ</v>
      </c>
      <c r="J479" s="32" t="s">
        <v>447</v>
      </c>
      <c r="K479" s="270">
        <f>IF(D479="","",VLOOKUP(D479,契約台帳!$A$3:$L$4986,12,FALSE))</f>
        <v>50</v>
      </c>
      <c r="L479" s="270" t="str">
        <f>IF(D479="","",INDEX(製品マスタ!$Q$5:$Q$5002,MATCH(F479&amp;K479,製品マスタ!$AO$5:$AO$5002,0)))</f>
        <v>T62</v>
      </c>
      <c r="M479" s="39">
        <v>1120</v>
      </c>
      <c r="N479" s="39">
        <v>10000</v>
      </c>
      <c r="O479" s="47">
        <v>4</v>
      </c>
      <c r="P479" s="57"/>
      <c r="Q479" s="276">
        <f>IF(D479="","",IF(J479="リード付け",M479,VLOOKUP(D479,契約台帳!$A$3:$N$4986,14,FALSE)))</f>
        <v>1120</v>
      </c>
      <c r="R479" s="277">
        <f>IF(D479="","",IF(J479="リード付け",M479,VLOOKUP(D479,契約台帳!$A$3:$O$4986,15,FALSE)))</f>
        <v>1120</v>
      </c>
      <c r="S479" s="277">
        <f>IF(D479="","",IF(J479="リード付け",N479,VLOOKUP(D479,契約台帳!$A$3:$P$4986,16,FALSE)))</f>
        <v>5000</v>
      </c>
      <c r="T479" s="40">
        <v>8</v>
      </c>
      <c r="U479" s="302" t="str">
        <f ca="1">IF(D479="","",IF(OFFSET(D479,-2,0)=D479,"",VLOOKUP(D479,契約台帳!$A$3:$R$4986,18,FALSE)))</f>
        <v/>
      </c>
      <c r="V479" s="269" t="str">
        <f>IF(J479="巻返し",VLOOKUP(F479&amp;K479&amp;M479,製品マスタ!$M$5:$AD$5002,18,FALSE),IF(J479="リード付け","原反コア",IF(J479="スリット",VLOOKUP(F479&amp;K479&amp;Q479,製品マスタ!$N$5:$AD$5002,17,FALSE),"")))</f>
        <v>6ｲﾝﾁSｺｱ</v>
      </c>
      <c r="W479" s="269">
        <f>IF(J479="巻返し",VLOOKUP(F479&amp;K479&amp;M479,製品マスタ!$M$5:$AE$5002,19,FALSE),IF(J479="リード付け","-",IF(J479="スリット",VLOOKUP(F479&amp;K479&amp;Q479,製品マスタ!$N$5:$AE$5002,18,FALSE),"")))</f>
        <v>1125</v>
      </c>
      <c r="X479" s="275">
        <f>IF(D479="","",VLOOKUP(D479,契約台帳!$A$3:$Q$4986,17,FALSE))</f>
        <v>2</v>
      </c>
      <c r="Y479" s="269" t="str">
        <f>IF(D479="","",VLOOKUP(D479,契約台帳!$A$3:$E$4986,5,FALSE))</f>
        <v>リンテック㈱</v>
      </c>
      <c r="Z479" s="57">
        <v>45093</v>
      </c>
      <c r="AA479" s="303" t="str">
        <f>IFERROR(VLOOKUP(F479&amp;K479&amp;M479,製品マスタ!$M$5:$AM$5002,27,FALSE),"")</f>
        <v>原反ケース再利用</v>
      </c>
      <c r="AB479" s="33"/>
      <c r="AC479" s="189"/>
      <c r="AD479" s="54" t="str">
        <f>IF(F479="","",+F479&amp;K479)</f>
        <v>3SNMLBMNGTBF50</v>
      </c>
      <c r="AE479" s="55">
        <f>+M479*N479*O479/1000</f>
        <v>44800</v>
      </c>
      <c r="AF479" s="43">
        <f>IF(AD479="","",VLOOKUP(AD479,原価マスタ!$A$2:$AJ$1693,13,FALSE))</f>
        <v>99</v>
      </c>
      <c r="AG479" s="47">
        <f>IF(AF479="","",+AE479*AF479/100)</f>
        <v>44352</v>
      </c>
      <c r="AH479" s="30"/>
      <c r="AI479" s="30"/>
      <c r="AJ479" s="30"/>
      <c r="AK479" s="30"/>
      <c r="AL479" s="13"/>
      <c r="AM479" s="13"/>
      <c r="AN479" s="13"/>
      <c r="AO479" s="13"/>
      <c r="AP479" s="13"/>
      <c r="AQ479" s="14"/>
      <c r="AR479" s="15"/>
    </row>
    <row r="480" spans="1:44" s="17" customFormat="1" ht="30.95" hidden="1" customHeight="1" x14ac:dyDescent="0.2">
      <c r="A480" s="37"/>
      <c r="B480" s="38"/>
      <c r="C480" s="45"/>
      <c r="D480" s="31"/>
      <c r="E480" s="31"/>
      <c r="F480" s="268"/>
      <c r="G480" s="269"/>
      <c r="H480" s="269"/>
      <c r="I480" s="270"/>
      <c r="J480" s="32"/>
      <c r="K480" s="270"/>
      <c r="L480" s="270"/>
      <c r="M480" s="39"/>
      <c r="N480" s="39"/>
      <c r="O480" s="47"/>
      <c r="P480" s="57"/>
      <c r="Q480" s="276"/>
      <c r="R480" s="277"/>
      <c r="S480" s="277"/>
      <c r="T480" s="40"/>
      <c r="U480" s="278"/>
      <c r="V480" s="269"/>
      <c r="W480" s="269"/>
      <c r="X480" s="275"/>
      <c r="Y480" s="269"/>
      <c r="Z480" s="57"/>
      <c r="AA480" s="207"/>
      <c r="AB480" s="33"/>
      <c r="AC480" s="189"/>
      <c r="AD480" s="54"/>
      <c r="AE480" s="55"/>
      <c r="AF480" s="43"/>
      <c r="AG480" s="47"/>
      <c r="AH480" s="30"/>
      <c r="AI480" s="30"/>
      <c r="AJ480" s="30"/>
      <c r="AK480" s="30"/>
      <c r="AL480" s="13"/>
      <c r="AM480" s="13"/>
      <c r="AN480" s="13"/>
      <c r="AO480" s="13"/>
      <c r="AP480" s="13"/>
      <c r="AQ480" s="14"/>
      <c r="AR480" s="15"/>
    </row>
    <row r="481" spans="1:44" s="17" customFormat="1" ht="30.95" hidden="1" customHeight="1" x14ac:dyDescent="0.2">
      <c r="A481" s="37"/>
      <c r="B481" s="38"/>
      <c r="C481" s="45"/>
      <c r="D481" s="31">
        <v>3712105</v>
      </c>
      <c r="E481" s="31">
        <v>4151379</v>
      </c>
      <c r="F481" s="268" t="str">
        <f>IF(D481="","",VLOOKUP(D481,契約台帳!$A$3:$K$4986,6,FALSE)&amp;VLOOKUP(D481,契約台帳!$A$3:$K$4986,7,FALSE)&amp;VLOOKUP(D481,契約台帳!$A$3:$K$4986,8,FALSE)&amp;VLOOKUP(D481,契約台帳!$A$3:$K$4986,9,FALSE)&amp;VLOOKUP(D481,契約台帳!$A$3:$K$4986,11,FALSE))</f>
        <v>3SNMLBMNGTBF</v>
      </c>
      <c r="G481" s="269" t="str">
        <f>IF(D481="","",VLOOKUP(F481,製品マスタ!$G$5:$H$5002,2,FALSE))</f>
        <v>S</v>
      </c>
      <c r="H481" s="269" t="str">
        <f>IF(D481="","",VLOOKUP(F481,製品マスタ!$G$5:$K$5002,5,FALSE))</f>
        <v>MNGTBF</v>
      </c>
      <c r="I481" s="270" t="str">
        <f>IF(D481="","",VLOOKUP(F481,製品マスタ!$G$5:$L$5002,6,FALSE))</f>
        <v>メタルミー　ネーマー　銀艶　Ｂ</v>
      </c>
      <c r="J481" s="32" t="s">
        <v>447</v>
      </c>
      <c r="K481" s="270">
        <f>IF(D481="","",VLOOKUP(D481,契約台帳!$A$3:$L$4986,12,FALSE))</f>
        <v>50</v>
      </c>
      <c r="L481" s="270" t="str">
        <f>IF(D481="","",INDEX(製品マスタ!$Q$5:$Q$5002,MATCH(F481&amp;K481,製品マスタ!$AO$5:$AO$5002,0)))</f>
        <v>T62</v>
      </c>
      <c r="M481" s="39">
        <v>1120</v>
      </c>
      <c r="N481" s="39">
        <v>10000</v>
      </c>
      <c r="O481" s="47">
        <v>1</v>
      </c>
      <c r="P481" s="57"/>
      <c r="Q481" s="276">
        <f>IF(D481="","",IF(J481="リード付け",M481,VLOOKUP(D481,契約台帳!$A$3:$N$4986,14,FALSE)))</f>
        <v>1120</v>
      </c>
      <c r="R481" s="277">
        <f>IF(D481="","",IF(J481="リード付け",M481,VLOOKUP(D481,契約台帳!$A$3:$O$4986,15,FALSE)))</f>
        <v>1120</v>
      </c>
      <c r="S481" s="277">
        <f>IF(D481="","",IF(J481="リード付け",N481,VLOOKUP(D481,契約台帳!$A$3:$P$4986,16,FALSE)))</f>
        <v>5000</v>
      </c>
      <c r="T481" s="40">
        <v>1</v>
      </c>
      <c r="U481" s="302" t="str">
        <f ca="1">IF(D481="","",IF(OFFSET(D481,-2,0)=D481,"",VLOOKUP(D481,契約台帳!$A$3:$R$4986,18,FALSE)))</f>
        <v/>
      </c>
      <c r="V481" s="269" t="str">
        <f>IF(J481="巻返し",VLOOKUP(F481&amp;K481&amp;M481,製品マスタ!$M$5:$AD$5002,18,FALSE),IF(J481="リード付け","原反コア",IF(J481="スリット",VLOOKUP(F481&amp;K481&amp;Q481,製品マスタ!$N$5:$AD$5002,17,FALSE),"")))</f>
        <v>6ｲﾝﾁSｺｱ</v>
      </c>
      <c r="W481" s="269">
        <f>IF(J481="巻返し",VLOOKUP(F481&amp;K481&amp;M481,製品マスタ!$M$5:$AE$5002,19,FALSE),IF(J481="リード付け","-",IF(J481="スリット",VLOOKUP(F481&amp;K481&amp;Q481,製品マスタ!$N$5:$AE$5002,18,FALSE),"")))</f>
        <v>1125</v>
      </c>
      <c r="X481" s="275">
        <f>IF(D481="","",VLOOKUP(D481,契約台帳!$A$3:$Q$4986,17,FALSE))</f>
        <v>2</v>
      </c>
      <c r="Y481" s="269" t="str">
        <f>IF(D481="","",VLOOKUP(D481,契約台帳!$A$3:$E$4986,5,FALSE))</f>
        <v>リンテック㈱</v>
      </c>
      <c r="Z481" s="57">
        <v>45093</v>
      </c>
      <c r="AA481" s="303" t="str">
        <f>IFERROR(VLOOKUP(F481&amp;K481&amp;M481,製品マスタ!$M$5:$AM$5002,27,FALSE),"")</f>
        <v>原反ケース再利用</v>
      </c>
      <c r="AB481" s="33"/>
      <c r="AC481" s="189"/>
      <c r="AD481" s="54" t="str">
        <f>IF(F481="","",+F481&amp;K481)</f>
        <v>3SNMLBMNGTBF50</v>
      </c>
      <c r="AE481" s="55">
        <f>+M481*N481*O481/1000</f>
        <v>11200</v>
      </c>
      <c r="AF481" s="43">
        <f>IF(AD481="","",VLOOKUP(AD481,原価マスタ!$A$2:$AJ$1693,13,FALSE))</f>
        <v>99</v>
      </c>
      <c r="AG481" s="47">
        <f>IF(AF481="","",+AE481*AF481/100)</f>
        <v>11088</v>
      </c>
      <c r="AH481" s="30"/>
      <c r="AI481" s="30"/>
      <c r="AJ481" s="30"/>
      <c r="AK481" s="30"/>
      <c r="AL481" s="13"/>
      <c r="AM481" s="13"/>
      <c r="AN481" s="13"/>
      <c r="AO481" s="13"/>
      <c r="AP481" s="13"/>
      <c r="AQ481" s="14"/>
      <c r="AR481" s="15"/>
    </row>
    <row r="482" spans="1:44" s="17" customFormat="1" ht="30.95" hidden="1" customHeight="1" x14ac:dyDescent="0.2">
      <c r="A482" s="37"/>
      <c r="B482" s="38"/>
      <c r="C482" s="45"/>
      <c r="D482" s="31">
        <v>3712106</v>
      </c>
      <c r="E482" s="31"/>
      <c r="F482" s="268" t="str">
        <f>IF(D482="","",VLOOKUP(D482,契約台帳!$A$3:$K$4986,6,FALSE)&amp;VLOOKUP(D482,契約台帳!$A$3:$K$4986,7,FALSE)&amp;VLOOKUP(D482,契約台帳!$A$3:$K$4986,8,FALSE)&amp;VLOOKUP(D482,契約台帳!$A$3:$K$4986,9,FALSE)&amp;VLOOKUP(D482,契約台帳!$A$3:$K$4986,11,FALSE))</f>
        <v>3SNMLBMNGTBF</v>
      </c>
      <c r="G482" s="269" t="str">
        <f>IF(D482="","",VLOOKUP(F482,製品マスタ!$G$5:$H$5002,2,FALSE))</f>
        <v>S</v>
      </c>
      <c r="H482" s="269" t="str">
        <f>IF(D482="","",VLOOKUP(F482,製品マスタ!$G$5:$K$5002,5,FALSE))</f>
        <v>MNGTBF</v>
      </c>
      <c r="I482" s="270" t="str">
        <f>IF(D482="","",VLOOKUP(F482,製品マスタ!$G$5:$L$5002,6,FALSE))</f>
        <v>メタルミー　ネーマー　銀艶　Ｂ</v>
      </c>
      <c r="J482" s="32" t="s">
        <v>447</v>
      </c>
      <c r="K482" s="270">
        <f>IF(D482="","",VLOOKUP(D482,契約台帳!$A$3:$L$4986,12,FALSE))</f>
        <v>50</v>
      </c>
      <c r="L482" s="270" t="str">
        <f>IF(D482="","",INDEX(製品マスタ!$Q$5:$Q$5002,MATCH(F482&amp;K482,製品マスタ!$AO$5:$AO$5002,0)))</f>
        <v>T62</v>
      </c>
      <c r="M482" s="39">
        <v>1120</v>
      </c>
      <c r="N482" s="39">
        <v>10000</v>
      </c>
      <c r="O482" s="47"/>
      <c r="P482" s="57"/>
      <c r="Q482" s="276">
        <f>IF(D482="","",IF(J482="リード付け",M482,VLOOKUP(D482,契約台帳!$A$3:$N$4986,14,FALSE)))</f>
        <v>1120</v>
      </c>
      <c r="R482" s="277">
        <f>IF(D482="","",IF(J482="リード付け",M482,VLOOKUP(D482,契約台帳!$A$3:$O$4986,15,FALSE)))</f>
        <v>1120</v>
      </c>
      <c r="S482" s="277">
        <f>IF(D482="","",IF(J482="リード付け",N482,VLOOKUP(D482,契約台帳!$A$3:$P$4986,16,FALSE)))</f>
        <v>5000</v>
      </c>
      <c r="T482" s="40">
        <v>1</v>
      </c>
      <c r="U482" s="302">
        <f ca="1">IF(D482="","",IF(OFFSET(D482,-2,0)=D482,"",VLOOKUP(D482,契約台帳!$A$3:$R$4986,18,FALSE)))</f>
        <v>15</v>
      </c>
      <c r="V482" s="269" t="str">
        <f>IF(J482="巻返し",VLOOKUP(F482&amp;K482&amp;M482,製品マスタ!$M$5:$AD$5002,18,FALSE),IF(J482="リード付け","原反コア",IF(J482="スリット",VLOOKUP(F482&amp;K482&amp;Q482,製品マスタ!$N$5:$AD$5002,17,FALSE),"")))</f>
        <v>6ｲﾝﾁSｺｱ</v>
      </c>
      <c r="W482" s="269">
        <f>IF(J482="巻返し",VLOOKUP(F482&amp;K482&amp;M482,製品マスタ!$M$5:$AE$5002,19,FALSE),IF(J482="リード付け","-",IF(J482="スリット",VLOOKUP(F482&amp;K482&amp;Q482,製品マスタ!$N$5:$AE$5002,18,FALSE),"")))</f>
        <v>1125</v>
      </c>
      <c r="X482" s="275">
        <f>IF(D482="","",VLOOKUP(D482,契約台帳!$A$3:$Q$4986,17,FALSE))</f>
        <v>2</v>
      </c>
      <c r="Y482" s="269" t="str">
        <f>IF(D482="","",VLOOKUP(D482,契約台帳!$A$3:$E$4986,5,FALSE))</f>
        <v>リンテック㈱</v>
      </c>
      <c r="Z482" s="57"/>
      <c r="AA482" s="303" t="str">
        <f>IFERROR(VLOOKUP(F482&amp;K482&amp;M482,製品マスタ!$M$5:$AM$5002,27,FALSE),"")</f>
        <v>原反ケース再利用</v>
      </c>
      <c r="AB482" s="33"/>
      <c r="AC482" s="189"/>
      <c r="AD482" s="54" t="str">
        <f>IF(F482="","",+F482&amp;K482)</f>
        <v>3SNMLBMNGTBF50</v>
      </c>
      <c r="AE482" s="55">
        <f>+M482*N482*O482/1000</f>
        <v>0</v>
      </c>
      <c r="AF482" s="43">
        <f>IF(AD482="","",VLOOKUP(AD482,原価マスタ!$A$2:$AJ$1693,13,FALSE))</f>
        <v>99</v>
      </c>
      <c r="AG482" s="47">
        <f>IF(AF482="","",+AE482*AF482/100)</f>
        <v>0</v>
      </c>
      <c r="AH482" s="30"/>
      <c r="AI482" s="30"/>
      <c r="AJ482" s="30"/>
      <c r="AK482" s="30"/>
      <c r="AL482" s="13"/>
      <c r="AM482" s="13"/>
      <c r="AN482" s="13"/>
      <c r="AO482" s="13"/>
      <c r="AP482" s="13"/>
      <c r="AQ482" s="14"/>
      <c r="AR482" s="15"/>
    </row>
    <row r="483" spans="1:44" s="17" customFormat="1" ht="30.95" hidden="1" customHeight="1" x14ac:dyDescent="0.2">
      <c r="A483" s="37"/>
      <c r="B483" s="38"/>
      <c r="C483" s="45"/>
      <c r="D483" s="31"/>
      <c r="E483" s="31"/>
      <c r="F483" s="268"/>
      <c r="G483" s="269"/>
      <c r="H483" s="269"/>
      <c r="I483" s="270"/>
      <c r="J483" s="32"/>
      <c r="K483" s="270"/>
      <c r="L483" s="270"/>
      <c r="M483" s="39"/>
      <c r="N483" s="39"/>
      <c r="O483" s="47"/>
      <c r="P483" s="57"/>
      <c r="Q483" s="276"/>
      <c r="R483" s="277"/>
      <c r="S483" s="277"/>
      <c r="T483" s="40"/>
      <c r="U483" s="278"/>
      <c r="V483" s="269"/>
      <c r="W483" s="269"/>
      <c r="X483" s="275"/>
      <c r="Y483" s="269"/>
      <c r="Z483" s="57"/>
      <c r="AA483" s="207"/>
      <c r="AB483" s="33"/>
      <c r="AC483" s="189"/>
      <c r="AD483" s="54"/>
      <c r="AE483" s="55"/>
      <c r="AF483" s="43"/>
      <c r="AG483" s="47"/>
      <c r="AH483" s="30"/>
      <c r="AI483" s="30"/>
      <c r="AJ483" s="30"/>
      <c r="AK483" s="30"/>
      <c r="AL483" s="13"/>
      <c r="AM483" s="13"/>
      <c r="AN483" s="13"/>
      <c r="AO483" s="13"/>
      <c r="AP483" s="13"/>
      <c r="AQ483" s="14"/>
      <c r="AR483" s="15"/>
    </row>
    <row r="484" spans="1:44" s="17" customFormat="1" ht="30.95" hidden="1" customHeight="1" x14ac:dyDescent="0.2">
      <c r="A484" s="37" t="s">
        <v>1208</v>
      </c>
      <c r="B484" s="38" t="s">
        <v>443</v>
      </c>
      <c r="C484" s="45"/>
      <c r="D484" s="31">
        <v>3712106</v>
      </c>
      <c r="E484" s="31">
        <v>4151380</v>
      </c>
      <c r="F484" s="268" t="str">
        <f>IF(D484="","",VLOOKUP(D484,契約台帳!$A$3:$K$4986,6,FALSE)&amp;VLOOKUP(D484,契約台帳!$A$3:$K$4986,7,FALSE)&amp;VLOOKUP(D484,契約台帳!$A$3:$K$4986,8,FALSE)&amp;VLOOKUP(D484,契約台帳!$A$3:$K$4986,9,FALSE)&amp;VLOOKUP(D484,契約台帳!$A$3:$K$4986,11,FALSE))</f>
        <v>3SNMLBMNGTBF</v>
      </c>
      <c r="G484" s="269" t="str">
        <f>IF(D484="","",VLOOKUP(F484,製品マスタ!$G$5:$H$5002,2,FALSE))</f>
        <v>S</v>
      </c>
      <c r="H484" s="269" t="str">
        <f>IF(D484="","",VLOOKUP(F484,製品マスタ!$G$5:$K$5002,5,FALSE))</f>
        <v>MNGTBF</v>
      </c>
      <c r="I484" s="270" t="str">
        <f>IF(D484="","",VLOOKUP(F484,製品マスタ!$G$5:$L$5002,6,FALSE))</f>
        <v>メタルミー　ネーマー　銀艶　Ｂ</v>
      </c>
      <c r="J484" s="32" t="s">
        <v>447</v>
      </c>
      <c r="K484" s="270">
        <f>IF(D484="","",VLOOKUP(D484,契約台帳!$A$3:$L$4986,12,FALSE))</f>
        <v>50</v>
      </c>
      <c r="L484" s="270" t="str">
        <f>IF(D484="","",INDEX(製品マスタ!$Q$5:$Q$5002,MATCH(F484&amp;K484,製品マスタ!$AO$5:$AO$5002,0)))</f>
        <v>T62</v>
      </c>
      <c r="M484" s="39">
        <v>1120</v>
      </c>
      <c r="N484" s="39">
        <v>10000</v>
      </c>
      <c r="O484" s="47">
        <v>4</v>
      </c>
      <c r="P484" s="57"/>
      <c r="Q484" s="276">
        <f>IF(D484="","",IF(J484="リード付け",M484,VLOOKUP(D484,契約台帳!$A$3:$N$4986,14,FALSE)))</f>
        <v>1120</v>
      </c>
      <c r="R484" s="277">
        <f>IF(D484="","",IF(J484="リード付け",M484,VLOOKUP(D484,契約台帳!$A$3:$O$4986,15,FALSE)))</f>
        <v>1120</v>
      </c>
      <c r="S484" s="277">
        <f>IF(D484="","",IF(J484="リード付け",N484,VLOOKUP(D484,契約台帳!$A$3:$P$4986,16,FALSE)))</f>
        <v>5000</v>
      </c>
      <c r="T484" s="40">
        <v>8</v>
      </c>
      <c r="U484" s="302" t="str">
        <f ca="1">IF(D484="","",IF(OFFSET(D484,-2,0)=D484,"",VLOOKUP(D484,契約台帳!$A$3:$R$4986,18,FALSE)))</f>
        <v/>
      </c>
      <c r="V484" s="269" t="str">
        <f>IF(J484="巻返し",VLOOKUP(F484&amp;K484&amp;M484,製品マスタ!$M$5:$AD$5002,18,FALSE),IF(J484="リード付け","原反コア",IF(J484="スリット",VLOOKUP(F484&amp;K484&amp;Q484,製品マスタ!$N$5:$AD$5002,17,FALSE),"")))</f>
        <v>6ｲﾝﾁSｺｱ</v>
      </c>
      <c r="W484" s="269">
        <f>IF(J484="巻返し",VLOOKUP(F484&amp;K484&amp;M484,製品マスタ!$M$5:$AE$5002,19,FALSE),IF(J484="リード付け","-",IF(J484="スリット",VLOOKUP(F484&amp;K484&amp;Q484,製品マスタ!$N$5:$AE$5002,18,FALSE),"")))</f>
        <v>1125</v>
      </c>
      <c r="X484" s="275">
        <f>IF(D484="","",VLOOKUP(D484,契約台帳!$A$3:$Q$4986,17,FALSE))</f>
        <v>2</v>
      </c>
      <c r="Y484" s="269" t="str">
        <f>IF(D484="","",VLOOKUP(D484,契約台帳!$A$3:$E$4986,5,FALSE))</f>
        <v>リンテック㈱</v>
      </c>
      <c r="Z484" s="57">
        <v>45097</v>
      </c>
      <c r="AA484" s="303" t="str">
        <f>IFERROR(VLOOKUP(F484&amp;K484&amp;M484,製品マスタ!$M$5:$AM$5002,27,FALSE),"")</f>
        <v>原反ケース再利用</v>
      </c>
      <c r="AB484" s="33"/>
      <c r="AC484" s="189"/>
      <c r="AD484" s="54" t="str">
        <f>IF(F484="","",+F484&amp;K484)</f>
        <v>3SNMLBMNGTBF50</v>
      </c>
      <c r="AE484" s="55">
        <f>+M484*N484*O484/1000</f>
        <v>44800</v>
      </c>
      <c r="AF484" s="43">
        <f>IF(AD484="","",VLOOKUP(AD484,原価マスタ!$A$2:$AJ$1693,13,FALSE))</f>
        <v>99</v>
      </c>
      <c r="AG484" s="47">
        <f>IF(AF484="","",+AE484*AF484/100)</f>
        <v>44352</v>
      </c>
      <c r="AH484" s="30"/>
      <c r="AI484" s="30"/>
      <c r="AJ484" s="30"/>
      <c r="AK484" s="30"/>
      <c r="AL484" s="13"/>
      <c r="AM484" s="13"/>
      <c r="AN484" s="13"/>
      <c r="AO484" s="13"/>
      <c r="AP484" s="13"/>
      <c r="AQ484" s="14"/>
      <c r="AR484" s="15"/>
    </row>
    <row r="485" spans="1:44" s="17" customFormat="1" ht="30.95" hidden="1" customHeight="1" x14ac:dyDescent="0.2">
      <c r="A485" s="37"/>
      <c r="B485" s="38"/>
      <c r="C485" s="45"/>
      <c r="D485" s="31"/>
      <c r="E485" s="31"/>
      <c r="F485" s="268"/>
      <c r="G485" s="269"/>
      <c r="H485" s="269"/>
      <c r="I485" s="270"/>
      <c r="J485" s="32"/>
      <c r="K485" s="270"/>
      <c r="L485" s="270"/>
      <c r="M485" s="39"/>
      <c r="N485" s="39"/>
      <c r="O485" s="47"/>
      <c r="P485" s="57"/>
      <c r="Q485" s="276"/>
      <c r="R485" s="277"/>
      <c r="S485" s="277"/>
      <c r="T485" s="40"/>
      <c r="U485" s="278"/>
      <c r="V485" s="269"/>
      <c r="W485" s="269"/>
      <c r="X485" s="275"/>
      <c r="Y485" s="269"/>
      <c r="Z485" s="57"/>
      <c r="AA485" s="207"/>
      <c r="AB485" s="33"/>
      <c r="AC485" s="189"/>
      <c r="AD485" s="54"/>
      <c r="AE485" s="55"/>
      <c r="AF485" s="43"/>
      <c r="AG485" s="47"/>
      <c r="AH485" s="30"/>
      <c r="AI485" s="30"/>
      <c r="AJ485" s="30"/>
      <c r="AK485" s="30"/>
      <c r="AL485" s="13"/>
      <c r="AM485" s="13"/>
      <c r="AN485" s="13"/>
      <c r="AO485" s="13"/>
      <c r="AP485" s="13"/>
      <c r="AQ485" s="14"/>
      <c r="AR485" s="15"/>
    </row>
    <row r="486" spans="1:44" s="17" customFormat="1" ht="30.95" hidden="1" customHeight="1" x14ac:dyDescent="0.2">
      <c r="A486" s="37" t="s">
        <v>1222</v>
      </c>
      <c r="B486" s="38" t="s">
        <v>444</v>
      </c>
      <c r="C486" s="45"/>
      <c r="D486" s="31">
        <v>3712106</v>
      </c>
      <c r="E486" s="31">
        <v>4151380</v>
      </c>
      <c r="F486" s="268" t="str">
        <f>IF(D486="","",VLOOKUP(D486,契約台帳!$A$3:$K$4986,6,FALSE)&amp;VLOOKUP(D486,契約台帳!$A$3:$K$4986,7,FALSE)&amp;VLOOKUP(D486,契約台帳!$A$3:$K$4986,8,FALSE)&amp;VLOOKUP(D486,契約台帳!$A$3:$K$4986,9,FALSE)&amp;VLOOKUP(D486,契約台帳!$A$3:$K$4986,11,FALSE))</f>
        <v>3SNMLBMNGTBF</v>
      </c>
      <c r="G486" s="269" t="str">
        <f>IF(D486="","",VLOOKUP(F486,製品マスタ!$G$5:$H$5002,2,FALSE))</f>
        <v>S</v>
      </c>
      <c r="H486" s="269" t="str">
        <f>IF(D486="","",VLOOKUP(F486,製品マスタ!$G$5:$K$5002,5,FALSE))</f>
        <v>MNGTBF</v>
      </c>
      <c r="I486" s="270" t="str">
        <f>IF(D486="","",VLOOKUP(F486,製品マスタ!$G$5:$L$5002,6,FALSE))</f>
        <v>メタルミー　ネーマー　銀艶　Ｂ</v>
      </c>
      <c r="J486" s="32" t="s">
        <v>447</v>
      </c>
      <c r="K486" s="270">
        <f>IF(D486="","",VLOOKUP(D486,契約台帳!$A$3:$L$4986,12,FALSE))</f>
        <v>50</v>
      </c>
      <c r="L486" s="270" t="str">
        <f>IF(D486="","",INDEX(製品マスタ!$Q$5:$Q$5002,MATCH(F486&amp;K486,製品マスタ!$AO$5:$AO$5002,0)))</f>
        <v>T62</v>
      </c>
      <c r="M486" s="39">
        <v>1120</v>
      </c>
      <c r="N486" s="39">
        <v>10000</v>
      </c>
      <c r="O486" s="47">
        <v>3</v>
      </c>
      <c r="P486" s="57"/>
      <c r="Q486" s="276">
        <f>IF(D486="","",IF(J486="リード付け",M486,VLOOKUP(D486,契約台帳!$A$3:$N$4986,14,FALSE)))</f>
        <v>1120</v>
      </c>
      <c r="R486" s="277">
        <f>IF(D486="","",IF(J486="リード付け",M486,VLOOKUP(D486,契約台帳!$A$3:$O$4986,15,FALSE)))</f>
        <v>1120</v>
      </c>
      <c r="S486" s="277">
        <f>IF(D486="","",IF(J486="リード付け",N486,VLOOKUP(D486,契約台帳!$A$3:$P$4986,16,FALSE)))</f>
        <v>5000</v>
      </c>
      <c r="T486" s="40">
        <v>6</v>
      </c>
      <c r="U486" s="302" t="str">
        <f ca="1">IF(D486="","",IF(OFFSET(D486,-2,0)=D486,"",VLOOKUP(D486,契約台帳!$A$3:$R$4986,18,FALSE)))</f>
        <v/>
      </c>
      <c r="V486" s="269" t="str">
        <f>IF(J486="巻返し",VLOOKUP(F486&amp;K486&amp;M486,製品マスタ!$M$5:$AD$5002,18,FALSE),IF(J486="リード付け","原反コア",IF(J486="スリット",VLOOKUP(F486&amp;K486&amp;Q486,製品マスタ!$N$5:$AD$5002,17,FALSE),"")))</f>
        <v>6ｲﾝﾁSｺｱ</v>
      </c>
      <c r="W486" s="269">
        <f>IF(J486="巻返し",VLOOKUP(F486&amp;K486&amp;M486,製品マスタ!$M$5:$AE$5002,19,FALSE),IF(J486="リード付け","-",IF(J486="スリット",VLOOKUP(F486&amp;K486&amp;Q486,製品マスタ!$N$5:$AE$5002,18,FALSE),"")))</f>
        <v>1125</v>
      </c>
      <c r="X486" s="275">
        <f>IF(D486="","",VLOOKUP(D486,契約台帳!$A$3:$Q$4986,17,FALSE))</f>
        <v>2</v>
      </c>
      <c r="Y486" s="269" t="str">
        <f>IF(D486="","",VLOOKUP(D486,契約台帳!$A$3:$E$4986,5,FALSE))</f>
        <v>リンテック㈱</v>
      </c>
      <c r="Z486" s="57">
        <v>45097</v>
      </c>
      <c r="AA486" s="303" t="str">
        <f>IFERROR(VLOOKUP(F486&amp;K486&amp;M486,製品マスタ!$M$5:$AM$5002,27,FALSE),"")</f>
        <v>原反ケース再利用</v>
      </c>
      <c r="AB486" s="33"/>
      <c r="AC486" s="189"/>
      <c r="AD486" s="54" t="str">
        <f>IF(F486="","",+F486&amp;K486)</f>
        <v>3SNMLBMNGTBF50</v>
      </c>
      <c r="AE486" s="55">
        <f>+M486*N486*O486/1000</f>
        <v>33600</v>
      </c>
      <c r="AF486" s="43">
        <f>IF(AD486="","",VLOOKUP(AD486,原価マスタ!$A$2:$AJ$1693,13,FALSE))</f>
        <v>99</v>
      </c>
      <c r="AG486" s="47">
        <f>IF(AF486="","",+AE486*AF486/100)</f>
        <v>33264</v>
      </c>
      <c r="AH486" s="30"/>
      <c r="AI486" s="30"/>
      <c r="AJ486" s="30"/>
      <c r="AK486" s="30"/>
      <c r="AL486" s="13"/>
      <c r="AM486" s="13"/>
      <c r="AN486" s="13"/>
      <c r="AO486" s="13"/>
      <c r="AP486" s="13"/>
      <c r="AQ486" s="14"/>
      <c r="AR486" s="15"/>
    </row>
    <row r="487" spans="1:44" s="17" customFormat="1" ht="30.95" hidden="1" customHeight="1" x14ac:dyDescent="0.2">
      <c r="A487" s="37"/>
      <c r="B487" s="38"/>
      <c r="C487" s="45"/>
      <c r="D487" s="31"/>
      <c r="E487" s="31"/>
      <c r="F487" s="268"/>
      <c r="G487" s="269"/>
      <c r="H487" s="269"/>
      <c r="I487" s="270"/>
      <c r="J487" s="32"/>
      <c r="K487" s="270"/>
      <c r="L487" s="270"/>
      <c r="M487" s="39"/>
      <c r="N487" s="39"/>
      <c r="O487" s="47"/>
      <c r="P487" s="57"/>
      <c r="Q487" s="276"/>
      <c r="R487" s="277"/>
      <c r="S487" s="277"/>
      <c r="T487" s="40"/>
      <c r="U487" s="278"/>
      <c r="V487" s="269"/>
      <c r="W487" s="269"/>
      <c r="X487" s="275"/>
      <c r="Y487" s="269"/>
      <c r="Z487" s="57"/>
      <c r="AA487" s="207"/>
      <c r="AB487" s="33"/>
      <c r="AC487" s="189"/>
      <c r="AD487" s="54"/>
      <c r="AE487" s="55"/>
      <c r="AF487" s="43"/>
      <c r="AG487" s="47"/>
      <c r="AH487" s="30"/>
      <c r="AI487" s="30"/>
      <c r="AJ487" s="30"/>
      <c r="AK487" s="30"/>
      <c r="AL487" s="13"/>
      <c r="AM487" s="13"/>
      <c r="AN487" s="13"/>
      <c r="AO487" s="13"/>
      <c r="AP487" s="13"/>
      <c r="AQ487" s="14"/>
      <c r="AR487" s="15"/>
    </row>
    <row r="488" spans="1:44" s="17" customFormat="1" ht="30.95" hidden="1" customHeight="1" x14ac:dyDescent="0.2">
      <c r="A488" s="37" t="s">
        <v>1209</v>
      </c>
      <c r="B488" s="38" t="s">
        <v>1194</v>
      </c>
      <c r="C488" s="45"/>
      <c r="D488" s="31"/>
      <c r="E488" s="31"/>
      <c r="F488" s="268"/>
      <c r="G488" s="269"/>
      <c r="H488" s="269"/>
      <c r="I488" s="270"/>
      <c r="J488" s="32" t="s">
        <v>448</v>
      </c>
      <c r="K488" s="270"/>
      <c r="L488" s="270"/>
      <c r="M488" s="39"/>
      <c r="N488" s="39"/>
      <c r="O488" s="47"/>
      <c r="P488" s="57"/>
      <c r="Q488" s="276"/>
      <c r="R488" s="277"/>
      <c r="S488" s="277"/>
      <c r="T488" s="40"/>
      <c r="U488" s="278"/>
      <c r="V488" s="269"/>
      <c r="W488" s="269"/>
      <c r="X488" s="275"/>
      <c r="Y488" s="269"/>
      <c r="Z488" s="57"/>
      <c r="AA488" s="207"/>
      <c r="AB488" s="33"/>
      <c r="AC488" s="189"/>
      <c r="AD488" s="54"/>
      <c r="AE488" s="55"/>
      <c r="AF488" s="43"/>
      <c r="AG488" s="47"/>
      <c r="AH488" s="30"/>
      <c r="AI488" s="30"/>
      <c r="AJ488" s="30"/>
      <c r="AK488" s="30"/>
      <c r="AL488" s="13"/>
      <c r="AM488" s="13"/>
      <c r="AN488" s="13"/>
      <c r="AO488" s="13"/>
      <c r="AP488" s="13"/>
      <c r="AQ488" s="14"/>
      <c r="AR488" s="15"/>
    </row>
    <row r="489" spans="1:44" s="17" customFormat="1" ht="30.95" hidden="1" customHeight="1" x14ac:dyDescent="0.2">
      <c r="A489" s="37"/>
      <c r="B489" s="38"/>
      <c r="C489" s="45"/>
      <c r="D489" s="31"/>
      <c r="E489" s="31"/>
      <c r="F489" s="268"/>
      <c r="G489" s="269"/>
      <c r="H489" s="269"/>
      <c r="I489" s="270"/>
      <c r="J489" s="32"/>
      <c r="K489" s="270"/>
      <c r="L489" s="270"/>
      <c r="M489" s="39"/>
      <c r="N489" s="39"/>
      <c r="O489" s="47"/>
      <c r="P489" s="57"/>
      <c r="Q489" s="276"/>
      <c r="R489" s="277"/>
      <c r="S489" s="277"/>
      <c r="T489" s="40"/>
      <c r="U489" s="278"/>
      <c r="V489" s="269"/>
      <c r="W489" s="269"/>
      <c r="X489" s="275"/>
      <c r="Y489" s="269"/>
      <c r="Z489" s="57"/>
      <c r="AA489" s="207"/>
      <c r="AB489" s="33"/>
      <c r="AC489" s="189"/>
      <c r="AD489" s="54"/>
      <c r="AE489" s="55"/>
      <c r="AF489" s="43"/>
      <c r="AG489" s="47"/>
      <c r="AH489" s="30"/>
      <c r="AI489" s="30"/>
      <c r="AJ489" s="30"/>
      <c r="AK489" s="30"/>
      <c r="AL489" s="13"/>
      <c r="AM489" s="13"/>
      <c r="AN489" s="13"/>
      <c r="AO489" s="13"/>
      <c r="AP489" s="13"/>
      <c r="AQ489" s="14"/>
      <c r="AR489" s="15"/>
    </row>
    <row r="490" spans="1:44" s="17" customFormat="1" ht="30.95" hidden="1" customHeight="1" x14ac:dyDescent="0.2">
      <c r="A490" s="37" t="s">
        <v>1210</v>
      </c>
      <c r="B490" s="38" t="s">
        <v>1196</v>
      </c>
      <c r="C490" s="45"/>
      <c r="D490" s="31"/>
      <c r="E490" s="31"/>
      <c r="F490" s="268"/>
      <c r="G490" s="269"/>
      <c r="H490" s="269"/>
      <c r="I490" s="270"/>
      <c r="J490" s="32" t="s">
        <v>448</v>
      </c>
      <c r="K490" s="270"/>
      <c r="L490" s="270"/>
      <c r="M490" s="39"/>
      <c r="N490" s="39"/>
      <c r="O490" s="47"/>
      <c r="P490" s="57"/>
      <c r="Q490" s="276"/>
      <c r="R490" s="277"/>
      <c r="S490" s="277"/>
      <c r="T490" s="40"/>
      <c r="U490" s="278"/>
      <c r="V490" s="269"/>
      <c r="W490" s="269"/>
      <c r="X490" s="275"/>
      <c r="Y490" s="269"/>
      <c r="Z490" s="57"/>
      <c r="AA490" s="207"/>
      <c r="AB490" s="33"/>
      <c r="AC490" s="189"/>
      <c r="AD490" s="54"/>
      <c r="AE490" s="55"/>
      <c r="AF490" s="43"/>
      <c r="AG490" s="47"/>
      <c r="AH490" s="30"/>
      <c r="AI490" s="30"/>
      <c r="AJ490" s="30"/>
      <c r="AK490" s="30"/>
      <c r="AL490" s="13"/>
      <c r="AM490" s="13"/>
      <c r="AN490" s="13"/>
      <c r="AO490" s="13"/>
      <c r="AP490" s="13"/>
      <c r="AQ490" s="14"/>
      <c r="AR490" s="15"/>
    </row>
    <row r="491" spans="1:44" s="17" customFormat="1" ht="30.95" hidden="1" customHeight="1" x14ac:dyDescent="0.2">
      <c r="A491" s="37"/>
      <c r="B491" s="38"/>
      <c r="C491" s="45"/>
      <c r="D491" s="31"/>
      <c r="E491" s="31"/>
      <c r="F491" s="268"/>
      <c r="G491" s="269"/>
      <c r="H491" s="269"/>
      <c r="I491" s="270"/>
      <c r="J491" s="32"/>
      <c r="K491" s="270"/>
      <c r="L491" s="270"/>
      <c r="M491" s="39"/>
      <c r="N491" s="39"/>
      <c r="O491" s="47"/>
      <c r="P491" s="57"/>
      <c r="Q491" s="276"/>
      <c r="R491" s="277"/>
      <c r="S491" s="277"/>
      <c r="T491" s="40"/>
      <c r="U491" s="278"/>
      <c r="V491" s="269"/>
      <c r="W491" s="269"/>
      <c r="X491" s="275"/>
      <c r="Y491" s="269"/>
      <c r="Z491" s="57"/>
      <c r="AA491" s="207"/>
      <c r="AB491" s="33"/>
      <c r="AC491" s="189"/>
      <c r="AD491" s="54"/>
      <c r="AE491" s="55"/>
      <c r="AF491" s="43"/>
      <c r="AG491" s="47"/>
      <c r="AH491" s="30"/>
      <c r="AI491" s="30"/>
      <c r="AJ491" s="30"/>
      <c r="AK491" s="30"/>
      <c r="AL491" s="13"/>
      <c r="AM491" s="13"/>
      <c r="AN491" s="13"/>
      <c r="AO491" s="13"/>
      <c r="AP491" s="13"/>
      <c r="AQ491" s="14"/>
      <c r="AR491" s="15"/>
    </row>
    <row r="492" spans="1:44" s="17" customFormat="1" ht="30.95" hidden="1" customHeight="1" x14ac:dyDescent="0.2">
      <c r="A492" s="37" t="s">
        <v>1223</v>
      </c>
      <c r="B492" s="38" t="s">
        <v>462</v>
      </c>
      <c r="C492" s="45"/>
      <c r="D492" s="31">
        <v>3712101</v>
      </c>
      <c r="E492" s="31">
        <v>4151377</v>
      </c>
      <c r="F492" s="268" t="str">
        <f>IF(D492="","",VLOOKUP(D492,契約台帳!$A$3:$K$4986,6,FALSE)&amp;VLOOKUP(D492,契約台帳!$A$3:$K$4986,7,FALSE)&amp;VLOOKUP(D492,契約台帳!$A$3:$K$4986,8,FALSE)&amp;VLOOKUP(D492,契約台帳!$A$3:$K$4986,9,FALSE)&amp;VLOOKUP(D492,契約台帳!$A$3:$K$4986,11,FALSE))</f>
        <v>3SNMLBMNGKKBF</v>
      </c>
      <c r="G492" s="269" t="str">
        <f>IF(D492="","",VLOOKUP(F492,製品マスタ!$G$5:$H$5002,2,FALSE))</f>
        <v>S</v>
      </c>
      <c r="H492" s="269" t="str">
        <f>IF(D492="","",VLOOKUP(F492,製品マスタ!$G$5:$K$5002,5,FALSE))</f>
        <v>MNGKKBF</v>
      </c>
      <c r="I492" s="270" t="str">
        <f>IF(D492="","",VLOOKUP(F492,製品マスタ!$G$5:$L$5002,6,FALSE))</f>
        <v>メタルミー　ネーマー銀消改　Ｂ</v>
      </c>
      <c r="J492" s="32" t="s">
        <v>447</v>
      </c>
      <c r="K492" s="270">
        <f>IF(D492="","",VLOOKUP(D492,契約台帳!$A$3:$L$4986,12,FALSE))</f>
        <v>50</v>
      </c>
      <c r="L492" s="270" t="str">
        <f>IF(D492="","",INDEX(製品マスタ!$Q$5:$Q$5002,MATCH(F492&amp;K492,製品マスタ!$AO$5:$AO$5002,0)))</f>
        <v>S99-MAT</v>
      </c>
      <c r="M492" s="39">
        <v>1120</v>
      </c>
      <c r="N492" s="39">
        <v>12000</v>
      </c>
      <c r="O492" s="47">
        <v>6</v>
      </c>
      <c r="P492" s="57"/>
      <c r="Q492" s="276">
        <f>IF(D492="","",IF(J492="リード付け",M492,VLOOKUP(D492,契約台帳!$A$3:$N$4986,14,FALSE)))</f>
        <v>1120</v>
      </c>
      <c r="R492" s="277">
        <f>IF(D492="","",IF(J492="リード付け",M492,VLOOKUP(D492,契約台帳!$A$3:$O$4986,15,FALSE)))</f>
        <v>1120</v>
      </c>
      <c r="S492" s="277">
        <f>IF(D492="","",IF(J492="リード付け",N492,VLOOKUP(D492,契約台帳!$A$3:$P$4986,16,FALSE)))</f>
        <v>4000</v>
      </c>
      <c r="T492" s="40">
        <v>18</v>
      </c>
      <c r="U492" s="302">
        <f ca="1">IF(D492="","",IF(OFFSET(D492,-2,0)=D492,"",VLOOKUP(D492,契約台帳!$A$3:$R$4986,18,FALSE)))</f>
        <v>18</v>
      </c>
      <c r="V492" s="269" t="str">
        <f>IF(J492="巻返し",VLOOKUP(F492&amp;K492&amp;M492,製品マスタ!$M$5:$AD$5002,18,FALSE),IF(J492="リード付け","原反コア",IF(J492="スリット",VLOOKUP(F492&amp;K492&amp;Q492,製品マスタ!$N$5:$AD$5002,17,FALSE),"")))</f>
        <v>6ｲﾝﾁSｺｱ</v>
      </c>
      <c r="W492" s="269">
        <f>IF(J492="巻返し",VLOOKUP(F492&amp;K492&amp;M492,製品マスタ!$M$5:$AE$5002,19,FALSE),IF(J492="リード付け","-",IF(J492="スリット",VLOOKUP(F492&amp;K492&amp;Q492,製品マスタ!$N$5:$AE$5002,18,FALSE),"")))</f>
        <v>1125</v>
      </c>
      <c r="X492" s="275">
        <f>IF(D492="","",VLOOKUP(D492,契約台帳!$A$3:$Q$4986,17,FALSE))</f>
        <v>2</v>
      </c>
      <c r="Y492" s="269" t="str">
        <f>IF(D492="","",VLOOKUP(D492,契約台帳!$A$3:$E$4986,5,FALSE))</f>
        <v>リンテック㈱</v>
      </c>
      <c r="Z492" s="57">
        <v>45098</v>
      </c>
      <c r="AA492" s="303">
        <f>IFERROR(VLOOKUP(F492&amp;K492&amp;M492,製品マスタ!$M$5:$AM$5002,27,FALSE),"")</f>
        <v>0</v>
      </c>
      <c r="AB492" s="33"/>
      <c r="AC492" s="189"/>
      <c r="AD492" s="54" t="str">
        <f>IF(F492="","",+F492&amp;K492)</f>
        <v>3SNMLBMNGKKBF50</v>
      </c>
      <c r="AE492" s="55">
        <f>+M492*N492*O492/1000</f>
        <v>80640</v>
      </c>
      <c r="AF492" s="43">
        <f>IF(AD492="","",VLOOKUP(AD492,原価マスタ!$A$2:$AJ$1693,13,FALSE))</f>
        <v>99</v>
      </c>
      <c r="AG492" s="47">
        <f>IF(AF492="","",+AE492*AF492/100)</f>
        <v>79833.600000000006</v>
      </c>
      <c r="AH492" s="30"/>
      <c r="AI492" s="30"/>
      <c r="AJ492" s="30"/>
      <c r="AK492" s="30"/>
      <c r="AL492" s="13"/>
      <c r="AM492" s="13"/>
      <c r="AN492" s="13"/>
      <c r="AO492" s="13"/>
      <c r="AP492" s="13"/>
      <c r="AQ492" s="14"/>
      <c r="AR492" s="15"/>
    </row>
    <row r="493" spans="1:44" s="17" customFormat="1" ht="30.95" hidden="1" customHeight="1" x14ac:dyDescent="0.2">
      <c r="A493" s="37"/>
      <c r="B493" s="38"/>
      <c r="C493" s="45"/>
      <c r="D493" s="31"/>
      <c r="E493" s="31"/>
      <c r="F493" s="268"/>
      <c r="G493" s="269"/>
      <c r="H493" s="269"/>
      <c r="I493" s="270"/>
      <c r="J493" s="32"/>
      <c r="K493" s="270"/>
      <c r="L493" s="270"/>
      <c r="M493" s="39"/>
      <c r="N493" s="39"/>
      <c r="O493" s="47"/>
      <c r="P493" s="57"/>
      <c r="Q493" s="276"/>
      <c r="R493" s="277"/>
      <c r="S493" s="277"/>
      <c r="T493" s="40"/>
      <c r="U493" s="278"/>
      <c r="V493" s="269"/>
      <c r="W493" s="269"/>
      <c r="X493" s="275"/>
      <c r="Y493" s="269"/>
      <c r="Z493" s="57"/>
      <c r="AA493" s="207"/>
      <c r="AB493" s="33"/>
      <c r="AC493" s="189"/>
      <c r="AD493" s="54"/>
      <c r="AE493" s="55"/>
      <c r="AF493" s="43"/>
      <c r="AG493" s="47"/>
      <c r="AH493" s="30"/>
      <c r="AI493" s="30"/>
      <c r="AJ493" s="30"/>
      <c r="AK493" s="30"/>
      <c r="AL493" s="13"/>
      <c r="AM493" s="13"/>
      <c r="AN493" s="13"/>
      <c r="AO493" s="13"/>
      <c r="AP493" s="13"/>
      <c r="AQ493" s="14"/>
      <c r="AR493" s="15"/>
    </row>
    <row r="494" spans="1:44" s="17" customFormat="1" ht="30.95" hidden="1" customHeight="1" x14ac:dyDescent="0.2">
      <c r="A494" s="37" t="s">
        <v>1224</v>
      </c>
      <c r="B494" s="38" t="s">
        <v>688</v>
      </c>
      <c r="C494" s="45"/>
      <c r="D494" s="31">
        <v>3712102</v>
      </c>
      <c r="E494" s="31">
        <v>4151378</v>
      </c>
      <c r="F494" s="268" t="str">
        <f>IF(D494="","",VLOOKUP(D494,契約台帳!$A$3:$K$4986,6,FALSE)&amp;VLOOKUP(D494,契約台帳!$A$3:$K$4986,7,FALSE)&amp;VLOOKUP(D494,契約台帳!$A$3:$K$4986,8,FALSE)&amp;VLOOKUP(D494,契約台帳!$A$3:$K$4986,9,FALSE)&amp;VLOOKUP(D494,契約台帳!$A$3:$K$4986,11,FALSE))</f>
        <v>3SNMLBMNGKKBF</v>
      </c>
      <c r="G494" s="269" t="str">
        <f>IF(D494="","",VLOOKUP(F494,製品マスタ!$G$5:$H$5002,2,FALSE))</f>
        <v>S</v>
      </c>
      <c r="H494" s="269" t="str">
        <f>IF(D494="","",VLOOKUP(F494,製品マスタ!$G$5:$K$5002,5,FALSE))</f>
        <v>MNGKKBF</v>
      </c>
      <c r="I494" s="270" t="str">
        <f>IF(D494="","",VLOOKUP(F494,製品マスタ!$G$5:$L$5002,6,FALSE))</f>
        <v>メタルミー　ネーマー銀消改　Ｂ</v>
      </c>
      <c r="J494" s="32" t="s">
        <v>447</v>
      </c>
      <c r="K494" s="270">
        <f>IF(D494="","",VLOOKUP(D494,契約台帳!$A$3:$L$4986,12,FALSE))</f>
        <v>50</v>
      </c>
      <c r="L494" s="270" t="str">
        <f>IF(D494="","",INDEX(製品マスタ!$Q$5:$Q$5002,MATCH(F494&amp;K494,製品マスタ!$AO$5:$AO$5002,0)))</f>
        <v>S99-MAT</v>
      </c>
      <c r="M494" s="39">
        <v>1120</v>
      </c>
      <c r="N494" s="39">
        <v>12000</v>
      </c>
      <c r="O494" s="47">
        <v>3</v>
      </c>
      <c r="P494" s="57"/>
      <c r="Q494" s="276">
        <f>IF(D494="","",IF(J494="リード付け",M494,VLOOKUP(D494,契約台帳!$A$3:$N$4986,14,FALSE)))</f>
        <v>1120</v>
      </c>
      <c r="R494" s="277">
        <f>IF(D494="","",IF(J494="リード付け",M494,VLOOKUP(D494,契約台帳!$A$3:$O$4986,15,FALSE)))</f>
        <v>1120</v>
      </c>
      <c r="S494" s="277">
        <f>IF(D494="","",IF(J494="リード付け",N494,VLOOKUP(D494,契約台帳!$A$3:$P$4986,16,FALSE)))</f>
        <v>4000</v>
      </c>
      <c r="T494" s="40">
        <v>9</v>
      </c>
      <c r="U494" s="302">
        <f ca="1">IF(D494="","",IF(OFFSET(D494,-2,0)=D494,"",VLOOKUP(D494,契約台帳!$A$3:$R$4986,18,FALSE)))</f>
        <v>9</v>
      </c>
      <c r="V494" s="269" t="str">
        <f>IF(J494="巻返し",VLOOKUP(F494&amp;K494&amp;M494,製品マスタ!$M$5:$AD$5002,18,FALSE),IF(J494="リード付け","原反コア",IF(J494="スリット",VLOOKUP(F494&amp;K494&amp;Q494,製品マスタ!$N$5:$AD$5002,17,FALSE),"")))</f>
        <v>6ｲﾝﾁSｺｱ</v>
      </c>
      <c r="W494" s="269">
        <f>IF(J494="巻返し",VLOOKUP(F494&amp;K494&amp;M494,製品マスタ!$M$5:$AE$5002,19,FALSE),IF(J494="リード付け","-",IF(J494="スリット",VLOOKUP(F494&amp;K494&amp;Q494,製品マスタ!$N$5:$AE$5002,18,FALSE),"")))</f>
        <v>1125</v>
      </c>
      <c r="X494" s="275">
        <f>IF(D494="","",VLOOKUP(D494,契約台帳!$A$3:$Q$4986,17,FALSE))</f>
        <v>2</v>
      </c>
      <c r="Y494" s="269" t="str">
        <f>IF(D494="","",VLOOKUP(D494,契約台帳!$A$3:$E$4986,5,FALSE))</f>
        <v>リンテック㈱</v>
      </c>
      <c r="Z494" s="57">
        <v>45099</v>
      </c>
      <c r="AA494" s="303">
        <f>IFERROR(VLOOKUP(F494&amp;K494&amp;M494,製品マスタ!$M$5:$AM$5002,27,FALSE),"")</f>
        <v>0</v>
      </c>
      <c r="AB494" s="33"/>
      <c r="AC494" s="189"/>
      <c r="AD494" s="54" t="str">
        <f>IF(F494="","",+F494&amp;K494)</f>
        <v>3SNMLBMNGKKBF50</v>
      </c>
      <c r="AE494" s="55">
        <f>+M494*N494*O494/1000</f>
        <v>40320</v>
      </c>
      <c r="AF494" s="43">
        <f>IF(AD494="","",VLOOKUP(AD494,原価マスタ!$A$2:$AJ$1693,13,FALSE))</f>
        <v>99</v>
      </c>
      <c r="AG494" s="47">
        <f>IF(AF494="","",+AE494*AF494/100)</f>
        <v>39916.800000000003</v>
      </c>
      <c r="AH494" s="30"/>
      <c r="AI494" s="30"/>
      <c r="AJ494" s="30"/>
      <c r="AK494" s="30"/>
      <c r="AL494" s="13"/>
      <c r="AM494" s="13"/>
      <c r="AN494" s="13"/>
      <c r="AO494" s="13"/>
      <c r="AP494" s="13"/>
      <c r="AQ494" s="14"/>
      <c r="AR494" s="15"/>
    </row>
    <row r="495" spans="1:44" s="17" customFormat="1" ht="30.95" hidden="1" customHeight="1" x14ac:dyDescent="0.2">
      <c r="A495" s="37"/>
      <c r="B495" s="38"/>
      <c r="C495" s="45"/>
      <c r="D495" s="31"/>
      <c r="E495" s="31"/>
      <c r="F495" s="268"/>
      <c r="G495" s="269"/>
      <c r="H495" s="269"/>
      <c r="I495" s="270"/>
      <c r="J495" s="32"/>
      <c r="K495" s="270"/>
      <c r="L495" s="270"/>
      <c r="M495" s="39"/>
      <c r="N495" s="39"/>
      <c r="O495" s="47"/>
      <c r="P495" s="57"/>
      <c r="Q495" s="276"/>
      <c r="R495" s="277"/>
      <c r="S495" s="277"/>
      <c r="T495" s="40"/>
      <c r="U495" s="278"/>
      <c r="V495" s="269"/>
      <c r="W495" s="269"/>
      <c r="X495" s="275"/>
      <c r="Y495" s="269"/>
      <c r="Z495" s="57"/>
      <c r="AA495" s="207"/>
      <c r="AB495" s="33"/>
      <c r="AC495" s="189"/>
      <c r="AD495" s="54"/>
      <c r="AE495" s="55"/>
      <c r="AF495" s="43"/>
      <c r="AG495" s="47"/>
      <c r="AH495" s="30"/>
      <c r="AI495" s="30"/>
      <c r="AJ495" s="30"/>
      <c r="AK495" s="30"/>
      <c r="AL495" s="13"/>
      <c r="AM495" s="13"/>
      <c r="AN495" s="13"/>
      <c r="AO495" s="13"/>
      <c r="AP495" s="13"/>
      <c r="AQ495" s="14"/>
      <c r="AR495" s="15"/>
    </row>
    <row r="496" spans="1:44" s="17" customFormat="1" ht="30.95" hidden="1" customHeight="1" x14ac:dyDescent="0.2">
      <c r="A496" s="37"/>
      <c r="B496" s="38"/>
      <c r="C496" s="45"/>
      <c r="D496" s="31">
        <v>3712100</v>
      </c>
      <c r="E496" s="31">
        <v>4151376</v>
      </c>
      <c r="F496" s="268" t="str">
        <f>IF(D496="","",VLOOKUP(D496,契約台帳!$A$3:$K$4986,6,FALSE)&amp;VLOOKUP(D496,契約台帳!$A$3:$K$4986,7,FALSE)&amp;VLOOKUP(D496,契約台帳!$A$3:$K$4986,8,FALSE)&amp;VLOOKUP(D496,契約台帳!$A$3:$K$4986,9,FALSE)&amp;VLOOKUP(D496,契約台帳!$A$3:$K$4986,11,FALSE))</f>
        <v>3SNMLBMNGKKBF</v>
      </c>
      <c r="G496" s="269" t="str">
        <f>IF(D496="","",VLOOKUP(F496,製品マスタ!$G$5:$H$5002,2,FALSE))</f>
        <v>S</v>
      </c>
      <c r="H496" s="269" t="str">
        <f>IF(D496="","",VLOOKUP(F496,製品マスタ!$G$5:$K$5002,5,FALSE))</f>
        <v>MNGKKBF</v>
      </c>
      <c r="I496" s="270" t="str">
        <f>IF(D496="","",VLOOKUP(F496,製品マスタ!$G$5:$L$5002,6,FALSE))</f>
        <v>メタルミー　ネーマー銀消改　Ｂ</v>
      </c>
      <c r="J496" s="32" t="s">
        <v>447</v>
      </c>
      <c r="K496" s="270">
        <f>IF(D496="","",VLOOKUP(D496,契約台帳!$A$3:$L$4986,12,FALSE))</f>
        <v>25</v>
      </c>
      <c r="L496" s="270" t="str">
        <f>IF(D496="","",INDEX(製品マスタ!$Q$5:$Q$5002,MATCH(F496&amp;K496,製品マスタ!$AO$5:$AO$5002,0)))</f>
        <v>FMATS99</v>
      </c>
      <c r="M496" s="39">
        <v>1120</v>
      </c>
      <c r="N496" s="39">
        <v>12000</v>
      </c>
      <c r="O496" s="47">
        <v>1</v>
      </c>
      <c r="P496" s="57"/>
      <c r="Q496" s="276">
        <f>IF(D496="","",IF(J496="リード付け",M496,VLOOKUP(D496,契約台帳!$A$3:$N$4986,14,FALSE)))</f>
        <v>1120</v>
      </c>
      <c r="R496" s="277">
        <f>IF(D496="","",IF(J496="リード付け",M496,VLOOKUP(D496,契約台帳!$A$3:$O$4986,15,FALSE)))</f>
        <v>1120</v>
      </c>
      <c r="S496" s="277">
        <f>IF(D496="","",IF(J496="リード付け",N496,VLOOKUP(D496,契約台帳!$A$3:$P$4986,16,FALSE)))</f>
        <v>4000</v>
      </c>
      <c r="T496" s="40">
        <v>3</v>
      </c>
      <c r="U496" s="302">
        <f ca="1">IF(D496="","",IF(OFFSET(D496,-2,0)=D496,"",VLOOKUP(D496,契約台帳!$A$3:$R$4986,18,FALSE)))</f>
        <v>3</v>
      </c>
      <c r="V496" s="269" t="str">
        <f>IF(J496="巻返し",VLOOKUP(F496&amp;K496&amp;M496,製品マスタ!$M$5:$AD$5002,18,FALSE),IF(J496="リード付け","原反コア",IF(J496="スリット",VLOOKUP(F496&amp;K496&amp;Q496,製品マスタ!$N$5:$AD$5002,17,FALSE),"")))</f>
        <v>6ｲﾝﾁSｺｱ</v>
      </c>
      <c r="W496" s="269">
        <f>IF(J496="巻返し",VLOOKUP(F496&amp;K496&amp;M496,製品マスタ!$M$5:$AE$5002,19,FALSE),IF(J496="リード付け","-",IF(J496="スリット",VLOOKUP(F496&amp;K496&amp;Q496,製品マスタ!$N$5:$AE$5002,18,FALSE),"")))</f>
        <v>1125</v>
      </c>
      <c r="X496" s="275">
        <f>IF(D496="","",VLOOKUP(D496,契約台帳!$A$3:$Q$4986,17,FALSE))</f>
        <v>2</v>
      </c>
      <c r="Y496" s="269" t="str">
        <f>IF(D496="","",VLOOKUP(D496,契約台帳!$A$3:$E$4986,5,FALSE))</f>
        <v>リンテック㈱</v>
      </c>
      <c r="Z496" s="57">
        <v>45099</v>
      </c>
      <c r="AA496" s="303">
        <f>IFERROR(VLOOKUP(F496&amp;K496&amp;M496,製品マスタ!$M$5:$AM$5002,27,FALSE),"")</f>
        <v>0</v>
      </c>
      <c r="AB496" s="33"/>
      <c r="AC496" s="189"/>
      <c r="AD496" s="54" t="str">
        <f>IF(F496="","",+F496&amp;K496)</f>
        <v>3SNMLBMNGKKBF25</v>
      </c>
      <c r="AE496" s="55">
        <f>+M496*N496*O496/1000</f>
        <v>13440</v>
      </c>
      <c r="AF496" s="43">
        <f>IF(AD496="","",VLOOKUP(AD496,原価マスタ!$A$2:$AJ$1693,13,FALSE))</f>
        <v>96</v>
      </c>
      <c r="AG496" s="47">
        <f>IF(AF496="","",+AE496*AF496/100)</f>
        <v>12902.4</v>
      </c>
      <c r="AH496" s="30"/>
      <c r="AI496" s="30"/>
      <c r="AJ496" s="30"/>
      <c r="AK496" s="30"/>
      <c r="AL496" s="13"/>
      <c r="AM496" s="13"/>
      <c r="AN496" s="13"/>
      <c r="AO496" s="13"/>
      <c r="AP496" s="13"/>
      <c r="AQ496" s="14"/>
      <c r="AR496" s="15"/>
    </row>
    <row r="497" spans="1:44" s="17" customFormat="1" ht="30.95" hidden="1" customHeight="1" x14ac:dyDescent="0.2">
      <c r="A497" s="37"/>
      <c r="B497" s="38"/>
      <c r="C497" s="45"/>
      <c r="D497" s="31"/>
      <c r="E497" s="31"/>
      <c r="F497" s="268"/>
      <c r="G497" s="269"/>
      <c r="H497" s="269"/>
      <c r="I497" s="270"/>
      <c r="J497" s="32"/>
      <c r="K497" s="270"/>
      <c r="L497" s="270"/>
      <c r="M497" s="39"/>
      <c r="N497" s="39"/>
      <c r="O497" s="47"/>
      <c r="P497" s="57"/>
      <c r="Q497" s="276"/>
      <c r="R497" s="277"/>
      <c r="S497" s="277"/>
      <c r="T497" s="40"/>
      <c r="U497" s="278"/>
      <c r="V497" s="269"/>
      <c r="W497" s="269"/>
      <c r="X497" s="275"/>
      <c r="Y497" s="269"/>
      <c r="Z497" s="57"/>
      <c r="AA497" s="207"/>
      <c r="AB497" s="33"/>
      <c r="AC497" s="189"/>
      <c r="AD497" s="54"/>
      <c r="AE497" s="55"/>
      <c r="AF497" s="43"/>
      <c r="AG497" s="47"/>
      <c r="AH497" s="30"/>
      <c r="AI497" s="30"/>
      <c r="AJ497" s="30"/>
      <c r="AK497" s="30"/>
      <c r="AL497" s="13"/>
      <c r="AM497" s="13"/>
      <c r="AN497" s="13"/>
      <c r="AO497" s="13"/>
      <c r="AP497" s="13"/>
      <c r="AQ497" s="14"/>
      <c r="AR497" s="15"/>
    </row>
    <row r="498" spans="1:44" s="17" customFormat="1" ht="30.95" hidden="1" customHeight="1" x14ac:dyDescent="0.2">
      <c r="A498" s="37" t="s">
        <v>1250</v>
      </c>
      <c r="B498" s="38" t="s">
        <v>1251</v>
      </c>
      <c r="C498" s="45"/>
      <c r="D498" s="31">
        <v>3712104</v>
      </c>
      <c r="E498" s="31">
        <v>4151374</v>
      </c>
      <c r="F498" s="268" t="str">
        <f>IF(D498="","",VLOOKUP(D498,契約台帳!$A$3:$K$4986,6,FALSE)&amp;VLOOKUP(D498,契約台帳!$A$3:$K$4986,7,FALSE)&amp;VLOOKUP(D498,契約台帳!$A$3:$K$4986,8,FALSE)&amp;VLOOKUP(D498,契約台帳!$A$3:$K$4986,9,FALSE)&amp;VLOOKUP(D498,契約台帳!$A$3:$K$4986,11,FALSE))</f>
        <v>3SNMLBMNGKBF</v>
      </c>
      <c r="G498" s="269" t="str">
        <f>IF(D498="","",VLOOKUP(F498,製品マスタ!$G$5:$H$5002,2,FALSE))</f>
        <v>S</v>
      </c>
      <c r="H498" s="269" t="str">
        <f>IF(D498="","",VLOOKUP(F498,製品マスタ!$G$5:$K$5002,5,FALSE))</f>
        <v>MNGKBF</v>
      </c>
      <c r="I498" s="270" t="str">
        <f>IF(D498="","",VLOOKUP(F498,製品マスタ!$G$5:$L$5002,6,FALSE))</f>
        <v>メタルミー　ネーマー銀消　Ｂ</v>
      </c>
      <c r="J498" s="32" t="s">
        <v>447</v>
      </c>
      <c r="K498" s="270">
        <f>IF(D498="","",VLOOKUP(D498,契約台帳!$A$3:$L$4986,12,FALSE))</f>
        <v>75</v>
      </c>
      <c r="L498" s="270" t="str">
        <f>IF(D498="","",INDEX(製品マスタ!$Q$5:$Q$5002,MATCH(F498&amp;K498,製品マスタ!$AO$5:$AO$5002,0)))</f>
        <v>MAT</v>
      </c>
      <c r="M498" s="39">
        <v>1050</v>
      </c>
      <c r="N498" s="39">
        <v>4000</v>
      </c>
      <c r="O498" s="47">
        <v>1</v>
      </c>
      <c r="P498" s="57"/>
      <c r="Q498" s="276">
        <f>IF(D498="","",IF(J498="リード付け",M498,VLOOKUP(D498,契約台帳!$A$3:$N$4986,14,FALSE)))</f>
        <v>1050</v>
      </c>
      <c r="R498" s="277">
        <f>IF(D498="","",IF(J498="リード付け",M498,VLOOKUP(D498,契約台帳!$A$3:$O$4986,15,FALSE)))</f>
        <v>1050</v>
      </c>
      <c r="S498" s="277">
        <f>IF(D498="","",IF(J498="リード付け",N498,VLOOKUP(D498,契約台帳!$A$3:$P$4986,16,FALSE)))</f>
        <v>2000</v>
      </c>
      <c r="T498" s="40">
        <v>2</v>
      </c>
      <c r="U498" s="302">
        <f ca="1">IF(D498="","",IF(OFFSET(D498,-2,0)=D498,"",VLOOKUP(D498,契約台帳!$A$3:$R$4986,18,FALSE)))</f>
        <v>2</v>
      </c>
      <c r="V498" s="269" t="str">
        <f>IF(J498="巻返し",VLOOKUP(F498&amp;K498&amp;M498,製品マスタ!$M$5:$AD$5002,18,FALSE),IF(J498="リード付け","原反コア",IF(J498="スリット",VLOOKUP(F498&amp;K498&amp;Q498,製品マスタ!$N$5:$AD$5002,17,FALSE),"")))</f>
        <v>6ｲﾝﾁSｺｱ</v>
      </c>
      <c r="W498" s="269">
        <f>IF(J498="巻返し",VLOOKUP(F498&amp;K498&amp;M498,製品マスタ!$M$5:$AE$5002,19,FALSE),IF(J498="リード付け","-",IF(J498="スリット",VLOOKUP(F498&amp;K498&amp;Q498,製品マスタ!$N$5:$AE$5002,18,FALSE),"")))</f>
        <v>1055</v>
      </c>
      <c r="X498" s="275">
        <f>IF(D498="","",VLOOKUP(D498,契約台帳!$A$3:$Q$4986,17,FALSE))</f>
        <v>2</v>
      </c>
      <c r="Y498" s="269" t="str">
        <f>IF(D498="","",VLOOKUP(D498,契約台帳!$A$3:$E$4986,5,FALSE))</f>
        <v>リンテック㈱</v>
      </c>
      <c r="Z498" s="57">
        <v>45100</v>
      </c>
      <c r="AA498" s="303">
        <f>IFERROR(VLOOKUP(F498&amp;K498&amp;M498,製品マスタ!$M$5:$AM$5002,27,FALSE),"")</f>
        <v>0</v>
      </c>
      <c r="AB498" s="33"/>
      <c r="AC498" s="189"/>
      <c r="AD498" s="54" t="str">
        <f>IF(F498="","",+F498&amp;K498)</f>
        <v>3SNMLBMNGKBF75</v>
      </c>
      <c r="AE498" s="55">
        <f>+M498*N498*O498/1000</f>
        <v>4200</v>
      </c>
      <c r="AF498" s="43">
        <f>IF(AD498="","",VLOOKUP(AD498,原価マスタ!$A$2:$AJ$1693,13,FALSE))</f>
        <v>97</v>
      </c>
      <c r="AG498" s="47">
        <f>IF(AF498="","",+AE498*AF498/100)</f>
        <v>4074</v>
      </c>
      <c r="AH498" s="30"/>
      <c r="AI498" s="30"/>
      <c r="AJ498" s="30"/>
      <c r="AK498" s="30"/>
      <c r="AL498" s="13"/>
      <c r="AM498" s="13"/>
      <c r="AN498" s="13"/>
      <c r="AO498" s="13"/>
      <c r="AP498" s="13"/>
      <c r="AQ498" s="14"/>
      <c r="AR498" s="15"/>
    </row>
    <row r="499" spans="1:44" s="17" customFormat="1" ht="30.95" hidden="1" customHeight="1" x14ac:dyDescent="0.2">
      <c r="A499" s="37"/>
      <c r="B499" s="38"/>
      <c r="C499" s="45"/>
      <c r="D499" s="31"/>
      <c r="E499" s="31"/>
      <c r="F499" s="268"/>
      <c r="G499" s="269"/>
      <c r="H499" s="269"/>
      <c r="I499" s="270"/>
      <c r="J499" s="32"/>
      <c r="K499" s="270"/>
      <c r="L499" s="270"/>
      <c r="M499" s="39"/>
      <c r="N499" s="39"/>
      <c r="O499" s="47"/>
      <c r="P499" s="57"/>
      <c r="Q499" s="276"/>
      <c r="R499" s="277"/>
      <c r="S499" s="277"/>
      <c r="T499" s="40"/>
      <c r="U499" s="278"/>
      <c r="V499" s="269"/>
      <c r="W499" s="269"/>
      <c r="X499" s="275"/>
      <c r="Y499" s="269"/>
      <c r="Z499" s="57"/>
      <c r="AA499" s="207"/>
      <c r="AB499" s="33"/>
      <c r="AC499" s="189"/>
      <c r="AD499" s="54"/>
      <c r="AE499" s="55"/>
      <c r="AF499" s="43"/>
      <c r="AG499" s="47"/>
      <c r="AH499" s="30"/>
      <c r="AI499" s="30"/>
      <c r="AJ499" s="30"/>
      <c r="AK499" s="30"/>
      <c r="AL499" s="13"/>
      <c r="AM499" s="13"/>
      <c r="AN499" s="13"/>
      <c r="AO499" s="13"/>
      <c r="AP499" s="13"/>
      <c r="AQ499" s="14"/>
      <c r="AR499" s="15"/>
    </row>
    <row r="500" spans="1:44" s="17" customFormat="1" ht="30.95" hidden="1" customHeight="1" x14ac:dyDescent="0.2">
      <c r="A500" s="37"/>
      <c r="B500" s="38"/>
      <c r="C500" s="45"/>
      <c r="D500" s="31">
        <v>3712103</v>
      </c>
      <c r="E500" s="31">
        <v>4151373</v>
      </c>
      <c r="F500" s="268" t="str">
        <f>IF(D500="","",VLOOKUP(D500,契約台帳!$A$3:$K$4986,6,FALSE)&amp;VLOOKUP(D500,契約台帳!$A$3:$K$4986,7,FALSE)&amp;VLOOKUP(D500,契約台帳!$A$3:$K$4986,8,FALSE)&amp;VLOOKUP(D500,契約台帳!$A$3:$K$4986,9,FALSE)&amp;VLOOKUP(D500,契約台帳!$A$3:$K$4986,11,FALSE))</f>
        <v>3SNMLBMNGKBF</v>
      </c>
      <c r="G500" s="269" t="str">
        <f>IF(D500="","",VLOOKUP(F500,製品マスタ!$G$5:$H$5002,2,FALSE))</f>
        <v>S</v>
      </c>
      <c r="H500" s="269" t="str">
        <f>IF(D500="","",VLOOKUP(F500,製品マスタ!$G$5:$K$5002,5,FALSE))</f>
        <v>MNGKBF</v>
      </c>
      <c r="I500" s="270" t="str">
        <f>IF(D500="","",VLOOKUP(F500,製品マスタ!$G$5:$L$5002,6,FALSE))</f>
        <v>メタルミー　ネーマー銀消　Ｂ</v>
      </c>
      <c r="J500" s="32" t="s">
        <v>447</v>
      </c>
      <c r="K500" s="270">
        <f>IF(D500="","",VLOOKUP(D500,契約台帳!$A$3:$L$4986,12,FALSE))</f>
        <v>50</v>
      </c>
      <c r="L500" s="270" t="str">
        <f>IF(D500="","",INDEX(製品マスタ!$Q$5:$Q$5002,MATCH(F500&amp;K500,製品マスタ!$AO$5:$AO$5002,0)))</f>
        <v>MAT</v>
      </c>
      <c r="M500" s="39">
        <v>1050</v>
      </c>
      <c r="N500" s="39">
        <v>8200</v>
      </c>
      <c r="O500" s="47">
        <v>2</v>
      </c>
      <c r="P500" s="57"/>
      <c r="Q500" s="276">
        <f>IF(D500="","",IF(J500="リード付け",M500,VLOOKUP(D500,契約台帳!$A$3:$N$4986,14,FALSE)))</f>
        <v>1050</v>
      </c>
      <c r="R500" s="277">
        <f>IF(D500="","",IF(J500="リード付け",M500,VLOOKUP(D500,契約台帳!$A$3:$O$4986,15,FALSE)))</f>
        <v>1050</v>
      </c>
      <c r="S500" s="277">
        <f>IF(D500="","",IF(J500="リード付け",N500,VLOOKUP(D500,契約台帳!$A$3:$P$4986,16,FALSE)))</f>
        <v>4100</v>
      </c>
      <c r="T500" s="40">
        <v>4</v>
      </c>
      <c r="U500" s="302">
        <f ca="1">IF(D500="","",IF(OFFSET(D500,-2,0)=D500,"",VLOOKUP(D500,契約台帳!$A$3:$R$4986,18,FALSE)))</f>
        <v>4</v>
      </c>
      <c r="V500" s="269" t="str">
        <f>IF(J500="巻返し",VLOOKUP(F500&amp;K500&amp;M500,製品マスタ!$M$5:$AD$5002,18,FALSE),IF(J500="リード付け","原反コア",IF(J500="スリット",VLOOKUP(F500&amp;K500&amp;Q500,製品マスタ!$N$5:$AD$5002,17,FALSE),"")))</f>
        <v>6ｲﾝﾁSｺｱ</v>
      </c>
      <c r="W500" s="269">
        <f>IF(J500="巻返し",VLOOKUP(F500&amp;K500&amp;M500,製品マスタ!$M$5:$AE$5002,19,FALSE),IF(J500="リード付け","-",IF(J500="スリット",VLOOKUP(F500&amp;K500&amp;Q500,製品マスタ!$N$5:$AE$5002,18,FALSE),"")))</f>
        <v>1055</v>
      </c>
      <c r="X500" s="275">
        <f>IF(D500="","",VLOOKUP(D500,契約台帳!$A$3:$Q$4986,17,FALSE))</f>
        <v>2</v>
      </c>
      <c r="Y500" s="269" t="str">
        <f>IF(D500="","",VLOOKUP(D500,契約台帳!$A$3:$E$4986,5,FALSE))</f>
        <v>リンテック㈱</v>
      </c>
      <c r="Z500" s="57">
        <v>45100</v>
      </c>
      <c r="AA500" s="303">
        <f>IFERROR(VLOOKUP(F500&amp;K500&amp;M500,製品マスタ!$M$5:$AM$5002,27,FALSE),"")</f>
        <v>0</v>
      </c>
      <c r="AB500" s="33"/>
      <c r="AC500" s="189"/>
      <c r="AD500" s="54" t="str">
        <f>IF(F500="","",+F500&amp;K500)</f>
        <v>3SNMLBMNGKBF50</v>
      </c>
      <c r="AE500" s="55">
        <f>+M500*N500*O500/1000</f>
        <v>17220</v>
      </c>
      <c r="AF500" s="43">
        <f>IF(AD500="","",VLOOKUP(AD500,原価マスタ!$A$2:$AJ$1693,13,FALSE))</f>
        <v>98</v>
      </c>
      <c r="AG500" s="47">
        <f>IF(AF500="","",+AE500*AF500/100)</f>
        <v>16875.599999999999</v>
      </c>
      <c r="AH500" s="30"/>
      <c r="AI500" s="30"/>
      <c r="AJ500" s="30"/>
      <c r="AK500" s="30"/>
      <c r="AL500" s="13"/>
      <c r="AM500" s="13"/>
      <c r="AN500" s="13"/>
      <c r="AO500" s="13"/>
      <c r="AP500" s="13"/>
      <c r="AQ500" s="14"/>
      <c r="AR500" s="15"/>
    </row>
    <row r="501" spans="1:44" s="17" customFormat="1" ht="30.95" hidden="1" customHeight="1" x14ac:dyDescent="0.2">
      <c r="A501" s="37"/>
      <c r="B501" s="38"/>
      <c r="C501" s="45"/>
      <c r="D501" s="31"/>
      <c r="E501" s="31"/>
      <c r="F501" s="268"/>
      <c r="G501" s="269"/>
      <c r="H501" s="269"/>
      <c r="I501" s="270"/>
      <c r="J501" s="32"/>
      <c r="K501" s="270"/>
      <c r="L501" s="270"/>
      <c r="M501" s="39"/>
      <c r="N501" s="39"/>
      <c r="O501" s="47"/>
      <c r="P501" s="57"/>
      <c r="Q501" s="276"/>
      <c r="R501" s="277"/>
      <c r="S501" s="277"/>
      <c r="T501" s="40"/>
      <c r="U501" s="278"/>
      <c r="V501" s="269"/>
      <c r="W501" s="269"/>
      <c r="X501" s="275"/>
      <c r="Y501" s="269"/>
      <c r="Z501" s="57"/>
      <c r="AA501" s="207"/>
      <c r="AB501" s="33"/>
      <c r="AC501" s="189"/>
      <c r="AD501" s="54"/>
      <c r="AE501" s="55"/>
      <c r="AF501" s="43"/>
      <c r="AG501" s="47"/>
      <c r="AH501" s="30"/>
      <c r="AI501" s="30"/>
      <c r="AJ501" s="30"/>
      <c r="AK501" s="30"/>
      <c r="AL501" s="13"/>
      <c r="AM501" s="13"/>
      <c r="AN501" s="13"/>
      <c r="AO501" s="13"/>
      <c r="AP501" s="13"/>
      <c r="AQ501" s="14"/>
      <c r="AR501" s="15"/>
    </row>
    <row r="502" spans="1:44" s="17" customFormat="1" ht="30.95" hidden="1" customHeight="1" x14ac:dyDescent="0.2">
      <c r="A502" s="37" t="s">
        <v>1252</v>
      </c>
      <c r="B502" s="38" t="s">
        <v>1253</v>
      </c>
      <c r="C502" s="45"/>
      <c r="D502" s="31">
        <v>3712108</v>
      </c>
      <c r="E502" s="31">
        <v>4151381</v>
      </c>
      <c r="F502" s="268" t="str">
        <f>IF(D502="","",VLOOKUP(D502,契約台帳!$A$3:$K$4986,6,FALSE)&amp;VLOOKUP(D502,契約台帳!$A$3:$K$4986,7,FALSE)&amp;VLOOKUP(D502,契約台帳!$A$3:$K$4986,8,FALSE)&amp;VLOOKUP(D502,契約台帳!$A$3:$K$4986,9,FALSE)&amp;VLOOKUP(D502,契約台帳!$A$3:$K$4986,11,FALSE))</f>
        <v>3SNMLBMNNGKBF</v>
      </c>
      <c r="G502" s="269" t="str">
        <f>IF(D502="","",VLOOKUP(F502,製品マスタ!$G$5:$H$5002,2,FALSE))</f>
        <v>S</v>
      </c>
      <c r="H502" s="269" t="str">
        <f>IF(D502="","",VLOOKUP(F502,製品マスタ!$G$5:$K$5002,5,FALSE))</f>
        <v>MNNGKBF</v>
      </c>
      <c r="I502" s="270" t="str">
        <f>IF(D502="","",VLOOKUP(F502,製品マスタ!$G$5:$L$5002,6,FALSE))</f>
        <v>メタルミー　ニューネーマー銀消　Ｂ</v>
      </c>
      <c r="J502" s="32" t="s">
        <v>447</v>
      </c>
      <c r="K502" s="270">
        <f>IF(D502="","",VLOOKUP(D502,契約台帳!$A$3:$L$4986,12,FALSE))</f>
        <v>50</v>
      </c>
      <c r="L502" s="270" t="str">
        <f>IF(D502="","",INDEX(製品マスタ!$Q$5:$Q$5002,MATCH(F502&amp;K502,製品マスタ!$AO$5:$AO$5002,0)))</f>
        <v>X44</v>
      </c>
      <c r="M502" s="39">
        <v>1000</v>
      </c>
      <c r="N502" s="39">
        <v>12000</v>
      </c>
      <c r="O502" s="47">
        <v>5</v>
      </c>
      <c r="P502" s="57"/>
      <c r="Q502" s="276">
        <f>IF(D502="","",IF(J502="リード付け",M502,VLOOKUP(D502,契約台帳!$A$3:$N$4986,14,FALSE)))</f>
        <v>1000</v>
      </c>
      <c r="R502" s="277">
        <f>IF(D502="","",IF(J502="リード付け",M502,VLOOKUP(D502,契約台帳!$A$3:$O$4986,15,FALSE)))</f>
        <v>1000</v>
      </c>
      <c r="S502" s="277">
        <f>IF(D502="","",IF(J502="リード付け",N502,VLOOKUP(D502,契約台帳!$A$3:$P$4986,16,FALSE)))</f>
        <v>4000</v>
      </c>
      <c r="T502" s="40">
        <v>15</v>
      </c>
      <c r="U502" s="302">
        <f ca="1">IF(D502="","",IF(OFFSET(D502,-2,0)=D502,"",VLOOKUP(D502,契約台帳!$A$3:$R$4986,18,FALSE)))</f>
        <v>15</v>
      </c>
      <c r="V502" s="269" t="str">
        <f>IF(J502="巻返し",VLOOKUP(F502&amp;K502&amp;M502,製品マスタ!$M$5:$AD$5002,18,FALSE),IF(J502="リード付け","原反コア",IF(J502="スリット",VLOOKUP(F502&amp;K502&amp;Q502,製品マスタ!$N$5:$AD$5002,17,FALSE),"")))</f>
        <v>6ｲﾝﾁSｺｱ</v>
      </c>
      <c r="W502" s="269">
        <f>IF(J502="巻返し",VLOOKUP(F502&amp;K502&amp;M502,製品マスタ!$M$5:$AE$5002,19,FALSE),IF(J502="リード付け","-",IF(J502="スリット",VLOOKUP(F502&amp;K502&amp;Q502,製品マスタ!$N$5:$AE$5002,18,FALSE),"")))</f>
        <v>1005</v>
      </c>
      <c r="X502" s="275">
        <f>IF(D502="","",VLOOKUP(D502,契約台帳!$A$3:$Q$4986,17,FALSE))</f>
        <v>2</v>
      </c>
      <c r="Y502" s="269" t="str">
        <f>IF(D502="","",VLOOKUP(D502,契約台帳!$A$3:$E$4986,5,FALSE))</f>
        <v>リンテック㈱</v>
      </c>
      <c r="Z502" s="57">
        <v>45103</v>
      </c>
      <c r="AA502" s="303" t="str">
        <f>IFERROR(VLOOKUP(F502&amp;K502&amp;M502,製品マスタ!$M$5:$AM$5002,27,FALSE),"")</f>
        <v>原反ケース再利用</v>
      </c>
      <c r="AB502" s="33"/>
      <c r="AC502" s="189"/>
      <c r="AD502" s="54" t="str">
        <f>IF(F502="","",+F502&amp;K502)</f>
        <v>3SNMLBMNNGKBF50</v>
      </c>
      <c r="AE502" s="55">
        <f>+M502*N502*O502/1000</f>
        <v>60000</v>
      </c>
      <c r="AF502" s="43">
        <f>IF(AD502="","",VLOOKUP(AD502,原価マスタ!$A$2:$AJ$1693,13,FALSE))</f>
        <v>99</v>
      </c>
      <c r="AG502" s="47">
        <f>IF(AF502="","",+AE502*AF502/100)</f>
        <v>59400</v>
      </c>
      <c r="AH502" s="30"/>
      <c r="AI502" s="30"/>
      <c r="AJ502" s="30"/>
      <c r="AK502" s="30"/>
      <c r="AL502" s="13"/>
      <c r="AM502" s="13"/>
      <c r="AN502" s="13"/>
      <c r="AO502" s="13"/>
      <c r="AP502" s="13"/>
      <c r="AQ502" s="14"/>
      <c r="AR502" s="15"/>
    </row>
    <row r="503" spans="1:44" s="17" customFormat="1" ht="30.95" hidden="1" customHeight="1" x14ac:dyDescent="0.2">
      <c r="A503" s="37"/>
      <c r="B503" s="38"/>
      <c r="C503" s="45"/>
      <c r="D503" s="31"/>
      <c r="E503" s="31"/>
      <c r="F503" s="268"/>
      <c r="G503" s="269"/>
      <c r="H503" s="269"/>
      <c r="I503" s="270"/>
      <c r="J503" s="32"/>
      <c r="K503" s="270"/>
      <c r="L503" s="270"/>
      <c r="M503" s="39"/>
      <c r="N503" s="39"/>
      <c r="O503" s="47"/>
      <c r="P503" s="57"/>
      <c r="Q503" s="276"/>
      <c r="R503" s="277"/>
      <c r="S503" s="277"/>
      <c r="T503" s="40"/>
      <c r="U503" s="278"/>
      <c r="V503" s="269"/>
      <c r="W503" s="269"/>
      <c r="X503" s="275"/>
      <c r="Y503" s="269"/>
      <c r="Z503" s="57"/>
      <c r="AA503" s="207"/>
      <c r="AB503" s="33"/>
      <c r="AC503" s="189"/>
      <c r="AD503" s="54"/>
      <c r="AE503" s="55"/>
      <c r="AF503" s="43"/>
      <c r="AG503" s="47"/>
      <c r="AH503" s="30"/>
      <c r="AI503" s="30"/>
      <c r="AJ503" s="30"/>
      <c r="AK503" s="30"/>
      <c r="AL503" s="13"/>
      <c r="AM503" s="13"/>
      <c r="AN503" s="13"/>
      <c r="AO503" s="13"/>
      <c r="AP503" s="13"/>
      <c r="AQ503" s="14"/>
      <c r="AR503" s="15"/>
    </row>
    <row r="504" spans="1:44" s="17" customFormat="1" ht="30.95" hidden="1" customHeight="1" x14ac:dyDescent="0.2">
      <c r="A504" s="37"/>
      <c r="B504" s="38"/>
      <c r="C504" s="45"/>
      <c r="D504" s="31">
        <v>3712099</v>
      </c>
      <c r="E504" s="31">
        <v>4151375</v>
      </c>
      <c r="F504" s="268" t="str">
        <f>IF(D504="","",VLOOKUP(D504,契約台帳!$A$3:$K$4986,6,FALSE)&amp;VLOOKUP(D504,契約台帳!$A$3:$K$4986,7,FALSE)&amp;VLOOKUP(D504,契約台帳!$A$3:$K$4986,8,FALSE)&amp;VLOOKUP(D504,契約台帳!$A$3:$K$4986,9,FALSE)&amp;VLOOKUP(D504,契約台帳!$A$3:$K$4986,11,FALSE))</f>
        <v>3SNMLBMNGKKBF</v>
      </c>
      <c r="G504" s="269" t="str">
        <f>IF(D504="","",VLOOKUP(F504,製品マスタ!$G$5:$H$5002,2,FALSE))</f>
        <v>S</v>
      </c>
      <c r="H504" s="269" t="str">
        <f>IF(D504="","",VLOOKUP(F504,製品マスタ!$G$5:$K$5002,5,FALSE))</f>
        <v>MNGKKBF</v>
      </c>
      <c r="I504" s="270" t="str">
        <f>IF(D504="","",VLOOKUP(F504,製品マスタ!$G$5:$L$5002,6,FALSE))</f>
        <v>メタルミー　ネーマー銀消改　Ｂ</v>
      </c>
      <c r="J504" s="32" t="s">
        <v>447</v>
      </c>
      <c r="K504" s="270">
        <f>IF(D504="","",VLOOKUP(D504,契約台帳!$A$3:$L$4986,12,FALSE))</f>
        <v>25</v>
      </c>
      <c r="L504" s="270" t="str">
        <f>IF(D504="","",INDEX(製品マスタ!$Q$5:$Q$5002,MATCH(F504&amp;K504,製品マスタ!$AO$5:$AO$5002,0)))</f>
        <v>FMATS99</v>
      </c>
      <c r="M504" s="39">
        <v>1000</v>
      </c>
      <c r="N504" s="39">
        <v>12000</v>
      </c>
      <c r="O504" s="47">
        <v>1</v>
      </c>
      <c r="P504" s="57"/>
      <c r="Q504" s="276">
        <f>IF(D504="","",IF(J504="リード付け",M504,VLOOKUP(D504,契約台帳!$A$3:$N$4986,14,FALSE)))</f>
        <v>1000</v>
      </c>
      <c r="R504" s="277">
        <f>IF(D504="","",IF(J504="リード付け",M504,VLOOKUP(D504,契約台帳!$A$3:$O$4986,15,FALSE)))</f>
        <v>1000</v>
      </c>
      <c r="S504" s="277">
        <f>IF(D504="","",IF(J504="リード付け",N504,VLOOKUP(D504,契約台帳!$A$3:$P$4986,16,FALSE)))</f>
        <v>4000</v>
      </c>
      <c r="T504" s="40">
        <v>3</v>
      </c>
      <c r="U504" s="302">
        <f ca="1">IF(D504="","",IF(OFFSET(D504,-2,0)=D504,"",VLOOKUP(D504,契約台帳!$A$3:$R$4986,18,FALSE)))</f>
        <v>3</v>
      </c>
      <c r="V504" s="269" t="str">
        <f>IF(J504="巻返し",VLOOKUP(F504&amp;K504&amp;M504,製品マスタ!$M$5:$AD$5002,18,FALSE),IF(J504="リード付け","原反コア",IF(J504="スリット",VLOOKUP(F504&amp;K504&amp;Q504,製品マスタ!$N$5:$AD$5002,17,FALSE),"")))</f>
        <v>6ｲﾝﾁSｺｱ</v>
      </c>
      <c r="W504" s="269">
        <f>IF(J504="巻返し",VLOOKUP(F504&amp;K504&amp;M504,製品マスタ!$M$5:$AE$5002,19,FALSE),IF(J504="リード付け","-",IF(J504="スリット",VLOOKUP(F504&amp;K504&amp;Q504,製品マスタ!$N$5:$AE$5002,18,FALSE),"")))</f>
        <v>1005</v>
      </c>
      <c r="X504" s="275">
        <f>IF(D504="","",VLOOKUP(D504,契約台帳!$A$3:$Q$4986,17,FALSE))</f>
        <v>2</v>
      </c>
      <c r="Y504" s="269" t="str">
        <f>IF(D504="","",VLOOKUP(D504,契約台帳!$A$3:$E$4986,5,FALSE))</f>
        <v>リンテック㈱</v>
      </c>
      <c r="Z504" s="57">
        <v>45103</v>
      </c>
      <c r="AA504" s="303">
        <f>IFERROR(VLOOKUP(F504&amp;K504&amp;M504,製品マスタ!$M$5:$AM$5002,27,FALSE),"")</f>
        <v>0</v>
      </c>
      <c r="AB504" s="33"/>
      <c r="AC504" s="189"/>
      <c r="AD504" s="54" t="str">
        <f>IF(F504="","",+F504&amp;K504)</f>
        <v>3SNMLBMNGKKBF25</v>
      </c>
      <c r="AE504" s="55">
        <f>+M504*N504*O504/1000</f>
        <v>12000</v>
      </c>
      <c r="AF504" s="43">
        <f>IF(AD504="","",VLOOKUP(AD504,原価マスタ!$A$2:$AJ$1693,13,FALSE))</f>
        <v>96</v>
      </c>
      <c r="AG504" s="47">
        <f>IF(AF504="","",+AE504*AF504/100)</f>
        <v>11520</v>
      </c>
      <c r="AH504" s="30"/>
      <c r="AI504" s="30"/>
      <c r="AJ504" s="30"/>
      <c r="AK504" s="30"/>
      <c r="AL504" s="13"/>
      <c r="AM504" s="13"/>
      <c r="AN504" s="13"/>
      <c r="AO504" s="13"/>
      <c r="AP504" s="13"/>
      <c r="AQ504" s="14"/>
      <c r="AR504" s="15"/>
    </row>
    <row r="505" spans="1:44" s="17" customFormat="1" ht="30.95" hidden="1" customHeight="1" x14ac:dyDescent="0.2">
      <c r="A505" s="37"/>
      <c r="B505" s="38"/>
      <c r="C505" s="45"/>
      <c r="D505" s="31"/>
      <c r="E505" s="31"/>
      <c r="F505" s="268"/>
      <c r="G505" s="269"/>
      <c r="H505" s="269"/>
      <c r="I505" s="270"/>
      <c r="J505" s="32"/>
      <c r="K505" s="270"/>
      <c r="L505" s="270"/>
      <c r="M505" s="39"/>
      <c r="N505" s="39"/>
      <c r="O505" s="47"/>
      <c r="P505" s="57"/>
      <c r="Q505" s="276"/>
      <c r="R505" s="277"/>
      <c r="S505" s="277"/>
      <c r="T505" s="40"/>
      <c r="U505" s="278"/>
      <c r="V505" s="269"/>
      <c r="W505" s="269"/>
      <c r="X505" s="275"/>
      <c r="Y505" s="269"/>
      <c r="Z505" s="57"/>
      <c r="AA505" s="207"/>
      <c r="AB505" s="33"/>
      <c r="AC505" s="189"/>
      <c r="AD505" s="54"/>
      <c r="AE505" s="55"/>
      <c r="AF505" s="43"/>
      <c r="AG505" s="47"/>
      <c r="AH505" s="30"/>
      <c r="AI505" s="30"/>
      <c r="AJ505" s="30"/>
      <c r="AK505" s="30"/>
      <c r="AL505" s="13"/>
      <c r="AM505" s="13"/>
      <c r="AN505" s="13"/>
      <c r="AO505" s="13"/>
      <c r="AP505" s="13"/>
      <c r="AQ505" s="14"/>
      <c r="AR505" s="15"/>
    </row>
    <row r="506" spans="1:44" s="17" customFormat="1" ht="30.95" hidden="1" customHeight="1" x14ac:dyDescent="0.2">
      <c r="A506" s="37" t="s">
        <v>1211</v>
      </c>
      <c r="B506" s="38" t="s">
        <v>444</v>
      </c>
      <c r="C506" s="45"/>
      <c r="D506" s="31">
        <v>3712107</v>
      </c>
      <c r="E506" s="31">
        <v>4151383</v>
      </c>
      <c r="F506" s="268" t="str">
        <f>IF(D506="","",VLOOKUP(D506,契約台帳!$A$3:$K$4986,6,FALSE)&amp;VLOOKUP(D506,契約台帳!$A$3:$K$4986,7,FALSE)&amp;VLOOKUP(D506,契約台帳!$A$3:$K$4986,8,FALSE)&amp;VLOOKUP(D506,契約台帳!$A$3:$K$4986,9,FALSE)&amp;VLOOKUP(D506,契約台帳!$A$3:$K$4986,11,FALSE))</f>
        <v>3SNMLBMNNGKBF</v>
      </c>
      <c r="G506" s="269" t="str">
        <f>IF(D506="","",VLOOKUP(F506,製品マスタ!$G$5:$H$5002,2,FALSE))</f>
        <v>S</v>
      </c>
      <c r="H506" s="269" t="str">
        <f>IF(D506="","",VLOOKUP(F506,製品マスタ!$G$5:$K$5002,5,FALSE))</f>
        <v>MNNGKBF</v>
      </c>
      <c r="I506" s="270" t="str">
        <f>IF(D506="","",VLOOKUP(F506,製品マスタ!$G$5:$L$5002,6,FALSE))</f>
        <v>メタルミー　ニューネーマー銀消　Ｂ</v>
      </c>
      <c r="J506" s="32" t="s">
        <v>447</v>
      </c>
      <c r="K506" s="270">
        <f>IF(D506="","",VLOOKUP(D506,契約台帳!$A$3:$L$4986,12,FALSE))</f>
        <v>25</v>
      </c>
      <c r="L506" s="270" t="str">
        <f>IF(D506="","",INDEX(製品マスタ!$Q$5:$Q$5002,MATCH(F506&amp;K506,製品マスタ!$AO$5:$AO$5002,0)))</f>
        <v>X44C</v>
      </c>
      <c r="M506" s="39">
        <v>1005</v>
      </c>
      <c r="N506" s="39">
        <v>8000</v>
      </c>
      <c r="O506" s="47">
        <v>2</v>
      </c>
      <c r="P506" s="57"/>
      <c r="Q506" s="276">
        <f>IF(D506="","",IF(J506="リード付け",M506,VLOOKUP(D506,契約台帳!$A$3:$N$4986,14,FALSE)))</f>
        <v>1005</v>
      </c>
      <c r="R506" s="277">
        <f>IF(D506="","",IF(J506="リード付け",M506,VLOOKUP(D506,契約台帳!$A$3:$O$4986,15,FALSE)))</f>
        <v>1000</v>
      </c>
      <c r="S506" s="277">
        <f>IF(D506="","",IF(J506="リード付け",N506,VLOOKUP(D506,契約台帳!$A$3:$P$4986,16,FALSE)))</f>
        <v>4000</v>
      </c>
      <c r="T506" s="40">
        <v>4</v>
      </c>
      <c r="U506" s="302">
        <f ca="1">IF(D506="","",IF(OFFSET(D506,-2,0)=D506,"",VLOOKUP(D506,契約台帳!$A$3:$R$4986,18,FALSE)))</f>
        <v>4</v>
      </c>
      <c r="V506" s="269" t="str">
        <f>IF(J506="巻返し",VLOOKUP(F506&amp;K506&amp;M506,製品マスタ!$M$5:$AD$5002,18,FALSE),IF(J506="リード付け","原反コア",IF(J506="スリット",VLOOKUP(F506&amp;K506&amp;Q506,製品マスタ!$N$5:$AD$5002,17,FALSE),"")))</f>
        <v>6ｲﾝﾁSｺｱ</v>
      </c>
      <c r="W506" s="269">
        <f>IF(J506="巻返し",VLOOKUP(F506&amp;K506&amp;M506,製品マスタ!$M$5:$AE$5002,19,FALSE),IF(J506="リード付け","-",IF(J506="スリット",VLOOKUP(F506&amp;K506&amp;Q506,製品マスタ!$N$5:$AE$5002,18,FALSE),"")))</f>
        <v>1015</v>
      </c>
      <c r="X506" s="275">
        <f>IF(D506="","",VLOOKUP(D506,契約台帳!$A$3:$Q$4986,17,FALSE))</f>
        <v>2</v>
      </c>
      <c r="Y506" s="269" t="str">
        <f>IF(D506="","",VLOOKUP(D506,契約台帳!$A$3:$E$4986,5,FALSE))</f>
        <v>リンテック㈱</v>
      </c>
      <c r="Z506" s="57">
        <v>45104</v>
      </c>
      <c r="AA506" s="303">
        <f>IFERROR(VLOOKUP(F506&amp;K506&amp;M506,製品マスタ!$M$5:$AM$5002,27,FALSE),"")</f>
        <v>0</v>
      </c>
      <c r="AB506" s="33"/>
      <c r="AC506" s="189"/>
      <c r="AD506" s="54" t="str">
        <f>IF(F506="","",+F506&amp;K506)</f>
        <v>3SNMLBMNNGKBF25</v>
      </c>
      <c r="AE506" s="55">
        <f>+M506*N506*O506/1000</f>
        <v>16080</v>
      </c>
      <c r="AF506" s="43">
        <f>IF(AD506="","",VLOOKUP(AD506,原価マスタ!$A$2:$AJ$1693,13,FALSE))</f>
        <v>98.3</v>
      </c>
      <c r="AG506" s="47">
        <f>IF(AF506="","",+AE506*AF506/100)</f>
        <v>15806.64</v>
      </c>
      <c r="AH506" s="30"/>
      <c r="AI506" s="30"/>
      <c r="AJ506" s="30"/>
      <c r="AK506" s="30"/>
      <c r="AL506" s="13"/>
      <c r="AM506" s="13"/>
      <c r="AN506" s="13"/>
      <c r="AO506" s="13"/>
      <c r="AP506" s="13"/>
      <c r="AQ506" s="14"/>
      <c r="AR506" s="15"/>
    </row>
    <row r="507" spans="1:44" s="17" customFormat="1" ht="30.95" hidden="1" customHeight="1" x14ac:dyDescent="0.2">
      <c r="A507" s="37"/>
      <c r="B507" s="38"/>
      <c r="C507" s="45"/>
      <c r="D507" s="31"/>
      <c r="E507" s="31"/>
      <c r="F507" s="268"/>
      <c r="G507" s="269"/>
      <c r="H507" s="269"/>
      <c r="I507" s="270"/>
      <c r="J507" s="32"/>
      <c r="K507" s="270"/>
      <c r="L507" s="270"/>
      <c r="M507" s="39"/>
      <c r="N507" s="39"/>
      <c r="O507" s="47"/>
      <c r="P507" s="57"/>
      <c r="Q507" s="276"/>
      <c r="R507" s="277"/>
      <c r="S507" s="277"/>
      <c r="T507" s="40"/>
      <c r="U507" s="278"/>
      <c r="V507" s="269"/>
      <c r="W507" s="269"/>
      <c r="X507" s="275"/>
      <c r="Y507" s="269"/>
      <c r="Z507" s="57"/>
      <c r="AA507" s="207"/>
      <c r="AB507" s="33"/>
      <c r="AC507" s="189"/>
      <c r="AD507" s="54"/>
      <c r="AE507" s="55"/>
      <c r="AF507" s="43"/>
      <c r="AG507" s="47"/>
      <c r="AH507" s="30"/>
      <c r="AI507" s="30"/>
      <c r="AJ507" s="30"/>
      <c r="AK507" s="30"/>
      <c r="AL507" s="13"/>
      <c r="AM507" s="13"/>
      <c r="AN507" s="13"/>
      <c r="AO507" s="13"/>
      <c r="AP507" s="13"/>
      <c r="AQ507" s="14"/>
      <c r="AR507" s="15"/>
    </row>
    <row r="508" spans="1:44" s="17" customFormat="1" ht="30.95" hidden="1" customHeight="1" x14ac:dyDescent="0.2">
      <c r="A508" s="37"/>
      <c r="B508" s="38"/>
      <c r="C508" s="45"/>
      <c r="D508" s="31">
        <v>3712089</v>
      </c>
      <c r="E508" s="31">
        <v>4151382</v>
      </c>
      <c r="F508" s="268" t="str">
        <f>IF(D508="","",VLOOKUP(D508,契約台帳!$A$3:$K$4986,6,FALSE)&amp;VLOOKUP(D508,契約台帳!$A$3:$K$4986,7,FALSE)&amp;VLOOKUP(D508,契約台帳!$A$3:$K$4986,8,FALSE)&amp;VLOOKUP(D508,契約台帳!$A$3:$K$4986,9,FALSE)&amp;VLOOKUP(D508,契約台帳!$A$3:$K$4986,11,FALSE))</f>
        <v>3SNMLBMSF</v>
      </c>
      <c r="G508" s="269" t="str">
        <f>IF(D508="","",VLOOKUP(F508,製品マスタ!$G$5:$H$5002,2,FALSE))</f>
        <v>S</v>
      </c>
      <c r="H508" s="269" t="str">
        <f>IF(D508="","",VLOOKUP(F508,製品マスタ!$G$5:$K$5002,5,FALSE))</f>
        <v>MSF</v>
      </c>
      <c r="I508" s="270" t="str">
        <f>IF(D508="","",VLOOKUP(F508,製品マスタ!$G$5:$L$5002,6,FALSE))</f>
        <v>メタルミー　Ｓ</v>
      </c>
      <c r="J508" s="32" t="s">
        <v>447</v>
      </c>
      <c r="K508" s="270">
        <f>IF(D508="","",VLOOKUP(D508,契約台帳!$A$3:$L$4986,12,FALSE))</f>
        <v>25</v>
      </c>
      <c r="L508" s="270" t="str">
        <f>IF(D508="","",INDEX(製品マスタ!$Q$5:$Q$5002,MATCH(F508&amp;K508,製品マスタ!$AO$5:$AO$5002,0)))</f>
        <v>T62M</v>
      </c>
      <c r="M508" s="39">
        <v>1020</v>
      </c>
      <c r="N508" s="39">
        <v>12100</v>
      </c>
      <c r="O508" s="47">
        <v>1</v>
      </c>
      <c r="P508" s="57"/>
      <c r="Q508" s="276">
        <f>IF(D508="","",IF(J508="リード付け",M508,VLOOKUP(D508,契約台帳!$A$3:$N$4986,14,FALSE)))</f>
        <v>1020</v>
      </c>
      <c r="R508" s="277">
        <f>IF(D508="","",IF(J508="リード付け",M508,VLOOKUP(D508,契約台帳!$A$3:$O$4986,15,FALSE)))</f>
        <v>1020</v>
      </c>
      <c r="S508" s="277">
        <f>IF(D508="","",IF(J508="リード付け",N508,VLOOKUP(D508,契約台帳!$A$3:$P$4986,16,FALSE)))</f>
        <v>2000</v>
      </c>
      <c r="T508" s="40">
        <v>6</v>
      </c>
      <c r="U508" s="302">
        <f ca="1">IF(D508="","",IF(OFFSET(D508,-2,0)=D508,"",VLOOKUP(D508,契約台帳!$A$3:$R$4986,18,FALSE)))</f>
        <v>6</v>
      </c>
      <c r="V508" s="269" t="str">
        <f>IF(J508="巻返し",VLOOKUP(F508&amp;K508&amp;M508,製品マスタ!$M$5:$AD$5002,18,FALSE),IF(J508="リード付け","原反コア",IF(J508="スリット",VLOOKUP(F508&amp;K508&amp;Q508,製品マスタ!$N$5:$AD$5002,17,FALSE),"")))</f>
        <v>3ｲﾝﾁSｺｱ</v>
      </c>
      <c r="W508" s="269">
        <v>1025</v>
      </c>
      <c r="X508" s="275">
        <f>IF(D508="","",VLOOKUP(D508,契約台帳!$A$3:$Q$4986,17,FALSE))</f>
        <v>1</v>
      </c>
      <c r="Y508" s="269" t="str">
        <f>IF(D508="","",VLOOKUP(D508,契約台帳!$A$3:$E$4986,5,FALSE))</f>
        <v>日精㈱東京支店</v>
      </c>
      <c r="Z508" s="57">
        <v>45104</v>
      </c>
      <c r="AA508" s="303">
        <f>IFERROR(VLOOKUP(F508&amp;K508&amp;M508,製品マスタ!$M$5:$AM$5002,27,FALSE),"")</f>
        <v>0</v>
      </c>
      <c r="AB508" s="33"/>
      <c r="AC508" s="189"/>
      <c r="AD508" s="54" t="str">
        <f>IF(F508="","",+F508&amp;K508)</f>
        <v>3SNMLBMSF25</v>
      </c>
      <c r="AE508" s="55">
        <f>+M508*N508*O508/1000</f>
        <v>12342</v>
      </c>
      <c r="AF508" s="43">
        <f>IF(AD508="","",VLOOKUP(AD508,原価マスタ!$A$2:$AJ$1693,13,FALSE))</f>
        <v>97</v>
      </c>
      <c r="AG508" s="47">
        <f>IF(AF508="","",+AE508*AF508/100)</f>
        <v>11971.74</v>
      </c>
      <c r="AH508" s="30"/>
      <c r="AI508" s="30"/>
      <c r="AJ508" s="30"/>
      <c r="AK508" s="30"/>
      <c r="AL508" s="13"/>
      <c r="AM508" s="13"/>
      <c r="AN508" s="13"/>
      <c r="AO508" s="13"/>
      <c r="AP508" s="13"/>
      <c r="AQ508" s="14"/>
      <c r="AR508" s="15"/>
    </row>
    <row r="509" spans="1:44" s="17" customFormat="1" ht="30.95" hidden="1" customHeight="1" x14ac:dyDescent="0.2">
      <c r="A509" s="37"/>
      <c r="B509" s="38"/>
      <c r="C509" s="45"/>
      <c r="D509" s="31"/>
      <c r="E509" s="31"/>
      <c r="F509" s="268"/>
      <c r="G509" s="269"/>
      <c r="H509" s="269"/>
      <c r="I509" s="270"/>
      <c r="J509" s="32"/>
      <c r="K509" s="270"/>
      <c r="L509" s="270"/>
      <c r="M509" s="39"/>
      <c r="N509" s="39"/>
      <c r="O509" s="47"/>
      <c r="P509" s="57"/>
      <c r="Q509" s="276"/>
      <c r="R509" s="277"/>
      <c r="S509" s="277"/>
      <c r="T509" s="40"/>
      <c r="U509" s="278"/>
      <c r="V509" s="269"/>
      <c r="W509" s="269"/>
      <c r="X509" s="275"/>
      <c r="Y509" s="269"/>
      <c r="Z509" s="57"/>
      <c r="AA509" s="207"/>
      <c r="AB509" s="33"/>
      <c r="AC509" s="189"/>
      <c r="AD509" s="54"/>
      <c r="AE509" s="55"/>
      <c r="AF509" s="43"/>
      <c r="AG509" s="47"/>
      <c r="AH509" s="30"/>
      <c r="AI509" s="30"/>
      <c r="AJ509" s="30"/>
      <c r="AK509" s="30"/>
      <c r="AL509" s="13"/>
      <c r="AM509" s="13"/>
      <c r="AN509" s="13"/>
      <c r="AO509" s="13"/>
      <c r="AP509" s="13"/>
      <c r="AQ509" s="14"/>
      <c r="AR509" s="15"/>
    </row>
    <row r="510" spans="1:44" s="17" customFormat="1" ht="30.95" hidden="1" customHeight="1" x14ac:dyDescent="0.2">
      <c r="A510" s="37" t="s">
        <v>1212</v>
      </c>
      <c r="B510" s="38" t="s">
        <v>1194</v>
      </c>
      <c r="C510" s="45"/>
      <c r="D510" s="31"/>
      <c r="E510" s="31"/>
      <c r="F510" s="268"/>
      <c r="G510" s="269"/>
      <c r="H510" s="269"/>
      <c r="I510" s="270"/>
      <c r="J510" s="32" t="s">
        <v>448</v>
      </c>
      <c r="K510" s="270"/>
      <c r="L510" s="270"/>
      <c r="M510" s="39"/>
      <c r="N510" s="39"/>
      <c r="O510" s="47"/>
      <c r="P510" s="57"/>
      <c r="Q510" s="276"/>
      <c r="R510" s="277"/>
      <c r="S510" s="277"/>
      <c r="T510" s="40"/>
      <c r="U510" s="278"/>
      <c r="V510" s="269"/>
      <c r="W510" s="269"/>
      <c r="X510" s="275"/>
      <c r="Y510" s="269"/>
      <c r="Z510" s="57"/>
      <c r="AA510" s="207"/>
      <c r="AB510" s="33"/>
      <c r="AC510" s="189"/>
      <c r="AD510" s="54"/>
      <c r="AE510" s="55"/>
      <c r="AF510" s="43"/>
      <c r="AG510" s="47"/>
      <c r="AH510" s="30"/>
      <c r="AI510" s="30"/>
      <c r="AJ510" s="30"/>
      <c r="AK510" s="30"/>
      <c r="AL510" s="13"/>
      <c r="AM510" s="13"/>
      <c r="AN510" s="13"/>
      <c r="AO510" s="13"/>
      <c r="AP510" s="13"/>
      <c r="AQ510" s="14"/>
      <c r="AR510" s="15"/>
    </row>
    <row r="511" spans="1:44" s="17" customFormat="1" ht="30.95" hidden="1" customHeight="1" x14ac:dyDescent="0.2">
      <c r="A511" s="37"/>
      <c r="B511" s="38"/>
      <c r="C511" s="45"/>
      <c r="D511" s="31"/>
      <c r="E511" s="31"/>
      <c r="F511" s="268"/>
      <c r="G511" s="269"/>
      <c r="H511" s="269"/>
      <c r="I511" s="270"/>
      <c r="J511" s="32"/>
      <c r="K511" s="270"/>
      <c r="L511" s="270"/>
      <c r="M511" s="39"/>
      <c r="N511" s="39"/>
      <c r="O511" s="47"/>
      <c r="P511" s="57"/>
      <c r="Q511" s="276"/>
      <c r="R511" s="277"/>
      <c r="S511" s="277"/>
      <c r="T511" s="40"/>
      <c r="U511" s="278"/>
      <c r="V511" s="269"/>
      <c r="W511" s="269"/>
      <c r="X511" s="275"/>
      <c r="Y511" s="269"/>
      <c r="Z511" s="57"/>
      <c r="AA511" s="207"/>
      <c r="AB511" s="33"/>
      <c r="AC511" s="189"/>
      <c r="AD511" s="54"/>
      <c r="AE511" s="55"/>
      <c r="AF511" s="43"/>
      <c r="AG511" s="47"/>
      <c r="AH511" s="30"/>
      <c r="AI511" s="30"/>
      <c r="AJ511" s="30"/>
      <c r="AK511" s="30"/>
      <c r="AL511" s="13"/>
      <c r="AM511" s="13"/>
      <c r="AN511" s="13"/>
      <c r="AO511" s="13"/>
      <c r="AP511" s="13"/>
      <c r="AQ511" s="14"/>
      <c r="AR511" s="15"/>
    </row>
    <row r="512" spans="1:44" s="17" customFormat="1" ht="30.95" hidden="1" customHeight="1" x14ac:dyDescent="0.2">
      <c r="A512" s="37" t="s">
        <v>1213</v>
      </c>
      <c r="B512" s="38" t="s">
        <v>1196</v>
      </c>
      <c r="C512" s="45"/>
      <c r="D512" s="31"/>
      <c r="E512" s="31"/>
      <c r="F512" s="268"/>
      <c r="G512" s="269"/>
      <c r="H512" s="269"/>
      <c r="I512" s="270"/>
      <c r="J512" s="32" t="s">
        <v>448</v>
      </c>
      <c r="K512" s="270"/>
      <c r="L512" s="270"/>
      <c r="M512" s="39"/>
      <c r="N512" s="39"/>
      <c r="O512" s="47"/>
      <c r="P512" s="57"/>
      <c r="Q512" s="276"/>
      <c r="R512" s="277"/>
      <c r="S512" s="277"/>
      <c r="T512" s="40"/>
      <c r="U512" s="278"/>
      <c r="V512" s="269"/>
      <c r="W512" s="269"/>
      <c r="X512" s="275"/>
      <c r="Y512" s="269"/>
      <c r="Z512" s="57"/>
      <c r="AA512" s="207"/>
      <c r="AB512" s="33"/>
      <c r="AC512" s="189"/>
      <c r="AD512" s="54"/>
      <c r="AE512" s="55"/>
      <c r="AF512" s="43"/>
      <c r="AG512" s="47"/>
      <c r="AH512" s="30"/>
      <c r="AI512" s="30"/>
      <c r="AJ512" s="30"/>
      <c r="AK512" s="30"/>
      <c r="AL512" s="13"/>
      <c r="AM512" s="13"/>
      <c r="AN512" s="13"/>
      <c r="AO512" s="13"/>
      <c r="AP512" s="13"/>
      <c r="AQ512" s="14"/>
      <c r="AR512" s="15"/>
    </row>
    <row r="513" spans="1:44" s="17" customFormat="1" ht="30.95" hidden="1" customHeight="1" x14ac:dyDescent="0.2">
      <c r="A513" s="37"/>
      <c r="B513" s="38"/>
      <c r="C513" s="45"/>
      <c r="D513" s="31"/>
      <c r="E513" s="31"/>
      <c r="F513" s="268"/>
      <c r="G513" s="269"/>
      <c r="H513" s="269"/>
      <c r="I513" s="270"/>
      <c r="J513" s="32"/>
      <c r="K513" s="270"/>
      <c r="L513" s="270"/>
      <c r="M513" s="39"/>
      <c r="N513" s="39"/>
      <c r="O513" s="47"/>
      <c r="P513" s="57"/>
      <c r="Q513" s="276"/>
      <c r="R513" s="277"/>
      <c r="S513" s="277"/>
      <c r="T513" s="40"/>
      <c r="U513" s="278"/>
      <c r="V513" s="269"/>
      <c r="W513" s="269"/>
      <c r="X513" s="275"/>
      <c r="Y513" s="269"/>
      <c r="Z513" s="57"/>
      <c r="AA513" s="207"/>
      <c r="AB513" s="33"/>
      <c r="AC513" s="189"/>
      <c r="AD513" s="54"/>
      <c r="AE513" s="55"/>
      <c r="AF513" s="43"/>
      <c r="AG513" s="47"/>
      <c r="AH513" s="30"/>
      <c r="AI513" s="30"/>
      <c r="AJ513" s="30"/>
      <c r="AK513" s="30"/>
      <c r="AL513" s="13"/>
      <c r="AM513" s="13"/>
      <c r="AN513" s="13"/>
      <c r="AO513" s="13"/>
      <c r="AP513" s="13"/>
      <c r="AQ513" s="14"/>
      <c r="AR513" s="15"/>
    </row>
    <row r="514" spans="1:44" s="17" customFormat="1" ht="30.95" hidden="1" customHeight="1" x14ac:dyDescent="0.2">
      <c r="A514" s="37" t="s">
        <v>1225</v>
      </c>
      <c r="B514" s="38" t="s">
        <v>462</v>
      </c>
      <c r="C514" s="45"/>
      <c r="D514" s="31">
        <v>5356332</v>
      </c>
      <c r="E514" s="31">
        <v>4151384</v>
      </c>
      <c r="F514" s="268" t="s">
        <v>927</v>
      </c>
      <c r="G514" s="269" t="s">
        <v>19</v>
      </c>
      <c r="H514" s="269" t="s">
        <v>1081</v>
      </c>
      <c r="I514" s="270" t="s">
        <v>222</v>
      </c>
      <c r="J514" s="32" t="s">
        <v>463</v>
      </c>
      <c r="K514" s="270">
        <v>25</v>
      </c>
      <c r="L514" s="270" t="s">
        <v>221</v>
      </c>
      <c r="M514" s="39">
        <v>1100</v>
      </c>
      <c r="N514" s="39">
        <v>6000</v>
      </c>
      <c r="O514" s="47">
        <v>6</v>
      </c>
      <c r="P514" s="213">
        <v>45100</v>
      </c>
      <c r="Q514" s="276">
        <v>1000</v>
      </c>
      <c r="R514" s="277">
        <v>1000</v>
      </c>
      <c r="S514" s="277">
        <v>5900</v>
      </c>
      <c r="T514" s="40">
        <v>6</v>
      </c>
      <c r="U514" s="302">
        <v>6</v>
      </c>
      <c r="V514" s="269" t="s">
        <v>773</v>
      </c>
      <c r="W514" s="269">
        <v>1010</v>
      </c>
      <c r="X514" s="275">
        <v>2</v>
      </c>
      <c r="Y514" s="269" t="s">
        <v>116</v>
      </c>
      <c r="Z514" s="57"/>
      <c r="AA514" s="303" t="s">
        <v>1083</v>
      </c>
      <c r="AB514" s="33"/>
      <c r="AC514" s="189"/>
      <c r="AD514" s="54"/>
      <c r="AE514" s="55"/>
      <c r="AF514" s="43"/>
      <c r="AG514" s="47"/>
      <c r="AH514" s="30"/>
      <c r="AI514" s="30"/>
      <c r="AJ514" s="30"/>
      <c r="AK514" s="30"/>
      <c r="AL514" s="13"/>
      <c r="AM514" s="13"/>
      <c r="AN514" s="13"/>
      <c r="AO514" s="13"/>
      <c r="AP514" s="13"/>
      <c r="AQ514" s="14"/>
      <c r="AR514" s="15"/>
    </row>
    <row r="515" spans="1:44" s="17" customFormat="1" ht="30.95" hidden="1" customHeight="1" x14ac:dyDescent="0.2">
      <c r="A515" s="37"/>
      <c r="B515" s="38"/>
      <c r="C515" s="45"/>
      <c r="D515" s="300" t="s">
        <v>932</v>
      </c>
      <c r="E515" s="31"/>
      <c r="F515" s="268"/>
      <c r="G515" s="269"/>
      <c r="H515" s="269"/>
      <c r="I515" s="270"/>
      <c r="J515" s="32"/>
      <c r="K515" s="270"/>
      <c r="L515" s="270"/>
      <c r="M515" s="39"/>
      <c r="N515" s="39"/>
      <c r="O515" s="47"/>
      <c r="P515" s="57"/>
      <c r="Q515" s="276"/>
      <c r="R515" s="277"/>
      <c r="S515" s="277"/>
      <c r="T515" s="40"/>
      <c r="U515" s="278"/>
      <c r="V515" s="269"/>
      <c r="W515" s="269"/>
      <c r="X515" s="275"/>
      <c r="Y515" s="269"/>
      <c r="Z515" s="57"/>
      <c r="AA515" s="207" t="str">
        <f>IFERROR(VLOOKUP(F515&amp;K515&amp;M515,製品マスタ!$M$5:$AM$5002,27,FALSE),"")</f>
        <v/>
      </c>
      <c r="AB515" s="33"/>
      <c r="AC515" s="189"/>
      <c r="AD515" s="54"/>
      <c r="AE515" s="55"/>
      <c r="AF515" s="43"/>
      <c r="AG515" s="47"/>
      <c r="AH515" s="30"/>
      <c r="AI515" s="30"/>
      <c r="AJ515" s="30"/>
      <c r="AK515" s="30"/>
      <c r="AL515" s="13"/>
      <c r="AM515" s="13"/>
      <c r="AN515" s="13"/>
      <c r="AO515" s="13"/>
      <c r="AP515" s="13"/>
      <c r="AQ515" s="14"/>
      <c r="AR515" s="15"/>
    </row>
    <row r="516" spans="1:44" s="17" customFormat="1" ht="30.95" hidden="1" customHeight="1" x14ac:dyDescent="0.2">
      <c r="A516" s="37" t="s">
        <v>1214</v>
      </c>
      <c r="B516" s="38" t="s">
        <v>1200</v>
      </c>
      <c r="C516" s="45"/>
      <c r="D516" s="31"/>
      <c r="E516" s="31"/>
      <c r="F516" s="268"/>
      <c r="G516" s="269"/>
      <c r="H516" s="269"/>
      <c r="I516" s="270"/>
      <c r="J516" s="32" t="s">
        <v>1220</v>
      </c>
      <c r="K516" s="270"/>
      <c r="L516" s="270"/>
      <c r="M516" s="39"/>
      <c r="N516" s="39"/>
      <c r="O516" s="47"/>
      <c r="P516" s="57"/>
      <c r="Q516" s="276"/>
      <c r="R516" s="277"/>
      <c r="S516" s="277"/>
      <c r="T516" s="40"/>
      <c r="U516" s="278"/>
      <c r="V516" s="269"/>
      <c r="W516" s="269"/>
      <c r="X516" s="275"/>
      <c r="Y516" s="269"/>
      <c r="Z516" s="57"/>
      <c r="AA516" s="207"/>
      <c r="AB516" s="33"/>
      <c r="AC516" s="189"/>
      <c r="AD516" s="54"/>
      <c r="AE516" s="55"/>
      <c r="AF516" s="43"/>
      <c r="AG516" s="47"/>
      <c r="AH516" s="30"/>
      <c r="AI516" s="30"/>
      <c r="AJ516" s="30"/>
      <c r="AK516" s="30"/>
      <c r="AL516" s="13"/>
      <c r="AM516" s="13"/>
      <c r="AN516" s="13"/>
      <c r="AO516" s="13"/>
      <c r="AP516" s="13"/>
      <c r="AQ516" s="14"/>
      <c r="AR516" s="15"/>
    </row>
    <row r="517" spans="1:44" s="17" customFormat="1" ht="30.95" hidden="1" customHeight="1" x14ac:dyDescent="0.2">
      <c r="A517" s="37"/>
      <c r="B517" s="38"/>
      <c r="C517" s="45"/>
      <c r="D517" s="31"/>
      <c r="E517" s="31"/>
      <c r="F517" s="268"/>
      <c r="G517" s="269"/>
      <c r="H517" s="269"/>
      <c r="I517" s="270"/>
      <c r="J517" s="32"/>
      <c r="K517" s="270"/>
      <c r="L517" s="270"/>
      <c r="M517" s="39"/>
      <c r="N517" s="39"/>
      <c r="O517" s="47"/>
      <c r="P517" s="57"/>
      <c r="Q517" s="276"/>
      <c r="R517" s="277"/>
      <c r="S517" s="277"/>
      <c r="T517" s="40"/>
      <c r="U517" s="278"/>
      <c r="V517" s="269"/>
      <c r="W517" s="269"/>
      <c r="X517" s="275"/>
      <c r="Y517" s="269"/>
      <c r="Z517" s="57"/>
      <c r="AA517" s="207"/>
      <c r="AB517" s="33"/>
      <c r="AC517" s="189"/>
      <c r="AD517" s="54"/>
      <c r="AE517" s="55"/>
      <c r="AF517" s="43"/>
      <c r="AG517" s="47"/>
      <c r="AH517" s="30"/>
      <c r="AI517" s="30"/>
      <c r="AJ517" s="30"/>
      <c r="AK517" s="30"/>
      <c r="AL517" s="13"/>
      <c r="AM517" s="13"/>
      <c r="AN517" s="13"/>
      <c r="AO517" s="13"/>
      <c r="AP517" s="13"/>
      <c r="AQ517" s="14"/>
      <c r="AR517" s="15"/>
    </row>
    <row r="518" spans="1:44" s="233" customFormat="1" ht="30.95" hidden="1" customHeight="1" x14ac:dyDescent="0.2">
      <c r="A518" s="217"/>
      <c r="B518" s="218"/>
      <c r="C518" s="280"/>
      <c r="D518" s="219"/>
      <c r="E518" s="219"/>
      <c r="F518" s="281"/>
      <c r="G518" s="282"/>
      <c r="H518" s="282"/>
      <c r="I518" s="283"/>
      <c r="J518" s="220"/>
      <c r="K518" s="283"/>
      <c r="L518" s="283"/>
      <c r="M518" s="221"/>
      <c r="N518" s="221"/>
      <c r="O518" s="222"/>
      <c r="P518" s="213"/>
      <c r="Q518" s="284"/>
      <c r="R518" s="285"/>
      <c r="S518" s="285"/>
      <c r="T518" s="224"/>
      <c r="U518" s="286"/>
      <c r="V518" s="282"/>
      <c r="W518" s="282"/>
      <c r="X518" s="287"/>
      <c r="Y518" s="282"/>
      <c r="Z518" s="213"/>
      <c r="AA518" s="288"/>
      <c r="AB518" s="225"/>
      <c r="AC518" s="226"/>
      <c r="AD518" s="227"/>
      <c r="AE518" s="228"/>
      <c r="AF518" s="223"/>
      <c r="AG518" s="234">
        <f>SUM(AG441:AG516)</f>
        <v>584940.77999999991</v>
      </c>
      <c r="AH518" s="229"/>
      <c r="AI518" s="229"/>
      <c r="AJ518" s="229"/>
      <c r="AK518" s="229"/>
      <c r="AL518" s="230"/>
      <c r="AM518" s="230"/>
      <c r="AN518" s="230"/>
      <c r="AO518" s="230"/>
      <c r="AP518" s="230"/>
      <c r="AQ518" s="231"/>
      <c r="AR518" s="232"/>
    </row>
    <row r="519" spans="1:44" s="17" customFormat="1" ht="30.95" hidden="1" customHeight="1" x14ac:dyDescent="0.2">
      <c r="A519" s="37"/>
      <c r="B519" s="38"/>
      <c r="C519" s="45"/>
      <c r="D519" s="31"/>
      <c r="E519" s="31"/>
      <c r="F519" s="268"/>
      <c r="G519" s="269"/>
      <c r="H519" s="269"/>
      <c r="I519" s="270"/>
      <c r="J519" s="32"/>
      <c r="K519" s="270"/>
      <c r="L519" s="270"/>
      <c r="M519" s="39"/>
      <c r="N519" s="39"/>
      <c r="O519" s="47"/>
      <c r="P519" s="57"/>
      <c r="Q519" s="276"/>
      <c r="R519" s="277"/>
      <c r="S519" s="277"/>
      <c r="T519" s="40"/>
      <c r="U519" s="278"/>
      <c r="V519" s="269"/>
      <c r="W519" s="269"/>
      <c r="X519" s="275"/>
      <c r="Y519" s="269"/>
      <c r="Z519" s="57"/>
      <c r="AA519" s="207"/>
      <c r="AB519" s="33"/>
      <c r="AC519" s="189"/>
      <c r="AD519" s="54"/>
      <c r="AE519" s="55"/>
      <c r="AF519" s="43"/>
      <c r="AG519" s="47"/>
      <c r="AH519" s="30"/>
      <c r="AI519" s="30"/>
      <c r="AJ519" s="30"/>
      <c r="AK519" s="30"/>
      <c r="AL519" s="13"/>
      <c r="AM519" s="13"/>
      <c r="AN519" s="13"/>
      <c r="AO519" s="13"/>
      <c r="AP519" s="13"/>
      <c r="AQ519" s="14"/>
      <c r="AR519" s="15"/>
    </row>
    <row r="520" spans="1:44" s="17" customFormat="1" ht="30.95" hidden="1" customHeight="1" x14ac:dyDescent="0.2">
      <c r="A520" s="37" t="s">
        <v>1215</v>
      </c>
      <c r="B520" s="38" t="s">
        <v>1202</v>
      </c>
      <c r="C520" s="45"/>
      <c r="D520" s="31"/>
      <c r="E520" s="31"/>
      <c r="F520" s="268"/>
      <c r="G520" s="269"/>
      <c r="H520" s="269"/>
      <c r="I520" s="270"/>
      <c r="J520" s="32" t="s">
        <v>489</v>
      </c>
      <c r="K520" s="270"/>
      <c r="L520" s="270"/>
      <c r="M520" s="39"/>
      <c r="N520" s="39"/>
      <c r="O520" s="47"/>
      <c r="P520" s="57"/>
      <c r="Q520" s="276"/>
      <c r="R520" s="277"/>
      <c r="S520" s="277"/>
      <c r="T520" s="40"/>
      <c r="U520" s="278"/>
      <c r="V520" s="269"/>
      <c r="W520" s="269"/>
      <c r="X520" s="275"/>
      <c r="Y520" s="269"/>
      <c r="Z520" s="57"/>
      <c r="AA520" s="207"/>
      <c r="AB520" s="33"/>
      <c r="AC520" s="189"/>
      <c r="AD520" s="54"/>
      <c r="AE520" s="55"/>
      <c r="AF520" s="43"/>
      <c r="AG520" s="47"/>
      <c r="AH520" s="30"/>
      <c r="AI520" s="30"/>
      <c r="AJ520" s="30"/>
      <c r="AK520" s="30"/>
      <c r="AL520" s="13"/>
      <c r="AM520" s="13"/>
      <c r="AN520" s="13"/>
      <c r="AO520" s="13"/>
      <c r="AP520" s="13"/>
      <c r="AQ520" s="14"/>
      <c r="AR520" s="15"/>
    </row>
    <row r="521" spans="1:44" s="17" customFormat="1" ht="30.95" hidden="1" customHeight="1" x14ac:dyDescent="0.2">
      <c r="A521" s="37"/>
      <c r="B521" s="38"/>
      <c r="C521" s="45"/>
      <c r="D521" s="31"/>
      <c r="E521" s="31"/>
      <c r="F521" s="268"/>
      <c r="G521" s="269"/>
      <c r="H521" s="269"/>
      <c r="I521" s="270"/>
      <c r="J521" s="32"/>
      <c r="K521" s="270"/>
      <c r="L521" s="270"/>
      <c r="M521" s="39"/>
      <c r="N521" s="39"/>
      <c r="O521" s="47"/>
      <c r="P521" s="57"/>
      <c r="Q521" s="276"/>
      <c r="R521" s="277"/>
      <c r="S521" s="277"/>
      <c r="T521" s="40"/>
      <c r="U521" s="278"/>
      <c r="V521" s="269"/>
      <c r="W521" s="269"/>
      <c r="X521" s="275"/>
      <c r="Y521" s="269"/>
      <c r="Z521" s="57"/>
      <c r="AA521" s="207"/>
      <c r="AB521" s="33"/>
      <c r="AC521" s="189"/>
      <c r="AD521" s="54"/>
      <c r="AE521" s="55"/>
      <c r="AF521" s="43"/>
      <c r="AG521" s="47"/>
      <c r="AH521" s="30"/>
      <c r="AI521" s="30"/>
      <c r="AJ521" s="30"/>
      <c r="AK521" s="30"/>
      <c r="AL521" s="13"/>
      <c r="AM521" s="13"/>
      <c r="AN521" s="13"/>
      <c r="AO521" s="13"/>
      <c r="AP521" s="13"/>
      <c r="AQ521" s="14"/>
      <c r="AR521" s="15"/>
    </row>
    <row r="522" spans="1:44" s="17" customFormat="1" ht="30.95" hidden="1" customHeight="1" x14ac:dyDescent="0.2">
      <c r="A522" s="37" t="s">
        <v>1216</v>
      </c>
      <c r="B522" s="38" t="s">
        <v>1190</v>
      </c>
      <c r="C522" s="45"/>
      <c r="D522" s="31">
        <v>3716256</v>
      </c>
      <c r="E522" s="31">
        <v>4170113</v>
      </c>
      <c r="F522" s="268" t="str">
        <f>IF(D522="","",VLOOKUP(D522,契約台帳!$A$3:$K$4986,6,FALSE)&amp;VLOOKUP(D522,契約台帳!$A$3:$K$4986,7,FALSE)&amp;VLOOKUP(D522,契約台帳!$A$3:$K$4986,8,FALSE)&amp;VLOOKUP(D522,契約台帳!$A$3:$K$4986,9,FALSE)&amp;VLOOKUP(D522,契約台帳!$A$3:$K$4986,11,FALSE))</f>
        <v>3SNMLBMNGTBF</v>
      </c>
      <c r="G522" s="269" t="str">
        <f>IF(D522="","",VLOOKUP(F522,製品マスタ!$G$5:$H$5002,2,FALSE))</f>
        <v>S</v>
      </c>
      <c r="H522" s="269" t="str">
        <f>IF(D522="","",VLOOKUP(F522,製品マスタ!$G$5:$K$5002,5,FALSE))</f>
        <v>MNGTBF</v>
      </c>
      <c r="I522" s="270" t="str">
        <f>IF(D522="","",VLOOKUP(F522,製品マスタ!$G$5:$L$5002,6,FALSE))</f>
        <v>メタルミー　ネーマー　銀艶　Ｂ</v>
      </c>
      <c r="J522" s="32" t="s">
        <v>464</v>
      </c>
      <c r="K522" s="270">
        <f>IF(D522="","",VLOOKUP(D522,契約台帳!$A$3:$L$4986,12,FALSE))</f>
        <v>25</v>
      </c>
      <c r="L522" s="270" t="str">
        <f>IF(D522="","",INDEX(製品マスタ!$Q$5:$Q$5002,MATCH(F522&amp;K522,製品マスタ!$AO$5:$AO$5002,0)))</f>
        <v>T62M</v>
      </c>
      <c r="M522" s="39">
        <v>1125</v>
      </c>
      <c r="N522" s="39">
        <v>12100</v>
      </c>
      <c r="O522" s="47">
        <v>1</v>
      </c>
      <c r="P522" s="213">
        <v>45106</v>
      </c>
      <c r="Q522" s="276">
        <f>IF(D522="","",IF(J522="リード付け",M522,VLOOKUP(D522,契約台帳!$A$3:$N$4986,14,FALSE)))</f>
        <v>1125</v>
      </c>
      <c r="R522" s="277">
        <f>IF(D522="","",IF(J522="リード付け",M522,VLOOKUP(D522,契約台帳!$A$3:$O$4986,15,FALSE)))</f>
        <v>1125</v>
      </c>
      <c r="S522" s="277">
        <f>IF(D522="","",IF(J522="リード付け",N522,VLOOKUP(D522,契約台帳!$A$3:$P$4986,16,FALSE)))</f>
        <v>12100</v>
      </c>
      <c r="T522" s="40">
        <v>1</v>
      </c>
      <c r="U522" s="278">
        <f ca="1">IF(D522="","",IF(OFFSET(D522,-2,0)=D522,"",VLOOKUP(D522,契約台帳!$A$3:$R$4986,18,FALSE)))</f>
        <v>3</v>
      </c>
      <c r="V522" s="269" t="str">
        <f>IF(J522="巻返し",VLOOKUP(F522&amp;K522&amp;M522,製品マスタ!$M$5:$AD$5002,18,FALSE),IF(J522="リード付け","原反コア",IF(J522="スリット",VLOOKUP(F522&amp;K522&amp;Q522,製品マスタ!$N$5:$AD$5002,17,FALSE),"")))</f>
        <v>原反コア</v>
      </c>
      <c r="W522" s="269" t="str">
        <f>IF(J522="巻返し",VLOOKUP(F522&amp;K522&amp;M522,製品マスタ!$M$5:$AE$5002,19,FALSE),IF(J522="リード付け","-",IF(J522="スリット",VLOOKUP(F522&amp;K522&amp;Q522,製品マスタ!$N$5:$AE$5002,18,FALSE),"")))</f>
        <v>-</v>
      </c>
      <c r="X522" s="275">
        <f>IF(D522="","",VLOOKUP(D522,契約台帳!$A$3:$Q$4986,17,FALSE))</f>
        <v>2</v>
      </c>
      <c r="Y522" s="269" t="str">
        <f>IF(D522="","",VLOOKUP(D522,契約台帳!$A$3:$E$4986,5,FALSE))</f>
        <v>リンテック㈱</v>
      </c>
      <c r="Z522" s="57"/>
      <c r="AA522" s="207"/>
      <c r="AB522" s="33"/>
      <c r="AC522" s="189"/>
      <c r="AD522" s="54"/>
      <c r="AE522" s="55"/>
      <c r="AF522" s="43"/>
      <c r="AG522" s="47"/>
      <c r="AH522" s="30"/>
      <c r="AI522" s="30"/>
      <c r="AJ522" s="30"/>
      <c r="AK522" s="30"/>
      <c r="AL522" s="13"/>
      <c r="AM522" s="13"/>
      <c r="AN522" s="13"/>
      <c r="AO522" s="13"/>
      <c r="AP522" s="13"/>
      <c r="AQ522" s="14"/>
      <c r="AR522" s="15"/>
    </row>
    <row r="523" spans="1:44" s="17" customFormat="1" ht="30.95" hidden="1" customHeight="1" x14ac:dyDescent="0.2">
      <c r="A523" s="37"/>
      <c r="B523" s="38"/>
      <c r="C523" s="45"/>
      <c r="D523" s="31"/>
      <c r="E523" s="31"/>
      <c r="F523" s="268"/>
      <c r="G523" s="269"/>
      <c r="H523" s="269"/>
      <c r="I523" s="270"/>
      <c r="J523" s="32"/>
      <c r="K523" s="270"/>
      <c r="L523" s="270"/>
      <c r="M523" s="39"/>
      <c r="N523" s="39"/>
      <c r="O523" s="47"/>
      <c r="P523" s="57"/>
      <c r="Q523" s="276"/>
      <c r="R523" s="277"/>
      <c r="S523" s="277"/>
      <c r="T523" s="40"/>
      <c r="U523" s="278"/>
      <c r="V523" s="269"/>
      <c r="W523" s="269"/>
      <c r="X523" s="275"/>
      <c r="Y523" s="269"/>
      <c r="Z523" s="57"/>
      <c r="AA523" s="207"/>
      <c r="AB523" s="33"/>
      <c r="AC523" s="189"/>
      <c r="AD523" s="54"/>
      <c r="AE523" s="55"/>
      <c r="AF523" s="43"/>
      <c r="AG523" s="47"/>
      <c r="AH523" s="30"/>
      <c r="AI523" s="30"/>
      <c r="AJ523" s="30"/>
      <c r="AK523" s="30"/>
      <c r="AL523" s="13"/>
      <c r="AM523" s="13"/>
      <c r="AN523" s="13"/>
      <c r="AO523" s="13"/>
      <c r="AP523" s="13"/>
      <c r="AQ523" s="14"/>
      <c r="AR523" s="15"/>
    </row>
    <row r="524" spans="1:44" s="17" customFormat="1" ht="30.95" hidden="1" customHeight="1" x14ac:dyDescent="0.2">
      <c r="A524" s="37"/>
      <c r="B524" s="38"/>
      <c r="C524" s="45"/>
      <c r="D524" s="31">
        <v>3716255</v>
      </c>
      <c r="E524" s="31">
        <v>4170112</v>
      </c>
      <c r="F524" s="268" t="str">
        <f>IF(D524="","",VLOOKUP(D524,契約台帳!$A$3:$K$4986,6,FALSE)&amp;VLOOKUP(D524,契約台帳!$A$3:$K$4986,7,FALSE)&amp;VLOOKUP(D524,契約台帳!$A$3:$K$4986,8,FALSE)&amp;VLOOKUP(D524,契約台帳!$A$3:$K$4986,9,FALSE)&amp;VLOOKUP(D524,契約台帳!$A$3:$K$4986,11,FALSE))</f>
        <v>3SNMLBMNGTBF</v>
      </c>
      <c r="G524" s="269" t="str">
        <f>IF(D524="","",VLOOKUP(F524,製品マスタ!$G$5:$H$5002,2,FALSE))</f>
        <v>S</v>
      </c>
      <c r="H524" s="269" t="str">
        <f>IF(D524="","",VLOOKUP(F524,製品マスタ!$G$5:$K$5002,5,FALSE))</f>
        <v>MNGTBF</v>
      </c>
      <c r="I524" s="270" t="str">
        <f>IF(D524="","",VLOOKUP(F524,製品マスタ!$G$5:$L$5002,6,FALSE))</f>
        <v>メタルミー　ネーマー　銀艶　Ｂ</v>
      </c>
      <c r="J524" s="32" t="s">
        <v>464</v>
      </c>
      <c r="K524" s="270">
        <f>IF(D524="","",VLOOKUP(D524,契約台帳!$A$3:$L$4986,12,FALSE))</f>
        <v>25</v>
      </c>
      <c r="L524" s="270" t="str">
        <f>IF(D524="","",INDEX(製品マスタ!$Q$5:$Q$5002,MATCH(F524&amp;K524,製品マスタ!$AO$5:$AO$5002,0)))</f>
        <v>T62M</v>
      </c>
      <c r="M524" s="39">
        <v>1005</v>
      </c>
      <c r="N524" s="39">
        <v>12100</v>
      </c>
      <c r="O524" s="47">
        <v>5</v>
      </c>
      <c r="P524" s="213">
        <v>45106</v>
      </c>
      <c r="Q524" s="276">
        <f>IF(D524="","",IF(J524="リード付け",M524,VLOOKUP(D524,契約台帳!$A$3:$N$4986,14,FALSE)))</f>
        <v>1005</v>
      </c>
      <c r="R524" s="277">
        <f>IF(D524="","",IF(J524="リード付け",M524,VLOOKUP(D524,契約台帳!$A$3:$O$4986,15,FALSE)))</f>
        <v>1005</v>
      </c>
      <c r="S524" s="277">
        <f>IF(D524="","",IF(J524="リード付け",N524,VLOOKUP(D524,契約台帳!$A$3:$P$4986,16,FALSE)))</f>
        <v>12100</v>
      </c>
      <c r="T524" s="40">
        <v>5</v>
      </c>
      <c r="U524" s="278">
        <f ca="1">IF(D524="","",IF(OFFSET(D524,-2,0)=D524,"",VLOOKUP(D524,契約台帳!$A$3:$R$4986,18,FALSE)))</f>
        <v>15</v>
      </c>
      <c r="V524" s="269" t="str">
        <f>IF(J524="巻返し",VLOOKUP(F524&amp;K524&amp;M524,製品マスタ!$M$5:$AD$5002,18,FALSE),IF(J524="リード付け","原反コア",IF(J524="スリット",VLOOKUP(F524&amp;K524&amp;Q524,製品マスタ!$N$5:$AD$5002,17,FALSE),"")))</f>
        <v>原反コア</v>
      </c>
      <c r="W524" s="269" t="str">
        <f>IF(J524="巻返し",VLOOKUP(F524&amp;K524&amp;M524,製品マスタ!$M$5:$AE$5002,19,FALSE),IF(J524="リード付け","-",IF(J524="スリット",VLOOKUP(F524&amp;K524&amp;Q524,製品マスタ!$N$5:$AE$5002,18,FALSE),"")))</f>
        <v>-</v>
      </c>
      <c r="X524" s="275">
        <f>IF(D524="","",VLOOKUP(D524,契約台帳!$A$3:$Q$4986,17,FALSE))</f>
        <v>2</v>
      </c>
      <c r="Y524" s="269" t="str">
        <f>IF(D524="","",VLOOKUP(D524,契約台帳!$A$3:$E$4986,5,FALSE))</f>
        <v>リンテック㈱</v>
      </c>
      <c r="Z524" s="57"/>
      <c r="AA524" s="207"/>
      <c r="AB524" s="33"/>
      <c r="AC524" s="189"/>
      <c r="AD524" s="54"/>
      <c r="AE524" s="55"/>
      <c r="AF524" s="43"/>
      <c r="AG524" s="47"/>
      <c r="AH524" s="30"/>
      <c r="AI524" s="30"/>
      <c r="AJ524" s="30"/>
      <c r="AK524" s="30"/>
      <c r="AL524" s="13"/>
      <c r="AM524" s="13"/>
      <c r="AN524" s="13"/>
      <c r="AO524" s="13"/>
      <c r="AP524" s="13"/>
      <c r="AQ524" s="14"/>
      <c r="AR524" s="15"/>
    </row>
    <row r="525" spans="1:44" s="17" customFormat="1" ht="30.95" hidden="1" customHeight="1" x14ac:dyDescent="0.2">
      <c r="A525" s="37"/>
      <c r="B525" s="38"/>
      <c r="C525" s="45"/>
      <c r="D525" s="31"/>
      <c r="E525" s="31"/>
      <c r="F525" s="268"/>
      <c r="G525" s="269"/>
      <c r="H525" s="269"/>
      <c r="I525" s="270"/>
      <c r="J525" s="32"/>
      <c r="K525" s="270"/>
      <c r="L525" s="270"/>
      <c r="M525" s="39"/>
      <c r="N525" s="39"/>
      <c r="O525" s="47"/>
      <c r="P525" s="57"/>
      <c r="Q525" s="276"/>
      <c r="R525" s="277"/>
      <c r="S525" s="277"/>
      <c r="T525" s="40"/>
      <c r="U525" s="278"/>
      <c r="V525" s="269"/>
      <c r="W525" s="269"/>
      <c r="X525" s="275"/>
      <c r="Y525" s="269"/>
      <c r="Z525" s="57"/>
      <c r="AA525" s="207"/>
      <c r="AB525" s="33"/>
      <c r="AC525" s="189"/>
      <c r="AD525" s="54"/>
      <c r="AE525" s="55"/>
      <c r="AF525" s="43"/>
      <c r="AG525" s="47"/>
      <c r="AH525" s="30"/>
      <c r="AI525" s="30"/>
      <c r="AJ525" s="30"/>
      <c r="AK525" s="30"/>
      <c r="AL525" s="13"/>
      <c r="AM525" s="13"/>
      <c r="AN525" s="13"/>
      <c r="AO525" s="13"/>
      <c r="AP525" s="13"/>
      <c r="AQ525" s="14"/>
      <c r="AR525" s="15"/>
    </row>
    <row r="526" spans="1:44" s="17" customFormat="1" ht="30.95" hidden="1" customHeight="1" x14ac:dyDescent="0.2">
      <c r="A526" s="37" t="s">
        <v>1217</v>
      </c>
      <c r="B526" s="38" t="s">
        <v>1192</v>
      </c>
      <c r="C526" s="45"/>
      <c r="D526" s="31"/>
      <c r="E526" s="31"/>
      <c r="F526" s="268"/>
      <c r="G526" s="269"/>
      <c r="H526" s="269"/>
      <c r="I526" s="304"/>
      <c r="J526" s="32"/>
      <c r="K526" s="270"/>
      <c r="L526" s="270"/>
      <c r="M526" s="39"/>
      <c r="N526" s="39"/>
      <c r="O526" s="47"/>
      <c r="P526" s="57"/>
      <c r="Q526" s="276"/>
      <c r="R526" s="277"/>
      <c r="S526" s="277"/>
      <c r="T526" s="40"/>
      <c r="U526" s="278"/>
      <c r="V526" s="269"/>
      <c r="W526" s="269"/>
      <c r="X526" s="275"/>
      <c r="Y526" s="269"/>
      <c r="Z526" s="57"/>
      <c r="AA526" s="207"/>
      <c r="AB526" s="33"/>
      <c r="AC526" s="189"/>
      <c r="AD526" s="54"/>
      <c r="AE526" s="55"/>
      <c r="AF526" s="43"/>
      <c r="AG526" s="47"/>
      <c r="AH526" s="30"/>
      <c r="AI526" s="30"/>
      <c r="AJ526" s="30"/>
      <c r="AK526" s="30"/>
      <c r="AL526" s="13"/>
      <c r="AM526" s="13"/>
      <c r="AN526" s="13"/>
      <c r="AO526" s="13"/>
      <c r="AP526" s="13"/>
      <c r="AQ526" s="14"/>
      <c r="AR526" s="15"/>
    </row>
    <row r="527" spans="1:44" s="17" customFormat="1" ht="30.95" hidden="1" customHeight="1" x14ac:dyDescent="0.2">
      <c r="A527" s="37"/>
      <c r="B527" s="38"/>
      <c r="C527" s="45"/>
      <c r="D527" s="31"/>
      <c r="E527" s="31"/>
      <c r="F527" s="268"/>
      <c r="G527" s="269"/>
      <c r="H527" s="269"/>
      <c r="I527" s="270"/>
      <c r="J527" s="32"/>
      <c r="K527" s="270"/>
      <c r="L527" s="270"/>
      <c r="M527" s="39"/>
      <c r="N527" s="39"/>
      <c r="O527" s="47"/>
      <c r="P527" s="57"/>
      <c r="Q527" s="276"/>
      <c r="R527" s="277"/>
      <c r="S527" s="277"/>
      <c r="T527" s="40"/>
      <c r="U527" s="278"/>
      <c r="V527" s="269"/>
      <c r="W527" s="269"/>
      <c r="X527" s="275"/>
      <c r="Y527" s="269"/>
      <c r="Z527" s="57"/>
      <c r="AA527" s="207"/>
      <c r="AB527" s="33"/>
      <c r="AC527" s="189"/>
      <c r="AD527" s="54"/>
      <c r="AE527" s="55"/>
      <c r="AF527" s="43"/>
      <c r="AG527" s="47"/>
      <c r="AH527" s="30"/>
      <c r="AI527" s="30"/>
      <c r="AJ527" s="30"/>
      <c r="AK527" s="30"/>
      <c r="AL527" s="13"/>
      <c r="AM527" s="13"/>
      <c r="AN527" s="13"/>
      <c r="AO527" s="13"/>
      <c r="AP527" s="13"/>
      <c r="AQ527" s="14"/>
      <c r="AR527" s="15"/>
    </row>
    <row r="528" spans="1:44" s="17" customFormat="1" ht="30.95" hidden="1" customHeight="1" x14ac:dyDescent="0.2">
      <c r="A528" s="37" t="s">
        <v>1218</v>
      </c>
      <c r="B528" s="38" t="s">
        <v>1194</v>
      </c>
      <c r="C528" s="45"/>
      <c r="D528" s="31"/>
      <c r="E528" s="31"/>
      <c r="F528" s="268"/>
      <c r="G528" s="269"/>
      <c r="H528" s="269"/>
      <c r="I528" s="270"/>
      <c r="J528" s="32" t="s">
        <v>448</v>
      </c>
      <c r="K528" s="270"/>
      <c r="L528" s="270"/>
      <c r="M528" s="39"/>
      <c r="N528" s="39"/>
      <c r="O528" s="47"/>
      <c r="P528" s="57"/>
      <c r="Q528" s="276"/>
      <c r="R528" s="277"/>
      <c r="S528" s="277"/>
      <c r="T528" s="40"/>
      <c r="U528" s="278"/>
      <c r="V528" s="269"/>
      <c r="W528" s="269"/>
      <c r="X528" s="275"/>
      <c r="Y528" s="269"/>
      <c r="Z528" s="57"/>
      <c r="AA528" s="207"/>
      <c r="AB528" s="33"/>
      <c r="AC528" s="189"/>
      <c r="AD528" s="54"/>
      <c r="AE528" s="55"/>
      <c r="AF528" s="43"/>
      <c r="AG528" s="47"/>
      <c r="AH528" s="30"/>
      <c r="AI528" s="30"/>
      <c r="AJ528" s="30"/>
      <c r="AK528" s="30"/>
      <c r="AL528" s="13"/>
      <c r="AM528" s="13"/>
      <c r="AN528" s="13"/>
      <c r="AO528" s="13"/>
      <c r="AP528" s="13"/>
      <c r="AQ528" s="14"/>
      <c r="AR528" s="15"/>
    </row>
    <row r="529" spans="1:44" s="17" customFormat="1" ht="30.95" hidden="1" customHeight="1" x14ac:dyDescent="0.2">
      <c r="A529" s="37"/>
      <c r="B529" s="38"/>
      <c r="C529" s="45"/>
      <c r="D529" s="31"/>
      <c r="E529" s="31"/>
      <c r="F529" s="268"/>
      <c r="G529" s="269"/>
      <c r="H529" s="269"/>
      <c r="I529" s="270"/>
      <c r="J529" s="32"/>
      <c r="K529" s="270"/>
      <c r="L529" s="270"/>
      <c r="M529" s="39"/>
      <c r="N529" s="39"/>
      <c r="O529" s="47"/>
      <c r="P529" s="57"/>
      <c r="Q529" s="276"/>
      <c r="R529" s="277"/>
      <c r="S529" s="277"/>
      <c r="T529" s="40"/>
      <c r="U529" s="278"/>
      <c r="V529" s="269"/>
      <c r="W529" s="269"/>
      <c r="X529" s="275"/>
      <c r="Y529" s="269"/>
      <c r="Z529" s="57"/>
      <c r="AA529" s="207"/>
      <c r="AB529" s="33"/>
      <c r="AC529" s="189"/>
      <c r="AD529" s="54"/>
      <c r="AE529" s="55"/>
      <c r="AF529" s="43"/>
      <c r="AG529" s="47"/>
      <c r="AH529" s="30"/>
      <c r="AI529" s="30"/>
      <c r="AJ529" s="30"/>
      <c r="AK529" s="30"/>
      <c r="AL529" s="13"/>
      <c r="AM529" s="13"/>
      <c r="AN529" s="13"/>
      <c r="AO529" s="13"/>
      <c r="AP529" s="13"/>
      <c r="AQ529" s="14"/>
      <c r="AR529" s="15"/>
    </row>
    <row r="530" spans="1:44" s="17" customFormat="1" ht="30.95" hidden="1" customHeight="1" x14ac:dyDescent="0.2">
      <c r="A530" s="37" t="s">
        <v>1219</v>
      </c>
      <c r="B530" s="38" t="s">
        <v>1196</v>
      </c>
      <c r="C530" s="45"/>
      <c r="D530" s="31"/>
      <c r="E530" s="31"/>
      <c r="F530" s="268"/>
      <c r="G530" s="269"/>
      <c r="H530" s="269"/>
      <c r="I530" s="270"/>
      <c r="J530" s="32" t="s">
        <v>448</v>
      </c>
      <c r="K530" s="270"/>
      <c r="L530" s="270"/>
      <c r="M530" s="39"/>
      <c r="N530" s="39"/>
      <c r="O530" s="47"/>
      <c r="P530" s="57"/>
      <c r="Q530" s="276"/>
      <c r="R530" s="277"/>
      <c r="S530" s="277"/>
      <c r="T530" s="40"/>
      <c r="U530" s="278"/>
      <c r="V530" s="269"/>
      <c r="W530" s="269"/>
      <c r="X530" s="275"/>
      <c r="Y530" s="269"/>
      <c r="Z530" s="57"/>
      <c r="AA530" s="207"/>
      <c r="AB530" s="33"/>
      <c r="AC530" s="189"/>
      <c r="AD530" s="54"/>
      <c r="AE530" s="55"/>
      <c r="AF530" s="43"/>
      <c r="AG530" s="47"/>
      <c r="AH530" s="30"/>
      <c r="AI530" s="30"/>
      <c r="AJ530" s="30"/>
      <c r="AK530" s="30"/>
      <c r="AL530" s="13"/>
      <c r="AM530" s="13"/>
      <c r="AN530" s="13"/>
      <c r="AO530" s="13"/>
      <c r="AP530" s="13"/>
      <c r="AQ530" s="14"/>
      <c r="AR530" s="15"/>
    </row>
    <row r="531" spans="1:44" s="17" customFormat="1" ht="30.95" hidden="1" customHeight="1" x14ac:dyDescent="0.2">
      <c r="A531" s="37"/>
      <c r="B531" s="38"/>
      <c r="C531" s="45"/>
      <c r="D531" s="31"/>
      <c r="E531" s="31"/>
      <c r="F531" s="268"/>
      <c r="G531" s="269"/>
      <c r="H531" s="269"/>
      <c r="I531" s="270"/>
      <c r="J531" s="32"/>
      <c r="K531" s="270"/>
      <c r="L531" s="270"/>
      <c r="M531" s="39"/>
      <c r="N531" s="39"/>
      <c r="O531" s="47"/>
      <c r="P531" s="57"/>
      <c r="Q531" s="276"/>
      <c r="R531" s="277"/>
      <c r="S531" s="277"/>
      <c r="T531" s="40"/>
      <c r="U531" s="278"/>
      <c r="V531" s="269"/>
      <c r="W531" s="269"/>
      <c r="X531" s="275"/>
      <c r="Y531" s="269"/>
      <c r="Z531" s="57"/>
      <c r="AA531" s="207"/>
      <c r="AB531" s="33"/>
      <c r="AC531" s="189"/>
      <c r="AD531" s="54"/>
      <c r="AE531" s="55"/>
      <c r="AF531" s="43"/>
      <c r="AG531" s="47"/>
      <c r="AH531" s="30"/>
      <c r="AI531" s="30"/>
      <c r="AJ531" s="30"/>
      <c r="AK531" s="30"/>
      <c r="AL531" s="13"/>
      <c r="AM531" s="13"/>
      <c r="AN531" s="13"/>
      <c r="AO531" s="13"/>
      <c r="AP531" s="13"/>
      <c r="AQ531" s="14"/>
      <c r="AR531" s="15"/>
    </row>
    <row r="532" spans="1:44" s="17" customFormat="1" ht="30.95" hidden="1" customHeight="1" x14ac:dyDescent="0.2">
      <c r="A532" s="37" t="s">
        <v>1261</v>
      </c>
      <c r="B532" s="38" t="s">
        <v>1262</v>
      </c>
      <c r="C532" s="45"/>
      <c r="D532" s="31">
        <v>3716270</v>
      </c>
      <c r="E532" s="31">
        <v>4170115</v>
      </c>
      <c r="F532" s="268" t="str">
        <f>IF(D532="","",VLOOKUP(D532,契約台帳!$A$3:$K$4986,6,FALSE)&amp;VLOOKUP(D532,契約台帳!$A$3:$K$4986,7,FALSE)&amp;VLOOKUP(D532,契約台帳!$A$3:$K$4986,8,FALSE)&amp;VLOOKUP(D532,契約台帳!$A$3:$K$4986,9,FALSE)&amp;VLOOKUP(D532,契約台帳!$A$3:$K$4986,11,FALSE))</f>
        <v>3SYMLBMSSMBF</v>
      </c>
      <c r="G532" s="269" t="str">
        <f>IF(D532="","",VLOOKUP(F532,製品マスタ!$G$5:$H$5002,2,FALSE))</f>
        <v>S</v>
      </c>
      <c r="H532" s="269" t="str">
        <f>IF(D532="","",VLOOKUP(F532,製品マスタ!$G$5:$K$5002,5,FALSE))</f>
        <v>MSSMBF</v>
      </c>
      <c r="I532" s="270" t="str">
        <f>IF(D532="","",VLOOKUP(F532,製品マスタ!$G$5:$L$5002,6,FALSE))</f>
        <v>ＭＥＴＡＬＵＭＹ　ＳＩＬＶＥＲ　Ｓ－ＭＡＴＴＥ　Ｓ２８ＭＭ　Ｂ</v>
      </c>
      <c r="J532" s="32" t="s">
        <v>464</v>
      </c>
      <c r="K532" s="270">
        <f>IF(D532="","",VLOOKUP(D532,契約台帳!$A$3:$L$4986,12,FALSE))</f>
        <v>25</v>
      </c>
      <c r="L532" s="270" t="str">
        <f>IF(D532="","",INDEX(製品マスタ!$Q$5:$Q$5002,MATCH(F532&amp;K532,製品マスタ!$AO$5:$AO$5002,0)))</f>
        <v>LI-MAT</v>
      </c>
      <c r="M532" s="39">
        <v>1120</v>
      </c>
      <c r="N532" s="39">
        <v>8000</v>
      </c>
      <c r="O532" s="47">
        <v>1</v>
      </c>
      <c r="P532" s="213">
        <v>45110</v>
      </c>
      <c r="Q532" s="276">
        <f>IF(D532="","",IF(J532="リード付け",M532,VLOOKUP(D532,契約台帳!$A$3:$N$4986,14,FALSE)))</f>
        <v>1120</v>
      </c>
      <c r="R532" s="277">
        <f>IF(D532="","",IF(J532="リード付け",M532,VLOOKUP(D532,契約台帳!$A$3:$O$4986,15,FALSE)))</f>
        <v>1120</v>
      </c>
      <c r="S532" s="277">
        <f>IF(D532="","",IF(J532="リード付け",N532,VLOOKUP(D532,契約台帳!$A$3:$P$4986,16,FALSE)))</f>
        <v>8000</v>
      </c>
      <c r="T532" s="40">
        <v>1</v>
      </c>
      <c r="U532" s="278">
        <f ca="1">IF(D532="","",IF(OFFSET(D532,-2,0)=D532,"",VLOOKUP(D532,契約台帳!$A$3:$R$4986,18,FALSE)))</f>
        <v>1</v>
      </c>
      <c r="V532" s="269" t="str">
        <f>IF(J532="巻返し",VLOOKUP(F532&amp;K532&amp;M532,製品マスタ!$M$5:$AD$5002,18,FALSE),IF(J532="リード付け","原反コア",IF(J532="スリット",VLOOKUP(F532&amp;K532&amp;Q532,製品マスタ!$N$5:$AD$5002,17,FALSE),"")))</f>
        <v>原反コア</v>
      </c>
      <c r="W532" s="269" t="str">
        <f>IF(J532="巻返し",VLOOKUP(F532&amp;K532&amp;M532,製品マスタ!$M$5:$AE$5002,19,FALSE),IF(J532="リード付け","-",IF(J532="スリット",VLOOKUP(F532&amp;K532&amp;Q532,製品マスタ!$N$5:$AE$5002,18,FALSE),"")))</f>
        <v>-</v>
      </c>
      <c r="X532" s="275">
        <f>IF(D532="","",VLOOKUP(D532,契約台帳!$A$3:$Q$4986,17,FALSE))</f>
        <v>2</v>
      </c>
      <c r="Y532" s="269" t="str">
        <f>IF(D532="","",VLOOKUP(D532,契約台帳!$A$3:$E$4986,5,FALSE))</f>
        <v>リンテック㈱</v>
      </c>
      <c r="Z532" s="57"/>
      <c r="AA532" s="207">
        <f>IFERROR(VLOOKUP(F532&amp;K532&amp;M532,製品マスタ!$M$5:$AM$5002,27,FALSE),"")</f>
        <v>0</v>
      </c>
      <c r="AB532" s="33"/>
      <c r="AC532" s="189"/>
      <c r="AD532" s="54"/>
      <c r="AE532" s="55"/>
      <c r="AF532" s="43"/>
      <c r="AG532" s="47"/>
      <c r="AH532" s="30"/>
      <c r="AI532" s="30"/>
      <c r="AJ532" s="30"/>
      <c r="AK532" s="30"/>
      <c r="AL532" s="13"/>
      <c r="AM532" s="13"/>
      <c r="AN532" s="13"/>
      <c r="AO532" s="13"/>
      <c r="AP532" s="13"/>
      <c r="AQ532" s="14"/>
      <c r="AR532" s="15"/>
    </row>
    <row r="533" spans="1:44" s="17" customFormat="1" ht="30.95" hidden="1" customHeight="1" x14ac:dyDescent="0.2">
      <c r="A533" s="37"/>
      <c r="B533" s="38"/>
      <c r="C533" s="45"/>
      <c r="D533" s="31"/>
      <c r="E533" s="31"/>
      <c r="F533" s="268"/>
      <c r="G533" s="269"/>
      <c r="H533" s="269"/>
      <c r="I533" s="270"/>
      <c r="J533" s="32"/>
      <c r="K533" s="270"/>
      <c r="L533" s="270"/>
      <c r="M533" s="39"/>
      <c r="N533" s="39"/>
      <c r="O533" s="47"/>
      <c r="P533" s="57"/>
      <c r="Q533" s="276"/>
      <c r="R533" s="277"/>
      <c r="S533" s="277"/>
      <c r="T533" s="40"/>
      <c r="U533" s="278"/>
      <c r="V533" s="269"/>
      <c r="W533" s="269"/>
      <c r="X533" s="275"/>
      <c r="Y533" s="269"/>
      <c r="Z533" s="57"/>
      <c r="AA533" s="207"/>
      <c r="AB533" s="33"/>
      <c r="AC533" s="189"/>
      <c r="AD533" s="54"/>
      <c r="AE533" s="55"/>
      <c r="AF533" s="43"/>
      <c r="AG533" s="47"/>
      <c r="AH533" s="30"/>
      <c r="AI533" s="30"/>
      <c r="AJ533" s="30"/>
      <c r="AK533" s="30"/>
      <c r="AL533" s="13"/>
      <c r="AM533" s="13"/>
      <c r="AN533" s="13"/>
      <c r="AO533" s="13"/>
      <c r="AP533" s="13"/>
      <c r="AQ533" s="14"/>
      <c r="AR533" s="15"/>
    </row>
    <row r="534" spans="1:44" s="17" customFormat="1" ht="30.95" hidden="1" customHeight="1" x14ac:dyDescent="0.2">
      <c r="A534" s="37"/>
      <c r="B534" s="38"/>
      <c r="C534" s="45"/>
      <c r="D534" s="31">
        <v>3716262</v>
      </c>
      <c r="E534" s="31">
        <v>4170114</v>
      </c>
      <c r="F534" s="268" t="str">
        <f>IF(D534="","",VLOOKUP(D534,契約台帳!$A$3:$K$4986,6,FALSE)&amp;VLOOKUP(D534,契約台帳!$A$3:$K$4986,7,FALSE)&amp;VLOOKUP(D534,契約台帳!$A$3:$K$4986,8,FALSE)&amp;VLOOKUP(D534,契約台帳!$A$3:$K$4986,9,FALSE)&amp;VLOOKUP(D534,契約台帳!$A$3:$K$4986,11,FALSE))</f>
        <v>3SNMLBMNNGKBF</v>
      </c>
      <c r="G534" s="269" t="str">
        <f>IF(D534="","",VLOOKUP(F534,製品マスタ!$G$5:$H$5002,2,FALSE))</f>
        <v>S</v>
      </c>
      <c r="H534" s="269" t="str">
        <f>IF(D534="","",VLOOKUP(F534,製品マスタ!$G$5:$K$5002,5,FALSE))</f>
        <v>MNNGKBF</v>
      </c>
      <c r="I534" s="270" t="str">
        <f>IF(D534="","",VLOOKUP(F534,製品マスタ!$G$5:$L$5002,6,FALSE))</f>
        <v>メタルミー　ニューネーマー銀消　Ｂ</v>
      </c>
      <c r="J534" s="32" t="s">
        <v>464</v>
      </c>
      <c r="K534" s="270">
        <f>IF(D534="","",VLOOKUP(D534,契約台帳!$A$3:$L$4986,12,FALSE))</f>
        <v>25</v>
      </c>
      <c r="L534" s="270" t="str">
        <f>IF(D534="","",INDEX(製品マスタ!$Q$5:$Q$5002,MATCH(F534&amp;K534,製品マスタ!$AO$5:$AO$5002,0)))</f>
        <v>X44C</v>
      </c>
      <c r="M534" s="39">
        <v>1005</v>
      </c>
      <c r="N534" s="39">
        <v>8000</v>
      </c>
      <c r="O534" s="47">
        <v>2</v>
      </c>
      <c r="P534" s="213">
        <v>45110</v>
      </c>
      <c r="Q534" s="276">
        <f>IF(D534="","",IF(J534="リード付け",M534,VLOOKUP(D534,契約台帳!$A$3:$N$4986,14,FALSE)))</f>
        <v>1005</v>
      </c>
      <c r="R534" s="277">
        <f>IF(D534="","",IF(J534="リード付け",M534,VLOOKUP(D534,契約台帳!$A$3:$O$4986,15,FALSE)))</f>
        <v>1005</v>
      </c>
      <c r="S534" s="277">
        <f>IF(D534="","",IF(J534="リード付け",N534,VLOOKUP(D534,契約台帳!$A$3:$P$4986,16,FALSE)))</f>
        <v>8000</v>
      </c>
      <c r="T534" s="40">
        <v>2</v>
      </c>
      <c r="U534" s="278">
        <f ca="1">IF(D534="","",IF(OFFSET(D534,-2,0)=D534,"",VLOOKUP(D534,契約台帳!$A$3:$R$4986,18,FALSE)))</f>
        <v>4</v>
      </c>
      <c r="V534" s="269" t="str">
        <f>IF(J534="巻返し",VLOOKUP(F534&amp;K534&amp;M534,製品マスタ!$M$5:$AD$5002,18,FALSE),IF(J534="リード付け","原反コア",IF(J534="スリット",VLOOKUP(F534&amp;K534&amp;Q534,製品マスタ!$N$5:$AD$5002,17,FALSE),"")))</f>
        <v>原反コア</v>
      </c>
      <c r="W534" s="269" t="str">
        <f>IF(J534="巻返し",VLOOKUP(F534&amp;K534&amp;M534,製品マスタ!$M$5:$AE$5002,19,FALSE),IF(J534="リード付け","-",IF(J534="スリット",VLOOKUP(F534&amp;K534&amp;Q534,製品マスタ!$N$5:$AE$5002,18,FALSE),"")))</f>
        <v>-</v>
      </c>
      <c r="X534" s="275">
        <f>IF(D534="","",VLOOKUP(D534,契約台帳!$A$3:$Q$4986,17,FALSE))</f>
        <v>2</v>
      </c>
      <c r="Y534" s="269" t="str">
        <f>IF(D534="","",VLOOKUP(D534,契約台帳!$A$3:$E$4986,5,FALSE))</f>
        <v>リンテック㈱</v>
      </c>
      <c r="Z534" s="57"/>
      <c r="AA534" s="207">
        <f>IFERROR(VLOOKUP(F534&amp;K534&amp;M534,製品マスタ!$M$5:$AM$5002,27,FALSE),"")</f>
        <v>0</v>
      </c>
      <c r="AB534" s="33"/>
      <c r="AC534" s="189"/>
      <c r="AD534" s="54"/>
      <c r="AE534" s="55"/>
      <c r="AF534" s="43"/>
      <c r="AG534" s="47"/>
      <c r="AH534" s="30"/>
      <c r="AI534" s="30"/>
      <c r="AJ534" s="30"/>
      <c r="AK534" s="30"/>
      <c r="AL534" s="13"/>
      <c r="AM534" s="13"/>
      <c r="AN534" s="13"/>
      <c r="AO534" s="13"/>
      <c r="AP534" s="13"/>
      <c r="AQ534" s="14"/>
      <c r="AR534" s="15"/>
    </row>
    <row r="535" spans="1:44" s="17" customFormat="1" ht="30.95" hidden="1" customHeight="1" x14ac:dyDescent="0.2">
      <c r="A535" s="37"/>
      <c r="B535" s="38"/>
      <c r="C535" s="45"/>
      <c r="D535" s="31"/>
      <c r="E535" s="31"/>
      <c r="F535" s="268"/>
      <c r="G535" s="269"/>
      <c r="H535" s="269"/>
      <c r="I535" s="270"/>
      <c r="J535" s="32"/>
      <c r="K535" s="270"/>
      <c r="L535" s="270"/>
      <c r="M535" s="39"/>
      <c r="N535" s="39"/>
      <c r="O535" s="47"/>
      <c r="P535" s="57"/>
      <c r="Q535" s="276"/>
      <c r="R535" s="277"/>
      <c r="S535" s="277"/>
      <c r="T535" s="40"/>
      <c r="U535" s="278"/>
      <c r="V535" s="269"/>
      <c r="W535" s="269"/>
      <c r="X535" s="275"/>
      <c r="Y535" s="269"/>
      <c r="Z535" s="57"/>
      <c r="AA535" s="207"/>
      <c r="AB535" s="33"/>
      <c r="AC535" s="189"/>
      <c r="AD535" s="54"/>
      <c r="AE535" s="55"/>
      <c r="AF535" s="43"/>
      <c r="AG535" s="47"/>
      <c r="AH535" s="30"/>
      <c r="AI535" s="30"/>
      <c r="AJ535" s="30"/>
      <c r="AK535" s="30"/>
      <c r="AL535" s="13"/>
      <c r="AM535" s="13"/>
      <c r="AN535" s="13"/>
      <c r="AO535" s="13"/>
      <c r="AP535" s="13"/>
      <c r="AQ535" s="14"/>
      <c r="AR535" s="15"/>
    </row>
    <row r="536" spans="1:44" s="17" customFormat="1" ht="30.95" hidden="1" customHeight="1" x14ac:dyDescent="0.2">
      <c r="A536" s="37" t="s">
        <v>1263</v>
      </c>
      <c r="B536" s="38" t="s">
        <v>1264</v>
      </c>
      <c r="C536" s="45"/>
      <c r="D536" s="31"/>
      <c r="E536" s="31"/>
      <c r="F536" s="268"/>
      <c r="G536" s="269"/>
      <c r="H536" s="269"/>
      <c r="I536" s="270"/>
      <c r="J536" s="32"/>
      <c r="K536" s="270"/>
      <c r="L536" s="270"/>
      <c r="M536" s="39"/>
      <c r="N536" s="39"/>
      <c r="O536" s="47"/>
      <c r="P536" s="57"/>
      <c r="Q536" s="276"/>
      <c r="R536" s="277"/>
      <c r="S536" s="277"/>
      <c r="T536" s="40"/>
      <c r="U536" s="278"/>
      <c r="V536" s="269"/>
      <c r="W536" s="269"/>
      <c r="X536" s="275"/>
      <c r="Y536" s="269"/>
      <c r="Z536" s="57"/>
      <c r="AA536" s="207" t="str">
        <f>IFERROR(VLOOKUP(F536&amp;K536&amp;M536,製品マスタ!$M$5:$AM$5002,27,FALSE),"")</f>
        <v/>
      </c>
      <c r="AB536" s="33"/>
      <c r="AC536" s="189"/>
      <c r="AD536" s="54"/>
      <c r="AE536" s="55"/>
      <c r="AF536" s="43"/>
      <c r="AG536" s="47"/>
      <c r="AH536" s="30"/>
      <c r="AI536" s="30"/>
      <c r="AJ536" s="30"/>
      <c r="AK536" s="30"/>
      <c r="AL536" s="13"/>
      <c r="AM536" s="13"/>
      <c r="AN536" s="13"/>
      <c r="AO536" s="13"/>
      <c r="AP536" s="13"/>
      <c r="AQ536" s="14"/>
      <c r="AR536" s="15"/>
    </row>
    <row r="537" spans="1:44" s="17" customFormat="1" ht="30.95" hidden="1" customHeight="1" x14ac:dyDescent="0.2">
      <c r="A537" s="37"/>
      <c r="B537" s="38"/>
      <c r="C537" s="45"/>
      <c r="D537" s="31"/>
      <c r="E537" s="31"/>
      <c r="F537" s="268"/>
      <c r="G537" s="269"/>
      <c r="H537" s="269"/>
      <c r="I537" s="270"/>
      <c r="J537" s="32"/>
      <c r="K537" s="270"/>
      <c r="L537" s="270"/>
      <c r="M537" s="39"/>
      <c r="N537" s="39"/>
      <c r="O537" s="47"/>
      <c r="P537" s="57"/>
      <c r="Q537" s="276"/>
      <c r="R537" s="277"/>
      <c r="S537" s="277"/>
      <c r="T537" s="40"/>
      <c r="U537" s="278"/>
      <c r="V537" s="269"/>
      <c r="W537" s="269"/>
      <c r="X537" s="275"/>
      <c r="Y537" s="269"/>
      <c r="Z537" s="57"/>
      <c r="AA537" s="207"/>
      <c r="AB537" s="33"/>
      <c r="AC537" s="189"/>
      <c r="AD537" s="54"/>
      <c r="AE537" s="55"/>
      <c r="AF537" s="43"/>
      <c r="AG537" s="47"/>
      <c r="AH537" s="30"/>
      <c r="AI537" s="30"/>
      <c r="AJ537" s="30"/>
      <c r="AK537" s="30"/>
      <c r="AL537" s="13"/>
      <c r="AM537" s="13"/>
      <c r="AN537" s="13"/>
      <c r="AO537" s="13"/>
      <c r="AP537" s="13"/>
      <c r="AQ537" s="14"/>
      <c r="AR537" s="15"/>
    </row>
    <row r="538" spans="1:44" s="17" customFormat="1" ht="30.95" hidden="1" customHeight="1" x14ac:dyDescent="0.2">
      <c r="A538" s="37" t="s">
        <v>1278</v>
      </c>
      <c r="B538" s="38" t="s">
        <v>1279</v>
      </c>
      <c r="C538" s="45"/>
      <c r="D538" s="31">
        <v>3716257</v>
      </c>
      <c r="E538" s="31">
        <v>4151417</v>
      </c>
      <c r="F538" s="268" t="str">
        <f>IF(D538="","",VLOOKUP(D538,契約台帳!$A$3:$K$4986,6,FALSE)&amp;VLOOKUP(D538,契約台帳!$A$3:$K$4986,7,FALSE)&amp;VLOOKUP(D538,契約台帳!$A$3:$K$4986,8,FALSE)&amp;VLOOKUP(D538,契約台帳!$A$3:$K$4986,9,FALSE)&amp;VLOOKUP(D538,契約台帳!$A$3:$K$4986,11,FALSE))</f>
        <v>3SNMLBMNGTBF</v>
      </c>
      <c r="G538" s="269" t="str">
        <f>IF(D538="","",VLOOKUP(F538,製品マスタ!$G$5:$H$5002,2,FALSE))</f>
        <v>S</v>
      </c>
      <c r="H538" s="269" t="str">
        <f>IF(D538="","",VLOOKUP(F538,製品マスタ!$G$5:$K$5002,5,FALSE))</f>
        <v>MNGTBF</v>
      </c>
      <c r="I538" s="270" t="str">
        <f>IF(D538="","",VLOOKUP(F538,製品マスタ!$G$5:$L$5002,6,FALSE))</f>
        <v>メタルミー　ネーマー　銀艶　Ｂ</v>
      </c>
      <c r="J538" s="32" t="s">
        <v>447</v>
      </c>
      <c r="K538" s="270">
        <f>IF(D538="","",VLOOKUP(D538,契約台帳!$A$3:$L$4986,12,FALSE))</f>
        <v>50</v>
      </c>
      <c r="L538" s="270" t="str">
        <f>IF(D538="","",INDEX(製品マスタ!$Q$5:$Q$5002,MATCH(F538&amp;K538,製品マスタ!$AO$5:$AO$5002,0)))</f>
        <v>T62</v>
      </c>
      <c r="M538" s="39">
        <v>1120</v>
      </c>
      <c r="N538" s="39">
        <v>10000</v>
      </c>
      <c r="O538" s="47">
        <v>3</v>
      </c>
      <c r="P538" s="57"/>
      <c r="Q538" s="276">
        <f>IF(D538="","",IF(J538="リード付け",M538,VLOOKUP(D538,契約台帳!$A$3:$N$4986,14,FALSE)))</f>
        <v>1120</v>
      </c>
      <c r="R538" s="277">
        <f>IF(D538="","",IF(J538="リード付け",M538,VLOOKUP(D538,契約台帳!$A$3:$O$4986,15,FALSE)))</f>
        <v>1120</v>
      </c>
      <c r="S538" s="277">
        <f>IF(D538="","",IF(J538="リード付け",N538,VLOOKUP(D538,契約台帳!$A$3:$P$4986,16,FALSE)))</f>
        <v>5000</v>
      </c>
      <c r="T538" s="40">
        <v>6</v>
      </c>
      <c r="U538" s="302">
        <f ca="1">IF(D538="","",IF(OFFSET(D538,-2,0)=D538,"",VLOOKUP(D538,契約台帳!$A$3:$R$4986,18,FALSE)))</f>
        <v>13</v>
      </c>
      <c r="V538" s="269" t="str">
        <f>IF(J538="巻返し",VLOOKUP(F538&amp;K538&amp;M538,製品マスタ!$M$5:$AD$5002,18,FALSE),IF(J538="リード付け","原反コア",IF(J538="スリット",VLOOKUP(F538&amp;K538&amp;Q538,製品マスタ!$N$5:$AD$5002,17,FALSE),"")))</f>
        <v>6ｲﾝﾁSｺｱ</v>
      </c>
      <c r="W538" s="269">
        <f>IF(J538="巻返し",VLOOKUP(F538&amp;K538&amp;M538,製品マスタ!$M$5:$AE$5002,19,FALSE),IF(J538="リード付け","-",IF(J538="スリット",VLOOKUP(F538&amp;K538&amp;Q538,製品マスタ!$N$5:$AE$5002,18,FALSE),"")))</f>
        <v>1125</v>
      </c>
      <c r="X538" s="275">
        <f>IF(D538="","",VLOOKUP(D538,契約台帳!$A$3:$Q$4986,17,FALSE))</f>
        <v>2</v>
      </c>
      <c r="Y538" s="269" t="str">
        <f>IF(D538="","",VLOOKUP(D538,契約台帳!$A$3:$E$4986,5,FALSE))</f>
        <v>リンテック㈱</v>
      </c>
      <c r="Z538" s="57">
        <v>45114</v>
      </c>
      <c r="AA538" s="303" t="str">
        <f>IFERROR(VLOOKUP(F538&amp;K538&amp;M538,製品マスタ!$M$5:$AM$5002,27,FALSE),"")</f>
        <v>原反ケース再利用</v>
      </c>
      <c r="AB538" s="33"/>
      <c r="AC538" s="189"/>
      <c r="AD538" s="54" t="str">
        <f>IF(F538="","",+F538&amp;K538)</f>
        <v>3SNMLBMNGTBF50</v>
      </c>
      <c r="AE538" s="55">
        <f>+M538*N538*O538/1000</f>
        <v>33600</v>
      </c>
      <c r="AF538" s="43">
        <f>IF(AD538="","",VLOOKUP(AD538,原価マスタ!$A$2:$AJ$1693,13,FALSE))</f>
        <v>99</v>
      </c>
      <c r="AG538" s="47">
        <f>IF(AF538="","",+AE538*AF538/100)</f>
        <v>33264</v>
      </c>
      <c r="AH538" s="30"/>
      <c r="AI538" s="30"/>
      <c r="AJ538" s="30"/>
      <c r="AK538" s="30"/>
      <c r="AL538" s="13"/>
      <c r="AM538" s="13"/>
      <c r="AN538" s="13"/>
      <c r="AO538" s="13"/>
      <c r="AP538" s="13"/>
      <c r="AQ538" s="14"/>
      <c r="AR538" s="15"/>
    </row>
    <row r="539" spans="1:44" s="17" customFormat="1" ht="30.95" hidden="1" customHeight="1" x14ac:dyDescent="0.2">
      <c r="A539" s="37"/>
      <c r="B539" s="38"/>
      <c r="C539" s="45"/>
      <c r="D539" s="31"/>
      <c r="E539" s="31"/>
      <c r="F539" s="268"/>
      <c r="G539" s="269"/>
      <c r="H539" s="269"/>
      <c r="I539" s="270"/>
      <c r="J539" s="32"/>
      <c r="K539" s="270"/>
      <c r="L539" s="270"/>
      <c r="M539" s="39"/>
      <c r="N539" s="39"/>
      <c r="O539" s="47"/>
      <c r="P539" s="57"/>
      <c r="Q539" s="276"/>
      <c r="R539" s="277"/>
      <c r="S539" s="277"/>
      <c r="T539" s="40"/>
      <c r="U539" s="278"/>
      <c r="V539" s="269"/>
      <c r="W539" s="269"/>
      <c r="X539" s="275"/>
      <c r="Y539" s="269"/>
      <c r="Z539" s="57"/>
      <c r="AA539" s="207"/>
      <c r="AB539" s="33"/>
      <c r="AC539" s="189"/>
      <c r="AD539" s="54"/>
      <c r="AE539" s="55"/>
      <c r="AF539" s="43"/>
      <c r="AG539" s="47"/>
      <c r="AH539" s="30"/>
      <c r="AI539" s="30"/>
      <c r="AJ539" s="30"/>
      <c r="AK539" s="30"/>
      <c r="AL539" s="13"/>
      <c r="AM539" s="13"/>
      <c r="AN539" s="13"/>
      <c r="AO539" s="13"/>
      <c r="AP539" s="13"/>
      <c r="AQ539" s="14"/>
      <c r="AR539" s="15"/>
    </row>
    <row r="540" spans="1:44" s="17" customFormat="1" ht="30.95" hidden="1" customHeight="1" x14ac:dyDescent="0.2">
      <c r="A540" s="37" t="s">
        <v>1280</v>
      </c>
      <c r="B540" s="38" t="s">
        <v>1281</v>
      </c>
      <c r="C540" s="45"/>
      <c r="D540" s="31">
        <v>3716257</v>
      </c>
      <c r="E540" s="31">
        <v>4151417</v>
      </c>
      <c r="F540" s="268" t="str">
        <f>IF(D540="","",VLOOKUP(D540,契約台帳!$A$3:$K$4986,6,FALSE)&amp;VLOOKUP(D540,契約台帳!$A$3:$K$4986,7,FALSE)&amp;VLOOKUP(D540,契約台帳!$A$3:$K$4986,8,FALSE)&amp;VLOOKUP(D540,契約台帳!$A$3:$K$4986,9,FALSE)&amp;VLOOKUP(D540,契約台帳!$A$3:$K$4986,11,FALSE))</f>
        <v>3SNMLBMNGTBF</v>
      </c>
      <c r="G540" s="269" t="str">
        <f>IF(D540="","",VLOOKUP(F540,製品マスタ!$G$5:$H$5002,2,FALSE))</f>
        <v>S</v>
      </c>
      <c r="H540" s="269" t="str">
        <f>IF(D540="","",VLOOKUP(F540,製品マスタ!$G$5:$K$5002,5,FALSE))</f>
        <v>MNGTBF</v>
      </c>
      <c r="I540" s="270" t="str">
        <f>IF(D540="","",VLOOKUP(F540,製品マスタ!$G$5:$L$5002,6,FALSE))</f>
        <v>メタルミー　ネーマー　銀艶　Ｂ</v>
      </c>
      <c r="J540" s="32" t="s">
        <v>447</v>
      </c>
      <c r="K540" s="270">
        <f>IF(D540="","",VLOOKUP(D540,契約台帳!$A$3:$L$4986,12,FALSE))</f>
        <v>50</v>
      </c>
      <c r="L540" s="270" t="str">
        <f>IF(D540="","",INDEX(製品マスタ!$Q$5:$Q$5002,MATCH(F540&amp;K540,製品マスタ!$AO$5:$AO$5002,0)))</f>
        <v>T62</v>
      </c>
      <c r="M540" s="39">
        <v>1120</v>
      </c>
      <c r="N540" s="39">
        <v>10000</v>
      </c>
      <c r="O540" s="47">
        <v>3</v>
      </c>
      <c r="P540" s="57"/>
      <c r="Q540" s="276">
        <f>IF(D540="","",IF(J540="リード付け",M540,VLOOKUP(D540,契約台帳!$A$3:$N$4986,14,FALSE)))</f>
        <v>1120</v>
      </c>
      <c r="R540" s="277">
        <f>IF(D540="","",IF(J540="リード付け",M540,VLOOKUP(D540,契約台帳!$A$3:$O$4986,15,FALSE)))</f>
        <v>1120</v>
      </c>
      <c r="S540" s="277">
        <f>IF(D540="","",IF(J540="リード付け",N540,VLOOKUP(D540,契約台帳!$A$3:$P$4986,16,FALSE)))</f>
        <v>5000</v>
      </c>
      <c r="T540" s="40">
        <v>6</v>
      </c>
      <c r="U540" s="302" t="str">
        <f ca="1">IF(D540="","",IF(OFFSET(D540,-2,0)=D540,"",VLOOKUP(D540,契約台帳!$A$3:$R$4986,18,FALSE)))</f>
        <v/>
      </c>
      <c r="V540" s="269" t="str">
        <f>IF(J540="巻返し",VLOOKUP(F540&amp;K540&amp;M540,製品マスタ!$M$5:$AD$5002,18,FALSE),IF(J540="リード付け","原反コア",IF(J540="スリット",VLOOKUP(F540&amp;K540&amp;Q540,製品マスタ!$N$5:$AD$5002,17,FALSE),"")))</f>
        <v>6ｲﾝﾁSｺｱ</v>
      </c>
      <c r="W540" s="269">
        <f>IF(J540="巻返し",VLOOKUP(F540&amp;K540&amp;M540,製品マスタ!$M$5:$AE$5002,19,FALSE),IF(J540="リード付け","-",IF(J540="スリット",VLOOKUP(F540&amp;K540&amp;Q540,製品マスタ!$N$5:$AE$5002,18,FALSE),"")))</f>
        <v>1125</v>
      </c>
      <c r="X540" s="275">
        <f>IF(D540="","",VLOOKUP(D540,契約台帳!$A$3:$Q$4986,17,FALSE))</f>
        <v>2</v>
      </c>
      <c r="Y540" s="269" t="str">
        <f>IF(D540="","",VLOOKUP(D540,契約台帳!$A$3:$E$4986,5,FALSE))</f>
        <v>リンテック㈱</v>
      </c>
      <c r="Z540" s="57">
        <v>45117</v>
      </c>
      <c r="AA540" s="303" t="str">
        <f>IFERROR(VLOOKUP(F540&amp;K540&amp;M540,製品マスタ!$M$5:$AM$5002,27,FALSE),"")</f>
        <v>原反ケース再利用</v>
      </c>
      <c r="AB540" s="33"/>
      <c r="AC540" s="189"/>
      <c r="AD540" s="54" t="str">
        <f>IF(F540="","",+F540&amp;K540)</f>
        <v>3SNMLBMNGTBF50</v>
      </c>
      <c r="AE540" s="55">
        <f>+M540*N540*O540/1000</f>
        <v>33600</v>
      </c>
      <c r="AF540" s="43">
        <f>IF(AD540="","",VLOOKUP(AD540,原価マスタ!$A$2:$AJ$1693,13,FALSE))</f>
        <v>99</v>
      </c>
      <c r="AG540" s="47">
        <f>IF(AF540="","",+AE540*AF540/100)</f>
        <v>33264</v>
      </c>
      <c r="AH540" s="30"/>
      <c r="AI540" s="30"/>
      <c r="AJ540" s="30"/>
      <c r="AK540" s="30"/>
      <c r="AL540" s="13"/>
      <c r="AM540" s="13"/>
      <c r="AN540" s="13"/>
      <c r="AO540" s="13"/>
      <c r="AP540" s="13"/>
      <c r="AQ540" s="14"/>
      <c r="AR540" s="15"/>
    </row>
    <row r="541" spans="1:44" s="17" customFormat="1" ht="30.95" hidden="1" customHeight="1" x14ac:dyDescent="0.2">
      <c r="A541" s="37"/>
      <c r="B541" s="38"/>
      <c r="C541" s="45"/>
      <c r="D541" s="31"/>
      <c r="E541" s="31"/>
      <c r="F541" s="268"/>
      <c r="G541" s="269"/>
      <c r="H541" s="269"/>
      <c r="I541" s="270"/>
      <c r="J541" s="32"/>
      <c r="K541" s="270"/>
      <c r="L541" s="270"/>
      <c r="M541" s="39"/>
      <c r="N541" s="39"/>
      <c r="O541" s="47"/>
      <c r="P541" s="57"/>
      <c r="Q541" s="276"/>
      <c r="R541" s="277"/>
      <c r="S541" s="277"/>
      <c r="T541" s="40"/>
      <c r="U541" s="278"/>
      <c r="V541" s="269"/>
      <c r="W541" s="269"/>
      <c r="X541" s="275"/>
      <c r="Y541" s="269"/>
      <c r="Z541" s="57"/>
      <c r="AA541" s="207"/>
      <c r="AB541" s="33"/>
      <c r="AC541" s="189"/>
      <c r="AD541" s="54"/>
      <c r="AE541" s="55"/>
      <c r="AF541" s="43"/>
      <c r="AG541" s="47"/>
      <c r="AH541" s="30"/>
      <c r="AI541" s="30"/>
      <c r="AJ541" s="30"/>
      <c r="AK541" s="30"/>
      <c r="AL541" s="13"/>
      <c r="AM541" s="13"/>
      <c r="AN541" s="13"/>
      <c r="AO541" s="13"/>
      <c r="AP541" s="13"/>
      <c r="AQ541" s="14"/>
      <c r="AR541" s="15"/>
    </row>
    <row r="542" spans="1:44" s="17" customFormat="1" ht="30.95" hidden="1" customHeight="1" x14ac:dyDescent="0.2">
      <c r="A542" s="37"/>
      <c r="B542" s="38"/>
      <c r="C542" s="45"/>
      <c r="D542" s="31">
        <v>3716257</v>
      </c>
      <c r="E542" s="31">
        <v>4151417</v>
      </c>
      <c r="F542" s="268" t="str">
        <f>IF(D542="","",VLOOKUP(D542,契約台帳!$A$3:$K$4986,6,FALSE)&amp;VLOOKUP(D542,契約台帳!$A$3:$K$4986,7,FALSE)&amp;VLOOKUP(D542,契約台帳!$A$3:$K$4986,8,FALSE)&amp;VLOOKUP(D542,契約台帳!$A$3:$K$4986,9,FALSE)&amp;VLOOKUP(D542,契約台帳!$A$3:$K$4986,11,FALSE))</f>
        <v>3SNMLBMNGTBF</v>
      </c>
      <c r="G542" s="269" t="str">
        <f>IF(D542="","",VLOOKUP(F542,製品マスタ!$G$5:$H$5002,2,FALSE))</f>
        <v>S</v>
      </c>
      <c r="H542" s="269" t="str">
        <f>IF(D542="","",VLOOKUP(F542,製品マスタ!$G$5:$K$5002,5,FALSE))</f>
        <v>MNGTBF</v>
      </c>
      <c r="I542" s="270" t="str">
        <f>IF(D542="","",VLOOKUP(F542,製品マスタ!$G$5:$L$5002,6,FALSE))</f>
        <v>メタルミー　ネーマー　銀艶　Ｂ</v>
      </c>
      <c r="J542" s="32" t="s">
        <v>447</v>
      </c>
      <c r="K542" s="270">
        <f>IF(D542="","",VLOOKUP(D542,契約台帳!$A$3:$L$4986,12,FALSE))</f>
        <v>50</v>
      </c>
      <c r="L542" s="270" t="str">
        <f>IF(D542="","",INDEX(製品マスタ!$Q$5:$Q$5002,MATCH(F542&amp;K542,製品マスタ!$AO$5:$AO$5002,0)))</f>
        <v>T62</v>
      </c>
      <c r="M542" s="39">
        <v>1120</v>
      </c>
      <c r="N542" s="39">
        <v>10000</v>
      </c>
      <c r="O542" s="47">
        <v>1</v>
      </c>
      <c r="P542" s="57"/>
      <c r="Q542" s="276">
        <f>IF(D542="","",IF(J542="リード付け",M542,VLOOKUP(D542,契約台帳!$A$3:$N$4986,14,FALSE)))</f>
        <v>1120</v>
      </c>
      <c r="R542" s="277">
        <f>IF(D542="","",IF(J542="リード付け",M542,VLOOKUP(D542,契約台帳!$A$3:$O$4986,15,FALSE)))</f>
        <v>1120</v>
      </c>
      <c r="S542" s="277">
        <f>IF(D542="","",IF(J542="リード付け",N542,VLOOKUP(D542,契約台帳!$A$3:$P$4986,16,FALSE)))</f>
        <v>5000</v>
      </c>
      <c r="T542" s="40">
        <v>1</v>
      </c>
      <c r="U542" s="302" t="str">
        <f ca="1">IF(D542="","",IF(OFFSET(D542,-2,0)=D542,"",VLOOKUP(D542,契約台帳!$A$3:$R$4986,18,FALSE)))</f>
        <v/>
      </c>
      <c r="V542" s="269" t="str">
        <f>IF(J542="巻返し",VLOOKUP(F542&amp;K542&amp;M542,製品マスタ!$M$5:$AD$5002,18,FALSE),IF(J542="リード付け","原反コア",IF(J542="スリット",VLOOKUP(F542&amp;K542&amp;Q542,製品マスタ!$N$5:$AD$5002,17,FALSE),"")))</f>
        <v>6ｲﾝﾁSｺｱ</v>
      </c>
      <c r="W542" s="269">
        <f>IF(J542="巻返し",VLOOKUP(F542&amp;K542&amp;M542,製品マスタ!$M$5:$AE$5002,19,FALSE),IF(J542="リード付け","-",IF(J542="スリット",VLOOKUP(F542&amp;K542&amp;Q542,製品マスタ!$N$5:$AE$5002,18,FALSE),"")))</f>
        <v>1125</v>
      </c>
      <c r="X542" s="275">
        <f>IF(D542="","",VLOOKUP(D542,契約台帳!$A$3:$Q$4986,17,FALSE))</f>
        <v>2</v>
      </c>
      <c r="Y542" s="269" t="str">
        <f>IF(D542="","",VLOOKUP(D542,契約台帳!$A$3:$E$4986,5,FALSE))</f>
        <v>リンテック㈱</v>
      </c>
      <c r="Z542" s="57">
        <v>45117</v>
      </c>
      <c r="AA542" s="303" t="str">
        <f>IFERROR(VLOOKUP(F542&amp;K542&amp;M542,製品マスタ!$M$5:$AM$5002,27,FALSE),"")</f>
        <v>原反ケース再利用</v>
      </c>
      <c r="AB542" s="33"/>
      <c r="AC542" s="189"/>
      <c r="AD542" s="54" t="str">
        <f>IF(F542="","",+F542&amp;K542)</f>
        <v>3SNMLBMNGTBF50</v>
      </c>
      <c r="AE542" s="55">
        <f>+M542*N542*O542/1000</f>
        <v>11200</v>
      </c>
      <c r="AF542" s="43">
        <f>IF(AD542="","",VLOOKUP(AD542,原価マスタ!$A$2:$AJ$1693,13,FALSE))</f>
        <v>99</v>
      </c>
      <c r="AG542" s="47">
        <f>IF(AF542="","",+AE542*AF542/100)</f>
        <v>11088</v>
      </c>
      <c r="AH542" s="30"/>
      <c r="AI542" s="30"/>
      <c r="AJ542" s="30"/>
      <c r="AK542" s="30"/>
      <c r="AL542" s="13"/>
      <c r="AM542" s="13"/>
      <c r="AN542" s="13"/>
      <c r="AO542" s="13"/>
      <c r="AP542" s="13"/>
      <c r="AQ542" s="14"/>
      <c r="AR542" s="15"/>
    </row>
    <row r="543" spans="1:44" s="17" customFormat="1" ht="30.95" hidden="1" customHeight="1" x14ac:dyDescent="0.2">
      <c r="A543" s="37"/>
      <c r="B543" s="38"/>
      <c r="C543" s="45"/>
      <c r="D543" s="31">
        <v>3716258</v>
      </c>
      <c r="E543" s="31"/>
      <c r="F543" s="268" t="str">
        <f>IF(D543="","",VLOOKUP(D543,契約台帳!$A$3:$K$4986,6,FALSE)&amp;VLOOKUP(D543,契約台帳!$A$3:$K$4986,7,FALSE)&amp;VLOOKUP(D543,契約台帳!$A$3:$K$4986,8,FALSE)&amp;VLOOKUP(D543,契約台帳!$A$3:$K$4986,9,FALSE)&amp;VLOOKUP(D543,契約台帳!$A$3:$K$4986,11,FALSE))</f>
        <v>3SNMLBMNGTBF</v>
      </c>
      <c r="G543" s="269" t="str">
        <f>IF(D543="","",VLOOKUP(F543,製品マスタ!$G$5:$H$5002,2,FALSE))</f>
        <v>S</v>
      </c>
      <c r="H543" s="269" t="str">
        <f>IF(D543="","",VLOOKUP(F543,製品マスタ!$G$5:$K$5002,5,FALSE))</f>
        <v>MNGTBF</v>
      </c>
      <c r="I543" s="270" t="str">
        <f>IF(D543="","",VLOOKUP(F543,製品マスタ!$G$5:$L$5002,6,FALSE))</f>
        <v>メタルミー　ネーマー　銀艶　Ｂ</v>
      </c>
      <c r="J543" s="32" t="s">
        <v>447</v>
      </c>
      <c r="K543" s="270">
        <f>IF(D543="","",VLOOKUP(D543,契約台帳!$A$3:$L$4986,12,FALSE))</f>
        <v>50</v>
      </c>
      <c r="L543" s="270" t="str">
        <f>IF(D543="","",INDEX(製品マスタ!$Q$5:$Q$5002,MATCH(F543&amp;K543,製品マスタ!$AO$5:$AO$5002,0)))</f>
        <v>T62</v>
      </c>
      <c r="M543" s="39">
        <v>1120</v>
      </c>
      <c r="N543" s="39"/>
      <c r="O543" s="47"/>
      <c r="P543" s="57"/>
      <c r="Q543" s="276">
        <f>IF(D543="","",IF(J543="リード付け",M543,VLOOKUP(D543,契約台帳!$A$3:$N$4986,14,FALSE)))</f>
        <v>1120</v>
      </c>
      <c r="R543" s="277">
        <f>IF(D543="","",IF(J543="リード付け",M543,VLOOKUP(D543,契約台帳!$A$3:$O$4986,15,FALSE)))</f>
        <v>1120</v>
      </c>
      <c r="S543" s="277">
        <f>IF(D543="","",IF(J543="リード付け",N543,VLOOKUP(D543,契約台帳!$A$3:$P$4986,16,FALSE)))</f>
        <v>5000</v>
      </c>
      <c r="T543" s="40">
        <v>1</v>
      </c>
      <c r="U543" s="302">
        <f ca="1">IF(D543="","",IF(OFFSET(D543,-2,0)=D543,"",VLOOKUP(D543,契約台帳!$A$3:$R$4986,18,FALSE)))</f>
        <v>13</v>
      </c>
      <c r="V543" s="269" t="str">
        <f>IF(J543="巻返し",VLOOKUP(F543&amp;K543&amp;M543,製品マスタ!$M$5:$AD$5002,18,FALSE),IF(J543="リード付け","原反コア",IF(J543="スリット",VLOOKUP(F543&amp;K543&amp;Q543,製品マスタ!$N$5:$AD$5002,17,FALSE),"")))</f>
        <v>6ｲﾝﾁSｺｱ</v>
      </c>
      <c r="W543" s="269">
        <f>IF(J543="巻返し",VLOOKUP(F543&amp;K543&amp;M543,製品マスタ!$M$5:$AE$5002,19,FALSE),IF(J543="リード付け","-",IF(J543="スリット",VLOOKUP(F543&amp;K543&amp;Q543,製品マスタ!$N$5:$AE$5002,18,FALSE),"")))</f>
        <v>1125</v>
      </c>
      <c r="X543" s="275">
        <f>IF(D543="","",VLOOKUP(D543,契約台帳!$A$3:$Q$4986,17,FALSE))</f>
        <v>2</v>
      </c>
      <c r="Y543" s="269" t="str">
        <f>IF(D543="","",VLOOKUP(D543,契約台帳!$A$3:$E$4986,5,FALSE))</f>
        <v>リンテック㈱</v>
      </c>
      <c r="Z543" s="57"/>
      <c r="AA543" s="303" t="str">
        <f>IFERROR(VLOOKUP(F543&amp;K543&amp;M543,製品マスタ!$M$5:$AM$5002,27,FALSE),"")</f>
        <v>原反ケース再利用</v>
      </c>
      <c r="AB543" s="33"/>
      <c r="AC543" s="189"/>
      <c r="AD543" s="54"/>
      <c r="AE543" s="55"/>
      <c r="AF543" s="43"/>
      <c r="AG543" s="47" t="str">
        <f>IF(AF543="","",+AE543*AF543/100)</f>
        <v/>
      </c>
      <c r="AH543" s="30"/>
      <c r="AI543" s="30"/>
      <c r="AJ543" s="30"/>
      <c r="AK543" s="30"/>
      <c r="AL543" s="13"/>
      <c r="AM543" s="13"/>
      <c r="AN543" s="13"/>
      <c r="AO543" s="13"/>
      <c r="AP543" s="13"/>
      <c r="AQ543" s="14"/>
      <c r="AR543" s="15"/>
    </row>
    <row r="544" spans="1:44" s="17" customFormat="1" ht="30.95" hidden="1" customHeight="1" x14ac:dyDescent="0.2">
      <c r="A544" s="37"/>
      <c r="B544" s="38"/>
      <c r="C544" s="45"/>
      <c r="D544" s="31"/>
      <c r="E544" s="31"/>
      <c r="F544" s="268"/>
      <c r="G544" s="269"/>
      <c r="H544" s="269"/>
      <c r="I544" s="270"/>
      <c r="J544" s="32"/>
      <c r="K544" s="270"/>
      <c r="L544" s="270"/>
      <c r="M544" s="39"/>
      <c r="N544" s="39"/>
      <c r="O544" s="47"/>
      <c r="P544" s="57"/>
      <c r="Q544" s="276"/>
      <c r="R544" s="277"/>
      <c r="S544" s="277"/>
      <c r="T544" s="40"/>
      <c r="U544" s="278"/>
      <c r="V544" s="269"/>
      <c r="W544" s="269"/>
      <c r="X544" s="275"/>
      <c r="Y544" s="269"/>
      <c r="Z544" s="57"/>
      <c r="AA544" s="207"/>
      <c r="AB544" s="33"/>
      <c r="AC544" s="189"/>
      <c r="AD544" s="54"/>
      <c r="AE544" s="55"/>
      <c r="AF544" s="43"/>
      <c r="AG544" s="47"/>
      <c r="AH544" s="30"/>
      <c r="AI544" s="30"/>
      <c r="AJ544" s="30"/>
      <c r="AK544" s="30"/>
      <c r="AL544" s="13"/>
      <c r="AM544" s="13"/>
      <c r="AN544" s="13"/>
      <c r="AO544" s="13"/>
      <c r="AP544" s="13"/>
      <c r="AQ544" s="14"/>
      <c r="AR544" s="15"/>
    </row>
    <row r="545" spans="1:44" s="17" customFormat="1" ht="30.95" hidden="1" customHeight="1" x14ac:dyDescent="0.2">
      <c r="A545" s="37"/>
      <c r="B545" s="38"/>
      <c r="C545" s="45"/>
      <c r="D545" s="31">
        <v>3716258</v>
      </c>
      <c r="E545" s="31">
        <v>4151418</v>
      </c>
      <c r="F545" s="268" t="str">
        <f>IF(D545="","",VLOOKUP(D545,契約台帳!$A$3:$K$4986,6,FALSE)&amp;VLOOKUP(D545,契約台帳!$A$3:$K$4986,7,FALSE)&amp;VLOOKUP(D545,契約台帳!$A$3:$K$4986,8,FALSE)&amp;VLOOKUP(D545,契約台帳!$A$3:$K$4986,9,FALSE)&amp;VLOOKUP(D545,契約台帳!$A$3:$K$4986,11,FALSE))</f>
        <v>3SNMLBMNGTBF</v>
      </c>
      <c r="G545" s="269" t="str">
        <f>IF(D545="","",VLOOKUP(F545,製品マスタ!$G$5:$H$5002,2,FALSE))</f>
        <v>S</v>
      </c>
      <c r="H545" s="269" t="str">
        <f>IF(D545="","",VLOOKUP(F545,製品マスタ!$G$5:$K$5002,5,FALSE))</f>
        <v>MNGTBF</v>
      </c>
      <c r="I545" s="270" t="str">
        <f>IF(D545="","",VLOOKUP(F545,製品マスタ!$G$5:$L$5002,6,FALSE))</f>
        <v>メタルミー　ネーマー　銀艶　Ｂ</v>
      </c>
      <c r="J545" s="32" t="s">
        <v>447</v>
      </c>
      <c r="K545" s="270">
        <f>IF(D545="","",VLOOKUP(D545,契約台帳!$A$3:$L$4986,12,FALSE))</f>
        <v>50</v>
      </c>
      <c r="L545" s="270" t="str">
        <f>IF(D545="","",INDEX(製品マスタ!$Q$5:$Q$5002,MATCH(F545&amp;K545,製品マスタ!$AO$5:$AO$5002,0)))</f>
        <v>T62</v>
      </c>
      <c r="M545" s="39">
        <v>1120</v>
      </c>
      <c r="N545" s="39">
        <v>10000</v>
      </c>
      <c r="O545" s="47">
        <v>1</v>
      </c>
      <c r="P545" s="57"/>
      <c r="Q545" s="276">
        <f>IF(D545="","",IF(J545="リード付け",M545,VLOOKUP(D545,契約台帳!$A$3:$N$4986,14,FALSE)))</f>
        <v>1120</v>
      </c>
      <c r="R545" s="277">
        <f>IF(D545="","",IF(J545="リード付け",M545,VLOOKUP(D545,契約台帳!$A$3:$O$4986,15,FALSE)))</f>
        <v>1120</v>
      </c>
      <c r="S545" s="277">
        <f>IF(D545="","",IF(J545="リード付け",N545,VLOOKUP(D545,契約台帳!$A$3:$P$4986,16,FALSE)))</f>
        <v>5000</v>
      </c>
      <c r="T545" s="40">
        <v>2</v>
      </c>
      <c r="U545" s="302" t="str">
        <f ca="1">IF(D545="","",IF(OFFSET(D545,-2,0)=D545,"",VLOOKUP(D545,契約台帳!$A$3:$R$4986,18,FALSE)))</f>
        <v/>
      </c>
      <c r="V545" s="269" t="str">
        <f>IF(J545="巻返し",VLOOKUP(F545&amp;K545&amp;M545,製品マスタ!$M$5:$AD$5002,18,FALSE),IF(J545="リード付け","原反コア",IF(J545="スリット",VLOOKUP(F545&amp;K545&amp;Q545,製品マスタ!$N$5:$AD$5002,17,FALSE),"")))</f>
        <v>6ｲﾝﾁSｺｱ</v>
      </c>
      <c r="W545" s="269">
        <f>IF(J545="巻返し",VLOOKUP(F545&amp;K545&amp;M545,製品マスタ!$M$5:$AE$5002,19,FALSE),IF(J545="リード付け","-",IF(J545="スリット",VLOOKUP(F545&amp;K545&amp;Q545,製品マスタ!$N$5:$AE$5002,18,FALSE),"")))</f>
        <v>1125</v>
      </c>
      <c r="X545" s="275">
        <f>IF(D545="","",VLOOKUP(D545,契約台帳!$A$3:$Q$4986,17,FALSE))</f>
        <v>2</v>
      </c>
      <c r="Y545" s="269" t="str">
        <f>IF(D545="","",VLOOKUP(D545,契約台帳!$A$3:$E$4986,5,FALSE))</f>
        <v>リンテック㈱</v>
      </c>
      <c r="Z545" s="57">
        <v>45117</v>
      </c>
      <c r="AA545" s="303" t="str">
        <f>IFERROR(VLOOKUP(F545&amp;K545&amp;M545,製品マスタ!$M$5:$AM$5002,27,FALSE),"")</f>
        <v>原反ケース再利用</v>
      </c>
      <c r="AB545" s="33"/>
      <c r="AC545" s="189"/>
      <c r="AD545" s="54" t="str">
        <f>IF(F545="","",+F545&amp;K545)</f>
        <v>3SNMLBMNGTBF50</v>
      </c>
      <c r="AE545" s="55">
        <f>+M545*N545*O545/1000</f>
        <v>11200</v>
      </c>
      <c r="AF545" s="43">
        <f>IF(AD545="","",VLOOKUP(AD545,原価マスタ!$A$2:$AJ$1693,13,FALSE))</f>
        <v>99</v>
      </c>
      <c r="AG545" s="47">
        <f>IF(AF545="","",+AE545*AF545/100)</f>
        <v>11088</v>
      </c>
      <c r="AH545" s="30"/>
      <c r="AI545" s="30"/>
      <c r="AJ545" s="30"/>
      <c r="AK545" s="30"/>
      <c r="AL545" s="13"/>
      <c r="AM545" s="13"/>
      <c r="AN545" s="13"/>
      <c r="AO545" s="13"/>
      <c r="AP545" s="13"/>
      <c r="AQ545" s="14"/>
      <c r="AR545" s="15"/>
    </row>
    <row r="546" spans="1:44" s="17" customFormat="1" ht="30.95" hidden="1" customHeight="1" x14ac:dyDescent="0.2">
      <c r="A546" s="37"/>
      <c r="B546" s="38"/>
      <c r="C546" s="45"/>
      <c r="D546" s="31"/>
      <c r="E546" s="31"/>
      <c r="F546" s="268"/>
      <c r="G546" s="269"/>
      <c r="H546" s="269"/>
      <c r="I546" s="270"/>
      <c r="J546" s="32"/>
      <c r="K546" s="270"/>
      <c r="L546" s="270"/>
      <c r="M546" s="39"/>
      <c r="N546" s="39"/>
      <c r="O546" s="47"/>
      <c r="P546" s="57"/>
      <c r="Q546" s="276"/>
      <c r="R546" s="277"/>
      <c r="S546" s="277"/>
      <c r="T546" s="40"/>
      <c r="U546" s="278"/>
      <c r="V546" s="269"/>
      <c r="W546" s="269"/>
      <c r="X546" s="275"/>
      <c r="Y546" s="269"/>
      <c r="Z546" s="57"/>
      <c r="AA546" s="207"/>
      <c r="AB546" s="33"/>
      <c r="AC546" s="189"/>
      <c r="AD546" s="54"/>
      <c r="AE546" s="55"/>
      <c r="AF546" s="43"/>
      <c r="AG546" s="47"/>
      <c r="AH546" s="30"/>
      <c r="AI546" s="30"/>
      <c r="AJ546" s="30"/>
      <c r="AK546" s="30"/>
      <c r="AL546" s="13"/>
      <c r="AM546" s="13"/>
      <c r="AN546" s="13"/>
      <c r="AO546" s="13"/>
      <c r="AP546" s="13"/>
      <c r="AQ546" s="14"/>
      <c r="AR546" s="15"/>
    </row>
    <row r="547" spans="1:44" s="17" customFormat="1" ht="30.95" hidden="1" customHeight="1" x14ac:dyDescent="0.2">
      <c r="A547" s="37" t="s">
        <v>1282</v>
      </c>
      <c r="B547" s="38" t="s">
        <v>1283</v>
      </c>
      <c r="C547" s="45"/>
      <c r="D547" s="31">
        <v>3716258</v>
      </c>
      <c r="E547" s="31">
        <v>4151418</v>
      </c>
      <c r="F547" s="268" t="str">
        <f>IF(D547="","",VLOOKUP(D547,契約台帳!$A$3:$K$4986,6,FALSE)&amp;VLOOKUP(D547,契約台帳!$A$3:$K$4986,7,FALSE)&amp;VLOOKUP(D547,契約台帳!$A$3:$K$4986,8,FALSE)&amp;VLOOKUP(D547,契約台帳!$A$3:$K$4986,9,FALSE)&amp;VLOOKUP(D547,契約台帳!$A$3:$K$4986,11,FALSE))</f>
        <v>3SNMLBMNGTBF</v>
      </c>
      <c r="G547" s="269" t="str">
        <f>IF(D547="","",VLOOKUP(F547,製品マスタ!$G$5:$H$5002,2,FALSE))</f>
        <v>S</v>
      </c>
      <c r="H547" s="269" t="str">
        <f>IF(D547="","",VLOOKUP(F547,製品マスタ!$G$5:$K$5002,5,FALSE))</f>
        <v>MNGTBF</v>
      </c>
      <c r="I547" s="270" t="str">
        <f>IF(D547="","",VLOOKUP(F547,製品マスタ!$G$5:$L$5002,6,FALSE))</f>
        <v>メタルミー　ネーマー　銀艶　Ｂ</v>
      </c>
      <c r="J547" s="32" t="s">
        <v>447</v>
      </c>
      <c r="K547" s="270">
        <f>IF(D547="","",VLOOKUP(D547,契約台帳!$A$3:$L$4986,12,FALSE))</f>
        <v>50</v>
      </c>
      <c r="L547" s="270" t="str">
        <f>IF(D547="","",INDEX(製品マスタ!$Q$5:$Q$5002,MATCH(F547&amp;K547,製品マスタ!$AO$5:$AO$5002,0)))</f>
        <v>T62</v>
      </c>
      <c r="M547" s="39">
        <v>1120</v>
      </c>
      <c r="N547" s="39">
        <v>10000</v>
      </c>
      <c r="O547" s="47">
        <v>5</v>
      </c>
      <c r="P547" s="57"/>
      <c r="Q547" s="276">
        <f>IF(D547="","",IF(J547="リード付け",M547,VLOOKUP(D547,契約台帳!$A$3:$N$4986,14,FALSE)))</f>
        <v>1120</v>
      </c>
      <c r="R547" s="277">
        <f>IF(D547="","",IF(J547="リード付け",M547,VLOOKUP(D547,契約台帳!$A$3:$O$4986,15,FALSE)))</f>
        <v>1120</v>
      </c>
      <c r="S547" s="277">
        <f>IF(D547="","",IF(J547="リード付け",N547,VLOOKUP(D547,契約台帳!$A$3:$P$4986,16,FALSE)))</f>
        <v>5000</v>
      </c>
      <c r="T547" s="40">
        <v>10</v>
      </c>
      <c r="U547" s="302" t="str">
        <f ca="1">IF(D547="","",IF(OFFSET(D547,-2,0)=D547,"",VLOOKUP(D547,契約台帳!$A$3:$R$4986,18,FALSE)))</f>
        <v/>
      </c>
      <c r="V547" s="269" t="str">
        <f>IF(J547="巻返し",VLOOKUP(F547&amp;K547&amp;M547,製品マスタ!$M$5:$AD$5002,18,FALSE),IF(J547="リード付け","原反コア",IF(J547="スリット",VLOOKUP(F547&amp;K547&amp;Q547,製品マスタ!$N$5:$AD$5002,17,FALSE),"")))</f>
        <v>6ｲﾝﾁSｺｱ</v>
      </c>
      <c r="W547" s="269">
        <f>IF(J547="巻返し",VLOOKUP(F547&amp;K547&amp;M547,製品マスタ!$M$5:$AE$5002,19,FALSE),IF(J547="リード付け","-",IF(J547="スリット",VLOOKUP(F547&amp;K547&amp;Q547,製品マスタ!$N$5:$AE$5002,18,FALSE),"")))</f>
        <v>1125</v>
      </c>
      <c r="X547" s="275">
        <f>IF(D547="","",VLOOKUP(D547,契約台帳!$A$3:$Q$4986,17,FALSE))</f>
        <v>2</v>
      </c>
      <c r="Y547" s="269" t="str">
        <f>IF(D547="","",VLOOKUP(D547,契約台帳!$A$3:$E$4986,5,FALSE))</f>
        <v>リンテック㈱</v>
      </c>
      <c r="Z547" s="57">
        <v>45118</v>
      </c>
      <c r="AA547" s="303" t="str">
        <f>IFERROR(VLOOKUP(F547&amp;K547&amp;M547,製品マスタ!$M$5:$AM$5002,27,FALSE),"")</f>
        <v>原反ケース再利用</v>
      </c>
      <c r="AB547" s="33"/>
      <c r="AC547" s="189"/>
      <c r="AD547" s="54" t="str">
        <f>IF(F547="","",+F547&amp;K547)</f>
        <v>3SNMLBMNGTBF50</v>
      </c>
      <c r="AE547" s="55">
        <f>+M547*N547*O547/1000</f>
        <v>56000</v>
      </c>
      <c r="AF547" s="43">
        <f>IF(AD547="","",VLOOKUP(AD547,原価マスタ!$A$2:$AJ$1693,13,FALSE))</f>
        <v>99</v>
      </c>
      <c r="AG547" s="47">
        <f>IF(AF547="","",+AE547*AF547/100)</f>
        <v>55440</v>
      </c>
      <c r="AH547" s="30"/>
      <c r="AI547" s="30"/>
      <c r="AJ547" s="30"/>
      <c r="AK547" s="30"/>
      <c r="AL547" s="13"/>
      <c r="AM547" s="13"/>
      <c r="AN547" s="13"/>
      <c r="AO547" s="13"/>
      <c r="AP547" s="13"/>
      <c r="AQ547" s="14"/>
      <c r="AR547" s="15"/>
    </row>
    <row r="548" spans="1:44" s="17" customFormat="1" ht="30.95" hidden="1" customHeight="1" x14ac:dyDescent="0.2">
      <c r="A548" s="37"/>
      <c r="B548" s="38"/>
      <c r="C548" s="45"/>
      <c r="D548" s="31"/>
      <c r="E548" s="31"/>
      <c r="F548" s="268"/>
      <c r="G548" s="269"/>
      <c r="H548" s="269"/>
      <c r="I548" s="270"/>
      <c r="J548" s="32"/>
      <c r="K548" s="270"/>
      <c r="L548" s="270"/>
      <c r="M548" s="39"/>
      <c r="N548" s="39"/>
      <c r="O548" s="47"/>
      <c r="P548" s="57"/>
      <c r="Q548" s="276"/>
      <c r="R548" s="277"/>
      <c r="S548" s="277"/>
      <c r="T548" s="40"/>
      <c r="U548" s="278"/>
      <c r="V548" s="269"/>
      <c r="W548" s="269"/>
      <c r="X548" s="275"/>
      <c r="Y548" s="269"/>
      <c r="Z548" s="57"/>
      <c r="AA548" s="207"/>
      <c r="AB548" s="33"/>
      <c r="AC548" s="189"/>
      <c r="AD548" s="54"/>
      <c r="AE548" s="55"/>
      <c r="AF548" s="43"/>
      <c r="AG548" s="47"/>
      <c r="AH548" s="30"/>
      <c r="AI548" s="30"/>
      <c r="AJ548" s="30"/>
      <c r="AK548" s="30"/>
      <c r="AL548" s="13"/>
      <c r="AM548" s="13"/>
      <c r="AN548" s="13"/>
      <c r="AO548" s="13"/>
      <c r="AP548" s="13"/>
      <c r="AQ548" s="14"/>
      <c r="AR548" s="15"/>
    </row>
    <row r="549" spans="1:44" s="17" customFormat="1" ht="30.95" hidden="1" customHeight="1" x14ac:dyDescent="0.2">
      <c r="A549" s="37" t="s">
        <v>1284</v>
      </c>
      <c r="B549" s="38" t="s">
        <v>1285</v>
      </c>
      <c r="C549" s="45"/>
      <c r="D549" s="31"/>
      <c r="E549" s="31"/>
      <c r="F549" s="268"/>
      <c r="G549" s="269"/>
      <c r="H549" s="269"/>
      <c r="I549" s="270"/>
      <c r="J549" s="32" t="s">
        <v>448</v>
      </c>
      <c r="K549" s="270"/>
      <c r="L549" s="270"/>
      <c r="M549" s="39"/>
      <c r="N549" s="39"/>
      <c r="O549" s="47"/>
      <c r="P549" s="57"/>
      <c r="Q549" s="276"/>
      <c r="R549" s="277"/>
      <c r="S549" s="277"/>
      <c r="T549" s="40"/>
      <c r="U549" s="278"/>
      <c r="V549" s="269"/>
      <c r="W549" s="269"/>
      <c r="X549" s="275"/>
      <c r="Y549" s="269"/>
      <c r="Z549" s="57"/>
      <c r="AA549" s="207"/>
      <c r="AB549" s="33"/>
      <c r="AC549" s="189"/>
      <c r="AD549" s="54"/>
      <c r="AE549" s="55"/>
      <c r="AF549" s="43"/>
      <c r="AG549" s="47"/>
      <c r="AH549" s="30"/>
      <c r="AI549" s="30"/>
      <c r="AJ549" s="30"/>
      <c r="AK549" s="30"/>
      <c r="AL549" s="13"/>
      <c r="AM549" s="13"/>
      <c r="AN549" s="13"/>
      <c r="AO549" s="13"/>
      <c r="AP549" s="13"/>
      <c r="AQ549" s="14"/>
      <c r="AR549" s="15"/>
    </row>
    <row r="550" spans="1:44" s="17" customFormat="1" ht="30.95" hidden="1" customHeight="1" x14ac:dyDescent="0.2">
      <c r="A550" s="37"/>
      <c r="B550" s="38"/>
      <c r="C550" s="45"/>
      <c r="D550" s="31"/>
      <c r="E550" s="31"/>
      <c r="F550" s="268"/>
      <c r="G550" s="269"/>
      <c r="H550" s="269"/>
      <c r="I550" s="270"/>
      <c r="J550" s="32"/>
      <c r="K550" s="270"/>
      <c r="L550" s="270"/>
      <c r="M550" s="39"/>
      <c r="N550" s="39"/>
      <c r="O550" s="47"/>
      <c r="P550" s="57"/>
      <c r="Q550" s="276"/>
      <c r="R550" s="277"/>
      <c r="S550" s="277"/>
      <c r="T550" s="40"/>
      <c r="U550" s="278"/>
      <c r="V550" s="269"/>
      <c r="W550" s="269"/>
      <c r="X550" s="275"/>
      <c r="Y550" s="269"/>
      <c r="Z550" s="57"/>
      <c r="AA550" s="207"/>
      <c r="AB550" s="33"/>
      <c r="AC550" s="189"/>
      <c r="AD550" s="54"/>
      <c r="AE550" s="55"/>
      <c r="AF550" s="43"/>
      <c r="AG550" s="47"/>
      <c r="AH550" s="30"/>
      <c r="AI550" s="30"/>
      <c r="AJ550" s="30"/>
      <c r="AK550" s="30"/>
      <c r="AL550" s="13"/>
      <c r="AM550" s="13"/>
      <c r="AN550" s="13"/>
      <c r="AO550" s="13"/>
      <c r="AP550" s="13"/>
      <c r="AQ550" s="14"/>
      <c r="AR550" s="15"/>
    </row>
    <row r="551" spans="1:44" s="17" customFormat="1" ht="30.95" hidden="1" customHeight="1" x14ac:dyDescent="0.2">
      <c r="A551" s="37" t="s">
        <v>1286</v>
      </c>
      <c r="B551" s="38" t="s">
        <v>1287</v>
      </c>
      <c r="C551" s="45"/>
      <c r="D551" s="31"/>
      <c r="E551" s="31"/>
      <c r="F551" s="268"/>
      <c r="G551" s="269"/>
      <c r="H551" s="269"/>
      <c r="I551" s="270"/>
      <c r="J551" s="32" t="s">
        <v>448</v>
      </c>
      <c r="K551" s="270"/>
      <c r="L551" s="270"/>
      <c r="M551" s="39"/>
      <c r="N551" s="39"/>
      <c r="O551" s="47"/>
      <c r="P551" s="57"/>
      <c r="Q551" s="276"/>
      <c r="R551" s="277"/>
      <c r="S551" s="277"/>
      <c r="T551" s="40"/>
      <c r="U551" s="278"/>
      <c r="V551" s="269"/>
      <c r="W551" s="269"/>
      <c r="X551" s="275"/>
      <c r="Y551" s="269"/>
      <c r="Z551" s="57"/>
      <c r="AA551" s="207"/>
      <c r="AB551" s="33"/>
      <c r="AC551" s="189"/>
      <c r="AD551" s="54"/>
      <c r="AE551" s="55"/>
      <c r="AF551" s="43"/>
      <c r="AG551" s="47"/>
      <c r="AH551" s="30"/>
      <c r="AI551" s="30"/>
      <c r="AJ551" s="30"/>
      <c r="AK551" s="30"/>
      <c r="AL551" s="13"/>
      <c r="AM551" s="13"/>
      <c r="AN551" s="13"/>
      <c r="AO551" s="13"/>
      <c r="AP551" s="13"/>
      <c r="AQ551" s="14"/>
      <c r="AR551" s="15"/>
    </row>
    <row r="552" spans="1:44" s="17" customFormat="1" ht="30.95" hidden="1" customHeight="1" x14ac:dyDescent="0.2">
      <c r="A552" s="37"/>
      <c r="B552" s="38"/>
      <c r="C552" s="45"/>
      <c r="D552" s="31"/>
      <c r="E552" s="31"/>
      <c r="F552" s="268"/>
      <c r="G552" s="269"/>
      <c r="H552" s="269"/>
      <c r="I552" s="270"/>
      <c r="J552" s="32"/>
      <c r="K552" s="270"/>
      <c r="L552" s="270"/>
      <c r="M552" s="39"/>
      <c r="N552" s="39"/>
      <c r="O552" s="47"/>
      <c r="P552" s="57"/>
      <c r="Q552" s="276"/>
      <c r="R552" s="277"/>
      <c r="S552" s="277"/>
      <c r="T552" s="40"/>
      <c r="U552" s="278"/>
      <c r="V552" s="269"/>
      <c r="W552" s="269"/>
      <c r="X552" s="275"/>
      <c r="Y552" s="269"/>
      <c r="Z552" s="57"/>
      <c r="AA552" s="207"/>
      <c r="AB552" s="33"/>
      <c r="AC552" s="189"/>
      <c r="AD552" s="54"/>
      <c r="AE552" s="55"/>
      <c r="AF552" s="43"/>
      <c r="AG552" s="47"/>
      <c r="AH552" s="30"/>
      <c r="AI552" s="30"/>
      <c r="AJ552" s="30"/>
      <c r="AK552" s="30"/>
      <c r="AL552" s="13"/>
      <c r="AM552" s="13"/>
      <c r="AN552" s="13"/>
      <c r="AO552" s="13"/>
      <c r="AP552" s="13"/>
      <c r="AQ552" s="14"/>
      <c r="AR552" s="15"/>
    </row>
    <row r="553" spans="1:44" s="17" customFormat="1" ht="30.95" hidden="1" customHeight="1" x14ac:dyDescent="0.2">
      <c r="A553" s="37" t="s">
        <v>1288</v>
      </c>
      <c r="B553" s="38" t="s">
        <v>1289</v>
      </c>
      <c r="C553" s="45"/>
      <c r="D553" s="31">
        <v>3716259</v>
      </c>
      <c r="E553" s="31">
        <v>4151419</v>
      </c>
      <c r="F553" s="268" t="str">
        <f>IF(D553="","",VLOOKUP(D553,契約台帳!$A$3:$K$4986,6,FALSE)&amp;VLOOKUP(D553,契約台帳!$A$3:$K$4986,7,FALSE)&amp;VLOOKUP(D553,契約台帳!$A$3:$K$4986,8,FALSE)&amp;VLOOKUP(D553,契約台帳!$A$3:$K$4986,9,FALSE)&amp;VLOOKUP(D553,契約台帳!$A$3:$K$4986,11,FALSE))</f>
        <v>3SNMLBMNGTBF</v>
      </c>
      <c r="G553" s="269" t="str">
        <f>IF(D553="","",VLOOKUP(F553,製品マスタ!$G$5:$H$5002,2,FALSE))</f>
        <v>S</v>
      </c>
      <c r="H553" s="269" t="str">
        <f>IF(D553="","",VLOOKUP(F553,製品マスタ!$G$5:$K$5002,5,FALSE))</f>
        <v>MNGTBF</v>
      </c>
      <c r="I553" s="270" t="str">
        <f>IF(D553="","",VLOOKUP(F553,製品マスタ!$G$5:$L$5002,6,FALSE))</f>
        <v>メタルミー　ネーマー　銀艶　Ｂ</v>
      </c>
      <c r="J553" s="32" t="s">
        <v>447</v>
      </c>
      <c r="K553" s="270">
        <f>IF(D553="","",VLOOKUP(D553,契約台帳!$A$3:$L$4986,12,FALSE))</f>
        <v>50</v>
      </c>
      <c r="L553" s="270" t="str">
        <f>IF(D553="","",INDEX(製品マスタ!$Q$5:$Q$5002,MATCH(F553&amp;K553,製品マスタ!$AO$5:$AO$5002,0)))</f>
        <v>T62</v>
      </c>
      <c r="M553" s="39">
        <v>1120</v>
      </c>
      <c r="N553" s="39">
        <v>10000</v>
      </c>
      <c r="O553" s="47">
        <v>6</v>
      </c>
      <c r="P553" s="57"/>
      <c r="Q553" s="276">
        <f>IF(D553="","",IF(J553="リード付け",M553,VLOOKUP(D553,契約台帳!$A$3:$N$4986,14,FALSE)))</f>
        <v>1120</v>
      </c>
      <c r="R553" s="277">
        <f>IF(D553="","",IF(J553="リード付け",M553,VLOOKUP(D553,契約台帳!$A$3:$O$4986,15,FALSE)))</f>
        <v>1120</v>
      </c>
      <c r="S553" s="277">
        <f>IF(D553="","",IF(J553="リード付け",N553,VLOOKUP(D553,契約台帳!$A$3:$P$4986,16,FALSE)))</f>
        <v>5000</v>
      </c>
      <c r="T553" s="40">
        <v>12</v>
      </c>
      <c r="U553" s="302">
        <f ca="1">IF(D553="","",IF(OFFSET(D553,-2,0)=D553,"",VLOOKUP(D553,契約台帳!$A$3:$R$4986,18,FALSE)))</f>
        <v>13</v>
      </c>
      <c r="V553" s="269" t="str">
        <f>IF(J553="巻返し",VLOOKUP(F553&amp;K553&amp;M553,製品マスタ!$M$5:$AD$5002,18,FALSE),IF(J553="リード付け","原反コア",IF(J553="スリット",VLOOKUP(F553&amp;K553&amp;Q553,製品マスタ!$N$5:$AD$5002,17,FALSE),"")))</f>
        <v>6ｲﾝﾁSｺｱ</v>
      </c>
      <c r="W553" s="269">
        <f>IF(J553="巻返し",VLOOKUP(F553&amp;K553&amp;M553,製品マスタ!$M$5:$AE$5002,19,FALSE),IF(J553="リード付け","-",IF(J553="スリット",VLOOKUP(F553&amp;K553&amp;Q553,製品マスタ!$N$5:$AE$5002,18,FALSE),"")))</f>
        <v>1125</v>
      </c>
      <c r="X553" s="275">
        <f>IF(D553="","",VLOOKUP(D553,契約台帳!$A$3:$Q$4986,17,FALSE))</f>
        <v>2</v>
      </c>
      <c r="Y553" s="269" t="str">
        <f>IF(D553="","",VLOOKUP(D553,契約台帳!$A$3:$E$4986,5,FALSE))</f>
        <v>リンテック㈱</v>
      </c>
      <c r="Z553" s="57">
        <v>45119</v>
      </c>
      <c r="AA553" s="303" t="str">
        <f>IFERROR(VLOOKUP(F553&amp;K553&amp;M553,製品マスタ!$M$5:$AM$5002,27,FALSE),"")</f>
        <v>原反ケース再利用</v>
      </c>
      <c r="AB553" s="33"/>
      <c r="AC553" s="189"/>
      <c r="AD553" s="54" t="str">
        <f>IF(F553="","",+F553&amp;K553)</f>
        <v>3SNMLBMNGTBF50</v>
      </c>
      <c r="AE553" s="55">
        <f>+M553*N553*O553/1000</f>
        <v>67200</v>
      </c>
      <c r="AF553" s="43">
        <f>IF(AD553="","",VLOOKUP(AD553,原価マスタ!$A$2:$AJ$1693,13,FALSE))</f>
        <v>99</v>
      </c>
      <c r="AG553" s="47">
        <f>IF(AF553="","",+AE553*AF553/100)</f>
        <v>66528</v>
      </c>
      <c r="AH553" s="30"/>
      <c r="AI553" s="30"/>
      <c r="AJ553" s="30"/>
      <c r="AK553" s="30"/>
      <c r="AL553" s="13"/>
      <c r="AM553" s="13"/>
      <c r="AN553" s="13"/>
      <c r="AO553" s="13"/>
      <c r="AP553" s="13"/>
      <c r="AQ553" s="14"/>
      <c r="AR553" s="15"/>
    </row>
    <row r="554" spans="1:44" s="17" customFormat="1" ht="30.95" hidden="1" customHeight="1" x14ac:dyDescent="0.2">
      <c r="A554" s="37"/>
      <c r="B554" s="38"/>
      <c r="C554" s="45"/>
      <c r="D554" s="31"/>
      <c r="E554" s="31"/>
      <c r="F554" s="268"/>
      <c r="G554" s="269"/>
      <c r="H554" s="269"/>
      <c r="I554" s="270"/>
      <c r="J554" s="32"/>
      <c r="K554" s="270"/>
      <c r="L554" s="270"/>
      <c r="M554" s="39"/>
      <c r="N554" s="39"/>
      <c r="O554" s="47"/>
      <c r="P554" s="57"/>
      <c r="Q554" s="276"/>
      <c r="R554" s="277"/>
      <c r="S554" s="277"/>
      <c r="T554" s="40"/>
      <c r="U554" s="278"/>
      <c r="V554" s="269"/>
      <c r="W554" s="269"/>
      <c r="X554" s="275"/>
      <c r="Y554" s="269"/>
      <c r="Z554" s="57"/>
      <c r="AA554" s="207"/>
      <c r="AB554" s="33"/>
      <c r="AC554" s="189"/>
      <c r="AD554" s="54"/>
      <c r="AE554" s="55"/>
      <c r="AF554" s="43"/>
      <c r="AG554" s="47"/>
      <c r="AH554" s="30"/>
      <c r="AI554" s="30"/>
      <c r="AJ554" s="30"/>
      <c r="AK554" s="30"/>
      <c r="AL554" s="13"/>
      <c r="AM554" s="13"/>
      <c r="AN554" s="13"/>
      <c r="AO554" s="13"/>
      <c r="AP554" s="13"/>
      <c r="AQ554" s="14"/>
      <c r="AR554" s="15"/>
    </row>
    <row r="555" spans="1:44" s="17" customFormat="1" ht="30.95" hidden="1" customHeight="1" x14ac:dyDescent="0.2">
      <c r="A555" s="37" t="s">
        <v>1290</v>
      </c>
      <c r="B555" s="38" t="s">
        <v>1291</v>
      </c>
      <c r="C555" s="45"/>
      <c r="D555" s="31">
        <v>3716259</v>
      </c>
      <c r="E555" s="31">
        <v>4151419</v>
      </c>
      <c r="F555" s="268" t="str">
        <f>IF(D555="","",VLOOKUP(D555,契約台帳!$A$3:$K$4986,6,FALSE)&amp;VLOOKUP(D555,契約台帳!$A$3:$K$4986,7,FALSE)&amp;VLOOKUP(D555,契約台帳!$A$3:$K$4986,8,FALSE)&amp;VLOOKUP(D555,契約台帳!$A$3:$K$4986,9,FALSE)&amp;VLOOKUP(D555,契約台帳!$A$3:$K$4986,11,FALSE))</f>
        <v>3SNMLBMNGTBF</v>
      </c>
      <c r="G555" s="269" t="str">
        <f>IF(D555="","",VLOOKUP(F555,製品マスタ!$G$5:$H$5002,2,FALSE))</f>
        <v>S</v>
      </c>
      <c r="H555" s="269" t="str">
        <f>IF(D555="","",VLOOKUP(F555,製品マスタ!$G$5:$K$5002,5,FALSE))</f>
        <v>MNGTBF</v>
      </c>
      <c r="I555" s="270" t="str">
        <f>IF(D555="","",VLOOKUP(F555,製品マスタ!$G$5:$L$5002,6,FALSE))</f>
        <v>メタルミー　ネーマー　銀艶　Ｂ</v>
      </c>
      <c r="J555" s="32" t="s">
        <v>447</v>
      </c>
      <c r="K555" s="270">
        <f>IF(D555="","",VLOOKUP(D555,契約台帳!$A$3:$L$4986,12,FALSE))</f>
        <v>50</v>
      </c>
      <c r="L555" s="270" t="str">
        <f>IF(D555="","",INDEX(製品マスタ!$Q$5:$Q$5002,MATCH(F555&amp;K555,製品マスタ!$AO$5:$AO$5002,0)))</f>
        <v>T62</v>
      </c>
      <c r="M555" s="39">
        <v>1120</v>
      </c>
      <c r="N555" s="39">
        <v>10000</v>
      </c>
      <c r="O555" s="47">
        <v>1</v>
      </c>
      <c r="P555" s="57"/>
      <c r="Q555" s="276">
        <f>IF(D555="","",IF(J555="リード付け",M555,VLOOKUP(D555,契約台帳!$A$3:$N$4986,14,FALSE)))</f>
        <v>1120</v>
      </c>
      <c r="R555" s="277">
        <f>IF(D555="","",IF(J555="リード付け",M555,VLOOKUP(D555,契約台帳!$A$3:$O$4986,15,FALSE)))</f>
        <v>1120</v>
      </c>
      <c r="S555" s="277">
        <f>IF(D555="","",IF(J555="リード付け",N555,VLOOKUP(D555,契約台帳!$A$3:$P$4986,16,FALSE)))</f>
        <v>5000</v>
      </c>
      <c r="T555" s="40">
        <v>1</v>
      </c>
      <c r="U555" s="302" t="str">
        <f ca="1">IF(D555="","",IF(OFFSET(D555,-2,0)=D555,"",VLOOKUP(D555,契約台帳!$A$3:$R$4986,18,FALSE)))</f>
        <v/>
      </c>
      <c r="V555" s="269" t="str">
        <f>IF(J555="巻返し",VLOOKUP(F555&amp;K555&amp;M555,製品マスタ!$M$5:$AD$5002,18,FALSE),IF(J555="リード付け","原反コア",IF(J555="スリット",VLOOKUP(F555&amp;K555&amp;Q555,製品マスタ!$N$5:$AD$5002,17,FALSE),"")))</f>
        <v>6ｲﾝﾁSｺｱ</v>
      </c>
      <c r="W555" s="269">
        <f>IF(J555="巻返し",VLOOKUP(F555&amp;K555&amp;M555,製品マスタ!$M$5:$AE$5002,19,FALSE),IF(J555="リード付け","-",IF(J555="スリット",VLOOKUP(F555&amp;K555&amp;Q555,製品マスタ!$N$5:$AE$5002,18,FALSE),"")))</f>
        <v>1125</v>
      </c>
      <c r="X555" s="275">
        <f>IF(D555="","",VLOOKUP(D555,契約台帳!$A$3:$Q$4986,17,FALSE))</f>
        <v>2</v>
      </c>
      <c r="Y555" s="269" t="str">
        <f>IF(D555="","",VLOOKUP(D555,契約台帳!$A$3:$E$4986,5,FALSE))</f>
        <v>リンテック㈱</v>
      </c>
      <c r="Z555" s="57">
        <v>45120</v>
      </c>
      <c r="AA555" s="303" t="str">
        <f>IFERROR(VLOOKUP(F555&amp;K555&amp;M555,製品マスタ!$M$5:$AM$5002,27,FALSE),"")</f>
        <v>原反ケース再利用</v>
      </c>
      <c r="AB555" s="33"/>
      <c r="AC555" s="189"/>
      <c r="AD555" s="54" t="str">
        <f>IF(F555="","",+F555&amp;K555)</f>
        <v>3SNMLBMNGTBF50</v>
      </c>
      <c r="AE555" s="55">
        <f>+M555*N555*O555/1000</f>
        <v>11200</v>
      </c>
      <c r="AF555" s="43">
        <f>IF(AD555="","",VLOOKUP(AD555,原価マスタ!$A$2:$AJ$1693,13,FALSE))</f>
        <v>99</v>
      </c>
      <c r="AG555" s="47">
        <f>IF(AF555="","",+AE555*AF555/100)</f>
        <v>11088</v>
      </c>
      <c r="AH555" s="30"/>
      <c r="AI555" s="30"/>
      <c r="AJ555" s="30"/>
      <c r="AK555" s="30"/>
      <c r="AL555" s="13"/>
      <c r="AM555" s="13"/>
      <c r="AN555" s="13"/>
      <c r="AO555" s="13"/>
      <c r="AP555" s="13"/>
      <c r="AQ555" s="14"/>
      <c r="AR555" s="15"/>
    </row>
    <row r="556" spans="1:44" s="17" customFormat="1" ht="30.95" hidden="1" customHeight="1" x14ac:dyDescent="0.2">
      <c r="A556" s="37"/>
      <c r="B556" s="38"/>
      <c r="C556" s="45"/>
      <c r="D556" s="31">
        <v>3716260</v>
      </c>
      <c r="E556" s="31"/>
      <c r="F556" s="268" t="str">
        <f>IF(D556="","",VLOOKUP(D556,契約台帳!$A$3:$K$4986,6,FALSE)&amp;VLOOKUP(D556,契約台帳!$A$3:$K$4986,7,FALSE)&amp;VLOOKUP(D556,契約台帳!$A$3:$K$4986,8,FALSE)&amp;VLOOKUP(D556,契約台帳!$A$3:$K$4986,9,FALSE)&amp;VLOOKUP(D556,契約台帳!$A$3:$K$4986,11,FALSE))</f>
        <v>3SNMLBMNGTBF</v>
      </c>
      <c r="G556" s="269" t="str">
        <f>IF(D556="","",VLOOKUP(F556,製品マスタ!$G$5:$H$5002,2,FALSE))</f>
        <v>S</v>
      </c>
      <c r="H556" s="269" t="str">
        <f>IF(D556="","",VLOOKUP(F556,製品マスタ!$G$5:$K$5002,5,FALSE))</f>
        <v>MNGTBF</v>
      </c>
      <c r="I556" s="270" t="str">
        <f>IF(D556="","",VLOOKUP(F556,製品マスタ!$G$5:$L$5002,6,FALSE))</f>
        <v>メタルミー　ネーマー　銀艶　Ｂ</v>
      </c>
      <c r="J556" s="32" t="s">
        <v>447</v>
      </c>
      <c r="K556" s="270">
        <f>IF(D556="","",VLOOKUP(D556,契約台帳!$A$3:$L$4986,12,FALSE))</f>
        <v>50</v>
      </c>
      <c r="L556" s="270" t="str">
        <f>IF(D556="","",INDEX(製品マスタ!$Q$5:$Q$5002,MATCH(F556&amp;K556,製品マスタ!$AO$5:$AO$5002,0)))</f>
        <v>T62</v>
      </c>
      <c r="M556" s="39">
        <v>1120</v>
      </c>
      <c r="N556" s="39"/>
      <c r="O556" s="47"/>
      <c r="P556" s="57"/>
      <c r="Q556" s="276">
        <f>IF(D556="","",IF(J556="リード付け",M556,VLOOKUP(D556,契約台帳!$A$3:$N$4986,14,FALSE)))</f>
        <v>1120</v>
      </c>
      <c r="R556" s="277">
        <f>IF(D556="","",IF(J556="リード付け",M556,VLOOKUP(D556,契約台帳!$A$3:$O$4986,15,FALSE)))</f>
        <v>1120</v>
      </c>
      <c r="S556" s="277">
        <f>IF(D556="","",IF(J556="リード付け",N556,VLOOKUP(D556,契約台帳!$A$3:$P$4986,16,FALSE)))</f>
        <v>5000</v>
      </c>
      <c r="T556" s="40">
        <v>1</v>
      </c>
      <c r="U556" s="302">
        <f ca="1">IF(D556="","",IF(OFFSET(D556,-2,0)=D556,"",VLOOKUP(D556,契約台帳!$A$3:$R$4986,18,FALSE)))</f>
        <v>13</v>
      </c>
      <c r="V556" s="269" t="str">
        <f>IF(J556="巻返し",VLOOKUP(F556&amp;K556&amp;M556,製品マスタ!$M$5:$AD$5002,18,FALSE),IF(J556="リード付け","原反コア",IF(J556="スリット",VLOOKUP(F556&amp;K556&amp;Q556,製品マスタ!$N$5:$AD$5002,17,FALSE),"")))</f>
        <v>6ｲﾝﾁSｺｱ</v>
      </c>
      <c r="W556" s="269">
        <f>IF(J556="巻返し",VLOOKUP(F556&amp;K556&amp;M556,製品マスタ!$M$5:$AE$5002,19,FALSE),IF(J556="リード付け","-",IF(J556="スリット",VLOOKUP(F556&amp;K556&amp;Q556,製品マスタ!$N$5:$AE$5002,18,FALSE),"")))</f>
        <v>1125</v>
      </c>
      <c r="X556" s="275">
        <f>IF(D556="","",VLOOKUP(D556,契約台帳!$A$3:$Q$4986,17,FALSE))</f>
        <v>2</v>
      </c>
      <c r="Y556" s="269" t="str">
        <f>IF(D556="","",VLOOKUP(D556,契約台帳!$A$3:$E$4986,5,FALSE))</f>
        <v>リンテック㈱</v>
      </c>
      <c r="Z556" s="57"/>
      <c r="AA556" s="303" t="str">
        <f>IFERROR(VLOOKUP(F556&amp;K556&amp;M556,製品マスタ!$M$5:$AM$5002,27,FALSE),"")</f>
        <v>原反ケース再利用</v>
      </c>
      <c r="AB556" s="33"/>
      <c r="AC556" s="189"/>
      <c r="AD556" s="54"/>
      <c r="AE556" s="55"/>
      <c r="AF556" s="43"/>
      <c r="AG556" s="47" t="str">
        <f>IF(AF556="","",+AE556*AF556/100)</f>
        <v/>
      </c>
      <c r="AH556" s="30"/>
      <c r="AI556" s="30"/>
      <c r="AJ556" s="30"/>
      <c r="AK556" s="30"/>
      <c r="AL556" s="13"/>
      <c r="AM556" s="13"/>
      <c r="AN556" s="13"/>
      <c r="AO556" s="13"/>
      <c r="AP556" s="13"/>
      <c r="AQ556" s="14"/>
      <c r="AR556" s="15"/>
    </row>
    <row r="557" spans="1:44" s="17" customFormat="1" ht="30.95" hidden="1" customHeight="1" x14ac:dyDescent="0.2">
      <c r="A557" s="37"/>
      <c r="B557" s="38"/>
      <c r="C557" s="45"/>
      <c r="D557" s="31"/>
      <c r="E557" s="31"/>
      <c r="F557" s="268"/>
      <c r="G557" s="269"/>
      <c r="H557" s="269"/>
      <c r="I557" s="270"/>
      <c r="J557" s="32"/>
      <c r="K557" s="270"/>
      <c r="L557" s="270"/>
      <c r="M557" s="39"/>
      <c r="N557" s="39"/>
      <c r="O557" s="47"/>
      <c r="P557" s="57"/>
      <c r="Q557" s="276"/>
      <c r="R557" s="277"/>
      <c r="S557" s="277"/>
      <c r="T557" s="40"/>
      <c r="U557" s="278"/>
      <c r="V557" s="269"/>
      <c r="W557" s="269"/>
      <c r="X557" s="275"/>
      <c r="Y557" s="269"/>
      <c r="Z557" s="57"/>
      <c r="AA557" s="207"/>
      <c r="AB557" s="33"/>
      <c r="AC557" s="189"/>
      <c r="AD557" s="54"/>
      <c r="AE557" s="55"/>
      <c r="AF557" s="43"/>
      <c r="AG557" s="47"/>
      <c r="AH557" s="30"/>
      <c r="AI557" s="30"/>
      <c r="AJ557" s="30"/>
      <c r="AK557" s="30"/>
      <c r="AL557" s="13"/>
      <c r="AM557" s="13"/>
      <c r="AN557" s="13"/>
      <c r="AO557" s="13"/>
      <c r="AP557" s="13"/>
      <c r="AQ557" s="14"/>
      <c r="AR557" s="15"/>
    </row>
    <row r="558" spans="1:44" s="17" customFormat="1" ht="30.95" hidden="1" customHeight="1" x14ac:dyDescent="0.2">
      <c r="A558" s="37"/>
      <c r="B558" s="38"/>
      <c r="C558" s="45"/>
      <c r="D558" s="31">
        <v>3716260</v>
      </c>
      <c r="E558" s="31">
        <v>4151420</v>
      </c>
      <c r="F558" s="268" t="str">
        <f>IF(D558="","",VLOOKUP(D558,契約台帳!$A$3:$K$4986,6,FALSE)&amp;VLOOKUP(D558,契約台帳!$A$3:$K$4986,7,FALSE)&amp;VLOOKUP(D558,契約台帳!$A$3:$K$4986,8,FALSE)&amp;VLOOKUP(D558,契約台帳!$A$3:$K$4986,9,FALSE)&amp;VLOOKUP(D558,契約台帳!$A$3:$K$4986,11,FALSE))</f>
        <v>3SNMLBMNGTBF</v>
      </c>
      <c r="G558" s="269" t="str">
        <f>IF(D558="","",VLOOKUP(F558,製品マスタ!$G$5:$H$5002,2,FALSE))</f>
        <v>S</v>
      </c>
      <c r="H558" s="269" t="str">
        <f>IF(D558="","",VLOOKUP(F558,製品マスタ!$G$5:$K$5002,5,FALSE))</f>
        <v>MNGTBF</v>
      </c>
      <c r="I558" s="270" t="str">
        <f>IF(D558="","",VLOOKUP(F558,製品マスタ!$G$5:$L$5002,6,FALSE))</f>
        <v>メタルミー　ネーマー　銀艶　Ｂ</v>
      </c>
      <c r="J558" s="32" t="s">
        <v>447</v>
      </c>
      <c r="K558" s="270">
        <f>IF(D558="","",VLOOKUP(D558,契約台帳!$A$3:$L$4986,12,FALSE))</f>
        <v>50</v>
      </c>
      <c r="L558" s="270" t="str">
        <f>IF(D558="","",INDEX(製品マスタ!$Q$5:$Q$5002,MATCH(F558&amp;K558,製品マスタ!$AO$5:$AO$5002,0)))</f>
        <v>T62</v>
      </c>
      <c r="M558" s="39">
        <v>1120</v>
      </c>
      <c r="N558" s="39">
        <v>10000</v>
      </c>
      <c r="O558" s="47">
        <v>4</v>
      </c>
      <c r="P558" s="57"/>
      <c r="Q558" s="276">
        <f>IF(D558="","",IF(J558="リード付け",M558,VLOOKUP(D558,契約台帳!$A$3:$N$4986,14,FALSE)))</f>
        <v>1120</v>
      </c>
      <c r="R558" s="277">
        <f>IF(D558="","",IF(J558="リード付け",M558,VLOOKUP(D558,契約台帳!$A$3:$O$4986,15,FALSE)))</f>
        <v>1120</v>
      </c>
      <c r="S558" s="277">
        <f>IF(D558="","",IF(J558="リード付け",N558,VLOOKUP(D558,契約台帳!$A$3:$P$4986,16,FALSE)))</f>
        <v>5000</v>
      </c>
      <c r="T558" s="40">
        <v>8</v>
      </c>
      <c r="U558" s="302" t="str">
        <f ca="1">IF(D558="","",IF(OFFSET(D558,-2,0)=D558,"",VLOOKUP(D558,契約台帳!$A$3:$R$4986,18,FALSE)))</f>
        <v/>
      </c>
      <c r="V558" s="269" t="str">
        <f>IF(J558="巻返し",VLOOKUP(F558&amp;K558&amp;M558,製品マスタ!$M$5:$AD$5002,18,FALSE),IF(J558="リード付け","原反コア",IF(J558="スリット",VLOOKUP(F558&amp;K558&amp;Q558,製品マスタ!$N$5:$AD$5002,17,FALSE),"")))</f>
        <v>6ｲﾝﾁSｺｱ</v>
      </c>
      <c r="W558" s="269">
        <f>IF(J558="巻返し",VLOOKUP(F558&amp;K558&amp;M558,製品マスタ!$M$5:$AE$5002,19,FALSE),IF(J558="リード付け","-",IF(J558="スリット",VLOOKUP(F558&amp;K558&amp;Q558,製品マスタ!$N$5:$AE$5002,18,FALSE),"")))</f>
        <v>1125</v>
      </c>
      <c r="X558" s="275">
        <f>IF(D558="","",VLOOKUP(D558,契約台帳!$A$3:$Q$4986,17,FALSE))</f>
        <v>2</v>
      </c>
      <c r="Y558" s="269" t="str">
        <f>IF(D558="","",VLOOKUP(D558,契約台帳!$A$3:$E$4986,5,FALSE))</f>
        <v>リンテック㈱</v>
      </c>
      <c r="Z558" s="57">
        <v>45120</v>
      </c>
      <c r="AA558" s="303" t="str">
        <f>IFERROR(VLOOKUP(F558&amp;K558&amp;M558,製品マスタ!$M$5:$AM$5002,27,FALSE),"")</f>
        <v>原反ケース再利用</v>
      </c>
      <c r="AB558" s="33"/>
      <c r="AC558" s="189"/>
      <c r="AD558" s="54" t="str">
        <f>IF(F558="","",+F558&amp;K558)</f>
        <v>3SNMLBMNGTBF50</v>
      </c>
      <c r="AE558" s="55">
        <f>+M558*N558*O558/1000</f>
        <v>44800</v>
      </c>
      <c r="AF558" s="43">
        <f>IF(AD558="","",VLOOKUP(AD558,原価マスタ!$A$2:$AJ$1693,13,FALSE))</f>
        <v>99</v>
      </c>
      <c r="AG558" s="47">
        <f>IF(AF558="","",+AE558*AF558/100)</f>
        <v>44352</v>
      </c>
      <c r="AH558" s="30"/>
      <c r="AI558" s="30"/>
      <c r="AJ558" s="30"/>
      <c r="AK558" s="30"/>
      <c r="AL558" s="13"/>
      <c r="AM558" s="13"/>
      <c r="AN558" s="13"/>
      <c r="AO558" s="13"/>
      <c r="AP558" s="13"/>
      <c r="AQ558" s="14"/>
      <c r="AR558" s="15"/>
    </row>
    <row r="559" spans="1:44" s="17" customFormat="1" ht="30.95" hidden="1" customHeight="1" x14ac:dyDescent="0.2">
      <c r="A559" s="37"/>
      <c r="B559" s="38"/>
      <c r="C559" s="45"/>
      <c r="D559" s="31"/>
      <c r="E559" s="31"/>
      <c r="F559" s="268"/>
      <c r="G559" s="269"/>
      <c r="H559" s="269"/>
      <c r="I559" s="270"/>
      <c r="J559" s="32"/>
      <c r="K559" s="270"/>
      <c r="L559" s="270"/>
      <c r="M559" s="39"/>
      <c r="N559" s="39"/>
      <c r="O559" s="47"/>
      <c r="P559" s="57"/>
      <c r="Q559" s="276"/>
      <c r="R559" s="277"/>
      <c r="S559" s="277"/>
      <c r="T559" s="40"/>
      <c r="U559" s="278"/>
      <c r="V559" s="269"/>
      <c r="W559" s="269"/>
      <c r="X559" s="275"/>
      <c r="Y559" s="269"/>
      <c r="Z559" s="57"/>
      <c r="AA559" s="207"/>
      <c r="AB559" s="33"/>
      <c r="AC559" s="189"/>
      <c r="AD559" s="54"/>
      <c r="AE559" s="55"/>
      <c r="AF559" s="43"/>
      <c r="AG559" s="47"/>
      <c r="AH559" s="30"/>
      <c r="AI559" s="30"/>
      <c r="AJ559" s="30"/>
      <c r="AK559" s="30"/>
      <c r="AL559" s="13"/>
      <c r="AM559" s="13"/>
      <c r="AN559" s="13"/>
      <c r="AO559" s="13"/>
      <c r="AP559" s="13"/>
      <c r="AQ559" s="14"/>
      <c r="AR559" s="15"/>
    </row>
    <row r="560" spans="1:44" s="17" customFormat="1" ht="30.95" hidden="1" customHeight="1" x14ac:dyDescent="0.2">
      <c r="A560" s="37" t="s">
        <v>1292</v>
      </c>
      <c r="B560" s="38" t="s">
        <v>1279</v>
      </c>
      <c r="C560" s="45"/>
      <c r="D560" s="31">
        <v>3716260</v>
      </c>
      <c r="E560" s="31">
        <v>4151420</v>
      </c>
      <c r="F560" s="268" t="str">
        <f>IF(D560="","",VLOOKUP(D560,契約台帳!$A$3:$K$4986,6,FALSE)&amp;VLOOKUP(D560,契約台帳!$A$3:$K$4986,7,FALSE)&amp;VLOOKUP(D560,契約台帳!$A$3:$K$4986,8,FALSE)&amp;VLOOKUP(D560,契約台帳!$A$3:$K$4986,9,FALSE)&amp;VLOOKUP(D560,契約台帳!$A$3:$K$4986,11,FALSE))</f>
        <v>3SNMLBMNGTBF</v>
      </c>
      <c r="G560" s="269" t="str">
        <f>IF(D560="","",VLOOKUP(F560,製品マスタ!$G$5:$H$5002,2,FALSE))</f>
        <v>S</v>
      </c>
      <c r="H560" s="269" t="str">
        <f>IF(D560="","",VLOOKUP(F560,製品マスタ!$G$5:$K$5002,5,FALSE))</f>
        <v>MNGTBF</v>
      </c>
      <c r="I560" s="270" t="str">
        <f>IF(D560="","",VLOOKUP(F560,製品マスタ!$G$5:$L$5002,6,FALSE))</f>
        <v>メタルミー　ネーマー　銀艶　Ｂ</v>
      </c>
      <c r="J560" s="32" t="s">
        <v>447</v>
      </c>
      <c r="K560" s="270">
        <f>IF(D560="","",VLOOKUP(D560,契約台帳!$A$3:$L$4986,12,FALSE))</f>
        <v>50</v>
      </c>
      <c r="L560" s="270" t="str">
        <f>IF(D560="","",INDEX(製品マスタ!$Q$5:$Q$5002,MATCH(F560&amp;K560,製品マスタ!$AO$5:$AO$5002,0)))</f>
        <v>T62</v>
      </c>
      <c r="M560" s="39">
        <v>1120</v>
      </c>
      <c r="N560" s="39">
        <v>10000</v>
      </c>
      <c r="O560" s="47">
        <v>2</v>
      </c>
      <c r="P560" s="57"/>
      <c r="Q560" s="276">
        <f>IF(D560="","",IF(J560="リード付け",M560,VLOOKUP(D560,契約台帳!$A$3:$N$4986,14,FALSE)))</f>
        <v>1120</v>
      </c>
      <c r="R560" s="277">
        <f>IF(D560="","",IF(J560="リード付け",M560,VLOOKUP(D560,契約台帳!$A$3:$O$4986,15,FALSE)))</f>
        <v>1120</v>
      </c>
      <c r="S560" s="277">
        <f>IF(D560="","",IF(J560="リード付け",N560,VLOOKUP(D560,契約台帳!$A$3:$P$4986,16,FALSE)))</f>
        <v>5000</v>
      </c>
      <c r="T560" s="40">
        <v>4</v>
      </c>
      <c r="U560" s="302" t="str">
        <f ca="1">IF(D560="","",IF(OFFSET(D560,-2,0)=D560,"",VLOOKUP(D560,契約台帳!$A$3:$R$4986,18,FALSE)))</f>
        <v/>
      </c>
      <c r="V560" s="269" t="str">
        <f>IF(J560="巻返し",VLOOKUP(F560&amp;K560&amp;M560,製品マスタ!$M$5:$AD$5002,18,FALSE),IF(J560="リード付け","原反コア",IF(J560="スリット",VLOOKUP(F560&amp;K560&amp;Q560,製品マスタ!$N$5:$AD$5002,17,FALSE),"")))</f>
        <v>6ｲﾝﾁSｺｱ</v>
      </c>
      <c r="W560" s="269">
        <f>IF(J560="巻返し",VLOOKUP(F560&amp;K560&amp;M560,製品マスタ!$M$5:$AE$5002,19,FALSE),IF(J560="リード付け","-",IF(J560="スリット",VLOOKUP(F560&amp;K560&amp;Q560,製品マスタ!$N$5:$AE$5002,18,FALSE),"")))</f>
        <v>1125</v>
      </c>
      <c r="X560" s="275">
        <f>IF(D560="","",VLOOKUP(D560,契約台帳!$A$3:$Q$4986,17,FALSE))</f>
        <v>2</v>
      </c>
      <c r="Y560" s="269" t="str">
        <f>IF(D560="","",VLOOKUP(D560,契約台帳!$A$3:$E$4986,5,FALSE))</f>
        <v>リンテック㈱</v>
      </c>
      <c r="Z560" s="57">
        <v>45121</v>
      </c>
      <c r="AA560" s="303" t="str">
        <f>IFERROR(VLOOKUP(F560&amp;K560&amp;M560,製品マスタ!$M$5:$AM$5002,27,FALSE),"")</f>
        <v>原反ケース再利用</v>
      </c>
      <c r="AB560" s="33"/>
      <c r="AC560" s="189"/>
      <c r="AD560" s="54" t="str">
        <f>IF(F560="","",+F560&amp;K560)</f>
        <v>3SNMLBMNGTBF50</v>
      </c>
      <c r="AE560" s="55">
        <f>+M560*N560*O560/1000</f>
        <v>22400</v>
      </c>
      <c r="AF560" s="43">
        <f>IF(AD560="","",VLOOKUP(AD560,原価マスタ!$A$2:$AJ$1693,13,FALSE))</f>
        <v>99</v>
      </c>
      <c r="AG560" s="47">
        <f>IF(AF560="","",+AE560*AF560/100)</f>
        <v>22176</v>
      </c>
      <c r="AH560" s="30"/>
      <c r="AI560" s="30"/>
      <c r="AJ560" s="30"/>
      <c r="AK560" s="30"/>
      <c r="AL560" s="13"/>
      <c r="AM560" s="13"/>
      <c r="AN560" s="13"/>
      <c r="AO560" s="13"/>
      <c r="AP560" s="13"/>
      <c r="AQ560" s="14"/>
      <c r="AR560" s="15"/>
    </row>
    <row r="561" spans="1:44" s="17" customFormat="1" ht="30.95" hidden="1" customHeight="1" x14ac:dyDescent="0.2">
      <c r="A561" s="37"/>
      <c r="B561" s="38"/>
      <c r="C561" s="45"/>
      <c r="D561" s="31"/>
      <c r="E561" s="31"/>
      <c r="F561" s="268"/>
      <c r="G561" s="269"/>
      <c r="H561" s="269"/>
      <c r="I561" s="270"/>
      <c r="J561" s="32"/>
      <c r="K561" s="270"/>
      <c r="L561" s="270"/>
      <c r="M561" s="39"/>
      <c r="N561" s="39"/>
      <c r="O561" s="47"/>
      <c r="P561" s="57"/>
      <c r="Q561" s="276"/>
      <c r="R561" s="277"/>
      <c r="S561" s="277"/>
      <c r="T561" s="40"/>
      <c r="U561" s="278"/>
      <c r="V561" s="269"/>
      <c r="W561" s="269"/>
      <c r="X561" s="275"/>
      <c r="Y561" s="269"/>
      <c r="Z561" s="57"/>
      <c r="AA561" s="207"/>
      <c r="AB561" s="33"/>
      <c r="AC561" s="189"/>
      <c r="AD561" s="54"/>
      <c r="AE561" s="55"/>
      <c r="AF561" s="43"/>
      <c r="AG561" s="47"/>
      <c r="AH561" s="30"/>
      <c r="AI561" s="30"/>
      <c r="AJ561" s="30"/>
      <c r="AK561" s="30"/>
      <c r="AL561" s="13"/>
      <c r="AM561" s="13"/>
      <c r="AN561" s="13"/>
      <c r="AO561" s="13"/>
      <c r="AP561" s="13"/>
      <c r="AQ561" s="14"/>
      <c r="AR561" s="15"/>
    </row>
    <row r="562" spans="1:44" s="17" customFormat="1" ht="30.95" hidden="1" customHeight="1" x14ac:dyDescent="0.2">
      <c r="A562" s="37"/>
      <c r="B562" s="38"/>
      <c r="C562" s="45"/>
      <c r="D562" s="31">
        <v>3716256</v>
      </c>
      <c r="E562" s="31">
        <v>4151422</v>
      </c>
      <c r="F562" s="268" t="str">
        <f>IF(D562="","",VLOOKUP(D562,契約台帳!$A$3:$K$4986,6,FALSE)&amp;VLOOKUP(D562,契約台帳!$A$3:$K$4986,7,FALSE)&amp;VLOOKUP(D562,契約台帳!$A$3:$K$4986,8,FALSE)&amp;VLOOKUP(D562,契約台帳!$A$3:$K$4986,9,FALSE)&amp;VLOOKUP(D562,契約台帳!$A$3:$K$4986,11,FALSE))</f>
        <v>3SNMLBMNGTBF</v>
      </c>
      <c r="G562" s="269" t="str">
        <f>IF(D562="","",VLOOKUP(F562,製品マスタ!$G$5:$H$5002,2,FALSE))</f>
        <v>S</v>
      </c>
      <c r="H562" s="269" t="str">
        <f>IF(D562="","",VLOOKUP(F562,製品マスタ!$G$5:$K$5002,5,FALSE))</f>
        <v>MNGTBF</v>
      </c>
      <c r="I562" s="270" t="str">
        <f>IF(D562="","",VLOOKUP(F562,製品マスタ!$G$5:$L$5002,6,FALSE))</f>
        <v>メタルミー　ネーマー　銀艶　Ｂ</v>
      </c>
      <c r="J562" s="32" t="s">
        <v>447</v>
      </c>
      <c r="K562" s="270">
        <f>IF(D562="","",VLOOKUP(D562,契約台帳!$A$3:$L$4986,12,FALSE))</f>
        <v>25</v>
      </c>
      <c r="L562" s="270" t="str">
        <f>IF(D562="","",INDEX(製品マスタ!$Q$5:$Q$5002,MATCH(F562&amp;K562,製品マスタ!$AO$5:$AO$5002,0)))</f>
        <v>T62M</v>
      </c>
      <c r="M562" s="39">
        <v>1125</v>
      </c>
      <c r="N562" s="39">
        <v>12100</v>
      </c>
      <c r="O562" s="47">
        <v>1</v>
      </c>
      <c r="P562" s="57"/>
      <c r="Q562" s="276">
        <f>IF(D562="","",IF(J562="リード付け",M562,VLOOKUP(D562,契約台帳!$A$3:$N$4986,14,FALSE)))</f>
        <v>1125</v>
      </c>
      <c r="R562" s="277">
        <f>IF(D562="","",IF(J562="リード付け",M562,VLOOKUP(D562,契約台帳!$A$3:$O$4986,15,FALSE)))</f>
        <v>1120</v>
      </c>
      <c r="S562" s="277">
        <f>IF(D562="","",IF(J562="リード付け",N562,VLOOKUP(D562,契約台帳!$A$3:$P$4986,16,FALSE)))</f>
        <v>4000</v>
      </c>
      <c r="T562" s="40">
        <v>1</v>
      </c>
      <c r="U562" s="302">
        <f ca="1">IF(D562="","",IF(OFFSET(D562,-2,0)=D562,"",VLOOKUP(D562,契約台帳!$A$3:$R$4986,18,FALSE)))</f>
        <v>3</v>
      </c>
      <c r="V562" s="269" t="str">
        <f>IF(J562="巻返し",VLOOKUP(F562&amp;K562&amp;M562,製品マスタ!$M$5:$AD$5002,18,FALSE),IF(J562="リード付け","原反コア",IF(J562="スリット",VLOOKUP(F562&amp;K562&amp;Q562,製品マスタ!$N$5:$AD$5002,17,FALSE),"")))</f>
        <v>6ｲﾝﾁSｺｱ</v>
      </c>
      <c r="W562" s="269">
        <f>IF(J562="巻返し",VLOOKUP(F562&amp;K562&amp;M562,製品マスタ!$M$5:$AE$5002,19,FALSE),IF(J562="リード付け","-",IF(J562="スリット",VLOOKUP(F562&amp;K562&amp;Q562,製品マスタ!$N$5:$AE$5002,18,FALSE),"")))</f>
        <v>1130</v>
      </c>
      <c r="X562" s="275">
        <f>IF(D562="","",VLOOKUP(D562,契約台帳!$A$3:$Q$4986,17,FALSE))</f>
        <v>2</v>
      </c>
      <c r="Y562" s="269" t="str">
        <f>IF(D562="","",VLOOKUP(D562,契約台帳!$A$3:$E$4986,5,FALSE))</f>
        <v>リンテック㈱</v>
      </c>
      <c r="Z562" s="57">
        <v>45121</v>
      </c>
      <c r="AA562" s="303">
        <f>IFERROR(VLOOKUP(F562&amp;K562&amp;M562,製品マスタ!$M$5:$AM$5002,27,FALSE),"")</f>
        <v>0</v>
      </c>
      <c r="AB562" s="33"/>
      <c r="AC562" s="189"/>
      <c r="AD562" s="54" t="str">
        <f>IF(F562="","",+F562&amp;K562)</f>
        <v>3SNMLBMNGTBF25</v>
      </c>
      <c r="AE562" s="55">
        <f>+M562*N562*O562/1000</f>
        <v>13612.5</v>
      </c>
      <c r="AF562" s="43">
        <f>IF(AD562="","",VLOOKUP(AD562,原価マスタ!$A$2:$AJ$1693,13,FALSE))</f>
        <v>97.5</v>
      </c>
      <c r="AG562" s="47">
        <f>IF(AF562="","",+AE562*AF562/100)</f>
        <v>13272.1875</v>
      </c>
      <c r="AH562" s="30"/>
      <c r="AI562" s="30"/>
      <c r="AJ562" s="30"/>
      <c r="AK562" s="30"/>
      <c r="AL562" s="13"/>
      <c r="AM562" s="13"/>
      <c r="AN562" s="13"/>
      <c r="AO562" s="13"/>
      <c r="AP562" s="13"/>
      <c r="AQ562" s="14"/>
      <c r="AR562" s="15"/>
    </row>
    <row r="563" spans="1:44" s="17" customFormat="1" ht="30.95" hidden="1" customHeight="1" x14ac:dyDescent="0.2">
      <c r="A563" s="37"/>
      <c r="B563" s="38"/>
      <c r="C563" s="45"/>
      <c r="D563" s="31"/>
      <c r="E563" s="31"/>
      <c r="F563" s="268"/>
      <c r="G563" s="269"/>
      <c r="H563" s="269"/>
      <c r="I563" s="270"/>
      <c r="J563" s="32"/>
      <c r="K563" s="270"/>
      <c r="L563" s="270"/>
      <c r="M563" s="39"/>
      <c r="N563" s="39"/>
      <c r="O563" s="47"/>
      <c r="P563" s="57"/>
      <c r="Q563" s="276"/>
      <c r="R563" s="277"/>
      <c r="S563" s="277"/>
      <c r="T563" s="40"/>
      <c r="U563" s="278"/>
      <c r="V563" s="269"/>
      <c r="W563" s="269"/>
      <c r="X563" s="275"/>
      <c r="Y563" s="269"/>
      <c r="Z563" s="57"/>
      <c r="AA563" s="207"/>
      <c r="AB563" s="33"/>
      <c r="AC563" s="189"/>
      <c r="AD563" s="54"/>
      <c r="AE563" s="55"/>
      <c r="AF563" s="43"/>
      <c r="AG563" s="47"/>
      <c r="AH563" s="30"/>
      <c r="AI563" s="30"/>
      <c r="AJ563" s="30"/>
      <c r="AK563" s="30"/>
      <c r="AL563" s="13"/>
      <c r="AM563" s="13"/>
      <c r="AN563" s="13"/>
      <c r="AO563" s="13"/>
      <c r="AP563" s="13"/>
      <c r="AQ563" s="14"/>
      <c r="AR563" s="15"/>
    </row>
    <row r="564" spans="1:44" s="17" customFormat="1" ht="30.95" hidden="1" customHeight="1" x14ac:dyDescent="0.2">
      <c r="A564" s="37" t="s">
        <v>511</v>
      </c>
      <c r="B564" s="38" t="s">
        <v>443</v>
      </c>
      <c r="C564" s="45"/>
      <c r="D564" s="31"/>
      <c r="E564" s="31"/>
      <c r="F564" s="268"/>
      <c r="G564" s="269"/>
      <c r="H564" s="269"/>
      <c r="I564" s="341" t="s">
        <v>1325</v>
      </c>
      <c r="J564" s="32"/>
      <c r="K564" s="270"/>
      <c r="L564" s="270"/>
      <c r="M564" s="39"/>
      <c r="N564" s="39"/>
      <c r="O564" s="47"/>
      <c r="P564" s="57"/>
      <c r="Q564" s="276"/>
      <c r="R564" s="277"/>
      <c r="S564" s="277"/>
      <c r="T564" s="40"/>
      <c r="U564" s="278"/>
      <c r="V564" s="269"/>
      <c r="W564" s="269"/>
      <c r="X564" s="275"/>
      <c r="Y564" s="269"/>
      <c r="Z564" s="57"/>
      <c r="AA564" s="207"/>
      <c r="AB564" s="33"/>
      <c r="AC564" s="189"/>
      <c r="AD564" s="54"/>
      <c r="AE564" s="55"/>
      <c r="AF564" s="43"/>
      <c r="AG564" s="47"/>
      <c r="AH564" s="30"/>
      <c r="AI564" s="30"/>
      <c r="AJ564" s="30"/>
      <c r="AK564" s="30"/>
      <c r="AL564" s="13"/>
      <c r="AM564" s="13"/>
      <c r="AN564" s="13"/>
      <c r="AO564" s="13"/>
      <c r="AP564" s="13"/>
      <c r="AQ564" s="14"/>
      <c r="AR564" s="15"/>
    </row>
    <row r="565" spans="1:44" s="17" customFormat="1" ht="30.95" hidden="1" customHeight="1" x14ac:dyDescent="0.2">
      <c r="A565" s="37"/>
      <c r="B565" s="38"/>
      <c r="C565" s="45"/>
      <c r="D565" s="31"/>
      <c r="E565" s="31"/>
      <c r="F565" s="268"/>
      <c r="G565" s="269"/>
      <c r="H565" s="269"/>
      <c r="I565" s="270"/>
      <c r="J565" s="32"/>
      <c r="K565" s="270"/>
      <c r="L565" s="270"/>
      <c r="M565" s="39"/>
      <c r="N565" s="39"/>
      <c r="O565" s="47"/>
      <c r="P565" s="57"/>
      <c r="Q565" s="276"/>
      <c r="R565" s="277"/>
      <c r="S565" s="277"/>
      <c r="T565" s="40"/>
      <c r="U565" s="278"/>
      <c r="V565" s="269"/>
      <c r="W565" s="269"/>
      <c r="X565" s="275"/>
      <c r="Y565" s="269"/>
      <c r="Z565" s="57"/>
      <c r="AA565" s="207"/>
      <c r="AB565" s="33"/>
      <c r="AC565" s="189"/>
      <c r="AD565" s="54"/>
      <c r="AE565" s="55"/>
      <c r="AF565" s="43"/>
      <c r="AG565" s="47"/>
      <c r="AH565" s="30"/>
      <c r="AI565" s="30"/>
      <c r="AJ565" s="30"/>
      <c r="AK565" s="30"/>
      <c r="AL565" s="13"/>
      <c r="AM565" s="13"/>
      <c r="AN565" s="13"/>
      <c r="AO565" s="13"/>
      <c r="AP565" s="13"/>
      <c r="AQ565" s="14"/>
      <c r="AR565" s="15"/>
    </row>
    <row r="566" spans="1:44" s="17" customFormat="1" ht="30.95" hidden="1" customHeight="1" x14ac:dyDescent="0.2">
      <c r="A566" s="37" t="s">
        <v>1326</v>
      </c>
      <c r="B566" s="38" t="s">
        <v>1327</v>
      </c>
      <c r="C566" s="45"/>
      <c r="D566" s="31">
        <v>3716260</v>
      </c>
      <c r="E566" s="31"/>
      <c r="F566" s="268"/>
      <c r="G566" s="269"/>
      <c r="H566" s="269" t="s">
        <v>216</v>
      </c>
      <c r="I566" s="270" t="s">
        <v>1328</v>
      </c>
      <c r="J566" s="32" t="s">
        <v>1322</v>
      </c>
      <c r="K566" s="270">
        <v>50</v>
      </c>
      <c r="L566" s="270" t="s">
        <v>216</v>
      </c>
      <c r="M566" s="39">
        <v>1120</v>
      </c>
      <c r="N566" s="39">
        <v>5000</v>
      </c>
      <c r="O566" s="47">
        <v>2</v>
      </c>
      <c r="P566" s="57"/>
      <c r="Q566" s="276">
        <v>1120</v>
      </c>
      <c r="R566" s="277">
        <v>1120</v>
      </c>
      <c r="S566" s="277">
        <v>5000</v>
      </c>
      <c r="T566" s="40">
        <v>2</v>
      </c>
      <c r="U566" s="278"/>
      <c r="V566" s="269" t="s">
        <v>806</v>
      </c>
      <c r="W566" s="269">
        <v>1125</v>
      </c>
      <c r="X566" s="275">
        <v>2</v>
      </c>
      <c r="Y566" s="269" t="s">
        <v>116</v>
      </c>
      <c r="Z566" s="57"/>
      <c r="AA566" s="207"/>
      <c r="AB566" s="33"/>
      <c r="AC566" s="189"/>
      <c r="AD566" s="54"/>
      <c r="AE566" s="55"/>
      <c r="AF566" s="43"/>
      <c r="AG566" s="47"/>
      <c r="AH566" s="30"/>
      <c r="AI566" s="30"/>
      <c r="AJ566" s="30"/>
      <c r="AK566" s="30"/>
      <c r="AL566" s="13"/>
      <c r="AM566" s="13"/>
      <c r="AN566" s="13"/>
      <c r="AO566" s="13"/>
      <c r="AP566" s="13"/>
      <c r="AQ566" s="14"/>
      <c r="AR566" s="15"/>
    </row>
    <row r="567" spans="1:44" s="17" customFormat="1" ht="30.95" hidden="1" customHeight="1" x14ac:dyDescent="0.2">
      <c r="A567" s="37"/>
      <c r="B567" s="38"/>
      <c r="C567" s="45"/>
      <c r="D567" s="31"/>
      <c r="E567" s="31"/>
      <c r="F567" s="268"/>
      <c r="G567" s="269"/>
      <c r="H567" s="269"/>
      <c r="I567" s="270"/>
      <c r="J567" s="32"/>
      <c r="K567" s="270"/>
      <c r="L567" s="270"/>
      <c r="M567" s="39"/>
      <c r="N567" s="39"/>
      <c r="O567" s="47"/>
      <c r="P567" s="57"/>
      <c r="Q567" s="276"/>
      <c r="R567" s="277"/>
      <c r="S567" s="277"/>
      <c r="T567" s="40"/>
      <c r="U567" s="278"/>
      <c r="V567" s="269"/>
      <c r="W567" s="269"/>
      <c r="X567" s="275"/>
      <c r="Y567" s="269"/>
      <c r="Z567" s="57"/>
      <c r="AA567" s="207"/>
      <c r="AB567" s="33"/>
      <c r="AC567" s="189"/>
      <c r="AD567" s="54"/>
      <c r="AE567" s="55"/>
      <c r="AF567" s="43"/>
      <c r="AG567" s="47"/>
      <c r="AH567" s="30"/>
      <c r="AI567" s="30"/>
      <c r="AJ567" s="30"/>
      <c r="AK567" s="30"/>
      <c r="AL567" s="13"/>
      <c r="AM567" s="13"/>
      <c r="AN567" s="13"/>
      <c r="AO567" s="13"/>
      <c r="AP567" s="13"/>
      <c r="AQ567" s="14"/>
      <c r="AR567" s="15"/>
    </row>
    <row r="568" spans="1:44" s="17" customFormat="1" ht="30.95" hidden="1" customHeight="1" x14ac:dyDescent="0.2">
      <c r="A568" s="37"/>
      <c r="B568" s="38"/>
      <c r="C568" s="45"/>
      <c r="D568" s="31">
        <v>3716256</v>
      </c>
      <c r="E568" s="31"/>
      <c r="F568" s="268"/>
      <c r="G568" s="269"/>
      <c r="H568" s="269" t="s">
        <v>216</v>
      </c>
      <c r="I568" s="270" t="s">
        <v>1328</v>
      </c>
      <c r="J568" s="32" t="s">
        <v>1322</v>
      </c>
      <c r="K568" s="270">
        <v>25</v>
      </c>
      <c r="L568" s="270" t="s">
        <v>216</v>
      </c>
      <c r="M568" s="39">
        <v>1120</v>
      </c>
      <c r="N568" s="39">
        <v>4000</v>
      </c>
      <c r="O568" s="47">
        <v>1</v>
      </c>
      <c r="P568" s="57"/>
      <c r="Q568" s="276">
        <v>1125</v>
      </c>
      <c r="R568" s="277">
        <v>1120</v>
      </c>
      <c r="S568" s="277">
        <v>4000</v>
      </c>
      <c r="T568" s="40">
        <v>1</v>
      </c>
      <c r="U568" s="278"/>
      <c r="V568" s="269" t="s">
        <v>806</v>
      </c>
      <c r="W568" s="269">
        <v>1130</v>
      </c>
      <c r="X568" s="275">
        <v>2</v>
      </c>
      <c r="Y568" s="269" t="s">
        <v>116</v>
      </c>
      <c r="Z568" s="57"/>
      <c r="AA568" s="207"/>
      <c r="AB568" s="33"/>
      <c r="AC568" s="189"/>
      <c r="AD568" s="54"/>
      <c r="AE568" s="55"/>
      <c r="AF568" s="43"/>
      <c r="AG568" s="47"/>
      <c r="AH568" s="30"/>
      <c r="AI568" s="30"/>
      <c r="AJ568" s="30"/>
      <c r="AK568" s="30"/>
      <c r="AL568" s="13"/>
      <c r="AM568" s="13"/>
      <c r="AN568" s="13"/>
      <c r="AO568" s="13"/>
      <c r="AP568" s="13"/>
      <c r="AQ568" s="14"/>
      <c r="AR568" s="15"/>
    </row>
    <row r="569" spans="1:44" s="17" customFormat="1" ht="30.95" hidden="1" customHeight="1" x14ac:dyDescent="0.2">
      <c r="A569" s="37"/>
      <c r="B569" s="38"/>
      <c r="C569" s="45"/>
      <c r="D569" s="31"/>
      <c r="E569" s="31"/>
      <c r="F569" s="268"/>
      <c r="G569" s="269"/>
      <c r="H569" s="269"/>
      <c r="I569" s="270"/>
      <c r="J569" s="32"/>
      <c r="K569" s="270"/>
      <c r="L569" s="270"/>
      <c r="M569" s="39"/>
      <c r="N569" s="39"/>
      <c r="O569" s="47"/>
      <c r="P569" s="57"/>
      <c r="Q569" s="276"/>
      <c r="R569" s="277"/>
      <c r="S569" s="277"/>
      <c r="T569" s="40"/>
      <c r="U569" s="278"/>
      <c r="V569" s="269"/>
      <c r="W569" s="269"/>
      <c r="X569" s="275"/>
      <c r="Y569" s="269"/>
      <c r="Z569" s="57"/>
      <c r="AA569" s="207"/>
      <c r="AB569" s="33"/>
      <c r="AC569" s="189"/>
      <c r="AD569" s="54"/>
      <c r="AE569" s="55"/>
      <c r="AF569" s="43"/>
      <c r="AG569" s="47"/>
      <c r="AH569" s="30"/>
      <c r="AI569" s="30"/>
      <c r="AJ569" s="30"/>
      <c r="AK569" s="30"/>
      <c r="AL569" s="13"/>
      <c r="AM569" s="13"/>
      <c r="AN569" s="13"/>
      <c r="AO569" s="13"/>
      <c r="AP569" s="13"/>
      <c r="AQ569" s="14"/>
      <c r="AR569" s="15"/>
    </row>
    <row r="570" spans="1:44" s="17" customFormat="1" ht="30.95" hidden="1" customHeight="1" x14ac:dyDescent="0.2">
      <c r="A570" s="37" t="s">
        <v>494</v>
      </c>
      <c r="B570" s="38" t="s">
        <v>445</v>
      </c>
      <c r="C570" s="45"/>
      <c r="D570" s="31"/>
      <c r="E570" s="31"/>
      <c r="F570" s="268"/>
      <c r="G570" s="269"/>
      <c r="H570" s="269"/>
      <c r="I570" s="270"/>
      <c r="J570" s="32" t="s">
        <v>448</v>
      </c>
      <c r="K570" s="270"/>
      <c r="L570" s="270"/>
      <c r="M570" s="39"/>
      <c r="N570" s="39"/>
      <c r="O570" s="47"/>
      <c r="P570" s="57"/>
      <c r="Q570" s="276"/>
      <c r="R570" s="277"/>
      <c r="S570" s="277"/>
      <c r="T570" s="40"/>
      <c r="U570" s="278"/>
      <c r="V570" s="269"/>
      <c r="W570" s="269"/>
      <c r="X570" s="275"/>
      <c r="Y570" s="269"/>
      <c r="Z570" s="57"/>
      <c r="AA570" s="207"/>
      <c r="AB570" s="33"/>
      <c r="AC570" s="189"/>
      <c r="AD570" s="54"/>
      <c r="AE570" s="55"/>
      <c r="AF570" s="43"/>
      <c r="AG570" s="47"/>
      <c r="AH570" s="30"/>
      <c r="AI570" s="30"/>
      <c r="AJ570" s="30"/>
      <c r="AK570" s="30"/>
      <c r="AL570" s="13"/>
      <c r="AM570" s="13"/>
      <c r="AN570" s="13"/>
      <c r="AO570" s="13"/>
      <c r="AP570" s="13"/>
      <c r="AQ570" s="14"/>
      <c r="AR570" s="15"/>
    </row>
    <row r="571" spans="1:44" s="17" customFormat="1" ht="30.95" hidden="1" customHeight="1" x14ac:dyDescent="0.2">
      <c r="A571" s="37"/>
      <c r="B571" s="38"/>
      <c r="C571" s="45"/>
      <c r="D571" s="31"/>
      <c r="E571" s="31"/>
      <c r="F571" s="268"/>
      <c r="G571" s="269"/>
      <c r="H571" s="269"/>
      <c r="I571" s="270"/>
      <c r="J571" s="32"/>
      <c r="K571" s="270"/>
      <c r="L571" s="270"/>
      <c r="M571" s="39"/>
      <c r="N571" s="39"/>
      <c r="O571" s="47"/>
      <c r="P571" s="57"/>
      <c r="Q571" s="276"/>
      <c r="R571" s="277"/>
      <c r="S571" s="277"/>
      <c r="T571" s="40"/>
      <c r="U571" s="278"/>
      <c r="V571" s="269"/>
      <c r="W571" s="269"/>
      <c r="X571" s="275"/>
      <c r="Y571" s="269"/>
      <c r="Z571" s="57"/>
      <c r="AA571" s="207"/>
      <c r="AB571" s="33"/>
      <c r="AC571" s="189"/>
      <c r="AD571" s="54"/>
      <c r="AE571" s="55"/>
      <c r="AF571" s="43"/>
      <c r="AG571" s="47"/>
      <c r="AH571" s="30"/>
      <c r="AI571" s="30"/>
      <c r="AJ571" s="30"/>
      <c r="AK571" s="30"/>
      <c r="AL571" s="13"/>
      <c r="AM571" s="13"/>
      <c r="AN571" s="13"/>
      <c r="AO571" s="13"/>
      <c r="AP571" s="13"/>
      <c r="AQ571" s="14"/>
      <c r="AR571" s="15"/>
    </row>
    <row r="572" spans="1:44" s="17" customFormat="1" ht="30.95" hidden="1" customHeight="1" x14ac:dyDescent="0.2">
      <c r="A572" s="37" t="s">
        <v>495</v>
      </c>
      <c r="B572" s="38" t="s">
        <v>446</v>
      </c>
      <c r="C572" s="45"/>
      <c r="D572" s="31"/>
      <c r="E572" s="31"/>
      <c r="F572" s="268"/>
      <c r="G572" s="269"/>
      <c r="H572" s="269"/>
      <c r="I572" s="270"/>
      <c r="J572" s="32" t="s">
        <v>448</v>
      </c>
      <c r="K572" s="270"/>
      <c r="L572" s="270"/>
      <c r="M572" s="39"/>
      <c r="N572" s="39"/>
      <c r="O572" s="47"/>
      <c r="P572" s="57"/>
      <c r="Q572" s="276"/>
      <c r="R572" s="277"/>
      <c r="S572" s="277"/>
      <c r="T572" s="40"/>
      <c r="U572" s="278"/>
      <c r="V572" s="269"/>
      <c r="W572" s="269"/>
      <c r="X572" s="275"/>
      <c r="Y572" s="269"/>
      <c r="Z572" s="57"/>
      <c r="AA572" s="207"/>
      <c r="AB572" s="33"/>
      <c r="AC572" s="189"/>
      <c r="AD572" s="54"/>
      <c r="AE572" s="55"/>
      <c r="AF572" s="43"/>
      <c r="AG572" s="47"/>
      <c r="AH572" s="30"/>
      <c r="AI572" s="30"/>
      <c r="AJ572" s="30"/>
      <c r="AK572" s="30"/>
      <c r="AL572" s="13"/>
      <c r="AM572" s="13"/>
      <c r="AN572" s="13"/>
      <c r="AO572" s="13"/>
      <c r="AP572" s="13"/>
      <c r="AQ572" s="14"/>
      <c r="AR572" s="15"/>
    </row>
    <row r="573" spans="1:44" s="17" customFormat="1" ht="30.95" hidden="1" customHeight="1" x14ac:dyDescent="0.2">
      <c r="A573" s="37"/>
      <c r="B573" s="38"/>
      <c r="C573" s="45"/>
      <c r="D573" s="31"/>
      <c r="E573" s="31"/>
      <c r="F573" s="268"/>
      <c r="G573" s="269"/>
      <c r="H573" s="269"/>
      <c r="I573" s="270"/>
      <c r="J573" s="32"/>
      <c r="K573" s="270"/>
      <c r="L573" s="270"/>
      <c r="M573" s="39"/>
      <c r="N573" s="39"/>
      <c r="O573" s="47"/>
      <c r="P573" s="57"/>
      <c r="Q573" s="276"/>
      <c r="R573" s="277"/>
      <c r="S573" s="277"/>
      <c r="T573" s="40"/>
      <c r="U573" s="278"/>
      <c r="V573" s="269"/>
      <c r="W573" s="269"/>
      <c r="X573" s="275"/>
      <c r="Y573" s="269"/>
      <c r="Z573" s="57"/>
      <c r="AA573" s="207"/>
      <c r="AB573" s="33"/>
      <c r="AC573" s="189"/>
      <c r="AD573" s="54"/>
      <c r="AE573" s="55"/>
      <c r="AF573" s="43"/>
      <c r="AG573" s="47"/>
      <c r="AH573" s="30"/>
      <c r="AI573" s="30"/>
      <c r="AJ573" s="30"/>
      <c r="AK573" s="30"/>
      <c r="AL573" s="13"/>
      <c r="AM573" s="13"/>
      <c r="AN573" s="13"/>
      <c r="AO573" s="13"/>
      <c r="AP573" s="13"/>
      <c r="AQ573" s="14"/>
      <c r="AR573" s="15"/>
    </row>
    <row r="574" spans="1:44" s="17" customFormat="1" ht="30.95" hidden="1" customHeight="1" x14ac:dyDescent="0.2">
      <c r="A574" s="37" t="s">
        <v>496</v>
      </c>
      <c r="B574" s="38" t="s">
        <v>462</v>
      </c>
      <c r="C574" s="45"/>
      <c r="D574" s="31"/>
      <c r="E574" s="31"/>
      <c r="F574" s="268"/>
      <c r="G574" s="269"/>
      <c r="H574" s="269"/>
      <c r="I574" s="270"/>
      <c r="J574" s="32" t="s">
        <v>448</v>
      </c>
      <c r="K574" s="270"/>
      <c r="L574" s="270"/>
      <c r="M574" s="39"/>
      <c r="N574" s="39"/>
      <c r="O574" s="47"/>
      <c r="P574" s="57"/>
      <c r="Q574" s="276"/>
      <c r="R574" s="277"/>
      <c r="S574" s="277"/>
      <c r="T574" s="40"/>
      <c r="U574" s="278"/>
      <c r="V574" s="269"/>
      <c r="W574" s="269"/>
      <c r="X574" s="275"/>
      <c r="Y574" s="269"/>
      <c r="Z574" s="57"/>
      <c r="AA574" s="207"/>
      <c r="AB574" s="33"/>
      <c r="AC574" s="189"/>
      <c r="AD574" s="54"/>
      <c r="AE574" s="55"/>
      <c r="AF574" s="43"/>
      <c r="AG574" s="47"/>
      <c r="AH574" s="30"/>
      <c r="AI574" s="30"/>
      <c r="AJ574" s="30"/>
      <c r="AK574" s="30"/>
      <c r="AL574" s="13"/>
      <c r="AM574" s="13"/>
      <c r="AN574" s="13"/>
      <c r="AO574" s="13"/>
      <c r="AP574" s="13"/>
      <c r="AQ574" s="14"/>
      <c r="AR574" s="15"/>
    </row>
    <row r="575" spans="1:44" s="17" customFormat="1" ht="30.95" hidden="1" customHeight="1" x14ac:dyDescent="0.2">
      <c r="A575" s="37"/>
      <c r="B575" s="38"/>
      <c r="C575" s="45"/>
      <c r="D575" s="31"/>
      <c r="E575" s="31"/>
      <c r="F575" s="268"/>
      <c r="G575" s="269"/>
      <c r="H575" s="269"/>
      <c r="I575" s="270"/>
      <c r="J575" s="32"/>
      <c r="K575" s="270"/>
      <c r="L575" s="270"/>
      <c r="M575" s="39"/>
      <c r="N575" s="39"/>
      <c r="O575" s="47"/>
      <c r="P575" s="57"/>
      <c r="Q575" s="276"/>
      <c r="R575" s="277"/>
      <c r="S575" s="277"/>
      <c r="T575" s="40"/>
      <c r="U575" s="278"/>
      <c r="V575" s="269"/>
      <c r="W575" s="269"/>
      <c r="X575" s="275"/>
      <c r="Y575" s="269"/>
      <c r="Z575" s="57"/>
      <c r="AA575" s="207"/>
      <c r="AB575" s="33"/>
      <c r="AC575" s="189"/>
      <c r="AD575" s="54"/>
      <c r="AE575" s="55"/>
      <c r="AF575" s="43"/>
      <c r="AG575" s="47"/>
      <c r="AH575" s="30"/>
      <c r="AI575" s="30"/>
      <c r="AJ575" s="30"/>
      <c r="AK575" s="30"/>
      <c r="AL575" s="13"/>
      <c r="AM575" s="13"/>
      <c r="AN575" s="13"/>
      <c r="AO575" s="13"/>
      <c r="AP575" s="13"/>
      <c r="AQ575" s="14"/>
      <c r="AR575" s="15"/>
    </row>
    <row r="576" spans="1:44" s="17" customFormat="1" ht="30.95" hidden="1" customHeight="1" x14ac:dyDescent="0.2">
      <c r="A576" s="37" t="s">
        <v>1329</v>
      </c>
      <c r="B576" s="38" t="s">
        <v>1330</v>
      </c>
      <c r="C576" s="45"/>
      <c r="D576" s="31">
        <v>3716256</v>
      </c>
      <c r="E576" s="31">
        <v>4151422</v>
      </c>
      <c r="F576" s="268" t="str">
        <f>IF(D576="","",VLOOKUP(D576,契約台帳!$A$3:$K$4986,6,FALSE)&amp;VLOOKUP(D576,契約台帳!$A$3:$K$4986,7,FALSE)&amp;VLOOKUP(D576,契約台帳!$A$3:$K$4986,8,FALSE)&amp;VLOOKUP(D576,契約台帳!$A$3:$K$4986,9,FALSE)&amp;VLOOKUP(D576,契約台帳!$A$3:$K$4986,11,FALSE))</f>
        <v>3SNMLBMNGTBF</v>
      </c>
      <c r="G576" s="269" t="str">
        <f>IF(D576="","",VLOOKUP(F576,製品マスタ!$G$5:$H$5002,2,FALSE))</f>
        <v>S</v>
      </c>
      <c r="H576" s="269" t="str">
        <f>IF(D576="","",VLOOKUP(F576,製品マスタ!$G$5:$K$5002,5,FALSE))</f>
        <v>MNGTBF</v>
      </c>
      <c r="I576" s="270" t="str">
        <f>IF(D576="","",VLOOKUP(F576,製品マスタ!$G$5:$L$5002,6,FALSE))</f>
        <v>メタルミー　ネーマー　銀艶　Ｂ</v>
      </c>
      <c r="J576" s="32" t="s">
        <v>447</v>
      </c>
      <c r="K576" s="270">
        <f>IF(D576="","",VLOOKUP(D576,契約台帳!$A$3:$L$4986,12,FALSE))</f>
        <v>25</v>
      </c>
      <c r="L576" s="270" t="str">
        <f>IF(D576="","",INDEX(製品マスタ!$Q$5:$Q$5002,MATCH(F576&amp;K576,製品マスタ!$AO$5:$AO$5002,0)))</f>
        <v>T62M</v>
      </c>
      <c r="M576" s="39">
        <v>1125</v>
      </c>
      <c r="N576" s="39">
        <v>12100</v>
      </c>
      <c r="O576" s="47">
        <v>1</v>
      </c>
      <c r="P576" s="57"/>
      <c r="Q576" s="276">
        <f>IF(D576="","",IF(J576="リード付け",M576,VLOOKUP(D576,契約台帳!$A$3:$N$4986,14,FALSE)))</f>
        <v>1125</v>
      </c>
      <c r="R576" s="277">
        <f>IF(D576="","",IF(J576="リード付け",M576,VLOOKUP(D576,契約台帳!$A$3:$O$4986,15,FALSE)))</f>
        <v>1120</v>
      </c>
      <c r="S576" s="277">
        <f>IF(D576="","",IF(J576="リード付け",N576,VLOOKUP(D576,契約台帳!$A$3:$P$4986,16,FALSE)))</f>
        <v>4000</v>
      </c>
      <c r="T576" s="40">
        <v>2</v>
      </c>
      <c r="U576" s="302">
        <f ca="1">IF(D576="","",IF(OFFSET(D576,-2,0)=D576,"",VLOOKUP(D576,契約台帳!$A$3:$R$4986,18,FALSE)))</f>
        <v>3</v>
      </c>
      <c r="V576" s="269" t="str">
        <f>IF(J576="巻返し",VLOOKUP(F576&amp;K576&amp;M576,製品マスタ!$M$5:$AD$5002,18,FALSE),IF(J576="リード付け","原反コア",IF(J576="スリット",VLOOKUP(F576&amp;K576&amp;Q576,製品マスタ!$N$5:$AD$5002,17,FALSE),"")))</f>
        <v>6ｲﾝﾁSｺｱ</v>
      </c>
      <c r="W576" s="269">
        <f>IF(J576="巻返し",VLOOKUP(F576&amp;K576&amp;M576,製品マスタ!$M$5:$AE$5002,19,FALSE),IF(J576="リード付け","-",IF(J576="スリット",VLOOKUP(F576&amp;K576&amp;Q576,製品マスタ!$N$5:$AE$5002,18,FALSE),"")))</f>
        <v>1130</v>
      </c>
      <c r="X576" s="275">
        <f>IF(D576="","",VLOOKUP(D576,契約台帳!$A$3:$Q$4986,17,FALSE))</f>
        <v>2</v>
      </c>
      <c r="Y576" s="269" t="str">
        <f>IF(D576="","",VLOOKUP(D576,契約台帳!$A$3:$E$4986,5,FALSE))</f>
        <v>リンテック㈱</v>
      </c>
      <c r="Z576" s="57">
        <v>45127</v>
      </c>
      <c r="AA576" s="303">
        <f>IFERROR(VLOOKUP(F576&amp;K576&amp;M576,製品マスタ!$M$5:$AM$5002,27,FALSE),"")</f>
        <v>0</v>
      </c>
      <c r="AB576" s="33"/>
      <c r="AC576" s="189"/>
      <c r="AD576" s="54"/>
      <c r="AE576" s="55"/>
      <c r="AF576" s="43"/>
      <c r="AG576" s="47"/>
      <c r="AH576" s="30"/>
      <c r="AI576" s="30"/>
      <c r="AJ576" s="30"/>
      <c r="AK576" s="30"/>
      <c r="AL576" s="13"/>
      <c r="AM576" s="13"/>
      <c r="AN576" s="13"/>
      <c r="AO576" s="13"/>
      <c r="AP576" s="13"/>
      <c r="AQ576" s="14"/>
      <c r="AR576" s="15"/>
    </row>
    <row r="577" spans="1:44" s="17" customFormat="1" ht="30.95" hidden="1" customHeight="1" x14ac:dyDescent="0.2">
      <c r="A577" s="37"/>
      <c r="B577" s="38"/>
      <c r="C577" s="45"/>
      <c r="D577" s="31"/>
      <c r="E577" s="31"/>
      <c r="F577" s="268"/>
      <c r="G577" s="269"/>
      <c r="H577" s="269"/>
      <c r="I577" s="270"/>
      <c r="J577" s="32"/>
      <c r="K577" s="270"/>
      <c r="L577" s="270"/>
      <c r="M577" s="39"/>
      <c r="N577" s="39"/>
      <c r="O577" s="47"/>
      <c r="P577" s="57"/>
      <c r="Q577" s="276"/>
      <c r="R577" s="277"/>
      <c r="S577" s="277"/>
      <c r="T577" s="40"/>
      <c r="U577" s="278"/>
      <c r="V577" s="269"/>
      <c r="W577" s="269"/>
      <c r="X577" s="275"/>
      <c r="Y577" s="269"/>
      <c r="Z577" s="57"/>
      <c r="AA577" s="207"/>
      <c r="AB577" s="33"/>
      <c r="AC577" s="189"/>
      <c r="AD577" s="54"/>
      <c r="AE577" s="55"/>
      <c r="AF577" s="43"/>
      <c r="AG577" s="47"/>
      <c r="AH577" s="30"/>
      <c r="AI577" s="30"/>
      <c r="AJ577" s="30"/>
      <c r="AK577" s="30"/>
      <c r="AL577" s="13"/>
      <c r="AM577" s="13"/>
      <c r="AN577" s="13"/>
      <c r="AO577" s="13"/>
      <c r="AP577" s="13"/>
      <c r="AQ577" s="14"/>
      <c r="AR577" s="15"/>
    </row>
    <row r="578" spans="1:44" s="17" customFormat="1" ht="30.95" hidden="1" customHeight="1" x14ac:dyDescent="0.2">
      <c r="A578" s="37"/>
      <c r="B578" s="38"/>
      <c r="C578" s="45"/>
      <c r="D578" s="31">
        <v>3716245</v>
      </c>
      <c r="E578" s="31">
        <v>4151391</v>
      </c>
      <c r="F578" s="268" t="str">
        <f>IF(D578="","",VLOOKUP(D578,契約台帳!$A$3:$K$4986,6,FALSE)&amp;VLOOKUP(D578,契約台帳!$A$3:$K$4986,7,FALSE)&amp;VLOOKUP(D578,契約台帳!$A$3:$K$4986,8,FALSE)&amp;VLOOKUP(D578,契約台帳!$A$3:$K$4986,9,FALSE)&amp;VLOOKUP(D578,契約台帳!$A$3:$K$4986,11,FALSE))</f>
        <v>3SNMLBMNGKKBF</v>
      </c>
      <c r="G578" s="269" t="str">
        <f>IF(D578="","",VLOOKUP(F578,製品マスタ!$G$5:$H$5002,2,FALSE))</f>
        <v>S</v>
      </c>
      <c r="H578" s="269" t="str">
        <f>IF(D578="","",VLOOKUP(F578,製品マスタ!$G$5:$K$5002,5,FALSE))</f>
        <v>MNGKKBF</v>
      </c>
      <c r="I578" s="270" t="str">
        <f>IF(D578="","",VLOOKUP(F578,製品マスタ!$G$5:$L$5002,6,FALSE))</f>
        <v>メタルミー　ネーマー銀消改　Ｂ</v>
      </c>
      <c r="J578" s="32" t="s">
        <v>447</v>
      </c>
      <c r="K578" s="270">
        <f>IF(D578="","",VLOOKUP(D578,契約台帳!$A$3:$L$4986,12,FALSE))</f>
        <v>25</v>
      </c>
      <c r="L578" s="270" t="str">
        <f>IF(D578="","",INDEX(製品マスタ!$Q$5:$Q$5002,MATCH(F578&amp;K578,製品マスタ!$AO$5:$AO$5002,0)))</f>
        <v>FMATS99</v>
      </c>
      <c r="M578" s="39">
        <v>1120</v>
      </c>
      <c r="N578" s="39">
        <v>8000</v>
      </c>
      <c r="O578" s="47">
        <v>4</v>
      </c>
      <c r="P578" s="57"/>
      <c r="Q578" s="276">
        <f>IF(D578="","",IF(J578="リード付け",M578,VLOOKUP(D578,契約台帳!$A$3:$N$4986,14,FALSE)))</f>
        <v>1120</v>
      </c>
      <c r="R578" s="277">
        <f>IF(D578="","",IF(J578="リード付け",M578,VLOOKUP(D578,契約台帳!$A$3:$O$4986,15,FALSE)))</f>
        <v>1120</v>
      </c>
      <c r="S578" s="277">
        <f>IF(D578="","",IF(J578="リード付け",N578,VLOOKUP(D578,契約台帳!$A$3:$P$4986,16,FALSE)))</f>
        <v>4000</v>
      </c>
      <c r="T578" s="40">
        <v>8</v>
      </c>
      <c r="U578" s="302">
        <f ca="1">IF(D578="","",IF(OFFSET(D578,-2,0)=D578,"",VLOOKUP(D578,契約台帳!$A$3:$R$4986,18,FALSE)))</f>
        <v>8</v>
      </c>
      <c r="V578" s="269" t="str">
        <f>IF(J578="巻返し",VLOOKUP(F578&amp;K578&amp;M578,製品マスタ!$M$5:$AD$5002,18,FALSE),IF(J578="リード付け","原反コア",IF(J578="スリット",VLOOKUP(F578&amp;K578&amp;Q578,製品マスタ!$N$5:$AD$5002,17,FALSE),"")))</f>
        <v>6ｲﾝﾁSｺｱ</v>
      </c>
      <c r="W578" s="269">
        <f>IF(J578="巻返し",VLOOKUP(F578&amp;K578&amp;M578,製品マスタ!$M$5:$AE$5002,19,FALSE),IF(J578="リード付け","-",IF(J578="スリット",VLOOKUP(F578&amp;K578&amp;Q578,製品マスタ!$N$5:$AE$5002,18,FALSE),"")))</f>
        <v>1125</v>
      </c>
      <c r="X578" s="275">
        <f>IF(D578="","",VLOOKUP(D578,契約台帳!$A$3:$Q$4986,17,FALSE))</f>
        <v>2</v>
      </c>
      <c r="Y578" s="269" t="str">
        <f>IF(D578="","",VLOOKUP(D578,契約台帳!$A$3:$E$4986,5,FALSE))</f>
        <v>リンテック㈱</v>
      </c>
      <c r="Z578" s="57">
        <v>45127</v>
      </c>
      <c r="AA578" s="303">
        <f>IFERROR(VLOOKUP(F578&amp;K578&amp;M578,製品マスタ!$M$5:$AM$5002,27,FALSE),"")</f>
        <v>0</v>
      </c>
      <c r="AB578" s="33"/>
      <c r="AC578" s="189"/>
      <c r="AD578" s="54" t="str">
        <f>IF(F578="","",+F578&amp;K578)</f>
        <v>3SNMLBMNGKKBF25</v>
      </c>
      <c r="AE578" s="55">
        <f>+M578*N578*O578/1000</f>
        <v>35840</v>
      </c>
      <c r="AF578" s="43">
        <f>IF(AD578="","",VLOOKUP(AD578,原価マスタ!$A$2:$AJ$1693,13,FALSE))</f>
        <v>96</v>
      </c>
      <c r="AG578" s="47">
        <f>IF(AF578="","",+AE578*AF578/100)</f>
        <v>34406.400000000001</v>
      </c>
      <c r="AH578" s="30"/>
      <c r="AI578" s="30"/>
      <c r="AJ578" s="30"/>
      <c r="AK578" s="30"/>
      <c r="AL578" s="13"/>
      <c r="AM578" s="13"/>
      <c r="AN578" s="13"/>
      <c r="AO578" s="13"/>
      <c r="AP578" s="13"/>
      <c r="AQ578" s="14"/>
      <c r="AR578" s="15"/>
    </row>
    <row r="579" spans="1:44" s="17" customFormat="1" ht="30.95" hidden="1" customHeight="1" x14ac:dyDescent="0.2">
      <c r="A579" s="37"/>
      <c r="B579" s="38"/>
      <c r="C579" s="45"/>
      <c r="D579" s="31"/>
      <c r="E579" s="31"/>
      <c r="F579" s="268"/>
      <c r="G579" s="269"/>
      <c r="H579" s="269"/>
      <c r="I579" s="270"/>
      <c r="J579" s="32"/>
      <c r="K579" s="270"/>
      <c r="L579" s="270"/>
      <c r="M579" s="39"/>
      <c r="N579" s="39"/>
      <c r="O579" s="47"/>
      <c r="P579" s="57"/>
      <c r="Q579" s="276"/>
      <c r="R579" s="277"/>
      <c r="S579" s="277"/>
      <c r="T579" s="40"/>
      <c r="U579" s="278"/>
      <c r="V579" s="269"/>
      <c r="W579" s="269"/>
      <c r="X579" s="275"/>
      <c r="Y579" s="269"/>
      <c r="Z579" s="57"/>
      <c r="AA579" s="207"/>
      <c r="AB579" s="33"/>
      <c r="AC579" s="189"/>
      <c r="AD579" s="54"/>
      <c r="AE579" s="55"/>
      <c r="AF579" s="43"/>
      <c r="AG579" s="47"/>
      <c r="AH579" s="30"/>
      <c r="AI579" s="30"/>
      <c r="AJ579" s="30"/>
      <c r="AK579" s="30"/>
      <c r="AL579" s="13"/>
      <c r="AM579" s="13"/>
      <c r="AN579" s="13"/>
      <c r="AO579" s="13"/>
      <c r="AP579" s="13"/>
      <c r="AQ579" s="14"/>
      <c r="AR579" s="15"/>
    </row>
    <row r="580" spans="1:44" s="17" customFormat="1" ht="30.95" hidden="1" customHeight="1" x14ac:dyDescent="0.2">
      <c r="A580" s="37"/>
      <c r="B580" s="38"/>
      <c r="C580" s="45"/>
      <c r="D580" s="31">
        <v>3716247</v>
      </c>
      <c r="E580" s="31">
        <v>4151393</v>
      </c>
      <c r="F580" s="268" t="str">
        <f>IF(D580="","",VLOOKUP(D580,契約台帳!$A$3:$K$4986,6,FALSE)&amp;VLOOKUP(D580,契約台帳!$A$3:$K$4986,7,FALSE)&amp;VLOOKUP(D580,契約台帳!$A$3:$K$4986,8,FALSE)&amp;VLOOKUP(D580,契約台帳!$A$3:$K$4986,9,FALSE)&amp;VLOOKUP(D580,契約台帳!$A$3:$K$4986,11,FALSE))</f>
        <v>3SNMLBMNGKKBF</v>
      </c>
      <c r="G580" s="269" t="str">
        <f>IF(D580="","",VLOOKUP(F580,製品マスタ!$G$5:$H$5002,2,FALSE))</f>
        <v>S</v>
      </c>
      <c r="H580" s="269" t="str">
        <f>IF(D580="","",VLOOKUP(F580,製品マスタ!$G$5:$K$5002,5,FALSE))</f>
        <v>MNGKKBF</v>
      </c>
      <c r="I580" s="270" t="str">
        <f>IF(D580="","",VLOOKUP(F580,製品マスタ!$G$5:$L$5002,6,FALSE))</f>
        <v>メタルミー　ネーマー銀消改　Ｂ</v>
      </c>
      <c r="J580" s="32" t="s">
        <v>447</v>
      </c>
      <c r="K580" s="270">
        <f>IF(D580="","",VLOOKUP(D580,契約台帳!$A$3:$L$4986,12,FALSE))</f>
        <v>50</v>
      </c>
      <c r="L580" s="270" t="str">
        <f>IF(D580="","",INDEX(製品マスタ!$Q$5:$Q$5002,MATCH(F580&amp;K580,製品マスタ!$AO$5:$AO$5002,0)))</f>
        <v>S99-MAT</v>
      </c>
      <c r="M580" s="39">
        <v>1120</v>
      </c>
      <c r="N580" s="39">
        <v>12000</v>
      </c>
      <c r="O580" s="47">
        <v>2</v>
      </c>
      <c r="P580" s="57"/>
      <c r="Q580" s="276">
        <f>IF(D580="","",IF(J580="リード付け",M580,VLOOKUP(D580,契約台帳!$A$3:$N$4986,14,FALSE)))</f>
        <v>1120</v>
      </c>
      <c r="R580" s="277">
        <f>IF(D580="","",IF(J580="リード付け",M580,VLOOKUP(D580,契約台帳!$A$3:$O$4986,15,FALSE)))</f>
        <v>1120</v>
      </c>
      <c r="S580" s="277">
        <f>IF(D580="","",IF(J580="リード付け",N580,VLOOKUP(D580,契約台帳!$A$3:$P$4986,16,FALSE)))</f>
        <v>4000</v>
      </c>
      <c r="T580" s="40">
        <v>6</v>
      </c>
      <c r="U580" s="302">
        <f ca="1">IF(D580="","",IF(OFFSET(D580,-2,0)=D580,"",VLOOKUP(D580,契約台帳!$A$3:$R$4986,18,FALSE)))</f>
        <v>20</v>
      </c>
      <c r="V580" s="269" t="str">
        <f>IF(J580="巻返し",VLOOKUP(F580&amp;K580&amp;M580,製品マスタ!$M$5:$AD$5002,18,FALSE),IF(J580="リード付け","原反コア",IF(J580="スリット",VLOOKUP(F580&amp;K580&amp;Q580,製品マスタ!$N$5:$AD$5002,17,FALSE),"")))</f>
        <v>6ｲﾝﾁSｺｱ</v>
      </c>
      <c r="W580" s="269">
        <f>IF(J580="巻返し",VLOOKUP(F580&amp;K580&amp;M580,製品マスタ!$M$5:$AE$5002,19,FALSE),IF(J580="リード付け","-",IF(J580="スリット",VLOOKUP(F580&amp;K580&amp;Q580,製品マスタ!$N$5:$AE$5002,18,FALSE),"")))</f>
        <v>1125</v>
      </c>
      <c r="X580" s="275">
        <f>IF(D580="","",VLOOKUP(D580,契約台帳!$A$3:$Q$4986,17,FALSE))</f>
        <v>2</v>
      </c>
      <c r="Y580" s="269" t="str">
        <f>IF(D580="","",VLOOKUP(D580,契約台帳!$A$3:$E$4986,5,FALSE))</f>
        <v>リンテック㈱</v>
      </c>
      <c r="Z580" s="57">
        <v>45127</v>
      </c>
      <c r="AA580" s="303">
        <f>IFERROR(VLOOKUP(F580&amp;K580&amp;M580,製品マスタ!$M$5:$AM$5002,27,FALSE),"")</f>
        <v>0</v>
      </c>
      <c r="AB580" s="33"/>
      <c r="AC580" s="189"/>
      <c r="AD580" s="54" t="str">
        <f>IF(F580="","",+F580&amp;K580)</f>
        <v>3SNMLBMNGKKBF50</v>
      </c>
      <c r="AE580" s="55">
        <f>+M580*N580*O580/1000</f>
        <v>26880</v>
      </c>
      <c r="AF580" s="43">
        <f>IF(AD580="","",VLOOKUP(AD580,原価マスタ!$A$2:$AJ$1693,13,FALSE))</f>
        <v>99</v>
      </c>
      <c r="AG580" s="47">
        <f>IF(AF580="","",+AE580*AF580/100)</f>
        <v>26611.200000000001</v>
      </c>
      <c r="AH580" s="30"/>
      <c r="AI580" s="30"/>
      <c r="AJ580" s="30"/>
      <c r="AK580" s="30"/>
      <c r="AL580" s="13"/>
      <c r="AM580" s="13"/>
      <c r="AN580" s="13"/>
      <c r="AO580" s="13"/>
      <c r="AP580" s="13"/>
      <c r="AQ580" s="14"/>
      <c r="AR580" s="15"/>
    </row>
    <row r="581" spans="1:44" s="17" customFormat="1" ht="30.95" hidden="1" customHeight="1" x14ac:dyDescent="0.2">
      <c r="A581" s="37"/>
      <c r="B581" s="38"/>
      <c r="C581" s="45"/>
      <c r="D581" s="31"/>
      <c r="E581" s="31"/>
      <c r="F581" s="268"/>
      <c r="G581" s="269"/>
      <c r="H581" s="269"/>
      <c r="I581" s="270"/>
      <c r="J581" s="32"/>
      <c r="K581" s="270"/>
      <c r="L581" s="270"/>
      <c r="M581" s="39"/>
      <c r="N581" s="39"/>
      <c r="O581" s="47"/>
      <c r="P581" s="57"/>
      <c r="Q581" s="276"/>
      <c r="R581" s="277"/>
      <c r="S581" s="277"/>
      <c r="T581" s="40"/>
      <c r="U581" s="278"/>
      <c r="V581" s="269"/>
      <c r="W581" s="269"/>
      <c r="X581" s="275"/>
      <c r="Y581" s="269"/>
      <c r="Z581" s="57"/>
      <c r="AA581" s="207"/>
      <c r="AB581" s="33"/>
      <c r="AC581" s="189"/>
      <c r="AD581" s="54"/>
      <c r="AE581" s="55"/>
      <c r="AF581" s="43"/>
      <c r="AG581" s="47"/>
      <c r="AH581" s="30"/>
      <c r="AI581" s="30"/>
      <c r="AJ581" s="30"/>
      <c r="AK581" s="30"/>
      <c r="AL581" s="13"/>
      <c r="AM581" s="13"/>
      <c r="AN581" s="13"/>
      <c r="AO581" s="13"/>
      <c r="AP581" s="13"/>
      <c r="AQ581" s="14"/>
      <c r="AR581" s="15"/>
    </row>
    <row r="582" spans="1:44" s="17" customFormat="1" ht="30.95" hidden="1" customHeight="1" x14ac:dyDescent="0.2">
      <c r="A582" s="37" t="s">
        <v>498</v>
      </c>
      <c r="B582" s="38" t="s">
        <v>442</v>
      </c>
      <c r="C582" s="45"/>
      <c r="D582" s="31">
        <v>3716247</v>
      </c>
      <c r="E582" s="31">
        <v>4151393</v>
      </c>
      <c r="F582" s="268" t="str">
        <f>IF(D582="","",VLOOKUP(D582,契約台帳!$A$3:$K$4986,6,FALSE)&amp;VLOOKUP(D582,契約台帳!$A$3:$K$4986,7,FALSE)&amp;VLOOKUP(D582,契約台帳!$A$3:$K$4986,8,FALSE)&amp;VLOOKUP(D582,契約台帳!$A$3:$K$4986,9,FALSE)&amp;VLOOKUP(D582,契約台帳!$A$3:$K$4986,11,FALSE))</f>
        <v>3SNMLBMNGKKBF</v>
      </c>
      <c r="G582" s="269" t="str">
        <f>IF(D582="","",VLOOKUP(F582,製品マスタ!$G$5:$H$5002,2,FALSE))</f>
        <v>S</v>
      </c>
      <c r="H582" s="269" t="str">
        <f>IF(D582="","",VLOOKUP(F582,製品マスタ!$G$5:$K$5002,5,FALSE))</f>
        <v>MNGKKBF</v>
      </c>
      <c r="I582" s="270" t="str">
        <f>IF(D582="","",VLOOKUP(F582,製品マスタ!$G$5:$L$5002,6,FALSE))</f>
        <v>メタルミー　ネーマー銀消改　Ｂ</v>
      </c>
      <c r="J582" s="32" t="s">
        <v>447</v>
      </c>
      <c r="K582" s="270">
        <f>IF(D582="","",VLOOKUP(D582,契約台帳!$A$3:$L$4986,12,FALSE))</f>
        <v>50</v>
      </c>
      <c r="L582" s="270" t="str">
        <f>IF(D582="","",INDEX(製品マスタ!$Q$5:$Q$5002,MATCH(F582&amp;K582,製品マスタ!$AO$5:$AO$5002,0)))</f>
        <v>S99-MAT</v>
      </c>
      <c r="M582" s="39">
        <v>1120</v>
      </c>
      <c r="N582" s="39">
        <v>12000</v>
      </c>
      <c r="O582" s="47">
        <v>4</v>
      </c>
      <c r="P582" s="57"/>
      <c r="Q582" s="276">
        <f>IF(D582="","",IF(J582="リード付け",M582,VLOOKUP(D582,契約台帳!$A$3:$N$4986,14,FALSE)))</f>
        <v>1120</v>
      </c>
      <c r="R582" s="277">
        <f>IF(D582="","",IF(J582="リード付け",M582,VLOOKUP(D582,契約台帳!$A$3:$O$4986,15,FALSE)))</f>
        <v>1120</v>
      </c>
      <c r="S582" s="277">
        <f>IF(D582="","",IF(J582="リード付け",N582,VLOOKUP(D582,契約台帳!$A$3:$P$4986,16,FALSE)))</f>
        <v>4000</v>
      </c>
      <c r="T582" s="40">
        <v>12</v>
      </c>
      <c r="U582" s="302" t="str">
        <f ca="1">IF(D582="","",IF(OFFSET(D582,-2,0)=D582,"",VLOOKUP(D582,契約台帳!$A$3:$R$4986,18,FALSE)))</f>
        <v/>
      </c>
      <c r="V582" s="269" t="str">
        <f>IF(J582="巻返し",VLOOKUP(F582&amp;K582&amp;M582,製品マスタ!$M$5:$AD$5002,18,FALSE),IF(J582="リード付け","原反コア",IF(J582="スリット",VLOOKUP(F582&amp;K582&amp;Q582,製品マスタ!$N$5:$AD$5002,17,FALSE),"")))</f>
        <v>6ｲﾝﾁSｺｱ</v>
      </c>
      <c r="W582" s="269">
        <f>IF(J582="巻返し",VLOOKUP(F582&amp;K582&amp;M582,製品マスタ!$M$5:$AE$5002,19,FALSE),IF(J582="リード付け","-",IF(J582="スリット",VLOOKUP(F582&amp;K582&amp;Q582,製品マスタ!$N$5:$AE$5002,18,FALSE),"")))</f>
        <v>1125</v>
      </c>
      <c r="X582" s="275">
        <f>IF(D582="","",VLOOKUP(D582,契約台帳!$A$3:$Q$4986,17,FALSE))</f>
        <v>2</v>
      </c>
      <c r="Y582" s="269" t="str">
        <f>IF(D582="","",VLOOKUP(D582,契約台帳!$A$3:$E$4986,5,FALSE))</f>
        <v>リンテック㈱</v>
      </c>
      <c r="Z582" s="57">
        <v>45128</v>
      </c>
      <c r="AA582" s="303">
        <f>IFERROR(VLOOKUP(F582&amp;K582&amp;M582,製品マスタ!$M$5:$AM$5002,27,FALSE),"")</f>
        <v>0</v>
      </c>
      <c r="AB582" s="33"/>
      <c r="AC582" s="189"/>
      <c r="AD582" s="54" t="str">
        <f>IF(F582="","",+F582&amp;K582)</f>
        <v>3SNMLBMNGKKBF50</v>
      </c>
      <c r="AE582" s="55">
        <f>+M582*N582*O582/1000</f>
        <v>53760</v>
      </c>
      <c r="AF582" s="43">
        <f>IF(AD582="","",VLOOKUP(AD582,原価マスタ!$A$2:$AJ$1693,13,FALSE))</f>
        <v>99</v>
      </c>
      <c r="AG582" s="47">
        <f>IF(AF582="","",+AE582*AF582/100)</f>
        <v>53222.400000000001</v>
      </c>
      <c r="AH582" s="30"/>
      <c r="AI582" s="30"/>
      <c r="AJ582" s="30"/>
      <c r="AK582" s="30"/>
      <c r="AL582" s="13"/>
      <c r="AM582" s="13"/>
      <c r="AN582" s="13"/>
      <c r="AO582" s="13"/>
      <c r="AP582" s="13"/>
      <c r="AQ582" s="14"/>
      <c r="AR582" s="15"/>
    </row>
    <row r="583" spans="1:44" s="17" customFormat="1" ht="30.95" hidden="1" customHeight="1" x14ac:dyDescent="0.2">
      <c r="A583" s="37"/>
      <c r="B583" s="38"/>
      <c r="C583" s="45"/>
      <c r="D583" s="31"/>
      <c r="E583" s="31"/>
      <c r="F583" s="268"/>
      <c r="G583" s="269"/>
      <c r="H583" s="269"/>
      <c r="I583" s="270"/>
      <c r="J583" s="32"/>
      <c r="K583" s="270"/>
      <c r="L583" s="270"/>
      <c r="M583" s="39"/>
      <c r="N583" s="39"/>
      <c r="O583" s="47"/>
      <c r="P583" s="57"/>
      <c r="Q583" s="276"/>
      <c r="R583" s="277"/>
      <c r="S583" s="277"/>
      <c r="T583" s="40"/>
      <c r="U583" s="278"/>
      <c r="V583" s="269"/>
      <c r="W583" s="269"/>
      <c r="X583" s="275"/>
      <c r="Y583" s="269"/>
      <c r="Z583" s="57"/>
      <c r="AA583" s="207"/>
      <c r="AB583" s="33"/>
      <c r="AC583" s="189"/>
      <c r="AD583" s="54"/>
      <c r="AE583" s="55"/>
      <c r="AF583" s="43"/>
      <c r="AG583" s="47"/>
      <c r="AH583" s="30"/>
      <c r="AI583" s="30"/>
      <c r="AJ583" s="30"/>
      <c r="AK583" s="30"/>
      <c r="AL583" s="13"/>
      <c r="AM583" s="13"/>
      <c r="AN583" s="13"/>
      <c r="AO583" s="13"/>
      <c r="AP583" s="13"/>
      <c r="AQ583" s="14"/>
      <c r="AR583" s="15"/>
    </row>
    <row r="584" spans="1:44" s="17" customFormat="1" ht="30.95" hidden="1" customHeight="1" x14ac:dyDescent="0.2">
      <c r="A584" s="37"/>
      <c r="B584" s="38"/>
      <c r="C584" s="45"/>
      <c r="D584" s="31">
        <v>3716247</v>
      </c>
      <c r="E584" s="31">
        <v>4151393</v>
      </c>
      <c r="F584" s="268" t="str">
        <f>IF(D584="","",VLOOKUP(D584,契約台帳!$A$3:$K$4986,6,FALSE)&amp;VLOOKUP(D584,契約台帳!$A$3:$K$4986,7,FALSE)&amp;VLOOKUP(D584,契約台帳!$A$3:$K$4986,8,FALSE)&amp;VLOOKUP(D584,契約台帳!$A$3:$K$4986,9,FALSE)&amp;VLOOKUP(D584,契約台帳!$A$3:$K$4986,11,FALSE))</f>
        <v>3SNMLBMNGKKBF</v>
      </c>
      <c r="G584" s="269" t="str">
        <f>IF(D584="","",VLOOKUP(F584,製品マスタ!$G$5:$H$5002,2,FALSE))</f>
        <v>S</v>
      </c>
      <c r="H584" s="269" t="str">
        <f>IF(D584="","",VLOOKUP(F584,製品マスタ!$G$5:$K$5002,5,FALSE))</f>
        <v>MNGKKBF</v>
      </c>
      <c r="I584" s="270" t="str">
        <f>IF(D584="","",VLOOKUP(F584,製品マスタ!$G$5:$L$5002,6,FALSE))</f>
        <v>メタルミー　ネーマー銀消改　Ｂ</v>
      </c>
      <c r="J584" s="32" t="s">
        <v>447</v>
      </c>
      <c r="K584" s="270">
        <f>IF(D584="","",VLOOKUP(D584,契約台帳!$A$3:$L$4986,12,FALSE))</f>
        <v>50</v>
      </c>
      <c r="L584" s="270" t="str">
        <f>IF(D584="","",INDEX(製品マスタ!$Q$5:$Q$5002,MATCH(F584&amp;K584,製品マスタ!$AO$5:$AO$5002,0)))</f>
        <v>S99-MAT</v>
      </c>
      <c r="M584" s="39">
        <v>1120</v>
      </c>
      <c r="N584" s="39">
        <v>8000</v>
      </c>
      <c r="O584" s="47">
        <v>1</v>
      </c>
      <c r="P584" s="57"/>
      <c r="Q584" s="276">
        <f>IF(D584="","",IF(J584="リード付け",M584,VLOOKUP(D584,契約台帳!$A$3:$N$4986,14,FALSE)))</f>
        <v>1120</v>
      </c>
      <c r="R584" s="277">
        <f>IF(D584="","",IF(J584="リード付け",M584,VLOOKUP(D584,契約台帳!$A$3:$O$4986,15,FALSE)))</f>
        <v>1120</v>
      </c>
      <c r="S584" s="277">
        <f>IF(D584="","",IF(J584="リード付け",N584,VLOOKUP(D584,契約台帳!$A$3:$P$4986,16,FALSE)))</f>
        <v>4000</v>
      </c>
      <c r="T584" s="40">
        <v>2</v>
      </c>
      <c r="U584" s="302" t="str">
        <f ca="1">IF(D584="","",IF(OFFSET(D584,-2,0)=D584,"",VLOOKUP(D584,契約台帳!$A$3:$R$4986,18,FALSE)))</f>
        <v/>
      </c>
      <c r="V584" s="269" t="str">
        <f>IF(J584="巻返し",VLOOKUP(F584&amp;K584&amp;M584,製品マスタ!$M$5:$AD$5002,18,FALSE),IF(J584="リード付け","原反コア",IF(J584="スリット",VLOOKUP(F584&amp;K584&amp;Q584,製品マスタ!$N$5:$AD$5002,17,FALSE),"")))</f>
        <v>6ｲﾝﾁSｺｱ</v>
      </c>
      <c r="W584" s="269">
        <f>IF(J584="巻返し",VLOOKUP(F584&amp;K584&amp;M584,製品マスタ!$M$5:$AE$5002,19,FALSE),IF(J584="リード付け","-",IF(J584="スリット",VLOOKUP(F584&amp;K584&amp;Q584,製品マスタ!$N$5:$AE$5002,18,FALSE),"")))</f>
        <v>1125</v>
      </c>
      <c r="X584" s="275">
        <f>IF(D584="","",VLOOKUP(D584,契約台帳!$A$3:$Q$4986,17,FALSE))</f>
        <v>2</v>
      </c>
      <c r="Y584" s="269" t="str">
        <f>IF(D584="","",VLOOKUP(D584,契約台帳!$A$3:$E$4986,5,FALSE))</f>
        <v>リンテック㈱</v>
      </c>
      <c r="Z584" s="57">
        <v>45128</v>
      </c>
      <c r="AA584" s="303">
        <f>IFERROR(VLOOKUP(F584&amp;K584&amp;M584,製品マスタ!$M$5:$AM$5002,27,FALSE),"")</f>
        <v>0</v>
      </c>
      <c r="AB584" s="33"/>
      <c r="AC584" s="189"/>
      <c r="AD584" s="54" t="str">
        <f>IF(F584="","",+F584&amp;K584)</f>
        <v>3SNMLBMNGKKBF50</v>
      </c>
      <c r="AE584" s="55">
        <f>+M584*N584*O584/1000</f>
        <v>8960</v>
      </c>
      <c r="AF584" s="43">
        <f>IF(AD584="","",VLOOKUP(AD584,原価マスタ!$A$2:$AJ$1693,13,FALSE))</f>
        <v>99</v>
      </c>
      <c r="AG584" s="47">
        <f>IF(AF584="","",+AE584*AF584/100)</f>
        <v>8870.4</v>
      </c>
      <c r="AH584" s="30"/>
      <c r="AI584" s="30"/>
      <c r="AJ584" s="30"/>
      <c r="AK584" s="30"/>
      <c r="AL584" s="13"/>
      <c r="AM584" s="13"/>
      <c r="AN584" s="13"/>
      <c r="AO584" s="13"/>
      <c r="AP584" s="13"/>
      <c r="AQ584" s="14"/>
      <c r="AR584" s="15"/>
    </row>
    <row r="585" spans="1:44" s="17" customFormat="1" ht="30.95" hidden="1" customHeight="1" x14ac:dyDescent="0.2">
      <c r="A585" s="37"/>
      <c r="B585" s="38"/>
      <c r="C585" s="45"/>
      <c r="D585" s="31"/>
      <c r="E585" s="31"/>
      <c r="F585" s="268"/>
      <c r="G585" s="269"/>
      <c r="H585" s="269"/>
      <c r="I585" s="270"/>
      <c r="J585" s="32"/>
      <c r="K585" s="270"/>
      <c r="L585" s="270"/>
      <c r="M585" s="39"/>
      <c r="N585" s="39"/>
      <c r="O585" s="47"/>
      <c r="P585" s="57"/>
      <c r="Q585" s="276"/>
      <c r="R585" s="277"/>
      <c r="S585" s="277"/>
      <c r="T585" s="40"/>
      <c r="U585" s="278"/>
      <c r="V585" s="269"/>
      <c r="W585" s="269"/>
      <c r="X585" s="275"/>
      <c r="Y585" s="269"/>
      <c r="Z585" s="57"/>
      <c r="AA585" s="207"/>
      <c r="AB585" s="33"/>
      <c r="AC585" s="189"/>
      <c r="AD585" s="54"/>
      <c r="AE585" s="55"/>
      <c r="AF585" s="43"/>
      <c r="AG585" s="47"/>
      <c r="AH585" s="30"/>
      <c r="AI585" s="30"/>
      <c r="AJ585" s="30"/>
      <c r="AK585" s="30"/>
      <c r="AL585" s="13"/>
      <c r="AM585" s="13"/>
      <c r="AN585" s="13"/>
      <c r="AO585" s="13"/>
      <c r="AP585" s="13"/>
      <c r="AQ585" s="14"/>
      <c r="AR585" s="15"/>
    </row>
    <row r="586" spans="1:44" s="17" customFormat="1" ht="30.95" hidden="1" customHeight="1" x14ac:dyDescent="0.2">
      <c r="A586" s="37"/>
      <c r="B586" s="38"/>
      <c r="C586" s="45"/>
      <c r="D586" s="31">
        <v>3716272</v>
      </c>
      <c r="E586" s="31">
        <v>4151404</v>
      </c>
      <c r="F586" s="268" t="str">
        <f>IF(D586="","",VLOOKUP(D586,契約台帳!$A$3:$K$4986,6,FALSE)&amp;VLOOKUP(D586,契約台帳!$A$3:$K$4986,7,FALSE)&amp;VLOOKUP(D586,契約台帳!$A$3:$K$4986,8,FALSE)&amp;VLOOKUP(D586,契約台帳!$A$3:$K$4986,9,FALSE)&amp;VLOOKUP(D586,契約台帳!$A$3:$K$4986,11,FALSE))</f>
        <v>3SYMLBMSNMBF</v>
      </c>
      <c r="G586" s="269" t="str">
        <f>IF(D586="","",VLOOKUP(F586,製品マスタ!$G$5:$H$5002,2,FALSE))</f>
        <v>S</v>
      </c>
      <c r="H586" s="269" t="str">
        <f>IF(D586="","",VLOOKUP(F586,製品マスタ!$G$5:$K$5002,5,FALSE))</f>
        <v>MSNMBF</v>
      </c>
      <c r="I586" s="270" t="str">
        <f>IF(D586="","",VLOOKUP(F586,製品マスタ!$G$5:$L$5002,6,FALSE))</f>
        <v>ＭＥＴＡＬＵＭＹ　ＳＩＬＶＥＲ　Ｎ－ＭＡＴＴＥ　Ｘ４４Ｍ　Ｂ</v>
      </c>
      <c r="J586" s="32" t="s">
        <v>447</v>
      </c>
      <c r="K586" s="270">
        <f>IF(D586="","",VLOOKUP(D586,契約台帳!$A$3:$L$4986,12,FALSE))</f>
        <v>50</v>
      </c>
      <c r="L586" s="270" t="str">
        <f>IF(D586="","",INDEX(製品マスタ!$Q$5:$Q$5002,MATCH(F586&amp;K586,製品マスタ!$AO$5:$AO$5002,0)))</f>
        <v>X44</v>
      </c>
      <c r="M586" s="39">
        <v>1120</v>
      </c>
      <c r="N586" s="39">
        <v>12000</v>
      </c>
      <c r="O586" s="47">
        <v>1</v>
      </c>
      <c r="P586" s="57"/>
      <c r="Q586" s="276">
        <f>IF(D586="","",IF(J586="リード付け",M586,VLOOKUP(D586,契約台帳!$A$3:$N$4986,14,FALSE)))</f>
        <v>1120</v>
      </c>
      <c r="R586" s="277">
        <f>IF(D586="","",IF(J586="リード付け",M586,VLOOKUP(D586,契約台帳!$A$3:$O$4986,15,FALSE)))</f>
        <v>1120</v>
      </c>
      <c r="S586" s="277">
        <f>IF(D586="","",IF(J586="リード付け",N586,VLOOKUP(D586,契約台帳!$A$3:$P$4986,16,FALSE)))</f>
        <v>4000</v>
      </c>
      <c r="T586" s="40">
        <v>3</v>
      </c>
      <c r="U586" s="302">
        <f ca="1">IF(D586="","",IF(OFFSET(D586,-2,0)=D586,"",VLOOKUP(D586,契約台帳!$A$3:$R$4986,18,FALSE)))</f>
        <v>4</v>
      </c>
      <c r="V586" s="269" t="str">
        <f>IF(J586="巻返し",VLOOKUP(F586&amp;K586&amp;M586,製品マスタ!$M$5:$AD$5002,18,FALSE),IF(J586="リード付け","原反コア",IF(J586="スリット",VLOOKUP(F586&amp;K586&amp;Q586,製品マスタ!$N$5:$AD$5002,17,FALSE),"")))</f>
        <v>6ｲﾝﾁMｺｱ</v>
      </c>
      <c r="W586" s="269">
        <f>IF(J586="巻返し",VLOOKUP(F586&amp;K586&amp;M586,製品マスタ!$M$5:$AE$5002,19,FALSE),IF(J586="リード付け","-",IF(J586="スリット",VLOOKUP(F586&amp;K586&amp;Q586,製品マスタ!$N$5:$AE$5002,18,FALSE),"")))</f>
        <v>1125</v>
      </c>
      <c r="X586" s="275">
        <f>IF(D586="","",VLOOKUP(D586,契約台帳!$A$3:$Q$4986,17,FALSE))</f>
        <v>2</v>
      </c>
      <c r="Y586" s="269" t="str">
        <f>IF(D586="","",VLOOKUP(D586,契約台帳!$A$3:$E$4986,5,FALSE))</f>
        <v>リンテック㈱</v>
      </c>
      <c r="Z586" s="57">
        <v>45128</v>
      </c>
      <c r="AA586" s="303">
        <f>IFERROR(VLOOKUP(F586&amp;K586&amp;M586,製品マスタ!$M$5:$AM$5002,27,FALSE),"")</f>
        <v>0</v>
      </c>
      <c r="AB586" s="33"/>
      <c r="AC586" s="189"/>
      <c r="AD586" s="54" t="str">
        <f>IF(F586="","",+F586&amp;K586)</f>
        <v>3SYMLBMSNMBF50</v>
      </c>
      <c r="AE586" s="55">
        <f>+M586*N586*O586/1000</f>
        <v>13440</v>
      </c>
      <c r="AF586" s="43">
        <f>IF(AD586="","",VLOOKUP(AD586,原価マスタ!$A$2:$AJ$1693,13,FALSE))</f>
        <v>98.8</v>
      </c>
      <c r="AG586" s="47">
        <f>IF(AF586="","",+AE586*AF586/100)</f>
        <v>13278.72</v>
      </c>
      <c r="AH586" s="30"/>
      <c r="AI586" s="30"/>
      <c r="AJ586" s="30"/>
      <c r="AK586" s="30"/>
      <c r="AL586" s="13"/>
      <c r="AM586" s="13"/>
      <c r="AN586" s="13"/>
      <c r="AO586" s="13"/>
      <c r="AP586" s="13"/>
      <c r="AQ586" s="14"/>
      <c r="AR586" s="15"/>
    </row>
    <row r="587" spans="1:44" s="17" customFormat="1" ht="30.95" hidden="1" customHeight="1" x14ac:dyDescent="0.2">
      <c r="A587" s="37"/>
      <c r="B587" s="38"/>
      <c r="C587" s="45"/>
      <c r="D587" s="31"/>
      <c r="E587" s="31"/>
      <c r="F587" s="268"/>
      <c r="G587" s="269"/>
      <c r="H587" s="269"/>
      <c r="I587" s="270"/>
      <c r="J587" s="32"/>
      <c r="K587" s="270"/>
      <c r="L587" s="270"/>
      <c r="M587" s="39"/>
      <c r="N587" s="39"/>
      <c r="O587" s="47"/>
      <c r="P587" s="57"/>
      <c r="Q587" s="276"/>
      <c r="R587" s="277"/>
      <c r="S587" s="277"/>
      <c r="T587" s="40"/>
      <c r="U587" s="278"/>
      <c r="V587" s="269"/>
      <c r="W587" s="269"/>
      <c r="X587" s="275"/>
      <c r="Y587" s="269"/>
      <c r="Z587" s="57"/>
      <c r="AA587" s="207"/>
      <c r="AB587" s="33"/>
      <c r="AC587" s="189"/>
      <c r="AD587" s="54"/>
      <c r="AE587" s="55"/>
      <c r="AF587" s="43"/>
      <c r="AG587" s="47"/>
      <c r="AH587" s="30"/>
      <c r="AI587" s="30"/>
      <c r="AJ587" s="30"/>
      <c r="AK587" s="30"/>
      <c r="AL587" s="13"/>
      <c r="AM587" s="13"/>
      <c r="AN587" s="13"/>
      <c r="AO587" s="13"/>
      <c r="AP587" s="13"/>
      <c r="AQ587" s="14"/>
      <c r="AR587" s="15"/>
    </row>
    <row r="588" spans="1:44" s="17" customFormat="1" ht="30.95" hidden="1" customHeight="1" x14ac:dyDescent="0.2">
      <c r="A588" s="37" t="s">
        <v>1331</v>
      </c>
      <c r="B588" s="38" t="s">
        <v>1332</v>
      </c>
      <c r="C588" s="45"/>
      <c r="D588" s="31">
        <v>3716272</v>
      </c>
      <c r="E588" s="31">
        <v>4151404</v>
      </c>
      <c r="F588" s="268" t="str">
        <f>IF(D588="","",VLOOKUP(D588,契約台帳!$A$3:$K$4986,6,FALSE)&amp;VLOOKUP(D588,契約台帳!$A$3:$K$4986,7,FALSE)&amp;VLOOKUP(D588,契約台帳!$A$3:$K$4986,8,FALSE)&amp;VLOOKUP(D588,契約台帳!$A$3:$K$4986,9,FALSE)&amp;VLOOKUP(D588,契約台帳!$A$3:$K$4986,11,FALSE))</f>
        <v>3SYMLBMSNMBF</v>
      </c>
      <c r="G588" s="269" t="str">
        <f>IF(D588="","",VLOOKUP(F588,製品マスタ!$G$5:$H$5002,2,FALSE))</f>
        <v>S</v>
      </c>
      <c r="H588" s="269" t="str">
        <f>IF(D588="","",VLOOKUP(F588,製品マスタ!$G$5:$K$5002,5,FALSE))</f>
        <v>MSNMBF</v>
      </c>
      <c r="I588" s="270" t="str">
        <f>IF(D588="","",VLOOKUP(F588,製品マスタ!$G$5:$L$5002,6,FALSE))</f>
        <v>ＭＥＴＡＬＵＭＹ　ＳＩＬＶＥＲ　Ｎ－ＭＡＴＴＥ　Ｘ４４Ｍ　Ｂ</v>
      </c>
      <c r="J588" s="32" t="s">
        <v>447</v>
      </c>
      <c r="K588" s="270">
        <f>IF(D588="","",VLOOKUP(D588,契約台帳!$A$3:$L$4986,12,FALSE))</f>
        <v>50</v>
      </c>
      <c r="L588" s="270" t="str">
        <f>IF(D588="","",INDEX(製品マスタ!$Q$5:$Q$5002,MATCH(F588&amp;K588,製品マスタ!$AO$5:$AO$5002,0)))</f>
        <v>X44</v>
      </c>
      <c r="M588" s="39">
        <v>1120</v>
      </c>
      <c r="N588" s="39">
        <v>12000</v>
      </c>
      <c r="O588" s="47">
        <v>1</v>
      </c>
      <c r="P588" s="57"/>
      <c r="Q588" s="276">
        <f>IF(D588="","",IF(J588="リード付け",M588,VLOOKUP(D588,契約台帳!$A$3:$N$4986,14,FALSE)))</f>
        <v>1120</v>
      </c>
      <c r="R588" s="277">
        <f>IF(D588="","",IF(J588="リード付け",M588,VLOOKUP(D588,契約台帳!$A$3:$O$4986,15,FALSE)))</f>
        <v>1120</v>
      </c>
      <c r="S588" s="277">
        <f>IF(D588="","",IF(J588="リード付け",N588,VLOOKUP(D588,契約台帳!$A$3:$P$4986,16,FALSE)))</f>
        <v>4000</v>
      </c>
      <c r="T588" s="40">
        <v>1</v>
      </c>
      <c r="U588" s="302" t="str">
        <f ca="1">IF(D588="","",IF(OFFSET(D588,-2,0)=D588,"",VLOOKUP(D588,契約台帳!$A$3:$R$4986,18,FALSE)))</f>
        <v/>
      </c>
      <c r="V588" s="269" t="str">
        <f>IF(J588="巻返し",VLOOKUP(F588&amp;K588&amp;M588,製品マスタ!$M$5:$AD$5002,18,FALSE),IF(J588="リード付け","原反コア",IF(J588="スリット",VLOOKUP(F588&amp;K588&amp;Q588,製品マスタ!$N$5:$AD$5002,17,FALSE),"")))</f>
        <v>6ｲﾝﾁMｺｱ</v>
      </c>
      <c r="W588" s="269">
        <f>IF(J588="巻返し",VLOOKUP(F588&amp;K588&amp;M588,製品マスタ!$M$5:$AE$5002,19,FALSE),IF(J588="リード付け","-",IF(J588="スリット",VLOOKUP(F588&amp;K588&amp;Q588,製品マスタ!$N$5:$AE$5002,18,FALSE),"")))</f>
        <v>1125</v>
      </c>
      <c r="X588" s="275">
        <f>IF(D588="","",VLOOKUP(D588,契約台帳!$A$3:$Q$4986,17,FALSE))</f>
        <v>2</v>
      </c>
      <c r="Y588" s="269" t="str">
        <f>IF(D588="","",VLOOKUP(D588,契約台帳!$A$3:$E$4986,5,FALSE))</f>
        <v>リンテック㈱</v>
      </c>
      <c r="Z588" s="57">
        <v>45132</v>
      </c>
      <c r="AA588" s="303">
        <f>IFERROR(VLOOKUP(F588&amp;K588&amp;M588,製品マスタ!$M$5:$AM$5002,27,FALSE),"")</f>
        <v>0</v>
      </c>
      <c r="AB588" s="33"/>
      <c r="AC588" s="189"/>
      <c r="AD588" s="54" t="str">
        <f>IF(F588="","",+F588&amp;K588)</f>
        <v>3SYMLBMSNMBF50</v>
      </c>
      <c r="AE588" s="55">
        <f>+M588*N588*O588/1000</f>
        <v>13440</v>
      </c>
      <c r="AF588" s="43">
        <f>IF(AD588="","",VLOOKUP(AD588,原価マスタ!$A$2:$AJ$1693,13,FALSE))</f>
        <v>98.8</v>
      </c>
      <c r="AG588" s="47">
        <f>IF(AF588="","",+AE588*AF588/100)</f>
        <v>13278.72</v>
      </c>
      <c r="AH588" s="30"/>
      <c r="AI588" s="30"/>
      <c r="AJ588" s="30"/>
      <c r="AK588" s="30"/>
      <c r="AL588" s="13"/>
      <c r="AM588" s="13"/>
      <c r="AN588" s="13"/>
      <c r="AO588" s="13"/>
      <c r="AP588" s="13"/>
      <c r="AQ588" s="14"/>
      <c r="AR588" s="15"/>
    </row>
    <row r="589" spans="1:44" s="17" customFormat="1" ht="30.95" hidden="1" customHeight="1" x14ac:dyDescent="0.2">
      <c r="A589" s="37"/>
      <c r="B589" s="38"/>
      <c r="C589" s="45"/>
      <c r="D589" s="31">
        <v>3716273</v>
      </c>
      <c r="E589" s="31"/>
      <c r="F589" s="268" t="str">
        <f>IF(D589="","",VLOOKUP(D589,契約台帳!$A$3:$K$4986,6,FALSE)&amp;VLOOKUP(D589,契約台帳!$A$3:$K$4986,7,FALSE)&amp;VLOOKUP(D589,契約台帳!$A$3:$K$4986,8,FALSE)&amp;VLOOKUP(D589,契約台帳!$A$3:$K$4986,9,FALSE)&amp;VLOOKUP(D589,契約台帳!$A$3:$K$4986,11,FALSE))</f>
        <v>3SYMLBMSNMBF</v>
      </c>
      <c r="G589" s="269" t="str">
        <f>IF(D589="","",VLOOKUP(F589,製品マスタ!$G$5:$H$5002,2,FALSE))</f>
        <v>S</v>
      </c>
      <c r="H589" s="269" t="str">
        <f>IF(D589="","",VLOOKUP(F589,製品マスタ!$G$5:$K$5002,5,FALSE))</f>
        <v>MSNMBF</v>
      </c>
      <c r="I589" s="270" t="str">
        <f>IF(D589="","",VLOOKUP(F589,製品マスタ!$G$5:$L$5002,6,FALSE))</f>
        <v>ＭＥＴＡＬＵＭＹ　ＳＩＬＶＥＲ　Ｎ－ＭＡＴＴＥ　Ｘ４４Ｍ　Ｂ</v>
      </c>
      <c r="J589" s="32" t="s">
        <v>447</v>
      </c>
      <c r="K589" s="270">
        <f>IF(D589="","",VLOOKUP(D589,契約台帳!$A$3:$L$4986,12,FALSE))</f>
        <v>50</v>
      </c>
      <c r="L589" s="270" t="str">
        <f>IF(D589="","",INDEX(製品マスタ!$Q$5:$Q$5002,MATCH(F589&amp;K589,製品マスタ!$AO$5:$AO$5002,0)))</f>
        <v>X44</v>
      </c>
      <c r="M589" s="39">
        <v>1120</v>
      </c>
      <c r="N589" s="39"/>
      <c r="O589" s="47"/>
      <c r="P589" s="57"/>
      <c r="Q589" s="276">
        <f>IF(D589="","",IF(J589="リード付け",M589,VLOOKUP(D589,契約台帳!$A$3:$N$4986,14,FALSE)))</f>
        <v>1120</v>
      </c>
      <c r="R589" s="277">
        <f>IF(D589="","",IF(J589="リード付け",M589,VLOOKUP(D589,契約台帳!$A$3:$O$4986,15,FALSE)))</f>
        <v>1120</v>
      </c>
      <c r="S589" s="277">
        <f>IF(D589="","",IF(J589="リード付け",N589,VLOOKUP(D589,契約台帳!$A$3:$P$4986,16,FALSE)))</f>
        <v>4000</v>
      </c>
      <c r="T589" s="40">
        <v>2</v>
      </c>
      <c r="U589" s="302">
        <f ca="1">IF(D589="","",IF(OFFSET(D589,-2,0)=D589,"",VLOOKUP(D589,契約台帳!$A$3:$R$4986,18,FALSE)))</f>
        <v>5</v>
      </c>
      <c r="V589" s="269" t="str">
        <f>IF(J589="巻返し",VLOOKUP(F589&amp;K589&amp;M589,製品マスタ!$M$5:$AD$5002,18,FALSE),IF(J589="リード付け","原反コア",IF(J589="スリット",VLOOKUP(F589&amp;K589&amp;Q589,製品マスタ!$N$5:$AD$5002,17,FALSE),"")))</f>
        <v>6ｲﾝﾁMｺｱ</v>
      </c>
      <c r="W589" s="269">
        <f>IF(J589="巻返し",VLOOKUP(F589&amp;K589&amp;M589,製品マスタ!$M$5:$AE$5002,19,FALSE),IF(J589="リード付け","-",IF(J589="スリット",VLOOKUP(F589&amp;K589&amp;Q589,製品マスタ!$N$5:$AE$5002,18,FALSE),"")))</f>
        <v>1125</v>
      </c>
      <c r="X589" s="275">
        <f>IF(D589="","",VLOOKUP(D589,契約台帳!$A$3:$Q$4986,17,FALSE))</f>
        <v>2</v>
      </c>
      <c r="Y589" s="269" t="str">
        <f>IF(D589="","",VLOOKUP(D589,契約台帳!$A$3:$E$4986,5,FALSE))</f>
        <v>リンテック㈱</v>
      </c>
      <c r="Z589" s="57"/>
      <c r="AA589" s="303">
        <f>IFERROR(VLOOKUP(F589&amp;K589&amp;M589,製品マスタ!$M$5:$AM$5002,27,FALSE),"")</f>
        <v>0</v>
      </c>
      <c r="AB589" s="33"/>
      <c r="AC589" s="189"/>
      <c r="AD589" s="54"/>
      <c r="AE589" s="55"/>
      <c r="AF589" s="43"/>
      <c r="AG589" s="47" t="str">
        <f>IF(AF589="","",+AE589*AF589/100)</f>
        <v/>
      </c>
      <c r="AH589" s="30"/>
      <c r="AI589" s="30"/>
      <c r="AJ589" s="30"/>
      <c r="AK589" s="30"/>
      <c r="AL589" s="13"/>
      <c r="AM589" s="13"/>
      <c r="AN589" s="13"/>
      <c r="AO589" s="13"/>
      <c r="AP589" s="13"/>
      <c r="AQ589" s="14"/>
      <c r="AR589" s="15"/>
    </row>
    <row r="590" spans="1:44" s="17" customFormat="1" ht="30.95" hidden="1" customHeight="1" x14ac:dyDescent="0.2">
      <c r="A590" s="37"/>
      <c r="B590" s="38"/>
      <c r="C590" s="45"/>
      <c r="D590" s="31"/>
      <c r="E590" s="31"/>
      <c r="F590" s="268"/>
      <c r="G590" s="269"/>
      <c r="H590" s="269"/>
      <c r="I590" s="270"/>
      <c r="J590" s="32"/>
      <c r="K590" s="270"/>
      <c r="L590" s="270"/>
      <c r="M590" s="39"/>
      <c r="N590" s="39"/>
      <c r="O590" s="47"/>
      <c r="P590" s="57"/>
      <c r="Q590" s="276"/>
      <c r="R590" s="277"/>
      <c r="S590" s="277"/>
      <c r="T590" s="40"/>
      <c r="U590" s="278"/>
      <c r="V590" s="269"/>
      <c r="W590" s="269"/>
      <c r="X590" s="275"/>
      <c r="Y590" s="269"/>
      <c r="Z590" s="57"/>
      <c r="AA590" s="207"/>
      <c r="AB590" s="33"/>
      <c r="AC590" s="189"/>
      <c r="AD590" s="54"/>
      <c r="AE590" s="55"/>
      <c r="AF590" s="43"/>
      <c r="AG590" s="47"/>
      <c r="AH590" s="30"/>
      <c r="AI590" s="30"/>
      <c r="AJ590" s="30"/>
      <c r="AK590" s="30"/>
      <c r="AL590" s="13"/>
      <c r="AM590" s="13"/>
      <c r="AN590" s="13"/>
      <c r="AO590" s="13"/>
      <c r="AP590" s="13"/>
      <c r="AQ590" s="14"/>
      <c r="AR590" s="15"/>
    </row>
    <row r="591" spans="1:44" s="17" customFormat="1" ht="30.95" hidden="1" customHeight="1" x14ac:dyDescent="0.2">
      <c r="A591" s="37"/>
      <c r="B591" s="38"/>
      <c r="C591" s="45"/>
      <c r="D591" s="31">
        <v>3716273</v>
      </c>
      <c r="E591" s="31">
        <v>4151405</v>
      </c>
      <c r="F591" s="268" t="str">
        <f>IF(D591="","",VLOOKUP(D591,契約台帳!$A$3:$K$4986,6,FALSE)&amp;VLOOKUP(D591,契約台帳!$A$3:$K$4986,7,FALSE)&amp;VLOOKUP(D591,契約台帳!$A$3:$K$4986,8,FALSE)&amp;VLOOKUP(D591,契約台帳!$A$3:$K$4986,9,FALSE)&amp;VLOOKUP(D591,契約台帳!$A$3:$K$4986,11,FALSE))</f>
        <v>3SYMLBMSNMBF</v>
      </c>
      <c r="G591" s="269" t="str">
        <f>IF(D591="","",VLOOKUP(F591,製品マスタ!$G$5:$H$5002,2,FALSE))</f>
        <v>S</v>
      </c>
      <c r="H591" s="269" t="str">
        <f>IF(D591="","",VLOOKUP(F591,製品マスタ!$G$5:$K$5002,5,FALSE))</f>
        <v>MSNMBF</v>
      </c>
      <c r="I591" s="270" t="str">
        <f>IF(D591="","",VLOOKUP(F591,製品マスタ!$G$5:$L$5002,6,FALSE))</f>
        <v>ＭＥＴＡＬＵＭＹ　ＳＩＬＶＥＲ　Ｎ－ＭＡＴＴＥ　Ｘ４４Ｍ　Ｂ</v>
      </c>
      <c r="J591" s="32" t="s">
        <v>447</v>
      </c>
      <c r="K591" s="270">
        <f>IF(D591="","",VLOOKUP(D591,契約台帳!$A$3:$L$4986,12,FALSE))</f>
        <v>50</v>
      </c>
      <c r="L591" s="270" t="str">
        <f>IF(D591="","",INDEX(製品マスタ!$Q$5:$Q$5002,MATCH(F591&amp;K591,製品マスタ!$AO$5:$AO$5002,0)))</f>
        <v>X44</v>
      </c>
      <c r="M591" s="39">
        <v>1120</v>
      </c>
      <c r="N591" s="39">
        <v>12000</v>
      </c>
      <c r="O591" s="47">
        <v>1</v>
      </c>
      <c r="P591" s="57"/>
      <c r="Q591" s="276">
        <f>IF(D591="","",IF(J591="リード付け",M591,VLOOKUP(D591,契約台帳!$A$3:$N$4986,14,FALSE)))</f>
        <v>1120</v>
      </c>
      <c r="R591" s="277">
        <f>IF(D591="","",IF(J591="リード付け",M591,VLOOKUP(D591,契約台帳!$A$3:$O$4986,15,FALSE)))</f>
        <v>1120</v>
      </c>
      <c r="S591" s="277">
        <f>IF(D591="","",IF(J591="リード付け",N591,VLOOKUP(D591,契約台帳!$A$3:$P$4986,16,FALSE)))</f>
        <v>4000</v>
      </c>
      <c r="T591" s="40">
        <v>3</v>
      </c>
      <c r="U591" s="302" t="str">
        <f ca="1">IF(D591="","",IF(OFFSET(D591,-2,0)=D591,"",VLOOKUP(D591,契約台帳!$A$3:$R$4986,18,FALSE)))</f>
        <v/>
      </c>
      <c r="V591" s="269" t="str">
        <f>IF(J591="巻返し",VLOOKUP(F591&amp;K591&amp;M591,製品マスタ!$M$5:$AD$5002,18,FALSE),IF(J591="リード付け","原反コア",IF(J591="スリット",VLOOKUP(F591&amp;K591&amp;Q591,製品マスタ!$N$5:$AD$5002,17,FALSE),"")))</f>
        <v>6ｲﾝﾁMｺｱ</v>
      </c>
      <c r="W591" s="269">
        <f>IF(J591="巻返し",VLOOKUP(F591&amp;K591&amp;M591,製品マスタ!$M$5:$AE$5002,19,FALSE),IF(J591="リード付け","-",IF(J591="スリット",VLOOKUP(F591&amp;K591&amp;Q591,製品マスタ!$N$5:$AE$5002,18,FALSE),"")))</f>
        <v>1125</v>
      </c>
      <c r="X591" s="275">
        <f>IF(D591="","",VLOOKUP(D591,契約台帳!$A$3:$Q$4986,17,FALSE))</f>
        <v>2</v>
      </c>
      <c r="Y591" s="269" t="str">
        <f>IF(D591="","",VLOOKUP(D591,契約台帳!$A$3:$E$4986,5,FALSE))</f>
        <v>リンテック㈱</v>
      </c>
      <c r="Z591" s="57">
        <v>45132</v>
      </c>
      <c r="AA591" s="303">
        <f>IFERROR(VLOOKUP(F591&amp;K591&amp;M591,製品マスタ!$M$5:$AM$5002,27,FALSE),"")</f>
        <v>0</v>
      </c>
      <c r="AB591" s="33"/>
      <c r="AC591" s="189"/>
      <c r="AD591" s="54" t="str">
        <f>IF(F591="","",+F591&amp;K591)</f>
        <v>3SYMLBMSNMBF50</v>
      </c>
      <c r="AE591" s="55">
        <f>+M591*N591*O591/1000</f>
        <v>13440</v>
      </c>
      <c r="AF591" s="43">
        <f>IF(AD591="","",VLOOKUP(AD591,原価マスタ!$A$2:$AJ$1693,13,FALSE))</f>
        <v>98.8</v>
      </c>
      <c r="AG591" s="47">
        <f>IF(AF591="","",+AE591*AF591/100)</f>
        <v>13278.72</v>
      </c>
      <c r="AH591" s="30"/>
      <c r="AI591" s="30"/>
      <c r="AJ591" s="30"/>
      <c r="AK591" s="30"/>
      <c r="AL591" s="13"/>
      <c r="AM591" s="13"/>
      <c r="AN591" s="13"/>
      <c r="AO591" s="13"/>
      <c r="AP591" s="13"/>
      <c r="AQ591" s="14"/>
      <c r="AR591" s="15"/>
    </row>
    <row r="592" spans="1:44" s="17" customFormat="1" ht="30.95" hidden="1" customHeight="1" x14ac:dyDescent="0.2">
      <c r="A592" s="37"/>
      <c r="B592" s="38"/>
      <c r="C592" s="45"/>
      <c r="D592" s="31"/>
      <c r="E592" s="31"/>
      <c r="F592" s="268"/>
      <c r="G592" s="269"/>
      <c r="H592" s="269"/>
      <c r="I592" s="270"/>
      <c r="J592" s="32"/>
      <c r="K592" s="270"/>
      <c r="L592" s="270"/>
      <c r="M592" s="39"/>
      <c r="N592" s="39"/>
      <c r="O592" s="47"/>
      <c r="P592" s="57"/>
      <c r="Q592" s="276"/>
      <c r="R592" s="277"/>
      <c r="S592" s="277"/>
      <c r="T592" s="40"/>
      <c r="U592" s="278"/>
      <c r="V592" s="269"/>
      <c r="W592" s="269"/>
      <c r="X592" s="275"/>
      <c r="Y592" s="269"/>
      <c r="Z592" s="57"/>
      <c r="AA592" s="207"/>
      <c r="AB592" s="33"/>
      <c r="AC592" s="189"/>
      <c r="AD592" s="54"/>
      <c r="AE592" s="55"/>
      <c r="AF592" s="43"/>
      <c r="AG592" s="47"/>
      <c r="AH592" s="30"/>
      <c r="AI592" s="30"/>
      <c r="AJ592" s="30"/>
      <c r="AK592" s="30"/>
      <c r="AL592" s="13"/>
      <c r="AM592" s="13"/>
      <c r="AN592" s="13"/>
      <c r="AO592" s="13"/>
      <c r="AP592" s="13"/>
      <c r="AQ592" s="14"/>
      <c r="AR592" s="15"/>
    </row>
    <row r="593" spans="1:44" s="17" customFormat="1" ht="30.95" hidden="1" customHeight="1" x14ac:dyDescent="0.2">
      <c r="A593" s="37"/>
      <c r="B593" s="38"/>
      <c r="C593" s="45"/>
      <c r="D593" s="31">
        <v>3716268</v>
      </c>
      <c r="E593" s="31">
        <v>4151414</v>
      </c>
      <c r="F593" s="268" t="str">
        <f>IF(D593="","",VLOOKUP(D593,契約台帳!$A$3:$K$4986,6,FALSE)&amp;VLOOKUP(D593,契約台帳!$A$3:$K$4986,7,FALSE)&amp;VLOOKUP(D593,契約台帳!$A$3:$K$4986,8,FALSE)&amp;VLOOKUP(D593,契約台帳!$A$3:$K$4986,9,FALSE)&amp;VLOOKUP(D593,契約台帳!$A$3:$K$4986,11,FALSE))</f>
        <v>3SNMLBMNQR66F</v>
      </c>
      <c r="G593" s="269" t="str">
        <f>IF(D593="","",VLOOKUP(F593,製品マスタ!$G$5:$H$5002,2,FALSE))</f>
        <v>S</v>
      </c>
      <c r="H593" s="269" t="str">
        <f>IF(D593="","",VLOOKUP(F593,製品マスタ!$G$5:$K$5002,5,FALSE))</f>
        <v>MNQR66F</v>
      </c>
      <c r="I593" s="270" t="str">
        <f>IF(D593="","",VLOOKUP(F593,製品マスタ!$G$5:$L$5002,6,FALSE))</f>
        <v>ＱＲ６６蒸着品</v>
      </c>
      <c r="J593" s="32" t="s">
        <v>447</v>
      </c>
      <c r="K593" s="270">
        <f>IF(D593="","",VLOOKUP(D593,契約台帳!$A$3:$L$4986,12,FALSE))</f>
        <v>25</v>
      </c>
      <c r="L593" s="270" t="str">
        <f>IF(D593="","",INDEX(製品マスタ!$Q$5:$Q$5002,MATCH(F593&amp;K593,製品マスタ!$AO$5:$AO$5002,0)))</f>
        <v>E315</v>
      </c>
      <c r="M593" s="39">
        <v>1100</v>
      </c>
      <c r="N593" s="39">
        <v>24000</v>
      </c>
      <c r="O593" s="47">
        <v>2</v>
      </c>
      <c r="P593" s="57"/>
      <c r="Q593" s="276">
        <f>IF(D593="","",IF(J593="リード付け",M593,VLOOKUP(D593,契約台帳!$A$3:$N$4986,14,FALSE)))</f>
        <v>1100</v>
      </c>
      <c r="R593" s="277">
        <f>IF(D593="","",IF(J593="リード付け",M593,VLOOKUP(D593,契約台帳!$A$3:$O$4986,15,FALSE)))</f>
        <v>1100</v>
      </c>
      <c r="S593" s="277">
        <f>IF(D593="","",IF(J593="リード付け",N593,VLOOKUP(D593,契約台帳!$A$3:$P$4986,16,FALSE)))</f>
        <v>6000</v>
      </c>
      <c r="T593" s="40">
        <v>8</v>
      </c>
      <c r="U593" s="302">
        <f ca="1">IF(D593="","",IF(OFFSET(D593,-2,0)=D593,"",VLOOKUP(D593,契約台帳!$A$3:$R$4986,18,FALSE)))</f>
        <v>8</v>
      </c>
      <c r="V593" s="269" t="str">
        <f>IF(J593="巻返し",VLOOKUP(F593&amp;K593&amp;M593,製品マスタ!$M$5:$AD$5002,18,FALSE),IF(J593="リード付け","原反コア",IF(J593="スリット",VLOOKUP(F593&amp;K593&amp;Q593,製品マスタ!$N$5:$AD$5002,17,FALSE),"")))</f>
        <v>6ｲﾝﾁMｺｱ</v>
      </c>
      <c r="W593" s="269">
        <f>IF(J593="巻返し",VLOOKUP(F593&amp;K593&amp;M593,製品マスタ!$M$5:$AE$5002,19,FALSE),IF(J593="リード付け","-",IF(J593="スリット",VLOOKUP(F593&amp;K593&amp;Q593,製品マスタ!$N$5:$AE$5002,18,FALSE),"")))</f>
        <v>1110</v>
      </c>
      <c r="X593" s="275">
        <f>IF(D593="","",VLOOKUP(D593,契約台帳!$A$3:$Q$4986,17,FALSE))</f>
        <v>2</v>
      </c>
      <c r="Y593" s="269" t="str">
        <f>IF(D593="","",VLOOKUP(D593,契約台帳!$A$3:$E$4986,5,FALSE))</f>
        <v>リンテック㈱</v>
      </c>
      <c r="Z593" s="57">
        <v>45132</v>
      </c>
      <c r="AA593" s="303" t="str">
        <f>IFERROR(VLOOKUP(F593&amp;K593&amp;M593,製品マスタ!$M$5:$AM$5002,27,FALSE),"")</f>
        <v>原反ケース再利用</v>
      </c>
      <c r="AB593" s="33"/>
      <c r="AC593" s="189"/>
      <c r="AD593" s="54" t="str">
        <f>IF(F593="","",+F593&amp;K593)</f>
        <v>3SNMLBMNQR66F25</v>
      </c>
      <c r="AE593" s="55">
        <f>+M593*N593*O593/1000</f>
        <v>52800</v>
      </c>
      <c r="AF593" s="43">
        <f>IF(AD593="","",VLOOKUP(AD593,原価マスタ!$A$2:$AJ$1693,13,FALSE))</f>
        <v>98</v>
      </c>
      <c r="AG593" s="47">
        <f>IF(AF593="","",+AE593*AF593/100)</f>
        <v>51744</v>
      </c>
      <c r="AH593" s="30"/>
      <c r="AI593" s="30"/>
      <c r="AJ593" s="30"/>
      <c r="AK593" s="30"/>
      <c r="AL593" s="13"/>
      <c r="AM593" s="13"/>
      <c r="AN593" s="13"/>
      <c r="AO593" s="13"/>
      <c r="AP593" s="13"/>
      <c r="AQ593" s="14"/>
      <c r="AR593" s="15"/>
    </row>
    <row r="594" spans="1:44" s="17" customFormat="1" ht="30.95" hidden="1" customHeight="1" x14ac:dyDescent="0.2">
      <c r="A594" s="37"/>
      <c r="B594" s="38"/>
      <c r="C594" s="45"/>
      <c r="D594" s="31"/>
      <c r="E594" s="31"/>
      <c r="F594" s="268"/>
      <c r="G594" s="269"/>
      <c r="H594" s="269"/>
      <c r="I594" s="270"/>
      <c r="J594" s="32"/>
      <c r="K594" s="270"/>
      <c r="L594" s="270"/>
      <c r="M594" s="39"/>
      <c r="N594" s="39"/>
      <c r="O594" s="47"/>
      <c r="P594" s="57"/>
      <c r="Q594" s="276"/>
      <c r="R594" s="277"/>
      <c r="S594" s="277"/>
      <c r="T594" s="40"/>
      <c r="U594" s="278"/>
      <c r="V594" s="269"/>
      <c r="W594" s="269"/>
      <c r="X594" s="275"/>
      <c r="Y594" s="269"/>
      <c r="Z594" s="57"/>
      <c r="AA594" s="207"/>
      <c r="AB594" s="33"/>
      <c r="AC594" s="189"/>
      <c r="AD594" s="54"/>
      <c r="AE594" s="55"/>
      <c r="AF594" s="43"/>
      <c r="AG594" s="47"/>
      <c r="AH594" s="30"/>
      <c r="AI594" s="30"/>
      <c r="AJ594" s="30"/>
      <c r="AK594" s="30"/>
      <c r="AL594" s="13"/>
      <c r="AM594" s="13"/>
      <c r="AN594" s="13"/>
      <c r="AO594" s="13"/>
      <c r="AP594" s="13"/>
      <c r="AQ594" s="14"/>
      <c r="AR594" s="15"/>
    </row>
    <row r="595" spans="1:44" s="17" customFormat="1" ht="30.95" hidden="1" customHeight="1" x14ac:dyDescent="0.2">
      <c r="A595" s="37" t="s">
        <v>512</v>
      </c>
      <c r="B595" s="38" t="s">
        <v>444</v>
      </c>
      <c r="C595" s="45"/>
      <c r="D595" s="31">
        <v>3716250</v>
      </c>
      <c r="E595" s="31">
        <v>4151386</v>
      </c>
      <c r="F595" s="268" t="str">
        <f>IF(D595="","",VLOOKUP(D595,契約台帳!$A$3:$K$4986,6,FALSE)&amp;VLOOKUP(D595,契約台帳!$A$3:$K$4986,7,FALSE)&amp;VLOOKUP(D595,契約台帳!$A$3:$K$4986,8,FALSE)&amp;VLOOKUP(D595,契約台帳!$A$3:$K$4986,9,FALSE)&amp;VLOOKUP(D595,契約台帳!$A$3:$K$4986,11,FALSE))</f>
        <v>3SNMLBMNGKBF</v>
      </c>
      <c r="G595" s="269" t="str">
        <f>IF(D595="","",VLOOKUP(F595,製品マスタ!$G$5:$H$5002,2,FALSE))</f>
        <v>S</v>
      </c>
      <c r="H595" s="269" t="str">
        <f>IF(D595="","",VLOOKUP(F595,製品マスタ!$G$5:$K$5002,5,FALSE))</f>
        <v>MNGKBF</v>
      </c>
      <c r="I595" s="270" t="str">
        <f>IF(D595="","",VLOOKUP(F595,製品マスタ!$G$5:$L$5002,6,FALSE))</f>
        <v>メタルミー　ネーマー銀消　Ｂ</v>
      </c>
      <c r="J595" s="32" t="s">
        <v>447</v>
      </c>
      <c r="K595" s="270">
        <f>IF(D595="","",VLOOKUP(D595,契約台帳!$A$3:$L$4986,12,FALSE))</f>
        <v>25</v>
      </c>
      <c r="L595" s="270" t="str">
        <f>IF(D595="","",INDEX(製品マスタ!$Q$5:$Q$5002,MATCH(F595&amp;K595,製品マスタ!$AO$5:$AO$5002,0)))</f>
        <v>LUMIMAT</v>
      </c>
      <c r="M595" s="39">
        <v>1050</v>
      </c>
      <c r="N595" s="39">
        <v>8000</v>
      </c>
      <c r="O595" s="47">
        <v>1</v>
      </c>
      <c r="P595" s="57"/>
      <c r="Q595" s="276">
        <f>IF(D595="","",IF(J595="リード付け",M595,VLOOKUP(D595,契約台帳!$A$3:$N$4986,14,FALSE)))</f>
        <v>1050</v>
      </c>
      <c r="R595" s="277">
        <f>IF(D595="","",IF(J595="リード付け",M595,VLOOKUP(D595,契約台帳!$A$3:$O$4986,15,FALSE)))</f>
        <v>1050</v>
      </c>
      <c r="S595" s="277">
        <f>IF(D595="","",IF(J595="リード付け",N595,VLOOKUP(D595,契約台帳!$A$3:$P$4986,16,FALSE)))</f>
        <v>4000</v>
      </c>
      <c r="T595" s="40">
        <v>2</v>
      </c>
      <c r="U595" s="302">
        <f ca="1">IF(D595="","",IF(OFFSET(D595,-2,0)=D595,"",VLOOKUP(D595,契約台帳!$A$3:$R$4986,18,FALSE)))</f>
        <v>2</v>
      </c>
      <c r="V595" s="269" t="str">
        <f>IF(J595="巻返し",VLOOKUP(F595&amp;K595&amp;M595,製品マスタ!$M$5:$AD$5002,18,FALSE),IF(J595="リード付け","原反コア",IF(J595="スリット",VLOOKUP(F595&amp;K595&amp;Q595,製品マスタ!$N$5:$AD$5002,17,FALSE),"")))</f>
        <v>6ｲﾝﾁSｺｱ</v>
      </c>
      <c r="W595" s="269">
        <f>IF(J595="巻返し",VLOOKUP(F595&amp;K595&amp;M595,製品マスタ!$M$5:$AE$5002,19,FALSE),IF(J595="リード付け","-",IF(J595="スリット",VLOOKUP(F595&amp;K595&amp;Q595,製品マスタ!$N$5:$AE$5002,18,FALSE),"")))</f>
        <v>1055</v>
      </c>
      <c r="X595" s="275">
        <f>IF(D595="","",VLOOKUP(D595,契約台帳!$A$3:$Q$4986,17,FALSE))</f>
        <v>2</v>
      </c>
      <c r="Y595" s="269" t="str">
        <f>IF(D595="","",VLOOKUP(D595,契約台帳!$A$3:$E$4986,5,FALSE))</f>
        <v>リンテック㈱</v>
      </c>
      <c r="Z595" s="57">
        <v>45132</v>
      </c>
      <c r="AA595" s="303">
        <f>IFERROR(VLOOKUP(F595&amp;K595&amp;M595,製品マスタ!$M$5:$AM$5002,27,FALSE),"")</f>
        <v>0</v>
      </c>
      <c r="AB595" s="33"/>
      <c r="AC595" s="189"/>
      <c r="AD595" s="54" t="str">
        <f>IF(F595="","",+F595&amp;K595)</f>
        <v>3SNMLBMNGKBF25</v>
      </c>
      <c r="AE595" s="55">
        <f>+M595*N595*O595/1000</f>
        <v>8400</v>
      </c>
      <c r="AF595" s="43" t="e">
        <f>IF(AD595="","",VLOOKUP(AD595,原価マスタ!$A$2:$AJ$1693,13,FALSE))</f>
        <v>#N/A</v>
      </c>
      <c r="AG595" s="47" t="e">
        <f>IF(AF595="","",+AE595*AF595/100)</f>
        <v>#N/A</v>
      </c>
      <c r="AH595" s="30"/>
      <c r="AI595" s="30"/>
      <c r="AJ595" s="30"/>
      <c r="AK595" s="30"/>
      <c r="AL595" s="13"/>
      <c r="AM595" s="13"/>
      <c r="AN595" s="13"/>
      <c r="AO595" s="13"/>
      <c r="AP595" s="13"/>
      <c r="AQ595" s="14"/>
      <c r="AR595" s="15"/>
    </row>
    <row r="596" spans="1:44" s="17" customFormat="1" ht="30.95" hidden="1" customHeight="1" x14ac:dyDescent="0.2">
      <c r="A596" s="37"/>
      <c r="B596" s="38"/>
      <c r="C596" s="45"/>
      <c r="D596" s="31"/>
      <c r="E596" s="31"/>
      <c r="F596" s="268"/>
      <c r="G596" s="269"/>
      <c r="H596" s="269"/>
      <c r="I596" s="270"/>
      <c r="J596" s="32"/>
      <c r="K596" s="270"/>
      <c r="L596" s="270"/>
      <c r="M596" s="39"/>
      <c r="N596" s="39"/>
      <c r="O596" s="47"/>
      <c r="P596" s="57"/>
      <c r="Q596" s="276"/>
      <c r="R596" s="277"/>
      <c r="S596" s="277"/>
      <c r="T596" s="40"/>
      <c r="U596" s="278"/>
      <c r="V596" s="269"/>
      <c r="W596" s="269"/>
      <c r="X596" s="275"/>
      <c r="Y596" s="269"/>
      <c r="Z596" s="57"/>
      <c r="AA596" s="207"/>
      <c r="AB596" s="33"/>
      <c r="AC596" s="189"/>
      <c r="AD596" s="54"/>
      <c r="AE596" s="55"/>
      <c r="AF596" s="43"/>
      <c r="AG596" s="47"/>
      <c r="AH596" s="30"/>
      <c r="AI596" s="30"/>
      <c r="AJ596" s="30"/>
      <c r="AK596" s="30"/>
      <c r="AL596" s="13"/>
      <c r="AM596" s="13"/>
      <c r="AN596" s="13"/>
      <c r="AO596" s="13"/>
      <c r="AP596" s="13"/>
      <c r="AQ596" s="14"/>
      <c r="AR596" s="15"/>
    </row>
    <row r="597" spans="1:44" s="17" customFormat="1" ht="30.95" hidden="1" customHeight="1" x14ac:dyDescent="0.2">
      <c r="A597" s="37"/>
      <c r="B597" s="38"/>
      <c r="C597" s="45"/>
      <c r="D597" s="31">
        <v>3716251</v>
      </c>
      <c r="E597" s="31">
        <v>4151388</v>
      </c>
      <c r="F597" s="268" t="str">
        <f>IF(D597="","",VLOOKUP(D597,契約台帳!$A$3:$K$4986,6,FALSE)&amp;VLOOKUP(D597,契約台帳!$A$3:$K$4986,7,FALSE)&amp;VLOOKUP(D597,契約台帳!$A$3:$K$4986,8,FALSE)&amp;VLOOKUP(D597,契約台帳!$A$3:$K$4986,9,FALSE)&amp;VLOOKUP(D597,契約台帳!$A$3:$K$4986,11,FALSE))</f>
        <v>3SNMLBMNGKBF</v>
      </c>
      <c r="G597" s="269" t="str">
        <f>IF(D597="","",VLOOKUP(F597,製品マスタ!$G$5:$H$5002,2,FALSE))</f>
        <v>S</v>
      </c>
      <c r="H597" s="269" t="str">
        <f>IF(D597="","",VLOOKUP(F597,製品マスタ!$G$5:$K$5002,5,FALSE))</f>
        <v>MNGKBF</v>
      </c>
      <c r="I597" s="270" t="str">
        <f>IF(D597="","",VLOOKUP(F597,製品マスタ!$G$5:$L$5002,6,FALSE))</f>
        <v>メタルミー　ネーマー銀消　Ｂ</v>
      </c>
      <c r="J597" s="32" t="s">
        <v>447</v>
      </c>
      <c r="K597" s="270">
        <f>IF(D597="","",VLOOKUP(D597,契約台帳!$A$3:$L$4986,12,FALSE))</f>
        <v>50</v>
      </c>
      <c r="L597" s="270" t="str">
        <f>IF(D597="","",INDEX(製品マスタ!$Q$5:$Q$5002,MATCH(F597&amp;K597,製品マスタ!$AO$5:$AO$5002,0)))</f>
        <v>MAT</v>
      </c>
      <c r="M597" s="39">
        <v>1050</v>
      </c>
      <c r="N597" s="39">
        <v>12300</v>
      </c>
      <c r="O597" s="47">
        <v>1</v>
      </c>
      <c r="P597" s="57"/>
      <c r="Q597" s="276">
        <f>IF(D597="","",IF(J597="リード付け",M597,VLOOKUP(D597,契約台帳!$A$3:$N$4986,14,FALSE)))</f>
        <v>1050</v>
      </c>
      <c r="R597" s="277">
        <f>IF(D597="","",IF(J597="リード付け",M597,VLOOKUP(D597,契約台帳!$A$3:$O$4986,15,FALSE)))</f>
        <v>1050</v>
      </c>
      <c r="S597" s="277">
        <f>IF(D597="","",IF(J597="リード付け",N597,VLOOKUP(D597,契約台帳!$A$3:$P$4986,16,FALSE)))</f>
        <v>4100</v>
      </c>
      <c r="T597" s="40">
        <v>3</v>
      </c>
      <c r="U597" s="302">
        <f ca="1">IF(D597="","",IF(OFFSET(D597,-2,0)=D597,"",VLOOKUP(D597,契約台帳!$A$3:$R$4986,18,FALSE)))</f>
        <v>3</v>
      </c>
      <c r="V597" s="269" t="str">
        <f>IF(J597="巻返し",VLOOKUP(F597&amp;K597&amp;M597,製品マスタ!$M$5:$AD$5002,18,FALSE),IF(J597="リード付け","原反コア",IF(J597="スリット",VLOOKUP(F597&amp;K597&amp;Q597,製品マスタ!$N$5:$AD$5002,17,FALSE),"")))</f>
        <v>6ｲﾝﾁSｺｱ</v>
      </c>
      <c r="W597" s="269">
        <f>IF(J597="巻返し",VLOOKUP(F597&amp;K597&amp;M597,製品マスタ!$M$5:$AE$5002,19,FALSE),IF(J597="リード付け","-",IF(J597="スリット",VLOOKUP(F597&amp;K597&amp;Q597,製品マスタ!$N$5:$AE$5002,18,FALSE),"")))</f>
        <v>1055</v>
      </c>
      <c r="X597" s="275">
        <f>IF(D597="","",VLOOKUP(D597,契約台帳!$A$3:$Q$4986,17,FALSE))</f>
        <v>2</v>
      </c>
      <c r="Y597" s="269" t="str">
        <f>IF(D597="","",VLOOKUP(D597,契約台帳!$A$3:$E$4986,5,FALSE))</f>
        <v>リンテック㈱</v>
      </c>
      <c r="Z597" s="57">
        <v>45132</v>
      </c>
      <c r="AA597" s="303">
        <f>IFERROR(VLOOKUP(F597&amp;K597&amp;M597,製品マスタ!$M$5:$AM$5002,27,FALSE),"")</f>
        <v>0</v>
      </c>
      <c r="AB597" s="33"/>
      <c r="AC597" s="189"/>
      <c r="AD597" s="54" t="str">
        <f>IF(F597="","",+F597&amp;K597)</f>
        <v>3SNMLBMNGKBF50</v>
      </c>
      <c r="AE597" s="55">
        <f>+M597*N597*O597/1000</f>
        <v>12915</v>
      </c>
      <c r="AF597" s="43">
        <f>IF(AD597="","",VLOOKUP(AD597,原価マスタ!$A$2:$AJ$1693,13,FALSE))</f>
        <v>98</v>
      </c>
      <c r="AG597" s="47">
        <f>IF(AF597="","",+AE597*AF597/100)</f>
        <v>12656.7</v>
      </c>
      <c r="AH597" s="30"/>
      <c r="AI597" s="30"/>
      <c r="AJ597" s="30"/>
      <c r="AK597" s="30"/>
      <c r="AL597" s="13"/>
      <c r="AM597" s="13"/>
      <c r="AN597" s="13"/>
      <c r="AO597" s="13"/>
      <c r="AP597" s="13"/>
      <c r="AQ597" s="14"/>
      <c r="AR597" s="15"/>
    </row>
    <row r="598" spans="1:44" s="17" customFormat="1" ht="30.95" hidden="1" customHeight="1" x14ac:dyDescent="0.2">
      <c r="A598" s="37"/>
      <c r="B598" s="38"/>
      <c r="C598" s="45"/>
      <c r="D598" s="31"/>
      <c r="E598" s="31"/>
      <c r="F598" s="268"/>
      <c r="G598" s="269"/>
      <c r="H598" s="269"/>
      <c r="I598" s="270"/>
      <c r="J598" s="32"/>
      <c r="K598" s="270"/>
      <c r="L598" s="270"/>
      <c r="M598" s="39"/>
      <c r="N598" s="39"/>
      <c r="O598" s="47"/>
      <c r="P598" s="57"/>
      <c r="Q598" s="276"/>
      <c r="R598" s="277"/>
      <c r="S598" s="277"/>
      <c r="T598" s="40"/>
      <c r="U598" s="278"/>
      <c r="V598" s="269"/>
      <c r="W598" s="269"/>
      <c r="X598" s="275"/>
      <c r="Y598" s="269"/>
      <c r="Z598" s="57"/>
      <c r="AA598" s="207"/>
      <c r="AB598" s="33"/>
      <c r="AC598" s="189"/>
      <c r="AD598" s="54"/>
      <c r="AE598" s="55"/>
      <c r="AF598" s="43"/>
      <c r="AG598" s="47"/>
      <c r="AH598" s="30"/>
      <c r="AI598" s="30"/>
      <c r="AJ598" s="30"/>
      <c r="AK598" s="30"/>
      <c r="AL598" s="13"/>
      <c r="AM598" s="13"/>
      <c r="AN598" s="13"/>
      <c r="AO598" s="13"/>
      <c r="AP598" s="13"/>
      <c r="AQ598" s="14"/>
      <c r="AR598" s="15"/>
    </row>
    <row r="599" spans="1:44" s="17" customFormat="1" ht="30.95" hidden="1" customHeight="1" x14ac:dyDescent="0.2">
      <c r="A599" s="37"/>
      <c r="B599" s="38"/>
      <c r="C599" s="45"/>
      <c r="D599" s="31">
        <v>3716253</v>
      </c>
      <c r="E599" s="31">
        <v>4151390</v>
      </c>
      <c r="F599" s="268" t="str">
        <f>IF(D599="","",VLOOKUP(D599,契約台帳!$A$3:$K$4986,6,FALSE)&amp;VLOOKUP(D599,契約台帳!$A$3:$K$4986,7,FALSE)&amp;VLOOKUP(D599,契約台帳!$A$3:$K$4986,8,FALSE)&amp;VLOOKUP(D599,契約台帳!$A$3:$K$4986,9,FALSE)&amp;VLOOKUP(D599,契約台帳!$A$3:$K$4986,11,FALSE))</f>
        <v>3SNMLBMNGKBF</v>
      </c>
      <c r="G599" s="269" t="str">
        <f>IF(D599="","",VLOOKUP(F599,製品マスタ!$G$5:$H$5002,2,FALSE))</f>
        <v>S</v>
      </c>
      <c r="H599" s="269" t="str">
        <f>IF(D599="","",VLOOKUP(F599,製品マスタ!$G$5:$K$5002,5,FALSE))</f>
        <v>MNGKBF</v>
      </c>
      <c r="I599" s="270" t="str">
        <f>IF(D599="","",VLOOKUP(F599,製品マスタ!$G$5:$L$5002,6,FALSE))</f>
        <v>メタルミー　ネーマー銀消　Ｂ</v>
      </c>
      <c r="J599" s="32" t="s">
        <v>447</v>
      </c>
      <c r="K599" s="270">
        <f>IF(D599="","",VLOOKUP(D599,契約台帳!$A$3:$L$4986,12,FALSE))</f>
        <v>75</v>
      </c>
      <c r="L599" s="270" t="str">
        <f>IF(D599="","",INDEX(製品マスタ!$Q$5:$Q$5002,MATCH(F599&amp;K599,製品マスタ!$AO$5:$AO$5002,0)))</f>
        <v>MAT</v>
      </c>
      <c r="M599" s="39">
        <v>1050</v>
      </c>
      <c r="N599" s="39">
        <v>4000</v>
      </c>
      <c r="O599" s="47">
        <v>1</v>
      </c>
      <c r="P599" s="57"/>
      <c r="Q599" s="276">
        <f>IF(D599="","",IF(J599="リード付け",M599,VLOOKUP(D599,契約台帳!$A$3:$N$4986,14,FALSE)))</f>
        <v>1050</v>
      </c>
      <c r="R599" s="277">
        <f>IF(D599="","",IF(J599="リード付け",M599,VLOOKUP(D599,契約台帳!$A$3:$O$4986,15,FALSE)))</f>
        <v>1050</v>
      </c>
      <c r="S599" s="277">
        <f>IF(D599="","",IF(J599="リード付け",N599,VLOOKUP(D599,契約台帳!$A$3:$P$4986,16,FALSE)))</f>
        <v>2000</v>
      </c>
      <c r="T599" s="40">
        <v>2</v>
      </c>
      <c r="U599" s="302">
        <f ca="1">IF(D599="","",IF(OFFSET(D599,-2,0)=D599,"",VLOOKUP(D599,契約台帳!$A$3:$R$4986,18,FALSE)))</f>
        <v>2</v>
      </c>
      <c r="V599" s="269" t="str">
        <f>IF(J599="巻返し",VLOOKUP(F599&amp;K599&amp;M599,製品マスタ!$M$5:$AD$5002,18,FALSE),IF(J599="リード付け","原反コア",IF(J599="スリット",VLOOKUP(F599&amp;K599&amp;Q599,製品マスタ!$N$5:$AD$5002,17,FALSE),"")))</f>
        <v>6ｲﾝﾁSｺｱ</v>
      </c>
      <c r="W599" s="269">
        <f>IF(J599="巻返し",VLOOKUP(F599&amp;K599&amp;M599,製品マスタ!$M$5:$AE$5002,19,FALSE),IF(J599="リード付け","-",IF(J599="スリット",VLOOKUP(F599&amp;K599&amp;Q599,製品マスタ!$N$5:$AE$5002,18,FALSE),"")))</f>
        <v>1055</v>
      </c>
      <c r="X599" s="275">
        <f>IF(D599="","",VLOOKUP(D599,契約台帳!$A$3:$Q$4986,17,FALSE))</f>
        <v>2</v>
      </c>
      <c r="Y599" s="269" t="str">
        <f>IF(D599="","",VLOOKUP(D599,契約台帳!$A$3:$E$4986,5,FALSE))</f>
        <v>リンテック㈱</v>
      </c>
      <c r="Z599" s="57">
        <v>45132</v>
      </c>
      <c r="AA599" s="303">
        <f>IFERROR(VLOOKUP(F599&amp;K599&amp;M599,製品マスタ!$M$5:$AM$5002,27,FALSE),"")</f>
        <v>0</v>
      </c>
      <c r="AB599" s="33"/>
      <c r="AC599" s="189"/>
      <c r="AD599" s="54" t="str">
        <f>IF(F599="","",+F599&amp;K599)</f>
        <v>3SNMLBMNGKBF75</v>
      </c>
      <c r="AE599" s="55">
        <f>+M599*N599*O599/1000</f>
        <v>4200</v>
      </c>
      <c r="AF599" s="43">
        <f>IF(AD599="","",VLOOKUP(AD599,原価マスタ!$A$2:$AJ$1693,13,FALSE))</f>
        <v>97</v>
      </c>
      <c r="AG599" s="47">
        <f>IF(AF599="","",+AE599*AF599/100)</f>
        <v>4074</v>
      </c>
      <c r="AH599" s="30"/>
      <c r="AI599" s="30"/>
      <c r="AJ599" s="30"/>
      <c r="AK599" s="30"/>
      <c r="AL599" s="13"/>
      <c r="AM599" s="13"/>
      <c r="AN599" s="13"/>
      <c r="AO599" s="13"/>
      <c r="AP599" s="13"/>
      <c r="AQ599" s="14"/>
      <c r="AR599" s="15"/>
    </row>
    <row r="600" spans="1:44" s="17" customFormat="1" ht="30.95" hidden="1" customHeight="1" x14ac:dyDescent="0.2">
      <c r="A600" s="37"/>
      <c r="B600" s="38"/>
      <c r="C600" s="45"/>
      <c r="D600" s="31"/>
      <c r="E600" s="31"/>
      <c r="F600" s="268"/>
      <c r="G600" s="269"/>
      <c r="H600" s="269"/>
      <c r="I600" s="270"/>
      <c r="J600" s="32"/>
      <c r="K600" s="270"/>
      <c r="L600" s="270"/>
      <c r="M600" s="39"/>
      <c r="N600" s="39"/>
      <c r="O600" s="47"/>
      <c r="P600" s="57"/>
      <c r="Q600" s="276"/>
      <c r="R600" s="277"/>
      <c r="S600" s="277"/>
      <c r="T600" s="40"/>
      <c r="U600" s="278"/>
      <c r="V600" s="269"/>
      <c r="W600" s="269"/>
      <c r="X600" s="275"/>
      <c r="Y600" s="269"/>
      <c r="Z600" s="57"/>
      <c r="AA600" s="207"/>
      <c r="AB600" s="33"/>
      <c r="AC600" s="189"/>
      <c r="AD600" s="54"/>
      <c r="AE600" s="55"/>
      <c r="AF600" s="43"/>
      <c r="AG600" s="47"/>
      <c r="AH600" s="30"/>
      <c r="AI600" s="30"/>
      <c r="AJ600" s="30"/>
      <c r="AK600" s="30"/>
      <c r="AL600" s="13"/>
      <c r="AM600" s="13"/>
      <c r="AN600" s="13"/>
      <c r="AO600" s="13"/>
      <c r="AP600" s="13"/>
      <c r="AQ600" s="14"/>
      <c r="AR600" s="15"/>
    </row>
    <row r="601" spans="1:44" s="17" customFormat="1" ht="30.95" hidden="1" customHeight="1" x14ac:dyDescent="0.2">
      <c r="A601" s="37"/>
      <c r="B601" s="38"/>
      <c r="C601" s="45"/>
      <c r="D601" s="31">
        <v>3717594</v>
      </c>
      <c r="E601" s="31">
        <v>4151416</v>
      </c>
      <c r="F601" s="268" t="str">
        <f>IF(D601="","",VLOOKUP(D601,契約台帳!$A$3:$K$4986,6,FALSE)&amp;VLOOKUP(D601,契約台帳!$A$3:$K$4986,7,FALSE)&amp;VLOOKUP(D601,契約台帳!$A$3:$K$4986,8,FALSE)&amp;VLOOKUP(D601,契約台帳!$A$3:$K$4986,9,FALSE)&amp;VLOOKUP(D601,契約台帳!$A$3:$K$4986,11,FALSE))</f>
        <v>3SNMLBMNGKBF</v>
      </c>
      <c r="G601" s="269" t="str">
        <f>IF(D601="","",VLOOKUP(F601,製品マスタ!$G$5:$H$5002,2,FALSE))</f>
        <v>S</v>
      </c>
      <c r="H601" s="269" t="str">
        <f>IF(D601="","",VLOOKUP(F601,製品マスタ!$G$5:$K$5002,5,FALSE))</f>
        <v>MNGKBF</v>
      </c>
      <c r="I601" s="270" t="str">
        <f>IF(D601="","",VLOOKUP(F601,製品マスタ!$G$5:$L$5002,6,FALSE))</f>
        <v>メタルミー　ネーマー銀消　Ｂ</v>
      </c>
      <c r="J601" s="32" t="s">
        <v>447</v>
      </c>
      <c r="K601" s="270">
        <f>IF(D601="","",VLOOKUP(D601,契約台帳!$A$3:$L$4986,12,FALSE))</f>
        <v>38</v>
      </c>
      <c r="L601" s="270" t="str">
        <f>IF(D601="","",INDEX(製品マスタ!$Q$5:$Q$5002,MATCH(F601&amp;K601,製品マスタ!$AO$5:$AO$5002,0)))</f>
        <v>LUMIMAT</v>
      </c>
      <c r="M601" s="39">
        <v>1005</v>
      </c>
      <c r="N601" s="39">
        <v>12300</v>
      </c>
      <c r="O601" s="47">
        <v>1</v>
      </c>
      <c r="P601" s="57"/>
      <c r="Q601" s="276">
        <f>IF(D601="","",IF(J601="リード付け",M601,VLOOKUP(D601,契約台帳!$A$3:$N$4986,14,FALSE)))</f>
        <v>1005</v>
      </c>
      <c r="R601" s="277">
        <f>IF(D601="","",IF(J601="リード付け",M601,VLOOKUP(D601,契約台帳!$A$3:$O$4986,15,FALSE)))</f>
        <v>1000</v>
      </c>
      <c r="S601" s="277">
        <f>IF(D601="","",IF(J601="リード付け",N601,VLOOKUP(D601,契約台帳!$A$3:$P$4986,16,FALSE)))</f>
        <v>4100</v>
      </c>
      <c r="T601" s="40">
        <v>3</v>
      </c>
      <c r="U601" s="302">
        <f ca="1">IF(D601="","",IF(OFFSET(D601,-2,0)=D601,"",VLOOKUP(D601,契約台帳!$A$3:$R$4986,18,FALSE)))</f>
        <v>3</v>
      </c>
      <c r="V601" s="269" t="str">
        <f>IF(J601="巻返し",VLOOKUP(F601&amp;K601&amp;M601,製品マスタ!$M$5:$AD$5002,18,FALSE),IF(J601="リード付け","原反コア",IF(J601="スリット",VLOOKUP(F601&amp;K601&amp;Q601,製品マスタ!$N$5:$AD$5002,17,FALSE),"")))</f>
        <v>6ｲﾝﾁSｺｱ</v>
      </c>
      <c r="W601" s="269">
        <f>IF(J601="巻返し",VLOOKUP(F601&amp;K601&amp;M601,製品マスタ!$M$5:$AE$5002,19,FALSE),IF(J601="リード付け","-",IF(J601="スリット",VLOOKUP(F601&amp;K601&amp;Q601,製品マスタ!$N$5:$AE$5002,18,FALSE),"")))</f>
        <v>1015</v>
      </c>
      <c r="X601" s="275">
        <f>IF(D601="","",VLOOKUP(D601,契約台帳!$A$3:$Q$4986,17,FALSE))</f>
        <v>2</v>
      </c>
      <c r="Y601" s="269" t="str">
        <f>IF(D601="","",VLOOKUP(D601,契約台帳!$A$3:$E$4986,5,FALSE))</f>
        <v>リンテック㈱</v>
      </c>
      <c r="Z601" s="57">
        <v>45132</v>
      </c>
      <c r="AA601" s="303">
        <f>IFERROR(VLOOKUP(F601&amp;K601&amp;M601,製品マスタ!$M$5:$AM$5002,27,FALSE),"")</f>
        <v>0</v>
      </c>
      <c r="AB601" s="33"/>
      <c r="AC601" s="189"/>
      <c r="AD601" s="54" t="str">
        <f>IF(F601="","",+F601&amp;K601)</f>
        <v>3SNMLBMNGKBF38</v>
      </c>
      <c r="AE601" s="55">
        <f>+M601*N601*O601/1000</f>
        <v>12361.5</v>
      </c>
      <c r="AF601" s="43">
        <f>IF(AD601="","",VLOOKUP(AD601,原価マスタ!$A$2:$AJ$1693,13,FALSE))</f>
        <v>97.2</v>
      </c>
      <c r="AG601" s="47">
        <f>IF(AF601="","",+AE601*AF601/100)</f>
        <v>12015.378000000001</v>
      </c>
      <c r="AH601" s="30"/>
      <c r="AI601" s="30"/>
      <c r="AJ601" s="30"/>
      <c r="AK601" s="30"/>
      <c r="AL601" s="13"/>
      <c r="AM601" s="13"/>
      <c r="AN601" s="13"/>
      <c r="AO601" s="13"/>
      <c r="AP601" s="13"/>
      <c r="AQ601" s="14"/>
      <c r="AR601" s="15"/>
    </row>
    <row r="602" spans="1:44" s="17" customFormat="1" ht="30.95" hidden="1" customHeight="1" x14ac:dyDescent="0.2">
      <c r="A602" s="37"/>
      <c r="B602" s="38"/>
      <c r="C602" s="45"/>
      <c r="D602" s="31"/>
      <c r="E602" s="31"/>
      <c r="F602" s="268"/>
      <c r="G602" s="269"/>
      <c r="H602" s="269"/>
      <c r="I602" s="270"/>
      <c r="J602" s="32"/>
      <c r="K602" s="270"/>
      <c r="L602" s="270"/>
      <c r="M602" s="39"/>
      <c r="N602" s="39"/>
      <c r="O602" s="47"/>
      <c r="P602" s="57"/>
      <c r="Q602" s="276"/>
      <c r="R602" s="277"/>
      <c r="S602" s="277"/>
      <c r="T602" s="40"/>
      <c r="U602" s="278"/>
      <c r="V602" s="269"/>
      <c r="W602" s="269"/>
      <c r="X602" s="275"/>
      <c r="Y602" s="269"/>
      <c r="Z602" s="57"/>
      <c r="AA602" s="207"/>
      <c r="AB602" s="33"/>
      <c r="AC602" s="189"/>
      <c r="AD602" s="54"/>
      <c r="AE602" s="55"/>
      <c r="AF602" s="43"/>
      <c r="AG602" s="47"/>
      <c r="AH602" s="30"/>
      <c r="AI602" s="30"/>
      <c r="AJ602" s="30"/>
      <c r="AK602" s="30"/>
      <c r="AL602" s="13"/>
      <c r="AM602" s="13"/>
      <c r="AN602" s="13"/>
      <c r="AO602" s="13"/>
      <c r="AP602" s="13"/>
      <c r="AQ602" s="14"/>
      <c r="AR602" s="15"/>
    </row>
    <row r="603" spans="1:44" s="17" customFormat="1" ht="30.95" hidden="1" customHeight="1" x14ac:dyDescent="0.2">
      <c r="A603" s="37" t="s">
        <v>518</v>
      </c>
      <c r="B603" s="38" t="s">
        <v>445</v>
      </c>
      <c r="C603" s="45"/>
      <c r="D603" s="31">
        <v>3716255</v>
      </c>
      <c r="E603" s="31">
        <v>4151421</v>
      </c>
      <c r="F603" s="268" t="str">
        <f>IF(D603="","",VLOOKUP(D603,契約台帳!$A$3:$K$4986,6,FALSE)&amp;VLOOKUP(D603,契約台帳!$A$3:$K$4986,7,FALSE)&amp;VLOOKUP(D603,契約台帳!$A$3:$K$4986,8,FALSE)&amp;VLOOKUP(D603,契約台帳!$A$3:$K$4986,9,FALSE)&amp;VLOOKUP(D603,契約台帳!$A$3:$K$4986,11,FALSE))</f>
        <v>3SNMLBMNGTBF</v>
      </c>
      <c r="G603" s="269" t="str">
        <f>IF(D603="","",VLOOKUP(F603,製品マスタ!$G$5:$H$5002,2,FALSE))</f>
        <v>S</v>
      </c>
      <c r="H603" s="269" t="str">
        <f>IF(D603="","",VLOOKUP(F603,製品マスタ!$G$5:$K$5002,5,FALSE))</f>
        <v>MNGTBF</v>
      </c>
      <c r="I603" s="270" t="str">
        <f>IF(D603="","",VLOOKUP(F603,製品マスタ!$G$5:$L$5002,6,FALSE))</f>
        <v>メタルミー　ネーマー　銀艶　Ｂ</v>
      </c>
      <c r="J603" s="32" t="s">
        <v>447</v>
      </c>
      <c r="K603" s="270">
        <f>IF(D603="","",VLOOKUP(D603,契約台帳!$A$3:$L$4986,12,FALSE))</f>
        <v>25</v>
      </c>
      <c r="L603" s="270" t="str">
        <f>IF(D603="","",INDEX(製品マスタ!$Q$5:$Q$5002,MATCH(F603&amp;K603,製品マスタ!$AO$5:$AO$5002,0)))</f>
        <v>T62M</v>
      </c>
      <c r="M603" s="39">
        <v>1005</v>
      </c>
      <c r="N603" s="39">
        <v>12100</v>
      </c>
      <c r="O603" s="47">
        <v>5</v>
      </c>
      <c r="P603" s="57"/>
      <c r="Q603" s="276">
        <f>IF(D603="","",IF(J603="リード付け",M603,VLOOKUP(D603,契約台帳!$A$3:$N$4986,14,FALSE)))</f>
        <v>1005</v>
      </c>
      <c r="R603" s="277">
        <f>IF(D603="","",IF(J603="リード付け",M603,VLOOKUP(D603,契約台帳!$A$3:$O$4986,15,FALSE)))</f>
        <v>1000</v>
      </c>
      <c r="S603" s="277">
        <f>IF(D603="","",IF(J603="リード付け",N603,VLOOKUP(D603,契約台帳!$A$3:$P$4986,16,FALSE)))</f>
        <v>4000</v>
      </c>
      <c r="T603" s="40">
        <v>15</v>
      </c>
      <c r="U603" s="302">
        <f ca="1">IF(D603="","",IF(OFFSET(D603,-2,0)=D603,"",VLOOKUP(D603,契約台帳!$A$3:$R$4986,18,FALSE)))</f>
        <v>15</v>
      </c>
      <c r="V603" s="269" t="str">
        <f>IF(J603="巻返し",VLOOKUP(F603&amp;K603&amp;M603,製品マスタ!$M$5:$AD$5002,18,FALSE),IF(J603="リード付け","原反コア",IF(J603="スリット",VLOOKUP(F603&amp;K603&amp;Q603,製品マスタ!$N$5:$AD$5002,17,FALSE),"")))</f>
        <v>6ｲﾝﾁSｺｱ</v>
      </c>
      <c r="W603" s="269">
        <f>IF(J603="巻返し",VLOOKUP(F603&amp;K603&amp;M603,製品マスタ!$M$5:$AE$5002,19,FALSE),IF(J603="リード付け","-",IF(J603="スリット",VLOOKUP(F603&amp;K603&amp;Q603,製品マスタ!$N$5:$AE$5002,18,FALSE),"")))</f>
        <v>1015</v>
      </c>
      <c r="X603" s="275">
        <f>IF(D603="","",VLOOKUP(D603,契約台帳!$A$3:$Q$4986,17,FALSE))</f>
        <v>2</v>
      </c>
      <c r="Y603" s="269" t="str">
        <f>IF(D603="","",VLOOKUP(D603,契約台帳!$A$3:$E$4986,5,FALSE))</f>
        <v>リンテック㈱</v>
      </c>
      <c r="Z603" s="57">
        <v>45132</v>
      </c>
      <c r="AA603" s="303">
        <f>IFERROR(VLOOKUP(F603&amp;K603&amp;M603,製品マスタ!$M$5:$AM$5002,27,FALSE),"")</f>
        <v>0</v>
      </c>
      <c r="AB603" s="33"/>
      <c r="AC603" s="189"/>
      <c r="AD603" s="54" t="str">
        <f>IF(F603="","",+F603&amp;K603)</f>
        <v>3SNMLBMNGTBF25</v>
      </c>
      <c r="AE603" s="55">
        <f>+M603*N603*O603/1000</f>
        <v>60802.5</v>
      </c>
      <c r="AF603" s="43">
        <f>IF(AD603="","",VLOOKUP(AD603,原価マスタ!$A$2:$AJ$1693,13,FALSE))</f>
        <v>97.5</v>
      </c>
      <c r="AG603" s="47">
        <f>IF(AF603="","",+AE603*AF603/100)</f>
        <v>59282.4375</v>
      </c>
      <c r="AH603" s="30"/>
      <c r="AI603" s="30"/>
      <c r="AJ603" s="30"/>
      <c r="AK603" s="30"/>
      <c r="AL603" s="13"/>
      <c r="AM603" s="13"/>
      <c r="AN603" s="13"/>
      <c r="AO603" s="13"/>
      <c r="AP603" s="13"/>
      <c r="AQ603" s="14"/>
      <c r="AR603" s="15"/>
    </row>
    <row r="604" spans="1:44" s="17" customFormat="1" ht="30.95" hidden="1" customHeight="1" x14ac:dyDescent="0.2">
      <c r="A604" s="37"/>
      <c r="B604" s="38"/>
      <c r="C604" s="45"/>
      <c r="D604" s="31"/>
      <c r="E604" s="31"/>
      <c r="F604" s="268"/>
      <c r="G604" s="269"/>
      <c r="H604" s="269"/>
      <c r="I604" s="270"/>
      <c r="J604" s="32"/>
      <c r="K604" s="270"/>
      <c r="L604" s="270"/>
      <c r="M604" s="39"/>
      <c r="N604" s="39"/>
      <c r="O604" s="47"/>
      <c r="P604" s="57"/>
      <c r="Q604" s="276"/>
      <c r="R604" s="277"/>
      <c r="S604" s="277"/>
      <c r="T604" s="40"/>
      <c r="U604" s="278"/>
      <c r="V604" s="269"/>
      <c r="W604" s="269"/>
      <c r="X604" s="275"/>
      <c r="Y604" s="269"/>
      <c r="Z604" s="57"/>
      <c r="AA604" s="207"/>
      <c r="AB604" s="33"/>
      <c r="AC604" s="189"/>
      <c r="AD604" s="54"/>
      <c r="AE604" s="55"/>
      <c r="AF604" s="43"/>
      <c r="AG604" s="47"/>
      <c r="AH604" s="30"/>
      <c r="AI604" s="30"/>
      <c r="AJ604" s="30"/>
      <c r="AK604" s="30"/>
      <c r="AL604" s="13"/>
      <c r="AM604" s="13"/>
      <c r="AN604" s="13"/>
      <c r="AO604" s="13"/>
      <c r="AP604" s="13"/>
      <c r="AQ604" s="14"/>
      <c r="AR604" s="15"/>
    </row>
    <row r="605" spans="1:44" s="17" customFormat="1" ht="30.95" hidden="1" customHeight="1" x14ac:dyDescent="0.2">
      <c r="A605" s="37" t="s">
        <v>513</v>
      </c>
      <c r="B605" s="38" t="s">
        <v>446</v>
      </c>
      <c r="C605" s="45"/>
      <c r="D605" s="31"/>
      <c r="E605" s="31"/>
      <c r="F605" s="268"/>
      <c r="G605" s="269"/>
      <c r="H605" s="269"/>
      <c r="I605" s="270"/>
      <c r="J605" s="32" t="s">
        <v>448</v>
      </c>
      <c r="K605" s="270"/>
      <c r="L605" s="270"/>
      <c r="M605" s="39"/>
      <c r="N605" s="39"/>
      <c r="O605" s="47"/>
      <c r="P605" s="57"/>
      <c r="Q605" s="276"/>
      <c r="R605" s="277"/>
      <c r="S605" s="277"/>
      <c r="T605" s="40"/>
      <c r="U605" s="278"/>
      <c r="V605" s="269"/>
      <c r="W605" s="269"/>
      <c r="X605" s="275"/>
      <c r="Y605" s="269"/>
      <c r="Z605" s="57"/>
      <c r="AA605" s="207"/>
      <c r="AB605" s="33"/>
      <c r="AC605" s="189"/>
      <c r="AD605" s="54"/>
      <c r="AE605" s="55"/>
      <c r="AF605" s="43"/>
      <c r="AG605" s="47"/>
      <c r="AH605" s="30"/>
      <c r="AI605" s="30"/>
      <c r="AJ605" s="30"/>
      <c r="AK605" s="30"/>
      <c r="AL605" s="13"/>
      <c r="AM605" s="13"/>
      <c r="AN605" s="13"/>
      <c r="AO605" s="13"/>
      <c r="AP605" s="13"/>
      <c r="AQ605" s="14"/>
      <c r="AR605" s="15"/>
    </row>
    <row r="606" spans="1:44" s="17" customFormat="1" ht="30.95" hidden="1" customHeight="1" x14ac:dyDescent="0.2">
      <c r="A606" s="37"/>
      <c r="B606" s="38"/>
      <c r="C606" s="45"/>
      <c r="D606" s="31"/>
      <c r="E606" s="31"/>
      <c r="F606" s="268"/>
      <c r="G606" s="269"/>
      <c r="H606" s="269"/>
      <c r="I606" s="270"/>
      <c r="J606" s="32"/>
      <c r="K606" s="270"/>
      <c r="L606" s="270"/>
      <c r="M606" s="39"/>
      <c r="N606" s="39"/>
      <c r="O606" s="47"/>
      <c r="P606" s="57"/>
      <c r="Q606" s="276"/>
      <c r="R606" s="277"/>
      <c r="S606" s="277"/>
      <c r="T606" s="40"/>
      <c r="U606" s="278"/>
      <c r="V606" s="269"/>
      <c r="W606" s="269"/>
      <c r="X606" s="275"/>
      <c r="Y606" s="269"/>
      <c r="Z606" s="57"/>
      <c r="AA606" s="207"/>
      <c r="AB606" s="33"/>
      <c r="AC606" s="189"/>
      <c r="AD606" s="54"/>
      <c r="AE606" s="55"/>
      <c r="AF606" s="43"/>
      <c r="AG606" s="47"/>
      <c r="AH606" s="30"/>
      <c r="AI606" s="30"/>
      <c r="AJ606" s="30"/>
      <c r="AK606" s="30"/>
      <c r="AL606" s="13"/>
      <c r="AM606" s="13"/>
      <c r="AN606" s="13"/>
      <c r="AO606" s="13"/>
      <c r="AP606" s="13"/>
      <c r="AQ606" s="14"/>
      <c r="AR606" s="15"/>
    </row>
    <row r="607" spans="1:44" s="17" customFormat="1" ht="30.95" hidden="1" customHeight="1" x14ac:dyDescent="0.2">
      <c r="A607" s="37" t="s">
        <v>514</v>
      </c>
      <c r="B607" s="38" t="s">
        <v>462</v>
      </c>
      <c r="C607" s="45"/>
      <c r="D607" s="31">
        <v>3716262</v>
      </c>
      <c r="E607" s="31">
        <v>4151423</v>
      </c>
      <c r="F607" s="268" t="str">
        <f>IF(D607="","",VLOOKUP(D607,契約台帳!$A$3:$K$4986,6,FALSE)&amp;VLOOKUP(D607,契約台帳!$A$3:$K$4986,7,FALSE)&amp;VLOOKUP(D607,契約台帳!$A$3:$K$4986,8,FALSE)&amp;VLOOKUP(D607,契約台帳!$A$3:$K$4986,9,FALSE)&amp;VLOOKUP(D607,契約台帳!$A$3:$K$4986,11,FALSE))</f>
        <v>3SNMLBMNNGKBF</v>
      </c>
      <c r="G607" s="269" t="str">
        <f>IF(D607="","",VLOOKUP(F607,製品マスタ!$G$5:$H$5002,2,FALSE))</f>
        <v>S</v>
      </c>
      <c r="H607" s="269" t="str">
        <f>IF(D607="","",VLOOKUP(F607,製品マスタ!$G$5:$K$5002,5,FALSE))</f>
        <v>MNNGKBF</v>
      </c>
      <c r="I607" s="270" t="str">
        <f>IF(D607="","",VLOOKUP(F607,製品マスタ!$G$5:$L$5002,6,FALSE))</f>
        <v>メタルミー　ニューネーマー銀消　Ｂ</v>
      </c>
      <c r="J607" s="32" t="s">
        <v>447</v>
      </c>
      <c r="K607" s="270">
        <f>IF(D607="","",VLOOKUP(D607,契約台帳!$A$3:$L$4986,12,FALSE))</f>
        <v>25</v>
      </c>
      <c r="L607" s="270" t="str">
        <f>IF(D607="","",INDEX(製品マスタ!$Q$5:$Q$5002,MATCH(F607&amp;K607,製品マスタ!$AO$5:$AO$5002,0)))</f>
        <v>X44C</v>
      </c>
      <c r="M607" s="39">
        <v>1005</v>
      </c>
      <c r="N607" s="39">
        <v>8000</v>
      </c>
      <c r="O607" s="47">
        <v>2</v>
      </c>
      <c r="P607" s="57"/>
      <c r="Q607" s="276">
        <f>IF(D607="","",IF(J607="リード付け",M607,VLOOKUP(D607,契約台帳!$A$3:$N$4986,14,FALSE)))</f>
        <v>1005</v>
      </c>
      <c r="R607" s="277">
        <f>IF(D607="","",IF(J607="リード付け",M607,VLOOKUP(D607,契約台帳!$A$3:$O$4986,15,FALSE)))</f>
        <v>1000</v>
      </c>
      <c r="S607" s="277">
        <f>IF(D607="","",IF(J607="リード付け",N607,VLOOKUP(D607,契約台帳!$A$3:$P$4986,16,FALSE)))</f>
        <v>4000</v>
      </c>
      <c r="T607" s="40">
        <v>4</v>
      </c>
      <c r="U607" s="302">
        <f ca="1">IF(D607="","",IF(OFFSET(D607,-2,0)=D607,"",VLOOKUP(D607,契約台帳!$A$3:$R$4986,18,FALSE)))</f>
        <v>4</v>
      </c>
      <c r="V607" s="269" t="str">
        <f>IF(J607="巻返し",VLOOKUP(F607&amp;K607&amp;M607,製品マスタ!$M$5:$AD$5002,18,FALSE),IF(J607="リード付け","原反コア",IF(J607="スリット",VLOOKUP(F607&amp;K607&amp;Q607,製品マスタ!$N$5:$AD$5002,17,FALSE),"")))</f>
        <v>6ｲﾝﾁSｺｱ</v>
      </c>
      <c r="W607" s="269">
        <f>IF(J607="巻返し",VLOOKUP(F607&amp;K607&amp;M607,製品マスタ!$M$5:$AE$5002,19,FALSE),IF(J607="リード付け","-",IF(J607="スリット",VLOOKUP(F607&amp;K607&amp;Q607,製品マスタ!$N$5:$AE$5002,18,FALSE),"")))</f>
        <v>1015</v>
      </c>
      <c r="X607" s="275">
        <f>IF(D607="","",VLOOKUP(D607,契約台帳!$A$3:$Q$4986,17,FALSE))</f>
        <v>2</v>
      </c>
      <c r="Y607" s="269" t="str">
        <f>IF(D607="","",VLOOKUP(D607,契約台帳!$A$3:$E$4986,5,FALSE))</f>
        <v>リンテック㈱</v>
      </c>
      <c r="Z607" s="57">
        <v>45133</v>
      </c>
      <c r="AA607" s="303">
        <f>IFERROR(VLOOKUP(F607&amp;K607&amp;M607,製品マスタ!$M$5:$AM$5002,27,FALSE),"")</f>
        <v>0</v>
      </c>
      <c r="AB607" s="33"/>
      <c r="AC607" s="189"/>
      <c r="AD607" s="54" t="str">
        <f>IF(F607="","",+F607&amp;K607)</f>
        <v>3SNMLBMNNGKBF25</v>
      </c>
      <c r="AE607" s="55">
        <f>+M607*N607*O607/1000</f>
        <v>16080</v>
      </c>
      <c r="AF607" s="43">
        <f>IF(AD607="","",VLOOKUP(AD607,原価マスタ!$A$2:$AJ$1693,13,FALSE))</f>
        <v>98.3</v>
      </c>
      <c r="AG607" s="47">
        <f>IF(AF607="","",+AE607*AF607/100)</f>
        <v>15806.64</v>
      </c>
      <c r="AH607" s="30"/>
      <c r="AI607" s="30"/>
      <c r="AJ607" s="30"/>
      <c r="AK607" s="30"/>
      <c r="AL607" s="13"/>
      <c r="AM607" s="13"/>
      <c r="AN607" s="13"/>
      <c r="AO607" s="13"/>
      <c r="AP607" s="13"/>
      <c r="AQ607" s="14"/>
      <c r="AR607" s="15"/>
    </row>
    <row r="608" spans="1:44" s="17" customFormat="1" ht="30.95" hidden="1" customHeight="1" x14ac:dyDescent="0.2">
      <c r="A608" s="37"/>
      <c r="B608" s="38"/>
      <c r="C608" s="45"/>
      <c r="D608" s="31"/>
      <c r="E608" s="31"/>
      <c r="F608" s="268"/>
      <c r="G608" s="269"/>
      <c r="H608" s="269"/>
      <c r="I608" s="270"/>
      <c r="J608" s="32"/>
      <c r="K608" s="270"/>
      <c r="L608" s="270"/>
      <c r="M608" s="39"/>
      <c r="N608" s="39"/>
      <c r="O608" s="47"/>
      <c r="P608" s="57"/>
      <c r="Q608" s="276"/>
      <c r="R608" s="277"/>
      <c r="S608" s="277"/>
      <c r="T608" s="40"/>
      <c r="U608" s="278"/>
      <c r="V608" s="269"/>
      <c r="W608" s="269"/>
      <c r="X608" s="275"/>
      <c r="Y608" s="269"/>
      <c r="Z608" s="57"/>
      <c r="AA608" s="207"/>
      <c r="AB608" s="33"/>
      <c r="AC608" s="189"/>
      <c r="AD608" s="54"/>
      <c r="AE608" s="55"/>
      <c r="AF608" s="43"/>
      <c r="AG608" s="47"/>
      <c r="AH608" s="30"/>
      <c r="AI608" s="30"/>
      <c r="AJ608" s="30"/>
      <c r="AK608" s="30"/>
      <c r="AL608" s="13"/>
      <c r="AM608" s="13"/>
      <c r="AN608" s="13"/>
      <c r="AO608" s="13"/>
      <c r="AP608" s="13"/>
      <c r="AQ608" s="14"/>
      <c r="AR608" s="15"/>
    </row>
    <row r="609" spans="1:44" s="17" customFormat="1" ht="30.95" hidden="1" customHeight="1" x14ac:dyDescent="0.2">
      <c r="A609" s="37"/>
      <c r="B609" s="38"/>
      <c r="C609" s="45"/>
      <c r="D609" s="31">
        <v>3716263</v>
      </c>
      <c r="E609" s="31">
        <v>4151402</v>
      </c>
      <c r="F609" s="268" t="str">
        <f>IF(D609="","",VLOOKUP(D609,契約台帳!$A$3:$K$4986,6,FALSE)&amp;VLOOKUP(D609,契約台帳!$A$3:$K$4986,7,FALSE)&amp;VLOOKUP(D609,契約台帳!$A$3:$K$4986,8,FALSE)&amp;VLOOKUP(D609,契約台帳!$A$3:$K$4986,9,FALSE)&amp;VLOOKUP(D609,契約台帳!$A$3:$K$4986,11,FALSE))</f>
        <v>3SNMLBMNNGKBF</v>
      </c>
      <c r="G609" s="269" t="str">
        <f>IF(D609="","",VLOOKUP(F609,製品マスタ!$G$5:$H$5002,2,FALSE))</f>
        <v>S</v>
      </c>
      <c r="H609" s="269" t="str">
        <f>IF(D609="","",VLOOKUP(F609,製品マスタ!$G$5:$K$5002,5,FALSE))</f>
        <v>MNNGKBF</v>
      </c>
      <c r="I609" s="270" t="str">
        <f>IF(D609="","",VLOOKUP(F609,製品マスタ!$G$5:$L$5002,6,FALSE))</f>
        <v>メタルミー　ニューネーマー銀消　Ｂ</v>
      </c>
      <c r="J609" s="32" t="s">
        <v>447</v>
      </c>
      <c r="K609" s="270">
        <f>IF(D609="","",VLOOKUP(D609,契約台帳!$A$3:$L$4986,12,FALSE))</f>
        <v>50</v>
      </c>
      <c r="L609" s="270" t="str">
        <f>IF(D609="","",INDEX(製品マスタ!$Q$5:$Q$5002,MATCH(F609&amp;K609,製品マスタ!$AO$5:$AO$5002,0)))</f>
        <v>X44</v>
      </c>
      <c r="M609" s="39">
        <v>1000</v>
      </c>
      <c r="N609" s="39">
        <v>12000</v>
      </c>
      <c r="O609" s="47">
        <v>1</v>
      </c>
      <c r="P609" s="57"/>
      <c r="Q609" s="276">
        <f>IF(D609="","",IF(J609="リード付け",M609,VLOOKUP(D609,契約台帳!$A$3:$N$4986,14,FALSE)))</f>
        <v>1000</v>
      </c>
      <c r="R609" s="277">
        <f>IF(D609="","",IF(J609="リード付け",M609,VLOOKUP(D609,契約台帳!$A$3:$O$4986,15,FALSE)))</f>
        <v>1000</v>
      </c>
      <c r="S609" s="277">
        <f>IF(D609="","",IF(J609="リード付け",N609,VLOOKUP(D609,契約台帳!$A$3:$P$4986,16,FALSE)))</f>
        <v>4000</v>
      </c>
      <c r="T609" s="40">
        <v>3</v>
      </c>
      <c r="U609" s="302">
        <f ca="1">IF(D609="","",IF(OFFSET(D609,-2,0)=D609,"",VLOOKUP(D609,契約台帳!$A$3:$R$4986,18,FALSE)))</f>
        <v>4</v>
      </c>
      <c r="V609" s="269" t="str">
        <f>IF(J609="巻返し",VLOOKUP(F609&amp;K609&amp;M609,製品マスタ!$M$5:$AD$5002,18,FALSE),IF(J609="リード付け","原反コア",IF(J609="スリット",VLOOKUP(F609&amp;K609&amp;Q609,製品マスタ!$N$5:$AD$5002,17,FALSE),"")))</f>
        <v>6ｲﾝﾁSｺｱ</v>
      </c>
      <c r="W609" s="269">
        <f>IF(J609="巻返し",VLOOKUP(F609&amp;K609&amp;M609,製品マスタ!$M$5:$AE$5002,19,FALSE),IF(J609="リード付け","-",IF(J609="スリット",VLOOKUP(F609&amp;K609&amp;Q609,製品マスタ!$N$5:$AE$5002,18,FALSE),"")))</f>
        <v>1005</v>
      </c>
      <c r="X609" s="275">
        <f>IF(D609="","",VLOOKUP(D609,契約台帳!$A$3:$Q$4986,17,FALSE))</f>
        <v>2</v>
      </c>
      <c r="Y609" s="269" t="str">
        <f>IF(D609="","",VLOOKUP(D609,契約台帳!$A$3:$E$4986,5,FALSE))</f>
        <v>リンテック㈱</v>
      </c>
      <c r="Z609" s="57">
        <v>45133</v>
      </c>
      <c r="AA609" s="303" t="str">
        <f>IFERROR(VLOOKUP(F609&amp;K609&amp;M609,製品マスタ!$M$5:$AM$5002,27,FALSE),"")</f>
        <v>原反ケース再利用</v>
      </c>
      <c r="AB609" s="33"/>
      <c r="AC609" s="189"/>
      <c r="AD609" s="54" t="str">
        <f>IF(F609="","",+F609&amp;K609)</f>
        <v>3SNMLBMNNGKBF50</v>
      </c>
      <c r="AE609" s="55">
        <f>+M609*N609*O609/1000</f>
        <v>12000</v>
      </c>
      <c r="AF609" s="43">
        <f>IF(AD609="","",VLOOKUP(AD609,原価マスタ!$A$2:$AJ$1693,13,FALSE))</f>
        <v>99</v>
      </c>
      <c r="AG609" s="47">
        <f>IF(AF609="","",+AE609*AF609/100)</f>
        <v>11880</v>
      </c>
      <c r="AH609" s="30"/>
      <c r="AI609" s="30"/>
      <c r="AJ609" s="30"/>
      <c r="AK609" s="30"/>
      <c r="AL609" s="13"/>
      <c r="AM609" s="13"/>
      <c r="AN609" s="13"/>
      <c r="AO609" s="13"/>
      <c r="AP609" s="13"/>
      <c r="AQ609" s="14"/>
      <c r="AR609" s="15"/>
    </row>
    <row r="610" spans="1:44" s="17" customFormat="1" ht="30.95" hidden="1" customHeight="1" x14ac:dyDescent="0.2">
      <c r="A610" s="37"/>
      <c r="B610" s="38"/>
      <c r="C610" s="45"/>
      <c r="D610" s="31"/>
      <c r="E610" s="31"/>
      <c r="F610" s="268"/>
      <c r="G610" s="269"/>
      <c r="H610" s="269"/>
      <c r="I610" s="270"/>
      <c r="J610" s="32"/>
      <c r="K610" s="270"/>
      <c r="L610" s="270"/>
      <c r="M610" s="39"/>
      <c r="N610" s="39"/>
      <c r="O610" s="47"/>
      <c r="P610" s="57"/>
      <c r="Q610" s="276"/>
      <c r="R610" s="277"/>
      <c r="S610" s="277"/>
      <c r="T610" s="40"/>
      <c r="U610" s="278"/>
      <c r="V610" s="269"/>
      <c r="W610" s="269"/>
      <c r="X610" s="275"/>
      <c r="Y610" s="269"/>
      <c r="Z610" s="57"/>
      <c r="AA610" s="207"/>
      <c r="AB610" s="33"/>
      <c r="AC610" s="189"/>
      <c r="AD610" s="54"/>
      <c r="AE610" s="55"/>
      <c r="AF610" s="43"/>
      <c r="AG610" s="47"/>
      <c r="AH610" s="30"/>
      <c r="AI610" s="30"/>
      <c r="AJ610" s="30"/>
      <c r="AK610" s="30"/>
      <c r="AL610" s="13"/>
      <c r="AM610" s="13"/>
      <c r="AN610" s="13"/>
      <c r="AO610" s="13"/>
      <c r="AP610" s="13"/>
      <c r="AQ610" s="14"/>
      <c r="AR610" s="15"/>
    </row>
    <row r="611" spans="1:44" s="17" customFormat="1" ht="30.95" hidden="1" customHeight="1" x14ac:dyDescent="0.2">
      <c r="A611" s="37"/>
      <c r="B611" s="38"/>
      <c r="C611" s="45"/>
      <c r="D611" s="31">
        <v>3716263</v>
      </c>
      <c r="E611" s="31">
        <v>4151402</v>
      </c>
      <c r="F611" s="268" t="str">
        <f>IF(D611="","",VLOOKUP(D611,契約台帳!$A$3:$K$4986,6,FALSE)&amp;VLOOKUP(D611,契約台帳!$A$3:$K$4986,7,FALSE)&amp;VLOOKUP(D611,契約台帳!$A$3:$K$4986,8,FALSE)&amp;VLOOKUP(D611,契約台帳!$A$3:$K$4986,9,FALSE)&amp;VLOOKUP(D611,契約台帳!$A$3:$K$4986,11,FALSE))</f>
        <v>3SNMLBMNNGKBF</v>
      </c>
      <c r="G611" s="269" t="str">
        <f>IF(D611="","",VLOOKUP(F611,製品マスタ!$G$5:$H$5002,2,FALSE))</f>
        <v>S</v>
      </c>
      <c r="H611" s="269" t="str">
        <f>IF(D611="","",VLOOKUP(F611,製品マスタ!$G$5:$K$5002,5,FALSE))</f>
        <v>MNNGKBF</v>
      </c>
      <c r="I611" s="270" t="str">
        <f>IF(D611="","",VLOOKUP(F611,製品マスタ!$G$5:$L$5002,6,FALSE))</f>
        <v>メタルミー　ニューネーマー銀消　Ｂ</v>
      </c>
      <c r="J611" s="32" t="s">
        <v>447</v>
      </c>
      <c r="K611" s="270">
        <f>IF(D611="","",VLOOKUP(D611,契約台帳!$A$3:$L$4986,12,FALSE))</f>
        <v>50</v>
      </c>
      <c r="L611" s="270" t="str">
        <f>IF(D611="","",INDEX(製品マスタ!$Q$5:$Q$5002,MATCH(F611&amp;K611,製品マスタ!$AO$5:$AO$5002,0)))</f>
        <v>X44</v>
      </c>
      <c r="M611" s="39">
        <v>1000</v>
      </c>
      <c r="N611" s="39">
        <v>12000</v>
      </c>
      <c r="O611" s="47">
        <v>1</v>
      </c>
      <c r="P611" s="57"/>
      <c r="Q611" s="276">
        <f>IF(D611="","",IF(J611="リード付け",M611,VLOOKUP(D611,契約台帳!$A$3:$N$4986,14,FALSE)))</f>
        <v>1000</v>
      </c>
      <c r="R611" s="277">
        <f>IF(D611="","",IF(J611="リード付け",M611,VLOOKUP(D611,契約台帳!$A$3:$O$4986,15,FALSE)))</f>
        <v>1000</v>
      </c>
      <c r="S611" s="277">
        <f>IF(D611="","",IF(J611="リード付け",N611,VLOOKUP(D611,契約台帳!$A$3:$P$4986,16,FALSE)))</f>
        <v>4000</v>
      </c>
      <c r="T611" s="40">
        <v>1</v>
      </c>
      <c r="U611" s="302" t="str">
        <f ca="1">IF(D611="","",IF(OFFSET(D611,-2,0)=D611,"",VLOOKUP(D611,契約台帳!$A$3:$R$4986,18,FALSE)))</f>
        <v/>
      </c>
      <c r="V611" s="269" t="str">
        <f>IF(J611="巻返し",VLOOKUP(F611&amp;K611&amp;M611,製品マスタ!$M$5:$AD$5002,18,FALSE),IF(J611="リード付け","原反コア",IF(J611="スリット",VLOOKUP(F611&amp;K611&amp;Q611,製品マスタ!$N$5:$AD$5002,17,FALSE),"")))</f>
        <v>6ｲﾝﾁSｺｱ</v>
      </c>
      <c r="W611" s="269">
        <f>IF(J611="巻返し",VLOOKUP(F611&amp;K611&amp;M611,製品マスタ!$M$5:$AE$5002,19,FALSE),IF(J611="リード付け","-",IF(J611="スリット",VLOOKUP(F611&amp;K611&amp;Q611,製品マスタ!$N$5:$AE$5002,18,FALSE),"")))</f>
        <v>1005</v>
      </c>
      <c r="X611" s="275">
        <f>IF(D611="","",VLOOKUP(D611,契約台帳!$A$3:$Q$4986,17,FALSE))</f>
        <v>2</v>
      </c>
      <c r="Y611" s="269" t="str">
        <f>IF(D611="","",VLOOKUP(D611,契約台帳!$A$3:$E$4986,5,FALSE))</f>
        <v>リンテック㈱</v>
      </c>
      <c r="Z611" s="57">
        <v>45133</v>
      </c>
      <c r="AA611" s="303" t="str">
        <f>IFERROR(VLOOKUP(F611&amp;K611&amp;M611,製品マスタ!$M$5:$AM$5002,27,FALSE),"")</f>
        <v>原反ケース再利用</v>
      </c>
      <c r="AB611" s="33"/>
      <c r="AC611" s="189"/>
      <c r="AD611" s="54" t="str">
        <f>IF(F611="","",+F611&amp;K611)</f>
        <v>3SNMLBMNNGKBF50</v>
      </c>
      <c r="AE611" s="55">
        <f>+M611*N611*O611/1000</f>
        <v>12000</v>
      </c>
      <c r="AF611" s="43">
        <f>IF(AD611="","",VLOOKUP(AD611,原価マスタ!$A$2:$AJ$1693,13,FALSE))</f>
        <v>99</v>
      </c>
      <c r="AG611" s="47">
        <f>IF(AF611="","",+AE611*AF611/100)</f>
        <v>11880</v>
      </c>
      <c r="AH611" s="30"/>
      <c r="AI611" s="30"/>
      <c r="AJ611" s="30"/>
      <c r="AK611" s="30"/>
      <c r="AL611" s="13"/>
      <c r="AM611" s="13"/>
      <c r="AN611" s="13"/>
      <c r="AO611" s="13"/>
      <c r="AP611" s="13"/>
      <c r="AQ611" s="14"/>
      <c r="AR611" s="15"/>
    </row>
    <row r="612" spans="1:44" s="17" customFormat="1" ht="30.95" hidden="1" customHeight="1" x14ac:dyDescent="0.2">
      <c r="A612" s="37"/>
      <c r="B612" s="38"/>
      <c r="C612" s="45"/>
      <c r="D612" s="31">
        <v>3716264</v>
      </c>
      <c r="E612" s="31"/>
      <c r="F612" s="268" t="str">
        <f>IF(D612="","",VLOOKUP(D612,契約台帳!$A$3:$K$4986,6,FALSE)&amp;VLOOKUP(D612,契約台帳!$A$3:$K$4986,7,FALSE)&amp;VLOOKUP(D612,契約台帳!$A$3:$K$4986,8,FALSE)&amp;VLOOKUP(D612,契約台帳!$A$3:$K$4986,9,FALSE)&amp;VLOOKUP(D612,契約台帳!$A$3:$K$4986,11,FALSE))</f>
        <v>3SNMLBMNNGKBF</v>
      </c>
      <c r="G612" s="269" t="str">
        <f>IF(D612="","",VLOOKUP(F612,製品マスタ!$G$5:$H$5002,2,FALSE))</f>
        <v>S</v>
      </c>
      <c r="H612" s="269" t="str">
        <f>IF(D612="","",VLOOKUP(F612,製品マスタ!$G$5:$K$5002,5,FALSE))</f>
        <v>MNNGKBF</v>
      </c>
      <c r="I612" s="270" t="str">
        <f>IF(D612="","",VLOOKUP(F612,製品マスタ!$G$5:$L$5002,6,FALSE))</f>
        <v>メタルミー　ニューネーマー銀消　Ｂ</v>
      </c>
      <c r="J612" s="32" t="s">
        <v>447</v>
      </c>
      <c r="K612" s="270">
        <f>IF(D612="","",VLOOKUP(D612,契約台帳!$A$3:$L$4986,12,FALSE))</f>
        <v>50</v>
      </c>
      <c r="L612" s="270" t="str">
        <f>IF(D612="","",INDEX(製品マスタ!$Q$5:$Q$5002,MATCH(F612&amp;K612,製品マスタ!$AO$5:$AO$5002,0)))</f>
        <v>X44</v>
      </c>
      <c r="M612" s="39">
        <v>1000</v>
      </c>
      <c r="N612" s="39"/>
      <c r="O612" s="47"/>
      <c r="P612" s="57"/>
      <c r="Q612" s="276">
        <f>IF(D612="","",IF(J612="リード付け",M612,VLOOKUP(D612,契約台帳!$A$3:$N$4986,14,FALSE)))</f>
        <v>1000</v>
      </c>
      <c r="R612" s="277">
        <f>IF(D612="","",IF(J612="リード付け",M612,VLOOKUP(D612,契約台帳!$A$3:$O$4986,15,FALSE)))</f>
        <v>1000</v>
      </c>
      <c r="S612" s="277">
        <f>IF(D612="","",IF(J612="リード付け",N612,VLOOKUP(D612,契約台帳!$A$3:$P$4986,16,FALSE)))</f>
        <v>4000</v>
      </c>
      <c r="T612" s="40">
        <v>2</v>
      </c>
      <c r="U612" s="302">
        <f ca="1">IF(D612="","",IF(OFFSET(D612,-2,0)=D612,"",VLOOKUP(D612,契約台帳!$A$3:$R$4986,18,FALSE)))</f>
        <v>14</v>
      </c>
      <c r="V612" s="269" t="str">
        <f>IF(J612="巻返し",VLOOKUP(F612&amp;K612&amp;M612,製品マスタ!$M$5:$AD$5002,18,FALSE),IF(J612="リード付け","原反コア",IF(J612="スリット",VLOOKUP(F612&amp;K612&amp;Q612,製品マスタ!$N$5:$AD$5002,17,FALSE),"")))</f>
        <v>6ｲﾝﾁSｺｱ</v>
      </c>
      <c r="W612" s="269">
        <f>IF(J612="巻返し",VLOOKUP(F612&amp;K612&amp;M612,製品マスタ!$M$5:$AE$5002,19,FALSE),IF(J612="リード付け","-",IF(J612="スリット",VLOOKUP(F612&amp;K612&amp;Q612,製品マスタ!$N$5:$AE$5002,18,FALSE),"")))</f>
        <v>1005</v>
      </c>
      <c r="X612" s="275">
        <f>IF(D612="","",VLOOKUP(D612,契約台帳!$A$3:$Q$4986,17,FALSE))</f>
        <v>2</v>
      </c>
      <c r="Y612" s="269" t="str">
        <f>IF(D612="","",VLOOKUP(D612,契約台帳!$A$3:$E$4986,5,FALSE))</f>
        <v>リンテック㈱</v>
      </c>
      <c r="Z612" s="57"/>
      <c r="AA612" s="303" t="str">
        <f>IFERROR(VLOOKUP(F612&amp;K612&amp;M612,製品マスタ!$M$5:$AM$5002,27,FALSE),"")</f>
        <v>原反ケース再利用</v>
      </c>
      <c r="AB612" s="33"/>
      <c r="AC612" s="189"/>
      <c r="AD612" s="54"/>
      <c r="AE612" s="55"/>
      <c r="AF612" s="43"/>
      <c r="AG612" s="47" t="str">
        <f>IF(AF612="","",+AE612*AF612/100)</f>
        <v/>
      </c>
      <c r="AH612" s="30"/>
      <c r="AI612" s="30"/>
      <c r="AJ612" s="30"/>
      <c r="AK612" s="30"/>
      <c r="AL612" s="13"/>
      <c r="AM612" s="13"/>
      <c r="AN612" s="13"/>
      <c r="AO612" s="13"/>
      <c r="AP612" s="13"/>
      <c r="AQ612" s="14"/>
      <c r="AR612" s="15"/>
    </row>
    <row r="613" spans="1:44" s="17" customFormat="1" ht="30.95" hidden="1" customHeight="1" x14ac:dyDescent="0.2">
      <c r="A613" s="37"/>
      <c r="B613" s="38"/>
      <c r="C613" s="45"/>
      <c r="D613" s="31"/>
      <c r="E613" s="31"/>
      <c r="F613" s="268"/>
      <c r="G613" s="269"/>
      <c r="H613" s="269"/>
      <c r="I613" s="270"/>
      <c r="J613" s="32"/>
      <c r="K613" s="270"/>
      <c r="L613" s="270"/>
      <c r="M613" s="39"/>
      <c r="N613" s="39"/>
      <c r="O613" s="47"/>
      <c r="P613" s="57"/>
      <c r="Q613" s="276"/>
      <c r="R613" s="277"/>
      <c r="S613" s="277"/>
      <c r="T613" s="40"/>
      <c r="U613" s="278"/>
      <c r="V613" s="269"/>
      <c r="W613" s="269"/>
      <c r="X613" s="275"/>
      <c r="Y613" s="269"/>
      <c r="Z613" s="57"/>
      <c r="AA613" s="207"/>
      <c r="AB613" s="33"/>
      <c r="AC613" s="189"/>
      <c r="AD613" s="54"/>
      <c r="AE613" s="55"/>
      <c r="AF613" s="43"/>
      <c r="AG613" s="47"/>
      <c r="AH613" s="30"/>
      <c r="AI613" s="30"/>
      <c r="AJ613" s="30"/>
      <c r="AK613" s="30"/>
      <c r="AL613" s="13"/>
      <c r="AM613" s="13"/>
      <c r="AN613" s="13"/>
      <c r="AO613" s="13"/>
      <c r="AP613" s="13"/>
      <c r="AQ613" s="14"/>
      <c r="AR613" s="15"/>
    </row>
    <row r="614" spans="1:44" s="17" customFormat="1" ht="30.95" hidden="1" customHeight="1" x14ac:dyDescent="0.2">
      <c r="A614" s="37"/>
      <c r="B614" s="38"/>
      <c r="C614" s="45"/>
      <c r="D614" s="31">
        <v>3716264</v>
      </c>
      <c r="E614" s="31">
        <v>4151403</v>
      </c>
      <c r="F614" s="268" t="str">
        <f>IF(D614="","",VLOOKUP(D614,契約台帳!$A$3:$K$4986,6,FALSE)&amp;VLOOKUP(D614,契約台帳!$A$3:$K$4986,7,FALSE)&amp;VLOOKUP(D614,契約台帳!$A$3:$K$4986,8,FALSE)&amp;VLOOKUP(D614,契約台帳!$A$3:$K$4986,9,FALSE)&amp;VLOOKUP(D614,契約台帳!$A$3:$K$4986,11,FALSE))</f>
        <v>3SNMLBMNNGKBF</v>
      </c>
      <c r="G614" s="269" t="str">
        <f>IF(D614="","",VLOOKUP(F614,製品マスタ!$G$5:$H$5002,2,FALSE))</f>
        <v>S</v>
      </c>
      <c r="H614" s="269" t="str">
        <f>IF(D614="","",VLOOKUP(F614,製品マスタ!$G$5:$K$5002,5,FALSE))</f>
        <v>MNNGKBF</v>
      </c>
      <c r="I614" s="270" t="str">
        <f>IF(D614="","",VLOOKUP(F614,製品マスタ!$G$5:$L$5002,6,FALSE))</f>
        <v>メタルミー　ニューネーマー銀消　Ｂ</v>
      </c>
      <c r="J614" s="32" t="s">
        <v>447</v>
      </c>
      <c r="K614" s="270">
        <f>IF(D614="","",VLOOKUP(D614,契約台帳!$A$3:$L$4986,12,FALSE))</f>
        <v>50</v>
      </c>
      <c r="L614" s="270" t="str">
        <f>IF(D614="","",INDEX(製品マスタ!$Q$5:$Q$5002,MATCH(F614&amp;K614,製品マスタ!$AO$5:$AO$5002,0)))</f>
        <v>X44</v>
      </c>
      <c r="M614" s="39">
        <v>1000</v>
      </c>
      <c r="N614" s="39">
        <v>12000</v>
      </c>
      <c r="O614" s="47">
        <v>1</v>
      </c>
      <c r="P614" s="57"/>
      <c r="Q614" s="276">
        <f>IF(D614="","",IF(J614="リード付け",M614,VLOOKUP(D614,契約台帳!$A$3:$N$4986,14,FALSE)))</f>
        <v>1000</v>
      </c>
      <c r="R614" s="277">
        <f>IF(D614="","",IF(J614="リード付け",M614,VLOOKUP(D614,契約台帳!$A$3:$O$4986,15,FALSE)))</f>
        <v>1000</v>
      </c>
      <c r="S614" s="277">
        <f>IF(D614="","",IF(J614="リード付け",N614,VLOOKUP(D614,契約台帳!$A$3:$P$4986,16,FALSE)))</f>
        <v>4000</v>
      </c>
      <c r="T614" s="40">
        <v>3</v>
      </c>
      <c r="U614" s="302" t="str">
        <f ca="1">IF(D614="","",IF(OFFSET(D614,-2,0)=D614,"",VLOOKUP(D614,契約台帳!$A$3:$R$4986,18,FALSE)))</f>
        <v/>
      </c>
      <c r="V614" s="269" t="str">
        <f>IF(J614="巻返し",VLOOKUP(F614&amp;K614&amp;M614,製品マスタ!$M$5:$AD$5002,18,FALSE),IF(J614="リード付け","原反コア",IF(J614="スリット",VLOOKUP(F614&amp;K614&amp;Q614,製品マスタ!$N$5:$AD$5002,17,FALSE),"")))</f>
        <v>6ｲﾝﾁSｺｱ</v>
      </c>
      <c r="W614" s="269">
        <f>IF(J614="巻返し",VLOOKUP(F614&amp;K614&amp;M614,製品マスタ!$M$5:$AE$5002,19,FALSE),IF(J614="リード付け","-",IF(J614="スリット",VLOOKUP(F614&amp;K614&amp;Q614,製品マスタ!$N$5:$AE$5002,18,FALSE),"")))</f>
        <v>1005</v>
      </c>
      <c r="X614" s="275">
        <f>IF(D614="","",VLOOKUP(D614,契約台帳!$A$3:$Q$4986,17,FALSE))</f>
        <v>2</v>
      </c>
      <c r="Y614" s="269" t="str">
        <f>IF(D614="","",VLOOKUP(D614,契約台帳!$A$3:$E$4986,5,FALSE))</f>
        <v>リンテック㈱</v>
      </c>
      <c r="Z614" s="57">
        <v>45133</v>
      </c>
      <c r="AA614" s="303" t="str">
        <f>IFERROR(VLOOKUP(F614&amp;K614&amp;M614,製品マスタ!$M$5:$AM$5002,27,FALSE),"")</f>
        <v>原反ケース再利用</v>
      </c>
      <c r="AB614" s="33"/>
      <c r="AC614" s="189"/>
      <c r="AD614" s="54" t="str">
        <f>IF(F614="","",+F614&amp;K614)</f>
        <v>3SNMLBMNNGKBF50</v>
      </c>
      <c r="AE614" s="55">
        <f>+M614*N614*O614/1000</f>
        <v>12000</v>
      </c>
      <c r="AF614" s="43">
        <f>IF(AD614="","",VLOOKUP(AD614,原価マスタ!$A$2:$AJ$1693,13,FALSE))</f>
        <v>99</v>
      </c>
      <c r="AG614" s="47">
        <f>IF(AF614="","",+AE614*AF614/100)</f>
        <v>11880</v>
      </c>
      <c r="AH614" s="30"/>
      <c r="AI614" s="30"/>
      <c r="AJ614" s="30"/>
      <c r="AK614" s="30"/>
      <c r="AL614" s="13"/>
      <c r="AM614" s="13"/>
      <c r="AN614" s="13"/>
      <c r="AO614" s="13"/>
      <c r="AP614" s="13"/>
      <c r="AQ614" s="14"/>
      <c r="AR614" s="15"/>
    </row>
    <row r="615" spans="1:44" s="17" customFormat="1" ht="30.95" hidden="1" customHeight="1" x14ac:dyDescent="0.2">
      <c r="A615" s="37"/>
      <c r="B615" s="38"/>
      <c r="C615" s="45"/>
      <c r="D615" s="31"/>
      <c r="E615" s="31"/>
      <c r="F615" s="268"/>
      <c r="G615" s="269"/>
      <c r="H615" s="269"/>
      <c r="I615" s="270"/>
      <c r="J615" s="32"/>
      <c r="K615" s="270"/>
      <c r="L615" s="270"/>
      <c r="M615" s="39"/>
      <c r="N615" s="39"/>
      <c r="O615" s="47"/>
      <c r="P615" s="57"/>
      <c r="Q615" s="276"/>
      <c r="R615" s="277"/>
      <c r="S615" s="277"/>
      <c r="T615" s="40"/>
      <c r="U615" s="278"/>
      <c r="V615" s="269"/>
      <c r="W615" s="269"/>
      <c r="X615" s="275"/>
      <c r="Y615" s="269"/>
      <c r="Z615" s="57"/>
      <c r="AA615" s="207"/>
      <c r="AB615" s="33"/>
      <c r="AC615" s="189"/>
      <c r="AD615" s="54"/>
      <c r="AE615" s="55"/>
      <c r="AF615" s="43"/>
      <c r="AG615" s="47"/>
      <c r="AH615" s="30"/>
      <c r="AI615" s="30"/>
      <c r="AJ615" s="30"/>
      <c r="AK615" s="30"/>
      <c r="AL615" s="13"/>
      <c r="AM615" s="13"/>
      <c r="AN615" s="13"/>
      <c r="AO615" s="13"/>
      <c r="AP615" s="13"/>
      <c r="AQ615" s="14"/>
      <c r="AR615" s="15"/>
    </row>
    <row r="616" spans="1:44" s="17" customFormat="1" ht="30.95" hidden="1" customHeight="1" x14ac:dyDescent="0.2">
      <c r="A616" s="37" t="s">
        <v>515</v>
      </c>
      <c r="B616" s="38" t="s">
        <v>688</v>
      </c>
      <c r="C616" s="45"/>
      <c r="D616" s="31">
        <v>3716264</v>
      </c>
      <c r="E616" s="31">
        <v>4151403</v>
      </c>
      <c r="F616" s="268" t="str">
        <f>IF(D616="","",VLOOKUP(D616,契約台帳!$A$3:$K$4986,6,FALSE)&amp;VLOOKUP(D616,契約台帳!$A$3:$K$4986,7,FALSE)&amp;VLOOKUP(D616,契約台帳!$A$3:$K$4986,8,FALSE)&amp;VLOOKUP(D616,契約台帳!$A$3:$K$4986,9,FALSE)&amp;VLOOKUP(D616,契約台帳!$A$3:$K$4986,11,FALSE))</f>
        <v>3SNMLBMNNGKBF</v>
      </c>
      <c r="G616" s="269" t="str">
        <f>IF(D616="","",VLOOKUP(F616,製品マスタ!$G$5:$H$5002,2,FALSE))</f>
        <v>S</v>
      </c>
      <c r="H616" s="269" t="str">
        <f>IF(D616="","",VLOOKUP(F616,製品マスタ!$G$5:$K$5002,5,FALSE))</f>
        <v>MNNGKBF</v>
      </c>
      <c r="I616" s="270" t="str">
        <f>IF(D616="","",VLOOKUP(F616,製品マスタ!$G$5:$L$5002,6,FALSE))</f>
        <v>メタルミー　ニューネーマー銀消　Ｂ</v>
      </c>
      <c r="J616" s="32" t="s">
        <v>447</v>
      </c>
      <c r="K616" s="270">
        <f>IF(D616="","",VLOOKUP(D616,契約台帳!$A$3:$L$4986,12,FALSE))</f>
        <v>50</v>
      </c>
      <c r="L616" s="270" t="str">
        <f>IF(D616="","",INDEX(製品マスタ!$Q$5:$Q$5002,MATCH(F616&amp;K616,製品マスタ!$AO$5:$AO$5002,0)))</f>
        <v>X44</v>
      </c>
      <c r="M616" s="39">
        <v>1000</v>
      </c>
      <c r="N616" s="39">
        <v>12000</v>
      </c>
      <c r="O616" s="47">
        <v>3</v>
      </c>
      <c r="P616" s="57"/>
      <c r="Q616" s="276">
        <f>IF(D616="","",IF(J616="リード付け",M616,VLOOKUP(D616,契約台帳!$A$3:$N$4986,14,FALSE)))</f>
        <v>1000</v>
      </c>
      <c r="R616" s="277">
        <f>IF(D616="","",IF(J616="リード付け",M616,VLOOKUP(D616,契約台帳!$A$3:$O$4986,15,FALSE)))</f>
        <v>1000</v>
      </c>
      <c r="S616" s="277">
        <f>IF(D616="","",IF(J616="リード付け",N616,VLOOKUP(D616,契約台帳!$A$3:$P$4986,16,FALSE)))</f>
        <v>4000</v>
      </c>
      <c r="T616" s="40">
        <v>9</v>
      </c>
      <c r="U616" s="302" t="str">
        <f ca="1">IF(D616="","",IF(OFFSET(D616,-2,0)=D616,"",VLOOKUP(D616,契約台帳!$A$3:$R$4986,18,FALSE)))</f>
        <v/>
      </c>
      <c r="V616" s="269" t="str">
        <f>IF(J616="巻返し",VLOOKUP(F616&amp;K616&amp;M616,製品マスタ!$M$5:$AD$5002,18,FALSE),IF(J616="リード付け","原反コア",IF(J616="スリット",VLOOKUP(F616&amp;K616&amp;Q616,製品マスタ!$N$5:$AD$5002,17,FALSE),"")))</f>
        <v>6ｲﾝﾁSｺｱ</v>
      </c>
      <c r="W616" s="269">
        <f>IF(J616="巻返し",VLOOKUP(F616&amp;K616&amp;M616,製品マスタ!$M$5:$AE$5002,19,FALSE),IF(J616="リード付け","-",IF(J616="スリット",VLOOKUP(F616&amp;K616&amp;Q616,製品マスタ!$N$5:$AE$5002,18,FALSE),"")))</f>
        <v>1005</v>
      </c>
      <c r="X616" s="275">
        <f>IF(D616="","",VLOOKUP(D616,契約台帳!$A$3:$Q$4986,17,FALSE))</f>
        <v>2</v>
      </c>
      <c r="Y616" s="269" t="str">
        <f>IF(D616="","",VLOOKUP(D616,契約台帳!$A$3:$E$4986,5,FALSE))</f>
        <v>リンテック㈱</v>
      </c>
      <c r="Z616" s="57">
        <v>45134</v>
      </c>
      <c r="AA616" s="303" t="str">
        <f>IFERROR(VLOOKUP(F616&amp;K616&amp;M616,製品マスタ!$M$5:$AM$5002,27,FALSE),"")</f>
        <v>原反ケース再利用</v>
      </c>
      <c r="AB616" s="33"/>
      <c r="AC616" s="189"/>
      <c r="AD616" s="54" t="str">
        <f>IF(F616="","",+F616&amp;K616)</f>
        <v>3SNMLBMNNGKBF50</v>
      </c>
      <c r="AE616" s="55">
        <f>+M616*N616*O616/1000</f>
        <v>36000</v>
      </c>
      <c r="AF616" s="43">
        <f>IF(AD616="","",VLOOKUP(AD616,原価マスタ!$A$2:$AJ$1693,13,FALSE))</f>
        <v>99</v>
      </c>
      <c r="AG616" s="47">
        <f>IF(AF616="","",+AE616*AF616/100)</f>
        <v>35640</v>
      </c>
      <c r="AH616" s="30"/>
      <c r="AI616" s="30"/>
      <c r="AJ616" s="30"/>
      <c r="AK616" s="30"/>
      <c r="AL616" s="13"/>
      <c r="AM616" s="13"/>
      <c r="AN616" s="13"/>
      <c r="AO616" s="13"/>
      <c r="AP616" s="13"/>
      <c r="AQ616" s="14"/>
      <c r="AR616" s="15"/>
    </row>
    <row r="617" spans="1:44" s="17" customFormat="1" ht="30.95" hidden="1" customHeight="1" x14ac:dyDescent="0.2">
      <c r="A617" s="37"/>
      <c r="B617" s="38"/>
      <c r="C617" s="45"/>
      <c r="D617" s="31"/>
      <c r="E617" s="31"/>
      <c r="F617" s="268"/>
      <c r="G617" s="269"/>
      <c r="H617" s="269"/>
      <c r="I617" s="270"/>
      <c r="J617" s="32"/>
      <c r="K617" s="270"/>
      <c r="L617" s="270"/>
      <c r="M617" s="39"/>
      <c r="N617" s="39"/>
      <c r="O617" s="47"/>
      <c r="P617" s="57"/>
      <c r="Q617" s="276"/>
      <c r="R617" s="277"/>
      <c r="S617" s="277"/>
      <c r="T617" s="40"/>
      <c r="U617" s="278"/>
      <c r="V617" s="269"/>
      <c r="W617" s="269"/>
      <c r="X617" s="275"/>
      <c r="Y617" s="269"/>
      <c r="Z617" s="57"/>
      <c r="AA617" s="207"/>
      <c r="AB617" s="33"/>
      <c r="AC617" s="189"/>
      <c r="AD617" s="54"/>
      <c r="AE617" s="55"/>
      <c r="AF617" s="43"/>
      <c r="AG617" s="47"/>
      <c r="AH617" s="30"/>
      <c r="AI617" s="30"/>
      <c r="AJ617" s="30"/>
      <c r="AK617" s="30"/>
      <c r="AL617" s="13"/>
      <c r="AM617" s="13"/>
      <c r="AN617" s="13"/>
      <c r="AO617" s="13"/>
      <c r="AP617" s="13"/>
      <c r="AQ617" s="14"/>
      <c r="AR617" s="15"/>
    </row>
    <row r="618" spans="1:44" s="17" customFormat="1" ht="30.95" hidden="1" customHeight="1" x14ac:dyDescent="0.2">
      <c r="A618" s="37"/>
      <c r="B618" s="38"/>
      <c r="C618" s="45"/>
      <c r="D618" s="31">
        <v>3716267</v>
      </c>
      <c r="E618" s="31">
        <v>4151413</v>
      </c>
      <c r="F618" s="268" t="str">
        <f>IF(D618="","",VLOOKUP(D618,契約台帳!$A$3:$K$4986,6,FALSE)&amp;VLOOKUP(D618,契約台帳!$A$3:$K$4986,7,FALSE)&amp;VLOOKUP(D618,契約台帳!$A$3:$K$4986,8,FALSE)&amp;VLOOKUP(D618,契約台帳!$A$3:$K$4986,9,FALSE)&amp;VLOOKUP(D618,契約台帳!$A$3:$K$4986,11,FALSE))</f>
        <v>3SNMLBMNQR66F</v>
      </c>
      <c r="G618" s="269" t="str">
        <f>IF(D618="","",VLOOKUP(F618,製品マスタ!$G$5:$H$5002,2,FALSE))</f>
        <v>S</v>
      </c>
      <c r="H618" s="269" t="str">
        <f>IF(D618="","",VLOOKUP(F618,製品マスタ!$G$5:$K$5002,5,FALSE))</f>
        <v>MNQR66F</v>
      </c>
      <c r="I618" s="270" t="str">
        <f>IF(D618="","",VLOOKUP(F618,製品マスタ!$G$5:$L$5002,6,FALSE))</f>
        <v>ＱＲ６６蒸着品</v>
      </c>
      <c r="J618" s="32" t="s">
        <v>447</v>
      </c>
      <c r="K618" s="270">
        <f>IF(D618="","",VLOOKUP(D618,契約台帳!$A$3:$L$4986,12,FALSE))</f>
        <v>25</v>
      </c>
      <c r="L618" s="270" t="str">
        <f>IF(D618="","",INDEX(製品マスタ!$Q$5:$Q$5002,MATCH(F618&amp;K618,製品マスタ!$AO$5:$AO$5002,0)))</f>
        <v>E315</v>
      </c>
      <c r="M618" s="39">
        <v>1000</v>
      </c>
      <c r="N618" s="39">
        <v>24000</v>
      </c>
      <c r="O618" s="47">
        <v>1</v>
      </c>
      <c r="P618" s="57"/>
      <c r="Q618" s="276">
        <f>IF(D618="","",IF(J618="リード付け",M618,VLOOKUP(D618,契約台帳!$A$3:$N$4986,14,FALSE)))</f>
        <v>1000</v>
      </c>
      <c r="R618" s="277">
        <f>IF(D618="","",IF(J618="リード付け",M618,VLOOKUP(D618,契約台帳!$A$3:$O$4986,15,FALSE)))</f>
        <v>1000</v>
      </c>
      <c r="S618" s="277">
        <f>IF(D618="","",IF(J618="リード付け",N618,VLOOKUP(D618,契約台帳!$A$3:$P$4986,16,FALSE)))</f>
        <v>6000</v>
      </c>
      <c r="T618" s="40">
        <v>4</v>
      </c>
      <c r="U618" s="302">
        <f ca="1">IF(D618="","",IF(OFFSET(D618,-2,0)=D618,"",VLOOKUP(D618,契約台帳!$A$3:$R$4986,18,FALSE)))</f>
        <v>8</v>
      </c>
      <c r="V618" s="269" t="str">
        <f>IF(J618="巻返し",VLOOKUP(F618&amp;K618&amp;M618,製品マスタ!$M$5:$AD$5002,18,FALSE),IF(J618="リード付け","原反コア",IF(J618="スリット",VLOOKUP(F618&amp;K618&amp;Q618,製品マスタ!$N$5:$AD$5002,17,FALSE),"")))</f>
        <v>6ｲﾝﾁMｺｱ</v>
      </c>
      <c r="W618" s="269">
        <f>IF(J618="巻返し",VLOOKUP(F618&amp;K618&amp;M618,製品マスタ!$M$5:$AE$5002,19,FALSE),IF(J618="リード付け","-",IF(J618="スリット",VLOOKUP(F618&amp;K618&amp;Q618,製品マスタ!$N$5:$AE$5002,18,FALSE),"")))</f>
        <v>1010</v>
      </c>
      <c r="X618" s="275">
        <f>IF(D618="","",VLOOKUP(D618,契約台帳!$A$3:$Q$4986,17,FALSE))</f>
        <v>2</v>
      </c>
      <c r="Y618" s="269" t="str">
        <f>IF(D618="","",VLOOKUP(D618,契約台帳!$A$3:$E$4986,5,FALSE))</f>
        <v>リンテック㈱</v>
      </c>
      <c r="Z618" s="57">
        <v>45134</v>
      </c>
      <c r="AA618" s="303" t="str">
        <f>IFERROR(VLOOKUP(F618&amp;K618&amp;M618,製品マスタ!$M$5:$AM$5002,27,FALSE),"")</f>
        <v>原反ケース再利用</v>
      </c>
      <c r="AB618" s="33"/>
      <c r="AC618" s="189"/>
      <c r="AD618" s="54" t="str">
        <f>IF(F618="","",+F618&amp;K618)</f>
        <v>3SNMLBMNQR66F25</v>
      </c>
      <c r="AE618" s="55">
        <f>+M618*N618*O618/1000</f>
        <v>24000</v>
      </c>
      <c r="AF618" s="43">
        <f>IF(AD618="","",VLOOKUP(AD618,原価マスタ!$A$2:$AJ$1693,13,FALSE))</f>
        <v>98</v>
      </c>
      <c r="AG618" s="47">
        <f>IF(AF618="","",+AE618*AF618/100)</f>
        <v>23520</v>
      </c>
      <c r="AH618" s="30"/>
      <c r="AI618" s="30"/>
      <c r="AJ618" s="30"/>
      <c r="AK618" s="30"/>
      <c r="AL618" s="13"/>
      <c r="AM618" s="13"/>
      <c r="AN618" s="13"/>
      <c r="AO618" s="13"/>
      <c r="AP618" s="13"/>
      <c r="AQ618" s="14"/>
      <c r="AR618" s="15"/>
    </row>
    <row r="619" spans="1:44" s="17" customFormat="1" ht="30.95" hidden="1" customHeight="1" x14ac:dyDescent="0.2">
      <c r="A619" s="37"/>
      <c r="B619" s="38"/>
      <c r="C619" s="45"/>
      <c r="D619" s="31"/>
      <c r="E619" s="31"/>
      <c r="F619" s="268"/>
      <c r="G619" s="269"/>
      <c r="H619" s="269"/>
      <c r="I619" s="270"/>
      <c r="J619" s="32"/>
      <c r="K619" s="270"/>
      <c r="L619" s="270"/>
      <c r="M619" s="39"/>
      <c r="N619" s="39"/>
      <c r="O619" s="47"/>
      <c r="P619" s="57"/>
      <c r="Q619" s="276"/>
      <c r="R619" s="277"/>
      <c r="S619" s="277"/>
      <c r="T619" s="40"/>
      <c r="U619" s="278"/>
      <c r="V619" s="269"/>
      <c r="W619" s="269"/>
      <c r="X619" s="275"/>
      <c r="Y619" s="269"/>
      <c r="Z619" s="57"/>
      <c r="AA619" s="207"/>
      <c r="AB619" s="33"/>
      <c r="AC619" s="189"/>
      <c r="AD619" s="54"/>
      <c r="AE619" s="55"/>
      <c r="AF619" s="43"/>
      <c r="AG619" s="47"/>
      <c r="AH619" s="30"/>
      <c r="AI619" s="30"/>
      <c r="AJ619" s="30"/>
      <c r="AK619" s="30"/>
      <c r="AL619" s="13"/>
      <c r="AM619" s="13"/>
      <c r="AN619" s="13"/>
      <c r="AO619" s="13"/>
      <c r="AP619" s="13"/>
      <c r="AQ619" s="14"/>
      <c r="AR619" s="15"/>
    </row>
    <row r="620" spans="1:44" s="17" customFormat="1" ht="30.95" hidden="1" customHeight="1" x14ac:dyDescent="0.2">
      <c r="A620" s="37" t="s">
        <v>516</v>
      </c>
      <c r="B620" s="38" t="s">
        <v>442</v>
      </c>
      <c r="C620" s="45"/>
      <c r="D620" s="31">
        <v>3716267</v>
      </c>
      <c r="E620" s="31">
        <v>4151413</v>
      </c>
      <c r="F620" s="268" t="str">
        <f>IF(D620="","",VLOOKUP(D620,契約台帳!$A$3:$K$4986,6,FALSE)&amp;VLOOKUP(D620,契約台帳!$A$3:$K$4986,7,FALSE)&amp;VLOOKUP(D620,契約台帳!$A$3:$K$4986,8,FALSE)&amp;VLOOKUP(D620,契約台帳!$A$3:$K$4986,9,FALSE)&amp;VLOOKUP(D620,契約台帳!$A$3:$K$4986,11,FALSE))</f>
        <v>3SNMLBMNQR66F</v>
      </c>
      <c r="G620" s="269" t="str">
        <f>IF(D620="","",VLOOKUP(F620,製品マスタ!$G$5:$H$5002,2,FALSE))</f>
        <v>S</v>
      </c>
      <c r="H620" s="269" t="str">
        <f>IF(D620="","",VLOOKUP(F620,製品マスタ!$G$5:$K$5002,5,FALSE))</f>
        <v>MNQR66F</v>
      </c>
      <c r="I620" s="270" t="str">
        <f>IF(D620="","",VLOOKUP(F620,製品マスタ!$G$5:$L$5002,6,FALSE))</f>
        <v>ＱＲ６６蒸着品</v>
      </c>
      <c r="J620" s="32" t="s">
        <v>447</v>
      </c>
      <c r="K620" s="270">
        <f>IF(D620="","",VLOOKUP(D620,契約台帳!$A$3:$L$4986,12,FALSE))</f>
        <v>25</v>
      </c>
      <c r="L620" s="270" t="str">
        <f>IF(D620="","",INDEX(製品マスタ!$Q$5:$Q$5002,MATCH(F620&amp;K620,製品マスタ!$AO$5:$AO$5002,0)))</f>
        <v>E315</v>
      </c>
      <c r="M620" s="39">
        <v>1000</v>
      </c>
      <c r="N620" s="39">
        <v>24000</v>
      </c>
      <c r="O620" s="47">
        <v>1</v>
      </c>
      <c r="P620" s="57"/>
      <c r="Q620" s="276">
        <f>IF(D620="","",IF(J620="リード付け",M620,VLOOKUP(D620,契約台帳!$A$3:$N$4986,14,FALSE)))</f>
        <v>1000</v>
      </c>
      <c r="R620" s="277">
        <f>IF(D620="","",IF(J620="リード付け",M620,VLOOKUP(D620,契約台帳!$A$3:$O$4986,15,FALSE)))</f>
        <v>1000</v>
      </c>
      <c r="S620" s="277">
        <f>IF(D620="","",IF(J620="リード付け",N620,VLOOKUP(D620,契約台帳!$A$3:$P$4986,16,FALSE)))</f>
        <v>6000</v>
      </c>
      <c r="T620" s="40">
        <v>4</v>
      </c>
      <c r="U620" s="302" t="str">
        <f ca="1">IF(D620="","",IF(OFFSET(D620,-2,0)=D620,"",VLOOKUP(D620,契約台帳!$A$3:$R$4986,18,FALSE)))</f>
        <v/>
      </c>
      <c r="V620" s="269" t="str">
        <f>IF(J620="巻返し",VLOOKUP(F620&amp;K620&amp;M620,製品マスタ!$M$5:$AD$5002,18,FALSE),IF(J620="リード付け","原反コア",IF(J620="スリット",VLOOKUP(F620&amp;K620&amp;Q620,製品マスタ!$N$5:$AD$5002,17,FALSE),"")))</f>
        <v>6ｲﾝﾁMｺｱ</v>
      </c>
      <c r="W620" s="269">
        <f>IF(J620="巻返し",VLOOKUP(F620&amp;K620&amp;M620,製品マスタ!$M$5:$AE$5002,19,FALSE),IF(J620="リード付け","-",IF(J620="スリット",VLOOKUP(F620&amp;K620&amp;Q620,製品マスタ!$N$5:$AE$5002,18,FALSE),"")))</f>
        <v>1010</v>
      </c>
      <c r="X620" s="275">
        <f>IF(D620="","",VLOOKUP(D620,契約台帳!$A$3:$Q$4986,17,FALSE))</f>
        <v>2</v>
      </c>
      <c r="Y620" s="269" t="str">
        <f>IF(D620="","",VLOOKUP(D620,契約台帳!$A$3:$E$4986,5,FALSE))</f>
        <v>リンテック㈱</v>
      </c>
      <c r="Z620" s="57">
        <v>45135</v>
      </c>
      <c r="AA620" s="303" t="str">
        <f>IFERROR(VLOOKUP(F620&amp;K620&amp;M620,製品マスタ!$M$5:$AM$5002,27,FALSE),"")</f>
        <v>原反ケース再利用</v>
      </c>
      <c r="AB620" s="33"/>
      <c r="AC620" s="189"/>
      <c r="AD620" s="54" t="str">
        <f>IF(F620="","",+F620&amp;K620)</f>
        <v>3SNMLBMNQR66F25</v>
      </c>
      <c r="AE620" s="55">
        <f>+M620*N620*O620/1000</f>
        <v>24000</v>
      </c>
      <c r="AF620" s="43">
        <f>IF(AD620="","",VLOOKUP(AD620,原価マスタ!$A$2:$AJ$1693,13,FALSE))</f>
        <v>98</v>
      </c>
      <c r="AG620" s="47">
        <f>IF(AF620="","",+AE620*AF620/100)</f>
        <v>23520</v>
      </c>
      <c r="AH620" s="30"/>
      <c r="AI620" s="30"/>
      <c r="AJ620" s="30"/>
      <c r="AK620" s="30"/>
      <c r="AL620" s="13"/>
      <c r="AM620" s="13"/>
      <c r="AN620" s="13"/>
      <c r="AO620" s="13"/>
      <c r="AP620" s="13"/>
      <c r="AQ620" s="14"/>
      <c r="AR620" s="15"/>
    </row>
    <row r="621" spans="1:44" s="17" customFormat="1" ht="30.95" hidden="1" customHeight="1" x14ac:dyDescent="0.2">
      <c r="A621" s="37"/>
      <c r="B621" s="38"/>
      <c r="C621" s="45"/>
      <c r="D621" s="31"/>
      <c r="E621" s="31"/>
      <c r="F621" s="268"/>
      <c r="G621" s="269"/>
      <c r="H621" s="269"/>
      <c r="I621" s="270"/>
      <c r="J621" s="32"/>
      <c r="K621" s="270"/>
      <c r="L621" s="270"/>
      <c r="M621" s="39"/>
      <c r="N621" s="39"/>
      <c r="O621" s="47"/>
      <c r="P621" s="57"/>
      <c r="Q621" s="276"/>
      <c r="R621" s="277"/>
      <c r="S621" s="277"/>
      <c r="T621" s="40"/>
      <c r="U621" s="278"/>
      <c r="V621" s="269"/>
      <c r="W621" s="269"/>
      <c r="X621" s="275"/>
      <c r="Y621" s="269"/>
      <c r="Z621" s="57"/>
      <c r="AA621" s="207"/>
      <c r="AB621" s="33"/>
      <c r="AC621" s="189"/>
      <c r="AD621" s="54"/>
      <c r="AE621" s="55"/>
      <c r="AF621" s="43"/>
      <c r="AG621" s="47"/>
      <c r="AH621" s="30"/>
      <c r="AI621" s="30"/>
      <c r="AJ621" s="30"/>
      <c r="AK621" s="30"/>
      <c r="AL621" s="13"/>
      <c r="AM621" s="13"/>
      <c r="AN621" s="13"/>
      <c r="AO621" s="13"/>
      <c r="AP621" s="13"/>
      <c r="AQ621" s="14"/>
      <c r="AR621" s="15"/>
    </row>
    <row r="622" spans="1:44" s="17" customFormat="1" ht="30.95" hidden="1" customHeight="1" x14ac:dyDescent="0.2">
      <c r="A622" s="37"/>
      <c r="B622" s="38"/>
      <c r="C622" s="45"/>
      <c r="D622" s="31">
        <v>3716246</v>
      </c>
      <c r="E622" s="31">
        <v>4151392</v>
      </c>
      <c r="F622" s="268" t="str">
        <f>IF(D622="","",VLOOKUP(D622,契約台帳!$A$3:$K$4986,6,FALSE)&amp;VLOOKUP(D622,契約台帳!$A$3:$K$4986,7,FALSE)&amp;VLOOKUP(D622,契約台帳!$A$3:$K$4986,8,FALSE)&amp;VLOOKUP(D622,契約台帳!$A$3:$K$4986,9,FALSE)&amp;VLOOKUP(D622,契約台帳!$A$3:$K$4986,11,FALSE))</f>
        <v>3SNMLBMNGKKBF</v>
      </c>
      <c r="G622" s="269" t="str">
        <f>IF(D622="","",VLOOKUP(F622,製品マスタ!$G$5:$H$5002,2,FALSE))</f>
        <v>S</v>
      </c>
      <c r="H622" s="269" t="str">
        <f>IF(D622="","",VLOOKUP(F622,製品マスタ!$G$5:$K$5002,5,FALSE))</f>
        <v>MNGKKBF</v>
      </c>
      <c r="I622" s="270" t="str">
        <f>IF(D622="","",VLOOKUP(F622,製品マスタ!$G$5:$L$5002,6,FALSE))</f>
        <v>メタルミー　ネーマー銀消改　Ｂ</v>
      </c>
      <c r="J622" s="32" t="s">
        <v>447</v>
      </c>
      <c r="K622" s="270">
        <f>IF(D622="","",VLOOKUP(D622,契約台帳!$A$3:$L$4986,12,FALSE))</f>
        <v>50</v>
      </c>
      <c r="L622" s="270" t="str">
        <f>IF(D622="","",INDEX(製品マスタ!$Q$5:$Q$5002,MATCH(F622&amp;K622,製品マスタ!$AO$5:$AO$5002,0)))</f>
        <v>S99-MAT</v>
      </c>
      <c r="M622" s="39">
        <v>1000</v>
      </c>
      <c r="N622" s="39">
        <v>12000</v>
      </c>
      <c r="O622" s="47">
        <v>1</v>
      </c>
      <c r="P622" s="57"/>
      <c r="Q622" s="276">
        <f>IF(D622="","",IF(J622="リード付け",M622,VLOOKUP(D622,契約台帳!$A$3:$N$4986,14,FALSE)))</f>
        <v>1000</v>
      </c>
      <c r="R622" s="277">
        <f>IF(D622="","",IF(J622="リード付け",M622,VLOOKUP(D622,契約台帳!$A$3:$O$4986,15,FALSE)))</f>
        <v>1000</v>
      </c>
      <c r="S622" s="277">
        <f>IF(D622="","",IF(J622="リード付け",N622,VLOOKUP(D622,契約台帳!$A$3:$P$4986,16,FALSE)))</f>
        <v>4000</v>
      </c>
      <c r="T622" s="40">
        <v>3</v>
      </c>
      <c r="U622" s="302">
        <f ca="1">IF(D622="","",IF(OFFSET(D622,-2,0)=D622,"",VLOOKUP(D622,契約台帳!$A$3:$R$4986,18,FALSE)))</f>
        <v>3</v>
      </c>
      <c r="V622" s="269" t="str">
        <f>IF(J622="巻返し",VLOOKUP(F622&amp;K622&amp;M622,製品マスタ!$M$5:$AD$5002,18,FALSE),IF(J622="リード付け","原反コア",IF(J622="スリット",VLOOKUP(F622&amp;K622&amp;Q622,製品マスタ!$N$5:$AD$5002,17,FALSE),"")))</f>
        <v>6ｲﾝﾁSｺｱ</v>
      </c>
      <c r="W622" s="269">
        <f>IF(J622="巻返し",VLOOKUP(F622&amp;K622&amp;M622,製品マスタ!$M$5:$AE$5002,19,FALSE),IF(J622="リード付け","-",IF(J622="スリット",VLOOKUP(F622&amp;K622&amp;Q622,製品マスタ!$N$5:$AE$5002,18,FALSE),"")))</f>
        <v>1005</v>
      </c>
      <c r="X622" s="275">
        <f>IF(D622="","",VLOOKUP(D622,契約台帳!$A$3:$Q$4986,17,FALSE))</f>
        <v>2</v>
      </c>
      <c r="Y622" s="269" t="str">
        <f>IF(D622="","",VLOOKUP(D622,契約台帳!$A$3:$E$4986,5,FALSE))</f>
        <v>リンテック㈱</v>
      </c>
      <c r="Z622" s="57">
        <v>45135</v>
      </c>
      <c r="AA622" s="303">
        <f>IFERROR(VLOOKUP(F622&amp;K622&amp;M622,製品マスタ!$M$5:$AM$5002,27,FALSE),"")</f>
        <v>0</v>
      </c>
      <c r="AB622" s="33"/>
      <c r="AC622" s="189"/>
      <c r="AD622" s="54" t="str">
        <f>IF(F622="","",+F622&amp;K622)</f>
        <v>3SNMLBMNGKKBF50</v>
      </c>
      <c r="AE622" s="55">
        <f>+M622*N622*O622/1000</f>
        <v>12000</v>
      </c>
      <c r="AF622" s="43">
        <f>IF(AD622="","",VLOOKUP(AD622,原価マスタ!$A$2:$AJ$1693,13,FALSE))</f>
        <v>99</v>
      </c>
      <c r="AG622" s="47">
        <f>IF(AF622="","",+AE622*AF622/100)</f>
        <v>11880</v>
      </c>
      <c r="AH622" s="30"/>
      <c r="AI622" s="30"/>
      <c r="AJ622" s="30"/>
      <c r="AK622" s="30"/>
      <c r="AL622" s="13"/>
      <c r="AM622" s="13"/>
      <c r="AN622" s="13"/>
      <c r="AO622" s="13"/>
      <c r="AP622" s="13"/>
      <c r="AQ622" s="14"/>
      <c r="AR622" s="15"/>
    </row>
    <row r="623" spans="1:44" s="17" customFormat="1" ht="30.95" hidden="1" customHeight="1" x14ac:dyDescent="0.2">
      <c r="A623" s="37"/>
      <c r="B623" s="38"/>
      <c r="C623" s="45"/>
      <c r="D623" s="31"/>
      <c r="E623" s="31"/>
      <c r="F623" s="268"/>
      <c r="G623" s="269"/>
      <c r="H623" s="269"/>
      <c r="I623" s="270"/>
      <c r="J623" s="32"/>
      <c r="K623" s="270"/>
      <c r="L623" s="270"/>
      <c r="M623" s="39"/>
      <c r="N623" s="39"/>
      <c r="O623" s="47"/>
      <c r="P623" s="57"/>
      <c r="Q623" s="276"/>
      <c r="R623" s="277"/>
      <c r="S623" s="277"/>
      <c r="T623" s="40"/>
      <c r="U623" s="278"/>
      <c r="V623" s="269"/>
      <c r="W623" s="269"/>
      <c r="X623" s="275"/>
      <c r="Y623" s="269"/>
      <c r="Z623" s="57"/>
      <c r="AA623" s="207"/>
      <c r="AB623" s="33"/>
      <c r="AC623" s="189"/>
      <c r="AD623" s="54"/>
      <c r="AE623" s="55"/>
      <c r="AF623" s="43"/>
      <c r="AG623" s="47"/>
      <c r="AH623" s="30"/>
      <c r="AI623" s="30"/>
      <c r="AJ623" s="30"/>
      <c r="AK623" s="30"/>
      <c r="AL623" s="13"/>
      <c r="AM623" s="13"/>
      <c r="AN623" s="13"/>
      <c r="AO623" s="13"/>
      <c r="AP623" s="13"/>
      <c r="AQ623" s="14"/>
      <c r="AR623" s="15"/>
    </row>
    <row r="624" spans="1:44" s="17" customFormat="1" ht="30.95" hidden="1" customHeight="1" x14ac:dyDescent="0.2">
      <c r="A624" s="37"/>
      <c r="B624" s="38"/>
      <c r="C624" s="45"/>
      <c r="D624" s="31">
        <v>3716252</v>
      </c>
      <c r="E624" s="31">
        <v>4151389</v>
      </c>
      <c r="F624" s="268" t="str">
        <f>IF(D624="","",VLOOKUP(D624,契約台帳!$A$3:$K$4986,6,FALSE)&amp;VLOOKUP(D624,契約台帳!$A$3:$K$4986,7,FALSE)&amp;VLOOKUP(D624,契約台帳!$A$3:$K$4986,8,FALSE)&amp;VLOOKUP(D624,契約台帳!$A$3:$K$4986,9,FALSE)&amp;VLOOKUP(D624,契約台帳!$A$3:$K$4986,11,FALSE))</f>
        <v>3SNMLBMNGKBF</v>
      </c>
      <c r="G624" s="269" t="str">
        <f>IF(D624="","",VLOOKUP(F624,製品マスタ!$G$5:$H$5002,2,FALSE))</f>
        <v>S</v>
      </c>
      <c r="H624" s="269" t="str">
        <f>IF(D624="","",VLOOKUP(F624,製品マスタ!$G$5:$K$5002,5,FALSE))</f>
        <v>MNGKBF</v>
      </c>
      <c r="I624" s="270" t="str">
        <f>IF(D624="","",VLOOKUP(F624,製品マスタ!$G$5:$L$5002,6,FALSE))</f>
        <v>メタルミー　ネーマー銀消　Ｂ</v>
      </c>
      <c r="J624" s="32" t="s">
        <v>447</v>
      </c>
      <c r="K624" s="270">
        <f>IF(D624="","",VLOOKUP(D624,契約台帳!$A$3:$L$4986,12,FALSE))</f>
        <v>50</v>
      </c>
      <c r="L624" s="270" t="str">
        <f>IF(D624="","",INDEX(製品マスタ!$Q$5:$Q$5002,MATCH(F624&amp;K624,製品マスタ!$AO$5:$AO$5002,0)))</f>
        <v>MAT</v>
      </c>
      <c r="M624" s="39">
        <v>1170</v>
      </c>
      <c r="N624" s="39">
        <v>8000</v>
      </c>
      <c r="O624" s="47">
        <v>1</v>
      </c>
      <c r="P624" s="57"/>
      <c r="Q624" s="276">
        <f>IF(D624="","",IF(J624="リード付け",M624,VLOOKUP(D624,契約台帳!$A$3:$N$4986,14,FALSE)))</f>
        <v>1170</v>
      </c>
      <c r="R624" s="277">
        <f>IF(D624="","",IF(J624="リード付け",M624,VLOOKUP(D624,契約台帳!$A$3:$O$4986,15,FALSE)))</f>
        <v>1170</v>
      </c>
      <c r="S624" s="277">
        <f>IF(D624="","",IF(J624="リード付け",N624,VLOOKUP(D624,契約台帳!$A$3:$P$4986,16,FALSE)))</f>
        <v>4000</v>
      </c>
      <c r="T624" s="40">
        <v>2</v>
      </c>
      <c r="U624" s="302">
        <f ca="1">IF(D624="","",IF(OFFSET(D624,-2,0)=D624,"",VLOOKUP(D624,契約台帳!$A$3:$R$4986,18,FALSE)))</f>
        <v>2</v>
      </c>
      <c r="V624" s="269" t="str">
        <f>IF(J624="巻返し",VLOOKUP(F624&amp;K624&amp;M624,製品マスタ!$M$5:$AD$5002,18,FALSE),IF(J624="リード付け","原反コア",IF(J624="スリット",VLOOKUP(F624&amp;K624&amp;Q624,製品マスタ!$N$5:$AD$5002,17,FALSE),"")))</f>
        <v>6ｲﾝﾁSｺｱ</v>
      </c>
      <c r="W624" s="269">
        <f>IF(J624="巻返し",VLOOKUP(F624&amp;K624&amp;M624,製品マスタ!$M$5:$AE$5002,19,FALSE),IF(J624="リード付け","-",IF(J624="スリット",VLOOKUP(F624&amp;K624&amp;Q624,製品マスタ!$N$5:$AE$5002,18,FALSE),"")))</f>
        <v>1175</v>
      </c>
      <c r="X624" s="275">
        <f>IF(D624="","",VLOOKUP(D624,契約台帳!$A$3:$Q$4986,17,FALSE))</f>
        <v>2</v>
      </c>
      <c r="Y624" s="269" t="str">
        <f>IF(D624="","",VLOOKUP(D624,契約台帳!$A$3:$E$4986,5,FALSE))</f>
        <v>リンテック㈱</v>
      </c>
      <c r="Z624" s="57">
        <v>45135</v>
      </c>
      <c r="AA624" s="303">
        <f>IFERROR(VLOOKUP(F624&amp;K624&amp;M624,製品マスタ!$M$5:$AM$5002,27,FALSE),"")</f>
        <v>0</v>
      </c>
      <c r="AB624" s="33"/>
      <c r="AC624" s="189"/>
      <c r="AD624" s="54" t="str">
        <f>IF(F624="","",+F624&amp;K624)</f>
        <v>3SNMLBMNGKBF50</v>
      </c>
      <c r="AE624" s="55">
        <f>+M624*N624*O624/1000</f>
        <v>9360</v>
      </c>
      <c r="AF624" s="43">
        <f>IF(AD624="","",VLOOKUP(AD624,原価マスタ!$A$2:$AJ$1693,13,FALSE))</f>
        <v>98</v>
      </c>
      <c r="AG624" s="47">
        <f>IF(AF624="","",+AE624*AF624/100)</f>
        <v>9172.7999999999993</v>
      </c>
      <c r="AH624" s="30"/>
      <c r="AI624" s="30"/>
      <c r="AJ624" s="30"/>
      <c r="AK624" s="30"/>
      <c r="AL624" s="13"/>
      <c r="AM624" s="13"/>
      <c r="AN624" s="13"/>
      <c r="AO624" s="13"/>
      <c r="AP624" s="13"/>
      <c r="AQ624" s="14"/>
      <c r="AR624" s="15"/>
    </row>
    <row r="625" spans="1:44" s="17" customFormat="1" ht="30.95" hidden="1" customHeight="1" x14ac:dyDescent="0.2">
      <c r="A625" s="37"/>
      <c r="B625" s="38"/>
      <c r="C625" s="45"/>
      <c r="D625" s="31"/>
      <c r="E625" s="31"/>
      <c r="F625" s="268"/>
      <c r="G625" s="269"/>
      <c r="H625" s="269"/>
      <c r="I625" s="270"/>
      <c r="J625" s="32"/>
      <c r="K625" s="270"/>
      <c r="L625" s="270"/>
      <c r="M625" s="39"/>
      <c r="N625" s="39"/>
      <c r="O625" s="47"/>
      <c r="P625" s="57"/>
      <c r="Q625" s="276"/>
      <c r="R625" s="277"/>
      <c r="S625" s="277"/>
      <c r="T625" s="40"/>
      <c r="U625" s="278"/>
      <c r="V625" s="269"/>
      <c r="W625" s="269"/>
      <c r="X625" s="275"/>
      <c r="Y625" s="269"/>
      <c r="Z625" s="57"/>
      <c r="AA625" s="207"/>
      <c r="AB625" s="33"/>
      <c r="AC625" s="189"/>
      <c r="AD625" s="54"/>
      <c r="AE625" s="55"/>
      <c r="AF625" s="43"/>
      <c r="AG625" s="47"/>
      <c r="AH625" s="30"/>
      <c r="AI625" s="30"/>
      <c r="AJ625" s="30"/>
      <c r="AK625" s="30"/>
      <c r="AL625" s="13"/>
      <c r="AM625" s="13"/>
      <c r="AN625" s="13"/>
      <c r="AO625" s="13"/>
      <c r="AP625" s="13"/>
      <c r="AQ625" s="14"/>
      <c r="AR625" s="15"/>
    </row>
    <row r="626" spans="1:44" s="17" customFormat="1" ht="30.95" hidden="1" customHeight="1" x14ac:dyDescent="0.2">
      <c r="A626" s="37"/>
      <c r="B626" s="38"/>
      <c r="C626" s="45"/>
      <c r="D626" s="31">
        <v>3716248</v>
      </c>
      <c r="E626" s="31">
        <v>4151394</v>
      </c>
      <c r="F626" s="268" t="str">
        <f>IF(D626="","",VLOOKUP(D626,契約台帳!$A$3:$K$4986,6,FALSE)&amp;VLOOKUP(D626,契約台帳!$A$3:$K$4986,7,FALSE)&amp;VLOOKUP(D626,契約台帳!$A$3:$K$4986,8,FALSE)&amp;VLOOKUP(D626,契約台帳!$A$3:$K$4986,9,FALSE)&amp;VLOOKUP(D626,契約台帳!$A$3:$K$4986,11,FALSE))</f>
        <v>3SNMLBMNGKKBF</v>
      </c>
      <c r="G626" s="269" t="str">
        <f>IF(D626="","",VLOOKUP(F626,製品マスタ!$G$5:$H$5002,2,FALSE))</f>
        <v>S</v>
      </c>
      <c r="H626" s="269" t="str">
        <f>IF(D626="","",VLOOKUP(F626,製品マスタ!$G$5:$K$5002,5,FALSE))</f>
        <v>MNGKKBF</v>
      </c>
      <c r="I626" s="270" t="str">
        <f>IF(D626="","",VLOOKUP(F626,製品マスタ!$G$5:$L$5002,6,FALSE))</f>
        <v>メタルミー　ネーマー銀消改　Ｂ</v>
      </c>
      <c r="J626" s="32" t="s">
        <v>447</v>
      </c>
      <c r="K626" s="270">
        <f>IF(D626="","",VLOOKUP(D626,契約台帳!$A$3:$L$4986,12,FALSE))</f>
        <v>50</v>
      </c>
      <c r="L626" s="270" t="str">
        <f>IF(D626="","",INDEX(製品マスタ!$Q$5:$Q$5002,MATCH(F626&amp;K626,製品マスタ!$AO$5:$AO$5002,0)))</f>
        <v>S99-MAT</v>
      </c>
      <c r="M626" s="39">
        <v>1120</v>
      </c>
      <c r="N626" s="39">
        <v>12000</v>
      </c>
      <c r="O626" s="47">
        <v>5</v>
      </c>
      <c r="P626" s="57"/>
      <c r="Q626" s="276">
        <f>IF(D626="","",IF(J626="リード付け",M626,VLOOKUP(D626,契約台帳!$A$3:$N$4986,14,FALSE)))</f>
        <v>1120</v>
      </c>
      <c r="R626" s="277">
        <f>IF(D626="","",IF(J626="リード付け",M626,VLOOKUP(D626,契約台帳!$A$3:$O$4986,15,FALSE)))</f>
        <v>1120</v>
      </c>
      <c r="S626" s="277">
        <f>IF(D626="","",IF(J626="リード付け",N626,VLOOKUP(D626,契約台帳!$A$3:$P$4986,16,FALSE)))</f>
        <v>4000</v>
      </c>
      <c r="T626" s="40">
        <v>15</v>
      </c>
      <c r="U626" s="302">
        <f ca="1">IF(D626="","",IF(OFFSET(D626,-2,0)=D626,"",VLOOKUP(D626,契約台帳!$A$3:$R$4986,18,FALSE)))</f>
        <v>18</v>
      </c>
      <c r="V626" s="269" t="str">
        <f>IF(J626="巻返し",VLOOKUP(F626&amp;K626&amp;M626,製品マスタ!$M$5:$AD$5002,18,FALSE),IF(J626="リード付け","原反コア",IF(J626="スリット",VLOOKUP(F626&amp;K626&amp;Q626,製品マスタ!$N$5:$AD$5002,17,FALSE),"")))</f>
        <v>6ｲﾝﾁSｺｱ</v>
      </c>
      <c r="W626" s="269">
        <f>IF(J626="巻返し",VLOOKUP(F626&amp;K626&amp;M626,製品マスタ!$M$5:$AE$5002,19,FALSE),IF(J626="リード付け","-",IF(J626="スリット",VLOOKUP(F626&amp;K626&amp;Q626,製品マスタ!$N$5:$AE$5002,18,FALSE),"")))</f>
        <v>1125</v>
      </c>
      <c r="X626" s="275">
        <f>IF(D626="","",VLOOKUP(D626,契約台帳!$A$3:$Q$4986,17,FALSE))</f>
        <v>2</v>
      </c>
      <c r="Y626" s="269" t="str">
        <f>IF(D626="","",VLOOKUP(D626,契約台帳!$A$3:$E$4986,5,FALSE))</f>
        <v>リンテック㈱</v>
      </c>
      <c r="Z626" s="57">
        <v>45138</v>
      </c>
      <c r="AA626" s="303">
        <f>IFERROR(VLOOKUP(F626&amp;K626&amp;M626,製品マスタ!$M$5:$AM$5002,27,FALSE),"")</f>
        <v>0</v>
      </c>
      <c r="AB626" s="33"/>
      <c r="AC626" s="189"/>
      <c r="AD626" s="54" t="str">
        <f>IF(F626="","",+F626&amp;K626)</f>
        <v>3SNMLBMNGKKBF50</v>
      </c>
      <c r="AE626" s="55">
        <f>+M626*N626*O626/1000</f>
        <v>67200</v>
      </c>
      <c r="AF626" s="43">
        <f>IF(AD626="","",VLOOKUP(AD626,原価マスタ!$A$2:$AJ$1693,13,FALSE))</f>
        <v>99</v>
      </c>
      <c r="AG626" s="47">
        <f>IF(AF626="","",+AE626*AF626/100)</f>
        <v>66528</v>
      </c>
      <c r="AH626" s="30"/>
      <c r="AI626" s="30"/>
      <c r="AJ626" s="30"/>
      <c r="AK626" s="30"/>
      <c r="AL626" s="13"/>
      <c r="AM626" s="13"/>
      <c r="AN626" s="13"/>
      <c r="AO626" s="13"/>
      <c r="AP626" s="13"/>
      <c r="AQ626" s="14"/>
      <c r="AR626" s="15"/>
    </row>
    <row r="627" spans="1:44" s="17" customFormat="1" ht="30.95" hidden="1" customHeight="1" x14ac:dyDescent="0.2">
      <c r="A627" s="37"/>
      <c r="B627" s="38"/>
      <c r="C627" s="45"/>
      <c r="D627" s="31"/>
      <c r="E627" s="31"/>
      <c r="F627" s="268"/>
      <c r="G627" s="269"/>
      <c r="H627" s="269"/>
      <c r="I627" s="270"/>
      <c r="J627" s="32"/>
      <c r="K627" s="270"/>
      <c r="L627" s="270"/>
      <c r="M627" s="39"/>
      <c r="N627" s="39"/>
      <c r="O627" s="47"/>
      <c r="P627" s="57"/>
      <c r="Q627" s="276"/>
      <c r="R627" s="277"/>
      <c r="S627" s="277"/>
      <c r="T627" s="40"/>
      <c r="U627" s="278"/>
      <c r="V627" s="269"/>
      <c r="W627" s="269"/>
      <c r="X627" s="275"/>
      <c r="Y627" s="269"/>
      <c r="Z627" s="57"/>
      <c r="AA627" s="207"/>
      <c r="AB627" s="33"/>
      <c r="AC627" s="189"/>
      <c r="AD627" s="54"/>
      <c r="AE627" s="55"/>
      <c r="AF627" s="43"/>
      <c r="AG627" s="47"/>
      <c r="AH627" s="30"/>
      <c r="AI627" s="30"/>
      <c r="AJ627" s="30"/>
      <c r="AK627" s="30"/>
      <c r="AL627" s="13"/>
      <c r="AM627" s="13"/>
      <c r="AN627" s="13"/>
      <c r="AO627" s="13"/>
      <c r="AP627" s="13"/>
      <c r="AQ627" s="14"/>
      <c r="AR627" s="15"/>
    </row>
    <row r="628" spans="1:44" s="233" customFormat="1" ht="30.95" hidden="1" customHeight="1" x14ac:dyDescent="0.2">
      <c r="A628" s="217"/>
      <c r="B628" s="218"/>
      <c r="C628" s="280"/>
      <c r="D628" s="219"/>
      <c r="E628" s="219"/>
      <c r="F628" s="281"/>
      <c r="G628" s="282"/>
      <c r="H628" s="282"/>
      <c r="I628" s="283"/>
      <c r="J628" s="220"/>
      <c r="K628" s="283"/>
      <c r="L628" s="283"/>
      <c r="M628" s="221"/>
      <c r="N628" s="221"/>
      <c r="O628" s="222"/>
      <c r="P628" s="213"/>
      <c r="Q628" s="284"/>
      <c r="R628" s="285"/>
      <c r="S628" s="285"/>
      <c r="T628" s="224"/>
      <c r="U628" s="286"/>
      <c r="V628" s="282"/>
      <c r="W628" s="282"/>
      <c r="X628" s="287"/>
      <c r="Y628" s="282"/>
      <c r="Z628" s="213"/>
      <c r="AA628" s="288"/>
      <c r="AB628" s="225"/>
      <c r="AC628" s="226"/>
      <c r="AD628" s="227"/>
      <c r="AE628" s="228"/>
      <c r="AF628" s="223"/>
      <c r="AG628" s="234" t="e">
        <f>SUM(AG520:AG624)</f>
        <v>#N/A</v>
      </c>
      <c r="AH628" s="229"/>
      <c r="AI628" s="229"/>
      <c r="AJ628" s="229"/>
      <c r="AK628" s="229"/>
      <c r="AL628" s="230"/>
      <c r="AM628" s="230"/>
      <c r="AN628" s="230"/>
      <c r="AO628" s="230"/>
      <c r="AP628" s="230"/>
      <c r="AQ628" s="231"/>
      <c r="AR628" s="232"/>
    </row>
    <row r="629" spans="1:44" s="17" customFormat="1" ht="30.95" hidden="1" customHeight="1" x14ac:dyDescent="0.2">
      <c r="A629" s="37"/>
      <c r="B629" s="38"/>
      <c r="C629" s="45"/>
      <c r="D629" s="31"/>
      <c r="E629" s="31"/>
      <c r="F629" s="268"/>
      <c r="G629" s="269"/>
      <c r="H629" s="269"/>
      <c r="I629" s="270"/>
      <c r="J629" s="32"/>
      <c r="K629" s="270"/>
      <c r="L629" s="270"/>
      <c r="M629" s="39"/>
      <c r="N629" s="39"/>
      <c r="O629" s="47"/>
      <c r="P629" s="57"/>
      <c r="Q629" s="276"/>
      <c r="R629" s="277"/>
      <c r="S629" s="277"/>
      <c r="T629" s="40"/>
      <c r="U629" s="278"/>
      <c r="V629" s="269"/>
      <c r="W629" s="269"/>
      <c r="X629" s="275"/>
      <c r="Y629" s="269"/>
      <c r="Z629" s="57"/>
      <c r="AA629" s="207"/>
      <c r="AB629" s="33"/>
      <c r="AC629" s="189"/>
      <c r="AD629" s="54"/>
      <c r="AE629" s="55"/>
      <c r="AF629" s="43"/>
      <c r="AG629" s="47"/>
      <c r="AH629" s="30"/>
      <c r="AI629" s="30"/>
      <c r="AJ629" s="30"/>
      <c r="AK629" s="30"/>
      <c r="AL629" s="13"/>
      <c r="AM629" s="13"/>
      <c r="AN629" s="13"/>
      <c r="AO629" s="13"/>
      <c r="AP629" s="13"/>
      <c r="AQ629" s="14"/>
      <c r="AR629" s="15"/>
    </row>
    <row r="630" spans="1:44" s="17" customFormat="1" ht="30.95" hidden="1" customHeight="1" x14ac:dyDescent="0.2">
      <c r="A630" s="37" t="s">
        <v>517</v>
      </c>
      <c r="B630" s="38" t="s">
        <v>443</v>
      </c>
      <c r="C630" s="45"/>
      <c r="D630" s="31">
        <v>3716248</v>
      </c>
      <c r="E630" s="31">
        <v>4151394</v>
      </c>
      <c r="F630" s="268" t="str">
        <f>IF(D630="","",VLOOKUP(D630,契約台帳!$A$3:$K$4986,6,FALSE)&amp;VLOOKUP(D630,契約台帳!$A$3:$K$4986,7,FALSE)&amp;VLOOKUP(D630,契約台帳!$A$3:$K$4986,8,FALSE)&amp;VLOOKUP(D630,契約台帳!$A$3:$K$4986,9,FALSE)&amp;VLOOKUP(D630,契約台帳!$A$3:$K$4986,11,FALSE))</f>
        <v>3SNMLBMNGKKBF</v>
      </c>
      <c r="G630" s="269" t="str">
        <f>IF(D630="","",VLOOKUP(F630,製品マスタ!$G$5:$H$5002,2,FALSE))</f>
        <v>S</v>
      </c>
      <c r="H630" s="269" t="str">
        <f>IF(D630="","",VLOOKUP(F630,製品マスタ!$G$5:$K$5002,5,FALSE))</f>
        <v>MNGKKBF</v>
      </c>
      <c r="I630" s="270" t="str">
        <f>IF(D630="","",VLOOKUP(F630,製品マスタ!$G$5:$L$5002,6,FALSE))</f>
        <v>メタルミー　ネーマー銀消改　Ｂ</v>
      </c>
      <c r="J630" s="32" t="s">
        <v>447</v>
      </c>
      <c r="K630" s="270">
        <f>IF(D630="","",VLOOKUP(D630,契約台帳!$A$3:$L$4986,12,FALSE))</f>
        <v>50</v>
      </c>
      <c r="L630" s="270" t="str">
        <f>IF(D630="","",INDEX(製品マスタ!$Q$5:$Q$5002,MATCH(F630&amp;K630,製品マスタ!$AO$5:$AO$5002,0)))</f>
        <v>S99-MAT</v>
      </c>
      <c r="M630" s="39">
        <v>1120</v>
      </c>
      <c r="N630" s="39">
        <v>12000</v>
      </c>
      <c r="O630" s="47">
        <v>1</v>
      </c>
      <c r="P630" s="57"/>
      <c r="Q630" s="276">
        <f>IF(D630="","",IF(J630="リード付け",M630,VLOOKUP(D630,契約台帳!$A$3:$N$4986,14,FALSE)))</f>
        <v>1120</v>
      </c>
      <c r="R630" s="277">
        <f>IF(D630="","",IF(J630="リード付け",M630,VLOOKUP(D630,契約台帳!$A$3:$O$4986,15,FALSE)))</f>
        <v>1120</v>
      </c>
      <c r="S630" s="277">
        <f>IF(D630="","",IF(J630="リード付け",N630,VLOOKUP(D630,契約台帳!$A$3:$P$4986,16,FALSE)))</f>
        <v>4000</v>
      </c>
      <c r="T630" s="40">
        <v>3</v>
      </c>
      <c r="U630" s="302">
        <f ca="1">IF(D630="","",IF(OFFSET(D630,-2,0)=D630,"",VLOOKUP(D630,契約台帳!$A$3:$R$4986,18,FALSE)))</f>
        <v>18</v>
      </c>
      <c r="V630" s="269" t="str">
        <f>IF(J630="巻返し",VLOOKUP(F630&amp;K630&amp;M630,製品マスタ!$M$5:$AD$5002,18,FALSE),IF(J630="リード付け","原反コア",IF(J630="スリット",VLOOKUP(F630&amp;K630&amp;Q630,製品マスタ!$N$5:$AD$5002,17,FALSE),"")))</f>
        <v>6ｲﾝﾁSｺｱ</v>
      </c>
      <c r="W630" s="269">
        <f>IF(J630="巻返し",VLOOKUP(F630&amp;K630&amp;M630,製品マスタ!$M$5:$AE$5002,19,FALSE),IF(J630="リード付け","-",IF(J630="スリット",VLOOKUP(F630&amp;K630&amp;Q630,製品マスタ!$N$5:$AE$5002,18,FALSE),"")))</f>
        <v>1125</v>
      </c>
      <c r="X630" s="275">
        <f>IF(D630="","",VLOOKUP(D630,契約台帳!$A$3:$Q$4986,17,FALSE))</f>
        <v>2</v>
      </c>
      <c r="Y630" s="269" t="str">
        <f>IF(D630="","",VLOOKUP(D630,契約台帳!$A$3:$E$4986,5,FALSE))</f>
        <v>リンテック㈱</v>
      </c>
      <c r="Z630" s="57">
        <v>45139</v>
      </c>
      <c r="AA630" s="303">
        <f>IFERROR(VLOOKUP(F630&amp;K630&amp;M630,製品マスタ!$M$5:$AM$5002,27,FALSE),"")</f>
        <v>0</v>
      </c>
      <c r="AB630" s="33"/>
      <c r="AC630" s="189"/>
      <c r="AD630" s="54" t="str">
        <f>IF(F630="","",+F630&amp;K630)</f>
        <v>3SNMLBMNGKKBF50</v>
      </c>
      <c r="AE630" s="55">
        <f>+M630*N630*O630/1000</f>
        <v>13440</v>
      </c>
      <c r="AF630" s="43">
        <f>IF(AD630="","",VLOOKUP(AD630,原価マスタ!$A$2:$AJ$1693,13,FALSE))</f>
        <v>99</v>
      </c>
      <c r="AG630" s="47">
        <f>IF(AF630="","",+AE630*AF630/100)</f>
        <v>13305.6</v>
      </c>
      <c r="AH630" s="30"/>
      <c r="AI630" s="30"/>
      <c r="AJ630" s="30"/>
      <c r="AK630" s="30"/>
      <c r="AL630" s="13"/>
      <c r="AM630" s="13"/>
      <c r="AN630" s="13"/>
      <c r="AO630" s="13"/>
      <c r="AP630" s="13"/>
      <c r="AQ630" s="14"/>
      <c r="AR630" s="15"/>
    </row>
    <row r="631" spans="1:44" s="17" customFormat="1" ht="30.95" hidden="1" customHeight="1" x14ac:dyDescent="0.2">
      <c r="A631" s="37"/>
      <c r="B631" s="38"/>
      <c r="C631" s="45"/>
      <c r="D631" s="31"/>
      <c r="E631" s="31"/>
      <c r="F631" s="268"/>
      <c r="G631" s="269"/>
      <c r="H631" s="269"/>
      <c r="I631" s="270"/>
      <c r="J631" s="32"/>
      <c r="K631" s="270"/>
      <c r="L631" s="270"/>
      <c r="M631" s="39"/>
      <c r="N631" s="39"/>
      <c r="O631" s="47"/>
      <c r="P631" s="57"/>
      <c r="Q631" s="276"/>
      <c r="R631" s="277"/>
      <c r="S631" s="277"/>
      <c r="T631" s="40"/>
      <c r="U631" s="278"/>
      <c r="V631" s="269"/>
      <c r="W631" s="269"/>
      <c r="X631" s="275"/>
      <c r="Y631" s="269"/>
      <c r="Z631" s="57"/>
      <c r="AA631" s="207"/>
      <c r="AB631" s="33"/>
      <c r="AC631" s="189"/>
      <c r="AD631" s="54"/>
      <c r="AE631" s="55"/>
      <c r="AF631" s="43"/>
      <c r="AG631" s="47"/>
      <c r="AH631" s="30"/>
      <c r="AI631" s="30"/>
      <c r="AJ631" s="30"/>
      <c r="AK631" s="30"/>
      <c r="AL631" s="13"/>
      <c r="AM631" s="13"/>
      <c r="AN631" s="13"/>
      <c r="AO631" s="13"/>
      <c r="AP631" s="13"/>
      <c r="AQ631" s="14"/>
      <c r="AR631" s="15"/>
    </row>
    <row r="632" spans="1:44" s="17" customFormat="1" ht="30.95" hidden="1" customHeight="1" x14ac:dyDescent="0.2">
      <c r="A632" s="37" t="s">
        <v>519</v>
      </c>
      <c r="B632" s="38" t="s">
        <v>444</v>
      </c>
      <c r="C632" s="45"/>
      <c r="D632" s="31">
        <v>3716270</v>
      </c>
      <c r="E632" s="31">
        <v>4151424</v>
      </c>
      <c r="F632" s="268" t="str">
        <f>IF(D632="","",VLOOKUP(D632,契約台帳!$A$3:$K$4986,6,FALSE)&amp;VLOOKUP(D632,契約台帳!$A$3:$K$4986,7,FALSE)&amp;VLOOKUP(D632,契約台帳!$A$3:$K$4986,8,FALSE)&amp;VLOOKUP(D632,契約台帳!$A$3:$K$4986,9,FALSE)&amp;VLOOKUP(D632,契約台帳!$A$3:$K$4986,11,FALSE))</f>
        <v>3SYMLBMSSMBF</v>
      </c>
      <c r="G632" s="269" t="str">
        <f>IF(D632="","",VLOOKUP(F632,製品マスタ!$G$5:$H$5002,2,FALSE))</f>
        <v>S</v>
      </c>
      <c r="H632" s="269" t="str">
        <f>IF(D632="","",VLOOKUP(F632,製品マスタ!$G$5:$K$5002,5,FALSE))</f>
        <v>MSSMBF</v>
      </c>
      <c r="I632" s="270" t="str">
        <f>IF(D632="","",VLOOKUP(F632,製品マスタ!$G$5:$L$5002,6,FALSE))</f>
        <v>ＭＥＴＡＬＵＭＹ　ＳＩＬＶＥＲ　Ｓ－ＭＡＴＴＥ　Ｓ２８ＭＭ　Ｂ</v>
      </c>
      <c r="J632" s="32" t="s">
        <v>447</v>
      </c>
      <c r="K632" s="270">
        <f>IF(D632="","",VLOOKUP(D632,契約台帳!$A$3:$L$4986,12,FALSE))</f>
        <v>25</v>
      </c>
      <c r="L632" s="270" t="str">
        <f>IF(D632="","",INDEX(製品マスタ!$Q$5:$Q$5002,MATCH(F632&amp;K632,製品マスタ!$AO$5:$AO$5002,0)))</f>
        <v>LI-MAT</v>
      </c>
      <c r="M632" s="39">
        <v>1120</v>
      </c>
      <c r="N632" s="39">
        <v>8000</v>
      </c>
      <c r="O632" s="47">
        <v>1</v>
      </c>
      <c r="P632" s="57"/>
      <c r="Q632" s="276">
        <f>IF(D632="","",IF(J632="リード付け",M632,VLOOKUP(D632,契約台帳!$A$3:$N$4986,14,FALSE)))</f>
        <v>1120</v>
      </c>
      <c r="R632" s="277">
        <f>IF(D632="","",IF(J632="リード付け",M632,VLOOKUP(D632,契約台帳!$A$3:$O$4986,15,FALSE)))</f>
        <v>1120</v>
      </c>
      <c r="S632" s="277">
        <f>IF(D632="","",IF(J632="リード付け",N632,VLOOKUP(D632,契約台帳!$A$3:$P$4986,16,FALSE)))</f>
        <v>8000</v>
      </c>
      <c r="T632" s="40">
        <v>1</v>
      </c>
      <c r="U632" s="302">
        <f ca="1">IF(D632="","",IF(OFFSET(D632,-2,0)=D632,"",VLOOKUP(D632,契約台帳!$A$3:$R$4986,18,FALSE)))</f>
        <v>1</v>
      </c>
      <c r="V632" s="269" t="str">
        <f>IF(J632="巻返し",VLOOKUP(F632&amp;K632&amp;M632,製品マスタ!$M$5:$AD$5002,18,FALSE),IF(J632="リード付け","原反コア",IF(J632="スリット",VLOOKUP(F632&amp;K632&amp;Q632,製品マスタ!$N$5:$AD$5002,17,FALSE),"")))</f>
        <v>6ｲﾝﾁSｺｱ</v>
      </c>
      <c r="W632" s="269">
        <f>IF(J632="巻返し",VLOOKUP(F632&amp;K632&amp;M632,製品マスタ!$M$5:$AE$5002,19,FALSE),IF(J632="リード付け","-",IF(J632="スリット",VLOOKUP(F632&amp;K632&amp;Q632,製品マスタ!$N$5:$AE$5002,18,FALSE),"")))</f>
        <v>1125</v>
      </c>
      <c r="X632" s="275">
        <f>IF(D632="","",VLOOKUP(D632,契約台帳!$A$3:$Q$4986,17,FALSE))</f>
        <v>2</v>
      </c>
      <c r="Y632" s="269" t="str">
        <f>IF(D632="","",VLOOKUP(D632,契約台帳!$A$3:$E$4986,5,FALSE))</f>
        <v>リンテック㈱</v>
      </c>
      <c r="Z632" s="57">
        <v>45139</v>
      </c>
      <c r="AA632" s="303">
        <f>IFERROR(VLOOKUP(F632&amp;K632&amp;M632,製品マスタ!$M$5:$AM$5002,27,FALSE),"")</f>
        <v>0</v>
      </c>
      <c r="AB632" s="33"/>
      <c r="AC632" s="189"/>
      <c r="AD632" s="54" t="str">
        <f>IF(F632="","",+F632&amp;K632)</f>
        <v>3SYMLBMSSMBF25</v>
      </c>
      <c r="AE632" s="55">
        <f>+M632*N632*O632/1000</f>
        <v>8960</v>
      </c>
      <c r="AF632" s="43" t="e">
        <f>IF(AD632="","",VLOOKUP(AD632,原価マスタ!$A$2:$AJ$1693,13,FALSE))</f>
        <v>#N/A</v>
      </c>
      <c r="AG632" s="47" t="e">
        <f>IF(AF632="","",+AE632*AF632/100)</f>
        <v>#N/A</v>
      </c>
      <c r="AH632" s="30"/>
      <c r="AI632" s="30"/>
      <c r="AJ632" s="30"/>
      <c r="AK632" s="30"/>
      <c r="AL632" s="13"/>
      <c r="AM632" s="13"/>
      <c r="AN632" s="13"/>
      <c r="AO632" s="13"/>
      <c r="AP632" s="13"/>
      <c r="AQ632" s="14"/>
      <c r="AR632" s="15"/>
    </row>
    <row r="633" spans="1:44" s="17" customFormat="1" ht="30.95" hidden="1" customHeight="1" x14ac:dyDescent="0.2">
      <c r="A633" s="37"/>
      <c r="B633" s="38"/>
      <c r="C633" s="45"/>
      <c r="D633" s="31"/>
      <c r="E633" s="31"/>
      <c r="F633" s="268"/>
      <c r="G633" s="269"/>
      <c r="H633" s="269"/>
      <c r="I633" s="270"/>
      <c r="J633" s="32"/>
      <c r="K633" s="270"/>
      <c r="L633" s="270"/>
      <c r="M633" s="39"/>
      <c r="N633" s="39"/>
      <c r="O633" s="47"/>
      <c r="P633" s="57"/>
      <c r="Q633" s="276"/>
      <c r="R633" s="277"/>
      <c r="S633" s="277"/>
      <c r="T633" s="40"/>
      <c r="U633" s="278"/>
      <c r="V633" s="269"/>
      <c r="W633" s="269"/>
      <c r="X633" s="275"/>
      <c r="Y633" s="269"/>
      <c r="Z633" s="57"/>
      <c r="AA633" s="207"/>
      <c r="AB633" s="33"/>
      <c r="AC633" s="189"/>
      <c r="AD633" s="54"/>
      <c r="AE633" s="55"/>
      <c r="AF633" s="43"/>
      <c r="AG633" s="47"/>
      <c r="AH633" s="30"/>
      <c r="AI633" s="30"/>
      <c r="AJ633" s="30"/>
      <c r="AK633" s="30"/>
      <c r="AL633" s="13"/>
      <c r="AM633" s="13"/>
      <c r="AN633" s="13"/>
      <c r="AO633" s="13"/>
      <c r="AP633" s="13"/>
      <c r="AQ633" s="14"/>
      <c r="AR633" s="15"/>
    </row>
    <row r="634" spans="1:44" s="17" customFormat="1" ht="30.95" hidden="1" customHeight="1" x14ac:dyDescent="0.2">
      <c r="A634" s="37"/>
      <c r="B634" s="38"/>
      <c r="C634" s="45"/>
      <c r="D634" s="31">
        <v>3716271</v>
      </c>
      <c r="E634" s="31">
        <v>4151407</v>
      </c>
      <c r="F634" s="268" t="str">
        <f>IF(D634="","",VLOOKUP(D634,契約台帳!$A$3:$K$4986,6,FALSE)&amp;VLOOKUP(D634,契約台帳!$A$3:$K$4986,7,FALSE)&amp;VLOOKUP(D634,契約台帳!$A$3:$K$4986,8,FALSE)&amp;VLOOKUP(D634,契約台帳!$A$3:$K$4986,9,FALSE)&amp;VLOOKUP(D634,契約台帳!$A$3:$K$4986,11,FALSE))</f>
        <v>3SYMLBMSSMBF</v>
      </c>
      <c r="G634" s="269" t="str">
        <f>IF(D634="","",VLOOKUP(F634,製品マスタ!$G$5:$H$5002,2,FALSE))</f>
        <v>S</v>
      </c>
      <c r="H634" s="269" t="str">
        <f>IF(D634="","",VLOOKUP(F634,製品マスタ!$G$5:$K$5002,5,FALSE))</f>
        <v>MSSMBF</v>
      </c>
      <c r="I634" s="270" t="str">
        <f>IF(D634="","",VLOOKUP(F634,製品マスタ!$G$5:$L$5002,6,FALSE))</f>
        <v>ＭＥＴＡＬＵＭＹ　ＳＩＬＶＥＲ　Ｓ－ＭＡＴＴＥ　Ｓ２８ＭＭ　Ｂ</v>
      </c>
      <c r="J634" s="32" t="s">
        <v>447</v>
      </c>
      <c r="K634" s="270">
        <f>IF(D634="","",VLOOKUP(D634,契約台帳!$A$3:$L$4986,12,FALSE))</f>
        <v>50</v>
      </c>
      <c r="L634" s="270" t="e">
        <f>IF(D634="","",INDEX(製品マスタ!$Q$5:$Q$5002,MATCH(F634&amp;K634,製品マスタ!$AO$5:$AO$5002,0)))</f>
        <v>#N/A</v>
      </c>
      <c r="M634" s="39">
        <v>1120</v>
      </c>
      <c r="N634" s="39">
        <v>8000</v>
      </c>
      <c r="O634" s="47">
        <v>2</v>
      </c>
      <c r="P634" s="57"/>
      <c r="Q634" s="276">
        <f>IF(D634="","",IF(J634="リード付け",M634,VLOOKUP(D634,契約台帳!$A$3:$N$4986,14,FALSE)))</f>
        <v>1120</v>
      </c>
      <c r="R634" s="277">
        <f>IF(D634="","",IF(J634="リード付け",M634,VLOOKUP(D634,契約台帳!$A$3:$O$4986,15,FALSE)))</f>
        <v>1120</v>
      </c>
      <c r="S634" s="277">
        <f>IF(D634="","",IF(J634="リード付け",N634,VLOOKUP(D634,契約台帳!$A$3:$P$4986,16,FALSE)))</f>
        <v>4000</v>
      </c>
      <c r="T634" s="40">
        <v>4</v>
      </c>
      <c r="U634" s="302">
        <f ca="1">IF(D634="","",IF(OFFSET(D634,-2,0)=D634,"",VLOOKUP(D634,契約台帳!$A$3:$R$4986,18,FALSE)))</f>
        <v>4</v>
      </c>
      <c r="V634" s="269" t="e">
        <f>IF(J634="巻返し",VLOOKUP(F634&amp;K634&amp;M634,製品マスタ!$M$5:$AD$5002,18,FALSE),IF(J634="リード付け","原反コア",IF(J634="スリット",VLOOKUP(F634&amp;K634&amp;Q634,製品マスタ!$N$5:$AD$5002,17,FALSE),"")))</f>
        <v>#N/A</v>
      </c>
      <c r="W634" s="269" t="e">
        <f>IF(J634="巻返し",VLOOKUP(F634&amp;K634&amp;M634,製品マスタ!$M$5:$AE$5002,19,FALSE),IF(J634="リード付け","-",IF(J634="スリット",VLOOKUP(F634&amp;K634&amp;Q634,製品マスタ!$N$5:$AE$5002,18,FALSE),"")))</f>
        <v>#N/A</v>
      </c>
      <c r="X634" s="275">
        <f>IF(D634="","",VLOOKUP(D634,契約台帳!$A$3:$Q$4986,17,FALSE))</f>
        <v>2</v>
      </c>
      <c r="Y634" s="269" t="str">
        <f>IF(D634="","",VLOOKUP(D634,契約台帳!$A$3:$E$4986,5,FALSE))</f>
        <v>リンテック㈱</v>
      </c>
      <c r="Z634" s="57">
        <v>45139</v>
      </c>
      <c r="AA634" s="303" t="str">
        <f>IFERROR(VLOOKUP(F634&amp;K634&amp;M634,製品マスタ!$M$5:$AM$5002,27,FALSE),"")</f>
        <v/>
      </c>
      <c r="AB634" s="33"/>
      <c r="AC634" s="189"/>
      <c r="AD634" s="54" t="str">
        <f>IF(F634="","",+F634&amp;K634)</f>
        <v>3SYMLBMSSMBF50</v>
      </c>
      <c r="AE634" s="55">
        <f>+M634*N634*O634/1000</f>
        <v>17920</v>
      </c>
      <c r="AF634" s="43">
        <f>IF(AD634="","",VLOOKUP(AD634,原価マスタ!$A$2:$AJ$1693,13,FALSE))</f>
        <v>98</v>
      </c>
      <c r="AG634" s="47">
        <f>IF(AF634="","",+AE634*AF634/100)</f>
        <v>17561.599999999999</v>
      </c>
      <c r="AH634" s="30"/>
      <c r="AI634" s="30"/>
      <c r="AJ634" s="30"/>
      <c r="AK634" s="30"/>
      <c r="AL634" s="13"/>
      <c r="AM634" s="13"/>
      <c r="AN634" s="13"/>
      <c r="AO634" s="13"/>
      <c r="AP634" s="13"/>
      <c r="AQ634" s="14"/>
      <c r="AR634" s="15"/>
    </row>
    <row r="635" spans="1:44" s="17" customFormat="1" ht="30.95" hidden="1" customHeight="1" x14ac:dyDescent="0.2">
      <c r="A635" s="37"/>
      <c r="B635" s="38"/>
      <c r="C635" s="45"/>
      <c r="D635" s="31"/>
      <c r="E635" s="31"/>
      <c r="F635" s="268"/>
      <c r="G635" s="269"/>
      <c r="H635" s="269"/>
      <c r="I635" s="270"/>
      <c r="J635" s="32"/>
      <c r="K635" s="270"/>
      <c r="L635" s="270"/>
      <c r="M635" s="39"/>
      <c r="N635" s="39"/>
      <c r="O635" s="47"/>
      <c r="P635" s="57"/>
      <c r="Q635" s="276"/>
      <c r="R635" s="277"/>
      <c r="S635" s="277"/>
      <c r="T635" s="40"/>
      <c r="U635" s="278"/>
      <c r="V635" s="269"/>
      <c r="W635" s="269"/>
      <c r="X635" s="275"/>
      <c r="Y635" s="269"/>
      <c r="Z635" s="57"/>
      <c r="AA635" s="207"/>
      <c r="AB635" s="33"/>
      <c r="AC635" s="189"/>
      <c r="AD635" s="54"/>
      <c r="AE635" s="55"/>
      <c r="AF635" s="43"/>
      <c r="AG635" s="47"/>
      <c r="AH635" s="30"/>
      <c r="AI635" s="30"/>
      <c r="AJ635" s="30"/>
      <c r="AK635" s="30"/>
      <c r="AL635" s="13"/>
      <c r="AM635" s="13"/>
      <c r="AN635" s="13"/>
      <c r="AO635" s="13"/>
      <c r="AP635" s="13"/>
      <c r="AQ635" s="14"/>
      <c r="AR635" s="15"/>
    </row>
    <row r="636" spans="1:44" s="17" customFormat="1" ht="30.95" hidden="1" customHeight="1" x14ac:dyDescent="0.2">
      <c r="A636" s="37" t="s">
        <v>520</v>
      </c>
      <c r="B636" s="38" t="s">
        <v>445</v>
      </c>
      <c r="C636" s="45"/>
      <c r="D636" s="31"/>
      <c r="E636" s="31"/>
      <c r="F636" s="268"/>
      <c r="G636" s="269"/>
      <c r="H636" s="269"/>
      <c r="I636" s="270"/>
      <c r="J636" s="32" t="s">
        <v>448</v>
      </c>
      <c r="K636" s="270"/>
      <c r="L636" s="270"/>
      <c r="M636" s="39"/>
      <c r="N636" s="39"/>
      <c r="O636" s="47"/>
      <c r="P636" s="57"/>
      <c r="Q636" s="276"/>
      <c r="R636" s="277"/>
      <c r="S636" s="277"/>
      <c r="T636" s="40"/>
      <c r="U636" s="278"/>
      <c r="V636" s="269"/>
      <c r="W636" s="269"/>
      <c r="X636" s="275"/>
      <c r="Y636" s="269"/>
      <c r="Z636" s="57"/>
      <c r="AA636" s="207"/>
      <c r="AB636" s="33"/>
      <c r="AC636" s="189"/>
      <c r="AD636" s="54"/>
      <c r="AE636" s="55"/>
      <c r="AF636" s="43"/>
      <c r="AG636" s="47"/>
      <c r="AH636" s="30"/>
      <c r="AI636" s="30"/>
      <c r="AJ636" s="30"/>
      <c r="AK636" s="30"/>
      <c r="AL636" s="13"/>
      <c r="AM636" s="13"/>
      <c r="AN636" s="13"/>
      <c r="AO636" s="13"/>
      <c r="AP636" s="13"/>
      <c r="AQ636" s="14"/>
      <c r="AR636" s="15"/>
    </row>
    <row r="637" spans="1:44" s="17" customFormat="1" ht="30.95" hidden="1" customHeight="1" x14ac:dyDescent="0.2">
      <c r="A637" s="37"/>
      <c r="B637" s="38"/>
      <c r="C637" s="45"/>
      <c r="D637" s="31"/>
      <c r="E637" s="31"/>
      <c r="F637" s="268"/>
      <c r="G637" s="269"/>
      <c r="H637" s="269"/>
      <c r="I637" s="270"/>
      <c r="J637" s="32"/>
      <c r="K637" s="270"/>
      <c r="L637" s="270"/>
      <c r="M637" s="39"/>
      <c r="N637" s="39"/>
      <c r="O637" s="47"/>
      <c r="P637" s="57"/>
      <c r="Q637" s="276"/>
      <c r="R637" s="277"/>
      <c r="S637" s="277"/>
      <c r="T637" s="40"/>
      <c r="U637" s="278"/>
      <c r="V637" s="269"/>
      <c r="W637" s="269"/>
      <c r="X637" s="275"/>
      <c r="Y637" s="269"/>
      <c r="Z637" s="57"/>
      <c r="AA637" s="207"/>
      <c r="AB637" s="33"/>
      <c r="AC637" s="189"/>
      <c r="AD637" s="54"/>
      <c r="AE637" s="55"/>
      <c r="AF637" s="43"/>
      <c r="AG637" s="47"/>
      <c r="AH637" s="30"/>
      <c r="AI637" s="30"/>
      <c r="AJ637" s="30"/>
      <c r="AK637" s="30"/>
      <c r="AL637" s="13"/>
      <c r="AM637" s="13"/>
      <c r="AN637" s="13"/>
      <c r="AO637" s="13"/>
      <c r="AP637" s="13"/>
      <c r="AQ637" s="14"/>
      <c r="AR637" s="15"/>
    </row>
    <row r="638" spans="1:44" s="17" customFormat="1" ht="30.95" hidden="1" customHeight="1" x14ac:dyDescent="0.2">
      <c r="A638" s="37" t="s">
        <v>521</v>
      </c>
      <c r="B638" s="38" t="s">
        <v>446</v>
      </c>
      <c r="C638" s="45"/>
      <c r="D638" s="31"/>
      <c r="E638" s="31"/>
      <c r="F638" s="268"/>
      <c r="G638" s="269"/>
      <c r="H638" s="269"/>
      <c r="I638" s="270"/>
      <c r="J638" s="32" t="s">
        <v>448</v>
      </c>
      <c r="K638" s="270"/>
      <c r="L638" s="270"/>
      <c r="M638" s="39"/>
      <c r="N638" s="39"/>
      <c r="O638" s="47"/>
      <c r="P638" s="57"/>
      <c r="Q638" s="276"/>
      <c r="R638" s="277"/>
      <c r="S638" s="277"/>
      <c r="T638" s="40"/>
      <c r="U638" s="278"/>
      <c r="V638" s="269"/>
      <c r="W638" s="269"/>
      <c r="X638" s="275"/>
      <c r="Y638" s="269"/>
      <c r="Z638" s="57"/>
      <c r="AA638" s="207"/>
      <c r="AB638" s="33"/>
      <c r="AC638" s="189"/>
      <c r="AD638" s="54"/>
      <c r="AE638" s="55"/>
      <c r="AF638" s="43"/>
      <c r="AG638" s="47"/>
      <c r="AH638" s="30"/>
      <c r="AI638" s="30"/>
      <c r="AJ638" s="30"/>
      <c r="AK638" s="30"/>
      <c r="AL638" s="13"/>
      <c r="AM638" s="13"/>
      <c r="AN638" s="13"/>
      <c r="AO638" s="13"/>
      <c r="AP638" s="13"/>
      <c r="AQ638" s="14"/>
      <c r="AR638" s="15"/>
    </row>
    <row r="639" spans="1:44" s="17" customFormat="1" ht="30.95" hidden="1" customHeight="1" x14ac:dyDescent="0.2">
      <c r="A639" s="37"/>
      <c r="B639" s="38"/>
      <c r="C639" s="45"/>
      <c r="D639" s="31"/>
      <c r="E639" s="31"/>
      <c r="F639" s="268"/>
      <c r="G639" s="269"/>
      <c r="H639" s="269"/>
      <c r="I639" s="270"/>
      <c r="J639" s="32"/>
      <c r="K639" s="270"/>
      <c r="L639" s="270"/>
      <c r="M639" s="39"/>
      <c r="N639" s="39"/>
      <c r="O639" s="47"/>
      <c r="P639" s="57"/>
      <c r="Q639" s="276"/>
      <c r="R639" s="277"/>
      <c r="S639" s="277"/>
      <c r="T639" s="40"/>
      <c r="U639" s="278"/>
      <c r="V639" s="269"/>
      <c r="W639" s="269"/>
      <c r="X639" s="275"/>
      <c r="Y639" s="269"/>
      <c r="Z639" s="57"/>
      <c r="AA639" s="207"/>
      <c r="AB639" s="33"/>
      <c r="AC639" s="189"/>
      <c r="AD639" s="54"/>
      <c r="AE639" s="55"/>
      <c r="AF639" s="43"/>
      <c r="AG639" s="47"/>
      <c r="AH639" s="30"/>
      <c r="AI639" s="30"/>
      <c r="AJ639" s="30"/>
      <c r="AK639" s="30"/>
      <c r="AL639" s="13"/>
      <c r="AM639" s="13"/>
      <c r="AN639" s="13"/>
      <c r="AO639" s="13"/>
      <c r="AP639" s="13"/>
      <c r="AQ639" s="14"/>
      <c r="AR639" s="15"/>
    </row>
    <row r="640" spans="1:44" s="17" customFormat="1" ht="30.95" hidden="1" customHeight="1" x14ac:dyDescent="0.2">
      <c r="A640" s="37" t="s">
        <v>1356</v>
      </c>
      <c r="B640" s="38" t="s">
        <v>1357</v>
      </c>
      <c r="C640" s="45"/>
      <c r="D640" s="31" t="s">
        <v>1276</v>
      </c>
      <c r="E640" s="31" t="s">
        <v>1277</v>
      </c>
      <c r="F640" s="268" t="s">
        <v>1304</v>
      </c>
      <c r="G640" s="269" t="s">
        <v>269</v>
      </c>
      <c r="H640" s="269" t="s">
        <v>1318</v>
      </c>
      <c r="I640" s="270" t="s">
        <v>1316</v>
      </c>
      <c r="J640" s="32" t="s">
        <v>447</v>
      </c>
      <c r="K640" s="270">
        <v>50</v>
      </c>
      <c r="L640" s="270" t="s">
        <v>1320</v>
      </c>
      <c r="M640" s="39">
        <v>1030</v>
      </c>
      <c r="N640" s="39">
        <v>2000</v>
      </c>
      <c r="O640" s="47">
        <v>1</v>
      </c>
      <c r="P640" s="57"/>
      <c r="Q640" s="276">
        <v>1000</v>
      </c>
      <c r="R640" s="277">
        <v>1000</v>
      </c>
      <c r="S640" s="277">
        <v>2000</v>
      </c>
      <c r="T640" s="40">
        <v>1</v>
      </c>
      <c r="U640" s="278">
        <v>1</v>
      </c>
      <c r="V640" s="269" t="s">
        <v>806</v>
      </c>
      <c r="W640" s="269">
        <v>1015</v>
      </c>
      <c r="X640" s="275">
        <v>2</v>
      </c>
      <c r="Y640" s="269" t="s">
        <v>116</v>
      </c>
      <c r="Z640" s="57" t="s">
        <v>1016</v>
      </c>
      <c r="AA640" s="303" t="s">
        <v>774</v>
      </c>
      <c r="AB640" s="33"/>
      <c r="AC640" s="189"/>
      <c r="AD640" s="54"/>
      <c r="AE640" s="55"/>
      <c r="AF640" s="43"/>
      <c r="AG640" s="47"/>
      <c r="AH640" s="30"/>
      <c r="AI640" s="30"/>
      <c r="AJ640" s="30"/>
      <c r="AK640" s="30"/>
      <c r="AL640" s="13"/>
      <c r="AM640" s="13"/>
      <c r="AN640" s="13"/>
      <c r="AO640" s="13"/>
      <c r="AP640" s="13"/>
      <c r="AQ640" s="14"/>
      <c r="AR640" s="15"/>
    </row>
    <row r="641" spans="1:44" s="17" customFormat="1" ht="30.95" hidden="1" customHeight="1" x14ac:dyDescent="0.2">
      <c r="A641" s="37"/>
      <c r="B641" s="38"/>
      <c r="C641" s="45"/>
      <c r="D641" s="31" t="s">
        <v>1276</v>
      </c>
      <c r="E641" s="31" t="s">
        <v>1277</v>
      </c>
      <c r="F641" s="268" t="s">
        <v>1304</v>
      </c>
      <c r="G641" s="269" t="s">
        <v>269</v>
      </c>
      <c r="H641" s="269" t="s">
        <v>1319</v>
      </c>
      <c r="I641" s="270" t="s">
        <v>1317</v>
      </c>
      <c r="J641" s="32"/>
      <c r="K641" s="270">
        <v>25</v>
      </c>
      <c r="L641" s="270" t="s">
        <v>831</v>
      </c>
      <c r="M641" s="39">
        <v>1040</v>
      </c>
      <c r="N641" s="39">
        <v>500</v>
      </c>
      <c r="O641" s="47"/>
      <c r="P641" s="57"/>
      <c r="Q641" s="276">
        <v>1000</v>
      </c>
      <c r="R641" s="277">
        <v>1000</v>
      </c>
      <c r="S641" s="277">
        <v>500</v>
      </c>
      <c r="T641" s="40">
        <v>1</v>
      </c>
      <c r="U641" s="278">
        <v>1</v>
      </c>
      <c r="V641" s="269"/>
      <c r="W641" s="269"/>
      <c r="X641" s="275"/>
      <c r="Y641" s="269"/>
      <c r="Z641" s="57" t="s">
        <v>1016</v>
      </c>
      <c r="AA641" s="303" t="s">
        <v>774</v>
      </c>
      <c r="AB641" s="33"/>
      <c r="AC641" s="189"/>
      <c r="AD641" s="54"/>
      <c r="AE641" s="55"/>
      <c r="AF641" s="43"/>
      <c r="AG641" s="47"/>
      <c r="AH641" s="30"/>
      <c r="AI641" s="30"/>
      <c r="AJ641" s="30"/>
      <c r="AK641" s="30"/>
      <c r="AL641" s="13"/>
      <c r="AM641" s="13"/>
      <c r="AN641" s="13"/>
      <c r="AO641" s="13"/>
      <c r="AP641" s="13"/>
      <c r="AQ641" s="14"/>
      <c r="AR641" s="15"/>
    </row>
    <row r="642" spans="1:44" s="17" customFormat="1" ht="30.95" hidden="1" customHeight="1" x14ac:dyDescent="0.2">
      <c r="A642" s="37"/>
      <c r="B642" s="38"/>
      <c r="C642" s="45"/>
      <c r="D642" s="31"/>
      <c r="E642" s="31"/>
      <c r="F642" s="268"/>
      <c r="G642" s="269"/>
      <c r="H642" s="269"/>
      <c r="I642" s="270"/>
      <c r="J642" s="32"/>
      <c r="K642" s="270"/>
      <c r="L642" s="270"/>
      <c r="M642" s="39"/>
      <c r="N642" s="39"/>
      <c r="O642" s="47"/>
      <c r="P642" s="57"/>
      <c r="Q642" s="276"/>
      <c r="R642" s="277"/>
      <c r="S642" s="277"/>
      <c r="T642" s="40"/>
      <c r="U642" s="278"/>
      <c r="V642" s="269"/>
      <c r="W642" s="269"/>
      <c r="X642" s="275"/>
      <c r="Y642" s="269"/>
      <c r="Z642" s="57"/>
      <c r="AA642" s="207"/>
      <c r="AB642" s="33"/>
      <c r="AC642" s="189"/>
      <c r="AD642" s="54"/>
      <c r="AE642" s="55"/>
      <c r="AF642" s="43"/>
      <c r="AG642" s="47"/>
      <c r="AH642" s="30"/>
      <c r="AI642" s="30"/>
      <c r="AJ642" s="30"/>
      <c r="AK642" s="30"/>
      <c r="AL642" s="13"/>
      <c r="AM642" s="13"/>
      <c r="AN642" s="13"/>
      <c r="AO642" s="13"/>
      <c r="AP642" s="13"/>
      <c r="AQ642" s="14"/>
      <c r="AR642" s="15"/>
    </row>
    <row r="643" spans="1:44" s="17" customFormat="1" ht="30.95" hidden="1" customHeight="1" x14ac:dyDescent="0.2">
      <c r="A643" s="37"/>
      <c r="B643" s="38"/>
      <c r="C643" s="45"/>
      <c r="D643" s="31">
        <v>3716240</v>
      </c>
      <c r="E643" s="31">
        <v>4151385</v>
      </c>
      <c r="F643" s="268" t="str">
        <f>IF(D643="","",VLOOKUP(D643,契約台帳!$A$3:$K$4986,6,FALSE)&amp;VLOOKUP(D643,契約台帳!$A$3:$K$4986,7,FALSE)&amp;VLOOKUP(D643,契約台帳!$A$3:$K$4986,8,FALSE)&amp;VLOOKUP(D643,契約台帳!$A$3:$K$4986,9,FALSE)&amp;VLOOKUP(D643,契約台帳!$A$3:$K$4986,11,FALSE))</f>
        <v>3SNMLBMDMSJF</v>
      </c>
      <c r="G643" s="269" t="str">
        <f>IF(D643="","",VLOOKUP(F643,製品マスタ!$G$5:$H$5002,2,FALSE))</f>
        <v>S</v>
      </c>
      <c r="H643" s="269" t="str">
        <f>IF(D643="","",VLOOKUP(F643,製品マスタ!$G$5:$K$5002,5,FALSE))</f>
        <v>MDMSJF</v>
      </c>
      <c r="I643" s="270" t="str">
        <f>IF(D643="","",VLOOKUP(F643,製品マスタ!$G$5:$L$5002,6,FALSE))</f>
        <v>ＤＭＳ蒸着（Ｘ－４４）</v>
      </c>
      <c r="J643" s="32" t="s">
        <v>447</v>
      </c>
      <c r="K643" s="270">
        <f>IF(D643="","",VLOOKUP(D643,契約台帳!$A$3:$L$4986,12,FALSE))</f>
        <v>50</v>
      </c>
      <c r="L643" s="270" t="str">
        <f>IF(D643="","",INDEX(製品マスタ!$Q$5:$Q$5002,MATCH(F643&amp;K643,製品マスタ!$AO$5:$AO$5002,0)))</f>
        <v>X44</v>
      </c>
      <c r="M643" s="39">
        <v>1020</v>
      </c>
      <c r="N643" s="39">
        <v>8000</v>
      </c>
      <c r="O643" s="47">
        <v>1</v>
      </c>
      <c r="P643" s="57"/>
      <c r="Q643" s="276">
        <f>IF(D643="","",IF(J643="リード付け",M643,VLOOKUP(D643,契約台帳!$A$3:$N$4986,14,FALSE)))</f>
        <v>1020</v>
      </c>
      <c r="R643" s="277">
        <f>IF(D643="","",IF(J643="リード付け",M643,VLOOKUP(D643,契約台帳!$A$3:$O$4986,15,FALSE)))</f>
        <v>1000</v>
      </c>
      <c r="S643" s="277">
        <f>IF(D643="","",IF(J643="リード付け",N643,VLOOKUP(D643,契約台帳!$A$3:$P$4986,16,FALSE)))</f>
        <v>2000</v>
      </c>
      <c r="T643" s="40">
        <v>4</v>
      </c>
      <c r="U643" s="302">
        <f ca="1">IF(D643="","",IF(OFFSET(D643,-2,0)=D643,"",VLOOKUP(D643,契約台帳!$A$3:$R$4986,18,FALSE)))</f>
        <v>4</v>
      </c>
      <c r="V643" s="269" t="str">
        <f>IF(J643="巻返し",VLOOKUP(F643&amp;K643&amp;M643,製品マスタ!$M$5:$AD$5002,18,FALSE),IF(J643="リード付け","原反コア",IF(J643="スリット",VLOOKUP(F643&amp;K643&amp;Q643,製品マスタ!$N$5:$AD$5002,17,FALSE),"")))</f>
        <v>3ｲﾝﾁSｺｱ</v>
      </c>
      <c r="W643" s="269">
        <f>IF(J643="巻返し",VLOOKUP(F643&amp;K643&amp;M643,製品マスタ!$M$5:$AE$5002,19,FALSE),IF(J643="リード付け","-",IF(J643="スリット",VLOOKUP(F643&amp;K643&amp;Q643,製品マスタ!$N$5:$AE$5002,18,FALSE),"")))</f>
        <v>1005</v>
      </c>
      <c r="X643" s="275">
        <f>IF(D643="","",VLOOKUP(D643,契約台帳!$A$3:$Q$4986,17,FALSE))</f>
        <v>2</v>
      </c>
      <c r="Y643" s="269" t="str">
        <f>IF(D643="","",VLOOKUP(D643,契約台帳!$A$3:$E$4986,5,FALSE))</f>
        <v>五洋紙工㈱</v>
      </c>
      <c r="Z643" s="57">
        <v>45139</v>
      </c>
      <c r="AA643" s="303">
        <f>IFERROR(VLOOKUP(F643&amp;K643&amp;M643,製品マスタ!$M$5:$AM$5002,27,FALSE),"")</f>
        <v>0</v>
      </c>
      <c r="AB643" s="33"/>
      <c r="AC643" s="189"/>
      <c r="AD643" s="54" t="str">
        <f>IF(F643="","",+F643&amp;K643)</f>
        <v>3SNMLBMDMSJF50</v>
      </c>
      <c r="AE643" s="55">
        <f>+M643*N643*O643/1000</f>
        <v>8160</v>
      </c>
      <c r="AF643" s="43">
        <v>97</v>
      </c>
      <c r="AG643" s="47">
        <f>IF(AF643="","",+AE643*AF643/100)</f>
        <v>7915.2</v>
      </c>
      <c r="AH643" s="30"/>
      <c r="AI643" s="30"/>
      <c r="AJ643" s="30"/>
      <c r="AK643" s="30"/>
      <c r="AL643" s="13"/>
      <c r="AM643" s="13"/>
      <c r="AN643" s="13"/>
      <c r="AO643" s="13"/>
      <c r="AP643" s="13"/>
      <c r="AQ643" s="14"/>
      <c r="AR643" s="15"/>
    </row>
    <row r="644" spans="1:44" s="17" customFormat="1" ht="30.95" hidden="1" customHeight="1" x14ac:dyDescent="0.2">
      <c r="A644" s="37"/>
      <c r="B644" s="38"/>
      <c r="C644" s="45"/>
      <c r="D644" s="31"/>
      <c r="E644" s="31"/>
      <c r="F644" s="268"/>
      <c r="G644" s="269"/>
      <c r="H644" s="269"/>
      <c r="I644" s="270"/>
      <c r="J644" s="32"/>
      <c r="K644" s="270"/>
      <c r="L644" s="270"/>
      <c r="M644" s="39"/>
      <c r="N644" s="39"/>
      <c r="O644" s="47"/>
      <c r="P644" s="57"/>
      <c r="Q644" s="276"/>
      <c r="R644" s="277"/>
      <c r="S644" s="277"/>
      <c r="T644" s="40"/>
      <c r="U644" s="278"/>
      <c r="V644" s="269"/>
      <c r="W644" s="269"/>
      <c r="X644" s="275"/>
      <c r="Y644" s="269"/>
      <c r="Z644" s="57"/>
      <c r="AA644" s="207"/>
      <c r="AB644" s="33"/>
      <c r="AC644" s="189"/>
      <c r="AD644" s="54"/>
      <c r="AE644" s="55"/>
      <c r="AF644" s="43"/>
      <c r="AG644" s="47"/>
      <c r="AH644" s="30"/>
      <c r="AI644" s="30"/>
      <c r="AJ644" s="30"/>
      <c r="AK644" s="30"/>
      <c r="AL644" s="13"/>
      <c r="AM644" s="13"/>
      <c r="AN644" s="13"/>
      <c r="AO644" s="13"/>
      <c r="AP644" s="13"/>
      <c r="AQ644" s="14"/>
      <c r="AR644" s="15"/>
    </row>
    <row r="645" spans="1:44" s="17" customFormat="1" ht="30.95" hidden="1" customHeight="1" x14ac:dyDescent="0.2">
      <c r="A645" s="37" t="s">
        <v>1293</v>
      </c>
      <c r="B645" s="38" t="s">
        <v>1291</v>
      </c>
      <c r="C645" s="45"/>
      <c r="D645" s="31"/>
      <c r="E645" s="31"/>
      <c r="F645" s="268"/>
      <c r="G645" s="269"/>
      <c r="H645" s="269"/>
      <c r="I645" s="270"/>
      <c r="J645" s="32" t="s">
        <v>1353</v>
      </c>
      <c r="K645" s="270"/>
      <c r="L645" s="270"/>
      <c r="M645" s="39"/>
      <c r="N645" s="39"/>
      <c r="O645" s="47"/>
      <c r="P645" s="57"/>
      <c r="Q645" s="276"/>
      <c r="R645" s="277"/>
      <c r="S645" s="277"/>
      <c r="T645" s="40"/>
      <c r="U645" s="278"/>
      <c r="V645" s="269"/>
      <c r="W645" s="269"/>
      <c r="X645" s="275"/>
      <c r="Y645" s="269"/>
      <c r="Z645" s="57"/>
      <c r="AA645" s="207"/>
      <c r="AB645" s="33"/>
      <c r="AC645" s="189"/>
      <c r="AD645" s="54"/>
      <c r="AE645" s="55"/>
      <c r="AF645" s="43"/>
      <c r="AG645" s="47"/>
      <c r="AH645" s="30"/>
      <c r="AI645" s="30"/>
      <c r="AJ645" s="30"/>
      <c r="AK645" s="30"/>
      <c r="AL645" s="13"/>
      <c r="AM645" s="13"/>
      <c r="AN645" s="13"/>
      <c r="AO645" s="13"/>
      <c r="AP645" s="13"/>
      <c r="AQ645" s="14"/>
      <c r="AR645" s="15"/>
    </row>
    <row r="646" spans="1:44" s="17" customFormat="1" ht="30.95" hidden="1" customHeight="1" x14ac:dyDescent="0.2">
      <c r="A646" s="37"/>
      <c r="B646" s="38"/>
      <c r="C646" s="45"/>
      <c r="D646" s="31"/>
      <c r="E646" s="31"/>
      <c r="F646" s="268"/>
      <c r="G646" s="269"/>
      <c r="H646" s="269"/>
      <c r="I646" s="270"/>
      <c r="J646" s="32"/>
      <c r="K646" s="270"/>
      <c r="L646" s="270"/>
      <c r="M646" s="39"/>
      <c r="N646" s="39"/>
      <c r="O646" s="47"/>
      <c r="P646" s="57"/>
      <c r="Q646" s="276"/>
      <c r="R646" s="277"/>
      <c r="S646" s="277"/>
      <c r="T646" s="40"/>
      <c r="U646" s="278"/>
      <c r="V646" s="269"/>
      <c r="W646" s="269"/>
      <c r="X646" s="275"/>
      <c r="Y646" s="269"/>
      <c r="Z646" s="57"/>
      <c r="AA646" s="207"/>
      <c r="AB646" s="33"/>
      <c r="AC646" s="189"/>
      <c r="AD646" s="54"/>
      <c r="AE646" s="55"/>
      <c r="AF646" s="43"/>
      <c r="AG646" s="47"/>
      <c r="AH646" s="30"/>
      <c r="AI646" s="30"/>
      <c r="AJ646" s="30"/>
      <c r="AK646" s="30"/>
      <c r="AL646" s="13"/>
      <c r="AM646" s="13"/>
      <c r="AN646" s="13"/>
      <c r="AO646" s="13"/>
      <c r="AP646" s="13"/>
      <c r="AQ646" s="14"/>
      <c r="AR646" s="15"/>
    </row>
    <row r="647" spans="1:44" s="17" customFormat="1" ht="30.95" hidden="1" customHeight="1" x14ac:dyDescent="0.2">
      <c r="A647" s="37" t="s">
        <v>1354</v>
      </c>
      <c r="B647" s="38" t="s">
        <v>1355</v>
      </c>
      <c r="C647" s="45"/>
      <c r="D647" s="31"/>
      <c r="E647" s="31"/>
      <c r="F647" s="268"/>
      <c r="G647" s="269"/>
      <c r="H647" s="269"/>
      <c r="I647" s="270"/>
      <c r="J647" s="32" t="s">
        <v>1353</v>
      </c>
      <c r="K647" s="270"/>
      <c r="L647" s="270"/>
      <c r="M647" s="39"/>
      <c r="N647" s="39"/>
      <c r="O647" s="47"/>
      <c r="P647" s="57"/>
      <c r="Q647" s="276"/>
      <c r="R647" s="277"/>
      <c r="S647" s="277"/>
      <c r="T647" s="40"/>
      <c r="U647" s="278"/>
      <c r="V647" s="269"/>
      <c r="W647" s="269"/>
      <c r="X647" s="275"/>
      <c r="Y647" s="269"/>
      <c r="Z647" s="57"/>
      <c r="AA647" s="207"/>
      <c r="AB647" s="33"/>
      <c r="AC647" s="189"/>
      <c r="AD647" s="54"/>
      <c r="AE647" s="55"/>
      <c r="AF647" s="43"/>
      <c r="AG647" s="47"/>
      <c r="AH647" s="30"/>
      <c r="AI647" s="30"/>
      <c r="AJ647" s="30"/>
      <c r="AK647" s="30"/>
      <c r="AL647" s="13"/>
      <c r="AM647" s="13"/>
      <c r="AN647" s="13"/>
      <c r="AO647" s="13"/>
      <c r="AP647" s="13"/>
      <c r="AQ647" s="14"/>
      <c r="AR647" s="15"/>
    </row>
    <row r="648" spans="1:44" s="17" customFormat="1" ht="30.95" hidden="1" customHeight="1" x14ac:dyDescent="0.2">
      <c r="A648" s="37"/>
      <c r="B648" s="38"/>
      <c r="C648" s="45"/>
      <c r="D648" s="31"/>
      <c r="E648" s="31"/>
      <c r="F648" s="268"/>
      <c r="G648" s="269"/>
      <c r="H648" s="269"/>
      <c r="I648" s="270"/>
      <c r="J648" s="32"/>
      <c r="K648" s="270"/>
      <c r="L648" s="270"/>
      <c r="M648" s="39"/>
      <c r="N648" s="39"/>
      <c r="O648" s="47"/>
      <c r="P648" s="57"/>
      <c r="Q648" s="276"/>
      <c r="R648" s="277"/>
      <c r="S648" s="277"/>
      <c r="T648" s="40"/>
      <c r="U648" s="278"/>
      <c r="V648" s="269"/>
      <c r="W648" s="269"/>
      <c r="X648" s="275"/>
      <c r="Y648" s="269"/>
      <c r="Z648" s="57"/>
      <c r="AA648" s="207"/>
      <c r="AB648" s="33"/>
      <c r="AC648" s="189"/>
      <c r="AD648" s="54"/>
      <c r="AE648" s="55"/>
      <c r="AF648" s="43"/>
      <c r="AG648" s="47"/>
      <c r="AH648" s="30"/>
      <c r="AI648" s="30"/>
      <c r="AJ648" s="30"/>
      <c r="AK648" s="30"/>
      <c r="AL648" s="13"/>
      <c r="AM648" s="13"/>
      <c r="AN648" s="13"/>
      <c r="AO648" s="13"/>
      <c r="AP648" s="13"/>
      <c r="AQ648" s="14"/>
      <c r="AR648" s="15"/>
    </row>
    <row r="649" spans="1:44" s="17" customFormat="1" ht="30.95" hidden="1" customHeight="1" x14ac:dyDescent="0.2">
      <c r="A649" s="37"/>
      <c r="B649" s="38"/>
      <c r="C649" s="45"/>
      <c r="D649" s="31">
        <v>3721199</v>
      </c>
      <c r="E649" s="31">
        <v>4170116</v>
      </c>
      <c r="F649" s="268" t="str">
        <f>IF(D649="","",VLOOKUP(D649,契約台帳!$A$3:$K$4986,6,FALSE)&amp;VLOOKUP(D649,契約台帳!$A$3:$K$4986,7,FALSE)&amp;VLOOKUP(D649,契約台帳!$A$3:$K$4986,8,FALSE)&amp;VLOOKUP(D649,契約台帳!$A$3:$K$4986,9,FALSE)&amp;VLOOKUP(D649,契約台帳!$A$3:$K$4986,11,FALSE))</f>
        <v>3SNMLBMSF</v>
      </c>
      <c r="G649" s="269" t="str">
        <f>IF(D649="","",VLOOKUP(F649,製品マスタ!$G$5:$H$5002,2,FALSE))</f>
        <v>S</v>
      </c>
      <c r="H649" s="269" t="str">
        <f>IF(D649="","",VLOOKUP(F649,製品マスタ!$G$5:$K$5002,5,FALSE))</f>
        <v>MSF</v>
      </c>
      <c r="I649" s="270" t="str">
        <f>IF(D649="","",VLOOKUP(F649,製品マスタ!$G$5:$L$5002,6,FALSE))</f>
        <v>メタルミー　Ｓ</v>
      </c>
      <c r="J649" s="32" t="s">
        <v>464</v>
      </c>
      <c r="K649" s="270">
        <f>IF(D649="","",VLOOKUP(D649,契約台帳!$A$3:$L$4986,12,FALSE))</f>
        <v>25</v>
      </c>
      <c r="L649" s="270" t="str">
        <f>IF(D649="","",INDEX(製品マスタ!$Q$5:$Q$5002,MATCH(F649&amp;K649,製品マスタ!$AO$5:$AO$5002,0)))</f>
        <v>T62M</v>
      </c>
      <c r="M649" s="39">
        <v>1020</v>
      </c>
      <c r="N649" s="39">
        <v>12100</v>
      </c>
      <c r="O649" s="47">
        <v>1</v>
      </c>
      <c r="P649" s="57">
        <v>45139</v>
      </c>
      <c r="Q649" s="276">
        <f>IF(D649="","",IF(J649="リード付け",M649,VLOOKUP(D649,契約台帳!$A$3:$N$4986,14,FALSE)))</f>
        <v>1020</v>
      </c>
      <c r="R649" s="277">
        <f>IF(D649="","",IF(J649="リード付け",M649,VLOOKUP(D649,契約台帳!$A$3:$O$4986,15,FALSE)))</f>
        <v>1020</v>
      </c>
      <c r="S649" s="277">
        <f>IF(D649="","",IF(J649="リード付け",N649,VLOOKUP(D649,契約台帳!$A$3:$P$4986,16,FALSE)))</f>
        <v>12100</v>
      </c>
      <c r="T649" s="40">
        <v>1</v>
      </c>
      <c r="U649" s="278">
        <f ca="1">IF(D649="","",IF(OFFSET(D649,-2,0)=D649,"",VLOOKUP(D649,契約台帳!$A$3:$R$4986,18,FALSE)))</f>
        <v>12</v>
      </c>
      <c r="V649" s="269" t="str">
        <f>IF(J649="巻返し",VLOOKUP(F649&amp;K649&amp;M649,製品マスタ!$M$5:$AD$5002,18,FALSE),IF(J649="リード付け","原反コア",IF(J649="スリット",VLOOKUP(F649&amp;K649&amp;Q649,製品マスタ!$N$5:$AD$5002,17,FALSE),"")))</f>
        <v>原反コア</v>
      </c>
      <c r="W649" s="269" t="str">
        <f>IF(J649="巻返し",VLOOKUP(F649&amp;K649&amp;M649,製品マスタ!$M$5:$AE$5002,19,FALSE),IF(J649="リード付け","-",IF(J649="スリット",VLOOKUP(F649&amp;K649&amp;Q649,製品マスタ!$N$5:$AE$5002,18,FALSE),"")))</f>
        <v>-</v>
      </c>
      <c r="X649" s="275">
        <f>IF(D649="","",VLOOKUP(D649,契約台帳!$A$3:$Q$4986,17,FALSE))</f>
        <v>1</v>
      </c>
      <c r="Y649" s="269" t="str">
        <f>IF(D649="","",VLOOKUP(D649,契約台帳!$A$3:$E$4986,5,FALSE))</f>
        <v>日東シンコー㈱</v>
      </c>
      <c r="Z649" s="57"/>
      <c r="AA649" s="207"/>
      <c r="AB649" s="33"/>
      <c r="AC649" s="189"/>
      <c r="AD649" s="54"/>
      <c r="AE649" s="55"/>
      <c r="AF649" s="43"/>
      <c r="AG649" s="47"/>
      <c r="AH649" s="30"/>
      <c r="AI649" s="30"/>
      <c r="AJ649" s="30"/>
      <c r="AK649" s="30"/>
      <c r="AL649" s="13"/>
      <c r="AM649" s="13"/>
      <c r="AN649" s="13"/>
      <c r="AO649" s="13"/>
      <c r="AP649" s="13"/>
      <c r="AQ649" s="14"/>
      <c r="AR649" s="15"/>
    </row>
    <row r="650" spans="1:44" s="17" customFormat="1" ht="30.95" hidden="1" customHeight="1" x14ac:dyDescent="0.2">
      <c r="A650" s="37"/>
      <c r="B650" s="38"/>
      <c r="C650" s="45"/>
      <c r="D650" s="31"/>
      <c r="E650" s="31"/>
      <c r="F650" s="268"/>
      <c r="G650" s="269"/>
      <c r="H650" s="269"/>
      <c r="I650" s="270"/>
      <c r="J650" s="32"/>
      <c r="K650" s="270"/>
      <c r="L650" s="270"/>
      <c r="M650" s="39"/>
      <c r="N650" s="39"/>
      <c r="O650" s="47"/>
      <c r="P650" s="57"/>
      <c r="Q650" s="276"/>
      <c r="R650" s="277"/>
      <c r="S650" s="277"/>
      <c r="T650" s="40"/>
      <c r="U650" s="278"/>
      <c r="V650" s="269"/>
      <c r="W650" s="269"/>
      <c r="X650" s="275"/>
      <c r="Y650" s="269"/>
      <c r="Z650" s="57"/>
      <c r="AA650" s="207"/>
      <c r="AB650" s="33"/>
      <c r="AC650" s="189"/>
      <c r="AD650" s="54"/>
      <c r="AE650" s="55"/>
      <c r="AF650" s="43"/>
      <c r="AG650" s="47"/>
      <c r="AH650" s="30"/>
      <c r="AI650" s="30"/>
      <c r="AJ650" s="30"/>
      <c r="AK650" s="30"/>
      <c r="AL650" s="13"/>
      <c r="AM650" s="13"/>
      <c r="AN650" s="13"/>
      <c r="AO650" s="13"/>
      <c r="AP650" s="13"/>
      <c r="AQ650" s="14"/>
      <c r="AR650" s="15"/>
    </row>
    <row r="651" spans="1:44" s="17" customFormat="1" ht="30.95" hidden="1" customHeight="1" x14ac:dyDescent="0.2">
      <c r="A651" s="37" t="s">
        <v>532</v>
      </c>
      <c r="B651" s="38" t="s">
        <v>443</v>
      </c>
      <c r="C651" s="45"/>
      <c r="D651" s="31">
        <v>3721213</v>
      </c>
      <c r="E651" s="31">
        <v>4170117</v>
      </c>
      <c r="F651" s="268" t="str">
        <f>IF(D651="","",VLOOKUP(D651,契約台帳!$A$3:$K$4986,6,FALSE)&amp;VLOOKUP(D651,契約台帳!$A$3:$K$4986,7,FALSE)&amp;VLOOKUP(D651,契約台帳!$A$3:$K$4986,8,FALSE)&amp;VLOOKUP(D651,契約台帳!$A$3:$K$4986,9,FALSE)&amp;VLOOKUP(D651,契約台帳!$A$3:$K$4986,11,FALSE))</f>
        <v>3SNMLBMNGTBF</v>
      </c>
      <c r="G651" s="269" t="str">
        <f>IF(D651="","",VLOOKUP(F651,製品マスタ!$G$5:$H$5002,2,FALSE))</f>
        <v>S</v>
      </c>
      <c r="H651" s="269" t="str">
        <f>IF(D651="","",VLOOKUP(F651,製品マスタ!$G$5:$K$5002,5,FALSE))</f>
        <v>MNGTBF</v>
      </c>
      <c r="I651" s="270" t="str">
        <f>IF(D651="","",VLOOKUP(F651,製品マスタ!$G$5:$L$5002,6,FALSE))</f>
        <v>メタルミー　ネーマー　銀艶　Ｂ</v>
      </c>
      <c r="J651" s="32" t="s">
        <v>464</v>
      </c>
      <c r="K651" s="270">
        <f>IF(D651="","",VLOOKUP(D651,契約台帳!$A$3:$L$4986,12,FALSE))</f>
        <v>25</v>
      </c>
      <c r="L651" s="270" t="str">
        <f>IF(D651="","",INDEX(製品マスタ!$Q$5:$Q$5002,MATCH(F651&amp;K651,製品マスタ!$AO$5:$AO$5002,0)))</f>
        <v>T62M</v>
      </c>
      <c r="M651" s="39">
        <v>1005</v>
      </c>
      <c r="N651" s="39">
        <v>12100</v>
      </c>
      <c r="O651" s="47">
        <v>5</v>
      </c>
      <c r="P651" s="57">
        <v>45139</v>
      </c>
      <c r="Q651" s="276">
        <f>IF(D651="","",IF(J651="リード付け",M651,VLOOKUP(D651,契約台帳!$A$3:$N$4986,14,FALSE)))</f>
        <v>1005</v>
      </c>
      <c r="R651" s="277">
        <f>IF(D651="","",IF(J651="リード付け",M651,VLOOKUP(D651,契約台帳!$A$3:$O$4986,15,FALSE)))</f>
        <v>1005</v>
      </c>
      <c r="S651" s="277">
        <f>IF(D651="","",IF(J651="リード付け",N651,VLOOKUP(D651,契約台帳!$A$3:$P$4986,16,FALSE)))</f>
        <v>12100</v>
      </c>
      <c r="T651" s="40">
        <v>5</v>
      </c>
      <c r="U651" s="278">
        <f ca="1">IF(D651="","",IF(OFFSET(D651,-2,0)=D651,"",VLOOKUP(D651,契約台帳!$A$3:$R$4986,18,FALSE)))</f>
        <v>15</v>
      </c>
      <c r="V651" s="269" t="str">
        <f>IF(J651="巻返し",VLOOKUP(F651&amp;K651&amp;M651,製品マスタ!$M$5:$AD$5002,18,FALSE),IF(J651="リード付け","原反コア",IF(J651="スリット",VLOOKUP(F651&amp;K651&amp;Q651,製品マスタ!$N$5:$AD$5002,17,FALSE),"")))</f>
        <v>原反コア</v>
      </c>
      <c r="W651" s="269" t="str">
        <f>IF(J651="巻返し",VLOOKUP(F651&amp;K651&amp;M651,製品マスタ!$M$5:$AE$5002,19,FALSE),IF(J651="リード付け","-",IF(J651="スリット",VLOOKUP(F651&amp;K651&amp;Q651,製品マスタ!$N$5:$AE$5002,18,FALSE),"")))</f>
        <v>-</v>
      </c>
      <c r="X651" s="275">
        <f>IF(D651="","",VLOOKUP(D651,契約台帳!$A$3:$Q$4986,17,FALSE))</f>
        <v>2</v>
      </c>
      <c r="Y651" s="269" t="str">
        <f>IF(D651="","",VLOOKUP(D651,契約台帳!$A$3:$E$4986,5,FALSE))</f>
        <v>リンテック㈱</v>
      </c>
      <c r="Z651" s="57"/>
      <c r="AA651" s="207"/>
      <c r="AB651" s="33"/>
      <c r="AC651" s="189"/>
      <c r="AD651" s="54"/>
      <c r="AE651" s="55"/>
      <c r="AF651" s="43"/>
      <c r="AG651" s="47"/>
      <c r="AH651" s="30"/>
      <c r="AI651" s="30"/>
      <c r="AJ651" s="30"/>
      <c r="AK651" s="30"/>
      <c r="AL651" s="13"/>
      <c r="AM651" s="13"/>
      <c r="AN651" s="13"/>
      <c r="AO651" s="13"/>
      <c r="AP651" s="13"/>
      <c r="AQ651" s="14"/>
      <c r="AR651" s="15"/>
    </row>
    <row r="652" spans="1:44" s="17" customFormat="1" ht="30.95" hidden="1" customHeight="1" x14ac:dyDescent="0.2">
      <c r="A652" s="37"/>
      <c r="B652" s="38"/>
      <c r="C652" s="45"/>
      <c r="D652" s="31"/>
      <c r="E652" s="31"/>
      <c r="F652" s="268"/>
      <c r="G652" s="269"/>
      <c r="H652" s="269"/>
      <c r="I652" s="270"/>
      <c r="J652" s="32"/>
      <c r="K652" s="270"/>
      <c r="L652" s="270"/>
      <c r="M652" s="39"/>
      <c r="N652" s="39"/>
      <c r="O652" s="47"/>
      <c r="P652" s="57"/>
      <c r="Q652" s="276"/>
      <c r="R652" s="277"/>
      <c r="S652" s="277"/>
      <c r="T652" s="40"/>
      <c r="U652" s="278"/>
      <c r="V652" s="269"/>
      <c r="W652" s="269"/>
      <c r="X652" s="275"/>
      <c r="Y652" s="269"/>
      <c r="Z652" s="57"/>
      <c r="AA652" s="207"/>
      <c r="AB652" s="33"/>
      <c r="AC652" s="189"/>
      <c r="AD652" s="54"/>
      <c r="AE652" s="55"/>
      <c r="AF652" s="43"/>
      <c r="AG652" s="47"/>
      <c r="AH652" s="30"/>
      <c r="AI652" s="30"/>
      <c r="AJ652" s="30"/>
      <c r="AK652" s="30"/>
      <c r="AL652" s="13"/>
      <c r="AM652" s="13"/>
      <c r="AN652" s="13"/>
      <c r="AO652" s="13"/>
      <c r="AP652" s="13"/>
      <c r="AQ652" s="14"/>
      <c r="AR652" s="15"/>
    </row>
    <row r="653" spans="1:44" s="17" customFormat="1" ht="30.95" hidden="1" customHeight="1" x14ac:dyDescent="0.2">
      <c r="A653" s="37" t="s">
        <v>1358</v>
      </c>
      <c r="B653" s="38" t="s">
        <v>1359</v>
      </c>
      <c r="C653" s="45"/>
      <c r="D653" s="31"/>
      <c r="E653" s="31"/>
      <c r="F653" s="268"/>
      <c r="G653" s="269"/>
      <c r="H653" s="269"/>
      <c r="I653" s="270"/>
      <c r="J653" s="32"/>
      <c r="K653" s="270"/>
      <c r="L653" s="270"/>
      <c r="M653" s="39"/>
      <c r="N653" s="39"/>
      <c r="O653" s="47"/>
      <c r="P653" s="57"/>
      <c r="Q653" s="276"/>
      <c r="R653" s="277"/>
      <c r="S653" s="277"/>
      <c r="T653" s="40"/>
      <c r="U653" s="278"/>
      <c r="V653" s="269"/>
      <c r="W653" s="269"/>
      <c r="X653" s="275"/>
      <c r="Y653" s="269"/>
      <c r="Z653" s="57"/>
      <c r="AA653" s="207"/>
      <c r="AB653" s="33"/>
      <c r="AC653" s="189"/>
      <c r="AD653" s="54"/>
      <c r="AE653" s="55"/>
      <c r="AF653" s="43"/>
      <c r="AG653" s="47"/>
      <c r="AH653" s="30"/>
      <c r="AI653" s="30"/>
      <c r="AJ653" s="30"/>
      <c r="AK653" s="30"/>
      <c r="AL653" s="13"/>
      <c r="AM653" s="13"/>
      <c r="AN653" s="13"/>
      <c r="AO653" s="13"/>
      <c r="AP653" s="13"/>
      <c r="AQ653" s="14"/>
      <c r="AR653" s="15"/>
    </row>
    <row r="654" spans="1:44" s="17" customFormat="1" ht="30.95" hidden="1" customHeight="1" x14ac:dyDescent="0.2">
      <c r="A654" s="37"/>
      <c r="B654" s="38"/>
      <c r="C654" s="45"/>
      <c r="D654" s="31"/>
      <c r="E654" s="31"/>
      <c r="F654" s="268"/>
      <c r="G654" s="269"/>
      <c r="H654" s="269"/>
      <c r="I654" s="270"/>
      <c r="J654" s="32"/>
      <c r="K654" s="270"/>
      <c r="L654" s="270"/>
      <c r="M654" s="39"/>
      <c r="N654" s="39"/>
      <c r="O654" s="47"/>
      <c r="P654" s="57"/>
      <c r="Q654" s="276"/>
      <c r="R654" s="277"/>
      <c r="S654" s="277"/>
      <c r="T654" s="40"/>
      <c r="U654" s="278"/>
      <c r="V654" s="269"/>
      <c r="W654" s="269"/>
      <c r="X654" s="275"/>
      <c r="Y654" s="269"/>
      <c r="Z654" s="57"/>
      <c r="AA654" s="207"/>
      <c r="AB654" s="33"/>
      <c r="AC654" s="189"/>
      <c r="AD654" s="54"/>
      <c r="AE654" s="55"/>
      <c r="AF654" s="43"/>
      <c r="AG654" s="47"/>
      <c r="AH654" s="30"/>
      <c r="AI654" s="30"/>
      <c r="AJ654" s="30"/>
      <c r="AK654" s="30"/>
      <c r="AL654" s="13"/>
      <c r="AM654" s="13"/>
      <c r="AN654" s="13"/>
      <c r="AO654" s="13"/>
      <c r="AP654" s="13"/>
      <c r="AQ654" s="14"/>
      <c r="AR654" s="15"/>
    </row>
    <row r="655" spans="1:44" s="17" customFormat="1" ht="30.95" hidden="1" customHeight="1" x14ac:dyDescent="0.2">
      <c r="A655" s="37" t="s">
        <v>1360</v>
      </c>
      <c r="B655" s="38" t="s">
        <v>1361</v>
      </c>
      <c r="C655" s="45"/>
      <c r="D655" s="31"/>
      <c r="E655" s="31"/>
      <c r="F655" s="268"/>
      <c r="G655" s="269"/>
      <c r="H655" s="269"/>
      <c r="I655" s="270"/>
      <c r="J655" s="32" t="s">
        <v>448</v>
      </c>
      <c r="K655" s="270"/>
      <c r="L655" s="270"/>
      <c r="M655" s="39"/>
      <c r="N655" s="39"/>
      <c r="O655" s="47"/>
      <c r="P655" s="57"/>
      <c r="Q655" s="276"/>
      <c r="R655" s="277"/>
      <c r="S655" s="277"/>
      <c r="T655" s="40"/>
      <c r="U655" s="278"/>
      <c r="V655" s="269"/>
      <c r="W655" s="269"/>
      <c r="X655" s="275"/>
      <c r="Y655" s="269"/>
      <c r="Z655" s="57"/>
      <c r="AA655" s="207"/>
      <c r="AB655" s="33"/>
      <c r="AC655" s="189"/>
      <c r="AD655" s="54"/>
      <c r="AE655" s="55"/>
      <c r="AF655" s="43"/>
      <c r="AG655" s="47"/>
      <c r="AH655" s="30"/>
      <c r="AI655" s="30"/>
      <c r="AJ655" s="30"/>
      <c r="AK655" s="30"/>
      <c r="AL655" s="13"/>
      <c r="AM655" s="13"/>
      <c r="AN655" s="13"/>
      <c r="AO655" s="13"/>
      <c r="AP655" s="13"/>
      <c r="AQ655" s="14"/>
      <c r="AR655" s="15"/>
    </row>
    <row r="656" spans="1:44" s="17" customFormat="1" ht="30.95" hidden="1" customHeight="1" x14ac:dyDescent="0.2">
      <c r="A656" s="37"/>
      <c r="B656" s="38"/>
      <c r="C656" s="45"/>
      <c r="D656" s="31"/>
      <c r="E656" s="31"/>
      <c r="F656" s="268"/>
      <c r="G656" s="269"/>
      <c r="H656" s="269"/>
      <c r="I656" s="270"/>
      <c r="J656" s="32"/>
      <c r="K656" s="270"/>
      <c r="L656" s="270"/>
      <c r="M656" s="39"/>
      <c r="N656" s="39"/>
      <c r="O656" s="47"/>
      <c r="P656" s="57"/>
      <c r="Q656" s="276"/>
      <c r="R656" s="277"/>
      <c r="S656" s="277"/>
      <c r="T656" s="40"/>
      <c r="U656" s="278"/>
      <c r="V656" s="269"/>
      <c r="W656" s="269"/>
      <c r="X656" s="275"/>
      <c r="Y656" s="269"/>
      <c r="Z656" s="57"/>
      <c r="AA656" s="207"/>
      <c r="AB656" s="33"/>
      <c r="AC656" s="189"/>
      <c r="AD656" s="54"/>
      <c r="AE656" s="55"/>
      <c r="AF656" s="43"/>
      <c r="AG656" s="47"/>
      <c r="AH656" s="30"/>
      <c r="AI656" s="30"/>
      <c r="AJ656" s="30"/>
      <c r="AK656" s="30"/>
      <c r="AL656" s="13"/>
      <c r="AM656" s="13"/>
      <c r="AN656" s="13"/>
      <c r="AO656" s="13"/>
      <c r="AP656" s="13"/>
      <c r="AQ656" s="14"/>
      <c r="AR656" s="15"/>
    </row>
    <row r="657" spans="1:44" s="17" customFormat="1" ht="30.95" hidden="1" customHeight="1" x14ac:dyDescent="0.2">
      <c r="A657" s="37" t="s">
        <v>1362</v>
      </c>
      <c r="B657" s="38" t="s">
        <v>1363</v>
      </c>
      <c r="C657" s="45"/>
      <c r="D657" s="31"/>
      <c r="E657" s="31"/>
      <c r="F657" s="268"/>
      <c r="G657" s="269"/>
      <c r="H657" s="269"/>
      <c r="I657" s="270"/>
      <c r="J657" s="32" t="s">
        <v>448</v>
      </c>
      <c r="K657" s="270"/>
      <c r="L657" s="270"/>
      <c r="M657" s="39"/>
      <c r="N657" s="39"/>
      <c r="O657" s="47"/>
      <c r="P657" s="57"/>
      <c r="Q657" s="276"/>
      <c r="R657" s="277"/>
      <c r="S657" s="277"/>
      <c r="T657" s="40"/>
      <c r="U657" s="278"/>
      <c r="V657" s="269"/>
      <c r="W657" s="269"/>
      <c r="X657" s="275"/>
      <c r="Y657" s="269"/>
      <c r="Z657" s="57"/>
      <c r="AA657" s="207"/>
      <c r="AB657" s="33"/>
      <c r="AC657" s="189"/>
      <c r="AD657" s="54"/>
      <c r="AE657" s="55"/>
      <c r="AF657" s="43"/>
      <c r="AG657" s="47"/>
      <c r="AH657" s="30"/>
      <c r="AI657" s="30"/>
      <c r="AJ657" s="30"/>
      <c r="AK657" s="30"/>
      <c r="AL657" s="13"/>
      <c r="AM657" s="13"/>
      <c r="AN657" s="13"/>
      <c r="AO657" s="13"/>
      <c r="AP657" s="13"/>
      <c r="AQ657" s="14"/>
      <c r="AR657" s="15"/>
    </row>
    <row r="658" spans="1:44" s="17" customFormat="1" ht="30.95" hidden="1" customHeight="1" x14ac:dyDescent="0.2">
      <c r="A658" s="37"/>
      <c r="B658" s="38"/>
      <c r="C658" s="45"/>
      <c r="D658" s="31"/>
      <c r="E658" s="31"/>
      <c r="F658" s="268"/>
      <c r="G658" s="269"/>
      <c r="H658" s="269"/>
      <c r="I658" s="270"/>
      <c r="J658" s="32"/>
      <c r="K658" s="270"/>
      <c r="L658" s="270"/>
      <c r="M658" s="39"/>
      <c r="N658" s="39"/>
      <c r="O658" s="47"/>
      <c r="P658" s="57"/>
      <c r="Q658" s="276"/>
      <c r="R658" s="277"/>
      <c r="S658" s="277"/>
      <c r="T658" s="40"/>
      <c r="U658" s="278"/>
      <c r="V658" s="269"/>
      <c r="W658" s="269"/>
      <c r="X658" s="275"/>
      <c r="Y658" s="269"/>
      <c r="Z658" s="57"/>
      <c r="AA658" s="207"/>
      <c r="AB658" s="33"/>
      <c r="AC658" s="189"/>
      <c r="AD658" s="54"/>
      <c r="AE658" s="55"/>
      <c r="AF658" s="43"/>
      <c r="AG658" s="47"/>
      <c r="AH658" s="30"/>
      <c r="AI658" s="30"/>
      <c r="AJ658" s="30"/>
      <c r="AK658" s="30"/>
      <c r="AL658" s="13"/>
      <c r="AM658" s="13"/>
      <c r="AN658" s="13"/>
      <c r="AO658" s="13"/>
      <c r="AP658" s="13"/>
      <c r="AQ658" s="14"/>
      <c r="AR658" s="15"/>
    </row>
    <row r="659" spans="1:44" s="17" customFormat="1" ht="30.95" hidden="1" customHeight="1" x14ac:dyDescent="0.2">
      <c r="A659" s="37" t="s">
        <v>536</v>
      </c>
      <c r="B659" s="38" t="s">
        <v>462</v>
      </c>
      <c r="C659" s="45"/>
      <c r="D659" s="31">
        <v>3722522</v>
      </c>
      <c r="E659" s="31">
        <v>4151445</v>
      </c>
      <c r="F659" s="268" t="str">
        <f>IF(D659="","",VLOOKUP(D659,契約台帳!$A$3:$K$4986,6,FALSE)&amp;VLOOKUP(D659,契約台帳!$A$3:$K$4986,7,FALSE)&amp;VLOOKUP(D659,契約台帳!$A$3:$K$4986,8,FALSE)&amp;VLOOKUP(D659,契約台帳!$A$3:$K$4986,9,FALSE)&amp;VLOOKUP(D659,契約台帳!$A$3:$K$4986,11,FALSE))</f>
        <v>3UYKNZMCRALCB</v>
      </c>
      <c r="G659" s="269" t="str">
        <f>IF(D659="","",VLOOKUP(F659,製品マスタ!$G$5:$H$5002,2,FALSE))</f>
        <v>U</v>
      </c>
      <c r="H659" s="269" t="str">
        <f>IF(D659="","",VLOOKUP(F659,製品マスタ!$G$5:$K$5002,5,FALSE))</f>
        <v>MCRALCB</v>
      </c>
      <c r="I659" s="270" t="str">
        <f>IF(D659="","",VLOOKUP(F659,製品マスタ!$G$5:$L$5002,6,FALSE))</f>
        <v>Metalumy CR aluminum surface coat B</v>
      </c>
      <c r="J659" s="32" t="s">
        <v>447</v>
      </c>
      <c r="K659" s="270">
        <f>IF(D659="","",VLOOKUP(D659,契約台帳!$A$3:$L$4986,12,FALSE))</f>
        <v>25</v>
      </c>
      <c r="L659" s="270" t="str">
        <f>IF(D659="","",INDEX(製品マスタ!$Q$5:$Q$5002,MATCH(F659&amp;K659,製品マスタ!$AO$5:$AO$5002,0)))</f>
        <v>S28M</v>
      </c>
      <c r="M659" s="39">
        <v>1110</v>
      </c>
      <c r="N659" s="39">
        <v>12100</v>
      </c>
      <c r="O659" s="47">
        <v>1</v>
      </c>
      <c r="P659" s="57"/>
      <c r="Q659" s="276">
        <f>IF(D659="","",IF(J659="リード付け",M659,VLOOKUP(D659,契約台帳!$A$3:$N$4986,14,FALSE)))</f>
        <v>1050</v>
      </c>
      <c r="R659" s="277">
        <f>IF(D659="","",IF(J659="リード付け",M659,VLOOKUP(D659,契約台帳!$A$3:$O$4986,15,FALSE)))</f>
        <v>1050</v>
      </c>
      <c r="S659" s="277">
        <f>IF(D659="","",IF(J659="リード付け",N659,VLOOKUP(D659,契約台帳!$A$3:$P$4986,16,FALSE)))</f>
        <v>4000</v>
      </c>
      <c r="T659" s="40">
        <v>1</v>
      </c>
      <c r="U659" s="278">
        <f ca="1">IF(D659="","",IF(OFFSET(D659,-2,0)=D659,"",VLOOKUP(D659,契約台帳!$A$3:$R$4986,18,FALSE)))</f>
        <v>1</v>
      </c>
      <c r="V659" s="269" t="str">
        <f>IF(J659="巻返し",VLOOKUP(F659&amp;K659&amp;M659,製品マスタ!$M$5:$AD$5002,18,FALSE),IF(J659="リード付け","原反コア",IF(J659="スリット",VLOOKUP(F659&amp;K659&amp;Q659,製品マスタ!$N$5:$AD$5002,17,FALSE),"")))</f>
        <v>6ｲﾝﾁABS</v>
      </c>
      <c r="W659" s="269">
        <f>IF(J659="巻返し",VLOOKUP(F659&amp;K659&amp;M659,製品マスタ!$M$5:$AE$5002,19,FALSE),IF(J659="リード付け","-",IF(J659="スリット",VLOOKUP(F659&amp;K659&amp;Q659,製品マスタ!$N$5:$AE$5002,18,FALSE),"")))</f>
        <v>1250</v>
      </c>
      <c r="X659" s="275">
        <f>IF(D659="","",VLOOKUP(D659,契約台帳!$A$3:$Q$4986,17,FALSE))</f>
        <v>1</v>
      </c>
      <c r="Y659" s="269" t="str">
        <f>IF(D659="","",VLOOKUP(D659,契約台帳!$A$3:$E$4986,5,FALSE))</f>
        <v>日東電工有限公司</v>
      </c>
      <c r="Z659" s="57" t="s">
        <v>1016</v>
      </c>
      <c r="AA659" s="303" t="s">
        <v>1368</v>
      </c>
      <c r="AB659" s="33"/>
      <c r="AC659" s="189"/>
      <c r="AD659" s="54"/>
      <c r="AE659" s="55"/>
      <c r="AF659" s="43"/>
      <c r="AG659" s="47"/>
      <c r="AH659" s="30"/>
      <c r="AI659" s="30"/>
      <c r="AJ659" s="30"/>
      <c r="AK659" s="30"/>
      <c r="AL659" s="13"/>
      <c r="AM659" s="13"/>
      <c r="AN659" s="13"/>
      <c r="AO659" s="13"/>
      <c r="AP659" s="13"/>
      <c r="AQ659" s="14"/>
      <c r="AR659" s="15"/>
    </row>
    <row r="660" spans="1:44" s="17" customFormat="1" ht="30.95" hidden="1" customHeight="1" x14ac:dyDescent="0.2">
      <c r="A660" s="37"/>
      <c r="B660" s="38"/>
      <c r="C660" s="45"/>
      <c r="D660" s="31"/>
      <c r="E660" s="31"/>
      <c r="F660" s="268"/>
      <c r="G660" s="269"/>
      <c r="H660" s="269"/>
      <c r="I660" s="270"/>
      <c r="J660" s="32"/>
      <c r="K660" s="270"/>
      <c r="L660" s="270"/>
      <c r="M660" s="39"/>
      <c r="N660" s="39"/>
      <c r="O660" s="47"/>
      <c r="P660" s="57"/>
      <c r="Q660" s="276"/>
      <c r="R660" s="277"/>
      <c r="S660" s="277"/>
      <c r="T660" s="40"/>
      <c r="U660" s="278"/>
      <c r="V660" s="269"/>
      <c r="W660" s="269"/>
      <c r="X660" s="275"/>
      <c r="Y660" s="269"/>
      <c r="Z660" s="57"/>
      <c r="AA660" s="207"/>
      <c r="AB660" s="33"/>
      <c r="AC660" s="189"/>
      <c r="AD660" s="54"/>
      <c r="AE660" s="55"/>
      <c r="AF660" s="43"/>
      <c r="AG660" s="47"/>
      <c r="AH660" s="30"/>
      <c r="AI660" s="30"/>
      <c r="AJ660" s="30"/>
      <c r="AK660" s="30"/>
      <c r="AL660" s="13"/>
      <c r="AM660" s="13"/>
      <c r="AN660" s="13"/>
      <c r="AO660" s="13"/>
      <c r="AP660" s="13"/>
      <c r="AQ660" s="14"/>
      <c r="AR660" s="15"/>
    </row>
    <row r="661" spans="1:44" s="17" customFormat="1" ht="30.95" hidden="1" customHeight="1" x14ac:dyDescent="0.2">
      <c r="A661" s="37"/>
      <c r="B661" s="38"/>
      <c r="C661" s="45"/>
      <c r="D661" s="31">
        <v>3721199</v>
      </c>
      <c r="E661" s="31">
        <v>4151443</v>
      </c>
      <c r="F661" s="268" t="str">
        <f>IF(D661="","",VLOOKUP(D661,契約台帳!$A$3:$K$4986,6,FALSE)&amp;VLOOKUP(D661,契約台帳!$A$3:$K$4986,7,FALSE)&amp;VLOOKUP(D661,契約台帳!$A$3:$K$4986,8,FALSE)&amp;VLOOKUP(D661,契約台帳!$A$3:$K$4986,9,FALSE)&amp;VLOOKUP(D661,契約台帳!$A$3:$K$4986,11,FALSE))</f>
        <v>3SNMLBMSF</v>
      </c>
      <c r="G661" s="269" t="str">
        <f>IF(D661="","",VLOOKUP(F661,製品マスタ!$G$5:$H$5002,2,FALSE))</f>
        <v>S</v>
      </c>
      <c r="H661" s="269" t="str">
        <f>IF(D661="","",VLOOKUP(F661,製品マスタ!$G$5:$K$5002,5,FALSE))</f>
        <v>MSF</v>
      </c>
      <c r="I661" s="270" t="str">
        <f>IF(D661="","",VLOOKUP(F661,製品マスタ!$G$5:$L$5002,6,FALSE))</f>
        <v>メタルミー　Ｓ</v>
      </c>
      <c r="J661" s="32" t="s">
        <v>447</v>
      </c>
      <c r="K661" s="270">
        <f>IF(D661="","",VLOOKUP(D661,契約台帳!$A$3:$L$4986,12,FALSE))</f>
        <v>25</v>
      </c>
      <c r="L661" s="270" t="str">
        <f>IF(D661="","",INDEX(製品マスタ!$Q$5:$Q$5002,MATCH(F661&amp;K661,製品マスタ!$AO$5:$AO$5002,0)))</f>
        <v>T62M</v>
      </c>
      <c r="M661" s="39">
        <v>1020</v>
      </c>
      <c r="N661" s="39">
        <v>12100</v>
      </c>
      <c r="O661" s="47">
        <v>1</v>
      </c>
      <c r="P661" s="57"/>
      <c r="Q661" s="276">
        <f>IF(D661="","",IF(J661="リード付け",M661,VLOOKUP(D661,契約台帳!$A$3:$N$4986,14,FALSE)))</f>
        <v>510</v>
      </c>
      <c r="R661" s="277">
        <f>IF(D661="","",IF(J661="リード付け",M661,VLOOKUP(D661,契約台帳!$A$3:$O$4986,15,FALSE)))</f>
        <v>510</v>
      </c>
      <c r="S661" s="277">
        <f>IF(D661="","",IF(J661="リード付け",N661,VLOOKUP(D661,契約台帳!$A$3:$P$4986,16,FALSE)))</f>
        <v>2000</v>
      </c>
      <c r="T661" s="40">
        <v>12</v>
      </c>
      <c r="U661" s="302">
        <f ca="1">IF(D661="","",IF(OFFSET(D661,-2,0)=D661,"",VLOOKUP(D661,契約台帳!$A$3:$R$4986,18,FALSE)))</f>
        <v>12</v>
      </c>
      <c r="V661" s="269" t="str">
        <f>IF(J661="巻返し",VLOOKUP(F661&amp;K661&amp;M661,製品マスタ!$M$5:$AD$5002,18,FALSE),IF(J661="リード付け","原反コア",IF(J661="スリット",VLOOKUP(F661&amp;K661&amp;Q661,製品マスタ!$N$5:$AD$5002,17,FALSE),"")))</f>
        <v>3ｲﾝﾁSｺｱ</v>
      </c>
      <c r="W661" s="269">
        <v>515</v>
      </c>
      <c r="X661" s="275">
        <f>IF(D661="","",VLOOKUP(D661,契約台帳!$A$3:$Q$4986,17,FALSE))</f>
        <v>1</v>
      </c>
      <c r="Y661" s="269" t="str">
        <f>IF(D661="","",VLOOKUP(D661,契約台帳!$A$3:$E$4986,5,FALSE))</f>
        <v>日東シンコー㈱</v>
      </c>
      <c r="Z661" s="57">
        <v>45147</v>
      </c>
      <c r="AA661" s="303">
        <f>IFERROR(VLOOKUP(F661&amp;K661&amp;M661,製品マスタ!$M$5:$AM$5002,27,FALSE),"")</f>
        <v>0</v>
      </c>
      <c r="AB661" s="33"/>
      <c r="AC661" s="189"/>
      <c r="AD661" s="54" t="str">
        <f>IF(F661="","",+F661&amp;K661)</f>
        <v>3SNMLBMSF25</v>
      </c>
      <c r="AE661" s="55">
        <f>+M661*N661*O661/1000</f>
        <v>12342</v>
      </c>
      <c r="AF661" s="43">
        <f>IF(AD661="","",VLOOKUP(AD661,原価マスタ!$A$2:$AJ$1693,13,FALSE))</f>
        <v>97</v>
      </c>
      <c r="AG661" s="47">
        <f>IF(AF661="","",+AE661*AF661/100)</f>
        <v>11971.74</v>
      </c>
      <c r="AH661" s="30"/>
      <c r="AI661" s="30"/>
      <c r="AJ661" s="30"/>
      <c r="AK661" s="30"/>
      <c r="AL661" s="13"/>
      <c r="AM661" s="13"/>
      <c r="AN661" s="13"/>
      <c r="AO661" s="13"/>
      <c r="AP661" s="13"/>
      <c r="AQ661" s="14"/>
      <c r="AR661" s="15"/>
    </row>
    <row r="662" spans="1:44" s="17" customFormat="1" ht="30.95" hidden="1" customHeight="1" x14ac:dyDescent="0.2">
      <c r="A662" s="37"/>
      <c r="B662" s="38"/>
      <c r="C662" s="45"/>
      <c r="D662" s="31"/>
      <c r="E662" s="31"/>
      <c r="F662" s="268"/>
      <c r="G662" s="269"/>
      <c r="H662" s="269"/>
      <c r="I662" s="270"/>
      <c r="J662" s="32"/>
      <c r="K662" s="270"/>
      <c r="L662" s="270"/>
      <c r="M662" s="39"/>
      <c r="N662" s="39"/>
      <c r="O662" s="47"/>
      <c r="P662" s="57"/>
      <c r="Q662" s="276"/>
      <c r="R662" s="277"/>
      <c r="S662" s="277"/>
      <c r="T662" s="40"/>
      <c r="U662" s="278"/>
      <c r="V662" s="269"/>
      <c r="W662" s="269"/>
      <c r="X662" s="275"/>
      <c r="Y662" s="269"/>
      <c r="Z662" s="57"/>
      <c r="AA662" s="207"/>
      <c r="AB662" s="33"/>
      <c r="AC662" s="189"/>
      <c r="AD662" s="54"/>
      <c r="AE662" s="55"/>
      <c r="AF662" s="43"/>
      <c r="AG662" s="47"/>
      <c r="AH662" s="30"/>
      <c r="AI662" s="30"/>
      <c r="AJ662" s="30"/>
      <c r="AK662" s="30"/>
      <c r="AL662" s="13"/>
      <c r="AM662" s="13"/>
      <c r="AN662" s="13"/>
      <c r="AO662" s="13"/>
      <c r="AP662" s="13"/>
      <c r="AQ662" s="14"/>
      <c r="AR662" s="15"/>
    </row>
    <row r="663" spans="1:44" s="17" customFormat="1" ht="30.95" hidden="1" customHeight="1" x14ac:dyDescent="0.2">
      <c r="A663" s="37"/>
      <c r="B663" s="38"/>
      <c r="C663" s="45"/>
      <c r="D663" s="31">
        <v>3721214</v>
      </c>
      <c r="E663" s="31">
        <v>4151432</v>
      </c>
      <c r="F663" s="268" t="str">
        <f>IF(D663="","",VLOOKUP(D663,契約台帳!$A$3:$K$4986,6,FALSE)&amp;VLOOKUP(D663,契約台帳!$A$3:$K$4986,7,FALSE)&amp;VLOOKUP(D663,契約台帳!$A$3:$K$4986,8,FALSE)&amp;VLOOKUP(D663,契約台帳!$A$3:$K$4986,9,FALSE)&amp;VLOOKUP(D663,契約台帳!$A$3:$K$4986,11,FALSE))</f>
        <v>3SNMLBMNGTBF</v>
      </c>
      <c r="G663" s="269" t="str">
        <f>IF(D663="","",VLOOKUP(F663,製品マスタ!$G$5:$H$5002,2,FALSE))</f>
        <v>S</v>
      </c>
      <c r="H663" s="269" t="str">
        <f>IF(D663="","",VLOOKUP(F663,製品マスタ!$G$5:$K$5002,5,FALSE))</f>
        <v>MNGTBF</v>
      </c>
      <c r="I663" s="270" t="str">
        <f>IF(D663="","",VLOOKUP(F663,製品マスタ!$G$5:$L$5002,6,FALSE))</f>
        <v>メタルミー　ネーマー　銀艶　Ｂ</v>
      </c>
      <c r="J663" s="32" t="s">
        <v>447</v>
      </c>
      <c r="K663" s="270">
        <f>IF(D663="","",VLOOKUP(D663,契約台帳!$A$3:$L$4986,12,FALSE))</f>
        <v>50</v>
      </c>
      <c r="L663" s="270" t="str">
        <f>IF(D663="","",INDEX(製品マスタ!$Q$5:$Q$5002,MATCH(F663&amp;K663,製品マスタ!$AO$5:$AO$5002,0)))</f>
        <v>T62</v>
      </c>
      <c r="M663" s="39">
        <v>1120</v>
      </c>
      <c r="N663" s="39">
        <v>10000</v>
      </c>
      <c r="O663" s="47">
        <v>1</v>
      </c>
      <c r="P663" s="57"/>
      <c r="Q663" s="276">
        <f>IF(D663="","",IF(J663="リード付け",M663,VLOOKUP(D663,契約台帳!$A$3:$N$4986,14,FALSE)))</f>
        <v>1120</v>
      </c>
      <c r="R663" s="277">
        <f>IF(D663="","",IF(J663="リード付け",M663,VLOOKUP(D663,契約台帳!$A$3:$O$4986,15,FALSE)))</f>
        <v>1120</v>
      </c>
      <c r="S663" s="277">
        <f>IF(D663="","",IF(J663="リード付け",N663,VLOOKUP(D663,契約台帳!$A$3:$P$4986,16,FALSE)))</f>
        <v>5000</v>
      </c>
      <c r="T663" s="40">
        <v>2</v>
      </c>
      <c r="U663" s="302">
        <f ca="1">IF(D663="","",IF(OFFSET(D663,-2,0)=D663,"",VLOOKUP(D663,契約台帳!$A$3:$R$4986,18,FALSE)))</f>
        <v>13</v>
      </c>
      <c r="V663" s="269" t="str">
        <f>IF(J663="巻返し",VLOOKUP(F663&amp;K663&amp;M663,製品マスタ!$M$5:$AD$5002,18,FALSE),IF(J663="リード付け","原反コア",IF(J663="スリット",VLOOKUP(F663&amp;K663&amp;Q663,製品マスタ!$N$5:$AD$5002,17,FALSE),"")))</f>
        <v>6ｲﾝﾁSｺｱ</v>
      </c>
      <c r="W663" s="269">
        <f>IF(J663="巻返し",VLOOKUP(F663&amp;K663&amp;M663,製品マスタ!$M$5:$AE$5002,19,FALSE),IF(J663="リード付け","-",IF(J663="スリット",VLOOKUP(F663&amp;K663&amp;Q663,製品マスタ!$N$5:$AE$5002,18,FALSE),"")))</f>
        <v>1125</v>
      </c>
      <c r="X663" s="275">
        <f>IF(D663="","",VLOOKUP(D663,契約台帳!$A$3:$Q$4986,17,FALSE))</f>
        <v>2</v>
      </c>
      <c r="Y663" s="269" t="str">
        <f>IF(D663="","",VLOOKUP(D663,契約台帳!$A$3:$E$4986,5,FALSE))</f>
        <v>リンテック㈱</v>
      </c>
      <c r="Z663" s="57">
        <v>45147</v>
      </c>
      <c r="AA663" s="303" t="str">
        <f>IFERROR(VLOOKUP(F663&amp;K663&amp;M663,製品マスタ!$M$5:$AM$5002,27,FALSE),"")</f>
        <v>原反ケース再利用</v>
      </c>
      <c r="AB663" s="33"/>
      <c r="AC663" s="189"/>
      <c r="AD663" s="54" t="str">
        <f>IF(F663="","",+F663&amp;K663)</f>
        <v>3SNMLBMNGTBF50</v>
      </c>
      <c r="AE663" s="55">
        <f>+M663*N663*O663/1000</f>
        <v>11200</v>
      </c>
      <c r="AF663" s="43">
        <f>IF(AD663="","",VLOOKUP(AD663,原価マスタ!$A$2:$AJ$1693,13,FALSE))</f>
        <v>99</v>
      </c>
      <c r="AG663" s="47">
        <f>IF(AF663="","",+AE663*AF663/100)</f>
        <v>11088</v>
      </c>
      <c r="AH663" s="30"/>
      <c r="AI663" s="30"/>
      <c r="AJ663" s="30"/>
      <c r="AK663" s="30"/>
      <c r="AL663" s="13"/>
      <c r="AM663" s="13"/>
      <c r="AN663" s="13"/>
      <c r="AO663" s="13"/>
      <c r="AP663" s="13"/>
      <c r="AQ663" s="14"/>
      <c r="AR663" s="15"/>
    </row>
    <row r="664" spans="1:44" s="17" customFormat="1" ht="30.95" hidden="1" customHeight="1" x14ac:dyDescent="0.2">
      <c r="A664" s="37"/>
      <c r="B664" s="38"/>
      <c r="C664" s="45"/>
      <c r="D664" s="31"/>
      <c r="E664" s="31"/>
      <c r="F664" s="268"/>
      <c r="G664" s="269"/>
      <c r="H664" s="269"/>
      <c r="I664" s="270"/>
      <c r="J664" s="32"/>
      <c r="K664" s="270"/>
      <c r="L664" s="270"/>
      <c r="M664" s="39"/>
      <c r="N664" s="39"/>
      <c r="O664" s="47"/>
      <c r="P664" s="57"/>
      <c r="Q664" s="276"/>
      <c r="R664" s="277"/>
      <c r="S664" s="277"/>
      <c r="T664" s="40"/>
      <c r="U664" s="278"/>
      <c r="V664" s="269"/>
      <c r="W664" s="269"/>
      <c r="X664" s="275"/>
      <c r="Y664" s="269"/>
      <c r="Z664" s="57"/>
      <c r="AA664" s="207"/>
      <c r="AB664" s="33"/>
      <c r="AC664" s="189"/>
      <c r="AD664" s="54"/>
      <c r="AE664" s="55"/>
      <c r="AF664" s="43"/>
      <c r="AG664" s="47"/>
      <c r="AH664" s="30"/>
      <c r="AI664" s="30"/>
      <c r="AJ664" s="30"/>
      <c r="AK664" s="30"/>
      <c r="AL664" s="13"/>
      <c r="AM664" s="13"/>
      <c r="AN664" s="13"/>
      <c r="AO664" s="13"/>
      <c r="AP664" s="13"/>
      <c r="AQ664" s="14"/>
      <c r="AR664" s="15"/>
    </row>
    <row r="665" spans="1:44" s="17" customFormat="1" ht="30.95" hidden="1" customHeight="1" x14ac:dyDescent="0.2">
      <c r="A665" s="37" t="s">
        <v>537</v>
      </c>
      <c r="B665" s="38" t="s">
        <v>688</v>
      </c>
      <c r="C665" s="45"/>
      <c r="D665" s="31">
        <v>3721214</v>
      </c>
      <c r="E665" s="31">
        <v>4151432</v>
      </c>
      <c r="F665" s="268" t="str">
        <f>IF(D665="","",VLOOKUP(D665,契約台帳!$A$3:$K$4986,6,FALSE)&amp;VLOOKUP(D665,契約台帳!$A$3:$K$4986,7,FALSE)&amp;VLOOKUP(D665,契約台帳!$A$3:$K$4986,8,FALSE)&amp;VLOOKUP(D665,契約台帳!$A$3:$K$4986,9,FALSE)&amp;VLOOKUP(D665,契約台帳!$A$3:$K$4986,11,FALSE))</f>
        <v>3SNMLBMNGTBF</v>
      </c>
      <c r="G665" s="269" t="str">
        <f>IF(D665="","",VLOOKUP(F665,製品マスタ!$G$5:$H$5002,2,FALSE))</f>
        <v>S</v>
      </c>
      <c r="H665" s="269" t="str">
        <f>IF(D665="","",VLOOKUP(F665,製品マスタ!$G$5:$K$5002,5,FALSE))</f>
        <v>MNGTBF</v>
      </c>
      <c r="I665" s="270" t="str">
        <f>IF(D665="","",VLOOKUP(F665,製品マスタ!$G$5:$L$5002,6,FALSE))</f>
        <v>メタルミー　ネーマー　銀艶　Ｂ</v>
      </c>
      <c r="J665" s="32" t="s">
        <v>447</v>
      </c>
      <c r="K665" s="270">
        <f>IF(D665="","",VLOOKUP(D665,契約台帳!$A$3:$L$4986,12,FALSE))</f>
        <v>50</v>
      </c>
      <c r="L665" s="270" t="str">
        <f>IF(D665="","",INDEX(製品マスタ!$Q$5:$Q$5002,MATCH(F665&amp;K665,製品マスタ!$AO$5:$AO$5002,0)))</f>
        <v>T62</v>
      </c>
      <c r="M665" s="39">
        <v>1120</v>
      </c>
      <c r="N665" s="39">
        <v>10000</v>
      </c>
      <c r="O665" s="47">
        <v>5</v>
      </c>
      <c r="P665" s="57"/>
      <c r="Q665" s="276">
        <f>IF(D665="","",IF(J665="リード付け",M665,VLOOKUP(D665,契約台帳!$A$3:$N$4986,14,FALSE)))</f>
        <v>1120</v>
      </c>
      <c r="R665" s="277">
        <f>IF(D665="","",IF(J665="リード付け",M665,VLOOKUP(D665,契約台帳!$A$3:$O$4986,15,FALSE)))</f>
        <v>1120</v>
      </c>
      <c r="S665" s="277">
        <f>IF(D665="","",IF(J665="リード付け",N665,VLOOKUP(D665,契約台帳!$A$3:$P$4986,16,FALSE)))</f>
        <v>5000</v>
      </c>
      <c r="T665" s="40">
        <v>10</v>
      </c>
      <c r="U665" s="302" t="str">
        <f ca="1">IF(D665="","",IF(OFFSET(D665,-2,0)=D665,"",VLOOKUP(D665,契約台帳!$A$3:$R$4986,18,FALSE)))</f>
        <v/>
      </c>
      <c r="V665" s="269" t="str">
        <f>IF(J665="巻返し",VLOOKUP(F665&amp;K665&amp;M665,製品マスタ!$M$5:$AD$5002,18,FALSE),IF(J665="リード付け","原反コア",IF(J665="スリット",VLOOKUP(F665&amp;K665&amp;Q665,製品マスタ!$N$5:$AD$5002,17,FALSE),"")))</f>
        <v>6ｲﾝﾁSｺｱ</v>
      </c>
      <c r="W665" s="269">
        <f>IF(J665="巻返し",VLOOKUP(F665&amp;K665&amp;M665,製品マスタ!$M$5:$AE$5002,19,FALSE),IF(J665="リード付け","-",IF(J665="スリット",VLOOKUP(F665&amp;K665&amp;Q665,製品マスタ!$N$5:$AE$5002,18,FALSE),"")))</f>
        <v>1125</v>
      </c>
      <c r="X665" s="275">
        <f>IF(D665="","",VLOOKUP(D665,契約台帳!$A$3:$Q$4986,17,FALSE))</f>
        <v>2</v>
      </c>
      <c r="Y665" s="269" t="str">
        <f>IF(D665="","",VLOOKUP(D665,契約台帳!$A$3:$E$4986,5,FALSE))</f>
        <v>リンテック㈱</v>
      </c>
      <c r="Z665" s="57">
        <v>45148</v>
      </c>
      <c r="AA665" s="303" t="str">
        <f>IFERROR(VLOOKUP(F665&amp;K665&amp;M665,製品マスタ!$M$5:$AM$5002,27,FALSE),"")</f>
        <v>原反ケース再利用</v>
      </c>
      <c r="AB665" s="33"/>
      <c r="AC665" s="189"/>
      <c r="AD665" s="54" t="str">
        <f>IF(F665="","",+F665&amp;K665)</f>
        <v>3SNMLBMNGTBF50</v>
      </c>
      <c r="AE665" s="55">
        <f>+M665*N665*O665/1000</f>
        <v>56000</v>
      </c>
      <c r="AF665" s="43">
        <f>IF(AD665="","",VLOOKUP(AD665,原価マスタ!$A$2:$AJ$1693,13,FALSE))</f>
        <v>99</v>
      </c>
      <c r="AG665" s="47">
        <f>IF(AF665="","",+AE665*AF665/100)</f>
        <v>55440</v>
      </c>
      <c r="AH665" s="30"/>
      <c r="AI665" s="30"/>
      <c r="AJ665" s="30"/>
      <c r="AK665" s="30"/>
      <c r="AL665" s="13"/>
      <c r="AM665" s="13"/>
      <c r="AN665" s="13"/>
      <c r="AO665" s="13"/>
      <c r="AP665" s="13"/>
      <c r="AQ665" s="14"/>
      <c r="AR665" s="15"/>
    </row>
    <row r="666" spans="1:44" s="17" customFormat="1" ht="30.95" hidden="1" customHeight="1" x14ac:dyDescent="0.2">
      <c r="A666" s="37"/>
      <c r="B666" s="38"/>
      <c r="C666" s="45"/>
      <c r="D666" s="31"/>
      <c r="E666" s="31"/>
      <c r="F666" s="268"/>
      <c r="G666" s="269"/>
      <c r="H666" s="269"/>
      <c r="I666" s="270"/>
      <c r="J666" s="32"/>
      <c r="K666" s="270"/>
      <c r="L666" s="270"/>
      <c r="M666" s="39"/>
      <c r="N666" s="39"/>
      <c r="O666" s="47"/>
      <c r="P666" s="57"/>
      <c r="Q666" s="276"/>
      <c r="R666" s="277"/>
      <c r="S666" s="277"/>
      <c r="T666" s="40"/>
      <c r="U666" s="278"/>
      <c r="V666" s="269"/>
      <c r="W666" s="269"/>
      <c r="X666" s="275"/>
      <c r="Y666" s="269"/>
      <c r="Z666" s="57"/>
      <c r="AA666" s="207"/>
      <c r="AB666" s="33"/>
      <c r="AC666" s="189"/>
      <c r="AD666" s="54"/>
      <c r="AE666" s="55"/>
      <c r="AF666" s="43"/>
      <c r="AG666" s="47"/>
      <c r="AH666" s="30"/>
      <c r="AI666" s="30"/>
      <c r="AJ666" s="30"/>
      <c r="AK666" s="30"/>
      <c r="AL666" s="13"/>
      <c r="AM666" s="13"/>
      <c r="AN666" s="13"/>
      <c r="AO666" s="13"/>
      <c r="AP666" s="13"/>
      <c r="AQ666" s="14"/>
      <c r="AR666" s="15"/>
    </row>
    <row r="667" spans="1:44" s="17" customFormat="1" ht="30.95" hidden="1" customHeight="1" x14ac:dyDescent="0.2">
      <c r="A667" s="37" t="s">
        <v>538</v>
      </c>
      <c r="B667" s="38" t="s">
        <v>442</v>
      </c>
      <c r="C667" s="45"/>
      <c r="D667" s="31">
        <v>3721214</v>
      </c>
      <c r="E667" s="31">
        <v>4151433</v>
      </c>
      <c r="F667" s="268" t="str">
        <f>IF(D667="","",VLOOKUP(D667,契約台帳!$A$3:$K$4986,6,FALSE)&amp;VLOOKUP(D667,契約台帳!$A$3:$K$4986,7,FALSE)&amp;VLOOKUP(D667,契約台帳!$A$3:$K$4986,8,FALSE)&amp;VLOOKUP(D667,契約台帳!$A$3:$K$4986,9,FALSE)&amp;VLOOKUP(D667,契約台帳!$A$3:$K$4986,11,FALSE))</f>
        <v>3SNMLBMNGTBF</v>
      </c>
      <c r="G667" s="269" t="str">
        <f>IF(D667="","",VLOOKUP(F667,製品マスタ!$G$5:$H$5002,2,FALSE))</f>
        <v>S</v>
      </c>
      <c r="H667" s="269" t="str">
        <f>IF(D667="","",VLOOKUP(F667,製品マスタ!$G$5:$K$5002,5,FALSE))</f>
        <v>MNGTBF</v>
      </c>
      <c r="I667" s="270" t="str">
        <f>IF(D667="","",VLOOKUP(F667,製品マスタ!$G$5:$L$5002,6,FALSE))</f>
        <v>メタルミー　ネーマー　銀艶　Ｂ</v>
      </c>
      <c r="J667" s="32" t="s">
        <v>447</v>
      </c>
      <c r="K667" s="270">
        <f>IF(D667="","",VLOOKUP(D667,契約台帳!$A$3:$L$4986,12,FALSE))</f>
        <v>50</v>
      </c>
      <c r="L667" s="270" t="str">
        <f>IF(D667="","",INDEX(製品マスタ!$Q$5:$Q$5002,MATCH(F667&amp;K667,製品マスタ!$AO$5:$AO$5002,0)))</f>
        <v>T62</v>
      </c>
      <c r="M667" s="39">
        <v>1120</v>
      </c>
      <c r="N667" s="39">
        <v>10000</v>
      </c>
      <c r="O667" s="47">
        <v>1</v>
      </c>
      <c r="P667" s="57"/>
      <c r="Q667" s="276">
        <f>IF(D667="","",IF(J667="リード付け",M667,VLOOKUP(D667,契約台帳!$A$3:$N$4986,14,FALSE)))</f>
        <v>1120</v>
      </c>
      <c r="R667" s="277">
        <f>IF(D667="","",IF(J667="リード付け",M667,VLOOKUP(D667,契約台帳!$A$3:$O$4986,15,FALSE)))</f>
        <v>1120</v>
      </c>
      <c r="S667" s="277">
        <f>IF(D667="","",IF(J667="リード付け",N667,VLOOKUP(D667,契約台帳!$A$3:$P$4986,16,FALSE)))</f>
        <v>5000</v>
      </c>
      <c r="T667" s="40">
        <v>1</v>
      </c>
      <c r="U667" s="302" t="str">
        <f ca="1">IF(D667="","",IF(OFFSET(D667,-2,0)=D667,"",VLOOKUP(D667,契約台帳!$A$3:$R$4986,18,FALSE)))</f>
        <v/>
      </c>
      <c r="V667" s="269" t="str">
        <f>IF(J667="巻返し",VLOOKUP(F667&amp;K667&amp;M667,製品マスタ!$M$5:$AD$5002,18,FALSE),IF(J667="リード付け","原反コア",IF(J667="スリット",VLOOKUP(F667&amp;K667&amp;Q667,製品マスタ!$N$5:$AD$5002,17,FALSE),"")))</f>
        <v>6ｲﾝﾁSｺｱ</v>
      </c>
      <c r="W667" s="269">
        <f>IF(J667="巻返し",VLOOKUP(F667&amp;K667&amp;M667,製品マスタ!$M$5:$AE$5002,19,FALSE),IF(J667="リード付け","-",IF(J667="スリット",VLOOKUP(F667&amp;K667&amp;Q667,製品マスタ!$N$5:$AE$5002,18,FALSE),"")))</f>
        <v>1125</v>
      </c>
      <c r="X667" s="275">
        <f>IF(D667="","",VLOOKUP(D667,契約台帳!$A$3:$Q$4986,17,FALSE))</f>
        <v>2</v>
      </c>
      <c r="Y667" s="269" t="str">
        <f>IF(D667="","",VLOOKUP(D667,契約台帳!$A$3:$E$4986,5,FALSE))</f>
        <v>リンテック㈱</v>
      </c>
      <c r="Z667" s="57">
        <v>45156</v>
      </c>
      <c r="AA667" s="303" t="str">
        <f>IFERROR(VLOOKUP(F667&amp;K667&amp;M667,製品マスタ!$M$5:$AM$5002,27,FALSE),"")</f>
        <v>原反ケース再利用</v>
      </c>
      <c r="AB667" s="33"/>
      <c r="AC667" s="189"/>
      <c r="AD667" s="54" t="str">
        <f>IF(F667="","",+F667&amp;K667)</f>
        <v>3SNMLBMNGTBF50</v>
      </c>
      <c r="AE667" s="55">
        <f>+M667*N667*O667/1000</f>
        <v>11200</v>
      </c>
      <c r="AF667" s="43">
        <f>IF(AD667="","",VLOOKUP(AD667,原価マスタ!$A$2:$AJ$1693,13,FALSE))</f>
        <v>99</v>
      </c>
      <c r="AG667" s="47">
        <f>IF(AF667="","",+AE667*AF667/100)</f>
        <v>11088</v>
      </c>
      <c r="AH667" s="30"/>
      <c r="AI667" s="30"/>
      <c r="AJ667" s="30"/>
      <c r="AK667" s="30"/>
      <c r="AL667" s="13"/>
      <c r="AM667" s="13"/>
      <c r="AN667" s="13"/>
      <c r="AO667" s="13"/>
      <c r="AP667" s="13"/>
      <c r="AQ667" s="14"/>
      <c r="AR667" s="15"/>
    </row>
    <row r="668" spans="1:44" s="17" customFormat="1" ht="30.95" hidden="1" customHeight="1" x14ac:dyDescent="0.2">
      <c r="A668" s="37"/>
      <c r="B668" s="38"/>
      <c r="C668" s="45"/>
      <c r="D668" s="31">
        <v>3721215</v>
      </c>
      <c r="E668" s="31"/>
      <c r="F668" s="268" t="str">
        <f>IF(D668="","",VLOOKUP(D668,契約台帳!$A$3:$K$4986,6,FALSE)&amp;VLOOKUP(D668,契約台帳!$A$3:$K$4986,7,FALSE)&amp;VLOOKUP(D668,契約台帳!$A$3:$K$4986,8,FALSE)&amp;VLOOKUP(D668,契約台帳!$A$3:$K$4986,9,FALSE)&amp;VLOOKUP(D668,契約台帳!$A$3:$K$4986,11,FALSE))</f>
        <v>3SNMLBMNGTBF</v>
      </c>
      <c r="G668" s="269" t="str">
        <f>IF(D668="","",VLOOKUP(F668,製品マスタ!$G$5:$H$5002,2,FALSE))</f>
        <v>S</v>
      </c>
      <c r="H668" s="269" t="str">
        <f>IF(D668="","",VLOOKUP(F668,製品マスタ!$G$5:$K$5002,5,FALSE))</f>
        <v>MNGTBF</v>
      </c>
      <c r="I668" s="270" t="str">
        <f>IF(D668="","",VLOOKUP(F668,製品マスタ!$G$5:$L$5002,6,FALSE))</f>
        <v>メタルミー　ネーマー　銀艶　Ｂ</v>
      </c>
      <c r="J668" s="32" t="s">
        <v>447</v>
      </c>
      <c r="K668" s="270">
        <f>IF(D668="","",VLOOKUP(D668,契約台帳!$A$3:$L$4986,12,FALSE))</f>
        <v>50</v>
      </c>
      <c r="L668" s="270" t="str">
        <f>IF(D668="","",INDEX(製品マスタ!$Q$5:$Q$5002,MATCH(F668&amp;K668,製品マスタ!$AO$5:$AO$5002,0)))</f>
        <v>T62</v>
      </c>
      <c r="M668" s="39">
        <v>1120</v>
      </c>
      <c r="N668" s="39"/>
      <c r="O668" s="47"/>
      <c r="P668" s="57"/>
      <c r="Q668" s="276">
        <f>IF(D668="","",IF(J668="リード付け",M668,VLOOKUP(D668,契約台帳!$A$3:$N$4986,14,FALSE)))</f>
        <v>1120</v>
      </c>
      <c r="R668" s="277">
        <f>IF(D668="","",IF(J668="リード付け",M668,VLOOKUP(D668,契約台帳!$A$3:$O$4986,15,FALSE)))</f>
        <v>1120</v>
      </c>
      <c r="S668" s="277">
        <f>IF(D668="","",IF(J668="リード付け",N668,VLOOKUP(D668,契約台帳!$A$3:$P$4986,16,FALSE)))</f>
        <v>5000</v>
      </c>
      <c r="T668" s="40">
        <v>1</v>
      </c>
      <c r="U668" s="302">
        <f ca="1">IF(D668="","",IF(OFFSET(D668,-2,0)=D668,"",VLOOKUP(D668,契約台帳!$A$3:$R$4986,18,FALSE)))</f>
        <v>13</v>
      </c>
      <c r="V668" s="269" t="str">
        <f>IF(J668="巻返し",VLOOKUP(F668&amp;K668&amp;M668,製品マスタ!$M$5:$AD$5002,18,FALSE),IF(J668="リード付け","原反コア",IF(J668="スリット",VLOOKUP(F668&amp;K668&amp;Q668,製品マスタ!$N$5:$AD$5002,17,FALSE),"")))</f>
        <v>6ｲﾝﾁSｺｱ</v>
      </c>
      <c r="W668" s="269">
        <f>IF(J668="巻返し",VLOOKUP(F668&amp;K668&amp;M668,製品マスタ!$M$5:$AE$5002,19,FALSE),IF(J668="リード付け","-",IF(J668="スリット",VLOOKUP(F668&amp;K668&amp;Q668,製品マスタ!$N$5:$AE$5002,18,FALSE),"")))</f>
        <v>1125</v>
      </c>
      <c r="X668" s="275">
        <f>IF(D668="","",VLOOKUP(D668,契約台帳!$A$3:$Q$4986,17,FALSE))</f>
        <v>2</v>
      </c>
      <c r="Y668" s="269" t="str">
        <f>IF(D668="","",VLOOKUP(D668,契約台帳!$A$3:$E$4986,5,FALSE))</f>
        <v>リンテック㈱</v>
      </c>
      <c r="Z668" s="57"/>
      <c r="AA668" s="303" t="str">
        <f>IFERROR(VLOOKUP(F668&amp;K668&amp;M668,製品マスタ!$M$5:$AM$5002,27,FALSE),"")</f>
        <v>原反ケース再利用</v>
      </c>
      <c r="AB668" s="33"/>
      <c r="AC668" s="189"/>
      <c r="AD668" s="54"/>
      <c r="AE668" s="55"/>
      <c r="AF668" s="43"/>
      <c r="AG668" s="47" t="str">
        <f>IF(AF668="","",+AE668*AF668/100)</f>
        <v/>
      </c>
      <c r="AH668" s="30"/>
      <c r="AI668" s="30"/>
      <c r="AJ668" s="30"/>
      <c r="AK668" s="30"/>
      <c r="AL668" s="13"/>
      <c r="AM668" s="13"/>
      <c r="AN668" s="13"/>
      <c r="AO668" s="13"/>
      <c r="AP668" s="13"/>
      <c r="AQ668" s="14"/>
      <c r="AR668" s="15"/>
    </row>
    <row r="669" spans="1:44" s="17" customFormat="1" ht="30.95" hidden="1" customHeight="1" x14ac:dyDescent="0.2">
      <c r="A669" s="37"/>
      <c r="B669" s="38"/>
      <c r="C669" s="45"/>
      <c r="D669" s="31"/>
      <c r="E669" s="31"/>
      <c r="F669" s="268"/>
      <c r="G669" s="269"/>
      <c r="H669" s="269"/>
      <c r="I669" s="270"/>
      <c r="J669" s="32"/>
      <c r="K669" s="270"/>
      <c r="L669" s="270"/>
      <c r="M669" s="39"/>
      <c r="N669" s="39"/>
      <c r="O669" s="47"/>
      <c r="P669" s="57"/>
      <c r="Q669" s="276"/>
      <c r="R669" s="277"/>
      <c r="S669" s="277"/>
      <c r="T669" s="40"/>
      <c r="U669" s="278"/>
      <c r="V669" s="269"/>
      <c r="W669" s="269"/>
      <c r="X669" s="275"/>
      <c r="Y669" s="269"/>
      <c r="Z669" s="57"/>
      <c r="AA669" s="207"/>
      <c r="AB669" s="33"/>
      <c r="AC669" s="189"/>
      <c r="AD669" s="54"/>
      <c r="AE669" s="55"/>
      <c r="AF669" s="43"/>
      <c r="AG669" s="47"/>
      <c r="AH669" s="30"/>
      <c r="AI669" s="30"/>
      <c r="AJ669" s="30"/>
      <c r="AK669" s="30"/>
      <c r="AL669" s="13"/>
      <c r="AM669" s="13"/>
      <c r="AN669" s="13"/>
      <c r="AO669" s="13"/>
      <c r="AP669" s="13"/>
      <c r="AQ669" s="14"/>
      <c r="AR669" s="15"/>
    </row>
    <row r="670" spans="1:44" s="17" customFormat="1" ht="30.95" hidden="1" customHeight="1" x14ac:dyDescent="0.2">
      <c r="A670" s="37"/>
      <c r="B670" s="38"/>
      <c r="C670" s="45"/>
      <c r="D670" s="31">
        <v>3721215</v>
      </c>
      <c r="E670" s="31">
        <v>4151433</v>
      </c>
      <c r="F670" s="268" t="str">
        <f>IF(D670="","",VLOOKUP(D670,契約台帳!$A$3:$K$4986,6,FALSE)&amp;VLOOKUP(D670,契約台帳!$A$3:$K$4986,7,FALSE)&amp;VLOOKUP(D670,契約台帳!$A$3:$K$4986,8,FALSE)&amp;VLOOKUP(D670,契約台帳!$A$3:$K$4986,9,FALSE)&amp;VLOOKUP(D670,契約台帳!$A$3:$K$4986,11,FALSE))</f>
        <v>3SNMLBMNGTBF</v>
      </c>
      <c r="G670" s="269" t="str">
        <f>IF(D670="","",VLOOKUP(F670,製品マスタ!$G$5:$H$5002,2,FALSE))</f>
        <v>S</v>
      </c>
      <c r="H670" s="269" t="str">
        <f>IF(D670="","",VLOOKUP(F670,製品マスタ!$G$5:$K$5002,5,FALSE))</f>
        <v>MNGTBF</v>
      </c>
      <c r="I670" s="270" t="str">
        <f>IF(D670="","",VLOOKUP(F670,製品マスタ!$G$5:$L$5002,6,FALSE))</f>
        <v>メタルミー　ネーマー　銀艶　Ｂ</v>
      </c>
      <c r="J670" s="32" t="s">
        <v>447</v>
      </c>
      <c r="K670" s="270">
        <f>IF(D670="","",VLOOKUP(D670,契約台帳!$A$3:$L$4986,12,FALSE))</f>
        <v>50</v>
      </c>
      <c r="L670" s="270" t="str">
        <f>IF(D670="","",INDEX(製品マスタ!$Q$5:$Q$5002,MATCH(F670&amp;K670,製品マスタ!$AO$5:$AO$5002,0)))</f>
        <v>T62</v>
      </c>
      <c r="M670" s="39">
        <v>1120</v>
      </c>
      <c r="N670" s="39">
        <v>10000</v>
      </c>
      <c r="O670" s="47">
        <v>4</v>
      </c>
      <c r="P670" s="57"/>
      <c r="Q670" s="276">
        <f>IF(D670="","",IF(J670="リード付け",M670,VLOOKUP(D670,契約台帳!$A$3:$N$4986,14,FALSE)))</f>
        <v>1120</v>
      </c>
      <c r="R670" s="277">
        <f>IF(D670="","",IF(J670="リード付け",M670,VLOOKUP(D670,契約台帳!$A$3:$O$4986,15,FALSE)))</f>
        <v>1120</v>
      </c>
      <c r="S670" s="277">
        <f>IF(D670="","",IF(J670="リード付け",N670,VLOOKUP(D670,契約台帳!$A$3:$P$4986,16,FALSE)))</f>
        <v>5000</v>
      </c>
      <c r="T670" s="40">
        <v>8</v>
      </c>
      <c r="U670" s="302" t="str">
        <f ca="1">IF(D670="","",IF(OFFSET(D670,-2,0)=D670,"",VLOOKUP(D670,契約台帳!$A$3:$R$4986,18,FALSE)))</f>
        <v/>
      </c>
      <c r="V670" s="269" t="str">
        <f>IF(J670="巻返し",VLOOKUP(F670&amp;K670&amp;M670,製品マスタ!$M$5:$AD$5002,18,FALSE),IF(J670="リード付け","原反コア",IF(J670="スリット",VLOOKUP(F670&amp;K670&amp;Q670,製品マスタ!$N$5:$AD$5002,17,FALSE),"")))</f>
        <v>6ｲﾝﾁSｺｱ</v>
      </c>
      <c r="W670" s="269">
        <f>IF(J670="巻返し",VLOOKUP(F670&amp;K670&amp;M670,製品マスタ!$M$5:$AE$5002,19,FALSE),IF(J670="リード付け","-",IF(J670="スリット",VLOOKUP(F670&amp;K670&amp;Q670,製品マスタ!$N$5:$AE$5002,18,FALSE),"")))</f>
        <v>1125</v>
      </c>
      <c r="X670" s="275">
        <f>IF(D670="","",VLOOKUP(D670,契約台帳!$A$3:$Q$4986,17,FALSE))</f>
        <v>2</v>
      </c>
      <c r="Y670" s="269" t="str">
        <f>IF(D670="","",VLOOKUP(D670,契約台帳!$A$3:$E$4986,5,FALSE))</f>
        <v>リンテック㈱</v>
      </c>
      <c r="Z670" s="57">
        <v>45156</v>
      </c>
      <c r="AA670" s="303" t="str">
        <f>IFERROR(VLOOKUP(F670&amp;K670&amp;M670,製品マスタ!$M$5:$AM$5002,27,FALSE),"")</f>
        <v>原反ケース再利用</v>
      </c>
      <c r="AB670" s="33"/>
      <c r="AC670" s="189"/>
      <c r="AD670" s="54" t="str">
        <f>IF(F670="","",+F670&amp;K670)</f>
        <v>3SNMLBMNGTBF50</v>
      </c>
      <c r="AE670" s="55">
        <f>+M670*N670*O670/1000</f>
        <v>44800</v>
      </c>
      <c r="AF670" s="43">
        <f>IF(AD670="","",VLOOKUP(AD670,原価マスタ!$A$2:$AJ$1693,13,FALSE))</f>
        <v>99</v>
      </c>
      <c r="AG670" s="47">
        <f>IF(AF670="","",+AE670*AF670/100)</f>
        <v>44352</v>
      </c>
      <c r="AH670" s="30"/>
      <c r="AI670" s="30"/>
      <c r="AJ670" s="30"/>
      <c r="AK670" s="30"/>
      <c r="AL670" s="13"/>
      <c r="AM670" s="13"/>
      <c r="AN670" s="13"/>
      <c r="AO670" s="13"/>
      <c r="AP670" s="13"/>
      <c r="AQ670" s="14"/>
      <c r="AR670" s="15"/>
    </row>
    <row r="671" spans="1:44" s="17" customFormat="1" ht="30.95" hidden="1" customHeight="1" x14ac:dyDescent="0.2">
      <c r="A671" s="37"/>
      <c r="B671" s="38"/>
      <c r="C671" s="45"/>
      <c r="D671" s="31"/>
      <c r="E671" s="31"/>
      <c r="F671" s="268"/>
      <c r="G671" s="269"/>
      <c r="H671" s="269"/>
      <c r="I671" s="270"/>
      <c r="J671" s="32"/>
      <c r="K671" s="270"/>
      <c r="L671" s="270"/>
      <c r="M671" s="39"/>
      <c r="N671" s="39"/>
      <c r="O671" s="47"/>
      <c r="P671" s="57"/>
      <c r="Q671" s="276"/>
      <c r="R671" s="277"/>
      <c r="S671" s="277"/>
      <c r="T671" s="40"/>
      <c r="U671" s="278"/>
      <c r="V671" s="269"/>
      <c r="W671" s="269"/>
      <c r="X671" s="275"/>
      <c r="Y671" s="269"/>
      <c r="Z671" s="57"/>
      <c r="AA671" s="207"/>
      <c r="AB671" s="33"/>
      <c r="AC671" s="189"/>
      <c r="AD671" s="54"/>
      <c r="AE671" s="55"/>
      <c r="AF671" s="43"/>
      <c r="AG671" s="47"/>
      <c r="AH671" s="30"/>
      <c r="AI671" s="30"/>
      <c r="AJ671" s="30"/>
      <c r="AK671" s="30"/>
      <c r="AL671" s="13"/>
      <c r="AM671" s="13"/>
      <c r="AN671" s="13"/>
      <c r="AO671" s="13"/>
      <c r="AP671" s="13"/>
      <c r="AQ671" s="14"/>
      <c r="AR671" s="15"/>
    </row>
    <row r="672" spans="1:44" s="17" customFormat="1" ht="30.95" hidden="1" customHeight="1" x14ac:dyDescent="0.2">
      <c r="A672" s="37" t="s">
        <v>1392</v>
      </c>
      <c r="B672" s="38" t="s">
        <v>1393</v>
      </c>
      <c r="C672" s="45"/>
      <c r="D672" s="31">
        <v>3721215</v>
      </c>
      <c r="E672" s="31">
        <v>4151433</v>
      </c>
      <c r="F672" s="268" t="str">
        <f>IF(D672="","",VLOOKUP(D672,契約台帳!$A$3:$K$4986,6,FALSE)&amp;VLOOKUP(D672,契約台帳!$A$3:$K$4986,7,FALSE)&amp;VLOOKUP(D672,契約台帳!$A$3:$K$4986,8,FALSE)&amp;VLOOKUP(D672,契約台帳!$A$3:$K$4986,9,FALSE)&amp;VLOOKUP(D672,契約台帳!$A$3:$K$4986,11,FALSE))</f>
        <v>3SNMLBMNGTBF</v>
      </c>
      <c r="G672" s="269" t="str">
        <f>IF(D672="","",VLOOKUP(F672,製品マスタ!$G$5:$H$5002,2,FALSE))</f>
        <v>S</v>
      </c>
      <c r="H672" s="269" t="str">
        <f>IF(D672="","",VLOOKUP(F672,製品マスタ!$G$5:$K$5002,5,FALSE))</f>
        <v>MNGTBF</v>
      </c>
      <c r="I672" s="270" t="str">
        <f>IF(D672="","",VLOOKUP(F672,製品マスタ!$G$5:$L$5002,6,FALSE))</f>
        <v>メタルミー　ネーマー　銀艶　Ｂ</v>
      </c>
      <c r="J672" s="32" t="s">
        <v>447</v>
      </c>
      <c r="K672" s="270">
        <f>IF(D672="","",VLOOKUP(D672,契約台帳!$A$3:$L$4986,12,FALSE))</f>
        <v>50</v>
      </c>
      <c r="L672" s="270" t="str">
        <f>IF(D672="","",INDEX(製品マスタ!$Q$5:$Q$5002,MATCH(F672&amp;K672,製品マスタ!$AO$5:$AO$5002,0)))</f>
        <v>T62</v>
      </c>
      <c r="M672" s="39">
        <v>1120</v>
      </c>
      <c r="N672" s="39">
        <v>10000</v>
      </c>
      <c r="O672" s="47">
        <v>2</v>
      </c>
      <c r="P672" s="57"/>
      <c r="Q672" s="276">
        <f>IF(D672="","",IF(J672="リード付け",M672,VLOOKUP(D672,契約台帳!$A$3:$N$4986,14,FALSE)))</f>
        <v>1120</v>
      </c>
      <c r="R672" s="277">
        <f>IF(D672="","",IF(J672="リード付け",M672,VLOOKUP(D672,契約台帳!$A$3:$O$4986,15,FALSE)))</f>
        <v>1120</v>
      </c>
      <c r="S672" s="277">
        <f>IF(D672="","",IF(J672="リード付け",N672,VLOOKUP(D672,契約台帳!$A$3:$P$4986,16,FALSE)))</f>
        <v>5000</v>
      </c>
      <c r="T672" s="40">
        <v>4</v>
      </c>
      <c r="U672" s="302" t="str">
        <f ca="1">IF(D672="","",IF(OFFSET(D672,-2,0)=D672,"",VLOOKUP(D672,契約台帳!$A$3:$R$4986,18,FALSE)))</f>
        <v/>
      </c>
      <c r="V672" s="269" t="str">
        <f>IF(J672="巻返し",VLOOKUP(F672&amp;K672&amp;M672,製品マスタ!$M$5:$AD$5002,18,FALSE),IF(J672="リード付け","原反コア",IF(J672="スリット",VLOOKUP(F672&amp;K672&amp;Q672,製品マスタ!$N$5:$AD$5002,17,FALSE),"")))</f>
        <v>6ｲﾝﾁSｺｱ</v>
      </c>
      <c r="W672" s="269">
        <f>IF(J672="巻返し",VLOOKUP(F672&amp;K672&amp;M672,製品マスタ!$M$5:$AE$5002,19,FALSE),IF(J672="リード付け","-",IF(J672="スリット",VLOOKUP(F672&amp;K672&amp;Q672,製品マスタ!$N$5:$AE$5002,18,FALSE),"")))</f>
        <v>1125</v>
      </c>
      <c r="X672" s="275">
        <f>IF(D672="","",VLOOKUP(D672,契約台帳!$A$3:$Q$4986,17,FALSE))</f>
        <v>2</v>
      </c>
      <c r="Y672" s="269" t="str">
        <f>IF(D672="","",VLOOKUP(D672,契約台帳!$A$3:$E$4986,5,FALSE))</f>
        <v>リンテック㈱</v>
      </c>
      <c r="Z672" s="57">
        <v>45156</v>
      </c>
      <c r="AA672" s="303" t="str">
        <f>IFERROR(VLOOKUP(F672&amp;K672&amp;M672,製品マスタ!$M$5:$AM$5002,27,FALSE),"")</f>
        <v>原反ケース再利用</v>
      </c>
      <c r="AB672" s="33"/>
      <c r="AC672" s="189"/>
      <c r="AD672" s="54" t="str">
        <f>IF(F672="","",+F672&amp;K672)</f>
        <v>3SNMLBMNGTBF50</v>
      </c>
      <c r="AE672" s="55">
        <f>+M672*N672*O672/1000</f>
        <v>22400</v>
      </c>
      <c r="AF672" s="43">
        <f>IF(AD672="","",VLOOKUP(AD672,原価マスタ!$A$2:$AJ$1693,13,FALSE))</f>
        <v>99</v>
      </c>
      <c r="AG672" s="47">
        <f>IF(AF672="","",+AE672*AF672/100)</f>
        <v>22176</v>
      </c>
      <c r="AH672" s="30"/>
      <c r="AI672" s="30"/>
      <c r="AJ672" s="30"/>
      <c r="AK672" s="30"/>
      <c r="AL672" s="13"/>
      <c r="AM672" s="13"/>
      <c r="AN672" s="13"/>
      <c r="AO672" s="13"/>
      <c r="AP672" s="13"/>
      <c r="AQ672" s="14"/>
      <c r="AR672" s="15"/>
    </row>
    <row r="673" spans="1:44" s="17" customFormat="1" ht="30.95" hidden="1" customHeight="1" x14ac:dyDescent="0.2">
      <c r="A673" s="37"/>
      <c r="B673" s="38"/>
      <c r="C673" s="45"/>
      <c r="D673" s="31"/>
      <c r="E673" s="31"/>
      <c r="F673" s="268"/>
      <c r="G673" s="269"/>
      <c r="H673" s="269"/>
      <c r="I673" s="270"/>
      <c r="J673" s="32"/>
      <c r="K673" s="270"/>
      <c r="L673" s="270"/>
      <c r="M673" s="39"/>
      <c r="N673" s="39"/>
      <c r="O673" s="47"/>
      <c r="P673" s="57"/>
      <c r="Q673" s="276"/>
      <c r="R673" s="277"/>
      <c r="S673" s="277"/>
      <c r="T673" s="40"/>
      <c r="U673" s="278"/>
      <c r="V673" s="269"/>
      <c r="W673" s="269"/>
      <c r="X673" s="275"/>
      <c r="Y673" s="269"/>
      <c r="Z673" s="57"/>
      <c r="AA673" s="207"/>
      <c r="AB673" s="33"/>
      <c r="AC673" s="189"/>
      <c r="AD673" s="54"/>
      <c r="AE673" s="55"/>
      <c r="AF673" s="43"/>
      <c r="AG673" s="47"/>
      <c r="AH673" s="30"/>
      <c r="AI673" s="30"/>
      <c r="AJ673" s="30"/>
      <c r="AK673" s="30"/>
      <c r="AL673" s="13"/>
      <c r="AM673" s="13"/>
      <c r="AN673" s="13"/>
      <c r="AO673" s="13"/>
      <c r="AP673" s="13"/>
      <c r="AQ673" s="14"/>
      <c r="AR673" s="15"/>
    </row>
    <row r="674" spans="1:44" s="17" customFormat="1" ht="30.95" hidden="1" customHeight="1" x14ac:dyDescent="0.2">
      <c r="A674" s="37"/>
      <c r="B674" s="38"/>
      <c r="C674" s="45"/>
      <c r="D674" s="31">
        <v>3721216</v>
      </c>
      <c r="E674" s="31">
        <v>4151434</v>
      </c>
      <c r="F674" s="268" t="str">
        <f>IF(D674="","",VLOOKUP(D674,契約台帳!$A$3:$K$4986,6,FALSE)&amp;VLOOKUP(D674,契約台帳!$A$3:$K$4986,7,FALSE)&amp;VLOOKUP(D674,契約台帳!$A$3:$K$4986,8,FALSE)&amp;VLOOKUP(D674,契約台帳!$A$3:$K$4986,9,FALSE)&amp;VLOOKUP(D674,契約台帳!$A$3:$K$4986,11,FALSE))</f>
        <v>3SNMLBMNGTBF</v>
      </c>
      <c r="G674" s="269" t="str">
        <f>IF(D674="","",VLOOKUP(F674,製品マスタ!$G$5:$H$5002,2,FALSE))</f>
        <v>S</v>
      </c>
      <c r="H674" s="269" t="str">
        <f>IF(D674="","",VLOOKUP(F674,製品マスタ!$G$5:$K$5002,5,FALSE))</f>
        <v>MNGTBF</v>
      </c>
      <c r="I674" s="270" t="str">
        <f>IF(D674="","",VLOOKUP(F674,製品マスタ!$G$5:$L$5002,6,FALSE))</f>
        <v>メタルミー　ネーマー　銀艶　Ｂ</v>
      </c>
      <c r="J674" s="32" t="s">
        <v>447</v>
      </c>
      <c r="K674" s="270">
        <f>IF(D674="","",VLOOKUP(D674,契約台帳!$A$3:$L$4986,12,FALSE))</f>
        <v>50</v>
      </c>
      <c r="L674" s="270" t="str">
        <f>IF(D674="","",INDEX(製品マスタ!$Q$5:$Q$5002,MATCH(F674&amp;K674,製品マスタ!$AO$5:$AO$5002,0)))</f>
        <v>T62</v>
      </c>
      <c r="M674" s="39">
        <v>1120</v>
      </c>
      <c r="N674" s="39">
        <v>10000</v>
      </c>
      <c r="O674" s="47">
        <v>3</v>
      </c>
      <c r="P674" s="57"/>
      <c r="Q674" s="276">
        <f>IF(D674="","",IF(J674="リード付け",M674,VLOOKUP(D674,契約台帳!$A$3:$N$4986,14,FALSE)))</f>
        <v>1120</v>
      </c>
      <c r="R674" s="277">
        <f>IF(D674="","",IF(J674="リード付け",M674,VLOOKUP(D674,契約台帳!$A$3:$O$4986,15,FALSE)))</f>
        <v>1120</v>
      </c>
      <c r="S674" s="277">
        <f>IF(D674="","",IF(J674="リード付け",N674,VLOOKUP(D674,契約台帳!$A$3:$P$4986,16,FALSE)))</f>
        <v>5000</v>
      </c>
      <c r="T674" s="40">
        <v>6</v>
      </c>
      <c r="U674" s="302">
        <f ca="1">IF(D674="","",IF(OFFSET(D674,-2,0)=D674,"",VLOOKUP(D674,契約台帳!$A$3:$R$4986,18,FALSE)))</f>
        <v>25</v>
      </c>
      <c r="V674" s="269" t="str">
        <f>IF(J674="巻返し",VLOOKUP(F674&amp;K674&amp;M674,製品マスタ!$M$5:$AD$5002,18,FALSE),IF(J674="リード付け","原反コア",IF(J674="スリット",VLOOKUP(F674&amp;K674&amp;Q674,製品マスタ!$N$5:$AD$5002,17,FALSE),"")))</f>
        <v>6ｲﾝﾁSｺｱ</v>
      </c>
      <c r="W674" s="269">
        <f>IF(J674="巻返し",VLOOKUP(F674&amp;K674&amp;M674,製品マスタ!$M$5:$AE$5002,19,FALSE),IF(J674="リード付け","-",IF(J674="スリット",VLOOKUP(F674&amp;K674&amp;Q674,製品マスタ!$N$5:$AE$5002,18,FALSE),"")))</f>
        <v>1125</v>
      </c>
      <c r="X674" s="275">
        <f>IF(D674="","",VLOOKUP(D674,契約台帳!$A$3:$Q$4986,17,FALSE))</f>
        <v>2</v>
      </c>
      <c r="Y674" s="269" t="str">
        <f>IF(D674="","",VLOOKUP(D674,契約台帳!$A$3:$E$4986,5,FALSE))</f>
        <v>リンテック㈱</v>
      </c>
      <c r="Z674" s="57">
        <v>45156</v>
      </c>
      <c r="AA674" s="303" t="str">
        <f>IFERROR(VLOOKUP(F674&amp;K674&amp;M674,製品マスタ!$M$5:$AM$5002,27,FALSE),"")</f>
        <v>原反ケース再利用</v>
      </c>
      <c r="AB674" s="33"/>
      <c r="AC674" s="189"/>
      <c r="AD674" s="54" t="str">
        <f>IF(F674="","",+F674&amp;K674)</f>
        <v>3SNMLBMNGTBF50</v>
      </c>
      <c r="AE674" s="55">
        <f>+M674*N674*O674/1000</f>
        <v>33600</v>
      </c>
      <c r="AF674" s="43">
        <f>IF(AD674="","",VLOOKUP(AD674,原価マスタ!$A$2:$AJ$1693,13,FALSE))</f>
        <v>99</v>
      </c>
      <c r="AG674" s="47">
        <f>IF(AF674="","",+AE674*AF674/100)</f>
        <v>33264</v>
      </c>
      <c r="AH674" s="30"/>
      <c r="AI674" s="30"/>
      <c r="AJ674" s="30"/>
      <c r="AK674" s="30"/>
      <c r="AL674" s="13"/>
      <c r="AM674" s="13"/>
      <c r="AN674" s="13"/>
      <c r="AO674" s="13"/>
      <c r="AP674" s="13"/>
      <c r="AQ674" s="14"/>
      <c r="AR674" s="15"/>
    </row>
    <row r="675" spans="1:44" s="17" customFormat="1" ht="30.95" hidden="1" customHeight="1" x14ac:dyDescent="0.2">
      <c r="A675" s="37"/>
      <c r="B675" s="38"/>
      <c r="C675" s="45"/>
      <c r="D675" s="31"/>
      <c r="E675" s="31"/>
      <c r="F675" s="268"/>
      <c r="G675" s="269"/>
      <c r="H675" s="269"/>
      <c r="I675" s="270"/>
      <c r="J675" s="32"/>
      <c r="K675" s="270"/>
      <c r="L675" s="270"/>
      <c r="M675" s="39"/>
      <c r="N675" s="39"/>
      <c r="O675" s="47"/>
      <c r="P675" s="57"/>
      <c r="Q675" s="276"/>
      <c r="R675" s="277"/>
      <c r="S675" s="277"/>
      <c r="T675" s="40"/>
      <c r="U675" s="278"/>
      <c r="V675" s="269"/>
      <c r="W675" s="269"/>
      <c r="X675" s="275"/>
      <c r="Y675" s="269"/>
      <c r="Z675" s="57"/>
      <c r="AA675" s="207"/>
      <c r="AB675" s="33"/>
      <c r="AC675" s="189"/>
      <c r="AD675" s="54"/>
      <c r="AE675" s="55"/>
      <c r="AF675" s="43"/>
      <c r="AG675" s="47"/>
      <c r="AH675" s="30"/>
      <c r="AI675" s="30"/>
      <c r="AJ675" s="30"/>
      <c r="AK675" s="30"/>
      <c r="AL675" s="13"/>
      <c r="AM675" s="13"/>
      <c r="AN675" s="13"/>
      <c r="AO675" s="13"/>
      <c r="AP675" s="13"/>
      <c r="AQ675" s="14"/>
      <c r="AR675" s="15"/>
    </row>
    <row r="676" spans="1:44" s="17" customFormat="1" ht="30.95" hidden="1" customHeight="1" x14ac:dyDescent="0.2">
      <c r="A676" s="37" t="s">
        <v>1372</v>
      </c>
      <c r="B676" s="38" t="s">
        <v>1373</v>
      </c>
      <c r="C676" s="45"/>
      <c r="D676" s="31">
        <v>3721216</v>
      </c>
      <c r="E676" s="31">
        <v>4151434</v>
      </c>
      <c r="F676" s="268" t="str">
        <f>IF(D676="","",VLOOKUP(D676,契約台帳!$A$3:$K$4986,6,FALSE)&amp;VLOOKUP(D676,契約台帳!$A$3:$K$4986,7,FALSE)&amp;VLOOKUP(D676,契約台帳!$A$3:$K$4986,8,FALSE)&amp;VLOOKUP(D676,契約台帳!$A$3:$K$4986,9,FALSE)&amp;VLOOKUP(D676,契約台帳!$A$3:$K$4986,11,FALSE))</f>
        <v>3SNMLBMNGTBF</v>
      </c>
      <c r="G676" s="269" t="str">
        <f>IF(D676="","",VLOOKUP(F676,製品マスタ!$G$5:$H$5002,2,FALSE))</f>
        <v>S</v>
      </c>
      <c r="H676" s="269" t="str">
        <f>IF(D676="","",VLOOKUP(F676,製品マスタ!$G$5:$K$5002,5,FALSE))</f>
        <v>MNGTBF</v>
      </c>
      <c r="I676" s="270" t="str">
        <f>IF(D676="","",VLOOKUP(F676,製品マスタ!$G$5:$L$5002,6,FALSE))</f>
        <v>メタルミー　ネーマー　銀艶　Ｂ</v>
      </c>
      <c r="J676" s="32" t="s">
        <v>447</v>
      </c>
      <c r="K676" s="270">
        <f>IF(D676="","",VLOOKUP(D676,契約台帳!$A$3:$L$4986,12,FALSE))</f>
        <v>50</v>
      </c>
      <c r="L676" s="270" t="str">
        <f>IF(D676="","",INDEX(製品マスタ!$Q$5:$Q$5002,MATCH(F676&amp;K676,製品マスタ!$AO$5:$AO$5002,0)))</f>
        <v>T62</v>
      </c>
      <c r="M676" s="39">
        <v>1120</v>
      </c>
      <c r="N676" s="39">
        <v>10000</v>
      </c>
      <c r="O676" s="47">
        <v>5</v>
      </c>
      <c r="P676" s="57"/>
      <c r="Q676" s="276">
        <f>IF(D676="","",IF(J676="リード付け",M676,VLOOKUP(D676,契約台帳!$A$3:$N$4986,14,FALSE)))</f>
        <v>1120</v>
      </c>
      <c r="R676" s="277">
        <f>IF(D676="","",IF(J676="リード付け",M676,VLOOKUP(D676,契約台帳!$A$3:$O$4986,15,FALSE)))</f>
        <v>1120</v>
      </c>
      <c r="S676" s="277">
        <f>IF(D676="","",IF(J676="リード付け",N676,VLOOKUP(D676,契約台帳!$A$3:$P$4986,16,FALSE)))</f>
        <v>5000</v>
      </c>
      <c r="T676" s="40">
        <v>10</v>
      </c>
      <c r="U676" s="302" t="str">
        <f ca="1">IF(D676="","",IF(OFFSET(D676,-2,0)=D676,"",VLOOKUP(D676,契約台帳!$A$3:$R$4986,18,FALSE)))</f>
        <v/>
      </c>
      <c r="V676" s="269" t="str">
        <f>IF(J676="巻返し",VLOOKUP(F676&amp;K676&amp;M676,製品マスタ!$M$5:$AD$5002,18,FALSE),IF(J676="リード付け","原反コア",IF(J676="スリット",VLOOKUP(F676&amp;K676&amp;Q676,製品マスタ!$N$5:$AD$5002,17,FALSE),"")))</f>
        <v>6ｲﾝﾁSｺｱ</v>
      </c>
      <c r="W676" s="269">
        <f>IF(J676="巻返し",VLOOKUP(F676&amp;K676&amp;M676,製品マスタ!$M$5:$AE$5002,19,FALSE),IF(J676="リード付け","-",IF(J676="スリット",VLOOKUP(F676&amp;K676&amp;Q676,製品マスタ!$N$5:$AE$5002,18,FALSE),"")))</f>
        <v>1125</v>
      </c>
      <c r="X676" s="275">
        <f>IF(D676="","",VLOOKUP(D676,契約台帳!$A$3:$Q$4986,17,FALSE))</f>
        <v>2</v>
      </c>
      <c r="Y676" s="269" t="str">
        <f>IF(D676="","",VLOOKUP(D676,契約台帳!$A$3:$E$4986,5,FALSE))</f>
        <v>リンテック㈱</v>
      </c>
      <c r="Z676" s="57">
        <v>45156</v>
      </c>
      <c r="AA676" s="303" t="str">
        <f>IFERROR(VLOOKUP(F676&amp;K676&amp;M676,製品マスタ!$M$5:$AM$5002,27,FALSE),"")</f>
        <v>原反ケース再利用</v>
      </c>
      <c r="AB676" s="33"/>
      <c r="AC676" s="189"/>
      <c r="AD676" s="54" t="str">
        <f>IF(F676="","",+F676&amp;K676)</f>
        <v>3SNMLBMNGTBF50</v>
      </c>
      <c r="AE676" s="55">
        <f>+M676*N676*O676/1000</f>
        <v>56000</v>
      </c>
      <c r="AF676" s="43">
        <f>IF(AD676="","",VLOOKUP(AD676,原価マスタ!$A$2:$AJ$1693,13,FALSE))</f>
        <v>99</v>
      </c>
      <c r="AG676" s="47">
        <f>IF(AF676="","",+AE676*AF676/100)</f>
        <v>55440</v>
      </c>
      <c r="AH676" s="30"/>
      <c r="AI676" s="30"/>
      <c r="AJ676" s="30"/>
      <c r="AK676" s="30"/>
      <c r="AL676" s="13"/>
      <c r="AM676" s="13"/>
      <c r="AN676" s="13"/>
      <c r="AO676" s="13"/>
      <c r="AP676" s="13"/>
      <c r="AQ676" s="14"/>
      <c r="AR676" s="15"/>
    </row>
    <row r="677" spans="1:44" s="17" customFormat="1" ht="30.95" hidden="1" customHeight="1" x14ac:dyDescent="0.2">
      <c r="A677" s="37"/>
      <c r="B677" s="38"/>
      <c r="C677" s="45"/>
      <c r="D677" s="31"/>
      <c r="E677" s="31"/>
      <c r="F677" s="268"/>
      <c r="G677" s="269"/>
      <c r="H677" s="269"/>
      <c r="I677" s="270"/>
      <c r="J677" s="32"/>
      <c r="K677" s="270"/>
      <c r="L677" s="270"/>
      <c r="M677" s="39"/>
      <c r="N677" s="39"/>
      <c r="O677" s="47"/>
      <c r="P677" s="57"/>
      <c r="Q677" s="276"/>
      <c r="R677" s="277"/>
      <c r="S677" s="277"/>
      <c r="T677" s="40"/>
      <c r="U677" s="278"/>
      <c r="V677" s="269"/>
      <c r="W677" s="269"/>
      <c r="X677" s="275"/>
      <c r="Y677" s="269"/>
      <c r="Z677" s="57"/>
      <c r="AA677" s="207"/>
      <c r="AB677" s="33"/>
      <c r="AC677" s="189"/>
      <c r="AD677" s="54"/>
      <c r="AE677" s="55"/>
      <c r="AF677" s="43"/>
      <c r="AG677" s="47"/>
      <c r="AH677" s="30"/>
      <c r="AI677" s="30"/>
      <c r="AJ677" s="30"/>
      <c r="AK677" s="30"/>
      <c r="AL677" s="13"/>
      <c r="AM677" s="13"/>
      <c r="AN677" s="13"/>
      <c r="AO677" s="13"/>
      <c r="AP677" s="13"/>
      <c r="AQ677" s="14"/>
      <c r="AR677" s="15"/>
    </row>
    <row r="678" spans="1:44" s="17" customFormat="1" ht="30.95" hidden="1" customHeight="1" x14ac:dyDescent="0.2">
      <c r="A678" s="37" t="s">
        <v>1374</v>
      </c>
      <c r="B678" s="38" t="s">
        <v>1375</v>
      </c>
      <c r="C678" s="45"/>
      <c r="D678" s="31"/>
      <c r="E678" s="31"/>
      <c r="F678" s="268"/>
      <c r="G678" s="269"/>
      <c r="H678" s="269"/>
      <c r="I678" s="270"/>
      <c r="J678" s="32" t="s">
        <v>1382</v>
      </c>
      <c r="K678" s="270"/>
      <c r="L678" s="270"/>
      <c r="M678" s="39"/>
      <c r="N678" s="39"/>
      <c r="O678" s="47"/>
      <c r="P678" s="57"/>
      <c r="Q678" s="276"/>
      <c r="R678" s="277"/>
      <c r="S678" s="277"/>
      <c r="T678" s="40"/>
      <c r="U678" s="278"/>
      <c r="V678" s="269"/>
      <c r="W678" s="269"/>
      <c r="X678" s="275"/>
      <c r="Y678" s="269"/>
      <c r="Z678" s="57"/>
      <c r="AA678" s="207"/>
      <c r="AB678" s="33"/>
      <c r="AC678" s="189"/>
      <c r="AD678" s="54"/>
      <c r="AE678" s="55"/>
      <c r="AF678" s="43"/>
      <c r="AG678" s="47"/>
      <c r="AH678" s="30"/>
      <c r="AI678" s="30"/>
      <c r="AJ678" s="30"/>
      <c r="AK678" s="30"/>
      <c r="AL678" s="13"/>
      <c r="AM678" s="13"/>
      <c r="AN678" s="13"/>
      <c r="AO678" s="13"/>
      <c r="AP678" s="13"/>
      <c r="AQ678" s="14"/>
      <c r="AR678" s="15"/>
    </row>
    <row r="679" spans="1:44" s="17" customFormat="1" ht="30.95" hidden="1" customHeight="1" x14ac:dyDescent="0.2">
      <c r="A679" s="37"/>
      <c r="B679" s="38"/>
      <c r="C679" s="45"/>
      <c r="D679" s="31"/>
      <c r="E679" s="31"/>
      <c r="F679" s="268"/>
      <c r="G679" s="269"/>
      <c r="H679" s="269"/>
      <c r="I679" s="270"/>
      <c r="J679" s="32"/>
      <c r="K679" s="270"/>
      <c r="L679" s="270"/>
      <c r="M679" s="39"/>
      <c r="N679" s="39"/>
      <c r="O679" s="47"/>
      <c r="P679" s="57"/>
      <c r="Q679" s="276"/>
      <c r="R679" s="277"/>
      <c r="S679" s="277"/>
      <c r="T679" s="40"/>
      <c r="U679" s="278"/>
      <c r="V679" s="269"/>
      <c r="W679" s="269"/>
      <c r="X679" s="275"/>
      <c r="Y679" s="269"/>
      <c r="Z679" s="57"/>
      <c r="AA679" s="207"/>
      <c r="AB679" s="33"/>
      <c r="AC679" s="189"/>
      <c r="AD679" s="54"/>
      <c r="AE679" s="55"/>
      <c r="AF679" s="43"/>
      <c r="AG679" s="47"/>
      <c r="AH679" s="30"/>
      <c r="AI679" s="30"/>
      <c r="AJ679" s="30"/>
      <c r="AK679" s="30"/>
      <c r="AL679" s="13"/>
      <c r="AM679" s="13"/>
      <c r="AN679" s="13"/>
      <c r="AO679" s="13"/>
      <c r="AP679" s="13"/>
      <c r="AQ679" s="14"/>
      <c r="AR679" s="15"/>
    </row>
    <row r="680" spans="1:44" s="17" customFormat="1" ht="30.95" hidden="1" customHeight="1" x14ac:dyDescent="0.2">
      <c r="A680" s="37" t="s">
        <v>1376</v>
      </c>
      <c r="B680" s="38" t="s">
        <v>1377</v>
      </c>
      <c r="C680" s="45"/>
      <c r="D680" s="31"/>
      <c r="E680" s="31"/>
      <c r="F680" s="268"/>
      <c r="G680" s="269"/>
      <c r="H680" s="269"/>
      <c r="I680" s="270"/>
      <c r="J680" s="32" t="s">
        <v>1382</v>
      </c>
      <c r="K680" s="270"/>
      <c r="L680" s="270"/>
      <c r="M680" s="39"/>
      <c r="N680" s="39"/>
      <c r="O680" s="47"/>
      <c r="P680" s="57"/>
      <c r="Q680" s="276"/>
      <c r="R680" s="277"/>
      <c r="S680" s="277"/>
      <c r="T680" s="40"/>
      <c r="U680" s="278"/>
      <c r="V680" s="269"/>
      <c r="W680" s="269"/>
      <c r="X680" s="275"/>
      <c r="Y680" s="269"/>
      <c r="Z680" s="57"/>
      <c r="AA680" s="207"/>
      <c r="AB680" s="33"/>
      <c r="AC680" s="189"/>
      <c r="AD680" s="54"/>
      <c r="AE680" s="55"/>
      <c r="AF680" s="43"/>
      <c r="AG680" s="47"/>
      <c r="AH680" s="30"/>
      <c r="AI680" s="30"/>
      <c r="AJ680" s="30"/>
      <c r="AK680" s="30"/>
      <c r="AL680" s="13"/>
      <c r="AM680" s="13"/>
      <c r="AN680" s="13"/>
      <c r="AO680" s="13"/>
      <c r="AP680" s="13"/>
      <c r="AQ680" s="14"/>
      <c r="AR680" s="15"/>
    </row>
    <row r="681" spans="1:44" s="17" customFormat="1" ht="30.95" hidden="1" customHeight="1" x14ac:dyDescent="0.2">
      <c r="A681" s="37"/>
      <c r="B681" s="38"/>
      <c r="C681" s="45"/>
      <c r="D681" s="31"/>
      <c r="E681" s="31"/>
      <c r="F681" s="268"/>
      <c r="G681" s="269"/>
      <c r="H681" s="269"/>
      <c r="I681" s="270"/>
      <c r="J681" s="32"/>
      <c r="K681" s="270"/>
      <c r="L681" s="270"/>
      <c r="M681" s="39"/>
      <c r="N681" s="39"/>
      <c r="O681" s="47"/>
      <c r="P681" s="57"/>
      <c r="Q681" s="276"/>
      <c r="R681" s="277"/>
      <c r="S681" s="277"/>
      <c r="T681" s="40"/>
      <c r="U681" s="278"/>
      <c r="V681" s="269"/>
      <c r="W681" s="269"/>
      <c r="X681" s="275"/>
      <c r="Y681" s="269"/>
      <c r="Z681" s="57"/>
      <c r="AA681" s="207"/>
      <c r="AB681" s="33"/>
      <c r="AC681" s="189"/>
      <c r="AD681" s="54"/>
      <c r="AE681" s="55"/>
      <c r="AF681" s="43"/>
      <c r="AG681" s="47"/>
      <c r="AH681" s="30"/>
      <c r="AI681" s="30"/>
      <c r="AJ681" s="30"/>
      <c r="AK681" s="30"/>
      <c r="AL681" s="13"/>
      <c r="AM681" s="13"/>
      <c r="AN681" s="13"/>
      <c r="AO681" s="13"/>
      <c r="AP681" s="13"/>
      <c r="AQ681" s="14"/>
      <c r="AR681" s="15"/>
    </row>
    <row r="682" spans="1:44" s="17" customFormat="1" ht="30.95" hidden="1" customHeight="1" x14ac:dyDescent="0.2">
      <c r="A682" s="37" t="s">
        <v>1378</v>
      </c>
      <c r="B682" s="38" t="s">
        <v>1369</v>
      </c>
      <c r="C682" s="45"/>
      <c r="D682" s="31"/>
      <c r="E682" s="31"/>
      <c r="F682" s="268"/>
      <c r="G682" s="269"/>
      <c r="H682" s="269"/>
      <c r="I682" s="270"/>
      <c r="J682" s="32" t="s">
        <v>1382</v>
      </c>
      <c r="K682" s="270"/>
      <c r="L682" s="270"/>
      <c r="M682" s="39"/>
      <c r="N682" s="39"/>
      <c r="O682" s="47"/>
      <c r="P682" s="57"/>
      <c r="Q682" s="276"/>
      <c r="R682" s="277"/>
      <c r="S682" s="277"/>
      <c r="T682" s="40"/>
      <c r="U682" s="278"/>
      <c r="V682" s="269"/>
      <c r="W682" s="269"/>
      <c r="X682" s="275"/>
      <c r="Y682" s="269"/>
      <c r="Z682" s="57"/>
      <c r="AA682" s="207"/>
      <c r="AB682" s="33"/>
      <c r="AC682" s="189"/>
      <c r="AD682" s="54"/>
      <c r="AE682" s="55"/>
      <c r="AF682" s="43"/>
      <c r="AG682" s="47"/>
      <c r="AH682" s="30"/>
      <c r="AI682" s="30"/>
      <c r="AJ682" s="30"/>
      <c r="AK682" s="30"/>
      <c r="AL682" s="13"/>
      <c r="AM682" s="13"/>
      <c r="AN682" s="13"/>
      <c r="AO682" s="13"/>
      <c r="AP682" s="13"/>
      <c r="AQ682" s="14"/>
      <c r="AR682" s="15"/>
    </row>
    <row r="683" spans="1:44" s="17" customFormat="1" ht="30.95" hidden="1" customHeight="1" x14ac:dyDescent="0.2">
      <c r="A683" s="37"/>
      <c r="B683" s="38"/>
      <c r="C683" s="45"/>
      <c r="D683" s="31"/>
      <c r="E683" s="31"/>
      <c r="F683" s="268"/>
      <c r="G683" s="269"/>
      <c r="H683" s="269"/>
      <c r="I683" s="270"/>
      <c r="J683" s="32"/>
      <c r="K683" s="270"/>
      <c r="L683" s="270"/>
      <c r="M683" s="39"/>
      <c r="N683" s="39"/>
      <c r="O683" s="47"/>
      <c r="P683" s="57"/>
      <c r="Q683" s="276"/>
      <c r="R683" s="277"/>
      <c r="S683" s="277"/>
      <c r="T683" s="40"/>
      <c r="U683" s="278"/>
      <c r="V683" s="269"/>
      <c r="W683" s="269"/>
      <c r="X683" s="275"/>
      <c r="Y683" s="269"/>
      <c r="Z683" s="57"/>
      <c r="AA683" s="207"/>
      <c r="AB683" s="33"/>
      <c r="AC683" s="189"/>
      <c r="AD683" s="54"/>
      <c r="AE683" s="55"/>
      <c r="AF683" s="43"/>
      <c r="AG683" s="47"/>
      <c r="AH683" s="30"/>
      <c r="AI683" s="30"/>
      <c r="AJ683" s="30"/>
      <c r="AK683" s="30"/>
      <c r="AL683" s="13"/>
      <c r="AM683" s="13"/>
      <c r="AN683" s="13"/>
      <c r="AO683" s="13"/>
      <c r="AP683" s="13"/>
      <c r="AQ683" s="14"/>
      <c r="AR683" s="15"/>
    </row>
    <row r="684" spans="1:44" s="17" customFormat="1" ht="30.95" hidden="1" customHeight="1" x14ac:dyDescent="0.2">
      <c r="A684" s="37" t="s">
        <v>1379</v>
      </c>
      <c r="B684" s="38" t="s">
        <v>1380</v>
      </c>
      <c r="C684" s="45"/>
      <c r="D684" s="31"/>
      <c r="E684" s="31"/>
      <c r="F684" s="268"/>
      <c r="G684" s="269"/>
      <c r="H684" s="269"/>
      <c r="I684" s="270"/>
      <c r="J684" s="32" t="s">
        <v>1382</v>
      </c>
      <c r="K684" s="270"/>
      <c r="L684" s="270"/>
      <c r="M684" s="39"/>
      <c r="N684" s="39"/>
      <c r="O684" s="47"/>
      <c r="P684" s="57"/>
      <c r="Q684" s="276"/>
      <c r="R684" s="277"/>
      <c r="S684" s="277"/>
      <c r="T684" s="40"/>
      <c r="U684" s="278"/>
      <c r="V684" s="269"/>
      <c r="W684" s="269"/>
      <c r="X684" s="275"/>
      <c r="Y684" s="269"/>
      <c r="Z684" s="57"/>
      <c r="AA684" s="207"/>
      <c r="AB684" s="33"/>
      <c r="AC684" s="189"/>
      <c r="AD684" s="54"/>
      <c r="AE684" s="55"/>
      <c r="AF684" s="43"/>
      <c r="AG684" s="47"/>
      <c r="AH684" s="30"/>
      <c r="AI684" s="30"/>
      <c r="AJ684" s="30"/>
      <c r="AK684" s="30"/>
      <c r="AL684" s="13"/>
      <c r="AM684" s="13"/>
      <c r="AN684" s="13"/>
      <c r="AO684" s="13"/>
      <c r="AP684" s="13"/>
      <c r="AQ684" s="14"/>
      <c r="AR684" s="15"/>
    </row>
    <row r="685" spans="1:44" s="17" customFormat="1" ht="30.95" hidden="1" customHeight="1" x14ac:dyDescent="0.2">
      <c r="A685" s="37"/>
      <c r="B685" s="38"/>
      <c r="C685" s="45"/>
      <c r="D685" s="31"/>
      <c r="E685" s="31"/>
      <c r="F685" s="268"/>
      <c r="G685" s="269"/>
      <c r="H685" s="269"/>
      <c r="I685" s="270"/>
      <c r="J685" s="32"/>
      <c r="K685" s="270"/>
      <c r="L685" s="270"/>
      <c r="M685" s="39"/>
      <c r="N685" s="39"/>
      <c r="O685" s="47"/>
      <c r="P685" s="57"/>
      <c r="Q685" s="276"/>
      <c r="R685" s="277"/>
      <c r="S685" s="277"/>
      <c r="T685" s="40"/>
      <c r="U685" s="278"/>
      <c r="V685" s="269"/>
      <c r="W685" s="269"/>
      <c r="X685" s="275"/>
      <c r="Y685" s="269"/>
      <c r="Z685" s="57"/>
      <c r="AA685" s="207"/>
      <c r="AB685" s="33"/>
      <c r="AC685" s="189"/>
      <c r="AD685" s="54"/>
      <c r="AE685" s="55"/>
      <c r="AF685" s="43"/>
      <c r="AG685" s="47"/>
      <c r="AH685" s="30"/>
      <c r="AI685" s="30"/>
      <c r="AJ685" s="30"/>
      <c r="AK685" s="30"/>
      <c r="AL685" s="13"/>
      <c r="AM685" s="13"/>
      <c r="AN685" s="13"/>
      <c r="AO685" s="13"/>
      <c r="AP685" s="13"/>
      <c r="AQ685" s="14"/>
      <c r="AR685" s="15"/>
    </row>
    <row r="686" spans="1:44" s="17" customFormat="1" ht="30.95" hidden="1" customHeight="1" x14ac:dyDescent="0.2">
      <c r="A686" s="37" t="s">
        <v>1381</v>
      </c>
      <c r="B686" s="38" t="s">
        <v>1370</v>
      </c>
      <c r="C686" s="45"/>
      <c r="D686" s="31"/>
      <c r="E686" s="31"/>
      <c r="F686" s="268"/>
      <c r="G686" s="269"/>
      <c r="H686" s="269"/>
      <c r="I686" s="270"/>
      <c r="J686" s="32" t="s">
        <v>1382</v>
      </c>
      <c r="K686" s="270"/>
      <c r="L686" s="270"/>
      <c r="M686" s="39"/>
      <c r="N686" s="39"/>
      <c r="O686" s="47"/>
      <c r="P686" s="57"/>
      <c r="Q686" s="276"/>
      <c r="R686" s="277"/>
      <c r="S686" s="277"/>
      <c r="T686" s="40"/>
      <c r="U686" s="278"/>
      <c r="V686" s="269"/>
      <c r="W686" s="269"/>
      <c r="X686" s="275"/>
      <c r="Y686" s="269"/>
      <c r="Z686" s="57"/>
      <c r="AA686" s="207"/>
      <c r="AB686" s="33"/>
      <c r="AC686" s="189"/>
      <c r="AD686" s="54"/>
      <c r="AE686" s="55"/>
      <c r="AF686" s="43"/>
      <c r="AG686" s="47"/>
      <c r="AH686" s="30"/>
      <c r="AI686" s="30"/>
      <c r="AJ686" s="30"/>
      <c r="AK686" s="30"/>
      <c r="AL686" s="13"/>
      <c r="AM686" s="13"/>
      <c r="AN686" s="13"/>
      <c r="AO686" s="13"/>
      <c r="AP686" s="13"/>
      <c r="AQ686" s="14"/>
      <c r="AR686" s="15"/>
    </row>
    <row r="687" spans="1:44" s="17" customFormat="1" ht="30.95" hidden="1" customHeight="1" x14ac:dyDescent="0.2">
      <c r="A687" s="37"/>
      <c r="B687" s="38"/>
      <c r="C687" s="45"/>
      <c r="D687" s="31"/>
      <c r="E687" s="31"/>
      <c r="F687" s="268"/>
      <c r="G687" s="269"/>
      <c r="H687" s="269"/>
      <c r="I687" s="270"/>
      <c r="J687" s="32"/>
      <c r="K687" s="270"/>
      <c r="L687" s="270"/>
      <c r="M687" s="39"/>
      <c r="N687" s="39"/>
      <c r="O687" s="47"/>
      <c r="P687" s="57"/>
      <c r="Q687" s="276"/>
      <c r="R687" s="277"/>
      <c r="S687" s="277"/>
      <c r="T687" s="40"/>
      <c r="U687" s="278"/>
      <c r="V687" s="269"/>
      <c r="W687" s="269"/>
      <c r="X687" s="275"/>
      <c r="Y687" s="269"/>
      <c r="Z687" s="57"/>
      <c r="AA687" s="207"/>
      <c r="AB687" s="33"/>
      <c r="AC687" s="189"/>
      <c r="AD687" s="54"/>
      <c r="AE687" s="55"/>
      <c r="AF687" s="43"/>
      <c r="AG687" s="47"/>
      <c r="AH687" s="30"/>
      <c r="AI687" s="30"/>
      <c r="AJ687" s="30"/>
      <c r="AK687" s="30"/>
      <c r="AL687" s="13"/>
      <c r="AM687" s="13"/>
      <c r="AN687" s="13"/>
      <c r="AO687" s="13"/>
      <c r="AP687" s="13"/>
      <c r="AQ687" s="14"/>
      <c r="AR687" s="15"/>
    </row>
    <row r="688" spans="1:44" s="17" customFormat="1" ht="30.95" hidden="1" customHeight="1" x14ac:dyDescent="0.2">
      <c r="A688" s="37" t="s">
        <v>539</v>
      </c>
      <c r="B688" s="38" t="s">
        <v>443</v>
      </c>
      <c r="C688" s="45"/>
      <c r="D688" s="31">
        <v>3721216</v>
      </c>
      <c r="E688" s="31">
        <v>4151434</v>
      </c>
      <c r="F688" s="268" t="str">
        <f>IF(D688="","",VLOOKUP(D688,契約台帳!$A$3:$K$4986,6,FALSE)&amp;VLOOKUP(D688,契約台帳!$A$3:$K$4986,7,FALSE)&amp;VLOOKUP(D688,契約台帳!$A$3:$K$4986,8,FALSE)&amp;VLOOKUP(D688,契約台帳!$A$3:$K$4986,9,FALSE)&amp;VLOOKUP(D688,契約台帳!$A$3:$K$4986,11,FALSE))</f>
        <v>3SNMLBMNGTBF</v>
      </c>
      <c r="G688" s="269" t="str">
        <f>IF(D688="","",VLOOKUP(F688,製品マスタ!$G$5:$H$5002,2,FALSE))</f>
        <v>S</v>
      </c>
      <c r="H688" s="269" t="str">
        <f>IF(D688="","",VLOOKUP(F688,製品マスタ!$G$5:$K$5002,5,FALSE))</f>
        <v>MNGTBF</v>
      </c>
      <c r="I688" s="270" t="str">
        <f>IF(D688="","",VLOOKUP(F688,製品マスタ!$G$5:$L$5002,6,FALSE))</f>
        <v>メタルミー　ネーマー　銀艶　Ｂ</v>
      </c>
      <c r="J688" s="32" t="s">
        <v>447</v>
      </c>
      <c r="K688" s="270">
        <f>IF(D688="","",VLOOKUP(D688,契約台帳!$A$3:$L$4986,12,FALSE))</f>
        <v>50</v>
      </c>
      <c r="L688" s="270" t="str">
        <f>IF(D688="","",INDEX(製品マスタ!$Q$5:$Q$5002,MATCH(F688&amp;K688,製品マスタ!$AO$5:$AO$5002,0)))</f>
        <v>T62</v>
      </c>
      <c r="M688" s="39">
        <v>1120</v>
      </c>
      <c r="N688" s="39">
        <v>10000</v>
      </c>
      <c r="O688" s="47">
        <v>4</v>
      </c>
      <c r="P688" s="57"/>
      <c r="Q688" s="276">
        <f>IF(D688="","",IF(J688="リード付け",M688,VLOOKUP(D688,契約台帳!$A$3:$N$4986,14,FALSE)))</f>
        <v>1120</v>
      </c>
      <c r="R688" s="277">
        <f>IF(D688="","",IF(J688="リード付け",M688,VLOOKUP(D688,契約台帳!$A$3:$O$4986,15,FALSE)))</f>
        <v>1120</v>
      </c>
      <c r="S688" s="277">
        <f>IF(D688="","",IF(J688="リード付け",N688,VLOOKUP(D688,契約台帳!$A$3:$P$4986,16,FALSE)))</f>
        <v>5000</v>
      </c>
      <c r="T688" s="40">
        <v>8</v>
      </c>
      <c r="U688" s="302">
        <f ca="1">IF(D688="","",IF(OFFSET(D688,-2,0)=D688,"",VLOOKUP(D688,契約台帳!$A$3:$R$4986,18,FALSE)))</f>
        <v>25</v>
      </c>
      <c r="V688" s="269" t="str">
        <f>IF(J688="巻返し",VLOOKUP(F688&amp;K688&amp;M688,製品マスタ!$M$5:$AD$5002,18,FALSE),IF(J688="リード付け","原反コア",IF(J688="スリット",VLOOKUP(F688&amp;K688&amp;Q688,製品マスタ!$N$5:$AD$5002,17,FALSE),"")))</f>
        <v>6ｲﾝﾁSｺｱ</v>
      </c>
      <c r="W688" s="269">
        <f>IF(J688="巻返し",VLOOKUP(F688&amp;K688&amp;M688,製品マスタ!$M$5:$AE$5002,19,FALSE),IF(J688="リード付け","-",IF(J688="スリット",VLOOKUP(F688&amp;K688&amp;Q688,製品マスタ!$N$5:$AE$5002,18,FALSE),"")))</f>
        <v>1125</v>
      </c>
      <c r="X688" s="275">
        <f>IF(D688="","",VLOOKUP(D688,契約台帳!$A$3:$Q$4986,17,FALSE))</f>
        <v>2</v>
      </c>
      <c r="Y688" s="269" t="str">
        <f>IF(D688="","",VLOOKUP(D688,契約台帳!$A$3:$E$4986,5,FALSE))</f>
        <v>リンテック㈱</v>
      </c>
      <c r="Z688" s="57">
        <v>45160</v>
      </c>
      <c r="AA688" s="303" t="str">
        <f>IFERROR(VLOOKUP(F688&amp;K688&amp;M688,製品マスタ!$M$5:$AM$5002,27,FALSE),"")</f>
        <v>原反ケース再利用</v>
      </c>
      <c r="AB688" s="33"/>
      <c r="AC688" s="189"/>
      <c r="AD688" s="54" t="str">
        <f>IF(F688="","",+F688&amp;K688)</f>
        <v>3SNMLBMNGTBF50</v>
      </c>
      <c r="AE688" s="55">
        <f>+M688*N688*O688/1000</f>
        <v>44800</v>
      </c>
      <c r="AF688" s="43">
        <f>IF(AD688="","",VLOOKUP(AD688,原価マスタ!$A$2:$AJ$1693,13,FALSE))</f>
        <v>99</v>
      </c>
      <c r="AG688" s="47">
        <f>IF(AF688="","",+AE688*AF688/100)</f>
        <v>44352</v>
      </c>
      <c r="AH688" s="30"/>
      <c r="AI688" s="30"/>
      <c r="AJ688" s="30"/>
      <c r="AK688" s="30"/>
      <c r="AL688" s="13"/>
      <c r="AM688" s="13"/>
      <c r="AN688" s="13"/>
      <c r="AO688" s="13"/>
      <c r="AP688" s="13"/>
      <c r="AQ688" s="14"/>
      <c r="AR688" s="15"/>
    </row>
    <row r="689" spans="1:44" s="17" customFormat="1" ht="30.95" hidden="1" customHeight="1" x14ac:dyDescent="0.2">
      <c r="A689" s="37"/>
      <c r="B689" s="38"/>
      <c r="C689" s="45"/>
      <c r="D689" s="31"/>
      <c r="E689" s="31"/>
      <c r="F689" s="268"/>
      <c r="G689" s="269"/>
      <c r="H689" s="269"/>
      <c r="I689" s="270"/>
      <c r="J689" s="32"/>
      <c r="K689" s="270"/>
      <c r="L689" s="270"/>
      <c r="M689" s="39"/>
      <c r="N689" s="39"/>
      <c r="O689" s="47"/>
      <c r="P689" s="57"/>
      <c r="Q689" s="276"/>
      <c r="R689" s="277"/>
      <c r="S689" s="277"/>
      <c r="T689" s="40"/>
      <c r="U689" s="278"/>
      <c r="V689" s="269"/>
      <c r="W689" s="269"/>
      <c r="X689" s="275"/>
      <c r="Y689" s="269"/>
      <c r="Z689" s="57"/>
      <c r="AA689" s="207"/>
      <c r="AB689" s="33"/>
      <c r="AC689" s="189"/>
      <c r="AD689" s="54"/>
      <c r="AE689" s="55"/>
      <c r="AF689" s="43"/>
      <c r="AG689" s="47"/>
      <c r="AH689" s="30"/>
      <c r="AI689" s="30"/>
      <c r="AJ689" s="30"/>
      <c r="AK689" s="30"/>
      <c r="AL689" s="13"/>
      <c r="AM689" s="13"/>
      <c r="AN689" s="13"/>
      <c r="AO689" s="13"/>
      <c r="AP689" s="13"/>
      <c r="AQ689" s="14"/>
      <c r="AR689" s="15"/>
    </row>
    <row r="690" spans="1:44" s="17" customFormat="1" ht="30.95" hidden="1" customHeight="1" x14ac:dyDescent="0.2">
      <c r="A690" s="37"/>
      <c r="B690" s="38"/>
      <c r="C690" s="45"/>
      <c r="D690" s="31">
        <v>3721216</v>
      </c>
      <c r="E690" s="31">
        <v>4151434</v>
      </c>
      <c r="F690" s="268" t="str">
        <f>IF(D690="","",VLOOKUP(D690,契約台帳!$A$3:$K$4986,6,FALSE)&amp;VLOOKUP(D690,契約台帳!$A$3:$K$4986,7,FALSE)&amp;VLOOKUP(D690,契約台帳!$A$3:$K$4986,8,FALSE)&amp;VLOOKUP(D690,契約台帳!$A$3:$K$4986,9,FALSE)&amp;VLOOKUP(D690,契約台帳!$A$3:$K$4986,11,FALSE))</f>
        <v>3SNMLBMNGTBF</v>
      </c>
      <c r="G690" s="269" t="str">
        <f>IF(D690="","",VLOOKUP(F690,製品マスタ!$G$5:$H$5002,2,FALSE))</f>
        <v>S</v>
      </c>
      <c r="H690" s="269" t="str">
        <f>IF(D690="","",VLOOKUP(F690,製品マスタ!$G$5:$K$5002,5,FALSE))</f>
        <v>MNGTBF</v>
      </c>
      <c r="I690" s="270" t="str">
        <f>IF(D690="","",VLOOKUP(F690,製品マスタ!$G$5:$L$5002,6,FALSE))</f>
        <v>メタルミー　ネーマー　銀艶　Ｂ</v>
      </c>
      <c r="J690" s="32" t="s">
        <v>447</v>
      </c>
      <c r="K690" s="270">
        <f>IF(D690="","",VLOOKUP(D690,契約台帳!$A$3:$L$4986,12,FALSE))</f>
        <v>50</v>
      </c>
      <c r="L690" s="270" t="str">
        <f>IF(D690="","",INDEX(製品マスタ!$Q$5:$Q$5002,MATCH(F690&amp;K690,製品マスタ!$AO$5:$AO$5002,0)))</f>
        <v>T62</v>
      </c>
      <c r="M690" s="39">
        <v>1120</v>
      </c>
      <c r="N690" s="39">
        <v>10000</v>
      </c>
      <c r="O690" s="47">
        <v>1</v>
      </c>
      <c r="P690" s="57"/>
      <c r="Q690" s="276">
        <f>IF(D690="","",IF(J690="リード付け",M690,VLOOKUP(D690,契約台帳!$A$3:$N$4986,14,FALSE)))</f>
        <v>1120</v>
      </c>
      <c r="R690" s="277">
        <f>IF(D690="","",IF(J690="リード付け",M690,VLOOKUP(D690,契約台帳!$A$3:$O$4986,15,FALSE)))</f>
        <v>1120</v>
      </c>
      <c r="S690" s="277">
        <f>IF(D690="","",IF(J690="リード付け",N690,VLOOKUP(D690,契約台帳!$A$3:$P$4986,16,FALSE)))</f>
        <v>5000</v>
      </c>
      <c r="T690" s="40">
        <v>1</v>
      </c>
      <c r="U690" s="302" t="str">
        <f ca="1">IF(D690="","",IF(OFFSET(D690,-2,0)=D690,"",VLOOKUP(D690,契約台帳!$A$3:$R$4986,18,FALSE)))</f>
        <v/>
      </c>
      <c r="V690" s="269" t="str">
        <f>IF(J690="巻返し",VLOOKUP(F690&amp;K690&amp;M690,製品マスタ!$M$5:$AD$5002,18,FALSE),IF(J690="リード付け","原反コア",IF(J690="スリット",VLOOKUP(F690&amp;K690&amp;Q690,製品マスタ!$N$5:$AD$5002,17,FALSE),"")))</f>
        <v>6ｲﾝﾁSｺｱ</v>
      </c>
      <c r="W690" s="269">
        <f>IF(J690="巻返し",VLOOKUP(F690&amp;K690&amp;M690,製品マスタ!$M$5:$AE$5002,19,FALSE),IF(J690="リード付け","-",IF(J690="スリット",VLOOKUP(F690&amp;K690&amp;Q690,製品マスタ!$N$5:$AE$5002,18,FALSE),"")))</f>
        <v>1125</v>
      </c>
      <c r="X690" s="275">
        <f>IF(D690="","",VLOOKUP(D690,契約台帳!$A$3:$Q$4986,17,FALSE))</f>
        <v>2</v>
      </c>
      <c r="Y690" s="269" t="str">
        <f>IF(D690="","",VLOOKUP(D690,契約台帳!$A$3:$E$4986,5,FALSE))</f>
        <v>リンテック㈱</v>
      </c>
      <c r="Z690" s="57">
        <v>45160</v>
      </c>
      <c r="AA690" s="303" t="str">
        <f>IFERROR(VLOOKUP(F690&amp;K690&amp;M690,製品マスタ!$M$5:$AM$5002,27,FALSE),"")</f>
        <v>原反ケース再利用</v>
      </c>
      <c r="AB690" s="33"/>
      <c r="AC690" s="189"/>
      <c r="AD690" s="54" t="str">
        <f>IF(F690="","",+F690&amp;K690)</f>
        <v>3SNMLBMNGTBF50</v>
      </c>
      <c r="AE690" s="55">
        <f>+M690*N690*O690/1000</f>
        <v>11200</v>
      </c>
      <c r="AF690" s="43">
        <f>IF(AD690="","",VLOOKUP(AD690,原価マスタ!$A$2:$AJ$1693,13,FALSE))</f>
        <v>99</v>
      </c>
      <c r="AG690" s="47">
        <f>IF(AF690="","",+AE690*AF690/100)</f>
        <v>11088</v>
      </c>
      <c r="AH690" s="30"/>
      <c r="AI690" s="30"/>
      <c r="AJ690" s="30"/>
      <c r="AK690" s="30"/>
      <c r="AL690" s="13"/>
      <c r="AM690" s="13"/>
      <c r="AN690" s="13"/>
      <c r="AO690" s="13"/>
      <c r="AP690" s="13"/>
      <c r="AQ690" s="14"/>
      <c r="AR690" s="15"/>
    </row>
    <row r="691" spans="1:44" s="17" customFormat="1" ht="30.95" hidden="1" customHeight="1" x14ac:dyDescent="0.2">
      <c r="A691" s="37"/>
      <c r="B691" s="38"/>
      <c r="C691" s="45"/>
      <c r="D691" s="31">
        <v>3721217</v>
      </c>
      <c r="E691" s="31"/>
      <c r="F691" s="268" t="str">
        <f>IF(D691="","",VLOOKUP(D691,契約台帳!$A$3:$K$4986,6,FALSE)&amp;VLOOKUP(D691,契約台帳!$A$3:$K$4986,7,FALSE)&amp;VLOOKUP(D691,契約台帳!$A$3:$K$4986,8,FALSE)&amp;VLOOKUP(D691,契約台帳!$A$3:$K$4986,9,FALSE)&amp;VLOOKUP(D691,契約台帳!$A$3:$K$4986,11,FALSE))</f>
        <v>3SNMLBMNGTBF</v>
      </c>
      <c r="G691" s="269" t="str">
        <f>IF(D691="","",VLOOKUP(F691,製品マスタ!$G$5:$H$5002,2,FALSE))</f>
        <v>S</v>
      </c>
      <c r="H691" s="269" t="str">
        <f>IF(D691="","",VLOOKUP(F691,製品マスタ!$G$5:$K$5002,5,FALSE))</f>
        <v>MNGTBF</v>
      </c>
      <c r="I691" s="270" t="str">
        <f>IF(D691="","",VLOOKUP(F691,製品マスタ!$G$5:$L$5002,6,FALSE))</f>
        <v>メタルミー　ネーマー　銀艶　Ｂ</v>
      </c>
      <c r="J691" s="32" t="s">
        <v>447</v>
      </c>
      <c r="K691" s="270">
        <f>IF(D691="","",VLOOKUP(D691,契約台帳!$A$3:$L$4986,12,FALSE))</f>
        <v>50</v>
      </c>
      <c r="L691" s="270" t="str">
        <f>IF(D691="","",INDEX(製品マスタ!$Q$5:$Q$5002,MATCH(F691&amp;K691,製品マスタ!$AO$5:$AO$5002,0)))</f>
        <v>T62</v>
      </c>
      <c r="M691" s="39">
        <v>1120</v>
      </c>
      <c r="N691" s="39">
        <v>10000</v>
      </c>
      <c r="O691" s="47"/>
      <c r="P691" s="57"/>
      <c r="Q691" s="276">
        <f>IF(D691="","",IF(J691="リード付け",M691,VLOOKUP(D691,契約台帳!$A$3:$N$4986,14,FALSE)))</f>
        <v>1120</v>
      </c>
      <c r="R691" s="277">
        <f>IF(D691="","",IF(J691="リード付け",M691,VLOOKUP(D691,契約台帳!$A$3:$O$4986,15,FALSE)))</f>
        <v>1120</v>
      </c>
      <c r="S691" s="277">
        <f>IF(D691="","",IF(J691="リード付け",N691,VLOOKUP(D691,契約台帳!$A$3:$P$4986,16,FALSE)))</f>
        <v>5000</v>
      </c>
      <c r="T691" s="40">
        <v>1</v>
      </c>
      <c r="U691" s="302">
        <f ca="1">IF(D691="","",IF(OFFSET(D691,-2,0)=D691,"",VLOOKUP(D691,契約台帳!$A$3:$R$4986,18,FALSE)))</f>
        <v>1</v>
      </c>
      <c r="V691" s="269" t="str">
        <f>IF(J691="巻返し",VLOOKUP(F691&amp;K691&amp;M691,製品マスタ!$M$5:$AD$5002,18,FALSE),IF(J691="リード付け","原反コア",IF(J691="スリット",VLOOKUP(F691&amp;K691&amp;Q691,製品マスタ!$N$5:$AD$5002,17,FALSE),"")))</f>
        <v>6ｲﾝﾁSｺｱ</v>
      </c>
      <c r="W691" s="269">
        <f>IF(J691="巻返し",VLOOKUP(F691&amp;K691&amp;M691,製品マスタ!$M$5:$AE$5002,19,FALSE),IF(J691="リード付け","-",IF(J691="スリット",VLOOKUP(F691&amp;K691&amp;Q691,製品マスタ!$N$5:$AE$5002,18,FALSE),"")))</f>
        <v>1125</v>
      </c>
      <c r="X691" s="275">
        <f>IF(D691="","",VLOOKUP(D691,契約台帳!$A$3:$Q$4986,17,FALSE))</f>
        <v>2</v>
      </c>
      <c r="Y691" s="269" t="str">
        <f>IF(D691="","",VLOOKUP(D691,契約台帳!$A$3:$E$4986,5,FALSE))</f>
        <v>リンテック㈱</v>
      </c>
      <c r="Z691" s="57"/>
      <c r="AA691" s="303" t="str">
        <f>IFERROR(VLOOKUP(F691&amp;K691&amp;M691,製品マスタ!$M$5:$AM$5002,27,FALSE),"")</f>
        <v>原反ケース再利用</v>
      </c>
      <c r="AB691" s="33"/>
      <c r="AC691" s="189"/>
      <c r="AD691" s="54"/>
      <c r="AE691" s="55"/>
      <c r="AF691" s="43"/>
      <c r="AG691" s="47" t="str">
        <f>IF(AF691="","",+AE691*AF691/100)</f>
        <v/>
      </c>
      <c r="AH691" s="30"/>
      <c r="AI691" s="30"/>
      <c r="AJ691" s="30"/>
      <c r="AK691" s="30"/>
      <c r="AL691" s="13"/>
      <c r="AM691" s="13"/>
      <c r="AN691" s="13"/>
      <c r="AO691" s="13"/>
      <c r="AP691" s="13"/>
      <c r="AQ691" s="14"/>
      <c r="AR691" s="15"/>
    </row>
    <row r="692" spans="1:44" s="17" customFormat="1" ht="30.95" hidden="1" customHeight="1" x14ac:dyDescent="0.2">
      <c r="A692" s="37"/>
      <c r="B692" s="38"/>
      <c r="C692" s="45"/>
      <c r="D692" s="31"/>
      <c r="E692" s="31"/>
      <c r="F692" s="268"/>
      <c r="G692" s="269"/>
      <c r="H692" s="269"/>
      <c r="I692" s="270"/>
      <c r="J692" s="32"/>
      <c r="K692" s="270"/>
      <c r="L692" s="270"/>
      <c r="M692" s="39"/>
      <c r="N692" s="39"/>
      <c r="O692" s="47"/>
      <c r="P692" s="57"/>
      <c r="Q692" s="276"/>
      <c r="R692" s="277"/>
      <c r="S692" s="277"/>
      <c r="T692" s="40"/>
      <c r="U692" s="278"/>
      <c r="V692" s="269"/>
      <c r="W692" s="269"/>
      <c r="X692" s="275"/>
      <c r="Y692" s="269"/>
      <c r="Z692" s="57"/>
      <c r="AA692" s="207"/>
      <c r="AB692" s="33"/>
      <c r="AC692" s="189"/>
      <c r="AD692" s="54"/>
      <c r="AE692" s="55"/>
      <c r="AF692" s="43"/>
      <c r="AG692" s="47"/>
      <c r="AH692" s="30"/>
      <c r="AI692" s="30"/>
      <c r="AJ692" s="30"/>
      <c r="AK692" s="30"/>
      <c r="AL692" s="13"/>
      <c r="AM692" s="13"/>
      <c r="AN692" s="13"/>
      <c r="AO692" s="13"/>
      <c r="AP692" s="13"/>
      <c r="AQ692" s="14"/>
      <c r="AR692" s="15"/>
    </row>
    <row r="693" spans="1:44" s="17" customFormat="1" ht="30.95" hidden="1" customHeight="1" x14ac:dyDescent="0.2">
      <c r="A693" s="37" t="s">
        <v>1394</v>
      </c>
      <c r="B693" s="38" t="s">
        <v>1395</v>
      </c>
      <c r="C693" s="45"/>
      <c r="D693" s="31">
        <v>3721226</v>
      </c>
      <c r="E693" s="31">
        <v>4151438</v>
      </c>
      <c r="F693" s="268" t="str">
        <f>IF(D693="","",VLOOKUP(D693,契約台帳!$A$3:$K$4986,6,FALSE)&amp;VLOOKUP(D693,契約台帳!$A$3:$K$4986,7,FALSE)&amp;VLOOKUP(D693,契約台帳!$A$3:$K$4986,8,FALSE)&amp;VLOOKUP(D693,契約台帳!$A$3:$K$4986,9,FALSE)&amp;VLOOKUP(D693,契約台帳!$A$3:$K$4986,11,FALSE))</f>
        <v>3SYMLBMSNMBF</v>
      </c>
      <c r="G693" s="269" t="str">
        <f>IF(D693="","",VLOOKUP(F693,製品マスタ!$G$5:$H$5002,2,FALSE))</f>
        <v>S</v>
      </c>
      <c r="H693" s="269" t="str">
        <f>IF(D693="","",VLOOKUP(F693,製品マスタ!$G$5:$K$5002,5,FALSE))</f>
        <v>MSNMBF</v>
      </c>
      <c r="I693" s="270" t="str">
        <f>IF(D693="","",VLOOKUP(F693,製品マスタ!$G$5:$L$5002,6,FALSE))</f>
        <v>ＭＥＴＡＬＵＭＹ　ＳＩＬＶＥＲ　Ｎ－ＭＡＴＴＥ　Ｘ４４Ｍ　Ｂ</v>
      </c>
      <c r="J693" s="32" t="s">
        <v>447</v>
      </c>
      <c r="K693" s="270">
        <f>IF(D693="","",VLOOKUP(D693,契約台帳!$A$3:$L$4986,12,FALSE))</f>
        <v>50</v>
      </c>
      <c r="L693" s="270" t="str">
        <f>IF(D693="","",INDEX(製品マスタ!$Q$5:$Q$5002,MATCH(F693&amp;K693,製品マスタ!$AO$5:$AO$5002,0)))</f>
        <v>X44</v>
      </c>
      <c r="M693" s="39">
        <v>1120</v>
      </c>
      <c r="N693" s="39">
        <v>12000</v>
      </c>
      <c r="O693" s="47">
        <v>2</v>
      </c>
      <c r="P693" s="57"/>
      <c r="Q693" s="276">
        <f>IF(D693="","",IF(J693="リード付け",M693,VLOOKUP(D693,契約台帳!$A$3:$N$4986,14,FALSE)))</f>
        <v>1120</v>
      </c>
      <c r="R693" s="277">
        <f>IF(D693="","",IF(J693="リード付け",M693,VLOOKUP(D693,契約台帳!$A$3:$O$4986,15,FALSE)))</f>
        <v>1120</v>
      </c>
      <c r="S693" s="277">
        <f>IF(D693="","",IF(J693="リード付け",N693,VLOOKUP(D693,契約台帳!$A$3:$P$4986,16,FALSE)))</f>
        <v>4000</v>
      </c>
      <c r="T693" s="40">
        <v>6</v>
      </c>
      <c r="U693" s="302">
        <f ca="1">IF(D693="","",IF(OFFSET(D693,-2,0)=D693,"",VLOOKUP(D693,契約台帳!$A$3:$R$4986,18,FALSE)))</f>
        <v>8</v>
      </c>
      <c r="V693" s="269" t="str">
        <f>IF(J693="巻返し",VLOOKUP(F693&amp;K693&amp;M693,製品マスタ!$M$5:$AD$5002,18,FALSE),IF(J693="リード付け","原反コア",IF(J693="スリット",VLOOKUP(F693&amp;K693&amp;Q693,製品マスタ!$N$5:$AD$5002,17,FALSE),"")))</f>
        <v>6ｲﾝﾁMｺｱ</v>
      </c>
      <c r="W693" s="269">
        <f>IF(J693="巻返し",VLOOKUP(F693&amp;K693&amp;M693,製品マスタ!$M$5:$AE$5002,19,FALSE),IF(J693="リード付け","-",IF(J693="スリット",VLOOKUP(F693&amp;K693&amp;Q693,製品マスタ!$N$5:$AE$5002,18,FALSE),"")))</f>
        <v>1125</v>
      </c>
      <c r="X693" s="275">
        <f>IF(D693="","",VLOOKUP(D693,契約台帳!$A$3:$Q$4986,17,FALSE))</f>
        <v>2</v>
      </c>
      <c r="Y693" s="269" t="str">
        <f>IF(D693="","",VLOOKUP(D693,契約台帳!$A$3:$E$4986,5,FALSE))</f>
        <v>リンテック㈱</v>
      </c>
      <c r="Z693" s="57">
        <v>45160</v>
      </c>
      <c r="AA693" s="303">
        <f>IFERROR(VLOOKUP(F693&amp;K693&amp;M693,製品マスタ!$M$5:$AM$5002,27,FALSE),"")</f>
        <v>0</v>
      </c>
      <c r="AB693" s="33"/>
      <c r="AC693" s="189"/>
      <c r="AD693" s="54" t="str">
        <f>IF(F693="","",+F693&amp;K693)</f>
        <v>3SYMLBMSNMBF50</v>
      </c>
      <c r="AE693" s="55">
        <f>+M693*N693*O693/1000</f>
        <v>26880</v>
      </c>
      <c r="AF693" s="43">
        <f>IF(AD693="","",VLOOKUP(AD693,原価マスタ!$A$2:$AJ$1693,13,FALSE))</f>
        <v>98.8</v>
      </c>
      <c r="AG693" s="47">
        <f>IF(AF693="","",+AE693*AF693/100)</f>
        <v>26557.439999999999</v>
      </c>
      <c r="AH693" s="30"/>
      <c r="AI693" s="30"/>
      <c r="AJ693" s="30"/>
      <c r="AK693" s="30"/>
      <c r="AL693" s="13"/>
      <c r="AM693" s="13"/>
      <c r="AN693" s="13"/>
      <c r="AO693" s="13"/>
      <c r="AP693" s="13"/>
      <c r="AQ693" s="14"/>
      <c r="AR693" s="15"/>
    </row>
    <row r="694" spans="1:44" s="17" customFormat="1" ht="30.95" hidden="1" customHeight="1" x14ac:dyDescent="0.2">
      <c r="A694" s="37"/>
      <c r="B694" s="38"/>
      <c r="C694" s="45"/>
      <c r="D694" s="31"/>
      <c r="E694" s="31"/>
      <c r="F694" s="268"/>
      <c r="G694" s="269"/>
      <c r="H694" s="269"/>
      <c r="I694" s="270"/>
      <c r="J694" s="32"/>
      <c r="K694" s="270"/>
      <c r="L694" s="270"/>
      <c r="M694" s="39"/>
      <c r="N694" s="39"/>
      <c r="O694" s="47"/>
      <c r="P694" s="57"/>
      <c r="Q694" s="276"/>
      <c r="R694" s="277"/>
      <c r="S694" s="277"/>
      <c r="T694" s="40"/>
      <c r="U694" s="278"/>
      <c r="V694" s="269"/>
      <c r="W694" s="269"/>
      <c r="X694" s="275"/>
      <c r="Y694" s="269"/>
      <c r="Z694" s="57"/>
      <c r="AA694" s="207"/>
      <c r="AB694" s="33"/>
      <c r="AC694" s="189"/>
      <c r="AD694" s="54"/>
      <c r="AE694" s="55"/>
      <c r="AF694" s="43"/>
      <c r="AG694" s="47"/>
      <c r="AH694" s="30"/>
      <c r="AI694" s="30"/>
      <c r="AJ694" s="30"/>
      <c r="AK694" s="30"/>
      <c r="AL694" s="13"/>
      <c r="AM694" s="13"/>
      <c r="AN694" s="13"/>
      <c r="AO694" s="13"/>
      <c r="AP694" s="13"/>
      <c r="AQ694" s="14"/>
      <c r="AR694" s="15"/>
    </row>
    <row r="695" spans="1:44" s="17" customFormat="1" ht="30.95" hidden="1" customHeight="1" x14ac:dyDescent="0.2">
      <c r="A695" s="37"/>
      <c r="B695" s="38"/>
      <c r="C695" s="45"/>
      <c r="D695" s="31">
        <v>3721226</v>
      </c>
      <c r="E695" s="31">
        <v>4151438</v>
      </c>
      <c r="F695" s="268" t="str">
        <f>IF(D695="","",VLOOKUP(D695,契約台帳!$A$3:$K$4986,6,FALSE)&amp;VLOOKUP(D695,契約台帳!$A$3:$K$4986,7,FALSE)&amp;VLOOKUP(D695,契約台帳!$A$3:$K$4986,8,FALSE)&amp;VLOOKUP(D695,契約台帳!$A$3:$K$4986,9,FALSE)&amp;VLOOKUP(D695,契約台帳!$A$3:$K$4986,11,FALSE))</f>
        <v>3SYMLBMSNMBF</v>
      </c>
      <c r="G695" s="269" t="str">
        <f>IF(D695="","",VLOOKUP(F695,製品マスタ!$G$5:$H$5002,2,FALSE))</f>
        <v>S</v>
      </c>
      <c r="H695" s="269" t="str">
        <f>IF(D695="","",VLOOKUP(F695,製品マスタ!$G$5:$K$5002,5,FALSE))</f>
        <v>MSNMBF</v>
      </c>
      <c r="I695" s="270" t="str">
        <f>IF(D695="","",VLOOKUP(F695,製品マスタ!$G$5:$L$5002,6,FALSE))</f>
        <v>ＭＥＴＡＬＵＭＹ　ＳＩＬＶＥＲ　Ｎ－ＭＡＴＴＥ　Ｘ４４Ｍ　Ｂ</v>
      </c>
      <c r="J695" s="32" t="s">
        <v>447</v>
      </c>
      <c r="K695" s="270">
        <f>IF(D695="","",VLOOKUP(D695,契約台帳!$A$3:$L$4986,12,FALSE))</f>
        <v>50</v>
      </c>
      <c r="L695" s="270" t="str">
        <f>IF(D695="","",INDEX(製品マスタ!$Q$5:$Q$5002,MATCH(F695&amp;K695,製品マスタ!$AO$5:$AO$5002,0)))</f>
        <v>X44</v>
      </c>
      <c r="M695" s="39">
        <v>1120</v>
      </c>
      <c r="N695" s="39">
        <v>12000</v>
      </c>
      <c r="O695" s="47">
        <v>1</v>
      </c>
      <c r="P695" s="57"/>
      <c r="Q695" s="276">
        <f>IF(D695="","",IF(J695="リード付け",M695,VLOOKUP(D695,契約台帳!$A$3:$N$4986,14,FALSE)))</f>
        <v>1120</v>
      </c>
      <c r="R695" s="277">
        <f>IF(D695="","",IF(J695="リード付け",M695,VLOOKUP(D695,契約台帳!$A$3:$O$4986,15,FALSE)))</f>
        <v>1120</v>
      </c>
      <c r="S695" s="277">
        <f>IF(D695="","",IF(J695="リード付け",N695,VLOOKUP(D695,契約台帳!$A$3:$P$4986,16,FALSE)))</f>
        <v>4000</v>
      </c>
      <c r="T695" s="40">
        <v>2</v>
      </c>
      <c r="U695" s="302" t="str">
        <f ca="1">IF(D695="","",IF(OFFSET(D695,-2,0)=D695,"",VLOOKUP(D695,契約台帳!$A$3:$R$4986,18,FALSE)))</f>
        <v/>
      </c>
      <c r="V695" s="269" t="str">
        <f>IF(J695="巻返し",VLOOKUP(F695&amp;K695&amp;M695,製品マスタ!$M$5:$AD$5002,18,FALSE),IF(J695="リード付け","原反コア",IF(J695="スリット",VLOOKUP(F695&amp;K695&amp;Q695,製品マスタ!$N$5:$AD$5002,17,FALSE),"")))</f>
        <v>6ｲﾝﾁMｺｱ</v>
      </c>
      <c r="W695" s="269">
        <f>IF(J695="巻返し",VLOOKUP(F695&amp;K695&amp;M695,製品マスタ!$M$5:$AE$5002,19,FALSE),IF(J695="リード付け","-",IF(J695="スリット",VLOOKUP(F695&amp;K695&amp;Q695,製品マスタ!$N$5:$AE$5002,18,FALSE),"")))</f>
        <v>1125</v>
      </c>
      <c r="X695" s="275">
        <f>IF(D695="","",VLOOKUP(D695,契約台帳!$A$3:$Q$4986,17,FALSE))</f>
        <v>2</v>
      </c>
      <c r="Y695" s="269" t="str">
        <f>IF(D695="","",VLOOKUP(D695,契約台帳!$A$3:$E$4986,5,FALSE))</f>
        <v>リンテック㈱</v>
      </c>
      <c r="Z695" s="57">
        <v>45160</v>
      </c>
      <c r="AA695" s="303">
        <f>IFERROR(VLOOKUP(F695&amp;K695&amp;M695,製品マスタ!$M$5:$AM$5002,27,FALSE),"")</f>
        <v>0</v>
      </c>
      <c r="AB695" s="33"/>
      <c r="AC695" s="189"/>
      <c r="AD695" s="54" t="str">
        <f>IF(F695="","",+F695&amp;K695)</f>
        <v>3SYMLBMSNMBF50</v>
      </c>
      <c r="AE695" s="55">
        <f>+M695*N695*O695/1000</f>
        <v>13440</v>
      </c>
      <c r="AF695" s="43">
        <f>IF(AD695="","",VLOOKUP(AD695,原価マスタ!$A$2:$AJ$1693,13,FALSE))</f>
        <v>98.8</v>
      </c>
      <c r="AG695" s="47">
        <f>IF(AF695="","",+AE695*AF695/100)</f>
        <v>13278.72</v>
      </c>
      <c r="AH695" s="30"/>
      <c r="AI695" s="30"/>
      <c r="AJ695" s="30"/>
      <c r="AK695" s="30"/>
      <c r="AL695" s="13"/>
      <c r="AM695" s="13"/>
      <c r="AN695" s="13"/>
      <c r="AO695" s="13"/>
      <c r="AP695" s="13"/>
      <c r="AQ695" s="14"/>
      <c r="AR695" s="15"/>
    </row>
    <row r="696" spans="1:44" s="17" customFormat="1" ht="30.95" hidden="1" customHeight="1" x14ac:dyDescent="0.2">
      <c r="A696" s="37"/>
      <c r="B696" s="38"/>
      <c r="C696" s="45"/>
      <c r="D696" s="31">
        <v>3721227</v>
      </c>
      <c r="E696" s="31"/>
      <c r="F696" s="268" t="str">
        <f>IF(D696="","",VLOOKUP(D696,契約台帳!$A$3:$K$4986,6,FALSE)&amp;VLOOKUP(D696,契約台帳!$A$3:$K$4986,7,FALSE)&amp;VLOOKUP(D696,契約台帳!$A$3:$K$4986,8,FALSE)&amp;VLOOKUP(D696,契約台帳!$A$3:$K$4986,9,FALSE)&amp;VLOOKUP(D696,契約台帳!$A$3:$K$4986,11,FALSE))</f>
        <v>3SYMLBMSNMBF</v>
      </c>
      <c r="G696" s="269" t="str">
        <f>IF(D696="","",VLOOKUP(F696,製品マスタ!$G$5:$H$5002,2,FALSE))</f>
        <v>S</v>
      </c>
      <c r="H696" s="269" t="str">
        <f>IF(D696="","",VLOOKUP(F696,製品マスタ!$G$5:$K$5002,5,FALSE))</f>
        <v>MSNMBF</v>
      </c>
      <c r="I696" s="270" t="str">
        <f>IF(D696="","",VLOOKUP(F696,製品マスタ!$G$5:$L$5002,6,FALSE))</f>
        <v>ＭＥＴＡＬＵＭＹ　ＳＩＬＶＥＲ　Ｎ－ＭＡＴＴＥ　Ｘ４４Ｍ　Ｂ</v>
      </c>
      <c r="J696" s="32" t="s">
        <v>447</v>
      </c>
      <c r="K696" s="270">
        <f>IF(D696="","",VLOOKUP(D696,契約台帳!$A$3:$L$4986,12,FALSE))</f>
        <v>50</v>
      </c>
      <c r="L696" s="270" t="str">
        <f>IF(D696="","",INDEX(製品マスタ!$Q$5:$Q$5002,MATCH(F696&amp;K696,製品マスタ!$AO$5:$AO$5002,0)))</f>
        <v>X44</v>
      </c>
      <c r="M696" s="39">
        <v>1120</v>
      </c>
      <c r="N696" s="39"/>
      <c r="O696" s="47"/>
      <c r="P696" s="57"/>
      <c r="Q696" s="276">
        <f>IF(D696="","",IF(J696="リード付け",M696,VLOOKUP(D696,契約台帳!$A$3:$N$4986,14,FALSE)))</f>
        <v>1120</v>
      </c>
      <c r="R696" s="277">
        <f>IF(D696="","",IF(J696="リード付け",M696,VLOOKUP(D696,契約台帳!$A$3:$O$4986,15,FALSE)))</f>
        <v>1120</v>
      </c>
      <c r="S696" s="277">
        <f>IF(D696="","",IF(J696="リード付け",N696,VLOOKUP(D696,契約台帳!$A$3:$P$4986,16,FALSE)))</f>
        <v>4000</v>
      </c>
      <c r="T696" s="40">
        <v>1</v>
      </c>
      <c r="U696" s="302">
        <f ca="1">IF(D696="","",IF(OFFSET(D696,-2,0)=D696,"",VLOOKUP(D696,契約台帳!$A$3:$R$4986,18,FALSE)))</f>
        <v>4</v>
      </c>
      <c r="V696" s="269" t="str">
        <f>IF(J696="巻返し",VLOOKUP(F696&amp;K696&amp;M696,製品マスタ!$M$5:$AD$5002,18,FALSE),IF(J696="リード付け","原反コア",IF(J696="スリット",VLOOKUP(F696&amp;K696&amp;Q696,製品マスタ!$N$5:$AD$5002,17,FALSE),"")))</f>
        <v>6ｲﾝﾁMｺｱ</v>
      </c>
      <c r="W696" s="269">
        <f>IF(J696="巻返し",VLOOKUP(F696&amp;K696&amp;M696,製品マスタ!$M$5:$AE$5002,19,FALSE),IF(J696="リード付け","-",IF(J696="スリット",VLOOKUP(F696&amp;K696&amp;Q696,製品マスタ!$N$5:$AE$5002,18,FALSE),"")))</f>
        <v>1125</v>
      </c>
      <c r="X696" s="275">
        <f>IF(D696="","",VLOOKUP(D696,契約台帳!$A$3:$Q$4986,17,FALSE))</f>
        <v>2</v>
      </c>
      <c r="Y696" s="269" t="str">
        <f>IF(D696="","",VLOOKUP(D696,契約台帳!$A$3:$E$4986,5,FALSE))</f>
        <v>リンテック㈱</v>
      </c>
      <c r="Z696" s="57"/>
      <c r="AA696" s="303">
        <f>IFERROR(VLOOKUP(F696&amp;K696&amp;M696,製品マスタ!$M$5:$AM$5002,27,FALSE),"")</f>
        <v>0</v>
      </c>
      <c r="AB696" s="33"/>
      <c r="AC696" s="189"/>
      <c r="AD696" s="54"/>
      <c r="AE696" s="55"/>
      <c r="AF696" s="43"/>
      <c r="AG696" s="47" t="str">
        <f>IF(AF696="","",+AE696*AF696/100)</f>
        <v/>
      </c>
      <c r="AH696" s="30"/>
      <c r="AI696" s="30"/>
      <c r="AJ696" s="30"/>
      <c r="AK696" s="30"/>
      <c r="AL696" s="13"/>
      <c r="AM696" s="13"/>
      <c r="AN696" s="13"/>
      <c r="AO696" s="13"/>
      <c r="AP696" s="13"/>
      <c r="AQ696" s="14"/>
      <c r="AR696" s="15"/>
    </row>
    <row r="697" spans="1:44" s="17" customFormat="1" ht="30.95" hidden="1" customHeight="1" x14ac:dyDescent="0.2">
      <c r="A697" s="37"/>
      <c r="B697" s="38"/>
      <c r="C697" s="45"/>
      <c r="D697" s="31"/>
      <c r="E697" s="31"/>
      <c r="F697" s="268"/>
      <c r="G697" s="269"/>
      <c r="H697" s="269"/>
      <c r="I697" s="270"/>
      <c r="J697" s="32"/>
      <c r="K697" s="270"/>
      <c r="L697" s="270"/>
      <c r="M697" s="39"/>
      <c r="N697" s="39"/>
      <c r="O697" s="47"/>
      <c r="P697" s="57"/>
      <c r="Q697" s="276"/>
      <c r="R697" s="277"/>
      <c r="S697" s="277"/>
      <c r="T697" s="40"/>
      <c r="U697" s="278"/>
      <c r="V697" s="269"/>
      <c r="W697" s="269"/>
      <c r="X697" s="275"/>
      <c r="Y697" s="269"/>
      <c r="Z697" s="57"/>
      <c r="AA697" s="207"/>
      <c r="AB697" s="33"/>
      <c r="AC697" s="189"/>
      <c r="AD697" s="54"/>
      <c r="AE697" s="55"/>
      <c r="AF697" s="43"/>
      <c r="AG697" s="47"/>
      <c r="AH697" s="30"/>
      <c r="AI697" s="30"/>
      <c r="AJ697" s="30"/>
      <c r="AK697" s="30"/>
      <c r="AL697" s="13"/>
      <c r="AM697" s="13"/>
      <c r="AN697" s="13"/>
      <c r="AO697" s="13"/>
      <c r="AP697" s="13"/>
      <c r="AQ697" s="14"/>
      <c r="AR697" s="15"/>
    </row>
    <row r="698" spans="1:44" s="17" customFormat="1" ht="30.95" hidden="1" customHeight="1" x14ac:dyDescent="0.2">
      <c r="A698" s="37"/>
      <c r="B698" s="38"/>
      <c r="C698" s="45"/>
      <c r="D698" s="31">
        <v>3721227</v>
      </c>
      <c r="E698" s="31">
        <v>4151439</v>
      </c>
      <c r="F698" s="268" t="str">
        <f>IF(D698="","",VLOOKUP(D698,契約台帳!$A$3:$K$4986,6,FALSE)&amp;VLOOKUP(D698,契約台帳!$A$3:$K$4986,7,FALSE)&amp;VLOOKUP(D698,契約台帳!$A$3:$K$4986,8,FALSE)&amp;VLOOKUP(D698,契約台帳!$A$3:$K$4986,9,FALSE)&amp;VLOOKUP(D698,契約台帳!$A$3:$K$4986,11,FALSE))</f>
        <v>3SYMLBMSNMBF</v>
      </c>
      <c r="G698" s="269" t="str">
        <f>IF(D698="","",VLOOKUP(F698,製品マスタ!$G$5:$H$5002,2,FALSE))</f>
        <v>S</v>
      </c>
      <c r="H698" s="269" t="str">
        <f>IF(D698="","",VLOOKUP(F698,製品マスタ!$G$5:$K$5002,5,FALSE))</f>
        <v>MSNMBF</v>
      </c>
      <c r="I698" s="270" t="str">
        <f>IF(D698="","",VLOOKUP(F698,製品マスタ!$G$5:$L$5002,6,FALSE))</f>
        <v>ＭＥＴＡＬＵＭＹ　ＳＩＬＶＥＲ　Ｎ－ＭＡＴＴＥ　Ｘ４４Ｍ　Ｂ</v>
      </c>
      <c r="J698" s="32" t="s">
        <v>447</v>
      </c>
      <c r="K698" s="270">
        <f>IF(D698="","",VLOOKUP(D698,契約台帳!$A$3:$L$4986,12,FALSE))</f>
        <v>50</v>
      </c>
      <c r="L698" s="270" t="str">
        <f>IF(D698="","",INDEX(製品マスタ!$Q$5:$Q$5002,MATCH(F698&amp;K698,製品マスタ!$AO$5:$AO$5002,0)))</f>
        <v>X44</v>
      </c>
      <c r="M698" s="39">
        <v>1120</v>
      </c>
      <c r="N698" s="39">
        <v>12000</v>
      </c>
      <c r="O698" s="47">
        <v>1</v>
      </c>
      <c r="P698" s="57"/>
      <c r="Q698" s="276">
        <f>IF(D698="","",IF(J698="リード付け",M698,VLOOKUP(D698,契約台帳!$A$3:$N$4986,14,FALSE)))</f>
        <v>1120</v>
      </c>
      <c r="R698" s="277">
        <f>IF(D698="","",IF(J698="リード付け",M698,VLOOKUP(D698,契約台帳!$A$3:$O$4986,15,FALSE)))</f>
        <v>1120</v>
      </c>
      <c r="S698" s="277">
        <f>IF(D698="","",IF(J698="リード付け",N698,VLOOKUP(D698,契約台帳!$A$3:$P$4986,16,FALSE)))</f>
        <v>4000</v>
      </c>
      <c r="T698" s="40">
        <v>3</v>
      </c>
      <c r="U698" s="302" t="str">
        <f ca="1">IF(D698="","",IF(OFFSET(D698,-2,0)=D698,"",VLOOKUP(D698,契約台帳!$A$3:$R$4986,18,FALSE)))</f>
        <v/>
      </c>
      <c r="V698" s="269" t="str">
        <f>IF(J698="巻返し",VLOOKUP(F698&amp;K698&amp;M698,製品マスタ!$M$5:$AD$5002,18,FALSE),IF(J698="リード付け","原反コア",IF(J698="スリット",VLOOKUP(F698&amp;K698&amp;Q698,製品マスタ!$N$5:$AD$5002,17,FALSE),"")))</f>
        <v>6ｲﾝﾁMｺｱ</v>
      </c>
      <c r="W698" s="269">
        <f>IF(J698="巻返し",VLOOKUP(F698&amp;K698&amp;M698,製品マスタ!$M$5:$AE$5002,19,FALSE),IF(J698="リード付け","-",IF(J698="スリット",VLOOKUP(F698&amp;K698&amp;Q698,製品マスタ!$N$5:$AE$5002,18,FALSE),"")))</f>
        <v>1125</v>
      </c>
      <c r="X698" s="275">
        <f>IF(D698="","",VLOOKUP(D698,契約台帳!$A$3:$Q$4986,17,FALSE))</f>
        <v>2</v>
      </c>
      <c r="Y698" s="269" t="str">
        <f>IF(D698="","",VLOOKUP(D698,契約台帳!$A$3:$E$4986,5,FALSE))</f>
        <v>リンテック㈱</v>
      </c>
      <c r="Z698" s="57">
        <v>45160</v>
      </c>
      <c r="AA698" s="303">
        <f>IFERROR(VLOOKUP(F698&amp;K698&amp;M698,製品マスタ!$M$5:$AM$5002,27,FALSE),"")</f>
        <v>0</v>
      </c>
      <c r="AB698" s="33"/>
      <c r="AC698" s="189"/>
      <c r="AD698" s="54" t="str">
        <f>IF(F698="","",+F698&amp;K698)</f>
        <v>3SYMLBMSNMBF50</v>
      </c>
      <c r="AE698" s="55">
        <f>+M698*N698*O698/1000</f>
        <v>13440</v>
      </c>
      <c r="AF698" s="43">
        <f>IF(AD698="","",VLOOKUP(AD698,原価マスタ!$A$2:$AJ$1693,13,FALSE))</f>
        <v>98.8</v>
      </c>
      <c r="AG698" s="47">
        <f>IF(AF698="","",+AE698*AF698/100)</f>
        <v>13278.72</v>
      </c>
      <c r="AH698" s="30"/>
      <c r="AI698" s="30"/>
      <c r="AJ698" s="30"/>
      <c r="AK698" s="30"/>
      <c r="AL698" s="13"/>
      <c r="AM698" s="13"/>
      <c r="AN698" s="13"/>
      <c r="AO698" s="13"/>
      <c r="AP698" s="13"/>
      <c r="AQ698" s="14"/>
      <c r="AR698" s="15"/>
    </row>
    <row r="699" spans="1:44" s="17" customFormat="1" ht="30.95" hidden="1" customHeight="1" x14ac:dyDescent="0.2">
      <c r="A699" s="37"/>
      <c r="B699" s="38"/>
      <c r="C699" s="45"/>
      <c r="D699" s="31"/>
      <c r="E699" s="31"/>
      <c r="F699" s="268"/>
      <c r="G699" s="269"/>
      <c r="H699" s="269"/>
      <c r="I699" s="270"/>
      <c r="J699" s="32"/>
      <c r="K699" s="270"/>
      <c r="L699" s="270"/>
      <c r="M699" s="39"/>
      <c r="N699" s="39"/>
      <c r="O699" s="47"/>
      <c r="P699" s="57"/>
      <c r="Q699" s="276"/>
      <c r="R699" s="277"/>
      <c r="S699" s="277"/>
      <c r="T699" s="40"/>
      <c r="U699" s="278"/>
      <c r="V699" s="269"/>
      <c r="W699" s="269"/>
      <c r="X699" s="275"/>
      <c r="Y699" s="269"/>
      <c r="Z699" s="57"/>
      <c r="AA699" s="207"/>
      <c r="AB699" s="33"/>
      <c r="AC699" s="189"/>
      <c r="AD699" s="54"/>
      <c r="AE699" s="55"/>
      <c r="AF699" s="43"/>
      <c r="AG699" s="47"/>
      <c r="AH699" s="30"/>
      <c r="AI699" s="30"/>
      <c r="AJ699" s="30"/>
      <c r="AK699" s="30"/>
      <c r="AL699" s="13"/>
      <c r="AM699" s="13"/>
      <c r="AN699" s="13"/>
      <c r="AO699" s="13"/>
      <c r="AP699" s="13"/>
      <c r="AQ699" s="14"/>
      <c r="AR699" s="15"/>
    </row>
    <row r="700" spans="1:44" s="17" customFormat="1" ht="30.75" hidden="1" customHeight="1" x14ac:dyDescent="0.2">
      <c r="A700" s="37"/>
      <c r="B700" s="38"/>
      <c r="C700" s="45"/>
      <c r="D700" s="31">
        <v>3721209</v>
      </c>
      <c r="E700" s="31">
        <v>4151425</v>
      </c>
      <c r="F700" s="268" t="str">
        <f>IF(D700="","",VLOOKUP(D700,契約台帳!$A$3:$K$4986,6,FALSE)&amp;VLOOKUP(D700,契約台帳!$A$3:$K$4986,7,FALSE)&amp;VLOOKUP(D700,契約台帳!$A$3:$K$4986,8,FALSE)&amp;VLOOKUP(D700,契約台帳!$A$3:$K$4986,9,FALSE)&amp;VLOOKUP(D700,契約台帳!$A$3:$K$4986,11,FALSE))</f>
        <v>3SNMLBMNGKBF</v>
      </c>
      <c r="G700" s="269" t="str">
        <f>IF(D700="","",VLOOKUP(F700,製品マスタ!$G$5:$H$5002,2,FALSE))</f>
        <v>S</v>
      </c>
      <c r="H700" s="269" t="str">
        <f>IF(D700="","",VLOOKUP(F700,製品マスタ!$G$5:$K$5002,5,FALSE))</f>
        <v>MNGKBF</v>
      </c>
      <c r="I700" s="270" t="str">
        <f>IF(D700="","",VLOOKUP(F700,製品マスタ!$G$5:$L$5002,6,FALSE))</f>
        <v>メタルミー　ネーマー銀消　Ｂ</v>
      </c>
      <c r="J700" s="32" t="s">
        <v>447</v>
      </c>
      <c r="K700" s="270">
        <f>IF(D700="","",VLOOKUP(D700,契約台帳!$A$3:$L$4986,12,FALSE))</f>
        <v>50</v>
      </c>
      <c r="L700" s="270" t="str">
        <f>IF(D700="","",INDEX(製品マスタ!$Q$5:$Q$5002,MATCH(F700&amp;K700,製品マスタ!$AO$5:$AO$5002,0)))</f>
        <v>MAT</v>
      </c>
      <c r="M700" s="39">
        <v>1050</v>
      </c>
      <c r="N700" s="39">
        <v>12300</v>
      </c>
      <c r="O700" s="47">
        <v>1</v>
      </c>
      <c r="P700" s="57"/>
      <c r="Q700" s="276">
        <f>IF(D700="","",IF(J700="リード付け",M700,VLOOKUP(D700,契約台帳!$A$3:$N$4986,14,FALSE)))</f>
        <v>1050</v>
      </c>
      <c r="R700" s="277">
        <f>IF(D700="","",IF(J700="リード付け",M700,VLOOKUP(D700,契約台帳!$A$3:$O$4986,15,FALSE)))</f>
        <v>1050</v>
      </c>
      <c r="S700" s="277">
        <f>IF(D700="","",IF(J700="リード付け",N700,VLOOKUP(D700,契約台帳!$A$3:$P$4986,16,FALSE)))</f>
        <v>4100</v>
      </c>
      <c r="T700" s="40">
        <v>3</v>
      </c>
      <c r="U700" s="302">
        <f ca="1">IF(D700="","",IF(OFFSET(D700,-2,0)=D700,"",VLOOKUP(D700,契約台帳!$A$3:$R$4986,18,FALSE)))</f>
        <v>3</v>
      </c>
      <c r="V700" s="269" t="str">
        <f>IF(J700="巻返し",VLOOKUP(F700&amp;K700&amp;M700,製品マスタ!$M$5:$AD$5002,18,FALSE),IF(J700="リード付け","原反コア",IF(J700="スリット",VLOOKUP(F700&amp;K700&amp;Q700,製品マスタ!$N$5:$AD$5002,17,FALSE),"")))</f>
        <v>6ｲﾝﾁSｺｱ</v>
      </c>
      <c r="W700" s="269">
        <f>IF(J700="巻返し",VLOOKUP(F700&amp;K700&amp;M700,製品マスタ!$M$5:$AE$5002,19,FALSE),IF(J700="リード付け","-",IF(J700="スリット",VLOOKUP(F700&amp;K700&amp;Q700,製品マスタ!$N$5:$AE$5002,18,FALSE),"")))</f>
        <v>1055</v>
      </c>
      <c r="X700" s="275">
        <f>IF(D700="","",VLOOKUP(D700,契約台帳!$A$3:$Q$4986,17,FALSE))</f>
        <v>2</v>
      </c>
      <c r="Y700" s="269" t="str">
        <f>IF(D700="","",VLOOKUP(D700,契約台帳!$A$3:$E$4986,5,FALSE))</f>
        <v>リンテック㈱</v>
      </c>
      <c r="Z700" s="57">
        <v>45160</v>
      </c>
      <c r="AA700" s="303">
        <f>IFERROR(VLOOKUP(F700&amp;K700&amp;M700,製品マスタ!$M$5:$AM$5002,27,FALSE),"")</f>
        <v>0</v>
      </c>
      <c r="AB700" s="33"/>
      <c r="AC700" s="189"/>
      <c r="AD700" s="54" t="str">
        <f>IF(F700="","",+F700&amp;K700)</f>
        <v>3SNMLBMNGKBF50</v>
      </c>
      <c r="AE700" s="55">
        <f>+M700*N700*O700/1000</f>
        <v>12915</v>
      </c>
      <c r="AF700" s="43">
        <f>IF(AD700="","",VLOOKUP(AD700,原価マスタ!$A$2:$AJ$1693,13,FALSE))</f>
        <v>98</v>
      </c>
      <c r="AG700" s="47">
        <f>IF(AF700="","",+AE700*AF700/100)</f>
        <v>12656.7</v>
      </c>
      <c r="AH700" s="30"/>
      <c r="AI700" s="30"/>
      <c r="AJ700" s="30"/>
      <c r="AK700" s="30"/>
      <c r="AL700" s="13"/>
      <c r="AM700" s="13"/>
      <c r="AN700" s="13"/>
      <c r="AO700" s="13"/>
      <c r="AP700" s="13"/>
      <c r="AQ700" s="14"/>
      <c r="AR700" s="15"/>
    </row>
    <row r="701" spans="1:44" s="17" customFormat="1" ht="30.95" hidden="1" customHeight="1" x14ac:dyDescent="0.2">
      <c r="A701" s="37"/>
      <c r="B701" s="38"/>
      <c r="C701" s="45"/>
      <c r="D701" s="31"/>
      <c r="E701" s="31"/>
      <c r="F701" s="268"/>
      <c r="G701" s="269"/>
      <c r="H701" s="269"/>
      <c r="I701" s="270"/>
      <c r="J701" s="32"/>
      <c r="K701" s="270"/>
      <c r="L701" s="270"/>
      <c r="M701" s="39"/>
      <c r="N701" s="39"/>
      <c r="O701" s="47"/>
      <c r="P701" s="57"/>
      <c r="Q701" s="276"/>
      <c r="R701" s="277"/>
      <c r="S701" s="277"/>
      <c r="T701" s="40"/>
      <c r="U701" s="278"/>
      <c r="V701" s="269"/>
      <c r="W701" s="269"/>
      <c r="X701" s="275"/>
      <c r="Y701" s="269"/>
      <c r="Z701" s="57"/>
      <c r="AA701" s="207"/>
      <c r="AB701" s="33"/>
      <c r="AC701" s="189"/>
      <c r="AD701" s="54"/>
      <c r="AE701" s="55"/>
      <c r="AF701" s="43"/>
      <c r="AG701" s="47"/>
      <c r="AH701" s="30"/>
      <c r="AI701" s="30"/>
      <c r="AJ701" s="30"/>
      <c r="AK701" s="30"/>
      <c r="AL701" s="13"/>
      <c r="AM701" s="13"/>
      <c r="AN701" s="13"/>
      <c r="AO701" s="13"/>
      <c r="AP701" s="13"/>
      <c r="AQ701" s="14"/>
      <c r="AR701" s="15"/>
    </row>
    <row r="702" spans="1:44" s="17" customFormat="1" ht="30.75" hidden="1" customHeight="1" x14ac:dyDescent="0.2">
      <c r="A702" s="37" t="s">
        <v>540</v>
      </c>
      <c r="B702" s="38" t="s">
        <v>445</v>
      </c>
      <c r="C702" s="45"/>
      <c r="D702" s="31">
        <v>3721210</v>
      </c>
      <c r="E702" s="31">
        <v>4151426</v>
      </c>
      <c r="F702" s="268" t="str">
        <f>IF(D702="","",VLOOKUP(D702,契約台帳!$A$3:$K$4986,6,FALSE)&amp;VLOOKUP(D702,契約台帳!$A$3:$K$4986,7,FALSE)&amp;VLOOKUP(D702,契約台帳!$A$3:$K$4986,8,FALSE)&amp;VLOOKUP(D702,契約台帳!$A$3:$K$4986,9,FALSE)&amp;VLOOKUP(D702,契約台帳!$A$3:$K$4986,11,FALSE))</f>
        <v>3SNMLBMNGKBF</v>
      </c>
      <c r="G702" s="269" t="str">
        <f>IF(D702="","",VLOOKUP(F702,製品マスタ!$G$5:$H$5002,2,FALSE))</f>
        <v>S</v>
      </c>
      <c r="H702" s="269" t="str">
        <f>IF(D702="","",VLOOKUP(F702,製品マスタ!$G$5:$K$5002,5,FALSE))</f>
        <v>MNGKBF</v>
      </c>
      <c r="I702" s="270" t="str">
        <f>IF(D702="","",VLOOKUP(F702,製品マスタ!$G$5:$L$5002,6,FALSE))</f>
        <v>メタルミー　ネーマー銀消　Ｂ</v>
      </c>
      <c r="J702" s="32" t="s">
        <v>447</v>
      </c>
      <c r="K702" s="270">
        <f>IF(D702="","",VLOOKUP(D702,契約台帳!$A$3:$L$4986,12,FALSE))</f>
        <v>75</v>
      </c>
      <c r="L702" s="270" t="str">
        <f>IF(D702="","",INDEX(製品マスタ!$Q$5:$Q$5002,MATCH(F702&amp;K702,製品マスタ!$AO$5:$AO$5002,0)))</f>
        <v>MAT</v>
      </c>
      <c r="M702" s="39">
        <v>1050</v>
      </c>
      <c r="N702" s="39">
        <v>4000</v>
      </c>
      <c r="O702" s="47">
        <v>1</v>
      </c>
      <c r="P702" s="57"/>
      <c r="Q702" s="276">
        <f>IF(D702="","",IF(J702="リード付け",M702,VLOOKUP(D702,契約台帳!$A$3:$N$4986,14,FALSE)))</f>
        <v>1050</v>
      </c>
      <c r="R702" s="277">
        <f>IF(D702="","",IF(J702="リード付け",M702,VLOOKUP(D702,契約台帳!$A$3:$O$4986,15,FALSE)))</f>
        <v>1050</v>
      </c>
      <c r="S702" s="277">
        <f>IF(D702="","",IF(J702="リード付け",N702,VLOOKUP(D702,契約台帳!$A$3:$P$4986,16,FALSE)))</f>
        <v>2000</v>
      </c>
      <c r="T702" s="40">
        <v>2</v>
      </c>
      <c r="U702" s="302">
        <f ca="1">IF(D702="","",IF(OFFSET(D702,-2,0)=D702,"",VLOOKUP(D702,契約台帳!$A$3:$R$4986,18,FALSE)))</f>
        <v>2</v>
      </c>
      <c r="V702" s="269" t="str">
        <f>IF(J702="巻返し",VLOOKUP(F702&amp;K702&amp;M702,製品マスタ!$M$5:$AD$5002,18,FALSE),IF(J702="リード付け","原反コア",IF(J702="スリット",VLOOKUP(F702&amp;K702&amp;Q702,製品マスタ!$N$5:$AD$5002,17,FALSE),"")))</f>
        <v>6ｲﾝﾁSｺｱ</v>
      </c>
      <c r="W702" s="269">
        <f>IF(J702="巻返し",VLOOKUP(F702&amp;K702&amp;M702,製品マスタ!$M$5:$AE$5002,19,FALSE),IF(J702="リード付け","-",IF(J702="スリット",VLOOKUP(F702&amp;K702&amp;Q702,製品マスタ!$N$5:$AE$5002,18,FALSE),"")))</f>
        <v>1055</v>
      </c>
      <c r="X702" s="275">
        <f>IF(D702="","",VLOOKUP(D702,契約台帳!$A$3:$Q$4986,17,FALSE))</f>
        <v>2</v>
      </c>
      <c r="Y702" s="269" t="str">
        <f>IF(D702="","",VLOOKUP(D702,契約台帳!$A$3:$E$4986,5,FALSE))</f>
        <v>リンテック㈱</v>
      </c>
      <c r="Z702" s="57">
        <v>45160</v>
      </c>
      <c r="AA702" s="303">
        <f>IFERROR(VLOOKUP(F702&amp;K702&amp;M702,製品マスタ!$M$5:$AM$5002,27,FALSE),"")</f>
        <v>0</v>
      </c>
      <c r="AB702" s="33"/>
      <c r="AC702" s="189"/>
      <c r="AD702" s="54" t="str">
        <f>IF(F702="","",+F702&amp;K702)</f>
        <v>3SNMLBMNGKBF75</v>
      </c>
      <c r="AE702" s="55">
        <f>+M702*N702*O702/1000</f>
        <v>4200</v>
      </c>
      <c r="AF702" s="43">
        <f>IF(AD702="","",VLOOKUP(AD702,原価マスタ!$A$2:$AJ$1693,13,FALSE))</f>
        <v>97</v>
      </c>
      <c r="AG702" s="47">
        <f>IF(AF702="","",+AE702*AF702/100)</f>
        <v>4074</v>
      </c>
      <c r="AH702" s="30"/>
      <c r="AI702" s="30"/>
      <c r="AJ702" s="30"/>
      <c r="AK702" s="30"/>
      <c r="AL702" s="13"/>
      <c r="AM702" s="13"/>
      <c r="AN702" s="13"/>
      <c r="AO702" s="13"/>
      <c r="AP702" s="13"/>
      <c r="AQ702" s="14"/>
      <c r="AR702" s="15"/>
    </row>
    <row r="703" spans="1:44" s="17" customFormat="1" ht="30.95" hidden="1" customHeight="1" x14ac:dyDescent="0.2">
      <c r="A703" s="37"/>
      <c r="B703" s="38"/>
      <c r="C703" s="45"/>
      <c r="D703" s="31"/>
      <c r="E703" s="31"/>
      <c r="F703" s="268"/>
      <c r="G703" s="269"/>
      <c r="H703" s="269"/>
      <c r="I703" s="270"/>
      <c r="J703" s="32"/>
      <c r="K703" s="270"/>
      <c r="L703" s="270"/>
      <c r="M703" s="39"/>
      <c r="N703" s="39"/>
      <c r="O703" s="47"/>
      <c r="P703" s="57"/>
      <c r="Q703" s="276"/>
      <c r="R703" s="277"/>
      <c r="S703" s="277"/>
      <c r="T703" s="40"/>
      <c r="U703" s="278"/>
      <c r="V703" s="269"/>
      <c r="W703" s="269"/>
      <c r="X703" s="275"/>
      <c r="Y703" s="269"/>
      <c r="Z703" s="57"/>
      <c r="AA703" s="207"/>
      <c r="AB703" s="33"/>
      <c r="AC703" s="189"/>
      <c r="AD703" s="54"/>
      <c r="AE703" s="55"/>
      <c r="AF703" s="43"/>
      <c r="AG703" s="47"/>
      <c r="AH703" s="30"/>
      <c r="AI703" s="30"/>
      <c r="AJ703" s="30"/>
      <c r="AK703" s="30"/>
      <c r="AL703" s="13"/>
      <c r="AM703" s="13"/>
      <c r="AN703" s="13"/>
      <c r="AO703" s="13"/>
      <c r="AP703" s="13"/>
      <c r="AQ703" s="14"/>
      <c r="AR703" s="15"/>
    </row>
    <row r="704" spans="1:44" s="17" customFormat="1" ht="30.75" hidden="1" customHeight="1" x14ac:dyDescent="0.2">
      <c r="A704" s="37"/>
      <c r="B704" s="38"/>
      <c r="C704" s="45"/>
      <c r="D704" s="31">
        <v>3721219</v>
      </c>
      <c r="E704" s="31">
        <v>4151436</v>
      </c>
      <c r="F704" s="268" t="str">
        <f>IF(D704="","",VLOOKUP(D704,契約台帳!$A$3:$K$4986,6,FALSE)&amp;VLOOKUP(D704,契約台帳!$A$3:$K$4986,7,FALSE)&amp;VLOOKUP(D704,契約台帳!$A$3:$K$4986,8,FALSE)&amp;VLOOKUP(D704,契約台帳!$A$3:$K$4986,9,FALSE)&amp;VLOOKUP(D704,契約台帳!$A$3:$K$4986,11,FALSE))</f>
        <v>3SNMLBMNNGKBF</v>
      </c>
      <c r="G704" s="269" t="str">
        <f>IF(D704="","",VLOOKUP(F704,製品マスタ!$G$5:$H$5002,2,FALSE))</f>
        <v>S</v>
      </c>
      <c r="H704" s="269" t="str">
        <f>IF(D704="","",VLOOKUP(F704,製品マスタ!$G$5:$K$5002,5,FALSE))</f>
        <v>MNNGKBF</v>
      </c>
      <c r="I704" s="270" t="str">
        <f>IF(D704="","",VLOOKUP(F704,製品マスタ!$G$5:$L$5002,6,FALSE))</f>
        <v>メタルミー　ニューネーマー銀消　Ｂ</v>
      </c>
      <c r="J704" s="32" t="s">
        <v>447</v>
      </c>
      <c r="K704" s="270">
        <f>IF(D704="","",VLOOKUP(D704,契約台帳!$A$3:$L$4986,12,FALSE))</f>
        <v>50</v>
      </c>
      <c r="L704" s="270" t="str">
        <f>IF(D704="","",INDEX(製品マスタ!$Q$5:$Q$5002,MATCH(F704&amp;K704,製品マスタ!$AO$5:$AO$5002,0)))</f>
        <v>X44</v>
      </c>
      <c r="M704" s="39">
        <v>1000</v>
      </c>
      <c r="N704" s="39">
        <v>12000</v>
      </c>
      <c r="O704" s="47">
        <v>4</v>
      </c>
      <c r="P704" s="57"/>
      <c r="Q704" s="276">
        <f>IF(D704="","",IF(J704="リード付け",M704,VLOOKUP(D704,契約台帳!$A$3:$N$4986,14,FALSE)))</f>
        <v>1000</v>
      </c>
      <c r="R704" s="277">
        <f>IF(D704="","",IF(J704="リード付け",M704,VLOOKUP(D704,契約台帳!$A$3:$O$4986,15,FALSE)))</f>
        <v>1000</v>
      </c>
      <c r="S704" s="277">
        <f>IF(D704="","",IF(J704="リード付け",N704,VLOOKUP(D704,契約台帳!$A$3:$P$4986,16,FALSE)))</f>
        <v>4000</v>
      </c>
      <c r="T704" s="40">
        <v>12</v>
      </c>
      <c r="U704" s="302">
        <f ca="1">IF(D704="","",IF(OFFSET(D704,-2,0)=D704,"",VLOOKUP(D704,契約台帳!$A$3:$R$4986,18,FALSE)))</f>
        <v>15</v>
      </c>
      <c r="V704" s="269" t="str">
        <f>IF(J704="巻返し",VLOOKUP(F704&amp;K704&amp;M704,製品マスタ!$M$5:$AD$5002,18,FALSE),IF(J704="リード付け","原反コア",IF(J704="スリット",VLOOKUP(F704&amp;K704&amp;Q704,製品マスタ!$N$5:$AD$5002,17,FALSE),"")))</f>
        <v>6ｲﾝﾁSｺｱ</v>
      </c>
      <c r="W704" s="269">
        <f>IF(J704="巻返し",VLOOKUP(F704&amp;K704&amp;M704,製品マスタ!$M$5:$AE$5002,19,FALSE),IF(J704="リード付け","-",IF(J704="スリット",VLOOKUP(F704&amp;K704&amp;Q704,製品マスタ!$N$5:$AE$5002,18,FALSE),"")))</f>
        <v>1005</v>
      </c>
      <c r="X704" s="275">
        <f>IF(D704="","",VLOOKUP(D704,契約台帳!$A$3:$Q$4986,17,FALSE))</f>
        <v>2</v>
      </c>
      <c r="Y704" s="269" t="str">
        <f>IF(D704="","",VLOOKUP(D704,契約台帳!$A$3:$E$4986,5,FALSE))</f>
        <v>リンテック㈱</v>
      </c>
      <c r="Z704" s="57">
        <v>45160</v>
      </c>
      <c r="AA704" s="303" t="str">
        <f>IFERROR(VLOOKUP(F704&amp;K704&amp;M704,製品マスタ!$M$5:$AM$5002,27,FALSE),"")</f>
        <v>原反ケース再利用</v>
      </c>
      <c r="AB704" s="33"/>
      <c r="AC704" s="189"/>
      <c r="AD704" s="54" t="str">
        <f>IF(F704="","",+F704&amp;K704)</f>
        <v>3SNMLBMNNGKBF50</v>
      </c>
      <c r="AE704" s="55">
        <f>+M704*N704*O704/1000</f>
        <v>48000</v>
      </c>
      <c r="AF704" s="43">
        <f>IF(AD704="","",VLOOKUP(AD704,原価マスタ!$A$2:$AJ$1693,13,FALSE))</f>
        <v>99</v>
      </c>
      <c r="AG704" s="47">
        <f>IF(AF704="","",+AE704*AF704/100)</f>
        <v>47520</v>
      </c>
      <c r="AH704" s="30"/>
      <c r="AI704" s="30"/>
      <c r="AJ704" s="30"/>
      <c r="AK704" s="30"/>
      <c r="AL704" s="13"/>
      <c r="AM704" s="13"/>
      <c r="AN704" s="13"/>
      <c r="AO704" s="13"/>
      <c r="AP704" s="13"/>
      <c r="AQ704" s="14"/>
      <c r="AR704" s="15"/>
    </row>
    <row r="705" spans="1:44" s="17" customFormat="1" ht="30.95" hidden="1" customHeight="1" x14ac:dyDescent="0.2">
      <c r="A705" s="37"/>
      <c r="B705" s="38"/>
      <c r="C705" s="45"/>
      <c r="D705" s="31"/>
      <c r="E705" s="31"/>
      <c r="F705" s="268"/>
      <c r="G705" s="269"/>
      <c r="H705" s="269"/>
      <c r="I705" s="270"/>
      <c r="J705" s="32"/>
      <c r="K705" s="270"/>
      <c r="L705" s="270"/>
      <c r="M705" s="39"/>
      <c r="N705" s="39"/>
      <c r="O705" s="47"/>
      <c r="P705" s="57"/>
      <c r="Q705" s="276"/>
      <c r="R705" s="277"/>
      <c r="S705" s="277"/>
      <c r="T705" s="40"/>
      <c r="U705" s="278"/>
      <c r="V705" s="269"/>
      <c r="W705" s="269"/>
      <c r="X705" s="275"/>
      <c r="Y705" s="269"/>
      <c r="Z705" s="57"/>
      <c r="AA705" s="207"/>
      <c r="AB705" s="33"/>
      <c r="AC705" s="189"/>
      <c r="AD705" s="54"/>
      <c r="AE705" s="55"/>
      <c r="AF705" s="43"/>
      <c r="AG705" s="47"/>
      <c r="AH705" s="30"/>
      <c r="AI705" s="30"/>
      <c r="AJ705" s="30"/>
      <c r="AK705" s="30"/>
      <c r="AL705" s="13"/>
      <c r="AM705" s="13"/>
      <c r="AN705" s="13"/>
      <c r="AO705" s="13"/>
      <c r="AP705" s="13"/>
      <c r="AQ705" s="14"/>
      <c r="AR705" s="15"/>
    </row>
    <row r="706" spans="1:44" s="17" customFormat="1" ht="30.95" hidden="1" customHeight="1" x14ac:dyDescent="0.2">
      <c r="A706" s="37" t="s">
        <v>1383</v>
      </c>
      <c r="B706" s="38" t="s">
        <v>1377</v>
      </c>
      <c r="C706" s="45"/>
      <c r="D706" s="31"/>
      <c r="E706" s="31"/>
      <c r="F706" s="268"/>
      <c r="G706" s="269"/>
      <c r="H706" s="269"/>
      <c r="I706" s="270"/>
      <c r="J706" s="32" t="s">
        <v>1382</v>
      </c>
      <c r="K706" s="270"/>
      <c r="L706" s="270"/>
      <c r="M706" s="39"/>
      <c r="N706" s="39"/>
      <c r="O706" s="47"/>
      <c r="P706" s="57"/>
      <c r="Q706" s="276"/>
      <c r="R706" s="277"/>
      <c r="S706" s="277"/>
      <c r="T706" s="40"/>
      <c r="U706" s="278"/>
      <c r="V706" s="269"/>
      <c r="W706" s="269"/>
      <c r="X706" s="275"/>
      <c r="Y706" s="269"/>
      <c r="Z706" s="57"/>
      <c r="AA706" s="207"/>
      <c r="AB706" s="33"/>
      <c r="AC706" s="189"/>
      <c r="AD706" s="54"/>
      <c r="AE706" s="55"/>
      <c r="AF706" s="43"/>
      <c r="AG706" s="47"/>
      <c r="AH706" s="30"/>
      <c r="AI706" s="30"/>
      <c r="AJ706" s="30"/>
      <c r="AK706" s="30"/>
      <c r="AL706" s="13"/>
      <c r="AM706" s="13"/>
      <c r="AN706" s="13"/>
      <c r="AO706" s="13"/>
      <c r="AP706" s="13"/>
      <c r="AQ706" s="14"/>
      <c r="AR706" s="15"/>
    </row>
    <row r="707" spans="1:44" s="17" customFormat="1" ht="30.95" hidden="1" customHeight="1" x14ac:dyDescent="0.2">
      <c r="A707" s="37"/>
      <c r="B707" s="38"/>
      <c r="C707" s="45"/>
      <c r="D707" s="31"/>
      <c r="E707" s="31"/>
      <c r="F707" s="268"/>
      <c r="G707" s="269"/>
      <c r="H707" s="269"/>
      <c r="I707" s="270"/>
      <c r="J707" s="32"/>
      <c r="K707" s="270"/>
      <c r="L707" s="270"/>
      <c r="M707" s="39"/>
      <c r="N707" s="39"/>
      <c r="O707" s="47"/>
      <c r="P707" s="57"/>
      <c r="Q707" s="276"/>
      <c r="R707" s="277"/>
      <c r="S707" s="277"/>
      <c r="T707" s="40"/>
      <c r="U707" s="278"/>
      <c r="V707" s="269"/>
      <c r="W707" s="269"/>
      <c r="X707" s="275"/>
      <c r="Y707" s="269"/>
      <c r="Z707" s="57"/>
      <c r="AA707" s="207"/>
      <c r="AB707" s="33"/>
      <c r="AC707" s="189"/>
      <c r="AD707" s="54"/>
      <c r="AE707" s="55"/>
      <c r="AF707" s="43"/>
      <c r="AG707" s="47"/>
      <c r="AH707" s="30"/>
      <c r="AI707" s="30"/>
      <c r="AJ707" s="30"/>
      <c r="AK707" s="30"/>
      <c r="AL707" s="13"/>
      <c r="AM707" s="13"/>
      <c r="AN707" s="13"/>
      <c r="AO707" s="13"/>
      <c r="AP707" s="13"/>
      <c r="AQ707" s="14"/>
      <c r="AR707" s="15"/>
    </row>
    <row r="708" spans="1:44" s="17" customFormat="1" ht="30.75" hidden="1" customHeight="1" x14ac:dyDescent="0.2">
      <c r="A708" s="37" t="s">
        <v>541</v>
      </c>
      <c r="B708" s="38" t="s">
        <v>462</v>
      </c>
      <c r="C708" s="45"/>
      <c r="D708" s="31">
        <v>3721219</v>
      </c>
      <c r="E708" s="31">
        <v>4151436</v>
      </c>
      <c r="F708" s="268" t="str">
        <f>IF(D708="","",VLOOKUP(D708,契約台帳!$A$3:$K$4986,6,FALSE)&amp;VLOOKUP(D708,契約台帳!$A$3:$K$4986,7,FALSE)&amp;VLOOKUP(D708,契約台帳!$A$3:$K$4986,8,FALSE)&amp;VLOOKUP(D708,契約台帳!$A$3:$K$4986,9,FALSE)&amp;VLOOKUP(D708,契約台帳!$A$3:$K$4986,11,FALSE))</f>
        <v>3SNMLBMNNGKBF</v>
      </c>
      <c r="G708" s="269" t="str">
        <f>IF(D708="","",VLOOKUP(F708,製品マスタ!$G$5:$H$5002,2,FALSE))</f>
        <v>S</v>
      </c>
      <c r="H708" s="269" t="str">
        <f>IF(D708="","",VLOOKUP(F708,製品マスタ!$G$5:$K$5002,5,FALSE))</f>
        <v>MNNGKBF</v>
      </c>
      <c r="I708" s="270" t="str">
        <f>IF(D708="","",VLOOKUP(F708,製品マスタ!$G$5:$L$5002,6,FALSE))</f>
        <v>メタルミー　ニューネーマー銀消　Ｂ</v>
      </c>
      <c r="J708" s="32" t="s">
        <v>447</v>
      </c>
      <c r="K708" s="270">
        <f>IF(D708="","",VLOOKUP(D708,契約台帳!$A$3:$L$4986,12,FALSE))</f>
        <v>50</v>
      </c>
      <c r="L708" s="270" t="str">
        <f>IF(D708="","",INDEX(製品マスタ!$Q$5:$Q$5002,MATCH(F708&amp;K708,製品マスタ!$AO$5:$AO$5002,0)))</f>
        <v>X44</v>
      </c>
      <c r="M708" s="39">
        <v>1000</v>
      </c>
      <c r="N708" s="39">
        <v>12000</v>
      </c>
      <c r="O708" s="47">
        <v>1</v>
      </c>
      <c r="P708" s="57"/>
      <c r="Q708" s="276">
        <f>IF(D708="","",IF(J708="リード付け",M708,VLOOKUP(D708,契約台帳!$A$3:$N$4986,14,FALSE)))</f>
        <v>1000</v>
      </c>
      <c r="R708" s="277">
        <f>IF(D708="","",IF(J708="リード付け",M708,VLOOKUP(D708,契約台帳!$A$3:$O$4986,15,FALSE)))</f>
        <v>1000</v>
      </c>
      <c r="S708" s="277">
        <f>IF(D708="","",IF(J708="リード付け",N708,VLOOKUP(D708,契約台帳!$A$3:$P$4986,16,FALSE)))</f>
        <v>4000</v>
      </c>
      <c r="T708" s="40">
        <v>3</v>
      </c>
      <c r="U708" s="302">
        <f ca="1">IF(D708="","",IF(OFFSET(D708,-2,0)=D708,"",VLOOKUP(D708,契約台帳!$A$3:$R$4986,18,FALSE)))</f>
        <v>15</v>
      </c>
      <c r="V708" s="269" t="str">
        <f>IF(J708="巻返し",VLOOKUP(F708&amp;K708&amp;M708,製品マスタ!$M$5:$AD$5002,18,FALSE),IF(J708="リード付け","原反コア",IF(J708="スリット",VLOOKUP(F708&amp;K708&amp;Q708,製品マスタ!$N$5:$AD$5002,17,FALSE),"")))</f>
        <v>6ｲﾝﾁSｺｱ</v>
      </c>
      <c r="W708" s="269">
        <f>IF(J708="巻返し",VLOOKUP(F708&amp;K708&amp;M708,製品マスタ!$M$5:$AE$5002,19,FALSE),IF(J708="リード付け","-",IF(J708="スリット",VLOOKUP(F708&amp;K708&amp;Q708,製品マスタ!$N$5:$AE$5002,18,FALSE),"")))</f>
        <v>1005</v>
      </c>
      <c r="X708" s="275">
        <f>IF(D708="","",VLOOKUP(D708,契約台帳!$A$3:$Q$4986,17,FALSE))</f>
        <v>2</v>
      </c>
      <c r="Y708" s="269" t="str">
        <f>IF(D708="","",VLOOKUP(D708,契約台帳!$A$3:$E$4986,5,FALSE))</f>
        <v>リンテック㈱</v>
      </c>
      <c r="Z708" s="57">
        <v>45161</v>
      </c>
      <c r="AA708" s="303" t="str">
        <f>IFERROR(VLOOKUP(F708&amp;K708&amp;M708,製品マスタ!$M$5:$AM$5002,27,FALSE),"")</f>
        <v>原反ケース再利用</v>
      </c>
      <c r="AB708" s="33"/>
      <c r="AC708" s="189"/>
      <c r="AD708" s="54" t="str">
        <f>IF(F708="","",+F708&amp;K708)</f>
        <v>3SNMLBMNNGKBF50</v>
      </c>
      <c r="AE708" s="55">
        <f>+M708*N708*O708/1000</f>
        <v>12000</v>
      </c>
      <c r="AF708" s="43">
        <f>IF(AD708="","",VLOOKUP(AD708,原価マスタ!$A$2:$AJ$1693,13,FALSE))</f>
        <v>99</v>
      </c>
      <c r="AG708" s="47">
        <f>IF(AF708="","",+AE708*AF708/100)</f>
        <v>11880</v>
      </c>
      <c r="AH708" s="30"/>
      <c r="AI708" s="30"/>
      <c r="AJ708" s="30"/>
      <c r="AK708" s="30"/>
      <c r="AL708" s="13"/>
      <c r="AM708" s="13"/>
      <c r="AN708" s="13"/>
      <c r="AO708" s="13"/>
      <c r="AP708" s="13"/>
      <c r="AQ708" s="14"/>
      <c r="AR708" s="15"/>
    </row>
    <row r="709" spans="1:44" s="17" customFormat="1" ht="30.95" hidden="1" customHeight="1" x14ac:dyDescent="0.2">
      <c r="A709" s="37"/>
      <c r="B709" s="38"/>
      <c r="C709" s="45"/>
      <c r="D709" s="31"/>
      <c r="E709" s="31"/>
      <c r="F709" s="268"/>
      <c r="G709" s="269"/>
      <c r="H709" s="269"/>
      <c r="I709" s="270"/>
      <c r="J709" s="32"/>
      <c r="K709" s="270"/>
      <c r="L709" s="270"/>
      <c r="M709" s="39"/>
      <c r="N709" s="39"/>
      <c r="O709" s="47"/>
      <c r="P709" s="57"/>
      <c r="Q709" s="276"/>
      <c r="R709" s="277"/>
      <c r="S709" s="277"/>
      <c r="T709" s="40"/>
      <c r="U709" s="278"/>
      <c r="V709" s="269"/>
      <c r="W709" s="269"/>
      <c r="X709" s="275"/>
      <c r="Y709" s="269"/>
      <c r="Z709" s="57"/>
      <c r="AA709" s="207"/>
      <c r="AB709" s="33"/>
      <c r="AC709" s="189"/>
      <c r="AD709" s="54"/>
      <c r="AE709" s="55"/>
      <c r="AF709" s="43"/>
      <c r="AG709" s="47"/>
      <c r="AH709" s="30"/>
      <c r="AI709" s="30"/>
      <c r="AJ709" s="30"/>
      <c r="AK709" s="30"/>
      <c r="AL709" s="13"/>
      <c r="AM709" s="13"/>
      <c r="AN709" s="13"/>
      <c r="AO709" s="13"/>
      <c r="AP709" s="13"/>
      <c r="AQ709" s="14"/>
      <c r="AR709" s="15"/>
    </row>
    <row r="710" spans="1:44" s="17" customFormat="1" ht="30.75" hidden="1" customHeight="1" x14ac:dyDescent="0.2">
      <c r="A710" s="37"/>
      <c r="B710" s="38"/>
      <c r="C710" s="45"/>
      <c r="D710" s="31">
        <v>3721207</v>
      </c>
      <c r="E710" s="31">
        <v>4151429</v>
      </c>
      <c r="F710" s="268" t="str">
        <f>IF(D710="","",VLOOKUP(D710,契約台帳!$A$3:$K$4986,6,FALSE)&amp;VLOOKUP(D710,契約台帳!$A$3:$K$4986,7,FALSE)&amp;VLOOKUP(D710,契約台帳!$A$3:$K$4986,8,FALSE)&amp;VLOOKUP(D710,契約台帳!$A$3:$K$4986,9,FALSE)&amp;VLOOKUP(D710,契約台帳!$A$3:$K$4986,11,FALSE))</f>
        <v>3SNMLBMNGKKBF</v>
      </c>
      <c r="G710" s="269" t="str">
        <f>IF(D710="","",VLOOKUP(F710,製品マスタ!$G$5:$H$5002,2,FALSE))</f>
        <v>S</v>
      </c>
      <c r="H710" s="269" t="str">
        <f>IF(D710="","",VLOOKUP(F710,製品マスタ!$G$5:$K$5002,5,FALSE))</f>
        <v>MNGKKBF</v>
      </c>
      <c r="I710" s="270" t="str">
        <f>IF(D710="","",VLOOKUP(F710,製品マスタ!$G$5:$L$5002,6,FALSE))</f>
        <v>メタルミー　ネーマー銀消改　Ｂ</v>
      </c>
      <c r="J710" s="32" t="s">
        <v>447</v>
      </c>
      <c r="K710" s="270">
        <f>IF(D710="","",VLOOKUP(D710,契約台帳!$A$3:$L$4986,12,FALSE))</f>
        <v>50</v>
      </c>
      <c r="L710" s="270" t="str">
        <f>IF(D710="","",INDEX(製品マスタ!$Q$5:$Q$5002,MATCH(F710&amp;K710,製品マスタ!$AO$5:$AO$5002,0)))</f>
        <v>S99-MAT</v>
      </c>
      <c r="M710" s="39">
        <v>1120</v>
      </c>
      <c r="N710" s="39">
        <v>12000</v>
      </c>
      <c r="O710" s="47">
        <v>4</v>
      </c>
      <c r="P710" s="57"/>
      <c r="Q710" s="276">
        <f>IF(D710="","",IF(J710="リード付け",M710,VLOOKUP(D710,契約台帳!$A$3:$N$4986,14,FALSE)))</f>
        <v>1120</v>
      </c>
      <c r="R710" s="277">
        <f>IF(D710="","",IF(J710="リード付け",M710,VLOOKUP(D710,契約台帳!$A$3:$O$4986,15,FALSE)))</f>
        <v>1120</v>
      </c>
      <c r="S710" s="277">
        <f>IF(D710="","",IF(J710="リード付け",N710,VLOOKUP(D710,契約台帳!$A$3:$P$4986,16,FALSE)))</f>
        <v>4000</v>
      </c>
      <c r="T710" s="40">
        <v>12</v>
      </c>
      <c r="U710" s="302">
        <f ca="1">IF(D710="","",IF(OFFSET(D710,-2,0)=D710,"",VLOOKUP(D710,契約台帳!$A$3:$R$4986,18,FALSE)))</f>
        <v>20</v>
      </c>
      <c r="V710" s="269" t="str">
        <f>IF(J710="巻返し",VLOOKUP(F710&amp;K710&amp;M710,製品マスタ!$M$5:$AD$5002,18,FALSE),IF(J710="リード付け","原反コア",IF(J710="スリット",VLOOKUP(F710&amp;K710&amp;Q710,製品マスタ!$N$5:$AD$5002,17,FALSE),"")))</f>
        <v>6ｲﾝﾁSｺｱ</v>
      </c>
      <c r="W710" s="269">
        <f>IF(J710="巻返し",VLOOKUP(F710&amp;K710&amp;M710,製品マスタ!$M$5:$AE$5002,19,FALSE),IF(J710="リード付け","-",IF(J710="スリット",VLOOKUP(F710&amp;K710&amp;Q710,製品マスタ!$N$5:$AE$5002,18,FALSE),"")))</f>
        <v>1125</v>
      </c>
      <c r="X710" s="275">
        <f>IF(D710="","",VLOOKUP(D710,契約台帳!$A$3:$Q$4986,17,FALSE))</f>
        <v>2</v>
      </c>
      <c r="Y710" s="269" t="str">
        <f>IF(D710="","",VLOOKUP(D710,契約台帳!$A$3:$E$4986,5,FALSE))</f>
        <v>リンテック㈱</v>
      </c>
      <c r="Z710" s="57">
        <v>45161</v>
      </c>
      <c r="AA710" s="303">
        <f>IFERROR(VLOOKUP(F710&amp;K710&amp;M710,製品マスタ!$M$5:$AM$5002,27,FALSE),"")</f>
        <v>0</v>
      </c>
      <c r="AB710" s="33"/>
      <c r="AC710" s="189"/>
      <c r="AD710" s="54" t="str">
        <f>IF(F710="","",+F710&amp;K710)</f>
        <v>3SNMLBMNGKKBF50</v>
      </c>
      <c r="AE710" s="55">
        <f>+M710*N710*O710/1000</f>
        <v>53760</v>
      </c>
      <c r="AF710" s="43">
        <f>IF(AD710="","",VLOOKUP(AD710,原価マスタ!$A$2:$AJ$1693,13,FALSE))</f>
        <v>99</v>
      </c>
      <c r="AG710" s="47">
        <f>IF(AF710="","",+AE710*AF710/100)</f>
        <v>53222.400000000001</v>
      </c>
      <c r="AH710" s="30"/>
      <c r="AI710" s="30"/>
      <c r="AJ710" s="30"/>
      <c r="AK710" s="30"/>
      <c r="AL710" s="13"/>
      <c r="AM710" s="13"/>
      <c r="AN710" s="13"/>
      <c r="AO710" s="13"/>
      <c r="AP710" s="13"/>
      <c r="AQ710" s="14"/>
      <c r="AR710" s="15"/>
    </row>
    <row r="711" spans="1:44" s="17" customFormat="1" ht="30.95" hidden="1" customHeight="1" x14ac:dyDescent="0.2">
      <c r="A711" s="37"/>
      <c r="B711" s="38"/>
      <c r="C711" s="45"/>
      <c r="D711" s="31"/>
      <c r="E711" s="31"/>
      <c r="F711" s="268"/>
      <c r="G711" s="269"/>
      <c r="H711" s="269"/>
      <c r="I711" s="270"/>
      <c r="J711" s="32"/>
      <c r="K711" s="270"/>
      <c r="L711" s="270"/>
      <c r="M711" s="39"/>
      <c r="N711" s="39"/>
      <c r="O711" s="47"/>
      <c r="P711" s="57"/>
      <c r="Q711" s="276"/>
      <c r="R711" s="277"/>
      <c r="S711" s="277"/>
      <c r="T711" s="40"/>
      <c r="U711" s="278"/>
      <c r="V711" s="269"/>
      <c r="W711" s="269"/>
      <c r="X711" s="275"/>
      <c r="Y711" s="269"/>
      <c r="Z711" s="57"/>
      <c r="AA711" s="207"/>
      <c r="AB711" s="33"/>
      <c r="AC711" s="189"/>
      <c r="AD711" s="54"/>
      <c r="AE711" s="55"/>
      <c r="AF711" s="43"/>
      <c r="AG711" s="47"/>
      <c r="AH711" s="30"/>
      <c r="AI711" s="30"/>
      <c r="AJ711" s="30"/>
      <c r="AK711" s="30"/>
      <c r="AL711" s="13"/>
      <c r="AM711" s="13"/>
      <c r="AN711" s="13"/>
      <c r="AO711" s="13"/>
      <c r="AP711" s="13"/>
      <c r="AQ711" s="14"/>
      <c r="AR711" s="15"/>
    </row>
    <row r="712" spans="1:44" s="17" customFormat="1" ht="30.75" hidden="1" customHeight="1" x14ac:dyDescent="0.2">
      <c r="A712" s="37" t="s">
        <v>542</v>
      </c>
      <c r="B712" s="38" t="s">
        <v>688</v>
      </c>
      <c r="C712" s="45"/>
      <c r="D712" s="31">
        <v>3721207</v>
      </c>
      <c r="E712" s="31">
        <v>4151429</v>
      </c>
      <c r="F712" s="268" t="str">
        <f>IF(D712="","",VLOOKUP(D712,契約台帳!$A$3:$K$4986,6,FALSE)&amp;VLOOKUP(D712,契約台帳!$A$3:$K$4986,7,FALSE)&amp;VLOOKUP(D712,契約台帳!$A$3:$K$4986,8,FALSE)&amp;VLOOKUP(D712,契約台帳!$A$3:$K$4986,9,FALSE)&amp;VLOOKUP(D712,契約台帳!$A$3:$K$4986,11,FALSE))</f>
        <v>3SNMLBMNGKKBF</v>
      </c>
      <c r="G712" s="269" t="str">
        <f>IF(D712="","",VLOOKUP(F712,製品マスタ!$G$5:$H$5002,2,FALSE))</f>
        <v>S</v>
      </c>
      <c r="H712" s="269" t="str">
        <f>IF(D712="","",VLOOKUP(F712,製品マスタ!$G$5:$K$5002,5,FALSE))</f>
        <v>MNGKKBF</v>
      </c>
      <c r="I712" s="270" t="str">
        <f>IF(D712="","",VLOOKUP(F712,製品マスタ!$G$5:$L$5002,6,FALSE))</f>
        <v>メタルミー　ネーマー銀消改　Ｂ</v>
      </c>
      <c r="J712" s="32" t="s">
        <v>447</v>
      </c>
      <c r="K712" s="270">
        <f>IF(D712="","",VLOOKUP(D712,契約台帳!$A$3:$L$4986,12,FALSE))</f>
        <v>50</v>
      </c>
      <c r="L712" s="270" t="str">
        <f>IF(D712="","",INDEX(製品マスタ!$Q$5:$Q$5002,MATCH(F712&amp;K712,製品マスタ!$AO$5:$AO$5002,0)))</f>
        <v>S99-MAT</v>
      </c>
      <c r="M712" s="39">
        <v>1120</v>
      </c>
      <c r="N712" s="39">
        <v>12000</v>
      </c>
      <c r="O712" s="47">
        <v>2</v>
      </c>
      <c r="P712" s="57"/>
      <c r="Q712" s="276">
        <f>IF(D712="","",IF(J712="リード付け",M712,VLOOKUP(D712,契約台帳!$A$3:$N$4986,14,FALSE)))</f>
        <v>1120</v>
      </c>
      <c r="R712" s="277">
        <f>IF(D712="","",IF(J712="リード付け",M712,VLOOKUP(D712,契約台帳!$A$3:$O$4986,15,FALSE)))</f>
        <v>1120</v>
      </c>
      <c r="S712" s="277">
        <f>IF(D712="","",IF(J712="リード付け",N712,VLOOKUP(D712,契約台帳!$A$3:$P$4986,16,FALSE)))</f>
        <v>4000</v>
      </c>
      <c r="T712" s="40">
        <v>6</v>
      </c>
      <c r="U712" s="302" t="str">
        <f ca="1">IF(D712="","",IF(OFFSET(D712,-2,0)=D712,"",VLOOKUP(D712,契約台帳!$A$3:$R$4986,18,FALSE)))</f>
        <v/>
      </c>
      <c r="V712" s="269" t="str">
        <f>IF(J712="巻返し",VLOOKUP(F712&amp;K712&amp;M712,製品マスタ!$M$5:$AD$5002,18,FALSE),IF(J712="リード付け","原反コア",IF(J712="スリット",VLOOKUP(F712&amp;K712&amp;Q712,製品マスタ!$N$5:$AD$5002,17,FALSE),"")))</f>
        <v>6ｲﾝﾁSｺｱ</v>
      </c>
      <c r="W712" s="269">
        <f>IF(J712="巻返し",VLOOKUP(F712&amp;K712&amp;M712,製品マスタ!$M$5:$AE$5002,19,FALSE),IF(J712="リード付け","-",IF(J712="スリット",VLOOKUP(F712&amp;K712&amp;Q712,製品マスタ!$N$5:$AE$5002,18,FALSE),"")))</f>
        <v>1125</v>
      </c>
      <c r="X712" s="275">
        <f>IF(D712="","",VLOOKUP(D712,契約台帳!$A$3:$Q$4986,17,FALSE))</f>
        <v>2</v>
      </c>
      <c r="Y712" s="269" t="str">
        <f>IF(D712="","",VLOOKUP(D712,契約台帳!$A$3:$E$4986,5,FALSE))</f>
        <v>リンテック㈱</v>
      </c>
      <c r="Z712" s="57">
        <v>45162</v>
      </c>
      <c r="AA712" s="303">
        <f>IFERROR(VLOOKUP(F712&amp;K712&amp;M712,製品マスタ!$M$5:$AM$5002,27,FALSE),"")</f>
        <v>0</v>
      </c>
      <c r="AB712" s="33"/>
      <c r="AC712" s="189"/>
      <c r="AD712" s="54" t="str">
        <f>IF(F712="","",+F712&amp;K712)</f>
        <v>3SNMLBMNGKKBF50</v>
      </c>
      <c r="AE712" s="55">
        <f>+M712*N712*O712/1000</f>
        <v>26880</v>
      </c>
      <c r="AF712" s="43">
        <f>IF(AD712="","",VLOOKUP(AD712,原価マスタ!$A$2:$AJ$1693,13,FALSE))</f>
        <v>99</v>
      </c>
      <c r="AG712" s="47">
        <f>IF(AF712="","",+AE712*AF712/100)</f>
        <v>26611.200000000001</v>
      </c>
      <c r="AH712" s="30"/>
      <c r="AI712" s="30"/>
      <c r="AJ712" s="30"/>
      <c r="AK712" s="30"/>
      <c r="AL712" s="13"/>
      <c r="AM712" s="13"/>
      <c r="AN712" s="13"/>
      <c r="AO712" s="13"/>
      <c r="AP712" s="13"/>
      <c r="AQ712" s="14"/>
      <c r="AR712" s="15"/>
    </row>
    <row r="713" spans="1:44" s="17" customFormat="1" ht="30.95" hidden="1" customHeight="1" x14ac:dyDescent="0.2">
      <c r="A713" s="37"/>
      <c r="B713" s="38"/>
      <c r="C713" s="45"/>
      <c r="D713" s="31"/>
      <c r="E713" s="31"/>
      <c r="F713" s="268"/>
      <c r="G713" s="269"/>
      <c r="H713" s="269"/>
      <c r="I713" s="270"/>
      <c r="J713" s="32"/>
      <c r="K713" s="270"/>
      <c r="L713" s="270"/>
      <c r="M713" s="39"/>
      <c r="N713" s="39"/>
      <c r="O713" s="47"/>
      <c r="P713" s="57"/>
      <c r="Q713" s="276"/>
      <c r="R713" s="277"/>
      <c r="S713" s="277"/>
      <c r="T713" s="40"/>
      <c r="U713" s="278"/>
      <c r="V713" s="269"/>
      <c r="W713" s="269"/>
      <c r="X713" s="275"/>
      <c r="Y713" s="269"/>
      <c r="Z713" s="57"/>
      <c r="AA713" s="207"/>
      <c r="AB713" s="33"/>
      <c r="AC713" s="189"/>
      <c r="AD713" s="54"/>
      <c r="AE713" s="55"/>
      <c r="AF713" s="43"/>
      <c r="AG713" s="47"/>
      <c r="AH713" s="30"/>
      <c r="AI713" s="30"/>
      <c r="AJ713" s="30"/>
      <c r="AK713" s="30"/>
      <c r="AL713" s="13"/>
      <c r="AM713" s="13"/>
      <c r="AN713" s="13"/>
      <c r="AO713" s="13"/>
      <c r="AP713" s="13"/>
      <c r="AQ713" s="14"/>
      <c r="AR713" s="15"/>
    </row>
    <row r="714" spans="1:44" s="17" customFormat="1" ht="30.75" hidden="1" customHeight="1" x14ac:dyDescent="0.2">
      <c r="A714" s="37"/>
      <c r="B714" s="38"/>
      <c r="C714" s="45"/>
      <c r="D714" s="31">
        <v>3721207</v>
      </c>
      <c r="E714" s="31">
        <v>4151429</v>
      </c>
      <c r="F714" s="268" t="str">
        <f>IF(D714="","",VLOOKUP(D714,契約台帳!$A$3:$K$4986,6,FALSE)&amp;VLOOKUP(D714,契約台帳!$A$3:$K$4986,7,FALSE)&amp;VLOOKUP(D714,契約台帳!$A$3:$K$4986,8,FALSE)&amp;VLOOKUP(D714,契約台帳!$A$3:$K$4986,9,FALSE)&amp;VLOOKUP(D714,契約台帳!$A$3:$K$4986,11,FALSE))</f>
        <v>3SNMLBMNGKKBF</v>
      </c>
      <c r="G714" s="269" t="str">
        <f>IF(D714="","",VLOOKUP(F714,製品マスタ!$G$5:$H$5002,2,FALSE))</f>
        <v>S</v>
      </c>
      <c r="H714" s="269" t="str">
        <f>IF(D714="","",VLOOKUP(F714,製品マスタ!$G$5:$K$5002,5,FALSE))</f>
        <v>MNGKKBF</v>
      </c>
      <c r="I714" s="270" t="str">
        <f>IF(D714="","",VLOOKUP(F714,製品マスタ!$G$5:$L$5002,6,FALSE))</f>
        <v>メタルミー　ネーマー銀消改　Ｂ</v>
      </c>
      <c r="J714" s="32" t="s">
        <v>447</v>
      </c>
      <c r="K714" s="270">
        <f>IF(D714="","",VLOOKUP(D714,契約台帳!$A$3:$L$4986,12,FALSE))</f>
        <v>50</v>
      </c>
      <c r="L714" s="270" t="str">
        <f>IF(D714="","",INDEX(製品マスタ!$Q$5:$Q$5002,MATCH(F714&amp;K714,製品マスタ!$AO$5:$AO$5002,0)))</f>
        <v>S99-MAT</v>
      </c>
      <c r="M714" s="39">
        <v>1120</v>
      </c>
      <c r="N714" s="39">
        <v>8000</v>
      </c>
      <c r="O714" s="47">
        <v>1</v>
      </c>
      <c r="P714" s="57"/>
      <c r="Q714" s="276">
        <f>IF(D714="","",IF(J714="リード付け",M714,VLOOKUP(D714,契約台帳!$A$3:$N$4986,14,FALSE)))</f>
        <v>1120</v>
      </c>
      <c r="R714" s="277">
        <f>IF(D714="","",IF(J714="リード付け",M714,VLOOKUP(D714,契約台帳!$A$3:$O$4986,15,FALSE)))</f>
        <v>1120</v>
      </c>
      <c r="S714" s="277">
        <f>IF(D714="","",IF(J714="リード付け",N714,VLOOKUP(D714,契約台帳!$A$3:$P$4986,16,FALSE)))</f>
        <v>4000</v>
      </c>
      <c r="T714" s="40">
        <v>2</v>
      </c>
      <c r="U714" s="302" t="str">
        <f ca="1">IF(D714="","",IF(OFFSET(D714,-2,0)=D714,"",VLOOKUP(D714,契約台帳!$A$3:$R$4986,18,FALSE)))</f>
        <v/>
      </c>
      <c r="V714" s="269" t="str">
        <f>IF(J714="巻返し",VLOOKUP(F714&amp;K714&amp;M714,製品マスタ!$M$5:$AD$5002,18,FALSE),IF(J714="リード付け","原反コア",IF(J714="スリット",VLOOKUP(F714&amp;K714&amp;Q714,製品マスタ!$N$5:$AD$5002,17,FALSE),"")))</f>
        <v>6ｲﾝﾁSｺｱ</v>
      </c>
      <c r="W714" s="269">
        <f>IF(J714="巻返し",VLOOKUP(F714&amp;K714&amp;M714,製品マスタ!$M$5:$AE$5002,19,FALSE),IF(J714="リード付け","-",IF(J714="スリット",VLOOKUP(F714&amp;K714&amp;Q714,製品マスタ!$N$5:$AE$5002,18,FALSE),"")))</f>
        <v>1125</v>
      </c>
      <c r="X714" s="275">
        <f>IF(D714="","",VLOOKUP(D714,契約台帳!$A$3:$Q$4986,17,FALSE))</f>
        <v>2</v>
      </c>
      <c r="Y714" s="269" t="str">
        <f>IF(D714="","",VLOOKUP(D714,契約台帳!$A$3:$E$4986,5,FALSE))</f>
        <v>リンテック㈱</v>
      </c>
      <c r="Z714" s="57">
        <v>45162</v>
      </c>
      <c r="AA714" s="303">
        <f>IFERROR(VLOOKUP(F714&amp;K714&amp;M714,製品マスタ!$M$5:$AM$5002,27,FALSE),"")</f>
        <v>0</v>
      </c>
      <c r="AB714" s="33"/>
      <c r="AC714" s="189"/>
      <c r="AD714" s="54" t="str">
        <f>IF(F714="","",+F714&amp;K714)</f>
        <v>3SNMLBMNGKKBF50</v>
      </c>
      <c r="AE714" s="55">
        <f>+M714*N714*O714/1000</f>
        <v>8960</v>
      </c>
      <c r="AF714" s="43">
        <f>IF(AD714="","",VLOOKUP(AD714,原価マスタ!$A$2:$AJ$1693,13,FALSE))</f>
        <v>99</v>
      </c>
      <c r="AG714" s="47">
        <f>IF(AF714="","",+AE714*AF714/100)</f>
        <v>8870.4</v>
      </c>
      <c r="AH714" s="30"/>
      <c r="AI714" s="30"/>
      <c r="AJ714" s="30"/>
      <c r="AK714" s="30"/>
      <c r="AL714" s="13"/>
      <c r="AM714" s="13"/>
      <c r="AN714" s="13"/>
      <c r="AO714" s="13"/>
      <c r="AP714" s="13"/>
      <c r="AQ714" s="14"/>
      <c r="AR714" s="15"/>
    </row>
    <row r="715" spans="1:44" s="17" customFormat="1" ht="30.95" hidden="1" customHeight="1" x14ac:dyDescent="0.2">
      <c r="A715" s="37"/>
      <c r="B715" s="38"/>
      <c r="C715" s="45"/>
      <c r="D715" s="31"/>
      <c r="E715" s="31"/>
      <c r="F715" s="268"/>
      <c r="G715" s="269"/>
      <c r="H715" s="269"/>
      <c r="I715" s="270"/>
      <c r="J715" s="32"/>
      <c r="K715" s="270"/>
      <c r="L715" s="270"/>
      <c r="M715" s="39"/>
      <c r="N715" s="39"/>
      <c r="O715" s="47"/>
      <c r="P715" s="57"/>
      <c r="Q715" s="276"/>
      <c r="R715" s="277"/>
      <c r="S715" s="277"/>
      <c r="T715" s="40"/>
      <c r="U715" s="278"/>
      <c r="V715" s="269"/>
      <c r="W715" s="269"/>
      <c r="X715" s="275"/>
      <c r="Y715" s="269"/>
      <c r="Z715" s="57"/>
      <c r="AA715" s="207"/>
      <c r="AB715" s="33"/>
      <c r="AC715" s="189"/>
      <c r="AD715" s="54"/>
      <c r="AE715" s="55"/>
      <c r="AF715" s="43"/>
      <c r="AG715" s="47"/>
      <c r="AH715" s="30"/>
      <c r="AI715" s="30"/>
      <c r="AJ715" s="30"/>
      <c r="AK715" s="30"/>
      <c r="AL715" s="13"/>
      <c r="AM715" s="13"/>
      <c r="AN715" s="13"/>
      <c r="AO715" s="13"/>
      <c r="AP715" s="13"/>
      <c r="AQ715" s="14"/>
      <c r="AR715" s="15"/>
    </row>
    <row r="716" spans="1:44" s="17" customFormat="1" ht="30.75" hidden="1" customHeight="1" x14ac:dyDescent="0.2">
      <c r="A716" s="37"/>
      <c r="B716" s="38"/>
      <c r="C716" s="45"/>
      <c r="D716" s="31">
        <v>3721225</v>
      </c>
      <c r="E716" s="31">
        <v>4151442</v>
      </c>
      <c r="F716" s="268" t="str">
        <f>IF(D716="","",VLOOKUP(D716,契約台帳!$A$3:$K$4986,6,FALSE)&amp;VLOOKUP(D716,契約台帳!$A$3:$K$4986,7,FALSE)&amp;VLOOKUP(D716,契約台帳!$A$3:$K$4986,8,FALSE)&amp;VLOOKUP(D716,契約台帳!$A$3:$K$4986,9,FALSE)&amp;VLOOKUP(D716,契約台帳!$A$3:$K$4986,11,FALSE))</f>
        <v>3SNMLBMNQR66F</v>
      </c>
      <c r="G716" s="269" t="str">
        <f>IF(D716="","",VLOOKUP(F716,製品マスタ!$G$5:$H$5002,2,FALSE))</f>
        <v>S</v>
      </c>
      <c r="H716" s="269" t="str">
        <f>IF(D716="","",VLOOKUP(F716,製品マスタ!$G$5:$K$5002,5,FALSE))</f>
        <v>MNQR66F</v>
      </c>
      <c r="I716" s="270" t="str">
        <f>IF(D716="","",VLOOKUP(F716,製品マスタ!$G$5:$L$5002,6,FALSE))</f>
        <v>ＱＲ６６蒸着品</v>
      </c>
      <c r="J716" s="32" t="s">
        <v>447</v>
      </c>
      <c r="K716" s="270">
        <f>IF(D716="","",VLOOKUP(D716,契約台帳!$A$3:$L$4986,12,FALSE))</f>
        <v>25</v>
      </c>
      <c r="L716" s="270" t="str">
        <f>IF(D716="","",INDEX(製品マスタ!$Q$5:$Q$5002,MATCH(F716&amp;K716,製品マスタ!$AO$5:$AO$5002,0)))</f>
        <v>E315</v>
      </c>
      <c r="M716" s="39">
        <v>1100</v>
      </c>
      <c r="N716" s="39">
        <v>24000</v>
      </c>
      <c r="O716" s="47">
        <v>2</v>
      </c>
      <c r="P716" s="57"/>
      <c r="Q716" s="276">
        <f>IF(D716="","",IF(J716="リード付け",M716,VLOOKUP(D716,契約台帳!$A$3:$N$4986,14,FALSE)))</f>
        <v>1100</v>
      </c>
      <c r="R716" s="277">
        <f>IF(D716="","",IF(J716="リード付け",M716,VLOOKUP(D716,契約台帳!$A$3:$O$4986,15,FALSE)))</f>
        <v>1100</v>
      </c>
      <c r="S716" s="277">
        <f>IF(D716="","",IF(J716="リード付け",N716,VLOOKUP(D716,契約台帳!$A$3:$P$4986,16,FALSE)))</f>
        <v>6000</v>
      </c>
      <c r="T716" s="40">
        <v>8</v>
      </c>
      <c r="U716" s="302">
        <f ca="1">IF(D716="","",IF(OFFSET(D716,-2,0)=D716,"",VLOOKUP(D716,契約台帳!$A$3:$R$4986,18,FALSE)))</f>
        <v>8</v>
      </c>
      <c r="V716" s="269" t="str">
        <f>IF(J716="巻返し",VLOOKUP(F716&amp;K716&amp;M716,製品マスタ!$M$5:$AD$5002,18,FALSE),IF(J716="リード付け","原反コア",IF(J716="スリット",VLOOKUP(F716&amp;K716&amp;Q716,製品マスタ!$N$5:$AD$5002,17,FALSE),"")))</f>
        <v>6ｲﾝﾁMｺｱ</v>
      </c>
      <c r="W716" s="269">
        <f>IF(J716="巻返し",VLOOKUP(F716&amp;K716&amp;M716,製品マスタ!$M$5:$AE$5002,19,FALSE),IF(J716="リード付け","-",IF(J716="スリット",VLOOKUP(F716&amp;K716&amp;Q716,製品マスタ!$N$5:$AE$5002,18,FALSE),"")))</f>
        <v>1110</v>
      </c>
      <c r="X716" s="275">
        <f>IF(D716="","",VLOOKUP(D716,契約台帳!$A$3:$Q$4986,17,FALSE))</f>
        <v>2</v>
      </c>
      <c r="Y716" s="269" t="str">
        <f>IF(D716="","",VLOOKUP(D716,契約台帳!$A$3:$E$4986,5,FALSE))</f>
        <v>リンテック㈱</v>
      </c>
      <c r="Z716" s="57">
        <v>45162</v>
      </c>
      <c r="AA716" s="303" t="str">
        <f>IFERROR(VLOOKUP(F716&amp;K716&amp;M716,製品マスタ!$M$5:$AM$5002,27,FALSE),"")</f>
        <v>原反ケース再利用</v>
      </c>
      <c r="AB716" s="33"/>
      <c r="AC716" s="189"/>
      <c r="AD716" s="54" t="str">
        <f>IF(F716="","",+F716&amp;K716)</f>
        <v>3SNMLBMNQR66F25</v>
      </c>
      <c r="AE716" s="55">
        <f>+M716*N716*O716/1000</f>
        <v>52800</v>
      </c>
      <c r="AF716" s="43">
        <f>IF(AD716="","",VLOOKUP(AD716,原価マスタ!$A$2:$AJ$1693,13,FALSE))</f>
        <v>98</v>
      </c>
      <c r="AG716" s="47">
        <f>IF(AF716="","",+AE716*AF716/100)</f>
        <v>51744</v>
      </c>
      <c r="AH716" s="30"/>
      <c r="AI716" s="30"/>
      <c r="AJ716" s="30"/>
      <c r="AK716" s="30"/>
      <c r="AL716" s="13"/>
      <c r="AM716" s="13"/>
      <c r="AN716" s="13"/>
      <c r="AO716" s="13"/>
      <c r="AP716" s="13"/>
      <c r="AQ716" s="14"/>
      <c r="AR716" s="15"/>
    </row>
    <row r="717" spans="1:44" s="17" customFormat="1" ht="30.95" hidden="1" customHeight="1" x14ac:dyDescent="0.2">
      <c r="A717" s="37"/>
      <c r="B717" s="38"/>
      <c r="C717" s="45"/>
      <c r="D717" s="31"/>
      <c r="E717" s="31"/>
      <c r="F717" s="268"/>
      <c r="G717" s="269"/>
      <c r="H717" s="269"/>
      <c r="I717" s="270"/>
      <c r="J717" s="32"/>
      <c r="K717" s="270"/>
      <c r="L717" s="270"/>
      <c r="M717" s="39"/>
      <c r="N717" s="39"/>
      <c r="O717" s="47"/>
      <c r="P717" s="57"/>
      <c r="Q717" s="276"/>
      <c r="R717" s="277"/>
      <c r="S717" s="277"/>
      <c r="T717" s="40"/>
      <c r="U717" s="278"/>
      <c r="V717" s="269"/>
      <c r="W717" s="269"/>
      <c r="X717" s="275"/>
      <c r="Y717" s="269"/>
      <c r="Z717" s="57"/>
      <c r="AA717" s="207"/>
      <c r="AB717" s="33"/>
      <c r="AC717" s="189"/>
      <c r="AD717" s="54"/>
      <c r="AE717" s="55"/>
      <c r="AF717" s="43"/>
      <c r="AG717" s="47"/>
      <c r="AH717" s="30"/>
      <c r="AI717" s="30"/>
      <c r="AJ717" s="30"/>
      <c r="AK717" s="30"/>
      <c r="AL717" s="13"/>
      <c r="AM717" s="13"/>
      <c r="AN717" s="13"/>
      <c r="AO717" s="13"/>
      <c r="AP717" s="13"/>
      <c r="AQ717" s="14"/>
      <c r="AR717" s="15"/>
    </row>
    <row r="718" spans="1:44" s="17" customFormat="1" ht="30.75" hidden="1" customHeight="1" x14ac:dyDescent="0.2">
      <c r="A718" s="37" t="s">
        <v>1441</v>
      </c>
      <c r="B718" s="38" t="s">
        <v>1440</v>
      </c>
      <c r="C718" s="45"/>
      <c r="D718" s="31">
        <v>3721224</v>
      </c>
      <c r="E718" s="31">
        <v>4151441</v>
      </c>
      <c r="F718" s="268" t="str">
        <f>IF(D718="","",VLOOKUP(D718,契約台帳!$A$3:$K$4986,6,FALSE)&amp;VLOOKUP(D718,契約台帳!$A$3:$K$4986,7,FALSE)&amp;VLOOKUP(D718,契約台帳!$A$3:$K$4986,8,FALSE)&amp;VLOOKUP(D718,契約台帳!$A$3:$K$4986,9,FALSE)&amp;VLOOKUP(D718,契約台帳!$A$3:$K$4986,11,FALSE))</f>
        <v>3SNMLBMNQR66F</v>
      </c>
      <c r="G718" s="269" t="str">
        <f>IF(D718="","",VLOOKUP(F718,製品マスタ!$G$5:$H$5002,2,FALSE))</f>
        <v>S</v>
      </c>
      <c r="H718" s="269" t="str">
        <f>IF(D718="","",VLOOKUP(F718,製品マスタ!$G$5:$K$5002,5,FALSE))</f>
        <v>MNQR66F</v>
      </c>
      <c r="I718" s="270" t="str">
        <f>IF(D718="","",VLOOKUP(F718,製品マスタ!$G$5:$L$5002,6,FALSE))</f>
        <v>ＱＲ６６蒸着品</v>
      </c>
      <c r="J718" s="32" t="s">
        <v>447</v>
      </c>
      <c r="K718" s="270">
        <f>IF(D718="","",VLOOKUP(D718,契約台帳!$A$3:$L$4986,12,FALSE))</f>
        <v>25</v>
      </c>
      <c r="L718" s="270" t="str">
        <f>IF(D718="","",INDEX(製品マスタ!$Q$5:$Q$5002,MATCH(F718&amp;K718,製品マスタ!$AO$5:$AO$5002,0)))</f>
        <v>E315</v>
      </c>
      <c r="M718" s="39">
        <v>1000</v>
      </c>
      <c r="N718" s="39">
        <v>24000</v>
      </c>
      <c r="O718" s="47">
        <v>1</v>
      </c>
      <c r="P718" s="57"/>
      <c r="Q718" s="276">
        <f>IF(D718="","",IF(J718="リード付け",M718,VLOOKUP(D718,契約台帳!$A$3:$N$4986,14,FALSE)))</f>
        <v>1000</v>
      </c>
      <c r="R718" s="277">
        <f>IF(D718="","",IF(J718="リード付け",M718,VLOOKUP(D718,契約台帳!$A$3:$O$4986,15,FALSE)))</f>
        <v>1000</v>
      </c>
      <c r="S718" s="277">
        <f>IF(D718="","",IF(J718="リード付け",N718,VLOOKUP(D718,契約台帳!$A$3:$P$4986,16,FALSE)))</f>
        <v>6000</v>
      </c>
      <c r="T718" s="40">
        <v>4</v>
      </c>
      <c r="U718" s="302">
        <f ca="1">IF(D718="","",IF(OFFSET(D718,-2,0)=D718,"",VLOOKUP(D718,契約台帳!$A$3:$R$4986,18,FALSE)))</f>
        <v>4</v>
      </c>
      <c r="V718" s="269" t="str">
        <f>IF(J718="巻返し",VLOOKUP(F718&amp;K718&amp;M718,製品マスタ!$M$5:$AD$5002,18,FALSE),IF(J718="リード付け","原反コア",IF(J718="スリット",VLOOKUP(F718&amp;K718&amp;Q718,製品マスタ!$N$5:$AD$5002,17,FALSE),"")))</f>
        <v>6ｲﾝﾁMｺｱ</v>
      </c>
      <c r="W718" s="269">
        <f>IF(J718="巻返し",VLOOKUP(F718&amp;K718&amp;M718,製品マスタ!$M$5:$AE$5002,19,FALSE),IF(J718="リード付け","-",IF(J718="スリット",VLOOKUP(F718&amp;K718&amp;Q718,製品マスタ!$N$5:$AE$5002,18,FALSE),"")))</f>
        <v>1010</v>
      </c>
      <c r="X718" s="275">
        <f>IF(D718="","",VLOOKUP(D718,契約台帳!$A$3:$Q$4986,17,FALSE))</f>
        <v>2</v>
      </c>
      <c r="Y718" s="269" t="str">
        <f>IF(D718="","",VLOOKUP(D718,契約台帳!$A$3:$E$4986,5,FALSE))</f>
        <v>リンテック㈱</v>
      </c>
      <c r="Z718" s="57">
        <v>45163</v>
      </c>
      <c r="AA718" s="303" t="str">
        <f>IFERROR(VLOOKUP(F718&amp;K718&amp;M718,製品マスタ!$M$5:$AM$5002,27,FALSE),"")</f>
        <v>原反ケース再利用</v>
      </c>
      <c r="AB718" s="33"/>
      <c r="AC718" s="189"/>
      <c r="AD718" s="54" t="str">
        <f>IF(F718="","",+F718&amp;K718)</f>
        <v>3SNMLBMNQR66F25</v>
      </c>
      <c r="AE718" s="55">
        <f>+M718*N718*O718/1000</f>
        <v>24000</v>
      </c>
      <c r="AF718" s="43">
        <f>IF(AD718="","",VLOOKUP(AD718,原価マスタ!$A$2:$AJ$1693,13,FALSE))</f>
        <v>98</v>
      </c>
      <c r="AG718" s="47">
        <f>IF(AF718="","",+AE718*AF718/100)</f>
        <v>23520</v>
      </c>
      <c r="AH718" s="30"/>
      <c r="AI718" s="30"/>
      <c r="AJ718" s="30"/>
      <c r="AK718" s="30"/>
      <c r="AL718" s="13"/>
      <c r="AM718" s="13"/>
      <c r="AN718" s="13"/>
      <c r="AO718" s="13"/>
      <c r="AP718" s="13"/>
      <c r="AQ718" s="14"/>
      <c r="AR718" s="15"/>
    </row>
    <row r="719" spans="1:44" s="17" customFormat="1" ht="30.95" hidden="1" customHeight="1" x14ac:dyDescent="0.2">
      <c r="A719" s="37"/>
      <c r="B719" s="38"/>
      <c r="C719" s="45"/>
      <c r="D719" s="31"/>
      <c r="E719" s="31"/>
      <c r="F719" s="268"/>
      <c r="G719" s="269"/>
      <c r="H719" s="269"/>
      <c r="I719" s="270"/>
      <c r="J719" s="32"/>
      <c r="K719" s="270"/>
      <c r="L719" s="270"/>
      <c r="M719" s="39"/>
      <c r="N719" s="39"/>
      <c r="O719" s="47"/>
      <c r="P719" s="57"/>
      <c r="Q719" s="276"/>
      <c r="R719" s="277"/>
      <c r="S719" s="277"/>
      <c r="T719" s="40"/>
      <c r="U719" s="278"/>
      <c r="V719" s="269"/>
      <c r="W719" s="269"/>
      <c r="X719" s="275"/>
      <c r="Y719" s="269"/>
      <c r="Z719" s="57"/>
      <c r="AA719" s="207"/>
      <c r="AB719" s="33"/>
      <c r="AC719" s="189"/>
      <c r="AD719" s="54"/>
      <c r="AE719" s="55"/>
      <c r="AF719" s="43"/>
      <c r="AG719" s="47"/>
      <c r="AH719" s="30"/>
      <c r="AI719" s="30"/>
      <c r="AJ719" s="30"/>
      <c r="AK719" s="30"/>
      <c r="AL719" s="13"/>
      <c r="AM719" s="13"/>
      <c r="AN719" s="13"/>
      <c r="AO719" s="13"/>
      <c r="AP719" s="13"/>
      <c r="AQ719" s="14"/>
      <c r="AR719" s="15"/>
    </row>
    <row r="720" spans="1:44" s="17" customFormat="1" ht="30.75" hidden="1" customHeight="1" x14ac:dyDescent="0.2">
      <c r="A720" s="37"/>
      <c r="B720" s="38"/>
      <c r="C720" s="45"/>
      <c r="D720" s="31">
        <v>3721213</v>
      </c>
      <c r="E720" s="31">
        <v>4151444</v>
      </c>
      <c r="F720" s="268" t="str">
        <f>IF(D720="","",VLOOKUP(D720,契約台帳!$A$3:$K$4986,6,FALSE)&amp;VLOOKUP(D720,契約台帳!$A$3:$K$4986,7,FALSE)&amp;VLOOKUP(D720,契約台帳!$A$3:$K$4986,8,FALSE)&amp;VLOOKUP(D720,契約台帳!$A$3:$K$4986,9,FALSE)&amp;VLOOKUP(D720,契約台帳!$A$3:$K$4986,11,FALSE))</f>
        <v>3SNMLBMNGTBF</v>
      </c>
      <c r="G720" s="269" t="str">
        <f>IF(D720="","",VLOOKUP(F720,製品マスタ!$G$5:$H$5002,2,FALSE))</f>
        <v>S</v>
      </c>
      <c r="H720" s="269" t="str">
        <f>IF(D720="","",VLOOKUP(F720,製品マスタ!$G$5:$K$5002,5,FALSE))</f>
        <v>MNGTBF</v>
      </c>
      <c r="I720" s="270" t="str">
        <f>IF(D720="","",VLOOKUP(F720,製品マスタ!$G$5:$L$5002,6,FALSE))</f>
        <v>メタルミー　ネーマー　銀艶　Ｂ</v>
      </c>
      <c r="J720" s="32" t="s">
        <v>447</v>
      </c>
      <c r="K720" s="270">
        <f>IF(D720="","",VLOOKUP(D720,契約台帳!$A$3:$L$4986,12,FALSE))</f>
        <v>25</v>
      </c>
      <c r="L720" s="270" t="str">
        <f>IF(D720="","",INDEX(製品マスタ!$Q$5:$Q$5002,MATCH(F720&amp;K720,製品マスタ!$AO$5:$AO$5002,0)))</f>
        <v>T62M</v>
      </c>
      <c r="M720" s="39">
        <v>1005</v>
      </c>
      <c r="N720" s="39">
        <v>12100</v>
      </c>
      <c r="O720" s="47">
        <v>5</v>
      </c>
      <c r="P720" s="57"/>
      <c r="Q720" s="276">
        <f>IF(D720="","",IF(J720="リード付け",M720,VLOOKUP(D720,契約台帳!$A$3:$N$4986,14,FALSE)))</f>
        <v>1005</v>
      </c>
      <c r="R720" s="277">
        <f>IF(D720="","",IF(J720="リード付け",M720,VLOOKUP(D720,契約台帳!$A$3:$O$4986,15,FALSE)))</f>
        <v>1000</v>
      </c>
      <c r="S720" s="277">
        <f>IF(D720="","",IF(J720="リード付け",N720,VLOOKUP(D720,契約台帳!$A$3:$P$4986,16,FALSE)))</f>
        <v>4000</v>
      </c>
      <c r="T720" s="40">
        <v>15</v>
      </c>
      <c r="U720" s="302">
        <f ca="1">IF(D720="","",IF(OFFSET(D720,-2,0)=D720,"",VLOOKUP(D720,契約台帳!$A$3:$R$4986,18,FALSE)))</f>
        <v>15</v>
      </c>
      <c r="V720" s="269" t="str">
        <f>IF(J720="巻返し",VLOOKUP(F720&amp;K720&amp;M720,製品マスタ!$M$5:$AD$5002,18,FALSE),IF(J720="リード付け","原反コア",IF(J720="スリット",VLOOKUP(F720&amp;K720&amp;Q720,製品マスタ!$N$5:$AD$5002,17,FALSE),"")))</f>
        <v>6ｲﾝﾁSｺｱ</v>
      </c>
      <c r="W720" s="269">
        <f>IF(J720="巻返し",VLOOKUP(F720&amp;K720&amp;M720,製品マスタ!$M$5:$AE$5002,19,FALSE),IF(J720="リード付け","-",IF(J720="スリット",VLOOKUP(F720&amp;K720&amp;Q720,製品マスタ!$N$5:$AE$5002,18,FALSE),"")))</f>
        <v>1015</v>
      </c>
      <c r="X720" s="275">
        <f>IF(D720="","",VLOOKUP(D720,契約台帳!$A$3:$Q$4986,17,FALSE))</f>
        <v>2</v>
      </c>
      <c r="Y720" s="269" t="str">
        <f>IF(D720="","",VLOOKUP(D720,契約台帳!$A$3:$E$4986,5,FALSE))</f>
        <v>リンテック㈱</v>
      </c>
      <c r="Z720" s="57">
        <v>45163</v>
      </c>
      <c r="AA720" s="303">
        <f>IFERROR(VLOOKUP(F720&amp;K720&amp;M720,製品マスタ!$M$5:$AM$5002,27,FALSE),"")</f>
        <v>0</v>
      </c>
      <c r="AB720" s="33"/>
      <c r="AC720" s="189"/>
      <c r="AD720" s="54" t="str">
        <f>IF(F720="","",+F720&amp;K720)</f>
        <v>3SNMLBMNGTBF25</v>
      </c>
      <c r="AE720" s="55">
        <f>+M720*N720*O720/1000</f>
        <v>60802.5</v>
      </c>
      <c r="AF720" s="43">
        <f>IF(AD720="","",VLOOKUP(AD720,原価マスタ!$A$2:$AJ$1693,13,FALSE))</f>
        <v>97.5</v>
      </c>
      <c r="AG720" s="47">
        <f>IF(AF720="","",+AE720*AF720/100)</f>
        <v>59282.4375</v>
      </c>
      <c r="AH720" s="30"/>
      <c r="AI720" s="30"/>
      <c r="AJ720" s="30"/>
      <c r="AK720" s="30"/>
      <c r="AL720" s="13"/>
      <c r="AM720" s="13"/>
      <c r="AN720" s="13"/>
      <c r="AO720" s="13"/>
      <c r="AP720" s="13"/>
      <c r="AQ720" s="14"/>
      <c r="AR720" s="15"/>
    </row>
    <row r="721" spans="1:44" s="17" customFormat="1" ht="30.95" hidden="1" customHeight="1" x14ac:dyDescent="0.2">
      <c r="A721" s="37"/>
      <c r="B721" s="38"/>
      <c r="C721" s="45"/>
      <c r="D721" s="31"/>
      <c r="E721" s="31"/>
      <c r="F721" s="268"/>
      <c r="G721" s="269"/>
      <c r="H721" s="269"/>
      <c r="I721" s="270"/>
      <c r="J721" s="32"/>
      <c r="K721" s="270"/>
      <c r="L721" s="270"/>
      <c r="M721" s="39"/>
      <c r="N721" s="39"/>
      <c r="O721" s="47"/>
      <c r="P721" s="57"/>
      <c r="Q721" s="276"/>
      <c r="R721" s="277"/>
      <c r="S721" s="277"/>
      <c r="T721" s="40"/>
      <c r="U721" s="278"/>
      <c r="V721" s="269"/>
      <c r="W721" s="269"/>
      <c r="X721" s="275"/>
      <c r="Y721" s="269"/>
      <c r="Z721" s="57"/>
      <c r="AA721" s="207"/>
      <c r="AB721" s="33"/>
      <c r="AC721" s="189"/>
      <c r="AD721" s="54"/>
      <c r="AE721" s="55"/>
      <c r="AF721" s="43"/>
      <c r="AG721" s="47"/>
      <c r="AH721" s="30"/>
      <c r="AI721" s="30"/>
      <c r="AJ721" s="30"/>
      <c r="AK721" s="30"/>
      <c r="AL721" s="13"/>
      <c r="AM721" s="13"/>
      <c r="AN721" s="13"/>
      <c r="AO721" s="13"/>
      <c r="AP721" s="13"/>
      <c r="AQ721" s="14"/>
      <c r="AR721" s="15"/>
    </row>
    <row r="722" spans="1:44" s="17" customFormat="1" ht="30.75" hidden="1" customHeight="1" x14ac:dyDescent="0.2">
      <c r="A722" s="37" t="s">
        <v>1442</v>
      </c>
      <c r="B722" s="38" t="s">
        <v>1443</v>
      </c>
      <c r="C722" s="45"/>
      <c r="D722" s="31">
        <v>3721206</v>
      </c>
      <c r="E722" s="31">
        <v>4151428</v>
      </c>
      <c r="F722" s="268" t="str">
        <f>IF(D722="","",VLOOKUP(D722,契約台帳!$A$3:$K$4986,6,FALSE)&amp;VLOOKUP(D722,契約台帳!$A$3:$K$4986,7,FALSE)&amp;VLOOKUP(D722,契約台帳!$A$3:$K$4986,8,FALSE)&amp;VLOOKUP(D722,契約台帳!$A$3:$K$4986,9,FALSE)&amp;VLOOKUP(D722,契約台帳!$A$3:$K$4986,11,FALSE))</f>
        <v>3SNMLBMNGKKBF</v>
      </c>
      <c r="G722" s="269" t="str">
        <f>IF(D722="","",VLOOKUP(F722,製品マスタ!$G$5:$H$5002,2,FALSE))</f>
        <v>S</v>
      </c>
      <c r="H722" s="269" t="str">
        <f>IF(D722="","",VLOOKUP(F722,製品マスタ!$G$5:$K$5002,5,FALSE))</f>
        <v>MNGKKBF</v>
      </c>
      <c r="I722" s="270" t="str">
        <f>IF(D722="","",VLOOKUP(F722,製品マスタ!$G$5:$L$5002,6,FALSE))</f>
        <v>メタルミー　ネーマー銀消改　Ｂ</v>
      </c>
      <c r="J722" s="32" t="s">
        <v>447</v>
      </c>
      <c r="K722" s="270">
        <f>IF(D722="","",VLOOKUP(D722,契約台帳!$A$3:$L$4986,12,FALSE))</f>
        <v>25</v>
      </c>
      <c r="L722" s="270" t="str">
        <f>IF(D722="","",INDEX(製品マスタ!$Q$5:$Q$5002,MATCH(F722&amp;K722,製品マスタ!$AO$5:$AO$5002,0)))</f>
        <v>FMATS99</v>
      </c>
      <c r="M722" s="39">
        <v>1120</v>
      </c>
      <c r="N722" s="39">
        <v>12000</v>
      </c>
      <c r="O722" s="47">
        <v>1</v>
      </c>
      <c r="P722" s="57"/>
      <c r="Q722" s="276">
        <f>IF(D722="","",IF(J722="リード付け",M722,VLOOKUP(D722,契約台帳!$A$3:$N$4986,14,FALSE)))</f>
        <v>1120</v>
      </c>
      <c r="R722" s="277">
        <f>IF(D722="","",IF(J722="リード付け",M722,VLOOKUP(D722,契約台帳!$A$3:$O$4986,15,FALSE)))</f>
        <v>1120</v>
      </c>
      <c r="S722" s="277">
        <f>IF(D722="","",IF(J722="リード付け",N722,VLOOKUP(D722,契約台帳!$A$3:$P$4986,16,FALSE)))</f>
        <v>4000</v>
      </c>
      <c r="T722" s="40">
        <v>3</v>
      </c>
      <c r="U722" s="302">
        <f ca="1">IF(D722="","",IF(OFFSET(D722,-2,0)=D722,"",VLOOKUP(D722,契約台帳!$A$3:$R$4986,18,FALSE)))</f>
        <v>5</v>
      </c>
      <c r="V722" s="269" t="str">
        <f>IF(J722="巻返し",VLOOKUP(F722&amp;K722&amp;M722,製品マスタ!$M$5:$AD$5002,18,FALSE),IF(J722="リード付け","原反コア",IF(J722="スリット",VLOOKUP(F722&amp;K722&amp;Q722,製品マスタ!$N$5:$AD$5002,17,FALSE),"")))</f>
        <v>6ｲﾝﾁSｺｱ</v>
      </c>
      <c r="W722" s="269">
        <f>IF(J722="巻返し",VLOOKUP(F722&amp;K722&amp;M722,製品マスタ!$M$5:$AE$5002,19,FALSE),IF(J722="リード付け","-",IF(J722="スリット",VLOOKUP(F722&amp;K722&amp;Q722,製品マスタ!$N$5:$AE$5002,18,FALSE),"")))</f>
        <v>1125</v>
      </c>
      <c r="X722" s="275">
        <f>IF(D722="","",VLOOKUP(D722,契約台帳!$A$3:$Q$4986,17,FALSE))</f>
        <v>2</v>
      </c>
      <c r="Y722" s="269" t="str">
        <f>IF(D722="","",VLOOKUP(D722,契約台帳!$A$3:$E$4986,5,FALSE))</f>
        <v>リンテック㈱</v>
      </c>
      <c r="Z722" s="57">
        <v>45167</v>
      </c>
      <c r="AA722" s="303">
        <f>IFERROR(VLOOKUP(F722&amp;K722&amp;M722,製品マスタ!$M$5:$AM$5002,27,FALSE),"")</f>
        <v>0</v>
      </c>
      <c r="AB722" s="33"/>
      <c r="AC722" s="189"/>
      <c r="AD722" s="54" t="str">
        <f>IF(F722="","",+F722&amp;K722)</f>
        <v>3SNMLBMNGKKBF25</v>
      </c>
      <c r="AE722" s="55">
        <f>+M722*N722*O722/1000</f>
        <v>13440</v>
      </c>
      <c r="AF722" s="43">
        <f>IF(AD722="","",VLOOKUP(AD722,原価マスタ!$A$2:$AJ$1693,13,FALSE))</f>
        <v>96</v>
      </c>
      <c r="AG722" s="47">
        <f>IF(AF722="","",+AE722*AF722/100)</f>
        <v>12902.4</v>
      </c>
      <c r="AH722" s="30"/>
      <c r="AI722" s="30"/>
      <c r="AJ722" s="30"/>
      <c r="AK722" s="30"/>
      <c r="AL722" s="13"/>
      <c r="AM722" s="13"/>
      <c r="AN722" s="13"/>
      <c r="AO722" s="13"/>
      <c r="AP722" s="13"/>
      <c r="AQ722" s="14"/>
      <c r="AR722" s="15"/>
    </row>
    <row r="723" spans="1:44" s="17" customFormat="1" ht="30.95" hidden="1" customHeight="1" x14ac:dyDescent="0.2">
      <c r="A723" s="37"/>
      <c r="B723" s="38"/>
      <c r="C723" s="45"/>
      <c r="D723" s="31"/>
      <c r="E723" s="31"/>
      <c r="F723" s="268"/>
      <c r="G723" s="269"/>
      <c r="H723" s="269"/>
      <c r="I723" s="270"/>
      <c r="J723" s="32"/>
      <c r="K723" s="270"/>
      <c r="L723" s="270"/>
      <c r="M723" s="39"/>
      <c r="N723" s="39"/>
      <c r="O723" s="47"/>
      <c r="P723" s="57"/>
      <c r="Q723" s="276"/>
      <c r="R723" s="277"/>
      <c r="S723" s="277"/>
      <c r="T723" s="40"/>
      <c r="U723" s="278"/>
      <c r="V723" s="269"/>
      <c r="W723" s="269"/>
      <c r="X723" s="275"/>
      <c r="Y723" s="269"/>
      <c r="Z723" s="57"/>
      <c r="AA723" s="207"/>
      <c r="AB723" s="33"/>
      <c r="AC723" s="189"/>
      <c r="AD723" s="54"/>
      <c r="AE723" s="55"/>
      <c r="AF723" s="43"/>
      <c r="AG723" s="47"/>
      <c r="AH723" s="30"/>
      <c r="AI723" s="30"/>
      <c r="AJ723" s="30"/>
      <c r="AK723" s="30"/>
      <c r="AL723" s="13"/>
      <c r="AM723" s="13"/>
      <c r="AN723" s="13"/>
      <c r="AO723" s="13"/>
      <c r="AP723" s="13"/>
      <c r="AQ723" s="14"/>
      <c r="AR723" s="15"/>
    </row>
    <row r="724" spans="1:44" s="17" customFormat="1" ht="30.75" hidden="1" customHeight="1" x14ac:dyDescent="0.2">
      <c r="A724" s="37"/>
      <c r="B724" s="38"/>
      <c r="C724" s="45"/>
      <c r="D724" s="31">
        <v>3721206</v>
      </c>
      <c r="E724" s="31">
        <v>4151428</v>
      </c>
      <c r="F724" s="268" t="str">
        <f>IF(D724="","",VLOOKUP(D724,契約台帳!$A$3:$K$4986,6,FALSE)&amp;VLOOKUP(D724,契約台帳!$A$3:$K$4986,7,FALSE)&amp;VLOOKUP(D724,契約台帳!$A$3:$K$4986,8,FALSE)&amp;VLOOKUP(D724,契約台帳!$A$3:$K$4986,9,FALSE)&amp;VLOOKUP(D724,契約台帳!$A$3:$K$4986,11,FALSE))</f>
        <v>3SNMLBMNGKKBF</v>
      </c>
      <c r="G724" s="269" t="str">
        <f>IF(D724="","",VLOOKUP(F724,製品マスタ!$G$5:$H$5002,2,FALSE))</f>
        <v>S</v>
      </c>
      <c r="H724" s="269" t="str">
        <f>IF(D724="","",VLOOKUP(F724,製品マスタ!$G$5:$K$5002,5,FALSE))</f>
        <v>MNGKKBF</v>
      </c>
      <c r="I724" s="270" t="str">
        <f>IF(D724="","",VLOOKUP(F724,製品マスタ!$G$5:$L$5002,6,FALSE))</f>
        <v>メタルミー　ネーマー銀消改　Ｂ</v>
      </c>
      <c r="J724" s="32" t="s">
        <v>447</v>
      </c>
      <c r="K724" s="270">
        <f>IF(D724="","",VLOOKUP(D724,契約台帳!$A$3:$L$4986,12,FALSE))</f>
        <v>25</v>
      </c>
      <c r="L724" s="270" t="str">
        <f>IF(D724="","",INDEX(製品マスタ!$Q$5:$Q$5002,MATCH(F724&amp;K724,製品マスタ!$AO$5:$AO$5002,0)))</f>
        <v>FMATS99</v>
      </c>
      <c r="M724" s="39">
        <v>1120</v>
      </c>
      <c r="N724" s="39">
        <v>8000</v>
      </c>
      <c r="O724" s="47">
        <v>1</v>
      </c>
      <c r="P724" s="57"/>
      <c r="Q724" s="276">
        <f>IF(D724="","",IF(J724="リード付け",M724,VLOOKUP(D724,契約台帳!$A$3:$N$4986,14,FALSE)))</f>
        <v>1120</v>
      </c>
      <c r="R724" s="277">
        <f>IF(D724="","",IF(J724="リード付け",M724,VLOOKUP(D724,契約台帳!$A$3:$O$4986,15,FALSE)))</f>
        <v>1120</v>
      </c>
      <c r="S724" s="277">
        <f>IF(D724="","",IF(J724="リード付け",N724,VLOOKUP(D724,契約台帳!$A$3:$P$4986,16,FALSE)))</f>
        <v>4000</v>
      </c>
      <c r="T724" s="40">
        <v>2</v>
      </c>
      <c r="U724" s="302" t="str">
        <f ca="1">IF(D724="","",IF(OFFSET(D724,-2,0)=D724,"",VLOOKUP(D724,契約台帳!$A$3:$R$4986,18,FALSE)))</f>
        <v/>
      </c>
      <c r="V724" s="269" t="str">
        <f>IF(J724="巻返し",VLOOKUP(F724&amp;K724&amp;M724,製品マスタ!$M$5:$AD$5002,18,FALSE),IF(J724="リード付け","原反コア",IF(J724="スリット",VLOOKUP(F724&amp;K724&amp;Q724,製品マスタ!$N$5:$AD$5002,17,FALSE),"")))</f>
        <v>6ｲﾝﾁSｺｱ</v>
      </c>
      <c r="W724" s="269">
        <f>IF(J724="巻返し",VLOOKUP(F724&amp;K724&amp;M724,製品マスタ!$M$5:$AE$5002,19,FALSE),IF(J724="リード付け","-",IF(J724="スリット",VLOOKUP(F724&amp;K724&amp;Q724,製品マスタ!$N$5:$AE$5002,18,FALSE),"")))</f>
        <v>1125</v>
      </c>
      <c r="X724" s="275">
        <f>IF(D724="","",VLOOKUP(D724,契約台帳!$A$3:$Q$4986,17,FALSE))</f>
        <v>2</v>
      </c>
      <c r="Y724" s="269" t="str">
        <f>IF(D724="","",VLOOKUP(D724,契約台帳!$A$3:$E$4986,5,FALSE))</f>
        <v>リンテック㈱</v>
      </c>
      <c r="Z724" s="57">
        <v>45167</v>
      </c>
      <c r="AA724" s="303">
        <f>IFERROR(VLOOKUP(F724&amp;K724&amp;M724,製品マスタ!$M$5:$AM$5002,27,FALSE),"")</f>
        <v>0</v>
      </c>
      <c r="AB724" s="33"/>
      <c r="AC724" s="189"/>
      <c r="AD724" s="54" t="str">
        <f>IF(F724="","",+F724&amp;K724)</f>
        <v>3SNMLBMNGKKBF25</v>
      </c>
      <c r="AE724" s="55">
        <f>+M724*N724*O724/1000</f>
        <v>8960</v>
      </c>
      <c r="AF724" s="43">
        <f>IF(AD724="","",VLOOKUP(AD724,原価マスタ!$A$2:$AJ$1693,13,FALSE))</f>
        <v>96</v>
      </c>
      <c r="AG724" s="47">
        <f>IF(AF724="","",+AE724*AF724/100)</f>
        <v>8601.6</v>
      </c>
      <c r="AH724" s="30"/>
      <c r="AI724" s="30"/>
      <c r="AJ724" s="30"/>
      <c r="AK724" s="30"/>
      <c r="AL724" s="13"/>
      <c r="AM724" s="13"/>
      <c r="AN724" s="13"/>
      <c r="AO724" s="13"/>
      <c r="AP724" s="13"/>
      <c r="AQ724" s="14"/>
      <c r="AR724" s="15"/>
    </row>
    <row r="725" spans="1:44" s="17" customFormat="1" ht="30.95" hidden="1" customHeight="1" x14ac:dyDescent="0.2">
      <c r="A725" s="37"/>
      <c r="B725" s="38"/>
      <c r="C725" s="45"/>
      <c r="D725" s="31"/>
      <c r="E725" s="31"/>
      <c r="F725" s="268"/>
      <c r="G725" s="269"/>
      <c r="H725" s="269"/>
      <c r="I725" s="270"/>
      <c r="J725" s="32"/>
      <c r="K725" s="270"/>
      <c r="L725" s="270"/>
      <c r="M725" s="39"/>
      <c r="N725" s="39"/>
      <c r="O725" s="47"/>
      <c r="P725" s="57"/>
      <c r="Q725" s="276"/>
      <c r="R725" s="277"/>
      <c r="S725" s="277"/>
      <c r="T725" s="40"/>
      <c r="U725" s="278"/>
      <c r="V725" s="269"/>
      <c r="W725" s="269"/>
      <c r="X725" s="275"/>
      <c r="Y725" s="269"/>
      <c r="Z725" s="57"/>
      <c r="AA725" s="207"/>
      <c r="AB725" s="33"/>
      <c r="AC725" s="189"/>
      <c r="AD725" s="54"/>
      <c r="AE725" s="55"/>
      <c r="AF725" s="43"/>
      <c r="AG725" s="47"/>
      <c r="AH725" s="30"/>
      <c r="AI725" s="30"/>
      <c r="AJ725" s="30"/>
      <c r="AK725" s="30"/>
      <c r="AL725" s="13"/>
      <c r="AM725" s="13"/>
      <c r="AN725" s="13"/>
      <c r="AO725" s="13"/>
      <c r="AP725" s="13"/>
      <c r="AQ725" s="14"/>
      <c r="AR725" s="15"/>
    </row>
    <row r="726" spans="1:44" s="17" customFormat="1" ht="30.75" hidden="1" customHeight="1" x14ac:dyDescent="0.2">
      <c r="A726" s="37"/>
      <c r="B726" s="38"/>
      <c r="C726" s="45"/>
      <c r="D726" s="31">
        <v>3721205</v>
      </c>
      <c r="E726" s="31">
        <v>4151427</v>
      </c>
      <c r="F726" s="268" t="str">
        <f>IF(D726="","",VLOOKUP(D726,契約台帳!$A$3:$K$4986,6,FALSE)&amp;VLOOKUP(D726,契約台帳!$A$3:$K$4986,7,FALSE)&amp;VLOOKUP(D726,契約台帳!$A$3:$K$4986,8,FALSE)&amp;VLOOKUP(D726,契約台帳!$A$3:$K$4986,9,FALSE)&amp;VLOOKUP(D726,契約台帳!$A$3:$K$4986,11,FALSE))</f>
        <v>3SNMLBMNGKKBF</v>
      </c>
      <c r="G726" s="269" t="str">
        <f>IF(D726="","",VLOOKUP(F726,製品マスタ!$G$5:$H$5002,2,FALSE))</f>
        <v>S</v>
      </c>
      <c r="H726" s="269" t="str">
        <f>IF(D726="","",VLOOKUP(F726,製品マスタ!$G$5:$K$5002,5,FALSE))</f>
        <v>MNGKKBF</v>
      </c>
      <c r="I726" s="270" t="str">
        <f>IF(D726="","",VLOOKUP(F726,製品マスタ!$G$5:$L$5002,6,FALSE))</f>
        <v>メタルミー　ネーマー銀消改　Ｂ</v>
      </c>
      <c r="J726" s="32" t="s">
        <v>447</v>
      </c>
      <c r="K726" s="270">
        <f>IF(D726="","",VLOOKUP(D726,契約台帳!$A$3:$L$4986,12,FALSE))</f>
        <v>25</v>
      </c>
      <c r="L726" s="270" t="str">
        <f>IF(D726="","",INDEX(製品マスタ!$Q$5:$Q$5002,MATCH(F726&amp;K726,製品マスタ!$AO$5:$AO$5002,0)))</f>
        <v>FMATS99</v>
      </c>
      <c r="M726" s="39">
        <v>1000</v>
      </c>
      <c r="N726" s="39">
        <v>12000</v>
      </c>
      <c r="O726" s="47">
        <v>1</v>
      </c>
      <c r="P726" s="57"/>
      <c r="Q726" s="276">
        <f>IF(D726="","",IF(J726="リード付け",M726,VLOOKUP(D726,契約台帳!$A$3:$N$4986,14,FALSE)))</f>
        <v>1000</v>
      </c>
      <c r="R726" s="277">
        <f>IF(D726="","",IF(J726="リード付け",M726,VLOOKUP(D726,契約台帳!$A$3:$O$4986,15,FALSE)))</f>
        <v>1000</v>
      </c>
      <c r="S726" s="277">
        <f>IF(D726="","",IF(J726="リード付け",N726,VLOOKUP(D726,契約台帳!$A$3:$P$4986,16,FALSE)))</f>
        <v>4000</v>
      </c>
      <c r="T726" s="40">
        <v>3</v>
      </c>
      <c r="U726" s="302">
        <f ca="1">IF(D726="","",IF(OFFSET(D726,-2,0)=D726,"",VLOOKUP(D726,契約台帳!$A$3:$R$4986,18,FALSE)))</f>
        <v>3</v>
      </c>
      <c r="V726" s="269" t="str">
        <f>IF(J726="巻返し",VLOOKUP(F726&amp;K726&amp;M726,製品マスタ!$M$5:$AD$5002,18,FALSE),IF(J726="リード付け","原反コア",IF(J726="スリット",VLOOKUP(F726&amp;K726&amp;Q726,製品マスタ!$N$5:$AD$5002,17,FALSE),"")))</f>
        <v>6ｲﾝﾁSｺｱ</v>
      </c>
      <c r="W726" s="269">
        <f>IF(J726="巻返し",VLOOKUP(F726&amp;K726&amp;M726,製品マスタ!$M$5:$AE$5002,19,FALSE),IF(J726="リード付け","-",IF(J726="スリット",VLOOKUP(F726&amp;K726&amp;Q726,製品マスタ!$N$5:$AE$5002,18,FALSE),"")))</f>
        <v>1005</v>
      </c>
      <c r="X726" s="275">
        <f>IF(D726="","",VLOOKUP(D726,契約台帳!$A$3:$Q$4986,17,FALSE))</f>
        <v>2</v>
      </c>
      <c r="Y726" s="269" t="str">
        <f>IF(D726="","",VLOOKUP(D726,契約台帳!$A$3:$E$4986,5,FALSE))</f>
        <v>リンテック㈱</v>
      </c>
      <c r="Z726" s="57">
        <v>45167</v>
      </c>
      <c r="AA726" s="303">
        <f>IFERROR(VLOOKUP(F726&amp;K726&amp;M726,製品マスタ!$M$5:$AM$5002,27,FALSE),"")</f>
        <v>0</v>
      </c>
      <c r="AB726" s="33"/>
      <c r="AC726" s="189"/>
      <c r="AD726" s="54" t="str">
        <f>IF(F726="","",+F726&amp;K726)</f>
        <v>3SNMLBMNGKKBF25</v>
      </c>
      <c r="AE726" s="55">
        <f>+M726*N726*O726/1000</f>
        <v>12000</v>
      </c>
      <c r="AF726" s="43">
        <f>IF(AD726="","",VLOOKUP(AD726,原価マスタ!$A$2:$AJ$1693,13,FALSE))</f>
        <v>96</v>
      </c>
      <c r="AG726" s="47">
        <f>IF(AF726="","",+AE726*AF726/100)</f>
        <v>11520</v>
      </c>
      <c r="AH726" s="30"/>
      <c r="AI726" s="30"/>
      <c r="AJ726" s="30"/>
      <c r="AK726" s="30"/>
      <c r="AL726" s="13"/>
      <c r="AM726" s="13"/>
      <c r="AN726" s="13"/>
      <c r="AO726" s="13"/>
      <c r="AP726" s="13"/>
      <c r="AQ726" s="14"/>
      <c r="AR726" s="15"/>
    </row>
    <row r="727" spans="1:44" s="17" customFormat="1" ht="30.95" hidden="1" customHeight="1" x14ac:dyDescent="0.2">
      <c r="A727" s="37"/>
      <c r="B727" s="38"/>
      <c r="C727" s="45"/>
      <c r="D727" s="31"/>
      <c r="E727" s="31"/>
      <c r="F727" s="268"/>
      <c r="G727" s="269"/>
      <c r="H727" s="269"/>
      <c r="I727" s="270"/>
      <c r="J727" s="32"/>
      <c r="K727" s="270"/>
      <c r="L727" s="270"/>
      <c r="M727" s="39"/>
      <c r="N727" s="39"/>
      <c r="O727" s="47"/>
      <c r="P727" s="57"/>
      <c r="Q727" s="276"/>
      <c r="R727" s="277"/>
      <c r="S727" s="277"/>
      <c r="T727" s="40"/>
      <c r="U727" s="278"/>
      <c r="V727" s="269"/>
      <c r="W727" s="269"/>
      <c r="X727" s="275"/>
      <c r="Y727" s="269"/>
      <c r="Z727" s="57"/>
      <c r="AA727" s="207"/>
      <c r="AB727" s="33"/>
      <c r="AC727" s="189"/>
      <c r="AD727" s="54"/>
      <c r="AE727" s="55"/>
      <c r="AF727" s="43"/>
      <c r="AG727" s="47"/>
      <c r="AH727" s="30"/>
      <c r="AI727" s="30"/>
      <c r="AJ727" s="30"/>
      <c r="AK727" s="30"/>
      <c r="AL727" s="13"/>
      <c r="AM727" s="13"/>
      <c r="AN727" s="13"/>
      <c r="AO727" s="13"/>
      <c r="AP727" s="13"/>
      <c r="AQ727" s="14"/>
      <c r="AR727" s="15"/>
    </row>
    <row r="728" spans="1:44" s="17" customFormat="1" ht="30.75" hidden="1" customHeight="1" x14ac:dyDescent="0.2">
      <c r="A728" s="37" t="s">
        <v>1444</v>
      </c>
      <c r="B728" s="38" t="s">
        <v>1445</v>
      </c>
      <c r="C728" s="45"/>
      <c r="D728" s="31">
        <v>3721208</v>
      </c>
      <c r="E728" s="31">
        <v>4151430</v>
      </c>
      <c r="F728" s="268" t="str">
        <f>IF(D728="","",VLOOKUP(D728,契約台帳!$A$3:$K$4986,6,FALSE)&amp;VLOOKUP(D728,契約台帳!$A$3:$K$4986,7,FALSE)&amp;VLOOKUP(D728,契約台帳!$A$3:$K$4986,8,FALSE)&amp;VLOOKUP(D728,契約台帳!$A$3:$K$4986,9,FALSE)&amp;VLOOKUP(D728,契約台帳!$A$3:$K$4986,11,FALSE))</f>
        <v>3SNMLBMNGKKBF</v>
      </c>
      <c r="G728" s="269" t="str">
        <f>IF(D728="","",VLOOKUP(F728,製品マスタ!$G$5:$H$5002,2,FALSE))</f>
        <v>S</v>
      </c>
      <c r="H728" s="269" t="str">
        <f>IF(D728="","",VLOOKUP(F728,製品マスタ!$G$5:$K$5002,5,FALSE))</f>
        <v>MNGKKBF</v>
      </c>
      <c r="I728" s="270" t="str">
        <f>IF(D728="","",VLOOKUP(F728,製品マスタ!$G$5:$L$5002,6,FALSE))</f>
        <v>メタルミー　ネーマー銀消改　Ｂ</v>
      </c>
      <c r="J728" s="32" t="s">
        <v>447</v>
      </c>
      <c r="K728" s="270">
        <f>IF(D728="","",VLOOKUP(D728,契約台帳!$A$3:$L$4986,12,FALSE))</f>
        <v>50</v>
      </c>
      <c r="L728" s="270" t="str">
        <f>IF(D728="","",INDEX(製品マスタ!$Q$5:$Q$5002,MATCH(F728&amp;K728,製品マスタ!$AO$5:$AO$5002,0)))</f>
        <v>S99-MAT</v>
      </c>
      <c r="M728" s="39">
        <v>1120</v>
      </c>
      <c r="N728" s="39">
        <v>12000</v>
      </c>
      <c r="O728" s="47">
        <v>4</v>
      </c>
      <c r="P728" s="57"/>
      <c r="Q728" s="276">
        <f>IF(D728="","",IF(J728="リード付け",M728,VLOOKUP(D728,契約台帳!$A$3:$N$4986,14,FALSE)))</f>
        <v>1120</v>
      </c>
      <c r="R728" s="277">
        <f>IF(D728="","",IF(J728="リード付け",M728,VLOOKUP(D728,契約台帳!$A$3:$O$4986,15,FALSE)))</f>
        <v>1120</v>
      </c>
      <c r="S728" s="277">
        <f>IF(D728="","",IF(J728="リード付け",N728,VLOOKUP(D728,契約台帳!$A$3:$P$4986,16,FALSE)))</f>
        <v>4000</v>
      </c>
      <c r="T728" s="40">
        <v>12</v>
      </c>
      <c r="U728" s="302">
        <f ca="1">IF(D728="","",IF(OFFSET(D728,-2,0)=D728,"",VLOOKUP(D728,契約台帳!$A$3:$R$4986,18,FALSE)))</f>
        <v>20</v>
      </c>
      <c r="V728" s="269" t="str">
        <f>IF(J728="巻返し",VLOOKUP(F728&amp;K728&amp;M728,製品マスタ!$M$5:$AD$5002,18,FALSE),IF(J728="リード付け","原反コア",IF(J728="スリット",VLOOKUP(F728&amp;K728&amp;Q728,製品マスタ!$N$5:$AD$5002,17,FALSE),"")))</f>
        <v>6ｲﾝﾁSｺｱ</v>
      </c>
      <c r="W728" s="269">
        <f>IF(J728="巻返し",VLOOKUP(F728&amp;K728&amp;M728,製品マスタ!$M$5:$AE$5002,19,FALSE),IF(J728="リード付け","-",IF(J728="スリット",VLOOKUP(F728&amp;K728&amp;Q728,製品マスタ!$N$5:$AE$5002,18,FALSE),"")))</f>
        <v>1125</v>
      </c>
      <c r="X728" s="275">
        <f>IF(D728="","",VLOOKUP(D728,契約台帳!$A$3:$Q$4986,17,FALSE))</f>
        <v>2</v>
      </c>
      <c r="Y728" s="269" t="str">
        <f>IF(D728="","",VLOOKUP(D728,契約台帳!$A$3:$E$4986,5,FALSE))</f>
        <v>リンテック㈱</v>
      </c>
      <c r="Z728" s="57">
        <v>45167</v>
      </c>
      <c r="AA728" s="303">
        <f>IFERROR(VLOOKUP(F728&amp;K728&amp;M728,製品マスタ!$M$5:$AM$5002,27,FALSE),"")</f>
        <v>0</v>
      </c>
      <c r="AB728" s="33"/>
      <c r="AC728" s="189"/>
      <c r="AD728" s="54" t="str">
        <f>IF(F728="","",+F728&amp;K728)</f>
        <v>3SNMLBMNGKKBF50</v>
      </c>
      <c r="AE728" s="55">
        <f>+M728*N728*O728/1000</f>
        <v>53760</v>
      </c>
      <c r="AF728" s="43">
        <f>IF(AD728="","",VLOOKUP(AD728,原価マスタ!$A$2:$AJ$1693,13,FALSE))</f>
        <v>99</v>
      </c>
      <c r="AG728" s="47">
        <f>IF(AF728="","",+AE728*AF728/100)</f>
        <v>53222.400000000001</v>
      </c>
      <c r="AH728" s="30"/>
      <c r="AI728" s="30"/>
      <c r="AJ728" s="30"/>
      <c r="AK728" s="30"/>
      <c r="AL728" s="13"/>
      <c r="AM728" s="13"/>
      <c r="AN728" s="13"/>
      <c r="AO728" s="13"/>
      <c r="AP728" s="13"/>
      <c r="AQ728" s="14"/>
      <c r="AR728" s="15"/>
    </row>
    <row r="729" spans="1:44" s="17" customFormat="1" ht="30.95" hidden="1" customHeight="1" x14ac:dyDescent="0.2">
      <c r="A729" s="37"/>
      <c r="B729" s="38"/>
      <c r="C729" s="45"/>
      <c r="D729" s="31"/>
      <c r="E729" s="31"/>
      <c r="F729" s="268"/>
      <c r="G729" s="269"/>
      <c r="H729" s="269"/>
      <c r="I729" s="270"/>
      <c r="J729" s="32"/>
      <c r="K729" s="270"/>
      <c r="L729" s="270"/>
      <c r="M729" s="39"/>
      <c r="N729" s="39"/>
      <c r="O729" s="47"/>
      <c r="P729" s="57"/>
      <c r="Q729" s="276"/>
      <c r="R729" s="277"/>
      <c r="S729" s="277"/>
      <c r="T729" s="40"/>
      <c r="U729" s="278"/>
      <c r="V729" s="269"/>
      <c r="W729" s="269"/>
      <c r="X729" s="275"/>
      <c r="Y729" s="269"/>
      <c r="Z729" s="57"/>
      <c r="AA729" s="207"/>
      <c r="AB729" s="33"/>
      <c r="AC729" s="189"/>
      <c r="AD729" s="54"/>
      <c r="AE729" s="55"/>
      <c r="AF729" s="43"/>
      <c r="AG729" s="47"/>
      <c r="AH729" s="30"/>
      <c r="AI729" s="30"/>
      <c r="AJ729" s="30"/>
      <c r="AK729" s="30"/>
      <c r="AL729" s="13"/>
      <c r="AM729" s="13"/>
      <c r="AN729" s="13"/>
      <c r="AO729" s="13"/>
      <c r="AP729" s="13"/>
      <c r="AQ729" s="14"/>
      <c r="AR729" s="15"/>
    </row>
    <row r="730" spans="1:44" s="17" customFormat="1" ht="30.75" hidden="1" customHeight="1" x14ac:dyDescent="0.2">
      <c r="A730" s="37"/>
      <c r="B730" s="38"/>
      <c r="C730" s="45"/>
      <c r="D730" s="31">
        <v>3721208</v>
      </c>
      <c r="E730" s="31">
        <v>4151430</v>
      </c>
      <c r="F730" s="268" t="str">
        <f>IF(D730="","",VLOOKUP(D730,契約台帳!$A$3:$K$4986,6,FALSE)&amp;VLOOKUP(D730,契約台帳!$A$3:$K$4986,7,FALSE)&amp;VLOOKUP(D730,契約台帳!$A$3:$K$4986,8,FALSE)&amp;VLOOKUP(D730,契約台帳!$A$3:$K$4986,9,FALSE)&amp;VLOOKUP(D730,契約台帳!$A$3:$K$4986,11,FALSE))</f>
        <v>3SNMLBMNGKKBF</v>
      </c>
      <c r="G730" s="269" t="str">
        <f>IF(D730="","",VLOOKUP(F730,製品マスタ!$G$5:$H$5002,2,FALSE))</f>
        <v>S</v>
      </c>
      <c r="H730" s="269" t="str">
        <f>IF(D730="","",VLOOKUP(F730,製品マスタ!$G$5:$K$5002,5,FALSE))</f>
        <v>MNGKKBF</v>
      </c>
      <c r="I730" s="270" t="str">
        <f>IF(D730="","",VLOOKUP(F730,製品マスタ!$G$5:$L$5002,6,FALSE))</f>
        <v>メタルミー　ネーマー銀消改　Ｂ</v>
      </c>
      <c r="J730" s="32" t="s">
        <v>447</v>
      </c>
      <c r="K730" s="270">
        <f>IF(D730="","",VLOOKUP(D730,契約台帳!$A$3:$L$4986,12,FALSE))</f>
        <v>50</v>
      </c>
      <c r="L730" s="270" t="str">
        <f>IF(D730="","",INDEX(製品マスタ!$Q$5:$Q$5002,MATCH(F730&amp;K730,製品マスタ!$AO$5:$AO$5002,0)))</f>
        <v>S99-MAT</v>
      </c>
      <c r="M730" s="39">
        <v>1120</v>
      </c>
      <c r="N730" s="39">
        <v>12000</v>
      </c>
      <c r="O730" s="47">
        <v>2</v>
      </c>
      <c r="P730" s="57"/>
      <c r="Q730" s="276">
        <f>IF(D730="","",IF(J730="リード付け",M730,VLOOKUP(D730,契約台帳!$A$3:$N$4986,14,FALSE)))</f>
        <v>1120</v>
      </c>
      <c r="R730" s="277">
        <f>IF(D730="","",IF(J730="リード付け",M730,VLOOKUP(D730,契約台帳!$A$3:$O$4986,15,FALSE)))</f>
        <v>1120</v>
      </c>
      <c r="S730" s="277">
        <f>IF(D730="","",IF(J730="リード付け",N730,VLOOKUP(D730,契約台帳!$A$3:$P$4986,16,FALSE)))</f>
        <v>4000</v>
      </c>
      <c r="T730" s="40">
        <v>6</v>
      </c>
      <c r="U730" s="302" t="str">
        <f ca="1">IF(D730="","",IF(OFFSET(D730,-2,0)=D730,"",VLOOKUP(D730,契約台帳!$A$3:$R$4986,18,FALSE)))</f>
        <v/>
      </c>
      <c r="V730" s="269" t="str">
        <f>IF(J730="巻返し",VLOOKUP(F730&amp;K730&amp;M730,製品マスタ!$M$5:$AD$5002,18,FALSE),IF(J730="リード付け","原反コア",IF(J730="スリット",VLOOKUP(F730&amp;K730&amp;Q730,製品マスタ!$N$5:$AD$5002,17,FALSE),"")))</f>
        <v>6ｲﾝﾁSｺｱ</v>
      </c>
      <c r="W730" s="269">
        <f>IF(J730="巻返し",VLOOKUP(F730&amp;K730&amp;M730,製品マスタ!$M$5:$AE$5002,19,FALSE),IF(J730="リード付け","-",IF(J730="スリット",VLOOKUP(F730&amp;K730&amp;Q730,製品マスタ!$N$5:$AE$5002,18,FALSE),"")))</f>
        <v>1125</v>
      </c>
      <c r="X730" s="275">
        <f>IF(D730="","",VLOOKUP(D730,契約台帳!$A$3:$Q$4986,17,FALSE))</f>
        <v>2</v>
      </c>
      <c r="Y730" s="269" t="str">
        <f>IF(D730="","",VLOOKUP(D730,契約台帳!$A$3:$E$4986,5,FALSE))</f>
        <v>リンテック㈱</v>
      </c>
      <c r="Z730" s="57">
        <v>45167</v>
      </c>
      <c r="AA730" s="303">
        <f>IFERROR(VLOOKUP(F730&amp;K730&amp;M730,製品マスタ!$M$5:$AM$5002,27,FALSE),"")</f>
        <v>0</v>
      </c>
      <c r="AB730" s="33"/>
      <c r="AC730" s="189"/>
      <c r="AD730" s="54" t="str">
        <f>IF(F730="","",+F730&amp;K730)</f>
        <v>3SNMLBMNGKKBF50</v>
      </c>
      <c r="AE730" s="55">
        <f>+M730*N730*O730/1000</f>
        <v>26880</v>
      </c>
      <c r="AF730" s="43">
        <f>IF(AD730="","",VLOOKUP(AD730,原価マスタ!$A$2:$AJ$1693,13,FALSE))</f>
        <v>99</v>
      </c>
      <c r="AG730" s="47">
        <f>IF(AF730="","",+AE730*AF730/100)</f>
        <v>26611.200000000001</v>
      </c>
      <c r="AH730" s="30"/>
      <c r="AI730" s="30"/>
      <c r="AJ730" s="30"/>
      <c r="AK730" s="30"/>
      <c r="AL730" s="13"/>
      <c r="AM730" s="13"/>
      <c r="AN730" s="13"/>
      <c r="AO730" s="13"/>
      <c r="AP730" s="13"/>
      <c r="AQ730" s="14"/>
      <c r="AR730" s="15"/>
    </row>
    <row r="731" spans="1:44" s="17" customFormat="1" ht="30.95" hidden="1" customHeight="1" x14ac:dyDescent="0.2">
      <c r="A731" s="37"/>
      <c r="B731" s="38"/>
      <c r="C731" s="45"/>
      <c r="D731" s="31"/>
      <c r="E731" s="31"/>
      <c r="F731" s="268"/>
      <c r="G731" s="269"/>
      <c r="H731" s="269"/>
      <c r="I731" s="270"/>
      <c r="J731" s="32"/>
      <c r="K731" s="270"/>
      <c r="L731" s="270"/>
      <c r="M731" s="39"/>
      <c r="N731" s="39"/>
      <c r="O731" s="47"/>
      <c r="P731" s="57"/>
      <c r="Q731" s="276"/>
      <c r="R731" s="277"/>
      <c r="S731" s="277"/>
      <c r="T731" s="40"/>
      <c r="U731" s="278"/>
      <c r="V731" s="269"/>
      <c r="W731" s="269"/>
      <c r="X731" s="275"/>
      <c r="Y731" s="269"/>
      <c r="Z731" s="57"/>
      <c r="AA731" s="207"/>
      <c r="AB731" s="33"/>
      <c r="AC731" s="189"/>
      <c r="AD731" s="54"/>
      <c r="AE731" s="55"/>
      <c r="AF731" s="43"/>
      <c r="AG731" s="47"/>
      <c r="AH731" s="30"/>
      <c r="AI731" s="30"/>
      <c r="AJ731" s="30"/>
      <c r="AK731" s="30"/>
      <c r="AL731" s="13"/>
      <c r="AM731" s="13"/>
      <c r="AN731" s="13"/>
      <c r="AO731" s="13"/>
      <c r="AP731" s="13"/>
      <c r="AQ731" s="14"/>
      <c r="AR731" s="15"/>
    </row>
    <row r="732" spans="1:44" s="17" customFormat="1" ht="30.95" hidden="1" customHeight="1" x14ac:dyDescent="0.2">
      <c r="A732" s="37" t="s">
        <v>1384</v>
      </c>
      <c r="B732" s="38" t="s">
        <v>1375</v>
      </c>
      <c r="C732" s="45"/>
      <c r="D732" s="31"/>
      <c r="E732" s="31"/>
      <c r="F732" s="268"/>
      <c r="G732" s="269"/>
      <c r="H732" s="269"/>
      <c r="I732" s="270"/>
      <c r="J732" s="32" t="s">
        <v>1382</v>
      </c>
      <c r="K732" s="270"/>
      <c r="L732" s="270"/>
      <c r="M732" s="39"/>
      <c r="N732" s="39"/>
      <c r="O732" s="47"/>
      <c r="P732" s="57"/>
      <c r="Q732" s="276"/>
      <c r="R732" s="277"/>
      <c r="S732" s="277"/>
      <c r="T732" s="40"/>
      <c r="U732" s="278"/>
      <c r="V732" s="269"/>
      <c r="W732" s="269"/>
      <c r="X732" s="275"/>
      <c r="Y732" s="269"/>
      <c r="Z732" s="57"/>
      <c r="AA732" s="207"/>
      <c r="AB732" s="33"/>
      <c r="AC732" s="189"/>
      <c r="AD732" s="54"/>
      <c r="AE732" s="55"/>
      <c r="AF732" s="43"/>
      <c r="AG732" s="47"/>
      <c r="AH732" s="30"/>
      <c r="AI732" s="30"/>
      <c r="AJ732" s="30"/>
      <c r="AK732" s="30"/>
      <c r="AL732" s="13"/>
      <c r="AM732" s="13"/>
      <c r="AN732" s="13"/>
      <c r="AO732" s="13"/>
      <c r="AP732" s="13"/>
      <c r="AQ732" s="14"/>
      <c r="AR732" s="15"/>
    </row>
    <row r="733" spans="1:44" s="17" customFormat="1" ht="30.95" hidden="1" customHeight="1" x14ac:dyDescent="0.2">
      <c r="A733" s="37"/>
      <c r="B733" s="38"/>
      <c r="C733" s="45"/>
      <c r="D733" s="31"/>
      <c r="E733" s="31"/>
      <c r="F733" s="268"/>
      <c r="G733" s="269"/>
      <c r="H733" s="269"/>
      <c r="I733" s="270"/>
      <c r="J733" s="32"/>
      <c r="K733" s="270"/>
      <c r="L733" s="270"/>
      <c r="M733" s="39"/>
      <c r="N733" s="39"/>
      <c r="O733" s="47"/>
      <c r="P733" s="57"/>
      <c r="Q733" s="276"/>
      <c r="R733" s="277"/>
      <c r="S733" s="277"/>
      <c r="T733" s="40"/>
      <c r="U733" s="278"/>
      <c r="V733" s="269"/>
      <c r="W733" s="269"/>
      <c r="X733" s="275"/>
      <c r="Y733" s="269"/>
      <c r="Z733" s="57"/>
      <c r="AA733" s="207"/>
      <c r="AB733" s="33"/>
      <c r="AC733" s="189"/>
      <c r="AD733" s="54"/>
      <c r="AE733" s="55"/>
      <c r="AF733" s="43"/>
      <c r="AG733" s="47"/>
      <c r="AH733" s="30"/>
      <c r="AI733" s="30"/>
      <c r="AJ733" s="30"/>
      <c r="AK733" s="30"/>
      <c r="AL733" s="13"/>
      <c r="AM733" s="13"/>
      <c r="AN733" s="13"/>
      <c r="AO733" s="13"/>
      <c r="AP733" s="13"/>
      <c r="AQ733" s="14"/>
      <c r="AR733" s="15"/>
    </row>
    <row r="734" spans="1:44" s="17" customFormat="1" ht="30.95" hidden="1" customHeight="1" x14ac:dyDescent="0.2">
      <c r="A734" s="37" t="s">
        <v>1385</v>
      </c>
      <c r="B734" s="38" t="s">
        <v>1377</v>
      </c>
      <c r="C734" s="45"/>
      <c r="D734" s="31"/>
      <c r="E734" s="31"/>
      <c r="F734" s="268"/>
      <c r="G734" s="269"/>
      <c r="H734" s="269"/>
      <c r="I734" s="270"/>
      <c r="J734" s="32" t="s">
        <v>1382</v>
      </c>
      <c r="K734" s="270"/>
      <c r="L734" s="270"/>
      <c r="M734" s="39"/>
      <c r="N734" s="39"/>
      <c r="O734" s="47"/>
      <c r="P734" s="57"/>
      <c r="Q734" s="276"/>
      <c r="R734" s="277"/>
      <c r="S734" s="277"/>
      <c r="T734" s="40"/>
      <c r="U734" s="278"/>
      <c r="V734" s="269"/>
      <c r="W734" s="269"/>
      <c r="X734" s="275"/>
      <c r="Y734" s="269"/>
      <c r="Z734" s="57"/>
      <c r="AA734" s="207"/>
      <c r="AB734" s="33"/>
      <c r="AC734" s="189"/>
      <c r="AD734" s="54"/>
      <c r="AE734" s="55"/>
      <c r="AF734" s="43"/>
      <c r="AG734" s="47"/>
      <c r="AH734" s="30"/>
      <c r="AI734" s="30"/>
      <c r="AJ734" s="30"/>
      <c r="AK734" s="30"/>
      <c r="AL734" s="13"/>
      <c r="AM734" s="13"/>
      <c r="AN734" s="13"/>
      <c r="AO734" s="13"/>
      <c r="AP734" s="13"/>
      <c r="AQ734" s="14"/>
      <c r="AR734" s="15"/>
    </row>
    <row r="735" spans="1:44" s="17" customFormat="1" ht="30.95" hidden="1" customHeight="1" x14ac:dyDescent="0.2">
      <c r="A735" s="37"/>
      <c r="B735" s="38"/>
      <c r="C735" s="45"/>
      <c r="D735" s="31"/>
      <c r="E735" s="31"/>
      <c r="F735" s="268"/>
      <c r="G735" s="269"/>
      <c r="H735" s="269"/>
      <c r="I735" s="270"/>
      <c r="J735" s="32"/>
      <c r="K735" s="270"/>
      <c r="L735" s="270"/>
      <c r="M735" s="39"/>
      <c r="N735" s="39"/>
      <c r="O735" s="47"/>
      <c r="P735" s="57"/>
      <c r="Q735" s="276"/>
      <c r="R735" s="277"/>
      <c r="S735" s="277"/>
      <c r="T735" s="40"/>
      <c r="U735" s="278"/>
      <c r="V735" s="269"/>
      <c r="W735" s="269"/>
      <c r="X735" s="275"/>
      <c r="Y735" s="269"/>
      <c r="Z735" s="57"/>
      <c r="AA735" s="207"/>
      <c r="AB735" s="33"/>
      <c r="AC735" s="189"/>
      <c r="AD735" s="54"/>
      <c r="AE735" s="55"/>
      <c r="AF735" s="43"/>
      <c r="AG735" s="47"/>
      <c r="AH735" s="30"/>
      <c r="AI735" s="30"/>
      <c r="AJ735" s="30"/>
      <c r="AK735" s="30"/>
      <c r="AL735" s="13"/>
      <c r="AM735" s="13"/>
      <c r="AN735" s="13"/>
      <c r="AO735" s="13"/>
      <c r="AP735" s="13"/>
      <c r="AQ735" s="14"/>
      <c r="AR735" s="15"/>
    </row>
    <row r="736" spans="1:44" s="17" customFormat="1" ht="30.75" hidden="1" customHeight="1" x14ac:dyDescent="0.2">
      <c r="A736" s="37" t="s">
        <v>1446</v>
      </c>
      <c r="B736" s="38" t="s">
        <v>1439</v>
      </c>
      <c r="C736" s="45"/>
      <c r="D736" s="31">
        <v>3721208</v>
      </c>
      <c r="E736" s="31">
        <v>4151430</v>
      </c>
      <c r="F736" s="268" t="str">
        <f>IF(D736="","",VLOOKUP(D736,契約台帳!$A$3:$K$4986,6,FALSE)&amp;VLOOKUP(D736,契約台帳!$A$3:$K$4986,7,FALSE)&amp;VLOOKUP(D736,契約台帳!$A$3:$K$4986,8,FALSE)&amp;VLOOKUP(D736,契約台帳!$A$3:$K$4986,9,FALSE)&amp;VLOOKUP(D736,契約台帳!$A$3:$K$4986,11,FALSE))</f>
        <v>3SNMLBMNGKKBF</v>
      </c>
      <c r="G736" s="269" t="str">
        <f>IF(D736="","",VLOOKUP(F736,製品マスタ!$G$5:$H$5002,2,FALSE))</f>
        <v>S</v>
      </c>
      <c r="H736" s="269" t="str">
        <f>IF(D736="","",VLOOKUP(F736,製品マスタ!$G$5:$K$5002,5,FALSE))</f>
        <v>MNGKKBF</v>
      </c>
      <c r="I736" s="270" t="str">
        <f>IF(D736="","",VLOOKUP(F736,製品マスタ!$G$5:$L$5002,6,FALSE))</f>
        <v>メタルミー　ネーマー銀消改　Ｂ</v>
      </c>
      <c r="J736" s="32" t="s">
        <v>447</v>
      </c>
      <c r="K736" s="270">
        <f>IF(D736="","",VLOOKUP(D736,契約台帳!$A$3:$L$4986,12,FALSE))</f>
        <v>50</v>
      </c>
      <c r="L736" s="270" t="str">
        <f>IF(D736="","",INDEX(製品マスタ!$Q$5:$Q$5002,MATCH(F736&amp;K736,製品マスタ!$AO$5:$AO$5002,0)))</f>
        <v>S99-MAT</v>
      </c>
      <c r="M736" s="39">
        <v>1120</v>
      </c>
      <c r="N736" s="39">
        <v>8000</v>
      </c>
      <c r="O736" s="47">
        <v>1</v>
      </c>
      <c r="P736" s="57"/>
      <c r="Q736" s="276">
        <f>IF(D736="","",IF(J736="リード付け",M736,VLOOKUP(D736,契約台帳!$A$3:$N$4986,14,FALSE)))</f>
        <v>1120</v>
      </c>
      <c r="R736" s="277">
        <f>IF(D736="","",IF(J736="リード付け",M736,VLOOKUP(D736,契約台帳!$A$3:$O$4986,15,FALSE)))</f>
        <v>1120</v>
      </c>
      <c r="S736" s="277">
        <f>IF(D736="","",IF(J736="リード付け",N736,VLOOKUP(D736,契約台帳!$A$3:$P$4986,16,FALSE)))</f>
        <v>4000</v>
      </c>
      <c r="T736" s="40">
        <v>2</v>
      </c>
      <c r="U736" s="302">
        <f ca="1">IF(D736="","",IF(OFFSET(D736,-2,0)=D736,"",VLOOKUP(D736,契約台帳!$A$3:$R$4986,18,FALSE)))</f>
        <v>20</v>
      </c>
      <c r="V736" s="269" t="str">
        <f>IF(J736="巻返し",VLOOKUP(F736&amp;K736&amp;M736,製品マスタ!$M$5:$AD$5002,18,FALSE),IF(J736="リード付け","原反コア",IF(J736="スリット",VLOOKUP(F736&amp;K736&amp;Q736,製品マスタ!$N$5:$AD$5002,17,FALSE),"")))</f>
        <v>6ｲﾝﾁSｺｱ</v>
      </c>
      <c r="W736" s="269">
        <f>IF(J736="巻返し",VLOOKUP(F736&amp;K736&amp;M736,製品マスタ!$M$5:$AE$5002,19,FALSE),IF(J736="リード付け","-",IF(J736="スリット",VLOOKUP(F736&amp;K736&amp;Q736,製品マスタ!$N$5:$AE$5002,18,FALSE),"")))</f>
        <v>1125</v>
      </c>
      <c r="X736" s="275">
        <f>IF(D736="","",VLOOKUP(D736,契約台帳!$A$3:$Q$4986,17,FALSE))</f>
        <v>2</v>
      </c>
      <c r="Y736" s="269" t="str">
        <f>IF(D736="","",VLOOKUP(D736,契約台帳!$A$3:$E$4986,5,FALSE))</f>
        <v>リンテック㈱</v>
      </c>
      <c r="Z736" s="57">
        <v>45168</v>
      </c>
      <c r="AA736" s="303">
        <f>IFERROR(VLOOKUP(F736&amp;K736&amp;M736,製品マスタ!$M$5:$AM$5002,27,FALSE),"")</f>
        <v>0</v>
      </c>
      <c r="AB736" s="33"/>
      <c r="AC736" s="189"/>
      <c r="AD736" s="54" t="str">
        <f>IF(F736="","",+F736&amp;K736)</f>
        <v>3SNMLBMNGKKBF50</v>
      </c>
      <c r="AE736" s="55">
        <f>+M736*N736*O736/1000</f>
        <v>8960</v>
      </c>
      <c r="AF736" s="43">
        <f>IF(AD736="","",VLOOKUP(AD736,原価マスタ!$A$2:$AJ$1693,13,FALSE))</f>
        <v>99</v>
      </c>
      <c r="AG736" s="47">
        <f>IF(AF736="","",+AE736*AF736/100)</f>
        <v>8870.4</v>
      </c>
      <c r="AH736" s="30"/>
      <c r="AI736" s="30"/>
      <c r="AJ736" s="30"/>
      <c r="AK736" s="30"/>
      <c r="AL736" s="13"/>
      <c r="AM736" s="13"/>
      <c r="AN736" s="13"/>
      <c r="AO736" s="13"/>
      <c r="AP736" s="13"/>
      <c r="AQ736" s="14"/>
      <c r="AR736" s="15"/>
    </row>
    <row r="737" spans="1:44" s="17" customFormat="1" ht="30.95" hidden="1" customHeight="1" x14ac:dyDescent="0.2">
      <c r="A737" s="37"/>
      <c r="B737" s="38"/>
      <c r="C737" s="45"/>
      <c r="D737" s="31"/>
      <c r="E737" s="31"/>
      <c r="F737" s="268"/>
      <c r="G737" s="269"/>
      <c r="H737" s="269"/>
      <c r="I737" s="270"/>
      <c r="J737" s="32"/>
      <c r="K737" s="270"/>
      <c r="L737" s="270"/>
      <c r="M737" s="39"/>
      <c r="N737" s="39"/>
      <c r="O737" s="47"/>
      <c r="P737" s="57"/>
      <c r="Q737" s="276"/>
      <c r="R737" s="277"/>
      <c r="S737" s="277"/>
      <c r="T737" s="40"/>
      <c r="U737" s="278"/>
      <c r="V737" s="269"/>
      <c r="W737" s="269"/>
      <c r="X737" s="275"/>
      <c r="Y737" s="269"/>
      <c r="Z737" s="57"/>
      <c r="AA737" s="207"/>
      <c r="AB737" s="33"/>
      <c r="AC737" s="189"/>
      <c r="AD737" s="54"/>
      <c r="AE737" s="55"/>
      <c r="AF737" s="43"/>
      <c r="AG737" s="47"/>
      <c r="AH737" s="30"/>
      <c r="AI737" s="30"/>
      <c r="AJ737" s="30"/>
      <c r="AK737" s="30"/>
      <c r="AL737" s="13"/>
      <c r="AM737" s="13"/>
      <c r="AN737" s="13"/>
      <c r="AO737" s="13"/>
      <c r="AP737" s="13"/>
      <c r="AQ737" s="14"/>
      <c r="AR737" s="15"/>
    </row>
    <row r="738" spans="1:44" s="233" customFormat="1" ht="30.95" hidden="1" customHeight="1" x14ac:dyDescent="0.2">
      <c r="A738" s="217"/>
      <c r="B738" s="218"/>
      <c r="C738" s="280"/>
      <c r="D738" s="219"/>
      <c r="E738" s="219"/>
      <c r="F738" s="281"/>
      <c r="G738" s="282"/>
      <c r="H738" s="282"/>
      <c r="I738" s="283"/>
      <c r="J738" s="220"/>
      <c r="K738" s="283"/>
      <c r="L738" s="283"/>
      <c r="M738" s="221"/>
      <c r="N738" s="221"/>
      <c r="O738" s="222"/>
      <c r="P738" s="213"/>
      <c r="Q738" s="284"/>
      <c r="R738" s="285"/>
      <c r="S738" s="285"/>
      <c r="T738" s="224"/>
      <c r="U738" s="286"/>
      <c r="V738" s="282"/>
      <c r="W738" s="282"/>
      <c r="X738" s="287"/>
      <c r="Y738" s="282"/>
      <c r="Z738" s="213"/>
      <c r="AA738" s="288"/>
      <c r="AB738" s="225"/>
      <c r="AC738" s="226"/>
      <c r="AD738" s="227"/>
      <c r="AE738" s="228"/>
      <c r="AF738" s="223"/>
      <c r="AG738" s="234" t="e">
        <f>SUM(AG630:AG735)</f>
        <v>#N/A</v>
      </c>
      <c r="AH738" s="229"/>
      <c r="AI738" s="229"/>
      <c r="AJ738" s="229"/>
      <c r="AK738" s="229"/>
      <c r="AL738" s="230"/>
      <c r="AM738" s="230"/>
      <c r="AN738" s="230"/>
      <c r="AO738" s="230"/>
      <c r="AP738" s="230"/>
      <c r="AQ738" s="231"/>
      <c r="AR738" s="232"/>
    </row>
    <row r="739" spans="1:44" s="17" customFormat="1" ht="30.95" hidden="1" customHeight="1" x14ac:dyDescent="0.2">
      <c r="A739" s="37"/>
      <c r="B739" s="38"/>
      <c r="C739" s="45"/>
      <c r="D739" s="31"/>
      <c r="E739" s="31"/>
      <c r="F739" s="268"/>
      <c r="G739" s="269"/>
      <c r="H739" s="269"/>
      <c r="I739" s="270"/>
      <c r="J739" s="32"/>
      <c r="K739" s="270"/>
      <c r="L739" s="270"/>
      <c r="M739" s="39"/>
      <c r="N739" s="39"/>
      <c r="O739" s="47"/>
      <c r="P739" s="57"/>
      <c r="Q739" s="276"/>
      <c r="R739" s="277"/>
      <c r="S739" s="277"/>
      <c r="T739" s="40"/>
      <c r="U739" s="278"/>
      <c r="V739" s="269"/>
      <c r="W739" s="269"/>
      <c r="X739" s="275"/>
      <c r="Y739" s="269"/>
      <c r="Z739" s="57"/>
      <c r="AA739" s="207"/>
      <c r="AB739" s="33"/>
      <c r="AC739" s="189"/>
      <c r="AD739" s="54"/>
      <c r="AE739" s="55"/>
      <c r="AF739" s="43"/>
      <c r="AG739" s="47"/>
      <c r="AH739" s="30"/>
      <c r="AI739" s="30"/>
      <c r="AJ739" s="30"/>
      <c r="AK739" s="30"/>
      <c r="AL739" s="13"/>
      <c r="AM739" s="13"/>
      <c r="AN739" s="13"/>
      <c r="AO739" s="13"/>
      <c r="AP739" s="13"/>
      <c r="AQ739" s="14"/>
      <c r="AR739" s="15"/>
    </row>
    <row r="740" spans="1:44" s="17" customFormat="1" ht="30.95" hidden="1" customHeight="1" x14ac:dyDescent="0.2">
      <c r="A740" s="37" t="s">
        <v>1386</v>
      </c>
      <c r="B740" s="38" t="s">
        <v>1380</v>
      </c>
      <c r="C740" s="45"/>
      <c r="D740" s="31"/>
      <c r="E740" s="31"/>
      <c r="F740" s="268"/>
      <c r="G740" s="269"/>
      <c r="H740" s="269"/>
      <c r="I740" s="270"/>
      <c r="J740" s="32" t="s">
        <v>490</v>
      </c>
      <c r="K740" s="270"/>
      <c r="L740" s="270"/>
      <c r="M740" s="39"/>
      <c r="N740" s="39"/>
      <c r="O740" s="47"/>
      <c r="P740" s="57"/>
      <c r="Q740" s="276"/>
      <c r="R740" s="277"/>
      <c r="S740" s="277"/>
      <c r="T740" s="40"/>
      <c r="U740" s="278"/>
      <c r="V740" s="269"/>
      <c r="W740" s="269"/>
      <c r="X740" s="275"/>
      <c r="Y740" s="269"/>
      <c r="Z740" s="57"/>
      <c r="AA740" s="207"/>
      <c r="AB740" s="33"/>
      <c r="AC740" s="189"/>
      <c r="AD740" s="54"/>
      <c r="AE740" s="55"/>
      <c r="AF740" s="43"/>
      <c r="AG740" s="47"/>
      <c r="AH740" s="30"/>
      <c r="AI740" s="30"/>
      <c r="AJ740" s="30"/>
      <c r="AK740" s="30"/>
      <c r="AL740" s="13"/>
      <c r="AM740" s="13"/>
      <c r="AN740" s="13"/>
      <c r="AO740" s="13"/>
      <c r="AP740" s="13"/>
      <c r="AQ740" s="14"/>
      <c r="AR740" s="15"/>
    </row>
    <row r="741" spans="1:44" s="17" customFormat="1" ht="30.95" hidden="1" customHeight="1" x14ac:dyDescent="0.2">
      <c r="A741" s="37"/>
      <c r="B741" s="38"/>
      <c r="C741" s="45"/>
      <c r="D741" s="31"/>
      <c r="E741" s="31"/>
      <c r="F741" s="268"/>
      <c r="G741" s="269"/>
      <c r="H741" s="269"/>
      <c r="I741" s="270"/>
      <c r="J741" s="32"/>
      <c r="K741" s="270"/>
      <c r="L741" s="270"/>
      <c r="M741" s="39"/>
      <c r="N741" s="39"/>
      <c r="O741" s="47"/>
      <c r="P741" s="57"/>
      <c r="Q741" s="276"/>
      <c r="R741" s="277"/>
      <c r="S741" s="277"/>
      <c r="T741" s="40"/>
      <c r="U741" s="278"/>
      <c r="V741" s="269"/>
      <c r="W741" s="269"/>
      <c r="X741" s="275"/>
      <c r="Y741" s="269"/>
      <c r="Z741" s="57"/>
      <c r="AA741" s="207"/>
      <c r="AB741" s="33"/>
      <c r="AC741" s="189"/>
      <c r="AD741" s="54"/>
      <c r="AE741" s="55"/>
      <c r="AF741" s="43"/>
      <c r="AG741" s="47"/>
      <c r="AH741" s="30"/>
      <c r="AI741" s="30"/>
      <c r="AJ741" s="30"/>
      <c r="AK741" s="30"/>
      <c r="AL741" s="13"/>
      <c r="AM741" s="13"/>
      <c r="AN741" s="13"/>
      <c r="AO741" s="13"/>
      <c r="AP741" s="13"/>
      <c r="AQ741" s="14"/>
      <c r="AR741" s="15"/>
    </row>
    <row r="742" spans="1:44" s="17" customFormat="1" ht="30.95" hidden="1" customHeight="1" x14ac:dyDescent="0.2">
      <c r="A742" s="37" t="s">
        <v>1387</v>
      </c>
      <c r="B742" s="38" t="s">
        <v>1370</v>
      </c>
      <c r="C742" s="45"/>
      <c r="D742" s="31"/>
      <c r="E742" s="31"/>
      <c r="F742" s="268"/>
      <c r="G742" s="269"/>
      <c r="H742" s="269"/>
      <c r="I742" s="270"/>
      <c r="J742" s="32" t="s">
        <v>489</v>
      </c>
      <c r="K742" s="270"/>
      <c r="L742" s="270"/>
      <c r="M742" s="39"/>
      <c r="N742" s="39"/>
      <c r="O742" s="47"/>
      <c r="P742" s="57"/>
      <c r="Q742" s="276"/>
      <c r="R742" s="277"/>
      <c r="S742" s="277"/>
      <c r="T742" s="40"/>
      <c r="U742" s="278"/>
      <c r="V742" s="269"/>
      <c r="W742" s="269"/>
      <c r="X742" s="275"/>
      <c r="Y742" s="269"/>
      <c r="Z742" s="57"/>
      <c r="AA742" s="207"/>
      <c r="AB742" s="33"/>
      <c r="AC742" s="189"/>
      <c r="AD742" s="54"/>
      <c r="AE742" s="55"/>
      <c r="AF742" s="43"/>
      <c r="AG742" s="47"/>
      <c r="AH742" s="30"/>
      <c r="AI742" s="30"/>
      <c r="AJ742" s="30"/>
      <c r="AK742" s="30"/>
      <c r="AL742" s="13"/>
      <c r="AM742" s="13"/>
      <c r="AN742" s="13"/>
      <c r="AO742" s="13"/>
      <c r="AP742" s="13"/>
      <c r="AQ742" s="14"/>
      <c r="AR742" s="15"/>
    </row>
    <row r="743" spans="1:44" s="17" customFormat="1" ht="30.95" hidden="1" customHeight="1" x14ac:dyDescent="0.2">
      <c r="A743" s="37"/>
      <c r="B743" s="38"/>
      <c r="C743" s="45"/>
      <c r="D743" s="31"/>
      <c r="E743" s="31"/>
      <c r="F743" s="268"/>
      <c r="G743" s="269"/>
      <c r="H743" s="269"/>
      <c r="I743" s="270"/>
      <c r="J743" s="32"/>
      <c r="K743" s="270"/>
      <c r="L743" s="270"/>
      <c r="M743" s="39"/>
      <c r="N743" s="39"/>
      <c r="O743" s="47"/>
      <c r="P743" s="57"/>
      <c r="Q743" s="276"/>
      <c r="R743" s="277"/>
      <c r="S743" s="277"/>
      <c r="T743" s="40"/>
      <c r="U743" s="278"/>
      <c r="V743" s="269"/>
      <c r="W743" s="269"/>
      <c r="X743" s="275"/>
      <c r="Y743" s="269"/>
      <c r="Z743" s="57"/>
      <c r="AA743" s="207"/>
      <c r="AB743" s="33"/>
      <c r="AC743" s="189"/>
      <c r="AD743" s="54"/>
      <c r="AE743" s="55"/>
      <c r="AF743" s="43"/>
      <c r="AG743" s="47"/>
      <c r="AH743" s="30"/>
      <c r="AI743" s="30"/>
      <c r="AJ743" s="30"/>
      <c r="AK743" s="30"/>
      <c r="AL743" s="13"/>
      <c r="AM743" s="13"/>
      <c r="AN743" s="13"/>
      <c r="AO743" s="13"/>
      <c r="AP743" s="13"/>
      <c r="AQ743" s="14"/>
      <c r="AR743" s="15"/>
    </row>
    <row r="744" spans="1:44" s="17" customFormat="1" ht="30.95" hidden="1" customHeight="1" x14ac:dyDescent="0.2">
      <c r="A744" s="37" t="s">
        <v>1388</v>
      </c>
      <c r="B744" s="38" t="s">
        <v>1371</v>
      </c>
      <c r="C744" s="45"/>
      <c r="D744" s="31"/>
      <c r="E744" s="31"/>
      <c r="F744" s="268" t="str">
        <f>IF(D744="","",VLOOKUP(D744,契約台帳!$A$3:$K$4986,6,FALSE)&amp;VLOOKUP(D744,契約台帳!$A$3:$K$4986,7,FALSE)&amp;VLOOKUP(D744,契約台帳!$A$3:$K$4986,8,FALSE)&amp;VLOOKUP(D744,契約台帳!$A$3:$K$4986,9,FALSE)&amp;VLOOKUP(D744,契約台帳!$A$3:$K$4986,11,FALSE))</f>
        <v/>
      </c>
      <c r="G744" s="269" t="str">
        <f>IF(D744="","",VLOOKUP(F744,製品マスタ!$G$5:$H$5002,2,FALSE))</f>
        <v/>
      </c>
      <c r="H744" s="269" t="str">
        <f>IF(D744="","",VLOOKUP(F744,製品マスタ!$G$5:$K$5002,5,FALSE))</f>
        <v/>
      </c>
      <c r="I744" s="270" t="str">
        <f>IF(D744="","",VLOOKUP(F744,製品マスタ!$G$5:$L$5002,6,FALSE))</f>
        <v/>
      </c>
      <c r="J744" s="32" t="s">
        <v>489</v>
      </c>
      <c r="K744" s="270" t="str">
        <f>IF(D744="","",VLOOKUP(D744,契約台帳!$A$3:$L$4986,12,FALSE))</f>
        <v/>
      </c>
      <c r="L744" s="270" t="str">
        <f>IF(D744="","",INDEX(製品マスタ!$Q$5:$Q$5002,MATCH(F744&amp;K744,製品マスタ!$AO$5:$AO$5002,0)))</f>
        <v/>
      </c>
      <c r="M744" s="39"/>
      <c r="N744" s="39"/>
      <c r="O744" s="47"/>
      <c r="P744" s="57"/>
      <c r="Q744" s="276" t="str">
        <f>IF(D744="","",IF(J744="リード付け",M744,VLOOKUP(D744,契約台帳!$A$3:$N$4986,14,FALSE)))</f>
        <v/>
      </c>
      <c r="R744" s="277" t="str">
        <f>IF(D744="","",IF(J744="リード付け",M744,VLOOKUP(D744,契約台帳!$A$3:$O$4986,15,FALSE)))</f>
        <v/>
      </c>
      <c r="S744" s="277" t="str">
        <f>IF(D744="","",IF(J744="リード付け",N744,VLOOKUP(D744,契約台帳!$A$3:$P$4986,16,FALSE)))</f>
        <v/>
      </c>
      <c r="T744" s="40"/>
      <c r="U744" s="278" t="str">
        <f ca="1">IF(D744="","",IF(OFFSET(D744,-2,0)=D744,"",VLOOKUP(D744,契約台帳!$A$3:$R$4986,18,FALSE)))</f>
        <v/>
      </c>
      <c r="V744" s="269" t="str">
        <f>IF(J744="巻返し",VLOOKUP(F744&amp;K744&amp;M744,製品マスタ!$M$5:$AD$5002,18,FALSE),IF(J744="リード付け","原反コア",IF(J744="スリット",VLOOKUP(F744&amp;K744&amp;Q744,製品マスタ!$N$5:$AD$5002,17,FALSE),"")))</f>
        <v/>
      </c>
      <c r="W744" s="269" t="str">
        <f>IF(J744="巻返し",VLOOKUP(F744&amp;K744&amp;M744,製品マスタ!$M$5:$AE$5002,19,FALSE),IF(J744="リード付け","-",IF(J744="スリット",VLOOKUP(F744&amp;K744&amp;Q744,製品マスタ!$N$5:$AE$5002,18,FALSE),"")))</f>
        <v/>
      </c>
      <c r="X744" s="275" t="str">
        <f>IF(D744="","",VLOOKUP(D744,契約台帳!$A$3:$Q$4986,17,FALSE))</f>
        <v/>
      </c>
      <c r="Y744" s="269" t="str">
        <f>IF(D744="","",VLOOKUP(D744,契約台帳!$A$3:$E$4986,5,FALSE))</f>
        <v/>
      </c>
      <c r="Z744" s="57"/>
      <c r="AA744" s="207" t="str">
        <f>IFERROR(VLOOKUP(F744&amp;K744&amp;M744,製品マスタ!$M$5:$AM$5002,27,FALSE),"")</f>
        <v/>
      </c>
      <c r="AB744" s="33"/>
      <c r="AC744" s="189"/>
      <c r="AD744" s="54"/>
      <c r="AE744" s="55"/>
      <c r="AF744" s="43"/>
      <c r="AG744" s="47"/>
      <c r="AH744" s="30"/>
      <c r="AI744" s="30"/>
      <c r="AJ744" s="30"/>
      <c r="AK744" s="30"/>
      <c r="AL744" s="13"/>
      <c r="AM744" s="13"/>
      <c r="AN744" s="13"/>
      <c r="AO744" s="13"/>
      <c r="AP744" s="13"/>
      <c r="AQ744" s="14"/>
      <c r="AR744" s="15"/>
    </row>
    <row r="745" spans="1:44" s="17" customFormat="1" ht="30.95" hidden="1" customHeight="1" x14ac:dyDescent="0.2">
      <c r="A745" s="37"/>
      <c r="B745" s="38"/>
      <c r="C745" s="45"/>
      <c r="D745" s="31"/>
      <c r="E745" s="31"/>
      <c r="F745" s="268" t="str">
        <f>IF(D745="","",VLOOKUP(D745,契約台帳!$A$3:$K$4986,6,FALSE)&amp;VLOOKUP(D745,契約台帳!$A$3:$K$4986,7,FALSE)&amp;VLOOKUP(D745,契約台帳!$A$3:$K$4986,8,FALSE)&amp;VLOOKUP(D745,契約台帳!$A$3:$K$4986,9,FALSE)&amp;VLOOKUP(D745,契約台帳!$A$3:$K$4986,11,FALSE))</f>
        <v/>
      </c>
      <c r="G745" s="269" t="str">
        <f>IF(D745="","",VLOOKUP(F745,製品マスタ!$G$5:$H$5002,2,FALSE))</f>
        <v/>
      </c>
      <c r="H745" s="269" t="str">
        <f>IF(D745="","",VLOOKUP(F745,製品マスタ!$G$5:$K$5002,5,FALSE))</f>
        <v/>
      </c>
      <c r="I745" s="270" t="str">
        <f>IF(D745="","",VLOOKUP(F745,製品マスタ!$G$5:$L$5002,6,FALSE))</f>
        <v/>
      </c>
      <c r="J745" s="32"/>
      <c r="K745" s="270" t="str">
        <f>IF(D745="","",VLOOKUP(D745,契約台帳!$A$3:$L$4986,12,FALSE))</f>
        <v/>
      </c>
      <c r="L745" s="270" t="str">
        <f>IF(D745="","",INDEX(製品マスタ!$Q$5:$Q$5002,MATCH(F745&amp;K745,製品マスタ!$AO$5:$AO$5002,0)))</f>
        <v/>
      </c>
      <c r="M745" s="39"/>
      <c r="N745" s="39"/>
      <c r="O745" s="47"/>
      <c r="P745" s="57"/>
      <c r="Q745" s="276" t="str">
        <f>IF(D745="","",IF(J745="リード付け",M745,VLOOKUP(D745,契約台帳!$A$3:$N$4986,14,FALSE)))</f>
        <v/>
      </c>
      <c r="R745" s="277" t="str">
        <f>IF(D745="","",IF(J745="リード付け",M745,VLOOKUP(D745,契約台帳!$A$3:$O$4986,15,FALSE)))</f>
        <v/>
      </c>
      <c r="S745" s="277" t="str">
        <f>IF(D745="","",IF(J745="リード付け",N745,VLOOKUP(D745,契約台帳!$A$3:$P$4986,16,FALSE)))</f>
        <v/>
      </c>
      <c r="T745" s="40"/>
      <c r="U745" s="278" t="str">
        <f ca="1">IF(D745="","",IF(OFFSET(D745,-2,0)=D745,"",VLOOKUP(D745,契約台帳!$A$3:$R$4986,18,FALSE)))</f>
        <v/>
      </c>
      <c r="V745" s="269" t="str">
        <f>IF(J745="巻返し",VLOOKUP(F745&amp;K745&amp;M745,製品マスタ!$M$5:$AD$5002,18,FALSE),IF(J745="リード付け","原反コア",IF(J745="スリット",VLOOKUP(F745&amp;K745&amp;Q745,製品マスタ!$N$5:$AD$5002,17,FALSE),"")))</f>
        <v/>
      </c>
      <c r="W745" s="269" t="str">
        <f>IF(J745="巻返し",VLOOKUP(F745&amp;K745&amp;M745,製品マスタ!$M$5:$AE$5002,19,FALSE),IF(J745="リード付け","-",IF(J745="スリット",VLOOKUP(F745&amp;K745&amp;Q745,製品マスタ!$N$5:$AE$5002,18,FALSE),"")))</f>
        <v/>
      </c>
      <c r="X745" s="275" t="str">
        <f>IF(D745="","",VLOOKUP(D745,契約台帳!$A$3:$Q$4986,17,FALSE))</f>
        <v/>
      </c>
      <c r="Y745" s="269" t="str">
        <f>IF(D745="","",VLOOKUP(D745,契約台帳!$A$3:$E$4986,5,FALSE))</f>
        <v/>
      </c>
      <c r="Z745" s="57"/>
      <c r="AA745" s="207" t="str">
        <f>IFERROR(VLOOKUP(F745&amp;K745&amp;M745,製品マスタ!$M$5:$AM$5002,27,FALSE),"")</f>
        <v/>
      </c>
      <c r="AB745" s="33"/>
      <c r="AC745" s="189"/>
      <c r="AD745" s="54"/>
      <c r="AE745" s="55"/>
      <c r="AF745" s="43"/>
      <c r="AG745" s="47"/>
      <c r="AH745" s="30"/>
      <c r="AI745" s="30"/>
      <c r="AJ745" s="30"/>
      <c r="AK745" s="30"/>
      <c r="AL745" s="13"/>
      <c r="AM745" s="13"/>
      <c r="AN745" s="13"/>
      <c r="AO745" s="13"/>
      <c r="AP745" s="13"/>
      <c r="AQ745" s="14"/>
      <c r="AR745" s="15"/>
    </row>
    <row r="746" spans="1:44" s="17" customFormat="1" ht="30.95" hidden="1" customHeight="1" x14ac:dyDescent="0.2">
      <c r="A746" s="343" t="s">
        <v>1389</v>
      </c>
      <c r="B746" s="344" t="s">
        <v>1373</v>
      </c>
      <c r="C746" s="345"/>
      <c r="D746" s="346"/>
      <c r="E746" s="346"/>
      <c r="F746" s="268"/>
      <c r="G746" s="269"/>
      <c r="H746" s="269"/>
      <c r="I746" s="270"/>
      <c r="J746" s="347"/>
      <c r="K746" s="270"/>
      <c r="L746" s="270"/>
      <c r="M746" s="348"/>
      <c r="N746" s="348"/>
      <c r="O746" s="349"/>
      <c r="P746" s="350"/>
      <c r="Q746" s="276"/>
      <c r="R746" s="277"/>
      <c r="S746" s="277"/>
      <c r="T746" s="351"/>
      <c r="U746" s="278"/>
      <c r="V746" s="269"/>
      <c r="W746" s="269"/>
      <c r="X746" s="275"/>
      <c r="Y746" s="269"/>
      <c r="Z746" s="350"/>
      <c r="AA746" s="207"/>
      <c r="AB746" s="352"/>
      <c r="AC746" s="353"/>
      <c r="AD746" s="54"/>
      <c r="AE746" s="354"/>
      <c r="AF746" s="355"/>
      <c r="AG746" s="349"/>
      <c r="AH746" s="30"/>
      <c r="AI746" s="30"/>
      <c r="AJ746" s="30"/>
      <c r="AK746" s="30"/>
      <c r="AL746" s="13"/>
      <c r="AM746" s="13"/>
      <c r="AN746" s="13"/>
      <c r="AO746" s="13"/>
      <c r="AP746" s="13"/>
      <c r="AQ746" s="14"/>
      <c r="AR746" s="15"/>
    </row>
    <row r="747" spans="1:44" s="17" customFormat="1" ht="30.95" hidden="1" customHeight="1" x14ac:dyDescent="0.2">
      <c r="A747" s="343"/>
      <c r="B747" s="344"/>
      <c r="C747" s="345"/>
      <c r="D747" s="346"/>
      <c r="E747" s="346"/>
      <c r="F747" s="268"/>
      <c r="G747" s="269"/>
      <c r="H747" s="269"/>
      <c r="I747" s="270"/>
      <c r="J747" s="347"/>
      <c r="K747" s="270"/>
      <c r="L747" s="270"/>
      <c r="M747" s="348"/>
      <c r="N747" s="348"/>
      <c r="O747" s="349"/>
      <c r="P747" s="350"/>
      <c r="Q747" s="276"/>
      <c r="R747" s="277"/>
      <c r="S747" s="277"/>
      <c r="T747" s="351"/>
      <c r="U747" s="278"/>
      <c r="V747" s="269"/>
      <c r="W747" s="269"/>
      <c r="X747" s="275"/>
      <c r="Y747" s="269"/>
      <c r="Z747" s="350"/>
      <c r="AA747" s="207"/>
      <c r="AB747" s="352"/>
      <c r="AC747" s="353"/>
      <c r="AD747" s="54"/>
      <c r="AE747" s="354"/>
      <c r="AF747" s="355"/>
      <c r="AG747" s="349"/>
      <c r="AH747" s="30"/>
      <c r="AI747" s="30"/>
      <c r="AJ747" s="30"/>
      <c r="AK747" s="30"/>
      <c r="AL747" s="13"/>
      <c r="AM747" s="13"/>
      <c r="AN747" s="13"/>
      <c r="AO747" s="13"/>
      <c r="AP747" s="13"/>
      <c r="AQ747" s="14"/>
      <c r="AR747" s="15"/>
    </row>
    <row r="748" spans="1:44" s="17" customFormat="1" ht="30.95" hidden="1" customHeight="1" x14ac:dyDescent="0.2">
      <c r="A748" s="343" t="s">
        <v>1390</v>
      </c>
      <c r="B748" s="344" t="s">
        <v>1375</v>
      </c>
      <c r="C748" s="345"/>
      <c r="D748" s="346"/>
      <c r="E748" s="346"/>
      <c r="F748" s="268"/>
      <c r="G748" s="269"/>
      <c r="H748" s="269"/>
      <c r="I748" s="270"/>
      <c r="J748" s="347" t="s">
        <v>1382</v>
      </c>
      <c r="K748" s="270"/>
      <c r="L748" s="270"/>
      <c r="M748" s="348"/>
      <c r="N748" s="348"/>
      <c r="O748" s="349"/>
      <c r="P748" s="350"/>
      <c r="Q748" s="276"/>
      <c r="R748" s="277"/>
      <c r="S748" s="277"/>
      <c r="T748" s="351"/>
      <c r="U748" s="278"/>
      <c r="V748" s="269"/>
      <c r="W748" s="269"/>
      <c r="X748" s="275"/>
      <c r="Y748" s="269"/>
      <c r="Z748" s="350"/>
      <c r="AA748" s="207"/>
      <c r="AB748" s="352"/>
      <c r="AC748" s="353"/>
      <c r="AD748" s="54"/>
      <c r="AE748" s="354"/>
      <c r="AF748" s="355"/>
      <c r="AG748" s="349"/>
      <c r="AH748" s="30"/>
      <c r="AI748" s="30"/>
      <c r="AJ748" s="30"/>
      <c r="AK748" s="30"/>
      <c r="AL748" s="13"/>
      <c r="AM748" s="13"/>
      <c r="AN748" s="13"/>
      <c r="AO748" s="13"/>
      <c r="AP748" s="13"/>
      <c r="AQ748" s="14"/>
      <c r="AR748" s="15"/>
    </row>
    <row r="749" spans="1:44" s="17" customFormat="1" ht="30.95" hidden="1" customHeight="1" x14ac:dyDescent="0.2">
      <c r="A749" s="343"/>
      <c r="B749" s="344"/>
      <c r="C749" s="345"/>
      <c r="D749" s="346"/>
      <c r="E749" s="346"/>
      <c r="F749" s="268"/>
      <c r="G749" s="269"/>
      <c r="H749" s="269"/>
      <c r="I749" s="270"/>
      <c r="J749" s="347"/>
      <c r="K749" s="270"/>
      <c r="L749" s="270"/>
      <c r="M749" s="348"/>
      <c r="N749" s="348"/>
      <c r="O749" s="349"/>
      <c r="P749" s="350"/>
      <c r="Q749" s="276"/>
      <c r="R749" s="277"/>
      <c r="S749" s="277"/>
      <c r="T749" s="351"/>
      <c r="U749" s="278"/>
      <c r="V749" s="269"/>
      <c r="W749" s="269"/>
      <c r="X749" s="275"/>
      <c r="Y749" s="269"/>
      <c r="Z749" s="350"/>
      <c r="AA749" s="207"/>
      <c r="AB749" s="352"/>
      <c r="AC749" s="353"/>
      <c r="AD749" s="54"/>
      <c r="AE749" s="354"/>
      <c r="AF749" s="355"/>
      <c r="AG749" s="349"/>
      <c r="AH749" s="30"/>
      <c r="AI749" s="30"/>
      <c r="AJ749" s="30"/>
      <c r="AK749" s="30"/>
      <c r="AL749" s="13"/>
      <c r="AM749" s="13"/>
      <c r="AN749" s="13"/>
      <c r="AO749" s="13"/>
      <c r="AP749" s="13"/>
      <c r="AQ749" s="14"/>
      <c r="AR749" s="15"/>
    </row>
    <row r="750" spans="1:44" s="17" customFormat="1" ht="30.95" hidden="1" customHeight="1" x14ac:dyDescent="0.2">
      <c r="A750" s="343" t="s">
        <v>1391</v>
      </c>
      <c r="B750" s="344" t="s">
        <v>1377</v>
      </c>
      <c r="C750" s="345"/>
      <c r="D750" s="346"/>
      <c r="E750" s="346"/>
      <c r="F750" s="268"/>
      <c r="G750" s="269"/>
      <c r="H750" s="269"/>
      <c r="I750" s="270"/>
      <c r="J750" s="347" t="s">
        <v>1382</v>
      </c>
      <c r="K750" s="270"/>
      <c r="L750" s="270"/>
      <c r="M750" s="348"/>
      <c r="N750" s="348"/>
      <c r="O750" s="349"/>
      <c r="P750" s="350"/>
      <c r="Q750" s="276"/>
      <c r="R750" s="277"/>
      <c r="S750" s="277"/>
      <c r="T750" s="351"/>
      <c r="U750" s="278"/>
      <c r="V750" s="269"/>
      <c r="W750" s="269"/>
      <c r="X750" s="275"/>
      <c r="Y750" s="269"/>
      <c r="Z750" s="350"/>
      <c r="AA750" s="207"/>
      <c r="AB750" s="352"/>
      <c r="AC750" s="353"/>
      <c r="AD750" s="54"/>
      <c r="AE750" s="354"/>
      <c r="AF750" s="355"/>
      <c r="AG750" s="349"/>
      <c r="AH750" s="30"/>
      <c r="AI750" s="30"/>
      <c r="AJ750" s="30"/>
      <c r="AK750" s="30"/>
      <c r="AL750" s="13"/>
      <c r="AM750" s="13"/>
      <c r="AN750" s="13"/>
      <c r="AO750" s="13"/>
      <c r="AP750" s="13"/>
      <c r="AQ750" s="14"/>
      <c r="AR750" s="15"/>
    </row>
    <row r="751" spans="1:44" s="17" customFormat="1" ht="30.95" hidden="1" customHeight="1" x14ac:dyDescent="0.2">
      <c r="A751" s="343"/>
      <c r="B751" s="344"/>
      <c r="C751" s="345"/>
      <c r="D751" s="346"/>
      <c r="E751" s="346"/>
      <c r="F751" s="268"/>
      <c r="G751" s="269"/>
      <c r="H751" s="269"/>
      <c r="I751" s="270"/>
      <c r="J751" s="347"/>
      <c r="K751" s="270"/>
      <c r="L751" s="270"/>
      <c r="M751" s="348"/>
      <c r="N751" s="348"/>
      <c r="O751" s="349"/>
      <c r="P751" s="350"/>
      <c r="Q751" s="276"/>
      <c r="R751" s="277"/>
      <c r="S751" s="277"/>
      <c r="T751" s="351"/>
      <c r="U751" s="278"/>
      <c r="V751" s="269"/>
      <c r="W751" s="269"/>
      <c r="X751" s="275"/>
      <c r="Y751" s="269"/>
      <c r="Z751" s="350"/>
      <c r="AA751" s="207"/>
      <c r="AB751" s="352"/>
      <c r="AC751" s="353"/>
      <c r="AD751" s="54"/>
      <c r="AE751" s="354"/>
      <c r="AF751" s="355"/>
      <c r="AG751" s="349"/>
      <c r="AH751" s="30"/>
      <c r="AI751" s="30"/>
      <c r="AJ751" s="30"/>
      <c r="AK751" s="30"/>
      <c r="AL751" s="13"/>
      <c r="AM751" s="13"/>
      <c r="AN751" s="13"/>
      <c r="AO751" s="13"/>
      <c r="AP751" s="13"/>
      <c r="AQ751" s="14"/>
      <c r="AR751" s="15"/>
    </row>
    <row r="752" spans="1:44" s="17" customFormat="1" ht="30.95" hidden="1" customHeight="1" x14ac:dyDescent="0.2">
      <c r="A752" s="37" t="s">
        <v>549</v>
      </c>
      <c r="B752" s="38" t="s">
        <v>462</v>
      </c>
      <c r="C752" s="45"/>
      <c r="D752" s="31">
        <v>3723636</v>
      </c>
      <c r="E752" s="31">
        <v>4170119</v>
      </c>
      <c r="F752" s="268" t="str">
        <f>IF(D752="","",VLOOKUP(D752,契約台帳!$A$3:$K$4986,6,FALSE)&amp;VLOOKUP(D752,契約台帳!$A$3:$K$4986,7,FALSE)&amp;VLOOKUP(D752,契約台帳!$A$3:$K$4986,8,FALSE)&amp;VLOOKUP(D752,契約台帳!$A$3:$K$4986,9,FALSE)&amp;VLOOKUP(D752,契約台帳!$A$3:$K$4986,11,FALSE))</f>
        <v>3SNMLBMNGTBF</v>
      </c>
      <c r="G752" s="269" t="str">
        <f>IF(D752="","",VLOOKUP(F752,製品マスタ!$G$5:$H$5002,2,FALSE))</f>
        <v>S</v>
      </c>
      <c r="H752" s="269" t="str">
        <f>IF(D752="","",VLOOKUP(F752,製品マスタ!$G$5:$K$5002,5,FALSE))</f>
        <v>MNGTBF</v>
      </c>
      <c r="I752" s="270" t="str">
        <f>IF(D752="","",VLOOKUP(F752,製品マスタ!$G$5:$L$5002,6,FALSE))</f>
        <v>メタルミー　ネーマー　銀艶　Ｂ</v>
      </c>
      <c r="J752" s="32" t="s">
        <v>464</v>
      </c>
      <c r="K752" s="270">
        <f>IF(D752="","",VLOOKUP(D752,契約台帳!$A$3:$L$4986,12,FALSE))</f>
        <v>25</v>
      </c>
      <c r="L752" s="270" t="str">
        <f>IF(D752="","",INDEX(製品マスタ!$Q$5:$Q$5002,MATCH(F752&amp;K752,製品マスタ!$AO$5:$AO$5002,0)))</f>
        <v>T62M</v>
      </c>
      <c r="M752" s="39">
        <v>1125</v>
      </c>
      <c r="N752" s="39">
        <v>12100</v>
      </c>
      <c r="O752" s="47">
        <v>1</v>
      </c>
      <c r="P752" s="213">
        <v>45170</v>
      </c>
      <c r="Q752" s="276">
        <f>IF(D752="","",IF(J752="リード付け",M752,VLOOKUP(D752,契約台帳!$A$3:$N$4986,14,FALSE)))</f>
        <v>1125</v>
      </c>
      <c r="R752" s="277">
        <f>IF(D752="","",IF(J752="リード付け",M752,VLOOKUP(D752,契約台帳!$A$3:$O$4986,15,FALSE)))</f>
        <v>1125</v>
      </c>
      <c r="S752" s="277">
        <f>IF(D752="","",IF(J752="リード付け",N752,VLOOKUP(D752,契約台帳!$A$3:$P$4986,16,FALSE)))</f>
        <v>12100</v>
      </c>
      <c r="T752" s="40">
        <v>1</v>
      </c>
      <c r="U752" s="278">
        <f ca="1">IF(D752="","",IF(OFFSET(D752,-2,0)=D752,"",VLOOKUP(D752,契約台帳!$A$3:$R$4986,18,FALSE)))</f>
        <v>3</v>
      </c>
      <c r="V752" s="269" t="str">
        <f>IF(J752="巻返し",VLOOKUP(F752&amp;K752&amp;M752,製品マスタ!$M$5:$AD$5002,18,FALSE),IF(J752="リード付け","原反コア",IF(J752="スリット",VLOOKUP(F752&amp;K752&amp;Q752,製品マスタ!$N$5:$AD$5002,17,FALSE),"")))</f>
        <v>原反コア</v>
      </c>
      <c r="W752" s="269" t="str">
        <f>IF(J752="巻返し",VLOOKUP(F752&amp;K752&amp;M752,製品マスタ!$M$5:$AE$5002,19,FALSE),IF(J752="リード付け","-",IF(J752="スリット",VLOOKUP(F752&amp;K752&amp;Q752,製品マスタ!$N$5:$AE$5002,18,FALSE),"")))</f>
        <v>-</v>
      </c>
      <c r="X752" s="275">
        <f>IF(D752="","",VLOOKUP(D752,契約台帳!$A$3:$Q$4986,17,FALSE))</f>
        <v>2</v>
      </c>
      <c r="Y752" s="269" t="str">
        <f>IF(D752="","",VLOOKUP(D752,契約台帳!$A$3:$E$4986,5,FALSE))</f>
        <v>リンテック㈱</v>
      </c>
      <c r="Z752" s="57"/>
      <c r="AA752" s="207"/>
      <c r="AB752" s="33"/>
      <c r="AC752" s="189"/>
      <c r="AD752" s="54"/>
      <c r="AE752" s="55">
        <f>+M752*N752*O752/1000</f>
        <v>13612.5</v>
      </c>
      <c r="AF752" s="43"/>
      <c r="AG752" s="47"/>
      <c r="AH752" s="30"/>
      <c r="AI752" s="30"/>
      <c r="AJ752" s="30"/>
      <c r="AK752" s="30"/>
      <c r="AL752" s="13"/>
      <c r="AM752" s="13"/>
      <c r="AN752" s="13"/>
      <c r="AO752" s="13"/>
      <c r="AP752" s="13"/>
      <c r="AQ752" s="14"/>
      <c r="AR752" s="15"/>
    </row>
    <row r="753" spans="1:44" s="17" customFormat="1" ht="30.95" hidden="1" customHeight="1" x14ac:dyDescent="0.2">
      <c r="A753" s="37"/>
      <c r="B753" s="38"/>
      <c r="C753" s="45"/>
      <c r="D753" s="31"/>
      <c r="E753" s="31"/>
      <c r="F753" s="268"/>
      <c r="G753" s="269"/>
      <c r="H753" s="269"/>
      <c r="I753" s="270"/>
      <c r="J753" s="32"/>
      <c r="K753" s="270"/>
      <c r="L753" s="270"/>
      <c r="M753" s="39"/>
      <c r="N753" s="39"/>
      <c r="O753" s="47"/>
      <c r="P753" s="57"/>
      <c r="Q753" s="276"/>
      <c r="R753" s="277"/>
      <c r="S753" s="277"/>
      <c r="T753" s="40"/>
      <c r="U753" s="278"/>
      <c r="V753" s="269"/>
      <c r="W753" s="269"/>
      <c r="X753" s="275"/>
      <c r="Y753" s="269"/>
      <c r="Z753" s="57"/>
      <c r="AA753" s="207"/>
      <c r="AB753" s="33"/>
      <c r="AC753" s="189"/>
      <c r="AD753" s="54"/>
      <c r="AE753" s="55"/>
      <c r="AF753" s="43"/>
      <c r="AG753" s="47"/>
      <c r="AH753" s="30"/>
      <c r="AI753" s="30"/>
      <c r="AJ753" s="30"/>
      <c r="AK753" s="30"/>
      <c r="AL753" s="13"/>
      <c r="AM753" s="13"/>
      <c r="AN753" s="13"/>
      <c r="AO753" s="13"/>
      <c r="AP753" s="13"/>
      <c r="AQ753" s="14"/>
      <c r="AR753" s="15"/>
    </row>
    <row r="754" spans="1:44" s="17" customFormat="1" ht="30.95" hidden="1" customHeight="1" x14ac:dyDescent="0.2">
      <c r="A754" s="37"/>
      <c r="B754" s="38"/>
      <c r="C754" s="45"/>
      <c r="D754" s="31">
        <v>3723635</v>
      </c>
      <c r="E754" s="31">
        <v>4170118</v>
      </c>
      <c r="F754" s="268" t="str">
        <f>IF(D754="","",VLOOKUP(D754,契約台帳!$A$3:$K$4986,6,FALSE)&amp;VLOOKUP(D754,契約台帳!$A$3:$K$4986,7,FALSE)&amp;VLOOKUP(D754,契約台帳!$A$3:$K$4986,8,FALSE)&amp;VLOOKUP(D754,契約台帳!$A$3:$K$4986,9,FALSE)&amp;VLOOKUP(D754,契約台帳!$A$3:$K$4986,11,FALSE))</f>
        <v>3SNMLBMNGTBF</v>
      </c>
      <c r="G754" s="269" t="str">
        <f>IF(D754="","",VLOOKUP(F754,製品マスタ!$G$5:$H$5002,2,FALSE))</f>
        <v>S</v>
      </c>
      <c r="H754" s="269" t="str">
        <f>IF(D754="","",VLOOKUP(F754,製品マスタ!$G$5:$K$5002,5,FALSE))</f>
        <v>MNGTBF</v>
      </c>
      <c r="I754" s="270" t="str">
        <f>IF(D754="","",VLOOKUP(F754,製品マスタ!$G$5:$L$5002,6,FALSE))</f>
        <v>メタルミー　ネーマー　銀艶　Ｂ</v>
      </c>
      <c r="J754" s="32" t="s">
        <v>464</v>
      </c>
      <c r="K754" s="270">
        <f>IF(D754="","",VLOOKUP(D754,契約台帳!$A$3:$L$4986,12,FALSE))</f>
        <v>25</v>
      </c>
      <c r="L754" s="270" t="str">
        <f>IF(D754="","",INDEX(製品マスタ!$Q$5:$Q$5002,MATCH(F754&amp;K754,製品マスタ!$AO$5:$AO$5002,0)))</f>
        <v>T62M</v>
      </c>
      <c r="M754" s="39">
        <v>1005</v>
      </c>
      <c r="N754" s="39">
        <v>12100</v>
      </c>
      <c r="O754" s="47">
        <v>5</v>
      </c>
      <c r="P754" s="213">
        <v>45170</v>
      </c>
      <c r="Q754" s="276">
        <f>IF(D754="","",IF(J754="リード付け",M754,VLOOKUP(D754,契約台帳!$A$3:$N$4986,14,FALSE)))</f>
        <v>1005</v>
      </c>
      <c r="R754" s="277">
        <f>IF(D754="","",IF(J754="リード付け",M754,VLOOKUP(D754,契約台帳!$A$3:$O$4986,15,FALSE)))</f>
        <v>1005</v>
      </c>
      <c r="S754" s="277">
        <f>IF(D754="","",IF(J754="リード付け",N754,VLOOKUP(D754,契約台帳!$A$3:$P$4986,16,FALSE)))</f>
        <v>12100</v>
      </c>
      <c r="T754" s="40">
        <v>5</v>
      </c>
      <c r="U754" s="278">
        <f ca="1">IF(D754="","",IF(OFFSET(D754,-2,0)=D754,"",VLOOKUP(D754,契約台帳!$A$3:$R$4986,18,FALSE)))</f>
        <v>15</v>
      </c>
      <c r="V754" s="269" t="str">
        <f>IF(J754="巻返し",VLOOKUP(F754&amp;K754&amp;M754,製品マスタ!$M$5:$AD$5002,18,FALSE),IF(J754="リード付け","原反コア",IF(J754="スリット",VLOOKUP(F754&amp;K754&amp;Q754,製品マスタ!$N$5:$AD$5002,17,FALSE),"")))</f>
        <v>原反コア</v>
      </c>
      <c r="W754" s="269" t="str">
        <f>IF(J754="巻返し",VLOOKUP(F754&amp;K754&amp;M754,製品マスタ!$M$5:$AE$5002,19,FALSE),IF(J754="リード付け","-",IF(J754="スリット",VLOOKUP(F754&amp;K754&amp;Q754,製品マスタ!$N$5:$AE$5002,18,FALSE),"")))</f>
        <v>-</v>
      </c>
      <c r="X754" s="275">
        <f>IF(D754="","",VLOOKUP(D754,契約台帳!$A$3:$Q$4986,17,FALSE))</f>
        <v>2</v>
      </c>
      <c r="Y754" s="269" t="str">
        <f>IF(D754="","",VLOOKUP(D754,契約台帳!$A$3:$E$4986,5,FALSE))</f>
        <v>リンテック㈱</v>
      </c>
      <c r="Z754" s="57"/>
      <c r="AA754" s="207"/>
      <c r="AB754" s="33"/>
      <c r="AC754" s="189"/>
      <c r="AD754" s="54"/>
      <c r="AE754" s="55">
        <f>+M754*N754*O754/1000</f>
        <v>60802.5</v>
      </c>
      <c r="AF754" s="43"/>
      <c r="AG754" s="47"/>
      <c r="AH754" s="30"/>
      <c r="AI754" s="30"/>
      <c r="AJ754" s="30"/>
      <c r="AK754" s="30"/>
      <c r="AL754" s="13"/>
      <c r="AM754" s="13"/>
      <c r="AN754" s="13"/>
      <c r="AO754" s="13"/>
      <c r="AP754" s="13"/>
      <c r="AQ754" s="14"/>
      <c r="AR754" s="15"/>
    </row>
    <row r="755" spans="1:44" s="17" customFormat="1" ht="30.95" hidden="1" customHeight="1" x14ac:dyDescent="0.2">
      <c r="A755" s="343"/>
      <c r="B755" s="344"/>
      <c r="C755" s="345"/>
      <c r="D755" s="346"/>
      <c r="E755" s="346"/>
      <c r="F755" s="268"/>
      <c r="G755" s="269"/>
      <c r="H755" s="269"/>
      <c r="I755" s="270"/>
      <c r="J755" s="347"/>
      <c r="K755" s="270"/>
      <c r="L755" s="270"/>
      <c r="M755" s="348"/>
      <c r="N755" s="348"/>
      <c r="O755" s="349"/>
      <c r="P755" s="350"/>
      <c r="Q755" s="276"/>
      <c r="R755" s="277"/>
      <c r="S755" s="277"/>
      <c r="T755" s="351"/>
      <c r="U755" s="278"/>
      <c r="V755" s="269"/>
      <c r="W755" s="269"/>
      <c r="X755" s="275"/>
      <c r="Y755" s="269"/>
      <c r="Z755" s="350"/>
      <c r="AA755" s="207"/>
      <c r="AB755" s="352"/>
      <c r="AC755" s="353"/>
      <c r="AD755" s="54"/>
      <c r="AE755" s="354"/>
      <c r="AF755" s="355"/>
      <c r="AG755" s="349"/>
      <c r="AH755" s="30"/>
      <c r="AI755" s="30"/>
      <c r="AJ755" s="30"/>
      <c r="AK755" s="30"/>
      <c r="AL755" s="13"/>
      <c r="AM755" s="13"/>
      <c r="AN755" s="13"/>
      <c r="AO755" s="13"/>
      <c r="AP755" s="13"/>
      <c r="AQ755" s="14"/>
      <c r="AR755" s="15"/>
    </row>
    <row r="756" spans="1:44" s="17" customFormat="1" ht="30.95" hidden="1" customHeight="1" x14ac:dyDescent="0.2">
      <c r="A756" s="37" t="s">
        <v>550</v>
      </c>
      <c r="B756" s="38" t="s">
        <v>688</v>
      </c>
      <c r="C756" s="45"/>
      <c r="D756" s="31">
        <v>3723646</v>
      </c>
      <c r="E756" s="31">
        <v>4170120</v>
      </c>
      <c r="F756" s="268" t="str">
        <f>IF(D756="","",VLOOKUP(D756,契約台帳!$A$3:$K$4986,6,FALSE)&amp;VLOOKUP(D756,契約台帳!$A$3:$K$4986,7,FALSE)&amp;VLOOKUP(D756,契約台帳!$A$3:$K$4986,8,FALSE)&amp;VLOOKUP(D756,契約台帳!$A$3:$K$4986,9,FALSE)&amp;VLOOKUP(D756,契約台帳!$A$3:$K$4986,11,FALSE))</f>
        <v>3SYMLBMSNMBZF</v>
      </c>
      <c r="G756" s="269" t="str">
        <f>IF(D756="","",VLOOKUP(F756,製品マスタ!$G$5:$H$5002,2,FALSE))</f>
        <v>S</v>
      </c>
      <c r="H756" s="269" t="str">
        <f>IF(D756="","",VLOOKUP(F756,製品マスタ!$G$5:$K$5002,5,FALSE))</f>
        <v>MSNMBZF</v>
      </c>
      <c r="I756" s="270" t="str">
        <f>IF(D756="","",VLOOKUP(F756,製品マスタ!$G$5:$L$5002,6,FALSE))</f>
        <v>ＭＥＴＡＬＵＭＹ　ＳＩＬＶＥＲ　Ｎ－ＭＡＴＴＥ　Ｂ</v>
      </c>
      <c r="J756" s="32" t="s">
        <v>464</v>
      </c>
      <c r="K756" s="270">
        <f>IF(D756="","",VLOOKUP(D756,契約台帳!$A$3:$L$4986,12,FALSE))</f>
        <v>25</v>
      </c>
      <c r="L756" s="270" t="str">
        <f>IF(D756="","",INDEX(製品マスタ!$Q$5:$Q$5002,MATCH(F756&amp;K756,製品マスタ!$AO$5:$AO$5002,0)))</f>
        <v>X44</v>
      </c>
      <c r="M756" s="39">
        <v>1120</v>
      </c>
      <c r="N756" s="39">
        <v>8000</v>
      </c>
      <c r="O756" s="47">
        <v>1</v>
      </c>
      <c r="P756" s="213">
        <v>45174</v>
      </c>
      <c r="Q756" s="276">
        <f>IF(D756="","",IF(J756="リード付け",M756,VLOOKUP(D756,契約台帳!$A$3:$N$4986,14,FALSE)))</f>
        <v>1120</v>
      </c>
      <c r="R756" s="277">
        <f>IF(D756="","",IF(J756="リード付け",M756,VLOOKUP(D756,契約台帳!$A$3:$O$4986,15,FALSE)))</f>
        <v>1120</v>
      </c>
      <c r="S756" s="277">
        <f>IF(D756="","",IF(J756="リード付け",N756,VLOOKUP(D756,契約台帳!$A$3:$P$4986,16,FALSE)))</f>
        <v>8000</v>
      </c>
      <c r="T756" s="40">
        <v>1</v>
      </c>
      <c r="U756" s="278">
        <f ca="1">IF(D756="","",IF(OFFSET(D756,-2,0)=D756,"",VLOOKUP(D756,契約台帳!$A$3:$R$4986,18,FALSE)))</f>
        <v>1</v>
      </c>
      <c r="V756" s="269" t="str">
        <f>IF(J756="巻返し",VLOOKUP(F756&amp;K756&amp;M756,製品マスタ!$M$5:$AD$5002,18,FALSE),IF(J756="リード付け","原反コア",IF(J756="スリット",VLOOKUP(F756&amp;K756&amp;Q756,製品マスタ!$N$5:$AD$5002,17,FALSE),"")))</f>
        <v>原反コア</v>
      </c>
      <c r="W756" s="269" t="str">
        <f>IF(J756="巻返し",VLOOKUP(F756&amp;K756&amp;M756,製品マスタ!$M$5:$AE$5002,19,FALSE),IF(J756="リード付け","-",IF(J756="スリット",VLOOKUP(F756&amp;K756&amp;Q756,製品マスタ!$N$5:$AE$5002,18,FALSE),"")))</f>
        <v>-</v>
      </c>
      <c r="X756" s="275">
        <f>IF(D756="","",VLOOKUP(D756,契約台帳!$A$3:$Q$4986,17,FALSE))</f>
        <v>2</v>
      </c>
      <c r="Y756" s="269" t="str">
        <f>IF(D756="","",VLOOKUP(D756,契約台帳!$A$3:$E$4986,5,FALSE))</f>
        <v>リンテック㈱</v>
      </c>
      <c r="Z756" s="57"/>
      <c r="AA756" s="207">
        <f>IFERROR(VLOOKUP(F756&amp;K756&amp;M756,製品マスタ!$M$5:$AM$5002,27,FALSE),"")</f>
        <v>0</v>
      </c>
      <c r="AB756" s="33"/>
      <c r="AC756" s="189"/>
      <c r="AD756" s="54"/>
      <c r="AE756" s="55">
        <f>+M756*N756*O756/1000</f>
        <v>8960</v>
      </c>
      <c r="AF756" s="43"/>
      <c r="AG756" s="47"/>
      <c r="AH756" s="30"/>
      <c r="AI756" s="30"/>
      <c r="AJ756" s="30"/>
      <c r="AK756" s="30"/>
      <c r="AL756" s="13"/>
      <c r="AM756" s="13"/>
      <c r="AN756" s="13"/>
      <c r="AO756" s="13"/>
      <c r="AP756" s="13"/>
      <c r="AQ756" s="14"/>
      <c r="AR756" s="15"/>
    </row>
    <row r="757" spans="1:44" s="17" customFormat="1" ht="30.95" hidden="1" customHeight="1" x14ac:dyDescent="0.2">
      <c r="A757" s="343"/>
      <c r="B757" s="344"/>
      <c r="C757" s="345"/>
      <c r="D757" s="346"/>
      <c r="E757" s="346"/>
      <c r="F757" s="268"/>
      <c r="G757" s="269"/>
      <c r="H757" s="269"/>
      <c r="I757" s="270"/>
      <c r="J757" s="347"/>
      <c r="K757" s="270"/>
      <c r="L757" s="270"/>
      <c r="M757" s="348"/>
      <c r="N757" s="348"/>
      <c r="O757" s="349"/>
      <c r="P757" s="350"/>
      <c r="Q757" s="276"/>
      <c r="R757" s="277"/>
      <c r="S757" s="277"/>
      <c r="T757" s="351"/>
      <c r="U757" s="278"/>
      <c r="V757" s="269"/>
      <c r="W757" s="269"/>
      <c r="X757" s="275"/>
      <c r="Y757" s="269"/>
      <c r="Z757" s="350"/>
      <c r="AA757" s="207"/>
      <c r="AB757" s="352"/>
      <c r="AC757" s="353"/>
      <c r="AD757" s="54"/>
      <c r="AE757" s="354"/>
      <c r="AF757" s="355"/>
      <c r="AG757" s="349"/>
      <c r="AH757" s="30"/>
      <c r="AI757" s="30"/>
      <c r="AJ757" s="30"/>
      <c r="AK757" s="30"/>
      <c r="AL757" s="13"/>
      <c r="AM757" s="13"/>
      <c r="AN757" s="13"/>
      <c r="AO757" s="13"/>
      <c r="AP757" s="13"/>
      <c r="AQ757" s="14"/>
      <c r="AR757" s="15"/>
    </row>
    <row r="758" spans="1:44" s="337" customFormat="1" ht="30.95" hidden="1" customHeight="1" x14ac:dyDescent="0.2">
      <c r="A758" s="358" t="s">
        <v>551</v>
      </c>
      <c r="B758" s="359" t="s">
        <v>442</v>
      </c>
      <c r="C758" s="360"/>
      <c r="D758" s="361"/>
      <c r="E758" s="361"/>
      <c r="F758" s="362"/>
      <c r="G758" s="363"/>
      <c r="H758" s="363"/>
      <c r="I758" s="207"/>
      <c r="J758" s="364"/>
      <c r="K758" s="207"/>
      <c r="L758" s="207"/>
      <c r="M758" s="365"/>
      <c r="N758" s="365"/>
      <c r="O758" s="366"/>
      <c r="P758" s="357"/>
      <c r="Q758" s="367"/>
      <c r="R758" s="278"/>
      <c r="S758" s="278"/>
      <c r="T758" s="368"/>
      <c r="U758" s="278"/>
      <c r="V758" s="363"/>
      <c r="W758" s="363"/>
      <c r="X758" s="363"/>
      <c r="Y758" s="363"/>
      <c r="Z758" s="357"/>
      <c r="AA758" s="207"/>
      <c r="AB758" s="369"/>
      <c r="AC758" s="370"/>
      <c r="AD758" s="332"/>
      <c r="AE758" s="371"/>
      <c r="AF758" s="372"/>
      <c r="AG758" s="366"/>
      <c r="AH758" s="333"/>
      <c r="AI758" s="333"/>
      <c r="AJ758" s="333"/>
      <c r="AK758" s="333"/>
      <c r="AL758" s="334"/>
      <c r="AM758" s="334"/>
      <c r="AN758" s="334"/>
      <c r="AO758" s="334"/>
      <c r="AP758" s="334"/>
      <c r="AQ758" s="335"/>
      <c r="AR758" s="336"/>
    </row>
    <row r="759" spans="1:44" s="337" customFormat="1" ht="30.95" hidden="1" customHeight="1" x14ac:dyDescent="0.2">
      <c r="A759" s="358"/>
      <c r="B759" s="359"/>
      <c r="C759" s="360"/>
      <c r="D759" s="361"/>
      <c r="E759" s="361"/>
      <c r="F759" s="362"/>
      <c r="G759" s="363"/>
      <c r="H759" s="363"/>
      <c r="I759" s="207"/>
      <c r="J759" s="364"/>
      <c r="K759" s="207"/>
      <c r="L759" s="207"/>
      <c r="M759" s="365"/>
      <c r="N759" s="365"/>
      <c r="O759" s="366"/>
      <c r="P759" s="357"/>
      <c r="Q759" s="367"/>
      <c r="R759" s="278"/>
      <c r="S759" s="278"/>
      <c r="T759" s="368"/>
      <c r="U759" s="278"/>
      <c r="V759" s="363"/>
      <c r="W759" s="363"/>
      <c r="X759" s="363"/>
      <c r="Y759" s="363"/>
      <c r="Z759" s="357"/>
      <c r="AA759" s="207"/>
      <c r="AB759" s="369"/>
      <c r="AC759" s="370"/>
      <c r="AD759" s="332"/>
      <c r="AE759" s="371"/>
      <c r="AF759" s="372"/>
      <c r="AG759" s="366"/>
      <c r="AH759" s="333"/>
      <c r="AI759" s="333"/>
      <c r="AJ759" s="333"/>
      <c r="AK759" s="333"/>
      <c r="AL759" s="334"/>
      <c r="AM759" s="334"/>
      <c r="AN759" s="334"/>
      <c r="AO759" s="334"/>
      <c r="AP759" s="334"/>
      <c r="AQ759" s="335"/>
      <c r="AR759" s="336"/>
    </row>
    <row r="760" spans="1:44" s="337" customFormat="1" ht="30.95" hidden="1" customHeight="1" x14ac:dyDescent="0.2">
      <c r="A760" s="320" t="s">
        <v>552</v>
      </c>
      <c r="B760" s="321" t="s">
        <v>443</v>
      </c>
      <c r="C760" s="322"/>
      <c r="D760" s="279">
        <v>3725626</v>
      </c>
      <c r="E760" s="279">
        <v>4151479</v>
      </c>
      <c r="F760" s="362" t="str">
        <f>IF(D760="","",VLOOKUP(D760,[2]契約台帳!$A$3:$K$4999,6,FALSE)&amp;VLOOKUP(D760,[2]契約台帳!$A$3:$K$4999,7,FALSE)&amp;VLOOKUP(D760,[2]契約台帳!$A$3:$K$4999,8,FALSE)&amp;VLOOKUP(D760,[2]契約台帳!$A$3:$K$4999,9,FALSE)&amp;VLOOKUP(D760,[2]契約台帳!$A$3:$K$4999,11,FALSE))</f>
        <v>3UNMLBKF9BF</v>
      </c>
      <c r="G760" s="363" t="str">
        <f>IF(D760="","",VLOOKUP(F760,[2]製品マスタ!$G$5:$H$5000,2,FALSE))</f>
        <v>U</v>
      </c>
      <c r="H760" s="363" t="str">
        <f>IF(D760="","",VLOOKUP(F760,[2]製品マスタ!$G$5:$K$5000,5,FALSE))</f>
        <v>KF9BF</v>
      </c>
      <c r="I760" s="207" t="str">
        <f>IF(D760="","",VLOOKUP(F760,[2]製品マスタ!$G$5:$L$5000,6,FALSE))</f>
        <v>ＫＦ－９Ｂ</v>
      </c>
      <c r="J760" s="373" t="s">
        <v>970</v>
      </c>
      <c r="K760" s="207">
        <f>IF(D760="","",VLOOKUP(D760,[2]契約台帳!$A$3:$L$4999,12,FALSE))</f>
        <v>9</v>
      </c>
      <c r="L760" s="207" t="str">
        <f>IF(D760="","",INDEX([2]製品マスタ!$Q$5:$Q$5000,MATCH(F760&amp;K760,[2]製品マスタ!$AO$5:$AO$5000,0)))</f>
        <v>F53</v>
      </c>
      <c r="M760" s="326">
        <v>1400</v>
      </c>
      <c r="N760" s="326">
        <v>12000</v>
      </c>
      <c r="O760" s="175">
        <v>1</v>
      </c>
      <c r="P760" s="329"/>
      <c r="Q760" s="367">
        <f>IF(D760="","",IF(J760="リード付け",M760,VLOOKUP(D760,[2]契約台帳!$A$3:$N$4999,14,FALSE)))</f>
        <v>1000</v>
      </c>
      <c r="R760" s="278">
        <f>IF(D760="","",IF(J760="リード付け",M760,VLOOKUP(D760,[2]契約台帳!$A$3:$O$4999,15,FALSE)))</f>
        <v>1000</v>
      </c>
      <c r="S760" s="278">
        <f>IF(D760="","",IF(J760="リード付け",N760,VLOOKUP(D760,契約台帳!$A$3:$P$4986,16,FALSE)))</f>
        <v>500</v>
      </c>
      <c r="T760" s="183">
        <v>22</v>
      </c>
      <c r="U760" s="278">
        <f ca="1">IF(D760="","",IF(OFFSET(D760,-2,0)=D760,"",VLOOKUP(D760,契約台帳!$A$3:$R$4986,18,FALSE)))</f>
        <v>22</v>
      </c>
      <c r="V760" s="363" t="str">
        <f>IF(J760="巻返し",VLOOKUP(F760&amp;K760&amp;M760,[2]製品マスタ!$M$5:$AD$5000,18,FALSE),IF(J760="リード付け","原反コア",IF(J760="スリット",VLOOKUP(F760&amp;K760&amp;Q760,[2]製品マスタ!$N$5:$AD$5000,17,FALSE),"")))</f>
        <v>3ｲﾝﾁMｺｱ</v>
      </c>
      <c r="W760" s="363">
        <f>IF(J760="巻返し",VLOOKUP(F760&amp;K760&amp;M760,[2]製品マスタ!$M$5:$AE$5000,19,FALSE),IF(J760="リード付け","-",IF(J760="スリット",VLOOKUP(F760&amp;K760&amp;Q760,[2]製品マスタ!$N$5:$AE$5000,18,FALSE),"")))</f>
        <v>1020</v>
      </c>
      <c r="X760" s="363">
        <f>IF(D760="","",VLOOKUP(D760,[2]契約台帳!$A$3:$Q$4999,17,FALSE))</f>
        <v>2</v>
      </c>
      <c r="Y760" s="363" t="str">
        <f>IF(D760="","",VLOOKUP(D760,[2]契約台帳!$A$3:$E$4999,5,FALSE))</f>
        <v>栃木カネカ㈱電材検査</v>
      </c>
      <c r="Z760" s="329" t="s">
        <v>1016</v>
      </c>
      <c r="AA760" s="207" t="s">
        <v>1467</v>
      </c>
      <c r="AB760" s="330"/>
      <c r="AC760" s="331"/>
      <c r="AD760" s="332"/>
      <c r="AE760" s="216">
        <f>+M760*N760*O760/1000</f>
        <v>16800</v>
      </c>
      <c r="AF760" s="328"/>
      <c r="AG760" s="175"/>
      <c r="AH760" s="333"/>
      <c r="AI760" s="333"/>
      <c r="AJ760" s="333"/>
      <c r="AK760" s="333"/>
      <c r="AL760" s="334"/>
      <c r="AM760" s="334"/>
      <c r="AN760" s="334"/>
      <c r="AO760" s="334"/>
      <c r="AP760" s="334"/>
      <c r="AQ760" s="335"/>
      <c r="AR760" s="336"/>
    </row>
    <row r="761" spans="1:44" s="337" customFormat="1" ht="30.95" hidden="1" customHeight="1" x14ac:dyDescent="0.2">
      <c r="A761" s="358"/>
      <c r="B761" s="359"/>
      <c r="C761" s="360"/>
      <c r="D761" s="361"/>
      <c r="E761" s="361"/>
      <c r="F761" s="362"/>
      <c r="G761" s="363"/>
      <c r="H761" s="363"/>
      <c r="I761" s="207"/>
      <c r="J761" s="364"/>
      <c r="K761" s="207"/>
      <c r="L761" s="207"/>
      <c r="M761" s="365"/>
      <c r="N761" s="365"/>
      <c r="O761" s="366"/>
      <c r="P761" s="357"/>
      <c r="Q761" s="367"/>
      <c r="R761" s="278"/>
      <c r="S761" s="278"/>
      <c r="T761" s="368"/>
      <c r="U761" s="278"/>
      <c r="V761" s="363"/>
      <c r="W761" s="363"/>
      <c r="X761" s="363"/>
      <c r="Y761" s="363"/>
      <c r="Z761" s="357"/>
      <c r="AA761" s="207"/>
      <c r="AB761" s="369"/>
      <c r="AC761" s="370"/>
      <c r="AD761" s="332"/>
      <c r="AE761" s="371"/>
      <c r="AF761" s="372"/>
      <c r="AG761" s="366"/>
      <c r="AH761" s="333"/>
      <c r="AI761" s="333"/>
      <c r="AJ761" s="333"/>
      <c r="AK761" s="333"/>
      <c r="AL761" s="334"/>
      <c r="AM761" s="334"/>
      <c r="AN761" s="334"/>
      <c r="AO761" s="334"/>
      <c r="AP761" s="334"/>
      <c r="AQ761" s="335"/>
      <c r="AR761" s="336"/>
    </row>
    <row r="762" spans="1:44" s="337" customFormat="1" ht="30.75" hidden="1" customHeight="1" x14ac:dyDescent="0.2">
      <c r="A762" s="320" t="s">
        <v>553</v>
      </c>
      <c r="B762" s="321" t="s">
        <v>444</v>
      </c>
      <c r="C762" s="322"/>
      <c r="D762" s="279">
        <v>3723644</v>
      </c>
      <c r="E762" s="279">
        <v>4151463</v>
      </c>
      <c r="F762" s="362" t="str">
        <f>IF(D762="","",VLOOKUP(D762,[2]契約台帳!$A$3:$K$4999,6,FALSE)&amp;VLOOKUP(D762,[2]契約台帳!$A$3:$K$4999,7,FALSE)&amp;VLOOKUP(D762,[2]契約台帳!$A$3:$K$4999,8,FALSE)&amp;VLOOKUP(D762,[2]契約台帳!$A$3:$K$4999,9,FALSE)&amp;VLOOKUP(D762,[2]契約台帳!$A$3:$K$4999,11,FALSE))</f>
        <v>3SNMLBMNQR66F</v>
      </c>
      <c r="G762" s="363" t="str">
        <f>IF(D762="","",VLOOKUP(F762,[2]製品マスタ!$G$5:$H$5000,2,FALSE))</f>
        <v>S</v>
      </c>
      <c r="H762" s="363" t="str">
        <f>IF(D762="","",VLOOKUP(F762,[2]製品マスタ!$G$5:$K$5000,5,FALSE))</f>
        <v>MNQR66F</v>
      </c>
      <c r="I762" s="207" t="str">
        <f>IF(D762="","",VLOOKUP(F762,[2]製品マスタ!$G$5:$L$5000,6,FALSE))</f>
        <v>ＱＲ６６蒸着品</v>
      </c>
      <c r="J762" s="373" t="s">
        <v>447</v>
      </c>
      <c r="K762" s="207">
        <f>IF(D762="","",VLOOKUP(D762,[2]契約台帳!$A$3:$L$4999,12,FALSE))</f>
        <v>25</v>
      </c>
      <c r="L762" s="207" t="str">
        <f>IF(D762="","",INDEX([2]製品マスタ!$Q$5:$Q$5000,MATCH(F762&amp;K762,[2]製品マスタ!$AO$5:$AO$5000,0)))</f>
        <v>E315</v>
      </c>
      <c r="M762" s="326">
        <v>1100</v>
      </c>
      <c r="N762" s="326">
        <v>18000</v>
      </c>
      <c r="O762" s="175">
        <v>2</v>
      </c>
      <c r="P762" s="329"/>
      <c r="Q762" s="367">
        <f>IF(D762="","",IF(J762="リード付け",M762,VLOOKUP(D762,[2]契約台帳!$A$3:$N$4999,14,FALSE)))</f>
        <v>1100</v>
      </c>
      <c r="R762" s="278">
        <f>IF(D762="","",IF(J762="リード付け",M762,VLOOKUP(D762,[2]契約台帳!$A$3:$O$4999,15,FALSE)))</f>
        <v>1100</v>
      </c>
      <c r="S762" s="278">
        <f>IF(D762="","",IF(J762="リード付け",N762,VLOOKUP(D762,契約台帳!$A$3:$P$4986,16,FALSE)))</f>
        <v>6000</v>
      </c>
      <c r="T762" s="183">
        <v>6</v>
      </c>
      <c r="U762" s="278">
        <f ca="1">IF(D762="","",IF(OFFSET(D762,-2,0)=D762,"",VLOOKUP(D762,契約台帳!$A$3:$R$4986,18,FALSE)))</f>
        <v>6</v>
      </c>
      <c r="V762" s="363" t="str">
        <f>IF(J762="巻返し",VLOOKUP(F762&amp;K762&amp;M762,[2]製品マスタ!$M$5:$AD$5000,18,FALSE),IF(J762="リード付け","原反コア",IF(J762="スリット",VLOOKUP(F762&amp;K762&amp;Q762,[2]製品マスタ!$N$5:$AD$5000,17,FALSE),"")))</f>
        <v>6ｲﾝﾁMｺｱ</v>
      </c>
      <c r="W762" s="363">
        <f>IF(J762="巻返し",VLOOKUP(F762&amp;K762&amp;M762,[2]製品マスタ!$M$5:$AE$5000,19,FALSE),IF(J762="リード付け","-",IF(J762="スリット",VLOOKUP(F762&amp;K762&amp;Q762,[2]製品マスタ!$N$5:$AE$5000,18,FALSE),"")))</f>
        <v>1110</v>
      </c>
      <c r="X762" s="363">
        <f>IF(D762="","",VLOOKUP(D762,[2]契約台帳!$A$3:$Q$4999,17,FALSE))</f>
        <v>2</v>
      </c>
      <c r="Y762" s="363" t="str">
        <f>IF(D762="","",VLOOKUP(D762,[2]契約台帳!$A$3:$E$4999,5,FALSE))</f>
        <v>リンテック㈱</v>
      </c>
      <c r="Z762" s="329">
        <v>45182</v>
      </c>
      <c r="AA762" s="207" t="str">
        <f>IFERROR(VLOOKUP(F762&amp;K762&amp;M762,製品マスタ!$M$5:$AM$5002,27,FALSE),"")</f>
        <v>原反ケース再利用</v>
      </c>
      <c r="AB762" s="330"/>
      <c r="AC762" s="331"/>
      <c r="AD762" s="332" t="str">
        <f>IF(F762="","",+F762&amp;K762)</f>
        <v>3SNMLBMNQR66F25</v>
      </c>
      <c r="AE762" s="216">
        <f>+M762*N762*O762/1000</f>
        <v>39600</v>
      </c>
      <c r="AF762" s="43">
        <f>IF(AD762="","",VLOOKUP(AD762,原価マスタ!$A$2:$AJ$1693,13,FALSE))</f>
        <v>98</v>
      </c>
      <c r="AG762" s="47">
        <f>IF(AF762="","",+AE762*AF762/100)</f>
        <v>38808</v>
      </c>
      <c r="AH762" s="333"/>
      <c r="AI762" s="333"/>
      <c r="AJ762" s="333"/>
      <c r="AK762" s="333"/>
      <c r="AL762" s="334"/>
      <c r="AM762" s="334"/>
      <c r="AN762" s="334"/>
      <c r="AO762" s="334"/>
      <c r="AP762" s="334"/>
      <c r="AQ762" s="335"/>
      <c r="AR762" s="336"/>
    </row>
    <row r="763" spans="1:44" s="337" customFormat="1" ht="30.95" hidden="1" customHeight="1" x14ac:dyDescent="0.2">
      <c r="A763" s="358"/>
      <c r="B763" s="359"/>
      <c r="C763" s="360"/>
      <c r="D763" s="361"/>
      <c r="E763" s="361"/>
      <c r="F763" s="362"/>
      <c r="G763" s="363"/>
      <c r="H763" s="363"/>
      <c r="I763" s="207"/>
      <c r="J763" s="364"/>
      <c r="K763" s="207"/>
      <c r="L763" s="207"/>
      <c r="M763" s="365"/>
      <c r="N763" s="365"/>
      <c r="O763" s="366"/>
      <c r="P763" s="357"/>
      <c r="Q763" s="367"/>
      <c r="R763" s="278"/>
      <c r="S763" s="278"/>
      <c r="T763" s="368"/>
      <c r="U763" s="278"/>
      <c r="V763" s="363"/>
      <c r="W763" s="363"/>
      <c r="X763" s="363"/>
      <c r="Y763" s="363"/>
      <c r="Z763" s="357"/>
      <c r="AA763" s="207"/>
      <c r="AB763" s="369"/>
      <c r="AC763" s="370"/>
      <c r="AD763" s="332"/>
      <c r="AE763" s="371"/>
      <c r="AF763" s="372"/>
      <c r="AG763" s="366"/>
      <c r="AH763" s="333"/>
      <c r="AI763" s="333"/>
      <c r="AJ763" s="333"/>
      <c r="AK763" s="333"/>
      <c r="AL763" s="334"/>
      <c r="AM763" s="334"/>
      <c r="AN763" s="334"/>
      <c r="AO763" s="334"/>
      <c r="AP763" s="334"/>
      <c r="AQ763" s="335"/>
      <c r="AR763" s="336"/>
    </row>
    <row r="764" spans="1:44" s="337" customFormat="1" ht="30.75" hidden="1" customHeight="1" x14ac:dyDescent="0.2">
      <c r="A764" s="320"/>
      <c r="B764" s="321"/>
      <c r="C764" s="322"/>
      <c r="D764" s="279">
        <v>3723643</v>
      </c>
      <c r="E764" s="279">
        <v>4151462</v>
      </c>
      <c r="F764" s="362" t="str">
        <f>IF(D764="","",VLOOKUP(D764,[2]契約台帳!$A$3:$K$4999,6,FALSE)&amp;VLOOKUP(D764,[2]契約台帳!$A$3:$K$4999,7,FALSE)&amp;VLOOKUP(D764,[2]契約台帳!$A$3:$K$4999,8,FALSE)&amp;VLOOKUP(D764,[2]契約台帳!$A$3:$K$4999,9,FALSE)&amp;VLOOKUP(D764,[2]契約台帳!$A$3:$K$4999,11,FALSE))</f>
        <v>3SNMLBMNQR66F</v>
      </c>
      <c r="G764" s="363" t="str">
        <f>IF(D764="","",VLOOKUP(F764,[2]製品マスタ!$G$5:$H$5000,2,FALSE))</f>
        <v>S</v>
      </c>
      <c r="H764" s="363" t="str">
        <f>IF(D764="","",VLOOKUP(F764,[2]製品マスタ!$G$5:$K$5000,5,FALSE))</f>
        <v>MNQR66F</v>
      </c>
      <c r="I764" s="207" t="str">
        <f>IF(D764="","",VLOOKUP(F764,[2]製品マスタ!$G$5:$L$5000,6,FALSE))</f>
        <v>ＱＲ６６蒸着品</v>
      </c>
      <c r="J764" s="373" t="s">
        <v>447</v>
      </c>
      <c r="K764" s="207">
        <f>IF(D764="","",VLOOKUP(D764,[2]契約台帳!$A$3:$L$4999,12,FALSE))</f>
        <v>25</v>
      </c>
      <c r="L764" s="207" t="str">
        <f>IF(D764="","",INDEX([2]製品マスタ!$Q$5:$Q$5000,MATCH(F764&amp;K764,[2]製品マスタ!$AO$5:$AO$5000,0)))</f>
        <v>E315</v>
      </c>
      <c r="M764" s="326">
        <v>1000</v>
      </c>
      <c r="N764" s="326">
        <v>18000</v>
      </c>
      <c r="O764" s="175">
        <v>2</v>
      </c>
      <c r="P764" s="329"/>
      <c r="Q764" s="367">
        <f>IF(D764="","",IF(J764="リード付け",M764,VLOOKUP(D764,[2]契約台帳!$A$3:$N$4999,14,FALSE)))</f>
        <v>1000</v>
      </c>
      <c r="R764" s="278">
        <f>IF(D764="","",IF(J764="リード付け",M764,VLOOKUP(D764,[2]契約台帳!$A$3:$O$4999,15,FALSE)))</f>
        <v>1000</v>
      </c>
      <c r="S764" s="278">
        <f>IF(D764="","",IF(J764="リード付け",N764,VLOOKUP(D764,契約台帳!$A$3:$P$4986,16,FALSE)))</f>
        <v>6000</v>
      </c>
      <c r="T764" s="183">
        <v>6</v>
      </c>
      <c r="U764" s="278">
        <f ca="1">IF(D764="","",IF(OFFSET(D764,-2,0)=D764,"",VLOOKUP(D764,契約台帳!$A$3:$R$4986,18,FALSE)))</f>
        <v>6</v>
      </c>
      <c r="V764" s="363" t="str">
        <f>IF(J764="巻返し",VLOOKUP(F764&amp;K764&amp;M764,[2]製品マスタ!$M$5:$AD$5000,18,FALSE),IF(J764="リード付け","原反コア",IF(J764="スリット",VLOOKUP(F764&amp;K764&amp;Q764,[2]製品マスタ!$N$5:$AD$5000,17,FALSE),"")))</f>
        <v>6ｲﾝﾁMｺｱ</v>
      </c>
      <c r="W764" s="363">
        <f>IF(J764="巻返し",VLOOKUP(F764&amp;K764&amp;M764,[2]製品マスタ!$M$5:$AE$5000,19,FALSE),IF(J764="リード付け","-",IF(J764="スリット",VLOOKUP(F764&amp;K764&amp;Q764,[2]製品マスタ!$N$5:$AE$5000,18,FALSE),"")))</f>
        <v>1010</v>
      </c>
      <c r="X764" s="363">
        <f>IF(D764="","",VLOOKUP(D764,[2]契約台帳!$A$3:$Q$4999,17,FALSE))</f>
        <v>2</v>
      </c>
      <c r="Y764" s="363" t="str">
        <f>IF(D764="","",VLOOKUP(D764,[2]契約台帳!$A$3:$E$4999,5,FALSE))</f>
        <v>リンテック㈱</v>
      </c>
      <c r="Z764" s="329">
        <v>45182</v>
      </c>
      <c r="AA764" s="207" t="str">
        <f>IFERROR(VLOOKUP(F764&amp;K764&amp;M764,製品マスタ!$M$5:$AM$5002,27,FALSE),"")</f>
        <v>原反ケース再利用</v>
      </c>
      <c r="AB764" s="330"/>
      <c r="AC764" s="331"/>
      <c r="AD764" s="332" t="str">
        <f>IF(F764="","",+F764&amp;K764)</f>
        <v>3SNMLBMNQR66F25</v>
      </c>
      <c r="AE764" s="216">
        <f>+M764*N764*O764/1000</f>
        <v>36000</v>
      </c>
      <c r="AF764" s="43">
        <f>IF(AD764="","",VLOOKUP(AD764,原価マスタ!$A$2:$AJ$1693,13,FALSE))</f>
        <v>98</v>
      </c>
      <c r="AG764" s="47">
        <f>IF(AF764="","",+AE764*AF764/100)</f>
        <v>35280</v>
      </c>
      <c r="AH764" s="333"/>
      <c r="AI764" s="333"/>
      <c r="AJ764" s="333"/>
      <c r="AK764" s="333"/>
      <c r="AL764" s="334"/>
      <c r="AM764" s="334"/>
      <c r="AN764" s="334"/>
      <c r="AO764" s="334"/>
      <c r="AP764" s="334"/>
      <c r="AQ764" s="335"/>
      <c r="AR764" s="336"/>
    </row>
    <row r="765" spans="1:44" s="337" customFormat="1" ht="30.95" hidden="1" customHeight="1" x14ac:dyDescent="0.2">
      <c r="A765" s="358"/>
      <c r="B765" s="359"/>
      <c r="C765" s="360"/>
      <c r="D765" s="361"/>
      <c r="E765" s="361"/>
      <c r="F765" s="362"/>
      <c r="G765" s="363"/>
      <c r="H765" s="363"/>
      <c r="I765" s="207"/>
      <c r="J765" s="364"/>
      <c r="K765" s="207"/>
      <c r="L765" s="207"/>
      <c r="M765" s="365"/>
      <c r="N765" s="365"/>
      <c r="O765" s="366"/>
      <c r="P765" s="357"/>
      <c r="Q765" s="367"/>
      <c r="R765" s="278"/>
      <c r="S765" s="278"/>
      <c r="T765" s="368"/>
      <c r="U765" s="278"/>
      <c r="V765" s="363"/>
      <c r="W765" s="363"/>
      <c r="X765" s="363"/>
      <c r="Y765" s="363"/>
      <c r="Z765" s="357"/>
      <c r="AA765" s="207"/>
      <c r="AB765" s="369"/>
      <c r="AC765" s="370"/>
      <c r="AD765" s="332"/>
      <c r="AE765" s="371"/>
      <c r="AF765" s="372"/>
      <c r="AG765" s="366"/>
      <c r="AH765" s="333"/>
      <c r="AI765" s="333"/>
      <c r="AJ765" s="333"/>
      <c r="AK765" s="333"/>
      <c r="AL765" s="334"/>
      <c r="AM765" s="334"/>
      <c r="AN765" s="334"/>
      <c r="AO765" s="334"/>
      <c r="AP765" s="334"/>
      <c r="AQ765" s="335"/>
      <c r="AR765" s="336"/>
    </row>
    <row r="766" spans="1:44" s="337" customFormat="1" ht="30.95" hidden="1" customHeight="1" x14ac:dyDescent="0.2">
      <c r="A766" s="358" t="s">
        <v>554</v>
      </c>
      <c r="B766" s="359" t="s">
        <v>445</v>
      </c>
      <c r="C766" s="360"/>
      <c r="D766" s="361"/>
      <c r="E766" s="361"/>
      <c r="F766" s="362"/>
      <c r="G766" s="363"/>
      <c r="H766" s="363"/>
      <c r="I766" s="207"/>
      <c r="J766" s="364" t="s">
        <v>448</v>
      </c>
      <c r="K766" s="207"/>
      <c r="L766" s="207"/>
      <c r="M766" s="365"/>
      <c r="N766" s="365"/>
      <c r="O766" s="366"/>
      <c r="P766" s="357"/>
      <c r="Q766" s="367"/>
      <c r="R766" s="278"/>
      <c r="S766" s="278"/>
      <c r="T766" s="368"/>
      <c r="U766" s="278"/>
      <c r="V766" s="363"/>
      <c r="W766" s="363"/>
      <c r="X766" s="363"/>
      <c r="Y766" s="363"/>
      <c r="Z766" s="357"/>
      <c r="AA766" s="207"/>
      <c r="AB766" s="369"/>
      <c r="AC766" s="370"/>
      <c r="AD766" s="332"/>
      <c r="AE766" s="371"/>
      <c r="AF766" s="372"/>
      <c r="AG766" s="366"/>
      <c r="AH766" s="333"/>
      <c r="AI766" s="333"/>
      <c r="AJ766" s="333"/>
      <c r="AK766" s="333"/>
      <c r="AL766" s="334"/>
      <c r="AM766" s="334"/>
      <c r="AN766" s="334"/>
      <c r="AO766" s="334"/>
      <c r="AP766" s="334"/>
      <c r="AQ766" s="335"/>
      <c r="AR766" s="336"/>
    </row>
    <row r="767" spans="1:44" s="337" customFormat="1" ht="30.95" hidden="1" customHeight="1" x14ac:dyDescent="0.2">
      <c r="A767" s="358"/>
      <c r="B767" s="359"/>
      <c r="C767" s="360"/>
      <c r="D767" s="361"/>
      <c r="E767" s="361"/>
      <c r="F767" s="362"/>
      <c r="G767" s="363"/>
      <c r="H767" s="363"/>
      <c r="I767" s="207"/>
      <c r="J767" s="364"/>
      <c r="K767" s="207"/>
      <c r="L767" s="207"/>
      <c r="M767" s="365"/>
      <c r="N767" s="365"/>
      <c r="O767" s="366"/>
      <c r="P767" s="357"/>
      <c r="Q767" s="367"/>
      <c r="R767" s="278"/>
      <c r="S767" s="278"/>
      <c r="T767" s="368"/>
      <c r="U767" s="278"/>
      <c r="V767" s="363"/>
      <c r="W767" s="363"/>
      <c r="X767" s="363"/>
      <c r="Y767" s="363"/>
      <c r="Z767" s="357"/>
      <c r="AA767" s="207"/>
      <c r="AB767" s="369"/>
      <c r="AC767" s="370"/>
      <c r="AD767" s="332"/>
      <c r="AE767" s="371"/>
      <c r="AF767" s="372"/>
      <c r="AG767" s="366"/>
      <c r="AH767" s="333"/>
      <c r="AI767" s="333"/>
      <c r="AJ767" s="333"/>
      <c r="AK767" s="333"/>
      <c r="AL767" s="334"/>
      <c r="AM767" s="334"/>
      <c r="AN767" s="334"/>
      <c r="AO767" s="334"/>
      <c r="AP767" s="334"/>
      <c r="AQ767" s="335"/>
      <c r="AR767" s="336"/>
    </row>
    <row r="768" spans="1:44" s="337" customFormat="1" ht="30.95" hidden="1" customHeight="1" x14ac:dyDescent="0.2">
      <c r="A768" s="358" t="s">
        <v>555</v>
      </c>
      <c r="B768" s="359" t="s">
        <v>446</v>
      </c>
      <c r="C768" s="360"/>
      <c r="D768" s="361"/>
      <c r="E768" s="361"/>
      <c r="F768" s="362"/>
      <c r="G768" s="363"/>
      <c r="H768" s="363"/>
      <c r="I768" s="207"/>
      <c r="J768" s="364" t="s">
        <v>448</v>
      </c>
      <c r="K768" s="207"/>
      <c r="L768" s="207"/>
      <c r="M768" s="365"/>
      <c r="N768" s="365"/>
      <c r="O768" s="366"/>
      <c r="P768" s="357"/>
      <c r="Q768" s="367"/>
      <c r="R768" s="278"/>
      <c r="S768" s="278"/>
      <c r="T768" s="368"/>
      <c r="U768" s="278"/>
      <c r="V768" s="363"/>
      <c r="W768" s="363"/>
      <c r="X768" s="363"/>
      <c r="Y768" s="363"/>
      <c r="Z768" s="357"/>
      <c r="AA768" s="207"/>
      <c r="AB768" s="369"/>
      <c r="AC768" s="370"/>
      <c r="AD768" s="332"/>
      <c r="AE768" s="371"/>
      <c r="AF768" s="372"/>
      <c r="AG768" s="366"/>
      <c r="AH768" s="333"/>
      <c r="AI768" s="333"/>
      <c r="AJ768" s="333"/>
      <c r="AK768" s="333"/>
      <c r="AL768" s="334"/>
      <c r="AM768" s="334"/>
      <c r="AN768" s="334"/>
      <c r="AO768" s="334"/>
      <c r="AP768" s="334"/>
      <c r="AQ768" s="335"/>
      <c r="AR768" s="336"/>
    </row>
    <row r="769" spans="1:44" s="337" customFormat="1" ht="30.95" hidden="1" customHeight="1" x14ac:dyDescent="0.2">
      <c r="A769" s="358"/>
      <c r="B769" s="359"/>
      <c r="C769" s="360"/>
      <c r="D769" s="361"/>
      <c r="E769" s="361"/>
      <c r="F769" s="362"/>
      <c r="G769" s="363"/>
      <c r="H769" s="363"/>
      <c r="I769" s="207"/>
      <c r="J769" s="364"/>
      <c r="K769" s="207"/>
      <c r="L769" s="207"/>
      <c r="M769" s="365"/>
      <c r="N769" s="365"/>
      <c r="O769" s="366"/>
      <c r="P769" s="357"/>
      <c r="Q769" s="367"/>
      <c r="R769" s="278"/>
      <c r="S769" s="278"/>
      <c r="T769" s="368"/>
      <c r="U769" s="278"/>
      <c r="V769" s="363"/>
      <c r="W769" s="363"/>
      <c r="X769" s="363"/>
      <c r="Y769" s="363"/>
      <c r="Z769" s="357"/>
      <c r="AA769" s="207"/>
      <c r="AB769" s="369"/>
      <c r="AC769" s="370"/>
      <c r="AD769" s="332"/>
      <c r="AE769" s="371"/>
      <c r="AF769" s="372"/>
      <c r="AG769" s="366"/>
      <c r="AH769" s="333"/>
      <c r="AI769" s="333"/>
      <c r="AJ769" s="333"/>
      <c r="AK769" s="333"/>
      <c r="AL769" s="334"/>
      <c r="AM769" s="334"/>
      <c r="AN769" s="334"/>
      <c r="AO769" s="334"/>
      <c r="AP769" s="334"/>
      <c r="AQ769" s="335"/>
      <c r="AR769" s="336"/>
    </row>
    <row r="770" spans="1:44" s="337" customFormat="1" ht="30.75" hidden="1" customHeight="1" x14ac:dyDescent="0.2">
      <c r="A770" s="320" t="s">
        <v>556</v>
      </c>
      <c r="B770" s="321" t="s">
        <v>462</v>
      </c>
      <c r="C770" s="322"/>
      <c r="D770" s="279">
        <v>3723635</v>
      </c>
      <c r="E770" s="279">
        <v>4151465</v>
      </c>
      <c r="F770" s="362" t="str">
        <f>IF(D770="","",VLOOKUP(D770,[2]契約台帳!$A$3:$K$4999,6,FALSE)&amp;VLOOKUP(D770,[2]契約台帳!$A$3:$K$4999,7,FALSE)&amp;VLOOKUP(D770,[2]契約台帳!$A$3:$K$4999,8,FALSE)&amp;VLOOKUP(D770,[2]契約台帳!$A$3:$K$4999,9,FALSE)&amp;VLOOKUP(D770,[2]契約台帳!$A$3:$K$4999,11,FALSE))</f>
        <v>3SNMLBMNGTBF</v>
      </c>
      <c r="G770" s="363" t="str">
        <f>IF(D770="","",VLOOKUP(F770,[2]製品マスタ!$G$5:$H$5000,2,FALSE))</f>
        <v>S</v>
      </c>
      <c r="H770" s="363" t="str">
        <f>IF(D770="","",VLOOKUP(F770,[2]製品マスタ!$G$5:$K$5000,5,FALSE))</f>
        <v>MNGTBF</v>
      </c>
      <c r="I770" s="207" t="str">
        <f>IF(D770="","",VLOOKUP(F770,[2]製品マスタ!$G$5:$L$5000,6,FALSE))</f>
        <v>メタルミー　ネーマー　銀艶　Ｂ</v>
      </c>
      <c r="J770" s="373" t="s">
        <v>447</v>
      </c>
      <c r="K770" s="207">
        <f>IF(D770="","",VLOOKUP(D770,[2]契約台帳!$A$3:$L$4999,12,FALSE))</f>
        <v>25</v>
      </c>
      <c r="L770" s="207" t="str">
        <f>IF(D770="","",INDEX([2]製品マスタ!$Q$5:$Q$5000,MATCH(F770&amp;K770,[2]製品マスタ!$AO$5:$AO$5000,0)))</f>
        <v>T62M</v>
      </c>
      <c r="M770" s="326">
        <v>1005</v>
      </c>
      <c r="N770" s="326">
        <v>12100</v>
      </c>
      <c r="O770" s="175">
        <v>5</v>
      </c>
      <c r="P770" s="329"/>
      <c r="Q770" s="367">
        <f>IF(D770="","",IF(J770="リード付け",M770,VLOOKUP(D770,[2]契約台帳!$A$3:$N$4999,14,FALSE)))</f>
        <v>1005</v>
      </c>
      <c r="R770" s="278">
        <f>IF(D770="","",IF(J770="リード付け",M770,VLOOKUP(D770,[2]契約台帳!$A$3:$O$4999,15,FALSE)))</f>
        <v>1000</v>
      </c>
      <c r="S770" s="278">
        <f>IF(D770="","",IF(J770="リード付け",N770,VLOOKUP(D770,契約台帳!$A$3:$P$4986,16,FALSE)))</f>
        <v>4000</v>
      </c>
      <c r="T770" s="183">
        <v>15</v>
      </c>
      <c r="U770" s="278">
        <f ca="1">IF(D770="","",IF(OFFSET(D770,-2,0)=D770,"",VLOOKUP(D770,契約台帳!$A$3:$R$4986,18,FALSE)))</f>
        <v>15</v>
      </c>
      <c r="V770" s="363" t="str">
        <f>IF(J770="巻返し",VLOOKUP(F770&amp;K770&amp;M770,[2]製品マスタ!$M$5:$AD$5000,18,FALSE),IF(J770="リード付け","原反コア",IF(J770="スリット",VLOOKUP(F770&amp;K770&amp;Q770,[2]製品マスタ!$N$5:$AD$5000,17,FALSE),"")))</f>
        <v>6ｲﾝﾁSｺｱ</v>
      </c>
      <c r="W770" s="363">
        <f>IF(J770="巻返し",VLOOKUP(F770&amp;K770&amp;M770,[2]製品マスタ!$M$5:$AE$5000,19,FALSE),IF(J770="リード付け","-",IF(J770="スリット",VLOOKUP(F770&amp;K770&amp;Q770,[2]製品マスタ!$N$5:$AE$5000,18,FALSE),"")))</f>
        <v>1015</v>
      </c>
      <c r="X770" s="363">
        <f>IF(D770="","",VLOOKUP(D770,[2]契約台帳!$A$3:$Q$4999,17,FALSE))</f>
        <v>2</v>
      </c>
      <c r="Y770" s="363" t="str">
        <f>IF(D770="","",VLOOKUP(D770,[2]契約台帳!$A$3:$E$4999,5,FALSE))</f>
        <v>リンテック㈱</v>
      </c>
      <c r="Z770" s="329">
        <v>45183</v>
      </c>
      <c r="AA770" s="207">
        <f>IFERROR(VLOOKUP(F770&amp;K770&amp;M770,製品マスタ!$M$5:$AM$5002,27,FALSE),"")</f>
        <v>0</v>
      </c>
      <c r="AB770" s="330"/>
      <c r="AC770" s="331"/>
      <c r="AD770" s="332" t="str">
        <f>IF(F770="","",+F770&amp;K770)</f>
        <v>3SNMLBMNGTBF25</v>
      </c>
      <c r="AE770" s="216">
        <f>+M770*N770*O770/1000</f>
        <v>60802.5</v>
      </c>
      <c r="AF770" s="43">
        <f>IF(AD770="","",VLOOKUP(AD770,原価マスタ!$A$2:$AJ$1693,13,FALSE))</f>
        <v>97.5</v>
      </c>
      <c r="AG770" s="47">
        <f>IF(AF770="","",+AE770*AF770/100)</f>
        <v>59282.4375</v>
      </c>
      <c r="AH770" s="333"/>
      <c r="AI770" s="333"/>
      <c r="AJ770" s="333"/>
      <c r="AK770" s="333"/>
      <c r="AL770" s="334"/>
      <c r="AM770" s="334"/>
      <c r="AN770" s="334"/>
      <c r="AO770" s="334"/>
      <c r="AP770" s="334"/>
      <c r="AQ770" s="335"/>
      <c r="AR770" s="336"/>
    </row>
    <row r="771" spans="1:44" s="337" customFormat="1" ht="30.95" hidden="1" customHeight="1" x14ac:dyDescent="0.2">
      <c r="A771" s="358"/>
      <c r="B771" s="359"/>
      <c r="C771" s="360"/>
      <c r="D771" s="361"/>
      <c r="E771" s="361"/>
      <c r="F771" s="362"/>
      <c r="G771" s="363"/>
      <c r="H771" s="363"/>
      <c r="I771" s="207"/>
      <c r="J771" s="364"/>
      <c r="K771" s="207"/>
      <c r="L771" s="207"/>
      <c r="M771" s="365"/>
      <c r="N771" s="365"/>
      <c r="O771" s="366"/>
      <c r="P771" s="357"/>
      <c r="Q771" s="367"/>
      <c r="R771" s="278"/>
      <c r="S771" s="278"/>
      <c r="T771" s="368"/>
      <c r="U771" s="278"/>
      <c r="V771" s="363"/>
      <c r="W771" s="363"/>
      <c r="X771" s="363"/>
      <c r="Y771" s="363"/>
      <c r="Z771" s="357"/>
      <c r="AA771" s="207"/>
      <c r="AB771" s="369"/>
      <c r="AC771" s="370"/>
      <c r="AD771" s="332"/>
      <c r="AE771" s="371"/>
      <c r="AF771" s="372"/>
      <c r="AG771" s="366"/>
      <c r="AH771" s="333"/>
      <c r="AI771" s="333"/>
      <c r="AJ771" s="333"/>
      <c r="AK771" s="333"/>
      <c r="AL771" s="334"/>
      <c r="AM771" s="334"/>
      <c r="AN771" s="334"/>
      <c r="AO771" s="334"/>
      <c r="AP771" s="334"/>
      <c r="AQ771" s="335"/>
      <c r="AR771" s="336"/>
    </row>
    <row r="772" spans="1:44" s="337" customFormat="1" ht="30.95" hidden="1" customHeight="1" x14ac:dyDescent="0.2">
      <c r="A772" s="320" t="s">
        <v>557</v>
      </c>
      <c r="B772" s="321" t="s">
        <v>688</v>
      </c>
      <c r="C772" s="360"/>
      <c r="D772" s="396">
        <v>3723636</v>
      </c>
      <c r="E772" s="279">
        <v>4151466</v>
      </c>
      <c r="F772" s="362" t="str">
        <f>IF(D772="","",VLOOKUP(D772,[2]契約台帳!$A$3:$K$4999,6,FALSE)&amp;VLOOKUP(D772,[2]契約台帳!$A$3:$K$4999,7,FALSE)&amp;VLOOKUP(D772,[2]契約台帳!$A$3:$K$4999,8,FALSE)&amp;VLOOKUP(D772,[2]契約台帳!$A$3:$K$4999,9,FALSE)&amp;VLOOKUP(D772,[2]契約台帳!$A$3:$K$4999,11,FALSE))</f>
        <v>3SNMLBMNGTBF</v>
      </c>
      <c r="G772" s="363" t="str">
        <f>IF(D772="","",VLOOKUP(F772,[2]製品マスタ!$G$5:$H$5000,2,FALSE))</f>
        <v>S</v>
      </c>
      <c r="H772" s="363" t="str">
        <f>IF(D772="","",VLOOKUP(F772,[2]製品マスタ!$G$5:$K$5000,5,FALSE))</f>
        <v>MNGTBF</v>
      </c>
      <c r="I772" s="207" t="str">
        <f>IF(D772="","",VLOOKUP(F772,[2]製品マスタ!$G$5:$L$5000,6,FALSE))</f>
        <v>メタルミー　ネーマー　銀艶　Ｂ</v>
      </c>
      <c r="J772" s="373" t="s">
        <v>447</v>
      </c>
      <c r="K772" s="207">
        <f>IF(D772="","",VLOOKUP(D772,[2]契約台帳!$A$3:$L$4999,12,FALSE))</f>
        <v>25</v>
      </c>
      <c r="L772" s="207" t="str">
        <f>IF(D772="","",INDEX([2]製品マスタ!$Q$5:$Q$5000,MATCH(F772&amp;K772,[2]製品マスタ!$AO$5:$AO$5000,0)))</f>
        <v>T62M</v>
      </c>
      <c r="M772" s="326">
        <v>1125</v>
      </c>
      <c r="N772" s="326">
        <v>12100</v>
      </c>
      <c r="O772" s="175">
        <v>1</v>
      </c>
      <c r="P772" s="329"/>
      <c r="Q772" s="367">
        <f>IF(D772="","",IF(J772="リード付け",M772,VLOOKUP(D772,[2]契約台帳!$A$3:$N$4999,14,FALSE)))</f>
        <v>1125</v>
      </c>
      <c r="R772" s="278">
        <f>IF(D772="","",IF(J772="リード付け",M772,VLOOKUP(D772,[2]契約台帳!$A$3:$O$4999,15,FALSE)))</f>
        <v>1120</v>
      </c>
      <c r="S772" s="278">
        <f>IF(D772="","",IF(J772="リード付け",N772,VLOOKUP(D772,契約台帳!$A$3:$P$4986,16,FALSE)))</f>
        <v>4000</v>
      </c>
      <c r="T772" s="183">
        <v>3</v>
      </c>
      <c r="U772" s="278">
        <f ca="1">IF(D772="","",IF(OFFSET(D772,-2,0)=D772,"",VLOOKUP(D772,契約台帳!$A$3:$R$4986,18,FALSE)))</f>
        <v>3</v>
      </c>
      <c r="V772" s="363" t="str">
        <f>IF(J772="巻返し",VLOOKUP(F772&amp;K772&amp;M772,[2]製品マスタ!$M$5:$AD$5000,18,FALSE),IF(J772="リード付け","原反コア",IF(J772="スリット",VLOOKUP(F772&amp;K772&amp;Q772,[2]製品マスタ!$N$5:$AD$5000,17,FALSE),"")))</f>
        <v>6ｲﾝﾁSｺｱ</v>
      </c>
      <c r="W772" s="363">
        <f>IF(J772="巻返し",VLOOKUP(F772&amp;K772&amp;M772,[2]製品マスタ!$M$5:$AE$5000,19,FALSE),IF(J772="リード付け","-",IF(J772="スリット",VLOOKUP(F772&amp;K772&amp;Q772,[2]製品マスタ!$N$5:$AE$5000,18,FALSE),"")))</f>
        <v>1130</v>
      </c>
      <c r="X772" s="363">
        <f>IF(D772="","",VLOOKUP(D772,[2]契約台帳!$A$3:$Q$4999,17,FALSE))</f>
        <v>2</v>
      </c>
      <c r="Y772" s="363" t="str">
        <f>IF(D772="","",VLOOKUP(D772,[2]契約台帳!$A$3:$E$4999,5,FALSE))</f>
        <v>リンテック㈱</v>
      </c>
      <c r="Z772" s="357">
        <v>45184</v>
      </c>
      <c r="AA772" s="207">
        <f>IFERROR(VLOOKUP(F772&amp;K772&amp;M772,製品マスタ!$M$5:$AM$5002,27,FALSE),"")</f>
        <v>0</v>
      </c>
      <c r="AB772" s="369"/>
      <c r="AC772" s="370"/>
      <c r="AD772" s="332" t="str">
        <f>IF(F772="","",+F772&amp;K772)</f>
        <v>3SNMLBMNGTBF25</v>
      </c>
      <c r="AE772" s="216">
        <f>+M772*N772*O772/1000</f>
        <v>13612.5</v>
      </c>
      <c r="AF772" s="43">
        <f>IF(AD772="","",VLOOKUP(AD772,原価マスタ!$A$2:$AJ$1693,13,FALSE))</f>
        <v>97.5</v>
      </c>
      <c r="AG772" s="47">
        <f>IF(AF772="","",+AE772*AF772/100)</f>
        <v>13272.1875</v>
      </c>
      <c r="AH772" s="333"/>
      <c r="AI772" s="333"/>
      <c r="AJ772" s="333"/>
      <c r="AK772" s="333"/>
      <c r="AL772" s="334"/>
      <c r="AM772" s="334"/>
      <c r="AN772" s="334"/>
      <c r="AO772" s="334"/>
      <c r="AP772" s="334"/>
      <c r="AQ772" s="335"/>
      <c r="AR772" s="336"/>
    </row>
    <row r="773" spans="1:44" s="337" customFormat="1" ht="30.95" hidden="1" customHeight="1" x14ac:dyDescent="0.2">
      <c r="A773" s="358"/>
      <c r="B773" s="359"/>
      <c r="C773" s="360"/>
      <c r="D773" s="361"/>
      <c r="E773" s="361"/>
      <c r="F773" s="362"/>
      <c r="G773" s="363"/>
      <c r="H773" s="363"/>
      <c r="I773" s="207"/>
      <c r="J773" s="364"/>
      <c r="K773" s="207"/>
      <c r="L773" s="207"/>
      <c r="M773" s="365"/>
      <c r="N773" s="365"/>
      <c r="O773" s="366"/>
      <c r="P773" s="357"/>
      <c r="Q773" s="367"/>
      <c r="R773" s="278"/>
      <c r="S773" s="278"/>
      <c r="T773" s="368"/>
      <c r="U773" s="278"/>
      <c r="V773" s="363"/>
      <c r="W773" s="363"/>
      <c r="X773" s="363"/>
      <c r="Y773" s="363"/>
      <c r="Z773" s="357"/>
      <c r="AA773" s="207"/>
      <c r="AB773" s="369"/>
      <c r="AC773" s="370"/>
      <c r="AD773" s="332"/>
      <c r="AE773" s="371"/>
      <c r="AF773" s="372"/>
      <c r="AG773" s="366"/>
      <c r="AH773" s="333"/>
      <c r="AI773" s="333"/>
      <c r="AJ773" s="333"/>
      <c r="AK773" s="333"/>
      <c r="AL773" s="334"/>
      <c r="AM773" s="334"/>
      <c r="AN773" s="334"/>
      <c r="AO773" s="334"/>
      <c r="AP773" s="334"/>
      <c r="AQ773" s="335"/>
      <c r="AR773" s="336"/>
    </row>
    <row r="774" spans="1:44" s="337" customFormat="1" ht="30.75" hidden="1" customHeight="1" x14ac:dyDescent="0.2">
      <c r="A774" s="320"/>
      <c r="B774" s="321"/>
      <c r="C774" s="322"/>
      <c r="D774" s="279">
        <v>3725628</v>
      </c>
      <c r="E774" s="279">
        <v>4151477</v>
      </c>
      <c r="F774" s="362" t="str">
        <f>IF(D774="","",VLOOKUP(D774,[2]契約台帳!$A$3:$K$4999,6,FALSE)&amp;VLOOKUP(D774,[2]契約台帳!$A$3:$K$4999,7,FALSE)&amp;VLOOKUP(D774,[2]契約台帳!$A$3:$K$4999,8,FALSE)&amp;VLOOKUP(D774,[2]契約台帳!$A$3:$K$4999,9,FALSE)&amp;VLOOKUP(D774,[2]契約台帳!$A$3:$K$4999,11,FALSE))</f>
        <v>3UYKNZMCRALCB</v>
      </c>
      <c r="G774" s="363" t="str">
        <f>IF(D774="","",VLOOKUP(F774,[2]製品マスタ!$G$5:$H$5000,2,FALSE))</f>
        <v>U</v>
      </c>
      <c r="H774" s="363" t="str">
        <f>IF(D774="","",VLOOKUP(F774,[2]製品マスタ!$G$5:$K$5000,5,FALSE))</f>
        <v>MCRALCB</v>
      </c>
      <c r="I774" s="207" t="str">
        <f>IF(D774="","",VLOOKUP(F774,[2]製品マスタ!$G$5:$L$5000,6,FALSE))</f>
        <v>Metalumy CR aluminum surface coat B</v>
      </c>
      <c r="J774" s="373" t="s">
        <v>463</v>
      </c>
      <c r="K774" s="207">
        <f>IF(D774="","",VLOOKUP(D774,[2]契約台帳!$A$3:$L$4999,12,FALSE))</f>
        <v>25</v>
      </c>
      <c r="L774" s="207" t="str">
        <f>IF(D774="","",INDEX([2]製品マスタ!$Q$5:$Q$5000,MATCH(F774&amp;K774,[2]製品マスタ!$AO$5:$AO$5000,0)))</f>
        <v>S28M</v>
      </c>
      <c r="M774" s="326">
        <v>1110</v>
      </c>
      <c r="N774" s="326">
        <v>12100</v>
      </c>
      <c r="O774" s="175">
        <v>1</v>
      </c>
      <c r="P774" s="329"/>
      <c r="Q774" s="367">
        <f>IF(D774="","",IF(J774="リード付け",M774,VLOOKUP(D774,[2]契約台帳!$A$3:$N$4999,14,FALSE)))</f>
        <v>1050</v>
      </c>
      <c r="R774" s="278">
        <f>IF(D774="","",IF(J774="リード付け",M774,VLOOKUP(D774,[2]契約台帳!$A$3:$O$4999,15,FALSE)))</f>
        <v>1050</v>
      </c>
      <c r="S774" s="278">
        <f>IF(D774="","",IF(J774="リード付け",N774,VLOOKUP(D774,契約台帳!$A$3:$P$4986,16,FALSE)))</f>
        <v>6000</v>
      </c>
      <c r="T774" s="183">
        <v>2</v>
      </c>
      <c r="U774" s="278">
        <f ca="1">IF(D774="","",IF(OFFSET(D774,-2,0)=D774,"",VLOOKUP(D774,契約台帳!$A$3:$R$4986,18,FALSE)))</f>
        <v>2</v>
      </c>
      <c r="V774" s="363" t="str">
        <f>IF(J774="巻返し",VLOOKUP(F774&amp;K774&amp;M774,[2]製品マスタ!$M$5:$AD$5000,18,FALSE),IF(J774="リード付け","原反コア",IF(J774="スリット",VLOOKUP(F774&amp;K774&amp;Q774,[2]製品マスタ!$N$5:$AD$5000,17,FALSE),"")))</f>
        <v>6ｲﾝﾁABS</v>
      </c>
      <c r="W774" s="363">
        <f>IF(J774="巻返し",VLOOKUP(F774&amp;K774&amp;M774,[2]製品マスタ!$M$5:$AE$5000,19,FALSE),IF(J774="リード付け","-",IF(J774="スリット",VLOOKUP(F774&amp;K774&amp;Q774,[2]製品マスタ!$N$5:$AE$5000,18,FALSE),"")))</f>
        <v>1250</v>
      </c>
      <c r="X774" s="363">
        <f>IF(D774="","",VLOOKUP(D774,[2]契約台帳!$A$3:$Q$4999,17,FALSE))</f>
        <v>1</v>
      </c>
      <c r="Y774" s="363" t="str">
        <f>IF(D774="","",VLOOKUP(D774,[2]契約台帳!$A$3:$E$4999,5,FALSE))</f>
        <v>日東電工有限公司</v>
      </c>
      <c r="Z774" s="329" t="s">
        <v>1016</v>
      </c>
      <c r="AA774" s="207" t="s">
        <v>1470</v>
      </c>
      <c r="AB774" s="330"/>
      <c r="AC774" s="331"/>
      <c r="AD774" s="332"/>
      <c r="AE774" s="216"/>
      <c r="AF774" s="328"/>
      <c r="AG774" s="175"/>
      <c r="AH774" s="333"/>
      <c r="AI774" s="333"/>
      <c r="AJ774" s="333"/>
      <c r="AK774" s="333"/>
      <c r="AL774" s="334"/>
      <c r="AM774" s="334"/>
      <c r="AN774" s="334"/>
      <c r="AO774" s="334"/>
      <c r="AP774" s="334"/>
      <c r="AQ774" s="335"/>
      <c r="AR774" s="336"/>
    </row>
    <row r="775" spans="1:44" s="337" customFormat="1" ht="30.95" hidden="1" customHeight="1" x14ac:dyDescent="0.2">
      <c r="A775" s="358"/>
      <c r="B775" s="359"/>
      <c r="C775" s="360"/>
      <c r="D775" s="361"/>
      <c r="E775" s="361"/>
      <c r="F775" s="362"/>
      <c r="G775" s="363"/>
      <c r="H775" s="363"/>
      <c r="I775" s="207"/>
      <c r="J775" s="364"/>
      <c r="K775" s="207"/>
      <c r="L775" s="207"/>
      <c r="M775" s="365"/>
      <c r="N775" s="365"/>
      <c r="O775" s="366"/>
      <c r="P775" s="357"/>
      <c r="Q775" s="367"/>
      <c r="R775" s="278"/>
      <c r="S775" s="278"/>
      <c r="T775" s="368"/>
      <c r="U775" s="278"/>
      <c r="V775" s="363"/>
      <c r="W775" s="363"/>
      <c r="X775" s="363"/>
      <c r="Y775" s="363"/>
      <c r="Z775" s="357"/>
      <c r="AA775" s="207"/>
      <c r="AB775" s="369"/>
      <c r="AC775" s="370"/>
      <c r="AD775" s="332"/>
      <c r="AE775" s="371"/>
      <c r="AF775" s="372"/>
      <c r="AG775" s="366"/>
      <c r="AH775" s="333"/>
      <c r="AI775" s="333"/>
      <c r="AJ775" s="333"/>
      <c r="AK775" s="333"/>
      <c r="AL775" s="334"/>
      <c r="AM775" s="334"/>
      <c r="AN775" s="334"/>
      <c r="AO775" s="334"/>
      <c r="AP775" s="334"/>
      <c r="AQ775" s="335"/>
      <c r="AR775" s="336"/>
    </row>
    <row r="776" spans="1:44" s="337" customFormat="1" ht="30.95" hidden="1" customHeight="1" x14ac:dyDescent="0.2">
      <c r="A776" s="320" t="s">
        <v>561</v>
      </c>
      <c r="B776" s="321" t="s">
        <v>442</v>
      </c>
      <c r="C776" s="360"/>
      <c r="D776" s="361" t="s">
        <v>1276</v>
      </c>
      <c r="E776" s="361" t="s">
        <v>1468</v>
      </c>
      <c r="F776" s="362"/>
      <c r="G776" s="363"/>
      <c r="H776" s="363"/>
      <c r="I776" s="207" t="s">
        <v>1469</v>
      </c>
      <c r="J776" s="364" t="s">
        <v>463</v>
      </c>
      <c r="K776" s="207">
        <v>25</v>
      </c>
      <c r="L776" s="207" t="s">
        <v>78</v>
      </c>
      <c r="M776" s="365">
        <v>1110</v>
      </c>
      <c r="N776" s="365">
        <v>700</v>
      </c>
      <c r="O776" s="366">
        <v>1</v>
      </c>
      <c r="P776" s="357"/>
      <c r="Q776" s="367">
        <v>1050</v>
      </c>
      <c r="R776" s="278">
        <v>1050</v>
      </c>
      <c r="S776" s="278">
        <v>500</v>
      </c>
      <c r="T776" s="368">
        <v>1</v>
      </c>
      <c r="U776" s="278"/>
      <c r="V776" s="363" t="s">
        <v>272</v>
      </c>
      <c r="W776" s="363">
        <v>1250</v>
      </c>
      <c r="X776" s="363">
        <v>1</v>
      </c>
      <c r="Y776" s="363" t="s">
        <v>61</v>
      </c>
      <c r="Z776" s="357" t="s">
        <v>1016</v>
      </c>
      <c r="AA776" s="207" t="s">
        <v>1470</v>
      </c>
      <c r="AB776" s="369"/>
      <c r="AC776" s="370"/>
      <c r="AD776" s="332"/>
      <c r="AE776" s="371"/>
      <c r="AF776" s="372"/>
      <c r="AG776" s="366"/>
      <c r="AH776" s="333"/>
      <c r="AI776" s="333"/>
      <c r="AJ776" s="333"/>
      <c r="AK776" s="333"/>
      <c r="AL776" s="334"/>
      <c r="AM776" s="334"/>
      <c r="AN776" s="334"/>
      <c r="AO776" s="334"/>
      <c r="AP776" s="334"/>
      <c r="AQ776" s="335"/>
      <c r="AR776" s="336"/>
    </row>
    <row r="777" spans="1:44" s="337" customFormat="1" ht="30.95" hidden="1" customHeight="1" x14ac:dyDescent="0.2">
      <c r="A777" s="358"/>
      <c r="B777" s="359"/>
      <c r="C777" s="360"/>
      <c r="D777" s="361"/>
      <c r="E777" s="361"/>
      <c r="F777" s="362"/>
      <c r="G777" s="363"/>
      <c r="H777" s="363"/>
      <c r="I777" s="207"/>
      <c r="J777" s="364"/>
      <c r="K777" s="207"/>
      <c r="L777" s="207"/>
      <c r="M777" s="365"/>
      <c r="N777" s="365"/>
      <c r="O777" s="366"/>
      <c r="P777" s="357"/>
      <c r="Q777" s="367"/>
      <c r="R777" s="278"/>
      <c r="S777" s="278"/>
      <c r="T777" s="368"/>
      <c r="U777" s="278"/>
      <c r="V777" s="363"/>
      <c r="W777" s="363"/>
      <c r="X777" s="363"/>
      <c r="Y777" s="363"/>
      <c r="Z777" s="357"/>
      <c r="AA777" s="207"/>
      <c r="AB777" s="369"/>
      <c r="AC777" s="370"/>
      <c r="AD777" s="332"/>
      <c r="AE777" s="371"/>
      <c r="AF777" s="372"/>
      <c r="AG777" s="366"/>
      <c r="AH777" s="333"/>
      <c r="AI777" s="333"/>
      <c r="AJ777" s="333"/>
      <c r="AK777" s="333"/>
      <c r="AL777" s="334"/>
      <c r="AM777" s="334"/>
      <c r="AN777" s="334"/>
      <c r="AO777" s="334"/>
      <c r="AP777" s="334"/>
      <c r="AQ777" s="335"/>
      <c r="AR777" s="336"/>
    </row>
    <row r="778" spans="1:44" s="337" customFormat="1" ht="30.95" hidden="1" customHeight="1" x14ac:dyDescent="0.2">
      <c r="A778" s="358"/>
      <c r="B778" s="359"/>
      <c r="C778" s="360"/>
      <c r="D778" s="361" t="s">
        <v>1276</v>
      </c>
      <c r="E778" s="361" t="s">
        <v>1468</v>
      </c>
      <c r="F778" s="362"/>
      <c r="G778" s="363"/>
      <c r="H778" s="363"/>
      <c r="I778" s="207" t="s">
        <v>1469</v>
      </c>
      <c r="J778" s="364" t="s">
        <v>463</v>
      </c>
      <c r="K778" s="207">
        <v>25</v>
      </c>
      <c r="L778" s="207" t="s">
        <v>78</v>
      </c>
      <c r="M778" s="365">
        <v>1110</v>
      </c>
      <c r="N778" s="365">
        <v>1200</v>
      </c>
      <c r="O778" s="366">
        <v>1</v>
      </c>
      <c r="P778" s="357"/>
      <c r="Q778" s="367">
        <v>1050</v>
      </c>
      <c r="R778" s="278">
        <v>1050</v>
      </c>
      <c r="S778" s="278">
        <v>1000</v>
      </c>
      <c r="T778" s="368">
        <v>1</v>
      </c>
      <c r="U778" s="278" t="str">
        <f ca="1">IF(D778="","",IF(OFFSET(D778,-2,0)=D778,"",VLOOKUP(D778,契約台帳!$A$3:$R$4986,18,FALSE)))</f>
        <v/>
      </c>
      <c r="V778" s="363" t="s">
        <v>272</v>
      </c>
      <c r="W778" s="363">
        <v>1250</v>
      </c>
      <c r="X778" s="363">
        <v>1</v>
      </c>
      <c r="Y778" s="363" t="s">
        <v>61</v>
      </c>
      <c r="Z778" s="357" t="s">
        <v>1016</v>
      </c>
      <c r="AA778" s="207" t="s">
        <v>1470</v>
      </c>
      <c r="AB778" s="369"/>
      <c r="AC778" s="370"/>
      <c r="AD778" s="332"/>
      <c r="AE778" s="371"/>
      <c r="AF778" s="372"/>
      <c r="AG778" s="366"/>
      <c r="AH778" s="333"/>
      <c r="AI778" s="333"/>
      <c r="AJ778" s="333"/>
      <c r="AK778" s="333"/>
      <c r="AL778" s="334"/>
      <c r="AM778" s="334"/>
      <c r="AN778" s="334"/>
      <c r="AO778" s="334"/>
      <c r="AP778" s="334"/>
      <c r="AQ778" s="335"/>
      <c r="AR778" s="336"/>
    </row>
    <row r="779" spans="1:44" s="337" customFormat="1" ht="30.95" hidden="1" customHeight="1" x14ac:dyDescent="0.2">
      <c r="A779" s="358"/>
      <c r="B779" s="359"/>
      <c r="C779" s="360"/>
      <c r="D779" s="361"/>
      <c r="E779" s="361"/>
      <c r="F779" s="362"/>
      <c r="G779" s="363"/>
      <c r="H779" s="363"/>
      <c r="I779" s="207"/>
      <c r="J779" s="364"/>
      <c r="K779" s="207"/>
      <c r="L779" s="207"/>
      <c r="M779" s="365"/>
      <c r="N779" s="365"/>
      <c r="O779" s="366"/>
      <c r="P779" s="357"/>
      <c r="Q779" s="367"/>
      <c r="R779" s="278"/>
      <c r="S779" s="278"/>
      <c r="T779" s="368"/>
      <c r="U779" s="278"/>
      <c r="V779" s="363"/>
      <c r="W779" s="363"/>
      <c r="X779" s="363"/>
      <c r="Y779" s="363"/>
      <c r="Z779" s="357"/>
      <c r="AA779" s="207"/>
      <c r="AB779" s="369"/>
      <c r="AC779" s="370"/>
      <c r="AD779" s="332"/>
      <c r="AE779" s="371"/>
      <c r="AF779" s="372"/>
      <c r="AG779" s="366"/>
      <c r="AH779" s="333"/>
      <c r="AI779" s="333"/>
      <c r="AJ779" s="333"/>
      <c r="AK779" s="333"/>
      <c r="AL779" s="334"/>
      <c r="AM779" s="334"/>
      <c r="AN779" s="334"/>
      <c r="AO779" s="334"/>
      <c r="AP779" s="334"/>
      <c r="AQ779" s="335"/>
      <c r="AR779" s="336"/>
    </row>
    <row r="780" spans="1:44" s="337" customFormat="1" ht="30.95" hidden="1" customHeight="1" x14ac:dyDescent="0.2">
      <c r="A780" s="358"/>
      <c r="B780" s="359"/>
      <c r="C780" s="360"/>
      <c r="D780" s="361" t="s">
        <v>1276</v>
      </c>
      <c r="E780" s="361" t="s">
        <v>1468</v>
      </c>
      <c r="F780" s="362"/>
      <c r="G780" s="363"/>
      <c r="H780" s="363"/>
      <c r="I780" s="207" t="s">
        <v>1469</v>
      </c>
      <c r="J780" s="364" t="s">
        <v>463</v>
      </c>
      <c r="K780" s="207">
        <v>25</v>
      </c>
      <c r="L780" s="207" t="s">
        <v>78</v>
      </c>
      <c r="M780" s="365">
        <v>1110</v>
      </c>
      <c r="N780" s="365">
        <v>700</v>
      </c>
      <c r="O780" s="366">
        <v>1</v>
      </c>
      <c r="P780" s="357"/>
      <c r="Q780" s="367">
        <v>1050</v>
      </c>
      <c r="R780" s="278">
        <v>1050</v>
      </c>
      <c r="S780" s="278">
        <v>500</v>
      </c>
      <c r="T780" s="368">
        <v>1</v>
      </c>
      <c r="U780" s="278" t="str">
        <f ca="1">IF(D780="","",IF(OFFSET(D780,-2,0)=D780,"",VLOOKUP(D780,契約台帳!$A$3:$R$4986,18,FALSE)))</f>
        <v/>
      </c>
      <c r="V780" s="363" t="s">
        <v>272</v>
      </c>
      <c r="W780" s="363">
        <v>1250</v>
      </c>
      <c r="X780" s="363">
        <v>1</v>
      </c>
      <c r="Y780" s="363" t="s">
        <v>61</v>
      </c>
      <c r="Z780" s="357" t="s">
        <v>1016</v>
      </c>
      <c r="AA780" s="207" t="s">
        <v>1470</v>
      </c>
      <c r="AB780" s="369"/>
      <c r="AC780" s="370"/>
      <c r="AD780" s="332"/>
      <c r="AE780" s="371"/>
      <c r="AF780" s="372"/>
      <c r="AG780" s="366"/>
      <c r="AH780" s="333"/>
      <c r="AI780" s="333"/>
      <c r="AJ780" s="333"/>
      <c r="AK780" s="333"/>
      <c r="AL780" s="334"/>
      <c r="AM780" s="334"/>
      <c r="AN780" s="334"/>
      <c r="AO780" s="334"/>
      <c r="AP780" s="334"/>
      <c r="AQ780" s="335"/>
      <c r="AR780" s="336"/>
    </row>
    <row r="781" spans="1:44" s="337" customFormat="1" ht="30.95" hidden="1" customHeight="1" x14ac:dyDescent="0.2">
      <c r="A781" s="358"/>
      <c r="B781" s="359"/>
      <c r="C781" s="360"/>
      <c r="D781" s="361"/>
      <c r="E781" s="361"/>
      <c r="F781" s="362"/>
      <c r="G781" s="363"/>
      <c r="H781" s="363"/>
      <c r="I781" s="207"/>
      <c r="J781" s="364"/>
      <c r="K781" s="207"/>
      <c r="L781" s="207"/>
      <c r="M781" s="365"/>
      <c r="N781" s="365"/>
      <c r="O781" s="366"/>
      <c r="P781" s="357"/>
      <c r="Q781" s="367"/>
      <c r="R781" s="278"/>
      <c r="S781" s="278"/>
      <c r="T781" s="368"/>
      <c r="U781" s="278"/>
      <c r="V781" s="363"/>
      <c r="W781" s="363"/>
      <c r="X781" s="363"/>
      <c r="Y781" s="363"/>
      <c r="Z781" s="357"/>
      <c r="AA781" s="207"/>
      <c r="AB781" s="369"/>
      <c r="AC781" s="370"/>
      <c r="AD781" s="332"/>
      <c r="AE781" s="371"/>
      <c r="AF781" s="372"/>
      <c r="AG781" s="366"/>
      <c r="AH781" s="333"/>
      <c r="AI781" s="333"/>
      <c r="AJ781" s="333"/>
      <c r="AK781" s="333"/>
      <c r="AL781" s="334"/>
      <c r="AM781" s="334"/>
      <c r="AN781" s="334"/>
      <c r="AO781" s="334"/>
      <c r="AP781" s="334"/>
      <c r="AQ781" s="335"/>
      <c r="AR781" s="336"/>
    </row>
    <row r="782" spans="1:44" s="337" customFormat="1" ht="30.75" hidden="1" customHeight="1" x14ac:dyDescent="0.2">
      <c r="A782" s="320"/>
      <c r="B782" s="321"/>
      <c r="C782" s="322"/>
      <c r="D782" s="279">
        <v>3725629</v>
      </c>
      <c r="E782" s="279">
        <v>4151478</v>
      </c>
      <c r="F782" s="362" t="str">
        <f>IF(D782="","",VLOOKUP(D782,[2]契約台帳!$A$3:$K$4999,6,FALSE)&amp;VLOOKUP(D782,[2]契約台帳!$A$3:$K$4999,7,FALSE)&amp;VLOOKUP(D782,[2]契約台帳!$A$3:$K$4999,8,FALSE)&amp;VLOOKUP(D782,[2]契約台帳!$A$3:$K$4999,9,FALSE)&amp;VLOOKUP(D782,[2]契約台帳!$A$3:$K$4999,11,FALSE))</f>
        <v>3UNKNZMCRALCB</v>
      </c>
      <c r="G782" s="363" t="str">
        <f>IF(D782="","",VLOOKUP(F782,[2]製品マスタ!$G$5:$H$5000,2,FALSE))</f>
        <v>U</v>
      </c>
      <c r="H782" s="363" t="str">
        <f>IF(D782="","",VLOOKUP(F782,[2]製品マスタ!$G$5:$K$5000,5,FALSE))</f>
        <v>MCRALCB</v>
      </c>
      <c r="I782" s="207" t="str">
        <f>IF(D782="","",VLOOKUP(F782,[2]製品マスタ!$G$5:$L$5000,6,FALSE))</f>
        <v>メタルミーCRアルミ面コートB</v>
      </c>
      <c r="J782" s="373" t="s">
        <v>463</v>
      </c>
      <c r="K782" s="207">
        <f>IF(D782="","",VLOOKUP(D782,[2]契約台帳!$A$3:$L$4999,12,FALSE))</f>
        <v>25</v>
      </c>
      <c r="L782" s="207" t="str">
        <f>IF(D782="","",INDEX([2]製品マスタ!$Q$5:$Q$5000,MATCH(F782&amp;K782,[2]製品マスタ!$AO$5:$AO$5000,0)))</f>
        <v>S28M</v>
      </c>
      <c r="M782" s="326">
        <v>1110</v>
      </c>
      <c r="N782" s="326">
        <v>12100</v>
      </c>
      <c r="O782" s="175">
        <v>1</v>
      </c>
      <c r="P782" s="329"/>
      <c r="Q782" s="367">
        <f>IF(D782="","",IF(J782="リード付け",M782,VLOOKUP(D782,[2]契約台帳!$A$3:$N$4999,14,FALSE)))</f>
        <v>1050</v>
      </c>
      <c r="R782" s="278">
        <f>IF(D782="","",IF(J782="リード付け",M782,VLOOKUP(D782,[2]契約台帳!$A$3:$O$4999,15,FALSE)))</f>
        <v>1050</v>
      </c>
      <c r="S782" s="278">
        <f>IF(D782="","",IF(J782="リード付け",N782,VLOOKUP(D782,契約台帳!$A$3:$P$4986,16,FALSE)))</f>
        <v>6000</v>
      </c>
      <c r="T782" s="183">
        <v>2</v>
      </c>
      <c r="U782" s="278">
        <f ca="1">IF(D782="","",IF(OFFSET(D782,-2,0)=D782,"",VLOOKUP(D782,契約台帳!$A$3:$R$4986,18,FALSE)))</f>
        <v>2</v>
      </c>
      <c r="V782" s="363" t="str">
        <f>IF(J782="巻返し",VLOOKUP(F782&amp;K782&amp;M782,[2]製品マスタ!$M$5:$AD$5000,18,FALSE),IF(J782="リード付け","原反コア",IF(J782="スリット",VLOOKUP(F782&amp;K782&amp;Q782,[2]製品マスタ!$N$5:$AD$5000,17,FALSE),"")))</f>
        <v>6ｲﾝﾁABS</v>
      </c>
      <c r="W782" s="363">
        <f>IF(J782="巻返し",VLOOKUP(F782&amp;K782&amp;M782,[2]製品マスタ!$M$5:$AE$5000,19,FALSE),IF(J782="リード付け","-",IF(J782="スリット",VLOOKUP(F782&amp;K782&amp;Q782,[2]製品マスタ!$N$5:$AE$5000,18,FALSE),"")))</f>
        <v>1250</v>
      </c>
      <c r="X782" s="363">
        <f>IF(D782="","",VLOOKUP(D782,[2]契約台帳!$A$3:$Q$4999,17,FALSE))</f>
        <v>1</v>
      </c>
      <c r="Y782" s="363" t="str">
        <f>IF(D782="","",VLOOKUP(D782,[2]契約台帳!$A$3:$E$4999,5,FALSE))</f>
        <v>日東電工㈱豊橋工場</v>
      </c>
      <c r="Z782" s="329" t="s">
        <v>1016</v>
      </c>
      <c r="AA782" s="207" t="s">
        <v>1470</v>
      </c>
      <c r="AB782" s="330"/>
      <c r="AC782" s="331"/>
      <c r="AD782" s="332"/>
      <c r="AE782" s="216"/>
      <c r="AF782" s="328"/>
      <c r="AG782" s="175"/>
      <c r="AH782" s="333"/>
      <c r="AI782" s="333"/>
      <c r="AJ782" s="333"/>
      <c r="AK782" s="333"/>
      <c r="AL782" s="334"/>
      <c r="AM782" s="334"/>
      <c r="AN782" s="334"/>
      <c r="AO782" s="334"/>
      <c r="AP782" s="334"/>
      <c r="AQ782" s="335"/>
      <c r="AR782" s="336"/>
    </row>
    <row r="783" spans="1:44" s="337" customFormat="1" ht="30.95" hidden="1" customHeight="1" x14ac:dyDescent="0.2">
      <c r="A783" s="358"/>
      <c r="B783" s="359"/>
      <c r="C783" s="360"/>
      <c r="D783" s="361"/>
      <c r="E783" s="361"/>
      <c r="F783" s="362"/>
      <c r="G783" s="363"/>
      <c r="H783" s="363"/>
      <c r="I783" s="207"/>
      <c r="J783" s="364"/>
      <c r="K783" s="207"/>
      <c r="L783" s="207"/>
      <c r="M783" s="365"/>
      <c r="N783" s="365"/>
      <c r="O783" s="366"/>
      <c r="P783" s="357"/>
      <c r="Q783" s="367"/>
      <c r="R783" s="278"/>
      <c r="S783" s="278"/>
      <c r="T783" s="368"/>
      <c r="U783" s="278"/>
      <c r="V783" s="363"/>
      <c r="W783" s="363"/>
      <c r="X783" s="363"/>
      <c r="Y783" s="363"/>
      <c r="Z783" s="357"/>
      <c r="AA783" s="207"/>
      <c r="AB783" s="369"/>
      <c r="AC783" s="370"/>
      <c r="AD783" s="332"/>
      <c r="AE783" s="371"/>
      <c r="AF783" s="372"/>
      <c r="AG783" s="366"/>
      <c r="AH783" s="333"/>
      <c r="AI783" s="333"/>
      <c r="AJ783" s="333"/>
      <c r="AK783" s="333"/>
      <c r="AL783" s="334"/>
      <c r="AM783" s="334"/>
      <c r="AN783" s="334"/>
      <c r="AO783" s="334"/>
      <c r="AP783" s="334"/>
      <c r="AQ783" s="335"/>
      <c r="AR783" s="336"/>
    </row>
    <row r="784" spans="1:44" s="337" customFormat="1" ht="30.75" hidden="1" customHeight="1" x14ac:dyDescent="0.2">
      <c r="A784" s="320" t="s">
        <v>562</v>
      </c>
      <c r="B784" s="321" t="s">
        <v>443</v>
      </c>
      <c r="C784" s="322"/>
      <c r="D784" s="279">
        <v>3723648</v>
      </c>
      <c r="E784" s="279">
        <v>4151459</v>
      </c>
      <c r="F784" s="362" t="str">
        <f>IF(D784="","",VLOOKUP(D784,[2]契約台帳!$A$3:$K$4999,6,FALSE)&amp;VLOOKUP(D784,[2]契約台帳!$A$3:$K$4999,7,FALSE)&amp;VLOOKUP(D784,[2]契約台帳!$A$3:$K$4999,8,FALSE)&amp;VLOOKUP(D784,[2]契約台帳!$A$3:$K$4999,9,FALSE)&amp;VLOOKUP(D784,[2]契約台帳!$A$3:$K$4999,11,FALSE))</f>
        <v>3SYMLBMSNMBF</v>
      </c>
      <c r="G784" s="363" t="str">
        <f>IF(D784="","",VLOOKUP(F784,[2]製品マスタ!$G$5:$H$5000,2,FALSE))</f>
        <v>S</v>
      </c>
      <c r="H784" s="363" t="str">
        <f>IF(D784="","",VLOOKUP(F784,[2]製品マスタ!$G$5:$K$5000,5,FALSE))</f>
        <v>MSNMBF</v>
      </c>
      <c r="I784" s="207" t="str">
        <f>IF(D784="","",VLOOKUP(F784,[2]製品マスタ!$G$5:$L$5000,6,FALSE))</f>
        <v>ＭＥＴＡＬＵＭＹ　ＳＩＬＶＥＲ　Ｎ－ＭＡＴＴＥ　Ｘ４４Ｍ　Ｂ</v>
      </c>
      <c r="J784" s="373" t="s">
        <v>447</v>
      </c>
      <c r="K784" s="207">
        <f>IF(D784="","",VLOOKUP(D784,[2]契約台帳!$A$3:$L$4999,12,FALSE))</f>
        <v>50</v>
      </c>
      <c r="L784" s="207" t="str">
        <f>IF(D784="","",INDEX([2]製品マスタ!$Q$5:$Q$5000,MATCH(F784&amp;K784,[2]製品マスタ!$AO$5:$AO$5000,0)))</f>
        <v>X44</v>
      </c>
      <c r="M784" s="326">
        <v>1120</v>
      </c>
      <c r="N784" s="326">
        <v>12000</v>
      </c>
      <c r="O784" s="175">
        <v>1</v>
      </c>
      <c r="P784" s="329"/>
      <c r="Q784" s="367">
        <f>IF(D784="","",IF(J784="リード付け",M784,VLOOKUP(D784,[2]契約台帳!$A$3:$N$4999,14,FALSE)))</f>
        <v>1120</v>
      </c>
      <c r="R784" s="278">
        <f>IF(D784="","",IF(J784="リード付け",M784,VLOOKUP(D784,[2]契約台帳!$A$3:$O$4999,15,FALSE)))</f>
        <v>1120</v>
      </c>
      <c r="S784" s="278">
        <f>IF(D784="","",IF(J784="リード付け",N784,VLOOKUP(D784,契約台帳!$A$3:$P$4986,16,FALSE)))</f>
        <v>4000</v>
      </c>
      <c r="T784" s="183">
        <v>3</v>
      </c>
      <c r="U784" s="278">
        <f ca="1">IF(D784="","",IF(OFFSET(D784,-2,0)=D784,"",VLOOKUP(D784,契約台帳!$A$3:$R$4986,18,FALSE)))</f>
        <v>4</v>
      </c>
      <c r="V784" s="363" t="str">
        <f>IF(J784="巻返し",VLOOKUP(F784&amp;K784&amp;M784,[2]製品マスタ!$M$5:$AD$5000,18,FALSE),IF(J784="リード付け","原反コア",IF(J784="スリット",VLOOKUP(F784&amp;K784&amp;Q784,[2]製品マスタ!$N$5:$AD$5000,17,FALSE),"")))</f>
        <v>6ｲﾝﾁMｺｱ</v>
      </c>
      <c r="W784" s="363">
        <f>IF(J784="巻返し",VLOOKUP(F784&amp;K784&amp;M784,[2]製品マスタ!$M$5:$AE$5000,19,FALSE),IF(J784="リード付け","-",IF(J784="スリット",VLOOKUP(F784&amp;K784&amp;Q784,[2]製品マスタ!$N$5:$AE$5000,18,FALSE),"")))</f>
        <v>1125</v>
      </c>
      <c r="X784" s="363">
        <f>IF(D784="","",VLOOKUP(D784,[2]契約台帳!$A$3:$Q$4999,17,FALSE))</f>
        <v>2</v>
      </c>
      <c r="Y784" s="363" t="str">
        <f>IF(D784="","",VLOOKUP(D784,[2]契約台帳!$A$3:$E$4999,5,FALSE))</f>
        <v>リンテック㈱</v>
      </c>
      <c r="Z784" s="329">
        <v>45188</v>
      </c>
      <c r="AA784" s="207">
        <f>IFERROR(VLOOKUP(F784&amp;K784&amp;M784,製品マスタ!$M$5:$AM$5002,27,FALSE),"")</f>
        <v>0</v>
      </c>
      <c r="AB784" s="330"/>
      <c r="AC784" s="331"/>
      <c r="AD784" s="332" t="str">
        <f>IF(F784="","",+F784&amp;K784)</f>
        <v>3SYMLBMSNMBF50</v>
      </c>
      <c r="AE784" s="216">
        <f>+M784*N784*O784/1000</f>
        <v>13440</v>
      </c>
      <c r="AF784" s="43">
        <f>IF(AD784="","",VLOOKUP(AD784,原価マスタ!$A$2:$AJ$1693,13,FALSE))</f>
        <v>98.8</v>
      </c>
      <c r="AG784" s="47">
        <f>IF(AF784="","",+AE784*AF784/100)</f>
        <v>13278.72</v>
      </c>
      <c r="AH784" s="333"/>
      <c r="AI784" s="333"/>
      <c r="AJ784" s="333"/>
      <c r="AK784" s="333"/>
      <c r="AL784" s="334"/>
      <c r="AM784" s="334"/>
      <c r="AN784" s="334"/>
      <c r="AO784" s="334"/>
      <c r="AP784" s="334"/>
      <c r="AQ784" s="335"/>
      <c r="AR784" s="336"/>
    </row>
    <row r="785" spans="1:44" s="337" customFormat="1" ht="30.95" hidden="1" customHeight="1" x14ac:dyDescent="0.2">
      <c r="A785" s="358"/>
      <c r="B785" s="359"/>
      <c r="C785" s="360"/>
      <c r="D785" s="361"/>
      <c r="E785" s="361"/>
      <c r="F785" s="362"/>
      <c r="G785" s="363"/>
      <c r="H785" s="363"/>
      <c r="I785" s="207"/>
      <c r="J785" s="364"/>
      <c r="K785" s="207"/>
      <c r="L785" s="207"/>
      <c r="M785" s="365"/>
      <c r="N785" s="365"/>
      <c r="O785" s="366"/>
      <c r="P785" s="357"/>
      <c r="Q785" s="367"/>
      <c r="R785" s="278"/>
      <c r="S785" s="278"/>
      <c r="T785" s="368"/>
      <c r="U785" s="278"/>
      <c r="V785" s="363"/>
      <c r="W785" s="363"/>
      <c r="X785" s="363"/>
      <c r="Y785" s="363"/>
      <c r="Z785" s="357"/>
      <c r="AA785" s="207"/>
      <c r="AB785" s="369"/>
      <c r="AC785" s="370"/>
      <c r="AD785" s="332"/>
      <c r="AE785" s="371"/>
      <c r="AF785" s="372"/>
      <c r="AG785" s="366"/>
      <c r="AH785" s="333"/>
      <c r="AI785" s="333"/>
      <c r="AJ785" s="333"/>
      <c r="AK785" s="333"/>
      <c r="AL785" s="334"/>
      <c r="AM785" s="334"/>
      <c r="AN785" s="334"/>
      <c r="AO785" s="334"/>
      <c r="AP785" s="334"/>
      <c r="AQ785" s="335"/>
      <c r="AR785" s="336"/>
    </row>
    <row r="786" spans="1:44" s="337" customFormat="1" ht="30.75" hidden="1" customHeight="1" x14ac:dyDescent="0.2">
      <c r="A786" s="320"/>
      <c r="B786" s="321"/>
      <c r="C786" s="322"/>
      <c r="D786" s="279">
        <v>3723648</v>
      </c>
      <c r="E786" s="279">
        <v>4151459</v>
      </c>
      <c r="F786" s="362" t="str">
        <f>IF(D786="","",VLOOKUP(D786,[2]契約台帳!$A$3:$K$4999,6,FALSE)&amp;VLOOKUP(D786,[2]契約台帳!$A$3:$K$4999,7,FALSE)&amp;VLOOKUP(D786,[2]契約台帳!$A$3:$K$4999,8,FALSE)&amp;VLOOKUP(D786,[2]契約台帳!$A$3:$K$4999,9,FALSE)&amp;VLOOKUP(D786,[2]契約台帳!$A$3:$K$4999,11,FALSE))</f>
        <v>3SYMLBMSNMBF</v>
      </c>
      <c r="G786" s="363" t="str">
        <f>IF(D786="","",VLOOKUP(F786,[2]製品マスタ!$G$5:$H$5000,2,FALSE))</f>
        <v>S</v>
      </c>
      <c r="H786" s="363" t="str">
        <f>IF(D786="","",VLOOKUP(F786,[2]製品マスタ!$G$5:$K$5000,5,FALSE))</f>
        <v>MSNMBF</v>
      </c>
      <c r="I786" s="207" t="str">
        <f>IF(D786="","",VLOOKUP(F786,[2]製品マスタ!$G$5:$L$5000,6,FALSE))</f>
        <v>ＭＥＴＡＬＵＭＹ　ＳＩＬＶＥＲ　Ｎ－ＭＡＴＴＥ　Ｘ４４Ｍ　Ｂ</v>
      </c>
      <c r="J786" s="373" t="s">
        <v>447</v>
      </c>
      <c r="K786" s="207">
        <f>IF(D786="","",VLOOKUP(D786,[2]契約台帳!$A$3:$L$4999,12,FALSE))</f>
        <v>50</v>
      </c>
      <c r="L786" s="207" t="str">
        <f>IF(D786="","",INDEX([2]製品マスタ!$Q$5:$Q$5000,MATCH(F786&amp;K786,[2]製品マスタ!$AO$5:$AO$5000,0)))</f>
        <v>X44</v>
      </c>
      <c r="M786" s="326">
        <v>1120</v>
      </c>
      <c r="N786" s="326">
        <v>12000</v>
      </c>
      <c r="O786" s="175">
        <v>1</v>
      </c>
      <c r="P786" s="329"/>
      <c r="Q786" s="367">
        <f>IF(D786="","",IF(J786="リード付け",M786,VLOOKUP(D786,[2]契約台帳!$A$3:$N$4999,14,FALSE)))</f>
        <v>1120</v>
      </c>
      <c r="R786" s="278">
        <f>IF(D786="","",IF(J786="リード付け",M786,VLOOKUP(D786,[2]契約台帳!$A$3:$O$4999,15,FALSE)))</f>
        <v>1120</v>
      </c>
      <c r="S786" s="278">
        <f>IF(D786="","",IF(J786="リード付け",N786,VLOOKUP(D786,契約台帳!$A$3:$P$4986,16,FALSE)))</f>
        <v>4000</v>
      </c>
      <c r="T786" s="183">
        <v>1</v>
      </c>
      <c r="U786" s="278" t="str">
        <f ca="1">IF(D786="","",IF(OFFSET(D786,-2,0)=D786,"",VLOOKUP(D786,契約台帳!$A$3:$R$4986,18,FALSE)))</f>
        <v/>
      </c>
      <c r="V786" s="363" t="str">
        <f>IF(J786="巻返し",VLOOKUP(F786&amp;K786&amp;M786,[2]製品マスタ!$M$5:$AD$5000,18,FALSE),IF(J786="リード付け","原反コア",IF(J786="スリット",VLOOKUP(F786&amp;K786&amp;Q786,[2]製品マスタ!$N$5:$AD$5000,17,FALSE),"")))</f>
        <v>6ｲﾝﾁMｺｱ</v>
      </c>
      <c r="W786" s="363">
        <f>IF(J786="巻返し",VLOOKUP(F786&amp;K786&amp;M786,[2]製品マスタ!$M$5:$AE$5000,19,FALSE),IF(J786="リード付け","-",IF(J786="スリット",VLOOKUP(F786&amp;K786&amp;Q786,[2]製品マスタ!$N$5:$AE$5000,18,FALSE),"")))</f>
        <v>1125</v>
      </c>
      <c r="X786" s="363">
        <f>IF(D786="","",VLOOKUP(D786,[2]契約台帳!$A$3:$Q$4999,17,FALSE))</f>
        <v>2</v>
      </c>
      <c r="Y786" s="363" t="str">
        <f>IF(D786="","",VLOOKUP(D786,[2]契約台帳!$A$3:$E$4999,5,FALSE))</f>
        <v>リンテック㈱</v>
      </c>
      <c r="Z786" s="329">
        <v>45188</v>
      </c>
      <c r="AA786" s="207">
        <f>IFERROR(VLOOKUP(F786&amp;K786&amp;M786,製品マスタ!$M$5:$AM$5002,27,FALSE),"")</f>
        <v>0</v>
      </c>
      <c r="AB786" s="330"/>
      <c r="AC786" s="331"/>
      <c r="AD786" s="332" t="str">
        <f>IF(F786="","",+F786&amp;K786)</f>
        <v>3SYMLBMSNMBF50</v>
      </c>
      <c r="AE786" s="216">
        <f>+M786*N786*O786/1000</f>
        <v>13440</v>
      </c>
      <c r="AF786" s="43">
        <f>IF(AD786="","",VLOOKUP(AD786,原価マスタ!$A$2:$AJ$1693,13,FALSE))</f>
        <v>98.8</v>
      </c>
      <c r="AG786" s="47">
        <f>IF(AF786="","",+AE786*AF786/100)</f>
        <v>13278.72</v>
      </c>
      <c r="AH786" s="333"/>
      <c r="AI786" s="333"/>
      <c r="AJ786" s="333"/>
      <c r="AK786" s="333"/>
      <c r="AL786" s="334"/>
      <c r="AM786" s="334"/>
      <c r="AN786" s="334"/>
      <c r="AO786" s="334"/>
      <c r="AP786" s="334"/>
      <c r="AQ786" s="335"/>
      <c r="AR786" s="336"/>
    </row>
    <row r="787" spans="1:44" s="337" customFormat="1" ht="30.75" hidden="1" customHeight="1" x14ac:dyDescent="0.2">
      <c r="A787" s="320"/>
      <c r="B787" s="321"/>
      <c r="C787" s="322"/>
      <c r="D787" s="279">
        <v>3723649</v>
      </c>
      <c r="E787" s="279"/>
      <c r="F787" s="362" t="str">
        <f>IF(D787="","",VLOOKUP(D787,[2]契約台帳!$A$3:$K$4999,6,FALSE)&amp;VLOOKUP(D787,[2]契約台帳!$A$3:$K$4999,7,FALSE)&amp;VLOOKUP(D787,[2]契約台帳!$A$3:$K$4999,8,FALSE)&amp;VLOOKUP(D787,[2]契約台帳!$A$3:$K$4999,9,FALSE)&amp;VLOOKUP(D787,[2]契約台帳!$A$3:$K$4999,11,FALSE))</f>
        <v>3SYMLBMSNMBF</v>
      </c>
      <c r="G787" s="363" t="str">
        <f>IF(D787="","",VLOOKUP(F787,[2]製品マスタ!$G$5:$H$5000,2,FALSE))</f>
        <v>S</v>
      </c>
      <c r="H787" s="363" t="str">
        <f>IF(D787="","",VLOOKUP(F787,[2]製品マスタ!$G$5:$K$5000,5,FALSE))</f>
        <v>MSNMBF</v>
      </c>
      <c r="I787" s="207" t="str">
        <f>IF(D787="","",VLOOKUP(F787,[2]製品マスタ!$G$5:$L$5000,6,FALSE))</f>
        <v>ＭＥＴＡＬＵＭＹ　ＳＩＬＶＥＲ　Ｎ－ＭＡＴＴＥ　Ｘ４４Ｍ　Ｂ</v>
      </c>
      <c r="J787" s="373" t="s">
        <v>447</v>
      </c>
      <c r="K787" s="207">
        <f>IF(D787="","",VLOOKUP(D787,[2]契約台帳!$A$3:$L$4999,12,FALSE))</f>
        <v>50</v>
      </c>
      <c r="L787" s="207" t="str">
        <f>IF(D787="","",INDEX([2]製品マスタ!$Q$5:$Q$5000,MATCH(F787&amp;K787,[2]製品マスタ!$AO$5:$AO$5000,0)))</f>
        <v>X44</v>
      </c>
      <c r="M787" s="326">
        <v>1120</v>
      </c>
      <c r="N787" s="326"/>
      <c r="O787" s="175"/>
      <c r="P787" s="329"/>
      <c r="Q787" s="367">
        <f>IF(D787="","",IF(J787="リード付け",M787,VLOOKUP(D787,[2]契約台帳!$A$3:$N$4999,14,FALSE)))</f>
        <v>1120</v>
      </c>
      <c r="R787" s="278">
        <f>IF(D787="","",IF(J787="リード付け",M787,VLOOKUP(D787,[2]契約台帳!$A$3:$O$4999,15,FALSE)))</f>
        <v>1120</v>
      </c>
      <c r="S787" s="278">
        <f>IF(D787="","",IF(J787="リード付け",N787,VLOOKUP(D787,契約台帳!$A$3:$P$4986,16,FALSE)))</f>
        <v>4000</v>
      </c>
      <c r="T787" s="183">
        <v>2</v>
      </c>
      <c r="U787" s="278">
        <f ca="1">IF(D787="","",IF(OFFSET(D787,-2,0)=D787,"",VLOOKUP(D787,契約台帳!$A$3:$R$4986,18,FALSE)))</f>
        <v>4</v>
      </c>
      <c r="V787" s="363" t="str">
        <f>IF(J787="巻返し",VLOOKUP(F787&amp;K787&amp;M787,[2]製品マスタ!$M$5:$AD$5000,18,FALSE),IF(J787="リード付け","原反コア",IF(J787="スリット",VLOOKUP(F787&amp;K787&amp;Q787,[2]製品マスタ!$N$5:$AD$5000,17,FALSE),"")))</f>
        <v>6ｲﾝﾁMｺｱ</v>
      </c>
      <c r="W787" s="363">
        <f>IF(J787="巻返し",VLOOKUP(F787&amp;K787&amp;M787,[2]製品マスタ!$M$5:$AE$5000,19,FALSE),IF(J787="リード付け","-",IF(J787="スリット",VLOOKUP(F787&amp;K787&amp;Q787,[2]製品マスタ!$N$5:$AE$5000,18,FALSE),"")))</f>
        <v>1125</v>
      </c>
      <c r="X787" s="363">
        <f>IF(D787="","",VLOOKUP(D787,[2]契約台帳!$A$3:$Q$4999,17,FALSE))</f>
        <v>2</v>
      </c>
      <c r="Y787" s="363" t="str">
        <f>IF(D787="","",VLOOKUP(D787,[2]契約台帳!$A$3:$E$4999,5,FALSE))</f>
        <v>リンテック㈱</v>
      </c>
      <c r="Z787" s="329"/>
      <c r="AA787" s="207" t="str">
        <f>IFERROR(VLOOKUP(F787&amp;K787&amp;M787,[2]製品マスタ!$M$5:$AM$5000,27,FALSE),"")</f>
        <v/>
      </c>
      <c r="AB787" s="330"/>
      <c r="AC787" s="331"/>
      <c r="AD787" s="332"/>
      <c r="AE787" s="216"/>
      <c r="AF787" s="328"/>
      <c r="AG787" s="175" t="str">
        <f>IF(AF787="","",+AE787*AF787/100)</f>
        <v/>
      </c>
      <c r="AH787" s="333"/>
      <c r="AI787" s="333"/>
      <c r="AJ787" s="333"/>
      <c r="AK787" s="333"/>
      <c r="AL787" s="334"/>
      <c r="AM787" s="334"/>
      <c r="AN787" s="334"/>
      <c r="AO787" s="334"/>
      <c r="AP787" s="334"/>
      <c r="AQ787" s="335"/>
      <c r="AR787" s="336"/>
    </row>
    <row r="788" spans="1:44" s="337" customFormat="1" ht="30.95" hidden="1" customHeight="1" x14ac:dyDescent="0.2">
      <c r="A788" s="358"/>
      <c r="B788" s="359"/>
      <c r="C788" s="360"/>
      <c r="D788" s="361"/>
      <c r="E788" s="361"/>
      <c r="F788" s="362"/>
      <c r="G788" s="363"/>
      <c r="H788" s="363"/>
      <c r="I788" s="207"/>
      <c r="J788" s="364"/>
      <c r="K788" s="207"/>
      <c r="L788" s="207"/>
      <c r="M788" s="365"/>
      <c r="N788" s="365"/>
      <c r="O788" s="366"/>
      <c r="P788" s="357"/>
      <c r="Q788" s="367"/>
      <c r="R788" s="278"/>
      <c r="S788" s="278"/>
      <c r="T788" s="368"/>
      <c r="U788" s="278"/>
      <c r="V788" s="363"/>
      <c r="W788" s="363"/>
      <c r="X788" s="363"/>
      <c r="Y788" s="363"/>
      <c r="Z788" s="357"/>
      <c r="AA788" s="207"/>
      <c r="AB788" s="369"/>
      <c r="AC788" s="370"/>
      <c r="AD788" s="332"/>
      <c r="AE788" s="371"/>
      <c r="AF788" s="372"/>
      <c r="AG788" s="366"/>
      <c r="AH788" s="333"/>
      <c r="AI788" s="333"/>
      <c r="AJ788" s="333"/>
      <c r="AK788" s="333"/>
      <c r="AL788" s="334"/>
      <c r="AM788" s="334"/>
      <c r="AN788" s="334"/>
      <c r="AO788" s="334"/>
      <c r="AP788" s="334"/>
      <c r="AQ788" s="335"/>
      <c r="AR788" s="336"/>
    </row>
    <row r="789" spans="1:44" s="337" customFormat="1" ht="30.75" hidden="1" customHeight="1" x14ac:dyDescent="0.2">
      <c r="A789" s="320"/>
      <c r="B789" s="321"/>
      <c r="C789" s="322"/>
      <c r="D789" s="279">
        <v>3723649</v>
      </c>
      <c r="E789" s="279">
        <v>4151460</v>
      </c>
      <c r="F789" s="362" t="str">
        <f>IF(D789="","",VLOOKUP(D789,[2]契約台帳!$A$3:$K$4999,6,FALSE)&amp;VLOOKUP(D789,[2]契約台帳!$A$3:$K$4999,7,FALSE)&amp;VLOOKUP(D789,[2]契約台帳!$A$3:$K$4999,8,FALSE)&amp;VLOOKUP(D789,[2]契約台帳!$A$3:$K$4999,9,FALSE)&amp;VLOOKUP(D789,[2]契約台帳!$A$3:$K$4999,11,FALSE))</f>
        <v>3SYMLBMSNMBF</v>
      </c>
      <c r="G789" s="363" t="str">
        <f>IF(D789="","",VLOOKUP(F789,[2]製品マスタ!$G$5:$H$5000,2,FALSE))</f>
        <v>S</v>
      </c>
      <c r="H789" s="363" t="str">
        <f>IF(D789="","",VLOOKUP(F789,[2]製品マスタ!$G$5:$K$5000,5,FALSE))</f>
        <v>MSNMBF</v>
      </c>
      <c r="I789" s="207" t="str">
        <f>IF(D789="","",VLOOKUP(F789,[2]製品マスタ!$G$5:$L$5000,6,FALSE))</f>
        <v>ＭＥＴＡＬＵＭＹ　ＳＩＬＶＥＲ　Ｎ－ＭＡＴＴＥ　Ｘ４４Ｍ　Ｂ</v>
      </c>
      <c r="J789" s="373" t="s">
        <v>447</v>
      </c>
      <c r="K789" s="207">
        <f>IF(D789="","",VLOOKUP(D789,[2]契約台帳!$A$3:$L$4999,12,FALSE))</f>
        <v>50</v>
      </c>
      <c r="L789" s="207" t="str">
        <f>IF(D789="","",INDEX([2]製品マスタ!$Q$5:$Q$5000,MATCH(F789&amp;K789,[2]製品マスタ!$AO$5:$AO$5000,0)))</f>
        <v>X44</v>
      </c>
      <c r="M789" s="326">
        <v>1120</v>
      </c>
      <c r="N789" s="326">
        <v>8000</v>
      </c>
      <c r="O789" s="175">
        <v>1</v>
      </c>
      <c r="P789" s="329"/>
      <c r="Q789" s="367">
        <f>IF(D789="","",IF(J789="リード付け",M789,VLOOKUP(D789,[2]契約台帳!$A$3:$N$4999,14,FALSE)))</f>
        <v>1120</v>
      </c>
      <c r="R789" s="278">
        <f>IF(D789="","",IF(J789="リード付け",M789,VLOOKUP(D789,[2]契約台帳!$A$3:$O$4999,15,FALSE)))</f>
        <v>1120</v>
      </c>
      <c r="S789" s="278">
        <f>IF(D789="","",IF(J789="リード付け",N789,VLOOKUP(D789,契約台帳!$A$3:$P$4986,16,FALSE)))</f>
        <v>4000</v>
      </c>
      <c r="T789" s="183">
        <v>2</v>
      </c>
      <c r="U789" s="278" t="str">
        <f ca="1">IF(D789="","",IF(OFFSET(D789,-2,0)=D789,"",VLOOKUP(D789,契約台帳!$A$3:$R$4986,18,FALSE)))</f>
        <v/>
      </c>
      <c r="V789" s="363" t="str">
        <f>IF(J789="巻返し",VLOOKUP(F789&amp;K789&amp;M789,[2]製品マスタ!$M$5:$AD$5000,18,FALSE),IF(J789="リード付け","原反コア",IF(J789="スリット",VLOOKUP(F789&amp;K789&amp;Q789,[2]製品マスタ!$N$5:$AD$5000,17,FALSE),"")))</f>
        <v>6ｲﾝﾁMｺｱ</v>
      </c>
      <c r="W789" s="363">
        <f>IF(J789="巻返し",VLOOKUP(F789&amp;K789&amp;M789,[2]製品マスタ!$M$5:$AE$5000,19,FALSE),IF(J789="リード付け","-",IF(J789="スリット",VLOOKUP(F789&amp;K789&amp;Q789,[2]製品マスタ!$N$5:$AE$5000,18,FALSE),"")))</f>
        <v>1125</v>
      </c>
      <c r="X789" s="363">
        <f>IF(D789="","",VLOOKUP(D789,[2]契約台帳!$A$3:$Q$4999,17,FALSE))</f>
        <v>2</v>
      </c>
      <c r="Y789" s="363" t="str">
        <f>IF(D789="","",VLOOKUP(D789,[2]契約台帳!$A$3:$E$4999,5,FALSE))</f>
        <v>リンテック㈱</v>
      </c>
      <c r="Z789" s="329">
        <v>45188</v>
      </c>
      <c r="AA789" s="207">
        <f>IFERROR(VLOOKUP(F789&amp;K789&amp;M789,製品マスタ!$M$5:$AM$5002,27,FALSE),"")</f>
        <v>0</v>
      </c>
      <c r="AB789" s="330"/>
      <c r="AC789" s="331"/>
      <c r="AD789" s="332" t="str">
        <f>IF(F789="","",+F789&amp;K789)</f>
        <v>3SYMLBMSNMBF50</v>
      </c>
      <c r="AE789" s="216">
        <f>+M789*N789*O789/1000</f>
        <v>8960</v>
      </c>
      <c r="AF789" s="43">
        <f>IF(AD789="","",VLOOKUP(AD789,原価マスタ!$A$2:$AJ$1693,13,FALSE))</f>
        <v>98.8</v>
      </c>
      <c r="AG789" s="47">
        <f>IF(AF789="","",+AE789*AF789/100)</f>
        <v>8852.48</v>
      </c>
      <c r="AH789" s="333"/>
      <c r="AI789" s="333"/>
      <c r="AJ789" s="333"/>
      <c r="AK789" s="333"/>
      <c r="AL789" s="334"/>
      <c r="AM789" s="334"/>
      <c r="AN789" s="334"/>
      <c r="AO789" s="334"/>
      <c r="AP789" s="334"/>
      <c r="AQ789" s="335"/>
      <c r="AR789" s="336"/>
    </row>
    <row r="790" spans="1:44" s="337" customFormat="1" ht="30.95" hidden="1" customHeight="1" x14ac:dyDescent="0.2">
      <c r="A790" s="358"/>
      <c r="B790" s="359"/>
      <c r="C790" s="360"/>
      <c r="D790" s="361"/>
      <c r="E790" s="361"/>
      <c r="F790" s="362"/>
      <c r="G790" s="363"/>
      <c r="H790" s="363"/>
      <c r="I790" s="207"/>
      <c r="J790" s="364"/>
      <c r="K790" s="207"/>
      <c r="L790" s="207"/>
      <c r="M790" s="365"/>
      <c r="N790" s="365"/>
      <c r="O790" s="366"/>
      <c r="P790" s="357"/>
      <c r="Q790" s="367"/>
      <c r="R790" s="278"/>
      <c r="S790" s="278"/>
      <c r="T790" s="368"/>
      <c r="U790" s="278"/>
      <c r="V790" s="363"/>
      <c r="W790" s="363"/>
      <c r="X790" s="363"/>
      <c r="Y790" s="363"/>
      <c r="Z790" s="357"/>
      <c r="AA790" s="207"/>
      <c r="AB790" s="369"/>
      <c r="AC790" s="370"/>
      <c r="AD790" s="332"/>
      <c r="AE790" s="371"/>
      <c r="AF790" s="372"/>
      <c r="AG790" s="366"/>
      <c r="AH790" s="333"/>
      <c r="AI790" s="333"/>
      <c r="AJ790" s="333"/>
      <c r="AK790" s="333"/>
      <c r="AL790" s="334"/>
      <c r="AM790" s="334"/>
      <c r="AN790" s="334"/>
      <c r="AO790" s="334"/>
      <c r="AP790" s="334"/>
      <c r="AQ790" s="335"/>
      <c r="AR790" s="336"/>
    </row>
    <row r="791" spans="1:44" s="337" customFormat="1" ht="30.75" hidden="1" customHeight="1" x14ac:dyDescent="0.2">
      <c r="A791" s="320"/>
      <c r="B791" s="321"/>
      <c r="C791" s="322"/>
      <c r="D791" s="279">
        <v>3723646</v>
      </c>
      <c r="E791" s="279">
        <v>4151467</v>
      </c>
      <c r="F791" s="362" t="str">
        <f>IF(D791="","",VLOOKUP(D791,[2]契約台帳!$A$3:$K$4999,6,FALSE)&amp;VLOOKUP(D791,[2]契約台帳!$A$3:$K$4999,7,FALSE)&amp;VLOOKUP(D791,[2]契約台帳!$A$3:$K$4999,8,FALSE)&amp;VLOOKUP(D791,[2]契約台帳!$A$3:$K$4999,9,FALSE)&amp;VLOOKUP(D791,[2]契約台帳!$A$3:$K$4999,11,FALSE))</f>
        <v>3SYMLBMSNMBZF</v>
      </c>
      <c r="G791" s="363" t="str">
        <f>IF(D791="","",VLOOKUP(F791,[2]製品マスタ!$G$5:$H$5000,2,FALSE))</f>
        <v>S</v>
      </c>
      <c r="H791" s="363" t="str">
        <f>IF(D791="","",VLOOKUP(F791,[2]製品マスタ!$G$5:$K$5000,5,FALSE))</f>
        <v>MSNMBZF</v>
      </c>
      <c r="I791" s="207" t="str">
        <f>IF(D791="","",VLOOKUP(F791,[2]製品マスタ!$G$5:$L$5000,6,FALSE))</f>
        <v>ＭＥＴＡＬＵＭＹ　ＳＩＬＶＥＲ　Ｎ－ＭＡＴＴＥ　Ｂ</v>
      </c>
      <c r="J791" s="373" t="s">
        <v>447</v>
      </c>
      <c r="K791" s="207">
        <f>IF(D791="","",VLOOKUP(D791,[2]契約台帳!$A$3:$L$4999,12,FALSE))</f>
        <v>25</v>
      </c>
      <c r="L791" s="207" t="str">
        <f>IF(D791="","",INDEX([2]製品マスタ!$Q$5:$Q$5000,MATCH(F791&amp;K791,[2]製品マスタ!$AO$5:$AO$5000,0)))</f>
        <v>X44</v>
      </c>
      <c r="M791" s="326">
        <v>1120</v>
      </c>
      <c r="N791" s="326">
        <v>8000</v>
      </c>
      <c r="O791" s="175">
        <v>1</v>
      </c>
      <c r="P791" s="329"/>
      <c r="Q791" s="367">
        <f>IF(D791="","",IF(J791="リード付け",M791,VLOOKUP(D791,[2]契約台帳!$A$3:$N$4999,14,FALSE)))</f>
        <v>1120</v>
      </c>
      <c r="R791" s="278">
        <f>IF(D791="","",IF(J791="リード付け",M791,VLOOKUP(D791,[2]契約台帳!$A$3:$O$4999,15,FALSE)))</f>
        <v>1120</v>
      </c>
      <c r="S791" s="278">
        <f>IF(D791="","",IF(J791="リード付け",N791,VLOOKUP(D791,契約台帳!$A$3:$P$4986,16,FALSE)))</f>
        <v>8000</v>
      </c>
      <c r="T791" s="183">
        <v>1</v>
      </c>
      <c r="U791" s="278">
        <f ca="1">IF(D791="","",IF(OFFSET(D791,-2,0)=D791,"",VLOOKUP(D791,契約台帳!$A$3:$R$4986,18,FALSE)))</f>
        <v>1</v>
      </c>
      <c r="V791" s="363" t="str">
        <f>IF(J791="巻返し",VLOOKUP(F791&amp;K791&amp;M791,[2]製品マスタ!$M$5:$AD$5000,18,FALSE),IF(J791="リード付け","原反コア",IF(J791="スリット",VLOOKUP(F791&amp;K791&amp;Q791,[2]製品マスタ!$N$5:$AD$5000,17,FALSE),"")))</f>
        <v>6ｲﾝﾁMｺｱ</v>
      </c>
      <c r="W791" s="363">
        <f>IF(J791="巻返し",VLOOKUP(F791&amp;K791&amp;M791,[2]製品マスタ!$M$5:$AE$5000,19,FALSE),IF(J791="リード付け","-",IF(J791="スリット",VLOOKUP(F791&amp;K791&amp;Q791,[2]製品マスタ!$N$5:$AE$5000,18,FALSE),"")))</f>
        <v>1125</v>
      </c>
      <c r="X791" s="363">
        <f>IF(D791="","",VLOOKUP(D791,[2]契約台帳!$A$3:$Q$4999,17,FALSE))</f>
        <v>2</v>
      </c>
      <c r="Y791" s="363" t="str">
        <f>IF(D791="","",VLOOKUP(D791,[2]契約台帳!$A$3:$E$4999,5,FALSE))</f>
        <v>リンテック㈱</v>
      </c>
      <c r="Z791" s="329">
        <v>45188</v>
      </c>
      <c r="AA791" s="207">
        <f>IFERROR(VLOOKUP(F791&amp;K791&amp;M791,製品マスタ!$M$5:$AM$5002,27,FALSE),"")</f>
        <v>0</v>
      </c>
      <c r="AB791" s="330"/>
      <c r="AC791" s="331"/>
      <c r="AD791" s="332" t="str">
        <f>IF(F791="","",+F791&amp;K791)</f>
        <v>3SYMLBMSNMBZF25</v>
      </c>
      <c r="AE791" s="216">
        <f>+M791*N791*O791/1000</f>
        <v>8960</v>
      </c>
      <c r="AF791" s="43">
        <f>IF(AD791="","",VLOOKUP(AD791,原価マスタ!$A$2:$AJ$1693,13,FALSE))</f>
        <v>98.3</v>
      </c>
      <c r="AG791" s="47">
        <f>IF(AF791="","",+AE791*AF791/100)</f>
        <v>8807.68</v>
      </c>
      <c r="AH791" s="333"/>
      <c r="AI791" s="333"/>
      <c r="AJ791" s="333"/>
      <c r="AK791" s="333"/>
      <c r="AL791" s="334"/>
      <c r="AM791" s="334"/>
      <c r="AN791" s="334"/>
      <c r="AO791" s="334"/>
      <c r="AP791" s="334"/>
      <c r="AQ791" s="335"/>
      <c r="AR791" s="336"/>
    </row>
    <row r="792" spans="1:44" s="337" customFormat="1" ht="30.95" hidden="1" customHeight="1" x14ac:dyDescent="0.2">
      <c r="A792" s="358"/>
      <c r="B792" s="359"/>
      <c r="C792" s="360"/>
      <c r="D792" s="361"/>
      <c r="E792" s="361"/>
      <c r="F792" s="362"/>
      <c r="G792" s="363"/>
      <c r="H792" s="363"/>
      <c r="I792" s="207"/>
      <c r="J792" s="364"/>
      <c r="K792" s="207"/>
      <c r="L792" s="207"/>
      <c r="M792" s="365"/>
      <c r="N792" s="365"/>
      <c r="O792" s="366"/>
      <c r="P792" s="357"/>
      <c r="Q792" s="367"/>
      <c r="R792" s="278"/>
      <c r="S792" s="278"/>
      <c r="T792" s="368"/>
      <c r="U792" s="278"/>
      <c r="V792" s="363"/>
      <c r="W792" s="363"/>
      <c r="X792" s="363"/>
      <c r="Y792" s="363"/>
      <c r="Z792" s="357"/>
      <c r="AA792" s="207"/>
      <c r="AB792" s="369"/>
      <c r="AC792" s="370"/>
      <c r="AD792" s="332"/>
      <c r="AE792" s="371"/>
      <c r="AF792" s="372"/>
      <c r="AG792" s="366"/>
      <c r="AH792" s="333"/>
      <c r="AI792" s="333"/>
      <c r="AJ792" s="333"/>
      <c r="AK792" s="333"/>
      <c r="AL792" s="334"/>
      <c r="AM792" s="334"/>
      <c r="AN792" s="334"/>
      <c r="AO792" s="334"/>
      <c r="AP792" s="334"/>
      <c r="AQ792" s="335"/>
      <c r="AR792" s="336"/>
    </row>
    <row r="793" spans="1:44" s="337" customFormat="1" ht="30.95" hidden="1" customHeight="1" x14ac:dyDescent="0.2">
      <c r="A793" s="358"/>
      <c r="B793" s="359"/>
      <c r="C793" s="360"/>
      <c r="D793" s="396">
        <v>3723632</v>
      </c>
      <c r="E793" s="279">
        <v>4151448</v>
      </c>
      <c r="F793" s="362" t="str">
        <f>IF(D793="","",VLOOKUP(D793,[2]契約台帳!$A$3:$K$4999,6,FALSE)&amp;VLOOKUP(D793,[2]契約台帳!$A$3:$K$4999,7,FALSE)&amp;VLOOKUP(D793,[2]契約台帳!$A$3:$K$4999,8,FALSE)&amp;VLOOKUP(D793,[2]契約台帳!$A$3:$K$4999,9,FALSE)&amp;VLOOKUP(D793,[2]契約台帳!$A$3:$K$4999,11,FALSE))</f>
        <v>3SNMLBMNGKBF</v>
      </c>
      <c r="G793" s="363" t="str">
        <f>IF(D793="","",VLOOKUP(F793,[2]製品マスタ!$G$5:$H$5000,2,FALSE))</f>
        <v>S</v>
      </c>
      <c r="H793" s="363" t="str">
        <f>IF(D793="","",VLOOKUP(F793,[2]製品マスタ!$G$5:$K$5000,5,FALSE))</f>
        <v>MNGKBF</v>
      </c>
      <c r="I793" s="207" t="str">
        <f>IF(D793="","",VLOOKUP(F793,[2]製品マスタ!$G$5:$L$5000,6,FALSE))</f>
        <v>メタルミー　ネーマー銀消　Ｂ</v>
      </c>
      <c r="J793" s="373" t="s">
        <v>447</v>
      </c>
      <c r="K793" s="207">
        <f>IF(D793="","",VLOOKUP(D793,[2]契約台帳!$A$3:$L$4999,12,FALSE))</f>
        <v>50</v>
      </c>
      <c r="L793" s="207" t="str">
        <f>IF(D793="","",INDEX([2]製品マスタ!$Q$5:$Q$5000,MATCH(F793&amp;K793,[2]製品マスタ!$AO$5:$AO$5000,0)))</f>
        <v>MAT</v>
      </c>
      <c r="M793" s="326">
        <v>1050</v>
      </c>
      <c r="N793" s="326">
        <v>12300</v>
      </c>
      <c r="O793" s="175">
        <v>1</v>
      </c>
      <c r="P793" s="329"/>
      <c r="Q793" s="367">
        <f>IF(D793="","",IF(J793="リード付け",M793,VLOOKUP(D793,[2]契約台帳!$A$3:$N$4999,14,FALSE)))</f>
        <v>1050</v>
      </c>
      <c r="R793" s="278">
        <f>IF(D793="","",IF(J793="リード付け",M793,VLOOKUP(D793,[2]契約台帳!$A$3:$O$4999,15,FALSE)))</f>
        <v>1050</v>
      </c>
      <c r="S793" s="278">
        <f>IF(D793="","",IF(J793="リード付け",N793,VLOOKUP(D793,契約台帳!$A$3:$P$4986,16,FALSE)))</f>
        <v>4100</v>
      </c>
      <c r="T793" s="183">
        <v>3</v>
      </c>
      <c r="U793" s="278">
        <f ca="1">IF(D793="","",IF(OFFSET(D793,-2,0)=D793,"",VLOOKUP(D793,契約台帳!$A$3:$R$4986,18,FALSE)))</f>
        <v>3</v>
      </c>
      <c r="V793" s="363" t="str">
        <f>IF(J793="巻返し",VLOOKUP(F793&amp;K793&amp;M793,[2]製品マスタ!$M$5:$AD$5000,18,FALSE),IF(J793="リード付け","原反コア",IF(J793="スリット",VLOOKUP(F793&amp;K793&amp;Q793,[2]製品マスタ!$N$5:$AD$5000,17,FALSE),"")))</f>
        <v>6ｲﾝﾁSｺｱ</v>
      </c>
      <c r="W793" s="363">
        <f>IF(J793="巻返し",VLOOKUP(F793&amp;K793&amp;M793,[2]製品マスタ!$M$5:$AE$5000,19,FALSE),IF(J793="リード付け","-",IF(J793="スリット",VLOOKUP(F793&amp;K793&amp;Q793,[2]製品マスタ!$N$5:$AE$5000,18,FALSE),"")))</f>
        <v>1055</v>
      </c>
      <c r="X793" s="363">
        <f>IF(D793="","",VLOOKUP(D793,[2]契約台帳!$A$3:$Q$4999,17,FALSE))</f>
        <v>2</v>
      </c>
      <c r="Y793" s="363" t="str">
        <f>IF(D793="","",VLOOKUP(D793,[2]契約台帳!$A$3:$E$4999,5,FALSE))</f>
        <v>リンテック㈱</v>
      </c>
      <c r="Z793" s="329">
        <v>45196</v>
      </c>
      <c r="AA793" s="207">
        <f>IFERROR(VLOOKUP(F793&amp;K793&amp;M793,製品マスタ!$M$5:$AM$5002,27,FALSE),"")</f>
        <v>0</v>
      </c>
      <c r="AB793" s="369"/>
      <c r="AC793" s="370"/>
      <c r="AD793" s="332" t="str">
        <f>IF(F793="","",+F793&amp;K793)</f>
        <v>3SNMLBMNGKBF50</v>
      </c>
      <c r="AE793" s="216">
        <f>+M793*N793*O793/1000</f>
        <v>12915</v>
      </c>
      <c r="AF793" s="43">
        <f>IF(AD793="","",VLOOKUP(AD793,原価マスタ!$A$2:$AJ$1693,13,FALSE))</f>
        <v>98</v>
      </c>
      <c r="AG793" s="47">
        <f>IF(AF793="","",+AE793*AF793/100)</f>
        <v>12656.7</v>
      </c>
      <c r="AH793" s="333"/>
      <c r="AI793" s="333"/>
      <c r="AJ793" s="333"/>
      <c r="AK793" s="333"/>
      <c r="AL793" s="334"/>
      <c r="AM793" s="334"/>
      <c r="AN793" s="334"/>
      <c r="AO793" s="334"/>
      <c r="AP793" s="334"/>
      <c r="AQ793" s="335"/>
      <c r="AR793" s="336"/>
    </row>
    <row r="794" spans="1:44" s="337" customFormat="1" ht="30.95" hidden="1" customHeight="1" x14ac:dyDescent="0.2">
      <c r="A794" s="358"/>
      <c r="B794" s="359"/>
      <c r="C794" s="360"/>
      <c r="D794" s="361"/>
      <c r="E794" s="361"/>
      <c r="F794" s="362"/>
      <c r="G794" s="363"/>
      <c r="H794" s="363"/>
      <c r="I794" s="207"/>
      <c r="J794" s="364"/>
      <c r="K794" s="207"/>
      <c r="L794" s="207"/>
      <c r="M794" s="365"/>
      <c r="N794" s="365"/>
      <c r="O794" s="366"/>
      <c r="P794" s="357"/>
      <c r="Q794" s="367"/>
      <c r="R794" s="278"/>
      <c r="S794" s="278"/>
      <c r="T794" s="368"/>
      <c r="U794" s="278"/>
      <c r="V794" s="363"/>
      <c r="W794" s="363"/>
      <c r="X794" s="363"/>
      <c r="Y794" s="363"/>
      <c r="Z794" s="357"/>
      <c r="AA794" s="207"/>
      <c r="AB794" s="369"/>
      <c r="AC794" s="370"/>
      <c r="AD794" s="332"/>
      <c r="AE794" s="371"/>
      <c r="AF794" s="372"/>
      <c r="AG794" s="366"/>
      <c r="AH794" s="333"/>
      <c r="AI794" s="333"/>
      <c r="AJ794" s="333"/>
      <c r="AK794" s="333"/>
      <c r="AL794" s="334"/>
      <c r="AM794" s="334"/>
      <c r="AN794" s="334"/>
      <c r="AO794" s="334"/>
      <c r="AP794" s="334"/>
      <c r="AQ794" s="335"/>
      <c r="AR794" s="336"/>
    </row>
    <row r="795" spans="1:44" s="337" customFormat="1" ht="30.75" hidden="1" customHeight="1" x14ac:dyDescent="0.2">
      <c r="A795" s="320"/>
      <c r="B795" s="321"/>
      <c r="C795" s="322"/>
      <c r="D795" s="279">
        <v>3723629</v>
      </c>
      <c r="E795" s="279">
        <v>4151451</v>
      </c>
      <c r="F795" s="362" t="str">
        <f>IF(D795="","",VLOOKUP(D795,[2]契約台帳!$A$3:$K$4999,6,FALSE)&amp;VLOOKUP(D795,[2]契約台帳!$A$3:$K$4999,7,FALSE)&amp;VLOOKUP(D795,[2]契約台帳!$A$3:$K$4999,8,FALSE)&amp;VLOOKUP(D795,[2]契約台帳!$A$3:$K$4999,9,FALSE)&amp;VLOOKUP(D795,[2]契約台帳!$A$3:$K$4999,11,FALSE))</f>
        <v>3SNMLBMNGKKBF</v>
      </c>
      <c r="G795" s="363" t="str">
        <f>IF(D795="","",VLOOKUP(F795,[2]製品マスタ!$G$5:$H$5000,2,FALSE))</f>
        <v>S</v>
      </c>
      <c r="H795" s="363" t="str">
        <f>IF(D795="","",VLOOKUP(F795,[2]製品マスタ!$G$5:$K$5000,5,FALSE))</f>
        <v>MNGKKBF</v>
      </c>
      <c r="I795" s="207" t="str">
        <f>IF(D795="","",VLOOKUP(F795,[2]製品マスタ!$G$5:$L$5000,6,FALSE))</f>
        <v>メタルミー　ネーマー銀消改　Ｂ</v>
      </c>
      <c r="J795" s="373" t="s">
        <v>447</v>
      </c>
      <c r="K795" s="207">
        <f>IF(D795="","",VLOOKUP(D795,[2]契約台帳!$A$3:$L$4999,12,FALSE))</f>
        <v>50</v>
      </c>
      <c r="L795" s="207" t="str">
        <f>IF(D795="","",INDEX([2]製品マスタ!$Q$5:$Q$5000,MATCH(F795&amp;K795,[2]製品マスタ!$AO$5:$AO$5000,0)))</f>
        <v>S99-MAT</v>
      </c>
      <c r="M795" s="326">
        <v>1120</v>
      </c>
      <c r="N795" s="326">
        <v>12000</v>
      </c>
      <c r="O795" s="175">
        <v>6</v>
      </c>
      <c r="P795" s="329"/>
      <c r="Q795" s="367">
        <f>IF(D795="","",IF(J795="リード付け",M795,VLOOKUP(D795,[2]契約台帳!$A$3:$N$4999,14,FALSE)))</f>
        <v>1120</v>
      </c>
      <c r="R795" s="278">
        <f>IF(D795="","",IF(J795="リード付け",M795,VLOOKUP(D795,[2]契約台帳!$A$3:$O$4999,15,FALSE)))</f>
        <v>1120</v>
      </c>
      <c r="S795" s="278">
        <f>IF(D795="","",IF(J795="リード付け",N795,VLOOKUP(D795,契約台帳!$A$3:$P$4986,16,FALSE)))</f>
        <v>4000</v>
      </c>
      <c r="T795" s="183">
        <v>18</v>
      </c>
      <c r="U795" s="278">
        <f ca="1">IF(D795="","",IF(OFFSET(D795,-2,0)=D795,"",VLOOKUP(D795,契約台帳!$A$3:$R$4986,18,FALSE)))</f>
        <v>18</v>
      </c>
      <c r="V795" s="363" t="str">
        <f>IF(J795="巻返し",VLOOKUP(F795&amp;K795&amp;M795,[2]製品マスタ!$M$5:$AD$5000,18,FALSE),IF(J795="リード付け","原反コア",IF(J795="スリット",VLOOKUP(F795&amp;K795&amp;Q795,[2]製品マスタ!$N$5:$AD$5000,17,FALSE),"")))</f>
        <v>6ｲﾝﾁSｺｱ</v>
      </c>
      <c r="W795" s="363">
        <f>IF(J795="巻返し",VLOOKUP(F795&amp;K795&amp;M795,[2]製品マスタ!$M$5:$AE$5000,19,FALSE),IF(J795="リード付け","-",IF(J795="スリット",VLOOKUP(F795&amp;K795&amp;Q795,[2]製品マスタ!$N$5:$AE$5000,18,FALSE),"")))</f>
        <v>1125</v>
      </c>
      <c r="X795" s="363">
        <f>IF(D795="","",VLOOKUP(D795,[2]契約台帳!$A$3:$Q$4999,17,FALSE))</f>
        <v>2</v>
      </c>
      <c r="Y795" s="363" t="str">
        <f>IF(D795="","",VLOOKUP(D795,[2]契約台帳!$A$3:$E$4999,5,FALSE))</f>
        <v>リンテック㈱</v>
      </c>
      <c r="Z795" s="329">
        <v>45189</v>
      </c>
      <c r="AA795" s="207">
        <f>IFERROR(VLOOKUP(F795&amp;K795&amp;M795,製品マスタ!$M$5:$AM$5002,27,FALSE),"")</f>
        <v>0</v>
      </c>
      <c r="AB795" s="330"/>
      <c r="AC795" s="331"/>
      <c r="AD795" s="332" t="str">
        <f>IF(F795="","",+F795&amp;K795)</f>
        <v>3SNMLBMNGKKBF50</v>
      </c>
      <c r="AE795" s="216">
        <f>+M795*N795*O795/1000</f>
        <v>80640</v>
      </c>
      <c r="AF795" s="43">
        <f>IF(AD795="","",VLOOKUP(AD795,原価マスタ!$A$2:$AJ$1693,13,FALSE))</f>
        <v>99</v>
      </c>
      <c r="AG795" s="47">
        <f>IF(AF795="","",+AE795*AF795/100)</f>
        <v>79833.600000000006</v>
      </c>
      <c r="AH795" s="333"/>
      <c r="AI795" s="333"/>
      <c r="AJ795" s="333"/>
      <c r="AK795" s="333"/>
      <c r="AL795" s="334"/>
      <c r="AM795" s="334"/>
      <c r="AN795" s="334"/>
      <c r="AO795" s="334"/>
      <c r="AP795" s="334"/>
      <c r="AQ795" s="335"/>
      <c r="AR795" s="336"/>
    </row>
    <row r="796" spans="1:44" s="337" customFormat="1" ht="30.95" hidden="1" customHeight="1" x14ac:dyDescent="0.2">
      <c r="A796" s="358"/>
      <c r="B796" s="359"/>
      <c r="C796" s="360"/>
      <c r="D796" s="361"/>
      <c r="E796" s="361"/>
      <c r="F796" s="362"/>
      <c r="G796" s="363"/>
      <c r="H796" s="363"/>
      <c r="I796" s="207"/>
      <c r="J796" s="364"/>
      <c r="K796" s="207"/>
      <c r="L796" s="207"/>
      <c r="M796" s="365"/>
      <c r="N796" s="365"/>
      <c r="O796" s="366"/>
      <c r="P796" s="357"/>
      <c r="Q796" s="367"/>
      <c r="R796" s="278"/>
      <c r="S796" s="278"/>
      <c r="T796" s="368"/>
      <c r="U796" s="278"/>
      <c r="V796" s="363"/>
      <c r="W796" s="363"/>
      <c r="X796" s="363"/>
      <c r="Y796" s="363"/>
      <c r="Z796" s="357"/>
      <c r="AA796" s="207"/>
      <c r="AB796" s="369"/>
      <c r="AC796" s="370"/>
      <c r="AD796" s="332"/>
      <c r="AE796" s="371"/>
      <c r="AF796" s="372"/>
      <c r="AG796" s="366"/>
      <c r="AH796" s="333"/>
      <c r="AI796" s="333"/>
      <c r="AJ796" s="333"/>
      <c r="AK796" s="333"/>
      <c r="AL796" s="334"/>
      <c r="AM796" s="334"/>
      <c r="AN796" s="334"/>
      <c r="AO796" s="334"/>
      <c r="AP796" s="334"/>
      <c r="AQ796" s="335"/>
      <c r="AR796" s="336"/>
    </row>
    <row r="797" spans="1:44" s="337" customFormat="1" ht="30.75" hidden="1" customHeight="1" x14ac:dyDescent="0.2">
      <c r="A797" s="320" t="s">
        <v>563</v>
      </c>
      <c r="B797" s="321" t="s">
        <v>444</v>
      </c>
      <c r="C797" s="322"/>
      <c r="D797" s="279">
        <v>3723637</v>
      </c>
      <c r="E797" s="279">
        <v>4151455</v>
      </c>
      <c r="F797" s="362" t="str">
        <f>IF(D797="","",VLOOKUP(D797,[2]契約台帳!$A$3:$K$4999,6,FALSE)&amp;VLOOKUP(D797,[2]契約台帳!$A$3:$K$4999,7,FALSE)&amp;VLOOKUP(D797,[2]契約台帳!$A$3:$K$4999,8,FALSE)&amp;VLOOKUP(D797,[2]契約台帳!$A$3:$K$4999,9,FALSE)&amp;VLOOKUP(D797,[2]契約台帳!$A$3:$K$4999,11,FALSE))</f>
        <v>3SNMLBMNGTBF</v>
      </c>
      <c r="G797" s="363" t="str">
        <f>IF(D797="","",VLOOKUP(F797,[2]製品マスタ!$G$5:$H$5000,2,FALSE))</f>
        <v>S</v>
      </c>
      <c r="H797" s="363" t="str">
        <f>IF(D797="","",VLOOKUP(F797,[2]製品マスタ!$G$5:$K$5000,5,FALSE))</f>
        <v>MNGTBF</v>
      </c>
      <c r="I797" s="207" t="str">
        <f>IF(D797="","",VLOOKUP(F797,[2]製品マスタ!$G$5:$L$5000,6,FALSE))</f>
        <v>メタルミー　ネーマー　銀艶　Ｂ</v>
      </c>
      <c r="J797" s="373" t="s">
        <v>447</v>
      </c>
      <c r="K797" s="207">
        <f>IF(D797="","",VLOOKUP(D797,[2]契約台帳!$A$3:$L$4999,12,FALSE))</f>
        <v>50</v>
      </c>
      <c r="L797" s="207" t="str">
        <f>IF(D797="","",INDEX([2]製品マスタ!$Q$5:$Q$5000,MATCH(F797&amp;K797,[2]製品マスタ!$AO$5:$AO$5000,0)))</f>
        <v>T62</v>
      </c>
      <c r="M797" s="326">
        <v>1120</v>
      </c>
      <c r="N797" s="326">
        <v>10000</v>
      </c>
      <c r="O797" s="175">
        <v>6</v>
      </c>
      <c r="P797" s="329"/>
      <c r="Q797" s="367">
        <f>IF(D797="","",IF(J797="リード付け",M797,VLOOKUP(D797,[2]契約台帳!$A$3:$N$4999,14,FALSE)))</f>
        <v>1120</v>
      </c>
      <c r="R797" s="278">
        <f>IF(D797="","",IF(J797="リード付け",M797,VLOOKUP(D797,[2]契約台帳!$A$3:$O$4999,15,FALSE)))</f>
        <v>1120</v>
      </c>
      <c r="S797" s="278">
        <f>IF(D797="","",IF(J797="リード付け",N797,VLOOKUP(D797,契約台帳!$A$3:$P$4986,16,FALSE)))</f>
        <v>5000</v>
      </c>
      <c r="T797" s="183">
        <v>12</v>
      </c>
      <c r="U797" s="278">
        <f ca="1">IF(D797="","",IF(OFFSET(D797,-2,0)=D797,"",VLOOKUP(D797,契約台帳!$A$3:$R$4986,18,FALSE)))</f>
        <v>34</v>
      </c>
      <c r="V797" s="363" t="str">
        <f>IF(J797="巻返し",VLOOKUP(F797&amp;K797&amp;M797,[2]製品マスタ!$M$5:$AD$5000,18,FALSE),IF(J797="リード付け","原反コア",IF(J797="スリット",VLOOKUP(F797&amp;K797&amp;Q797,[2]製品マスタ!$N$5:$AD$5000,17,FALSE),"")))</f>
        <v>6ｲﾝﾁSｺｱ</v>
      </c>
      <c r="W797" s="363">
        <f>IF(J797="巻返し",VLOOKUP(F797&amp;K797&amp;M797,[2]製品マスタ!$M$5:$AE$5000,19,FALSE),IF(J797="リード付け","-",IF(J797="スリット",VLOOKUP(F797&amp;K797&amp;Q797,[2]製品マスタ!$N$5:$AE$5000,18,FALSE),"")))</f>
        <v>1125</v>
      </c>
      <c r="X797" s="363">
        <f>IF(D797="","",VLOOKUP(D797,[2]契約台帳!$A$3:$Q$4999,17,FALSE))</f>
        <v>2</v>
      </c>
      <c r="Y797" s="363" t="str">
        <f>IF(D797="","",VLOOKUP(D797,[2]契約台帳!$A$3:$E$4999,5,FALSE))</f>
        <v>リンテック㈱</v>
      </c>
      <c r="Z797" s="329">
        <v>45190</v>
      </c>
      <c r="AA797" s="207" t="str">
        <f>IFERROR(VLOOKUP(F797&amp;K797&amp;M797,製品マスタ!$M$5:$AM$5002,27,FALSE),"")</f>
        <v>原反ケース再利用</v>
      </c>
      <c r="AB797" s="330"/>
      <c r="AC797" s="331"/>
      <c r="AD797" s="332" t="str">
        <f>IF(F797="","",+F797&amp;K797)</f>
        <v>3SNMLBMNGTBF50</v>
      </c>
      <c r="AE797" s="216">
        <f>+M797*N797*O797/1000</f>
        <v>67200</v>
      </c>
      <c r="AF797" s="43">
        <f>IF(AD797="","",VLOOKUP(AD797,原価マスタ!$A$2:$AJ$1693,13,FALSE))</f>
        <v>99</v>
      </c>
      <c r="AG797" s="47">
        <f>IF(AF797="","",+AE797*AF797/100)</f>
        <v>66528</v>
      </c>
      <c r="AH797" s="333"/>
      <c r="AI797" s="333"/>
      <c r="AJ797" s="333"/>
      <c r="AK797" s="333"/>
      <c r="AL797" s="334"/>
      <c r="AM797" s="334"/>
      <c r="AN797" s="334"/>
      <c r="AO797" s="334"/>
      <c r="AP797" s="334"/>
      <c r="AQ797" s="335"/>
      <c r="AR797" s="336"/>
    </row>
    <row r="798" spans="1:44" s="337" customFormat="1" ht="30.95" hidden="1" customHeight="1" x14ac:dyDescent="0.2">
      <c r="A798" s="358"/>
      <c r="B798" s="359"/>
      <c r="C798" s="360"/>
      <c r="D798" s="361"/>
      <c r="E798" s="361"/>
      <c r="F798" s="362"/>
      <c r="G798" s="363"/>
      <c r="H798" s="363"/>
      <c r="I798" s="207"/>
      <c r="J798" s="364"/>
      <c r="K798" s="207"/>
      <c r="L798" s="207"/>
      <c r="M798" s="365"/>
      <c r="N798" s="365"/>
      <c r="O798" s="366"/>
      <c r="P798" s="357"/>
      <c r="Q798" s="367"/>
      <c r="R798" s="278"/>
      <c r="S798" s="278"/>
      <c r="T798" s="368"/>
      <c r="U798" s="278"/>
      <c r="V798" s="363"/>
      <c r="W798" s="363"/>
      <c r="X798" s="363"/>
      <c r="Y798" s="363"/>
      <c r="Z798" s="357"/>
      <c r="AA798" s="207"/>
      <c r="AB798" s="369"/>
      <c r="AC798" s="370"/>
      <c r="AD798" s="332"/>
      <c r="AE798" s="371"/>
      <c r="AF798" s="372"/>
      <c r="AG798" s="366"/>
      <c r="AH798" s="333"/>
      <c r="AI798" s="333"/>
      <c r="AJ798" s="333"/>
      <c r="AK798" s="333"/>
      <c r="AL798" s="334"/>
      <c r="AM798" s="334"/>
      <c r="AN798" s="334"/>
      <c r="AO798" s="334"/>
      <c r="AP798" s="334"/>
      <c r="AQ798" s="335"/>
      <c r="AR798" s="336"/>
    </row>
    <row r="799" spans="1:44" s="337" customFormat="1" ht="30.95" hidden="1" customHeight="1" x14ac:dyDescent="0.2">
      <c r="A799" s="358" t="s">
        <v>564</v>
      </c>
      <c r="B799" s="359" t="s">
        <v>445</v>
      </c>
      <c r="C799" s="360"/>
      <c r="D799" s="361"/>
      <c r="E799" s="361"/>
      <c r="F799" s="362"/>
      <c r="G799" s="363"/>
      <c r="H799" s="363"/>
      <c r="I799" s="207"/>
      <c r="J799" s="364" t="s">
        <v>448</v>
      </c>
      <c r="K799" s="207"/>
      <c r="L799" s="207"/>
      <c r="M799" s="365"/>
      <c r="N799" s="365"/>
      <c r="O799" s="366"/>
      <c r="P799" s="357"/>
      <c r="Q799" s="367"/>
      <c r="R799" s="278"/>
      <c r="S799" s="278"/>
      <c r="T799" s="368"/>
      <c r="U799" s="278"/>
      <c r="V799" s="363"/>
      <c r="W799" s="363"/>
      <c r="X799" s="363"/>
      <c r="Y799" s="363"/>
      <c r="Z799" s="357"/>
      <c r="AA799" s="207"/>
      <c r="AB799" s="369"/>
      <c r="AC799" s="370"/>
      <c r="AD799" s="332"/>
      <c r="AE799" s="371"/>
      <c r="AF799" s="372"/>
      <c r="AG799" s="366"/>
      <c r="AH799" s="333"/>
      <c r="AI799" s="333"/>
      <c r="AJ799" s="333"/>
      <c r="AK799" s="333"/>
      <c r="AL799" s="334"/>
      <c r="AM799" s="334"/>
      <c r="AN799" s="334"/>
      <c r="AO799" s="334"/>
      <c r="AP799" s="334"/>
      <c r="AQ799" s="335"/>
      <c r="AR799" s="336"/>
    </row>
    <row r="800" spans="1:44" s="337" customFormat="1" ht="30.95" hidden="1" customHeight="1" x14ac:dyDescent="0.2">
      <c r="A800" s="358"/>
      <c r="B800" s="359"/>
      <c r="C800" s="360"/>
      <c r="D800" s="361"/>
      <c r="E800" s="361"/>
      <c r="F800" s="362"/>
      <c r="G800" s="363"/>
      <c r="H800" s="363"/>
      <c r="I800" s="207"/>
      <c r="J800" s="364"/>
      <c r="K800" s="207"/>
      <c r="L800" s="207"/>
      <c r="M800" s="365"/>
      <c r="N800" s="365"/>
      <c r="O800" s="366"/>
      <c r="P800" s="357"/>
      <c r="Q800" s="367"/>
      <c r="R800" s="278"/>
      <c r="S800" s="278"/>
      <c r="T800" s="368"/>
      <c r="U800" s="278"/>
      <c r="V800" s="363"/>
      <c r="W800" s="363"/>
      <c r="X800" s="363"/>
      <c r="Y800" s="363"/>
      <c r="Z800" s="357"/>
      <c r="AA800" s="207"/>
      <c r="AB800" s="369"/>
      <c r="AC800" s="370"/>
      <c r="AD800" s="332"/>
      <c r="AE800" s="371"/>
      <c r="AF800" s="372"/>
      <c r="AG800" s="366"/>
      <c r="AH800" s="333"/>
      <c r="AI800" s="333"/>
      <c r="AJ800" s="333"/>
      <c r="AK800" s="333"/>
      <c r="AL800" s="334"/>
      <c r="AM800" s="334"/>
      <c r="AN800" s="334"/>
      <c r="AO800" s="334"/>
      <c r="AP800" s="334"/>
      <c r="AQ800" s="335"/>
      <c r="AR800" s="336"/>
    </row>
    <row r="801" spans="1:44" s="337" customFormat="1" ht="30.95" hidden="1" customHeight="1" x14ac:dyDescent="0.2">
      <c r="A801" s="358" t="s">
        <v>565</v>
      </c>
      <c r="B801" s="359" t="s">
        <v>446</v>
      </c>
      <c r="C801" s="360"/>
      <c r="D801" s="361"/>
      <c r="E801" s="361"/>
      <c r="F801" s="362"/>
      <c r="G801" s="363"/>
      <c r="H801" s="363"/>
      <c r="I801" s="207"/>
      <c r="J801" s="364" t="s">
        <v>448</v>
      </c>
      <c r="K801" s="207"/>
      <c r="L801" s="207"/>
      <c r="M801" s="365"/>
      <c r="N801" s="365"/>
      <c r="O801" s="366"/>
      <c r="P801" s="357"/>
      <c r="Q801" s="367"/>
      <c r="R801" s="278"/>
      <c r="S801" s="278"/>
      <c r="T801" s="368"/>
      <c r="U801" s="278"/>
      <c r="V801" s="363"/>
      <c r="W801" s="363"/>
      <c r="X801" s="363"/>
      <c r="Y801" s="363"/>
      <c r="Z801" s="357"/>
      <c r="AA801" s="207"/>
      <c r="AB801" s="369"/>
      <c r="AC801" s="370"/>
      <c r="AD801" s="332"/>
      <c r="AE801" s="371"/>
      <c r="AF801" s="372"/>
      <c r="AG801" s="366"/>
      <c r="AH801" s="333"/>
      <c r="AI801" s="333"/>
      <c r="AJ801" s="333"/>
      <c r="AK801" s="333"/>
      <c r="AL801" s="334"/>
      <c r="AM801" s="334"/>
      <c r="AN801" s="334"/>
      <c r="AO801" s="334"/>
      <c r="AP801" s="334"/>
      <c r="AQ801" s="335"/>
      <c r="AR801" s="336"/>
    </row>
    <row r="802" spans="1:44" s="337" customFormat="1" ht="30.95" hidden="1" customHeight="1" x14ac:dyDescent="0.2">
      <c r="A802" s="358"/>
      <c r="B802" s="359"/>
      <c r="C802" s="360"/>
      <c r="D802" s="361"/>
      <c r="E802" s="361"/>
      <c r="F802" s="362"/>
      <c r="G802" s="363"/>
      <c r="H802" s="363"/>
      <c r="I802" s="207"/>
      <c r="J802" s="364"/>
      <c r="K802" s="207"/>
      <c r="L802" s="207"/>
      <c r="M802" s="365"/>
      <c r="N802" s="365"/>
      <c r="O802" s="366"/>
      <c r="P802" s="357"/>
      <c r="Q802" s="367"/>
      <c r="R802" s="278"/>
      <c r="S802" s="278"/>
      <c r="T802" s="368"/>
      <c r="U802" s="278"/>
      <c r="V802" s="363"/>
      <c r="W802" s="363"/>
      <c r="X802" s="363"/>
      <c r="Y802" s="363"/>
      <c r="Z802" s="357"/>
      <c r="AA802" s="207"/>
      <c r="AB802" s="369"/>
      <c r="AC802" s="370"/>
      <c r="AD802" s="332"/>
      <c r="AE802" s="371"/>
      <c r="AF802" s="372"/>
      <c r="AG802" s="366"/>
      <c r="AH802" s="333"/>
      <c r="AI802" s="333"/>
      <c r="AJ802" s="333"/>
      <c r="AK802" s="333"/>
      <c r="AL802" s="334"/>
      <c r="AM802" s="334"/>
      <c r="AN802" s="334"/>
      <c r="AO802" s="334"/>
      <c r="AP802" s="334"/>
      <c r="AQ802" s="335"/>
      <c r="AR802" s="336"/>
    </row>
    <row r="803" spans="1:44" s="337" customFormat="1" ht="30.95" hidden="1" customHeight="1" x14ac:dyDescent="0.2">
      <c r="A803" s="358" t="s">
        <v>566</v>
      </c>
      <c r="B803" s="359" t="s">
        <v>462</v>
      </c>
      <c r="C803" s="360"/>
      <c r="D803" s="361"/>
      <c r="E803" s="361"/>
      <c r="F803" s="362"/>
      <c r="G803" s="363"/>
      <c r="H803" s="363"/>
      <c r="I803" s="207"/>
      <c r="J803" s="364" t="s">
        <v>448</v>
      </c>
      <c r="K803" s="207"/>
      <c r="L803" s="207"/>
      <c r="M803" s="365"/>
      <c r="N803" s="365"/>
      <c r="O803" s="366"/>
      <c r="P803" s="357"/>
      <c r="Q803" s="367"/>
      <c r="R803" s="278"/>
      <c r="S803" s="278"/>
      <c r="T803" s="368"/>
      <c r="U803" s="278"/>
      <c r="V803" s="363"/>
      <c r="W803" s="363"/>
      <c r="X803" s="363"/>
      <c r="Y803" s="363"/>
      <c r="Z803" s="357"/>
      <c r="AA803" s="207"/>
      <c r="AB803" s="369"/>
      <c r="AC803" s="370"/>
      <c r="AD803" s="332"/>
      <c r="AE803" s="371"/>
      <c r="AF803" s="372"/>
      <c r="AG803" s="366"/>
      <c r="AH803" s="333"/>
      <c r="AI803" s="333"/>
      <c r="AJ803" s="333"/>
      <c r="AK803" s="333"/>
      <c r="AL803" s="334"/>
      <c r="AM803" s="334"/>
      <c r="AN803" s="334"/>
      <c r="AO803" s="334"/>
      <c r="AP803" s="334"/>
      <c r="AQ803" s="335"/>
      <c r="AR803" s="336"/>
    </row>
    <row r="804" spans="1:44" s="337" customFormat="1" ht="30.95" hidden="1" customHeight="1" x14ac:dyDescent="0.2">
      <c r="A804" s="358"/>
      <c r="B804" s="359"/>
      <c r="C804" s="360"/>
      <c r="D804" s="361"/>
      <c r="E804" s="361"/>
      <c r="F804" s="362"/>
      <c r="G804" s="363"/>
      <c r="H804" s="363"/>
      <c r="I804" s="207"/>
      <c r="J804" s="364"/>
      <c r="K804" s="207"/>
      <c r="L804" s="207"/>
      <c r="M804" s="365"/>
      <c r="N804" s="365"/>
      <c r="O804" s="366"/>
      <c r="P804" s="357"/>
      <c r="Q804" s="367"/>
      <c r="R804" s="278"/>
      <c r="S804" s="278"/>
      <c r="T804" s="368"/>
      <c r="U804" s="278"/>
      <c r="V804" s="363"/>
      <c r="W804" s="363"/>
      <c r="X804" s="363"/>
      <c r="Y804" s="363"/>
      <c r="Z804" s="357"/>
      <c r="AA804" s="207"/>
      <c r="AB804" s="369"/>
      <c r="AC804" s="370"/>
      <c r="AD804" s="332"/>
      <c r="AE804" s="371"/>
      <c r="AF804" s="372"/>
      <c r="AG804" s="366"/>
      <c r="AH804" s="333"/>
      <c r="AI804" s="333"/>
      <c r="AJ804" s="333"/>
      <c r="AK804" s="333"/>
      <c r="AL804" s="334"/>
      <c r="AM804" s="334"/>
      <c r="AN804" s="334"/>
      <c r="AO804" s="334"/>
      <c r="AP804" s="334"/>
      <c r="AQ804" s="335"/>
      <c r="AR804" s="336"/>
    </row>
    <row r="805" spans="1:44" s="337" customFormat="1" ht="30.75" hidden="1" customHeight="1" x14ac:dyDescent="0.2">
      <c r="A805" s="320" t="s">
        <v>567</v>
      </c>
      <c r="B805" s="321" t="s">
        <v>688</v>
      </c>
      <c r="C805" s="322"/>
      <c r="D805" s="279">
        <v>3723637</v>
      </c>
      <c r="E805" s="279">
        <v>4151455</v>
      </c>
      <c r="F805" s="362" t="str">
        <f>IF(D805="","",VLOOKUP(D805,[2]契約台帳!$A$3:$K$4999,6,FALSE)&amp;VLOOKUP(D805,[2]契約台帳!$A$3:$K$4999,7,FALSE)&amp;VLOOKUP(D805,[2]契約台帳!$A$3:$K$4999,8,FALSE)&amp;VLOOKUP(D805,[2]契約台帳!$A$3:$K$4999,9,FALSE)&amp;VLOOKUP(D805,[2]契約台帳!$A$3:$K$4999,11,FALSE))</f>
        <v>3SNMLBMNGTBF</v>
      </c>
      <c r="G805" s="363" t="str">
        <f>IF(D805="","",VLOOKUP(F805,[2]製品マスタ!$G$5:$H$5000,2,FALSE))</f>
        <v>S</v>
      </c>
      <c r="H805" s="363" t="str">
        <f>IF(D805="","",VLOOKUP(F805,[2]製品マスタ!$G$5:$K$5000,5,FALSE))</f>
        <v>MNGTBF</v>
      </c>
      <c r="I805" s="207" t="str">
        <f>IF(D805="","",VLOOKUP(F805,[2]製品マスタ!$G$5:$L$5000,6,FALSE))</f>
        <v>メタルミー　ネーマー　銀艶　Ｂ</v>
      </c>
      <c r="J805" s="373" t="s">
        <v>447</v>
      </c>
      <c r="K805" s="207">
        <f>IF(D805="","",VLOOKUP(D805,[2]契約台帳!$A$3:$L$4999,12,FALSE))</f>
        <v>50</v>
      </c>
      <c r="L805" s="207" t="str">
        <f>IF(D805="","",INDEX([2]製品マスタ!$Q$5:$Q$5000,MATCH(F805&amp;K805,[2]製品マスタ!$AO$5:$AO$5000,0)))</f>
        <v>T62</v>
      </c>
      <c r="M805" s="326">
        <v>1120</v>
      </c>
      <c r="N805" s="326">
        <v>10000</v>
      </c>
      <c r="O805" s="175">
        <v>5</v>
      </c>
      <c r="P805" s="329"/>
      <c r="Q805" s="367">
        <f>IF(D805="","",IF(J805="リード付け",M805,VLOOKUP(D805,[2]契約台帳!$A$3:$N$4999,14,FALSE)))</f>
        <v>1120</v>
      </c>
      <c r="R805" s="278">
        <f>IF(D805="","",IF(J805="リード付け",M805,VLOOKUP(D805,[2]契約台帳!$A$3:$O$4999,15,FALSE)))</f>
        <v>1120</v>
      </c>
      <c r="S805" s="278">
        <f>IF(D805="","",IF(J805="リード付け",N805,VLOOKUP(D805,契約台帳!$A$3:$P$4986,16,FALSE)))</f>
        <v>5000</v>
      </c>
      <c r="T805" s="183">
        <v>10</v>
      </c>
      <c r="U805" s="278">
        <f ca="1">IF(D805="","",IF(OFFSET(D805,-2,0)=D805,"",VLOOKUP(D805,契約台帳!$A$3:$R$4986,18,FALSE)))</f>
        <v>34</v>
      </c>
      <c r="V805" s="363" t="str">
        <f>IF(J805="巻返し",VLOOKUP(F805&amp;K805&amp;M805,[2]製品マスタ!$M$5:$AD$5000,18,FALSE),IF(J805="リード付け","原反コア",IF(J805="スリット",VLOOKUP(F805&amp;K805&amp;Q805,[2]製品マスタ!$N$5:$AD$5000,17,FALSE),"")))</f>
        <v>6ｲﾝﾁSｺｱ</v>
      </c>
      <c r="W805" s="363">
        <f>IF(J805="巻返し",VLOOKUP(F805&amp;K805&amp;M805,[2]製品マスタ!$M$5:$AE$5000,19,FALSE),IF(J805="リード付け","-",IF(J805="スリット",VLOOKUP(F805&amp;K805&amp;Q805,[2]製品マスタ!$N$5:$AE$5000,18,FALSE),"")))</f>
        <v>1125</v>
      </c>
      <c r="X805" s="363">
        <f>IF(D805="","",VLOOKUP(D805,[2]契約台帳!$A$3:$Q$4999,17,FALSE))</f>
        <v>2</v>
      </c>
      <c r="Y805" s="363" t="str">
        <f>IF(D805="","",VLOOKUP(D805,[2]契約台帳!$A$3:$E$4999,5,FALSE))</f>
        <v>リンテック㈱</v>
      </c>
      <c r="Z805" s="329">
        <v>45191</v>
      </c>
      <c r="AA805" s="207" t="str">
        <f>IFERROR(VLOOKUP(F805&amp;K805&amp;M805,製品マスタ!$M$5:$AM$5002,27,FALSE),"")</f>
        <v>原反ケース再利用</v>
      </c>
      <c r="AB805" s="330"/>
      <c r="AC805" s="331"/>
      <c r="AD805" s="332" t="str">
        <f>IF(F805="","",+F805&amp;K805)</f>
        <v>3SNMLBMNGTBF50</v>
      </c>
      <c r="AE805" s="216">
        <f>+M805*N805*O805/1000</f>
        <v>56000</v>
      </c>
      <c r="AF805" s="43">
        <f>IF(AD805="","",VLOOKUP(AD805,原価マスタ!$A$2:$AJ$1693,13,FALSE))</f>
        <v>99</v>
      </c>
      <c r="AG805" s="47">
        <f>IF(AF805="","",+AE805*AF805/100)</f>
        <v>55440</v>
      </c>
      <c r="AH805" s="333"/>
      <c r="AI805" s="333"/>
      <c r="AJ805" s="333"/>
      <c r="AK805" s="333"/>
      <c r="AL805" s="334"/>
      <c r="AM805" s="334"/>
      <c r="AN805" s="334"/>
      <c r="AO805" s="334"/>
      <c r="AP805" s="334"/>
      <c r="AQ805" s="335"/>
      <c r="AR805" s="336"/>
    </row>
    <row r="806" spans="1:44" s="337" customFormat="1" ht="30.95" hidden="1" customHeight="1" x14ac:dyDescent="0.2">
      <c r="A806" s="358"/>
      <c r="B806" s="359"/>
      <c r="C806" s="360"/>
      <c r="D806" s="361"/>
      <c r="E806" s="361"/>
      <c r="F806" s="362"/>
      <c r="G806" s="363"/>
      <c r="H806" s="363"/>
      <c r="I806" s="207"/>
      <c r="J806" s="364"/>
      <c r="K806" s="207"/>
      <c r="L806" s="207"/>
      <c r="M806" s="365"/>
      <c r="N806" s="365"/>
      <c r="O806" s="366"/>
      <c r="P806" s="357"/>
      <c r="Q806" s="367"/>
      <c r="R806" s="278"/>
      <c r="S806" s="278"/>
      <c r="T806" s="368"/>
      <c r="U806" s="278"/>
      <c r="V806" s="363"/>
      <c r="W806" s="363"/>
      <c r="X806" s="363"/>
      <c r="Y806" s="363"/>
      <c r="Z806" s="357"/>
      <c r="AA806" s="207"/>
      <c r="AB806" s="369"/>
      <c r="AC806" s="370"/>
      <c r="AD806" s="332"/>
      <c r="AE806" s="371"/>
      <c r="AF806" s="372"/>
      <c r="AG806" s="366"/>
      <c r="AH806" s="333"/>
      <c r="AI806" s="333"/>
      <c r="AJ806" s="333"/>
      <c r="AK806" s="333"/>
      <c r="AL806" s="334"/>
      <c r="AM806" s="334"/>
      <c r="AN806" s="334"/>
      <c r="AO806" s="334"/>
      <c r="AP806" s="334"/>
      <c r="AQ806" s="335"/>
      <c r="AR806" s="336"/>
    </row>
    <row r="807" spans="1:44" s="337" customFormat="1" ht="30.75" hidden="1" customHeight="1" x14ac:dyDescent="0.2">
      <c r="A807" s="320" t="s">
        <v>568</v>
      </c>
      <c r="B807" s="321" t="s">
        <v>442</v>
      </c>
      <c r="C807" s="322"/>
      <c r="D807" s="279">
        <v>3723637</v>
      </c>
      <c r="E807" s="279">
        <v>4151455</v>
      </c>
      <c r="F807" s="362" t="str">
        <f>IF(D807="","",VLOOKUP(D807,[2]契約台帳!$A$3:$K$4999,6,FALSE)&amp;VLOOKUP(D807,[2]契約台帳!$A$3:$K$4999,7,FALSE)&amp;VLOOKUP(D807,[2]契約台帳!$A$3:$K$4999,8,FALSE)&amp;VLOOKUP(D807,[2]契約台帳!$A$3:$K$4999,9,FALSE)&amp;VLOOKUP(D807,[2]契約台帳!$A$3:$K$4999,11,FALSE))</f>
        <v>3SNMLBMNGTBF</v>
      </c>
      <c r="G807" s="363" t="str">
        <f>IF(D807="","",VLOOKUP(F807,[2]製品マスタ!$G$5:$H$5000,2,FALSE))</f>
        <v>S</v>
      </c>
      <c r="H807" s="363" t="str">
        <f>IF(D807="","",VLOOKUP(F807,[2]製品マスタ!$G$5:$K$5000,5,FALSE))</f>
        <v>MNGTBF</v>
      </c>
      <c r="I807" s="207" t="str">
        <f>IF(D807="","",VLOOKUP(F807,[2]製品マスタ!$G$5:$L$5000,6,FALSE))</f>
        <v>メタルミー　ネーマー　銀艶　Ｂ</v>
      </c>
      <c r="J807" s="373" t="s">
        <v>447</v>
      </c>
      <c r="K807" s="207">
        <f>IF(D807="","",VLOOKUP(D807,[2]契約台帳!$A$3:$L$4999,12,FALSE))</f>
        <v>50</v>
      </c>
      <c r="L807" s="207" t="str">
        <f>IF(D807="","",INDEX([2]製品マスタ!$Q$5:$Q$5000,MATCH(F807&amp;K807,[2]製品マスタ!$AO$5:$AO$5000,0)))</f>
        <v>T62</v>
      </c>
      <c r="M807" s="326">
        <v>1120</v>
      </c>
      <c r="N807" s="326">
        <v>10000</v>
      </c>
      <c r="O807" s="175">
        <v>5</v>
      </c>
      <c r="P807" s="329"/>
      <c r="Q807" s="367">
        <f>IF(D807="","",IF(J807="リード付け",M807,VLOOKUP(D807,[2]契約台帳!$A$3:$N$4999,14,FALSE)))</f>
        <v>1120</v>
      </c>
      <c r="R807" s="278">
        <f>IF(D807="","",IF(J807="リード付け",M807,VLOOKUP(D807,[2]契約台帳!$A$3:$O$4999,15,FALSE)))</f>
        <v>1120</v>
      </c>
      <c r="S807" s="278">
        <f>IF(D807="","",IF(J807="リード付け",N807,VLOOKUP(D807,契約台帳!$A$3:$P$4986,16,FALSE)))</f>
        <v>5000</v>
      </c>
      <c r="T807" s="183">
        <v>10</v>
      </c>
      <c r="U807" s="278" t="str">
        <f ca="1">IF(D807="","",IF(OFFSET(D807,-2,0)=D807,"",VLOOKUP(D807,契約台帳!$A$3:$R$4986,18,FALSE)))</f>
        <v/>
      </c>
      <c r="V807" s="363" t="str">
        <f>IF(J807="巻返し",VLOOKUP(F807&amp;K807&amp;M807,[2]製品マスタ!$M$5:$AD$5000,18,FALSE),IF(J807="リード付け","原反コア",IF(J807="スリット",VLOOKUP(F807&amp;K807&amp;Q807,[2]製品マスタ!$N$5:$AD$5000,17,FALSE),"")))</f>
        <v>6ｲﾝﾁSｺｱ</v>
      </c>
      <c r="W807" s="363">
        <f>IF(J807="巻返し",VLOOKUP(F807&amp;K807&amp;M807,[2]製品マスタ!$M$5:$AE$5000,19,FALSE),IF(J807="リード付け","-",IF(J807="スリット",VLOOKUP(F807&amp;K807&amp;Q807,[2]製品マスタ!$N$5:$AE$5000,18,FALSE),"")))</f>
        <v>1125</v>
      </c>
      <c r="X807" s="363">
        <f>IF(D807="","",VLOOKUP(D807,[2]契約台帳!$A$3:$Q$4999,17,FALSE))</f>
        <v>2</v>
      </c>
      <c r="Y807" s="363" t="str">
        <f>IF(D807="","",VLOOKUP(D807,[2]契約台帳!$A$3:$E$4999,5,FALSE))</f>
        <v>リンテック㈱</v>
      </c>
      <c r="Z807" s="329">
        <v>45194</v>
      </c>
      <c r="AA807" s="207" t="str">
        <f>IFERROR(VLOOKUP(F807&amp;K807&amp;M807,製品マスタ!$M$5:$AM$5002,27,FALSE),"")</f>
        <v>原反ケース再利用</v>
      </c>
      <c r="AB807" s="330"/>
      <c r="AC807" s="331"/>
      <c r="AD807" s="332" t="str">
        <f>IF(F807="","",+F807&amp;K807)</f>
        <v>3SNMLBMNGTBF50</v>
      </c>
      <c r="AE807" s="216">
        <f>+M807*N807*O807/1000</f>
        <v>56000</v>
      </c>
      <c r="AF807" s="43">
        <f>IF(AD807="","",VLOOKUP(AD807,原価マスタ!$A$2:$AJ$1693,13,FALSE))</f>
        <v>99</v>
      </c>
      <c r="AG807" s="47">
        <f>IF(AF807="","",+AE807*AF807/100)</f>
        <v>55440</v>
      </c>
      <c r="AH807" s="333"/>
      <c r="AI807" s="333"/>
      <c r="AJ807" s="333"/>
      <c r="AK807" s="333"/>
      <c r="AL807" s="334"/>
      <c r="AM807" s="334"/>
      <c r="AN807" s="334"/>
      <c r="AO807" s="334"/>
      <c r="AP807" s="334"/>
      <c r="AQ807" s="335"/>
      <c r="AR807" s="336"/>
    </row>
    <row r="808" spans="1:44" s="337" customFormat="1" ht="30.95" hidden="1" customHeight="1" x14ac:dyDescent="0.2">
      <c r="A808" s="358"/>
      <c r="B808" s="359"/>
      <c r="C808" s="360"/>
      <c r="D808" s="361"/>
      <c r="E808" s="361"/>
      <c r="F808" s="362"/>
      <c r="G808" s="363"/>
      <c r="H808" s="363"/>
      <c r="I808" s="207"/>
      <c r="J808" s="364"/>
      <c r="K808" s="207"/>
      <c r="L808" s="207"/>
      <c r="M808" s="365"/>
      <c r="N808" s="365"/>
      <c r="O808" s="366"/>
      <c r="P808" s="357"/>
      <c r="Q808" s="367"/>
      <c r="R808" s="278"/>
      <c r="S808" s="278"/>
      <c r="T808" s="368"/>
      <c r="U808" s="278"/>
      <c r="V808" s="363"/>
      <c r="W808" s="363"/>
      <c r="X808" s="363"/>
      <c r="Y808" s="363"/>
      <c r="Z808" s="357"/>
      <c r="AA808" s="207"/>
      <c r="AB808" s="369"/>
      <c r="AC808" s="370"/>
      <c r="AD808" s="332"/>
      <c r="AE808" s="371"/>
      <c r="AF808" s="372"/>
      <c r="AG808" s="366"/>
      <c r="AH808" s="333"/>
      <c r="AI808" s="333"/>
      <c r="AJ808" s="333"/>
      <c r="AK808" s="333"/>
      <c r="AL808" s="334"/>
      <c r="AM808" s="334"/>
      <c r="AN808" s="334"/>
      <c r="AO808" s="334"/>
      <c r="AP808" s="334"/>
      <c r="AQ808" s="335"/>
      <c r="AR808" s="336"/>
    </row>
    <row r="809" spans="1:44" s="337" customFormat="1" ht="30.75" hidden="1" customHeight="1" x14ac:dyDescent="0.2">
      <c r="A809" s="320" t="s">
        <v>569</v>
      </c>
      <c r="B809" s="321" t="s">
        <v>443</v>
      </c>
      <c r="C809" s="322"/>
      <c r="D809" s="279">
        <v>3723637</v>
      </c>
      <c r="E809" s="279">
        <v>4151455</v>
      </c>
      <c r="F809" s="362" t="str">
        <f>IF(D809="","",VLOOKUP(D809,[2]契約台帳!$A$3:$K$4999,6,FALSE)&amp;VLOOKUP(D809,[2]契約台帳!$A$3:$K$4999,7,FALSE)&amp;VLOOKUP(D809,[2]契約台帳!$A$3:$K$4999,8,FALSE)&amp;VLOOKUP(D809,[2]契約台帳!$A$3:$K$4999,9,FALSE)&amp;VLOOKUP(D809,[2]契約台帳!$A$3:$K$4999,11,FALSE))</f>
        <v>3SNMLBMNGTBF</v>
      </c>
      <c r="G809" s="363" t="str">
        <f>IF(D809="","",VLOOKUP(F809,[2]製品マスタ!$G$5:$H$5000,2,FALSE))</f>
        <v>S</v>
      </c>
      <c r="H809" s="363" t="str">
        <f>IF(D809="","",VLOOKUP(F809,[2]製品マスタ!$G$5:$K$5000,5,FALSE))</f>
        <v>MNGTBF</v>
      </c>
      <c r="I809" s="207" t="str">
        <f>IF(D809="","",VLOOKUP(F809,[2]製品マスタ!$G$5:$L$5000,6,FALSE))</f>
        <v>メタルミー　ネーマー　銀艶　Ｂ</v>
      </c>
      <c r="J809" s="373" t="s">
        <v>447</v>
      </c>
      <c r="K809" s="207">
        <f>IF(D809="","",VLOOKUP(D809,[2]契約台帳!$A$3:$L$4999,12,FALSE))</f>
        <v>50</v>
      </c>
      <c r="L809" s="207" t="str">
        <f>IF(D809="","",INDEX([2]製品マスタ!$Q$5:$Q$5000,MATCH(F809&amp;K809,[2]製品マスタ!$AO$5:$AO$5000,0)))</f>
        <v>T62</v>
      </c>
      <c r="M809" s="326">
        <v>1120</v>
      </c>
      <c r="N809" s="326">
        <v>10000</v>
      </c>
      <c r="O809" s="175">
        <v>1</v>
      </c>
      <c r="P809" s="329"/>
      <c r="Q809" s="367">
        <f>IF(D809="","",IF(J809="リード付け",M809,VLOOKUP(D809,[2]契約台帳!$A$3:$N$4999,14,FALSE)))</f>
        <v>1120</v>
      </c>
      <c r="R809" s="278">
        <f>IF(D809="","",IF(J809="リード付け",M809,VLOOKUP(D809,[2]契約台帳!$A$3:$O$4999,15,FALSE)))</f>
        <v>1120</v>
      </c>
      <c r="S809" s="278">
        <f>IF(D809="","",IF(J809="リード付け",N809,VLOOKUP(D809,契約台帳!$A$3:$P$4986,16,FALSE)))</f>
        <v>5000</v>
      </c>
      <c r="T809" s="183">
        <v>2</v>
      </c>
      <c r="U809" s="278" t="str">
        <f ca="1">IF(D809="","",IF(OFFSET(D809,-2,0)=D809,"",VLOOKUP(D809,契約台帳!$A$3:$R$4986,18,FALSE)))</f>
        <v/>
      </c>
      <c r="V809" s="363" t="str">
        <f>IF(J809="巻返し",VLOOKUP(F809&amp;K809&amp;M809,[2]製品マスタ!$M$5:$AD$5000,18,FALSE),IF(J809="リード付け","原反コア",IF(J809="スリット",VLOOKUP(F809&amp;K809&amp;Q809,[2]製品マスタ!$N$5:$AD$5000,17,FALSE),"")))</f>
        <v>6ｲﾝﾁSｺｱ</v>
      </c>
      <c r="W809" s="363">
        <f>IF(J809="巻返し",VLOOKUP(F809&amp;K809&amp;M809,[2]製品マスタ!$M$5:$AE$5000,19,FALSE),IF(J809="リード付け","-",IF(J809="スリット",VLOOKUP(F809&amp;K809&amp;Q809,[2]製品マスタ!$N$5:$AE$5000,18,FALSE),"")))</f>
        <v>1125</v>
      </c>
      <c r="X809" s="363">
        <f>IF(D809="","",VLOOKUP(D809,[2]契約台帳!$A$3:$Q$4999,17,FALSE))</f>
        <v>2</v>
      </c>
      <c r="Y809" s="363" t="str">
        <f>IF(D809="","",VLOOKUP(D809,[2]契約台帳!$A$3:$E$4999,5,FALSE))</f>
        <v>リンテック㈱</v>
      </c>
      <c r="Z809" s="329">
        <v>45195</v>
      </c>
      <c r="AA809" s="207" t="str">
        <f>IFERROR(VLOOKUP(F809&amp;K809&amp;M809,製品マスタ!$M$5:$AM$5002,27,FALSE),"")</f>
        <v>原反ケース再利用</v>
      </c>
      <c r="AB809" s="330"/>
      <c r="AC809" s="331"/>
      <c r="AD809" s="332" t="str">
        <f>IF(F809="","",+F809&amp;K809)</f>
        <v>3SNMLBMNGTBF50</v>
      </c>
      <c r="AE809" s="216">
        <f>+M809*N809*O809/1000</f>
        <v>11200</v>
      </c>
      <c r="AF809" s="43">
        <f>IF(AD809="","",VLOOKUP(AD809,原価マスタ!$A$2:$AJ$1693,13,FALSE))</f>
        <v>99</v>
      </c>
      <c r="AG809" s="47">
        <f>IF(AF809="","",+AE809*AF809/100)</f>
        <v>11088</v>
      </c>
      <c r="AH809" s="333"/>
      <c r="AI809" s="333"/>
      <c r="AJ809" s="333"/>
      <c r="AK809" s="333"/>
      <c r="AL809" s="334"/>
      <c r="AM809" s="334"/>
      <c r="AN809" s="334"/>
      <c r="AO809" s="334"/>
      <c r="AP809" s="334"/>
      <c r="AQ809" s="335"/>
      <c r="AR809" s="336"/>
    </row>
    <row r="810" spans="1:44" s="337" customFormat="1" ht="30.95" hidden="1" customHeight="1" x14ac:dyDescent="0.2">
      <c r="A810" s="358"/>
      <c r="B810" s="359"/>
      <c r="C810" s="360"/>
      <c r="D810" s="361"/>
      <c r="E810" s="361"/>
      <c r="F810" s="362"/>
      <c r="G810" s="363"/>
      <c r="H810" s="363"/>
      <c r="I810" s="207"/>
      <c r="J810" s="364"/>
      <c r="K810" s="207"/>
      <c r="L810" s="207"/>
      <c r="M810" s="365"/>
      <c r="N810" s="365"/>
      <c r="O810" s="366"/>
      <c r="P810" s="357"/>
      <c r="Q810" s="367"/>
      <c r="R810" s="278"/>
      <c r="S810" s="278"/>
      <c r="T810" s="368"/>
      <c r="U810" s="278"/>
      <c r="V810" s="363"/>
      <c r="W810" s="363"/>
      <c r="X810" s="363"/>
      <c r="Y810" s="363"/>
      <c r="Z810" s="357"/>
      <c r="AA810" s="207"/>
      <c r="AB810" s="369"/>
      <c r="AC810" s="370"/>
      <c r="AD810" s="332"/>
      <c r="AE810" s="371"/>
      <c r="AF810" s="372"/>
      <c r="AG810" s="366"/>
      <c r="AH810" s="333"/>
      <c r="AI810" s="333"/>
      <c r="AJ810" s="333"/>
      <c r="AK810" s="333"/>
      <c r="AL810" s="334"/>
      <c r="AM810" s="334"/>
      <c r="AN810" s="334"/>
      <c r="AO810" s="334"/>
      <c r="AP810" s="334"/>
      <c r="AQ810" s="335"/>
      <c r="AR810" s="336"/>
    </row>
    <row r="811" spans="1:44" s="337" customFormat="1" ht="30.75" hidden="1" customHeight="1" x14ac:dyDescent="0.2">
      <c r="A811" s="320"/>
      <c r="B811" s="321"/>
      <c r="C811" s="322"/>
      <c r="D811" s="279">
        <v>3723647</v>
      </c>
      <c r="E811" s="279">
        <v>4151457</v>
      </c>
      <c r="F811" s="362" t="str">
        <f>IF(D811="","",VLOOKUP(D811,[2]契約台帳!$A$3:$K$4999,6,FALSE)&amp;VLOOKUP(D811,[2]契約台帳!$A$3:$K$4999,7,FALSE)&amp;VLOOKUP(D811,[2]契約台帳!$A$3:$K$4999,8,FALSE)&amp;VLOOKUP(D811,[2]契約台帳!$A$3:$K$4999,9,FALSE)&amp;VLOOKUP(D811,[2]契約台帳!$A$3:$K$4999,11,FALSE))</f>
        <v>3SYMLBMSBBF</v>
      </c>
      <c r="G811" s="363" t="str">
        <f>IF(D811="","",VLOOKUP(F811,[2]製品マスタ!$G$5:$H$5000,2,FALSE))</f>
        <v>S</v>
      </c>
      <c r="H811" s="363" t="str">
        <f>IF(D811="","",VLOOKUP(F811,[2]製品マスタ!$G$5:$K$5000,5,FALSE))</f>
        <v>MSBBF</v>
      </c>
      <c r="I811" s="207" t="str">
        <f>IF(D811="","",VLOOKUP(F811,[2]製品マスタ!$G$5:$L$5000,6,FALSE))</f>
        <v>ＭＥＴＡＬＵＭＹ　ＳＩＬＶＥＲ　ＢＲＩＧＨＴ　Ｔ６２Ｍ　Ｂ</v>
      </c>
      <c r="J811" s="373" t="s">
        <v>447</v>
      </c>
      <c r="K811" s="207">
        <f>IF(D811="","",VLOOKUP(D811,[2]契約台帳!$A$3:$L$4999,12,FALSE))</f>
        <v>50</v>
      </c>
      <c r="L811" s="207" t="str">
        <f>IF(D811="","",INDEX([2]製品マスタ!$Q$5:$Q$5000,MATCH(F811&amp;K811,[2]製品マスタ!$AO$5:$AO$5000,0)))</f>
        <v>T62</v>
      </c>
      <c r="M811" s="326">
        <v>1120</v>
      </c>
      <c r="N811" s="326">
        <v>10000</v>
      </c>
      <c r="O811" s="175">
        <v>1</v>
      </c>
      <c r="P811" s="329"/>
      <c r="Q811" s="367">
        <f>IF(D811="","",IF(J811="リード付け",M811,VLOOKUP(D811,[2]契約台帳!$A$3:$N$4999,14,FALSE)))</f>
        <v>1120</v>
      </c>
      <c r="R811" s="278">
        <f>IF(D811="","",IF(J811="リード付け",M811,VLOOKUP(D811,[2]契約台帳!$A$3:$O$4999,15,FALSE)))</f>
        <v>1120</v>
      </c>
      <c r="S811" s="278">
        <f>IF(D811="","",IF(J811="リード付け",N811,VLOOKUP(D811,契約台帳!$A$3:$P$4986,16,FALSE)))</f>
        <v>5000</v>
      </c>
      <c r="T811" s="183">
        <v>2</v>
      </c>
      <c r="U811" s="278">
        <f ca="1">IF(D811="","",IF(OFFSET(D811,-2,0)=D811,"",VLOOKUP(D811,契約台帳!$A$3:$R$4986,18,FALSE)))</f>
        <v>2</v>
      </c>
      <c r="V811" s="363" t="str">
        <f>IF(J811="巻返し",VLOOKUP(F811&amp;K811&amp;M811,[2]製品マスタ!$M$5:$AD$5000,18,FALSE),IF(J811="リード付け","原反コア",IF(J811="スリット",VLOOKUP(F811&amp;K811&amp;Q811,[2]製品マスタ!$N$5:$AD$5000,17,FALSE),"")))</f>
        <v>6ｲﾝﾁSｺｱ</v>
      </c>
      <c r="W811" s="363">
        <f>IF(J811="巻返し",VLOOKUP(F811&amp;K811&amp;M811,[2]製品マスタ!$M$5:$AE$5000,19,FALSE),IF(J811="リード付け","-",IF(J811="スリット",VLOOKUP(F811&amp;K811&amp;Q811,[2]製品マスタ!$N$5:$AE$5000,18,FALSE),"")))</f>
        <v>1125</v>
      </c>
      <c r="X811" s="363">
        <f>IF(D811="","",VLOOKUP(D811,[2]契約台帳!$A$3:$Q$4999,17,FALSE))</f>
        <v>2</v>
      </c>
      <c r="Y811" s="363" t="str">
        <f>IF(D811="","",VLOOKUP(D811,[2]契約台帳!$A$3:$E$4999,5,FALSE))</f>
        <v>リンテック㈱</v>
      </c>
      <c r="Z811" s="329">
        <v>45195</v>
      </c>
      <c r="AA811" s="207" t="str">
        <f>IFERROR(VLOOKUP(F811&amp;K811&amp;M811,製品マスタ!$M$5:$AM$5002,27,FALSE),"")</f>
        <v>原反ケース再利用</v>
      </c>
      <c r="AB811" s="330"/>
      <c r="AC811" s="331"/>
      <c r="AD811" s="332" t="str">
        <f>IF(F811="","",+F811&amp;K811)</f>
        <v>3SYMLBMSBBF50</v>
      </c>
      <c r="AE811" s="216">
        <f>+M811*N811*O811/1000</f>
        <v>11200</v>
      </c>
      <c r="AF811" s="43">
        <f>IF(AD811="","",VLOOKUP(AD811,原価マスタ!$A$2:$AJ$1693,13,FALSE))</f>
        <v>99</v>
      </c>
      <c r="AG811" s="47">
        <f>IF(AF811="","",+AE811*AF811/100)</f>
        <v>11088</v>
      </c>
      <c r="AH811" s="333"/>
      <c r="AI811" s="333"/>
      <c r="AJ811" s="333"/>
      <c r="AK811" s="333"/>
      <c r="AL811" s="334"/>
      <c r="AM811" s="334"/>
      <c r="AN811" s="334"/>
      <c r="AO811" s="334"/>
      <c r="AP811" s="334"/>
      <c r="AQ811" s="335"/>
      <c r="AR811" s="336"/>
    </row>
    <row r="812" spans="1:44" s="337" customFormat="1" ht="30.95" hidden="1" customHeight="1" x14ac:dyDescent="0.2">
      <c r="A812" s="358"/>
      <c r="B812" s="359"/>
      <c r="C812" s="360"/>
      <c r="D812" s="361"/>
      <c r="E812" s="361"/>
      <c r="F812" s="362"/>
      <c r="G812" s="363"/>
      <c r="H812" s="363"/>
      <c r="I812" s="207"/>
      <c r="J812" s="364"/>
      <c r="K812" s="207"/>
      <c r="L812" s="207"/>
      <c r="M812" s="365"/>
      <c r="N812" s="365"/>
      <c r="O812" s="366"/>
      <c r="P812" s="357"/>
      <c r="Q812" s="367"/>
      <c r="R812" s="278"/>
      <c r="S812" s="278"/>
      <c r="T812" s="368"/>
      <c r="U812" s="278"/>
      <c r="V812" s="363"/>
      <c r="W812" s="363"/>
      <c r="X812" s="363"/>
      <c r="Y812" s="363"/>
      <c r="Z812" s="357"/>
      <c r="AA812" s="207"/>
      <c r="AB812" s="369"/>
      <c r="AC812" s="370"/>
      <c r="AD812" s="332"/>
      <c r="AE812" s="371"/>
      <c r="AF812" s="372"/>
      <c r="AG812" s="366"/>
      <c r="AH812" s="333"/>
      <c r="AI812" s="333"/>
      <c r="AJ812" s="333"/>
      <c r="AK812" s="333"/>
      <c r="AL812" s="334"/>
      <c r="AM812" s="334"/>
      <c r="AN812" s="334"/>
      <c r="AO812" s="334"/>
      <c r="AP812" s="334"/>
      <c r="AQ812" s="335"/>
      <c r="AR812" s="336"/>
    </row>
    <row r="813" spans="1:44" s="337" customFormat="1" ht="30.75" hidden="1" customHeight="1" x14ac:dyDescent="0.2">
      <c r="A813" s="320"/>
      <c r="B813" s="321"/>
      <c r="C813" s="322"/>
      <c r="D813" s="279">
        <v>3723650</v>
      </c>
      <c r="E813" s="279">
        <v>4151458</v>
      </c>
      <c r="F813" s="362" t="str">
        <f>IF(D813="","",VLOOKUP(D813,[2]契約台帳!$A$3:$K$4999,6,FALSE)&amp;VLOOKUP(D813,[2]契約台帳!$A$3:$K$4999,7,FALSE)&amp;VLOOKUP(D813,[2]契約台帳!$A$3:$K$4999,8,FALSE)&amp;VLOOKUP(D813,[2]契約台帳!$A$3:$K$4999,9,FALSE)&amp;VLOOKUP(D813,[2]契約台帳!$A$3:$K$4999,11,FALSE))</f>
        <v>3SYMLBMSBBF</v>
      </c>
      <c r="G813" s="363" t="str">
        <f>IF(D813="","",VLOOKUP(F813,[2]製品マスタ!$G$5:$H$5000,2,FALSE))</f>
        <v>S</v>
      </c>
      <c r="H813" s="363" t="str">
        <f>IF(D813="","",VLOOKUP(F813,[2]製品マスタ!$G$5:$K$5000,5,FALSE))</f>
        <v>MSBBF</v>
      </c>
      <c r="I813" s="207" t="str">
        <f>IF(D813="","",VLOOKUP(F813,[2]製品マスタ!$G$5:$L$5000,6,FALSE))</f>
        <v>ＭＥＴＡＬＵＭＹ　ＳＩＬＶＥＲ　ＢＲＩＧＨＴ　Ｔ６２Ｍ　Ｂ</v>
      </c>
      <c r="J813" s="373" t="s">
        <v>447</v>
      </c>
      <c r="K813" s="207">
        <f>IF(D813="","",VLOOKUP(D813,[2]契約台帳!$A$3:$L$4999,12,FALSE))</f>
        <v>50</v>
      </c>
      <c r="L813" s="207" t="str">
        <f>IF(D813="","",INDEX([2]製品マスタ!$Q$5:$Q$5000,MATCH(F813&amp;K813,[2]製品マスタ!$AO$5:$AO$5000,0)))</f>
        <v>T62</v>
      </c>
      <c r="M813" s="326">
        <v>1120</v>
      </c>
      <c r="N813" s="326">
        <v>10000</v>
      </c>
      <c r="O813" s="175">
        <v>1</v>
      </c>
      <c r="P813" s="329"/>
      <c r="Q813" s="367">
        <f>IF(D813="","",IF(J813="リード付け",M813,VLOOKUP(D813,[2]契約台帳!$A$3:$N$4999,14,FALSE)))</f>
        <v>1120</v>
      </c>
      <c r="R813" s="278">
        <f>IF(D813="","",IF(J813="リード付け",M813,VLOOKUP(D813,[2]契約台帳!$A$3:$O$4999,15,FALSE)))</f>
        <v>1120</v>
      </c>
      <c r="S813" s="278">
        <f>IF(D813="","",IF(J813="リード付け",N813,VLOOKUP(D813,契約台帳!$A$3:$P$4986,16,FALSE)))</f>
        <v>5000</v>
      </c>
      <c r="T813" s="183">
        <v>2</v>
      </c>
      <c r="U813" s="278">
        <f ca="1">IF(D813="","",IF(OFFSET(D813,-2,0)=D813,"",VLOOKUP(D813,契約台帳!$A$3:$R$4986,18,FALSE)))</f>
        <v>2</v>
      </c>
      <c r="V813" s="363" t="str">
        <f>IF(J813="巻返し",VLOOKUP(F813&amp;K813&amp;M813,[2]製品マスタ!$M$5:$AD$5000,18,FALSE),IF(J813="リード付け","原反コア",IF(J813="スリット",VLOOKUP(F813&amp;K813&amp;Q813,[2]製品マスタ!$N$5:$AD$5000,17,FALSE),"")))</f>
        <v>6ｲﾝﾁSｺｱ</v>
      </c>
      <c r="W813" s="363">
        <f>IF(J813="巻返し",VLOOKUP(F813&amp;K813&amp;M813,[2]製品マスタ!$M$5:$AE$5000,19,FALSE),IF(J813="リード付け","-",IF(J813="スリット",VLOOKUP(F813&amp;K813&amp;Q813,[2]製品マスタ!$N$5:$AE$5000,18,FALSE),"")))</f>
        <v>1125</v>
      </c>
      <c r="X813" s="363">
        <f>IF(D813="","",VLOOKUP(D813,[2]契約台帳!$A$3:$Q$4999,17,FALSE))</f>
        <v>2</v>
      </c>
      <c r="Y813" s="363" t="str">
        <f>IF(D813="","",VLOOKUP(D813,[2]契約台帳!$A$3:$E$4999,5,FALSE))</f>
        <v>リンテック㈱</v>
      </c>
      <c r="Z813" s="329">
        <v>45195</v>
      </c>
      <c r="AA813" s="207" t="str">
        <f>IFERROR(VLOOKUP(F813&amp;K813&amp;M813,製品マスタ!$M$5:$AM$5002,27,FALSE),"")</f>
        <v>原反ケース再利用</v>
      </c>
      <c r="AB813" s="330"/>
      <c r="AC813" s="331"/>
      <c r="AD813" s="332" t="str">
        <f>IF(F813="","",+F813&amp;K813)</f>
        <v>3SYMLBMSBBF50</v>
      </c>
      <c r="AE813" s="216">
        <f>+M813*N813*O813/1000</f>
        <v>11200</v>
      </c>
      <c r="AF813" s="43">
        <f>IF(AD813="","",VLOOKUP(AD813,原価マスタ!$A$2:$AJ$1693,13,FALSE))</f>
        <v>99</v>
      </c>
      <c r="AG813" s="47">
        <f>IF(AF813="","",+AE813*AF813/100)</f>
        <v>11088</v>
      </c>
      <c r="AH813" s="333"/>
      <c r="AI813" s="333"/>
      <c r="AJ813" s="333"/>
      <c r="AK813" s="333"/>
      <c r="AL813" s="334"/>
      <c r="AM813" s="334"/>
      <c r="AN813" s="334"/>
      <c r="AO813" s="334"/>
      <c r="AP813" s="334"/>
      <c r="AQ813" s="335"/>
      <c r="AR813" s="336"/>
    </row>
    <row r="814" spans="1:44" s="337" customFormat="1" ht="30.95" hidden="1" customHeight="1" x14ac:dyDescent="0.2">
      <c r="A814" s="358"/>
      <c r="B814" s="359"/>
      <c r="C814" s="360"/>
      <c r="D814" s="361"/>
      <c r="E814" s="361"/>
      <c r="F814" s="362"/>
      <c r="G814" s="363"/>
      <c r="H814" s="363"/>
      <c r="I814" s="207"/>
      <c r="J814" s="364"/>
      <c r="K814" s="207"/>
      <c r="L814" s="207"/>
      <c r="M814" s="365"/>
      <c r="N814" s="365"/>
      <c r="O814" s="366"/>
      <c r="P814" s="357"/>
      <c r="Q814" s="367"/>
      <c r="R814" s="278"/>
      <c r="S814" s="278"/>
      <c r="T814" s="368"/>
      <c r="U814" s="278"/>
      <c r="V814" s="363"/>
      <c r="W814" s="363"/>
      <c r="X814" s="363"/>
      <c r="Y814" s="363"/>
      <c r="Z814" s="357"/>
      <c r="AA814" s="207"/>
      <c r="AB814" s="369"/>
      <c r="AC814" s="370"/>
      <c r="AD814" s="332"/>
      <c r="AE814" s="371"/>
      <c r="AF814" s="372"/>
      <c r="AG814" s="366"/>
      <c r="AH814" s="333"/>
      <c r="AI814" s="333"/>
      <c r="AJ814" s="333"/>
      <c r="AK814" s="333"/>
      <c r="AL814" s="334"/>
      <c r="AM814" s="334"/>
      <c r="AN814" s="334"/>
      <c r="AO814" s="334"/>
      <c r="AP814" s="334"/>
      <c r="AQ814" s="335"/>
      <c r="AR814" s="336"/>
    </row>
    <row r="815" spans="1:44" s="337" customFormat="1" ht="30.75" hidden="1" customHeight="1" x14ac:dyDescent="0.2">
      <c r="A815" s="320"/>
      <c r="B815" s="321"/>
      <c r="C815" s="322"/>
      <c r="D815" s="279">
        <v>3723627</v>
      </c>
      <c r="E815" s="279">
        <v>4151470</v>
      </c>
      <c r="F815" s="362" t="str">
        <f>IF(D815="","",VLOOKUP(D815,[2]契約台帳!$A$3:$K$4999,6,FALSE)&amp;VLOOKUP(D815,[2]契約台帳!$A$3:$K$4999,7,FALSE)&amp;VLOOKUP(D815,[2]契約台帳!$A$3:$K$4999,8,FALSE)&amp;VLOOKUP(D815,[2]契約台帳!$A$3:$K$4999,9,FALSE)&amp;VLOOKUP(D815,[2]契約台帳!$A$3:$K$4999,11,FALSE))</f>
        <v>3SNMLBMNGKKBF</v>
      </c>
      <c r="G815" s="363" t="str">
        <f>IF(D815="","",VLOOKUP(F815,[2]製品マスタ!$G$5:$H$5000,2,FALSE))</f>
        <v>S</v>
      </c>
      <c r="H815" s="363" t="str">
        <f>IF(D815="","",VLOOKUP(F815,[2]製品マスタ!$G$5:$K$5000,5,FALSE))</f>
        <v>MNGKKBF</v>
      </c>
      <c r="I815" s="207" t="str">
        <f>IF(D815="","",VLOOKUP(F815,[2]製品マスタ!$G$5:$L$5000,6,FALSE))</f>
        <v>メタルミー　ネーマー銀消改　Ｂ</v>
      </c>
      <c r="J815" s="373" t="s">
        <v>447</v>
      </c>
      <c r="K815" s="207">
        <f>IF(D815="","",VLOOKUP(D815,[2]契約台帳!$A$3:$L$4999,12,FALSE))</f>
        <v>25</v>
      </c>
      <c r="L815" s="207" t="str">
        <f>IF(D815="","",INDEX([2]製品マスタ!$Q$5:$Q$5000,MATCH(F815&amp;K815,[2]製品マスタ!$AO$5:$AO$5000,0)))</f>
        <v>FMATS99</v>
      </c>
      <c r="M815" s="326">
        <v>1120</v>
      </c>
      <c r="N815" s="326">
        <v>8000</v>
      </c>
      <c r="O815" s="175">
        <v>2</v>
      </c>
      <c r="P815" s="329"/>
      <c r="Q815" s="367">
        <f>IF(D815="","",IF(J815="リード付け",M815,VLOOKUP(D815,[2]契約台帳!$A$3:$N$4999,14,FALSE)))</f>
        <v>1120</v>
      </c>
      <c r="R815" s="278">
        <f>IF(D815="","",IF(J815="リード付け",M815,VLOOKUP(D815,[2]契約台帳!$A$3:$O$4999,15,FALSE)))</f>
        <v>1120</v>
      </c>
      <c r="S815" s="278">
        <f>IF(D815="","",IF(J815="リード付け",N815,VLOOKUP(D815,契約台帳!$A$3:$P$4986,16,FALSE)))</f>
        <v>4000</v>
      </c>
      <c r="T815" s="183">
        <v>4</v>
      </c>
      <c r="U815" s="278">
        <f ca="1">IF(D815="","",IF(OFFSET(D815,-2,0)=D815,"",VLOOKUP(D815,契約台帳!$A$3:$R$4986,18,FALSE)))</f>
        <v>4</v>
      </c>
      <c r="V815" s="363" t="str">
        <f>IF(J815="巻返し",VLOOKUP(F815&amp;K815&amp;M815,[2]製品マスタ!$M$5:$AD$5000,18,FALSE),IF(J815="リード付け","原反コア",IF(J815="スリット",VLOOKUP(F815&amp;K815&amp;Q815,[2]製品マスタ!$N$5:$AD$5000,17,FALSE),"")))</f>
        <v>6ｲﾝﾁSｺｱ</v>
      </c>
      <c r="W815" s="363">
        <f>IF(J815="巻返し",VLOOKUP(F815&amp;K815&amp;M815,[2]製品マスタ!$M$5:$AE$5000,19,FALSE),IF(J815="リード付け","-",IF(J815="スリット",VLOOKUP(F815&amp;K815&amp;Q815,[2]製品マスタ!$N$5:$AE$5000,18,FALSE),"")))</f>
        <v>1125</v>
      </c>
      <c r="X815" s="363">
        <f>IF(D815="","",VLOOKUP(D815,[2]契約台帳!$A$3:$Q$4999,17,FALSE))</f>
        <v>2</v>
      </c>
      <c r="Y815" s="363" t="str">
        <f>IF(D815="","",VLOOKUP(D815,[2]契約台帳!$A$3:$E$4999,5,FALSE))</f>
        <v>リンテック㈱</v>
      </c>
      <c r="Z815" s="329">
        <v>45196</v>
      </c>
      <c r="AA815" s="207">
        <f>IFERROR(VLOOKUP(F815&amp;K815&amp;M815,製品マスタ!$M$5:$AM$5002,27,FALSE),"")</f>
        <v>0</v>
      </c>
      <c r="AB815" s="330"/>
      <c r="AC815" s="331"/>
      <c r="AD815" s="332" t="str">
        <f>IF(F815="","",+F815&amp;K815)</f>
        <v>3SNMLBMNGKKBF25</v>
      </c>
      <c r="AE815" s="216">
        <f>+M815*N815*O815/1000</f>
        <v>17920</v>
      </c>
      <c r="AF815" s="43">
        <f>IF(AD815="","",VLOOKUP(AD815,原価マスタ!$A$2:$AJ$1693,13,FALSE))</f>
        <v>96</v>
      </c>
      <c r="AG815" s="47">
        <f>IF(AF815="","",+AE815*AF815/100)</f>
        <v>17203.2</v>
      </c>
      <c r="AH815" s="333"/>
      <c r="AI815" s="333"/>
      <c r="AJ815" s="333"/>
      <c r="AK815" s="333"/>
      <c r="AL815" s="334"/>
      <c r="AM815" s="334"/>
      <c r="AN815" s="334"/>
      <c r="AO815" s="334"/>
      <c r="AP815" s="334"/>
      <c r="AQ815" s="335"/>
      <c r="AR815" s="336"/>
    </row>
    <row r="816" spans="1:44" s="337" customFormat="1" ht="30.95" hidden="1" customHeight="1" x14ac:dyDescent="0.2">
      <c r="A816" s="358"/>
      <c r="B816" s="359"/>
      <c r="C816" s="360"/>
      <c r="D816" s="361"/>
      <c r="E816" s="361"/>
      <c r="F816" s="362"/>
      <c r="G816" s="363"/>
      <c r="H816" s="363"/>
      <c r="I816" s="207"/>
      <c r="J816" s="364"/>
      <c r="K816" s="207"/>
      <c r="L816" s="207"/>
      <c r="M816" s="365"/>
      <c r="N816" s="365"/>
      <c r="O816" s="366"/>
      <c r="P816" s="357"/>
      <c r="Q816" s="367"/>
      <c r="R816" s="278"/>
      <c r="S816" s="278"/>
      <c r="T816" s="368"/>
      <c r="U816" s="278"/>
      <c r="V816" s="363"/>
      <c r="W816" s="363"/>
      <c r="X816" s="363"/>
      <c r="Y816" s="363"/>
      <c r="Z816" s="357"/>
      <c r="AA816" s="207"/>
      <c r="AB816" s="369"/>
      <c r="AC816" s="370"/>
      <c r="AD816" s="332"/>
      <c r="AE816" s="371"/>
      <c r="AF816" s="372"/>
      <c r="AG816" s="366"/>
      <c r="AH816" s="333"/>
      <c r="AI816" s="333"/>
      <c r="AJ816" s="333"/>
      <c r="AK816" s="333"/>
      <c r="AL816" s="334"/>
      <c r="AM816" s="334"/>
      <c r="AN816" s="334"/>
      <c r="AO816" s="334"/>
      <c r="AP816" s="334"/>
      <c r="AQ816" s="335"/>
      <c r="AR816" s="336"/>
    </row>
    <row r="817" spans="1:44" s="337" customFormat="1" ht="30.75" hidden="1" customHeight="1" x14ac:dyDescent="0.2">
      <c r="A817" s="320" t="s">
        <v>570</v>
      </c>
      <c r="B817" s="321" t="s">
        <v>444</v>
      </c>
      <c r="C817" s="322"/>
      <c r="D817" s="279">
        <v>3723630</v>
      </c>
      <c r="E817" s="279">
        <v>4151452</v>
      </c>
      <c r="F817" s="362" t="str">
        <f>IF(D817="","",VLOOKUP(D817,[2]契約台帳!$A$3:$K$4999,6,FALSE)&amp;VLOOKUP(D817,[2]契約台帳!$A$3:$K$4999,7,FALSE)&amp;VLOOKUP(D817,[2]契約台帳!$A$3:$K$4999,8,FALSE)&amp;VLOOKUP(D817,[2]契約台帳!$A$3:$K$4999,9,FALSE)&amp;VLOOKUP(D817,[2]契約台帳!$A$3:$K$4999,11,FALSE))</f>
        <v>3SNMLBMNGKKBF</v>
      </c>
      <c r="G817" s="363" t="str">
        <f>IF(D817="","",VLOOKUP(F817,[2]製品マスタ!$G$5:$H$5000,2,FALSE))</f>
        <v>S</v>
      </c>
      <c r="H817" s="363" t="str">
        <f>IF(D817="","",VLOOKUP(F817,[2]製品マスタ!$G$5:$K$5000,5,FALSE))</f>
        <v>MNGKKBF</v>
      </c>
      <c r="I817" s="207" t="str">
        <f>IF(D817="","",VLOOKUP(F817,[2]製品マスタ!$G$5:$L$5000,6,FALSE))</f>
        <v>メタルミー　ネーマー銀消改　Ｂ</v>
      </c>
      <c r="J817" s="373" t="s">
        <v>447</v>
      </c>
      <c r="K817" s="207">
        <f>IF(D817="","",VLOOKUP(D817,[2]契約台帳!$A$3:$L$4999,12,FALSE))</f>
        <v>50</v>
      </c>
      <c r="L817" s="207" t="str">
        <f>IF(D817="","",INDEX([2]製品マスタ!$Q$5:$Q$5000,MATCH(F817&amp;K817,[2]製品マスタ!$AO$5:$AO$5000,0)))</f>
        <v>S99-MAT</v>
      </c>
      <c r="M817" s="326">
        <v>1120</v>
      </c>
      <c r="N817" s="326">
        <v>12000</v>
      </c>
      <c r="O817" s="175">
        <v>1</v>
      </c>
      <c r="P817" s="329"/>
      <c r="Q817" s="367">
        <f>IF(D817="","",IF(J817="リード付け",M817,VLOOKUP(D817,[2]契約台帳!$A$3:$N$4999,14,FALSE)))</f>
        <v>1120</v>
      </c>
      <c r="R817" s="278">
        <f>IF(D817="","",IF(J817="リード付け",M817,VLOOKUP(D817,[2]契約台帳!$A$3:$O$4999,15,FALSE)))</f>
        <v>1120</v>
      </c>
      <c r="S817" s="278">
        <f>IF(D817="","",IF(J817="リード付け",N817,VLOOKUP(D817,契約台帳!$A$3:$P$4986,16,FALSE)))</f>
        <v>4000</v>
      </c>
      <c r="T817" s="183">
        <v>3</v>
      </c>
      <c r="U817" s="278">
        <f ca="1">IF(D817="","",IF(OFFSET(D817,-2,0)=D817,"",VLOOKUP(D817,契約台帳!$A$3:$R$4986,18,FALSE)))</f>
        <v>9</v>
      </c>
      <c r="V817" s="363" t="str">
        <f>IF(J817="巻返し",VLOOKUP(F817&amp;K817&amp;M817,[2]製品マスタ!$M$5:$AD$5000,18,FALSE),IF(J817="リード付け","原反コア",IF(J817="スリット",VLOOKUP(F817&amp;K817&amp;Q817,[2]製品マスタ!$N$5:$AD$5000,17,FALSE),"")))</f>
        <v>6ｲﾝﾁSｺｱ</v>
      </c>
      <c r="W817" s="363">
        <f>IF(J817="巻返し",VLOOKUP(F817&amp;K817&amp;M817,[2]製品マスタ!$M$5:$AE$5000,19,FALSE),IF(J817="リード付け","-",IF(J817="スリット",VLOOKUP(F817&amp;K817&amp;Q817,[2]製品マスタ!$N$5:$AE$5000,18,FALSE),"")))</f>
        <v>1125</v>
      </c>
      <c r="X817" s="363">
        <f>IF(D817="","",VLOOKUP(D817,[2]契約台帳!$A$3:$Q$4999,17,FALSE))</f>
        <v>2</v>
      </c>
      <c r="Y817" s="363" t="str">
        <f>IF(D817="","",VLOOKUP(D817,[2]契約台帳!$A$3:$E$4999,5,FALSE))</f>
        <v>リンテック㈱</v>
      </c>
      <c r="Z817" s="329">
        <v>45196</v>
      </c>
      <c r="AA817" s="207">
        <f>IFERROR(VLOOKUP(F817&amp;K817&amp;M817,製品マスタ!$M$5:$AM$5002,27,FALSE),"")</f>
        <v>0</v>
      </c>
      <c r="AB817" s="330"/>
      <c r="AC817" s="331"/>
      <c r="AD817" s="332" t="str">
        <f>IF(F817="","",+F817&amp;K817)</f>
        <v>3SNMLBMNGKKBF50</v>
      </c>
      <c r="AE817" s="216">
        <f>+M817*N817*O817/1000</f>
        <v>13440</v>
      </c>
      <c r="AF817" s="43">
        <f>IF(AD817="","",VLOOKUP(AD817,原価マスタ!$A$2:$AJ$1693,13,FALSE))</f>
        <v>99</v>
      </c>
      <c r="AG817" s="47">
        <f>IF(AF817="","",+AE817*AF817/100)</f>
        <v>13305.6</v>
      </c>
      <c r="AH817" s="333"/>
      <c r="AI817" s="333"/>
      <c r="AJ817" s="333"/>
      <c r="AK817" s="333"/>
      <c r="AL817" s="334"/>
      <c r="AM817" s="334"/>
      <c r="AN817" s="334"/>
      <c r="AO817" s="334"/>
      <c r="AP817" s="334"/>
      <c r="AQ817" s="335"/>
      <c r="AR817" s="336"/>
    </row>
    <row r="818" spans="1:44" s="337" customFormat="1" ht="30.95" hidden="1" customHeight="1" x14ac:dyDescent="0.2">
      <c r="A818" s="358"/>
      <c r="B818" s="359"/>
      <c r="C818" s="360"/>
      <c r="D818" s="361"/>
      <c r="E818" s="361"/>
      <c r="F818" s="362"/>
      <c r="G818" s="363"/>
      <c r="H818" s="363"/>
      <c r="I818" s="207"/>
      <c r="J818" s="364"/>
      <c r="K818" s="207"/>
      <c r="L818" s="207"/>
      <c r="M818" s="365"/>
      <c r="N818" s="365"/>
      <c r="O818" s="366"/>
      <c r="P818" s="357"/>
      <c r="Q818" s="367"/>
      <c r="R818" s="278"/>
      <c r="S818" s="278"/>
      <c r="T818" s="368"/>
      <c r="U818" s="278"/>
      <c r="V818" s="363"/>
      <c r="W818" s="363"/>
      <c r="X818" s="363"/>
      <c r="Y818" s="363"/>
      <c r="Z818" s="357"/>
      <c r="AA818" s="207"/>
      <c r="AB818" s="369"/>
      <c r="AC818" s="370"/>
      <c r="AD818" s="332"/>
      <c r="AE818" s="371"/>
      <c r="AF818" s="372"/>
      <c r="AG818" s="366"/>
      <c r="AH818" s="333"/>
      <c r="AI818" s="333"/>
      <c r="AJ818" s="333"/>
      <c r="AK818" s="333"/>
      <c r="AL818" s="334"/>
      <c r="AM818" s="334"/>
      <c r="AN818" s="334"/>
      <c r="AO818" s="334"/>
      <c r="AP818" s="334"/>
      <c r="AQ818" s="335"/>
      <c r="AR818" s="336"/>
    </row>
    <row r="819" spans="1:44" s="337" customFormat="1" ht="30.75" hidden="1" customHeight="1" x14ac:dyDescent="0.2">
      <c r="A819" s="320"/>
      <c r="B819" s="321"/>
      <c r="C819" s="322"/>
      <c r="D819" s="279">
        <v>3723631</v>
      </c>
      <c r="E819" s="279">
        <v>4151447</v>
      </c>
      <c r="F819" s="362" t="str">
        <f>IF(D819="","",VLOOKUP(D819,[2]契約台帳!$A$3:$K$4999,6,FALSE)&amp;VLOOKUP(D819,[2]契約台帳!$A$3:$K$4999,7,FALSE)&amp;VLOOKUP(D819,[2]契約台帳!$A$3:$K$4999,8,FALSE)&amp;VLOOKUP(D819,[2]契約台帳!$A$3:$K$4999,9,FALSE)&amp;VLOOKUP(D819,[2]契約台帳!$A$3:$K$4999,11,FALSE))</f>
        <v>3SNMLBMNGKBF</v>
      </c>
      <c r="G819" s="363" t="str">
        <f>IF(D819="","",VLOOKUP(F819,[2]製品マスタ!$G$5:$H$5000,2,FALSE))</f>
        <v>S</v>
      </c>
      <c r="H819" s="363" t="str">
        <f>IF(D819="","",VLOOKUP(F819,[2]製品マスタ!$G$5:$K$5000,5,FALSE))</f>
        <v>MNGKBF</v>
      </c>
      <c r="I819" s="207" t="str">
        <f>IF(D819="","",VLOOKUP(F819,[2]製品マスタ!$G$5:$L$5000,6,FALSE))</f>
        <v>メタルミー　ネーマー銀消　Ｂ</v>
      </c>
      <c r="J819" s="373" t="s">
        <v>447</v>
      </c>
      <c r="K819" s="207">
        <f>IF(D819="","",VLOOKUP(D819,[2]契約台帳!$A$3:$L$4999,12,FALSE))</f>
        <v>38</v>
      </c>
      <c r="L819" s="207" t="str">
        <f>IF(D819="","",INDEX([2]製品マスタ!$Q$5:$Q$5000,MATCH(F819&amp;K819,[2]製品マスタ!$AO$5:$AO$5000,0)))</f>
        <v>LUMIMAT</v>
      </c>
      <c r="M819" s="326">
        <v>1005</v>
      </c>
      <c r="N819" s="326">
        <v>8200</v>
      </c>
      <c r="O819" s="175">
        <v>1</v>
      </c>
      <c r="P819" s="329"/>
      <c r="Q819" s="367">
        <f>IF(D819="","",IF(J819="リード付け",M819,VLOOKUP(D819,[2]契約台帳!$A$3:$N$4999,14,FALSE)))</f>
        <v>1005</v>
      </c>
      <c r="R819" s="278">
        <f>IF(D819="","",IF(J819="リード付け",M819,VLOOKUP(D819,[2]契約台帳!$A$3:$O$4999,15,FALSE)))</f>
        <v>1000</v>
      </c>
      <c r="S819" s="278">
        <f>IF(D819="","",IF(J819="リード付け",N819,VLOOKUP(D819,契約台帳!$A$3:$P$4986,16,FALSE)))</f>
        <v>4100</v>
      </c>
      <c r="T819" s="183">
        <v>2</v>
      </c>
      <c r="U819" s="278">
        <f ca="1">IF(D819="","",IF(OFFSET(D819,-2,0)=D819,"",VLOOKUP(D819,契約台帳!$A$3:$R$4986,18,FALSE)))</f>
        <v>2</v>
      </c>
      <c r="V819" s="363" t="str">
        <f>IF(J819="巻返し",VLOOKUP(F819&amp;K819&amp;M819,[2]製品マスタ!$M$5:$AD$5000,18,FALSE),IF(J819="リード付け","原反コア",IF(J819="スリット",VLOOKUP(F819&amp;K819&amp;Q819,[2]製品マスタ!$N$5:$AD$5000,17,FALSE),"")))</f>
        <v>6ｲﾝﾁSｺｱ</v>
      </c>
      <c r="W819" s="363">
        <f>IF(J819="巻返し",VLOOKUP(F819&amp;K819&amp;M819,[2]製品マスタ!$M$5:$AE$5000,19,FALSE),IF(J819="リード付け","-",IF(J819="スリット",VLOOKUP(F819&amp;K819&amp;Q819,[2]製品マスタ!$N$5:$AE$5000,18,FALSE),"")))</f>
        <v>1015</v>
      </c>
      <c r="X819" s="363">
        <f>IF(D819="","",VLOOKUP(D819,[2]契約台帳!$A$3:$Q$4999,17,FALSE))</f>
        <v>2</v>
      </c>
      <c r="Y819" s="363" t="str">
        <f>IF(D819="","",VLOOKUP(D819,[2]契約台帳!$A$3:$E$4999,5,FALSE))</f>
        <v>リンテック㈱</v>
      </c>
      <c r="Z819" s="329">
        <v>45197</v>
      </c>
      <c r="AA819" s="207">
        <f>IFERROR(VLOOKUP(F819&amp;K819&amp;M819,製品マスタ!$M$5:$AM$5002,27,FALSE),"")</f>
        <v>0</v>
      </c>
      <c r="AB819" s="330"/>
      <c r="AC819" s="331"/>
      <c r="AD819" s="332" t="str">
        <f>IF(F819="","",+F819&amp;K819)</f>
        <v>3SNMLBMNGKBF38</v>
      </c>
      <c r="AE819" s="216">
        <f>+M819*N819*O819/1000</f>
        <v>8241</v>
      </c>
      <c r="AF819" s="43">
        <f>IF(AD819="","",VLOOKUP(AD819,原価マスタ!$A$2:$AJ$1693,13,FALSE))</f>
        <v>97.2</v>
      </c>
      <c r="AG819" s="47">
        <f>IF(AF819="","",+AE819*AF819/100)</f>
        <v>8010.2520000000004</v>
      </c>
      <c r="AH819" s="333"/>
      <c r="AI819" s="333"/>
      <c r="AJ819" s="333"/>
      <c r="AK819" s="333"/>
      <c r="AL819" s="334"/>
      <c r="AM819" s="334"/>
      <c r="AN819" s="334"/>
      <c r="AO819" s="334"/>
      <c r="AP819" s="334"/>
      <c r="AQ819" s="335"/>
      <c r="AR819" s="336"/>
    </row>
    <row r="820" spans="1:44" s="337" customFormat="1" ht="30.95" hidden="1" customHeight="1" x14ac:dyDescent="0.2">
      <c r="A820" s="358"/>
      <c r="B820" s="359"/>
      <c r="C820" s="360"/>
      <c r="D820" s="361"/>
      <c r="E820" s="361"/>
      <c r="F820" s="362"/>
      <c r="G820" s="363"/>
      <c r="H820" s="363"/>
      <c r="I820" s="207"/>
      <c r="J820" s="364"/>
      <c r="K820" s="207"/>
      <c r="L820" s="207"/>
      <c r="M820" s="365"/>
      <c r="N820" s="365"/>
      <c r="O820" s="366"/>
      <c r="P820" s="357"/>
      <c r="Q820" s="367"/>
      <c r="R820" s="278"/>
      <c r="S820" s="278"/>
      <c r="T820" s="368"/>
      <c r="U820" s="278"/>
      <c r="V820" s="363"/>
      <c r="W820" s="363"/>
      <c r="X820" s="363"/>
      <c r="Y820" s="363"/>
      <c r="Z820" s="357"/>
      <c r="AA820" s="207"/>
      <c r="AB820" s="369"/>
      <c r="AC820" s="370"/>
      <c r="AD820" s="332"/>
      <c r="AE820" s="371"/>
      <c r="AF820" s="372"/>
      <c r="AG820" s="366"/>
      <c r="AH820" s="333"/>
      <c r="AI820" s="333"/>
      <c r="AJ820" s="333"/>
      <c r="AK820" s="333"/>
      <c r="AL820" s="334"/>
      <c r="AM820" s="334"/>
      <c r="AN820" s="334"/>
      <c r="AO820" s="334"/>
      <c r="AP820" s="334"/>
      <c r="AQ820" s="335"/>
      <c r="AR820" s="336"/>
    </row>
    <row r="821" spans="1:44" s="337" customFormat="1" ht="30.75" hidden="1" customHeight="1" x14ac:dyDescent="0.2">
      <c r="A821" s="320"/>
      <c r="B821" s="321"/>
      <c r="C821" s="322"/>
      <c r="D821" s="279">
        <v>3723638</v>
      </c>
      <c r="E821" s="279">
        <v>4151464</v>
      </c>
      <c r="F821" s="362" t="str">
        <f>IF(D821="","",VLOOKUP(D821,[2]契約台帳!$A$3:$K$4999,6,FALSE)&amp;VLOOKUP(D821,[2]契約台帳!$A$3:$K$4999,7,FALSE)&amp;VLOOKUP(D821,[2]契約台帳!$A$3:$K$4999,8,FALSE)&amp;VLOOKUP(D821,[2]契約台帳!$A$3:$K$4999,9,FALSE)&amp;VLOOKUP(D821,[2]契約台帳!$A$3:$K$4999,11,FALSE))</f>
        <v>3SNMLBMNNGKBF</v>
      </c>
      <c r="G821" s="363" t="str">
        <f>IF(D821="","",VLOOKUP(F821,[2]製品マスタ!$G$5:$H$5000,2,FALSE))</f>
        <v>S</v>
      </c>
      <c r="H821" s="363" t="str">
        <f>IF(D821="","",VLOOKUP(F821,[2]製品マスタ!$G$5:$K$5000,5,FALSE))</f>
        <v>MNNGKBF</v>
      </c>
      <c r="I821" s="207" t="str">
        <f>IF(D821="","",VLOOKUP(F821,[2]製品マスタ!$G$5:$L$5000,6,FALSE))</f>
        <v>メタルミー　ニューネーマー銀消　Ｂ</v>
      </c>
      <c r="J821" s="373" t="s">
        <v>447</v>
      </c>
      <c r="K821" s="207">
        <f>IF(D821="","",VLOOKUP(D821,[2]契約台帳!$A$3:$L$4999,12,FALSE))</f>
        <v>25</v>
      </c>
      <c r="L821" s="207" t="str">
        <f>IF(D821="","",INDEX([2]製品マスタ!$Q$5:$Q$5000,MATCH(F821&amp;K821,[2]製品マスタ!$AO$5:$AO$5000,0)))</f>
        <v>X44C</v>
      </c>
      <c r="M821" s="326">
        <v>1005</v>
      </c>
      <c r="N821" s="326">
        <v>16000</v>
      </c>
      <c r="O821" s="175">
        <v>1</v>
      </c>
      <c r="P821" s="329"/>
      <c r="Q821" s="367">
        <f>IF(D821="","",IF(J821="リード付け",M821,VLOOKUP(D821,[2]契約台帳!$A$3:$N$4999,14,FALSE)))</f>
        <v>1005</v>
      </c>
      <c r="R821" s="278">
        <f>IF(D821="","",IF(J821="リード付け",M821,VLOOKUP(D821,[2]契約台帳!$A$3:$O$4999,15,FALSE)))</f>
        <v>1000</v>
      </c>
      <c r="S821" s="278">
        <f>IF(D821="","",IF(J821="リード付け",N821,VLOOKUP(D821,契約台帳!$A$3:$P$4986,16,FALSE)))</f>
        <v>4000</v>
      </c>
      <c r="T821" s="183">
        <v>4</v>
      </c>
      <c r="U821" s="278">
        <f ca="1">IF(D821="","",IF(OFFSET(D821,-2,0)=D821,"",VLOOKUP(D821,契約台帳!$A$3:$R$4986,18,FALSE)))</f>
        <v>8</v>
      </c>
      <c r="V821" s="363" t="str">
        <f>IF(J821="巻返し",VLOOKUP(F821&amp;K821&amp;M821,[2]製品マスタ!$M$5:$AD$5000,18,FALSE),IF(J821="リード付け","原反コア",IF(J821="スリット",VLOOKUP(F821&amp;K821&amp;Q821,[2]製品マスタ!$N$5:$AD$5000,17,FALSE),"")))</f>
        <v>6ｲﾝﾁSｺｱ</v>
      </c>
      <c r="W821" s="363">
        <f>IF(J821="巻返し",VLOOKUP(F821&amp;K821&amp;M821,[2]製品マスタ!$M$5:$AE$5000,19,FALSE),IF(J821="リード付け","-",IF(J821="スリット",VLOOKUP(F821&amp;K821&amp;Q821,[2]製品マスタ!$N$5:$AE$5000,18,FALSE),"")))</f>
        <v>1015</v>
      </c>
      <c r="X821" s="363">
        <f>IF(D821="","",VLOOKUP(D821,[2]契約台帳!$A$3:$Q$4999,17,FALSE))</f>
        <v>2</v>
      </c>
      <c r="Y821" s="363" t="str">
        <f>IF(D821="","",VLOOKUP(D821,[2]契約台帳!$A$3:$E$4999,5,FALSE))</f>
        <v>リンテック㈱</v>
      </c>
      <c r="Z821" s="329">
        <v>45197</v>
      </c>
      <c r="AA821" s="207">
        <f>IFERROR(VLOOKUP(F821&amp;K821&amp;M821,製品マスタ!$M$5:$AM$5002,27,FALSE),"")</f>
        <v>0</v>
      </c>
      <c r="AB821" s="330"/>
      <c r="AC821" s="331"/>
      <c r="AD821" s="332" t="str">
        <f>IF(F821="","",+F821&amp;K821)</f>
        <v>3SNMLBMNNGKBF25</v>
      </c>
      <c r="AE821" s="216">
        <f>+M821*N821*O821/1000</f>
        <v>16080</v>
      </c>
      <c r="AF821" s="43">
        <f>IF(AD821="","",VLOOKUP(AD821,原価マスタ!$A$2:$AJ$1693,13,FALSE))</f>
        <v>98.3</v>
      </c>
      <c r="AG821" s="47">
        <f>IF(AF821="","",+AE821*AF821/100)</f>
        <v>15806.64</v>
      </c>
      <c r="AH821" s="333"/>
      <c r="AI821" s="333"/>
      <c r="AJ821" s="333"/>
      <c r="AK821" s="333"/>
      <c r="AL821" s="334"/>
      <c r="AM821" s="334"/>
      <c r="AN821" s="334"/>
      <c r="AO821" s="334"/>
      <c r="AP821" s="334"/>
      <c r="AQ821" s="335"/>
      <c r="AR821" s="336"/>
    </row>
    <row r="822" spans="1:44" s="337" customFormat="1" ht="30.95" hidden="1" customHeight="1" x14ac:dyDescent="0.2">
      <c r="A822" s="358"/>
      <c r="B822" s="359"/>
      <c r="C822" s="360"/>
      <c r="D822" s="361"/>
      <c r="E822" s="361"/>
      <c r="F822" s="362"/>
      <c r="G822" s="363"/>
      <c r="H822" s="363"/>
      <c r="I822" s="207"/>
      <c r="J822" s="364"/>
      <c r="K822" s="207"/>
      <c r="L822" s="207"/>
      <c r="M822" s="365"/>
      <c r="N822" s="365"/>
      <c r="O822" s="366"/>
      <c r="P822" s="357"/>
      <c r="Q822" s="367"/>
      <c r="R822" s="278"/>
      <c r="S822" s="278"/>
      <c r="T822" s="368"/>
      <c r="U822" s="278"/>
      <c r="V822" s="363"/>
      <c r="W822" s="363"/>
      <c r="X822" s="363"/>
      <c r="Y822" s="363"/>
      <c r="Z822" s="357"/>
      <c r="AA822" s="207"/>
      <c r="AB822" s="369"/>
      <c r="AC822" s="370"/>
      <c r="AD822" s="332"/>
      <c r="AE822" s="371"/>
      <c r="AF822" s="372"/>
      <c r="AG822" s="366"/>
      <c r="AH822" s="333"/>
      <c r="AI822" s="333"/>
      <c r="AJ822" s="333"/>
      <c r="AK822" s="333"/>
      <c r="AL822" s="334"/>
      <c r="AM822" s="334"/>
      <c r="AN822" s="334"/>
      <c r="AO822" s="334"/>
      <c r="AP822" s="334"/>
      <c r="AQ822" s="335"/>
      <c r="AR822" s="336"/>
    </row>
    <row r="823" spans="1:44" s="337" customFormat="1" ht="30.75" hidden="1" customHeight="1" x14ac:dyDescent="0.2">
      <c r="A823" s="320"/>
      <c r="B823" s="321"/>
      <c r="C823" s="322"/>
      <c r="D823" s="279">
        <v>3723638</v>
      </c>
      <c r="E823" s="279">
        <v>4151464</v>
      </c>
      <c r="F823" s="362" t="str">
        <f>IF(D823="","",VLOOKUP(D823,[2]契約台帳!$A$3:$K$4999,6,FALSE)&amp;VLOOKUP(D823,[2]契約台帳!$A$3:$K$4999,7,FALSE)&amp;VLOOKUP(D823,[2]契約台帳!$A$3:$K$4999,8,FALSE)&amp;VLOOKUP(D823,[2]契約台帳!$A$3:$K$4999,9,FALSE)&amp;VLOOKUP(D823,[2]契約台帳!$A$3:$K$4999,11,FALSE))</f>
        <v>3SNMLBMNNGKBF</v>
      </c>
      <c r="G823" s="363" t="str">
        <f>IF(D823="","",VLOOKUP(F823,[2]製品マスタ!$G$5:$H$5000,2,FALSE))</f>
        <v>S</v>
      </c>
      <c r="H823" s="363" t="str">
        <f>IF(D823="","",VLOOKUP(F823,[2]製品マスタ!$G$5:$K$5000,5,FALSE))</f>
        <v>MNNGKBF</v>
      </c>
      <c r="I823" s="207" t="str">
        <f>IF(D823="","",VLOOKUP(F823,[2]製品マスタ!$G$5:$L$5000,6,FALSE))</f>
        <v>メタルミー　ニューネーマー銀消　Ｂ</v>
      </c>
      <c r="J823" s="373" t="s">
        <v>447</v>
      </c>
      <c r="K823" s="207">
        <f>IF(D823="","",VLOOKUP(D823,[2]契約台帳!$A$3:$L$4999,12,FALSE))</f>
        <v>25</v>
      </c>
      <c r="L823" s="207" t="str">
        <f>IF(D823="","",INDEX([2]製品マスタ!$Q$5:$Q$5000,MATCH(F823&amp;K823,[2]製品マスタ!$AO$5:$AO$5000,0)))</f>
        <v>X44C</v>
      </c>
      <c r="M823" s="326">
        <v>1005</v>
      </c>
      <c r="N823" s="326">
        <v>8000</v>
      </c>
      <c r="O823" s="175">
        <v>2</v>
      </c>
      <c r="P823" s="329"/>
      <c r="Q823" s="367">
        <f>IF(D823="","",IF(J823="リード付け",M823,VLOOKUP(D823,[2]契約台帳!$A$3:$N$4999,14,FALSE)))</f>
        <v>1005</v>
      </c>
      <c r="R823" s="278">
        <f>IF(D823="","",IF(J823="リード付け",M823,VLOOKUP(D823,[2]契約台帳!$A$3:$O$4999,15,FALSE)))</f>
        <v>1000</v>
      </c>
      <c r="S823" s="278">
        <f>IF(D823="","",IF(J823="リード付け",N823,VLOOKUP(D823,契約台帳!$A$3:$P$4986,16,FALSE)))</f>
        <v>4000</v>
      </c>
      <c r="T823" s="183">
        <v>4</v>
      </c>
      <c r="U823" s="278" t="str">
        <f ca="1">IF(D823="","",IF(OFFSET(D823,-2,0)=D823,"",VLOOKUP(D823,契約台帳!$A$3:$R$4986,18,FALSE)))</f>
        <v/>
      </c>
      <c r="V823" s="363" t="str">
        <f>IF(J823="巻返し",VLOOKUP(F823&amp;K823&amp;M823,[2]製品マスタ!$M$5:$AD$5000,18,FALSE),IF(J823="リード付け","原反コア",IF(J823="スリット",VLOOKUP(F823&amp;K823&amp;Q823,[2]製品マスタ!$N$5:$AD$5000,17,FALSE),"")))</f>
        <v>6ｲﾝﾁSｺｱ</v>
      </c>
      <c r="W823" s="363">
        <f>IF(J823="巻返し",VLOOKUP(F823&amp;K823&amp;M823,[2]製品マスタ!$M$5:$AE$5000,19,FALSE),IF(J823="リード付け","-",IF(J823="スリット",VLOOKUP(F823&amp;K823&amp;Q823,[2]製品マスタ!$N$5:$AE$5000,18,FALSE),"")))</f>
        <v>1015</v>
      </c>
      <c r="X823" s="363">
        <f>IF(D823="","",VLOOKUP(D823,[2]契約台帳!$A$3:$Q$4999,17,FALSE))</f>
        <v>2</v>
      </c>
      <c r="Y823" s="363" t="str">
        <f>IF(D823="","",VLOOKUP(D823,[2]契約台帳!$A$3:$E$4999,5,FALSE))</f>
        <v>リンテック㈱</v>
      </c>
      <c r="Z823" s="329">
        <v>45197</v>
      </c>
      <c r="AA823" s="207">
        <f>IFERROR(VLOOKUP(F823&amp;K823&amp;M823,製品マスタ!$M$5:$AM$5002,27,FALSE),"")</f>
        <v>0</v>
      </c>
      <c r="AB823" s="330"/>
      <c r="AC823" s="331"/>
      <c r="AD823" s="332" t="str">
        <f>IF(F823="","",+F823&amp;K823)</f>
        <v>3SNMLBMNNGKBF25</v>
      </c>
      <c r="AE823" s="216">
        <f>+M823*N823*O823/1000</f>
        <v>16080</v>
      </c>
      <c r="AF823" s="43">
        <f>IF(AD823="","",VLOOKUP(AD823,原価マスタ!$A$2:$AJ$1693,13,FALSE))</f>
        <v>98.3</v>
      </c>
      <c r="AG823" s="47">
        <f>IF(AF823="","",+AE823*AF823/100)</f>
        <v>15806.64</v>
      </c>
      <c r="AH823" s="333"/>
      <c r="AI823" s="333"/>
      <c r="AJ823" s="333"/>
      <c r="AK823" s="333"/>
      <c r="AL823" s="334"/>
      <c r="AM823" s="334"/>
      <c r="AN823" s="334"/>
      <c r="AO823" s="334"/>
      <c r="AP823" s="334"/>
      <c r="AQ823" s="335"/>
      <c r="AR823" s="336"/>
    </row>
    <row r="824" spans="1:44" s="337" customFormat="1" ht="30.95" hidden="1" customHeight="1" x14ac:dyDescent="0.2">
      <c r="A824" s="358"/>
      <c r="B824" s="359"/>
      <c r="C824" s="360"/>
      <c r="D824" s="361"/>
      <c r="E824" s="361"/>
      <c r="F824" s="362"/>
      <c r="G824" s="363"/>
      <c r="H824" s="363"/>
      <c r="I824" s="207"/>
      <c r="J824" s="364"/>
      <c r="K824" s="207"/>
      <c r="L824" s="207"/>
      <c r="M824" s="365"/>
      <c r="N824" s="365"/>
      <c r="O824" s="366"/>
      <c r="P824" s="357"/>
      <c r="Q824" s="367"/>
      <c r="R824" s="278"/>
      <c r="S824" s="278"/>
      <c r="T824" s="368"/>
      <c r="U824" s="278"/>
      <c r="V824" s="363"/>
      <c r="W824" s="363"/>
      <c r="X824" s="363"/>
      <c r="Y824" s="363"/>
      <c r="Z824" s="357"/>
      <c r="AA824" s="207"/>
      <c r="AB824" s="369"/>
      <c r="AC824" s="370"/>
      <c r="AD824" s="332"/>
      <c r="AE824" s="371"/>
      <c r="AF824" s="372"/>
      <c r="AG824" s="366"/>
      <c r="AH824" s="333"/>
      <c r="AI824" s="333"/>
      <c r="AJ824" s="333"/>
      <c r="AK824" s="333"/>
      <c r="AL824" s="334"/>
      <c r="AM824" s="334"/>
      <c r="AN824" s="334"/>
      <c r="AO824" s="334"/>
      <c r="AP824" s="334"/>
      <c r="AQ824" s="335"/>
      <c r="AR824" s="336"/>
    </row>
    <row r="825" spans="1:44" s="337" customFormat="1" ht="30.75" hidden="1" customHeight="1" x14ac:dyDescent="0.2">
      <c r="A825" s="320"/>
      <c r="B825" s="321"/>
      <c r="C825" s="322"/>
      <c r="D825" s="279">
        <v>3723639</v>
      </c>
      <c r="E825" s="279">
        <v>4151473</v>
      </c>
      <c r="F825" s="362" t="str">
        <f>IF(D825="","",VLOOKUP(D825,[2]契約台帳!$A$3:$K$4999,6,FALSE)&amp;VLOOKUP(D825,[2]契約台帳!$A$3:$K$4999,7,FALSE)&amp;VLOOKUP(D825,[2]契約台帳!$A$3:$K$4999,8,FALSE)&amp;VLOOKUP(D825,[2]契約台帳!$A$3:$K$4999,9,FALSE)&amp;VLOOKUP(D825,[2]契約台帳!$A$3:$K$4999,11,FALSE))</f>
        <v>3SNMLBMNNGKBF</v>
      </c>
      <c r="G825" s="363" t="str">
        <f>IF(D825="","",VLOOKUP(F825,[2]製品マスタ!$G$5:$H$5000,2,FALSE))</f>
        <v>S</v>
      </c>
      <c r="H825" s="363" t="str">
        <f>IF(D825="","",VLOOKUP(F825,[2]製品マスタ!$G$5:$K$5000,5,FALSE))</f>
        <v>MNNGKBF</v>
      </c>
      <c r="I825" s="207" t="str">
        <f>IF(D825="","",VLOOKUP(F825,[2]製品マスタ!$G$5:$L$5000,6,FALSE))</f>
        <v>メタルミー　ニューネーマー銀消　Ｂ</v>
      </c>
      <c r="J825" s="373" t="s">
        <v>447</v>
      </c>
      <c r="K825" s="207">
        <f>IF(D825="","",VLOOKUP(D825,[2]契約台帳!$A$3:$L$4999,12,FALSE))</f>
        <v>50</v>
      </c>
      <c r="L825" s="207" t="str">
        <f>IF(D825="","",INDEX([2]製品マスタ!$Q$5:$Q$5000,MATCH(F825&amp;K825,[2]製品マスタ!$AO$5:$AO$5000,0)))</f>
        <v>X44</v>
      </c>
      <c r="M825" s="326">
        <v>1000</v>
      </c>
      <c r="N825" s="326">
        <v>12000</v>
      </c>
      <c r="O825" s="175">
        <v>4</v>
      </c>
      <c r="P825" s="329"/>
      <c r="Q825" s="367">
        <f>IF(D825="","",IF(J825="リード付け",M825,VLOOKUP(D825,[2]契約台帳!$A$3:$N$4999,14,FALSE)))</f>
        <v>1000</v>
      </c>
      <c r="R825" s="278">
        <f>IF(D825="","",IF(J825="リード付け",M825,VLOOKUP(D825,[2]契約台帳!$A$3:$O$4999,15,FALSE)))</f>
        <v>1000</v>
      </c>
      <c r="S825" s="278">
        <f>IF(D825="","",IF(J825="リード付け",N825,VLOOKUP(D825,契約台帳!$A$3:$P$4986,16,FALSE)))</f>
        <v>4000</v>
      </c>
      <c r="T825" s="183">
        <v>12</v>
      </c>
      <c r="U825" s="278">
        <f ca="1">IF(D825="","",IF(OFFSET(D825,-2,0)=D825,"",VLOOKUP(D825,契約台帳!$A$3:$R$4986,18,FALSE)))</f>
        <v>12</v>
      </c>
      <c r="V825" s="363" t="str">
        <f>IF(J825="巻返し",VLOOKUP(F825&amp;K825&amp;M825,[2]製品マスタ!$M$5:$AD$5000,18,FALSE),IF(J825="リード付け","原反コア",IF(J825="スリット",VLOOKUP(F825&amp;K825&amp;Q825,[2]製品マスタ!$N$5:$AD$5000,17,FALSE),"")))</f>
        <v>6ｲﾝﾁSｺｱ</v>
      </c>
      <c r="W825" s="363">
        <f>IF(J825="巻返し",VLOOKUP(F825&amp;K825&amp;M825,[2]製品マスタ!$M$5:$AE$5000,19,FALSE),IF(J825="リード付け","-",IF(J825="スリット",VLOOKUP(F825&amp;K825&amp;Q825,[2]製品マスタ!$N$5:$AE$5000,18,FALSE),"")))</f>
        <v>1005</v>
      </c>
      <c r="X825" s="363">
        <f>IF(D825="","",VLOOKUP(D825,[2]契約台帳!$A$3:$Q$4999,17,FALSE))</f>
        <v>2</v>
      </c>
      <c r="Y825" s="363" t="str">
        <f>IF(D825="","",VLOOKUP(D825,[2]契約台帳!$A$3:$E$4999,5,FALSE))</f>
        <v>リンテック㈱</v>
      </c>
      <c r="Z825" s="329">
        <v>45197</v>
      </c>
      <c r="AA825" s="207" t="str">
        <f>IFERROR(VLOOKUP(F825&amp;K825&amp;M825,製品マスタ!$M$5:$AM$5002,27,FALSE),"")</f>
        <v>原反ケース再利用</v>
      </c>
      <c r="AB825" s="330"/>
      <c r="AC825" s="331"/>
      <c r="AD825" s="332" t="str">
        <f>IF(F825="","",+F825&amp;K825)</f>
        <v>3SNMLBMNNGKBF50</v>
      </c>
      <c r="AE825" s="216">
        <f>+M825*N825*O825/1000</f>
        <v>48000</v>
      </c>
      <c r="AF825" s="43">
        <f>IF(AD825="","",VLOOKUP(AD825,原価マスタ!$A$2:$AJ$1693,13,FALSE))</f>
        <v>99</v>
      </c>
      <c r="AG825" s="47">
        <f>IF(AF825="","",+AE825*AF825/100)</f>
        <v>47520</v>
      </c>
      <c r="AH825" s="333"/>
      <c r="AI825" s="333"/>
      <c r="AJ825" s="333"/>
      <c r="AK825" s="333"/>
      <c r="AL825" s="334"/>
      <c r="AM825" s="334"/>
      <c r="AN825" s="334"/>
      <c r="AO825" s="334"/>
      <c r="AP825" s="334"/>
      <c r="AQ825" s="335"/>
      <c r="AR825" s="336"/>
    </row>
    <row r="826" spans="1:44" s="337" customFormat="1" ht="30.95" hidden="1" customHeight="1" x14ac:dyDescent="0.2">
      <c r="A826" s="358"/>
      <c r="B826" s="359"/>
      <c r="C826" s="360"/>
      <c r="D826" s="361"/>
      <c r="E826" s="361"/>
      <c r="F826" s="362"/>
      <c r="G826" s="363"/>
      <c r="H826" s="363"/>
      <c r="I826" s="207"/>
      <c r="J826" s="364"/>
      <c r="K826" s="207"/>
      <c r="L826" s="207"/>
      <c r="M826" s="365"/>
      <c r="N826" s="365"/>
      <c r="O826" s="366"/>
      <c r="P826" s="357"/>
      <c r="Q826" s="367"/>
      <c r="R826" s="278"/>
      <c r="S826" s="278"/>
      <c r="T826" s="368"/>
      <c r="U826" s="278"/>
      <c r="V826" s="363"/>
      <c r="W826" s="363"/>
      <c r="X826" s="363"/>
      <c r="Y826" s="363"/>
      <c r="Z826" s="357"/>
      <c r="AA826" s="207"/>
      <c r="AB826" s="369"/>
      <c r="AC826" s="370"/>
      <c r="AD826" s="332"/>
      <c r="AE826" s="371"/>
      <c r="AF826" s="372"/>
      <c r="AG826" s="366"/>
      <c r="AH826" s="333"/>
      <c r="AI826" s="333"/>
      <c r="AJ826" s="333"/>
      <c r="AK826" s="333"/>
      <c r="AL826" s="334"/>
      <c r="AM826" s="334"/>
      <c r="AN826" s="334"/>
      <c r="AO826" s="334"/>
      <c r="AP826" s="334"/>
      <c r="AQ826" s="335"/>
      <c r="AR826" s="336"/>
    </row>
    <row r="827" spans="1:44" s="337" customFormat="1" ht="30.75" hidden="1" customHeight="1" x14ac:dyDescent="0.2">
      <c r="A827" s="320"/>
      <c r="B827" s="321"/>
      <c r="C827" s="322"/>
      <c r="D827" s="279">
        <v>3725014</v>
      </c>
      <c r="E827" s="279">
        <v>4151474</v>
      </c>
      <c r="F827" s="362" t="str">
        <f>IF(D827="","",VLOOKUP(D827,[2]契約台帳!$A$3:$K$4999,6,FALSE)&amp;VLOOKUP(D827,[2]契約台帳!$A$3:$K$4999,7,FALSE)&amp;VLOOKUP(D827,[2]契約台帳!$A$3:$K$4999,8,FALSE)&amp;VLOOKUP(D827,[2]契約台帳!$A$3:$K$4999,9,FALSE)&amp;VLOOKUP(D827,[2]契約台帳!$A$3:$K$4999,11,FALSE))</f>
        <v>3SNMLBMNNGKBF</v>
      </c>
      <c r="G827" s="363" t="str">
        <f>IF(D827="","",VLOOKUP(F827,[2]製品マスタ!$G$5:$H$5000,2,FALSE))</f>
        <v>S</v>
      </c>
      <c r="H827" s="363" t="str">
        <f>IF(D827="","",VLOOKUP(F827,[2]製品マスタ!$G$5:$K$5000,5,FALSE))</f>
        <v>MNNGKBF</v>
      </c>
      <c r="I827" s="207" t="str">
        <f>IF(D827="","",VLOOKUP(F827,[2]製品マスタ!$G$5:$L$5000,6,FALSE))</f>
        <v>メタルミー　ニューネーマー銀消　Ｂ</v>
      </c>
      <c r="J827" s="373" t="s">
        <v>447</v>
      </c>
      <c r="K827" s="207">
        <f>IF(D827="","",VLOOKUP(D827,[2]契約台帳!$A$3:$L$4999,12,FALSE))</f>
        <v>50</v>
      </c>
      <c r="L827" s="207" t="str">
        <f>IF(D827="","",INDEX([2]製品マスタ!$Q$5:$Q$5000,MATCH(F827&amp;K827,[2]製品マスタ!$AO$5:$AO$5000,0)))</f>
        <v>X44</v>
      </c>
      <c r="M827" s="326">
        <v>1000</v>
      </c>
      <c r="N827" s="326">
        <v>12000</v>
      </c>
      <c r="O827" s="175">
        <v>2</v>
      </c>
      <c r="P827" s="329"/>
      <c r="Q827" s="367">
        <f>IF(D827="","",IF(J827="リード付け",M827,VLOOKUP(D827,[2]契約台帳!$A$3:$N$4999,14,FALSE)))</f>
        <v>1000</v>
      </c>
      <c r="R827" s="278">
        <f>IF(D827="","",IF(J827="リード付け",M827,VLOOKUP(D827,[2]契約台帳!$A$3:$O$4999,15,FALSE)))</f>
        <v>1000</v>
      </c>
      <c r="S827" s="278">
        <f>IF(D827="","",IF(J827="リード付け",N827,VLOOKUP(D827,契約台帳!$A$3:$P$4986,16,FALSE)))</f>
        <v>4000</v>
      </c>
      <c r="T827" s="183">
        <v>6</v>
      </c>
      <c r="U827" s="278">
        <f ca="1">IF(D827="","",IF(OFFSET(D827,-2,0)=D827,"",VLOOKUP(D827,契約台帳!$A$3:$R$4986,18,FALSE)))</f>
        <v>6</v>
      </c>
      <c r="V827" s="363" t="str">
        <f>IF(J827="巻返し",VLOOKUP(F827&amp;K827&amp;M827,[2]製品マスタ!$M$5:$AD$5000,18,FALSE),IF(J827="リード付け","原反コア",IF(J827="スリット",VLOOKUP(F827&amp;K827&amp;Q827,[2]製品マスタ!$N$5:$AD$5000,17,FALSE),"")))</f>
        <v>6ｲﾝﾁSｺｱ</v>
      </c>
      <c r="W827" s="363">
        <f>IF(J827="巻返し",VLOOKUP(F827&amp;K827&amp;M827,[2]製品マスタ!$M$5:$AE$5000,19,FALSE),IF(J827="リード付け","-",IF(J827="スリット",VLOOKUP(F827&amp;K827&amp;Q827,[2]製品マスタ!$N$5:$AE$5000,18,FALSE),"")))</f>
        <v>1005</v>
      </c>
      <c r="X827" s="363">
        <f>IF(D827="","",VLOOKUP(D827,[2]契約台帳!$A$3:$Q$4999,17,FALSE))</f>
        <v>2</v>
      </c>
      <c r="Y827" s="363" t="str">
        <f>IF(D827="","",VLOOKUP(D827,[2]契約台帳!$A$3:$E$4999,5,FALSE))</f>
        <v>リンテック㈱</v>
      </c>
      <c r="Z827" s="329">
        <v>45198</v>
      </c>
      <c r="AA827" s="207" t="str">
        <f>IFERROR(VLOOKUP(F827&amp;K827&amp;M827,製品マスタ!$M$5:$AM$5002,27,FALSE),"")</f>
        <v>原反ケース再利用</v>
      </c>
      <c r="AB827" s="330"/>
      <c r="AC827" s="331"/>
      <c r="AD827" s="332" t="str">
        <f>IF(F827="","",+F827&amp;K827)</f>
        <v>3SNMLBMNNGKBF50</v>
      </c>
      <c r="AE827" s="216">
        <f>+M827*N827*O827/1000</f>
        <v>24000</v>
      </c>
      <c r="AF827" s="43">
        <f>IF(AD827="","",VLOOKUP(AD827,原価マスタ!$A$2:$AJ$1693,13,FALSE))</f>
        <v>99</v>
      </c>
      <c r="AG827" s="47">
        <f>IF(AF827="","",+AE827*AF827/100)</f>
        <v>23760</v>
      </c>
      <c r="AH827" s="333"/>
      <c r="AI827" s="333"/>
      <c r="AJ827" s="333"/>
      <c r="AK827" s="333"/>
      <c r="AL827" s="334"/>
      <c r="AM827" s="334"/>
      <c r="AN827" s="334"/>
      <c r="AO827" s="334"/>
      <c r="AP827" s="334"/>
      <c r="AQ827" s="335"/>
      <c r="AR827" s="336"/>
    </row>
    <row r="828" spans="1:44" s="337" customFormat="1" ht="30.95" hidden="1" customHeight="1" x14ac:dyDescent="0.2">
      <c r="A828" s="358"/>
      <c r="B828" s="359"/>
      <c r="C828" s="360"/>
      <c r="D828" s="361"/>
      <c r="E828" s="361"/>
      <c r="F828" s="362"/>
      <c r="G828" s="363"/>
      <c r="H828" s="363"/>
      <c r="I828" s="207"/>
      <c r="J828" s="364"/>
      <c r="K828" s="207"/>
      <c r="L828" s="207"/>
      <c r="M828" s="365"/>
      <c r="N828" s="365"/>
      <c r="O828" s="366"/>
      <c r="P828" s="357"/>
      <c r="Q828" s="367"/>
      <c r="R828" s="278"/>
      <c r="S828" s="278"/>
      <c r="T828" s="368"/>
      <c r="U828" s="278"/>
      <c r="V828" s="363"/>
      <c r="W828" s="363"/>
      <c r="X828" s="363"/>
      <c r="Y828" s="363"/>
      <c r="Z828" s="357"/>
      <c r="AA828" s="207"/>
      <c r="AB828" s="369"/>
      <c r="AC828" s="370"/>
      <c r="AD828" s="332"/>
      <c r="AE828" s="371"/>
      <c r="AF828" s="372"/>
      <c r="AG828" s="366"/>
      <c r="AH828" s="333"/>
      <c r="AI828" s="333"/>
      <c r="AJ828" s="333"/>
      <c r="AK828" s="333"/>
      <c r="AL828" s="334"/>
      <c r="AM828" s="334"/>
      <c r="AN828" s="334"/>
      <c r="AO828" s="334"/>
      <c r="AP828" s="334"/>
      <c r="AQ828" s="335"/>
      <c r="AR828" s="336"/>
    </row>
    <row r="829" spans="1:44" s="337" customFormat="1" ht="30.75" hidden="1" customHeight="1" x14ac:dyDescent="0.2">
      <c r="A829" s="320" t="s">
        <v>1607</v>
      </c>
      <c r="B829" s="321" t="s">
        <v>1608</v>
      </c>
      <c r="C829" s="322"/>
      <c r="D829" s="279">
        <v>3725012</v>
      </c>
      <c r="E829" s="279">
        <v>4151471</v>
      </c>
      <c r="F829" s="362" t="str">
        <f>IF(D829="","",VLOOKUP(D829,[2]契約台帳!$A$3:$K$4999,6,FALSE)&amp;VLOOKUP(D829,[2]契約台帳!$A$3:$K$4999,7,FALSE)&amp;VLOOKUP(D829,[2]契約台帳!$A$3:$K$4999,8,FALSE)&amp;VLOOKUP(D829,[2]契約台帳!$A$3:$K$4999,9,FALSE)&amp;VLOOKUP(D829,[2]契約台帳!$A$3:$K$4999,11,FALSE))</f>
        <v>3SNMLBMNGKKBF</v>
      </c>
      <c r="G829" s="363" t="str">
        <f>IF(D829="","",VLOOKUP(F829,[2]製品マスタ!$G$5:$H$5000,2,FALSE))</f>
        <v>S</v>
      </c>
      <c r="H829" s="363" t="str">
        <f>IF(D829="","",VLOOKUP(F829,[2]製品マスタ!$G$5:$K$5000,5,FALSE))</f>
        <v>MNGKKBF</v>
      </c>
      <c r="I829" s="207" t="str">
        <f>IF(D829="","",VLOOKUP(F829,[2]製品マスタ!$G$5:$L$5000,6,FALSE))</f>
        <v>メタルミー　ネーマー銀消改　Ｂ</v>
      </c>
      <c r="J829" s="373" t="s">
        <v>447</v>
      </c>
      <c r="K829" s="207">
        <f>IF(D829="","",VLOOKUP(D829,[2]契約台帳!$A$3:$L$4999,12,FALSE))</f>
        <v>25</v>
      </c>
      <c r="L829" s="207" t="str">
        <f>IF(D829="","",INDEX([2]製品マスタ!$Q$5:$Q$5000,MATCH(F829&amp;K829,[2]製品マスタ!$AO$5:$AO$5000,0)))</f>
        <v>FMATS99</v>
      </c>
      <c r="M829" s="326">
        <v>1120</v>
      </c>
      <c r="N829" s="326">
        <v>12000</v>
      </c>
      <c r="O829" s="175">
        <v>1</v>
      </c>
      <c r="P829" s="329"/>
      <c r="Q829" s="367">
        <f>IF(D829="","",IF(J829="リード付け",M829,VLOOKUP(D829,[2]契約台帳!$A$3:$N$4999,14,FALSE)))</f>
        <v>1120</v>
      </c>
      <c r="R829" s="278">
        <f>IF(D829="","",IF(J829="リード付け",M829,VLOOKUP(D829,[2]契約台帳!$A$3:$O$4999,15,FALSE)))</f>
        <v>1120</v>
      </c>
      <c r="S829" s="278">
        <f>IF(D829="","",IF(J829="リード付け",N829,VLOOKUP(D829,契約台帳!$A$3:$P$4986,16,FALSE)))</f>
        <v>4000</v>
      </c>
      <c r="T829" s="183">
        <v>3</v>
      </c>
      <c r="U829" s="278">
        <f ca="1">IF(D829="","",IF(OFFSET(D829,-2,0)=D829,"",VLOOKUP(D829,契約台帳!$A$3:$R$4986,18,FALSE)))</f>
        <v>7</v>
      </c>
      <c r="V829" s="363" t="str">
        <f>IF(J829="巻返し",VLOOKUP(F829&amp;K829&amp;M829,[2]製品マスタ!$M$5:$AD$5000,18,FALSE),IF(J829="リード付け","原反コア",IF(J829="スリット",VLOOKUP(F829&amp;K829&amp;Q829,[2]製品マスタ!$N$5:$AD$5000,17,FALSE),"")))</f>
        <v>6ｲﾝﾁSｺｱ</v>
      </c>
      <c r="W829" s="363">
        <f>IF(J829="巻返し",VLOOKUP(F829&amp;K829&amp;M829,[2]製品マスタ!$M$5:$AE$5000,19,FALSE),IF(J829="リード付け","-",IF(J829="スリット",VLOOKUP(F829&amp;K829&amp;Q829,[2]製品マスタ!$N$5:$AE$5000,18,FALSE),"")))</f>
        <v>1125</v>
      </c>
      <c r="X829" s="363">
        <f>IF(D829="","",VLOOKUP(D829,[2]契約台帳!$A$3:$Q$4999,17,FALSE))</f>
        <v>2</v>
      </c>
      <c r="Y829" s="363" t="str">
        <f>IF(D829="","",VLOOKUP(D829,[2]契約台帳!$A$3:$E$4999,5,FALSE))</f>
        <v>リンテック㈱</v>
      </c>
      <c r="Z829" s="329">
        <v>45198</v>
      </c>
      <c r="AA829" s="207">
        <f>IFERROR(VLOOKUP(F829&amp;K829&amp;M829,製品マスタ!$M$5:$AM$5002,27,FALSE),"")</f>
        <v>0</v>
      </c>
      <c r="AB829" s="330"/>
      <c r="AC829" s="331"/>
      <c r="AD829" s="332" t="str">
        <f>IF(F829="","",+F829&amp;K829)</f>
        <v>3SNMLBMNGKKBF25</v>
      </c>
      <c r="AE829" s="216">
        <f>+M829*N829*O829/1000</f>
        <v>13440</v>
      </c>
      <c r="AF829" s="43">
        <f>IF(AD829="","",VLOOKUP(AD829,原価マスタ!$A$2:$AJ$1693,13,FALSE))</f>
        <v>96</v>
      </c>
      <c r="AG829" s="47">
        <f>IF(AF829="","",+AE829*AF829/100)</f>
        <v>12902.4</v>
      </c>
      <c r="AH829" s="333"/>
      <c r="AI829" s="333"/>
      <c r="AJ829" s="333"/>
      <c r="AK829" s="333"/>
      <c r="AL829" s="334"/>
      <c r="AM829" s="334"/>
      <c r="AN829" s="334"/>
      <c r="AO829" s="334"/>
      <c r="AP829" s="334"/>
      <c r="AQ829" s="335"/>
      <c r="AR829" s="336"/>
    </row>
    <row r="830" spans="1:44" s="337" customFormat="1" ht="30.95" hidden="1" customHeight="1" x14ac:dyDescent="0.2">
      <c r="A830" s="358"/>
      <c r="B830" s="359"/>
      <c r="C830" s="360"/>
      <c r="D830" s="361"/>
      <c r="E830" s="361"/>
      <c r="F830" s="362"/>
      <c r="G830" s="363"/>
      <c r="H830" s="363"/>
      <c r="I830" s="207"/>
      <c r="J830" s="364"/>
      <c r="K830" s="207"/>
      <c r="L830" s="207"/>
      <c r="M830" s="365"/>
      <c r="N830" s="365"/>
      <c r="O830" s="366"/>
      <c r="P830" s="357"/>
      <c r="Q830" s="367"/>
      <c r="R830" s="278"/>
      <c r="S830" s="278"/>
      <c r="T830" s="368"/>
      <c r="U830" s="278"/>
      <c r="V830" s="363"/>
      <c r="W830" s="363"/>
      <c r="X830" s="363"/>
      <c r="Y830" s="363"/>
      <c r="Z830" s="357"/>
      <c r="AA830" s="207"/>
      <c r="AB830" s="369"/>
      <c r="AC830" s="370"/>
      <c r="AD830" s="332"/>
      <c r="AE830" s="371"/>
      <c r="AF830" s="372"/>
      <c r="AG830" s="366"/>
      <c r="AH830" s="333"/>
      <c r="AI830" s="333"/>
      <c r="AJ830" s="333"/>
      <c r="AK830" s="333"/>
      <c r="AL830" s="334"/>
      <c r="AM830" s="334"/>
      <c r="AN830" s="334"/>
      <c r="AO830" s="334"/>
      <c r="AP830" s="334"/>
      <c r="AQ830" s="335"/>
      <c r="AR830" s="336"/>
    </row>
    <row r="831" spans="1:44" s="337" customFormat="1" ht="30.75" hidden="1" customHeight="1" x14ac:dyDescent="0.2">
      <c r="A831" s="320"/>
      <c r="B831" s="321"/>
      <c r="C831" s="322"/>
      <c r="D831" s="279">
        <v>3725012</v>
      </c>
      <c r="E831" s="279">
        <v>4151471</v>
      </c>
      <c r="F831" s="362" t="str">
        <f>IF(D831="","",VLOOKUP(D831,[2]契約台帳!$A$3:$K$4999,6,FALSE)&amp;VLOOKUP(D831,[2]契約台帳!$A$3:$K$4999,7,FALSE)&amp;VLOOKUP(D831,[2]契約台帳!$A$3:$K$4999,8,FALSE)&amp;VLOOKUP(D831,[2]契約台帳!$A$3:$K$4999,9,FALSE)&amp;VLOOKUP(D831,[2]契約台帳!$A$3:$K$4999,11,FALSE))</f>
        <v>3SNMLBMNGKKBF</v>
      </c>
      <c r="G831" s="363" t="str">
        <f>IF(D831="","",VLOOKUP(F831,[2]製品マスタ!$G$5:$H$5000,2,FALSE))</f>
        <v>S</v>
      </c>
      <c r="H831" s="363" t="str">
        <f>IF(D831="","",VLOOKUP(F831,[2]製品マスタ!$G$5:$K$5000,5,FALSE))</f>
        <v>MNGKKBF</v>
      </c>
      <c r="I831" s="207" t="str">
        <f>IF(D831="","",VLOOKUP(F831,[2]製品マスタ!$G$5:$L$5000,6,FALSE))</f>
        <v>メタルミー　ネーマー銀消改　Ｂ</v>
      </c>
      <c r="J831" s="373" t="s">
        <v>447</v>
      </c>
      <c r="K831" s="207">
        <f>IF(D831="","",VLOOKUP(D831,[2]契約台帳!$A$3:$L$4999,12,FALSE))</f>
        <v>25</v>
      </c>
      <c r="L831" s="207" t="str">
        <f>IF(D831="","",INDEX([2]製品マスタ!$Q$5:$Q$5000,MATCH(F831&amp;K831,[2]製品マスタ!$AO$5:$AO$5000,0)))</f>
        <v>FMATS99</v>
      </c>
      <c r="M831" s="326">
        <v>1120</v>
      </c>
      <c r="N831" s="326">
        <v>8000</v>
      </c>
      <c r="O831" s="175">
        <v>2</v>
      </c>
      <c r="P831" s="329"/>
      <c r="Q831" s="367">
        <f>IF(D831="","",IF(J831="リード付け",M831,VLOOKUP(D831,[2]契約台帳!$A$3:$N$4999,14,FALSE)))</f>
        <v>1120</v>
      </c>
      <c r="R831" s="278">
        <f>IF(D831="","",IF(J831="リード付け",M831,VLOOKUP(D831,[2]契約台帳!$A$3:$O$4999,15,FALSE)))</f>
        <v>1120</v>
      </c>
      <c r="S831" s="278">
        <f>IF(D831="","",IF(J831="リード付け",N831,VLOOKUP(D831,契約台帳!$A$3:$P$4986,16,FALSE)))</f>
        <v>4000</v>
      </c>
      <c r="T831" s="183">
        <v>4</v>
      </c>
      <c r="U831" s="278" t="str">
        <f ca="1">IF(D831="","",IF(OFFSET(D831,-2,0)=D831,"",VLOOKUP(D831,契約台帳!$A$3:$R$4986,18,FALSE)))</f>
        <v/>
      </c>
      <c r="V831" s="363" t="str">
        <f>IF(J831="巻返し",VLOOKUP(F831&amp;K831&amp;M831,[2]製品マスタ!$M$5:$AD$5000,18,FALSE),IF(J831="リード付け","原反コア",IF(J831="スリット",VLOOKUP(F831&amp;K831&amp;Q831,[2]製品マスタ!$N$5:$AD$5000,17,FALSE),"")))</f>
        <v>6ｲﾝﾁSｺｱ</v>
      </c>
      <c r="W831" s="363">
        <f>IF(J831="巻返し",VLOOKUP(F831&amp;K831&amp;M831,[2]製品マスタ!$M$5:$AE$5000,19,FALSE),IF(J831="リード付け","-",IF(J831="スリット",VLOOKUP(F831&amp;K831&amp;Q831,[2]製品マスタ!$N$5:$AE$5000,18,FALSE),"")))</f>
        <v>1125</v>
      </c>
      <c r="X831" s="363">
        <f>IF(D831="","",VLOOKUP(D831,[2]契約台帳!$A$3:$Q$4999,17,FALSE))</f>
        <v>2</v>
      </c>
      <c r="Y831" s="363" t="str">
        <f>IF(D831="","",VLOOKUP(D831,[2]契約台帳!$A$3:$E$4999,5,FALSE))</f>
        <v>リンテック㈱</v>
      </c>
      <c r="Z831" s="329">
        <v>45198</v>
      </c>
      <c r="AA831" s="207">
        <f>IFERROR(VLOOKUP(F831&amp;K831&amp;M831,製品マスタ!$M$5:$AM$5002,27,FALSE),"")</f>
        <v>0</v>
      </c>
      <c r="AB831" s="330"/>
      <c r="AC831" s="331"/>
      <c r="AD831" s="332" t="str">
        <f>IF(F831="","",+F831&amp;K831)</f>
        <v>3SNMLBMNGKKBF25</v>
      </c>
      <c r="AE831" s="216">
        <f>+M831*N831*O831/1000</f>
        <v>17920</v>
      </c>
      <c r="AF831" s="43">
        <f>IF(AD831="","",VLOOKUP(AD831,原価マスタ!$A$2:$AJ$1693,13,FALSE))</f>
        <v>96</v>
      </c>
      <c r="AG831" s="47">
        <f>IF(AF831="","",+AE831*AF831/100)</f>
        <v>17203.2</v>
      </c>
      <c r="AH831" s="333"/>
      <c r="AI831" s="333"/>
      <c r="AJ831" s="333"/>
      <c r="AK831" s="333"/>
      <c r="AL831" s="334"/>
      <c r="AM831" s="334"/>
      <c r="AN831" s="334"/>
      <c r="AO831" s="334"/>
      <c r="AP831" s="334"/>
      <c r="AQ831" s="335"/>
      <c r="AR831" s="336"/>
    </row>
    <row r="832" spans="1:44" s="337" customFormat="1" ht="30.95" hidden="1" customHeight="1" x14ac:dyDescent="0.2">
      <c r="A832" s="358"/>
      <c r="B832" s="359"/>
      <c r="C832" s="360"/>
      <c r="D832" s="361"/>
      <c r="E832" s="361"/>
      <c r="F832" s="362"/>
      <c r="G832" s="363"/>
      <c r="H832" s="363"/>
      <c r="I832" s="207"/>
      <c r="J832" s="364"/>
      <c r="K832" s="207"/>
      <c r="L832" s="207"/>
      <c r="M832" s="365"/>
      <c r="N832" s="365"/>
      <c r="O832" s="366"/>
      <c r="P832" s="357"/>
      <c r="Q832" s="367"/>
      <c r="R832" s="278"/>
      <c r="S832" s="278"/>
      <c r="T832" s="368"/>
      <c r="U832" s="278"/>
      <c r="V832" s="363"/>
      <c r="W832" s="363"/>
      <c r="X832" s="363"/>
      <c r="Y832" s="363"/>
      <c r="Z832" s="357"/>
      <c r="AA832" s="207"/>
      <c r="AB832" s="369"/>
      <c r="AC832" s="370"/>
      <c r="AD832" s="332"/>
      <c r="AE832" s="371"/>
      <c r="AF832" s="372"/>
      <c r="AG832" s="366"/>
      <c r="AH832" s="333"/>
      <c r="AI832" s="333"/>
      <c r="AJ832" s="333"/>
      <c r="AK832" s="333"/>
      <c r="AL832" s="334"/>
      <c r="AM832" s="334"/>
      <c r="AN832" s="334"/>
      <c r="AO832" s="334"/>
      <c r="AP832" s="334"/>
      <c r="AQ832" s="335"/>
      <c r="AR832" s="336"/>
    </row>
    <row r="833" spans="1:44" s="337" customFormat="1" ht="30.75" hidden="1" customHeight="1" x14ac:dyDescent="0.2">
      <c r="A833" s="320"/>
      <c r="B833" s="321"/>
      <c r="C833" s="322"/>
      <c r="D833" s="279">
        <v>3725013</v>
      </c>
      <c r="E833" s="279">
        <v>4151472</v>
      </c>
      <c r="F833" s="362" t="str">
        <f>IF(D833="","",VLOOKUP(D833,[2]契約台帳!$A$3:$K$4999,6,FALSE)&amp;VLOOKUP(D833,[2]契約台帳!$A$3:$K$4999,7,FALSE)&amp;VLOOKUP(D833,[2]契約台帳!$A$3:$K$4999,8,FALSE)&amp;VLOOKUP(D833,[2]契約台帳!$A$3:$K$4999,9,FALSE)&amp;VLOOKUP(D833,[2]契約台帳!$A$3:$K$4999,11,FALSE))</f>
        <v>3SNMLBMNGTBF</v>
      </c>
      <c r="G833" s="363" t="str">
        <f>IF(D833="","",VLOOKUP(F833,[2]製品マスタ!$G$5:$H$5000,2,FALSE))</f>
        <v>S</v>
      </c>
      <c r="H833" s="363" t="str">
        <f>IF(D833="","",VLOOKUP(F833,[2]製品マスタ!$G$5:$K$5000,5,FALSE))</f>
        <v>MNGTBF</v>
      </c>
      <c r="I833" s="207" t="str">
        <f>IF(D833="","",VLOOKUP(F833,[2]製品マスタ!$G$5:$L$5000,6,FALSE))</f>
        <v>メタルミー　ネーマー　銀艶　Ｂ</v>
      </c>
      <c r="J833" s="373" t="s">
        <v>447</v>
      </c>
      <c r="K833" s="207">
        <f>IF(D833="","",VLOOKUP(D833,[2]契約台帳!$A$3:$L$4999,12,FALSE))</f>
        <v>50</v>
      </c>
      <c r="L833" s="207" t="str">
        <f>IF(D833="","",INDEX([2]製品マスタ!$Q$5:$Q$5000,MATCH(F833&amp;K833,[2]製品マスタ!$AO$5:$AO$5000,0)))</f>
        <v>T62</v>
      </c>
      <c r="M833" s="326">
        <v>1120</v>
      </c>
      <c r="N833" s="326">
        <v>10000</v>
      </c>
      <c r="O833" s="175">
        <v>3</v>
      </c>
      <c r="P833" s="329"/>
      <c r="Q833" s="367">
        <f>IF(D833="","",IF(J833="リード付け",M833,VLOOKUP(D833,[2]契約台帳!$A$3:$N$4999,14,FALSE)))</f>
        <v>1120</v>
      </c>
      <c r="R833" s="278">
        <f>IF(D833="","",IF(J833="リード付け",M833,VLOOKUP(D833,[2]契約台帳!$A$3:$O$4999,15,FALSE)))</f>
        <v>1120</v>
      </c>
      <c r="S833" s="278">
        <f>IF(D833="","",IF(J833="リード付け",N833,VLOOKUP(D833,契約台帳!$A$3:$P$4986,16,FALSE)))</f>
        <v>5000</v>
      </c>
      <c r="T833" s="183">
        <v>6</v>
      </c>
      <c r="U833" s="278">
        <f ca="1">IF(D833="","",IF(OFFSET(D833,-2,0)=D833,"",VLOOKUP(D833,契約台帳!$A$3:$R$4986,18,FALSE)))</f>
        <v>28</v>
      </c>
      <c r="V833" s="363" t="str">
        <f>IF(J833="巻返し",VLOOKUP(F833&amp;K833&amp;M833,[2]製品マスタ!$M$5:$AD$5000,18,FALSE),IF(J833="リード付け","原反コア",IF(J833="スリット",VLOOKUP(F833&amp;K833&amp;Q833,[2]製品マスタ!$N$5:$AD$5000,17,FALSE),"")))</f>
        <v>6ｲﾝﾁSｺｱ</v>
      </c>
      <c r="W833" s="363">
        <f>IF(J833="巻返し",VLOOKUP(F833&amp;K833&amp;M833,[2]製品マスタ!$M$5:$AE$5000,19,FALSE),IF(J833="リード付け","-",IF(J833="スリット",VLOOKUP(F833&amp;K833&amp;Q833,[2]製品マスタ!$N$5:$AE$5000,18,FALSE),"")))</f>
        <v>1125</v>
      </c>
      <c r="X833" s="363">
        <f>IF(D833="","",VLOOKUP(D833,[2]契約台帳!$A$3:$Q$4999,17,FALSE))</f>
        <v>2</v>
      </c>
      <c r="Y833" s="363" t="str">
        <f>IF(D833="","",VLOOKUP(D833,[2]契約台帳!$A$3:$E$4999,5,FALSE))</f>
        <v>リンテック㈱</v>
      </c>
      <c r="Z833" s="329">
        <v>45201</v>
      </c>
      <c r="AA833" s="207" t="str">
        <f>IFERROR(VLOOKUP(F833&amp;K833&amp;M833,製品マスタ!$M$5:$AM$5002,27,FALSE),"")</f>
        <v>原反ケース再利用</v>
      </c>
      <c r="AB833" s="330"/>
      <c r="AC833" s="331"/>
      <c r="AD833" s="332" t="str">
        <f>IF(F833="","",+F833&amp;K833)</f>
        <v>3SNMLBMNGTBF50</v>
      </c>
      <c r="AE833" s="216">
        <f>+M833*N833*O833/1000</f>
        <v>33600</v>
      </c>
      <c r="AF833" s="43">
        <f>IF(AD833="","",VLOOKUP(AD833,原価マスタ!$A$2:$AJ$1693,13,FALSE))</f>
        <v>99</v>
      </c>
      <c r="AG833" s="47">
        <f>IF(AF833="","",+AE833*AF833/100)</f>
        <v>33264</v>
      </c>
      <c r="AH833" s="333"/>
      <c r="AI833" s="333"/>
      <c r="AJ833" s="333"/>
      <c r="AK833" s="333"/>
      <c r="AL833" s="334"/>
      <c r="AM833" s="334"/>
      <c r="AN833" s="334"/>
      <c r="AO833" s="334"/>
      <c r="AP833" s="334"/>
      <c r="AQ833" s="335"/>
      <c r="AR833" s="336"/>
    </row>
    <row r="834" spans="1:44" s="337" customFormat="1" ht="30.95" hidden="1" customHeight="1" x14ac:dyDescent="0.2">
      <c r="A834" s="358"/>
      <c r="B834" s="359"/>
      <c r="C834" s="360"/>
      <c r="D834" s="361"/>
      <c r="E834" s="361"/>
      <c r="F834" s="362"/>
      <c r="G834" s="363"/>
      <c r="H834" s="363"/>
      <c r="I834" s="207"/>
      <c r="J834" s="364"/>
      <c r="K834" s="207"/>
      <c r="L834" s="207"/>
      <c r="M834" s="365"/>
      <c r="N834" s="365"/>
      <c r="O834" s="366"/>
      <c r="P834" s="357"/>
      <c r="Q834" s="367"/>
      <c r="R834" s="278"/>
      <c r="S834" s="278"/>
      <c r="T834" s="368"/>
      <c r="U834" s="278"/>
      <c r="V834" s="363"/>
      <c r="W834" s="363"/>
      <c r="X834" s="363"/>
      <c r="Y834" s="363"/>
      <c r="Z834" s="357"/>
      <c r="AA834" s="207"/>
      <c r="AB834" s="369"/>
      <c r="AC834" s="370"/>
      <c r="AD834" s="332"/>
      <c r="AE834" s="371"/>
      <c r="AF834" s="372"/>
      <c r="AG834" s="366"/>
      <c r="AH834" s="333"/>
      <c r="AI834" s="333"/>
      <c r="AJ834" s="333"/>
      <c r="AK834" s="333"/>
      <c r="AL834" s="334"/>
      <c r="AM834" s="334"/>
      <c r="AN834" s="334"/>
      <c r="AO834" s="334"/>
      <c r="AP834" s="334"/>
      <c r="AQ834" s="335"/>
      <c r="AR834" s="336"/>
    </row>
    <row r="835" spans="1:44" s="337" customFormat="1" ht="30.95" hidden="1" customHeight="1" x14ac:dyDescent="0.2">
      <c r="A835" s="358" t="s">
        <v>571</v>
      </c>
      <c r="B835" s="359" t="s">
        <v>446</v>
      </c>
      <c r="C835" s="360"/>
      <c r="D835" s="361"/>
      <c r="E835" s="361"/>
      <c r="F835" s="362"/>
      <c r="G835" s="363"/>
      <c r="H835" s="363"/>
      <c r="I835" s="207"/>
      <c r="J835" s="364" t="s">
        <v>448</v>
      </c>
      <c r="K835" s="207"/>
      <c r="L835" s="207"/>
      <c r="M835" s="365"/>
      <c r="N835" s="365"/>
      <c r="O835" s="366"/>
      <c r="P835" s="357"/>
      <c r="Q835" s="367"/>
      <c r="R835" s="278"/>
      <c r="S835" s="278"/>
      <c r="T835" s="368"/>
      <c r="U835" s="278"/>
      <c r="V835" s="363"/>
      <c r="W835" s="363"/>
      <c r="X835" s="363"/>
      <c r="Y835" s="363"/>
      <c r="Z835" s="357"/>
      <c r="AA835" s="207"/>
      <c r="AB835" s="369"/>
      <c r="AC835" s="370"/>
      <c r="AD835" s="332"/>
      <c r="AE835" s="371"/>
      <c r="AF835" s="372"/>
      <c r="AG835" s="366"/>
      <c r="AH835" s="333"/>
      <c r="AI835" s="333"/>
      <c r="AJ835" s="333"/>
      <c r="AK835" s="333"/>
      <c r="AL835" s="334"/>
      <c r="AM835" s="334"/>
      <c r="AN835" s="334"/>
      <c r="AO835" s="334"/>
      <c r="AP835" s="334"/>
      <c r="AQ835" s="335"/>
      <c r="AR835" s="336"/>
    </row>
    <row r="836" spans="1:44" s="337" customFormat="1" ht="30.95" hidden="1" customHeight="1" x14ac:dyDescent="0.2">
      <c r="A836" s="358"/>
      <c r="B836" s="359"/>
      <c r="C836" s="360"/>
      <c r="D836" s="361"/>
      <c r="E836" s="361"/>
      <c r="F836" s="362"/>
      <c r="G836" s="363"/>
      <c r="H836" s="363"/>
      <c r="I836" s="207"/>
      <c r="J836" s="364"/>
      <c r="K836" s="207"/>
      <c r="L836" s="207"/>
      <c r="M836" s="365"/>
      <c r="N836" s="365"/>
      <c r="O836" s="366"/>
      <c r="P836" s="357"/>
      <c r="Q836" s="367"/>
      <c r="R836" s="278"/>
      <c r="S836" s="278"/>
      <c r="T836" s="368"/>
      <c r="U836" s="278"/>
      <c r="V836" s="363"/>
      <c r="W836" s="363"/>
      <c r="X836" s="363"/>
      <c r="Y836" s="363"/>
      <c r="Z836" s="357"/>
      <c r="AA836" s="207"/>
      <c r="AB836" s="369"/>
      <c r="AC836" s="370"/>
      <c r="AD836" s="332"/>
      <c r="AE836" s="371"/>
      <c r="AF836" s="372"/>
      <c r="AG836" s="366"/>
      <c r="AH836" s="333"/>
      <c r="AI836" s="333"/>
      <c r="AJ836" s="333"/>
      <c r="AK836" s="333"/>
      <c r="AL836" s="334"/>
      <c r="AM836" s="334"/>
      <c r="AN836" s="334"/>
      <c r="AO836" s="334"/>
      <c r="AP836" s="334"/>
      <c r="AQ836" s="335"/>
      <c r="AR836" s="336"/>
    </row>
    <row r="837" spans="1:44" s="337" customFormat="1" ht="30.75" hidden="1" customHeight="1" x14ac:dyDescent="0.2">
      <c r="A837" s="320" t="s">
        <v>572</v>
      </c>
      <c r="B837" s="321" t="s">
        <v>462</v>
      </c>
      <c r="C837" s="322"/>
      <c r="D837" s="279">
        <v>3725013</v>
      </c>
      <c r="E837" s="279">
        <v>4151472</v>
      </c>
      <c r="F837" s="362" t="str">
        <f>IF(D837="","",VLOOKUP(D837,[2]契約台帳!$A$3:$K$4999,6,FALSE)&amp;VLOOKUP(D837,[2]契約台帳!$A$3:$K$4999,7,FALSE)&amp;VLOOKUP(D837,[2]契約台帳!$A$3:$K$4999,8,FALSE)&amp;VLOOKUP(D837,[2]契約台帳!$A$3:$K$4999,9,FALSE)&amp;VLOOKUP(D837,[2]契約台帳!$A$3:$K$4999,11,FALSE))</f>
        <v>3SNMLBMNGTBF</v>
      </c>
      <c r="G837" s="363" t="str">
        <f>IF(D837="","",VLOOKUP(F837,[2]製品マスタ!$G$5:$H$5000,2,FALSE))</f>
        <v>S</v>
      </c>
      <c r="H837" s="363" t="str">
        <f>IF(D837="","",VLOOKUP(F837,[2]製品マスタ!$G$5:$K$5000,5,FALSE))</f>
        <v>MNGTBF</v>
      </c>
      <c r="I837" s="207" t="str">
        <f>IF(D837="","",VLOOKUP(F837,[2]製品マスタ!$G$5:$L$5000,6,FALSE))</f>
        <v>メタルミー　ネーマー　銀艶　Ｂ</v>
      </c>
      <c r="J837" s="373" t="s">
        <v>447</v>
      </c>
      <c r="K837" s="207">
        <f>IF(D837="","",VLOOKUP(D837,[2]契約台帳!$A$3:$L$4999,12,FALSE))</f>
        <v>50</v>
      </c>
      <c r="L837" s="207" t="str">
        <f>IF(D837="","",INDEX([2]製品マスタ!$Q$5:$Q$5000,MATCH(F837&amp;K837,[2]製品マスタ!$AO$5:$AO$5000,0)))</f>
        <v>T62</v>
      </c>
      <c r="M837" s="326">
        <v>1120</v>
      </c>
      <c r="N837" s="326">
        <v>10000</v>
      </c>
      <c r="O837" s="175">
        <v>5</v>
      </c>
      <c r="P837" s="329"/>
      <c r="Q837" s="367">
        <f>IF(D837="","",IF(J837="リード付け",M837,VLOOKUP(D837,[2]契約台帳!$A$3:$N$4999,14,FALSE)))</f>
        <v>1120</v>
      </c>
      <c r="R837" s="278">
        <f>IF(D837="","",IF(J837="リード付け",M837,VLOOKUP(D837,[2]契約台帳!$A$3:$O$4999,15,FALSE)))</f>
        <v>1120</v>
      </c>
      <c r="S837" s="278">
        <f>IF(D837="","",IF(J837="リード付け",N837,VLOOKUP(D837,契約台帳!$A$3:$P$4986,16,FALSE)))</f>
        <v>5000</v>
      </c>
      <c r="T837" s="183">
        <v>10</v>
      </c>
      <c r="U837" s="278">
        <f ca="1">IF(D837="","",IF(OFFSET(D837,-2,0)=D837,"",VLOOKUP(D837,契約台帳!$A$3:$R$4986,18,FALSE)))</f>
        <v>28</v>
      </c>
      <c r="V837" s="363" t="str">
        <f>IF(J837="巻返し",VLOOKUP(F837&amp;K837&amp;M837,[2]製品マスタ!$M$5:$AD$5000,18,FALSE),IF(J837="リード付け","原反コア",IF(J837="スリット",VLOOKUP(F837&amp;K837&amp;Q837,[2]製品マスタ!$N$5:$AD$5000,17,FALSE),"")))</f>
        <v>6ｲﾝﾁSｺｱ</v>
      </c>
      <c r="W837" s="363">
        <f>IF(J837="巻返し",VLOOKUP(F837&amp;K837&amp;M837,[2]製品マスタ!$M$5:$AE$5000,19,FALSE),IF(J837="リード付け","-",IF(J837="スリット",VLOOKUP(F837&amp;K837&amp;Q837,[2]製品マスタ!$N$5:$AE$5000,18,FALSE),"")))</f>
        <v>1125</v>
      </c>
      <c r="X837" s="363">
        <f>IF(D837="","",VLOOKUP(D837,[2]契約台帳!$A$3:$Q$4999,17,FALSE))</f>
        <v>2</v>
      </c>
      <c r="Y837" s="363" t="str">
        <f>IF(D837="","",VLOOKUP(D837,[2]契約台帳!$A$3:$E$4999,5,FALSE))</f>
        <v>リンテック㈱</v>
      </c>
      <c r="Z837" s="329">
        <v>45201</v>
      </c>
      <c r="AA837" s="207" t="str">
        <f>IFERROR(VLOOKUP(F837&amp;K837&amp;M837,製品マスタ!$M$5:$AM$5002,27,FALSE),"")</f>
        <v>原反ケース再利用</v>
      </c>
      <c r="AB837" s="330"/>
      <c r="AC837" s="331"/>
      <c r="AD837" s="332" t="str">
        <f>IF(F837="","",+F837&amp;K837)</f>
        <v>3SNMLBMNGTBF50</v>
      </c>
      <c r="AE837" s="216">
        <f>+M837*N837*O837/1000</f>
        <v>56000</v>
      </c>
      <c r="AF837" s="43">
        <f>IF(AD837="","",VLOOKUP(AD837,原価マスタ!$A$2:$AJ$1693,13,FALSE))</f>
        <v>99</v>
      </c>
      <c r="AG837" s="47">
        <f>IF(AF837="","",+AE837*AF837/100)</f>
        <v>55440</v>
      </c>
      <c r="AH837" s="333"/>
      <c r="AI837" s="333"/>
      <c r="AJ837" s="333"/>
      <c r="AK837" s="333"/>
      <c r="AL837" s="334"/>
      <c r="AM837" s="334"/>
      <c r="AN837" s="334"/>
      <c r="AO837" s="334"/>
      <c r="AP837" s="334"/>
      <c r="AQ837" s="335"/>
      <c r="AR837" s="336"/>
    </row>
    <row r="838" spans="1:44" s="337" customFormat="1" ht="30.95" hidden="1" customHeight="1" x14ac:dyDescent="0.2">
      <c r="A838" s="358"/>
      <c r="B838" s="359"/>
      <c r="C838" s="360"/>
      <c r="D838" s="361"/>
      <c r="E838" s="361"/>
      <c r="F838" s="362"/>
      <c r="G838" s="363"/>
      <c r="H838" s="363"/>
      <c r="I838" s="207"/>
      <c r="J838" s="364"/>
      <c r="K838" s="207"/>
      <c r="L838" s="207"/>
      <c r="M838" s="365"/>
      <c r="N838" s="365"/>
      <c r="O838" s="366"/>
      <c r="P838" s="357"/>
      <c r="Q838" s="367"/>
      <c r="R838" s="278"/>
      <c r="S838" s="278"/>
      <c r="T838" s="368"/>
      <c r="U838" s="278"/>
      <c r="V838" s="363"/>
      <c r="W838" s="363"/>
      <c r="X838" s="363"/>
      <c r="Y838" s="363"/>
      <c r="Z838" s="357"/>
      <c r="AA838" s="207"/>
      <c r="AB838" s="369"/>
      <c r="AC838" s="370"/>
      <c r="AD838" s="332"/>
      <c r="AE838" s="371"/>
      <c r="AF838" s="372"/>
      <c r="AG838" s="366"/>
      <c r="AH838" s="333"/>
      <c r="AI838" s="333"/>
      <c r="AJ838" s="333"/>
      <c r="AK838" s="333"/>
      <c r="AL838" s="334"/>
      <c r="AM838" s="334"/>
      <c r="AN838" s="334"/>
      <c r="AO838" s="334"/>
      <c r="AP838" s="334"/>
      <c r="AQ838" s="335"/>
      <c r="AR838" s="336"/>
    </row>
    <row r="839" spans="1:44" s="233" customFormat="1" ht="30.95" hidden="1" customHeight="1" x14ac:dyDescent="0.2">
      <c r="A839" s="374"/>
      <c r="B839" s="375"/>
      <c r="C839" s="376"/>
      <c r="D839" s="377"/>
      <c r="E839" s="377"/>
      <c r="F839" s="378"/>
      <c r="G839" s="379"/>
      <c r="H839" s="379"/>
      <c r="I839" s="288"/>
      <c r="J839" s="380"/>
      <c r="K839" s="288"/>
      <c r="L839" s="288"/>
      <c r="M839" s="381"/>
      <c r="N839" s="381"/>
      <c r="O839" s="382"/>
      <c r="P839" s="356"/>
      <c r="Q839" s="383"/>
      <c r="R839" s="286"/>
      <c r="S839" s="286"/>
      <c r="T839" s="384"/>
      <c r="U839" s="286"/>
      <c r="V839" s="379"/>
      <c r="W839" s="379"/>
      <c r="X839" s="379"/>
      <c r="Y839" s="379"/>
      <c r="Z839" s="356"/>
      <c r="AA839" s="288"/>
      <c r="AB839" s="385"/>
      <c r="AC839" s="386"/>
      <c r="AD839" s="387"/>
      <c r="AE839" s="388"/>
      <c r="AF839" s="389"/>
      <c r="AG839" s="390">
        <f>SUM(AG740:AG837)</f>
        <v>754244.45700000005</v>
      </c>
      <c r="AH839" s="391"/>
      <c r="AI839" s="391"/>
      <c r="AJ839" s="391"/>
      <c r="AK839" s="391"/>
      <c r="AL839" s="230"/>
      <c r="AM839" s="230"/>
      <c r="AN839" s="230"/>
      <c r="AO839" s="230"/>
      <c r="AP839" s="230"/>
      <c r="AQ839" s="231"/>
      <c r="AR839" s="232"/>
    </row>
    <row r="840" spans="1:44" s="337" customFormat="1" ht="30.95" hidden="1" customHeight="1" x14ac:dyDescent="0.2">
      <c r="A840" s="358"/>
      <c r="B840" s="359"/>
      <c r="C840" s="360"/>
      <c r="D840" s="361"/>
      <c r="E840" s="361"/>
      <c r="F840" s="362"/>
      <c r="G840" s="363"/>
      <c r="H840" s="363"/>
      <c r="I840" s="207"/>
      <c r="J840" s="364"/>
      <c r="K840" s="207"/>
      <c r="L840" s="207"/>
      <c r="M840" s="365"/>
      <c r="N840" s="365"/>
      <c r="O840" s="366"/>
      <c r="P840" s="357"/>
      <c r="Q840" s="367"/>
      <c r="R840" s="278"/>
      <c r="S840" s="278"/>
      <c r="T840" s="368"/>
      <c r="U840" s="278"/>
      <c r="V840" s="363"/>
      <c r="W840" s="363"/>
      <c r="X840" s="363"/>
      <c r="Y840" s="363"/>
      <c r="Z840" s="357"/>
      <c r="AA840" s="207"/>
      <c r="AB840" s="369"/>
      <c r="AC840" s="370"/>
      <c r="AD840" s="332"/>
      <c r="AE840" s="371"/>
      <c r="AF840" s="372"/>
      <c r="AG840" s="366"/>
      <c r="AH840" s="333"/>
      <c r="AI840" s="333"/>
      <c r="AJ840" s="333"/>
      <c r="AK840" s="333"/>
      <c r="AL840" s="334"/>
      <c r="AM840" s="334"/>
      <c r="AN840" s="334"/>
      <c r="AO840" s="334"/>
      <c r="AP840" s="334"/>
      <c r="AQ840" s="335"/>
      <c r="AR840" s="336"/>
    </row>
    <row r="841" spans="1:44" s="337" customFormat="1" ht="30.75" hidden="1" customHeight="1" x14ac:dyDescent="0.2">
      <c r="A841" s="320" t="s">
        <v>573</v>
      </c>
      <c r="B841" s="321" t="s">
        <v>688</v>
      </c>
      <c r="C841" s="322"/>
      <c r="D841" s="279">
        <v>3725013</v>
      </c>
      <c r="E841" s="279">
        <v>4151472</v>
      </c>
      <c r="F841" s="362" t="str">
        <f>IF(D841="","",VLOOKUP(D841,[2]契約台帳!$A$3:$K$4999,6,FALSE)&amp;VLOOKUP(D841,[2]契約台帳!$A$3:$K$4999,7,FALSE)&amp;VLOOKUP(D841,[2]契約台帳!$A$3:$K$4999,8,FALSE)&amp;VLOOKUP(D841,[2]契約台帳!$A$3:$K$4999,9,FALSE)&amp;VLOOKUP(D841,[2]契約台帳!$A$3:$K$4999,11,FALSE))</f>
        <v>3SNMLBMNGTBF</v>
      </c>
      <c r="G841" s="363" t="str">
        <f>IF(D841="","",VLOOKUP(F841,[2]製品マスタ!$G$5:$H$5000,2,FALSE))</f>
        <v>S</v>
      </c>
      <c r="H841" s="363" t="str">
        <f>IF(D841="","",VLOOKUP(F841,[2]製品マスタ!$G$5:$K$5000,5,FALSE))</f>
        <v>MNGTBF</v>
      </c>
      <c r="I841" s="207" t="str">
        <f>IF(D841="","",VLOOKUP(F841,[2]製品マスタ!$G$5:$L$5000,6,FALSE))</f>
        <v>メタルミー　ネーマー　銀艶　Ｂ</v>
      </c>
      <c r="J841" s="373" t="s">
        <v>447</v>
      </c>
      <c r="K841" s="207">
        <f>IF(D841="","",VLOOKUP(D841,[2]契約台帳!$A$3:$L$4999,12,FALSE))</f>
        <v>50</v>
      </c>
      <c r="L841" s="207" t="str">
        <f>IF(D841="","",INDEX([2]製品マスタ!$Q$5:$Q$5000,MATCH(F841&amp;K841,[2]製品マスタ!$AO$5:$AO$5000,0)))</f>
        <v>T62</v>
      </c>
      <c r="M841" s="326">
        <v>1120</v>
      </c>
      <c r="N841" s="326">
        <v>10000</v>
      </c>
      <c r="O841" s="175">
        <v>3</v>
      </c>
      <c r="P841" s="329"/>
      <c r="Q841" s="367">
        <f>IF(D841="","",IF(J841="リード付け",M841,VLOOKUP(D841,[2]契約台帳!$A$3:$N$4999,14,FALSE)))</f>
        <v>1120</v>
      </c>
      <c r="R841" s="278">
        <f>IF(D841="","",IF(J841="リード付け",M841,VLOOKUP(D841,[2]契約台帳!$A$3:$O$4999,15,FALSE)))</f>
        <v>1120</v>
      </c>
      <c r="S841" s="278">
        <f>IF(D841="","",IF(J841="リード付け",N841,VLOOKUP(D841,契約台帳!$A$3:$P$4986,16,FALSE)))</f>
        <v>5000</v>
      </c>
      <c r="T841" s="183">
        <v>6</v>
      </c>
      <c r="U841" s="278">
        <f ca="1">IF(D841="","",IF(OFFSET(D841,-2,0)=D841,"",VLOOKUP(D841,契約台帳!$A$3:$R$4986,18,FALSE)))</f>
        <v>28</v>
      </c>
      <c r="V841" s="363" t="str">
        <f>IF(J841="巻返し",VLOOKUP(F841&amp;K841&amp;M841,[2]製品マスタ!$M$5:$AD$5000,18,FALSE),IF(J841="リード付け","原反コア",IF(J841="スリット",VLOOKUP(F841&amp;K841&amp;Q841,[2]製品マスタ!$N$5:$AD$5000,17,FALSE),"")))</f>
        <v>6ｲﾝﾁSｺｱ</v>
      </c>
      <c r="W841" s="363">
        <f>IF(J841="巻返し",VLOOKUP(F841&amp;K841&amp;M841,[2]製品マスタ!$M$5:$AE$5000,19,FALSE),IF(J841="リード付け","-",IF(J841="スリット",VLOOKUP(F841&amp;K841&amp;Q841,[2]製品マスタ!$N$5:$AE$5000,18,FALSE),"")))</f>
        <v>1125</v>
      </c>
      <c r="X841" s="363">
        <f>IF(D841="","",VLOOKUP(D841,[2]契約台帳!$A$3:$Q$4999,17,FALSE))</f>
        <v>2</v>
      </c>
      <c r="Y841" s="363" t="str">
        <f>IF(D841="","",VLOOKUP(D841,[2]契約台帳!$A$3:$E$4999,5,FALSE))</f>
        <v>リンテック㈱</v>
      </c>
      <c r="Z841" s="329">
        <v>45201</v>
      </c>
      <c r="AA841" s="207" t="str">
        <f>IFERROR(VLOOKUP(F841&amp;K841&amp;M841,製品マスタ!$M$5:$AM$5002,27,FALSE),"")</f>
        <v>原反ケース再利用</v>
      </c>
      <c r="AB841" s="330"/>
      <c r="AC841" s="331"/>
      <c r="AD841" s="332" t="str">
        <f>IF(F841="","",+F841&amp;K841)</f>
        <v>3SNMLBMNGTBF50</v>
      </c>
      <c r="AE841" s="216">
        <f>+M841*N841*O841/1000</f>
        <v>33600</v>
      </c>
      <c r="AF841" s="43">
        <f>IF(AD841="","",VLOOKUP(AD841,原価マスタ!$A$2:$AJ$1693,13,FALSE))</f>
        <v>99</v>
      </c>
      <c r="AG841" s="47">
        <f>IF(AF841="","",+AE841*AF841/100)</f>
        <v>33264</v>
      </c>
      <c r="AH841" s="333"/>
      <c r="AI841" s="333"/>
      <c r="AJ841" s="333"/>
      <c r="AK841" s="333"/>
      <c r="AL841" s="334"/>
      <c r="AM841" s="334"/>
      <c r="AN841" s="334"/>
      <c r="AO841" s="334"/>
      <c r="AP841" s="334"/>
      <c r="AQ841" s="335"/>
      <c r="AR841" s="336"/>
    </row>
    <row r="842" spans="1:44" s="337" customFormat="1" ht="30.95" hidden="1" customHeight="1" x14ac:dyDescent="0.2">
      <c r="A842" s="358"/>
      <c r="B842" s="359"/>
      <c r="C842" s="360"/>
      <c r="D842" s="361"/>
      <c r="E842" s="361"/>
      <c r="F842" s="362"/>
      <c r="G842" s="363"/>
      <c r="H842" s="363"/>
      <c r="I842" s="207"/>
      <c r="J842" s="364"/>
      <c r="K842" s="207"/>
      <c r="L842" s="207"/>
      <c r="M842" s="365"/>
      <c r="N842" s="365"/>
      <c r="O842" s="366"/>
      <c r="P842" s="357"/>
      <c r="Q842" s="367"/>
      <c r="R842" s="278"/>
      <c r="S842" s="278"/>
      <c r="T842" s="368"/>
      <c r="U842" s="278"/>
      <c r="V842" s="363"/>
      <c r="W842" s="363"/>
      <c r="X842" s="363"/>
      <c r="Y842" s="363"/>
      <c r="Z842" s="357"/>
      <c r="AA842" s="207"/>
      <c r="AB842" s="369"/>
      <c r="AC842" s="370"/>
      <c r="AD842" s="332"/>
      <c r="AE842" s="371"/>
      <c r="AF842" s="372"/>
      <c r="AG842" s="366"/>
      <c r="AH842" s="333"/>
      <c r="AI842" s="333"/>
      <c r="AJ842" s="333"/>
      <c r="AK842" s="333"/>
      <c r="AL842" s="334"/>
      <c r="AM842" s="334"/>
      <c r="AN842" s="334"/>
      <c r="AO842" s="334"/>
      <c r="AP842" s="334"/>
      <c r="AQ842" s="335"/>
      <c r="AR842" s="336"/>
    </row>
    <row r="843" spans="1:44" s="337" customFormat="1" ht="30.95" hidden="1" customHeight="1" x14ac:dyDescent="0.2">
      <c r="A843" s="358" t="s">
        <v>1609</v>
      </c>
      <c r="B843" s="359" t="s">
        <v>1610</v>
      </c>
      <c r="C843" s="360"/>
      <c r="D843" s="279">
        <v>3725627</v>
      </c>
      <c r="E843" s="279">
        <v>4151480</v>
      </c>
      <c r="F843" s="362" t="str">
        <f>IF(D843="","",VLOOKUP(D843,[2]契約台帳!$A$3:$K$4999,6,FALSE)&amp;VLOOKUP(D843,[2]契約台帳!$A$3:$K$4999,7,FALSE)&amp;VLOOKUP(D843,[2]契約台帳!$A$3:$K$4999,8,FALSE)&amp;VLOOKUP(D843,[2]契約台帳!$A$3:$K$4999,9,FALSE)&amp;VLOOKUP(D843,[2]契約台帳!$A$3:$K$4999,11,FALSE))</f>
        <v>3UNMLBKF9BF</v>
      </c>
      <c r="G843" s="363" t="str">
        <f>IF(D843="","",VLOOKUP(F843,[2]製品マスタ!$G$5:$H$5000,2,FALSE))</f>
        <v>U</v>
      </c>
      <c r="H843" s="363" t="str">
        <f>IF(D843="","",VLOOKUP(F843,[2]製品マスタ!$G$5:$K$5000,5,FALSE))</f>
        <v>KF9BF</v>
      </c>
      <c r="I843" s="207" t="str">
        <f>IF(D843="","",VLOOKUP(F843,[2]製品マスタ!$G$5:$L$5000,6,FALSE))</f>
        <v>ＫＦ－９Ｂ</v>
      </c>
      <c r="J843" s="373" t="s">
        <v>970</v>
      </c>
      <c r="K843" s="207">
        <f>IF(D843="","",VLOOKUP(D843,[2]契約台帳!$A$3:$L$4999,12,FALSE))</f>
        <v>9</v>
      </c>
      <c r="L843" s="207" t="str">
        <f>IF(D843="","",INDEX([2]製品マスタ!$Q$5:$Q$5000,MATCH(F843&amp;K843,[2]製品マスタ!$AO$5:$AO$5000,0)))</f>
        <v>F53</v>
      </c>
      <c r="M843" s="326">
        <v>1400</v>
      </c>
      <c r="N843" s="326">
        <v>12000</v>
      </c>
      <c r="O843" s="175">
        <v>1</v>
      </c>
      <c r="P843" s="329"/>
      <c r="Q843" s="367">
        <f>IF(D843="","",IF(J843="リード付け",M843,VLOOKUP(D843,[2]契約台帳!$A$3:$N$4999,14,FALSE)))</f>
        <v>1200</v>
      </c>
      <c r="R843" s="278">
        <f>IF(D843="","",IF(J843="リード付け",M843,VLOOKUP(D843,[2]契約台帳!$A$3:$O$4999,15,FALSE)))</f>
        <v>1200</v>
      </c>
      <c r="S843" s="278">
        <f>IF(D843="","",IF(J843="リード付け",N843,VLOOKUP(D843,契約台帳!$A$3:$P$4986,16,FALSE)))</f>
        <v>2000</v>
      </c>
      <c r="T843" s="183">
        <v>6</v>
      </c>
      <c r="U843" s="278">
        <f ca="1">IF(D843="","",IF(OFFSET(D843,-2,0)=D843,"",VLOOKUP(D843,契約台帳!$A$3:$R$4986,18,FALSE)))</f>
        <v>12</v>
      </c>
      <c r="V843" s="363" t="str">
        <f>IF(J843="巻返し",VLOOKUP(F843&amp;K843&amp;M843,[2]製品マスタ!$M$5:$AD$5000,18,FALSE),IF(J843="リード付け","原反コア",IF(J843="スリット",VLOOKUP(F843&amp;K843&amp;Q843,[2]製品マスタ!$N$5:$AD$5000,17,FALSE),"")))</f>
        <v>3ｲﾝﾁMｺｱ</v>
      </c>
      <c r="W843" s="363">
        <f>IF(J843="巻返し",VLOOKUP(F843&amp;K843&amp;M843,[2]製品マスタ!$M$5:$AE$5000,19,FALSE),IF(J843="リード付け","-",IF(J843="スリット",VLOOKUP(F843&amp;K843&amp;Q843,[2]製品マスタ!$N$5:$AE$5000,18,FALSE),"")))</f>
        <v>1220</v>
      </c>
      <c r="X843" s="363">
        <f>IF(D843="","",VLOOKUP(D843,[2]契約台帳!$A$3:$Q$4999,17,FALSE))</f>
        <v>2</v>
      </c>
      <c r="Y843" s="363" t="str">
        <f>IF(D843="","",VLOOKUP(D843,[2]契約台帳!$A$3:$E$4999,5,FALSE))</f>
        <v>栃木カネカ㈱電材検査</v>
      </c>
      <c r="Z843" s="329" t="s">
        <v>1016</v>
      </c>
      <c r="AA843" s="207" t="s">
        <v>1467</v>
      </c>
      <c r="AB843" s="330"/>
      <c r="AC843" s="370"/>
      <c r="AD843" s="332"/>
      <c r="AE843" s="371">
        <f>+M843*N843*O843/1000</f>
        <v>16800</v>
      </c>
      <c r="AF843" s="372"/>
      <c r="AG843" s="366"/>
      <c r="AH843" s="333"/>
      <c r="AI843" s="333"/>
      <c r="AJ843" s="333"/>
      <c r="AK843" s="333"/>
      <c r="AL843" s="334"/>
      <c r="AM843" s="334"/>
      <c r="AN843" s="334"/>
      <c r="AO843" s="334"/>
      <c r="AP843" s="334"/>
      <c r="AQ843" s="335"/>
      <c r="AR843" s="336"/>
    </row>
    <row r="844" spans="1:44" s="337" customFormat="1" ht="30.95" hidden="1" customHeight="1" x14ac:dyDescent="0.2">
      <c r="A844" s="358"/>
      <c r="B844" s="359"/>
      <c r="C844" s="360"/>
      <c r="D844" s="361"/>
      <c r="E844" s="361"/>
      <c r="F844" s="362"/>
      <c r="G844" s="363"/>
      <c r="H844" s="363"/>
      <c r="I844" s="207"/>
      <c r="J844" s="364"/>
      <c r="K844" s="207"/>
      <c r="L844" s="207"/>
      <c r="M844" s="365"/>
      <c r="N844" s="365"/>
      <c r="O844" s="366"/>
      <c r="P844" s="357"/>
      <c r="Q844" s="367"/>
      <c r="R844" s="278"/>
      <c r="S844" s="278"/>
      <c r="T844" s="368"/>
      <c r="U844" s="278"/>
      <c r="V844" s="363"/>
      <c r="W844" s="363"/>
      <c r="X844" s="363"/>
      <c r="Y844" s="363"/>
      <c r="Z844" s="357"/>
      <c r="AA844" s="207"/>
      <c r="AB844" s="369"/>
      <c r="AC844" s="370"/>
      <c r="AD844" s="332"/>
      <c r="AE844" s="371"/>
      <c r="AF844" s="372"/>
      <c r="AG844" s="366"/>
      <c r="AH844" s="333"/>
      <c r="AI844" s="333"/>
      <c r="AJ844" s="333"/>
      <c r="AK844" s="333"/>
      <c r="AL844" s="334"/>
      <c r="AM844" s="334"/>
      <c r="AN844" s="334"/>
      <c r="AO844" s="334"/>
      <c r="AP844" s="334"/>
      <c r="AQ844" s="335"/>
      <c r="AR844" s="336"/>
    </row>
    <row r="845" spans="1:44" s="337" customFormat="1" ht="30.95" hidden="1" customHeight="1" x14ac:dyDescent="0.2">
      <c r="A845" s="358" t="s">
        <v>1611</v>
      </c>
      <c r="B845" s="359" t="s">
        <v>1612</v>
      </c>
      <c r="C845" s="360"/>
      <c r="D845" s="279">
        <v>3725627</v>
      </c>
      <c r="E845" s="279">
        <v>4151480</v>
      </c>
      <c r="F845" s="362" t="str">
        <f>IF(D845="","",VLOOKUP(D845,[2]契約台帳!$A$3:$K$4999,6,FALSE)&amp;VLOOKUP(D845,[2]契約台帳!$A$3:$K$4999,7,FALSE)&amp;VLOOKUP(D845,[2]契約台帳!$A$3:$K$4999,8,FALSE)&amp;VLOOKUP(D845,[2]契約台帳!$A$3:$K$4999,9,FALSE)&amp;VLOOKUP(D845,[2]契約台帳!$A$3:$K$4999,11,FALSE))</f>
        <v>3UNMLBKF9BF</v>
      </c>
      <c r="G845" s="363" t="str">
        <f>IF(D845="","",VLOOKUP(F845,[2]製品マスタ!$G$5:$H$5000,2,FALSE))</f>
        <v>U</v>
      </c>
      <c r="H845" s="363" t="str">
        <f>IF(D845="","",VLOOKUP(F845,[2]製品マスタ!$G$5:$K$5000,5,FALSE))</f>
        <v>KF9BF</v>
      </c>
      <c r="I845" s="207" t="str">
        <f>IF(D845="","",VLOOKUP(F845,[2]製品マスタ!$G$5:$L$5000,6,FALSE))</f>
        <v>ＫＦ－９Ｂ</v>
      </c>
      <c r="J845" s="373" t="s">
        <v>970</v>
      </c>
      <c r="K845" s="207">
        <f>IF(D845="","",VLOOKUP(D845,[2]契約台帳!$A$3:$L$4999,12,FALSE))</f>
        <v>9</v>
      </c>
      <c r="L845" s="207" t="str">
        <f>IF(D845="","",INDEX([2]製品マスタ!$Q$5:$Q$5000,MATCH(F845&amp;K845,[2]製品マスタ!$AO$5:$AO$5000,0)))</f>
        <v>F53</v>
      </c>
      <c r="M845" s="326">
        <v>1400</v>
      </c>
      <c r="N845" s="326">
        <v>12000</v>
      </c>
      <c r="O845" s="175">
        <v>1</v>
      </c>
      <c r="P845" s="329"/>
      <c r="Q845" s="367">
        <f>IF(D845="","",IF(J845="リード付け",M845,VLOOKUP(D845,[2]契約台帳!$A$3:$N$4999,14,FALSE)))</f>
        <v>1200</v>
      </c>
      <c r="R845" s="278">
        <f>IF(D845="","",IF(J845="リード付け",M845,VLOOKUP(D845,[2]契約台帳!$A$3:$O$4999,15,FALSE)))</f>
        <v>1200</v>
      </c>
      <c r="S845" s="278">
        <f>IF(D845="","",IF(J845="リード付け",N845,VLOOKUP(D845,契約台帳!$A$3:$P$4986,16,FALSE)))</f>
        <v>2000</v>
      </c>
      <c r="T845" s="183">
        <v>6</v>
      </c>
      <c r="U845" s="278" t="str">
        <f ca="1">IF(D845="","",IF(OFFSET(D845,-2,0)=D845,"",VLOOKUP(D845,契約台帳!$A$3:$R$4986,18,FALSE)))</f>
        <v/>
      </c>
      <c r="V845" s="363" t="str">
        <f>IF(J845="巻返し",VLOOKUP(F845&amp;K845&amp;M845,[2]製品マスタ!$M$5:$AD$5000,18,FALSE),IF(J845="リード付け","原反コア",IF(J845="スリット",VLOOKUP(F845&amp;K845&amp;Q845,[2]製品マスタ!$N$5:$AD$5000,17,FALSE),"")))</f>
        <v>3ｲﾝﾁMｺｱ</v>
      </c>
      <c r="W845" s="363">
        <f>IF(J845="巻返し",VLOOKUP(F845&amp;K845&amp;M845,[2]製品マスタ!$M$5:$AE$5000,19,FALSE),IF(J845="リード付け","-",IF(J845="スリット",VLOOKUP(F845&amp;K845&amp;Q845,[2]製品マスタ!$N$5:$AE$5000,18,FALSE),"")))</f>
        <v>1220</v>
      </c>
      <c r="X845" s="363">
        <f>IF(D845="","",VLOOKUP(D845,[2]契約台帳!$A$3:$Q$4999,17,FALSE))</f>
        <v>2</v>
      </c>
      <c r="Y845" s="363" t="str">
        <f>IF(D845="","",VLOOKUP(D845,[2]契約台帳!$A$3:$E$4999,5,FALSE))</f>
        <v>栃木カネカ㈱電材検査</v>
      </c>
      <c r="Z845" s="329" t="s">
        <v>1016</v>
      </c>
      <c r="AA845" s="207" t="s">
        <v>1467</v>
      </c>
      <c r="AB845" s="330"/>
      <c r="AC845" s="370"/>
      <c r="AD845" s="332"/>
      <c r="AE845" s="371">
        <f>+M845*N845*O845/1000</f>
        <v>16800</v>
      </c>
      <c r="AF845" s="372"/>
      <c r="AG845" s="366"/>
      <c r="AH845" s="333"/>
      <c r="AI845" s="333"/>
      <c r="AJ845" s="333"/>
      <c r="AK845" s="333"/>
      <c r="AL845" s="334"/>
      <c r="AM845" s="334"/>
      <c r="AN845" s="334"/>
      <c r="AO845" s="334"/>
      <c r="AP845" s="334"/>
      <c r="AQ845" s="335"/>
      <c r="AR845" s="336"/>
    </row>
    <row r="846" spans="1:44" s="337" customFormat="1" ht="30.95" hidden="1" customHeight="1" x14ac:dyDescent="0.2">
      <c r="A846" s="358"/>
      <c r="B846" s="359"/>
      <c r="C846" s="360"/>
      <c r="D846" s="361"/>
      <c r="E846" s="361"/>
      <c r="F846" s="362"/>
      <c r="G846" s="363"/>
      <c r="H846" s="363"/>
      <c r="I846" s="207"/>
      <c r="J846" s="364"/>
      <c r="K846" s="207"/>
      <c r="L846" s="207"/>
      <c r="M846" s="365"/>
      <c r="N846" s="365"/>
      <c r="O846" s="366"/>
      <c r="P846" s="357"/>
      <c r="Q846" s="367"/>
      <c r="R846" s="278"/>
      <c r="S846" s="278"/>
      <c r="T846" s="368"/>
      <c r="U846" s="278"/>
      <c r="V846" s="363"/>
      <c r="W846" s="363"/>
      <c r="X846" s="363"/>
      <c r="Y846" s="363"/>
      <c r="Z846" s="357"/>
      <c r="AA846" s="207"/>
      <c r="AB846" s="369"/>
      <c r="AC846" s="370"/>
      <c r="AD846" s="332"/>
      <c r="AE846" s="371"/>
      <c r="AF846" s="372"/>
      <c r="AG846" s="366"/>
      <c r="AH846" s="333"/>
      <c r="AI846" s="333"/>
      <c r="AJ846" s="333"/>
      <c r="AK846" s="333"/>
      <c r="AL846" s="334"/>
      <c r="AM846" s="334"/>
      <c r="AN846" s="334"/>
      <c r="AO846" s="334"/>
      <c r="AP846" s="334"/>
      <c r="AQ846" s="335"/>
      <c r="AR846" s="336"/>
    </row>
    <row r="847" spans="1:44" s="337" customFormat="1" ht="30.95" hidden="1" customHeight="1" x14ac:dyDescent="0.2">
      <c r="A847" s="358" t="s">
        <v>582</v>
      </c>
      <c r="B847" s="359" t="s">
        <v>444</v>
      </c>
      <c r="C847" s="360"/>
      <c r="D847" s="31">
        <v>3727589</v>
      </c>
      <c r="E847" s="31">
        <v>4170122</v>
      </c>
      <c r="F847" s="268" t="str">
        <f>IF(D847="","",VLOOKUP(D847,契約台帳!$A$3:$K$4986,6,FALSE)&amp;VLOOKUP(D847,契約台帳!$A$3:$K$4986,7,FALSE)&amp;VLOOKUP(D847,契約台帳!$A$3:$K$4986,8,FALSE)&amp;VLOOKUP(D847,契約台帳!$A$3:$K$4986,9,FALSE)&amp;VLOOKUP(D847,契約台帳!$A$3:$K$4986,11,FALSE))</f>
        <v>3SNMLBMSF</v>
      </c>
      <c r="G847" s="269" t="str">
        <f>IF(D847="","",VLOOKUP(F847,製品マスタ!$G$5:$H$5002,2,FALSE))</f>
        <v>S</v>
      </c>
      <c r="H847" s="269" t="str">
        <f>IF(D847="","",VLOOKUP(F847,製品マスタ!$G$5:$K$5002,5,FALSE))</f>
        <v>MSF</v>
      </c>
      <c r="I847" s="270" t="str">
        <f>IF(D847="","",VLOOKUP(F847,製品マスタ!$G$5:$L$5002,6,FALSE))</f>
        <v>メタルミー　Ｓ</v>
      </c>
      <c r="J847" s="32" t="s">
        <v>464</v>
      </c>
      <c r="K847" s="270">
        <f>IF(D847="","",VLOOKUP(D847,契約台帳!$A$3:$L$4986,12,FALSE))</f>
        <v>25</v>
      </c>
      <c r="L847" s="270" t="str">
        <f>IF(D847="","",INDEX(製品マスタ!$Q$5:$Q$5002,MATCH(F847&amp;K847,製品マスタ!$AO$5:$AO$5002,0)))</f>
        <v>T62M</v>
      </c>
      <c r="M847" s="39">
        <v>1240</v>
      </c>
      <c r="N847" s="39">
        <v>12200</v>
      </c>
      <c r="O847" s="47">
        <v>1</v>
      </c>
      <c r="P847" s="57">
        <v>45197</v>
      </c>
      <c r="Q847" s="276">
        <f>IF(D847="","",IF(J847="リード付け",M847,VLOOKUP(D847,契約台帳!$A$3:$N$4986,14,FALSE)))</f>
        <v>1240</v>
      </c>
      <c r="R847" s="277">
        <f>IF(D847="","",IF(J847="リード付け",M847,VLOOKUP(D847,契約台帳!$A$3:$O$4986,15,FALSE)))</f>
        <v>1240</v>
      </c>
      <c r="S847" s="277">
        <f>IF(D847="","",IF(J847="リード付け",N847,VLOOKUP(D847,契約台帳!$A$3:$P$4986,16,FALSE)))</f>
        <v>12200</v>
      </c>
      <c r="T847" s="40">
        <v>1</v>
      </c>
      <c r="U847" s="278">
        <f ca="1">IF(D847="","",IF(OFFSET(D847,-2,0)=D847,"",VLOOKUP(D847,契約台帳!$A$3:$R$4986,18,FALSE)))</f>
        <v>6</v>
      </c>
      <c r="V847" s="269" t="str">
        <f>IF(J847="巻返し",VLOOKUP(F847&amp;K847&amp;M847,製品マスタ!$M$5:$AD$5002,18,FALSE),IF(J847="リード付け","原反コア",IF(J847="スリット",VLOOKUP(F847&amp;K847&amp;Q847,製品マスタ!$N$5:$AD$5002,17,FALSE),"")))</f>
        <v>原反コア</v>
      </c>
      <c r="W847" s="269" t="str">
        <f>IF(J847="巻返し",VLOOKUP(F847&amp;K847&amp;M847,製品マスタ!$M$5:$AE$5002,19,FALSE),IF(J847="リード付け","-",IF(J847="スリット",VLOOKUP(F847&amp;K847&amp;Q847,製品マスタ!$N$5:$AE$5002,18,FALSE),"")))</f>
        <v>-</v>
      </c>
      <c r="X847" s="275">
        <f>IF(D847="","",VLOOKUP(D847,契約台帳!$A$3:$Q$4986,17,FALSE))</f>
        <v>1</v>
      </c>
      <c r="Y847" s="269" t="str">
        <f>IF(D847="","",VLOOKUP(D847,契約台帳!$A$3:$E$4986,5,FALSE))</f>
        <v xml:space="preserve">日精㈱東京支店      </v>
      </c>
      <c r="Z847" s="357"/>
      <c r="AA847" s="207">
        <f>IFERROR(VLOOKUP(F847&amp;K847&amp;M847,製品マスタ!$M$5:$AM$5002,27,FALSE),"")</f>
        <v>0</v>
      </c>
      <c r="AB847" s="369"/>
      <c r="AC847" s="370"/>
      <c r="AD847" s="332"/>
      <c r="AE847" s="371">
        <f>+M847*N847*O847/1000</f>
        <v>15128</v>
      </c>
      <c r="AF847" s="372"/>
      <c r="AG847" s="366"/>
      <c r="AH847" s="333"/>
      <c r="AI847" s="333"/>
      <c r="AJ847" s="333"/>
      <c r="AK847" s="333"/>
      <c r="AL847" s="334"/>
      <c r="AM847" s="334"/>
      <c r="AN847" s="334"/>
      <c r="AO847" s="334"/>
      <c r="AP847" s="334"/>
      <c r="AQ847" s="335"/>
      <c r="AR847" s="336"/>
    </row>
    <row r="848" spans="1:44" s="337" customFormat="1" ht="30.95" hidden="1" customHeight="1" x14ac:dyDescent="0.2">
      <c r="A848" s="358"/>
      <c r="B848" s="359"/>
      <c r="C848" s="360"/>
      <c r="D848" s="361"/>
      <c r="E848" s="361"/>
      <c r="F848" s="362"/>
      <c r="G848" s="363"/>
      <c r="H848" s="363"/>
      <c r="I848" s="207"/>
      <c r="J848" s="364"/>
      <c r="K848" s="207"/>
      <c r="L848" s="207"/>
      <c r="M848" s="365"/>
      <c r="N848" s="365"/>
      <c r="O848" s="366"/>
      <c r="P848" s="357"/>
      <c r="Q848" s="367"/>
      <c r="R848" s="278"/>
      <c r="S848" s="278"/>
      <c r="T848" s="368"/>
      <c r="U848" s="278"/>
      <c r="V848" s="363"/>
      <c r="W848" s="363"/>
      <c r="X848" s="363"/>
      <c r="Y848" s="363"/>
      <c r="Z848" s="357"/>
      <c r="AA848" s="207"/>
      <c r="AB848" s="369"/>
      <c r="AC848" s="370"/>
      <c r="AD848" s="332"/>
      <c r="AE848" s="371"/>
      <c r="AF848" s="372"/>
      <c r="AG848" s="366"/>
      <c r="AH848" s="333"/>
      <c r="AI848" s="333"/>
      <c r="AJ848" s="333"/>
      <c r="AK848" s="333"/>
      <c r="AL848" s="334"/>
      <c r="AM848" s="334"/>
      <c r="AN848" s="334"/>
      <c r="AO848" s="334"/>
      <c r="AP848" s="334"/>
      <c r="AQ848" s="335"/>
      <c r="AR848" s="336"/>
    </row>
    <row r="849" spans="1:44" s="337" customFormat="1" ht="30.95" hidden="1" customHeight="1" x14ac:dyDescent="0.2">
      <c r="A849" s="358"/>
      <c r="B849" s="359"/>
      <c r="C849" s="360"/>
      <c r="D849" s="31">
        <v>3727599</v>
      </c>
      <c r="E849" s="31">
        <v>4170124</v>
      </c>
      <c r="F849" s="268" t="str">
        <f>IF(D849="","",VLOOKUP(D849,契約台帳!$A$3:$K$4986,6,FALSE)&amp;VLOOKUP(D849,契約台帳!$A$3:$K$4986,7,FALSE)&amp;VLOOKUP(D849,契約台帳!$A$3:$K$4986,8,FALSE)&amp;VLOOKUP(D849,契約台帳!$A$3:$K$4986,9,FALSE)&amp;VLOOKUP(D849,契約台帳!$A$3:$K$4986,11,FALSE))</f>
        <v>3SNMLBMNGTBF</v>
      </c>
      <c r="G849" s="269" t="str">
        <f>IF(D849="","",VLOOKUP(F849,製品マスタ!$G$5:$H$5002,2,FALSE))</f>
        <v>S</v>
      </c>
      <c r="H849" s="269" t="str">
        <f>IF(D849="","",VLOOKUP(F849,製品マスタ!$G$5:$K$5002,5,FALSE))</f>
        <v>MNGTBF</v>
      </c>
      <c r="I849" s="270" t="str">
        <f>IF(D849="","",VLOOKUP(F849,製品マスタ!$G$5:$L$5002,6,FALSE))</f>
        <v>メタルミー　ネーマー　銀艶　Ｂ</v>
      </c>
      <c r="J849" s="32" t="s">
        <v>464</v>
      </c>
      <c r="K849" s="270">
        <f>IF(D849="","",VLOOKUP(D849,契約台帳!$A$3:$L$4986,12,FALSE))</f>
        <v>25</v>
      </c>
      <c r="L849" s="270" t="str">
        <f>IF(D849="","",INDEX(製品マスタ!$Q$5:$Q$5002,MATCH(F849&amp;K849,製品マスタ!$AO$5:$AO$5002,0)))</f>
        <v>T62M</v>
      </c>
      <c r="M849" s="39">
        <v>1125</v>
      </c>
      <c r="N849" s="39">
        <v>12100</v>
      </c>
      <c r="O849" s="47">
        <v>1</v>
      </c>
      <c r="P849" s="57">
        <v>45197</v>
      </c>
      <c r="Q849" s="276">
        <f>IF(D849="","",IF(J849="リード付け",M849,VLOOKUP(D849,契約台帳!$A$3:$N$4986,14,FALSE)))</f>
        <v>1125</v>
      </c>
      <c r="R849" s="277">
        <f>IF(D849="","",IF(J849="リード付け",M849,VLOOKUP(D849,契約台帳!$A$3:$O$4986,15,FALSE)))</f>
        <v>1125</v>
      </c>
      <c r="S849" s="277">
        <f>IF(D849="","",IF(J849="リード付け",N849,VLOOKUP(D849,契約台帳!$A$3:$P$4986,16,FALSE)))</f>
        <v>12100</v>
      </c>
      <c r="T849" s="40">
        <v>1</v>
      </c>
      <c r="U849" s="278">
        <f ca="1">IF(D849="","",IF(OFFSET(D849,-2,0)=D849,"",VLOOKUP(D849,契約台帳!$A$3:$R$4986,18,FALSE)))</f>
        <v>3</v>
      </c>
      <c r="V849" s="269" t="str">
        <f>IF(J849="巻返し",VLOOKUP(F849&amp;K849&amp;M849,製品マスタ!$M$5:$AD$5002,18,FALSE),IF(J849="リード付け","原反コア",IF(J849="スリット",VLOOKUP(F849&amp;K849&amp;Q849,製品マスタ!$N$5:$AD$5002,17,FALSE),"")))</f>
        <v>原反コア</v>
      </c>
      <c r="W849" s="269" t="str">
        <f>IF(J849="巻返し",VLOOKUP(F849&amp;K849&amp;M849,製品マスタ!$M$5:$AE$5002,19,FALSE),IF(J849="リード付け","-",IF(J849="スリット",VLOOKUP(F849&amp;K849&amp;Q849,製品マスタ!$N$5:$AE$5002,18,FALSE),"")))</f>
        <v>-</v>
      </c>
      <c r="X849" s="275">
        <f>IF(D849="","",VLOOKUP(D849,契約台帳!$A$3:$Q$4986,17,FALSE))</f>
        <v>2</v>
      </c>
      <c r="Y849" s="269" t="str">
        <f>IF(D849="","",VLOOKUP(D849,契約台帳!$A$3:$E$4986,5,FALSE))</f>
        <v xml:space="preserve">リンテック㈱        </v>
      </c>
      <c r="Z849" s="357"/>
      <c r="AA849" s="207">
        <f>IFERROR(VLOOKUP(F849&amp;K849&amp;M849,製品マスタ!$M$5:$AM$5002,27,FALSE),"")</f>
        <v>0</v>
      </c>
      <c r="AB849" s="369"/>
      <c r="AC849" s="370"/>
      <c r="AD849" s="332"/>
      <c r="AE849" s="371">
        <f>+M849*N849*O849/1000</f>
        <v>13612.5</v>
      </c>
      <c r="AF849" s="372"/>
      <c r="AG849" s="366"/>
      <c r="AH849" s="333"/>
      <c r="AI849" s="333"/>
      <c r="AJ849" s="333"/>
      <c r="AK849" s="333"/>
      <c r="AL849" s="334"/>
      <c r="AM849" s="334"/>
      <c r="AN849" s="334"/>
      <c r="AO849" s="334"/>
      <c r="AP849" s="334"/>
      <c r="AQ849" s="335"/>
      <c r="AR849" s="336"/>
    </row>
    <row r="850" spans="1:44" s="337" customFormat="1" ht="30.95" hidden="1" customHeight="1" x14ac:dyDescent="0.2">
      <c r="A850" s="358"/>
      <c r="B850" s="359"/>
      <c r="C850" s="360"/>
      <c r="D850" s="361"/>
      <c r="E850" s="361"/>
      <c r="F850" s="362"/>
      <c r="G850" s="363"/>
      <c r="H850" s="363"/>
      <c r="I850" s="207"/>
      <c r="J850" s="364"/>
      <c r="K850" s="207"/>
      <c r="L850" s="207"/>
      <c r="M850" s="365"/>
      <c r="N850" s="365"/>
      <c r="O850" s="366"/>
      <c r="P850" s="357"/>
      <c r="Q850" s="367"/>
      <c r="R850" s="278"/>
      <c r="S850" s="278"/>
      <c r="T850" s="368"/>
      <c r="U850" s="278"/>
      <c r="V850" s="363"/>
      <c r="W850" s="363"/>
      <c r="X850" s="363"/>
      <c r="Y850" s="363"/>
      <c r="Z850" s="357"/>
      <c r="AA850" s="207"/>
      <c r="AB850" s="369"/>
      <c r="AC850" s="370"/>
      <c r="AD850" s="332"/>
      <c r="AE850" s="371"/>
      <c r="AF850" s="372"/>
      <c r="AG850" s="366"/>
      <c r="AH850" s="333"/>
      <c r="AI850" s="333"/>
      <c r="AJ850" s="333"/>
      <c r="AK850" s="333"/>
      <c r="AL850" s="334"/>
      <c r="AM850" s="334"/>
      <c r="AN850" s="334"/>
      <c r="AO850" s="334"/>
      <c r="AP850" s="334"/>
      <c r="AQ850" s="335"/>
      <c r="AR850" s="336"/>
    </row>
    <row r="851" spans="1:44" s="337" customFormat="1" ht="30.95" hidden="1" customHeight="1" x14ac:dyDescent="0.2">
      <c r="A851" s="358"/>
      <c r="B851" s="359"/>
      <c r="C851" s="360"/>
      <c r="D851" s="31">
        <v>3727586</v>
      </c>
      <c r="E851" s="31">
        <v>4170121</v>
      </c>
      <c r="F851" s="268" t="str">
        <f>IF(D851="","",VLOOKUP(D851,契約台帳!$A$3:$K$4986,6,FALSE)&amp;VLOOKUP(D851,契約台帳!$A$3:$K$4986,7,FALSE)&amp;VLOOKUP(D851,契約台帳!$A$3:$K$4986,8,FALSE)&amp;VLOOKUP(D851,契約台帳!$A$3:$K$4986,9,FALSE)&amp;VLOOKUP(D851,契約台帳!$A$3:$K$4986,11,FALSE))</f>
        <v>3SNMLBMSF</v>
      </c>
      <c r="G851" s="269" t="str">
        <f>IF(D851="","",VLOOKUP(F851,製品マスタ!$G$5:$H$5002,2,FALSE))</f>
        <v>S</v>
      </c>
      <c r="H851" s="269" t="str">
        <f>IF(D851="","",VLOOKUP(F851,製品マスタ!$G$5:$K$5002,5,FALSE))</f>
        <v>MSF</v>
      </c>
      <c r="I851" s="270" t="str">
        <f>IF(D851="","",VLOOKUP(F851,製品マスタ!$G$5:$L$5002,6,FALSE))</f>
        <v>メタルミー　Ｓ</v>
      </c>
      <c r="J851" s="32" t="s">
        <v>464</v>
      </c>
      <c r="K851" s="270">
        <f>IF(D851="","",VLOOKUP(D851,契約台帳!$A$3:$L$4986,12,FALSE))</f>
        <v>25</v>
      </c>
      <c r="L851" s="270" t="str">
        <f>IF(D851="","",INDEX(製品マスタ!$Q$5:$Q$5002,MATCH(F851&amp;K851,製品マスタ!$AO$5:$AO$5002,0)))</f>
        <v>T62M</v>
      </c>
      <c r="M851" s="39">
        <v>1020</v>
      </c>
      <c r="N851" s="39">
        <v>12100</v>
      </c>
      <c r="O851" s="47">
        <v>1</v>
      </c>
      <c r="P851" s="213">
        <v>45196</v>
      </c>
      <c r="Q851" s="276">
        <f>IF(D851="","",IF(J851="リード付け",M851,VLOOKUP(D851,契約台帳!$A$3:$N$4986,14,FALSE)))</f>
        <v>1020</v>
      </c>
      <c r="R851" s="277">
        <f>IF(D851="","",IF(J851="リード付け",M851,VLOOKUP(D851,契約台帳!$A$3:$O$4986,15,FALSE)))</f>
        <v>1020</v>
      </c>
      <c r="S851" s="277">
        <f>IF(D851="","",IF(J851="リード付け",N851,VLOOKUP(D851,契約台帳!$A$3:$P$4986,16,FALSE)))</f>
        <v>12100</v>
      </c>
      <c r="T851" s="40">
        <v>1</v>
      </c>
      <c r="U851" s="278">
        <f ca="1">IF(D851="","",IF(OFFSET(D851,-2,0)=D851,"",VLOOKUP(D851,契約台帳!$A$3:$R$4986,18,FALSE)))</f>
        <v>12</v>
      </c>
      <c r="V851" s="269" t="str">
        <f>IF(J851="巻返し",VLOOKUP(F851&amp;K851&amp;M851,製品マスタ!$M$5:$AD$5002,18,FALSE),IF(J851="リード付け","原反コア",IF(J851="スリット",VLOOKUP(F851&amp;K851&amp;Q851,製品マスタ!$N$5:$AD$5002,17,FALSE),"")))</f>
        <v>原反コア</v>
      </c>
      <c r="W851" s="269" t="str">
        <f>IF(J851="巻返し",VLOOKUP(F851&amp;K851&amp;M851,製品マスタ!$M$5:$AE$5002,19,FALSE),IF(J851="リード付け","-",IF(J851="スリット",VLOOKUP(F851&amp;K851&amp;Q851,製品マスタ!$N$5:$AE$5002,18,FALSE),"")))</f>
        <v>-</v>
      </c>
      <c r="X851" s="275">
        <f>IF(D851="","",VLOOKUP(D851,契約台帳!$A$3:$Q$4986,17,FALSE))</f>
        <v>1</v>
      </c>
      <c r="Y851" s="269" t="str">
        <f>IF(D851="","",VLOOKUP(D851,契約台帳!$A$3:$E$4986,5,FALSE))</f>
        <v xml:space="preserve">日東シンコー㈱      </v>
      </c>
      <c r="Z851" s="357"/>
      <c r="AA851" s="207">
        <f>IFERROR(VLOOKUP(F851&amp;K851&amp;M851,製品マスタ!$M$5:$AM$5002,27,FALSE),"")</f>
        <v>0</v>
      </c>
      <c r="AB851" s="369"/>
      <c r="AC851" s="370"/>
      <c r="AD851" s="332"/>
      <c r="AE851" s="371">
        <f>+M851*N851*O851/1000</f>
        <v>12342</v>
      </c>
      <c r="AF851" s="372"/>
      <c r="AG851" s="366"/>
      <c r="AH851" s="333"/>
      <c r="AI851" s="333"/>
      <c r="AJ851" s="333"/>
      <c r="AK851" s="333"/>
      <c r="AL851" s="334"/>
      <c r="AM851" s="334"/>
      <c r="AN851" s="334"/>
      <c r="AO851" s="334"/>
      <c r="AP851" s="334"/>
      <c r="AQ851" s="335"/>
      <c r="AR851" s="336"/>
    </row>
    <row r="852" spans="1:44" s="337" customFormat="1" ht="30.95" hidden="1" customHeight="1" x14ac:dyDescent="0.2">
      <c r="A852" s="358"/>
      <c r="B852" s="359"/>
      <c r="C852" s="360"/>
      <c r="D852" s="361"/>
      <c r="E852" s="361"/>
      <c r="F852" s="362"/>
      <c r="G852" s="363"/>
      <c r="H852" s="363"/>
      <c r="I852" s="207"/>
      <c r="J852" s="364"/>
      <c r="K852" s="207"/>
      <c r="L852" s="207"/>
      <c r="M852" s="365"/>
      <c r="N852" s="365"/>
      <c r="O852" s="366"/>
      <c r="P852" s="357"/>
      <c r="Q852" s="367"/>
      <c r="R852" s="278"/>
      <c r="S852" s="278"/>
      <c r="T852" s="368"/>
      <c r="U852" s="278"/>
      <c r="V852" s="363"/>
      <c r="W852" s="363"/>
      <c r="X852" s="363"/>
      <c r="Y852" s="363"/>
      <c r="Z852" s="357"/>
      <c r="AA852" s="207"/>
      <c r="AB852" s="369"/>
      <c r="AC852" s="370"/>
      <c r="AD852" s="332"/>
      <c r="AE852" s="371"/>
      <c r="AF852" s="372"/>
      <c r="AG852" s="366"/>
      <c r="AH852" s="333"/>
      <c r="AI852" s="333"/>
      <c r="AJ852" s="333"/>
      <c r="AK852" s="333"/>
      <c r="AL852" s="334"/>
      <c r="AM852" s="334"/>
      <c r="AN852" s="334"/>
      <c r="AO852" s="334"/>
      <c r="AP852" s="334"/>
      <c r="AQ852" s="335"/>
      <c r="AR852" s="336"/>
    </row>
    <row r="853" spans="1:44" s="337" customFormat="1" ht="30.95" hidden="1" customHeight="1" x14ac:dyDescent="0.2">
      <c r="A853" s="358"/>
      <c r="B853" s="359"/>
      <c r="C853" s="360"/>
      <c r="D853" s="31">
        <v>3727598</v>
      </c>
      <c r="E853" s="31">
        <v>4170123</v>
      </c>
      <c r="F853" s="268" t="str">
        <f>IF(D853="","",VLOOKUP(D853,契約台帳!$A$3:$K$4986,6,FALSE)&amp;VLOOKUP(D853,契約台帳!$A$3:$K$4986,7,FALSE)&amp;VLOOKUP(D853,契約台帳!$A$3:$K$4986,8,FALSE)&amp;VLOOKUP(D853,契約台帳!$A$3:$K$4986,9,FALSE)&amp;VLOOKUP(D853,契約台帳!$A$3:$K$4986,11,FALSE))</f>
        <v>3SNMLBMNGTBF</v>
      </c>
      <c r="G853" s="269" t="str">
        <f>IF(D853="","",VLOOKUP(F853,製品マスタ!$G$5:$H$5002,2,FALSE))</f>
        <v>S</v>
      </c>
      <c r="H853" s="269" t="str">
        <f>IF(D853="","",VLOOKUP(F853,製品マスタ!$G$5:$K$5002,5,FALSE))</f>
        <v>MNGTBF</v>
      </c>
      <c r="I853" s="270" t="str">
        <f>IF(D853="","",VLOOKUP(F853,製品マスタ!$G$5:$L$5002,6,FALSE))</f>
        <v>メタルミー　ネーマー　銀艶　Ｂ</v>
      </c>
      <c r="J853" s="32" t="s">
        <v>464</v>
      </c>
      <c r="K853" s="270">
        <f>IF(D853="","",VLOOKUP(D853,契約台帳!$A$3:$L$4986,12,FALSE))</f>
        <v>25</v>
      </c>
      <c r="L853" s="270" t="str">
        <f>IF(D853="","",INDEX(製品マスタ!$Q$5:$Q$5002,MATCH(F853&amp;K853,製品マスタ!$AO$5:$AO$5002,0)))</f>
        <v>T62M</v>
      </c>
      <c r="M853" s="39">
        <v>1125</v>
      </c>
      <c r="N853" s="39">
        <v>12100</v>
      </c>
      <c r="O853" s="47">
        <v>5</v>
      </c>
      <c r="P853" s="57">
        <v>45197</v>
      </c>
      <c r="Q853" s="276">
        <f>IF(D853="","",IF(J853="リード付け",M853,VLOOKUP(D853,契約台帳!$A$3:$N$4986,14,FALSE)))</f>
        <v>1125</v>
      </c>
      <c r="R853" s="277">
        <f>IF(D853="","",IF(J853="リード付け",M853,VLOOKUP(D853,契約台帳!$A$3:$O$4986,15,FALSE)))</f>
        <v>1125</v>
      </c>
      <c r="S853" s="277">
        <f>IF(D853="","",IF(J853="リード付け",N853,VLOOKUP(D853,契約台帳!$A$3:$P$4986,16,FALSE)))</f>
        <v>12100</v>
      </c>
      <c r="T853" s="40">
        <v>5</v>
      </c>
      <c r="U853" s="278">
        <f ca="1">IF(D853="","",IF(OFFSET(D853,-2,0)=D853,"",VLOOKUP(D853,契約台帳!$A$3:$R$4986,18,FALSE)))</f>
        <v>15</v>
      </c>
      <c r="V853" s="269" t="str">
        <f>IF(J853="巻返し",VLOOKUP(F853&amp;K853&amp;M853,製品マスタ!$M$5:$AD$5002,18,FALSE),IF(J853="リード付け","原反コア",IF(J853="スリット",VLOOKUP(F853&amp;K853&amp;Q853,製品マスタ!$N$5:$AD$5002,17,FALSE),"")))</f>
        <v>原反コア</v>
      </c>
      <c r="W853" s="269" t="str">
        <f>IF(J853="巻返し",VLOOKUP(F853&amp;K853&amp;M853,製品マスタ!$M$5:$AE$5002,19,FALSE),IF(J853="リード付け","-",IF(J853="スリット",VLOOKUP(F853&amp;K853&amp;Q853,製品マスタ!$N$5:$AE$5002,18,FALSE),"")))</f>
        <v>-</v>
      </c>
      <c r="X853" s="275">
        <f>IF(D853="","",VLOOKUP(D853,契約台帳!$A$3:$Q$4986,17,FALSE))</f>
        <v>2</v>
      </c>
      <c r="Y853" s="269" t="str">
        <f>IF(D853="","",VLOOKUP(D853,契約台帳!$A$3:$E$4986,5,FALSE))</f>
        <v xml:space="preserve">リンテック㈱        </v>
      </c>
      <c r="Z853" s="357"/>
      <c r="AA853" s="207">
        <f>IFERROR(VLOOKUP(F853&amp;K853&amp;M853,製品マスタ!$M$5:$AM$5002,27,FALSE),"")</f>
        <v>0</v>
      </c>
      <c r="AB853" s="369"/>
      <c r="AC853" s="370"/>
      <c r="AD853" s="332"/>
      <c r="AE853" s="371">
        <f>+M853*N853*O853/1000</f>
        <v>68062.5</v>
      </c>
      <c r="AF853" s="372"/>
      <c r="AG853" s="366"/>
      <c r="AH853" s="333"/>
      <c r="AI853" s="333"/>
      <c r="AJ853" s="333"/>
      <c r="AK853" s="333"/>
      <c r="AL853" s="334"/>
      <c r="AM853" s="334"/>
      <c r="AN853" s="334"/>
      <c r="AO853" s="334"/>
      <c r="AP853" s="334"/>
      <c r="AQ853" s="335"/>
      <c r="AR853" s="336"/>
    </row>
    <row r="854" spans="1:44" s="337" customFormat="1" ht="30.95" hidden="1" customHeight="1" x14ac:dyDescent="0.2">
      <c r="A854" s="358"/>
      <c r="B854" s="359"/>
      <c r="C854" s="360"/>
      <c r="D854" s="361"/>
      <c r="E854" s="361"/>
      <c r="F854" s="362"/>
      <c r="G854" s="363"/>
      <c r="H854" s="363"/>
      <c r="I854" s="207"/>
      <c r="J854" s="364"/>
      <c r="K854" s="207"/>
      <c r="L854" s="207"/>
      <c r="M854" s="365"/>
      <c r="N854" s="365"/>
      <c r="O854" s="366"/>
      <c r="P854" s="357"/>
      <c r="Q854" s="367"/>
      <c r="R854" s="278"/>
      <c r="S854" s="278"/>
      <c r="T854" s="368"/>
      <c r="U854" s="278"/>
      <c r="V854" s="363"/>
      <c r="W854" s="363"/>
      <c r="X854" s="363"/>
      <c r="Y854" s="363"/>
      <c r="Z854" s="357"/>
      <c r="AA854" s="207"/>
      <c r="AB854" s="369"/>
      <c r="AC854" s="370"/>
      <c r="AD854" s="332"/>
      <c r="AE854" s="371"/>
      <c r="AF854" s="372"/>
      <c r="AG854" s="366"/>
      <c r="AH854" s="333"/>
      <c r="AI854" s="333"/>
      <c r="AJ854" s="333"/>
      <c r="AK854" s="333"/>
      <c r="AL854" s="334"/>
      <c r="AM854" s="334"/>
      <c r="AN854" s="334"/>
      <c r="AO854" s="334"/>
      <c r="AP854" s="334"/>
      <c r="AQ854" s="335"/>
      <c r="AR854" s="336"/>
    </row>
    <row r="855" spans="1:44" s="337" customFormat="1" ht="30.95" hidden="1" customHeight="1" x14ac:dyDescent="0.2">
      <c r="A855" s="358" t="s">
        <v>583</v>
      </c>
      <c r="B855" s="359" t="s">
        <v>445</v>
      </c>
      <c r="C855" s="360"/>
      <c r="D855" s="361"/>
      <c r="E855" s="361"/>
      <c r="F855" s="362"/>
      <c r="G855" s="363"/>
      <c r="H855" s="363"/>
      <c r="I855" s="207"/>
      <c r="J855" s="364" t="s">
        <v>448</v>
      </c>
      <c r="K855" s="207"/>
      <c r="L855" s="207"/>
      <c r="M855" s="365"/>
      <c r="N855" s="365"/>
      <c r="O855" s="366"/>
      <c r="P855" s="357"/>
      <c r="Q855" s="367"/>
      <c r="R855" s="278"/>
      <c r="S855" s="278"/>
      <c r="T855" s="368"/>
      <c r="U855" s="278"/>
      <c r="V855" s="363"/>
      <c r="W855" s="363"/>
      <c r="X855" s="363"/>
      <c r="Y855" s="363"/>
      <c r="Z855" s="357"/>
      <c r="AA855" s="207"/>
      <c r="AB855" s="369"/>
      <c r="AC855" s="370"/>
      <c r="AD855" s="332"/>
      <c r="AE855" s="371"/>
      <c r="AF855" s="372"/>
      <c r="AG855" s="366"/>
      <c r="AH855" s="333"/>
      <c r="AI855" s="333"/>
      <c r="AJ855" s="333"/>
      <c r="AK855" s="333"/>
      <c r="AL855" s="334"/>
      <c r="AM855" s="334"/>
      <c r="AN855" s="334"/>
      <c r="AO855" s="334"/>
      <c r="AP855" s="334"/>
      <c r="AQ855" s="335"/>
      <c r="AR855" s="336"/>
    </row>
    <row r="856" spans="1:44" s="337" customFormat="1" ht="30.95" hidden="1" customHeight="1" x14ac:dyDescent="0.2">
      <c r="A856" s="358"/>
      <c r="B856" s="359"/>
      <c r="C856" s="360"/>
      <c r="D856" s="361"/>
      <c r="E856" s="361"/>
      <c r="F856" s="362"/>
      <c r="G856" s="363"/>
      <c r="H856" s="363"/>
      <c r="I856" s="207"/>
      <c r="J856" s="364"/>
      <c r="K856" s="207"/>
      <c r="L856" s="207"/>
      <c r="M856" s="365"/>
      <c r="N856" s="365"/>
      <c r="O856" s="366"/>
      <c r="P856" s="357"/>
      <c r="Q856" s="367"/>
      <c r="R856" s="278"/>
      <c r="S856" s="278"/>
      <c r="T856" s="368"/>
      <c r="U856" s="278"/>
      <c r="V856" s="363"/>
      <c r="W856" s="363"/>
      <c r="X856" s="363"/>
      <c r="Y856" s="363"/>
      <c r="Z856" s="357"/>
      <c r="AA856" s="207"/>
      <c r="AB856" s="369"/>
      <c r="AC856" s="370"/>
      <c r="AD856" s="332"/>
      <c r="AE856" s="371"/>
      <c r="AF856" s="372"/>
      <c r="AG856" s="366"/>
      <c r="AH856" s="333"/>
      <c r="AI856" s="333"/>
      <c r="AJ856" s="333"/>
      <c r="AK856" s="333"/>
      <c r="AL856" s="334"/>
      <c r="AM856" s="334"/>
      <c r="AN856" s="334"/>
      <c r="AO856" s="334"/>
      <c r="AP856" s="334"/>
      <c r="AQ856" s="335"/>
      <c r="AR856" s="336"/>
    </row>
    <row r="857" spans="1:44" s="337" customFormat="1" ht="30.95" hidden="1" customHeight="1" x14ac:dyDescent="0.2">
      <c r="A857" s="358" t="s">
        <v>584</v>
      </c>
      <c r="B857" s="359" t="s">
        <v>446</v>
      </c>
      <c r="C857" s="360"/>
      <c r="D857" s="361"/>
      <c r="E857" s="361"/>
      <c r="F857" s="362"/>
      <c r="G857" s="363"/>
      <c r="H857" s="363"/>
      <c r="I857" s="207"/>
      <c r="J857" s="364" t="s">
        <v>448</v>
      </c>
      <c r="K857" s="207"/>
      <c r="L857" s="207"/>
      <c r="M857" s="365"/>
      <c r="N857" s="365"/>
      <c r="O857" s="366"/>
      <c r="P857" s="357"/>
      <c r="Q857" s="367"/>
      <c r="R857" s="278"/>
      <c r="S857" s="278"/>
      <c r="T857" s="368"/>
      <c r="U857" s="278"/>
      <c r="V857" s="363"/>
      <c r="W857" s="363"/>
      <c r="X857" s="363"/>
      <c r="Y857" s="363"/>
      <c r="Z857" s="357"/>
      <c r="AA857" s="207"/>
      <c r="AB857" s="369"/>
      <c r="AC857" s="370"/>
      <c r="AD857" s="332"/>
      <c r="AE857" s="371"/>
      <c r="AF857" s="372"/>
      <c r="AG857" s="366"/>
      <c r="AH857" s="333"/>
      <c r="AI857" s="333"/>
      <c r="AJ857" s="333"/>
      <c r="AK857" s="333"/>
      <c r="AL857" s="334"/>
      <c r="AM857" s="334"/>
      <c r="AN857" s="334"/>
      <c r="AO857" s="334"/>
      <c r="AP857" s="334"/>
      <c r="AQ857" s="335"/>
      <c r="AR857" s="336"/>
    </row>
    <row r="858" spans="1:44" s="337" customFormat="1" ht="30.95" hidden="1" customHeight="1" x14ac:dyDescent="0.2">
      <c r="A858" s="358"/>
      <c r="B858" s="359"/>
      <c r="C858" s="360"/>
      <c r="D858" s="361"/>
      <c r="E858" s="361"/>
      <c r="F858" s="362"/>
      <c r="G858" s="363"/>
      <c r="H858" s="363"/>
      <c r="I858" s="207"/>
      <c r="J858" s="364"/>
      <c r="K858" s="207"/>
      <c r="L858" s="207"/>
      <c r="M858" s="365"/>
      <c r="N858" s="365"/>
      <c r="O858" s="366"/>
      <c r="P858" s="357"/>
      <c r="Q858" s="367"/>
      <c r="R858" s="278"/>
      <c r="S858" s="278"/>
      <c r="T858" s="368"/>
      <c r="U858" s="278"/>
      <c r="V858" s="363"/>
      <c r="W858" s="363"/>
      <c r="X858" s="363"/>
      <c r="Y858" s="363"/>
      <c r="Z858" s="357"/>
      <c r="AA858" s="207"/>
      <c r="AB858" s="369"/>
      <c r="AC858" s="370"/>
      <c r="AD858" s="332"/>
      <c r="AE858" s="371"/>
      <c r="AF858" s="372"/>
      <c r="AG858" s="366"/>
      <c r="AH858" s="333"/>
      <c r="AI858" s="333"/>
      <c r="AJ858" s="333"/>
      <c r="AK858" s="333"/>
      <c r="AL858" s="334"/>
      <c r="AM858" s="334"/>
      <c r="AN858" s="334"/>
      <c r="AO858" s="334"/>
      <c r="AP858" s="334"/>
      <c r="AQ858" s="335"/>
      <c r="AR858" s="336"/>
    </row>
    <row r="859" spans="1:44" s="337" customFormat="1" ht="30.95" hidden="1" customHeight="1" x14ac:dyDescent="0.2">
      <c r="A859" s="320" t="s">
        <v>585</v>
      </c>
      <c r="B859" s="321" t="s">
        <v>462</v>
      </c>
      <c r="C859" s="322"/>
      <c r="D859" s="279"/>
      <c r="E859" s="279"/>
      <c r="F859" s="362"/>
      <c r="G859" s="363"/>
      <c r="H859" s="363"/>
      <c r="I859" s="207"/>
      <c r="J859" s="364"/>
      <c r="K859" s="207"/>
      <c r="L859" s="207"/>
      <c r="M859" s="326"/>
      <c r="N859" s="326"/>
      <c r="O859" s="175"/>
      <c r="P859" s="329"/>
      <c r="Q859" s="367"/>
      <c r="R859" s="278"/>
      <c r="S859" s="278"/>
      <c r="T859" s="183"/>
      <c r="U859" s="278"/>
      <c r="V859" s="363"/>
      <c r="W859" s="363"/>
      <c r="X859" s="363"/>
      <c r="Y859" s="363"/>
      <c r="Z859" s="329"/>
      <c r="AA859" s="207"/>
      <c r="AB859" s="330"/>
      <c r="AC859" s="331"/>
      <c r="AD859" s="332"/>
      <c r="AE859" s="216"/>
      <c r="AF859" s="328"/>
      <c r="AG859" s="175"/>
      <c r="AH859" s="333"/>
      <c r="AI859" s="333"/>
      <c r="AJ859" s="333"/>
      <c r="AK859" s="333"/>
      <c r="AL859" s="334"/>
      <c r="AM859" s="334"/>
      <c r="AN859" s="334"/>
      <c r="AO859" s="334"/>
      <c r="AP859" s="334"/>
      <c r="AQ859" s="335"/>
      <c r="AR859" s="336"/>
    </row>
    <row r="860" spans="1:44" s="337" customFormat="1" ht="30.95" hidden="1" customHeight="1" x14ac:dyDescent="0.2">
      <c r="A860" s="358"/>
      <c r="B860" s="359"/>
      <c r="C860" s="360"/>
      <c r="D860" s="361"/>
      <c r="E860" s="361"/>
      <c r="F860" s="362"/>
      <c r="G860" s="363"/>
      <c r="H860" s="363"/>
      <c r="I860" s="207"/>
      <c r="J860" s="364"/>
      <c r="K860" s="207"/>
      <c r="L860" s="207"/>
      <c r="M860" s="365"/>
      <c r="N860" s="365"/>
      <c r="O860" s="366"/>
      <c r="P860" s="357"/>
      <c r="Q860" s="367"/>
      <c r="R860" s="278"/>
      <c r="S860" s="278"/>
      <c r="T860" s="368"/>
      <c r="U860" s="278"/>
      <c r="V860" s="363"/>
      <c r="W860" s="363"/>
      <c r="X860" s="363"/>
      <c r="Y860" s="363"/>
      <c r="Z860" s="357"/>
      <c r="AA860" s="207"/>
      <c r="AB860" s="369"/>
      <c r="AC860" s="370"/>
      <c r="AD860" s="332"/>
      <c r="AE860" s="371"/>
      <c r="AF860" s="372"/>
      <c r="AG860" s="366"/>
      <c r="AH860" s="333"/>
      <c r="AI860" s="333"/>
      <c r="AJ860" s="333"/>
      <c r="AK860" s="333"/>
      <c r="AL860" s="334"/>
      <c r="AM860" s="334"/>
      <c r="AN860" s="334"/>
      <c r="AO860" s="334"/>
      <c r="AP860" s="334"/>
      <c r="AQ860" s="335"/>
      <c r="AR860" s="336"/>
    </row>
    <row r="861" spans="1:44" s="337" customFormat="1" ht="30.95" hidden="1" customHeight="1" x14ac:dyDescent="0.2">
      <c r="A861" s="358" t="s">
        <v>1599</v>
      </c>
      <c r="B861" s="359" t="s">
        <v>1600</v>
      </c>
      <c r="C861" s="360"/>
      <c r="D861" s="31"/>
      <c r="E861" s="31"/>
      <c r="F861" s="268"/>
      <c r="G861" s="269"/>
      <c r="H861" s="269"/>
      <c r="I861" s="270"/>
      <c r="J861" s="32"/>
      <c r="K861" s="270"/>
      <c r="L861" s="270"/>
      <c r="M861" s="39"/>
      <c r="N861" s="39"/>
      <c r="O861" s="47"/>
      <c r="P861" s="57"/>
      <c r="Q861" s="276"/>
      <c r="R861" s="277"/>
      <c r="S861" s="277"/>
      <c r="T861" s="40"/>
      <c r="U861" s="278"/>
      <c r="V861" s="269"/>
      <c r="W861" s="269"/>
      <c r="X861" s="275"/>
      <c r="Y861" s="269"/>
      <c r="Z861" s="357"/>
      <c r="AA861" s="207"/>
      <c r="AB861" s="369"/>
      <c r="AC861" s="370"/>
      <c r="AD861" s="332"/>
      <c r="AE861" s="371"/>
      <c r="AF861" s="372"/>
      <c r="AG861" s="366"/>
      <c r="AH861" s="333"/>
      <c r="AI861" s="333"/>
      <c r="AJ861" s="333"/>
      <c r="AK861" s="333"/>
      <c r="AL861" s="334"/>
      <c r="AM861" s="334"/>
      <c r="AN861" s="334"/>
      <c r="AO861" s="334"/>
      <c r="AP861" s="334"/>
      <c r="AQ861" s="335"/>
      <c r="AR861" s="336"/>
    </row>
    <row r="862" spans="1:44" s="337" customFormat="1" ht="30.95" hidden="1" customHeight="1" x14ac:dyDescent="0.2">
      <c r="A862" s="358"/>
      <c r="B862" s="359"/>
      <c r="C862" s="360"/>
      <c r="D862" s="361"/>
      <c r="E862" s="361"/>
      <c r="F862" s="362"/>
      <c r="G862" s="363"/>
      <c r="H862" s="363"/>
      <c r="I862" s="207"/>
      <c r="J862" s="364"/>
      <c r="K862" s="207"/>
      <c r="L862" s="207"/>
      <c r="M862" s="365"/>
      <c r="N862" s="365"/>
      <c r="O862" s="366"/>
      <c r="P862" s="357"/>
      <c r="Q862" s="367"/>
      <c r="R862" s="278"/>
      <c r="S862" s="278"/>
      <c r="T862" s="368"/>
      <c r="U862" s="278"/>
      <c r="V862" s="363"/>
      <c r="W862" s="363"/>
      <c r="X862" s="363"/>
      <c r="Y862" s="363"/>
      <c r="Z862" s="357"/>
      <c r="AA862" s="207"/>
      <c r="AB862" s="369"/>
      <c r="AC862" s="370"/>
      <c r="AD862" s="332"/>
      <c r="AE862" s="371"/>
      <c r="AF862" s="372"/>
      <c r="AG862" s="366"/>
      <c r="AH862" s="333"/>
      <c r="AI862" s="333"/>
      <c r="AJ862" s="333"/>
      <c r="AK862" s="333"/>
      <c r="AL862" s="334"/>
      <c r="AM862" s="334"/>
      <c r="AN862" s="334"/>
      <c r="AO862" s="334"/>
      <c r="AP862" s="334"/>
      <c r="AQ862" s="335"/>
      <c r="AR862" s="336"/>
    </row>
    <row r="863" spans="1:44" s="337" customFormat="1" ht="30.95" hidden="1" customHeight="1" x14ac:dyDescent="0.2">
      <c r="A863" s="320" t="s">
        <v>587</v>
      </c>
      <c r="B863" s="321" t="s">
        <v>442</v>
      </c>
      <c r="C863" s="360"/>
      <c r="D863" s="398">
        <v>3727599</v>
      </c>
      <c r="E863" s="31">
        <v>4151502</v>
      </c>
      <c r="F863" s="268" t="str">
        <f>IF(D863="","",VLOOKUP(D863,契約台帳!$A$3:$K$4986,6,FALSE)&amp;VLOOKUP(D863,契約台帳!$A$3:$K$4986,7,FALSE)&amp;VLOOKUP(D863,契約台帳!$A$3:$K$4986,8,FALSE)&amp;VLOOKUP(D863,契約台帳!$A$3:$K$4986,9,FALSE)&amp;VLOOKUP(D863,契約台帳!$A$3:$K$4986,11,FALSE))</f>
        <v>3SNMLBMNGTBF</v>
      </c>
      <c r="G863" s="269" t="str">
        <f>IF(D863="","",VLOOKUP(F863,製品マスタ!$G$5:$H$5002,2,FALSE))</f>
        <v>S</v>
      </c>
      <c r="H863" s="269" t="str">
        <f>IF(D863="","",VLOOKUP(F863,製品マスタ!$G$5:$K$5002,5,FALSE))</f>
        <v>MNGTBF</v>
      </c>
      <c r="I863" s="270" t="str">
        <f>IF(D863="","",VLOOKUP(F863,製品マスタ!$G$5:$L$5002,6,FALSE))</f>
        <v>メタルミー　ネーマー　銀艶　Ｂ</v>
      </c>
      <c r="J863" s="32" t="s">
        <v>447</v>
      </c>
      <c r="K863" s="270">
        <f>IF(D863="","",VLOOKUP(D863,契約台帳!$A$3:$L$4986,12,FALSE))</f>
        <v>25</v>
      </c>
      <c r="L863" s="270" t="str">
        <f>IF(D863="","",INDEX(製品マスタ!$Q$5:$Q$5002,MATCH(F863&amp;K863,製品マスタ!$AO$5:$AO$5002,0)))</f>
        <v>T62M</v>
      </c>
      <c r="M863" s="39">
        <v>1125</v>
      </c>
      <c r="N863" s="39">
        <v>12100</v>
      </c>
      <c r="O863" s="47">
        <v>1</v>
      </c>
      <c r="P863" s="57"/>
      <c r="Q863" s="276">
        <f>IF(D863="","",IF(J863="リード付け",M863,VLOOKUP(D863,契約台帳!$A$3:$N$4986,14,FALSE)))</f>
        <v>1125</v>
      </c>
      <c r="R863" s="277">
        <f>IF(D863="","",IF(J863="リード付け",M863,VLOOKUP(D863,契約台帳!$A$3:$O$4986,15,FALSE)))</f>
        <v>1120</v>
      </c>
      <c r="S863" s="277">
        <f>IF(D863="","",IF(J863="リード付け",N863,VLOOKUP(D863,契約台帳!$A$3:$P$4986,16,FALSE)))</f>
        <v>4000</v>
      </c>
      <c r="T863" s="40">
        <v>3</v>
      </c>
      <c r="U863" s="278">
        <f ca="1">IF(D863="","",IF(OFFSET(D863,-2,0)=D863,"",VLOOKUP(D863,契約台帳!$A$3:$R$4986,18,FALSE)))</f>
        <v>3</v>
      </c>
      <c r="V863" s="269" t="str">
        <f>IF(J863="巻返し",VLOOKUP(F863&amp;K863&amp;M863,製品マスタ!$M$5:$AD$5002,18,FALSE),IF(J863="リード付け","原反コア",IF(J863="スリット",VLOOKUP(F863&amp;K863&amp;Q863,製品マスタ!$N$5:$AD$5002,17,FALSE),"")))</f>
        <v>6ｲﾝﾁSｺｱ</v>
      </c>
      <c r="W863" s="269">
        <f>IF(J863="巻返し",VLOOKUP(F863&amp;K863&amp;M863,製品マスタ!$M$5:$AE$5002,19,FALSE),IF(J863="リード付け","-",IF(J863="スリット",VLOOKUP(F863&amp;K863&amp;Q863,製品マスタ!$N$5:$AE$5002,18,FALSE),"")))</f>
        <v>1130</v>
      </c>
      <c r="X863" s="275">
        <f>IF(D863="","",VLOOKUP(D863,契約台帳!$A$3:$Q$4986,17,FALSE))</f>
        <v>2</v>
      </c>
      <c r="Y863" s="269" t="str">
        <f>IF(D863="","",VLOOKUP(D863,契約台帳!$A$3:$E$4986,5,FALSE))</f>
        <v xml:space="preserve">リンテック㈱        </v>
      </c>
      <c r="Z863" s="357">
        <v>45209</v>
      </c>
      <c r="AA863" s="207">
        <f>IFERROR(VLOOKUP(F863&amp;K863&amp;M863,製品マスタ!$M$5:$AM$5002,27,FALSE),"")</f>
        <v>0</v>
      </c>
      <c r="AB863" s="369"/>
      <c r="AC863" s="370"/>
      <c r="AD863" s="332" t="str">
        <f>IF(F863="","",+F863&amp;K863)</f>
        <v>3SNMLBMNGTBF25</v>
      </c>
      <c r="AE863" s="216">
        <f>+M863*N863*O863/1000</f>
        <v>13612.5</v>
      </c>
      <c r="AF863" s="43">
        <f>IF(AD863="","",VLOOKUP(AD863,原価マスタ!$A$2:$AJ$1693,13,FALSE))</f>
        <v>97.5</v>
      </c>
      <c r="AG863" s="47">
        <f>IF(AF863="","",+AE863*AF863/100)</f>
        <v>13272.1875</v>
      </c>
      <c r="AH863" s="333"/>
      <c r="AI863" s="333"/>
      <c r="AJ863" s="333"/>
      <c r="AK863" s="333"/>
      <c r="AL863" s="334"/>
      <c r="AM863" s="334"/>
      <c r="AN863" s="334"/>
      <c r="AO863" s="334"/>
      <c r="AP863" s="334"/>
      <c r="AQ863" s="335"/>
      <c r="AR863" s="336"/>
    </row>
    <row r="864" spans="1:44" s="337" customFormat="1" ht="30.95" hidden="1" customHeight="1" x14ac:dyDescent="0.2">
      <c r="A864" s="358"/>
      <c r="B864" s="359"/>
      <c r="C864" s="360"/>
      <c r="D864" s="361"/>
      <c r="E864" s="361"/>
      <c r="F864" s="362"/>
      <c r="G864" s="363"/>
      <c r="H864" s="363"/>
      <c r="I864" s="207"/>
      <c r="J864" s="364"/>
      <c r="K864" s="207"/>
      <c r="L864" s="207"/>
      <c r="M864" s="365"/>
      <c r="N864" s="365"/>
      <c r="O864" s="366"/>
      <c r="P864" s="357"/>
      <c r="Q864" s="367"/>
      <c r="R864" s="278"/>
      <c r="S864" s="278"/>
      <c r="T864" s="368"/>
      <c r="U864" s="278"/>
      <c r="V864" s="363"/>
      <c r="W864" s="363"/>
      <c r="X864" s="363"/>
      <c r="Y864" s="363"/>
      <c r="Z864" s="357"/>
      <c r="AA864" s="207"/>
      <c r="AB864" s="369"/>
      <c r="AC864" s="370"/>
      <c r="AD864" s="332"/>
      <c r="AE864" s="371"/>
      <c r="AF864" s="372"/>
      <c r="AG864" s="366"/>
      <c r="AH864" s="333"/>
      <c r="AI864" s="333"/>
      <c r="AJ864" s="333"/>
      <c r="AK864" s="333"/>
      <c r="AL864" s="334"/>
      <c r="AM864" s="334"/>
      <c r="AN864" s="334"/>
      <c r="AO864" s="334"/>
      <c r="AP864" s="334"/>
      <c r="AQ864" s="335"/>
      <c r="AR864" s="336"/>
    </row>
    <row r="865" spans="1:44" s="337" customFormat="1" ht="30.95" hidden="1" customHeight="1" x14ac:dyDescent="0.2">
      <c r="A865" s="320" t="s">
        <v>1619</v>
      </c>
      <c r="B865" s="321" t="s">
        <v>1620</v>
      </c>
      <c r="C865" s="360"/>
      <c r="D865" s="398">
        <v>3727598</v>
      </c>
      <c r="E865" s="31">
        <v>4151501</v>
      </c>
      <c r="F865" s="268" t="str">
        <f>IF(D865="","",VLOOKUP(D865,契約台帳!$A$3:$K$4986,6,FALSE)&amp;VLOOKUP(D865,契約台帳!$A$3:$K$4986,7,FALSE)&amp;VLOOKUP(D865,契約台帳!$A$3:$K$4986,8,FALSE)&amp;VLOOKUP(D865,契約台帳!$A$3:$K$4986,9,FALSE)&amp;VLOOKUP(D865,契約台帳!$A$3:$K$4986,11,FALSE))</f>
        <v>3SNMLBMNGTBF</v>
      </c>
      <c r="G865" s="269" t="str">
        <f>IF(D865="","",VLOOKUP(F865,製品マスタ!$G$5:$H$5002,2,FALSE))</f>
        <v>S</v>
      </c>
      <c r="H865" s="269" t="str">
        <f>IF(D865="","",VLOOKUP(F865,製品マスタ!$G$5:$K$5002,5,FALSE))</f>
        <v>MNGTBF</v>
      </c>
      <c r="I865" s="270" t="str">
        <f>IF(D865="","",VLOOKUP(F865,製品マスタ!$G$5:$L$5002,6,FALSE))</f>
        <v>メタルミー　ネーマー　銀艶　Ｂ</v>
      </c>
      <c r="J865" s="32" t="s">
        <v>447</v>
      </c>
      <c r="K865" s="270">
        <f>IF(D865="","",VLOOKUP(D865,契約台帳!$A$3:$L$4986,12,FALSE))</f>
        <v>25</v>
      </c>
      <c r="L865" s="270" t="str">
        <f>IF(D865="","",INDEX(製品マスタ!$Q$5:$Q$5002,MATCH(F865&amp;K865,製品マスタ!$AO$5:$AO$5002,0)))</f>
        <v>T62M</v>
      </c>
      <c r="M865" s="39">
        <v>1005</v>
      </c>
      <c r="N865" s="39">
        <v>12100</v>
      </c>
      <c r="O865" s="47">
        <v>3</v>
      </c>
      <c r="P865" s="57"/>
      <c r="Q865" s="276">
        <f>IF(D865="","",IF(J865="リード付け",M865,VLOOKUP(D865,契約台帳!$A$3:$N$4986,14,FALSE)))</f>
        <v>1005</v>
      </c>
      <c r="R865" s="277">
        <f>IF(D865="","",IF(J865="リード付け",M865,VLOOKUP(D865,契約台帳!$A$3:$O$4986,15,FALSE)))</f>
        <v>1000</v>
      </c>
      <c r="S865" s="277">
        <f>IF(D865="","",IF(J865="リード付け",N865,VLOOKUP(D865,契約台帳!$A$3:$P$4986,16,FALSE)))</f>
        <v>4000</v>
      </c>
      <c r="T865" s="40">
        <v>9</v>
      </c>
      <c r="U865" s="278">
        <f ca="1">IF(D865="","",IF(OFFSET(D865,-2,0)=D865,"",VLOOKUP(D865,契約台帳!$A$3:$R$4986,18,FALSE)))</f>
        <v>15</v>
      </c>
      <c r="V865" s="269" t="str">
        <f>IF(J865="巻返し",VLOOKUP(F865&amp;K865&amp;M865,製品マスタ!$M$5:$AD$5002,18,FALSE),IF(J865="リード付け","原反コア",IF(J865="スリット",VLOOKUP(F865&amp;K865&amp;Q865,製品マスタ!$N$5:$AD$5002,17,FALSE),"")))</f>
        <v>6ｲﾝﾁSｺｱ</v>
      </c>
      <c r="W865" s="269">
        <f>IF(J865="巻返し",VLOOKUP(F865&amp;K865&amp;M865,製品マスタ!$M$5:$AE$5002,19,FALSE),IF(J865="リード付け","-",IF(J865="スリット",VLOOKUP(F865&amp;K865&amp;Q865,製品マスタ!$N$5:$AE$5002,18,FALSE),"")))</f>
        <v>1015</v>
      </c>
      <c r="X865" s="275">
        <f>IF(D865="","",VLOOKUP(D865,契約台帳!$A$3:$Q$4986,17,FALSE))</f>
        <v>2</v>
      </c>
      <c r="Y865" s="269" t="str">
        <f>IF(D865="","",VLOOKUP(D865,契約台帳!$A$3:$E$4986,5,FALSE))</f>
        <v xml:space="preserve">リンテック㈱        </v>
      </c>
      <c r="Z865" s="357">
        <v>45210</v>
      </c>
      <c r="AA865" s="207"/>
      <c r="AB865" s="369"/>
      <c r="AC865" s="370"/>
      <c r="AD865" s="332" t="str">
        <f>IF(F865="","",+F865&amp;K865)</f>
        <v>3SNMLBMNGTBF25</v>
      </c>
      <c r="AE865" s="216">
        <f>+M865*N865*O865/1000</f>
        <v>36481.5</v>
      </c>
      <c r="AF865" s="43">
        <f>IF(AD865="","",VLOOKUP(AD865,原価マスタ!$A$2:$AJ$1693,13,FALSE))</f>
        <v>97.5</v>
      </c>
      <c r="AG865" s="47">
        <f>IF(AF865="","",+AE865*AF865/100)</f>
        <v>35569.462500000001</v>
      </c>
      <c r="AH865" s="333"/>
      <c r="AI865" s="333"/>
      <c r="AJ865" s="333"/>
      <c r="AK865" s="333"/>
      <c r="AL865" s="334"/>
      <c r="AM865" s="334"/>
      <c r="AN865" s="334"/>
      <c r="AO865" s="334"/>
      <c r="AP865" s="334"/>
      <c r="AQ865" s="335"/>
      <c r="AR865" s="336"/>
    </row>
    <row r="866" spans="1:44" s="337" customFormat="1" ht="30.95" hidden="1" customHeight="1" x14ac:dyDescent="0.2">
      <c r="A866" s="358"/>
      <c r="B866" s="359"/>
      <c r="C866" s="360"/>
      <c r="D866" s="361"/>
      <c r="E866" s="361"/>
      <c r="F866" s="362"/>
      <c r="G866" s="363"/>
      <c r="H866" s="363"/>
      <c r="I866" s="207"/>
      <c r="J866" s="364"/>
      <c r="K866" s="207"/>
      <c r="L866" s="207"/>
      <c r="M866" s="365"/>
      <c r="N866" s="365"/>
      <c r="O866" s="366"/>
      <c r="P866" s="357"/>
      <c r="Q866" s="367"/>
      <c r="R866" s="278"/>
      <c r="S866" s="278"/>
      <c r="T866" s="368"/>
      <c r="U866" s="278"/>
      <c r="V866" s="363"/>
      <c r="W866" s="363"/>
      <c r="X866" s="363"/>
      <c r="Y866" s="363"/>
      <c r="Z866" s="357"/>
      <c r="AA866" s="207"/>
      <c r="AB866" s="369"/>
      <c r="AC866" s="370"/>
      <c r="AD866" s="332"/>
      <c r="AE866" s="371"/>
      <c r="AF866" s="372"/>
      <c r="AG866" s="366"/>
      <c r="AH866" s="333"/>
      <c r="AI866" s="333"/>
      <c r="AJ866" s="333"/>
      <c r="AK866" s="333"/>
      <c r="AL866" s="334"/>
      <c r="AM866" s="334"/>
      <c r="AN866" s="334"/>
      <c r="AO866" s="334"/>
      <c r="AP866" s="334"/>
      <c r="AQ866" s="335"/>
      <c r="AR866" s="336"/>
    </row>
    <row r="867" spans="1:44" s="337" customFormat="1" ht="30.95" hidden="1" customHeight="1" x14ac:dyDescent="0.2">
      <c r="A867" s="320" t="s">
        <v>1621</v>
      </c>
      <c r="B867" s="321" t="s">
        <v>1622</v>
      </c>
      <c r="C867" s="360"/>
      <c r="D867" s="398">
        <v>3727598</v>
      </c>
      <c r="E867" s="31">
        <v>4151501</v>
      </c>
      <c r="F867" s="268" t="str">
        <f>IF(D867="","",VLOOKUP(D867,契約台帳!$A$3:$K$4986,6,FALSE)&amp;VLOOKUP(D867,契約台帳!$A$3:$K$4986,7,FALSE)&amp;VLOOKUP(D867,契約台帳!$A$3:$K$4986,8,FALSE)&amp;VLOOKUP(D867,契約台帳!$A$3:$K$4986,9,FALSE)&amp;VLOOKUP(D867,契約台帳!$A$3:$K$4986,11,FALSE))</f>
        <v>3SNMLBMNGTBF</v>
      </c>
      <c r="G867" s="269" t="str">
        <f>IF(D867="","",VLOOKUP(F867,製品マスタ!$G$5:$H$5002,2,FALSE))</f>
        <v>S</v>
      </c>
      <c r="H867" s="269" t="str">
        <f>IF(D867="","",VLOOKUP(F867,製品マスタ!$G$5:$K$5002,5,FALSE))</f>
        <v>MNGTBF</v>
      </c>
      <c r="I867" s="270" t="str">
        <f>IF(D867="","",VLOOKUP(F867,製品マスタ!$G$5:$L$5002,6,FALSE))</f>
        <v>メタルミー　ネーマー　銀艶　Ｂ</v>
      </c>
      <c r="J867" s="32" t="s">
        <v>447</v>
      </c>
      <c r="K867" s="270">
        <f>IF(D867="","",VLOOKUP(D867,契約台帳!$A$3:$L$4986,12,FALSE))</f>
        <v>25</v>
      </c>
      <c r="L867" s="270" t="str">
        <f>IF(D867="","",INDEX(製品マスタ!$Q$5:$Q$5002,MATCH(F867&amp;K867,製品マスタ!$AO$5:$AO$5002,0)))</f>
        <v>T62M</v>
      </c>
      <c r="M867" s="39">
        <v>1005</v>
      </c>
      <c r="N867" s="39">
        <v>12100</v>
      </c>
      <c r="O867" s="47">
        <v>2</v>
      </c>
      <c r="P867" s="57"/>
      <c r="Q867" s="276">
        <f>IF(D867="","",IF(J867="リード付け",M867,VLOOKUP(D867,契約台帳!$A$3:$N$4986,14,FALSE)))</f>
        <v>1005</v>
      </c>
      <c r="R867" s="277">
        <f>IF(D867="","",IF(J867="リード付け",M867,VLOOKUP(D867,契約台帳!$A$3:$O$4986,15,FALSE)))</f>
        <v>1000</v>
      </c>
      <c r="S867" s="277">
        <f>IF(D867="","",IF(J867="リード付け",N867,VLOOKUP(D867,契約台帳!$A$3:$P$4986,16,FALSE)))</f>
        <v>4000</v>
      </c>
      <c r="T867" s="40">
        <v>6</v>
      </c>
      <c r="U867" s="278" t="str">
        <f ca="1">IF(D867="","",IF(OFFSET(D867,-2,0)=D867,"",VLOOKUP(D867,契約台帳!$A$3:$R$4986,18,FALSE)))</f>
        <v/>
      </c>
      <c r="V867" s="269" t="str">
        <f>IF(J867="巻返し",VLOOKUP(F867&amp;K867&amp;M867,製品マスタ!$M$5:$AD$5002,18,FALSE),IF(J867="リード付け","原反コア",IF(J867="スリット",VLOOKUP(F867&amp;K867&amp;Q867,製品マスタ!$N$5:$AD$5002,17,FALSE),"")))</f>
        <v>6ｲﾝﾁSｺｱ</v>
      </c>
      <c r="W867" s="269">
        <f>IF(J867="巻返し",VLOOKUP(F867&amp;K867&amp;M867,製品マスタ!$M$5:$AE$5002,19,FALSE),IF(J867="リード付け","-",IF(J867="スリット",VLOOKUP(F867&amp;K867&amp;Q867,製品マスタ!$N$5:$AE$5002,18,FALSE),"")))</f>
        <v>1015</v>
      </c>
      <c r="X867" s="275">
        <f>IF(D867="","",VLOOKUP(D867,契約台帳!$A$3:$Q$4986,17,FALSE))</f>
        <v>2</v>
      </c>
      <c r="Y867" s="269" t="str">
        <f>IF(D867="","",VLOOKUP(D867,契約台帳!$A$3:$E$4986,5,FALSE))</f>
        <v xml:space="preserve">リンテック㈱        </v>
      </c>
      <c r="Z867" s="357">
        <v>45210</v>
      </c>
      <c r="AA867" s="207">
        <f>IFERROR(VLOOKUP(F867&amp;K867&amp;M867,製品マスタ!$M$5:$AM$5002,27,FALSE),"")</f>
        <v>0</v>
      </c>
      <c r="AB867" s="369"/>
      <c r="AC867" s="370"/>
      <c r="AD867" s="332" t="str">
        <f>IF(F867="","",+F867&amp;K867)</f>
        <v>3SNMLBMNGTBF25</v>
      </c>
      <c r="AE867" s="216">
        <f>+M867*N867*O867/1000</f>
        <v>24321</v>
      </c>
      <c r="AF867" s="43">
        <f>IF(AD867="","",VLOOKUP(AD867,原価マスタ!$A$2:$AJ$1693,13,FALSE))</f>
        <v>97.5</v>
      </c>
      <c r="AG867" s="47">
        <f>IF(AF867="","",+AE867*AF867/100)</f>
        <v>23712.974999999999</v>
      </c>
      <c r="AH867" s="333"/>
      <c r="AI867" s="333"/>
      <c r="AJ867" s="333"/>
      <c r="AK867" s="333"/>
      <c r="AL867" s="334"/>
      <c r="AM867" s="334"/>
      <c r="AN867" s="334"/>
      <c r="AO867" s="334"/>
      <c r="AP867" s="334"/>
      <c r="AQ867" s="335"/>
      <c r="AR867" s="336"/>
    </row>
    <row r="868" spans="1:44" s="337" customFormat="1" ht="30.95" hidden="1" customHeight="1" x14ac:dyDescent="0.2">
      <c r="A868" s="358"/>
      <c r="B868" s="359"/>
      <c r="C868" s="360"/>
      <c r="D868" s="361"/>
      <c r="E868" s="361"/>
      <c r="F868" s="362"/>
      <c r="G868" s="363"/>
      <c r="H868" s="363"/>
      <c r="I868" s="207"/>
      <c r="J868" s="364"/>
      <c r="K868" s="207"/>
      <c r="L868" s="207"/>
      <c r="M868" s="365"/>
      <c r="N868" s="365"/>
      <c r="O868" s="366"/>
      <c r="P868" s="357"/>
      <c r="Q868" s="367"/>
      <c r="R868" s="278"/>
      <c r="S868" s="278"/>
      <c r="T868" s="368"/>
      <c r="U868" s="278"/>
      <c r="V868" s="363"/>
      <c r="W868" s="363"/>
      <c r="X868" s="363"/>
      <c r="Y868" s="363"/>
      <c r="Z868" s="357"/>
      <c r="AA868" s="207"/>
      <c r="AB868" s="369"/>
      <c r="AC868" s="370"/>
      <c r="AD868" s="332"/>
      <c r="AE868" s="371"/>
      <c r="AF868" s="372"/>
      <c r="AG868" s="366"/>
      <c r="AH868" s="333"/>
      <c r="AI868" s="333"/>
      <c r="AJ868" s="333"/>
      <c r="AK868" s="333"/>
      <c r="AL868" s="334"/>
      <c r="AM868" s="334"/>
      <c r="AN868" s="334"/>
      <c r="AO868" s="334"/>
      <c r="AP868" s="334"/>
      <c r="AQ868" s="335"/>
      <c r="AR868" s="336"/>
    </row>
    <row r="869" spans="1:44" s="337" customFormat="1" ht="30.95" hidden="1" customHeight="1" x14ac:dyDescent="0.2">
      <c r="A869" s="358" t="s">
        <v>1623</v>
      </c>
      <c r="B869" s="359" t="s">
        <v>1624</v>
      </c>
      <c r="C869" s="360"/>
      <c r="D869" s="361"/>
      <c r="E869" s="361"/>
      <c r="F869" s="362"/>
      <c r="G869" s="363"/>
      <c r="H869" s="363"/>
      <c r="I869" s="207"/>
      <c r="J869" s="364" t="s">
        <v>448</v>
      </c>
      <c r="K869" s="207"/>
      <c r="L869" s="207"/>
      <c r="M869" s="365"/>
      <c r="N869" s="365"/>
      <c r="O869" s="366"/>
      <c r="P869" s="357"/>
      <c r="Q869" s="367"/>
      <c r="R869" s="278"/>
      <c r="S869" s="278"/>
      <c r="T869" s="368"/>
      <c r="U869" s="278"/>
      <c r="V869" s="363"/>
      <c r="W869" s="363"/>
      <c r="X869" s="363"/>
      <c r="Y869" s="363"/>
      <c r="Z869" s="357"/>
      <c r="AA869" s="207"/>
      <c r="AB869" s="369"/>
      <c r="AC869" s="370"/>
      <c r="AD869" s="332"/>
      <c r="AE869" s="371"/>
      <c r="AF869" s="372"/>
      <c r="AG869" s="366"/>
      <c r="AH869" s="333"/>
      <c r="AI869" s="333"/>
      <c r="AJ869" s="333"/>
      <c r="AK869" s="333"/>
      <c r="AL869" s="334"/>
      <c r="AM869" s="334"/>
      <c r="AN869" s="334"/>
      <c r="AO869" s="334"/>
      <c r="AP869" s="334"/>
      <c r="AQ869" s="335"/>
      <c r="AR869" s="336"/>
    </row>
    <row r="870" spans="1:44" s="337" customFormat="1" ht="30.95" hidden="1" customHeight="1" x14ac:dyDescent="0.2">
      <c r="A870" s="358"/>
      <c r="B870" s="359"/>
      <c r="C870" s="360"/>
      <c r="D870" s="361"/>
      <c r="E870" s="361"/>
      <c r="F870" s="362"/>
      <c r="G870" s="363"/>
      <c r="H870" s="363"/>
      <c r="I870" s="207"/>
      <c r="J870" s="364"/>
      <c r="K870" s="207"/>
      <c r="L870" s="207"/>
      <c r="M870" s="365"/>
      <c r="N870" s="365"/>
      <c r="O870" s="366"/>
      <c r="P870" s="357"/>
      <c r="Q870" s="367"/>
      <c r="R870" s="278"/>
      <c r="S870" s="278"/>
      <c r="T870" s="368"/>
      <c r="U870" s="278"/>
      <c r="V870" s="363"/>
      <c r="W870" s="363"/>
      <c r="X870" s="363"/>
      <c r="Y870" s="363"/>
      <c r="Z870" s="357"/>
      <c r="AA870" s="207"/>
      <c r="AB870" s="369"/>
      <c r="AC870" s="370"/>
      <c r="AD870" s="332"/>
      <c r="AE870" s="371"/>
      <c r="AF870" s="372"/>
      <c r="AG870" s="366"/>
      <c r="AH870" s="333"/>
      <c r="AI870" s="333"/>
      <c r="AJ870" s="333"/>
      <c r="AK870" s="333"/>
      <c r="AL870" s="334"/>
      <c r="AM870" s="334"/>
      <c r="AN870" s="334"/>
      <c r="AO870" s="334"/>
      <c r="AP870" s="334"/>
      <c r="AQ870" s="335"/>
      <c r="AR870" s="336"/>
    </row>
    <row r="871" spans="1:44" s="337" customFormat="1" ht="30.95" hidden="1" customHeight="1" x14ac:dyDescent="0.2">
      <c r="A871" s="358" t="s">
        <v>1625</v>
      </c>
      <c r="B871" s="359" t="s">
        <v>1626</v>
      </c>
      <c r="C871" s="360"/>
      <c r="D871" s="361"/>
      <c r="E871" s="361"/>
      <c r="F871" s="362"/>
      <c r="G871" s="363"/>
      <c r="H871" s="363"/>
      <c r="I871" s="207"/>
      <c r="J871" s="364" t="s">
        <v>448</v>
      </c>
      <c r="K871" s="207"/>
      <c r="L871" s="207"/>
      <c r="M871" s="365"/>
      <c r="N871" s="365"/>
      <c r="O871" s="366"/>
      <c r="P871" s="357"/>
      <c r="Q871" s="367"/>
      <c r="R871" s="278"/>
      <c r="S871" s="278"/>
      <c r="T871" s="368"/>
      <c r="U871" s="278"/>
      <c r="V871" s="363"/>
      <c r="W871" s="363"/>
      <c r="X871" s="363"/>
      <c r="Y871" s="363"/>
      <c r="Z871" s="357"/>
      <c r="AA871" s="207"/>
      <c r="AB871" s="369"/>
      <c r="AC871" s="370"/>
      <c r="AD871" s="332"/>
      <c r="AE871" s="371"/>
      <c r="AF871" s="372"/>
      <c r="AG871" s="366"/>
      <c r="AH871" s="333"/>
      <c r="AI871" s="333"/>
      <c r="AJ871" s="333"/>
      <c r="AK871" s="333"/>
      <c r="AL871" s="334"/>
      <c r="AM871" s="334"/>
      <c r="AN871" s="334"/>
      <c r="AO871" s="334"/>
      <c r="AP871" s="334"/>
      <c r="AQ871" s="335"/>
      <c r="AR871" s="336"/>
    </row>
    <row r="872" spans="1:44" s="337" customFormat="1" ht="30.95" hidden="1" customHeight="1" x14ac:dyDescent="0.2">
      <c r="A872" s="358"/>
      <c r="B872" s="359"/>
      <c r="C872" s="360"/>
      <c r="D872" s="361"/>
      <c r="E872" s="361"/>
      <c r="F872" s="362"/>
      <c r="G872" s="363"/>
      <c r="H872" s="363"/>
      <c r="I872" s="207"/>
      <c r="J872" s="364"/>
      <c r="K872" s="207"/>
      <c r="L872" s="207"/>
      <c r="M872" s="365"/>
      <c r="N872" s="365"/>
      <c r="O872" s="366"/>
      <c r="P872" s="357"/>
      <c r="Q872" s="367"/>
      <c r="R872" s="278"/>
      <c r="S872" s="278"/>
      <c r="T872" s="368"/>
      <c r="U872" s="278"/>
      <c r="V872" s="363"/>
      <c r="W872" s="363"/>
      <c r="X872" s="363"/>
      <c r="Y872" s="363"/>
      <c r="Z872" s="357"/>
      <c r="AA872" s="207"/>
      <c r="AB872" s="369"/>
      <c r="AC872" s="370"/>
      <c r="AD872" s="332"/>
      <c r="AE872" s="371"/>
      <c r="AF872" s="372"/>
      <c r="AG872" s="366"/>
      <c r="AH872" s="333"/>
      <c r="AI872" s="333"/>
      <c r="AJ872" s="333"/>
      <c r="AK872" s="333"/>
      <c r="AL872" s="334"/>
      <c r="AM872" s="334"/>
      <c r="AN872" s="334"/>
      <c r="AO872" s="334"/>
      <c r="AP872" s="334"/>
      <c r="AQ872" s="335"/>
      <c r="AR872" s="336"/>
    </row>
    <row r="873" spans="1:44" s="337" customFormat="1" ht="30.95" hidden="1" customHeight="1" x14ac:dyDescent="0.2">
      <c r="A873" s="358" t="s">
        <v>1627</v>
      </c>
      <c r="B873" s="359" t="s">
        <v>1628</v>
      </c>
      <c r="C873" s="360"/>
      <c r="D873" s="361"/>
      <c r="E873" s="361"/>
      <c r="F873" s="362"/>
      <c r="G873" s="363"/>
      <c r="H873" s="363"/>
      <c r="I873" s="207"/>
      <c r="J873" s="364" t="s">
        <v>448</v>
      </c>
      <c r="K873" s="207"/>
      <c r="L873" s="207"/>
      <c r="M873" s="365"/>
      <c r="N873" s="365"/>
      <c r="O873" s="366"/>
      <c r="P873" s="357"/>
      <c r="Q873" s="367"/>
      <c r="R873" s="278"/>
      <c r="S873" s="278"/>
      <c r="T873" s="368"/>
      <c r="U873" s="278"/>
      <c r="V873" s="363"/>
      <c r="W873" s="363"/>
      <c r="X873" s="363"/>
      <c r="Y873" s="363"/>
      <c r="Z873" s="357"/>
      <c r="AA873" s="207"/>
      <c r="AB873" s="369"/>
      <c r="AC873" s="370"/>
      <c r="AD873" s="332"/>
      <c r="AE873" s="371"/>
      <c r="AF873" s="372"/>
      <c r="AG873" s="366"/>
      <c r="AH873" s="333"/>
      <c r="AI873" s="333"/>
      <c r="AJ873" s="333"/>
      <c r="AK873" s="333"/>
      <c r="AL873" s="334"/>
      <c r="AM873" s="334"/>
      <c r="AN873" s="334"/>
      <c r="AO873" s="334"/>
      <c r="AP873" s="334"/>
      <c r="AQ873" s="335"/>
      <c r="AR873" s="336"/>
    </row>
    <row r="874" spans="1:44" s="337" customFormat="1" ht="30.95" hidden="1" customHeight="1" x14ac:dyDescent="0.2">
      <c r="A874" s="358"/>
      <c r="B874" s="359"/>
      <c r="C874" s="360"/>
      <c r="D874" s="361"/>
      <c r="E874" s="361"/>
      <c r="F874" s="362"/>
      <c r="G874" s="363"/>
      <c r="H874" s="363"/>
      <c r="I874" s="207"/>
      <c r="J874" s="364"/>
      <c r="K874" s="207"/>
      <c r="L874" s="207"/>
      <c r="M874" s="365"/>
      <c r="N874" s="365"/>
      <c r="O874" s="366"/>
      <c r="P874" s="357"/>
      <c r="Q874" s="367"/>
      <c r="R874" s="278"/>
      <c r="S874" s="278"/>
      <c r="T874" s="368"/>
      <c r="U874" s="278"/>
      <c r="V874" s="363"/>
      <c r="W874" s="363"/>
      <c r="X874" s="363"/>
      <c r="Y874" s="363"/>
      <c r="Z874" s="357"/>
      <c r="AA874" s="207"/>
      <c r="AB874" s="369"/>
      <c r="AC874" s="370"/>
      <c r="AD874" s="332"/>
      <c r="AE874" s="371"/>
      <c r="AF874" s="372"/>
      <c r="AG874" s="366"/>
      <c r="AH874" s="333"/>
      <c r="AI874" s="333"/>
      <c r="AJ874" s="333"/>
      <c r="AK874" s="333"/>
      <c r="AL874" s="334"/>
      <c r="AM874" s="334"/>
      <c r="AN874" s="334"/>
      <c r="AO874" s="334"/>
      <c r="AP874" s="334"/>
      <c r="AQ874" s="335"/>
      <c r="AR874" s="336"/>
    </row>
    <row r="875" spans="1:44" s="337" customFormat="1" ht="30.95" hidden="1" customHeight="1" x14ac:dyDescent="0.2">
      <c r="A875" s="320" t="s">
        <v>593</v>
      </c>
      <c r="B875" s="321" t="s">
        <v>688</v>
      </c>
      <c r="C875" s="360"/>
      <c r="D875" s="398">
        <v>3727587</v>
      </c>
      <c r="E875" s="31">
        <v>4151497</v>
      </c>
      <c r="F875" s="268" t="str">
        <f>IF(D875="","",VLOOKUP(D875,契約台帳!$A$3:$K$4986,6,FALSE)&amp;VLOOKUP(D875,契約台帳!$A$3:$K$4986,7,FALSE)&amp;VLOOKUP(D875,契約台帳!$A$3:$K$4986,8,FALSE)&amp;VLOOKUP(D875,契約台帳!$A$3:$K$4986,9,FALSE)&amp;VLOOKUP(D875,契約台帳!$A$3:$K$4986,11,FALSE))</f>
        <v>3SNMLBMTSF</v>
      </c>
      <c r="G875" s="269" t="str">
        <f>IF(D875="","",VLOOKUP(F875,製品マスタ!$G$5:$H$5002,2,FALSE))</f>
        <v>S</v>
      </c>
      <c r="H875" s="269" t="str">
        <f>IF(D875="","",VLOOKUP(F875,製品マスタ!$G$5:$K$5002,5,FALSE))</f>
        <v>MTSF</v>
      </c>
      <c r="I875" s="270" t="str">
        <f>IF(D875="","",VLOOKUP(F875,製品マスタ!$G$5:$L$5002,6,FALSE))</f>
        <v>メタルミー　ＴＳ</v>
      </c>
      <c r="J875" s="32" t="s">
        <v>447</v>
      </c>
      <c r="K875" s="270">
        <f>IF(D875="","",VLOOKUP(D875,契約台帳!$A$3:$L$4986,12,FALSE))</f>
        <v>50</v>
      </c>
      <c r="L875" s="270" t="str">
        <f>IF(D875="","",INDEX(製品マスタ!$Q$5:$Q$5002,MATCH(F875&amp;K875,製品マスタ!$AO$5:$AO$5002,0)))</f>
        <v>T62M</v>
      </c>
      <c r="M875" s="39">
        <v>1255</v>
      </c>
      <c r="N875" s="39">
        <v>12200</v>
      </c>
      <c r="O875" s="47">
        <v>1</v>
      </c>
      <c r="P875" s="57"/>
      <c r="Q875" s="276">
        <f>IF(D875="","",IF(J875="リード付け",M875,VLOOKUP(D875,契約台帳!$A$3:$N$4986,14,FALSE)))</f>
        <v>1255</v>
      </c>
      <c r="R875" s="277">
        <f>IF(D875="","",IF(J875="リード付け",M875,VLOOKUP(D875,契約台帳!$A$3:$O$4986,15,FALSE)))</f>
        <v>1250</v>
      </c>
      <c r="S875" s="277">
        <f>IF(D875="","",IF(J875="リード付け",N875,VLOOKUP(D875,契約台帳!$A$3:$P$4986,16,FALSE)))</f>
        <v>2000</v>
      </c>
      <c r="T875" s="40">
        <v>6</v>
      </c>
      <c r="U875" s="278">
        <f ca="1">IF(D875="","",IF(OFFSET(D875,-2,0)=D875,"",VLOOKUP(D875,契約台帳!$A$3:$R$4986,18,FALSE)))</f>
        <v>9</v>
      </c>
      <c r="V875" s="269" t="str">
        <f>IF(J875="巻返し",VLOOKUP(F875&amp;K875&amp;M875,製品マスタ!$M$5:$AD$5002,18,FALSE),IF(J875="リード付け","原反コア",IF(J875="スリット",VLOOKUP(F875&amp;K875&amp;Q875,製品マスタ!$N$5:$AD$5002,17,FALSE),"")))</f>
        <v>3ｲﾝﾁSｺｱ</v>
      </c>
      <c r="W875" s="269">
        <f>IF(J875="巻返し",VLOOKUP(F875&amp;K875&amp;M875,製品マスタ!$M$5:$AE$5002,19,FALSE),IF(J875="リード付け","-",IF(J875="スリット",VLOOKUP(F875&amp;K875&amp;Q875,製品マスタ!$N$5:$AE$5002,18,FALSE),"")))</f>
        <v>1260</v>
      </c>
      <c r="X875" s="275">
        <f>IF(D875="","",VLOOKUP(D875,契約台帳!$A$3:$Q$4986,17,FALSE))</f>
        <v>2</v>
      </c>
      <c r="Y875" s="269" t="str">
        <f>IF(D875="","",VLOOKUP(D875,契約台帳!$A$3:$E$4986,5,FALSE))</f>
        <v xml:space="preserve">日東電工㈱豊橋工場  </v>
      </c>
      <c r="Z875" s="357">
        <v>45212</v>
      </c>
      <c r="AA875" s="207"/>
      <c r="AB875" s="369"/>
      <c r="AC875" s="370"/>
      <c r="AD875" s="332" t="str">
        <f>IF(F875="","",+F875&amp;K875)</f>
        <v>3SNMLBMTSF50</v>
      </c>
      <c r="AE875" s="216">
        <f>+M875*N875*O875/1000</f>
        <v>15311</v>
      </c>
      <c r="AF875" s="43">
        <f>IF(AD875="","",VLOOKUP(AD875,原価マスタ!$A$2:$AJ$1693,13,FALSE))</f>
        <v>95</v>
      </c>
      <c r="AG875" s="47">
        <f>IF(AF875="","",+AE875*AF875/100)</f>
        <v>14545.45</v>
      </c>
      <c r="AH875" s="333"/>
      <c r="AI875" s="333"/>
      <c r="AJ875" s="333"/>
      <c r="AK875" s="333"/>
      <c r="AL875" s="334"/>
      <c r="AM875" s="334"/>
      <c r="AN875" s="334"/>
      <c r="AO875" s="334"/>
      <c r="AP875" s="334"/>
      <c r="AQ875" s="335"/>
      <c r="AR875" s="336"/>
    </row>
    <row r="876" spans="1:44" s="337" customFormat="1" ht="30.95" hidden="1" customHeight="1" x14ac:dyDescent="0.2">
      <c r="A876" s="358"/>
      <c r="B876" s="359"/>
      <c r="C876" s="360"/>
      <c r="D876" s="361"/>
      <c r="E876" s="361"/>
      <c r="F876" s="362"/>
      <c r="G876" s="363"/>
      <c r="H876" s="363"/>
      <c r="I876" s="207"/>
      <c r="J876" s="364"/>
      <c r="K876" s="207"/>
      <c r="L876" s="207"/>
      <c r="M876" s="365"/>
      <c r="N876" s="365"/>
      <c r="O876" s="366"/>
      <c r="P876" s="357"/>
      <c r="Q876" s="367"/>
      <c r="R876" s="278"/>
      <c r="S876" s="278"/>
      <c r="T876" s="368"/>
      <c r="U876" s="278"/>
      <c r="V876" s="363"/>
      <c r="W876" s="363"/>
      <c r="X876" s="363"/>
      <c r="Y876" s="363"/>
      <c r="Z876" s="357"/>
      <c r="AA876" s="207"/>
      <c r="AB876" s="369"/>
      <c r="AC876" s="370"/>
      <c r="AD876" s="332" t="str">
        <f>IF(F876="","",+F876&amp;K876)</f>
        <v/>
      </c>
      <c r="AE876" s="216">
        <f>+M876*N876*O876/1000</f>
        <v>0</v>
      </c>
      <c r="AF876" s="43" t="str">
        <f>IF(AD876="","",VLOOKUP(AD876,原価マスタ!$A$2:$AJ$1693,13,FALSE))</f>
        <v/>
      </c>
      <c r="AG876" s="47" t="str">
        <f>IF(AF876="","",+AE876*AF876/100)</f>
        <v/>
      </c>
      <c r="AH876" s="333"/>
      <c r="AI876" s="333"/>
      <c r="AJ876" s="333"/>
      <c r="AK876" s="333"/>
      <c r="AL876" s="334"/>
      <c r="AM876" s="334"/>
      <c r="AN876" s="334"/>
      <c r="AO876" s="334"/>
      <c r="AP876" s="334"/>
      <c r="AQ876" s="335"/>
      <c r="AR876" s="336"/>
    </row>
    <row r="877" spans="1:44" s="337" customFormat="1" ht="30.95" hidden="1" customHeight="1" x14ac:dyDescent="0.2">
      <c r="A877" s="358"/>
      <c r="B877" s="359"/>
      <c r="C877" s="360"/>
      <c r="D877" s="398">
        <v>3727587</v>
      </c>
      <c r="E877" s="31">
        <v>4151497</v>
      </c>
      <c r="F877" s="268" t="str">
        <f>IF(D877="","",VLOOKUP(D877,契約台帳!$A$3:$K$4986,6,FALSE)&amp;VLOOKUP(D877,契約台帳!$A$3:$K$4986,7,FALSE)&amp;VLOOKUP(D877,契約台帳!$A$3:$K$4986,8,FALSE)&amp;VLOOKUP(D877,契約台帳!$A$3:$K$4986,9,FALSE)&amp;VLOOKUP(D877,契約台帳!$A$3:$K$4986,11,FALSE))</f>
        <v>3SNMLBMTSF</v>
      </c>
      <c r="G877" s="269" t="str">
        <f>IF(D877="","",VLOOKUP(F877,製品マスタ!$G$5:$H$5002,2,FALSE))</f>
        <v>S</v>
      </c>
      <c r="H877" s="269" t="str">
        <f>IF(D877="","",VLOOKUP(F877,製品マスタ!$G$5:$K$5002,5,FALSE))</f>
        <v>MTSF</v>
      </c>
      <c r="I877" s="270" t="str">
        <f>IF(D877="","",VLOOKUP(F877,製品マスタ!$G$5:$L$5002,6,FALSE))</f>
        <v>メタルミー　ＴＳ</v>
      </c>
      <c r="J877" s="32" t="s">
        <v>447</v>
      </c>
      <c r="K877" s="270">
        <f>IF(D877="","",VLOOKUP(D877,契約台帳!$A$3:$L$4986,12,FALSE))</f>
        <v>50</v>
      </c>
      <c r="L877" s="270" t="str">
        <f>IF(D877="","",INDEX(製品マスタ!$Q$5:$Q$5002,MATCH(F877&amp;K877,製品マスタ!$AO$5:$AO$5002,0)))</f>
        <v>T62M</v>
      </c>
      <c r="M877" s="39">
        <v>1255</v>
      </c>
      <c r="N877" s="39">
        <v>6100</v>
      </c>
      <c r="O877" s="47">
        <v>1</v>
      </c>
      <c r="P877" s="57"/>
      <c r="Q877" s="276">
        <f>IF(D877="","",IF(J877="リード付け",M877,VLOOKUP(D877,契約台帳!$A$3:$N$4986,14,FALSE)))</f>
        <v>1255</v>
      </c>
      <c r="R877" s="277">
        <f>IF(D877="","",IF(J877="リード付け",M877,VLOOKUP(D877,契約台帳!$A$3:$O$4986,15,FALSE)))</f>
        <v>1250</v>
      </c>
      <c r="S877" s="277">
        <f>IF(D877="","",IF(J877="リード付け",N877,VLOOKUP(D877,契約台帳!$A$3:$P$4986,16,FALSE)))</f>
        <v>2000</v>
      </c>
      <c r="T877" s="40">
        <v>3</v>
      </c>
      <c r="U877" s="278" t="str">
        <f ca="1">IF(D877="","",IF(OFFSET(D877,-2,0)=D877,"",VLOOKUP(D877,契約台帳!$A$3:$R$4986,18,FALSE)))</f>
        <v/>
      </c>
      <c r="V877" s="269" t="str">
        <f>IF(J877="巻返し",VLOOKUP(F877&amp;K877&amp;M877,製品マスタ!$M$5:$AD$5002,18,FALSE),IF(J877="リード付け","原反コア",IF(J877="スリット",VLOOKUP(F877&amp;K877&amp;Q877,製品マスタ!$N$5:$AD$5002,17,FALSE),"")))</f>
        <v>3ｲﾝﾁSｺｱ</v>
      </c>
      <c r="W877" s="269">
        <f>IF(J877="巻返し",VLOOKUP(F877&amp;K877&amp;M877,製品マスタ!$M$5:$AE$5002,19,FALSE),IF(J877="リード付け","-",IF(J877="スリット",VLOOKUP(F877&amp;K877&amp;Q877,製品マスタ!$N$5:$AE$5002,18,FALSE),"")))</f>
        <v>1260</v>
      </c>
      <c r="X877" s="275">
        <f>IF(D877="","",VLOOKUP(D877,契約台帳!$A$3:$Q$4986,17,FALSE))</f>
        <v>2</v>
      </c>
      <c r="Y877" s="269" t="str">
        <f>IF(D877="","",VLOOKUP(D877,契約台帳!$A$3:$E$4986,5,FALSE))</f>
        <v xml:space="preserve">日東電工㈱豊橋工場  </v>
      </c>
      <c r="Z877" s="357">
        <v>45212</v>
      </c>
      <c r="AA877" s="207"/>
      <c r="AB877" s="369"/>
      <c r="AC877" s="370"/>
      <c r="AD877" s="332" t="str">
        <f>IF(F877="","",+F877&amp;K877)</f>
        <v>3SNMLBMTSF50</v>
      </c>
      <c r="AE877" s="216">
        <f>+M877*N877*O877/1000</f>
        <v>7655.5</v>
      </c>
      <c r="AF877" s="43">
        <f>IF(AD877="","",VLOOKUP(AD877,原価マスタ!$A$2:$AJ$1693,13,FALSE))</f>
        <v>95</v>
      </c>
      <c r="AG877" s="47">
        <f>IF(AF877="","",+AE877*AF877/100)</f>
        <v>7272.7250000000004</v>
      </c>
      <c r="AH877" s="333"/>
      <c r="AI877" s="333"/>
      <c r="AJ877" s="333"/>
      <c r="AK877" s="333"/>
      <c r="AL877" s="334"/>
      <c r="AM877" s="334"/>
      <c r="AN877" s="334"/>
      <c r="AO877" s="334"/>
      <c r="AP877" s="334"/>
      <c r="AQ877" s="335"/>
      <c r="AR877" s="336"/>
    </row>
    <row r="878" spans="1:44" s="337" customFormat="1" ht="30.95" hidden="1" customHeight="1" x14ac:dyDescent="0.2">
      <c r="A878" s="358"/>
      <c r="B878" s="359"/>
      <c r="C878" s="360"/>
      <c r="D878" s="361"/>
      <c r="E878" s="361"/>
      <c r="F878" s="362"/>
      <c r="G878" s="363"/>
      <c r="H878" s="363"/>
      <c r="I878" s="207"/>
      <c r="J878" s="364"/>
      <c r="K878" s="207"/>
      <c r="L878" s="207"/>
      <c r="M878" s="365"/>
      <c r="N878" s="365"/>
      <c r="O878" s="366"/>
      <c r="P878" s="357"/>
      <c r="Q878" s="367"/>
      <c r="R878" s="278"/>
      <c r="S878" s="278"/>
      <c r="T878" s="368"/>
      <c r="U878" s="278"/>
      <c r="V878" s="363"/>
      <c r="W878" s="363"/>
      <c r="X878" s="363"/>
      <c r="Y878" s="363"/>
      <c r="Z878" s="357"/>
      <c r="AA878" s="207"/>
      <c r="AB878" s="369"/>
      <c r="AC878" s="370"/>
      <c r="AD878" s="332"/>
      <c r="AE878" s="371"/>
      <c r="AF878" s="372"/>
      <c r="AG878" s="366"/>
      <c r="AH878" s="333"/>
      <c r="AI878" s="333"/>
      <c r="AJ878" s="333"/>
      <c r="AK878" s="333"/>
      <c r="AL878" s="334"/>
      <c r="AM878" s="334"/>
      <c r="AN878" s="334"/>
      <c r="AO878" s="334"/>
      <c r="AP878" s="334"/>
      <c r="AQ878" s="335"/>
      <c r="AR878" s="336"/>
    </row>
    <row r="879" spans="1:44" s="337" customFormat="1" ht="30.95" hidden="1" customHeight="1" x14ac:dyDescent="0.2">
      <c r="A879" s="320" t="s">
        <v>594</v>
      </c>
      <c r="B879" s="321" t="s">
        <v>442</v>
      </c>
      <c r="C879" s="360"/>
      <c r="D879" s="398">
        <v>3727589</v>
      </c>
      <c r="E879" s="31">
        <v>4151500</v>
      </c>
      <c r="F879" s="268" t="str">
        <f>IF(D879="","",VLOOKUP(D879,契約台帳!$A$3:$K$4986,6,FALSE)&amp;VLOOKUP(D879,契約台帳!$A$3:$K$4986,7,FALSE)&amp;VLOOKUP(D879,契約台帳!$A$3:$K$4986,8,FALSE)&amp;VLOOKUP(D879,契約台帳!$A$3:$K$4986,9,FALSE)&amp;VLOOKUP(D879,契約台帳!$A$3:$K$4986,11,FALSE))</f>
        <v>3SNMLBMSF</v>
      </c>
      <c r="G879" s="269" t="str">
        <f>IF(D879="","",VLOOKUP(F879,製品マスタ!$G$5:$H$5002,2,FALSE))</f>
        <v>S</v>
      </c>
      <c r="H879" s="269" t="str">
        <f>IF(D879="","",VLOOKUP(F879,製品マスタ!$G$5:$K$5002,5,FALSE))</f>
        <v>MSF</v>
      </c>
      <c r="I879" s="270" t="str">
        <f>IF(D879="","",VLOOKUP(F879,製品マスタ!$G$5:$L$5002,6,FALSE))</f>
        <v>メタルミー　Ｓ</v>
      </c>
      <c r="J879" s="32" t="s">
        <v>447</v>
      </c>
      <c r="K879" s="270">
        <f>IF(D879="","",VLOOKUP(D879,契約台帳!$A$3:$L$4986,12,FALSE))</f>
        <v>25</v>
      </c>
      <c r="L879" s="270" t="str">
        <f>IF(D879="","",INDEX(製品マスタ!$Q$5:$Q$5002,MATCH(F879&amp;K879,製品マスタ!$AO$5:$AO$5002,0)))</f>
        <v>T62M</v>
      </c>
      <c r="M879" s="39">
        <v>1240</v>
      </c>
      <c r="N879" s="39">
        <v>12200</v>
      </c>
      <c r="O879" s="47">
        <v>1</v>
      </c>
      <c r="P879" s="57"/>
      <c r="Q879" s="276">
        <f>IF(D879="","",IF(J879="リード付け",M879,VLOOKUP(D879,契約台帳!$A$3:$N$4986,14,FALSE)))</f>
        <v>1240</v>
      </c>
      <c r="R879" s="277">
        <f>IF(D879="","",IF(J879="リード付け",M879,VLOOKUP(D879,契約台帳!$A$3:$O$4986,15,FALSE)))</f>
        <v>1240</v>
      </c>
      <c r="S879" s="277">
        <f>IF(D879="","",IF(J879="リード付け",N879,VLOOKUP(D879,契約台帳!$A$3:$P$4986,16,FALSE)))</f>
        <v>2000</v>
      </c>
      <c r="T879" s="40">
        <v>6</v>
      </c>
      <c r="U879" s="278">
        <f ca="1">IF(D879="","",IF(OFFSET(D879,-2,0)=D879,"",VLOOKUP(D879,契約台帳!$A$3:$R$4986,18,FALSE)))</f>
        <v>6</v>
      </c>
      <c r="V879" s="269" t="str">
        <f>IF(J879="巻返し",VLOOKUP(F879&amp;K879&amp;M879,製品マスタ!$M$5:$AD$5002,18,FALSE),IF(J879="リード付け","原反コア",IF(J879="スリット",VLOOKUP(F879&amp;K879&amp;Q879,製品マスタ!$N$5:$AD$5002,17,FALSE),"")))</f>
        <v>3ｲﾝﾁSｺｱ</v>
      </c>
      <c r="W879" s="269">
        <f>IF(J879="巻返し",VLOOKUP(F879&amp;K879&amp;M879,製品マスタ!$M$5:$AE$5002,19,FALSE),IF(J879="リード付け","-",IF(J879="スリット",VLOOKUP(F879&amp;K879&amp;Q879,製品マスタ!$N$5:$AE$5002,18,FALSE),"")))</f>
        <v>1245</v>
      </c>
      <c r="X879" s="275">
        <f>IF(D879="","",VLOOKUP(D879,契約台帳!$A$3:$Q$4986,17,FALSE))</f>
        <v>1</v>
      </c>
      <c r="Y879" s="269" t="str">
        <f>IF(D879="","",VLOOKUP(D879,契約台帳!$A$3:$E$4986,5,FALSE))</f>
        <v xml:space="preserve">日精㈱東京支店      </v>
      </c>
      <c r="Z879" s="357">
        <v>45215</v>
      </c>
      <c r="AA879" s="207"/>
      <c r="AB879" s="369"/>
      <c r="AC879" s="370"/>
      <c r="AD879" s="332" t="str">
        <f>IF(F879="","",+F879&amp;K879)</f>
        <v>3SNMLBMSF25</v>
      </c>
      <c r="AE879" s="216">
        <f>+M879*N879*O879/1000</f>
        <v>15128</v>
      </c>
      <c r="AF879" s="43">
        <f>IF(AD879="","",VLOOKUP(AD879,原価マスタ!$A$2:$AJ$1693,13,FALSE))</f>
        <v>97</v>
      </c>
      <c r="AG879" s="47">
        <f>IF(AF879="","",+AE879*AF879/100)</f>
        <v>14674.16</v>
      </c>
      <c r="AH879" s="333"/>
      <c r="AI879" s="333"/>
      <c r="AJ879" s="333"/>
      <c r="AK879" s="333"/>
      <c r="AL879" s="334"/>
      <c r="AM879" s="334"/>
      <c r="AN879" s="334"/>
      <c r="AO879" s="334"/>
      <c r="AP879" s="334"/>
      <c r="AQ879" s="335"/>
      <c r="AR879" s="336"/>
    </row>
    <row r="880" spans="1:44" s="337" customFormat="1" ht="30.95" hidden="1" customHeight="1" x14ac:dyDescent="0.2">
      <c r="A880" s="358"/>
      <c r="B880" s="359"/>
      <c r="C880" s="360"/>
      <c r="D880" s="361"/>
      <c r="E880" s="361"/>
      <c r="F880" s="362"/>
      <c r="G880" s="363"/>
      <c r="H880" s="363"/>
      <c r="I880" s="207"/>
      <c r="J880" s="364"/>
      <c r="K880" s="207"/>
      <c r="L880" s="207"/>
      <c r="M880" s="365"/>
      <c r="N880" s="365"/>
      <c r="O880" s="366"/>
      <c r="P880" s="357"/>
      <c r="Q880" s="367"/>
      <c r="R880" s="278"/>
      <c r="S880" s="278"/>
      <c r="T880" s="368"/>
      <c r="U880" s="278"/>
      <c r="V880" s="363"/>
      <c r="W880" s="363"/>
      <c r="X880" s="363"/>
      <c r="Y880" s="363"/>
      <c r="Z880" s="357"/>
      <c r="AA880" s="207"/>
      <c r="AB880" s="369"/>
      <c r="AC880" s="370"/>
      <c r="AD880" s="332"/>
      <c r="AE880" s="371"/>
      <c r="AF880" s="372"/>
      <c r="AG880" s="366"/>
      <c r="AH880" s="333"/>
      <c r="AI880" s="333"/>
      <c r="AJ880" s="333"/>
      <c r="AK880" s="333"/>
      <c r="AL880" s="334"/>
      <c r="AM880" s="334"/>
      <c r="AN880" s="334"/>
      <c r="AO880" s="334"/>
      <c r="AP880" s="334"/>
      <c r="AQ880" s="335"/>
      <c r="AR880" s="336"/>
    </row>
    <row r="881" spans="1:44" s="337" customFormat="1" ht="30.95" hidden="1" customHeight="1" x14ac:dyDescent="0.2">
      <c r="A881" s="320"/>
      <c r="B881" s="321"/>
      <c r="C881" s="360"/>
      <c r="D881" s="398">
        <v>3727586</v>
      </c>
      <c r="E881" s="31">
        <v>4151499</v>
      </c>
      <c r="F881" s="268" t="str">
        <f>IF(D881="","",VLOOKUP(D881,契約台帳!$A$3:$K$4986,6,FALSE)&amp;VLOOKUP(D881,契約台帳!$A$3:$K$4986,7,FALSE)&amp;VLOOKUP(D881,契約台帳!$A$3:$K$4986,8,FALSE)&amp;VLOOKUP(D881,契約台帳!$A$3:$K$4986,9,FALSE)&amp;VLOOKUP(D881,契約台帳!$A$3:$K$4986,11,FALSE))</f>
        <v>3SNMLBMSF</v>
      </c>
      <c r="G881" s="269" t="str">
        <f>IF(D881="","",VLOOKUP(F881,製品マスタ!$G$5:$H$5002,2,FALSE))</f>
        <v>S</v>
      </c>
      <c r="H881" s="269" t="str">
        <f>IF(D881="","",VLOOKUP(F881,製品マスタ!$G$5:$K$5002,5,FALSE))</f>
        <v>MSF</v>
      </c>
      <c r="I881" s="270" t="str">
        <f>IF(D881="","",VLOOKUP(F881,製品マスタ!$G$5:$L$5002,6,FALSE))</f>
        <v>メタルミー　Ｓ</v>
      </c>
      <c r="J881" s="32" t="s">
        <v>447</v>
      </c>
      <c r="K881" s="270">
        <f>IF(D881="","",VLOOKUP(D881,契約台帳!$A$3:$L$4986,12,FALSE))</f>
        <v>25</v>
      </c>
      <c r="L881" s="270" t="str">
        <f>IF(D881="","",INDEX(製品マスタ!$Q$5:$Q$5002,MATCH(F881&amp;K881,製品マスタ!$AO$5:$AO$5002,0)))</f>
        <v>T62M</v>
      </c>
      <c r="M881" s="39">
        <v>1020</v>
      </c>
      <c r="N881" s="39">
        <v>12100</v>
      </c>
      <c r="O881" s="47">
        <v>1</v>
      </c>
      <c r="P881" s="57"/>
      <c r="Q881" s="276">
        <f>IF(D881="","",IF(J881="リード付け",M881,VLOOKUP(D881,契約台帳!$A$3:$N$4986,14,FALSE)))</f>
        <v>510</v>
      </c>
      <c r="R881" s="277">
        <f>IF(D881="","",IF(J881="リード付け",M881,VLOOKUP(D881,契約台帳!$A$3:$O$4986,15,FALSE)))</f>
        <v>510</v>
      </c>
      <c r="S881" s="277">
        <f>IF(D881="","",IF(J881="リード付け",N881,VLOOKUP(D881,契約台帳!$A$3:$P$4986,16,FALSE)))</f>
        <v>2000</v>
      </c>
      <c r="T881" s="40">
        <v>12</v>
      </c>
      <c r="U881" s="278">
        <f ca="1">IF(D881="","",IF(OFFSET(D881,-2,0)=D881,"",VLOOKUP(D881,契約台帳!$A$3:$R$4986,18,FALSE)))</f>
        <v>12</v>
      </c>
      <c r="V881" s="269" t="str">
        <f>IF(J881="巻返し",VLOOKUP(F881&amp;K881&amp;M881,製品マスタ!$M$5:$AD$5002,18,FALSE),IF(J881="リード付け","原反コア",IF(J881="スリット",VLOOKUP(F881&amp;K881&amp;Q881,製品マスタ!$N$5:$AD$5002,17,FALSE),"")))</f>
        <v>3ｲﾝﾁSｺｱ</v>
      </c>
      <c r="W881" s="269">
        <f>IF(J881="巻返し",VLOOKUP(F881&amp;K881&amp;M881,製品マスタ!$M$5:$AE$5002,19,FALSE),IF(J881="リード付け","-",IF(J881="スリット",VLOOKUP(F881&amp;K881&amp;Q881,製品マスタ!$N$5:$AE$5002,18,FALSE),"")))</f>
        <v>1005</v>
      </c>
      <c r="X881" s="275">
        <f>IF(D881="","",VLOOKUP(D881,契約台帳!$A$3:$Q$4986,17,FALSE))</f>
        <v>1</v>
      </c>
      <c r="Y881" s="269" t="str">
        <f>IF(D881="","",VLOOKUP(D881,契約台帳!$A$3:$E$4986,5,FALSE))</f>
        <v xml:space="preserve">日東シンコー㈱      </v>
      </c>
      <c r="Z881" s="357">
        <v>45215</v>
      </c>
      <c r="AA881" s="207">
        <f>IFERROR(VLOOKUP(F881&amp;K881&amp;M881,製品マスタ!$M$5:$AM$5002,27,FALSE),"")</f>
        <v>0</v>
      </c>
      <c r="AB881" s="369"/>
      <c r="AC881" s="370"/>
      <c r="AD881" s="332" t="str">
        <f>IF(F881="","",+F881&amp;K881)</f>
        <v>3SNMLBMSF25</v>
      </c>
      <c r="AE881" s="216">
        <f>+M881*N881*O881/1000</f>
        <v>12342</v>
      </c>
      <c r="AF881" s="43">
        <f>IF(AD881="","",VLOOKUP(AD881,原価マスタ!$A$2:$AJ$1693,13,FALSE))</f>
        <v>97</v>
      </c>
      <c r="AG881" s="47">
        <f>IF(AF881="","",+AE881*AF881/100)</f>
        <v>11971.74</v>
      </c>
      <c r="AH881" s="333"/>
      <c r="AI881" s="333"/>
      <c r="AJ881" s="333"/>
      <c r="AK881" s="333"/>
      <c r="AL881" s="334"/>
      <c r="AM881" s="334"/>
      <c r="AN881" s="334"/>
      <c r="AO881" s="334"/>
      <c r="AP881" s="334"/>
      <c r="AQ881" s="335"/>
      <c r="AR881" s="336"/>
    </row>
    <row r="882" spans="1:44" s="337" customFormat="1" ht="30.95" hidden="1" customHeight="1" x14ac:dyDescent="0.2">
      <c r="A882" s="358"/>
      <c r="B882" s="359"/>
      <c r="C882" s="360"/>
      <c r="D882" s="361"/>
      <c r="E882" s="361"/>
      <c r="F882" s="362"/>
      <c r="G882" s="363"/>
      <c r="H882" s="363"/>
      <c r="I882" s="207"/>
      <c r="J882" s="364"/>
      <c r="K882" s="207"/>
      <c r="L882" s="207"/>
      <c r="M882" s="365"/>
      <c r="N882" s="365"/>
      <c r="O882" s="366"/>
      <c r="P882" s="357"/>
      <c r="Q882" s="367"/>
      <c r="R882" s="278"/>
      <c r="S882" s="278"/>
      <c r="T882" s="368"/>
      <c r="U882" s="278"/>
      <c r="V882" s="363"/>
      <c r="W882" s="363"/>
      <c r="X882" s="363"/>
      <c r="Y882" s="363"/>
      <c r="Z882" s="357"/>
      <c r="AA882" s="207"/>
      <c r="AB882" s="369"/>
      <c r="AC882" s="370"/>
      <c r="AD882" s="332"/>
      <c r="AE882" s="371"/>
      <c r="AF882" s="372"/>
      <c r="AG882" s="366"/>
      <c r="AH882" s="333"/>
      <c r="AI882" s="333"/>
      <c r="AJ882" s="333"/>
      <c r="AK882" s="333"/>
      <c r="AL882" s="334"/>
      <c r="AM882" s="334"/>
      <c r="AN882" s="334"/>
      <c r="AO882" s="334"/>
      <c r="AP882" s="334"/>
      <c r="AQ882" s="335"/>
      <c r="AR882" s="336"/>
    </row>
    <row r="883" spans="1:44" s="337" customFormat="1" ht="30.95" hidden="1" customHeight="1" x14ac:dyDescent="0.2">
      <c r="A883" s="320" t="s">
        <v>595</v>
      </c>
      <c r="B883" s="321" t="s">
        <v>443</v>
      </c>
      <c r="C883" s="360"/>
      <c r="D883" s="398">
        <v>3727611</v>
      </c>
      <c r="E883" s="31">
        <v>4151498</v>
      </c>
      <c r="F883" s="268" t="str">
        <f>IF(D883="","",VLOOKUP(D883,契約台帳!$A$3:$K$4986,6,FALSE)&amp;VLOOKUP(D883,契約台帳!$A$3:$K$4986,7,FALSE)&amp;VLOOKUP(D883,契約台帳!$A$3:$K$4986,8,FALSE)&amp;VLOOKUP(D883,契約台帳!$A$3:$K$4986,9,FALSE)&amp;VLOOKUP(D883,契約台帳!$A$3:$K$4986,11,FALSE))</f>
        <v>3SNMLBMNQR66F</v>
      </c>
      <c r="G883" s="269" t="str">
        <f>IF(D883="","",VLOOKUP(F883,製品マスタ!$G$5:$H$5002,2,FALSE))</f>
        <v>S</v>
      </c>
      <c r="H883" s="269" t="str">
        <f>IF(D883="","",VLOOKUP(F883,製品マスタ!$G$5:$K$5002,5,FALSE))</f>
        <v>MNQR66F</v>
      </c>
      <c r="I883" s="270" t="str">
        <f>IF(D883="","",VLOOKUP(F883,製品マスタ!$G$5:$L$5002,6,FALSE))</f>
        <v>ＱＲ６６蒸着品</v>
      </c>
      <c r="J883" s="32" t="s">
        <v>447</v>
      </c>
      <c r="K883" s="270">
        <f>IF(D883="","",VLOOKUP(D883,契約台帳!$A$3:$L$4986,12,FALSE))</f>
        <v>25</v>
      </c>
      <c r="L883" s="270" t="str">
        <f>IF(D883="","",INDEX(製品マスタ!$Q$5:$Q$5002,MATCH(F883&amp;K883,製品マスタ!$AO$5:$AO$5002,0)))</f>
        <v>E315</v>
      </c>
      <c r="M883" s="39">
        <v>1100</v>
      </c>
      <c r="N883" s="39">
        <v>24000</v>
      </c>
      <c r="O883" s="47">
        <v>2</v>
      </c>
      <c r="P883" s="57"/>
      <c r="Q883" s="276">
        <f>IF(D883="","",IF(J883="リード付け",M883,VLOOKUP(D883,契約台帳!$A$3:$N$4986,14,FALSE)))</f>
        <v>1100</v>
      </c>
      <c r="R883" s="277">
        <f>IF(D883="","",IF(J883="リード付け",M883,VLOOKUP(D883,契約台帳!$A$3:$O$4986,15,FALSE)))</f>
        <v>1100</v>
      </c>
      <c r="S883" s="277">
        <f>IF(D883="","",IF(J883="リード付け",N883,VLOOKUP(D883,契約台帳!$A$3:$P$4986,16,FALSE)))</f>
        <v>6000</v>
      </c>
      <c r="T883" s="40">
        <v>8</v>
      </c>
      <c r="U883" s="278">
        <f ca="1">IF(D883="","",IF(OFFSET(D883,-2,0)=D883,"",VLOOKUP(D883,契約台帳!$A$3:$R$4986,18,FALSE)))</f>
        <v>8</v>
      </c>
      <c r="V883" s="269" t="str">
        <f>IF(J883="巻返し",VLOOKUP(F883&amp;K883&amp;M883,製品マスタ!$M$5:$AD$5002,18,FALSE),IF(J883="リード付け","原反コア",IF(J883="スリット",VLOOKUP(F883&amp;K883&amp;Q883,製品マスタ!$N$5:$AD$5002,17,FALSE),"")))</f>
        <v>6ｲﾝﾁMｺｱ</v>
      </c>
      <c r="W883" s="269">
        <f>IF(J883="巻返し",VLOOKUP(F883&amp;K883&amp;M883,製品マスタ!$M$5:$AE$5002,19,FALSE),IF(J883="リード付け","-",IF(J883="スリット",VLOOKUP(F883&amp;K883&amp;Q883,製品マスタ!$N$5:$AE$5002,18,FALSE),"")))</f>
        <v>1110</v>
      </c>
      <c r="X883" s="275">
        <f>IF(D883="","",VLOOKUP(D883,契約台帳!$A$3:$Q$4986,17,FALSE))</f>
        <v>2</v>
      </c>
      <c r="Y883" s="269" t="str">
        <f>IF(D883="","",VLOOKUP(D883,契約台帳!$A$3:$E$4986,5,FALSE))</f>
        <v xml:space="preserve">リンテック㈱        </v>
      </c>
      <c r="Z883" s="357">
        <v>45216</v>
      </c>
      <c r="AA883" s="207" t="str">
        <f>IFERROR(VLOOKUP(F883&amp;K883&amp;M883,製品マスタ!$M$5:$AM$5002,27,FALSE),"")</f>
        <v>原反ケース再利用</v>
      </c>
      <c r="AB883" s="369"/>
      <c r="AC883" s="370"/>
      <c r="AD883" s="332" t="str">
        <f>IF(F883="","",+F883&amp;K883)</f>
        <v>3SNMLBMNQR66F25</v>
      </c>
      <c r="AE883" s="216">
        <f>+M883*N883*O883/1000</f>
        <v>52800</v>
      </c>
      <c r="AF883" s="43">
        <f>IF(AD883="","",VLOOKUP(AD883,原価マスタ!$A$2:$AJ$1693,13,FALSE))</f>
        <v>98</v>
      </c>
      <c r="AG883" s="47">
        <f>IF(AF883="","",+AE883*AF883/100)</f>
        <v>51744</v>
      </c>
      <c r="AH883" s="333"/>
      <c r="AI883" s="333"/>
      <c r="AJ883" s="333"/>
      <c r="AK883" s="333"/>
      <c r="AL883" s="334"/>
      <c r="AM883" s="334"/>
      <c r="AN883" s="334"/>
      <c r="AO883" s="334"/>
      <c r="AP883" s="334"/>
      <c r="AQ883" s="335"/>
      <c r="AR883" s="336"/>
    </row>
    <row r="884" spans="1:44" s="337" customFormat="1" ht="30.95" hidden="1" customHeight="1" x14ac:dyDescent="0.2">
      <c r="A884" s="358"/>
      <c r="B884" s="359"/>
      <c r="C884" s="360"/>
      <c r="D884" s="361"/>
      <c r="E884" s="361"/>
      <c r="F884" s="362"/>
      <c r="G884" s="363"/>
      <c r="H884" s="363"/>
      <c r="I884" s="207"/>
      <c r="J884" s="364"/>
      <c r="K884" s="207"/>
      <c r="L884" s="207"/>
      <c r="M884" s="365"/>
      <c r="N884" s="365"/>
      <c r="O884" s="366"/>
      <c r="P884" s="357"/>
      <c r="Q884" s="367"/>
      <c r="R884" s="278"/>
      <c r="S884" s="278"/>
      <c r="T884" s="368"/>
      <c r="U884" s="278"/>
      <c r="V884" s="363"/>
      <c r="W884" s="363"/>
      <c r="X884" s="363"/>
      <c r="Y884" s="363"/>
      <c r="Z884" s="357"/>
      <c r="AA884" s="207"/>
      <c r="AB884" s="369"/>
      <c r="AC884" s="370"/>
      <c r="AD884" s="332"/>
      <c r="AE884" s="371"/>
      <c r="AF884" s="372"/>
      <c r="AG884" s="366"/>
      <c r="AH884" s="333"/>
      <c r="AI884" s="333"/>
      <c r="AJ884" s="333"/>
      <c r="AK884" s="333"/>
      <c r="AL884" s="334"/>
      <c r="AM884" s="334"/>
      <c r="AN884" s="334"/>
      <c r="AO884" s="334"/>
      <c r="AP884" s="334"/>
      <c r="AQ884" s="335"/>
      <c r="AR884" s="336"/>
    </row>
    <row r="885" spans="1:44" s="337" customFormat="1" ht="30.95" hidden="1" customHeight="1" x14ac:dyDescent="0.2">
      <c r="A885" s="320" t="s">
        <v>596</v>
      </c>
      <c r="B885" s="321" t="s">
        <v>444</v>
      </c>
      <c r="C885" s="360"/>
      <c r="D885" s="398">
        <v>3725013</v>
      </c>
      <c r="E885" s="31">
        <v>4151481</v>
      </c>
      <c r="F885" s="268" t="str">
        <f>IF(D885="","",VLOOKUP(D885,契約台帳!$A$3:$K$4986,6,FALSE)&amp;VLOOKUP(D885,契約台帳!$A$3:$K$4986,7,FALSE)&amp;VLOOKUP(D885,契約台帳!$A$3:$K$4986,8,FALSE)&amp;VLOOKUP(D885,契約台帳!$A$3:$K$4986,9,FALSE)&amp;VLOOKUP(D885,契約台帳!$A$3:$K$4986,11,FALSE))</f>
        <v>3SNMLBMNGTBF</v>
      </c>
      <c r="G885" s="269" t="str">
        <f>IF(D885="","",VLOOKUP(F885,製品マスタ!$G$5:$H$5002,2,FALSE))</f>
        <v>S</v>
      </c>
      <c r="H885" s="269" t="str">
        <f>IF(D885="","",VLOOKUP(F885,製品マスタ!$G$5:$K$5002,5,FALSE))</f>
        <v>MNGTBF</v>
      </c>
      <c r="I885" s="270" t="str">
        <f>IF(D885="","",VLOOKUP(F885,製品マスタ!$G$5:$L$5002,6,FALSE))</f>
        <v>メタルミー　ネーマー　銀艶　Ｂ</v>
      </c>
      <c r="J885" s="32" t="s">
        <v>447</v>
      </c>
      <c r="K885" s="270">
        <f>IF(D885="","",VLOOKUP(D885,契約台帳!$A$3:$L$4986,12,FALSE))</f>
        <v>50</v>
      </c>
      <c r="L885" s="270" t="str">
        <f>IF(D885="","",INDEX(製品マスタ!$Q$5:$Q$5002,MATCH(F885&amp;K885,製品マスタ!$AO$5:$AO$5002,0)))</f>
        <v>T62</v>
      </c>
      <c r="M885" s="39">
        <v>1120</v>
      </c>
      <c r="N885" s="39">
        <v>10000</v>
      </c>
      <c r="O885" s="47">
        <v>3</v>
      </c>
      <c r="P885" s="57"/>
      <c r="Q885" s="276">
        <f>IF(D885="","",IF(J885="リード付け",M885,VLOOKUP(D885,契約台帳!$A$3:$N$4986,14,FALSE)))</f>
        <v>1120</v>
      </c>
      <c r="R885" s="277">
        <f>IF(D885="","",IF(J885="リード付け",M885,VLOOKUP(D885,契約台帳!$A$3:$O$4986,15,FALSE)))</f>
        <v>1120</v>
      </c>
      <c r="S885" s="277">
        <f>IF(D885="","",IF(J885="リード付け",N885,VLOOKUP(D885,契約台帳!$A$3:$P$4986,16,FALSE)))</f>
        <v>5000</v>
      </c>
      <c r="T885" s="40">
        <v>6</v>
      </c>
      <c r="U885" s="278">
        <f ca="1">IF(D885="","",IF(OFFSET(D885,-2,0)=D885,"",VLOOKUP(D885,契約台帳!$A$3:$R$4986,18,FALSE)))</f>
        <v>28</v>
      </c>
      <c r="V885" s="269" t="str">
        <f>IF(J885="巻返し",VLOOKUP(F885&amp;K885&amp;M885,製品マスタ!$M$5:$AD$5002,18,FALSE),IF(J885="リード付け","原反コア",IF(J885="スリット",VLOOKUP(F885&amp;K885&amp;Q885,製品マスタ!$N$5:$AD$5002,17,FALSE),"")))</f>
        <v>6ｲﾝﾁSｺｱ</v>
      </c>
      <c r="W885" s="269">
        <f>IF(J885="巻返し",VLOOKUP(F885&amp;K885&amp;M885,製品マスタ!$M$5:$AE$5002,19,FALSE),IF(J885="リード付け","-",IF(J885="スリット",VLOOKUP(F885&amp;K885&amp;Q885,製品マスタ!$N$5:$AE$5002,18,FALSE),"")))</f>
        <v>1125</v>
      </c>
      <c r="X885" s="275">
        <f>IF(D885="","",VLOOKUP(D885,契約台帳!$A$3:$Q$4986,17,FALSE))</f>
        <v>2</v>
      </c>
      <c r="Y885" s="269" t="str">
        <f>IF(D885="","",VLOOKUP(D885,契約台帳!$A$3:$E$4986,5,FALSE))</f>
        <v>リンテック㈱</v>
      </c>
      <c r="Z885" s="357">
        <v>45217</v>
      </c>
      <c r="AA885" s="207" t="str">
        <f>IFERROR(VLOOKUP(F885&amp;K885&amp;M885,製品マスタ!$M$5:$AM$5002,27,FALSE),"")</f>
        <v>原反ケース再利用</v>
      </c>
      <c r="AB885" s="369"/>
      <c r="AC885" s="370"/>
      <c r="AD885" s="332" t="str">
        <f>IF(F885="","",+F885&amp;K885)</f>
        <v>3SNMLBMNGTBF50</v>
      </c>
      <c r="AE885" s="216">
        <f>+M885*N885*O885/1000</f>
        <v>33600</v>
      </c>
      <c r="AF885" s="43">
        <f>IF(AD885="","",VLOOKUP(AD885,原価マスタ!$A$2:$AJ$1693,13,FALSE))</f>
        <v>99</v>
      </c>
      <c r="AG885" s="47">
        <f>IF(AF885="","",+AE885*AF885/100)</f>
        <v>33264</v>
      </c>
      <c r="AH885" s="333"/>
      <c r="AI885" s="333"/>
      <c r="AJ885" s="333"/>
      <c r="AK885" s="333"/>
      <c r="AL885" s="334"/>
      <c r="AM885" s="334"/>
      <c r="AN885" s="334"/>
      <c r="AO885" s="334"/>
      <c r="AP885" s="334"/>
      <c r="AQ885" s="335"/>
      <c r="AR885" s="336"/>
    </row>
    <row r="886" spans="1:44" s="337" customFormat="1" ht="30.95" hidden="1" customHeight="1" x14ac:dyDescent="0.2">
      <c r="A886" s="358"/>
      <c r="B886" s="359"/>
      <c r="C886" s="360"/>
      <c r="D886" s="361"/>
      <c r="E886" s="361"/>
      <c r="F886" s="362"/>
      <c r="G886" s="363"/>
      <c r="H886" s="363"/>
      <c r="I886" s="207"/>
      <c r="J886" s="364"/>
      <c r="K886" s="207"/>
      <c r="L886" s="207"/>
      <c r="M886" s="365"/>
      <c r="N886" s="365"/>
      <c r="O886" s="366"/>
      <c r="P886" s="357"/>
      <c r="Q886" s="367"/>
      <c r="R886" s="278"/>
      <c r="S886" s="278"/>
      <c r="T886" s="368"/>
      <c r="U886" s="278"/>
      <c r="V886" s="363"/>
      <c r="W886" s="363"/>
      <c r="X886" s="363"/>
      <c r="Y886" s="363"/>
      <c r="Z886" s="357"/>
      <c r="AA886" s="207"/>
      <c r="AB886" s="369"/>
      <c r="AC886" s="370"/>
      <c r="AD886" s="332"/>
      <c r="AE886" s="371"/>
      <c r="AF886" s="372"/>
      <c r="AG886" s="366"/>
      <c r="AH886" s="333"/>
      <c r="AI886" s="333"/>
      <c r="AJ886" s="333"/>
      <c r="AK886" s="333"/>
      <c r="AL886" s="334"/>
      <c r="AM886" s="334"/>
      <c r="AN886" s="334"/>
      <c r="AO886" s="334"/>
      <c r="AP886" s="334"/>
      <c r="AQ886" s="335"/>
      <c r="AR886" s="336"/>
    </row>
    <row r="887" spans="1:44" s="337" customFormat="1" ht="30.95" hidden="1" customHeight="1" x14ac:dyDescent="0.2">
      <c r="A887" s="320"/>
      <c r="B887" s="321"/>
      <c r="C887" s="360"/>
      <c r="D887" s="398">
        <v>3727600</v>
      </c>
      <c r="E887" s="31">
        <v>4151489</v>
      </c>
      <c r="F887" s="268" t="str">
        <f>IF(D887="","",VLOOKUP(D887,契約台帳!$A$3:$K$4986,6,FALSE)&amp;VLOOKUP(D887,契約台帳!$A$3:$K$4986,7,FALSE)&amp;VLOOKUP(D887,契約台帳!$A$3:$K$4986,8,FALSE)&amp;VLOOKUP(D887,契約台帳!$A$3:$K$4986,9,FALSE)&amp;VLOOKUP(D887,契約台帳!$A$3:$K$4986,11,FALSE))</f>
        <v>3SNMLBMNGTBF</v>
      </c>
      <c r="G887" s="269" t="str">
        <f>IF(D887="","",VLOOKUP(F887,製品マスタ!$G$5:$H$5002,2,FALSE))</f>
        <v>S</v>
      </c>
      <c r="H887" s="269" t="str">
        <f>IF(D887="","",VLOOKUP(F887,製品マスタ!$G$5:$K$5002,5,FALSE))</f>
        <v>MNGTBF</v>
      </c>
      <c r="I887" s="270" t="str">
        <f>IF(D887="","",VLOOKUP(F887,製品マスタ!$G$5:$L$5002,6,FALSE))</f>
        <v>メタルミー　ネーマー　銀艶　Ｂ</v>
      </c>
      <c r="J887" s="32" t="s">
        <v>447</v>
      </c>
      <c r="K887" s="270">
        <f>IF(D887="","",VLOOKUP(D887,契約台帳!$A$3:$L$4986,12,FALSE))</f>
        <v>50</v>
      </c>
      <c r="L887" s="270" t="str">
        <f>IF(D887="","",INDEX(製品マスタ!$Q$5:$Q$5002,MATCH(F887&amp;K887,製品マスタ!$AO$5:$AO$5002,0)))</f>
        <v>T62</v>
      </c>
      <c r="M887" s="39">
        <v>1120</v>
      </c>
      <c r="N887" s="39">
        <v>10000</v>
      </c>
      <c r="O887" s="47">
        <v>2</v>
      </c>
      <c r="P887" s="57"/>
      <c r="Q887" s="276">
        <f>IF(D887="","",IF(J887="リード付け",M887,VLOOKUP(D887,契約台帳!$A$3:$N$4986,14,FALSE)))</f>
        <v>1120</v>
      </c>
      <c r="R887" s="277">
        <f>IF(D887="","",IF(J887="リード付け",M887,VLOOKUP(D887,契約台帳!$A$3:$O$4986,15,FALSE)))</f>
        <v>1120</v>
      </c>
      <c r="S887" s="277">
        <f>IF(D887="","",IF(J887="リード付け",N887,VLOOKUP(D887,契約台帳!$A$3:$P$4986,16,FALSE)))</f>
        <v>5000</v>
      </c>
      <c r="T887" s="40">
        <v>4</v>
      </c>
      <c r="U887" s="278">
        <f ca="1">IF(D887="","",IF(OFFSET(D887,-2,0)=D887,"",VLOOKUP(D887,契約台帳!$A$3:$R$4986,18,FALSE)))</f>
        <v>36</v>
      </c>
      <c r="V887" s="269" t="str">
        <f>IF(J887="巻返し",VLOOKUP(F887&amp;K887&amp;M887,製品マスタ!$M$5:$AD$5002,18,FALSE),IF(J887="リード付け","原反コア",IF(J887="スリット",VLOOKUP(F887&amp;K887&amp;Q887,製品マスタ!$N$5:$AD$5002,17,FALSE),"")))</f>
        <v>6ｲﾝﾁSｺｱ</v>
      </c>
      <c r="W887" s="269">
        <f>IF(J887="巻返し",VLOOKUP(F887&amp;K887&amp;M887,製品マスタ!$M$5:$AE$5002,19,FALSE),IF(J887="リード付け","-",IF(J887="スリット",VLOOKUP(F887&amp;K887&amp;Q887,製品マスタ!$N$5:$AE$5002,18,FALSE),"")))</f>
        <v>1125</v>
      </c>
      <c r="X887" s="275">
        <f>IF(D887="","",VLOOKUP(D887,契約台帳!$A$3:$Q$4986,17,FALSE))</f>
        <v>2</v>
      </c>
      <c r="Y887" s="269" t="str">
        <f>IF(D887="","",VLOOKUP(D887,契約台帳!$A$3:$E$4986,5,FALSE))</f>
        <v xml:space="preserve">リンテック㈱        </v>
      </c>
      <c r="Z887" s="357">
        <v>45217</v>
      </c>
      <c r="AA887" s="207" t="str">
        <f>IFERROR(VLOOKUP(F887&amp;K887&amp;M887,製品マスタ!$M$5:$AM$5002,27,FALSE),"")</f>
        <v>原反ケース再利用</v>
      </c>
      <c r="AB887" s="369"/>
      <c r="AC887" s="370"/>
      <c r="AD887" s="332" t="str">
        <f>IF(F887="","",+F887&amp;K887)</f>
        <v>3SNMLBMNGTBF50</v>
      </c>
      <c r="AE887" s="216">
        <f>+M887*N887*O887/1000</f>
        <v>22400</v>
      </c>
      <c r="AF887" s="43">
        <f>IF(AD887="","",VLOOKUP(AD887,原価マスタ!$A$2:$AJ$1693,13,FALSE))</f>
        <v>99</v>
      </c>
      <c r="AG887" s="47">
        <f>IF(AF887="","",+AE887*AF887/100)</f>
        <v>22176</v>
      </c>
      <c r="AH887" s="333"/>
      <c r="AI887" s="333"/>
      <c r="AJ887" s="333"/>
      <c r="AK887" s="333"/>
      <c r="AL887" s="334"/>
      <c r="AM887" s="334"/>
      <c r="AN887" s="334"/>
      <c r="AO887" s="334"/>
      <c r="AP887" s="334"/>
      <c r="AQ887" s="335"/>
      <c r="AR887" s="336"/>
    </row>
    <row r="888" spans="1:44" s="337" customFormat="1" ht="30.95" hidden="1" customHeight="1" x14ac:dyDescent="0.2">
      <c r="A888" s="358"/>
      <c r="B888" s="359"/>
      <c r="C888" s="360"/>
      <c r="D888" s="361"/>
      <c r="E888" s="361"/>
      <c r="F888" s="362"/>
      <c r="G888" s="363"/>
      <c r="H888" s="363"/>
      <c r="I888" s="207"/>
      <c r="J888" s="364"/>
      <c r="K888" s="207"/>
      <c r="L888" s="207"/>
      <c r="M888" s="365"/>
      <c r="N888" s="365"/>
      <c r="O888" s="366"/>
      <c r="P888" s="357"/>
      <c r="Q888" s="367"/>
      <c r="R888" s="278"/>
      <c r="S888" s="278"/>
      <c r="T888" s="368"/>
      <c r="U888" s="278"/>
      <c r="V888" s="363"/>
      <c r="W888" s="363"/>
      <c r="X888" s="363"/>
      <c r="Y888" s="363"/>
      <c r="Z888" s="357"/>
      <c r="AA888" s="207"/>
      <c r="AB888" s="369"/>
      <c r="AC888" s="370"/>
      <c r="AD888" s="332"/>
      <c r="AE888" s="371"/>
      <c r="AF888" s="372"/>
      <c r="AG888" s="366"/>
      <c r="AH888" s="333"/>
      <c r="AI888" s="333"/>
      <c r="AJ888" s="333"/>
      <c r="AK888" s="333"/>
      <c r="AL888" s="334"/>
      <c r="AM888" s="334"/>
      <c r="AN888" s="334"/>
      <c r="AO888" s="334"/>
      <c r="AP888" s="334"/>
      <c r="AQ888" s="335"/>
      <c r="AR888" s="336"/>
    </row>
    <row r="889" spans="1:44" s="337" customFormat="1" ht="30.95" hidden="1" customHeight="1" x14ac:dyDescent="0.2">
      <c r="A889" s="358" t="s">
        <v>597</v>
      </c>
      <c r="B889" s="359" t="s">
        <v>445</v>
      </c>
      <c r="C889" s="360"/>
      <c r="D889" s="398">
        <v>3727600</v>
      </c>
      <c r="E889" s="31">
        <v>4151489</v>
      </c>
      <c r="F889" s="268" t="str">
        <f>IF(D889="","",VLOOKUP(D889,契約台帳!$A$3:$K$4986,6,FALSE)&amp;VLOOKUP(D889,契約台帳!$A$3:$K$4986,7,FALSE)&amp;VLOOKUP(D889,契約台帳!$A$3:$K$4986,8,FALSE)&amp;VLOOKUP(D889,契約台帳!$A$3:$K$4986,9,FALSE)&amp;VLOOKUP(D889,契約台帳!$A$3:$K$4986,11,FALSE))</f>
        <v>3SNMLBMNGTBF</v>
      </c>
      <c r="G889" s="269" t="str">
        <f>IF(D889="","",VLOOKUP(F889,製品マスタ!$G$5:$H$5002,2,FALSE))</f>
        <v>S</v>
      </c>
      <c r="H889" s="269" t="str">
        <f>IF(D889="","",VLOOKUP(F889,製品マスタ!$G$5:$K$5002,5,FALSE))</f>
        <v>MNGTBF</v>
      </c>
      <c r="I889" s="270" t="str">
        <f>IF(D889="","",VLOOKUP(F889,製品マスタ!$G$5:$L$5002,6,FALSE))</f>
        <v>メタルミー　ネーマー　銀艶　Ｂ</v>
      </c>
      <c r="J889" s="32" t="s">
        <v>447</v>
      </c>
      <c r="K889" s="270">
        <f>IF(D889="","",VLOOKUP(D889,契約台帳!$A$3:$L$4986,12,FALSE))</f>
        <v>50</v>
      </c>
      <c r="L889" s="270" t="str">
        <f>IF(D889="","",INDEX(製品マスタ!$Q$5:$Q$5002,MATCH(F889&amp;K889,製品マスタ!$AO$5:$AO$5002,0)))</f>
        <v>T62</v>
      </c>
      <c r="M889" s="39">
        <v>1120</v>
      </c>
      <c r="N889" s="39">
        <v>10000</v>
      </c>
      <c r="O889" s="47">
        <v>5</v>
      </c>
      <c r="P889" s="57"/>
      <c r="Q889" s="276">
        <f>IF(D889="","",IF(J889="リード付け",M889,VLOOKUP(D889,契約台帳!$A$3:$N$4986,14,FALSE)))</f>
        <v>1120</v>
      </c>
      <c r="R889" s="277">
        <f>IF(D889="","",IF(J889="リード付け",M889,VLOOKUP(D889,契約台帳!$A$3:$O$4986,15,FALSE)))</f>
        <v>1120</v>
      </c>
      <c r="S889" s="277">
        <f>IF(D889="","",IF(J889="リード付け",N889,VLOOKUP(D889,契約台帳!$A$3:$P$4986,16,FALSE)))</f>
        <v>5000</v>
      </c>
      <c r="T889" s="40">
        <v>10</v>
      </c>
      <c r="U889" s="278" t="str">
        <f ca="1">IF(D889="","",IF(OFFSET(D889,-2,0)=D889,"",VLOOKUP(D889,契約台帳!$A$3:$R$4986,18,FALSE)))</f>
        <v/>
      </c>
      <c r="V889" s="269" t="str">
        <f>IF(J889="巻返し",VLOOKUP(F889&amp;K889&amp;M889,製品マスタ!$M$5:$AD$5002,18,FALSE),IF(J889="リード付け","原反コア",IF(J889="スリット",VLOOKUP(F889&amp;K889&amp;Q889,製品マスタ!$N$5:$AD$5002,17,FALSE),"")))</f>
        <v>6ｲﾝﾁSｺｱ</v>
      </c>
      <c r="W889" s="269">
        <f>IF(J889="巻返し",VLOOKUP(F889&amp;K889&amp;M889,製品マスタ!$M$5:$AE$5002,19,FALSE),IF(J889="リード付け","-",IF(J889="スリット",VLOOKUP(F889&amp;K889&amp;Q889,製品マスタ!$N$5:$AE$5002,18,FALSE),"")))</f>
        <v>1125</v>
      </c>
      <c r="X889" s="275">
        <f>IF(D889="","",VLOOKUP(D889,契約台帳!$A$3:$Q$4986,17,FALSE))</f>
        <v>2</v>
      </c>
      <c r="Y889" s="269" t="str">
        <f>IF(D889="","",VLOOKUP(D889,契約台帳!$A$3:$E$4986,5,FALSE))</f>
        <v xml:space="preserve">リンテック㈱        </v>
      </c>
      <c r="Z889" s="357">
        <v>45217</v>
      </c>
      <c r="AA889" s="207" t="str">
        <f>IFERROR(VLOOKUP(F889&amp;K889&amp;M889,製品マスタ!$M$5:$AM$5002,27,FALSE),"")</f>
        <v>原反ケース再利用</v>
      </c>
      <c r="AB889" s="369"/>
      <c r="AC889" s="370"/>
      <c r="AD889" s="332" t="str">
        <f>IF(F889="","",+F889&amp;K889)</f>
        <v>3SNMLBMNGTBF50</v>
      </c>
      <c r="AE889" s="216">
        <f>+M889*N889*O889/1000</f>
        <v>56000</v>
      </c>
      <c r="AF889" s="43">
        <f>IF(AD889="","",VLOOKUP(AD889,原価マスタ!$A$2:$AJ$1693,13,FALSE))</f>
        <v>99</v>
      </c>
      <c r="AG889" s="47">
        <f>IF(AF889="","",+AE889*AF889/100)</f>
        <v>55440</v>
      </c>
      <c r="AH889" s="333"/>
      <c r="AI889" s="333"/>
      <c r="AJ889" s="333"/>
      <c r="AK889" s="333"/>
      <c r="AL889" s="334"/>
      <c r="AM889" s="334"/>
      <c r="AN889" s="334"/>
      <c r="AO889" s="334"/>
      <c r="AP889" s="334"/>
      <c r="AQ889" s="335"/>
      <c r="AR889" s="336"/>
    </row>
    <row r="890" spans="1:44" s="337" customFormat="1" ht="30.95" hidden="1" customHeight="1" x14ac:dyDescent="0.2">
      <c r="A890" s="358"/>
      <c r="B890" s="359"/>
      <c r="C890" s="360"/>
      <c r="D890" s="361"/>
      <c r="E890" s="361"/>
      <c r="F890" s="362"/>
      <c r="G890" s="363"/>
      <c r="H890" s="363"/>
      <c r="I890" s="207"/>
      <c r="J890" s="364"/>
      <c r="K890" s="207"/>
      <c r="L890" s="207"/>
      <c r="M890" s="365"/>
      <c r="N890" s="365"/>
      <c r="O890" s="366"/>
      <c r="P890" s="357"/>
      <c r="Q890" s="367"/>
      <c r="R890" s="278"/>
      <c r="S890" s="278"/>
      <c r="T890" s="368"/>
      <c r="U890" s="278"/>
      <c r="V890" s="363"/>
      <c r="W890" s="363"/>
      <c r="X890" s="363"/>
      <c r="Y890" s="363"/>
      <c r="Z890" s="357"/>
      <c r="AA890" s="207"/>
      <c r="AB890" s="369"/>
      <c r="AC890" s="370"/>
      <c r="AD890" s="332"/>
      <c r="AE890" s="371"/>
      <c r="AF890" s="372"/>
      <c r="AG890" s="366"/>
      <c r="AH890" s="333"/>
      <c r="AI890" s="333"/>
      <c r="AJ890" s="333"/>
      <c r="AK890" s="333"/>
      <c r="AL890" s="334"/>
      <c r="AM890" s="334"/>
      <c r="AN890" s="334"/>
      <c r="AO890" s="334"/>
      <c r="AP890" s="334"/>
      <c r="AQ890" s="335"/>
      <c r="AR890" s="336"/>
    </row>
    <row r="891" spans="1:44" s="337" customFormat="1" ht="30.95" hidden="1" customHeight="1" x14ac:dyDescent="0.2">
      <c r="A891" s="358" t="s">
        <v>1631</v>
      </c>
      <c r="B891" s="359" t="s">
        <v>1626</v>
      </c>
      <c r="C891" s="360"/>
      <c r="D891" s="361"/>
      <c r="E891" s="361"/>
      <c r="F891" s="362"/>
      <c r="G891" s="363"/>
      <c r="H891" s="363"/>
      <c r="I891" s="207"/>
      <c r="J891" s="364" t="s">
        <v>1632</v>
      </c>
      <c r="K891" s="207"/>
      <c r="L891" s="207"/>
      <c r="M891" s="365"/>
      <c r="N891" s="365"/>
      <c r="O891" s="366"/>
      <c r="P891" s="357"/>
      <c r="Q891" s="367"/>
      <c r="R891" s="278"/>
      <c r="S891" s="278"/>
      <c r="T891" s="368"/>
      <c r="U891" s="278"/>
      <c r="V891" s="363"/>
      <c r="W891" s="363"/>
      <c r="X891" s="363"/>
      <c r="Y891" s="363"/>
      <c r="Z891" s="357"/>
      <c r="AA891" s="207"/>
      <c r="AB891" s="369"/>
      <c r="AC891" s="370"/>
      <c r="AD891" s="332"/>
      <c r="AE891" s="371"/>
      <c r="AF891" s="372"/>
      <c r="AG891" s="366"/>
      <c r="AH891" s="333"/>
      <c r="AI891" s="333"/>
      <c r="AJ891" s="333"/>
      <c r="AK891" s="333"/>
      <c r="AL891" s="334"/>
      <c r="AM891" s="334"/>
      <c r="AN891" s="334"/>
      <c r="AO891" s="334"/>
      <c r="AP891" s="334"/>
      <c r="AQ891" s="335"/>
      <c r="AR891" s="336"/>
    </row>
    <row r="892" spans="1:44" s="337" customFormat="1" ht="30.95" hidden="1" customHeight="1" x14ac:dyDescent="0.2">
      <c r="A892" s="358"/>
      <c r="B892" s="359"/>
      <c r="C892" s="360"/>
      <c r="D892" s="361"/>
      <c r="E892" s="361"/>
      <c r="F892" s="362"/>
      <c r="G892" s="363"/>
      <c r="H892" s="363"/>
      <c r="I892" s="207"/>
      <c r="J892" s="364"/>
      <c r="K892" s="207"/>
      <c r="L892" s="207"/>
      <c r="M892" s="365"/>
      <c r="N892" s="365"/>
      <c r="O892" s="366"/>
      <c r="P892" s="357"/>
      <c r="Q892" s="367"/>
      <c r="R892" s="278"/>
      <c r="S892" s="278"/>
      <c r="T892" s="368"/>
      <c r="U892" s="278"/>
      <c r="V892" s="363"/>
      <c r="W892" s="363"/>
      <c r="X892" s="363"/>
      <c r="Y892" s="363"/>
      <c r="Z892" s="357"/>
      <c r="AA892" s="207"/>
      <c r="AB892" s="369"/>
      <c r="AC892" s="370"/>
      <c r="AD892" s="332"/>
      <c r="AE892" s="371"/>
      <c r="AF892" s="372"/>
      <c r="AG892" s="366"/>
      <c r="AH892" s="333"/>
      <c r="AI892" s="333"/>
      <c r="AJ892" s="333"/>
      <c r="AK892" s="333"/>
      <c r="AL892" s="334"/>
      <c r="AM892" s="334"/>
      <c r="AN892" s="334"/>
      <c r="AO892" s="334"/>
      <c r="AP892" s="334"/>
      <c r="AQ892" s="335"/>
      <c r="AR892" s="336"/>
    </row>
    <row r="893" spans="1:44" s="337" customFormat="1" ht="30.95" hidden="1" customHeight="1" x14ac:dyDescent="0.2">
      <c r="A893" s="358" t="s">
        <v>599</v>
      </c>
      <c r="B893" s="359" t="s">
        <v>462</v>
      </c>
      <c r="C893" s="360"/>
      <c r="D893" s="398">
        <v>3727600</v>
      </c>
      <c r="E893" s="31">
        <v>4151489</v>
      </c>
      <c r="F893" s="268" t="str">
        <f>IF(D893="","",VLOOKUP(D893,契約台帳!$A$3:$K$4986,6,FALSE)&amp;VLOOKUP(D893,契約台帳!$A$3:$K$4986,7,FALSE)&amp;VLOOKUP(D893,契約台帳!$A$3:$K$4986,8,FALSE)&amp;VLOOKUP(D893,契約台帳!$A$3:$K$4986,9,FALSE)&amp;VLOOKUP(D893,契約台帳!$A$3:$K$4986,11,FALSE))</f>
        <v>3SNMLBMNGTBF</v>
      </c>
      <c r="G893" s="269" t="str">
        <f>IF(D893="","",VLOOKUP(F893,製品マスタ!$G$5:$H$5002,2,FALSE))</f>
        <v>S</v>
      </c>
      <c r="H893" s="269" t="str">
        <f>IF(D893="","",VLOOKUP(F893,製品マスタ!$G$5:$K$5002,5,FALSE))</f>
        <v>MNGTBF</v>
      </c>
      <c r="I893" s="270" t="str">
        <f>IF(D893="","",VLOOKUP(F893,製品マスタ!$G$5:$L$5002,6,FALSE))</f>
        <v>メタルミー　ネーマー　銀艶　Ｂ</v>
      </c>
      <c r="J893" s="32" t="s">
        <v>447</v>
      </c>
      <c r="K893" s="270">
        <f>IF(D893="","",VLOOKUP(D893,契約台帳!$A$3:$L$4986,12,FALSE))</f>
        <v>50</v>
      </c>
      <c r="L893" s="270" t="str">
        <f>IF(D893="","",INDEX(製品マスタ!$Q$5:$Q$5002,MATCH(F893&amp;K893,製品マスタ!$AO$5:$AO$5002,0)))</f>
        <v>T62</v>
      </c>
      <c r="M893" s="39">
        <v>1120</v>
      </c>
      <c r="N893" s="39">
        <v>10000</v>
      </c>
      <c r="O893" s="47">
        <v>5</v>
      </c>
      <c r="P893" s="57"/>
      <c r="Q893" s="276">
        <f>IF(D893="","",IF(J893="リード付け",M893,VLOOKUP(D893,契約台帳!$A$3:$N$4986,14,FALSE)))</f>
        <v>1120</v>
      </c>
      <c r="R893" s="277">
        <f>IF(D893="","",IF(J893="リード付け",M893,VLOOKUP(D893,契約台帳!$A$3:$O$4986,15,FALSE)))</f>
        <v>1120</v>
      </c>
      <c r="S893" s="277">
        <f>IF(D893="","",IF(J893="リード付け",N893,VLOOKUP(D893,契約台帳!$A$3:$P$4986,16,FALSE)))</f>
        <v>5000</v>
      </c>
      <c r="T893" s="40">
        <v>10</v>
      </c>
      <c r="U893" s="278">
        <f ca="1">IF(D893="","",IF(OFFSET(D893,-2,0)=D893,"",VLOOKUP(D893,契約台帳!$A$3:$R$4986,18,FALSE)))</f>
        <v>36</v>
      </c>
      <c r="V893" s="269" t="str">
        <f>IF(J893="巻返し",VLOOKUP(F893&amp;K893&amp;M893,製品マスタ!$M$5:$AD$5002,18,FALSE),IF(J893="リード付け","原反コア",IF(J893="スリット",VLOOKUP(F893&amp;K893&amp;Q893,製品マスタ!$N$5:$AD$5002,17,FALSE),"")))</f>
        <v>6ｲﾝﾁSｺｱ</v>
      </c>
      <c r="W893" s="269">
        <f>IF(J893="巻返し",VLOOKUP(F893&amp;K893&amp;M893,製品マスタ!$M$5:$AE$5002,19,FALSE),IF(J893="リード付け","-",IF(J893="スリット",VLOOKUP(F893&amp;K893&amp;Q893,製品マスタ!$N$5:$AE$5002,18,FALSE),"")))</f>
        <v>1125</v>
      </c>
      <c r="X893" s="275">
        <f>IF(D893="","",VLOOKUP(D893,契約台帳!$A$3:$Q$4986,17,FALSE))</f>
        <v>2</v>
      </c>
      <c r="Y893" s="269" t="str">
        <f>IF(D893="","",VLOOKUP(D893,契約台帳!$A$3:$E$4986,5,FALSE))</f>
        <v xml:space="preserve">リンテック㈱        </v>
      </c>
      <c r="Z893" s="357">
        <v>45218</v>
      </c>
      <c r="AA893" s="207" t="str">
        <f>IFERROR(VLOOKUP(F893&amp;K893&amp;M893,製品マスタ!$M$5:$AM$5002,27,FALSE),"")</f>
        <v>原反ケース再利用</v>
      </c>
      <c r="AB893" s="369"/>
      <c r="AC893" s="370"/>
      <c r="AD893" s="332" t="str">
        <f>IF(F893="","",+F893&amp;K893)</f>
        <v>3SNMLBMNGTBF50</v>
      </c>
      <c r="AE893" s="216">
        <f>+M893*N893*O893/1000</f>
        <v>56000</v>
      </c>
      <c r="AF893" s="43">
        <f>IF(AD893="","",VLOOKUP(AD893,原価マスタ!$A$2:$AJ$1693,13,FALSE))</f>
        <v>99</v>
      </c>
      <c r="AG893" s="47">
        <f>IF(AF893="","",+AE893*AF893/100)</f>
        <v>55440</v>
      </c>
      <c r="AH893" s="333"/>
      <c r="AI893" s="333"/>
      <c r="AJ893" s="333"/>
      <c r="AK893" s="333"/>
      <c r="AL893" s="334"/>
      <c r="AM893" s="334"/>
      <c r="AN893" s="334"/>
      <c r="AO893" s="334"/>
      <c r="AP893" s="334"/>
      <c r="AQ893" s="335"/>
      <c r="AR893" s="336"/>
    </row>
    <row r="894" spans="1:44" s="337" customFormat="1" ht="30.95" hidden="1" customHeight="1" x14ac:dyDescent="0.2">
      <c r="A894" s="358"/>
      <c r="B894" s="359"/>
      <c r="C894" s="360"/>
      <c r="D894" s="361"/>
      <c r="E894" s="361"/>
      <c r="F894" s="362"/>
      <c r="G894" s="363"/>
      <c r="H894" s="363"/>
      <c r="I894" s="207"/>
      <c r="J894" s="364"/>
      <c r="K894" s="207"/>
      <c r="L894" s="207"/>
      <c r="M894" s="365"/>
      <c r="N894" s="365"/>
      <c r="O894" s="366"/>
      <c r="P894" s="357"/>
      <c r="Q894" s="367"/>
      <c r="R894" s="278"/>
      <c r="S894" s="278"/>
      <c r="T894" s="368"/>
      <c r="U894" s="278"/>
      <c r="V894" s="363"/>
      <c r="W894" s="363"/>
      <c r="X894" s="363"/>
      <c r="Y894" s="363"/>
      <c r="Z894" s="357"/>
      <c r="AA894" s="207"/>
      <c r="AB894" s="369"/>
      <c r="AC894" s="370"/>
      <c r="AD894" s="332"/>
      <c r="AE894" s="371"/>
      <c r="AF894" s="372"/>
      <c r="AG894" s="366"/>
      <c r="AH894" s="333"/>
      <c r="AI894" s="333"/>
      <c r="AJ894" s="333"/>
      <c r="AK894" s="333"/>
      <c r="AL894" s="334"/>
      <c r="AM894" s="334"/>
      <c r="AN894" s="334"/>
      <c r="AO894" s="334"/>
      <c r="AP894" s="334"/>
      <c r="AQ894" s="335"/>
      <c r="AR894" s="336"/>
    </row>
    <row r="895" spans="1:44" s="337" customFormat="1" ht="30.95" hidden="1" customHeight="1" x14ac:dyDescent="0.2">
      <c r="A895" s="320" t="s">
        <v>600</v>
      </c>
      <c r="B895" s="321" t="s">
        <v>688</v>
      </c>
      <c r="C895" s="360"/>
      <c r="D895" s="398">
        <v>3727600</v>
      </c>
      <c r="E895" s="31">
        <v>4151489</v>
      </c>
      <c r="F895" s="268" t="str">
        <f>IF(D895="","",VLOOKUP(D895,契約台帳!$A$3:$K$4986,6,FALSE)&amp;VLOOKUP(D895,契約台帳!$A$3:$K$4986,7,FALSE)&amp;VLOOKUP(D895,契約台帳!$A$3:$K$4986,8,FALSE)&amp;VLOOKUP(D895,契約台帳!$A$3:$K$4986,9,FALSE)&amp;VLOOKUP(D895,契約台帳!$A$3:$K$4986,11,FALSE))</f>
        <v>3SNMLBMNGTBF</v>
      </c>
      <c r="G895" s="269" t="str">
        <f>IF(D895="","",VLOOKUP(F895,製品マスタ!$G$5:$H$5002,2,FALSE))</f>
        <v>S</v>
      </c>
      <c r="H895" s="269" t="str">
        <f>IF(D895="","",VLOOKUP(F895,製品マスタ!$G$5:$K$5002,5,FALSE))</f>
        <v>MNGTBF</v>
      </c>
      <c r="I895" s="270" t="str">
        <f>IF(D895="","",VLOOKUP(F895,製品マスタ!$G$5:$L$5002,6,FALSE))</f>
        <v>メタルミー　ネーマー　銀艶　Ｂ</v>
      </c>
      <c r="J895" s="32" t="s">
        <v>447</v>
      </c>
      <c r="K895" s="270">
        <f>IF(D895="","",VLOOKUP(D895,契約台帳!$A$3:$L$4986,12,FALSE))</f>
        <v>50</v>
      </c>
      <c r="L895" s="270" t="str">
        <f>IF(D895="","",INDEX(製品マスタ!$Q$5:$Q$5002,MATCH(F895&amp;K895,製品マスタ!$AO$5:$AO$5002,0)))</f>
        <v>T62</v>
      </c>
      <c r="M895" s="39">
        <v>1120</v>
      </c>
      <c r="N895" s="39">
        <v>10000</v>
      </c>
      <c r="O895" s="47">
        <v>5</v>
      </c>
      <c r="P895" s="57"/>
      <c r="Q895" s="276">
        <f>IF(D895="","",IF(J895="リード付け",M895,VLOOKUP(D895,契約台帳!$A$3:$N$4986,14,FALSE)))</f>
        <v>1120</v>
      </c>
      <c r="R895" s="277">
        <f>IF(D895="","",IF(J895="リード付け",M895,VLOOKUP(D895,契約台帳!$A$3:$O$4986,15,FALSE)))</f>
        <v>1120</v>
      </c>
      <c r="S895" s="277">
        <f>IF(D895="","",IF(J895="リード付け",N895,VLOOKUP(D895,契約台帳!$A$3:$P$4986,16,FALSE)))</f>
        <v>5000</v>
      </c>
      <c r="T895" s="40">
        <v>10</v>
      </c>
      <c r="U895" s="278" t="str">
        <f ca="1">IF(D895="","",IF(OFFSET(D895,-2,0)=D895,"",VLOOKUP(D895,契約台帳!$A$3:$R$4986,18,FALSE)))</f>
        <v/>
      </c>
      <c r="V895" s="269" t="str">
        <f>IF(J895="巻返し",VLOOKUP(F895&amp;K895&amp;M895,製品マスタ!$M$5:$AD$5002,18,FALSE),IF(J895="リード付け","原反コア",IF(J895="スリット",VLOOKUP(F895&amp;K895&amp;Q895,製品マスタ!$N$5:$AD$5002,17,FALSE),"")))</f>
        <v>6ｲﾝﾁSｺｱ</v>
      </c>
      <c r="W895" s="269">
        <f>IF(J895="巻返し",VLOOKUP(F895&amp;K895&amp;M895,製品マスタ!$M$5:$AE$5002,19,FALSE),IF(J895="リード付け","-",IF(J895="スリット",VLOOKUP(F895&amp;K895&amp;Q895,製品マスタ!$N$5:$AE$5002,18,FALSE),"")))</f>
        <v>1125</v>
      </c>
      <c r="X895" s="275">
        <f>IF(D895="","",VLOOKUP(D895,契約台帳!$A$3:$Q$4986,17,FALSE))</f>
        <v>2</v>
      </c>
      <c r="Y895" s="269" t="str">
        <f>IF(D895="","",VLOOKUP(D895,契約台帳!$A$3:$E$4986,5,FALSE))</f>
        <v xml:space="preserve">リンテック㈱        </v>
      </c>
      <c r="Z895" s="357">
        <v>45219</v>
      </c>
      <c r="AA895" s="207" t="str">
        <f>IFERROR(VLOOKUP(F895&amp;K895&amp;M895,製品マスタ!$M$5:$AM$5002,27,FALSE),"")</f>
        <v>原反ケース再利用</v>
      </c>
      <c r="AB895" s="369"/>
      <c r="AC895" s="370"/>
      <c r="AD895" s="332" t="str">
        <f>IF(F895="","",+F895&amp;K895)</f>
        <v>3SNMLBMNGTBF50</v>
      </c>
      <c r="AE895" s="216">
        <f>+M895*N895*O895/1000</f>
        <v>56000</v>
      </c>
      <c r="AF895" s="43">
        <f>IF(AD895="","",VLOOKUP(AD895,原価マスタ!$A$2:$AJ$1693,13,FALSE))</f>
        <v>99</v>
      </c>
      <c r="AG895" s="47">
        <f>IF(AF895="","",+AE895*AF895/100)</f>
        <v>55440</v>
      </c>
      <c r="AH895" s="333"/>
      <c r="AI895" s="333"/>
      <c r="AJ895" s="333"/>
      <c r="AK895" s="333"/>
      <c r="AL895" s="334"/>
      <c r="AM895" s="334"/>
      <c r="AN895" s="334"/>
      <c r="AO895" s="334"/>
      <c r="AP895" s="334"/>
      <c r="AQ895" s="335"/>
      <c r="AR895" s="336"/>
    </row>
    <row r="896" spans="1:44" s="337" customFormat="1" ht="30.95" hidden="1" customHeight="1" x14ac:dyDescent="0.2">
      <c r="A896" s="358"/>
      <c r="B896" s="359"/>
      <c r="C896" s="360"/>
      <c r="D896" s="361"/>
      <c r="E896" s="361"/>
      <c r="F896" s="362"/>
      <c r="G896" s="363"/>
      <c r="H896" s="363"/>
      <c r="I896" s="207"/>
      <c r="J896" s="364"/>
      <c r="K896" s="207"/>
      <c r="L896" s="207"/>
      <c r="M896" s="365"/>
      <c r="N896" s="365"/>
      <c r="O896" s="366"/>
      <c r="P896" s="357"/>
      <c r="Q896" s="367"/>
      <c r="R896" s="278"/>
      <c r="S896" s="278"/>
      <c r="T896" s="368"/>
      <c r="U896" s="278"/>
      <c r="V896" s="363"/>
      <c r="W896" s="363"/>
      <c r="X896" s="363"/>
      <c r="Y896" s="363"/>
      <c r="Z896" s="357"/>
      <c r="AA896" s="207"/>
      <c r="AB896" s="369"/>
      <c r="AC896" s="370"/>
      <c r="AD896" s="332"/>
      <c r="AE896" s="371"/>
      <c r="AF896" s="372"/>
      <c r="AG896" s="366"/>
      <c r="AH896" s="333"/>
      <c r="AI896" s="333"/>
      <c r="AJ896" s="333"/>
      <c r="AK896" s="333"/>
      <c r="AL896" s="334"/>
      <c r="AM896" s="334"/>
      <c r="AN896" s="334"/>
      <c r="AO896" s="334"/>
      <c r="AP896" s="334"/>
      <c r="AQ896" s="335"/>
      <c r="AR896" s="336"/>
    </row>
    <row r="897" spans="1:44" s="337" customFormat="1" ht="30.95" hidden="1" customHeight="1" x14ac:dyDescent="0.2">
      <c r="A897" s="320" t="s">
        <v>622</v>
      </c>
      <c r="B897" s="321" t="s">
        <v>442</v>
      </c>
      <c r="C897" s="360"/>
      <c r="D897" s="398">
        <v>3727600</v>
      </c>
      <c r="E897" s="31">
        <v>4151489</v>
      </c>
      <c r="F897" s="268" t="str">
        <f>IF(D897="","",VLOOKUP(D897,契約台帳!$A$3:$K$4986,6,FALSE)&amp;VLOOKUP(D897,契約台帳!$A$3:$K$4986,7,FALSE)&amp;VLOOKUP(D897,契約台帳!$A$3:$K$4986,8,FALSE)&amp;VLOOKUP(D897,契約台帳!$A$3:$K$4986,9,FALSE)&amp;VLOOKUP(D897,契約台帳!$A$3:$K$4986,11,FALSE))</f>
        <v>3SNMLBMNGTBF</v>
      </c>
      <c r="G897" s="269" t="str">
        <f>IF(D897="","",VLOOKUP(F897,製品マスタ!$G$5:$H$5002,2,FALSE))</f>
        <v>S</v>
      </c>
      <c r="H897" s="269" t="str">
        <f>IF(D897="","",VLOOKUP(F897,製品マスタ!$G$5:$K$5002,5,FALSE))</f>
        <v>MNGTBF</v>
      </c>
      <c r="I897" s="270" t="str">
        <f>IF(D897="","",VLOOKUP(F897,製品マスタ!$G$5:$L$5002,6,FALSE))</f>
        <v>メタルミー　ネーマー　銀艶　Ｂ</v>
      </c>
      <c r="J897" s="32" t="s">
        <v>447</v>
      </c>
      <c r="K897" s="270">
        <f>IF(D897="","",VLOOKUP(D897,契約台帳!$A$3:$L$4986,12,FALSE))</f>
        <v>50</v>
      </c>
      <c r="L897" s="270" t="str">
        <f>IF(D897="","",INDEX(製品マスタ!$Q$5:$Q$5002,MATCH(F897&amp;K897,製品マスタ!$AO$5:$AO$5002,0)))</f>
        <v>T62</v>
      </c>
      <c r="M897" s="39">
        <v>1120</v>
      </c>
      <c r="N897" s="39">
        <v>10000</v>
      </c>
      <c r="O897" s="47">
        <v>1</v>
      </c>
      <c r="P897" s="57"/>
      <c r="Q897" s="276">
        <f>IF(D897="","",IF(J897="リード付け",M897,VLOOKUP(D897,契約台帳!$A$3:$N$4986,14,FALSE)))</f>
        <v>1120</v>
      </c>
      <c r="R897" s="277">
        <f>IF(D897="","",IF(J897="リード付け",M897,VLOOKUP(D897,契約台帳!$A$3:$O$4986,15,FALSE)))</f>
        <v>1120</v>
      </c>
      <c r="S897" s="277">
        <f>IF(D897="","",IF(J897="リード付け",N897,VLOOKUP(D897,契約台帳!$A$3:$P$4986,16,FALSE)))</f>
        <v>5000</v>
      </c>
      <c r="T897" s="40">
        <v>2</v>
      </c>
      <c r="U897" s="278" t="str">
        <f ca="1">IF(D897="","",IF(OFFSET(D897,-2,0)=D897,"",VLOOKUP(D897,契約台帳!$A$3:$R$4986,18,FALSE)))</f>
        <v/>
      </c>
      <c r="V897" s="269" t="str">
        <f>IF(J897="巻返し",VLOOKUP(F897&amp;K897&amp;M897,製品マスタ!$M$5:$AD$5002,18,FALSE),IF(J897="リード付け","原反コア",IF(J897="スリット",VLOOKUP(F897&amp;K897&amp;Q897,製品マスタ!$N$5:$AD$5002,17,FALSE),"")))</f>
        <v>6ｲﾝﾁSｺｱ</v>
      </c>
      <c r="W897" s="269">
        <f>IF(J897="巻返し",VLOOKUP(F897&amp;K897&amp;M897,製品マスタ!$M$5:$AE$5002,19,FALSE),IF(J897="リード付け","-",IF(J897="スリット",VLOOKUP(F897&amp;K897&amp;Q897,製品マスタ!$N$5:$AE$5002,18,FALSE),"")))</f>
        <v>1125</v>
      </c>
      <c r="X897" s="275">
        <f>IF(D897="","",VLOOKUP(D897,契約台帳!$A$3:$Q$4986,17,FALSE))</f>
        <v>2</v>
      </c>
      <c r="Y897" s="269" t="str">
        <f>IF(D897="","",VLOOKUP(D897,契約台帳!$A$3:$E$4986,5,FALSE))</f>
        <v xml:space="preserve">リンテック㈱        </v>
      </c>
      <c r="Z897" s="357">
        <v>45222</v>
      </c>
      <c r="AA897" s="207" t="str">
        <f>IFERROR(VLOOKUP(F897&amp;K897&amp;M897,製品マスタ!$M$5:$AM$5002,27,FALSE),"")</f>
        <v>原反ケース再利用</v>
      </c>
      <c r="AB897" s="369"/>
      <c r="AC897" s="370"/>
      <c r="AD897" s="332" t="str">
        <f>IF(F897="","",+F897&amp;K897)</f>
        <v>3SNMLBMNGTBF50</v>
      </c>
      <c r="AE897" s="216">
        <f>+M897*N897*O897/1000</f>
        <v>11200</v>
      </c>
      <c r="AF897" s="43">
        <f>IF(AD897="","",VLOOKUP(AD897,原価マスタ!$A$2:$AJ$1693,13,FALSE))</f>
        <v>99</v>
      </c>
      <c r="AG897" s="47">
        <f>IF(AF897="","",+AE897*AF897/100)</f>
        <v>11088</v>
      </c>
      <c r="AH897" s="333"/>
      <c r="AI897" s="333"/>
      <c r="AJ897" s="333"/>
      <c r="AK897" s="333"/>
      <c r="AL897" s="334"/>
      <c r="AM897" s="334"/>
      <c r="AN897" s="334"/>
      <c r="AO897" s="334"/>
      <c r="AP897" s="334"/>
      <c r="AQ897" s="335"/>
      <c r="AR897" s="336"/>
    </row>
    <row r="898" spans="1:44" s="337" customFormat="1" ht="30.95" hidden="1" customHeight="1" x14ac:dyDescent="0.2">
      <c r="A898" s="358"/>
      <c r="B898" s="359"/>
      <c r="C898" s="360"/>
      <c r="D898" s="361"/>
      <c r="E898" s="361"/>
      <c r="F898" s="362"/>
      <c r="G898" s="363"/>
      <c r="H898" s="363"/>
      <c r="I898" s="207"/>
      <c r="J898" s="364"/>
      <c r="K898" s="207"/>
      <c r="L898" s="207"/>
      <c r="M898" s="365"/>
      <c r="N898" s="365"/>
      <c r="O898" s="366"/>
      <c r="P898" s="357"/>
      <c r="Q898" s="367"/>
      <c r="R898" s="278"/>
      <c r="S898" s="278"/>
      <c r="T898" s="368"/>
      <c r="U898" s="278"/>
      <c r="V898" s="363"/>
      <c r="W898" s="363"/>
      <c r="X898" s="363"/>
      <c r="Y898" s="363"/>
      <c r="Z898" s="357"/>
      <c r="AA898" s="207"/>
      <c r="AB898" s="369"/>
      <c r="AC898" s="370"/>
      <c r="AD898" s="332"/>
      <c r="AE898" s="371"/>
      <c r="AF898" s="372"/>
      <c r="AG898" s="366"/>
      <c r="AH898" s="333"/>
      <c r="AI898" s="333"/>
      <c r="AJ898" s="333"/>
      <c r="AK898" s="333"/>
      <c r="AL898" s="334"/>
      <c r="AM898" s="334"/>
      <c r="AN898" s="334"/>
      <c r="AO898" s="334"/>
      <c r="AP898" s="334"/>
      <c r="AQ898" s="335"/>
      <c r="AR898" s="336"/>
    </row>
    <row r="899" spans="1:44" s="337" customFormat="1" ht="30.95" hidden="1" customHeight="1" x14ac:dyDescent="0.2">
      <c r="A899" s="320"/>
      <c r="B899" s="321"/>
      <c r="C899" s="360"/>
      <c r="D899" s="398">
        <v>3727612</v>
      </c>
      <c r="E899" s="31">
        <v>4151494</v>
      </c>
      <c r="F899" s="268" t="str">
        <f>IF(D899="","",VLOOKUP(D899,契約台帳!$A$3:$K$4986,6,FALSE)&amp;VLOOKUP(D899,契約台帳!$A$3:$K$4986,7,FALSE)&amp;VLOOKUP(D899,契約台帳!$A$3:$K$4986,8,FALSE)&amp;VLOOKUP(D899,契約台帳!$A$3:$K$4986,9,FALSE)&amp;VLOOKUP(D899,契約台帳!$A$3:$K$4986,11,FALSE))</f>
        <v>3SYMLBMSBBF</v>
      </c>
      <c r="G899" s="269" t="str">
        <f>IF(D899="","",VLOOKUP(F899,製品マスタ!$G$5:$H$5002,2,FALSE))</f>
        <v>S</v>
      </c>
      <c r="H899" s="269" t="str">
        <f>IF(D899="","",VLOOKUP(F899,製品マスタ!$G$5:$K$5002,5,FALSE))</f>
        <v>MSBBF</v>
      </c>
      <c r="I899" s="270" t="str">
        <f>IF(D899="","",VLOOKUP(F899,製品マスタ!$G$5:$L$5002,6,FALSE))</f>
        <v>ＭＥＴＡＬＵＭＹ　ＳＩＬＶＥＲ　ＢＲＩＧＨＴ　Ｔ６２Ｍ　Ｂ</v>
      </c>
      <c r="J899" s="32" t="s">
        <v>447</v>
      </c>
      <c r="K899" s="270">
        <f>IF(D899="","",VLOOKUP(D899,契約台帳!$A$3:$L$4986,12,FALSE))</f>
        <v>50</v>
      </c>
      <c r="L899" s="270" t="str">
        <f>IF(D899="","",INDEX(製品マスタ!$Q$5:$Q$5002,MATCH(F899&amp;K899,製品マスタ!$AO$5:$AO$5002,0)))</f>
        <v>T62</v>
      </c>
      <c r="M899" s="39">
        <v>1120</v>
      </c>
      <c r="N899" s="39">
        <v>10000</v>
      </c>
      <c r="O899" s="47">
        <v>1</v>
      </c>
      <c r="P899" s="57"/>
      <c r="Q899" s="276">
        <f>IF(D899="","",IF(J899="リード付け",M899,VLOOKUP(D899,契約台帳!$A$3:$N$4986,14,FALSE)))</f>
        <v>1120</v>
      </c>
      <c r="R899" s="277">
        <f>IF(D899="","",IF(J899="リード付け",M899,VLOOKUP(D899,契約台帳!$A$3:$O$4986,15,FALSE)))</f>
        <v>1120</v>
      </c>
      <c r="S899" s="277">
        <f>IF(D899="","",IF(J899="リード付け",N899,VLOOKUP(D899,契約台帳!$A$3:$P$4986,16,FALSE)))</f>
        <v>5000</v>
      </c>
      <c r="T899" s="40">
        <v>2</v>
      </c>
      <c r="U899" s="278">
        <f ca="1">IF(D899="","",IF(OFFSET(D899,-2,0)=D899,"",VLOOKUP(D899,契約台帳!$A$3:$R$4986,18,FALSE)))</f>
        <v>2</v>
      </c>
      <c r="V899" s="269" t="str">
        <f>IF(J899="巻返し",VLOOKUP(F899&amp;K899&amp;M899,製品マスタ!$M$5:$AD$5002,18,FALSE),IF(J899="リード付け","原反コア",IF(J899="スリット",VLOOKUP(F899&amp;K899&amp;Q899,製品マスタ!$N$5:$AD$5002,17,FALSE),"")))</f>
        <v>6ｲﾝﾁSｺｱ</v>
      </c>
      <c r="W899" s="269">
        <f>IF(J899="巻返し",VLOOKUP(F899&amp;K899&amp;M899,製品マスタ!$M$5:$AE$5002,19,FALSE),IF(J899="リード付け","-",IF(J899="スリット",VLOOKUP(F899&amp;K899&amp;Q899,製品マスタ!$N$5:$AE$5002,18,FALSE),"")))</f>
        <v>1125</v>
      </c>
      <c r="X899" s="275">
        <f>IF(D899="","",VLOOKUP(D899,契約台帳!$A$3:$Q$4986,17,FALSE))</f>
        <v>2</v>
      </c>
      <c r="Y899" s="269" t="str">
        <f>IF(D899="","",VLOOKUP(D899,契約台帳!$A$3:$E$4986,5,FALSE))</f>
        <v xml:space="preserve">リンテック㈱        </v>
      </c>
      <c r="Z899" s="357">
        <v>45222</v>
      </c>
      <c r="AA899" s="207" t="str">
        <f>IFERROR(VLOOKUP(F899&amp;K899&amp;M899,製品マスタ!$M$5:$AM$5002,27,FALSE),"")</f>
        <v>原反ケース再利用</v>
      </c>
      <c r="AB899" s="369"/>
      <c r="AC899" s="370"/>
      <c r="AD899" s="332" t="str">
        <f>IF(F899="","",+F899&amp;K899)</f>
        <v>3SYMLBMSBBF50</v>
      </c>
      <c r="AE899" s="216">
        <f>+M899*N899*O899/1000</f>
        <v>11200</v>
      </c>
      <c r="AF899" s="43">
        <f>IF(AD899="","",VLOOKUP(AD899,原価マスタ!$A$2:$AJ$1693,13,FALSE))</f>
        <v>99</v>
      </c>
      <c r="AG899" s="47">
        <f>IF(AF899="","",+AE899*AF899/100)</f>
        <v>11088</v>
      </c>
      <c r="AH899" s="333"/>
      <c r="AI899" s="333"/>
      <c r="AJ899" s="333"/>
      <c r="AK899" s="333"/>
      <c r="AL899" s="334"/>
      <c r="AM899" s="334"/>
      <c r="AN899" s="334"/>
      <c r="AO899" s="334"/>
      <c r="AP899" s="334"/>
      <c r="AQ899" s="335"/>
      <c r="AR899" s="336"/>
    </row>
    <row r="900" spans="1:44" s="337" customFormat="1" ht="30.95" hidden="1" customHeight="1" x14ac:dyDescent="0.2">
      <c r="A900" s="358"/>
      <c r="B900" s="359"/>
      <c r="C900" s="360"/>
      <c r="D900" s="361"/>
      <c r="E900" s="361"/>
      <c r="F900" s="362"/>
      <c r="G900" s="363"/>
      <c r="H900" s="363"/>
      <c r="I900" s="207"/>
      <c r="J900" s="364"/>
      <c r="K900" s="207"/>
      <c r="L900" s="207"/>
      <c r="M900" s="365"/>
      <c r="N900" s="365"/>
      <c r="O900" s="366"/>
      <c r="P900" s="357"/>
      <c r="Q900" s="367"/>
      <c r="R900" s="278"/>
      <c r="S900" s="278"/>
      <c r="T900" s="368"/>
      <c r="U900" s="278"/>
      <c r="V900" s="363"/>
      <c r="W900" s="363"/>
      <c r="X900" s="363"/>
      <c r="Y900" s="363"/>
      <c r="Z900" s="357"/>
      <c r="AA900" s="207"/>
      <c r="AB900" s="369"/>
      <c r="AC900" s="370"/>
      <c r="AD900" s="332"/>
      <c r="AE900" s="371"/>
      <c r="AF900" s="372"/>
      <c r="AG900" s="366"/>
      <c r="AH900" s="333"/>
      <c r="AI900" s="333"/>
      <c r="AJ900" s="333"/>
      <c r="AK900" s="333"/>
      <c r="AL900" s="334"/>
      <c r="AM900" s="334"/>
      <c r="AN900" s="334"/>
      <c r="AO900" s="334"/>
      <c r="AP900" s="334"/>
      <c r="AQ900" s="335"/>
      <c r="AR900" s="336"/>
    </row>
    <row r="901" spans="1:44" s="337" customFormat="1" ht="30.95" hidden="1" customHeight="1" x14ac:dyDescent="0.2">
      <c r="A901" s="320"/>
      <c r="B901" s="321"/>
      <c r="C901" s="360"/>
      <c r="D901" s="398">
        <v>3727597</v>
      </c>
      <c r="E901" s="31">
        <v>4151483</v>
      </c>
      <c r="F901" s="268" t="str">
        <f>IF(D901="","",VLOOKUP(D901,契約台帳!$A$3:$K$4986,6,FALSE)&amp;VLOOKUP(D901,契約台帳!$A$3:$K$4986,7,FALSE)&amp;VLOOKUP(D901,契約台帳!$A$3:$K$4986,8,FALSE)&amp;VLOOKUP(D901,契約台帳!$A$3:$K$4986,9,FALSE)&amp;VLOOKUP(D901,契約台帳!$A$3:$K$4986,11,FALSE))</f>
        <v>3SNMLBMNGKBF</v>
      </c>
      <c r="G901" s="269" t="str">
        <f>IF(D901="","",VLOOKUP(F901,製品マスタ!$G$5:$H$5002,2,FALSE))</f>
        <v>S</v>
      </c>
      <c r="H901" s="269" t="str">
        <f>IF(D901="","",VLOOKUP(F901,製品マスタ!$G$5:$K$5002,5,FALSE))</f>
        <v>MNGKBF</v>
      </c>
      <c r="I901" s="270" t="str">
        <f>IF(D901="","",VLOOKUP(F901,製品マスタ!$G$5:$L$5002,6,FALSE))</f>
        <v>メタルミー　ネーマー銀消　Ｂ</v>
      </c>
      <c r="J901" s="32" t="s">
        <v>447</v>
      </c>
      <c r="K901" s="270">
        <f>IF(D901="","",VLOOKUP(D901,契約台帳!$A$3:$L$4986,12,FALSE))</f>
        <v>50</v>
      </c>
      <c r="L901" s="270" t="str">
        <f>IF(D901="","",INDEX(製品マスタ!$Q$5:$Q$5002,MATCH(F901&amp;K901,製品マスタ!$AO$5:$AO$5002,0)))</f>
        <v>MAT</v>
      </c>
      <c r="M901" s="39">
        <v>1050</v>
      </c>
      <c r="N901" s="39">
        <v>12300</v>
      </c>
      <c r="O901" s="47">
        <v>1</v>
      </c>
      <c r="P901" s="57"/>
      <c r="Q901" s="276">
        <f>IF(D901="","",IF(J901="リード付け",M901,VLOOKUP(D901,契約台帳!$A$3:$N$4986,14,FALSE)))</f>
        <v>1050</v>
      </c>
      <c r="R901" s="277">
        <f>IF(D901="","",IF(J901="リード付け",M901,VLOOKUP(D901,契約台帳!$A$3:$O$4986,15,FALSE)))</f>
        <v>1050</v>
      </c>
      <c r="S901" s="277">
        <f>IF(D901="","",IF(J901="リード付け",N901,VLOOKUP(D901,契約台帳!$A$3:$P$4986,16,FALSE)))</f>
        <v>4100</v>
      </c>
      <c r="T901" s="40">
        <v>3</v>
      </c>
      <c r="U901" s="278">
        <f ca="1">IF(D901="","",IF(OFFSET(D901,-2,0)=D901,"",VLOOKUP(D901,契約台帳!$A$3:$R$4986,18,FALSE)))</f>
        <v>5</v>
      </c>
      <c r="V901" s="269" t="str">
        <f>IF(J901="巻返し",VLOOKUP(F901&amp;K901&amp;M901,製品マスタ!$M$5:$AD$5002,18,FALSE),IF(J901="リード付け","原反コア",IF(J901="スリット",VLOOKUP(F901&amp;K901&amp;Q901,製品マスタ!$N$5:$AD$5002,17,FALSE),"")))</f>
        <v>6ｲﾝﾁSｺｱ</v>
      </c>
      <c r="W901" s="269">
        <f>IF(J901="巻返し",VLOOKUP(F901&amp;K901&amp;M901,製品マスタ!$M$5:$AE$5002,19,FALSE),IF(J901="リード付け","-",IF(J901="スリット",VLOOKUP(F901&amp;K901&amp;Q901,製品マスタ!$N$5:$AE$5002,18,FALSE),"")))</f>
        <v>1055</v>
      </c>
      <c r="X901" s="275">
        <f>IF(D901="","",VLOOKUP(D901,契約台帳!$A$3:$Q$4986,17,FALSE))</f>
        <v>2</v>
      </c>
      <c r="Y901" s="269" t="str">
        <f>IF(D901="","",VLOOKUP(D901,契約台帳!$A$3:$E$4986,5,FALSE))</f>
        <v xml:space="preserve">リンテック㈱        </v>
      </c>
      <c r="Z901" s="357">
        <v>45222</v>
      </c>
      <c r="AA901" s="207">
        <f>IFERROR(VLOOKUP(F901&amp;K901&amp;M901,製品マスタ!$M$5:$AM$5002,27,FALSE),"")</f>
        <v>0</v>
      </c>
      <c r="AB901" s="369"/>
      <c r="AC901" s="370"/>
      <c r="AD901" s="332" t="str">
        <f>IF(F901="","",+F901&amp;K901)</f>
        <v>3SNMLBMNGKBF50</v>
      </c>
      <c r="AE901" s="216">
        <f>+M901*N901*O901/1000</f>
        <v>12915</v>
      </c>
      <c r="AF901" s="43">
        <f>IF(AD901="","",VLOOKUP(AD901,原価マスタ!$A$2:$AJ$1693,13,FALSE))</f>
        <v>98</v>
      </c>
      <c r="AG901" s="47">
        <f>IF(AF901="","",+AE901*AF901/100)</f>
        <v>12656.7</v>
      </c>
      <c r="AH901" s="333"/>
      <c r="AI901" s="333"/>
      <c r="AJ901" s="333"/>
      <c r="AK901" s="333"/>
      <c r="AL901" s="334"/>
      <c r="AM901" s="334"/>
      <c r="AN901" s="334"/>
      <c r="AO901" s="334"/>
      <c r="AP901" s="334"/>
      <c r="AQ901" s="335"/>
      <c r="AR901" s="336"/>
    </row>
    <row r="902" spans="1:44" s="337" customFormat="1" ht="30.95" hidden="1" customHeight="1" x14ac:dyDescent="0.2">
      <c r="A902" s="358"/>
      <c r="B902" s="359"/>
      <c r="C902" s="360"/>
      <c r="D902" s="361"/>
      <c r="E902" s="361"/>
      <c r="F902" s="362"/>
      <c r="G902" s="363"/>
      <c r="H902" s="363"/>
      <c r="I902" s="207"/>
      <c r="J902" s="364"/>
      <c r="K902" s="207"/>
      <c r="L902" s="207"/>
      <c r="M902" s="365"/>
      <c r="N902" s="365"/>
      <c r="O902" s="366"/>
      <c r="P902" s="357"/>
      <c r="Q902" s="367"/>
      <c r="R902" s="278"/>
      <c r="S902" s="278"/>
      <c r="T902" s="368"/>
      <c r="U902" s="278"/>
      <c r="V902" s="363"/>
      <c r="W902" s="363"/>
      <c r="X902" s="363"/>
      <c r="Y902" s="363"/>
      <c r="Z902" s="357"/>
      <c r="AA902" s="207"/>
      <c r="AB902" s="369"/>
      <c r="AC902" s="370"/>
      <c r="AD902" s="332"/>
      <c r="AE902" s="371"/>
      <c r="AF902" s="372"/>
      <c r="AG902" s="366"/>
      <c r="AH902" s="333"/>
      <c r="AI902" s="333"/>
      <c r="AJ902" s="333"/>
      <c r="AK902" s="333"/>
      <c r="AL902" s="334"/>
      <c r="AM902" s="334"/>
      <c r="AN902" s="334"/>
      <c r="AO902" s="334"/>
      <c r="AP902" s="334"/>
      <c r="AQ902" s="335"/>
      <c r="AR902" s="336"/>
    </row>
    <row r="903" spans="1:44" s="337" customFormat="1" ht="30.95" hidden="1" customHeight="1" x14ac:dyDescent="0.2">
      <c r="A903" s="320"/>
      <c r="B903" s="321"/>
      <c r="C903" s="360"/>
      <c r="D903" s="398">
        <v>3727597</v>
      </c>
      <c r="E903" s="31">
        <v>4151483</v>
      </c>
      <c r="F903" s="268" t="str">
        <f>IF(D903="","",VLOOKUP(D903,契約台帳!$A$3:$K$4986,6,FALSE)&amp;VLOOKUP(D903,契約台帳!$A$3:$K$4986,7,FALSE)&amp;VLOOKUP(D903,契約台帳!$A$3:$K$4986,8,FALSE)&amp;VLOOKUP(D903,契約台帳!$A$3:$K$4986,9,FALSE)&amp;VLOOKUP(D903,契約台帳!$A$3:$K$4986,11,FALSE))</f>
        <v>3SNMLBMNGKBF</v>
      </c>
      <c r="G903" s="269" t="str">
        <f>IF(D903="","",VLOOKUP(F903,製品マスタ!$G$5:$H$5002,2,FALSE))</f>
        <v>S</v>
      </c>
      <c r="H903" s="269" t="str">
        <f>IF(D903="","",VLOOKUP(F903,製品マスタ!$G$5:$K$5002,5,FALSE))</f>
        <v>MNGKBF</v>
      </c>
      <c r="I903" s="270" t="str">
        <f>IF(D903="","",VLOOKUP(F903,製品マスタ!$G$5:$L$5002,6,FALSE))</f>
        <v>メタルミー　ネーマー銀消　Ｂ</v>
      </c>
      <c r="J903" s="32" t="s">
        <v>447</v>
      </c>
      <c r="K903" s="270">
        <f>IF(D903="","",VLOOKUP(D903,契約台帳!$A$3:$L$4986,12,FALSE))</f>
        <v>50</v>
      </c>
      <c r="L903" s="270" t="str">
        <f>IF(D903="","",INDEX(製品マスタ!$Q$5:$Q$5002,MATCH(F903&amp;K903,製品マスタ!$AO$5:$AO$5002,0)))</f>
        <v>MAT</v>
      </c>
      <c r="M903" s="39">
        <v>1050</v>
      </c>
      <c r="N903" s="39">
        <v>8200</v>
      </c>
      <c r="O903" s="47">
        <v>1</v>
      </c>
      <c r="P903" s="57"/>
      <c r="Q903" s="276">
        <f>IF(D903="","",IF(J903="リード付け",M903,VLOOKUP(D903,契約台帳!$A$3:$N$4986,14,FALSE)))</f>
        <v>1050</v>
      </c>
      <c r="R903" s="277">
        <f>IF(D903="","",IF(J903="リード付け",M903,VLOOKUP(D903,契約台帳!$A$3:$O$4986,15,FALSE)))</f>
        <v>1050</v>
      </c>
      <c r="S903" s="277">
        <f>IF(D903="","",IF(J903="リード付け",N903,VLOOKUP(D903,契約台帳!$A$3:$P$4986,16,FALSE)))</f>
        <v>4100</v>
      </c>
      <c r="T903" s="40">
        <v>2</v>
      </c>
      <c r="U903" s="278" t="str">
        <f ca="1">IF(D903="","",IF(OFFSET(D903,-2,0)=D903,"",VLOOKUP(D903,契約台帳!$A$3:$R$4986,18,FALSE)))</f>
        <v/>
      </c>
      <c r="V903" s="269" t="str">
        <f>IF(J903="巻返し",VLOOKUP(F903&amp;K903&amp;M903,製品マスタ!$M$5:$AD$5002,18,FALSE),IF(J903="リード付け","原反コア",IF(J903="スリット",VLOOKUP(F903&amp;K903&amp;Q903,製品マスタ!$N$5:$AD$5002,17,FALSE),"")))</f>
        <v>6ｲﾝﾁSｺｱ</v>
      </c>
      <c r="W903" s="269">
        <f>IF(J903="巻返し",VLOOKUP(F903&amp;K903&amp;M903,製品マスタ!$M$5:$AE$5002,19,FALSE),IF(J903="リード付け","-",IF(J903="スリット",VLOOKUP(F903&amp;K903&amp;Q903,製品マスタ!$N$5:$AE$5002,18,FALSE),"")))</f>
        <v>1055</v>
      </c>
      <c r="X903" s="275">
        <f>IF(D903="","",VLOOKUP(D903,契約台帳!$A$3:$Q$4986,17,FALSE))</f>
        <v>2</v>
      </c>
      <c r="Y903" s="269" t="str">
        <f>IF(D903="","",VLOOKUP(D903,契約台帳!$A$3:$E$4986,5,FALSE))</f>
        <v xml:space="preserve">リンテック㈱        </v>
      </c>
      <c r="Z903" s="357">
        <v>45222</v>
      </c>
      <c r="AA903" s="207">
        <f>IFERROR(VLOOKUP(F903&amp;K903&amp;M903,製品マスタ!$M$5:$AM$5002,27,FALSE),"")</f>
        <v>0</v>
      </c>
      <c r="AB903" s="369"/>
      <c r="AC903" s="370"/>
      <c r="AD903" s="332" t="str">
        <f>IF(F903="","",+F903&amp;K903)</f>
        <v>3SNMLBMNGKBF50</v>
      </c>
      <c r="AE903" s="216">
        <f>+M903*N903*O903/1000</f>
        <v>8610</v>
      </c>
      <c r="AF903" s="43">
        <f>IF(AD903="","",VLOOKUP(AD903,原価マスタ!$A$2:$AJ$1693,13,FALSE))</f>
        <v>98</v>
      </c>
      <c r="AG903" s="47">
        <f>IF(AF903="","",+AE903*AF903/100)</f>
        <v>8437.7999999999993</v>
      </c>
      <c r="AH903" s="333"/>
      <c r="AI903" s="333"/>
      <c r="AJ903" s="333"/>
      <c r="AK903" s="333"/>
      <c r="AL903" s="334"/>
      <c r="AM903" s="334"/>
      <c r="AN903" s="334"/>
      <c r="AO903" s="334"/>
      <c r="AP903" s="334"/>
      <c r="AQ903" s="335"/>
      <c r="AR903" s="336"/>
    </row>
    <row r="904" spans="1:44" s="337" customFormat="1" ht="30.95" hidden="1" customHeight="1" x14ac:dyDescent="0.2">
      <c r="A904" s="358"/>
      <c r="B904" s="359"/>
      <c r="C904" s="360"/>
      <c r="D904" s="361"/>
      <c r="E904" s="361"/>
      <c r="F904" s="362"/>
      <c r="G904" s="363"/>
      <c r="H904" s="363"/>
      <c r="I904" s="207"/>
      <c r="J904" s="364"/>
      <c r="K904" s="207"/>
      <c r="L904" s="207"/>
      <c r="M904" s="365"/>
      <c r="N904" s="365"/>
      <c r="O904" s="366"/>
      <c r="P904" s="357"/>
      <c r="Q904" s="367"/>
      <c r="R904" s="278"/>
      <c r="S904" s="278"/>
      <c r="T904" s="368"/>
      <c r="U904" s="278"/>
      <c r="V904" s="363"/>
      <c r="W904" s="363"/>
      <c r="X904" s="363"/>
      <c r="Y904" s="363"/>
      <c r="Z904" s="357"/>
      <c r="AA904" s="207"/>
      <c r="AB904" s="369"/>
      <c r="AC904" s="370"/>
      <c r="AD904" s="332"/>
      <c r="AE904" s="371"/>
      <c r="AF904" s="372"/>
      <c r="AG904" s="366"/>
      <c r="AH904" s="333"/>
      <c r="AI904" s="333"/>
      <c r="AJ904" s="333"/>
      <c r="AK904" s="333"/>
      <c r="AL904" s="334"/>
      <c r="AM904" s="334"/>
      <c r="AN904" s="334"/>
      <c r="AO904" s="334"/>
      <c r="AP904" s="334"/>
      <c r="AQ904" s="335"/>
      <c r="AR904" s="336"/>
    </row>
    <row r="905" spans="1:44" s="337" customFormat="1" ht="30.95" hidden="1" customHeight="1" x14ac:dyDescent="0.2">
      <c r="A905" s="320"/>
      <c r="B905" s="321"/>
      <c r="C905" s="360"/>
      <c r="D905" s="398">
        <v>3727596</v>
      </c>
      <c r="E905" s="31">
        <v>4151482</v>
      </c>
      <c r="F905" s="268" t="str">
        <f>IF(D905="","",VLOOKUP(D905,契約台帳!$A$3:$K$4986,6,FALSE)&amp;VLOOKUP(D905,契約台帳!$A$3:$K$4986,7,FALSE)&amp;VLOOKUP(D905,契約台帳!$A$3:$K$4986,8,FALSE)&amp;VLOOKUP(D905,契約台帳!$A$3:$K$4986,9,FALSE)&amp;VLOOKUP(D905,契約台帳!$A$3:$K$4986,11,FALSE))</f>
        <v>3SNMLBMNGKBF</v>
      </c>
      <c r="G905" s="269" t="str">
        <f>IF(D905="","",VLOOKUP(F905,製品マスタ!$G$5:$H$5002,2,FALSE))</f>
        <v>S</v>
      </c>
      <c r="H905" s="269" t="str">
        <f>IF(D905="","",VLOOKUP(F905,製品マスタ!$G$5:$K$5002,5,FALSE))</f>
        <v>MNGKBF</v>
      </c>
      <c r="I905" s="270" t="str">
        <f>IF(D905="","",VLOOKUP(F905,製品マスタ!$G$5:$L$5002,6,FALSE))</f>
        <v>メタルミー　ネーマー銀消　Ｂ</v>
      </c>
      <c r="J905" s="32" t="s">
        <v>447</v>
      </c>
      <c r="K905" s="270">
        <f>IF(D905="","",VLOOKUP(D905,契約台帳!$A$3:$L$4986,12,FALSE))</f>
        <v>38</v>
      </c>
      <c r="L905" s="270" t="str">
        <f>IF(D905="","",INDEX(製品マスタ!$Q$5:$Q$5002,MATCH(F905&amp;K905,製品マスタ!$AO$5:$AO$5002,0)))</f>
        <v>LUMIMAT</v>
      </c>
      <c r="M905" s="39">
        <v>1005</v>
      </c>
      <c r="N905" s="39">
        <v>8200</v>
      </c>
      <c r="O905" s="47">
        <v>1</v>
      </c>
      <c r="P905" s="57"/>
      <c r="Q905" s="276">
        <f>IF(D905="","",IF(J905="リード付け",M905,VLOOKUP(D905,契約台帳!$A$3:$N$4986,14,FALSE)))</f>
        <v>1005</v>
      </c>
      <c r="R905" s="277">
        <f>IF(D905="","",IF(J905="リード付け",M905,VLOOKUP(D905,契約台帳!$A$3:$O$4986,15,FALSE)))</f>
        <v>1000</v>
      </c>
      <c r="S905" s="277">
        <f>IF(D905="","",IF(J905="リード付け",N905,VLOOKUP(D905,契約台帳!$A$3:$P$4986,16,FALSE)))</f>
        <v>4100</v>
      </c>
      <c r="T905" s="40">
        <v>2</v>
      </c>
      <c r="U905" s="278">
        <f ca="1">IF(D905="","",IF(OFFSET(D905,-2,0)=D905,"",VLOOKUP(D905,契約台帳!$A$3:$R$4986,18,FALSE)))</f>
        <v>2</v>
      </c>
      <c r="V905" s="269" t="str">
        <f>IF(J905="巻返し",VLOOKUP(F905&amp;K905&amp;M905,製品マスタ!$M$5:$AD$5002,18,FALSE),IF(J905="リード付け","原反コア",IF(J905="スリット",VLOOKUP(F905&amp;K905&amp;Q905,製品マスタ!$N$5:$AD$5002,17,FALSE),"")))</f>
        <v>6ｲﾝﾁSｺｱ</v>
      </c>
      <c r="W905" s="269">
        <f>IF(J905="巻返し",VLOOKUP(F905&amp;K905&amp;M905,製品マスタ!$M$5:$AE$5002,19,FALSE),IF(J905="リード付け","-",IF(J905="スリット",VLOOKUP(F905&amp;K905&amp;Q905,製品マスタ!$N$5:$AE$5002,18,FALSE),"")))</f>
        <v>1015</v>
      </c>
      <c r="X905" s="275">
        <f>IF(D905="","",VLOOKUP(D905,契約台帳!$A$3:$Q$4986,17,FALSE))</f>
        <v>2</v>
      </c>
      <c r="Y905" s="269" t="str">
        <f>IF(D905="","",VLOOKUP(D905,契約台帳!$A$3:$E$4986,5,FALSE))</f>
        <v xml:space="preserve">リンテック㈱        </v>
      </c>
      <c r="Z905" s="357">
        <v>45222</v>
      </c>
      <c r="AA905" s="207">
        <f>IFERROR(VLOOKUP(F905&amp;K905&amp;M905,製品マスタ!$M$5:$AM$5002,27,FALSE),"")</f>
        <v>0</v>
      </c>
      <c r="AB905" s="369"/>
      <c r="AC905" s="370"/>
      <c r="AD905" s="332" t="str">
        <f>IF(F905="","",+F905&amp;K905)</f>
        <v>3SNMLBMNGKBF38</v>
      </c>
      <c r="AE905" s="216">
        <f>+M905*N905*O905/1000</f>
        <v>8241</v>
      </c>
      <c r="AF905" s="43">
        <f>IF(AD905="","",VLOOKUP(AD905,原価マスタ!$A$2:$AJ$1693,13,FALSE))</f>
        <v>97.2</v>
      </c>
      <c r="AG905" s="47">
        <f>IF(AF905="","",+AE905*AF905/100)</f>
        <v>8010.2520000000004</v>
      </c>
      <c r="AH905" s="333"/>
      <c r="AI905" s="333"/>
      <c r="AJ905" s="333"/>
      <c r="AK905" s="333"/>
      <c r="AL905" s="334"/>
      <c r="AM905" s="334"/>
      <c r="AN905" s="334"/>
      <c r="AO905" s="334"/>
      <c r="AP905" s="334"/>
      <c r="AQ905" s="335"/>
      <c r="AR905" s="336"/>
    </row>
    <row r="906" spans="1:44" s="337" customFormat="1" ht="30.95" hidden="1" customHeight="1" x14ac:dyDescent="0.2">
      <c r="A906" s="358"/>
      <c r="B906" s="359"/>
      <c r="C906" s="360"/>
      <c r="D906" s="361"/>
      <c r="E906" s="361"/>
      <c r="F906" s="362"/>
      <c r="G906" s="363"/>
      <c r="H906" s="363"/>
      <c r="I906" s="207"/>
      <c r="J906" s="364"/>
      <c r="K906" s="207"/>
      <c r="L906" s="207"/>
      <c r="M906" s="365"/>
      <c r="N906" s="365"/>
      <c r="O906" s="366"/>
      <c r="P906" s="357"/>
      <c r="Q906" s="367"/>
      <c r="R906" s="278"/>
      <c r="S906" s="278"/>
      <c r="T906" s="368"/>
      <c r="U906" s="278"/>
      <c r="V906" s="363"/>
      <c r="W906" s="363"/>
      <c r="X906" s="363"/>
      <c r="Y906" s="363"/>
      <c r="Z906" s="357"/>
      <c r="AA906" s="207"/>
      <c r="AB906" s="369"/>
      <c r="AC906" s="370"/>
      <c r="AD906" s="332"/>
      <c r="AE906" s="371"/>
      <c r="AF906" s="372"/>
      <c r="AG906" s="366"/>
      <c r="AH906" s="333"/>
      <c r="AI906" s="333"/>
      <c r="AJ906" s="333"/>
      <c r="AK906" s="333"/>
      <c r="AL906" s="334"/>
      <c r="AM906" s="334"/>
      <c r="AN906" s="334"/>
      <c r="AO906" s="334"/>
      <c r="AP906" s="334"/>
      <c r="AQ906" s="335"/>
      <c r="AR906" s="336"/>
    </row>
    <row r="907" spans="1:44" s="337" customFormat="1" ht="30.95" hidden="1" customHeight="1" x14ac:dyDescent="0.2">
      <c r="A907" s="320" t="s">
        <v>623</v>
      </c>
      <c r="B907" s="321" t="s">
        <v>443</v>
      </c>
      <c r="C907" s="360"/>
      <c r="D907" s="398">
        <v>3727608</v>
      </c>
      <c r="E907" s="31">
        <v>4151490</v>
      </c>
      <c r="F907" s="268" t="str">
        <f>IF(D907="","",VLOOKUP(D907,契約台帳!$A$3:$K$4986,6,FALSE)&amp;VLOOKUP(D907,契約台帳!$A$3:$K$4986,7,FALSE)&amp;VLOOKUP(D907,契約台帳!$A$3:$K$4986,8,FALSE)&amp;VLOOKUP(D907,契約台帳!$A$3:$K$4986,9,FALSE)&amp;VLOOKUP(D907,契約台帳!$A$3:$K$4986,11,FALSE))</f>
        <v>3SNMLBMNGTBF</v>
      </c>
      <c r="G907" s="269" t="str">
        <f>IF(D907="","",VLOOKUP(F907,製品マスタ!$G$5:$H$5002,2,FALSE))</f>
        <v>S</v>
      </c>
      <c r="H907" s="269" t="str">
        <f>IF(D907="","",VLOOKUP(F907,製品マスタ!$G$5:$K$5002,5,FALSE))</f>
        <v>MNGTBF</v>
      </c>
      <c r="I907" s="270" t="str">
        <f>IF(D907="","",VLOOKUP(F907,製品マスタ!$G$5:$L$5002,6,FALSE))</f>
        <v>メタルミー　ネーマー　銀艶　Ｂ</v>
      </c>
      <c r="J907" s="32" t="s">
        <v>447</v>
      </c>
      <c r="K907" s="270">
        <f>IF(D907="","",VLOOKUP(D907,契約台帳!$A$3:$L$4986,12,FALSE))</f>
        <v>50</v>
      </c>
      <c r="L907" s="270" t="str">
        <f>IF(D907="","",INDEX(製品マスタ!$Q$5:$Q$5002,MATCH(F907&amp;K907,製品マスタ!$AO$5:$AO$5002,0)))</f>
        <v>T62</v>
      </c>
      <c r="M907" s="39">
        <v>1120</v>
      </c>
      <c r="N907" s="39">
        <v>10000</v>
      </c>
      <c r="O907" s="47">
        <v>5</v>
      </c>
      <c r="P907" s="57"/>
      <c r="Q907" s="276">
        <f>IF(D907="","",IF(J907="リード付け",M907,VLOOKUP(D907,契約台帳!$A$3:$N$4986,14,FALSE)))</f>
        <v>1120</v>
      </c>
      <c r="R907" s="277">
        <f>IF(D907="","",IF(J907="リード付け",M907,VLOOKUP(D907,契約台帳!$A$3:$O$4986,15,FALSE)))</f>
        <v>1120</v>
      </c>
      <c r="S907" s="277">
        <f>IF(D907="","",IF(J907="リード付け",N907,VLOOKUP(D907,契約台帳!$A$3:$P$4986,16,FALSE)))</f>
        <v>5000</v>
      </c>
      <c r="T907" s="40">
        <v>10</v>
      </c>
      <c r="U907" s="278">
        <f ca="1">IF(D907="","",IF(OFFSET(D907,-2,0)=D907,"",VLOOKUP(D907,契約台帳!$A$3:$R$4986,18,FALSE)))</f>
        <v>46</v>
      </c>
      <c r="V907" s="269" t="str">
        <f>IF(J907="巻返し",VLOOKUP(F907&amp;K907&amp;M907,製品マスタ!$M$5:$AD$5002,18,FALSE),IF(J907="リード付け","原反コア",IF(J907="スリット",VLOOKUP(F907&amp;K907&amp;Q907,製品マスタ!$N$5:$AD$5002,17,FALSE),"")))</f>
        <v>6ｲﾝﾁSｺｱ</v>
      </c>
      <c r="W907" s="269">
        <f>IF(J907="巻返し",VLOOKUP(F907&amp;K907&amp;M907,製品マスタ!$M$5:$AE$5002,19,FALSE),IF(J907="リード付け","-",IF(J907="スリット",VLOOKUP(F907&amp;K907&amp;Q907,製品マスタ!$N$5:$AE$5002,18,FALSE),"")))</f>
        <v>1125</v>
      </c>
      <c r="X907" s="275">
        <f>IF(D907="","",VLOOKUP(D907,契約台帳!$A$3:$Q$4986,17,FALSE))</f>
        <v>2</v>
      </c>
      <c r="Y907" s="269" t="str">
        <f>IF(D907="","",VLOOKUP(D907,契約台帳!$A$3:$E$4986,5,FALSE))</f>
        <v xml:space="preserve">リンテック㈱        </v>
      </c>
      <c r="Z907" s="357">
        <v>45223</v>
      </c>
      <c r="AA907" s="207" t="str">
        <f>IFERROR(VLOOKUP(F907&amp;K907&amp;M907,製品マスタ!$M$5:$AM$5002,27,FALSE),"")</f>
        <v>原反ケース再利用</v>
      </c>
      <c r="AB907" s="369"/>
      <c r="AC907" s="370"/>
      <c r="AD907" s="332" t="str">
        <f>IF(F907="","",+F907&amp;K907)</f>
        <v>3SNMLBMNGTBF50</v>
      </c>
      <c r="AE907" s="216">
        <f>+M907*N907*O907/1000</f>
        <v>56000</v>
      </c>
      <c r="AF907" s="43">
        <f>IF(AD907="","",VLOOKUP(AD907,原価マスタ!$A$2:$AJ$1693,13,FALSE))</f>
        <v>99</v>
      </c>
      <c r="AG907" s="47">
        <f>IF(AF907="","",+AE907*AF907/100)</f>
        <v>55440</v>
      </c>
      <c r="AH907" s="333"/>
      <c r="AI907" s="333"/>
      <c r="AJ907" s="333"/>
      <c r="AK907" s="333"/>
      <c r="AL907" s="334"/>
      <c r="AM907" s="334"/>
      <c r="AN907" s="334"/>
      <c r="AO907" s="334"/>
      <c r="AP907" s="334"/>
      <c r="AQ907" s="335"/>
      <c r="AR907" s="336"/>
    </row>
    <row r="908" spans="1:44" s="337" customFormat="1" ht="30.95" hidden="1" customHeight="1" x14ac:dyDescent="0.2">
      <c r="A908" s="358"/>
      <c r="B908" s="359"/>
      <c r="C908" s="360"/>
      <c r="D908" s="361"/>
      <c r="E908" s="361"/>
      <c r="F908" s="362"/>
      <c r="G908" s="363"/>
      <c r="H908" s="363"/>
      <c r="I908" s="207"/>
      <c r="J908" s="364"/>
      <c r="K908" s="207"/>
      <c r="L908" s="207"/>
      <c r="M908" s="365"/>
      <c r="N908" s="365"/>
      <c r="O908" s="366"/>
      <c r="P908" s="357"/>
      <c r="Q908" s="367"/>
      <c r="R908" s="278"/>
      <c r="S908" s="278"/>
      <c r="T908" s="368"/>
      <c r="U908" s="278"/>
      <c r="V908" s="363"/>
      <c r="W908" s="363"/>
      <c r="X908" s="363"/>
      <c r="Y908" s="363"/>
      <c r="Z908" s="357"/>
      <c r="AA908" s="207"/>
      <c r="AB908" s="369"/>
      <c r="AC908" s="370"/>
      <c r="AD908" s="332"/>
      <c r="AE908" s="371"/>
      <c r="AF908" s="372"/>
      <c r="AG908" s="366"/>
      <c r="AH908" s="333"/>
      <c r="AI908" s="333"/>
      <c r="AJ908" s="333"/>
      <c r="AK908" s="333"/>
      <c r="AL908" s="334"/>
      <c r="AM908" s="334"/>
      <c r="AN908" s="334"/>
      <c r="AO908" s="334"/>
      <c r="AP908" s="334"/>
      <c r="AQ908" s="335"/>
      <c r="AR908" s="336"/>
    </row>
    <row r="909" spans="1:44" s="337" customFormat="1" ht="30.95" hidden="1" customHeight="1" x14ac:dyDescent="0.2">
      <c r="A909" s="320" t="s">
        <v>624</v>
      </c>
      <c r="B909" s="321" t="s">
        <v>444</v>
      </c>
      <c r="C909" s="360"/>
      <c r="D909" s="279">
        <v>3729607</v>
      </c>
      <c r="E909" s="279" t="s">
        <v>1665</v>
      </c>
      <c r="F909" s="362" t="s">
        <v>1663</v>
      </c>
      <c r="G909" s="363" t="s">
        <v>269</v>
      </c>
      <c r="H909" s="363" t="s">
        <v>1079</v>
      </c>
      <c r="I909" s="207" t="s">
        <v>1664</v>
      </c>
      <c r="J909" s="373" t="s">
        <v>970</v>
      </c>
      <c r="K909" s="207">
        <v>25</v>
      </c>
      <c r="L909" s="207" t="s">
        <v>78</v>
      </c>
      <c r="M909" s="326">
        <v>1110</v>
      </c>
      <c r="N909" s="326">
        <v>12100</v>
      </c>
      <c r="O909" s="175">
        <v>3</v>
      </c>
      <c r="P909" s="329"/>
      <c r="Q909" s="367">
        <v>1050</v>
      </c>
      <c r="R909" s="278">
        <v>1050</v>
      </c>
      <c r="S909" s="278">
        <v>6000</v>
      </c>
      <c r="T909" s="183">
        <v>6</v>
      </c>
      <c r="U909" s="278">
        <v>6</v>
      </c>
      <c r="V909" s="363" t="s">
        <v>272</v>
      </c>
      <c r="W909" s="363">
        <v>1250</v>
      </c>
      <c r="X909" s="363">
        <v>2</v>
      </c>
      <c r="Y909" s="363" t="s">
        <v>61</v>
      </c>
      <c r="Z909" s="329" t="s">
        <v>1254</v>
      </c>
      <c r="AA909" s="207" t="s">
        <v>1470</v>
      </c>
      <c r="AB909" s="330"/>
      <c r="AC909" s="370"/>
      <c r="AD909" s="332"/>
      <c r="AE909" s="371"/>
      <c r="AF909" s="372"/>
      <c r="AG909" s="366"/>
      <c r="AH909" s="333"/>
      <c r="AI909" s="333"/>
      <c r="AJ909" s="333"/>
      <c r="AK909" s="333"/>
      <c r="AL909" s="334"/>
      <c r="AM909" s="334"/>
      <c r="AN909" s="334"/>
      <c r="AO909" s="334"/>
      <c r="AP909" s="334"/>
      <c r="AQ909" s="335"/>
      <c r="AR909" s="336"/>
    </row>
    <row r="910" spans="1:44" s="337" customFormat="1" ht="30.95" hidden="1" customHeight="1" x14ac:dyDescent="0.2">
      <c r="A910" s="358"/>
      <c r="B910" s="359"/>
      <c r="C910" s="360"/>
      <c r="D910" s="361"/>
      <c r="E910" s="361"/>
      <c r="F910" s="362"/>
      <c r="G910" s="363"/>
      <c r="H910" s="363"/>
      <c r="I910" s="207"/>
      <c r="J910" s="364"/>
      <c r="K910" s="207"/>
      <c r="L910" s="207"/>
      <c r="M910" s="365"/>
      <c r="N910" s="365"/>
      <c r="O910" s="366"/>
      <c r="P910" s="357"/>
      <c r="Q910" s="367"/>
      <c r="R910" s="278"/>
      <c r="S910" s="278"/>
      <c r="T910" s="368"/>
      <c r="U910" s="278"/>
      <c r="V910" s="363"/>
      <c r="W910" s="363"/>
      <c r="X910" s="363"/>
      <c r="Y910" s="363"/>
      <c r="Z910" s="357"/>
      <c r="AA910" s="207"/>
      <c r="AB910" s="369"/>
      <c r="AC910" s="370"/>
      <c r="AD910" s="332"/>
      <c r="AE910" s="371"/>
      <c r="AF910" s="372"/>
      <c r="AG910" s="366"/>
      <c r="AH910" s="333"/>
      <c r="AI910" s="333"/>
      <c r="AJ910" s="333"/>
      <c r="AK910" s="333"/>
      <c r="AL910" s="334"/>
      <c r="AM910" s="334"/>
      <c r="AN910" s="334"/>
      <c r="AO910" s="334"/>
      <c r="AP910" s="334"/>
      <c r="AQ910" s="335"/>
      <c r="AR910" s="336"/>
    </row>
    <row r="911" spans="1:44" s="337" customFormat="1" ht="30.95" hidden="1" customHeight="1" x14ac:dyDescent="0.2">
      <c r="A911" s="358" t="s">
        <v>1636</v>
      </c>
      <c r="B911" s="359" t="s">
        <v>1624</v>
      </c>
      <c r="C911" s="360"/>
      <c r="D911" s="361"/>
      <c r="E911" s="361"/>
      <c r="F911" s="362"/>
      <c r="G911" s="363"/>
      <c r="H911" s="363"/>
      <c r="I911" s="207"/>
      <c r="J911" s="364"/>
      <c r="K911" s="207"/>
      <c r="L911" s="207"/>
      <c r="M911" s="365"/>
      <c r="N911" s="365"/>
      <c r="O911" s="366"/>
      <c r="P911" s="357"/>
      <c r="Q911" s="367"/>
      <c r="R911" s="278"/>
      <c r="S911" s="278"/>
      <c r="T911" s="368"/>
      <c r="U911" s="278"/>
      <c r="V911" s="363"/>
      <c r="W911" s="363"/>
      <c r="X911" s="363"/>
      <c r="Y911" s="363"/>
      <c r="Z911" s="357"/>
      <c r="AA911" s="207"/>
      <c r="AB911" s="369"/>
      <c r="AC911" s="370"/>
      <c r="AD911" s="332"/>
      <c r="AE911" s="371"/>
      <c r="AF911" s="372"/>
      <c r="AG911" s="366"/>
      <c r="AH911" s="333"/>
      <c r="AI911" s="333"/>
      <c r="AJ911" s="333"/>
      <c r="AK911" s="333"/>
      <c r="AL911" s="334"/>
      <c r="AM911" s="334"/>
      <c r="AN911" s="334"/>
      <c r="AO911" s="334"/>
      <c r="AP911" s="334"/>
      <c r="AQ911" s="335"/>
      <c r="AR911" s="336"/>
    </row>
    <row r="912" spans="1:44" s="337" customFormat="1" ht="30.95" hidden="1" customHeight="1" x14ac:dyDescent="0.2">
      <c r="A912" s="358"/>
      <c r="B912" s="359"/>
      <c r="C912" s="360"/>
      <c r="D912" s="361"/>
      <c r="E912" s="361"/>
      <c r="F912" s="362"/>
      <c r="G912" s="363"/>
      <c r="H912" s="363"/>
      <c r="I912" s="207"/>
      <c r="J912" s="364"/>
      <c r="K912" s="207"/>
      <c r="L912" s="207"/>
      <c r="M912" s="365"/>
      <c r="N912" s="365"/>
      <c r="O912" s="366"/>
      <c r="P912" s="357"/>
      <c r="Q912" s="367"/>
      <c r="R912" s="278"/>
      <c r="S912" s="278"/>
      <c r="T912" s="368"/>
      <c r="U912" s="278"/>
      <c r="V912" s="363"/>
      <c r="W912" s="363"/>
      <c r="X912" s="363"/>
      <c r="Y912" s="363"/>
      <c r="Z912" s="357"/>
      <c r="AA912" s="207"/>
      <c r="AB912" s="369"/>
      <c r="AC912" s="370"/>
      <c r="AD912" s="332"/>
      <c r="AE912" s="371"/>
      <c r="AF912" s="372"/>
      <c r="AG912" s="366"/>
      <c r="AH912" s="333"/>
      <c r="AI912" s="333"/>
      <c r="AJ912" s="333"/>
      <c r="AK912" s="333"/>
      <c r="AL912" s="334"/>
      <c r="AM912" s="334"/>
      <c r="AN912" s="334"/>
      <c r="AO912" s="334"/>
      <c r="AP912" s="334"/>
      <c r="AQ912" s="335"/>
      <c r="AR912" s="336"/>
    </row>
    <row r="913" spans="1:44" s="337" customFormat="1" ht="30.95" hidden="1" customHeight="1" x14ac:dyDescent="0.2">
      <c r="A913" s="358" t="s">
        <v>1637</v>
      </c>
      <c r="B913" s="359" t="s">
        <v>1626</v>
      </c>
      <c r="C913" s="360"/>
      <c r="D913" s="361"/>
      <c r="E913" s="361"/>
      <c r="F913" s="362"/>
      <c r="G913" s="363"/>
      <c r="H913" s="363"/>
      <c r="I913" s="207"/>
      <c r="J913" s="364"/>
      <c r="K913" s="207"/>
      <c r="L913" s="207"/>
      <c r="M913" s="365"/>
      <c r="N913" s="365"/>
      <c r="O913" s="366"/>
      <c r="P913" s="357"/>
      <c r="Q913" s="367"/>
      <c r="R913" s="278"/>
      <c r="S913" s="278"/>
      <c r="T913" s="368"/>
      <c r="U913" s="278"/>
      <c r="V913" s="363"/>
      <c r="W913" s="363"/>
      <c r="X913" s="363"/>
      <c r="Y913" s="363"/>
      <c r="Z913" s="357"/>
      <c r="AA913" s="207"/>
      <c r="AB913" s="369"/>
      <c r="AC913" s="370"/>
      <c r="AD913" s="332"/>
      <c r="AE913" s="371"/>
      <c r="AF913" s="372"/>
      <c r="AG913" s="366"/>
      <c r="AH913" s="333"/>
      <c r="AI913" s="333"/>
      <c r="AJ913" s="333"/>
      <c r="AK913" s="333"/>
      <c r="AL913" s="334"/>
      <c r="AM913" s="334"/>
      <c r="AN913" s="334"/>
      <c r="AO913" s="334"/>
      <c r="AP913" s="334"/>
      <c r="AQ913" s="335"/>
      <c r="AR913" s="336"/>
    </row>
    <row r="914" spans="1:44" s="337" customFormat="1" ht="30.95" hidden="1" customHeight="1" x14ac:dyDescent="0.2">
      <c r="A914" s="358"/>
      <c r="B914" s="359"/>
      <c r="C914" s="360"/>
      <c r="D914" s="361"/>
      <c r="E914" s="361"/>
      <c r="F914" s="362"/>
      <c r="G914" s="363"/>
      <c r="H914" s="363"/>
      <c r="I914" s="207"/>
      <c r="J914" s="364"/>
      <c r="K914" s="207"/>
      <c r="L914" s="207"/>
      <c r="M914" s="365"/>
      <c r="N914" s="365"/>
      <c r="O914" s="366"/>
      <c r="P914" s="357"/>
      <c r="Q914" s="367"/>
      <c r="R914" s="278"/>
      <c r="S914" s="278"/>
      <c r="T914" s="368"/>
      <c r="U914" s="278"/>
      <c r="V914" s="363"/>
      <c r="W914" s="363"/>
      <c r="X914" s="363"/>
      <c r="Y914" s="363"/>
      <c r="Z914" s="357"/>
      <c r="AA914" s="207"/>
      <c r="AB914" s="369"/>
      <c r="AC914" s="370"/>
      <c r="AD914" s="332"/>
      <c r="AE914" s="371"/>
      <c r="AF914" s="372"/>
      <c r="AG914" s="366"/>
      <c r="AH914" s="333"/>
      <c r="AI914" s="333"/>
      <c r="AJ914" s="333"/>
      <c r="AK914" s="333"/>
      <c r="AL914" s="334"/>
      <c r="AM914" s="334"/>
      <c r="AN914" s="334"/>
      <c r="AO914" s="334"/>
      <c r="AP914" s="334"/>
      <c r="AQ914" s="335"/>
      <c r="AR914" s="336"/>
    </row>
    <row r="915" spans="1:44" s="337" customFormat="1" ht="30.75" hidden="1" customHeight="1" x14ac:dyDescent="0.2">
      <c r="A915" s="320" t="s">
        <v>631</v>
      </c>
      <c r="B915" s="321" t="s">
        <v>462</v>
      </c>
      <c r="C915" s="322"/>
      <c r="D915" s="279">
        <v>3727594</v>
      </c>
      <c r="E915" s="279">
        <v>4151485</v>
      </c>
      <c r="F915" s="362" t="str">
        <f>IF(D915="","",VLOOKUP(D915,契約台帳!$A$3:$K$4986,6,FALSE)&amp;VLOOKUP(D915,契約台帳!$A$3:$K$4986,7,FALSE)&amp;VLOOKUP(D915,契約台帳!$A$3:$K$4986,8,FALSE)&amp;VLOOKUP(D915,契約台帳!$A$3:$K$4986,9,FALSE)&amp;VLOOKUP(D915,契約台帳!$A$3:$K$4986,11,FALSE))</f>
        <v>3SNMLBMNGKKBF</v>
      </c>
      <c r="G915" s="363" t="str">
        <f>IF(D915="","",VLOOKUP(F915,製品マスタ!$G$5:$H$5002,2,FALSE))</f>
        <v>S</v>
      </c>
      <c r="H915" s="363" t="str">
        <f>IF(D915="","",VLOOKUP(F915,製品マスタ!$G$5:$K$5002,5,FALSE))</f>
        <v>MNGKKBF</v>
      </c>
      <c r="I915" s="207" t="str">
        <f>IF(D915="","",VLOOKUP(F915,製品マスタ!$G$5:$L$5002,6,FALSE))</f>
        <v>メタルミー　ネーマー銀消改　Ｂ</v>
      </c>
      <c r="J915" s="373" t="s">
        <v>447</v>
      </c>
      <c r="K915" s="207">
        <f>IF(D915="","",VLOOKUP(D915,契約台帳!$A$3:$L$4986,12,FALSE))</f>
        <v>50</v>
      </c>
      <c r="L915" s="207" t="str">
        <f>IF(D915="","",INDEX(製品マスタ!$Q$5:$Q$5002,MATCH(F915&amp;K915,製品マスタ!$AO$5:$AO$5002,0)))</f>
        <v>S99-MAT</v>
      </c>
      <c r="M915" s="326">
        <v>1120</v>
      </c>
      <c r="N915" s="326">
        <v>12000</v>
      </c>
      <c r="O915" s="175">
        <v>3</v>
      </c>
      <c r="P915" s="329"/>
      <c r="Q915" s="367">
        <f>IF(D915="","",IF(J915="リード付け",M915,VLOOKUP(D915,契約台帳!$A$3:$N$4986,14,FALSE)))</f>
        <v>1120</v>
      </c>
      <c r="R915" s="278">
        <f>IF(D915="","",IF(J915="リード付け",M915,VLOOKUP(D915,契約台帳!$A$3:$O$4986,15,FALSE)))</f>
        <v>1120</v>
      </c>
      <c r="S915" s="278">
        <f>IF(D915="","",IF(J915="リード付け",N915,VLOOKUP(D915,契約台帳!$A$3:$P$4986,16,FALSE)))</f>
        <v>4000</v>
      </c>
      <c r="T915" s="183">
        <v>9</v>
      </c>
      <c r="U915" s="278">
        <f ca="1">IF(D915="","",IF(OFFSET(D915,-2,0)=D915,"",VLOOKUP(D915,契約台帳!$A$3:$R$4986,18,FALSE)))</f>
        <v>18</v>
      </c>
      <c r="V915" s="363" t="str">
        <f>IF(J915="巻返し",VLOOKUP(F915&amp;K915&amp;M915,[2]製品マスタ!$M$5:$AD$5000,18,FALSE),IF(J915="リード付け","原反コア",IF(J915="スリット",VLOOKUP(F915&amp;K915&amp;Q915,[2]製品マスタ!$N$5:$AD$5000,17,FALSE),"")))</f>
        <v>6ｲﾝﾁSｺｱ</v>
      </c>
      <c r="W915" s="363">
        <f>IF(J915="巻返し",VLOOKUP(F915&amp;K915&amp;M915,製品マスタ!$M$5:$AE$5002,19,FALSE),IF(J915="リード付け","-",IF(J915="スリット",VLOOKUP(F915&amp;K915&amp;Q915,製品マスタ!$N$5:$AE$5002,18,FALSE),"")))</f>
        <v>1125</v>
      </c>
      <c r="X915" s="363">
        <f>IF(D915="","",VLOOKUP(D915,契約台帳!$A$3:$Q$4986,17,FALSE))</f>
        <v>2</v>
      </c>
      <c r="Y915" s="363" t="str">
        <f>IF(D915="","",VLOOKUP(D915,契約台帳!$A$3:$E$4986,5,FALSE))</f>
        <v xml:space="preserve">リンテック㈱        </v>
      </c>
      <c r="Z915" s="329">
        <v>45225</v>
      </c>
      <c r="AA915" s="207">
        <f>IFERROR(VLOOKUP(F915&amp;K915&amp;M915,製品マスタ!$M$5:$AM$5002,27,FALSE),"")</f>
        <v>0</v>
      </c>
      <c r="AB915" s="330"/>
      <c r="AC915" s="331"/>
      <c r="AD915" s="332" t="str">
        <f>IF(F915="","",+F915&amp;K915)</f>
        <v>3SNMLBMNGKKBF50</v>
      </c>
      <c r="AE915" s="216">
        <f>+M915*N915*O915/1000</f>
        <v>40320</v>
      </c>
      <c r="AF915" s="43">
        <f>IF(AD915="","",VLOOKUP(AD915,原価マスタ!$A$2:$AJ$1693,13,FALSE))</f>
        <v>99</v>
      </c>
      <c r="AG915" s="47">
        <f>IF(AF915="","",+AE915*AF915/100)</f>
        <v>39916.800000000003</v>
      </c>
      <c r="AH915" s="333"/>
      <c r="AI915" s="333"/>
      <c r="AJ915" s="333"/>
      <c r="AK915" s="333"/>
      <c r="AL915" s="334"/>
      <c r="AM915" s="334"/>
      <c r="AN915" s="334"/>
      <c r="AO915" s="334"/>
      <c r="AP915" s="334"/>
      <c r="AQ915" s="335"/>
      <c r="AR915" s="336"/>
    </row>
    <row r="916" spans="1:44" s="337" customFormat="1" ht="30.95" hidden="1" customHeight="1" x14ac:dyDescent="0.2">
      <c r="A916" s="358"/>
      <c r="B916" s="359"/>
      <c r="C916" s="360"/>
      <c r="D916" s="361"/>
      <c r="E916" s="361"/>
      <c r="F916" s="362"/>
      <c r="G916" s="363"/>
      <c r="H916" s="363"/>
      <c r="I916" s="207"/>
      <c r="J916" s="364"/>
      <c r="K916" s="207"/>
      <c r="L916" s="207"/>
      <c r="M916" s="365"/>
      <c r="N916" s="365"/>
      <c r="O916" s="366"/>
      <c r="P916" s="357"/>
      <c r="Q916" s="367"/>
      <c r="R916" s="278"/>
      <c r="S916" s="278"/>
      <c r="T916" s="368"/>
      <c r="U916" s="278"/>
      <c r="V916" s="363"/>
      <c r="W916" s="363"/>
      <c r="X916" s="363"/>
      <c r="Y916" s="363"/>
      <c r="Z916" s="357"/>
      <c r="AA916" s="207"/>
      <c r="AB916" s="369"/>
      <c r="AC916" s="370"/>
      <c r="AD916" s="332"/>
      <c r="AE916" s="371"/>
      <c r="AF916" s="372"/>
      <c r="AG916" s="366"/>
      <c r="AH916" s="333"/>
      <c r="AI916" s="333"/>
      <c r="AJ916" s="333"/>
      <c r="AK916" s="333"/>
      <c r="AL916" s="334"/>
      <c r="AM916" s="334"/>
      <c r="AN916" s="334"/>
      <c r="AO916" s="334"/>
      <c r="AP916" s="334"/>
      <c r="AQ916" s="335"/>
      <c r="AR916" s="336"/>
    </row>
    <row r="917" spans="1:44" s="337" customFormat="1" ht="30.95" hidden="1" customHeight="1" x14ac:dyDescent="0.2">
      <c r="A917" s="320"/>
      <c r="B917" s="321"/>
      <c r="C917" s="360"/>
      <c r="D917" s="398">
        <v>3727593</v>
      </c>
      <c r="E917" s="31">
        <v>4151484</v>
      </c>
      <c r="F917" s="268" t="str">
        <f>IF(D917="","",VLOOKUP(D917,契約台帳!$A$3:$K$4986,6,FALSE)&amp;VLOOKUP(D917,契約台帳!$A$3:$K$4986,7,FALSE)&amp;VLOOKUP(D917,契約台帳!$A$3:$K$4986,8,FALSE)&amp;VLOOKUP(D917,契約台帳!$A$3:$K$4986,9,FALSE)&amp;VLOOKUP(D917,契約台帳!$A$3:$K$4986,11,FALSE))</f>
        <v>3SNMLBMNGKKBF</v>
      </c>
      <c r="G917" s="269" t="str">
        <f>IF(D917="","",VLOOKUP(F917,製品マスタ!$G$5:$H$5002,2,FALSE))</f>
        <v>S</v>
      </c>
      <c r="H917" s="269" t="str">
        <f>IF(D917="","",VLOOKUP(F917,製品マスタ!$G$5:$K$5002,5,FALSE))</f>
        <v>MNGKKBF</v>
      </c>
      <c r="I917" s="270" t="str">
        <f>IF(D917="","",VLOOKUP(F917,製品マスタ!$G$5:$L$5002,6,FALSE))</f>
        <v>メタルミー　ネーマー銀消改　Ｂ</v>
      </c>
      <c r="J917" s="32" t="s">
        <v>447</v>
      </c>
      <c r="K917" s="270">
        <f>IF(D917="","",VLOOKUP(D917,契約台帳!$A$3:$L$4986,12,FALSE))</f>
        <v>25</v>
      </c>
      <c r="L917" s="270" t="str">
        <f>IF(D917="","",INDEX(製品マスタ!$Q$5:$Q$5002,MATCH(F917&amp;K917,製品マスタ!$AO$5:$AO$5002,0)))</f>
        <v>FMATS99</v>
      </c>
      <c r="M917" s="39">
        <v>1120</v>
      </c>
      <c r="N917" s="39">
        <v>12000</v>
      </c>
      <c r="O917" s="47">
        <v>1</v>
      </c>
      <c r="P917" s="57"/>
      <c r="Q917" s="276">
        <f>IF(D917="","",IF(J917="リード付け",M917,VLOOKUP(D917,契約台帳!$A$3:$N$4986,14,FALSE)))</f>
        <v>1120</v>
      </c>
      <c r="R917" s="277">
        <f>IF(D917="","",IF(J917="リード付け",M917,VLOOKUP(D917,契約台帳!$A$3:$O$4986,15,FALSE)))</f>
        <v>1120</v>
      </c>
      <c r="S917" s="277">
        <f>IF(D917="","",IF(J917="リード付け",N917,VLOOKUP(D917,契約台帳!$A$3:$P$4986,16,FALSE)))</f>
        <v>4000</v>
      </c>
      <c r="T917" s="40">
        <v>3</v>
      </c>
      <c r="U917" s="278">
        <f ca="1">IF(D917="","",IF(OFFSET(D917,-2,0)=D917,"",VLOOKUP(D917,契約台帳!$A$3:$R$4986,18,FALSE)))</f>
        <v>3</v>
      </c>
      <c r="V917" s="269" t="str">
        <f>IF(J917="巻返し",VLOOKUP(F917&amp;K917&amp;M917,製品マスタ!$M$5:$AD$5002,18,FALSE),IF(J917="リード付け","原反コア",IF(J917="スリット",VLOOKUP(F917&amp;K917&amp;Q917,製品マスタ!$N$5:$AD$5002,17,FALSE),"")))</f>
        <v>6ｲﾝﾁSｺｱ</v>
      </c>
      <c r="W917" s="269">
        <f>IF(J917="巻返し",VLOOKUP(F917&amp;K917&amp;M917,製品マスタ!$M$5:$AE$5002,19,FALSE),IF(J917="リード付け","-",IF(J917="スリット",VLOOKUP(F917&amp;K917&amp;Q917,製品マスタ!$N$5:$AE$5002,18,FALSE),"")))</f>
        <v>1125</v>
      </c>
      <c r="X917" s="275">
        <f>IF(D917="","",VLOOKUP(D917,契約台帳!$A$3:$Q$4986,17,FALSE))</f>
        <v>2</v>
      </c>
      <c r="Y917" s="269" t="str">
        <f>IF(D917="","",VLOOKUP(D917,契約台帳!$A$3:$E$4986,5,FALSE))</f>
        <v xml:space="preserve">リンテック㈱        </v>
      </c>
      <c r="Z917" s="357">
        <v>45225</v>
      </c>
      <c r="AA917" s="207">
        <f>IFERROR(VLOOKUP(F917&amp;K917&amp;M917,製品マスタ!$M$5:$AM$5002,27,FALSE),"")</f>
        <v>0</v>
      </c>
      <c r="AB917" s="369"/>
      <c r="AC917" s="370"/>
      <c r="AD917" s="332" t="str">
        <f>IF(F917="","",+F917&amp;K917)</f>
        <v>3SNMLBMNGKKBF25</v>
      </c>
      <c r="AE917" s="216">
        <f>+M917*N917*O917/1000</f>
        <v>13440</v>
      </c>
      <c r="AF917" s="43">
        <f>IF(AD917="","",VLOOKUP(AD917,原価マスタ!$A$2:$AJ$1693,13,FALSE))</f>
        <v>96</v>
      </c>
      <c r="AG917" s="47">
        <f>IF(AF917="","",+AE917*AF917/100)</f>
        <v>12902.4</v>
      </c>
      <c r="AH917" s="333"/>
      <c r="AI917" s="333"/>
      <c r="AJ917" s="333"/>
      <c r="AK917" s="333"/>
      <c r="AL917" s="334"/>
      <c r="AM917" s="334"/>
      <c r="AN917" s="334"/>
      <c r="AO917" s="334"/>
      <c r="AP917" s="334"/>
      <c r="AQ917" s="335"/>
      <c r="AR917" s="336"/>
    </row>
    <row r="918" spans="1:44" s="337" customFormat="1" ht="30.95" hidden="1" customHeight="1" x14ac:dyDescent="0.2">
      <c r="A918" s="358"/>
      <c r="B918" s="359"/>
      <c r="C918" s="360"/>
      <c r="D918" s="361"/>
      <c r="E918" s="361"/>
      <c r="F918" s="362"/>
      <c r="G918" s="363"/>
      <c r="H918" s="363"/>
      <c r="I918" s="207"/>
      <c r="J918" s="364"/>
      <c r="K918" s="207"/>
      <c r="L918" s="207"/>
      <c r="M918" s="365"/>
      <c r="N918" s="365"/>
      <c r="O918" s="366"/>
      <c r="P918" s="357"/>
      <c r="Q918" s="367"/>
      <c r="R918" s="278"/>
      <c r="S918" s="278"/>
      <c r="T918" s="368"/>
      <c r="U918" s="278"/>
      <c r="V918" s="363"/>
      <c r="W918" s="363"/>
      <c r="X918" s="363"/>
      <c r="Y918" s="363"/>
      <c r="Z918" s="357"/>
      <c r="AA918" s="207"/>
      <c r="AB918" s="369"/>
      <c r="AC918" s="370"/>
      <c r="AD918" s="332"/>
      <c r="AE918" s="371"/>
      <c r="AF918" s="372"/>
      <c r="AG918" s="366"/>
      <c r="AH918" s="333"/>
      <c r="AI918" s="333"/>
      <c r="AJ918" s="333"/>
      <c r="AK918" s="333"/>
      <c r="AL918" s="334"/>
      <c r="AM918" s="334"/>
      <c r="AN918" s="334"/>
      <c r="AO918" s="334"/>
      <c r="AP918" s="334"/>
      <c r="AQ918" s="335"/>
      <c r="AR918" s="336"/>
    </row>
    <row r="919" spans="1:44" s="337" customFormat="1" ht="30.95" hidden="1" customHeight="1" x14ac:dyDescent="0.2">
      <c r="A919" s="320" t="s">
        <v>634</v>
      </c>
      <c r="B919" s="321" t="s">
        <v>688</v>
      </c>
      <c r="C919" s="360"/>
      <c r="D919" s="398">
        <v>3727608</v>
      </c>
      <c r="E919" s="31">
        <v>4151490</v>
      </c>
      <c r="F919" s="268" t="str">
        <f>IF(D919="","",VLOOKUP(D919,契約台帳!$A$3:$K$4986,6,FALSE)&amp;VLOOKUP(D919,契約台帳!$A$3:$K$4986,7,FALSE)&amp;VLOOKUP(D919,契約台帳!$A$3:$K$4986,8,FALSE)&amp;VLOOKUP(D919,契約台帳!$A$3:$K$4986,9,FALSE)&amp;VLOOKUP(D919,契約台帳!$A$3:$K$4986,11,FALSE))</f>
        <v>3SNMLBMNGTBF</v>
      </c>
      <c r="G919" s="269" t="str">
        <f>IF(D919="","",VLOOKUP(F919,製品マスタ!$G$5:$H$5002,2,FALSE))</f>
        <v>S</v>
      </c>
      <c r="H919" s="269" t="str">
        <f>IF(D919="","",VLOOKUP(F919,製品マスタ!$G$5:$K$5002,5,FALSE))</f>
        <v>MNGTBF</v>
      </c>
      <c r="I919" s="270" t="str">
        <f>IF(D919="","",VLOOKUP(F919,製品マスタ!$G$5:$L$5002,6,FALSE))</f>
        <v>メタルミー　ネーマー　銀艶　Ｂ</v>
      </c>
      <c r="J919" s="32" t="s">
        <v>447</v>
      </c>
      <c r="K919" s="270">
        <f>IF(D919="","",VLOOKUP(D919,契約台帳!$A$3:$L$4986,12,FALSE))</f>
        <v>50</v>
      </c>
      <c r="L919" s="270" t="str">
        <f>IF(D919="","",INDEX(製品マスタ!$Q$5:$Q$5002,MATCH(F919&amp;K919,製品マスタ!$AO$5:$AO$5002,0)))</f>
        <v>T62</v>
      </c>
      <c r="M919" s="39">
        <v>1120</v>
      </c>
      <c r="N919" s="39">
        <v>10000</v>
      </c>
      <c r="O919" s="47">
        <v>5</v>
      </c>
      <c r="P919" s="57"/>
      <c r="Q919" s="276">
        <f>IF(D919="","",IF(J919="リード付け",M919,VLOOKUP(D919,契約台帳!$A$3:$N$4986,14,FALSE)))</f>
        <v>1120</v>
      </c>
      <c r="R919" s="277">
        <f>IF(D919="","",IF(J919="リード付け",M919,VLOOKUP(D919,契約台帳!$A$3:$O$4986,15,FALSE)))</f>
        <v>1120</v>
      </c>
      <c r="S919" s="277">
        <f>IF(D919="","",IF(J919="リード付け",N919,VLOOKUP(D919,契約台帳!$A$3:$P$4986,16,FALSE)))</f>
        <v>5000</v>
      </c>
      <c r="T919" s="40">
        <v>10</v>
      </c>
      <c r="U919" s="278">
        <f ca="1">IF(D919="","",IF(OFFSET(D919,-2,0)=D919,"",VLOOKUP(D919,契約台帳!$A$3:$R$4986,18,FALSE)))</f>
        <v>46</v>
      </c>
      <c r="V919" s="269" t="str">
        <f>IF(J919="巻返し",VLOOKUP(F919&amp;K919&amp;M919,製品マスタ!$M$5:$AD$5002,18,FALSE),IF(J919="リード付け","原反コア",IF(J919="スリット",VLOOKUP(F919&amp;K919&amp;Q919,製品マスタ!$N$5:$AD$5002,17,FALSE),"")))</f>
        <v>6ｲﾝﾁSｺｱ</v>
      </c>
      <c r="W919" s="269">
        <f>IF(J919="巻返し",VLOOKUP(F919&amp;K919&amp;M919,製品マスタ!$M$5:$AE$5002,19,FALSE),IF(J919="リード付け","-",IF(J919="スリット",VLOOKUP(F919&amp;K919&amp;Q919,製品マスタ!$N$5:$AE$5002,18,FALSE),"")))</f>
        <v>1125</v>
      </c>
      <c r="X919" s="275">
        <f>IF(D919="","",VLOOKUP(D919,契約台帳!$A$3:$Q$4986,17,FALSE))</f>
        <v>2</v>
      </c>
      <c r="Y919" s="269" t="str">
        <f>IF(D919="","",VLOOKUP(D919,契約台帳!$A$3:$E$4986,5,FALSE))</f>
        <v xml:space="preserve">リンテック㈱        </v>
      </c>
      <c r="Z919" s="357">
        <v>45226</v>
      </c>
      <c r="AA919" s="207" t="str">
        <f>IFERROR(VLOOKUP(F919&amp;K919&amp;M919,製品マスタ!$M$5:$AM$5002,27,FALSE),"")</f>
        <v>原反ケース再利用</v>
      </c>
      <c r="AB919" s="369"/>
      <c r="AC919" s="370"/>
      <c r="AD919" s="332" t="str">
        <f>IF(F919="","",+F919&amp;K919)</f>
        <v>3SNMLBMNGTBF50</v>
      </c>
      <c r="AE919" s="216">
        <f>+M919*N919*O919/1000</f>
        <v>56000</v>
      </c>
      <c r="AF919" s="43">
        <f>IF(AD919="","",VLOOKUP(AD919,原価マスタ!$A$2:$AJ$1693,13,FALSE))</f>
        <v>99</v>
      </c>
      <c r="AG919" s="47">
        <f>IF(AF919="","",+AE919*AF919/100)</f>
        <v>55440</v>
      </c>
      <c r="AH919" s="333"/>
      <c r="AI919" s="333"/>
      <c r="AJ919" s="333"/>
      <c r="AK919" s="333"/>
      <c r="AL919" s="334"/>
      <c r="AM919" s="334"/>
      <c r="AN919" s="334"/>
      <c r="AO919" s="334"/>
      <c r="AP919" s="334"/>
      <c r="AQ919" s="335"/>
      <c r="AR919" s="336"/>
    </row>
    <row r="920" spans="1:44" s="337" customFormat="1" ht="30.95" hidden="1" customHeight="1" x14ac:dyDescent="0.2">
      <c r="A920" s="358"/>
      <c r="B920" s="359"/>
      <c r="C920" s="360"/>
      <c r="D920" s="361"/>
      <c r="E920" s="361"/>
      <c r="F920" s="362"/>
      <c r="G920" s="363"/>
      <c r="H920" s="363"/>
      <c r="I920" s="207"/>
      <c r="J920" s="364"/>
      <c r="K920" s="207"/>
      <c r="L920" s="207"/>
      <c r="M920" s="365"/>
      <c r="N920" s="365"/>
      <c r="O920" s="366"/>
      <c r="P920" s="357"/>
      <c r="Q920" s="367"/>
      <c r="R920" s="278"/>
      <c r="S920" s="278"/>
      <c r="T920" s="368"/>
      <c r="U920" s="278"/>
      <c r="V920" s="363"/>
      <c r="W920" s="363"/>
      <c r="X920" s="363"/>
      <c r="Y920" s="363"/>
      <c r="Z920" s="357"/>
      <c r="AA920" s="207"/>
      <c r="AB920" s="369"/>
      <c r="AC920" s="370"/>
      <c r="AD920" s="332"/>
      <c r="AE920" s="371"/>
      <c r="AF920" s="372"/>
      <c r="AG920" s="366"/>
      <c r="AH920" s="333"/>
      <c r="AI920" s="333"/>
      <c r="AJ920" s="333"/>
      <c r="AK920" s="333"/>
      <c r="AL920" s="334"/>
      <c r="AM920" s="334"/>
      <c r="AN920" s="334"/>
      <c r="AO920" s="334"/>
      <c r="AP920" s="334"/>
      <c r="AQ920" s="335"/>
      <c r="AR920" s="336"/>
    </row>
    <row r="921" spans="1:44" s="337" customFormat="1" ht="30.95" hidden="1" customHeight="1" x14ac:dyDescent="0.2">
      <c r="A921" s="320" t="s">
        <v>635</v>
      </c>
      <c r="B921" s="321" t="s">
        <v>442</v>
      </c>
      <c r="C921" s="360"/>
      <c r="D921" s="398">
        <v>3727608</v>
      </c>
      <c r="E921" s="31">
        <v>4151490</v>
      </c>
      <c r="F921" s="268" t="str">
        <f>IF(D921="","",VLOOKUP(D921,契約台帳!$A$3:$K$4986,6,FALSE)&amp;VLOOKUP(D921,契約台帳!$A$3:$K$4986,7,FALSE)&amp;VLOOKUP(D921,契約台帳!$A$3:$K$4986,8,FALSE)&amp;VLOOKUP(D921,契約台帳!$A$3:$K$4986,9,FALSE)&amp;VLOOKUP(D921,契約台帳!$A$3:$K$4986,11,FALSE))</f>
        <v>3SNMLBMNGTBF</v>
      </c>
      <c r="G921" s="269" t="str">
        <f>IF(D921="","",VLOOKUP(F921,製品マスタ!$G$5:$H$5002,2,FALSE))</f>
        <v>S</v>
      </c>
      <c r="H921" s="269" t="str">
        <f>IF(D921="","",VLOOKUP(F921,製品マスタ!$G$5:$K$5002,5,FALSE))</f>
        <v>MNGTBF</v>
      </c>
      <c r="I921" s="270" t="str">
        <f>IF(D921="","",VLOOKUP(F921,製品マスタ!$G$5:$L$5002,6,FALSE))</f>
        <v>メタルミー　ネーマー　銀艶　Ｂ</v>
      </c>
      <c r="J921" s="32" t="s">
        <v>447</v>
      </c>
      <c r="K921" s="270">
        <f>IF(D921="","",VLOOKUP(D921,契約台帳!$A$3:$L$4986,12,FALSE))</f>
        <v>50</v>
      </c>
      <c r="L921" s="270" t="str">
        <f>IF(D921="","",INDEX(製品マスタ!$Q$5:$Q$5002,MATCH(F921&amp;K921,製品マスタ!$AO$5:$AO$5002,0)))</f>
        <v>T62</v>
      </c>
      <c r="M921" s="39">
        <v>1120</v>
      </c>
      <c r="N921" s="39">
        <v>10000</v>
      </c>
      <c r="O921" s="47">
        <v>5</v>
      </c>
      <c r="P921" s="57"/>
      <c r="Q921" s="276">
        <f>IF(D921="","",IF(J921="リード付け",M921,VLOOKUP(D921,契約台帳!$A$3:$N$4986,14,FALSE)))</f>
        <v>1120</v>
      </c>
      <c r="R921" s="277">
        <f>IF(D921="","",IF(J921="リード付け",M921,VLOOKUP(D921,契約台帳!$A$3:$O$4986,15,FALSE)))</f>
        <v>1120</v>
      </c>
      <c r="S921" s="277">
        <f>IF(D921="","",IF(J921="リード付け",N921,VLOOKUP(D921,契約台帳!$A$3:$P$4986,16,FALSE)))</f>
        <v>5000</v>
      </c>
      <c r="T921" s="40">
        <v>10</v>
      </c>
      <c r="U921" s="278" t="str">
        <f ca="1">IF(D921="","",IF(OFFSET(D921,-2,0)=D921,"",VLOOKUP(D921,契約台帳!$A$3:$R$4986,18,FALSE)))</f>
        <v/>
      </c>
      <c r="V921" s="269" t="str">
        <f>IF(J921="巻返し",VLOOKUP(F921&amp;K921&amp;M921,製品マスタ!$M$5:$AD$5002,18,FALSE),IF(J921="リード付け","原反コア",IF(J921="スリット",VLOOKUP(F921&amp;K921&amp;Q921,製品マスタ!$N$5:$AD$5002,17,FALSE),"")))</f>
        <v>6ｲﾝﾁSｺｱ</v>
      </c>
      <c r="W921" s="269">
        <f>IF(J921="巻返し",VLOOKUP(F921&amp;K921&amp;M921,製品マスタ!$M$5:$AE$5002,19,FALSE),IF(J921="リード付け","-",IF(J921="スリット",VLOOKUP(F921&amp;K921&amp;Q921,製品マスタ!$N$5:$AE$5002,18,FALSE),"")))</f>
        <v>1125</v>
      </c>
      <c r="X921" s="275">
        <f>IF(D921="","",VLOOKUP(D921,契約台帳!$A$3:$Q$4986,17,FALSE))</f>
        <v>2</v>
      </c>
      <c r="Y921" s="269" t="str">
        <f>IF(D921="","",VLOOKUP(D921,契約台帳!$A$3:$E$4986,5,FALSE))</f>
        <v xml:space="preserve">リンテック㈱        </v>
      </c>
      <c r="Z921" s="357">
        <v>45229</v>
      </c>
      <c r="AA921" s="207" t="str">
        <f>IFERROR(VLOOKUP(F921&amp;K921&amp;M921,製品マスタ!$M$5:$AM$5002,27,FALSE),"")</f>
        <v>原反ケース再利用</v>
      </c>
      <c r="AB921" s="369"/>
      <c r="AC921" s="370"/>
      <c r="AD921" s="332" t="str">
        <f>IF(F921="","",+F921&amp;K921)</f>
        <v>3SNMLBMNGTBF50</v>
      </c>
      <c r="AE921" s="216">
        <f>+M921*N921*O921/1000</f>
        <v>56000</v>
      </c>
      <c r="AF921" s="43">
        <f>IF(AD921="","",VLOOKUP(AD921,原価マスタ!$A$2:$AJ$1693,13,FALSE))</f>
        <v>99</v>
      </c>
      <c r="AG921" s="47">
        <f>IF(AF921="","",+AE921*AF921/100)</f>
        <v>55440</v>
      </c>
      <c r="AH921" s="333"/>
      <c r="AI921" s="333"/>
      <c r="AJ921" s="333"/>
      <c r="AK921" s="333"/>
      <c r="AL921" s="334"/>
      <c r="AM921" s="334"/>
      <c r="AN921" s="334"/>
      <c r="AO921" s="334"/>
      <c r="AP921" s="334"/>
      <c r="AQ921" s="335"/>
      <c r="AR921" s="336"/>
    </row>
    <row r="922" spans="1:44" s="337" customFormat="1" ht="30.95" hidden="1" customHeight="1" x14ac:dyDescent="0.2">
      <c r="A922" s="358"/>
      <c r="B922" s="359"/>
      <c r="C922" s="360"/>
      <c r="D922" s="361"/>
      <c r="E922" s="361"/>
      <c r="F922" s="362"/>
      <c r="G922" s="363"/>
      <c r="H922" s="363"/>
      <c r="I922" s="207"/>
      <c r="J922" s="364"/>
      <c r="K922" s="207"/>
      <c r="L922" s="207"/>
      <c r="M922" s="365"/>
      <c r="N922" s="365"/>
      <c r="O922" s="366"/>
      <c r="P922" s="357"/>
      <c r="Q922" s="367"/>
      <c r="R922" s="278"/>
      <c r="S922" s="278"/>
      <c r="T922" s="368"/>
      <c r="U922" s="278"/>
      <c r="V922" s="363"/>
      <c r="W922" s="363"/>
      <c r="X922" s="363"/>
      <c r="Y922" s="363"/>
      <c r="Z922" s="357"/>
      <c r="AA922" s="207"/>
      <c r="AB922" s="369"/>
      <c r="AC922" s="370"/>
      <c r="AD922" s="332"/>
      <c r="AE922" s="371"/>
      <c r="AF922" s="372"/>
      <c r="AG922" s="366"/>
      <c r="AH922" s="333"/>
      <c r="AI922" s="333"/>
      <c r="AJ922" s="333"/>
      <c r="AK922" s="333"/>
      <c r="AL922" s="334"/>
      <c r="AM922" s="334"/>
      <c r="AN922" s="334"/>
      <c r="AO922" s="334"/>
      <c r="AP922" s="334"/>
      <c r="AQ922" s="335"/>
      <c r="AR922" s="336"/>
    </row>
    <row r="923" spans="1:44" s="337" customFormat="1" ht="30.95" hidden="1" customHeight="1" x14ac:dyDescent="0.2">
      <c r="A923" s="320" t="s">
        <v>636</v>
      </c>
      <c r="B923" s="321" t="s">
        <v>443</v>
      </c>
      <c r="C923" s="360"/>
      <c r="D923" s="398">
        <v>3727608</v>
      </c>
      <c r="E923" s="31">
        <v>4151490</v>
      </c>
      <c r="F923" s="268" t="str">
        <f>IF(D923="","",VLOOKUP(D923,契約台帳!$A$3:$K$4986,6,FALSE)&amp;VLOOKUP(D923,契約台帳!$A$3:$K$4986,7,FALSE)&amp;VLOOKUP(D923,契約台帳!$A$3:$K$4986,8,FALSE)&amp;VLOOKUP(D923,契約台帳!$A$3:$K$4986,9,FALSE)&amp;VLOOKUP(D923,契約台帳!$A$3:$K$4986,11,FALSE))</f>
        <v>3SNMLBMNGTBF</v>
      </c>
      <c r="G923" s="269" t="str">
        <f>IF(D923="","",VLOOKUP(F923,製品マスタ!$G$5:$H$5002,2,FALSE))</f>
        <v>S</v>
      </c>
      <c r="H923" s="269" t="str">
        <f>IF(D923="","",VLOOKUP(F923,製品マスタ!$G$5:$K$5002,5,FALSE))</f>
        <v>MNGTBF</v>
      </c>
      <c r="I923" s="270" t="str">
        <f>IF(D923="","",VLOOKUP(F923,製品マスタ!$G$5:$L$5002,6,FALSE))</f>
        <v>メタルミー　ネーマー　銀艶　Ｂ</v>
      </c>
      <c r="J923" s="32" t="s">
        <v>447</v>
      </c>
      <c r="K923" s="270">
        <f>IF(D923="","",VLOOKUP(D923,契約台帳!$A$3:$L$4986,12,FALSE))</f>
        <v>50</v>
      </c>
      <c r="L923" s="270" t="str">
        <f>IF(D923="","",INDEX(製品マスタ!$Q$5:$Q$5002,MATCH(F923&amp;K923,製品マスタ!$AO$5:$AO$5002,0)))</f>
        <v>T62</v>
      </c>
      <c r="M923" s="39">
        <v>1120</v>
      </c>
      <c r="N923" s="39">
        <v>10000</v>
      </c>
      <c r="O923" s="47">
        <v>5</v>
      </c>
      <c r="P923" s="57"/>
      <c r="Q923" s="276">
        <f>IF(D923="","",IF(J923="リード付け",M923,VLOOKUP(D923,契約台帳!$A$3:$N$4986,14,FALSE)))</f>
        <v>1120</v>
      </c>
      <c r="R923" s="277">
        <f>IF(D923="","",IF(J923="リード付け",M923,VLOOKUP(D923,契約台帳!$A$3:$O$4986,15,FALSE)))</f>
        <v>1120</v>
      </c>
      <c r="S923" s="277">
        <f>IF(D923="","",IF(J923="リード付け",N923,VLOOKUP(D923,契約台帳!$A$3:$P$4986,16,FALSE)))</f>
        <v>5000</v>
      </c>
      <c r="T923" s="40">
        <v>10</v>
      </c>
      <c r="U923" s="278" t="str">
        <f ca="1">IF(D923="","",IF(OFFSET(D923,-2,0)=D923,"",VLOOKUP(D923,契約台帳!$A$3:$R$4986,18,FALSE)))</f>
        <v/>
      </c>
      <c r="V923" s="269" t="str">
        <f>IF(J923="巻返し",VLOOKUP(F923&amp;K923&amp;M923,製品マスタ!$M$5:$AD$5002,18,FALSE),IF(J923="リード付け","原反コア",IF(J923="スリット",VLOOKUP(F923&amp;K923&amp;Q923,製品マスタ!$N$5:$AD$5002,17,FALSE),"")))</f>
        <v>6ｲﾝﾁSｺｱ</v>
      </c>
      <c r="W923" s="269">
        <f>IF(J923="巻返し",VLOOKUP(F923&amp;K923&amp;M923,製品マスタ!$M$5:$AE$5002,19,FALSE),IF(J923="リード付け","-",IF(J923="スリット",VLOOKUP(F923&amp;K923&amp;Q923,製品マスタ!$N$5:$AE$5002,18,FALSE),"")))</f>
        <v>1125</v>
      </c>
      <c r="X923" s="275">
        <f>IF(D923="","",VLOOKUP(D923,契約台帳!$A$3:$Q$4986,17,FALSE))</f>
        <v>2</v>
      </c>
      <c r="Y923" s="269" t="str">
        <f>IF(D923="","",VLOOKUP(D923,契約台帳!$A$3:$E$4986,5,FALSE))</f>
        <v xml:space="preserve">リンテック㈱        </v>
      </c>
      <c r="Z923" s="357">
        <v>45230</v>
      </c>
      <c r="AA923" s="207" t="str">
        <f>IFERROR(VLOOKUP(F923&amp;K923&amp;M923,製品マスタ!$M$5:$AM$5002,27,FALSE),"")</f>
        <v>原反ケース再利用</v>
      </c>
      <c r="AB923" s="369"/>
      <c r="AC923" s="370"/>
      <c r="AD923" s="332" t="str">
        <f>IF(F923="","",+F923&amp;K923)</f>
        <v>3SNMLBMNGTBF50</v>
      </c>
      <c r="AE923" s="216">
        <f>+M923*N923*O923/1000</f>
        <v>56000</v>
      </c>
      <c r="AF923" s="43">
        <f>IF(AD923="","",VLOOKUP(AD923,原価マスタ!$A$2:$AJ$1693,13,FALSE))</f>
        <v>99</v>
      </c>
      <c r="AG923" s="47">
        <f>IF(AF923="","",+AE923*AF923/100)</f>
        <v>55440</v>
      </c>
      <c r="AH923" s="333"/>
      <c r="AI923" s="333"/>
      <c r="AJ923" s="333"/>
      <c r="AK923" s="333"/>
      <c r="AL923" s="334"/>
      <c r="AM923" s="334"/>
      <c r="AN923" s="334"/>
      <c r="AO923" s="334"/>
      <c r="AP923" s="334"/>
      <c r="AQ923" s="335"/>
      <c r="AR923" s="336"/>
    </row>
    <row r="924" spans="1:44" s="337" customFormat="1" ht="30.95" hidden="1" customHeight="1" x14ac:dyDescent="0.2">
      <c r="A924" s="358"/>
      <c r="B924" s="359"/>
      <c r="C924" s="360"/>
      <c r="D924" s="361"/>
      <c r="E924" s="361"/>
      <c r="F924" s="362"/>
      <c r="G924" s="363"/>
      <c r="H924" s="363"/>
      <c r="I924" s="207"/>
      <c r="J924" s="364"/>
      <c r="K924" s="207"/>
      <c r="L924" s="207"/>
      <c r="M924" s="365"/>
      <c r="N924" s="365"/>
      <c r="O924" s="366"/>
      <c r="P924" s="357"/>
      <c r="Q924" s="367"/>
      <c r="R924" s="278"/>
      <c r="S924" s="278"/>
      <c r="T924" s="368"/>
      <c r="U924" s="278"/>
      <c r="V924" s="363"/>
      <c r="W924" s="363"/>
      <c r="X924" s="363"/>
      <c r="Y924" s="363"/>
      <c r="Z924" s="357"/>
      <c r="AA924" s="207"/>
      <c r="AB924" s="369"/>
      <c r="AC924" s="370"/>
      <c r="AD924" s="332"/>
      <c r="AE924" s="371"/>
      <c r="AF924" s="372"/>
      <c r="AG924" s="366"/>
      <c r="AH924" s="333"/>
      <c r="AI924" s="333"/>
      <c r="AJ924" s="333"/>
      <c r="AK924" s="333"/>
      <c r="AL924" s="334"/>
      <c r="AM924" s="334"/>
      <c r="AN924" s="334"/>
      <c r="AO924" s="334"/>
      <c r="AP924" s="334"/>
      <c r="AQ924" s="335"/>
      <c r="AR924" s="336"/>
    </row>
    <row r="925" spans="1:44" s="233" customFormat="1" ht="30.95" hidden="1" customHeight="1" x14ac:dyDescent="0.2">
      <c r="A925" s="374"/>
      <c r="B925" s="375"/>
      <c r="C925" s="376"/>
      <c r="D925" s="377"/>
      <c r="E925" s="377"/>
      <c r="F925" s="378"/>
      <c r="G925" s="379"/>
      <c r="H925" s="379"/>
      <c r="I925" s="288"/>
      <c r="J925" s="380"/>
      <c r="K925" s="288"/>
      <c r="L925" s="288"/>
      <c r="M925" s="381"/>
      <c r="N925" s="381"/>
      <c r="O925" s="382"/>
      <c r="P925" s="356"/>
      <c r="Q925" s="383"/>
      <c r="R925" s="286"/>
      <c r="S925" s="286"/>
      <c r="T925" s="384"/>
      <c r="U925" s="286"/>
      <c r="V925" s="379"/>
      <c r="W925" s="379"/>
      <c r="X925" s="379"/>
      <c r="Y925" s="379"/>
      <c r="Z925" s="356"/>
      <c r="AA925" s="288"/>
      <c r="AB925" s="385"/>
      <c r="AC925" s="386"/>
      <c r="AD925" s="387"/>
      <c r="AE925" s="388"/>
      <c r="AF925" s="389"/>
      <c r="AG925" s="390">
        <f>SUM(AG863:AG924)</f>
        <v>720382.652</v>
      </c>
      <c r="AH925" s="391"/>
      <c r="AI925" s="391"/>
      <c r="AJ925" s="391"/>
      <c r="AK925" s="391"/>
      <c r="AL925" s="230"/>
      <c r="AM925" s="230"/>
      <c r="AN925" s="230"/>
      <c r="AO925" s="230"/>
      <c r="AP925" s="230"/>
      <c r="AQ925" s="231"/>
      <c r="AR925" s="232"/>
    </row>
    <row r="926" spans="1:44" s="337" customFormat="1" ht="30.95" hidden="1" customHeight="1" x14ac:dyDescent="0.2">
      <c r="A926" s="358"/>
      <c r="B926" s="359"/>
      <c r="C926" s="360"/>
      <c r="D926" s="361"/>
      <c r="E926" s="361"/>
      <c r="F926" s="362"/>
      <c r="G926" s="363"/>
      <c r="H926" s="363"/>
      <c r="I926" s="207"/>
      <c r="J926" s="364"/>
      <c r="K926" s="207"/>
      <c r="L926" s="207"/>
      <c r="M926" s="365"/>
      <c r="N926" s="365"/>
      <c r="O926" s="366"/>
      <c r="P926" s="357"/>
      <c r="Q926" s="367"/>
      <c r="R926" s="278"/>
      <c r="S926" s="278"/>
      <c r="T926" s="368"/>
      <c r="U926" s="278"/>
      <c r="V926" s="363"/>
      <c r="W926" s="363"/>
      <c r="X926" s="363"/>
      <c r="Y926" s="363"/>
      <c r="Z926" s="357"/>
      <c r="AA926" s="207"/>
      <c r="AB926" s="369"/>
      <c r="AC926" s="370"/>
      <c r="AD926" s="332"/>
      <c r="AE926" s="371"/>
      <c r="AF926" s="372"/>
      <c r="AG926" s="366"/>
      <c r="AH926" s="333"/>
      <c r="AI926" s="333"/>
      <c r="AJ926" s="333"/>
      <c r="AK926" s="333"/>
      <c r="AL926" s="334"/>
      <c r="AM926" s="334"/>
      <c r="AN926" s="334"/>
      <c r="AO926" s="334"/>
      <c r="AP926" s="334"/>
      <c r="AQ926" s="335"/>
      <c r="AR926" s="336"/>
    </row>
    <row r="927" spans="1:44" s="337" customFormat="1" ht="30.95" hidden="1" customHeight="1" x14ac:dyDescent="0.2">
      <c r="A927" s="320" t="s">
        <v>637</v>
      </c>
      <c r="B927" s="321" t="s">
        <v>444</v>
      </c>
      <c r="C927" s="360"/>
      <c r="D927" s="398">
        <v>3727608</v>
      </c>
      <c r="E927" s="31">
        <v>4151490</v>
      </c>
      <c r="F927" s="268" t="str">
        <f>IF(D927="","",VLOOKUP(D927,契約台帳!$A$3:$K$4986,6,FALSE)&amp;VLOOKUP(D927,契約台帳!$A$3:$K$4986,7,FALSE)&amp;VLOOKUP(D927,契約台帳!$A$3:$K$4986,8,FALSE)&amp;VLOOKUP(D927,契約台帳!$A$3:$K$4986,9,FALSE)&amp;VLOOKUP(D927,契約台帳!$A$3:$K$4986,11,FALSE))</f>
        <v>3SNMLBMNGTBF</v>
      </c>
      <c r="G927" s="269" t="str">
        <f>IF(D927="","",VLOOKUP(F927,製品マスタ!$G$5:$H$5002,2,FALSE))</f>
        <v>S</v>
      </c>
      <c r="H927" s="269" t="str">
        <f>IF(D927="","",VLOOKUP(F927,製品マスタ!$G$5:$K$5002,5,FALSE))</f>
        <v>MNGTBF</v>
      </c>
      <c r="I927" s="270" t="str">
        <f>IF(D927="","",VLOOKUP(F927,製品マスタ!$G$5:$L$5002,6,FALSE))</f>
        <v>メタルミー　ネーマー　銀艶　Ｂ</v>
      </c>
      <c r="J927" s="32" t="s">
        <v>447</v>
      </c>
      <c r="K927" s="270">
        <f>IF(D927="","",VLOOKUP(D927,契約台帳!$A$3:$L$4986,12,FALSE))</f>
        <v>50</v>
      </c>
      <c r="L927" s="270" t="str">
        <f>IF(D927="","",INDEX(製品マスタ!$Q$5:$Q$5002,MATCH(F927&amp;K927,製品マスタ!$AO$5:$AO$5002,0)))</f>
        <v>T62</v>
      </c>
      <c r="M927" s="39">
        <v>1120</v>
      </c>
      <c r="N927" s="39">
        <v>10000</v>
      </c>
      <c r="O927" s="47">
        <v>3</v>
      </c>
      <c r="P927" s="57"/>
      <c r="Q927" s="276">
        <f>IF(D927="","",IF(J927="リード付け",M927,VLOOKUP(D927,契約台帳!$A$3:$N$4986,14,FALSE)))</f>
        <v>1120</v>
      </c>
      <c r="R927" s="277">
        <f>IF(D927="","",IF(J927="リード付け",M927,VLOOKUP(D927,契約台帳!$A$3:$O$4986,15,FALSE)))</f>
        <v>1120</v>
      </c>
      <c r="S927" s="277">
        <f>IF(D927="","",IF(J927="リード付け",N927,VLOOKUP(D927,契約台帳!$A$3:$P$4986,16,FALSE)))</f>
        <v>5000</v>
      </c>
      <c r="T927" s="40">
        <v>6</v>
      </c>
      <c r="U927" s="278">
        <f ca="1">IF(D927="","",IF(OFFSET(D927,-2,0)=D927,"",VLOOKUP(D927,契約台帳!$A$3:$R$4986,18,FALSE)))</f>
        <v>46</v>
      </c>
      <c r="V927" s="269" t="str">
        <f>IF(J927="巻返し",VLOOKUP(F927&amp;K927&amp;M927,製品マスタ!$M$5:$AD$5002,18,FALSE),IF(J927="リード付け","原反コア",IF(J927="スリット",VLOOKUP(F927&amp;K927&amp;Q927,製品マスタ!$N$5:$AD$5002,17,FALSE),"")))</f>
        <v>6ｲﾝﾁSｺｱ</v>
      </c>
      <c r="W927" s="269">
        <f>IF(J927="巻返し",VLOOKUP(F927&amp;K927&amp;M927,製品マスタ!$M$5:$AE$5002,19,FALSE),IF(J927="リード付け","-",IF(J927="スリット",VLOOKUP(F927&amp;K927&amp;Q927,製品マスタ!$N$5:$AE$5002,18,FALSE),"")))</f>
        <v>1125</v>
      </c>
      <c r="X927" s="275">
        <f>IF(D927="","",VLOOKUP(D927,契約台帳!$A$3:$Q$4986,17,FALSE))</f>
        <v>2</v>
      </c>
      <c r="Y927" s="269" t="str">
        <f>IF(D927="","",VLOOKUP(D927,契約台帳!$A$3:$E$4986,5,FALSE))</f>
        <v xml:space="preserve">リンテック㈱        </v>
      </c>
      <c r="Z927" s="357">
        <v>45231</v>
      </c>
      <c r="AA927" s="207" t="str">
        <f>IFERROR(VLOOKUP(F927&amp;K927&amp;M927,製品マスタ!$M$5:$AM$5002,27,FALSE),"")</f>
        <v>原反ケース再利用</v>
      </c>
      <c r="AB927" s="369"/>
      <c r="AC927" s="370"/>
      <c r="AD927" s="332" t="str">
        <f>IF(F927="","",+F927&amp;K927)</f>
        <v>3SNMLBMNGTBF50</v>
      </c>
      <c r="AE927" s="216">
        <f>+M927*N927*O927/1000</f>
        <v>33600</v>
      </c>
      <c r="AF927" s="43">
        <f>IF(AD927="","",VLOOKUP(AD927,原価マスタ!$A$2:$AJ$1693,13,FALSE))</f>
        <v>99</v>
      </c>
      <c r="AG927" s="47">
        <f>IF(AF927="","",+AE927*AF927/100)</f>
        <v>33264</v>
      </c>
      <c r="AH927" s="333"/>
      <c r="AI927" s="333"/>
      <c r="AJ927" s="333"/>
      <c r="AK927" s="333"/>
      <c r="AL927" s="334"/>
      <c r="AM927" s="334"/>
      <c r="AN927" s="334"/>
      <c r="AO927" s="334"/>
      <c r="AP927" s="334"/>
      <c r="AQ927" s="335"/>
      <c r="AR927" s="336"/>
    </row>
    <row r="928" spans="1:44" s="337" customFormat="1" ht="30.95" hidden="1" customHeight="1" x14ac:dyDescent="0.2">
      <c r="A928" s="358"/>
      <c r="B928" s="359"/>
      <c r="C928" s="360"/>
      <c r="D928" s="361"/>
      <c r="E928" s="361"/>
      <c r="F928" s="362"/>
      <c r="G928" s="363"/>
      <c r="H928" s="363"/>
      <c r="I928" s="207"/>
      <c r="J928" s="364"/>
      <c r="K928" s="207"/>
      <c r="L928" s="207"/>
      <c r="M928" s="365"/>
      <c r="N928" s="365"/>
      <c r="O928" s="366"/>
      <c r="P928" s="357"/>
      <c r="Q928" s="367"/>
      <c r="R928" s="278"/>
      <c r="S928" s="278"/>
      <c r="T928" s="368"/>
      <c r="U928" s="278"/>
      <c r="V928" s="363"/>
      <c r="W928" s="363"/>
      <c r="X928" s="363"/>
      <c r="Y928" s="363"/>
      <c r="Z928" s="357"/>
      <c r="AA928" s="207"/>
      <c r="AB928" s="369"/>
      <c r="AC928" s="370"/>
      <c r="AD928" s="332"/>
      <c r="AE928" s="371"/>
      <c r="AF928" s="372"/>
      <c r="AG928" s="366"/>
      <c r="AH928" s="333"/>
      <c r="AI928" s="333"/>
      <c r="AJ928" s="333"/>
      <c r="AK928" s="333"/>
      <c r="AL928" s="334"/>
      <c r="AM928" s="334"/>
      <c r="AN928" s="334"/>
      <c r="AO928" s="334"/>
      <c r="AP928" s="334"/>
      <c r="AQ928" s="335"/>
      <c r="AR928" s="336"/>
    </row>
    <row r="929" spans="1:44" s="337" customFormat="1" ht="30.95" hidden="1" customHeight="1" x14ac:dyDescent="0.2">
      <c r="A929" s="358" t="s">
        <v>1644</v>
      </c>
      <c r="B929" s="359" t="s">
        <v>1624</v>
      </c>
      <c r="C929" s="360"/>
      <c r="D929" s="361"/>
      <c r="E929" s="361"/>
      <c r="F929" s="362"/>
      <c r="G929" s="363"/>
      <c r="H929" s="363"/>
      <c r="I929" s="207"/>
      <c r="J929" s="364" t="s">
        <v>1632</v>
      </c>
      <c r="K929" s="207"/>
      <c r="L929" s="207"/>
      <c r="M929" s="365"/>
      <c r="N929" s="365"/>
      <c r="O929" s="366"/>
      <c r="P929" s="357"/>
      <c r="Q929" s="367"/>
      <c r="R929" s="278"/>
      <c r="S929" s="278"/>
      <c r="T929" s="368"/>
      <c r="U929" s="278"/>
      <c r="V929" s="363"/>
      <c r="W929" s="363"/>
      <c r="X929" s="363"/>
      <c r="Y929" s="363"/>
      <c r="Z929" s="357"/>
      <c r="AA929" s="207"/>
      <c r="AB929" s="369"/>
      <c r="AC929" s="370"/>
      <c r="AD929" s="332"/>
      <c r="AE929" s="371"/>
      <c r="AF929" s="372"/>
      <c r="AG929" s="366"/>
      <c r="AH929" s="333"/>
      <c r="AI929" s="333"/>
      <c r="AJ929" s="333"/>
      <c r="AK929" s="333"/>
      <c r="AL929" s="334"/>
      <c r="AM929" s="334"/>
      <c r="AN929" s="334"/>
      <c r="AO929" s="334"/>
      <c r="AP929" s="334"/>
      <c r="AQ929" s="335"/>
      <c r="AR929" s="336"/>
    </row>
    <row r="930" spans="1:44" s="337" customFormat="1" ht="30.95" hidden="1" customHeight="1" x14ac:dyDescent="0.2">
      <c r="A930" s="358"/>
      <c r="B930" s="359"/>
      <c r="C930" s="360"/>
      <c r="D930" s="361"/>
      <c r="E930" s="361"/>
      <c r="F930" s="362"/>
      <c r="G930" s="363"/>
      <c r="H930" s="363"/>
      <c r="I930" s="207"/>
      <c r="J930" s="364"/>
      <c r="K930" s="207"/>
      <c r="L930" s="207"/>
      <c r="M930" s="365"/>
      <c r="N930" s="365"/>
      <c r="O930" s="366"/>
      <c r="P930" s="357"/>
      <c r="Q930" s="367"/>
      <c r="R930" s="278"/>
      <c r="S930" s="278"/>
      <c r="T930" s="368"/>
      <c r="U930" s="278"/>
      <c r="V930" s="363"/>
      <c r="W930" s="363"/>
      <c r="X930" s="363"/>
      <c r="Y930" s="363"/>
      <c r="Z930" s="357"/>
      <c r="AA930" s="207"/>
      <c r="AB930" s="369"/>
      <c r="AC930" s="370"/>
      <c r="AD930" s="332"/>
      <c r="AE930" s="371"/>
      <c r="AF930" s="372"/>
      <c r="AG930" s="366"/>
      <c r="AH930" s="333"/>
      <c r="AI930" s="333"/>
      <c r="AJ930" s="333"/>
      <c r="AK930" s="333"/>
      <c r="AL930" s="334"/>
      <c r="AM930" s="334"/>
      <c r="AN930" s="334"/>
      <c r="AO930" s="334"/>
      <c r="AP930" s="334"/>
      <c r="AQ930" s="335"/>
      <c r="AR930" s="336"/>
    </row>
    <row r="931" spans="1:44" s="337" customFormat="1" ht="30.95" hidden="1" customHeight="1" x14ac:dyDescent="0.2">
      <c r="A931" s="358" t="s">
        <v>1645</v>
      </c>
      <c r="B931" s="359" t="s">
        <v>1626</v>
      </c>
      <c r="C931" s="360"/>
      <c r="D931" s="361"/>
      <c r="E931" s="361"/>
      <c r="F931" s="362"/>
      <c r="G931" s="363"/>
      <c r="H931" s="363"/>
      <c r="I931" s="207"/>
      <c r="J931" s="364" t="s">
        <v>1632</v>
      </c>
      <c r="K931" s="207"/>
      <c r="L931" s="207"/>
      <c r="M931" s="365"/>
      <c r="N931" s="365"/>
      <c r="O931" s="366"/>
      <c r="P931" s="357"/>
      <c r="Q931" s="367"/>
      <c r="R931" s="278"/>
      <c r="S931" s="278"/>
      <c r="T931" s="368"/>
      <c r="U931" s="278"/>
      <c r="V931" s="363"/>
      <c r="W931" s="363"/>
      <c r="X931" s="363"/>
      <c r="Y931" s="363"/>
      <c r="Z931" s="357"/>
      <c r="AA931" s="207"/>
      <c r="AB931" s="369"/>
      <c r="AC931" s="370"/>
      <c r="AD931" s="332"/>
      <c r="AE931" s="371"/>
      <c r="AF931" s="372"/>
      <c r="AG931" s="366"/>
      <c r="AH931" s="333"/>
      <c r="AI931" s="333"/>
      <c r="AJ931" s="333"/>
      <c r="AK931" s="333"/>
      <c r="AL931" s="334"/>
      <c r="AM931" s="334"/>
      <c r="AN931" s="334"/>
      <c r="AO931" s="334"/>
      <c r="AP931" s="334"/>
      <c r="AQ931" s="335"/>
      <c r="AR931" s="336"/>
    </row>
    <row r="932" spans="1:44" s="337" customFormat="1" ht="30.95" hidden="1" customHeight="1" x14ac:dyDescent="0.2">
      <c r="A932" s="358"/>
      <c r="B932" s="359"/>
      <c r="C932" s="360"/>
      <c r="D932" s="361"/>
      <c r="E932" s="361"/>
      <c r="F932" s="362"/>
      <c r="G932" s="363"/>
      <c r="H932" s="363"/>
      <c r="I932" s="207"/>
      <c r="J932" s="364"/>
      <c r="K932" s="207"/>
      <c r="L932" s="207"/>
      <c r="M932" s="365"/>
      <c r="N932" s="365"/>
      <c r="O932" s="366"/>
      <c r="P932" s="357"/>
      <c r="Q932" s="367"/>
      <c r="R932" s="278"/>
      <c r="S932" s="278"/>
      <c r="T932" s="368"/>
      <c r="U932" s="278"/>
      <c r="V932" s="363"/>
      <c r="W932" s="363"/>
      <c r="X932" s="363"/>
      <c r="Y932" s="363"/>
      <c r="Z932" s="357"/>
      <c r="AA932" s="207"/>
      <c r="AB932" s="369"/>
      <c r="AC932" s="370"/>
      <c r="AD932" s="332"/>
      <c r="AE932" s="371"/>
      <c r="AF932" s="372"/>
      <c r="AG932" s="366"/>
      <c r="AH932" s="333"/>
      <c r="AI932" s="333"/>
      <c r="AJ932" s="333"/>
      <c r="AK932" s="333"/>
      <c r="AL932" s="334"/>
      <c r="AM932" s="334"/>
      <c r="AN932" s="334"/>
      <c r="AO932" s="334"/>
      <c r="AP932" s="334"/>
      <c r="AQ932" s="335"/>
      <c r="AR932" s="336"/>
    </row>
    <row r="933" spans="1:44" s="337" customFormat="1" ht="30.75" hidden="1" customHeight="1" x14ac:dyDescent="0.2">
      <c r="A933" s="320" t="s">
        <v>638</v>
      </c>
      <c r="B933" s="321" t="s">
        <v>462</v>
      </c>
      <c r="C933" s="322"/>
      <c r="D933" s="279">
        <v>3728961</v>
      </c>
      <c r="E933" s="279">
        <v>4151505</v>
      </c>
      <c r="F933" s="362" t="e">
        <f>IF(D933="","",VLOOKUP(D933,契約台帳!$A$3:$K$4986,6,FALSE)&amp;VLOOKUP(D933,契約台帳!$A$3:$K$4986,7,FALSE)&amp;VLOOKUP(D933,契約台帳!$A$3:$K$4986,8,FALSE)&amp;VLOOKUP(D933,契約台帳!$A$3:$K$4986,9,FALSE)&amp;VLOOKUP(D933,契約台帳!$A$3:$K$4986,11,FALSE))</f>
        <v>#N/A</v>
      </c>
      <c r="G933" s="363" t="s">
        <v>452</v>
      </c>
      <c r="H933" s="363" t="s">
        <v>212</v>
      </c>
      <c r="I933" s="207" t="s">
        <v>1647</v>
      </c>
      <c r="J933" s="373" t="s">
        <v>447</v>
      </c>
      <c r="K933" s="207">
        <v>75</v>
      </c>
      <c r="L933" s="207" t="s">
        <v>215</v>
      </c>
      <c r="M933" s="326">
        <v>1000</v>
      </c>
      <c r="N933" s="326">
        <v>6000</v>
      </c>
      <c r="O933" s="175">
        <v>5</v>
      </c>
      <c r="P933" s="329"/>
      <c r="Q933" s="367">
        <v>1000</v>
      </c>
      <c r="R933" s="278">
        <v>1000</v>
      </c>
      <c r="S933" s="278">
        <v>2000</v>
      </c>
      <c r="T933" s="183">
        <v>15</v>
      </c>
      <c r="U933" s="278">
        <v>19</v>
      </c>
      <c r="V933" s="363" t="s">
        <v>806</v>
      </c>
      <c r="W933" s="363">
        <v>1005</v>
      </c>
      <c r="X933" s="363">
        <v>2</v>
      </c>
      <c r="Y933" s="363" t="s">
        <v>116</v>
      </c>
      <c r="Z933" s="329" t="s">
        <v>1016</v>
      </c>
      <c r="AA933" s="207" t="s">
        <v>1467</v>
      </c>
      <c r="AB933" s="330"/>
      <c r="AC933" s="331"/>
      <c r="AD933" s="332"/>
      <c r="AE933" s="216">
        <f>+M933*N933*O933/1000</f>
        <v>30000</v>
      </c>
      <c r="AF933" s="43" t="str">
        <f>IF(AD933="","",VLOOKUP(AD933,原価マスタ!$A$2:$AJ$1693,13,FALSE))</f>
        <v/>
      </c>
      <c r="AG933" s="47" t="str">
        <f>IF(AF933="","",+AE933*AF933/100)</f>
        <v/>
      </c>
      <c r="AH933" s="333"/>
      <c r="AI933" s="333"/>
      <c r="AJ933" s="333"/>
      <c r="AK933" s="333"/>
      <c r="AL933" s="334"/>
      <c r="AM933" s="334"/>
      <c r="AN933" s="334"/>
      <c r="AO933" s="334"/>
      <c r="AP933" s="334"/>
      <c r="AQ933" s="335"/>
      <c r="AR933" s="336"/>
    </row>
    <row r="934" spans="1:44" s="337" customFormat="1" ht="30.95" hidden="1" customHeight="1" x14ac:dyDescent="0.2">
      <c r="A934" s="358"/>
      <c r="B934" s="359"/>
      <c r="C934" s="360"/>
      <c r="D934" s="361"/>
      <c r="E934" s="361"/>
      <c r="F934" s="362"/>
      <c r="G934" s="363"/>
      <c r="H934" s="363"/>
      <c r="I934" s="207"/>
      <c r="J934" s="364"/>
      <c r="K934" s="207"/>
      <c r="L934" s="207"/>
      <c r="M934" s="365"/>
      <c r="N934" s="365"/>
      <c r="O934" s="366"/>
      <c r="P934" s="357"/>
      <c r="Q934" s="367"/>
      <c r="R934" s="278"/>
      <c r="S934" s="278"/>
      <c r="T934" s="368"/>
      <c r="U934" s="278"/>
      <c r="V934" s="363"/>
      <c r="W934" s="363"/>
      <c r="X934" s="363"/>
      <c r="Y934" s="363"/>
      <c r="Z934" s="357"/>
      <c r="AA934" s="207"/>
      <c r="AB934" s="369"/>
      <c r="AC934" s="370"/>
      <c r="AD934" s="332"/>
      <c r="AE934" s="371"/>
      <c r="AF934" s="372"/>
      <c r="AG934" s="366"/>
      <c r="AH934" s="333"/>
      <c r="AI934" s="333"/>
      <c r="AJ934" s="333"/>
      <c r="AK934" s="333"/>
      <c r="AL934" s="334"/>
      <c r="AM934" s="334"/>
      <c r="AN934" s="334"/>
      <c r="AO934" s="334"/>
      <c r="AP934" s="334"/>
      <c r="AQ934" s="335"/>
      <c r="AR934" s="336"/>
    </row>
    <row r="935" spans="1:44" s="337" customFormat="1" ht="30.95" hidden="1" customHeight="1" x14ac:dyDescent="0.2">
      <c r="A935" s="358"/>
      <c r="B935" s="359"/>
      <c r="C935" s="360"/>
      <c r="D935" s="279">
        <v>3728961</v>
      </c>
      <c r="E935" s="279">
        <v>4151505</v>
      </c>
      <c r="F935" s="362" t="e">
        <f>IF(D935="","",VLOOKUP(D935,契約台帳!$A$3:$K$4986,6,FALSE)&amp;VLOOKUP(D935,契約台帳!$A$3:$K$4986,7,FALSE)&amp;VLOOKUP(D935,契約台帳!$A$3:$K$4986,8,FALSE)&amp;VLOOKUP(D935,契約台帳!$A$3:$K$4986,9,FALSE)&amp;VLOOKUP(D935,契約台帳!$A$3:$K$4986,11,FALSE))</f>
        <v>#N/A</v>
      </c>
      <c r="G935" s="363" t="s">
        <v>452</v>
      </c>
      <c r="H935" s="363" t="s">
        <v>212</v>
      </c>
      <c r="I935" s="207" t="s">
        <v>1647</v>
      </c>
      <c r="J935" s="373" t="s">
        <v>447</v>
      </c>
      <c r="K935" s="207">
        <v>75</v>
      </c>
      <c r="L935" s="207" t="s">
        <v>215</v>
      </c>
      <c r="M935" s="326">
        <v>1000</v>
      </c>
      <c r="N935" s="326">
        <v>4000</v>
      </c>
      <c r="O935" s="175">
        <v>2</v>
      </c>
      <c r="P935" s="329"/>
      <c r="Q935" s="367">
        <v>1000</v>
      </c>
      <c r="R935" s="278">
        <v>1000</v>
      </c>
      <c r="S935" s="278">
        <v>2000</v>
      </c>
      <c r="T935" s="183">
        <v>4</v>
      </c>
      <c r="U935" s="278">
        <v>19</v>
      </c>
      <c r="V935" s="363" t="s">
        <v>806</v>
      </c>
      <c r="W935" s="363">
        <v>1005</v>
      </c>
      <c r="X935" s="363">
        <v>2</v>
      </c>
      <c r="Y935" s="363" t="s">
        <v>116</v>
      </c>
      <c r="Z935" s="357" t="s">
        <v>1016</v>
      </c>
      <c r="AA935" s="207" t="s">
        <v>1467</v>
      </c>
      <c r="AB935" s="369"/>
      <c r="AC935" s="370"/>
      <c r="AD935" s="332"/>
      <c r="AE935" s="371">
        <f>+M935*N935*O935/1000</f>
        <v>8000</v>
      </c>
      <c r="AF935" s="372"/>
      <c r="AG935" s="366"/>
      <c r="AH935" s="333"/>
      <c r="AI935" s="333"/>
      <c r="AJ935" s="333"/>
      <c r="AK935" s="333"/>
      <c r="AL935" s="334"/>
      <c r="AM935" s="334"/>
      <c r="AN935" s="334"/>
      <c r="AO935" s="334"/>
      <c r="AP935" s="334"/>
      <c r="AQ935" s="335"/>
      <c r="AR935" s="336"/>
    </row>
    <row r="936" spans="1:44" s="337" customFormat="1" ht="30.95" hidden="1" customHeight="1" x14ac:dyDescent="0.2">
      <c r="A936" s="358"/>
      <c r="B936" s="359"/>
      <c r="C936" s="360"/>
      <c r="D936" s="361"/>
      <c r="E936" s="361"/>
      <c r="F936" s="362"/>
      <c r="G936" s="363"/>
      <c r="H936" s="363"/>
      <c r="I936" s="207"/>
      <c r="J936" s="364"/>
      <c r="K936" s="207"/>
      <c r="L936" s="207"/>
      <c r="M936" s="365"/>
      <c r="N936" s="365"/>
      <c r="O936" s="366"/>
      <c r="P936" s="357"/>
      <c r="Q936" s="367"/>
      <c r="R936" s="278"/>
      <c r="S936" s="278"/>
      <c r="T936" s="368"/>
      <c r="U936" s="278"/>
      <c r="V936" s="363"/>
      <c r="W936" s="363"/>
      <c r="X936" s="363"/>
      <c r="Y936" s="363"/>
      <c r="Z936" s="357"/>
      <c r="AA936" s="207"/>
      <c r="AB936" s="369"/>
      <c r="AC936" s="370"/>
      <c r="AD936" s="332"/>
      <c r="AE936" s="371"/>
      <c r="AF936" s="372"/>
      <c r="AG936" s="366"/>
      <c r="AH936" s="333"/>
      <c r="AI936" s="333"/>
      <c r="AJ936" s="333"/>
      <c r="AK936" s="333"/>
      <c r="AL936" s="334"/>
      <c r="AM936" s="334"/>
      <c r="AN936" s="334"/>
      <c r="AO936" s="334"/>
      <c r="AP936" s="334"/>
      <c r="AQ936" s="335"/>
      <c r="AR936" s="336"/>
    </row>
    <row r="937" spans="1:44" s="337" customFormat="1" ht="30.95" hidden="1" customHeight="1" x14ac:dyDescent="0.2">
      <c r="A937" s="358" t="s">
        <v>1794</v>
      </c>
      <c r="B937" s="359" t="s">
        <v>1795</v>
      </c>
      <c r="C937" s="360"/>
      <c r="D937" s="31">
        <v>3731354</v>
      </c>
      <c r="E937" s="31">
        <v>4170126</v>
      </c>
      <c r="F937" s="268" t="str">
        <f>IF(D937="","",VLOOKUP(D937,契約台帳!$A$3:$K$4986,6,FALSE)&amp;VLOOKUP(D937,契約台帳!$A$3:$K$4986,7,FALSE)&amp;VLOOKUP(D937,契約台帳!$A$3:$K$4986,8,FALSE)&amp;VLOOKUP(D937,契約台帳!$A$3:$K$4986,9,FALSE)&amp;VLOOKUP(D937,契約台帳!$A$3:$K$4986,11,FALSE))</f>
        <v>3SNMLBMNGTBF</v>
      </c>
      <c r="G937" s="269" t="str">
        <f>IF(D937="","",VLOOKUP(F937,製品マスタ!$G$5:$H$5002,2,FALSE))</f>
        <v>S</v>
      </c>
      <c r="H937" s="269" t="str">
        <f>IF(D937="","",VLOOKUP(F937,製品マスタ!$G$5:$K$5002,5,FALSE))</f>
        <v>MNGTBF</v>
      </c>
      <c r="I937" s="270" t="str">
        <f>IF(D937="","",VLOOKUP(F937,製品マスタ!$G$5:$L$5002,6,FALSE))</f>
        <v>メタルミー　ネーマー　銀艶　Ｂ</v>
      </c>
      <c r="J937" s="32" t="s">
        <v>464</v>
      </c>
      <c r="K937" s="270">
        <f>IF(D937="","",VLOOKUP(D937,契約台帳!$A$3:$L$4986,12,FALSE))</f>
        <v>25</v>
      </c>
      <c r="L937" s="270" t="str">
        <f>IF(D937="","",INDEX(製品マスタ!$Q$5:$Q$5002,MATCH(F937&amp;K937,製品マスタ!$AO$5:$AO$5002,0)))</f>
        <v>T62M</v>
      </c>
      <c r="M937" s="39">
        <v>1125</v>
      </c>
      <c r="N937" s="39">
        <v>12100</v>
      </c>
      <c r="O937" s="47">
        <v>1</v>
      </c>
      <c r="P937" s="213">
        <v>45229</v>
      </c>
      <c r="Q937" s="276">
        <f>IF(D937="","",IF(J937="リード付け",M937,VLOOKUP(D937,契約台帳!$A$3:$N$4986,14,FALSE)))</f>
        <v>1125</v>
      </c>
      <c r="R937" s="277">
        <f>IF(D937="","",IF(J937="リード付け",M937,VLOOKUP(D937,契約台帳!$A$3:$O$4986,15,FALSE)))</f>
        <v>1125</v>
      </c>
      <c r="S937" s="277">
        <f>IF(D937="","",IF(J937="リード付け",N937,VLOOKUP(D937,契約台帳!$A$3:$P$4986,16,FALSE)))</f>
        <v>12100</v>
      </c>
      <c r="T937" s="40">
        <v>1</v>
      </c>
      <c r="U937" s="278">
        <f ca="1">IF(D937="","",IF(OFFSET(D937,-2,0)=D937,"",VLOOKUP(D937,契約台帳!$A$3:$R$4986,18,FALSE)))</f>
        <v>3</v>
      </c>
      <c r="V937" s="269" t="str">
        <f>IF(J937="巻返し",VLOOKUP(F937&amp;K937&amp;M937,製品マスタ!$M$5:$AD$5002,18,FALSE),IF(J937="リード付け","原反コア",IF(J937="スリット",VLOOKUP(F937&amp;K937&amp;Q937,製品マスタ!$N$5:$AD$5002,17,FALSE),"")))</f>
        <v>原反コア</v>
      </c>
      <c r="W937" s="269" t="str">
        <f>IF(J937="巻返し",VLOOKUP(F937&amp;K937&amp;M937,製品マスタ!$M$5:$AE$5002,19,FALSE),IF(J937="リード付け","-",IF(J937="スリット",VLOOKUP(F937&amp;K937&amp;Q937,製品マスタ!$N$5:$AE$5002,18,FALSE),"")))</f>
        <v>-</v>
      </c>
      <c r="X937" s="275">
        <f>IF(D937="","",VLOOKUP(D937,契約台帳!$A$3:$Q$4986,17,FALSE))</f>
        <v>2</v>
      </c>
      <c r="Y937" s="269" t="str">
        <f>IF(D937="","",VLOOKUP(D937,契約台帳!$A$3:$E$4986,5,FALSE))</f>
        <v>リンテック㈱</v>
      </c>
      <c r="Z937" s="357"/>
      <c r="AA937" s="207">
        <f>IFERROR(VLOOKUP(F937&amp;K937&amp;M937,製品マスタ!$M$5:$AM$5002,27,FALSE),"")</f>
        <v>0</v>
      </c>
      <c r="AB937" s="369"/>
      <c r="AC937" s="370"/>
      <c r="AD937" s="332"/>
      <c r="AE937" s="371">
        <f>+M937*N937*O937/1000</f>
        <v>13612.5</v>
      </c>
      <c r="AF937" s="372"/>
      <c r="AG937" s="366"/>
      <c r="AH937" s="333"/>
      <c r="AI937" s="333"/>
      <c r="AJ937" s="333"/>
      <c r="AK937" s="333"/>
      <c r="AL937" s="334"/>
      <c r="AM937" s="334"/>
      <c r="AN937" s="334"/>
      <c r="AO937" s="334"/>
      <c r="AP937" s="334"/>
      <c r="AQ937" s="335"/>
      <c r="AR937" s="336"/>
    </row>
    <row r="938" spans="1:44" s="337" customFormat="1" ht="30.95" hidden="1" customHeight="1" x14ac:dyDescent="0.2">
      <c r="A938" s="358"/>
      <c r="B938" s="359"/>
      <c r="C938" s="360"/>
      <c r="D938" s="361"/>
      <c r="E938" s="361"/>
      <c r="F938" s="362"/>
      <c r="G938" s="363"/>
      <c r="H938" s="363"/>
      <c r="I938" s="207"/>
      <c r="J938" s="364"/>
      <c r="K938" s="207"/>
      <c r="L938" s="207"/>
      <c r="M938" s="365"/>
      <c r="N938" s="365"/>
      <c r="O938" s="366"/>
      <c r="P938" s="350"/>
      <c r="Q938" s="367"/>
      <c r="R938" s="278"/>
      <c r="S938" s="278"/>
      <c r="T938" s="368"/>
      <c r="U938" s="278"/>
      <c r="V938" s="363"/>
      <c r="W938" s="363"/>
      <c r="X938" s="363"/>
      <c r="Y938" s="363"/>
      <c r="Z938" s="357"/>
      <c r="AA938" s="207"/>
      <c r="AB938" s="369"/>
      <c r="AC938" s="370"/>
      <c r="AD938" s="332"/>
      <c r="AE938" s="371"/>
      <c r="AF938" s="372"/>
      <c r="AG938" s="366"/>
      <c r="AH938" s="333"/>
      <c r="AI938" s="333"/>
      <c r="AJ938" s="333"/>
      <c r="AK938" s="333"/>
      <c r="AL938" s="334"/>
      <c r="AM938" s="334"/>
      <c r="AN938" s="334"/>
      <c r="AO938" s="334"/>
      <c r="AP938" s="334"/>
      <c r="AQ938" s="335"/>
      <c r="AR938" s="336"/>
    </row>
    <row r="939" spans="1:44" s="17" customFormat="1" ht="30.95" hidden="1" customHeight="1" x14ac:dyDescent="0.2">
      <c r="A939" s="37"/>
      <c r="B939" s="38"/>
      <c r="C939" s="45"/>
      <c r="D939" s="31">
        <v>3731341</v>
      </c>
      <c r="E939" s="31">
        <v>4170127</v>
      </c>
      <c r="F939" s="268" t="str">
        <f>IF(D939="","",VLOOKUP(D939,契約台帳!$A$3:$K$4986,6,FALSE)&amp;VLOOKUP(D939,契約台帳!$A$3:$K$4986,7,FALSE)&amp;VLOOKUP(D939,契約台帳!$A$3:$K$4986,8,FALSE)&amp;VLOOKUP(D939,契約台帳!$A$3:$K$4986,9,FALSE)&amp;VLOOKUP(D939,契約台帳!$A$3:$K$4986,11,FALSE))</f>
        <v>3SNMLBMTSF</v>
      </c>
      <c r="G939" s="269" t="str">
        <f>IF(D939="","",VLOOKUP(F939,製品マスタ!$G$5:$H$5002,2,FALSE))</f>
        <v>S</v>
      </c>
      <c r="H939" s="269" t="str">
        <f>IF(D939="","",VLOOKUP(F939,製品マスタ!$G$5:$K$5002,5,FALSE))</f>
        <v>MTSF</v>
      </c>
      <c r="I939" s="270" t="str">
        <f>IF(D939="","",VLOOKUP(F939,製品マスタ!$G$5:$L$5002,6,FALSE))</f>
        <v>メタルミー　ＴＳ</v>
      </c>
      <c r="J939" s="32" t="s">
        <v>464</v>
      </c>
      <c r="K939" s="270">
        <f>IF(D939="","",VLOOKUP(D939,契約台帳!$A$3:$L$4986,12,FALSE))</f>
        <v>75</v>
      </c>
      <c r="L939" s="270" t="str">
        <f>IF(D939="","",INDEX(製品マスタ!$Q$5:$Q$5002,MATCH(F939&amp;K939,製品マスタ!$AO$5:$AO$5002,0)))</f>
        <v>T60</v>
      </c>
      <c r="M939" s="39">
        <v>1100</v>
      </c>
      <c r="N939" s="39">
        <v>2000</v>
      </c>
      <c r="O939" s="47">
        <v>1</v>
      </c>
      <c r="P939" s="213">
        <v>45229</v>
      </c>
      <c r="Q939" s="276">
        <f>IF(D939="","",IF(J939="リード付け",M939,VLOOKUP(D939,契約台帳!$A$3:$N$4986,14,FALSE)))</f>
        <v>1100</v>
      </c>
      <c r="R939" s="277">
        <f>IF(D939="","",IF(J939="リード付け",M939,VLOOKUP(D939,契約台帳!$A$3:$O$4986,15,FALSE)))</f>
        <v>1100</v>
      </c>
      <c r="S939" s="277">
        <f>IF(D939="","",IF(J939="リード付け",N939,VLOOKUP(D939,契約台帳!$A$3:$P$4986,16,FALSE)))</f>
        <v>2000</v>
      </c>
      <c r="T939" s="40">
        <v>1</v>
      </c>
      <c r="U939" s="278">
        <f ca="1">IF(D939="","",IF(OFFSET(D939,-2,0)=D939,"",VLOOKUP(D939,契約台帳!$A$3:$R$4986,18,FALSE)))</f>
        <v>2</v>
      </c>
      <c r="V939" s="269" t="str">
        <f>IF(J939="巻返し",VLOOKUP(F939&amp;K939&amp;M939,製品マスタ!$M$5:$AD$5002,18,FALSE),IF(J939="リード付け","原反コア",IF(J939="スリット",VLOOKUP(F939&amp;K939&amp;Q939,製品マスタ!$N$5:$AD$5002,17,FALSE),"")))</f>
        <v>原反コア</v>
      </c>
      <c r="W939" s="269" t="str">
        <f>IF(J939="巻返し",VLOOKUP(F939&amp;K939&amp;M939,製品マスタ!$M$5:$AE$5002,19,FALSE),IF(J939="リード付け","-",IF(J939="スリット",VLOOKUP(F939&amp;K939&amp;Q939,製品マスタ!$N$5:$AE$5002,18,FALSE),"")))</f>
        <v>-</v>
      </c>
      <c r="X939" s="275">
        <f>IF(D939="","",VLOOKUP(D939,契約台帳!$A$3:$Q$4986,17,FALSE))</f>
        <v>2</v>
      </c>
      <c r="Y939" s="269" t="str">
        <f>IF(D939="","",VLOOKUP(D939,契約台帳!$A$3:$E$4986,5,FALSE))</f>
        <v>パナック㈱亀山工場</v>
      </c>
      <c r="Z939" s="57"/>
      <c r="AA939" s="207">
        <f>IFERROR(VLOOKUP(F939&amp;K939&amp;M939,製品マスタ!$M$5:$AM$5002,27,FALSE),"")</f>
        <v>0</v>
      </c>
      <c r="AB939" s="33"/>
      <c r="AC939" s="189"/>
      <c r="AD939" s="54"/>
      <c r="AE939" s="55"/>
      <c r="AF939" s="43"/>
      <c r="AG939" s="47"/>
      <c r="AH939" s="30"/>
      <c r="AI939" s="30"/>
      <c r="AJ939" s="30"/>
      <c r="AK939" s="30"/>
      <c r="AL939" s="13"/>
      <c r="AM939" s="13"/>
      <c r="AN939" s="13"/>
      <c r="AO939" s="13"/>
      <c r="AP939" s="13"/>
      <c r="AQ939" s="14"/>
      <c r="AR939" s="15"/>
    </row>
    <row r="940" spans="1:44" s="337" customFormat="1" ht="30.95" hidden="1" customHeight="1" x14ac:dyDescent="0.2">
      <c r="A940" s="358"/>
      <c r="B940" s="359"/>
      <c r="C940" s="360"/>
      <c r="D940" s="361"/>
      <c r="E940" s="361"/>
      <c r="F940" s="362"/>
      <c r="G940" s="363"/>
      <c r="H940" s="363"/>
      <c r="I940" s="207"/>
      <c r="J940" s="364"/>
      <c r="K940" s="207"/>
      <c r="L940" s="207"/>
      <c r="M940" s="365"/>
      <c r="N940" s="365"/>
      <c r="O940" s="366"/>
      <c r="P940" s="350"/>
      <c r="Q940" s="367"/>
      <c r="R940" s="278"/>
      <c r="S940" s="278"/>
      <c r="T940" s="368"/>
      <c r="U940" s="278"/>
      <c r="V940" s="363"/>
      <c r="W940" s="363"/>
      <c r="X940" s="363"/>
      <c r="Y940" s="363"/>
      <c r="Z940" s="357"/>
      <c r="AA940" s="207"/>
      <c r="AB940" s="369"/>
      <c r="AC940" s="370"/>
      <c r="AD940" s="332"/>
      <c r="AE940" s="371"/>
      <c r="AF940" s="372"/>
      <c r="AG940" s="366"/>
      <c r="AH940" s="333"/>
      <c r="AI940" s="333"/>
      <c r="AJ940" s="333"/>
      <c r="AK940" s="333"/>
      <c r="AL940" s="334"/>
      <c r="AM940" s="334"/>
      <c r="AN940" s="334"/>
      <c r="AO940" s="334"/>
      <c r="AP940" s="334"/>
      <c r="AQ940" s="335"/>
      <c r="AR940" s="336"/>
    </row>
    <row r="941" spans="1:44" s="337" customFormat="1" ht="30.95" hidden="1" customHeight="1" x14ac:dyDescent="0.2">
      <c r="A941" s="358"/>
      <c r="B941" s="359"/>
      <c r="C941" s="360"/>
      <c r="D941" s="31">
        <v>3731340</v>
      </c>
      <c r="E941" s="31">
        <v>4170128</v>
      </c>
      <c r="F941" s="268" t="str">
        <f>IF(D941="","",VLOOKUP(D941,契約台帳!$A$3:$K$4986,6,FALSE)&amp;VLOOKUP(D941,契約台帳!$A$3:$K$4986,7,FALSE)&amp;VLOOKUP(D941,契約台帳!$A$3:$K$4986,8,FALSE)&amp;VLOOKUP(D941,契約台帳!$A$3:$K$4986,9,FALSE)&amp;VLOOKUP(D941,契約台帳!$A$3:$K$4986,11,FALSE))</f>
        <v>3SNMLBMSF</v>
      </c>
      <c r="G941" s="269" t="str">
        <f>IF(D941="","",VLOOKUP(F941,製品マスタ!$G$5:$H$5002,2,FALSE))</f>
        <v>S</v>
      </c>
      <c r="H941" s="269" t="str">
        <f>IF(D941="","",VLOOKUP(F941,製品マスタ!$G$5:$K$5002,5,FALSE))</f>
        <v>MSF</v>
      </c>
      <c r="I941" s="270" t="str">
        <f>IF(D941="","",VLOOKUP(F941,製品マスタ!$G$5:$L$5002,6,FALSE))</f>
        <v>メタルミー　Ｓ</v>
      </c>
      <c r="J941" s="32" t="s">
        <v>464</v>
      </c>
      <c r="K941" s="270">
        <f>IF(D941="","",VLOOKUP(D941,契約台帳!$A$3:$L$4986,12,FALSE))</f>
        <v>25</v>
      </c>
      <c r="L941" s="270" t="str">
        <f>IF(D941="","",INDEX(製品マスタ!$Q$5:$Q$5002,MATCH(F941&amp;K941,製品マスタ!$AO$5:$AO$5002,0)))</f>
        <v>T62M</v>
      </c>
      <c r="M941" s="39">
        <v>1020</v>
      </c>
      <c r="N941" s="39">
        <v>12100</v>
      </c>
      <c r="O941" s="47">
        <v>1</v>
      </c>
      <c r="P941" s="213">
        <v>45229</v>
      </c>
      <c r="Q941" s="276">
        <f>IF(D941="","",IF(J941="リード付け",M941,VLOOKUP(D941,契約台帳!$A$3:$N$4986,14,FALSE)))</f>
        <v>1020</v>
      </c>
      <c r="R941" s="277">
        <f>IF(D941="","",IF(J941="リード付け",M941,VLOOKUP(D941,契約台帳!$A$3:$O$4986,15,FALSE)))</f>
        <v>1020</v>
      </c>
      <c r="S941" s="277">
        <f>IF(D941="","",IF(J941="リード付け",N941,VLOOKUP(D941,契約台帳!$A$3:$P$4986,16,FALSE)))</f>
        <v>12100</v>
      </c>
      <c r="T941" s="40">
        <v>1</v>
      </c>
      <c r="U941" s="278">
        <f ca="1">IF(D941="","",IF(OFFSET(D941,-2,0)=D941,"",VLOOKUP(D941,契約台帳!$A$3:$R$4986,18,FALSE)))</f>
        <v>4</v>
      </c>
      <c r="V941" s="269" t="str">
        <f>IF(J941="巻返し",VLOOKUP(F941&amp;K941&amp;M941,製品マスタ!$M$5:$AD$5002,18,FALSE),IF(J941="リード付け","原反コア",IF(J941="スリット",VLOOKUP(F941&amp;K941&amp;Q941,製品マスタ!$N$5:$AD$5002,17,FALSE),"")))</f>
        <v>原反コア</v>
      </c>
      <c r="W941" s="269" t="str">
        <f>IF(J941="巻返し",VLOOKUP(F941&amp;K941&amp;M941,製品マスタ!$M$5:$AE$5002,19,FALSE),IF(J941="リード付け","-",IF(J941="スリット",VLOOKUP(F941&amp;K941&amp;Q941,製品マスタ!$N$5:$AE$5002,18,FALSE),"")))</f>
        <v>-</v>
      </c>
      <c r="X941" s="275">
        <f>IF(D941="","",VLOOKUP(D941,契約台帳!$A$3:$Q$4986,17,FALSE))</f>
        <v>2</v>
      </c>
      <c r="Y941" s="269" t="str">
        <f>IF(D941="","",VLOOKUP(D941,契約台帳!$A$3:$E$4986,5,FALSE))</f>
        <v>パナック㈱亀山工場</v>
      </c>
      <c r="Z941" s="357"/>
      <c r="AA941" s="207">
        <f>IFERROR(VLOOKUP(F941&amp;K941&amp;M941,製品マスタ!$M$5:$AM$5002,27,FALSE),"")</f>
        <v>0</v>
      </c>
      <c r="AB941" s="369"/>
      <c r="AC941" s="370"/>
      <c r="AD941" s="332"/>
      <c r="AE941" s="371">
        <f>+M941*N941*O941/1000</f>
        <v>12342</v>
      </c>
      <c r="AF941" s="372"/>
      <c r="AG941" s="366"/>
      <c r="AH941" s="333"/>
      <c r="AI941" s="333"/>
      <c r="AJ941" s="333"/>
      <c r="AK941" s="333"/>
      <c r="AL941" s="334"/>
      <c r="AM941" s="334"/>
      <c r="AN941" s="334"/>
      <c r="AO941" s="334"/>
      <c r="AP941" s="334"/>
      <c r="AQ941" s="335"/>
      <c r="AR941" s="336"/>
    </row>
    <row r="942" spans="1:44" s="337" customFormat="1" ht="30.95" hidden="1" customHeight="1" x14ac:dyDescent="0.2">
      <c r="A942" s="358"/>
      <c r="B942" s="359"/>
      <c r="C942" s="360"/>
      <c r="D942" s="361"/>
      <c r="E942" s="361"/>
      <c r="F942" s="362"/>
      <c r="G942" s="363"/>
      <c r="H942" s="363"/>
      <c r="I942" s="207"/>
      <c r="J942" s="364"/>
      <c r="K942" s="207"/>
      <c r="L942" s="207"/>
      <c r="M942" s="365"/>
      <c r="N942" s="365"/>
      <c r="O942" s="366"/>
      <c r="P942" s="350"/>
      <c r="Q942" s="367"/>
      <c r="R942" s="278"/>
      <c r="S942" s="278"/>
      <c r="T942" s="368"/>
      <c r="U942" s="278"/>
      <c r="V942" s="363"/>
      <c r="W942" s="363"/>
      <c r="X942" s="363"/>
      <c r="Y942" s="363"/>
      <c r="Z942" s="357"/>
      <c r="AA942" s="207"/>
      <c r="AB942" s="369"/>
      <c r="AC942" s="370"/>
      <c r="AD942" s="332"/>
      <c r="AE942" s="371"/>
      <c r="AF942" s="372"/>
      <c r="AG942" s="366"/>
      <c r="AH942" s="333"/>
      <c r="AI942" s="333"/>
      <c r="AJ942" s="333"/>
      <c r="AK942" s="333"/>
      <c r="AL942" s="334"/>
      <c r="AM942" s="334"/>
      <c r="AN942" s="334"/>
      <c r="AO942" s="334"/>
      <c r="AP942" s="334"/>
      <c r="AQ942" s="335"/>
      <c r="AR942" s="336"/>
    </row>
    <row r="943" spans="1:44" s="337" customFormat="1" ht="30.95" hidden="1" customHeight="1" x14ac:dyDescent="0.2">
      <c r="A943" s="358"/>
      <c r="B943" s="359"/>
      <c r="C943" s="360"/>
      <c r="D943" s="31">
        <v>3731353</v>
      </c>
      <c r="E943" s="31">
        <v>4170125</v>
      </c>
      <c r="F943" s="268" t="str">
        <f>IF(D943="","",VLOOKUP(D943,契約台帳!$A$3:$K$4986,6,FALSE)&amp;VLOOKUP(D943,契約台帳!$A$3:$K$4986,7,FALSE)&amp;VLOOKUP(D943,契約台帳!$A$3:$K$4986,8,FALSE)&amp;VLOOKUP(D943,契約台帳!$A$3:$K$4986,9,FALSE)&amp;VLOOKUP(D943,契約台帳!$A$3:$K$4986,11,FALSE))</f>
        <v>3SNMLBMNGTBF</v>
      </c>
      <c r="G943" s="269" t="str">
        <f>IF(D943="","",VLOOKUP(F943,製品マスタ!$G$5:$H$5002,2,FALSE))</f>
        <v>S</v>
      </c>
      <c r="H943" s="269" t="str">
        <f>IF(D943="","",VLOOKUP(F943,製品マスタ!$G$5:$K$5002,5,FALSE))</f>
        <v>MNGTBF</v>
      </c>
      <c r="I943" s="270" t="str">
        <f>IF(D943="","",VLOOKUP(F943,製品マスタ!$G$5:$L$5002,6,FALSE))</f>
        <v>メタルミー　ネーマー　銀艶　Ｂ</v>
      </c>
      <c r="J943" s="32" t="s">
        <v>464</v>
      </c>
      <c r="K943" s="270">
        <f>IF(D943="","",VLOOKUP(D943,契約台帳!$A$3:$L$4986,12,FALSE))</f>
        <v>25</v>
      </c>
      <c r="L943" s="270" t="str">
        <f>IF(D943="","",INDEX(製品マスタ!$Q$5:$Q$5002,MATCH(F943&amp;K943,製品マスタ!$AO$5:$AO$5002,0)))</f>
        <v>T62M</v>
      </c>
      <c r="M943" s="39">
        <v>1005</v>
      </c>
      <c r="N943" s="39">
        <v>12100</v>
      </c>
      <c r="O943" s="47">
        <v>6</v>
      </c>
      <c r="P943" s="213">
        <v>45229</v>
      </c>
      <c r="Q943" s="276">
        <f>IF(D943="","",IF(J943="リード付け",M943,VLOOKUP(D943,契約台帳!$A$3:$N$4986,14,FALSE)))</f>
        <v>1005</v>
      </c>
      <c r="R943" s="277">
        <f>IF(D943="","",IF(J943="リード付け",M943,VLOOKUP(D943,契約台帳!$A$3:$O$4986,15,FALSE)))</f>
        <v>1005</v>
      </c>
      <c r="S943" s="277">
        <f>IF(D943="","",IF(J943="リード付け",N943,VLOOKUP(D943,契約台帳!$A$3:$P$4986,16,FALSE)))</f>
        <v>12100</v>
      </c>
      <c r="T943" s="40">
        <v>6</v>
      </c>
      <c r="U943" s="278">
        <f ca="1">IF(D943="","",IF(OFFSET(D943,-2,0)=D943,"",VLOOKUP(D943,契約台帳!$A$3:$R$4986,18,FALSE)))</f>
        <v>18</v>
      </c>
      <c r="V943" s="269" t="str">
        <f>IF(J943="巻返し",VLOOKUP(F943&amp;K943&amp;M943,製品マスタ!$M$5:$AD$5002,18,FALSE),IF(J943="リード付け","原反コア",IF(J943="スリット",VLOOKUP(F943&amp;K943&amp;Q943,製品マスタ!$N$5:$AD$5002,17,FALSE),"")))</f>
        <v>原反コア</v>
      </c>
      <c r="W943" s="269" t="str">
        <f>IF(J943="巻返し",VLOOKUP(F943&amp;K943&amp;M943,製品マスタ!$M$5:$AE$5002,19,FALSE),IF(J943="リード付け","-",IF(J943="スリット",VLOOKUP(F943&amp;K943&amp;Q943,製品マスタ!$N$5:$AE$5002,18,FALSE),"")))</f>
        <v>-</v>
      </c>
      <c r="X943" s="275">
        <f>IF(D943="","",VLOOKUP(D943,契約台帳!$A$3:$Q$4986,17,FALSE))</f>
        <v>2</v>
      </c>
      <c r="Y943" s="269" t="str">
        <f>IF(D943="","",VLOOKUP(D943,契約台帳!$A$3:$E$4986,5,FALSE))</f>
        <v>リンテック㈱</v>
      </c>
      <c r="Z943" s="357"/>
      <c r="AA943" s="207">
        <f>IFERROR(VLOOKUP(F943&amp;K943&amp;M943,製品マスタ!$M$5:$AM$5002,27,FALSE),"")</f>
        <v>0</v>
      </c>
      <c r="AB943" s="369"/>
      <c r="AC943" s="370"/>
      <c r="AD943" s="332"/>
      <c r="AE943" s="371">
        <f>+M943*N943*O943/1000</f>
        <v>72963</v>
      </c>
      <c r="AF943" s="372"/>
      <c r="AG943" s="366"/>
      <c r="AH943" s="333"/>
      <c r="AI943" s="333"/>
      <c r="AJ943" s="333"/>
      <c r="AK943" s="333"/>
      <c r="AL943" s="334"/>
      <c r="AM943" s="334"/>
      <c r="AN943" s="334"/>
      <c r="AO943" s="334"/>
      <c r="AP943" s="334"/>
      <c r="AQ943" s="335"/>
      <c r="AR943" s="336"/>
    </row>
    <row r="944" spans="1:44" s="337" customFormat="1" ht="30.95" hidden="1" customHeight="1" x14ac:dyDescent="0.2">
      <c r="A944" s="358"/>
      <c r="B944" s="359"/>
      <c r="C944" s="360"/>
      <c r="D944" s="361"/>
      <c r="E944" s="361"/>
      <c r="F944" s="362"/>
      <c r="G944" s="363"/>
      <c r="H944" s="363"/>
      <c r="I944" s="207"/>
      <c r="J944" s="364"/>
      <c r="K944" s="207"/>
      <c r="L944" s="207"/>
      <c r="M944" s="365"/>
      <c r="N944" s="365"/>
      <c r="O944" s="366"/>
      <c r="P944" s="357"/>
      <c r="Q944" s="367"/>
      <c r="R944" s="278"/>
      <c r="S944" s="278"/>
      <c r="T944" s="368"/>
      <c r="U944" s="278"/>
      <c r="V944" s="363"/>
      <c r="W944" s="363"/>
      <c r="X944" s="363"/>
      <c r="Y944" s="363"/>
      <c r="Z944" s="357"/>
      <c r="AA944" s="207"/>
      <c r="AB944" s="369"/>
      <c r="AC944" s="370"/>
      <c r="AD944" s="332"/>
      <c r="AE944" s="371"/>
      <c r="AF944" s="372"/>
      <c r="AG944" s="366"/>
      <c r="AH944" s="333"/>
      <c r="AI944" s="333"/>
      <c r="AJ944" s="333"/>
      <c r="AK944" s="333"/>
      <c r="AL944" s="334"/>
      <c r="AM944" s="334"/>
      <c r="AN944" s="334"/>
      <c r="AO944" s="334"/>
      <c r="AP944" s="334"/>
      <c r="AQ944" s="335"/>
      <c r="AR944" s="336"/>
    </row>
    <row r="945" spans="1:44" s="337" customFormat="1" ht="30.95" hidden="1" customHeight="1" x14ac:dyDescent="0.2">
      <c r="A945" s="358"/>
      <c r="B945" s="359"/>
      <c r="C945" s="360"/>
      <c r="D945" s="31">
        <v>3731357</v>
      </c>
      <c r="E945" s="31">
        <v>4170129</v>
      </c>
      <c r="F945" s="268" t="str">
        <f>IF(D945="","",VLOOKUP(D945,契約台帳!$A$3:$K$4986,6,FALSE)&amp;VLOOKUP(D945,契約台帳!$A$3:$K$4986,7,FALSE)&amp;VLOOKUP(D945,契約台帳!$A$3:$K$4986,8,FALSE)&amp;VLOOKUP(D945,契約台帳!$A$3:$K$4986,9,FALSE)&amp;VLOOKUP(D945,契約台帳!$A$3:$K$4986,11,FALSE))</f>
        <v>3SNMLBMNNGKBF</v>
      </c>
      <c r="G945" s="269" t="str">
        <f>IF(D945="","",VLOOKUP(F945,製品マスタ!$G$5:$H$5002,2,FALSE))</f>
        <v>S</v>
      </c>
      <c r="H945" s="269" t="str">
        <f>IF(D945="","",VLOOKUP(F945,製品マスタ!$G$5:$K$5002,5,FALSE))</f>
        <v>MNNGKBF</v>
      </c>
      <c r="I945" s="270" t="str">
        <f>IF(D945="","",VLOOKUP(F945,製品マスタ!$G$5:$L$5002,6,FALSE))</f>
        <v>メタルミー　ニューネーマー銀消　Ｂ</v>
      </c>
      <c r="J945" s="32" t="s">
        <v>464</v>
      </c>
      <c r="K945" s="270">
        <f>IF(D945="","",VLOOKUP(D945,契約台帳!$A$3:$L$4986,12,FALSE))</f>
        <v>25</v>
      </c>
      <c r="L945" s="270" t="str">
        <f>IF(D945="","",INDEX(製品マスタ!$Q$5:$Q$5002,MATCH(F945&amp;K945,製品マスタ!$AO$5:$AO$5002,0)))</f>
        <v>X44C</v>
      </c>
      <c r="M945" s="39">
        <v>1005</v>
      </c>
      <c r="N945" s="39">
        <v>8000</v>
      </c>
      <c r="O945" s="47">
        <v>1</v>
      </c>
      <c r="P945" s="213">
        <v>45229</v>
      </c>
      <c r="Q945" s="276">
        <f>IF(D945="","",IF(J945="リード付け",M945,VLOOKUP(D945,契約台帳!$A$3:$N$4986,14,FALSE)))</f>
        <v>1005</v>
      </c>
      <c r="R945" s="277">
        <f>IF(D945="","",IF(J945="リード付け",M945,VLOOKUP(D945,契約台帳!$A$3:$O$4986,15,FALSE)))</f>
        <v>1005</v>
      </c>
      <c r="S945" s="277">
        <f>IF(D945="","",IF(J945="リード付け",N945,VLOOKUP(D945,契約台帳!$A$3:$P$4986,16,FALSE)))</f>
        <v>8000</v>
      </c>
      <c r="T945" s="40">
        <v>1</v>
      </c>
      <c r="U945" s="278">
        <f ca="1">IF(D945="","",IF(OFFSET(D945,-2,0)=D945,"",VLOOKUP(D945,契約台帳!$A$3:$R$4986,18,FALSE)))</f>
        <v>2</v>
      </c>
      <c r="V945" s="269" t="str">
        <f>IF(J945="巻返し",VLOOKUP(F945&amp;K945&amp;M945,製品マスタ!$M$5:$AD$5002,18,FALSE),IF(J945="リード付け","原反コア",IF(J945="スリット",VLOOKUP(F945&amp;K945&amp;Q945,製品マスタ!$N$5:$AD$5002,17,FALSE),"")))</f>
        <v>原反コア</v>
      </c>
      <c r="W945" s="269" t="str">
        <f>IF(J945="巻返し",VLOOKUP(F945&amp;K945&amp;M945,製品マスタ!$M$5:$AE$5002,19,FALSE),IF(J945="リード付け","-",IF(J945="スリット",VLOOKUP(F945&amp;K945&amp;Q945,製品マスタ!$N$5:$AE$5002,18,FALSE),"")))</f>
        <v>-</v>
      </c>
      <c r="X945" s="275">
        <f>IF(D945="","",VLOOKUP(D945,契約台帳!$A$3:$Q$4986,17,FALSE))</f>
        <v>2</v>
      </c>
      <c r="Y945" s="269" t="str">
        <f>IF(D945="","",VLOOKUP(D945,契約台帳!$A$3:$E$4986,5,FALSE))</f>
        <v>リンテック㈱</v>
      </c>
      <c r="Z945" s="357"/>
      <c r="AA945" s="207">
        <f>IFERROR(VLOOKUP(F945&amp;K945&amp;M945,製品マスタ!$M$5:$AM$5002,27,FALSE),"")</f>
        <v>0</v>
      </c>
      <c r="AB945" s="369"/>
      <c r="AC945" s="370"/>
      <c r="AD945" s="332"/>
      <c r="AE945" s="371">
        <f>+M945*N945*O945/1000</f>
        <v>8040</v>
      </c>
      <c r="AF945" s="372"/>
      <c r="AG945" s="366"/>
      <c r="AH945" s="333"/>
      <c r="AI945" s="333"/>
      <c r="AJ945" s="333"/>
      <c r="AK945" s="333"/>
      <c r="AL945" s="334"/>
      <c r="AM945" s="334"/>
      <c r="AN945" s="334"/>
      <c r="AO945" s="334"/>
      <c r="AP945" s="334"/>
      <c r="AQ945" s="335"/>
      <c r="AR945" s="336"/>
    </row>
    <row r="946" spans="1:44" s="337" customFormat="1" ht="30.95" hidden="1" customHeight="1" x14ac:dyDescent="0.2">
      <c r="A946" s="358"/>
      <c r="B946" s="359"/>
      <c r="C946" s="360"/>
      <c r="D946" s="361"/>
      <c r="E946" s="361"/>
      <c r="F946" s="362"/>
      <c r="G946" s="363"/>
      <c r="H946" s="363"/>
      <c r="I946" s="207"/>
      <c r="J946" s="364"/>
      <c r="K946" s="207"/>
      <c r="L946" s="207"/>
      <c r="M946" s="365"/>
      <c r="N946" s="365"/>
      <c r="O946" s="366"/>
      <c r="P946" s="357"/>
      <c r="Q946" s="367"/>
      <c r="R946" s="278"/>
      <c r="S946" s="278"/>
      <c r="T946" s="368"/>
      <c r="U946" s="278"/>
      <c r="V946" s="363"/>
      <c r="W946" s="363"/>
      <c r="X946" s="363"/>
      <c r="Y946" s="363"/>
      <c r="Z946" s="357"/>
      <c r="AA946" s="207"/>
      <c r="AB946" s="369"/>
      <c r="AC946" s="370"/>
      <c r="AD946" s="332"/>
      <c r="AE946" s="371"/>
      <c r="AF946" s="372"/>
      <c r="AG946" s="366"/>
      <c r="AH946" s="333"/>
      <c r="AI946" s="333"/>
      <c r="AJ946" s="333"/>
      <c r="AK946" s="333"/>
      <c r="AL946" s="334"/>
      <c r="AM946" s="334"/>
      <c r="AN946" s="334"/>
      <c r="AO946" s="334"/>
      <c r="AP946" s="334"/>
      <c r="AQ946" s="335"/>
      <c r="AR946" s="336"/>
    </row>
    <row r="947" spans="1:44" s="337" customFormat="1" ht="30.95" hidden="1" customHeight="1" x14ac:dyDescent="0.2">
      <c r="A947" s="358" t="s">
        <v>640</v>
      </c>
      <c r="B947" s="359" t="s">
        <v>442</v>
      </c>
      <c r="C947" s="360"/>
      <c r="D947" s="361"/>
      <c r="E947" s="361"/>
      <c r="F947" s="362"/>
      <c r="G947" s="363"/>
      <c r="H947" s="363"/>
      <c r="I947" s="207"/>
      <c r="J947" s="364"/>
      <c r="K947" s="207"/>
      <c r="L947" s="207"/>
      <c r="M947" s="365"/>
      <c r="N947" s="365"/>
      <c r="O947" s="366"/>
      <c r="P947" s="357"/>
      <c r="Q947" s="367"/>
      <c r="R947" s="278"/>
      <c r="S947" s="278"/>
      <c r="T947" s="368"/>
      <c r="U947" s="278"/>
      <c r="V947" s="363"/>
      <c r="W947" s="363"/>
      <c r="X947" s="363"/>
      <c r="Y947" s="363"/>
      <c r="Z947" s="357"/>
      <c r="AA947" s="207"/>
      <c r="AB947" s="369"/>
      <c r="AC947" s="370"/>
      <c r="AD947" s="332"/>
      <c r="AE947" s="371"/>
      <c r="AF947" s="372"/>
      <c r="AG947" s="366"/>
      <c r="AH947" s="333"/>
      <c r="AI947" s="333"/>
      <c r="AJ947" s="333"/>
      <c r="AK947" s="333"/>
      <c r="AL947" s="334"/>
      <c r="AM947" s="334"/>
      <c r="AN947" s="334"/>
      <c r="AO947" s="334"/>
      <c r="AP947" s="334"/>
      <c r="AQ947" s="335"/>
      <c r="AR947" s="336"/>
    </row>
    <row r="948" spans="1:44" s="337" customFormat="1" ht="30.95" hidden="1" customHeight="1" x14ac:dyDescent="0.2">
      <c r="A948" s="358"/>
      <c r="B948" s="359"/>
      <c r="C948" s="360"/>
      <c r="D948" s="361"/>
      <c r="E948" s="361"/>
      <c r="F948" s="362"/>
      <c r="G948" s="363"/>
      <c r="H948" s="363"/>
      <c r="I948" s="207"/>
      <c r="J948" s="364"/>
      <c r="K948" s="207"/>
      <c r="L948" s="207"/>
      <c r="M948" s="365"/>
      <c r="N948" s="365"/>
      <c r="O948" s="366"/>
      <c r="P948" s="357"/>
      <c r="Q948" s="367"/>
      <c r="R948" s="278"/>
      <c r="S948" s="278"/>
      <c r="T948" s="368"/>
      <c r="U948" s="278"/>
      <c r="V948" s="363"/>
      <c r="W948" s="363"/>
      <c r="X948" s="363"/>
      <c r="Y948" s="363"/>
      <c r="Z948" s="357"/>
      <c r="AA948" s="207"/>
      <c r="AB948" s="369"/>
      <c r="AC948" s="370"/>
      <c r="AD948" s="332"/>
      <c r="AE948" s="371"/>
      <c r="AF948" s="372"/>
      <c r="AG948" s="366"/>
      <c r="AH948" s="333"/>
      <c r="AI948" s="333"/>
      <c r="AJ948" s="333"/>
      <c r="AK948" s="333"/>
      <c r="AL948" s="334"/>
      <c r="AM948" s="334"/>
      <c r="AN948" s="334"/>
      <c r="AO948" s="334"/>
      <c r="AP948" s="334"/>
      <c r="AQ948" s="335"/>
      <c r="AR948" s="336"/>
    </row>
    <row r="949" spans="1:44" s="17" customFormat="1" ht="30.95" hidden="1" customHeight="1" x14ac:dyDescent="0.2">
      <c r="A949" s="37" t="s">
        <v>1745</v>
      </c>
      <c r="B949" s="38" t="s">
        <v>1746</v>
      </c>
      <c r="C949" s="45"/>
      <c r="D949" s="31"/>
      <c r="E949" s="300"/>
      <c r="F949" s="268"/>
      <c r="G949" s="269"/>
      <c r="H949" s="269"/>
      <c r="I949" s="270"/>
      <c r="J949" s="32"/>
      <c r="K949" s="270"/>
      <c r="L949" s="270"/>
      <c r="M949" s="39"/>
      <c r="N949" s="39"/>
      <c r="O949" s="47"/>
      <c r="P949" s="57"/>
      <c r="Q949" s="276"/>
      <c r="R949" s="277"/>
      <c r="S949" s="277"/>
      <c r="T949" s="40"/>
      <c r="U949" s="278"/>
      <c r="V949" s="269"/>
      <c r="W949" s="269"/>
      <c r="X949" s="275"/>
      <c r="Y949" s="269"/>
      <c r="Z949" s="57"/>
      <c r="AA949" s="207"/>
      <c r="AB949" s="33"/>
      <c r="AC949" s="189"/>
      <c r="AD949" s="54"/>
      <c r="AE949" s="55"/>
      <c r="AF949" s="43"/>
      <c r="AG949" s="47"/>
      <c r="AH949" s="30"/>
      <c r="AI949" s="30"/>
      <c r="AJ949" s="30"/>
      <c r="AK949" s="30"/>
      <c r="AL949" s="13"/>
      <c r="AM949" s="13"/>
      <c r="AN949" s="13"/>
      <c r="AO949" s="13"/>
      <c r="AP949" s="13"/>
      <c r="AQ949" s="14"/>
      <c r="AR949" s="15"/>
    </row>
    <row r="950" spans="1:44" s="337" customFormat="1" ht="30.95" hidden="1" customHeight="1" x14ac:dyDescent="0.2">
      <c r="A950" s="358"/>
      <c r="B950" s="359"/>
      <c r="C950" s="360"/>
      <c r="D950" s="361"/>
      <c r="E950" s="361"/>
      <c r="F950" s="362"/>
      <c r="G950" s="363"/>
      <c r="H950" s="363"/>
      <c r="I950" s="207"/>
      <c r="J950" s="364"/>
      <c r="K950" s="207"/>
      <c r="L950" s="207"/>
      <c r="M950" s="365"/>
      <c r="N950" s="365"/>
      <c r="O950" s="366"/>
      <c r="P950" s="357"/>
      <c r="Q950" s="367"/>
      <c r="R950" s="278"/>
      <c r="S950" s="278"/>
      <c r="T950" s="368"/>
      <c r="U950" s="278"/>
      <c r="V950" s="363"/>
      <c r="W950" s="363"/>
      <c r="X950" s="363"/>
      <c r="Y950" s="363"/>
      <c r="Z950" s="357"/>
      <c r="AA950" s="207"/>
      <c r="AB950" s="369"/>
      <c r="AC950" s="370"/>
      <c r="AD950" s="332"/>
      <c r="AE950" s="371"/>
      <c r="AF950" s="372"/>
      <c r="AG950" s="366"/>
      <c r="AH950" s="333"/>
      <c r="AI950" s="333"/>
      <c r="AJ950" s="333"/>
      <c r="AK950" s="333"/>
      <c r="AL950" s="334"/>
      <c r="AM950" s="334"/>
      <c r="AN950" s="334"/>
      <c r="AO950" s="334"/>
      <c r="AP950" s="334"/>
      <c r="AQ950" s="335"/>
      <c r="AR950" s="336"/>
    </row>
    <row r="951" spans="1:44" s="337" customFormat="1" ht="30.95" hidden="1" customHeight="1" x14ac:dyDescent="0.2">
      <c r="A951" s="358" t="s">
        <v>1747</v>
      </c>
      <c r="B951" s="359" t="s">
        <v>1750</v>
      </c>
      <c r="C951" s="360"/>
      <c r="D951" s="361"/>
      <c r="E951" s="361"/>
      <c r="F951" s="362"/>
      <c r="G951" s="363"/>
      <c r="H951" s="363"/>
      <c r="I951" s="207"/>
      <c r="J951" s="364" t="s">
        <v>1755</v>
      </c>
      <c r="K951" s="207"/>
      <c r="L951" s="207"/>
      <c r="M951" s="365"/>
      <c r="N951" s="365"/>
      <c r="O951" s="366"/>
      <c r="P951" s="357"/>
      <c r="Q951" s="367"/>
      <c r="R951" s="278"/>
      <c r="S951" s="278"/>
      <c r="T951" s="368"/>
      <c r="U951" s="278"/>
      <c r="V951" s="363"/>
      <c r="W951" s="363"/>
      <c r="X951" s="363"/>
      <c r="Y951" s="363"/>
      <c r="Z951" s="357"/>
      <c r="AA951" s="207"/>
      <c r="AB951" s="369"/>
      <c r="AC951" s="370"/>
      <c r="AD951" s="332"/>
      <c r="AE951" s="371"/>
      <c r="AF951" s="372"/>
      <c r="AG951" s="366"/>
      <c r="AH951" s="333"/>
      <c r="AI951" s="333"/>
      <c r="AJ951" s="333"/>
      <c r="AK951" s="333"/>
      <c r="AL951" s="334"/>
      <c r="AM951" s="334"/>
      <c r="AN951" s="334"/>
      <c r="AO951" s="334"/>
      <c r="AP951" s="334"/>
      <c r="AQ951" s="335"/>
      <c r="AR951" s="336"/>
    </row>
    <row r="952" spans="1:44" s="337" customFormat="1" ht="30.95" hidden="1" customHeight="1" x14ac:dyDescent="0.2">
      <c r="A952" s="358"/>
      <c r="B952" s="359"/>
      <c r="C952" s="360"/>
      <c r="D952" s="361"/>
      <c r="E952" s="361"/>
      <c r="F952" s="362"/>
      <c r="G952" s="363"/>
      <c r="H952" s="363"/>
      <c r="I952" s="207"/>
      <c r="J952" s="364"/>
      <c r="K952" s="207"/>
      <c r="L952" s="207"/>
      <c r="M952" s="365"/>
      <c r="N952" s="365"/>
      <c r="O952" s="366"/>
      <c r="P952" s="357"/>
      <c r="Q952" s="367"/>
      <c r="R952" s="278"/>
      <c r="S952" s="278"/>
      <c r="T952" s="368"/>
      <c r="U952" s="278"/>
      <c r="V952" s="363"/>
      <c r="W952" s="363"/>
      <c r="X952" s="363"/>
      <c r="Y952" s="363"/>
      <c r="Z952" s="357"/>
      <c r="AA952" s="207"/>
      <c r="AB952" s="369"/>
      <c r="AC952" s="370"/>
      <c r="AD952" s="332"/>
      <c r="AE952" s="371"/>
      <c r="AF952" s="372"/>
      <c r="AG952" s="366"/>
      <c r="AH952" s="333"/>
      <c r="AI952" s="333"/>
      <c r="AJ952" s="333"/>
      <c r="AK952" s="333"/>
      <c r="AL952" s="334"/>
      <c r="AM952" s="334"/>
      <c r="AN952" s="334"/>
      <c r="AO952" s="334"/>
      <c r="AP952" s="334"/>
      <c r="AQ952" s="335"/>
      <c r="AR952" s="336"/>
    </row>
    <row r="953" spans="1:44" s="337" customFormat="1" ht="30.95" hidden="1" customHeight="1" x14ac:dyDescent="0.2">
      <c r="A953" s="358" t="s">
        <v>1748</v>
      </c>
      <c r="B953" s="359" t="s">
        <v>1751</v>
      </c>
      <c r="C953" s="360"/>
      <c r="D953" s="361"/>
      <c r="E953" s="361"/>
      <c r="F953" s="362"/>
      <c r="G953" s="363"/>
      <c r="H953" s="363"/>
      <c r="I953" s="207"/>
      <c r="J953" s="364" t="s">
        <v>1755</v>
      </c>
      <c r="K953" s="207"/>
      <c r="L953" s="207"/>
      <c r="M953" s="365"/>
      <c r="N953" s="365"/>
      <c r="O953" s="366"/>
      <c r="P953" s="357"/>
      <c r="Q953" s="367"/>
      <c r="R953" s="278"/>
      <c r="S953" s="278"/>
      <c r="T953" s="368"/>
      <c r="U953" s="278"/>
      <c r="V953" s="363"/>
      <c r="W953" s="363"/>
      <c r="X953" s="363"/>
      <c r="Y953" s="363"/>
      <c r="Z953" s="357"/>
      <c r="AA953" s="207"/>
      <c r="AB953" s="369"/>
      <c r="AC953" s="370"/>
      <c r="AD953" s="332"/>
      <c r="AE953" s="371"/>
      <c r="AF953" s="372"/>
      <c r="AG953" s="366"/>
      <c r="AH953" s="333"/>
      <c r="AI953" s="333"/>
      <c r="AJ953" s="333"/>
      <c r="AK953" s="333"/>
      <c r="AL953" s="334"/>
      <c r="AM953" s="334"/>
      <c r="AN953" s="334"/>
      <c r="AO953" s="334"/>
      <c r="AP953" s="334"/>
      <c r="AQ953" s="335"/>
      <c r="AR953" s="336"/>
    </row>
    <row r="954" spans="1:44" s="337" customFormat="1" ht="30.95" hidden="1" customHeight="1" x14ac:dyDescent="0.2">
      <c r="A954" s="358"/>
      <c r="B954" s="359"/>
      <c r="C954" s="360"/>
      <c r="D954" s="361"/>
      <c r="E954" s="361"/>
      <c r="F954" s="362"/>
      <c r="G954" s="363"/>
      <c r="H954" s="363"/>
      <c r="I954" s="207"/>
      <c r="J954" s="364"/>
      <c r="K954" s="207"/>
      <c r="L954" s="207"/>
      <c r="M954" s="365"/>
      <c r="N954" s="365"/>
      <c r="O954" s="366"/>
      <c r="P954" s="357"/>
      <c r="Q954" s="367"/>
      <c r="R954" s="278"/>
      <c r="S954" s="278"/>
      <c r="T954" s="368"/>
      <c r="U954" s="278"/>
      <c r="V954" s="363"/>
      <c r="W954" s="363"/>
      <c r="X954" s="363"/>
      <c r="Y954" s="363"/>
      <c r="Z954" s="357"/>
      <c r="AA954" s="207"/>
      <c r="AB954" s="369"/>
      <c r="AC954" s="370"/>
      <c r="AD954" s="332"/>
      <c r="AE954" s="371"/>
      <c r="AF954" s="372"/>
      <c r="AG954" s="366"/>
      <c r="AH954" s="333"/>
      <c r="AI954" s="333"/>
      <c r="AJ954" s="333"/>
      <c r="AK954" s="333"/>
      <c r="AL954" s="334"/>
      <c r="AM954" s="334"/>
      <c r="AN954" s="334"/>
      <c r="AO954" s="334"/>
      <c r="AP954" s="334"/>
      <c r="AQ954" s="335"/>
      <c r="AR954" s="336"/>
    </row>
    <row r="955" spans="1:44" s="337" customFormat="1" ht="30.95" hidden="1" customHeight="1" x14ac:dyDescent="0.2">
      <c r="A955" s="358" t="s">
        <v>1749</v>
      </c>
      <c r="B955" s="359" t="s">
        <v>1752</v>
      </c>
      <c r="C955" s="360"/>
      <c r="D955" s="361"/>
      <c r="E955" s="361"/>
      <c r="F955" s="362"/>
      <c r="G955" s="363"/>
      <c r="H955" s="363"/>
      <c r="I955" s="207"/>
      <c r="J955" s="364" t="s">
        <v>1755</v>
      </c>
      <c r="K955" s="207"/>
      <c r="L955" s="207"/>
      <c r="M955" s="365"/>
      <c r="N955" s="365"/>
      <c r="O955" s="366"/>
      <c r="P955" s="357"/>
      <c r="Q955" s="367"/>
      <c r="R955" s="278"/>
      <c r="S955" s="278"/>
      <c r="T955" s="368"/>
      <c r="U955" s="278"/>
      <c r="V955" s="363"/>
      <c r="W955" s="363"/>
      <c r="X955" s="363"/>
      <c r="Y955" s="363"/>
      <c r="Z955" s="357"/>
      <c r="AA955" s="207"/>
      <c r="AB955" s="369"/>
      <c r="AC955" s="370"/>
      <c r="AD955" s="332"/>
      <c r="AE955" s="371"/>
      <c r="AF955" s="372"/>
      <c r="AG955" s="366"/>
      <c r="AH955" s="333"/>
      <c r="AI955" s="333"/>
      <c r="AJ955" s="333"/>
      <c r="AK955" s="333"/>
      <c r="AL955" s="334"/>
      <c r="AM955" s="334"/>
      <c r="AN955" s="334"/>
      <c r="AO955" s="334"/>
      <c r="AP955" s="334"/>
      <c r="AQ955" s="335"/>
      <c r="AR955" s="336"/>
    </row>
    <row r="956" spans="1:44" s="337" customFormat="1" ht="30.95" hidden="1" customHeight="1" x14ac:dyDescent="0.2">
      <c r="A956" s="358"/>
      <c r="B956" s="359"/>
      <c r="C956" s="360"/>
      <c r="D956" s="361"/>
      <c r="E956" s="361"/>
      <c r="F956" s="362"/>
      <c r="G956" s="363"/>
      <c r="H956" s="363"/>
      <c r="I956" s="207"/>
      <c r="J956" s="364"/>
      <c r="K956" s="207"/>
      <c r="L956" s="207"/>
      <c r="M956" s="365"/>
      <c r="N956" s="365"/>
      <c r="O956" s="366"/>
      <c r="P956" s="357"/>
      <c r="Q956" s="367"/>
      <c r="R956" s="278"/>
      <c r="S956" s="278"/>
      <c r="T956" s="368"/>
      <c r="U956" s="278"/>
      <c r="V956" s="363"/>
      <c r="W956" s="363"/>
      <c r="X956" s="363"/>
      <c r="Y956" s="363"/>
      <c r="Z956" s="357"/>
      <c r="AA956" s="207"/>
      <c r="AB956" s="369"/>
      <c r="AC956" s="370"/>
      <c r="AD956" s="332"/>
      <c r="AE956" s="371"/>
      <c r="AF956" s="372"/>
      <c r="AG956" s="366"/>
      <c r="AH956" s="333"/>
      <c r="AI956" s="333"/>
      <c r="AJ956" s="333"/>
      <c r="AK956" s="333"/>
      <c r="AL956" s="334"/>
      <c r="AM956" s="334"/>
      <c r="AN956" s="334"/>
      <c r="AO956" s="334"/>
      <c r="AP956" s="334"/>
      <c r="AQ956" s="335"/>
      <c r="AR956" s="336"/>
    </row>
    <row r="957" spans="1:44" s="337" customFormat="1" ht="30.95" hidden="1" customHeight="1" x14ac:dyDescent="0.2">
      <c r="A957" s="358" t="s">
        <v>1753</v>
      </c>
      <c r="B957" s="359" t="s">
        <v>1754</v>
      </c>
      <c r="C957" s="360"/>
      <c r="D957" s="361"/>
      <c r="E957" s="361"/>
      <c r="F957" s="362"/>
      <c r="G957" s="363"/>
      <c r="H957" s="363"/>
      <c r="I957" s="207"/>
      <c r="J957" s="364"/>
      <c r="K957" s="207"/>
      <c r="L957" s="207"/>
      <c r="M957" s="365"/>
      <c r="N957" s="365"/>
      <c r="O957" s="366"/>
      <c r="P957" s="357"/>
      <c r="Q957" s="367"/>
      <c r="R957" s="278"/>
      <c r="S957" s="278"/>
      <c r="T957" s="368"/>
      <c r="U957" s="278"/>
      <c r="V957" s="363"/>
      <c r="W957" s="363"/>
      <c r="X957" s="363"/>
      <c r="Y957" s="363"/>
      <c r="Z957" s="357"/>
      <c r="AA957" s="207"/>
      <c r="AB957" s="369"/>
      <c r="AC957" s="370"/>
      <c r="AD957" s="332"/>
      <c r="AE957" s="371"/>
      <c r="AF957" s="372"/>
      <c r="AG957" s="366"/>
      <c r="AH957" s="333"/>
      <c r="AI957" s="333"/>
      <c r="AJ957" s="333"/>
      <c r="AK957" s="333"/>
      <c r="AL957" s="334"/>
      <c r="AM957" s="334"/>
      <c r="AN957" s="334"/>
      <c r="AO957" s="334"/>
      <c r="AP957" s="334"/>
      <c r="AQ957" s="335"/>
      <c r="AR957" s="336"/>
    </row>
    <row r="958" spans="1:44" s="337" customFormat="1" ht="30.95" hidden="1" customHeight="1" x14ac:dyDescent="0.2">
      <c r="A958" s="358"/>
      <c r="B958" s="359"/>
      <c r="C958" s="360"/>
      <c r="D958" s="361"/>
      <c r="E958" s="361"/>
      <c r="F958" s="362"/>
      <c r="G958" s="363"/>
      <c r="H958" s="363"/>
      <c r="I958" s="207"/>
      <c r="J958" s="364"/>
      <c r="K958" s="207"/>
      <c r="L958" s="207"/>
      <c r="M958" s="365"/>
      <c r="N958" s="365"/>
      <c r="O958" s="366"/>
      <c r="P958" s="357"/>
      <c r="Q958" s="367"/>
      <c r="R958" s="278"/>
      <c r="S958" s="278"/>
      <c r="T958" s="368"/>
      <c r="U958" s="278"/>
      <c r="V958" s="363"/>
      <c r="W958" s="363"/>
      <c r="X958" s="363"/>
      <c r="Y958" s="363"/>
      <c r="Z958" s="357"/>
      <c r="AA958" s="207"/>
      <c r="AB958" s="369"/>
      <c r="AC958" s="370"/>
      <c r="AD958" s="332"/>
      <c r="AE958" s="371"/>
      <c r="AF958" s="372"/>
      <c r="AG958" s="366"/>
      <c r="AH958" s="333"/>
      <c r="AI958" s="333"/>
      <c r="AJ958" s="333"/>
      <c r="AK958" s="333"/>
      <c r="AL958" s="334"/>
      <c r="AM958" s="334"/>
      <c r="AN958" s="334"/>
      <c r="AO958" s="334"/>
      <c r="AP958" s="334"/>
      <c r="AQ958" s="335"/>
      <c r="AR958" s="336"/>
    </row>
    <row r="959" spans="1:44" s="337" customFormat="1" ht="30.95" hidden="1" customHeight="1" x14ac:dyDescent="0.2">
      <c r="A959" s="320" t="s">
        <v>1760</v>
      </c>
      <c r="B959" s="321" t="s">
        <v>1761</v>
      </c>
      <c r="C959" s="360"/>
      <c r="D959" s="398">
        <v>3731354</v>
      </c>
      <c r="E959" s="31">
        <v>4151534</v>
      </c>
      <c r="F959" s="268" t="str">
        <f>IF(D959="","",VLOOKUP(D959,契約台帳!$A$3:$K$4986,6,FALSE)&amp;VLOOKUP(D959,契約台帳!$A$3:$K$4986,7,FALSE)&amp;VLOOKUP(D959,契約台帳!$A$3:$K$4986,8,FALSE)&amp;VLOOKUP(D959,契約台帳!$A$3:$K$4986,9,FALSE)&amp;VLOOKUP(D959,契約台帳!$A$3:$K$4986,11,FALSE))</f>
        <v>3SNMLBMNGTBF</v>
      </c>
      <c r="G959" s="269" t="str">
        <f>IF(D959="","",VLOOKUP(F959,製品マスタ!$G$5:$H$5002,2,FALSE))</f>
        <v>S</v>
      </c>
      <c r="H959" s="269" t="str">
        <f>IF(D959="","",VLOOKUP(F959,製品マスタ!$G$5:$K$5002,5,FALSE))</f>
        <v>MNGTBF</v>
      </c>
      <c r="I959" s="270" t="str">
        <f>IF(D959="","",VLOOKUP(F959,製品マスタ!$G$5:$L$5002,6,FALSE))</f>
        <v>メタルミー　ネーマー　銀艶　Ｂ</v>
      </c>
      <c r="J959" s="32" t="s">
        <v>447</v>
      </c>
      <c r="K959" s="270">
        <f>IF(D959="","",VLOOKUP(D959,契約台帳!$A$3:$L$4986,12,FALSE))</f>
        <v>25</v>
      </c>
      <c r="L959" s="270" t="str">
        <f>IF(D959="","",INDEX(製品マスタ!$Q$5:$Q$5002,MATCH(F959&amp;K959,製品マスタ!$AO$5:$AO$5002,0)))</f>
        <v>T62M</v>
      </c>
      <c r="M959" s="39">
        <v>1125</v>
      </c>
      <c r="N959" s="39">
        <v>12100</v>
      </c>
      <c r="O959" s="47">
        <v>1</v>
      </c>
      <c r="P959" s="57"/>
      <c r="Q959" s="276">
        <f>IF(D959="","",IF(J959="リード付け",M959,VLOOKUP(D959,契約台帳!$A$3:$N$4986,14,FALSE)))</f>
        <v>1125</v>
      </c>
      <c r="R959" s="277">
        <f>IF(D959="","",IF(J959="リード付け",M959,VLOOKUP(D959,契約台帳!$A$3:$O$4986,15,FALSE)))</f>
        <v>1120</v>
      </c>
      <c r="S959" s="277">
        <f>IF(D959="","",IF(J959="リード付け",N959,VLOOKUP(D959,契約台帳!$A$3:$P$4986,16,FALSE)))</f>
        <v>4000</v>
      </c>
      <c r="T959" s="40">
        <v>3</v>
      </c>
      <c r="U959" s="278">
        <f ca="1">IF(D959="","",IF(OFFSET(D959,-2,0)=D959,"",VLOOKUP(D959,契約台帳!$A$3:$R$4986,18,FALSE)))</f>
        <v>3</v>
      </c>
      <c r="V959" s="269" t="str">
        <f>IF(J959="巻返し",VLOOKUP(F959&amp;K959&amp;M959,製品マスタ!$M$5:$AD$5002,18,FALSE),IF(J959="リード付け","原反コア",IF(J959="スリット",VLOOKUP(F959&amp;K959&amp;Q959,製品マスタ!$N$5:$AD$5002,17,FALSE),"")))</f>
        <v>6ｲﾝﾁSｺｱ</v>
      </c>
      <c r="W959" s="269">
        <f>IF(J959="巻返し",VLOOKUP(F959&amp;K959&amp;M959,製品マスタ!$M$5:$AE$5002,19,FALSE),IF(J959="リード付け","-",IF(J959="スリット",VLOOKUP(F959&amp;K959&amp;Q959,製品マスタ!$N$5:$AE$5002,18,FALSE),"")))</f>
        <v>1130</v>
      </c>
      <c r="X959" s="275">
        <f>IF(D959="","",VLOOKUP(D959,契約台帳!$A$3:$Q$4986,17,FALSE))</f>
        <v>2</v>
      </c>
      <c r="Y959" s="269" t="str">
        <f>IF(D959="","",VLOOKUP(D959,契約台帳!$A$3:$E$4986,5,FALSE))</f>
        <v>リンテック㈱</v>
      </c>
      <c r="Z959" s="357"/>
      <c r="AA959" s="207">
        <f>IFERROR(VLOOKUP(F959&amp;K959&amp;M959,製品マスタ!$M$5:$AM$5002,27,FALSE),"")</f>
        <v>0</v>
      </c>
      <c r="AB959" s="369"/>
      <c r="AC959" s="370"/>
      <c r="AD959" s="332" t="str">
        <f>IF(F959="","",+F959&amp;K959)</f>
        <v>3SNMLBMNGTBF25</v>
      </c>
      <c r="AE959" s="216">
        <f>+M959*N959*O959/1000</f>
        <v>13612.5</v>
      </c>
      <c r="AF959" s="43">
        <f>IF(AD959="","",VLOOKUP(AD959,原価マスタ!$A$2:$AJ$1693,13,FALSE))</f>
        <v>97.5</v>
      </c>
      <c r="AG959" s="47">
        <f>IF(AF959="","",+AE959*AF959/100)</f>
        <v>13272.1875</v>
      </c>
      <c r="AH959" s="333"/>
      <c r="AI959" s="333"/>
      <c r="AJ959" s="333"/>
      <c r="AK959" s="333"/>
      <c r="AL959" s="334"/>
      <c r="AM959" s="334"/>
      <c r="AN959" s="334"/>
      <c r="AO959" s="334"/>
      <c r="AP959" s="334"/>
      <c r="AQ959" s="335"/>
      <c r="AR959" s="336"/>
    </row>
    <row r="960" spans="1:44" s="337" customFormat="1" ht="30.95" hidden="1" customHeight="1" x14ac:dyDescent="0.2">
      <c r="A960" s="358"/>
      <c r="B960" s="359"/>
      <c r="C960" s="360"/>
      <c r="D960" s="361"/>
      <c r="E960" s="361"/>
      <c r="F960" s="362"/>
      <c r="G960" s="363"/>
      <c r="H960" s="363"/>
      <c r="I960" s="207"/>
      <c r="J960" s="364"/>
      <c r="K960" s="207"/>
      <c r="L960" s="207"/>
      <c r="M960" s="365"/>
      <c r="N960" s="365"/>
      <c r="O960" s="366"/>
      <c r="P960" s="357"/>
      <c r="Q960" s="367"/>
      <c r="R960" s="278"/>
      <c r="S960" s="278"/>
      <c r="T960" s="368"/>
      <c r="U960" s="278"/>
      <c r="V960" s="363"/>
      <c r="W960" s="363"/>
      <c r="X960" s="363"/>
      <c r="Y960" s="363"/>
      <c r="Z960" s="357"/>
      <c r="AA960" s="207"/>
      <c r="AB960" s="369"/>
      <c r="AC960" s="370"/>
      <c r="AD960" s="332"/>
      <c r="AE960" s="371"/>
      <c r="AF960" s="372"/>
      <c r="AG960" s="366"/>
      <c r="AH960" s="333"/>
      <c r="AI960" s="333"/>
      <c r="AJ960" s="333"/>
      <c r="AK960" s="333"/>
      <c r="AL960" s="334"/>
      <c r="AM960" s="334"/>
      <c r="AN960" s="334"/>
      <c r="AO960" s="334"/>
      <c r="AP960" s="334"/>
      <c r="AQ960" s="335"/>
      <c r="AR960" s="336"/>
    </row>
    <row r="961" spans="1:44" s="337" customFormat="1" ht="30.95" hidden="1" customHeight="1" x14ac:dyDescent="0.2">
      <c r="A961" s="320"/>
      <c r="B961" s="321"/>
      <c r="C961" s="360"/>
      <c r="D961" s="398">
        <v>3731371</v>
      </c>
      <c r="E961" s="31">
        <v>4151523</v>
      </c>
      <c r="F961" s="268" t="str">
        <f>IF(D961="","",VLOOKUP(D961,契約台帳!$A$3:$K$4986,6,FALSE)&amp;VLOOKUP(D961,契約台帳!$A$3:$K$4986,7,FALSE)&amp;VLOOKUP(D961,契約台帳!$A$3:$K$4986,8,FALSE)&amp;VLOOKUP(D961,契約台帳!$A$3:$K$4986,9,FALSE)&amp;VLOOKUP(D961,契約台帳!$A$3:$K$4986,11,FALSE))</f>
        <v>3SYMLBMSSMBF</v>
      </c>
      <c r="G961" s="269" t="str">
        <f>IF(D961="","",VLOOKUP(F961,製品マスタ!$G$5:$H$5002,2,FALSE))</f>
        <v>S</v>
      </c>
      <c r="H961" s="269" t="str">
        <f>IF(D961="","",VLOOKUP(F961,製品マスタ!$G$5:$K$5002,5,FALSE))</f>
        <v>MSSMBF</v>
      </c>
      <c r="I961" s="270" t="str">
        <f>IF(D961="","",VLOOKUP(F961,製品マスタ!$G$5:$L$5002,6,FALSE))</f>
        <v>ＭＥＴＡＬＵＭＹ　ＳＩＬＶＥＲ　Ｓ－ＭＡＴＴＥ　Ｓ２８ＭＭ　Ｂ</v>
      </c>
      <c r="J961" s="32" t="s">
        <v>447</v>
      </c>
      <c r="K961" s="270">
        <f>IF(D961="","",VLOOKUP(D961,契約台帳!$A$3:$L$4986,12,FALSE))</f>
        <v>25</v>
      </c>
      <c r="L961" s="270" t="str">
        <f>IF(D961="","",INDEX(製品マスタ!$Q$5:$Q$5002,MATCH(F961&amp;K961,製品マスタ!$AO$5:$AO$5002,0)))</f>
        <v>LI-MAT</v>
      </c>
      <c r="M961" s="39">
        <v>1120</v>
      </c>
      <c r="N961" s="39">
        <v>16000</v>
      </c>
      <c r="O961" s="47">
        <v>1</v>
      </c>
      <c r="P961" s="57"/>
      <c r="Q961" s="276">
        <f>IF(D961="","",IF(J961="リード付け",M961,VLOOKUP(D961,契約台帳!$A$3:$N$4986,14,FALSE)))</f>
        <v>1120</v>
      </c>
      <c r="R961" s="277">
        <f>IF(D961="","",IF(J961="リード付け",M961,VLOOKUP(D961,契約台帳!$A$3:$O$4986,15,FALSE)))</f>
        <v>1120</v>
      </c>
      <c r="S961" s="277">
        <f>IF(D961="","",IF(J961="リード付け",N961,VLOOKUP(D961,契約台帳!$A$3:$P$4986,16,FALSE)))</f>
        <v>8000</v>
      </c>
      <c r="T961" s="40">
        <v>2</v>
      </c>
      <c r="U961" s="278">
        <f ca="1">IF(D961="","",IF(OFFSET(D961,-2,0)=D961,"",VLOOKUP(D961,契約台帳!$A$3:$R$4986,18,FALSE)))</f>
        <v>2</v>
      </c>
      <c r="V961" s="269" t="str">
        <f>IF(J961="巻返し",VLOOKUP(F961&amp;K961&amp;M961,製品マスタ!$M$5:$AD$5002,18,FALSE),IF(J961="リード付け","原反コア",IF(J961="スリット",VLOOKUP(F961&amp;K961&amp;Q961,製品マスタ!$N$5:$AD$5002,17,FALSE),"")))</f>
        <v>6ｲﾝﾁSｺｱ</v>
      </c>
      <c r="W961" s="269">
        <f>IF(J961="巻返し",VLOOKUP(F961&amp;K961&amp;M961,製品マスタ!$M$5:$AE$5002,19,FALSE),IF(J961="リード付け","-",IF(J961="スリット",VLOOKUP(F961&amp;K961&amp;Q961,製品マスタ!$N$5:$AE$5002,18,FALSE),"")))</f>
        <v>1125</v>
      </c>
      <c r="X961" s="275">
        <f>IF(D961="","",VLOOKUP(D961,契約台帳!$A$3:$Q$4986,17,FALSE))</f>
        <v>2</v>
      </c>
      <c r="Y961" s="269" t="str">
        <f>IF(D961="","",VLOOKUP(D961,契約台帳!$A$3:$E$4986,5,FALSE))</f>
        <v>リンテック㈱</v>
      </c>
      <c r="Z961" s="357"/>
      <c r="AA961" s="207">
        <f>IFERROR(VLOOKUP(F961&amp;K961&amp;M961,製品マスタ!$M$5:$AM$5002,27,FALSE),"")</f>
        <v>0</v>
      </c>
      <c r="AB961" s="369"/>
      <c r="AC961" s="370"/>
      <c r="AD961" s="332" t="str">
        <f>IF(F961="","",+F961&amp;K961)</f>
        <v>3SYMLBMSSMBF25</v>
      </c>
      <c r="AE961" s="216">
        <f>+M961*N961*O961/1000</f>
        <v>17920</v>
      </c>
      <c r="AF961" s="43" t="e">
        <f>IF(AD961="","",VLOOKUP(AD961,原価マスタ!$A$2:$AJ$1693,13,FALSE))</f>
        <v>#N/A</v>
      </c>
      <c r="AG961" s="47" t="e">
        <f>IF(AF961="","",+AE961*AF961/100)</f>
        <v>#N/A</v>
      </c>
      <c r="AH961" s="333"/>
      <c r="AI961" s="333"/>
      <c r="AJ961" s="333"/>
      <c r="AK961" s="333"/>
      <c r="AL961" s="334"/>
      <c r="AM961" s="334"/>
      <c r="AN961" s="334"/>
      <c r="AO961" s="334"/>
      <c r="AP961" s="334"/>
      <c r="AQ961" s="335"/>
      <c r="AR961" s="336"/>
    </row>
    <row r="962" spans="1:44" s="337" customFormat="1" ht="30.95" hidden="1" customHeight="1" x14ac:dyDescent="0.2">
      <c r="A962" s="358"/>
      <c r="B962" s="359"/>
      <c r="C962" s="360"/>
      <c r="D962" s="361"/>
      <c r="E962" s="361"/>
      <c r="F962" s="362"/>
      <c r="G962" s="363"/>
      <c r="H962" s="363"/>
      <c r="I962" s="207"/>
      <c r="J962" s="364"/>
      <c r="K962" s="207"/>
      <c r="L962" s="207"/>
      <c r="M962" s="365"/>
      <c r="N962" s="365"/>
      <c r="O962" s="366"/>
      <c r="P962" s="357"/>
      <c r="Q962" s="367"/>
      <c r="R962" s="278"/>
      <c r="S962" s="278"/>
      <c r="T962" s="368"/>
      <c r="U962" s="278"/>
      <c r="V962" s="363"/>
      <c r="W962" s="363"/>
      <c r="X962" s="363"/>
      <c r="Y962" s="363"/>
      <c r="Z962" s="357"/>
      <c r="AA962" s="207"/>
      <c r="AB962" s="369"/>
      <c r="AC962" s="370"/>
      <c r="AD962" s="332"/>
      <c r="AE962" s="371"/>
      <c r="AF962" s="372"/>
      <c r="AG962" s="366"/>
      <c r="AH962" s="333"/>
      <c r="AI962" s="333"/>
      <c r="AJ962" s="333"/>
      <c r="AK962" s="333"/>
      <c r="AL962" s="334"/>
      <c r="AM962" s="334"/>
      <c r="AN962" s="334"/>
      <c r="AO962" s="334"/>
      <c r="AP962" s="334"/>
      <c r="AQ962" s="335"/>
      <c r="AR962" s="336"/>
    </row>
    <row r="963" spans="1:44" s="337" customFormat="1" ht="30.95" hidden="1" customHeight="1" x14ac:dyDescent="0.2">
      <c r="A963" s="320"/>
      <c r="B963" s="321"/>
      <c r="C963" s="360"/>
      <c r="D963" s="398">
        <v>3731372</v>
      </c>
      <c r="E963" s="31">
        <v>4151524</v>
      </c>
      <c r="F963" s="268" t="str">
        <f>IF(D963="","",VLOOKUP(D963,契約台帳!$A$3:$K$4986,6,FALSE)&amp;VLOOKUP(D963,契約台帳!$A$3:$K$4986,7,FALSE)&amp;VLOOKUP(D963,契約台帳!$A$3:$K$4986,8,FALSE)&amp;VLOOKUP(D963,契約台帳!$A$3:$K$4986,9,FALSE)&amp;VLOOKUP(D963,契約台帳!$A$3:$K$4986,11,FALSE))</f>
        <v>3SYMLBMSSMBF</v>
      </c>
      <c r="G963" s="269" t="str">
        <f>IF(D963="","",VLOOKUP(F963,製品マスタ!$G$5:$H$5002,2,FALSE))</f>
        <v>S</v>
      </c>
      <c r="H963" s="269" t="str">
        <f>IF(D963="","",VLOOKUP(F963,製品マスタ!$G$5:$K$5002,5,FALSE))</f>
        <v>MSSMBF</v>
      </c>
      <c r="I963" s="270" t="str">
        <f>IF(D963="","",VLOOKUP(F963,製品マスタ!$G$5:$L$5002,6,FALSE))</f>
        <v>ＭＥＴＡＬＵＭＹ　ＳＩＬＶＥＲ　Ｓ－ＭＡＴＴＥ　Ｓ２８ＭＭ　Ｂ</v>
      </c>
      <c r="J963" s="32" t="s">
        <v>447</v>
      </c>
      <c r="K963" s="270">
        <f>IF(D963="","",VLOOKUP(D963,契約台帳!$A$3:$L$4986,12,FALSE))</f>
        <v>25</v>
      </c>
      <c r="L963" s="270" t="str">
        <f>IF(D963="","",INDEX(製品マスタ!$Q$5:$Q$5002,MATCH(F963&amp;K963,製品マスタ!$AO$5:$AO$5002,0)))</f>
        <v>LI-MAT</v>
      </c>
      <c r="M963" s="39">
        <v>1120</v>
      </c>
      <c r="N963" s="39">
        <v>8000</v>
      </c>
      <c r="O963" s="47">
        <v>1</v>
      </c>
      <c r="P963" s="57"/>
      <c r="Q963" s="276">
        <f>IF(D963="","",IF(J963="リード付け",M963,VLOOKUP(D963,契約台帳!$A$3:$N$4986,14,FALSE)))</f>
        <v>1120</v>
      </c>
      <c r="R963" s="277">
        <f>IF(D963="","",IF(J963="リード付け",M963,VLOOKUP(D963,契約台帳!$A$3:$O$4986,15,FALSE)))</f>
        <v>1120</v>
      </c>
      <c r="S963" s="277">
        <f>IF(D963="","",IF(J963="リード付け",N963,VLOOKUP(D963,契約台帳!$A$3:$P$4986,16,FALSE)))</f>
        <v>8000</v>
      </c>
      <c r="T963" s="40">
        <v>1</v>
      </c>
      <c r="U963" s="278">
        <f ca="1">IF(D963="","",IF(OFFSET(D963,-2,0)=D963,"",VLOOKUP(D963,契約台帳!$A$3:$R$4986,18,FALSE)))</f>
        <v>1</v>
      </c>
      <c r="V963" s="269" t="str">
        <f>IF(J963="巻返し",VLOOKUP(F963&amp;K963&amp;M963,製品マスタ!$M$5:$AD$5002,18,FALSE),IF(J963="リード付け","原反コア",IF(J963="スリット",VLOOKUP(F963&amp;K963&amp;Q963,製品マスタ!$N$5:$AD$5002,17,FALSE),"")))</f>
        <v>6ｲﾝﾁSｺｱ</v>
      </c>
      <c r="W963" s="269">
        <f>IF(J963="巻返し",VLOOKUP(F963&amp;K963&amp;M963,製品マスタ!$M$5:$AE$5002,19,FALSE),IF(J963="リード付け","-",IF(J963="スリット",VLOOKUP(F963&amp;K963&amp;Q963,製品マスタ!$N$5:$AE$5002,18,FALSE),"")))</f>
        <v>1125</v>
      </c>
      <c r="X963" s="275">
        <f>IF(D963="","",VLOOKUP(D963,契約台帳!$A$3:$Q$4986,17,FALSE))</f>
        <v>2</v>
      </c>
      <c r="Y963" s="269" t="str">
        <f>IF(D963="","",VLOOKUP(D963,契約台帳!$A$3:$E$4986,5,FALSE))</f>
        <v>リンテック㈱</v>
      </c>
      <c r="Z963" s="357"/>
      <c r="AA963" s="207">
        <f>IFERROR(VLOOKUP(F963&amp;K963&amp;M963,製品マスタ!$M$5:$AM$5002,27,FALSE),"")</f>
        <v>0</v>
      </c>
      <c r="AB963" s="369"/>
      <c r="AC963" s="370"/>
      <c r="AD963" s="332" t="str">
        <f>IF(F963="","",+F963&amp;K963)</f>
        <v>3SYMLBMSSMBF25</v>
      </c>
      <c r="AE963" s="216">
        <f>+M963*N963*O963/1000</f>
        <v>8960</v>
      </c>
      <c r="AF963" s="43" t="e">
        <f>IF(AD963="","",VLOOKUP(AD963,原価マスタ!$A$2:$AJ$1693,13,FALSE))</f>
        <v>#N/A</v>
      </c>
      <c r="AG963" s="47" t="e">
        <f>IF(AF963="","",+AE963*AF963/100)</f>
        <v>#N/A</v>
      </c>
      <c r="AH963" s="333"/>
      <c r="AI963" s="333"/>
      <c r="AJ963" s="333"/>
      <c r="AK963" s="333"/>
      <c r="AL963" s="334"/>
      <c r="AM963" s="334"/>
      <c r="AN963" s="334"/>
      <c r="AO963" s="334"/>
      <c r="AP963" s="334"/>
      <c r="AQ963" s="335"/>
      <c r="AR963" s="336"/>
    </row>
    <row r="964" spans="1:44" s="337" customFormat="1" ht="30.95" hidden="1" customHeight="1" x14ac:dyDescent="0.2">
      <c r="A964" s="358"/>
      <c r="B964" s="359"/>
      <c r="C964" s="360"/>
      <c r="D964" s="361"/>
      <c r="E964" s="361"/>
      <c r="F964" s="362"/>
      <c r="G964" s="363"/>
      <c r="H964" s="363"/>
      <c r="I964" s="207"/>
      <c r="J964" s="364"/>
      <c r="K964" s="207"/>
      <c r="L964" s="207"/>
      <c r="M964" s="365"/>
      <c r="N964" s="365"/>
      <c r="O964" s="366"/>
      <c r="P964" s="357"/>
      <c r="Q964" s="367"/>
      <c r="R964" s="278"/>
      <c r="S964" s="278"/>
      <c r="T964" s="368"/>
      <c r="U964" s="278"/>
      <c r="V964" s="363"/>
      <c r="W964" s="363"/>
      <c r="X964" s="363"/>
      <c r="Y964" s="363"/>
      <c r="Z964" s="357"/>
      <c r="AA964" s="207"/>
      <c r="AB964" s="369"/>
      <c r="AC964" s="370"/>
      <c r="AD964" s="332"/>
      <c r="AE964" s="371"/>
      <c r="AF964" s="372"/>
      <c r="AG964" s="366"/>
      <c r="AH964" s="333"/>
      <c r="AI964" s="333"/>
      <c r="AJ964" s="333"/>
      <c r="AK964" s="333"/>
      <c r="AL964" s="334"/>
      <c r="AM964" s="334"/>
      <c r="AN964" s="334"/>
      <c r="AO964" s="334"/>
      <c r="AP964" s="334"/>
      <c r="AQ964" s="335"/>
      <c r="AR964" s="336"/>
    </row>
    <row r="965" spans="1:44" s="337" customFormat="1" ht="30.95" hidden="1" customHeight="1" x14ac:dyDescent="0.2">
      <c r="A965" s="320" t="s">
        <v>643</v>
      </c>
      <c r="B965" s="321" t="s">
        <v>442</v>
      </c>
      <c r="C965" s="360"/>
      <c r="D965" s="398">
        <v>3731366</v>
      </c>
      <c r="E965" s="31">
        <v>4151531</v>
      </c>
      <c r="F965" s="268" t="str">
        <f>IF(D965="","",VLOOKUP(D965,契約台帳!$A$3:$K$4986,6,FALSE)&amp;VLOOKUP(D965,契約台帳!$A$3:$K$4986,7,FALSE)&amp;VLOOKUP(D965,契約台帳!$A$3:$K$4986,8,FALSE)&amp;VLOOKUP(D965,契約台帳!$A$3:$K$4986,9,FALSE)&amp;VLOOKUP(D965,契約台帳!$A$3:$K$4986,11,FALSE))</f>
        <v>3SNMLBMNQR66F</v>
      </c>
      <c r="G965" s="269" t="str">
        <f>IF(D965="","",VLOOKUP(F965,製品マスタ!$G$5:$H$5002,2,FALSE))</f>
        <v>S</v>
      </c>
      <c r="H965" s="269" t="str">
        <f>IF(D965="","",VLOOKUP(F965,製品マスタ!$G$5:$K$5002,5,FALSE))</f>
        <v>MNQR66F</v>
      </c>
      <c r="I965" s="270" t="str">
        <f>IF(D965="","",VLOOKUP(F965,製品マスタ!$G$5:$L$5002,6,FALSE))</f>
        <v>ＱＲ６６蒸着品</v>
      </c>
      <c r="J965" s="32" t="s">
        <v>447</v>
      </c>
      <c r="K965" s="270">
        <f>IF(D965="","",VLOOKUP(D965,契約台帳!$A$3:$L$4986,12,FALSE))</f>
        <v>25</v>
      </c>
      <c r="L965" s="270" t="str">
        <f>IF(D965="","",INDEX(製品マスタ!$Q$5:$Q$5002,MATCH(F965&amp;K965,製品マスタ!$AO$5:$AO$5002,0)))</f>
        <v>E315</v>
      </c>
      <c r="M965" s="39">
        <v>1100</v>
      </c>
      <c r="N965" s="39">
        <v>24000</v>
      </c>
      <c r="O965" s="47">
        <v>2</v>
      </c>
      <c r="P965" s="57"/>
      <c r="Q965" s="276">
        <f>IF(D965="","",IF(J965="リード付け",M965,VLOOKUP(D965,契約台帳!$A$3:$N$4986,14,FALSE)))</f>
        <v>1100</v>
      </c>
      <c r="R965" s="277">
        <f>IF(D965="","",IF(J965="リード付け",M965,VLOOKUP(D965,契約台帳!$A$3:$O$4986,15,FALSE)))</f>
        <v>1100</v>
      </c>
      <c r="S965" s="277">
        <f>IF(D965="","",IF(J965="リード付け",N965,VLOOKUP(D965,契約台帳!$A$3:$P$4986,16,FALSE)))</f>
        <v>6000</v>
      </c>
      <c r="T965" s="40">
        <v>8</v>
      </c>
      <c r="U965" s="278">
        <f ca="1">IF(D965="","",IF(OFFSET(D965,-2,0)=D965,"",VLOOKUP(D965,契約台帳!$A$3:$R$4986,18,FALSE)))</f>
        <v>12</v>
      </c>
      <c r="V965" s="269" t="str">
        <f>IF(J965="巻返し",VLOOKUP(F965&amp;K965&amp;M965,製品マスタ!$M$5:$AD$5002,18,FALSE),IF(J965="リード付け","原反コア",IF(J965="スリット",VLOOKUP(F965&amp;K965&amp;Q965,製品マスタ!$N$5:$AD$5002,17,FALSE),"")))</f>
        <v>6ｲﾝﾁMｺｱ</v>
      </c>
      <c r="W965" s="269">
        <f>IF(J965="巻返し",VLOOKUP(F965&amp;K965&amp;M965,製品マスタ!$M$5:$AE$5002,19,FALSE),IF(J965="リード付け","-",IF(J965="スリット",VLOOKUP(F965&amp;K965&amp;Q965,製品マスタ!$N$5:$AE$5002,18,FALSE),"")))</f>
        <v>1110</v>
      </c>
      <c r="X965" s="275">
        <f>IF(D965="","",VLOOKUP(D965,契約台帳!$A$3:$Q$4986,17,FALSE))</f>
        <v>2</v>
      </c>
      <c r="Y965" s="269" t="str">
        <f>IF(D965="","",VLOOKUP(D965,契約台帳!$A$3:$E$4986,5,FALSE))</f>
        <v>リンテック㈱</v>
      </c>
      <c r="Z965" s="357"/>
      <c r="AA965" s="207" t="str">
        <f>IFERROR(VLOOKUP(F965&amp;K965&amp;M965,製品マスタ!$M$5:$AM$5002,27,FALSE),"")</f>
        <v>原反ケース再利用</v>
      </c>
      <c r="AB965" s="369"/>
      <c r="AC965" s="370"/>
      <c r="AD965" s="332" t="str">
        <f>IF(F965="","",+F965&amp;K965)</f>
        <v>3SNMLBMNQR66F25</v>
      </c>
      <c r="AE965" s="216">
        <f>+M965*N965*O965/1000</f>
        <v>52800</v>
      </c>
      <c r="AF965" s="43">
        <f>IF(AD965="","",VLOOKUP(AD965,原価マスタ!$A$2:$AJ$1693,13,FALSE))</f>
        <v>98</v>
      </c>
      <c r="AG965" s="47">
        <f>IF(AF965="","",+AE965*AF965/100)</f>
        <v>51744</v>
      </c>
      <c r="AH965" s="333"/>
      <c r="AI965" s="333"/>
      <c r="AJ965" s="333"/>
      <c r="AK965" s="333"/>
      <c r="AL965" s="334"/>
      <c r="AM965" s="334"/>
      <c r="AN965" s="334"/>
      <c r="AO965" s="334"/>
      <c r="AP965" s="334"/>
      <c r="AQ965" s="335"/>
      <c r="AR965" s="336"/>
    </row>
    <row r="966" spans="1:44" s="337" customFormat="1" ht="30.95" hidden="1" customHeight="1" x14ac:dyDescent="0.2">
      <c r="A966" s="358"/>
      <c r="B966" s="359"/>
      <c r="C966" s="360"/>
      <c r="D966" s="361"/>
      <c r="E966" s="361"/>
      <c r="F966" s="362"/>
      <c r="G966" s="363"/>
      <c r="H966" s="363"/>
      <c r="I966" s="207"/>
      <c r="J966" s="364"/>
      <c r="K966" s="207"/>
      <c r="L966" s="207"/>
      <c r="M966" s="365"/>
      <c r="N966" s="365"/>
      <c r="O966" s="366"/>
      <c r="P966" s="357"/>
      <c r="Q966" s="367"/>
      <c r="R966" s="278"/>
      <c r="S966" s="278"/>
      <c r="T966" s="368"/>
      <c r="U966" s="278"/>
      <c r="V966" s="363"/>
      <c r="W966" s="363"/>
      <c r="X966" s="363"/>
      <c r="Y966" s="363"/>
      <c r="Z966" s="357"/>
      <c r="AA966" s="207"/>
      <c r="AB966" s="369"/>
      <c r="AC966" s="370"/>
      <c r="AD966" s="332"/>
      <c r="AE966" s="371"/>
      <c r="AF966" s="372"/>
      <c r="AG966" s="366"/>
      <c r="AH966" s="333"/>
      <c r="AI966" s="333"/>
      <c r="AJ966" s="333"/>
      <c r="AK966" s="333"/>
      <c r="AL966" s="334"/>
      <c r="AM966" s="334"/>
      <c r="AN966" s="334"/>
      <c r="AO966" s="334"/>
      <c r="AP966" s="334"/>
      <c r="AQ966" s="335"/>
      <c r="AR966" s="336"/>
    </row>
    <row r="967" spans="1:44" s="337" customFormat="1" ht="30.95" hidden="1" customHeight="1" x14ac:dyDescent="0.2">
      <c r="A967" s="320" t="s">
        <v>644</v>
      </c>
      <c r="B967" s="321" t="s">
        <v>443</v>
      </c>
      <c r="C967" s="360"/>
      <c r="D967" s="398">
        <v>3731366</v>
      </c>
      <c r="E967" s="31">
        <v>4151531</v>
      </c>
      <c r="F967" s="268" t="str">
        <f>IF(D967="","",VLOOKUP(D967,契約台帳!$A$3:$K$4986,6,FALSE)&amp;VLOOKUP(D967,契約台帳!$A$3:$K$4986,7,FALSE)&amp;VLOOKUP(D967,契約台帳!$A$3:$K$4986,8,FALSE)&amp;VLOOKUP(D967,契約台帳!$A$3:$K$4986,9,FALSE)&amp;VLOOKUP(D967,契約台帳!$A$3:$K$4986,11,FALSE))</f>
        <v>3SNMLBMNQR66F</v>
      </c>
      <c r="G967" s="269" t="str">
        <f>IF(D967="","",VLOOKUP(F967,製品マスタ!$G$5:$H$5002,2,FALSE))</f>
        <v>S</v>
      </c>
      <c r="H967" s="269" t="str">
        <f>IF(D967="","",VLOOKUP(F967,製品マスタ!$G$5:$K$5002,5,FALSE))</f>
        <v>MNQR66F</v>
      </c>
      <c r="I967" s="270" t="str">
        <f>IF(D967="","",VLOOKUP(F967,製品マスタ!$G$5:$L$5002,6,FALSE))</f>
        <v>ＱＲ６６蒸着品</v>
      </c>
      <c r="J967" s="32" t="s">
        <v>447</v>
      </c>
      <c r="K967" s="270">
        <f>IF(D967="","",VLOOKUP(D967,契約台帳!$A$3:$L$4986,12,FALSE))</f>
        <v>25</v>
      </c>
      <c r="L967" s="270" t="str">
        <f>IF(D967="","",INDEX(製品マスタ!$Q$5:$Q$5002,MATCH(F967&amp;K967,製品マスタ!$AO$5:$AO$5002,0)))</f>
        <v>E315</v>
      </c>
      <c r="M967" s="39">
        <v>1100</v>
      </c>
      <c r="N967" s="39">
        <v>24000</v>
      </c>
      <c r="O967" s="47">
        <v>1</v>
      </c>
      <c r="P967" s="57"/>
      <c r="Q967" s="276">
        <f>IF(D967="","",IF(J967="リード付け",M967,VLOOKUP(D967,契約台帳!$A$3:$N$4986,14,FALSE)))</f>
        <v>1100</v>
      </c>
      <c r="R967" s="277">
        <f>IF(D967="","",IF(J967="リード付け",M967,VLOOKUP(D967,契約台帳!$A$3:$O$4986,15,FALSE)))</f>
        <v>1100</v>
      </c>
      <c r="S967" s="277">
        <f>IF(D967="","",IF(J967="リード付け",N967,VLOOKUP(D967,契約台帳!$A$3:$P$4986,16,FALSE)))</f>
        <v>6000</v>
      </c>
      <c r="T967" s="40">
        <v>4</v>
      </c>
      <c r="U967" s="278" t="str">
        <f ca="1">IF(D967="","",IF(OFFSET(D967,-2,0)=D967,"",VLOOKUP(D967,契約台帳!$A$3:$R$4986,18,FALSE)))</f>
        <v/>
      </c>
      <c r="V967" s="269" t="str">
        <f>IF(J967="巻返し",VLOOKUP(F967&amp;K967&amp;M967,製品マスタ!$M$5:$AD$5002,18,FALSE),IF(J967="リード付け","原反コア",IF(J967="スリット",VLOOKUP(F967&amp;K967&amp;Q967,製品マスタ!$N$5:$AD$5002,17,FALSE),"")))</f>
        <v>6ｲﾝﾁMｺｱ</v>
      </c>
      <c r="W967" s="269">
        <f>IF(J967="巻返し",VLOOKUP(F967&amp;K967&amp;M967,製品マスタ!$M$5:$AE$5002,19,FALSE),IF(J967="リード付け","-",IF(J967="スリット",VLOOKUP(F967&amp;K967&amp;Q967,製品マスタ!$N$5:$AE$5002,18,FALSE),"")))</f>
        <v>1110</v>
      </c>
      <c r="X967" s="275">
        <f>IF(D967="","",VLOOKUP(D967,契約台帳!$A$3:$Q$4986,17,FALSE))</f>
        <v>2</v>
      </c>
      <c r="Y967" s="269" t="str">
        <f>IF(D967="","",VLOOKUP(D967,契約台帳!$A$3:$E$4986,5,FALSE))</f>
        <v>リンテック㈱</v>
      </c>
      <c r="Z967" s="357"/>
      <c r="AA967" s="207" t="str">
        <f>IFERROR(VLOOKUP(F967&amp;K967&amp;M967,製品マスタ!$M$5:$AM$5002,27,FALSE),"")</f>
        <v>原反ケース再利用</v>
      </c>
      <c r="AB967" s="369"/>
      <c r="AC967" s="370"/>
      <c r="AD967" s="332" t="str">
        <f>IF(F967="","",+F967&amp;K967)</f>
        <v>3SNMLBMNQR66F25</v>
      </c>
      <c r="AE967" s="216">
        <f>+M967*N967*O967/1000</f>
        <v>26400</v>
      </c>
      <c r="AF967" s="43">
        <f>IF(AD967="","",VLOOKUP(AD967,原価マスタ!$A$2:$AJ$1693,13,FALSE))</f>
        <v>98</v>
      </c>
      <c r="AG967" s="47">
        <f>IF(AF967="","",+AE967*AF967/100)</f>
        <v>25872</v>
      </c>
      <c r="AH967" s="333"/>
      <c r="AI967" s="333"/>
      <c r="AJ967" s="333"/>
      <c r="AK967" s="333"/>
      <c r="AL967" s="334"/>
      <c r="AM967" s="334"/>
      <c r="AN967" s="334"/>
      <c r="AO967" s="334"/>
      <c r="AP967" s="334"/>
      <c r="AQ967" s="335"/>
      <c r="AR967" s="336"/>
    </row>
    <row r="968" spans="1:44" s="337" customFormat="1" ht="30.95" hidden="1" customHeight="1" x14ac:dyDescent="0.2">
      <c r="A968" s="358"/>
      <c r="B968" s="359"/>
      <c r="C968" s="360"/>
      <c r="D968" s="361"/>
      <c r="E968" s="361"/>
      <c r="F968" s="362"/>
      <c r="G968" s="363"/>
      <c r="H968" s="363"/>
      <c r="I968" s="207"/>
      <c r="J968" s="364"/>
      <c r="K968" s="207"/>
      <c r="L968" s="207"/>
      <c r="M968" s="365"/>
      <c r="N968" s="365"/>
      <c r="O968" s="366"/>
      <c r="P968" s="357"/>
      <c r="Q968" s="367"/>
      <c r="R968" s="278"/>
      <c r="S968" s="278"/>
      <c r="T968" s="368"/>
      <c r="U968" s="278"/>
      <c r="V968" s="363"/>
      <c r="W968" s="363"/>
      <c r="X968" s="363"/>
      <c r="Y968" s="363"/>
      <c r="Z968" s="357"/>
      <c r="AA968" s="207"/>
      <c r="AB968" s="369"/>
      <c r="AC968" s="370"/>
      <c r="AD968" s="332"/>
      <c r="AE968" s="371"/>
      <c r="AF968" s="372"/>
      <c r="AG968" s="366"/>
      <c r="AH968" s="333"/>
      <c r="AI968" s="333"/>
      <c r="AJ968" s="333"/>
      <c r="AK968" s="333"/>
      <c r="AL968" s="334"/>
      <c r="AM968" s="334"/>
      <c r="AN968" s="334"/>
      <c r="AO968" s="334"/>
      <c r="AP968" s="334"/>
      <c r="AQ968" s="335"/>
      <c r="AR968" s="336"/>
    </row>
    <row r="969" spans="1:44" s="337" customFormat="1" ht="30.95" hidden="1" customHeight="1" x14ac:dyDescent="0.2">
      <c r="A969" s="320"/>
      <c r="B969" s="321"/>
      <c r="C969" s="360"/>
      <c r="D969" s="398">
        <v>3731365</v>
      </c>
      <c r="E969" s="31">
        <v>4151530</v>
      </c>
      <c r="F969" s="268" t="str">
        <f>IF(D969="","",VLOOKUP(D969,契約台帳!$A$3:$K$4986,6,FALSE)&amp;VLOOKUP(D969,契約台帳!$A$3:$K$4986,7,FALSE)&amp;VLOOKUP(D969,契約台帳!$A$3:$K$4986,8,FALSE)&amp;VLOOKUP(D969,契約台帳!$A$3:$K$4986,9,FALSE)&amp;VLOOKUP(D969,契約台帳!$A$3:$K$4986,11,FALSE))</f>
        <v>3SNMLBMNQR66F</v>
      </c>
      <c r="G969" s="269" t="str">
        <f>IF(D969="","",VLOOKUP(F969,製品マスタ!$G$5:$H$5002,2,FALSE))</f>
        <v>S</v>
      </c>
      <c r="H969" s="269" t="str">
        <f>IF(D969="","",VLOOKUP(F969,製品マスタ!$G$5:$K$5002,5,FALSE))</f>
        <v>MNQR66F</v>
      </c>
      <c r="I969" s="270" t="str">
        <f>IF(D969="","",VLOOKUP(F969,製品マスタ!$G$5:$L$5002,6,FALSE))</f>
        <v>ＱＲ６６蒸着品</v>
      </c>
      <c r="J969" s="32" t="s">
        <v>447</v>
      </c>
      <c r="K969" s="270">
        <f>IF(D969="","",VLOOKUP(D969,契約台帳!$A$3:$L$4986,12,FALSE))</f>
        <v>25</v>
      </c>
      <c r="L969" s="270" t="str">
        <f>IF(D969="","",INDEX(製品マスタ!$Q$5:$Q$5002,MATCH(F969&amp;K969,製品マスタ!$AO$5:$AO$5002,0)))</f>
        <v>E315</v>
      </c>
      <c r="M969" s="39">
        <v>1000</v>
      </c>
      <c r="N969" s="39">
        <v>24000</v>
      </c>
      <c r="O969" s="47">
        <v>2</v>
      </c>
      <c r="P969" s="57"/>
      <c r="Q969" s="276">
        <f>IF(D969="","",IF(J969="リード付け",M969,VLOOKUP(D969,契約台帳!$A$3:$N$4986,14,FALSE)))</f>
        <v>1000</v>
      </c>
      <c r="R969" s="277">
        <f>IF(D969="","",IF(J969="リード付け",M969,VLOOKUP(D969,契約台帳!$A$3:$O$4986,15,FALSE)))</f>
        <v>1000</v>
      </c>
      <c r="S969" s="277">
        <f>IF(D969="","",IF(J969="リード付け",N969,VLOOKUP(D969,契約台帳!$A$3:$P$4986,16,FALSE)))</f>
        <v>6000</v>
      </c>
      <c r="T969" s="40">
        <v>8</v>
      </c>
      <c r="U969" s="278">
        <f ca="1">IF(D969="","",IF(OFFSET(D969,-2,0)=D969,"",VLOOKUP(D969,契約台帳!$A$3:$R$4986,18,FALSE)))</f>
        <v>8</v>
      </c>
      <c r="V969" s="269" t="str">
        <f>IF(J969="巻返し",VLOOKUP(F969&amp;K969&amp;M969,製品マスタ!$M$5:$AD$5002,18,FALSE),IF(J969="リード付け","原反コア",IF(J969="スリット",VLOOKUP(F969&amp;K969&amp;Q969,製品マスタ!$N$5:$AD$5002,17,FALSE),"")))</f>
        <v>6ｲﾝﾁMｺｱ</v>
      </c>
      <c r="W969" s="269">
        <f>IF(J969="巻返し",VLOOKUP(F969&amp;K969&amp;M969,製品マスタ!$M$5:$AE$5002,19,FALSE),IF(J969="リード付け","-",IF(J969="スリット",VLOOKUP(F969&amp;K969&amp;Q969,製品マスタ!$N$5:$AE$5002,18,FALSE),"")))</f>
        <v>1010</v>
      </c>
      <c r="X969" s="275">
        <f>IF(D969="","",VLOOKUP(D969,契約台帳!$A$3:$Q$4986,17,FALSE))</f>
        <v>2</v>
      </c>
      <c r="Y969" s="269" t="str">
        <f>IF(D969="","",VLOOKUP(D969,契約台帳!$A$3:$E$4986,5,FALSE))</f>
        <v>リンテック㈱</v>
      </c>
      <c r="Z969" s="357"/>
      <c r="AA969" s="207" t="str">
        <f>IFERROR(VLOOKUP(F969&amp;K969&amp;M969,製品マスタ!$M$5:$AM$5002,27,FALSE),"")</f>
        <v>原反ケース再利用</v>
      </c>
      <c r="AB969" s="369"/>
      <c r="AC969" s="370"/>
      <c r="AD969" s="332" t="str">
        <f>IF(F969="","",+F969&amp;K969)</f>
        <v>3SNMLBMNQR66F25</v>
      </c>
      <c r="AE969" s="216">
        <f>+M969*N969*O969/1000</f>
        <v>48000</v>
      </c>
      <c r="AF969" s="43">
        <f>IF(AD969="","",VLOOKUP(AD969,原価マスタ!$A$2:$AJ$1693,13,FALSE))</f>
        <v>98</v>
      </c>
      <c r="AG969" s="47">
        <f>IF(AF969="","",+AE969*AF969/100)</f>
        <v>47040</v>
      </c>
      <c r="AH969" s="333"/>
      <c r="AI969" s="333"/>
      <c r="AJ969" s="333"/>
      <c r="AK969" s="333"/>
      <c r="AL969" s="334"/>
      <c r="AM969" s="334"/>
      <c r="AN969" s="334"/>
      <c r="AO969" s="334"/>
      <c r="AP969" s="334"/>
      <c r="AQ969" s="335"/>
      <c r="AR969" s="336"/>
    </row>
    <row r="970" spans="1:44" s="337" customFormat="1" ht="30.95" hidden="1" customHeight="1" x14ac:dyDescent="0.2">
      <c r="A970" s="358"/>
      <c r="B970" s="359"/>
      <c r="C970" s="360"/>
      <c r="D970" s="361"/>
      <c r="E970" s="361"/>
      <c r="F970" s="362"/>
      <c r="G970" s="363"/>
      <c r="H970" s="363"/>
      <c r="I970" s="207"/>
      <c r="J970" s="364"/>
      <c r="K970" s="207"/>
      <c r="L970" s="207"/>
      <c r="M970" s="365"/>
      <c r="N970" s="365"/>
      <c r="O970" s="366"/>
      <c r="P970" s="357"/>
      <c r="Q970" s="367"/>
      <c r="R970" s="278"/>
      <c r="S970" s="278"/>
      <c r="T970" s="368"/>
      <c r="U970" s="278"/>
      <c r="V970" s="363"/>
      <c r="W970" s="363"/>
      <c r="X970" s="363"/>
      <c r="Y970" s="363"/>
      <c r="Z970" s="357"/>
      <c r="AA970" s="207"/>
      <c r="AB970" s="369"/>
      <c r="AC970" s="370"/>
      <c r="AD970" s="332"/>
      <c r="AE970" s="371"/>
      <c r="AF970" s="372"/>
      <c r="AG970" s="366"/>
      <c r="AH970" s="333"/>
      <c r="AI970" s="333"/>
      <c r="AJ970" s="333"/>
      <c r="AK970" s="333"/>
      <c r="AL970" s="334"/>
      <c r="AM970" s="334"/>
      <c r="AN970" s="334"/>
      <c r="AO970" s="334"/>
      <c r="AP970" s="334"/>
      <c r="AQ970" s="335"/>
      <c r="AR970" s="336"/>
    </row>
    <row r="971" spans="1:44" s="337" customFormat="1" ht="30.95" hidden="1" customHeight="1" x14ac:dyDescent="0.2">
      <c r="A971" s="320" t="s">
        <v>645</v>
      </c>
      <c r="B971" s="321" t="s">
        <v>444</v>
      </c>
      <c r="C971" s="360"/>
      <c r="D971" s="398">
        <v>3731353</v>
      </c>
      <c r="E971" s="31">
        <v>4151533</v>
      </c>
      <c r="F971" s="268" t="str">
        <f>IF(D971="","",VLOOKUP(D971,契約台帳!$A$3:$K$4986,6,FALSE)&amp;VLOOKUP(D971,契約台帳!$A$3:$K$4986,7,FALSE)&amp;VLOOKUP(D971,契約台帳!$A$3:$K$4986,8,FALSE)&amp;VLOOKUP(D971,契約台帳!$A$3:$K$4986,9,FALSE)&amp;VLOOKUP(D971,契約台帳!$A$3:$K$4986,11,FALSE))</f>
        <v>3SNMLBMNGTBF</v>
      </c>
      <c r="G971" s="269" t="str">
        <f>IF(D971="","",VLOOKUP(F971,製品マスタ!$G$5:$H$5002,2,FALSE))</f>
        <v>S</v>
      </c>
      <c r="H971" s="269" t="str">
        <f>IF(D971="","",VLOOKUP(F971,製品マスタ!$G$5:$K$5002,5,FALSE))</f>
        <v>MNGTBF</v>
      </c>
      <c r="I971" s="270" t="str">
        <f>IF(D971="","",VLOOKUP(F971,製品マスタ!$G$5:$L$5002,6,FALSE))</f>
        <v>メタルミー　ネーマー　銀艶　Ｂ</v>
      </c>
      <c r="J971" s="32" t="s">
        <v>447</v>
      </c>
      <c r="K971" s="270">
        <f>IF(D971="","",VLOOKUP(D971,契約台帳!$A$3:$L$4986,12,FALSE))</f>
        <v>25</v>
      </c>
      <c r="L971" s="270" t="str">
        <f>IF(D971="","",INDEX(製品マスタ!$Q$5:$Q$5002,MATCH(F971&amp;K971,製品マスタ!$AO$5:$AO$5002,0)))</f>
        <v>T62M</v>
      </c>
      <c r="M971" s="39">
        <v>1005</v>
      </c>
      <c r="N971" s="39">
        <v>12100</v>
      </c>
      <c r="O971" s="47">
        <v>6</v>
      </c>
      <c r="P971" s="57"/>
      <c r="Q971" s="276">
        <f>IF(D971="","",IF(J971="リード付け",M971,VLOOKUP(D971,契約台帳!$A$3:$N$4986,14,FALSE)))</f>
        <v>1005</v>
      </c>
      <c r="R971" s="277">
        <f>IF(D971="","",IF(J971="リード付け",M971,VLOOKUP(D971,契約台帳!$A$3:$O$4986,15,FALSE)))</f>
        <v>1000</v>
      </c>
      <c r="S971" s="277">
        <f>IF(D971="","",IF(J971="リード付け",N971,VLOOKUP(D971,契約台帳!$A$3:$P$4986,16,FALSE)))</f>
        <v>4000</v>
      </c>
      <c r="T971" s="40">
        <v>18</v>
      </c>
      <c r="U971" s="278">
        <f ca="1">IF(D971="","",IF(OFFSET(D971,-2,0)=D971,"",VLOOKUP(D971,契約台帳!$A$3:$R$4986,18,FALSE)))</f>
        <v>18</v>
      </c>
      <c r="V971" s="269" t="str">
        <f>IF(J971="巻返し",VLOOKUP(F971&amp;K971&amp;M971,製品マスタ!$M$5:$AD$5002,18,FALSE),IF(J971="リード付け","原反コア",IF(J971="スリット",VLOOKUP(F971&amp;K971&amp;Q971,製品マスタ!$N$5:$AD$5002,17,FALSE),"")))</f>
        <v>6ｲﾝﾁSｺｱ</v>
      </c>
      <c r="W971" s="269">
        <f>IF(J971="巻返し",VLOOKUP(F971&amp;K971&amp;M971,製品マスタ!$M$5:$AE$5002,19,FALSE),IF(J971="リード付け","-",IF(J971="スリット",VLOOKUP(F971&amp;K971&amp;Q971,製品マスタ!$N$5:$AE$5002,18,FALSE),"")))</f>
        <v>1015</v>
      </c>
      <c r="X971" s="275">
        <f>IF(D971="","",VLOOKUP(D971,契約台帳!$A$3:$Q$4986,17,FALSE))</f>
        <v>2</v>
      </c>
      <c r="Y971" s="269" t="str">
        <f>IF(D971="","",VLOOKUP(D971,契約台帳!$A$3:$E$4986,5,FALSE))</f>
        <v>リンテック㈱</v>
      </c>
      <c r="Z971" s="357"/>
      <c r="AA971" s="207">
        <f>IFERROR(VLOOKUP(F971&amp;K971&amp;M971,製品マスタ!$M$5:$AM$5002,27,FALSE),"")</f>
        <v>0</v>
      </c>
      <c r="AB971" s="369"/>
      <c r="AC971" s="370"/>
      <c r="AD971" s="332" t="str">
        <f>IF(F971="","",+F971&amp;K971)</f>
        <v>3SNMLBMNGTBF25</v>
      </c>
      <c r="AE971" s="216">
        <f>+M971*N971*O971/1000</f>
        <v>72963</v>
      </c>
      <c r="AF971" s="43">
        <f>IF(AD971="","",VLOOKUP(AD971,原価マスタ!$A$2:$AJ$1693,13,FALSE))</f>
        <v>97.5</v>
      </c>
      <c r="AG971" s="47">
        <f>IF(AF971="","",+AE971*AF971/100)</f>
        <v>71138.925000000003</v>
      </c>
      <c r="AH971" s="333"/>
      <c r="AI971" s="333"/>
      <c r="AJ971" s="333"/>
      <c r="AK971" s="333"/>
      <c r="AL971" s="334"/>
      <c r="AM971" s="334"/>
      <c r="AN971" s="334"/>
      <c r="AO971" s="334"/>
      <c r="AP971" s="334"/>
      <c r="AQ971" s="335"/>
      <c r="AR971" s="336"/>
    </row>
    <row r="972" spans="1:44" s="337" customFormat="1" ht="30.95" hidden="1" customHeight="1" x14ac:dyDescent="0.2">
      <c r="A972" s="358"/>
      <c r="B972" s="359"/>
      <c r="C972" s="360"/>
      <c r="D972" s="361"/>
      <c r="E972" s="361"/>
      <c r="F972" s="362"/>
      <c r="G972" s="363"/>
      <c r="H972" s="363"/>
      <c r="I972" s="207"/>
      <c r="J972" s="364"/>
      <c r="K972" s="207"/>
      <c r="L972" s="207"/>
      <c r="M972" s="365"/>
      <c r="N972" s="365"/>
      <c r="O972" s="366"/>
      <c r="P972" s="357"/>
      <c r="Q972" s="367"/>
      <c r="R972" s="278"/>
      <c r="S972" s="278"/>
      <c r="T972" s="368"/>
      <c r="U972" s="278"/>
      <c r="V972" s="363"/>
      <c r="W972" s="363"/>
      <c r="X972" s="363"/>
      <c r="Y972" s="363"/>
      <c r="Z972" s="357"/>
      <c r="AA972" s="207"/>
      <c r="AB972" s="369"/>
      <c r="AC972" s="370"/>
      <c r="AD972" s="332"/>
      <c r="AE972" s="371"/>
      <c r="AF972" s="372"/>
      <c r="AG972" s="366"/>
      <c r="AH972" s="333"/>
      <c r="AI972" s="333"/>
      <c r="AJ972" s="333"/>
      <c r="AK972" s="333"/>
      <c r="AL972" s="334"/>
      <c r="AM972" s="334"/>
      <c r="AN972" s="334"/>
      <c r="AO972" s="334"/>
      <c r="AP972" s="334"/>
      <c r="AQ972" s="335"/>
      <c r="AR972" s="336"/>
    </row>
    <row r="973" spans="1:44" s="337" customFormat="1" ht="30.95" hidden="1" customHeight="1" x14ac:dyDescent="0.2">
      <c r="A973" s="358" t="s">
        <v>1764</v>
      </c>
      <c r="B973" s="359" t="s">
        <v>1765</v>
      </c>
      <c r="C973" s="360"/>
      <c r="D973" s="361"/>
      <c r="E973" s="361"/>
      <c r="F973" s="362"/>
      <c r="G973" s="363"/>
      <c r="H973" s="363"/>
      <c r="I973" s="207"/>
      <c r="J973" s="364" t="s">
        <v>448</v>
      </c>
      <c r="K973" s="207"/>
      <c r="L973" s="207"/>
      <c r="M973" s="365"/>
      <c r="N973" s="365"/>
      <c r="O973" s="366"/>
      <c r="P973" s="357"/>
      <c r="Q973" s="367"/>
      <c r="R973" s="278"/>
      <c r="S973" s="278"/>
      <c r="T973" s="368"/>
      <c r="U973" s="278"/>
      <c r="V973" s="363"/>
      <c r="W973" s="363"/>
      <c r="X973" s="363"/>
      <c r="Y973" s="363"/>
      <c r="Z973" s="357"/>
      <c r="AA973" s="207"/>
      <c r="AB973" s="369"/>
      <c r="AC973" s="370"/>
      <c r="AD973" s="332"/>
      <c r="AE973" s="371"/>
      <c r="AF973" s="372"/>
      <c r="AG973" s="366"/>
      <c r="AH973" s="333"/>
      <c r="AI973" s="333"/>
      <c r="AJ973" s="333"/>
      <c r="AK973" s="333"/>
      <c r="AL973" s="334"/>
      <c r="AM973" s="334"/>
      <c r="AN973" s="334"/>
      <c r="AO973" s="334"/>
      <c r="AP973" s="334"/>
      <c r="AQ973" s="335"/>
      <c r="AR973" s="336"/>
    </row>
    <row r="974" spans="1:44" s="337" customFormat="1" ht="30.95" hidden="1" customHeight="1" x14ac:dyDescent="0.2">
      <c r="A974" s="358"/>
      <c r="B974" s="359"/>
      <c r="C974" s="360"/>
      <c r="D974" s="361"/>
      <c r="E974" s="361"/>
      <c r="F974" s="362"/>
      <c r="G974" s="363"/>
      <c r="H974" s="363"/>
      <c r="I974" s="207"/>
      <c r="J974" s="364"/>
      <c r="K974" s="207"/>
      <c r="L974" s="207"/>
      <c r="M974" s="365"/>
      <c r="N974" s="365"/>
      <c r="O974" s="366"/>
      <c r="P974" s="357"/>
      <c r="Q974" s="367"/>
      <c r="R974" s="278"/>
      <c r="S974" s="278"/>
      <c r="T974" s="368"/>
      <c r="U974" s="278"/>
      <c r="V974" s="363"/>
      <c r="W974" s="363"/>
      <c r="X974" s="363"/>
      <c r="Y974" s="363"/>
      <c r="Z974" s="357"/>
      <c r="AA974" s="207"/>
      <c r="AB974" s="369"/>
      <c r="AC974" s="370"/>
      <c r="AD974" s="332"/>
      <c r="AE974" s="371"/>
      <c r="AF974" s="372"/>
      <c r="AG974" s="366"/>
      <c r="AH974" s="333"/>
      <c r="AI974" s="333"/>
      <c r="AJ974" s="333"/>
      <c r="AK974" s="333"/>
      <c r="AL974" s="334"/>
      <c r="AM974" s="334"/>
      <c r="AN974" s="334"/>
      <c r="AO974" s="334"/>
      <c r="AP974" s="334"/>
      <c r="AQ974" s="335"/>
      <c r="AR974" s="336"/>
    </row>
    <row r="975" spans="1:44" s="337" customFormat="1" ht="30.95" hidden="1" customHeight="1" x14ac:dyDescent="0.2">
      <c r="A975" s="358" t="s">
        <v>1766</v>
      </c>
      <c r="B975" s="359" t="s">
        <v>1767</v>
      </c>
      <c r="C975" s="360"/>
      <c r="D975" s="361"/>
      <c r="E975" s="361"/>
      <c r="F975" s="362"/>
      <c r="G975" s="363"/>
      <c r="H975" s="363"/>
      <c r="I975" s="207"/>
      <c r="J975" s="364" t="s">
        <v>448</v>
      </c>
      <c r="K975" s="207"/>
      <c r="L975" s="207"/>
      <c r="M975" s="365"/>
      <c r="N975" s="365"/>
      <c r="O975" s="366"/>
      <c r="P975" s="357"/>
      <c r="Q975" s="367"/>
      <c r="R975" s="278"/>
      <c r="S975" s="278"/>
      <c r="T975" s="368"/>
      <c r="U975" s="278"/>
      <c r="V975" s="363"/>
      <c r="W975" s="363"/>
      <c r="X975" s="363"/>
      <c r="Y975" s="363"/>
      <c r="Z975" s="357"/>
      <c r="AA975" s="207"/>
      <c r="AB975" s="369"/>
      <c r="AC975" s="370"/>
      <c r="AD975" s="332"/>
      <c r="AE975" s="371"/>
      <c r="AF975" s="372"/>
      <c r="AG975" s="366"/>
      <c r="AH975" s="333"/>
      <c r="AI975" s="333"/>
      <c r="AJ975" s="333"/>
      <c r="AK975" s="333"/>
      <c r="AL975" s="334"/>
      <c r="AM975" s="334"/>
      <c r="AN975" s="334"/>
      <c r="AO975" s="334"/>
      <c r="AP975" s="334"/>
      <c r="AQ975" s="335"/>
      <c r="AR975" s="336"/>
    </row>
    <row r="976" spans="1:44" s="337" customFormat="1" ht="30.95" hidden="1" customHeight="1" x14ac:dyDescent="0.2">
      <c r="A976" s="358"/>
      <c r="B976" s="359"/>
      <c r="C976" s="360"/>
      <c r="D976" s="361"/>
      <c r="E976" s="361"/>
      <c r="F976" s="362"/>
      <c r="G976" s="363"/>
      <c r="H976" s="363"/>
      <c r="I976" s="207"/>
      <c r="J976" s="364"/>
      <c r="K976" s="207"/>
      <c r="L976" s="207"/>
      <c r="M976" s="365"/>
      <c r="N976" s="365"/>
      <c r="O976" s="366"/>
      <c r="P976" s="357"/>
      <c r="Q976" s="367"/>
      <c r="R976" s="278"/>
      <c r="S976" s="278"/>
      <c r="T976" s="368"/>
      <c r="U976" s="278"/>
      <c r="V976" s="363"/>
      <c r="W976" s="363"/>
      <c r="X976" s="363"/>
      <c r="Y976" s="363"/>
      <c r="Z976" s="357"/>
      <c r="AA976" s="207"/>
      <c r="AB976" s="369"/>
      <c r="AC976" s="370"/>
      <c r="AD976" s="332"/>
      <c r="AE976" s="371"/>
      <c r="AF976" s="372"/>
      <c r="AG976" s="366"/>
      <c r="AH976" s="333"/>
      <c r="AI976" s="333"/>
      <c r="AJ976" s="333"/>
      <c r="AK976" s="333"/>
      <c r="AL976" s="334"/>
      <c r="AM976" s="334"/>
      <c r="AN976" s="334"/>
      <c r="AO976" s="334"/>
      <c r="AP976" s="334"/>
      <c r="AQ976" s="335"/>
      <c r="AR976" s="336"/>
    </row>
    <row r="977" spans="1:44" s="337" customFormat="1" ht="30.95" hidden="1" customHeight="1" x14ac:dyDescent="0.2">
      <c r="A977" s="320" t="s">
        <v>646</v>
      </c>
      <c r="B977" s="321" t="s">
        <v>462</v>
      </c>
      <c r="C977" s="360"/>
      <c r="D977" s="398">
        <v>3731342</v>
      </c>
      <c r="E977" s="31">
        <v>4151526</v>
      </c>
      <c r="F977" s="268" t="str">
        <f>IF(D977="","",VLOOKUP(D977,契約台帳!$A$3:$K$4986,6,FALSE)&amp;VLOOKUP(D977,契約台帳!$A$3:$K$4986,7,FALSE)&amp;VLOOKUP(D977,契約台帳!$A$3:$K$4986,8,FALSE)&amp;VLOOKUP(D977,契約台帳!$A$3:$K$4986,9,FALSE)&amp;VLOOKUP(D977,契約台帳!$A$3:$K$4986,11,FALSE))</f>
        <v>3SNMLBMTSF</v>
      </c>
      <c r="G977" s="269" t="str">
        <f>IF(D977="","",VLOOKUP(F977,製品マスタ!$G$5:$H$5002,2,FALSE))</f>
        <v>S</v>
      </c>
      <c r="H977" s="269" t="str">
        <f>IF(D977="","",VLOOKUP(F977,製品マスタ!$G$5:$K$5002,5,FALSE))</f>
        <v>MTSF</v>
      </c>
      <c r="I977" s="270" t="str">
        <f>IF(D977="","",VLOOKUP(F977,製品マスタ!$G$5:$L$5002,6,FALSE))</f>
        <v>メタルミー　ＴＳ</v>
      </c>
      <c r="J977" s="32" t="s">
        <v>447</v>
      </c>
      <c r="K977" s="270">
        <f>IF(D977="","",VLOOKUP(D977,契約台帳!$A$3:$L$4986,12,FALSE))</f>
        <v>50</v>
      </c>
      <c r="L977" s="270" t="str">
        <f>IF(D977="","",INDEX(製品マスタ!$Q$5:$Q$5002,MATCH(F977&amp;K977,製品マスタ!$AO$5:$AO$5002,0)))</f>
        <v>T62M</v>
      </c>
      <c r="M977" s="39">
        <v>1255</v>
      </c>
      <c r="N977" s="39">
        <v>12200</v>
      </c>
      <c r="O977" s="47">
        <v>3</v>
      </c>
      <c r="P977" s="57"/>
      <c r="Q977" s="276">
        <f>IF(D977="","",IF(J977="リード付け",M977,VLOOKUP(D977,契約台帳!$A$3:$N$4986,14,FALSE)))</f>
        <v>1255</v>
      </c>
      <c r="R977" s="277">
        <f>IF(D977="","",IF(J977="リード付け",M977,VLOOKUP(D977,契約台帳!$A$3:$O$4986,15,FALSE)))</f>
        <v>1250</v>
      </c>
      <c r="S977" s="277">
        <f>IF(D977="","",IF(J977="リード付け",N977,VLOOKUP(D977,契約台帳!$A$3:$P$4986,16,FALSE)))</f>
        <v>2000</v>
      </c>
      <c r="T977" s="40">
        <v>18</v>
      </c>
      <c r="U977" s="278">
        <f ca="1">IF(D977="","",IF(OFFSET(D977,-2,0)=D977,"",VLOOKUP(D977,契約台帳!$A$3:$R$4986,18,FALSE)))</f>
        <v>18</v>
      </c>
      <c r="V977" s="269" t="str">
        <f>IF(J977="巻返し",VLOOKUP(F977&amp;K977&amp;M977,製品マスタ!$M$5:$AD$5002,18,FALSE),IF(J977="リード付け","原反コア",IF(J977="スリット",VLOOKUP(F977&amp;K977&amp;Q977,製品マスタ!$N$5:$AD$5002,17,FALSE),"")))</f>
        <v>3ｲﾝﾁSｺｱ</v>
      </c>
      <c r="W977" s="269">
        <f>IF(J977="巻返し",VLOOKUP(F977&amp;K977&amp;M977,製品マスタ!$M$5:$AE$5002,19,FALSE),IF(J977="リード付け","-",IF(J977="スリット",VLOOKUP(F977&amp;K977&amp;Q977,製品マスタ!$N$5:$AE$5002,18,FALSE),"")))</f>
        <v>1260</v>
      </c>
      <c r="X977" s="275">
        <f>IF(D977="","",VLOOKUP(D977,契約台帳!$A$3:$Q$4986,17,FALSE))</f>
        <v>2</v>
      </c>
      <c r="Y977" s="269" t="str">
        <f>IF(D977="","",VLOOKUP(D977,契約台帳!$A$3:$E$4986,5,FALSE))</f>
        <v>日東電工㈱豊橋工場</v>
      </c>
      <c r="Z977" s="357"/>
      <c r="AA977" s="207">
        <f>IFERROR(VLOOKUP(F977&amp;K977&amp;M977,製品マスタ!$M$5:$AM$5002,27,FALSE),"")</f>
        <v>0</v>
      </c>
      <c r="AB977" s="369"/>
      <c r="AC977" s="370"/>
      <c r="AD977" s="332" t="str">
        <f>IF(F977="","",+F977&amp;K977)</f>
        <v>3SNMLBMTSF50</v>
      </c>
      <c r="AE977" s="216">
        <f>+M977*N977*O977/1000</f>
        <v>45933</v>
      </c>
      <c r="AF977" s="43">
        <f>IF(AD977="","",VLOOKUP(AD977,原価マスタ!$A$2:$AJ$1693,13,FALSE))</f>
        <v>95</v>
      </c>
      <c r="AG977" s="47">
        <f>IF(AF977="","",+AE977*AF977/100)</f>
        <v>43636.35</v>
      </c>
      <c r="AH977" s="333"/>
      <c r="AI977" s="333"/>
      <c r="AJ977" s="333"/>
      <c r="AK977" s="333"/>
      <c r="AL977" s="334"/>
      <c r="AM977" s="334"/>
      <c r="AN977" s="334"/>
      <c r="AO977" s="334"/>
      <c r="AP977" s="334"/>
      <c r="AQ977" s="335"/>
      <c r="AR977" s="336"/>
    </row>
    <row r="978" spans="1:44" s="337" customFormat="1" ht="30.95" hidden="1" customHeight="1" x14ac:dyDescent="0.2">
      <c r="A978" s="358"/>
      <c r="B978" s="359"/>
      <c r="C978" s="360"/>
      <c r="D978" s="361"/>
      <c r="E978" s="361"/>
      <c r="F978" s="362"/>
      <c r="G978" s="363"/>
      <c r="H978" s="363"/>
      <c r="I978" s="207"/>
      <c r="J978" s="364"/>
      <c r="K978" s="207"/>
      <c r="L978" s="207"/>
      <c r="M978" s="365"/>
      <c r="N978" s="365"/>
      <c r="O978" s="366"/>
      <c r="P978" s="357"/>
      <c r="Q978" s="367"/>
      <c r="R978" s="278"/>
      <c r="S978" s="278"/>
      <c r="T978" s="368"/>
      <c r="U978" s="278"/>
      <c r="V978" s="363"/>
      <c r="W978" s="363"/>
      <c r="X978" s="363"/>
      <c r="Y978" s="363"/>
      <c r="Z978" s="357"/>
      <c r="AA978" s="207"/>
      <c r="AB978" s="369"/>
      <c r="AC978" s="370"/>
      <c r="AD978" s="332"/>
      <c r="AE978" s="371"/>
      <c r="AF978" s="372"/>
      <c r="AG978" s="366"/>
      <c r="AH978" s="333"/>
      <c r="AI978" s="333"/>
      <c r="AJ978" s="333"/>
      <c r="AK978" s="333"/>
      <c r="AL978" s="334"/>
      <c r="AM978" s="334"/>
      <c r="AN978" s="334"/>
      <c r="AO978" s="334"/>
      <c r="AP978" s="334"/>
      <c r="AQ978" s="335"/>
      <c r="AR978" s="336"/>
    </row>
    <row r="979" spans="1:44" s="337" customFormat="1" ht="30.75" hidden="1" customHeight="1" x14ac:dyDescent="0.2">
      <c r="A979" s="320"/>
      <c r="B979" s="321"/>
      <c r="C979" s="322"/>
      <c r="D979" s="279">
        <v>3732871</v>
      </c>
      <c r="E979" s="279">
        <v>4151539</v>
      </c>
      <c r="F979" s="362" t="str">
        <f>IF(D979="","",VLOOKUP(D979,契約台帳!$A$3:$K$4986,6,FALSE)&amp;VLOOKUP(D979,契約台帳!$A$3:$K$4986,7,FALSE)&amp;VLOOKUP(D979,契約台帳!$A$3:$K$4986,8,FALSE)&amp;VLOOKUP(D979,契約台帳!$A$3:$K$4986,9,FALSE)&amp;VLOOKUP(D979,契約台帳!$A$3:$K$4986,11,FALSE))</f>
        <v>3HSNMLBMTSF</v>
      </c>
      <c r="G979" s="363" t="str">
        <f>IF(D979="","",VLOOKUP(F979,製品マスタ!$G$5:$H$5002,2,FALSE))</f>
        <v>S</v>
      </c>
      <c r="H979" s="363" t="str">
        <f>IF(D979="","",VLOOKUP(F979,製品マスタ!$G$5:$K$5002,5,FALSE))</f>
        <v>MTSF</v>
      </c>
      <c r="I979" s="207" t="str">
        <f>IF(D979="","",VLOOKUP(F979,製品マスタ!$G$5:$L$5002,6,FALSE))</f>
        <v>メタルミー　ＴＳ</v>
      </c>
      <c r="J979" s="373" t="s">
        <v>447</v>
      </c>
      <c r="K979" s="207">
        <f>IF(D979="","",VLOOKUP(D979,契約台帳!$A$3:$L$4986,12,FALSE))</f>
        <v>50</v>
      </c>
      <c r="L979" s="207" t="str">
        <f>IF(D979="","",INDEX(製品マスタ!$Q$5:$Q$5002,MATCH(F979&amp;K979,製品マスタ!$AO$5:$AO$5002,0)))</f>
        <v>T62M</v>
      </c>
      <c r="M979" s="326">
        <v>1195</v>
      </c>
      <c r="N979" s="326">
        <v>6100</v>
      </c>
      <c r="O979" s="175">
        <v>1</v>
      </c>
      <c r="P979" s="329"/>
      <c r="Q979" s="367">
        <f>IF(D979="","",IF(J979="リード付け",M979,VLOOKUP(D979,契約台帳!$A$3:$N$4986,14,FALSE)))</f>
        <v>1000</v>
      </c>
      <c r="R979" s="278">
        <f>IF(D979="","",IF(J979="リード付け",M979,VLOOKUP(D979,契約台帳!$A$3:$O$4986,15,FALSE)))</f>
        <v>1000</v>
      </c>
      <c r="S979" s="278">
        <f>IF(D979="","",IF(J979="リード付け",N979,VLOOKUP(D979,契約台帳!$A$3:$P$4986,16,FALSE)))</f>
        <v>1000</v>
      </c>
      <c r="T979" s="183">
        <v>6</v>
      </c>
      <c r="U979" s="278">
        <f ca="1">IF(D979="","",IF(OFFSET(D979,-2,0)=D979,"",VLOOKUP(D979,契約台帳!$A$3:$R$4986,18,FALSE)))</f>
        <v>6</v>
      </c>
      <c r="V979" s="363" t="s">
        <v>903</v>
      </c>
      <c r="W979" s="363">
        <v>1005</v>
      </c>
      <c r="X979" s="363">
        <f>IF(D979="","",VLOOKUP(D979,契約台帳!$A$3:$Q$4986,17,FALSE))</f>
        <v>2</v>
      </c>
      <c r="Y979" s="363" t="str">
        <f>IF(D979="","",VLOOKUP(D979,契約台帳!$A$3:$E$4986,5,FALSE))</f>
        <v>パナック㈱亀山工場</v>
      </c>
      <c r="Z979" s="329"/>
      <c r="AA979" s="207">
        <f>IFERROR(VLOOKUP(F979&amp;K979&amp;M979,製品マスタ!$M$5:$AM$5002,27,FALSE),"")</f>
        <v>0</v>
      </c>
      <c r="AB979" s="330"/>
      <c r="AC979" s="331"/>
      <c r="AD979" s="332" t="str">
        <f>IF(F979="","",+F979&amp;K979)</f>
        <v>3HSNMLBMTSF50</v>
      </c>
      <c r="AE979" s="216">
        <f>+M979*N979*O979/1000</f>
        <v>7289.5</v>
      </c>
      <c r="AF979" s="43" t="e">
        <f>IF(AD979="","",VLOOKUP(AD979,原価マスタ!$A$2:$AJ$1693,13,FALSE))</f>
        <v>#N/A</v>
      </c>
      <c r="AG979" s="47" t="e">
        <f>IF(AF979="","",+AE979*AF979/100)</f>
        <v>#N/A</v>
      </c>
      <c r="AH979" s="333"/>
      <c r="AI979" s="333"/>
      <c r="AJ979" s="333"/>
      <c r="AK979" s="333"/>
      <c r="AL979" s="334"/>
      <c r="AM979" s="334"/>
      <c r="AN979" s="334"/>
      <c r="AO979" s="334"/>
      <c r="AP979" s="334"/>
      <c r="AQ979" s="335"/>
      <c r="AR979" s="336"/>
    </row>
    <row r="980" spans="1:44" s="337" customFormat="1" ht="30.95" hidden="1" customHeight="1" x14ac:dyDescent="0.2">
      <c r="A980" s="358"/>
      <c r="B980" s="359"/>
      <c r="C980" s="360"/>
      <c r="D980" s="361"/>
      <c r="E980" s="361"/>
      <c r="F980" s="362"/>
      <c r="G980" s="363"/>
      <c r="H980" s="363"/>
      <c r="I980" s="207"/>
      <c r="J980" s="364"/>
      <c r="K980" s="207"/>
      <c r="L980" s="207"/>
      <c r="M980" s="365"/>
      <c r="N980" s="365"/>
      <c r="O980" s="366"/>
      <c r="P980" s="357"/>
      <c r="Q980" s="367"/>
      <c r="R980" s="278"/>
      <c r="S980" s="278"/>
      <c r="T980" s="368"/>
      <c r="U980" s="278"/>
      <c r="V980" s="363"/>
      <c r="W980" s="363"/>
      <c r="X980" s="363"/>
      <c r="Y980" s="363"/>
      <c r="Z980" s="357"/>
      <c r="AA980" s="207"/>
      <c r="AB980" s="369"/>
      <c r="AC980" s="370"/>
      <c r="AD980" s="332"/>
      <c r="AE980" s="371"/>
      <c r="AF980" s="372"/>
      <c r="AG980" s="366"/>
      <c r="AH980" s="333"/>
      <c r="AI980" s="333"/>
      <c r="AJ980" s="333"/>
      <c r="AK980" s="333"/>
      <c r="AL980" s="334"/>
      <c r="AM980" s="334"/>
      <c r="AN980" s="334"/>
      <c r="AO980" s="334"/>
      <c r="AP980" s="334"/>
      <c r="AQ980" s="335"/>
      <c r="AR980" s="336"/>
    </row>
    <row r="981" spans="1:44" s="337" customFormat="1" ht="30.95" hidden="1" customHeight="1" x14ac:dyDescent="0.2">
      <c r="A981" s="320" t="s">
        <v>647</v>
      </c>
      <c r="B981" s="321" t="s">
        <v>688</v>
      </c>
      <c r="C981" s="360"/>
      <c r="D981" s="398">
        <v>3731341</v>
      </c>
      <c r="E981" s="31">
        <v>4151535</v>
      </c>
      <c r="F981" s="268" t="str">
        <f>IF(D981="","",VLOOKUP(D981,契約台帳!$A$3:$K$4986,6,FALSE)&amp;VLOOKUP(D981,契約台帳!$A$3:$K$4986,7,FALSE)&amp;VLOOKUP(D981,契約台帳!$A$3:$K$4986,8,FALSE)&amp;VLOOKUP(D981,契約台帳!$A$3:$K$4986,9,FALSE)&amp;VLOOKUP(D981,契約台帳!$A$3:$K$4986,11,FALSE))</f>
        <v>3SNMLBMTSF</v>
      </c>
      <c r="G981" s="269" t="str">
        <f>IF(D981="","",VLOOKUP(F981,製品マスタ!$G$5:$H$5002,2,FALSE))</f>
        <v>S</v>
      </c>
      <c r="H981" s="269" t="str">
        <f>IF(D981="","",VLOOKUP(F981,製品マスタ!$G$5:$K$5002,5,FALSE))</f>
        <v>MTSF</v>
      </c>
      <c r="I981" s="270" t="str">
        <f>IF(D981="","",VLOOKUP(F981,製品マスタ!$G$5:$L$5002,6,FALSE))</f>
        <v>メタルミー　ＴＳ</v>
      </c>
      <c r="J981" s="32" t="s">
        <v>447</v>
      </c>
      <c r="K981" s="270">
        <f>IF(D981="","",VLOOKUP(D981,契約台帳!$A$3:$L$4986,12,FALSE))</f>
        <v>75</v>
      </c>
      <c r="L981" s="270" t="str">
        <f>IF(D981="","",INDEX(製品マスタ!$Q$5:$Q$5002,MATCH(F981&amp;K981,製品マスタ!$AO$5:$AO$5002,0)))</f>
        <v>T60</v>
      </c>
      <c r="M981" s="39">
        <v>1100</v>
      </c>
      <c r="N981" s="39">
        <v>2000</v>
      </c>
      <c r="O981" s="47">
        <v>1</v>
      </c>
      <c r="P981" s="57"/>
      <c r="Q981" s="276">
        <f>IF(D981="","",IF(J981="リード付け",M981,VLOOKUP(D981,契約台帳!$A$3:$N$4986,14,FALSE)))</f>
        <v>1000</v>
      </c>
      <c r="R981" s="277">
        <f>IF(D981="","",IF(J981="リード付け",M981,VLOOKUP(D981,契約台帳!$A$3:$O$4986,15,FALSE)))</f>
        <v>1000</v>
      </c>
      <c r="S981" s="277">
        <f>IF(D981="","",IF(J981="リード付け",N981,VLOOKUP(D981,契約台帳!$A$3:$P$4986,16,FALSE)))</f>
        <v>1000</v>
      </c>
      <c r="T981" s="40">
        <v>2</v>
      </c>
      <c r="U981" s="278">
        <f ca="1">IF(D981="","",IF(OFFSET(D981,-2,0)=D981,"",VLOOKUP(D981,契約台帳!$A$3:$R$4986,18,FALSE)))</f>
        <v>2</v>
      </c>
      <c r="V981" s="269" t="str">
        <f>IF(J981="巻返し",VLOOKUP(F981&amp;K981&amp;M981,製品マスタ!$M$5:$AD$5002,18,FALSE),IF(J981="リード付け","原反コア",IF(J981="スリット",VLOOKUP(F981&amp;K981&amp;Q981,製品マスタ!$N$5:$AD$5002,17,FALSE),"")))</f>
        <v>3ｲﾝﾁSｺｱ</v>
      </c>
      <c r="W981" s="269">
        <f>IF(J981="巻返し",VLOOKUP(F981&amp;K981&amp;M981,製品マスタ!$M$5:$AE$5002,19,FALSE),IF(J981="リード付け","-",IF(J981="スリット",VLOOKUP(F981&amp;K981&amp;Q981,製品マスタ!$N$5:$AE$5002,18,FALSE),"")))</f>
        <v>1005</v>
      </c>
      <c r="X981" s="275">
        <f>IF(D981="","",VLOOKUP(D981,契約台帳!$A$3:$Q$4986,17,FALSE))</f>
        <v>2</v>
      </c>
      <c r="Y981" s="269" t="str">
        <f>IF(D981="","",VLOOKUP(D981,契約台帳!$A$3:$E$4986,5,FALSE))</f>
        <v>パナック㈱亀山工場</v>
      </c>
      <c r="Z981" s="357"/>
      <c r="AA981" s="207">
        <f>IFERROR(VLOOKUP(F981&amp;K981&amp;M981,製品マスタ!$M$5:$AM$5002,27,FALSE),"")</f>
        <v>0</v>
      </c>
      <c r="AB981" s="369"/>
      <c r="AC981" s="370"/>
      <c r="AD981" s="332" t="str">
        <f>IF(F981="","",+F981&amp;K981)</f>
        <v>3SNMLBMTSF75</v>
      </c>
      <c r="AE981" s="216">
        <f>+M981*N981*O981/1000</f>
        <v>2200</v>
      </c>
      <c r="AF981" s="43">
        <f>IF(AD981="","",VLOOKUP(AD981,原価マスタ!$A$2:$AJ$1693,13,FALSE))</f>
        <v>86</v>
      </c>
      <c r="AG981" s="47">
        <f>IF(AF981="","",+AE981*AF981/100)</f>
        <v>1892</v>
      </c>
      <c r="AH981" s="333"/>
      <c r="AI981" s="333"/>
      <c r="AJ981" s="333"/>
      <c r="AK981" s="333"/>
      <c r="AL981" s="334"/>
      <c r="AM981" s="334"/>
      <c r="AN981" s="334"/>
      <c r="AO981" s="334"/>
      <c r="AP981" s="334"/>
      <c r="AQ981" s="335"/>
      <c r="AR981" s="336"/>
    </row>
    <row r="982" spans="1:44" s="337" customFormat="1" ht="30.95" hidden="1" customHeight="1" x14ac:dyDescent="0.2">
      <c r="A982" s="358"/>
      <c r="B982" s="359"/>
      <c r="C982" s="360"/>
      <c r="D982" s="361"/>
      <c r="E982" s="361"/>
      <c r="F982" s="362"/>
      <c r="G982" s="363"/>
      <c r="H982" s="363"/>
      <c r="I982" s="207"/>
      <c r="J982" s="364"/>
      <c r="K982" s="207"/>
      <c r="L982" s="207"/>
      <c r="M982" s="365"/>
      <c r="N982" s="365"/>
      <c r="O982" s="366"/>
      <c r="P982" s="357"/>
      <c r="Q982" s="367"/>
      <c r="R982" s="278"/>
      <c r="S982" s="278"/>
      <c r="T982" s="368"/>
      <c r="U982" s="278"/>
      <c r="V982" s="363"/>
      <c r="W982" s="363"/>
      <c r="X982" s="363"/>
      <c r="Y982" s="363"/>
      <c r="Z982" s="357"/>
      <c r="AA982" s="207"/>
      <c r="AB982" s="369"/>
      <c r="AC982" s="370"/>
      <c r="AD982" s="332"/>
      <c r="AE982" s="371"/>
      <c r="AF982" s="372"/>
      <c r="AG982" s="366"/>
      <c r="AH982" s="333"/>
      <c r="AI982" s="333"/>
      <c r="AJ982" s="333"/>
      <c r="AK982" s="333"/>
      <c r="AL982" s="334"/>
      <c r="AM982" s="334"/>
      <c r="AN982" s="334"/>
      <c r="AO982" s="334"/>
      <c r="AP982" s="334"/>
      <c r="AQ982" s="335"/>
      <c r="AR982" s="336"/>
    </row>
    <row r="983" spans="1:44" s="337" customFormat="1" ht="30.95" hidden="1" customHeight="1" x14ac:dyDescent="0.2">
      <c r="A983" s="320"/>
      <c r="B983" s="321"/>
      <c r="C983" s="360"/>
      <c r="D983" s="398">
        <v>3731340</v>
      </c>
      <c r="E983" s="31">
        <v>4151536</v>
      </c>
      <c r="F983" s="268" t="str">
        <f>IF(D983="","",VLOOKUP(D983,契約台帳!$A$3:$K$4986,6,FALSE)&amp;VLOOKUP(D983,契約台帳!$A$3:$K$4986,7,FALSE)&amp;VLOOKUP(D983,契約台帳!$A$3:$K$4986,8,FALSE)&amp;VLOOKUP(D983,契約台帳!$A$3:$K$4986,9,FALSE)&amp;VLOOKUP(D983,契約台帳!$A$3:$K$4986,11,FALSE))</f>
        <v>3SNMLBMSF</v>
      </c>
      <c r="G983" s="269" t="str">
        <f>IF(D983="","",VLOOKUP(F983,製品マスタ!$G$5:$H$5002,2,FALSE))</f>
        <v>S</v>
      </c>
      <c r="H983" s="269" t="str">
        <f>IF(D983="","",VLOOKUP(F983,製品マスタ!$G$5:$K$5002,5,FALSE))</f>
        <v>MSF</v>
      </c>
      <c r="I983" s="270" t="str">
        <f>IF(D983="","",VLOOKUP(F983,製品マスタ!$G$5:$L$5002,6,FALSE))</f>
        <v>メタルミー　Ｓ</v>
      </c>
      <c r="J983" s="32" t="s">
        <v>447</v>
      </c>
      <c r="K983" s="270">
        <f>IF(D983="","",VLOOKUP(D983,契約台帳!$A$3:$L$4986,12,FALSE))</f>
        <v>25</v>
      </c>
      <c r="L983" s="270" t="str">
        <f>IF(D983="","",INDEX(製品マスタ!$Q$5:$Q$5002,MATCH(F983&amp;K983,製品マスタ!$AO$5:$AO$5002,0)))</f>
        <v>T62M</v>
      </c>
      <c r="M983" s="39">
        <v>1020</v>
      </c>
      <c r="N983" s="39">
        <v>12100</v>
      </c>
      <c r="O983" s="47">
        <v>1</v>
      </c>
      <c r="P983" s="57"/>
      <c r="Q983" s="276">
        <f>IF(D983="","",IF(J983="リード付け",M983,VLOOKUP(D983,契約台帳!$A$3:$N$4986,14,FALSE)))</f>
        <v>1000</v>
      </c>
      <c r="R983" s="277">
        <f>IF(D983="","",IF(J983="リード付け",M983,VLOOKUP(D983,契約台帳!$A$3:$O$4986,15,FALSE)))</f>
        <v>1000</v>
      </c>
      <c r="S983" s="277">
        <f>IF(D983="","",IF(J983="リード付け",N983,VLOOKUP(D983,契約台帳!$A$3:$P$4986,16,FALSE)))</f>
        <v>2000</v>
      </c>
      <c r="T983" s="40">
        <v>4</v>
      </c>
      <c r="U983" s="278">
        <f ca="1">IF(D983="","",IF(OFFSET(D983,-2,0)=D983,"",VLOOKUP(D983,契約台帳!$A$3:$R$4986,18,FALSE)))</f>
        <v>4</v>
      </c>
      <c r="V983" s="269" t="str">
        <f>IF(J983="巻返し",VLOOKUP(F983&amp;K983&amp;M983,製品マスタ!$M$5:$AD$5002,18,FALSE),IF(J983="リード付け","原反コア",IF(J983="スリット",VLOOKUP(F983&amp;K983&amp;Q983,製品マスタ!$N$5:$AD$5002,17,FALSE),"")))</f>
        <v>3ｲﾝﾁSｺｱ</v>
      </c>
      <c r="W983" s="269">
        <f>IF(J983="巻返し",VLOOKUP(F983&amp;K983&amp;M983,製品マスタ!$M$5:$AE$5002,19,FALSE),IF(J983="リード付け","-",IF(J983="スリット",VLOOKUP(F983&amp;K983&amp;Q983,製品マスタ!$N$5:$AE$5002,18,FALSE),"")))</f>
        <v>1005</v>
      </c>
      <c r="X983" s="275">
        <f>IF(D983="","",VLOOKUP(D983,契約台帳!$A$3:$Q$4986,17,FALSE))</f>
        <v>2</v>
      </c>
      <c r="Y983" s="269" t="str">
        <f>IF(D983="","",VLOOKUP(D983,契約台帳!$A$3:$E$4986,5,FALSE))</f>
        <v>パナック㈱亀山工場</v>
      </c>
      <c r="Z983" s="357"/>
      <c r="AA983" s="207">
        <f>IFERROR(VLOOKUP(F983&amp;K983&amp;M983,製品マスタ!$M$5:$AM$5002,27,FALSE),"")</f>
        <v>0</v>
      </c>
      <c r="AB983" s="369"/>
      <c r="AC983" s="370"/>
      <c r="AD983" s="332" t="str">
        <f>IF(F983="","",+F983&amp;K983)</f>
        <v>3SNMLBMSF25</v>
      </c>
      <c r="AE983" s="216">
        <f>+M983*N983*O983/1000</f>
        <v>12342</v>
      </c>
      <c r="AF983" s="43">
        <f>IF(AD983="","",VLOOKUP(AD983,原価マスタ!$A$2:$AJ$1693,13,FALSE))</f>
        <v>97</v>
      </c>
      <c r="AG983" s="47">
        <f>IF(AF983="","",+AE983*AF983/100)</f>
        <v>11971.74</v>
      </c>
      <c r="AH983" s="333"/>
      <c r="AI983" s="333"/>
      <c r="AJ983" s="333"/>
      <c r="AK983" s="333"/>
      <c r="AL983" s="334"/>
      <c r="AM983" s="334"/>
      <c r="AN983" s="334"/>
      <c r="AO983" s="334"/>
      <c r="AP983" s="334"/>
      <c r="AQ983" s="335"/>
      <c r="AR983" s="336"/>
    </row>
    <row r="984" spans="1:44" s="337" customFormat="1" ht="30.95" hidden="1" customHeight="1" x14ac:dyDescent="0.2">
      <c r="A984" s="358"/>
      <c r="B984" s="359"/>
      <c r="C984" s="360"/>
      <c r="D984" s="361"/>
      <c r="E984" s="361"/>
      <c r="F984" s="362"/>
      <c r="G984" s="363"/>
      <c r="H984" s="363"/>
      <c r="I984" s="207"/>
      <c r="J984" s="364"/>
      <c r="K984" s="207"/>
      <c r="L984" s="207"/>
      <c r="M984" s="365"/>
      <c r="N984" s="365"/>
      <c r="O984" s="366"/>
      <c r="P984" s="357"/>
      <c r="Q984" s="367">
        <v>1020</v>
      </c>
      <c r="R984" s="278">
        <v>1020</v>
      </c>
      <c r="S984" s="278">
        <v>2000</v>
      </c>
      <c r="T984" s="368">
        <v>2</v>
      </c>
      <c r="U984" s="278">
        <v>2</v>
      </c>
      <c r="V984" s="363" t="s">
        <v>903</v>
      </c>
      <c r="W984" s="363">
        <v>1025</v>
      </c>
      <c r="X984" s="363">
        <v>2</v>
      </c>
      <c r="Y984" s="269" t="s">
        <v>17</v>
      </c>
      <c r="Z984" s="357"/>
      <c r="AA984" s="207"/>
      <c r="AB984" s="369"/>
      <c r="AC984" s="370"/>
      <c r="AD984" s="332"/>
      <c r="AE984" s="371"/>
      <c r="AF984" s="372"/>
      <c r="AG984" s="366"/>
      <c r="AH984" s="333"/>
      <c r="AI984" s="333"/>
      <c r="AJ984" s="333"/>
      <c r="AK984" s="333"/>
      <c r="AL984" s="334"/>
      <c r="AM984" s="334"/>
      <c r="AN984" s="334"/>
      <c r="AO984" s="334"/>
      <c r="AP984" s="334"/>
      <c r="AQ984" s="335"/>
      <c r="AR984" s="336"/>
    </row>
    <row r="985" spans="1:44" s="337" customFormat="1" ht="30.95" hidden="1" customHeight="1" x14ac:dyDescent="0.2">
      <c r="A985" s="358"/>
      <c r="B985" s="359"/>
      <c r="C985" s="360"/>
      <c r="D985" s="361"/>
      <c r="E985" s="361"/>
      <c r="F985" s="362"/>
      <c r="G985" s="363"/>
      <c r="H985" s="363"/>
      <c r="I985" s="207"/>
      <c r="J985" s="364"/>
      <c r="K985" s="207"/>
      <c r="L985" s="207"/>
      <c r="M985" s="365"/>
      <c r="N985" s="365"/>
      <c r="O985" s="366"/>
      <c r="P985" s="357"/>
      <c r="Q985" s="367"/>
      <c r="R985" s="278"/>
      <c r="S985" s="278"/>
      <c r="T985" s="368"/>
      <c r="U985" s="278"/>
      <c r="V985" s="363"/>
      <c r="W985" s="363"/>
      <c r="X985" s="363"/>
      <c r="Y985" s="363"/>
      <c r="Z985" s="357"/>
      <c r="AA985" s="207"/>
      <c r="AB985" s="369"/>
      <c r="AC985" s="370"/>
      <c r="AD985" s="332"/>
      <c r="AE985" s="371"/>
      <c r="AF985" s="372"/>
      <c r="AG985" s="366"/>
      <c r="AH985" s="333"/>
      <c r="AI985" s="333"/>
      <c r="AJ985" s="333"/>
      <c r="AK985" s="333"/>
      <c r="AL985" s="334"/>
      <c r="AM985" s="334"/>
      <c r="AN985" s="334"/>
      <c r="AO985" s="334"/>
      <c r="AP985" s="334"/>
      <c r="AQ985" s="335"/>
      <c r="AR985" s="336"/>
    </row>
    <row r="986" spans="1:44" s="337" customFormat="1" ht="30.95" hidden="1" customHeight="1" x14ac:dyDescent="0.2">
      <c r="A986" s="320" t="s">
        <v>649</v>
      </c>
      <c r="B986" s="321" t="s">
        <v>442</v>
      </c>
      <c r="C986" s="360"/>
      <c r="D986" s="398">
        <v>3732645</v>
      </c>
      <c r="E986" s="31">
        <v>4151532</v>
      </c>
      <c r="F986" s="268" t="str">
        <f>IF(D986="","",VLOOKUP(D986,契約台帳!$A$3:$K$4986,6,FALSE)&amp;VLOOKUP(D986,契約台帳!$A$3:$K$4986,7,FALSE)&amp;VLOOKUP(D986,契約台帳!$A$3:$K$4986,8,FALSE)&amp;VLOOKUP(D986,契約台帳!$A$3:$K$4986,9,FALSE)&amp;VLOOKUP(D986,契約台帳!$A$3:$K$4986,11,FALSE))</f>
        <v>3SNMLBMDMSJF</v>
      </c>
      <c r="G986" s="269" t="str">
        <f>IF(D986="","",VLOOKUP(F986,製品マスタ!$G$5:$H$5002,2,FALSE))</f>
        <v>S</v>
      </c>
      <c r="H986" s="269" t="str">
        <f>IF(D986="","",VLOOKUP(F986,製品マスタ!$G$5:$K$5002,5,FALSE))</f>
        <v>MDMSJF</v>
      </c>
      <c r="I986" s="270" t="str">
        <f>IF(D986="","",VLOOKUP(F986,製品マスタ!$G$5:$L$5002,6,FALSE))</f>
        <v>ＤＭＳ蒸着（Ｘ－４４）</v>
      </c>
      <c r="J986" s="32" t="s">
        <v>447</v>
      </c>
      <c r="K986" s="270">
        <f>IF(D986="","",VLOOKUP(D986,契約台帳!$A$3:$L$4986,12,FALSE))</f>
        <v>50</v>
      </c>
      <c r="L986" s="270" t="str">
        <f>IF(D986="","",INDEX(製品マスタ!$Q$5:$Q$5002,MATCH(F986&amp;K986,製品マスタ!$AO$5:$AO$5002,0)))</f>
        <v>X44</v>
      </c>
      <c r="M986" s="39">
        <v>1020</v>
      </c>
      <c r="N986" s="39">
        <v>8000</v>
      </c>
      <c r="O986" s="47">
        <v>1</v>
      </c>
      <c r="P986" s="57"/>
      <c r="Q986" s="276">
        <v>1000</v>
      </c>
      <c r="R986" s="277">
        <f>IF(D986="","",IF(J986="リード付け",M986,VLOOKUP(D986,契約台帳!$A$3:$O$4986,15,FALSE)))</f>
        <v>1000</v>
      </c>
      <c r="S986" s="277">
        <f>IF(D986="","",IF(J986="リード付け",N986,VLOOKUP(D986,契約台帳!$A$3:$P$4986,16,FALSE)))</f>
        <v>2000</v>
      </c>
      <c r="T986" s="40">
        <v>4</v>
      </c>
      <c r="U986" s="278">
        <f ca="1">IF(D986="","",IF(OFFSET(D986,-2,0)=D986,"",VLOOKUP(D986,契約台帳!$A$3:$R$4986,18,FALSE)))</f>
        <v>4</v>
      </c>
      <c r="V986" s="269" t="str">
        <f>IF(J986="巻返し",VLOOKUP(F986&amp;K986&amp;M986,製品マスタ!$M$5:$AD$5002,18,FALSE),IF(J986="リード付け","原反コア",IF(J986="スリット",VLOOKUP(F986&amp;K986&amp;Q986,製品マスタ!$N$5:$AD$5002,17,FALSE),"")))</f>
        <v>3ｲﾝﾁSｺｱ</v>
      </c>
      <c r="W986" s="269">
        <f>IF(J986="巻返し",VLOOKUP(F986&amp;K986&amp;M986,製品マスタ!$M$5:$AE$5002,19,FALSE),IF(J986="リード付け","-",IF(J986="スリット",VLOOKUP(F986&amp;K986&amp;Q986,製品マスタ!$N$5:$AE$5002,18,FALSE),"")))</f>
        <v>1005</v>
      </c>
      <c r="X986" s="275">
        <f>IF(D986="","",VLOOKUP(D986,契約台帳!$A$3:$Q$4986,17,FALSE))</f>
        <v>2</v>
      </c>
      <c r="Y986" s="269" t="str">
        <f>IF(D986="","",VLOOKUP(D986,契約台帳!$A$3:$E$4986,5,FALSE))</f>
        <v>五洋紙工㈱</v>
      </c>
      <c r="Z986" s="357"/>
      <c r="AA986" s="207">
        <f>IFERROR(VLOOKUP(F986&amp;K986&amp;M986,製品マスタ!$M$5:$AM$5002,27,FALSE),"")</f>
        <v>0</v>
      </c>
      <c r="AB986" s="369"/>
      <c r="AC986" s="370"/>
      <c r="AD986" s="332" t="str">
        <f>IF(F986="","",+F986&amp;K986)</f>
        <v>3SNMLBMDMSJF50</v>
      </c>
      <c r="AE986" s="216">
        <f>+M986*N986*O986/1000</f>
        <v>8160</v>
      </c>
      <c r="AF986" s="43">
        <v>97</v>
      </c>
      <c r="AG986" s="47">
        <f>IF(AF986="","",+AE986*AF986/100)</f>
        <v>7915.2</v>
      </c>
      <c r="AH986" s="333"/>
      <c r="AI986" s="333"/>
      <c r="AJ986" s="333"/>
      <c r="AK986" s="333"/>
      <c r="AL986" s="334"/>
      <c r="AM986" s="334"/>
      <c r="AN986" s="334"/>
      <c r="AO986" s="334"/>
      <c r="AP986" s="334"/>
      <c r="AQ986" s="335"/>
      <c r="AR986" s="336"/>
    </row>
    <row r="987" spans="1:44" s="337" customFormat="1" ht="30.95" hidden="1" customHeight="1" x14ac:dyDescent="0.2">
      <c r="A987" s="358"/>
      <c r="B987" s="359"/>
      <c r="C987" s="360"/>
      <c r="D987" s="361"/>
      <c r="E987" s="361"/>
      <c r="F987" s="362"/>
      <c r="G987" s="363"/>
      <c r="H987" s="363"/>
      <c r="I987" s="207"/>
      <c r="J987" s="364"/>
      <c r="K987" s="207"/>
      <c r="L987" s="207"/>
      <c r="M987" s="365"/>
      <c r="N987" s="365"/>
      <c r="O987" s="366"/>
      <c r="P987" s="357"/>
      <c r="Q987" s="367"/>
      <c r="R987" s="278"/>
      <c r="S987" s="278"/>
      <c r="T987" s="368"/>
      <c r="U987" s="278"/>
      <c r="V987" s="363"/>
      <c r="W987" s="363"/>
      <c r="X987" s="363"/>
      <c r="Y987" s="363"/>
      <c r="Z987" s="357"/>
      <c r="AA987" s="207"/>
      <c r="AB987" s="369"/>
      <c r="AC987" s="370"/>
      <c r="AD987" s="332"/>
      <c r="AE987" s="371"/>
      <c r="AF987" s="372"/>
      <c r="AG987" s="366"/>
      <c r="AH987" s="333"/>
      <c r="AI987" s="333"/>
      <c r="AJ987" s="333"/>
      <c r="AK987" s="333"/>
      <c r="AL987" s="334"/>
      <c r="AM987" s="334"/>
      <c r="AN987" s="334"/>
      <c r="AO987" s="334"/>
      <c r="AP987" s="334"/>
      <c r="AQ987" s="335"/>
      <c r="AR987" s="336"/>
    </row>
    <row r="988" spans="1:44" s="337" customFormat="1" ht="30.95" hidden="1" customHeight="1" x14ac:dyDescent="0.2">
      <c r="A988" s="320"/>
      <c r="B988" s="321"/>
      <c r="C988" s="360"/>
      <c r="D988" s="398">
        <v>3731374</v>
      </c>
      <c r="E988" s="31">
        <v>4151518</v>
      </c>
      <c r="F988" s="268" t="str">
        <f>IF(D988="","",VLOOKUP(D988,契約台帳!$A$3:$K$4986,6,FALSE)&amp;VLOOKUP(D988,契約台帳!$A$3:$K$4986,7,FALSE)&amp;VLOOKUP(D988,契約台帳!$A$3:$K$4986,8,FALSE)&amp;VLOOKUP(D988,契約台帳!$A$3:$K$4986,9,FALSE)&amp;VLOOKUP(D988,契約台帳!$A$3:$K$4986,11,FALSE))</f>
        <v>3SYMLBMSBBF</v>
      </c>
      <c r="G988" s="269" t="str">
        <f>IF(D988="","",VLOOKUP(F988,製品マスタ!$G$5:$H$5002,2,FALSE))</f>
        <v>S</v>
      </c>
      <c r="H988" s="269" t="str">
        <f>IF(D988="","",VLOOKUP(F988,製品マスタ!$G$5:$K$5002,5,FALSE))</f>
        <v>MSBBF</v>
      </c>
      <c r="I988" s="270" t="str">
        <f>IF(D988="","",VLOOKUP(F988,製品マスタ!$G$5:$L$5002,6,FALSE))</f>
        <v>ＭＥＴＡＬＵＭＹ　ＳＩＬＶＥＲ　ＢＲＩＧＨＴ　Ｔ６２Ｍ　Ｂ</v>
      </c>
      <c r="J988" s="32" t="s">
        <v>447</v>
      </c>
      <c r="K988" s="270">
        <f>IF(D988="","",VLOOKUP(D988,契約台帳!$A$3:$L$4986,12,FALSE))</f>
        <v>50</v>
      </c>
      <c r="L988" s="270" t="str">
        <f>IF(D988="","",INDEX(製品マスタ!$Q$5:$Q$5002,MATCH(F988&amp;K988,製品マスタ!$AO$5:$AO$5002,0)))</f>
        <v>T62</v>
      </c>
      <c r="M988" s="39">
        <v>1120</v>
      </c>
      <c r="N988" s="39">
        <v>10000</v>
      </c>
      <c r="O988" s="47">
        <v>1</v>
      </c>
      <c r="P988" s="57"/>
      <c r="Q988" s="276">
        <f>IF(D988="","",IF(J988="リード付け",M988,VLOOKUP(D988,契約台帳!$A$3:$N$4986,14,FALSE)))</f>
        <v>1120</v>
      </c>
      <c r="R988" s="277">
        <f>IF(D988="","",IF(J988="リード付け",M988,VLOOKUP(D988,契約台帳!$A$3:$O$4986,15,FALSE)))</f>
        <v>1120</v>
      </c>
      <c r="S988" s="277">
        <f>IF(D988="","",IF(J988="リード付け",N988,VLOOKUP(D988,契約台帳!$A$3:$P$4986,16,FALSE)))</f>
        <v>5000</v>
      </c>
      <c r="T988" s="40">
        <v>2</v>
      </c>
      <c r="U988" s="278">
        <f ca="1">IF(D988="","",IF(OFFSET(D988,-2,0)=D988,"",VLOOKUP(D988,契約台帳!$A$3:$R$4986,18,FALSE)))</f>
        <v>2</v>
      </c>
      <c r="V988" s="269" t="str">
        <f>IF(J988="巻返し",VLOOKUP(F988&amp;K988&amp;M988,製品マスタ!$M$5:$AD$5002,18,FALSE),IF(J988="リード付け","原反コア",IF(J988="スリット",VLOOKUP(F988&amp;K988&amp;Q988,製品マスタ!$N$5:$AD$5002,17,FALSE),"")))</f>
        <v>6ｲﾝﾁSｺｱ</v>
      </c>
      <c r="W988" s="269">
        <f>IF(J988="巻返し",VLOOKUP(F988&amp;K988&amp;M988,製品マスタ!$M$5:$AE$5002,19,FALSE),IF(J988="リード付け","-",IF(J988="スリット",VLOOKUP(F988&amp;K988&amp;Q988,製品マスタ!$N$5:$AE$5002,18,FALSE),"")))</f>
        <v>1125</v>
      </c>
      <c r="X988" s="275">
        <f>IF(D988="","",VLOOKUP(D988,契約台帳!$A$3:$Q$4986,17,FALSE))</f>
        <v>2</v>
      </c>
      <c r="Y988" s="269" t="str">
        <f>IF(D988="","",VLOOKUP(D988,契約台帳!$A$3:$E$4986,5,FALSE))</f>
        <v>リンテック㈱</v>
      </c>
      <c r="Z988" s="357"/>
      <c r="AA988" s="207" t="str">
        <f>IFERROR(VLOOKUP(F988&amp;K988&amp;M988,製品マスタ!$M$5:$AM$5002,27,FALSE),"")</f>
        <v>原反ケース再利用</v>
      </c>
      <c r="AB988" s="369"/>
      <c r="AC988" s="370"/>
      <c r="AD988" s="332" t="str">
        <f>IF(F988="","",+F988&amp;K988)</f>
        <v>3SYMLBMSBBF50</v>
      </c>
      <c r="AE988" s="216">
        <f>+M988*N988*O988/1000</f>
        <v>11200</v>
      </c>
      <c r="AF988" s="43">
        <f>IF(AD988="","",VLOOKUP(AD988,原価マスタ!$A$2:$AJ$1693,13,FALSE))</f>
        <v>99</v>
      </c>
      <c r="AG988" s="47">
        <f>IF(AF988="","",+AE988*AF988/100)</f>
        <v>11088</v>
      </c>
      <c r="AH988" s="333"/>
      <c r="AI988" s="333"/>
      <c r="AJ988" s="333"/>
      <c r="AK988" s="333"/>
      <c r="AL988" s="334"/>
      <c r="AM988" s="334"/>
      <c r="AN988" s="334"/>
      <c r="AO988" s="334"/>
      <c r="AP988" s="334"/>
      <c r="AQ988" s="335"/>
      <c r="AR988" s="336"/>
    </row>
    <row r="989" spans="1:44" s="337" customFormat="1" ht="30.95" hidden="1" customHeight="1" x14ac:dyDescent="0.2">
      <c r="A989" s="358"/>
      <c r="B989" s="359"/>
      <c r="C989" s="360"/>
      <c r="D989" s="361"/>
      <c r="E989" s="361"/>
      <c r="F989" s="362"/>
      <c r="G989" s="363"/>
      <c r="H989" s="363"/>
      <c r="I989" s="207"/>
      <c r="J989" s="364"/>
      <c r="K989" s="207"/>
      <c r="L989" s="207"/>
      <c r="M989" s="365"/>
      <c r="N989" s="365"/>
      <c r="O989" s="366"/>
      <c r="P989" s="357"/>
      <c r="Q989" s="367"/>
      <c r="R989" s="278"/>
      <c r="S989" s="278"/>
      <c r="T989" s="368"/>
      <c r="U989" s="278"/>
      <c r="V989" s="363"/>
      <c r="W989" s="363"/>
      <c r="X989" s="363"/>
      <c r="Y989" s="363"/>
      <c r="Z989" s="357"/>
      <c r="AA989" s="207"/>
      <c r="AB989" s="369"/>
      <c r="AC989" s="370"/>
      <c r="AD989" s="332"/>
      <c r="AE989" s="371"/>
      <c r="AF989" s="372"/>
      <c r="AG989" s="366"/>
      <c r="AH989" s="333"/>
      <c r="AI989" s="333"/>
      <c r="AJ989" s="333"/>
      <c r="AK989" s="333"/>
      <c r="AL989" s="334"/>
      <c r="AM989" s="334"/>
      <c r="AN989" s="334"/>
      <c r="AO989" s="334"/>
      <c r="AP989" s="334"/>
      <c r="AQ989" s="335"/>
      <c r="AR989" s="336"/>
    </row>
    <row r="990" spans="1:44" s="337" customFormat="1" ht="30.95" hidden="1" customHeight="1" x14ac:dyDescent="0.2">
      <c r="A990" s="320"/>
      <c r="B990" s="321"/>
      <c r="C990" s="360"/>
      <c r="D990" s="398">
        <v>3731376</v>
      </c>
      <c r="E990" s="31">
        <v>4151519</v>
      </c>
      <c r="F990" s="268" t="str">
        <f>IF(D990="","",VLOOKUP(D990,契約台帳!$A$3:$K$4986,6,FALSE)&amp;VLOOKUP(D990,契約台帳!$A$3:$K$4986,7,FALSE)&amp;VLOOKUP(D990,契約台帳!$A$3:$K$4986,8,FALSE)&amp;VLOOKUP(D990,契約台帳!$A$3:$K$4986,9,FALSE)&amp;VLOOKUP(D990,契約台帳!$A$3:$K$4986,11,FALSE))</f>
        <v>3SYMLBMSBBF</v>
      </c>
      <c r="G990" s="269" t="str">
        <f>IF(D990="","",VLOOKUP(F990,製品マスタ!$G$5:$H$5002,2,FALSE))</f>
        <v>S</v>
      </c>
      <c r="H990" s="269" t="str">
        <f>IF(D990="","",VLOOKUP(F990,製品マスタ!$G$5:$K$5002,5,FALSE))</f>
        <v>MSBBF</v>
      </c>
      <c r="I990" s="270" t="str">
        <f>IF(D990="","",VLOOKUP(F990,製品マスタ!$G$5:$L$5002,6,FALSE))</f>
        <v>ＭＥＴＡＬＵＭＹ　ＳＩＬＶＥＲ　ＢＲＩＧＨＴ　Ｔ６２Ｍ　Ｂ</v>
      </c>
      <c r="J990" s="32" t="s">
        <v>447</v>
      </c>
      <c r="K990" s="270">
        <f>IF(D990="","",VLOOKUP(D990,契約台帳!$A$3:$L$4986,12,FALSE))</f>
        <v>50</v>
      </c>
      <c r="L990" s="270" t="str">
        <f>IF(D990="","",INDEX(製品マスタ!$Q$5:$Q$5002,MATCH(F990&amp;K990,製品マスタ!$AO$5:$AO$5002,0)))</f>
        <v>T62</v>
      </c>
      <c r="M990" s="39">
        <v>1120</v>
      </c>
      <c r="N990" s="39">
        <v>10000</v>
      </c>
      <c r="O990" s="47">
        <v>1</v>
      </c>
      <c r="P990" s="57"/>
      <c r="Q990" s="276">
        <f>IF(D990="","",IF(J990="リード付け",M990,VLOOKUP(D990,契約台帳!$A$3:$N$4986,14,FALSE)))</f>
        <v>1120</v>
      </c>
      <c r="R990" s="277">
        <f>IF(D990="","",IF(J990="リード付け",M990,VLOOKUP(D990,契約台帳!$A$3:$O$4986,15,FALSE)))</f>
        <v>1120</v>
      </c>
      <c r="S990" s="277">
        <f>IF(D990="","",IF(J990="リード付け",N990,VLOOKUP(D990,契約台帳!$A$3:$P$4986,16,FALSE)))</f>
        <v>5000</v>
      </c>
      <c r="T990" s="40">
        <v>2</v>
      </c>
      <c r="U990" s="278">
        <f ca="1">IF(D990="","",IF(OFFSET(D990,-2,0)=D990,"",VLOOKUP(D990,契約台帳!$A$3:$R$4986,18,FALSE)))</f>
        <v>2</v>
      </c>
      <c r="V990" s="269" t="str">
        <f>IF(J990="巻返し",VLOOKUP(F990&amp;K990&amp;M990,製品マスタ!$M$5:$AD$5002,18,FALSE),IF(J990="リード付け","原反コア",IF(J990="スリット",VLOOKUP(F990&amp;K990&amp;Q990,製品マスタ!$N$5:$AD$5002,17,FALSE),"")))</f>
        <v>6ｲﾝﾁSｺｱ</v>
      </c>
      <c r="W990" s="269">
        <f>IF(J990="巻返し",VLOOKUP(F990&amp;K990&amp;M990,製品マスタ!$M$5:$AE$5002,19,FALSE),IF(J990="リード付け","-",IF(J990="スリット",VLOOKUP(F990&amp;K990&amp;Q990,製品マスタ!$N$5:$AE$5002,18,FALSE),"")))</f>
        <v>1125</v>
      </c>
      <c r="X990" s="275">
        <f>IF(D990="","",VLOOKUP(D990,契約台帳!$A$3:$Q$4986,17,FALSE))</f>
        <v>2</v>
      </c>
      <c r="Y990" s="269" t="str">
        <f>IF(D990="","",VLOOKUP(D990,契約台帳!$A$3:$E$4986,5,FALSE))</f>
        <v>リンテック㈱</v>
      </c>
      <c r="Z990" s="357"/>
      <c r="AA990" s="207" t="str">
        <f>IFERROR(VLOOKUP(F990&amp;K990&amp;M990,製品マスタ!$M$5:$AM$5002,27,FALSE),"")</f>
        <v>原反ケース再利用</v>
      </c>
      <c r="AB990" s="369"/>
      <c r="AC990" s="370"/>
      <c r="AD990" s="332" t="str">
        <f>IF(F990="","",+F990&amp;K990)</f>
        <v>3SYMLBMSBBF50</v>
      </c>
      <c r="AE990" s="216">
        <f>+M990*N990*O990/1000</f>
        <v>11200</v>
      </c>
      <c r="AF990" s="43">
        <f>IF(AD990="","",VLOOKUP(AD990,原価マスタ!$A$2:$AJ$1693,13,FALSE))</f>
        <v>99</v>
      </c>
      <c r="AG990" s="47">
        <f>IF(AF990="","",+AE990*AF990/100)</f>
        <v>11088</v>
      </c>
      <c r="AH990" s="333"/>
      <c r="AI990" s="333"/>
      <c r="AJ990" s="333"/>
      <c r="AK990" s="333"/>
      <c r="AL990" s="334"/>
      <c r="AM990" s="334"/>
      <c r="AN990" s="334"/>
      <c r="AO990" s="334"/>
      <c r="AP990" s="334"/>
      <c r="AQ990" s="335"/>
      <c r="AR990" s="336"/>
    </row>
    <row r="991" spans="1:44" s="337" customFormat="1" ht="30.95" hidden="1" customHeight="1" x14ac:dyDescent="0.2">
      <c r="A991" s="358"/>
      <c r="B991" s="359"/>
      <c r="C991" s="360"/>
      <c r="D991" s="361"/>
      <c r="E991" s="361"/>
      <c r="F991" s="362"/>
      <c r="G991" s="363"/>
      <c r="H991" s="363"/>
      <c r="I991" s="207"/>
      <c r="J991" s="364"/>
      <c r="K991" s="207"/>
      <c r="L991" s="207"/>
      <c r="M991" s="365"/>
      <c r="N991" s="365"/>
      <c r="O991" s="366"/>
      <c r="P991" s="357"/>
      <c r="Q991" s="367"/>
      <c r="R991" s="278"/>
      <c r="S991" s="278"/>
      <c r="T991" s="368"/>
      <c r="U991" s="278"/>
      <c r="V991" s="363"/>
      <c r="W991" s="363"/>
      <c r="X991" s="363"/>
      <c r="Y991" s="363"/>
      <c r="Z991" s="357"/>
      <c r="AA991" s="207"/>
      <c r="AB991" s="369"/>
      <c r="AC991" s="370"/>
      <c r="AD991" s="332"/>
      <c r="AE991" s="371"/>
      <c r="AF991" s="372"/>
      <c r="AG991" s="366"/>
      <c r="AH991" s="333"/>
      <c r="AI991" s="333"/>
      <c r="AJ991" s="333"/>
      <c r="AK991" s="333"/>
      <c r="AL991" s="334"/>
      <c r="AM991" s="334"/>
      <c r="AN991" s="334"/>
      <c r="AO991" s="334"/>
      <c r="AP991" s="334"/>
      <c r="AQ991" s="335"/>
      <c r="AR991" s="336"/>
    </row>
    <row r="992" spans="1:44" s="337" customFormat="1" ht="30.95" hidden="1" customHeight="1" x14ac:dyDescent="0.2">
      <c r="A992" s="320"/>
      <c r="B992" s="321"/>
      <c r="C992" s="360"/>
      <c r="D992" s="398">
        <v>3731355</v>
      </c>
      <c r="E992" s="31">
        <v>4151516</v>
      </c>
      <c r="F992" s="268" t="str">
        <f>IF(D992="","",VLOOKUP(D992,契約台帳!$A$3:$K$4986,6,FALSE)&amp;VLOOKUP(D992,契約台帳!$A$3:$K$4986,7,FALSE)&amp;VLOOKUP(D992,契約台帳!$A$3:$K$4986,8,FALSE)&amp;VLOOKUP(D992,契約台帳!$A$3:$K$4986,9,FALSE)&amp;VLOOKUP(D992,契約台帳!$A$3:$K$4986,11,FALSE))</f>
        <v>3SNMLBMNGTBF</v>
      </c>
      <c r="G992" s="269" t="str">
        <f>IF(D992="","",VLOOKUP(F992,製品マスタ!$G$5:$H$5002,2,FALSE))</f>
        <v>S</v>
      </c>
      <c r="H992" s="269" t="str">
        <f>IF(D992="","",VLOOKUP(F992,製品マスタ!$G$5:$K$5002,5,FALSE))</f>
        <v>MNGTBF</v>
      </c>
      <c r="I992" s="270" t="str">
        <f>IF(D992="","",VLOOKUP(F992,製品マスタ!$G$5:$L$5002,6,FALSE))</f>
        <v>メタルミー　ネーマー　銀艶　Ｂ</v>
      </c>
      <c r="J992" s="32" t="s">
        <v>447</v>
      </c>
      <c r="K992" s="270">
        <f>IF(D992="","",VLOOKUP(D992,契約台帳!$A$3:$L$4986,12,FALSE))</f>
        <v>50</v>
      </c>
      <c r="L992" s="270" t="str">
        <f>IF(D992="","",INDEX(製品マスタ!$Q$5:$Q$5002,MATCH(F992&amp;K992,製品マスタ!$AO$5:$AO$5002,0)))</f>
        <v>T62</v>
      </c>
      <c r="M992" s="39">
        <v>1120</v>
      </c>
      <c r="N992" s="39">
        <v>10000</v>
      </c>
      <c r="O992" s="47">
        <v>3</v>
      </c>
      <c r="P992" s="57"/>
      <c r="Q992" s="276">
        <f>IF(D992="","",IF(J992="リード付け",M992,VLOOKUP(D992,契約台帳!$A$3:$N$4986,14,FALSE)))</f>
        <v>1120</v>
      </c>
      <c r="R992" s="277">
        <f>IF(D992="","",IF(J992="リード付け",M992,VLOOKUP(D992,契約台帳!$A$3:$O$4986,15,FALSE)))</f>
        <v>1120</v>
      </c>
      <c r="S992" s="277">
        <f>IF(D992="","",IF(J992="リード付け",N992,VLOOKUP(D992,契約台帳!$A$3:$P$4986,16,FALSE)))</f>
        <v>5000</v>
      </c>
      <c r="T992" s="40">
        <v>6</v>
      </c>
      <c r="U992" s="278">
        <f ca="1">IF(D992="","",IF(OFFSET(D992,-2,0)=D992,"",VLOOKUP(D992,契約台帳!$A$3:$R$4986,18,FALSE)))</f>
        <v>30</v>
      </c>
      <c r="V992" s="269" t="str">
        <f>IF(J992="巻返し",VLOOKUP(F992&amp;K992&amp;M992,製品マスタ!$M$5:$AD$5002,18,FALSE),IF(J992="リード付け","原反コア",IF(J992="スリット",VLOOKUP(F992&amp;K992&amp;Q992,製品マスタ!$N$5:$AD$5002,17,FALSE),"")))</f>
        <v>6ｲﾝﾁSｺｱ</v>
      </c>
      <c r="W992" s="269">
        <f>IF(J992="巻返し",VLOOKUP(F992&amp;K992&amp;M992,製品マスタ!$M$5:$AE$5002,19,FALSE),IF(J992="リード付け","-",IF(J992="スリット",VLOOKUP(F992&amp;K992&amp;Q992,製品マスタ!$N$5:$AE$5002,18,FALSE),"")))</f>
        <v>1125</v>
      </c>
      <c r="X992" s="275">
        <f>IF(D992="","",VLOOKUP(D992,契約台帳!$A$3:$Q$4986,17,FALSE))</f>
        <v>2</v>
      </c>
      <c r="Y992" s="269" t="str">
        <f>IF(D992="","",VLOOKUP(D992,契約台帳!$A$3:$E$4986,5,FALSE))</f>
        <v>リンテック㈱</v>
      </c>
      <c r="Z992" s="357"/>
      <c r="AA992" s="207" t="str">
        <f>IFERROR(VLOOKUP(F992&amp;K992&amp;M992,製品マスタ!$M$5:$AM$5002,27,FALSE),"")</f>
        <v>原反ケース再利用</v>
      </c>
      <c r="AB992" s="369"/>
      <c r="AC992" s="370"/>
      <c r="AD992" s="332" t="str">
        <f>IF(F992="","",+F992&amp;K992)</f>
        <v>3SNMLBMNGTBF50</v>
      </c>
      <c r="AE992" s="216">
        <f>+M992*N992*O992/1000</f>
        <v>33600</v>
      </c>
      <c r="AF992" s="43">
        <f>IF(AD992="","",VLOOKUP(AD992,原価マスタ!$A$2:$AJ$1693,13,FALSE))</f>
        <v>99</v>
      </c>
      <c r="AG992" s="47">
        <f>IF(AF992="","",+AE992*AF992/100)</f>
        <v>33264</v>
      </c>
      <c r="AH992" s="333"/>
      <c r="AI992" s="333"/>
      <c r="AJ992" s="333"/>
      <c r="AK992" s="333"/>
      <c r="AL992" s="334"/>
      <c r="AM992" s="334"/>
      <c r="AN992" s="334"/>
      <c r="AO992" s="334"/>
      <c r="AP992" s="334"/>
      <c r="AQ992" s="335"/>
      <c r="AR992" s="336"/>
    </row>
    <row r="993" spans="1:44" s="337" customFormat="1" ht="30.95" hidden="1" customHeight="1" x14ac:dyDescent="0.2">
      <c r="A993" s="358"/>
      <c r="B993" s="359"/>
      <c r="C993" s="360"/>
      <c r="D993" s="361"/>
      <c r="E993" s="361"/>
      <c r="F993" s="362"/>
      <c r="G993" s="363"/>
      <c r="H993" s="363"/>
      <c r="I993" s="207"/>
      <c r="J993" s="364"/>
      <c r="K993" s="207"/>
      <c r="L993" s="207"/>
      <c r="M993" s="365"/>
      <c r="N993" s="365"/>
      <c r="O993" s="366"/>
      <c r="P993" s="357"/>
      <c r="Q993" s="367"/>
      <c r="R993" s="278"/>
      <c r="S993" s="278"/>
      <c r="T993" s="368"/>
      <c r="U993" s="278"/>
      <c r="V993" s="363"/>
      <c r="W993" s="363"/>
      <c r="X993" s="363"/>
      <c r="Y993" s="363"/>
      <c r="Z993" s="357"/>
      <c r="AA993" s="207"/>
      <c r="AB993" s="369"/>
      <c r="AC993" s="370"/>
      <c r="AD993" s="332"/>
      <c r="AE993" s="371"/>
      <c r="AF993" s="372"/>
      <c r="AG993" s="366"/>
      <c r="AH993" s="333"/>
      <c r="AI993" s="333"/>
      <c r="AJ993" s="333"/>
      <c r="AK993" s="333"/>
      <c r="AL993" s="334"/>
      <c r="AM993" s="334"/>
      <c r="AN993" s="334"/>
      <c r="AO993" s="334"/>
      <c r="AP993" s="334"/>
      <c r="AQ993" s="335"/>
      <c r="AR993" s="336"/>
    </row>
    <row r="994" spans="1:44" s="337" customFormat="1" ht="30.95" hidden="1" customHeight="1" x14ac:dyDescent="0.2">
      <c r="A994" s="320" t="s">
        <v>650</v>
      </c>
      <c r="B994" s="321" t="s">
        <v>443</v>
      </c>
      <c r="C994" s="360"/>
      <c r="D994" s="398">
        <v>3731355</v>
      </c>
      <c r="E994" s="31">
        <v>4151516</v>
      </c>
      <c r="F994" s="268" t="str">
        <f>IF(D994="","",VLOOKUP(D994,契約台帳!$A$3:$K$4986,6,FALSE)&amp;VLOOKUP(D994,契約台帳!$A$3:$K$4986,7,FALSE)&amp;VLOOKUP(D994,契約台帳!$A$3:$K$4986,8,FALSE)&amp;VLOOKUP(D994,契約台帳!$A$3:$K$4986,9,FALSE)&amp;VLOOKUP(D994,契約台帳!$A$3:$K$4986,11,FALSE))</f>
        <v>3SNMLBMNGTBF</v>
      </c>
      <c r="G994" s="269" t="str">
        <f>IF(D994="","",VLOOKUP(F994,製品マスタ!$G$5:$H$5002,2,FALSE))</f>
        <v>S</v>
      </c>
      <c r="H994" s="269" t="str">
        <f>IF(D994="","",VLOOKUP(F994,製品マスタ!$G$5:$K$5002,5,FALSE))</f>
        <v>MNGTBF</v>
      </c>
      <c r="I994" s="270" t="str">
        <f>IF(D994="","",VLOOKUP(F994,製品マスタ!$G$5:$L$5002,6,FALSE))</f>
        <v>メタルミー　ネーマー　銀艶　Ｂ</v>
      </c>
      <c r="J994" s="32" t="s">
        <v>447</v>
      </c>
      <c r="K994" s="270">
        <f>IF(D994="","",VLOOKUP(D994,契約台帳!$A$3:$L$4986,12,FALSE))</f>
        <v>50</v>
      </c>
      <c r="L994" s="270" t="str">
        <f>IF(D994="","",INDEX(製品マスタ!$Q$5:$Q$5002,MATCH(F994&amp;K994,製品マスタ!$AO$5:$AO$5002,0)))</f>
        <v>T62</v>
      </c>
      <c r="M994" s="39">
        <v>1120</v>
      </c>
      <c r="N994" s="39">
        <v>10000</v>
      </c>
      <c r="O994" s="47">
        <v>5</v>
      </c>
      <c r="P994" s="57"/>
      <c r="Q994" s="276">
        <f>IF(D994="","",IF(J994="リード付け",M994,VLOOKUP(D994,契約台帳!$A$3:$N$4986,14,FALSE)))</f>
        <v>1120</v>
      </c>
      <c r="R994" s="277">
        <f>IF(D994="","",IF(J994="リード付け",M994,VLOOKUP(D994,契約台帳!$A$3:$O$4986,15,FALSE)))</f>
        <v>1120</v>
      </c>
      <c r="S994" s="277">
        <f>IF(D994="","",IF(J994="リード付け",N994,VLOOKUP(D994,契約台帳!$A$3:$P$4986,16,FALSE)))</f>
        <v>5000</v>
      </c>
      <c r="T994" s="40">
        <v>10</v>
      </c>
      <c r="U994" s="278" t="str">
        <f ca="1">IF(D994="","",IF(OFFSET(D994,-2,0)=D994,"",VLOOKUP(D994,契約台帳!$A$3:$R$4986,18,FALSE)))</f>
        <v/>
      </c>
      <c r="V994" s="269" t="str">
        <f>IF(J994="巻返し",VLOOKUP(F994&amp;K994&amp;M994,製品マスタ!$M$5:$AD$5002,18,FALSE),IF(J994="リード付け","原反コア",IF(J994="スリット",VLOOKUP(F994&amp;K994&amp;Q994,製品マスタ!$N$5:$AD$5002,17,FALSE),"")))</f>
        <v>6ｲﾝﾁSｺｱ</v>
      </c>
      <c r="W994" s="269">
        <f>IF(J994="巻返し",VLOOKUP(F994&amp;K994&amp;M994,製品マスタ!$M$5:$AE$5002,19,FALSE),IF(J994="リード付け","-",IF(J994="スリット",VLOOKUP(F994&amp;K994&amp;Q994,製品マスタ!$N$5:$AE$5002,18,FALSE),"")))</f>
        <v>1125</v>
      </c>
      <c r="X994" s="275">
        <f>IF(D994="","",VLOOKUP(D994,契約台帳!$A$3:$Q$4986,17,FALSE))</f>
        <v>2</v>
      </c>
      <c r="Y994" s="269" t="str">
        <f>IF(D994="","",VLOOKUP(D994,契約台帳!$A$3:$E$4986,5,FALSE))</f>
        <v>リンテック㈱</v>
      </c>
      <c r="Z994" s="357"/>
      <c r="AA994" s="207" t="str">
        <f>IFERROR(VLOOKUP(F994&amp;K994&amp;M994,製品マスタ!$M$5:$AM$5002,27,FALSE),"")</f>
        <v>原反ケース再利用</v>
      </c>
      <c r="AB994" s="369"/>
      <c r="AC994" s="370"/>
      <c r="AD994" s="332" t="str">
        <f>IF(F994="","",+F994&amp;K994)</f>
        <v>3SNMLBMNGTBF50</v>
      </c>
      <c r="AE994" s="216">
        <f>+M994*N994*O994/1000</f>
        <v>56000</v>
      </c>
      <c r="AF994" s="43">
        <f>IF(AD994="","",VLOOKUP(AD994,原価マスタ!$A$2:$AJ$1693,13,FALSE))</f>
        <v>99</v>
      </c>
      <c r="AG994" s="47">
        <f>IF(AF994="","",+AE994*AF994/100)</f>
        <v>55440</v>
      </c>
      <c r="AH994" s="333"/>
      <c r="AI994" s="333"/>
      <c r="AJ994" s="333"/>
      <c r="AK994" s="333"/>
      <c r="AL994" s="334"/>
      <c r="AM994" s="334"/>
      <c r="AN994" s="334"/>
      <c r="AO994" s="334"/>
      <c r="AP994" s="334"/>
      <c r="AQ994" s="335"/>
      <c r="AR994" s="336"/>
    </row>
    <row r="995" spans="1:44" s="337" customFormat="1" ht="30.95" hidden="1" customHeight="1" x14ac:dyDescent="0.2">
      <c r="A995" s="358"/>
      <c r="B995" s="359"/>
      <c r="C995" s="360"/>
      <c r="D995" s="361"/>
      <c r="E995" s="361"/>
      <c r="F995" s="362"/>
      <c r="G995" s="363"/>
      <c r="H995" s="363"/>
      <c r="I995" s="207"/>
      <c r="J995" s="364"/>
      <c r="K995" s="207"/>
      <c r="L995" s="207"/>
      <c r="M995" s="365"/>
      <c r="N995" s="365"/>
      <c r="O995" s="366"/>
      <c r="P995" s="357"/>
      <c r="Q995" s="367"/>
      <c r="R995" s="278"/>
      <c r="S995" s="278"/>
      <c r="T995" s="368"/>
      <c r="U995" s="278"/>
      <c r="V995" s="363"/>
      <c r="W995" s="363"/>
      <c r="X995" s="363"/>
      <c r="Y995" s="363"/>
      <c r="Z995" s="357"/>
      <c r="AA995" s="207"/>
      <c r="AB995" s="369"/>
      <c r="AC995" s="370"/>
      <c r="AD995" s="332"/>
      <c r="AE995" s="371"/>
      <c r="AF995" s="372"/>
      <c r="AG995" s="366"/>
      <c r="AH995" s="333"/>
      <c r="AI995" s="333"/>
      <c r="AJ995" s="333"/>
      <c r="AK995" s="333"/>
      <c r="AL995" s="334"/>
      <c r="AM995" s="334"/>
      <c r="AN995" s="334"/>
      <c r="AO995" s="334"/>
      <c r="AP995" s="334"/>
      <c r="AQ995" s="335"/>
      <c r="AR995" s="336"/>
    </row>
    <row r="996" spans="1:44" s="337" customFormat="1" ht="30.95" hidden="1" customHeight="1" x14ac:dyDescent="0.2">
      <c r="A996" s="320" t="s">
        <v>651</v>
      </c>
      <c r="B996" s="321" t="s">
        <v>444</v>
      </c>
      <c r="C996" s="360"/>
      <c r="D996" s="398">
        <v>3731355</v>
      </c>
      <c r="E996" s="31">
        <v>4151516</v>
      </c>
      <c r="F996" s="268" t="str">
        <f>IF(D996="","",VLOOKUP(D996,契約台帳!$A$3:$K$4986,6,FALSE)&amp;VLOOKUP(D996,契約台帳!$A$3:$K$4986,7,FALSE)&amp;VLOOKUP(D996,契約台帳!$A$3:$K$4986,8,FALSE)&amp;VLOOKUP(D996,契約台帳!$A$3:$K$4986,9,FALSE)&amp;VLOOKUP(D996,契約台帳!$A$3:$K$4986,11,FALSE))</f>
        <v>3SNMLBMNGTBF</v>
      </c>
      <c r="G996" s="269" t="str">
        <f>IF(D996="","",VLOOKUP(F996,製品マスタ!$G$5:$H$5002,2,FALSE))</f>
        <v>S</v>
      </c>
      <c r="H996" s="269" t="str">
        <f>IF(D996="","",VLOOKUP(F996,製品マスタ!$G$5:$K$5002,5,FALSE))</f>
        <v>MNGTBF</v>
      </c>
      <c r="I996" s="270" t="str">
        <f>IF(D996="","",VLOOKUP(F996,製品マスタ!$G$5:$L$5002,6,FALSE))</f>
        <v>メタルミー　ネーマー　銀艶　Ｂ</v>
      </c>
      <c r="J996" s="32" t="s">
        <v>447</v>
      </c>
      <c r="K996" s="270">
        <f>IF(D996="","",VLOOKUP(D996,契約台帳!$A$3:$L$4986,12,FALSE))</f>
        <v>50</v>
      </c>
      <c r="L996" s="270" t="str">
        <f>IF(D996="","",INDEX(製品マスタ!$Q$5:$Q$5002,MATCH(F996&amp;K996,製品マスタ!$AO$5:$AO$5002,0)))</f>
        <v>T62</v>
      </c>
      <c r="M996" s="39">
        <v>1120</v>
      </c>
      <c r="N996" s="39">
        <v>10000</v>
      </c>
      <c r="O996" s="47">
        <v>5</v>
      </c>
      <c r="P996" s="57"/>
      <c r="Q996" s="276">
        <f>IF(D996="","",IF(J996="リード付け",M996,VLOOKUP(D996,契約台帳!$A$3:$N$4986,14,FALSE)))</f>
        <v>1120</v>
      </c>
      <c r="R996" s="277">
        <f>IF(D996="","",IF(J996="リード付け",M996,VLOOKUP(D996,契約台帳!$A$3:$O$4986,15,FALSE)))</f>
        <v>1120</v>
      </c>
      <c r="S996" s="277">
        <f>IF(D996="","",IF(J996="リード付け",N996,VLOOKUP(D996,契約台帳!$A$3:$P$4986,16,FALSE)))</f>
        <v>5000</v>
      </c>
      <c r="T996" s="40">
        <v>10</v>
      </c>
      <c r="U996" s="278" t="str">
        <f ca="1">IF(D996="","",IF(OFFSET(D996,-2,0)=D996,"",VLOOKUP(D996,契約台帳!$A$3:$R$4986,18,FALSE)))</f>
        <v/>
      </c>
      <c r="V996" s="269" t="str">
        <f>IF(J996="巻返し",VLOOKUP(F996&amp;K996&amp;M996,製品マスタ!$M$5:$AD$5002,18,FALSE),IF(J996="リード付け","原反コア",IF(J996="スリット",VLOOKUP(F996&amp;K996&amp;Q996,製品マスタ!$N$5:$AD$5002,17,FALSE),"")))</f>
        <v>6ｲﾝﾁSｺｱ</v>
      </c>
      <c r="W996" s="269">
        <f>IF(J996="巻返し",VLOOKUP(F996&amp;K996&amp;M996,製品マスタ!$M$5:$AE$5002,19,FALSE),IF(J996="リード付け","-",IF(J996="スリット",VLOOKUP(F996&amp;K996&amp;Q996,製品マスタ!$N$5:$AE$5002,18,FALSE),"")))</f>
        <v>1125</v>
      </c>
      <c r="X996" s="275">
        <f>IF(D996="","",VLOOKUP(D996,契約台帳!$A$3:$Q$4986,17,FALSE))</f>
        <v>2</v>
      </c>
      <c r="Y996" s="269" t="str">
        <f>IF(D996="","",VLOOKUP(D996,契約台帳!$A$3:$E$4986,5,FALSE))</f>
        <v>リンテック㈱</v>
      </c>
      <c r="Z996" s="357"/>
      <c r="AA996" s="207" t="str">
        <f>IFERROR(VLOOKUP(F996&amp;K996&amp;M996,製品マスタ!$M$5:$AM$5002,27,FALSE),"")</f>
        <v>原反ケース再利用</v>
      </c>
      <c r="AB996" s="369"/>
      <c r="AC996" s="370"/>
      <c r="AD996" s="332" t="str">
        <f>IF(F996="","",+F996&amp;K996)</f>
        <v>3SNMLBMNGTBF50</v>
      </c>
      <c r="AE996" s="216">
        <f>+M996*N996*O996/1000</f>
        <v>56000</v>
      </c>
      <c r="AF996" s="43">
        <f>IF(AD996="","",VLOOKUP(AD996,原価マスタ!$A$2:$AJ$1693,13,FALSE))</f>
        <v>99</v>
      </c>
      <c r="AG996" s="47">
        <f>IF(AF996="","",+AE996*AF996/100)</f>
        <v>55440</v>
      </c>
      <c r="AH996" s="333"/>
      <c r="AI996" s="333"/>
      <c r="AJ996" s="333"/>
      <c r="AK996" s="333"/>
      <c r="AL996" s="334"/>
      <c r="AM996" s="334"/>
      <c r="AN996" s="334"/>
      <c r="AO996" s="334"/>
      <c r="AP996" s="334"/>
      <c r="AQ996" s="335"/>
      <c r="AR996" s="336"/>
    </row>
    <row r="997" spans="1:44" s="337" customFormat="1" ht="30.95" hidden="1" customHeight="1" x14ac:dyDescent="0.2">
      <c r="A997" s="358"/>
      <c r="B997" s="359"/>
      <c r="C997" s="360"/>
      <c r="D997" s="361"/>
      <c r="E997" s="361"/>
      <c r="F997" s="362"/>
      <c r="G997" s="363"/>
      <c r="H997" s="363"/>
      <c r="I997" s="207"/>
      <c r="J997" s="364"/>
      <c r="K997" s="207"/>
      <c r="L997" s="207"/>
      <c r="M997" s="365"/>
      <c r="N997" s="365"/>
      <c r="O997" s="366"/>
      <c r="P997" s="357"/>
      <c r="Q997" s="367"/>
      <c r="R997" s="278"/>
      <c r="S997" s="278"/>
      <c r="T997" s="368"/>
      <c r="U997" s="278"/>
      <c r="V997" s="363"/>
      <c r="W997" s="363"/>
      <c r="X997" s="363"/>
      <c r="Y997" s="363"/>
      <c r="Z997" s="357"/>
      <c r="AA997" s="207"/>
      <c r="AB997" s="369"/>
      <c r="AC997" s="370"/>
      <c r="AD997" s="332"/>
      <c r="AE997" s="371"/>
      <c r="AF997" s="372"/>
      <c r="AG997" s="366"/>
      <c r="AH997" s="333"/>
      <c r="AI997" s="333"/>
      <c r="AJ997" s="333"/>
      <c r="AK997" s="333"/>
      <c r="AL997" s="334"/>
      <c r="AM997" s="334"/>
      <c r="AN997" s="334"/>
      <c r="AO997" s="334"/>
      <c r="AP997" s="334"/>
      <c r="AQ997" s="335"/>
      <c r="AR997" s="336"/>
    </row>
    <row r="998" spans="1:44" s="337" customFormat="1" ht="30.95" hidden="1" customHeight="1" x14ac:dyDescent="0.2">
      <c r="A998" s="358" t="s">
        <v>1769</v>
      </c>
      <c r="B998" s="359" t="s">
        <v>1765</v>
      </c>
      <c r="C998" s="360"/>
      <c r="D998" s="361"/>
      <c r="E998" s="361"/>
      <c r="F998" s="362"/>
      <c r="G998" s="363"/>
      <c r="H998" s="363"/>
      <c r="I998" s="207"/>
      <c r="J998" s="364" t="s">
        <v>448</v>
      </c>
      <c r="K998" s="207"/>
      <c r="L998" s="207"/>
      <c r="M998" s="365"/>
      <c r="N998" s="365"/>
      <c r="O998" s="366"/>
      <c r="P998" s="357"/>
      <c r="Q998" s="367"/>
      <c r="R998" s="278"/>
      <c r="S998" s="278"/>
      <c r="T998" s="368"/>
      <c r="U998" s="278"/>
      <c r="V998" s="363"/>
      <c r="W998" s="363"/>
      <c r="X998" s="363"/>
      <c r="Y998" s="363"/>
      <c r="Z998" s="357"/>
      <c r="AA998" s="207"/>
      <c r="AB998" s="369"/>
      <c r="AC998" s="370"/>
      <c r="AD998" s="332"/>
      <c r="AE998" s="371"/>
      <c r="AF998" s="372"/>
      <c r="AG998" s="366"/>
      <c r="AH998" s="333"/>
      <c r="AI998" s="333"/>
      <c r="AJ998" s="333"/>
      <c r="AK998" s="333"/>
      <c r="AL998" s="334"/>
      <c r="AM998" s="334"/>
      <c r="AN998" s="334"/>
      <c r="AO998" s="334"/>
      <c r="AP998" s="334"/>
      <c r="AQ998" s="335"/>
      <c r="AR998" s="336"/>
    </row>
    <row r="999" spans="1:44" s="337" customFormat="1" ht="30.95" hidden="1" customHeight="1" x14ac:dyDescent="0.2">
      <c r="A999" s="358"/>
      <c r="B999" s="359"/>
      <c r="C999" s="360"/>
      <c r="D999" s="361"/>
      <c r="E999" s="361"/>
      <c r="F999" s="362"/>
      <c r="G999" s="363"/>
      <c r="H999" s="363"/>
      <c r="I999" s="207"/>
      <c r="J999" s="364"/>
      <c r="K999" s="207"/>
      <c r="L999" s="207"/>
      <c r="M999" s="365"/>
      <c r="N999" s="365"/>
      <c r="O999" s="366"/>
      <c r="P999" s="357"/>
      <c r="Q999" s="367"/>
      <c r="R999" s="278"/>
      <c r="S999" s="278"/>
      <c r="T999" s="368"/>
      <c r="U999" s="278"/>
      <c r="V999" s="363"/>
      <c r="W999" s="363"/>
      <c r="X999" s="363"/>
      <c r="Y999" s="363"/>
      <c r="Z999" s="357"/>
      <c r="AA999" s="207"/>
      <c r="AB999" s="369"/>
      <c r="AC999" s="370"/>
      <c r="AD999" s="332"/>
      <c r="AE999" s="371"/>
      <c r="AF999" s="372"/>
      <c r="AG999" s="366"/>
      <c r="AH999" s="333"/>
      <c r="AI999" s="333"/>
      <c r="AJ999" s="333"/>
      <c r="AK999" s="333"/>
      <c r="AL999" s="334"/>
      <c r="AM999" s="334"/>
      <c r="AN999" s="334"/>
      <c r="AO999" s="334"/>
      <c r="AP999" s="334"/>
      <c r="AQ999" s="335"/>
      <c r="AR999" s="336"/>
    </row>
    <row r="1000" spans="1:44" s="337" customFormat="1" ht="30.95" hidden="1" customHeight="1" x14ac:dyDescent="0.2">
      <c r="A1000" s="358" t="s">
        <v>1770</v>
      </c>
      <c r="B1000" s="359" t="s">
        <v>1767</v>
      </c>
      <c r="C1000" s="360"/>
      <c r="D1000" s="361"/>
      <c r="E1000" s="361"/>
      <c r="F1000" s="362"/>
      <c r="G1000" s="363"/>
      <c r="H1000" s="363"/>
      <c r="I1000" s="207"/>
      <c r="J1000" s="364" t="s">
        <v>448</v>
      </c>
      <c r="K1000" s="207"/>
      <c r="L1000" s="207"/>
      <c r="M1000" s="365"/>
      <c r="N1000" s="365"/>
      <c r="O1000" s="366"/>
      <c r="P1000" s="357"/>
      <c r="Q1000" s="367"/>
      <c r="R1000" s="278"/>
      <c r="S1000" s="278"/>
      <c r="T1000" s="368"/>
      <c r="U1000" s="278"/>
      <c r="V1000" s="363"/>
      <c r="W1000" s="363"/>
      <c r="X1000" s="363"/>
      <c r="Y1000" s="363"/>
      <c r="Z1000" s="357"/>
      <c r="AA1000" s="207"/>
      <c r="AB1000" s="369"/>
      <c r="AC1000" s="370"/>
      <c r="AD1000" s="332"/>
      <c r="AE1000" s="371"/>
      <c r="AF1000" s="372"/>
      <c r="AG1000" s="366"/>
      <c r="AH1000" s="333"/>
      <c r="AI1000" s="333"/>
      <c r="AJ1000" s="333"/>
      <c r="AK1000" s="333"/>
      <c r="AL1000" s="334"/>
      <c r="AM1000" s="334"/>
      <c r="AN1000" s="334"/>
      <c r="AO1000" s="334"/>
      <c r="AP1000" s="334"/>
      <c r="AQ1000" s="335"/>
      <c r="AR1000" s="336"/>
    </row>
    <row r="1001" spans="1:44" s="337" customFormat="1" ht="30.95" hidden="1" customHeight="1" x14ac:dyDescent="0.2">
      <c r="A1001" s="358"/>
      <c r="B1001" s="359"/>
      <c r="C1001" s="360"/>
      <c r="D1001" s="361"/>
      <c r="E1001" s="361"/>
      <c r="F1001" s="362"/>
      <c r="G1001" s="363"/>
      <c r="H1001" s="363"/>
      <c r="I1001" s="207"/>
      <c r="J1001" s="364"/>
      <c r="K1001" s="207"/>
      <c r="L1001" s="207"/>
      <c r="M1001" s="365"/>
      <c r="N1001" s="365"/>
      <c r="O1001" s="366"/>
      <c r="P1001" s="357"/>
      <c r="Q1001" s="367"/>
      <c r="R1001" s="278"/>
      <c r="S1001" s="278"/>
      <c r="T1001" s="368"/>
      <c r="U1001" s="278"/>
      <c r="V1001" s="363"/>
      <c r="W1001" s="363"/>
      <c r="X1001" s="363"/>
      <c r="Y1001" s="363"/>
      <c r="Z1001" s="357"/>
      <c r="AA1001" s="207"/>
      <c r="AB1001" s="369"/>
      <c r="AC1001" s="370"/>
      <c r="AD1001" s="332"/>
      <c r="AE1001" s="371"/>
      <c r="AF1001" s="372"/>
      <c r="AG1001" s="366"/>
      <c r="AH1001" s="333"/>
      <c r="AI1001" s="333"/>
      <c r="AJ1001" s="333"/>
      <c r="AK1001" s="333"/>
      <c r="AL1001" s="334"/>
      <c r="AM1001" s="334"/>
      <c r="AN1001" s="334"/>
      <c r="AO1001" s="334"/>
      <c r="AP1001" s="334"/>
      <c r="AQ1001" s="335"/>
      <c r="AR1001" s="336"/>
    </row>
    <row r="1002" spans="1:44" s="337" customFormat="1" ht="30.95" hidden="1" customHeight="1" x14ac:dyDescent="0.2">
      <c r="A1002" s="320" t="s">
        <v>652</v>
      </c>
      <c r="B1002" s="321" t="s">
        <v>462</v>
      </c>
      <c r="C1002" s="360"/>
      <c r="D1002" s="398">
        <v>3731355</v>
      </c>
      <c r="E1002" s="31">
        <v>4151516</v>
      </c>
      <c r="F1002" s="268" t="str">
        <f>IF(D1002="","",VLOOKUP(D1002,契約台帳!$A$3:$K$4986,6,FALSE)&amp;VLOOKUP(D1002,契約台帳!$A$3:$K$4986,7,FALSE)&amp;VLOOKUP(D1002,契約台帳!$A$3:$K$4986,8,FALSE)&amp;VLOOKUP(D1002,契約台帳!$A$3:$K$4986,9,FALSE)&amp;VLOOKUP(D1002,契約台帳!$A$3:$K$4986,11,FALSE))</f>
        <v>3SNMLBMNGTBF</v>
      </c>
      <c r="G1002" s="269" t="str">
        <f>IF(D1002="","",VLOOKUP(F1002,製品マスタ!$G$5:$H$5002,2,FALSE))</f>
        <v>S</v>
      </c>
      <c r="H1002" s="269" t="str">
        <f>IF(D1002="","",VLOOKUP(F1002,製品マスタ!$G$5:$K$5002,5,FALSE))</f>
        <v>MNGTBF</v>
      </c>
      <c r="I1002" s="270" t="str">
        <f>IF(D1002="","",VLOOKUP(F1002,製品マスタ!$G$5:$L$5002,6,FALSE))</f>
        <v>メタルミー　ネーマー　銀艶　Ｂ</v>
      </c>
      <c r="J1002" s="32" t="s">
        <v>447</v>
      </c>
      <c r="K1002" s="270">
        <f>IF(D1002="","",VLOOKUP(D1002,契約台帳!$A$3:$L$4986,12,FALSE))</f>
        <v>50</v>
      </c>
      <c r="L1002" s="270" t="str">
        <f>IF(D1002="","",INDEX(製品マスタ!$Q$5:$Q$5002,MATCH(F1002&amp;K1002,製品マスタ!$AO$5:$AO$5002,0)))</f>
        <v>T62</v>
      </c>
      <c r="M1002" s="39">
        <v>1120</v>
      </c>
      <c r="N1002" s="39">
        <v>10000</v>
      </c>
      <c r="O1002" s="47">
        <v>1</v>
      </c>
      <c r="P1002" s="57"/>
      <c r="Q1002" s="276">
        <f>IF(D1002="","",IF(J1002="リード付け",M1002,VLOOKUP(D1002,契約台帳!$A$3:$N$4986,14,FALSE)))</f>
        <v>1120</v>
      </c>
      <c r="R1002" s="277">
        <f>IF(D1002="","",IF(J1002="リード付け",M1002,VLOOKUP(D1002,契約台帳!$A$3:$O$4986,15,FALSE)))</f>
        <v>1120</v>
      </c>
      <c r="S1002" s="277">
        <f>IF(D1002="","",IF(J1002="リード付け",N1002,VLOOKUP(D1002,契約台帳!$A$3:$P$4986,16,FALSE)))</f>
        <v>5000</v>
      </c>
      <c r="T1002" s="40">
        <v>2</v>
      </c>
      <c r="U1002" s="278">
        <f ca="1">IF(D1002="","",IF(OFFSET(D1002,-2,0)=D1002,"",VLOOKUP(D1002,契約台帳!$A$3:$R$4986,18,FALSE)))</f>
        <v>30</v>
      </c>
      <c r="V1002" s="269" t="str">
        <f>IF(J1002="巻返し",VLOOKUP(F1002&amp;K1002&amp;M1002,製品マスタ!$M$5:$AD$5002,18,FALSE),IF(J1002="リード付け","原反コア",IF(J1002="スリット",VLOOKUP(F1002&amp;K1002&amp;Q1002,製品マスタ!$N$5:$AD$5002,17,FALSE),"")))</f>
        <v>6ｲﾝﾁSｺｱ</v>
      </c>
      <c r="W1002" s="269">
        <f>IF(J1002="巻返し",VLOOKUP(F1002&amp;K1002&amp;M1002,製品マスタ!$M$5:$AE$5002,19,FALSE),IF(J1002="リード付け","-",IF(J1002="スリット",VLOOKUP(F1002&amp;K1002&amp;Q1002,製品マスタ!$N$5:$AE$5002,18,FALSE),"")))</f>
        <v>1125</v>
      </c>
      <c r="X1002" s="275">
        <f>IF(D1002="","",VLOOKUP(D1002,契約台帳!$A$3:$Q$4986,17,FALSE))</f>
        <v>2</v>
      </c>
      <c r="Y1002" s="269" t="str">
        <f>IF(D1002="","",VLOOKUP(D1002,契約台帳!$A$3:$E$4986,5,FALSE))</f>
        <v>リンテック㈱</v>
      </c>
      <c r="Z1002" s="357"/>
      <c r="AA1002" s="207" t="str">
        <f>IFERROR(VLOOKUP(F1002&amp;K1002&amp;M1002,製品マスタ!$M$5:$AM$5002,27,FALSE),"")</f>
        <v>原反ケース再利用</v>
      </c>
      <c r="AB1002" s="369"/>
      <c r="AC1002" s="370"/>
      <c r="AD1002" s="332" t="str">
        <f>IF(F1002="","",+F1002&amp;K1002)</f>
        <v>3SNMLBMNGTBF50</v>
      </c>
      <c r="AE1002" s="216">
        <f>+M1002*N1002*O1002/1000</f>
        <v>11200</v>
      </c>
      <c r="AF1002" s="43">
        <f>IF(AD1002="","",VLOOKUP(AD1002,原価マスタ!$A$2:$AJ$1693,13,FALSE))</f>
        <v>99</v>
      </c>
      <c r="AG1002" s="47">
        <f>IF(AF1002="","",+AE1002*AF1002/100)</f>
        <v>11088</v>
      </c>
      <c r="AH1002" s="333"/>
      <c r="AI1002" s="333"/>
      <c r="AJ1002" s="333"/>
      <c r="AK1002" s="333"/>
      <c r="AL1002" s="334"/>
      <c r="AM1002" s="334"/>
      <c r="AN1002" s="334"/>
      <c r="AO1002" s="334"/>
      <c r="AP1002" s="334"/>
      <c r="AQ1002" s="335"/>
      <c r="AR1002" s="336"/>
    </row>
    <row r="1003" spans="1:44" s="337" customFormat="1" ht="30.95" hidden="1" customHeight="1" x14ac:dyDescent="0.2">
      <c r="A1003" s="358"/>
      <c r="B1003" s="359"/>
      <c r="C1003" s="360"/>
      <c r="D1003" s="361"/>
      <c r="E1003" s="361"/>
      <c r="F1003" s="362"/>
      <c r="G1003" s="363"/>
      <c r="H1003" s="363"/>
      <c r="I1003" s="207"/>
      <c r="J1003" s="364"/>
      <c r="K1003" s="207"/>
      <c r="L1003" s="207"/>
      <c r="M1003" s="365"/>
      <c r="N1003" s="365"/>
      <c r="O1003" s="366"/>
      <c r="P1003" s="357"/>
      <c r="Q1003" s="367"/>
      <c r="R1003" s="278"/>
      <c r="S1003" s="278"/>
      <c r="T1003" s="368"/>
      <c r="U1003" s="278"/>
      <c r="V1003" s="363"/>
      <c r="W1003" s="363"/>
      <c r="X1003" s="363"/>
      <c r="Y1003" s="363"/>
      <c r="Z1003" s="357"/>
      <c r="AA1003" s="207"/>
      <c r="AB1003" s="369"/>
      <c r="AC1003" s="370"/>
      <c r="AD1003" s="332"/>
      <c r="AE1003" s="371"/>
      <c r="AF1003" s="372"/>
      <c r="AG1003" s="366"/>
      <c r="AH1003" s="333"/>
      <c r="AI1003" s="333"/>
      <c r="AJ1003" s="333"/>
      <c r="AK1003" s="333"/>
      <c r="AL1003" s="334"/>
      <c r="AM1003" s="334"/>
      <c r="AN1003" s="334"/>
      <c r="AO1003" s="334"/>
      <c r="AP1003" s="334"/>
      <c r="AQ1003" s="335"/>
      <c r="AR1003" s="336"/>
    </row>
    <row r="1004" spans="1:44" s="337" customFormat="1" ht="30.95" hidden="1" customHeight="1" x14ac:dyDescent="0.2">
      <c r="A1004" s="320"/>
      <c r="B1004" s="321"/>
      <c r="C1004" s="360"/>
      <c r="D1004" s="361">
        <v>3731357</v>
      </c>
      <c r="E1004" s="31">
        <v>4141054</v>
      </c>
      <c r="F1004" s="268" t="str">
        <f>IF(D1004="","",VLOOKUP(D1004,契約台帳!$A$3:$K$4986,6,FALSE)&amp;VLOOKUP(D1004,契約台帳!$A$3:$K$4986,7,FALSE)&amp;VLOOKUP(D1004,契約台帳!$A$3:$K$4986,8,FALSE)&amp;VLOOKUP(D1004,契約台帳!$A$3:$K$4986,9,FALSE)&amp;VLOOKUP(D1004,契約台帳!$A$3:$K$4986,11,FALSE))</f>
        <v>3SNMLBMNNGKBF</v>
      </c>
      <c r="G1004" s="269" t="str">
        <f>IF(D1004="","",VLOOKUP(F1004,製品マスタ!$G$5:$H$5002,2,FALSE))</f>
        <v>S</v>
      </c>
      <c r="H1004" s="269" t="str">
        <f>IF(D1004="","",VLOOKUP(F1004,製品マスタ!$G$5:$K$5002,5,FALSE))</f>
        <v>MNNGKBF</v>
      </c>
      <c r="I1004" s="270" t="str">
        <f>IF(D1004="","",VLOOKUP(F1004,製品マスタ!$G$5:$L$5002,6,FALSE))</f>
        <v>メタルミー　ニューネーマー銀消　Ｂ</v>
      </c>
      <c r="J1004" s="32" t="s">
        <v>447</v>
      </c>
      <c r="K1004" s="270">
        <f>IF(D1004="","",VLOOKUP(D1004,契約台帳!$A$3:$L$4986,12,FALSE))</f>
        <v>25</v>
      </c>
      <c r="L1004" s="270" t="str">
        <f>IF(D1004="","",INDEX(製品マスタ!$Q$5:$Q$5002,MATCH(F1004&amp;K1004,製品マスタ!$AO$5:$AO$5002,0)))</f>
        <v>X44C</v>
      </c>
      <c r="M1004" s="39">
        <v>1005</v>
      </c>
      <c r="N1004" s="39">
        <v>8000</v>
      </c>
      <c r="O1004" s="47">
        <v>1</v>
      </c>
      <c r="P1004" s="57"/>
      <c r="Q1004" s="276">
        <f>IF(D1004="","",IF(J1004="リード付け",M1004,VLOOKUP(D1004,契約台帳!$A$3:$N$4986,14,FALSE)))</f>
        <v>1005</v>
      </c>
      <c r="R1004" s="277">
        <f>IF(D1004="","",IF(J1004="リード付け",M1004,VLOOKUP(D1004,契約台帳!$A$3:$O$4986,15,FALSE)))</f>
        <v>1000</v>
      </c>
      <c r="S1004" s="277">
        <f>IF(D1004="","",IF(J1004="リード付け",N1004,VLOOKUP(D1004,契約台帳!$A$3:$P$4986,16,FALSE)))</f>
        <v>4000</v>
      </c>
      <c r="T1004" s="40">
        <v>2</v>
      </c>
      <c r="U1004" s="278">
        <f ca="1">IF(D1004="","",IF(OFFSET(D1004,-2,0)=D1004,"",VLOOKUP(D1004,契約台帳!$A$3:$R$4986,18,FALSE)))</f>
        <v>2</v>
      </c>
      <c r="V1004" s="269" t="str">
        <f>IF(J1004="巻返し",VLOOKUP(F1004&amp;K1004&amp;M1004,製品マスタ!$M$5:$AD$5002,18,FALSE),IF(J1004="リード付け","原反コア",IF(J1004="スリット",VLOOKUP(F1004&amp;K1004&amp;Q1004,製品マスタ!$N$5:$AD$5002,17,FALSE),"")))</f>
        <v>6ｲﾝﾁSｺｱ</v>
      </c>
      <c r="W1004" s="269">
        <f>IF(J1004="巻返し",VLOOKUP(F1004&amp;K1004&amp;M1004,製品マスタ!$M$5:$AE$5002,19,FALSE),IF(J1004="リード付け","-",IF(J1004="スリット",VLOOKUP(F1004&amp;K1004&amp;Q1004,製品マスタ!$N$5:$AE$5002,18,FALSE),"")))</f>
        <v>1015</v>
      </c>
      <c r="X1004" s="275">
        <f>IF(D1004="","",VLOOKUP(D1004,契約台帳!$A$3:$Q$4986,17,FALSE))</f>
        <v>2</v>
      </c>
      <c r="Y1004" s="269" t="str">
        <f>IF(D1004="","",VLOOKUP(D1004,契約台帳!$A$3:$E$4986,5,FALSE))</f>
        <v>リンテック㈱</v>
      </c>
      <c r="Z1004" s="357"/>
      <c r="AA1004" s="207" t="s">
        <v>1804</v>
      </c>
      <c r="AB1004" s="369"/>
      <c r="AC1004" s="370"/>
      <c r="AD1004" s="332" t="str">
        <f>IF(F1004="","",+F1004&amp;K1004)</f>
        <v>3SNMLBMNNGKBF25</v>
      </c>
      <c r="AE1004" s="371">
        <f>+M1004*N1004*O1004/1000</f>
        <v>8040</v>
      </c>
      <c r="AF1004" s="372">
        <f>IF(AD1004="","",VLOOKUP(AD1004,原価マスタ!$A$2:$AJ$1693,13,FALSE))</f>
        <v>98.3</v>
      </c>
      <c r="AG1004" s="366">
        <f>IF(AF1004="","",+AE1004*AF1004/100)</f>
        <v>7903.32</v>
      </c>
      <c r="AH1004" s="333"/>
      <c r="AI1004" s="333"/>
      <c r="AJ1004" s="333"/>
      <c r="AK1004" s="333"/>
      <c r="AL1004" s="334"/>
      <c r="AM1004" s="334"/>
      <c r="AN1004" s="334"/>
      <c r="AO1004" s="334"/>
      <c r="AP1004" s="334"/>
      <c r="AQ1004" s="335"/>
      <c r="AR1004" s="336"/>
    </row>
    <row r="1005" spans="1:44" s="337" customFormat="1" ht="30.95" hidden="1" customHeight="1" x14ac:dyDescent="0.2">
      <c r="A1005" s="358"/>
      <c r="B1005" s="359"/>
      <c r="C1005" s="360"/>
      <c r="D1005" s="361"/>
      <c r="E1005" s="361"/>
      <c r="F1005" s="362"/>
      <c r="G1005" s="363"/>
      <c r="H1005" s="363"/>
      <c r="I1005" s="207"/>
      <c r="J1005" s="364"/>
      <c r="K1005" s="207"/>
      <c r="L1005" s="207"/>
      <c r="M1005" s="365"/>
      <c r="N1005" s="365"/>
      <c r="O1005" s="366"/>
      <c r="P1005" s="357"/>
      <c r="Q1005" s="367"/>
      <c r="R1005" s="278"/>
      <c r="S1005" s="278"/>
      <c r="T1005" s="368"/>
      <c r="U1005" s="278"/>
      <c r="V1005" s="363"/>
      <c r="W1005" s="363"/>
      <c r="X1005" s="363"/>
      <c r="Y1005" s="363"/>
      <c r="Z1005" s="357"/>
      <c r="AA1005" s="207"/>
      <c r="AB1005" s="369"/>
      <c r="AC1005" s="370"/>
      <c r="AD1005" s="332"/>
      <c r="AE1005" s="371"/>
      <c r="AF1005" s="372"/>
      <c r="AG1005" s="366"/>
      <c r="AH1005" s="333"/>
      <c r="AI1005" s="333"/>
      <c r="AJ1005" s="333"/>
      <c r="AK1005" s="333"/>
      <c r="AL1005" s="334"/>
      <c r="AM1005" s="334"/>
      <c r="AN1005" s="334"/>
      <c r="AO1005" s="334"/>
      <c r="AP1005" s="334"/>
      <c r="AQ1005" s="335"/>
      <c r="AR1005" s="336"/>
    </row>
    <row r="1006" spans="1:44" s="337" customFormat="1" ht="30.95" hidden="1" customHeight="1" x14ac:dyDescent="0.2">
      <c r="A1006" s="320"/>
      <c r="B1006" s="321"/>
      <c r="C1006" s="360"/>
      <c r="D1006" s="398">
        <v>3731348</v>
      </c>
      <c r="E1006" s="31">
        <v>4151511</v>
      </c>
      <c r="F1006" s="268" t="str">
        <f>IF(D1006="","",VLOOKUP(D1006,契約台帳!$A$3:$K$4986,6,FALSE)&amp;VLOOKUP(D1006,契約台帳!$A$3:$K$4986,7,FALSE)&amp;VLOOKUP(D1006,契約台帳!$A$3:$K$4986,8,FALSE)&amp;VLOOKUP(D1006,契約台帳!$A$3:$K$4986,9,FALSE)&amp;VLOOKUP(D1006,契約台帳!$A$3:$K$4986,11,FALSE))</f>
        <v>3SNMLBMNGKKBF</v>
      </c>
      <c r="G1006" s="269" t="str">
        <f>IF(D1006="","",VLOOKUP(F1006,製品マスタ!$G$5:$H$5002,2,FALSE))</f>
        <v>S</v>
      </c>
      <c r="H1006" s="269" t="str">
        <f>IF(D1006="","",VLOOKUP(F1006,製品マスタ!$G$5:$K$5002,5,FALSE))</f>
        <v>MNGKKBF</v>
      </c>
      <c r="I1006" s="270" t="str">
        <f>IF(D1006="","",VLOOKUP(F1006,製品マスタ!$G$5:$L$5002,6,FALSE))</f>
        <v>メタルミー　ネーマー銀消改　Ｂ</v>
      </c>
      <c r="J1006" s="32" t="s">
        <v>447</v>
      </c>
      <c r="K1006" s="270">
        <f>IF(D1006="","",VLOOKUP(D1006,契約台帳!$A$3:$L$4986,12,FALSE))</f>
        <v>25</v>
      </c>
      <c r="L1006" s="270" t="str">
        <f>IF(D1006="","",INDEX(製品マスタ!$Q$5:$Q$5002,MATCH(F1006&amp;K1006,製品マスタ!$AO$5:$AO$5002,0)))</f>
        <v>FMATS99</v>
      </c>
      <c r="M1006" s="39">
        <v>1120</v>
      </c>
      <c r="N1006" s="39">
        <v>12000</v>
      </c>
      <c r="O1006" s="47">
        <v>2</v>
      </c>
      <c r="P1006" s="57"/>
      <c r="Q1006" s="276">
        <f>IF(D1006="","",IF(J1006="リード付け",M1006,VLOOKUP(D1006,契約台帳!$A$3:$N$4986,14,FALSE)))</f>
        <v>1120</v>
      </c>
      <c r="R1006" s="277">
        <f>IF(D1006="","",IF(J1006="リード付け",M1006,VLOOKUP(D1006,契約台帳!$A$3:$O$4986,15,FALSE)))</f>
        <v>1120</v>
      </c>
      <c r="S1006" s="277">
        <f>IF(D1006="","",IF(J1006="リード付け",N1006,VLOOKUP(D1006,契約台帳!$A$3:$P$4986,16,FALSE)))</f>
        <v>4000</v>
      </c>
      <c r="T1006" s="40">
        <v>6</v>
      </c>
      <c r="U1006" s="278">
        <f ca="1">IF(D1006="","",IF(OFFSET(D1006,-2,0)=D1006,"",VLOOKUP(D1006,契約台帳!$A$3:$R$4986,18,FALSE)))</f>
        <v>6</v>
      </c>
      <c r="V1006" s="269" t="str">
        <f>IF(J1006="巻返し",VLOOKUP(F1006&amp;K1006&amp;M1006,製品マスタ!$M$5:$AD$5002,18,FALSE),IF(J1006="リード付け","原反コア",IF(J1006="スリット",VLOOKUP(F1006&amp;K1006&amp;Q1006,製品マスタ!$N$5:$AD$5002,17,FALSE),"")))</f>
        <v>6ｲﾝﾁSｺｱ</v>
      </c>
      <c r="W1006" s="269">
        <f>IF(J1006="巻返し",VLOOKUP(F1006&amp;K1006&amp;M1006,製品マスタ!$M$5:$AE$5002,19,FALSE),IF(J1006="リード付け","-",IF(J1006="スリット",VLOOKUP(F1006&amp;K1006&amp;Q1006,製品マスタ!$N$5:$AE$5002,18,FALSE),"")))</f>
        <v>1125</v>
      </c>
      <c r="X1006" s="275">
        <f>IF(D1006="","",VLOOKUP(D1006,契約台帳!$A$3:$Q$4986,17,FALSE))</f>
        <v>2</v>
      </c>
      <c r="Y1006" s="269" t="str">
        <f>IF(D1006="","",VLOOKUP(D1006,契約台帳!$A$3:$E$4986,5,FALSE))</f>
        <v>リンテック㈱</v>
      </c>
      <c r="Z1006" s="357"/>
      <c r="AA1006" s="207">
        <f>IFERROR(VLOOKUP(F1006&amp;K1006&amp;M1006,製品マスタ!$M$5:$AM$5002,27,FALSE),"")</f>
        <v>0</v>
      </c>
      <c r="AB1006" s="369"/>
      <c r="AC1006" s="370"/>
      <c r="AD1006" s="332" t="str">
        <f>IF(F1006="","",+F1006&amp;K1006)</f>
        <v>3SNMLBMNGKKBF25</v>
      </c>
      <c r="AE1006" s="216">
        <f>+M1006*N1006*O1006/1000</f>
        <v>26880</v>
      </c>
      <c r="AF1006" s="43">
        <f>IF(AD1006="","",VLOOKUP(AD1006,原価マスタ!$A$2:$AJ$1693,13,FALSE))</f>
        <v>96</v>
      </c>
      <c r="AG1006" s="47">
        <f>IF(AF1006="","",+AE1006*AF1006/100)</f>
        <v>25804.799999999999</v>
      </c>
      <c r="AH1006" s="333"/>
      <c r="AI1006" s="333"/>
      <c r="AJ1006" s="333"/>
      <c r="AK1006" s="333"/>
      <c r="AL1006" s="334"/>
      <c r="AM1006" s="334"/>
      <c r="AN1006" s="334"/>
      <c r="AO1006" s="334"/>
      <c r="AP1006" s="334"/>
      <c r="AQ1006" s="335"/>
      <c r="AR1006" s="336"/>
    </row>
    <row r="1007" spans="1:44" s="337" customFormat="1" ht="30.95" hidden="1" customHeight="1" x14ac:dyDescent="0.2">
      <c r="A1007" s="358"/>
      <c r="B1007" s="359"/>
      <c r="C1007" s="360"/>
      <c r="D1007" s="361"/>
      <c r="E1007" s="361"/>
      <c r="F1007" s="362"/>
      <c r="G1007" s="363"/>
      <c r="H1007" s="363"/>
      <c r="I1007" s="207"/>
      <c r="J1007" s="364"/>
      <c r="K1007" s="207"/>
      <c r="L1007" s="207"/>
      <c r="M1007" s="365"/>
      <c r="N1007" s="365"/>
      <c r="O1007" s="366"/>
      <c r="P1007" s="357"/>
      <c r="Q1007" s="367"/>
      <c r="R1007" s="278"/>
      <c r="S1007" s="278"/>
      <c r="T1007" s="368"/>
      <c r="U1007" s="278"/>
      <c r="V1007" s="363"/>
      <c r="W1007" s="363"/>
      <c r="X1007" s="363"/>
      <c r="Y1007" s="363"/>
      <c r="Z1007" s="357"/>
      <c r="AA1007" s="207"/>
      <c r="AB1007" s="369"/>
      <c r="AC1007" s="370"/>
      <c r="AD1007" s="332"/>
      <c r="AE1007" s="371"/>
      <c r="AF1007" s="372"/>
      <c r="AG1007" s="366"/>
      <c r="AH1007" s="333"/>
      <c r="AI1007" s="333"/>
      <c r="AJ1007" s="333"/>
      <c r="AK1007" s="333"/>
      <c r="AL1007" s="334"/>
      <c r="AM1007" s="334"/>
      <c r="AN1007" s="334"/>
      <c r="AO1007" s="334"/>
      <c r="AP1007" s="334"/>
      <c r="AQ1007" s="335"/>
      <c r="AR1007" s="336"/>
    </row>
    <row r="1008" spans="1:44" s="337" customFormat="1" ht="30.95" hidden="1" customHeight="1" x14ac:dyDescent="0.2">
      <c r="A1008" s="320" t="s">
        <v>653</v>
      </c>
      <c r="B1008" s="321" t="s">
        <v>688</v>
      </c>
      <c r="C1008" s="360"/>
      <c r="D1008" s="398">
        <v>3731351</v>
      </c>
      <c r="E1008" s="31">
        <v>4151509</v>
      </c>
      <c r="F1008" s="268" t="str">
        <f>IF(D1008="","",VLOOKUP(D1008,契約台帳!$A$3:$K$4986,6,FALSE)&amp;VLOOKUP(D1008,契約台帳!$A$3:$K$4986,7,FALSE)&amp;VLOOKUP(D1008,契約台帳!$A$3:$K$4986,8,FALSE)&amp;VLOOKUP(D1008,契約台帳!$A$3:$K$4986,9,FALSE)&amp;VLOOKUP(D1008,契約台帳!$A$3:$K$4986,11,FALSE))</f>
        <v>3SNMLBMNGKBF</v>
      </c>
      <c r="G1008" s="269" t="str">
        <f>IF(D1008="","",VLOOKUP(F1008,製品マスタ!$G$5:$H$5002,2,FALSE))</f>
        <v>S</v>
      </c>
      <c r="H1008" s="269" t="str">
        <f>IF(D1008="","",VLOOKUP(F1008,製品マスタ!$G$5:$K$5002,5,FALSE))</f>
        <v>MNGKBF</v>
      </c>
      <c r="I1008" s="270" t="str">
        <f>IF(D1008="","",VLOOKUP(F1008,製品マスタ!$G$5:$L$5002,6,FALSE))</f>
        <v>メタルミー　ネーマー銀消　Ｂ</v>
      </c>
      <c r="J1008" s="32" t="s">
        <v>447</v>
      </c>
      <c r="K1008" s="270">
        <f>IF(D1008="","",VLOOKUP(D1008,契約台帳!$A$3:$L$4986,12,FALSE))</f>
        <v>50</v>
      </c>
      <c r="L1008" s="270" t="str">
        <f>IF(D1008="","",INDEX(製品マスタ!$Q$5:$Q$5002,MATCH(F1008&amp;K1008,製品マスタ!$AO$5:$AO$5002,0)))</f>
        <v>MAT</v>
      </c>
      <c r="M1008" s="39">
        <v>1050</v>
      </c>
      <c r="N1008" s="39">
        <v>12300</v>
      </c>
      <c r="O1008" s="47">
        <v>1</v>
      </c>
      <c r="P1008" s="57"/>
      <c r="Q1008" s="276">
        <f>IF(D1008="","",IF(J1008="リード付け",M1008,VLOOKUP(D1008,契約台帳!$A$3:$N$4986,14,FALSE)))</f>
        <v>1050</v>
      </c>
      <c r="R1008" s="277">
        <f>IF(D1008="","",IF(J1008="リード付け",M1008,VLOOKUP(D1008,契約台帳!$A$3:$O$4986,15,FALSE)))</f>
        <v>1050</v>
      </c>
      <c r="S1008" s="277">
        <f>IF(D1008="","",IF(J1008="リード付け",N1008,VLOOKUP(D1008,契約台帳!$A$3:$P$4986,16,FALSE)))</f>
        <v>4100</v>
      </c>
      <c r="T1008" s="40">
        <v>3</v>
      </c>
      <c r="U1008" s="278">
        <f ca="1">IF(D1008="","",IF(OFFSET(D1008,-2,0)=D1008,"",VLOOKUP(D1008,契約台帳!$A$3:$R$4986,18,FALSE)))</f>
        <v>5</v>
      </c>
      <c r="V1008" s="269" t="str">
        <f>IF(J1008="巻返し",VLOOKUP(F1008&amp;K1008&amp;M1008,製品マスタ!$M$5:$AD$5002,18,FALSE),IF(J1008="リード付け","原反コア",IF(J1008="スリット",VLOOKUP(F1008&amp;K1008&amp;Q1008,製品マスタ!$N$5:$AD$5002,17,FALSE),"")))</f>
        <v>6ｲﾝﾁSｺｱ</v>
      </c>
      <c r="W1008" s="269">
        <f>IF(J1008="巻返し",VLOOKUP(F1008&amp;K1008&amp;M1008,製品マスタ!$M$5:$AE$5002,19,FALSE),IF(J1008="リード付け","-",IF(J1008="スリット",VLOOKUP(F1008&amp;K1008&amp;Q1008,製品マスタ!$N$5:$AE$5002,18,FALSE),"")))</f>
        <v>1055</v>
      </c>
      <c r="X1008" s="275">
        <f>IF(D1008="","",VLOOKUP(D1008,契約台帳!$A$3:$Q$4986,17,FALSE))</f>
        <v>2</v>
      </c>
      <c r="Y1008" s="269" t="str">
        <f>IF(D1008="","",VLOOKUP(D1008,契約台帳!$A$3:$E$4986,5,FALSE))</f>
        <v>リンテック㈱</v>
      </c>
      <c r="Z1008" s="357"/>
      <c r="AA1008" s="207">
        <f>IFERROR(VLOOKUP(F1008&amp;K1008&amp;M1008,製品マスタ!$M$5:$AM$5002,27,FALSE),"")</f>
        <v>0</v>
      </c>
      <c r="AB1008" s="369"/>
      <c r="AC1008" s="370"/>
      <c r="AD1008" s="332" t="str">
        <f>IF(F1008="","",+F1008&amp;K1008)</f>
        <v>3SNMLBMNGKBF50</v>
      </c>
      <c r="AE1008" s="216">
        <f>+M1008*N1008*O1008/1000</f>
        <v>12915</v>
      </c>
      <c r="AF1008" s="43">
        <f>IF(AD1008="","",VLOOKUP(AD1008,原価マスタ!$A$2:$AJ$1693,13,FALSE))</f>
        <v>98</v>
      </c>
      <c r="AG1008" s="47">
        <f>IF(AF1008="","",+AE1008*AF1008/100)</f>
        <v>12656.7</v>
      </c>
      <c r="AH1008" s="333"/>
      <c r="AI1008" s="333"/>
      <c r="AJ1008" s="333"/>
      <c r="AK1008" s="333"/>
      <c r="AL1008" s="334"/>
      <c r="AM1008" s="334"/>
      <c r="AN1008" s="334"/>
      <c r="AO1008" s="334"/>
      <c r="AP1008" s="334"/>
      <c r="AQ1008" s="335"/>
      <c r="AR1008" s="336"/>
    </row>
    <row r="1009" spans="1:44" s="337" customFormat="1" ht="30.95" hidden="1" customHeight="1" x14ac:dyDescent="0.2">
      <c r="A1009" s="358"/>
      <c r="B1009" s="359"/>
      <c r="C1009" s="360"/>
      <c r="D1009" s="361"/>
      <c r="E1009" s="361"/>
      <c r="F1009" s="362"/>
      <c r="G1009" s="363"/>
      <c r="H1009" s="363"/>
      <c r="I1009" s="207"/>
      <c r="J1009" s="364"/>
      <c r="K1009" s="207"/>
      <c r="L1009" s="207"/>
      <c r="M1009" s="365"/>
      <c r="N1009" s="365"/>
      <c r="O1009" s="366"/>
      <c r="P1009" s="357"/>
      <c r="Q1009" s="367"/>
      <c r="R1009" s="278"/>
      <c r="S1009" s="278"/>
      <c r="T1009" s="368"/>
      <c r="U1009" s="278"/>
      <c r="V1009" s="363"/>
      <c r="W1009" s="363"/>
      <c r="X1009" s="363"/>
      <c r="Y1009" s="363"/>
      <c r="Z1009" s="357"/>
      <c r="AA1009" s="207"/>
      <c r="AB1009" s="369"/>
      <c r="AC1009" s="370"/>
      <c r="AD1009" s="332"/>
      <c r="AE1009" s="371"/>
      <c r="AF1009" s="372"/>
      <c r="AG1009" s="366"/>
      <c r="AH1009" s="333"/>
      <c r="AI1009" s="333"/>
      <c r="AJ1009" s="333"/>
      <c r="AK1009" s="333"/>
      <c r="AL1009" s="334"/>
      <c r="AM1009" s="334"/>
      <c r="AN1009" s="334"/>
      <c r="AO1009" s="334"/>
      <c r="AP1009" s="334"/>
      <c r="AQ1009" s="335"/>
      <c r="AR1009" s="336"/>
    </row>
    <row r="1010" spans="1:44" s="337" customFormat="1" ht="30.95" hidden="1" customHeight="1" x14ac:dyDescent="0.2">
      <c r="A1010" s="320"/>
      <c r="B1010" s="321"/>
      <c r="C1010" s="360"/>
      <c r="D1010" s="398">
        <v>3731351</v>
      </c>
      <c r="E1010" s="31">
        <v>4151509</v>
      </c>
      <c r="F1010" s="268" t="str">
        <f>IF(D1010="","",VLOOKUP(D1010,契約台帳!$A$3:$K$4986,6,FALSE)&amp;VLOOKUP(D1010,契約台帳!$A$3:$K$4986,7,FALSE)&amp;VLOOKUP(D1010,契約台帳!$A$3:$K$4986,8,FALSE)&amp;VLOOKUP(D1010,契約台帳!$A$3:$K$4986,9,FALSE)&amp;VLOOKUP(D1010,契約台帳!$A$3:$K$4986,11,FALSE))</f>
        <v>3SNMLBMNGKBF</v>
      </c>
      <c r="G1010" s="269" t="str">
        <f>IF(D1010="","",VLOOKUP(F1010,製品マスタ!$G$5:$H$5002,2,FALSE))</f>
        <v>S</v>
      </c>
      <c r="H1010" s="269" t="str">
        <f>IF(D1010="","",VLOOKUP(F1010,製品マスタ!$G$5:$K$5002,5,FALSE))</f>
        <v>MNGKBF</v>
      </c>
      <c r="I1010" s="270" t="str">
        <f>IF(D1010="","",VLOOKUP(F1010,製品マスタ!$G$5:$L$5002,6,FALSE))</f>
        <v>メタルミー　ネーマー銀消　Ｂ</v>
      </c>
      <c r="J1010" s="32" t="s">
        <v>447</v>
      </c>
      <c r="K1010" s="270">
        <f>IF(D1010="","",VLOOKUP(D1010,契約台帳!$A$3:$L$4986,12,FALSE))</f>
        <v>50</v>
      </c>
      <c r="L1010" s="270" t="str">
        <f>IF(D1010="","",INDEX(製品マスタ!$Q$5:$Q$5002,MATCH(F1010&amp;K1010,製品マスタ!$AO$5:$AO$5002,0)))</f>
        <v>MAT</v>
      </c>
      <c r="M1010" s="39">
        <v>1050</v>
      </c>
      <c r="N1010" s="39">
        <v>8200</v>
      </c>
      <c r="O1010" s="47">
        <v>1</v>
      </c>
      <c r="P1010" s="57"/>
      <c r="Q1010" s="276">
        <f>IF(D1010="","",IF(J1010="リード付け",M1010,VLOOKUP(D1010,契約台帳!$A$3:$N$4986,14,FALSE)))</f>
        <v>1050</v>
      </c>
      <c r="R1010" s="277">
        <f>IF(D1010="","",IF(J1010="リード付け",M1010,VLOOKUP(D1010,契約台帳!$A$3:$O$4986,15,FALSE)))</f>
        <v>1050</v>
      </c>
      <c r="S1010" s="277">
        <f>IF(D1010="","",IF(J1010="リード付け",N1010,VLOOKUP(D1010,契約台帳!$A$3:$P$4986,16,FALSE)))</f>
        <v>4100</v>
      </c>
      <c r="T1010" s="40">
        <v>2</v>
      </c>
      <c r="U1010" s="278" t="str">
        <f ca="1">IF(D1010="","",IF(OFFSET(D1010,-2,0)=D1010,"",VLOOKUP(D1010,契約台帳!$A$3:$R$4986,18,FALSE)))</f>
        <v/>
      </c>
      <c r="V1010" s="269" t="str">
        <f>IF(J1010="巻返し",VLOOKUP(F1010&amp;K1010&amp;M1010,製品マスタ!$M$5:$AD$5002,18,FALSE),IF(J1010="リード付け","原反コア",IF(J1010="スリット",VLOOKUP(F1010&amp;K1010&amp;Q1010,製品マスタ!$N$5:$AD$5002,17,FALSE),"")))</f>
        <v>6ｲﾝﾁSｺｱ</v>
      </c>
      <c r="W1010" s="269">
        <f>IF(J1010="巻返し",VLOOKUP(F1010&amp;K1010&amp;M1010,製品マスタ!$M$5:$AE$5002,19,FALSE),IF(J1010="リード付け","-",IF(J1010="スリット",VLOOKUP(F1010&amp;K1010&amp;Q1010,製品マスタ!$N$5:$AE$5002,18,FALSE),"")))</f>
        <v>1055</v>
      </c>
      <c r="X1010" s="275">
        <f>IF(D1010="","",VLOOKUP(D1010,契約台帳!$A$3:$Q$4986,17,FALSE))</f>
        <v>2</v>
      </c>
      <c r="Y1010" s="269" t="str">
        <f>IF(D1010="","",VLOOKUP(D1010,契約台帳!$A$3:$E$4986,5,FALSE))</f>
        <v>リンテック㈱</v>
      </c>
      <c r="Z1010" s="357"/>
      <c r="AA1010" s="207">
        <f>IFERROR(VLOOKUP(F1010&amp;K1010&amp;M1010,製品マスタ!$M$5:$AM$5002,27,FALSE),"")</f>
        <v>0</v>
      </c>
      <c r="AB1010" s="369"/>
      <c r="AC1010" s="370"/>
      <c r="AD1010" s="332" t="str">
        <f>IF(F1010="","",+F1010&amp;K1010)</f>
        <v>3SNMLBMNGKBF50</v>
      </c>
      <c r="AE1010" s="216">
        <f>+M1010*N1010*O1010/1000</f>
        <v>8610</v>
      </c>
      <c r="AF1010" s="43">
        <f>IF(AD1010="","",VLOOKUP(AD1010,原価マスタ!$A$2:$AJ$1693,13,FALSE))</f>
        <v>98</v>
      </c>
      <c r="AG1010" s="47">
        <f>IF(AF1010="","",+AE1010*AF1010/100)</f>
        <v>8437.7999999999993</v>
      </c>
      <c r="AH1010" s="333"/>
      <c r="AI1010" s="333"/>
      <c r="AJ1010" s="333"/>
      <c r="AK1010" s="333"/>
      <c r="AL1010" s="334"/>
      <c r="AM1010" s="334"/>
      <c r="AN1010" s="334"/>
      <c r="AO1010" s="334"/>
      <c r="AP1010" s="334"/>
      <c r="AQ1010" s="335"/>
      <c r="AR1010" s="336"/>
    </row>
    <row r="1011" spans="1:44" s="337" customFormat="1" ht="30.95" hidden="1" customHeight="1" x14ac:dyDescent="0.2">
      <c r="A1011" s="358"/>
      <c r="B1011" s="359"/>
      <c r="C1011" s="360"/>
      <c r="D1011" s="361"/>
      <c r="E1011" s="361"/>
      <c r="F1011" s="362"/>
      <c r="G1011" s="363"/>
      <c r="H1011" s="363"/>
      <c r="I1011" s="207"/>
      <c r="J1011" s="364"/>
      <c r="K1011" s="207"/>
      <c r="L1011" s="207"/>
      <c r="M1011" s="365"/>
      <c r="N1011" s="365"/>
      <c r="O1011" s="366"/>
      <c r="P1011" s="357"/>
      <c r="Q1011" s="367"/>
      <c r="R1011" s="278"/>
      <c r="S1011" s="278"/>
      <c r="T1011" s="368"/>
      <c r="U1011" s="278"/>
      <c r="V1011" s="363"/>
      <c r="W1011" s="363"/>
      <c r="X1011" s="363"/>
      <c r="Y1011" s="363"/>
      <c r="Z1011" s="357"/>
      <c r="AA1011" s="207"/>
      <c r="AB1011" s="369"/>
      <c r="AC1011" s="370"/>
      <c r="AD1011" s="332"/>
      <c r="AE1011" s="371"/>
      <c r="AF1011" s="372"/>
      <c r="AG1011" s="366"/>
      <c r="AH1011" s="333"/>
      <c r="AI1011" s="333"/>
      <c r="AJ1011" s="333"/>
      <c r="AK1011" s="333"/>
      <c r="AL1011" s="334"/>
      <c r="AM1011" s="334"/>
      <c r="AN1011" s="334"/>
      <c r="AO1011" s="334"/>
      <c r="AP1011" s="334"/>
      <c r="AQ1011" s="335"/>
      <c r="AR1011" s="336"/>
    </row>
    <row r="1012" spans="1:44" s="337" customFormat="1" ht="30.95" hidden="1" customHeight="1" x14ac:dyDescent="0.2">
      <c r="A1012" s="320"/>
      <c r="B1012" s="321"/>
      <c r="C1012" s="360"/>
      <c r="D1012" s="398">
        <v>3731347</v>
      </c>
      <c r="E1012" s="31">
        <v>4151510</v>
      </c>
      <c r="F1012" s="268" t="str">
        <f>IF(D1012="","",VLOOKUP(D1012,契約台帳!$A$3:$K$4986,6,FALSE)&amp;VLOOKUP(D1012,契約台帳!$A$3:$K$4986,7,FALSE)&amp;VLOOKUP(D1012,契約台帳!$A$3:$K$4986,8,FALSE)&amp;VLOOKUP(D1012,契約台帳!$A$3:$K$4986,9,FALSE)&amp;VLOOKUP(D1012,契約台帳!$A$3:$K$4986,11,FALSE))</f>
        <v>3SNMLBMNGKKBF</v>
      </c>
      <c r="G1012" s="269" t="str">
        <f>IF(D1012="","",VLOOKUP(F1012,製品マスタ!$G$5:$H$5002,2,FALSE))</f>
        <v>S</v>
      </c>
      <c r="H1012" s="269" t="str">
        <f>IF(D1012="","",VLOOKUP(F1012,製品マスタ!$G$5:$K$5002,5,FALSE))</f>
        <v>MNGKKBF</v>
      </c>
      <c r="I1012" s="270" t="str">
        <f>IF(D1012="","",VLOOKUP(F1012,製品マスタ!$G$5:$L$5002,6,FALSE))</f>
        <v>メタルミー　ネーマー銀消改　Ｂ</v>
      </c>
      <c r="J1012" s="32" t="s">
        <v>447</v>
      </c>
      <c r="K1012" s="270">
        <f>IF(D1012="","",VLOOKUP(D1012,契約台帳!$A$3:$L$4986,12,FALSE))</f>
        <v>25</v>
      </c>
      <c r="L1012" s="270" t="str">
        <f>IF(D1012="","",INDEX(製品マスタ!$Q$5:$Q$5002,MATCH(F1012&amp;K1012,製品マスタ!$AO$5:$AO$5002,0)))</f>
        <v>FMATS99</v>
      </c>
      <c r="M1012" s="39">
        <v>1000</v>
      </c>
      <c r="N1012" s="39">
        <v>8000</v>
      </c>
      <c r="O1012" s="47">
        <v>1</v>
      </c>
      <c r="P1012" s="57"/>
      <c r="Q1012" s="276">
        <f>IF(D1012="","",IF(J1012="リード付け",M1012,VLOOKUP(D1012,契約台帳!$A$3:$N$4986,14,FALSE)))</f>
        <v>1000</v>
      </c>
      <c r="R1012" s="277">
        <f>IF(D1012="","",IF(J1012="リード付け",M1012,VLOOKUP(D1012,契約台帳!$A$3:$O$4986,15,FALSE)))</f>
        <v>1000</v>
      </c>
      <c r="S1012" s="277">
        <f>IF(D1012="","",IF(J1012="リード付け",N1012,VLOOKUP(D1012,契約台帳!$A$3:$P$4986,16,FALSE)))</f>
        <v>4000</v>
      </c>
      <c r="T1012" s="40">
        <v>2</v>
      </c>
      <c r="U1012" s="278">
        <f ca="1">IF(D1012="","",IF(OFFSET(D1012,-2,0)=D1012,"",VLOOKUP(D1012,契約台帳!$A$3:$R$4986,18,FALSE)))</f>
        <v>2</v>
      </c>
      <c r="V1012" s="269" t="str">
        <f>IF(J1012="巻返し",VLOOKUP(F1012&amp;K1012&amp;M1012,製品マスタ!$M$5:$AD$5002,18,FALSE),IF(J1012="リード付け","原反コア",IF(J1012="スリット",VLOOKUP(F1012&amp;K1012&amp;Q1012,製品マスタ!$N$5:$AD$5002,17,FALSE),"")))</f>
        <v>6ｲﾝﾁSｺｱ</v>
      </c>
      <c r="W1012" s="269">
        <f>IF(J1012="巻返し",VLOOKUP(F1012&amp;K1012&amp;M1012,製品マスタ!$M$5:$AE$5002,19,FALSE),IF(J1012="リード付け","-",IF(J1012="スリット",VLOOKUP(F1012&amp;K1012&amp;Q1012,製品マスタ!$N$5:$AE$5002,18,FALSE),"")))</f>
        <v>1005</v>
      </c>
      <c r="X1012" s="275">
        <f>IF(D1012="","",VLOOKUP(D1012,契約台帳!$A$3:$Q$4986,17,FALSE))</f>
        <v>2</v>
      </c>
      <c r="Y1012" s="269" t="str">
        <f>IF(D1012="","",VLOOKUP(D1012,契約台帳!$A$3:$E$4986,5,FALSE))</f>
        <v>リンテック㈱</v>
      </c>
      <c r="Z1012" s="357"/>
      <c r="AA1012" s="207">
        <f>IFERROR(VLOOKUP(F1012&amp;K1012&amp;M1012,製品マスタ!$M$5:$AM$5002,27,FALSE),"")</f>
        <v>0</v>
      </c>
      <c r="AB1012" s="369"/>
      <c r="AC1012" s="370"/>
      <c r="AD1012" s="332" t="str">
        <f>IF(F1012="","",+F1012&amp;K1012)</f>
        <v>3SNMLBMNGKKBF25</v>
      </c>
      <c r="AE1012" s="216">
        <f>+M1012*N1012*O1012/1000</f>
        <v>8000</v>
      </c>
      <c r="AF1012" s="43">
        <f>IF(AD1012="","",VLOOKUP(AD1012,原価マスタ!$A$2:$AJ$1693,13,FALSE))</f>
        <v>96</v>
      </c>
      <c r="AG1012" s="47">
        <f>IF(AF1012="","",+AE1012*AF1012/100)</f>
        <v>7680</v>
      </c>
      <c r="AH1012" s="333"/>
      <c r="AI1012" s="333"/>
      <c r="AJ1012" s="333"/>
      <c r="AK1012" s="333"/>
      <c r="AL1012" s="334"/>
      <c r="AM1012" s="334"/>
      <c r="AN1012" s="334"/>
      <c r="AO1012" s="334"/>
      <c r="AP1012" s="334"/>
      <c r="AQ1012" s="335"/>
      <c r="AR1012" s="336"/>
    </row>
    <row r="1013" spans="1:44" s="337" customFormat="1" ht="30.95" hidden="1" customHeight="1" x14ac:dyDescent="0.2">
      <c r="A1013" s="358"/>
      <c r="B1013" s="359"/>
      <c r="C1013" s="360"/>
      <c r="D1013" s="361"/>
      <c r="E1013" s="361"/>
      <c r="F1013" s="362"/>
      <c r="G1013" s="363"/>
      <c r="H1013" s="363"/>
      <c r="I1013" s="207"/>
      <c r="J1013" s="364"/>
      <c r="K1013" s="207"/>
      <c r="L1013" s="207"/>
      <c r="M1013" s="365"/>
      <c r="N1013" s="365"/>
      <c r="O1013" s="366"/>
      <c r="P1013" s="357"/>
      <c r="Q1013" s="367"/>
      <c r="R1013" s="278"/>
      <c r="S1013" s="278"/>
      <c r="T1013" s="368"/>
      <c r="U1013" s="278"/>
      <c r="V1013" s="363"/>
      <c r="W1013" s="363"/>
      <c r="X1013" s="363"/>
      <c r="Y1013" s="363"/>
      <c r="Z1013" s="357"/>
      <c r="AA1013" s="207"/>
      <c r="AB1013" s="369"/>
      <c r="AC1013" s="370"/>
      <c r="AD1013" s="332"/>
      <c r="AE1013" s="371"/>
      <c r="AF1013" s="372"/>
      <c r="AG1013" s="366"/>
      <c r="AH1013" s="333"/>
      <c r="AI1013" s="333"/>
      <c r="AJ1013" s="333"/>
      <c r="AK1013" s="333"/>
      <c r="AL1013" s="334"/>
      <c r="AM1013" s="334"/>
      <c r="AN1013" s="334"/>
      <c r="AO1013" s="334"/>
      <c r="AP1013" s="334"/>
      <c r="AQ1013" s="335"/>
      <c r="AR1013" s="336"/>
    </row>
    <row r="1014" spans="1:44" s="337" customFormat="1" ht="30.95" hidden="1" customHeight="1" x14ac:dyDescent="0.2">
      <c r="A1014" s="320"/>
      <c r="B1014" s="321"/>
      <c r="C1014" s="360"/>
      <c r="D1014" s="398">
        <v>3727594</v>
      </c>
      <c r="E1014" s="31">
        <v>4151508</v>
      </c>
      <c r="F1014" s="268" t="str">
        <f>IF(D1014="","",VLOOKUP(D1014,契約台帳!$A$3:$K$4986,6,FALSE)&amp;VLOOKUP(D1014,契約台帳!$A$3:$K$4986,7,FALSE)&amp;VLOOKUP(D1014,契約台帳!$A$3:$K$4986,8,FALSE)&amp;VLOOKUP(D1014,契約台帳!$A$3:$K$4986,9,FALSE)&amp;VLOOKUP(D1014,契約台帳!$A$3:$K$4986,11,FALSE))</f>
        <v>3SNMLBMNGKKBF</v>
      </c>
      <c r="G1014" s="269" t="str">
        <f>IF(D1014="","",VLOOKUP(F1014,製品マスタ!$G$5:$H$5002,2,FALSE))</f>
        <v>S</v>
      </c>
      <c r="H1014" s="269" t="str">
        <f>IF(D1014="","",VLOOKUP(F1014,製品マスタ!$G$5:$K$5002,5,FALSE))</f>
        <v>MNGKKBF</v>
      </c>
      <c r="I1014" s="270" t="str">
        <f>IF(D1014="","",VLOOKUP(F1014,製品マスタ!$G$5:$L$5002,6,FALSE))</f>
        <v>メタルミー　ネーマー銀消改　Ｂ</v>
      </c>
      <c r="J1014" s="32" t="s">
        <v>447</v>
      </c>
      <c r="K1014" s="270">
        <f>IF(D1014="","",VLOOKUP(D1014,契約台帳!$A$3:$L$4986,12,FALSE))</f>
        <v>50</v>
      </c>
      <c r="L1014" s="270" t="str">
        <f>IF(D1014="","",INDEX(製品マスタ!$Q$5:$Q$5002,MATCH(F1014&amp;K1014,製品マスタ!$AO$5:$AO$5002,0)))</f>
        <v>S99-MAT</v>
      </c>
      <c r="M1014" s="39">
        <v>1120</v>
      </c>
      <c r="N1014" s="39">
        <v>12000</v>
      </c>
      <c r="O1014" s="47">
        <v>3</v>
      </c>
      <c r="P1014" s="57"/>
      <c r="Q1014" s="276">
        <f>IF(D1014="","",IF(J1014="リード付け",M1014,VLOOKUP(D1014,契約台帳!$A$3:$N$4986,14,FALSE)))</f>
        <v>1120</v>
      </c>
      <c r="R1014" s="277">
        <f>IF(D1014="","",IF(J1014="リード付け",M1014,VLOOKUP(D1014,契約台帳!$A$3:$O$4986,15,FALSE)))</f>
        <v>1120</v>
      </c>
      <c r="S1014" s="277">
        <f>IF(D1014="","",IF(J1014="リード付け",N1014,VLOOKUP(D1014,契約台帳!$A$3:$P$4986,16,FALSE)))</f>
        <v>4000</v>
      </c>
      <c r="T1014" s="40">
        <v>9</v>
      </c>
      <c r="U1014" s="278">
        <f ca="1">IF(D1014="","",IF(OFFSET(D1014,-2,0)=D1014,"",VLOOKUP(D1014,契約台帳!$A$3:$R$4986,18,FALSE)))</f>
        <v>18</v>
      </c>
      <c r="V1014" s="269" t="str">
        <f>IF(J1014="巻返し",VLOOKUP(F1014&amp;K1014&amp;M1014,製品マスタ!$M$5:$AD$5002,18,FALSE),IF(J1014="リード付け","原反コア",IF(J1014="スリット",VLOOKUP(F1014&amp;K1014&amp;Q1014,製品マスタ!$N$5:$AD$5002,17,FALSE),"")))</f>
        <v>6ｲﾝﾁSｺｱ</v>
      </c>
      <c r="W1014" s="269">
        <f>IF(J1014="巻返し",VLOOKUP(F1014&amp;K1014&amp;M1014,製品マスタ!$M$5:$AE$5002,19,FALSE),IF(J1014="リード付け","-",IF(J1014="スリット",VLOOKUP(F1014&amp;K1014&amp;Q1014,製品マスタ!$N$5:$AE$5002,18,FALSE),"")))</f>
        <v>1125</v>
      </c>
      <c r="X1014" s="275">
        <f>IF(D1014="","",VLOOKUP(D1014,契約台帳!$A$3:$Q$4986,17,FALSE))</f>
        <v>2</v>
      </c>
      <c r="Y1014" s="269" t="str">
        <f>IF(D1014="","",VLOOKUP(D1014,契約台帳!$A$3:$E$4986,5,FALSE))</f>
        <v xml:space="preserve">リンテック㈱        </v>
      </c>
      <c r="Z1014" s="357"/>
      <c r="AA1014" s="207">
        <f>IFERROR(VLOOKUP(F1014&amp;K1014&amp;M1014,製品マスタ!$M$5:$AM$5002,27,FALSE),"")</f>
        <v>0</v>
      </c>
      <c r="AB1014" s="369"/>
      <c r="AC1014" s="370"/>
      <c r="AD1014" s="332" t="str">
        <f>IF(F1014="","",+F1014&amp;K1014)</f>
        <v>3SNMLBMNGKKBF50</v>
      </c>
      <c r="AE1014" s="216">
        <f>+M1014*N1014*O1014/1000</f>
        <v>40320</v>
      </c>
      <c r="AF1014" s="43">
        <f>IF(AD1014="","",VLOOKUP(AD1014,原価マスタ!$A$2:$AJ$1693,13,FALSE))</f>
        <v>99</v>
      </c>
      <c r="AG1014" s="47">
        <f>IF(AF1014="","",+AE1014*AF1014/100)</f>
        <v>39916.800000000003</v>
      </c>
      <c r="AH1014" s="333"/>
      <c r="AI1014" s="333"/>
      <c r="AJ1014" s="333"/>
      <c r="AK1014" s="333"/>
      <c r="AL1014" s="334"/>
      <c r="AM1014" s="334"/>
      <c r="AN1014" s="334"/>
      <c r="AO1014" s="334"/>
      <c r="AP1014" s="334"/>
      <c r="AQ1014" s="335"/>
      <c r="AR1014" s="336"/>
    </row>
    <row r="1015" spans="1:44" s="337" customFormat="1" ht="30.95" hidden="1" customHeight="1" x14ac:dyDescent="0.2">
      <c r="A1015" s="358"/>
      <c r="B1015" s="359"/>
      <c r="C1015" s="360"/>
      <c r="D1015" s="361"/>
      <c r="E1015" s="361"/>
      <c r="F1015" s="362"/>
      <c r="G1015" s="363"/>
      <c r="H1015" s="363"/>
      <c r="I1015" s="207"/>
      <c r="J1015" s="364"/>
      <c r="K1015" s="207"/>
      <c r="L1015" s="207"/>
      <c r="M1015" s="365"/>
      <c r="N1015" s="365"/>
      <c r="O1015" s="366"/>
      <c r="P1015" s="357"/>
      <c r="Q1015" s="367"/>
      <c r="R1015" s="278"/>
      <c r="S1015" s="278"/>
      <c r="T1015" s="368"/>
      <c r="U1015" s="278"/>
      <c r="V1015" s="363"/>
      <c r="W1015" s="363"/>
      <c r="X1015" s="363"/>
      <c r="Y1015" s="363"/>
      <c r="Z1015" s="357"/>
      <c r="AA1015" s="207"/>
      <c r="AB1015" s="369"/>
      <c r="AC1015" s="370"/>
      <c r="AD1015" s="332"/>
      <c r="AE1015" s="371"/>
      <c r="AF1015" s="372"/>
      <c r="AG1015" s="366"/>
      <c r="AH1015" s="333"/>
      <c r="AI1015" s="333"/>
      <c r="AJ1015" s="333"/>
      <c r="AK1015" s="333"/>
      <c r="AL1015" s="334"/>
      <c r="AM1015" s="334"/>
      <c r="AN1015" s="334"/>
      <c r="AO1015" s="334"/>
      <c r="AP1015" s="334"/>
      <c r="AQ1015" s="335"/>
      <c r="AR1015" s="336"/>
    </row>
    <row r="1016" spans="1:44" s="337" customFormat="1" ht="30.75" hidden="1" customHeight="1" x14ac:dyDescent="0.2">
      <c r="A1016" s="320" t="s">
        <v>654</v>
      </c>
      <c r="B1016" s="321" t="s">
        <v>442</v>
      </c>
      <c r="C1016" s="322"/>
      <c r="D1016" s="279">
        <v>3727595</v>
      </c>
      <c r="E1016" s="279">
        <v>4151486</v>
      </c>
      <c r="F1016" s="362" t="str">
        <f>IF(D1016="","",VLOOKUP(D1016,契約台帳!$A$3:$K$4986,6,FALSE)&amp;VLOOKUP(D1016,契約台帳!$A$3:$K$4986,7,FALSE)&amp;VLOOKUP(D1016,契約台帳!$A$3:$K$4986,8,FALSE)&amp;VLOOKUP(D1016,契約台帳!$A$3:$K$4986,9,FALSE)&amp;VLOOKUP(D1016,契約台帳!$A$3:$K$4986,11,FALSE))</f>
        <v>3SNMLBMNGKKBF</v>
      </c>
      <c r="G1016" s="363" t="str">
        <f>IF(D1016="","",VLOOKUP(F1016,製品マスタ!$G$5:$H$5002,2,FALSE))</f>
        <v>S</v>
      </c>
      <c r="H1016" s="363" t="str">
        <f>IF(D1016="","",VLOOKUP(F1016,製品マスタ!$G$5:$K$5002,5,FALSE))</f>
        <v>MNGKKBF</v>
      </c>
      <c r="I1016" s="207" t="str">
        <f>IF(D1016="","",VLOOKUP(F1016,製品マスタ!$G$5:$L$5002,6,FALSE))</f>
        <v>メタルミー　ネーマー銀消改　Ｂ</v>
      </c>
      <c r="J1016" s="373" t="s">
        <v>447</v>
      </c>
      <c r="K1016" s="207">
        <f>IF(D1016="","",VLOOKUP(D1016,契約台帳!$A$3:$L$4986,12,FALSE))</f>
        <v>50</v>
      </c>
      <c r="L1016" s="207" t="str">
        <f>IF(D1016="","",INDEX(製品マスタ!$Q$5:$Q$5002,MATCH(F1016&amp;K1016,製品マスタ!$AO$5:$AO$5002,0)))</f>
        <v>S99-MAT</v>
      </c>
      <c r="M1016" s="326">
        <v>1120</v>
      </c>
      <c r="N1016" s="326">
        <v>12000</v>
      </c>
      <c r="O1016" s="175">
        <v>3</v>
      </c>
      <c r="P1016" s="329"/>
      <c r="Q1016" s="367">
        <f>IF(D1016="","",IF(J1016="リード付け",M1016,VLOOKUP(D1016,契約台帳!$A$3:$N$4986,14,FALSE)))</f>
        <v>1120</v>
      </c>
      <c r="R1016" s="278">
        <f>IF(D1016="","",IF(J1016="リード付け",M1016,VLOOKUP(D1016,契約台帳!$A$3:$O$4986,15,FALSE)))</f>
        <v>1120</v>
      </c>
      <c r="S1016" s="278">
        <f>IF(D1016="","",IF(J1016="リード付け",N1016,VLOOKUP(D1016,契約台帳!$A$3:$P$4986,16,FALSE)))</f>
        <v>4000</v>
      </c>
      <c r="T1016" s="183">
        <v>9</v>
      </c>
      <c r="U1016" s="278">
        <f ca="1">IF(D1016="","",IF(OFFSET(D1016,-2,0)=D1016,"",VLOOKUP(D1016,契約台帳!$A$3:$R$4986,18,FALSE)))</f>
        <v>9</v>
      </c>
      <c r="V1016" s="363" t="str">
        <f>IF(J1016="巻返し",VLOOKUP(F1016&amp;K1016&amp;M1016,[2]製品マスタ!$M$5:$AD$5000,18,FALSE),IF(J1016="リード付け","原反コア",IF(J1016="スリット",VLOOKUP(F1016&amp;K1016&amp;Q1016,[2]製品マスタ!$N$5:$AD$5000,17,FALSE),"")))</f>
        <v>6ｲﾝﾁSｺｱ</v>
      </c>
      <c r="W1016" s="363">
        <f>IF(J1016="巻返し",VLOOKUP(F1016&amp;K1016&amp;M1016,製品マスタ!$M$5:$AE$5002,19,FALSE),IF(J1016="リード付け","-",IF(J1016="スリット",VLOOKUP(F1016&amp;K1016&amp;Q1016,製品マスタ!$N$5:$AE$5002,18,FALSE),"")))</f>
        <v>1125</v>
      </c>
      <c r="X1016" s="363">
        <f>IF(D1016="","",VLOOKUP(D1016,契約台帳!$A$3:$Q$4986,17,FALSE))</f>
        <v>2</v>
      </c>
      <c r="Y1016" s="363" t="str">
        <f>IF(D1016="","",VLOOKUP(D1016,契約台帳!$A$3:$E$4986,5,FALSE))</f>
        <v xml:space="preserve">リンテック㈱        </v>
      </c>
      <c r="Z1016" s="329"/>
      <c r="AA1016" s="207">
        <f>IFERROR(VLOOKUP(F1016&amp;K1016&amp;M1016,製品マスタ!$M$5:$AM$5002,27,FALSE),"")</f>
        <v>0</v>
      </c>
      <c r="AB1016" s="330"/>
      <c r="AC1016" s="331"/>
      <c r="AD1016" s="332" t="str">
        <f>IF(F1016="","",+F1016&amp;K1016)</f>
        <v>3SNMLBMNGKKBF50</v>
      </c>
      <c r="AE1016" s="216">
        <f>+M1016*N1016*O1016/1000</f>
        <v>40320</v>
      </c>
      <c r="AF1016" s="43">
        <f>IF(AD1016="","",VLOOKUP(AD1016,原価マスタ!$A$2:$AJ$1693,13,FALSE))</f>
        <v>99</v>
      </c>
      <c r="AG1016" s="47">
        <f>IF(AF1016="","",+AE1016*AF1016/100)</f>
        <v>39916.800000000003</v>
      </c>
      <c r="AH1016" s="333"/>
      <c r="AI1016" s="333"/>
      <c r="AJ1016" s="333"/>
      <c r="AK1016" s="333"/>
      <c r="AL1016" s="334"/>
      <c r="AM1016" s="334"/>
      <c r="AN1016" s="334"/>
      <c r="AO1016" s="334"/>
      <c r="AP1016" s="334"/>
      <c r="AQ1016" s="335"/>
      <c r="AR1016" s="336"/>
    </row>
    <row r="1017" spans="1:44" s="337" customFormat="1" ht="30.95" hidden="1" customHeight="1" x14ac:dyDescent="0.2">
      <c r="A1017" s="358"/>
      <c r="B1017" s="359"/>
      <c r="C1017" s="360"/>
      <c r="D1017" s="361"/>
      <c r="E1017" s="361"/>
      <c r="F1017" s="362"/>
      <c r="G1017" s="363"/>
      <c r="H1017" s="363"/>
      <c r="I1017" s="207"/>
      <c r="J1017" s="364"/>
      <c r="K1017" s="207"/>
      <c r="L1017" s="207"/>
      <c r="M1017" s="365"/>
      <c r="N1017" s="365"/>
      <c r="O1017" s="366"/>
      <c r="P1017" s="357"/>
      <c r="Q1017" s="367"/>
      <c r="R1017" s="278"/>
      <c r="S1017" s="278"/>
      <c r="T1017" s="368"/>
      <c r="U1017" s="278"/>
      <c r="V1017" s="363"/>
      <c r="W1017" s="363"/>
      <c r="X1017" s="363"/>
      <c r="Y1017" s="363"/>
      <c r="Z1017" s="357"/>
      <c r="AA1017" s="207"/>
      <c r="AB1017" s="369"/>
      <c r="AC1017" s="370"/>
      <c r="AD1017" s="332"/>
      <c r="AE1017" s="371"/>
      <c r="AF1017" s="372"/>
      <c r="AG1017" s="366"/>
      <c r="AH1017" s="333"/>
      <c r="AI1017" s="333"/>
      <c r="AJ1017" s="333"/>
      <c r="AK1017" s="333"/>
      <c r="AL1017" s="334"/>
      <c r="AM1017" s="334"/>
      <c r="AN1017" s="334"/>
      <c r="AO1017" s="334"/>
      <c r="AP1017" s="334"/>
      <c r="AQ1017" s="335"/>
      <c r="AR1017" s="336"/>
    </row>
    <row r="1018" spans="1:44" s="337" customFormat="1" ht="30.75" hidden="1" customHeight="1" x14ac:dyDescent="0.2">
      <c r="A1018" s="320"/>
      <c r="B1018" s="321"/>
      <c r="C1018" s="322"/>
      <c r="D1018" s="279">
        <v>3731349</v>
      </c>
      <c r="E1018" s="279">
        <v>4151512</v>
      </c>
      <c r="F1018" s="362" t="str">
        <f>IF(D1018="","",VLOOKUP(D1018,契約台帳!$A$3:$K$4986,6,FALSE)&amp;VLOOKUP(D1018,契約台帳!$A$3:$K$4986,7,FALSE)&amp;VLOOKUP(D1018,契約台帳!$A$3:$K$4986,8,FALSE)&amp;VLOOKUP(D1018,契約台帳!$A$3:$K$4986,9,FALSE)&amp;VLOOKUP(D1018,契約台帳!$A$3:$K$4986,11,FALSE))</f>
        <v>3SNMLBMNGKKBF</v>
      </c>
      <c r="G1018" s="363" t="str">
        <f>IF(D1018="","",VLOOKUP(F1018,製品マスタ!$G$5:$H$5002,2,FALSE))</f>
        <v>S</v>
      </c>
      <c r="H1018" s="363" t="str">
        <f>IF(D1018="","",VLOOKUP(F1018,製品マスタ!$G$5:$K$5002,5,FALSE))</f>
        <v>MNGKKBF</v>
      </c>
      <c r="I1018" s="207" t="str">
        <f>IF(D1018="","",VLOOKUP(F1018,製品マスタ!$G$5:$L$5002,6,FALSE))</f>
        <v>メタルミー　ネーマー銀消改　Ｂ</v>
      </c>
      <c r="J1018" s="373" t="s">
        <v>447</v>
      </c>
      <c r="K1018" s="207">
        <f>IF(D1018="","",VLOOKUP(D1018,契約台帳!$A$3:$L$4986,12,FALSE))</f>
        <v>50</v>
      </c>
      <c r="L1018" s="207" t="str">
        <f>IF(D1018="","",INDEX(製品マスタ!$Q$5:$Q$5002,MATCH(F1018&amp;K1018,製品マスタ!$AO$5:$AO$5002,0)))</f>
        <v>S99-MAT</v>
      </c>
      <c r="M1018" s="326">
        <v>1120</v>
      </c>
      <c r="N1018" s="326">
        <v>12000</v>
      </c>
      <c r="O1018" s="175">
        <v>2</v>
      </c>
      <c r="P1018" s="329"/>
      <c r="Q1018" s="367">
        <f>IF(D1018="","",IF(J1018="リード付け",M1018,VLOOKUP(D1018,契約台帳!$A$3:$N$4986,14,FALSE)))</f>
        <v>1120</v>
      </c>
      <c r="R1018" s="278">
        <f>IF(D1018="","",IF(J1018="リード付け",M1018,VLOOKUP(D1018,契約台帳!$A$3:$O$4986,15,FALSE)))</f>
        <v>1120</v>
      </c>
      <c r="S1018" s="278">
        <f>IF(D1018="","",IF(J1018="リード付け",N1018,VLOOKUP(D1018,契約台帳!$A$3:$P$4986,16,FALSE)))</f>
        <v>4000</v>
      </c>
      <c r="T1018" s="183">
        <v>6</v>
      </c>
      <c r="U1018" s="278">
        <f ca="1">IF(D1018="","",IF(OFFSET(D1018,-2,0)=D1018,"",VLOOKUP(D1018,契約台帳!$A$3:$R$4986,18,FALSE)))</f>
        <v>18</v>
      </c>
      <c r="V1018" s="363" t="str">
        <f>IF(J1018="巻返し",VLOOKUP(F1018&amp;K1018&amp;M1018,[2]製品マスタ!$M$5:$AD$5000,18,FALSE),IF(J1018="リード付け","原反コア",IF(J1018="スリット",VLOOKUP(F1018&amp;K1018&amp;Q1018,[2]製品マスタ!$N$5:$AD$5000,17,FALSE),"")))</f>
        <v>6ｲﾝﾁSｺｱ</v>
      </c>
      <c r="W1018" s="363">
        <f>IF(J1018="巻返し",VLOOKUP(F1018&amp;K1018&amp;M1018,製品マスタ!$M$5:$AE$5002,19,FALSE),IF(J1018="リード付け","-",IF(J1018="スリット",VLOOKUP(F1018&amp;K1018&amp;Q1018,製品マスタ!$N$5:$AE$5002,18,FALSE),"")))</f>
        <v>1125</v>
      </c>
      <c r="X1018" s="363">
        <f>IF(D1018="","",VLOOKUP(D1018,契約台帳!$A$3:$Q$4986,17,FALSE))</f>
        <v>2</v>
      </c>
      <c r="Y1018" s="363" t="str">
        <f>IF(D1018="","",VLOOKUP(D1018,契約台帳!$A$3:$E$4986,5,FALSE))</f>
        <v>リンテック㈱</v>
      </c>
      <c r="Z1018" s="329"/>
      <c r="AA1018" s="207">
        <f>IFERROR(VLOOKUP(F1018&amp;K1018&amp;M1018,製品マスタ!$M$5:$AM$5002,27,FALSE),"")</f>
        <v>0</v>
      </c>
      <c r="AB1018" s="330"/>
      <c r="AC1018" s="331"/>
      <c r="AD1018" s="332" t="str">
        <f>IF(F1018="","",+F1018&amp;K1018)</f>
        <v>3SNMLBMNGKKBF50</v>
      </c>
      <c r="AE1018" s="216">
        <f>+M1018*N1018*O1018/1000</f>
        <v>26880</v>
      </c>
      <c r="AF1018" s="43">
        <f>IF(AD1018="","",VLOOKUP(AD1018,原価マスタ!$A$2:$AJ$1693,13,FALSE))</f>
        <v>99</v>
      </c>
      <c r="AG1018" s="47">
        <f>IF(AF1018="","",+AE1018*AF1018/100)</f>
        <v>26611.200000000001</v>
      </c>
      <c r="AH1018" s="333"/>
      <c r="AI1018" s="333"/>
      <c r="AJ1018" s="333"/>
      <c r="AK1018" s="333"/>
      <c r="AL1018" s="334"/>
      <c r="AM1018" s="334"/>
      <c r="AN1018" s="334"/>
      <c r="AO1018" s="334"/>
      <c r="AP1018" s="334"/>
      <c r="AQ1018" s="335"/>
      <c r="AR1018" s="336"/>
    </row>
    <row r="1019" spans="1:44" s="337" customFormat="1" ht="30.95" hidden="1" customHeight="1" x14ac:dyDescent="0.2">
      <c r="A1019" s="358"/>
      <c r="B1019" s="359"/>
      <c r="C1019" s="360"/>
      <c r="D1019" s="361"/>
      <c r="E1019" s="361"/>
      <c r="F1019" s="362"/>
      <c r="G1019" s="363"/>
      <c r="H1019" s="363"/>
      <c r="I1019" s="207"/>
      <c r="J1019" s="364"/>
      <c r="K1019" s="207"/>
      <c r="L1019" s="207"/>
      <c r="M1019" s="365"/>
      <c r="N1019" s="365"/>
      <c r="O1019" s="366"/>
      <c r="P1019" s="357"/>
      <c r="Q1019" s="367"/>
      <c r="R1019" s="278"/>
      <c r="S1019" s="278"/>
      <c r="T1019" s="368"/>
      <c r="U1019" s="278"/>
      <c r="V1019" s="363"/>
      <c r="W1019" s="363"/>
      <c r="X1019" s="363"/>
      <c r="Y1019" s="363"/>
      <c r="Z1019" s="357"/>
      <c r="AA1019" s="207"/>
      <c r="AB1019" s="369"/>
      <c r="AC1019" s="370"/>
      <c r="AD1019" s="332"/>
      <c r="AE1019" s="371"/>
      <c r="AF1019" s="372"/>
      <c r="AG1019" s="366"/>
      <c r="AH1019" s="333"/>
      <c r="AI1019" s="333"/>
      <c r="AJ1019" s="333"/>
      <c r="AK1019" s="333"/>
      <c r="AL1019" s="334"/>
      <c r="AM1019" s="334"/>
      <c r="AN1019" s="334"/>
      <c r="AO1019" s="334"/>
      <c r="AP1019" s="334"/>
      <c r="AQ1019" s="335"/>
      <c r="AR1019" s="336"/>
    </row>
    <row r="1020" spans="1:44" s="337" customFormat="1" ht="30.75" hidden="1" customHeight="1" x14ac:dyDescent="0.2">
      <c r="A1020" s="320" t="s">
        <v>656</v>
      </c>
      <c r="B1020" s="321" t="s">
        <v>443</v>
      </c>
      <c r="C1020" s="322"/>
      <c r="D1020" s="279">
        <v>3731349</v>
      </c>
      <c r="E1020" s="279">
        <v>4151512</v>
      </c>
      <c r="F1020" s="362" t="str">
        <f>IF(D1020="","",VLOOKUP(D1020,契約台帳!$A$3:$K$4986,6,FALSE)&amp;VLOOKUP(D1020,契約台帳!$A$3:$K$4986,7,FALSE)&amp;VLOOKUP(D1020,契約台帳!$A$3:$K$4986,8,FALSE)&amp;VLOOKUP(D1020,契約台帳!$A$3:$K$4986,9,FALSE)&amp;VLOOKUP(D1020,契約台帳!$A$3:$K$4986,11,FALSE))</f>
        <v>3SNMLBMNGKKBF</v>
      </c>
      <c r="G1020" s="363" t="str">
        <f>IF(D1020="","",VLOOKUP(F1020,製品マスタ!$G$5:$H$5002,2,FALSE))</f>
        <v>S</v>
      </c>
      <c r="H1020" s="363" t="str">
        <f>IF(D1020="","",VLOOKUP(F1020,製品マスタ!$G$5:$K$5002,5,FALSE))</f>
        <v>MNGKKBF</v>
      </c>
      <c r="I1020" s="207" t="str">
        <f>IF(D1020="","",VLOOKUP(F1020,製品マスタ!$G$5:$L$5002,6,FALSE))</f>
        <v>メタルミー　ネーマー銀消改　Ｂ</v>
      </c>
      <c r="J1020" s="373" t="s">
        <v>447</v>
      </c>
      <c r="K1020" s="207">
        <f>IF(D1020="","",VLOOKUP(D1020,契約台帳!$A$3:$L$4986,12,FALSE))</f>
        <v>50</v>
      </c>
      <c r="L1020" s="207" t="str">
        <f>IF(D1020="","",INDEX(製品マスタ!$Q$5:$Q$5002,MATCH(F1020&amp;K1020,製品マスタ!$AO$5:$AO$5002,0)))</f>
        <v>S99-MAT</v>
      </c>
      <c r="M1020" s="326">
        <v>1120</v>
      </c>
      <c r="N1020" s="326">
        <v>12000</v>
      </c>
      <c r="O1020" s="175">
        <v>4</v>
      </c>
      <c r="P1020" s="329"/>
      <c r="Q1020" s="367">
        <f>IF(D1020="","",IF(J1020="リード付け",M1020,VLOOKUP(D1020,契約台帳!$A$3:$N$4986,14,FALSE)))</f>
        <v>1120</v>
      </c>
      <c r="R1020" s="278">
        <f>IF(D1020="","",IF(J1020="リード付け",M1020,VLOOKUP(D1020,契約台帳!$A$3:$O$4986,15,FALSE)))</f>
        <v>1120</v>
      </c>
      <c r="S1020" s="278">
        <f>IF(D1020="","",IF(J1020="リード付け",N1020,VLOOKUP(D1020,契約台帳!$A$3:$P$4986,16,FALSE)))</f>
        <v>4000</v>
      </c>
      <c r="T1020" s="183">
        <v>12</v>
      </c>
      <c r="U1020" s="278" t="str">
        <f ca="1">IF(D1020="","",IF(OFFSET(D1020,-2,0)=D1020,"",VLOOKUP(D1020,契約台帳!$A$3:$R$4986,18,FALSE)))</f>
        <v/>
      </c>
      <c r="V1020" s="363" t="str">
        <f>IF(J1020="巻返し",VLOOKUP(F1020&amp;K1020&amp;M1020,[2]製品マスタ!$M$5:$AD$5000,18,FALSE),IF(J1020="リード付け","原反コア",IF(J1020="スリット",VLOOKUP(F1020&amp;K1020&amp;Q1020,[2]製品マスタ!$N$5:$AD$5000,17,FALSE),"")))</f>
        <v>6ｲﾝﾁSｺｱ</v>
      </c>
      <c r="W1020" s="363">
        <f>IF(J1020="巻返し",VLOOKUP(F1020&amp;K1020&amp;M1020,製品マスタ!$M$5:$AE$5002,19,FALSE),IF(J1020="リード付け","-",IF(J1020="スリット",VLOOKUP(F1020&amp;K1020&amp;Q1020,製品マスタ!$N$5:$AE$5002,18,FALSE),"")))</f>
        <v>1125</v>
      </c>
      <c r="X1020" s="363">
        <f>IF(D1020="","",VLOOKUP(D1020,契約台帳!$A$3:$Q$4986,17,FALSE))</f>
        <v>2</v>
      </c>
      <c r="Y1020" s="363" t="str">
        <f>IF(D1020="","",VLOOKUP(D1020,契約台帳!$A$3:$E$4986,5,FALSE))</f>
        <v>リンテック㈱</v>
      </c>
      <c r="Z1020" s="329"/>
      <c r="AA1020" s="207">
        <f>IFERROR(VLOOKUP(F1020&amp;K1020&amp;M1020,製品マスタ!$M$5:$AM$5002,27,FALSE),"")</f>
        <v>0</v>
      </c>
      <c r="AB1020" s="330"/>
      <c r="AC1020" s="331"/>
      <c r="AD1020" s="332" t="str">
        <f>IF(F1020="","",+F1020&amp;K1020)</f>
        <v>3SNMLBMNGKKBF50</v>
      </c>
      <c r="AE1020" s="216">
        <f>+M1020*N1020*O1020/1000</f>
        <v>53760</v>
      </c>
      <c r="AF1020" s="43">
        <f>IF(AD1020="","",VLOOKUP(AD1020,原価マスタ!$A$2:$AJ$1693,13,FALSE))</f>
        <v>99</v>
      </c>
      <c r="AG1020" s="47">
        <f>IF(AF1020="","",+AE1020*AF1020/100)</f>
        <v>53222.400000000001</v>
      </c>
      <c r="AH1020" s="333"/>
      <c r="AI1020" s="333"/>
      <c r="AJ1020" s="333"/>
      <c r="AK1020" s="333"/>
      <c r="AL1020" s="334"/>
      <c r="AM1020" s="334"/>
      <c r="AN1020" s="334"/>
      <c r="AO1020" s="334"/>
      <c r="AP1020" s="334"/>
      <c r="AQ1020" s="335"/>
      <c r="AR1020" s="336"/>
    </row>
    <row r="1021" spans="1:44" s="337" customFormat="1" ht="30.95" hidden="1" customHeight="1" x14ac:dyDescent="0.2">
      <c r="A1021" s="358"/>
      <c r="B1021" s="359"/>
      <c r="C1021" s="360"/>
      <c r="D1021" s="361"/>
      <c r="E1021" s="361"/>
      <c r="F1021" s="362"/>
      <c r="G1021" s="363"/>
      <c r="H1021" s="363"/>
      <c r="I1021" s="207"/>
      <c r="J1021" s="364"/>
      <c r="K1021" s="207"/>
      <c r="L1021" s="207"/>
      <c r="M1021" s="365"/>
      <c r="N1021" s="365"/>
      <c r="O1021" s="366"/>
      <c r="P1021" s="357"/>
      <c r="Q1021" s="367"/>
      <c r="R1021" s="278"/>
      <c r="S1021" s="278"/>
      <c r="T1021" s="368"/>
      <c r="U1021" s="278"/>
      <c r="V1021" s="363"/>
      <c r="W1021" s="363"/>
      <c r="X1021" s="363"/>
      <c r="Y1021" s="363"/>
      <c r="Z1021" s="357"/>
      <c r="AA1021" s="207"/>
      <c r="AB1021" s="369"/>
      <c r="AC1021" s="370"/>
      <c r="AD1021" s="332"/>
      <c r="AE1021" s="371"/>
      <c r="AF1021" s="372"/>
      <c r="AG1021" s="366"/>
      <c r="AH1021" s="333"/>
      <c r="AI1021" s="333"/>
      <c r="AJ1021" s="333"/>
      <c r="AK1021" s="333"/>
      <c r="AL1021" s="334"/>
      <c r="AM1021" s="334"/>
      <c r="AN1021" s="334"/>
      <c r="AO1021" s="334"/>
      <c r="AP1021" s="334"/>
      <c r="AQ1021" s="335"/>
      <c r="AR1021" s="336"/>
    </row>
    <row r="1022" spans="1:44" s="337" customFormat="1" ht="30.75" hidden="1" customHeight="1" x14ac:dyDescent="0.2">
      <c r="A1022" s="320" t="s">
        <v>657</v>
      </c>
      <c r="B1022" s="321" t="s">
        <v>444</v>
      </c>
      <c r="C1022" s="322"/>
      <c r="D1022" s="279"/>
      <c r="E1022" s="279"/>
      <c r="F1022" s="362"/>
      <c r="G1022" s="363"/>
      <c r="H1022" s="363"/>
      <c r="I1022" s="207"/>
      <c r="J1022" s="373" t="s">
        <v>1821</v>
      </c>
      <c r="K1022" s="207"/>
      <c r="L1022" s="207"/>
      <c r="M1022" s="326"/>
      <c r="N1022" s="326"/>
      <c r="O1022" s="175"/>
      <c r="P1022" s="329"/>
      <c r="Q1022" s="367"/>
      <c r="R1022" s="278"/>
      <c r="S1022" s="278"/>
      <c r="T1022" s="183"/>
      <c r="U1022" s="278"/>
      <c r="V1022" s="363"/>
      <c r="W1022" s="363"/>
      <c r="X1022" s="363"/>
      <c r="Y1022" s="363"/>
      <c r="Z1022" s="329"/>
      <c r="AA1022" s="207"/>
      <c r="AB1022" s="330"/>
      <c r="AC1022" s="331"/>
      <c r="AD1022" s="332"/>
      <c r="AE1022" s="216"/>
      <c r="AF1022" s="43"/>
      <c r="AG1022" s="47"/>
      <c r="AH1022" s="333"/>
      <c r="AI1022" s="333"/>
      <c r="AJ1022" s="333"/>
      <c r="AK1022" s="333"/>
      <c r="AL1022" s="334"/>
      <c r="AM1022" s="334"/>
      <c r="AN1022" s="334"/>
      <c r="AO1022" s="334"/>
      <c r="AP1022" s="334"/>
      <c r="AQ1022" s="335"/>
      <c r="AR1022" s="336"/>
    </row>
    <row r="1023" spans="1:44" s="337" customFormat="1" ht="30.95" hidden="1" customHeight="1" x14ac:dyDescent="0.2">
      <c r="A1023" s="358"/>
      <c r="B1023" s="359"/>
      <c r="C1023" s="360"/>
      <c r="D1023" s="361"/>
      <c r="E1023" s="361"/>
      <c r="F1023" s="362"/>
      <c r="G1023" s="363"/>
      <c r="H1023" s="363"/>
      <c r="I1023" s="207"/>
      <c r="J1023" s="364"/>
      <c r="K1023" s="207"/>
      <c r="L1023" s="207"/>
      <c r="M1023" s="365"/>
      <c r="N1023" s="365"/>
      <c r="O1023" s="366"/>
      <c r="P1023" s="357"/>
      <c r="Q1023" s="367"/>
      <c r="R1023" s="278"/>
      <c r="S1023" s="278"/>
      <c r="T1023" s="368"/>
      <c r="U1023" s="278"/>
      <c r="V1023" s="363"/>
      <c r="W1023" s="363"/>
      <c r="X1023" s="363"/>
      <c r="Y1023" s="363"/>
      <c r="Z1023" s="357"/>
      <c r="AA1023" s="207"/>
      <c r="AB1023" s="369"/>
      <c r="AC1023" s="370"/>
      <c r="AD1023" s="332"/>
      <c r="AE1023" s="371"/>
      <c r="AF1023" s="372"/>
      <c r="AG1023" s="366"/>
      <c r="AH1023" s="333"/>
      <c r="AI1023" s="333"/>
      <c r="AJ1023" s="333"/>
      <c r="AK1023" s="333"/>
      <c r="AL1023" s="334"/>
      <c r="AM1023" s="334"/>
      <c r="AN1023" s="334"/>
      <c r="AO1023" s="334"/>
      <c r="AP1023" s="334"/>
      <c r="AQ1023" s="335"/>
      <c r="AR1023" s="336"/>
    </row>
    <row r="1024" spans="1:44" s="337" customFormat="1" ht="30.95" hidden="1" customHeight="1" x14ac:dyDescent="0.2">
      <c r="A1024" s="358" t="s">
        <v>1771</v>
      </c>
      <c r="B1024" s="359" t="s">
        <v>1765</v>
      </c>
      <c r="C1024" s="360"/>
      <c r="D1024" s="361"/>
      <c r="E1024" s="361"/>
      <c r="F1024" s="362"/>
      <c r="G1024" s="363"/>
      <c r="H1024" s="363"/>
      <c r="I1024" s="207"/>
      <c r="J1024" s="364" t="s">
        <v>448</v>
      </c>
      <c r="K1024" s="207"/>
      <c r="L1024" s="207"/>
      <c r="M1024" s="365"/>
      <c r="N1024" s="365"/>
      <c r="O1024" s="366"/>
      <c r="P1024" s="357"/>
      <c r="Q1024" s="367"/>
      <c r="R1024" s="278"/>
      <c r="S1024" s="278"/>
      <c r="T1024" s="368"/>
      <c r="U1024" s="278"/>
      <c r="V1024" s="363"/>
      <c r="W1024" s="363"/>
      <c r="X1024" s="363"/>
      <c r="Y1024" s="363"/>
      <c r="Z1024" s="357"/>
      <c r="AA1024" s="207"/>
      <c r="AB1024" s="369"/>
      <c r="AC1024" s="370"/>
      <c r="AD1024" s="332"/>
      <c r="AE1024" s="371"/>
      <c r="AF1024" s="372"/>
      <c r="AG1024" s="366"/>
      <c r="AH1024" s="333"/>
      <c r="AI1024" s="333"/>
      <c r="AJ1024" s="333"/>
      <c r="AK1024" s="333"/>
      <c r="AL1024" s="334"/>
      <c r="AM1024" s="334"/>
      <c r="AN1024" s="334"/>
      <c r="AO1024" s="334"/>
      <c r="AP1024" s="334"/>
      <c r="AQ1024" s="335"/>
      <c r="AR1024" s="336"/>
    </row>
    <row r="1025" spans="1:44" s="337" customFormat="1" ht="30.95" hidden="1" customHeight="1" x14ac:dyDescent="0.2">
      <c r="A1025" s="358"/>
      <c r="B1025" s="359"/>
      <c r="C1025" s="360"/>
      <c r="D1025" s="361"/>
      <c r="E1025" s="361"/>
      <c r="F1025" s="362"/>
      <c r="G1025" s="363"/>
      <c r="H1025" s="363"/>
      <c r="I1025" s="207"/>
      <c r="J1025" s="364"/>
      <c r="K1025" s="207"/>
      <c r="L1025" s="207"/>
      <c r="M1025" s="365"/>
      <c r="N1025" s="365"/>
      <c r="O1025" s="366"/>
      <c r="P1025" s="357"/>
      <c r="Q1025" s="367"/>
      <c r="R1025" s="278"/>
      <c r="S1025" s="278"/>
      <c r="T1025" s="368"/>
      <c r="U1025" s="278"/>
      <c r="V1025" s="363"/>
      <c r="W1025" s="363"/>
      <c r="X1025" s="363"/>
      <c r="Y1025" s="363"/>
      <c r="Z1025" s="357"/>
      <c r="AA1025" s="207"/>
      <c r="AB1025" s="369"/>
      <c r="AC1025" s="370"/>
      <c r="AD1025" s="332"/>
      <c r="AE1025" s="371"/>
      <c r="AF1025" s="372"/>
      <c r="AG1025" s="366"/>
      <c r="AH1025" s="333"/>
      <c r="AI1025" s="333"/>
      <c r="AJ1025" s="333"/>
      <c r="AK1025" s="333"/>
      <c r="AL1025" s="334"/>
      <c r="AM1025" s="334"/>
      <c r="AN1025" s="334"/>
      <c r="AO1025" s="334"/>
      <c r="AP1025" s="334"/>
      <c r="AQ1025" s="335"/>
      <c r="AR1025" s="336"/>
    </row>
    <row r="1026" spans="1:44" s="337" customFormat="1" ht="30.95" hidden="1" customHeight="1" x14ac:dyDescent="0.2">
      <c r="A1026" s="358" t="s">
        <v>1772</v>
      </c>
      <c r="B1026" s="359" t="s">
        <v>1767</v>
      </c>
      <c r="C1026" s="360"/>
      <c r="D1026" s="361"/>
      <c r="E1026" s="361"/>
      <c r="F1026" s="362"/>
      <c r="G1026" s="363"/>
      <c r="H1026" s="363"/>
      <c r="I1026" s="207"/>
      <c r="J1026" s="364" t="s">
        <v>448</v>
      </c>
      <c r="K1026" s="207"/>
      <c r="L1026" s="207"/>
      <c r="M1026" s="365"/>
      <c r="N1026" s="365"/>
      <c r="O1026" s="366"/>
      <c r="P1026" s="357"/>
      <c r="Q1026" s="367"/>
      <c r="R1026" s="278"/>
      <c r="S1026" s="278"/>
      <c r="T1026" s="368"/>
      <c r="U1026" s="278"/>
      <c r="V1026" s="363"/>
      <c r="W1026" s="363"/>
      <c r="X1026" s="363"/>
      <c r="Y1026" s="363"/>
      <c r="Z1026" s="357"/>
      <c r="AA1026" s="207"/>
      <c r="AB1026" s="369"/>
      <c r="AC1026" s="370"/>
      <c r="AD1026" s="332"/>
      <c r="AE1026" s="371"/>
      <c r="AF1026" s="372"/>
      <c r="AG1026" s="366"/>
      <c r="AH1026" s="333"/>
      <c r="AI1026" s="333"/>
      <c r="AJ1026" s="333"/>
      <c r="AK1026" s="333"/>
      <c r="AL1026" s="334"/>
      <c r="AM1026" s="334"/>
      <c r="AN1026" s="334"/>
      <c r="AO1026" s="334"/>
      <c r="AP1026" s="334"/>
      <c r="AQ1026" s="335"/>
      <c r="AR1026" s="336"/>
    </row>
    <row r="1027" spans="1:44" s="337" customFormat="1" ht="30.95" hidden="1" customHeight="1" x14ac:dyDescent="0.2">
      <c r="A1027" s="358"/>
      <c r="B1027" s="359"/>
      <c r="C1027" s="360"/>
      <c r="D1027" s="361"/>
      <c r="E1027" s="361"/>
      <c r="F1027" s="362"/>
      <c r="G1027" s="363"/>
      <c r="H1027" s="363"/>
      <c r="I1027" s="207"/>
      <c r="J1027" s="364"/>
      <c r="K1027" s="207"/>
      <c r="L1027" s="207"/>
      <c r="M1027" s="365"/>
      <c r="N1027" s="365"/>
      <c r="O1027" s="366"/>
      <c r="P1027" s="357"/>
      <c r="Q1027" s="367"/>
      <c r="R1027" s="278"/>
      <c r="S1027" s="278"/>
      <c r="T1027" s="368"/>
      <c r="U1027" s="278"/>
      <c r="V1027" s="363"/>
      <c r="W1027" s="363"/>
      <c r="X1027" s="363"/>
      <c r="Y1027" s="363"/>
      <c r="Z1027" s="357"/>
      <c r="AA1027" s="207"/>
      <c r="AB1027" s="369"/>
      <c r="AC1027" s="370"/>
      <c r="AD1027" s="332"/>
      <c r="AE1027" s="371"/>
      <c r="AF1027" s="372"/>
      <c r="AG1027" s="366"/>
      <c r="AH1027" s="333"/>
      <c r="AI1027" s="333"/>
      <c r="AJ1027" s="333"/>
      <c r="AK1027" s="333"/>
      <c r="AL1027" s="334"/>
      <c r="AM1027" s="334"/>
      <c r="AN1027" s="334"/>
      <c r="AO1027" s="334"/>
      <c r="AP1027" s="334"/>
      <c r="AQ1027" s="335"/>
      <c r="AR1027" s="336"/>
    </row>
    <row r="1028" spans="1:44" s="337" customFormat="1" ht="30.95" hidden="1" customHeight="1" x14ac:dyDescent="0.2">
      <c r="A1028" s="358" t="s">
        <v>1773</v>
      </c>
      <c r="B1028" s="359" t="s">
        <v>1768</v>
      </c>
      <c r="C1028" s="360"/>
      <c r="D1028" s="361"/>
      <c r="E1028" s="361"/>
      <c r="F1028" s="362"/>
      <c r="G1028" s="363"/>
      <c r="H1028" s="363"/>
      <c r="I1028" s="207"/>
      <c r="J1028" s="364" t="s">
        <v>1822</v>
      </c>
      <c r="K1028" s="207"/>
      <c r="L1028" s="207"/>
      <c r="M1028" s="365"/>
      <c r="N1028" s="365"/>
      <c r="O1028" s="366"/>
      <c r="P1028" s="357"/>
      <c r="Q1028" s="367"/>
      <c r="R1028" s="278"/>
      <c r="S1028" s="278"/>
      <c r="T1028" s="368"/>
      <c r="U1028" s="278"/>
      <c r="V1028" s="363"/>
      <c r="W1028" s="363"/>
      <c r="X1028" s="363"/>
      <c r="Y1028" s="363"/>
      <c r="Z1028" s="357"/>
      <c r="AA1028" s="207"/>
      <c r="AB1028" s="369"/>
      <c r="AC1028" s="370"/>
      <c r="AD1028" s="332"/>
      <c r="AE1028" s="371"/>
      <c r="AF1028" s="372"/>
      <c r="AG1028" s="366"/>
      <c r="AH1028" s="333"/>
      <c r="AI1028" s="333"/>
      <c r="AJ1028" s="333"/>
      <c r="AK1028" s="333"/>
      <c r="AL1028" s="334"/>
      <c r="AM1028" s="334"/>
      <c r="AN1028" s="334"/>
      <c r="AO1028" s="334"/>
      <c r="AP1028" s="334"/>
      <c r="AQ1028" s="335"/>
      <c r="AR1028" s="336"/>
    </row>
    <row r="1029" spans="1:44" s="17" customFormat="1" ht="30.95" hidden="1" customHeight="1" x14ac:dyDescent="0.2">
      <c r="A1029" s="343"/>
      <c r="B1029" s="344"/>
      <c r="C1029" s="345"/>
      <c r="D1029" s="346"/>
      <c r="E1029" s="346"/>
      <c r="F1029" s="268"/>
      <c r="G1029" s="269"/>
      <c r="H1029" s="269"/>
      <c r="I1029" s="270"/>
      <c r="J1029" s="347"/>
      <c r="K1029" s="270"/>
      <c r="L1029" s="270"/>
      <c r="M1029" s="348"/>
      <c r="N1029" s="348"/>
      <c r="O1029" s="349"/>
      <c r="P1029" s="350"/>
      <c r="Q1029" s="276"/>
      <c r="R1029" s="277"/>
      <c r="S1029" s="277"/>
      <c r="T1029" s="351"/>
      <c r="U1029" s="278"/>
      <c r="V1029" s="269"/>
      <c r="W1029" s="269"/>
      <c r="X1029" s="275"/>
      <c r="Y1029" s="269"/>
      <c r="Z1029" s="350"/>
      <c r="AA1029" s="207"/>
      <c r="AB1029" s="352"/>
      <c r="AC1029" s="353"/>
      <c r="AD1029" s="54"/>
      <c r="AE1029" s="354"/>
      <c r="AF1029" s="355"/>
      <c r="AG1029" s="349"/>
      <c r="AH1029" s="30"/>
      <c r="AI1029" s="30"/>
      <c r="AJ1029" s="30"/>
      <c r="AK1029" s="30"/>
      <c r="AL1029" s="13"/>
      <c r="AM1029" s="13"/>
      <c r="AN1029" s="13"/>
      <c r="AO1029" s="13"/>
      <c r="AP1029" s="13"/>
      <c r="AQ1029" s="14"/>
      <c r="AR1029" s="15"/>
    </row>
    <row r="1030" spans="1:44" s="233" customFormat="1" ht="30.95" hidden="1" customHeight="1" x14ac:dyDescent="0.2">
      <c r="A1030" s="399"/>
      <c r="B1030" s="400"/>
      <c r="C1030" s="401"/>
      <c r="D1030" s="402"/>
      <c r="E1030" s="402"/>
      <c r="F1030" s="281"/>
      <c r="G1030" s="282"/>
      <c r="H1030" s="282"/>
      <c r="I1030" s="283"/>
      <c r="J1030" s="403"/>
      <c r="K1030" s="283"/>
      <c r="L1030" s="283"/>
      <c r="M1030" s="404"/>
      <c r="N1030" s="404"/>
      <c r="O1030" s="405"/>
      <c r="P1030" s="356"/>
      <c r="Q1030" s="284"/>
      <c r="R1030" s="285"/>
      <c r="S1030" s="285"/>
      <c r="T1030" s="406"/>
      <c r="U1030" s="286"/>
      <c r="V1030" s="282"/>
      <c r="W1030" s="282"/>
      <c r="X1030" s="287"/>
      <c r="Y1030" s="282"/>
      <c r="Z1030" s="356"/>
      <c r="AA1030" s="288"/>
      <c r="AB1030" s="407"/>
      <c r="AC1030" s="408"/>
      <c r="AD1030" s="227"/>
      <c r="AE1030" s="409"/>
      <c r="AF1030" s="410"/>
      <c r="AG1030" s="411" t="e">
        <f>SUM(AG933:AG1028)</f>
        <v>#N/A</v>
      </c>
      <c r="AH1030" s="229"/>
      <c r="AI1030" s="229"/>
      <c r="AJ1030" s="229"/>
      <c r="AK1030" s="229"/>
      <c r="AL1030" s="230"/>
      <c r="AM1030" s="230"/>
      <c r="AN1030" s="230"/>
      <c r="AO1030" s="230"/>
      <c r="AP1030" s="230"/>
      <c r="AQ1030" s="231"/>
      <c r="AR1030" s="232"/>
    </row>
    <row r="1031" spans="1:44" s="17" customFormat="1" ht="30.95" hidden="1" customHeight="1" x14ac:dyDescent="0.2">
      <c r="A1031" s="343"/>
      <c r="B1031" s="344"/>
      <c r="C1031" s="345"/>
      <c r="D1031" s="346"/>
      <c r="E1031" s="346"/>
      <c r="F1031" s="268"/>
      <c r="G1031" s="269"/>
      <c r="H1031" s="269"/>
      <c r="I1031" s="270"/>
      <c r="J1031" s="347"/>
      <c r="K1031" s="270"/>
      <c r="L1031" s="270"/>
      <c r="M1031" s="348"/>
      <c r="N1031" s="348"/>
      <c r="O1031" s="349"/>
      <c r="P1031" s="350"/>
      <c r="Q1031" s="276"/>
      <c r="R1031" s="277"/>
      <c r="S1031" s="277"/>
      <c r="T1031" s="351"/>
      <c r="U1031" s="278"/>
      <c r="V1031" s="269"/>
      <c r="W1031" s="269"/>
      <c r="X1031" s="275"/>
      <c r="Y1031" s="269"/>
      <c r="Z1031" s="350"/>
      <c r="AA1031" s="207"/>
      <c r="AB1031" s="352"/>
      <c r="AC1031" s="353"/>
      <c r="AD1031" s="54"/>
      <c r="AE1031" s="354"/>
      <c r="AF1031" s="355"/>
      <c r="AG1031" s="349"/>
      <c r="AH1031" s="30"/>
      <c r="AI1031" s="30"/>
      <c r="AJ1031" s="30"/>
      <c r="AK1031" s="30"/>
      <c r="AL1031" s="13"/>
      <c r="AM1031" s="13"/>
      <c r="AN1031" s="13"/>
      <c r="AO1031" s="13"/>
      <c r="AP1031" s="13"/>
      <c r="AQ1031" s="14"/>
      <c r="AR1031" s="15"/>
    </row>
    <row r="1032" spans="1:44" s="17" customFormat="1" ht="30.95" hidden="1" customHeight="1" x14ac:dyDescent="0.2">
      <c r="A1032" s="343" t="s">
        <v>1774</v>
      </c>
      <c r="B1032" s="344" t="s">
        <v>1761</v>
      </c>
      <c r="C1032" s="345"/>
      <c r="D1032" s="346"/>
      <c r="E1032" s="346"/>
      <c r="F1032" s="268"/>
      <c r="G1032" s="269"/>
      <c r="H1032" s="269"/>
      <c r="I1032" s="270"/>
      <c r="J1032" s="347" t="s">
        <v>1822</v>
      </c>
      <c r="K1032" s="270"/>
      <c r="L1032" s="270"/>
      <c r="M1032" s="348"/>
      <c r="N1032" s="348"/>
      <c r="O1032" s="349"/>
      <c r="P1032" s="350"/>
      <c r="Q1032" s="276"/>
      <c r="R1032" s="277"/>
      <c r="S1032" s="277"/>
      <c r="T1032" s="351"/>
      <c r="U1032" s="278"/>
      <c r="V1032" s="269"/>
      <c r="W1032" s="269"/>
      <c r="X1032" s="275"/>
      <c r="Y1032" s="269"/>
      <c r="Z1032" s="350"/>
      <c r="AA1032" s="207"/>
      <c r="AB1032" s="352"/>
      <c r="AC1032" s="353"/>
      <c r="AD1032" s="54"/>
      <c r="AE1032" s="354"/>
      <c r="AF1032" s="355"/>
      <c r="AG1032" s="349"/>
      <c r="AH1032" s="30"/>
      <c r="AI1032" s="30"/>
      <c r="AJ1032" s="30"/>
      <c r="AK1032" s="30"/>
      <c r="AL1032" s="13"/>
      <c r="AM1032" s="13"/>
      <c r="AN1032" s="13"/>
      <c r="AO1032" s="13"/>
      <c r="AP1032" s="13"/>
      <c r="AQ1032" s="14"/>
      <c r="AR1032" s="15"/>
    </row>
    <row r="1033" spans="1:44" s="17" customFormat="1" ht="30.95" hidden="1" customHeight="1" x14ac:dyDescent="0.2">
      <c r="A1033" s="343"/>
      <c r="B1033" s="344"/>
      <c r="C1033" s="345"/>
      <c r="D1033" s="346"/>
      <c r="E1033" s="346"/>
      <c r="F1033" s="268"/>
      <c r="G1033" s="269"/>
      <c r="H1033" s="269"/>
      <c r="I1033" s="270"/>
      <c r="J1033" s="347"/>
      <c r="K1033" s="270"/>
      <c r="L1033" s="270"/>
      <c r="M1033" s="348"/>
      <c r="N1033" s="348"/>
      <c r="O1033" s="349"/>
      <c r="P1033" s="350"/>
      <c r="Q1033" s="276"/>
      <c r="R1033" s="277"/>
      <c r="S1033" s="277"/>
      <c r="T1033" s="351"/>
      <c r="U1033" s="278"/>
      <c r="V1033" s="269"/>
      <c r="W1033" s="269"/>
      <c r="X1033" s="275"/>
      <c r="Y1033" s="269"/>
      <c r="Z1033" s="350"/>
      <c r="AA1033" s="207"/>
      <c r="AB1033" s="352"/>
      <c r="AC1033" s="353"/>
      <c r="AD1033" s="54"/>
      <c r="AE1033" s="354"/>
      <c r="AF1033" s="355"/>
      <c r="AG1033" s="349"/>
      <c r="AH1033" s="30"/>
      <c r="AI1033" s="30"/>
      <c r="AJ1033" s="30"/>
      <c r="AK1033" s="30"/>
      <c r="AL1033" s="13"/>
      <c r="AM1033" s="13"/>
      <c r="AN1033" s="13"/>
      <c r="AO1033" s="13"/>
      <c r="AP1033" s="13"/>
      <c r="AQ1033" s="14"/>
      <c r="AR1033" s="15"/>
    </row>
    <row r="1034" spans="1:44" s="337" customFormat="1" ht="30.95" hidden="1" customHeight="1" x14ac:dyDescent="0.2">
      <c r="A1034" s="358" t="s">
        <v>1823</v>
      </c>
      <c r="B1034" s="359" t="s">
        <v>1824</v>
      </c>
      <c r="C1034" s="360"/>
      <c r="D1034" s="31">
        <v>3735103</v>
      </c>
      <c r="E1034" s="31">
        <v>4170130</v>
      </c>
      <c r="F1034" s="268" t="str">
        <f>IF(D1034="","",VLOOKUP(D1034,契約台帳!$A$3:$K$4986,6,FALSE)&amp;VLOOKUP(D1034,契約台帳!$A$3:$K$4986,7,FALSE)&amp;VLOOKUP(D1034,契約台帳!$A$3:$K$4986,8,FALSE)&amp;VLOOKUP(D1034,契約台帳!$A$3:$K$4986,9,FALSE)&amp;VLOOKUP(D1034,契約台帳!$A$3:$K$4986,11,FALSE))</f>
        <v>3SNMLBMSF</v>
      </c>
      <c r="G1034" s="269" t="str">
        <f>IF(D1034="","",VLOOKUP(F1034,製品マスタ!$G$5:$H$5002,2,FALSE))</f>
        <v>S</v>
      </c>
      <c r="H1034" s="269" t="str">
        <f>IF(D1034="","",VLOOKUP(F1034,製品マスタ!$G$5:$K$5002,5,FALSE))</f>
        <v>MSF</v>
      </c>
      <c r="I1034" s="270" t="str">
        <f>IF(D1034="","",VLOOKUP(F1034,製品マスタ!$G$5:$L$5002,6,FALSE))</f>
        <v>メタルミー　Ｓ</v>
      </c>
      <c r="J1034" s="32" t="s">
        <v>464</v>
      </c>
      <c r="K1034" s="270">
        <f>IF(D1034="","",VLOOKUP(D1034,契約台帳!$A$3:$L$4986,12,FALSE))</f>
        <v>25</v>
      </c>
      <c r="L1034" s="270" t="str">
        <f>IF(D1034="","",INDEX(製品マスタ!$Q$5:$Q$5002,MATCH(F1034&amp;K1034,製品マスタ!$AO$5:$AO$5002,0)))</f>
        <v>T62M</v>
      </c>
      <c r="M1034" s="39">
        <v>1240</v>
      </c>
      <c r="N1034" s="39">
        <v>12200</v>
      </c>
      <c r="O1034" s="47">
        <v>1</v>
      </c>
      <c r="P1034" s="57">
        <v>45258</v>
      </c>
      <c r="Q1034" s="276">
        <f>IF(D1034="","",IF(J1034="リード付け",M1034,VLOOKUP(D1034,契約台帳!$A$3:$N$4986,14,FALSE)))</f>
        <v>1240</v>
      </c>
      <c r="R1034" s="277">
        <f>IF(D1034="","",IF(J1034="リード付け",M1034,VLOOKUP(D1034,契約台帳!$A$3:$O$4986,15,FALSE)))</f>
        <v>1240</v>
      </c>
      <c r="S1034" s="277">
        <f>IF(D1034="","",IF(J1034="リード付け",N1034,VLOOKUP(D1034,契約台帳!$A$3:$P$4986,16,FALSE)))</f>
        <v>12200</v>
      </c>
      <c r="T1034" s="40">
        <v>1</v>
      </c>
      <c r="U1034" s="278">
        <f ca="1">IF(D1034="","",IF(OFFSET(D1034,-2,0)=D1034,"",VLOOKUP(D1034,契約台帳!$A$3:$R$4986,18,FALSE)))</f>
        <v>6</v>
      </c>
      <c r="V1034" s="269" t="str">
        <f>IF(J1034="巻返し",VLOOKUP(F1034&amp;K1034&amp;M1034,製品マスタ!$M$5:$AD$5002,18,FALSE),IF(J1034="リード付け","原反コア",IF(J1034="スリット",VLOOKUP(F1034&amp;K1034&amp;Q1034,製品マスタ!$N$5:$AD$5002,17,FALSE),"")))</f>
        <v>原反コア</v>
      </c>
      <c r="W1034" s="269" t="str">
        <f>IF(J1034="巻返し",VLOOKUP(F1034&amp;K1034&amp;M1034,製品マスタ!$M$5:$AE$5002,19,FALSE),IF(J1034="リード付け","-",IF(J1034="スリット",VLOOKUP(F1034&amp;K1034&amp;Q1034,製品マスタ!$N$5:$AE$5002,18,FALSE),"")))</f>
        <v>-</v>
      </c>
      <c r="X1034" s="275">
        <f>IF(D1034="","",VLOOKUP(D1034,契約台帳!$A$3:$Q$4986,17,FALSE))</f>
        <v>1</v>
      </c>
      <c r="Y1034" s="269" t="str">
        <f>IF(D1034="","",VLOOKUP(D1034,契約台帳!$A$3:$E$4986,5,FALSE))</f>
        <v>日精㈱東京支店</v>
      </c>
      <c r="Z1034" s="357"/>
      <c r="AA1034" s="207">
        <f>IFERROR(VLOOKUP(F1034&amp;K1034&amp;M1034,製品マスタ!$M$5:$AM$5002,27,FALSE),"")</f>
        <v>0</v>
      </c>
      <c r="AB1034" s="369"/>
      <c r="AC1034" s="370"/>
      <c r="AD1034" s="332"/>
      <c r="AE1034" s="371">
        <f>+M1034*N1034*O1034/1000</f>
        <v>15128</v>
      </c>
      <c r="AF1034" s="372"/>
      <c r="AG1034" s="366"/>
      <c r="AH1034" s="333"/>
      <c r="AI1034" s="333"/>
      <c r="AJ1034" s="333"/>
      <c r="AK1034" s="333"/>
      <c r="AL1034" s="334"/>
      <c r="AM1034" s="334"/>
      <c r="AN1034" s="334"/>
      <c r="AO1034" s="334"/>
      <c r="AP1034" s="334"/>
      <c r="AQ1034" s="335"/>
      <c r="AR1034" s="336"/>
    </row>
    <row r="1035" spans="1:44" s="17" customFormat="1" ht="30.95" hidden="1" customHeight="1" x14ac:dyDescent="0.2">
      <c r="A1035" s="343"/>
      <c r="B1035" s="344"/>
      <c r="C1035" s="345"/>
      <c r="D1035" s="346"/>
      <c r="E1035" s="346"/>
      <c r="F1035" s="268"/>
      <c r="G1035" s="269"/>
      <c r="H1035" s="269"/>
      <c r="I1035" s="270"/>
      <c r="J1035" s="347"/>
      <c r="K1035" s="270"/>
      <c r="L1035" s="270"/>
      <c r="M1035" s="348"/>
      <c r="N1035" s="348"/>
      <c r="O1035" s="349"/>
      <c r="P1035" s="350"/>
      <c r="Q1035" s="276"/>
      <c r="R1035" s="277"/>
      <c r="S1035" s="277"/>
      <c r="T1035" s="351"/>
      <c r="U1035" s="278"/>
      <c r="V1035" s="269"/>
      <c r="W1035" s="269"/>
      <c r="X1035" s="275"/>
      <c r="Y1035" s="269"/>
      <c r="Z1035" s="350"/>
      <c r="AA1035" s="207"/>
      <c r="AB1035" s="352"/>
      <c r="AC1035" s="353"/>
      <c r="AD1035" s="54"/>
      <c r="AE1035" s="354"/>
      <c r="AF1035" s="355"/>
      <c r="AG1035" s="349"/>
      <c r="AH1035" s="30"/>
      <c r="AI1035" s="30"/>
      <c r="AJ1035" s="30"/>
      <c r="AK1035" s="30"/>
      <c r="AL1035" s="13"/>
      <c r="AM1035" s="13"/>
      <c r="AN1035" s="13"/>
      <c r="AO1035" s="13"/>
      <c r="AP1035" s="13"/>
      <c r="AQ1035" s="14"/>
      <c r="AR1035" s="15"/>
    </row>
    <row r="1036" spans="1:44" s="17" customFormat="1" ht="30.95" hidden="1" customHeight="1" x14ac:dyDescent="0.2">
      <c r="A1036" s="343" t="s">
        <v>1775</v>
      </c>
      <c r="B1036" s="344" t="s">
        <v>1762</v>
      </c>
      <c r="C1036" s="345"/>
      <c r="D1036" s="346"/>
      <c r="E1036" s="346"/>
      <c r="F1036" s="268"/>
      <c r="G1036" s="269"/>
      <c r="H1036" s="269"/>
      <c r="I1036" s="270"/>
      <c r="J1036" s="347"/>
      <c r="K1036" s="270"/>
      <c r="L1036" s="270"/>
      <c r="M1036" s="348"/>
      <c r="N1036" s="348"/>
      <c r="O1036" s="349"/>
      <c r="P1036" s="350"/>
      <c r="Q1036" s="276"/>
      <c r="R1036" s="277"/>
      <c r="S1036" s="277"/>
      <c r="T1036" s="351"/>
      <c r="U1036" s="278"/>
      <c r="V1036" s="269"/>
      <c r="W1036" s="269"/>
      <c r="X1036" s="275"/>
      <c r="Y1036" s="269"/>
      <c r="Z1036" s="350"/>
      <c r="AA1036" s="207"/>
      <c r="AB1036" s="352"/>
      <c r="AC1036" s="353"/>
      <c r="AD1036" s="54"/>
      <c r="AE1036" s="354"/>
      <c r="AF1036" s="355"/>
      <c r="AG1036" s="349"/>
      <c r="AH1036" s="30"/>
      <c r="AI1036" s="30"/>
      <c r="AJ1036" s="30"/>
      <c r="AK1036" s="30"/>
      <c r="AL1036" s="13"/>
      <c r="AM1036" s="13"/>
      <c r="AN1036" s="13"/>
      <c r="AO1036" s="13"/>
      <c r="AP1036" s="13"/>
      <c r="AQ1036" s="14"/>
      <c r="AR1036" s="15"/>
    </row>
    <row r="1037" spans="1:44" s="17" customFormat="1" ht="30.95" hidden="1" customHeight="1" x14ac:dyDescent="0.2">
      <c r="A1037" s="343"/>
      <c r="B1037" s="344"/>
      <c r="C1037" s="345"/>
      <c r="D1037" s="346"/>
      <c r="E1037" s="346"/>
      <c r="F1037" s="268"/>
      <c r="G1037" s="269"/>
      <c r="H1037" s="269"/>
      <c r="I1037" s="270"/>
      <c r="J1037" s="347"/>
      <c r="K1037" s="270"/>
      <c r="L1037" s="270"/>
      <c r="M1037" s="348"/>
      <c r="N1037" s="348"/>
      <c r="O1037" s="349"/>
      <c r="P1037" s="350"/>
      <c r="Q1037" s="276"/>
      <c r="R1037" s="277"/>
      <c r="S1037" s="277"/>
      <c r="T1037" s="351"/>
      <c r="U1037" s="278"/>
      <c r="V1037" s="269"/>
      <c r="W1037" s="269"/>
      <c r="X1037" s="275"/>
      <c r="Y1037" s="269"/>
      <c r="Z1037" s="350"/>
      <c r="AA1037" s="207"/>
      <c r="AB1037" s="352"/>
      <c r="AC1037" s="353"/>
      <c r="AD1037" s="54"/>
      <c r="AE1037" s="354"/>
      <c r="AF1037" s="355"/>
      <c r="AG1037" s="349"/>
      <c r="AH1037" s="30"/>
      <c r="AI1037" s="30"/>
      <c r="AJ1037" s="30"/>
      <c r="AK1037" s="30"/>
      <c r="AL1037" s="13"/>
      <c r="AM1037" s="13"/>
      <c r="AN1037" s="13"/>
      <c r="AO1037" s="13"/>
      <c r="AP1037" s="13"/>
      <c r="AQ1037" s="14"/>
      <c r="AR1037" s="15"/>
    </row>
    <row r="1038" spans="1:44" s="17" customFormat="1" ht="30.95" hidden="1" customHeight="1" x14ac:dyDescent="0.2">
      <c r="A1038" s="343" t="s">
        <v>1776</v>
      </c>
      <c r="B1038" s="344" t="s">
        <v>1763</v>
      </c>
      <c r="C1038" s="345"/>
      <c r="D1038" s="346"/>
      <c r="E1038" s="346"/>
      <c r="F1038" s="268"/>
      <c r="G1038" s="269"/>
      <c r="H1038" s="269"/>
      <c r="I1038" s="270"/>
      <c r="J1038" s="347"/>
      <c r="K1038" s="270"/>
      <c r="L1038" s="270"/>
      <c r="M1038" s="348"/>
      <c r="N1038" s="348"/>
      <c r="O1038" s="349"/>
      <c r="P1038" s="350"/>
      <c r="Q1038" s="276"/>
      <c r="R1038" s="277"/>
      <c r="S1038" s="277"/>
      <c r="T1038" s="351"/>
      <c r="U1038" s="278"/>
      <c r="V1038" s="269"/>
      <c r="W1038" s="269"/>
      <c r="X1038" s="275"/>
      <c r="Y1038" s="269"/>
      <c r="Z1038" s="350"/>
      <c r="AA1038" s="207"/>
      <c r="AB1038" s="352"/>
      <c r="AC1038" s="353"/>
      <c r="AD1038" s="54"/>
      <c r="AE1038" s="354"/>
      <c r="AF1038" s="355"/>
      <c r="AG1038" s="349"/>
      <c r="AH1038" s="30"/>
      <c r="AI1038" s="30"/>
      <c r="AJ1038" s="30"/>
      <c r="AK1038" s="30"/>
      <c r="AL1038" s="13"/>
      <c r="AM1038" s="13"/>
      <c r="AN1038" s="13"/>
      <c r="AO1038" s="13"/>
      <c r="AP1038" s="13"/>
      <c r="AQ1038" s="14"/>
      <c r="AR1038" s="15"/>
    </row>
    <row r="1039" spans="1:44" s="17" customFormat="1" ht="30.95" hidden="1" customHeight="1" x14ac:dyDescent="0.2">
      <c r="A1039" s="343"/>
      <c r="B1039" s="344"/>
      <c r="C1039" s="345"/>
      <c r="D1039" s="346"/>
      <c r="E1039" s="346"/>
      <c r="F1039" s="268"/>
      <c r="G1039" s="269"/>
      <c r="H1039" s="269"/>
      <c r="I1039" s="270"/>
      <c r="J1039" s="347"/>
      <c r="K1039" s="270"/>
      <c r="L1039" s="270"/>
      <c r="M1039" s="348"/>
      <c r="N1039" s="348"/>
      <c r="O1039" s="349"/>
      <c r="P1039" s="350"/>
      <c r="Q1039" s="276"/>
      <c r="R1039" s="277"/>
      <c r="S1039" s="277"/>
      <c r="T1039" s="351"/>
      <c r="U1039" s="278"/>
      <c r="V1039" s="269"/>
      <c r="W1039" s="269"/>
      <c r="X1039" s="275"/>
      <c r="Y1039" s="269"/>
      <c r="Z1039" s="350"/>
      <c r="AA1039" s="207"/>
      <c r="AB1039" s="352"/>
      <c r="AC1039" s="353"/>
      <c r="AD1039" s="54"/>
      <c r="AE1039" s="354"/>
      <c r="AF1039" s="355"/>
      <c r="AG1039" s="349"/>
      <c r="AH1039" s="30"/>
      <c r="AI1039" s="30"/>
      <c r="AJ1039" s="30"/>
      <c r="AK1039" s="30"/>
      <c r="AL1039" s="13"/>
      <c r="AM1039" s="13"/>
      <c r="AN1039" s="13"/>
      <c r="AO1039" s="13"/>
      <c r="AP1039" s="13"/>
      <c r="AQ1039" s="14"/>
      <c r="AR1039" s="15"/>
    </row>
    <row r="1040" spans="1:44" s="337" customFormat="1" ht="30.95" hidden="1" customHeight="1" x14ac:dyDescent="0.2">
      <c r="A1040" s="358" t="s">
        <v>1777</v>
      </c>
      <c r="B1040" s="359" t="s">
        <v>1765</v>
      </c>
      <c r="C1040" s="360"/>
      <c r="D1040" s="361"/>
      <c r="E1040" s="361"/>
      <c r="F1040" s="362"/>
      <c r="G1040" s="363"/>
      <c r="H1040" s="363"/>
      <c r="I1040" s="207"/>
      <c r="J1040" s="364" t="s">
        <v>448</v>
      </c>
      <c r="K1040" s="207"/>
      <c r="L1040" s="207"/>
      <c r="M1040" s="365"/>
      <c r="N1040" s="365"/>
      <c r="O1040" s="366"/>
      <c r="P1040" s="357"/>
      <c r="Q1040" s="367"/>
      <c r="R1040" s="278"/>
      <c r="S1040" s="278"/>
      <c r="T1040" s="368"/>
      <c r="U1040" s="278"/>
      <c r="V1040" s="363"/>
      <c r="W1040" s="363"/>
      <c r="X1040" s="363"/>
      <c r="Y1040" s="363"/>
      <c r="Z1040" s="357"/>
      <c r="AA1040" s="207"/>
      <c r="AB1040" s="369"/>
      <c r="AC1040" s="370"/>
      <c r="AD1040" s="332"/>
      <c r="AE1040" s="371"/>
      <c r="AF1040" s="372"/>
      <c r="AG1040" s="366"/>
      <c r="AH1040" s="333"/>
      <c r="AI1040" s="333"/>
      <c r="AJ1040" s="333"/>
      <c r="AK1040" s="333"/>
      <c r="AL1040" s="334"/>
      <c r="AM1040" s="334"/>
      <c r="AN1040" s="334"/>
      <c r="AO1040" s="334"/>
      <c r="AP1040" s="334"/>
      <c r="AQ1040" s="335"/>
      <c r="AR1040" s="336"/>
    </row>
    <row r="1041" spans="1:44" s="337" customFormat="1" ht="30.95" hidden="1" customHeight="1" x14ac:dyDescent="0.2">
      <c r="A1041" s="358"/>
      <c r="B1041" s="359"/>
      <c r="C1041" s="360"/>
      <c r="D1041" s="361"/>
      <c r="E1041" s="361"/>
      <c r="F1041" s="362"/>
      <c r="G1041" s="363"/>
      <c r="H1041" s="363"/>
      <c r="I1041" s="207"/>
      <c r="J1041" s="364"/>
      <c r="K1041" s="207"/>
      <c r="L1041" s="207"/>
      <c r="M1041" s="365"/>
      <c r="N1041" s="365"/>
      <c r="O1041" s="366"/>
      <c r="P1041" s="357"/>
      <c r="Q1041" s="367"/>
      <c r="R1041" s="278"/>
      <c r="S1041" s="278"/>
      <c r="T1041" s="368"/>
      <c r="U1041" s="278"/>
      <c r="V1041" s="363"/>
      <c r="W1041" s="363"/>
      <c r="X1041" s="363"/>
      <c r="Y1041" s="363"/>
      <c r="Z1041" s="357"/>
      <c r="AA1041" s="207"/>
      <c r="AB1041" s="369"/>
      <c r="AC1041" s="370"/>
      <c r="AD1041" s="332"/>
      <c r="AE1041" s="371"/>
      <c r="AF1041" s="372"/>
      <c r="AG1041" s="366"/>
      <c r="AH1041" s="333"/>
      <c r="AI1041" s="333"/>
      <c r="AJ1041" s="333"/>
      <c r="AK1041" s="333"/>
      <c r="AL1041" s="334"/>
      <c r="AM1041" s="334"/>
      <c r="AN1041" s="334"/>
      <c r="AO1041" s="334"/>
      <c r="AP1041" s="334"/>
      <c r="AQ1041" s="335"/>
      <c r="AR1041" s="336"/>
    </row>
    <row r="1042" spans="1:44" s="337" customFormat="1" ht="30.95" hidden="1" customHeight="1" x14ac:dyDescent="0.2">
      <c r="A1042" s="358" t="s">
        <v>1778</v>
      </c>
      <c r="B1042" s="359" t="s">
        <v>1767</v>
      </c>
      <c r="C1042" s="360"/>
      <c r="D1042" s="361"/>
      <c r="E1042" s="361"/>
      <c r="F1042" s="362"/>
      <c r="G1042" s="363"/>
      <c r="H1042" s="363"/>
      <c r="I1042" s="207"/>
      <c r="J1042" s="364" t="s">
        <v>448</v>
      </c>
      <c r="K1042" s="207"/>
      <c r="L1042" s="207"/>
      <c r="M1042" s="365"/>
      <c r="N1042" s="365"/>
      <c r="O1042" s="366"/>
      <c r="P1042" s="357"/>
      <c r="Q1042" s="367"/>
      <c r="R1042" s="278"/>
      <c r="S1042" s="278"/>
      <c r="T1042" s="368"/>
      <c r="U1042" s="278"/>
      <c r="V1042" s="363"/>
      <c r="W1042" s="363"/>
      <c r="X1042" s="363"/>
      <c r="Y1042" s="363"/>
      <c r="Z1042" s="357"/>
      <c r="AA1042" s="207"/>
      <c r="AB1042" s="369"/>
      <c r="AC1042" s="370"/>
      <c r="AD1042" s="332"/>
      <c r="AE1042" s="371"/>
      <c r="AF1042" s="372"/>
      <c r="AG1042" s="366"/>
      <c r="AH1042" s="333"/>
      <c r="AI1042" s="333"/>
      <c r="AJ1042" s="333"/>
      <c r="AK1042" s="333"/>
      <c r="AL1042" s="334"/>
      <c r="AM1042" s="334"/>
      <c r="AN1042" s="334"/>
      <c r="AO1042" s="334"/>
      <c r="AP1042" s="334"/>
      <c r="AQ1042" s="335"/>
      <c r="AR1042" s="336"/>
    </row>
    <row r="1043" spans="1:44" s="17" customFormat="1" ht="30.95" hidden="1" customHeight="1" x14ac:dyDescent="0.2">
      <c r="A1043" s="343"/>
      <c r="B1043" s="344"/>
      <c r="C1043" s="345"/>
      <c r="D1043" s="346"/>
      <c r="E1043" s="346"/>
      <c r="F1043" s="268"/>
      <c r="G1043" s="269"/>
      <c r="H1043" s="269"/>
      <c r="I1043" s="270"/>
      <c r="J1043" s="347"/>
      <c r="K1043" s="270"/>
      <c r="L1043" s="270"/>
      <c r="M1043" s="348"/>
      <c r="N1043" s="348"/>
      <c r="O1043" s="349"/>
      <c r="P1043" s="350"/>
      <c r="Q1043" s="276"/>
      <c r="R1043" s="277"/>
      <c r="S1043" s="277"/>
      <c r="T1043" s="351"/>
      <c r="U1043" s="278"/>
      <c r="V1043" s="269"/>
      <c r="W1043" s="269"/>
      <c r="X1043" s="275"/>
      <c r="Y1043" s="269"/>
      <c r="Z1043" s="350"/>
      <c r="AA1043" s="207"/>
      <c r="AB1043" s="352"/>
      <c r="AC1043" s="353"/>
      <c r="AD1043" s="54"/>
      <c r="AE1043" s="354"/>
      <c r="AF1043" s="355"/>
      <c r="AG1043" s="349"/>
      <c r="AH1043" s="30"/>
      <c r="AI1043" s="30"/>
      <c r="AJ1043" s="30"/>
      <c r="AK1043" s="30"/>
      <c r="AL1043" s="13"/>
      <c r="AM1043" s="13"/>
      <c r="AN1043" s="13"/>
      <c r="AO1043" s="13"/>
      <c r="AP1043" s="13"/>
      <c r="AQ1043" s="14"/>
      <c r="AR1043" s="15"/>
    </row>
    <row r="1044" spans="1:44" s="17" customFormat="1" ht="30.95" hidden="1" customHeight="1" x14ac:dyDescent="0.2">
      <c r="A1044" s="343" t="s">
        <v>1834</v>
      </c>
      <c r="B1044" s="344" t="s">
        <v>1835</v>
      </c>
      <c r="C1044" s="345"/>
      <c r="D1044" s="346"/>
      <c r="E1044" s="346"/>
      <c r="F1044" s="268"/>
      <c r="G1044" s="269"/>
      <c r="H1044" s="269"/>
      <c r="I1044" s="270"/>
      <c r="J1044" s="347"/>
      <c r="K1044" s="270"/>
      <c r="L1044" s="270"/>
      <c r="M1044" s="348"/>
      <c r="N1044" s="348"/>
      <c r="O1044" s="349"/>
      <c r="P1044" s="350"/>
      <c r="Q1044" s="276"/>
      <c r="R1044" s="277"/>
      <c r="S1044" s="277"/>
      <c r="T1044" s="351"/>
      <c r="U1044" s="278"/>
      <c r="V1044" s="269"/>
      <c r="W1044" s="269"/>
      <c r="X1044" s="275"/>
      <c r="Y1044" s="269"/>
      <c r="Z1044" s="350"/>
      <c r="AA1044" s="207"/>
      <c r="AB1044" s="352"/>
      <c r="AC1044" s="353"/>
      <c r="AD1044" s="54"/>
      <c r="AE1044" s="354"/>
      <c r="AF1044" s="355"/>
      <c r="AG1044" s="349"/>
      <c r="AH1044" s="30"/>
      <c r="AI1044" s="30"/>
      <c r="AJ1044" s="30"/>
      <c r="AK1044" s="30"/>
      <c r="AL1044" s="13"/>
      <c r="AM1044" s="13"/>
      <c r="AN1044" s="13"/>
      <c r="AO1044" s="13"/>
      <c r="AP1044" s="13"/>
      <c r="AQ1044" s="14"/>
      <c r="AR1044" s="15"/>
    </row>
    <row r="1045" spans="1:44" s="17" customFormat="1" ht="30.95" hidden="1" customHeight="1" x14ac:dyDescent="0.2">
      <c r="A1045" s="343"/>
      <c r="B1045" s="344"/>
      <c r="C1045" s="345"/>
      <c r="D1045" s="346"/>
      <c r="E1045" s="346"/>
      <c r="F1045" s="268"/>
      <c r="G1045" s="269"/>
      <c r="H1045" s="269"/>
      <c r="I1045" s="270"/>
      <c r="J1045" s="347"/>
      <c r="K1045" s="270"/>
      <c r="L1045" s="270"/>
      <c r="M1045" s="348"/>
      <c r="N1045" s="348"/>
      <c r="O1045" s="349"/>
      <c r="P1045" s="350"/>
      <c r="Q1045" s="276"/>
      <c r="R1045" s="277"/>
      <c r="S1045" s="277"/>
      <c r="T1045" s="351"/>
      <c r="U1045" s="278"/>
      <c r="V1045" s="269"/>
      <c r="W1045" s="269"/>
      <c r="X1045" s="275"/>
      <c r="Y1045" s="269"/>
      <c r="Z1045" s="350"/>
      <c r="AA1045" s="207"/>
      <c r="AB1045" s="352"/>
      <c r="AC1045" s="353"/>
      <c r="AD1045" s="54"/>
      <c r="AE1045" s="354"/>
      <c r="AF1045" s="355"/>
      <c r="AG1045" s="349"/>
      <c r="AH1045" s="30"/>
      <c r="AI1045" s="30"/>
      <c r="AJ1045" s="30"/>
      <c r="AK1045" s="30"/>
      <c r="AL1045" s="13"/>
      <c r="AM1045" s="13"/>
      <c r="AN1045" s="13"/>
      <c r="AO1045" s="13"/>
      <c r="AP1045" s="13"/>
      <c r="AQ1045" s="14"/>
      <c r="AR1045" s="15"/>
    </row>
    <row r="1046" spans="1:44" s="17" customFormat="1" ht="30.95" hidden="1" customHeight="1" x14ac:dyDescent="0.2">
      <c r="A1046" s="343" t="s">
        <v>1836</v>
      </c>
      <c r="B1046" s="344" t="s">
        <v>1405</v>
      </c>
      <c r="C1046" s="345"/>
      <c r="D1046" s="346"/>
      <c r="E1046" s="346"/>
      <c r="F1046" s="268"/>
      <c r="G1046" s="269"/>
      <c r="H1046" s="269"/>
      <c r="I1046" s="270"/>
      <c r="J1046" s="347"/>
      <c r="K1046" s="270"/>
      <c r="L1046" s="270"/>
      <c r="M1046" s="348"/>
      <c r="N1046" s="348"/>
      <c r="O1046" s="349"/>
      <c r="P1046" s="350"/>
      <c r="Q1046" s="276"/>
      <c r="R1046" s="277"/>
      <c r="S1046" s="277"/>
      <c r="T1046" s="351"/>
      <c r="U1046" s="278"/>
      <c r="V1046" s="269"/>
      <c r="W1046" s="269"/>
      <c r="X1046" s="275"/>
      <c r="Y1046" s="269"/>
      <c r="Z1046" s="350"/>
      <c r="AA1046" s="207"/>
      <c r="AB1046" s="352"/>
      <c r="AC1046" s="353"/>
      <c r="AD1046" s="54"/>
      <c r="AE1046" s="354"/>
      <c r="AF1046" s="355"/>
      <c r="AG1046" s="349"/>
      <c r="AH1046" s="30"/>
      <c r="AI1046" s="30"/>
      <c r="AJ1046" s="30"/>
      <c r="AK1046" s="30"/>
      <c r="AL1046" s="13"/>
      <c r="AM1046" s="13"/>
      <c r="AN1046" s="13"/>
      <c r="AO1046" s="13"/>
      <c r="AP1046" s="13"/>
      <c r="AQ1046" s="14"/>
      <c r="AR1046" s="15"/>
    </row>
    <row r="1047" spans="1:44" s="17" customFormat="1" ht="30.95" hidden="1" customHeight="1" x14ac:dyDescent="0.2">
      <c r="A1047" s="343"/>
      <c r="B1047" s="344"/>
      <c r="C1047" s="345"/>
      <c r="D1047" s="346"/>
      <c r="E1047" s="346"/>
      <c r="F1047" s="268"/>
      <c r="G1047" s="269"/>
      <c r="H1047" s="269"/>
      <c r="I1047" s="270"/>
      <c r="J1047" s="347"/>
      <c r="K1047" s="270"/>
      <c r="L1047" s="270"/>
      <c r="M1047" s="348"/>
      <c r="N1047" s="348"/>
      <c r="O1047" s="349"/>
      <c r="P1047" s="350"/>
      <c r="Q1047" s="276"/>
      <c r="R1047" s="277"/>
      <c r="S1047" s="277"/>
      <c r="T1047" s="351"/>
      <c r="U1047" s="278"/>
      <c r="V1047" s="269"/>
      <c r="W1047" s="269"/>
      <c r="X1047" s="275"/>
      <c r="Y1047" s="269"/>
      <c r="Z1047" s="350"/>
      <c r="AA1047" s="207"/>
      <c r="AB1047" s="352"/>
      <c r="AC1047" s="353"/>
      <c r="AD1047" s="54"/>
      <c r="AE1047" s="354"/>
      <c r="AF1047" s="355"/>
      <c r="AG1047" s="349"/>
      <c r="AH1047" s="30"/>
      <c r="AI1047" s="30"/>
      <c r="AJ1047" s="30"/>
      <c r="AK1047" s="30"/>
      <c r="AL1047" s="13"/>
      <c r="AM1047" s="13"/>
      <c r="AN1047" s="13"/>
      <c r="AO1047" s="13"/>
      <c r="AP1047" s="13"/>
      <c r="AQ1047" s="14"/>
      <c r="AR1047" s="15"/>
    </row>
    <row r="1048" spans="1:44" s="17" customFormat="1" ht="30.95" hidden="1" customHeight="1" x14ac:dyDescent="0.2">
      <c r="A1048" s="343" t="s">
        <v>1837</v>
      </c>
      <c r="B1048" s="344" t="s">
        <v>1412</v>
      </c>
      <c r="C1048" s="345"/>
      <c r="D1048" s="346"/>
      <c r="E1048" s="346"/>
      <c r="F1048" s="268"/>
      <c r="G1048" s="269"/>
      <c r="H1048" s="269"/>
      <c r="I1048" s="270"/>
      <c r="J1048" s="347"/>
      <c r="K1048" s="270"/>
      <c r="L1048" s="270"/>
      <c r="M1048" s="348"/>
      <c r="N1048" s="348"/>
      <c r="O1048" s="349"/>
      <c r="P1048" s="350"/>
      <c r="Q1048" s="276"/>
      <c r="R1048" s="277"/>
      <c r="S1048" s="277"/>
      <c r="T1048" s="351"/>
      <c r="U1048" s="278"/>
      <c r="V1048" s="269"/>
      <c r="W1048" s="269"/>
      <c r="X1048" s="275"/>
      <c r="Y1048" s="269"/>
      <c r="Z1048" s="350"/>
      <c r="AA1048" s="207"/>
      <c r="AB1048" s="352"/>
      <c r="AC1048" s="353"/>
      <c r="AD1048" s="54"/>
      <c r="AE1048" s="354"/>
      <c r="AF1048" s="355"/>
      <c r="AG1048" s="349"/>
      <c r="AH1048" s="30"/>
      <c r="AI1048" s="30"/>
      <c r="AJ1048" s="30"/>
      <c r="AK1048" s="30"/>
      <c r="AL1048" s="13"/>
      <c r="AM1048" s="13"/>
      <c r="AN1048" s="13"/>
      <c r="AO1048" s="13"/>
      <c r="AP1048" s="13"/>
      <c r="AQ1048" s="14"/>
      <c r="AR1048" s="15"/>
    </row>
    <row r="1049" spans="1:44" s="17" customFormat="1" ht="30.95" hidden="1" customHeight="1" x14ac:dyDescent="0.2">
      <c r="A1049" s="343"/>
      <c r="B1049" s="344"/>
      <c r="C1049" s="345"/>
      <c r="D1049" s="346"/>
      <c r="E1049" s="346"/>
      <c r="F1049" s="268"/>
      <c r="G1049" s="269"/>
      <c r="H1049" s="269"/>
      <c r="I1049" s="270"/>
      <c r="J1049" s="347"/>
      <c r="K1049" s="270"/>
      <c r="L1049" s="270"/>
      <c r="M1049" s="348"/>
      <c r="N1049" s="348"/>
      <c r="O1049" s="349"/>
      <c r="P1049" s="350"/>
      <c r="Q1049" s="276"/>
      <c r="R1049" s="277"/>
      <c r="S1049" s="277"/>
      <c r="T1049" s="351"/>
      <c r="U1049" s="278"/>
      <c r="V1049" s="269"/>
      <c r="W1049" s="269"/>
      <c r="X1049" s="275"/>
      <c r="Y1049" s="269"/>
      <c r="Z1049" s="350"/>
      <c r="AA1049" s="207"/>
      <c r="AB1049" s="352"/>
      <c r="AC1049" s="353"/>
      <c r="AD1049" s="54"/>
      <c r="AE1049" s="354"/>
      <c r="AF1049" s="355"/>
      <c r="AG1049" s="349"/>
      <c r="AH1049" s="30"/>
      <c r="AI1049" s="30"/>
      <c r="AJ1049" s="30"/>
      <c r="AK1049" s="30"/>
      <c r="AL1049" s="13"/>
      <c r="AM1049" s="13"/>
      <c r="AN1049" s="13"/>
      <c r="AO1049" s="13"/>
      <c r="AP1049" s="13"/>
      <c r="AQ1049" s="14"/>
      <c r="AR1049" s="15"/>
    </row>
    <row r="1050" spans="1:44" s="17" customFormat="1" ht="30.95" hidden="1" customHeight="1" x14ac:dyDescent="0.2">
      <c r="A1050" s="343" t="s">
        <v>1838</v>
      </c>
      <c r="B1050" s="344" t="s">
        <v>1408</v>
      </c>
      <c r="C1050" s="345"/>
      <c r="D1050" s="398">
        <v>3735103</v>
      </c>
      <c r="E1050" s="31">
        <v>4151562</v>
      </c>
      <c r="F1050" s="268" t="str">
        <f>IF(D1050="","",VLOOKUP(D1050,契約台帳!$A$3:$K$4986,6,FALSE)&amp;VLOOKUP(D1050,契約台帳!$A$3:$K$4986,7,FALSE)&amp;VLOOKUP(D1050,契約台帳!$A$3:$K$4986,8,FALSE)&amp;VLOOKUP(D1050,契約台帳!$A$3:$K$4986,9,FALSE)&amp;VLOOKUP(D1050,契約台帳!$A$3:$K$4986,11,FALSE))</f>
        <v>3SNMLBMSF</v>
      </c>
      <c r="G1050" s="269" t="str">
        <f>IF(D1050="","",VLOOKUP(F1050,製品マスタ!$G$5:$H$5002,2,FALSE))</f>
        <v>S</v>
      </c>
      <c r="H1050" s="269" t="str">
        <f>IF(D1050="","",VLOOKUP(F1050,製品マスタ!$G$5:$K$5002,5,FALSE))</f>
        <v>MSF</v>
      </c>
      <c r="I1050" s="270" t="str">
        <f>IF(D1050="","",VLOOKUP(F1050,製品マスタ!$G$5:$L$5002,6,FALSE))</f>
        <v>メタルミー　Ｓ</v>
      </c>
      <c r="J1050" s="32" t="s">
        <v>447</v>
      </c>
      <c r="K1050" s="270">
        <f>IF(D1050="","",VLOOKUP(D1050,契約台帳!$A$3:$L$4986,12,FALSE))</f>
        <v>25</v>
      </c>
      <c r="L1050" s="270" t="str">
        <f>IF(D1050="","",INDEX(製品マスタ!$Q$5:$Q$5002,MATCH(F1050&amp;K1050,製品マスタ!$AO$5:$AO$5002,0)))</f>
        <v>T62M</v>
      </c>
      <c r="M1050" s="39">
        <v>1240</v>
      </c>
      <c r="N1050" s="39">
        <v>12200</v>
      </c>
      <c r="O1050" s="47">
        <v>1</v>
      </c>
      <c r="P1050" s="57"/>
      <c r="Q1050" s="276">
        <f>IF(D1050="","",IF(J1050="リード付け",M1050,VLOOKUP(D1050,契約台帳!$A$3:$N$4986,14,FALSE)))</f>
        <v>1240</v>
      </c>
      <c r="R1050" s="277">
        <f>IF(D1050="","",IF(J1050="リード付け",M1050,VLOOKUP(D1050,契約台帳!$A$3:$O$4986,15,FALSE)))</f>
        <v>1240</v>
      </c>
      <c r="S1050" s="277">
        <f>IF(D1050="","",IF(J1050="リード付け",N1050,VLOOKUP(D1050,契約台帳!$A$3:$P$4986,16,FALSE)))</f>
        <v>2000</v>
      </c>
      <c r="T1050" s="40">
        <v>6</v>
      </c>
      <c r="U1050" s="278">
        <f ca="1">IF(D1050="","",IF(OFFSET(D1050,-2,0)=D1050,"",VLOOKUP(D1050,契約台帳!$A$3:$R$4986,18,FALSE)))</f>
        <v>6</v>
      </c>
      <c r="V1050" s="269" t="str">
        <f>IF(J1050="巻返し",VLOOKUP(F1050&amp;K1050&amp;M1050,製品マスタ!$M$5:$AD$5002,18,FALSE),IF(J1050="リード付け","原反コア",IF(J1050="スリット",VLOOKUP(F1050&amp;K1050&amp;Q1050,製品マスタ!$N$5:$AD$5002,17,FALSE),"")))</f>
        <v>3ｲﾝﾁSｺｱ</v>
      </c>
      <c r="W1050" s="269">
        <f>IF(J1050="巻返し",VLOOKUP(F1050&amp;K1050&amp;M1050,製品マスタ!$M$5:$AE$5002,19,FALSE),IF(J1050="リード付け","-",IF(J1050="スリット",VLOOKUP(F1050&amp;K1050&amp;Q1050,製品マスタ!$N$5:$AE$5002,18,FALSE),"")))</f>
        <v>1245</v>
      </c>
      <c r="X1050" s="275">
        <f>IF(D1050="","",VLOOKUP(D1050,契約台帳!$A$3:$Q$4986,17,FALSE))</f>
        <v>1</v>
      </c>
      <c r="Y1050" s="269" t="str">
        <f>IF(D1050="","",VLOOKUP(D1050,契約台帳!$A$3:$E$4986,5,FALSE))</f>
        <v>日精㈱東京支店</v>
      </c>
      <c r="Z1050" s="357">
        <v>45272</v>
      </c>
      <c r="AA1050" s="207"/>
      <c r="AB1050" s="369"/>
      <c r="AC1050" s="370"/>
      <c r="AD1050" s="332" t="str">
        <f>IF(F1050="","",+F1050&amp;K1050)</f>
        <v>3SNMLBMSF25</v>
      </c>
      <c r="AE1050" s="216">
        <f>+M1050*N1050*O1050/1000</f>
        <v>15128</v>
      </c>
      <c r="AF1050" s="43">
        <f>IF(AD1050="","",VLOOKUP(AD1050,原価マスタ!$A$2:$AJ$1693,13,FALSE))</f>
        <v>97</v>
      </c>
      <c r="AG1050" s="47">
        <f>IF(AF1050="","",+AE1050*AF1050/100)</f>
        <v>14674.16</v>
      </c>
      <c r="AH1050" s="30"/>
      <c r="AI1050" s="30"/>
      <c r="AJ1050" s="30"/>
      <c r="AK1050" s="30"/>
      <c r="AL1050" s="13"/>
      <c r="AM1050" s="13"/>
      <c r="AN1050" s="13"/>
      <c r="AO1050" s="13"/>
      <c r="AP1050" s="13"/>
      <c r="AQ1050" s="14"/>
      <c r="AR1050" s="15"/>
    </row>
    <row r="1051" spans="1:44" s="17" customFormat="1" ht="30.95" hidden="1" customHeight="1" x14ac:dyDescent="0.2">
      <c r="A1051" s="343"/>
      <c r="B1051" s="344"/>
      <c r="C1051" s="345"/>
      <c r="D1051" s="346"/>
      <c r="E1051" s="346"/>
      <c r="F1051" s="268"/>
      <c r="G1051" s="269"/>
      <c r="H1051" s="269"/>
      <c r="I1051" s="270"/>
      <c r="J1051" s="347"/>
      <c r="K1051" s="270"/>
      <c r="L1051" s="270"/>
      <c r="M1051" s="348"/>
      <c r="N1051" s="348"/>
      <c r="O1051" s="349"/>
      <c r="P1051" s="350"/>
      <c r="Q1051" s="276"/>
      <c r="R1051" s="277"/>
      <c r="S1051" s="277"/>
      <c r="T1051" s="351"/>
      <c r="U1051" s="278"/>
      <c r="V1051" s="269"/>
      <c r="W1051" s="269"/>
      <c r="X1051" s="275"/>
      <c r="Y1051" s="269"/>
      <c r="Z1051" s="350"/>
      <c r="AA1051" s="207"/>
      <c r="AB1051" s="352"/>
      <c r="AC1051" s="353"/>
      <c r="AD1051" s="54"/>
      <c r="AE1051" s="354"/>
      <c r="AF1051" s="355"/>
      <c r="AG1051" s="349"/>
      <c r="AH1051" s="30"/>
      <c r="AI1051" s="30"/>
      <c r="AJ1051" s="30"/>
      <c r="AK1051" s="30"/>
      <c r="AL1051" s="13"/>
      <c r="AM1051" s="13"/>
      <c r="AN1051" s="13"/>
      <c r="AO1051" s="13"/>
      <c r="AP1051" s="13"/>
      <c r="AQ1051" s="14"/>
      <c r="AR1051" s="15"/>
    </row>
    <row r="1052" spans="1:44" s="17" customFormat="1" ht="30.95" hidden="1" customHeight="1" x14ac:dyDescent="0.2">
      <c r="A1052" s="343" t="s">
        <v>1841</v>
      </c>
      <c r="B1052" s="344" t="s">
        <v>1842</v>
      </c>
      <c r="C1052" s="345"/>
      <c r="D1052" s="398">
        <v>3735105</v>
      </c>
      <c r="E1052" s="31">
        <v>4151548</v>
      </c>
      <c r="F1052" s="268" t="str">
        <f>IF(D1052="","",VLOOKUP(D1052,契約台帳!$A$3:$K$4986,6,FALSE)&amp;VLOOKUP(D1052,契約台帳!$A$3:$K$4986,7,FALSE)&amp;VLOOKUP(D1052,契約台帳!$A$3:$K$4986,8,FALSE)&amp;VLOOKUP(D1052,契約台帳!$A$3:$K$4986,9,FALSE)&amp;VLOOKUP(D1052,契約台帳!$A$3:$K$4986,11,FALSE))</f>
        <v>3SNMLBMNGKKBF</v>
      </c>
      <c r="G1052" s="269" t="str">
        <f>IF(D1052="","",VLOOKUP(F1052,製品マスタ!$G$5:$H$5002,2,FALSE))</f>
        <v>S</v>
      </c>
      <c r="H1052" s="269" t="str">
        <f>IF(D1052="","",VLOOKUP(F1052,製品マスタ!$G$5:$K$5002,5,FALSE))</f>
        <v>MNGKKBF</v>
      </c>
      <c r="I1052" s="270" t="str">
        <f>IF(D1052="","",VLOOKUP(F1052,製品マスタ!$G$5:$L$5002,6,FALSE))</f>
        <v>メタルミー　ネーマー銀消改　Ｂ</v>
      </c>
      <c r="J1052" s="32" t="s">
        <v>447</v>
      </c>
      <c r="K1052" s="270">
        <f>IF(D1052="","",VLOOKUP(D1052,契約台帳!$A$3:$L$4986,12,FALSE))</f>
        <v>25</v>
      </c>
      <c r="L1052" s="270" t="str">
        <f>IF(D1052="","",INDEX(製品マスタ!$Q$5:$Q$5002,MATCH(F1052&amp;K1052,製品マスタ!$AO$5:$AO$5002,0)))</f>
        <v>FMATS99</v>
      </c>
      <c r="M1052" s="39">
        <v>1120</v>
      </c>
      <c r="N1052" s="39">
        <v>12000</v>
      </c>
      <c r="O1052" s="47">
        <v>3</v>
      </c>
      <c r="P1052" s="57"/>
      <c r="Q1052" s="276">
        <f>IF(D1052="","",IF(J1052="リード付け",M1052,VLOOKUP(D1052,契約台帳!$A$3:$N$4986,14,FALSE)))</f>
        <v>1120</v>
      </c>
      <c r="R1052" s="277">
        <f>IF(D1052="","",IF(J1052="リード付け",M1052,VLOOKUP(D1052,契約台帳!$A$3:$O$4986,15,FALSE)))</f>
        <v>1120</v>
      </c>
      <c r="S1052" s="277">
        <f>IF(D1052="","",IF(J1052="リード付け",N1052,VLOOKUP(D1052,契約台帳!$A$3:$P$4986,16,FALSE)))</f>
        <v>4000</v>
      </c>
      <c r="T1052" s="40">
        <v>9</v>
      </c>
      <c r="U1052" s="278">
        <f ca="1">IF(D1052="","",IF(OFFSET(D1052,-2,0)=D1052,"",VLOOKUP(D1052,契約台帳!$A$3:$R$4986,18,FALSE)))</f>
        <v>9</v>
      </c>
      <c r="V1052" s="269" t="str">
        <f>IF(J1052="巻返し",VLOOKUP(F1052&amp;K1052&amp;M1052,製品マスタ!$M$5:$AD$5002,18,FALSE),IF(J1052="リード付け","原反コア",IF(J1052="スリット",VLOOKUP(F1052&amp;K1052&amp;Q1052,製品マスタ!$N$5:$AD$5002,17,FALSE),"")))</f>
        <v>6ｲﾝﾁSｺｱ</v>
      </c>
      <c r="W1052" s="269">
        <f>IF(J1052="巻返し",VLOOKUP(F1052&amp;K1052&amp;M1052,製品マスタ!$M$5:$AE$5002,19,FALSE),IF(J1052="リード付け","-",IF(J1052="スリット",VLOOKUP(F1052&amp;K1052&amp;Q1052,製品マスタ!$N$5:$AE$5002,18,FALSE),"")))</f>
        <v>1125</v>
      </c>
      <c r="X1052" s="275">
        <f>IF(D1052="","",VLOOKUP(D1052,契約台帳!$A$3:$Q$4986,17,FALSE))</f>
        <v>2</v>
      </c>
      <c r="Y1052" s="269" t="str">
        <f>IF(D1052="","",VLOOKUP(D1052,契約台帳!$A$3:$E$4986,5,FALSE))</f>
        <v>リンテック㈱</v>
      </c>
      <c r="Z1052" s="357">
        <v>45272</v>
      </c>
      <c r="AA1052" s="207"/>
      <c r="AB1052" s="369"/>
      <c r="AC1052" s="370"/>
      <c r="AD1052" s="332" t="str">
        <f>IF(F1052="","",+F1052&amp;K1052)</f>
        <v>3SNMLBMNGKKBF25</v>
      </c>
      <c r="AE1052" s="216">
        <f>+M1052*N1052*O1052/1000</f>
        <v>40320</v>
      </c>
      <c r="AF1052" s="43">
        <f>IF(AD1052="","",VLOOKUP(AD1052,原価マスタ!$A$2:$AJ$1693,13,FALSE))</f>
        <v>96</v>
      </c>
      <c r="AG1052" s="47">
        <f>IF(AF1052="","",+AE1052*AF1052/100)</f>
        <v>38707.199999999997</v>
      </c>
      <c r="AH1052" s="30"/>
      <c r="AI1052" s="30"/>
      <c r="AJ1052" s="30"/>
      <c r="AK1052" s="30"/>
      <c r="AL1052" s="13"/>
      <c r="AM1052" s="13"/>
      <c r="AN1052" s="13"/>
      <c r="AO1052" s="13"/>
      <c r="AP1052" s="13"/>
      <c r="AQ1052" s="14"/>
      <c r="AR1052" s="15"/>
    </row>
    <row r="1053" spans="1:44" s="17" customFormat="1" ht="30.95" hidden="1" customHeight="1" x14ac:dyDescent="0.2">
      <c r="A1053" s="343"/>
      <c r="B1053" s="344"/>
      <c r="C1053" s="345"/>
      <c r="D1053" s="346"/>
      <c r="E1053" s="346"/>
      <c r="F1053" s="268"/>
      <c r="G1053" s="269"/>
      <c r="H1053" s="269"/>
      <c r="I1053" s="270"/>
      <c r="J1053" s="347"/>
      <c r="K1053" s="270"/>
      <c r="L1053" s="270"/>
      <c r="M1053" s="348"/>
      <c r="N1053" s="348"/>
      <c r="O1053" s="349"/>
      <c r="P1053" s="350"/>
      <c r="Q1053" s="276"/>
      <c r="R1053" s="277"/>
      <c r="S1053" s="277"/>
      <c r="T1053" s="351"/>
      <c r="U1053" s="278"/>
      <c r="V1053" s="269"/>
      <c r="W1053" s="269"/>
      <c r="X1053" s="275"/>
      <c r="Y1053" s="269"/>
      <c r="Z1053" s="350"/>
      <c r="AA1053" s="207"/>
      <c r="AB1053" s="352"/>
      <c r="AC1053" s="353"/>
      <c r="AD1053" s="54"/>
      <c r="AE1053" s="354"/>
      <c r="AF1053" s="355"/>
      <c r="AG1053" s="349"/>
      <c r="AH1053" s="30"/>
      <c r="AI1053" s="30"/>
      <c r="AJ1053" s="30"/>
      <c r="AK1053" s="30"/>
      <c r="AL1053" s="13"/>
      <c r="AM1053" s="13"/>
      <c r="AN1053" s="13"/>
      <c r="AO1053" s="13"/>
      <c r="AP1053" s="13"/>
      <c r="AQ1053" s="14"/>
      <c r="AR1053" s="15"/>
    </row>
    <row r="1054" spans="1:44" s="17" customFormat="1" ht="30.95" hidden="1" customHeight="1" x14ac:dyDescent="0.2">
      <c r="A1054" s="343"/>
      <c r="B1054" s="344"/>
      <c r="C1054" s="345"/>
      <c r="D1054" s="398">
        <v>3735110</v>
      </c>
      <c r="E1054" s="31">
        <v>4151543</v>
      </c>
      <c r="F1054" s="268" t="str">
        <f>IF(D1054="","",VLOOKUP(D1054,契約台帳!$A$3:$K$4986,6,FALSE)&amp;VLOOKUP(D1054,契約台帳!$A$3:$K$4986,7,FALSE)&amp;VLOOKUP(D1054,契約台帳!$A$3:$K$4986,8,FALSE)&amp;VLOOKUP(D1054,契約台帳!$A$3:$K$4986,9,FALSE)&amp;VLOOKUP(D1054,契約台帳!$A$3:$K$4986,11,FALSE))</f>
        <v>3SNMLBMNGKBF</v>
      </c>
      <c r="G1054" s="269" t="str">
        <f>IF(D1054="","",VLOOKUP(F1054,製品マスタ!$G$5:$H$5002,2,FALSE))</f>
        <v>S</v>
      </c>
      <c r="H1054" s="269" t="str">
        <f>IF(D1054="","",VLOOKUP(F1054,製品マスタ!$G$5:$K$5002,5,FALSE))</f>
        <v>MNGKBF</v>
      </c>
      <c r="I1054" s="270" t="str">
        <f>IF(D1054="","",VLOOKUP(F1054,製品マスタ!$G$5:$L$5002,6,FALSE))</f>
        <v>メタルミー　ネーマー銀消　Ｂ</v>
      </c>
      <c r="J1054" s="32" t="s">
        <v>447</v>
      </c>
      <c r="K1054" s="270">
        <f>IF(D1054="","",VLOOKUP(D1054,契約台帳!$A$3:$L$4986,12,FALSE))</f>
        <v>25</v>
      </c>
      <c r="L1054" s="270" t="str">
        <f>IF(D1054="","",INDEX(製品マスタ!$Q$5:$Q$5002,MATCH(F1054&amp;K1054,製品マスタ!$AO$5:$AO$5002,0)))</f>
        <v>LUMIMAT</v>
      </c>
      <c r="M1054" s="39">
        <v>1050</v>
      </c>
      <c r="N1054" s="39">
        <v>8000</v>
      </c>
      <c r="O1054" s="47">
        <v>1</v>
      </c>
      <c r="P1054" s="57"/>
      <c r="Q1054" s="276">
        <f>IF(D1054="","",IF(J1054="リード付け",M1054,VLOOKUP(D1054,契約台帳!$A$3:$N$4986,14,FALSE)))</f>
        <v>1050</v>
      </c>
      <c r="R1054" s="277">
        <f>IF(D1054="","",IF(J1054="リード付け",M1054,VLOOKUP(D1054,契約台帳!$A$3:$O$4986,15,FALSE)))</f>
        <v>1050</v>
      </c>
      <c r="S1054" s="277">
        <f>IF(D1054="","",IF(J1054="リード付け",N1054,VLOOKUP(D1054,契約台帳!$A$3:$P$4986,16,FALSE)))</f>
        <v>4000</v>
      </c>
      <c r="T1054" s="40">
        <v>2</v>
      </c>
      <c r="U1054" s="278">
        <f ca="1">IF(D1054="","",IF(OFFSET(D1054,-2,0)=D1054,"",VLOOKUP(D1054,契約台帳!$A$3:$R$4986,18,FALSE)))</f>
        <v>2</v>
      </c>
      <c r="V1054" s="269" t="str">
        <f>IF(J1054="巻返し",VLOOKUP(F1054&amp;K1054&amp;M1054,製品マスタ!$M$5:$AD$5002,18,FALSE),IF(J1054="リード付け","原反コア",IF(J1054="スリット",VLOOKUP(F1054&amp;K1054&amp;Q1054,製品マスタ!$N$5:$AD$5002,17,FALSE),"")))</f>
        <v>6ｲﾝﾁSｺｱ</v>
      </c>
      <c r="W1054" s="269">
        <f>IF(J1054="巻返し",VLOOKUP(F1054&amp;K1054&amp;M1054,製品マスタ!$M$5:$AE$5002,19,FALSE),IF(J1054="リード付け","-",IF(J1054="スリット",VLOOKUP(F1054&amp;K1054&amp;Q1054,製品マスタ!$N$5:$AE$5002,18,FALSE),"")))</f>
        <v>1055</v>
      </c>
      <c r="X1054" s="275">
        <f>IF(D1054="","",VLOOKUP(D1054,契約台帳!$A$3:$Q$4986,17,FALSE))</f>
        <v>2</v>
      </c>
      <c r="Y1054" s="269" t="str">
        <f>IF(D1054="","",VLOOKUP(D1054,契約台帳!$A$3:$E$4986,5,FALSE))</f>
        <v>リンテック㈱</v>
      </c>
      <c r="Z1054" s="357">
        <v>45272</v>
      </c>
      <c r="AA1054" s="207"/>
      <c r="AB1054" s="369"/>
      <c r="AC1054" s="370"/>
      <c r="AD1054" s="332" t="str">
        <f>IF(F1054="","",+F1054&amp;K1054)</f>
        <v>3SNMLBMNGKBF25</v>
      </c>
      <c r="AE1054" s="216">
        <f>+M1054*N1054*O1054/1000</f>
        <v>8400</v>
      </c>
      <c r="AF1054" s="43" t="e">
        <f>IF(AD1054="","",VLOOKUP(AD1054,原価マスタ!$A$2:$AJ$1693,13,FALSE))</f>
        <v>#N/A</v>
      </c>
      <c r="AG1054" s="47" t="e">
        <f>IF(AF1054="","",+AE1054*AF1054/100)</f>
        <v>#N/A</v>
      </c>
      <c r="AH1054" s="30"/>
      <c r="AI1054" s="30"/>
      <c r="AJ1054" s="30"/>
      <c r="AK1054" s="30"/>
      <c r="AL1054" s="13"/>
      <c r="AM1054" s="13"/>
      <c r="AN1054" s="13"/>
      <c r="AO1054" s="13"/>
      <c r="AP1054" s="13"/>
      <c r="AQ1054" s="14"/>
      <c r="AR1054" s="15"/>
    </row>
    <row r="1055" spans="1:44" s="17" customFormat="1" ht="30.95" hidden="1" customHeight="1" x14ac:dyDescent="0.2">
      <c r="A1055" s="343"/>
      <c r="B1055" s="344"/>
      <c r="C1055" s="345"/>
      <c r="D1055" s="346"/>
      <c r="E1055" s="346"/>
      <c r="F1055" s="268"/>
      <c r="G1055" s="269"/>
      <c r="H1055" s="269"/>
      <c r="I1055" s="270"/>
      <c r="J1055" s="347"/>
      <c r="K1055" s="270"/>
      <c r="L1055" s="270"/>
      <c r="M1055" s="348"/>
      <c r="N1055" s="348"/>
      <c r="O1055" s="349"/>
      <c r="P1055" s="350"/>
      <c r="Q1055" s="276"/>
      <c r="R1055" s="277"/>
      <c r="S1055" s="277"/>
      <c r="T1055" s="351"/>
      <c r="U1055" s="278"/>
      <c r="V1055" s="269"/>
      <c r="W1055" s="269"/>
      <c r="X1055" s="275"/>
      <c r="Y1055" s="269"/>
      <c r="Z1055" s="350"/>
      <c r="AA1055" s="207"/>
      <c r="AB1055" s="352"/>
      <c r="AC1055" s="353"/>
      <c r="AD1055" s="54"/>
      <c r="AE1055" s="354"/>
      <c r="AF1055" s="355"/>
      <c r="AG1055" s="349"/>
      <c r="AH1055" s="30"/>
      <c r="AI1055" s="30"/>
      <c r="AJ1055" s="30"/>
      <c r="AK1055" s="30"/>
      <c r="AL1055" s="13"/>
      <c r="AM1055" s="13"/>
      <c r="AN1055" s="13"/>
      <c r="AO1055" s="13"/>
      <c r="AP1055" s="13"/>
      <c r="AQ1055" s="14"/>
      <c r="AR1055" s="15"/>
    </row>
    <row r="1056" spans="1:44" s="17" customFormat="1" ht="30.95" hidden="1" customHeight="1" x14ac:dyDescent="0.2">
      <c r="A1056" s="343"/>
      <c r="B1056" s="344"/>
      <c r="C1056" s="345"/>
      <c r="D1056" s="398">
        <v>3735111</v>
      </c>
      <c r="E1056" s="31">
        <v>4151545</v>
      </c>
      <c r="F1056" s="268" t="str">
        <f>IF(D1056="","",VLOOKUP(D1056,契約台帳!$A$3:$K$4986,6,FALSE)&amp;VLOOKUP(D1056,契約台帳!$A$3:$K$4986,7,FALSE)&amp;VLOOKUP(D1056,契約台帳!$A$3:$K$4986,8,FALSE)&amp;VLOOKUP(D1056,契約台帳!$A$3:$K$4986,9,FALSE)&amp;VLOOKUP(D1056,契約台帳!$A$3:$K$4986,11,FALSE))</f>
        <v>3SNMLBMNGKBF</v>
      </c>
      <c r="G1056" s="269" t="str">
        <f>IF(D1056="","",VLOOKUP(F1056,製品マスタ!$G$5:$H$5002,2,FALSE))</f>
        <v>S</v>
      </c>
      <c r="H1056" s="269" t="str">
        <f>IF(D1056="","",VLOOKUP(F1056,製品マスタ!$G$5:$K$5002,5,FALSE))</f>
        <v>MNGKBF</v>
      </c>
      <c r="I1056" s="270" t="str">
        <f>IF(D1056="","",VLOOKUP(F1056,製品マスタ!$G$5:$L$5002,6,FALSE))</f>
        <v>メタルミー　ネーマー銀消　Ｂ</v>
      </c>
      <c r="J1056" s="32" t="s">
        <v>447</v>
      </c>
      <c r="K1056" s="270">
        <f>IF(D1056="","",VLOOKUP(D1056,契約台帳!$A$3:$L$4986,12,FALSE))</f>
        <v>50</v>
      </c>
      <c r="L1056" s="270" t="str">
        <f>IF(D1056="","",INDEX(製品マスタ!$Q$5:$Q$5002,MATCH(F1056&amp;K1056,製品マスタ!$AO$5:$AO$5002,0)))</f>
        <v>MAT</v>
      </c>
      <c r="M1056" s="39">
        <v>1050</v>
      </c>
      <c r="N1056" s="39">
        <v>12300</v>
      </c>
      <c r="O1056" s="47">
        <v>1</v>
      </c>
      <c r="P1056" s="57"/>
      <c r="Q1056" s="276">
        <f>IF(D1056="","",IF(J1056="リード付け",M1056,VLOOKUP(D1056,契約台帳!$A$3:$N$4986,14,FALSE)))</f>
        <v>1050</v>
      </c>
      <c r="R1056" s="277">
        <f>IF(D1056="","",IF(J1056="リード付け",M1056,VLOOKUP(D1056,契約台帳!$A$3:$O$4986,15,FALSE)))</f>
        <v>1050</v>
      </c>
      <c r="S1056" s="277">
        <f>IF(D1056="","",IF(J1056="リード付け",N1056,VLOOKUP(D1056,契約台帳!$A$3:$P$4986,16,FALSE)))</f>
        <v>4100</v>
      </c>
      <c r="T1056" s="40">
        <v>3</v>
      </c>
      <c r="U1056" s="278">
        <f ca="1">IF(D1056="","",IF(OFFSET(D1056,-2,0)=D1056,"",VLOOKUP(D1056,契約台帳!$A$3:$R$4986,18,FALSE)))</f>
        <v>3</v>
      </c>
      <c r="V1056" s="269" t="str">
        <f>IF(J1056="巻返し",VLOOKUP(F1056&amp;K1056&amp;M1056,製品マスタ!$M$5:$AD$5002,18,FALSE),IF(J1056="リード付け","原反コア",IF(J1056="スリット",VLOOKUP(F1056&amp;K1056&amp;Q1056,製品マスタ!$N$5:$AD$5002,17,FALSE),"")))</f>
        <v>6ｲﾝﾁSｺｱ</v>
      </c>
      <c r="W1056" s="269">
        <f>IF(J1056="巻返し",VLOOKUP(F1056&amp;K1056&amp;M1056,製品マスタ!$M$5:$AE$5002,19,FALSE),IF(J1056="リード付け","-",IF(J1056="スリット",VLOOKUP(F1056&amp;K1056&amp;Q1056,製品マスタ!$N$5:$AE$5002,18,FALSE),"")))</f>
        <v>1055</v>
      </c>
      <c r="X1056" s="275">
        <f>IF(D1056="","",VLOOKUP(D1056,契約台帳!$A$3:$Q$4986,17,FALSE))</f>
        <v>2</v>
      </c>
      <c r="Y1056" s="269" t="str">
        <f>IF(D1056="","",VLOOKUP(D1056,契約台帳!$A$3:$E$4986,5,FALSE))</f>
        <v>リンテック㈱</v>
      </c>
      <c r="Z1056" s="357">
        <v>45272</v>
      </c>
      <c r="AA1056" s="207"/>
      <c r="AB1056" s="369"/>
      <c r="AC1056" s="370"/>
      <c r="AD1056" s="332" t="str">
        <f>IF(F1056="","",+F1056&amp;K1056)</f>
        <v>3SNMLBMNGKBF50</v>
      </c>
      <c r="AE1056" s="216">
        <f>+M1056*N1056*O1056/1000</f>
        <v>12915</v>
      </c>
      <c r="AF1056" s="43">
        <f>IF(AD1056="","",VLOOKUP(AD1056,原価マスタ!$A$2:$AJ$1693,13,FALSE))</f>
        <v>98</v>
      </c>
      <c r="AG1056" s="47">
        <f>IF(AF1056="","",+AE1056*AF1056/100)</f>
        <v>12656.7</v>
      </c>
      <c r="AH1056" s="30"/>
      <c r="AI1056" s="30"/>
      <c r="AJ1056" s="30"/>
      <c r="AK1056" s="30"/>
      <c r="AL1056" s="13"/>
      <c r="AM1056" s="13"/>
      <c r="AN1056" s="13"/>
      <c r="AO1056" s="13"/>
      <c r="AP1056" s="13"/>
      <c r="AQ1056" s="14"/>
      <c r="AR1056" s="15"/>
    </row>
    <row r="1057" spans="1:44" s="17" customFormat="1" ht="30.95" hidden="1" customHeight="1" x14ac:dyDescent="0.2">
      <c r="A1057" s="343"/>
      <c r="B1057" s="344"/>
      <c r="C1057" s="345"/>
      <c r="D1057" s="346"/>
      <c r="E1057" s="346"/>
      <c r="F1057" s="268"/>
      <c r="G1057" s="269"/>
      <c r="H1057" s="269"/>
      <c r="I1057" s="270"/>
      <c r="J1057" s="347"/>
      <c r="K1057" s="270"/>
      <c r="L1057" s="270"/>
      <c r="M1057" s="348"/>
      <c r="N1057" s="348"/>
      <c r="O1057" s="349"/>
      <c r="P1057" s="350"/>
      <c r="Q1057" s="276"/>
      <c r="R1057" s="277"/>
      <c r="S1057" s="277"/>
      <c r="T1057" s="351"/>
      <c r="U1057" s="278"/>
      <c r="V1057" s="269"/>
      <c r="W1057" s="269"/>
      <c r="X1057" s="275"/>
      <c r="Y1057" s="269"/>
      <c r="Z1057" s="350"/>
      <c r="AA1057" s="207"/>
      <c r="AB1057" s="352"/>
      <c r="AC1057" s="353"/>
      <c r="AD1057" s="54"/>
      <c r="AE1057" s="354"/>
      <c r="AF1057" s="355"/>
      <c r="AG1057" s="349"/>
      <c r="AH1057" s="30"/>
      <c r="AI1057" s="30"/>
      <c r="AJ1057" s="30"/>
      <c r="AK1057" s="30"/>
      <c r="AL1057" s="13"/>
      <c r="AM1057" s="13"/>
      <c r="AN1057" s="13"/>
      <c r="AO1057" s="13"/>
      <c r="AP1057" s="13"/>
      <c r="AQ1057" s="14"/>
      <c r="AR1057" s="15"/>
    </row>
    <row r="1058" spans="1:44" s="17" customFormat="1" ht="30.95" hidden="1" customHeight="1" x14ac:dyDescent="0.2">
      <c r="A1058" s="343"/>
      <c r="B1058" s="344"/>
      <c r="C1058" s="345"/>
      <c r="D1058" s="398">
        <v>3735109</v>
      </c>
      <c r="E1058" s="31">
        <v>4151544</v>
      </c>
      <c r="F1058" s="268" t="str">
        <f>IF(D1058="","",VLOOKUP(D1058,契約台帳!$A$3:$K$4986,6,FALSE)&amp;VLOOKUP(D1058,契約台帳!$A$3:$K$4986,7,FALSE)&amp;VLOOKUP(D1058,契約台帳!$A$3:$K$4986,8,FALSE)&amp;VLOOKUP(D1058,契約台帳!$A$3:$K$4986,9,FALSE)&amp;VLOOKUP(D1058,契約台帳!$A$3:$K$4986,11,FALSE))</f>
        <v>3SNMLBMNGKBF</v>
      </c>
      <c r="G1058" s="269" t="str">
        <f>IF(D1058="","",VLOOKUP(F1058,製品マスタ!$G$5:$H$5002,2,FALSE))</f>
        <v>S</v>
      </c>
      <c r="H1058" s="269" t="str">
        <f>IF(D1058="","",VLOOKUP(F1058,製品マスタ!$G$5:$K$5002,5,FALSE))</f>
        <v>MNGKBF</v>
      </c>
      <c r="I1058" s="270" t="str">
        <f>IF(D1058="","",VLOOKUP(F1058,製品マスタ!$G$5:$L$5002,6,FALSE))</f>
        <v>メタルミー　ネーマー銀消　Ｂ</v>
      </c>
      <c r="J1058" s="32" t="s">
        <v>447</v>
      </c>
      <c r="K1058" s="270">
        <f>IF(D1058="","",VLOOKUP(D1058,契約台帳!$A$3:$L$4986,12,FALSE))</f>
        <v>38</v>
      </c>
      <c r="L1058" s="270" t="str">
        <f>IF(D1058="","",INDEX(製品マスタ!$Q$5:$Q$5002,MATCH(F1058&amp;K1058,製品マスタ!$AO$5:$AO$5002,0)))</f>
        <v>LUMIMAT</v>
      </c>
      <c r="M1058" s="39">
        <v>1005</v>
      </c>
      <c r="N1058" s="39">
        <v>8200</v>
      </c>
      <c r="O1058" s="47">
        <v>1</v>
      </c>
      <c r="P1058" s="57"/>
      <c r="Q1058" s="276">
        <f>IF(D1058="","",IF(J1058="リード付け",M1058,VLOOKUP(D1058,契約台帳!$A$3:$N$4986,14,FALSE)))</f>
        <v>1005</v>
      </c>
      <c r="R1058" s="277">
        <f>IF(D1058="","",IF(J1058="リード付け",M1058,VLOOKUP(D1058,契約台帳!$A$3:$O$4986,15,FALSE)))</f>
        <v>1000</v>
      </c>
      <c r="S1058" s="277">
        <f>IF(D1058="","",IF(J1058="リード付け",N1058,VLOOKUP(D1058,契約台帳!$A$3:$P$4986,16,FALSE)))</f>
        <v>4100</v>
      </c>
      <c r="T1058" s="40">
        <v>2</v>
      </c>
      <c r="U1058" s="278">
        <f ca="1">IF(D1058="","",IF(OFFSET(D1058,-2,0)=D1058,"",VLOOKUP(D1058,契約台帳!$A$3:$R$4986,18,FALSE)))</f>
        <v>2</v>
      </c>
      <c r="V1058" s="269" t="str">
        <f>IF(J1058="巻返し",VLOOKUP(F1058&amp;K1058&amp;M1058,製品マスタ!$M$5:$AD$5002,18,FALSE),IF(J1058="リード付け","原反コア",IF(J1058="スリット",VLOOKUP(F1058&amp;K1058&amp;Q1058,製品マスタ!$N$5:$AD$5002,17,FALSE),"")))</f>
        <v>6ｲﾝﾁSｺｱ</v>
      </c>
      <c r="W1058" s="269">
        <f>IF(J1058="巻返し",VLOOKUP(F1058&amp;K1058&amp;M1058,製品マスタ!$M$5:$AE$5002,19,FALSE),IF(J1058="リード付け","-",IF(J1058="スリット",VLOOKUP(F1058&amp;K1058&amp;Q1058,製品マスタ!$N$5:$AE$5002,18,FALSE),"")))</f>
        <v>1015</v>
      </c>
      <c r="X1058" s="275">
        <f>IF(D1058="","",VLOOKUP(D1058,契約台帳!$A$3:$Q$4986,17,FALSE))</f>
        <v>2</v>
      </c>
      <c r="Y1058" s="269" t="str">
        <f>IF(D1058="","",VLOOKUP(D1058,契約台帳!$A$3:$E$4986,5,FALSE))</f>
        <v>リンテック㈱</v>
      </c>
      <c r="Z1058" s="357">
        <v>45272</v>
      </c>
      <c r="AA1058" s="207"/>
      <c r="AB1058" s="369"/>
      <c r="AC1058" s="370"/>
      <c r="AD1058" s="332" t="str">
        <f>IF(F1058="","",+F1058&amp;K1058)</f>
        <v>3SNMLBMNGKBF38</v>
      </c>
      <c r="AE1058" s="216">
        <f>+M1058*N1058*O1058/1000</f>
        <v>8241</v>
      </c>
      <c r="AF1058" s="43">
        <f>IF(AD1058="","",VLOOKUP(AD1058,原価マスタ!$A$2:$AJ$1693,13,FALSE))</f>
        <v>97.2</v>
      </c>
      <c r="AG1058" s="47">
        <f>IF(AF1058="","",+AE1058*AF1058/100)</f>
        <v>8010.2520000000004</v>
      </c>
      <c r="AH1058" s="30"/>
      <c r="AI1058" s="30"/>
      <c r="AJ1058" s="30"/>
      <c r="AK1058" s="30"/>
      <c r="AL1058" s="13"/>
      <c r="AM1058" s="13"/>
      <c r="AN1058" s="13"/>
      <c r="AO1058" s="13"/>
      <c r="AP1058" s="13"/>
      <c r="AQ1058" s="14"/>
      <c r="AR1058" s="15"/>
    </row>
    <row r="1059" spans="1:44" s="17" customFormat="1" ht="30.95" hidden="1" customHeight="1" x14ac:dyDescent="0.2">
      <c r="A1059" s="343"/>
      <c r="B1059" s="344"/>
      <c r="C1059" s="345"/>
      <c r="D1059" s="346"/>
      <c r="E1059" s="346"/>
      <c r="F1059" s="268"/>
      <c r="G1059" s="269"/>
      <c r="H1059" s="269"/>
      <c r="I1059" s="270"/>
      <c r="J1059" s="347"/>
      <c r="K1059" s="270"/>
      <c r="L1059" s="270"/>
      <c r="M1059" s="348"/>
      <c r="N1059" s="348"/>
      <c r="O1059" s="349"/>
      <c r="P1059" s="350"/>
      <c r="Q1059" s="276"/>
      <c r="R1059" s="277"/>
      <c r="S1059" s="277"/>
      <c r="T1059" s="351"/>
      <c r="U1059" s="278"/>
      <c r="V1059" s="269"/>
      <c r="W1059" s="269"/>
      <c r="X1059" s="275"/>
      <c r="Y1059" s="269"/>
      <c r="Z1059" s="350"/>
      <c r="AA1059" s="207"/>
      <c r="AB1059" s="352"/>
      <c r="AC1059" s="353"/>
      <c r="AD1059" s="54"/>
      <c r="AE1059" s="354"/>
      <c r="AF1059" s="355"/>
      <c r="AG1059" s="349"/>
      <c r="AH1059" s="30"/>
      <c r="AI1059" s="30"/>
      <c r="AJ1059" s="30"/>
      <c r="AK1059" s="30"/>
      <c r="AL1059" s="13"/>
      <c r="AM1059" s="13"/>
      <c r="AN1059" s="13"/>
      <c r="AO1059" s="13"/>
      <c r="AP1059" s="13"/>
      <c r="AQ1059" s="14"/>
      <c r="AR1059" s="15"/>
    </row>
    <row r="1060" spans="1:44" s="17" customFormat="1" ht="30.95" hidden="1" customHeight="1" x14ac:dyDescent="0.2">
      <c r="A1060" s="343" t="s">
        <v>1839</v>
      </c>
      <c r="B1060" s="344" t="s">
        <v>1397</v>
      </c>
      <c r="C1060" s="345"/>
      <c r="D1060" s="346"/>
      <c r="E1060" s="346"/>
      <c r="F1060" s="268"/>
      <c r="G1060" s="269"/>
      <c r="H1060" s="269"/>
      <c r="I1060" s="270"/>
      <c r="J1060" s="364" t="s">
        <v>448</v>
      </c>
      <c r="K1060" s="270"/>
      <c r="L1060" s="270"/>
      <c r="M1060" s="348"/>
      <c r="N1060" s="348"/>
      <c r="O1060" s="349"/>
      <c r="P1060" s="350"/>
      <c r="Q1060" s="276"/>
      <c r="R1060" s="277"/>
      <c r="S1060" s="277"/>
      <c r="T1060" s="351"/>
      <c r="U1060" s="278"/>
      <c r="V1060" s="269"/>
      <c r="W1060" s="269"/>
      <c r="X1060" s="275"/>
      <c r="Y1060" s="269"/>
      <c r="Z1060" s="350"/>
      <c r="AA1060" s="207"/>
      <c r="AB1060" s="352"/>
      <c r="AC1060" s="353"/>
      <c r="AD1060" s="54"/>
      <c r="AE1060" s="354"/>
      <c r="AF1060" s="355"/>
      <c r="AG1060" s="349"/>
      <c r="AH1060" s="30"/>
      <c r="AI1060" s="30"/>
      <c r="AJ1060" s="30"/>
      <c r="AK1060" s="30"/>
      <c r="AL1060" s="13"/>
      <c r="AM1060" s="13"/>
      <c r="AN1060" s="13"/>
      <c r="AO1060" s="13"/>
      <c r="AP1060" s="13"/>
      <c r="AQ1060" s="14"/>
      <c r="AR1060" s="15"/>
    </row>
    <row r="1061" spans="1:44" s="17" customFormat="1" ht="30.95" hidden="1" customHeight="1" x14ac:dyDescent="0.2">
      <c r="A1061" s="343"/>
      <c r="B1061" s="344"/>
      <c r="C1061" s="345"/>
      <c r="D1061" s="346"/>
      <c r="E1061" s="346"/>
      <c r="F1061" s="268"/>
      <c r="G1061" s="269"/>
      <c r="H1061" s="269"/>
      <c r="I1061" s="270"/>
      <c r="J1061" s="364"/>
      <c r="K1061" s="270"/>
      <c r="L1061" s="270"/>
      <c r="M1061" s="348"/>
      <c r="N1061" s="348"/>
      <c r="O1061" s="349"/>
      <c r="P1061" s="350"/>
      <c r="Q1061" s="276"/>
      <c r="R1061" s="277"/>
      <c r="S1061" s="277"/>
      <c r="T1061" s="351"/>
      <c r="U1061" s="278"/>
      <c r="V1061" s="269"/>
      <c r="W1061" s="269"/>
      <c r="X1061" s="275"/>
      <c r="Y1061" s="269"/>
      <c r="Z1061" s="350"/>
      <c r="AA1061" s="207"/>
      <c r="AB1061" s="352"/>
      <c r="AC1061" s="353"/>
      <c r="AD1061" s="54"/>
      <c r="AE1061" s="354"/>
      <c r="AF1061" s="355"/>
      <c r="AG1061" s="349"/>
      <c r="AH1061" s="30"/>
      <c r="AI1061" s="30"/>
      <c r="AJ1061" s="30"/>
      <c r="AK1061" s="30"/>
      <c r="AL1061" s="13"/>
      <c r="AM1061" s="13"/>
      <c r="AN1061" s="13"/>
      <c r="AO1061" s="13"/>
      <c r="AP1061" s="13"/>
      <c r="AQ1061" s="14"/>
      <c r="AR1061" s="15"/>
    </row>
    <row r="1062" spans="1:44" s="17" customFormat="1" ht="30.95" hidden="1" customHeight="1" x14ac:dyDescent="0.2">
      <c r="A1062" s="343" t="s">
        <v>1840</v>
      </c>
      <c r="B1062" s="344" t="s">
        <v>392</v>
      </c>
      <c r="C1062" s="345"/>
      <c r="D1062" s="346"/>
      <c r="E1062" s="346"/>
      <c r="F1062" s="268"/>
      <c r="G1062" s="269"/>
      <c r="H1062" s="269"/>
      <c r="I1062" s="270"/>
      <c r="J1062" s="364" t="s">
        <v>448</v>
      </c>
      <c r="K1062" s="270"/>
      <c r="L1062" s="270"/>
      <c r="M1062" s="348"/>
      <c r="N1062" s="348"/>
      <c r="O1062" s="349"/>
      <c r="P1062" s="350"/>
      <c r="Q1062" s="276"/>
      <c r="R1062" s="277"/>
      <c r="S1062" s="277"/>
      <c r="T1062" s="351"/>
      <c r="U1062" s="278"/>
      <c r="V1062" s="269"/>
      <c r="W1062" s="269"/>
      <c r="X1062" s="275"/>
      <c r="Y1062" s="269"/>
      <c r="Z1062" s="350"/>
      <c r="AA1062" s="207"/>
      <c r="AB1062" s="352"/>
      <c r="AC1062" s="353"/>
      <c r="AD1062" s="54"/>
      <c r="AE1062" s="354"/>
      <c r="AF1062" s="355"/>
      <c r="AG1062" s="349"/>
      <c r="AH1062" s="30"/>
      <c r="AI1062" s="30"/>
      <c r="AJ1062" s="30"/>
      <c r="AK1062" s="30"/>
      <c r="AL1062" s="13"/>
      <c r="AM1062" s="13"/>
      <c r="AN1062" s="13"/>
      <c r="AO1062" s="13"/>
      <c r="AP1062" s="13"/>
      <c r="AQ1062" s="14"/>
      <c r="AR1062" s="15"/>
    </row>
    <row r="1063" spans="1:44" s="17" customFormat="1" ht="30.95" hidden="1" customHeight="1" x14ac:dyDescent="0.2">
      <c r="A1063" s="343"/>
      <c r="B1063" s="344"/>
      <c r="C1063" s="345"/>
      <c r="D1063" s="346"/>
      <c r="E1063" s="346"/>
      <c r="F1063" s="268"/>
      <c r="G1063" s="269"/>
      <c r="H1063" s="269"/>
      <c r="I1063" s="270"/>
      <c r="J1063" s="347"/>
      <c r="K1063" s="270"/>
      <c r="L1063" s="270"/>
      <c r="M1063" s="348"/>
      <c r="N1063" s="348"/>
      <c r="O1063" s="349"/>
      <c r="P1063" s="350"/>
      <c r="Q1063" s="276"/>
      <c r="R1063" s="277"/>
      <c r="S1063" s="277"/>
      <c r="T1063" s="351"/>
      <c r="U1063" s="278"/>
      <c r="V1063" s="269"/>
      <c r="W1063" s="269"/>
      <c r="X1063" s="275"/>
      <c r="Y1063" s="269"/>
      <c r="Z1063" s="350"/>
      <c r="AA1063" s="207"/>
      <c r="AB1063" s="352"/>
      <c r="AC1063" s="353"/>
      <c r="AD1063" s="54"/>
      <c r="AE1063" s="354"/>
      <c r="AF1063" s="355"/>
      <c r="AG1063" s="349"/>
      <c r="AH1063" s="30"/>
      <c r="AI1063" s="30"/>
      <c r="AJ1063" s="30"/>
      <c r="AK1063" s="30"/>
      <c r="AL1063" s="13"/>
      <c r="AM1063" s="13"/>
      <c r="AN1063" s="13"/>
      <c r="AO1063" s="13"/>
      <c r="AP1063" s="13"/>
      <c r="AQ1063" s="14"/>
      <c r="AR1063" s="15"/>
    </row>
    <row r="1064" spans="1:44" s="17" customFormat="1" ht="30.95" hidden="1" customHeight="1" x14ac:dyDescent="0.2">
      <c r="A1064" s="343" t="s">
        <v>1843</v>
      </c>
      <c r="B1064" s="344" t="s">
        <v>1835</v>
      </c>
      <c r="C1064" s="345"/>
      <c r="D1064" s="398">
        <v>3735120</v>
      </c>
      <c r="E1064" s="31">
        <v>4151563</v>
      </c>
      <c r="F1064" s="268" t="str">
        <f>IF(D1064="","",VLOOKUP(D1064,契約台帳!$A$3:$K$4986,6,FALSE)&amp;VLOOKUP(D1064,契約台帳!$A$3:$K$4986,7,FALSE)&amp;VLOOKUP(D1064,契約台帳!$A$3:$K$4986,8,FALSE)&amp;VLOOKUP(D1064,契約台帳!$A$3:$K$4986,9,FALSE)&amp;VLOOKUP(D1064,契約台帳!$A$3:$K$4986,11,FALSE))</f>
        <v>3SNMLBMNNGKBF</v>
      </c>
      <c r="G1064" s="269" t="str">
        <f>IF(D1064="","",VLOOKUP(F1064,製品マスタ!$G$5:$H$5002,2,FALSE))</f>
        <v>S</v>
      </c>
      <c r="H1064" s="269" t="str">
        <f>IF(D1064="","",VLOOKUP(F1064,製品マスタ!$G$5:$K$5002,5,FALSE))</f>
        <v>MNNGKBF</v>
      </c>
      <c r="I1064" s="270" t="str">
        <f>IF(D1064="","",VLOOKUP(F1064,製品マスタ!$G$5:$L$5002,6,FALSE))</f>
        <v>メタルミー　ニューネーマー銀消　Ｂ</v>
      </c>
      <c r="J1064" s="32" t="s">
        <v>447</v>
      </c>
      <c r="K1064" s="270">
        <f>IF(D1064="","",VLOOKUP(D1064,契約台帳!$A$3:$L$4986,12,FALSE))</f>
        <v>25</v>
      </c>
      <c r="L1064" s="270" t="str">
        <f>IF(D1064="","",INDEX(製品マスタ!$Q$5:$Q$5002,MATCH(F1064&amp;K1064,製品マスタ!$AO$5:$AO$5002,0)))</f>
        <v>X44C</v>
      </c>
      <c r="M1064" s="39">
        <v>1005</v>
      </c>
      <c r="N1064" s="39">
        <v>16000</v>
      </c>
      <c r="O1064" s="47">
        <v>1</v>
      </c>
      <c r="P1064" s="57"/>
      <c r="Q1064" s="276">
        <f>IF(D1064="","",IF(J1064="リード付け",M1064,VLOOKUP(D1064,契約台帳!$A$3:$N$4986,14,FALSE)))</f>
        <v>1005</v>
      </c>
      <c r="R1064" s="277">
        <f>IF(D1064="","",IF(J1064="リード付け",M1064,VLOOKUP(D1064,契約台帳!$A$3:$O$4986,15,FALSE)))</f>
        <v>1000</v>
      </c>
      <c r="S1064" s="277">
        <f>IF(D1064="","",IF(J1064="リード付け",N1064,VLOOKUP(D1064,契約台帳!$A$3:$P$4986,16,FALSE)))</f>
        <v>4000</v>
      </c>
      <c r="T1064" s="40">
        <v>4</v>
      </c>
      <c r="U1064" s="278">
        <f ca="1">IF(D1064="","",IF(OFFSET(D1064,-2,0)=D1064,"",VLOOKUP(D1064,契約台帳!$A$3:$R$4986,18,FALSE)))</f>
        <v>4</v>
      </c>
      <c r="V1064" s="269" t="str">
        <f>IF(J1064="巻返し",VLOOKUP(F1064&amp;K1064&amp;M1064,製品マスタ!$M$5:$AD$5002,18,FALSE),IF(J1064="リード付け","原反コア",IF(J1064="スリット",VLOOKUP(F1064&amp;K1064&amp;Q1064,製品マスタ!$N$5:$AD$5002,17,FALSE),"")))</f>
        <v>6ｲﾝﾁSｺｱ</v>
      </c>
      <c r="W1064" s="269">
        <f>IF(J1064="巻返し",VLOOKUP(F1064&amp;K1064&amp;M1064,製品マスタ!$M$5:$AE$5002,19,FALSE),IF(J1064="リード付け","-",IF(J1064="スリット",VLOOKUP(F1064&amp;K1064&amp;Q1064,製品マスタ!$N$5:$AE$5002,18,FALSE),"")))</f>
        <v>1015</v>
      </c>
      <c r="X1064" s="275">
        <f>IF(D1064="","",VLOOKUP(D1064,契約台帳!$A$3:$Q$4986,17,FALSE))</f>
        <v>2</v>
      </c>
      <c r="Y1064" s="269" t="str">
        <f>IF(D1064="","",VLOOKUP(D1064,契約台帳!$A$3:$E$4986,5,FALSE))</f>
        <v>リンテック㈱</v>
      </c>
      <c r="Z1064" s="357">
        <v>45274</v>
      </c>
      <c r="AA1064" s="207"/>
      <c r="AB1064" s="369"/>
      <c r="AC1064" s="370"/>
      <c r="AD1064" s="332" t="str">
        <f>IF(F1064="","",+F1064&amp;K1064)</f>
        <v>3SNMLBMNNGKBF25</v>
      </c>
      <c r="AE1064" s="216">
        <f>+M1064*N1064*O1064/1000</f>
        <v>16080</v>
      </c>
      <c r="AF1064" s="43">
        <f>IF(AD1064="","",VLOOKUP(AD1064,原価マスタ!$A$2:$AJ$1693,13,FALSE))</f>
        <v>98.3</v>
      </c>
      <c r="AG1064" s="47">
        <f>IF(AF1064="","",+AE1064*AF1064/100)</f>
        <v>15806.64</v>
      </c>
      <c r="AH1064" s="30"/>
      <c r="AI1064" s="30"/>
      <c r="AJ1064" s="30"/>
      <c r="AK1064" s="30"/>
      <c r="AL1064" s="13"/>
      <c r="AM1064" s="13"/>
      <c r="AN1064" s="13"/>
      <c r="AO1064" s="13"/>
      <c r="AP1064" s="13"/>
      <c r="AQ1064" s="14"/>
      <c r="AR1064" s="15"/>
    </row>
    <row r="1065" spans="1:44" s="17" customFormat="1" ht="30.95" hidden="1" customHeight="1" x14ac:dyDescent="0.2">
      <c r="A1065" s="343"/>
      <c r="B1065" s="344"/>
      <c r="C1065" s="345"/>
      <c r="D1065" s="346"/>
      <c r="E1065" s="346"/>
      <c r="F1065" s="268"/>
      <c r="G1065" s="269"/>
      <c r="H1065" s="269"/>
      <c r="I1065" s="270"/>
      <c r="J1065" s="347"/>
      <c r="K1065" s="270"/>
      <c r="L1065" s="270"/>
      <c r="M1065" s="348"/>
      <c r="N1065" s="348"/>
      <c r="O1065" s="349"/>
      <c r="P1065" s="350"/>
      <c r="Q1065" s="276"/>
      <c r="R1065" s="277"/>
      <c r="S1065" s="277"/>
      <c r="T1065" s="351"/>
      <c r="U1065" s="278"/>
      <c r="V1065" s="269"/>
      <c r="W1065" s="269"/>
      <c r="X1065" s="275"/>
      <c r="Y1065" s="269"/>
      <c r="Z1065" s="350"/>
      <c r="AA1065" s="207"/>
      <c r="AB1065" s="352"/>
      <c r="AC1065" s="353"/>
      <c r="AD1065" s="54"/>
      <c r="AE1065" s="354"/>
      <c r="AF1065" s="355"/>
      <c r="AG1065" s="349"/>
      <c r="AH1065" s="30"/>
      <c r="AI1065" s="30"/>
      <c r="AJ1065" s="30"/>
      <c r="AK1065" s="30"/>
      <c r="AL1065" s="13"/>
      <c r="AM1065" s="13"/>
      <c r="AN1065" s="13"/>
      <c r="AO1065" s="13"/>
      <c r="AP1065" s="13"/>
      <c r="AQ1065" s="14"/>
      <c r="AR1065" s="15"/>
    </row>
    <row r="1066" spans="1:44" s="17" customFormat="1" ht="30.95" hidden="1" customHeight="1" x14ac:dyDescent="0.2">
      <c r="A1066" s="343"/>
      <c r="B1066" s="344"/>
      <c r="C1066" s="345"/>
      <c r="D1066" s="398">
        <v>3735121</v>
      </c>
      <c r="E1066" s="31">
        <v>4151555</v>
      </c>
      <c r="F1066" s="268" t="str">
        <f>IF(D1066="","",VLOOKUP(D1066,契約台帳!$A$3:$K$4986,6,FALSE)&amp;VLOOKUP(D1066,契約台帳!$A$3:$K$4986,7,FALSE)&amp;VLOOKUP(D1066,契約台帳!$A$3:$K$4986,8,FALSE)&amp;VLOOKUP(D1066,契約台帳!$A$3:$K$4986,9,FALSE)&amp;VLOOKUP(D1066,契約台帳!$A$3:$K$4986,11,FALSE))</f>
        <v>3SNMLBMNNGKBF</v>
      </c>
      <c r="G1066" s="269" t="str">
        <f>IF(D1066="","",VLOOKUP(F1066,製品マスタ!$G$5:$H$5002,2,FALSE))</f>
        <v>S</v>
      </c>
      <c r="H1066" s="269" t="str">
        <f>IF(D1066="","",VLOOKUP(F1066,製品マスタ!$G$5:$K$5002,5,FALSE))</f>
        <v>MNNGKBF</v>
      </c>
      <c r="I1066" s="270" t="str">
        <f>IF(D1066="","",VLOOKUP(F1066,製品マスタ!$G$5:$L$5002,6,FALSE))</f>
        <v>メタルミー　ニューネーマー銀消　Ｂ</v>
      </c>
      <c r="J1066" s="32" t="s">
        <v>447</v>
      </c>
      <c r="K1066" s="270">
        <f>IF(D1066="","",VLOOKUP(D1066,契約台帳!$A$3:$L$4986,12,FALSE))</f>
        <v>50</v>
      </c>
      <c r="L1066" s="270" t="str">
        <f>IF(D1066="","",INDEX(製品マスタ!$Q$5:$Q$5002,MATCH(F1066&amp;K1066,製品マスタ!$AO$5:$AO$5002,0)))</f>
        <v>X44</v>
      </c>
      <c r="M1066" s="39">
        <v>1000</v>
      </c>
      <c r="N1066" s="39">
        <v>12000</v>
      </c>
      <c r="O1066" s="47">
        <v>2</v>
      </c>
      <c r="P1066" s="57"/>
      <c r="Q1066" s="276">
        <f>IF(D1066="","",IF(J1066="リード付け",M1066,VLOOKUP(D1066,契約台帳!$A$3:$N$4986,14,FALSE)))</f>
        <v>1000</v>
      </c>
      <c r="R1066" s="277">
        <f>IF(D1066="","",IF(J1066="リード付け",M1066,VLOOKUP(D1066,契約台帳!$A$3:$O$4986,15,FALSE)))</f>
        <v>1000</v>
      </c>
      <c r="S1066" s="277">
        <f>IF(D1066="","",IF(J1066="リード付け",N1066,VLOOKUP(D1066,契約台帳!$A$3:$P$4986,16,FALSE)))</f>
        <v>4000</v>
      </c>
      <c r="T1066" s="40">
        <v>6</v>
      </c>
      <c r="U1066" s="278">
        <f ca="1">IF(D1066="","",IF(OFFSET(D1066,-2,0)=D1066,"",VLOOKUP(D1066,契約台帳!$A$3:$R$4986,18,FALSE)))</f>
        <v>10</v>
      </c>
      <c r="V1066" s="269" t="str">
        <f>IF(J1066="巻返し",VLOOKUP(F1066&amp;K1066&amp;M1066,製品マスタ!$M$5:$AD$5002,18,FALSE),IF(J1066="リード付け","原反コア",IF(J1066="スリット",VLOOKUP(F1066&amp;K1066&amp;Q1066,製品マスタ!$N$5:$AD$5002,17,FALSE),"")))</f>
        <v>6ｲﾝﾁSｺｱ</v>
      </c>
      <c r="W1066" s="269">
        <f>IF(J1066="巻返し",VLOOKUP(F1066&amp;K1066&amp;M1066,製品マスタ!$M$5:$AE$5002,19,FALSE),IF(J1066="リード付け","-",IF(J1066="スリット",VLOOKUP(F1066&amp;K1066&amp;Q1066,製品マスタ!$N$5:$AE$5002,18,FALSE),"")))</f>
        <v>1005</v>
      </c>
      <c r="X1066" s="275">
        <f>IF(D1066="","",VLOOKUP(D1066,契約台帳!$A$3:$Q$4986,17,FALSE))</f>
        <v>2</v>
      </c>
      <c r="Y1066" s="269" t="str">
        <f>IF(D1066="","",VLOOKUP(D1066,契約台帳!$A$3:$E$4986,5,FALSE))</f>
        <v>リンテック㈱</v>
      </c>
      <c r="Z1066" s="357">
        <v>45274</v>
      </c>
      <c r="AA1066" s="207"/>
      <c r="AB1066" s="369"/>
      <c r="AC1066" s="370"/>
      <c r="AD1066" s="332" t="str">
        <f>IF(F1066="","",+F1066&amp;K1066)</f>
        <v>3SNMLBMNNGKBF50</v>
      </c>
      <c r="AE1066" s="216">
        <f>+M1066*N1066*O1066/1000</f>
        <v>24000</v>
      </c>
      <c r="AF1066" s="43">
        <f>IF(AD1066="","",VLOOKUP(AD1066,原価マスタ!$A$2:$AJ$1693,13,FALSE))</f>
        <v>99</v>
      </c>
      <c r="AG1066" s="47">
        <f>IF(AF1066="","",+AE1066*AF1066/100)</f>
        <v>23760</v>
      </c>
      <c r="AH1066" s="30"/>
      <c r="AI1066" s="30"/>
      <c r="AJ1066" s="30"/>
      <c r="AK1066" s="30"/>
      <c r="AL1066" s="13"/>
      <c r="AM1066" s="13"/>
      <c r="AN1066" s="13"/>
      <c r="AO1066" s="13"/>
      <c r="AP1066" s="13"/>
      <c r="AQ1066" s="14"/>
      <c r="AR1066" s="15"/>
    </row>
    <row r="1067" spans="1:44" s="17" customFormat="1" ht="30.95" hidden="1" customHeight="1" x14ac:dyDescent="0.2">
      <c r="A1067" s="343"/>
      <c r="B1067" s="344"/>
      <c r="C1067" s="345"/>
      <c r="D1067" s="346"/>
      <c r="E1067" s="346"/>
      <c r="F1067" s="268"/>
      <c r="G1067" s="269"/>
      <c r="H1067" s="269"/>
      <c r="I1067" s="270"/>
      <c r="J1067" s="347"/>
      <c r="K1067" s="270"/>
      <c r="L1067" s="270"/>
      <c r="M1067" s="348"/>
      <c r="N1067" s="348"/>
      <c r="O1067" s="349"/>
      <c r="P1067" s="350"/>
      <c r="Q1067" s="276"/>
      <c r="R1067" s="277"/>
      <c r="S1067" s="277"/>
      <c r="T1067" s="351"/>
      <c r="U1067" s="278"/>
      <c r="V1067" s="269"/>
      <c r="W1067" s="269"/>
      <c r="X1067" s="275"/>
      <c r="Y1067" s="269"/>
      <c r="Z1067" s="350"/>
      <c r="AA1067" s="207"/>
      <c r="AB1067" s="352"/>
      <c r="AC1067" s="353"/>
      <c r="AD1067" s="54"/>
      <c r="AE1067" s="354"/>
      <c r="AF1067" s="355"/>
      <c r="AG1067" s="349"/>
      <c r="AH1067" s="30"/>
      <c r="AI1067" s="30"/>
      <c r="AJ1067" s="30"/>
      <c r="AK1067" s="30"/>
      <c r="AL1067" s="13"/>
      <c r="AM1067" s="13"/>
      <c r="AN1067" s="13"/>
      <c r="AO1067" s="13"/>
      <c r="AP1067" s="13"/>
      <c r="AQ1067" s="14"/>
      <c r="AR1067" s="15"/>
    </row>
    <row r="1068" spans="1:44" s="17" customFormat="1" ht="30.95" hidden="1" customHeight="1" x14ac:dyDescent="0.2">
      <c r="A1068" s="343"/>
      <c r="B1068" s="344"/>
      <c r="C1068" s="345"/>
      <c r="D1068" s="398">
        <v>3735121</v>
      </c>
      <c r="E1068" s="31">
        <v>4151555</v>
      </c>
      <c r="F1068" s="268" t="str">
        <f>IF(D1068="","",VLOOKUP(D1068,契約台帳!$A$3:$K$4986,6,FALSE)&amp;VLOOKUP(D1068,契約台帳!$A$3:$K$4986,7,FALSE)&amp;VLOOKUP(D1068,契約台帳!$A$3:$K$4986,8,FALSE)&amp;VLOOKUP(D1068,契約台帳!$A$3:$K$4986,9,FALSE)&amp;VLOOKUP(D1068,契約台帳!$A$3:$K$4986,11,FALSE))</f>
        <v>3SNMLBMNNGKBF</v>
      </c>
      <c r="G1068" s="269" t="str">
        <f>IF(D1068="","",VLOOKUP(F1068,製品マスタ!$G$5:$H$5002,2,FALSE))</f>
        <v>S</v>
      </c>
      <c r="H1068" s="269" t="str">
        <f>IF(D1068="","",VLOOKUP(F1068,製品マスタ!$G$5:$K$5002,5,FALSE))</f>
        <v>MNNGKBF</v>
      </c>
      <c r="I1068" s="270" t="str">
        <f>IF(D1068="","",VLOOKUP(F1068,製品マスタ!$G$5:$L$5002,6,FALSE))</f>
        <v>メタルミー　ニューネーマー銀消　Ｂ</v>
      </c>
      <c r="J1068" s="32" t="s">
        <v>447</v>
      </c>
      <c r="K1068" s="270">
        <f>IF(D1068="","",VLOOKUP(D1068,契約台帳!$A$3:$L$4986,12,FALSE))</f>
        <v>50</v>
      </c>
      <c r="L1068" s="270" t="str">
        <f>IF(D1068="","",INDEX(製品マスタ!$Q$5:$Q$5002,MATCH(F1068&amp;K1068,製品マスタ!$AO$5:$AO$5002,0)))</f>
        <v>X44</v>
      </c>
      <c r="M1068" s="39">
        <v>1000</v>
      </c>
      <c r="N1068" s="39">
        <v>8000</v>
      </c>
      <c r="O1068" s="47">
        <v>2</v>
      </c>
      <c r="P1068" s="57"/>
      <c r="Q1068" s="276">
        <f>IF(D1068="","",IF(J1068="リード付け",M1068,VLOOKUP(D1068,契約台帳!$A$3:$N$4986,14,FALSE)))</f>
        <v>1000</v>
      </c>
      <c r="R1068" s="277">
        <f>IF(D1068="","",IF(J1068="リード付け",M1068,VLOOKUP(D1068,契約台帳!$A$3:$O$4986,15,FALSE)))</f>
        <v>1000</v>
      </c>
      <c r="S1068" s="277">
        <f>IF(D1068="","",IF(J1068="リード付け",N1068,VLOOKUP(D1068,契約台帳!$A$3:$P$4986,16,FALSE)))</f>
        <v>4000</v>
      </c>
      <c r="T1068" s="40">
        <v>4</v>
      </c>
      <c r="U1068" s="278" t="str">
        <f ca="1">IF(D1068="","",IF(OFFSET(D1068,-2,0)=D1068,"",VLOOKUP(D1068,契約台帳!$A$3:$R$4986,18,FALSE)))</f>
        <v/>
      </c>
      <c r="V1068" s="269" t="str">
        <f>IF(J1068="巻返し",VLOOKUP(F1068&amp;K1068&amp;M1068,製品マスタ!$M$5:$AD$5002,18,FALSE),IF(J1068="リード付け","原反コア",IF(J1068="スリット",VLOOKUP(F1068&amp;K1068&amp;Q1068,製品マスタ!$N$5:$AD$5002,17,FALSE),"")))</f>
        <v>6ｲﾝﾁSｺｱ</v>
      </c>
      <c r="W1068" s="269">
        <f>IF(J1068="巻返し",VLOOKUP(F1068&amp;K1068&amp;M1068,製品マスタ!$M$5:$AE$5002,19,FALSE),IF(J1068="リード付け","-",IF(J1068="スリット",VLOOKUP(F1068&amp;K1068&amp;Q1068,製品マスタ!$N$5:$AE$5002,18,FALSE),"")))</f>
        <v>1005</v>
      </c>
      <c r="X1068" s="275">
        <f>IF(D1068="","",VLOOKUP(D1068,契約台帳!$A$3:$Q$4986,17,FALSE))</f>
        <v>2</v>
      </c>
      <c r="Y1068" s="269" t="str">
        <f>IF(D1068="","",VLOOKUP(D1068,契約台帳!$A$3:$E$4986,5,FALSE))</f>
        <v>リンテック㈱</v>
      </c>
      <c r="Z1068" s="357">
        <v>45274</v>
      </c>
      <c r="AA1068" s="207"/>
      <c r="AB1068" s="369"/>
      <c r="AC1068" s="370"/>
      <c r="AD1068" s="332" t="str">
        <f>IF(F1068="","",+F1068&amp;K1068)</f>
        <v>3SNMLBMNNGKBF50</v>
      </c>
      <c r="AE1068" s="216">
        <f>+M1068*N1068*O1068/1000</f>
        <v>16000</v>
      </c>
      <c r="AF1068" s="43">
        <f>IF(AD1068="","",VLOOKUP(AD1068,原価マスタ!$A$2:$AJ$1693,13,FALSE))</f>
        <v>99</v>
      </c>
      <c r="AG1068" s="47">
        <f>IF(AF1068="","",+AE1068*AF1068/100)</f>
        <v>15840</v>
      </c>
      <c r="AH1068" s="30"/>
      <c r="AI1068" s="30"/>
      <c r="AJ1068" s="30"/>
      <c r="AK1068" s="30"/>
      <c r="AL1068" s="13"/>
      <c r="AM1068" s="13"/>
      <c r="AN1068" s="13"/>
      <c r="AO1068" s="13"/>
      <c r="AP1068" s="13"/>
      <c r="AQ1068" s="14"/>
      <c r="AR1068" s="15"/>
    </row>
    <row r="1069" spans="1:44" s="17" customFormat="1" ht="30.95" hidden="1" customHeight="1" x14ac:dyDescent="0.2">
      <c r="A1069" s="343"/>
      <c r="B1069" s="344"/>
      <c r="C1069" s="345"/>
      <c r="D1069" s="346"/>
      <c r="E1069" s="346"/>
      <c r="F1069" s="268"/>
      <c r="G1069" s="269"/>
      <c r="H1069" s="269"/>
      <c r="I1069" s="270"/>
      <c r="J1069" s="347"/>
      <c r="K1069" s="270"/>
      <c r="L1069" s="270"/>
      <c r="M1069" s="348"/>
      <c r="N1069" s="348"/>
      <c r="O1069" s="349"/>
      <c r="P1069" s="350"/>
      <c r="Q1069" s="276"/>
      <c r="R1069" s="277"/>
      <c r="S1069" s="277"/>
      <c r="T1069" s="351"/>
      <c r="U1069" s="278"/>
      <c r="V1069" s="269"/>
      <c r="W1069" s="269"/>
      <c r="X1069" s="275"/>
      <c r="Y1069" s="269"/>
      <c r="Z1069" s="350"/>
      <c r="AA1069" s="207"/>
      <c r="AB1069" s="352"/>
      <c r="AC1069" s="353"/>
      <c r="AD1069" s="54"/>
      <c r="AE1069" s="354"/>
      <c r="AF1069" s="355"/>
      <c r="AG1069" s="349"/>
      <c r="AH1069" s="30"/>
      <c r="AI1069" s="30"/>
      <c r="AJ1069" s="30"/>
      <c r="AK1069" s="30"/>
      <c r="AL1069" s="13"/>
      <c r="AM1069" s="13"/>
      <c r="AN1069" s="13"/>
      <c r="AO1069" s="13"/>
      <c r="AP1069" s="13"/>
      <c r="AQ1069" s="14"/>
      <c r="AR1069" s="15"/>
    </row>
    <row r="1070" spans="1:44" s="17" customFormat="1" ht="30.95" hidden="1" customHeight="1" x14ac:dyDescent="0.2">
      <c r="A1070" s="343" t="s">
        <v>677</v>
      </c>
      <c r="B1070" s="344" t="s">
        <v>688</v>
      </c>
      <c r="C1070" s="345"/>
      <c r="D1070" s="398">
        <v>3735127</v>
      </c>
      <c r="E1070" s="31">
        <v>4151564</v>
      </c>
      <c r="F1070" s="268" t="str">
        <f>IF(D1070="","",VLOOKUP(D1070,契約台帳!$A$3:$K$4986,6,FALSE)&amp;VLOOKUP(D1070,契約台帳!$A$3:$K$4986,7,FALSE)&amp;VLOOKUP(D1070,契約台帳!$A$3:$K$4986,8,FALSE)&amp;VLOOKUP(D1070,契約台帳!$A$3:$K$4986,9,FALSE)&amp;VLOOKUP(D1070,契約台帳!$A$3:$K$4986,11,FALSE))</f>
        <v>3SNMLBMNQR66F</v>
      </c>
      <c r="G1070" s="269" t="str">
        <f>IF(D1070="","",VLOOKUP(F1070,製品マスタ!$G$5:$H$5002,2,FALSE))</f>
        <v>S</v>
      </c>
      <c r="H1070" s="269" t="str">
        <f>IF(D1070="","",VLOOKUP(F1070,製品マスタ!$G$5:$K$5002,5,FALSE))</f>
        <v>MNQR66F</v>
      </c>
      <c r="I1070" s="270" t="str">
        <f>IF(D1070="","",VLOOKUP(F1070,製品マスタ!$G$5:$L$5002,6,FALSE))</f>
        <v>ＱＲ６６蒸着品</v>
      </c>
      <c r="J1070" s="32" t="s">
        <v>447</v>
      </c>
      <c r="K1070" s="270">
        <f>IF(D1070="","",VLOOKUP(D1070,契約台帳!$A$3:$L$4986,12,FALSE))</f>
        <v>25</v>
      </c>
      <c r="L1070" s="270" t="str">
        <f>IF(D1070="","",INDEX(製品マスタ!$Q$5:$Q$5002,MATCH(F1070&amp;K1070,製品マスタ!$AO$5:$AO$5002,0)))</f>
        <v>E315</v>
      </c>
      <c r="M1070" s="39">
        <v>1000</v>
      </c>
      <c r="N1070" s="39">
        <v>18000</v>
      </c>
      <c r="O1070" s="47">
        <v>1</v>
      </c>
      <c r="P1070" s="57"/>
      <c r="Q1070" s="276">
        <f>IF(D1070="","",IF(J1070="リード付け",M1070,VLOOKUP(D1070,契約台帳!$A$3:$N$4986,14,FALSE)))</f>
        <v>1000</v>
      </c>
      <c r="R1070" s="277">
        <f>IF(D1070="","",IF(J1070="リード付け",M1070,VLOOKUP(D1070,契約台帳!$A$3:$O$4986,15,FALSE)))</f>
        <v>1000</v>
      </c>
      <c r="S1070" s="277">
        <f>IF(D1070="","",IF(J1070="リード付け",N1070,VLOOKUP(D1070,契約台帳!$A$3:$P$4986,16,FALSE)))</f>
        <v>6000</v>
      </c>
      <c r="T1070" s="40">
        <v>3</v>
      </c>
      <c r="U1070" s="278">
        <f ca="1">IF(D1070="","",IF(OFFSET(D1070,-2,0)=D1070,"",VLOOKUP(D1070,契約台帳!$A$3:$R$4986,18,FALSE)))</f>
        <v>3</v>
      </c>
      <c r="V1070" s="269" t="str">
        <f>IF(J1070="巻返し",VLOOKUP(F1070&amp;K1070&amp;M1070,製品マスタ!$M$5:$AD$5002,18,FALSE),IF(J1070="リード付け","原反コア",IF(J1070="スリット",VLOOKUP(F1070&amp;K1070&amp;Q1070,製品マスタ!$N$5:$AD$5002,17,FALSE),"")))</f>
        <v>6ｲﾝﾁMｺｱ</v>
      </c>
      <c r="W1070" s="269">
        <f>IF(J1070="巻返し",VLOOKUP(F1070&amp;K1070&amp;M1070,製品マスタ!$M$5:$AE$5002,19,FALSE),IF(J1070="リード付け","-",IF(J1070="スリット",VLOOKUP(F1070&amp;K1070&amp;Q1070,製品マスタ!$N$5:$AE$5002,18,FALSE),"")))</f>
        <v>1010</v>
      </c>
      <c r="X1070" s="275">
        <f>IF(D1070="","",VLOOKUP(D1070,契約台帳!$A$3:$Q$4986,17,FALSE))</f>
        <v>2</v>
      </c>
      <c r="Y1070" s="269" t="str">
        <f>IF(D1070="","",VLOOKUP(D1070,契約台帳!$A$3:$E$4986,5,FALSE))</f>
        <v>リンテック㈱</v>
      </c>
      <c r="Z1070" s="357">
        <v>45275</v>
      </c>
      <c r="AA1070" s="207"/>
      <c r="AB1070" s="369"/>
      <c r="AC1070" s="370"/>
      <c r="AD1070" s="332" t="str">
        <f>IF(F1070="","",+F1070&amp;K1070)</f>
        <v>3SNMLBMNQR66F25</v>
      </c>
      <c r="AE1070" s="216">
        <f>+M1070*N1070*O1070/1000</f>
        <v>18000</v>
      </c>
      <c r="AF1070" s="43">
        <f>IF(AD1070="","",VLOOKUP(AD1070,原価マスタ!$A$2:$AJ$1693,13,FALSE))</f>
        <v>98</v>
      </c>
      <c r="AG1070" s="47">
        <f>IF(AF1070="","",+AE1070*AF1070/100)</f>
        <v>17640</v>
      </c>
      <c r="AH1070" s="30"/>
      <c r="AI1070" s="30"/>
      <c r="AJ1070" s="30"/>
      <c r="AK1070" s="30"/>
      <c r="AL1070" s="13"/>
      <c r="AM1070" s="13"/>
      <c r="AN1070" s="13"/>
      <c r="AO1070" s="13"/>
      <c r="AP1070" s="13"/>
      <c r="AQ1070" s="14"/>
      <c r="AR1070" s="15"/>
    </row>
    <row r="1071" spans="1:44" s="17" customFormat="1" ht="30.95" hidden="1" customHeight="1" x14ac:dyDescent="0.2">
      <c r="A1071" s="343"/>
      <c r="B1071" s="344"/>
      <c r="C1071" s="345"/>
      <c r="D1071" s="346"/>
      <c r="E1071" s="346"/>
      <c r="F1071" s="268"/>
      <c r="G1071" s="269"/>
      <c r="H1071" s="269"/>
      <c r="I1071" s="270"/>
      <c r="J1071" s="347"/>
      <c r="K1071" s="270"/>
      <c r="L1071" s="270"/>
      <c r="M1071" s="348"/>
      <c r="N1071" s="348"/>
      <c r="O1071" s="349"/>
      <c r="P1071" s="350"/>
      <c r="Q1071" s="276"/>
      <c r="R1071" s="277"/>
      <c r="S1071" s="277"/>
      <c r="T1071" s="351"/>
      <c r="U1071" s="278"/>
      <c r="V1071" s="269"/>
      <c r="W1071" s="269"/>
      <c r="X1071" s="275"/>
      <c r="Y1071" s="269"/>
      <c r="Z1071" s="350"/>
      <c r="AA1071" s="207"/>
      <c r="AB1071" s="352"/>
      <c r="AC1071" s="353"/>
      <c r="AD1071" s="54"/>
      <c r="AE1071" s="354"/>
      <c r="AF1071" s="355"/>
      <c r="AG1071" s="349"/>
      <c r="AH1071" s="30"/>
      <c r="AI1071" s="30"/>
      <c r="AJ1071" s="30"/>
      <c r="AK1071" s="30"/>
      <c r="AL1071" s="13"/>
      <c r="AM1071" s="13"/>
      <c r="AN1071" s="13"/>
      <c r="AO1071" s="13"/>
      <c r="AP1071" s="13"/>
      <c r="AQ1071" s="14"/>
      <c r="AR1071" s="15"/>
    </row>
    <row r="1072" spans="1:44" s="17" customFormat="1" ht="30.95" hidden="1" customHeight="1" x14ac:dyDescent="0.2">
      <c r="A1072" s="343"/>
      <c r="B1072" s="344"/>
      <c r="C1072" s="345"/>
      <c r="D1072" s="398">
        <v>3735128</v>
      </c>
      <c r="E1072" s="31">
        <v>4151565</v>
      </c>
      <c r="F1072" s="268" t="str">
        <f>IF(D1072="","",VLOOKUP(D1072,契約台帳!$A$3:$K$4986,6,FALSE)&amp;VLOOKUP(D1072,契約台帳!$A$3:$K$4986,7,FALSE)&amp;VLOOKUP(D1072,契約台帳!$A$3:$K$4986,8,FALSE)&amp;VLOOKUP(D1072,契約台帳!$A$3:$K$4986,9,FALSE)&amp;VLOOKUP(D1072,契約台帳!$A$3:$K$4986,11,FALSE))</f>
        <v>3SNMLBMNQR66F</v>
      </c>
      <c r="G1072" s="269" t="str">
        <f>IF(D1072="","",VLOOKUP(F1072,製品マスタ!$G$5:$H$5002,2,FALSE))</f>
        <v>S</v>
      </c>
      <c r="H1072" s="269" t="str">
        <f>IF(D1072="","",VLOOKUP(F1072,製品マスタ!$G$5:$K$5002,5,FALSE))</f>
        <v>MNQR66F</v>
      </c>
      <c r="I1072" s="270" t="str">
        <f>IF(D1072="","",VLOOKUP(F1072,製品マスタ!$G$5:$L$5002,6,FALSE))</f>
        <v>ＱＲ６６蒸着品</v>
      </c>
      <c r="J1072" s="32" t="s">
        <v>447</v>
      </c>
      <c r="K1072" s="270">
        <f>IF(D1072="","",VLOOKUP(D1072,契約台帳!$A$3:$L$4986,12,FALSE))</f>
        <v>25</v>
      </c>
      <c r="L1072" s="270" t="str">
        <f>IF(D1072="","",INDEX(製品マスタ!$Q$5:$Q$5002,MATCH(F1072&amp;K1072,製品マスタ!$AO$5:$AO$5002,0)))</f>
        <v>E315</v>
      </c>
      <c r="M1072" s="39">
        <v>1100</v>
      </c>
      <c r="N1072" s="39">
        <v>24000</v>
      </c>
      <c r="O1072" s="47">
        <v>2</v>
      </c>
      <c r="P1072" s="57"/>
      <c r="Q1072" s="276">
        <f>IF(D1072="","",IF(J1072="リード付け",M1072,VLOOKUP(D1072,契約台帳!$A$3:$N$4986,14,FALSE)))</f>
        <v>1100</v>
      </c>
      <c r="R1072" s="277">
        <f>IF(D1072="","",IF(J1072="リード付け",M1072,VLOOKUP(D1072,契約台帳!$A$3:$O$4986,15,FALSE)))</f>
        <v>1100</v>
      </c>
      <c r="S1072" s="277">
        <f>IF(D1072="","",IF(J1072="リード付け",N1072,VLOOKUP(D1072,契約台帳!$A$3:$P$4986,16,FALSE)))</f>
        <v>6000</v>
      </c>
      <c r="T1072" s="40">
        <v>8</v>
      </c>
      <c r="U1072" s="278">
        <f ca="1">IF(D1072="","",IF(OFFSET(D1072,-2,0)=D1072,"",VLOOKUP(D1072,契約台帳!$A$3:$R$4986,18,FALSE)))</f>
        <v>20</v>
      </c>
      <c r="V1072" s="269" t="str">
        <f>IF(J1072="巻返し",VLOOKUP(F1072&amp;K1072&amp;M1072,製品マスタ!$M$5:$AD$5002,18,FALSE),IF(J1072="リード付け","原反コア",IF(J1072="スリット",VLOOKUP(F1072&amp;K1072&amp;Q1072,製品マスタ!$N$5:$AD$5002,17,FALSE),"")))</f>
        <v>6ｲﾝﾁMｺｱ</v>
      </c>
      <c r="W1072" s="269">
        <f>IF(J1072="巻返し",VLOOKUP(F1072&amp;K1072&amp;M1072,製品マスタ!$M$5:$AE$5002,19,FALSE),IF(J1072="リード付け","-",IF(J1072="スリット",VLOOKUP(F1072&amp;K1072&amp;Q1072,製品マスタ!$N$5:$AE$5002,18,FALSE),"")))</f>
        <v>1110</v>
      </c>
      <c r="X1072" s="275">
        <f>IF(D1072="","",VLOOKUP(D1072,契約台帳!$A$3:$Q$4986,17,FALSE))</f>
        <v>2</v>
      </c>
      <c r="Y1072" s="269" t="str">
        <f>IF(D1072="","",VLOOKUP(D1072,契約台帳!$A$3:$E$4986,5,FALSE))</f>
        <v>リンテック㈱</v>
      </c>
      <c r="Z1072" s="357">
        <v>45275</v>
      </c>
      <c r="AA1072" s="207"/>
      <c r="AB1072" s="369"/>
      <c r="AC1072" s="370"/>
      <c r="AD1072" s="332" t="str">
        <f>IF(F1072="","",+F1072&amp;K1072)</f>
        <v>3SNMLBMNQR66F25</v>
      </c>
      <c r="AE1072" s="216">
        <f>+M1072*N1072*O1072/1000</f>
        <v>52800</v>
      </c>
      <c r="AF1072" s="43">
        <f>IF(AD1072="","",VLOOKUP(AD1072,原価マスタ!$A$2:$AJ$1693,13,FALSE))</f>
        <v>98</v>
      </c>
      <c r="AG1072" s="47">
        <f>IF(AF1072="","",+AE1072*AF1072/100)</f>
        <v>51744</v>
      </c>
      <c r="AH1072" s="30"/>
      <c r="AI1072" s="30"/>
      <c r="AJ1072" s="30"/>
      <c r="AK1072" s="30"/>
      <c r="AL1072" s="13"/>
      <c r="AM1072" s="13"/>
      <c r="AN1072" s="13"/>
      <c r="AO1072" s="13"/>
      <c r="AP1072" s="13"/>
      <c r="AQ1072" s="14"/>
      <c r="AR1072" s="15"/>
    </row>
    <row r="1073" spans="1:44" s="17" customFormat="1" ht="30.95" hidden="1" customHeight="1" x14ac:dyDescent="0.2">
      <c r="A1073" s="343"/>
      <c r="B1073" s="344"/>
      <c r="C1073" s="345"/>
      <c r="D1073" s="346"/>
      <c r="E1073" s="346"/>
      <c r="F1073" s="268"/>
      <c r="G1073" s="269"/>
      <c r="H1073" s="269"/>
      <c r="I1073" s="270"/>
      <c r="J1073" s="347"/>
      <c r="K1073" s="270"/>
      <c r="L1073" s="270"/>
      <c r="M1073" s="348"/>
      <c r="N1073" s="348"/>
      <c r="O1073" s="349"/>
      <c r="P1073" s="350"/>
      <c r="Q1073" s="276"/>
      <c r="R1073" s="277"/>
      <c r="S1073" s="277"/>
      <c r="T1073" s="351"/>
      <c r="U1073" s="278"/>
      <c r="V1073" s="269"/>
      <c r="W1073" s="269"/>
      <c r="X1073" s="275"/>
      <c r="Y1073" s="269"/>
      <c r="Z1073" s="350"/>
      <c r="AA1073" s="207"/>
      <c r="AB1073" s="352"/>
      <c r="AC1073" s="353"/>
      <c r="AD1073" s="54"/>
      <c r="AE1073" s="354"/>
      <c r="AF1073" s="355"/>
      <c r="AG1073" s="349"/>
      <c r="AH1073" s="30"/>
      <c r="AI1073" s="30"/>
      <c r="AJ1073" s="30"/>
      <c r="AK1073" s="30"/>
      <c r="AL1073" s="13"/>
      <c r="AM1073" s="13"/>
      <c r="AN1073" s="13"/>
      <c r="AO1073" s="13"/>
      <c r="AP1073" s="13"/>
      <c r="AQ1073" s="14"/>
      <c r="AR1073" s="15"/>
    </row>
    <row r="1074" spans="1:44" s="17" customFormat="1" ht="30.95" hidden="1" customHeight="1" x14ac:dyDescent="0.2">
      <c r="A1074" s="343" t="s">
        <v>1872</v>
      </c>
      <c r="B1074" s="344" t="s">
        <v>1873</v>
      </c>
      <c r="C1074" s="345"/>
      <c r="D1074" s="398">
        <v>3735128</v>
      </c>
      <c r="E1074" s="31">
        <v>4151565</v>
      </c>
      <c r="F1074" s="268" t="str">
        <f>IF(D1074="","",VLOOKUP(D1074,契約台帳!$A$3:$K$4986,6,FALSE)&amp;VLOOKUP(D1074,契約台帳!$A$3:$K$4986,7,FALSE)&amp;VLOOKUP(D1074,契約台帳!$A$3:$K$4986,8,FALSE)&amp;VLOOKUP(D1074,契約台帳!$A$3:$K$4986,9,FALSE)&amp;VLOOKUP(D1074,契約台帳!$A$3:$K$4986,11,FALSE))</f>
        <v>3SNMLBMNQR66F</v>
      </c>
      <c r="G1074" s="269" t="str">
        <f>IF(D1074="","",VLOOKUP(F1074,製品マスタ!$G$5:$H$5002,2,FALSE))</f>
        <v>S</v>
      </c>
      <c r="H1074" s="269" t="str">
        <f>IF(D1074="","",VLOOKUP(F1074,製品マスタ!$G$5:$K$5002,5,FALSE))</f>
        <v>MNQR66F</v>
      </c>
      <c r="I1074" s="270" t="str">
        <f>IF(D1074="","",VLOOKUP(F1074,製品マスタ!$G$5:$L$5002,6,FALSE))</f>
        <v>ＱＲ６６蒸着品</v>
      </c>
      <c r="J1074" s="32" t="s">
        <v>447</v>
      </c>
      <c r="K1074" s="270">
        <f>IF(D1074="","",VLOOKUP(D1074,契約台帳!$A$3:$L$4986,12,FALSE))</f>
        <v>25</v>
      </c>
      <c r="L1074" s="270" t="str">
        <f>IF(D1074="","",INDEX(製品マスタ!$Q$5:$Q$5002,MATCH(F1074&amp;K1074,製品マスタ!$AO$5:$AO$5002,0)))</f>
        <v>E315</v>
      </c>
      <c r="M1074" s="39">
        <v>1100</v>
      </c>
      <c r="N1074" s="39">
        <v>24000</v>
      </c>
      <c r="O1074" s="47">
        <v>3</v>
      </c>
      <c r="P1074" s="57"/>
      <c r="Q1074" s="276">
        <f>IF(D1074="","",IF(J1074="リード付け",M1074,VLOOKUP(D1074,契約台帳!$A$3:$N$4986,14,FALSE)))</f>
        <v>1100</v>
      </c>
      <c r="R1074" s="277">
        <f>IF(D1074="","",IF(J1074="リード付け",M1074,VLOOKUP(D1074,契約台帳!$A$3:$O$4986,15,FALSE)))</f>
        <v>1100</v>
      </c>
      <c r="S1074" s="277">
        <f>IF(D1074="","",IF(J1074="リード付け",N1074,VLOOKUP(D1074,契約台帳!$A$3:$P$4986,16,FALSE)))</f>
        <v>6000</v>
      </c>
      <c r="T1074" s="40">
        <v>12</v>
      </c>
      <c r="U1074" s="278" t="str">
        <f ca="1">IF(D1074="","",IF(OFFSET(D1074,-2,0)=D1074,"",VLOOKUP(D1074,契約台帳!$A$3:$R$4986,18,FALSE)))</f>
        <v/>
      </c>
      <c r="V1074" s="269" t="str">
        <f>IF(J1074="巻返し",VLOOKUP(F1074&amp;K1074&amp;M1074,製品マスタ!$M$5:$AD$5002,18,FALSE),IF(J1074="リード付け","原反コア",IF(J1074="スリット",VLOOKUP(F1074&amp;K1074&amp;Q1074,製品マスタ!$N$5:$AD$5002,17,FALSE),"")))</f>
        <v>6ｲﾝﾁMｺｱ</v>
      </c>
      <c r="W1074" s="269">
        <f>IF(J1074="巻返し",VLOOKUP(F1074&amp;K1074&amp;M1074,製品マスタ!$M$5:$AE$5002,19,FALSE),IF(J1074="リード付け","-",IF(J1074="スリット",VLOOKUP(F1074&amp;K1074&amp;Q1074,製品マスタ!$N$5:$AE$5002,18,FALSE),"")))</f>
        <v>1110</v>
      </c>
      <c r="X1074" s="275">
        <f>IF(D1074="","",VLOOKUP(D1074,契約台帳!$A$3:$Q$4986,17,FALSE))</f>
        <v>2</v>
      </c>
      <c r="Y1074" s="269" t="str">
        <f>IF(D1074="","",VLOOKUP(D1074,契約台帳!$A$3:$E$4986,5,FALSE))</f>
        <v>リンテック㈱</v>
      </c>
      <c r="Z1074" s="357">
        <v>45279</v>
      </c>
      <c r="AA1074" s="207"/>
      <c r="AB1074" s="369"/>
      <c r="AC1074" s="370"/>
      <c r="AD1074" s="332" t="str">
        <f>IF(F1074="","",+F1074&amp;K1074)</f>
        <v>3SNMLBMNQR66F25</v>
      </c>
      <c r="AE1074" s="216">
        <f>+M1074*N1074*O1074/1000</f>
        <v>79200</v>
      </c>
      <c r="AF1074" s="43">
        <f>IF(AD1074="","",VLOOKUP(AD1074,原価マスタ!$A$2:$AJ$1693,13,FALSE))</f>
        <v>98</v>
      </c>
      <c r="AG1074" s="47">
        <f>IF(AF1074="","",+AE1074*AF1074/100)</f>
        <v>77616</v>
      </c>
      <c r="AH1074" s="30"/>
      <c r="AI1074" s="30"/>
      <c r="AJ1074" s="30"/>
      <c r="AK1074" s="30"/>
      <c r="AL1074" s="13"/>
      <c r="AM1074" s="13"/>
      <c r="AN1074" s="13"/>
      <c r="AO1074" s="13"/>
      <c r="AP1074" s="13"/>
      <c r="AQ1074" s="14"/>
      <c r="AR1074" s="15"/>
    </row>
    <row r="1075" spans="1:44" s="17" customFormat="1" ht="30.95" hidden="1" customHeight="1" x14ac:dyDescent="0.2">
      <c r="A1075" s="343"/>
      <c r="B1075" s="344"/>
      <c r="C1075" s="345"/>
      <c r="D1075" s="346"/>
      <c r="E1075" s="346"/>
      <c r="F1075" s="268"/>
      <c r="G1075" s="269"/>
      <c r="H1075" s="269"/>
      <c r="I1075" s="270"/>
      <c r="J1075" s="347"/>
      <c r="K1075" s="270"/>
      <c r="L1075" s="270"/>
      <c r="M1075" s="348"/>
      <c r="N1075" s="348"/>
      <c r="O1075" s="349"/>
      <c r="P1075" s="350"/>
      <c r="Q1075" s="276"/>
      <c r="R1075" s="277"/>
      <c r="S1075" s="277"/>
      <c r="T1075" s="351"/>
      <c r="U1075" s="278"/>
      <c r="V1075" s="269"/>
      <c r="W1075" s="269"/>
      <c r="X1075" s="275"/>
      <c r="Y1075" s="269"/>
      <c r="Z1075" s="350"/>
      <c r="AA1075" s="207"/>
      <c r="AB1075" s="352"/>
      <c r="AC1075" s="353"/>
      <c r="AD1075" s="54"/>
      <c r="AE1075" s="354"/>
      <c r="AF1075" s="355"/>
      <c r="AG1075" s="349"/>
      <c r="AH1075" s="30"/>
      <c r="AI1075" s="30"/>
      <c r="AJ1075" s="30"/>
      <c r="AK1075" s="30"/>
      <c r="AL1075" s="13"/>
      <c r="AM1075" s="13"/>
      <c r="AN1075" s="13"/>
      <c r="AO1075" s="13"/>
      <c r="AP1075" s="13"/>
      <c r="AQ1075" s="14"/>
      <c r="AR1075" s="15"/>
    </row>
    <row r="1076" spans="1:44" s="17" customFormat="1" ht="30.95" hidden="1" customHeight="1" x14ac:dyDescent="0.2">
      <c r="A1076" s="343"/>
      <c r="B1076" s="344"/>
      <c r="C1076" s="345"/>
      <c r="D1076" s="398">
        <v>3735118</v>
      </c>
      <c r="E1076" s="31">
        <v>4151566</v>
      </c>
      <c r="F1076" s="268" t="str">
        <f>IF(D1076="","",VLOOKUP(D1076,契約台帳!$A$3:$K$4986,6,FALSE)&amp;VLOOKUP(D1076,契約台帳!$A$3:$K$4986,7,FALSE)&amp;VLOOKUP(D1076,契約台帳!$A$3:$K$4986,8,FALSE)&amp;VLOOKUP(D1076,契約台帳!$A$3:$K$4986,9,FALSE)&amp;VLOOKUP(D1076,契約台帳!$A$3:$K$4986,11,FALSE))</f>
        <v>3SNMLBMNGTBF</v>
      </c>
      <c r="G1076" s="269" t="str">
        <f>IF(D1076="","",VLOOKUP(F1076,製品マスタ!$G$5:$H$5002,2,FALSE))</f>
        <v>S</v>
      </c>
      <c r="H1076" s="269" t="str">
        <f>IF(D1076="","",VLOOKUP(F1076,製品マスタ!$G$5:$K$5002,5,FALSE))</f>
        <v>MNGTBF</v>
      </c>
      <c r="I1076" s="270" t="str">
        <f>IF(D1076="","",VLOOKUP(F1076,製品マスタ!$G$5:$L$5002,6,FALSE))</f>
        <v>メタルミー　ネーマー　銀艶　Ｂ</v>
      </c>
      <c r="J1076" s="32" t="s">
        <v>447</v>
      </c>
      <c r="K1076" s="270">
        <f>IF(D1076="","",VLOOKUP(D1076,契約台帳!$A$3:$L$4986,12,FALSE))</f>
        <v>50</v>
      </c>
      <c r="L1076" s="270" t="str">
        <f>IF(D1076="","",INDEX(製品マスタ!$Q$5:$Q$5002,MATCH(F1076&amp;K1076,製品マスタ!$AO$5:$AO$5002,0)))</f>
        <v>T62</v>
      </c>
      <c r="M1076" s="39">
        <v>1120</v>
      </c>
      <c r="N1076" s="39">
        <v>10000</v>
      </c>
      <c r="O1076" s="47">
        <v>2</v>
      </c>
      <c r="P1076" s="57"/>
      <c r="Q1076" s="276">
        <f>IF(D1076="","",IF(J1076="リード付け",M1076,VLOOKUP(D1076,契約台帳!$A$3:$N$4986,14,FALSE)))</f>
        <v>1120</v>
      </c>
      <c r="R1076" s="277">
        <f>IF(D1076="","",IF(J1076="リード付け",M1076,VLOOKUP(D1076,契約台帳!$A$3:$O$4986,15,FALSE)))</f>
        <v>1120</v>
      </c>
      <c r="S1076" s="277">
        <f>IF(D1076="","",IF(J1076="リード付け",N1076,VLOOKUP(D1076,契約台帳!$A$3:$P$4986,16,FALSE)))</f>
        <v>5000</v>
      </c>
      <c r="T1076" s="40">
        <v>4</v>
      </c>
      <c r="U1076" s="278">
        <f ca="1">IF(D1076="","",IF(OFFSET(D1076,-2,0)=D1076,"",VLOOKUP(D1076,契約台帳!$A$3:$R$4986,18,FALSE)))</f>
        <v>4</v>
      </c>
      <c r="V1076" s="269" t="str">
        <f>IF(J1076="巻返し",VLOOKUP(F1076&amp;K1076&amp;M1076,製品マスタ!$M$5:$AD$5002,18,FALSE),IF(J1076="リード付け","原反コア",IF(J1076="スリット",VLOOKUP(F1076&amp;K1076&amp;Q1076,製品マスタ!$N$5:$AD$5002,17,FALSE),"")))</f>
        <v>6ｲﾝﾁSｺｱ</v>
      </c>
      <c r="W1076" s="269">
        <f>IF(J1076="巻返し",VLOOKUP(F1076&amp;K1076&amp;M1076,製品マスタ!$M$5:$AE$5002,19,FALSE),IF(J1076="リード付け","-",IF(J1076="スリット",VLOOKUP(F1076&amp;K1076&amp;Q1076,製品マスタ!$N$5:$AE$5002,18,FALSE),"")))</f>
        <v>1125</v>
      </c>
      <c r="X1076" s="275">
        <f>IF(D1076="","",VLOOKUP(D1076,契約台帳!$A$3:$Q$4986,17,FALSE))</f>
        <v>2</v>
      </c>
      <c r="Y1076" s="269" t="str">
        <f>IF(D1076="","",VLOOKUP(D1076,契約台帳!$A$3:$E$4986,5,FALSE))</f>
        <v>リンテック㈱</v>
      </c>
      <c r="Z1076" s="357">
        <v>45279</v>
      </c>
      <c r="AA1076" s="207"/>
      <c r="AB1076" s="369"/>
      <c r="AC1076" s="370"/>
      <c r="AD1076" s="332" t="str">
        <f>IF(F1076="","",+F1076&amp;K1076)</f>
        <v>3SNMLBMNGTBF50</v>
      </c>
      <c r="AE1076" s="216">
        <f>+M1076*N1076*O1076/1000</f>
        <v>22400</v>
      </c>
      <c r="AF1076" s="43">
        <f>IF(AD1076="","",VLOOKUP(AD1076,原価マスタ!$A$2:$AJ$1693,13,FALSE))</f>
        <v>99</v>
      </c>
      <c r="AG1076" s="47">
        <f>IF(AF1076="","",+AE1076*AF1076/100)</f>
        <v>22176</v>
      </c>
      <c r="AH1076" s="30"/>
      <c r="AI1076" s="30"/>
      <c r="AJ1076" s="30"/>
      <c r="AK1076" s="30"/>
      <c r="AL1076" s="13"/>
      <c r="AM1076" s="13"/>
      <c r="AN1076" s="13"/>
      <c r="AO1076" s="13"/>
      <c r="AP1076" s="13"/>
      <c r="AQ1076" s="14"/>
      <c r="AR1076" s="15"/>
    </row>
    <row r="1077" spans="1:44" s="17" customFormat="1" ht="30.95" hidden="1" customHeight="1" x14ac:dyDescent="0.2">
      <c r="A1077" s="343"/>
      <c r="B1077" s="344"/>
      <c r="C1077" s="345"/>
      <c r="D1077" s="346"/>
      <c r="E1077" s="346"/>
      <c r="F1077" s="268"/>
      <c r="G1077" s="269"/>
      <c r="H1077" s="269"/>
      <c r="I1077" s="270"/>
      <c r="J1077" s="347"/>
      <c r="K1077" s="270"/>
      <c r="L1077" s="270"/>
      <c r="M1077" s="348"/>
      <c r="N1077" s="348"/>
      <c r="O1077" s="349"/>
      <c r="P1077" s="350"/>
      <c r="Q1077" s="276"/>
      <c r="R1077" s="277"/>
      <c r="S1077" s="277"/>
      <c r="T1077" s="351"/>
      <c r="U1077" s="278"/>
      <c r="V1077" s="269"/>
      <c r="W1077" s="269"/>
      <c r="X1077" s="275"/>
      <c r="Y1077" s="269"/>
      <c r="Z1077" s="350"/>
      <c r="AA1077" s="207"/>
      <c r="AB1077" s="352"/>
      <c r="AC1077" s="353"/>
      <c r="AD1077" s="54"/>
      <c r="AE1077" s="354"/>
      <c r="AF1077" s="355"/>
      <c r="AG1077" s="349"/>
      <c r="AH1077" s="30"/>
      <c r="AI1077" s="30"/>
      <c r="AJ1077" s="30"/>
      <c r="AK1077" s="30"/>
      <c r="AL1077" s="13"/>
      <c r="AM1077" s="13"/>
      <c r="AN1077" s="13"/>
      <c r="AO1077" s="13"/>
      <c r="AP1077" s="13"/>
      <c r="AQ1077" s="14"/>
      <c r="AR1077" s="15"/>
    </row>
    <row r="1078" spans="1:44" s="17" customFormat="1" ht="30.95" hidden="1" customHeight="1" x14ac:dyDescent="0.2">
      <c r="A1078" s="343" t="s">
        <v>683</v>
      </c>
      <c r="B1078" s="344" t="s">
        <v>443</v>
      </c>
      <c r="C1078" s="345"/>
      <c r="D1078" s="398">
        <v>3735119</v>
      </c>
      <c r="E1078" s="31">
        <v>4151567</v>
      </c>
      <c r="F1078" s="268" t="str">
        <f>IF(D1078="","",VLOOKUP(D1078,契約台帳!$A$3:$K$4986,6,FALSE)&amp;VLOOKUP(D1078,契約台帳!$A$3:$K$4986,7,FALSE)&amp;VLOOKUP(D1078,契約台帳!$A$3:$K$4986,8,FALSE)&amp;VLOOKUP(D1078,契約台帳!$A$3:$K$4986,9,FALSE)&amp;VLOOKUP(D1078,契約台帳!$A$3:$K$4986,11,FALSE))</f>
        <v>3XSNMLBMNGTBF</v>
      </c>
      <c r="G1078" s="269" t="str">
        <f>IF(D1078="","",VLOOKUP(F1078,製品マスタ!$G$5:$H$5002,2,FALSE))</f>
        <v>S</v>
      </c>
      <c r="H1078" s="269" t="str">
        <f>IF(D1078="","",VLOOKUP(F1078,製品マスタ!$G$5:$K$5002,5,FALSE))</f>
        <v>MNGTBF</v>
      </c>
      <c r="I1078" s="270" t="str">
        <f>IF(D1078="","",VLOOKUP(F1078,製品マスタ!$G$5:$L$5002,6,FALSE))</f>
        <v>メタルミー　ネーマー　銀艶　Ｂ</v>
      </c>
      <c r="J1078" s="32" t="s">
        <v>447</v>
      </c>
      <c r="K1078" s="270">
        <f>IF(D1078="","",VLOOKUP(D1078,契約台帳!$A$3:$L$4986,12,FALSE))</f>
        <v>50</v>
      </c>
      <c r="L1078" s="270" t="str">
        <f>IF(D1078="","",INDEX(製品マスタ!$Q$5:$Q$5002,MATCH(F1078&amp;K1078,製品マスタ!$AO$5:$AO$5002,0)))</f>
        <v>T62</v>
      </c>
      <c r="M1078" s="39">
        <v>1120</v>
      </c>
      <c r="N1078" s="39">
        <v>10000</v>
      </c>
      <c r="O1078" s="47">
        <v>2</v>
      </c>
      <c r="P1078" s="57"/>
      <c r="Q1078" s="276">
        <f>IF(D1078="","",IF(J1078="リード付け",M1078,VLOOKUP(D1078,契約台帳!$A$3:$N$4986,14,FALSE)))</f>
        <v>1120</v>
      </c>
      <c r="R1078" s="277">
        <f>IF(D1078="","",IF(J1078="リード付け",M1078,VLOOKUP(D1078,契約台帳!$A$3:$O$4986,15,FALSE)))</f>
        <v>1120</v>
      </c>
      <c r="S1078" s="277">
        <f>IF(D1078="","",IF(J1078="リード付け",N1078,VLOOKUP(D1078,契約台帳!$A$3:$P$4986,16,FALSE)))</f>
        <v>5000</v>
      </c>
      <c r="T1078" s="40">
        <v>4</v>
      </c>
      <c r="U1078" s="278">
        <f ca="1">IF(D1078="","",IF(OFFSET(D1078,-2,0)=D1078,"",VLOOKUP(D1078,契約台帳!$A$3:$R$4986,18,FALSE)))</f>
        <v>4</v>
      </c>
      <c r="V1078" s="269" t="str">
        <f>IF(J1078="巻返し",VLOOKUP(F1078&amp;K1078&amp;M1078,製品マスタ!$M$5:$AD$5002,18,FALSE),IF(J1078="リード付け","原反コア",IF(J1078="スリット",VLOOKUP(F1078&amp;K1078&amp;Q1078,製品マスタ!$N$5:$AD$5002,17,FALSE),"")))</f>
        <v>6ｲﾝﾁSｺｱ</v>
      </c>
      <c r="W1078" s="269">
        <f>IF(J1078="巻返し",VLOOKUP(F1078&amp;K1078&amp;M1078,製品マスタ!$M$5:$AE$5002,19,FALSE),IF(J1078="リード付け","-",IF(J1078="スリット",VLOOKUP(F1078&amp;K1078&amp;Q1078,製品マスタ!$N$5:$AE$5002,18,FALSE),"")))</f>
        <v>1125</v>
      </c>
      <c r="X1078" s="275">
        <f>IF(D1078="","",VLOOKUP(D1078,契約台帳!$A$3:$Q$4986,17,FALSE))</f>
        <v>2</v>
      </c>
      <c r="Y1078" s="269" t="str">
        <f>IF(D1078="","",VLOOKUP(D1078,契約台帳!$A$3:$E$4986,5,FALSE))</f>
        <v>リンテック㈱</v>
      </c>
      <c r="Z1078" s="357">
        <v>45279</v>
      </c>
      <c r="AA1078" s="207"/>
      <c r="AB1078" s="369"/>
      <c r="AC1078" s="370"/>
      <c r="AD1078" s="332" t="str">
        <f>IF(F1078="","",+F1078&amp;K1078)</f>
        <v>3XSNMLBMNGTBF50</v>
      </c>
      <c r="AE1078" s="216">
        <f>+M1078*N1078*O1078/1000</f>
        <v>22400</v>
      </c>
      <c r="AF1078" s="43">
        <v>89</v>
      </c>
      <c r="AG1078" s="47">
        <f>IF(AF1078="","",+AE1078*AF1078/100)</f>
        <v>19936</v>
      </c>
      <c r="AH1078" s="30"/>
      <c r="AI1078" s="30"/>
      <c r="AJ1078" s="30"/>
      <c r="AK1078" s="30"/>
      <c r="AL1078" s="13"/>
      <c r="AM1078" s="13"/>
      <c r="AN1078" s="13"/>
      <c r="AO1078" s="13"/>
      <c r="AP1078" s="13"/>
      <c r="AQ1078" s="14"/>
      <c r="AR1078" s="15"/>
    </row>
    <row r="1079" spans="1:44" s="17" customFormat="1" ht="30.95" hidden="1" customHeight="1" x14ac:dyDescent="0.2">
      <c r="A1079" s="343"/>
      <c r="B1079" s="344"/>
      <c r="C1079" s="345"/>
      <c r="D1079" s="346"/>
      <c r="E1079" s="346"/>
      <c r="F1079" s="268"/>
      <c r="G1079" s="269"/>
      <c r="H1079" s="269"/>
      <c r="I1079" s="270"/>
      <c r="J1079" s="347"/>
      <c r="K1079" s="270"/>
      <c r="L1079" s="270"/>
      <c r="M1079" s="348"/>
      <c r="N1079" s="348"/>
      <c r="O1079" s="349"/>
      <c r="P1079" s="350"/>
      <c r="Q1079" s="276"/>
      <c r="R1079" s="277"/>
      <c r="S1079" s="277"/>
      <c r="T1079" s="351"/>
      <c r="U1079" s="278"/>
      <c r="V1079" s="269"/>
      <c r="W1079" s="269"/>
      <c r="X1079" s="275"/>
      <c r="Y1079" s="269"/>
      <c r="Z1079" s="350"/>
      <c r="AA1079" s="207"/>
      <c r="AB1079" s="352"/>
      <c r="AC1079" s="353"/>
      <c r="AD1079" s="54"/>
      <c r="AE1079" s="354"/>
      <c r="AF1079" s="355"/>
      <c r="AG1079" s="349"/>
      <c r="AH1079" s="30"/>
      <c r="AI1079" s="30"/>
      <c r="AJ1079" s="30"/>
      <c r="AK1079" s="30"/>
      <c r="AL1079" s="13"/>
      <c r="AM1079" s="13"/>
      <c r="AN1079" s="13"/>
      <c r="AO1079" s="13"/>
      <c r="AP1079" s="13"/>
      <c r="AQ1079" s="14"/>
      <c r="AR1079" s="15"/>
    </row>
    <row r="1080" spans="1:44" s="17" customFormat="1" ht="30.95" hidden="1" customHeight="1" x14ac:dyDescent="0.2">
      <c r="A1080" s="343"/>
      <c r="B1080" s="344"/>
      <c r="C1080" s="345"/>
      <c r="D1080" s="398">
        <v>3735107</v>
      </c>
      <c r="E1080" s="31">
        <v>4151550</v>
      </c>
      <c r="F1080" s="268" t="str">
        <f>IF(D1080="","",VLOOKUP(D1080,契約台帳!$A$3:$K$4986,6,FALSE)&amp;VLOOKUP(D1080,契約台帳!$A$3:$K$4986,7,FALSE)&amp;VLOOKUP(D1080,契約台帳!$A$3:$K$4986,8,FALSE)&amp;VLOOKUP(D1080,契約台帳!$A$3:$K$4986,9,FALSE)&amp;VLOOKUP(D1080,契約台帳!$A$3:$K$4986,11,FALSE))</f>
        <v>3SNMLBMNGKKBF</v>
      </c>
      <c r="G1080" s="269" t="str">
        <f>IF(D1080="","",VLOOKUP(F1080,製品マスタ!$G$5:$H$5002,2,FALSE))</f>
        <v>S</v>
      </c>
      <c r="H1080" s="269" t="str">
        <f>IF(D1080="","",VLOOKUP(F1080,製品マスタ!$G$5:$K$5002,5,FALSE))</f>
        <v>MNGKKBF</v>
      </c>
      <c r="I1080" s="270" t="str">
        <f>IF(D1080="","",VLOOKUP(F1080,製品マスタ!$G$5:$L$5002,6,FALSE))</f>
        <v>メタルミー　ネーマー銀消改　Ｂ</v>
      </c>
      <c r="J1080" s="32" t="s">
        <v>447</v>
      </c>
      <c r="K1080" s="270">
        <f>IF(D1080="","",VLOOKUP(D1080,契約台帳!$A$3:$L$4986,12,FALSE))</f>
        <v>50</v>
      </c>
      <c r="L1080" s="270" t="str">
        <f>IF(D1080="","",INDEX(製品マスタ!$Q$5:$Q$5002,MATCH(F1080&amp;K1080,製品マスタ!$AO$5:$AO$5002,0)))</f>
        <v>S99-MAT</v>
      </c>
      <c r="M1080" s="39">
        <v>1120</v>
      </c>
      <c r="N1080" s="39">
        <v>12000</v>
      </c>
      <c r="O1080" s="47">
        <v>4</v>
      </c>
      <c r="P1080" s="57"/>
      <c r="Q1080" s="276">
        <f>IF(D1080="","",IF(J1080="リード付け",M1080,VLOOKUP(D1080,契約台帳!$A$3:$N$4986,14,FALSE)))</f>
        <v>1120</v>
      </c>
      <c r="R1080" s="277">
        <f>IF(D1080="","",IF(J1080="リード付け",M1080,VLOOKUP(D1080,契約台帳!$A$3:$O$4986,15,FALSE)))</f>
        <v>1120</v>
      </c>
      <c r="S1080" s="277">
        <f>IF(D1080="","",IF(J1080="リード付け",N1080,VLOOKUP(D1080,契約台帳!$A$3:$P$4986,16,FALSE)))</f>
        <v>4000</v>
      </c>
      <c r="T1080" s="40">
        <v>12</v>
      </c>
      <c r="U1080" s="278">
        <f ca="1">IF(D1080="","",IF(OFFSET(D1080,-2,0)=D1080,"",VLOOKUP(D1080,契約台帳!$A$3:$R$4986,18,FALSE)))</f>
        <v>15</v>
      </c>
      <c r="V1080" s="269" t="str">
        <f>IF(J1080="巻返し",VLOOKUP(F1080&amp;K1080&amp;M1080,製品マスタ!$M$5:$AD$5002,18,FALSE),IF(J1080="リード付け","原反コア",IF(J1080="スリット",VLOOKUP(F1080&amp;K1080&amp;Q1080,製品マスタ!$N$5:$AD$5002,17,FALSE),"")))</f>
        <v>6ｲﾝﾁSｺｱ</v>
      </c>
      <c r="W1080" s="269">
        <f>IF(J1080="巻返し",VLOOKUP(F1080&amp;K1080&amp;M1080,製品マスタ!$M$5:$AE$5002,19,FALSE),IF(J1080="リード付け","-",IF(J1080="スリット",VLOOKUP(F1080&amp;K1080&amp;Q1080,製品マスタ!$N$5:$AE$5002,18,FALSE),"")))</f>
        <v>1125</v>
      </c>
      <c r="X1080" s="275">
        <f>IF(D1080="","",VLOOKUP(D1080,契約台帳!$A$3:$Q$4986,17,FALSE))</f>
        <v>2</v>
      </c>
      <c r="Y1080" s="269" t="str">
        <f>IF(D1080="","",VLOOKUP(D1080,契約台帳!$A$3:$E$4986,5,FALSE))</f>
        <v>リンテック㈱</v>
      </c>
      <c r="Z1080" s="357">
        <v>45279</v>
      </c>
      <c r="AA1080" s="207"/>
      <c r="AB1080" s="369"/>
      <c r="AC1080" s="370"/>
      <c r="AD1080" s="332" t="str">
        <f>IF(F1080="","",+F1080&amp;K1080)</f>
        <v>3SNMLBMNGKKBF50</v>
      </c>
      <c r="AE1080" s="216">
        <f>+M1080*N1080*O1080/1000</f>
        <v>53760</v>
      </c>
      <c r="AF1080" s="43">
        <f>IF(AD1080="","",VLOOKUP(AD1080,原価マスタ!$A$2:$AJ$1693,13,FALSE))</f>
        <v>99</v>
      </c>
      <c r="AG1080" s="47">
        <f>IF(AF1080="","",+AE1080*AF1080/100)</f>
        <v>53222.400000000001</v>
      </c>
      <c r="AH1080" s="30"/>
      <c r="AI1080" s="30"/>
      <c r="AJ1080" s="30"/>
      <c r="AK1080" s="30"/>
      <c r="AL1080" s="13"/>
      <c r="AM1080" s="13"/>
      <c r="AN1080" s="13"/>
      <c r="AO1080" s="13"/>
      <c r="AP1080" s="13"/>
      <c r="AQ1080" s="14"/>
      <c r="AR1080" s="15"/>
    </row>
    <row r="1081" spans="1:44" s="17" customFormat="1" ht="30.95" hidden="1" customHeight="1" x14ac:dyDescent="0.2">
      <c r="A1081" s="343"/>
      <c r="B1081" s="344"/>
      <c r="C1081" s="345"/>
      <c r="D1081" s="346"/>
      <c r="E1081" s="346"/>
      <c r="F1081" s="268"/>
      <c r="G1081" s="269"/>
      <c r="H1081" s="269"/>
      <c r="I1081" s="270"/>
      <c r="J1081" s="347"/>
      <c r="K1081" s="270"/>
      <c r="L1081" s="270"/>
      <c r="M1081" s="348"/>
      <c r="N1081" s="348"/>
      <c r="O1081" s="349"/>
      <c r="P1081" s="350"/>
      <c r="Q1081" s="276"/>
      <c r="R1081" s="277"/>
      <c r="S1081" s="277"/>
      <c r="T1081" s="351"/>
      <c r="U1081" s="278"/>
      <c r="V1081" s="269"/>
      <c r="W1081" s="269"/>
      <c r="X1081" s="275"/>
      <c r="Y1081" s="269"/>
      <c r="Z1081" s="350"/>
      <c r="AA1081" s="207"/>
      <c r="AB1081" s="352"/>
      <c r="AC1081" s="353"/>
      <c r="AD1081" s="54"/>
      <c r="AE1081" s="354"/>
      <c r="AF1081" s="355"/>
      <c r="AG1081" s="349"/>
      <c r="AH1081" s="30"/>
      <c r="AI1081" s="30"/>
      <c r="AJ1081" s="30"/>
      <c r="AK1081" s="30"/>
      <c r="AL1081" s="13"/>
      <c r="AM1081" s="13"/>
      <c r="AN1081" s="13"/>
      <c r="AO1081" s="13"/>
      <c r="AP1081" s="13"/>
      <c r="AQ1081" s="14"/>
      <c r="AR1081" s="15"/>
    </row>
    <row r="1082" spans="1:44" s="17" customFormat="1" ht="30.95" hidden="1" customHeight="1" x14ac:dyDescent="0.2">
      <c r="A1082" s="343" t="s">
        <v>684</v>
      </c>
      <c r="B1082" s="344" t="s">
        <v>444</v>
      </c>
      <c r="C1082" s="345"/>
      <c r="D1082" s="398">
        <v>3735107</v>
      </c>
      <c r="E1082" s="31">
        <v>4151550</v>
      </c>
      <c r="F1082" s="268" t="str">
        <f>IF(D1082="","",VLOOKUP(D1082,契約台帳!$A$3:$K$4986,6,FALSE)&amp;VLOOKUP(D1082,契約台帳!$A$3:$K$4986,7,FALSE)&amp;VLOOKUP(D1082,契約台帳!$A$3:$K$4986,8,FALSE)&amp;VLOOKUP(D1082,契約台帳!$A$3:$K$4986,9,FALSE)&amp;VLOOKUP(D1082,契約台帳!$A$3:$K$4986,11,FALSE))</f>
        <v>3SNMLBMNGKKBF</v>
      </c>
      <c r="G1082" s="269" t="str">
        <f>IF(D1082="","",VLOOKUP(F1082,製品マスタ!$G$5:$H$5002,2,FALSE))</f>
        <v>S</v>
      </c>
      <c r="H1082" s="269" t="str">
        <f>IF(D1082="","",VLOOKUP(F1082,製品マスタ!$G$5:$K$5002,5,FALSE))</f>
        <v>MNGKKBF</v>
      </c>
      <c r="I1082" s="270" t="str">
        <f>IF(D1082="","",VLOOKUP(F1082,製品マスタ!$G$5:$L$5002,6,FALSE))</f>
        <v>メタルミー　ネーマー銀消改　Ｂ</v>
      </c>
      <c r="J1082" s="32" t="s">
        <v>447</v>
      </c>
      <c r="K1082" s="270">
        <f>IF(D1082="","",VLOOKUP(D1082,契約台帳!$A$3:$L$4986,12,FALSE))</f>
        <v>50</v>
      </c>
      <c r="L1082" s="270" t="str">
        <f>IF(D1082="","",INDEX(製品マスタ!$Q$5:$Q$5002,MATCH(F1082&amp;K1082,製品マスタ!$AO$5:$AO$5002,0)))</f>
        <v>S99-MAT</v>
      </c>
      <c r="M1082" s="39">
        <v>1120</v>
      </c>
      <c r="N1082" s="39">
        <v>12000</v>
      </c>
      <c r="O1082" s="47">
        <v>1</v>
      </c>
      <c r="P1082" s="57"/>
      <c r="Q1082" s="276">
        <f>IF(D1082="","",IF(J1082="リード付け",M1082,VLOOKUP(D1082,契約台帳!$A$3:$N$4986,14,FALSE)))</f>
        <v>1120</v>
      </c>
      <c r="R1082" s="277">
        <f>IF(D1082="","",IF(J1082="リード付け",M1082,VLOOKUP(D1082,契約台帳!$A$3:$O$4986,15,FALSE)))</f>
        <v>1120</v>
      </c>
      <c r="S1082" s="277">
        <f>IF(D1082="","",IF(J1082="リード付け",N1082,VLOOKUP(D1082,契約台帳!$A$3:$P$4986,16,FALSE)))</f>
        <v>4000</v>
      </c>
      <c r="T1082" s="40">
        <v>3</v>
      </c>
      <c r="U1082" s="278" t="str">
        <f ca="1">IF(D1082="","",IF(OFFSET(D1082,-2,0)=D1082,"",VLOOKUP(D1082,契約台帳!$A$3:$R$4986,18,FALSE)))</f>
        <v/>
      </c>
      <c r="V1082" s="269" t="str">
        <f>IF(J1082="巻返し",VLOOKUP(F1082&amp;K1082&amp;M1082,製品マスタ!$M$5:$AD$5002,18,FALSE),IF(J1082="リード付け","原反コア",IF(J1082="スリット",VLOOKUP(F1082&amp;K1082&amp;Q1082,製品マスタ!$N$5:$AD$5002,17,FALSE),"")))</f>
        <v>6ｲﾝﾁSｺｱ</v>
      </c>
      <c r="W1082" s="269">
        <f>IF(J1082="巻返し",VLOOKUP(F1082&amp;K1082&amp;M1082,製品マスタ!$M$5:$AE$5002,19,FALSE),IF(J1082="リード付け","-",IF(J1082="スリット",VLOOKUP(F1082&amp;K1082&amp;Q1082,製品マスタ!$N$5:$AE$5002,18,FALSE),"")))</f>
        <v>1125</v>
      </c>
      <c r="X1082" s="275">
        <f>IF(D1082="","",VLOOKUP(D1082,契約台帳!$A$3:$Q$4986,17,FALSE))</f>
        <v>2</v>
      </c>
      <c r="Y1082" s="269" t="str">
        <f>IF(D1082="","",VLOOKUP(D1082,契約台帳!$A$3:$E$4986,5,FALSE))</f>
        <v>リンテック㈱</v>
      </c>
      <c r="Z1082" s="357">
        <v>45279</v>
      </c>
      <c r="AA1082" s="207"/>
      <c r="AB1082" s="369"/>
      <c r="AC1082" s="370"/>
      <c r="AD1082" s="332" t="str">
        <f>IF(F1082="","",+F1082&amp;K1082)</f>
        <v>3SNMLBMNGKKBF50</v>
      </c>
      <c r="AE1082" s="216">
        <f>+M1082*N1082*O1082/1000</f>
        <v>13440</v>
      </c>
      <c r="AF1082" s="43">
        <f>IF(AD1082="","",VLOOKUP(AD1082,原価マスタ!$A$2:$AJ$1693,13,FALSE))</f>
        <v>99</v>
      </c>
      <c r="AG1082" s="47">
        <f>IF(AF1082="","",+AE1082*AF1082/100)</f>
        <v>13305.6</v>
      </c>
      <c r="AH1082" s="30"/>
      <c r="AI1082" s="30"/>
      <c r="AJ1082" s="30"/>
      <c r="AK1082" s="30"/>
      <c r="AL1082" s="13"/>
      <c r="AM1082" s="13"/>
      <c r="AN1082" s="13"/>
      <c r="AO1082" s="13"/>
      <c r="AP1082" s="13"/>
      <c r="AQ1082" s="14"/>
      <c r="AR1082" s="15"/>
    </row>
    <row r="1083" spans="1:44" s="17" customFormat="1" ht="30.95" hidden="1" customHeight="1" x14ac:dyDescent="0.2">
      <c r="A1083" s="343"/>
      <c r="B1083" s="344"/>
      <c r="C1083" s="345"/>
      <c r="D1083" s="346"/>
      <c r="E1083" s="346"/>
      <c r="F1083" s="268"/>
      <c r="G1083" s="269"/>
      <c r="H1083" s="269"/>
      <c r="I1083" s="270"/>
      <c r="J1083" s="347"/>
      <c r="K1083" s="270"/>
      <c r="L1083" s="270"/>
      <c r="M1083" s="348"/>
      <c r="N1083" s="348"/>
      <c r="O1083" s="349"/>
      <c r="P1083" s="350"/>
      <c r="Q1083" s="276"/>
      <c r="R1083" s="277"/>
      <c r="S1083" s="277"/>
      <c r="T1083" s="351"/>
      <c r="U1083" s="278"/>
      <c r="V1083" s="269"/>
      <c r="W1083" s="269"/>
      <c r="X1083" s="275"/>
      <c r="Y1083" s="269"/>
      <c r="Z1083" s="350"/>
      <c r="AA1083" s="207"/>
      <c r="AB1083" s="352"/>
      <c r="AC1083" s="353"/>
      <c r="AD1083" s="54"/>
      <c r="AE1083" s="354"/>
      <c r="AF1083" s="355"/>
      <c r="AG1083" s="349"/>
      <c r="AH1083" s="30"/>
      <c r="AI1083" s="30"/>
      <c r="AJ1083" s="30"/>
      <c r="AK1083" s="30"/>
      <c r="AL1083" s="13"/>
      <c r="AM1083" s="13"/>
      <c r="AN1083" s="13"/>
      <c r="AO1083" s="13"/>
      <c r="AP1083" s="13"/>
      <c r="AQ1083" s="14"/>
      <c r="AR1083" s="15"/>
    </row>
    <row r="1084" spans="1:44" s="17" customFormat="1" ht="30.95" hidden="1" customHeight="1" x14ac:dyDescent="0.2">
      <c r="A1084" s="343"/>
      <c r="B1084" s="344"/>
      <c r="C1084" s="345"/>
      <c r="D1084" s="398">
        <v>3735108</v>
      </c>
      <c r="E1084" s="31">
        <v>4151551</v>
      </c>
      <c r="F1084" s="268" t="str">
        <f>IF(D1084="","",VLOOKUP(D1084,契約台帳!$A$3:$K$4986,6,FALSE)&amp;VLOOKUP(D1084,契約台帳!$A$3:$K$4986,7,FALSE)&amp;VLOOKUP(D1084,契約台帳!$A$3:$K$4986,8,FALSE)&amp;VLOOKUP(D1084,契約台帳!$A$3:$K$4986,9,FALSE)&amp;VLOOKUP(D1084,契約台帳!$A$3:$K$4986,11,FALSE))</f>
        <v>3SNMLBMNGKKBF</v>
      </c>
      <c r="G1084" s="269" t="str">
        <f>IF(D1084="","",VLOOKUP(F1084,製品マスタ!$G$5:$H$5002,2,FALSE))</f>
        <v>S</v>
      </c>
      <c r="H1084" s="269" t="str">
        <f>IF(D1084="","",VLOOKUP(F1084,製品マスタ!$G$5:$K$5002,5,FALSE))</f>
        <v>MNGKKBF</v>
      </c>
      <c r="I1084" s="270" t="str">
        <f>IF(D1084="","",VLOOKUP(F1084,製品マスタ!$G$5:$L$5002,6,FALSE))</f>
        <v>メタルミー　ネーマー銀消改　Ｂ</v>
      </c>
      <c r="J1084" s="32" t="s">
        <v>447</v>
      </c>
      <c r="K1084" s="270">
        <f>IF(D1084="","",VLOOKUP(D1084,契約台帳!$A$3:$L$4986,12,FALSE))</f>
        <v>50</v>
      </c>
      <c r="L1084" s="270" t="str">
        <f>IF(D1084="","",INDEX(製品マスタ!$Q$5:$Q$5002,MATCH(F1084&amp;K1084,製品マスタ!$AO$5:$AO$5002,0)))</f>
        <v>S99-MAT</v>
      </c>
      <c r="M1084" s="39">
        <v>1120</v>
      </c>
      <c r="N1084" s="39">
        <v>12000</v>
      </c>
      <c r="O1084" s="47">
        <v>3</v>
      </c>
      <c r="P1084" s="57"/>
      <c r="Q1084" s="276">
        <f>IF(D1084="","",IF(J1084="リード付け",M1084,VLOOKUP(D1084,契約台帳!$A$3:$N$4986,14,FALSE)))</f>
        <v>1120</v>
      </c>
      <c r="R1084" s="277">
        <f>IF(D1084="","",IF(J1084="リード付け",M1084,VLOOKUP(D1084,契約台帳!$A$3:$O$4986,15,FALSE)))</f>
        <v>1120</v>
      </c>
      <c r="S1084" s="277">
        <f>IF(D1084="","",IF(J1084="リード付け",N1084,VLOOKUP(D1084,契約台帳!$A$3:$P$4986,16,FALSE)))</f>
        <v>4000</v>
      </c>
      <c r="T1084" s="40">
        <v>9</v>
      </c>
      <c r="U1084" s="278">
        <f ca="1">IF(D1084="","",IF(OFFSET(D1084,-2,0)=D1084,"",VLOOKUP(D1084,契約台帳!$A$3:$R$4986,18,FALSE)))</f>
        <v>15</v>
      </c>
      <c r="V1084" s="269" t="str">
        <f>IF(J1084="巻返し",VLOOKUP(F1084&amp;K1084&amp;M1084,製品マスタ!$M$5:$AD$5002,18,FALSE),IF(J1084="リード付け","原反コア",IF(J1084="スリット",VLOOKUP(F1084&amp;K1084&amp;Q1084,製品マスタ!$N$5:$AD$5002,17,FALSE),"")))</f>
        <v>6ｲﾝﾁSｺｱ</v>
      </c>
      <c r="W1084" s="269">
        <f>IF(J1084="巻返し",VLOOKUP(F1084&amp;K1084&amp;M1084,製品マスタ!$M$5:$AE$5002,19,FALSE),IF(J1084="リード付け","-",IF(J1084="スリット",VLOOKUP(F1084&amp;K1084&amp;Q1084,製品マスタ!$N$5:$AE$5002,18,FALSE),"")))</f>
        <v>1125</v>
      </c>
      <c r="X1084" s="275">
        <f>IF(D1084="","",VLOOKUP(D1084,契約台帳!$A$3:$Q$4986,17,FALSE))</f>
        <v>2</v>
      </c>
      <c r="Y1084" s="269" t="str">
        <f>IF(D1084="","",VLOOKUP(D1084,契約台帳!$A$3:$E$4986,5,FALSE))</f>
        <v>リンテック㈱</v>
      </c>
      <c r="Z1084" s="357">
        <v>45281</v>
      </c>
      <c r="AA1084" s="207"/>
      <c r="AB1084" s="369"/>
      <c r="AC1084" s="370"/>
      <c r="AD1084" s="332" t="str">
        <f>IF(F1084="","",+F1084&amp;K1084)</f>
        <v>3SNMLBMNGKKBF50</v>
      </c>
      <c r="AE1084" s="216">
        <f>+M1084*N1084*O1084/1000</f>
        <v>40320</v>
      </c>
      <c r="AF1084" s="43">
        <f>IF(AD1084="","",VLOOKUP(AD1084,原価マスタ!$A$2:$AJ$1693,13,FALSE))</f>
        <v>99</v>
      </c>
      <c r="AG1084" s="47">
        <f>IF(AF1084="","",+AE1084*AF1084/100)</f>
        <v>39916.800000000003</v>
      </c>
      <c r="AH1084" s="30"/>
      <c r="AI1084" s="30"/>
      <c r="AJ1084" s="30"/>
      <c r="AK1084" s="30"/>
      <c r="AL1084" s="13"/>
      <c r="AM1084" s="13"/>
      <c r="AN1084" s="13"/>
      <c r="AO1084" s="13"/>
      <c r="AP1084" s="13"/>
      <c r="AQ1084" s="14"/>
      <c r="AR1084" s="15"/>
    </row>
    <row r="1085" spans="1:44" s="17" customFormat="1" ht="30.95" hidden="1" customHeight="1" x14ac:dyDescent="0.2">
      <c r="A1085" s="343"/>
      <c r="B1085" s="344"/>
      <c r="C1085" s="345"/>
      <c r="D1085" s="346"/>
      <c r="E1085" s="346"/>
      <c r="F1085" s="268"/>
      <c r="G1085" s="269"/>
      <c r="H1085" s="269"/>
      <c r="I1085" s="270"/>
      <c r="J1085" s="347"/>
      <c r="K1085" s="270"/>
      <c r="L1085" s="270"/>
      <c r="M1085" s="348"/>
      <c r="N1085" s="348"/>
      <c r="O1085" s="349"/>
      <c r="P1085" s="350"/>
      <c r="Q1085" s="276"/>
      <c r="R1085" s="277"/>
      <c r="S1085" s="277"/>
      <c r="T1085" s="351"/>
      <c r="U1085" s="278"/>
      <c r="V1085" s="269"/>
      <c r="W1085" s="269"/>
      <c r="X1085" s="275"/>
      <c r="Y1085" s="269"/>
      <c r="Z1085" s="350"/>
      <c r="AA1085" s="207"/>
      <c r="AB1085" s="352"/>
      <c r="AC1085" s="353"/>
      <c r="AD1085" s="54"/>
      <c r="AE1085" s="354"/>
      <c r="AF1085" s="355"/>
      <c r="AG1085" s="349"/>
      <c r="AH1085" s="30"/>
      <c r="AI1085" s="30"/>
      <c r="AJ1085" s="30"/>
      <c r="AK1085" s="30"/>
      <c r="AL1085" s="13"/>
      <c r="AM1085" s="13"/>
      <c r="AN1085" s="13"/>
      <c r="AO1085" s="13"/>
      <c r="AP1085" s="13"/>
      <c r="AQ1085" s="14"/>
      <c r="AR1085" s="15"/>
    </row>
    <row r="1086" spans="1:44" s="17" customFormat="1" ht="30.95" hidden="1" customHeight="1" x14ac:dyDescent="0.2">
      <c r="A1086" s="343" t="s">
        <v>1847</v>
      </c>
      <c r="B1086" s="344" t="s">
        <v>1397</v>
      </c>
      <c r="C1086" s="345"/>
      <c r="D1086" s="346"/>
      <c r="E1086" s="346"/>
      <c r="F1086" s="268"/>
      <c r="G1086" s="269"/>
      <c r="H1086" s="269"/>
      <c r="I1086" s="270"/>
      <c r="J1086" s="364" t="s">
        <v>448</v>
      </c>
      <c r="K1086" s="270"/>
      <c r="L1086" s="270"/>
      <c r="M1086" s="348"/>
      <c r="N1086" s="348"/>
      <c r="O1086" s="349"/>
      <c r="P1086" s="350"/>
      <c r="Q1086" s="276"/>
      <c r="R1086" s="277"/>
      <c r="S1086" s="277"/>
      <c r="T1086" s="351"/>
      <c r="U1086" s="278"/>
      <c r="V1086" s="269"/>
      <c r="W1086" s="269"/>
      <c r="X1086" s="275"/>
      <c r="Y1086" s="269"/>
      <c r="Z1086" s="350"/>
      <c r="AA1086" s="207"/>
      <c r="AB1086" s="352"/>
      <c r="AC1086" s="353"/>
      <c r="AD1086" s="54"/>
      <c r="AE1086" s="354"/>
      <c r="AF1086" s="355"/>
      <c r="AG1086" s="349"/>
      <c r="AH1086" s="30"/>
      <c r="AI1086" s="30"/>
      <c r="AJ1086" s="30"/>
      <c r="AK1086" s="30"/>
      <c r="AL1086" s="13"/>
      <c r="AM1086" s="13"/>
      <c r="AN1086" s="13"/>
      <c r="AO1086" s="13"/>
      <c r="AP1086" s="13"/>
      <c r="AQ1086" s="14"/>
      <c r="AR1086" s="15"/>
    </row>
    <row r="1087" spans="1:44" s="17" customFormat="1" ht="30.95" hidden="1" customHeight="1" x14ac:dyDescent="0.2">
      <c r="A1087" s="343"/>
      <c r="B1087" s="344"/>
      <c r="C1087" s="345"/>
      <c r="D1087" s="346"/>
      <c r="E1087" s="346"/>
      <c r="F1087" s="268"/>
      <c r="G1087" s="269"/>
      <c r="H1087" s="269"/>
      <c r="I1087" s="270"/>
      <c r="J1087" s="364"/>
      <c r="K1087" s="270"/>
      <c r="L1087" s="270"/>
      <c r="M1087" s="348"/>
      <c r="N1087" s="348"/>
      <c r="O1087" s="349"/>
      <c r="P1087" s="350"/>
      <c r="Q1087" s="276"/>
      <c r="R1087" s="277"/>
      <c r="S1087" s="277"/>
      <c r="T1087" s="351"/>
      <c r="U1087" s="278"/>
      <c r="V1087" s="269"/>
      <c r="W1087" s="269"/>
      <c r="X1087" s="275"/>
      <c r="Y1087" s="269"/>
      <c r="Z1087" s="350"/>
      <c r="AA1087" s="207"/>
      <c r="AB1087" s="352"/>
      <c r="AC1087" s="353"/>
      <c r="AD1087" s="54"/>
      <c r="AE1087" s="354"/>
      <c r="AF1087" s="355"/>
      <c r="AG1087" s="349"/>
      <c r="AH1087" s="30"/>
      <c r="AI1087" s="30"/>
      <c r="AJ1087" s="30"/>
      <c r="AK1087" s="30"/>
      <c r="AL1087" s="13"/>
      <c r="AM1087" s="13"/>
      <c r="AN1087" s="13"/>
      <c r="AO1087" s="13"/>
      <c r="AP1087" s="13"/>
      <c r="AQ1087" s="14"/>
      <c r="AR1087" s="15"/>
    </row>
    <row r="1088" spans="1:44" s="17" customFormat="1" ht="30.95" hidden="1" customHeight="1" x14ac:dyDescent="0.2">
      <c r="A1088" s="343" t="s">
        <v>1848</v>
      </c>
      <c r="B1088" s="344" t="s">
        <v>392</v>
      </c>
      <c r="C1088" s="345"/>
      <c r="D1088" s="346"/>
      <c r="E1088" s="346"/>
      <c r="F1088" s="268"/>
      <c r="G1088" s="269"/>
      <c r="H1088" s="269"/>
      <c r="I1088" s="270"/>
      <c r="J1088" s="364" t="s">
        <v>448</v>
      </c>
      <c r="K1088" s="270"/>
      <c r="L1088" s="270"/>
      <c r="M1088" s="348"/>
      <c r="N1088" s="348"/>
      <c r="O1088" s="349"/>
      <c r="P1088" s="350"/>
      <c r="Q1088" s="276"/>
      <c r="R1088" s="277"/>
      <c r="S1088" s="277"/>
      <c r="T1088" s="351"/>
      <c r="U1088" s="278"/>
      <c r="V1088" s="269"/>
      <c r="W1088" s="269"/>
      <c r="X1088" s="275"/>
      <c r="Y1088" s="269"/>
      <c r="Z1088" s="350"/>
      <c r="AA1088" s="207"/>
      <c r="AB1088" s="352"/>
      <c r="AC1088" s="353"/>
      <c r="AD1088" s="54"/>
      <c r="AE1088" s="354"/>
      <c r="AF1088" s="355"/>
      <c r="AG1088" s="349"/>
      <c r="AH1088" s="30"/>
      <c r="AI1088" s="30"/>
      <c r="AJ1088" s="30"/>
      <c r="AK1088" s="30"/>
      <c r="AL1088" s="13"/>
      <c r="AM1088" s="13"/>
      <c r="AN1088" s="13"/>
      <c r="AO1088" s="13"/>
      <c r="AP1088" s="13"/>
      <c r="AQ1088" s="14"/>
      <c r="AR1088" s="15"/>
    </row>
    <row r="1089" spans="1:44" s="17" customFormat="1" ht="30.95" hidden="1" customHeight="1" x14ac:dyDescent="0.2">
      <c r="A1089" s="343"/>
      <c r="B1089" s="344"/>
      <c r="C1089" s="345"/>
      <c r="D1089" s="346"/>
      <c r="E1089" s="346"/>
      <c r="F1089" s="268"/>
      <c r="G1089" s="269"/>
      <c r="H1089" s="269"/>
      <c r="I1089" s="270"/>
      <c r="J1089" s="347"/>
      <c r="K1089" s="270"/>
      <c r="L1089" s="270"/>
      <c r="M1089" s="348"/>
      <c r="N1089" s="348"/>
      <c r="O1089" s="349"/>
      <c r="P1089" s="350"/>
      <c r="Q1089" s="276"/>
      <c r="R1089" s="277"/>
      <c r="S1089" s="277"/>
      <c r="T1089" s="351"/>
      <c r="U1089" s="278"/>
      <c r="V1089" s="269"/>
      <c r="W1089" s="269"/>
      <c r="X1089" s="275"/>
      <c r="Y1089" s="269"/>
      <c r="Z1089" s="350"/>
      <c r="AA1089" s="207"/>
      <c r="AB1089" s="352"/>
      <c r="AC1089" s="353"/>
      <c r="AD1089" s="54"/>
      <c r="AE1089" s="354"/>
      <c r="AF1089" s="355"/>
      <c r="AG1089" s="349"/>
      <c r="AH1089" s="30"/>
      <c r="AI1089" s="30"/>
      <c r="AJ1089" s="30"/>
      <c r="AK1089" s="30"/>
      <c r="AL1089" s="13"/>
      <c r="AM1089" s="13"/>
      <c r="AN1089" s="13"/>
      <c r="AO1089" s="13"/>
      <c r="AP1089" s="13"/>
      <c r="AQ1089" s="14"/>
      <c r="AR1089" s="15"/>
    </row>
    <row r="1090" spans="1:44" s="17" customFormat="1" ht="30.95" hidden="1" customHeight="1" x14ac:dyDescent="0.2">
      <c r="A1090" s="343" t="s">
        <v>678</v>
      </c>
      <c r="B1090" s="344" t="s">
        <v>462</v>
      </c>
      <c r="C1090" s="345"/>
      <c r="D1090" s="398">
        <v>3735108</v>
      </c>
      <c r="E1090" s="31">
        <v>4151551</v>
      </c>
      <c r="F1090" s="268" t="str">
        <f>IF(D1090="","",VLOOKUP(D1090,契約台帳!$A$3:$K$4986,6,FALSE)&amp;VLOOKUP(D1090,契約台帳!$A$3:$K$4986,7,FALSE)&amp;VLOOKUP(D1090,契約台帳!$A$3:$K$4986,8,FALSE)&amp;VLOOKUP(D1090,契約台帳!$A$3:$K$4986,9,FALSE)&amp;VLOOKUP(D1090,契約台帳!$A$3:$K$4986,11,FALSE))</f>
        <v>3SNMLBMNGKKBF</v>
      </c>
      <c r="G1090" s="269" t="str">
        <f>IF(D1090="","",VLOOKUP(F1090,製品マスタ!$G$5:$H$5002,2,FALSE))</f>
        <v>S</v>
      </c>
      <c r="H1090" s="269" t="str">
        <f>IF(D1090="","",VLOOKUP(F1090,製品マスタ!$G$5:$K$5002,5,FALSE))</f>
        <v>MNGKKBF</v>
      </c>
      <c r="I1090" s="270" t="str">
        <f>IF(D1090="","",VLOOKUP(F1090,製品マスタ!$G$5:$L$5002,6,FALSE))</f>
        <v>メタルミー　ネーマー銀消改　Ｂ</v>
      </c>
      <c r="J1090" s="32" t="s">
        <v>447</v>
      </c>
      <c r="K1090" s="270">
        <f>IF(D1090="","",VLOOKUP(D1090,契約台帳!$A$3:$L$4986,12,FALSE))</f>
        <v>50</v>
      </c>
      <c r="L1090" s="270" t="str">
        <f>IF(D1090="","",INDEX(製品マスタ!$Q$5:$Q$5002,MATCH(F1090&amp;K1090,製品マスタ!$AO$5:$AO$5002,0)))</f>
        <v>S99-MAT</v>
      </c>
      <c r="M1090" s="39">
        <v>1120</v>
      </c>
      <c r="N1090" s="39">
        <v>12000</v>
      </c>
      <c r="O1090" s="47">
        <v>2</v>
      </c>
      <c r="P1090" s="57"/>
      <c r="Q1090" s="276">
        <f>IF(D1090="","",IF(J1090="リード付け",M1090,VLOOKUP(D1090,契約台帳!$A$3:$N$4986,14,FALSE)))</f>
        <v>1120</v>
      </c>
      <c r="R1090" s="277">
        <f>IF(D1090="","",IF(J1090="リード付け",M1090,VLOOKUP(D1090,契約台帳!$A$3:$O$4986,15,FALSE)))</f>
        <v>1120</v>
      </c>
      <c r="S1090" s="277">
        <f>IF(D1090="","",IF(J1090="リード付け",N1090,VLOOKUP(D1090,契約台帳!$A$3:$P$4986,16,FALSE)))</f>
        <v>4000</v>
      </c>
      <c r="T1090" s="40">
        <v>6</v>
      </c>
      <c r="U1090" s="278">
        <f ca="1">IF(D1090="","",IF(OFFSET(D1090,-2,0)=D1090,"",VLOOKUP(D1090,契約台帳!$A$3:$R$4986,18,FALSE)))</f>
        <v>15</v>
      </c>
      <c r="V1090" s="269" t="str">
        <f>IF(J1090="巻返し",VLOOKUP(F1090&amp;K1090&amp;M1090,製品マスタ!$M$5:$AD$5002,18,FALSE),IF(J1090="リード付け","原反コア",IF(J1090="スリット",VLOOKUP(F1090&amp;K1090&amp;Q1090,製品マスタ!$N$5:$AD$5002,17,FALSE),"")))</f>
        <v>6ｲﾝﾁSｺｱ</v>
      </c>
      <c r="W1090" s="269">
        <f>IF(J1090="巻返し",VLOOKUP(F1090&amp;K1090&amp;M1090,製品マスタ!$M$5:$AE$5002,19,FALSE),IF(J1090="リード付け","-",IF(J1090="スリット",VLOOKUP(F1090&amp;K1090&amp;Q1090,製品マスタ!$N$5:$AE$5002,18,FALSE),"")))</f>
        <v>1125</v>
      </c>
      <c r="X1090" s="275">
        <f>IF(D1090="","",VLOOKUP(D1090,契約台帳!$A$3:$Q$4986,17,FALSE))</f>
        <v>2</v>
      </c>
      <c r="Y1090" s="269" t="str">
        <f>IF(D1090="","",VLOOKUP(D1090,契約台帳!$A$3:$E$4986,5,FALSE))</f>
        <v>リンテック㈱</v>
      </c>
      <c r="Z1090" s="357">
        <v>45281</v>
      </c>
      <c r="AA1090" s="207"/>
      <c r="AB1090" s="369"/>
      <c r="AC1090" s="370"/>
      <c r="AD1090" s="332" t="str">
        <f>IF(F1090="","",+F1090&amp;K1090)</f>
        <v>3SNMLBMNGKKBF50</v>
      </c>
      <c r="AE1090" s="216">
        <f>+M1090*N1090*O1090/1000</f>
        <v>26880</v>
      </c>
      <c r="AF1090" s="43">
        <f>IF(AD1090="","",VLOOKUP(AD1090,原価マスタ!$A$2:$AJ$1693,13,FALSE))</f>
        <v>99</v>
      </c>
      <c r="AG1090" s="47">
        <f>IF(AF1090="","",+AE1090*AF1090/100)</f>
        <v>26611.200000000001</v>
      </c>
      <c r="AH1090" s="30"/>
      <c r="AI1090" s="30"/>
      <c r="AJ1090" s="30"/>
      <c r="AK1090" s="30"/>
      <c r="AL1090" s="13"/>
      <c r="AM1090" s="13"/>
      <c r="AN1090" s="13"/>
      <c r="AO1090" s="13"/>
      <c r="AP1090" s="13"/>
      <c r="AQ1090" s="14"/>
      <c r="AR1090" s="15"/>
    </row>
    <row r="1091" spans="1:44" s="17" customFormat="1" ht="30.95" hidden="1" customHeight="1" x14ac:dyDescent="0.2">
      <c r="A1091" s="343"/>
      <c r="B1091" s="344"/>
      <c r="C1091" s="345"/>
      <c r="D1091" s="346"/>
      <c r="E1091" s="346"/>
      <c r="F1091" s="268"/>
      <c r="G1091" s="269"/>
      <c r="H1091" s="269"/>
      <c r="I1091" s="270"/>
      <c r="J1091" s="347"/>
      <c r="K1091" s="270"/>
      <c r="L1091" s="270"/>
      <c r="M1091" s="348"/>
      <c r="N1091" s="348"/>
      <c r="O1091" s="349"/>
      <c r="P1091" s="350"/>
      <c r="Q1091" s="276"/>
      <c r="R1091" s="277"/>
      <c r="S1091" s="277"/>
      <c r="T1091" s="351"/>
      <c r="U1091" s="278"/>
      <c r="V1091" s="269"/>
      <c r="W1091" s="269"/>
      <c r="X1091" s="275"/>
      <c r="Y1091" s="269"/>
      <c r="Z1091" s="350"/>
      <c r="AA1091" s="207"/>
      <c r="AB1091" s="352"/>
      <c r="AC1091" s="353"/>
      <c r="AD1091" s="54"/>
      <c r="AE1091" s="354"/>
      <c r="AF1091" s="355"/>
      <c r="AG1091" s="349"/>
      <c r="AH1091" s="30"/>
      <c r="AI1091" s="30"/>
      <c r="AJ1091" s="30"/>
      <c r="AK1091" s="30"/>
      <c r="AL1091" s="13"/>
      <c r="AM1091" s="13"/>
      <c r="AN1091" s="13"/>
      <c r="AO1091" s="13"/>
      <c r="AP1091" s="13"/>
      <c r="AQ1091" s="14"/>
      <c r="AR1091" s="15"/>
    </row>
    <row r="1092" spans="1:44" s="17" customFormat="1" ht="30.95" hidden="1" customHeight="1" x14ac:dyDescent="0.2">
      <c r="A1092" s="343"/>
      <c r="B1092" s="344"/>
      <c r="C1092" s="345"/>
      <c r="D1092" s="398">
        <v>3735112</v>
      </c>
      <c r="E1092" s="31">
        <v>4151546</v>
      </c>
      <c r="F1092" s="268" t="str">
        <f>IF(D1092="","",VLOOKUP(D1092,契約台帳!$A$3:$K$4986,6,FALSE)&amp;VLOOKUP(D1092,契約台帳!$A$3:$K$4986,7,FALSE)&amp;VLOOKUP(D1092,契約台帳!$A$3:$K$4986,8,FALSE)&amp;VLOOKUP(D1092,契約台帳!$A$3:$K$4986,9,FALSE)&amp;VLOOKUP(D1092,契約台帳!$A$3:$K$4986,11,FALSE))</f>
        <v>3SNMLBMNGKBF</v>
      </c>
      <c r="G1092" s="269" t="str">
        <f>IF(D1092="","",VLOOKUP(F1092,製品マスタ!$G$5:$H$5002,2,FALSE))</f>
        <v>S</v>
      </c>
      <c r="H1092" s="269" t="str">
        <f>IF(D1092="","",VLOOKUP(F1092,製品マスタ!$G$5:$K$5002,5,FALSE))</f>
        <v>MNGKBF</v>
      </c>
      <c r="I1092" s="270" t="str">
        <f>IF(D1092="","",VLOOKUP(F1092,製品マスタ!$G$5:$L$5002,6,FALSE))</f>
        <v>メタルミー　ネーマー銀消　Ｂ</v>
      </c>
      <c r="J1092" s="32" t="s">
        <v>447</v>
      </c>
      <c r="K1092" s="270">
        <f>IF(D1092="","",VLOOKUP(D1092,契約台帳!$A$3:$L$4986,12,FALSE))</f>
        <v>75</v>
      </c>
      <c r="L1092" s="270" t="str">
        <f>IF(D1092="","",INDEX(製品マスタ!$Q$5:$Q$5002,MATCH(F1092&amp;K1092,製品マスタ!$AO$5:$AO$5002,0)))</f>
        <v>MAT</v>
      </c>
      <c r="M1092" s="39">
        <v>1050</v>
      </c>
      <c r="N1092" s="39">
        <v>4000</v>
      </c>
      <c r="O1092" s="47">
        <v>1</v>
      </c>
      <c r="P1092" s="57"/>
      <c r="Q1092" s="276">
        <f>IF(D1092="","",IF(J1092="リード付け",M1092,VLOOKUP(D1092,契約台帳!$A$3:$N$4986,14,FALSE)))</f>
        <v>1050</v>
      </c>
      <c r="R1092" s="277">
        <f>IF(D1092="","",IF(J1092="リード付け",M1092,VLOOKUP(D1092,契約台帳!$A$3:$O$4986,15,FALSE)))</f>
        <v>1050</v>
      </c>
      <c r="S1092" s="277">
        <f>IF(D1092="","",IF(J1092="リード付け",N1092,VLOOKUP(D1092,契約台帳!$A$3:$P$4986,16,FALSE)))</f>
        <v>2000</v>
      </c>
      <c r="T1092" s="40">
        <v>2</v>
      </c>
      <c r="U1092" s="278">
        <f ca="1">IF(D1092="","",IF(OFFSET(D1092,-2,0)=D1092,"",VLOOKUP(D1092,契約台帳!$A$3:$R$4986,18,FALSE)))</f>
        <v>2</v>
      </c>
      <c r="V1092" s="269" t="str">
        <f>IF(J1092="巻返し",VLOOKUP(F1092&amp;K1092&amp;M1092,製品マスタ!$M$5:$AD$5002,18,FALSE),IF(J1092="リード付け","原反コア",IF(J1092="スリット",VLOOKUP(F1092&amp;K1092&amp;Q1092,製品マスタ!$N$5:$AD$5002,17,FALSE),"")))</f>
        <v>6ｲﾝﾁSｺｱ</v>
      </c>
      <c r="W1092" s="269">
        <f>IF(J1092="巻返し",VLOOKUP(F1092&amp;K1092&amp;M1092,製品マスタ!$M$5:$AE$5002,19,FALSE),IF(J1092="リード付け","-",IF(J1092="スリット",VLOOKUP(F1092&amp;K1092&amp;Q1092,製品マスタ!$N$5:$AE$5002,18,FALSE),"")))</f>
        <v>1055</v>
      </c>
      <c r="X1092" s="275">
        <f>IF(D1092="","",VLOOKUP(D1092,契約台帳!$A$3:$Q$4986,17,FALSE))</f>
        <v>2</v>
      </c>
      <c r="Y1092" s="269" t="str">
        <f>IF(D1092="","",VLOOKUP(D1092,契約台帳!$A$3:$E$4986,5,FALSE))</f>
        <v>リンテック㈱</v>
      </c>
      <c r="Z1092" s="357">
        <v>45282</v>
      </c>
      <c r="AA1092" s="207"/>
      <c r="AB1092" s="369"/>
      <c r="AC1092" s="370"/>
      <c r="AD1092" s="332" t="str">
        <f>IF(F1092="","",+F1092&amp;K1092)</f>
        <v>3SNMLBMNGKBF75</v>
      </c>
      <c r="AE1092" s="216">
        <f>+M1092*N1092*O1092/1000</f>
        <v>4200</v>
      </c>
      <c r="AF1092" s="43">
        <f>IF(AD1092="","",VLOOKUP(AD1092,原価マスタ!$A$2:$AJ$1693,13,FALSE))</f>
        <v>97</v>
      </c>
      <c r="AG1092" s="47">
        <f>IF(AF1092="","",+AE1092*AF1092/100)</f>
        <v>4074</v>
      </c>
      <c r="AH1092" s="30"/>
      <c r="AI1092" s="30"/>
      <c r="AJ1092" s="30"/>
      <c r="AK1092" s="30"/>
      <c r="AL1092" s="13"/>
      <c r="AM1092" s="13"/>
      <c r="AN1092" s="13"/>
      <c r="AO1092" s="13"/>
      <c r="AP1092" s="13"/>
      <c r="AQ1092" s="14"/>
      <c r="AR1092" s="15"/>
    </row>
    <row r="1093" spans="1:44" s="17" customFormat="1" ht="30.95" hidden="1" customHeight="1" x14ac:dyDescent="0.2">
      <c r="A1093" s="343"/>
      <c r="B1093" s="344"/>
      <c r="C1093" s="345"/>
      <c r="D1093" s="346"/>
      <c r="E1093" s="346"/>
      <c r="F1093" s="268"/>
      <c r="G1093" s="269"/>
      <c r="H1093" s="269"/>
      <c r="I1093" s="270"/>
      <c r="J1093" s="347"/>
      <c r="K1093" s="270"/>
      <c r="L1093" s="270"/>
      <c r="M1093" s="348"/>
      <c r="N1093" s="348"/>
      <c r="O1093" s="349"/>
      <c r="P1093" s="350"/>
      <c r="Q1093" s="276"/>
      <c r="R1093" s="277"/>
      <c r="S1093" s="277"/>
      <c r="T1093" s="351"/>
      <c r="U1093" s="278"/>
      <c r="V1093" s="269"/>
      <c r="W1093" s="269"/>
      <c r="X1093" s="275"/>
      <c r="Y1093" s="269"/>
      <c r="Z1093" s="350"/>
      <c r="AA1093" s="207"/>
      <c r="AB1093" s="352"/>
      <c r="AC1093" s="353"/>
      <c r="AD1093" s="54"/>
      <c r="AE1093" s="354"/>
      <c r="AF1093" s="355"/>
      <c r="AG1093" s="349"/>
      <c r="AH1093" s="30"/>
      <c r="AI1093" s="30"/>
      <c r="AJ1093" s="30"/>
      <c r="AK1093" s="30"/>
      <c r="AL1093" s="13"/>
      <c r="AM1093" s="13"/>
      <c r="AN1093" s="13"/>
      <c r="AO1093" s="13"/>
      <c r="AP1093" s="13"/>
      <c r="AQ1093" s="14"/>
      <c r="AR1093" s="15"/>
    </row>
    <row r="1094" spans="1:44" s="17" customFormat="1" ht="30.95" hidden="1" customHeight="1" x14ac:dyDescent="0.2">
      <c r="A1094" s="343"/>
      <c r="B1094" s="344"/>
      <c r="C1094" s="345"/>
      <c r="D1094" s="398">
        <v>3735104</v>
      </c>
      <c r="E1094" s="31">
        <v>4151547</v>
      </c>
      <c r="F1094" s="268" t="str">
        <f>IF(D1094="","",VLOOKUP(D1094,契約台帳!$A$3:$K$4986,6,FALSE)&amp;VLOOKUP(D1094,契約台帳!$A$3:$K$4986,7,FALSE)&amp;VLOOKUP(D1094,契約台帳!$A$3:$K$4986,8,FALSE)&amp;VLOOKUP(D1094,契約台帳!$A$3:$K$4986,9,FALSE)&amp;VLOOKUP(D1094,契約台帳!$A$3:$K$4986,11,FALSE))</f>
        <v>3SNMLBMNGKKBF</v>
      </c>
      <c r="G1094" s="269" t="str">
        <f>IF(D1094="","",VLOOKUP(F1094,製品マスタ!$G$5:$H$5002,2,FALSE))</f>
        <v>S</v>
      </c>
      <c r="H1094" s="269" t="str">
        <f>IF(D1094="","",VLOOKUP(F1094,製品マスタ!$G$5:$K$5002,5,FALSE))</f>
        <v>MNGKKBF</v>
      </c>
      <c r="I1094" s="270" t="str">
        <f>IF(D1094="","",VLOOKUP(F1094,製品マスタ!$G$5:$L$5002,6,FALSE))</f>
        <v>メタルミー　ネーマー銀消改　Ｂ</v>
      </c>
      <c r="J1094" s="32" t="s">
        <v>447</v>
      </c>
      <c r="K1094" s="270">
        <f>IF(D1094="","",VLOOKUP(D1094,契約台帳!$A$3:$L$4986,12,FALSE))</f>
        <v>25</v>
      </c>
      <c r="L1094" s="270" t="str">
        <f>IF(D1094="","",INDEX(製品マスタ!$Q$5:$Q$5002,MATCH(F1094&amp;K1094,製品マスタ!$AO$5:$AO$5002,0)))</f>
        <v>FMATS99</v>
      </c>
      <c r="M1094" s="39">
        <v>1000</v>
      </c>
      <c r="N1094" s="39">
        <v>8000</v>
      </c>
      <c r="O1094" s="47">
        <v>1</v>
      </c>
      <c r="P1094" s="57"/>
      <c r="Q1094" s="276">
        <f>IF(D1094="","",IF(J1094="リード付け",M1094,VLOOKUP(D1094,契約台帳!$A$3:$N$4986,14,FALSE)))</f>
        <v>1000</v>
      </c>
      <c r="R1094" s="277">
        <f>IF(D1094="","",IF(J1094="リード付け",M1094,VLOOKUP(D1094,契約台帳!$A$3:$O$4986,15,FALSE)))</f>
        <v>1000</v>
      </c>
      <c r="S1094" s="277">
        <f>IF(D1094="","",IF(J1094="リード付け",N1094,VLOOKUP(D1094,契約台帳!$A$3:$P$4986,16,FALSE)))</f>
        <v>4000</v>
      </c>
      <c r="T1094" s="40">
        <v>2</v>
      </c>
      <c r="U1094" s="278">
        <f ca="1">IF(D1094="","",IF(OFFSET(D1094,-2,0)=D1094,"",VLOOKUP(D1094,契約台帳!$A$3:$R$4986,18,FALSE)))</f>
        <v>2</v>
      </c>
      <c r="V1094" s="269" t="str">
        <f>IF(J1094="巻返し",VLOOKUP(F1094&amp;K1094&amp;M1094,製品マスタ!$M$5:$AD$5002,18,FALSE),IF(J1094="リード付け","原反コア",IF(J1094="スリット",VLOOKUP(F1094&amp;K1094&amp;Q1094,製品マスタ!$N$5:$AD$5002,17,FALSE),"")))</f>
        <v>6ｲﾝﾁSｺｱ</v>
      </c>
      <c r="W1094" s="269">
        <f>IF(J1094="巻返し",VLOOKUP(F1094&amp;K1094&amp;M1094,製品マスタ!$M$5:$AE$5002,19,FALSE),IF(J1094="リード付け","-",IF(J1094="スリット",VLOOKUP(F1094&amp;K1094&amp;Q1094,製品マスタ!$N$5:$AE$5002,18,FALSE),"")))</f>
        <v>1005</v>
      </c>
      <c r="X1094" s="275">
        <f>IF(D1094="","",VLOOKUP(D1094,契約台帳!$A$3:$Q$4986,17,FALSE))</f>
        <v>2</v>
      </c>
      <c r="Y1094" s="269" t="str">
        <f>IF(D1094="","",VLOOKUP(D1094,契約台帳!$A$3:$E$4986,5,FALSE))</f>
        <v>リンテック㈱</v>
      </c>
      <c r="Z1094" s="357">
        <v>45282</v>
      </c>
      <c r="AA1094" s="207"/>
      <c r="AB1094" s="369"/>
      <c r="AC1094" s="370"/>
      <c r="AD1094" s="332" t="str">
        <f>IF(F1094="","",+F1094&amp;K1094)</f>
        <v>3SNMLBMNGKKBF25</v>
      </c>
      <c r="AE1094" s="216">
        <f>+M1094*N1094*O1094/1000</f>
        <v>8000</v>
      </c>
      <c r="AF1094" s="43">
        <f>IF(AD1094="","",VLOOKUP(AD1094,原価マスタ!$A$2:$AJ$1693,13,FALSE))</f>
        <v>96</v>
      </c>
      <c r="AG1094" s="47">
        <f>IF(AF1094="","",+AE1094*AF1094/100)</f>
        <v>7680</v>
      </c>
      <c r="AH1094" s="30"/>
      <c r="AI1094" s="30"/>
      <c r="AJ1094" s="30"/>
      <c r="AK1094" s="30"/>
      <c r="AL1094" s="13"/>
      <c r="AM1094" s="13"/>
      <c r="AN1094" s="13"/>
      <c r="AO1094" s="13"/>
      <c r="AP1094" s="13"/>
      <c r="AQ1094" s="14"/>
      <c r="AR1094" s="15"/>
    </row>
    <row r="1095" spans="1:44" s="17" customFormat="1" ht="30.95" hidden="1" customHeight="1" x14ac:dyDescent="0.2">
      <c r="A1095" s="343"/>
      <c r="B1095" s="344"/>
      <c r="C1095" s="345"/>
      <c r="D1095" s="346"/>
      <c r="E1095" s="346"/>
      <c r="F1095" s="268"/>
      <c r="G1095" s="269"/>
      <c r="H1095" s="269"/>
      <c r="I1095" s="270"/>
      <c r="J1095" s="347"/>
      <c r="K1095" s="270"/>
      <c r="L1095" s="270"/>
      <c r="M1095" s="348"/>
      <c r="N1095" s="348"/>
      <c r="O1095" s="349"/>
      <c r="P1095" s="350"/>
      <c r="Q1095" s="276"/>
      <c r="R1095" s="277"/>
      <c r="S1095" s="277"/>
      <c r="T1095" s="351"/>
      <c r="U1095" s="278"/>
      <c r="V1095" s="269"/>
      <c r="W1095" s="269"/>
      <c r="X1095" s="275"/>
      <c r="Y1095" s="269"/>
      <c r="Z1095" s="350"/>
      <c r="AA1095" s="207"/>
      <c r="AB1095" s="352"/>
      <c r="AC1095" s="353"/>
      <c r="AD1095" s="54"/>
      <c r="AE1095" s="354"/>
      <c r="AF1095" s="355"/>
      <c r="AG1095" s="349"/>
      <c r="AH1095" s="30"/>
      <c r="AI1095" s="30"/>
      <c r="AJ1095" s="30"/>
      <c r="AK1095" s="30"/>
      <c r="AL1095" s="13"/>
      <c r="AM1095" s="13"/>
      <c r="AN1095" s="13"/>
      <c r="AO1095" s="13"/>
      <c r="AP1095" s="13"/>
      <c r="AQ1095" s="14"/>
      <c r="AR1095" s="15"/>
    </row>
    <row r="1096" spans="1:44" s="17" customFormat="1" ht="30.95" hidden="1" customHeight="1" x14ac:dyDescent="0.2">
      <c r="A1096" s="343"/>
      <c r="B1096" s="344"/>
      <c r="C1096" s="345"/>
      <c r="D1096" s="398">
        <v>3735106</v>
      </c>
      <c r="E1096" s="31">
        <v>4151549</v>
      </c>
      <c r="F1096" s="268" t="str">
        <f>IF(D1096="","",VLOOKUP(D1096,契約台帳!$A$3:$K$4986,6,FALSE)&amp;VLOOKUP(D1096,契約台帳!$A$3:$K$4986,7,FALSE)&amp;VLOOKUP(D1096,契約台帳!$A$3:$K$4986,8,FALSE)&amp;VLOOKUP(D1096,契約台帳!$A$3:$K$4986,9,FALSE)&amp;VLOOKUP(D1096,契約台帳!$A$3:$K$4986,11,FALSE))</f>
        <v>3SNMLBMNGKKBF</v>
      </c>
      <c r="G1096" s="269" t="str">
        <f>IF(D1096="","",VLOOKUP(F1096,製品マスタ!$G$5:$H$5002,2,FALSE))</f>
        <v>S</v>
      </c>
      <c r="H1096" s="269" t="str">
        <f>IF(D1096="","",VLOOKUP(F1096,製品マスタ!$G$5:$K$5002,5,FALSE))</f>
        <v>MNGKKBF</v>
      </c>
      <c r="I1096" s="270" t="str">
        <f>IF(D1096="","",VLOOKUP(F1096,製品マスタ!$G$5:$L$5002,6,FALSE))</f>
        <v>メタルミー　ネーマー銀消改　Ｂ</v>
      </c>
      <c r="J1096" s="32" t="s">
        <v>447</v>
      </c>
      <c r="K1096" s="270">
        <f>IF(D1096="","",VLOOKUP(D1096,契約台帳!$A$3:$L$4986,12,FALSE))</f>
        <v>50</v>
      </c>
      <c r="L1096" s="270" t="str">
        <f>IF(D1096="","",INDEX(製品マスタ!$Q$5:$Q$5002,MATCH(F1096&amp;K1096,製品マスタ!$AO$5:$AO$5002,0)))</f>
        <v>S99-MAT</v>
      </c>
      <c r="M1096" s="39">
        <v>1000</v>
      </c>
      <c r="N1096" s="39">
        <v>12000</v>
      </c>
      <c r="O1096" s="47">
        <v>1</v>
      </c>
      <c r="P1096" s="57"/>
      <c r="Q1096" s="276">
        <f>IF(D1096="","",IF(J1096="リード付け",M1096,VLOOKUP(D1096,契約台帳!$A$3:$N$4986,14,FALSE)))</f>
        <v>1000</v>
      </c>
      <c r="R1096" s="277">
        <f>IF(D1096="","",IF(J1096="リード付け",M1096,VLOOKUP(D1096,契約台帳!$A$3:$O$4986,15,FALSE)))</f>
        <v>1000</v>
      </c>
      <c r="S1096" s="277">
        <f>IF(D1096="","",IF(J1096="リード付け",N1096,VLOOKUP(D1096,契約台帳!$A$3:$P$4986,16,FALSE)))</f>
        <v>4000</v>
      </c>
      <c r="T1096" s="40">
        <v>3</v>
      </c>
      <c r="U1096" s="278">
        <f ca="1">IF(D1096="","",IF(OFFSET(D1096,-2,0)=D1096,"",VLOOKUP(D1096,契約台帳!$A$3:$R$4986,18,FALSE)))</f>
        <v>3</v>
      </c>
      <c r="V1096" s="269" t="str">
        <f>IF(J1096="巻返し",VLOOKUP(F1096&amp;K1096&amp;M1096,製品マスタ!$M$5:$AD$5002,18,FALSE),IF(J1096="リード付け","原反コア",IF(J1096="スリット",VLOOKUP(F1096&amp;K1096&amp;Q1096,製品マスタ!$N$5:$AD$5002,17,FALSE),"")))</f>
        <v>6ｲﾝﾁSｺｱ</v>
      </c>
      <c r="W1096" s="269">
        <f>IF(J1096="巻返し",VLOOKUP(F1096&amp;K1096&amp;M1096,製品マスタ!$M$5:$AE$5002,19,FALSE),IF(J1096="リード付け","-",IF(J1096="スリット",VLOOKUP(F1096&amp;K1096&amp;Q1096,製品マスタ!$N$5:$AE$5002,18,FALSE),"")))</f>
        <v>1005</v>
      </c>
      <c r="X1096" s="275">
        <f>IF(D1096="","",VLOOKUP(D1096,契約台帳!$A$3:$Q$4986,17,FALSE))</f>
        <v>2</v>
      </c>
      <c r="Y1096" s="269" t="str">
        <f>IF(D1096="","",VLOOKUP(D1096,契約台帳!$A$3:$E$4986,5,FALSE))</f>
        <v>リンテック㈱</v>
      </c>
      <c r="Z1096" s="357">
        <v>45282</v>
      </c>
      <c r="AA1096" s="207"/>
      <c r="AB1096" s="369"/>
      <c r="AC1096" s="370"/>
      <c r="AD1096" s="332" t="str">
        <f>IF(F1096="","",+F1096&amp;K1096)</f>
        <v>3SNMLBMNGKKBF50</v>
      </c>
      <c r="AE1096" s="216">
        <f>+M1096*N1096*O1096/1000</f>
        <v>12000</v>
      </c>
      <c r="AF1096" s="43">
        <f>IF(AD1096="","",VLOOKUP(AD1096,原価マスタ!$A$2:$AJ$1693,13,FALSE))</f>
        <v>99</v>
      </c>
      <c r="AG1096" s="47">
        <f>IF(AF1096="","",+AE1096*AF1096/100)</f>
        <v>11880</v>
      </c>
      <c r="AH1096" s="30"/>
      <c r="AI1096" s="30"/>
      <c r="AJ1096" s="30"/>
      <c r="AK1096" s="30"/>
      <c r="AL1096" s="13"/>
      <c r="AM1096" s="13"/>
      <c r="AN1096" s="13"/>
      <c r="AO1096" s="13"/>
      <c r="AP1096" s="13"/>
      <c r="AQ1096" s="14"/>
      <c r="AR1096" s="15"/>
    </row>
    <row r="1097" spans="1:44" s="17" customFormat="1" ht="30.95" hidden="1" customHeight="1" x14ac:dyDescent="0.2">
      <c r="A1097" s="343"/>
      <c r="B1097" s="344"/>
      <c r="C1097" s="345"/>
      <c r="D1097" s="346"/>
      <c r="E1097" s="346"/>
      <c r="F1097" s="268"/>
      <c r="G1097" s="269"/>
      <c r="H1097" s="269"/>
      <c r="I1097" s="270"/>
      <c r="J1097" s="347"/>
      <c r="K1097" s="270"/>
      <c r="L1097" s="270"/>
      <c r="M1097" s="348"/>
      <c r="N1097" s="348"/>
      <c r="O1097" s="349"/>
      <c r="P1097" s="350"/>
      <c r="Q1097" s="276"/>
      <c r="R1097" s="277"/>
      <c r="S1097" s="277"/>
      <c r="T1097" s="351"/>
      <c r="U1097" s="278"/>
      <c r="V1097" s="269"/>
      <c r="W1097" s="269"/>
      <c r="X1097" s="275"/>
      <c r="Y1097" s="269"/>
      <c r="Z1097" s="350"/>
      <c r="AA1097" s="207"/>
      <c r="AB1097" s="352"/>
      <c r="AC1097" s="353"/>
      <c r="AD1097" s="54"/>
      <c r="AE1097" s="354"/>
      <c r="AF1097" s="355"/>
      <c r="AG1097" s="349"/>
      <c r="AH1097" s="30"/>
      <c r="AI1097" s="30"/>
      <c r="AJ1097" s="30"/>
      <c r="AK1097" s="30"/>
      <c r="AL1097" s="13"/>
      <c r="AM1097" s="13"/>
      <c r="AN1097" s="13"/>
      <c r="AO1097" s="13"/>
      <c r="AP1097" s="13"/>
      <c r="AQ1097" s="14"/>
      <c r="AR1097" s="15"/>
    </row>
    <row r="1098" spans="1:44" s="17" customFormat="1" ht="30.95" hidden="1" customHeight="1" x14ac:dyDescent="0.2">
      <c r="A1098" s="343" t="s">
        <v>679</v>
      </c>
      <c r="B1098" s="344" t="s">
        <v>688</v>
      </c>
      <c r="C1098" s="345"/>
      <c r="D1098" s="398">
        <v>3735099</v>
      </c>
      <c r="E1098" s="31">
        <v>4151557</v>
      </c>
      <c r="F1098" s="268" t="str">
        <f>IF(D1098="","",VLOOKUP(D1098,契約台帳!$A$3:$K$4986,6,FALSE)&amp;VLOOKUP(D1098,契約台帳!$A$3:$K$4986,7,FALSE)&amp;VLOOKUP(D1098,契約台帳!$A$3:$K$4986,8,FALSE)&amp;VLOOKUP(D1098,契約台帳!$A$3:$K$4986,9,FALSE)&amp;VLOOKUP(D1098,契約台帳!$A$3:$K$4986,11,FALSE))</f>
        <v>3TNDMSX42GPC</v>
      </c>
      <c r="G1098" s="269" t="str">
        <f>IF(D1098="","",VLOOKUP(F1098,製品マスタ!$G$5:$H$5002,2,FALSE))</f>
        <v>T</v>
      </c>
      <c r="H1098" s="269" t="str">
        <f>IF(D1098="","",VLOOKUP(F1098,製品マスタ!$G$5:$K$5002,5,FALSE))</f>
        <v>X42GPC</v>
      </c>
      <c r="I1098" s="270" t="str">
        <f>IF(D1098="","",VLOOKUP(F1098,製品マスタ!$G$5:$L$5002,6,FALSE))</f>
        <v>ＤＭＳ（Ｘ４２Ｇ）ＰＣ</v>
      </c>
      <c r="J1098" s="32" t="s">
        <v>447</v>
      </c>
      <c r="K1098" s="270">
        <f>IF(D1098="","",VLOOKUP(D1098,契約台帳!$A$3:$L$4986,12,FALSE))</f>
        <v>50</v>
      </c>
      <c r="L1098" s="270" t="str">
        <f>IF(D1098="","",INDEX(製品マスタ!$Q$5:$Q$5002,MATCH(F1098&amp;K1098,製品マスタ!$AO$5:$AO$5002,0)))</f>
        <v>X42G</v>
      </c>
      <c r="M1098" s="39">
        <v>1360</v>
      </c>
      <c r="N1098" s="39">
        <v>4100</v>
      </c>
      <c r="O1098" s="47">
        <v>1</v>
      </c>
      <c r="P1098" s="57"/>
      <c r="Q1098" s="276">
        <f>IF(D1098="","",IF(J1098="リード付け",M1098,VLOOKUP(D1098,契約台帳!$A$3:$N$4986,14,FALSE)))</f>
        <v>680</v>
      </c>
      <c r="R1098" s="277">
        <f>IF(D1098="","",IF(J1098="リード付け",M1098,VLOOKUP(D1098,契約台帳!$A$3:$O$4986,15,FALSE)))</f>
        <v>680</v>
      </c>
      <c r="S1098" s="277">
        <f>IF(D1098="","",IF(J1098="リード付け",N1098,VLOOKUP(D1098,契約台帳!$A$3:$P$4986,16,FALSE)))</f>
        <v>2000</v>
      </c>
      <c r="T1098" s="40">
        <v>4</v>
      </c>
      <c r="U1098" s="278">
        <f ca="1">IF(D1098="","",IF(OFFSET(D1098,-2,0)=D1098,"",VLOOKUP(D1098,契約台帳!$A$3:$R$4986,18,FALSE)))</f>
        <v>4</v>
      </c>
      <c r="V1098" s="269" t="str">
        <f>IF(J1098="巻返し",VLOOKUP(F1098&amp;K1098&amp;M1098,製品マスタ!$M$5:$AD$5002,18,FALSE),IF(J1098="リード付け","原反コア",IF(J1098="スリット",VLOOKUP(F1098&amp;K1098&amp;Q1098,製品マスタ!$N$5:$AD$5002,17,FALSE),"")))</f>
        <v>3ｲﾝﾁMｺｱ</v>
      </c>
      <c r="W1098" s="269">
        <f>IF(J1098="巻返し",VLOOKUP(F1098&amp;K1098&amp;M1098,製品マスタ!$M$5:$AE$5002,19,FALSE),IF(J1098="リード付け","-",IF(J1098="スリット",VLOOKUP(F1098&amp;K1098&amp;Q1098,製品マスタ!$N$5:$AE$5002,18,FALSE),"")))</f>
        <v>690</v>
      </c>
      <c r="X1098" s="275">
        <f>IF(D1098="","",VLOOKUP(D1098,契約台帳!$A$3:$Q$4986,17,FALSE))</f>
        <v>2</v>
      </c>
      <c r="Y1098" s="269" t="str">
        <f>IF(D1098="","",VLOOKUP(D1098,契約台帳!$A$3:$E$4986,5,FALSE))</f>
        <v>㈱ポラテクノ</v>
      </c>
      <c r="Z1098" s="357">
        <v>45283</v>
      </c>
      <c r="AA1098" s="207" t="s">
        <v>1467</v>
      </c>
      <c r="AB1098" s="369"/>
      <c r="AC1098" s="370"/>
      <c r="AD1098" s="332" t="str">
        <f>IF(F1098="","",+F1098&amp;K1098)</f>
        <v>3TNDMSX42GPC50</v>
      </c>
      <c r="AE1098" s="216">
        <f>+M1098*N1098*O1098/1000</f>
        <v>5576</v>
      </c>
      <c r="AF1098" s="43"/>
      <c r="AG1098" s="47"/>
      <c r="AH1098" s="30"/>
      <c r="AI1098" s="30"/>
      <c r="AJ1098" s="30"/>
      <c r="AK1098" s="30"/>
      <c r="AL1098" s="13"/>
      <c r="AM1098" s="13"/>
      <c r="AN1098" s="13"/>
      <c r="AO1098" s="13"/>
      <c r="AP1098" s="13"/>
      <c r="AQ1098" s="14"/>
      <c r="AR1098" s="15"/>
    </row>
    <row r="1099" spans="1:44" s="17" customFormat="1" ht="30.95" hidden="1" customHeight="1" x14ac:dyDescent="0.2">
      <c r="A1099" s="343"/>
      <c r="B1099" s="344"/>
      <c r="C1099" s="345"/>
      <c r="D1099" s="346"/>
      <c r="E1099" s="346"/>
      <c r="F1099" s="268"/>
      <c r="G1099" s="269"/>
      <c r="H1099" s="269"/>
      <c r="I1099" s="270"/>
      <c r="J1099" s="347"/>
      <c r="K1099" s="270"/>
      <c r="L1099" s="270"/>
      <c r="M1099" s="348"/>
      <c r="N1099" s="348"/>
      <c r="O1099" s="349"/>
      <c r="P1099" s="350"/>
      <c r="Q1099" s="276"/>
      <c r="R1099" s="277"/>
      <c r="S1099" s="277"/>
      <c r="T1099" s="351"/>
      <c r="U1099" s="278"/>
      <c r="V1099" s="269"/>
      <c r="W1099" s="269"/>
      <c r="X1099" s="275"/>
      <c r="Y1099" s="269"/>
      <c r="Z1099" s="350"/>
      <c r="AA1099" s="207"/>
      <c r="AB1099" s="352"/>
      <c r="AC1099" s="353"/>
      <c r="AD1099" s="54"/>
      <c r="AE1099" s="354"/>
      <c r="AF1099" s="355"/>
      <c r="AG1099" s="349"/>
      <c r="AH1099" s="30"/>
      <c r="AI1099" s="30"/>
      <c r="AJ1099" s="30"/>
      <c r="AK1099" s="30"/>
      <c r="AL1099" s="13"/>
      <c r="AM1099" s="13"/>
      <c r="AN1099" s="13"/>
      <c r="AO1099" s="13"/>
      <c r="AP1099" s="13"/>
      <c r="AQ1099" s="14"/>
      <c r="AR1099" s="15"/>
    </row>
    <row r="1100" spans="1:44" s="17" customFormat="1" ht="30.95" hidden="1" customHeight="1" x14ac:dyDescent="0.2">
      <c r="A1100" s="343"/>
      <c r="B1100" s="344"/>
      <c r="C1100" s="345"/>
      <c r="D1100" s="346">
        <v>5362620</v>
      </c>
      <c r="E1100" s="346">
        <v>4151568</v>
      </c>
      <c r="F1100" s="268"/>
      <c r="G1100" s="269" t="s">
        <v>450</v>
      </c>
      <c r="H1100" s="269" t="s">
        <v>230</v>
      </c>
      <c r="I1100" s="270" t="s">
        <v>231</v>
      </c>
      <c r="J1100" s="347" t="s">
        <v>1877</v>
      </c>
      <c r="K1100" s="270">
        <v>25</v>
      </c>
      <c r="L1100" s="270" t="s">
        <v>1878</v>
      </c>
      <c r="M1100" s="348">
        <v>510</v>
      </c>
      <c r="N1100" s="348">
        <v>2000</v>
      </c>
      <c r="O1100" s="349">
        <v>1</v>
      </c>
      <c r="P1100" s="350"/>
      <c r="Q1100" s="276">
        <v>340</v>
      </c>
      <c r="R1100" s="277">
        <v>340</v>
      </c>
      <c r="S1100" s="277">
        <v>300</v>
      </c>
      <c r="T1100" s="351">
        <v>6</v>
      </c>
      <c r="U1100" s="278">
        <v>6</v>
      </c>
      <c r="V1100" s="269" t="s">
        <v>1879</v>
      </c>
      <c r="W1100" s="269">
        <v>400</v>
      </c>
      <c r="X1100" s="275">
        <v>1</v>
      </c>
      <c r="Y1100" s="269" t="s">
        <v>61</v>
      </c>
      <c r="Z1100" s="350" t="s">
        <v>1887</v>
      </c>
      <c r="AA1100" s="207"/>
      <c r="AB1100" s="352"/>
      <c r="AC1100" s="353"/>
      <c r="AD1100" s="54"/>
      <c r="AE1100" s="354"/>
      <c r="AF1100" s="355"/>
      <c r="AG1100" s="349"/>
      <c r="AH1100" s="30"/>
      <c r="AI1100" s="30"/>
      <c r="AJ1100" s="30"/>
      <c r="AK1100" s="30"/>
      <c r="AL1100" s="13"/>
      <c r="AM1100" s="13"/>
      <c r="AN1100" s="13"/>
      <c r="AO1100" s="13"/>
      <c r="AP1100" s="13"/>
      <c r="AQ1100" s="14"/>
      <c r="AR1100" s="15"/>
    </row>
    <row r="1101" spans="1:44" s="17" customFormat="1" ht="30.95" hidden="1" customHeight="1" x14ac:dyDescent="0.2">
      <c r="A1101" s="343"/>
      <c r="B1101" s="344"/>
      <c r="C1101" s="345"/>
      <c r="D1101" s="346"/>
      <c r="E1101" s="413" t="s">
        <v>932</v>
      </c>
      <c r="F1101" s="268"/>
      <c r="G1101" s="269"/>
      <c r="H1101" s="269"/>
      <c r="I1101" s="270"/>
      <c r="J1101" s="347"/>
      <c r="K1101" s="270"/>
      <c r="L1101" s="270"/>
      <c r="M1101" s="348"/>
      <c r="N1101" s="348"/>
      <c r="O1101" s="349"/>
      <c r="P1101" s="350"/>
      <c r="Q1101" s="276"/>
      <c r="R1101" s="277"/>
      <c r="S1101" s="277"/>
      <c r="T1101" s="351"/>
      <c r="U1101" s="278"/>
      <c r="V1101" s="269"/>
      <c r="W1101" s="269"/>
      <c r="X1101" s="275"/>
      <c r="Y1101" s="269"/>
      <c r="Z1101" s="350"/>
      <c r="AA1101" s="207"/>
      <c r="AB1101" s="352"/>
      <c r="AC1101" s="353"/>
      <c r="AD1101" s="54"/>
      <c r="AE1101" s="354"/>
      <c r="AF1101" s="355"/>
      <c r="AG1101" s="349"/>
      <c r="AH1101" s="30"/>
      <c r="AI1101" s="30"/>
      <c r="AJ1101" s="30"/>
      <c r="AK1101" s="30"/>
      <c r="AL1101" s="13"/>
      <c r="AM1101" s="13"/>
      <c r="AN1101" s="13"/>
      <c r="AO1101" s="13"/>
      <c r="AP1101" s="13"/>
      <c r="AQ1101" s="14"/>
      <c r="AR1101" s="15"/>
    </row>
    <row r="1102" spans="1:44" s="17" customFormat="1" ht="30.95" hidden="1" customHeight="1" x14ac:dyDescent="0.2">
      <c r="A1102" s="343"/>
      <c r="B1102" s="344"/>
      <c r="C1102" s="345"/>
      <c r="D1102" s="398">
        <v>3735116</v>
      </c>
      <c r="E1102" s="31">
        <v>4151552</v>
      </c>
      <c r="F1102" s="268" t="str">
        <f>IF(D1102="","",VLOOKUP(D1102,契約台帳!$A$3:$K$4986,6,FALSE)&amp;VLOOKUP(D1102,契約台帳!$A$3:$K$4986,7,FALSE)&amp;VLOOKUP(D1102,契約台帳!$A$3:$K$4986,8,FALSE)&amp;VLOOKUP(D1102,契約台帳!$A$3:$K$4986,9,FALSE)&amp;VLOOKUP(D1102,契約台帳!$A$3:$K$4986,11,FALSE))</f>
        <v>3SNMLBMNGTBF</v>
      </c>
      <c r="G1102" s="269" t="str">
        <f>IF(D1102="","",VLOOKUP(F1102,製品マスタ!$G$5:$H$5002,2,FALSE))</f>
        <v>S</v>
      </c>
      <c r="H1102" s="269" t="str">
        <f>IF(D1102="","",VLOOKUP(F1102,製品マスタ!$G$5:$K$5002,5,FALSE))</f>
        <v>MNGTBF</v>
      </c>
      <c r="I1102" s="270" t="str">
        <f>IF(D1102="","",VLOOKUP(F1102,製品マスタ!$G$5:$L$5002,6,FALSE))</f>
        <v>メタルミー　ネーマー　銀艶　Ｂ</v>
      </c>
      <c r="J1102" s="32" t="s">
        <v>447</v>
      </c>
      <c r="K1102" s="270">
        <f>IF(D1102="","",VLOOKUP(D1102,契約台帳!$A$3:$L$4986,12,FALSE))</f>
        <v>25</v>
      </c>
      <c r="L1102" s="270" t="str">
        <f>IF(D1102="","",INDEX(製品マスタ!$Q$5:$Q$5002,MATCH(F1102&amp;K1102,製品マスタ!$AO$5:$AO$5002,0)))</f>
        <v>T62M</v>
      </c>
      <c r="M1102" s="39">
        <v>1005</v>
      </c>
      <c r="N1102" s="39">
        <v>12100</v>
      </c>
      <c r="O1102" s="47">
        <v>3</v>
      </c>
      <c r="P1102" s="57"/>
      <c r="Q1102" s="276">
        <f>IF(D1102="","",IF(J1102="リード付け",M1102,VLOOKUP(D1102,契約台帳!$A$3:$N$4986,14,FALSE)))</f>
        <v>1005</v>
      </c>
      <c r="R1102" s="277">
        <f>IF(D1102="","",IF(J1102="リード付け",M1102,VLOOKUP(D1102,契約台帳!$A$3:$O$4986,15,FALSE)))</f>
        <v>1000</v>
      </c>
      <c r="S1102" s="277">
        <f>IF(D1102="","",IF(J1102="リード付け",N1102,VLOOKUP(D1102,契約台帳!$A$3:$P$4986,16,FALSE)))</f>
        <v>4000</v>
      </c>
      <c r="T1102" s="40">
        <v>9</v>
      </c>
      <c r="U1102" s="278">
        <f ca="1">IF(D1102="","",IF(OFFSET(D1102,-2,0)=D1102,"",VLOOKUP(D1102,契約台帳!$A$3:$R$4986,18,FALSE)))</f>
        <v>15</v>
      </c>
      <c r="V1102" s="269" t="str">
        <f>IF(J1102="巻返し",VLOOKUP(F1102&amp;K1102&amp;M1102,製品マスタ!$M$5:$AD$5002,18,FALSE),IF(J1102="リード付け","原反コア",IF(J1102="スリット",VLOOKUP(F1102&amp;K1102&amp;Q1102,製品マスタ!$N$5:$AD$5002,17,FALSE),"")))</f>
        <v>6ｲﾝﾁSｺｱ</v>
      </c>
      <c r="W1102" s="269">
        <f>IF(J1102="巻返し",VLOOKUP(F1102&amp;K1102&amp;M1102,製品マスタ!$M$5:$AE$5002,19,FALSE),IF(J1102="リード付け","-",IF(J1102="スリット",VLOOKUP(F1102&amp;K1102&amp;Q1102,製品マスタ!$N$5:$AE$5002,18,FALSE),"")))</f>
        <v>1015</v>
      </c>
      <c r="X1102" s="275">
        <f>IF(D1102="","",VLOOKUP(D1102,契約台帳!$A$3:$Q$4986,17,FALSE))</f>
        <v>2</v>
      </c>
      <c r="Y1102" s="269" t="str">
        <f>IF(D1102="","",VLOOKUP(D1102,契約台帳!$A$3:$E$4986,5,FALSE))</f>
        <v>リンテック㈱</v>
      </c>
      <c r="Z1102" s="357">
        <v>45282</v>
      </c>
      <c r="AA1102" s="207"/>
      <c r="AB1102" s="369"/>
      <c r="AC1102" s="370"/>
      <c r="AD1102" s="332" t="str">
        <f>IF(F1102="","",+F1102&amp;K1102)</f>
        <v>3SNMLBMNGTBF25</v>
      </c>
      <c r="AE1102" s="216">
        <f>+M1102*N1102*O1102/1000</f>
        <v>36481.5</v>
      </c>
      <c r="AF1102" s="43">
        <f>IF(AD1102="","",VLOOKUP(AD1102,原価マスタ!$A$2:$AJ$1693,13,FALSE))</f>
        <v>97.5</v>
      </c>
      <c r="AG1102" s="47">
        <f>IF(AF1102="","",+AE1102*AF1102/100)</f>
        <v>35569.462500000001</v>
      </c>
      <c r="AH1102" s="30"/>
      <c r="AI1102" s="30"/>
      <c r="AJ1102" s="30"/>
      <c r="AK1102" s="30"/>
      <c r="AL1102" s="13"/>
      <c r="AM1102" s="13"/>
      <c r="AN1102" s="13"/>
      <c r="AO1102" s="13"/>
      <c r="AP1102" s="13"/>
      <c r="AQ1102" s="14"/>
      <c r="AR1102" s="15"/>
    </row>
    <row r="1103" spans="1:44" s="17" customFormat="1" ht="30.95" hidden="1" customHeight="1" x14ac:dyDescent="0.2">
      <c r="A1103" s="343"/>
      <c r="B1103" s="344"/>
      <c r="C1103" s="345"/>
      <c r="D1103" s="346"/>
      <c r="E1103" s="346"/>
      <c r="F1103" s="268"/>
      <c r="G1103" s="269"/>
      <c r="H1103" s="269"/>
      <c r="I1103" s="270"/>
      <c r="J1103" s="347"/>
      <c r="K1103" s="270"/>
      <c r="L1103" s="270"/>
      <c r="M1103" s="348"/>
      <c r="N1103" s="348"/>
      <c r="O1103" s="349"/>
      <c r="P1103" s="350"/>
      <c r="Q1103" s="276"/>
      <c r="R1103" s="277"/>
      <c r="S1103" s="277"/>
      <c r="T1103" s="351"/>
      <c r="U1103" s="278"/>
      <c r="V1103" s="269"/>
      <c r="W1103" s="269"/>
      <c r="X1103" s="275"/>
      <c r="Y1103" s="269"/>
      <c r="Z1103" s="350"/>
      <c r="AA1103" s="207"/>
      <c r="AB1103" s="352"/>
      <c r="AC1103" s="353"/>
      <c r="AD1103" s="54"/>
      <c r="AE1103" s="354"/>
      <c r="AF1103" s="355"/>
      <c r="AG1103" s="349"/>
      <c r="AH1103" s="30"/>
      <c r="AI1103" s="30"/>
      <c r="AJ1103" s="30"/>
      <c r="AK1103" s="30"/>
      <c r="AL1103" s="13"/>
      <c r="AM1103" s="13"/>
      <c r="AN1103" s="13"/>
      <c r="AO1103" s="13"/>
      <c r="AP1103" s="13"/>
      <c r="AQ1103" s="14"/>
      <c r="AR1103" s="15"/>
    </row>
    <row r="1104" spans="1:44" s="17" customFormat="1" ht="30.95" hidden="1" customHeight="1" x14ac:dyDescent="0.2">
      <c r="A1104" s="343" t="s">
        <v>685</v>
      </c>
      <c r="B1104" s="344" t="s">
        <v>442</v>
      </c>
      <c r="C1104" s="345"/>
      <c r="D1104" s="398">
        <v>3735116</v>
      </c>
      <c r="E1104" s="31">
        <v>4151552</v>
      </c>
      <c r="F1104" s="268" t="str">
        <f>IF(D1104="","",VLOOKUP(D1104,契約台帳!$A$3:$K$4986,6,FALSE)&amp;VLOOKUP(D1104,契約台帳!$A$3:$K$4986,7,FALSE)&amp;VLOOKUP(D1104,契約台帳!$A$3:$K$4986,8,FALSE)&amp;VLOOKUP(D1104,契約台帳!$A$3:$K$4986,9,FALSE)&amp;VLOOKUP(D1104,契約台帳!$A$3:$K$4986,11,FALSE))</f>
        <v>3SNMLBMNGTBF</v>
      </c>
      <c r="G1104" s="269" t="str">
        <f>IF(D1104="","",VLOOKUP(F1104,製品マスタ!$G$5:$H$5002,2,FALSE))</f>
        <v>S</v>
      </c>
      <c r="H1104" s="269" t="str">
        <f>IF(D1104="","",VLOOKUP(F1104,製品マスタ!$G$5:$K$5002,5,FALSE))</f>
        <v>MNGTBF</v>
      </c>
      <c r="I1104" s="270" t="str">
        <f>IF(D1104="","",VLOOKUP(F1104,製品マスタ!$G$5:$L$5002,6,FALSE))</f>
        <v>メタルミー　ネーマー　銀艶　Ｂ</v>
      </c>
      <c r="J1104" s="32" t="s">
        <v>447</v>
      </c>
      <c r="K1104" s="270">
        <f>IF(D1104="","",VLOOKUP(D1104,契約台帳!$A$3:$L$4986,12,FALSE))</f>
        <v>25</v>
      </c>
      <c r="L1104" s="270" t="str">
        <f>IF(D1104="","",INDEX(製品マスタ!$Q$5:$Q$5002,MATCH(F1104&amp;K1104,製品マスタ!$AO$5:$AO$5002,0)))</f>
        <v>T62M</v>
      </c>
      <c r="M1104" s="39">
        <v>1005</v>
      </c>
      <c r="N1104" s="39">
        <v>12100</v>
      </c>
      <c r="O1104" s="47">
        <v>2</v>
      </c>
      <c r="P1104" s="57"/>
      <c r="Q1104" s="276">
        <f>IF(D1104="","",IF(J1104="リード付け",M1104,VLOOKUP(D1104,契約台帳!$A$3:$N$4986,14,FALSE)))</f>
        <v>1005</v>
      </c>
      <c r="R1104" s="277">
        <f>IF(D1104="","",IF(J1104="リード付け",M1104,VLOOKUP(D1104,契約台帳!$A$3:$O$4986,15,FALSE)))</f>
        <v>1000</v>
      </c>
      <c r="S1104" s="277">
        <f>IF(D1104="","",IF(J1104="リード付け",N1104,VLOOKUP(D1104,契約台帳!$A$3:$P$4986,16,FALSE)))</f>
        <v>4000</v>
      </c>
      <c r="T1104" s="40">
        <v>6</v>
      </c>
      <c r="U1104" s="278" t="str">
        <f ca="1">IF(D1104="","",IF(OFFSET(D1104,-2,0)=D1104,"",VLOOKUP(D1104,契約台帳!$A$3:$R$4986,18,FALSE)))</f>
        <v/>
      </c>
      <c r="V1104" s="269" t="str">
        <f>IF(J1104="巻返し",VLOOKUP(F1104&amp;K1104&amp;M1104,製品マスタ!$M$5:$AD$5002,18,FALSE),IF(J1104="リード付け","原反コア",IF(J1104="スリット",VLOOKUP(F1104&amp;K1104&amp;Q1104,製品マスタ!$N$5:$AD$5002,17,FALSE),"")))</f>
        <v>6ｲﾝﾁSｺｱ</v>
      </c>
      <c r="W1104" s="269">
        <f>IF(J1104="巻返し",VLOOKUP(F1104&amp;K1104&amp;M1104,製品マスタ!$M$5:$AE$5002,19,FALSE),IF(J1104="リード付け","-",IF(J1104="スリット",VLOOKUP(F1104&amp;K1104&amp;Q1104,製品マスタ!$N$5:$AE$5002,18,FALSE),"")))</f>
        <v>1015</v>
      </c>
      <c r="X1104" s="275">
        <f>IF(D1104="","",VLOOKUP(D1104,契約台帳!$A$3:$Q$4986,17,FALSE))</f>
        <v>2</v>
      </c>
      <c r="Y1104" s="269" t="str">
        <f>IF(D1104="","",VLOOKUP(D1104,契約台帳!$A$3:$E$4986,5,FALSE))</f>
        <v>リンテック㈱</v>
      </c>
      <c r="Z1104" s="357">
        <v>45282</v>
      </c>
      <c r="AA1104" s="207"/>
      <c r="AB1104" s="369"/>
      <c r="AC1104" s="370"/>
      <c r="AD1104" s="332" t="str">
        <f>IF(F1104="","",+F1104&amp;K1104)</f>
        <v>3SNMLBMNGTBF25</v>
      </c>
      <c r="AE1104" s="216">
        <f>+M1104*N1104*O1104/1000</f>
        <v>24321</v>
      </c>
      <c r="AF1104" s="43">
        <f>IF(AD1104="","",VLOOKUP(AD1104,原価マスタ!$A$2:$AJ$1693,13,FALSE))</f>
        <v>97.5</v>
      </c>
      <c r="AG1104" s="47">
        <f>IF(AF1104="","",+AE1104*AF1104/100)</f>
        <v>23712.974999999999</v>
      </c>
      <c r="AH1104" s="30"/>
      <c r="AI1104" s="30"/>
      <c r="AJ1104" s="30"/>
      <c r="AK1104" s="30"/>
      <c r="AL1104" s="13"/>
      <c r="AM1104" s="13"/>
      <c r="AN1104" s="13"/>
      <c r="AO1104" s="13"/>
      <c r="AP1104" s="13"/>
      <c r="AQ1104" s="14"/>
      <c r="AR1104" s="15"/>
    </row>
    <row r="1105" spans="1:44" s="17" customFormat="1" ht="30.95" hidden="1" customHeight="1" x14ac:dyDescent="0.2">
      <c r="A1105" s="343"/>
      <c r="B1105" s="344"/>
      <c r="C1105" s="345"/>
      <c r="D1105" s="346"/>
      <c r="E1105" s="346"/>
      <c r="F1105" s="268"/>
      <c r="G1105" s="269"/>
      <c r="H1105" s="269"/>
      <c r="I1105" s="270"/>
      <c r="J1105" s="347"/>
      <c r="K1105" s="270"/>
      <c r="L1105" s="270"/>
      <c r="M1105" s="348"/>
      <c r="N1105" s="348"/>
      <c r="O1105" s="349"/>
      <c r="P1105" s="350"/>
      <c r="Q1105" s="276"/>
      <c r="R1105" s="277"/>
      <c r="S1105" s="277"/>
      <c r="T1105" s="351"/>
      <c r="U1105" s="278"/>
      <c r="V1105" s="269"/>
      <c r="W1105" s="269"/>
      <c r="X1105" s="275"/>
      <c r="Y1105" s="269"/>
      <c r="Z1105" s="350"/>
      <c r="AA1105" s="207"/>
      <c r="AB1105" s="352"/>
      <c r="AC1105" s="353"/>
      <c r="AD1105" s="54"/>
      <c r="AE1105" s="354"/>
      <c r="AF1105" s="355"/>
      <c r="AG1105" s="349"/>
      <c r="AH1105" s="30"/>
      <c r="AI1105" s="30"/>
      <c r="AJ1105" s="30"/>
      <c r="AK1105" s="30"/>
      <c r="AL1105" s="13"/>
      <c r="AM1105" s="13"/>
      <c r="AN1105" s="13"/>
      <c r="AO1105" s="13"/>
      <c r="AP1105" s="13"/>
      <c r="AQ1105" s="14"/>
      <c r="AR1105" s="15"/>
    </row>
    <row r="1106" spans="1:44" s="17" customFormat="1" ht="30.6" hidden="1" customHeight="1" x14ac:dyDescent="0.2">
      <c r="A1106" s="343"/>
      <c r="B1106" s="344"/>
      <c r="C1106" s="345"/>
      <c r="D1106" s="398">
        <v>3735117</v>
      </c>
      <c r="E1106" s="31">
        <v>4151561</v>
      </c>
      <c r="F1106" s="268" t="str">
        <f>IF(D1106="","",VLOOKUP(D1106,契約台帳!$A$3:$K$4986,6,FALSE)&amp;VLOOKUP(D1106,契約台帳!$A$3:$K$4986,7,FALSE)&amp;VLOOKUP(D1106,契約台帳!$A$3:$K$4986,8,FALSE)&amp;VLOOKUP(D1106,契約台帳!$A$3:$K$4986,9,FALSE)&amp;VLOOKUP(D1106,契約台帳!$A$3:$K$4986,11,FALSE))</f>
        <v>3HSNMLBMNGTBF</v>
      </c>
      <c r="G1106" s="269" t="str">
        <f>IF(D1106="","",VLOOKUP(F1106,製品マスタ!$G$5:$H$5002,2,FALSE))</f>
        <v>S</v>
      </c>
      <c r="H1106" s="269" t="str">
        <f>IF(D1106="","",VLOOKUP(F1106,製品マスタ!$G$5:$K$5002,5,FALSE))</f>
        <v>MNGTBF</v>
      </c>
      <c r="I1106" s="270" t="str">
        <f>IF(D1106="","",VLOOKUP(F1106,製品マスタ!$G$5:$L$5002,6,FALSE))</f>
        <v>メタルミー　ネーマー　銀艶　Ｂ</v>
      </c>
      <c r="J1106" s="32" t="s">
        <v>447</v>
      </c>
      <c r="K1106" s="270">
        <f>IF(D1106="","",VLOOKUP(D1106,契約台帳!$A$3:$L$4986,12,FALSE))</f>
        <v>50</v>
      </c>
      <c r="L1106" s="270" t="str">
        <f>IF(D1106="","",INDEX(製品マスタ!$Q$5:$Q$5002,MATCH(F1106&amp;K1106,製品マスタ!$AO$5:$AO$5002,0)))</f>
        <v>T62M</v>
      </c>
      <c r="M1106" s="39">
        <v>1195</v>
      </c>
      <c r="N1106" s="39">
        <v>10200</v>
      </c>
      <c r="O1106" s="47">
        <v>3</v>
      </c>
      <c r="P1106" s="57"/>
      <c r="Q1106" s="276">
        <f>IF(D1106="","",IF(J1106="リード付け",M1106,VLOOKUP(D1106,契約台帳!$A$3:$N$4986,14,FALSE)))</f>
        <v>1120</v>
      </c>
      <c r="R1106" s="277">
        <f>IF(D1106="","",IF(J1106="リード付け",M1106,VLOOKUP(D1106,契約台帳!$A$3:$O$4986,15,FALSE)))</f>
        <v>1120</v>
      </c>
      <c r="S1106" s="277">
        <f>IF(D1106="","",IF(J1106="リード付け",N1106,VLOOKUP(D1106,契約台帳!$A$3:$P$4986,16,FALSE)))</f>
        <v>5000</v>
      </c>
      <c r="T1106" s="40">
        <v>6</v>
      </c>
      <c r="U1106" s="278">
        <f ca="1">IF(D1106="","",IF(OFFSET(D1106,-2,0)=D1106,"",VLOOKUP(D1106,契約台帳!$A$3:$R$4986,18,FALSE)))</f>
        <v>25</v>
      </c>
      <c r="V1106" s="269" t="str">
        <f>IF(J1106="巻返し",VLOOKUP(F1106&amp;K1106&amp;M1106,製品マスタ!$M$5:$AD$5002,18,FALSE),IF(J1106="リード付け","原反コア",IF(J1106="スリット",VLOOKUP(F1106&amp;K1106&amp;Q1106,製品マスタ!$N$5:$AD$5002,17,FALSE),"")))</f>
        <v>6ｲﾝﾁSｺｱ</v>
      </c>
      <c r="W1106" s="269">
        <f>IF(J1106="巻返し",VLOOKUP(F1106&amp;K1106&amp;M1106,製品マスタ!$M$5:$AE$5002,19,FALSE),IF(J1106="リード付け","-",IF(J1106="スリット",VLOOKUP(F1106&amp;K1106&amp;Q1106,製品マスタ!$N$5:$AE$5002,18,FALSE),"")))</f>
        <v>1125</v>
      </c>
      <c r="X1106" s="275">
        <f>IF(D1106="","",VLOOKUP(D1106,契約台帳!$A$3:$Q$4986,17,FALSE))</f>
        <v>2</v>
      </c>
      <c r="Y1106" s="269" t="str">
        <f>IF(D1106="","",VLOOKUP(D1106,契約台帳!$A$3:$E$4986,5,FALSE))</f>
        <v>リンテック㈱</v>
      </c>
      <c r="Z1106" s="357">
        <v>45288</v>
      </c>
      <c r="AA1106" s="207"/>
      <c r="AB1106" s="369"/>
      <c r="AC1106" s="370"/>
      <c r="AD1106" s="332" t="str">
        <f>IF(F1106="","",+F1106&amp;K1106)</f>
        <v>3HSNMLBMNGTBF50</v>
      </c>
      <c r="AE1106" s="216">
        <f>+M1106*N1106*O1106/1000</f>
        <v>36567</v>
      </c>
      <c r="AF1106" s="43" t="e">
        <f>IF(AD1106="","",VLOOKUP(AD1106,原価マスタ!$A$2:$AJ$1693,13,FALSE))</f>
        <v>#N/A</v>
      </c>
      <c r="AG1106" s="47" t="e">
        <f>IF(AF1106="","",+AE1106*AF1106/100)</f>
        <v>#N/A</v>
      </c>
      <c r="AH1106" s="30"/>
      <c r="AI1106" s="30"/>
      <c r="AJ1106" s="30"/>
      <c r="AK1106" s="30"/>
      <c r="AL1106" s="13"/>
      <c r="AM1106" s="13"/>
      <c r="AN1106" s="13"/>
      <c r="AO1106" s="13"/>
      <c r="AP1106" s="13"/>
      <c r="AQ1106" s="14"/>
      <c r="AR1106" s="15"/>
    </row>
    <row r="1107" spans="1:44" s="17" customFormat="1" ht="30.95" hidden="1" customHeight="1" x14ac:dyDescent="0.2">
      <c r="A1107" s="343"/>
      <c r="B1107" s="344"/>
      <c r="C1107" s="345"/>
      <c r="D1107" s="346"/>
      <c r="E1107" s="346"/>
      <c r="F1107" s="268"/>
      <c r="G1107" s="269"/>
      <c r="H1107" s="269"/>
      <c r="I1107" s="270"/>
      <c r="J1107" s="347"/>
      <c r="K1107" s="270"/>
      <c r="L1107" s="270"/>
      <c r="M1107" s="348"/>
      <c r="N1107" s="348"/>
      <c r="O1107" s="349"/>
      <c r="P1107" s="350"/>
      <c r="Q1107" s="276"/>
      <c r="R1107" s="277"/>
      <c r="S1107" s="277"/>
      <c r="T1107" s="351"/>
      <c r="U1107" s="278"/>
      <c r="V1107" s="269"/>
      <c r="W1107" s="269"/>
      <c r="X1107" s="275"/>
      <c r="Y1107" s="269"/>
      <c r="Z1107" s="350"/>
      <c r="AA1107" s="207"/>
      <c r="AB1107" s="352"/>
      <c r="AC1107" s="353"/>
      <c r="AD1107" s="54"/>
      <c r="AE1107" s="354"/>
      <c r="AF1107" s="355"/>
      <c r="AG1107" s="349"/>
      <c r="AH1107" s="30"/>
      <c r="AI1107" s="30"/>
      <c r="AJ1107" s="30"/>
      <c r="AK1107" s="30"/>
      <c r="AL1107" s="13"/>
      <c r="AM1107" s="13"/>
      <c r="AN1107" s="13"/>
      <c r="AO1107" s="13"/>
      <c r="AP1107" s="13"/>
      <c r="AQ1107" s="14"/>
      <c r="AR1107" s="15"/>
    </row>
    <row r="1108" spans="1:44" s="17" customFormat="1" ht="30.95" hidden="1" customHeight="1" x14ac:dyDescent="0.2">
      <c r="A1108" s="343" t="s">
        <v>686</v>
      </c>
      <c r="B1108" s="344" t="s">
        <v>443</v>
      </c>
      <c r="C1108" s="345"/>
      <c r="D1108" s="398">
        <v>3731444</v>
      </c>
      <c r="E1108" s="31" t="s">
        <v>1880</v>
      </c>
      <c r="F1108" s="268" t="str">
        <f>IF(D1108="","",VLOOKUP(D1108,契約台帳!$A$3:$K$4986,6,FALSE)&amp;VLOOKUP(D1108,契約台帳!$A$3:$K$4986,7,FALSE)&amp;VLOOKUP(D1108,契約台帳!$A$3:$K$4986,8,FALSE)&amp;VLOOKUP(D1108,契約台帳!$A$3:$K$4986,9,FALSE)&amp;VLOOKUP(D1108,契約台帳!$A$3:$K$4986,11,FALSE))</f>
        <v>3UYKNZMCRALCB</v>
      </c>
      <c r="G1108" s="269" t="str">
        <f>IF(D1108="","",VLOOKUP(F1108,製品マスタ!$G$5:$H$5002,2,FALSE))</f>
        <v>U</v>
      </c>
      <c r="H1108" s="269" t="str">
        <f>IF(D1108="","",VLOOKUP(F1108,製品マスタ!$G$5:$K$5002,5,FALSE))</f>
        <v>MCRALCB</v>
      </c>
      <c r="I1108" s="270" t="str">
        <f>IF(D1108="","",VLOOKUP(F1108,製品マスタ!$G$5:$L$5002,6,FALSE))</f>
        <v>Metalumy CR aluminum surface coat B</v>
      </c>
      <c r="J1108" s="32" t="s">
        <v>447</v>
      </c>
      <c r="K1108" s="270">
        <f>IF(D1108="","",VLOOKUP(D1108,契約台帳!$A$3:$L$4986,12,FALSE))</f>
        <v>25</v>
      </c>
      <c r="L1108" s="270" t="str">
        <f>IF(D1108="","",INDEX(製品マスタ!$Q$5:$Q$5002,MATCH(F1108&amp;K1108,製品マスタ!$AO$5:$AO$5002,0)))</f>
        <v>S28M</v>
      </c>
      <c r="M1108" s="39">
        <v>1110</v>
      </c>
      <c r="N1108" s="39">
        <v>12100</v>
      </c>
      <c r="O1108" s="47">
        <v>2</v>
      </c>
      <c r="P1108" s="57"/>
      <c r="Q1108" s="276">
        <f>IF(D1108="","",IF(J1108="リード付け",M1108,VLOOKUP(D1108,契約台帳!$A$3:$N$4986,14,FALSE)))</f>
        <v>1050</v>
      </c>
      <c r="R1108" s="277">
        <f>IF(D1108="","",IF(J1108="リード付け",M1108,VLOOKUP(D1108,契約台帳!$A$3:$O$4986,15,FALSE)))</f>
        <v>1050</v>
      </c>
      <c r="S1108" s="277">
        <f>IF(D1108="","",IF(J1108="リード付け",N1108,VLOOKUP(D1108,契約台帳!$A$3:$P$4986,16,FALSE)))</f>
        <v>6000</v>
      </c>
      <c r="T1108" s="40">
        <v>4</v>
      </c>
      <c r="U1108" s="278">
        <f ca="1">IF(D1108="","",IF(OFFSET(D1108,-2,0)=D1108,"",VLOOKUP(D1108,契約台帳!$A$3:$R$4986,18,FALSE)))</f>
        <v>4</v>
      </c>
      <c r="V1108" s="269" t="str">
        <f>IF(J1108="巻返し",VLOOKUP(F1108&amp;K1108&amp;M1108,製品マスタ!$M$5:$AD$5002,18,FALSE),IF(J1108="リード付け","原反コア",IF(J1108="スリット",VLOOKUP(F1108&amp;K1108&amp;Q1108,製品マスタ!$N$5:$AD$5002,17,FALSE),"")))</f>
        <v>6ｲﾝﾁABS</v>
      </c>
      <c r="W1108" s="269">
        <f>IF(J1108="巻返し",VLOOKUP(F1108&amp;K1108&amp;M1108,製品マスタ!$M$5:$AE$5002,19,FALSE),IF(J1108="リード付け","-",IF(J1108="スリット",VLOOKUP(F1108&amp;K1108&amp;Q1108,製品マスタ!$N$5:$AE$5002,18,FALSE),"")))</f>
        <v>1250</v>
      </c>
      <c r="X1108" s="275">
        <f>IF(D1108="","",VLOOKUP(D1108,契約台帳!$A$3:$Q$4986,17,FALSE))</f>
        <v>1</v>
      </c>
      <c r="Y1108" s="269" t="str">
        <f>IF(D1108="","",VLOOKUP(D1108,契約台帳!$A$3:$E$4986,5,FALSE))</f>
        <v>日東電工有限公司</v>
      </c>
      <c r="Z1108" s="357" t="s">
        <v>1869</v>
      </c>
      <c r="AA1108" s="207" t="s">
        <v>1470</v>
      </c>
      <c r="AB1108" s="369"/>
      <c r="AC1108" s="370"/>
      <c r="AD1108" s="332" t="str">
        <f>IF(F1108="","",+F1108&amp;K1108)</f>
        <v>3UYKNZMCRALCB25</v>
      </c>
      <c r="AE1108" s="216">
        <f>+M1108*N1108*O1108/1000</f>
        <v>26862</v>
      </c>
      <c r="AF1108" s="43"/>
      <c r="AG1108" s="47"/>
      <c r="AH1108" s="30"/>
      <c r="AI1108" s="30"/>
      <c r="AJ1108" s="30"/>
      <c r="AK1108" s="30"/>
      <c r="AL1108" s="13"/>
      <c r="AM1108" s="13"/>
      <c r="AN1108" s="13"/>
      <c r="AO1108" s="13"/>
      <c r="AP1108" s="13"/>
      <c r="AQ1108" s="14"/>
      <c r="AR1108" s="15"/>
    </row>
    <row r="1109" spans="1:44" s="17" customFormat="1" ht="30.95" hidden="1" customHeight="1" x14ac:dyDescent="0.2">
      <c r="A1109" s="343"/>
      <c r="B1109" s="344"/>
      <c r="C1109" s="345"/>
      <c r="D1109" s="346"/>
      <c r="E1109" s="346"/>
      <c r="F1109" s="268"/>
      <c r="G1109" s="269"/>
      <c r="H1109" s="269"/>
      <c r="I1109" s="270"/>
      <c r="J1109" s="347"/>
      <c r="K1109" s="270"/>
      <c r="L1109" s="270"/>
      <c r="M1109" s="348"/>
      <c r="N1109" s="348"/>
      <c r="O1109" s="349"/>
      <c r="P1109" s="350"/>
      <c r="Q1109" s="276"/>
      <c r="R1109" s="277"/>
      <c r="S1109" s="277"/>
      <c r="T1109" s="351"/>
      <c r="U1109" s="278"/>
      <c r="V1109" s="269"/>
      <c r="W1109" s="269"/>
      <c r="X1109" s="275"/>
      <c r="Y1109" s="269"/>
      <c r="Z1109" s="350"/>
      <c r="AA1109" s="207"/>
      <c r="AB1109" s="352"/>
      <c r="AC1109" s="353"/>
      <c r="AD1109" s="54"/>
      <c r="AE1109" s="354"/>
      <c r="AF1109" s="355"/>
      <c r="AG1109" s="349"/>
      <c r="AH1109" s="30"/>
      <c r="AI1109" s="30"/>
      <c r="AJ1109" s="30"/>
      <c r="AK1109" s="30"/>
      <c r="AL1109" s="13"/>
      <c r="AM1109" s="13"/>
      <c r="AN1109" s="13"/>
      <c r="AO1109" s="13"/>
      <c r="AP1109" s="13"/>
      <c r="AQ1109" s="14"/>
      <c r="AR1109" s="15"/>
    </row>
    <row r="1110" spans="1:44" s="17" customFormat="1" ht="30.95" hidden="1" customHeight="1" x14ac:dyDescent="0.2">
      <c r="A1110" s="343"/>
      <c r="B1110" s="344"/>
      <c r="C1110" s="345"/>
      <c r="D1110" s="398">
        <v>3737316</v>
      </c>
      <c r="E1110" s="31">
        <v>4151569</v>
      </c>
      <c r="F1110" s="268" t="str">
        <f>IF(D1110="","",VLOOKUP(D1110,契約台帳!$A$3:$K$4986,6,FALSE)&amp;VLOOKUP(D1110,契約台帳!$A$3:$K$4986,7,FALSE)&amp;VLOOKUP(D1110,契約台帳!$A$3:$K$4986,8,FALSE)&amp;VLOOKUP(D1110,契約台帳!$A$3:$K$4986,9,FALSE)&amp;VLOOKUP(D1110,契約台帳!$A$3:$K$4986,11,FALSE))</f>
        <v>3UYKNZMCRALCB</v>
      </c>
      <c r="G1110" s="269" t="str">
        <f>IF(D1110="","",VLOOKUP(F1110,製品マスタ!$G$5:$H$5002,2,FALSE))</f>
        <v>U</v>
      </c>
      <c r="H1110" s="269" t="str">
        <f>IF(D1110="","",VLOOKUP(F1110,製品マスタ!$G$5:$K$5002,5,FALSE))</f>
        <v>MCRALCB</v>
      </c>
      <c r="I1110" s="270" t="str">
        <f>IF(D1110="","",VLOOKUP(F1110,製品マスタ!$G$5:$L$5002,6,FALSE))</f>
        <v>Metalumy CR aluminum surface coat B</v>
      </c>
      <c r="J1110" s="32" t="s">
        <v>447</v>
      </c>
      <c r="K1110" s="270">
        <f>IF(D1110="","",VLOOKUP(D1110,契約台帳!$A$3:$L$4986,12,FALSE))</f>
        <v>25</v>
      </c>
      <c r="L1110" s="270" t="str">
        <f>IF(D1110="","",INDEX(製品マスタ!$Q$5:$Q$5002,MATCH(F1110&amp;K1110,製品マスタ!$AO$5:$AO$5002,0)))</f>
        <v>S28M</v>
      </c>
      <c r="M1110" s="39">
        <v>1110</v>
      </c>
      <c r="N1110" s="39">
        <v>12100</v>
      </c>
      <c r="O1110" s="47">
        <v>5</v>
      </c>
      <c r="P1110" s="57"/>
      <c r="Q1110" s="276">
        <f>IF(D1110="","",IF(J1110="リード付け",M1110,VLOOKUP(D1110,契約台帳!$A$3:$N$4986,14,FALSE)))</f>
        <v>1050</v>
      </c>
      <c r="R1110" s="277">
        <f>IF(D1110="","",IF(J1110="リード付け",M1110,VLOOKUP(D1110,契約台帳!$A$3:$O$4986,15,FALSE)))</f>
        <v>1050</v>
      </c>
      <c r="S1110" s="277">
        <f>IF(D1110="","",IF(J1110="リード付け",N1110,VLOOKUP(D1110,契約台帳!$A$3:$P$4986,16,FALSE)))</f>
        <v>6000</v>
      </c>
      <c r="T1110" s="40">
        <v>10</v>
      </c>
      <c r="U1110" s="278">
        <f ca="1">IF(D1110="","",IF(OFFSET(D1110,-2,0)=D1110,"",VLOOKUP(D1110,契約台帳!$A$3:$R$4986,18,FALSE)))</f>
        <v>22</v>
      </c>
      <c r="V1110" s="269" t="str">
        <f>IF(J1110="巻返し",VLOOKUP(F1110&amp;K1110&amp;M1110,製品マスタ!$M$5:$AD$5002,18,FALSE),IF(J1110="リード付け","原反コア",IF(J1110="スリット",VLOOKUP(F1110&amp;K1110&amp;Q1110,製品マスタ!$N$5:$AD$5002,17,FALSE),"")))</f>
        <v>6ｲﾝﾁABS</v>
      </c>
      <c r="W1110" s="269">
        <f>IF(J1110="巻返し",VLOOKUP(F1110&amp;K1110&amp;M1110,製品マスタ!$M$5:$AE$5002,19,FALSE),IF(J1110="リード付け","-",IF(J1110="スリット",VLOOKUP(F1110&amp;K1110&amp;Q1110,製品マスタ!$N$5:$AE$5002,18,FALSE),"")))</f>
        <v>1250</v>
      </c>
      <c r="X1110" s="275">
        <f>IF(D1110="","",VLOOKUP(D1110,契約台帳!$A$3:$Q$4986,17,FALSE))</f>
        <v>1</v>
      </c>
      <c r="Y1110" s="269" t="s">
        <v>1365</v>
      </c>
      <c r="Z1110" s="357" t="s">
        <v>1869</v>
      </c>
      <c r="AA1110" s="207" t="s">
        <v>1470</v>
      </c>
      <c r="AB1110" s="369"/>
      <c r="AC1110" s="370"/>
      <c r="AD1110" s="332" t="str">
        <f>IF(F1110="","",+F1110&amp;K1110)</f>
        <v>3UYKNZMCRALCB25</v>
      </c>
      <c r="AE1110" s="216">
        <f>+M1110*N1110*O1110/1000</f>
        <v>67155</v>
      </c>
      <c r="AF1110" s="43"/>
      <c r="AG1110" s="47"/>
      <c r="AH1110" s="30"/>
      <c r="AI1110" s="30"/>
      <c r="AJ1110" s="30"/>
      <c r="AK1110" s="30"/>
      <c r="AL1110" s="13"/>
      <c r="AM1110" s="13"/>
      <c r="AN1110" s="13"/>
      <c r="AO1110" s="13"/>
      <c r="AP1110" s="13"/>
      <c r="AQ1110" s="14"/>
      <c r="AR1110" s="15"/>
    </row>
    <row r="1111" spans="1:44" s="17" customFormat="1" ht="30.95" hidden="1" customHeight="1" x14ac:dyDescent="0.2">
      <c r="A1111" s="343"/>
      <c r="B1111" s="344"/>
      <c r="C1111" s="345"/>
      <c r="D1111" s="346"/>
      <c r="E1111" s="346"/>
      <c r="F1111" s="268"/>
      <c r="G1111" s="269"/>
      <c r="H1111" s="269"/>
      <c r="I1111" s="270"/>
      <c r="J1111" s="347"/>
      <c r="K1111" s="270"/>
      <c r="L1111" s="270"/>
      <c r="M1111" s="348"/>
      <c r="N1111" s="348"/>
      <c r="O1111" s="349"/>
      <c r="P1111" s="350"/>
      <c r="Q1111" s="276"/>
      <c r="R1111" s="277"/>
      <c r="S1111" s="277"/>
      <c r="T1111" s="351"/>
      <c r="U1111" s="278"/>
      <c r="V1111" s="269"/>
      <c r="W1111" s="269"/>
      <c r="X1111" s="275"/>
      <c r="Y1111" s="269"/>
      <c r="Z1111" s="350"/>
      <c r="AA1111" s="207"/>
      <c r="AB1111" s="352"/>
      <c r="AC1111" s="353"/>
      <c r="AD1111" s="54"/>
      <c r="AE1111" s="354"/>
      <c r="AF1111" s="355"/>
      <c r="AG1111" s="349"/>
      <c r="AH1111" s="30"/>
      <c r="AI1111" s="30"/>
      <c r="AJ1111" s="30"/>
      <c r="AK1111" s="30"/>
      <c r="AL1111" s="13"/>
      <c r="AM1111" s="13"/>
      <c r="AN1111" s="13"/>
      <c r="AO1111" s="13"/>
      <c r="AP1111" s="13"/>
      <c r="AQ1111" s="14"/>
      <c r="AR1111" s="15"/>
    </row>
    <row r="1112" spans="1:44" s="17" customFormat="1" ht="30.95" hidden="1" customHeight="1" x14ac:dyDescent="0.2">
      <c r="A1112" s="343" t="s">
        <v>687</v>
      </c>
      <c r="B1112" s="344" t="s">
        <v>444</v>
      </c>
      <c r="C1112" s="345"/>
      <c r="D1112" s="398">
        <v>3735117</v>
      </c>
      <c r="E1112" s="31">
        <v>4151579</v>
      </c>
      <c r="F1112" s="268" t="str">
        <f>IF(D1112="","",VLOOKUP(D1112,契約台帳!$A$3:$K$4986,6,FALSE)&amp;VLOOKUP(D1112,契約台帳!$A$3:$K$4986,7,FALSE)&amp;VLOOKUP(D1112,契約台帳!$A$3:$K$4986,8,FALSE)&amp;VLOOKUP(D1112,契約台帳!$A$3:$K$4986,9,FALSE)&amp;VLOOKUP(D1112,契約台帳!$A$3:$K$4986,11,FALSE))</f>
        <v>3HSNMLBMNGTBF</v>
      </c>
      <c r="G1112" s="269" t="str">
        <f>IF(D1112="","",VLOOKUP(F1112,製品マスタ!$G$5:$H$5002,2,FALSE))</f>
        <v>S</v>
      </c>
      <c r="H1112" s="269" t="str">
        <f>IF(D1112="","",VLOOKUP(F1112,製品マスタ!$G$5:$K$5002,5,FALSE))</f>
        <v>MNGTBF</v>
      </c>
      <c r="I1112" s="270" t="str">
        <f>IF(D1112="","",VLOOKUP(F1112,製品マスタ!$G$5:$L$5002,6,FALSE))</f>
        <v>メタルミー　ネーマー　銀艶　Ｂ</v>
      </c>
      <c r="J1112" s="32" t="s">
        <v>447</v>
      </c>
      <c r="K1112" s="270">
        <f>IF(D1112="","",VLOOKUP(D1112,契約台帳!$A$3:$L$4986,12,FALSE))</f>
        <v>50</v>
      </c>
      <c r="L1112" s="270" t="str">
        <f>IF(D1112="","",INDEX(製品マスタ!$Q$5:$Q$5002,MATCH(F1112&amp;K1112,製品マスタ!$AO$5:$AO$5002,0)))</f>
        <v>T62M</v>
      </c>
      <c r="M1112" s="39">
        <v>1195</v>
      </c>
      <c r="N1112" s="39">
        <v>10200</v>
      </c>
      <c r="O1112" s="47">
        <v>5</v>
      </c>
      <c r="P1112" s="57"/>
      <c r="Q1112" s="276">
        <f>IF(D1112="","",IF(J1112="リード付け",M1112,VLOOKUP(D1112,契約台帳!$A$3:$N$4986,14,FALSE)))</f>
        <v>1120</v>
      </c>
      <c r="R1112" s="277">
        <f>IF(D1112="","",IF(J1112="リード付け",M1112,VLOOKUP(D1112,契約台帳!$A$3:$O$4986,15,FALSE)))</f>
        <v>1120</v>
      </c>
      <c r="S1112" s="277">
        <f>IF(D1112="","",IF(J1112="リード付け",N1112,VLOOKUP(D1112,契約台帳!$A$3:$P$4986,16,FALSE)))</f>
        <v>5000</v>
      </c>
      <c r="T1112" s="40">
        <v>10</v>
      </c>
      <c r="U1112" s="278">
        <f ca="1">IF(D1112="","",IF(OFFSET(D1112,-2,0)=D1112,"",VLOOKUP(D1112,契約台帳!$A$3:$R$4986,18,FALSE)))</f>
        <v>25</v>
      </c>
      <c r="V1112" s="269" t="str">
        <f>IF(J1112="巻返し",VLOOKUP(F1112&amp;K1112&amp;M1112,製品マスタ!$M$5:$AD$5002,18,FALSE),IF(J1112="リード付け","原反コア",IF(J1112="スリット",VLOOKUP(F1112&amp;K1112&amp;Q1112,製品マスタ!$N$5:$AD$5002,17,FALSE),"")))</f>
        <v>6ｲﾝﾁSｺｱ</v>
      </c>
      <c r="W1112" s="269">
        <f>IF(J1112="巻返し",VLOOKUP(F1112&amp;K1112&amp;M1112,製品マスタ!$M$5:$AE$5002,19,FALSE),IF(J1112="リード付け","-",IF(J1112="スリット",VLOOKUP(F1112&amp;K1112&amp;Q1112,製品マスタ!$N$5:$AE$5002,18,FALSE),"")))</f>
        <v>1125</v>
      </c>
      <c r="X1112" s="275">
        <f>IF(D1112="","",VLOOKUP(D1112,契約台帳!$A$3:$Q$4986,17,FALSE))</f>
        <v>2</v>
      </c>
      <c r="Y1112" s="269" t="str">
        <f>IF(D1112="","",VLOOKUP(D1112,契約台帳!$A$3:$E$4986,5,FALSE))</f>
        <v>リンテック㈱</v>
      </c>
      <c r="Z1112" s="357">
        <v>45287</v>
      </c>
      <c r="AA1112" s="207"/>
      <c r="AB1112" s="369"/>
      <c r="AC1112" s="370"/>
      <c r="AD1112" s="332" t="str">
        <f>IF(F1112="","",+F1112&amp;K1112)</f>
        <v>3HSNMLBMNGTBF50</v>
      </c>
      <c r="AE1112" s="216">
        <f>+M1112*N1112*O1112/1000</f>
        <v>60945</v>
      </c>
      <c r="AF1112" s="43" t="e">
        <f>IF(AD1112="","",VLOOKUP(AD1112,原価マスタ!$A$2:$AJ$1693,13,FALSE))</f>
        <v>#N/A</v>
      </c>
      <c r="AG1112" s="47" t="e">
        <f>IF(AF1112="","",+AE1112*AF1112/100)</f>
        <v>#N/A</v>
      </c>
      <c r="AH1112" s="30"/>
      <c r="AI1112" s="30"/>
      <c r="AJ1112" s="30"/>
      <c r="AK1112" s="30"/>
      <c r="AL1112" s="13"/>
      <c r="AM1112" s="13"/>
      <c r="AN1112" s="13"/>
      <c r="AO1112" s="13"/>
      <c r="AP1112" s="13"/>
      <c r="AQ1112" s="14"/>
      <c r="AR1112" s="15"/>
    </row>
    <row r="1113" spans="1:44" s="17" customFormat="1" ht="30.95" hidden="1" customHeight="1" x14ac:dyDescent="0.2">
      <c r="A1113" s="343"/>
      <c r="B1113" s="344"/>
      <c r="C1113" s="345"/>
      <c r="D1113" s="346"/>
      <c r="E1113" s="346"/>
      <c r="F1113" s="268"/>
      <c r="G1113" s="269"/>
      <c r="H1113" s="269"/>
      <c r="I1113" s="270"/>
      <c r="J1113" s="347"/>
      <c r="K1113" s="270"/>
      <c r="L1113" s="270"/>
      <c r="M1113" s="348"/>
      <c r="N1113" s="348"/>
      <c r="O1113" s="349"/>
      <c r="P1113" s="350"/>
      <c r="Q1113" s="276"/>
      <c r="R1113" s="277"/>
      <c r="S1113" s="277"/>
      <c r="T1113" s="351"/>
      <c r="U1113" s="278"/>
      <c r="V1113" s="269"/>
      <c r="W1113" s="269"/>
      <c r="X1113" s="275"/>
      <c r="Y1113" s="269"/>
      <c r="Z1113" s="350"/>
      <c r="AA1113" s="207"/>
      <c r="AB1113" s="352"/>
      <c r="AC1113" s="353"/>
      <c r="AD1113" s="54"/>
      <c r="AE1113" s="354"/>
      <c r="AF1113" s="355"/>
      <c r="AG1113" s="349"/>
      <c r="AH1113" s="30"/>
      <c r="AI1113" s="30"/>
      <c r="AJ1113" s="30"/>
      <c r="AK1113" s="30"/>
      <c r="AL1113" s="13"/>
      <c r="AM1113" s="13"/>
      <c r="AN1113" s="13"/>
      <c r="AO1113" s="13"/>
      <c r="AP1113" s="13"/>
      <c r="AQ1113" s="14"/>
      <c r="AR1113" s="15"/>
    </row>
    <row r="1114" spans="1:44" s="17" customFormat="1" ht="30.95" hidden="1" customHeight="1" x14ac:dyDescent="0.2">
      <c r="A1114" s="37" t="s">
        <v>732</v>
      </c>
      <c r="B1114" s="38" t="s">
        <v>445</v>
      </c>
      <c r="C1114" s="345"/>
      <c r="D1114" s="398">
        <v>3735117</v>
      </c>
      <c r="E1114" s="31">
        <v>4151579</v>
      </c>
      <c r="F1114" s="268" t="str">
        <f>IF(D1114="","",VLOOKUP(D1114,契約台帳!$A$3:$K$4986,6,FALSE)&amp;VLOOKUP(D1114,契約台帳!$A$3:$K$4986,7,FALSE)&amp;VLOOKUP(D1114,契約台帳!$A$3:$K$4986,8,FALSE)&amp;VLOOKUP(D1114,契約台帳!$A$3:$K$4986,9,FALSE)&amp;VLOOKUP(D1114,契約台帳!$A$3:$K$4986,11,FALSE))</f>
        <v>3HSNMLBMNGTBF</v>
      </c>
      <c r="G1114" s="269" t="str">
        <f>IF(D1114="","",VLOOKUP(F1114,製品マスタ!$G$5:$H$5002,2,FALSE))</f>
        <v>S</v>
      </c>
      <c r="H1114" s="269" t="str">
        <f>IF(D1114="","",VLOOKUP(F1114,製品マスタ!$G$5:$K$5002,5,FALSE))</f>
        <v>MNGTBF</v>
      </c>
      <c r="I1114" s="270" t="str">
        <f>IF(D1114="","",VLOOKUP(F1114,製品マスタ!$G$5:$L$5002,6,FALSE))</f>
        <v>メタルミー　ネーマー　銀艶　Ｂ</v>
      </c>
      <c r="J1114" s="32" t="s">
        <v>447</v>
      </c>
      <c r="K1114" s="270">
        <f>IF(D1114="","",VLOOKUP(D1114,契約台帳!$A$3:$L$4986,12,FALSE))</f>
        <v>50</v>
      </c>
      <c r="L1114" s="270" t="str">
        <f>IF(D1114="","",INDEX(製品マスタ!$Q$5:$Q$5002,MATCH(F1114&amp;K1114,製品マスタ!$AO$5:$AO$5002,0)))</f>
        <v>T62M</v>
      </c>
      <c r="M1114" s="39">
        <v>1195</v>
      </c>
      <c r="N1114" s="39">
        <v>10200</v>
      </c>
      <c r="O1114" s="47">
        <v>1</v>
      </c>
      <c r="P1114" s="57"/>
      <c r="Q1114" s="276">
        <f>IF(D1114="","",IF(J1114="リード付け",M1114,VLOOKUP(D1114,契約台帳!$A$3:$N$4986,14,FALSE)))</f>
        <v>1120</v>
      </c>
      <c r="R1114" s="277">
        <f>IF(D1114="","",IF(J1114="リード付け",M1114,VLOOKUP(D1114,契約台帳!$A$3:$O$4986,15,FALSE)))</f>
        <v>1120</v>
      </c>
      <c r="S1114" s="277">
        <f>IF(D1114="","",IF(J1114="リード付け",N1114,VLOOKUP(D1114,契約台帳!$A$3:$P$4986,16,FALSE)))</f>
        <v>5000</v>
      </c>
      <c r="T1114" s="40">
        <v>2</v>
      </c>
      <c r="U1114" s="278" t="str">
        <f ca="1">IF(D1114="","",IF(OFFSET(D1114,-2,0)=D1114,"",VLOOKUP(D1114,契約台帳!$A$3:$R$4986,18,FALSE)))</f>
        <v/>
      </c>
      <c r="V1114" s="269" t="str">
        <f>IF(J1114="巻返し",VLOOKUP(F1114&amp;K1114&amp;M1114,製品マスタ!$M$5:$AD$5002,18,FALSE),IF(J1114="リード付け","原反コア",IF(J1114="スリット",VLOOKUP(F1114&amp;K1114&amp;Q1114,製品マスタ!$N$5:$AD$5002,17,FALSE),"")))</f>
        <v>6ｲﾝﾁSｺｱ</v>
      </c>
      <c r="W1114" s="269">
        <f>IF(J1114="巻返し",VLOOKUP(F1114&amp;K1114&amp;M1114,製品マスタ!$M$5:$AE$5002,19,FALSE),IF(J1114="リード付け","-",IF(J1114="スリット",VLOOKUP(F1114&amp;K1114&amp;Q1114,製品マスタ!$N$5:$AE$5002,18,FALSE),"")))</f>
        <v>1125</v>
      </c>
      <c r="X1114" s="275">
        <f>IF(D1114="","",VLOOKUP(D1114,契約台帳!$A$3:$Q$4986,17,FALSE))</f>
        <v>2</v>
      </c>
      <c r="Y1114" s="269" t="str">
        <f>IF(D1114="","",VLOOKUP(D1114,契約台帳!$A$3:$E$4986,5,FALSE))</f>
        <v>リンテック㈱</v>
      </c>
      <c r="Z1114" s="357">
        <v>45287</v>
      </c>
      <c r="AA1114" s="207"/>
      <c r="AB1114" s="369"/>
      <c r="AC1114" s="370"/>
      <c r="AD1114" s="332" t="str">
        <f>IF(F1114="","",+F1114&amp;K1114)</f>
        <v>3HSNMLBMNGTBF50</v>
      </c>
      <c r="AE1114" s="216">
        <f>+M1114*N1114*O1114/1000</f>
        <v>12189</v>
      </c>
      <c r="AF1114" s="43" t="e">
        <f>IF(AD1114="","",VLOOKUP(AD1114,原価マスタ!$A$2:$AJ$1693,13,FALSE))</f>
        <v>#N/A</v>
      </c>
      <c r="AG1114" s="47" t="e">
        <f>IF(AF1114="","",+AE1114*AF1114/100)</f>
        <v>#N/A</v>
      </c>
      <c r="AH1114" s="30"/>
      <c r="AI1114" s="30"/>
      <c r="AJ1114" s="30"/>
      <c r="AK1114" s="30"/>
      <c r="AL1114" s="13"/>
      <c r="AM1114" s="13"/>
      <c r="AN1114" s="13"/>
      <c r="AO1114" s="13"/>
      <c r="AP1114" s="13"/>
      <c r="AQ1114" s="14"/>
      <c r="AR1114" s="15"/>
    </row>
    <row r="1115" spans="1:44" s="17" customFormat="1" ht="30.95" hidden="1" customHeight="1" x14ac:dyDescent="0.2">
      <c r="A1115" s="343"/>
      <c r="B1115" s="344"/>
      <c r="C1115" s="345"/>
      <c r="D1115" s="346"/>
      <c r="E1115" s="346"/>
      <c r="F1115" s="268"/>
      <c r="G1115" s="269"/>
      <c r="H1115" s="269"/>
      <c r="I1115" s="270"/>
      <c r="J1115" s="347"/>
      <c r="K1115" s="270"/>
      <c r="L1115" s="270"/>
      <c r="M1115" s="348"/>
      <c r="N1115" s="348"/>
      <c r="O1115" s="349"/>
      <c r="P1115" s="350"/>
      <c r="Q1115" s="276"/>
      <c r="R1115" s="277"/>
      <c r="S1115" s="277"/>
      <c r="T1115" s="351"/>
      <c r="U1115" s="278"/>
      <c r="V1115" s="269"/>
      <c r="W1115" s="269"/>
      <c r="X1115" s="275"/>
      <c r="Y1115" s="269"/>
      <c r="Z1115" s="350"/>
      <c r="AA1115" s="207"/>
      <c r="AB1115" s="352"/>
      <c r="AC1115" s="353"/>
      <c r="AD1115" s="54"/>
      <c r="AE1115" s="354"/>
      <c r="AF1115" s="355"/>
      <c r="AG1115" s="349"/>
      <c r="AH1115" s="30"/>
      <c r="AI1115" s="30"/>
      <c r="AJ1115" s="30"/>
      <c r="AK1115" s="30"/>
      <c r="AL1115" s="13"/>
      <c r="AM1115" s="13"/>
      <c r="AN1115" s="13"/>
      <c r="AO1115" s="13"/>
      <c r="AP1115" s="13"/>
      <c r="AQ1115" s="14"/>
      <c r="AR1115" s="15"/>
    </row>
    <row r="1116" spans="1:44" s="17" customFormat="1" ht="30.95" hidden="1" customHeight="1" x14ac:dyDescent="0.2">
      <c r="A1116" s="343"/>
      <c r="B1116" s="344"/>
      <c r="C1116" s="345"/>
      <c r="D1116" s="398">
        <v>3737453</v>
      </c>
      <c r="E1116" s="31">
        <v>4151571</v>
      </c>
      <c r="F1116" s="268" t="str">
        <f>IF(D1116="","",VLOOKUP(D1116,契約台帳!$A$3:$K$4986,6,FALSE)&amp;VLOOKUP(D1116,契約台帳!$A$3:$K$4986,7,FALSE)&amp;VLOOKUP(D1116,契約台帳!$A$3:$K$4986,8,FALSE)&amp;VLOOKUP(D1116,契約台帳!$A$3:$K$4986,9,FALSE)&amp;VLOOKUP(D1116,契約台帳!$A$3:$K$4986,11,FALSE))</f>
        <v>3SYMLBMSNMBF</v>
      </c>
      <c r="G1116" s="269" t="str">
        <f>IF(D1116="","",VLOOKUP(F1116,製品マスタ!$G$5:$H$5002,2,FALSE))</f>
        <v>S</v>
      </c>
      <c r="H1116" s="269" t="str">
        <f>IF(D1116="","",VLOOKUP(F1116,製品マスタ!$G$5:$K$5002,5,FALSE))</f>
        <v>MSNMBF</v>
      </c>
      <c r="I1116" s="270" t="str">
        <f>IF(D1116="","",VLOOKUP(F1116,製品マスタ!$G$5:$L$5002,6,FALSE))</f>
        <v>ＭＥＴＡＬＵＭＹ　ＳＩＬＶＥＲ　Ｎ－ＭＡＴＴＥ　Ｘ４４Ｍ　Ｂ</v>
      </c>
      <c r="J1116" s="32" t="s">
        <v>447</v>
      </c>
      <c r="K1116" s="270">
        <f>IF(D1116="","",VLOOKUP(D1116,契約台帳!$A$3:$L$4986,12,FALSE))</f>
        <v>50</v>
      </c>
      <c r="L1116" s="270" t="str">
        <f>IF(D1116="","",INDEX(製品マスタ!$Q$5:$Q$5002,MATCH(F1116&amp;K1116,製品マスタ!$AO$5:$AO$5002,0)))</f>
        <v>X44</v>
      </c>
      <c r="M1116" s="39">
        <v>1120</v>
      </c>
      <c r="N1116" s="39">
        <v>8000</v>
      </c>
      <c r="O1116" s="47">
        <v>2</v>
      </c>
      <c r="P1116" s="57"/>
      <c r="Q1116" s="276">
        <f>IF(D1116="","",IF(J1116="リード付け",M1116,VLOOKUP(D1116,契約台帳!$A$3:$N$4986,14,FALSE)))</f>
        <v>1120</v>
      </c>
      <c r="R1116" s="277">
        <f>IF(D1116="","",IF(J1116="リード付け",M1116,VLOOKUP(D1116,契約台帳!$A$3:$O$4986,15,FALSE)))</f>
        <v>1120</v>
      </c>
      <c r="S1116" s="277">
        <f>IF(D1116="","",IF(J1116="リード付け",N1116,VLOOKUP(D1116,契約台帳!$A$3:$P$4986,16,FALSE)))</f>
        <v>4000</v>
      </c>
      <c r="T1116" s="40">
        <v>4</v>
      </c>
      <c r="U1116" s="278">
        <f ca="1">IF(D1116="","",IF(OFFSET(D1116,-2,0)=D1116,"",VLOOKUP(D1116,契約台帳!$A$3:$R$4986,18,FALSE)))</f>
        <v>4</v>
      </c>
      <c r="V1116" s="269" t="str">
        <f>IF(J1116="巻返し",VLOOKUP(F1116&amp;K1116&amp;M1116,製品マスタ!$M$5:$AD$5002,18,FALSE),IF(J1116="リード付け","原反コア",IF(J1116="スリット",VLOOKUP(F1116&amp;K1116&amp;Q1116,製品マスタ!$N$5:$AD$5002,17,FALSE),"")))</f>
        <v>6ｲﾝﾁMｺｱ</v>
      </c>
      <c r="W1116" s="269">
        <f>IF(J1116="巻返し",VLOOKUP(F1116&amp;K1116&amp;M1116,製品マスタ!$M$5:$AE$5002,19,FALSE),IF(J1116="リード付け","-",IF(J1116="スリット",VLOOKUP(F1116&amp;K1116&amp;Q1116,製品マスタ!$N$5:$AE$5002,18,FALSE),"")))</f>
        <v>1125</v>
      </c>
      <c r="X1116" s="275">
        <f>IF(D1116="","",VLOOKUP(D1116,契約台帳!$A$3:$Q$4986,17,FALSE))</f>
        <v>2</v>
      </c>
      <c r="Y1116" s="269" t="str">
        <f>IF(D1116="","",VLOOKUP(D1116,契約台帳!$A$3:$E$4986,5,FALSE))</f>
        <v>リンテック㈱</v>
      </c>
      <c r="Z1116" s="357">
        <v>45288</v>
      </c>
      <c r="AA1116" s="207"/>
      <c r="AB1116" s="369"/>
      <c r="AC1116" s="370"/>
      <c r="AD1116" s="332" t="str">
        <f>IF(F1116="","",+F1116&amp;K1116)</f>
        <v>3SYMLBMSNMBF50</v>
      </c>
      <c r="AE1116" s="216">
        <f>+M1116*N1116*O1116/1000</f>
        <v>17920</v>
      </c>
      <c r="AF1116" s="43">
        <f>IF(AD1116="","",VLOOKUP(AD1116,原価マスタ!$A$2:$AJ$1693,13,FALSE))</f>
        <v>98.8</v>
      </c>
      <c r="AG1116" s="47">
        <f>IF(AF1116="","",+AE1116*AF1116/100)</f>
        <v>17704.96</v>
      </c>
      <c r="AH1116" s="30"/>
      <c r="AI1116" s="30"/>
      <c r="AJ1116" s="30"/>
      <c r="AK1116" s="30"/>
      <c r="AL1116" s="13"/>
      <c r="AM1116" s="13"/>
      <c r="AN1116" s="13"/>
      <c r="AO1116" s="13"/>
      <c r="AP1116" s="13"/>
      <c r="AQ1116" s="14"/>
      <c r="AR1116" s="15"/>
    </row>
    <row r="1117" spans="1:44" s="17" customFormat="1" ht="30.95" hidden="1" customHeight="1" x14ac:dyDescent="0.2">
      <c r="A1117" s="343"/>
      <c r="B1117" s="344"/>
      <c r="C1117" s="345"/>
      <c r="D1117" s="346"/>
      <c r="E1117" s="346"/>
      <c r="F1117" s="268"/>
      <c r="G1117" s="269"/>
      <c r="H1117" s="269"/>
      <c r="I1117" s="270"/>
      <c r="J1117" s="347"/>
      <c r="K1117" s="270"/>
      <c r="L1117" s="270"/>
      <c r="M1117" s="348"/>
      <c r="N1117" s="348"/>
      <c r="O1117" s="349"/>
      <c r="P1117" s="350"/>
      <c r="Q1117" s="276"/>
      <c r="R1117" s="277"/>
      <c r="S1117" s="277"/>
      <c r="T1117" s="351"/>
      <c r="U1117" s="278"/>
      <c r="V1117" s="269"/>
      <c r="W1117" s="269"/>
      <c r="X1117" s="275"/>
      <c r="Y1117" s="269"/>
      <c r="Z1117" s="350"/>
      <c r="AA1117" s="207"/>
      <c r="AB1117" s="352"/>
      <c r="AC1117" s="353"/>
      <c r="AD1117" s="54"/>
      <c r="AE1117" s="354"/>
      <c r="AF1117" s="355"/>
      <c r="AG1117" s="349"/>
      <c r="AH1117" s="30"/>
      <c r="AI1117" s="30"/>
      <c r="AJ1117" s="30"/>
      <c r="AK1117" s="30"/>
      <c r="AL1117" s="13"/>
      <c r="AM1117" s="13"/>
      <c r="AN1117" s="13"/>
      <c r="AO1117" s="13"/>
      <c r="AP1117" s="13"/>
      <c r="AQ1117" s="14"/>
      <c r="AR1117" s="15"/>
    </row>
    <row r="1118" spans="1:44" s="17" customFormat="1" ht="30.95" hidden="1" customHeight="1" x14ac:dyDescent="0.2">
      <c r="A1118" s="343" t="s">
        <v>733</v>
      </c>
      <c r="B1118" s="344" t="s">
        <v>446</v>
      </c>
      <c r="C1118" s="345"/>
      <c r="D1118" s="346"/>
      <c r="E1118" s="346"/>
      <c r="F1118" s="268"/>
      <c r="G1118" s="269"/>
      <c r="H1118" s="269"/>
      <c r="I1118" s="270"/>
      <c r="J1118" s="364" t="s">
        <v>448</v>
      </c>
      <c r="K1118" s="270"/>
      <c r="L1118" s="270"/>
      <c r="M1118" s="348"/>
      <c r="N1118" s="348"/>
      <c r="O1118" s="349"/>
      <c r="P1118" s="350"/>
      <c r="Q1118" s="276"/>
      <c r="R1118" s="277"/>
      <c r="S1118" s="277"/>
      <c r="T1118" s="351"/>
      <c r="U1118" s="278"/>
      <c r="V1118" s="269"/>
      <c r="W1118" s="269"/>
      <c r="X1118" s="275"/>
      <c r="Y1118" s="269"/>
      <c r="Z1118" s="350"/>
      <c r="AA1118" s="207"/>
      <c r="AB1118" s="352"/>
      <c r="AC1118" s="353"/>
      <c r="AD1118" s="54"/>
      <c r="AE1118" s="354"/>
      <c r="AF1118" s="355"/>
      <c r="AG1118" s="349"/>
      <c r="AH1118" s="30"/>
      <c r="AI1118" s="30"/>
      <c r="AJ1118" s="30"/>
      <c r="AK1118" s="30"/>
      <c r="AL1118" s="13"/>
      <c r="AM1118" s="13"/>
      <c r="AN1118" s="13"/>
      <c r="AO1118" s="13"/>
      <c r="AP1118" s="13"/>
      <c r="AQ1118" s="14"/>
      <c r="AR1118" s="15"/>
    </row>
    <row r="1119" spans="1:44" s="17" customFormat="1" ht="30.95" hidden="1" customHeight="1" x14ac:dyDescent="0.2">
      <c r="A1119" s="343"/>
      <c r="B1119" s="344"/>
      <c r="C1119" s="345"/>
      <c r="D1119" s="346"/>
      <c r="E1119" s="346"/>
      <c r="F1119" s="268"/>
      <c r="G1119" s="269"/>
      <c r="H1119" s="269"/>
      <c r="I1119" s="270"/>
      <c r="J1119" s="347"/>
      <c r="K1119" s="270"/>
      <c r="L1119" s="270"/>
      <c r="M1119" s="348"/>
      <c r="N1119" s="348"/>
      <c r="O1119" s="349"/>
      <c r="P1119" s="350"/>
      <c r="Q1119" s="276"/>
      <c r="R1119" s="277"/>
      <c r="S1119" s="277"/>
      <c r="T1119" s="351"/>
      <c r="U1119" s="278"/>
      <c r="V1119" s="269"/>
      <c r="W1119" s="269"/>
      <c r="X1119" s="275"/>
      <c r="Y1119" s="269"/>
      <c r="Z1119" s="350"/>
      <c r="AA1119" s="207"/>
      <c r="AB1119" s="352"/>
      <c r="AC1119" s="353"/>
      <c r="AD1119" s="54"/>
      <c r="AE1119" s="354"/>
      <c r="AF1119" s="355"/>
      <c r="AG1119" s="349"/>
      <c r="AH1119" s="30"/>
      <c r="AI1119" s="30"/>
      <c r="AJ1119" s="30"/>
      <c r="AK1119" s="30"/>
      <c r="AL1119" s="13"/>
      <c r="AM1119" s="13"/>
      <c r="AN1119" s="13"/>
      <c r="AO1119" s="13"/>
      <c r="AP1119" s="13"/>
      <c r="AQ1119" s="14"/>
      <c r="AR1119" s="15"/>
    </row>
    <row r="1120" spans="1:44" s="17" customFormat="1" ht="30.6" hidden="1" customHeight="1" x14ac:dyDescent="0.2">
      <c r="A1120" s="343" t="s">
        <v>734</v>
      </c>
      <c r="B1120" s="344" t="s">
        <v>462</v>
      </c>
      <c r="C1120" s="345"/>
      <c r="D1120" s="398">
        <v>3735117</v>
      </c>
      <c r="E1120" s="31">
        <v>4151580</v>
      </c>
      <c r="F1120" s="268" t="str">
        <f>IF(D1120="","",VLOOKUP(D1120,契約台帳!$A$3:$K$4986,6,FALSE)&amp;VLOOKUP(D1120,契約台帳!$A$3:$K$4986,7,FALSE)&amp;VLOOKUP(D1120,契約台帳!$A$3:$K$4986,8,FALSE)&amp;VLOOKUP(D1120,契約台帳!$A$3:$K$4986,9,FALSE)&amp;VLOOKUP(D1120,契約台帳!$A$3:$K$4986,11,FALSE))</f>
        <v>3HSNMLBMNGTBF</v>
      </c>
      <c r="G1120" s="269" t="str">
        <f>IF(D1120="","",VLOOKUP(F1120,製品マスタ!$G$5:$H$5002,2,FALSE))</f>
        <v>S</v>
      </c>
      <c r="H1120" s="269" t="str">
        <f>IF(D1120="","",VLOOKUP(F1120,製品マスタ!$G$5:$K$5002,5,FALSE))</f>
        <v>MNGTBF</v>
      </c>
      <c r="I1120" s="270" t="str">
        <f>IF(D1120="","",VLOOKUP(F1120,製品マスタ!$G$5:$L$5002,6,FALSE))</f>
        <v>メタルミー　ネーマー　銀艶　Ｂ</v>
      </c>
      <c r="J1120" s="32" t="s">
        <v>447</v>
      </c>
      <c r="K1120" s="270">
        <f>IF(D1120="","",VLOOKUP(D1120,契約台帳!$A$3:$L$4986,12,FALSE))</f>
        <v>50</v>
      </c>
      <c r="L1120" s="270" t="str">
        <f>IF(D1120="","",INDEX(製品マスタ!$Q$5:$Q$5002,MATCH(F1120&amp;K1120,製品マスタ!$AO$5:$AO$5002,0)))</f>
        <v>T62M</v>
      </c>
      <c r="M1120" s="39">
        <v>1195</v>
      </c>
      <c r="N1120" s="39">
        <v>10200</v>
      </c>
      <c r="O1120" s="47">
        <v>3</v>
      </c>
      <c r="P1120" s="57"/>
      <c r="Q1120" s="276">
        <f>IF(D1120="","",IF(J1120="リード付け",M1120,VLOOKUP(D1120,契約台帳!$A$3:$N$4986,14,FALSE)))</f>
        <v>1120</v>
      </c>
      <c r="R1120" s="277">
        <f>IF(D1120="","",IF(J1120="リード付け",M1120,VLOOKUP(D1120,契約台帳!$A$3:$O$4986,15,FALSE)))</f>
        <v>1120</v>
      </c>
      <c r="S1120" s="277">
        <f>IF(D1120="","",IF(J1120="リード付け",N1120,VLOOKUP(D1120,契約台帳!$A$3:$P$4986,16,FALSE)))</f>
        <v>5000</v>
      </c>
      <c r="T1120" s="40">
        <v>6</v>
      </c>
      <c r="U1120" s="278">
        <f ca="1">IF(D1120="","",IF(OFFSET(D1120,-2,0)=D1120,"",VLOOKUP(D1120,契約台帳!$A$3:$R$4986,18,FALSE)))</f>
        <v>25</v>
      </c>
      <c r="V1120" s="269" t="str">
        <f>IF(J1120="巻返し",VLOOKUP(F1120&amp;K1120&amp;M1120,製品マスタ!$M$5:$AD$5002,18,FALSE),IF(J1120="リード付け","原反コア",IF(J1120="スリット",VLOOKUP(F1120&amp;K1120&amp;Q1120,製品マスタ!$N$5:$AD$5002,17,FALSE),"")))</f>
        <v>6ｲﾝﾁSｺｱ</v>
      </c>
      <c r="W1120" s="269">
        <f>IF(J1120="巻返し",VLOOKUP(F1120&amp;K1120&amp;M1120,製品マスタ!$M$5:$AE$5002,19,FALSE),IF(J1120="リード付け","-",IF(J1120="スリット",VLOOKUP(F1120&amp;K1120&amp;Q1120,製品マスタ!$N$5:$AE$5002,18,FALSE),"")))</f>
        <v>1125</v>
      </c>
      <c r="X1120" s="275">
        <f>IF(D1120="","",VLOOKUP(D1120,契約台帳!$A$3:$Q$4986,17,FALSE))</f>
        <v>2</v>
      </c>
      <c r="Y1120" s="269" t="str">
        <f>IF(D1120="","",VLOOKUP(D1120,契約台帳!$A$3:$E$4986,5,FALSE))</f>
        <v>リンテック㈱</v>
      </c>
      <c r="Z1120" s="357">
        <v>45288</v>
      </c>
      <c r="AA1120" s="207"/>
      <c r="AB1120" s="369"/>
      <c r="AC1120" s="370"/>
      <c r="AD1120" s="332" t="str">
        <f>IF(F1120="","",+F1120&amp;K1120)</f>
        <v>3HSNMLBMNGTBF50</v>
      </c>
      <c r="AE1120" s="216">
        <f>+M1120*N1120*O1120/1000</f>
        <v>36567</v>
      </c>
      <c r="AF1120" s="43" t="e">
        <f>IF(AD1120="","",VLOOKUP(AD1120,原価マスタ!$A$2:$AJ$1693,13,FALSE))</f>
        <v>#N/A</v>
      </c>
      <c r="AG1120" s="47" t="e">
        <f>IF(AF1120="","",+AE1120*AF1120/100)</f>
        <v>#N/A</v>
      </c>
      <c r="AH1120" s="30"/>
      <c r="AI1120" s="30"/>
      <c r="AJ1120" s="30"/>
      <c r="AK1120" s="30"/>
      <c r="AL1120" s="13"/>
      <c r="AM1120" s="13"/>
      <c r="AN1120" s="13"/>
      <c r="AO1120" s="13"/>
      <c r="AP1120" s="13"/>
      <c r="AQ1120" s="14"/>
      <c r="AR1120" s="15"/>
    </row>
    <row r="1121" spans="1:44" s="17" customFormat="1" ht="30.95" hidden="1" customHeight="1" x14ac:dyDescent="0.2">
      <c r="A1121" s="343"/>
      <c r="B1121" s="344"/>
      <c r="C1121" s="345"/>
      <c r="D1121" s="346"/>
      <c r="E1121" s="346"/>
      <c r="F1121" s="268"/>
      <c r="G1121" s="269"/>
      <c r="H1121" s="269"/>
      <c r="I1121" s="270"/>
      <c r="J1121" s="347"/>
      <c r="K1121" s="270"/>
      <c r="L1121" s="270"/>
      <c r="M1121" s="348"/>
      <c r="N1121" s="348"/>
      <c r="O1121" s="349"/>
      <c r="P1121" s="350"/>
      <c r="Q1121" s="276"/>
      <c r="R1121" s="277"/>
      <c r="S1121" s="277"/>
      <c r="T1121" s="351"/>
      <c r="U1121" s="278"/>
      <c r="V1121" s="269"/>
      <c r="W1121" s="269"/>
      <c r="X1121" s="275"/>
      <c r="Y1121" s="269"/>
      <c r="Z1121" s="350"/>
      <c r="AA1121" s="207"/>
      <c r="AB1121" s="352"/>
      <c r="AC1121" s="353"/>
      <c r="AD1121" s="54"/>
      <c r="AE1121" s="354"/>
      <c r="AF1121" s="355"/>
      <c r="AG1121" s="349"/>
      <c r="AH1121" s="30"/>
      <c r="AI1121" s="30"/>
      <c r="AJ1121" s="30"/>
      <c r="AK1121" s="30"/>
      <c r="AL1121" s="13"/>
      <c r="AM1121" s="13"/>
      <c r="AN1121" s="13"/>
      <c r="AO1121" s="13"/>
      <c r="AP1121" s="13"/>
      <c r="AQ1121" s="14"/>
      <c r="AR1121" s="15"/>
    </row>
    <row r="1122" spans="1:44" s="233" customFormat="1" ht="30.95" hidden="1" customHeight="1" x14ac:dyDescent="0.2">
      <c r="A1122" s="399"/>
      <c r="B1122" s="400"/>
      <c r="C1122" s="401"/>
      <c r="D1122" s="402"/>
      <c r="E1122" s="402"/>
      <c r="F1122" s="281"/>
      <c r="G1122" s="282"/>
      <c r="H1122" s="282"/>
      <c r="I1122" s="283"/>
      <c r="J1122" s="403"/>
      <c r="K1122" s="283"/>
      <c r="L1122" s="283"/>
      <c r="M1122" s="404"/>
      <c r="N1122" s="404"/>
      <c r="O1122" s="405"/>
      <c r="P1122" s="356"/>
      <c r="Q1122" s="284"/>
      <c r="R1122" s="285"/>
      <c r="S1122" s="285"/>
      <c r="T1122" s="406"/>
      <c r="U1122" s="286"/>
      <c r="V1122" s="282"/>
      <c r="W1122" s="282"/>
      <c r="X1122" s="287"/>
      <c r="Y1122" s="282"/>
      <c r="Z1122" s="356"/>
      <c r="AA1122" s="288"/>
      <c r="AB1122" s="407"/>
      <c r="AC1122" s="408"/>
      <c r="AD1122" s="227"/>
      <c r="AE1122" s="409"/>
      <c r="AF1122" s="410"/>
      <c r="AG1122" s="411" t="e">
        <f>SUM(AG1050:AG1120)</f>
        <v>#N/A</v>
      </c>
      <c r="AH1122" s="229"/>
      <c r="AI1122" s="229"/>
      <c r="AJ1122" s="229"/>
      <c r="AK1122" s="229"/>
      <c r="AL1122" s="230"/>
      <c r="AM1122" s="230"/>
      <c r="AN1122" s="230"/>
      <c r="AO1122" s="230"/>
      <c r="AP1122" s="230"/>
      <c r="AQ1122" s="231"/>
      <c r="AR1122" s="232"/>
    </row>
    <row r="1123" spans="1:44" s="17" customFormat="1" ht="30.95" hidden="1" customHeight="1" x14ac:dyDescent="0.2">
      <c r="A1123" s="343"/>
      <c r="B1123" s="344"/>
      <c r="C1123" s="345"/>
      <c r="D1123" s="346"/>
      <c r="E1123" s="346"/>
      <c r="F1123" s="268"/>
      <c r="G1123" s="269"/>
      <c r="H1123" s="269"/>
      <c r="I1123" s="270"/>
      <c r="J1123" s="347"/>
      <c r="K1123" s="270"/>
      <c r="L1123" s="270"/>
      <c r="M1123" s="348"/>
      <c r="N1123" s="348"/>
      <c r="O1123" s="349"/>
      <c r="P1123" s="350"/>
      <c r="Q1123" s="276"/>
      <c r="R1123" s="277"/>
      <c r="S1123" s="277"/>
      <c r="T1123" s="351"/>
      <c r="U1123" s="278"/>
      <c r="V1123" s="269"/>
      <c r="W1123" s="269"/>
      <c r="X1123" s="275"/>
      <c r="Y1123" s="269"/>
      <c r="Z1123" s="350"/>
      <c r="AA1123" s="207"/>
      <c r="AB1123" s="352"/>
      <c r="AC1123" s="353"/>
      <c r="AD1123" s="54"/>
      <c r="AE1123" s="354"/>
      <c r="AF1123" s="355"/>
      <c r="AG1123" s="349"/>
      <c r="AH1123" s="30"/>
      <c r="AI1123" s="30"/>
      <c r="AJ1123" s="30"/>
      <c r="AK1123" s="30"/>
      <c r="AL1123" s="13"/>
      <c r="AM1123" s="13"/>
      <c r="AN1123" s="13"/>
      <c r="AO1123" s="13"/>
      <c r="AP1123" s="13"/>
      <c r="AQ1123" s="14"/>
      <c r="AR1123" s="15"/>
    </row>
    <row r="1124" spans="1:44" s="17" customFormat="1" ht="30.95" hidden="1" customHeight="1" x14ac:dyDescent="0.2">
      <c r="A1124" s="343"/>
      <c r="B1124" s="344"/>
      <c r="C1124" s="345"/>
      <c r="D1124" s="398">
        <v>3731350</v>
      </c>
      <c r="E1124" s="31">
        <v>4151513</v>
      </c>
      <c r="F1124" s="268" t="str">
        <f>IF(D1124="","",VLOOKUP(D1124,契約台帳!$A$3:$K$4986,6,FALSE)&amp;VLOOKUP(D1124,契約台帳!$A$3:$K$4986,7,FALSE)&amp;VLOOKUP(D1124,契約台帳!$A$3:$K$4986,8,FALSE)&amp;VLOOKUP(D1124,契約台帳!$A$3:$K$4986,9,FALSE)&amp;VLOOKUP(D1124,契約台帳!$A$3:$K$4986,11,FALSE))</f>
        <v>3SNMLBMNGKKBF</v>
      </c>
      <c r="G1124" s="269" t="str">
        <f>IF(D1124="","",VLOOKUP(F1124,製品マスタ!$G$5:$H$5002,2,FALSE))</f>
        <v>S</v>
      </c>
      <c r="H1124" s="269" t="str">
        <f>IF(D1124="","",VLOOKUP(F1124,製品マスタ!$G$5:$K$5002,5,FALSE))</f>
        <v>MNGKKBF</v>
      </c>
      <c r="I1124" s="270" t="str">
        <f>IF(D1124="","",VLOOKUP(F1124,製品マスタ!$G$5:$L$5002,6,FALSE))</f>
        <v>メタルミー　ネーマー銀消改　Ｂ</v>
      </c>
      <c r="J1124" s="32" t="s">
        <v>447</v>
      </c>
      <c r="K1124" s="270">
        <f>IF(D1124="","",VLOOKUP(D1124,契約台帳!$A$3:$L$4986,12,FALSE))</f>
        <v>50</v>
      </c>
      <c r="L1124" s="270" t="str">
        <f>IF(D1124="","",INDEX(製品マスタ!$Q$5:$Q$5002,MATCH(F1124&amp;K1124,製品マスタ!$AO$5:$AO$5002,0)))</f>
        <v>S99-MAT</v>
      </c>
      <c r="M1124" s="39">
        <v>1120</v>
      </c>
      <c r="N1124" s="39">
        <v>12000</v>
      </c>
      <c r="O1124" s="47">
        <v>2</v>
      </c>
      <c r="P1124" s="57"/>
      <c r="Q1124" s="276">
        <f>IF(D1124="","",IF(J1124="リード付け",M1124,VLOOKUP(D1124,契約台帳!$A$3:$N$4986,14,FALSE)))</f>
        <v>1120</v>
      </c>
      <c r="R1124" s="277">
        <f>IF(D1124="","",IF(J1124="リード付け",M1124,VLOOKUP(D1124,契約台帳!$A$3:$O$4986,15,FALSE)))</f>
        <v>1120</v>
      </c>
      <c r="S1124" s="277">
        <f>IF(D1124="","",IF(J1124="リード付け",N1124,VLOOKUP(D1124,契約台帳!$A$3:$P$4986,16,FALSE)))</f>
        <v>4000</v>
      </c>
      <c r="T1124" s="40">
        <v>6</v>
      </c>
      <c r="U1124" s="278">
        <f ca="1">IF(D1124="","",IF(OFFSET(D1124,-2,0)=D1124,"",VLOOKUP(D1124,契約台帳!$A$3:$R$4986,18,FALSE)))</f>
        <v>18</v>
      </c>
      <c r="V1124" s="269" t="str">
        <f>IF(J1124="巻返し",VLOOKUP(F1124&amp;K1124&amp;M1124,製品マスタ!$M$5:$AD$5002,18,FALSE),IF(J1124="リード付け","原反コア",IF(J1124="スリット",VLOOKUP(F1124&amp;K1124&amp;Q1124,製品マスタ!$N$5:$AD$5002,17,FALSE),"")))</f>
        <v>6ｲﾝﾁSｺｱ</v>
      </c>
      <c r="W1124" s="269">
        <f>IF(J1124="巻返し",VLOOKUP(F1124&amp;K1124&amp;M1124,製品マスタ!$M$5:$AE$5002,19,FALSE),IF(J1124="リード付け","-",IF(J1124="スリット",VLOOKUP(F1124&amp;K1124&amp;Q1124,製品マスタ!$N$5:$AE$5002,18,FALSE),"")))</f>
        <v>1125</v>
      </c>
      <c r="X1124" s="275">
        <f>IF(D1124="","",VLOOKUP(D1124,契約台帳!$A$3:$Q$4986,17,FALSE))</f>
        <v>2</v>
      </c>
      <c r="Y1124" s="269" t="str">
        <f>IF(D1124="","",VLOOKUP(D1124,契約台帳!$A$3:$E$4986,5,FALSE))</f>
        <v>リンテック㈱</v>
      </c>
      <c r="Z1124" s="357">
        <v>44936</v>
      </c>
      <c r="AA1124" s="207"/>
      <c r="AB1124" s="369"/>
      <c r="AC1124" s="370"/>
      <c r="AD1124" s="332" t="str">
        <f>IF(F1124="","",+F1124&amp;K1124)</f>
        <v>3SNMLBMNGKKBF50</v>
      </c>
      <c r="AE1124" s="216">
        <f>+M1124*N1124*O1124/1000</f>
        <v>26880</v>
      </c>
      <c r="AF1124" s="43">
        <f>IF(AD1124="","",VLOOKUP(AD1124,原価マスタ!$A$2:$AJ$1693,13,FALSE))</f>
        <v>99</v>
      </c>
      <c r="AG1124" s="47">
        <f>IF(AF1124="","",+AE1124*AF1124/100)</f>
        <v>26611.200000000001</v>
      </c>
      <c r="AH1124" s="30"/>
      <c r="AI1124" s="30"/>
      <c r="AJ1124" s="30"/>
      <c r="AK1124" s="30"/>
      <c r="AL1124" s="13"/>
      <c r="AM1124" s="13"/>
      <c r="AN1124" s="13"/>
      <c r="AO1124" s="13"/>
      <c r="AP1124" s="13"/>
      <c r="AQ1124" s="14"/>
      <c r="AR1124" s="15"/>
    </row>
    <row r="1125" spans="1:44" s="17" customFormat="1" ht="30.95" hidden="1" customHeight="1" x14ac:dyDescent="0.2">
      <c r="A1125" s="343"/>
      <c r="B1125" s="344"/>
      <c r="C1125" s="345"/>
      <c r="D1125" s="346"/>
      <c r="E1125" s="346"/>
      <c r="F1125" s="268"/>
      <c r="G1125" s="269"/>
      <c r="H1125" s="269"/>
      <c r="I1125" s="270"/>
      <c r="J1125" s="347"/>
      <c r="K1125" s="270"/>
      <c r="L1125" s="270"/>
      <c r="M1125" s="348"/>
      <c r="N1125" s="348"/>
      <c r="O1125" s="349"/>
      <c r="P1125" s="350"/>
      <c r="Q1125" s="276"/>
      <c r="R1125" s="277"/>
      <c r="S1125" s="277"/>
      <c r="T1125" s="351"/>
      <c r="U1125" s="278"/>
      <c r="V1125" s="269"/>
      <c r="W1125" s="269"/>
      <c r="X1125" s="275"/>
      <c r="Y1125" s="269"/>
      <c r="Z1125" s="350"/>
      <c r="AA1125" s="207"/>
      <c r="AB1125" s="352"/>
      <c r="AC1125" s="353"/>
      <c r="AD1125" s="54"/>
      <c r="AE1125" s="354"/>
      <c r="AF1125" s="355"/>
      <c r="AG1125" s="349"/>
      <c r="AH1125" s="30"/>
      <c r="AI1125" s="30"/>
      <c r="AJ1125" s="30"/>
      <c r="AK1125" s="30"/>
      <c r="AL1125" s="13"/>
      <c r="AM1125" s="13"/>
      <c r="AN1125" s="13"/>
      <c r="AO1125" s="13"/>
      <c r="AP1125" s="13"/>
      <c r="AQ1125" s="14"/>
      <c r="AR1125" s="15"/>
    </row>
    <row r="1126" spans="1:44" s="17" customFormat="1" ht="30.6" hidden="1" customHeight="1" x14ac:dyDescent="0.2">
      <c r="A1126" s="343" t="s">
        <v>735</v>
      </c>
      <c r="B1126" s="344" t="s">
        <v>688</v>
      </c>
      <c r="C1126" s="345"/>
      <c r="D1126" s="398">
        <v>3731350</v>
      </c>
      <c r="E1126" s="31">
        <v>4151513</v>
      </c>
      <c r="F1126" s="268" t="str">
        <f>IF(D1126="","",VLOOKUP(D1126,契約台帳!$A$3:$K$4986,6,FALSE)&amp;VLOOKUP(D1126,契約台帳!$A$3:$K$4986,7,FALSE)&amp;VLOOKUP(D1126,契約台帳!$A$3:$K$4986,8,FALSE)&amp;VLOOKUP(D1126,契約台帳!$A$3:$K$4986,9,FALSE)&amp;VLOOKUP(D1126,契約台帳!$A$3:$K$4986,11,FALSE))</f>
        <v>3SNMLBMNGKKBF</v>
      </c>
      <c r="G1126" s="269" t="str">
        <f>IF(D1126="","",VLOOKUP(F1126,製品マスタ!$G$5:$H$5002,2,FALSE))</f>
        <v>S</v>
      </c>
      <c r="H1126" s="269" t="str">
        <f>IF(D1126="","",VLOOKUP(F1126,製品マスタ!$G$5:$K$5002,5,FALSE))</f>
        <v>MNGKKBF</v>
      </c>
      <c r="I1126" s="270" t="str">
        <f>IF(D1126="","",VLOOKUP(F1126,製品マスタ!$G$5:$L$5002,6,FALSE))</f>
        <v>メタルミー　ネーマー銀消改　Ｂ</v>
      </c>
      <c r="J1126" s="32" t="s">
        <v>447</v>
      </c>
      <c r="K1126" s="270">
        <f>IF(D1126="","",VLOOKUP(D1126,契約台帳!$A$3:$L$4986,12,FALSE))</f>
        <v>50</v>
      </c>
      <c r="L1126" s="270" t="str">
        <f>IF(D1126="","",INDEX(製品マスタ!$Q$5:$Q$5002,MATCH(F1126&amp;K1126,製品マスタ!$AO$5:$AO$5002,0)))</f>
        <v>S99-MAT</v>
      </c>
      <c r="M1126" s="39">
        <v>1120</v>
      </c>
      <c r="N1126" s="39">
        <v>12000</v>
      </c>
      <c r="O1126" s="47">
        <v>2</v>
      </c>
      <c r="P1126" s="57"/>
      <c r="Q1126" s="276">
        <f>IF(D1126="","",IF(J1126="リード付け",M1126,VLOOKUP(D1126,契約台帳!$A$3:$N$4986,14,FALSE)))</f>
        <v>1120</v>
      </c>
      <c r="R1126" s="277">
        <f>IF(D1126="","",IF(J1126="リード付け",M1126,VLOOKUP(D1126,契約台帳!$A$3:$O$4986,15,FALSE)))</f>
        <v>1120</v>
      </c>
      <c r="S1126" s="277">
        <f>IF(D1126="","",IF(J1126="リード付け",N1126,VLOOKUP(D1126,契約台帳!$A$3:$P$4986,16,FALSE)))</f>
        <v>4000</v>
      </c>
      <c r="T1126" s="40">
        <v>6</v>
      </c>
      <c r="U1126" s="278" t="str">
        <f ca="1">IF(D1126="","",IF(OFFSET(D1126,-2,0)=D1126,"",VLOOKUP(D1126,契約台帳!$A$3:$R$4986,18,FALSE)))</f>
        <v/>
      </c>
      <c r="V1126" s="269" t="str">
        <f>IF(J1126="巻返し",VLOOKUP(F1126&amp;K1126&amp;M1126,製品マスタ!$M$5:$AD$5002,18,FALSE),IF(J1126="リード付け","原反コア",IF(J1126="スリット",VLOOKUP(F1126&amp;K1126&amp;Q1126,製品マスタ!$N$5:$AD$5002,17,FALSE),"")))</f>
        <v>6ｲﾝﾁSｺｱ</v>
      </c>
      <c r="W1126" s="269">
        <f>IF(J1126="巻返し",VLOOKUP(F1126&amp;K1126&amp;M1126,製品マスタ!$M$5:$AE$5002,19,FALSE),IF(J1126="リード付け","-",IF(J1126="スリット",VLOOKUP(F1126&amp;K1126&amp;Q1126,製品マスタ!$N$5:$AE$5002,18,FALSE),"")))</f>
        <v>1125</v>
      </c>
      <c r="X1126" s="275">
        <f>IF(D1126="","",VLOOKUP(D1126,契約台帳!$A$3:$Q$4986,17,FALSE))</f>
        <v>2</v>
      </c>
      <c r="Y1126" s="269" t="str">
        <f>IF(D1126="","",VLOOKUP(D1126,契約台帳!$A$3:$E$4986,5,FALSE))</f>
        <v>リンテック㈱</v>
      </c>
      <c r="Z1126" s="357">
        <v>44936</v>
      </c>
      <c r="AA1126" s="207"/>
      <c r="AB1126" s="369"/>
      <c r="AC1126" s="370"/>
      <c r="AD1126" s="332" t="str">
        <f>IF(F1126="","",+F1126&amp;K1126)</f>
        <v>3SNMLBMNGKKBF50</v>
      </c>
      <c r="AE1126" s="216">
        <f>+M1126*N1126*O1126/1000</f>
        <v>26880</v>
      </c>
      <c r="AF1126" s="43">
        <f>IF(AD1126="","",VLOOKUP(AD1126,原価マスタ!$A$2:$AJ$1693,13,FALSE))</f>
        <v>99</v>
      </c>
      <c r="AG1126" s="47">
        <f>IF(AF1126="","",+AE1126*AF1126/100)</f>
        <v>26611.200000000001</v>
      </c>
      <c r="AH1126" s="30"/>
      <c r="AI1126" s="30"/>
      <c r="AJ1126" s="30"/>
      <c r="AK1126" s="30"/>
      <c r="AL1126" s="13"/>
      <c r="AM1126" s="13"/>
      <c r="AN1126" s="13"/>
      <c r="AO1126" s="13"/>
      <c r="AP1126" s="13"/>
      <c r="AQ1126" s="14"/>
      <c r="AR1126" s="15"/>
    </row>
    <row r="1127" spans="1:44" s="17" customFormat="1" ht="30.95" hidden="1" customHeight="1" x14ac:dyDescent="0.2">
      <c r="A1127" s="343"/>
      <c r="B1127" s="344"/>
      <c r="C1127" s="345"/>
      <c r="D1127" s="346"/>
      <c r="E1127" s="346"/>
      <c r="F1127" s="268"/>
      <c r="G1127" s="269"/>
      <c r="H1127" s="269"/>
      <c r="I1127" s="270"/>
      <c r="J1127" s="347"/>
      <c r="K1127" s="270"/>
      <c r="L1127" s="270"/>
      <c r="M1127" s="348"/>
      <c r="N1127" s="348"/>
      <c r="O1127" s="349"/>
      <c r="P1127" s="350"/>
      <c r="Q1127" s="276"/>
      <c r="R1127" s="277"/>
      <c r="S1127" s="277"/>
      <c r="T1127" s="351"/>
      <c r="U1127" s="278"/>
      <c r="V1127" s="269"/>
      <c r="W1127" s="269"/>
      <c r="X1127" s="275"/>
      <c r="Y1127" s="269"/>
      <c r="Z1127" s="350"/>
      <c r="AA1127" s="207"/>
      <c r="AB1127" s="352"/>
      <c r="AC1127" s="353"/>
      <c r="AD1127" s="54"/>
      <c r="AE1127" s="354"/>
      <c r="AF1127" s="355"/>
      <c r="AG1127" s="349"/>
      <c r="AH1127" s="30"/>
      <c r="AI1127" s="30"/>
      <c r="AJ1127" s="30"/>
      <c r="AK1127" s="30"/>
      <c r="AL1127" s="13"/>
      <c r="AM1127" s="13"/>
      <c r="AN1127" s="13"/>
      <c r="AO1127" s="13"/>
      <c r="AP1127" s="13"/>
      <c r="AQ1127" s="14"/>
      <c r="AR1127" s="15"/>
    </row>
    <row r="1128" spans="1:44" s="17" customFormat="1" ht="30.95" hidden="1" customHeight="1" x14ac:dyDescent="0.2">
      <c r="A1128" s="343" t="s">
        <v>737</v>
      </c>
      <c r="B1128" s="344" t="s">
        <v>442</v>
      </c>
      <c r="C1128" s="345"/>
      <c r="D1128" s="398">
        <v>3731350</v>
      </c>
      <c r="E1128" s="31">
        <v>4151513</v>
      </c>
      <c r="F1128" s="268" t="str">
        <f>IF(D1128="","",VLOOKUP(D1128,契約台帳!$A$3:$K$4986,6,FALSE)&amp;VLOOKUP(D1128,契約台帳!$A$3:$K$4986,7,FALSE)&amp;VLOOKUP(D1128,契約台帳!$A$3:$K$4986,8,FALSE)&amp;VLOOKUP(D1128,契約台帳!$A$3:$K$4986,9,FALSE)&amp;VLOOKUP(D1128,契約台帳!$A$3:$K$4986,11,FALSE))</f>
        <v>3SNMLBMNGKKBF</v>
      </c>
      <c r="G1128" s="269" t="str">
        <f>IF(D1128="","",VLOOKUP(F1128,製品マスタ!$G$5:$H$5002,2,FALSE))</f>
        <v>S</v>
      </c>
      <c r="H1128" s="269" t="str">
        <f>IF(D1128="","",VLOOKUP(F1128,製品マスタ!$G$5:$K$5002,5,FALSE))</f>
        <v>MNGKKBF</v>
      </c>
      <c r="I1128" s="270" t="str">
        <f>IF(D1128="","",VLOOKUP(F1128,製品マスタ!$G$5:$L$5002,6,FALSE))</f>
        <v>メタルミー　ネーマー銀消改　Ｂ</v>
      </c>
      <c r="J1128" s="32" t="s">
        <v>447</v>
      </c>
      <c r="K1128" s="270">
        <f>IF(D1128="","",VLOOKUP(D1128,契約台帳!$A$3:$L$4986,12,FALSE))</f>
        <v>50</v>
      </c>
      <c r="L1128" s="270" t="str">
        <f>IF(D1128="","",INDEX(製品マスタ!$Q$5:$Q$5002,MATCH(F1128&amp;K1128,製品マスタ!$AO$5:$AO$5002,0)))</f>
        <v>S99-MAT</v>
      </c>
      <c r="M1128" s="39">
        <v>1120</v>
      </c>
      <c r="N1128" s="39">
        <v>12000</v>
      </c>
      <c r="O1128" s="47">
        <v>2</v>
      </c>
      <c r="P1128" s="57"/>
      <c r="Q1128" s="276">
        <f>IF(D1128="","",IF(J1128="リード付け",M1128,VLOOKUP(D1128,契約台帳!$A$3:$N$4986,14,FALSE)))</f>
        <v>1120</v>
      </c>
      <c r="R1128" s="277">
        <f>IF(D1128="","",IF(J1128="リード付け",M1128,VLOOKUP(D1128,契約台帳!$A$3:$O$4986,15,FALSE)))</f>
        <v>1120</v>
      </c>
      <c r="S1128" s="277">
        <f>IF(D1128="","",IF(J1128="リード付け",N1128,VLOOKUP(D1128,契約台帳!$A$3:$P$4986,16,FALSE)))</f>
        <v>4000</v>
      </c>
      <c r="T1128" s="40">
        <v>6</v>
      </c>
      <c r="U1128" s="278" t="str">
        <f ca="1">IF(D1128="","",IF(OFFSET(D1128,-2,0)=D1128,"",VLOOKUP(D1128,契約台帳!$A$3:$R$4986,18,FALSE)))</f>
        <v/>
      </c>
      <c r="V1128" s="269" t="str">
        <f>IF(J1128="巻返し",VLOOKUP(F1128&amp;K1128&amp;M1128,製品マスタ!$M$5:$AD$5002,18,FALSE),IF(J1128="リード付け","原反コア",IF(J1128="スリット",VLOOKUP(F1128&amp;K1128&amp;Q1128,製品マスタ!$N$5:$AD$5002,17,FALSE),"")))</f>
        <v>6ｲﾝﾁSｺｱ</v>
      </c>
      <c r="W1128" s="269">
        <f>IF(J1128="巻返し",VLOOKUP(F1128&amp;K1128&amp;M1128,製品マスタ!$M$5:$AE$5002,19,FALSE),IF(J1128="リード付け","-",IF(J1128="スリット",VLOOKUP(F1128&amp;K1128&amp;Q1128,製品マスタ!$N$5:$AE$5002,18,FALSE),"")))</f>
        <v>1125</v>
      </c>
      <c r="X1128" s="275">
        <f>IF(D1128="","",VLOOKUP(D1128,契約台帳!$A$3:$Q$4986,17,FALSE))</f>
        <v>2</v>
      </c>
      <c r="Y1128" s="269" t="str">
        <f>IF(D1128="","",VLOOKUP(D1128,契約台帳!$A$3:$E$4986,5,FALSE))</f>
        <v>リンテック㈱</v>
      </c>
      <c r="Z1128" s="357">
        <v>44936</v>
      </c>
      <c r="AA1128" s="207"/>
      <c r="AB1128" s="369"/>
      <c r="AC1128" s="370"/>
      <c r="AD1128" s="332" t="str">
        <f>IF(F1128="","",+F1128&amp;K1128)</f>
        <v>3SNMLBMNGKKBF50</v>
      </c>
      <c r="AE1128" s="216">
        <f>+M1128*N1128*O1128/1000</f>
        <v>26880</v>
      </c>
      <c r="AF1128" s="43">
        <f>IF(AD1128="","",VLOOKUP(AD1128,原価マスタ!$A$2:$AJ$1693,13,FALSE))</f>
        <v>99</v>
      </c>
      <c r="AG1128" s="47">
        <f>IF(AF1128="","",+AE1128*AF1128/100)</f>
        <v>26611.200000000001</v>
      </c>
      <c r="AH1128" s="30"/>
      <c r="AI1128" s="30"/>
      <c r="AJ1128" s="30"/>
      <c r="AK1128" s="30"/>
      <c r="AL1128" s="13"/>
      <c r="AM1128" s="13"/>
      <c r="AN1128" s="13"/>
      <c r="AO1128" s="13"/>
      <c r="AP1128" s="13"/>
      <c r="AQ1128" s="14"/>
      <c r="AR1128" s="15"/>
    </row>
    <row r="1129" spans="1:44" s="17" customFormat="1" ht="30.95" hidden="1" customHeight="1" x14ac:dyDescent="0.2">
      <c r="A1129" s="343"/>
      <c r="B1129" s="344"/>
      <c r="C1129" s="345"/>
      <c r="D1129" s="346"/>
      <c r="E1129" s="346"/>
      <c r="F1129" s="268"/>
      <c r="G1129" s="269"/>
      <c r="H1129" s="269"/>
      <c r="I1129" s="270"/>
      <c r="J1129" s="347"/>
      <c r="K1129" s="270"/>
      <c r="L1129" s="270"/>
      <c r="M1129" s="348"/>
      <c r="N1129" s="348"/>
      <c r="O1129" s="349"/>
      <c r="P1129" s="350"/>
      <c r="Q1129" s="276"/>
      <c r="R1129" s="277"/>
      <c r="S1129" s="277"/>
      <c r="T1129" s="351"/>
      <c r="U1129" s="278"/>
      <c r="V1129" s="269"/>
      <c r="W1129" s="269"/>
      <c r="X1129" s="275"/>
      <c r="Y1129" s="269"/>
      <c r="Z1129" s="350"/>
      <c r="AA1129" s="207"/>
      <c r="AB1129" s="352"/>
      <c r="AC1129" s="353"/>
      <c r="AD1129" s="54"/>
      <c r="AE1129" s="354"/>
      <c r="AF1129" s="355"/>
      <c r="AG1129" s="349"/>
      <c r="AH1129" s="30"/>
      <c r="AI1129" s="30"/>
      <c r="AJ1129" s="30"/>
      <c r="AK1129" s="30"/>
      <c r="AL1129" s="13"/>
      <c r="AM1129" s="13"/>
      <c r="AN1129" s="13"/>
      <c r="AO1129" s="13"/>
      <c r="AP1129" s="13"/>
      <c r="AQ1129" s="14"/>
      <c r="AR1129" s="15"/>
    </row>
    <row r="1130" spans="1:44" s="17" customFormat="1" ht="30.95" hidden="1" customHeight="1" x14ac:dyDescent="0.2">
      <c r="A1130" s="343" t="s">
        <v>739</v>
      </c>
      <c r="B1130" s="344" t="s">
        <v>442</v>
      </c>
      <c r="C1130" s="345"/>
      <c r="D1130" s="398"/>
      <c r="E1130" s="31"/>
      <c r="F1130" s="268"/>
      <c r="G1130" s="269"/>
      <c r="H1130" s="269"/>
      <c r="I1130" s="270"/>
      <c r="J1130" s="32" t="s">
        <v>1890</v>
      </c>
      <c r="K1130" s="270"/>
      <c r="L1130" s="270"/>
      <c r="M1130" s="39"/>
      <c r="N1130" s="39"/>
      <c r="O1130" s="47"/>
      <c r="P1130" s="57"/>
      <c r="Q1130" s="276"/>
      <c r="R1130" s="277"/>
      <c r="S1130" s="277"/>
      <c r="T1130" s="40"/>
      <c r="U1130" s="278"/>
      <c r="V1130" s="269"/>
      <c r="W1130" s="269"/>
      <c r="X1130" s="275"/>
      <c r="Y1130" s="269"/>
      <c r="Z1130" s="357"/>
      <c r="AA1130" s="207"/>
      <c r="AB1130" s="369"/>
      <c r="AC1130" s="370"/>
      <c r="AD1130" s="332"/>
      <c r="AE1130" s="216"/>
      <c r="AF1130" s="43"/>
      <c r="AG1130" s="47"/>
      <c r="AH1130" s="30"/>
      <c r="AI1130" s="30"/>
      <c r="AJ1130" s="30"/>
      <c r="AK1130" s="30"/>
      <c r="AL1130" s="13"/>
      <c r="AM1130" s="13"/>
      <c r="AN1130" s="13"/>
      <c r="AO1130" s="13"/>
      <c r="AP1130" s="13"/>
      <c r="AQ1130" s="14"/>
      <c r="AR1130" s="15"/>
    </row>
    <row r="1131" spans="1:44" s="17" customFormat="1" ht="30.95" hidden="1" customHeight="1" x14ac:dyDescent="0.2">
      <c r="A1131" s="343"/>
      <c r="B1131" s="344"/>
      <c r="C1131" s="345"/>
      <c r="D1131" s="346"/>
      <c r="E1131" s="346"/>
      <c r="F1131" s="268"/>
      <c r="G1131" s="269"/>
      <c r="H1131" s="269"/>
      <c r="I1131" s="270"/>
      <c r="J1131" s="347"/>
      <c r="K1131" s="270"/>
      <c r="L1131" s="270"/>
      <c r="M1131" s="348"/>
      <c r="N1131" s="348"/>
      <c r="O1131" s="349"/>
      <c r="P1131" s="350"/>
      <c r="Q1131" s="276"/>
      <c r="R1131" s="277"/>
      <c r="S1131" s="277"/>
      <c r="T1131" s="351"/>
      <c r="U1131" s="278"/>
      <c r="V1131" s="269"/>
      <c r="W1131" s="269"/>
      <c r="X1131" s="275"/>
      <c r="Y1131" s="269"/>
      <c r="Z1131" s="350"/>
      <c r="AA1131" s="207"/>
      <c r="AB1131" s="352"/>
      <c r="AC1131" s="353"/>
      <c r="AD1131" s="54"/>
      <c r="AE1131" s="354"/>
      <c r="AF1131" s="355"/>
      <c r="AG1131" s="349"/>
      <c r="AH1131" s="30"/>
      <c r="AI1131" s="30"/>
      <c r="AJ1131" s="30"/>
      <c r="AK1131" s="30"/>
      <c r="AL1131" s="13"/>
      <c r="AM1131" s="13"/>
      <c r="AN1131" s="13"/>
      <c r="AO1131" s="13"/>
      <c r="AP1131" s="13"/>
      <c r="AQ1131" s="14"/>
      <c r="AR1131" s="15"/>
    </row>
    <row r="1132" spans="1:44" s="17" customFormat="1" ht="30.95" hidden="1" customHeight="1" x14ac:dyDescent="0.2">
      <c r="A1132" s="343" t="s">
        <v>1854</v>
      </c>
      <c r="B1132" s="344" t="s">
        <v>1409</v>
      </c>
      <c r="C1132" s="345"/>
      <c r="D1132" s="346"/>
      <c r="E1132" s="346"/>
      <c r="F1132" s="268"/>
      <c r="G1132" s="269"/>
      <c r="H1132" s="269"/>
      <c r="I1132" s="270"/>
      <c r="J1132" s="347" t="s">
        <v>448</v>
      </c>
      <c r="K1132" s="270"/>
      <c r="L1132" s="270"/>
      <c r="M1132" s="348"/>
      <c r="N1132" s="348"/>
      <c r="O1132" s="349"/>
      <c r="P1132" s="350"/>
      <c r="Q1132" s="276"/>
      <c r="R1132" s="277"/>
      <c r="S1132" s="277"/>
      <c r="T1132" s="351"/>
      <c r="U1132" s="278"/>
      <c r="V1132" s="269"/>
      <c r="W1132" s="269"/>
      <c r="X1132" s="275"/>
      <c r="Y1132" s="269"/>
      <c r="Z1132" s="350"/>
      <c r="AA1132" s="207"/>
      <c r="AB1132" s="352"/>
      <c r="AC1132" s="353"/>
      <c r="AD1132" s="54"/>
      <c r="AE1132" s="354"/>
      <c r="AF1132" s="355"/>
      <c r="AG1132" s="349"/>
      <c r="AH1132" s="30"/>
      <c r="AI1132" s="30"/>
      <c r="AJ1132" s="30"/>
      <c r="AK1132" s="30"/>
      <c r="AL1132" s="13"/>
      <c r="AM1132" s="13"/>
      <c r="AN1132" s="13"/>
      <c r="AO1132" s="13"/>
      <c r="AP1132" s="13"/>
      <c r="AQ1132" s="14"/>
      <c r="AR1132" s="15"/>
    </row>
    <row r="1133" spans="1:44" s="17" customFormat="1" ht="30.95" hidden="1" customHeight="1" x14ac:dyDescent="0.2">
      <c r="A1133" s="343"/>
      <c r="B1133" s="344"/>
      <c r="C1133" s="345"/>
      <c r="D1133" s="346"/>
      <c r="E1133" s="346"/>
      <c r="F1133" s="268"/>
      <c r="G1133" s="269"/>
      <c r="H1133" s="269"/>
      <c r="I1133" s="270"/>
      <c r="J1133" s="347"/>
      <c r="K1133" s="270"/>
      <c r="L1133" s="270"/>
      <c r="M1133" s="348"/>
      <c r="N1133" s="348"/>
      <c r="O1133" s="349"/>
      <c r="P1133" s="350"/>
      <c r="Q1133" s="276"/>
      <c r="R1133" s="277"/>
      <c r="S1133" s="277"/>
      <c r="T1133" s="351"/>
      <c r="U1133" s="278"/>
      <c r="V1133" s="269"/>
      <c r="W1133" s="269"/>
      <c r="X1133" s="275"/>
      <c r="Y1133" s="269"/>
      <c r="Z1133" s="350"/>
      <c r="AA1133" s="207"/>
      <c r="AB1133" s="352"/>
      <c r="AC1133" s="353"/>
      <c r="AD1133" s="54"/>
      <c r="AE1133" s="354"/>
      <c r="AF1133" s="355"/>
      <c r="AG1133" s="349"/>
      <c r="AH1133" s="30"/>
      <c r="AI1133" s="30"/>
      <c r="AJ1133" s="30"/>
      <c r="AK1133" s="30"/>
      <c r="AL1133" s="13"/>
      <c r="AM1133" s="13"/>
      <c r="AN1133" s="13"/>
      <c r="AO1133" s="13"/>
      <c r="AP1133" s="13"/>
      <c r="AQ1133" s="14"/>
      <c r="AR1133" s="15"/>
    </row>
    <row r="1134" spans="1:44" s="17" customFormat="1" ht="30.95" hidden="1" customHeight="1" x14ac:dyDescent="0.2">
      <c r="A1134" s="343" t="s">
        <v>1855</v>
      </c>
      <c r="B1134" s="344" t="s">
        <v>1397</v>
      </c>
      <c r="C1134" s="345"/>
      <c r="D1134" s="346"/>
      <c r="E1134" s="346"/>
      <c r="F1134" s="268"/>
      <c r="G1134" s="269"/>
      <c r="H1134" s="269"/>
      <c r="I1134" s="270"/>
      <c r="J1134" s="347" t="s">
        <v>448</v>
      </c>
      <c r="K1134" s="270"/>
      <c r="L1134" s="270"/>
      <c r="M1134" s="348"/>
      <c r="N1134" s="348"/>
      <c r="O1134" s="349"/>
      <c r="P1134" s="350"/>
      <c r="Q1134" s="276"/>
      <c r="R1134" s="277"/>
      <c r="S1134" s="277"/>
      <c r="T1134" s="351"/>
      <c r="U1134" s="278"/>
      <c r="V1134" s="269"/>
      <c r="W1134" s="269"/>
      <c r="X1134" s="275"/>
      <c r="Y1134" s="269"/>
      <c r="Z1134" s="350"/>
      <c r="AA1134" s="207"/>
      <c r="AB1134" s="352"/>
      <c r="AC1134" s="353"/>
      <c r="AD1134" s="54"/>
      <c r="AE1134" s="354"/>
      <c r="AF1134" s="355"/>
      <c r="AG1134" s="349"/>
      <c r="AH1134" s="30"/>
      <c r="AI1134" s="30"/>
      <c r="AJ1134" s="30"/>
      <c r="AK1134" s="30"/>
      <c r="AL1134" s="13"/>
      <c r="AM1134" s="13"/>
      <c r="AN1134" s="13"/>
      <c r="AO1134" s="13"/>
      <c r="AP1134" s="13"/>
      <c r="AQ1134" s="14"/>
      <c r="AR1134" s="15"/>
    </row>
    <row r="1135" spans="1:44" s="17" customFormat="1" ht="30.95" hidden="1" customHeight="1" x14ac:dyDescent="0.2">
      <c r="A1135" s="343"/>
      <c r="B1135" s="344"/>
      <c r="C1135" s="345"/>
      <c r="D1135" s="346"/>
      <c r="E1135" s="346"/>
      <c r="F1135" s="268"/>
      <c r="G1135" s="269"/>
      <c r="H1135" s="269"/>
      <c r="I1135" s="270"/>
      <c r="J1135" s="347"/>
      <c r="K1135" s="270"/>
      <c r="L1135" s="270"/>
      <c r="M1135" s="348"/>
      <c r="N1135" s="348"/>
      <c r="O1135" s="349"/>
      <c r="P1135" s="350"/>
      <c r="Q1135" s="276"/>
      <c r="R1135" s="277"/>
      <c r="S1135" s="277"/>
      <c r="T1135" s="351"/>
      <c r="U1135" s="278"/>
      <c r="V1135" s="269"/>
      <c r="W1135" s="269"/>
      <c r="X1135" s="275"/>
      <c r="Y1135" s="269"/>
      <c r="Z1135" s="350"/>
      <c r="AA1135" s="207"/>
      <c r="AB1135" s="352"/>
      <c r="AC1135" s="353"/>
      <c r="AD1135" s="54"/>
      <c r="AE1135" s="354"/>
      <c r="AF1135" s="355"/>
      <c r="AG1135" s="349"/>
      <c r="AH1135" s="30"/>
      <c r="AI1135" s="30"/>
      <c r="AJ1135" s="30"/>
      <c r="AK1135" s="30"/>
      <c r="AL1135" s="13"/>
      <c r="AM1135" s="13"/>
      <c r="AN1135" s="13"/>
      <c r="AO1135" s="13"/>
      <c r="AP1135" s="13"/>
      <c r="AQ1135" s="14"/>
      <c r="AR1135" s="15"/>
    </row>
    <row r="1136" spans="1:44" s="17" customFormat="1" ht="30.95" hidden="1" customHeight="1" x14ac:dyDescent="0.2">
      <c r="A1136" s="343" t="s">
        <v>1856</v>
      </c>
      <c r="B1136" s="344" t="s">
        <v>392</v>
      </c>
      <c r="C1136" s="345"/>
      <c r="D1136" s="346"/>
      <c r="E1136" s="346"/>
      <c r="F1136" s="268"/>
      <c r="G1136" s="269"/>
      <c r="H1136" s="269"/>
      <c r="I1136" s="270"/>
      <c r="J1136" s="347" t="s">
        <v>448</v>
      </c>
      <c r="K1136" s="270"/>
      <c r="L1136" s="270"/>
      <c r="M1136" s="348"/>
      <c r="N1136" s="348"/>
      <c r="O1136" s="349"/>
      <c r="P1136" s="350"/>
      <c r="Q1136" s="276"/>
      <c r="R1136" s="277"/>
      <c r="S1136" s="277"/>
      <c r="T1136" s="351"/>
      <c r="U1136" s="278"/>
      <c r="V1136" s="269"/>
      <c r="W1136" s="269"/>
      <c r="X1136" s="275"/>
      <c r="Y1136" s="269"/>
      <c r="Z1136" s="350"/>
      <c r="AA1136" s="207"/>
      <c r="AB1136" s="352"/>
      <c r="AC1136" s="353"/>
      <c r="AD1136" s="54"/>
      <c r="AE1136" s="354"/>
      <c r="AF1136" s="355"/>
      <c r="AG1136" s="349"/>
      <c r="AH1136" s="30"/>
      <c r="AI1136" s="30"/>
      <c r="AJ1136" s="30"/>
      <c r="AK1136" s="30"/>
      <c r="AL1136" s="13"/>
      <c r="AM1136" s="13"/>
      <c r="AN1136" s="13"/>
      <c r="AO1136" s="13"/>
      <c r="AP1136" s="13"/>
      <c r="AQ1136" s="14"/>
      <c r="AR1136" s="15"/>
    </row>
    <row r="1137" spans="1:44" s="17" customFormat="1" ht="30.95" hidden="1" customHeight="1" x14ac:dyDescent="0.2">
      <c r="A1137" s="343"/>
      <c r="B1137" s="344"/>
      <c r="C1137" s="345"/>
      <c r="D1137" s="346"/>
      <c r="E1137" s="346"/>
      <c r="F1137" s="268"/>
      <c r="G1137" s="269"/>
      <c r="H1137" s="269"/>
      <c r="I1137" s="270"/>
      <c r="J1137" s="347"/>
      <c r="K1137" s="270"/>
      <c r="L1137" s="270"/>
      <c r="M1137" s="348"/>
      <c r="N1137" s="348"/>
      <c r="O1137" s="349"/>
      <c r="P1137" s="350"/>
      <c r="Q1137" s="276"/>
      <c r="R1137" s="277"/>
      <c r="S1137" s="277"/>
      <c r="T1137" s="351"/>
      <c r="U1137" s="278"/>
      <c r="V1137" s="269"/>
      <c r="W1137" s="269"/>
      <c r="X1137" s="275"/>
      <c r="Y1137" s="269"/>
      <c r="Z1137" s="350"/>
      <c r="AA1137" s="207"/>
      <c r="AB1137" s="352"/>
      <c r="AC1137" s="353"/>
      <c r="AD1137" s="54"/>
      <c r="AE1137" s="354"/>
      <c r="AF1137" s="355"/>
      <c r="AG1137" s="349"/>
      <c r="AH1137" s="30"/>
      <c r="AI1137" s="30"/>
      <c r="AJ1137" s="30"/>
      <c r="AK1137" s="30"/>
      <c r="AL1137" s="13"/>
      <c r="AM1137" s="13"/>
      <c r="AN1137" s="13"/>
      <c r="AO1137" s="13"/>
      <c r="AP1137" s="13"/>
      <c r="AQ1137" s="14"/>
      <c r="AR1137" s="15"/>
    </row>
    <row r="1138" spans="1:44" s="17" customFormat="1" ht="30.95" hidden="1" customHeight="1" x14ac:dyDescent="0.2">
      <c r="A1138" s="343" t="s">
        <v>1857</v>
      </c>
      <c r="B1138" s="344" t="s">
        <v>1402</v>
      </c>
      <c r="C1138" s="345"/>
      <c r="D1138" s="346"/>
      <c r="E1138" s="346"/>
      <c r="F1138" s="268"/>
      <c r="G1138" s="269"/>
      <c r="H1138" s="269"/>
      <c r="I1138" s="270"/>
      <c r="J1138" s="347" t="s">
        <v>448</v>
      </c>
      <c r="K1138" s="270"/>
      <c r="L1138" s="270"/>
      <c r="M1138" s="348"/>
      <c r="N1138" s="348"/>
      <c r="O1138" s="349"/>
      <c r="P1138" s="350"/>
      <c r="Q1138" s="276"/>
      <c r="R1138" s="277"/>
      <c r="S1138" s="277"/>
      <c r="T1138" s="351"/>
      <c r="U1138" s="278"/>
      <c r="V1138" s="269"/>
      <c r="W1138" s="269"/>
      <c r="X1138" s="275"/>
      <c r="Y1138" s="269"/>
      <c r="Z1138" s="350"/>
      <c r="AA1138" s="207"/>
      <c r="AB1138" s="352"/>
      <c r="AC1138" s="353"/>
      <c r="AD1138" s="54"/>
      <c r="AE1138" s="354"/>
      <c r="AF1138" s="355"/>
      <c r="AG1138" s="349"/>
      <c r="AH1138" s="30"/>
      <c r="AI1138" s="30"/>
      <c r="AJ1138" s="30"/>
      <c r="AK1138" s="30"/>
      <c r="AL1138" s="13"/>
      <c r="AM1138" s="13"/>
      <c r="AN1138" s="13"/>
      <c r="AO1138" s="13"/>
      <c r="AP1138" s="13"/>
      <c r="AQ1138" s="14"/>
      <c r="AR1138" s="15"/>
    </row>
    <row r="1139" spans="1:44" s="17" customFormat="1" ht="30.95" hidden="1" customHeight="1" x14ac:dyDescent="0.2">
      <c r="A1139" s="343"/>
      <c r="B1139" s="344"/>
      <c r="C1139" s="345"/>
      <c r="D1139" s="346"/>
      <c r="E1139" s="346"/>
      <c r="F1139" s="268"/>
      <c r="G1139" s="269"/>
      <c r="H1139" s="269"/>
      <c r="I1139" s="270"/>
      <c r="J1139" s="347"/>
      <c r="K1139" s="270"/>
      <c r="L1139" s="270"/>
      <c r="M1139" s="348"/>
      <c r="N1139" s="348"/>
      <c r="O1139" s="349"/>
      <c r="P1139" s="350"/>
      <c r="Q1139" s="276"/>
      <c r="R1139" s="277"/>
      <c r="S1139" s="277"/>
      <c r="T1139" s="351"/>
      <c r="U1139" s="278"/>
      <c r="V1139" s="269"/>
      <c r="W1139" s="269"/>
      <c r="X1139" s="275"/>
      <c r="Y1139" s="269"/>
      <c r="Z1139" s="350"/>
      <c r="AA1139" s="207"/>
      <c r="AB1139" s="352"/>
      <c r="AC1139" s="353"/>
      <c r="AD1139" s="54"/>
      <c r="AE1139" s="354"/>
      <c r="AF1139" s="355"/>
      <c r="AG1139" s="349"/>
      <c r="AH1139" s="30"/>
      <c r="AI1139" s="30"/>
      <c r="AJ1139" s="30"/>
      <c r="AK1139" s="30"/>
      <c r="AL1139" s="13"/>
      <c r="AM1139" s="13"/>
      <c r="AN1139" s="13"/>
      <c r="AO1139" s="13"/>
      <c r="AP1139" s="13"/>
      <c r="AQ1139" s="14"/>
      <c r="AR1139" s="15"/>
    </row>
    <row r="1140" spans="1:44" s="17" customFormat="1" ht="30.95" hidden="1" customHeight="1" x14ac:dyDescent="0.2">
      <c r="A1140" s="343" t="s">
        <v>1858</v>
      </c>
      <c r="B1140" s="344" t="s">
        <v>1405</v>
      </c>
      <c r="C1140" s="345"/>
      <c r="D1140" s="346"/>
      <c r="E1140" s="346"/>
      <c r="F1140" s="268"/>
      <c r="G1140" s="269"/>
      <c r="H1140" s="269"/>
      <c r="I1140" s="270"/>
      <c r="J1140" s="347" t="s">
        <v>448</v>
      </c>
      <c r="K1140" s="270"/>
      <c r="L1140" s="270"/>
      <c r="M1140" s="348"/>
      <c r="N1140" s="348"/>
      <c r="O1140" s="349"/>
      <c r="P1140" s="350"/>
      <c r="Q1140" s="276"/>
      <c r="R1140" s="277"/>
      <c r="S1140" s="277"/>
      <c r="T1140" s="351"/>
      <c r="U1140" s="278"/>
      <c r="V1140" s="269"/>
      <c r="W1140" s="269"/>
      <c r="X1140" s="275"/>
      <c r="Y1140" s="269"/>
      <c r="Z1140" s="350"/>
      <c r="AA1140" s="207"/>
      <c r="AB1140" s="352"/>
      <c r="AC1140" s="353"/>
      <c r="AD1140" s="54"/>
      <c r="AE1140" s="354"/>
      <c r="AF1140" s="355"/>
      <c r="AG1140" s="349"/>
      <c r="AH1140" s="30"/>
      <c r="AI1140" s="30"/>
      <c r="AJ1140" s="30"/>
      <c r="AK1140" s="30"/>
      <c r="AL1140" s="13"/>
      <c r="AM1140" s="13"/>
      <c r="AN1140" s="13"/>
      <c r="AO1140" s="13"/>
      <c r="AP1140" s="13"/>
      <c r="AQ1140" s="14"/>
      <c r="AR1140" s="15"/>
    </row>
    <row r="1141" spans="1:44" s="17" customFormat="1" ht="30.95" hidden="1" customHeight="1" x14ac:dyDescent="0.2">
      <c r="A1141" s="343"/>
      <c r="B1141" s="344"/>
      <c r="C1141" s="345"/>
      <c r="D1141" s="346"/>
      <c r="E1141" s="346"/>
      <c r="F1141" s="268"/>
      <c r="G1141" s="269"/>
      <c r="H1141" s="269"/>
      <c r="I1141" s="270"/>
      <c r="J1141" s="347"/>
      <c r="K1141" s="270"/>
      <c r="L1141" s="270"/>
      <c r="M1141" s="348"/>
      <c r="N1141" s="348"/>
      <c r="O1141" s="349"/>
      <c r="P1141" s="350"/>
      <c r="Q1141" s="276"/>
      <c r="R1141" s="277"/>
      <c r="S1141" s="277"/>
      <c r="T1141" s="351"/>
      <c r="U1141" s="278"/>
      <c r="V1141" s="269"/>
      <c r="W1141" s="269"/>
      <c r="X1141" s="275"/>
      <c r="Y1141" s="269"/>
      <c r="Z1141" s="350"/>
      <c r="AA1141" s="207"/>
      <c r="AB1141" s="352"/>
      <c r="AC1141" s="353"/>
      <c r="AD1141" s="54"/>
      <c r="AE1141" s="354"/>
      <c r="AF1141" s="355"/>
      <c r="AG1141" s="349"/>
      <c r="AH1141" s="30"/>
      <c r="AI1141" s="30"/>
      <c r="AJ1141" s="30"/>
      <c r="AK1141" s="30"/>
      <c r="AL1141" s="13"/>
      <c r="AM1141" s="13"/>
      <c r="AN1141" s="13"/>
      <c r="AO1141" s="13"/>
      <c r="AP1141" s="13"/>
      <c r="AQ1141" s="14"/>
      <c r="AR1141" s="15"/>
    </row>
    <row r="1142" spans="1:44" s="17" customFormat="1" ht="30.95" hidden="1" customHeight="1" x14ac:dyDescent="0.2">
      <c r="A1142" s="343" t="s">
        <v>1859</v>
      </c>
      <c r="B1142" s="344" t="s">
        <v>1412</v>
      </c>
      <c r="C1142" s="345"/>
      <c r="D1142" s="346"/>
      <c r="E1142" s="346"/>
      <c r="F1142" s="268"/>
      <c r="G1142" s="269"/>
      <c r="H1142" s="269"/>
      <c r="I1142" s="270"/>
      <c r="J1142" s="347" t="s">
        <v>448</v>
      </c>
      <c r="K1142" s="270"/>
      <c r="L1142" s="270"/>
      <c r="M1142" s="348"/>
      <c r="N1142" s="348"/>
      <c r="O1142" s="349"/>
      <c r="P1142" s="350"/>
      <c r="Q1142" s="276"/>
      <c r="R1142" s="277"/>
      <c r="S1142" s="277"/>
      <c r="T1142" s="351"/>
      <c r="U1142" s="278"/>
      <c r="V1142" s="269"/>
      <c r="W1142" s="269"/>
      <c r="X1142" s="275"/>
      <c r="Y1142" s="269"/>
      <c r="Z1142" s="350"/>
      <c r="AA1142" s="207"/>
      <c r="AB1142" s="352"/>
      <c r="AC1142" s="353"/>
      <c r="AD1142" s="54"/>
      <c r="AE1142" s="354"/>
      <c r="AF1142" s="355"/>
      <c r="AG1142" s="349"/>
      <c r="AH1142" s="30"/>
      <c r="AI1142" s="30"/>
      <c r="AJ1142" s="30"/>
      <c r="AK1142" s="30"/>
      <c r="AL1142" s="13"/>
      <c r="AM1142" s="13"/>
      <c r="AN1142" s="13"/>
      <c r="AO1142" s="13"/>
      <c r="AP1142" s="13"/>
      <c r="AQ1142" s="14"/>
      <c r="AR1142" s="15"/>
    </row>
    <row r="1143" spans="1:44" s="17" customFormat="1" ht="30.95" hidden="1" customHeight="1" x14ac:dyDescent="0.2">
      <c r="A1143" s="343"/>
      <c r="B1143" s="344"/>
      <c r="C1143" s="345"/>
      <c r="D1143" s="346"/>
      <c r="E1143" s="346"/>
      <c r="F1143" s="268"/>
      <c r="G1143" s="269"/>
      <c r="H1143" s="269"/>
      <c r="I1143" s="270"/>
      <c r="J1143" s="347"/>
      <c r="K1143" s="270"/>
      <c r="L1143" s="270"/>
      <c r="M1143" s="348"/>
      <c r="N1143" s="348"/>
      <c r="O1143" s="349"/>
      <c r="P1143" s="350"/>
      <c r="Q1143" s="276"/>
      <c r="R1143" s="277"/>
      <c r="S1143" s="277"/>
      <c r="T1143" s="351"/>
      <c r="U1143" s="278"/>
      <c r="V1143" s="269"/>
      <c r="W1143" s="269"/>
      <c r="X1143" s="275"/>
      <c r="Y1143" s="269"/>
      <c r="Z1143" s="350"/>
      <c r="AA1143" s="207"/>
      <c r="AB1143" s="352"/>
      <c r="AC1143" s="353"/>
      <c r="AD1143" s="54"/>
      <c r="AE1143" s="354"/>
      <c r="AF1143" s="355"/>
      <c r="AG1143" s="349"/>
      <c r="AH1143" s="30"/>
      <c r="AI1143" s="30"/>
      <c r="AJ1143" s="30"/>
      <c r="AK1143" s="30"/>
      <c r="AL1143" s="13"/>
      <c r="AM1143" s="13"/>
      <c r="AN1143" s="13"/>
      <c r="AO1143" s="13"/>
      <c r="AP1143" s="13"/>
      <c r="AQ1143" s="14"/>
      <c r="AR1143" s="15"/>
    </row>
    <row r="1144" spans="1:44" s="17" customFormat="1" ht="30.95" hidden="1" customHeight="1" x14ac:dyDescent="0.2">
      <c r="A1144" s="343" t="s">
        <v>1860</v>
      </c>
      <c r="B1144" s="344" t="s">
        <v>1408</v>
      </c>
      <c r="C1144" s="345"/>
      <c r="D1144" s="346"/>
      <c r="E1144" s="346"/>
      <c r="F1144" s="268"/>
      <c r="G1144" s="269"/>
      <c r="H1144" s="269"/>
      <c r="I1144" s="270"/>
      <c r="J1144" s="347" t="s">
        <v>448</v>
      </c>
      <c r="K1144" s="270"/>
      <c r="L1144" s="270"/>
      <c r="M1144" s="348"/>
      <c r="N1144" s="348"/>
      <c r="O1144" s="349"/>
      <c r="P1144" s="350"/>
      <c r="Q1144" s="276"/>
      <c r="R1144" s="277"/>
      <c r="S1144" s="277"/>
      <c r="T1144" s="351"/>
      <c r="U1144" s="278"/>
      <c r="V1144" s="269"/>
      <c r="W1144" s="269"/>
      <c r="X1144" s="275"/>
      <c r="Y1144" s="269"/>
      <c r="Z1144" s="350"/>
      <c r="AA1144" s="207"/>
      <c r="AB1144" s="352"/>
      <c r="AC1144" s="353"/>
      <c r="AD1144" s="54"/>
      <c r="AE1144" s="354"/>
      <c r="AF1144" s="355"/>
      <c r="AG1144" s="349"/>
      <c r="AH1144" s="30"/>
      <c r="AI1144" s="30"/>
      <c r="AJ1144" s="30"/>
      <c r="AK1144" s="30"/>
      <c r="AL1144" s="13"/>
      <c r="AM1144" s="13"/>
      <c r="AN1144" s="13"/>
      <c r="AO1144" s="13"/>
      <c r="AP1144" s="13"/>
      <c r="AQ1144" s="14"/>
      <c r="AR1144" s="15"/>
    </row>
    <row r="1145" spans="1:44" s="17" customFormat="1" ht="30.95" hidden="1" customHeight="1" x14ac:dyDescent="0.2">
      <c r="A1145" s="343"/>
      <c r="B1145" s="344"/>
      <c r="C1145" s="345"/>
      <c r="D1145" s="346"/>
      <c r="E1145" s="346"/>
      <c r="F1145" s="268"/>
      <c r="G1145" s="269"/>
      <c r="H1145" s="269"/>
      <c r="I1145" s="270"/>
      <c r="J1145" s="347"/>
      <c r="K1145" s="270"/>
      <c r="L1145" s="270"/>
      <c r="M1145" s="348"/>
      <c r="N1145" s="348"/>
      <c r="O1145" s="349"/>
      <c r="P1145" s="350"/>
      <c r="Q1145" s="276"/>
      <c r="R1145" s="277"/>
      <c r="S1145" s="277"/>
      <c r="T1145" s="351"/>
      <c r="U1145" s="278"/>
      <c r="V1145" s="269"/>
      <c r="W1145" s="269"/>
      <c r="X1145" s="275"/>
      <c r="Y1145" s="269"/>
      <c r="Z1145" s="350"/>
      <c r="AA1145" s="207"/>
      <c r="AB1145" s="352"/>
      <c r="AC1145" s="353"/>
      <c r="AD1145" s="54"/>
      <c r="AE1145" s="354"/>
      <c r="AF1145" s="355"/>
      <c r="AG1145" s="349"/>
      <c r="AH1145" s="30"/>
      <c r="AI1145" s="30"/>
      <c r="AJ1145" s="30"/>
      <c r="AK1145" s="30"/>
      <c r="AL1145" s="13"/>
      <c r="AM1145" s="13"/>
      <c r="AN1145" s="13"/>
      <c r="AO1145" s="13"/>
      <c r="AP1145" s="13"/>
      <c r="AQ1145" s="14"/>
      <c r="AR1145" s="15"/>
    </row>
    <row r="1146" spans="1:44" s="17" customFormat="1" ht="30.95" hidden="1" customHeight="1" x14ac:dyDescent="0.2">
      <c r="A1146" s="343" t="s">
        <v>1861</v>
      </c>
      <c r="B1146" s="344" t="s">
        <v>1409</v>
      </c>
      <c r="C1146" s="345"/>
      <c r="D1146" s="346"/>
      <c r="E1146" s="346"/>
      <c r="F1146" s="268"/>
      <c r="G1146" s="269"/>
      <c r="H1146" s="269"/>
      <c r="I1146" s="270"/>
      <c r="J1146" s="347" t="s">
        <v>1866</v>
      </c>
      <c r="K1146" s="270"/>
      <c r="L1146" s="270"/>
      <c r="M1146" s="348"/>
      <c r="N1146" s="348"/>
      <c r="O1146" s="349"/>
      <c r="P1146" s="350"/>
      <c r="Q1146" s="276"/>
      <c r="R1146" s="277"/>
      <c r="S1146" s="277"/>
      <c r="T1146" s="351"/>
      <c r="U1146" s="278"/>
      <c r="V1146" s="269"/>
      <c r="W1146" s="269"/>
      <c r="X1146" s="275"/>
      <c r="Y1146" s="269"/>
      <c r="Z1146" s="350"/>
      <c r="AA1146" s="207"/>
      <c r="AB1146" s="352"/>
      <c r="AC1146" s="353"/>
      <c r="AD1146" s="54"/>
      <c r="AE1146" s="354"/>
      <c r="AF1146" s="355"/>
      <c r="AG1146" s="349"/>
      <c r="AH1146" s="30"/>
      <c r="AI1146" s="30"/>
      <c r="AJ1146" s="30"/>
      <c r="AK1146" s="30"/>
      <c r="AL1146" s="13"/>
      <c r="AM1146" s="13"/>
      <c r="AN1146" s="13"/>
      <c r="AO1146" s="13"/>
      <c r="AP1146" s="13"/>
      <c r="AQ1146" s="14"/>
      <c r="AR1146" s="15"/>
    </row>
    <row r="1147" spans="1:44" s="17" customFormat="1" ht="30.95" hidden="1" customHeight="1" x14ac:dyDescent="0.2">
      <c r="A1147" s="343"/>
      <c r="B1147" s="344"/>
      <c r="C1147" s="345"/>
      <c r="D1147" s="346"/>
      <c r="E1147" s="346"/>
      <c r="F1147" s="268"/>
      <c r="G1147" s="269"/>
      <c r="H1147" s="269"/>
      <c r="I1147" s="270"/>
      <c r="J1147" s="347"/>
      <c r="K1147" s="270"/>
      <c r="L1147" s="270"/>
      <c r="M1147" s="348"/>
      <c r="N1147" s="348"/>
      <c r="O1147" s="349"/>
      <c r="P1147" s="350"/>
      <c r="Q1147" s="276"/>
      <c r="R1147" s="277"/>
      <c r="S1147" s="277"/>
      <c r="T1147" s="351"/>
      <c r="U1147" s="278"/>
      <c r="V1147" s="269"/>
      <c r="W1147" s="269"/>
      <c r="X1147" s="275"/>
      <c r="Y1147" s="269"/>
      <c r="Z1147" s="350"/>
      <c r="AA1147" s="207"/>
      <c r="AB1147" s="352"/>
      <c r="AC1147" s="353"/>
      <c r="AD1147" s="54"/>
      <c r="AE1147" s="354"/>
      <c r="AF1147" s="355"/>
      <c r="AG1147" s="349"/>
      <c r="AH1147" s="30"/>
      <c r="AI1147" s="30"/>
      <c r="AJ1147" s="30"/>
      <c r="AK1147" s="30"/>
      <c r="AL1147" s="13"/>
      <c r="AM1147" s="13"/>
      <c r="AN1147" s="13"/>
      <c r="AO1147" s="13"/>
      <c r="AP1147" s="13"/>
      <c r="AQ1147" s="14"/>
      <c r="AR1147" s="15"/>
    </row>
    <row r="1148" spans="1:44" s="17" customFormat="1" ht="30.95" hidden="1" customHeight="1" x14ac:dyDescent="0.2">
      <c r="A1148" s="343" t="s">
        <v>757</v>
      </c>
      <c r="B1148" s="344" t="s">
        <v>445</v>
      </c>
      <c r="C1148" s="345"/>
      <c r="D1148" s="398">
        <v>3737316</v>
      </c>
      <c r="E1148" s="31">
        <v>4151577</v>
      </c>
      <c r="F1148" s="268" t="str">
        <f>IF(D1148="","",VLOOKUP(D1148,契約台帳!$A$3:$K$4986,6,FALSE)&amp;VLOOKUP(D1148,契約台帳!$A$3:$K$4986,7,FALSE)&amp;VLOOKUP(D1148,契約台帳!$A$3:$K$4986,8,FALSE)&amp;VLOOKUP(D1148,契約台帳!$A$3:$K$4986,9,FALSE)&amp;VLOOKUP(D1148,契約台帳!$A$3:$K$4986,11,FALSE))</f>
        <v>3UYKNZMCRALCB</v>
      </c>
      <c r="G1148" s="269" t="str">
        <f>IF(D1148="","",VLOOKUP(F1148,製品マスタ!$G$5:$H$5002,2,FALSE))</f>
        <v>U</v>
      </c>
      <c r="H1148" s="269" t="str">
        <f>IF(D1148="","",VLOOKUP(F1148,製品マスタ!$G$5:$K$5002,5,FALSE))</f>
        <v>MCRALCB</v>
      </c>
      <c r="I1148" s="270" t="str">
        <f>IF(D1148="","",VLOOKUP(F1148,製品マスタ!$G$5:$L$5002,6,FALSE))</f>
        <v>Metalumy CR aluminum surface coat B</v>
      </c>
      <c r="J1148" s="32" t="s">
        <v>447</v>
      </c>
      <c r="K1148" s="270">
        <f>IF(D1148="","",VLOOKUP(D1148,契約台帳!$A$3:$L$4986,12,FALSE))</f>
        <v>25</v>
      </c>
      <c r="L1148" s="270" t="str">
        <f>IF(D1148="","",INDEX(製品マスタ!$Q$5:$Q$5002,MATCH(F1148&amp;K1148,製品マスタ!$AO$5:$AO$5002,0)))</f>
        <v>S28M</v>
      </c>
      <c r="M1148" s="39">
        <v>1110</v>
      </c>
      <c r="N1148" s="39">
        <v>12100</v>
      </c>
      <c r="O1148" s="47">
        <v>2</v>
      </c>
      <c r="P1148" s="57"/>
      <c r="Q1148" s="276">
        <f>IF(D1148="","",IF(J1148="リード付け",M1148,VLOOKUP(D1148,契約台帳!$A$3:$N$4986,14,FALSE)))</f>
        <v>1050</v>
      </c>
      <c r="R1148" s="277">
        <f>IF(D1148="","",IF(J1148="リード付け",M1148,VLOOKUP(D1148,契約台帳!$A$3:$O$4986,15,FALSE)))</f>
        <v>1050</v>
      </c>
      <c r="S1148" s="277">
        <f>IF(D1148="","",IF(J1148="リード付け",N1148,VLOOKUP(D1148,契約台帳!$A$3:$P$4986,16,FALSE)))</f>
        <v>6000</v>
      </c>
      <c r="T1148" s="40">
        <v>4</v>
      </c>
      <c r="U1148" s="278">
        <f ca="1">IF(D1148="","",IF(OFFSET(D1148,-2,0)=D1148,"",VLOOKUP(D1148,契約台帳!$A$3:$R$4986,18,FALSE)))</f>
        <v>22</v>
      </c>
      <c r="V1148" s="269" t="str">
        <f>IF(J1148="巻返し",VLOOKUP(F1148&amp;K1148&amp;M1148,製品マスタ!$M$5:$AD$5002,18,FALSE),IF(J1148="リード付け","原反コア",IF(J1148="スリット",VLOOKUP(F1148&amp;K1148&amp;Q1148,製品マスタ!$N$5:$AD$5002,17,FALSE),"")))</f>
        <v>6ｲﾝﾁABS</v>
      </c>
      <c r="W1148" s="269">
        <f>IF(J1148="巻返し",VLOOKUP(F1148&amp;K1148&amp;M1148,製品マスタ!$M$5:$AE$5002,19,FALSE),IF(J1148="リード付け","-",IF(J1148="スリット",VLOOKUP(F1148&amp;K1148&amp;Q1148,製品マスタ!$N$5:$AE$5002,18,FALSE),"")))</f>
        <v>1250</v>
      </c>
      <c r="X1148" s="275">
        <f>IF(D1148="","",VLOOKUP(D1148,契約台帳!$A$3:$Q$4986,17,FALSE))</f>
        <v>1</v>
      </c>
      <c r="Y1148" s="269" t="s">
        <v>1365</v>
      </c>
      <c r="Z1148" s="357" t="s">
        <v>1016</v>
      </c>
      <c r="AA1148" s="207" t="s">
        <v>1470</v>
      </c>
      <c r="AB1148" s="369"/>
      <c r="AC1148" s="370"/>
      <c r="AD1148" s="332" t="str">
        <f>IF(F1148="","",+F1148&amp;K1148)</f>
        <v>3UYKNZMCRALCB25</v>
      </c>
      <c r="AE1148" s="216">
        <f>+M1148*N1148*O1148/1000</f>
        <v>26862</v>
      </c>
      <c r="AF1148" s="43"/>
      <c r="AG1148" s="47"/>
      <c r="AH1148" s="30"/>
      <c r="AI1148" s="30"/>
      <c r="AJ1148" s="30"/>
      <c r="AK1148" s="30"/>
      <c r="AL1148" s="13"/>
      <c r="AM1148" s="13"/>
      <c r="AN1148" s="13"/>
      <c r="AO1148" s="13"/>
      <c r="AP1148" s="13"/>
      <c r="AQ1148" s="14"/>
      <c r="AR1148" s="15"/>
    </row>
    <row r="1149" spans="1:44" s="17" customFormat="1" ht="30.95" hidden="1" customHeight="1" x14ac:dyDescent="0.2">
      <c r="A1149" s="343"/>
      <c r="B1149" s="344"/>
      <c r="C1149" s="345"/>
      <c r="D1149" s="346"/>
      <c r="E1149" s="346"/>
      <c r="F1149" s="268"/>
      <c r="G1149" s="269"/>
      <c r="H1149" s="269"/>
      <c r="I1149" s="270"/>
      <c r="J1149" s="347"/>
      <c r="K1149" s="270"/>
      <c r="L1149" s="270"/>
      <c r="M1149" s="348"/>
      <c r="N1149" s="348"/>
      <c r="O1149" s="349"/>
      <c r="P1149" s="350"/>
      <c r="Q1149" s="276"/>
      <c r="R1149" s="277"/>
      <c r="S1149" s="277"/>
      <c r="T1149" s="351"/>
      <c r="U1149" s="278"/>
      <c r="V1149" s="269"/>
      <c r="W1149" s="269"/>
      <c r="X1149" s="275"/>
      <c r="Y1149" s="269"/>
      <c r="Z1149" s="350"/>
      <c r="AA1149" s="207"/>
      <c r="AB1149" s="352"/>
      <c r="AC1149" s="353"/>
      <c r="AD1149" s="54"/>
      <c r="AE1149" s="354"/>
      <c r="AF1149" s="355"/>
      <c r="AG1149" s="349"/>
      <c r="AH1149" s="30"/>
      <c r="AI1149" s="30"/>
      <c r="AJ1149" s="30"/>
      <c r="AK1149" s="30"/>
      <c r="AL1149" s="13"/>
      <c r="AM1149" s="13"/>
      <c r="AN1149" s="13"/>
      <c r="AO1149" s="13"/>
      <c r="AP1149" s="13"/>
      <c r="AQ1149" s="14"/>
      <c r="AR1149" s="15"/>
    </row>
    <row r="1150" spans="1:44" s="17" customFormat="1" ht="30.95" hidden="1" customHeight="1" x14ac:dyDescent="0.2">
      <c r="A1150" s="343" t="s">
        <v>1863</v>
      </c>
      <c r="B1150" s="344" t="s">
        <v>392</v>
      </c>
      <c r="C1150" s="345"/>
      <c r="D1150" s="346"/>
      <c r="E1150" s="346"/>
      <c r="F1150" s="268"/>
      <c r="G1150" s="269"/>
      <c r="H1150" s="269"/>
      <c r="I1150" s="270"/>
      <c r="J1150" s="347" t="s">
        <v>448</v>
      </c>
      <c r="K1150" s="270"/>
      <c r="L1150" s="270"/>
      <c r="M1150" s="348"/>
      <c r="N1150" s="348"/>
      <c r="O1150" s="349"/>
      <c r="P1150" s="350"/>
      <c r="Q1150" s="276"/>
      <c r="R1150" s="277"/>
      <c r="S1150" s="277"/>
      <c r="T1150" s="351"/>
      <c r="U1150" s="278"/>
      <c r="V1150" s="269"/>
      <c r="W1150" s="269"/>
      <c r="X1150" s="275"/>
      <c r="Y1150" s="269"/>
      <c r="Z1150" s="350"/>
      <c r="AA1150" s="207"/>
      <c r="AB1150" s="352"/>
      <c r="AC1150" s="353"/>
      <c r="AD1150" s="54"/>
      <c r="AE1150" s="354"/>
      <c r="AF1150" s="355"/>
      <c r="AG1150" s="349"/>
      <c r="AH1150" s="30"/>
      <c r="AI1150" s="30"/>
      <c r="AJ1150" s="30"/>
      <c r="AK1150" s="30"/>
      <c r="AL1150" s="13"/>
      <c r="AM1150" s="13"/>
      <c r="AN1150" s="13"/>
      <c r="AO1150" s="13"/>
      <c r="AP1150" s="13"/>
      <c r="AQ1150" s="14"/>
      <c r="AR1150" s="15"/>
    </row>
    <row r="1151" spans="1:44" s="17" customFormat="1" ht="30.95" hidden="1" customHeight="1" x14ac:dyDescent="0.2">
      <c r="A1151" s="343"/>
      <c r="B1151" s="344"/>
      <c r="C1151" s="345"/>
      <c r="D1151" s="346"/>
      <c r="E1151" s="346"/>
      <c r="F1151" s="268"/>
      <c r="G1151" s="269"/>
      <c r="H1151" s="269"/>
      <c r="I1151" s="270"/>
      <c r="J1151" s="347"/>
      <c r="K1151" s="270"/>
      <c r="L1151" s="270"/>
      <c r="M1151" s="348"/>
      <c r="N1151" s="348"/>
      <c r="O1151" s="349"/>
      <c r="P1151" s="350"/>
      <c r="Q1151" s="276"/>
      <c r="R1151" s="277"/>
      <c r="S1151" s="277"/>
      <c r="T1151" s="351"/>
      <c r="U1151" s="278"/>
      <c r="V1151" s="269"/>
      <c r="W1151" s="269"/>
      <c r="X1151" s="275"/>
      <c r="Y1151" s="269"/>
      <c r="Z1151" s="350"/>
      <c r="AA1151" s="207"/>
      <c r="AB1151" s="352"/>
      <c r="AC1151" s="353"/>
      <c r="AD1151" s="54"/>
      <c r="AE1151" s="354"/>
      <c r="AF1151" s="355"/>
      <c r="AG1151" s="349"/>
      <c r="AH1151" s="30"/>
      <c r="AI1151" s="30"/>
      <c r="AJ1151" s="30"/>
      <c r="AK1151" s="30"/>
      <c r="AL1151" s="13"/>
      <c r="AM1151" s="13"/>
      <c r="AN1151" s="13"/>
      <c r="AO1151" s="13"/>
      <c r="AP1151" s="13"/>
      <c r="AQ1151" s="14"/>
      <c r="AR1151" s="15"/>
    </row>
    <row r="1152" spans="1:44" s="17" customFormat="1" ht="30.95" hidden="1" customHeight="1" x14ac:dyDescent="0.2">
      <c r="A1152" s="343" t="s">
        <v>1864</v>
      </c>
      <c r="B1152" s="344" t="s">
        <v>1402</v>
      </c>
      <c r="C1152" s="345"/>
      <c r="D1152" s="346"/>
      <c r="E1152" s="346"/>
      <c r="F1152" s="268"/>
      <c r="G1152" s="269"/>
      <c r="H1152" s="269"/>
      <c r="I1152" s="270"/>
      <c r="J1152" s="347" t="s">
        <v>448</v>
      </c>
      <c r="K1152" s="270"/>
      <c r="L1152" s="270"/>
      <c r="M1152" s="348"/>
      <c r="N1152" s="348"/>
      <c r="O1152" s="349"/>
      <c r="P1152" s="350"/>
      <c r="Q1152" s="276"/>
      <c r="R1152" s="277"/>
      <c r="S1152" s="277"/>
      <c r="T1152" s="351"/>
      <c r="U1152" s="278"/>
      <c r="V1152" s="269"/>
      <c r="W1152" s="269"/>
      <c r="X1152" s="275"/>
      <c r="Y1152" s="269"/>
      <c r="Z1152" s="350"/>
      <c r="AA1152" s="207"/>
      <c r="AB1152" s="352"/>
      <c r="AC1152" s="353"/>
      <c r="AD1152" s="54"/>
      <c r="AE1152" s="354"/>
      <c r="AF1152" s="355"/>
      <c r="AG1152" s="349"/>
      <c r="AH1152" s="30"/>
      <c r="AI1152" s="30"/>
      <c r="AJ1152" s="30"/>
      <c r="AK1152" s="30"/>
      <c r="AL1152" s="13"/>
      <c r="AM1152" s="13"/>
      <c r="AN1152" s="13"/>
      <c r="AO1152" s="13"/>
      <c r="AP1152" s="13"/>
      <c r="AQ1152" s="14"/>
      <c r="AR1152" s="15"/>
    </row>
    <row r="1153" spans="1:44" s="17" customFormat="1" ht="30.95" hidden="1" customHeight="1" x14ac:dyDescent="0.2">
      <c r="A1153" s="343"/>
      <c r="B1153" s="344"/>
      <c r="C1153" s="345"/>
      <c r="D1153" s="346"/>
      <c r="E1153" s="346"/>
      <c r="F1153" s="268"/>
      <c r="G1153" s="269"/>
      <c r="H1153" s="269"/>
      <c r="I1153" s="270"/>
      <c r="J1153" s="347"/>
      <c r="K1153" s="270"/>
      <c r="L1153" s="270"/>
      <c r="M1153" s="348"/>
      <c r="N1153" s="348"/>
      <c r="O1153" s="349"/>
      <c r="P1153" s="350"/>
      <c r="Q1153" s="276"/>
      <c r="R1153" s="277"/>
      <c r="S1153" s="277"/>
      <c r="T1153" s="351"/>
      <c r="U1153" s="278"/>
      <c r="V1153" s="269"/>
      <c r="W1153" s="269"/>
      <c r="X1153" s="275"/>
      <c r="Y1153" s="269"/>
      <c r="Z1153" s="350"/>
      <c r="AA1153" s="207"/>
      <c r="AB1153" s="352"/>
      <c r="AC1153" s="353"/>
      <c r="AD1153" s="54"/>
      <c r="AE1153" s="354"/>
      <c r="AF1153" s="355"/>
      <c r="AG1153" s="349"/>
      <c r="AH1153" s="30"/>
      <c r="AI1153" s="30"/>
      <c r="AJ1153" s="30"/>
      <c r="AK1153" s="30"/>
      <c r="AL1153" s="13"/>
      <c r="AM1153" s="13"/>
      <c r="AN1153" s="13"/>
      <c r="AO1153" s="13"/>
      <c r="AP1153" s="13"/>
      <c r="AQ1153" s="14"/>
      <c r="AR1153" s="15"/>
    </row>
    <row r="1154" spans="1:44" s="17" customFormat="1" ht="30.95" hidden="1" customHeight="1" x14ac:dyDescent="0.2">
      <c r="A1154" s="343" t="s">
        <v>760</v>
      </c>
      <c r="B1154" s="344" t="s">
        <v>688</v>
      </c>
      <c r="C1154" s="345"/>
      <c r="D1154" s="398">
        <v>3737316</v>
      </c>
      <c r="E1154" s="31">
        <v>4151577</v>
      </c>
      <c r="F1154" s="268" t="str">
        <f>IF(D1154="","",VLOOKUP(D1154,契約台帳!$A$3:$K$4986,6,FALSE)&amp;VLOOKUP(D1154,契約台帳!$A$3:$K$4986,7,FALSE)&amp;VLOOKUP(D1154,契約台帳!$A$3:$K$4986,8,FALSE)&amp;VLOOKUP(D1154,契約台帳!$A$3:$K$4986,9,FALSE)&amp;VLOOKUP(D1154,契約台帳!$A$3:$K$4986,11,FALSE))</f>
        <v>3UYKNZMCRALCB</v>
      </c>
      <c r="G1154" s="269" t="str">
        <f>IF(D1154="","",VLOOKUP(F1154,製品マスタ!$G$5:$H$5002,2,FALSE))</f>
        <v>U</v>
      </c>
      <c r="H1154" s="269" t="str">
        <f>IF(D1154="","",VLOOKUP(F1154,製品マスタ!$G$5:$K$5002,5,FALSE))</f>
        <v>MCRALCB</v>
      </c>
      <c r="I1154" s="270" t="str">
        <f>IF(D1154="","",VLOOKUP(F1154,製品マスタ!$G$5:$L$5002,6,FALSE))</f>
        <v>Metalumy CR aluminum surface coat B</v>
      </c>
      <c r="J1154" s="32" t="s">
        <v>447</v>
      </c>
      <c r="K1154" s="270">
        <f>IF(D1154="","",VLOOKUP(D1154,契約台帳!$A$3:$L$4986,12,FALSE))</f>
        <v>25</v>
      </c>
      <c r="L1154" s="270" t="str">
        <f>IF(D1154="","",INDEX(製品マスタ!$Q$5:$Q$5002,MATCH(F1154&amp;K1154,製品マスタ!$AO$5:$AO$5002,0)))</f>
        <v>S28M</v>
      </c>
      <c r="M1154" s="39">
        <v>1110</v>
      </c>
      <c r="N1154" s="39">
        <v>12100</v>
      </c>
      <c r="O1154" s="47">
        <v>2</v>
      </c>
      <c r="P1154" s="57"/>
      <c r="Q1154" s="276">
        <f>IF(D1154="","",IF(J1154="リード付け",M1154,VLOOKUP(D1154,契約台帳!$A$3:$N$4986,14,FALSE)))</f>
        <v>1050</v>
      </c>
      <c r="R1154" s="277">
        <f>IF(D1154="","",IF(J1154="リード付け",M1154,VLOOKUP(D1154,契約台帳!$A$3:$O$4986,15,FALSE)))</f>
        <v>1050</v>
      </c>
      <c r="S1154" s="277">
        <f>IF(D1154="","",IF(J1154="リード付け",N1154,VLOOKUP(D1154,契約台帳!$A$3:$P$4986,16,FALSE)))</f>
        <v>6000</v>
      </c>
      <c r="T1154" s="40">
        <v>4</v>
      </c>
      <c r="U1154" s="278">
        <f ca="1">IF(D1154="","",IF(OFFSET(D1154,-2,0)=D1154,"",VLOOKUP(D1154,契約台帳!$A$3:$R$4986,18,FALSE)))</f>
        <v>22</v>
      </c>
      <c r="V1154" s="269" t="str">
        <f>IF(J1154="巻返し",VLOOKUP(F1154&amp;K1154&amp;M1154,製品マスタ!$M$5:$AD$5002,18,FALSE),IF(J1154="リード付け","原反コア",IF(J1154="スリット",VLOOKUP(F1154&amp;K1154&amp;Q1154,製品マスタ!$N$5:$AD$5002,17,FALSE),"")))</f>
        <v>6ｲﾝﾁABS</v>
      </c>
      <c r="W1154" s="269">
        <f>IF(J1154="巻返し",VLOOKUP(F1154&amp;K1154&amp;M1154,製品マスタ!$M$5:$AE$5002,19,FALSE),IF(J1154="リード付け","-",IF(J1154="スリット",VLOOKUP(F1154&amp;K1154&amp;Q1154,製品マスタ!$N$5:$AE$5002,18,FALSE),"")))</f>
        <v>1250</v>
      </c>
      <c r="X1154" s="275">
        <f>IF(D1154="","",VLOOKUP(D1154,契約台帳!$A$3:$Q$4986,17,FALSE))</f>
        <v>1</v>
      </c>
      <c r="Y1154" s="269" t="s">
        <v>1365</v>
      </c>
      <c r="Z1154" s="357" t="s">
        <v>1016</v>
      </c>
      <c r="AA1154" s="207" t="s">
        <v>1470</v>
      </c>
      <c r="AB1154" s="369"/>
      <c r="AC1154" s="370"/>
      <c r="AD1154" s="332" t="str">
        <f>IF(F1154="","",+F1154&amp;K1154)</f>
        <v>3UYKNZMCRALCB25</v>
      </c>
      <c r="AE1154" s="216">
        <f>+M1154*N1154*O1154/1000</f>
        <v>26862</v>
      </c>
      <c r="AF1154" s="43"/>
      <c r="AG1154" s="47"/>
      <c r="AH1154" s="30"/>
      <c r="AI1154" s="30"/>
      <c r="AJ1154" s="30"/>
      <c r="AK1154" s="30"/>
      <c r="AL1154" s="13"/>
      <c r="AM1154" s="13"/>
      <c r="AN1154" s="13"/>
      <c r="AO1154" s="13"/>
      <c r="AP1154" s="13"/>
      <c r="AQ1154" s="14"/>
      <c r="AR1154" s="15"/>
    </row>
    <row r="1155" spans="1:44" s="17" customFormat="1" ht="30.95" hidden="1" customHeight="1" x14ac:dyDescent="0.2">
      <c r="A1155" s="343"/>
      <c r="B1155" s="344"/>
      <c r="C1155" s="345"/>
      <c r="D1155" s="346"/>
      <c r="E1155" s="346"/>
      <c r="F1155" s="268"/>
      <c r="G1155" s="269"/>
      <c r="H1155" s="269"/>
      <c r="I1155" s="270"/>
      <c r="J1155" s="347"/>
      <c r="K1155" s="270"/>
      <c r="L1155" s="270"/>
      <c r="M1155" s="348"/>
      <c r="N1155" s="348"/>
      <c r="O1155" s="349"/>
      <c r="P1155" s="350"/>
      <c r="Q1155" s="276"/>
      <c r="R1155" s="277"/>
      <c r="S1155" s="277"/>
      <c r="T1155" s="351"/>
      <c r="U1155" s="278"/>
      <c r="V1155" s="269"/>
      <c r="W1155" s="269"/>
      <c r="X1155" s="275"/>
      <c r="Y1155" s="269"/>
      <c r="Z1155" s="350"/>
      <c r="AA1155" s="207"/>
      <c r="AB1155" s="352"/>
      <c r="AC1155" s="353"/>
      <c r="AD1155" s="54"/>
      <c r="AE1155" s="354"/>
      <c r="AF1155" s="355"/>
      <c r="AG1155" s="349"/>
      <c r="AH1155" s="30"/>
      <c r="AI1155" s="30"/>
      <c r="AJ1155" s="30"/>
      <c r="AK1155" s="30"/>
      <c r="AL1155" s="13"/>
      <c r="AM1155" s="13"/>
      <c r="AN1155" s="13"/>
      <c r="AO1155" s="13"/>
      <c r="AP1155" s="13"/>
      <c r="AQ1155" s="14"/>
      <c r="AR1155" s="15"/>
    </row>
    <row r="1156" spans="1:44" s="17" customFormat="1" ht="30.95" hidden="1" customHeight="1" x14ac:dyDescent="0.2">
      <c r="A1156" s="343" t="s">
        <v>761</v>
      </c>
      <c r="B1156" s="344" t="s">
        <v>442</v>
      </c>
      <c r="C1156" s="345"/>
      <c r="D1156" s="398">
        <v>3737316</v>
      </c>
      <c r="E1156" s="31">
        <v>4151577</v>
      </c>
      <c r="F1156" s="268" t="str">
        <f>IF(D1156="","",VLOOKUP(D1156,契約台帳!$A$3:$K$4986,6,FALSE)&amp;VLOOKUP(D1156,契約台帳!$A$3:$K$4986,7,FALSE)&amp;VLOOKUP(D1156,契約台帳!$A$3:$K$4986,8,FALSE)&amp;VLOOKUP(D1156,契約台帳!$A$3:$K$4986,9,FALSE)&amp;VLOOKUP(D1156,契約台帳!$A$3:$K$4986,11,FALSE))</f>
        <v>3UYKNZMCRALCB</v>
      </c>
      <c r="G1156" s="269" t="str">
        <f>IF(D1156="","",VLOOKUP(F1156,製品マスタ!$G$5:$H$5002,2,FALSE))</f>
        <v>U</v>
      </c>
      <c r="H1156" s="269" t="str">
        <f>IF(D1156="","",VLOOKUP(F1156,製品マスタ!$G$5:$K$5002,5,FALSE))</f>
        <v>MCRALCB</v>
      </c>
      <c r="I1156" s="270" t="str">
        <f>IF(D1156="","",VLOOKUP(F1156,製品マスタ!$G$5:$L$5002,6,FALSE))</f>
        <v>Metalumy CR aluminum surface coat B</v>
      </c>
      <c r="J1156" s="32" t="s">
        <v>447</v>
      </c>
      <c r="K1156" s="270">
        <f>IF(D1156="","",VLOOKUP(D1156,契約台帳!$A$3:$L$4986,12,FALSE))</f>
        <v>25</v>
      </c>
      <c r="L1156" s="270" t="str">
        <f>IF(D1156="","",INDEX(製品マスタ!$Q$5:$Q$5002,MATCH(F1156&amp;K1156,製品マスタ!$AO$5:$AO$5002,0)))</f>
        <v>S28M</v>
      </c>
      <c r="M1156" s="39">
        <v>1110</v>
      </c>
      <c r="N1156" s="39">
        <v>12100</v>
      </c>
      <c r="O1156" s="47">
        <v>2</v>
      </c>
      <c r="P1156" s="57"/>
      <c r="Q1156" s="276">
        <f>IF(D1156="","",IF(J1156="リード付け",M1156,VLOOKUP(D1156,契約台帳!$A$3:$N$4986,14,FALSE)))</f>
        <v>1050</v>
      </c>
      <c r="R1156" s="277">
        <f>IF(D1156="","",IF(J1156="リード付け",M1156,VLOOKUP(D1156,契約台帳!$A$3:$O$4986,15,FALSE)))</f>
        <v>1050</v>
      </c>
      <c r="S1156" s="277">
        <f>IF(D1156="","",IF(J1156="リード付け",N1156,VLOOKUP(D1156,契約台帳!$A$3:$P$4986,16,FALSE)))</f>
        <v>6000</v>
      </c>
      <c r="T1156" s="40">
        <v>4</v>
      </c>
      <c r="U1156" s="278" t="str">
        <f ca="1">IF(D1156="","",IF(OFFSET(D1156,-2,0)=D1156,"",VLOOKUP(D1156,契約台帳!$A$3:$R$4986,18,FALSE)))</f>
        <v/>
      </c>
      <c r="V1156" s="269" t="str">
        <f>IF(J1156="巻返し",VLOOKUP(F1156&amp;K1156&amp;M1156,製品マスタ!$M$5:$AD$5002,18,FALSE),IF(J1156="リード付け","原反コア",IF(J1156="スリット",VLOOKUP(F1156&amp;K1156&amp;Q1156,製品マスタ!$N$5:$AD$5002,17,FALSE),"")))</f>
        <v>6ｲﾝﾁABS</v>
      </c>
      <c r="W1156" s="269">
        <f>IF(J1156="巻返し",VLOOKUP(F1156&amp;K1156&amp;M1156,製品マスタ!$M$5:$AE$5002,19,FALSE),IF(J1156="リード付け","-",IF(J1156="スリット",VLOOKUP(F1156&amp;K1156&amp;Q1156,製品マスタ!$N$5:$AE$5002,18,FALSE),"")))</f>
        <v>1250</v>
      </c>
      <c r="X1156" s="275">
        <f>IF(D1156="","",VLOOKUP(D1156,契約台帳!$A$3:$Q$4986,17,FALSE))</f>
        <v>1</v>
      </c>
      <c r="Y1156" s="269" t="s">
        <v>1365</v>
      </c>
      <c r="Z1156" s="357" t="s">
        <v>1016</v>
      </c>
      <c r="AA1156" s="207" t="s">
        <v>1470</v>
      </c>
      <c r="AB1156" s="369"/>
      <c r="AC1156" s="370"/>
      <c r="AD1156" s="332" t="str">
        <f>IF(F1156="","",+F1156&amp;K1156)</f>
        <v>3UYKNZMCRALCB25</v>
      </c>
      <c r="AE1156" s="216">
        <f>+M1156*N1156*O1156/1000</f>
        <v>26862</v>
      </c>
      <c r="AF1156" s="43"/>
      <c r="AG1156" s="47"/>
      <c r="AH1156" s="30"/>
      <c r="AI1156" s="30"/>
      <c r="AJ1156" s="30"/>
      <c r="AK1156" s="30"/>
      <c r="AL1156" s="13"/>
      <c r="AM1156" s="13"/>
      <c r="AN1156" s="13"/>
      <c r="AO1156" s="13"/>
      <c r="AP1156" s="13"/>
      <c r="AQ1156" s="14"/>
      <c r="AR1156" s="15"/>
    </row>
    <row r="1157" spans="1:44" s="17" customFormat="1" ht="30.95" hidden="1" customHeight="1" x14ac:dyDescent="0.2">
      <c r="A1157" s="343"/>
      <c r="B1157" s="344"/>
      <c r="C1157" s="345"/>
      <c r="D1157" s="346"/>
      <c r="E1157" s="346"/>
      <c r="F1157" s="268"/>
      <c r="G1157" s="269"/>
      <c r="H1157" s="269"/>
      <c r="I1157" s="270"/>
      <c r="J1157" s="347"/>
      <c r="K1157" s="270"/>
      <c r="L1157" s="270"/>
      <c r="M1157" s="348"/>
      <c r="N1157" s="348"/>
      <c r="O1157" s="349"/>
      <c r="P1157" s="350"/>
      <c r="Q1157" s="276"/>
      <c r="R1157" s="277"/>
      <c r="S1157" s="277"/>
      <c r="T1157" s="351"/>
      <c r="U1157" s="278"/>
      <c r="V1157" s="269"/>
      <c r="W1157" s="269"/>
      <c r="X1157" s="275"/>
      <c r="Y1157" s="269"/>
      <c r="Z1157" s="350"/>
      <c r="AA1157" s="207"/>
      <c r="AB1157" s="352"/>
      <c r="AC1157" s="353"/>
      <c r="AD1157" s="54"/>
      <c r="AE1157" s="354"/>
      <c r="AF1157" s="355"/>
      <c r="AG1157" s="349"/>
      <c r="AH1157" s="30"/>
      <c r="AI1157" s="30"/>
      <c r="AJ1157" s="30"/>
      <c r="AK1157" s="30"/>
      <c r="AL1157" s="13"/>
      <c r="AM1157" s="13"/>
      <c r="AN1157" s="13"/>
      <c r="AO1157" s="13"/>
      <c r="AP1157" s="13"/>
      <c r="AQ1157" s="14"/>
      <c r="AR1157" s="15"/>
    </row>
    <row r="1158" spans="1:44" s="17" customFormat="1" ht="30.95" hidden="1" customHeight="1" x14ac:dyDescent="0.2">
      <c r="A1158" s="343" t="s">
        <v>762</v>
      </c>
      <c r="B1158" s="344" t="s">
        <v>443</v>
      </c>
      <c r="C1158" s="345"/>
      <c r="D1158" s="398">
        <v>3737317</v>
      </c>
      <c r="E1158" s="31">
        <v>4151570</v>
      </c>
      <c r="F1158" s="268" t="str">
        <f>IF(D1158="","",VLOOKUP(D1158,契約台帳!$A$3:$K$4986,6,FALSE)&amp;VLOOKUP(D1158,契約台帳!$A$3:$K$4986,7,FALSE)&amp;VLOOKUP(D1158,契約台帳!$A$3:$K$4986,8,FALSE)&amp;VLOOKUP(D1158,契約台帳!$A$3:$K$4986,9,FALSE)&amp;VLOOKUP(D1158,契約台帳!$A$3:$K$4986,11,FALSE))</f>
        <v>3UYKNZMCRALCB</v>
      </c>
      <c r="G1158" s="269" t="str">
        <f>IF(D1158="","",VLOOKUP(F1158,製品マスタ!$G$5:$H$5002,2,FALSE))</f>
        <v>U</v>
      </c>
      <c r="H1158" s="269" t="str">
        <f>IF(D1158="","",VLOOKUP(F1158,製品マスタ!$G$5:$K$5002,5,FALSE))</f>
        <v>MCRALCB</v>
      </c>
      <c r="I1158" s="270" t="str">
        <f>IF(D1158="","",VLOOKUP(F1158,製品マスタ!$G$5:$L$5002,6,FALSE))</f>
        <v>Metalumy CR aluminum surface coat B</v>
      </c>
      <c r="J1158" s="32" t="s">
        <v>447</v>
      </c>
      <c r="K1158" s="270">
        <f>IF(D1158="","",VLOOKUP(D1158,契約台帳!$A$3:$L$4986,12,FALSE))</f>
        <v>25</v>
      </c>
      <c r="L1158" s="270" t="str">
        <f>IF(D1158="","",INDEX(製品マスタ!$Q$5:$Q$5002,MATCH(F1158&amp;K1158,製品マスタ!$AO$5:$AO$5002,0)))</f>
        <v>S28M</v>
      </c>
      <c r="M1158" s="39">
        <v>1110</v>
      </c>
      <c r="N1158" s="39">
        <v>12100</v>
      </c>
      <c r="O1158" s="47">
        <v>1</v>
      </c>
      <c r="P1158" s="57"/>
      <c r="Q1158" s="276">
        <f>IF(D1158="","",IF(J1158="リード付け",M1158,VLOOKUP(D1158,契約台帳!$A$3:$N$4986,14,FALSE)))</f>
        <v>1050</v>
      </c>
      <c r="R1158" s="277">
        <f>IF(D1158="","",IF(J1158="リード付け",M1158,VLOOKUP(D1158,契約台帳!$A$3:$O$4986,15,FALSE)))</f>
        <v>1050</v>
      </c>
      <c r="S1158" s="277">
        <f>IF(D1158="","",IF(J1158="リード付け",N1158,VLOOKUP(D1158,契約台帳!$A$3:$P$4986,16,FALSE)))</f>
        <v>6000</v>
      </c>
      <c r="T1158" s="40">
        <v>2</v>
      </c>
      <c r="U1158" s="278">
        <f ca="1">IF(D1158="","",IF(OFFSET(D1158,-2,0)=D1158,"",VLOOKUP(D1158,契約台帳!$A$3:$R$4986,18,FALSE)))</f>
        <v>2</v>
      </c>
      <c r="V1158" s="269" t="str">
        <f>IF(J1158="巻返し",VLOOKUP(F1158&amp;K1158&amp;M1158,製品マスタ!$M$5:$AD$5002,18,FALSE),IF(J1158="リード付け","原反コア",IF(J1158="スリット",VLOOKUP(F1158&amp;K1158&amp;Q1158,製品マスタ!$N$5:$AD$5002,17,FALSE),"")))</f>
        <v>6ｲﾝﾁABS</v>
      </c>
      <c r="W1158" s="269">
        <f>IF(J1158="巻返し",VLOOKUP(F1158&amp;K1158&amp;M1158,製品マスタ!$M$5:$AE$5002,19,FALSE),IF(J1158="リード付け","-",IF(J1158="スリット",VLOOKUP(F1158&amp;K1158&amp;Q1158,製品マスタ!$N$5:$AE$5002,18,FALSE),"")))</f>
        <v>1250</v>
      </c>
      <c r="X1158" s="275">
        <f>IF(D1158="","",VLOOKUP(D1158,契約台帳!$A$3:$Q$4986,17,FALSE))</f>
        <v>1</v>
      </c>
      <c r="Y1158" s="269" t="s">
        <v>1365</v>
      </c>
      <c r="Z1158" s="357" t="s">
        <v>1016</v>
      </c>
      <c r="AA1158" s="207" t="s">
        <v>1470</v>
      </c>
      <c r="AB1158" s="369"/>
      <c r="AC1158" s="370"/>
      <c r="AD1158" s="332" t="str">
        <f>IF(F1158="","",+F1158&amp;K1158)</f>
        <v>3UYKNZMCRALCB25</v>
      </c>
      <c r="AE1158" s="216">
        <f>+M1158*N1158*O1158/1000</f>
        <v>13431</v>
      </c>
      <c r="AF1158" s="43"/>
      <c r="AG1158" s="47"/>
      <c r="AH1158" s="30"/>
      <c r="AI1158" s="30"/>
      <c r="AJ1158" s="30"/>
      <c r="AK1158" s="30"/>
      <c r="AL1158" s="13"/>
      <c r="AM1158" s="13"/>
      <c r="AN1158" s="13"/>
      <c r="AO1158" s="13"/>
      <c r="AP1158" s="13"/>
      <c r="AQ1158" s="14"/>
      <c r="AR1158" s="15"/>
    </row>
    <row r="1159" spans="1:44" s="17" customFormat="1" ht="30.95" hidden="1" customHeight="1" x14ac:dyDescent="0.2">
      <c r="A1159" s="343"/>
      <c r="B1159" s="344"/>
      <c r="C1159" s="345"/>
      <c r="D1159" s="346"/>
      <c r="E1159" s="346"/>
      <c r="F1159" s="268"/>
      <c r="G1159" s="269"/>
      <c r="H1159" s="269"/>
      <c r="I1159" s="270"/>
      <c r="J1159" s="347"/>
      <c r="K1159" s="270"/>
      <c r="L1159" s="270"/>
      <c r="M1159" s="348"/>
      <c r="N1159" s="348"/>
      <c r="O1159" s="349"/>
      <c r="P1159" s="350"/>
      <c r="Q1159" s="276"/>
      <c r="R1159" s="277"/>
      <c r="S1159" s="277"/>
      <c r="T1159" s="351"/>
      <c r="U1159" s="278"/>
      <c r="V1159" s="269"/>
      <c r="W1159" s="269"/>
      <c r="X1159" s="275"/>
      <c r="Y1159" s="269"/>
      <c r="Z1159" s="350"/>
      <c r="AA1159" s="207"/>
      <c r="AB1159" s="352"/>
      <c r="AC1159" s="353"/>
      <c r="AD1159" s="54"/>
      <c r="AE1159" s="354"/>
      <c r="AF1159" s="355"/>
      <c r="AG1159" s="349"/>
      <c r="AH1159" s="30"/>
      <c r="AI1159" s="30"/>
      <c r="AJ1159" s="30"/>
      <c r="AK1159" s="30"/>
      <c r="AL1159" s="13"/>
      <c r="AM1159" s="13"/>
      <c r="AN1159" s="13"/>
      <c r="AO1159" s="13"/>
      <c r="AP1159" s="13"/>
      <c r="AQ1159" s="14"/>
      <c r="AR1159" s="15"/>
    </row>
    <row r="1160" spans="1:44" s="17" customFormat="1" ht="30.95" hidden="1" customHeight="1" x14ac:dyDescent="0.2">
      <c r="A1160" s="343" t="s">
        <v>1916</v>
      </c>
      <c r="B1160" s="344" t="s">
        <v>1917</v>
      </c>
      <c r="C1160" s="345"/>
      <c r="D1160" s="398" t="s">
        <v>1276</v>
      </c>
      <c r="E1160" s="414" t="s">
        <v>1277</v>
      </c>
      <c r="F1160" s="268" t="s">
        <v>1884</v>
      </c>
      <c r="G1160" s="269" t="s">
        <v>269</v>
      </c>
      <c r="H1160" s="269" t="s">
        <v>1079</v>
      </c>
      <c r="I1160" s="270" t="s">
        <v>1885</v>
      </c>
      <c r="J1160" s="32" t="s">
        <v>447</v>
      </c>
      <c r="K1160" s="270">
        <v>25</v>
      </c>
      <c r="L1160" s="270" t="s">
        <v>1886</v>
      </c>
      <c r="M1160" s="39">
        <v>1110</v>
      </c>
      <c r="N1160" s="39">
        <v>12300</v>
      </c>
      <c r="O1160" s="47">
        <v>1</v>
      </c>
      <c r="P1160" s="57"/>
      <c r="Q1160" s="276">
        <v>1050</v>
      </c>
      <c r="R1160" s="277">
        <v>1050</v>
      </c>
      <c r="S1160" s="277">
        <v>6000</v>
      </c>
      <c r="T1160" s="40">
        <v>2</v>
      </c>
      <c r="U1160" s="278">
        <v>2</v>
      </c>
      <c r="V1160" s="269" t="s">
        <v>272</v>
      </c>
      <c r="W1160" s="269">
        <v>1250</v>
      </c>
      <c r="X1160" s="275">
        <v>1</v>
      </c>
      <c r="Y1160" s="269" t="s">
        <v>1365</v>
      </c>
      <c r="Z1160" s="357" t="s">
        <v>1016</v>
      </c>
      <c r="AA1160" s="207" t="s">
        <v>1470</v>
      </c>
      <c r="AB1160" s="369"/>
      <c r="AC1160" s="370"/>
      <c r="AD1160" s="332"/>
      <c r="AE1160" s="216">
        <v>13431</v>
      </c>
      <c r="AF1160" s="43"/>
      <c r="AG1160" s="47"/>
      <c r="AH1160" s="30"/>
      <c r="AI1160" s="30"/>
      <c r="AJ1160" s="30"/>
      <c r="AK1160" s="30"/>
      <c r="AL1160" s="13"/>
      <c r="AM1160" s="13"/>
      <c r="AN1160" s="13"/>
      <c r="AO1160" s="13"/>
      <c r="AP1160" s="13"/>
      <c r="AQ1160" s="14"/>
      <c r="AR1160" s="15"/>
    </row>
    <row r="1161" spans="1:44" s="17" customFormat="1" ht="30.95" hidden="1" customHeight="1" x14ac:dyDescent="0.2">
      <c r="A1161" s="343"/>
      <c r="B1161" s="344"/>
      <c r="C1161" s="345"/>
      <c r="D1161" s="346"/>
      <c r="E1161" s="346"/>
      <c r="F1161" s="268"/>
      <c r="G1161" s="269"/>
      <c r="H1161" s="269"/>
      <c r="I1161" s="270"/>
      <c r="J1161" s="347"/>
      <c r="K1161" s="270"/>
      <c r="L1161" s="270"/>
      <c r="M1161" s="348"/>
      <c r="N1161" s="348"/>
      <c r="O1161" s="349"/>
      <c r="P1161" s="350"/>
      <c r="Q1161" s="276"/>
      <c r="R1161" s="277"/>
      <c r="S1161" s="277"/>
      <c r="T1161" s="351"/>
      <c r="U1161" s="278"/>
      <c r="V1161" s="269"/>
      <c r="W1161" s="269"/>
      <c r="X1161" s="275"/>
      <c r="Y1161" s="269"/>
      <c r="Z1161" s="350"/>
      <c r="AA1161" s="207"/>
      <c r="AB1161" s="352"/>
      <c r="AC1161" s="353"/>
      <c r="AD1161" s="54"/>
      <c r="AE1161" s="354"/>
      <c r="AF1161" s="355"/>
      <c r="AG1161" s="349"/>
      <c r="AH1161" s="30"/>
      <c r="AI1161" s="30"/>
      <c r="AJ1161" s="30"/>
      <c r="AK1161" s="30"/>
      <c r="AL1161" s="13"/>
      <c r="AM1161" s="13"/>
      <c r="AN1161" s="13"/>
      <c r="AO1161" s="13"/>
      <c r="AP1161" s="13"/>
      <c r="AQ1161" s="14"/>
      <c r="AR1161" s="15"/>
    </row>
    <row r="1162" spans="1:44" s="17" customFormat="1" ht="30.95" hidden="1" customHeight="1" x14ac:dyDescent="0.2">
      <c r="A1162" s="343" t="s">
        <v>1894</v>
      </c>
      <c r="B1162" s="344" t="s">
        <v>1397</v>
      </c>
      <c r="C1162" s="345"/>
      <c r="D1162" s="346"/>
      <c r="E1162" s="346"/>
      <c r="F1162" s="268"/>
      <c r="G1162" s="269"/>
      <c r="H1162" s="269"/>
      <c r="I1162" s="270"/>
      <c r="J1162" s="347" t="s">
        <v>1914</v>
      </c>
      <c r="K1162" s="270"/>
      <c r="L1162" s="270"/>
      <c r="M1162" s="348"/>
      <c r="N1162" s="348"/>
      <c r="O1162" s="349"/>
      <c r="P1162" s="350"/>
      <c r="Q1162" s="276"/>
      <c r="R1162" s="277"/>
      <c r="S1162" s="277"/>
      <c r="T1162" s="351"/>
      <c r="U1162" s="278"/>
      <c r="V1162" s="269"/>
      <c r="W1162" s="269"/>
      <c r="X1162" s="275"/>
      <c r="Y1162" s="269"/>
      <c r="Z1162" s="350"/>
      <c r="AA1162" s="207"/>
      <c r="AB1162" s="352"/>
      <c r="AC1162" s="353"/>
      <c r="AD1162" s="54"/>
      <c r="AE1162" s="354"/>
      <c r="AF1162" s="355"/>
      <c r="AG1162" s="349"/>
      <c r="AH1162" s="30"/>
      <c r="AI1162" s="30"/>
      <c r="AJ1162" s="30"/>
      <c r="AK1162" s="30"/>
      <c r="AL1162" s="13"/>
      <c r="AM1162" s="13"/>
      <c r="AN1162" s="13"/>
      <c r="AO1162" s="13"/>
      <c r="AP1162" s="13"/>
      <c r="AQ1162" s="14"/>
      <c r="AR1162" s="15"/>
    </row>
    <row r="1163" spans="1:44" s="17" customFormat="1" ht="30.95" hidden="1" customHeight="1" x14ac:dyDescent="0.2">
      <c r="A1163" s="343"/>
      <c r="B1163" s="344"/>
      <c r="C1163" s="345"/>
      <c r="D1163" s="346"/>
      <c r="E1163" s="346"/>
      <c r="F1163" s="268"/>
      <c r="G1163" s="269"/>
      <c r="H1163" s="269"/>
      <c r="I1163" s="270"/>
      <c r="J1163" s="347"/>
      <c r="K1163" s="270"/>
      <c r="L1163" s="270"/>
      <c r="M1163" s="348"/>
      <c r="N1163" s="348"/>
      <c r="O1163" s="349"/>
      <c r="P1163" s="350"/>
      <c r="Q1163" s="276"/>
      <c r="R1163" s="277"/>
      <c r="S1163" s="277"/>
      <c r="T1163" s="351"/>
      <c r="U1163" s="278"/>
      <c r="V1163" s="269"/>
      <c r="W1163" s="269"/>
      <c r="X1163" s="275"/>
      <c r="Y1163" s="269"/>
      <c r="Z1163" s="350"/>
      <c r="AA1163" s="207"/>
      <c r="AB1163" s="352"/>
      <c r="AC1163" s="353"/>
      <c r="AD1163" s="54"/>
      <c r="AE1163" s="354"/>
      <c r="AF1163" s="355"/>
      <c r="AG1163" s="349"/>
      <c r="AH1163" s="30"/>
      <c r="AI1163" s="30"/>
      <c r="AJ1163" s="30"/>
      <c r="AK1163" s="30"/>
      <c r="AL1163" s="13"/>
      <c r="AM1163" s="13"/>
      <c r="AN1163" s="13"/>
      <c r="AO1163" s="13"/>
      <c r="AP1163" s="13"/>
      <c r="AQ1163" s="14"/>
      <c r="AR1163" s="15"/>
    </row>
    <row r="1164" spans="1:44" s="17" customFormat="1" ht="30.95" hidden="1" customHeight="1" x14ac:dyDescent="0.2">
      <c r="A1164" s="343" t="s">
        <v>1895</v>
      </c>
      <c r="B1164" s="344" t="s">
        <v>392</v>
      </c>
      <c r="C1164" s="345"/>
      <c r="D1164" s="346"/>
      <c r="E1164" s="346"/>
      <c r="F1164" s="268"/>
      <c r="G1164" s="269"/>
      <c r="H1164" s="269"/>
      <c r="I1164" s="270"/>
      <c r="J1164" s="347" t="s">
        <v>448</v>
      </c>
      <c r="K1164" s="270"/>
      <c r="L1164" s="270"/>
      <c r="M1164" s="348"/>
      <c r="N1164" s="348"/>
      <c r="O1164" s="349"/>
      <c r="P1164" s="350"/>
      <c r="Q1164" s="276"/>
      <c r="R1164" s="277"/>
      <c r="S1164" s="277"/>
      <c r="T1164" s="351"/>
      <c r="U1164" s="278"/>
      <c r="V1164" s="269"/>
      <c r="W1164" s="269"/>
      <c r="X1164" s="275"/>
      <c r="Y1164" s="269"/>
      <c r="Z1164" s="350"/>
      <c r="AA1164" s="207"/>
      <c r="AB1164" s="352"/>
      <c r="AC1164" s="353"/>
      <c r="AD1164" s="54"/>
      <c r="AE1164" s="354"/>
      <c r="AF1164" s="355"/>
      <c r="AG1164" s="349"/>
      <c r="AH1164" s="30"/>
      <c r="AI1164" s="30"/>
      <c r="AJ1164" s="30"/>
      <c r="AK1164" s="30"/>
      <c r="AL1164" s="13"/>
      <c r="AM1164" s="13"/>
      <c r="AN1164" s="13"/>
      <c r="AO1164" s="13"/>
      <c r="AP1164" s="13"/>
      <c r="AQ1164" s="14"/>
      <c r="AR1164" s="15"/>
    </row>
    <row r="1165" spans="1:44" s="17" customFormat="1" ht="30.95" hidden="1" customHeight="1" x14ac:dyDescent="0.2">
      <c r="A1165" s="343"/>
      <c r="B1165" s="344"/>
      <c r="C1165" s="345"/>
      <c r="D1165" s="346"/>
      <c r="E1165" s="346"/>
      <c r="F1165" s="268"/>
      <c r="G1165" s="269"/>
      <c r="H1165" s="269"/>
      <c r="I1165" s="270"/>
      <c r="J1165" s="347"/>
      <c r="K1165" s="270"/>
      <c r="L1165" s="270"/>
      <c r="M1165" s="348"/>
      <c r="N1165" s="348"/>
      <c r="O1165" s="349"/>
      <c r="P1165" s="350"/>
      <c r="Q1165" s="276"/>
      <c r="R1165" s="277"/>
      <c r="S1165" s="277"/>
      <c r="T1165" s="351"/>
      <c r="U1165" s="278"/>
      <c r="V1165" s="269"/>
      <c r="W1165" s="269"/>
      <c r="X1165" s="275"/>
      <c r="Y1165" s="269"/>
      <c r="Z1165" s="350"/>
      <c r="AA1165" s="207"/>
      <c r="AB1165" s="352"/>
      <c r="AC1165" s="353"/>
      <c r="AD1165" s="54"/>
      <c r="AE1165" s="354"/>
      <c r="AF1165" s="355"/>
      <c r="AG1165" s="349"/>
      <c r="AH1165" s="30"/>
      <c r="AI1165" s="30"/>
      <c r="AJ1165" s="30"/>
      <c r="AK1165" s="30"/>
      <c r="AL1165" s="13"/>
      <c r="AM1165" s="13"/>
      <c r="AN1165" s="13"/>
      <c r="AO1165" s="13"/>
      <c r="AP1165" s="13"/>
      <c r="AQ1165" s="14"/>
      <c r="AR1165" s="15"/>
    </row>
    <row r="1166" spans="1:44" s="17" customFormat="1" ht="30.95" hidden="1" customHeight="1" x14ac:dyDescent="0.2">
      <c r="A1166" s="343" t="s">
        <v>1896</v>
      </c>
      <c r="B1166" s="344" t="s">
        <v>1402</v>
      </c>
      <c r="C1166" s="345"/>
      <c r="D1166" s="346"/>
      <c r="E1166" s="346"/>
      <c r="F1166" s="268"/>
      <c r="G1166" s="269"/>
      <c r="H1166" s="269"/>
      <c r="I1166" s="270"/>
      <c r="J1166" s="347" t="s">
        <v>1914</v>
      </c>
      <c r="K1166" s="270"/>
      <c r="L1166" s="270"/>
      <c r="M1166" s="348"/>
      <c r="N1166" s="348"/>
      <c r="O1166" s="349"/>
      <c r="P1166" s="350"/>
      <c r="Q1166" s="276"/>
      <c r="R1166" s="277"/>
      <c r="S1166" s="277"/>
      <c r="T1166" s="351"/>
      <c r="U1166" s="278"/>
      <c r="V1166" s="269"/>
      <c r="W1166" s="269"/>
      <c r="X1166" s="275"/>
      <c r="Y1166" s="269"/>
      <c r="Z1166" s="350"/>
      <c r="AA1166" s="207"/>
      <c r="AB1166" s="352"/>
      <c r="AC1166" s="353"/>
      <c r="AD1166" s="54"/>
      <c r="AE1166" s="354"/>
      <c r="AF1166" s="355"/>
      <c r="AG1166" s="349"/>
      <c r="AH1166" s="30"/>
      <c r="AI1166" s="30"/>
      <c r="AJ1166" s="30"/>
      <c r="AK1166" s="30"/>
      <c r="AL1166" s="13"/>
      <c r="AM1166" s="13"/>
      <c r="AN1166" s="13"/>
      <c r="AO1166" s="13"/>
      <c r="AP1166" s="13"/>
      <c r="AQ1166" s="14"/>
      <c r="AR1166" s="15"/>
    </row>
    <row r="1167" spans="1:44" s="17" customFormat="1" ht="30.95" hidden="1" customHeight="1" x14ac:dyDescent="0.2">
      <c r="A1167" s="343"/>
      <c r="B1167" s="344"/>
      <c r="C1167" s="345"/>
      <c r="D1167" s="346"/>
      <c r="E1167" s="346"/>
      <c r="F1167" s="268"/>
      <c r="G1167" s="269"/>
      <c r="H1167" s="269"/>
      <c r="I1167" s="270"/>
      <c r="J1167" s="347"/>
      <c r="K1167" s="270"/>
      <c r="L1167" s="270"/>
      <c r="M1167" s="348"/>
      <c r="N1167" s="348"/>
      <c r="O1167" s="349"/>
      <c r="P1167" s="350"/>
      <c r="Q1167" s="276"/>
      <c r="R1167" s="277"/>
      <c r="S1167" s="277"/>
      <c r="T1167" s="351"/>
      <c r="U1167" s="278"/>
      <c r="V1167" s="269"/>
      <c r="W1167" s="269"/>
      <c r="X1167" s="275"/>
      <c r="Y1167" s="269"/>
      <c r="Z1167" s="350"/>
      <c r="AA1167" s="207"/>
      <c r="AB1167" s="352"/>
      <c r="AC1167" s="353"/>
      <c r="AD1167" s="54"/>
      <c r="AE1167" s="354"/>
      <c r="AF1167" s="355"/>
      <c r="AG1167" s="349"/>
      <c r="AH1167" s="30"/>
      <c r="AI1167" s="30"/>
      <c r="AJ1167" s="30"/>
      <c r="AK1167" s="30"/>
      <c r="AL1167" s="13"/>
      <c r="AM1167" s="13"/>
      <c r="AN1167" s="13"/>
      <c r="AO1167" s="13"/>
      <c r="AP1167" s="13"/>
      <c r="AQ1167" s="14"/>
      <c r="AR1167" s="15"/>
    </row>
    <row r="1168" spans="1:44" s="17" customFormat="1" ht="30.95" hidden="1" customHeight="1" x14ac:dyDescent="0.2">
      <c r="A1168" s="343" t="s">
        <v>1897</v>
      </c>
      <c r="B1168" s="344" t="s">
        <v>1405</v>
      </c>
      <c r="C1168" s="345"/>
      <c r="D1168" s="346"/>
      <c r="E1168" s="346"/>
      <c r="F1168" s="268"/>
      <c r="G1168" s="269"/>
      <c r="H1168" s="269"/>
      <c r="I1168" s="270"/>
      <c r="J1168" s="347" t="s">
        <v>1914</v>
      </c>
      <c r="K1168" s="270"/>
      <c r="L1168" s="270"/>
      <c r="M1168" s="348"/>
      <c r="N1168" s="348"/>
      <c r="O1168" s="349"/>
      <c r="P1168" s="350"/>
      <c r="Q1168" s="276"/>
      <c r="R1168" s="277"/>
      <c r="S1168" s="277"/>
      <c r="T1168" s="351"/>
      <c r="U1168" s="278"/>
      <c r="V1168" s="269"/>
      <c r="W1168" s="269"/>
      <c r="X1168" s="275"/>
      <c r="Y1168" s="269"/>
      <c r="Z1168" s="350"/>
      <c r="AA1168" s="207"/>
      <c r="AB1168" s="352"/>
      <c r="AC1168" s="353"/>
      <c r="AD1168" s="54"/>
      <c r="AE1168" s="354"/>
      <c r="AF1168" s="355"/>
      <c r="AG1168" s="349"/>
      <c r="AH1168" s="30"/>
      <c r="AI1168" s="30"/>
      <c r="AJ1168" s="30"/>
      <c r="AK1168" s="30"/>
      <c r="AL1168" s="13"/>
      <c r="AM1168" s="13"/>
      <c r="AN1168" s="13"/>
      <c r="AO1168" s="13"/>
      <c r="AP1168" s="13"/>
      <c r="AQ1168" s="14"/>
      <c r="AR1168" s="15"/>
    </row>
    <row r="1169" spans="1:44" s="17" customFormat="1" ht="30.95" hidden="1" customHeight="1" x14ac:dyDescent="0.2">
      <c r="A1169" s="343"/>
      <c r="B1169" s="344"/>
      <c r="C1169" s="345"/>
      <c r="D1169" s="346"/>
      <c r="E1169" s="346"/>
      <c r="F1169" s="268"/>
      <c r="G1169" s="269"/>
      <c r="H1169" s="269"/>
      <c r="I1169" s="270"/>
      <c r="J1169" s="347"/>
      <c r="K1169" s="270"/>
      <c r="L1169" s="270"/>
      <c r="M1169" s="348"/>
      <c r="N1169" s="348"/>
      <c r="O1169" s="349"/>
      <c r="P1169" s="350"/>
      <c r="Q1169" s="276"/>
      <c r="R1169" s="277"/>
      <c r="S1169" s="277"/>
      <c r="T1169" s="351"/>
      <c r="U1169" s="278"/>
      <c r="V1169" s="269"/>
      <c r="W1169" s="269"/>
      <c r="X1169" s="275"/>
      <c r="Y1169" s="269"/>
      <c r="Z1169" s="350"/>
      <c r="AA1169" s="207"/>
      <c r="AB1169" s="352"/>
      <c r="AC1169" s="353"/>
      <c r="AD1169" s="54"/>
      <c r="AE1169" s="354"/>
      <c r="AF1169" s="355"/>
      <c r="AG1169" s="349"/>
      <c r="AH1169" s="30"/>
      <c r="AI1169" s="30"/>
      <c r="AJ1169" s="30"/>
      <c r="AK1169" s="30"/>
      <c r="AL1169" s="13"/>
      <c r="AM1169" s="13"/>
      <c r="AN1169" s="13"/>
      <c r="AO1169" s="13"/>
      <c r="AP1169" s="13"/>
      <c r="AQ1169" s="14"/>
      <c r="AR1169" s="15"/>
    </row>
    <row r="1170" spans="1:44" s="17" customFormat="1" ht="30.95" hidden="1" customHeight="1" x14ac:dyDescent="0.2">
      <c r="A1170" s="343" t="s">
        <v>1898</v>
      </c>
      <c r="B1170" s="344" t="s">
        <v>1412</v>
      </c>
      <c r="C1170" s="345"/>
      <c r="D1170" s="346"/>
      <c r="E1170" s="346"/>
      <c r="F1170" s="268"/>
      <c r="G1170" s="269"/>
      <c r="H1170" s="269"/>
      <c r="I1170" s="270"/>
      <c r="J1170" s="347" t="s">
        <v>1914</v>
      </c>
      <c r="K1170" s="270"/>
      <c r="L1170" s="270"/>
      <c r="M1170" s="348"/>
      <c r="N1170" s="348"/>
      <c r="O1170" s="349"/>
      <c r="P1170" s="350"/>
      <c r="Q1170" s="276"/>
      <c r="R1170" s="277"/>
      <c r="S1170" s="277"/>
      <c r="T1170" s="351"/>
      <c r="U1170" s="278"/>
      <c r="V1170" s="269"/>
      <c r="W1170" s="269"/>
      <c r="X1170" s="275"/>
      <c r="Y1170" s="269"/>
      <c r="Z1170" s="350"/>
      <c r="AA1170" s="207"/>
      <c r="AB1170" s="352"/>
      <c r="AC1170" s="353"/>
      <c r="AD1170" s="54"/>
      <c r="AE1170" s="354"/>
      <c r="AF1170" s="355"/>
      <c r="AG1170" s="349"/>
      <c r="AH1170" s="30"/>
      <c r="AI1170" s="30"/>
      <c r="AJ1170" s="30"/>
      <c r="AK1170" s="30"/>
      <c r="AL1170" s="13"/>
      <c r="AM1170" s="13"/>
      <c r="AN1170" s="13"/>
      <c r="AO1170" s="13"/>
      <c r="AP1170" s="13"/>
      <c r="AQ1170" s="14"/>
      <c r="AR1170" s="15"/>
    </row>
    <row r="1171" spans="1:44" s="17" customFormat="1" ht="30.95" hidden="1" customHeight="1" x14ac:dyDescent="0.2">
      <c r="A1171" s="343"/>
      <c r="B1171" s="344"/>
      <c r="C1171" s="345"/>
      <c r="D1171" s="346"/>
      <c r="E1171" s="346"/>
      <c r="F1171" s="268"/>
      <c r="G1171" s="269"/>
      <c r="H1171" s="269"/>
      <c r="I1171" s="270"/>
      <c r="J1171" s="347"/>
      <c r="K1171" s="270"/>
      <c r="L1171" s="270"/>
      <c r="M1171" s="348"/>
      <c r="N1171" s="348"/>
      <c r="O1171" s="349"/>
      <c r="P1171" s="350"/>
      <c r="Q1171" s="276"/>
      <c r="R1171" s="277"/>
      <c r="S1171" s="277"/>
      <c r="T1171" s="351"/>
      <c r="U1171" s="278"/>
      <c r="V1171" s="269"/>
      <c r="W1171" s="269"/>
      <c r="X1171" s="275"/>
      <c r="Y1171" s="269"/>
      <c r="Z1171" s="350"/>
      <c r="AA1171" s="207"/>
      <c r="AB1171" s="352"/>
      <c r="AC1171" s="353"/>
      <c r="AD1171" s="54"/>
      <c r="AE1171" s="354"/>
      <c r="AF1171" s="355"/>
      <c r="AG1171" s="349"/>
      <c r="AH1171" s="30"/>
      <c r="AI1171" s="30"/>
      <c r="AJ1171" s="30"/>
      <c r="AK1171" s="30"/>
      <c r="AL1171" s="13"/>
      <c r="AM1171" s="13"/>
      <c r="AN1171" s="13"/>
      <c r="AO1171" s="13"/>
      <c r="AP1171" s="13"/>
      <c r="AQ1171" s="14"/>
      <c r="AR1171" s="15"/>
    </row>
    <row r="1172" spans="1:44" s="17" customFormat="1" ht="30.95" hidden="1" customHeight="1" x14ac:dyDescent="0.2">
      <c r="A1172" s="343" t="s">
        <v>1899</v>
      </c>
      <c r="B1172" s="344" t="s">
        <v>1408</v>
      </c>
      <c r="C1172" s="345"/>
      <c r="D1172" s="346"/>
      <c r="E1172" s="346"/>
      <c r="F1172" s="268"/>
      <c r="G1172" s="269"/>
      <c r="H1172" s="269"/>
      <c r="I1172" s="270"/>
      <c r="J1172" s="347" t="s">
        <v>1914</v>
      </c>
      <c r="K1172" s="270"/>
      <c r="L1172" s="270"/>
      <c r="M1172" s="348"/>
      <c r="N1172" s="348"/>
      <c r="O1172" s="349"/>
      <c r="P1172" s="350"/>
      <c r="Q1172" s="276"/>
      <c r="R1172" s="277"/>
      <c r="S1172" s="277"/>
      <c r="T1172" s="351"/>
      <c r="U1172" s="278"/>
      <c r="V1172" s="269"/>
      <c r="W1172" s="269"/>
      <c r="X1172" s="275"/>
      <c r="Y1172" s="269"/>
      <c r="Z1172" s="350"/>
      <c r="AA1172" s="207"/>
      <c r="AB1172" s="352"/>
      <c r="AC1172" s="353"/>
      <c r="AD1172" s="54"/>
      <c r="AE1172" s="354"/>
      <c r="AF1172" s="355"/>
      <c r="AG1172" s="349"/>
      <c r="AH1172" s="30"/>
      <c r="AI1172" s="30"/>
      <c r="AJ1172" s="30"/>
      <c r="AK1172" s="30"/>
      <c r="AL1172" s="13"/>
      <c r="AM1172" s="13"/>
      <c r="AN1172" s="13"/>
      <c r="AO1172" s="13"/>
      <c r="AP1172" s="13"/>
      <c r="AQ1172" s="14"/>
      <c r="AR1172" s="15"/>
    </row>
    <row r="1173" spans="1:44" s="17" customFormat="1" ht="30.95" hidden="1" customHeight="1" x14ac:dyDescent="0.2">
      <c r="A1173" s="343"/>
      <c r="B1173" s="344"/>
      <c r="C1173" s="345"/>
      <c r="D1173" s="346"/>
      <c r="E1173" s="346"/>
      <c r="F1173" s="268"/>
      <c r="G1173" s="269"/>
      <c r="H1173" s="269"/>
      <c r="I1173" s="270"/>
      <c r="J1173" s="347"/>
      <c r="K1173" s="270"/>
      <c r="L1173" s="270"/>
      <c r="M1173" s="348"/>
      <c r="N1173" s="348"/>
      <c r="O1173" s="349"/>
      <c r="P1173" s="350"/>
      <c r="Q1173" s="276"/>
      <c r="R1173" s="277"/>
      <c r="S1173" s="277"/>
      <c r="T1173" s="351"/>
      <c r="U1173" s="278"/>
      <c r="V1173" s="269"/>
      <c r="W1173" s="269"/>
      <c r="X1173" s="275"/>
      <c r="Y1173" s="269"/>
      <c r="Z1173" s="350"/>
      <c r="AA1173" s="207"/>
      <c r="AB1173" s="352"/>
      <c r="AC1173" s="353"/>
      <c r="AD1173" s="54"/>
      <c r="AE1173" s="354"/>
      <c r="AF1173" s="355"/>
      <c r="AG1173" s="349"/>
      <c r="AH1173" s="30"/>
      <c r="AI1173" s="30"/>
      <c r="AJ1173" s="30"/>
      <c r="AK1173" s="30"/>
      <c r="AL1173" s="13"/>
      <c r="AM1173" s="13"/>
      <c r="AN1173" s="13"/>
      <c r="AO1173" s="13"/>
      <c r="AP1173" s="13"/>
      <c r="AQ1173" s="14"/>
      <c r="AR1173" s="15"/>
    </row>
    <row r="1174" spans="1:44" s="17" customFormat="1" ht="30.6" hidden="1" customHeight="1" x14ac:dyDescent="0.2">
      <c r="A1174" s="343" t="s">
        <v>1900</v>
      </c>
      <c r="B1174" s="344" t="s">
        <v>1409</v>
      </c>
      <c r="C1174" s="345"/>
      <c r="D1174" s="346"/>
      <c r="E1174" s="346"/>
      <c r="F1174" s="268"/>
      <c r="G1174" s="269"/>
      <c r="H1174" s="269"/>
      <c r="I1174" s="270"/>
      <c r="J1174" s="347" t="s">
        <v>1914</v>
      </c>
      <c r="K1174" s="270"/>
      <c r="L1174" s="270"/>
      <c r="M1174" s="348"/>
      <c r="N1174" s="348"/>
      <c r="O1174" s="349"/>
      <c r="P1174" s="350"/>
      <c r="Q1174" s="276"/>
      <c r="R1174" s="277"/>
      <c r="S1174" s="277"/>
      <c r="T1174" s="351"/>
      <c r="U1174" s="278"/>
      <c r="V1174" s="269"/>
      <c r="W1174" s="269"/>
      <c r="X1174" s="275"/>
      <c r="Y1174" s="269"/>
      <c r="Z1174" s="350"/>
      <c r="AA1174" s="207"/>
      <c r="AB1174" s="352"/>
      <c r="AC1174" s="353"/>
      <c r="AD1174" s="54"/>
      <c r="AE1174" s="354"/>
      <c r="AF1174" s="355"/>
      <c r="AG1174" s="349"/>
      <c r="AH1174" s="30"/>
      <c r="AI1174" s="30"/>
      <c r="AJ1174" s="30"/>
      <c r="AK1174" s="30"/>
      <c r="AL1174" s="13"/>
      <c r="AM1174" s="13"/>
      <c r="AN1174" s="13"/>
      <c r="AO1174" s="13"/>
      <c r="AP1174" s="13"/>
      <c r="AQ1174" s="14"/>
      <c r="AR1174" s="15"/>
    </row>
    <row r="1175" spans="1:44" s="17" customFormat="1" ht="30.6" hidden="1" customHeight="1" x14ac:dyDescent="0.2">
      <c r="A1175" s="343"/>
      <c r="B1175" s="344"/>
      <c r="C1175" s="345"/>
      <c r="D1175" s="346"/>
      <c r="E1175" s="346"/>
      <c r="F1175" s="268"/>
      <c r="G1175" s="269"/>
      <c r="H1175" s="269"/>
      <c r="I1175" s="270"/>
      <c r="J1175" s="347"/>
      <c r="K1175" s="270"/>
      <c r="L1175" s="270"/>
      <c r="M1175" s="348"/>
      <c r="N1175" s="348"/>
      <c r="O1175" s="349"/>
      <c r="P1175" s="350"/>
      <c r="Q1175" s="276"/>
      <c r="R1175" s="277"/>
      <c r="S1175" s="277"/>
      <c r="T1175" s="351"/>
      <c r="U1175" s="278"/>
      <c r="V1175" s="269"/>
      <c r="W1175" s="269"/>
      <c r="X1175" s="275"/>
      <c r="Y1175" s="269"/>
      <c r="Z1175" s="350"/>
      <c r="AA1175" s="207"/>
      <c r="AB1175" s="352"/>
      <c r="AC1175" s="353"/>
      <c r="AD1175" s="54"/>
      <c r="AE1175" s="354"/>
      <c r="AF1175" s="355"/>
      <c r="AG1175" s="349"/>
      <c r="AH1175" s="30"/>
      <c r="AI1175" s="30"/>
      <c r="AJ1175" s="30"/>
      <c r="AK1175" s="30"/>
      <c r="AL1175" s="13"/>
      <c r="AM1175" s="13"/>
      <c r="AN1175" s="13"/>
      <c r="AO1175" s="13"/>
      <c r="AP1175" s="13"/>
      <c r="AQ1175" s="14"/>
      <c r="AR1175" s="15"/>
    </row>
    <row r="1176" spans="1:44" s="17" customFormat="1" ht="30.95" hidden="1" customHeight="1" x14ac:dyDescent="0.2">
      <c r="A1176" s="343" t="s">
        <v>1901</v>
      </c>
      <c r="B1176" s="344" t="s">
        <v>1397</v>
      </c>
      <c r="C1176" s="345"/>
      <c r="D1176" s="346"/>
      <c r="E1176" s="346"/>
      <c r="F1176" s="268"/>
      <c r="G1176" s="269"/>
      <c r="H1176" s="269"/>
      <c r="I1176" s="270"/>
      <c r="J1176" s="347" t="s">
        <v>448</v>
      </c>
      <c r="K1176" s="270"/>
      <c r="L1176" s="270"/>
      <c r="M1176" s="348"/>
      <c r="N1176" s="348"/>
      <c r="O1176" s="349"/>
      <c r="P1176" s="350"/>
      <c r="Q1176" s="276"/>
      <c r="R1176" s="277"/>
      <c r="S1176" s="277"/>
      <c r="T1176" s="351"/>
      <c r="U1176" s="278"/>
      <c r="V1176" s="269"/>
      <c r="W1176" s="269"/>
      <c r="X1176" s="275"/>
      <c r="Y1176" s="269"/>
      <c r="Z1176" s="350"/>
      <c r="AA1176" s="207"/>
      <c r="AB1176" s="352"/>
      <c r="AC1176" s="353"/>
      <c r="AD1176" s="54"/>
      <c r="AE1176" s="354"/>
      <c r="AF1176" s="355"/>
      <c r="AG1176" s="349"/>
      <c r="AH1176" s="30"/>
      <c r="AI1176" s="30"/>
      <c r="AJ1176" s="30"/>
      <c r="AK1176" s="30"/>
      <c r="AL1176" s="13"/>
      <c r="AM1176" s="13"/>
      <c r="AN1176" s="13"/>
      <c r="AO1176" s="13"/>
      <c r="AP1176" s="13"/>
      <c r="AQ1176" s="14"/>
      <c r="AR1176" s="15"/>
    </row>
    <row r="1177" spans="1:44" s="17" customFormat="1" ht="30.95" hidden="1" customHeight="1" x14ac:dyDescent="0.2">
      <c r="A1177" s="343"/>
      <c r="B1177" s="344"/>
      <c r="C1177" s="345"/>
      <c r="D1177" s="346"/>
      <c r="E1177" s="346"/>
      <c r="F1177" s="268"/>
      <c r="G1177" s="269"/>
      <c r="H1177" s="269"/>
      <c r="I1177" s="270"/>
      <c r="J1177" s="347"/>
      <c r="K1177" s="270"/>
      <c r="L1177" s="270"/>
      <c r="M1177" s="348"/>
      <c r="N1177" s="348"/>
      <c r="O1177" s="349"/>
      <c r="P1177" s="350"/>
      <c r="Q1177" s="276"/>
      <c r="R1177" s="277"/>
      <c r="S1177" s="277"/>
      <c r="T1177" s="351"/>
      <c r="U1177" s="278"/>
      <c r="V1177" s="269"/>
      <c r="W1177" s="269"/>
      <c r="X1177" s="275"/>
      <c r="Y1177" s="269"/>
      <c r="Z1177" s="350"/>
      <c r="AA1177" s="207"/>
      <c r="AB1177" s="352"/>
      <c r="AC1177" s="353"/>
      <c r="AD1177" s="54"/>
      <c r="AE1177" s="354"/>
      <c r="AF1177" s="355"/>
      <c r="AG1177" s="349"/>
      <c r="AH1177" s="30"/>
      <c r="AI1177" s="30"/>
      <c r="AJ1177" s="30"/>
      <c r="AK1177" s="30"/>
      <c r="AL1177" s="13"/>
      <c r="AM1177" s="13"/>
      <c r="AN1177" s="13"/>
      <c r="AO1177" s="13"/>
      <c r="AP1177" s="13"/>
      <c r="AQ1177" s="14"/>
      <c r="AR1177" s="15"/>
    </row>
    <row r="1178" spans="1:44" s="17" customFormat="1" ht="30.95" hidden="1" customHeight="1" x14ac:dyDescent="0.2">
      <c r="A1178" s="343" t="s">
        <v>1902</v>
      </c>
      <c r="B1178" s="344" t="s">
        <v>392</v>
      </c>
      <c r="C1178" s="345"/>
      <c r="D1178" s="346"/>
      <c r="E1178" s="346"/>
      <c r="F1178" s="268"/>
      <c r="G1178" s="269"/>
      <c r="H1178" s="269"/>
      <c r="I1178" s="270"/>
      <c r="J1178" s="347" t="s">
        <v>448</v>
      </c>
      <c r="K1178" s="270"/>
      <c r="L1178" s="270"/>
      <c r="M1178" s="348"/>
      <c r="N1178" s="348"/>
      <c r="O1178" s="349"/>
      <c r="P1178" s="350"/>
      <c r="Q1178" s="276"/>
      <c r="R1178" s="277"/>
      <c r="S1178" s="277"/>
      <c r="T1178" s="351"/>
      <c r="U1178" s="278"/>
      <c r="V1178" s="269"/>
      <c r="W1178" s="269"/>
      <c r="X1178" s="275"/>
      <c r="Y1178" s="269"/>
      <c r="Z1178" s="350"/>
      <c r="AA1178" s="207"/>
      <c r="AB1178" s="352"/>
      <c r="AC1178" s="353"/>
      <c r="AD1178" s="54"/>
      <c r="AE1178" s="354"/>
      <c r="AF1178" s="355"/>
      <c r="AG1178" s="349"/>
      <c r="AH1178" s="30"/>
      <c r="AI1178" s="30"/>
      <c r="AJ1178" s="30"/>
      <c r="AK1178" s="30"/>
      <c r="AL1178" s="13"/>
      <c r="AM1178" s="13"/>
      <c r="AN1178" s="13"/>
      <c r="AO1178" s="13"/>
      <c r="AP1178" s="13"/>
      <c r="AQ1178" s="14"/>
      <c r="AR1178" s="15"/>
    </row>
    <row r="1179" spans="1:44" s="17" customFormat="1" ht="30.95" hidden="1" customHeight="1" x14ac:dyDescent="0.2">
      <c r="A1179" s="343"/>
      <c r="B1179" s="344"/>
      <c r="C1179" s="345"/>
      <c r="D1179" s="346"/>
      <c r="E1179" s="346"/>
      <c r="F1179" s="268"/>
      <c r="G1179" s="269"/>
      <c r="H1179" s="269"/>
      <c r="I1179" s="270"/>
      <c r="J1179" s="347"/>
      <c r="K1179" s="270"/>
      <c r="L1179" s="270"/>
      <c r="M1179" s="348"/>
      <c r="N1179" s="348"/>
      <c r="O1179" s="349"/>
      <c r="P1179" s="350"/>
      <c r="Q1179" s="276"/>
      <c r="R1179" s="277"/>
      <c r="S1179" s="277"/>
      <c r="T1179" s="351"/>
      <c r="U1179" s="278"/>
      <c r="V1179" s="269"/>
      <c r="W1179" s="269"/>
      <c r="X1179" s="275"/>
      <c r="Y1179" s="269"/>
      <c r="Z1179" s="350"/>
      <c r="AA1179" s="207"/>
      <c r="AB1179" s="352"/>
      <c r="AC1179" s="353"/>
      <c r="AD1179" s="54"/>
      <c r="AE1179" s="354"/>
      <c r="AF1179" s="355"/>
      <c r="AG1179" s="349"/>
      <c r="AH1179" s="30"/>
      <c r="AI1179" s="30"/>
      <c r="AJ1179" s="30"/>
      <c r="AK1179" s="30"/>
      <c r="AL1179" s="13"/>
      <c r="AM1179" s="13"/>
      <c r="AN1179" s="13"/>
      <c r="AO1179" s="13"/>
      <c r="AP1179" s="13"/>
      <c r="AQ1179" s="14"/>
      <c r="AR1179" s="15"/>
    </row>
    <row r="1180" spans="1:44" s="17" customFormat="1" ht="30.95" hidden="1" customHeight="1" x14ac:dyDescent="0.2">
      <c r="A1180" s="343" t="s">
        <v>1903</v>
      </c>
      <c r="B1180" s="344" t="s">
        <v>1402</v>
      </c>
      <c r="C1180" s="345"/>
      <c r="D1180" s="346"/>
      <c r="E1180" s="346"/>
      <c r="F1180" s="268"/>
      <c r="G1180" s="269"/>
      <c r="H1180" s="269"/>
      <c r="I1180" s="270"/>
      <c r="J1180" s="347" t="s">
        <v>1914</v>
      </c>
      <c r="K1180" s="270"/>
      <c r="L1180" s="270"/>
      <c r="M1180" s="348"/>
      <c r="N1180" s="348"/>
      <c r="O1180" s="349"/>
      <c r="P1180" s="350"/>
      <c r="Q1180" s="276"/>
      <c r="R1180" s="277"/>
      <c r="S1180" s="277"/>
      <c r="T1180" s="351"/>
      <c r="U1180" s="278"/>
      <c r="V1180" s="269"/>
      <c r="W1180" s="269"/>
      <c r="X1180" s="275"/>
      <c r="Y1180" s="269"/>
      <c r="Z1180" s="350"/>
      <c r="AA1180" s="207"/>
      <c r="AB1180" s="352"/>
      <c r="AC1180" s="353"/>
      <c r="AD1180" s="54"/>
      <c r="AE1180" s="354"/>
      <c r="AF1180" s="355"/>
      <c r="AG1180" s="349"/>
      <c r="AH1180" s="30"/>
      <c r="AI1180" s="30"/>
      <c r="AJ1180" s="30"/>
      <c r="AK1180" s="30"/>
      <c r="AL1180" s="13"/>
      <c r="AM1180" s="13"/>
      <c r="AN1180" s="13"/>
      <c r="AO1180" s="13"/>
      <c r="AP1180" s="13"/>
      <c r="AQ1180" s="14"/>
      <c r="AR1180" s="15"/>
    </row>
    <row r="1181" spans="1:44" s="17" customFormat="1" ht="30.95" hidden="1" customHeight="1" x14ac:dyDescent="0.2">
      <c r="A1181" s="343"/>
      <c r="B1181" s="344"/>
      <c r="C1181" s="345"/>
      <c r="D1181" s="346"/>
      <c r="E1181" s="346"/>
      <c r="F1181" s="268"/>
      <c r="G1181" s="269"/>
      <c r="H1181" s="269"/>
      <c r="I1181" s="270"/>
      <c r="J1181" s="347"/>
      <c r="K1181" s="270"/>
      <c r="L1181" s="270"/>
      <c r="M1181" s="348"/>
      <c r="N1181" s="348"/>
      <c r="O1181" s="349"/>
      <c r="P1181" s="350"/>
      <c r="Q1181" s="276"/>
      <c r="R1181" s="277"/>
      <c r="S1181" s="277"/>
      <c r="T1181" s="351"/>
      <c r="U1181" s="278"/>
      <c r="V1181" s="269"/>
      <c r="W1181" s="269"/>
      <c r="X1181" s="275"/>
      <c r="Y1181" s="269"/>
      <c r="Z1181" s="350"/>
      <c r="AA1181" s="207"/>
      <c r="AB1181" s="352"/>
      <c r="AC1181" s="353"/>
      <c r="AD1181" s="54"/>
      <c r="AE1181" s="354"/>
      <c r="AF1181" s="355"/>
      <c r="AG1181" s="349"/>
      <c r="AH1181" s="30"/>
      <c r="AI1181" s="30"/>
      <c r="AJ1181" s="30"/>
      <c r="AK1181" s="30"/>
      <c r="AL1181" s="13"/>
      <c r="AM1181" s="13"/>
      <c r="AN1181" s="13"/>
      <c r="AO1181" s="13"/>
      <c r="AP1181" s="13"/>
      <c r="AQ1181" s="14"/>
      <c r="AR1181" s="15"/>
    </row>
    <row r="1182" spans="1:44" s="17" customFormat="1" ht="30.95" hidden="1" customHeight="1" x14ac:dyDescent="0.2">
      <c r="A1182" s="343" t="s">
        <v>1904</v>
      </c>
      <c r="B1182" s="344" t="s">
        <v>1405</v>
      </c>
      <c r="C1182" s="345"/>
      <c r="D1182" s="346"/>
      <c r="E1182" s="346"/>
      <c r="F1182" s="268"/>
      <c r="G1182" s="269"/>
      <c r="H1182" s="269"/>
      <c r="I1182" s="270"/>
      <c r="J1182" s="347" t="s">
        <v>1914</v>
      </c>
      <c r="K1182" s="270"/>
      <c r="L1182" s="270"/>
      <c r="M1182" s="348"/>
      <c r="N1182" s="348"/>
      <c r="O1182" s="349"/>
      <c r="P1182" s="350"/>
      <c r="Q1182" s="276"/>
      <c r="R1182" s="277"/>
      <c r="S1182" s="277"/>
      <c r="T1182" s="351"/>
      <c r="U1182" s="278"/>
      <c r="V1182" s="269"/>
      <c r="W1182" s="269"/>
      <c r="X1182" s="275"/>
      <c r="Y1182" s="269"/>
      <c r="Z1182" s="350"/>
      <c r="AA1182" s="207"/>
      <c r="AB1182" s="352"/>
      <c r="AC1182" s="353"/>
      <c r="AD1182" s="54"/>
      <c r="AE1182" s="354"/>
      <c r="AF1182" s="355"/>
      <c r="AG1182" s="349"/>
      <c r="AH1182" s="30"/>
      <c r="AI1182" s="30"/>
      <c r="AJ1182" s="30"/>
      <c r="AK1182" s="30"/>
      <c r="AL1182" s="13"/>
      <c r="AM1182" s="13"/>
      <c r="AN1182" s="13"/>
      <c r="AO1182" s="13"/>
      <c r="AP1182" s="13"/>
      <c r="AQ1182" s="14"/>
      <c r="AR1182" s="15"/>
    </row>
    <row r="1183" spans="1:44" s="17" customFormat="1" ht="30.95" hidden="1" customHeight="1" x14ac:dyDescent="0.2">
      <c r="A1183" s="343"/>
      <c r="B1183" s="344"/>
      <c r="C1183" s="345"/>
      <c r="D1183" s="346"/>
      <c r="E1183" s="346"/>
      <c r="F1183" s="268"/>
      <c r="G1183" s="269"/>
      <c r="H1183" s="269"/>
      <c r="I1183" s="270"/>
      <c r="J1183" s="347"/>
      <c r="K1183" s="270"/>
      <c r="L1183" s="270"/>
      <c r="M1183" s="348"/>
      <c r="N1183" s="348"/>
      <c r="O1183" s="349"/>
      <c r="P1183" s="350"/>
      <c r="Q1183" s="276"/>
      <c r="R1183" s="277"/>
      <c r="S1183" s="277"/>
      <c r="T1183" s="351"/>
      <c r="U1183" s="278"/>
      <c r="V1183" s="269"/>
      <c r="W1183" s="269"/>
      <c r="X1183" s="275"/>
      <c r="Y1183" s="269"/>
      <c r="Z1183" s="350"/>
      <c r="AA1183" s="207"/>
      <c r="AB1183" s="352"/>
      <c r="AC1183" s="353"/>
      <c r="AD1183" s="54"/>
      <c r="AE1183" s="354"/>
      <c r="AF1183" s="355"/>
      <c r="AG1183" s="349"/>
      <c r="AH1183" s="30"/>
      <c r="AI1183" s="30"/>
      <c r="AJ1183" s="30"/>
      <c r="AK1183" s="30"/>
      <c r="AL1183" s="13"/>
      <c r="AM1183" s="13"/>
      <c r="AN1183" s="13"/>
      <c r="AO1183" s="13"/>
      <c r="AP1183" s="13"/>
      <c r="AQ1183" s="14"/>
      <c r="AR1183" s="15"/>
    </row>
    <row r="1184" spans="1:44" s="17" customFormat="1" ht="30.95" hidden="1" customHeight="1" x14ac:dyDescent="0.2">
      <c r="A1184" s="343" t="s">
        <v>1905</v>
      </c>
      <c r="B1184" s="344" t="s">
        <v>1412</v>
      </c>
      <c r="C1184" s="345"/>
      <c r="D1184" s="346"/>
      <c r="E1184" s="346"/>
      <c r="F1184" s="268"/>
      <c r="G1184" s="269"/>
      <c r="H1184" s="269"/>
      <c r="I1184" s="270"/>
      <c r="J1184" s="347" t="s">
        <v>1914</v>
      </c>
      <c r="K1184" s="270"/>
      <c r="L1184" s="270"/>
      <c r="M1184" s="348"/>
      <c r="N1184" s="348"/>
      <c r="O1184" s="349"/>
      <c r="P1184" s="350"/>
      <c r="Q1184" s="276"/>
      <c r="R1184" s="277"/>
      <c r="S1184" s="277"/>
      <c r="T1184" s="351"/>
      <c r="U1184" s="278"/>
      <c r="V1184" s="269"/>
      <c r="W1184" s="269"/>
      <c r="X1184" s="275"/>
      <c r="Y1184" s="269"/>
      <c r="Z1184" s="350"/>
      <c r="AA1184" s="207"/>
      <c r="AB1184" s="352"/>
      <c r="AC1184" s="353"/>
      <c r="AD1184" s="54"/>
      <c r="AE1184" s="354"/>
      <c r="AF1184" s="355"/>
      <c r="AG1184" s="349"/>
      <c r="AH1184" s="30"/>
      <c r="AI1184" s="30"/>
      <c r="AJ1184" s="30"/>
      <c r="AK1184" s="30"/>
      <c r="AL1184" s="13"/>
      <c r="AM1184" s="13"/>
      <c r="AN1184" s="13"/>
      <c r="AO1184" s="13"/>
      <c r="AP1184" s="13"/>
      <c r="AQ1184" s="14"/>
      <c r="AR1184" s="15"/>
    </row>
    <row r="1185" spans="1:44" s="17" customFormat="1" ht="30.95" hidden="1" customHeight="1" x14ac:dyDescent="0.2">
      <c r="A1185" s="343"/>
      <c r="B1185" s="344"/>
      <c r="C1185" s="345"/>
      <c r="D1185" s="346"/>
      <c r="E1185" s="346"/>
      <c r="F1185" s="268"/>
      <c r="G1185" s="269"/>
      <c r="H1185" s="269"/>
      <c r="I1185" s="270"/>
      <c r="J1185" s="347"/>
      <c r="K1185" s="270"/>
      <c r="L1185" s="270"/>
      <c r="M1185" s="348"/>
      <c r="N1185" s="348"/>
      <c r="O1185" s="349"/>
      <c r="P1185" s="350"/>
      <c r="Q1185" s="276"/>
      <c r="R1185" s="277"/>
      <c r="S1185" s="277"/>
      <c r="T1185" s="351"/>
      <c r="U1185" s="278"/>
      <c r="V1185" s="269"/>
      <c r="W1185" s="269"/>
      <c r="X1185" s="275"/>
      <c r="Y1185" s="269"/>
      <c r="Z1185" s="350"/>
      <c r="AA1185" s="207"/>
      <c r="AB1185" s="352"/>
      <c r="AC1185" s="353"/>
      <c r="AD1185" s="54"/>
      <c r="AE1185" s="354"/>
      <c r="AF1185" s="355"/>
      <c r="AG1185" s="349"/>
      <c r="AH1185" s="30"/>
      <c r="AI1185" s="30"/>
      <c r="AJ1185" s="30"/>
      <c r="AK1185" s="30"/>
      <c r="AL1185" s="13"/>
      <c r="AM1185" s="13"/>
      <c r="AN1185" s="13"/>
      <c r="AO1185" s="13"/>
      <c r="AP1185" s="13"/>
      <c r="AQ1185" s="14"/>
      <c r="AR1185" s="15"/>
    </row>
    <row r="1186" spans="1:44" s="17" customFormat="1" ht="30.95" hidden="1" customHeight="1" x14ac:dyDescent="0.2">
      <c r="A1186" s="343" t="s">
        <v>1906</v>
      </c>
      <c r="B1186" s="344" t="s">
        <v>1408</v>
      </c>
      <c r="C1186" s="345"/>
      <c r="D1186" s="346"/>
      <c r="E1186" s="346"/>
      <c r="F1186" s="268"/>
      <c r="G1186" s="269"/>
      <c r="H1186" s="269"/>
      <c r="I1186" s="270"/>
      <c r="J1186" s="347" t="s">
        <v>1914</v>
      </c>
      <c r="K1186" s="270"/>
      <c r="L1186" s="270"/>
      <c r="M1186" s="348"/>
      <c r="N1186" s="348"/>
      <c r="O1186" s="349"/>
      <c r="P1186" s="350"/>
      <c r="Q1186" s="276"/>
      <c r="R1186" s="277"/>
      <c r="S1186" s="277"/>
      <c r="T1186" s="351"/>
      <c r="U1186" s="278"/>
      <c r="V1186" s="269"/>
      <c r="W1186" s="269"/>
      <c r="X1186" s="275"/>
      <c r="Y1186" s="269"/>
      <c r="Z1186" s="350"/>
      <c r="AA1186" s="207"/>
      <c r="AB1186" s="352"/>
      <c r="AC1186" s="353"/>
      <c r="AD1186" s="54"/>
      <c r="AE1186" s="354"/>
      <c r="AF1186" s="355"/>
      <c r="AG1186" s="349"/>
      <c r="AH1186" s="30"/>
      <c r="AI1186" s="30"/>
      <c r="AJ1186" s="30"/>
      <c r="AK1186" s="30"/>
      <c r="AL1186" s="13"/>
      <c r="AM1186" s="13"/>
      <c r="AN1186" s="13"/>
      <c r="AO1186" s="13"/>
      <c r="AP1186" s="13"/>
      <c r="AQ1186" s="14"/>
      <c r="AR1186" s="15"/>
    </row>
    <row r="1187" spans="1:44" s="17" customFormat="1" ht="30.95" hidden="1" customHeight="1" x14ac:dyDescent="0.2">
      <c r="A1187" s="343"/>
      <c r="B1187" s="344"/>
      <c r="C1187" s="345"/>
      <c r="D1187" s="346"/>
      <c r="E1187" s="346"/>
      <c r="F1187" s="268"/>
      <c r="G1187" s="269"/>
      <c r="H1187" s="269"/>
      <c r="I1187" s="270"/>
      <c r="J1187" s="347"/>
      <c r="K1187" s="270"/>
      <c r="L1187" s="270"/>
      <c r="M1187" s="348"/>
      <c r="N1187" s="348"/>
      <c r="O1187" s="349"/>
      <c r="P1187" s="350"/>
      <c r="Q1187" s="276"/>
      <c r="R1187" s="277"/>
      <c r="S1187" s="277"/>
      <c r="T1187" s="351"/>
      <c r="U1187" s="278"/>
      <c r="V1187" s="269"/>
      <c r="W1187" s="269"/>
      <c r="X1187" s="275"/>
      <c r="Y1187" s="269"/>
      <c r="Z1187" s="350"/>
      <c r="AA1187" s="207"/>
      <c r="AB1187" s="352"/>
      <c r="AC1187" s="353"/>
      <c r="AD1187" s="54"/>
      <c r="AE1187" s="354"/>
      <c r="AF1187" s="355"/>
      <c r="AG1187" s="349"/>
      <c r="AH1187" s="30"/>
      <c r="AI1187" s="30"/>
      <c r="AJ1187" s="30"/>
      <c r="AK1187" s="30"/>
      <c r="AL1187" s="13"/>
      <c r="AM1187" s="13"/>
      <c r="AN1187" s="13"/>
      <c r="AO1187" s="13"/>
      <c r="AP1187" s="13"/>
      <c r="AQ1187" s="14"/>
      <c r="AR1187" s="15"/>
    </row>
    <row r="1188" spans="1:44" s="17" customFormat="1" ht="30.95" hidden="1" customHeight="1" x14ac:dyDescent="0.2">
      <c r="A1188" s="343" t="s">
        <v>1907</v>
      </c>
      <c r="B1188" s="344" t="s">
        <v>1409</v>
      </c>
      <c r="C1188" s="345"/>
      <c r="D1188" s="346"/>
      <c r="E1188" s="346"/>
      <c r="F1188" s="268"/>
      <c r="G1188" s="269"/>
      <c r="H1188" s="269"/>
      <c r="I1188" s="270"/>
      <c r="J1188" s="347" t="s">
        <v>1914</v>
      </c>
      <c r="K1188" s="270"/>
      <c r="L1188" s="270"/>
      <c r="M1188" s="348"/>
      <c r="N1188" s="348"/>
      <c r="O1188" s="349"/>
      <c r="P1188" s="350"/>
      <c r="Q1188" s="276"/>
      <c r="R1188" s="277"/>
      <c r="S1188" s="277"/>
      <c r="T1188" s="351"/>
      <c r="U1188" s="278"/>
      <c r="V1188" s="269"/>
      <c r="W1188" s="269"/>
      <c r="X1188" s="275"/>
      <c r="Y1188" s="269"/>
      <c r="Z1188" s="350"/>
      <c r="AA1188" s="207"/>
      <c r="AB1188" s="352"/>
      <c r="AC1188" s="353"/>
      <c r="AD1188" s="54"/>
      <c r="AE1188" s="354"/>
      <c r="AF1188" s="355"/>
      <c r="AG1188" s="349"/>
      <c r="AH1188" s="30"/>
      <c r="AI1188" s="30"/>
      <c r="AJ1188" s="30"/>
      <c r="AK1188" s="30"/>
      <c r="AL1188" s="13"/>
      <c r="AM1188" s="13"/>
      <c r="AN1188" s="13"/>
      <c r="AO1188" s="13"/>
      <c r="AP1188" s="13"/>
      <c r="AQ1188" s="14"/>
      <c r="AR1188" s="15"/>
    </row>
    <row r="1189" spans="1:44" s="17" customFormat="1" ht="30.95" hidden="1" customHeight="1" x14ac:dyDescent="0.2">
      <c r="A1189" s="343"/>
      <c r="B1189" s="344"/>
      <c r="C1189" s="345"/>
      <c r="D1189" s="346"/>
      <c r="E1189" s="346"/>
      <c r="F1189" s="268"/>
      <c r="G1189" s="269"/>
      <c r="H1189" s="269"/>
      <c r="I1189" s="270"/>
      <c r="J1189" s="347"/>
      <c r="K1189" s="270"/>
      <c r="L1189" s="270"/>
      <c r="M1189" s="348"/>
      <c r="N1189" s="348"/>
      <c r="O1189" s="349"/>
      <c r="P1189" s="350"/>
      <c r="Q1189" s="276"/>
      <c r="R1189" s="277"/>
      <c r="S1189" s="277"/>
      <c r="T1189" s="351"/>
      <c r="U1189" s="278"/>
      <c r="V1189" s="269"/>
      <c r="W1189" s="269"/>
      <c r="X1189" s="275"/>
      <c r="Y1189" s="269"/>
      <c r="Z1189" s="350"/>
      <c r="AA1189" s="207"/>
      <c r="AB1189" s="352"/>
      <c r="AC1189" s="353"/>
      <c r="AD1189" s="54"/>
      <c r="AE1189" s="354"/>
      <c r="AF1189" s="355"/>
      <c r="AG1189" s="349"/>
      <c r="AH1189" s="30"/>
      <c r="AI1189" s="30"/>
      <c r="AJ1189" s="30"/>
      <c r="AK1189" s="30"/>
      <c r="AL1189" s="13"/>
      <c r="AM1189" s="13"/>
      <c r="AN1189" s="13"/>
      <c r="AO1189" s="13"/>
      <c r="AP1189" s="13"/>
      <c r="AQ1189" s="14"/>
      <c r="AR1189" s="15"/>
    </row>
    <row r="1190" spans="1:44" s="17" customFormat="1" ht="30.95" hidden="1" customHeight="1" x14ac:dyDescent="0.2">
      <c r="A1190" s="343" t="s">
        <v>1908</v>
      </c>
      <c r="B1190" s="344" t="s">
        <v>1397</v>
      </c>
      <c r="C1190" s="345"/>
      <c r="D1190" s="346"/>
      <c r="E1190" s="346"/>
      <c r="F1190" s="268"/>
      <c r="G1190" s="269"/>
      <c r="H1190" s="269"/>
      <c r="I1190" s="270"/>
      <c r="J1190" s="347" t="s">
        <v>448</v>
      </c>
      <c r="K1190" s="270"/>
      <c r="L1190" s="270"/>
      <c r="M1190" s="348"/>
      <c r="N1190" s="348"/>
      <c r="O1190" s="349"/>
      <c r="P1190" s="350"/>
      <c r="Q1190" s="276"/>
      <c r="R1190" s="277"/>
      <c r="S1190" s="277"/>
      <c r="T1190" s="351"/>
      <c r="U1190" s="278"/>
      <c r="V1190" s="269"/>
      <c r="W1190" s="269"/>
      <c r="X1190" s="275"/>
      <c r="Y1190" s="269"/>
      <c r="Z1190" s="350"/>
      <c r="AA1190" s="207"/>
      <c r="AB1190" s="352"/>
      <c r="AC1190" s="353"/>
      <c r="AD1190" s="54"/>
      <c r="AE1190" s="354"/>
      <c r="AF1190" s="355"/>
      <c r="AG1190" s="349"/>
      <c r="AH1190" s="30"/>
      <c r="AI1190" s="30"/>
      <c r="AJ1190" s="30"/>
      <c r="AK1190" s="30"/>
      <c r="AL1190" s="13"/>
      <c r="AM1190" s="13"/>
      <c r="AN1190" s="13"/>
      <c r="AO1190" s="13"/>
      <c r="AP1190" s="13"/>
      <c r="AQ1190" s="14"/>
      <c r="AR1190" s="15"/>
    </row>
    <row r="1191" spans="1:44" s="17" customFormat="1" ht="30.95" hidden="1" customHeight="1" x14ac:dyDescent="0.2">
      <c r="A1191" s="343"/>
      <c r="B1191" s="344"/>
      <c r="C1191" s="345"/>
      <c r="D1191" s="346"/>
      <c r="E1191" s="346"/>
      <c r="F1191" s="268"/>
      <c r="G1191" s="269"/>
      <c r="H1191" s="269"/>
      <c r="I1191" s="270"/>
      <c r="J1191" s="347"/>
      <c r="K1191" s="270"/>
      <c r="L1191" s="270"/>
      <c r="M1191" s="348"/>
      <c r="N1191" s="348"/>
      <c r="O1191" s="349"/>
      <c r="P1191" s="350"/>
      <c r="Q1191" s="276"/>
      <c r="R1191" s="277"/>
      <c r="S1191" s="277"/>
      <c r="T1191" s="351"/>
      <c r="U1191" s="278"/>
      <c r="V1191" s="269"/>
      <c r="W1191" s="269"/>
      <c r="X1191" s="275"/>
      <c r="Y1191" s="269"/>
      <c r="Z1191" s="350"/>
      <c r="AA1191" s="207"/>
      <c r="AB1191" s="352"/>
      <c r="AC1191" s="353"/>
      <c r="AD1191" s="54"/>
      <c r="AE1191" s="354"/>
      <c r="AF1191" s="355"/>
      <c r="AG1191" s="349"/>
      <c r="AH1191" s="30"/>
      <c r="AI1191" s="30"/>
      <c r="AJ1191" s="30"/>
      <c r="AK1191" s="30"/>
      <c r="AL1191" s="13"/>
      <c r="AM1191" s="13"/>
      <c r="AN1191" s="13"/>
      <c r="AO1191" s="13"/>
      <c r="AP1191" s="13"/>
      <c r="AQ1191" s="14"/>
      <c r="AR1191" s="15"/>
    </row>
    <row r="1192" spans="1:44" s="17" customFormat="1" ht="30.95" hidden="1" customHeight="1" x14ac:dyDescent="0.2">
      <c r="A1192" s="343" t="s">
        <v>1909</v>
      </c>
      <c r="B1192" s="344" t="s">
        <v>392</v>
      </c>
      <c r="C1192" s="345"/>
      <c r="D1192" s="346"/>
      <c r="E1192" s="346"/>
      <c r="F1192" s="268"/>
      <c r="G1192" s="269"/>
      <c r="H1192" s="269"/>
      <c r="I1192" s="270"/>
      <c r="J1192" s="347" t="s">
        <v>448</v>
      </c>
      <c r="K1192" s="270"/>
      <c r="L1192" s="270"/>
      <c r="M1192" s="348"/>
      <c r="N1192" s="348"/>
      <c r="O1192" s="349"/>
      <c r="P1192" s="350"/>
      <c r="Q1192" s="276"/>
      <c r="R1192" s="277"/>
      <c r="S1192" s="277"/>
      <c r="T1192" s="351"/>
      <c r="U1192" s="278"/>
      <c r="V1192" s="269"/>
      <c r="W1192" s="269"/>
      <c r="X1192" s="275"/>
      <c r="Y1192" s="269"/>
      <c r="Z1192" s="350"/>
      <c r="AA1192" s="207"/>
      <c r="AB1192" s="352"/>
      <c r="AC1192" s="353"/>
      <c r="AD1192" s="54"/>
      <c r="AE1192" s="354"/>
      <c r="AF1192" s="355"/>
      <c r="AG1192" s="349"/>
      <c r="AH1192" s="30"/>
      <c r="AI1192" s="30"/>
      <c r="AJ1192" s="30"/>
      <c r="AK1192" s="30"/>
      <c r="AL1192" s="13"/>
      <c r="AM1192" s="13"/>
      <c r="AN1192" s="13"/>
      <c r="AO1192" s="13"/>
      <c r="AP1192" s="13"/>
      <c r="AQ1192" s="14"/>
      <c r="AR1192" s="15"/>
    </row>
    <row r="1193" spans="1:44" s="17" customFormat="1" ht="30.95" hidden="1" customHeight="1" x14ac:dyDescent="0.2">
      <c r="A1193" s="343"/>
      <c r="B1193" s="344"/>
      <c r="C1193" s="345"/>
      <c r="D1193" s="346"/>
      <c r="E1193" s="346"/>
      <c r="F1193" s="268"/>
      <c r="G1193" s="269"/>
      <c r="H1193" s="269"/>
      <c r="I1193" s="270"/>
      <c r="J1193" s="347"/>
      <c r="K1193" s="270"/>
      <c r="L1193" s="270"/>
      <c r="M1193" s="348"/>
      <c r="N1193" s="348"/>
      <c r="O1193" s="349"/>
      <c r="P1193" s="350"/>
      <c r="Q1193" s="276"/>
      <c r="R1193" s="277"/>
      <c r="S1193" s="277"/>
      <c r="T1193" s="351"/>
      <c r="U1193" s="278"/>
      <c r="V1193" s="269"/>
      <c r="W1193" s="269"/>
      <c r="X1193" s="275"/>
      <c r="Y1193" s="269"/>
      <c r="Z1193" s="350"/>
      <c r="AA1193" s="207"/>
      <c r="AB1193" s="352"/>
      <c r="AC1193" s="353"/>
      <c r="AD1193" s="54"/>
      <c r="AE1193" s="354"/>
      <c r="AF1193" s="355"/>
      <c r="AG1193" s="349"/>
      <c r="AH1193" s="30"/>
      <c r="AI1193" s="30"/>
      <c r="AJ1193" s="30"/>
      <c r="AK1193" s="30"/>
      <c r="AL1193" s="13"/>
      <c r="AM1193" s="13"/>
      <c r="AN1193" s="13"/>
      <c r="AO1193" s="13"/>
      <c r="AP1193" s="13"/>
      <c r="AQ1193" s="14"/>
      <c r="AR1193" s="15"/>
    </row>
    <row r="1194" spans="1:44" s="233" customFormat="1" ht="30.95" hidden="1" customHeight="1" x14ac:dyDescent="0.2">
      <c r="A1194" s="399"/>
      <c r="B1194" s="400"/>
      <c r="C1194" s="401"/>
      <c r="D1194" s="402"/>
      <c r="E1194" s="402"/>
      <c r="F1194" s="281"/>
      <c r="G1194" s="282"/>
      <c r="H1194" s="282"/>
      <c r="I1194" s="283"/>
      <c r="J1194" s="403"/>
      <c r="K1194" s="283"/>
      <c r="L1194" s="283"/>
      <c r="M1194" s="404"/>
      <c r="N1194" s="404"/>
      <c r="O1194" s="405"/>
      <c r="P1194" s="356"/>
      <c r="Q1194" s="284"/>
      <c r="R1194" s="285"/>
      <c r="S1194" s="285"/>
      <c r="T1194" s="406"/>
      <c r="U1194" s="286"/>
      <c r="V1194" s="282"/>
      <c r="W1194" s="282"/>
      <c r="X1194" s="287"/>
      <c r="Y1194" s="282"/>
      <c r="Z1194" s="356"/>
      <c r="AA1194" s="288"/>
      <c r="AB1194" s="407"/>
      <c r="AC1194" s="408"/>
      <c r="AD1194" s="227"/>
      <c r="AE1194" s="409"/>
      <c r="AF1194" s="410"/>
      <c r="AG1194" s="411">
        <f>SUM(AG1124:AG1192)</f>
        <v>79833.600000000006</v>
      </c>
      <c r="AH1194" s="229"/>
      <c r="AI1194" s="229"/>
      <c r="AJ1194" s="229"/>
      <c r="AK1194" s="229"/>
      <c r="AL1194" s="230"/>
      <c r="AM1194" s="230"/>
      <c r="AN1194" s="230"/>
      <c r="AO1194" s="230"/>
      <c r="AP1194" s="230"/>
      <c r="AQ1194" s="231"/>
      <c r="AR1194" s="232"/>
    </row>
    <row r="1195" spans="1:44" s="17" customFormat="1" ht="30.95" hidden="1" customHeight="1" x14ac:dyDescent="0.2">
      <c r="A1195" s="343"/>
      <c r="B1195" s="344"/>
      <c r="C1195" s="345"/>
      <c r="D1195" s="346"/>
      <c r="E1195" s="346"/>
      <c r="F1195" s="268"/>
      <c r="G1195" s="269"/>
      <c r="H1195" s="269"/>
      <c r="I1195" s="270"/>
      <c r="J1195" s="347"/>
      <c r="K1195" s="270"/>
      <c r="L1195" s="270"/>
      <c r="M1195" s="348"/>
      <c r="N1195" s="348"/>
      <c r="O1195" s="349"/>
      <c r="P1195" s="350"/>
      <c r="Q1195" s="276"/>
      <c r="R1195" s="277"/>
      <c r="S1195" s="277"/>
      <c r="T1195" s="351"/>
      <c r="U1195" s="278"/>
      <c r="V1195" s="269"/>
      <c r="W1195" s="269"/>
      <c r="X1195" s="275"/>
      <c r="Y1195" s="269"/>
      <c r="Z1195" s="350"/>
      <c r="AA1195" s="207"/>
      <c r="AB1195" s="352"/>
      <c r="AC1195" s="353"/>
      <c r="AD1195" s="54"/>
      <c r="AE1195" s="354"/>
      <c r="AF1195" s="355"/>
      <c r="AG1195" s="349"/>
      <c r="AH1195" s="30"/>
      <c r="AI1195" s="30"/>
      <c r="AJ1195" s="30"/>
      <c r="AK1195" s="30"/>
      <c r="AL1195" s="13"/>
      <c r="AM1195" s="13"/>
      <c r="AN1195" s="13"/>
      <c r="AO1195" s="13"/>
      <c r="AP1195" s="13"/>
      <c r="AQ1195" s="14"/>
      <c r="AR1195" s="15"/>
    </row>
    <row r="1196" spans="1:44" s="17" customFormat="1" ht="30.95" hidden="1" customHeight="1" x14ac:dyDescent="0.2">
      <c r="A1196" s="343" t="s">
        <v>1910</v>
      </c>
      <c r="B1196" s="344" t="s">
        <v>1402</v>
      </c>
      <c r="C1196" s="345"/>
      <c r="D1196" s="346"/>
      <c r="E1196" s="346"/>
      <c r="F1196" s="268"/>
      <c r="G1196" s="269"/>
      <c r="H1196" s="269"/>
      <c r="I1196" s="270"/>
      <c r="J1196" s="347" t="s">
        <v>1914</v>
      </c>
      <c r="K1196" s="270"/>
      <c r="L1196" s="270"/>
      <c r="M1196" s="348"/>
      <c r="N1196" s="348"/>
      <c r="O1196" s="349"/>
      <c r="P1196" s="350"/>
      <c r="Q1196" s="276"/>
      <c r="R1196" s="277"/>
      <c r="S1196" s="277"/>
      <c r="T1196" s="351"/>
      <c r="U1196" s="278"/>
      <c r="V1196" s="269"/>
      <c r="W1196" s="269"/>
      <c r="X1196" s="275"/>
      <c r="Y1196" s="269"/>
      <c r="Z1196" s="350"/>
      <c r="AA1196" s="207"/>
      <c r="AB1196" s="352"/>
      <c r="AC1196" s="353"/>
      <c r="AD1196" s="54"/>
      <c r="AE1196" s="354"/>
      <c r="AF1196" s="355"/>
      <c r="AG1196" s="349"/>
      <c r="AH1196" s="30"/>
      <c r="AI1196" s="30"/>
      <c r="AJ1196" s="30"/>
      <c r="AK1196" s="30"/>
      <c r="AL1196" s="13"/>
      <c r="AM1196" s="13"/>
      <c r="AN1196" s="13"/>
      <c r="AO1196" s="13"/>
      <c r="AP1196" s="13"/>
      <c r="AQ1196" s="14"/>
      <c r="AR1196" s="15"/>
    </row>
    <row r="1197" spans="1:44" s="17" customFormat="1" ht="30.95" hidden="1" customHeight="1" x14ac:dyDescent="0.2">
      <c r="A1197" s="343"/>
      <c r="B1197" s="344"/>
      <c r="C1197" s="345"/>
      <c r="D1197" s="346"/>
      <c r="E1197" s="346"/>
      <c r="F1197" s="268"/>
      <c r="G1197" s="269"/>
      <c r="H1197" s="269"/>
      <c r="I1197" s="270"/>
      <c r="J1197" s="347"/>
      <c r="K1197" s="270"/>
      <c r="L1197" s="270"/>
      <c r="M1197" s="348"/>
      <c r="N1197" s="348"/>
      <c r="O1197" s="349"/>
      <c r="P1197" s="350"/>
      <c r="Q1197" s="276"/>
      <c r="R1197" s="277"/>
      <c r="S1197" s="277"/>
      <c r="T1197" s="351"/>
      <c r="U1197" s="278"/>
      <c r="V1197" s="269"/>
      <c r="W1197" s="269"/>
      <c r="X1197" s="275"/>
      <c r="Y1197" s="269"/>
      <c r="Z1197" s="350"/>
      <c r="AA1197" s="207"/>
      <c r="AB1197" s="352"/>
      <c r="AC1197" s="353"/>
      <c r="AD1197" s="54"/>
      <c r="AE1197" s="354"/>
      <c r="AF1197" s="355"/>
      <c r="AG1197" s="349"/>
      <c r="AH1197" s="30"/>
      <c r="AI1197" s="30"/>
      <c r="AJ1197" s="30"/>
      <c r="AK1197" s="30"/>
      <c r="AL1197" s="13"/>
      <c r="AM1197" s="13"/>
      <c r="AN1197" s="13"/>
      <c r="AO1197" s="13"/>
      <c r="AP1197" s="13"/>
      <c r="AQ1197" s="14"/>
      <c r="AR1197" s="15"/>
    </row>
    <row r="1198" spans="1:44" s="17" customFormat="1" ht="30.95" hidden="1" customHeight="1" x14ac:dyDescent="0.2">
      <c r="A1198" s="343" t="s">
        <v>1911</v>
      </c>
      <c r="B1198" s="344" t="s">
        <v>1405</v>
      </c>
      <c r="C1198" s="345"/>
      <c r="D1198" s="346"/>
      <c r="E1198" s="346"/>
      <c r="F1198" s="268"/>
      <c r="G1198" s="269"/>
      <c r="H1198" s="269"/>
      <c r="I1198" s="270"/>
      <c r="J1198" s="347" t="s">
        <v>1914</v>
      </c>
      <c r="K1198" s="270"/>
      <c r="L1198" s="270"/>
      <c r="M1198" s="348"/>
      <c r="N1198" s="348"/>
      <c r="O1198" s="349"/>
      <c r="P1198" s="350"/>
      <c r="Q1198" s="276"/>
      <c r="R1198" s="277"/>
      <c r="S1198" s="277"/>
      <c r="T1198" s="351"/>
      <c r="U1198" s="278"/>
      <c r="V1198" s="269"/>
      <c r="W1198" s="269"/>
      <c r="X1198" s="275"/>
      <c r="Y1198" s="269"/>
      <c r="Z1198" s="350"/>
      <c r="AA1198" s="207"/>
      <c r="AB1198" s="352"/>
      <c r="AC1198" s="353"/>
      <c r="AD1198" s="54"/>
      <c r="AE1198" s="354"/>
      <c r="AF1198" s="355"/>
      <c r="AG1198" s="349"/>
      <c r="AH1198" s="30"/>
      <c r="AI1198" s="30"/>
      <c r="AJ1198" s="30"/>
      <c r="AK1198" s="30"/>
      <c r="AL1198" s="13"/>
      <c r="AM1198" s="13"/>
      <c r="AN1198" s="13"/>
      <c r="AO1198" s="13"/>
      <c r="AP1198" s="13"/>
      <c r="AQ1198" s="14"/>
      <c r="AR1198" s="15"/>
    </row>
    <row r="1199" spans="1:44" s="17" customFormat="1" ht="30.95" hidden="1" customHeight="1" x14ac:dyDescent="0.2">
      <c r="A1199" s="343"/>
      <c r="B1199" s="344"/>
      <c r="C1199" s="345"/>
      <c r="D1199" s="346"/>
      <c r="E1199" s="346"/>
      <c r="F1199" s="268"/>
      <c r="G1199" s="269"/>
      <c r="H1199" s="269"/>
      <c r="I1199" s="270"/>
      <c r="J1199" s="347"/>
      <c r="K1199" s="270"/>
      <c r="L1199" s="270"/>
      <c r="M1199" s="348"/>
      <c r="N1199" s="348"/>
      <c r="O1199" s="349"/>
      <c r="P1199" s="350"/>
      <c r="Q1199" s="276"/>
      <c r="R1199" s="277"/>
      <c r="S1199" s="277"/>
      <c r="T1199" s="351"/>
      <c r="U1199" s="278"/>
      <c r="V1199" s="269"/>
      <c r="W1199" s="269"/>
      <c r="X1199" s="275"/>
      <c r="Y1199" s="269"/>
      <c r="Z1199" s="350"/>
      <c r="AA1199" s="207"/>
      <c r="AB1199" s="352"/>
      <c r="AC1199" s="353"/>
      <c r="AD1199" s="54"/>
      <c r="AE1199" s="354"/>
      <c r="AF1199" s="355"/>
      <c r="AG1199" s="349"/>
      <c r="AH1199" s="30"/>
      <c r="AI1199" s="30"/>
      <c r="AJ1199" s="30"/>
      <c r="AK1199" s="30"/>
      <c r="AL1199" s="13"/>
      <c r="AM1199" s="13"/>
      <c r="AN1199" s="13"/>
      <c r="AO1199" s="13"/>
      <c r="AP1199" s="13"/>
      <c r="AQ1199" s="14"/>
      <c r="AR1199" s="15"/>
    </row>
    <row r="1200" spans="1:44" s="17" customFormat="1" ht="30.95" hidden="1" customHeight="1" x14ac:dyDescent="0.2">
      <c r="A1200" s="343" t="s">
        <v>1912</v>
      </c>
      <c r="B1200" s="344" t="s">
        <v>1412</v>
      </c>
      <c r="C1200" s="345"/>
      <c r="D1200" s="346"/>
      <c r="E1200" s="346"/>
      <c r="F1200" s="268"/>
      <c r="G1200" s="269"/>
      <c r="H1200" s="269"/>
      <c r="I1200" s="270"/>
      <c r="J1200" s="347" t="s">
        <v>1914</v>
      </c>
      <c r="K1200" s="270"/>
      <c r="L1200" s="270"/>
      <c r="M1200" s="348"/>
      <c r="N1200" s="348"/>
      <c r="O1200" s="349"/>
      <c r="P1200" s="350"/>
      <c r="Q1200" s="276"/>
      <c r="R1200" s="277"/>
      <c r="S1200" s="277"/>
      <c r="T1200" s="351"/>
      <c r="U1200" s="278"/>
      <c r="V1200" s="269"/>
      <c r="W1200" s="269"/>
      <c r="X1200" s="275"/>
      <c r="Y1200" s="269"/>
      <c r="Z1200" s="350"/>
      <c r="AA1200" s="207"/>
      <c r="AB1200" s="352"/>
      <c r="AC1200" s="353"/>
      <c r="AD1200" s="54"/>
      <c r="AE1200" s="354"/>
      <c r="AF1200" s="355"/>
      <c r="AG1200" s="349"/>
      <c r="AH1200" s="30"/>
      <c r="AI1200" s="30"/>
      <c r="AJ1200" s="30"/>
      <c r="AK1200" s="30"/>
      <c r="AL1200" s="13"/>
      <c r="AM1200" s="13"/>
      <c r="AN1200" s="13"/>
      <c r="AO1200" s="13"/>
      <c r="AP1200" s="13"/>
      <c r="AQ1200" s="14"/>
      <c r="AR1200" s="15"/>
    </row>
    <row r="1201" spans="1:44" s="17" customFormat="1" ht="30.95" hidden="1" customHeight="1" x14ac:dyDescent="0.2">
      <c r="A1201" s="343"/>
      <c r="B1201" s="344"/>
      <c r="C1201" s="345"/>
      <c r="D1201" s="346"/>
      <c r="E1201" s="346"/>
      <c r="F1201" s="268"/>
      <c r="G1201" s="269"/>
      <c r="H1201" s="269"/>
      <c r="I1201" s="270"/>
      <c r="J1201" s="347"/>
      <c r="K1201" s="270"/>
      <c r="L1201" s="270"/>
      <c r="M1201" s="348"/>
      <c r="N1201" s="348"/>
      <c r="O1201" s="349"/>
      <c r="P1201" s="350"/>
      <c r="Q1201" s="276"/>
      <c r="R1201" s="277"/>
      <c r="S1201" s="277"/>
      <c r="T1201" s="351"/>
      <c r="U1201" s="278"/>
      <c r="V1201" s="269"/>
      <c r="W1201" s="269"/>
      <c r="X1201" s="275"/>
      <c r="Y1201" s="269"/>
      <c r="Z1201" s="350"/>
      <c r="AA1201" s="207"/>
      <c r="AB1201" s="352"/>
      <c r="AC1201" s="353"/>
      <c r="AD1201" s="54"/>
      <c r="AE1201" s="354"/>
      <c r="AF1201" s="355"/>
      <c r="AG1201" s="349"/>
      <c r="AH1201" s="30"/>
      <c r="AI1201" s="30"/>
      <c r="AJ1201" s="30"/>
      <c r="AK1201" s="30"/>
      <c r="AL1201" s="13"/>
      <c r="AM1201" s="13"/>
      <c r="AN1201" s="13"/>
      <c r="AO1201" s="13"/>
      <c r="AP1201" s="13"/>
      <c r="AQ1201" s="14"/>
      <c r="AR1201" s="15"/>
    </row>
    <row r="1202" spans="1:44" s="17" customFormat="1" ht="30.95" hidden="1" customHeight="1" x14ac:dyDescent="0.2">
      <c r="A1202" s="343" t="s">
        <v>1913</v>
      </c>
      <c r="B1202" s="344" t="s">
        <v>1408</v>
      </c>
      <c r="C1202" s="345"/>
      <c r="D1202" s="346"/>
      <c r="E1202" s="346"/>
      <c r="F1202" s="268"/>
      <c r="G1202" s="269"/>
      <c r="H1202" s="269"/>
      <c r="I1202" s="270"/>
      <c r="J1202" s="347" t="s">
        <v>1914</v>
      </c>
      <c r="K1202" s="270"/>
      <c r="L1202" s="270"/>
      <c r="M1202" s="348"/>
      <c r="N1202" s="348"/>
      <c r="O1202" s="349"/>
      <c r="P1202" s="350"/>
      <c r="Q1202" s="276"/>
      <c r="R1202" s="277"/>
      <c r="S1202" s="277"/>
      <c r="T1202" s="351"/>
      <c r="U1202" s="278"/>
      <c r="V1202" s="269"/>
      <c r="W1202" s="269"/>
      <c r="X1202" s="275"/>
      <c r="Y1202" s="269"/>
      <c r="Z1202" s="350"/>
      <c r="AA1202" s="207"/>
      <c r="AB1202" s="352"/>
      <c r="AC1202" s="353"/>
      <c r="AD1202" s="54"/>
      <c r="AE1202" s="354"/>
      <c r="AF1202" s="355"/>
      <c r="AG1202" s="349"/>
      <c r="AH1202" s="30"/>
      <c r="AI1202" s="30"/>
      <c r="AJ1202" s="30"/>
      <c r="AK1202" s="30"/>
      <c r="AL1202" s="13"/>
      <c r="AM1202" s="13"/>
      <c r="AN1202" s="13"/>
      <c r="AO1202" s="13"/>
      <c r="AP1202" s="13"/>
      <c r="AQ1202" s="14"/>
      <c r="AR1202" s="15"/>
    </row>
    <row r="1203" spans="1:44" s="17" customFormat="1" ht="30.95" hidden="1" customHeight="1" x14ac:dyDescent="0.2">
      <c r="A1203" s="343"/>
      <c r="B1203" s="344"/>
      <c r="C1203" s="345"/>
      <c r="D1203" s="346"/>
      <c r="E1203" s="346"/>
      <c r="F1203" s="268"/>
      <c r="G1203" s="269"/>
      <c r="H1203" s="269"/>
      <c r="I1203" s="270"/>
      <c r="J1203" s="347"/>
      <c r="K1203" s="270"/>
      <c r="L1203" s="270"/>
      <c r="M1203" s="348"/>
      <c r="N1203" s="348"/>
      <c r="O1203" s="349"/>
      <c r="P1203" s="350"/>
      <c r="Q1203" s="276"/>
      <c r="R1203" s="277"/>
      <c r="S1203" s="277"/>
      <c r="T1203" s="351"/>
      <c r="U1203" s="278"/>
      <c r="V1203" s="269"/>
      <c r="W1203" s="269"/>
      <c r="X1203" s="275"/>
      <c r="Y1203" s="269"/>
      <c r="Z1203" s="350"/>
      <c r="AA1203" s="207"/>
      <c r="AB1203" s="352"/>
      <c r="AC1203" s="353"/>
      <c r="AD1203" s="54"/>
      <c r="AE1203" s="354"/>
      <c r="AF1203" s="355"/>
      <c r="AG1203" s="349"/>
      <c r="AH1203" s="30"/>
      <c r="AI1203" s="30"/>
      <c r="AJ1203" s="30"/>
      <c r="AK1203" s="30"/>
      <c r="AL1203" s="13"/>
      <c r="AM1203" s="13"/>
      <c r="AN1203" s="13"/>
      <c r="AO1203" s="13"/>
      <c r="AP1203" s="13"/>
      <c r="AQ1203" s="14"/>
      <c r="AR1203" s="15"/>
    </row>
    <row r="1204" spans="1:44" s="17" customFormat="1" ht="30.95" hidden="1" customHeight="1" x14ac:dyDescent="0.2">
      <c r="A1204" s="343" t="s">
        <v>1918</v>
      </c>
      <c r="B1204" s="344" t="s">
        <v>1409</v>
      </c>
      <c r="C1204" s="345"/>
      <c r="D1204" s="346"/>
      <c r="E1204" s="346"/>
      <c r="F1204" s="268"/>
      <c r="G1204" s="269"/>
      <c r="H1204" s="269"/>
      <c r="I1204" s="270"/>
      <c r="J1204" s="347" t="s">
        <v>1888</v>
      </c>
      <c r="K1204" s="270"/>
      <c r="L1204" s="270"/>
      <c r="M1204" s="348"/>
      <c r="N1204" s="348"/>
      <c r="O1204" s="349"/>
      <c r="P1204" s="350"/>
      <c r="Q1204" s="276"/>
      <c r="R1204" s="277"/>
      <c r="S1204" s="277"/>
      <c r="T1204" s="351"/>
      <c r="U1204" s="278"/>
      <c r="V1204" s="269"/>
      <c r="W1204" s="269"/>
      <c r="X1204" s="275"/>
      <c r="Y1204" s="269"/>
      <c r="Z1204" s="350"/>
      <c r="AA1204" s="207"/>
      <c r="AB1204" s="352"/>
      <c r="AC1204" s="353"/>
      <c r="AD1204" s="54"/>
      <c r="AE1204" s="354"/>
      <c r="AF1204" s="355"/>
      <c r="AG1204" s="349"/>
      <c r="AH1204" s="30"/>
      <c r="AI1204" s="30"/>
      <c r="AJ1204" s="30"/>
      <c r="AK1204" s="30"/>
      <c r="AL1204" s="13"/>
      <c r="AM1204" s="13"/>
      <c r="AN1204" s="13"/>
      <c r="AO1204" s="13"/>
      <c r="AP1204" s="13"/>
      <c r="AQ1204" s="14"/>
      <c r="AR1204" s="15"/>
    </row>
    <row r="1205" spans="1:44" s="17" customFormat="1" ht="30.95" hidden="1" customHeight="1" x14ac:dyDescent="0.2">
      <c r="A1205" s="343"/>
      <c r="B1205" s="344"/>
      <c r="C1205" s="345"/>
      <c r="D1205" s="346"/>
      <c r="E1205" s="346"/>
      <c r="F1205" s="268"/>
      <c r="G1205" s="269"/>
      <c r="H1205" s="269"/>
      <c r="I1205" s="270"/>
      <c r="J1205" s="347"/>
      <c r="K1205" s="270"/>
      <c r="L1205" s="270"/>
      <c r="M1205" s="348"/>
      <c r="N1205" s="348"/>
      <c r="O1205" s="349"/>
      <c r="P1205" s="350"/>
      <c r="Q1205" s="276"/>
      <c r="R1205" s="277"/>
      <c r="S1205" s="277"/>
      <c r="T1205" s="351"/>
      <c r="U1205" s="278"/>
      <c r="V1205" s="269"/>
      <c r="W1205" s="269"/>
      <c r="X1205" s="275"/>
      <c r="Y1205" s="269"/>
      <c r="Z1205" s="350"/>
      <c r="AA1205" s="207"/>
      <c r="AB1205" s="352"/>
      <c r="AC1205" s="353"/>
      <c r="AD1205" s="54"/>
      <c r="AE1205" s="354"/>
      <c r="AF1205" s="355"/>
      <c r="AG1205" s="349"/>
      <c r="AH1205" s="30"/>
      <c r="AI1205" s="30"/>
      <c r="AJ1205" s="30"/>
      <c r="AK1205" s="30"/>
      <c r="AL1205" s="13"/>
      <c r="AM1205" s="13"/>
      <c r="AN1205" s="13"/>
      <c r="AO1205" s="13"/>
      <c r="AP1205" s="13"/>
      <c r="AQ1205" s="14"/>
      <c r="AR1205" s="15"/>
    </row>
    <row r="1206" spans="1:44" s="17" customFormat="1" ht="30.95" hidden="1" customHeight="1" x14ac:dyDescent="0.2">
      <c r="A1206" s="343" t="s">
        <v>1919</v>
      </c>
      <c r="B1206" s="344" t="s">
        <v>1397</v>
      </c>
      <c r="C1206" s="345"/>
      <c r="D1206" s="346"/>
      <c r="E1206" s="346"/>
      <c r="F1206" s="268"/>
      <c r="G1206" s="269"/>
      <c r="H1206" s="269"/>
      <c r="I1206" s="270"/>
      <c r="J1206" s="347" t="s">
        <v>448</v>
      </c>
      <c r="K1206" s="270"/>
      <c r="L1206" s="270"/>
      <c r="M1206" s="348"/>
      <c r="N1206" s="348"/>
      <c r="O1206" s="349"/>
      <c r="P1206" s="350"/>
      <c r="Q1206" s="276"/>
      <c r="R1206" s="277"/>
      <c r="S1206" s="277"/>
      <c r="T1206" s="351"/>
      <c r="U1206" s="278"/>
      <c r="V1206" s="269"/>
      <c r="W1206" s="269"/>
      <c r="X1206" s="275"/>
      <c r="Y1206" s="269"/>
      <c r="Z1206" s="350"/>
      <c r="AA1206" s="207"/>
      <c r="AB1206" s="352"/>
      <c r="AC1206" s="353"/>
      <c r="AD1206" s="54"/>
      <c r="AE1206" s="354"/>
      <c r="AF1206" s="355"/>
      <c r="AG1206" s="349"/>
      <c r="AH1206" s="30"/>
      <c r="AI1206" s="30"/>
      <c r="AJ1206" s="30"/>
      <c r="AK1206" s="30"/>
      <c r="AL1206" s="13"/>
      <c r="AM1206" s="13"/>
      <c r="AN1206" s="13"/>
      <c r="AO1206" s="13"/>
      <c r="AP1206" s="13"/>
      <c r="AQ1206" s="14"/>
      <c r="AR1206" s="15"/>
    </row>
    <row r="1207" spans="1:44" s="17" customFormat="1" ht="30.95" hidden="1" customHeight="1" x14ac:dyDescent="0.2">
      <c r="A1207" s="343"/>
      <c r="B1207" s="344"/>
      <c r="C1207" s="345"/>
      <c r="D1207" s="346"/>
      <c r="E1207" s="346"/>
      <c r="F1207" s="268"/>
      <c r="G1207" s="269"/>
      <c r="H1207" s="269"/>
      <c r="I1207" s="270"/>
      <c r="J1207" s="347"/>
      <c r="K1207" s="270"/>
      <c r="L1207" s="270"/>
      <c r="M1207" s="348"/>
      <c r="N1207" s="348"/>
      <c r="O1207" s="349"/>
      <c r="P1207" s="350"/>
      <c r="Q1207" s="276"/>
      <c r="R1207" s="277"/>
      <c r="S1207" s="277"/>
      <c r="T1207" s="351"/>
      <c r="U1207" s="278"/>
      <c r="V1207" s="269"/>
      <c r="W1207" s="269"/>
      <c r="X1207" s="275"/>
      <c r="Y1207" s="269"/>
      <c r="Z1207" s="350"/>
      <c r="AA1207" s="207"/>
      <c r="AB1207" s="352"/>
      <c r="AC1207" s="353"/>
      <c r="AD1207" s="54"/>
      <c r="AE1207" s="354"/>
      <c r="AF1207" s="355"/>
      <c r="AG1207" s="349"/>
      <c r="AH1207" s="30"/>
      <c r="AI1207" s="30"/>
      <c r="AJ1207" s="30"/>
      <c r="AK1207" s="30"/>
      <c r="AL1207" s="13"/>
      <c r="AM1207" s="13"/>
      <c r="AN1207" s="13"/>
      <c r="AO1207" s="13"/>
      <c r="AP1207" s="13"/>
      <c r="AQ1207" s="14"/>
      <c r="AR1207" s="15"/>
    </row>
    <row r="1208" spans="1:44" s="17" customFormat="1" ht="30.95" hidden="1" customHeight="1" x14ac:dyDescent="0.2">
      <c r="A1208" s="343" t="s">
        <v>1920</v>
      </c>
      <c r="B1208" s="344" t="s">
        <v>392</v>
      </c>
      <c r="C1208" s="345"/>
      <c r="D1208" s="346"/>
      <c r="E1208" s="346"/>
      <c r="F1208" s="268"/>
      <c r="G1208" s="269"/>
      <c r="H1208" s="269"/>
      <c r="I1208" s="270"/>
      <c r="J1208" s="347" t="s">
        <v>448</v>
      </c>
      <c r="K1208" s="270"/>
      <c r="L1208" s="270"/>
      <c r="M1208" s="348"/>
      <c r="N1208" s="348"/>
      <c r="O1208" s="349"/>
      <c r="P1208" s="350"/>
      <c r="Q1208" s="276"/>
      <c r="R1208" s="277"/>
      <c r="S1208" s="277"/>
      <c r="T1208" s="351"/>
      <c r="U1208" s="278"/>
      <c r="V1208" s="269"/>
      <c r="W1208" s="269"/>
      <c r="X1208" s="275"/>
      <c r="Y1208" s="269"/>
      <c r="Z1208" s="350"/>
      <c r="AA1208" s="207"/>
      <c r="AB1208" s="352"/>
      <c r="AC1208" s="353"/>
      <c r="AD1208" s="54"/>
      <c r="AE1208" s="354"/>
      <c r="AF1208" s="355"/>
      <c r="AG1208" s="349"/>
      <c r="AH1208" s="30"/>
      <c r="AI1208" s="30"/>
      <c r="AJ1208" s="30"/>
      <c r="AK1208" s="30"/>
      <c r="AL1208" s="13"/>
      <c r="AM1208" s="13"/>
      <c r="AN1208" s="13"/>
      <c r="AO1208" s="13"/>
      <c r="AP1208" s="13"/>
      <c r="AQ1208" s="14"/>
      <c r="AR1208" s="15"/>
    </row>
    <row r="1209" spans="1:44" s="17" customFormat="1" ht="30.95" hidden="1" customHeight="1" x14ac:dyDescent="0.2">
      <c r="A1209" s="343"/>
      <c r="B1209" s="344"/>
      <c r="C1209" s="345"/>
      <c r="D1209" s="346"/>
      <c r="E1209" s="346"/>
      <c r="F1209" s="268"/>
      <c r="G1209" s="269"/>
      <c r="H1209" s="269"/>
      <c r="I1209" s="270"/>
      <c r="J1209" s="347"/>
      <c r="K1209" s="270"/>
      <c r="L1209" s="270"/>
      <c r="M1209" s="348"/>
      <c r="N1209" s="348"/>
      <c r="O1209" s="349"/>
      <c r="P1209" s="350"/>
      <c r="Q1209" s="276"/>
      <c r="R1209" s="277"/>
      <c r="S1209" s="277"/>
      <c r="T1209" s="351"/>
      <c r="U1209" s="278"/>
      <c r="V1209" s="269"/>
      <c r="W1209" s="269"/>
      <c r="X1209" s="275"/>
      <c r="Y1209" s="269"/>
      <c r="Z1209" s="350"/>
      <c r="AA1209" s="207"/>
      <c r="AB1209" s="352"/>
      <c r="AC1209" s="353"/>
      <c r="AD1209" s="54"/>
      <c r="AE1209" s="354"/>
      <c r="AF1209" s="355"/>
      <c r="AG1209" s="349"/>
      <c r="AH1209" s="30"/>
      <c r="AI1209" s="30"/>
      <c r="AJ1209" s="30"/>
      <c r="AK1209" s="30"/>
      <c r="AL1209" s="13"/>
      <c r="AM1209" s="13"/>
      <c r="AN1209" s="13"/>
      <c r="AO1209" s="13"/>
      <c r="AP1209" s="13"/>
      <c r="AQ1209" s="14"/>
      <c r="AR1209" s="15"/>
    </row>
    <row r="1210" spans="1:44" s="17" customFormat="1" ht="30.6" hidden="1" customHeight="1" x14ac:dyDescent="0.2">
      <c r="A1210" s="343" t="s">
        <v>1921</v>
      </c>
      <c r="B1210" s="344" t="s">
        <v>1402</v>
      </c>
      <c r="C1210" s="345"/>
      <c r="D1210" s="346"/>
      <c r="E1210" s="346"/>
      <c r="F1210" s="268"/>
      <c r="G1210" s="269"/>
      <c r="H1210" s="269"/>
      <c r="I1210" s="270"/>
      <c r="J1210" s="347" t="s">
        <v>1888</v>
      </c>
      <c r="K1210" s="270"/>
      <c r="L1210" s="270"/>
      <c r="M1210" s="348"/>
      <c r="N1210" s="348"/>
      <c r="O1210" s="349"/>
      <c r="P1210" s="350"/>
      <c r="Q1210" s="276"/>
      <c r="R1210" s="277"/>
      <c r="S1210" s="277"/>
      <c r="T1210" s="351"/>
      <c r="U1210" s="278"/>
      <c r="V1210" s="269"/>
      <c r="W1210" s="269"/>
      <c r="X1210" s="275"/>
      <c r="Y1210" s="269"/>
      <c r="Z1210" s="350"/>
      <c r="AA1210" s="207"/>
      <c r="AB1210" s="352"/>
      <c r="AC1210" s="353"/>
      <c r="AD1210" s="54"/>
      <c r="AE1210" s="354"/>
      <c r="AF1210" s="355"/>
      <c r="AG1210" s="349"/>
      <c r="AH1210" s="30"/>
      <c r="AI1210" s="30"/>
      <c r="AJ1210" s="30"/>
      <c r="AK1210" s="30"/>
      <c r="AL1210" s="13"/>
      <c r="AM1210" s="13"/>
      <c r="AN1210" s="13"/>
      <c r="AO1210" s="13"/>
      <c r="AP1210" s="13"/>
      <c r="AQ1210" s="14"/>
      <c r="AR1210" s="15"/>
    </row>
    <row r="1211" spans="1:44" s="17" customFormat="1" ht="30.6" hidden="1" customHeight="1" x14ac:dyDescent="0.2">
      <c r="A1211" s="343"/>
      <c r="B1211" s="344"/>
      <c r="C1211" s="345"/>
      <c r="D1211" s="346"/>
      <c r="E1211" s="346"/>
      <c r="F1211" s="268"/>
      <c r="G1211" s="269"/>
      <c r="H1211" s="269"/>
      <c r="I1211" s="270"/>
      <c r="J1211" s="347"/>
      <c r="K1211" s="270"/>
      <c r="L1211" s="270"/>
      <c r="M1211" s="348"/>
      <c r="N1211" s="348"/>
      <c r="O1211" s="349"/>
      <c r="P1211" s="350"/>
      <c r="Q1211" s="276"/>
      <c r="R1211" s="277"/>
      <c r="S1211" s="277"/>
      <c r="T1211" s="351"/>
      <c r="U1211" s="278"/>
      <c r="V1211" s="269"/>
      <c r="W1211" s="269"/>
      <c r="X1211" s="275"/>
      <c r="Y1211" s="269"/>
      <c r="Z1211" s="350"/>
      <c r="AA1211" s="207"/>
      <c r="AB1211" s="352"/>
      <c r="AC1211" s="353"/>
      <c r="AD1211" s="54"/>
      <c r="AE1211" s="354"/>
      <c r="AF1211" s="355"/>
      <c r="AG1211" s="349"/>
      <c r="AH1211" s="30"/>
      <c r="AI1211" s="30"/>
      <c r="AJ1211" s="30"/>
      <c r="AK1211" s="30"/>
      <c r="AL1211" s="13"/>
      <c r="AM1211" s="13"/>
      <c r="AN1211" s="13"/>
      <c r="AO1211" s="13"/>
      <c r="AP1211" s="13"/>
      <c r="AQ1211" s="14"/>
      <c r="AR1211" s="15"/>
    </row>
    <row r="1212" spans="1:44" s="17" customFormat="1" ht="30.6" hidden="1" customHeight="1" x14ac:dyDescent="0.2">
      <c r="A1212" s="343" t="s">
        <v>1922</v>
      </c>
      <c r="B1212" s="344" t="s">
        <v>1405</v>
      </c>
      <c r="C1212" s="345"/>
      <c r="D1212" s="346"/>
      <c r="E1212" s="346"/>
      <c r="F1212" s="268"/>
      <c r="G1212" s="269"/>
      <c r="H1212" s="269"/>
      <c r="I1212" s="270"/>
      <c r="J1212" s="347" t="s">
        <v>1888</v>
      </c>
      <c r="K1212" s="270"/>
      <c r="L1212" s="270"/>
      <c r="M1212" s="348"/>
      <c r="N1212" s="348"/>
      <c r="O1212" s="349"/>
      <c r="P1212" s="350"/>
      <c r="Q1212" s="276"/>
      <c r="R1212" s="277"/>
      <c r="S1212" s="277"/>
      <c r="T1212" s="351"/>
      <c r="U1212" s="278"/>
      <c r="V1212" s="269"/>
      <c r="W1212" s="269"/>
      <c r="X1212" s="275"/>
      <c r="Y1212" s="269"/>
      <c r="Z1212" s="350"/>
      <c r="AA1212" s="207"/>
      <c r="AB1212" s="352"/>
      <c r="AC1212" s="353"/>
      <c r="AD1212" s="54"/>
      <c r="AE1212" s="354"/>
      <c r="AF1212" s="355"/>
      <c r="AG1212" s="349"/>
      <c r="AH1212" s="30"/>
      <c r="AI1212" s="30"/>
      <c r="AJ1212" s="30"/>
      <c r="AK1212" s="30"/>
      <c r="AL1212" s="13"/>
      <c r="AM1212" s="13"/>
      <c r="AN1212" s="13"/>
      <c r="AO1212" s="13"/>
      <c r="AP1212" s="13"/>
      <c r="AQ1212" s="14"/>
      <c r="AR1212" s="15"/>
    </row>
    <row r="1213" spans="1:44" s="17" customFormat="1" ht="30.6" hidden="1" customHeight="1" x14ac:dyDescent="0.2">
      <c r="A1213" s="343"/>
      <c r="B1213" s="344"/>
      <c r="C1213" s="345"/>
      <c r="D1213" s="346"/>
      <c r="E1213" s="346"/>
      <c r="F1213" s="268"/>
      <c r="G1213" s="269"/>
      <c r="H1213" s="269"/>
      <c r="I1213" s="270"/>
      <c r="J1213" s="347"/>
      <c r="K1213" s="270"/>
      <c r="L1213" s="270"/>
      <c r="M1213" s="348"/>
      <c r="N1213" s="348"/>
      <c r="O1213" s="349"/>
      <c r="P1213" s="350"/>
      <c r="Q1213" s="276"/>
      <c r="R1213" s="277"/>
      <c r="S1213" s="277"/>
      <c r="T1213" s="351"/>
      <c r="U1213" s="278"/>
      <c r="V1213" s="269"/>
      <c r="W1213" s="269"/>
      <c r="X1213" s="275"/>
      <c r="Y1213" s="269"/>
      <c r="Z1213" s="350"/>
      <c r="AA1213" s="207"/>
      <c r="AB1213" s="352"/>
      <c r="AC1213" s="353"/>
      <c r="AD1213" s="54"/>
      <c r="AE1213" s="354"/>
      <c r="AF1213" s="355"/>
      <c r="AG1213" s="349"/>
      <c r="AH1213" s="30"/>
      <c r="AI1213" s="30"/>
      <c r="AJ1213" s="30"/>
      <c r="AK1213" s="30"/>
      <c r="AL1213" s="13"/>
      <c r="AM1213" s="13"/>
      <c r="AN1213" s="13"/>
      <c r="AO1213" s="13"/>
      <c r="AP1213" s="13"/>
      <c r="AQ1213" s="14"/>
      <c r="AR1213" s="15"/>
    </row>
    <row r="1214" spans="1:44" s="17" customFormat="1" ht="30.95" hidden="1" customHeight="1" x14ac:dyDescent="0.2">
      <c r="A1214" s="343" t="s">
        <v>1923</v>
      </c>
      <c r="B1214" s="344" t="s">
        <v>1412</v>
      </c>
      <c r="C1214" s="345"/>
      <c r="D1214" s="346"/>
      <c r="E1214" s="346"/>
      <c r="F1214" s="268"/>
      <c r="G1214" s="269"/>
      <c r="H1214" s="269"/>
      <c r="I1214" s="270"/>
      <c r="J1214" s="347" t="s">
        <v>1888</v>
      </c>
      <c r="K1214" s="270"/>
      <c r="L1214" s="270"/>
      <c r="M1214" s="348"/>
      <c r="N1214" s="348"/>
      <c r="O1214" s="349"/>
      <c r="P1214" s="350"/>
      <c r="Q1214" s="276"/>
      <c r="R1214" s="277"/>
      <c r="S1214" s="277"/>
      <c r="T1214" s="351"/>
      <c r="U1214" s="278"/>
      <c r="V1214" s="269"/>
      <c r="W1214" s="269"/>
      <c r="X1214" s="275"/>
      <c r="Y1214" s="269"/>
      <c r="Z1214" s="350"/>
      <c r="AA1214" s="207"/>
      <c r="AB1214" s="352"/>
      <c r="AC1214" s="353"/>
      <c r="AD1214" s="54"/>
      <c r="AE1214" s="354"/>
      <c r="AF1214" s="355"/>
      <c r="AG1214" s="349"/>
      <c r="AH1214" s="30"/>
      <c r="AI1214" s="30"/>
      <c r="AJ1214" s="30"/>
      <c r="AK1214" s="30"/>
      <c r="AL1214" s="13"/>
      <c r="AM1214" s="13"/>
      <c r="AN1214" s="13"/>
      <c r="AO1214" s="13"/>
      <c r="AP1214" s="13"/>
      <c r="AQ1214" s="14"/>
      <c r="AR1214" s="15"/>
    </row>
    <row r="1215" spans="1:44" s="17" customFormat="1" ht="30.95" hidden="1" customHeight="1" x14ac:dyDescent="0.2">
      <c r="A1215" s="343"/>
      <c r="B1215" s="344"/>
      <c r="C1215" s="345"/>
      <c r="D1215" s="346"/>
      <c r="E1215" s="346"/>
      <c r="F1215" s="268"/>
      <c r="G1215" s="269"/>
      <c r="H1215" s="269"/>
      <c r="I1215" s="270"/>
      <c r="J1215" s="347"/>
      <c r="K1215" s="270"/>
      <c r="L1215" s="270"/>
      <c r="M1215" s="348"/>
      <c r="N1215" s="348"/>
      <c r="O1215" s="349"/>
      <c r="P1215" s="350"/>
      <c r="Q1215" s="276"/>
      <c r="R1215" s="277"/>
      <c r="S1215" s="277"/>
      <c r="T1215" s="351"/>
      <c r="U1215" s="278"/>
      <c r="V1215" s="269"/>
      <c r="W1215" s="269"/>
      <c r="X1215" s="275"/>
      <c r="Y1215" s="269"/>
      <c r="Z1215" s="350"/>
      <c r="AA1215" s="207"/>
      <c r="AB1215" s="352"/>
      <c r="AC1215" s="353"/>
      <c r="AD1215" s="54"/>
      <c r="AE1215" s="354"/>
      <c r="AF1215" s="355"/>
      <c r="AG1215" s="349"/>
      <c r="AH1215" s="30"/>
      <c r="AI1215" s="30"/>
      <c r="AJ1215" s="30"/>
      <c r="AK1215" s="30"/>
      <c r="AL1215" s="13"/>
      <c r="AM1215" s="13"/>
      <c r="AN1215" s="13"/>
      <c r="AO1215" s="13"/>
      <c r="AP1215" s="13"/>
      <c r="AQ1215" s="14"/>
      <c r="AR1215" s="15"/>
    </row>
    <row r="1216" spans="1:44" s="17" customFormat="1" ht="30.95" hidden="1" customHeight="1" x14ac:dyDescent="0.2">
      <c r="A1216" s="343" t="s">
        <v>1924</v>
      </c>
      <c r="B1216" s="344" t="s">
        <v>1408</v>
      </c>
      <c r="C1216" s="345"/>
      <c r="D1216" s="346"/>
      <c r="E1216" s="346"/>
      <c r="F1216" s="268"/>
      <c r="G1216" s="269"/>
      <c r="H1216" s="269"/>
      <c r="I1216" s="270"/>
      <c r="J1216" s="347" t="s">
        <v>1888</v>
      </c>
      <c r="K1216" s="270"/>
      <c r="L1216" s="270"/>
      <c r="M1216" s="348"/>
      <c r="N1216" s="348"/>
      <c r="O1216" s="349"/>
      <c r="P1216" s="350"/>
      <c r="Q1216" s="276"/>
      <c r="R1216" s="277"/>
      <c r="S1216" s="277"/>
      <c r="T1216" s="351"/>
      <c r="U1216" s="278"/>
      <c r="V1216" s="269"/>
      <c r="W1216" s="269"/>
      <c r="X1216" s="275"/>
      <c r="Y1216" s="269"/>
      <c r="Z1216" s="350"/>
      <c r="AA1216" s="207"/>
      <c r="AB1216" s="352"/>
      <c r="AC1216" s="353"/>
      <c r="AD1216" s="54"/>
      <c r="AE1216" s="354"/>
      <c r="AF1216" s="355"/>
      <c r="AG1216" s="349"/>
      <c r="AH1216" s="30"/>
      <c r="AI1216" s="30"/>
      <c r="AJ1216" s="30"/>
      <c r="AK1216" s="30"/>
      <c r="AL1216" s="13"/>
      <c r="AM1216" s="13"/>
      <c r="AN1216" s="13"/>
      <c r="AO1216" s="13"/>
      <c r="AP1216" s="13"/>
      <c r="AQ1216" s="14"/>
      <c r="AR1216" s="15"/>
    </row>
    <row r="1217" spans="1:44" s="17" customFormat="1" ht="30.95" hidden="1" customHeight="1" x14ac:dyDescent="0.2">
      <c r="A1217" s="343"/>
      <c r="B1217" s="344"/>
      <c r="C1217" s="345"/>
      <c r="D1217" s="346"/>
      <c r="E1217" s="346"/>
      <c r="F1217" s="268"/>
      <c r="G1217" s="269"/>
      <c r="H1217" s="269"/>
      <c r="I1217" s="270"/>
      <c r="J1217" s="347"/>
      <c r="K1217" s="270"/>
      <c r="L1217" s="270"/>
      <c r="M1217" s="348"/>
      <c r="N1217" s="348"/>
      <c r="O1217" s="349"/>
      <c r="P1217" s="350"/>
      <c r="Q1217" s="276"/>
      <c r="R1217" s="277"/>
      <c r="S1217" s="277"/>
      <c r="T1217" s="351"/>
      <c r="U1217" s="278"/>
      <c r="V1217" s="269"/>
      <c r="W1217" s="269"/>
      <c r="X1217" s="275"/>
      <c r="Y1217" s="269"/>
      <c r="Z1217" s="350"/>
      <c r="AA1217" s="207"/>
      <c r="AB1217" s="352"/>
      <c r="AC1217" s="353"/>
      <c r="AD1217" s="54"/>
      <c r="AE1217" s="354"/>
      <c r="AF1217" s="355"/>
      <c r="AG1217" s="349"/>
      <c r="AH1217" s="30"/>
      <c r="AI1217" s="30"/>
      <c r="AJ1217" s="30"/>
      <c r="AK1217" s="30"/>
      <c r="AL1217" s="13"/>
      <c r="AM1217" s="13"/>
      <c r="AN1217" s="13"/>
      <c r="AO1217" s="13"/>
      <c r="AP1217" s="13"/>
      <c r="AQ1217" s="14"/>
      <c r="AR1217" s="15"/>
    </row>
    <row r="1218" spans="1:44" s="17" customFormat="1" ht="30.95" hidden="1" customHeight="1" x14ac:dyDescent="0.2">
      <c r="A1218" s="343" t="s">
        <v>1925</v>
      </c>
      <c r="B1218" s="344" t="s">
        <v>1409</v>
      </c>
      <c r="C1218" s="345"/>
      <c r="D1218" s="346"/>
      <c r="E1218" s="346"/>
      <c r="F1218" s="268"/>
      <c r="G1218" s="269"/>
      <c r="H1218" s="269"/>
      <c r="I1218" s="270"/>
      <c r="J1218" s="347" t="s">
        <v>1888</v>
      </c>
      <c r="K1218" s="270"/>
      <c r="L1218" s="270"/>
      <c r="M1218" s="348"/>
      <c r="N1218" s="348"/>
      <c r="O1218" s="349"/>
      <c r="P1218" s="350"/>
      <c r="Q1218" s="276"/>
      <c r="R1218" s="277"/>
      <c r="S1218" s="277"/>
      <c r="T1218" s="351"/>
      <c r="U1218" s="278"/>
      <c r="V1218" s="269"/>
      <c r="W1218" s="269"/>
      <c r="X1218" s="275"/>
      <c r="Y1218" s="269"/>
      <c r="Z1218" s="350"/>
      <c r="AA1218" s="207"/>
      <c r="AB1218" s="352"/>
      <c r="AC1218" s="353"/>
      <c r="AD1218" s="54"/>
      <c r="AE1218" s="354"/>
      <c r="AF1218" s="355"/>
      <c r="AG1218" s="349"/>
      <c r="AH1218" s="30"/>
      <c r="AI1218" s="30"/>
      <c r="AJ1218" s="30"/>
      <c r="AK1218" s="30"/>
      <c r="AL1218" s="13"/>
      <c r="AM1218" s="13"/>
      <c r="AN1218" s="13"/>
      <c r="AO1218" s="13"/>
      <c r="AP1218" s="13"/>
      <c r="AQ1218" s="14"/>
      <c r="AR1218" s="15"/>
    </row>
    <row r="1219" spans="1:44" s="17" customFormat="1" ht="30.95" hidden="1" customHeight="1" x14ac:dyDescent="0.2">
      <c r="A1219" s="343"/>
      <c r="B1219" s="344"/>
      <c r="C1219" s="345"/>
      <c r="D1219" s="346"/>
      <c r="E1219" s="346"/>
      <c r="F1219" s="268"/>
      <c r="G1219" s="269"/>
      <c r="H1219" s="269"/>
      <c r="I1219" s="270"/>
      <c r="J1219" s="347"/>
      <c r="K1219" s="270"/>
      <c r="L1219" s="270"/>
      <c r="M1219" s="348"/>
      <c r="N1219" s="348"/>
      <c r="O1219" s="349"/>
      <c r="P1219" s="350"/>
      <c r="Q1219" s="276"/>
      <c r="R1219" s="277"/>
      <c r="S1219" s="277"/>
      <c r="T1219" s="351"/>
      <c r="U1219" s="278"/>
      <c r="V1219" s="269"/>
      <c r="W1219" s="269"/>
      <c r="X1219" s="275"/>
      <c r="Y1219" s="269"/>
      <c r="Z1219" s="350"/>
      <c r="AA1219" s="207"/>
      <c r="AB1219" s="352"/>
      <c r="AC1219" s="353"/>
      <c r="AD1219" s="54"/>
      <c r="AE1219" s="354"/>
      <c r="AF1219" s="355"/>
      <c r="AG1219" s="349"/>
      <c r="AH1219" s="30"/>
      <c r="AI1219" s="30"/>
      <c r="AJ1219" s="30"/>
      <c r="AK1219" s="30"/>
      <c r="AL1219" s="13"/>
      <c r="AM1219" s="13"/>
      <c r="AN1219" s="13"/>
      <c r="AO1219" s="13"/>
      <c r="AP1219" s="13"/>
      <c r="AQ1219" s="14"/>
      <c r="AR1219" s="15"/>
    </row>
    <row r="1220" spans="1:44" s="17" customFormat="1" ht="30.95" hidden="1" customHeight="1" x14ac:dyDescent="0.2">
      <c r="A1220" s="343" t="s">
        <v>1926</v>
      </c>
      <c r="B1220" s="344" t="s">
        <v>1397</v>
      </c>
      <c r="C1220" s="345"/>
      <c r="D1220" s="346"/>
      <c r="E1220" s="346"/>
      <c r="F1220" s="268"/>
      <c r="G1220" s="269"/>
      <c r="H1220" s="269"/>
      <c r="I1220" s="270"/>
      <c r="J1220" s="347" t="s">
        <v>448</v>
      </c>
      <c r="K1220" s="270"/>
      <c r="L1220" s="270"/>
      <c r="M1220" s="348"/>
      <c r="N1220" s="348"/>
      <c r="O1220" s="349"/>
      <c r="P1220" s="350"/>
      <c r="Q1220" s="276"/>
      <c r="R1220" s="277"/>
      <c r="S1220" s="277"/>
      <c r="T1220" s="351"/>
      <c r="U1220" s="278"/>
      <c r="V1220" s="269"/>
      <c r="W1220" s="269"/>
      <c r="X1220" s="275"/>
      <c r="Y1220" s="269"/>
      <c r="Z1220" s="350"/>
      <c r="AA1220" s="207"/>
      <c r="AB1220" s="352"/>
      <c r="AC1220" s="353"/>
      <c r="AD1220" s="54"/>
      <c r="AE1220" s="354"/>
      <c r="AF1220" s="355"/>
      <c r="AG1220" s="349"/>
      <c r="AH1220" s="30"/>
      <c r="AI1220" s="30"/>
      <c r="AJ1220" s="30"/>
      <c r="AK1220" s="30"/>
      <c r="AL1220" s="13"/>
      <c r="AM1220" s="13"/>
      <c r="AN1220" s="13"/>
      <c r="AO1220" s="13"/>
      <c r="AP1220" s="13"/>
      <c r="AQ1220" s="14"/>
      <c r="AR1220" s="15"/>
    </row>
    <row r="1221" spans="1:44" s="17" customFormat="1" ht="30.95" hidden="1" customHeight="1" x14ac:dyDescent="0.2">
      <c r="A1221" s="343"/>
      <c r="B1221" s="344"/>
      <c r="C1221" s="345"/>
      <c r="D1221" s="346"/>
      <c r="E1221" s="346"/>
      <c r="F1221" s="268"/>
      <c r="G1221" s="269"/>
      <c r="H1221" s="269"/>
      <c r="I1221" s="270"/>
      <c r="J1221" s="347"/>
      <c r="K1221" s="270"/>
      <c r="L1221" s="270"/>
      <c r="M1221" s="348"/>
      <c r="N1221" s="348"/>
      <c r="O1221" s="349"/>
      <c r="P1221" s="350"/>
      <c r="Q1221" s="276"/>
      <c r="R1221" s="277"/>
      <c r="S1221" s="277"/>
      <c r="T1221" s="351"/>
      <c r="U1221" s="278"/>
      <c r="V1221" s="269"/>
      <c r="W1221" s="269"/>
      <c r="X1221" s="275"/>
      <c r="Y1221" s="269"/>
      <c r="Z1221" s="350"/>
      <c r="AA1221" s="207"/>
      <c r="AB1221" s="352"/>
      <c r="AC1221" s="353"/>
      <c r="AD1221" s="54"/>
      <c r="AE1221" s="354"/>
      <c r="AF1221" s="355"/>
      <c r="AG1221" s="349"/>
      <c r="AH1221" s="30"/>
      <c r="AI1221" s="30"/>
      <c r="AJ1221" s="30"/>
      <c r="AK1221" s="30"/>
      <c r="AL1221" s="13"/>
      <c r="AM1221" s="13"/>
      <c r="AN1221" s="13"/>
      <c r="AO1221" s="13"/>
      <c r="AP1221" s="13"/>
      <c r="AQ1221" s="14"/>
      <c r="AR1221" s="15"/>
    </row>
    <row r="1222" spans="1:44" s="17" customFormat="1" ht="30.95" hidden="1" customHeight="1" x14ac:dyDescent="0.2">
      <c r="A1222" s="343" t="s">
        <v>1927</v>
      </c>
      <c r="B1222" s="344" t="s">
        <v>392</v>
      </c>
      <c r="C1222" s="345"/>
      <c r="D1222" s="346"/>
      <c r="E1222" s="346"/>
      <c r="F1222" s="268"/>
      <c r="G1222" s="269"/>
      <c r="H1222" s="269"/>
      <c r="I1222" s="270"/>
      <c r="J1222" s="347" t="s">
        <v>448</v>
      </c>
      <c r="K1222" s="270"/>
      <c r="L1222" s="270"/>
      <c r="M1222" s="348"/>
      <c r="N1222" s="348"/>
      <c r="O1222" s="349"/>
      <c r="P1222" s="350"/>
      <c r="Q1222" s="276"/>
      <c r="R1222" s="277"/>
      <c r="S1222" s="277"/>
      <c r="T1222" s="351"/>
      <c r="U1222" s="278"/>
      <c r="V1222" s="269"/>
      <c r="W1222" s="269"/>
      <c r="X1222" s="275"/>
      <c r="Y1222" s="269"/>
      <c r="Z1222" s="350"/>
      <c r="AA1222" s="207"/>
      <c r="AB1222" s="352"/>
      <c r="AC1222" s="353"/>
      <c r="AD1222" s="54"/>
      <c r="AE1222" s="354"/>
      <c r="AF1222" s="355"/>
      <c r="AG1222" s="349"/>
      <c r="AH1222" s="30"/>
      <c r="AI1222" s="30"/>
      <c r="AJ1222" s="30"/>
      <c r="AK1222" s="30"/>
      <c r="AL1222" s="13"/>
      <c r="AM1222" s="13"/>
      <c r="AN1222" s="13"/>
      <c r="AO1222" s="13"/>
      <c r="AP1222" s="13"/>
      <c r="AQ1222" s="14"/>
      <c r="AR1222" s="15"/>
    </row>
    <row r="1223" spans="1:44" s="17" customFormat="1" ht="30.95" hidden="1" customHeight="1" x14ac:dyDescent="0.2">
      <c r="A1223" s="343"/>
      <c r="B1223" s="344"/>
      <c r="C1223" s="345"/>
      <c r="D1223" s="346"/>
      <c r="E1223" s="346"/>
      <c r="F1223" s="268"/>
      <c r="G1223" s="269"/>
      <c r="H1223" s="269"/>
      <c r="I1223" s="270"/>
      <c r="J1223" s="347"/>
      <c r="K1223" s="270"/>
      <c r="L1223" s="270"/>
      <c r="M1223" s="348"/>
      <c r="N1223" s="348"/>
      <c r="O1223" s="349"/>
      <c r="P1223" s="350"/>
      <c r="Q1223" s="276"/>
      <c r="R1223" s="277"/>
      <c r="S1223" s="277"/>
      <c r="T1223" s="351"/>
      <c r="U1223" s="278"/>
      <c r="V1223" s="269"/>
      <c r="W1223" s="269"/>
      <c r="X1223" s="275"/>
      <c r="Y1223" s="269"/>
      <c r="Z1223" s="350"/>
      <c r="AA1223" s="207"/>
      <c r="AB1223" s="352"/>
      <c r="AC1223" s="353"/>
      <c r="AD1223" s="54"/>
      <c r="AE1223" s="354"/>
      <c r="AF1223" s="355"/>
      <c r="AG1223" s="349"/>
      <c r="AH1223" s="30"/>
      <c r="AI1223" s="30"/>
      <c r="AJ1223" s="30"/>
      <c r="AK1223" s="30"/>
      <c r="AL1223" s="13"/>
      <c r="AM1223" s="13"/>
      <c r="AN1223" s="13"/>
      <c r="AO1223" s="13"/>
      <c r="AP1223" s="13"/>
      <c r="AQ1223" s="14"/>
      <c r="AR1223" s="15"/>
    </row>
    <row r="1224" spans="1:44" s="17" customFormat="1" ht="30.95" hidden="1" customHeight="1" x14ac:dyDescent="0.2">
      <c r="A1224" s="343" t="s">
        <v>1928</v>
      </c>
      <c r="B1224" s="344" t="s">
        <v>1402</v>
      </c>
      <c r="C1224" s="345"/>
      <c r="D1224" s="346"/>
      <c r="E1224" s="346"/>
      <c r="F1224" s="268"/>
      <c r="G1224" s="269"/>
      <c r="H1224" s="269"/>
      <c r="I1224" s="270"/>
      <c r="J1224" s="347" t="s">
        <v>1963</v>
      </c>
      <c r="K1224" s="270"/>
      <c r="L1224" s="270"/>
      <c r="M1224" s="348"/>
      <c r="N1224" s="348"/>
      <c r="O1224" s="349"/>
      <c r="P1224" s="350"/>
      <c r="Q1224" s="276"/>
      <c r="R1224" s="277"/>
      <c r="S1224" s="277"/>
      <c r="T1224" s="351"/>
      <c r="U1224" s="278"/>
      <c r="V1224" s="269"/>
      <c r="W1224" s="269"/>
      <c r="X1224" s="275"/>
      <c r="Y1224" s="269"/>
      <c r="Z1224" s="350"/>
      <c r="AA1224" s="207"/>
      <c r="AB1224" s="352"/>
      <c r="AC1224" s="353"/>
      <c r="AD1224" s="54"/>
      <c r="AE1224" s="354"/>
      <c r="AF1224" s="355"/>
      <c r="AG1224" s="349"/>
      <c r="AH1224" s="30"/>
      <c r="AI1224" s="30"/>
      <c r="AJ1224" s="30"/>
      <c r="AK1224" s="30"/>
      <c r="AL1224" s="13"/>
      <c r="AM1224" s="13"/>
      <c r="AN1224" s="13"/>
      <c r="AO1224" s="13"/>
      <c r="AP1224" s="13"/>
      <c r="AQ1224" s="14"/>
      <c r="AR1224" s="15"/>
    </row>
    <row r="1225" spans="1:44" s="17" customFormat="1" ht="30.95" hidden="1" customHeight="1" x14ac:dyDescent="0.2">
      <c r="A1225" s="343"/>
      <c r="B1225" s="344"/>
      <c r="C1225" s="345"/>
      <c r="D1225" s="346"/>
      <c r="E1225" s="346"/>
      <c r="F1225" s="268"/>
      <c r="G1225" s="269"/>
      <c r="H1225" s="269"/>
      <c r="I1225" s="270"/>
      <c r="J1225" s="347"/>
      <c r="K1225" s="270"/>
      <c r="L1225" s="270"/>
      <c r="M1225" s="348"/>
      <c r="N1225" s="348"/>
      <c r="O1225" s="349"/>
      <c r="P1225" s="350"/>
      <c r="Q1225" s="276"/>
      <c r="R1225" s="277"/>
      <c r="S1225" s="277"/>
      <c r="T1225" s="351"/>
      <c r="U1225" s="278"/>
      <c r="V1225" s="269"/>
      <c r="W1225" s="269"/>
      <c r="X1225" s="275"/>
      <c r="Y1225" s="269"/>
      <c r="Z1225" s="350"/>
      <c r="AA1225" s="207"/>
      <c r="AB1225" s="352"/>
      <c r="AC1225" s="353"/>
      <c r="AD1225" s="54"/>
      <c r="AE1225" s="354"/>
      <c r="AF1225" s="355"/>
      <c r="AG1225" s="349"/>
      <c r="AH1225" s="30"/>
      <c r="AI1225" s="30"/>
      <c r="AJ1225" s="30"/>
      <c r="AK1225" s="30"/>
      <c r="AL1225" s="13"/>
      <c r="AM1225" s="13"/>
      <c r="AN1225" s="13"/>
      <c r="AO1225" s="13"/>
      <c r="AP1225" s="13"/>
      <c r="AQ1225" s="14"/>
      <c r="AR1225" s="15"/>
    </row>
    <row r="1226" spans="1:44" s="17" customFormat="1" ht="30.95" hidden="1" customHeight="1" x14ac:dyDescent="0.2">
      <c r="A1226" s="343" t="s">
        <v>1929</v>
      </c>
      <c r="B1226" s="344" t="s">
        <v>1405</v>
      </c>
      <c r="C1226" s="345"/>
      <c r="D1226" s="346"/>
      <c r="E1226" s="346"/>
      <c r="F1226" s="268"/>
      <c r="G1226" s="269"/>
      <c r="H1226" s="269"/>
      <c r="I1226" s="270"/>
      <c r="J1226" s="347" t="s">
        <v>1964</v>
      </c>
      <c r="K1226" s="270"/>
      <c r="L1226" s="270"/>
      <c r="M1226" s="348"/>
      <c r="N1226" s="348"/>
      <c r="O1226" s="349"/>
      <c r="P1226" s="350"/>
      <c r="Q1226" s="276"/>
      <c r="R1226" s="277"/>
      <c r="S1226" s="277"/>
      <c r="T1226" s="351"/>
      <c r="U1226" s="278"/>
      <c r="V1226" s="269"/>
      <c r="W1226" s="269"/>
      <c r="X1226" s="275"/>
      <c r="Y1226" s="269"/>
      <c r="Z1226" s="350"/>
      <c r="AA1226" s="207"/>
      <c r="AB1226" s="352"/>
      <c r="AC1226" s="353"/>
      <c r="AD1226" s="54"/>
      <c r="AE1226" s="354"/>
      <c r="AF1226" s="355"/>
      <c r="AG1226" s="349"/>
      <c r="AH1226" s="30"/>
      <c r="AI1226" s="30"/>
      <c r="AJ1226" s="30"/>
      <c r="AK1226" s="30"/>
      <c r="AL1226" s="13"/>
      <c r="AM1226" s="13"/>
      <c r="AN1226" s="13"/>
      <c r="AO1226" s="13"/>
      <c r="AP1226" s="13"/>
      <c r="AQ1226" s="14"/>
      <c r="AR1226" s="15"/>
    </row>
    <row r="1227" spans="1:44" s="17" customFormat="1" ht="30.95" hidden="1" customHeight="1" x14ac:dyDescent="0.2">
      <c r="A1227" s="343"/>
      <c r="B1227" s="344"/>
      <c r="C1227" s="345"/>
      <c r="D1227" s="346"/>
      <c r="E1227" s="346"/>
      <c r="F1227" s="268"/>
      <c r="G1227" s="269"/>
      <c r="H1227" s="269"/>
      <c r="I1227" s="270"/>
      <c r="J1227" s="347"/>
      <c r="K1227" s="270"/>
      <c r="L1227" s="270"/>
      <c r="M1227" s="348"/>
      <c r="N1227" s="348"/>
      <c r="O1227" s="349"/>
      <c r="P1227" s="350"/>
      <c r="Q1227" s="276"/>
      <c r="R1227" s="277"/>
      <c r="S1227" s="277"/>
      <c r="T1227" s="351"/>
      <c r="U1227" s="278"/>
      <c r="V1227" s="269"/>
      <c r="W1227" s="269"/>
      <c r="X1227" s="275"/>
      <c r="Y1227" s="269"/>
      <c r="Z1227" s="350"/>
      <c r="AA1227" s="207"/>
      <c r="AB1227" s="352"/>
      <c r="AC1227" s="353"/>
      <c r="AD1227" s="54"/>
      <c r="AE1227" s="354"/>
      <c r="AF1227" s="355"/>
      <c r="AG1227" s="349"/>
      <c r="AH1227" s="30"/>
      <c r="AI1227" s="30"/>
      <c r="AJ1227" s="30"/>
      <c r="AK1227" s="30"/>
      <c r="AL1227" s="13"/>
      <c r="AM1227" s="13"/>
      <c r="AN1227" s="13"/>
      <c r="AO1227" s="13"/>
      <c r="AP1227" s="13"/>
      <c r="AQ1227" s="14"/>
      <c r="AR1227" s="15"/>
    </row>
    <row r="1228" spans="1:44" s="337" customFormat="1" ht="30.95" hidden="1" customHeight="1" x14ac:dyDescent="0.2">
      <c r="A1228" s="358" t="s">
        <v>873</v>
      </c>
      <c r="B1228" s="359" t="s">
        <v>442</v>
      </c>
      <c r="C1228" s="360"/>
      <c r="D1228" s="31"/>
      <c r="E1228" s="31"/>
      <c r="F1228" s="268"/>
      <c r="G1228" s="269"/>
      <c r="H1228" s="269"/>
      <c r="I1228" s="270"/>
      <c r="J1228" s="347" t="s">
        <v>1888</v>
      </c>
      <c r="K1228" s="270"/>
      <c r="L1228" s="270"/>
      <c r="M1228" s="39"/>
      <c r="N1228" s="39"/>
      <c r="O1228" s="47"/>
      <c r="P1228" s="57"/>
      <c r="Q1228" s="276"/>
      <c r="R1228" s="277"/>
      <c r="S1228" s="277"/>
      <c r="T1228" s="40"/>
      <c r="U1228" s="278"/>
      <c r="V1228" s="269"/>
      <c r="W1228" s="269"/>
      <c r="X1228" s="275"/>
      <c r="Y1228" s="269"/>
      <c r="Z1228" s="357"/>
      <c r="AA1228" s="207" t="str">
        <f>IFERROR(VLOOKUP(F1228&amp;K1228&amp;M1228,製品マスタ!$M$5:$AM$5002,27,FALSE),"")</f>
        <v/>
      </c>
      <c r="AB1228" s="369"/>
      <c r="AC1228" s="370"/>
      <c r="AD1228" s="332"/>
      <c r="AE1228" s="371">
        <f>+M1228*N1228*O1228/1000</f>
        <v>0</v>
      </c>
      <c r="AF1228" s="372"/>
      <c r="AG1228" s="366"/>
      <c r="AH1228" s="333"/>
      <c r="AI1228" s="333"/>
      <c r="AJ1228" s="333"/>
      <c r="AK1228" s="333"/>
      <c r="AL1228" s="334"/>
      <c r="AM1228" s="334"/>
      <c r="AN1228" s="334"/>
      <c r="AO1228" s="334"/>
      <c r="AP1228" s="334"/>
      <c r="AQ1228" s="335"/>
      <c r="AR1228" s="336"/>
    </row>
    <row r="1229" spans="1:44" s="17" customFormat="1" ht="30.95" hidden="1" customHeight="1" x14ac:dyDescent="0.2">
      <c r="A1229" s="343"/>
      <c r="B1229" s="344"/>
      <c r="C1229" s="345"/>
      <c r="D1229" s="346"/>
      <c r="E1229" s="346"/>
      <c r="F1229" s="268"/>
      <c r="G1229" s="269"/>
      <c r="H1229" s="269"/>
      <c r="I1229" s="270"/>
      <c r="J1229" s="347"/>
      <c r="K1229" s="270"/>
      <c r="L1229" s="270"/>
      <c r="M1229" s="348"/>
      <c r="N1229" s="348"/>
      <c r="O1229" s="349"/>
      <c r="P1229" s="350"/>
      <c r="Q1229" s="276"/>
      <c r="R1229" s="277"/>
      <c r="S1229" s="277"/>
      <c r="T1229" s="351"/>
      <c r="U1229" s="278"/>
      <c r="V1229" s="269"/>
      <c r="W1229" s="269"/>
      <c r="X1229" s="275"/>
      <c r="Y1229" s="269"/>
      <c r="Z1229" s="350"/>
      <c r="AA1229" s="207"/>
      <c r="AB1229" s="352"/>
      <c r="AC1229" s="353"/>
      <c r="AD1229" s="54"/>
      <c r="AE1229" s="354"/>
      <c r="AF1229" s="355"/>
      <c r="AG1229" s="349"/>
      <c r="AH1229" s="30"/>
      <c r="AI1229" s="30"/>
      <c r="AJ1229" s="30"/>
      <c r="AK1229" s="30"/>
      <c r="AL1229" s="13"/>
      <c r="AM1229" s="13"/>
      <c r="AN1229" s="13"/>
      <c r="AO1229" s="13"/>
      <c r="AP1229" s="13"/>
      <c r="AQ1229" s="14"/>
      <c r="AR1229" s="15"/>
    </row>
    <row r="1230" spans="1:44" s="337" customFormat="1" ht="30.95" hidden="1" customHeight="1" x14ac:dyDescent="0.2">
      <c r="A1230" s="358" t="s">
        <v>1960</v>
      </c>
      <c r="B1230" s="359" t="s">
        <v>1961</v>
      </c>
      <c r="C1230" s="360"/>
      <c r="D1230" s="31"/>
      <c r="E1230" s="31"/>
      <c r="F1230" s="268"/>
      <c r="G1230" s="269"/>
      <c r="H1230" s="269"/>
      <c r="I1230" s="270"/>
      <c r="J1230" s="347" t="s">
        <v>1888</v>
      </c>
      <c r="K1230" s="270"/>
      <c r="L1230" s="270"/>
      <c r="M1230" s="39"/>
      <c r="N1230" s="39"/>
      <c r="O1230" s="47"/>
      <c r="P1230" s="57"/>
      <c r="Q1230" s="276"/>
      <c r="R1230" s="277"/>
      <c r="S1230" s="277"/>
      <c r="T1230" s="40"/>
      <c r="U1230" s="278"/>
      <c r="V1230" s="269"/>
      <c r="W1230" s="269"/>
      <c r="X1230" s="275"/>
      <c r="Y1230" s="269"/>
      <c r="Z1230" s="357"/>
      <c r="AA1230" s="207" t="str">
        <f>IFERROR(VLOOKUP(F1230&amp;K1230&amp;M1230,製品マスタ!$M$5:$AM$5002,27,FALSE),"")</f>
        <v/>
      </c>
      <c r="AB1230" s="369"/>
      <c r="AC1230" s="370"/>
      <c r="AD1230" s="332"/>
      <c r="AE1230" s="371">
        <f>+M1230*N1230*O1230/1000</f>
        <v>0</v>
      </c>
      <c r="AF1230" s="372"/>
      <c r="AG1230" s="366"/>
      <c r="AH1230" s="333"/>
      <c r="AI1230" s="333"/>
      <c r="AJ1230" s="333"/>
      <c r="AK1230" s="333"/>
      <c r="AL1230" s="334"/>
      <c r="AM1230" s="334"/>
      <c r="AN1230" s="334"/>
      <c r="AO1230" s="334"/>
      <c r="AP1230" s="334"/>
      <c r="AQ1230" s="335"/>
      <c r="AR1230" s="336"/>
    </row>
    <row r="1231" spans="1:44" s="17" customFormat="1" ht="30.95" hidden="1" customHeight="1" x14ac:dyDescent="0.2">
      <c r="A1231" s="343"/>
      <c r="B1231" s="344"/>
      <c r="C1231" s="345"/>
      <c r="D1231" s="346"/>
      <c r="E1231" s="346"/>
      <c r="F1231" s="268"/>
      <c r="G1231" s="269"/>
      <c r="H1231" s="269"/>
      <c r="I1231" s="270"/>
      <c r="J1231" s="347"/>
      <c r="K1231" s="270"/>
      <c r="L1231" s="270"/>
      <c r="M1231" s="348"/>
      <c r="N1231" s="348"/>
      <c r="O1231" s="349"/>
      <c r="P1231" s="350"/>
      <c r="Q1231" s="276"/>
      <c r="R1231" s="277"/>
      <c r="S1231" s="277"/>
      <c r="T1231" s="351"/>
      <c r="U1231" s="278"/>
      <c r="V1231" s="269"/>
      <c r="W1231" s="269"/>
      <c r="X1231" s="275"/>
      <c r="Y1231" s="269"/>
      <c r="Z1231" s="350"/>
      <c r="AA1231" s="207"/>
      <c r="AB1231" s="352"/>
      <c r="AC1231" s="353"/>
      <c r="AD1231" s="54"/>
      <c r="AE1231" s="354"/>
      <c r="AF1231" s="355"/>
      <c r="AG1231" s="349"/>
      <c r="AH1231" s="30"/>
      <c r="AI1231" s="30"/>
      <c r="AJ1231" s="30"/>
      <c r="AK1231" s="30"/>
      <c r="AL1231" s="13"/>
      <c r="AM1231" s="13"/>
      <c r="AN1231" s="13"/>
      <c r="AO1231" s="13"/>
      <c r="AP1231" s="13"/>
      <c r="AQ1231" s="14"/>
      <c r="AR1231" s="15"/>
    </row>
    <row r="1232" spans="1:44" s="17" customFormat="1" ht="30.95" hidden="1" customHeight="1" x14ac:dyDescent="0.2">
      <c r="A1232" s="343" t="s">
        <v>1931</v>
      </c>
      <c r="B1232" s="344" t="s">
        <v>1409</v>
      </c>
      <c r="C1232" s="345"/>
      <c r="D1232" s="346"/>
      <c r="E1232" s="346"/>
      <c r="F1232" s="268"/>
      <c r="G1232" s="269"/>
      <c r="H1232" s="269"/>
      <c r="I1232" s="270"/>
      <c r="J1232" s="347" t="s">
        <v>1888</v>
      </c>
      <c r="K1232" s="270"/>
      <c r="L1232" s="270"/>
      <c r="M1232" s="348"/>
      <c r="N1232" s="348"/>
      <c r="O1232" s="349"/>
      <c r="P1232" s="350"/>
      <c r="Q1232" s="276"/>
      <c r="R1232" s="277"/>
      <c r="S1232" s="277"/>
      <c r="T1232" s="351"/>
      <c r="U1232" s="278"/>
      <c r="V1232" s="269"/>
      <c r="W1232" s="269"/>
      <c r="X1232" s="275"/>
      <c r="Y1232" s="269"/>
      <c r="Z1232" s="350"/>
      <c r="AA1232" s="207"/>
      <c r="AB1232" s="352"/>
      <c r="AC1232" s="353"/>
      <c r="AD1232" s="54"/>
      <c r="AE1232" s="354"/>
      <c r="AF1232" s="355"/>
      <c r="AG1232" s="349"/>
      <c r="AH1232" s="30"/>
      <c r="AI1232" s="30"/>
      <c r="AJ1232" s="30"/>
      <c r="AK1232" s="30"/>
      <c r="AL1232" s="13"/>
      <c r="AM1232" s="13"/>
      <c r="AN1232" s="13"/>
      <c r="AO1232" s="13"/>
      <c r="AP1232" s="13"/>
      <c r="AQ1232" s="14"/>
      <c r="AR1232" s="15"/>
    </row>
    <row r="1233" spans="1:44" s="17" customFormat="1" ht="30.95" hidden="1" customHeight="1" x14ac:dyDescent="0.2">
      <c r="A1233" s="343"/>
      <c r="B1233" s="344"/>
      <c r="C1233" s="345"/>
      <c r="D1233" s="346"/>
      <c r="E1233" s="346"/>
      <c r="F1233" s="268"/>
      <c r="G1233" s="269"/>
      <c r="H1233" s="269"/>
      <c r="I1233" s="270"/>
      <c r="J1233" s="347"/>
      <c r="K1233" s="270"/>
      <c r="L1233" s="270"/>
      <c r="M1233" s="348"/>
      <c r="N1233" s="348"/>
      <c r="O1233" s="349"/>
      <c r="P1233" s="350"/>
      <c r="Q1233" s="276"/>
      <c r="R1233" s="277"/>
      <c r="S1233" s="277"/>
      <c r="T1233" s="351"/>
      <c r="U1233" s="278"/>
      <c r="V1233" s="269"/>
      <c r="W1233" s="269"/>
      <c r="X1233" s="275"/>
      <c r="Y1233" s="269"/>
      <c r="Z1233" s="350"/>
      <c r="AA1233" s="207"/>
      <c r="AB1233" s="352"/>
      <c r="AC1233" s="353"/>
      <c r="AD1233" s="54"/>
      <c r="AE1233" s="354"/>
      <c r="AF1233" s="355"/>
      <c r="AG1233" s="349"/>
      <c r="AH1233" s="30"/>
      <c r="AI1233" s="30"/>
      <c r="AJ1233" s="30"/>
      <c r="AK1233" s="30"/>
      <c r="AL1233" s="13"/>
      <c r="AM1233" s="13"/>
      <c r="AN1233" s="13"/>
      <c r="AO1233" s="13"/>
      <c r="AP1233" s="13"/>
      <c r="AQ1233" s="14"/>
      <c r="AR1233" s="15"/>
    </row>
    <row r="1234" spans="1:44" s="17" customFormat="1" ht="30.95" hidden="1" customHeight="1" x14ac:dyDescent="0.2">
      <c r="A1234" s="343" t="s">
        <v>1932</v>
      </c>
      <c r="B1234" s="344" t="s">
        <v>1397</v>
      </c>
      <c r="C1234" s="345"/>
      <c r="D1234" s="346"/>
      <c r="E1234" s="346"/>
      <c r="F1234" s="268"/>
      <c r="G1234" s="269"/>
      <c r="H1234" s="269"/>
      <c r="I1234" s="270"/>
      <c r="J1234" s="347" t="s">
        <v>448</v>
      </c>
      <c r="K1234" s="270"/>
      <c r="L1234" s="270"/>
      <c r="M1234" s="348"/>
      <c r="N1234" s="348"/>
      <c r="O1234" s="349"/>
      <c r="P1234" s="350"/>
      <c r="Q1234" s="276"/>
      <c r="R1234" s="277"/>
      <c r="S1234" s="277"/>
      <c r="T1234" s="351"/>
      <c r="U1234" s="278"/>
      <c r="V1234" s="269"/>
      <c r="W1234" s="269"/>
      <c r="X1234" s="275"/>
      <c r="Y1234" s="269"/>
      <c r="Z1234" s="350"/>
      <c r="AA1234" s="207"/>
      <c r="AB1234" s="352"/>
      <c r="AC1234" s="353"/>
      <c r="AD1234" s="54"/>
      <c r="AE1234" s="354"/>
      <c r="AF1234" s="355"/>
      <c r="AG1234" s="349"/>
      <c r="AH1234" s="30"/>
      <c r="AI1234" s="30"/>
      <c r="AJ1234" s="30"/>
      <c r="AK1234" s="30"/>
      <c r="AL1234" s="13"/>
      <c r="AM1234" s="13"/>
      <c r="AN1234" s="13"/>
      <c r="AO1234" s="13"/>
      <c r="AP1234" s="13"/>
      <c r="AQ1234" s="14"/>
      <c r="AR1234" s="15"/>
    </row>
    <row r="1235" spans="1:44" s="17" customFormat="1" ht="30.95" hidden="1" customHeight="1" x14ac:dyDescent="0.2">
      <c r="A1235" s="343"/>
      <c r="B1235" s="344"/>
      <c r="C1235" s="345"/>
      <c r="D1235" s="346"/>
      <c r="E1235" s="346"/>
      <c r="F1235" s="268"/>
      <c r="G1235" s="269"/>
      <c r="H1235" s="269"/>
      <c r="I1235" s="270"/>
      <c r="J1235" s="347"/>
      <c r="K1235" s="270"/>
      <c r="L1235" s="270"/>
      <c r="M1235" s="348"/>
      <c r="N1235" s="348"/>
      <c r="O1235" s="349"/>
      <c r="P1235" s="350"/>
      <c r="Q1235" s="276"/>
      <c r="R1235" s="277"/>
      <c r="S1235" s="277"/>
      <c r="T1235" s="351"/>
      <c r="U1235" s="278"/>
      <c r="V1235" s="269"/>
      <c r="W1235" s="269"/>
      <c r="X1235" s="275"/>
      <c r="Y1235" s="269"/>
      <c r="Z1235" s="350"/>
      <c r="AA1235" s="207"/>
      <c r="AB1235" s="352"/>
      <c r="AC1235" s="353"/>
      <c r="AD1235" s="54"/>
      <c r="AE1235" s="354"/>
      <c r="AF1235" s="355"/>
      <c r="AG1235" s="349"/>
      <c r="AH1235" s="30"/>
      <c r="AI1235" s="30"/>
      <c r="AJ1235" s="30"/>
      <c r="AK1235" s="30"/>
      <c r="AL1235" s="13"/>
      <c r="AM1235" s="13"/>
      <c r="AN1235" s="13"/>
      <c r="AO1235" s="13"/>
      <c r="AP1235" s="13"/>
      <c r="AQ1235" s="14"/>
      <c r="AR1235" s="15"/>
    </row>
    <row r="1236" spans="1:44" s="17" customFormat="1" ht="30.95" hidden="1" customHeight="1" x14ac:dyDescent="0.2">
      <c r="A1236" s="343" t="s">
        <v>1933</v>
      </c>
      <c r="B1236" s="344" t="s">
        <v>392</v>
      </c>
      <c r="C1236" s="345"/>
      <c r="D1236" s="346"/>
      <c r="E1236" s="346"/>
      <c r="F1236" s="268"/>
      <c r="G1236" s="269"/>
      <c r="H1236" s="269"/>
      <c r="I1236" s="270"/>
      <c r="J1236" s="347" t="s">
        <v>448</v>
      </c>
      <c r="K1236" s="270"/>
      <c r="L1236" s="270"/>
      <c r="M1236" s="348"/>
      <c r="N1236" s="348"/>
      <c r="O1236" s="349"/>
      <c r="P1236" s="350"/>
      <c r="Q1236" s="276"/>
      <c r="R1236" s="277"/>
      <c r="S1236" s="277"/>
      <c r="T1236" s="351"/>
      <c r="U1236" s="278"/>
      <c r="V1236" s="269"/>
      <c r="W1236" s="269"/>
      <c r="X1236" s="275"/>
      <c r="Y1236" s="269"/>
      <c r="Z1236" s="350"/>
      <c r="AA1236" s="207"/>
      <c r="AB1236" s="352"/>
      <c r="AC1236" s="353"/>
      <c r="AD1236" s="54"/>
      <c r="AE1236" s="354"/>
      <c r="AF1236" s="355"/>
      <c r="AG1236" s="349"/>
      <c r="AH1236" s="30"/>
      <c r="AI1236" s="30"/>
      <c r="AJ1236" s="30"/>
      <c r="AK1236" s="30"/>
      <c r="AL1236" s="13"/>
      <c r="AM1236" s="13"/>
      <c r="AN1236" s="13"/>
      <c r="AO1236" s="13"/>
      <c r="AP1236" s="13"/>
      <c r="AQ1236" s="14"/>
      <c r="AR1236" s="15"/>
    </row>
    <row r="1237" spans="1:44" s="17" customFormat="1" ht="30.95" hidden="1" customHeight="1" x14ac:dyDescent="0.2">
      <c r="A1237" s="343"/>
      <c r="B1237" s="344"/>
      <c r="C1237" s="345"/>
      <c r="D1237" s="346"/>
      <c r="E1237" s="346"/>
      <c r="F1237" s="268"/>
      <c r="G1237" s="269"/>
      <c r="H1237" s="269"/>
      <c r="I1237" s="270"/>
      <c r="J1237" s="347"/>
      <c r="K1237" s="270"/>
      <c r="L1237" s="270"/>
      <c r="M1237" s="348"/>
      <c r="N1237" s="348"/>
      <c r="O1237" s="349"/>
      <c r="P1237" s="350"/>
      <c r="Q1237" s="276"/>
      <c r="R1237" s="277"/>
      <c r="S1237" s="277"/>
      <c r="T1237" s="351"/>
      <c r="U1237" s="278"/>
      <c r="V1237" s="269"/>
      <c r="W1237" s="269"/>
      <c r="X1237" s="275"/>
      <c r="Y1237" s="269"/>
      <c r="Z1237" s="350"/>
      <c r="AA1237" s="207"/>
      <c r="AB1237" s="352"/>
      <c r="AC1237" s="353"/>
      <c r="AD1237" s="54"/>
      <c r="AE1237" s="354"/>
      <c r="AF1237" s="355"/>
      <c r="AG1237" s="349"/>
      <c r="AH1237" s="30"/>
      <c r="AI1237" s="30"/>
      <c r="AJ1237" s="30"/>
      <c r="AK1237" s="30"/>
      <c r="AL1237" s="13"/>
      <c r="AM1237" s="13"/>
      <c r="AN1237" s="13"/>
      <c r="AO1237" s="13"/>
      <c r="AP1237" s="13"/>
      <c r="AQ1237" s="14"/>
      <c r="AR1237" s="15"/>
    </row>
    <row r="1238" spans="1:44" s="17" customFormat="1" ht="30.95" hidden="1" customHeight="1" x14ac:dyDescent="0.2">
      <c r="A1238" s="343" t="s">
        <v>1934</v>
      </c>
      <c r="B1238" s="344" t="s">
        <v>1402</v>
      </c>
      <c r="C1238" s="345"/>
      <c r="D1238" s="346"/>
      <c r="E1238" s="346"/>
      <c r="F1238" s="268"/>
      <c r="G1238" s="269"/>
      <c r="H1238" s="269"/>
      <c r="I1238" s="270"/>
      <c r="J1238" s="347" t="s">
        <v>1888</v>
      </c>
      <c r="K1238" s="270"/>
      <c r="L1238" s="270"/>
      <c r="M1238" s="348"/>
      <c r="N1238" s="348"/>
      <c r="O1238" s="349"/>
      <c r="P1238" s="350"/>
      <c r="Q1238" s="276"/>
      <c r="R1238" s="277"/>
      <c r="S1238" s="277"/>
      <c r="T1238" s="351"/>
      <c r="U1238" s="278"/>
      <c r="V1238" s="269"/>
      <c r="W1238" s="269"/>
      <c r="X1238" s="275"/>
      <c r="Y1238" s="269"/>
      <c r="Z1238" s="350"/>
      <c r="AA1238" s="207"/>
      <c r="AB1238" s="352"/>
      <c r="AC1238" s="353"/>
      <c r="AD1238" s="54"/>
      <c r="AE1238" s="354"/>
      <c r="AF1238" s="355"/>
      <c r="AG1238" s="349"/>
      <c r="AH1238" s="30"/>
      <c r="AI1238" s="30"/>
      <c r="AJ1238" s="30"/>
      <c r="AK1238" s="30"/>
      <c r="AL1238" s="13"/>
      <c r="AM1238" s="13"/>
      <c r="AN1238" s="13"/>
      <c r="AO1238" s="13"/>
      <c r="AP1238" s="13"/>
      <c r="AQ1238" s="14"/>
      <c r="AR1238" s="15"/>
    </row>
    <row r="1239" spans="1:44" s="17" customFormat="1" ht="30.95" hidden="1" customHeight="1" x14ac:dyDescent="0.2">
      <c r="A1239" s="343"/>
      <c r="B1239" s="344"/>
      <c r="C1239" s="345"/>
      <c r="D1239" s="346"/>
      <c r="E1239" s="346"/>
      <c r="F1239" s="268"/>
      <c r="G1239" s="269"/>
      <c r="H1239" s="269"/>
      <c r="I1239" s="270"/>
      <c r="J1239" s="347"/>
      <c r="K1239" s="270"/>
      <c r="L1239" s="270"/>
      <c r="M1239" s="348"/>
      <c r="N1239" s="348"/>
      <c r="O1239" s="349"/>
      <c r="P1239" s="350"/>
      <c r="Q1239" s="276"/>
      <c r="R1239" s="277"/>
      <c r="S1239" s="277"/>
      <c r="T1239" s="351"/>
      <c r="U1239" s="278"/>
      <c r="V1239" s="269"/>
      <c r="W1239" s="269"/>
      <c r="X1239" s="275"/>
      <c r="Y1239" s="269"/>
      <c r="Z1239" s="350"/>
      <c r="AA1239" s="207"/>
      <c r="AB1239" s="352"/>
      <c r="AC1239" s="353"/>
      <c r="AD1239" s="54"/>
      <c r="AE1239" s="354"/>
      <c r="AF1239" s="355"/>
      <c r="AG1239" s="349"/>
      <c r="AH1239" s="30"/>
      <c r="AI1239" s="30"/>
      <c r="AJ1239" s="30"/>
      <c r="AK1239" s="30"/>
      <c r="AL1239" s="13"/>
      <c r="AM1239" s="13"/>
      <c r="AN1239" s="13"/>
      <c r="AO1239" s="13"/>
      <c r="AP1239" s="13"/>
      <c r="AQ1239" s="14"/>
      <c r="AR1239" s="15"/>
    </row>
    <row r="1240" spans="1:44" s="17" customFormat="1" ht="30.95" hidden="1" customHeight="1" x14ac:dyDescent="0.2">
      <c r="A1240" s="343" t="s">
        <v>1935</v>
      </c>
      <c r="B1240" s="344" t="s">
        <v>1405</v>
      </c>
      <c r="C1240" s="345"/>
      <c r="D1240" s="346"/>
      <c r="E1240" s="346"/>
      <c r="F1240" s="268"/>
      <c r="G1240" s="269"/>
      <c r="H1240" s="269"/>
      <c r="I1240" s="270"/>
      <c r="J1240" s="347" t="s">
        <v>1888</v>
      </c>
      <c r="K1240" s="270"/>
      <c r="L1240" s="270"/>
      <c r="M1240" s="348"/>
      <c r="N1240" s="348"/>
      <c r="O1240" s="349"/>
      <c r="P1240" s="350"/>
      <c r="Q1240" s="276"/>
      <c r="R1240" s="277"/>
      <c r="S1240" s="277"/>
      <c r="T1240" s="351"/>
      <c r="U1240" s="278"/>
      <c r="V1240" s="269"/>
      <c r="W1240" s="269"/>
      <c r="X1240" s="275"/>
      <c r="Y1240" s="269"/>
      <c r="Z1240" s="350"/>
      <c r="AA1240" s="207"/>
      <c r="AB1240" s="352"/>
      <c r="AC1240" s="353"/>
      <c r="AD1240" s="54"/>
      <c r="AE1240" s="354"/>
      <c r="AF1240" s="355"/>
      <c r="AG1240" s="349"/>
      <c r="AH1240" s="30"/>
      <c r="AI1240" s="30"/>
      <c r="AJ1240" s="30"/>
      <c r="AK1240" s="30"/>
      <c r="AL1240" s="13"/>
      <c r="AM1240" s="13"/>
      <c r="AN1240" s="13"/>
      <c r="AO1240" s="13"/>
      <c r="AP1240" s="13"/>
      <c r="AQ1240" s="14"/>
      <c r="AR1240" s="15"/>
    </row>
    <row r="1241" spans="1:44" s="17" customFormat="1" ht="30.95" hidden="1" customHeight="1" x14ac:dyDescent="0.2">
      <c r="A1241" s="343"/>
      <c r="B1241" s="344"/>
      <c r="C1241" s="345"/>
      <c r="D1241" s="346"/>
      <c r="E1241" s="346"/>
      <c r="F1241" s="268"/>
      <c r="G1241" s="269"/>
      <c r="H1241" s="269"/>
      <c r="I1241" s="270"/>
      <c r="J1241" s="347"/>
      <c r="K1241" s="270"/>
      <c r="L1241" s="270"/>
      <c r="M1241" s="348"/>
      <c r="N1241" s="348"/>
      <c r="O1241" s="349"/>
      <c r="P1241" s="350"/>
      <c r="Q1241" s="276"/>
      <c r="R1241" s="277"/>
      <c r="S1241" s="277"/>
      <c r="T1241" s="351"/>
      <c r="U1241" s="278"/>
      <c r="V1241" s="269"/>
      <c r="W1241" s="269"/>
      <c r="X1241" s="275"/>
      <c r="Y1241" s="269"/>
      <c r="Z1241" s="350"/>
      <c r="AA1241" s="207"/>
      <c r="AB1241" s="352"/>
      <c r="AC1241" s="353"/>
      <c r="AD1241" s="54"/>
      <c r="AE1241" s="354"/>
      <c r="AF1241" s="355"/>
      <c r="AG1241" s="349"/>
      <c r="AH1241" s="30"/>
      <c r="AI1241" s="30"/>
      <c r="AJ1241" s="30"/>
      <c r="AK1241" s="30"/>
      <c r="AL1241" s="13"/>
      <c r="AM1241" s="13"/>
      <c r="AN1241" s="13"/>
      <c r="AO1241" s="13"/>
      <c r="AP1241" s="13"/>
      <c r="AQ1241" s="14"/>
      <c r="AR1241" s="15"/>
    </row>
    <row r="1242" spans="1:44" s="17" customFormat="1" ht="30.95" hidden="1" customHeight="1" x14ac:dyDescent="0.2">
      <c r="A1242" s="343" t="s">
        <v>1936</v>
      </c>
      <c r="B1242" s="344" t="s">
        <v>1412</v>
      </c>
      <c r="C1242" s="345"/>
      <c r="D1242" s="346"/>
      <c r="E1242" s="346"/>
      <c r="F1242" s="268"/>
      <c r="G1242" s="269"/>
      <c r="H1242" s="269"/>
      <c r="I1242" s="270"/>
      <c r="J1242" s="347" t="s">
        <v>1888</v>
      </c>
      <c r="K1242" s="270"/>
      <c r="L1242" s="270"/>
      <c r="M1242" s="348"/>
      <c r="N1242" s="348"/>
      <c r="O1242" s="349"/>
      <c r="P1242" s="350"/>
      <c r="Q1242" s="276"/>
      <c r="R1242" s="277"/>
      <c r="S1242" s="277"/>
      <c r="T1242" s="351"/>
      <c r="U1242" s="278"/>
      <c r="V1242" s="269"/>
      <c r="W1242" s="269"/>
      <c r="X1242" s="275"/>
      <c r="Y1242" s="269"/>
      <c r="Z1242" s="350"/>
      <c r="AA1242" s="207"/>
      <c r="AB1242" s="352"/>
      <c r="AC1242" s="353"/>
      <c r="AD1242" s="54"/>
      <c r="AE1242" s="354"/>
      <c r="AF1242" s="355"/>
      <c r="AG1242" s="349"/>
      <c r="AH1242" s="30"/>
      <c r="AI1242" s="30"/>
      <c r="AJ1242" s="30"/>
      <c r="AK1242" s="30"/>
      <c r="AL1242" s="13"/>
      <c r="AM1242" s="13"/>
      <c r="AN1242" s="13"/>
      <c r="AO1242" s="13"/>
      <c r="AP1242" s="13"/>
      <c r="AQ1242" s="14"/>
      <c r="AR1242" s="15"/>
    </row>
    <row r="1243" spans="1:44" s="17" customFormat="1" ht="30.95" hidden="1" customHeight="1" x14ac:dyDescent="0.2">
      <c r="A1243" s="343"/>
      <c r="B1243" s="344"/>
      <c r="C1243" s="345"/>
      <c r="D1243" s="346"/>
      <c r="E1243" s="346"/>
      <c r="F1243" s="268"/>
      <c r="G1243" s="269"/>
      <c r="H1243" s="269"/>
      <c r="I1243" s="270"/>
      <c r="J1243" s="347"/>
      <c r="K1243" s="270"/>
      <c r="L1243" s="270"/>
      <c r="M1243" s="348"/>
      <c r="N1243" s="348"/>
      <c r="O1243" s="349"/>
      <c r="P1243" s="350"/>
      <c r="Q1243" s="276"/>
      <c r="R1243" s="277"/>
      <c r="S1243" s="277"/>
      <c r="T1243" s="351"/>
      <c r="U1243" s="278"/>
      <c r="V1243" s="269"/>
      <c r="W1243" s="269"/>
      <c r="X1243" s="275"/>
      <c r="Y1243" s="269"/>
      <c r="Z1243" s="350"/>
      <c r="AA1243" s="207"/>
      <c r="AB1243" s="352"/>
      <c r="AC1243" s="353"/>
      <c r="AD1243" s="54"/>
      <c r="AE1243" s="354"/>
      <c r="AF1243" s="355"/>
      <c r="AG1243" s="349"/>
      <c r="AH1243" s="30"/>
      <c r="AI1243" s="30"/>
      <c r="AJ1243" s="30"/>
      <c r="AK1243" s="30"/>
      <c r="AL1243" s="13"/>
      <c r="AM1243" s="13"/>
      <c r="AN1243" s="13"/>
      <c r="AO1243" s="13"/>
      <c r="AP1243" s="13"/>
      <c r="AQ1243" s="14"/>
      <c r="AR1243" s="15"/>
    </row>
    <row r="1244" spans="1:44" s="17" customFormat="1" ht="30.95" hidden="1" customHeight="1" x14ac:dyDescent="0.2">
      <c r="A1244" s="343" t="s">
        <v>1937</v>
      </c>
      <c r="B1244" s="344" t="s">
        <v>1408</v>
      </c>
      <c r="C1244" s="345"/>
      <c r="D1244" s="346"/>
      <c r="E1244" s="346"/>
      <c r="F1244" s="268"/>
      <c r="G1244" s="269"/>
      <c r="H1244" s="269"/>
      <c r="I1244" s="270"/>
      <c r="J1244" s="347" t="s">
        <v>1888</v>
      </c>
      <c r="K1244" s="270"/>
      <c r="L1244" s="270"/>
      <c r="M1244" s="348"/>
      <c r="N1244" s="348"/>
      <c r="O1244" s="349"/>
      <c r="P1244" s="350"/>
      <c r="Q1244" s="276"/>
      <c r="R1244" s="277"/>
      <c r="S1244" s="277"/>
      <c r="T1244" s="351"/>
      <c r="U1244" s="278"/>
      <c r="V1244" s="269"/>
      <c r="W1244" s="269"/>
      <c r="X1244" s="275"/>
      <c r="Y1244" s="269"/>
      <c r="Z1244" s="350"/>
      <c r="AA1244" s="207"/>
      <c r="AB1244" s="352"/>
      <c r="AC1244" s="353"/>
      <c r="AD1244" s="54"/>
      <c r="AE1244" s="354"/>
      <c r="AF1244" s="355"/>
      <c r="AG1244" s="349"/>
      <c r="AH1244" s="30"/>
      <c r="AI1244" s="30"/>
      <c r="AJ1244" s="30"/>
      <c r="AK1244" s="30"/>
      <c r="AL1244" s="13"/>
      <c r="AM1244" s="13"/>
      <c r="AN1244" s="13"/>
      <c r="AO1244" s="13"/>
      <c r="AP1244" s="13"/>
      <c r="AQ1244" s="14"/>
      <c r="AR1244" s="15"/>
    </row>
    <row r="1245" spans="1:44" s="17" customFormat="1" ht="30.95" hidden="1" customHeight="1" x14ac:dyDescent="0.2">
      <c r="A1245" s="343"/>
      <c r="B1245" s="344"/>
      <c r="C1245" s="345"/>
      <c r="D1245" s="346"/>
      <c r="E1245" s="346"/>
      <c r="F1245" s="268"/>
      <c r="G1245" s="269"/>
      <c r="H1245" s="269"/>
      <c r="I1245" s="270"/>
      <c r="J1245" s="347"/>
      <c r="K1245" s="270"/>
      <c r="L1245" s="270"/>
      <c r="M1245" s="348"/>
      <c r="N1245" s="348"/>
      <c r="O1245" s="349"/>
      <c r="P1245" s="350"/>
      <c r="Q1245" s="276"/>
      <c r="R1245" s="277"/>
      <c r="S1245" s="277"/>
      <c r="T1245" s="351"/>
      <c r="U1245" s="278"/>
      <c r="V1245" s="269"/>
      <c r="W1245" s="269"/>
      <c r="X1245" s="275"/>
      <c r="Y1245" s="269"/>
      <c r="Z1245" s="350"/>
      <c r="AA1245" s="207"/>
      <c r="AB1245" s="352"/>
      <c r="AC1245" s="353"/>
      <c r="AD1245" s="54"/>
      <c r="AE1245" s="354"/>
      <c r="AF1245" s="355"/>
      <c r="AG1245" s="349"/>
      <c r="AH1245" s="30"/>
      <c r="AI1245" s="30"/>
      <c r="AJ1245" s="30"/>
      <c r="AK1245" s="30"/>
      <c r="AL1245" s="13"/>
      <c r="AM1245" s="13"/>
      <c r="AN1245" s="13"/>
      <c r="AO1245" s="13"/>
      <c r="AP1245" s="13"/>
      <c r="AQ1245" s="14"/>
      <c r="AR1245" s="15"/>
    </row>
    <row r="1246" spans="1:44" s="17" customFormat="1" ht="30.95" hidden="1" customHeight="1" x14ac:dyDescent="0.2">
      <c r="A1246" s="343" t="s">
        <v>1938</v>
      </c>
      <c r="B1246" s="344" t="s">
        <v>1409</v>
      </c>
      <c r="C1246" s="345"/>
      <c r="D1246" s="346"/>
      <c r="E1246" s="346"/>
      <c r="F1246" s="268"/>
      <c r="G1246" s="269"/>
      <c r="H1246" s="269"/>
      <c r="I1246" s="270"/>
      <c r="J1246" s="347" t="s">
        <v>448</v>
      </c>
      <c r="K1246" s="270"/>
      <c r="L1246" s="270"/>
      <c r="M1246" s="348"/>
      <c r="N1246" s="348"/>
      <c r="O1246" s="349"/>
      <c r="P1246" s="350"/>
      <c r="Q1246" s="276"/>
      <c r="R1246" s="277"/>
      <c r="S1246" s="277"/>
      <c r="T1246" s="351"/>
      <c r="U1246" s="278"/>
      <c r="V1246" s="269"/>
      <c r="W1246" s="269"/>
      <c r="X1246" s="275"/>
      <c r="Y1246" s="269"/>
      <c r="Z1246" s="350"/>
      <c r="AA1246" s="207"/>
      <c r="AB1246" s="352"/>
      <c r="AC1246" s="353"/>
      <c r="AD1246" s="54"/>
      <c r="AE1246" s="354"/>
      <c r="AF1246" s="355"/>
      <c r="AG1246" s="349"/>
      <c r="AH1246" s="30"/>
      <c r="AI1246" s="30"/>
      <c r="AJ1246" s="30"/>
      <c r="AK1246" s="30"/>
      <c r="AL1246" s="13"/>
      <c r="AM1246" s="13"/>
      <c r="AN1246" s="13"/>
      <c r="AO1246" s="13"/>
      <c r="AP1246" s="13"/>
      <c r="AQ1246" s="14"/>
      <c r="AR1246" s="15"/>
    </row>
    <row r="1247" spans="1:44" s="17" customFormat="1" ht="30.95" hidden="1" customHeight="1" x14ac:dyDescent="0.2">
      <c r="A1247" s="343"/>
      <c r="B1247" s="344"/>
      <c r="C1247" s="345"/>
      <c r="D1247" s="346"/>
      <c r="E1247" s="346"/>
      <c r="F1247" s="268"/>
      <c r="G1247" s="269"/>
      <c r="H1247" s="269"/>
      <c r="I1247" s="270"/>
      <c r="J1247" s="347"/>
      <c r="K1247" s="270"/>
      <c r="L1247" s="270"/>
      <c r="M1247" s="348"/>
      <c r="N1247" s="348"/>
      <c r="O1247" s="349"/>
      <c r="P1247" s="350"/>
      <c r="Q1247" s="276"/>
      <c r="R1247" s="277"/>
      <c r="S1247" s="277"/>
      <c r="T1247" s="351"/>
      <c r="U1247" s="278"/>
      <c r="V1247" s="269"/>
      <c r="W1247" s="269"/>
      <c r="X1247" s="275"/>
      <c r="Y1247" s="269"/>
      <c r="Z1247" s="350"/>
      <c r="AA1247" s="207"/>
      <c r="AB1247" s="352"/>
      <c r="AC1247" s="353"/>
      <c r="AD1247" s="54"/>
      <c r="AE1247" s="354"/>
      <c r="AF1247" s="355"/>
      <c r="AG1247" s="349"/>
      <c r="AH1247" s="30"/>
      <c r="AI1247" s="30"/>
      <c r="AJ1247" s="30"/>
      <c r="AK1247" s="30"/>
      <c r="AL1247" s="13"/>
      <c r="AM1247" s="13"/>
      <c r="AN1247" s="13"/>
      <c r="AO1247" s="13"/>
      <c r="AP1247" s="13"/>
      <c r="AQ1247" s="14"/>
      <c r="AR1247" s="15"/>
    </row>
    <row r="1248" spans="1:44" s="17" customFormat="1" ht="30.95" hidden="1" customHeight="1" x14ac:dyDescent="0.2">
      <c r="A1248" s="343" t="s">
        <v>1939</v>
      </c>
      <c r="B1248" s="344" t="s">
        <v>1397</v>
      </c>
      <c r="C1248" s="345"/>
      <c r="D1248" s="346"/>
      <c r="E1248" s="346"/>
      <c r="F1248" s="268"/>
      <c r="G1248" s="269"/>
      <c r="H1248" s="269"/>
      <c r="I1248" s="270"/>
      <c r="J1248" s="347" t="s">
        <v>448</v>
      </c>
      <c r="K1248" s="270"/>
      <c r="L1248" s="270"/>
      <c r="M1248" s="348"/>
      <c r="N1248" s="348"/>
      <c r="O1248" s="349"/>
      <c r="P1248" s="350"/>
      <c r="Q1248" s="276"/>
      <c r="R1248" s="277"/>
      <c r="S1248" s="277"/>
      <c r="T1248" s="351"/>
      <c r="U1248" s="278"/>
      <c r="V1248" s="269"/>
      <c r="W1248" s="269"/>
      <c r="X1248" s="275"/>
      <c r="Y1248" s="269"/>
      <c r="Z1248" s="350"/>
      <c r="AA1248" s="207"/>
      <c r="AB1248" s="352"/>
      <c r="AC1248" s="353"/>
      <c r="AD1248" s="54"/>
      <c r="AE1248" s="354"/>
      <c r="AF1248" s="355"/>
      <c r="AG1248" s="349"/>
      <c r="AH1248" s="30"/>
      <c r="AI1248" s="30"/>
      <c r="AJ1248" s="30"/>
      <c r="AK1248" s="30"/>
      <c r="AL1248" s="13"/>
      <c r="AM1248" s="13"/>
      <c r="AN1248" s="13"/>
      <c r="AO1248" s="13"/>
      <c r="AP1248" s="13"/>
      <c r="AQ1248" s="14"/>
      <c r="AR1248" s="15"/>
    </row>
    <row r="1249" spans="1:44" s="17" customFormat="1" ht="30.95" hidden="1" customHeight="1" x14ac:dyDescent="0.2">
      <c r="A1249" s="343"/>
      <c r="B1249" s="344"/>
      <c r="C1249" s="345"/>
      <c r="D1249" s="346"/>
      <c r="E1249" s="346"/>
      <c r="F1249" s="268"/>
      <c r="G1249" s="269"/>
      <c r="H1249" s="269"/>
      <c r="I1249" s="270"/>
      <c r="J1249" s="347"/>
      <c r="K1249" s="270"/>
      <c r="L1249" s="270"/>
      <c r="M1249" s="348"/>
      <c r="N1249" s="348"/>
      <c r="O1249" s="349"/>
      <c r="P1249" s="350"/>
      <c r="Q1249" s="276"/>
      <c r="R1249" s="277"/>
      <c r="S1249" s="277"/>
      <c r="T1249" s="351"/>
      <c r="U1249" s="278"/>
      <c r="V1249" s="269"/>
      <c r="W1249" s="269"/>
      <c r="X1249" s="275"/>
      <c r="Y1249" s="269"/>
      <c r="Z1249" s="350"/>
      <c r="AA1249" s="207"/>
      <c r="AB1249" s="352"/>
      <c r="AC1249" s="353"/>
      <c r="AD1249" s="54"/>
      <c r="AE1249" s="354"/>
      <c r="AF1249" s="355"/>
      <c r="AG1249" s="349"/>
      <c r="AH1249" s="30"/>
      <c r="AI1249" s="30"/>
      <c r="AJ1249" s="30"/>
      <c r="AK1249" s="30"/>
      <c r="AL1249" s="13"/>
      <c r="AM1249" s="13"/>
      <c r="AN1249" s="13"/>
      <c r="AO1249" s="13"/>
      <c r="AP1249" s="13"/>
      <c r="AQ1249" s="14"/>
      <c r="AR1249" s="15"/>
    </row>
    <row r="1250" spans="1:44" s="17" customFormat="1" ht="30.95" hidden="1" customHeight="1" x14ac:dyDescent="0.2">
      <c r="A1250" s="343" t="s">
        <v>1940</v>
      </c>
      <c r="B1250" s="344" t="s">
        <v>392</v>
      </c>
      <c r="C1250" s="345"/>
      <c r="D1250" s="346"/>
      <c r="E1250" s="346"/>
      <c r="F1250" s="268"/>
      <c r="G1250" s="269"/>
      <c r="H1250" s="269"/>
      <c r="I1250" s="270"/>
      <c r="J1250" s="347" t="s">
        <v>448</v>
      </c>
      <c r="K1250" s="270"/>
      <c r="L1250" s="270"/>
      <c r="M1250" s="348"/>
      <c r="N1250" s="348"/>
      <c r="O1250" s="349"/>
      <c r="P1250" s="350"/>
      <c r="Q1250" s="276"/>
      <c r="R1250" s="277"/>
      <c r="S1250" s="277"/>
      <c r="T1250" s="351"/>
      <c r="U1250" s="278"/>
      <c r="V1250" s="269"/>
      <c r="W1250" s="269"/>
      <c r="X1250" s="275"/>
      <c r="Y1250" s="269"/>
      <c r="Z1250" s="350"/>
      <c r="AA1250" s="207"/>
      <c r="AB1250" s="352"/>
      <c r="AC1250" s="353"/>
      <c r="AD1250" s="54"/>
      <c r="AE1250" s="354"/>
      <c r="AF1250" s="355"/>
      <c r="AG1250" s="349"/>
      <c r="AH1250" s="30"/>
      <c r="AI1250" s="30"/>
      <c r="AJ1250" s="30"/>
      <c r="AK1250" s="30"/>
      <c r="AL1250" s="13"/>
      <c r="AM1250" s="13"/>
      <c r="AN1250" s="13"/>
      <c r="AO1250" s="13"/>
      <c r="AP1250" s="13"/>
      <c r="AQ1250" s="14"/>
      <c r="AR1250" s="15"/>
    </row>
    <row r="1251" spans="1:44" s="17" customFormat="1" ht="30.95" hidden="1" customHeight="1" x14ac:dyDescent="0.2">
      <c r="A1251" s="343"/>
      <c r="B1251" s="344"/>
      <c r="C1251" s="345"/>
      <c r="D1251" s="346"/>
      <c r="E1251" s="346"/>
      <c r="F1251" s="268"/>
      <c r="G1251" s="269"/>
      <c r="H1251" s="269"/>
      <c r="I1251" s="270"/>
      <c r="J1251" s="347"/>
      <c r="K1251" s="270"/>
      <c r="L1251" s="270"/>
      <c r="M1251" s="348"/>
      <c r="N1251" s="348"/>
      <c r="O1251" s="349"/>
      <c r="P1251" s="350"/>
      <c r="Q1251" s="276"/>
      <c r="R1251" s="277"/>
      <c r="S1251" s="277"/>
      <c r="T1251" s="351"/>
      <c r="U1251" s="278"/>
      <c r="V1251" s="269"/>
      <c r="W1251" s="269"/>
      <c r="X1251" s="275"/>
      <c r="Y1251" s="269"/>
      <c r="Z1251" s="350"/>
      <c r="AA1251" s="207"/>
      <c r="AB1251" s="352"/>
      <c r="AC1251" s="353"/>
      <c r="AD1251" s="54"/>
      <c r="AE1251" s="354"/>
      <c r="AF1251" s="355"/>
      <c r="AG1251" s="349"/>
      <c r="AH1251" s="30"/>
      <c r="AI1251" s="30"/>
      <c r="AJ1251" s="30"/>
      <c r="AK1251" s="30"/>
      <c r="AL1251" s="13"/>
      <c r="AM1251" s="13"/>
      <c r="AN1251" s="13"/>
      <c r="AO1251" s="13"/>
      <c r="AP1251" s="13"/>
      <c r="AQ1251" s="14"/>
      <c r="AR1251" s="15"/>
    </row>
    <row r="1252" spans="1:44" s="17" customFormat="1" ht="30.95" hidden="1" customHeight="1" x14ac:dyDescent="0.2">
      <c r="A1252" s="343" t="s">
        <v>1941</v>
      </c>
      <c r="B1252" s="344" t="s">
        <v>1402</v>
      </c>
      <c r="C1252" s="345"/>
      <c r="D1252" s="31">
        <v>3741611</v>
      </c>
      <c r="E1252" s="31">
        <v>4170132</v>
      </c>
      <c r="F1252" s="268" t="str">
        <f>IF(D1252="","",VLOOKUP(D1252,契約台帳!$A$3:$K$4986,6,FALSE)&amp;VLOOKUP(D1252,契約台帳!$A$3:$K$4986,7,FALSE)&amp;VLOOKUP(D1252,契約台帳!$A$3:$K$4986,8,FALSE)&amp;VLOOKUP(D1252,契約台帳!$A$3:$K$4986,9,FALSE)&amp;VLOOKUP(D1252,契約台帳!$A$3:$K$4986,11,FALSE))</f>
        <v>3SNMLBMNGTBF</v>
      </c>
      <c r="G1252" s="269" t="str">
        <f>IF(D1252="","",VLOOKUP(F1252,製品マスタ!$G$5:$H$5002,2,FALSE))</f>
        <v>S</v>
      </c>
      <c r="H1252" s="269" t="str">
        <f>IF(D1252="","",VLOOKUP(F1252,製品マスタ!$G$5:$K$5002,5,FALSE))</f>
        <v>MNGTBF</v>
      </c>
      <c r="I1252" s="270" t="str">
        <f>IF(D1252="","",VLOOKUP(F1252,製品マスタ!$G$5:$L$5002,6,FALSE))</f>
        <v>メタルミー　ネーマー　銀艶　Ｂ</v>
      </c>
      <c r="J1252" s="32" t="s">
        <v>464</v>
      </c>
      <c r="K1252" s="270">
        <f>IF(D1252="","",VLOOKUP(D1252,契約台帳!$A$3:$L$4986,12,FALSE))</f>
        <v>25</v>
      </c>
      <c r="L1252" s="270" t="str">
        <f>IF(D1252="","",INDEX(製品マスタ!$Q$5:$Q$5002,MATCH(F1252&amp;K1252,製品マスタ!$AO$5:$AO$5002,0)))</f>
        <v>T62M</v>
      </c>
      <c r="M1252" s="39">
        <v>1125</v>
      </c>
      <c r="N1252" s="39">
        <v>12100</v>
      </c>
      <c r="O1252" s="47">
        <v>1</v>
      </c>
      <c r="P1252" s="356">
        <v>45336</v>
      </c>
      <c r="Q1252" s="276">
        <f>IF(D1252="","",IF(J1252="リード付け",M1252,VLOOKUP(D1252,契約台帳!$A$3:$N$4986,14,FALSE)))</f>
        <v>1125</v>
      </c>
      <c r="R1252" s="277">
        <f>IF(D1252="","",IF(J1252="リード付け",M1252,VLOOKUP(D1252,契約台帳!$A$3:$O$4986,15,FALSE)))</f>
        <v>1125</v>
      </c>
      <c r="S1252" s="277">
        <f>IF(D1252="","",IF(J1252="リード付け",N1252,VLOOKUP(D1252,契約台帳!$A$3:$P$4986,16,FALSE)))</f>
        <v>12100</v>
      </c>
      <c r="T1252" s="40">
        <v>1</v>
      </c>
      <c r="U1252" s="278">
        <f ca="1">IF(D1252="","",IF(OFFSET(D1252,-2,0)=D1252,"",VLOOKUP(D1252,契約台帳!$A$3:$R$4986,18,FALSE)))</f>
        <v>3</v>
      </c>
      <c r="V1252" s="269" t="str">
        <f>IF(J1252="巻返し",VLOOKUP(F1252&amp;K1252&amp;M1252,製品マスタ!$M$5:$AD$5002,18,FALSE),IF(J1252="リード付け","原反コア",IF(J1252="スリット",VLOOKUP(F1252&amp;K1252&amp;Q1252,製品マスタ!$N$5:$AD$5002,17,FALSE),"")))</f>
        <v>原反コア</v>
      </c>
      <c r="W1252" s="269" t="str">
        <f>IF(J1252="巻返し",VLOOKUP(F1252&amp;K1252&amp;M1252,製品マスタ!$M$5:$AE$5002,19,FALSE),IF(J1252="リード付け","-",IF(J1252="スリット",VLOOKUP(F1252&amp;K1252&amp;Q1252,製品マスタ!$N$5:$AE$5002,18,FALSE),"")))</f>
        <v>-</v>
      </c>
      <c r="X1252" s="275">
        <f>IF(D1252="","",VLOOKUP(D1252,契約台帳!$A$3:$Q$4986,17,FALSE))</f>
        <v>2</v>
      </c>
      <c r="Y1252" s="269" t="str">
        <f>IF(D1252="","",VLOOKUP(D1252,契約台帳!$A$3:$E$4986,5,FALSE))</f>
        <v>リンテック㈱</v>
      </c>
      <c r="Z1252" s="350"/>
      <c r="AA1252" s="207"/>
      <c r="AB1252" s="352"/>
      <c r="AC1252" s="353"/>
      <c r="AD1252" s="54"/>
      <c r="AE1252" s="354"/>
      <c r="AF1252" s="355"/>
      <c r="AG1252" s="349"/>
      <c r="AH1252" s="30"/>
      <c r="AI1252" s="30"/>
      <c r="AJ1252" s="30"/>
      <c r="AK1252" s="30"/>
      <c r="AL1252" s="13"/>
      <c r="AM1252" s="13"/>
      <c r="AN1252" s="13"/>
      <c r="AO1252" s="13"/>
      <c r="AP1252" s="13"/>
      <c r="AQ1252" s="14"/>
      <c r="AR1252" s="15"/>
    </row>
    <row r="1253" spans="1:44" s="17" customFormat="1" ht="30.95" hidden="1" customHeight="1" x14ac:dyDescent="0.2">
      <c r="A1253" s="343"/>
      <c r="B1253" s="344"/>
      <c r="C1253" s="345"/>
      <c r="D1253" s="346"/>
      <c r="E1253" s="346"/>
      <c r="F1253" s="268"/>
      <c r="G1253" s="269"/>
      <c r="H1253" s="269"/>
      <c r="I1253" s="270"/>
      <c r="J1253" s="347"/>
      <c r="K1253" s="270"/>
      <c r="L1253" s="270"/>
      <c r="M1253" s="348"/>
      <c r="N1253" s="348"/>
      <c r="O1253" s="349"/>
      <c r="P1253" s="420"/>
      <c r="Q1253" s="276"/>
      <c r="R1253" s="277"/>
      <c r="S1253" s="277"/>
      <c r="T1253" s="351"/>
      <c r="U1253" s="278"/>
      <c r="V1253" s="269"/>
      <c r="W1253" s="269"/>
      <c r="X1253" s="275"/>
      <c r="Y1253" s="269"/>
      <c r="Z1253" s="350"/>
      <c r="AA1253" s="207"/>
      <c r="AB1253" s="352"/>
      <c r="AC1253" s="353"/>
      <c r="AD1253" s="54"/>
      <c r="AE1253" s="354"/>
      <c r="AF1253" s="355"/>
      <c r="AG1253" s="349"/>
      <c r="AH1253" s="30"/>
      <c r="AI1253" s="30"/>
      <c r="AJ1253" s="30"/>
      <c r="AK1253" s="30"/>
      <c r="AL1253" s="13"/>
      <c r="AM1253" s="13"/>
      <c r="AN1253" s="13"/>
      <c r="AO1253" s="13"/>
      <c r="AP1253" s="13"/>
      <c r="AQ1253" s="14"/>
      <c r="AR1253" s="15"/>
    </row>
    <row r="1254" spans="1:44" s="17" customFormat="1" ht="30.95" hidden="1" customHeight="1" x14ac:dyDescent="0.2">
      <c r="A1254" s="343" t="s">
        <v>1942</v>
      </c>
      <c r="B1254" s="344" t="s">
        <v>1405</v>
      </c>
      <c r="C1254" s="345"/>
      <c r="D1254" s="31">
        <v>3741610</v>
      </c>
      <c r="E1254" s="31">
        <v>4170131</v>
      </c>
      <c r="F1254" s="268" t="str">
        <f>IF(D1254="","",VLOOKUP(D1254,契約台帳!$A$3:$K$4986,6,FALSE)&amp;VLOOKUP(D1254,契約台帳!$A$3:$K$4986,7,FALSE)&amp;VLOOKUP(D1254,契約台帳!$A$3:$K$4986,8,FALSE)&amp;VLOOKUP(D1254,契約台帳!$A$3:$K$4986,9,FALSE)&amp;VLOOKUP(D1254,契約台帳!$A$3:$K$4986,11,FALSE))</f>
        <v>3SNMLBMNGTBF</v>
      </c>
      <c r="G1254" s="269" t="str">
        <f>IF(D1254="","",VLOOKUP(F1254,製品マスタ!$G$5:$H$5002,2,FALSE))</f>
        <v>S</v>
      </c>
      <c r="H1254" s="269" t="str">
        <f>IF(D1254="","",VLOOKUP(F1254,製品マスタ!$G$5:$K$5002,5,FALSE))</f>
        <v>MNGTBF</v>
      </c>
      <c r="I1254" s="270" t="str">
        <f>IF(D1254="","",VLOOKUP(F1254,製品マスタ!$G$5:$L$5002,6,FALSE))</f>
        <v>メタルミー　ネーマー　銀艶　Ｂ</v>
      </c>
      <c r="J1254" s="32" t="s">
        <v>464</v>
      </c>
      <c r="K1254" s="270">
        <f>IF(D1254="","",VLOOKUP(D1254,契約台帳!$A$3:$L$4986,12,FALSE))</f>
        <v>25</v>
      </c>
      <c r="L1254" s="270" t="str">
        <f>IF(D1254="","",INDEX(製品マスタ!$Q$5:$Q$5002,MATCH(F1254&amp;K1254,製品マスタ!$AO$5:$AO$5002,0)))</f>
        <v>T62M</v>
      </c>
      <c r="M1254" s="39">
        <v>1005</v>
      </c>
      <c r="N1254" s="39">
        <v>12100</v>
      </c>
      <c r="O1254" s="47">
        <v>2</v>
      </c>
      <c r="P1254" s="356">
        <v>45336</v>
      </c>
      <c r="Q1254" s="276">
        <f>IF(D1254="","",IF(J1254="リード付け",M1254,VLOOKUP(D1254,契約台帳!$A$3:$N$4986,14,FALSE)))</f>
        <v>1005</v>
      </c>
      <c r="R1254" s="277">
        <f>IF(D1254="","",IF(J1254="リード付け",M1254,VLOOKUP(D1254,契約台帳!$A$3:$O$4986,15,FALSE)))</f>
        <v>1005</v>
      </c>
      <c r="S1254" s="277">
        <f>IF(D1254="","",IF(J1254="リード付け",N1254,VLOOKUP(D1254,契約台帳!$A$3:$P$4986,16,FALSE)))</f>
        <v>12100</v>
      </c>
      <c r="T1254" s="40">
        <v>2</v>
      </c>
      <c r="U1254" s="278">
        <f ca="1">IF(D1254="","",IF(OFFSET(D1254,-2,0)=D1254,"",VLOOKUP(D1254,契約台帳!$A$3:$R$4986,18,FALSE)))</f>
        <v>6</v>
      </c>
      <c r="V1254" s="269" t="str">
        <f>IF(J1254="巻返し",VLOOKUP(F1254&amp;K1254&amp;M1254,製品マスタ!$M$5:$AD$5002,18,FALSE),IF(J1254="リード付け","原反コア",IF(J1254="スリット",VLOOKUP(F1254&amp;K1254&amp;Q1254,製品マスタ!$N$5:$AD$5002,17,FALSE),"")))</f>
        <v>原反コア</v>
      </c>
      <c r="W1254" s="269" t="str">
        <f>IF(J1254="巻返し",VLOOKUP(F1254&amp;K1254&amp;M1254,製品マスタ!$M$5:$AE$5002,19,FALSE),IF(J1254="リード付け","-",IF(J1254="スリット",VLOOKUP(F1254&amp;K1254&amp;Q1254,製品マスタ!$N$5:$AE$5002,18,FALSE),"")))</f>
        <v>-</v>
      </c>
      <c r="X1254" s="275">
        <f>IF(D1254="","",VLOOKUP(D1254,契約台帳!$A$3:$Q$4986,17,FALSE))</f>
        <v>2</v>
      </c>
      <c r="Y1254" s="269" t="str">
        <f>IF(D1254="","",VLOOKUP(D1254,契約台帳!$A$3:$E$4986,5,FALSE))</f>
        <v>リンテック㈱</v>
      </c>
      <c r="Z1254" s="350"/>
      <c r="AA1254" s="424" t="s">
        <v>2243</v>
      </c>
      <c r="AB1254" s="352"/>
      <c r="AC1254" s="353"/>
      <c r="AD1254" s="54"/>
      <c r="AE1254" s="354"/>
      <c r="AF1254" s="355"/>
      <c r="AG1254" s="349"/>
      <c r="AH1254" s="30"/>
      <c r="AI1254" s="30"/>
      <c r="AJ1254" s="30"/>
      <c r="AK1254" s="30"/>
      <c r="AL1254" s="13"/>
      <c r="AM1254" s="13"/>
      <c r="AN1254" s="13"/>
      <c r="AO1254" s="13"/>
      <c r="AP1254" s="13"/>
      <c r="AQ1254" s="14"/>
      <c r="AR1254" s="15"/>
    </row>
    <row r="1255" spans="1:44" s="17" customFormat="1" ht="30.95" hidden="1" customHeight="1" x14ac:dyDescent="0.2">
      <c r="A1255" s="343"/>
      <c r="B1255" s="344"/>
      <c r="C1255" s="345"/>
      <c r="D1255" s="346"/>
      <c r="E1255" s="346"/>
      <c r="F1255" s="268"/>
      <c r="G1255" s="269"/>
      <c r="H1255" s="269"/>
      <c r="I1255" s="270"/>
      <c r="J1255" s="347"/>
      <c r="K1255" s="270"/>
      <c r="L1255" s="270"/>
      <c r="M1255" s="348"/>
      <c r="N1255" s="348"/>
      <c r="O1255" s="349"/>
      <c r="P1255" s="350"/>
      <c r="Q1255" s="276"/>
      <c r="R1255" s="277"/>
      <c r="S1255" s="277"/>
      <c r="T1255" s="351"/>
      <c r="U1255" s="278"/>
      <c r="V1255" s="269"/>
      <c r="W1255" s="269"/>
      <c r="X1255" s="275"/>
      <c r="Y1255" s="269"/>
      <c r="Z1255" s="350"/>
      <c r="AA1255" s="207"/>
      <c r="AB1255" s="352"/>
      <c r="AC1255" s="353"/>
      <c r="AD1255" s="54"/>
      <c r="AE1255" s="354"/>
      <c r="AF1255" s="355"/>
      <c r="AG1255" s="349"/>
      <c r="AH1255" s="30"/>
      <c r="AI1255" s="30"/>
      <c r="AJ1255" s="30"/>
      <c r="AK1255" s="30"/>
      <c r="AL1255" s="13"/>
      <c r="AM1255" s="13"/>
      <c r="AN1255" s="13"/>
      <c r="AO1255" s="13"/>
      <c r="AP1255" s="13"/>
      <c r="AQ1255" s="14"/>
      <c r="AR1255" s="15"/>
    </row>
    <row r="1256" spans="1:44" s="17" customFormat="1" ht="30.95" hidden="1" customHeight="1" x14ac:dyDescent="0.2">
      <c r="A1256" s="343" t="s">
        <v>1943</v>
      </c>
      <c r="B1256" s="344" t="s">
        <v>1412</v>
      </c>
      <c r="C1256" s="345"/>
      <c r="D1256" s="31"/>
      <c r="E1256" s="31"/>
      <c r="F1256" s="268"/>
      <c r="G1256" s="269"/>
      <c r="H1256" s="269"/>
      <c r="I1256" s="270"/>
      <c r="J1256" s="32"/>
      <c r="K1256" s="270"/>
      <c r="L1256" s="270"/>
      <c r="M1256" s="39"/>
      <c r="N1256" s="39"/>
      <c r="O1256" s="47"/>
      <c r="P1256" s="57"/>
      <c r="Q1256" s="276"/>
      <c r="R1256" s="277"/>
      <c r="S1256" s="277"/>
      <c r="T1256" s="40"/>
      <c r="U1256" s="278"/>
      <c r="V1256" s="269"/>
      <c r="W1256" s="269"/>
      <c r="X1256" s="275"/>
      <c r="Y1256" s="269"/>
      <c r="Z1256" s="350"/>
      <c r="AA1256" s="207"/>
      <c r="AB1256" s="352"/>
      <c r="AC1256" s="353"/>
      <c r="AD1256" s="54"/>
      <c r="AE1256" s="354"/>
      <c r="AF1256" s="355"/>
      <c r="AG1256" s="349"/>
      <c r="AH1256" s="30"/>
      <c r="AI1256" s="30"/>
      <c r="AJ1256" s="30"/>
      <c r="AK1256" s="30"/>
      <c r="AL1256" s="13"/>
      <c r="AM1256" s="13"/>
      <c r="AN1256" s="13"/>
      <c r="AO1256" s="13"/>
      <c r="AP1256" s="13"/>
      <c r="AQ1256" s="14"/>
      <c r="AR1256" s="15"/>
    </row>
    <row r="1257" spans="1:44" s="17" customFormat="1" ht="30.95" hidden="1" customHeight="1" x14ac:dyDescent="0.2">
      <c r="A1257" s="343"/>
      <c r="B1257" s="344"/>
      <c r="C1257" s="345"/>
      <c r="D1257" s="346"/>
      <c r="E1257" s="346"/>
      <c r="F1257" s="268"/>
      <c r="G1257" s="269"/>
      <c r="H1257" s="269"/>
      <c r="I1257" s="270"/>
      <c r="J1257" s="347"/>
      <c r="K1257" s="270"/>
      <c r="L1257" s="270"/>
      <c r="M1257" s="348"/>
      <c r="N1257" s="348"/>
      <c r="O1257" s="349"/>
      <c r="P1257" s="350"/>
      <c r="Q1257" s="276"/>
      <c r="R1257" s="277"/>
      <c r="S1257" s="277"/>
      <c r="T1257" s="351"/>
      <c r="U1257" s="278"/>
      <c r="V1257" s="269"/>
      <c r="W1257" s="269"/>
      <c r="X1257" s="275"/>
      <c r="Y1257" s="269"/>
      <c r="Z1257" s="350"/>
      <c r="AA1257" s="207"/>
      <c r="AB1257" s="352"/>
      <c r="AC1257" s="353"/>
      <c r="AD1257" s="54"/>
      <c r="AE1257" s="354"/>
      <c r="AF1257" s="355"/>
      <c r="AG1257" s="349"/>
      <c r="AH1257" s="30"/>
      <c r="AI1257" s="30"/>
      <c r="AJ1257" s="30"/>
      <c r="AK1257" s="30"/>
      <c r="AL1257" s="13"/>
      <c r="AM1257" s="13"/>
      <c r="AN1257" s="13"/>
      <c r="AO1257" s="13"/>
      <c r="AP1257" s="13"/>
      <c r="AQ1257" s="14"/>
      <c r="AR1257" s="15"/>
    </row>
    <row r="1258" spans="1:44" s="17" customFormat="1" ht="30.95" hidden="1" customHeight="1" x14ac:dyDescent="0.2">
      <c r="A1258" s="343" t="s">
        <v>1944</v>
      </c>
      <c r="B1258" s="344" t="s">
        <v>1408</v>
      </c>
      <c r="C1258" s="345"/>
      <c r="D1258" s="346"/>
      <c r="E1258" s="346"/>
      <c r="F1258" s="268"/>
      <c r="G1258" s="269"/>
      <c r="H1258" s="269"/>
      <c r="I1258" s="270"/>
      <c r="J1258" s="347"/>
      <c r="K1258" s="270"/>
      <c r="L1258" s="270"/>
      <c r="M1258" s="348"/>
      <c r="N1258" s="348"/>
      <c r="O1258" s="349"/>
      <c r="P1258" s="350"/>
      <c r="Q1258" s="276"/>
      <c r="R1258" s="277"/>
      <c r="S1258" s="277"/>
      <c r="T1258" s="351"/>
      <c r="U1258" s="278"/>
      <c r="V1258" s="269"/>
      <c r="W1258" s="269"/>
      <c r="X1258" s="275"/>
      <c r="Y1258" s="269"/>
      <c r="Z1258" s="350"/>
      <c r="AA1258" s="207"/>
      <c r="AB1258" s="352"/>
      <c r="AC1258" s="353"/>
      <c r="AD1258" s="54"/>
      <c r="AE1258" s="354"/>
      <c r="AF1258" s="355"/>
      <c r="AG1258" s="349"/>
      <c r="AH1258" s="30"/>
      <c r="AI1258" s="30"/>
      <c r="AJ1258" s="30"/>
      <c r="AK1258" s="30"/>
      <c r="AL1258" s="13"/>
      <c r="AM1258" s="13"/>
      <c r="AN1258" s="13"/>
      <c r="AO1258" s="13"/>
      <c r="AP1258" s="13"/>
      <c r="AQ1258" s="14"/>
      <c r="AR1258" s="15"/>
    </row>
    <row r="1259" spans="1:44" s="17" customFormat="1" ht="30.95" hidden="1" customHeight="1" x14ac:dyDescent="0.2">
      <c r="A1259" s="343"/>
      <c r="B1259" s="344"/>
      <c r="C1259" s="345"/>
      <c r="D1259" s="346"/>
      <c r="E1259" s="346"/>
      <c r="F1259" s="268"/>
      <c r="G1259" s="269"/>
      <c r="H1259" s="269"/>
      <c r="I1259" s="270"/>
      <c r="J1259" s="347"/>
      <c r="K1259" s="270"/>
      <c r="L1259" s="270"/>
      <c r="M1259" s="348"/>
      <c r="N1259" s="348"/>
      <c r="O1259" s="349"/>
      <c r="P1259" s="350"/>
      <c r="Q1259" s="276"/>
      <c r="R1259" s="277"/>
      <c r="S1259" s="277"/>
      <c r="T1259" s="351"/>
      <c r="U1259" s="278"/>
      <c r="V1259" s="269"/>
      <c r="W1259" s="269"/>
      <c r="X1259" s="275"/>
      <c r="Y1259" s="269"/>
      <c r="Z1259" s="350"/>
      <c r="AA1259" s="207"/>
      <c r="AB1259" s="352"/>
      <c r="AC1259" s="353"/>
      <c r="AD1259" s="54"/>
      <c r="AE1259" s="354"/>
      <c r="AF1259" s="355"/>
      <c r="AG1259" s="349"/>
      <c r="AH1259" s="30"/>
      <c r="AI1259" s="30"/>
      <c r="AJ1259" s="30"/>
      <c r="AK1259" s="30"/>
      <c r="AL1259" s="13"/>
      <c r="AM1259" s="13"/>
      <c r="AN1259" s="13"/>
      <c r="AO1259" s="13"/>
      <c r="AP1259" s="13"/>
      <c r="AQ1259" s="14"/>
      <c r="AR1259" s="15"/>
    </row>
    <row r="1260" spans="1:44" s="17" customFormat="1" ht="30.95" hidden="1" customHeight="1" x14ac:dyDescent="0.2">
      <c r="A1260" s="343" t="s">
        <v>2256</v>
      </c>
      <c r="B1260" s="344" t="s">
        <v>2257</v>
      </c>
      <c r="C1260" s="345"/>
      <c r="D1260" s="31"/>
      <c r="E1260" s="31"/>
      <c r="F1260" s="268"/>
      <c r="G1260" s="269"/>
      <c r="H1260" s="269"/>
      <c r="I1260" s="270"/>
      <c r="J1260" s="32"/>
      <c r="K1260" s="270"/>
      <c r="L1260" s="270"/>
      <c r="M1260" s="39"/>
      <c r="N1260" s="39"/>
      <c r="O1260" s="47"/>
      <c r="P1260" s="57"/>
      <c r="Q1260" s="276"/>
      <c r="R1260" s="277"/>
      <c r="S1260" s="277"/>
      <c r="T1260" s="40"/>
      <c r="U1260" s="278"/>
      <c r="V1260" s="269"/>
      <c r="W1260" s="269"/>
      <c r="X1260" s="275"/>
      <c r="Y1260" s="269"/>
      <c r="Z1260" s="350"/>
      <c r="AA1260" s="207"/>
      <c r="AB1260" s="352"/>
      <c r="AC1260" s="353"/>
      <c r="AD1260" s="54"/>
      <c r="AE1260" s="354"/>
      <c r="AF1260" s="355"/>
      <c r="AG1260" s="349"/>
      <c r="AH1260" s="30"/>
      <c r="AI1260" s="30"/>
      <c r="AJ1260" s="30"/>
      <c r="AK1260" s="30"/>
      <c r="AL1260" s="13"/>
      <c r="AM1260" s="13"/>
      <c r="AN1260" s="13"/>
      <c r="AO1260" s="13"/>
      <c r="AP1260" s="13"/>
      <c r="AQ1260" s="14"/>
      <c r="AR1260" s="15"/>
    </row>
    <row r="1261" spans="1:44" s="17" customFormat="1" ht="30.95" hidden="1" customHeight="1" x14ac:dyDescent="0.2">
      <c r="A1261" s="343"/>
      <c r="B1261" s="344"/>
      <c r="C1261" s="345"/>
      <c r="D1261" s="346"/>
      <c r="E1261" s="346"/>
      <c r="F1261" s="268"/>
      <c r="G1261" s="269"/>
      <c r="H1261" s="269"/>
      <c r="I1261" s="270"/>
      <c r="J1261" s="347"/>
      <c r="K1261" s="270"/>
      <c r="L1261" s="270"/>
      <c r="M1261" s="348"/>
      <c r="N1261" s="348"/>
      <c r="O1261" s="349"/>
      <c r="P1261" s="350"/>
      <c r="Q1261" s="276"/>
      <c r="R1261" s="277"/>
      <c r="S1261" s="277"/>
      <c r="T1261" s="351"/>
      <c r="U1261" s="278"/>
      <c r="V1261" s="269"/>
      <c r="W1261" s="269"/>
      <c r="X1261" s="275"/>
      <c r="Y1261" s="269"/>
      <c r="Z1261" s="350"/>
      <c r="AA1261" s="207"/>
      <c r="AB1261" s="352"/>
      <c r="AC1261" s="353"/>
      <c r="AD1261" s="54"/>
      <c r="AE1261" s="354"/>
      <c r="AF1261" s="355"/>
      <c r="AG1261" s="349"/>
      <c r="AH1261" s="30"/>
      <c r="AI1261" s="30"/>
      <c r="AJ1261" s="30"/>
      <c r="AK1261" s="30"/>
      <c r="AL1261" s="13"/>
      <c r="AM1261" s="13"/>
      <c r="AN1261" s="13"/>
      <c r="AO1261" s="13"/>
      <c r="AP1261" s="13"/>
      <c r="AQ1261" s="14"/>
      <c r="AR1261" s="15"/>
    </row>
    <row r="1262" spans="1:44" s="17" customFormat="1" ht="30.95" hidden="1" customHeight="1" x14ac:dyDescent="0.2">
      <c r="A1262" s="343" t="s">
        <v>1962</v>
      </c>
      <c r="B1262" s="344" t="s">
        <v>1397</v>
      </c>
      <c r="C1262" s="345"/>
      <c r="D1262" s="346"/>
      <c r="E1262" s="346"/>
      <c r="F1262" s="268"/>
      <c r="G1262" s="269"/>
      <c r="H1262" s="269"/>
      <c r="I1262" s="270"/>
      <c r="J1262" s="347" t="s">
        <v>448</v>
      </c>
      <c r="K1262" s="270"/>
      <c r="L1262" s="270"/>
      <c r="M1262" s="348"/>
      <c r="N1262" s="348"/>
      <c r="O1262" s="349"/>
      <c r="P1262" s="350"/>
      <c r="Q1262" s="276"/>
      <c r="R1262" s="277"/>
      <c r="S1262" s="277"/>
      <c r="T1262" s="351"/>
      <c r="U1262" s="278"/>
      <c r="V1262" s="269"/>
      <c r="W1262" s="269"/>
      <c r="X1262" s="275"/>
      <c r="Y1262" s="269"/>
      <c r="Z1262" s="350"/>
      <c r="AA1262" s="207"/>
      <c r="AB1262" s="352"/>
      <c r="AC1262" s="353"/>
      <c r="AD1262" s="54"/>
      <c r="AE1262" s="354"/>
      <c r="AF1262" s="355"/>
      <c r="AG1262" s="349"/>
      <c r="AH1262" s="30"/>
      <c r="AI1262" s="30"/>
      <c r="AJ1262" s="30"/>
      <c r="AK1262" s="30"/>
      <c r="AL1262" s="13"/>
      <c r="AM1262" s="13"/>
      <c r="AN1262" s="13"/>
      <c r="AO1262" s="13"/>
      <c r="AP1262" s="13"/>
      <c r="AQ1262" s="14"/>
      <c r="AR1262" s="15"/>
    </row>
    <row r="1263" spans="1:44" s="17" customFormat="1" ht="30.95" hidden="1" customHeight="1" x14ac:dyDescent="0.2">
      <c r="A1263" s="343"/>
      <c r="B1263" s="344"/>
      <c r="C1263" s="345"/>
      <c r="D1263" s="346"/>
      <c r="E1263" s="346"/>
      <c r="F1263" s="268"/>
      <c r="G1263" s="269"/>
      <c r="H1263" s="269"/>
      <c r="I1263" s="270"/>
      <c r="J1263" s="347"/>
      <c r="K1263" s="270"/>
      <c r="L1263" s="270"/>
      <c r="M1263" s="348"/>
      <c r="N1263" s="348"/>
      <c r="O1263" s="349"/>
      <c r="P1263" s="350"/>
      <c r="Q1263" s="276"/>
      <c r="R1263" s="277"/>
      <c r="S1263" s="277"/>
      <c r="T1263" s="351"/>
      <c r="U1263" s="278"/>
      <c r="V1263" s="269"/>
      <c r="W1263" s="269"/>
      <c r="X1263" s="275"/>
      <c r="Y1263" s="269"/>
      <c r="Z1263" s="350"/>
      <c r="AA1263" s="207"/>
      <c r="AB1263" s="352"/>
      <c r="AC1263" s="353"/>
      <c r="AD1263" s="54"/>
      <c r="AE1263" s="354"/>
      <c r="AF1263" s="355"/>
      <c r="AG1263" s="349"/>
      <c r="AH1263" s="30"/>
      <c r="AI1263" s="30"/>
      <c r="AJ1263" s="30"/>
      <c r="AK1263" s="30"/>
      <c r="AL1263" s="13"/>
      <c r="AM1263" s="13"/>
      <c r="AN1263" s="13"/>
      <c r="AO1263" s="13"/>
      <c r="AP1263" s="13"/>
      <c r="AQ1263" s="14"/>
      <c r="AR1263" s="15"/>
    </row>
    <row r="1264" spans="1:44" s="17" customFormat="1" ht="30.95" hidden="1" customHeight="1" x14ac:dyDescent="0.2">
      <c r="A1264" s="343" t="s">
        <v>1945</v>
      </c>
      <c r="B1264" s="344" t="s">
        <v>392</v>
      </c>
      <c r="C1264" s="345"/>
      <c r="D1264" s="346"/>
      <c r="E1264" s="346"/>
      <c r="F1264" s="268"/>
      <c r="G1264" s="269"/>
      <c r="H1264" s="269"/>
      <c r="I1264" s="270"/>
      <c r="J1264" s="347" t="s">
        <v>448</v>
      </c>
      <c r="K1264" s="270"/>
      <c r="L1264" s="270"/>
      <c r="M1264" s="348"/>
      <c r="N1264" s="348"/>
      <c r="O1264" s="349"/>
      <c r="P1264" s="350"/>
      <c r="Q1264" s="276"/>
      <c r="R1264" s="277"/>
      <c r="S1264" s="277"/>
      <c r="T1264" s="351"/>
      <c r="U1264" s="278"/>
      <c r="V1264" s="269"/>
      <c r="W1264" s="269"/>
      <c r="X1264" s="275"/>
      <c r="Y1264" s="269"/>
      <c r="Z1264" s="350"/>
      <c r="AA1264" s="207"/>
      <c r="AB1264" s="352"/>
      <c r="AC1264" s="353"/>
      <c r="AD1264" s="54"/>
      <c r="AE1264" s="354"/>
      <c r="AF1264" s="355"/>
      <c r="AG1264" s="349"/>
      <c r="AH1264" s="30"/>
      <c r="AI1264" s="30"/>
      <c r="AJ1264" s="30"/>
      <c r="AK1264" s="30"/>
      <c r="AL1264" s="13"/>
      <c r="AM1264" s="13"/>
      <c r="AN1264" s="13"/>
      <c r="AO1264" s="13"/>
      <c r="AP1264" s="13"/>
      <c r="AQ1264" s="14"/>
      <c r="AR1264" s="15"/>
    </row>
    <row r="1265" spans="1:44" s="17" customFormat="1" ht="30.95" hidden="1" customHeight="1" x14ac:dyDescent="0.2">
      <c r="A1265" s="343"/>
      <c r="B1265" s="344"/>
      <c r="C1265" s="345"/>
      <c r="D1265" s="346"/>
      <c r="E1265" s="346"/>
      <c r="F1265" s="268"/>
      <c r="G1265" s="269"/>
      <c r="H1265" s="269"/>
      <c r="I1265" s="270"/>
      <c r="J1265" s="347"/>
      <c r="K1265" s="270"/>
      <c r="L1265" s="270"/>
      <c r="M1265" s="348"/>
      <c r="N1265" s="348"/>
      <c r="O1265" s="349"/>
      <c r="P1265" s="350"/>
      <c r="Q1265" s="276"/>
      <c r="R1265" s="277"/>
      <c r="S1265" s="277"/>
      <c r="T1265" s="351"/>
      <c r="U1265" s="278"/>
      <c r="V1265" s="269"/>
      <c r="W1265" s="269"/>
      <c r="X1265" s="275"/>
      <c r="Y1265" s="269"/>
      <c r="Z1265" s="350"/>
      <c r="AA1265" s="207"/>
      <c r="AB1265" s="352"/>
      <c r="AC1265" s="353"/>
      <c r="AD1265" s="54"/>
      <c r="AE1265" s="354"/>
      <c r="AF1265" s="355"/>
      <c r="AG1265" s="349"/>
      <c r="AH1265" s="30"/>
      <c r="AI1265" s="30"/>
      <c r="AJ1265" s="30"/>
      <c r="AK1265" s="30"/>
      <c r="AL1265" s="13"/>
      <c r="AM1265" s="13"/>
      <c r="AN1265" s="13"/>
      <c r="AO1265" s="13"/>
      <c r="AP1265" s="13"/>
      <c r="AQ1265" s="14"/>
      <c r="AR1265" s="15"/>
    </row>
    <row r="1266" spans="1:44" s="17" customFormat="1" ht="30.95" hidden="1" customHeight="1" x14ac:dyDescent="0.2">
      <c r="A1266" s="37" t="s">
        <v>2240</v>
      </c>
      <c r="B1266" s="38" t="s">
        <v>2241</v>
      </c>
      <c r="C1266" s="345"/>
      <c r="D1266" s="398"/>
      <c r="E1266" s="31"/>
      <c r="F1266" s="268"/>
      <c r="G1266" s="269"/>
      <c r="H1266" s="269"/>
      <c r="I1266" s="270"/>
      <c r="J1266" s="32"/>
      <c r="K1266" s="270"/>
      <c r="L1266" s="270"/>
      <c r="M1266" s="39"/>
      <c r="N1266" s="39"/>
      <c r="O1266" s="47"/>
      <c r="P1266" s="57"/>
      <c r="Q1266" s="276"/>
      <c r="R1266" s="277"/>
      <c r="S1266" s="277"/>
      <c r="T1266" s="40"/>
      <c r="U1266" s="278"/>
      <c r="V1266" s="269"/>
      <c r="W1266" s="269"/>
      <c r="X1266" s="275"/>
      <c r="Y1266" s="269"/>
      <c r="Z1266" s="357"/>
      <c r="AA1266" s="207"/>
      <c r="AB1266" s="369"/>
      <c r="AC1266" s="370"/>
      <c r="AD1266" s="332"/>
      <c r="AE1266" s="216"/>
      <c r="AF1266" s="43"/>
      <c r="AG1266" s="47"/>
      <c r="AH1266" s="30"/>
      <c r="AI1266" s="30"/>
      <c r="AJ1266" s="30"/>
      <c r="AK1266" s="30"/>
      <c r="AL1266" s="13"/>
      <c r="AM1266" s="13"/>
      <c r="AN1266" s="13"/>
      <c r="AO1266" s="13"/>
      <c r="AP1266" s="13"/>
      <c r="AQ1266" s="14"/>
      <c r="AR1266" s="15"/>
    </row>
    <row r="1267" spans="1:44" s="17" customFormat="1" ht="30.95" hidden="1" customHeight="1" x14ac:dyDescent="0.2">
      <c r="A1267" s="343"/>
      <c r="B1267" s="344"/>
      <c r="C1267" s="345"/>
      <c r="D1267" s="398"/>
      <c r="E1267" s="31"/>
      <c r="F1267" s="268" t="str">
        <f>IF(D1267="","",VLOOKUP(D1267,契約台帳!$A$3:$K$4986,6,FALSE)&amp;VLOOKUP(D1267,契約台帳!$A$3:$K$4986,7,FALSE)&amp;VLOOKUP(D1267,契約台帳!$A$3:$K$4986,8,FALSE)&amp;VLOOKUP(D1267,契約台帳!$A$3:$K$4986,9,FALSE)&amp;VLOOKUP(D1267,契約台帳!$A$3:$K$4986,11,FALSE))</f>
        <v/>
      </c>
      <c r="G1267" s="269" t="str">
        <f>IF(D1267="","",VLOOKUP(F1267,製品マスタ!$G$5:$H$5002,2,FALSE))</f>
        <v/>
      </c>
      <c r="H1267" s="269" t="str">
        <f>IF(D1267="","",VLOOKUP(F1267,製品マスタ!$G$5:$K$5002,5,FALSE))</f>
        <v/>
      </c>
      <c r="I1267" s="270" t="str">
        <f>IF(D1267="","",VLOOKUP(F1267,製品マスタ!$G$5:$L$5002,6,FALSE))</f>
        <v/>
      </c>
      <c r="J1267" s="32"/>
      <c r="K1267" s="270" t="str">
        <f>IF(D1267="","",VLOOKUP(D1267,契約台帳!$A$3:$L$4986,12,FALSE))</f>
        <v/>
      </c>
      <c r="L1267" s="270" t="str">
        <f>IF(D1267="","",INDEX(製品マスタ!$Q$5:$Q$5002,MATCH(F1267&amp;K1267,製品マスタ!$AO$5:$AO$5002,0)))</f>
        <v/>
      </c>
      <c r="M1267" s="39"/>
      <c r="N1267" s="39"/>
      <c r="O1267" s="47"/>
      <c r="P1267" s="57"/>
      <c r="Q1267" s="276" t="str">
        <f>IF(D1267="","",IF(J1267="リード付け",M1267,VLOOKUP(D1267,契約台帳!$A$3:$N$4986,14,FALSE)))</f>
        <v/>
      </c>
      <c r="R1267" s="277" t="str">
        <f>IF(D1267="","",IF(J1267="リード付け",M1267,VLOOKUP(D1267,契約台帳!$A$3:$O$4986,15,FALSE)))</f>
        <v/>
      </c>
      <c r="S1267" s="277" t="str">
        <f>IF(D1267="","",IF(J1267="リード付け",N1267,VLOOKUP(D1267,契約台帳!$A$3:$P$4986,16,FALSE)))</f>
        <v/>
      </c>
      <c r="T1267" s="40"/>
      <c r="U1267" s="278" t="str">
        <f ca="1">IF(D1267="","",IF(OFFSET(D1267,-2,0)=D1267,"",VLOOKUP(D1267,契約台帳!$A$3:$R$4986,18,FALSE)))</f>
        <v/>
      </c>
      <c r="V1267" s="269" t="str">
        <f>IF(J1267="巻返し",VLOOKUP(F1267&amp;K1267&amp;M1267,製品マスタ!$M$5:$AD$5002,18,FALSE),IF(J1267="リード付け","原反コア",IF(J1267="スリット",VLOOKUP(F1267&amp;K1267&amp;Q1267,製品マスタ!$N$5:$AD$5002,17,FALSE),"")))</f>
        <v/>
      </c>
      <c r="W1267" s="269" t="str">
        <f>IF(J1267="巻返し",VLOOKUP(F1267&amp;K1267&amp;M1267,製品マスタ!$M$5:$AE$5002,19,FALSE),IF(J1267="リード付け","-",IF(J1267="スリット",VLOOKUP(F1267&amp;K1267&amp;Q1267,製品マスタ!$N$5:$AE$5002,18,FALSE),"")))</f>
        <v/>
      </c>
      <c r="X1267" s="275" t="str">
        <f>IF(D1267="","",VLOOKUP(D1267,契約台帳!$A$3:$Q$4986,17,FALSE))</f>
        <v/>
      </c>
      <c r="Y1267" s="269" t="str">
        <f>IF(D1267="","",VLOOKUP(D1267,契約台帳!$A$3:$E$4986,5,FALSE))</f>
        <v/>
      </c>
      <c r="Z1267" s="357"/>
      <c r="AA1267" s="207"/>
      <c r="AB1267" s="369"/>
      <c r="AC1267" s="370"/>
      <c r="AD1267" s="332" t="str">
        <f>IF(F1267="","",+F1267&amp;K1267)</f>
        <v/>
      </c>
      <c r="AE1267" s="216">
        <f>+M1267*N1267*O1267/1000</f>
        <v>0</v>
      </c>
      <c r="AF1267" s="43" t="str">
        <f>IF(AD1267="","",VLOOKUP(AD1267,原価マスタ!$A$2:$AJ$1693,13,FALSE))</f>
        <v/>
      </c>
      <c r="AG1267" s="47" t="str">
        <f>IF(AF1267="","",+AE1267*AF1267/100)</f>
        <v/>
      </c>
      <c r="AH1267" s="30"/>
      <c r="AI1267" s="30"/>
      <c r="AJ1267" s="30"/>
      <c r="AK1267" s="30"/>
      <c r="AL1267" s="13"/>
      <c r="AM1267" s="13"/>
      <c r="AN1267" s="13"/>
      <c r="AO1267" s="13"/>
      <c r="AP1267" s="13"/>
      <c r="AQ1267" s="14"/>
      <c r="AR1267" s="15"/>
    </row>
    <row r="1268" spans="1:44" s="17" customFormat="1" ht="30.6" hidden="1" customHeight="1" x14ac:dyDescent="0.2">
      <c r="A1268" s="37" t="s">
        <v>2244</v>
      </c>
      <c r="B1268" s="38" t="s">
        <v>1405</v>
      </c>
      <c r="C1268" s="345"/>
      <c r="D1268" s="398">
        <v>3741600</v>
      </c>
      <c r="E1268" s="31">
        <v>4151606</v>
      </c>
      <c r="F1268" s="268" t="str">
        <f>IF(D1268="","",VLOOKUP(D1268,契約台帳!$A$3:$K$4986,6,FALSE)&amp;VLOOKUP(D1268,契約台帳!$A$3:$K$4986,7,FALSE)&amp;VLOOKUP(D1268,契約台帳!$A$3:$K$4986,8,FALSE)&amp;VLOOKUP(D1268,契約台帳!$A$3:$K$4986,9,FALSE)&amp;VLOOKUP(D1268,契約台帳!$A$3:$K$4986,11,FALSE))</f>
        <v>3SNMLBMTSF</v>
      </c>
      <c r="G1268" s="269" t="str">
        <f>IF(D1268="","",VLOOKUP(F1268,製品マスタ!$G$5:$H$5002,2,FALSE))</f>
        <v>S</v>
      </c>
      <c r="H1268" s="269" t="str">
        <f>IF(D1268="","",VLOOKUP(F1268,製品マスタ!$G$5:$K$5002,5,FALSE))</f>
        <v>MTSF</v>
      </c>
      <c r="I1268" s="270" t="str">
        <f>IF(D1268="","",VLOOKUP(F1268,製品マスタ!$G$5:$L$5002,6,FALSE))</f>
        <v>メタルミー　ＴＳ</v>
      </c>
      <c r="J1268" s="32" t="s">
        <v>447</v>
      </c>
      <c r="K1268" s="270">
        <f>IF(D1268="","",VLOOKUP(D1268,契約台帳!$A$3:$L$4986,12,FALSE))</f>
        <v>50</v>
      </c>
      <c r="L1268" s="270" t="str">
        <f>IF(D1268="","",INDEX(製品マスタ!$Q$5:$Q$5002,MATCH(F1268&amp;K1268,製品マスタ!$AO$5:$AO$5002,0)))</f>
        <v>T62M</v>
      </c>
      <c r="M1268" s="39">
        <v>1255</v>
      </c>
      <c r="N1268" s="39">
        <v>12200</v>
      </c>
      <c r="O1268" s="47">
        <v>3</v>
      </c>
      <c r="P1268" s="57"/>
      <c r="Q1268" s="276">
        <f>IF(D1268="","",IF(J1268="リード付け",M1268,VLOOKUP(D1268,契約台帳!$A$3:$N$4986,14,FALSE)))</f>
        <v>1255</v>
      </c>
      <c r="R1268" s="277">
        <f>IF(D1268="","",IF(J1268="リード付け",M1268,VLOOKUP(D1268,契約台帳!$A$3:$O$4986,15,FALSE)))</f>
        <v>1250</v>
      </c>
      <c r="S1268" s="277">
        <f>IF(D1268="","",IF(J1268="リード付け",N1268,VLOOKUP(D1268,契約台帳!$A$3:$P$4986,16,FALSE)))</f>
        <v>2000</v>
      </c>
      <c r="T1268" s="40">
        <v>18</v>
      </c>
      <c r="U1268" s="278">
        <f ca="1">IF(D1268="","",IF(OFFSET(D1268,-2,0)=D1268,"",VLOOKUP(D1268,契約台帳!$A$3:$R$4986,18,FALSE)))</f>
        <v>21</v>
      </c>
      <c r="V1268" s="269" t="str">
        <f>IF(J1268="巻返し",VLOOKUP(F1268&amp;K1268&amp;M1268,製品マスタ!$M$5:$AD$5002,18,FALSE),IF(J1268="リード付け","原反コア",IF(J1268="スリット",VLOOKUP(F1268&amp;K1268&amp;Q1268,製品マスタ!$N$5:$AD$5002,17,FALSE),"")))</f>
        <v>3ｲﾝﾁSｺｱ</v>
      </c>
      <c r="W1268" s="269">
        <f>IF(J1268="巻返し",VLOOKUP(F1268&amp;K1268&amp;M1268,製品マスタ!$M$5:$AE$5002,19,FALSE),IF(J1268="リード付け","-",IF(J1268="スリット",VLOOKUP(F1268&amp;K1268&amp;Q1268,製品マスタ!$N$5:$AE$5002,18,FALSE),"")))</f>
        <v>1260</v>
      </c>
      <c r="X1268" s="275">
        <f>IF(D1268="","",VLOOKUP(D1268,契約台帳!$A$3:$Q$4986,17,FALSE))</f>
        <v>2</v>
      </c>
      <c r="Y1268" s="269" t="str">
        <f>IF(D1268="","",VLOOKUP(D1268,契約台帳!$A$3:$E$4986,5,FALSE))</f>
        <v>日東電工㈱豊橋工場</v>
      </c>
      <c r="Z1268" s="357">
        <v>45359</v>
      </c>
      <c r="AA1268" s="207"/>
      <c r="AB1268" s="369"/>
      <c r="AC1268" s="370"/>
      <c r="AD1268" s="332" t="str">
        <f>IF(F1268="","",+F1268&amp;K1268)</f>
        <v>3SNMLBMTSF50</v>
      </c>
      <c r="AE1268" s="216">
        <f>+M1268*N1268*O1268/1000</f>
        <v>45933</v>
      </c>
      <c r="AF1268" s="43">
        <f>IF(AD1268="","",VLOOKUP(AD1268,原価マスタ!$A$2:$AJ$1693,13,FALSE))</f>
        <v>95</v>
      </c>
      <c r="AG1268" s="47">
        <f>IF(AF1268="","",+AE1268*AF1268/100)</f>
        <v>43636.35</v>
      </c>
      <c r="AH1268" s="30"/>
      <c r="AI1268" s="30"/>
      <c r="AJ1268" s="30"/>
      <c r="AK1268" s="30"/>
      <c r="AL1268" s="13"/>
      <c r="AM1268" s="13"/>
      <c r="AN1268" s="13"/>
      <c r="AO1268" s="13"/>
      <c r="AP1268" s="13"/>
      <c r="AQ1268" s="14"/>
      <c r="AR1268" s="15"/>
    </row>
    <row r="1269" spans="1:44" s="17" customFormat="1" ht="30.95" hidden="1" customHeight="1" x14ac:dyDescent="0.2">
      <c r="A1269" s="343"/>
      <c r="B1269" s="344"/>
      <c r="C1269" s="345"/>
      <c r="D1269" s="398"/>
      <c r="E1269" s="31"/>
      <c r="F1269" s="268"/>
      <c r="G1269" s="269"/>
      <c r="H1269" s="269"/>
      <c r="I1269" s="270"/>
      <c r="J1269" s="32"/>
      <c r="K1269" s="270"/>
      <c r="L1269" s="270"/>
      <c r="M1269" s="39"/>
      <c r="N1269" s="39"/>
      <c r="O1269" s="47"/>
      <c r="P1269" s="57"/>
      <c r="Q1269" s="276"/>
      <c r="R1269" s="277"/>
      <c r="S1269" s="277"/>
      <c r="T1269" s="40"/>
      <c r="U1269" s="278"/>
      <c r="V1269" s="269"/>
      <c r="W1269" s="269"/>
      <c r="X1269" s="275"/>
      <c r="Y1269" s="269"/>
      <c r="Z1269" s="357"/>
      <c r="AA1269" s="207"/>
      <c r="AB1269" s="369"/>
      <c r="AC1269" s="370"/>
      <c r="AD1269" s="332"/>
      <c r="AE1269" s="216"/>
      <c r="AF1269" s="43"/>
      <c r="AG1269" s="47"/>
      <c r="AH1269" s="30"/>
      <c r="AI1269" s="30"/>
      <c r="AJ1269" s="30"/>
      <c r="AK1269" s="30"/>
      <c r="AL1269" s="13"/>
      <c r="AM1269" s="13"/>
      <c r="AN1269" s="13"/>
      <c r="AO1269" s="13"/>
      <c r="AP1269" s="13"/>
      <c r="AQ1269" s="14"/>
      <c r="AR1269" s="15"/>
    </row>
    <row r="1270" spans="1:44" s="17" customFormat="1" ht="30.6" hidden="1" customHeight="1" x14ac:dyDescent="0.2">
      <c r="A1270" s="37"/>
      <c r="B1270" s="38"/>
      <c r="C1270" s="345"/>
      <c r="D1270" s="398">
        <v>3741600</v>
      </c>
      <c r="E1270" s="31">
        <v>4151605</v>
      </c>
      <c r="F1270" s="268" t="str">
        <f>IF(D1270="","",VLOOKUP(D1270,契約台帳!$A$3:$K$4986,6,FALSE)&amp;VLOOKUP(D1270,契約台帳!$A$3:$K$4986,7,FALSE)&amp;VLOOKUP(D1270,契約台帳!$A$3:$K$4986,8,FALSE)&amp;VLOOKUP(D1270,契約台帳!$A$3:$K$4986,9,FALSE)&amp;VLOOKUP(D1270,契約台帳!$A$3:$K$4986,11,FALSE))</f>
        <v>3SNMLBMTSF</v>
      </c>
      <c r="G1270" s="269" t="str">
        <f>IF(D1270="","",VLOOKUP(F1270,製品マスタ!$G$5:$H$5002,2,FALSE))</f>
        <v>S</v>
      </c>
      <c r="H1270" s="269" t="str">
        <f>IF(D1270="","",VLOOKUP(F1270,製品マスタ!$G$5:$K$5002,5,FALSE))</f>
        <v>MTSF</v>
      </c>
      <c r="I1270" s="270" t="str">
        <f>IF(D1270="","",VLOOKUP(F1270,製品マスタ!$G$5:$L$5002,6,FALSE))</f>
        <v>メタルミー　ＴＳ</v>
      </c>
      <c r="J1270" s="32" t="s">
        <v>447</v>
      </c>
      <c r="K1270" s="270">
        <f>IF(D1270="","",VLOOKUP(D1270,契約台帳!$A$3:$L$4986,12,FALSE))</f>
        <v>50</v>
      </c>
      <c r="L1270" s="270" t="str">
        <f>IF(D1270="","",INDEX(製品マスタ!$Q$5:$Q$5002,MATCH(F1270&amp;K1270,製品マスタ!$AO$5:$AO$5002,0)))</f>
        <v>T62M</v>
      </c>
      <c r="M1270" s="39">
        <v>1255</v>
      </c>
      <c r="N1270" s="39">
        <v>12200</v>
      </c>
      <c r="O1270" s="47">
        <v>1</v>
      </c>
      <c r="P1270" s="57"/>
      <c r="Q1270" s="276">
        <f>IF(D1270="","",IF(J1270="リード付け",M1270,VLOOKUP(D1270,契約台帳!$A$3:$N$4986,14,FALSE)))</f>
        <v>1255</v>
      </c>
      <c r="R1270" s="277">
        <f>IF(D1270="","",IF(J1270="リード付け",M1270,VLOOKUP(D1270,契約台帳!$A$3:$O$4986,15,FALSE)))</f>
        <v>1250</v>
      </c>
      <c r="S1270" s="277">
        <f>IF(D1270="","",IF(J1270="リード付け",N1270,VLOOKUP(D1270,契約台帳!$A$3:$P$4986,16,FALSE)))</f>
        <v>2000</v>
      </c>
      <c r="T1270" s="40">
        <v>3</v>
      </c>
      <c r="U1270" s="278" t="str">
        <f ca="1">IF(D1270="","",IF(OFFSET(D1270,-2,0)=D1270,"",VLOOKUP(D1270,契約台帳!$A$3:$R$4986,18,FALSE)))</f>
        <v/>
      </c>
      <c r="V1270" s="269" t="str">
        <f>IF(J1270="巻返し",VLOOKUP(F1270&amp;K1270&amp;M1270,製品マスタ!$M$5:$AD$5002,18,FALSE),IF(J1270="リード付け","原反コア",IF(J1270="スリット",VLOOKUP(F1270&amp;K1270&amp;Q1270,製品マスタ!$N$5:$AD$5002,17,FALSE),"")))</f>
        <v>3ｲﾝﾁSｺｱ</v>
      </c>
      <c r="W1270" s="269">
        <f>IF(J1270="巻返し",VLOOKUP(F1270&amp;K1270&amp;M1270,製品マスタ!$M$5:$AE$5002,19,FALSE),IF(J1270="リード付け","-",IF(J1270="スリット",VLOOKUP(F1270&amp;K1270&amp;Q1270,製品マスタ!$N$5:$AE$5002,18,FALSE),"")))</f>
        <v>1260</v>
      </c>
      <c r="X1270" s="275">
        <f>IF(D1270="","",VLOOKUP(D1270,契約台帳!$A$3:$Q$4986,17,FALSE))</f>
        <v>2</v>
      </c>
      <c r="Y1270" s="269" t="str">
        <f>IF(D1270="","",VLOOKUP(D1270,契約台帳!$A$3:$E$4986,5,FALSE))</f>
        <v>日東電工㈱豊橋工場</v>
      </c>
      <c r="Z1270" s="357">
        <v>45359</v>
      </c>
      <c r="AA1270" s="207"/>
      <c r="AB1270" s="369"/>
      <c r="AC1270" s="370"/>
      <c r="AD1270" s="332" t="str">
        <f>IF(F1270="","",+F1270&amp;K1270)</f>
        <v>3SNMLBMTSF50</v>
      </c>
      <c r="AE1270" s="216">
        <f>+M1270*N1270*O1270/1000</f>
        <v>15311</v>
      </c>
      <c r="AF1270" s="43">
        <f>IF(AD1270="","",VLOOKUP(AD1270,原価マスタ!$A$2:$AJ$1693,13,FALSE))</f>
        <v>95</v>
      </c>
      <c r="AG1270" s="47">
        <f>IF(AF1270="","",+AE1270*AF1270/100)/2</f>
        <v>7272.7250000000004</v>
      </c>
      <c r="AH1270" s="30"/>
      <c r="AI1270" s="30"/>
      <c r="AJ1270" s="30"/>
      <c r="AK1270" s="30"/>
      <c r="AL1270" s="13"/>
      <c r="AM1270" s="13"/>
      <c r="AN1270" s="13"/>
      <c r="AO1270" s="13"/>
      <c r="AP1270" s="13"/>
      <c r="AQ1270" s="14"/>
      <c r="AR1270" s="15"/>
    </row>
    <row r="1271" spans="1:44" s="17" customFormat="1" ht="30.6" hidden="1" customHeight="1" x14ac:dyDescent="0.2">
      <c r="A1271" s="37"/>
      <c r="B1271" s="38"/>
      <c r="C1271" s="345"/>
      <c r="D1271" s="398">
        <v>3744746</v>
      </c>
      <c r="E1271" s="31"/>
      <c r="F1271" s="268" t="str">
        <f>IF(D1271="","",VLOOKUP(D1271,契約台帳!$A$3:$K$4986,6,FALSE)&amp;VLOOKUP(D1271,契約台帳!$A$3:$K$4986,7,FALSE)&amp;VLOOKUP(D1271,契約台帳!$A$3:$K$4986,8,FALSE)&amp;VLOOKUP(D1271,契約台帳!$A$3:$K$4986,9,FALSE)&amp;VLOOKUP(D1271,契約台帳!$A$3:$K$4986,11,FALSE))</f>
        <v>3TNMLBMTSF</v>
      </c>
      <c r="G1271" s="269" t="str">
        <f>IF(D1271="","",VLOOKUP(F1271,製品マスタ!$G$5:$H$5002,2,FALSE))</f>
        <v>T</v>
      </c>
      <c r="H1271" s="269" t="str">
        <f>IF(D1271="","",VLOOKUP(F1271,製品マスタ!$G$5:$K$5002,5,FALSE))</f>
        <v>MTSF</v>
      </c>
      <c r="I1271" s="270" t="str">
        <f>IF(D1271="","",VLOOKUP(F1271,製品マスタ!$G$5:$L$5002,6,FALSE))</f>
        <v>メタルミー　ＴＳ</v>
      </c>
      <c r="J1271" s="32" t="s">
        <v>447</v>
      </c>
      <c r="K1271" s="270">
        <f>IF(D1271="","",VLOOKUP(D1271,契約台帳!$A$3:$L$4986,12,FALSE))</f>
        <v>50</v>
      </c>
      <c r="L1271" s="270" t="str">
        <f>IF(D1271="","",INDEX(製品マスタ!$Q$5:$Q$5002,MATCH(F1271&amp;K1271,製品マスタ!$AO$5:$AO$5002,0)))</f>
        <v>T62M</v>
      </c>
      <c r="M1271" s="39">
        <v>1255</v>
      </c>
      <c r="N1271" s="39"/>
      <c r="O1271" s="47"/>
      <c r="P1271" s="57"/>
      <c r="Q1271" s="276">
        <f>IF(D1271="","",IF(J1271="リード付け",M1271,VLOOKUP(D1271,契約台帳!$A$3:$N$4986,14,FALSE)))</f>
        <v>1255</v>
      </c>
      <c r="R1271" s="277">
        <f>IF(D1271="","",IF(J1271="リード付け",M1271,VLOOKUP(D1271,契約台帳!$A$3:$O$4986,15,FALSE)))</f>
        <v>1250</v>
      </c>
      <c r="S1271" s="277">
        <f>IF(D1271="","",IF(J1271="リード付け",N1271,VLOOKUP(D1271,契約台帳!$A$3:$P$4986,16,FALSE)))</f>
        <v>3000</v>
      </c>
      <c r="T1271" s="40">
        <v>2</v>
      </c>
      <c r="U1271" s="278">
        <f ca="1">IF(D1271="","",IF(OFFSET(D1271,-2,0)=D1271,"",VLOOKUP(D1271,契約台帳!$A$3:$R$4986,18,FALSE)))</f>
        <v>2</v>
      </c>
      <c r="V1271" s="269" t="s">
        <v>2258</v>
      </c>
      <c r="W1271" s="269">
        <v>1260</v>
      </c>
      <c r="X1271" s="275">
        <f>IF(D1271="","",VLOOKUP(D1271,契約台帳!$A$3:$Q$4986,17,FALSE))</f>
        <v>2</v>
      </c>
      <c r="Y1271" s="269" t="str">
        <f>IF(D1271="","",VLOOKUP(D1271,契約台帳!$A$3:$E$4986,5,FALSE))</f>
        <v>日東電工㈱豊橋工場</v>
      </c>
      <c r="Z1271" s="357">
        <v>45359</v>
      </c>
      <c r="AA1271" s="207" t="s">
        <v>774</v>
      </c>
      <c r="AB1271" s="369"/>
      <c r="AC1271" s="370"/>
      <c r="AD1271" s="332" t="str">
        <f>IF(F1271="","",+F1271&amp;K1271)</f>
        <v>3TNMLBMTSF50</v>
      </c>
      <c r="AE1271" s="216">
        <f>+M1271*N1271*O1271/1000</f>
        <v>0</v>
      </c>
      <c r="AF1271" s="43">
        <v>90</v>
      </c>
      <c r="AG1271" s="47">
        <f>IF(AF1271="","",+AE1270*AF1271/100)/2</f>
        <v>6889.95</v>
      </c>
      <c r="AH1271" s="30"/>
      <c r="AI1271" s="30"/>
      <c r="AJ1271" s="30"/>
      <c r="AK1271" s="30"/>
      <c r="AL1271" s="13"/>
      <c r="AM1271" s="13"/>
      <c r="AN1271" s="13"/>
      <c r="AO1271" s="13"/>
      <c r="AP1271" s="13"/>
      <c r="AQ1271" s="14"/>
      <c r="AR1271" s="15"/>
    </row>
    <row r="1272" spans="1:44" s="17" customFormat="1" ht="30.95" hidden="1" customHeight="1" x14ac:dyDescent="0.2">
      <c r="A1272" s="343"/>
      <c r="B1272" s="344"/>
      <c r="C1272" s="345"/>
      <c r="D1272" s="398"/>
      <c r="E1272" s="31"/>
      <c r="F1272" s="268"/>
      <c r="G1272" s="269"/>
      <c r="H1272" s="269"/>
      <c r="I1272" s="270"/>
      <c r="J1272" s="32"/>
      <c r="K1272" s="270"/>
      <c r="L1272" s="270"/>
      <c r="M1272" s="39"/>
      <c r="N1272" s="39"/>
      <c r="O1272" s="39"/>
      <c r="P1272" s="57"/>
      <c r="Q1272" s="276"/>
      <c r="R1272" s="277"/>
      <c r="S1272" s="277"/>
      <c r="T1272" s="40"/>
      <c r="U1272" s="278"/>
      <c r="V1272" s="269"/>
      <c r="W1272" s="269"/>
      <c r="X1272" s="275"/>
      <c r="Y1272" s="269"/>
      <c r="Z1272" s="357"/>
      <c r="AA1272" s="207"/>
      <c r="AB1272" s="369"/>
      <c r="AC1272" s="370"/>
      <c r="AD1272" s="332"/>
      <c r="AE1272" s="216"/>
      <c r="AF1272" s="43"/>
      <c r="AG1272" s="47"/>
      <c r="AH1272" s="30"/>
      <c r="AI1272" s="30"/>
      <c r="AJ1272" s="30"/>
      <c r="AK1272" s="30"/>
      <c r="AL1272" s="13"/>
      <c r="AM1272" s="13"/>
      <c r="AN1272" s="13"/>
      <c r="AO1272" s="13"/>
      <c r="AP1272" s="13"/>
      <c r="AQ1272" s="14"/>
      <c r="AR1272" s="15"/>
    </row>
    <row r="1273" spans="1:44" s="17" customFormat="1" ht="30.95" hidden="1" customHeight="1" x14ac:dyDescent="0.2">
      <c r="A1273" s="343"/>
      <c r="B1273" s="344"/>
      <c r="C1273" s="345"/>
      <c r="D1273" s="398">
        <v>3741611</v>
      </c>
      <c r="E1273" s="31">
        <v>4151603</v>
      </c>
      <c r="F1273" s="268" t="str">
        <f>IF(D1273="","",VLOOKUP(D1273,契約台帳!$A$3:$K$4986,6,FALSE)&amp;VLOOKUP(D1273,契約台帳!$A$3:$K$4986,7,FALSE)&amp;VLOOKUP(D1273,契約台帳!$A$3:$K$4986,8,FALSE)&amp;VLOOKUP(D1273,契約台帳!$A$3:$K$4986,9,FALSE)&amp;VLOOKUP(D1273,契約台帳!$A$3:$K$4986,11,FALSE))</f>
        <v>3SNMLBMNGTBF</v>
      </c>
      <c r="G1273" s="269" t="str">
        <f>IF(D1273="","",VLOOKUP(F1273,製品マスタ!$G$5:$H$5002,2,FALSE))</f>
        <v>S</v>
      </c>
      <c r="H1273" s="269" t="str">
        <f>IF(D1273="","",VLOOKUP(F1273,製品マスタ!$G$5:$K$5002,5,FALSE))</f>
        <v>MNGTBF</v>
      </c>
      <c r="I1273" s="270" t="str">
        <f>IF(D1273="","",VLOOKUP(F1273,製品マスタ!$G$5:$L$5002,6,FALSE))</f>
        <v>メタルミー　ネーマー　銀艶　Ｂ</v>
      </c>
      <c r="J1273" s="32" t="s">
        <v>447</v>
      </c>
      <c r="K1273" s="270">
        <f>IF(D1273="","",VLOOKUP(D1273,契約台帳!$A$3:$L$4986,12,FALSE))</f>
        <v>25</v>
      </c>
      <c r="L1273" s="270" t="str">
        <f>IF(D1273="","",INDEX(製品マスタ!$Q$5:$Q$5002,MATCH(F1273&amp;K1273,製品マスタ!$AO$5:$AO$5002,0)))</f>
        <v>T62M</v>
      </c>
      <c r="M1273" s="272">
        <v>1125</v>
      </c>
      <c r="N1273" s="273">
        <v>12100</v>
      </c>
      <c r="O1273" s="422">
        <v>1</v>
      </c>
      <c r="P1273" s="57"/>
      <c r="Q1273" s="276">
        <f>IF(D1273="","",IF(J1273="リード付け",M1273,VLOOKUP(D1273,契約台帳!$A$3:$N$4986,14,FALSE)))</f>
        <v>1125</v>
      </c>
      <c r="R1273" s="277">
        <f>IF(D1273="","",IF(J1273="リード付け",M1273,VLOOKUP(D1273,契約台帳!$A$3:$O$4986,15,FALSE)))</f>
        <v>1120</v>
      </c>
      <c r="S1273" s="277">
        <f>IF(D1273="","",IF(J1273="リード付け",N1273,VLOOKUP(D1273,契約台帳!$A$3:$P$4986,16,FALSE)))</f>
        <v>4000</v>
      </c>
      <c r="T1273" s="40">
        <v>3</v>
      </c>
      <c r="U1273" s="278">
        <f ca="1">IF(D1273="","",IF(OFFSET(D1273,-2,0)=D1273,"",VLOOKUP(D1273,契約台帳!$A$3:$R$4986,18,FALSE)))</f>
        <v>3</v>
      </c>
      <c r="V1273" s="269" t="str">
        <f>IF(J1273="巻返し",VLOOKUP(F1273&amp;K1273&amp;M1273,製品マスタ!$M$5:$AD$5002,18,FALSE),IF(J1273="リード付け","原反コア",IF(J1273="スリット",VLOOKUP(F1273&amp;K1273&amp;Q1273,製品マスタ!$N$5:$AD$5002,17,FALSE),"")))</f>
        <v>6ｲﾝﾁSｺｱ</v>
      </c>
      <c r="W1273" s="269">
        <f>IF(J1273="巻返し",VLOOKUP(F1273&amp;K1273&amp;M1273,製品マスタ!$M$5:$AE$5002,19,FALSE),IF(J1273="リード付け","-",IF(J1273="スリット",VLOOKUP(F1273&amp;K1273&amp;Q1273,製品マスタ!$N$5:$AE$5002,18,FALSE),"")))</f>
        <v>1130</v>
      </c>
      <c r="X1273" s="275">
        <f>IF(D1273="","",VLOOKUP(D1273,契約台帳!$A$3:$Q$4986,17,FALSE))</f>
        <v>2</v>
      </c>
      <c r="Y1273" s="269" t="str">
        <f>IF(D1273="","",VLOOKUP(D1273,契約台帳!$A$3:$E$4986,5,FALSE))</f>
        <v>リンテック㈱</v>
      </c>
      <c r="Z1273" s="357">
        <v>45359</v>
      </c>
      <c r="AA1273" s="207"/>
      <c r="AB1273" s="369"/>
      <c r="AC1273" s="370"/>
      <c r="AD1273" s="332" t="str">
        <f>IF(F1273="","",+F1273&amp;K1273)</f>
        <v>3SNMLBMNGTBF25</v>
      </c>
      <c r="AE1273" s="216">
        <f>+M1273*N1273*O1273/1000</f>
        <v>13612.5</v>
      </c>
      <c r="AF1273" s="43">
        <f>IF(AD1273="","",VLOOKUP(AD1273,原価マスタ!$A$2:$AJ$1693,13,FALSE))</f>
        <v>97.5</v>
      </c>
      <c r="AG1273" s="47">
        <f>IF(AF1273="","",+AE1273*AF1273/100)</f>
        <v>13272.1875</v>
      </c>
      <c r="AH1273" s="30"/>
      <c r="AI1273" s="30"/>
      <c r="AJ1273" s="30"/>
      <c r="AK1273" s="30"/>
      <c r="AL1273" s="13"/>
      <c r="AM1273" s="13"/>
      <c r="AN1273" s="13"/>
      <c r="AO1273" s="13"/>
      <c r="AP1273" s="13"/>
      <c r="AQ1273" s="14"/>
      <c r="AR1273" s="15"/>
    </row>
    <row r="1274" spans="1:44" s="17" customFormat="1" ht="30.95" hidden="1" customHeight="1" x14ac:dyDescent="0.2">
      <c r="A1274" s="343"/>
      <c r="B1274" s="344"/>
      <c r="C1274" s="345"/>
      <c r="D1274" s="398"/>
      <c r="E1274" s="31"/>
      <c r="F1274" s="268"/>
      <c r="G1274" s="269"/>
      <c r="H1274" s="269"/>
      <c r="I1274" s="270"/>
      <c r="J1274" s="32"/>
      <c r="K1274" s="270"/>
      <c r="L1274" s="270"/>
      <c r="M1274" s="39"/>
      <c r="N1274" s="39"/>
      <c r="O1274" s="47"/>
      <c r="P1274" s="57"/>
      <c r="Q1274" s="276"/>
      <c r="R1274" s="277"/>
      <c r="S1274" s="277"/>
      <c r="T1274" s="40"/>
      <c r="U1274" s="278"/>
      <c r="V1274" s="269"/>
      <c r="W1274" s="269"/>
      <c r="X1274" s="275"/>
      <c r="Y1274" s="269"/>
      <c r="Z1274" s="357"/>
      <c r="AA1274" s="207"/>
      <c r="AB1274" s="369"/>
      <c r="AC1274" s="370"/>
      <c r="AD1274" s="332"/>
      <c r="AE1274" s="216"/>
      <c r="AF1274" s="43"/>
      <c r="AG1274" s="47"/>
      <c r="AH1274" s="30"/>
      <c r="AI1274" s="30"/>
      <c r="AJ1274" s="30"/>
      <c r="AK1274" s="30"/>
      <c r="AL1274" s="13"/>
      <c r="AM1274" s="13"/>
      <c r="AN1274" s="13"/>
      <c r="AO1274" s="13"/>
      <c r="AP1274" s="13"/>
      <c r="AQ1274" s="14"/>
      <c r="AR1274" s="15"/>
    </row>
    <row r="1275" spans="1:44" s="17" customFormat="1" ht="30.95" hidden="1" customHeight="1" x14ac:dyDescent="0.2">
      <c r="A1275" s="37" t="s">
        <v>2245</v>
      </c>
      <c r="B1275" s="38" t="s">
        <v>1412</v>
      </c>
      <c r="C1275" s="345"/>
      <c r="D1275" s="31">
        <v>3741612</v>
      </c>
      <c r="E1275" s="31">
        <v>4151595</v>
      </c>
      <c r="F1275" s="268" t="str">
        <f>IF(D1275="","",VLOOKUP(D1275,契約台帳!$A$3:$K$4986,6,FALSE)&amp;VLOOKUP(D1275,契約台帳!$A$3:$K$4986,7,FALSE)&amp;VLOOKUP(D1275,契約台帳!$A$3:$K$4986,8,FALSE)&amp;VLOOKUP(D1275,契約台帳!$A$3:$K$4986,9,FALSE)&amp;VLOOKUP(D1275,契約台帳!$A$3:$K$4986,11,FALSE))</f>
        <v>3SNMLBMNGTBF</v>
      </c>
      <c r="G1275" s="269" t="str">
        <f>IF(D1275="","",VLOOKUP(F1275,製品マスタ!$G$5:$H$5002,2,FALSE))</f>
        <v>S</v>
      </c>
      <c r="H1275" s="269" t="str">
        <f>IF(D1275="","",VLOOKUP(F1275,製品マスタ!$G$5:$K$5002,5,FALSE))</f>
        <v>MNGTBF</v>
      </c>
      <c r="I1275" s="270" t="str">
        <f>IF(D1275="","",VLOOKUP(F1275,製品マスタ!$G$5:$L$5002,6,FALSE))</f>
        <v>メタルミー　ネーマー　銀艶　Ｂ</v>
      </c>
      <c r="J1275" s="32" t="s">
        <v>447</v>
      </c>
      <c r="K1275" s="270">
        <f>IF(D1275="","",VLOOKUP(D1275,契約台帳!$A$3:$L$4986,12,FALSE))</f>
        <v>50</v>
      </c>
      <c r="L1275" s="270" t="str">
        <f>IF(D1275="","",INDEX(製品マスタ!$Q$5:$Q$5002,MATCH(F1275&amp;K1275,製品マスタ!$AO$5:$AO$5002,0)))</f>
        <v>T62</v>
      </c>
      <c r="M1275" s="39">
        <v>1120</v>
      </c>
      <c r="N1275" s="39">
        <v>10000</v>
      </c>
      <c r="O1275" s="47">
        <v>6</v>
      </c>
      <c r="P1275" s="57"/>
      <c r="Q1275" s="276">
        <f>IF(D1275="","",IF(J1275="リード付け",M1275,VLOOKUP(D1275,契約台帳!$A$3:$N$4986,14,FALSE)))</f>
        <v>1120</v>
      </c>
      <c r="R1275" s="277">
        <f>IF(D1275="","",IF(J1275="リード付け",M1275,VLOOKUP(D1275,契約台帳!$A$3:$O$4986,15,FALSE)))</f>
        <v>1120</v>
      </c>
      <c r="S1275" s="277">
        <f>IF(D1275="","",IF(J1275="リード付け",N1275,VLOOKUP(D1275,契約台帳!$A$3:$P$4986,16,FALSE)))</f>
        <v>5000</v>
      </c>
      <c r="T1275" s="40">
        <v>12</v>
      </c>
      <c r="U1275" s="278">
        <f ca="1">IF(D1275="","",IF(OFFSET(D1275,-2,0)=D1275,"",VLOOKUP(D1275,契約台帳!$A$3:$R$4986,18,FALSE)))</f>
        <v>24</v>
      </c>
      <c r="V1275" s="269" t="str">
        <f>IF(J1275="巻返し",VLOOKUP(F1275&amp;K1275&amp;M1275,製品マスタ!$M$5:$AD$5002,18,FALSE),IF(J1275="リード付け","原反コア",IF(J1275="スリット",VLOOKUP(F1275&amp;K1275&amp;Q1275,製品マスタ!$N$5:$AD$5002,17,FALSE),"")))</f>
        <v>6ｲﾝﾁSｺｱ</v>
      </c>
      <c r="W1275" s="269">
        <f>IF(J1275="巻返し",VLOOKUP(F1275&amp;K1275&amp;M1275,製品マスタ!$M$5:$AE$5002,19,FALSE),IF(J1275="リード付け","-",IF(J1275="スリット",VLOOKUP(F1275&amp;K1275&amp;Q1275,製品マスタ!$N$5:$AE$5002,18,FALSE),"")))</f>
        <v>1125</v>
      </c>
      <c r="X1275" s="275">
        <f>IF(D1275="","",VLOOKUP(D1275,契約台帳!$A$3:$Q$4986,17,FALSE))</f>
        <v>2</v>
      </c>
      <c r="Y1275" s="269" t="str">
        <f>IF(D1275="","",VLOOKUP(D1275,契約台帳!$A$3:$E$4986,5,FALSE))</f>
        <v>リンテック㈱</v>
      </c>
      <c r="Z1275" s="357">
        <v>45362</v>
      </c>
      <c r="AA1275" s="207"/>
      <c r="AB1275" s="369"/>
      <c r="AC1275" s="370"/>
      <c r="AD1275" s="332" t="str">
        <f>IF(F1275="","",+F1275&amp;K1275)</f>
        <v>3SNMLBMNGTBF50</v>
      </c>
      <c r="AE1275" s="216">
        <f>+M1275*N1275*O1275/1000</f>
        <v>67200</v>
      </c>
      <c r="AF1275" s="43">
        <f>IF(AD1275="","",VLOOKUP(AD1275,原価マスタ!$A$2:$AJ$1693,13,FALSE))</f>
        <v>99</v>
      </c>
      <c r="AG1275" s="47">
        <f>IF(AF1275="","",+AE1275*AF1275/100)</f>
        <v>66528</v>
      </c>
      <c r="AH1275" s="30"/>
      <c r="AI1275" s="30"/>
      <c r="AJ1275" s="30"/>
      <c r="AK1275" s="30"/>
      <c r="AL1275" s="13"/>
      <c r="AM1275" s="13"/>
      <c r="AN1275" s="13"/>
      <c r="AO1275" s="13"/>
      <c r="AP1275" s="13"/>
      <c r="AQ1275" s="14"/>
      <c r="AR1275" s="15"/>
    </row>
    <row r="1276" spans="1:44" s="17" customFormat="1" ht="30.95" hidden="1" customHeight="1" x14ac:dyDescent="0.2">
      <c r="A1276" s="343"/>
      <c r="B1276" s="344"/>
      <c r="C1276" s="345"/>
      <c r="D1276" s="31"/>
      <c r="E1276" s="31"/>
      <c r="F1276" s="268"/>
      <c r="G1276" s="269"/>
      <c r="H1276" s="269"/>
      <c r="I1276" s="270"/>
      <c r="J1276" s="32"/>
      <c r="K1276" s="270"/>
      <c r="L1276" s="270"/>
      <c r="M1276" s="39"/>
      <c r="N1276" s="39"/>
      <c r="O1276" s="47"/>
      <c r="P1276" s="57"/>
      <c r="Q1276" s="276"/>
      <c r="R1276" s="277"/>
      <c r="S1276" s="277"/>
      <c r="T1276" s="40"/>
      <c r="U1276" s="278"/>
      <c r="V1276" s="269"/>
      <c r="W1276" s="269"/>
      <c r="X1276" s="275"/>
      <c r="Y1276" s="269"/>
      <c r="Z1276" s="357"/>
      <c r="AA1276" s="207"/>
      <c r="AB1276" s="369"/>
      <c r="AC1276" s="370"/>
      <c r="AD1276" s="332"/>
      <c r="AE1276" s="216"/>
      <c r="AF1276" s="43"/>
      <c r="AG1276" s="47"/>
      <c r="AH1276" s="30"/>
      <c r="AI1276" s="30"/>
      <c r="AJ1276" s="30"/>
      <c r="AK1276" s="30"/>
      <c r="AL1276" s="13"/>
      <c r="AM1276" s="13"/>
      <c r="AN1276" s="13"/>
      <c r="AO1276" s="13"/>
      <c r="AP1276" s="13"/>
      <c r="AQ1276" s="14"/>
      <c r="AR1276" s="15"/>
    </row>
    <row r="1277" spans="1:44" s="17" customFormat="1" ht="30.95" hidden="1" customHeight="1" x14ac:dyDescent="0.2">
      <c r="A1277" s="37" t="s">
        <v>2246</v>
      </c>
      <c r="B1277" s="38" t="s">
        <v>1408</v>
      </c>
      <c r="C1277" s="345"/>
      <c r="D1277" s="31">
        <v>3741612</v>
      </c>
      <c r="E1277" s="31">
        <v>4151595</v>
      </c>
      <c r="F1277" s="268" t="str">
        <f>IF(D1277="","",VLOOKUP(D1277,契約台帳!$A$3:$K$4986,6,FALSE)&amp;VLOOKUP(D1277,契約台帳!$A$3:$K$4986,7,FALSE)&amp;VLOOKUP(D1277,契約台帳!$A$3:$K$4986,8,FALSE)&amp;VLOOKUP(D1277,契約台帳!$A$3:$K$4986,9,FALSE)&amp;VLOOKUP(D1277,契約台帳!$A$3:$K$4986,11,FALSE))</f>
        <v>3SNMLBMNGTBF</v>
      </c>
      <c r="G1277" s="269" t="str">
        <f>IF(D1277="","",VLOOKUP(F1277,製品マスタ!$G$5:$H$5002,2,FALSE))</f>
        <v>S</v>
      </c>
      <c r="H1277" s="269" t="str">
        <f>IF(D1277="","",VLOOKUP(F1277,製品マスタ!$G$5:$K$5002,5,FALSE))</f>
        <v>MNGTBF</v>
      </c>
      <c r="I1277" s="270" t="str">
        <f>IF(D1277="","",VLOOKUP(F1277,製品マスタ!$G$5:$L$5002,6,FALSE))</f>
        <v>メタルミー　ネーマー　銀艶　Ｂ</v>
      </c>
      <c r="J1277" s="32" t="s">
        <v>447</v>
      </c>
      <c r="K1277" s="270">
        <f>IF(D1277="","",VLOOKUP(D1277,契約台帳!$A$3:$L$4986,12,FALSE))</f>
        <v>50</v>
      </c>
      <c r="L1277" s="270" t="str">
        <f>IF(D1277="","",INDEX(製品マスタ!$Q$5:$Q$5002,MATCH(F1277&amp;K1277,製品マスタ!$AO$5:$AO$5002,0)))</f>
        <v>T62</v>
      </c>
      <c r="M1277" s="39">
        <v>1120</v>
      </c>
      <c r="N1277" s="39">
        <v>10000</v>
      </c>
      <c r="O1277" s="47">
        <v>4</v>
      </c>
      <c r="P1277" s="57"/>
      <c r="Q1277" s="276">
        <f>IF(D1277="","",IF(J1277="リード付け",M1277,VLOOKUP(D1277,契約台帳!$A$3:$N$4986,14,FALSE)))</f>
        <v>1120</v>
      </c>
      <c r="R1277" s="277">
        <f>IF(D1277="","",IF(J1277="リード付け",M1277,VLOOKUP(D1277,契約台帳!$A$3:$O$4986,15,FALSE)))</f>
        <v>1120</v>
      </c>
      <c r="S1277" s="277">
        <f>IF(D1277="","",IF(J1277="リード付け",N1277,VLOOKUP(D1277,契約台帳!$A$3:$P$4986,16,FALSE)))</f>
        <v>5000</v>
      </c>
      <c r="T1277" s="40">
        <v>8</v>
      </c>
      <c r="U1277" s="278" t="str">
        <f ca="1">IF(D1277="","",IF(OFFSET(D1277,-2,0)=D1277,"",VLOOKUP(D1277,契約台帳!$A$3:$R$4986,18,FALSE)))</f>
        <v/>
      </c>
      <c r="V1277" s="269" t="str">
        <f>IF(J1277="巻返し",VLOOKUP(F1277&amp;K1277&amp;M1277,製品マスタ!$M$5:$AD$5002,18,FALSE),IF(J1277="リード付け","原反コア",IF(J1277="スリット",VLOOKUP(F1277&amp;K1277&amp;Q1277,製品マスタ!$N$5:$AD$5002,17,FALSE),"")))</f>
        <v>6ｲﾝﾁSｺｱ</v>
      </c>
      <c r="W1277" s="269">
        <f>IF(J1277="巻返し",VLOOKUP(F1277&amp;K1277&amp;M1277,製品マスタ!$M$5:$AE$5002,19,FALSE),IF(J1277="リード付け","-",IF(J1277="スリット",VLOOKUP(F1277&amp;K1277&amp;Q1277,製品マスタ!$N$5:$AE$5002,18,FALSE),"")))</f>
        <v>1125</v>
      </c>
      <c r="X1277" s="275">
        <f>IF(D1277="","",VLOOKUP(D1277,契約台帳!$A$3:$Q$4986,17,FALSE))</f>
        <v>2</v>
      </c>
      <c r="Y1277" s="269" t="str">
        <f>IF(D1277="","",VLOOKUP(D1277,契約台帳!$A$3:$E$4986,5,FALSE))</f>
        <v>リンテック㈱</v>
      </c>
      <c r="Z1277" s="357">
        <v>45363</v>
      </c>
      <c r="AA1277" s="207"/>
      <c r="AB1277" s="369"/>
      <c r="AC1277" s="370"/>
      <c r="AD1277" s="332" t="str">
        <f>IF(F1277="","",+F1277&amp;K1277)</f>
        <v>3SNMLBMNGTBF50</v>
      </c>
      <c r="AE1277" s="216">
        <f>+M1277*N1277*O1277/1000</f>
        <v>44800</v>
      </c>
      <c r="AF1277" s="43">
        <f>IF(AD1277="","",VLOOKUP(AD1277,原価マスタ!$A$2:$AJ$1693,13,FALSE))</f>
        <v>99</v>
      </c>
      <c r="AG1277" s="47">
        <f>IF(AF1277="","",+AE1277*AF1277/100)</f>
        <v>44352</v>
      </c>
      <c r="AH1277" s="30"/>
      <c r="AI1277" s="30"/>
      <c r="AJ1277" s="30"/>
      <c r="AK1277" s="30"/>
      <c r="AL1277" s="13"/>
      <c r="AM1277" s="13"/>
      <c r="AN1277" s="13"/>
      <c r="AO1277" s="13"/>
      <c r="AP1277" s="13"/>
      <c r="AQ1277" s="14"/>
      <c r="AR1277" s="15"/>
    </row>
    <row r="1278" spans="1:44" s="17" customFormat="1" ht="30.95" hidden="1" customHeight="1" x14ac:dyDescent="0.2">
      <c r="A1278" s="343"/>
      <c r="B1278" s="344"/>
      <c r="C1278" s="345"/>
      <c r="D1278" s="31"/>
      <c r="E1278" s="31"/>
      <c r="F1278" s="268"/>
      <c r="G1278" s="269"/>
      <c r="H1278" s="269"/>
      <c r="I1278" s="270"/>
      <c r="J1278" s="32"/>
      <c r="K1278" s="270"/>
      <c r="L1278" s="270"/>
      <c r="M1278" s="39"/>
      <c r="N1278" s="39"/>
      <c r="O1278" s="47"/>
      <c r="P1278" s="57"/>
      <c r="Q1278" s="276"/>
      <c r="R1278" s="277"/>
      <c r="S1278" s="277"/>
      <c r="T1278" s="40"/>
      <c r="U1278" s="278"/>
      <c r="V1278" s="269"/>
      <c r="W1278" s="269"/>
      <c r="X1278" s="275"/>
      <c r="Y1278" s="269"/>
      <c r="Z1278" s="357"/>
      <c r="AA1278" s="207"/>
      <c r="AB1278" s="369"/>
      <c r="AC1278" s="370"/>
      <c r="AD1278" s="332"/>
      <c r="AE1278" s="216"/>
      <c r="AF1278" s="43"/>
      <c r="AG1278" s="47"/>
      <c r="AH1278" s="30"/>
      <c r="AI1278" s="30"/>
      <c r="AJ1278" s="30"/>
      <c r="AK1278" s="30"/>
      <c r="AL1278" s="13"/>
      <c r="AM1278" s="13"/>
      <c r="AN1278" s="13"/>
      <c r="AO1278" s="13"/>
      <c r="AP1278" s="13"/>
      <c r="AQ1278" s="14"/>
      <c r="AR1278" s="15"/>
    </row>
    <row r="1279" spans="1:44" s="17" customFormat="1" ht="30.95" hidden="1" customHeight="1" x14ac:dyDescent="0.2">
      <c r="A1279" s="37" t="s">
        <v>2247</v>
      </c>
      <c r="B1279" s="38" t="s">
        <v>1409</v>
      </c>
      <c r="C1279" s="345"/>
      <c r="D1279" s="398">
        <v>3741626</v>
      </c>
      <c r="E1279" s="31">
        <v>4151597</v>
      </c>
      <c r="F1279" s="268" t="str">
        <f>IF(D1279="","",VLOOKUP(D1279,契約台帳!$A$3:$K$4986,6,FALSE)&amp;VLOOKUP(D1279,契約台帳!$A$3:$K$4986,7,FALSE)&amp;VLOOKUP(D1279,契約台帳!$A$3:$K$4986,8,FALSE)&amp;VLOOKUP(D1279,契約台帳!$A$3:$K$4986,9,FALSE)&amp;VLOOKUP(D1279,契約台帳!$A$3:$K$4986,11,FALSE))</f>
        <v>3SYMLBMSBBF</v>
      </c>
      <c r="G1279" s="269" t="str">
        <f>IF(D1279="","",VLOOKUP(F1279,製品マスタ!$G$5:$H$5002,2,FALSE))</f>
        <v>S</v>
      </c>
      <c r="H1279" s="269" t="str">
        <f>IF(D1279="","",VLOOKUP(F1279,製品マスタ!$G$5:$K$5002,5,FALSE))</f>
        <v>MSBBF</v>
      </c>
      <c r="I1279" s="270" t="str">
        <f>IF(D1279="","",VLOOKUP(F1279,製品マスタ!$G$5:$L$5002,6,FALSE))</f>
        <v>ＭＥＴＡＬＵＭＹ　ＳＩＬＶＥＲ　ＢＲＩＧＨＴ　Ｔ６２Ｍ　Ｂ</v>
      </c>
      <c r="J1279" s="32" t="s">
        <v>447</v>
      </c>
      <c r="K1279" s="270">
        <f>IF(D1279="","",VLOOKUP(D1279,契約台帳!$A$3:$L$4986,12,FALSE))</f>
        <v>50</v>
      </c>
      <c r="L1279" s="270" t="str">
        <f>IF(D1279="","",INDEX(製品マスタ!$Q$5:$Q$5002,MATCH(F1279&amp;K1279,製品マスタ!$AO$5:$AO$5002,0)))</f>
        <v>T62</v>
      </c>
      <c r="M1279" s="39">
        <v>1120</v>
      </c>
      <c r="N1279" s="39">
        <v>10000</v>
      </c>
      <c r="O1279" s="421">
        <v>1</v>
      </c>
      <c r="P1279" s="57"/>
      <c r="Q1279" s="276">
        <f>IF(D1279="","",IF(J1279="リード付け",M1279,VLOOKUP(D1279,契約台帳!$A$3:$N$4986,14,FALSE)))</f>
        <v>1120</v>
      </c>
      <c r="R1279" s="277">
        <f>IF(D1279="","",IF(J1279="リード付け",M1279,VLOOKUP(D1279,契約台帳!$A$3:$O$4986,15,FALSE)))</f>
        <v>1120</v>
      </c>
      <c r="S1279" s="277">
        <f>IF(D1279="","",IF(J1279="リード付け",N1279,VLOOKUP(D1279,契約台帳!$A$3:$P$4986,16,FALSE)))</f>
        <v>5000</v>
      </c>
      <c r="T1279" s="40">
        <v>2</v>
      </c>
      <c r="U1279" s="278">
        <f ca="1">IF(D1279="","",IF(OFFSET(D1279,-2,0)=D1279,"",VLOOKUP(D1279,契約台帳!$A$3:$R$4986,18,FALSE)))</f>
        <v>2</v>
      </c>
      <c r="V1279" s="269" t="str">
        <f>IF(J1279="巻返し",VLOOKUP(F1279&amp;K1279&amp;M1279,製品マスタ!$M$5:$AD$5002,18,FALSE),IF(J1279="リード付け","原反コア",IF(J1279="スリット",VLOOKUP(F1279&amp;K1279&amp;Q1279,製品マスタ!$N$5:$AD$5002,17,FALSE),"")))</f>
        <v>6ｲﾝﾁSｺｱ</v>
      </c>
      <c r="W1279" s="269">
        <f>IF(J1279="巻返し",VLOOKUP(F1279&amp;K1279&amp;M1279,製品マスタ!$M$5:$AE$5002,19,FALSE),IF(J1279="リード付け","-",IF(J1279="スリット",VLOOKUP(F1279&amp;K1279&amp;Q1279,製品マスタ!$N$5:$AE$5002,18,FALSE),"")))</f>
        <v>1125</v>
      </c>
      <c r="X1279" s="275">
        <f>IF(D1279="","",VLOOKUP(D1279,契約台帳!$A$3:$Q$4986,17,FALSE))</f>
        <v>2</v>
      </c>
      <c r="Y1279" s="269" t="str">
        <f>IF(D1279="","",VLOOKUP(D1279,契約台帳!$A$3:$E$4986,5,FALSE))</f>
        <v>リンテック㈱</v>
      </c>
      <c r="Z1279" s="357">
        <v>45364</v>
      </c>
      <c r="AA1279" s="207"/>
      <c r="AB1279" s="369"/>
      <c r="AC1279" s="370"/>
      <c r="AD1279" s="332" t="str">
        <f t="shared" ref="AD1279:AD1287" si="0">IF(F1279="","",+F1279&amp;K1279)</f>
        <v>3SYMLBMSBBF50</v>
      </c>
      <c r="AE1279" s="216">
        <f t="shared" ref="AE1279:AE1287" si="1">+M1279*N1279*O1279/1000</f>
        <v>11200</v>
      </c>
      <c r="AF1279" s="43">
        <f>IF(AD1279="","",VLOOKUP(AD1279,原価マスタ!$A$2:$AJ$1693,13,FALSE))</f>
        <v>99</v>
      </c>
      <c r="AG1279" s="47">
        <f t="shared" ref="AG1279:AG1287" si="2">IF(AF1279="","",+AE1279*AF1279/100)</f>
        <v>11088</v>
      </c>
      <c r="AH1279" s="30"/>
      <c r="AI1279" s="30"/>
      <c r="AJ1279" s="30"/>
      <c r="AK1279" s="30"/>
      <c r="AL1279" s="13"/>
      <c r="AM1279" s="13"/>
      <c r="AN1279" s="13"/>
      <c r="AO1279" s="13"/>
      <c r="AP1279" s="13"/>
      <c r="AQ1279" s="14"/>
      <c r="AR1279" s="15"/>
    </row>
    <row r="1280" spans="1:44" s="17" customFormat="1" ht="30.95" hidden="1" customHeight="1" x14ac:dyDescent="0.2">
      <c r="A1280" s="343"/>
      <c r="B1280" s="344"/>
      <c r="C1280" s="345"/>
      <c r="D1280" s="398"/>
      <c r="E1280" s="31"/>
      <c r="F1280" s="268" t="str">
        <f>IF(D1280="","",VLOOKUP(D1280,契約台帳!$A$3:$K$4986,6,FALSE)&amp;VLOOKUP(D1280,契約台帳!$A$3:$K$4986,7,FALSE)&amp;VLOOKUP(D1280,契約台帳!$A$3:$K$4986,8,FALSE)&amp;VLOOKUP(D1280,契約台帳!$A$3:$K$4986,9,FALSE)&amp;VLOOKUP(D1280,契約台帳!$A$3:$K$4986,11,FALSE))</f>
        <v/>
      </c>
      <c r="G1280" s="269" t="str">
        <f>IF(D1280="","",VLOOKUP(F1280,製品マスタ!$G$5:$H$5002,2,FALSE))</f>
        <v/>
      </c>
      <c r="H1280" s="269" t="str">
        <f>IF(D1280="","",VLOOKUP(F1280,製品マスタ!$G$5:$K$5002,5,FALSE))</f>
        <v/>
      </c>
      <c r="I1280" s="270" t="str">
        <f>IF(D1280="","",VLOOKUP(F1280,製品マスタ!$G$5:$L$5002,6,FALSE))</f>
        <v/>
      </c>
      <c r="J1280" s="32"/>
      <c r="K1280" s="270" t="str">
        <f>IF(D1280="","",VLOOKUP(D1280,契約台帳!$A$3:$L$4986,12,FALSE))</f>
        <v/>
      </c>
      <c r="L1280" s="270" t="str">
        <f>IF(D1280="","",INDEX(製品マスタ!$Q$5:$Q$5002,MATCH(F1280&amp;K1280,製品マスタ!$AO$5:$AO$5002,0)))</f>
        <v/>
      </c>
      <c r="M1280" s="39"/>
      <c r="N1280" s="39"/>
      <c r="O1280" s="40"/>
      <c r="P1280" s="57"/>
      <c r="Q1280" s="276" t="str">
        <f>IF(D1280="","",IF(J1280="リード付け",M1280,VLOOKUP(D1280,契約台帳!$A$3:$N$4986,14,FALSE)))</f>
        <v/>
      </c>
      <c r="R1280" s="277" t="str">
        <f>IF(D1280="","",IF(J1280="リード付け",M1280,VLOOKUP(D1280,契約台帳!$A$3:$O$4986,15,FALSE)))</f>
        <v/>
      </c>
      <c r="S1280" s="277" t="str">
        <f>IF(D1280="","",IF(J1280="リード付け",N1280,VLOOKUP(D1280,契約台帳!$A$3:$P$4986,16,FALSE)))</f>
        <v/>
      </c>
      <c r="T1280" s="40"/>
      <c r="U1280" s="278" t="str">
        <f ca="1">IF(D1280="","",IF(OFFSET(D1280,-2,0)=D1280,"",VLOOKUP(D1280,契約台帳!$A$3:$R$4986,18,FALSE)))</f>
        <v/>
      </c>
      <c r="V1280" s="269" t="str">
        <f>IF(J1280="巻返し",VLOOKUP(F1280&amp;K1280&amp;M1280,製品マスタ!$M$5:$AD$5002,18,FALSE),IF(J1280="リード付け","原反コア",IF(J1280="スリット",VLOOKUP(F1280&amp;K1280&amp;Q1280,製品マスタ!$N$5:$AD$5002,17,FALSE),"")))</f>
        <v/>
      </c>
      <c r="W1280" s="269" t="str">
        <f>IF(J1280="巻返し",VLOOKUP(F1280&amp;K1280&amp;M1280,製品マスタ!$M$5:$AE$5002,19,FALSE),IF(J1280="リード付け","-",IF(J1280="スリット",VLOOKUP(F1280&amp;K1280&amp;Q1280,製品マスタ!$N$5:$AE$5002,18,FALSE),"")))</f>
        <v/>
      </c>
      <c r="X1280" s="275" t="str">
        <f>IF(D1280="","",VLOOKUP(D1280,契約台帳!$A$3:$Q$4986,17,FALSE))</f>
        <v/>
      </c>
      <c r="Y1280" s="269" t="str">
        <f>IF(D1280="","",VLOOKUP(D1280,契約台帳!$A$3:$E$4986,5,FALSE))</f>
        <v/>
      </c>
      <c r="Z1280" s="357"/>
      <c r="AA1280" s="207"/>
      <c r="AB1280" s="369"/>
      <c r="AC1280" s="370"/>
      <c r="AD1280" s="332" t="str">
        <f t="shared" si="0"/>
        <v/>
      </c>
      <c r="AE1280" s="216">
        <f t="shared" si="1"/>
        <v>0</v>
      </c>
      <c r="AF1280" s="43" t="str">
        <f>IF(AD1280="","",VLOOKUP(AD1280,原価マスタ!$A$2:$AJ$1693,13,FALSE))</f>
        <v/>
      </c>
      <c r="AG1280" s="47" t="str">
        <f t="shared" si="2"/>
        <v/>
      </c>
      <c r="AH1280" s="30"/>
      <c r="AI1280" s="30"/>
      <c r="AJ1280" s="30"/>
      <c r="AK1280" s="30"/>
      <c r="AL1280" s="13"/>
      <c r="AM1280" s="13"/>
      <c r="AN1280" s="13"/>
      <c r="AO1280" s="13"/>
      <c r="AP1280" s="13"/>
      <c r="AQ1280" s="14"/>
      <c r="AR1280" s="15"/>
    </row>
    <row r="1281" spans="1:44" s="17" customFormat="1" ht="30.95" hidden="1" customHeight="1" x14ac:dyDescent="0.2">
      <c r="A1281" s="37"/>
      <c r="B1281" s="38"/>
      <c r="C1281" s="345"/>
      <c r="D1281" s="398">
        <v>3741625</v>
      </c>
      <c r="E1281" s="31">
        <v>4151598</v>
      </c>
      <c r="F1281" s="268" t="str">
        <f>IF(D1281="","",VLOOKUP(D1281,契約台帳!$A$3:$K$4986,6,FALSE)&amp;VLOOKUP(D1281,契約台帳!$A$3:$K$4986,7,FALSE)&amp;VLOOKUP(D1281,契約台帳!$A$3:$K$4986,8,FALSE)&amp;VLOOKUP(D1281,契約台帳!$A$3:$K$4986,9,FALSE)&amp;VLOOKUP(D1281,契約台帳!$A$3:$K$4986,11,FALSE))</f>
        <v>3SYMLBMSNMBF</v>
      </c>
      <c r="G1281" s="269" t="str">
        <f>IF(D1281="","",VLOOKUP(F1281,製品マスタ!$G$5:$H$5002,2,FALSE))</f>
        <v>S</v>
      </c>
      <c r="H1281" s="269" t="str">
        <f>IF(D1281="","",VLOOKUP(F1281,製品マスタ!$G$5:$K$5002,5,FALSE))</f>
        <v>MSNMBF</v>
      </c>
      <c r="I1281" s="270" t="str">
        <f>IF(D1281="","",VLOOKUP(F1281,製品マスタ!$G$5:$L$5002,6,FALSE))</f>
        <v>ＭＥＴＡＬＵＭＹ　ＳＩＬＶＥＲ　Ｎ－ＭＡＴＴＥ　Ｘ４４Ｍ　Ｂ</v>
      </c>
      <c r="J1281" s="32" t="s">
        <v>447</v>
      </c>
      <c r="K1281" s="270">
        <f>IF(D1281="","",VLOOKUP(D1281,契約台帳!$A$3:$L$4986,12,FALSE))</f>
        <v>50</v>
      </c>
      <c r="L1281" s="270" t="str">
        <f>IF(D1281="","",INDEX(製品マスタ!$Q$5:$Q$5002,MATCH(F1281&amp;K1281,製品マスタ!$AO$5:$AO$5002,0)))</f>
        <v>X44</v>
      </c>
      <c r="M1281" s="39">
        <v>1120</v>
      </c>
      <c r="N1281" s="39">
        <v>8000</v>
      </c>
      <c r="O1281" s="421">
        <v>1</v>
      </c>
      <c r="P1281" s="57"/>
      <c r="Q1281" s="276">
        <f>IF(D1281="","",IF(J1281="リード付け",M1281,VLOOKUP(D1281,契約台帳!$A$3:$N$4986,14,FALSE)))</f>
        <v>1120</v>
      </c>
      <c r="R1281" s="277">
        <f>IF(D1281="","",IF(J1281="リード付け",M1281,VLOOKUP(D1281,契約台帳!$A$3:$O$4986,15,FALSE)))</f>
        <v>1120</v>
      </c>
      <c r="S1281" s="277">
        <f>IF(D1281="","",IF(J1281="リード付け",N1281,VLOOKUP(D1281,契約台帳!$A$3:$P$4986,16,FALSE)))</f>
        <v>4000</v>
      </c>
      <c r="T1281" s="40">
        <v>2</v>
      </c>
      <c r="U1281" s="278">
        <f ca="1">IF(D1281="","",IF(OFFSET(D1281,-2,0)=D1281,"",VLOOKUP(D1281,契約台帳!$A$3:$R$4986,18,FALSE)))</f>
        <v>2</v>
      </c>
      <c r="V1281" s="269" t="str">
        <f>IF(J1281="巻返し",VLOOKUP(F1281&amp;K1281&amp;M1281,製品マスタ!$M$5:$AD$5002,18,FALSE),IF(J1281="リード付け","原反コア",IF(J1281="スリット",VLOOKUP(F1281&amp;K1281&amp;Q1281,製品マスタ!$N$5:$AD$5002,17,FALSE),"")))</f>
        <v>6ｲﾝﾁMｺｱ</v>
      </c>
      <c r="W1281" s="269">
        <f>IF(J1281="巻返し",VLOOKUP(F1281&amp;K1281&amp;M1281,製品マスタ!$M$5:$AE$5002,19,FALSE),IF(J1281="リード付け","-",IF(J1281="スリット",VLOOKUP(F1281&amp;K1281&amp;Q1281,製品マスタ!$N$5:$AE$5002,18,FALSE),"")))</f>
        <v>1125</v>
      </c>
      <c r="X1281" s="275">
        <f>IF(D1281="","",VLOOKUP(D1281,契約台帳!$A$3:$Q$4986,17,FALSE))</f>
        <v>2</v>
      </c>
      <c r="Y1281" s="269" t="str">
        <f>IF(D1281="","",VLOOKUP(D1281,契約台帳!$A$3:$E$4986,5,FALSE))</f>
        <v>リンテック㈱</v>
      </c>
      <c r="Z1281" s="357">
        <v>45364</v>
      </c>
      <c r="AA1281" s="207"/>
      <c r="AB1281" s="369"/>
      <c r="AC1281" s="370"/>
      <c r="AD1281" s="332" t="str">
        <f t="shared" si="0"/>
        <v>3SYMLBMSNMBF50</v>
      </c>
      <c r="AE1281" s="216">
        <f t="shared" si="1"/>
        <v>8960</v>
      </c>
      <c r="AF1281" s="43">
        <f>IF(AD1281="","",VLOOKUP(AD1281,原価マスタ!$A$2:$AJ$1693,13,FALSE))</f>
        <v>98.8</v>
      </c>
      <c r="AG1281" s="47">
        <f t="shared" si="2"/>
        <v>8852.48</v>
      </c>
      <c r="AH1281" s="30"/>
      <c r="AI1281" s="30"/>
      <c r="AJ1281" s="30"/>
      <c r="AK1281" s="30"/>
      <c r="AL1281" s="13"/>
      <c r="AM1281" s="13"/>
      <c r="AN1281" s="13"/>
      <c r="AO1281" s="13"/>
      <c r="AP1281" s="13"/>
      <c r="AQ1281" s="14"/>
      <c r="AR1281" s="15"/>
    </row>
    <row r="1282" spans="1:44" s="17" customFormat="1" ht="30.95" hidden="1" customHeight="1" x14ac:dyDescent="0.2">
      <c r="A1282" s="343"/>
      <c r="B1282" s="344"/>
      <c r="C1282" s="345"/>
      <c r="D1282" s="398"/>
      <c r="E1282" s="31"/>
      <c r="F1282" s="268" t="str">
        <f>IF(D1282="","",VLOOKUP(D1282,契約台帳!$A$3:$K$4986,6,FALSE)&amp;VLOOKUP(D1282,契約台帳!$A$3:$K$4986,7,FALSE)&amp;VLOOKUP(D1282,契約台帳!$A$3:$K$4986,8,FALSE)&amp;VLOOKUP(D1282,契約台帳!$A$3:$K$4986,9,FALSE)&amp;VLOOKUP(D1282,契約台帳!$A$3:$K$4986,11,FALSE))</f>
        <v/>
      </c>
      <c r="G1282" s="269" t="str">
        <f>IF(D1282="","",VLOOKUP(F1282,製品マスタ!$G$5:$H$5002,2,FALSE))</f>
        <v/>
      </c>
      <c r="H1282" s="269" t="str">
        <f>IF(D1282="","",VLOOKUP(F1282,製品マスタ!$G$5:$K$5002,5,FALSE))</f>
        <v/>
      </c>
      <c r="I1282" s="270" t="str">
        <f>IF(D1282="","",VLOOKUP(F1282,製品マスタ!$G$5:$L$5002,6,FALSE))</f>
        <v/>
      </c>
      <c r="J1282" s="32"/>
      <c r="K1282" s="270" t="str">
        <f>IF(D1282="","",VLOOKUP(D1282,契約台帳!$A$3:$L$4986,12,FALSE))</f>
        <v/>
      </c>
      <c r="L1282" s="270" t="str">
        <f>IF(D1282="","",INDEX(製品マスタ!$Q$5:$Q$5002,MATCH(F1282&amp;K1282,製品マスタ!$AO$5:$AO$5002,0)))</f>
        <v/>
      </c>
      <c r="M1282" s="39"/>
      <c r="N1282" s="39"/>
      <c r="O1282" s="421"/>
      <c r="P1282" s="57"/>
      <c r="Q1282" s="276" t="str">
        <f>IF(D1282="","",IF(J1282="リード付け",M1282,VLOOKUP(D1282,契約台帳!$A$3:$N$4986,14,FALSE)))</f>
        <v/>
      </c>
      <c r="R1282" s="277" t="str">
        <f>IF(D1282="","",IF(J1282="リード付け",M1282,VLOOKUP(D1282,契約台帳!$A$3:$O$4986,15,FALSE)))</f>
        <v/>
      </c>
      <c r="S1282" s="277" t="str">
        <f>IF(D1282="","",IF(J1282="リード付け",N1282,VLOOKUP(D1282,契約台帳!$A$3:$P$4986,16,FALSE)))</f>
        <v/>
      </c>
      <c r="T1282" s="40"/>
      <c r="U1282" s="278" t="str">
        <f ca="1">IF(D1282="","",IF(OFFSET(D1282,-2,0)=D1282,"",VLOOKUP(D1282,契約台帳!$A$3:$R$4986,18,FALSE)))</f>
        <v/>
      </c>
      <c r="V1282" s="269" t="str">
        <f>IF(J1282="巻返し",VLOOKUP(F1282&amp;K1282&amp;M1282,製品マスタ!$M$5:$AD$5002,18,FALSE),IF(J1282="リード付け","原反コア",IF(J1282="スリット",VLOOKUP(F1282&amp;K1282&amp;Q1282,製品マスタ!$N$5:$AD$5002,17,FALSE),"")))</f>
        <v/>
      </c>
      <c r="W1282" s="269" t="str">
        <f>IF(J1282="巻返し",VLOOKUP(F1282&amp;K1282&amp;M1282,製品マスタ!$M$5:$AE$5002,19,FALSE),IF(J1282="リード付け","-",IF(J1282="スリット",VLOOKUP(F1282&amp;K1282&amp;Q1282,製品マスタ!$N$5:$AE$5002,18,FALSE),"")))</f>
        <v/>
      </c>
      <c r="X1282" s="275" t="str">
        <f>IF(D1282="","",VLOOKUP(D1282,契約台帳!$A$3:$Q$4986,17,FALSE))</f>
        <v/>
      </c>
      <c r="Y1282" s="269" t="str">
        <f>IF(D1282="","",VLOOKUP(D1282,契約台帳!$A$3:$E$4986,5,FALSE))</f>
        <v/>
      </c>
      <c r="Z1282" s="357"/>
      <c r="AA1282" s="207"/>
      <c r="AB1282" s="369"/>
      <c r="AC1282" s="370"/>
      <c r="AD1282" s="332" t="str">
        <f t="shared" si="0"/>
        <v/>
      </c>
      <c r="AE1282" s="216">
        <f t="shared" si="1"/>
        <v>0</v>
      </c>
      <c r="AF1282" s="43" t="str">
        <f>IF(AD1282="","",VLOOKUP(AD1282,原価マスタ!$A$2:$AJ$1693,13,FALSE))</f>
        <v/>
      </c>
      <c r="AG1282" s="47" t="str">
        <f t="shared" si="2"/>
        <v/>
      </c>
      <c r="AH1282" s="30"/>
      <c r="AI1282" s="30"/>
      <c r="AJ1282" s="30"/>
      <c r="AK1282" s="30"/>
      <c r="AL1282" s="13"/>
      <c r="AM1282" s="13"/>
      <c r="AN1282" s="13"/>
      <c r="AO1282" s="13"/>
      <c r="AP1282" s="13"/>
      <c r="AQ1282" s="14"/>
      <c r="AR1282" s="15"/>
    </row>
    <row r="1283" spans="1:44" s="17" customFormat="1" ht="30.95" hidden="1" customHeight="1" x14ac:dyDescent="0.2">
      <c r="A1283" s="37"/>
      <c r="B1283" s="38"/>
      <c r="C1283" s="345"/>
      <c r="D1283" s="396">
        <v>3741627</v>
      </c>
      <c r="E1283" s="31">
        <v>4151599</v>
      </c>
      <c r="F1283" s="268" t="str">
        <f>IF(D1283="","",VLOOKUP(D1283,契約台帳!$A$3:$K$4986,6,FALSE)&amp;VLOOKUP(D1283,契約台帳!$A$3:$K$4986,7,FALSE)&amp;VLOOKUP(D1283,契約台帳!$A$3:$K$4986,8,FALSE)&amp;VLOOKUP(D1283,契約台帳!$A$3:$K$4986,9,FALSE)&amp;VLOOKUP(D1283,契約台帳!$A$3:$K$4986,11,FALSE))</f>
        <v>3SYMLBMSNMBF</v>
      </c>
      <c r="G1283" s="269" t="str">
        <f>IF(D1283="","",VLOOKUP(F1283,製品マスタ!$G$5:$H$5002,2,FALSE))</f>
        <v>S</v>
      </c>
      <c r="H1283" s="269" t="str">
        <f>IF(D1283="","",VLOOKUP(F1283,製品マスタ!$G$5:$K$5002,5,FALSE))</f>
        <v>MSNMBF</v>
      </c>
      <c r="I1283" s="270" t="str">
        <f>IF(D1283="","",VLOOKUP(F1283,製品マスタ!$G$5:$L$5002,6,FALSE))</f>
        <v>ＭＥＴＡＬＵＭＹ　ＳＩＬＶＥＲ　Ｎ－ＭＡＴＴＥ　Ｘ４４Ｍ　Ｂ</v>
      </c>
      <c r="J1283" s="32" t="s">
        <v>447</v>
      </c>
      <c r="K1283" s="270">
        <f>IF(D1283="","",VLOOKUP(D1283,契約台帳!$A$3:$L$4986,12,FALSE))</f>
        <v>50</v>
      </c>
      <c r="L1283" s="270" t="str">
        <f>IF(D1283="","",INDEX(製品マスタ!$Q$5:$Q$5002,MATCH(F1283&amp;K1283,製品マスタ!$AO$5:$AO$5002,0)))</f>
        <v>X44</v>
      </c>
      <c r="M1283" s="39">
        <v>1120</v>
      </c>
      <c r="N1283" s="39">
        <v>8000</v>
      </c>
      <c r="O1283" s="421">
        <v>2</v>
      </c>
      <c r="P1283" s="57"/>
      <c r="Q1283" s="276">
        <f>IF(D1283="","",IF(J1283="リード付け",M1283,VLOOKUP(D1283,契約台帳!$A$3:$N$4986,14,FALSE)))</f>
        <v>1120</v>
      </c>
      <c r="R1283" s="277">
        <f>IF(D1283="","",IF(J1283="リード付け",M1283,VLOOKUP(D1283,契約台帳!$A$3:$O$4986,15,FALSE)))</f>
        <v>1120</v>
      </c>
      <c r="S1283" s="277">
        <f>IF(D1283="","",IF(J1283="リード付け",N1283,VLOOKUP(D1283,契約台帳!$A$3:$P$4986,16,FALSE)))</f>
        <v>4000</v>
      </c>
      <c r="T1283" s="40">
        <v>4</v>
      </c>
      <c r="U1283" s="278">
        <f ca="1">IF(D1283="","",IF(OFFSET(D1283,-2,0)=D1283,"",VLOOKUP(D1283,契約台帳!$A$3:$R$4986,18,FALSE)))</f>
        <v>4</v>
      </c>
      <c r="V1283" s="269" t="str">
        <f>IF(J1283="巻返し",VLOOKUP(F1283&amp;K1283&amp;M1283,製品マスタ!$M$5:$AD$5002,18,FALSE),IF(J1283="リード付け","原反コア",IF(J1283="スリット",VLOOKUP(F1283&amp;K1283&amp;Q1283,製品マスタ!$N$5:$AD$5002,17,FALSE),"")))</f>
        <v>6ｲﾝﾁMｺｱ</v>
      </c>
      <c r="W1283" s="269">
        <f>IF(J1283="巻返し",VLOOKUP(F1283&amp;K1283&amp;M1283,製品マスタ!$M$5:$AE$5002,19,FALSE),IF(J1283="リード付け","-",IF(J1283="スリット",VLOOKUP(F1283&amp;K1283&amp;Q1283,製品マスタ!$N$5:$AE$5002,18,FALSE),"")))</f>
        <v>1125</v>
      </c>
      <c r="X1283" s="275">
        <f>IF(D1283="","",VLOOKUP(D1283,契約台帳!$A$3:$Q$4986,17,FALSE))</f>
        <v>2</v>
      </c>
      <c r="Y1283" s="269" t="str">
        <f>IF(D1283="","",VLOOKUP(D1283,契約台帳!$A$3:$E$4986,5,FALSE))</f>
        <v>リンテック㈱</v>
      </c>
      <c r="Z1283" s="357">
        <v>45364</v>
      </c>
      <c r="AA1283" s="207"/>
      <c r="AB1283" s="369"/>
      <c r="AC1283" s="370"/>
      <c r="AD1283" s="332" t="str">
        <f t="shared" si="0"/>
        <v>3SYMLBMSNMBF50</v>
      </c>
      <c r="AE1283" s="216">
        <f t="shared" si="1"/>
        <v>17920</v>
      </c>
      <c r="AF1283" s="43">
        <f>IF(AD1283="","",VLOOKUP(AD1283,原価マスタ!$A$2:$AJ$1693,13,FALSE))</f>
        <v>98.8</v>
      </c>
      <c r="AG1283" s="47">
        <f t="shared" si="2"/>
        <v>17704.96</v>
      </c>
      <c r="AH1283" s="30"/>
      <c r="AI1283" s="30"/>
      <c r="AJ1283" s="30"/>
      <c r="AK1283" s="30"/>
      <c r="AL1283" s="13"/>
      <c r="AM1283" s="13"/>
      <c r="AN1283" s="13"/>
      <c r="AO1283" s="13"/>
      <c r="AP1283" s="13"/>
      <c r="AQ1283" s="14"/>
      <c r="AR1283" s="15"/>
    </row>
    <row r="1284" spans="1:44" s="17" customFormat="1" ht="30.95" hidden="1" customHeight="1" x14ac:dyDescent="0.2">
      <c r="A1284" s="343"/>
      <c r="B1284" s="344"/>
      <c r="C1284" s="345"/>
      <c r="D1284" s="398"/>
      <c r="E1284" s="31"/>
      <c r="F1284" s="268" t="str">
        <f>IF(D1284="","",VLOOKUP(D1284,契約台帳!$A$3:$K$4986,6,FALSE)&amp;VLOOKUP(D1284,契約台帳!$A$3:$K$4986,7,FALSE)&amp;VLOOKUP(D1284,契約台帳!$A$3:$K$4986,8,FALSE)&amp;VLOOKUP(D1284,契約台帳!$A$3:$K$4986,9,FALSE)&amp;VLOOKUP(D1284,契約台帳!$A$3:$K$4986,11,FALSE))</f>
        <v/>
      </c>
      <c r="G1284" s="269" t="str">
        <f>IF(D1284="","",VLOOKUP(F1284,製品マスタ!$G$5:$H$5002,2,FALSE))</f>
        <v/>
      </c>
      <c r="H1284" s="269" t="str">
        <f>IF(D1284="","",VLOOKUP(F1284,製品マスタ!$G$5:$K$5002,5,FALSE))</f>
        <v/>
      </c>
      <c r="I1284" s="301" t="s">
        <v>2323</v>
      </c>
      <c r="J1284" s="32"/>
      <c r="K1284" s="270" t="str">
        <f>IF(D1284="","",VLOOKUP(D1284,契約台帳!$A$3:$L$4986,12,FALSE))</f>
        <v/>
      </c>
      <c r="L1284" s="270" t="str">
        <f>IF(D1284="","",INDEX(製品マスタ!$Q$5:$Q$5002,MATCH(F1284&amp;K1284,製品マスタ!$AO$5:$AO$5002,0)))</f>
        <v/>
      </c>
      <c r="M1284" s="39"/>
      <c r="N1284" s="39"/>
      <c r="O1284" s="421"/>
      <c r="P1284" s="57"/>
      <c r="Q1284" s="276" t="str">
        <f>IF(D1284="","",IF(J1284="リード付け",M1284,VLOOKUP(D1284,契約台帳!$A$3:$N$4986,14,FALSE)))</f>
        <v/>
      </c>
      <c r="R1284" s="277" t="str">
        <f>IF(D1284="","",IF(J1284="リード付け",M1284,VLOOKUP(D1284,契約台帳!$A$3:$O$4986,15,FALSE)))</f>
        <v/>
      </c>
      <c r="S1284" s="277" t="str">
        <f>IF(D1284="","",IF(J1284="リード付け",N1284,VLOOKUP(D1284,契約台帳!$A$3:$P$4986,16,FALSE)))</f>
        <v/>
      </c>
      <c r="T1284" s="40"/>
      <c r="U1284" s="278" t="str">
        <f ca="1">IF(D1284="","",IF(OFFSET(D1284,-2,0)=D1284,"",VLOOKUP(D1284,契約台帳!$A$3:$R$4986,18,FALSE)))</f>
        <v/>
      </c>
      <c r="V1284" s="269" t="str">
        <f>IF(J1284="巻返し",VLOOKUP(F1284&amp;K1284&amp;M1284,製品マスタ!$M$5:$AD$5002,18,FALSE),IF(J1284="リード付け","原反コア",IF(J1284="スリット",VLOOKUP(F1284&amp;K1284&amp;Q1284,製品マスタ!$N$5:$AD$5002,17,FALSE),"")))</f>
        <v/>
      </c>
      <c r="W1284" s="269" t="str">
        <f>IF(J1284="巻返し",VLOOKUP(F1284&amp;K1284&amp;M1284,製品マスタ!$M$5:$AE$5002,19,FALSE),IF(J1284="リード付け","-",IF(J1284="スリット",VLOOKUP(F1284&amp;K1284&amp;Q1284,製品マスタ!$N$5:$AE$5002,18,FALSE),"")))</f>
        <v/>
      </c>
      <c r="X1284" s="275" t="str">
        <f>IF(D1284="","",VLOOKUP(D1284,契約台帳!$A$3:$Q$4986,17,FALSE))</f>
        <v/>
      </c>
      <c r="Y1284" s="269" t="str">
        <f>IF(D1284="","",VLOOKUP(D1284,契約台帳!$A$3:$E$4986,5,FALSE))</f>
        <v/>
      </c>
      <c r="Z1284" s="357"/>
      <c r="AA1284" s="207"/>
      <c r="AB1284" s="369"/>
      <c r="AC1284" s="370"/>
      <c r="AD1284" s="332" t="str">
        <f t="shared" si="0"/>
        <v/>
      </c>
      <c r="AE1284" s="216">
        <f t="shared" si="1"/>
        <v>0</v>
      </c>
      <c r="AF1284" s="43" t="str">
        <f>IF(AD1284="","",VLOOKUP(AD1284,原価マスタ!$A$2:$AJ$1693,13,FALSE))</f>
        <v/>
      </c>
      <c r="AG1284" s="47" t="str">
        <f t="shared" si="2"/>
        <v/>
      </c>
      <c r="AH1284" s="30"/>
      <c r="AI1284" s="30"/>
      <c r="AJ1284" s="30"/>
      <c r="AK1284" s="30"/>
      <c r="AL1284" s="13"/>
      <c r="AM1284" s="13"/>
      <c r="AN1284" s="13"/>
      <c r="AO1284" s="13"/>
      <c r="AP1284" s="13"/>
      <c r="AQ1284" s="14"/>
      <c r="AR1284" s="15"/>
    </row>
    <row r="1285" spans="1:44" s="17" customFormat="1" ht="30.95" hidden="1" customHeight="1" x14ac:dyDescent="0.2">
      <c r="A1285" s="37"/>
      <c r="B1285" s="38"/>
      <c r="C1285" s="345"/>
      <c r="D1285" s="396">
        <v>3741628</v>
      </c>
      <c r="E1285" s="31">
        <v>4151600</v>
      </c>
      <c r="F1285" s="268" t="str">
        <f>IF(D1285="","",VLOOKUP(D1285,契約台帳!$A$3:$K$4986,6,FALSE)&amp;VLOOKUP(D1285,契約台帳!$A$3:$K$4986,7,FALSE)&amp;VLOOKUP(D1285,契約台帳!$A$3:$K$4986,8,FALSE)&amp;VLOOKUP(D1285,契約台帳!$A$3:$K$4986,9,FALSE)&amp;VLOOKUP(D1285,契約台帳!$A$3:$K$4986,11,FALSE))</f>
        <v>3SYMLBMSNMBF</v>
      </c>
      <c r="G1285" s="269" t="str">
        <f>IF(D1285="","",VLOOKUP(F1285,製品マスタ!$G$5:$H$5002,2,FALSE))</f>
        <v>S</v>
      </c>
      <c r="H1285" s="269" t="str">
        <f>IF(D1285="","",VLOOKUP(F1285,製品マスタ!$G$5:$K$5002,5,FALSE))</f>
        <v>MSNMBF</v>
      </c>
      <c r="I1285" s="270" t="str">
        <f>IF(D1285="","",VLOOKUP(F1285,製品マスタ!$G$5:$L$5002,6,FALSE))</f>
        <v>ＭＥＴＡＬＵＭＹ　ＳＩＬＶＥＲ　Ｎ－ＭＡＴＴＥ　Ｘ４４Ｍ　Ｂ</v>
      </c>
      <c r="J1285" s="32" t="s">
        <v>447</v>
      </c>
      <c r="K1285" s="270">
        <f>IF(D1285="","",VLOOKUP(D1285,契約台帳!$A$3:$L$4986,12,FALSE))</f>
        <v>50</v>
      </c>
      <c r="L1285" s="270" t="str">
        <f>IF(D1285="","",INDEX(製品マスタ!$Q$5:$Q$5002,MATCH(F1285&amp;K1285,製品マスタ!$AO$5:$AO$5002,0)))</f>
        <v>X44</v>
      </c>
      <c r="M1285" s="39">
        <v>1120</v>
      </c>
      <c r="N1285" s="39">
        <v>8000</v>
      </c>
      <c r="O1285" s="421">
        <v>2</v>
      </c>
      <c r="P1285" s="57"/>
      <c r="Q1285" s="276">
        <f>IF(D1285="","",IF(J1285="リード付け",M1285,VLOOKUP(D1285,契約台帳!$A$3:$N$4986,14,FALSE)))</f>
        <v>1120</v>
      </c>
      <c r="R1285" s="277">
        <f>IF(D1285="","",IF(J1285="リード付け",M1285,VLOOKUP(D1285,契約台帳!$A$3:$O$4986,15,FALSE)))</f>
        <v>1120</v>
      </c>
      <c r="S1285" s="277">
        <f>IF(D1285="","",IF(J1285="リード付け",N1285,VLOOKUP(D1285,契約台帳!$A$3:$P$4986,16,FALSE)))</f>
        <v>4000</v>
      </c>
      <c r="T1285" s="40">
        <v>4</v>
      </c>
      <c r="U1285" s="278">
        <f ca="1">IF(D1285="","",IF(OFFSET(D1285,-2,0)=D1285,"",VLOOKUP(D1285,契約台帳!$A$3:$R$4986,18,FALSE)))</f>
        <v>4</v>
      </c>
      <c r="V1285" s="269" t="str">
        <f>IF(J1285="巻返し",VLOOKUP(F1285&amp;K1285&amp;M1285,製品マスタ!$M$5:$AD$5002,18,FALSE),IF(J1285="リード付け","原反コア",IF(J1285="スリット",VLOOKUP(F1285&amp;K1285&amp;Q1285,製品マスタ!$N$5:$AD$5002,17,FALSE),"")))</f>
        <v>6ｲﾝﾁMｺｱ</v>
      </c>
      <c r="W1285" s="269">
        <f>IF(J1285="巻返し",VLOOKUP(F1285&amp;K1285&amp;M1285,製品マスタ!$M$5:$AE$5002,19,FALSE),IF(J1285="リード付け","-",IF(J1285="スリット",VLOOKUP(F1285&amp;K1285&amp;Q1285,製品マスタ!$N$5:$AE$5002,18,FALSE),"")))</f>
        <v>1125</v>
      </c>
      <c r="X1285" s="275">
        <f>IF(D1285="","",VLOOKUP(D1285,契約台帳!$A$3:$Q$4986,17,FALSE))</f>
        <v>2</v>
      </c>
      <c r="Y1285" s="269" t="str">
        <f>IF(D1285="","",VLOOKUP(D1285,契約台帳!$A$3:$E$4986,5,FALSE))</f>
        <v>リンテック㈱</v>
      </c>
      <c r="Z1285" s="357">
        <v>45364</v>
      </c>
      <c r="AA1285" s="207"/>
      <c r="AB1285" s="369"/>
      <c r="AC1285" s="370"/>
      <c r="AD1285" s="332" t="str">
        <f t="shared" si="0"/>
        <v>3SYMLBMSNMBF50</v>
      </c>
      <c r="AE1285" s="216">
        <f t="shared" si="1"/>
        <v>17920</v>
      </c>
      <c r="AF1285" s="43">
        <f>IF(AD1285="","",VLOOKUP(AD1285,原価マスタ!$A$2:$AJ$1693,13,FALSE))</f>
        <v>98.8</v>
      </c>
      <c r="AG1285" s="47">
        <f t="shared" si="2"/>
        <v>17704.96</v>
      </c>
      <c r="AH1285" s="30"/>
      <c r="AI1285" s="30"/>
      <c r="AJ1285" s="30"/>
      <c r="AK1285" s="30"/>
      <c r="AL1285" s="13"/>
      <c r="AM1285" s="13"/>
      <c r="AN1285" s="13"/>
      <c r="AO1285" s="13"/>
      <c r="AP1285" s="13"/>
      <c r="AQ1285" s="14"/>
      <c r="AR1285" s="15"/>
    </row>
    <row r="1286" spans="1:44" s="17" customFormat="1" ht="30.95" hidden="1" customHeight="1" x14ac:dyDescent="0.2">
      <c r="A1286" s="343"/>
      <c r="B1286" s="344"/>
      <c r="C1286" s="345"/>
      <c r="D1286" s="398"/>
      <c r="E1286" s="31"/>
      <c r="F1286" s="268" t="str">
        <f>IF(D1286="","",VLOOKUP(D1286,契約台帳!$A$3:$K$4986,6,FALSE)&amp;VLOOKUP(D1286,契約台帳!$A$3:$K$4986,7,FALSE)&amp;VLOOKUP(D1286,契約台帳!$A$3:$K$4986,8,FALSE)&amp;VLOOKUP(D1286,契約台帳!$A$3:$K$4986,9,FALSE)&amp;VLOOKUP(D1286,契約台帳!$A$3:$K$4986,11,FALSE))</f>
        <v/>
      </c>
      <c r="G1286" s="269" t="str">
        <f>IF(D1286="","",VLOOKUP(F1286,製品マスタ!$G$5:$H$5002,2,FALSE))</f>
        <v/>
      </c>
      <c r="H1286" s="269" t="str">
        <f>IF(D1286="","",VLOOKUP(F1286,製品マスタ!$G$5:$K$5002,5,FALSE))</f>
        <v/>
      </c>
      <c r="I1286" s="301" t="s">
        <v>2323</v>
      </c>
      <c r="J1286" s="32"/>
      <c r="K1286" s="270" t="str">
        <f>IF(D1286="","",VLOOKUP(D1286,契約台帳!$A$3:$L$4986,12,FALSE))</f>
        <v/>
      </c>
      <c r="L1286" s="270" t="str">
        <f>IF(D1286="","",INDEX(製品マスタ!$Q$5:$Q$5002,MATCH(F1286&amp;K1286,製品マスタ!$AO$5:$AO$5002,0)))</f>
        <v/>
      </c>
      <c r="M1286" s="39"/>
      <c r="N1286" s="39"/>
      <c r="O1286" s="47"/>
      <c r="P1286" s="57"/>
      <c r="Q1286" s="276" t="str">
        <f>IF(D1286="","",IF(J1286="リード付け",M1286,VLOOKUP(D1286,契約台帳!$A$3:$N$4986,14,FALSE)))</f>
        <v/>
      </c>
      <c r="R1286" s="277" t="str">
        <f>IF(D1286="","",IF(J1286="リード付け",M1286,VLOOKUP(D1286,契約台帳!$A$3:$O$4986,15,FALSE)))</f>
        <v/>
      </c>
      <c r="S1286" s="277" t="str">
        <f>IF(D1286="","",IF(J1286="リード付け",N1286,VLOOKUP(D1286,契約台帳!$A$3:$P$4986,16,FALSE)))</f>
        <v/>
      </c>
      <c r="T1286" s="40"/>
      <c r="U1286" s="278" t="str">
        <f ca="1">IF(D1286="","",IF(OFFSET(D1286,-2,0)=D1286,"",VLOOKUP(D1286,契約台帳!$A$3:$R$4986,18,FALSE)))</f>
        <v/>
      </c>
      <c r="V1286" s="269" t="str">
        <f>IF(J1286="巻返し",VLOOKUP(F1286&amp;K1286&amp;M1286,製品マスタ!$M$5:$AD$5002,18,FALSE),IF(J1286="リード付け","原反コア",IF(J1286="スリット",VLOOKUP(F1286&amp;K1286&amp;Q1286,製品マスタ!$N$5:$AD$5002,17,FALSE),"")))</f>
        <v/>
      </c>
      <c r="W1286" s="269" t="str">
        <f>IF(J1286="巻返し",VLOOKUP(F1286&amp;K1286&amp;M1286,製品マスタ!$M$5:$AE$5002,19,FALSE),IF(J1286="リード付け","-",IF(J1286="スリット",VLOOKUP(F1286&amp;K1286&amp;Q1286,製品マスタ!$N$5:$AE$5002,18,FALSE),"")))</f>
        <v/>
      </c>
      <c r="X1286" s="275" t="str">
        <f>IF(D1286="","",VLOOKUP(D1286,契約台帳!$A$3:$Q$4986,17,FALSE))</f>
        <v/>
      </c>
      <c r="Y1286" s="269" t="str">
        <f>IF(D1286="","",VLOOKUP(D1286,契約台帳!$A$3:$E$4986,5,FALSE))</f>
        <v/>
      </c>
      <c r="Z1286" s="357"/>
      <c r="AA1286" s="207"/>
      <c r="AB1286" s="369"/>
      <c r="AC1286" s="370"/>
      <c r="AD1286" s="332" t="str">
        <f t="shared" si="0"/>
        <v/>
      </c>
      <c r="AE1286" s="216">
        <f t="shared" si="1"/>
        <v>0</v>
      </c>
      <c r="AF1286" s="43" t="str">
        <f>IF(AD1286="","",VLOOKUP(AD1286,原価マスタ!$A$2:$AJ$1693,13,FALSE))</f>
        <v/>
      </c>
      <c r="AG1286" s="47" t="str">
        <f t="shared" si="2"/>
        <v/>
      </c>
      <c r="AH1286" s="30"/>
      <c r="AI1286" s="30"/>
      <c r="AJ1286" s="30"/>
      <c r="AK1286" s="30"/>
      <c r="AL1286" s="13"/>
      <c r="AM1286" s="13"/>
      <c r="AN1286" s="13"/>
      <c r="AO1286" s="13"/>
      <c r="AP1286" s="13"/>
      <c r="AQ1286" s="14"/>
      <c r="AR1286" s="15"/>
    </row>
    <row r="1287" spans="1:44" s="17" customFormat="1" ht="30.95" hidden="1" customHeight="1" x14ac:dyDescent="0.2">
      <c r="A1287" s="343"/>
      <c r="B1287" s="344"/>
      <c r="C1287" s="345"/>
      <c r="D1287" s="398">
        <v>3741602</v>
      </c>
      <c r="E1287" s="31">
        <v>4151590</v>
      </c>
      <c r="F1287" s="268" t="str">
        <f>IF(D1287="","",VLOOKUP(D1287,契約台帳!$A$3:$K$4986,6,FALSE)&amp;VLOOKUP(D1287,契約台帳!$A$3:$K$4986,7,FALSE)&amp;VLOOKUP(D1287,契約台帳!$A$3:$K$4986,8,FALSE)&amp;VLOOKUP(D1287,契約台帳!$A$3:$K$4986,9,FALSE)&amp;VLOOKUP(D1287,契約台帳!$A$3:$K$4986,11,FALSE))</f>
        <v>3SNMLBMNGKKBF</v>
      </c>
      <c r="G1287" s="269" t="str">
        <f>IF(D1287="","",VLOOKUP(F1287,製品マスタ!$G$5:$H$5002,2,FALSE))</f>
        <v>S</v>
      </c>
      <c r="H1287" s="269" t="str">
        <f>IF(D1287="","",VLOOKUP(F1287,製品マスタ!$G$5:$K$5002,5,FALSE))</f>
        <v>MNGKKBF</v>
      </c>
      <c r="I1287" s="270" t="str">
        <f>IF(D1287="","",VLOOKUP(F1287,製品マスタ!$G$5:$L$5002,6,FALSE))</f>
        <v>メタルミー　ネーマー銀消改　Ｂ</v>
      </c>
      <c r="J1287" s="32" t="s">
        <v>447</v>
      </c>
      <c r="K1287" s="270">
        <f>IF(D1287="","",VLOOKUP(D1287,契約台帳!$A$3:$L$4986,12,FALSE))</f>
        <v>25</v>
      </c>
      <c r="L1287" s="270" t="str">
        <f>IF(D1287="","",INDEX(製品マスタ!$Q$5:$Q$5002,MATCH(F1287&amp;K1287,製品マスタ!$AO$5:$AO$5002,0)))</f>
        <v>FMATS99</v>
      </c>
      <c r="M1287" s="39">
        <v>1120</v>
      </c>
      <c r="N1287" s="39">
        <v>12000</v>
      </c>
      <c r="O1287" s="47">
        <v>2</v>
      </c>
      <c r="P1287" s="57"/>
      <c r="Q1287" s="276">
        <f>IF(D1287="","",IF(J1287="リード付け",M1287,VLOOKUP(D1287,契約台帳!$A$3:$N$4986,14,FALSE)))</f>
        <v>1120</v>
      </c>
      <c r="R1287" s="277">
        <f>IF(D1287="","",IF(J1287="リード付け",M1287,VLOOKUP(D1287,契約台帳!$A$3:$O$4986,15,FALSE)))</f>
        <v>1120</v>
      </c>
      <c r="S1287" s="277">
        <f>IF(D1287="","",IF(J1287="リード付け",N1287,VLOOKUP(D1287,契約台帳!$A$3:$P$4986,16,FALSE)))</f>
        <v>4000</v>
      </c>
      <c r="T1287" s="40">
        <v>6</v>
      </c>
      <c r="U1287" s="278">
        <f ca="1">IF(D1287="","",IF(OFFSET(D1287,-2,0)=D1287,"",VLOOKUP(D1287,契約台帳!$A$3:$R$4986,18,FALSE)))</f>
        <v>6</v>
      </c>
      <c r="V1287" s="269" t="str">
        <f>IF(J1287="巻返し",VLOOKUP(F1287&amp;K1287&amp;M1287,製品マスタ!$M$5:$AD$5002,18,FALSE),IF(J1287="リード付け","原反コア",IF(J1287="スリット",VLOOKUP(F1287&amp;K1287&amp;Q1287,製品マスタ!$N$5:$AD$5002,17,FALSE),"")))</f>
        <v>6ｲﾝﾁSｺｱ</v>
      </c>
      <c r="W1287" s="269">
        <f>IF(J1287="巻返し",VLOOKUP(F1287&amp;K1287&amp;M1287,製品マスタ!$M$5:$AE$5002,19,FALSE),IF(J1287="リード付け","-",IF(J1287="スリット",VLOOKUP(F1287&amp;K1287&amp;Q1287,製品マスタ!$N$5:$AE$5002,18,FALSE),"")))</f>
        <v>1125</v>
      </c>
      <c r="X1287" s="275">
        <f>IF(D1287="","",VLOOKUP(D1287,契約台帳!$A$3:$Q$4986,17,FALSE))</f>
        <v>2</v>
      </c>
      <c r="Y1287" s="269" t="str">
        <f>IF(D1287="","",VLOOKUP(D1287,契約台帳!$A$3:$E$4986,5,FALSE))</f>
        <v>リンテック㈱</v>
      </c>
      <c r="Z1287" s="357">
        <v>45364</v>
      </c>
      <c r="AA1287" s="207"/>
      <c r="AB1287" s="369"/>
      <c r="AC1287" s="370"/>
      <c r="AD1287" s="332" t="str">
        <f t="shared" si="0"/>
        <v>3SNMLBMNGKKBF25</v>
      </c>
      <c r="AE1287" s="216">
        <f t="shared" si="1"/>
        <v>26880</v>
      </c>
      <c r="AF1287" s="43">
        <f>IF(AD1287="","",VLOOKUP(AD1287,原価マスタ!$A$2:$AJ$1693,13,FALSE))</f>
        <v>96</v>
      </c>
      <c r="AG1287" s="47">
        <f t="shared" si="2"/>
        <v>25804.799999999999</v>
      </c>
      <c r="AH1287" s="30"/>
      <c r="AI1287" s="30"/>
      <c r="AJ1287" s="30"/>
      <c r="AK1287" s="30"/>
      <c r="AL1287" s="13"/>
      <c r="AM1287" s="13"/>
      <c r="AN1287" s="13"/>
      <c r="AO1287" s="13"/>
      <c r="AP1287" s="13"/>
      <c r="AQ1287" s="14"/>
      <c r="AR1287" s="15"/>
    </row>
    <row r="1288" spans="1:44" s="17" customFormat="1" ht="30.95" hidden="1" customHeight="1" x14ac:dyDescent="0.2">
      <c r="A1288" s="343"/>
      <c r="B1288" s="344"/>
      <c r="C1288" s="345"/>
      <c r="D1288" s="398"/>
      <c r="E1288" s="31"/>
      <c r="F1288" s="268"/>
      <c r="G1288" s="269"/>
      <c r="H1288" s="269"/>
      <c r="I1288" s="270"/>
      <c r="J1288" s="347"/>
      <c r="K1288" s="270"/>
      <c r="L1288" s="270"/>
      <c r="M1288" s="39"/>
      <c r="N1288" s="39"/>
      <c r="O1288" s="47"/>
      <c r="P1288" s="57"/>
      <c r="Q1288" s="276"/>
      <c r="R1288" s="277"/>
      <c r="S1288" s="277"/>
      <c r="T1288" s="40"/>
      <c r="U1288" s="278"/>
      <c r="V1288" s="269"/>
      <c r="W1288" s="269"/>
      <c r="X1288" s="275"/>
      <c r="Y1288" s="269"/>
      <c r="Z1288" s="357"/>
      <c r="AA1288" s="207"/>
      <c r="AB1288" s="369"/>
      <c r="AC1288" s="370"/>
      <c r="AD1288" s="332"/>
      <c r="AE1288" s="216"/>
      <c r="AF1288" s="43"/>
      <c r="AG1288" s="47"/>
      <c r="AH1288" s="30"/>
      <c r="AI1288" s="30"/>
      <c r="AJ1288" s="30"/>
      <c r="AK1288" s="30"/>
      <c r="AL1288" s="13"/>
      <c r="AM1288" s="13"/>
      <c r="AN1288" s="13"/>
      <c r="AO1288" s="13"/>
      <c r="AP1288" s="13"/>
      <c r="AQ1288" s="14"/>
      <c r="AR1288" s="15"/>
    </row>
    <row r="1289" spans="1:44" s="17" customFormat="1" ht="30.95" hidden="1" customHeight="1" x14ac:dyDescent="0.2">
      <c r="A1289" s="37" t="s">
        <v>2248</v>
      </c>
      <c r="B1289" s="38" t="s">
        <v>1397</v>
      </c>
      <c r="C1289" s="345"/>
      <c r="D1289" s="398"/>
      <c r="E1289" s="31"/>
      <c r="F1289" s="268"/>
      <c r="G1289" s="269"/>
      <c r="H1289" s="269"/>
      <c r="I1289" s="270"/>
      <c r="J1289" s="347" t="s">
        <v>448</v>
      </c>
      <c r="K1289" s="270"/>
      <c r="L1289" s="270"/>
      <c r="M1289" s="39"/>
      <c r="N1289" s="39"/>
      <c r="O1289" s="47"/>
      <c r="P1289" s="57"/>
      <c r="Q1289" s="276"/>
      <c r="R1289" s="277"/>
      <c r="S1289" s="277"/>
      <c r="T1289" s="40"/>
      <c r="U1289" s="278"/>
      <c r="V1289" s="269"/>
      <c r="W1289" s="269"/>
      <c r="X1289" s="275"/>
      <c r="Y1289" s="269"/>
      <c r="Z1289" s="357"/>
      <c r="AA1289" s="207"/>
      <c r="AB1289" s="369"/>
      <c r="AC1289" s="370"/>
      <c r="AD1289" s="332"/>
      <c r="AE1289" s="216"/>
      <c r="AF1289" s="43"/>
      <c r="AG1289" s="47"/>
      <c r="AH1289" s="30"/>
      <c r="AI1289" s="30"/>
      <c r="AJ1289" s="30"/>
      <c r="AK1289" s="30"/>
      <c r="AL1289" s="13"/>
      <c r="AM1289" s="13"/>
      <c r="AN1289" s="13"/>
      <c r="AO1289" s="13"/>
      <c r="AP1289" s="13"/>
      <c r="AQ1289" s="14"/>
      <c r="AR1289" s="15"/>
    </row>
    <row r="1290" spans="1:44" s="17" customFormat="1" ht="30.95" hidden="1" customHeight="1" x14ac:dyDescent="0.2">
      <c r="A1290" s="343"/>
      <c r="B1290" s="344"/>
      <c r="C1290" s="345"/>
      <c r="D1290" s="398"/>
      <c r="E1290" s="31"/>
      <c r="F1290" s="268"/>
      <c r="G1290" s="269"/>
      <c r="H1290" s="269"/>
      <c r="I1290" s="270"/>
      <c r="J1290" s="347"/>
      <c r="K1290" s="270"/>
      <c r="L1290" s="270"/>
      <c r="M1290" s="39"/>
      <c r="N1290" s="39"/>
      <c r="O1290" s="47"/>
      <c r="P1290" s="57"/>
      <c r="Q1290" s="276"/>
      <c r="R1290" s="277"/>
      <c r="S1290" s="277"/>
      <c r="T1290" s="40"/>
      <c r="U1290" s="278"/>
      <c r="V1290" s="269"/>
      <c r="W1290" s="269"/>
      <c r="X1290" s="275"/>
      <c r="Y1290" s="269"/>
      <c r="Z1290" s="357"/>
      <c r="AA1290" s="207"/>
      <c r="AB1290" s="369"/>
      <c r="AC1290" s="370"/>
      <c r="AD1290" s="332"/>
      <c r="AE1290" s="216"/>
      <c r="AF1290" s="43"/>
      <c r="AG1290" s="47"/>
      <c r="AH1290" s="30"/>
      <c r="AI1290" s="30"/>
      <c r="AJ1290" s="30"/>
      <c r="AK1290" s="30"/>
      <c r="AL1290" s="13"/>
      <c r="AM1290" s="13"/>
      <c r="AN1290" s="13"/>
      <c r="AO1290" s="13"/>
      <c r="AP1290" s="13"/>
      <c r="AQ1290" s="14"/>
      <c r="AR1290" s="15"/>
    </row>
    <row r="1291" spans="1:44" s="17" customFormat="1" ht="30.95" hidden="1" customHeight="1" x14ac:dyDescent="0.2">
      <c r="A1291" s="37" t="s">
        <v>2249</v>
      </c>
      <c r="B1291" s="38" t="s">
        <v>392</v>
      </c>
      <c r="C1291" s="345"/>
      <c r="D1291" s="398"/>
      <c r="E1291" s="31"/>
      <c r="F1291" s="268"/>
      <c r="G1291" s="269"/>
      <c r="H1291" s="269"/>
      <c r="I1291" s="270"/>
      <c r="J1291" s="347" t="s">
        <v>448</v>
      </c>
      <c r="K1291" s="270"/>
      <c r="L1291" s="270"/>
      <c r="M1291" s="39"/>
      <c r="N1291" s="39"/>
      <c r="O1291" s="47"/>
      <c r="P1291" s="57"/>
      <c r="Q1291" s="276"/>
      <c r="R1291" s="277"/>
      <c r="S1291" s="277"/>
      <c r="T1291" s="40"/>
      <c r="U1291" s="278"/>
      <c r="V1291" s="269"/>
      <c r="W1291" s="269"/>
      <c r="X1291" s="275"/>
      <c r="Y1291" s="269"/>
      <c r="Z1291" s="357"/>
      <c r="AA1291" s="207"/>
      <c r="AB1291" s="369"/>
      <c r="AC1291" s="370"/>
      <c r="AD1291" s="332"/>
      <c r="AE1291" s="216"/>
      <c r="AF1291" s="43"/>
      <c r="AG1291" s="47"/>
      <c r="AH1291" s="30"/>
      <c r="AI1291" s="30"/>
      <c r="AJ1291" s="30"/>
      <c r="AK1291" s="30"/>
      <c r="AL1291" s="13"/>
      <c r="AM1291" s="13"/>
      <c r="AN1291" s="13"/>
      <c r="AO1291" s="13"/>
      <c r="AP1291" s="13"/>
      <c r="AQ1291" s="14"/>
      <c r="AR1291" s="15"/>
    </row>
    <row r="1292" spans="1:44" s="17" customFormat="1" ht="30.95" hidden="1" customHeight="1" x14ac:dyDescent="0.2">
      <c r="A1292" s="37"/>
      <c r="B1292" s="38"/>
      <c r="C1292" s="345"/>
      <c r="D1292" s="398"/>
      <c r="E1292" s="31"/>
      <c r="F1292" s="268"/>
      <c r="G1292" s="269"/>
      <c r="H1292" s="269"/>
      <c r="I1292" s="270"/>
      <c r="J1292" s="32"/>
      <c r="K1292" s="270"/>
      <c r="L1292" s="270"/>
      <c r="M1292" s="39"/>
      <c r="N1292" s="39"/>
      <c r="O1292" s="47"/>
      <c r="P1292" s="57"/>
      <c r="Q1292" s="276"/>
      <c r="R1292" s="277"/>
      <c r="S1292" s="277"/>
      <c r="T1292" s="40"/>
      <c r="U1292" s="278"/>
      <c r="V1292" s="269"/>
      <c r="W1292" s="269"/>
      <c r="X1292" s="275"/>
      <c r="Y1292" s="269"/>
      <c r="Z1292" s="357"/>
      <c r="AA1292" s="207"/>
      <c r="AB1292" s="369"/>
      <c r="AC1292" s="370"/>
      <c r="AD1292" s="332"/>
      <c r="AE1292" s="216"/>
      <c r="AF1292" s="43"/>
      <c r="AG1292" s="47"/>
      <c r="AH1292" s="30"/>
      <c r="AI1292" s="30"/>
      <c r="AJ1292" s="30"/>
      <c r="AK1292" s="30"/>
      <c r="AL1292" s="13"/>
      <c r="AM1292" s="13"/>
      <c r="AN1292" s="13"/>
      <c r="AO1292" s="13"/>
      <c r="AP1292" s="13"/>
      <c r="AQ1292" s="14"/>
      <c r="AR1292" s="15"/>
    </row>
    <row r="1293" spans="1:44" s="17" customFormat="1" ht="30.95" hidden="1" customHeight="1" x14ac:dyDescent="0.2">
      <c r="A1293" s="37" t="s">
        <v>2284</v>
      </c>
      <c r="B1293" s="38" t="s">
        <v>2285</v>
      </c>
      <c r="C1293" s="345"/>
      <c r="D1293" s="31">
        <v>3741604</v>
      </c>
      <c r="E1293" s="31">
        <v>4151592</v>
      </c>
      <c r="F1293" s="268" t="str">
        <f>IF(D1293="","",VLOOKUP(D1293,契約台帳!$A$3:$K$4986,6,FALSE)&amp;VLOOKUP(D1293,契約台帳!$A$3:$K$4986,7,FALSE)&amp;VLOOKUP(D1293,契約台帳!$A$3:$K$4986,8,FALSE)&amp;VLOOKUP(D1293,契約台帳!$A$3:$K$4986,9,FALSE)&amp;VLOOKUP(D1293,契約台帳!$A$3:$K$4986,11,FALSE))</f>
        <v>3SNMLBMNGKKBF</v>
      </c>
      <c r="G1293" s="269" t="str">
        <f>IF(D1293="","",VLOOKUP(F1293,製品マスタ!$G$5:$H$5002,2,FALSE))</f>
        <v>S</v>
      </c>
      <c r="H1293" s="269" t="str">
        <f>IF(D1293="","",VLOOKUP(F1293,製品マスタ!$G$5:$K$5002,5,FALSE))</f>
        <v>MNGKKBF</v>
      </c>
      <c r="I1293" s="270" t="str">
        <f>IF(D1293="","",VLOOKUP(F1293,製品マスタ!$G$5:$L$5002,6,FALSE))</f>
        <v>メタルミー　ネーマー銀消改　Ｂ</v>
      </c>
      <c r="J1293" s="32" t="s">
        <v>447</v>
      </c>
      <c r="K1293" s="270">
        <f>IF(D1293="","",VLOOKUP(D1293,契約台帳!$A$3:$L$4986,12,FALSE))</f>
        <v>50</v>
      </c>
      <c r="L1293" s="270" t="str">
        <f>IF(D1293="","",INDEX(製品マスタ!$Q$5:$Q$5002,MATCH(F1293&amp;K1293,製品マスタ!$AO$5:$AO$5002,0)))</f>
        <v>S99-MAT</v>
      </c>
      <c r="M1293" s="39">
        <v>1120</v>
      </c>
      <c r="N1293" s="39">
        <v>12000</v>
      </c>
      <c r="O1293" s="47">
        <v>6</v>
      </c>
      <c r="P1293" s="57"/>
      <c r="Q1293" s="276">
        <f>IF(D1293="","",IF(J1293="リード付け",M1293,VLOOKUP(D1293,契約台帳!$A$3:$N$4986,14,FALSE)))</f>
        <v>1120</v>
      </c>
      <c r="R1293" s="277">
        <f>IF(D1293="","",IF(J1293="リード付け",M1293,VLOOKUP(D1293,契約台帳!$A$3:$O$4986,15,FALSE)))</f>
        <v>1120</v>
      </c>
      <c r="S1293" s="277">
        <f>IF(D1293="","",IF(J1293="リード付け",N1293,VLOOKUP(D1293,契約台帳!$A$3:$P$4986,16,FALSE)))</f>
        <v>4000</v>
      </c>
      <c r="T1293" s="40">
        <v>18</v>
      </c>
      <c r="U1293" s="278">
        <f ca="1">IF(D1293="","",IF(OFFSET(D1293,-2,0)=D1293,"",VLOOKUP(D1293,契約台帳!$A$3:$R$4986,18,FALSE)))</f>
        <v>36</v>
      </c>
      <c r="V1293" s="269" t="str">
        <f>IF(J1293="巻返し",VLOOKUP(F1293&amp;K1293&amp;M1293,製品マスタ!$M$5:$AD$5002,18,FALSE),IF(J1293="リード付け","原反コア",IF(J1293="スリット",VLOOKUP(F1293&amp;K1293&amp;Q1293,製品マスタ!$N$5:$AD$5002,17,FALSE),"")))</f>
        <v>6ｲﾝﾁSｺｱ</v>
      </c>
      <c r="W1293" s="269">
        <f>IF(J1293="巻返し",VLOOKUP(F1293&amp;K1293&amp;M1293,製品マスタ!$M$5:$AE$5002,19,FALSE),IF(J1293="リード付け","-",IF(J1293="スリット",VLOOKUP(F1293&amp;K1293&amp;Q1293,製品マスタ!$N$5:$AE$5002,18,FALSE),"")))</f>
        <v>1125</v>
      </c>
      <c r="X1293" s="275">
        <f>IF(D1293="","",VLOOKUP(D1293,契約台帳!$A$3:$Q$4986,17,FALSE))</f>
        <v>2</v>
      </c>
      <c r="Y1293" s="269" t="str">
        <f>IF(D1293="","",VLOOKUP(D1293,契約台帳!$A$3:$E$4986,5,FALSE))</f>
        <v>リンテック㈱</v>
      </c>
      <c r="Z1293" s="357">
        <v>45365</v>
      </c>
      <c r="AA1293" s="207"/>
      <c r="AB1293" s="369"/>
      <c r="AC1293" s="370"/>
      <c r="AD1293" s="332" t="str">
        <f>IF(F1293="","",+F1293&amp;K1293)</f>
        <v>3SNMLBMNGKKBF50</v>
      </c>
      <c r="AE1293" s="216">
        <f>+M1293*N1293*O1293/1000</f>
        <v>80640</v>
      </c>
      <c r="AF1293" s="43">
        <f>IF(AD1293="","",VLOOKUP(AD1293,原価マスタ!$A$2:$AJ$1693,13,FALSE))</f>
        <v>99</v>
      </c>
      <c r="AG1293" s="47">
        <f>IF(AF1293="","",+AE1293*AF1293/100)</f>
        <v>79833.600000000006</v>
      </c>
      <c r="AH1293" s="30"/>
      <c r="AI1293" s="30"/>
      <c r="AJ1293" s="30"/>
      <c r="AK1293" s="30"/>
      <c r="AL1293" s="13"/>
      <c r="AM1293" s="13"/>
      <c r="AN1293" s="13"/>
      <c r="AO1293" s="13"/>
      <c r="AP1293" s="13"/>
      <c r="AQ1293" s="14"/>
      <c r="AR1293" s="15"/>
    </row>
    <row r="1294" spans="1:44" s="17" customFormat="1" ht="30.95" hidden="1" customHeight="1" x14ac:dyDescent="0.2">
      <c r="A1294" s="343"/>
      <c r="B1294" s="344"/>
      <c r="C1294" s="345"/>
      <c r="D1294" s="398"/>
      <c r="E1294" s="31"/>
      <c r="F1294" s="268" t="str">
        <f>IF(D1294="","",VLOOKUP(D1294,契約台帳!$A$3:$K$4986,6,FALSE)&amp;VLOOKUP(D1294,契約台帳!$A$3:$K$4986,7,FALSE)&amp;VLOOKUP(D1294,契約台帳!$A$3:$K$4986,8,FALSE)&amp;VLOOKUP(D1294,契約台帳!$A$3:$K$4986,9,FALSE)&amp;VLOOKUP(D1294,契約台帳!$A$3:$K$4986,11,FALSE))</f>
        <v/>
      </c>
      <c r="G1294" s="269" t="str">
        <f>IF(D1294="","",VLOOKUP(F1294,製品マスタ!$G$5:$H$5002,2,FALSE))</f>
        <v/>
      </c>
      <c r="H1294" s="269" t="str">
        <f>IF(D1294="","",VLOOKUP(F1294,製品マスタ!$G$5:$K$5002,5,FALSE))</f>
        <v/>
      </c>
      <c r="I1294" s="270" t="str">
        <f>IF(D1294="","",VLOOKUP(F1294,製品マスタ!$G$5:$L$5002,6,FALSE))</f>
        <v/>
      </c>
      <c r="J1294" s="32"/>
      <c r="K1294" s="270" t="str">
        <f>IF(D1294="","",VLOOKUP(D1294,契約台帳!$A$3:$L$4986,12,FALSE))</f>
        <v/>
      </c>
      <c r="L1294" s="270" t="str">
        <f>IF(D1294="","",INDEX(製品マスタ!$Q$5:$Q$5002,MATCH(F1294&amp;K1294,製品マスタ!$AO$5:$AO$5002,0)))</f>
        <v/>
      </c>
      <c r="M1294" s="39"/>
      <c r="N1294" s="39"/>
      <c r="O1294" s="47"/>
      <c r="P1294" s="57"/>
      <c r="Q1294" s="276" t="str">
        <f>IF(D1294="","",IF(J1294="リード付け",M1294,VLOOKUP(D1294,契約台帳!$A$3:$N$4986,14,FALSE)))</f>
        <v/>
      </c>
      <c r="R1294" s="277" t="str">
        <f>IF(D1294="","",IF(J1294="リード付け",M1294,VLOOKUP(D1294,契約台帳!$A$3:$O$4986,15,FALSE)))</f>
        <v/>
      </c>
      <c r="S1294" s="277" t="str">
        <f>IF(D1294="","",IF(J1294="リード付け",N1294,VLOOKUP(D1294,契約台帳!$A$3:$P$4986,16,FALSE)))</f>
        <v/>
      </c>
      <c r="T1294" s="40"/>
      <c r="U1294" s="278" t="str">
        <f ca="1">IF(D1294="","",IF(OFFSET(D1294,-2,0)=D1294,"",VLOOKUP(D1294,契約台帳!$A$3:$R$4986,18,FALSE)))</f>
        <v/>
      </c>
      <c r="V1294" s="269" t="str">
        <f>IF(J1294="巻返し",VLOOKUP(F1294&amp;K1294&amp;M1294,製品マスタ!$M$5:$AD$5002,18,FALSE),IF(J1294="リード付け","原反コア",IF(J1294="スリット",VLOOKUP(F1294&amp;K1294&amp;Q1294,製品マスタ!$N$5:$AD$5002,17,FALSE),"")))</f>
        <v/>
      </c>
      <c r="W1294" s="269" t="str">
        <f>IF(J1294="巻返し",VLOOKUP(F1294&amp;K1294&amp;M1294,製品マスタ!$M$5:$AE$5002,19,FALSE),IF(J1294="リード付け","-",IF(J1294="スリット",VLOOKUP(F1294&amp;K1294&amp;Q1294,製品マスタ!$N$5:$AE$5002,18,FALSE),"")))</f>
        <v/>
      </c>
      <c r="X1294" s="275" t="str">
        <f>IF(D1294="","",VLOOKUP(D1294,契約台帳!$A$3:$Q$4986,17,FALSE))</f>
        <v/>
      </c>
      <c r="Y1294" s="269" t="str">
        <f>IF(D1294="","",VLOOKUP(D1294,契約台帳!$A$3:$E$4986,5,FALSE))</f>
        <v/>
      </c>
      <c r="Z1294" s="357"/>
      <c r="AA1294" s="207"/>
      <c r="AB1294" s="369"/>
      <c r="AC1294" s="370"/>
      <c r="AD1294" s="332" t="str">
        <f t="shared" ref="AD1294:AD1303" si="3">IF(F1294="","",+F1294&amp;K1294)</f>
        <v/>
      </c>
      <c r="AE1294" s="216">
        <f t="shared" ref="AE1294:AE1303" si="4">+M1294*N1294*O1294/1000</f>
        <v>0</v>
      </c>
      <c r="AF1294" s="43" t="str">
        <f>IF(AD1294="","",VLOOKUP(AD1294,原価マスタ!$A$2:$AJ$1693,13,FALSE))</f>
        <v/>
      </c>
      <c r="AG1294" s="47" t="str">
        <f t="shared" ref="AG1294:AG1303" si="5">IF(AF1294="","",+AE1294*AF1294/100)</f>
        <v/>
      </c>
      <c r="AH1294" s="30"/>
      <c r="AI1294" s="30"/>
      <c r="AJ1294" s="30"/>
      <c r="AK1294" s="30"/>
      <c r="AL1294" s="13"/>
      <c r="AM1294" s="13"/>
      <c r="AN1294" s="13"/>
      <c r="AO1294" s="13"/>
      <c r="AP1294" s="13"/>
      <c r="AQ1294" s="14"/>
      <c r="AR1294" s="15"/>
    </row>
    <row r="1295" spans="1:44" s="17" customFormat="1" ht="30.95" hidden="1" customHeight="1" x14ac:dyDescent="0.2">
      <c r="A1295" s="37" t="s">
        <v>2286</v>
      </c>
      <c r="B1295" s="38" t="s">
        <v>2287</v>
      </c>
      <c r="C1295" s="345"/>
      <c r="D1295" s="31">
        <v>3741604</v>
      </c>
      <c r="E1295" s="31">
        <v>4151592</v>
      </c>
      <c r="F1295" s="268" t="str">
        <f>IF(D1295="","",VLOOKUP(D1295,契約台帳!$A$3:$K$4986,6,FALSE)&amp;VLOOKUP(D1295,契約台帳!$A$3:$K$4986,7,FALSE)&amp;VLOOKUP(D1295,契約台帳!$A$3:$K$4986,8,FALSE)&amp;VLOOKUP(D1295,契約台帳!$A$3:$K$4986,9,FALSE)&amp;VLOOKUP(D1295,契約台帳!$A$3:$K$4986,11,FALSE))</f>
        <v>3SNMLBMNGKKBF</v>
      </c>
      <c r="G1295" s="269" t="str">
        <f>IF(D1295="","",VLOOKUP(F1295,製品マスタ!$G$5:$H$5002,2,FALSE))</f>
        <v>S</v>
      </c>
      <c r="H1295" s="269" t="str">
        <f>IF(D1295="","",VLOOKUP(F1295,製品マスタ!$G$5:$K$5002,5,FALSE))</f>
        <v>MNGKKBF</v>
      </c>
      <c r="I1295" s="270" t="str">
        <f>IF(D1295="","",VLOOKUP(F1295,製品マスタ!$G$5:$L$5002,6,FALSE))</f>
        <v>メタルミー　ネーマー銀消改　Ｂ</v>
      </c>
      <c r="J1295" s="32" t="s">
        <v>447</v>
      </c>
      <c r="K1295" s="270">
        <f>IF(D1295="","",VLOOKUP(D1295,契約台帳!$A$3:$L$4986,12,FALSE))</f>
        <v>50</v>
      </c>
      <c r="L1295" s="270" t="str">
        <f>IF(D1295="","",INDEX(製品マスタ!$Q$5:$Q$5002,MATCH(F1295&amp;K1295,製品マスタ!$AO$5:$AO$5002,0)))</f>
        <v>S99-MAT</v>
      </c>
      <c r="M1295" s="39">
        <v>1120</v>
      </c>
      <c r="N1295" s="39">
        <v>12000</v>
      </c>
      <c r="O1295" s="47">
        <v>6</v>
      </c>
      <c r="P1295" s="57"/>
      <c r="Q1295" s="276">
        <f>IF(D1295="","",IF(J1295="リード付け",M1295,VLOOKUP(D1295,契約台帳!$A$3:$N$4986,14,FALSE)))</f>
        <v>1120</v>
      </c>
      <c r="R1295" s="277">
        <f>IF(D1295="","",IF(J1295="リード付け",M1295,VLOOKUP(D1295,契約台帳!$A$3:$O$4986,15,FALSE)))</f>
        <v>1120</v>
      </c>
      <c r="S1295" s="277">
        <f>IF(D1295="","",IF(J1295="リード付け",N1295,VLOOKUP(D1295,契約台帳!$A$3:$P$4986,16,FALSE)))</f>
        <v>4000</v>
      </c>
      <c r="T1295" s="40">
        <v>18</v>
      </c>
      <c r="U1295" s="278" t="str">
        <f ca="1">IF(D1295="","",IF(OFFSET(D1295,-2,0)=D1295,"",VLOOKUP(D1295,契約台帳!$A$3:$R$4986,18,FALSE)))</f>
        <v/>
      </c>
      <c r="V1295" s="269" t="str">
        <f>IF(J1295="巻返し",VLOOKUP(F1295&amp;K1295&amp;M1295,製品マスタ!$M$5:$AD$5002,18,FALSE),IF(J1295="リード付け","原反コア",IF(J1295="スリット",VLOOKUP(F1295&amp;K1295&amp;Q1295,製品マスタ!$N$5:$AD$5002,17,FALSE),"")))</f>
        <v>6ｲﾝﾁSｺｱ</v>
      </c>
      <c r="W1295" s="269">
        <f>IF(J1295="巻返し",VLOOKUP(F1295&amp;K1295&amp;M1295,製品マスタ!$M$5:$AE$5002,19,FALSE),IF(J1295="リード付け","-",IF(J1295="スリット",VLOOKUP(F1295&amp;K1295&amp;Q1295,製品マスタ!$N$5:$AE$5002,18,FALSE),"")))</f>
        <v>1125</v>
      </c>
      <c r="X1295" s="275">
        <f>IF(D1295="","",VLOOKUP(D1295,契約台帳!$A$3:$Q$4986,17,FALSE))</f>
        <v>2</v>
      </c>
      <c r="Y1295" s="269" t="str">
        <f>IF(D1295="","",VLOOKUP(D1295,契約台帳!$A$3:$E$4986,5,FALSE))</f>
        <v>リンテック㈱</v>
      </c>
      <c r="Z1295" s="357">
        <v>45366</v>
      </c>
      <c r="AA1295" s="207"/>
      <c r="AB1295" s="369"/>
      <c r="AC1295" s="370"/>
      <c r="AD1295" s="332" t="str">
        <f t="shared" si="3"/>
        <v>3SNMLBMNGKKBF50</v>
      </c>
      <c r="AE1295" s="216">
        <f t="shared" si="4"/>
        <v>80640</v>
      </c>
      <c r="AF1295" s="43">
        <f>IF(AD1295="","",VLOOKUP(AD1295,原価マスタ!$A$2:$AJ$1693,13,FALSE))</f>
        <v>99</v>
      </c>
      <c r="AG1295" s="47">
        <f t="shared" si="5"/>
        <v>79833.600000000006</v>
      </c>
      <c r="AH1295" s="30"/>
      <c r="AI1295" s="30"/>
      <c r="AJ1295" s="30"/>
      <c r="AK1295" s="30"/>
      <c r="AL1295" s="13"/>
      <c r="AM1295" s="13"/>
      <c r="AN1295" s="13"/>
      <c r="AO1295" s="13"/>
      <c r="AP1295" s="13"/>
      <c r="AQ1295" s="14"/>
      <c r="AR1295" s="15"/>
    </row>
    <row r="1296" spans="1:44" s="17" customFormat="1" ht="30.95" hidden="1" customHeight="1" x14ac:dyDescent="0.2">
      <c r="A1296" s="343"/>
      <c r="B1296" s="344"/>
      <c r="C1296" s="345"/>
      <c r="D1296" s="398"/>
      <c r="E1296" s="31"/>
      <c r="F1296" s="268" t="str">
        <f>IF(D1296="","",VLOOKUP(D1296,契約台帳!$A$3:$K$4986,6,FALSE)&amp;VLOOKUP(D1296,契約台帳!$A$3:$K$4986,7,FALSE)&amp;VLOOKUP(D1296,契約台帳!$A$3:$K$4986,8,FALSE)&amp;VLOOKUP(D1296,契約台帳!$A$3:$K$4986,9,FALSE)&amp;VLOOKUP(D1296,契約台帳!$A$3:$K$4986,11,FALSE))</f>
        <v/>
      </c>
      <c r="G1296" s="269" t="str">
        <f>IF(D1296="","",VLOOKUP(F1296,製品マスタ!$G$5:$H$5002,2,FALSE))</f>
        <v/>
      </c>
      <c r="H1296" s="269" t="str">
        <f>IF(D1296="","",VLOOKUP(F1296,製品マスタ!$G$5:$K$5002,5,FALSE))</f>
        <v/>
      </c>
      <c r="I1296" s="270" t="str">
        <f>IF(D1296="","",VLOOKUP(F1296,製品マスタ!$G$5:$L$5002,6,FALSE))</f>
        <v/>
      </c>
      <c r="J1296" s="32"/>
      <c r="K1296" s="270" t="str">
        <f>IF(D1296="","",VLOOKUP(D1296,契約台帳!$A$3:$L$4986,12,FALSE))</f>
        <v/>
      </c>
      <c r="L1296" s="270" t="str">
        <f>IF(D1296="","",INDEX(製品マスタ!$Q$5:$Q$5002,MATCH(F1296&amp;K1296,製品マスタ!$AO$5:$AO$5002,0)))</f>
        <v/>
      </c>
      <c r="M1296" s="39"/>
      <c r="N1296" s="39"/>
      <c r="O1296" s="47"/>
      <c r="P1296" s="57"/>
      <c r="Q1296" s="276" t="str">
        <f>IF(D1296="","",IF(J1296="リード付け",M1296,VLOOKUP(D1296,契約台帳!$A$3:$N$4986,14,FALSE)))</f>
        <v/>
      </c>
      <c r="R1296" s="277" t="str">
        <f>IF(D1296="","",IF(J1296="リード付け",M1296,VLOOKUP(D1296,契約台帳!$A$3:$O$4986,15,FALSE)))</f>
        <v/>
      </c>
      <c r="S1296" s="277" t="str">
        <f>IF(D1296="","",IF(J1296="リード付け",N1296,VLOOKUP(D1296,契約台帳!$A$3:$P$4986,16,FALSE)))</f>
        <v/>
      </c>
      <c r="T1296" s="40"/>
      <c r="U1296" s="278" t="str">
        <f ca="1">IF(D1296="","",IF(OFFSET(D1296,-2,0)=D1296,"",VLOOKUP(D1296,契約台帳!$A$3:$R$4986,18,FALSE)))</f>
        <v/>
      </c>
      <c r="V1296" s="269" t="str">
        <f>IF(J1296="巻返し",VLOOKUP(F1296&amp;K1296&amp;M1296,製品マスタ!$M$5:$AD$5002,18,FALSE),IF(J1296="リード付け","原反コア",IF(J1296="スリット",VLOOKUP(F1296&amp;K1296&amp;Q1296,製品マスタ!$N$5:$AD$5002,17,FALSE),"")))</f>
        <v/>
      </c>
      <c r="W1296" s="269" t="str">
        <f>IF(J1296="巻返し",VLOOKUP(F1296&amp;K1296&amp;M1296,製品マスタ!$M$5:$AE$5002,19,FALSE),IF(J1296="リード付け","-",IF(J1296="スリット",VLOOKUP(F1296&amp;K1296&amp;Q1296,製品マスタ!$N$5:$AE$5002,18,FALSE),"")))</f>
        <v/>
      </c>
      <c r="X1296" s="275" t="str">
        <f>IF(D1296="","",VLOOKUP(D1296,契約台帳!$A$3:$Q$4986,17,FALSE))</f>
        <v/>
      </c>
      <c r="Y1296" s="269" t="str">
        <f>IF(D1296="","",VLOOKUP(D1296,契約台帳!$A$3:$E$4986,5,FALSE))</f>
        <v/>
      </c>
      <c r="Z1296" s="357"/>
      <c r="AA1296" s="207"/>
      <c r="AB1296" s="369"/>
      <c r="AC1296" s="370"/>
      <c r="AD1296" s="332" t="str">
        <f t="shared" si="3"/>
        <v/>
      </c>
      <c r="AE1296" s="216">
        <f t="shared" si="4"/>
        <v>0</v>
      </c>
      <c r="AF1296" s="43" t="str">
        <f>IF(AD1296="","",VLOOKUP(AD1296,原価マスタ!$A$2:$AJ$1693,13,FALSE))</f>
        <v/>
      </c>
      <c r="AG1296" s="47" t="str">
        <f t="shared" si="5"/>
        <v/>
      </c>
      <c r="AH1296" s="30"/>
      <c r="AI1296" s="30"/>
      <c r="AJ1296" s="30"/>
      <c r="AK1296" s="30"/>
      <c r="AL1296" s="13"/>
      <c r="AM1296" s="13"/>
      <c r="AN1296" s="13"/>
      <c r="AO1296" s="13"/>
      <c r="AP1296" s="13"/>
      <c r="AQ1296" s="14"/>
      <c r="AR1296" s="15"/>
    </row>
    <row r="1297" spans="1:44" s="17" customFormat="1" ht="30.95" hidden="1" customHeight="1" x14ac:dyDescent="0.2">
      <c r="A1297" s="343"/>
      <c r="B1297" s="344"/>
      <c r="C1297" s="345"/>
      <c r="D1297" s="219">
        <v>3745647</v>
      </c>
      <c r="E1297" s="31">
        <v>4151621</v>
      </c>
      <c r="F1297" s="268" t="str">
        <f>IF(D1297="","",VLOOKUP(D1297,契約台帳!$A$3:$K$4986,6,FALSE)&amp;VLOOKUP(D1297,契約台帳!$A$3:$K$4986,7,FALSE)&amp;VLOOKUP(D1297,契約台帳!$A$3:$K$4986,8,FALSE)&amp;VLOOKUP(D1297,契約台帳!$A$3:$K$4986,9,FALSE)&amp;VLOOKUP(D1297,契約台帳!$A$3:$K$4986,11,FALSE))</f>
        <v>3SYMLBMSBBF</v>
      </c>
      <c r="G1297" s="269" t="str">
        <f>IF(D1297="","",VLOOKUP(F1297,製品マスタ!$G$5:$H$5002,2,FALSE))</f>
        <v>S</v>
      </c>
      <c r="H1297" s="269" t="str">
        <f>IF(D1297="","",VLOOKUP(F1297,製品マスタ!$G$5:$K$5002,5,FALSE))</f>
        <v>MSBBF</v>
      </c>
      <c r="I1297" s="270" t="str">
        <f>IF(D1297="","",VLOOKUP(F1297,製品マスタ!$G$5:$L$5002,6,FALSE))</f>
        <v>ＭＥＴＡＬＵＭＹ　ＳＩＬＶＥＲ　ＢＲＩＧＨＴ　Ｔ６２Ｍ　Ｂ</v>
      </c>
      <c r="J1297" s="32" t="s">
        <v>447</v>
      </c>
      <c r="K1297" s="270">
        <f>IF(D1297="","",VLOOKUP(D1297,契約台帳!$A$3:$L$4986,12,FALSE))</f>
        <v>25</v>
      </c>
      <c r="L1297" s="270" t="str">
        <f>IF(D1297="","",INDEX(製品マスタ!$Q$5:$Q$5002,MATCH(F1297&amp;K1297,製品マスタ!$AO$5:$AO$5002,0)))</f>
        <v>T62</v>
      </c>
      <c r="M1297" s="39">
        <v>1120</v>
      </c>
      <c r="N1297" s="39">
        <v>8000</v>
      </c>
      <c r="O1297" s="47">
        <v>1</v>
      </c>
      <c r="P1297" s="57"/>
      <c r="Q1297" s="276">
        <f>IF(D1297="","",IF(J1297="リード付け",M1297,VLOOKUP(D1297,契約台帳!$A$3:$N$4986,14,FALSE)))</f>
        <v>1120</v>
      </c>
      <c r="R1297" s="277">
        <f>IF(D1297="","",IF(J1297="リード付け",M1297,VLOOKUP(D1297,契約台帳!$A$3:$O$4986,15,FALSE)))</f>
        <v>1120</v>
      </c>
      <c r="S1297" s="426">
        <v>8000</v>
      </c>
      <c r="T1297" s="427">
        <v>1</v>
      </c>
      <c r="U1297" s="428">
        <v>1</v>
      </c>
      <c r="V1297" s="269" t="str">
        <f>IF(J1297="巻返し",VLOOKUP(F1297&amp;K1297&amp;M1297,製品マスタ!$M$5:$AD$5002,18,FALSE),IF(J1297="リード付け","原反コア",IF(J1297="スリット",VLOOKUP(F1297&amp;K1297&amp;Q1297,製品マスタ!$N$5:$AD$5002,17,FALSE),"")))</f>
        <v>6ｲﾝﾁSｺｱ</v>
      </c>
      <c r="W1297" s="269">
        <f>IF(J1297="巻返し",VLOOKUP(F1297&amp;K1297&amp;M1297,製品マスタ!$M$5:$AE$5002,19,FALSE),IF(J1297="リード付け","-",IF(J1297="スリット",VLOOKUP(F1297&amp;K1297&amp;Q1297,製品マスタ!$N$5:$AE$5002,18,FALSE),"")))</f>
        <v>1125</v>
      </c>
      <c r="X1297" s="275">
        <f>IF(D1297="","",VLOOKUP(D1297,契約台帳!$A$3:$Q$4986,17,FALSE))</f>
        <v>2</v>
      </c>
      <c r="Y1297" s="269" t="str">
        <f>IF(D1297="","",VLOOKUP(D1297,契約台帳!$A$3:$E$4986,5,FALSE))</f>
        <v>リンテック㈱</v>
      </c>
      <c r="Z1297" s="357">
        <v>45366</v>
      </c>
      <c r="AA1297" s="207"/>
      <c r="AB1297" s="369"/>
      <c r="AC1297" s="370"/>
      <c r="AD1297" s="332" t="str">
        <f t="shared" si="3"/>
        <v>3SYMLBMSBBF25</v>
      </c>
      <c r="AE1297" s="216">
        <f t="shared" si="4"/>
        <v>8960</v>
      </c>
      <c r="AF1297" s="43" t="e">
        <f>IF(AD1297="","",VLOOKUP(AD1297,原価マスタ!$A$2:$AJ$1693,13,FALSE))</f>
        <v>#N/A</v>
      </c>
      <c r="AG1297" s="47" t="e">
        <f t="shared" si="5"/>
        <v>#N/A</v>
      </c>
      <c r="AH1297" s="30"/>
      <c r="AI1297" s="30"/>
      <c r="AJ1297" s="30"/>
      <c r="AK1297" s="30"/>
      <c r="AL1297" s="13"/>
      <c r="AM1297" s="13"/>
      <c r="AN1297" s="13"/>
      <c r="AO1297" s="13"/>
      <c r="AP1297" s="13"/>
      <c r="AQ1297" s="14"/>
      <c r="AR1297" s="15"/>
    </row>
    <row r="1298" spans="1:44" s="17" customFormat="1" ht="30.95" hidden="1" customHeight="1" x14ac:dyDescent="0.2">
      <c r="A1298" s="343"/>
      <c r="B1298" s="344"/>
      <c r="C1298" s="345"/>
      <c r="D1298" s="398"/>
      <c r="E1298" s="31"/>
      <c r="F1298" s="268"/>
      <c r="G1298" s="269"/>
      <c r="H1298" s="269"/>
      <c r="I1298" s="301" t="s">
        <v>2329</v>
      </c>
      <c r="J1298" s="32"/>
      <c r="K1298" s="270"/>
      <c r="L1298" s="270"/>
      <c r="M1298" s="39"/>
      <c r="N1298" s="39"/>
      <c r="O1298" s="47"/>
      <c r="P1298" s="57"/>
      <c r="Q1298" s="276"/>
      <c r="R1298" s="277"/>
      <c r="S1298" s="277"/>
      <c r="T1298" s="40"/>
      <c r="U1298" s="278"/>
      <c r="V1298" s="269"/>
      <c r="W1298" s="269"/>
      <c r="X1298" s="275"/>
      <c r="Y1298" s="269"/>
      <c r="Z1298" s="357"/>
      <c r="AA1298" s="207"/>
      <c r="AB1298" s="369"/>
      <c r="AC1298" s="370"/>
      <c r="AD1298" s="332"/>
      <c r="AE1298" s="216"/>
      <c r="AF1298" s="43"/>
      <c r="AG1298" s="47"/>
      <c r="AH1298" s="30"/>
      <c r="AI1298" s="30"/>
      <c r="AJ1298" s="30"/>
      <c r="AK1298" s="30"/>
      <c r="AL1298" s="13"/>
      <c r="AM1298" s="13"/>
      <c r="AN1298" s="13"/>
      <c r="AO1298" s="13"/>
      <c r="AP1298" s="13"/>
      <c r="AQ1298" s="14"/>
      <c r="AR1298" s="15"/>
    </row>
    <row r="1299" spans="1:44" s="17" customFormat="1" ht="30.6" hidden="1" customHeight="1" x14ac:dyDescent="0.2">
      <c r="A1299" s="343" t="s">
        <v>953</v>
      </c>
      <c r="B1299" s="344" t="s">
        <v>442</v>
      </c>
      <c r="C1299" s="345"/>
      <c r="D1299" s="219">
        <v>3744891</v>
      </c>
      <c r="E1299" s="31">
        <v>4151619</v>
      </c>
      <c r="F1299" s="268" t="str">
        <f>IF(D1299="","",VLOOKUP(D1299,契約台帳!$A$3:$K$4986,6,FALSE)&amp;VLOOKUP(D1299,契約台帳!$A$3:$K$4986,7,FALSE)&amp;VLOOKUP(D1299,契約台帳!$A$3:$K$4986,8,FALSE)&amp;VLOOKUP(D1299,契約台帳!$A$3:$K$4986,9,FALSE)&amp;VLOOKUP(D1299,契約台帳!$A$3:$K$4986,11,FALSE))</f>
        <v>3SYMLBMSSMBF</v>
      </c>
      <c r="G1299" s="269" t="str">
        <f>IF(D1299="","",VLOOKUP(F1299,製品マスタ!$G$5:$H$5002,2,FALSE))</f>
        <v>S</v>
      </c>
      <c r="H1299" s="269" t="str">
        <f>IF(D1299="","",VLOOKUP(F1299,製品マスタ!$G$5:$K$5002,5,FALSE))</f>
        <v>MSSMBF</v>
      </c>
      <c r="I1299" s="270" t="str">
        <f>IF(D1299="","",VLOOKUP(F1299,製品マスタ!$G$5:$L$5002,6,FALSE))</f>
        <v>ＭＥＴＡＬＵＭＹ　ＳＩＬＶＥＲ　Ｓ－ＭＡＴＴＥ　Ｓ２８ＭＭ　Ｂ</v>
      </c>
      <c r="J1299" s="32" t="s">
        <v>447</v>
      </c>
      <c r="K1299" s="270">
        <f>IF(D1299="","",VLOOKUP(D1299,契約台帳!$A$3:$L$4986,12,FALSE))</f>
        <v>50</v>
      </c>
      <c r="L1299" s="270" t="e">
        <f>IF(D1299="","",INDEX(製品マスタ!$Q$5:$Q$5002,MATCH(F1299&amp;K1299,製品マスタ!$AO$5:$AO$5002,0)))</f>
        <v>#N/A</v>
      </c>
      <c r="M1299" s="39">
        <v>1120</v>
      </c>
      <c r="N1299" s="39">
        <v>12000</v>
      </c>
      <c r="O1299" s="47">
        <v>2</v>
      </c>
      <c r="P1299" s="57"/>
      <c r="Q1299" s="276">
        <f>IF(D1299="","",IF(J1299="リード付け",M1299,VLOOKUP(D1299,契約台帳!$A$3:$N$4986,14,FALSE)))</f>
        <v>1120</v>
      </c>
      <c r="R1299" s="277">
        <f>IF(D1299="","",IF(J1299="リード付け",M1299,VLOOKUP(D1299,契約台帳!$A$3:$O$4986,15,FALSE)))</f>
        <v>1120</v>
      </c>
      <c r="S1299" s="277">
        <f>IF(D1299="","",IF(J1299="リード付け",N1299,VLOOKUP(D1299,契約台帳!$A$3:$P$4986,16,FALSE)))</f>
        <v>4000</v>
      </c>
      <c r="T1299" s="40">
        <v>6</v>
      </c>
      <c r="U1299" s="278">
        <f ca="1">IF(D1299="","",IF(OFFSET(D1299,-2,0)=D1299,"",VLOOKUP(D1299,契約台帳!$A$3:$R$4986,18,FALSE)))</f>
        <v>8</v>
      </c>
      <c r="V1299" s="269" t="e">
        <f>IF(J1299="巻返し",VLOOKUP(F1299&amp;K1299&amp;M1299,製品マスタ!$M$5:$AD$5002,18,FALSE),IF(J1299="リード付け","原反コア",IF(J1299="スリット",VLOOKUP(F1299&amp;K1299&amp;Q1299,製品マスタ!$N$5:$AD$5002,17,FALSE),"")))</f>
        <v>#N/A</v>
      </c>
      <c r="W1299" s="269" t="e">
        <f>IF(J1299="巻返し",VLOOKUP(F1299&amp;K1299&amp;M1299,製品マスタ!$M$5:$AE$5002,19,FALSE),IF(J1299="リード付け","-",IF(J1299="スリット",VLOOKUP(F1299&amp;K1299&amp;Q1299,製品マスタ!$N$5:$AE$5002,18,FALSE),"")))</f>
        <v>#N/A</v>
      </c>
      <c r="X1299" s="275">
        <f>IF(D1299="","",VLOOKUP(D1299,契約台帳!$A$3:$Q$4986,17,FALSE))</f>
        <v>2</v>
      </c>
      <c r="Y1299" s="269" t="str">
        <f>IF(D1299="","",VLOOKUP(D1299,契約台帳!$A$3:$E$4986,5,FALSE))</f>
        <v>リンテック㈱</v>
      </c>
      <c r="Z1299" s="357">
        <v>45366</v>
      </c>
      <c r="AA1299" s="207"/>
      <c r="AB1299" s="369"/>
      <c r="AC1299" s="370"/>
      <c r="AD1299" s="332" t="str">
        <f>IF(F1299="","",+F1299&amp;K1299)</f>
        <v>3SYMLBMSSMBF50</v>
      </c>
      <c r="AE1299" s="216">
        <f>+M1299*N1299*O1299/1000</f>
        <v>26880</v>
      </c>
      <c r="AF1299" s="43">
        <f>IF(AD1299="","",VLOOKUP(AD1299,原価マスタ!$A$2:$AJ$1693,13,FALSE))</f>
        <v>98</v>
      </c>
      <c r="AG1299" s="47">
        <f>IF(AF1299="","",+AE1299*AF1299/100)</f>
        <v>26342.400000000001</v>
      </c>
      <c r="AH1299" s="30"/>
      <c r="AI1299" s="30"/>
      <c r="AJ1299" s="30"/>
      <c r="AK1299" s="30"/>
      <c r="AL1299" s="13"/>
      <c r="AM1299" s="13"/>
      <c r="AN1299" s="13"/>
      <c r="AO1299" s="13"/>
      <c r="AP1299" s="13"/>
      <c r="AQ1299" s="14"/>
      <c r="AR1299" s="15"/>
    </row>
    <row r="1300" spans="1:44" s="17" customFormat="1" ht="30.95" hidden="1" customHeight="1" x14ac:dyDescent="0.2">
      <c r="A1300" s="37"/>
      <c r="B1300" s="38"/>
      <c r="C1300" s="345"/>
      <c r="D1300" s="398"/>
      <c r="E1300" s="31"/>
      <c r="F1300" s="268"/>
      <c r="G1300" s="269"/>
      <c r="H1300" s="269"/>
      <c r="I1300" s="301" t="s">
        <v>2323</v>
      </c>
      <c r="J1300" s="32"/>
      <c r="K1300" s="270"/>
      <c r="L1300" s="270"/>
      <c r="M1300" s="39"/>
      <c r="N1300" s="39"/>
      <c r="O1300" s="47"/>
      <c r="P1300" s="57"/>
      <c r="Q1300" s="276"/>
      <c r="R1300" s="277"/>
      <c r="S1300" s="277"/>
      <c r="T1300" s="40"/>
      <c r="U1300" s="278"/>
      <c r="V1300" s="269"/>
      <c r="W1300" s="269"/>
      <c r="X1300" s="275"/>
      <c r="Y1300" s="269"/>
      <c r="Z1300" s="357"/>
      <c r="AA1300" s="207"/>
      <c r="AB1300" s="369"/>
      <c r="AC1300" s="370"/>
      <c r="AD1300" s="332"/>
      <c r="AE1300" s="216"/>
      <c r="AF1300" s="43"/>
      <c r="AG1300" s="47"/>
      <c r="AH1300" s="30"/>
      <c r="AI1300" s="30"/>
      <c r="AJ1300" s="30"/>
      <c r="AK1300" s="30"/>
      <c r="AL1300" s="13"/>
      <c r="AM1300" s="13"/>
      <c r="AN1300" s="13"/>
      <c r="AO1300" s="13"/>
      <c r="AP1300" s="13"/>
      <c r="AQ1300" s="14"/>
      <c r="AR1300" s="15"/>
    </row>
    <row r="1301" spans="1:44" s="17" customFormat="1" ht="30.95" hidden="1" customHeight="1" x14ac:dyDescent="0.2">
      <c r="A1301" s="343"/>
      <c r="B1301" s="344"/>
      <c r="C1301" s="345"/>
      <c r="D1301" s="219">
        <v>3744891</v>
      </c>
      <c r="E1301" s="31">
        <v>4151619</v>
      </c>
      <c r="F1301" s="268" t="str">
        <f>IF(D1301="","",VLOOKUP(D1301,契約台帳!$A$3:$K$4986,6,FALSE)&amp;VLOOKUP(D1301,契約台帳!$A$3:$K$4986,7,FALSE)&amp;VLOOKUP(D1301,契約台帳!$A$3:$K$4986,8,FALSE)&amp;VLOOKUP(D1301,契約台帳!$A$3:$K$4986,9,FALSE)&amp;VLOOKUP(D1301,契約台帳!$A$3:$K$4986,11,FALSE))</f>
        <v>3SYMLBMSSMBF</v>
      </c>
      <c r="G1301" s="269" t="str">
        <f>IF(D1301="","",VLOOKUP(F1301,製品マスタ!$G$5:$H$5002,2,FALSE))</f>
        <v>S</v>
      </c>
      <c r="H1301" s="269" t="str">
        <f>IF(D1301="","",VLOOKUP(F1301,製品マスタ!$G$5:$K$5002,5,FALSE))</f>
        <v>MSSMBF</v>
      </c>
      <c r="I1301" s="270" t="str">
        <f>IF(D1301="","",VLOOKUP(F1301,製品マスタ!$G$5:$L$5002,6,FALSE))</f>
        <v>ＭＥＴＡＬＵＭＹ　ＳＩＬＶＥＲ　Ｓ－ＭＡＴＴＥ　Ｓ２８ＭＭ　Ｂ</v>
      </c>
      <c r="J1301" s="32" t="s">
        <v>447</v>
      </c>
      <c r="K1301" s="270">
        <f>IF(D1301="","",VLOOKUP(D1301,契約台帳!$A$3:$L$4986,12,FALSE))</f>
        <v>50</v>
      </c>
      <c r="L1301" s="270" t="e">
        <f>IF(D1301="","",INDEX(製品マスタ!$Q$5:$Q$5002,MATCH(F1301&amp;K1301,製品マスタ!$AO$5:$AO$5002,0)))</f>
        <v>#N/A</v>
      </c>
      <c r="M1301" s="39">
        <v>1120</v>
      </c>
      <c r="N1301" s="39">
        <v>8000</v>
      </c>
      <c r="O1301" s="47">
        <v>1</v>
      </c>
      <c r="P1301" s="57"/>
      <c r="Q1301" s="276">
        <f>IF(D1301="","",IF(J1301="リード付け",M1301,VLOOKUP(D1301,契約台帳!$A$3:$N$4986,14,FALSE)))</f>
        <v>1120</v>
      </c>
      <c r="R1301" s="277">
        <f>IF(D1301="","",IF(J1301="リード付け",M1301,VLOOKUP(D1301,契約台帳!$A$3:$O$4986,15,FALSE)))</f>
        <v>1120</v>
      </c>
      <c r="S1301" s="277">
        <f>IF(D1301="","",IF(J1301="リード付け",N1301,VLOOKUP(D1301,契約台帳!$A$3:$P$4986,16,FALSE)))</f>
        <v>4000</v>
      </c>
      <c r="T1301" s="40">
        <v>2</v>
      </c>
      <c r="U1301" s="278" t="str">
        <f ca="1">IF(D1301="","",IF(OFFSET(D1301,-2,0)=D1301,"",VLOOKUP(D1301,契約台帳!$A$3:$R$4986,18,FALSE)))</f>
        <v/>
      </c>
      <c r="V1301" s="269" t="e">
        <f>IF(J1301="巻返し",VLOOKUP(F1301&amp;K1301&amp;M1301,製品マスタ!$M$5:$AD$5002,18,FALSE),IF(J1301="リード付け","原反コア",IF(J1301="スリット",VLOOKUP(F1301&amp;K1301&amp;Q1301,製品マスタ!$N$5:$AD$5002,17,FALSE),"")))</f>
        <v>#N/A</v>
      </c>
      <c r="W1301" s="269" t="e">
        <f>IF(J1301="巻返し",VLOOKUP(F1301&amp;K1301&amp;M1301,製品マスタ!$M$5:$AE$5002,19,FALSE),IF(J1301="リード付け","-",IF(J1301="スリット",VLOOKUP(F1301&amp;K1301&amp;Q1301,製品マスタ!$N$5:$AE$5002,18,FALSE),"")))</f>
        <v>#N/A</v>
      </c>
      <c r="X1301" s="275">
        <f>IF(D1301="","",VLOOKUP(D1301,契約台帳!$A$3:$Q$4986,17,FALSE))</f>
        <v>2</v>
      </c>
      <c r="Y1301" s="269" t="str">
        <f>IF(D1301="","",VLOOKUP(D1301,契約台帳!$A$3:$E$4986,5,FALSE))</f>
        <v>リンテック㈱</v>
      </c>
      <c r="Z1301" s="357">
        <v>45366</v>
      </c>
      <c r="AA1301" s="207"/>
      <c r="AB1301" s="369"/>
      <c r="AC1301" s="370"/>
      <c r="AD1301" s="332" t="str">
        <f>IF(F1301="","",+F1301&amp;K1301)</f>
        <v>3SYMLBMSSMBF50</v>
      </c>
      <c r="AE1301" s="216">
        <f>+M1301*N1301*O1301/1000</f>
        <v>8960</v>
      </c>
      <c r="AF1301" s="43">
        <f>IF(AD1301="","",VLOOKUP(AD1301,原価マスタ!$A$2:$AJ$1693,13,FALSE))</f>
        <v>98</v>
      </c>
      <c r="AG1301" s="47">
        <f>IF(AF1301="","",+AE1301*AF1301/100)</f>
        <v>8780.7999999999993</v>
      </c>
      <c r="AH1301" s="30"/>
      <c r="AI1301" s="30"/>
      <c r="AJ1301" s="30"/>
      <c r="AK1301" s="30"/>
      <c r="AL1301" s="13"/>
      <c r="AM1301" s="13"/>
      <c r="AN1301" s="13"/>
      <c r="AO1301" s="13"/>
      <c r="AP1301" s="13"/>
      <c r="AQ1301" s="14"/>
      <c r="AR1301" s="15"/>
    </row>
    <row r="1302" spans="1:44" s="17" customFormat="1" ht="30.95" hidden="1" customHeight="1" x14ac:dyDescent="0.2">
      <c r="A1302" s="343"/>
      <c r="B1302" s="344"/>
      <c r="C1302" s="345"/>
      <c r="D1302" s="398"/>
      <c r="E1302" s="31"/>
      <c r="F1302" s="268"/>
      <c r="G1302" s="269"/>
      <c r="H1302" s="269"/>
      <c r="I1302" s="301" t="s">
        <v>2323</v>
      </c>
      <c r="J1302" s="32"/>
      <c r="K1302" s="270"/>
      <c r="L1302" s="270"/>
      <c r="M1302" s="39"/>
      <c r="N1302" s="39"/>
      <c r="O1302" s="47"/>
      <c r="P1302" s="57"/>
      <c r="Q1302" s="276"/>
      <c r="R1302" s="277"/>
      <c r="S1302" s="277"/>
      <c r="T1302" s="40"/>
      <c r="U1302" s="278"/>
      <c r="V1302" s="269"/>
      <c r="W1302" s="269"/>
      <c r="X1302" s="275"/>
      <c r="Y1302" s="269"/>
      <c r="Z1302" s="357"/>
      <c r="AA1302" s="207"/>
      <c r="AB1302" s="369"/>
      <c r="AC1302" s="370"/>
      <c r="AD1302" s="332"/>
      <c r="AE1302" s="216"/>
      <c r="AF1302" s="43"/>
      <c r="AG1302" s="47"/>
      <c r="AH1302" s="30"/>
      <c r="AI1302" s="30"/>
      <c r="AJ1302" s="30"/>
      <c r="AK1302" s="30"/>
      <c r="AL1302" s="13"/>
      <c r="AM1302" s="13"/>
      <c r="AN1302" s="13"/>
      <c r="AO1302" s="13"/>
      <c r="AP1302" s="13"/>
      <c r="AQ1302" s="14"/>
      <c r="AR1302" s="15"/>
    </row>
    <row r="1303" spans="1:44" s="17" customFormat="1" ht="30.95" hidden="1" customHeight="1" x14ac:dyDescent="0.2">
      <c r="A1303" s="343"/>
      <c r="B1303" s="344"/>
      <c r="C1303" s="345"/>
      <c r="D1303" s="31">
        <v>3744890</v>
      </c>
      <c r="E1303" s="31">
        <v>4151614</v>
      </c>
      <c r="F1303" s="268" t="str">
        <f>IF(D1303="","",VLOOKUP(D1303,契約台帳!$A$3:$K$4986,6,FALSE)&amp;VLOOKUP(D1303,契約台帳!$A$3:$K$4986,7,FALSE)&amp;VLOOKUP(D1303,契約台帳!$A$3:$K$4986,8,FALSE)&amp;VLOOKUP(D1303,契約台帳!$A$3:$K$4986,9,FALSE)&amp;VLOOKUP(D1303,契約台帳!$A$3:$K$4986,11,FALSE))</f>
        <v>3SYMLBMSNMBF</v>
      </c>
      <c r="G1303" s="269" t="str">
        <f>IF(D1303="","",VLOOKUP(F1303,製品マスタ!$G$5:$H$5002,2,FALSE))</f>
        <v>S</v>
      </c>
      <c r="H1303" s="269" t="str">
        <f>IF(D1303="","",VLOOKUP(F1303,製品マスタ!$G$5:$K$5002,5,FALSE))</f>
        <v>MSNMBF</v>
      </c>
      <c r="I1303" s="270" t="str">
        <f>IF(D1303="","",VLOOKUP(F1303,製品マスタ!$G$5:$L$5002,6,FALSE))</f>
        <v>ＭＥＴＡＬＵＭＹ　ＳＩＬＶＥＲ　Ｎ－ＭＡＴＴＥ　Ｘ４４Ｍ　Ｂ</v>
      </c>
      <c r="J1303" s="32" t="s">
        <v>447</v>
      </c>
      <c r="K1303" s="270">
        <f>IF(D1303="","",VLOOKUP(D1303,契約台帳!$A$3:$L$4986,12,FALSE))</f>
        <v>50</v>
      </c>
      <c r="L1303" s="270" t="str">
        <f>IF(D1303="","",INDEX(製品マスタ!$Q$5:$Q$5002,MATCH(F1303&amp;K1303,製品マスタ!$AO$5:$AO$5002,0)))</f>
        <v>X44</v>
      </c>
      <c r="M1303" s="39">
        <v>1120</v>
      </c>
      <c r="N1303" s="39">
        <v>8000</v>
      </c>
      <c r="O1303" s="47">
        <v>1</v>
      </c>
      <c r="P1303" s="57"/>
      <c r="Q1303" s="276">
        <f>IF(D1303="","",IF(J1303="リード付け",M1303,VLOOKUP(D1303,契約台帳!$A$3:$N$4986,14,FALSE)))</f>
        <v>1120</v>
      </c>
      <c r="R1303" s="277">
        <f>IF(D1303="","",IF(J1303="リード付け",M1303,VLOOKUP(D1303,契約台帳!$A$3:$O$4986,15,FALSE)))</f>
        <v>1120</v>
      </c>
      <c r="S1303" s="277">
        <f>IF(D1303="","",IF(J1303="リード付け",N1303,VLOOKUP(D1303,契約台帳!$A$3:$P$4986,16,FALSE)))</f>
        <v>4000</v>
      </c>
      <c r="T1303" s="40">
        <v>2</v>
      </c>
      <c r="U1303" s="278">
        <f ca="1">IF(D1303="","",IF(OFFSET(D1303,-2,0)=D1303,"",VLOOKUP(D1303,契約台帳!$A$3:$R$4986,18,FALSE)))</f>
        <v>2</v>
      </c>
      <c r="V1303" s="269" t="str">
        <f>IF(J1303="巻返し",VLOOKUP(F1303&amp;K1303&amp;M1303,製品マスタ!$M$5:$AD$5002,18,FALSE),IF(J1303="リード付け","原反コア",IF(J1303="スリット",VLOOKUP(F1303&amp;K1303&amp;Q1303,製品マスタ!$N$5:$AD$5002,17,FALSE),"")))</f>
        <v>6ｲﾝﾁMｺｱ</v>
      </c>
      <c r="W1303" s="269">
        <f>IF(J1303="巻返し",VLOOKUP(F1303&amp;K1303&amp;M1303,製品マスタ!$M$5:$AE$5002,19,FALSE),IF(J1303="リード付け","-",IF(J1303="スリット",VLOOKUP(F1303&amp;K1303&amp;Q1303,製品マスタ!$N$5:$AE$5002,18,FALSE),"")))</f>
        <v>1125</v>
      </c>
      <c r="X1303" s="275">
        <f>IF(D1303="","",VLOOKUP(D1303,契約台帳!$A$3:$Q$4986,17,FALSE))</f>
        <v>2</v>
      </c>
      <c r="Y1303" s="269" t="str">
        <f>IF(D1303="","",VLOOKUP(D1303,契約台帳!$A$3:$E$4986,5,FALSE))</f>
        <v>リンテック㈱</v>
      </c>
      <c r="Z1303" s="357">
        <v>45369</v>
      </c>
      <c r="AA1303" s="207"/>
      <c r="AB1303" s="369"/>
      <c r="AC1303" s="370"/>
      <c r="AD1303" s="332" t="str">
        <f t="shared" si="3"/>
        <v>3SYMLBMSNMBF50</v>
      </c>
      <c r="AE1303" s="216">
        <f t="shared" si="4"/>
        <v>8960</v>
      </c>
      <c r="AF1303" s="43">
        <f>IF(AD1303="","",VLOOKUP(AD1303,原価マスタ!$A$2:$AJ$1693,13,FALSE))</f>
        <v>98.8</v>
      </c>
      <c r="AG1303" s="47">
        <f t="shared" si="5"/>
        <v>8852.48</v>
      </c>
      <c r="AH1303" s="30"/>
      <c r="AI1303" s="30"/>
      <c r="AJ1303" s="30"/>
      <c r="AK1303" s="30"/>
      <c r="AL1303" s="13"/>
      <c r="AM1303" s="13"/>
      <c r="AN1303" s="13"/>
      <c r="AO1303" s="13"/>
      <c r="AP1303" s="13"/>
      <c r="AQ1303" s="14"/>
      <c r="AR1303" s="15"/>
    </row>
    <row r="1304" spans="1:44" s="17" customFormat="1" ht="30.95" hidden="1" customHeight="1" x14ac:dyDescent="0.2">
      <c r="A1304" s="343"/>
      <c r="B1304" s="344"/>
      <c r="C1304" s="345"/>
      <c r="D1304" s="31"/>
      <c r="E1304" s="31"/>
      <c r="F1304" s="268"/>
      <c r="G1304" s="269"/>
      <c r="H1304" s="269"/>
      <c r="I1304" s="270"/>
      <c r="J1304" s="32"/>
      <c r="K1304" s="270"/>
      <c r="L1304" s="270"/>
      <c r="M1304" s="39"/>
      <c r="N1304" s="39"/>
      <c r="O1304" s="47"/>
      <c r="P1304" s="57"/>
      <c r="Q1304" s="276"/>
      <c r="R1304" s="277"/>
      <c r="S1304" s="277"/>
      <c r="T1304" s="40"/>
      <c r="U1304" s="278"/>
      <c r="V1304" s="269"/>
      <c r="W1304" s="269"/>
      <c r="X1304" s="275"/>
      <c r="Y1304" s="269"/>
      <c r="Z1304" s="357"/>
      <c r="AA1304" s="207"/>
      <c r="AB1304" s="369"/>
      <c r="AC1304" s="370"/>
      <c r="AD1304" s="332"/>
      <c r="AE1304" s="216"/>
      <c r="AF1304" s="43"/>
      <c r="AG1304" s="47"/>
      <c r="AH1304" s="30"/>
      <c r="AI1304" s="30"/>
      <c r="AJ1304" s="30"/>
      <c r="AK1304" s="30"/>
      <c r="AL1304" s="13"/>
      <c r="AM1304" s="13"/>
      <c r="AN1304" s="13"/>
      <c r="AO1304" s="13"/>
      <c r="AP1304" s="13"/>
      <c r="AQ1304" s="14"/>
      <c r="AR1304" s="15"/>
    </row>
    <row r="1305" spans="1:44" s="17" customFormat="1" ht="30.95" hidden="1" customHeight="1" x14ac:dyDescent="0.2">
      <c r="A1305" s="343"/>
      <c r="B1305" s="344"/>
      <c r="C1305" s="345"/>
      <c r="D1305" s="31">
        <v>3745648</v>
      </c>
      <c r="E1305" s="31">
        <v>4151615</v>
      </c>
      <c r="F1305" s="268" t="str">
        <f>IF(D1305="","",VLOOKUP(D1305,契約台帳!$A$3:$K$4986,6,FALSE)&amp;VLOOKUP(D1305,契約台帳!$A$3:$K$4986,7,FALSE)&amp;VLOOKUP(D1305,契約台帳!$A$3:$K$4986,8,FALSE)&amp;VLOOKUP(D1305,契約台帳!$A$3:$K$4986,9,FALSE)&amp;VLOOKUP(D1305,契約台帳!$A$3:$K$4986,11,FALSE))</f>
        <v>3SYMLBMSNMBF</v>
      </c>
      <c r="G1305" s="269" t="str">
        <f>IF(D1305="","",VLOOKUP(F1305,製品マスタ!$G$5:$H$5002,2,FALSE))</f>
        <v>S</v>
      </c>
      <c r="H1305" s="269" t="str">
        <f>IF(D1305="","",VLOOKUP(F1305,製品マスタ!$G$5:$K$5002,5,FALSE))</f>
        <v>MSNMBF</v>
      </c>
      <c r="I1305" s="270" t="str">
        <f>IF(D1305="","",VLOOKUP(F1305,製品マスタ!$G$5:$L$5002,6,FALSE))</f>
        <v>ＭＥＴＡＬＵＭＹ　ＳＩＬＶＥＲ　Ｎ－ＭＡＴＴＥ　Ｘ４４Ｍ　Ｂ</v>
      </c>
      <c r="J1305" s="32" t="s">
        <v>447</v>
      </c>
      <c r="K1305" s="270">
        <f>IF(D1305="","",VLOOKUP(D1305,契約台帳!$A$3:$L$4986,12,FALSE))</f>
        <v>50</v>
      </c>
      <c r="L1305" s="270" t="str">
        <f>IF(D1305="","",INDEX(製品マスタ!$Q$5:$Q$5002,MATCH(F1305&amp;K1305,製品マスタ!$AO$5:$AO$5002,0)))</f>
        <v>X44</v>
      </c>
      <c r="M1305" s="39">
        <v>1120</v>
      </c>
      <c r="N1305" s="39">
        <v>8000</v>
      </c>
      <c r="O1305" s="47">
        <v>2</v>
      </c>
      <c r="P1305" s="57"/>
      <c r="Q1305" s="276">
        <f>IF(D1305="","",IF(J1305="リード付け",M1305,VLOOKUP(D1305,契約台帳!$A$3:$N$4986,14,FALSE)))</f>
        <v>1120</v>
      </c>
      <c r="R1305" s="277">
        <f>IF(D1305="","",IF(J1305="リード付け",M1305,VLOOKUP(D1305,契約台帳!$A$3:$O$4986,15,FALSE)))</f>
        <v>1120</v>
      </c>
      <c r="S1305" s="277">
        <f>IF(D1305="","",IF(J1305="リード付け",N1305,VLOOKUP(D1305,契約台帳!$A$3:$P$4986,16,FALSE)))</f>
        <v>4000</v>
      </c>
      <c r="T1305" s="40">
        <v>4</v>
      </c>
      <c r="U1305" s="278">
        <f ca="1">IF(D1305="","",IF(OFFSET(D1305,-2,0)=D1305,"",VLOOKUP(D1305,契約台帳!$A$3:$R$4986,18,FALSE)))</f>
        <v>4</v>
      </c>
      <c r="V1305" s="269" t="str">
        <f>IF(J1305="巻返し",VLOOKUP(F1305&amp;K1305&amp;M1305,製品マスタ!$M$5:$AD$5002,18,FALSE),IF(J1305="リード付け","原反コア",IF(J1305="スリット",VLOOKUP(F1305&amp;K1305&amp;Q1305,製品マスタ!$N$5:$AD$5002,17,FALSE),"")))</f>
        <v>6ｲﾝﾁMｺｱ</v>
      </c>
      <c r="W1305" s="269">
        <f>IF(J1305="巻返し",VLOOKUP(F1305&amp;K1305&amp;M1305,製品マスタ!$M$5:$AE$5002,19,FALSE),IF(J1305="リード付け","-",IF(J1305="スリット",VLOOKUP(F1305&amp;K1305&amp;Q1305,製品マスタ!$N$5:$AE$5002,18,FALSE),"")))</f>
        <v>1125</v>
      </c>
      <c r="X1305" s="275">
        <f>IF(D1305="","",VLOOKUP(D1305,契約台帳!$A$3:$Q$4986,17,FALSE))</f>
        <v>2</v>
      </c>
      <c r="Y1305" s="269" t="str">
        <f>IF(D1305="","",VLOOKUP(D1305,契約台帳!$A$3:$E$4986,5,FALSE))</f>
        <v>リンテック㈱</v>
      </c>
      <c r="Z1305" s="357">
        <v>45369</v>
      </c>
      <c r="AA1305" s="207"/>
      <c r="AB1305" s="369"/>
      <c r="AC1305" s="370"/>
      <c r="AD1305" s="332" t="str">
        <f>IF(F1305="","",+F1305&amp;K1305)</f>
        <v>3SYMLBMSNMBF50</v>
      </c>
      <c r="AE1305" s="216">
        <f>+M1305*N1305*O1305/1000</f>
        <v>17920</v>
      </c>
      <c r="AF1305" s="43">
        <f>IF(AD1305="","",VLOOKUP(AD1305,原価マスタ!$A$2:$AJ$1693,13,FALSE))</f>
        <v>98.8</v>
      </c>
      <c r="AG1305" s="47">
        <f>IF(AF1305="","",+AE1305*AF1305/100)</f>
        <v>17704.96</v>
      </c>
      <c r="AH1305" s="30"/>
      <c r="AI1305" s="30"/>
      <c r="AJ1305" s="30"/>
      <c r="AK1305" s="30"/>
      <c r="AL1305" s="13"/>
      <c r="AM1305" s="13"/>
      <c r="AN1305" s="13"/>
      <c r="AO1305" s="13"/>
      <c r="AP1305" s="13"/>
      <c r="AQ1305" s="14"/>
      <c r="AR1305" s="15"/>
    </row>
    <row r="1306" spans="1:44" s="17" customFormat="1" ht="30.95" hidden="1" customHeight="1" x14ac:dyDescent="0.2">
      <c r="A1306" s="37"/>
      <c r="B1306" s="38"/>
      <c r="C1306" s="345"/>
      <c r="D1306" s="398"/>
      <c r="E1306" s="31"/>
      <c r="F1306" s="268"/>
      <c r="G1306" s="269"/>
      <c r="H1306" s="269"/>
      <c r="I1306" s="301" t="s">
        <v>2323</v>
      </c>
      <c r="J1306" s="32"/>
      <c r="K1306" s="270"/>
      <c r="L1306" s="270"/>
      <c r="M1306" s="39"/>
      <c r="N1306" s="39"/>
      <c r="O1306" s="47"/>
      <c r="P1306" s="57"/>
      <c r="Q1306" s="276"/>
      <c r="R1306" s="277"/>
      <c r="S1306" s="277"/>
      <c r="T1306" s="40"/>
      <c r="U1306" s="278"/>
      <c r="V1306" s="269"/>
      <c r="W1306" s="269"/>
      <c r="X1306" s="275"/>
      <c r="Y1306" s="269"/>
      <c r="Z1306" s="357"/>
      <c r="AA1306" s="207"/>
      <c r="AB1306" s="369"/>
      <c r="AC1306" s="370"/>
      <c r="AD1306" s="332"/>
      <c r="AE1306" s="216"/>
      <c r="AF1306" s="43"/>
      <c r="AG1306" s="47"/>
      <c r="AH1306" s="30"/>
      <c r="AI1306" s="30"/>
      <c r="AJ1306" s="30"/>
      <c r="AK1306" s="30"/>
      <c r="AL1306" s="13"/>
      <c r="AM1306" s="13"/>
      <c r="AN1306" s="13"/>
      <c r="AO1306" s="13"/>
      <c r="AP1306" s="13"/>
      <c r="AQ1306" s="14"/>
      <c r="AR1306" s="15"/>
    </row>
    <row r="1307" spans="1:44" s="17" customFormat="1" ht="30.95" hidden="1" customHeight="1" x14ac:dyDescent="0.2">
      <c r="A1307" s="343" t="s">
        <v>2321</v>
      </c>
      <c r="B1307" s="344" t="s">
        <v>2322</v>
      </c>
      <c r="C1307" s="345"/>
      <c r="D1307" s="31">
        <v>3745649</v>
      </c>
      <c r="E1307" s="31">
        <v>4151616</v>
      </c>
      <c r="F1307" s="268" t="str">
        <f>IF(D1307="","",VLOOKUP(D1307,契約台帳!$A$3:$K$4986,6,FALSE)&amp;VLOOKUP(D1307,契約台帳!$A$3:$K$4986,7,FALSE)&amp;VLOOKUP(D1307,契約台帳!$A$3:$K$4986,8,FALSE)&amp;VLOOKUP(D1307,契約台帳!$A$3:$K$4986,9,FALSE)&amp;VLOOKUP(D1307,契約台帳!$A$3:$K$4986,11,FALSE))</f>
        <v>3SYMLBMSNMBF</v>
      </c>
      <c r="G1307" s="269" t="str">
        <f>IF(D1307="","",VLOOKUP(F1307,製品マスタ!$G$5:$H$5002,2,FALSE))</f>
        <v>S</v>
      </c>
      <c r="H1307" s="269" t="str">
        <f>IF(D1307="","",VLOOKUP(F1307,製品マスタ!$G$5:$K$5002,5,FALSE))</f>
        <v>MSNMBF</v>
      </c>
      <c r="I1307" s="270" t="str">
        <f>IF(D1307="","",VLOOKUP(F1307,製品マスタ!$G$5:$L$5002,6,FALSE))</f>
        <v>ＭＥＴＡＬＵＭＹ　ＳＩＬＶＥＲ　Ｎ－ＭＡＴＴＥ　Ｘ４４Ｍ　Ｂ</v>
      </c>
      <c r="J1307" s="32" t="s">
        <v>447</v>
      </c>
      <c r="K1307" s="270">
        <f>IF(D1307="","",VLOOKUP(D1307,契約台帳!$A$3:$L$4986,12,FALSE))</f>
        <v>50</v>
      </c>
      <c r="L1307" s="270" t="str">
        <f>IF(D1307="","",INDEX(製品マスタ!$Q$5:$Q$5002,MATCH(F1307&amp;K1307,製品マスタ!$AO$5:$AO$5002,0)))</f>
        <v>X44</v>
      </c>
      <c r="M1307" s="39">
        <v>1120</v>
      </c>
      <c r="N1307" s="39">
        <v>8000</v>
      </c>
      <c r="O1307" s="47">
        <v>5</v>
      </c>
      <c r="P1307" s="57"/>
      <c r="Q1307" s="276">
        <f>IF(D1307="","",IF(J1307="リード付け",M1307,VLOOKUP(D1307,契約台帳!$A$3:$N$4986,14,FALSE)))</f>
        <v>1120</v>
      </c>
      <c r="R1307" s="277">
        <f>IF(D1307="","",IF(J1307="リード付け",M1307,VLOOKUP(D1307,契約台帳!$A$3:$O$4986,15,FALSE)))</f>
        <v>1120</v>
      </c>
      <c r="S1307" s="277">
        <f>IF(D1307="","",IF(J1307="リード付け",N1307,VLOOKUP(D1307,契約台帳!$A$3:$P$4986,16,FALSE)))</f>
        <v>4000</v>
      </c>
      <c r="T1307" s="40">
        <v>10</v>
      </c>
      <c r="U1307" s="278">
        <f ca="1">IF(D1307="","",IF(OFFSET(D1307,-2,0)=D1307,"",VLOOKUP(D1307,契約台帳!$A$3:$R$4986,18,FALSE)))</f>
        <v>10</v>
      </c>
      <c r="V1307" s="269" t="str">
        <f>IF(J1307="巻返し",VLOOKUP(F1307&amp;K1307&amp;M1307,製品マスタ!$M$5:$AD$5002,18,FALSE),IF(J1307="リード付け","原反コア",IF(J1307="スリット",VLOOKUP(F1307&amp;K1307&amp;Q1307,製品マスタ!$N$5:$AD$5002,17,FALSE),"")))</f>
        <v>6ｲﾝﾁMｺｱ</v>
      </c>
      <c r="W1307" s="269">
        <f>IF(J1307="巻返し",VLOOKUP(F1307&amp;K1307&amp;M1307,製品マスタ!$M$5:$AE$5002,19,FALSE),IF(J1307="リード付け","-",IF(J1307="スリット",VLOOKUP(F1307&amp;K1307&amp;Q1307,製品マスタ!$N$5:$AE$5002,18,FALSE),"")))</f>
        <v>1125</v>
      </c>
      <c r="X1307" s="275">
        <f>IF(D1307="","",VLOOKUP(D1307,契約台帳!$A$3:$Q$4986,17,FALSE))</f>
        <v>2</v>
      </c>
      <c r="Y1307" s="269" t="str">
        <f>IF(D1307="","",VLOOKUP(D1307,契約台帳!$A$3:$E$4986,5,FALSE))</f>
        <v>リンテック㈱</v>
      </c>
      <c r="Z1307" s="357">
        <v>45369</v>
      </c>
      <c r="AA1307" s="207"/>
      <c r="AB1307" s="369"/>
      <c r="AC1307" s="370"/>
      <c r="AD1307" s="332" t="str">
        <f>IF(F1307="","",+F1307&amp;K1307)</f>
        <v>3SYMLBMSNMBF50</v>
      </c>
      <c r="AE1307" s="216">
        <f>+M1307*N1307*O1307/1000</f>
        <v>44800</v>
      </c>
      <c r="AF1307" s="43">
        <f>IF(AD1307="","",VLOOKUP(AD1307,原価マスタ!$A$2:$AJ$1693,13,FALSE))</f>
        <v>98.8</v>
      </c>
      <c r="AG1307" s="47">
        <f>IF(AF1307="","",+AE1307*AF1307/100)</f>
        <v>44262.400000000001</v>
      </c>
      <c r="AH1307" s="30"/>
      <c r="AI1307" s="30"/>
      <c r="AJ1307" s="30"/>
      <c r="AK1307" s="30"/>
      <c r="AL1307" s="13"/>
      <c r="AM1307" s="13"/>
      <c r="AN1307" s="13"/>
      <c r="AO1307" s="13"/>
      <c r="AP1307" s="13"/>
      <c r="AQ1307" s="14"/>
      <c r="AR1307" s="15"/>
    </row>
    <row r="1308" spans="1:44" s="17" customFormat="1" ht="30.95" hidden="1" customHeight="1" x14ac:dyDescent="0.2">
      <c r="A1308" s="37"/>
      <c r="B1308" s="38"/>
      <c r="C1308" s="345"/>
      <c r="D1308" s="398"/>
      <c r="E1308" s="31"/>
      <c r="F1308" s="268"/>
      <c r="G1308" s="269"/>
      <c r="H1308" s="269"/>
      <c r="I1308" s="301" t="s">
        <v>2323</v>
      </c>
      <c r="J1308" s="32"/>
      <c r="K1308" s="270"/>
      <c r="L1308" s="270"/>
      <c r="M1308" s="39"/>
      <c r="N1308" s="39"/>
      <c r="O1308" s="47"/>
      <c r="P1308" s="57"/>
      <c r="Q1308" s="276"/>
      <c r="R1308" s="277"/>
      <c r="S1308" s="277"/>
      <c r="T1308" s="40"/>
      <c r="U1308" s="278"/>
      <c r="V1308" s="269"/>
      <c r="W1308" s="269"/>
      <c r="X1308" s="275"/>
      <c r="Y1308" s="269"/>
      <c r="Z1308" s="357"/>
      <c r="AA1308" s="207"/>
      <c r="AB1308" s="369"/>
      <c r="AC1308" s="370"/>
      <c r="AD1308" s="332"/>
      <c r="AE1308" s="216"/>
      <c r="AF1308" s="43"/>
      <c r="AG1308" s="47"/>
      <c r="AH1308" s="30"/>
      <c r="AI1308" s="30"/>
      <c r="AJ1308" s="30"/>
      <c r="AK1308" s="30"/>
      <c r="AL1308" s="13"/>
      <c r="AM1308" s="13"/>
      <c r="AN1308" s="13"/>
      <c r="AO1308" s="13"/>
      <c r="AP1308" s="13"/>
      <c r="AQ1308" s="14"/>
      <c r="AR1308" s="15"/>
    </row>
    <row r="1309" spans="1:44" s="17" customFormat="1" ht="30.95" hidden="1" customHeight="1" x14ac:dyDescent="0.2">
      <c r="A1309" s="343"/>
      <c r="B1309" s="344"/>
      <c r="C1309" s="345"/>
      <c r="D1309" s="31">
        <v>3745646</v>
      </c>
      <c r="E1309" s="31">
        <v>4151617</v>
      </c>
      <c r="F1309" s="268" t="str">
        <f>IF(D1309="","",VLOOKUP(D1309,契約台帳!$A$3:$K$4986,6,FALSE)&amp;VLOOKUP(D1309,契約台帳!$A$3:$K$4986,7,FALSE)&amp;VLOOKUP(D1309,契約台帳!$A$3:$K$4986,8,FALSE)&amp;VLOOKUP(D1309,契約台帳!$A$3:$K$4986,9,FALSE)&amp;VLOOKUP(D1309,契約台帳!$A$3:$K$4986,11,FALSE))</f>
        <v>3SYMLBMSSMBF</v>
      </c>
      <c r="G1309" s="269" t="str">
        <f>IF(D1309="","",VLOOKUP(F1309,製品マスタ!$G$5:$H$5002,2,FALSE))</f>
        <v>S</v>
      </c>
      <c r="H1309" s="269" t="str">
        <f>IF(D1309="","",VLOOKUP(F1309,製品マスタ!$G$5:$K$5002,5,FALSE))</f>
        <v>MSSMBF</v>
      </c>
      <c r="I1309" s="270" t="str">
        <f>IF(D1309="","",VLOOKUP(F1309,製品マスタ!$G$5:$L$5002,6,FALSE))</f>
        <v>ＭＥＴＡＬＵＭＹ　ＳＩＬＶＥＲ　Ｓ－ＭＡＴＴＥ　Ｓ２８ＭＭ　Ｂ</v>
      </c>
      <c r="J1309" s="32" t="s">
        <v>447</v>
      </c>
      <c r="K1309" s="270">
        <f>IF(D1309="","",VLOOKUP(D1309,契約台帳!$A$3:$L$4986,12,FALSE))</f>
        <v>25</v>
      </c>
      <c r="L1309" s="270" t="str">
        <f>IF(D1309="","",INDEX(製品マスタ!$Q$5:$Q$5002,MATCH(F1309&amp;K1309,製品マスタ!$AO$5:$AO$5002,0)))</f>
        <v>LI-MAT</v>
      </c>
      <c r="M1309" s="39">
        <v>1120</v>
      </c>
      <c r="N1309" s="39">
        <v>8000</v>
      </c>
      <c r="O1309" s="47">
        <v>2</v>
      </c>
      <c r="P1309" s="57"/>
      <c r="Q1309" s="276">
        <f>IF(D1309="","",IF(J1309="リード付け",M1309,VLOOKUP(D1309,契約台帳!$A$3:$N$4986,14,FALSE)))</f>
        <v>1120</v>
      </c>
      <c r="R1309" s="277">
        <f>IF(D1309="","",IF(J1309="リード付け",M1309,VLOOKUP(D1309,契約台帳!$A$3:$O$4986,15,FALSE)))</f>
        <v>1120</v>
      </c>
      <c r="S1309" s="277">
        <f>IF(D1309="","",IF(J1309="リード付け",N1309,VLOOKUP(D1309,契約台帳!$A$3:$P$4986,16,FALSE)))</f>
        <v>8000</v>
      </c>
      <c r="T1309" s="40">
        <v>2</v>
      </c>
      <c r="U1309" s="278">
        <f ca="1">IF(D1309="","",IF(OFFSET(D1309,-2,0)=D1309,"",VLOOKUP(D1309,契約台帳!$A$3:$R$4986,18,FALSE)))</f>
        <v>2</v>
      </c>
      <c r="V1309" s="269" t="str">
        <f>IF(J1309="巻返し",VLOOKUP(F1309&amp;K1309&amp;M1309,製品マスタ!$M$5:$AD$5002,18,FALSE),IF(J1309="リード付け","原反コア",IF(J1309="スリット",VLOOKUP(F1309&amp;K1309&amp;Q1309,製品マスタ!$N$5:$AD$5002,17,FALSE),"")))</f>
        <v>6ｲﾝﾁSｺｱ</v>
      </c>
      <c r="W1309" s="269">
        <f>IF(J1309="巻返し",VLOOKUP(F1309&amp;K1309&amp;M1309,製品マスタ!$M$5:$AE$5002,19,FALSE),IF(J1309="リード付け","-",IF(J1309="スリット",VLOOKUP(F1309&amp;K1309&amp;Q1309,製品マスタ!$N$5:$AE$5002,18,FALSE),"")))</f>
        <v>1125</v>
      </c>
      <c r="X1309" s="275">
        <f>IF(D1309="","",VLOOKUP(D1309,契約台帳!$A$3:$Q$4986,17,FALSE))</f>
        <v>2</v>
      </c>
      <c r="Y1309" s="269" t="str">
        <f>IF(D1309="","",VLOOKUP(D1309,契約台帳!$A$3:$E$4986,5,FALSE))</f>
        <v>リンテック㈱</v>
      </c>
      <c r="Z1309" s="357">
        <v>45370</v>
      </c>
      <c r="AA1309" s="207"/>
      <c r="AB1309" s="369"/>
      <c r="AC1309" s="370"/>
      <c r="AD1309" s="332" t="str">
        <f>IF(F1309="","",+F1309&amp;K1309)</f>
        <v>3SYMLBMSSMBF25</v>
      </c>
      <c r="AE1309" s="216">
        <f>+M1309*N1309*O1309/1000</f>
        <v>17920</v>
      </c>
      <c r="AF1309" s="43" t="e">
        <f>IF(AD1309="","",VLOOKUP(AD1309,原価マスタ!$A$2:$AJ$1693,13,FALSE))</f>
        <v>#N/A</v>
      </c>
      <c r="AG1309" s="47" t="e">
        <f>IF(AF1309="","",+AE1309*AF1309/100)</f>
        <v>#N/A</v>
      </c>
      <c r="AH1309" s="30"/>
      <c r="AI1309" s="30"/>
      <c r="AJ1309" s="30"/>
      <c r="AK1309" s="30"/>
      <c r="AL1309" s="13"/>
      <c r="AM1309" s="13"/>
      <c r="AN1309" s="13"/>
      <c r="AO1309" s="13"/>
      <c r="AP1309" s="13"/>
      <c r="AQ1309" s="14"/>
      <c r="AR1309" s="15"/>
    </row>
    <row r="1310" spans="1:44" s="17" customFormat="1" ht="30.95" hidden="1" customHeight="1" x14ac:dyDescent="0.2">
      <c r="A1310" s="37"/>
      <c r="B1310" s="38"/>
      <c r="C1310" s="345"/>
      <c r="D1310" s="398"/>
      <c r="E1310" s="31"/>
      <c r="F1310" s="268"/>
      <c r="G1310" s="269"/>
      <c r="H1310" s="269"/>
      <c r="I1310" s="301" t="s">
        <v>2323</v>
      </c>
      <c r="J1310" s="32"/>
      <c r="K1310" s="270"/>
      <c r="L1310" s="270"/>
      <c r="M1310" s="39"/>
      <c r="N1310" s="39"/>
      <c r="O1310" s="47"/>
      <c r="P1310" s="57"/>
      <c r="Q1310" s="276"/>
      <c r="R1310" s="277"/>
      <c r="S1310" s="277"/>
      <c r="T1310" s="40"/>
      <c r="U1310" s="278"/>
      <c r="V1310" s="269"/>
      <c r="W1310" s="269"/>
      <c r="X1310" s="275"/>
      <c r="Y1310" s="269"/>
      <c r="Z1310" s="357"/>
      <c r="AA1310" s="207"/>
      <c r="AB1310" s="369"/>
      <c r="AC1310" s="370"/>
      <c r="AD1310" s="332"/>
      <c r="AE1310" s="216"/>
      <c r="AF1310" s="43"/>
      <c r="AG1310" s="47"/>
      <c r="AH1310" s="30"/>
      <c r="AI1310" s="30"/>
      <c r="AJ1310" s="30"/>
      <c r="AK1310" s="30"/>
      <c r="AL1310" s="13"/>
      <c r="AM1310" s="13"/>
      <c r="AN1310" s="13"/>
      <c r="AO1310" s="13"/>
      <c r="AP1310" s="13"/>
      <c r="AQ1310" s="14"/>
      <c r="AR1310" s="15"/>
    </row>
    <row r="1311" spans="1:44" s="17" customFormat="1" ht="30.95" hidden="1" customHeight="1" x14ac:dyDescent="0.2">
      <c r="A1311" s="343"/>
      <c r="B1311" s="344"/>
      <c r="C1311" s="345"/>
      <c r="D1311" s="31">
        <v>3744889</v>
      </c>
      <c r="E1311" s="31">
        <v>4151609</v>
      </c>
      <c r="F1311" s="268" t="str">
        <f>IF(D1311="","",VLOOKUP(D1311,契約台帳!$A$3:$K$4986,6,FALSE)&amp;VLOOKUP(D1311,契約台帳!$A$3:$K$4986,7,FALSE)&amp;VLOOKUP(D1311,契約台帳!$A$3:$K$4986,8,FALSE)&amp;VLOOKUP(D1311,契約台帳!$A$3:$K$4986,9,FALSE)&amp;VLOOKUP(D1311,契約台帳!$A$3:$K$4986,11,FALSE))</f>
        <v>3SYMLBMSBBF</v>
      </c>
      <c r="G1311" s="269" t="str">
        <f>IF(D1311="","",VLOOKUP(F1311,製品マスタ!$G$5:$H$5002,2,FALSE))</f>
        <v>S</v>
      </c>
      <c r="H1311" s="269" t="str">
        <f>IF(D1311="","",VLOOKUP(F1311,製品マスタ!$G$5:$K$5002,5,FALSE))</f>
        <v>MSBBF</v>
      </c>
      <c r="I1311" s="270" t="str">
        <f>IF(D1311="","",VLOOKUP(F1311,製品マスタ!$G$5:$L$5002,6,FALSE))</f>
        <v>ＭＥＴＡＬＵＭＹ　ＳＩＬＶＥＲ　ＢＲＩＧＨＴ　Ｔ６２Ｍ　Ｂ</v>
      </c>
      <c r="J1311" s="32" t="s">
        <v>447</v>
      </c>
      <c r="K1311" s="270">
        <f>IF(D1311="","",VLOOKUP(D1311,契約台帳!$A$3:$L$4986,12,FALSE))</f>
        <v>50</v>
      </c>
      <c r="L1311" s="270" t="str">
        <f>IF(D1311="","",INDEX(製品マスタ!$Q$5:$Q$5002,MATCH(F1311&amp;K1311,製品マスタ!$AO$5:$AO$5002,0)))</f>
        <v>T62</v>
      </c>
      <c r="M1311" s="39">
        <v>1120</v>
      </c>
      <c r="N1311" s="39">
        <v>10000</v>
      </c>
      <c r="O1311" s="47">
        <v>1</v>
      </c>
      <c r="P1311" s="57"/>
      <c r="Q1311" s="276">
        <f>IF(D1311="","",IF(J1311="リード付け",M1311,VLOOKUP(D1311,契約台帳!$A$3:$N$4986,14,FALSE)))</f>
        <v>1120</v>
      </c>
      <c r="R1311" s="277">
        <f>IF(D1311="","",IF(J1311="リード付け",M1311,VLOOKUP(D1311,契約台帳!$A$3:$O$4986,15,FALSE)))</f>
        <v>1120</v>
      </c>
      <c r="S1311" s="277">
        <f>IF(D1311="","",IF(J1311="リード付け",N1311,VLOOKUP(D1311,契約台帳!$A$3:$P$4986,16,FALSE)))</f>
        <v>5000</v>
      </c>
      <c r="T1311" s="40">
        <v>2</v>
      </c>
      <c r="U1311" s="278">
        <f ca="1">IF(D1311="","",IF(OFFSET(D1311,-2,0)=D1311,"",VLOOKUP(D1311,契約台帳!$A$3:$R$4986,18,FALSE)))</f>
        <v>2</v>
      </c>
      <c r="V1311" s="269" t="str">
        <f>IF(J1311="巻返し",VLOOKUP(F1311&amp;K1311&amp;M1311,製品マスタ!$M$5:$AD$5002,18,FALSE),IF(J1311="リード付け","原反コア",IF(J1311="スリット",VLOOKUP(F1311&amp;K1311&amp;Q1311,製品マスタ!$N$5:$AD$5002,17,FALSE),"")))</f>
        <v>6ｲﾝﾁSｺｱ</v>
      </c>
      <c r="W1311" s="269">
        <f>IF(J1311="巻返し",VLOOKUP(F1311&amp;K1311&amp;M1311,製品マスタ!$M$5:$AE$5002,19,FALSE),IF(J1311="リード付け","-",IF(J1311="スリット",VLOOKUP(F1311&amp;K1311&amp;Q1311,製品マスタ!$N$5:$AE$5002,18,FALSE),"")))</f>
        <v>1125</v>
      </c>
      <c r="X1311" s="275">
        <f>IF(D1311="","",VLOOKUP(D1311,契約台帳!$A$3:$Q$4986,17,FALSE))</f>
        <v>2</v>
      </c>
      <c r="Y1311" s="269" t="str">
        <f>IF(D1311="","",VLOOKUP(D1311,契約台帳!$A$3:$E$4986,5,FALSE))</f>
        <v>リンテック㈱</v>
      </c>
      <c r="Z1311" s="357">
        <v>45370</v>
      </c>
      <c r="AA1311" s="207"/>
      <c r="AB1311" s="369"/>
      <c r="AC1311" s="370"/>
      <c r="AD1311" s="332" t="str">
        <f>IF(F1311="","",+F1311&amp;K1311)</f>
        <v>3SYMLBMSBBF50</v>
      </c>
      <c r="AE1311" s="216">
        <f>+M1311*N1311*O1311/1000</f>
        <v>11200</v>
      </c>
      <c r="AF1311" s="43">
        <f>IF(AD1311="","",VLOOKUP(AD1311,原価マスタ!$A$2:$AJ$1693,13,FALSE))</f>
        <v>99</v>
      </c>
      <c r="AG1311" s="47">
        <f>IF(AF1311="","",+AE1311*AF1311/100)</f>
        <v>11088</v>
      </c>
      <c r="AH1311" s="30"/>
      <c r="AI1311" s="30"/>
      <c r="AJ1311" s="30"/>
      <c r="AK1311" s="30"/>
      <c r="AL1311" s="13"/>
      <c r="AM1311" s="13"/>
      <c r="AN1311" s="13"/>
      <c r="AO1311" s="13"/>
      <c r="AP1311" s="13"/>
      <c r="AQ1311" s="14"/>
      <c r="AR1311" s="15"/>
    </row>
    <row r="1312" spans="1:44" s="17" customFormat="1" ht="30.95" hidden="1" customHeight="1" x14ac:dyDescent="0.2">
      <c r="A1312" s="343"/>
      <c r="B1312" s="344"/>
      <c r="C1312" s="345"/>
      <c r="D1312" s="398"/>
      <c r="E1312" s="31"/>
      <c r="F1312" s="268"/>
      <c r="G1312" s="269"/>
      <c r="H1312" s="269"/>
      <c r="I1312" s="270"/>
      <c r="J1312" s="32"/>
      <c r="K1312" s="270"/>
      <c r="L1312" s="270"/>
      <c r="M1312" s="39"/>
      <c r="N1312" s="39"/>
      <c r="O1312" s="47"/>
      <c r="P1312" s="57"/>
      <c r="Q1312" s="276"/>
      <c r="R1312" s="277"/>
      <c r="S1312" s="277"/>
      <c r="T1312" s="40"/>
      <c r="U1312" s="278"/>
      <c r="V1312" s="269"/>
      <c r="W1312" s="269"/>
      <c r="X1312" s="275"/>
      <c r="Y1312" s="269"/>
      <c r="Z1312" s="357"/>
      <c r="AA1312" s="207"/>
      <c r="AB1312" s="369"/>
      <c r="AC1312" s="370"/>
      <c r="AD1312" s="332"/>
      <c r="AE1312" s="216"/>
      <c r="AF1312" s="43"/>
      <c r="AG1312" s="47"/>
      <c r="AH1312" s="30"/>
      <c r="AI1312" s="30"/>
      <c r="AJ1312" s="30"/>
      <c r="AK1312" s="30"/>
      <c r="AL1312" s="13"/>
      <c r="AM1312" s="13"/>
      <c r="AN1312" s="13"/>
      <c r="AO1312" s="13"/>
      <c r="AP1312" s="13"/>
      <c r="AQ1312" s="14"/>
      <c r="AR1312" s="15"/>
    </row>
    <row r="1313" spans="1:44" s="17" customFormat="1" ht="30.95" hidden="1" customHeight="1" x14ac:dyDescent="0.2">
      <c r="A1313" s="343" t="s">
        <v>2289</v>
      </c>
      <c r="B1313" s="344" t="s">
        <v>2290</v>
      </c>
      <c r="C1313" s="345"/>
      <c r="D1313" s="31">
        <v>3744884</v>
      </c>
      <c r="E1313" s="31">
        <v>4151618</v>
      </c>
      <c r="F1313" s="268" t="str">
        <f>IF(D1313="","",VLOOKUP(D1313,契約台帳!$A$3:$K$4986,6,FALSE)&amp;VLOOKUP(D1313,契約台帳!$A$3:$K$4986,7,FALSE)&amp;VLOOKUP(D1313,契約台帳!$A$3:$K$4986,8,FALSE)&amp;VLOOKUP(D1313,契約台帳!$A$3:$K$4986,9,FALSE)&amp;VLOOKUP(D1313,契約台帳!$A$3:$K$4986,11,FALSE))</f>
        <v>3SNMLBMNGTBF</v>
      </c>
      <c r="G1313" s="269" t="str">
        <f>IF(D1313="","",VLOOKUP(F1313,製品マスタ!$G$5:$H$5002,2,FALSE))</f>
        <v>S</v>
      </c>
      <c r="H1313" s="269" t="str">
        <f>IF(D1313="","",VLOOKUP(F1313,製品マスタ!$G$5:$K$5002,5,FALSE))</f>
        <v>MNGTBF</v>
      </c>
      <c r="I1313" s="270" t="str">
        <f>IF(D1313="","",VLOOKUP(F1313,製品マスタ!$G$5:$L$5002,6,FALSE))</f>
        <v>メタルミー　ネーマー　銀艶　Ｂ</v>
      </c>
      <c r="J1313" s="32" t="s">
        <v>447</v>
      </c>
      <c r="K1313" s="270">
        <f>IF(D1313="","",VLOOKUP(D1313,契約台帳!$A$3:$L$4986,12,FALSE))</f>
        <v>50</v>
      </c>
      <c r="L1313" s="270" t="str">
        <f>IF(D1313="","",INDEX(製品マスタ!$Q$5:$Q$5002,MATCH(F1313&amp;K1313,製品マスタ!$AO$5:$AO$5002,0)))</f>
        <v>T62</v>
      </c>
      <c r="M1313" s="39">
        <v>1120</v>
      </c>
      <c r="N1313" s="39">
        <v>10000</v>
      </c>
      <c r="O1313" s="47">
        <v>7</v>
      </c>
      <c r="P1313" s="57"/>
      <c r="Q1313" s="276">
        <f>IF(D1313="","",IF(J1313="リード付け",M1313,VLOOKUP(D1313,契約台帳!$A$3:$N$4986,14,FALSE)))</f>
        <v>1120</v>
      </c>
      <c r="R1313" s="277">
        <f>IF(D1313="","",IF(J1313="リード付け",M1313,VLOOKUP(D1313,契約台帳!$A$3:$O$4986,15,FALSE)))</f>
        <v>1120</v>
      </c>
      <c r="S1313" s="277">
        <f>IF(D1313="","",IF(J1313="リード付け",N1313,VLOOKUP(D1313,契約台帳!$A$3:$P$4986,16,FALSE)))</f>
        <v>5000</v>
      </c>
      <c r="T1313" s="40">
        <v>14</v>
      </c>
      <c r="U1313" s="278">
        <v>14</v>
      </c>
      <c r="V1313" s="269" t="str">
        <f>IF(J1313="巻返し",VLOOKUP(F1313&amp;K1313&amp;M1313,製品マスタ!$M$5:$AD$5002,18,FALSE),IF(J1313="リード付け","原反コア",IF(J1313="スリット",VLOOKUP(F1313&amp;K1313&amp;Q1313,製品マスタ!$N$5:$AD$5002,17,FALSE),"")))</f>
        <v>6ｲﾝﾁSｺｱ</v>
      </c>
      <c r="W1313" s="269">
        <f>IF(J1313="巻返し",VLOOKUP(F1313&amp;K1313&amp;M1313,製品マスタ!$M$5:$AE$5002,19,FALSE),IF(J1313="リード付け","-",IF(J1313="スリット",VLOOKUP(F1313&amp;K1313&amp;Q1313,製品マスタ!$N$5:$AE$5002,18,FALSE),"")))</f>
        <v>1125</v>
      </c>
      <c r="X1313" s="275">
        <f>IF(D1313="","",VLOOKUP(D1313,契約台帳!$A$3:$Q$4986,17,FALSE))</f>
        <v>2</v>
      </c>
      <c r="Y1313" s="269" t="str">
        <f>IF(D1313="","",VLOOKUP(D1313,契約台帳!$A$3:$E$4986,5,FALSE))</f>
        <v>リンテック㈱</v>
      </c>
      <c r="Z1313" s="357">
        <v>45372</v>
      </c>
      <c r="AA1313" s="207"/>
      <c r="AB1313" s="369"/>
      <c r="AC1313" s="370"/>
      <c r="AD1313" s="332" t="str">
        <f>IF(F1313="","",+F1313&amp;K1313)</f>
        <v>3SNMLBMNGTBF50</v>
      </c>
      <c r="AE1313" s="216">
        <f>+M1313*N1313*O1313/1000</f>
        <v>78400</v>
      </c>
      <c r="AF1313" s="43">
        <f>IF(AD1313="","",VLOOKUP(AD1313,原価マスタ!$A$2:$AJ$1693,13,FALSE))</f>
        <v>99</v>
      </c>
      <c r="AG1313" s="47">
        <f>IF(AF1313="","",+AE1313*AF1313/100)</f>
        <v>77616</v>
      </c>
      <c r="AH1313" s="30"/>
      <c r="AI1313" s="30"/>
      <c r="AJ1313" s="30"/>
      <c r="AK1313" s="30"/>
      <c r="AL1313" s="13"/>
      <c r="AM1313" s="13"/>
      <c r="AN1313" s="13"/>
      <c r="AO1313" s="13"/>
      <c r="AP1313" s="13"/>
      <c r="AQ1313" s="14"/>
      <c r="AR1313" s="15"/>
    </row>
    <row r="1314" spans="1:44" s="17" customFormat="1" ht="30.95" hidden="1" customHeight="1" x14ac:dyDescent="0.2">
      <c r="A1314" s="37"/>
      <c r="B1314" s="38"/>
      <c r="C1314" s="345"/>
      <c r="D1314" s="398"/>
      <c r="E1314" s="31"/>
      <c r="F1314" s="268"/>
      <c r="G1314" s="269"/>
      <c r="H1314" s="269"/>
      <c r="I1314" s="270"/>
      <c r="J1314" s="32"/>
      <c r="K1314" s="270"/>
      <c r="L1314" s="270"/>
      <c r="M1314" s="39"/>
      <c r="N1314" s="39"/>
      <c r="O1314" s="47"/>
      <c r="P1314" s="57"/>
      <c r="Q1314" s="276"/>
      <c r="R1314" s="277"/>
      <c r="S1314" s="277"/>
      <c r="T1314" s="40"/>
      <c r="U1314" s="278"/>
      <c r="V1314" s="269"/>
      <c r="W1314" s="269"/>
      <c r="X1314" s="275"/>
      <c r="Y1314" s="269"/>
      <c r="Z1314" s="357"/>
      <c r="AA1314" s="207"/>
      <c r="AB1314" s="369"/>
      <c r="AC1314" s="370"/>
      <c r="AD1314" s="332"/>
      <c r="AE1314" s="216"/>
      <c r="AF1314" s="43"/>
      <c r="AG1314" s="47"/>
      <c r="AH1314" s="30"/>
      <c r="AI1314" s="30"/>
      <c r="AJ1314" s="30"/>
      <c r="AK1314" s="30"/>
      <c r="AL1314" s="13"/>
      <c r="AM1314" s="13"/>
      <c r="AN1314" s="13"/>
      <c r="AO1314" s="13"/>
      <c r="AP1314" s="13"/>
      <c r="AQ1314" s="14"/>
      <c r="AR1314" s="15"/>
    </row>
    <row r="1315" spans="1:44" s="17" customFormat="1" ht="30.95" hidden="1" customHeight="1" x14ac:dyDescent="0.2">
      <c r="A1315" s="37" t="s">
        <v>2250</v>
      </c>
      <c r="B1315" s="38" t="s">
        <v>1397</v>
      </c>
      <c r="C1315" s="345"/>
      <c r="D1315" s="398"/>
      <c r="E1315" s="31"/>
      <c r="F1315" s="268"/>
      <c r="G1315" s="269"/>
      <c r="H1315" s="269"/>
      <c r="I1315" s="270"/>
      <c r="J1315" s="347" t="s">
        <v>448</v>
      </c>
      <c r="K1315" s="270"/>
      <c r="L1315" s="270"/>
      <c r="M1315" s="39"/>
      <c r="N1315" s="39"/>
      <c r="O1315" s="47"/>
      <c r="P1315" s="57"/>
      <c r="Q1315" s="276"/>
      <c r="R1315" s="277"/>
      <c r="S1315" s="277"/>
      <c r="T1315" s="40"/>
      <c r="U1315" s="278"/>
      <c r="V1315" s="269"/>
      <c r="W1315" s="269"/>
      <c r="X1315" s="275"/>
      <c r="Y1315" s="269"/>
      <c r="Z1315" s="357"/>
      <c r="AA1315" s="207"/>
      <c r="AB1315" s="369"/>
      <c r="AC1315" s="370"/>
      <c r="AD1315" s="332" t="str">
        <f>IF(F1315="","",+F1315&amp;K1315)</f>
        <v/>
      </c>
      <c r="AE1315" s="216">
        <f>+M1315*N1315*O1315/1000</f>
        <v>0</v>
      </c>
      <c r="AF1315" s="43" t="str">
        <f>IF(AD1315="","",VLOOKUP(AD1315,原価マスタ!$A$2:$AJ$1693,13,FALSE))</f>
        <v/>
      </c>
      <c r="AG1315" s="47" t="str">
        <f>IF(AF1315="","",+AE1315*AF1315/100)</f>
        <v/>
      </c>
      <c r="AH1315" s="30"/>
      <c r="AI1315" s="30"/>
      <c r="AJ1315" s="30"/>
      <c r="AK1315" s="30"/>
      <c r="AL1315" s="13"/>
      <c r="AM1315" s="13"/>
      <c r="AN1315" s="13"/>
      <c r="AO1315" s="13"/>
      <c r="AP1315" s="13"/>
      <c r="AQ1315" s="14"/>
      <c r="AR1315" s="15"/>
    </row>
    <row r="1316" spans="1:44" s="17" customFormat="1" ht="30.95" hidden="1" customHeight="1" x14ac:dyDescent="0.2">
      <c r="A1316" s="343"/>
      <c r="B1316" s="344"/>
      <c r="C1316" s="345"/>
      <c r="D1316" s="398"/>
      <c r="E1316" s="31"/>
      <c r="F1316" s="268"/>
      <c r="G1316" s="269"/>
      <c r="H1316" s="269"/>
      <c r="I1316" s="270"/>
      <c r="J1316" s="347"/>
      <c r="K1316" s="270"/>
      <c r="L1316" s="270"/>
      <c r="M1316" s="39"/>
      <c r="N1316" s="39"/>
      <c r="O1316" s="47"/>
      <c r="P1316" s="57"/>
      <c r="Q1316" s="276"/>
      <c r="R1316" s="277"/>
      <c r="S1316" s="277"/>
      <c r="T1316" s="40"/>
      <c r="U1316" s="278"/>
      <c r="V1316" s="269"/>
      <c r="W1316" s="269"/>
      <c r="X1316" s="275"/>
      <c r="Y1316" s="269"/>
      <c r="Z1316" s="357"/>
      <c r="AA1316" s="207"/>
      <c r="AB1316" s="369"/>
      <c r="AC1316" s="370"/>
      <c r="AD1316" s="332"/>
      <c r="AE1316" s="216"/>
      <c r="AF1316" s="43"/>
      <c r="AG1316" s="47"/>
      <c r="AH1316" s="30"/>
      <c r="AI1316" s="30"/>
      <c r="AJ1316" s="30"/>
      <c r="AK1316" s="30"/>
      <c r="AL1316" s="13"/>
      <c r="AM1316" s="13"/>
      <c r="AN1316" s="13"/>
      <c r="AO1316" s="13"/>
      <c r="AP1316" s="13"/>
      <c r="AQ1316" s="14"/>
      <c r="AR1316" s="15"/>
    </row>
    <row r="1317" spans="1:44" s="17" customFormat="1" ht="30.95" hidden="1" customHeight="1" x14ac:dyDescent="0.2">
      <c r="A1317" s="37" t="s">
        <v>2251</v>
      </c>
      <c r="B1317" s="38" t="s">
        <v>392</v>
      </c>
      <c r="C1317" s="345"/>
      <c r="D1317" s="398"/>
      <c r="E1317" s="31"/>
      <c r="F1317" s="268"/>
      <c r="G1317" s="269"/>
      <c r="H1317" s="269"/>
      <c r="I1317" s="270"/>
      <c r="J1317" s="347" t="s">
        <v>448</v>
      </c>
      <c r="K1317" s="270"/>
      <c r="L1317" s="270"/>
      <c r="M1317" s="39"/>
      <c r="N1317" s="39"/>
      <c r="O1317" s="47"/>
      <c r="P1317" s="57"/>
      <c r="Q1317" s="276"/>
      <c r="R1317" s="277"/>
      <c r="S1317" s="277"/>
      <c r="T1317" s="40"/>
      <c r="U1317" s="278"/>
      <c r="V1317" s="269"/>
      <c r="W1317" s="269"/>
      <c r="X1317" s="275"/>
      <c r="Y1317" s="269"/>
      <c r="Z1317" s="357"/>
      <c r="AA1317" s="207"/>
      <c r="AB1317" s="369"/>
      <c r="AC1317" s="370"/>
      <c r="AD1317" s="332"/>
      <c r="AE1317" s="216"/>
      <c r="AF1317" s="43"/>
      <c r="AG1317" s="47"/>
      <c r="AH1317" s="30"/>
      <c r="AI1317" s="30"/>
      <c r="AJ1317" s="30"/>
      <c r="AK1317" s="30"/>
      <c r="AL1317" s="13"/>
      <c r="AM1317" s="13"/>
      <c r="AN1317" s="13"/>
      <c r="AO1317" s="13"/>
      <c r="AP1317" s="13"/>
      <c r="AQ1317" s="14"/>
      <c r="AR1317" s="15"/>
    </row>
    <row r="1318" spans="1:44" s="17" customFormat="1" ht="30.95" hidden="1" customHeight="1" x14ac:dyDescent="0.2">
      <c r="A1318" s="37"/>
      <c r="B1318" s="38"/>
      <c r="C1318" s="345"/>
      <c r="D1318" s="398"/>
      <c r="E1318" s="31"/>
      <c r="F1318" s="268"/>
      <c r="G1318" s="269"/>
      <c r="H1318" s="269"/>
      <c r="I1318" s="270"/>
      <c r="J1318" s="32"/>
      <c r="K1318" s="270"/>
      <c r="L1318" s="270"/>
      <c r="M1318" s="39"/>
      <c r="N1318" s="39"/>
      <c r="O1318" s="47"/>
      <c r="P1318" s="57"/>
      <c r="Q1318" s="276"/>
      <c r="R1318" s="277"/>
      <c r="S1318" s="277"/>
      <c r="T1318" s="40"/>
      <c r="U1318" s="278"/>
      <c r="V1318" s="269"/>
      <c r="W1318" s="269"/>
      <c r="X1318" s="275"/>
      <c r="Y1318" s="269"/>
      <c r="Z1318" s="357"/>
      <c r="AA1318" s="207"/>
      <c r="AB1318" s="369"/>
      <c r="AC1318" s="370"/>
      <c r="AD1318" s="332"/>
      <c r="AE1318" s="216"/>
      <c r="AF1318" s="43"/>
      <c r="AG1318" s="47"/>
      <c r="AH1318" s="30"/>
      <c r="AI1318" s="30"/>
      <c r="AJ1318" s="30"/>
      <c r="AK1318" s="30"/>
      <c r="AL1318" s="13"/>
      <c r="AM1318" s="13"/>
      <c r="AN1318" s="13"/>
      <c r="AO1318" s="13"/>
      <c r="AP1318" s="13"/>
      <c r="AQ1318" s="14"/>
      <c r="AR1318" s="15"/>
    </row>
    <row r="1319" spans="1:44" s="17" customFormat="1" ht="30.95" hidden="1" customHeight="1" x14ac:dyDescent="0.2">
      <c r="A1319" s="343" t="s">
        <v>2291</v>
      </c>
      <c r="B1319" s="344" t="s">
        <v>2285</v>
      </c>
      <c r="C1319" s="345"/>
      <c r="D1319" s="31">
        <v>3744883</v>
      </c>
      <c r="E1319" s="31">
        <v>4151607</v>
      </c>
      <c r="F1319" s="268" t="str">
        <f>IF(D1319="","",VLOOKUP(D1319,契約台帳!$A$3:$K$4986,6,FALSE)&amp;VLOOKUP(D1319,契約台帳!$A$3:$K$4986,7,FALSE)&amp;VLOOKUP(D1319,契約台帳!$A$3:$K$4986,8,FALSE)&amp;VLOOKUP(D1319,契約台帳!$A$3:$K$4986,9,FALSE)&amp;VLOOKUP(D1319,契約台帳!$A$3:$K$4986,11,FALSE))</f>
        <v>3SNMLBMNGKKBF</v>
      </c>
      <c r="G1319" s="269" t="str">
        <f>IF(D1319="","",VLOOKUP(F1319,製品マスタ!$G$5:$H$5002,2,FALSE))</f>
        <v>S</v>
      </c>
      <c r="H1319" s="269" t="str">
        <f>IF(D1319="","",VLOOKUP(F1319,製品マスタ!$G$5:$K$5002,5,FALSE))</f>
        <v>MNGKKBF</v>
      </c>
      <c r="I1319" s="270" t="str">
        <f>IF(D1319="","",VLOOKUP(F1319,製品マスタ!$G$5:$L$5002,6,FALSE))</f>
        <v>メタルミー　ネーマー銀消改　Ｂ</v>
      </c>
      <c r="J1319" s="32" t="s">
        <v>447</v>
      </c>
      <c r="K1319" s="270">
        <f>IF(D1319="","",VLOOKUP(D1319,契約台帳!$A$3:$L$4986,12,FALSE))</f>
        <v>50</v>
      </c>
      <c r="L1319" s="270" t="str">
        <f>IF(D1319="","",INDEX(製品マスタ!$Q$5:$Q$5002,MATCH(F1319&amp;K1319,製品マスタ!$AO$5:$AO$5002,0)))</f>
        <v>S99-MAT</v>
      </c>
      <c r="M1319" s="39">
        <v>1120</v>
      </c>
      <c r="N1319" s="39">
        <v>12000</v>
      </c>
      <c r="O1319" s="47">
        <v>4</v>
      </c>
      <c r="P1319" s="57"/>
      <c r="Q1319" s="276">
        <f>IF(D1319="","",IF(J1319="リード付け",M1319,VLOOKUP(D1319,契約台帳!$A$3:$N$4986,14,FALSE)))</f>
        <v>1120</v>
      </c>
      <c r="R1319" s="277">
        <f>IF(D1319="","",IF(J1319="リード付け",M1319,VLOOKUP(D1319,契約台帳!$A$3:$O$4986,15,FALSE)))</f>
        <v>1120</v>
      </c>
      <c r="S1319" s="277">
        <f>IF(D1319="","",IF(J1319="リード付け",N1319,VLOOKUP(D1319,契約台帳!$A$3:$P$4986,16,FALSE)))</f>
        <v>4000</v>
      </c>
      <c r="T1319" s="40">
        <v>12</v>
      </c>
      <c r="U1319" s="278">
        <f ca="1">IF(D1319="","",IF(OFFSET(D1319,-2,0)=D1319,"",VLOOKUP(D1319,契約台帳!$A$3:$R$4986,18,FALSE)))</f>
        <v>12</v>
      </c>
      <c r="V1319" s="269" t="str">
        <f>IF(J1319="巻返し",VLOOKUP(F1319&amp;K1319&amp;M1319,製品マスタ!$M$5:$AD$5002,18,FALSE),IF(J1319="リード付け","原反コア",IF(J1319="スリット",VLOOKUP(F1319&amp;K1319&amp;Q1319,製品マスタ!$N$5:$AD$5002,17,FALSE),"")))</f>
        <v>6ｲﾝﾁSｺｱ</v>
      </c>
      <c r="W1319" s="269">
        <f>IF(J1319="巻返し",VLOOKUP(F1319&amp;K1319&amp;M1319,製品マスタ!$M$5:$AE$5002,19,FALSE),IF(J1319="リード付け","-",IF(J1319="スリット",VLOOKUP(F1319&amp;K1319&amp;Q1319,製品マスタ!$N$5:$AE$5002,18,FALSE),"")))</f>
        <v>1125</v>
      </c>
      <c r="X1319" s="275">
        <f>IF(D1319="","",VLOOKUP(D1319,契約台帳!$A$3:$Q$4986,17,FALSE))</f>
        <v>2</v>
      </c>
      <c r="Y1319" s="269" t="str">
        <f>IF(D1319="","",VLOOKUP(D1319,契約台帳!$A$3:$E$4986,5,FALSE))</f>
        <v>リンテック㈱</v>
      </c>
      <c r="Z1319" s="357">
        <v>45372</v>
      </c>
      <c r="AA1319" s="207"/>
      <c r="AB1319" s="369"/>
      <c r="AC1319" s="370"/>
      <c r="AD1319" s="332" t="str">
        <f>IF(F1319="","",+F1319&amp;K1319)</f>
        <v>3SNMLBMNGKKBF50</v>
      </c>
      <c r="AE1319" s="216">
        <f>+M1319*N1319*O1319/1000</f>
        <v>53760</v>
      </c>
      <c r="AF1319" s="43">
        <f>IF(AD1319="","",VLOOKUP(AD1319,原価マスタ!$A$2:$AJ$1693,13,FALSE))</f>
        <v>99</v>
      </c>
      <c r="AG1319" s="47">
        <f>IF(AF1319="","",+AE1319*AF1319/100)</f>
        <v>53222.400000000001</v>
      </c>
      <c r="AH1319" s="30"/>
      <c r="AI1319" s="30"/>
      <c r="AJ1319" s="30"/>
      <c r="AK1319" s="30"/>
      <c r="AL1319" s="13"/>
      <c r="AM1319" s="13"/>
      <c r="AN1319" s="13"/>
      <c r="AO1319" s="13"/>
      <c r="AP1319" s="13"/>
      <c r="AQ1319" s="14"/>
      <c r="AR1319" s="15"/>
    </row>
    <row r="1320" spans="1:44" s="17" customFormat="1" ht="30.95" hidden="1" customHeight="1" x14ac:dyDescent="0.2">
      <c r="A1320" s="37"/>
      <c r="B1320" s="38"/>
      <c r="C1320" s="345"/>
      <c r="D1320" s="398"/>
      <c r="E1320" s="31"/>
      <c r="F1320" s="268"/>
      <c r="G1320" s="269"/>
      <c r="H1320" s="269"/>
      <c r="I1320" s="270"/>
      <c r="J1320" s="32"/>
      <c r="K1320" s="270"/>
      <c r="L1320" s="270"/>
      <c r="M1320" s="39"/>
      <c r="N1320" s="39"/>
      <c r="O1320" s="47"/>
      <c r="P1320" s="57"/>
      <c r="Q1320" s="276"/>
      <c r="R1320" s="277"/>
      <c r="S1320" s="277"/>
      <c r="T1320" s="40"/>
      <c r="U1320" s="278"/>
      <c r="V1320" s="269"/>
      <c r="W1320" s="269"/>
      <c r="X1320" s="275"/>
      <c r="Y1320" s="269"/>
      <c r="Z1320" s="357"/>
      <c r="AA1320" s="207"/>
      <c r="AB1320" s="369"/>
      <c r="AC1320" s="370"/>
      <c r="AD1320" s="332"/>
      <c r="AE1320" s="216"/>
      <c r="AF1320" s="43"/>
      <c r="AG1320" s="47"/>
      <c r="AH1320" s="30"/>
      <c r="AI1320" s="30"/>
      <c r="AJ1320" s="30"/>
      <c r="AK1320" s="30"/>
      <c r="AL1320" s="13"/>
      <c r="AM1320" s="13"/>
      <c r="AN1320" s="13"/>
      <c r="AO1320" s="13"/>
      <c r="AP1320" s="13"/>
      <c r="AQ1320" s="14"/>
      <c r="AR1320" s="15"/>
    </row>
    <row r="1321" spans="1:44" s="17" customFormat="1" ht="30.95" hidden="1" customHeight="1" x14ac:dyDescent="0.2">
      <c r="A1321" s="343"/>
      <c r="B1321" s="344"/>
      <c r="C1321" s="345"/>
      <c r="D1321" s="398">
        <v>3741622</v>
      </c>
      <c r="E1321" s="31">
        <v>4141088</v>
      </c>
      <c r="F1321" s="268" t="str">
        <f>IF(D1321="","",VLOOKUP(D1321,契約台帳!$A$3:$K$4986,6,FALSE)&amp;VLOOKUP(D1321,契約台帳!$A$3:$K$4986,7,FALSE)&amp;VLOOKUP(D1321,契約台帳!$A$3:$K$4986,8,FALSE)&amp;VLOOKUP(D1321,契約台帳!$A$3:$K$4986,9,FALSE)&amp;VLOOKUP(D1321,契約台帳!$A$3:$K$4986,11,FALSE))</f>
        <v>3SNMLBMNQR66F</v>
      </c>
      <c r="G1321" s="269" t="str">
        <f>IF(D1321="","",VLOOKUP(F1321,製品マスタ!$G$5:$H$5002,2,FALSE))</f>
        <v>S</v>
      </c>
      <c r="H1321" s="269" t="str">
        <f>IF(D1321="","",VLOOKUP(F1321,製品マスタ!$G$5:$K$5002,5,FALSE))</f>
        <v>MNQR66F</v>
      </c>
      <c r="I1321" s="270" t="str">
        <f>IF(D1321="","",VLOOKUP(F1321,製品マスタ!$G$5:$L$5002,6,FALSE))</f>
        <v>ＱＲ６６蒸着品</v>
      </c>
      <c r="J1321" s="32" t="s">
        <v>447</v>
      </c>
      <c r="K1321" s="270">
        <f>IF(D1321="","",VLOOKUP(D1321,契約台帳!$A$3:$L$4986,12,FALSE))</f>
        <v>25</v>
      </c>
      <c r="L1321" s="270" t="str">
        <f>IF(D1321="","",INDEX(製品マスタ!$Q$5:$Q$5002,MATCH(F1321&amp;K1321,製品マスタ!$AO$5:$AO$5002,0)))</f>
        <v>E315</v>
      </c>
      <c r="M1321" s="39">
        <v>1100</v>
      </c>
      <c r="N1321" s="39">
        <v>12000</v>
      </c>
      <c r="O1321" s="47">
        <v>1</v>
      </c>
      <c r="P1321" s="57"/>
      <c r="Q1321" s="276">
        <f>IF(D1321="","",IF(J1321="リード付け",M1321,VLOOKUP(D1321,契約台帳!$A$3:$N$4986,14,FALSE)))</f>
        <v>1100</v>
      </c>
      <c r="R1321" s="277">
        <f>IF(D1321="","",IF(J1321="リード付け",M1321,VLOOKUP(D1321,契約台帳!$A$3:$O$4986,15,FALSE)))</f>
        <v>1100</v>
      </c>
      <c r="S1321" s="277">
        <f>IF(D1321="","",IF(J1321="リード付け",N1321,VLOOKUP(D1321,契約台帳!$A$3:$P$4986,16,FALSE)))</f>
        <v>6000</v>
      </c>
      <c r="T1321" s="40">
        <v>2</v>
      </c>
      <c r="U1321" s="278">
        <f ca="1">IF(D1321="","",IF(OFFSET(D1321,-2,0)=D1321,"",VLOOKUP(D1321,契約台帳!$A$3:$R$4986,18,FALSE)))</f>
        <v>20</v>
      </c>
      <c r="V1321" s="269" t="str">
        <f>IF(J1321="巻返し",VLOOKUP(F1321&amp;K1321&amp;M1321,製品マスタ!$M$5:$AD$5002,18,FALSE),IF(J1321="リード付け","原反コア",IF(J1321="スリット",VLOOKUP(F1321&amp;K1321&amp;Q1321,製品マスタ!$N$5:$AD$5002,17,FALSE),"")))</f>
        <v>6ｲﾝﾁMｺｱ</v>
      </c>
      <c r="W1321" s="269">
        <f>IF(J1321="巻返し",VLOOKUP(F1321&amp;K1321&amp;M1321,製品マスタ!$M$5:$AE$5002,19,FALSE),IF(J1321="リード付け","-",IF(J1321="スリット",VLOOKUP(F1321&amp;K1321&amp;Q1321,製品マスタ!$N$5:$AE$5002,18,FALSE),"")))</f>
        <v>1110</v>
      </c>
      <c r="X1321" s="275">
        <f>IF(D1321="","",VLOOKUP(D1321,契約台帳!$A$3:$Q$4986,17,FALSE))</f>
        <v>2</v>
      </c>
      <c r="Y1321" s="269" t="str">
        <f>IF(D1321="","",VLOOKUP(D1321,契約台帳!$A$3:$E$4986,5,FALSE))</f>
        <v>リンテック㈱</v>
      </c>
      <c r="Z1321" s="357">
        <v>45372</v>
      </c>
      <c r="AA1321" s="207"/>
      <c r="AB1321" s="369"/>
      <c r="AC1321" s="370"/>
      <c r="AD1321" s="332" t="str">
        <f>IF(F1321="","",+F1321&amp;K1321)</f>
        <v>3SNMLBMNQR66F25</v>
      </c>
      <c r="AE1321" s="216">
        <f>+M1321*N1321*O1321/1000</f>
        <v>13200</v>
      </c>
      <c r="AF1321" s="43">
        <f>IF(AD1321="","",VLOOKUP(AD1321,原価マスタ!$A$2:$AJ$1693,13,FALSE))</f>
        <v>98</v>
      </c>
      <c r="AG1321" s="47">
        <f>IF(AF1321="","",+AE1321*AF1321/100)</f>
        <v>12936</v>
      </c>
      <c r="AH1321" s="30"/>
      <c r="AI1321" s="30"/>
      <c r="AJ1321" s="30"/>
      <c r="AK1321" s="30"/>
      <c r="AL1321" s="13"/>
      <c r="AM1321" s="13"/>
      <c r="AN1321" s="13"/>
      <c r="AO1321" s="13"/>
      <c r="AP1321" s="13"/>
      <c r="AQ1321" s="14"/>
      <c r="AR1321" s="15"/>
    </row>
    <row r="1322" spans="1:44" s="17" customFormat="1" ht="30.95" hidden="1" customHeight="1" x14ac:dyDescent="0.2">
      <c r="A1322" s="37"/>
      <c r="B1322" s="38"/>
      <c r="C1322" s="345"/>
      <c r="D1322" s="398"/>
      <c r="E1322" s="31"/>
      <c r="F1322" s="268"/>
      <c r="G1322" s="269"/>
      <c r="H1322" s="269"/>
      <c r="I1322" s="270"/>
      <c r="J1322" s="32"/>
      <c r="K1322" s="270"/>
      <c r="L1322" s="270"/>
      <c r="M1322" s="39"/>
      <c r="N1322" s="39"/>
      <c r="O1322" s="47"/>
      <c r="P1322" s="57"/>
      <c r="Q1322" s="276"/>
      <c r="R1322" s="277"/>
      <c r="S1322" s="277"/>
      <c r="T1322" s="40"/>
      <c r="U1322" s="278"/>
      <c r="V1322" s="269"/>
      <c r="W1322" s="269"/>
      <c r="X1322" s="275"/>
      <c r="Y1322" s="269"/>
      <c r="Z1322" s="357"/>
      <c r="AA1322" s="207"/>
      <c r="AB1322" s="369"/>
      <c r="AC1322" s="370"/>
      <c r="AD1322" s="332"/>
      <c r="AE1322" s="216"/>
      <c r="AF1322" s="43"/>
      <c r="AG1322" s="47"/>
      <c r="AH1322" s="30"/>
      <c r="AI1322" s="30"/>
      <c r="AJ1322" s="30"/>
      <c r="AK1322" s="30"/>
      <c r="AL1322" s="13"/>
      <c r="AM1322" s="13"/>
      <c r="AN1322" s="13"/>
      <c r="AO1322" s="13"/>
      <c r="AP1322" s="13"/>
      <c r="AQ1322" s="14"/>
      <c r="AR1322" s="15"/>
    </row>
    <row r="1323" spans="1:44" s="17" customFormat="1" ht="30.95" hidden="1" customHeight="1" x14ac:dyDescent="0.2">
      <c r="A1323" s="37" t="s">
        <v>2292</v>
      </c>
      <c r="B1323" s="38" t="s">
        <v>2287</v>
      </c>
      <c r="C1323" s="345"/>
      <c r="D1323" s="398">
        <v>3741622</v>
      </c>
      <c r="E1323" s="31">
        <v>4141088</v>
      </c>
      <c r="F1323" s="268" t="str">
        <f>IF(D1323="","",VLOOKUP(D1323,契約台帳!$A$3:$K$4986,6,FALSE)&amp;VLOOKUP(D1323,契約台帳!$A$3:$K$4986,7,FALSE)&amp;VLOOKUP(D1323,契約台帳!$A$3:$K$4986,8,FALSE)&amp;VLOOKUP(D1323,契約台帳!$A$3:$K$4986,9,FALSE)&amp;VLOOKUP(D1323,契約台帳!$A$3:$K$4986,11,FALSE))</f>
        <v>3SNMLBMNQR66F</v>
      </c>
      <c r="G1323" s="269" t="str">
        <f>IF(D1323="","",VLOOKUP(F1323,製品マスタ!$G$5:$H$5002,2,FALSE))</f>
        <v>S</v>
      </c>
      <c r="H1323" s="269" t="str">
        <f>IF(D1323="","",VLOOKUP(F1323,製品マスタ!$G$5:$K$5002,5,FALSE))</f>
        <v>MNQR66F</v>
      </c>
      <c r="I1323" s="270" t="str">
        <f>IF(D1323="","",VLOOKUP(F1323,製品マスタ!$G$5:$L$5002,6,FALSE))</f>
        <v>ＱＲ６６蒸着品</v>
      </c>
      <c r="J1323" s="32" t="s">
        <v>447</v>
      </c>
      <c r="K1323" s="270">
        <f>IF(D1323="","",VLOOKUP(D1323,契約台帳!$A$3:$L$4986,12,FALSE))</f>
        <v>25</v>
      </c>
      <c r="L1323" s="270" t="str">
        <f>IF(D1323="","",INDEX(製品マスタ!$Q$5:$Q$5002,MATCH(F1323&amp;K1323,製品マスタ!$AO$5:$AO$5002,0)))</f>
        <v>E315</v>
      </c>
      <c r="M1323" s="39">
        <v>1100</v>
      </c>
      <c r="N1323" s="39">
        <v>18000</v>
      </c>
      <c r="O1323" s="47">
        <v>4</v>
      </c>
      <c r="P1323" s="57"/>
      <c r="Q1323" s="276">
        <f>IF(D1323="","",IF(J1323="リード付け",M1323,VLOOKUP(D1323,契約台帳!$A$3:$N$4986,14,FALSE)))</f>
        <v>1100</v>
      </c>
      <c r="R1323" s="277">
        <f>IF(D1323="","",IF(J1323="リード付け",M1323,VLOOKUP(D1323,契約台帳!$A$3:$O$4986,15,FALSE)))</f>
        <v>1100</v>
      </c>
      <c r="S1323" s="277">
        <f>IF(D1323="","",IF(J1323="リード付け",N1323,VLOOKUP(D1323,契約台帳!$A$3:$P$4986,16,FALSE)))</f>
        <v>6000</v>
      </c>
      <c r="T1323" s="40">
        <v>12</v>
      </c>
      <c r="U1323" s="278" t="str">
        <f ca="1">IF(D1323="","",IF(OFFSET(D1323,-2,0)=D1323,"",VLOOKUP(D1323,契約台帳!$A$3:$R$4986,18,FALSE)))</f>
        <v/>
      </c>
      <c r="V1323" s="269" t="str">
        <f>IF(J1323="巻返し",VLOOKUP(F1323&amp;K1323&amp;M1323,製品マスタ!$M$5:$AD$5002,18,FALSE),IF(J1323="リード付け","原反コア",IF(J1323="スリット",VLOOKUP(F1323&amp;K1323&amp;Q1323,製品マスタ!$N$5:$AD$5002,17,FALSE),"")))</f>
        <v>6ｲﾝﾁMｺｱ</v>
      </c>
      <c r="W1323" s="269">
        <f>IF(J1323="巻返し",VLOOKUP(F1323&amp;K1323&amp;M1323,製品マスタ!$M$5:$AE$5002,19,FALSE),IF(J1323="リード付け","-",IF(J1323="スリット",VLOOKUP(F1323&amp;K1323&amp;Q1323,製品マスタ!$N$5:$AE$5002,18,FALSE),"")))</f>
        <v>1110</v>
      </c>
      <c r="X1323" s="275">
        <f>IF(D1323="","",VLOOKUP(D1323,契約台帳!$A$3:$Q$4986,17,FALSE))</f>
        <v>2</v>
      </c>
      <c r="Y1323" s="269" t="str">
        <f>IF(D1323="","",VLOOKUP(D1323,契約台帳!$A$3:$E$4986,5,FALSE))</f>
        <v>リンテック㈱</v>
      </c>
      <c r="Z1323" s="357">
        <v>45373</v>
      </c>
      <c r="AA1323" s="207"/>
      <c r="AB1323" s="369"/>
      <c r="AC1323" s="370"/>
      <c r="AD1323" s="332" t="str">
        <f>IF(F1323="","",+F1323&amp;K1323)</f>
        <v>3SNMLBMNQR66F25</v>
      </c>
      <c r="AE1323" s="216">
        <f>+M1323*N1323*O1323/1000</f>
        <v>79200</v>
      </c>
      <c r="AF1323" s="43">
        <f>IF(AD1323="","",VLOOKUP(AD1323,原価マスタ!$A$2:$AJ$1693,13,FALSE))</f>
        <v>98</v>
      </c>
      <c r="AG1323" s="47">
        <f>IF(AF1323="","",+AE1323*AF1323/100)</f>
        <v>77616</v>
      </c>
      <c r="AH1323" s="30"/>
      <c r="AI1323" s="30"/>
      <c r="AJ1323" s="30"/>
      <c r="AK1323" s="30"/>
      <c r="AL1323" s="13"/>
      <c r="AM1323" s="13"/>
      <c r="AN1323" s="13"/>
      <c r="AO1323" s="13"/>
      <c r="AP1323" s="13"/>
      <c r="AQ1323" s="14"/>
      <c r="AR1323" s="15"/>
    </row>
    <row r="1324" spans="1:44" s="17" customFormat="1" ht="30.95" hidden="1" customHeight="1" x14ac:dyDescent="0.2">
      <c r="A1324" s="343"/>
      <c r="B1324" s="344"/>
      <c r="C1324" s="345"/>
      <c r="D1324" s="398"/>
      <c r="E1324" s="31"/>
      <c r="F1324" s="268"/>
      <c r="G1324" s="269"/>
      <c r="H1324" s="269"/>
      <c r="I1324" s="270"/>
      <c r="J1324" s="32"/>
      <c r="K1324" s="270"/>
      <c r="L1324" s="270"/>
      <c r="M1324" s="39"/>
      <c r="N1324" s="39"/>
      <c r="O1324" s="47"/>
      <c r="P1324" s="57"/>
      <c r="Q1324" s="276"/>
      <c r="R1324" s="277"/>
      <c r="S1324" s="277"/>
      <c r="T1324" s="40"/>
      <c r="U1324" s="278"/>
      <c r="V1324" s="269"/>
      <c r="W1324" s="269"/>
      <c r="X1324" s="275"/>
      <c r="Y1324" s="269"/>
      <c r="Z1324" s="357"/>
      <c r="AA1324" s="207"/>
      <c r="AB1324" s="369"/>
      <c r="AC1324" s="370"/>
      <c r="AD1324" s="332"/>
      <c r="AE1324" s="216"/>
      <c r="AF1324" s="43"/>
      <c r="AG1324" s="47"/>
      <c r="AH1324" s="30"/>
      <c r="AI1324" s="30"/>
      <c r="AJ1324" s="30"/>
      <c r="AK1324" s="30"/>
      <c r="AL1324" s="13"/>
      <c r="AM1324" s="13"/>
      <c r="AN1324" s="13"/>
      <c r="AO1324" s="13"/>
      <c r="AP1324" s="13"/>
      <c r="AQ1324" s="14"/>
      <c r="AR1324" s="15"/>
    </row>
    <row r="1325" spans="1:44" s="17" customFormat="1" ht="30.95" hidden="1" customHeight="1" x14ac:dyDescent="0.2">
      <c r="A1325" s="37" t="s">
        <v>2293</v>
      </c>
      <c r="B1325" s="38" t="s">
        <v>2288</v>
      </c>
      <c r="C1325" s="345"/>
      <c r="D1325" s="398">
        <v>3741622</v>
      </c>
      <c r="E1325" s="31">
        <v>4141088</v>
      </c>
      <c r="F1325" s="268" t="str">
        <f>IF(D1325="","",VLOOKUP(D1325,契約台帳!$A$3:$K$4986,6,FALSE)&amp;VLOOKUP(D1325,契約台帳!$A$3:$K$4986,7,FALSE)&amp;VLOOKUP(D1325,契約台帳!$A$3:$K$4986,8,FALSE)&amp;VLOOKUP(D1325,契約台帳!$A$3:$K$4986,9,FALSE)&amp;VLOOKUP(D1325,契約台帳!$A$3:$K$4986,11,FALSE))</f>
        <v>3SNMLBMNQR66F</v>
      </c>
      <c r="G1325" s="269" t="str">
        <f>IF(D1325="","",VLOOKUP(F1325,製品マスタ!$G$5:$H$5002,2,FALSE))</f>
        <v>S</v>
      </c>
      <c r="H1325" s="269" t="str">
        <f>IF(D1325="","",VLOOKUP(F1325,製品マスタ!$G$5:$K$5002,5,FALSE))</f>
        <v>MNQR66F</v>
      </c>
      <c r="I1325" s="270" t="str">
        <f>IF(D1325="","",VLOOKUP(F1325,製品マスタ!$G$5:$L$5002,6,FALSE))</f>
        <v>ＱＲ６６蒸着品</v>
      </c>
      <c r="J1325" s="32" t="s">
        <v>447</v>
      </c>
      <c r="K1325" s="270">
        <f>IF(D1325="","",VLOOKUP(D1325,契約台帳!$A$3:$L$4986,12,FALSE))</f>
        <v>25</v>
      </c>
      <c r="L1325" s="270" t="str">
        <f>IF(D1325="","",INDEX(製品マスタ!$Q$5:$Q$5002,MATCH(F1325&amp;K1325,製品マスタ!$AO$5:$AO$5002,0)))</f>
        <v>E315</v>
      </c>
      <c r="M1325" s="39">
        <v>1100</v>
      </c>
      <c r="N1325" s="39">
        <v>18000</v>
      </c>
      <c r="O1325" s="47">
        <v>2</v>
      </c>
      <c r="P1325" s="57"/>
      <c r="Q1325" s="276">
        <f>IF(D1325="","",IF(J1325="リード付け",M1325,VLOOKUP(D1325,契約台帳!$A$3:$N$4986,14,FALSE)))</f>
        <v>1100</v>
      </c>
      <c r="R1325" s="277">
        <f>IF(D1325="","",IF(J1325="リード付け",M1325,VLOOKUP(D1325,契約台帳!$A$3:$O$4986,15,FALSE)))</f>
        <v>1100</v>
      </c>
      <c r="S1325" s="277">
        <f>IF(D1325="","",IF(J1325="リード付け",N1325,VLOOKUP(D1325,契約台帳!$A$3:$P$4986,16,FALSE)))</f>
        <v>6000</v>
      </c>
      <c r="T1325" s="40">
        <v>6</v>
      </c>
      <c r="U1325" s="278" t="str">
        <f ca="1">IF(D1325="","",IF(OFFSET(D1325,-2,0)=D1325,"",VLOOKUP(D1325,契約台帳!$A$3:$R$4986,18,FALSE)))</f>
        <v/>
      </c>
      <c r="V1325" s="269" t="str">
        <f>IF(J1325="巻返し",VLOOKUP(F1325&amp;K1325&amp;M1325,製品マスタ!$M$5:$AD$5002,18,FALSE),IF(J1325="リード付け","原反コア",IF(J1325="スリット",VLOOKUP(F1325&amp;K1325&amp;Q1325,製品マスタ!$N$5:$AD$5002,17,FALSE),"")))</f>
        <v>6ｲﾝﾁMｺｱ</v>
      </c>
      <c r="W1325" s="269">
        <f>IF(J1325="巻返し",VLOOKUP(F1325&amp;K1325&amp;M1325,製品マスタ!$M$5:$AE$5002,19,FALSE),IF(J1325="リード付け","-",IF(J1325="スリット",VLOOKUP(F1325&amp;K1325&amp;Q1325,製品マスタ!$N$5:$AE$5002,18,FALSE),"")))</f>
        <v>1110</v>
      </c>
      <c r="X1325" s="275">
        <f>IF(D1325="","",VLOOKUP(D1325,契約台帳!$A$3:$Q$4986,17,FALSE))</f>
        <v>2</v>
      </c>
      <c r="Y1325" s="269" t="str">
        <f>IF(D1325="","",VLOOKUP(D1325,契約台帳!$A$3:$E$4986,5,FALSE))</f>
        <v>リンテック㈱</v>
      </c>
      <c r="Z1325" s="357">
        <v>45376</v>
      </c>
      <c r="AA1325" s="207"/>
      <c r="AB1325" s="369"/>
      <c r="AC1325" s="370"/>
      <c r="AD1325" s="332" t="str">
        <f>IF(F1325="","",+F1325&amp;K1325)</f>
        <v>3SNMLBMNQR66F25</v>
      </c>
      <c r="AE1325" s="216">
        <f>+M1325*N1325*O1325/1000</f>
        <v>39600</v>
      </c>
      <c r="AF1325" s="43">
        <f>IF(AD1325="","",VLOOKUP(AD1325,原価マスタ!$A$2:$AJ$1693,13,FALSE))</f>
        <v>98</v>
      </c>
      <c r="AG1325" s="47">
        <f>IF(AF1325="","",+AE1325*AF1325/100)</f>
        <v>38808</v>
      </c>
      <c r="AH1325" s="30"/>
      <c r="AI1325" s="30"/>
      <c r="AJ1325" s="30"/>
      <c r="AK1325" s="30"/>
      <c r="AL1325" s="13"/>
      <c r="AM1325" s="13"/>
      <c r="AN1325" s="13"/>
      <c r="AO1325" s="13"/>
      <c r="AP1325" s="13"/>
      <c r="AQ1325" s="14"/>
      <c r="AR1325" s="15"/>
    </row>
    <row r="1326" spans="1:44" s="17" customFormat="1" ht="30.95" hidden="1" customHeight="1" x14ac:dyDescent="0.2">
      <c r="A1326" s="343"/>
      <c r="B1326" s="344"/>
      <c r="C1326" s="345"/>
      <c r="D1326" s="398"/>
      <c r="E1326" s="31"/>
      <c r="F1326" s="268"/>
      <c r="G1326" s="269"/>
      <c r="H1326" s="269"/>
      <c r="I1326" s="270"/>
      <c r="J1326" s="32"/>
      <c r="K1326" s="270"/>
      <c r="L1326" s="270"/>
      <c r="M1326" s="39"/>
      <c r="N1326" s="39"/>
      <c r="O1326" s="47"/>
      <c r="P1326" s="57"/>
      <c r="Q1326" s="276"/>
      <c r="R1326" s="277"/>
      <c r="S1326" s="277"/>
      <c r="T1326" s="40"/>
      <c r="U1326" s="278"/>
      <c r="V1326" s="269"/>
      <c r="W1326" s="269"/>
      <c r="X1326" s="275"/>
      <c r="Y1326" s="269"/>
      <c r="Z1326" s="357"/>
      <c r="AA1326" s="207"/>
      <c r="AB1326" s="369"/>
      <c r="AC1326" s="370"/>
      <c r="AD1326" s="332"/>
      <c r="AE1326" s="216"/>
      <c r="AF1326" s="43"/>
      <c r="AG1326" s="47"/>
      <c r="AH1326" s="30"/>
      <c r="AI1326" s="30"/>
      <c r="AJ1326" s="30"/>
      <c r="AK1326" s="30"/>
      <c r="AL1326" s="13"/>
      <c r="AM1326" s="13"/>
      <c r="AN1326" s="13"/>
      <c r="AO1326" s="13"/>
      <c r="AP1326" s="13"/>
      <c r="AQ1326" s="14"/>
      <c r="AR1326" s="15"/>
    </row>
    <row r="1327" spans="1:44" s="17" customFormat="1" ht="30.95" hidden="1" customHeight="1" x14ac:dyDescent="0.2">
      <c r="A1327" s="37"/>
      <c r="B1327" s="38"/>
      <c r="C1327" s="345"/>
      <c r="D1327" s="398">
        <v>3741607</v>
      </c>
      <c r="E1327" s="31">
        <v>4151588</v>
      </c>
      <c r="F1327" s="268" t="str">
        <f>IF(D1327="","",VLOOKUP(D1327,契約台帳!$A$3:$K$4986,6,FALSE)&amp;VLOOKUP(D1327,契約台帳!$A$3:$K$4986,7,FALSE)&amp;VLOOKUP(D1327,契約台帳!$A$3:$K$4986,8,FALSE)&amp;VLOOKUP(D1327,契約台帳!$A$3:$K$4986,9,FALSE)&amp;VLOOKUP(D1327,契約台帳!$A$3:$K$4986,11,FALSE))</f>
        <v>3SNMLBMNGKBF</v>
      </c>
      <c r="G1327" s="269" t="str">
        <f>IF(D1327="","",VLOOKUP(F1327,製品マスタ!$G$5:$H$5002,2,FALSE))</f>
        <v>S</v>
      </c>
      <c r="H1327" s="269" t="str">
        <f>IF(D1327="","",VLOOKUP(F1327,製品マスタ!$G$5:$K$5002,5,FALSE))</f>
        <v>MNGKBF</v>
      </c>
      <c r="I1327" s="270" t="str">
        <f>IF(D1327="","",VLOOKUP(F1327,製品マスタ!$G$5:$L$5002,6,FALSE))</f>
        <v>メタルミー　ネーマー銀消　Ｂ</v>
      </c>
      <c r="J1327" s="32" t="s">
        <v>447</v>
      </c>
      <c r="K1327" s="270">
        <f>IF(D1327="","",VLOOKUP(D1327,契約台帳!$A$3:$L$4986,12,FALSE))</f>
        <v>75</v>
      </c>
      <c r="L1327" s="270" t="str">
        <f>IF(D1327="","",INDEX(製品マスタ!$Q$5:$Q$5002,MATCH(F1327&amp;K1327,製品マスタ!$AO$5:$AO$5002,0)))</f>
        <v>MAT</v>
      </c>
      <c r="M1327" s="39">
        <v>1050</v>
      </c>
      <c r="N1327" s="39">
        <v>4000</v>
      </c>
      <c r="O1327" s="47">
        <v>1</v>
      </c>
      <c r="P1327" s="57"/>
      <c r="Q1327" s="276">
        <f>IF(D1327="","",IF(J1327="リード付け",M1327,VLOOKUP(D1327,契約台帳!$A$3:$N$4986,14,FALSE)))</f>
        <v>1050</v>
      </c>
      <c r="R1327" s="277">
        <f>IF(D1327="","",IF(J1327="リード付け",M1327,VLOOKUP(D1327,契約台帳!$A$3:$O$4986,15,FALSE)))</f>
        <v>1050</v>
      </c>
      <c r="S1327" s="277">
        <f>IF(D1327="","",IF(J1327="リード付け",N1327,VLOOKUP(D1327,契約台帳!$A$3:$P$4986,16,FALSE)))</f>
        <v>2000</v>
      </c>
      <c r="T1327" s="40">
        <v>2</v>
      </c>
      <c r="U1327" s="278">
        <f ca="1">IF(D1327="","",IF(OFFSET(D1327,-2,0)=D1327,"",VLOOKUP(D1327,契約台帳!$A$3:$R$4986,18,FALSE)))</f>
        <v>2</v>
      </c>
      <c r="V1327" s="269" t="str">
        <f>IF(J1327="巻返し",VLOOKUP(F1327&amp;K1327&amp;M1327,製品マスタ!$M$5:$AD$5002,18,FALSE),IF(J1327="リード付け","原反コア",IF(J1327="スリット",VLOOKUP(F1327&amp;K1327&amp;Q1327,製品マスタ!$N$5:$AD$5002,17,FALSE),"")))</f>
        <v>6ｲﾝﾁSｺｱ</v>
      </c>
      <c r="W1327" s="269">
        <f>IF(J1327="巻返し",VLOOKUP(F1327&amp;K1327&amp;M1327,製品マスタ!$M$5:$AE$5002,19,FALSE),IF(J1327="リード付け","-",IF(J1327="スリット",VLOOKUP(F1327&amp;K1327&amp;Q1327,製品マスタ!$N$5:$AE$5002,18,FALSE),"")))</f>
        <v>1055</v>
      </c>
      <c r="X1327" s="275">
        <f>IF(D1327="","",VLOOKUP(D1327,契約台帳!$A$3:$Q$4986,17,FALSE))</f>
        <v>2</v>
      </c>
      <c r="Y1327" s="269" t="str">
        <f>IF(D1327="","",VLOOKUP(D1327,契約台帳!$A$3:$E$4986,5,FALSE))</f>
        <v>リンテック㈱</v>
      </c>
      <c r="Z1327" s="357">
        <v>45376</v>
      </c>
      <c r="AA1327" s="207"/>
      <c r="AB1327" s="369"/>
      <c r="AC1327" s="370"/>
      <c r="AD1327" s="332" t="str">
        <f>IF(F1327="","",+F1327&amp;K1327)</f>
        <v>3SNMLBMNGKBF75</v>
      </c>
      <c r="AE1327" s="216">
        <f>+M1327*N1327*O1327/1000</f>
        <v>4200</v>
      </c>
      <c r="AF1327" s="43">
        <f>IF(AD1327="","",VLOOKUP(AD1327,原価マスタ!$A$2:$AJ$1693,13,FALSE))</f>
        <v>97</v>
      </c>
      <c r="AG1327" s="47">
        <f>IF(AF1327="","",+AE1327*AF1327/100)</f>
        <v>4074</v>
      </c>
      <c r="AH1327" s="30"/>
      <c r="AI1327" s="30"/>
      <c r="AJ1327" s="30"/>
      <c r="AK1327" s="30"/>
      <c r="AL1327" s="13"/>
      <c r="AM1327" s="13"/>
      <c r="AN1327" s="13"/>
      <c r="AO1327" s="13"/>
      <c r="AP1327" s="13"/>
      <c r="AQ1327" s="14"/>
      <c r="AR1327" s="15"/>
    </row>
    <row r="1328" spans="1:44" s="17" customFormat="1" ht="30.95" hidden="1" customHeight="1" x14ac:dyDescent="0.2">
      <c r="A1328" s="37"/>
      <c r="B1328" s="38"/>
      <c r="C1328" s="345"/>
      <c r="D1328" s="398"/>
      <c r="E1328" s="31"/>
      <c r="F1328" s="268"/>
      <c r="G1328" s="269"/>
      <c r="H1328" s="269"/>
      <c r="I1328" s="270"/>
      <c r="J1328" s="32"/>
      <c r="K1328" s="270"/>
      <c r="L1328" s="270"/>
      <c r="M1328" s="39"/>
      <c r="N1328" s="39"/>
      <c r="O1328" s="47"/>
      <c r="P1328" s="57"/>
      <c r="Q1328" s="276"/>
      <c r="R1328" s="277"/>
      <c r="S1328" s="277"/>
      <c r="T1328" s="40"/>
      <c r="U1328" s="278"/>
      <c r="V1328" s="269"/>
      <c r="W1328" s="269"/>
      <c r="X1328" s="275"/>
      <c r="Y1328" s="269"/>
      <c r="Z1328" s="357"/>
      <c r="AA1328" s="207"/>
      <c r="AB1328" s="369"/>
      <c r="AC1328" s="370"/>
      <c r="AD1328" s="332"/>
      <c r="AE1328" s="216"/>
      <c r="AF1328" s="43"/>
      <c r="AG1328" s="47"/>
      <c r="AH1328" s="30"/>
      <c r="AI1328" s="30"/>
      <c r="AJ1328" s="30"/>
      <c r="AK1328" s="30"/>
      <c r="AL1328" s="13"/>
      <c r="AM1328" s="13"/>
      <c r="AN1328" s="13"/>
      <c r="AO1328" s="13"/>
      <c r="AP1328" s="13"/>
      <c r="AQ1328" s="14"/>
      <c r="AR1328" s="15"/>
    </row>
    <row r="1329" spans="1:44" s="17" customFormat="1" ht="30.75" hidden="1" customHeight="1" x14ac:dyDescent="0.2">
      <c r="A1329" s="343"/>
      <c r="B1329" s="344"/>
      <c r="C1329" s="345"/>
      <c r="D1329" s="398">
        <v>3741606</v>
      </c>
      <c r="E1329" s="31">
        <v>4151587</v>
      </c>
      <c r="F1329" s="268" t="str">
        <f>IF(D1329="","",VLOOKUP(D1329,契約台帳!$A$3:$K$4986,6,FALSE)&amp;VLOOKUP(D1329,契約台帳!$A$3:$K$4986,7,FALSE)&amp;VLOOKUP(D1329,契約台帳!$A$3:$K$4986,8,FALSE)&amp;VLOOKUP(D1329,契約台帳!$A$3:$K$4986,9,FALSE)&amp;VLOOKUP(D1329,契約台帳!$A$3:$K$4986,11,FALSE))</f>
        <v>3SNMLBMNGKBF</v>
      </c>
      <c r="G1329" s="269" t="str">
        <f>IF(D1329="","",VLOOKUP(F1329,製品マスタ!$G$5:$H$5002,2,FALSE))</f>
        <v>S</v>
      </c>
      <c r="H1329" s="269" t="str">
        <f>IF(D1329="","",VLOOKUP(F1329,製品マスタ!$G$5:$K$5002,5,FALSE))</f>
        <v>MNGKBF</v>
      </c>
      <c r="I1329" s="270" t="str">
        <f>IF(D1329="","",VLOOKUP(F1329,製品マスタ!$G$5:$L$5002,6,FALSE))</f>
        <v>メタルミー　ネーマー銀消　Ｂ</v>
      </c>
      <c r="J1329" s="32" t="s">
        <v>447</v>
      </c>
      <c r="K1329" s="270">
        <f>IF(D1329="","",VLOOKUP(D1329,契約台帳!$A$3:$L$4986,12,FALSE))</f>
        <v>50</v>
      </c>
      <c r="L1329" s="270" t="str">
        <f>IF(D1329="","",INDEX(製品マスタ!$Q$5:$Q$5002,MATCH(F1329&amp;K1329,製品マスタ!$AO$5:$AO$5002,0)))</f>
        <v>MAT</v>
      </c>
      <c r="M1329" s="272">
        <v>1050</v>
      </c>
      <c r="N1329" s="273">
        <v>12300</v>
      </c>
      <c r="O1329" s="422">
        <v>2</v>
      </c>
      <c r="P1329" s="57"/>
      <c r="Q1329" s="276">
        <f>IF(D1329="","",IF(J1329="リード付け",M1329,VLOOKUP(D1329,契約台帳!$A$3:$N$4986,14,FALSE)))</f>
        <v>1050</v>
      </c>
      <c r="R1329" s="277">
        <f>IF(D1329="","",IF(J1329="リード付け",M1329,VLOOKUP(D1329,契約台帳!$A$3:$O$4986,15,FALSE)))</f>
        <v>1050</v>
      </c>
      <c r="S1329" s="277">
        <f>IF(D1329="","",IF(J1329="リード付け",N1329,VLOOKUP(D1329,契約台帳!$A$3:$P$4986,16,FALSE)))</f>
        <v>4100</v>
      </c>
      <c r="T1329" s="40">
        <v>6</v>
      </c>
      <c r="U1329" s="278">
        <f ca="1">IF(D1329="","",IF(OFFSET(D1329,-2,0)=D1329,"",VLOOKUP(D1329,契約台帳!$A$3:$R$4986,18,FALSE)))</f>
        <v>6</v>
      </c>
      <c r="V1329" s="269" t="str">
        <f>IF(J1329="巻返し",VLOOKUP(F1329&amp;K1329&amp;M1329,製品マスタ!$M$5:$AD$5002,18,FALSE),IF(J1329="リード付け","原反コア",IF(J1329="スリット",VLOOKUP(F1329&amp;K1329&amp;Q1329,製品マスタ!$N$5:$AD$5002,17,FALSE),"")))</f>
        <v>6ｲﾝﾁSｺｱ</v>
      </c>
      <c r="W1329" s="269">
        <f>IF(J1329="巻返し",VLOOKUP(F1329&amp;K1329&amp;M1329,製品マスタ!$M$5:$AE$5002,19,FALSE),IF(J1329="リード付け","-",IF(J1329="スリット",VLOOKUP(F1329&amp;K1329&amp;Q1329,製品マスタ!$N$5:$AE$5002,18,FALSE),"")))</f>
        <v>1055</v>
      </c>
      <c r="X1329" s="275">
        <f>IF(D1329="","",VLOOKUP(D1329,契約台帳!$A$3:$Q$4986,17,FALSE))</f>
        <v>2</v>
      </c>
      <c r="Y1329" s="269" t="str">
        <f>IF(D1329="","",VLOOKUP(D1329,契約台帳!$A$3:$E$4986,5,FALSE))</f>
        <v>リンテック㈱</v>
      </c>
      <c r="Z1329" s="357">
        <v>45376</v>
      </c>
      <c r="AA1329" s="207"/>
      <c r="AB1329" s="369"/>
      <c r="AC1329" s="370"/>
      <c r="AD1329" s="332" t="str">
        <f>IF(F1329="","",+F1329&amp;K1329)</f>
        <v>3SNMLBMNGKBF50</v>
      </c>
      <c r="AE1329" s="216">
        <f>+M1329*N1329*O1329/1000</f>
        <v>25830</v>
      </c>
      <c r="AF1329" s="43">
        <f>IF(AD1329="","",VLOOKUP(AD1329,原価マスタ!$A$2:$AJ$1693,13,FALSE))</f>
        <v>98</v>
      </c>
      <c r="AG1329" s="47">
        <f>IF(AF1329="","",+AE1329*AF1329/100)</f>
        <v>25313.4</v>
      </c>
      <c r="AH1329" s="30"/>
      <c r="AI1329" s="30"/>
      <c r="AJ1329" s="30"/>
      <c r="AK1329" s="30"/>
      <c r="AL1329" s="13"/>
      <c r="AM1329" s="13"/>
      <c r="AN1329" s="13"/>
      <c r="AO1329" s="13"/>
      <c r="AP1329" s="13"/>
      <c r="AQ1329" s="14"/>
      <c r="AR1329" s="15"/>
    </row>
    <row r="1330" spans="1:44" s="17" customFormat="1" ht="30.95" hidden="1" customHeight="1" x14ac:dyDescent="0.2">
      <c r="A1330" s="37"/>
      <c r="B1330" s="38"/>
      <c r="C1330" s="345"/>
      <c r="D1330" s="398"/>
      <c r="E1330" s="31"/>
      <c r="F1330" s="268"/>
      <c r="G1330" s="269"/>
      <c r="H1330" s="269"/>
      <c r="I1330" s="270"/>
      <c r="J1330" s="32"/>
      <c r="K1330" s="270"/>
      <c r="L1330" s="270"/>
      <c r="M1330" s="39"/>
      <c r="N1330" s="39"/>
      <c r="O1330" s="47"/>
      <c r="P1330" s="57"/>
      <c r="Q1330" s="276"/>
      <c r="R1330" s="277"/>
      <c r="S1330" s="277"/>
      <c r="T1330" s="40"/>
      <c r="U1330" s="278"/>
      <c r="V1330" s="269"/>
      <c r="W1330" s="269"/>
      <c r="X1330" s="275"/>
      <c r="Y1330" s="269"/>
      <c r="Z1330" s="357"/>
      <c r="AA1330" s="207"/>
      <c r="AB1330" s="369"/>
      <c r="AC1330" s="370"/>
      <c r="AD1330" s="332"/>
      <c r="AE1330" s="216"/>
      <c r="AF1330" s="43"/>
      <c r="AG1330" s="47"/>
      <c r="AH1330" s="30"/>
      <c r="AI1330" s="30"/>
      <c r="AJ1330" s="30"/>
      <c r="AK1330" s="30"/>
      <c r="AL1330" s="13"/>
      <c r="AM1330" s="13"/>
      <c r="AN1330" s="13"/>
      <c r="AO1330" s="13"/>
      <c r="AP1330" s="13"/>
      <c r="AQ1330" s="14"/>
      <c r="AR1330" s="15"/>
    </row>
    <row r="1331" spans="1:44" s="17" customFormat="1" ht="30.95" hidden="1" customHeight="1" x14ac:dyDescent="0.2">
      <c r="A1331" s="37" t="s">
        <v>2346</v>
      </c>
      <c r="B1331" s="38" t="s">
        <v>2347</v>
      </c>
      <c r="C1331" s="345"/>
      <c r="D1331" s="398">
        <v>3741614</v>
      </c>
      <c r="E1331" s="31">
        <v>4151596</v>
      </c>
      <c r="F1331" s="268" t="str">
        <f>IF(D1331="","",VLOOKUP(D1331,契約台帳!$A$3:$K$4986,6,FALSE)&amp;VLOOKUP(D1331,契約台帳!$A$3:$K$4986,7,FALSE)&amp;VLOOKUP(D1331,契約台帳!$A$3:$K$4986,8,FALSE)&amp;VLOOKUP(D1331,契約台帳!$A$3:$K$4986,9,FALSE)&amp;VLOOKUP(D1331,契約台帳!$A$3:$K$4986,11,FALSE))</f>
        <v>3SNMLBMNNGKBF</v>
      </c>
      <c r="G1331" s="269" t="str">
        <f>IF(D1331="","",VLOOKUP(F1331,製品マスタ!$G$5:$H$5002,2,FALSE))</f>
        <v>S</v>
      </c>
      <c r="H1331" s="269" t="str">
        <f>IF(D1331="","",VLOOKUP(F1331,製品マスタ!$G$5:$K$5002,5,FALSE))</f>
        <v>MNNGKBF</v>
      </c>
      <c r="I1331" s="270" t="str">
        <f>IF(D1331="","",VLOOKUP(F1331,製品マスタ!$G$5:$L$5002,6,FALSE))</f>
        <v>メタルミー　ニューネーマー銀消　Ｂ</v>
      </c>
      <c r="J1331" s="32" t="s">
        <v>447</v>
      </c>
      <c r="K1331" s="270">
        <f>IF(D1331="","",VLOOKUP(D1331,契約台帳!$A$3:$L$4986,12,FALSE))</f>
        <v>50</v>
      </c>
      <c r="L1331" s="270" t="str">
        <f>IF(D1331="","",INDEX(製品マスタ!$Q$5:$Q$5002,MATCH(F1331&amp;K1331,製品マスタ!$AO$5:$AO$5002,0)))</f>
        <v>X44</v>
      </c>
      <c r="M1331" s="39">
        <v>1000</v>
      </c>
      <c r="N1331" s="39">
        <v>12000</v>
      </c>
      <c r="O1331" s="47">
        <v>6</v>
      </c>
      <c r="P1331" s="57"/>
      <c r="Q1331" s="276">
        <f>IF(D1331="","",IF(J1331="リード付け",M1331,VLOOKUP(D1331,契約台帳!$A$3:$N$4986,14,FALSE)))</f>
        <v>1000</v>
      </c>
      <c r="R1331" s="277">
        <f>IF(D1331="","",IF(J1331="リード付け",M1331,VLOOKUP(D1331,契約台帳!$A$3:$O$4986,15,FALSE)))</f>
        <v>1000</v>
      </c>
      <c r="S1331" s="277">
        <f>IF(D1331="","",IF(J1331="リード付け",N1331,VLOOKUP(D1331,契約台帳!$A$3:$P$4986,16,FALSE)))</f>
        <v>4000</v>
      </c>
      <c r="T1331" s="40">
        <v>18</v>
      </c>
      <c r="U1331" s="278">
        <f ca="1">IF(D1331="","",IF(OFFSET(D1331,-2,0)=D1331,"",VLOOKUP(D1331,契約台帳!$A$3:$R$4986,18,FALSE)))</f>
        <v>24</v>
      </c>
      <c r="V1331" s="269" t="str">
        <f>IF(J1331="巻返し",VLOOKUP(F1331&amp;K1331&amp;M1331,製品マスタ!$M$5:$AD$5002,18,FALSE),IF(J1331="リード付け","原反コア",IF(J1331="スリット",VLOOKUP(F1331&amp;K1331&amp;Q1331,製品マスタ!$N$5:$AD$5002,17,FALSE),"")))</f>
        <v>6ｲﾝﾁSｺｱ</v>
      </c>
      <c r="W1331" s="269">
        <f>IF(J1331="巻返し",VLOOKUP(F1331&amp;K1331&amp;M1331,製品マスタ!$M$5:$AE$5002,19,FALSE),IF(J1331="リード付け","-",IF(J1331="スリット",VLOOKUP(F1331&amp;K1331&amp;Q1331,製品マスタ!$N$5:$AE$5002,18,FALSE),"")))</f>
        <v>1005</v>
      </c>
      <c r="X1331" s="275">
        <f>IF(D1331="","",VLOOKUP(D1331,契約台帳!$A$3:$Q$4986,17,FALSE))</f>
        <v>2</v>
      </c>
      <c r="Y1331" s="269" t="str">
        <f>IF(D1331="","",VLOOKUP(D1331,契約台帳!$A$3:$E$4986,5,FALSE))</f>
        <v>リンテック㈱</v>
      </c>
      <c r="Z1331" s="357">
        <v>45377</v>
      </c>
      <c r="AA1331" s="207"/>
      <c r="AB1331" s="369"/>
      <c r="AC1331" s="370"/>
      <c r="AD1331" s="332" t="str">
        <f>IF(F1331="","",+F1331&amp;K1331)</f>
        <v>3SNMLBMNNGKBF50</v>
      </c>
      <c r="AE1331" s="216">
        <f>+M1331*N1331*O1331/1000</f>
        <v>72000</v>
      </c>
      <c r="AF1331" s="43">
        <f>IF(AD1331="","",VLOOKUP(AD1331,原価マスタ!$A$2:$AJ$1693,13,FALSE))</f>
        <v>99</v>
      </c>
      <c r="AG1331" s="47">
        <f>IF(AF1331="","",+AE1331*AF1331/100)</f>
        <v>71280</v>
      </c>
      <c r="AH1331" s="30"/>
      <c r="AI1331" s="30"/>
      <c r="AJ1331" s="30"/>
      <c r="AK1331" s="30"/>
      <c r="AL1331" s="13"/>
      <c r="AM1331" s="13"/>
      <c r="AN1331" s="13"/>
      <c r="AO1331" s="13"/>
      <c r="AP1331" s="13"/>
      <c r="AQ1331" s="14"/>
      <c r="AR1331" s="15"/>
    </row>
    <row r="1332" spans="1:44" s="17" customFormat="1" ht="30.95" hidden="1" customHeight="1" x14ac:dyDescent="0.2">
      <c r="A1332" s="343"/>
      <c r="B1332" s="344"/>
      <c r="C1332" s="345"/>
      <c r="D1332" s="398"/>
      <c r="E1332" s="31"/>
      <c r="F1332" s="268"/>
      <c r="G1332" s="269"/>
      <c r="H1332" s="269"/>
      <c r="I1332" s="270"/>
      <c r="J1332" s="32"/>
      <c r="K1332" s="270"/>
      <c r="L1332" s="270"/>
      <c r="M1332" s="39"/>
      <c r="N1332" s="39"/>
      <c r="O1332" s="47"/>
      <c r="P1332" s="57"/>
      <c r="Q1332" s="276"/>
      <c r="R1332" s="277"/>
      <c r="S1332" s="277"/>
      <c r="T1332" s="40"/>
      <c r="U1332" s="278"/>
      <c r="V1332" s="269"/>
      <c r="W1332" s="269"/>
      <c r="X1332" s="275"/>
      <c r="Y1332" s="269"/>
      <c r="Z1332" s="357"/>
      <c r="AA1332" s="207"/>
      <c r="AB1332" s="369"/>
      <c r="AC1332" s="370"/>
      <c r="AD1332" s="332"/>
      <c r="AE1332" s="216"/>
      <c r="AF1332" s="43"/>
      <c r="AG1332" s="47"/>
      <c r="AH1332" s="30"/>
      <c r="AI1332" s="30"/>
      <c r="AJ1332" s="30"/>
      <c r="AK1332" s="30"/>
      <c r="AL1332" s="13"/>
      <c r="AM1332" s="13"/>
      <c r="AN1332" s="13"/>
      <c r="AO1332" s="13"/>
      <c r="AP1332" s="13"/>
      <c r="AQ1332" s="14"/>
      <c r="AR1332" s="15"/>
    </row>
    <row r="1333" spans="1:44" s="17" customFormat="1" ht="30.95" hidden="1" customHeight="1" x14ac:dyDescent="0.2">
      <c r="A1333" s="37" t="s">
        <v>2348</v>
      </c>
      <c r="B1333" s="38" t="s">
        <v>2349</v>
      </c>
      <c r="C1333" s="345"/>
      <c r="D1333" s="398">
        <v>3741614</v>
      </c>
      <c r="E1333" s="31">
        <v>4151596</v>
      </c>
      <c r="F1333" s="268" t="str">
        <f>IF(D1333="","",VLOOKUP(D1333,契約台帳!$A$3:$K$4986,6,FALSE)&amp;VLOOKUP(D1333,契約台帳!$A$3:$K$4986,7,FALSE)&amp;VLOOKUP(D1333,契約台帳!$A$3:$K$4986,8,FALSE)&amp;VLOOKUP(D1333,契約台帳!$A$3:$K$4986,9,FALSE)&amp;VLOOKUP(D1333,契約台帳!$A$3:$K$4986,11,FALSE))</f>
        <v>3SNMLBMNNGKBF</v>
      </c>
      <c r="G1333" s="269" t="str">
        <f>IF(D1333="","",VLOOKUP(F1333,製品マスタ!$G$5:$H$5002,2,FALSE))</f>
        <v>S</v>
      </c>
      <c r="H1333" s="269" t="str">
        <f>IF(D1333="","",VLOOKUP(F1333,製品マスタ!$G$5:$K$5002,5,FALSE))</f>
        <v>MNNGKBF</v>
      </c>
      <c r="I1333" s="270" t="str">
        <f>IF(D1333="","",VLOOKUP(F1333,製品マスタ!$G$5:$L$5002,6,FALSE))</f>
        <v>メタルミー　ニューネーマー銀消　Ｂ</v>
      </c>
      <c r="J1333" s="32" t="s">
        <v>447</v>
      </c>
      <c r="K1333" s="270">
        <f>IF(D1333="","",VLOOKUP(D1333,契約台帳!$A$3:$L$4986,12,FALSE))</f>
        <v>50</v>
      </c>
      <c r="L1333" s="270" t="str">
        <f>IF(D1333="","",INDEX(製品マスタ!$Q$5:$Q$5002,MATCH(F1333&amp;K1333,製品マスタ!$AO$5:$AO$5002,0)))</f>
        <v>X44</v>
      </c>
      <c r="M1333" s="39">
        <v>1000</v>
      </c>
      <c r="N1333" s="39">
        <v>12000</v>
      </c>
      <c r="O1333" s="47">
        <v>2</v>
      </c>
      <c r="P1333" s="57"/>
      <c r="Q1333" s="276">
        <f>IF(D1333="","",IF(J1333="リード付け",M1333,VLOOKUP(D1333,契約台帳!$A$3:$N$4986,14,FALSE)))</f>
        <v>1000</v>
      </c>
      <c r="R1333" s="277">
        <f>IF(D1333="","",IF(J1333="リード付け",M1333,VLOOKUP(D1333,契約台帳!$A$3:$O$4986,15,FALSE)))</f>
        <v>1000</v>
      </c>
      <c r="S1333" s="277">
        <f>IF(D1333="","",IF(J1333="リード付け",N1333,VLOOKUP(D1333,契約台帳!$A$3:$P$4986,16,FALSE)))</f>
        <v>4000</v>
      </c>
      <c r="T1333" s="40">
        <v>6</v>
      </c>
      <c r="U1333" s="278" t="str">
        <f ca="1">IF(D1333="","",IF(OFFSET(D1333,-2,0)=D1333,"",VLOOKUP(D1333,契約台帳!$A$3:$R$4986,18,FALSE)))</f>
        <v/>
      </c>
      <c r="V1333" s="269" t="str">
        <f>IF(J1333="巻返し",VLOOKUP(F1333&amp;K1333&amp;M1333,製品マスタ!$M$5:$AD$5002,18,FALSE),IF(J1333="リード付け","原反コア",IF(J1333="スリット",VLOOKUP(F1333&amp;K1333&amp;Q1333,製品マスタ!$N$5:$AD$5002,17,FALSE),"")))</f>
        <v>6ｲﾝﾁSｺｱ</v>
      </c>
      <c r="W1333" s="269">
        <f>IF(J1333="巻返し",VLOOKUP(F1333&amp;K1333&amp;M1333,製品マスタ!$M$5:$AE$5002,19,FALSE),IF(J1333="リード付け","-",IF(J1333="スリット",VLOOKUP(F1333&amp;K1333&amp;Q1333,製品マスタ!$N$5:$AE$5002,18,FALSE),"")))</f>
        <v>1005</v>
      </c>
      <c r="X1333" s="275">
        <f>IF(D1333="","",VLOOKUP(D1333,契約台帳!$A$3:$Q$4986,17,FALSE))</f>
        <v>2</v>
      </c>
      <c r="Y1333" s="269" t="str">
        <f>IF(D1333="","",VLOOKUP(D1333,契約台帳!$A$3:$E$4986,5,FALSE))</f>
        <v>リンテック㈱</v>
      </c>
      <c r="Z1333" s="357">
        <v>45377</v>
      </c>
      <c r="AA1333" s="207"/>
      <c r="AB1333" s="369"/>
      <c r="AC1333" s="370"/>
      <c r="AD1333" s="332" t="str">
        <f>IF(F1333="","",+F1333&amp;K1333)</f>
        <v>3SNMLBMNNGKBF50</v>
      </c>
      <c r="AE1333" s="216">
        <f>+M1333*N1333*O1333/1000</f>
        <v>24000</v>
      </c>
      <c r="AF1333" s="43">
        <f>IF(AD1333="","",VLOOKUP(AD1333,原価マスタ!$A$2:$AJ$1693,13,FALSE))</f>
        <v>99</v>
      </c>
      <c r="AG1333" s="47">
        <f>IF(AF1333="","",+AE1333*AF1333/100)</f>
        <v>23760</v>
      </c>
      <c r="AH1333" s="30"/>
      <c r="AI1333" s="30"/>
      <c r="AJ1333" s="30"/>
      <c r="AK1333" s="30"/>
      <c r="AL1333" s="13"/>
      <c r="AM1333" s="13"/>
      <c r="AN1333" s="13"/>
      <c r="AO1333" s="13"/>
      <c r="AP1333" s="13"/>
      <c r="AQ1333" s="14"/>
      <c r="AR1333" s="15"/>
    </row>
    <row r="1334" spans="1:44" s="17" customFormat="1" ht="30.95" hidden="1" customHeight="1" x14ac:dyDescent="0.2">
      <c r="A1334" s="343"/>
      <c r="B1334" s="344"/>
      <c r="C1334" s="345"/>
      <c r="D1334" s="398"/>
      <c r="E1334" s="31"/>
      <c r="F1334" s="268"/>
      <c r="G1334" s="269"/>
      <c r="H1334" s="269"/>
      <c r="I1334" s="270"/>
      <c r="J1334" s="32"/>
      <c r="K1334" s="270"/>
      <c r="L1334" s="270"/>
      <c r="M1334" s="39"/>
      <c r="N1334" s="39"/>
      <c r="O1334" s="47"/>
      <c r="P1334" s="57"/>
      <c r="Q1334" s="276"/>
      <c r="R1334" s="277"/>
      <c r="S1334" s="277"/>
      <c r="T1334" s="40"/>
      <c r="U1334" s="278"/>
      <c r="V1334" s="269"/>
      <c r="W1334" s="269"/>
      <c r="X1334" s="275"/>
      <c r="Y1334" s="269"/>
      <c r="Z1334" s="357"/>
      <c r="AA1334" s="207"/>
      <c r="AB1334" s="369"/>
      <c r="AC1334" s="370"/>
      <c r="AD1334" s="332"/>
      <c r="AE1334" s="216"/>
      <c r="AF1334" s="43"/>
      <c r="AG1334" s="47"/>
      <c r="AH1334" s="30"/>
      <c r="AI1334" s="30"/>
      <c r="AJ1334" s="30"/>
      <c r="AK1334" s="30"/>
      <c r="AL1334" s="13"/>
      <c r="AM1334" s="13"/>
      <c r="AN1334" s="13"/>
      <c r="AO1334" s="13"/>
      <c r="AP1334" s="13"/>
      <c r="AQ1334" s="14"/>
      <c r="AR1334" s="15"/>
    </row>
    <row r="1335" spans="1:44" s="17" customFormat="1" ht="30.95" hidden="1" customHeight="1" x14ac:dyDescent="0.2">
      <c r="A1335" s="37"/>
      <c r="B1335" s="38"/>
      <c r="C1335" s="345"/>
      <c r="D1335" s="398">
        <v>3741605</v>
      </c>
      <c r="E1335" s="31">
        <v>4151586</v>
      </c>
      <c r="F1335" s="268" t="str">
        <f>IF(D1335="","",VLOOKUP(D1335,契約台帳!$A$3:$K$4986,6,FALSE)&amp;VLOOKUP(D1335,契約台帳!$A$3:$K$4986,7,FALSE)&amp;VLOOKUP(D1335,契約台帳!$A$3:$K$4986,8,FALSE)&amp;VLOOKUP(D1335,契約台帳!$A$3:$K$4986,9,FALSE)&amp;VLOOKUP(D1335,契約台帳!$A$3:$K$4986,11,FALSE))</f>
        <v>3SNMLBMNGKBF</v>
      </c>
      <c r="G1335" s="269" t="str">
        <f>IF(D1335="","",VLOOKUP(F1335,製品マスタ!$G$5:$H$5002,2,FALSE))</f>
        <v>S</v>
      </c>
      <c r="H1335" s="269" t="str">
        <f>IF(D1335="","",VLOOKUP(F1335,製品マスタ!$G$5:$K$5002,5,FALSE))</f>
        <v>MNGKBF</v>
      </c>
      <c r="I1335" s="270" t="str">
        <f>IF(D1335="","",VLOOKUP(F1335,製品マスタ!$G$5:$L$5002,6,FALSE))</f>
        <v>メタルミー　ネーマー銀消　Ｂ</v>
      </c>
      <c r="J1335" s="32" t="s">
        <v>447</v>
      </c>
      <c r="K1335" s="270">
        <f>IF(D1335="","",VLOOKUP(D1335,契約台帳!$A$3:$L$4986,12,FALSE))</f>
        <v>38</v>
      </c>
      <c r="L1335" s="270" t="str">
        <f>IF(D1335="","",INDEX(製品マスタ!$Q$5:$Q$5002,MATCH(F1335&amp;K1335,製品マスタ!$AO$5:$AO$5002,0)))</f>
        <v>LUMIMAT</v>
      </c>
      <c r="M1335" s="272">
        <v>1005</v>
      </c>
      <c r="N1335" s="273">
        <v>12300</v>
      </c>
      <c r="O1335" s="422">
        <v>1</v>
      </c>
      <c r="P1335" s="57"/>
      <c r="Q1335" s="276">
        <f>IF(D1335="","",IF(J1335="リード付け",M1335,VLOOKUP(D1335,契約台帳!$A$3:$N$4986,14,FALSE)))</f>
        <v>1005</v>
      </c>
      <c r="R1335" s="277">
        <f>IF(D1335="","",IF(J1335="リード付け",M1335,VLOOKUP(D1335,契約台帳!$A$3:$O$4986,15,FALSE)))</f>
        <v>1000</v>
      </c>
      <c r="S1335" s="277">
        <f>IF(D1335="","",IF(J1335="リード付け",N1335,VLOOKUP(D1335,契約台帳!$A$3:$P$4986,16,FALSE)))</f>
        <v>4100</v>
      </c>
      <c r="T1335" s="40">
        <v>3</v>
      </c>
      <c r="U1335" s="278">
        <f ca="1">IF(D1335="","",IF(OFFSET(D1335,-2,0)=D1335,"",VLOOKUP(D1335,契約台帳!$A$3:$R$4986,18,FALSE)))</f>
        <v>3</v>
      </c>
      <c r="V1335" s="269" t="str">
        <f>IF(J1335="巻返し",VLOOKUP(F1335&amp;K1335&amp;M1335,製品マスタ!$M$5:$AD$5002,18,FALSE),IF(J1335="リード付け","原反コア",IF(J1335="スリット",VLOOKUP(F1335&amp;K1335&amp;Q1335,製品マスタ!$N$5:$AD$5002,17,FALSE),"")))</f>
        <v>6ｲﾝﾁSｺｱ</v>
      </c>
      <c r="W1335" s="269">
        <f>IF(J1335="巻返し",VLOOKUP(F1335&amp;K1335&amp;M1335,製品マスタ!$M$5:$AE$5002,19,FALSE),IF(J1335="リード付け","-",IF(J1335="スリット",VLOOKUP(F1335&amp;K1335&amp;Q1335,製品マスタ!$N$5:$AE$5002,18,FALSE),"")))</f>
        <v>1015</v>
      </c>
      <c r="X1335" s="275">
        <f>IF(D1335="","",VLOOKUP(D1335,契約台帳!$A$3:$Q$4986,17,FALSE))</f>
        <v>2</v>
      </c>
      <c r="Y1335" s="269" t="str">
        <f>IF(D1335="","",VLOOKUP(D1335,契約台帳!$A$3:$E$4986,5,FALSE))</f>
        <v>リンテック㈱</v>
      </c>
      <c r="Z1335" s="357">
        <v>45378</v>
      </c>
      <c r="AA1335" s="207"/>
      <c r="AB1335" s="369"/>
      <c r="AC1335" s="370"/>
      <c r="AD1335" s="332" t="str">
        <f>IF(F1335="","",+F1335&amp;K1335)</f>
        <v>3SNMLBMNGKBF38</v>
      </c>
      <c r="AE1335" s="216">
        <f>+M1335*N1335*O1335/1000</f>
        <v>12361.5</v>
      </c>
      <c r="AF1335" s="43">
        <f>IF(AD1335="","",VLOOKUP(AD1335,原価マスタ!$A$2:$AJ$1693,13,FALSE))</f>
        <v>97.2</v>
      </c>
      <c r="AG1335" s="47">
        <f>IF(AF1335="","",+AE1335*AF1335/100)</f>
        <v>12015.378000000001</v>
      </c>
      <c r="AH1335" s="30"/>
      <c r="AI1335" s="30"/>
      <c r="AJ1335" s="30"/>
      <c r="AK1335" s="30"/>
      <c r="AL1335" s="13"/>
      <c r="AM1335" s="13"/>
      <c r="AN1335" s="13"/>
      <c r="AO1335" s="13"/>
      <c r="AP1335" s="13"/>
      <c r="AQ1335" s="14"/>
      <c r="AR1335" s="15"/>
    </row>
    <row r="1336" spans="1:44" s="17" customFormat="1" ht="30.95" hidden="1" customHeight="1" x14ac:dyDescent="0.2">
      <c r="A1336" s="37"/>
      <c r="B1336" s="38"/>
      <c r="C1336" s="345"/>
      <c r="D1336" s="398"/>
      <c r="E1336" s="31"/>
      <c r="F1336" s="268"/>
      <c r="G1336" s="269"/>
      <c r="H1336" s="269"/>
      <c r="I1336" s="270"/>
      <c r="J1336" s="32"/>
      <c r="K1336" s="270"/>
      <c r="L1336" s="270"/>
      <c r="M1336" s="39"/>
      <c r="N1336" s="39"/>
      <c r="O1336" s="47"/>
      <c r="P1336" s="57"/>
      <c r="Q1336" s="276"/>
      <c r="R1336" s="277"/>
      <c r="S1336" s="277"/>
      <c r="T1336" s="40"/>
      <c r="U1336" s="278"/>
      <c r="V1336" s="269"/>
      <c r="W1336" s="269"/>
      <c r="X1336" s="275"/>
      <c r="Y1336" s="269"/>
      <c r="Z1336" s="357"/>
      <c r="AA1336" s="207"/>
      <c r="AB1336" s="369"/>
      <c r="AC1336" s="370"/>
      <c r="AD1336" s="332"/>
      <c r="AE1336" s="216"/>
      <c r="AF1336" s="43"/>
      <c r="AG1336" s="47"/>
      <c r="AH1336" s="30"/>
      <c r="AI1336" s="30"/>
      <c r="AJ1336" s="30"/>
      <c r="AK1336" s="30"/>
      <c r="AL1336" s="13"/>
      <c r="AM1336" s="13"/>
      <c r="AN1336" s="13"/>
      <c r="AO1336" s="13"/>
      <c r="AP1336" s="13"/>
      <c r="AQ1336" s="14"/>
      <c r="AR1336" s="15"/>
    </row>
    <row r="1337" spans="1:44" s="17" customFormat="1" ht="30.95" hidden="1" customHeight="1" x14ac:dyDescent="0.2">
      <c r="A1337" s="37"/>
      <c r="B1337" s="38"/>
      <c r="C1337" s="345"/>
      <c r="D1337" s="398">
        <v>3741613</v>
      </c>
      <c r="E1337" s="31">
        <v>4141086</v>
      </c>
      <c r="F1337" s="268" t="str">
        <f>IF(D1337="","",VLOOKUP(D1337,契約台帳!$A$3:$K$4986,6,FALSE)&amp;VLOOKUP(D1337,契約台帳!$A$3:$K$4986,7,FALSE)&amp;VLOOKUP(D1337,契約台帳!$A$3:$K$4986,8,FALSE)&amp;VLOOKUP(D1337,契約台帳!$A$3:$K$4986,9,FALSE)&amp;VLOOKUP(D1337,契約台帳!$A$3:$K$4986,11,FALSE))</f>
        <v>3SNMLBMNNGKBF</v>
      </c>
      <c r="G1337" s="269" t="str">
        <f>IF(D1337="","",VLOOKUP(F1337,製品マスタ!$G$5:$H$5002,2,FALSE))</f>
        <v>S</v>
      </c>
      <c r="H1337" s="269" t="str">
        <f>IF(D1337="","",VLOOKUP(F1337,製品マスタ!$G$5:$K$5002,5,FALSE))</f>
        <v>MNNGKBF</v>
      </c>
      <c r="I1337" s="270" t="str">
        <f>IF(D1337="","",VLOOKUP(F1337,製品マスタ!$G$5:$L$5002,6,FALSE))</f>
        <v>メタルミー　ニューネーマー銀消　Ｂ</v>
      </c>
      <c r="J1337" s="32" t="s">
        <v>447</v>
      </c>
      <c r="K1337" s="270">
        <f>IF(D1337="","",VLOOKUP(D1337,契約台帳!$A$3:$L$4986,12,FALSE))</f>
        <v>25</v>
      </c>
      <c r="L1337" s="270" t="str">
        <f>IF(D1337="","",INDEX(製品マスタ!$Q$5:$Q$5002,MATCH(F1337&amp;K1337,製品マスタ!$AO$5:$AO$5002,0)))</f>
        <v>X44C</v>
      </c>
      <c r="M1337" s="39">
        <v>1005</v>
      </c>
      <c r="N1337" s="39">
        <v>16000</v>
      </c>
      <c r="O1337" s="47">
        <v>1</v>
      </c>
      <c r="P1337" s="57"/>
      <c r="Q1337" s="276">
        <f>IF(D1337="","",IF(J1337="リード付け",M1337,VLOOKUP(D1337,契約台帳!$A$3:$N$4986,14,FALSE)))</f>
        <v>1005</v>
      </c>
      <c r="R1337" s="277">
        <f>IF(D1337="","",IF(J1337="リード付け",M1337,VLOOKUP(D1337,契約台帳!$A$3:$O$4986,15,FALSE)))</f>
        <v>1000</v>
      </c>
      <c r="S1337" s="277">
        <f>IF(D1337="","",IF(J1337="リード付け",N1337,VLOOKUP(D1337,契約台帳!$A$3:$P$4986,16,FALSE)))</f>
        <v>4000</v>
      </c>
      <c r="T1337" s="40">
        <v>4</v>
      </c>
      <c r="U1337" s="278">
        <f ca="1">IF(D1337="","",IF(OFFSET(D1337,-2,0)=D1337,"",VLOOKUP(D1337,契約台帳!$A$3:$R$4986,18,FALSE)))</f>
        <v>4</v>
      </c>
      <c r="V1337" s="269" t="str">
        <f>IF(J1337="巻返し",VLOOKUP(F1337&amp;K1337&amp;M1337,製品マスタ!$M$5:$AD$5002,18,FALSE),IF(J1337="リード付け","原反コア",IF(J1337="スリット",VLOOKUP(F1337&amp;K1337&amp;Q1337,製品マスタ!$N$5:$AD$5002,17,FALSE),"")))</f>
        <v>6ｲﾝﾁSｺｱ</v>
      </c>
      <c r="W1337" s="269">
        <f>IF(J1337="巻返し",VLOOKUP(F1337&amp;K1337&amp;M1337,製品マスタ!$M$5:$AE$5002,19,FALSE),IF(J1337="リード付け","-",IF(J1337="スリット",VLOOKUP(F1337&amp;K1337&amp;Q1337,製品マスタ!$N$5:$AE$5002,18,FALSE),"")))</f>
        <v>1015</v>
      </c>
      <c r="X1337" s="275">
        <f>IF(D1337="","",VLOOKUP(D1337,契約台帳!$A$3:$Q$4986,17,FALSE))</f>
        <v>2</v>
      </c>
      <c r="Y1337" s="269" t="str">
        <f>IF(D1337="","",VLOOKUP(D1337,契約台帳!$A$3:$E$4986,5,FALSE))</f>
        <v>リンテック㈱</v>
      </c>
      <c r="Z1337" s="357">
        <v>45378</v>
      </c>
      <c r="AA1337" s="207"/>
      <c r="AB1337" s="369"/>
      <c r="AC1337" s="370"/>
      <c r="AD1337" s="332" t="str">
        <f>IF(F1337="","",+F1337&amp;K1337)</f>
        <v>3SNMLBMNNGKBF25</v>
      </c>
      <c r="AE1337" s="216">
        <f>+M1337*N1337*O1337/1000</f>
        <v>16080</v>
      </c>
      <c r="AF1337" s="43">
        <f>IF(AD1337="","",VLOOKUP(AD1337,原価マスタ!$A$2:$AJ$1693,13,FALSE))</f>
        <v>98.3</v>
      </c>
      <c r="AG1337" s="47">
        <f>IF(AF1337="","",+AE1337*AF1337/100)</f>
        <v>15806.64</v>
      </c>
      <c r="AH1337" s="30"/>
      <c r="AI1337" s="30"/>
      <c r="AJ1337" s="30"/>
      <c r="AK1337" s="30"/>
      <c r="AL1337" s="13"/>
      <c r="AM1337" s="13"/>
      <c r="AN1337" s="13"/>
      <c r="AO1337" s="13"/>
      <c r="AP1337" s="13"/>
      <c r="AQ1337" s="14"/>
      <c r="AR1337" s="15"/>
    </row>
    <row r="1338" spans="1:44" s="17" customFormat="1" ht="30.95" hidden="1" customHeight="1" x14ac:dyDescent="0.2">
      <c r="A1338" s="37"/>
      <c r="B1338" s="38"/>
      <c r="C1338" s="345"/>
      <c r="D1338" s="398"/>
      <c r="E1338" s="31"/>
      <c r="F1338" s="268"/>
      <c r="G1338" s="269"/>
      <c r="H1338" s="269"/>
      <c r="I1338" s="270"/>
      <c r="J1338" s="32"/>
      <c r="K1338" s="270"/>
      <c r="L1338" s="270"/>
      <c r="M1338" s="39"/>
      <c r="N1338" s="39"/>
      <c r="O1338" s="47"/>
      <c r="P1338" s="57"/>
      <c r="Q1338" s="276"/>
      <c r="R1338" s="277"/>
      <c r="S1338" s="277"/>
      <c r="T1338" s="40"/>
      <c r="U1338" s="278"/>
      <c r="V1338" s="269"/>
      <c r="W1338" s="269"/>
      <c r="X1338" s="275"/>
      <c r="Y1338" s="269"/>
      <c r="Z1338" s="357"/>
      <c r="AA1338" s="207"/>
      <c r="AB1338" s="369"/>
      <c r="AC1338" s="370"/>
      <c r="AD1338" s="332"/>
      <c r="AE1338" s="216"/>
      <c r="AF1338" s="43"/>
      <c r="AG1338" s="47"/>
      <c r="AH1338" s="30"/>
      <c r="AI1338" s="30"/>
      <c r="AJ1338" s="30"/>
      <c r="AK1338" s="30"/>
      <c r="AL1338" s="13"/>
      <c r="AM1338" s="13"/>
      <c r="AN1338" s="13"/>
      <c r="AO1338" s="13"/>
      <c r="AP1338" s="13"/>
      <c r="AQ1338" s="14"/>
      <c r="AR1338" s="15"/>
    </row>
    <row r="1339" spans="1:44" s="17" customFormat="1" ht="30.95" hidden="1" customHeight="1" x14ac:dyDescent="0.2">
      <c r="A1339" s="343"/>
      <c r="B1339" s="344"/>
      <c r="C1339" s="345"/>
      <c r="D1339" s="398">
        <v>3741610</v>
      </c>
      <c r="E1339" s="31">
        <v>4151602</v>
      </c>
      <c r="F1339" s="268" t="str">
        <f>IF(D1339="","",VLOOKUP(D1339,契約台帳!$A$3:$K$4986,6,FALSE)&amp;VLOOKUP(D1339,契約台帳!$A$3:$K$4986,7,FALSE)&amp;VLOOKUP(D1339,契約台帳!$A$3:$K$4986,8,FALSE)&amp;VLOOKUP(D1339,契約台帳!$A$3:$K$4986,9,FALSE)&amp;VLOOKUP(D1339,契約台帳!$A$3:$K$4986,11,FALSE))</f>
        <v>3SNMLBMNGTBF</v>
      </c>
      <c r="G1339" s="269" t="str">
        <f>IF(D1339="","",VLOOKUP(F1339,製品マスタ!$G$5:$H$5002,2,FALSE))</f>
        <v>S</v>
      </c>
      <c r="H1339" s="269" t="str">
        <f>IF(D1339="","",VLOOKUP(F1339,製品マスタ!$G$5:$K$5002,5,FALSE))</f>
        <v>MNGTBF</v>
      </c>
      <c r="I1339" s="270" t="str">
        <f>IF(D1339="","",VLOOKUP(F1339,製品マスタ!$G$5:$L$5002,6,FALSE))</f>
        <v>メタルミー　ネーマー　銀艶　Ｂ</v>
      </c>
      <c r="J1339" s="32" t="s">
        <v>447</v>
      </c>
      <c r="K1339" s="270">
        <f>IF(D1339="","",VLOOKUP(D1339,契約台帳!$A$3:$L$4986,12,FALSE))</f>
        <v>25</v>
      </c>
      <c r="L1339" s="270" t="str">
        <f>IF(D1339="","",INDEX(製品マスタ!$Q$5:$Q$5002,MATCH(F1339&amp;K1339,製品マスタ!$AO$5:$AO$5002,0)))</f>
        <v>T62M</v>
      </c>
      <c r="M1339" s="272">
        <v>1005</v>
      </c>
      <c r="N1339" s="273">
        <v>12100</v>
      </c>
      <c r="O1339" s="422">
        <v>2</v>
      </c>
      <c r="P1339" s="57"/>
      <c r="Q1339" s="276">
        <f>IF(D1339="","",IF(J1339="リード付け",M1339,VLOOKUP(D1339,契約台帳!$A$3:$N$4986,14,FALSE)))</f>
        <v>1005</v>
      </c>
      <c r="R1339" s="277">
        <f>IF(D1339="","",IF(J1339="リード付け",M1339,VLOOKUP(D1339,契約台帳!$A$3:$O$4986,15,FALSE)))</f>
        <v>1000</v>
      </c>
      <c r="S1339" s="277">
        <f>IF(D1339="","",IF(J1339="リード付け",N1339,VLOOKUP(D1339,契約台帳!$A$3:$P$4986,16,FALSE)))</f>
        <v>4000</v>
      </c>
      <c r="T1339" s="40">
        <v>6</v>
      </c>
      <c r="U1339" s="278">
        <f ca="1">IF(D1339="","",IF(OFFSET(D1339,-2,0)=D1339,"",VLOOKUP(D1339,契約台帳!$A$3:$R$4986,18,FALSE)))</f>
        <v>6</v>
      </c>
      <c r="V1339" s="269" t="str">
        <f>IF(J1339="巻返し",VLOOKUP(F1339&amp;K1339&amp;M1339,製品マスタ!$M$5:$AD$5002,18,FALSE),IF(J1339="リード付け","原反コア",IF(J1339="スリット",VLOOKUP(F1339&amp;K1339&amp;Q1339,製品マスタ!$N$5:$AD$5002,17,FALSE),"")))</f>
        <v>6ｲﾝﾁSｺｱ</v>
      </c>
      <c r="W1339" s="269">
        <f>IF(J1339="巻返し",VLOOKUP(F1339&amp;K1339&amp;M1339,製品マスタ!$M$5:$AE$5002,19,FALSE),IF(J1339="リード付け","-",IF(J1339="スリット",VLOOKUP(F1339&amp;K1339&amp;Q1339,製品マスタ!$N$5:$AE$5002,18,FALSE),"")))</f>
        <v>1015</v>
      </c>
      <c r="X1339" s="275">
        <f>IF(D1339="","",VLOOKUP(D1339,契約台帳!$A$3:$Q$4986,17,FALSE))</f>
        <v>2</v>
      </c>
      <c r="Y1339" s="269" t="str">
        <f>IF(D1339="","",VLOOKUP(D1339,契約台帳!$A$3:$E$4986,5,FALSE))</f>
        <v>リンテック㈱</v>
      </c>
      <c r="Z1339" s="357">
        <v>45378</v>
      </c>
      <c r="AA1339" s="207"/>
      <c r="AB1339" s="369"/>
      <c r="AC1339" s="370"/>
      <c r="AD1339" s="332" t="str">
        <f>IF(F1339="","",+F1339&amp;K1339)</f>
        <v>3SNMLBMNGTBF25</v>
      </c>
      <c r="AE1339" s="216">
        <f>+M1339*N1339*O1339/1000</f>
        <v>24321</v>
      </c>
      <c r="AF1339" s="43">
        <f>IF(AD1339="","",VLOOKUP(AD1339,原価マスタ!$A$2:$AJ$1693,13,FALSE))</f>
        <v>97.5</v>
      </c>
      <c r="AG1339" s="47">
        <f>IF(AF1339="","",+AE1339*AF1339/100)</f>
        <v>23712.974999999999</v>
      </c>
      <c r="AH1339" s="30"/>
      <c r="AI1339" s="30"/>
      <c r="AJ1339" s="30"/>
      <c r="AK1339" s="30"/>
      <c r="AL1339" s="13"/>
      <c r="AM1339" s="13"/>
      <c r="AN1339" s="13"/>
      <c r="AO1339" s="13"/>
      <c r="AP1339" s="13"/>
      <c r="AQ1339" s="14"/>
      <c r="AR1339" s="15"/>
    </row>
    <row r="1340" spans="1:44" s="17" customFormat="1" ht="30.95" hidden="1" customHeight="1" x14ac:dyDescent="0.2">
      <c r="A1340" s="37"/>
      <c r="B1340" s="38"/>
      <c r="C1340" s="345"/>
      <c r="D1340" s="398"/>
      <c r="E1340" s="31"/>
      <c r="F1340" s="268"/>
      <c r="G1340" s="269"/>
      <c r="H1340" s="269"/>
      <c r="I1340" s="270"/>
      <c r="J1340" s="32"/>
      <c r="K1340" s="270"/>
      <c r="L1340" s="270"/>
      <c r="M1340" s="39"/>
      <c r="N1340" s="39"/>
      <c r="O1340" s="47"/>
      <c r="P1340" s="57"/>
      <c r="Q1340" s="276"/>
      <c r="R1340" s="277"/>
      <c r="S1340" s="277"/>
      <c r="T1340" s="40"/>
      <c r="U1340" s="278"/>
      <c r="V1340" s="269"/>
      <c r="W1340" s="269"/>
      <c r="X1340" s="275"/>
      <c r="Y1340" s="269"/>
      <c r="Z1340" s="357"/>
      <c r="AA1340" s="207"/>
      <c r="AB1340" s="369"/>
      <c r="AC1340" s="370"/>
      <c r="AD1340" s="332"/>
      <c r="AE1340" s="216"/>
      <c r="AF1340" s="43"/>
      <c r="AG1340" s="47"/>
      <c r="AH1340" s="30"/>
      <c r="AI1340" s="30"/>
      <c r="AJ1340" s="30"/>
      <c r="AK1340" s="30"/>
      <c r="AL1340" s="13"/>
      <c r="AM1340" s="13"/>
      <c r="AN1340" s="13"/>
      <c r="AO1340" s="13"/>
      <c r="AP1340" s="13"/>
      <c r="AQ1340" s="14"/>
      <c r="AR1340" s="15"/>
    </row>
    <row r="1341" spans="1:44" s="17" customFormat="1" ht="30.95" hidden="1" customHeight="1" x14ac:dyDescent="0.2">
      <c r="A1341" s="37" t="s">
        <v>2350</v>
      </c>
      <c r="B1341" s="38" t="s">
        <v>2351</v>
      </c>
      <c r="C1341" s="345"/>
      <c r="D1341" s="398">
        <v>3741621</v>
      </c>
      <c r="E1341" s="31">
        <v>4141087</v>
      </c>
      <c r="F1341" s="268" t="str">
        <f>IF(D1341="","",VLOOKUP(D1341,契約台帳!$A$3:$K$4986,6,FALSE)&amp;VLOOKUP(D1341,契約台帳!$A$3:$K$4986,7,FALSE)&amp;VLOOKUP(D1341,契約台帳!$A$3:$K$4986,8,FALSE)&amp;VLOOKUP(D1341,契約台帳!$A$3:$K$4986,9,FALSE)&amp;VLOOKUP(D1341,契約台帳!$A$3:$K$4986,11,FALSE))</f>
        <v>3SNMLBMNQR66F</v>
      </c>
      <c r="G1341" s="269" t="str">
        <f>IF(D1341="","",VLOOKUP(F1341,製品マスタ!$G$5:$H$5002,2,FALSE))</f>
        <v>S</v>
      </c>
      <c r="H1341" s="269" t="str">
        <f>IF(D1341="","",VLOOKUP(F1341,製品マスタ!$G$5:$K$5002,5,FALSE))</f>
        <v>MNQR66F</v>
      </c>
      <c r="I1341" s="270" t="str">
        <f>IF(D1341="","",VLOOKUP(F1341,製品マスタ!$G$5:$L$5002,6,FALSE))</f>
        <v>ＱＲ６６蒸着品</v>
      </c>
      <c r="J1341" s="32" t="s">
        <v>447</v>
      </c>
      <c r="K1341" s="270">
        <f>IF(D1341="","",VLOOKUP(D1341,契約台帳!$A$3:$L$4986,12,FALSE))</f>
        <v>25</v>
      </c>
      <c r="L1341" s="270" t="str">
        <f>IF(D1341="","",INDEX(製品マスタ!$Q$5:$Q$5002,MATCH(F1341&amp;K1341,製品マスタ!$AO$5:$AO$5002,0)))</f>
        <v>E315</v>
      </c>
      <c r="M1341" s="39">
        <v>1000</v>
      </c>
      <c r="N1341" s="39">
        <v>18000</v>
      </c>
      <c r="O1341" s="47">
        <v>1</v>
      </c>
      <c r="P1341" s="57"/>
      <c r="Q1341" s="276">
        <f>IF(D1341="","",IF(J1341="リード付け",M1341,VLOOKUP(D1341,契約台帳!$A$3:$N$4986,14,FALSE)))</f>
        <v>1000</v>
      </c>
      <c r="R1341" s="277">
        <f>IF(D1341="","",IF(J1341="リード付け",M1341,VLOOKUP(D1341,契約台帳!$A$3:$O$4986,15,FALSE)))</f>
        <v>1000</v>
      </c>
      <c r="S1341" s="277">
        <f>IF(D1341="","",IF(J1341="リード付け",N1341,VLOOKUP(D1341,契約台帳!$A$3:$P$4986,16,FALSE)))</f>
        <v>6000</v>
      </c>
      <c r="T1341" s="40">
        <v>3</v>
      </c>
      <c r="U1341" s="278">
        <f ca="1">IF(D1341="","",IF(OFFSET(D1341,-2,0)=D1341,"",VLOOKUP(D1341,契約台帳!$A$3:$R$4986,18,FALSE)))</f>
        <v>3</v>
      </c>
      <c r="V1341" s="269" t="str">
        <f>IF(J1341="巻返し",VLOOKUP(F1341&amp;K1341&amp;M1341,製品マスタ!$M$5:$AD$5002,18,FALSE),IF(J1341="リード付け","原反コア",IF(J1341="スリット",VLOOKUP(F1341&amp;K1341&amp;Q1341,製品マスタ!$N$5:$AD$5002,17,FALSE),"")))</f>
        <v>6ｲﾝﾁMｺｱ</v>
      </c>
      <c r="W1341" s="269">
        <f>IF(J1341="巻返し",VLOOKUP(F1341&amp;K1341&amp;M1341,製品マスタ!$M$5:$AE$5002,19,FALSE),IF(J1341="リード付け","-",IF(J1341="スリット",VLOOKUP(F1341&amp;K1341&amp;Q1341,製品マスタ!$N$5:$AE$5002,18,FALSE),"")))</f>
        <v>1010</v>
      </c>
      <c r="X1341" s="275">
        <f>IF(D1341="","",VLOOKUP(D1341,契約台帳!$A$3:$Q$4986,17,FALSE))</f>
        <v>2</v>
      </c>
      <c r="Y1341" s="269" t="str">
        <f>IF(D1341="","",VLOOKUP(D1341,契約台帳!$A$3:$E$4986,5,FALSE))</f>
        <v>リンテック㈱</v>
      </c>
      <c r="Z1341" s="357">
        <v>45379</v>
      </c>
      <c r="AA1341" s="207"/>
      <c r="AB1341" s="369"/>
      <c r="AC1341" s="370"/>
      <c r="AD1341" s="332" t="str">
        <f>IF(F1341="","",+F1341&amp;K1341)</f>
        <v>3SNMLBMNQR66F25</v>
      </c>
      <c r="AE1341" s="216">
        <f>+M1341*N1341*O1341/1000</f>
        <v>18000</v>
      </c>
      <c r="AF1341" s="43">
        <f>IF(AD1341="","",VLOOKUP(AD1341,原価マスタ!$A$2:$AJ$1693,13,FALSE))</f>
        <v>98</v>
      </c>
      <c r="AG1341" s="47">
        <f>IF(AF1341="","",+AE1341*AF1341/100)</f>
        <v>17640</v>
      </c>
      <c r="AH1341" s="30"/>
      <c r="AI1341" s="30"/>
      <c r="AJ1341" s="30"/>
      <c r="AK1341" s="30"/>
      <c r="AL1341" s="13"/>
      <c r="AM1341" s="13"/>
      <c r="AN1341" s="13"/>
      <c r="AO1341" s="13"/>
      <c r="AP1341" s="13"/>
      <c r="AQ1341" s="14"/>
      <c r="AR1341" s="15"/>
    </row>
    <row r="1342" spans="1:44" s="17" customFormat="1" ht="30.95" hidden="1" customHeight="1" x14ac:dyDescent="0.2">
      <c r="A1342" s="37"/>
      <c r="B1342" s="38"/>
      <c r="C1342" s="345"/>
      <c r="D1342" s="398"/>
      <c r="E1342" s="31"/>
      <c r="F1342" s="268"/>
      <c r="G1342" s="269"/>
      <c r="H1342" s="269"/>
      <c r="I1342" s="270"/>
      <c r="J1342" s="32"/>
      <c r="K1342" s="270"/>
      <c r="L1342" s="270"/>
      <c r="M1342" s="39"/>
      <c r="N1342" s="39"/>
      <c r="O1342" s="47"/>
      <c r="P1342" s="57"/>
      <c r="Q1342" s="276"/>
      <c r="R1342" s="277"/>
      <c r="S1342" s="277"/>
      <c r="T1342" s="40"/>
      <c r="U1342" s="278"/>
      <c r="V1342" s="269"/>
      <c r="W1342" s="269"/>
      <c r="X1342" s="275"/>
      <c r="Y1342" s="269"/>
      <c r="Z1342" s="357"/>
      <c r="AA1342" s="207"/>
      <c r="AB1342" s="369"/>
      <c r="AC1342" s="370"/>
      <c r="AD1342" s="332"/>
      <c r="AE1342" s="216"/>
      <c r="AF1342" s="43"/>
      <c r="AG1342" s="47"/>
      <c r="AH1342" s="30"/>
      <c r="AI1342" s="30"/>
      <c r="AJ1342" s="30"/>
      <c r="AK1342" s="30"/>
      <c r="AL1342" s="13"/>
      <c r="AM1342" s="13"/>
      <c r="AN1342" s="13"/>
      <c r="AO1342" s="13"/>
      <c r="AP1342" s="13"/>
      <c r="AQ1342" s="14"/>
      <c r="AR1342" s="15"/>
    </row>
    <row r="1343" spans="1:44" s="17" customFormat="1" ht="30.95" hidden="1" customHeight="1" x14ac:dyDescent="0.2">
      <c r="A1343" s="37"/>
      <c r="B1343" s="38"/>
      <c r="C1343" s="345"/>
      <c r="D1343" s="398">
        <v>3741601</v>
      </c>
      <c r="E1343" s="31">
        <v>4151589</v>
      </c>
      <c r="F1343" s="268" t="str">
        <f>IF(D1343="","",VLOOKUP(D1343,契約台帳!$A$3:$K$4986,6,FALSE)&amp;VLOOKUP(D1343,契約台帳!$A$3:$K$4986,7,FALSE)&amp;VLOOKUP(D1343,契約台帳!$A$3:$K$4986,8,FALSE)&amp;VLOOKUP(D1343,契約台帳!$A$3:$K$4986,9,FALSE)&amp;VLOOKUP(D1343,契約台帳!$A$3:$K$4986,11,FALSE))</f>
        <v>3SNMLBMNGKKBF</v>
      </c>
      <c r="G1343" s="269" t="str">
        <f>IF(D1343="","",VLOOKUP(F1343,製品マスタ!$G$5:$H$5002,2,FALSE))</f>
        <v>S</v>
      </c>
      <c r="H1343" s="269" t="str">
        <f>IF(D1343="","",VLOOKUP(F1343,製品マスタ!$G$5:$K$5002,5,FALSE))</f>
        <v>MNGKKBF</v>
      </c>
      <c r="I1343" s="270" t="str">
        <f>IF(D1343="","",VLOOKUP(F1343,製品マスタ!$G$5:$L$5002,6,FALSE))</f>
        <v>メタルミー　ネーマー銀消改　Ｂ</v>
      </c>
      <c r="J1343" s="32" t="s">
        <v>447</v>
      </c>
      <c r="K1343" s="270">
        <f>IF(D1343="","",VLOOKUP(D1343,契約台帳!$A$3:$L$4986,12,FALSE))</f>
        <v>25</v>
      </c>
      <c r="L1343" s="270" t="str">
        <f>IF(D1343="","",INDEX(製品マスタ!$Q$5:$Q$5002,MATCH(F1343&amp;K1343,製品マスタ!$AO$5:$AO$5002,0)))</f>
        <v>FMATS99</v>
      </c>
      <c r="M1343" s="272">
        <v>1000</v>
      </c>
      <c r="N1343" s="273">
        <v>12000</v>
      </c>
      <c r="O1343" s="422">
        <v>1</v>
      </c>
      <c r="P1343" s="57"/>
      <c r="Q1343" s="276">
        <f>IF(D1343="","",IF(J1343="リード付け",M1343,VLOOKUP(D1343,契約台帳!$A$3:$N$4986,14,FALSE)))</f>
        <v>1000</v>
      </c>
      <c r="R1343" s="277">
        <f>IF(D1343="","",IF(J1343="リード付け",M1343,VLOOKUP(D1343,契約台帳!$A$3:$O$4986,15,FALSE)))</f>
        <v>1000</v>
      </c>
      <c r="S1343" s="277">
        <f>IF(D1343="","",IF(J1343="リード付け",N1343,VLOOKUP(D1343,契約台帳!$A$3:$P$4986,16,FALSE)))</f>
        <v>4000</v>
      </c>
      <c r="T1343" s="40">
        <v>3</v>
      </c>
      <c r="U1343" s="278">
        <f ca="1">IF(D1343="","",IF(OFFSET(D1343,-2,0)=D1343,"",VLOOKUP(D1343,契約台帳!$A$3:$R$4986,18,FALSE)))</f>
        <v>3</v>
      </c>
      <c r="V1343" s="269" t="str">
        <f>IF(J1343="巻返し",VLOOKUP(F1343&amp;K1343&amp;M1343,製品マスタ!$M$5:$AD$5002,18,FALSE),IF(J1343="リード付け","原反コア",IF(J1343="スリット",VLOOKUP(F1343&amp;K1343&amp;Q1343,製品マスタ!$N$5:$AD$5002,17,FALSE),"")))</f>
        <v>6ｲﾝﾁSｺｱ</v>
      </c>
      <c r="W1343" s="269">
        <f>IF(J1343="巻返し",VLOOKUP(F1343&amp;K1343&amp;M1343,製品マスタ!$M$5:$AE$5002,19,FALSE),IF(J1343="リード付け","-",IF(J1343="スリット",VLOOKUP(F1343&amp;K1343&amp;Q1343,製品マスタ!$N$5:$AE$5002,18,FALSE),"")))</f>
        <v>1005</v>
      </c>
      <c r="X1343" s="275">
        <f>IF(D1343="","",VLOOKUP(D1343,契約台帳!$A$3:$Q$4986,17,FALSE))</f>
        <v>2</v>
      </c>
      <c r="Y1343" s="269" t="str">
        <f>IF(D1343="","",VLOOKUP(D1343,契約台帳!$A$3:$E$4986,5,FALSE))</f>
        <v>リンテック㈱</v>
      </c>
      <c r="Z1343" s="357">
        <v>45379</v>
      </c>
      <c r="AA1343" s="207"/>
      <c r="AB1343" s="369"/>
      <c r="AC1343" s="370"/>
      <c r="AD1343" s="332" t="str">
        <f>IF(F1343="","",+F1343&amp;K1343)</f>
        <v>3SNMLBMNGKKBF25</v>
      </c>
      <c r="AE1343" s="216">
        <f>+M1343*N1343*O1343/1000</f>
        <v>12000</v>
      </c>
      <c r="AF1343" s="43">
        <f>IF(AD1343="","",VLOOKUP(AD1343,原価マスタ!$A$2:$AJ$1693,13,FALSE))</f>
        <v>96</v>
      </c>
      <c r="AG1343" s="47">
        <f>IF(AF1343="","",+AE1343*AF1343/100)</f>
        <v>11520</v>
      </c>
      <c r="AH1343" s="30"/>
      <c r="AI1343" s="30"/>
      <c r="AJ1343" s="30"/>
      <c r="AK1343" s="30"/>
      <c r="AL1343" s="13"/>
      <c r="AM1343" s="13"/>
      <c r="AN1343" s="13"/>
      <c r="AO1343" s="13"/>
      <c r="AP1343" s="13"/>
      <c r="AQ1343" s="14"/>
      <c r="AR1343" s="15"/>
    </row>
    <row r="1344" spans="1:44" s="17" customFormat="1" ht="30.95" hidden="1" customHeight="1" x14ac:dyDescent="0.2">
      <c r="A1344" s="37"/>
      <c r="B1344" s="38"/>
      <c r="C1344" s="345"/>
      <c r="D1344" s="398"/>
      <c r="E1344" s="31"/>
      <c r="F1344" s="268" t="str">
        <f>IF(D1344="","",VLOOKUP(D1344,契約台帳!$A$3:$K$4986,6,FALSE)&amp;VLOOKUP(D1344,契約台帳!$A$3:$K$4986,7,FALSE)&amp;VLOOKUP(D1344,契約台帳!$A$3:$K$4986,8,FALSE)&amp;VLOOKUP(D1344,契約台帳!$A$3:$K$4986,9,FALSE)&amp;VLOOKUP(D1344,契約台帳!$A$3:$K$4986,11,FALSE))</f>
        <v/>
      </c>
      <c r="G1344" s="269" t="str">
        <f>IF(D1344="","",VLOOKUP(F1344,製品マスタ!$G$5:$H$5002,2,FALSE))</f>
        <v/>
      </c>
      <c r="H1344" s="269" t="str">
        <f>IF(D1344="","",VLOOKUP(F1344,製品マスタ!$G$5:$K$5002,5,FALSE))</f>
        <v/>
      </c>
      <c r="I1344" s="270" t="str">
        <f>IF(D1344="","",VLOOKUP(F1344,製品マスタ!$G$5:$L$5002,6,FALSE))</f>
        <v/>
      </c>
      <c r="J1344" s="32"/>
      <c r="K1344" s="270" t="str">
        <f>IF(D1344="","",VLOOKUP(D1344,契約台帳!$A$3:$L$4986,12,FALSE))</f>
        <v/>
      </c>
      <c r="L1344" s="270" t="str">
        <f>IF(D1344="","",INDEX(製品マスタ!$Q$5:$Q$5002,MATCH(F1344&amp;K1344,製品マスタ!$AO$5:$AO$5002,0)))</f>
        <v/>
      </c>
      <c r="M1344" s="272"/>
      <c r="N1344" s="273"/>
      <c r="O1344" s="422"/>
      <c r="P1344" s="57"/>
      <c r="Q1344" s="276" t="str">
        <f>IF(D1344="","",IF(J1344="リード付け",M1344,VLOOKUP(D1344,契約台帳!$A$3:$N$4986,14,FALSE)))</f>
        <v/>
      </c>
      <c r="R1344" s="277" t="str">
        <f>IF(D1344="","",IF(J1344="リード付け",M1344,VLOOKUP(D1344,契約台帳!$A$3:$O$4986,15,FALSE)))</f>
        <v/>
      </c>
      <c r="S1344" s="277" t="str">
        <f>IF(D1344="","",IF(J1344="リード付け",N1344,VLOOKUP(D1344,契約台帳!$A$3:$P$4986,16,FALSE)))</f>
        <v/>
      </c>
      <c r="T1344" s="40"/>
      <c r="U1344" s="278" t="str">
        <f ca="1">IF(D1344="","",IF(OFFSET(D1344,-2,0)=D1344,"",VLOOKUP(D1344,契約台帳!$A$3:$R$4986,18,FALSE)))</f>
        <v/>
      </c>
      <c r="V1344" s="269" t="str">
        <f>IF(J1344="巻返し",VLOOKUP(F1344&amp;K1344&amp;M1344,製品マスタ!$M$5:$AD$5002,18,FALSE),IF(J1344="リード付け","原反コア",IF(J1344="スリット",VLOOKUP(F1344&amp;K1344&amp;Q1344,製品マスタ!$N$5:$AD$5002,17,FALSE),"")))</f>
        <v/>
      </c>
      <c r="W1344" s="269" t="str">
        <f>IF(J1344="巻返し",VLOOKUP(F1344&amp;K1344&amp;M1344,製品マスタ!$M$5:$AE$5002,19,FALSE),IF(J1344="リード付け","-",IF(J1344="スリット",VLOOKUP(F1344&amp;K1344&amp;Q1344,製品マスタ!$N$5:$AE$5002,18,FALSE),"")))</f>
        <v/>
      </c>
      <c r="X1344" s="275" t="str">
        <f>IF(D1344="","",VLOOKUP(D1344,契約台帳!$A$3:$Q$4986,17,FALSE))</f>
        <v/>
      </c>
      <c r="Y1344" s="269" t="str">
        <f>IF(D1344="","",VLOOKUP(D1344,契約台帳!$A$3:$E$4986,5,FALSE))</f>
        <v/>
      </c>
      <c r="Z1344" s="357"/>
      <c r="AA1344" s="207"/>
      <c r="AB1344" s="369"/>
      <c r="AC1344" s="370"/>
      <c r="AD1344" s="332" t="str">
        <f>IF(F1344="","",+F1344&amp;K1344)</f>
        <v/>
      </c>
      <c r="AE1344" s="216">
        <f>+M1344*N1344*O1344/1000</f>
        <v>0</v>
      </c>
      <c r="AF1344" s="43" t="str">
        <f>IF(AD1344="","",VLOOKUP(AD1344,原価マスタ!$A$2:$AJ$1693,13,FALSE))</f>
        <v/>
      </c>
      <c r="AG1344" s="47" t="str">
        <f>IF(AF1344="","",+AE1344*AF1344/100)</f>
        <v/>
      </c>
      <c r="AH1344" s="30"/>
      <c r="AI1344" s="30"/>
      <c r="AJ1344" s="30"/>
      <c r="AK1344" s="30"/>
      <c r="AL1344" s="13"/>
      <c r="AM1344" s="13"/>
      <c r="AN1344" s="13"/>
      <c r="AO1344" s="13"/>
      <c r="AP1344" s="13"/>
      <c r="AQ1344" s="14"/>
      <c r="AR1344" s="15"/>
    </row>
    <row r="1345" spans="1:44" s="17" customFormat="1" ht="30.95" hidden="1" customHeight="1" x14ac:dyDescent="0.2">
      <c r="A1345" s="37"/>
      <c r="B1345" s="38"/>
      <c r="C1345" s="345"/>
      <c r="D1345" s="398">
        <v>3741603</v>
      </c>
      <c r="E1345" s="31">
        <v>4151591</v>
      </c>
      <c r="F1345" s="268" t="str">
        <f>IF(D1345="","",VLOOKUP(D1345,契約台帳!$A$3:$K$4986,6,FALSE)&amp;VLOOKUP(D1345,契約台帳!$A$3:$K$4986,7,FALSE)&amp;VLOOKUP(D1345,契約台帳!$A$3:$K$4986,8,FALSE)&amp;VLOOKUP(D1345,契約台帳!$A$3:$K$4986,9,FALSE)&amp;VLOOKUP(D1345,契約台帳!$A$3:$K$4986,11,FALSE))</f>
        <v>3SNMLBMNGKKBF</v>
      </c>
      <c r="G1345" s="269" t="str">
        <f>IF(D1345="","",VLOOKUP(F1345,製品マスタ!$G$5:$H$5002,2,FALSE))</f>
        <v>S</v>
      </c>
      <c r="H1345" s="269" t="str">
        <f>IF(D1345="","",VLOOKUP(F1345,製品マスタ!$G$5:$K$5002,5,FALSE))</f>
        <v>MNGKKBF</v>
      </c>
      <c r="I1345" s="270" t="str">
        <f>IF(D1345="","",VLOOKUP(F1345,製品マスタ!$G$5:$L$5002,6,FALSE))</f>
        <v>メタルミー　ネーマー銀消改　Ｂ</v>
      </c>
      <c r="J1345" s="32" t="s">
        <v>447</v>
      </c>
      <c r="K1345" s="270">
        <f>IF(D1345="","",VLOOKUP(D1345,契約台帳!$A$3:$L$4986,12,FALSE))</f>
        <v>50</v>
      </c>
      <c r="L1345" s="270" t="str">
        <f>IF(D1345="","",INDEX(製品マスタ!$Q$5:$Q$5002,MATCH(F1345&amp;K1345,製品マスタ!$AO$5:$AO$5002,0)))</f>
        <v>S99-MAT</v>
      </c>
      <c r="M1345" s="272">
        <v>1000</v>
      </c>
      <c r="N1345" s="273">
        <v>12000</v>
      </c>
      <c r="O1345" s="422">
        <v>1</v>
      </c>
      <c r="P1345" s="57"/>
      <c r="Q1345" s="276">
        <f>IF(D1345="","",IF(J1345="リード付け",M1345,VLOOKUP(D1345,契約台帳!$A$3:$N$4986,14,FALSE)))</f>
        <v>1000</v>
      </c>
      <c r="R1345" s="277">
        <f>IF(D1345="","",IF(J1345="リード付け",M1345,VLOOKUP(D1345,契約台帳!$A$3:$O$4986,15,FALSE)))</f>
        <v>1000</v>
      </c>
      <c r="S1345" s="277">
        <f>IF(D1345="","",IF(J1345="リード付け",N1345,VLOOKUP(D1345,契約台帳!$A$3:$P$4986,16,FALSE)))</f>
        <v>4000</v>
      </c>
      <c r="T1345" s="40">
        <v>3</v>
      </c>
      <c r="U1345" s="278">
        <f ca="1">IF(D1345="","",IF(OFFSET(D1345,-2,0)=D1345,"",VLOOKUP(D1345,契約台帳!$A$3:$R$4986,18,FALSE)))</f>
        <v>3</v>
      </c>
      <c r="V1345" s="269" t="str">
        <f>IF(J1345="巻返し",VLOOKUP(F1345&amp;K1345&amp;M1345,製品マスタ!$M$5:$AD$5002,18,FALSE),IF(J1345="リード付け","原反コア",IF(J1345="スリット",VLOOKUP(F1345&amp;K1345&amp;Q1345,製品マスタ!$N$5:$AD$5002,17,FALSE),"")))</f>
        <v>6ｲﾝﾁSｺｱ</v>
      </c>
      <c r="W1345" s="269">
        <f>IF(J1345="巻返し",VLOOKUP(F1345&amp;K1345&amp;M1345,製品マスタ!$M$5:$AE$5002,19,FALSE),IF(J1345="リード付け","-",IF(J1345="スリット",VLOOKUP(F1345&amp;K1345&amp;Q1345,製品マスタ!$N$5:$AE$5002,18,FALSE),"")))</f>
        <v>1005</v>
      </c>
      <c r="X1345" s="275">
        <f>IF(D1345="","",VLOOKUP(D1345,契約台帳!$A$3:$Q$4986,17,FALSE))</f>
        <v>2</v>
      </c>
      <c r="Y1345" s="269" t="str">
        <f>IF(D1345="","",VLOOKUP(D1345,契約台帳!$A$3:$E$4986,5,FALSE))</f>
        <v>リンテック㈱</v>
      </c>
      <c r="Z1345" s="357">
        <v>45379</v>
      </c>
      <c r="AA1345" s="207"/>
      <c r="AB1345" s="369"/>
      <c r="AC1345" s="370"/>
      <c r="AD1345" s="332" t="str">
        <f>IF(F1345="","",+F1345&amp;K1345)</f>
        <v>3SNMLBMNGKKBF50</v>
      </c>
      <c r="AE1345" s="216">
        <f>+M1345*N1345*O1345/1000</f>
        <v>12000</v>
      </c>
      <c r="AF1345" s="43">
        <f>IF(AD1345="","",VLOOKUP(AD1345,原価マスタ!$A$2:$AJ$1693,13,FALSE))</f>
        <v>99</v>
      </c>
      <c r="AG1345" s="47">
        <f>IF(AF1345="","",+AE1345*AF1345/100)</f>
        <v>11880</v>
      </c>
      <c r="AH1345" s="30"/>
      <c r="AI1345" s="30"/>
      <c r="AJ1345" s="30"/>
      <c r="AK1345" s="30"/>
      <c r="AL1345" s="13"/>
      <c r="AM1345" s="13"/>
      <c r="AN1345" s="13"/>
      <c r="AO1345" s="13"/>
      <c r="AP1345" s="13"/>
      <c r="AQ1345" s="14"/>
      <c r="AR1345" s="15"/>
    </row>
    <row r="1346" spans="1:44" s="17" customFormat="1" ht="30.95" hidden="1" customHeight="1" x14ac:dyDescent="0.2">
      <c r="A1346" s="37"/>
      <c r="B1346" s="38"/>
      <c r="C1346" s="345"/>
      <c r="D1346" s="398"/>
      <c r="E1346" s="31"/>
      <c r="F1346" s="268"/>
      <c r="G1346" s="269"/>
      <c r="H1346" s="269"/>
      <c r="I1346" s="270"/>
      <c r="J1346" s="347"/>
      <c r="K1346" s="270"/>
      <c r="L1346" s="270"/>
      <c r="M1346" s="272"/>
      <c r="N1346" s="273"/>
      <c r="O1346" s="422"/>
      <c r="P1346" s="57"/>
      <c r="Q1346" s="276"/>
      <c r="R1346" s="277"/>
      <c r="S1346" s="277"/>
      <c r="T1346" s="40"/>
      <c r="U1346" s="278"/>
      <c r="V1346" s="269"/>
      <c r="W1346" s="269"/>
      <c r="X1346" s="275"/>
      <c r="Y1346" s="269"/>
      <c r="Z1346" s="357"/>
      <c r="AA1346" s="207"/>
      <c r="AB1346" s="369"/>
      <c r="AC1346" s="370"/>
      <c r="AD1346" s="332"/>
      <c r="AE1346" s="216"/>
      <c r="AF1346" s="43"/>
      <c r="AG1346" s="47"/>
      <c r="AH1346" s="30"/>
      <c r="AI1346" s="30"/>
      <c r="AJ1346" s="30"/>
      <c r="AK1346" s="30"/>
      <c r="AL1346" s="13"/>
      <c r="AM1346" s="13"/>
      <c r="AN1346" s="13"/>
      <c r="AO1346" s="13"/>
      <c r="AP1346" s="13"/>
      <c r="AQ1346" s="14"/>
      <c r="AR1346" s="15"/>
    </row>
    <row r="1347" spans="1:44" s="17" customFormat="1" ht="30.95" hidden="1" customHeight="1" x14ac:dyDescent="0.2">
      <c r="A1347" s="37" t="s">
        <v>2252</v>
      </c>
      <c r="B1347" s="38" t="s">
        <v>392</v>
      </c>
      <c r="C1347" s="345"/>
      <c r="D1347" s="398"/>
      <c r="E1347" s="31"/>
      <c r="F1347" s="268"/>
      <c r="G1347" s="269"/>
      <c r="H1347" s="269"/>
      <c r="I1347" s="270"/>
      <c r="J1347" s="347" t="s">
        <v>448</v>
      </c>
      <c r="K1347" s="270"/>
      <c r="L1347" s="270"/>
      <c r="M1347" s="39"/>
      <c r="N1347" s="39"/>
      <c r="O1347" s="47"/>
      <c r="P1347" s="57"/>
      <c r="Q1347" s="276"/>
      <c r="R1347" s="277"/>
      <c r="S1347" s="277"/>
      <c r="T1347" s="40"/>
      <c r="U1347" s="278"/>
      <c r="V1347" s="269"/>
      <c r="W1347" s="269"/>
      <c r="X1347" s="275"/>
      <c r="Y1347" s="269"/>
      <c r="Z1347" s="357"/>
      <c r="AA1347" s="207"/>
      <c r="AB1347" s="369"/>
      <c r="AC1347" s="370"/>
      <c r="AD1347" s="332"/>
      <c r="AE1347" s="216"/>
      <c r="AF1347" s="43"/>
      <c r="AG1347" s="47"/>
      <c r="AH1347" s="30"/>
      <c r="AI1347" s="30"/>
      <c r="AJ1347" s="30"/>
      <c r="AK1347" s="30"/>
      <c r="AL1347" s="13"/>
      <c r="AM1347" s="13"/>
      <c r="AN1347" s="13"/>
      <c r="AO1347" s="13"/>
      <c r="AP1347" s="13"/>
      <c r="AQ1347" s="14"/>
      <c r="AR1347" s="15"/>
    </row>
    <row r="1348" spans="1:44" s="17" customFormat="1" ht="30.95" hidden="1" customHeight="1" x14ac:dyDescent="0.2">
      <c r="A1348" s="343"/>
      <c r="B1348" s="344"/>
      <c r="C1348" s="345"/>
      <c r="D1348" s="398"/>
      <c r="E1348" s="31"/>
      <c r="F1348" s="268"/>
      <c r="G1348" s="269"/>
      <c r="H1348" s="269"/>
      <c r="I1348" s="270"/>
      <c r="J1348" s="32"/>
      <c r="K1348" s="270"/>
      <c r="L1348" s="270"/>
      <c r="M1348" s="39"/>
      <c r="N1348" s="39"/>
      <c r="O1348" s="47"/>
      <c r="P1348" s="57"/>
      <c r="Q1348" s="276"/>
      <c r="R1348" s="277"/>
      <c r="S1348" s="277"/>
      <c r="T1348" s="40"/>
      <c r="U1348" s="278"/>
      <c r="V1348" s="269"/>
      <c r="W1348" s="269"/>
      <c r="X1348" s="275"/>
      <c r="Y1348" s="269"/>
      <c r="Z1348" s="357"/>
      <c r="AA1348" s="207"/>
      <c r="AB1348" s="369"/>
      <c r="AC1348" s="370"/>
      <c r="AD1348" s="332"/>
      <c r="AE1348" s="216"/>
      <c r="AF1348" s="43"/>
      <c r="AG1348" s="47"/>
      <c r="AH1348" s="30"/>
      <c r="AI1348" s="30"/>
      <c r="AJ1348" s="30"/>
      <c r="AK1348" s="30"/>
      <c r="AL1348" s="13"/>
      <c r="AM1348" s="13"/>
      <c r="AN1348" s="13"/>
      <c r="AO1348" s="13"/>
      <c r="AP1348" s="13"/>
      <c r="AQ1348" s="14"/>
      <c r="AR1348" s="15"/>
    </row>
    <row r="1349" spans="1:44" s="17" customFormat="1" ht="30.95" hidden="1" customHeight="1" x14ac:dyDescent="0.2">
      <c r="A1349" s="37" t="s">
        <v>2326</v>
      </c>
      <c r="B1349" s="38" t="s">
        <v>2327</v>
      </c>
      <c r="C1349" s="345"/>
      <c r="D1349" s="398"/>
      <c r="E1349" s="31"/>
      <c r="F1349" s="268"/>
      <c r="G1349" s="269"/>
      <c r="H1349" s="269"/>
      <c r="I1349" s="270"/>
      <c r="J1349" s="32" t="s">
        <v>490</v>
      </c>
      <c r="K1349" s="270"/>
      <c r="L1349" s="270"/>
      <c r="M1349" s="39"/>
      <c r="N1349" s="39"/>
      <c r="O1349" s="47"/>
      <c r="P1349" s="57"/>
      <c r="Q1349" s="276"/>
      <c r="R1349" s="277"/>
      <c r="S1349" s="277"/>
      <c r="T1349" s="40"/>
      <c r="U1349" s="278"/>
      <c r="V1349" s="269"/>
      <c r="W1349" s="269"/>
      <c r="X1349" s="275"/>
      <c r="Y1349" s="269"/>
      <c r="Z1349" s="357"/>
      <c r="AA1349" s="207"/>
      <c r="AB1349" s="369"/>
      <c r="AC1349" s="370"/>
      <c r="AD1349" s="332"/>
      <c r="AE1349" s="216"/>
      <c r="AF1349" s="43"/>
      <c r="AG1349" s="47"/>
      <c r="AH1349" s="30"/>
      <c r="AI1349" s="30"/>
      <c r="AJ1349" s="30"/>
      <c r="AK1349" s="30"/>
      <c r="AL1349" s="13"/>
      <c r="AM1349" s="13"/>
      <c r="AN1349" s="13"/>
      <c r="AO1349" s="13"/>
      <c r="AP1349" s="13"/>
      <c r="AQ1349" s="14"/>
      <c r="AR1349" s="15"/>
    </row>
    <row r="1350" spans="1:44" s="17" customFormat="1" ht="30.95" hidden="1" customHeight="1" x14ac:dyDescent="0.2">
      <c r="A1350" s="343"/>
      <c r="B1350" s="344"/>
      <c r="C1350" s="345"/>
      <c r="D1350" s="398"/>
      <c r="E1350" s="31"/>
      <c r="F1350" s="268"/>
      <c r="G1350" s="269"/>
      <c r="H1350" s="269"/>
      <c r="I1350" s="270"/>
      <c r="J1350" s="32"/>
      <c r="K1350" s="270"/>
      <c r="L1350" s="270"/>
      <c r="M1350" s="39"/>
      <c r="N1350" s="39"/>
      <c r="O1350" s="47"/>
      <c r="P1350" s="57"/>
      <c r="Q1350" s="276"/>
      <c r="R1350" s="277"/>
      <c r="S1350" s="277"/>
      <c r="T1350" s="40"/>
      <c r="U1350" s="278"/>
      <c r="V1350" s="269"/>
      <c r="W1350" s="269"/>
      <c r="X1350" s="275"/>
      <c r="Y1350" s="269"/>
      <c r="Z1350" s="357"/>
      <c r="AA1350" s="207"/>
      <c r="AB1350" s="369"/>
      <c r="AC1350" s="370"/>
      <c r="AD1350" s="332"/>
      <c r="AE1350" s="216"/>
      <c r="AF1350" s="43"/>
      <c r="AG1350" s="47"/>
      <c r="AH1350" s="30"/>
      <c r="AI1350" s="30"/>
      <c r="AJ1350" s="30"/>
      <c r="AK1350" s="30"/>
      <c r="AL1350" s="13"/>
      <c r="AM1350" s="13"/>
      <c r="AN1350" s="13"/>
      <c r="AO1350" s="13"/>
      <c r="AP1350" s="13"/>
      <c r="AQ1350" s="14"/>
      <c r="AR1350" s="15"/>
    </row>
    <row r="1351" spans="1:44" s="17" customFormat="1" ht="30.95" hidden="1" customHeight="1" x14ac:dyDescent="0.2">
      <c r="A1351" s="37" t="s">
        <v>2253</v>
      </c>
      <c r="B1351" s="38" t="s">
        <v>1405</v>
      </c>
      <c r="C1351" s="345"/>
      <c r="D1351" s="398"/>
      <c r="E1351" s="31"/>
      <c r="F1351" s="268"/>
      <c r="G1351" s="269"/>
      <c r="H1351" s="269"/>
      <c r="I1351" s="270"/>
      <c r="J1351" s="32" t="s">
        <v>2295</v>
      </c>
      <c r="K1351" s="270"/>
      <c r="L1351" s="270"/>
      <c r="M1351" s="39"/>
      <c r="N1351" s="39"/>
      <c r="O1351" s="47"/>
      <c r="P1351" s="57"/>
      <c r="Q1351" s="276"/>
      <c r="R1351" s="277"/>
      <c r="S1351" s="277"/>
      <c r="T1351" s="40"/>
      <c r="U1351" s="278"/>
      <c r="V1351" s="269"/>
      <c r="W1351" s="269"/>
      <c r="X1351" s="275"/>
      <c r="Y1351" s="269"/>
      <c r="Z1351" s="357"/>
      <c r="AA1351" s="207"/>
      <c r="AB1351" s="369"/>
      <c r="AC1351" s="370"/>
      <c r="AD1351" s="332"/>
      <c r="AE1351" s="216"/>
      <c r="AF1351" s="43"/>
      <c r="AG1351" s="47"/>
      <c r="AH1351" s="30"/>
      <c r="AI1351" s="30"/>
      <c r="AJ1351" s="30"/>
      <c r="AK1351" s="30"/>
      <c r="AL1351" s="13"/>
      <c r="AM1351" s="13"/>
      <c r="AN1351" s="13"/>
      <c r="AO1351" s="13"/>
      <c r="AP1351" s="13"/>
      <c r="AQ1351" s="14"/>
      <c r="AR1351" s="15"/>
    </row>
    <row r="1352" spans="1:44" s="17" customFormat="1" ht="30.95" hidden="1" customHeight="1" x14ac:dyDescent="0.2">
      <c r="A1352" s="343"/>
      <c r="B1352" s="344"/>
      <c r="C1352" s="345"/>
      <c r="D1352" s="398"/>
      <c r="E1352" s="31"/>
      <c r="F1352" s="268"/>
      <c r="G1352" s="269"/>
      <c r="H1352" s="269"/>
      <c r="I1352" s="270"/>
      <c r="J1352" s="32"/>
      <c r="K1352" s="270"/>
      <c r="L1352" s="270"/>
      <c r="M1352" s="39"/>
      <c r="N1352" s="39"/>
      <c r="O1352" s="47"/>
      <c r="P1352" s="57"/>
      <c r="Q1352" s="276"/>
      <c r="R1352" s="277"/>
      <c r="S1352" s="277"/>
      <c r="T1352" s="40"/>
      <c r="U1352" s="278"/>
      <c r="V1352" s="269"/>
      <c r="W1352" s="269"/>
      <c r="X1352" s="275"/>
      <c r="Y1352" s="269"/>
      <c r="Z1352" s="357"/>
      <c r="AA1352" s="207"/>
      <c r="AB1352" s="369"/>
      <c r="AC1352" s="370"/>
      <c r="AD1352" s="332"/>
      <c r="AE1352" s="216"/>
      <c r="AF1352" s="43"/>
      <c r="AG1352" s="47"/>
      <c r="AH1352" s="30"/>
      <c r="AI1352" s="30"/>
      <c r="AJ1352" s="30"/>
      <c r="AK1352" s="30"/>
      <c r="AL1352" s="13"/>
      <c r="AM1352" s="13"/>
      <c r="AN1352" s="13"/>
      <c r="AO1352" s="13"/>
      <c r="AP1352" s="13"/>
      <c r="AQ1352" s="14"/>
      <c r="AR1352" s="15"/>
    </row>
    <row r="1353" spans="1:44" s="233" customFormat="1" ht="30.95" hidden="1" customHeight="1" x14ac:dyDescent="0.2">
      <c r="A1353" s="399"/>
      <c r="B1353" s="400"/>
      <c r="C1353" s="401"/>
      <c r="D1353" s="396"/>
      <c r="E1353" s="219"/>
      <c r="F1353" s="281"/>
      <c r="G1353" s="282"/>
      <c r="H1353" s="282"/>
      <c r="I1353" s="283"/>
      <c r="J1353" s="220"/>
      <c r="K1353" s="283"/>
      <c r="L1353" s="283"/>
      <c r="M1353" s="221"/>
      <c r="N1353" s="221"/>
      <c r="O1353" s="222"/>
      <c r="P1353" s="213"/>
      <c r="Q1353" s="284"/>
      <c r="R1353" s="285"/>
      <c r="S1353" s="285"/>
      <c r="T1353" s="224"/>
      <c r="U1353" s="286"/>
      <c r="V1353" s="282"/>
      <c r="W1353" s="282"/>
      <c r="X1353" s="287"/>
      <c r="Y1353" s="282"/>
      <c r="Z1353" s="356"/>
      <c r="AA1353" s="288"/>
      <c r="AB1353" s="385"/>
      <c r="AC1353" s="386"/>
      <c r="AD1353" s="387"/>
      <c r="AE1353" s="423"/>
      <c r="AF1353" s="223"/>
      <c r="AG1353" s="234" t="e">
        <f>SUM(AG1266:AG1351)</f>
        <v>#N/A</v>
      </c>
      <c r="AH1353" s="229"/>
      <c r="AI1353" s="229"/>
      <c r="AJ1353" s="229"/>
      <c r="AK1353" s="229"/>
      <c r="AL1353" s="230"/>
      <c r="AM1353" s="230"/>
      <c r="AN1353" s="230"/>
      <c r="AO1353" s="230"/>
      <c r="AP1353" s="230"/>
      <c r="AQ1353" s="231"/>
      <c r="AR1353" s="232"/>
    </row>
    <row r="1354" spans="1:44" s="17" customFormat="1" ht="30.95" hidden="1" customHeight="1" x14ac:dyDescent="0.2">
      <c r="A1354" s="343"/>
      <c r="B1354" s="344"/>
      <c r="C1354" s="345"/>
      <c r="D1354" s="398"/>
      <c r="E1354" s="31"/>
      <c r="F1354" s="268"/>
      <c r="G1354" s="269"/>
      <c r="H1354" s="269"/>
      <c r="I1354" s="270"/>
      <c r="J1354" s="32"/>
      <c r="K1354" s="270"/>
      <c r="L1354" s="270"/>
      <c r="M1354" s="39"/>
      <c r="N1354" s="39"/>
      <c r="O1354" s="47"/>
      <c r="P1354" s="57"/>
      <c r="Q1354" s="276"/>
      <c r="R1354" s="277"/>
      <c r="S1354" s="277"/>
      <c r="T1354" s="40"/>
      <c r="U1354" s="278"/>
      <c r="V1354" s="269"/>
      <c r="W1354" s="269"/>
      <c r="X1354" s="275"/>
      <c r="Y1354" s="269"/>
      <c r="Z1354" s="357"/>
      <c r="AA1354" s="207"/>
      <c r="AB1354" s="369"/>
      <c r="AC1354" s="370"/>
      <c r="AD1354" s="332"/>
      <c r="AE1354" s="216"/>
      <c r="AF1354" s="43"/>
      <c r="AG1354" s="47"/>
      <c r="AH1354" s="30"/>
      <c r="AI1354" s="30"/>
      <c r="AJ1354" s="30"/>
      <c r="AK1354" s="30"/>
      <c r="AL1354" s="13"/>
      <c r="AM1354" s="13"/>
      <c r="AN1354" s="13"/>
      <c r="AO1354" s="13"/>
      <c r="AP1354" s="13"/>
      <c r="AQ1354" s="14"/>
      <c r="AR1354" s="15"/>
    </row>
    <row r="1355" spans="1:44" s="17" customFormat="1" ht="30.95" hidden="1" customHeight="1" x14ac:dyDescent="0.2">
      <c r="A1355" s="37" t="s">
        <v>2254</v>
      </c>
      <c r="B1355" s="38" t="s">
        <v>1412</v>
      </c>
      <c r="C1355" s="345"/>
      <c r="D1355" s="398"/>
      <c r="E1355" s="31"/>
      <c r="F1355" s="268"/>
      <c r="G1355" s="269"/>
      <c r="H1355" s="269"/>
      <c r="I1355" s="270"/>
      <c r="J1355" s="32" t="s">
        <v>2328</v>
      </c>
      <c r="K1355" s="270"/>
      <c r="L1355" s="270"/>
      <c r="M1355" s="39"/>
      <c r="N1355" s="39"/>
      <c r="O1355" s="47"/>
      <c r="P1355" s="57"/>
      <c r="Q1355" s="276"/>
      <c r="R1355" s="277"/>
      <c r="S1355" s="277"/>
      <c r="T1355" s="40"/>
      <c r="U1355" s="278"/>
      <c r="V1355" s="269"/>
      <c r="W1355" s="269"/>
      <c r="X1355" s="275"/>
      <c r="Y1355" s="269"/>
      <c r="Z1355" s="357"/>
      <c r="AA1355" s="207"/>
      <c r="AB1355" s="369"/>
      <c r="AC1355" s="370"/>
      <c r="AD1355" s="332"/>
      <c r="AE1355" s="216"/>
      <c r="AF1355" s="43"/>
      <c r="AG1355" s="47"/>
      <c r="AH1355" s="30"/>
      <c r="AI1355" s="30"/>
      <c r="AJ1355" s="30"/>
      <c r="AK1355" s="30"/>
      <c r="AL1355" s="13"/>
      <c r="AM1355" s="13"/>
      <c r="AN1355" s="13"/>
      <c r="AO1355" s="13"/>
      <c r="AP1355" s="13"/>
      <c r="AQ1355" s="14"/>
      <c r="AR1355" s="15"/>
    </row>
    <row r="1356" spans="1:44" s="17" customFormat="1" ht="30.95" hidden="1" customHeight="1" x14ac:dyDescent="0.2">
      <c r="A1356" s="343"/>
      <c r="B1356" s="344"/>
      <c r="C1356" s="345"/>
      <c r="D1356" s="31"/>
      <c r="E1356" s="31"/>
      <c r="F1356" s="268"/>
      <c r="G1356" s="269"/>
      <c r="H1356" s="269"/>
      <c r="I1356" s="270"/>
      <c r="J1356" s="32"/>
      <c r="K1356" s="270"/>
      <c r="L1356" s="270"/>
      <c r="M1356" s="39"/>
      <c r="N1356" s="39"/>
      <c r="O1356" s="47"/>
      <c r="P1356" s="57"/>
      <c r="Q1356" s="276"/>
      <c r="R1356" s="277"/>
      <c r="S1356" s="277"/>
      <c r="T1356" s="40"/>
      <c r="U1356" s="278"/>
      <c r="V1356" s="269"/>
      <c r="W1356" s="269"/>
      <c r="X1356" s="275"/>
      <c r="Y1356" s="269"/>
      <c r="Z1356" s="357"/>
      <c r="AA1356" s="207"/>
      <c r="AB1356" s="369"/>
      <c r="AC1356" s="370"/>
      <c r="AD1356" s="332"/>
      <c r="AE1356" s="216"/>
      <c r="AF1356" s="43"/>
      <c r="AG1356" s="47"/>
      <c r="AH1356" s="30"/>
      <c r="AI1356" s="30"/>
      <c r="AJ1356" s="30"/>
      <c r="AK1356" s="30"/>
      <c r="AL1356" s="13"/>
      <c r="AM1356" s="13"/>
      <c r="AN1356" s="13"/>
      <c r="AO1356" s="13"/>
      <c r="AP1356" s="13"/>
      <c r="AQ1356" s="14"/>
      <c r="AR1356" s="15"/>
    </row>
    <row r="1357" spans="1:44" s="17" customFormat="1" ht="30.95" hidden="1" customHeight="1" x14ac:dyDescent="0.2">
      <c r="A1357" s="343" t="s">
        <v>976</v>
      </c>
      <c r="B1357" s="344" t="s">
        <v>443</v>
      </c>
      <c r="C1357" s="345"/>
      <c r="D1357" s="398" t="s">
        <v>1276</v>
      </c>
      <c r="E1357" s="414" t="s">
        <v>1277</v>
      </c>
      <c r="F1357" s="268" t="s">
        <v>1884</v>
      </c>
      <c r="G1357" s="269" t="s">
        <v>269</v>
      </c>
      <c r="H1357" s="269" t="s">
        <v>1079</v>
      </c>
      <c r="I1357" s="270" t="s">
        <v>1885</v>
      </c>
      <c r="J1357" s="32" t="s">
        <v>447</v>
      </c>
      <c r="K1357" s="270">
        <v>25</v>
      </c>
      <c r="L1357" s="270" t="s">
        <v>1886</v>
      </c>
      <c r="M1357" s="39">
        <v>1110</v>
      </c>
      <c r="N1357" s="39">
        <v>12300</v>
      </c>
      <c r="O1357" s="47">
        <v>1</v>
      </c>
      <c r="P1357" s="57"/>
      <c r="Q1357" s="276">
        <v>1050</v>
      </c>
      <c r="R1357" s="277">
        <v>1050</v>
      </c>
      <c r="S1357" s="277">
        <v>6000</v>
      </c>
      <c r="T1357" s="40">
        <v>2</v>
      </c>
      <c r="U1357" s="278">
        <v>2</v>
      </c>
      <c r="V1357" s="269" t="s">
        <v>272</v>
      </c>
      <c r="W1357" s="269">
        <v>1250</v>
      </c>
      <c r="X1357" s="275">
        <v>1</v>
      </c>
      <c r="Y1357" s="269" t="s">
        <v>1365</v>
      </c>
      <c r="Z1357" s="357" t="s">
        <v>1016</v>
      </c>
      <c r="AA1357" s="207" t="s">
        <v>1470</v>
      </c>
      <c r="AB1357" s="369"/>
      <c r="AC1357" s="370"/>
      <c r="AD1357" s="332"/>
      <c r="AE1357" s="216">
        <v>13431</v>
      </c>
      <c r="AF1357" s="43"/>
      <c r="AG1357" s="47"/>
      <c r="AH1357" s="30"/>
      <c r="AI1357" s="30"/>
      <c r="AJ1357" s="30"/>
      <c r="AK1357" s="30"/>
      <c r="AL1357" s="13"/>
      <c r="AM1357" s="13"/>
      <c r="AN1357" s="13"/>
      <c r="AO1357" s="13"/>
      <c r="AP1357" s="13"/>
      <c r="AQ1357" s="14"/>
      <c r="AR1357" s="15"/>
    </row>
    <row r="1358" spans="1:44" s="17" customFormat="1" ht="30.95" hidden="1" customHeight="1" x14ac:dyDescent="0.2">
      <c r="A1358" s="343"/>
      <c r="B1358" s="344"/>
      <c r="C1358" s="345"/>
      <c r="D1358" s="398"/>
      <c r="E1358" s="31"/>
      <c r="F1358" s="268"/>
      <c r="G1358" s="269"/>
      <c r="H1358" s="269"/>
      <c r="I1358" s="270"/>
      <c r="J1358" s="32"/>
      <c r="K1358" s="270"/>
      <c r="L1358" s="270"/>
      <c r="M1358" s="39"/>
      <c r="N1358" s="39"/>
      <c r="O1358" s="47"/>
      <c r="P1358" s="57"/>
      <c r="Q1358" s="276"/>
      <c r="R1358" s="277"/>
      <c r="S1358" s="277"/>
      <c r="T1358" s="40"/>
      <c r="U1358" s="278"/>
      <c r="V1358" s="269"/>
      <c r="W1358" s="269"/>
      <c r="X1358" s="275"/>
      <c r="Y1358" s="269"/>
      <c r="Z1358" s="357"/>
      <c r="AA1358" s="207"/>
      <c r="AB1358" s="369"/>
      <c r="AC1358" s="370"/>
      <c r="AD1358" s="332"/>
      <c r="AE1358" s="216"/>
      <c r="AF1358" s="43"/>
      <c r="AG1358" s="47"/>
      <c r="AH1358" s="30"/>
      <c r="AI1358" s="30"/>
      <c r="AJ1358" s="30"/>
      <c r="AK1358" s="30"/>
      <c r="AL1358" s="13"/>
      <c r="AM1358" s="13"/>
      <c r="AN1358" s="13"/>
      <c r="AO1358" s="13"/>
      <c r="AP1358" s="13"/>
      <c r="AQ1358" s="14"/>
      <c r="AR1358" s="15"/>
    </row>
    <row r="1359" spans="1:44" s="17" customFormat="1" ht="30.95" hidden="1" customHeight="1" x14ac:dyDescent="0.2">
      <c r="A1359" s="343"/>
      <c r="B1359" s="344"/>
      <c r="C1359" s="345"/>
      <c r="D1359" s="398"/>
      <c r="E1359" s="31"/>
      <c r="F1359" s="268"/>
      <c r="G1359" s="269"/>
      <c r="H1359" s="269"/>
      <c r="I1359" s="270" t="s">
        <v>2320</v>
      </c>
      <c r="J1359" s="32"/>
      <c r="K1359" s="270"/>
      <c r="L1359" s="270"/>
      <c r="M1359" s="39"/>
      <c r="N1359" s="39"/>
      <c r="O1359" s="47"/>
      <c r="P1359" s="57"/>
      <c r="Q1359" s="276"/>
      <c r="R1359" s="277"/>
      <c r="S1359" s="277"/>
      <c r="T1359" s="40"/>
      <c r="U1359" s="278"/>
      <c r="V1359" s="269"/>
      <c r="W1359" s="269"/>
      <c r="X1359" s="275"/>
      <c r="Y1359" s="269"/>
      <c r="Z1359" s="357"/>
      <c r="AA1359" s="207"/>
      <c r="AB1359" s="369"/>
      <c r="AC1359" s="370"/>
      <c r="AD1359" s="332"/>
      <c r="AE1359" s="216"/>
      <c r="AF1359" s="43"/>
      <c r="AG1359" s="47"/>
      <c r="AH1359" s="30"/>
      <c r="AI1359" s="30"/>
      <c r="AJ1359" s="30"/>
      <c r="AK1359" s="30"/>
      <c r="AL1359" s="13"/>
      <c r="AM1359" s="13"/>
      <c r="AN1359" s="13"/>
      <c r="AO1359" s="13"/>
      <c r="AP1359" s="13"/>
      <c r="AQ1359" s="14"/>
      <c r="AR1359" s="15"/>
    </row>
    <row r="1360" spans="1:44" s="17" customFormat="1" ht="30.95" hidden="1" customHeight="1" x14ac:dyDescent="0.2">
      <c r="A1360" s="343"/>
      <c r="B1360" s="344"/>
      <c r="C1360" s="345"/>
      <c r="D1360" s="398"/>
      <c r="E1360" s="31"/>
      <c r="F1360" s="268"/>
      <c r="G1360" s="269"/>
      <c r="H1360" s="269"/>
      <c r="I1360" s="270"/>
      <c r="J1360" s="32"/>
      <c r="K1360" s="270"/>
      <c r="L1360" s="270"/>
      <c r="M1360" s="39"/>
      <c r="N1360" s="39"/>
      <c r="O1360" s="47"/>
      <c r="P1360" s="57"/>
      <c r="Q1360" s="276"/>
      <c r="R1360" s="277"/>
      <c r="S1360" s="277"/>
      <c r="T1360" s="40"/>
      <c r="U1360" s="278"/>
      <c r="V1360" s="269"/>
      <c r="W1360" s="269"/>
      <c r="X1360" s="275"/>
      <c r="Y1360" s="269"/>
      <c r="Z1360" s="357"/>
      <c r="AA1360" s="207"/>
      <c r="AB1360" s="369"/>
      <c r="AC1360" s="370"/>
      <c r="AD1360" s="332"/>
      <c r="AE1360" s="216"/>
      <c r="AF1360" s="43"/>
      <c r="AG1360" s="47"/>
      <c r="AH1360" s="30"/>
      <c r="AI1360" s="30"/>
      <c r="AJ1360" s="30"/>
      <c r="AK1360" s="30"/>
      <c r="AL1360" s="13"/>
      <c r="AM1360" s="13"/>
      <c r="AN1360" s="13"/>
      <c r="AO1360" s="13"/>
      <c r="AP1360" s="13"/>
      <c r="AQ1360" s="14"/>
      <c r="AR1360" s="15"/>
    </row>
    <row r="1361" spans="1:44" s="17" customFormat="1" ht="30.95" hidden="1" customHeight="1" x14ac:dyDescent="0.2">
      <c r="A1361" s="343" t="s">
        <v>2324</v>
      </c>
      <c r="B1361" s="344" t="s">
        <v>2325</v>
      </c>
      <c r="C1361" s="345"/>
      <c r="D1361" s="398"/>
      <c r="E1361" s="31"/>
      <c r="F1361" s="268"/>
      <c r="G1361" s="269"/>
      <c r="H1361" s="269"/>
      <c r="I1361" s="270"/>
      <c r="J1361" s="32" t="s">
        <v>2328</v>
      </c>
      <c r="K1361" s="270"/>
      <c r="L1361" s="270"/>
      <c r="M1361" s="39"/>
      <c r="N1361" s="39"/>
      <c r="O1361" s="47"/>
      <c r="P1361" s="57"/>
      <c r="Q1361" s="276"/>
      <c r="R1361" s="277"/>
      <c r="S1361" s="277"/>
      <c r="T1361" s="40"/>
      <c r="U1361" s="278"/>
      <c r="V1361" s="269"/>
      <c r="W1361" s="269"/>
      <c r="X1361" s="275"/>
      <c r="Y1361" s="269"/>
      <c r="Z1361" s="357"/>
      <c r="AA1361" s="207"/>
      <c r="AB1361" s="369"/>
      <c r="AC1361" s="370"/>
      <c r="AD1361" s="332"/>
      <c r="AE1361" s="216"/>
      <c r="AF1361" s="43"/>
      <c r="AG1361" s="47"/>
      <c r="AH1361" s="30"/>
      <c r="AI1361" s="30"/>
      <c r="AJ1361" s="30"/>
      <c r="AK1361" s="30"/>
      <c r="AL1361" s="13"/>
      <c r="AM1361" s="13"/>
      <c r="AN1361" s="13"/>
      <c r="AO1361" s="13"/>
      <c r="AP1361" s="13"/>
      <c r="AQ1361" s="14"/>
      <c r="AR1361" s="15"/>
    </row>
    <row r="1362" spans="1:44" s="17" customFormat="1" ht="30.95" hidden="1" customHeight="1" x14ac:dyDescent="0.2">
      <c r="A1362" s="343"/>
      <c r="B1362" s="344"/>
      <c r="C1362" s="345"/>
      <c r="D1362" s="398"/>
      <c r="E1362" s="31"/>
      <c r="F1362" s="268"/>
      <c r="G1362" s="269"/>
      <c r="H1362" s="269"/>
      <c r="I1362" s="270"/>
      <c r="J1362" s="32"/>
      <c r="K1362" s="270"/>
      <c r="L1362" s="270"/>
      <c r="M1362" s="39"/>
      <c r="N1362" s="39"/>
      <c r="O1362" s="47"/>
      <c r="P1362" s="57"/>
      <c r="Q1362" s="276"/>
      <c r="R1362" s="277"/>
      <c r="S1362" s="277"/>
      <c r="T1362" s="40"/>
      <c r="U1362" s="278"/>
      <c r="V1362" s="269"/>
      <c r="W1362" s="269"/>
      <c r="X1362" s="275"/>
      <c r="Y1362" s="269"/>
      <c r="Z1362" s="357"/>
      <c r="AA1362" s="207"/>
      <c r="AB1362" s="369"/>
      <c r="AC1362" s="370"/>
      <c r="AD1362" s="332"/>
      <c r="AE1362" s="216"/>
      <c r="AF1362" s="43"/>
      <c r="AG1362" s="47"/>
      <c r="AH1362" s="30"/>
      <c r="AI1362" s="30"/>
      <c r="AJ1362" s="30"/>
      <c r="AK1362" s="30"/>
      <c r="AL1362" s="13"/>
      <c r="AM1362" s="13"/>
      <c r="AN1362" s="13"/>
      <c r="AO1362" s="13"/>
      <c r="AP1362" s="13"/>
      <c r="AQ1362" s="14"/>
      <c r="AR1362" s="15"/>
    </row>
    <row r="1363" spans="1:44" s="17" customFormat="1" ht="30.95" hidden="1" customHeight="1" x14ac:dyDescent="0.2">
      <c r="A1363" s="343" t="s">
        <v>2296</v>
      </c>
      <c r="B1363" s="344" t="s">
        <v>2294</v>
      </c>
      <c r="C1363" s="345"/>
      <c r="D1363" s="31"/>
      <c r="E1363" s="31"/>
      <c r="F1363" s="268"/>
      <c r="G1363" s="269"/>
      <c r="H1363" s="269"/>
      <c r="I1363" s="270"/>
      <c r="J1363" s="32" t="s">
        <v>2299</v>
      </c>
      <c r="K1363" s="270"/>
      <c r="L1363" s="270"/>
      <c r="M1363" s="39"/>
      <c r="N1363" s="39"/>
      <c r="O1363" s="47"/>
      <c r="P1363" s="57"/>
      <c r="Q1363" s="276"/>
      <c r="R1363" s="277"/>
      <c r="S1363" s="277"/>
      <c r="T1363" s="40"/>
      <c r="U1363" s="278"/>
      <c r="V1363" s="269"/>
      <c r="W1363" s="269"/>
      <c r="X1363" s="275"/>
      <c r="Y1363" s="269"/>
      <c r="Z1363" s="357"/>
      <c r="AA1363" s="207"/>
      <c r="AB1363" s="369"/>
      <c r="AC1363" s="370"/>
      <c r="AD1363" s="332"/>
      <c r="AE1363" s="216"/>
      <c r="AF1363" s="43"/>
      <c r="AG1363" s="47"/>
      <c r="AH1363" s="30"/>
      <c r="AI1363" s="30"/>
      <c r="AJ1363" s="30"/>
      <c r="AK1363" s="30"/>
      <c r="AL1363" s="13"/>
      <c r="AM1363" s="13"/>
      <c r="AN1363" s="13"/>
      <c r="AO1363" s="13"/>
      <c r="AP1363" s="13"/>
      <c r="AQ1363" s="14"/>
      <c r="AR1363" s="15"/>
    </row>
    <row r="1364" spans="1:44" s="17" customFormat="1" ht="30.95" hidden="1" customHeight="1" x14ac:dyDescent="0.2">
      <c r="A1364" s="343"/>
      <c r="B1364" s="344"/>
      <c r="C1364" s="345"/>
      <c r="D1364" s="31"/>
      <c r="E1364" s="31"/>
      <c r="F1364" s="268"/>
      <c r="G1364" s="269"/>
      <c r="H1364" s="269"/>
      <c r="I1364" s="270"/>
      <c r="J1364" s="32"/>
      <c r="K1364" s="270"/>
      <c r="L1364" s="270"/>
      <c r="M1364" s="39"/>
      <c r="N1364" s="39"/>
      <c r="O1364" s="47"/>
      <c r="P1364" s="57"/>
      <c r="Q1364" s="276"/>
      <c r="R1364" s="277"/>
      <c r="S1364" s="277"/>
      <c r="T1364" s="40"/>
      <c r="U1364" s="278"/>
      <c r="V1364" s="269"/>
      <c r="W1364" s="269"/>
      <c r="X1364" s="275"/>
      <c r="Y1364" s="269"/>
      <c r="Z1364" s="357"/>
      <c r="AA1364" s="207"/>
      <c r="AB1364" s="369"/>
      <c r="AC1364" s="370"/>
      <c r="AD1364" s="332"/>
      <c r="AE1364" s="216"/>
      <c r="AF1364" s="43"/>
      <c r="AG1364" s="47"/>
      <c r="AH1364" s="30"/>
      <c r="AI1364" s="30"/>
      <c r="AJ1364" s="30"/>
      <c r="AK1364" s="30"/>
      <c r="AL1364" s="13"/>
      <c r="AM1364" s="13"/>
      <c r="AN1364" s="13"/>
      <c r="AO1364" s="13"/>
      <c r="AP1364" s="13"/>
      <c r="AQ1364" s="14"/>
      <c r="AR1364" s="15"/>
    </row>
    <row r="1365" spans="1:44" s="17" customFormat="1" ht="30.95" hidden="1" customHeight="1" x14ac:dyDescent="0.2">
      <c r="A1365" s="343" t="s">
        <v>2297</v>
      </c>
      <c r="B1365" s="344" t="s">
        <v>2298</v>
      </c>
      <c r="C1365" s="345"/>
      <c r="D1365" s="31"/>
      <c r="E1365" s="31"/>
      <c r="F1365" s="268"/>
      <c r="G1365" s="269"/>
      <c r="H1365" s="269"/>
      <c r="I1365" s="270"/>
      <c r="J1365" s="32" t="s">
        <v>2299</v>
      </c>
      <c r="K1365" s="270"/>
      <c r="L1365" s="270"/>
      <c r="M1365" s="39"/>
      <c r="N1365" s="39"/>
      <c r="O1365" s="47"/>
      <c r="P1365" s="57"/>
      <c r="Q1365" s="276"/>
      <c r="R1365" s="277"/>
      <c r="S1365" s="277"/>
      <c r="T1365" s="40"/>
      <c r="U1365" s="278"/>
      <c r="V1365" s="269"/>
      <c r="W1365" s="269"/>
      <c r="X1365" s="275"/>
      <c r="Y1365" s="269"/>
      <c r="Z1365" s="357"/>
      <c r="AA1365" s="207"/>
      <c r="AB1365" s="369"/>
      <c r="AC1365" s="370"/>
      <c r="AD1365" s="332"/>
      <c r="AE1365" s="216"/>
      <c r="AF1365" s="43"/>
      <c r="AG1365" s="47"/>
      <c r="AH1365" s="30"/>
      <c r="AI1365" s="30"/>
      <c r="AJ1365" s="30"/>
      <c r="AK1365" s="30"/>
      <c r="AL1365" s="13"/>
      <c r="AM1365" s="13"/>
      <c r="AN1365" s="13"/>
      <c r="AO1365" s="13"/>
      <c r="AP1365" s="13"/>
      <c r="AQ1365" s="14"/>
      <c r="AR1365" s="15"/>
    </row>
    <row r="1366" spans="1:44" s="17" customFormat="1" ht="30.95" hidden="1" customHeight="1" x14ac:dyDescent="0.2">
      <c r="A1366" s="343"/>
      <c r="B1366" s="344"/>
      <c r="C1366" s="345"/>
      <c r="D1366" s="31"/>
      <c r="E1366" s="31"/>
      <c r="F1366" s="268"/>
      <c r="G1366" s="269"/>
      <c r="H1366" s="269"/>
      <c r="I1366" s="270"/>
      <c r="J1366" s="32"/>
      <c r="K1366" s="270"/>
      <c r="L1366" s="270"/>
      <c r="M1366" s="39"/>
      <c r="N1366" s="39"/>
      <c r="O1366" s="47"/>
      <c r="P1366" s="57"/>
      <c r="Q1366" s="276"/>
      <c r="R1366" s="277"/>
      <c r="S1366" s="277"/>
      <c r="T1366" s="40"/>
      <c r="U1366" s="278"/>
      <c r="V1366" s="269"/>
      <c r="W1366" s="269"/>
      <c r="X1366" s="275"/>
      <c r="Y1366" s="269"/>
      <c r="Z1366" s="357"/>
      <c r="AA1366" s="207"/>
      <c r="AB1366" s="369"/>
      <c r="AC1366" s="370"/>
      <c r="AD1366" s="332"/>
      <c r="AE1366" s="216"/>
      <c r="AF1366" s="43"/>
      <c r="AG1366" s="47"/>
      <c r="AH1366" s="30"/>
      <c r="AI1366" s="30"/>
      <c r="AJ1366" s="30"/>
      <c r="AK1366" s="30"/>
      <c r="AL1366" s="13"/>
      <c r="AM1366" s="13"/>
      <c r="AN1366" s="13"/>
      <c r="AO1366" s="13"/>
      <c r="AP1366" s="13"/>
      <c r="AQ1366" s="14"/>
      <c r="AR1366" s="15"/>
    </row>
    <row r="1367" spans="1:44" s="17" customFormat="1" ht="30.95" hidden="1" customHeight="1" x14ac:dyDescent="0.2">
      <c r="A1367" s="343" t="s">
        <v>2386</v>
      </c>
      <c r="B1367" s="344" t="s">
        <v>1402</v>
      </c>
      <c r="C1367" s="345"/>
      <c r="D1367" s="31">
        <v>3750063</v>
      </c>
      <c r="E1367" s="31">
        <v>4170133</v>
      </c>
      <c r="F1367" s="268" t="str">
        <f>IF(D1367="","",VLOOKUP(D1367,契約台帳!$A$3:$K$4986,6,FALSE)&amp;VLOOKUP(D1367,契約台帳!$A$3:$K$4986,7,FALSE)&amp;VLOOKUP(D1367,契約台帳!$A$3:$K$4986,8,FALSE)&amp;VLOOKUP(D1367,契約台帳!$A$3:$K$4986,9,FALSE)&amp;VLOOKUP(D1367,契約台帳!$A$3:$K$4986,11,FALSE))</f>
        <v>3SNMCLBSCB</v>
      </c>
      <c r="G1367" s="269" t="str">
        <f>IF(D1367="","",VLOOKUP(F1367,製品マスタ!$G$5:$H$5002,2,FALSE))</f>
        <v>S</v>
      </c>
      <c r="H1367" s="269" t="str">
        <f>IF(D1367="","",VLOOKUP(F1367,製品マスタ!$G$5:$K$5002,5,FALSE))</f>
        <v>SCB</v>
      </c>
      <c r="I1367" s="270" t="str">
        <f>IF(D1367="","",VLOOKUP(F1367,製品マスタ!$G$5:$L$5002,6,FALSE))</f>
        <v>メタルミー　シロコート（Ｂ）</v>
      </c>
      <c r="J1367" s="32" t="s">
        <v>464</v>
      </c>
      <c r="K1367" s="270">
        <f>IF(D1367="","",VLOOKUP(D1367,契約台帳!$A$3:$L$4986,12,FALSE))</f>
        <v>25</v>
      </c>
      <c r="L1367" s="270" t="s">
        <v>2387</v>
      </c>
      <c r="M1367" s="39">
        <v>1060</v>
      </c>
      <c r="N1367" s="39">
        <v>12100</v>
      </c>
      <c r="O1367" s="47">
        <v>1</v>
      </c>
      <c r="P1367" s="356">
        <v>45379</v>
      </c>
      <c r="Q1367" s="276">
        <f>IF(D1367="","",IF(J1367="リード付け",M1367,VLOOKUP(D1367,契約台帳!$A$3:$N$4986,14,FALSE)))</f>
        <v>1060</v>
      </c>
      <c r="R1367" s="277">
        <f>IF(D1367="","",IF(J1367="リード付け",M1367,VLOOKUP(D1367,契約台帳!$A$3:$O$4986,15,FALSE)))</f>
        <v>1060</v>
      </c>
      <c r="S1367" s="277">
        <f>IF(D1367="","",IF(J1367="リード付け",N1367,VLOOKUP(D1367,契約台帳!$A$3:$P$4986,16,FALSE)))</f>
        <v>12100</v>
      </c>
      <c r="T1367" s="40">
        <v>1</v>
      </c>
      <c r="U1367" s="278">
        <f ca="1">IF(D1367="","",IF(OFFSET(D1367,-2,0)=D1367,"",VLOOKUP(D1367,契約台帳!$A$3:$R$4986,18,FALSE)))</f>
        <v>2</v>
      </c>
      <c r="V1367" s="269" t="str">
        <f>IF(J1367="巻返し",VLOOKUP(F1367&amp;K1367&amp;M1367,製品マスタ!$M$5:$AD$5002,18,FALSE),IF(J1367="リード付け","原反コア",IF(J1367="スリット",VLOOKUP(F1367&amp;K1367&amp;Q1367,製品マスタ!$N$5:$AD$5002,17,FALSE),"")))</f>
        <v>原反コア</v>
      </c>
      <c r="W1367" s="269" t="str">
        <f>IF(J1367="巻返し",VLOOKUP(F1367&amp;K1367&amp;M1367,製品マスタ!$M$5:$AE$5002,19,FALSE),IF(J1367="リード付け","-",IF(J1367="スリット",VLOOKUP(F1367&amp;K1367&amp;Q1367,製品マスタ!$N$5:$AE$5002,18,FALSE),"")))</f>
        <v>-</v>
      </c>
      <c r="X1367" s="275">
        <f>IF(D1367="","",VLOOKUP(D1367,契約台帳!$A$3:$Q$4986,17,FALSE))</f>
        <v>2</v>
      </c>
      <c r="Y1367" s="269" t="str">
        <f>IF(D1367="","",VLOOKUP(D1367,契約台帳!$A$3:$E$4986,5,FALSE))</f>
        <v>新タック化成㈱</v>
      </c>
      <c r="Z1367" s="350"/>
      <c r="AA1367" s="207"/>
      <c r="AB1367" s="352"/>
      <c r="AC1367" s="353"/>
      <c r="AD1367" s="54"/>
      <c r="AE1367" s="354"/>
      <c r="AF1367" s="355"/>
      <c r="AG1367" s="349"/>
      <c r="AH1367" s="30"/>
      <c r="AI1367" s="30"/>
      <c r="AJ1367" s="30"/>
      <c r="AK1367" s="30"/>
      <c r="AL1367" s="13"/>
      <c r="AM1367" s="13"/>
      <c r="AN1367" s="13"/>
      <c r="AO1367" s="13"/>
      <c r="AP1367" s="13"/>
      <c r="AQ1367" s="14"/>
      <c r="AR1367" s="15"/>
    </row>
    <row r="1368" spans="1:44" s="17" customFormat="1" ht="30.95" hidden="1" customHeight="1" x14ac:dyDescent="0.2">
      <c r="A1368" s="343"/>
      <c r="B1368" s="344"/>
      <c r="C1368" s="345"/>
      <c r="D1368" s="31"/>
      <c r="E1368" s="31"/>
      <c r="F1368" s="268"/>
      <c r="G1368" s="269"/>
      <c r="H1368" s="269"/>
      <c r="I1368" s="270"/>
      <c r="J1368" s="32"/>
      <c r="K1368" s="270"/>
      <c r="L1368" s="270"/>
      <c r="M1368" s="39"/>
      <c r="N1368" s="39"/>
      <c r="O1368" s="47"/>
      <c r="P1368" s="57"/>
      <c r="Q1368" s="276"/>
      <c r="R1368" s="277"/>
      <c r="S1368" s="277"/>
      <c r="T1368" s="40"/>
      <c r="U1368" s="278"/>
      <c r="V1368" s="269"/>
      <c r="W1368" s="269"/>
      <c r="X1368" s="275"/>
      <c r="Y1368" s="269"/>
      <c r="Z1368" s="357"/>
      <c r="AA1368" s="207"/>
      <c r="AB1368" s="369"/>
      <c r="AC1368" s="370"/>
      <c r="AD1368" s="332"/>
      <c r="AE1368" s="216"/>
      <c r="AF1368" s="43"/>
      <c r="AG1368" s="47"/>
      <c r="AH1368" s="30"/>
      <c r="AI1368" s="30"/>
      <c r="AJ1368" s="30"/>
      <c r="AK1368" s="30"/>
      <c r="AL1368" s="13"/>
      <c r="AM1368" s="13"/>
      <c r="AN1368" s="13"/>
      <c r="AO1368" s="13"/>
      <c r="AP1368" s="13"/>
      <c r="AQ1368" s="14"/>
      <c r="AR1368" s="15"/>
    </row>
    <row r="1369" spans="1:44" s="17" customFormat="1" ht="30.95" hidden="1" customHeight="1" x14ac:dyDescent="0.2">
      <c r="A1369" s="343"/>
      <c r="B1369" s="344"/>
      <c r="C1369" s="345"/>
      <c r="D1369" s="31">
        <v>3750056</v>
      </c>
      <c r="E1369" s="31">
        <v>4170134</v>
      </c>
      <c r="F1369" s="268" t="str">
        <f>IF(D1369="","",VLOOKUP(D1369,契約台帳!$A$3:$K$4986,6,FALSE)&amp;VLOOKUP(D1369,契約台帳!$A$3:$K$4986,7,FALSE)&amp;VLOOKUP(D1369,契約台帳!$A$3:$K$4986,8,FALSE)&amp;VLOOKUP(D1369,契約台帳!$A$3:$K$4986,9,FALSE)&amp;VLOOKUP(D1369,契約台帳!$A$3:$K$4986,11,FALSE))</f>
        <v>3SNMLBMSF</v>
      </c>
      <c r="G1369" s="269" t="str">
        <f>IF(D1369="","",VLOOKUP(F1369,製品マスタ!$G$5:$H$5002,2,FALSE))</f>
        <v>S</v>
      </c>
      <c r="H1369" s="269" t="str">
        <f>IF(D1369="","",VLOOKUP(F1369,製品マスタ!$G$5:$K$5002,5,FALSE))</f>
        <v>MSF</v>
      </c>
      <c r="I1369" s="270" t="str">
        <f>IF(D1369="","",VLOOKUP(F1369,製品マスタ!$G$5:$L$5002,6,FALSE))</f>
        <v>メタルミー　Ｓ</v>
      </c>
      <c r="J1369" s="32" t="s">
        <v>464</v>
      </c>
      <c r="K1369" s="270">
        <f>IF(D1369="","",VLOOKUP(D1369,契約台帳!$A$3:$L$4986,12,FALSE))</f>
        <v>25</v>
      </c>
      <c r="L1369" s="270" t="str">
        <f>IF(D1369="","",INDEX(製品マスタ!$Q$5:$Q$5002,MATCH(F1369&amp;K1369,製品マスタ!$AO$5:$AO$5002,0)))</f>
        <v>T62M</v>
      </c>
      <c r="M1369" s="39">
        <v>1020</v>
      </c>
      <c r="N1369" s="39">
        <v>12100</v>
      </c>
      <c r="O1369" s="47">
        <v>1</v>
      </c>
      <c r="P1369" s="356">
        <v>45379</v>
      </c>
      <c r="Q1369" s="276">
        <f>IF(D1369="","",IF(J1369="リード付け",M1369,VLOOKUP(D1369,契約台帳!$A$3:$N$4986,14,FALSE)))</f>
        <v>1020</v>
      </c>
      <c r="R1369" s="277">
        <f>IF(D1369="","",IF(J1369="リード付け",M1369,VLOOKUP(D1369,契約台帳!$A$3:$O$4986,15,FALSE)))</f>
        <v>1020</v>
      </c>
      <c r="S1369" s="277">
        <f>IF(D1369="","",IF(J1369="リード付け",N1369,VLOOKUP(D1369,契約台帳!$A$3:$P$4986,16,FALSE)))</f>
        <v>12100</v>
      </c>
      <c r="T1369" s="40">
        <v>1</v>
      </c>
      <c r="U1369" s="278">
        <f ca="1">IF(D1369="","",IF(OFFSET(D1369,-2,0)=D1369,"",VLOOKUP(D1369,契約台帳!$A$3:$R$4986,18,FALSE)))</f>
        <v>6</v>
      </c>
      <c r="V1369" s="269" t="str">
        <f>IF(J1369="巻返し",VLOOKUP(F1369&amp;K1369&amp;M1369,製品マスタ!$M$5:$AD$5002,18,FALSE),IF(J1369="リード付け","原反コア",IF(J1369="スリット",VLOOKUP(F1369&amp;K1369&amp;Q1369,製品マスタ!$N$5:$AD$5002,17,FALSE),"")))</f>
        <v>原反コア</v>
      </c>
      <c r="W1369" s="269" t="str">
        <f>IF(J1369="巻返し",VLOOKUP(F1369&amp;K1369&amp;M1369,製品マスタ!$M$5:$AE$5002,19,FALSE),IF(J1369="リード付け","-",IF(J1369="スリット",VLOOKUP(F1369&amp;K1369&amp;Q1369,製品マスタ!$N$5:$AE$5002,18,FALSE),"")))</f>
        <v>-</v>
      </c>
      <c r="X1369" s="275">
        <f>IF(D1369="","",VLOOKUP(D1369,契約台帳!$A$3:$Q$4986,17,FALSE))</f>
        <v>2</v>
      </c>
      <c r="Y1369" s="269" t="str">
        <f>IF(D1369="","",VLOOKUP(D1369,契約台帳!$A$3:$E$4986,5,FALSE))</f>
        <v>パナック㈱亀山工場</v>
      </c>
      <c r="Z1369" s="350"/>
      <c r="AA1369" s="207"/>
      <c r="AB1369" s="352"/>
      <c r="AC1369" s="353"/>
      <c r="AD1369" s="54"/>
      <c r="AE1369" s="354"/>
      <c r="AF1369" s="355"/>
      <c r="AG1369" s="349"/>
      <c r="AH1369" s="30"/>
      <c r="AI1369" s="30"/>
      <c r="AJ1369" s="30"/>
      <c r="AK1369" s="30"/>
      <c r="AL1369" s="13"/>
      <c r="AM1369" s="13"/>
      <c r="AN1369" s="13"/>
      <c r="AO1369" s="13"/>
      <c r="AP1369" s="13"/>
      <c r="AQ1369" s="14"/>
      <c r="AR1369" s="15"/>
    </row>
    <row r="1370" spans="1:44" s="17" customFormat="1" ht="30.95" hidden="1" customHeight="1" x14ac:dyDescent="0.2">
      <c r="A1370" s="343"/>
      <c r="B1370" s="344"/>
      <c r="C1370" s="345"/>
      <c r="D1370" s="31"/>
      <c r="E1370" s="31"/>
      <c r="F1370" s="268"/>
      <c r="G1370" s="269"/>
      <c r="H1370" s="269"/>
      <c r="I1370" s="270"/>
      <c r="J1370" s="32"/>
      <c r="K1370" s="270"/>
      <c r="L1370" s="270"/>
      <c r="M1370" s="39"/>
      <c r="N1370" s="39"/>
      <c r="O1370" s="47"/>
      <c r="P1370" s="57"/>
      <c r="Q1370" s="276"/>
      <c r="R1370" s="277"/>
      <c r="S1370" s="277"/>
      <c r="T1370" s="40"/>
      <c r="U1370" s="278"/>
      <c r="V1370" s="269"/>
      <c r="W1370" s="269"/>
      <c r="X1370" s="275"/>
      <c r="Y1370" s="269"/>
      <c r="Z1370" s="357"/>
      <c r="AA1370" s="207"/>
      <c r="AB1370" s="369"/>
      <c r="AC1370" s="370"/>
      <c r="AD1370" s="332"/>
      <c r="AE1370" s="216"/>
      <c r="AF1370" s="43"/>
      <c r="AG1370" s="47"/>
      <c r="AH1370" s="30"/>
      <c r="AI1370" s="30"/>
      <c r="AJ1370" s="30"/>
      <c r="AK1370" s="30"/>
      <c r="AL1370" s="13"/>
      <c r="AM1370" s="13"/>
      <c r="AN1370" s="13"/>
      <c r="AO1370" s="13"/>
      <c r="AP1370" s="13"/>
      <c r="AQ1370" s="14"/>
      <c r="AR1370" s="15"/>
    </row>
    <row r="1371" spans="1:44" s="17" customFormat="1" ht="30.95" hidden="1" customHeight="1" x14ac:dyDescent="0.2">
      <c r="A1371" s="343"/>
      <c r="B1371" s="344"/>
      <c r="C1371" s="345"/>
      <c r="D1371" s="31">
        <v>3750070</v>
      </c>
      <c r="E1371" s="31">
        <v>4170135</v>
      </c>
      <c r="F1371" s="268" t="str">
        <f>IF(D1371="","",VLOOKUP(D1371,契約台帳!$A$3:$K$4986,6,FALSE)&amp;VLOOKUP(D1371,契約台帳!$A$3:$K$4986,7,FALSE)&amp;VLOOKUP(D1371,契約台帳!$A$3:$K$4986,8,FALSE)&amp;VLOOKUP(D1371,契約台帳!$A$3:$K$4986,9,FALSE)&amp;VLOOKUP(D1371,契約台帳!$A$3:$K$4986,11,FALSE))</f>
        <v>3SNMLBMNGTBF</v>
      </c>
      <c r="G1371" s="269" t="str">
        <f>IF(D1371="","",VLOOKUP(F1371,製品マスタ!$G$5:$H$5002,2,FALSE))</f>
        <v>S</v>
      </c>
      <c r="H1371" s="269" t="str">
        <f>IF(D1371="","",VLOOKUP(F1371,製品マスタ!$G$5:$K$5002,5,FALSE))</f>
        <v>MNGTBF</v>
      </c>
      <c r="I1371" s="270" t="str">
        <f>IF(D1371="","",VLOOKUP(F1371,製品マスタ!$G$5:$L$5002,6,FALSE))</f>
        <v>メタルミー　ネーマー　銀艶　Ｂ</v>
      </c>
      <c r="J1371" s="32" t="s">
        <v>464</v>
      </c>
      <c r="K1371" s="270">
        <f>IF(D1371="","",VLOOKUP(D1371,契約台帳!$A$3:$L$4986,12,FALSE))</f>
        <v>25</v>
      </c>
      <c r="L1371" s="270" t="str">
        <f>IF(D1371="","",INDEX(製品マスタ!$Q$5:$Q$5002,MATCH(F1371&amp;K1371,製品マスタ!$AO$5:$AO$5002,0)))</f>
        <v>T62M</v>
      </c>
      <c r="M1371" s="39">
        <v>1005</v>
      </c>
      <c r="N1371" s="39">
        <v>12100</v>
      </c>
      <c r="O1371" s="47">
        <v>2</v>
      </c>
      <c r="P1371" s="356">
        <v>45379</v>
      </c>
      <c r="Q1371" s="276">
        <f>IF(D1371="","",IF(J1371="リード付け",M1371,VLOOKUP(D1371,契約台帳!$A$3:$N$4986,14,FALSE)))</f>
        <v>1005</v>
      </c>
      <c r="R1371" s="277">
        <f>IF(D1371="","",IF(J1371="リード付け",M1371,VLOOKUP(D1371,契約台帳!$A$3:$O$4986,15,FALSE)))</f>
        <v>1005</v>
      </c>
      <c r="S1371" s="277">
        <f>IF(D1371="","",IF(J1371="リード付け",N1371,VLOOKUP(D1371,契約台帳!$A$3:$P$4986,16,FALSE)))</f>
        <v>12100</v>
      </c>
      <c r="T1371" s="40">
        <v>2</v>
      </c>
      <c r="U1371" s="278">
        <f ca="1">IF(D1371="","",IF(OFFSET(D1371,-2,0)=D1371,"",VLOOKUP(D1371,契約台帳!$A$3:$R$4986,18,FALSE)))</f>
        <v>6</v>
      </c>
      <c r="V1371" s="269" t="str">
        <f>IF(J1371="巻返し",VLOOKUP(F1371&amp;K1371&amp;M1371,製品マスタ!$M$5:$AD$5002,18,FALSE),IF(J1371="リード付け","原反コア",IF(J1371="スリット",VLOOKUP(F1371&amp;K1371&amp;Q1371,製品マスタ!$N$5:$AD$5002,17,FALSE),"")))</f>
        <v>原反コア</v>
      </c>
      <c r="W1371" s="269" t="str">
        <f>IF(J1371="巻返し",VLOOKUP(F1371&amp;K1371&amp;M1371,製品マスタ!$M$5:$AE$5002,19,FALSE),IF(J1371="リード付け","-",IF(J1371="スリット",VLOOKUP(F1371&amp;K1371&amp;Q1371,製品マスタ!$N$5:$AE$5002,18,FALSE),"")))</f>
        <v>-</v>
      </c>
      <c r="X1371" s="275">
        <f>IF(D1371="","",VLOOKUP(D1371,契約台帳!$A$3:$Q$4986,17,FALSE))</f>
        <v>2</v>
      </c>
      <c r="Y1371" s="269" t="str">
        <f>IF(D1371="","",VLOOKUP(D1371,契約台帳!$A$3:$E$4986,5,FALSE))</f>
        <v>リンテック㈱</v>
      </c>
      <c r="Z1371" s="350"/>
      <c r="AA1371" s="424" t="s">
        <v>2243</v>
      </c>
      <c r="AB1371" s="352"/>
      <c r="AC1371" s="353"/>
      <c r="AD1371" s="54"/>
      <c r="AE1371" s="354"/>
      <c r="AF1371" s="355"/>
      <c r="AG1371" s="349"/>
      <c r="AH1371" s="30"/>
      <c r="AI1371" s="30"/>
      <c r="AJ1371" s="30"/>
      <c r="AK1371" s="30"/>
      <c r="AL1371" s="13"/>
      <c r="AM1371" s="13"/>
      <c r="AN1371" s="13"/>
      <c r="AO1371" s="13"/>
      <c r="AP1371" s="13"/>
      <c r="AQ1371" s="14"/>
      <c r="AR1371" s="15"/>
    </row>
    <row r="1372" spans="1:44" s="17" customFormat="1" ht="30.95" hidden="1" customHeight="1" x14ac:dyDescent="0.2">
      <c r="A1372" s="343"/>
      <c r="B1372" s="344"/>
      <c r="C1372" s="345"/>
      <c r="D1372" s="31"/>
      <c r="E1372" s="31"/>
      <c r="F1372" s="268"/>
      <c r="G1372" s="269"/>
      <c r="H1372" s="269"/>
      <c r="I1372" s="270"/>
      <c r="J1372" s="32"/>
      <c r="K1372" s="270"/>
      <c r="L1372" s="270"/>
      <c r="M1372" s="39"/>
      <c r="N1372" s="39"/>
      <c r="O1372" s="47"/>
      <c r="P1372" s="57"/>
      <c r="Q1372" s="276"/>
      <c r="R1372" s="277"/>
      <c r="S1372" s="277"/>
      <c r="T1372" s="40"/>
      <c r="U1372" s="278"/>
      <c r="V1372" s="269"/>
      <c r="W1372" s="269"/>
      <c r="X1372" s="275"/>
      <c r="Y1372" s="269"/>
      <c r="Z1372" s="357"/>
      <c r="AA1372" s="207"/>
      <c r="AB1372" s="369"/>
      <c r="AC1372" s="370"/>
      <c r="AD1372" s="332"/>
      <c r="AE1372" s="216"/>
      <c r="AF1372" s="43"/>
      <c r="AG1372" s="47"/>
      <c r="AH1372" s="30"/>
      <c r="AI1372" s="30"/>
      <c r="AJ1372" s="30"/>
      <c r="AK1372" s="30"/>
      <c r="AL1372" s="13"/>
      <c r="AM1372" s="13"/>
      <c r="AN1372" s="13"/>
      <c r="AO1372" s="13"/>
      <c r="AP1372" s="13"/>
      <c r="AQ1372" s="14"/>
      <c r="AR1372" s="15"/>
    </row>
    <row r="1373" spans="1:44" s="17" customFormat="1" ht="30.95" hidden="1" customHeight="1" x14ac:dyDescent="0.2">
      <c r="A1373" s="343" t="s">
        <v>2366</v>
      </c>
      <c r="B1373" s="344" t="s">
        <v>2367</v>
      </c>
      <c r="C1373" s="345"/>
      <c r="D1373" s="31"/>
      <c r="E1373" s="31"/>
      <c r="F1373" s="268"/>
      <c r="G1373" s="269"/>
      <c r="H1373" s="269"/>
      <c r="I1373" s="270"/>
      <c r="J1373" s="32"/>
      <c r="K1373" s="270"/>
      <c r="L1373" s="270"/>
      <c r="M1373" s="39"/>
      <c r="N1373" s="39"/>
      <c r="O1373" s="47"/>
      <c r="P1373" s="57"/>
      <c r="Q1373" s="276"/>
      <c r="R1373" s="277"/>
      <c r="S1373" s="277"/>
      <c r="T1373" s="40"/>
      <c r="U1373" s="278"/>
      <c r="V1373" s="269"/>
      <c r="W1373" s="269"/>
      <c r="X1373" s="275"/>
      <c r="Y1373" s="269"/>
      <c r="Z1373" s="357"/>
      <c r="AA1373" s="207"/>
      <c r="AB1373" s="369"/>
      <c r="AC1373" s="370"/>
      <c r="AD1373" s="332"/>
      <c r="AE1373" s="216"/>
      <c r="AF1373" s="43"/>
      <c r="AG1373" s="47"/>
      <c r="AH1373" s="30"/>
      <c r="AI1373" s="30"/>
      <c r="AJ1373" s="30"/>
      <c r="AK1373" s="30"/>
      <c r="AL1373" s="13"/>
      <c r="AM1373" s="13"/>
      <c r="AN1373" s="13"/>
      <c r="AO1373" s="13"/>
      <c r="AP1373" s="13"/>
      <c r="AQ1373" s="14"/>
      <c r="AR1373" s="15"/>
    </row>
    <row r="1374" spans="1:44" s="17" customFormat="1" ht="30.95" hidden="1" customHeight="1" x14ac:dyDescent="0.2">
      <c r="A1374" s="343"/>
      <c r="B1374" s="344"/>
      <c r="C1374" s="345"/>
      <c r="D1374" s="31"/>
      <c r="E1374" s="31"/>
      <c r="F1374" s="268"/>
      <c r="G1374" s="269"/>
      <c r="H1374" s="269"/>
      <c r="I1374" s="270"/>
      <c r="J1374" s="32"/>
      <c r="K1374" s="270"/>
      <c r="L1374" s="270"/>
      <c r="M1374" s="39"/>
      <c r="N1374" s="39"/>
      <c r="O1374" s="47"/>
      <c r="P1374" s="57"/>
      <c r="Q1374" s="276"/>
      <c r="R1374" s="277"/>
      <c r="S1374" s="277"/>
      <c r="T1374" s="40"/>
      <c r="U1374" s="278"/>
      <c r="V1374" s="269"/>
      <c r="W1374" s="269"/>
      <c r="X1374" s="275"/>
      <c r="Y1374" s="269"/>
      <c r="Z1374" s="357"/>
      <c r="AA1374" s="207"/>
      <c r="AB1374" s="369"/>
      <c r="AC1374" s="370"/>
      <c r="AD1374" s="332"/>
      <c r="AE1374" s="216"/>
      <c r="AF1374" s="43"/>
      <c r="AG1374" s="47"/>
      <c r="AH1374" s="30"/>
      <c r="AI1374" s="30"/>
      <c r="AJ1374" s="30"/>
      <c r="AK1374" s="30"/>
      <c r="AL1374" s="13"/>
      <c r="AM1374" s="13"/>
      <c r="AN1374" s="13"/>
      <c r="AO1374" s="13"/>
      <c r="AP1374" s="13"/>
      <c r="AQ1374" s="14"/>
      <c r="AR1374" s="15"/>
    </row>
    <row r="1375" spans="1:44" s="17" customFormat="1" ht="30.95" hidden="1" customHeight="1" x14ac:dyDescent="0.2">
      <c r="A1375" s="343" t="s">
        <v>2368</v>
      </c>
      <c r="B1375" s="344" t="s">
        <v>2369</v>
      </c>
      <c r="C1375" s="345"/>
      <c r="D1375" s="31"/>
      <c r="E1375" s="31"/>
      <c r="F1375" s="268"/>
      <c r="G1375" s="269"/>
      <c r="H1375" s="269"/>
      <c r="I1375" s="270"/>
      <c r="J1375" s="32"/>
      <c r="K1375" s="270"/>
      <c r="L1375" s="270"/>
      <c r="M1375" s="39"/>
      <c r="N1375" s="39"/>
      <c r="O1375" s="47"/>
      <c r="P1375" s="57"/>
      <c r="Q1375" s="276"/>
      <c r="R1375" s="277"/>
      <c r="S1375" s="277"/>
      <c r="T1375" s="40"/>
      <c r="U1375" s="278"/>
      <c r="V1375" s="269"/>
      <c r="W1375" s="269"/>
      <c r="X1375" s="275"/>
      <c r="Y1375" s="269"/>
      <c r="Z1375" s="357"/>
      <c r="AA1375" s="207"/>
      <c r="AB1375" s="369"/>
      <c r="AC1375" s="370"/>
      <c r="AD1375" s="332"/>
      <c r="AE1375" s="216"/>
      <c r="AF1375" s="43"/>
      <c r="AG1375" s="47"/>
      <c r="AH1375" s="30"/>
      <c r="AI1375" s="30"/>
      <c r="AJ1375" s="30"/>
      <c r="AK1375" s="30"/>
      <c r="AL1375" s="13"/>
      <c r="AM1375" s="13"/>
      <c r="AN1375" s="13"/>
      <c r="AO1375" s="13"/>
      <c r="AP1375" s="13"/>
      <c r="AQ1375" s="14"/>
      <c r="AR1375" s="15"/>
    </row>
    <row r="1376" spans="1:44" s="17" customFormat="1" ht="30.95" hidden="1" customHeight="1" x14ac:dyDescent="0.2">
      <c r="A1376" s="343"/>
      <c r="B1376" s="344"/>
      <c r="C1376" s="345"/>
      <c r="D1376" s="31"/>
      <c r="E1376" s="31"/>
      <c r="F1376" s="268"/>
      <c r="G1376" s="269"/>
      <c r="H1376" s="269"/>
      <c r="I1376" s="270"/>
      <c r="J1376" s="32"/>
      <c r="K1376" s="270"/>
      <c r="L1376" s="270"/>
      <c r="M1376" s="39"/>
      <c r="N1376" s="39"/>
      <c r="O1376" s="47"/>
      <c r="P1376" s="57"/>
      <c r="Q1376" s="276"/>
      <c r="R1376" s="277"/>
      <c r="S1376" s="277"/>
      <c r="T1376" s="40"/>
      <c r="U1376" s="278"/>
      <c r="V1376" s="269"/>
      <c r="W1376" s="269"/>
      <c r="X1376" s="275"/>
      <c r="Y1376" s="269"/>
      <c r="Z1376" s="357"/>
      <c r="AA1376" s="207"/>
      <c r="AB1376" s="369"/>
      <c r="AC1376" s="370"/>
      <c r="AD1376" s="332"/>
      <c r="AE1376" s="216"/>
      <c r="AF1376" s="43"/>
      <c r="AG1376" s="47"/>
      <c r="AH1376" s="30"/>
      <c r="AI1376" s="30"/>
      <c r="AJ1376" s="30"/>
      <c r="AK1376" s="30"/>
      <c r="AL1376" s="13"/>
      <c r="AM1376" s="13"/>
      <c r="AN1376" s="13"/>
      <c r="AO1376" s="13"/>
      <c r="AP1376" s="13"/>
      <c r="AQ1376" s="14"/>
      <c r="AR1376" s="15"/>
    </row>
    <row r="1377" spans="1:44" s="17" customFormat="1" ht="30.95" hidden="1" customHeight="1" x14ac:dyDescent="0.2">
      <c r="A1377" s="343" t="s">
        <v>2713</v>
      </c>
      <c r="B1377" s="344" t="s">
        <v>2714</v>
      </c>
      <c r="C1377" s="345"/>
      <c r="D1377" s="398">
        <v>3750059</v>
      </c>
      <c r="E1377" s="31">
        <v>4151644</v>
      </c>
      <c r="F1377" s="268" t="str">
        <f>IF(D1377="","",VLOOKUP(D1377,契約台帳!$A$3:$K$4986,6,FALSE)&amp;VLOOKUP(D1377,契約台帳!$A$3:$K$4986,7,FALSE)&amp;VLOOKUP(D1377,契約台帳!$A$3:$K$4986,8,FALSE)&amp;VLOOKUP(D1377,契約台帳!$A$3:$K$4986,9,FALSE)&amp;VLOOKUP(D1377,契約台帳!$A$3:$K$4986,11,FALSE))</f>
        <v>3SNMLBMTSF</v>
      </c>
      <c r="G1377" s="269" t="str">
        <f>IF(D1377="","",VLOOKUP(F1377,製品マスタ!$G$5:$H$5002,2,FALSE))</f>
        <v>S</v>
      </c>
      <c r="H1377" s="269" t="str">
        <f>IF(D1377="","",VLOOKUP(F1377,製品マスタ!$G$5:$K$5002,5,FALSE))</f>
        <v>MTSF</v>
      </c>
      <c r="I1377" s="270" t="str">
        <f>IF(D1377="","",VLOOKUP(F1377,製品マスタ!$G$5:$L$5002,6,FALSE))</f>
        <v>メタルミー　ＴＳ</v>
      </c>
      <c r="J1377" s="32" t="s">
        <v>447</v>
      </c>
      <c r="K1377" s="270">
        <f>IF(D1377="","",VLOOKUP(D1377,契約台帳!$A$3:$L$4986,12,FALSE))</f>
        <v>50</v>
      </c>
      <c r="L1377" s="270" t="str">
        <f>IF(D1377="","",INDEX(製品マスタ!$Q$5:$Q$5002,MATCH(F1377&amp;K1377,製品マスタ!$AO$5:$AO$5002,0)))</f>
        <v>T62M</v>
      </c>
      <c r="M1377" s="39">
        <v>1255</v>
      </c>
      <c r="N1377" s="39">
        <v>12200</v>
      </c>
      <c r="O1377" s="47">
        <v>1</v>
      </c>
      <c r="P1377" s="57"/>
      <c r="Q1377" s="276">
        <f>IF(D1377="","",IF(J1377="リード付け",M1377,VLOOKUP(D1377,契約台帳!$A$3:$N$4986,14,FALSE)))</f>
        <v>1255</v>
      </c>
      <c r="R1377" s="277">
        <f>IF(D1377="","",IF(J1377="リード付け",M1377,VLOOKUP(D1377,契約台帳!$A$3:$O$4986,15,FALSE)))</f>
        <v>1250</v>
      </c>
      <c r="S1377" s="277">
        <f>IF(D1377="","",IF(J1377="リード付け",N1377,VLOOKUP(D1377,契約台帳!$A$3:$P$4986,16,FALSE)))</f>
        <v>2000</v>
      </c>
      <c r="T1377" s="40">
        <v>6</v>
      </c>
      <c r="U1377" s="278">
        <f ca="1">IF(D1377="","",IF(OFFSET(D1377,-2,0)=D1377,"",VLOOKUP(D1377,契約台帳!$A$3:$R$4986,18,FALSE)))</f>
        <v>6</v>
      </c>
      <c r="V1377" s="269" t="str">
        <f>IF(J1377="巻返し",VLOOKUP(F1377&amp;K1377&amp;M1377,製品マスタ!$M$5:$AD$5002,18,FALSE),IF(J1377="リード付け","原反コア",IF(J1377="スリット",VLOOKUP(F1377&amp;K1377&amp;Q1377,製品マスタ!$N$5:$AD$5002,17,FALSE),"")))</f>
        <v>3ｲﾝﾁSｺｱ</v>
      </c>
      <c r="W1377" s="269">
        <f>IF(J1377="巻返し",VLOOKUP(F1377&amp;K1377&amp;M1377,製品マスタ!$M$5:$AE$5002,19,FALSE),IF(J1377="リード付け","-",IF(J1377="スリット",VLOOKUP(F1377&amp;K1377&amp;Q1377,製品マスタ!$N$5:$AE$5002,18,FALSE),"")))</f>
        <v>1260</v>
      </c>
      <c r="X1377" s="275">
        <f>IF(D1377="","",VLOOKUP(D1377,契約台帳!$A$3:$Q$4986,17,FALSE))</f>
        <v>2</v>
      </c>
      <c r="Y1377" s="269" t="str">
        <f>IF(D1377="","",VLOOKUP(D1377,契約台帳!$A$3:$E$4986,5,FALSE))</f>
        <v>日東電工㈱豊橋工場</v>
      </c>
      <c r="Z1377" s="357">
        <v>45391</v>
      </c>
      <c r="AA1377" s="207"/>
      <c r="AB1377" s="369"/>
      <c r="AC1377" s="370"/>
      <c r="AD1377" s="332" t="str">
        <f>IF(F1377="","",+F1377&amp;K1377)</f>
        <v>3SNMLBMTSF50</v>
      </c>
      <c r="AE1377" s="216">
        <f>+M1377*N1377*O1377/1000</f>
        <v>15311</v>
      </c>
      <c r="AF1377" s="43">
        <f>IF(AD1377="","",VLOOKUP(AD1377,原価マスタ!$A$2:$AJ$1693,13,FALSE))</f>
        <v>95</v>
      </c>
      <c r="AG1377" s="47">
        <f>IF(AF1377="","",+AE1377*AF1377/100)</f>
        <v>14545.45</v>
      </c>
      <c r="AH1377" s="30"/>
      <c r="AI1377" s="30"/>
      <c r="AJ1377" s="30"/>
      <c r="AK1377" s="30"/>
      <c r="AL1377" s="13"/>
      <c r="AM1377" s="13"/>
      <c r="AN1377" s="13"/>
      <c r="AO1377" s="13"/>
      <c r="AP1377" s="13"/>
      <c r="AQ1377" s="14"/>
      <c r="AR1377" s="15"/>
    </row>
    <row r="1378" spans="1:44" s="17" customFormat="1" ht="30.95" hidden="1" customHeight="1" x14ac:dyDescent="0.2">
      <c r="A1378" s="343"/>
      <c r="B1378" s="344"/>
      <c r="C1378" s="345"/>
      <c r="D1378" s="398"/>
      <c r="E1378" s="31"/>
      <c r="F1378" s="268"/>
      <c r="G1378" s="269"/>
      <c r="H1378" s="269"/>
      <c r="I1378" s="270"/>
      <c r="J1378" s="32"/>
      <c r="K1378" s="270"/>
      <c r="L1378" s="270"/>
      <c r="M1378" s="39"/>
      <c r="N1378" s="39"/>
      <c r="O1378" s="47"/>
      <c r="P1378" s="57"/>
      <c r="Q1378" s="276"/>
      <c r="R1378" s="277"/>
      <c r="S1378" s="277"/>
      <c r="T1378" s="40"/>
      <c r="U1378" s="278"/>
      <c r="V1378" s="269"/>
      <c r="W1378" s="269"/>
      <c r="X1378" s="275"/>
      <c r="Y1378" s="269"/>
      <c r="Z1378" s="357"/>
      <c r="AA1378" s="207"/>
      <c r="AB1378" s="369"/>
      <c r="AC1378" s="370"/>
      <c r="AD1378" s="332"/>
      <c r="AE1378" s="216"/>
      <c r="AF1378" s="43"/>
      <c r="AG1378" s="47"/>
      <c r="AH1378" s="30"/>
      <c r="AI1378" s="30"/>
      <c r="AJ1378" s="30"/>
      <c r="AK1378" s="30"/>
      <c r="AL1378" s="13"/>
      <c r="AM1378" s="13"/>
      <c r="AN1378" s="13"/>
      <c r="AO1378" s="13"/>
      <c r="AP1378" s="13"/>
      <c r="AQ1378" s="14"/>
      <c r="AR1378" s="15"/>
    </row>
    <row r="1379" spans="1:44" s="17" customFormat="1" ht="30.95" hidden="1" customHeight="1" x14ac:dyDescent="0.2">
      <c r="A1379" s="343"/>
      <c r="B1379" s="344"/>
      <c r="C1379" s="345"/>
      <c r="D1379" s="398">
        <v>3750056</v>
      </c>
      <c r="E1379" s="31">
        <v>4151649</v>
      </c>
      <c r="F1379" s="268" t="str">
        <f>IF(D1379="","",VLOOKUP(D1379,契約台帳!$A$3:$K$4986,6,FALSE)&amp;VLOOKUP(D1379,契約台帳!$A$3:$K$4986,7,FALSE)&amp;VLOOKUP(D1379,契約台帳!$A$3:$K$4986,8,FALSE)&amp;VLOOKUP(D1379,契約台帳!$A$3:$K$4986,9,FALSE)&amp;VLOOKUP(D1379,契約台帳!$A$3:$K$4986,11,FALSE))</f>
        <v>3SNMLBMSF</v>
      </c>
      <c r="G1379" s="269" t="str">
        <f>IF(D1379="","",VLOOKUP(F1379,製品マスタ!$G$5:$H$5002,2,FALSE))</f>
        <v>S</v>
      </c>
      <c r="H1379" s="269" t="str">
        <f>IF(D1379="","",VLOOKUP(F1379,製品マスタ!$G$5:$K$5002,5,FALSE))</f>
        <v>MSF</v>
      </c>
      <c r="I1379" s="270" t="str">
        <f>IF(D1379="","",VLOOKUP(F1379,製品マスタ!$G$5:$L$5002,6,FALSE))</f>
        <v>メタルミー　Ｓ</v>
      </c>
      <c r="J1379" s="32" t="s">
        <v>447</v>
      </c>
      <c r="K1379" s="270">
        <f>IF(D1379="","",VLOOKUP(D1379,契約台帳!$A$3:$L$4986,12,FALSE))</f>
        <v>25</v>
      </c>
      <c r="L1379" s="270" t="str">
        <f>IF(D1379="","",INDEX(製品マスタ!$Q$5:$Q$5002,MATCH(F1379&amp;K1379,製品マスタ!$AO$5:$AO$5002,0)))</f>
        <v>T62M</v>
      </c>
      <c r="M1379" s="39">
        <v>1020</v>
      </c>
      <c r="N1379" s="39">
        <v>12100</v>
      </c>
      <c r="O1379" s="47">
        <v>1</v>
      </c>
      <c r="P1379" s="57"/>
      <c r="Q1379" s="276">
        <f>IF(D1379="","",IF(J1379="リード付け",M1379,VLOOKUP(D1379,契約台帳!$A$3:$N$4986,14,FALSE)))</f>
        <v>1020</v>
      </c>
      <c r="R1379" s="277">
        <f>IF(D1379="","",IF(J1379="リード付け",M1379,VLOOKUP(D1379,契約台帳!$A$3:$O$4986,15,FALSE)))</f>
        <v>1020</v>
      </c>
      <c r="S1379" s="277">
        <f>IF(D1379="","",IF(J1379="リード付け",N1379,VLOOKUP(D1379,契約台帳!$A$3:$P$4986,16,FALSE)))</f>
        <v>2000</v>
      </c>
      <c r="T1379" s="40">
        <v>6</v>
      </c>
      <c r="U1379" s="278">
        <f ca="1">IF(D1379="","",IF(OFFSET(D1379,-2,0)=D1379,"",VLOOKUP(D1379,契約台帳!$A$3:$R$4986,18,FALSE)))</f>
        <v>6</v>
      </c>
      <c r="V1379" s="269" t="str">
        <f>IF(J1379="巻返し",VLOOKUP(F1379&amp;K1379&amp;M1379,製品マスタ!$M$5:$AD$5002,18,FALSE),IF(J1379="リード付け","原反コア",IF(J1379="スリット",VLOOKUP(F1379&amp;K1379&amp;Q1379,製品マスタ!$N$5:$AD$5002,17,FALSE),"")))</f>
        <v>3ｲﾝﾁSｺｱ</v>
      </c>
      <c r="W1379" s="269">
        <v>1025</v>
      </c>
      <c r="X1379" s="275">
        <f>IF(D1379="","",VLOOKUP(D1379,契約台帳!$A$3:$Q$4986,17,FALSE))</f>
        <v>2</v>
      </c>
      <c r="Y1379" s="269" t="str">
        <f>IF(D1379="","",VLOOKUP(D1379,契約台帳!$A$3:$E$4986,5,FALSE))</f>
        <v>パナック㈱亀山工場</v>
      </c>
      <c r="Z1379" s="357">
        <v>45391</v>
      </c>
      <c r="AA1379" s="207"/>
      <c r="AB1379" s="369"/>
      <c r="AC1379" s="370"/>
      <c r="AD1379" s="332" t="str">
        <f>IF(F1379="","",+F1379&amp;K1379)</f>
        <v>3SNMLBMSF25</v>
      </c>
      <c r="AE1379" s="216">
        <f>+M1379*N1379*O1379/1000</f>
        <v>12342</v>
      </c>
      <c r="AF1379" s="43">
        <f>IF(AD1379="","",VLOOKUP(AD1379,原価マスタ!$A$2:$AJ$1693,13,FALSE))</f>
        <v>97</v>
      </c>
      <c r="AG1379" s="47">
        <f>IF(AF1379="","",+AE1379*AF1379/100)</f>
        <v>11971.74</v>
      </c>
      <c r="AH1379" s="30"/>
      <c r="AI1379" s="30"/>
      <c r="AJ1379" s="30"/>
      <c r="AK1379" s="30"/>
      <c r="AL1379" s="13"/>
      <c r="AM1379" s="13"/>
      <c r="AN1379" s="13"/>
      <c r="AO1379" s="13"/>
      <c r="AP1379" s="13"/>
      <c r="AQ1379" s="14"/>
      <c r="AR1379" s="15"/>
    </row>
    <row r="1380" spans="1:44" s="17" customFormat="1" ht="30.95" hidden="1" customHeight="1" x14ac:dyDescent="0.2">
      <c r="A1380" s="343"/>
      <c r="B1380" s="344"/>
      <c r="C1380" s="345"/>
      <c r="D1380" s="398"/>
      <c r="E1380" s="31"/>
      <c r="F1380" s="268"/>
      <c r="G1380" s="269"/>
      <c r="H1380" s="269"/>
      <c r="I1380" s="270"/>
      <c r="J1380" s="32"/>
      <c r="K1380" s="270"/>
      <c r="L1380" s="270"/>
      <c r="M1380" s="39"/>
      <c r="N1380" s="39"/>
      <c r="O1380" s="47"/>
      <c r="P1380" s="57"/>
      <c r="Q1380" s="276"/>
      <c r="R1380" s="277"/>
      <c r="S1380" s="277"/>
      <c r="T1380" s="40"/>
      <c r="U1380" s="278"/>
      <c r="V1380" s="269"/>
      <c r="W1380" s="269"/>
      <c r="X1380" s="275"/>
      <c r="Y1380" s="269"/>
      <c r="Z1380" s="357"/>
      <c r="AA1380" s="207"/>
      <c r="AB1380" s="369"/>
      <c r="AC1380" s="370"/>
      <c r="AD1380" s="332"/>
      <c r="AE1380" s="216"/>
      <c r="AF1380" s="43"/>
      <c r="AG1380" s="47"/>
      <c r="AH1380" s="30"/>
      <c r="AI1380" s="30"/>
      <c r="AJ1380" s="30"/>
      <c r="AK1380" s="30"/>
      <c r="AL1380" s="13"/>
      <c r="AM1380" s="13"/>
      <c r="AN1380" s="13"/>
      <c r="AO1380" s="13"/>
      <c r="AP1380" s="13"/>
      <c r="AQ1380" s="14"/>
      <c r="AR1380" s="15"/>
    </row>
    <row r="1381" spans="1:44" s="17" customFormat="1" ht="30.95" hidden="1" customHeight="1" x14ac:dyDescent="0.2">
      <c r="A1381" s="343"/>
      <c r="B1381" s="344"/>
      <c r="C1381" s="345"/>
      <c r="D1381" s="398">
        <v>3741612</v>
      </c>
      <c r="E1381" s="31">
        <v>4151653</v>
      </c>
      <c r="F1381" s="268" t="str">
        <f>IF(D1381="","",VLOOKUP(D1381,契約台帳!$A$3:$K$4986,6,FALSE)&amp;VLOOKUP(D1381,契約台帳!$A$3:$K$4986,7,FALSE)&amp;VLOOKUP(D1381,契約台帳!$A$3:$K$4986,8,FALSE)&amp;VLOOKUP(D1381,契約台帳!$A$3:$K$4986,9,FALSE)&amp;VLOOKUP(D1381,契約台帳!$A$3:$K$4986,11,FALSE))</f>
        <v>3SNMLBMNGTBF</v>
      </c>
      <c r="G1381" s="269" t="str">
        <f>IF(D1381="","",VLOOKUP(F1381,製品マスタ!$G$5:$H$5002,2,FALSE))</f>
        <v>S</v>
      </c>
      <c r="H1381" s="269" t="str">
        <f>IF(D1381="","",VLOOKUP(F1381,製品マスタ!$G$5:$K$5002,5,FALSE))</f>
        <v>MNGTBF</v>
      </c>
      <c r="I1381" s="270" t="str">
        <f>IF(D1381="","",VLOOKUP(F1381,製品マスタ!$G$5:$L$5002,6,FALSE))</f>
        <v>メタルミー　ネーマー　銀艶　Ｂ</v>
      </c>
      <c r="J1381" s="32" t="s">
        <v>447</v>
      </c>
      <c r="K1381" s="270">
        <f>IF(D1381="","",VLOOKUP(D1381,契約台帳!$A$3:$L$4986,12,FALSE))</f>
        <v>50</v>
      </c>
      <c r="L1381" s="270" t="str">
        <f>IF(D1381="","",INDEX(製品マスタ!$Q$5:$Q$5002,MATCH(F1381&amp;K1381,製品マスタ!$AO$5:$AO$5002,0)))</f>
        <v>T62</v>
      </c>
      <c r="M1381" s="39">
        <v>1120</v>
      </c>
      <c r="N1381" s="39">
        <v>10000</v>
      </c>
      <c r="O1381" s="47">
        <v>1</v>
      </c>
      <c r="P1381" s="57"/>
      <c r="Q1381" s="276">
        <f>IF(D1381="","",IF(J1381="リード付け",M1381,VLOOKUP(D1381,契約台帳!$A$3:$N$4986,14,FALSE)))</f>
        <v>1120</v>
      </c>
      <c r="R1381" s="277">
        <f>IF(D1381="","",IF(J1381="リード付け",M1381,VLOOKUP(D1381,契約台帳!$A$3:$O$4986,15,FALSE)))</f>
        <v>1120</v>
      </c>
      <c r="S1381" s="277">
        <f>IF(D1381="","",IF(J1381="リード付け",N1381,VLOOKUP(D1381,契約台帳!$A$3:$P$4986,16,FALSE)))</f>
        <v>5000</v>
      </c>
      <c r="T1381" s="40">
        <v>2</v>
      </c>
      <c r="U1381" s="278">
        <f ca="1">IF(D1381="","",IF(OFFSET(D1381,-2,0)=D1381,"",VLOOKUP(D1381,契約台帳!$A$3:$R$4986,18,FALSE)))</f>
        <v>24</v>
      </c>
      <c r="V1381" s="269" t="str">
        <f>IF(J1381="巻返し",VLOOKUP(F1381&amp;K1381&amp;M1381,製品マスタ!$M$5:$AD$5002,18,FALSE),IF(J1381="リード付け","原反コア",IF(J1381="スリット",VLOOKUP(F1381&amp;K1381&amp;Q1381,製品マスタ!$N$5:$AD$5002,17,FALSE),"")))</f>
        <v>6ｲﾝﾁSｺｱ</v>
      </c>
      <c r="W1381" s="269">
        <f>IF(J1381="巻返し",VLOOKUP(F1381&amp;K1381&amp;M1381,製品マスタ!$M$5:$AE$5002,19,FALSE),IF(J1381="リード付け","-",IF(J1381="スリット",VLOOKUP(F1381&amp;K1381&amp;Q1381,製品マスタ!$N$5:$AE$5002,18,FALSE),"")))</f>
        <v>1125</v>
      </c>
      <c r="X1381" s="275">
        <f>IF(D1381="","",VLOOKUP(D1381,契約台帳!$A$3:$Q$4986,17,FALSE))</f>
        <v>2</v>
      </c>
      <c r="Y1381" s="269" t="str">
        <f>IF(D1381="","",VLOOKUP(D1381,契約台帳!$A$3:$E$4986,5,FALSE))</f>
        <v>リンテック㈱</v>
      </c>
      <c r="Z1381" s="357">
        <v>45391</v>
      </c>
      <c r="AA1381" s="207"/>
      <c r="AB1381" s="369"/>
      <c r="AC1381" s="370"/>
      <c r="AD1381" s="332" t="str">
        <f>IF(F1381="","",+F1381&amp;K1381)</f>
        <v>3SNMLBMNGTBF50</v>
      </c>
      <c r="AE1381" s="216">
        <f>+M1381*N1381*O1381/1000</f>
        <v>11200</v>
      </c>
      <c r="AF1381" s="43">
        <f>IF(AD1381="","",VLOOKUP(AD1381,原価マスタ!$A$2:$AJ$1693,13,FALSE))</f>
        <v>99</v>
      </c>
      <c r="AG1381" s="47">
        <f>IF(AF1381="","",+AE1381*AF1381/100)</f>
        <v>11088</v>
      </c>
      <c r="AH1381" s="30"/>
      <c r="AI1381" s="30"/>
      <c r="AJ1381" s="30"/>
      <c r="AK1381" s="30"/>
      <c r="AL1381" s="13"/>
      <c r="AM1381" s="13"/>
      <c r="AN1381" s="13"/>
      <c r="AO1381" s="13"/>
      <c r="AP1381" s="13"/>
      <c r="AQ1381" s="14"/>
      <c r="AR1381" s="15"/>
    </row>
    <row r="1382" spans="1:44" s="17" customFormat="1" ht="30.95" hidden="1" customHeight="1" x14ac:dyDescent="0.2">
      <c r="A1382" s="343"/>
      <c r="B1382" s="344"/>
      <c r="C1382" s="345"/>
      <c r="D1382" s="398"/>
      <c r="E1382" s="31"/>
      <c r="F1382" s="268"/>
      <c r="G1382" s="269"/>
      <c r="H1382" s="269"/>
      <c r="I1382" s="270"/>
      <c r="J1382" s="32"/>
      <c r="K1382" s="270"/>
      <c r="L1382" s="270"/>
      <c r="M1382" s="39"/>
      <c r="N1382" s="39"/>
      <c r="O1382" s="47"/>
      <c r="P1382" s="57"/>
      <c r="Q1382" s="276"/>
      <c r="R1382" s="277"/>
      <c r="S1382" s="277"/>
      <c r="T1382" s="40"/>
      <c r="U1382" s="278"/>
      <c r="V1382" s="269"/>
      <c r="W1382" s="269"/>
      <c r="X1382" s="275"/>
      <c r="Y1382" s="269"/>
      <c r="Z1382" s="357"/>
      <c r="AA1382" s="207"/>
      <c r="AB1382" s="369"/>
      <c r="AC1382" s="370"/>
      <c r="AD1382" s="332"/>
      <c r="AE1382" s="216"/>
      <c r="AF1382" s="43"/>
      <c r="AG1382" s="47"/>
      <c r="AH1382" s="30"/>
      <c r="AI1382" s="30"/>
      <c r="AJ1382" s="30"/>
      <c r="AK1382" s="30"/>
      <c r="AL1382" s="13"/>
      <c r="AM1382" s="13"/>
      <c r="AN1382" s="13"/>
      <c r="AO1382" s="13"/>
      <c r="AP1382" s="13"/>
      <c r="AQ1382" s="14"/>
      <c r="AR1382" s="15"/>
    </row>
    <row r="1383" spans="1:44" s="17" customFormat="1" ht="30.95" hidden="1" customHeight="1" x14ac:dyDescent="0.2">
      <c r="A1383" s="343"/>
      <c r="B1383" s="344"/>
      <c r="C1383" s="345"/>
      <c r="D1383" s="398">
        <v>3750071</v>
      </c>
      <c r="E1383" s="31">
        <v>4151628</v>
      </c>
      <c r="F1383" s="268" t="str">
        <f>IF(D1383="","",VLOOKUP(D1383,契約台帳!$A$3:$K$4986,6,FALSE)&amp;VLOOKUP(D1383,契約台帳!$A$3:$K$4986,7,FALSE)&amp;VLOOKUP(D1383,契約台帳!$A$3:$K$4986,8,FALSE)&amp;VLOOKUP(D1383,契約台帳!$A$3:$K$4986,9,FALSE)&amp;VLOOKUP(D1383,契約台帳!$A$3:$K$4986,11,FALSE))</f>
        <v>3SNMLBMNGTBF</v>
      </c>
      <c r="G1383" s="269" t="str">
        <f>IF(D1383="","",VLOOKUP(F1383,製品マスタ!$G$5:$H$5002,2,FALSE))</f>
        <v>S</v>
      </c>
      <c r="H1383" s="269" t="str">
        <f>IF(D1383="","",VLOOKUP(F1383,製品マスタ!$G$5:$K$5002,5,FALSE))</f>
        <v>MNGTBF</v>
      </c>
      <c r="I1383" s="270" t="str">
        <f>IF(D1383="","",VLOOKUP(F1383,製品マスタ!$G$5:$L$5002,6,FALSE))</f>
        <v>メタルミー　ネーマー　銀艶　Ｂ</v>
      </c>
      <c r="J1383" s="32" t="s">
        <v>447</v>
      </c>
      <c r="K1383" s="270">
        <f>IF(D1383="","",VLOOKUP(D1383,契約台帳!$A$3:$L$4986,12,FALSE))</f>
        <v>50</v>
      </c>
      <c r="L1383" s="270" t="str">
        <f>IF(D1383="","",INDEX(製品マスタ!$Q$5:$Q$5002,MATCH(F1383&amp;K1383,製品マスタ!$AO$5:$AO$5002,0)))</f>
        <v>T62</v>
      </c>
      <c r="M1383" s="39">
        <v>1120</v>
      </c>
      <c r="N1383" s="39">
        <v>10000</v>
      </c>
      <c r="O1383" s="47">
        <v>1</v>
      </c>
      <c r="P1383" s="57"/>
      <c r="Q1383" s="276">
        <f>IF(D1383="","",IF(J1383="リード付け",M1383,VLOOKUP(D1383,契約台帳!$A$3:$N$4986,14,FALSE)))</f>
        <v>1120</v>
      </c>
      <c r="R1383" s="277">
        <f>IF(D1383="","",IF(J1383="リード付け",M1383,VLOOKUP(D1383,契約台帳!$A$3:$O$4986,15,FALSE)))</f>
        <v>1120</v>
      </c>
      <c r="S1383" s="277">
        <f>IF(D1383="","",IF(J1383="リード付け",N1383,VLOOKUP(D1383,契約台帳!$A$3:$P$4986,16,FALSE)))</f>
        <v>5000</v>
      </c>
      <c r="T1383" s="40">
        <v>2</v>
      </c>
      <c r="U1383" s="278">
        <f ca="1">IF(D1383="","",IF(OFFSET(D1383,-2,0)=D1383,"",VLOOKUP(D1383,契約台帳!$A$3:$R$4986,18,FALSE)))</f>
        <v>50</v>
      </c>
      <c r="V1383" s="269" t="str">
        <f>IF(J1383="巻返し",VLOOKUP(F1383&amp;K1383&amp;M1383,製品マスタ!$M$5:$AD$5002,18,FALSE),IF(J1383="リード付け","原反コア",IF(J1383="スリット",VLOOKUP(F1383&amp;K1383&amp;Q1383,製品マスタ!$N$5:$AD$5002,17,FALSE),"")))</f>
        <v>6ｲﾝﾁSｺｱ</v>
      </c>
      <c r="W1383" s="269">
        <f>IF(J1383="巻返し",VLOOKUP(F1383&amp;K1383&amp;M1383,製品マスタ!$M$5:$AE$5002,19,FALSE),IF(J1383="リード付け","-",IF(J1383="スリット",VLOOKUP(F1383&amp;K1383&amp;Q1383,製品マスタ!$N$5:$AE$5002,18,FALSE),"")))</f>
        <v>1125</v>
      </c>
      <c r="X1383" s="275">
        <f>IF(D1383="","",VLOOKUP(D1383,契約台帳!$A$3:$Q$4986,17,FALSE))</f>
        <v>2</v>
      </c>
      <c r="Y1383" s="269" t="str">
        <f>IF(D1383="","",VLOOKUP(D1383,契約台帳!$A$3:$E$4986,5,FALSE))</f>
        <v>リンテック㈱</v>
      </c>
      <c r="Z1383" s="357">
        <v>45391</v>
      </c>
      <c r="AA1383" s="207"/>
      <c r="AB1383" s="369"/>
      <c r="AC1383" s="370"/>
      <c r="AD1383" s="332" t="str">
        <f>IF(F1383="","",+F1383&amp;K1383)</f>
        <v>3SNMLBMNGTBF50</v>
      </c>
      <c r="AE1383" s="216">
        <f>+M1383*N1383*O1383/1000</f>
        <v>11200</v>
      </c>
      <c r="AF1383" s="43">
        <f>IF(AD1383="","",VLOOKUP(AD1383,原価マスタ!$A$2:$AJ$1693,13,FALSE))</f>
        <v>99</v>
      </c>
      <c r="AG1383" s="47">
        <f>IF(AF1383="","",+AE1383*AF1383/100)</f>
        <v>11088</v>
      </c>
      <c r="AH1383" s="30"/>
      <c r="AI1383" s="30"/>
      <c r="AJ1383" s="30"/>
      <c r="AK1383" s="30"/>
      <c r="AL1383" s="13"/>
      <c r="AM1383" s="13"/>
      <c r="AN1383" s="13"/>
      <c r="AO1383" s="13"/>
      <c r="AP1383" s="13"/>
      <c r="AQ1383" s="14"/>
      <c r="AR1383" s="15"/>
    </row>
    <row r="1384" spans="1:44" s="17" customFormat="1" ht="30.95" hidden="1" customHeight="1" x14ac:dyDescent="0.2">
      <c r="A1384" s="343"/>
      <c r="B1384" s="344"/>
      <c r="C1384" s="345"/>
      <c r="D1384" s="398"/>
      <c r="E1384" s="31"/>
      <c r="F1384" s="268"/>
      <c r="G1384" s="269"/>
      <c r="H1384" s="269"/>
      <c r="I1384" s="270"/>
      <c r="J1384" s="32"/>
      <c r="K1384" s="270"/>
      <c r="L1384" s="270"/>
      <c r="M1384" s="39"/>
      <c r="N1384" s="39"/>
      <c r="O1384" s="47"/>
      <c r="P1384" s="57"/>
      <c r="Q1384" s="276"/>
      <c r="R1384" s="277"/>
      <c r="S1384" s="277"/>
      <c r="T1384" s="40"/>
      <c r="U1384" s="278"/>
      <c r="V1384" s="269"/>
      <c r="W1384" s="269"/>
      <c r="X1384" s="275"/>
      <c r="Y1384" s="269"/>
      <c r="Z1384" s="357"/>
      <c r="AA1384" s="207"/>
      <c r="AB1384" s="369"/>
      <c r="AC1384" s="370"/>
      <c r="AD1384" s="332"/>
      <c r="AE1384" s="216"/>
      <c r="AF1384" s="43"/>
      <c r="AG1384" s="47"/>
      <c r="AH1384" s="30"/>
      <c r="AI1384" s="30"/>
      <c r="AJ1384" s="30"/>
      <c r="AK1384" s="30"/>
      <c r="AL1384" s="13"/>
      <c r="AM1384" s="13"/>
      <c r="AN1384" s="13"/>
      <c r="AO1384" s="13"/>
      <c r="AP1384" s="13"/>
      <c r="AQ1384" s="14"/>
      <c r="AR1384" s="15"/>
    </row>
    <row r="1385" spans="1:44" s="17" customFormat="1" ht="30.95" hidden="1" customHeight="1" x14ac:dyDescent="0.2">
      <c r="A1385" s="343" t="s">
        <v>2715</v>
      </c>
      <c r="B1385" s="344" t="s">
        <v>2716</v>
      </c>
      <c r="C1385" s="345"/>
      <c r="D1385" s="398">
        <v>3750071</v>
      </c>
      <c r="E1385" s="31">
        <v>4151628</v>
      </c>
      <c r="F1385" s="268" t="str">
        <f>IF(D1385="","",VLOOKUP(D1385,契約台帳!$A$3:$K$4986,6,FALSE)&amp;VLOOKUP(D1385,契約台帳!$A$3:$K$4986,7,FALSE)&amp;VLOOKUP(D1385,契約台帳!$A$3:$K$4986,8,FALSE)&amp;VLOOKUP(D1385,契約台帳!$A$3:$K$4986,9,FALSE)&amp;VLOOKUP(D1385,契約台帳!$A$3:$K$4986,11,FALSE))</f>
        <v>3SNMLBMNGTBF</v>
      </c>
      <c r="G1385" s="269" t="str">
        <f>IF(D1385="","",VLOOKUP(F1385,製品マスタ!$G$5:$H$5002,2,FALSE))</f>
        <v>S</v>
      </c>
      <c r="H1385" s="269" t="str">
        <f>IF(D1385="","",VLOOKUP(F1385,製品マスタ!$G$5:$K$5002,5,FALSE))</f>
        <v>MNGTBF</v>
      </c>
      <c r="I1385" s="270" t="str">
        <f>IF(D1385="","",VLOOKUP(F1385,製品マスタ!$G$5:$L$5002,6,FALSE))</f>
        <v>メタルミー　ネーマー　銀艶　Ｂ</v>
      </c>
      <c r="J1385" s="32" t="s">
        <v>447</v>
      </c>
      <c r="K1385" s="270">
        <f>IF(D1385="","",VLOOKUP(D1385,契約台帳!$A$3:$L$4986,12,FALSE))</f>
        <v>50</v>
      </c>
      <c r="L1385" s="270" t="str">
        <f>IF(D1385="","",INDEX(製品マスタ!$Q$5:$Q$5002,MATCH(F1385&amp;K1385,製品マスタ!$AO$5:$AO$5002,0)))</f>
        <v>T62</v>
      </c>
      <c r="M1385" s="39">
        <v>1120</v>
      </c>
      <c r="N1385" s="39">
        <v>10000</v>
      </c>
      <c r="O1385" s="47">
        <v>4</v>
      </c>
      <c r="P1385" s="57"/>
      <c r="Q1385" s="276">
        <f>IF(D1385="","",IF(J1385="リード付け",M1385,VLOOKUP(D1385,契約台帳!$A$3:$N$4986,14,FALSE)))</f>
        <v>1120</v>
      </c>
      <c r="R1385" s="277">
        <f>IF(D1385="","",IF(J1385="リード付け",M1385,VLOOKUP(D1385,契約台帳!$A$3:$O$4986,15,FALSE)))</f>
        <v>1120</v>
      </c>
      <c r="S1385" s="277">
        <f>IF(D1385="","",IF(J1385="リード付け",N1385,VLOOKUP(D1385,契約台帳!$A$3:$P$4986,16,FALSE)))</f>
        <v>5000</v>
      </c>
      <c r="T1385" s="40">
        <v>8</v>
      </c>
      <c r="U1385" s="278" t="str">
        <f ca="1">IF(D1385="","",IF(OFFSET(D1385,-2,0)=D1385,"",VLOOKUP(D1385,契約台帳!$A$3:$R$4986,18,FALSE)))</f>
        <v/>
      </c>
      <c r="V1385" s="269" t="str">
        <f>IF(J1385="巻返し",VLOOKUP(F1385&amp;K1385&amp;M1385,製品マスタ!$M$5:$AD$5002,18,FALSE),IF(J1385="リード付け","原反コア",IF(J1385="スリット",VLOOKUP(F1385&amp;K1385&amp;Q1385,製品マスタ!$N$5:$AD$5002,17,FALSE),"")))</f>
        <v>6ｲﾝﾁSｺｱ</v>
      </c>
      <c r="W1385" s="269">
        <f>IF(J1385="巻返し",VLOOKUP(F1385&amp;K1385&amp;M1385,製品マスタ!$M$5:$AE$5002,19,FALSE),IF(J1385="リード付け","-",IF(J1385="スリット",VLOOKUP(F1385&amp;K1385&amp;Q1385,製品マスタ!$N$5:$AE$5002,18,FALSE),"")))</f>
        <v>1125</v>
      </c>
      <c r="X1385" s="275">
        <f>IF(D1385="","",VLOOKUP(D1385,契約台帳!$A$3:$Q$4986,17,FALSE))</f>
        <v>2</v>
      </c>
      <c r="Y1385" s="269" t="str">
        <f>IF(D1385="","",VLOOKUP(D1385,契約台帳!$A$3:$E$4986,5,FALSE))</f>
        <v>リンテック㈱</v>
      </c>
      <c r="Z1385" s="357">
        <v>45392</v>
      </c>
      <c r="AA1385" s="207"/>
      <c r="AB1385" s="369"/>
      <c r="AC1385" s="370"/>
      <c r="AD1385" s="332" t="str">
        <f>IF(F1385="","",+F1385&amp;K1385)</f>
        <v>3SNMLBMNGTBF50</v>
      </c>
      <c r="AE1385" s="216">
        <f>+M1385*N1385*O1385/1000</f>
        <v>44800</v>
      </c>
      <c r="AF1385" s="43">
        <f>IF(AD1385="","",VLOOKUP(AD1385,原価マスタ!$A$2:$AJ$1693,13,FALSE))</f>
        <v>99</v>
      </c>
      <c r="AG1385" s="47">
        <f>IF(AF1385="","",+AE1385*AF1385/100)</f>
        <v>44352</v>
      </c>
      <c r="AH1385" s="30"/>
      <c r="AI1385" s="30"/>
      <c r="AJ1385" s="30"/>
      <c r="AK1385" s="30"/>
      <c r="AL1385" s="13"/>
      <c r="AM1385" s="13"/>
      <c r="AN1385" s="13"/>
      <c r="AO1385" s="13"/>
      <c r="AP1385" s="13"/>
      <c r="AQ1385" s="14"/>
      <c r="AR1385" s="15"/>
    </row>
    <row r="1386" spans="1:44" s="17" customFormat="1" ht="30.95" hidden="1" customHeight="1" x14ac:dyDescent="0.2">
      <c r="A1386" s="343"/>
      <c r="B1386" s="344"/>
      <c r="C1386" s="345"/>
      <c r="D1386" s="398"/>
      <c r="E1386" s="31"/>
      <c r="F1386" s="268"/>
      <c r="G1386" s="269"/>
      <c r="H1386" s="269"/>
      <c r="I1386" s="270"/>
      <c r="J1386" s="32"/>
      <c r="K1386" s="270"/>
      <c r="L1386" s="270"/>
      <c r="M1386" s="39"/>
      <c r="N1386" s="39"/>
      <c r="O1386" s="47"/>
      <c r="P1386" s="57"/>
      <c r="Q1386" s="276"/>
      <c r="R1386" s="277"/>
      <c r="S1386" s="277"/>
      <c r="T1386" s="40"/>
      <c r="U1386" s="278"/>
      <c r="V1386" s="269"/>
      <c r="W1386" s="269"/>
      <c r="X1386" s="275"/>
      <c r="Y1386" s="269"/>
      <c r="Z1386" s="357"/>
      <c r="AA1386" s="207"/>
      <c r="AB1386" s="369"/>
      <c r="AC1386" s="370"/>
      <c r="AD1386" s="332"/>
      <c r="AE1386" s="216"/>
      <c r="AF1386" s="43"/>
      <c r="AG1386" s="47"/>
      <c r="AH1386" s="30"/>
      <c r="AI1386" s="30"/>
      <c r="AJ1386" s="30"/>
      <c r="AK1386" s="30"/>
      <c r="AL1386" s="13"/>
      <c r="AM1386" s="13"/>
      <c r="AN1386" s="13"/>
      <c r="AO1386" s="13"/>
      <c r="AP1386" s="13"/>
      <c r="AQ1386" s="14"/>
      <c r="AR1386" s="15"/>
    </row>
    <row r="1387" spans="1:44" s="17" customFormat="1" ht="30.95" hidden="1" customHeight="1" x14ac:dyDescent="0.2">
      <c r="A1387" s="343" t="s">
        <v>1025</v>
      </c>
      <c r="B1387" s="344" t="s">
        <v>445</v>
      </c>
      <c r="C1387" s="345"/>
      <c r="D1387" s="31"/>
      <c r="E1387" s="31"/>
      <c r="F1387" s="268"/>
      <c r="G1387" s="269"/>
      <c r="H1387" s="269"/>
      <c r="I1387" s="270"/>
      <c r="J1387" s="32" t="s">
        <v>448</v>
      </c>
      <c r="K1387" s="270"/>
      <c r="L1387" s="270"/>
      <c r="M1387" s="39"/>
      <c r="N1387" s="39"/>
      <c r="O1387" s="47"/>
      <c r="P1387" s="57"/>
      <c r="Q1387" s="276"/>
      <c r="R1387" s="277"/>
      <c r="S1387" s="277"/>
      <c r="T1387" s="40"/>
      <c r="U1387" s="278"/>
      <c r="V1387" s="269"/>
      <c r="W1387" s="269"/>
      <c r="X1387" s="275"/>
      <c r="Y1387" s="269"/>
      <c r="Z1387" s="357"/>
      <c r="AA1387" s="207"/>
      <c r="AB1387" s="369"/>
      <c r="AC1387" s="370"/>
      <c r="AD1387" s="332"/>
      <c r="AE1387" s="216"/>
      <c r="AF1387" s="43"/>
      <c r="AG1387" s="47"/>
      <c r="AH1387" s="30"/>
      <c r="AI1387" s="30"/>
      <c r="AJ1387" s="30"/>
      <c r="AK1387" s="30"/>
      <c r="AL1387" s="13"/>
      <c r="AM1387" s="13"/>
      <c r="AN1387" s="13"/>
      <c r="AO1387" s="13"/>
      <c r="AP1387" s="13"/>
      <c r="AQ1387" s="14"/>
      <c r="AR1387" s="15"/>
    </row>
    <row r="1388" spans="1:44" s="17" customFormat="1" ht="30.95" hidden="1" customHeight="1" x14ac:dyDescent="0.2">
      <c r="A1388" s="343"/>
      <c r="B1388" s="344"/>
      <c r="C1388" s="345"/>
      <c r="D1388" s="31"/>
      <c r="E1388" s="31"/>
      <c r="F1388" s="268"/>
      <c r="G1388" s="269"/>
      <c r="H1388" s="269"/>
      <c r="I1388" s="270"/>
      <c r="J1388" s="32"/>
      <c r="K1388" s="270"/>
      <c r="L1388" s="270"/>
      <c r="M1388" s="39"/>
      <c r="N1388" s="39"/>
      <c r="O1388" s="47"/>
      <c r="P1388" s="57"/>
      <c r="Q1388" s="276"/>
      <c r="R1388" s="277"/>
      <c r="S1388" s="277"/>
      <c r="T1388" s="40"/>
      <c r="U1388" s="278"/>
      <c r="V1388" s="269"/>
      <c r="W1388" s="269"/>
      <c r="X1388" s="275"/>
      <c r="Y1388" s="269"/>
      <c r="Z1388" s="357"/>
      <c r="AA1388" s="207"/>
      <c r="AB1388" s="369"/>
      <c r="AC1388" s="370"/>
      <c r="AD1388" s="332"/>
      <c r="AE1388" s="216"/>
      <c r="AF1388" s="43"/>
      <c r="AG1388" s="47"/>
      <c r="AH1388" s="30"/>
      <c r="AI1388" s="30"/>
      <c r="AJ1388" s="30"/>
      <c r="AK1388" s="30"/>
      <c r="AL1388" s="13"/>
      <c r="AM1388" s="13"/>
      <c r="AN1388" s="13"/>
      <c r="AO1388" s="13"/>
      <c r="AP1388" s="13"/>
      <c r="AQ1388" s="14"/>
      <c r="AR1388" s="15"/>
    </row>
    <row r="1389" spans="1:44" s="17" customFormat="1" ht="30.95" hidden="1" customHeight="1" x14ac:dyDescent="0.2">
      <c r="A1389" s="343" t="s">
        <v>1027</v>
      </c>
      <c r="B1389" s="344" t="s">
        <v>446</v>
      </c>
      <c r="C1389" s="345"/>
      <c r="D1389" s="31"/>
      <c r="E1389" s="31"/>
      <c r="F1389" s="268"/>
      <c r="G1389" s="269"/>
      <c r="H1389" s="269"/>
      <c r="I1389" s="270"/>
      <c r="J1389" s="32" t="s">
        <v>448</v>
      </c>
      <c r="K1389" s="270"/>
      <c r="L1389" s="270"/>
      <c r="M1389" s="39"/>
      <c r="N1389" s="39"/>
      <c r="O1389" s="47"/>
      <c r="P1389" s="57"/>
      <c r="Q1389" s="276"/>
      <c r="R1389" s="277"/>
      <c r="S1389" s="277"/>
      <c r="T1389" s="40"/>
      <c r="U1389" s="278"/>
      <c r="V1389" s="269"/>
      <c r="W1389" s="269"/>
      <c r="X1389" s="275"/>
      <c r="Y1389" s="269"/>
      <c r="Z1389" s="357"/>
      <c r="AA1389" s="207"/>
      <c r="AB1389" s="369"/>
      <c r="AC1389" s="370"/>
      <c r="AD1389" s="332"/>
      <c r="AE1389" s="216"/>
      <c r="AF1389" s="43"/>
      <c r="AG1389" s="47"/>
      <c r="AH1389" s="30"/>
      <c r="AI1389" s="30"/>
      <c r="AJ1389" s="30"/>
      <c r="AK1389" s="30"/>
      <c r="AL1389" s="13"/>
      <c r="AM1389" s="13"/>
      <c r="AN1389" s="13"/>
      <c r="AO1389" s="13"/>
      <c r="AP1389" s="13"/>
      <c r="AQ1389" s="14"/>
      <c r="AR1389" s="15"/>
    </row>
    <row r="1390" spans="1:44" s="17" customFormat="1" ht="30.95" hidden="1" customHeight="1" x14ac:dyDescent="0.2">
      <c r="A1390" s="343"/>
      <c r="B1390" s="344"/>
      <c r="C1390" s="345"/>
      <c r="D1390" s="398"/>
      <c r="E1390" s="31"/>
      <c r="F1390" s="268"/>
      <c r="G1390" s="269"/>
      <c r="H1390" s="269"/>
      <c r="I1390" s="270"/>
      <c r="J1390" s="32"/>
      <c r="K1390" s="270"/>
      <c r="L1390" s="270"/>
      <c r="M1390" s="39"/>
      <c r="N1390" s="39"/>
      <c r="O1390" s="47"/>
      <c r="P1390" s="57"/>
      <c r="Q1390" s="276"/>
      <c r="R1390" s="277"/>
      <c r="S1390" s="277"/>
      <c r="T1390" s="40"/>
      <c r="U1390" s="278"/>
      <c r="V1390" s="269"/>
      <c r="W1390" s="269"/>
      <c r="X1390" s="275"/>
      <c r="Y1390" s="269"/>
      <c r="Z1390" s="357"/>
      <c r="AA1390" s="207"/>
      <c r="AB1390" s="369"/>
      <c r="AC1390" s="370"/>
      <c r="AD1390" s="332"/>
      <c r="AE1390" s="216"/>
      <c r="AF1390" s="43"/>
      <c r="AG1390" s="47"/>
      <c r="AH1390" s="30"/>
      <c r="AI1390" s="30"/>
      <c r="AJ1390" s="30"/>
      <c r="AK1390" s="30"/>
      <c r="AL1390" s="13"/>
      <c r="AM1390" s="13"/>
      <c r="AN1390" s="13"/>
      <c r="AO1390" s="13"/>
      <c r="AP1390" s="13"/>
      <c r="AQ1390" s="14"/>
      <c r="AR1390" s="15"/>
    </row>
    <row r="1391" spans="1:44" s="17" customFormat="1" ht="30.95" hidden="1" customHeight="1" x14ac:dyDescent="0.2">
      <c r="A1391" s="343" t="s">
        <v>2717</v>
      </c>
      <c r="B1391" s="344" t="s">
        <v>2718</v>
      </c>
      <c r="C1391" s="345"/>
      <c r="D1391" s="398">
        <v>3750071</v>
      </c>
      <c r="E1391" s="31">
        <v>4151628</v>
      </c>
      <c r="F1391" s="268" t="str">
        <f>IF(D1391="","",VLOOKUP(D1391,契約台帳!$A$3:$K$4986,6,FALSE)&amp;VLOOKUP(D1391,契約台帳!$A$3:$K$4986,7,FALSE)&amp;VLOOKUP(D1391,契約台帳!$A$3:$K$4986,8,FALSE)&amp;VLOOKUP(D1391,契約台帳!$A$3:$K$4986,9,FALSE)&amp;VLOOKUP(D1391,契約台帳!$A$3:$K$4986,11,FALSE))</f>
        <v>3SNMLBMNGTBF</v>
      </c>
      <c r="G1391" s="269" t="str">
        <f>IF(D1391="","",VLOOKUP(F1391,製品マスタ!$G$5:$H$5002,2,FALSE))</f>
        <v>S</v>
      </c>
      <c r="H1391" s="269" t="str">
        <f>IF(D1391="","",VLOOKUP(F1391,製品マスタ!$G$5:$K$5002,5,FALSE))</f>
        <v>MNGTBF</v>
      </c>
      <c r="I1391" s="270" t="str">
        <f>IF(D1391="","",VLOOKUP(F1391,製品マスタ!$G$5:$L$5002,6,FALSE))</f>
        <v>メタルミー　ネーマー　銀艶　Ｂ</v>
      </c>
      <c r="J1391" s="32" t="s">
        <v>447</v>
      </c>
      <c r="K1391" s="270">
        <f>IF(D1391="","",VLOOKUP(D1391,契約台帳!$A$3:$L$4986,12,FALSE))</f>
        <v>50</v>
      </c>
      <c r="L1391" s="270" t="str">
        <f>IF(D1391="","",INDEX(製品マスタ!$Q$5:$Q$5002,MATCH(F1391&amp;K1391,製品マスタ!$AO$5:$AO$5002,0)))</f>
        <v>T62</v>
      </c>
      <c r="M1391" s="39">
        <v>1120</v>
      </c>
      <c r="N1391" s="39">
        <v>10000</v>
      </c>
      <c r="O1391" s="47">
        <v>7</v>
      </c>
      <c r="P1391" s="57"/>
      <c r="Q1391" s="276">
        <f>IF(D1391="","",IF(J1391="リード付け",M1391,VLOOKUP(D1391,契約台帳!$A$3:$N$4986,14,FALSE)))</f>
        <v>1120</v>
      </c>
      <c r="R1391" s="277">
        <f>IF(D1391="","",IF(J1391="リード付け",M1391,VLOOKUP(D1391,契約台帳!$A$3:$O$4986,15,FALSE)))</f>
        <v>1120</v>
      </c>
      <c r="S1391" s="277">
        <f>IF(D1391="","",IF(J1391="リード付け",N1391,VLOOKUP(D1391,契約台帳!$A$3:$P$4986,16,FALSE)))</f>
        <v>5000</v>
      </c>
      <c r="T1391" s="40">
        <v>14</v>
      </c>
      <c r="U1391" s="278">
        <f ca="1">IF(D1391="","",IF(OFFSET(D1391,-2,0)=D1391,"",VLOOKUP(D1391,契約台帳!$A$3:$R$4986,18,FALSE)))</f>
        <v>50</v>
      </c>
      <c r="V1391" s="269" t="str">
        <f>IF(J1391="巻返し",VLOOKUP(F1391&amp;K1391&amp;M1391,製品マスタ!$M$5:$AD$5002,18,FALSE),IF(J1391="リード付け","原反コア",IF(J1391="スリット",VLOOKUP(F1391&amp;K1391&amp;Q1391,製品マスタ!$N$5:$AD$5002,17,FALSE),"")))</f>
        <v>6ｲﾝﾁSｺｱ</v>
      </c>
      <c r="W1391" s="269">
        <f>IF(J1391="巻返し",VLOOKUP(F1391&amp;K1391&amp;M1391,製品マスタ!$M$5:$AE$5002,19,FALSE),IF(J1391="リード付け","-",IF(J1391="スリット",VLOOKUP(F1391&amp;K1391&amp;Q1391,製品マスタ!$N$5:$AE$5002,18,FALSE),"")))</f>
        <v>1125</v>
      </c>
      <c r="X1391" s="275">
        <f>IF(D1391="","",VLOOKUP(D1391,契約台帳!$A$3:$Q$4986,17,FALSE))</f>
        <v>2</v>
      </c>
      <c r="Y1391" s="269" t="str">
        <f>IF(D1391="","",VLOOKUP(D1391,契約台帳!$A$3:$E$4986,5,FALSE))</f>
        <v>リンテック㈱</v>
      </c>
      <c r="Z1391" s="357">
        <v>45393</v>
      </c>
      <c r="AA1391" s="207"/>
      <c r="AB1391" s="369"/>
      <c r="AC1391" s="370"/>
      <c r="AD1391" s="332" t="str">
        <f>IF(F1391="","",+F1391&amp;K1391)</f>
        <v>3SNMLBMNGTBF50</v>
      </c>
      <c r="AE1391" s="216">
        <f>+M1391*N1391*O1391/1000</f>
        <v>78400</v>
      </c>
      <c r="AF1391" s="43">
        <f>IF(AD1391="","",VLOOKUP(AD1391,原価マスタ!$A$2:$AJ$1693,13,FALSE))</f>
        <v>99</v>
      </c>
      <c r="AG1391" s="47">
        <f>IF(AF1391="","",+AE1391*AF1391/100)</f>
        <v>77616</v>
      </c>
      <c r="AH1391" s="30"/>
      <c r="AI1391" s="30"/>
      <c r="AJ1391" s="30"/>
      <c r="AK1391" s="30"/>
      <c r="AL1391" s="13"/>
      <c r="AM1391" s="13"/>
      <c r="AN1391" s="13"/>
      <c r="AO1391" s="13"/>
      <c r="AP1391" s="13"/>
      <c r="AQ1391" s="14"/>
      <c r="AR1391" s="15"/>
    </row>
    <row r="1392" spans="1:44" s="17" customFormat="1" ht="30.95" hidden="1" customHeight="1" x14ac:dyDescent="0.2">
      <c r="A1392" s="343"/>
      <c r="B1392" s="344"/>
      <c r="C1392" s="345"/>
      <c r="D1392" s="398"/>
      <c r="E1392" s="31"/>
      <c r="F1392" s="268"/>
      <c r="G1392" s="269"/>
      <c r="H1392" s="269"/>
      <c r="I1392" s="270"/>
      <c r="J1392" s="32"/>
      <c r="K1392" s="270"/>
      <c r="L1392" s="270"/>
      <c r="M1392" s="39"/>
      <c r="N1392" s="39"/>
      <c r="O1392" s="47"/>
      <c r="P1392" s="57"/>
      <c r="Q1392" s="276"/>
      <c r="R1392" s="277"/>
      <c r="S1392" s="277"/>
      <c r="T1392" s="40"/>
      <c r="U1392" s="278"/>
      <c r="V1392" s="269"/>
      <c r="W1392" s="269"/>
      <c r="X1392" s="275"/>
      <c r="Y1392" s="269"/>
      <c r="Z1392" s="357"/>
      <c r="AA1392" s="207"/>
      <c r="AB1392" s="369"/>
      <c r="AC1392" s="370"/>
      <c r="AD1392" s="332"/>
      <c r="AE1392" s="216"/>
      <c r="AF1392" s="43"/>
      <c r="AG1392" s="47"/>
      <c r="AH1392" s="30"/>
      <c r="AI1392" s="30"/>
      <c r="AJ1392" s="30"/>
      <c r="AK1392" s="30"/>
      <c r="AL1392" s="13"/>
      <c r="AM1392" s="13"/>
      <c r="AN1392" s="13"/>
      <c r="AO1392" s="13"/>
      <c r="AP1392" s="13"/>
      <c r="AQ1392" s="14"/>
      <c r="AR1392" s="15"/>
    </row>
    <row r="1393" spans="1:44" s="17" customFormat="1" ht="30.95" hidden="1" customHeight="1" x14ac:dyDescent="0.2">
      <c r="A1393" s="343" t="s">
        <v>1031</v>
      </c>
      <c r="B1393" s="344" t="s">
        <v>688</v>
      </c>
      <c r="C1393" s="345"/>
      <c r="D1393" s="398"/>
      <c r="E1393" s="31"/>
      <c r="F1393" s="268"/>
      <c r="G1393" s="269"/>
      <c r="H1393" s="269"/>
      <c r="I1393" s="301" t="s">
        <v>2735</v>
      </c>
      <c r="J1393" s="32"/>
      <c r="K1393" s="270"/>
      <c r="L1393" s="270"/>
      <c r="M1393" s="39"/>
      <c r="N1393" s="39"/>
      <c r="O1393" s="47"/>
      <c r="P1393" s="57"/>
      <c r="Q1393" s="276"/>
      <c r="R1393" s="277"/>
      <c r="S1393" s="277"/>
      <c r="T1393" s="40"/>
      <c r="U1393" s="278"/>
      <c r="V1393" s="269"/>
      <c r="W1393" s="269"/>
      <c r="X1393" s="275"/>
      <c r="Y1393" s="269"/>
      <c r="Z1393" s="357"/>
      <c r="AA1393" s="207"/>
      <c r="AB1393" s="369"/>
      <c r="AC1393" s="370"/>
      <c r="AD1393" s="332"/>
      <c r="AE1393" s="216"/>
      <c r="AF1393" s="43"/>
      <c r="AG1393" s="47"/>
      <c r="AH1393" s="30"/>
      <c r="AI1393" s="30"/>
      <c r="AJ1393" s="30"/>
      <c r="AK1393" s="30"/>
      <c r="AL1393" s="13"/>
      <c r="AM1393" s="13"/>
      <c r="AN1393" s="13"/>
      <c r="AO1393" s="13"/>
      <c r="AP1393" s="13"/>
      <c r="AQ1393" s="14"/>
      <c r="AR1393" s="15"/>
    </row>
    <row r="1394" spans="1:44" s="17" customFormat="1" ht="30.95" hidden="1" customHeight="1" x14ac:dyDescent="0.2">
      <c r="A1394" s="343"/>
      <c r="B1394" s="344"/>
      <c r="C1394" s="345"/>
      <c r="D1394" s="398"/>
      <c r="E1394" s="31"/>
      <c r="F1394" s="268"/>
      <c r="G1394" s="269"/>
      <c r="H1394" s="269"/>
      <c r="I1394" s="270"/>
      <c r="J1394" s="32"/>
      <c r="K1394" s="270"/>
      <c r="L1394" s="270"/>
      <c r="M1394" s="39"/>
      <c r="N1394" s="39"/>
      <c r="O1394" s="47"/>
      <c r="P1394" s="57"/>
      <c r="Q1394" s="276"/>
      <c r="R1394" s="277"/>
      <c r="S1394" s="277"/>
      <c r="T1394" s="40"/>
      <c r="U1394" s="278"/>
      <c r="V1394" s="269"/>
      <c r="W1394" s="269"/>
      <c r="X1394" s="275"/>
      <c r="Y1394" s="269"/>
      <c r="Z1394" s="357"/>
      <c r="AA1394" s="207"/>
      <c r="AB1394" s="369"/>
      <c r="AC1394" s="370"/>
      <c r="AD1394" s="332"/>
      <c r="AE1394" s="216"/>
      <c r="AF1394" s="43"/>
      <c r="AG1394" s="47"/>
      <c r="AH1394" s="30"/>
      <c r="AI1394" s="30"/>
      <c r="AJ1394" s="30"/>
      <c r="AK1394" s="30"/>
      <c r="AL1394" s="13"/>
      <c r="AM1394" s="13"/>
      <c r="AN1394" s="13"/>
      <c r="AO1394" s="13"/>
      <c r="AP1394" s="13"/>
      <c r="AQ1394" s="14"/>
      <c r="AR1394" s="15"/>
    </row>
    <row r="1395" spans="1:44" s="17" customFormat="1" ht="30.95" hidden="1" customHeight="1" x14ac:dyDescent="0.2">
      <c r="A1395" s="343" t="s">
        <v>1032</v>
      </c>
      <c r="B1395" s="344" t="s">
        <v>442</v>
      </c>
      <c r="C1395" s="345"/>
      <c r="D1395" s="398">
        <v>3750071</v>
      </c>
      <c r="E1395" s="31">
        <v>4151628</v>
      </c>
      <c r="F1395" s="268" t="str">
        <f>IF(D1395="","",VLOOKUP(D1395,契約台帳!$A$3:$K$4986,6,FALSE)&amp;VLOOKUP(D1395,契約台帳!$A$3:$K$4986,7,FALSE)&amp;VLOOKUP(D1395,契約台帳!$A$3:$K$4986,8,FALSE)&amp;VLOOKUP(D1395,契約台帳!$A$3:$K$4986,9,FALSE)&amp;VLOOKUP(D1395,契約台帳!$A$3:$K$4986,11,FALSE))</f>
        <v>3SNMLBMNGTBF</v>
      </c>
      <c r="G1395" s="269" t="str">
        <f>IF(D1395="","",VLOOKUP(F1395,製品マスタ!$G$5:$H$5002,2,FALSE))</f>
        <v>S</v>
      </c>
      <c r="H1395" s="269" t="str">
        <f>IF(D1395="","",VLOOKUP(F1395,製品マスタ!$G$5:$K$5002,5,FALSE))</f>
        <v>MNGTBF</v>
      </c>
      <c r="I1395" s="270" t="str">
        <f>IF(D1395="","",VLOOKUP(F1395,製品マスタ!$G$5:$L$5002,6,FALSE))</f>
        <v>メタルミー　ネーマー　銀艶　Ｂ</v>
      </c>
      <c r="J1395" s="32" t="s">
        <v>447</v>
      </c>
      <c r="K1395" s="270">
        <f>IF(D1395="","",VLOOKUP(D1395,契約台帳!$A$3:$L$4986,12,FALSE))</f>
        <v>50</v>
      </c>
      <c r="L1395" s="270" t="str">
        <f>IF(D1395="","",INDEX(製品マスタ!$Q$5:$Q$5002,MATCH(F1395&amp;K1395,製品マスタ!$AO$5:$AO$5002,0)))</f>
        <v>T62</v>
      </c>
      <c r="M1395" s="39">
        <v>1120</v>
      </c>
      <c r="N1395" s="39">
        <v>10000</v>
      </c>
      <c r="O1395" s="47">
        <v>7</v>
      </c>
      <c r="P1395" s="57"/>
      <c r="Q1395" s="276">
        <f>IF(D1395="","",IF(J1395="リード付け",M1395,VLOOKUP(D1395,契約台帳!$A$3:$N$4986,14,FALSE)))</f>
        <v>1120</v>
      </c>
      <c r="R1395" s="277">
        <f>IF(D1395="","",IF(J1395="リード付け",M1395,VLOOKUP(D1395,契約台帳!$A$3:$O$4986,15,FALSE)))</f>
        <v>1120</v>
      </c>
      <c r="S1395" s="277">
        <f>IF(D1395="","",IF(J1395="リード付け",N1395,VLOOKUP(D1395,契約台帳!$A$3:$P$4986,16,FALSE)))</f>
        <v>5000</v>
      </c>
      <c r="T1395" s="40">
        <v>14</v>
      </c>
      <c r="U1395" s="278">
        <f ca="1">IF(D1395="","",IF(OFFSET(D1395,-2,0)=D1395,"",VLOOKUP(D1395,契約台帳!$A$3:$R$4986,18,FALSE)))</f>
        <v>50</v>
      </c>
      <c r="V1395" s="269" t="str">
        <f>IF(J1395="巻返し",VLOOKUP(F1395&amp;K1395&amp;M1395,製品マスタ!$M$5:$AD$5002,18,FALSE),IF(J1395="リード付け","原反コア",IF(J1395="スリット",VLOOKUP(F1395&amp;K1395&amp;Q1395,製品マスタ!$N$5:$AD$5002,17,FALSE),"")))</f>
        <v>6ｲﾝﾁSｺｱ</v>
      </c>
      <c r="W1395" s="269">
        <f>IF(J1395="巻返し",VLOOKUP(F1395&amp;K1395&amp;M1395,製品マスタ!$M$5:$AE$5002,19,FALSE),IF(J1395="リード付け","-",IF(J1395="スリット",VLOOKUP(F1395&amp;K1395&amp;Q1395,製品マスタ!$N$5:$AE$5002,18,FALSE),"")))</f>
        <v>1125</v>
      </c>
      <c r="X1395" s="275">
        <f>IF(D1395="","",VLOOKUP(D1395,契約台帳!$A$3:$Q$4986,17,FALSE))</f>
        <v>2</v>
      </c>
      <c r="Y1395" s="269" t="str">
        <f>IF(D1395="","",VLOOKUP(D1395,契約台帳!$A$3:$E$4986,5,FALSE))</f>
        <v>リンテック㈱</v>
      </c>
      <c r="Z1395" s="357">
        <v>45398</v>
      </c>
      <c r="AA1395" s="207"/>
      <c r="AB1395" s="369"/>
      <c r="AC1395" s="370"/>
      <c r="AD1395" s="332" t="str">
        <f>IF(F1395="","",+F1395&amp;K1395)</f>
        <v>3SNMLBMNGTBF50</v>
      </c>
      <c r="AE1395" s="216">
        <f>+M1395*N1395*O1395/1000</f>
        <v>78400</v>
      </c>
      <c r="AF1395" s="43">
        <f>IF(AD1395="","",VLOOKUP(AD1395,原価マスタ!$A$2:$AJ$1693,13,FALSE))</f>
        <v>99</v>
      </c>
      <c r="AG1395" s="47">
        <f>IF(AF1395="","",+AE1395*AF1395/100)</f>
        <v>77616</v>
      </c>
      <c r="AH1395" s="30"/>
      <c r="AI1395" s="30"/>
      <c r="AJ1395" s="30"/>
      <c r="AK1395" s="30"/>
      <c r="AL1395" s="13"/>
      <c r="AM1395" s="13"/>
      <c r="AN1395" s="13"/>
      <c r="AO1395" s="13"/>
      <c r="AP1395" s="13"/>
      <c r="AQ1395" s="14"/>
      <c r="AR1395" s="15"/>
    </row>
    <row r="1396" spans="1:44" s="17" customFormat="1" ht="30.95" hidden="1" customHeight="1" x14ac:dyDescent="0.2">
      <c r="A1396" s="343"/>
      <c r="B1396" s="344"/>
      <c r="C1396" s="345"/>
      <c r="D1396" s="398"/>
      <c r="E1396" s="31"/>
      <c r="F1396" s="268"/>
      <c r="G1396" s="269"/>
      <c r="H1396" s="269"/>
      <c r="I1396" s="270"/>
      <c r="J1396" s="32"/>
      <c r="K1396" s="270"/>
      <c r="L1396" s="270"/>
      <c r="M1396" s="39"/>
      <c r="N1396" s="39"/>
      <c r="O1396" s="47"/>
      <c r="P1396" s="57"/>
      <c r="Q1396" s="276"/>
      <c r="R1396" s="277"/>
      <c r="S1396" s="277"/>
      <c r="T1396" s="40"/>
      <c r="U1396" s="278"/>
      <c r="V1396" s="269"/>
      <c r="W1396" s="269"/>
      <c r="X1396" s="275"/>
      <c r="Y1396" s="269"/>
      <c r="Z1396" s="357"/>
      <c r="AA1396" s="207"/>
      <c r="AB1396" s="369"/>
      <c r="AC1396" s="370"/>
      <c r="AD1396" s="332"/>
      <c r="AE1396" s="216"/>
      <c r="AF1396" s="43"/>
      <c r="AG1396" s="47"/>
      <c r="AH1396" s="30"/>
      <c r="AI1396" s="30"/>
      <c r="AJ1396" s="30"/>
      <c r="AK1396" s="30"/>
      <c r="AL1396" s="13"/>
      <c r="AM1396" s="13"/>
      <c r="AN1396" s="13"/>
      <c r="AO1396" s="13"/>
      <c r="AP1396" s="13"/>
      <c r="AQ1396" s="14"/>
      <c r="AR1396" s="15"/>
    </row>
    <row r="1397" spans="1:44" s="17" customFormat="1" ht="30.95" hidden="1" customHeight="1" x14ac:dyDescent="0.2">
      <c r="A1397" s="343" t="s">
        <v>1036</v>
      </c>
      <c r="B1397" s="344" t="s">
        <v>443</v>
      </c>
      <c r="C1397" s="345"/>
      <c r="D1397" s="398">
        <v>3750071</v>
      </c>
      <c r="E1397" s="31">
        <v>4151628</v>
      </c>
      <c r="F1397" s="268" t="str">
        <f>IF(D1397="","",VLOOKUP(D1397,契約台帳!$A$3:$K$4986,6,FALSE)&amp;VLOOKUP(D1397,契約台帳!$A$3:$K$4986,7,FALSE)&amp;VLOOKUP(D1397,契約台帳!$A$3:$K$4986,8,FALSE)&amp;VLOOKUP(D1397,契約台帳!$A$3:$K$4986,9,FALSE)&amp;VLOOKUP(D1397,契約台帳!$A$3:$K$4986,11,FALSE))</f>
        <v>3SNMLBMNGTBF</v>
      </c>
      <c r="G1397" s="269" t="str">
        <f>IF(D1397="","",VLOOKUP(F1397,製品マスタ!$G$5:$H$5002,2,FALSE))</f>
        <v>S</v>
      </c>
      <c r="H1397" s="269" t="str">
        <f>IF(D1397="","",VLOOKUP(F1397,製品マスタ!$G$5:$K$5002,5,FALSE))</f>
        <v>MNGTBF</v>
      </c>
      <c r="I1397" s="270" t="str">
        <f>IF(D1397="","",VLOOKUP(F1397,製品マスタ!$G$5:$L$5002,6,FALSE))</f>
        <v>メタルミー　ネーマー　銀艶　Ｂ</v>
      </c>
      <c r="J1397" s="32" t="s">
        <v>447</v>
      </c>
      <c r="K1397" s="270">
        <f>IF(D1397="","",VLOOKUP(D1397,契約台帳!$A$3:$L$4986,12,FALSE))</f>
        <v>50</v>
      </c>
      <c r="L1397" s="270" t="str">
        <f>IF(D1397="","",INDEX(製品マスタ!$Q$5:$Q$5002,MATCH(F1397&amp;K1397,製品マスタ!$AO$5:$AO$5002,0)))</f>
        <v>T62</v>
      </c>
      <c r="M1397" s="39">
        <v>1120</v>
      </c>
      <c r="N1397" s="39">
        <v>10000</v>
      </c>
      <c r="O1397" s="47">
        <v>6</v>
      </c>
      <c r="P1397" s="57"/>
      <c r="Q1397" s="276">
        <f>IF(D1397="","",IF(J1397="リード付け",M1397,VLOOKUP(D1397,契約台帳!$A$3:$N$4986,14,FALSE)))</f>
        <v>1120</v>
      </c>
      <c r="R1397" s="277">
        <f>IF(D1397="","",IF(J1397="リード付け",M1397,VLOOKUP(D1397,契約台帳!$A$3:$O$4986,15,FALSE)))</f>
        <v>1120</v>
      </c>
      <c r="S1397" s="277">
        <f>IF(D1397="","",IF(J1397="リード付け",N1397,VLOOKUP(D1397,契約台帳!$A$3:$P$4986,16,FALSE)))</f>
        <v>5000</v>
      </c>
      <c r="T1397" s="40">
        <v>12</v>
      </c>
      <c r="U1397" s="278" t="str">
        <f ca="1">IF(D1397="","",IF(OFFSET(D1397,-2,0)=D1397,"",VLOOKUP(D1397,契約台帳!$A$3:$R$4986,18,FALSE)))</f>
        <v/>
      </c>
      <c r="V1397" s="269" t="str">
        <f>IF(J1397="巻返し",VLOOKUP(F1397&amp;K1397&amp;M1397,製品マスタ!$M$5:$AD$5002,18,FALSE),IF(J1397="リード付け","原反コア",IF(J1397="スリット",VLOOKUP(F1397&amp;K1397&amp;Q1397,製品マスタ!$N$5:$AD$5002,17,FALSE),"")))</f>
        <v>6ｲﾝﾁSｺｱ</v>
      </c>
      <c r="W1397" s="269">
        <f>IF(J1397="巻返し",VLOOKUP(F1397&amp;K1397&amp;M1397,製品マスタ!$M$5:$AE$5002,19,FALSE),IF(J1397="リード付け","-",IF(J1397="スリット",VLOOKUP(F1397&amp;K1397&amp;Q1397,製品マスタ!$N$5:$AE$5002,18,FALSE),"")))</f>
        <v>1125</v>
      </c>
      <c r="X1397" s="275">
        <f>IF(D1397="","",VLOOKUP(D1397,契約台帳!$A$3:$Q$4986,17,FALSE))</f>
        <v>2</v>
      </c>
      <c r="Y1397" s="269" t="str">
        <f>IF(D1397="","",VLOOKUP(D1397,契約台帳!$A$3:$E$4986,5,FALSE))</f>
        <v>リンテック㈱</v>
      </c>
      <c r="Z1397" s="357">
        <v>45399</v>
      </c>
      <c r="AA1397" s="207"/>
      <c r="AB1397" s="369"/>
      <c r="AC1397" s="370"/>
      <c r="AD1397" s="332" t="str">
        <f>IF(F1397="","",+F1397&amp;K1397)</f>
        <v>3SNMLBMNGTBF50</v>
      </c>
      <c r="AE1397" s="216">
        <f>+M1397*N1397*O1397/1000</f>
        <v>67200</v>
      </c>
      <c r="AF1397" s="43">
        <f>IF(AD1397="","",VLOOKUP(AD1397,原価マスタ!$A$2:$AJ$1693,13,FALSE))</f>
        <v>99</v>
      </c>
      <c r="AG1397" s="47">
        <f>IF(AF1397="","",+AE1397*AF1397/100)</f>
        <v>66528</v>
      </c>
      <c r="AH1397" s="30"/>
      <c r="AI1397" s="30"/>
      <c r="AJ1397" s="30"/>
      <c r="AK1397" s="30"/>
      <c r="AL1397" s="13"/>
      <c r="AM1397" s="13"/>
      <c r="AN1397" s="13"/>
      <c r="AO1397" s="13"/>
      <c r="AP1397" s="13"/>
      <c r="AQ1397" s="14"/>
      <c r="AR1397" s="15"/>
    </row>
    <row r="1398" spans="1:44" s="17" customFormat="1" ht="30.95" hidden="1" customHeight="1" x14ac:dyDescent="0.2">
      <c r="A1398" s="343"/>
      <c r="B1398" s="344"/>
      <c r="C1398" s="345"/>
      <c r="D1398" s="398"/>
      <c r="E1398" s="31"/>
      <c r="F1398" s="268"/>
      <c r="G1398" s="269"/>
      <c r="H1398" s="269"/>
      <c r="I1398" s="270"/>
      <c r="J1398" s="32"/>
      <c r="K1398" s="270"/>
      <c r="L1398" s="270"/>
      <c r="M1398" s="39"/>
      <c r="N1398" s="39"/>
      <c r="O1398" s="47"/>
      <c r="P1398" s="57"/>
      <c r="Q1398" s="276"/>
      <c r="R1398" s="277"/>
      <c r="S1398" s="277"/>
      <c r="T1398" s="40"/>
      <c r="U1398" s="278"/>
      <c r="V1398" s="269"/>
      <c r="W1398" s="269"/>
      <c r="X1398" s="275"/>
      <c r="Y1398" s="269"/>
      <c r="Z1398" s="357"/>
      <c r="AA1398" s="207"/>
      <c r="AB1398" s="369"/>
      <c r="AC1398" s="370"/>
      <c r="AD1398" s="332"/>
      <c r="AE1398" s="216"/>
      <c r="AF1398" s="43"/>
      <c r="AG1398" s="47"/>
      <c r="AH1398" s="30"/>
      <c r="AI1398" s="30"/>
      <c r="AJ1398" s="30"/>
      <c r="AK1398" s="30"/>
      <c r="AL1398" s="13"/>
      <c r="AM1398" s="13"/>
      <c r="AN1398" s="13"/>
      <c r="AO1398" s="13"/>
      <c r="AP1398" s="13"/>
      <c r="AQ1398" s="14"/>
      <c r="AR1398" s="15"/>
    </row>
    <row r="1399" spans="1:44" s="17" customFormat="1" ht="30.95" hidden="1" customHeight="1" x14ac:dyDescent="0.2">
      <c r="A1399" s="343"/>
      <c r="B1399" s="344"/>
      <c r="C1399" s="345"/>
      <c r="D1399" s="398">
        <v>3750087</v>
      </c>
      <c r="E1399" s="31">
        <v>4151632</v>
      </c>
      <c r="F1399" s="268" t="str">
        <f>IF(D1399="","",VLOOKUP(D1399,契約台帳!$A$3:$K$4986,6,FALSE)&amp;VLOOKUP(D1399,契約台帳!$A$3:$K$4986,7,FALSE)&amp;VLOOKUP(D1399,契約台帳!$A$3:$K$4986,8,FALSE)&amp;VLOOKUP(D1399,契約台帳!$A$3:$K$4986,9,FALSE)&amp;VLOOKUP(D1399,契約台帳!$A$3:$K$4986,11,FALSE))</f>
        <v>3SYMLBMSBBF</v>
      </c>
      <c r="G1399" s="269" t="str">
        <f>IF(D1399="","",VLOOKUP(F1399,製品マスタ!$G$5:$H$5002,2,FALSE))</f>
        <v>S</v>
      </c>
      <c r="H1399" s="269" t="str">
        <f>IF(D1399="","",VLOOKUP(F1399,製品マスタ!$G$5:$K$5002,5,FALSE))</f>
        <v>MSBBF</v>
      </c>
      <c r="I1399" s="270" t="str">
        <f>IF(D1399="","",VLOOKUP(F1399,製品マスタ!$G$5:$L$5002,6,FALSE))</f>
        <v>ＭＥＴＡＬＵＭＹ　ＳＩＬＶＥＲ　ＢＲＩＧＨＴ　Ｔ６２Ｍ　Ｂ</v>
      </c>
      <c r="J1399" s="32" t="s">
        <v>447</v>
      </c>
      <c r="K1399" s="270">
        <f>IF(D1399="","",VLOOKUP(D1399,契約台帳!$A$3:$L$4986,12,FALSE))</f>
        <v>50</v>
      </c>
      <c r="L1399" s="270" t="str">
        <f>IF(D1399="","",INDEX(製品マスタ!$Q$5:$Q$5002,MATCH(F1399&amp;K1399,製品マスタ!$AO$5:$AO$5002,0)))</f>
        <v>T62</v>
      </c>
      <c r="M1399" s="39">
        <v>1120</v>
      </c>
      <c r="N1399" s="39">
        <v>10000</v>
      </c>
      <c r="O1399" s="47">
        <v>1</v>
      </c>
      <c r="P1399" s="57"/>
      <c r="Q1399" s="276">
        <f>IF(D1399="","",IF(J1399="リード付け",M1399,VLOOKUP(D1399,契約台帳!$A$3:$N$4986,14,FALSE)))</f>
        <v>1120</v>
      </c>
      <c r="R1399" s="277">
        <f>IF(D1399="","",IF(J1399="リード付け",M1399,VLOOKUP(D1399,契約台帳!$A$3:$O$4986,15,FALSE)))</f>
        <v>1120</v>
      </c>
      <c r="S1399" s="277">
        <f>IF(D1399="","",IF(J1399="リード付け",N1399,VLOOKUP(D1399,契約台帳!$A$3:$P$4986,16,FALSE)))</f>
        <v>5000</v>
      </c>
      <c r="T1399" s="40">
        <v>2</v>
      </c>
      <c r="U1399" s="278">
        <f ca="1">IF(D1399="","",IF(OFFSET(D1399,-2,0)=D1399,"",VLOOKUP(D1399,契約台帳!$A$3:$R$4986,18,FALSE)))</f>
        <v>2</v>
      </c>
      <c r="V1399" s="269" t="str">
        <f>IF(J1399="巻返し",VLOOKUP(F1399&amp;K1399&amp;M1399,製品マスタ!$M$5:$AD$5002,18,FALSE),IF(J1399="リード付け","原反コア",IF(J1399="スリット",VLOOKUP(F1399&amp;K1399&amp;Q1399,製品マスタ!$N$5:$AD$5002,17,FALSE),"")))</f>
        <v>6ｲﾝﾁSｺｱ</v>
      </c>
      <c r="W1399" s="269">
        <f>IF(J1399="巻返し",VLOOKUP(F1399&amp;K1399&amp;M1399,製品マスタ!$M$5:$AE$5002,19,FALSE),IF(J1399="リード付け","-",IF(J1399="スリット",VLOOKUP(F1399&amp;K1399&amp;Q1399,製品マスタ!$N$5:$AE$5002,18,FALSE),"")))</f>
        <v>1125</v>
      </c>
      <c r="X1399" s="275">
        <f>IF(D1399="","",VLOOKUP(D1399,契約台帳!$A$3:$Q$4986,17,FALSE))</f>
        <v>2</v>
      </c>
      <c r="Y1399" s="269" t="str">
        <f>IF(D1399="","",VLOOKUP(D1399,契約台帳!$A$3:$E$4986,5,FALSE))</f>
        <v>リンテック㈱</v>
      </c>
      <c r="Z1399" s="357">
        <v>45399</v>
      </c>
      <c r="AA1399" s="207"/>
      <c r="AB1399" s="369"/>
      <c r="AC1399" s="370"/>
      <c r="AD1399" s="332" t="str">
        <f>IF(F1399="","",+F1399&amp;K1399)</f>
        <v>3SYMLBMSBBF50</v>
      </c>
      <c r="AE1399" s="216">
        <f>+M1399*N1399*O1399/1000</f>
        <v>11200</v>
      </c>
      <c r="AF1399" s="43">
        <f>IF(AD1399="","",VLOOKUP(AD1399,原価マスタ!$A$2:$AJ$1693,13,FALSE))</f>
        <v>99</v>
      </c>
      <c r="AG1399" s="47">
        <f>IF(AF1399="","",+AE1399*AF1399/100)</f>
        <v>11088</v>
      </c>
      <c r="AH1399" s="30"/>
      <c r="AI1399" s="30"/>
      <c r="AJ1399" s="30"/>
      <c r="AK1399" s="30"/>
      <c r="AL1399" s="13"/>
      <c r="AM1399" s="13"/>
      <c r="AN1399" s="13"/>
      <c r="AO1399" s="13"/>
      <c r="AP1399" s="13"/>
      <c r="AQ1399" s="14"/>
      <c r="AR1399" s="15"/>
    </row>
    <row r="1400" spans="1:44" s="17" customFormat="1" ht="30.95" hidden="1" customHeight="1" x14ac:dyDescent="0.2">
      <c r="A1400" s="343"/>
      <c r="B1400" s="344"/>
      <c r="C1400" s="345"/>
      <c r="D1400" s="398"/>
      <c r="E1400" s="31"/>
      <c r="F1400" s="268"/>
      <c r="G1400" s="269"/>
      <c r="H1400" s="269"/>
      <c r="I1400" s="270"/>
      <c r="J1400" s="32"/>
      <c r="K1400" s="270"/>
      <c r="L1400" s="270"/>
      <c r="M1400" s="39"/>
      <c r="N1400" s="39"/>
      <c r="O1400" s="47"/>
      <c r="P1400" s="57"/>
      <c r="Q1400" s="276"/>
      <c r="R1400" s="277"/>
      <c r="S1400" s="277"/>
      <c r="T1400" s="40"/>
      <c r="U1400" s="278"/>
      <c r="V1400" s="269"/>
      <c r="W1400" s="269"/>
      <c r="X1400" s="275"/>
      <c r="Y1400" s="269"/>
      <c r="Z1400" s="357"/>
      <c r="AA1400" s="207"/>
      <c r="AB1400" s="369"/>
      <c r="AC1400" s="370"/>
      <c r="AD1400" s="332"/>
      <c r="AE1400" s="216"/>
      <c r="AF1400" s="43"/>
      <c r="AG1400" s="47"/>
      <c r="AH1400" s="30"/>
      <c r="AI1400" s="30"/>
      <c r="AJ1400" s="30"/>
      <c r="AK1400" s="30"/>
      <c r="AL1400" s="13"/>
      <c r="AM1400" s="13"/>
      <c r="AN1400" s="13"/>
      <c r="AO1400" s="13"/>
      <c r="AP1400" s="13"/>
      <c r="AQ1400" s="14"/>
      <c r="AR1400" s="15"/>
    </row>
    <row r="1401" spans="1:44" s="17" customFormat="1" ht="30.95" hidden="1" customHeight="1" x14ac:dyDescent="0.2">
      <c r="A1401" s="343" t="s">
        <v>1037</v>
      </c>
      <c r="B1401" s="344" t="s">
        <v>444</v>
      </c>
      <c r="C1401" s="345"/>
      <c r="D1401" s="398">
        <v>3750093</v>
      </c>
      <c r="E1401" s="31">
        <v>4151633</v>
      </c>
      <c r="F1401" s="268" t="str">
        <f>IF(D1401="","",VLOOKUP(D1401,契約台帳!$A$3:$K$4986,6,FALSE)&amp;VLOOKUP(D1401,契約台帳!$A$3:$K$4986,7,FALSE)&amp;VLOOKUP(D1401,契約台帳!$A$3:$K$4986,8,FALSE)&amp;VLOOKUP(D1401,契約台帳!$A$3:$K$4986,9,FALSE)&amp;VLOOKUP(D1401,契約台帳!$A$3:$K$4986,11,FALSE))</f>
        <v>3SYMLBMSBBF</v>
      </c>
      <c r="G1401" s="269" t="str">
        <f>IF(D1401="","",VLOOKUP(F1401,製品マスタ!$G$5:$H$5002,2,FALSE))</f>
        <v>S</v>
      </c>
      <c r="H1401" s="269" t="str">
        <f>IF(D1401="","",VLOOKUP(F1401,製品マスタ!$G$5:$K$5002,5,FALSE))</f>
        <v>MSBBF</v>
      </c>
      <c r="I1401" s="270" t="str">
        <f>IF(D1401="","",VLOOKUP(F1401,製品マスタ!$G$5:$L$5002,6,FALSE))</f>
        <v>ＭＥＴＡＬＵＭＹ　ＳＩＬＶＥＲ　ＢＲＩＧＨＴ　Ｔ６２Ｍ　Ｂ</v>
      </c>
      <c r="J1401" s="32" t="s">
        <v>447</v>
      </c>
      <c r="K1401" s="270">
        <f>IF(D1401="","",VLOOKUP(D1401,契約台帳!$A$3:$L$4986,12,FALSE))</f>
        <v>50</v>
      </c>
      <c r="L1401" s="270" t="str">
        <f>IF(D1401="","",INDEX(製品マスタ!$Q$5:$Q$5002,MATCH(F1401&amp;K1401,製品マスタ!$AO$5:$AO$5002,0)))</f>
        <v>T62</v>
      </c>
      <c r="M1401" s="39">
        <v>1120</v>
      </c>
      <c r="N1401" s="39">
        <v>10000</v>
      </c>
      <c r="O1401" s="47">
        <v>1</v>
      </c>
      <c r="P1401" s="57"/>
      <c r="Q1401" s="276">
        <f>IF(D1401="","",IF(J1401="リード付け",M1401,VLOOKUP(D1401,契約台帳!$A$3:$N$4986,14,FALSE)))</f>
        <v>1120</v>
      </c>
      <c r="R1401" s="277">
        <f>IF(D1401="","",IF(J1401="リード付け",M1401,VLOOKUP(D1401,契約台帳!$A$3:$O$4986,15,FALSE)))</f>
        <v>1120</v>
      </c>
      <c r="S1401" s="277">
        <f>IF(D1401="","",IF(J1401="リード付け",N1401,VLOOKUP(D1401,契約台帳!$A$3:$P$4986,16,FALSE)))</f>
        <v>5000</v>
      </c>
      <c r="T1401" s="40">
        <v>2</v>
      </c>
      <c r="U1401" s="278">
        <f ca="1">IF(D1401="","",IF(OFFSET(D1401,-2,0)=D1401,"",VLOOKUP(D1401,契約台帳!$A$3:$R$4986,18,FALSE)))</f>
        <v>2</v>
      </c>
      <c r="V1401" s="269" t="str">
        <f>IF(J1401="巻返し",VLOOKUP(F1401&amp;K1401&amp;M1401,製品マスタ!$M$5:$AD$5002,18,FALSE),IF(J1401="リード付け","原反コア",IF(J1401="スリット",VLOOKUP(F1401&amp;K1401&amp;Q1401,製品マスタ!$N$5:$AD$5002,17,FALSE),"")))</f>
        <v>6ｲﾝﾁSｺｱ</v>
      </c>
      <c r="W1401" s="269">
        <f>IF(J1401="巻返し",VLOOKUP(F1401&amp;K1401&amp;M1401,製品マスタ!$M$5:$AE$5002,19,FALSE),IF(J1401="リード付け","-",IF(J1401="スリット",VLOOKUP(F1401&amp;K1401&amp;Q1401,製品マスタ!$N$5:$AE$5002,18,FALSE),"")))</f>
        <v>1125</v>
      </c>
      <c r="X1401" s="275">
        <f>IF(D1401="","",VLOOKUP(D1401,契約台帳!$A$3:$Q$4986,17,FALSE))</f>
        <v>2</v>
      </c>
      <c r="Y1401" s="269" t="str">
        <f>IF(D1401="","",VLOOKUP(D1401,契約台帳!$A$3:$E$4986,5,FALSE))</f>
        <v>リンテック㈱</v>
      </c>
      <c r="Z1401" s="357">
        <v>45399</v>
      </c>
      <c r="AA1401" s="207"/>
      <c r="AB1401" s="369"/>
      <c r="AC1401" s="370"/>
      <c r="AD1401" s="332" t="str">
        <f>IF(F1401="","",+F1401&amp;K1401)</f>
        <v>3SYMLBMSBBF50</v>
      </c>
      <c r="AE1401" s="216">
        <f>+M1401*N1401*O1401/1000</f>
        <v>11200</v>
      </c>
      <c r="AF1401" s="43">
        <f>IF(AD1401="","",VLOOKUP(AD1401,原価マスタ!$A$2:$AJ$1693,13,FALSE))</f>
        <v>99</v>
      </c>
      <c r="AG1401" s="47">
        <f>IF(AF1401="","",+AE1401*AF1401/100)</f>
        <v>11088</v>
      </c>
      <c r="AH1401" s="30"/>
      <c r="AI1401" s="30"/>
      <c r="AJ1401" s="30"/>
      <c r="AK1401" s="30"/>
      <c r="AL1401" s="13"/>
      <c r="AM1401" s="13"/>
      <c r="AN1401" s="13"/>
      <c r="AO1401" s="13"/>
      <c r="AP1401" s="13"/>
      <c r="AQ1401" s="14"/>
      <c r="AR1401" s="15"/>
    </row>
    <row r="1402" spans="1:44" s="17" customFormat="1" ht="30.95" hidden="1" customHeight="1" x14ac:dyDescent="0.2">
      <c r="A1402" s="343"/>
      <c r="B1402" s="344"/>
      <c r="C1402" s="345"/>
      <c r="D1402" s="398"/>
      <c r="E1402" s="31"/>
      <c r="F1402" s="268"/>
      <c r="G1402" s="269"/>
      <c r="H1402" s="269"/>
      <c r="I1402" s="270"/>
      <c r="J1402" s="32"/>
      <c r="K1402" s="270"/>
      <c r="L1402" s="270"/>
      <c r="M1402" s="39"/>
      <c r="N1402" s="39"/>
      <c r="O1402" s="47"/>
      <c r="P1402" s="57"/>
      <c r="Q1402" s="276"/>
      <c r="R1402" s="277"/>
      <c r="S1402" s="277"/>
      <c r="T1402" s="40"/>
      <c r="U1402" s="278"/>
      <c r="V1402" s="269"/>
      <c r="W1402" s="269"/>
      <c r="X1402" s="275"/>
      <c r="Y1402" s="269"/>
      <c r="Z1402" s="357"/>
      <c r="AA1402" s="207"/>
      <c r="AB1402" s="369"/>
      <c r="AC1402" s="370"/>
      <c r="AD1402" s="332"/>
      <c r="AE1402" s="216"/>
      <c r="AF1402" s="43"/>
      <c r="AG1402" s="47"/>
      <c r="AH1402" s="30"/>
      <c r="AI1402" s="30"/>
      <c r="AJ1402" s="30"/>
      <c r="AK1402" s="30"/>
      <c r="AL1402" s="13"/>
      <c r="AM1402" s="13"/>
      <c r="AN1402" s="13"/>
      <c r="AO1402" s="13"/>
      <c r="AP1402" s="13"/>
      <c r="AQ1402" s="14"/>
      <c r="AR1402" s="15"/>
    </row>
    <row r="1403" spans="1:44" s="17" customFormat="1" ht="30.95" hidden="1" customHeight="1" x14ac:dyDescent="0.2">
      <c r="A1403" s="343"/>
      <c r="B1403" s="344"/>
      <c r="C1403" s="345"/>
      <c r="D1403" s="398">
        <v>3750090</v>
      </c>
      <c r="E1403" s="31">
        <v>4151642</v>
      </c>
      <c r="F1403" s="268" t="str">
        <f>IF(D1403="","",VLOOKUP(D1403,契約台帳!$A$3:$K$4986,6,FALSE)&amp;VLOOKUP(D1403,契約台帳!$A$3:$K$4986,7,FALSE)&amp;VLOOKUP(D1403,契約台帳!$A$3:$K$4986,8,FALSE)&amp;VLOOKUP(D1403,契約台帳!$A$3:$K$4986,9,FALSE)&amp;VLOOKUP(D1403,契約台帳!$A$3:$K$4986,11,FALSE))</f>
        <v>3SYMLBMSSMBF</v>
      </c>
      <c r="G1403" s="269" t="str">
        <f>IF(D1403="","",VLOOKUP(F1403,製品マスタ!$G$5:$H$5002,2,FALSE))</f>
        <v>S</v>
      </c>
      <c r="H1403" s="269" t="str">
        <f>IF(D1403="","",VLOOKUP(F1403,製品マスタ!$G$5:$K$5002,5,FALSE))</f>
        <v>MSSMBF</v>
      </c>
      <c r="I1403" s="270" t="str">
        <f>IF(D1403="","",VLOOKUP(F1403,製品マスタ!$G$5:$L$5002,6,FALSE))</f>
        <v>ＭＥＴＡＬＵＭＹ　ＳＩＬＶＥＲ　Ｓ－ＭＡＴＴＥ　Ｓ２８ＭＭ　Ｂ</v>
      </c>
      <c r="J1403" s="32" t="s">
        <v>447</v>
      </c>
      <c r="K1403" s="270">
        <f>IF(D1403="","",VLOOKUP(D1403,契約台帳!$A$3:$L$4986,12,FALSE))</f>
        <v>50</v>
      </c>
      <c r="L1403" s="270" t="e">
        <f>IF(D1403="","",INDEX(製品マスタ!$Q$5:$Q$5002,MATCH(F1403&amp;K1403,製品マスタ!$AO$5:$AO$5002,0)))</f>
        <v>#N/A</v>
      </c>
      <c r="M1403" s="39">
        <v>1120</v>
      </c>
      <c r="N1403" s="39">
        <v>8000</v>
      </c>
      <c r="O1403" s="47">
        <v>1</v>
      </c>
      <c r="P1403" s="57"/>
      <c r="Q1403" s="276">
        <f>IF(D1403="","",IF(J1403="リード付け",M1403,VLOOKUP(D1403,契約台帳!$A$3:$N$4986,14,FALSE)))</f>
        <v>1120</v>
      </c>
      <c r="R1403" s="277">
        <f>IF(D1403="","",IF(J1403="リード付け",M1403,VLOOKUP(D1403,契約台帳!$A$3:$O$4986,15,FALSE)))</f>
        <v>1120</v>
      </c>
      <c r="S1403" s="277">
        <f>IF(D1403="","",IF(J1403="リード付け",N1403,VLOOKUP(D1403,契約台帳!$A$3:$P$4986,16,FALSE)))</f>
        <v>4000</v>
      </c>
      <c r="T1403" s="40">
        <v>2</v>
      </c>
      <c r="U1403" s="278">
        <f ca="1">IF(D1403="","",IF(OFFSET(D1403,-2,0)=D1403,"",VLOOKUP(D1403,契約台帳!$A$3:$R$4986,18,FALSE)))</f>
        <v>2</v>
      </c>
      <c r="V1403" s="269" t="e">
        <f>IF(J1403="巻返し",VLOOKUP(F1403&amp;K1403&amp;M1403,製品マスタ!$M$5:$AD$5002,18,FALSE),IF(J1403="リード付け","原反コア",IF(J1403="スリット",VLOOKUP(F1403&amp;K1403&amp;Q1403,製品マスタ!$N$5:$AD$5002,17,FALSE),"")))</f>
        <v>#N/A</v>
      </c>
      <c r="W1403" s="269" t="e">
        <f>IF(J1403="巻返し",VLOOKUP(F1403&amp;K1403&amp;M1403,製品マスタ!$M$5:$AE$5002,19,FALSE),IF(J1403="リード付け","-",IF(J1403="スリット",VLOOKUP(F1403&amp;K1403&amp;Q1403,製品マスタ!$N$5:$AE$5002,18,FALSE),"")))</f>
        <v>#N/A</v>
      </c>
      <c r="X1403" s="275">
        <f>IF(D1403="","",VLOOKUP(D1403,契約台帳!$A$3:$Q$4986,17,FALSE))</f>
        <v>2</v>
      </c>
      <c r="Y1403" s="269" t="str">
        <f>IF(D1403="","",VLOOKUP(D1403,契約台帳!$A$3:$E$4986,5,FALSE))</f>
        <v>リンテック㈱</v>
      </c>
      <c r="Z1403" s="357">
        <v>45399</v>
      </c>
      <c r="AA1403" s="207"/>
      <c r="AB1403" s="369"/>
      <c r="AC1403" s="370"/>
      <c r="AD1403" s="332" t="str">
        <f>IF(F1403="","",+F1403&amp;K1403)</f>
        <v>3SYMLBMSSMBF50</v>
      </c>
      <c r="AE1403" s="216">
        <f>+M1403*N1403*O1403/1000</f>
        <v>8960</v>
      </c>
      <c r="AF1403" s="43">
        <f>IF(AD1403="","",VLOOKUP(AD1403,原価マスタ!$A$2:$AJ$1693,13,FALSE))</f>
        <v>98</v>
      </c>
      <c r="AG1403" s="47">
        <f>IF(AF1403="","",+AE1403*AF1403/100)</f>
        <v>8780.7999999999993</v>
      </c>
      <c r="AH1403" s="30"/>
      <c r="AI1403" s="30"/>
      <c r="AJ1403" s="30"/>
      <c r="AK1403" s="30"/>
      <c r="AL1403" s="13"/>
      <c r="AM1403" s="13"/>
      <c r="AN1403" s="13"/>
      <c r="AO1403" s="13"/>
      <c r="AP1403" s="13"/>
      <c r="AQ1403" s="14"/>
      <c r="AR1403" s="15"/>
    </row>
    <row r="1404" spans="1:44" s="17" customFormat="1" ht="30.95" hidden="1" customHeight="1" x14ac:dyDescent="0.2">
      <c r="A1404" s="343"/>
      <c r="B1404" s="344"/>
      <c r="C1404" s="345"/>
      <c r="D1404" s="398"/>
      <c r="E1404" s="31"/>
      <c r="F1404" s="268"/>
      <c r="G1404" s="269"/>
      <c r="H1404" s="269"/>
      <c r="I1404" s="270"/>
      <c r="J1404" s="32"/>
      <c r="K1404" s="270"/>
      <c r="L1404" s="270"/>
      <c r="M1404" s="39"/>
      <c r="N1404" s="39"/>
      <c r="O1404" s="47"/>
      <c r="P1404" s="57"/>
      <c r="Q1404" s="276"/>
      <c r="R1404" s="277"/>
      <c r="S1404" s="277"/>
      <c r="T1404" s="40"/>
      <c r="U1404" s="278"/>
      <c r="V1404" s="269"/>
      <c r="W1404" s="269"/>
      <c r="X1404" s="275"/>
      <c r="Y1404" s="269"/>
      <c r="Z1404" s="357"/>
      <c r="AA1404" s="207"/>
      <c r="AB1404" s="369"/>
      <c r="AC1404" s="370"/>
      <c r="AD1404" s="332"/>
      <c r="AE1404" s="216"/>
      <c r="AF1404" s="43"/>
      <c r="AG1404" s="47"/>
      <c r="AH1404" s="30"/>
      <c r="AI1404" s="30"/>
      <c r="AJ1404" s="30"/>
      <c r="AK1404" s="30"/>
      <c r="AL1404" s="13"/>
      <c r="AM1404" s="13"/>
      <c r="AN1404" s="13"/>
      <c r="AO1404" s="13"/>
      <c r="AP1404" s="13"/>
      <c r="AQ1404" s="14"/>
      <c r="AR1404" s="15"/>
    </row>
    <row r="1405" spans="1:44" s="17" customFormat="1" ht="30.95" hidden="1" customHeight="1" x14ac:dyDescent="0.2">
      <c r="A1405" s="343"/>
      <c r="B1405" s="344"/>
      <c r="C1405" s="345"/>
      <c r="D1405" s="398">
        <v>3750065</v>
      </c>
      <c r="E1405" s="31">
        <v>4151625</v>
      </c>
      <c r="F1405" s="268" t="str">
        <f>IF(D1405="","",VLOOKUP(D1405,契約台帳!$A$3:$K$4986,6,FALSE)&amp;VLOOKUP(D1405,契約台帳!$A$3:$K$4986,7,FALSE)&amp;VLOOKUP(D1405,契約台帳!$A$3:$K$4986,8,FALSE)&amp;VLOOKUP(D1405,契約台帳!$A$3:$K$4986,9,FALSE)&amp;VLOOKUP(D1405,契約台帳!$A$3:$K$4986,11,FALSE))</f>
        <v>3SNMLBMNGKKBF</v>
      </c>
      <c r="G1405" s="269" t="str">
        <f>IF(D1405="","",VLOOKUP(F1405,製品マスタ!$G$5:$H$5002,2,FALSE))</f>
        <v>S</v>
      </c>
      <c r="H1405" s="269" t="str">
        <f>IF(D1405="","",VLOOKUP(F1405,製品マスタ!$G$5:$K$5002,5,FALSE))</f>
        <v>MNGKKBF</v>
      </c>
      <c r="I1405" s="270" t="str">
        <f>IF(D1405="","",VLOOKUP(F1405,製品マスタ!$G$5:$L$5002,6,FALSE))</f>
        <v>メタルミー　ネーマー銀消改　Ｂ</v>
      </c>
      <c r="J1405" s="32" t="s">
        <v>447</v>
      </c>
      <c r="K1405" s="270">
        <f>IF(D1405="","",VLOOKUP(D1405,契約台帳!$A$3:$L$4986,12,FALSE))</f>
        <v>25</v>
      </c>
      <c r="L1405" s="270" t="str">
        <f>IF(D1405="","",INDEX(製品マスタ!$Q$5:$Q$5002,MATCH(F1405&amp;K1405,製品マスタ!$AO$5:$AO$5002,0)))</f>
        <v>FMATS99</v>
      </c>
      <c r="M1405" s="39">
        <v>1120</v>
      </c>
      <c r="N1405" s="39">
        <v>8000</v>
      </c>
      <c r="O1405" s="47">
        <v>2</v>
      </c>
      <c r="P1405" s="57"/>
      <c r="Q1405" s="276">
        <f>IF(D1405="","",IF(J1405="リード付け",M1405,VLOOKUP(D1405,契約台帳!$A$3:$N$4986,14,FALSE)))</f>
        <v>1120</v>
      </c>
      <c r="R1405" s="277">
        <f>IF(D1405="","",IF(J1405="リード付け",M1405,VLOOKUP(D1405,契約台帳!$A$3:$O$4986,15,FALSE)))</f>
        <v>1120</v>
      </c>
      <c r="S1405" s="277">
        <f>IF(D1405="","",IF(J1405="リード付け",N1405,VLOOKUP(D1405,契約台帳!$A$3:$P$4986,16,FALSE)))</f>
        <v>4000</v>
      </c>
      <c r="T1405" s="40">
        <v>4</v>
      </c>
      <c r="U1405" s="278">
        <f ca="1">IF(D1405="","",IF(OFFSET(D1405,-2,0)=D1405,"",VLOOKUP(D1405,契約台帳!$A$3:$R$4986,18,FALSE)))</f>
        <v>4</v>
      </c>
      <c r="V1405" s="269" t="str">
        <f>IF(J1405="巻返し",VLOOKUP(F1405&amp;K1405&amp;M1405,製品マスタ!$M$5:$AD$5002,18,FALSE),IF(J1405="リード付け","原反コア",IF(J1405="スリット",VLOOKUP(F1405&amp;K1405&amp;Q1405,製品マスタ!$N$5:$AD$5002,17,FALSE),"")))</f>
        <v>6ｲﾝﾁSｺｱ</v>
      </c>
      <c r="W1405" s="269">
        <f>IF(J1405="巻返し",VLOOKUP(F1405&amp;K1405&amp;M1405,製品マスタ!$M$5:$AE$5002,19,FALSE),IF(J1405="リード付け","-",IF(J1405="スリット",VLOOKUP(F1405&amp;K1405&amp;Q1405,製品マスタ!$N$5:$AE$5002,18,FALSE),"")))</f>
        <v>1125</v>
      </c>
      <c r="X1405" s="275">
        <f>IF(D1405="","",VLOOKUP(D1405,契約台帳!$A$3:$Q$4986,17,FALSE))</f>
        <v>2</v>
      </c>
      <c r="Y1405" s="269" t="str">
        <f>IF(D1405="","",VLOOKUP(D1405,契約台帳!$A$3:$E$4986,5,FALSE))</f>
        <v>リンテック㈱</v>
      </c>
      <c r="Z1405" s="357">
        <v>45399</v>
      </c>
      <c r="AA1405" s="207"/>
      <c r="AB1405" s="369"/>
      <c r="AC1405" s="370"/>
      <c r="AD1405" s="332" t="str">
        <f>IF(F1405="","",+F1405&amp;K1405)</f>
        <v>3SNMLBMNGKKBF25</v>
      </c>
      <c r="AE1405" s="216">
        <f>+M1405*N1405*O1405/1000</f>
        <v>17920</v>
      </c>
      <c r="AF1405" s="43">
        <f>IF(AD1405="","",VLOOKUP(AD1405,原価マスタ!$A$2:$AJ$1693,13,FALSE))</f>
        <v>96</v>
      </c>
      <c r="AG1405" s="47">
        <f>IF(AF1405="","",+AE1405*AF1405/100)</f>
        <v>17203.2</v>
      </c>
      <c r="AH1405" s="30"/>
      <c r="AI1405" s="30"/>
      <c r="AJ1405" s="30"/>
      <c r="AK1405" s="30"/>
      <c r="AL1405" s="13"/>
      <c r="AM1405" s="13"/>
      <c r="AN1405" s="13"/>
      <c r="AO1405" s="13"/>
      <c r="AP1405" s="13"/>
      <c r="AQ1405" s="14"/>
      <c r="AR1405" s="15"/>
    </row>
    <row r="1406" spans="1:44" s="17" customFormat="1" ht="30.95" hidden="1" customHeight="1" x14ac:dyDescent="0.2">
      <c r="A1406" s="343"/>
      <c r="B1406" s="344"/>
      <c r="C1406" s="345"/>
      <c r="D1406" s="398"/>
      <c r="E1406" s="31"/>
      <c r="F1406" s="268"/>
      <c r="G1406" s="269"/>
      <c r="H1406" s="269"/>
      <c r="I1406" s="270"/>
      <c r="J1406" s="32"/>
      <c r="K1406" s="270"/>
      <c r="L1406" s="270"/>
      <c r="M1406" s="39"/>
      <c r="N1406" s="39"/>
      <c r="O1406" s="47"/>
      <c r="P1406" s="57"/>
      <c r="Q1406" s="276"/>
      <c r="R1406" s="277"/>
      <c r="S1406" s="277"/>
      <c r="T1406" s="40"/>
      <c r="U1406" s="278"/>
      <c r="V1406" s="269"/>
      <c r="W1406" s="269"/>
      <c r="X1406" s="275"/>
      <c r="Y1406" s="269"/>
      <c r="Z1406" s="357"/>
      <c r="AA1406" s="207"/>
      <c r="AB1406" s="369"/>
      <c r="AC1406" s="370"/>
      <c r="AD1406" s="332"/>
      <c r="AE1406" s="216"/>
      <c r="AF1406" s="43"/>
      <c r="AG1406" s="47"/>
      <c r="AH1406" s="30"/>
      <c r="AI1406" s="30"/>
      <c r="AJ1406" s="30"/>
      <c r="AK1406" s="30"/>
      <c r="AL1406" s="13"/>
      <c r="AM1406" s="13"/>
      <c r="AN1406" s="13"/>
      <c r="AO1406" s="13"/>
      <c r="AP1406" s="13"/>
      <c r="AQ1406" s="14"/>
      <c r="AR1406" s="15"/>
    </row>
    <row r="1407" spans="1:44" s="17" customFormat="1" ht="30.95" hidden="1" customHeight="1" x14ac:dyDescent="0.2">
      <c r="A1407" s="343"/>
      <c r="B1407" s="344"/>
      <c r="C1407" s="345"/>
      <c r="D1407" s="398">
        <v>3750080</v>
      </c>
      <c r="E1407" s="31">
        <v>4151647</v>
      </c>
      <c r="F1407" s="268" t="str">
        <f>IF(D1407="","",VLOOKUP(D1407,契約台帳!$A$3:$K$4986,6,FALSE)&amp;VLOOKUP(D1407,契約台帳!$A$3:$K$4986,7,FALSE)&amp;VLOOKUP(D1407,契約台帳!$A$3:$K$4986,8,FALSE)&amp;VLOOKUP(D1407,契約台帳!$A$3:$K$4986,9,FALSE)&amp;VLOOKUP(D1407,契約台帳!$A$3:$K$4986,11,FALSE))</f>
        <v>3SNMLBMNQR66F</v>
      </c>
      <c r="G1407" s="269" t="str">
        <f>IF(D1407="","",VLOOKUP(F1407,製品マスタ!$G$5:$H$5002,2,FALSE))</f>
        <v>S</v>
      </c>
      <c r="H1407" s="269" t="str">
        <f>IF(D1407="","",VLOOKUP(F1407,製品マスタ!$G$5:$K$5002,5,FALSE))</f>
        <v>MNQR66F</v>
      </c>
      <c r="I1407" s="270" t="str">
        <f>IF(D1407="","",VLOOKUP(F1407,製品マスタ!$G$5:$L$5002,6,FALSE))</f>
        <v>ＱＲ６６蒸着品</v>
      </c>
      <c r="J1407" s="32" t="s">
        <v>447</v>
      </c>
      <c r="K1407" s="270">
        <f>IF(D1407="","",VLOOKUP(D1407,契約台帳!$A$3:$L$4986,12,FALSE))</f>
        <v>25</v>
      </c>
      <c r="L1407" s="270" t="str">
        <f>IF(D1407="","",INDEX(製品マスタ!$Q$5:$Q$5002,MATCH(F1407&amp;K1407,製品マスタ!$AO$5:$AO$5002,0)))</f>
        <v>E315</v>
      </c>
      <c r="M1407" s="39">
        <v>1100</v>
      </c>
      <c r="N1407" s="39">
        <v>18000</v>
      </c>
      <c r="O1407" s="47">
        <v>2</v>
      </c>
      <c r="P1407" s="57"/>
      <c r="Q1407" s="276">
        <f>IF(D1407="","",IF(J1407="リード付け",M1407,VLOOKUP(D1407,契約台帳!$A$3:$N$4986,14,FALSE)))</f>
        <v>1100</v>
      </c>
      <c r="R1407" s="277">
        <f>IF(D1407="","",IF(J1407="リード付け",M1407,VLOOKUP(D1407,契約台帳!$A$3:$O$4986,15,FALSE)))</f>
        <v>1100</v>
      </c>
      <c r="S1407" s="277">
        <f>IF(D1407="","",IF(J1407="リード付け",N1407,VLOOKUP(D1407,契約台帳!$A$3:$P$4986,16,FALSE)))</f>
        <v>6000</v>
      </c>
      <c r="T1407" s="40">
        <v>6</v>
      </c>
      <c r="U1407" s="278">
        <f ca="1">IF(D1407="","",IF(OFFSET(D1407,-2,0)=D1407,"",VLOOKUP(D1407,契約台帳!$A$3:$R$4986,18,FALSE)))</f>
        <v>10</v>
      </c>
      <c r="V1407" s="269" t="str">
        <f>IF(J1407="巻返し",VLOOKUP(F1407&amp;K1407&amp;M1407,製品マスタ!$M$5:$AD$5002,18,FALSE),IF(J1407="リード付け","原反コア",IF(J1407="スリット",VLOOKUP(F1407&amp;K1407&amp;Q1407,製品マスタ!$N$5:$AD$5002,17,FALSE),"")))</f>
        <v>6ｲﾝﾁMｺｱ</v>
      </c>
      <c r="W1407" s="269">
        <f>IF(J1407="巻返し",VLOOKUP(F1407&amp;K1407&amp;M1407,製品マスタ!$M$5:$AE$5002,19,FALSE),IF(J1407="リード付け","-",IF(J1407="スリット",VLOOKUP(F1407&amp;K1407&amp;Q1407,製品マスタ!$N$5:$AE$5002,18,FALSE),"")))</f>
        <v>1110</v>
      </c>
      <c r="X1407" s="275">
        <f>IF(D1407="","",VLOOKUP(D1407,契約台帳!$A$3:$Q$4986,17,FALSE))</f>
        <v>2</v>
      </c>
      <c r="Y1407" s="269" t="str">
        <f>IF(D1407="","",VLOOKUP(D1407,契約台帳!$A$3:$E$4986,5,FALSE))</f>
        <v>リンテック㈱</v>
      </c>
      <c r="Z1407" s="357">
        <v>45399</v>
      </c>
      <c r="AA1407" s="207"/>
      <c r="AB1407" s="369"/>
      <c r="AC1407" s="370"/>
      <c r="AD1407" s="332" t="str">
        <f>IF(F1407="","",+F1407&amp;K1407)</f>
        <v>3SNMLBMNQR66F25</v>
      </c>
      <c r="AE1407" s="216">
        <f>+M1407*N1407*O1407/1000</f>
        <v>39600</v>
      </c>
      <c r="AF1407" s="43">
        <f>IF(AD1407="","",VLOOKUP(AD1407,原価マスタ!$A$2:$AJ$1693,13,FALSE))</f>
        <v>98</v>
      </c>
      <c r="AG1407" s="47">
        <f>IF(AF1407="","",+AE1407*AF1407/100)</f>
        <v>38808</v>
      </c>
      <c r="AH1407" s="30"/>
      <c r="AI1407" s="30"/>
      <c r="AJ1407" s="30"/>
      <c r="AK1407" s="30"/>
      <c r="AL1407" s="13"/>
      <c r="AM1407" s="13"/>
      <c r="AN1407" s="13"/>
      <c r="AO1407" s="13"/>
      <c r="AP1407" s="13"/>
      <c r="AQ1407" s="14"/>
      <c r="AR1407" s="15"/>
    </row>
    <row r="1408" spans="1:44" s="17" customFormat="1" ht="30.95" hidden="1" customHeight="1" x14ac:dyDescent="0.2">
      <c r="A1408" s="343"/>
      <c r="B1408" s="344"/>
      <c r="C1408" s="345"/>
      <c r="D1408" s="398"/>
      <c r="E1408" s="31"/>
      <c r="F1408" s="268"/>
      <c r="G1408" s="269"/>
      <c r="H1408" s="269"/>
      <c r="I1408" s="270"/>
      <c r="J1408" s="32"/>
      <c r="K1408" s="270"/>
      <c r="L1408" s="270"/>
      <c r="M1408" s="39"/>
      <c r="N1408" s="39"/>
      <c r="O1408" s="47"/>
      <c r="P1408" s="57"/>
      <c r="Q1408" s="276"/>
      <c r="R1408" s="277"/>
      <c r="S1408" s="277"/>
      <c r="T1408" s="40"/>
      <c r="U1408" s="278"/>
      <c r="V1408" s="269"/>
      <c r="W1408" s="269"/>
      <c r="X1408" s="275"/>
      <c r="Y1408" s="269"/>
      <c r="Z1408" s="357"/>
      <c r="AA1408" s="207"/>
      <c r="AB1408" s="369"/>
      <c r="AC1408" s="370"/>
      <c r="AD1408" s="332"/>
      <c r="AE1408" s="216"/>
      <c r="AF1408" s="43"/>
      <c r="AG1408" s="47"/>
      <c r="AH1408" s="30"/>
      <c r="AI1408" s="30"/>
      <c r="AJ1408" s="30"/>
      <c r="AK1408" s="30"/>
      <c r="AL1408" s="13"/>
      <c r="AM1408" s="13"/>
      <c r="AN1408" s="13"/>
      <c r="AO1408" s="13"/>
      <c r="AP1408" s="13"/>
      <c r="AQ1408" s="14"/>
      <c r="AR1408" s="15"/>
    </row>
    <row r="1409" spans="1:44" s="17" customFormat="1" ht="30.95" hidden="1" customHeight="1" x14ac:dyDescent="0.2">
      <c r="A1409" s="343" t="s">
        <v>1039</v>
      </c>
      <c r="B1409" s="344" t="s">
        <v>445</v>
      </c>
      <c r="C1409" s="345"/>
      <c r="D1409" s="31"/>
      <c r="E1409" s="31"/>
      <c r="F1409" s="268"/>
      <c r="G1409" s="269"/>
      <c r="H1409" s="269"/>
      <c r="I1409" s="270"/>
      <c r="J1409" s="32" t="s">
        <v>448</v>
      </c>
      <c r="K1409" s="270"/>
      <c r="L1409" s="270"/>
      <c r="M1409" s="39"/>
      <c r="N1409" s="39"/>
      <c r="O1409" s="47"/>
      <c r="P1409" s="57"/>
      <c r="Q1409" s="276"/>
      <c r="R1409" s="277"/>
      <c r="S1409" s="277"/>
      <c r="T1409" s="40"/>
      <c r="U1409" s="278"/>
      <c r="V1409" s="269"/>
      <c r="W1409" s="269"/>
      <c r="X1409" s="275"/>
      <c r="Y1409" s="269"/>
      <c r="Z1409" s="357"/>
      <c r="AA1409" s="207"/>
      <c r="AB1409" s="369"/>
      <c r="AC1409" s="370"/>
      <c r="AD1409" s="332"/>
      <c r="AE1409" s="216"/>
      <c r="AF1409" s="43"/>
      <c r="AG1409" s="47"/>
      <c r="AH1409" s="30"/>
      <c r="AI1409" s="30"/>
      <c r="AJ1409" s="30"/>
      <c r="AK1409" s="30"/>
      <c r="AL1409" s="13"/>
      <c r="AM1409" s="13"/>
      <c r="AN1409" s="13"/>
      <c r="AO1409" s="13"/>
      <c r="AP1409" s="13"/>
      <c r="AQ1409" s="14"/>
      <c r="AR1409" s="15"/>
    </row>
    <row r="1410" spans="1:44" s="17" customFormat="1" ht="30.95" hidden="1" customHeight="1" x14ac:dyDescent="0.2">
      <c r="A1410" s="343"/>
      <c r="B1410" s="344"/>
      <c r="C1410" s="345"/>
      <c r="D1410" s="31"/>
      <c r="E1410" s="31"/>
      <c r="F1410" s="268"/>
      <c r="G1410" s="269"/>
      <c r="H1410" s="269"/>
      <c r="I1410" s="270"/>
      <c r="J1410" s="32"/>
      <c r="K1410" s="270"/>
      <c r="L1410" s="270"/>
      <c r="M1410" s="39"/>
      <c r="N1410" s="39"/>
      <c r="O1410" s="47"/>
      <c r="P1410" s="57"/>
      <c r="Q1410" s="276"/>
      <c r="R1410" s="277"/>
      <c r="S1410" s="277"/>
      <c r="T1410" s="40"/>
      <c r="U1410" s="278"/>
      <c r="V1410" s="269"/>
      <c r="W1410" s="269"/>
      <c r="X1410" s="275"/>
      <c r="Y1410" s="269"/>
      <c r="Z1410" s="357"/>
      <c r="AA1410" s="207"/>
      <c r="AB1410" s="369"/>
      <c r="AC1410" s="370"/>
      <c r="AD1410" s="332"/>
      <c r="AE1410" s="216"/>
      <c r="AF1410" s="43"/>
      <c r="AG1410" s="47"/>
      <c r="AH1410" s="30"/>
      <c r="AI1410" s="30"/>
      <c r="AJ1410" s="30"/>
      <c r="AK1410" s="30"/>
      <c r="AL1410" s="13"/>
      <c r="AM1410" s="13"/>
      <c r="AN1410" s="13"/>
      <c r="AO1410" s="13"/>
      <c r="AP1410" s="13"/>
      <c r="AQ1410" s="14"/>
      <c r="AR1410" s="15"/>
    </row>
    <row r="1411" spans="1:44" s="17" customFormat="1" ht="30.95" hidden="1" customHeight="1" x14ac:dyDescent="0.2">
      <c r="A1411" s="343" t="s">
        <v>1041</v>
      </c>
      <c r="B1411" s="344" t="s">
        <v>446</v>
      </c>
      <c r="C1411" s="345"/>
      <c r="D1411" s="31"/>
      <c r="E1411" s="31"/>
      <c r="F1411" s="268"/>
      <c r="G1411" s="269"/>
      <c r="H1411" s="269"/>
      <c r="I1411" s="270"/>
      <c r="J1411" s="32" t="s">
        <v>448</v>
      </c>
      <c r="K1411" s="270"/>
      <c r="L1411" s="270"/>
      <c r="M1411" s="39"/>
      <c r="N1411" s="39"/>
      <c r="O1411" s="47"/>
      <c r="P1411" s="57"/>
      <c r="Q1411" s="276"/>
      <c r="R1411" s="277"/>
      <c r="S1411" s="277"/>
      <c r="T1411" s="40"/>
      <c r="U1411" s="278"/>
      <c r="V1411" s="269"/>
      <c r="W1411" s="269"/>
      <c r="X1411" s="275"/>
      <c r="Y1411" s="269"/>
      <c r="Z1411" s="357"/>
      <c r="AA1411" s="207"/>
      <c r="AB1411" s="369"/>
      <c r="AC1411" s="370"/>
      <c r="AD1411" s="332"/>
      <c r="AE1411" s="216"/>
      <c r="AF1411" s="43"/>
      <c r="AG1411" s="47"/>
      <c r="AH1411" s="30"/>
      <c r="AI1411" s="30"/>
      <c r="AJ1411" s="30"/>
      <c r="AK1411" s="30"/>
      <c r="AL1411" s="13"/>
      <c r="AM1411" s="13"/>
      <c r="AN1411" s="13"/>
      <c r="AO1411" s="13"/>
      <c r="AP1411" s="13"/>
      <c r="AQ1411" s="14"/>
      <c r="AR1411" s="15"/>
    </row>
    <row r="1412" spans="1:44" s="17" customFormat="1" ht="30.95" hidden="1" customHeight="1" x14ac:dyDescent="0.2">
      <c r="A1412" s="343"/>
      <c r="B1412" s="344"/>
      <c r="C1412" s="345"/>
      <c r="D1412" s="31"/>
      <c r="E1412" s="31"/>
      <c r="F1412" s="268"/>
      <c r="G1412" s="269"/>
      <c r="H1412" s="269"/>
      <c r="I1412" s="270"/>
      <c r="J1412" s="32"/>
      <c r="K1412" s="270"/>
      <c r="L1412" s="270"/>
      <c r="M1412" s="39"/>
      <c r="N1412" s="39"/>
      <c r="O1412" s="47"/>
      <c r="P1412" s="57"/>
      <c r="Q1412" s="276"/>
      <c r="R1412" s="277"/>
      <c r="S1412" s="277"/>
      <c r="T1412" s="40"/>
      <c r="U1412" s="278"/>
      <c r="V1412" s="269"/>
      <c r="W1412" s="269"/>
      <c r="X1412" s="275"/>
      <c r="Y1412" s="269"/>
      <c r="Z1412" s="357"/>
      <c r="AA1412" s="207"/>
      <c r="AB1412" s="369"/>
      <c r="AC1412" s="370"/>
      <c r="AD1412" s="332"/>
      <c r="AE1412" s="216"/>
      <c r="AF1412" s="43"/>
      <c r="AG1412" s="47"/>
      <c r="AH1412" s="30"/>
      <c r="AI1412" s="30"/>
      <c r="AJ1412" s="30"/>
      <c r="AK1412" s="30"/>
      <c r="AL1412" s="13"/>
      <c r="AM1412" s="13"/>
      <c r="AN1412" s="13"/>
      <c r="AO1412" s="13"/>
      <c r="AP1412" s="13"/>
      <c r="AQ1412" s="14"/>
      <c r="AR1412" s="15"/>
    </row>
    <row r="1413" spans="1:44" s="17" customFormat="1" ht="30.95" hidden="1" customHeight="1" x14ac:dyDescent="0.2">
      <c r="A1413" s="343" t="s">
        <v>1043</v>
      </c>
      <c r="B1413" s="344" t="s">
        <v>462</v>
      </c>
      <c r="C1413" s="345"/>
      <c r="D1413" s="398">
        <v>3750080</v>
      </c>
      <c r="E1413" s="31">
        <v>4151647</v>
      </c>
      <c r="F1413" s="268" t="str">
        <f>IF(D1413="","",VLOOKUP(D1413,契約台帳!$A$3:$K$4986,6,FALSE)&amp;VLOOKUP(D1413,契約台帳!$A$3:$K$4986,7,FALSE)&amp;VLOOKUP(D1413,契約台帳!$A$3:$K$4986,8,FALSE)&amp;VLOOKUP(D1413,契約台帳!$A$3:$K$4986,9,FALSE)&amp;VLOOKUP(D1413,契約台帳!$A$3:$K$4986,11,FALSE))</f>
        <v>3SNMLBMNQR66F</v>
      </c>
      <c r="G1413" s="269" t="str">
        <f>IF(D1413="","",VLOOKUP(F1413,製品マスタ!$G$5:$H$5002,2,FALSE))</f>
        <v>S</v>
      </c>
      <c r="H1413" s="269" t="str">
        <f>IF(D1413="","",VLOOKUP(F1413,製品マスタ!$G$5:$K$5002,5,FALSE))</f>
        <v>MNQR66F</v>
      </c>
      <c r="I1413" s="270" t="str">
        <f>IF(D1413="","",VLOOKUP(F1413,製品マスタ!$G$5:$L$5002,6,FALSE))</f>
        <v>ＱＲ６６蒸着品</v>
      </c>
      <c r="J1413" s="32" t="s">
        <v>447</v>
      </c>
      <c r="K1413" s="270">
        <f>IF(D1413="","",VLOOKUP(D1413,契約台帳!$A$3:$L$4986,12,FALSE))</f>
        <v>25</v>
      </c>
      <c r="L1413" s="270" t="str">
        <f>IF(D1413="","",INDEX(製品マスタ!$Q$5:$Q$5002,MATCH(F1413&amp;K1413,製品マスタ!$AO$5:$AO$5002,0)))</f>
        <v>E315</v>
      </c>
      <c r="M1413" s="39">
        <v>1100</v>
      </c>
      <c r="N1413" s="39">
        <v>12000</v>
      </c>
      <c r="O1413" s="47">
        <v>2</v>
      </c>
      <c r="P1413" s="57"/>
      <c r="Q1413" s="276">
        <f>IF(D1413="","",IF(J1413="リード付け",M1413,VLOOKUP(D1413,契約台帳!$A$3:$N$4986,14,FALSE)))</f>
        <v>1100</v>
      </c>
      <c r="R1413" s="277">
        <f>IF(D1413="","",IF(J1413="リード付け",M1413,VLOOKUP(D1413,契約台帳!$A$3:$O$4986,15,FALSE)))</f>
        <v>1100</v>
      </c>
      <c r="S1413" s="277">
        <f>IF(D1413="","",IF(J1413="リード付け",N1413,VLOOKUP(D1413,契約台帳!$A$3:$P$4986,16,FALSE)))</f>
        <v>6000</v>
      </c>
      <c r="T1413" s="40">
        <v>4</v>
      </c>
      <c r="U1413" s="278">
        <f ca="1">IF(D1413="","",IF(OFFSET(D1413,-2,0)=D1413,"",VLOOKUP(D1413,契約台帳!$A$3:$R$4986,18,FALSE)))</f>
        <v>10</v>
      </c>
      <c r="V1413" s="269" t="str">
        <f>IF(J1413="巻返し",VLOOKUP(F1413&amp;K1413&amp;M1413,製品マスタ!$M$5:$AD$5002,18,FALSE),IF(J1413="リード付け","原反コア",IF(J1413="スリット",VLOOKUP(F1413&amp;K1413&amp;Q1413,製品マスタ!$N$5:$AD$5002,17,FALSE),"")))</f>
        <v>6ｲﾝﾁMｺｱ</v>
      </c>
      <c r="W1413" s="269">
        <f>IF(J1413="巻返し",VLOOKUP(F1413&amp;K1413&amp;M1413,製品マスタ!$M$5:$AE$5002,19,FALSE),IF(J1413="リード付け","-",IF(J1413="スリット",VLOOKUP(F1413&amp;K1413&amp;Q1413,製品マスタ!$N$5:$AE$5002,18,FALSE),"")))</f>
        <v>1110</v>
      </c>
      <c r="X1413" s="275">
        <f>IF(D1413="","",VLOOKUP(D1413,契約台帳!$A$3:$Q$4986,17,FALSE))</f>
        <v>2</v>
      </c>
      <c r="Y1413" s="269" t="str">
        <f>IF(D1413="","",VLOOKUP(D1413,契約台帳!$A$3:$E$4986,5,FALSE))</f>
        <v>リンテック㈱</v>
      </c>
      <c r="Z1413" s="357">
        <v>45400</v>
      </c>
      <c r="AA1413" s="207"/>
      <c r="AB1413" s="369"/>
      <c r="AC1413" s="370"/>
      <c r="AD1413" s="332" t="str">
        <f>IF(F1413="","",+F1413&amp;K1413)</f>
        <v>3SNMLBMNQR66F25</v>
      </c>
      <c r="AE1413" s="216">
        <f>+M1413*N1413*O1413/1000</f>
        <v>26400</v>
      </c>
      <c r="AF1413" s="43">
        <f>IF(AD1413="","",VLOOKUP(AD1413,原価マスタ!$A$2:$AJ$1693,13,FALSE))</f>
        <v>98</v>
      </c>
      <c r="AG1413" s="47">
        <f>IF(AF1413="","",+AE1413*AF1413/100)</f>
        <v>25872</v>
      </c>
      <c r="AH1413" s="30"/>
      <c r="AI1413" s="30"/>
      <c r="AJ1413" s="30"/>
      <c r="AK1413" s="30"/>
      <c r="AL1413" s="13"/>
      <c r="AM1413" s="13"/>
      <c r="AN1413" s="13"/>
      <c r="AO1413" s="13"/>
      <c r="AP1413" s="13"/>
      <c r="AQ1413" s="14"/>
      <c r="AR1413" s="15"/>
    </row>
    <row r="1414" spans="1:44" s="17" customFormat="1" ht="30.95" hidden="1" customHeight="1" x14ac:dyDescent="0.2">
      <c r="A1414" s="343"/>
      <c r="B1414" s="344"/>
      <c r="C1414" s="345"/>
      <c r="D1414" s="398"/>
      <c r="E1414" s="31"/>
      <c r="F1414" s="268"/>
      <c r="G1414" s="269"/>
      <c r="H1414" s="269"/>
      <c r="I1414" s="270"/>
      <c r="J1414" s="32"/>
      <c r="K1414" s="270"/>
      <c r="L1414" s="270"/>
      <c r="M1414" s="39"/>
      <c r="N1414" s="39"/>
      <c r="O1414" s="47"/>
      <c r="P1414" s="57"/>
      <c r="Q1414" s="276"/>
      <c r="R1414" s="277"/>
      <c r="S1414" s="277"/>
      <c r="T1414" s="40"/>
      <c r="U1414" s="278"/>
      <c r="V1414" s="269"/>
      <c r="W1414" s="269"/>
      <c r="X1414" s="275"/>
      <c r="Y1414" s="269"/>
      <c r="Z1414" s="357"/>
      <c r="AA1414" s="207"/>
      <c r="AB1414" s="369"/>
      <c r="AC1414" s="370"/>
      <c r="AD1414" s="332"/>
      <c r="AE1414" s="216"/>
      <c r="AF1414" s="43"/>
      <c r="AG1414" s="47"/>
      <c r="AH1414" s="30"/>
      <c r="AI1414" s="30"/>
      <c r="AJ1414" s="30"/>
      <c r="AK1414" s="30"/>
      <c r="AL1414" s="13"/>
      <c r="AM1414" s="13"/>
      <c r="AN1414" s="13"/>
      <c r="AO1414" s="13"/>
      <c r="AP1414" s="13"/>
      <c r="AQ1414" s="14"/>
      <c r="AR1414" s="15"/>
    </row>
    <row r="1415" spans="1:44" s="17" customFormat="1" ht="30.95" hidden="1" customHeight="1" x14ac:dyDescent="0.2">
      <c r="A1415" s="343"/>
      <c r="B1415" s="344"/>
      <c r="C1415" s="345"/>
      <c r="D1415" s="398">
        <v>3750067</v>
      </c>
      <c r="E1415" s="31">
        <v>4151624</v>
      </c>
      <c r="F1415" s="268" t="str">
        <f>IF(D1415="","",VLOOKUP(D1415,契約台帳!$A$3:$K$4986,6,FALSE)&amp;VLOOKUP(D1415,契約台帳!$A$3:$K$4986,7,FALSE)&amp;VLOOKUP(D1415,契約台帳!$A$3:$K$4986,8,FALSE)&amp;VLOOKUP(D1415,契約台帳!$A$3:$K$4986,9,FALSE)&amp;VLOOKUP(D1415,契約台帳!$A$3:$K$4986,11,FALSE))</f>
        <v>3SNMLBMNGKBF</v>
      </c>
      <c r="G1415" s="269" t="str">
        <f>IF(D1415="","",VLOOKUP(F1415,製品マスタ!$G$5:$H$5002,2,FALSE))</f>
        <v>S</v>
      </c>
      <c r="H1415" s="269" t="str">
        <f>IF(D1415="","",VLOOKUP(F1415,製品マスタ!$G$5:$K$5002,5,FALSE))</f>
        <v>MNGKBF</v>
      </c>
      <c r="I1415" s="270" t="str">
        <f>IF(D1415="","",VLOOKUP(F1415,製品マスタ!$G$5:$L$5002,6,FALSE))</f>
        <v>メタルミー　ネーマー銀消　Ｂ</v>
      </c>
      <c r="J1415" s="32" t="s">
        <v>447</v>
      </c>
      <c r="K1415" s="270">
        <f>IF(D1415="","",VLOOKUP(D1415,契約台帳!$A$3:$L$4986,12,FALSE))</f>
        <v>50</v>
      </c>
      <c r="L1415" s="270" t="str">
        <f>IF(D1415="","",INDEX(製品マスタ!$Q$5:$Q$5002,MATCH(F1415&amp;K1415,製品マスタ!$AO$5:$AO$5002,0)))</f>
        <v>MAT</v>
      </c>
      <c r="M1415" s="39">
        <v>1050</v>
      </c>
      <c r="N1415" s="39">
        <v>12300</v>
      </c>
      <c r="O1415" s="47">
        <v>2</v>
      </c>
      <c r="P1415" s="57"/>
      <c r="Q1415" s="276">
        <f>IF(D1415="","",IF(J1415="リード付け",M1415,VLOOKUP(D1415,契約台帳!$A$3:$N$4986,14,FALSE)))</f>
        <v>1050</v>
      </c>
      <c r="R1415" s="277">
        <f>IF(D1415="","",IF(J1415="リード付け",M1415,VLOOKUP(D1415,契約台帳!$A$3:$O$4986,15,FALSE)))</f>
        <v>1050</v>
      </c>
      <c r="S1415" s="277">
        <f>IF(D1415="","",IF(J1415="リード付け",N1415,VLOOKUP(D1415,契約台帳!$A$3:$P$4986,16,FALSE)))</f>
        <v>4100</v>
      </c>
      <c r="T1415" s="40">
        <v>6</v>
      </c>
      <c r="U1415" s="278">
        <f ca="1">IF(D1415="","",IF(OFFSET(D1415,-2,0)=D1415,"",VLOOKUP(D1415,契約台帳!$A$3:$R$4986,18,FALSE)))</f>
        <v>6</v>
      </c>
      <c r="V1415" s="269" t="str">
        <f>IF(J1415="巻返し",VLOOKUP(F1415&amp;K1415&amp;M1415,製品マスタ!$M$5:$AD$5002,18,FALSE),IF(J1415="リード付け","原反コア",IF(J1415="スリット",VLOOKUP(F1415&amp;K1415&amp;Q1415,製品マスタ!$N$5:$AD$5002,17,FALSE),"")))</f>
        <v>6ｲﾝﾁSｺｱ</v>
      </c>
      <c r="W1415" s="269">
        <f>IF(J1415="巻返し",VLOOKUP(F1415&amp;K1415&amp;M1415,製品マスタ!$M$5:$AE$5002,19,FALSE),IF(J1415="リード付け","-",IF(J1415="スリット",VLOOKUP(F1415&amp;K1415&amp;Q1415,製品マスタ!$N$5:$AE$5002,18,FALSE),"")))</f>
        <v>1055</v>
      </c>
      <c r="X1415" s="275">
        <f>IF(D1415="","",VLOOKUP(D1415,契約台帳!$A$3:$Q$4986,17,FALSE))</f>
        <v>2</v>
      </c>
      <c r="Y1415" s="269" t="str">
        <f>IF(D1415="","",VLOOKUP(D1415,契約台帳!$A$3:$E$4986,5,FALSE))</f>
        <v>リンテック㈱</v>
      </c>
      <c r="Z1415" s="357">
        <v>45400</v>
      </c>
      <c r="AA1415" s="207"/>
      <c r="AB1415" s="369"/>
      <c r="AC1415" s="370"/>
      <c r="AD1415" s="332" t="str">
        <f>IF(F1415="","",+F1415&amp;K1415)</f>
        <v>3SNMLBMNGKBF50</v>
      </c>
      <c r="AE1415" s="216">
        <f>+M1415*N1415*O1415/1000</f>
        <v>25830</v>
      </c>
      <c r="AF1415" s="43">
        <f>IF(AD1415="","",VLOOKUP(AD1415,原価マスタ!$A$2:$AJ$1693,13,FALSE))</f>
        <v>98</v>
      </c>
      <c r="AG1415" s="47">
        <f>IF(AF1415="","",+AE1415*AF1415/100)</f>
        <v>25313.4</v>
      </c>
      <c r="AH1415" s="30"/>
      <c r="AI1415" s="30"/>
      <c r="AJ1415" s="30"/>
      <c r="AK1415" s="30"/>
      <c r="AL1415" s="13"/>
      <c r="AM1415" s="13"/>
      <c r="AN1415" s="13"/>
      <c r="AO1415" s="13"/>
      <c r="AP1415" s="13"/>
      <c r="AQ1415" s="14"/>
      <c r="AR1415" s="15"/>
    </row>
    <row r="1416" spans="1:44" s="17" customFormat="1" ht="30.95" hidden="1" customHeight="1" x14ac:dyDescent="0.2">
      <c r="A1416" s="343"/>
      <c r="B1416" s="344"/>
      <c r="C1416" s="345"/>
      <c r="D1416" s="398"/>
      <c r="E1416" s="31"/>
      <c r="F1416" s="268"/>
      <c r="G1416" s="269"/>
      <c r="H1416" s="269"/>
      <c r="I1416" s="270"/>
      <c r="J1416" s="32"/>
      <c r="K1416" s="270"/>
      <c r="L1416" s="270"/>
      <c r="M1416" s="39"/>
      <c r="N1416" s="39"/>
      <c r="O1416" s="47"/>
      <c r="P1416" s="57"/>
      <c r="Q1416" s="276"/>
      <c r="R1416" s="277"/>
      <c r="S1416" s="277"/>
      <c r="T1416" s="40"/>
      <c r="U1416" s="278"/>
      <c r="V1416" s="269"/>
      <c r="W1416" s="269"/>
      <c r="X1416" s="275"/>
      <c r="Y1416" s="269"/>
      <c r="Z1416" s="357"/>
      <c r="AA1416" s="207"/>
      <c r="AB1416" s="369"/>
      <c r="AC1416" s="370"/>
      <c r="AD1416" s="332"/>
      <c r="AE1416" s="216"/>
      <c r="AF1416" s="43"/>
      <c r="AG1416" s="47"/>
      <c r="AH1416" s="30"/>
      <c r="AI1416" s="30"/>
      <c r="AJ1416" s="30"/>
      <c r="AK1416" s="30"/>
      <c r="AL1416" s="13"/>
      <c r="AM1416" s="13"/>
      <c r="AN1416" s="13"/>
      <c r="AO1416" s="13"/>
      <c r="AP1416" s="13"/>
      <c r="AQ1416" s="14"/>
      <c r="AR1416" s="15"/>
    </row>
    <row r="1417" spans="1:44" s="17" customFormat="1" ht="30.95" hidden="1" customHeight="1" x14ac:dyDescent="0.2">
      <c r="A1417" s="343"/>
      <c r="B1417" s="344"/>
      <c r="C1417" s="345"/>
      <c r="D1417" s="398">
        <v>3750083</v>
      </c>
      <c r="E1417" s="31">
        <v>4151646</v>
      </c>
      <c r="F1417" s="268" t="str">
        <f>IF(D1417="","",VLOOKUP(D1417,契約台帳!$A$3:$K$4986,6,FALSE)&amp;VLOOKUP(D1417,契約台帳!$A$3:$K$4986,7,FALSE)&amp;VLOOKUP(D1417,契約台帳!$A$3:$K$4986,8,FALSE)&amp;VLOOKUP(D1417,契約台帳!$A$3:$K$4986,9,FALSE)&amp;VLOOKUP(D1417,契約台帳!$A$3:$K$4986,11,FALSE))</f>
        <v>3SNMLBMNNGKBF</v>
      </c>
      <c r="G1417" s="269" t="str">
        <f>IF(D1417="","",VLOOKUP(F1417,製品マスタ!$G$5:$H$5002,2,FALSE))</f>
        <v>S</v>
      </c>
      <c r="H1417" s="269" t="str">
        <f>IF(D1417="","",VLOOKUP(F1417,製品マスタ!$G$5:$K$5002,5,FALSE))</f>
        <v>MNNGKBF</v>
      </c>
      <c r="I1417" s="270" t="str">
        <f>IF(D1417="","",VLOOKUP(F1417,製品マスタ!$G$5:$L$5002,6,FALSE))</f>
        <v>メタルミー　ニューネーマー銀消　Ｂ</v>
      </c>
      <c r="J1417" s="32" t="s">
        <v>447</v>
      </c>
      <c r="K1417" s="270">
        <f>IF(D1417="","",VLOOKUP(D1417,契約台帳!$A$3:$L$4986,12,FALSE))</f>
        <v>25</v>
      </c>
      <c r="L1417" s="270" t="str">
        <f>IF(D1417="","",INDEX(製品マスタ!$Q$5:$Q$5002,MATCH(F1417&amp;K1417,製品マスタ!$AO$5:$AO$5002,0)))</f>
        <v>X44C</v>
      </c>
      <c r="M1417" s="39">
        <v>1005</v>
      </c>
      <c r="N1417" s="39">
        <v>16000</v>
      </c>
      <c r="O1417" s="47">
        <v>1</v>
      </c>
      <c r="P1417" s="57"/>
      <c r="Q1417" s="276">
        <f>IF(D1417="","",IF(J1417="リード付け",M1417,VLOOKUP(D1417,契約台帳!$A$3:$N$4986,14,FALSE)))</f>
        <v>1005</v>
      </c>
      <c r="R1417" s="277">
        <f>IF(D1417="","",IF(J1417="リード付け",M1417,VLOOKUP(D1417,契約台帳!$A$3:$O$4986,15,FALSE)))</f>
        <v>1000</v>
      </c>
      <c r="S1417" s="277">
        <f>IF(D1417="","",IF(J1417="リード付け",N1417,VLOOKUP(D1417,契約台帳!$A$3:$P$4986,16,FALSE)))</f>
        <v>4000</v>
      </c>
      <c r="T1417" s="40">
        <v>4</v>
      </c>
      <c r="U1417" s="278">
        <f ca="1">IF(D1417="","",IF(OFFSET(D1417,-2,0)=D1417,"",VLOOKUP(D1417,契約台帳!$A$3:$R$4986,18,FALSE)))</f>
        <v>6</v>
      </c>
      <c r="V1417" s="269" t="str">
        <f>IF(J1417="巻返し",VLOOKUP(F1417&amp;K1417&amp;M1417,製品マスタ!$M$5:$AD$5002,18,FALSE),IF(J1417="リード付け","原反コア",IF(J1417="スリット",VLOOKUP(F1417&amp;K1417&amp;Q1417,製品マスタ!$N$5:$AD$5002,17,FALSE),"")))</f>
        <v>6ｲﾝﾁSｺｱ</v>
      </c>
      <c r="W1417" s="269">
        <f>IF(J1417="巻返し",VLOOKUP(F1417&amp;K1417&amp;M1417,製品マスタ!$M$5:$AE$5002,19,FALSE),IF(J1417="リード付け","-",IF(J1417="スリット",VLOOKUP(F1417&amp;K1417&amp;Q1417,製品マスタ!$N$5:$AE$5002,18,FALSE),"")))</f>
        <v>1015</v>
      </c>
      <c r="X1417" s="275">
        <f>IF(D1417="","",VLOOKUP(D1417,契約台帳!$A$3:$Q$4986,17,FALSE))</f>
        <v>2</v>
      </c>
      <c r="Y1417" s="269" t="str">
        <f>IF(D1417="","",VLOOKUP(D1417,契約台帳!$A$3:$E$4986,5,FALSE))</f>
        <v>リンテック㈱</v>
      </c>
      <c r="Z1417" s="357">
        <v>45400</v>
      </c>
      <c r="AA1417" s="207"/>
      <c r="AB1417" s="369"/>
      <c r="AC1417" s="370"/>
      <c r="AD1417" s="332" t="str">
        <f>IF(F1417="","",+F1417&amp;K1417)</f>
        <v>3SNMLBMNNGKBF25</v>
      </c>
      <c r="AE1417" s="216">
        <f>+M1417*N1417*O1417/1000</f>
        <v>16080</v>
      </c>
      <c r="AF1417" s="43">
        <f>IF(AD1417="","",VLOOKUP(AD1417,原価マスタ!$A$2:$AJ$1693,13,FALSE))</f>
        <v>98.3</v>
      </c>
      <c r="AG1417" s="47">
        <f>IF(AF1417="","",+AE1417*AF1417/100)</f>
        <v>15806.64</v>
      </c>
      <c r="AH1417" s="30"/>
      <c r="AI1417" s="30"/>
      <c r="AJ1417" s="30"/>
      <c r="AK1417" s="30"/>
      <c r="AL1417" s="13"/>
      <c r="AM1417" s="13"/>
      <c r="AN1417" s="13"/>
      <c r="AO1417" s="13"/>
      <c r="AP1417" s="13"/>
      <c r="AQ1417" s="14"/>
      <c r="AR1417" s="15"/>
    </row>
    <row r="1418" spans="1:44" s="17" customFormat="1" ht="30.95" hidden="1" customHeight="1" x14ac:dyDescent="0.2">
      <c r="A1418" s="343"/>
      <c r="B1418" s="344"/>
      <c r="C1418" s="345"/>
      <c r="D1418" s="398"/>
      <c r="E1418" s="31"/>
      <c r="F1418" s="268"/>
      <c r="G1418" s="269"/>
      <c r="H1418" s="269"/>
      <c r="I1418" s="270"/>
      <c r="J1418" s="32"/>
      <c r="K1418" s="270"/>
      <c r="L1418" s="270"/>
      <c r="M1418" s="39"/>
      <c r="N1418" s="39"/>
      <c r="O1418" s="47"/>
      <c r="P1418" s="57"/>
      <c r="Q1418" s="276"/>
      <c r="R1418" s="277"/>
      <c r="S1418" s="277"/>
      <c r="T1418" s="40"/>
      <c r="U1418" s="278"/>
      <c r="V1418" s="269"/>
      <c r="W1418" s="269"/>
      <c r="X1418" s="275"/>
      <c r="Y1418" s="269"/>
      <c r="Z1418" s="357"/>
      <c r="AA1418" s="207"/>
      <c r="AB1418" s="369"/>
      <c r="AC1418" s="370"/>
      <c r="AD1418" s="332"/>
      <c r="AE1418" s="216"/>
      <c r="AF1418" s="43"/>
      <c r="AG1418" s="47"/>
      <c r="AH1418" s="30"/>
      <c r="AI1418" s="30"/>
      <c r="AJ1418" s="30"/>
      <c r="AK1418" s="30"/>
      <c r="AL1418" s="13"/>
      <c r="AM1418" s="13"/>
      <c r="AN1418" s="13"/>
      <c r="AO1418" s="13"/>
      <c r="AP1418" s="13"/>
      <c r="AQ1418" s="14"/>
      <c r="AR1418" s="15"/>
    </row>
    <row r="1419" spans="1:44" s="17" customFormat="1" ht="30.95" hidden="1" customHeight="1" x14ac:dyDescent="0.2">
      <c r="A1419" s="343"/>
      <c r="B1419" s="344"/>
      <c r="C1419" s="345"/>
      <c r="D1419" s="398">
        <v>3750083</v>
      </c>
      <c r="E1419" s="31">
        <v>4151646</v>
      </c>
      <c r="F1419" s="268" t="str">
        <f>IF(D1419="","",VLOOKUP(D1419,契約台帳!$A$3:$K$4986,6,FALSE)&amp;VLOOKUP(D1419,契約台帳!$A$3:$K$4986,7,FALSE)&amp;VLOOKUP(D1419,契約台帳!$A$3:$K$4986,8,FALSE)&amp;VLOOKUP(D1419,契約台帳!$A$3:$K$4986,9,FALSE)&amp;VLOOKUP(D1419,契約台帳!$A$3:$K$4986,11,FALSE))</f>
        <v>3SNMLBMNNGKBF</v>
      </c>
      <c r="G1419" s="269" t="str">
        <f>IF(D1419="","",VLOOKUP(F1419,製品マスタ!$G$5:$H$5002,2,FALSE))</f>
        <v>S</v>
      </c>
      <c r="H1419" s="269" t="str">
        <f>IF(D1419="","",VLOOKUP(F1419,製品マスタ!$G$5:$K$5002,5,FALSE))</f>
        <v>MNNGKBF</v>
      </c>
      <c r="I1419" s="270" t="str">
        <f>IF(D1419="","",VLOOKUP(F1419,製品マスタ!$G$5:$L$5002,6,FALSE))</f>
        <v>メタルミー　ニューネーマー銀消　Ｂ</v>
      </c>
      <c r="J1419" s="32" t="s">
        <v>447</v>
      </c>
      <c r="K1419" s="270">
        <f>IF(D1419="","",VLOOKUP(D1419,契約台帳!$A$3:$L$4986,12,FALSE))</f>
        <v>25</v>
      </c>
      <c r="L1419" s="270" t="str">
        <f>IF(D1419="","",INDEX(製品マスタ!$Q$5:$Q$5002,MATCH(F1419&amp;K1419,製品マスタ!$AO$5:$AO$5002,0)))</f>
        <v>X44C</v>
      </c>
      <c r="M1419" s="39">
        <v>1005</v>
      </c>
      <c r="N1419" s="39">
        <v>8000</v>
      </c>
      <c r="O1419" s="47">
        <v>1</v>
      </c>
      <c r="P1419" s="57"/>
      <c r="Q1419" s="276">
        <f>IF(D1419="","",IF(J1419="リード付け",M1419,VLOOKUP(D1419,契約台帳!$A$3:$N$4986,14,FALSE)))</f>
        <v>1005</v>
      </c>
      <c r="R1419" s="277">
        <f>IF(D1419="","",IF(J1419="リード付け",M1419,VLOOKUP(D1419,契約台帳!$A$3:$O$4986,15,FALSE)))</f>
        <v>1000</v>
      </c>
      <c r="S1419" s="277">
        <f>IF(D1419="","",IF(J1419="リード付け",N1419,VLOOKUP(D1419,契約台帳!$A$3:$P$4986,16,FALSE)))</f>
        <v>4000</v>
      </c>
      <c r="T1419" s="40">
        <v>2</v>
      </c>
      <c r="U1419" s="278" t="str">
        <f ca="1">IF(D1419="","",IF(OFFSET(D1419,-2,0)=D1419,"",VLOOKUP(D1419,契約台帳!$A$3:$R$4986,18,FALSE)))</f>
        <v/>
      </c>
      <c r="V1419" s="269" t="str">
        <f>IF(J1419="巻返し",VLOOKUP(F1419&amp;K1419&amp;M1419,製品マスタ!$M$5:$AD$5002,18,FALSE),IF(J1419="リード付け","原反コア",IF(J1419="スリット",VLOOKUP(F1419&amp;K1419&amp;Q1419,製品マスタ!$N$5:$AD$5002,17,FALSE),"")))</f>
        <v>6ｲﾝﾁSｺｱ</v>
      </c>
      <c r="W1419" s="269">
        <f>IF(J1419="巻返し",VLOOKUP(F1419&amp;K1419&amp;M1419,製品マスタ!$M$5:$AE$5002,19,FALSE),IF(J1419="リード付け","-",IF(J1419="スリット",VLOOKUP(F1419&amp;K1419&amp;Q1419,製品マスタ!$N$5:$AE$5002,18,FALSE),"")))</f>
        <v>1015</v>
      </c>
      <c r="X1419" s="275">
        <f>IF(D1419="","",VLOOKUP(D1419,契約台帳!$A$3:$Q$4986,17,FALSE))</f>
        <v>2</v>
      </c>
      <c r="Y1419" s="269" t="str">
        <f>IF(D1419="","",VLOOKUP(D1419,契約台帳!$A$3:$E$4986,5,FALSE))</f>
        <v>リンテック㈱</v>
      </c>
      <c r="Z1419" s="357">
        <v>45400</v>
      </c>
      <c r="AA1419" s="207"/>
      <c r="AB1419" s="369"/>
      <c r="AC1419" s="370"/>
      <c r="AD1419" s="332" t="str">
        <f>IF(F1419="","",+F1419&amp;K1419)</f>
        <v>3SNMLBMNNGKBF25</v>
      </c>
      <c r="AE1419" s="216">
        <f>+M1419*N1419*O1419/1000</f>
        <v>8040</v>
      </c>
      <c r="AF1419" s="43">
        <f>IF(AD1419="","",VLOOKUP(AD1419,原価マスタ!$A$2:$AJ$1693,13,FALSE))</f>
        <v>98.3</v>
      </c>
      <c r="AG1419" s="47">
        <f>IF(AF1419="","",+AE1419*AF1419/100)</f>
        <v>7903.32</v>
      </c>
      <c r="AH1419" s="30"/>
      <c r="AI1419" s="30"/>
      <c r="AJ1419" s="30"/>
      <c r="AK1419" s="30"/>
      <c r="AL1419" s="13"/>
      <c r="AM1419" s="13"/>
      <c r="AN1419" s="13"/>
      <c r="AO1419" s="13"/>
      <c r="AP1419" s="13"/>
      <c r="AQ1419" s="14"/>
      <c r="AR1419" s="15"/>
    </row>
    <row r="1420" spans="1:44" s="17" customFormat="1" ht="30.95" hidden="1" customHeight="1" x14ac:dyDescent="0.2">
      <c r="A1420" s="343"/>
      <c r="B1420" s="344"/>
      <c r="C1420" s="345"/>
      <c r="D1420" s="31"/>
      <c r="E1420" s="31"/>
      <c r="F1420" s="268"/>
      <c r="G1420" s="269"/>
      <c r="H1420" s="269"/>
      <c r="I1420" s="270"/>
      <c r="J1420" s="32"/>
      <c r="K1420" s="270"/>
      <c r="L1420" s="270"/>
      <c r="M1420" s="39"/>
      <c r="N1420" s="39"/>
      <c r="O1420" s="47"/>
      <c r="P1420" s="57"/>
      <c r="Q1420" s="276"/>
      <c r="R1420" s="277"/>
      <c r="S1420" s="277"/>
      <c r="T1420" s="40"/>
      <c r="U1420" s="278"/>
      <c r="V1420" s="269"/>
      <c r="W1420" s="269"/>
      <c r="X1420" s="275"/>
      <c r="Y1420" s="269"/>
      <c r="Z1420" s="357"/>
      <c r="AA1420" s="207"/>
      <c r="AB1420" s="369"/>
      <c r="AC1420" s="370"/>
      <c r="AD1420" s="332"/>
      <c r="AE1420" s="216"/>
      <c r="AF1420" s="43"/>
      <c r="AG1420" s="47"/>
      <c r="AH1420" s="30"/>
      <c r="AI1420" s="30"/>
      <c r="AJ1420" s="30"/>
      <c r="AK1420" s="30"/>
      <c r="AL1420" s="13"/>
      <c r="AM1420" s="13"/>
      <c r="AN1420" s="13"/>
      <c r="AO1420" s="13"/>
      <c r="AP1420" s="13"/>
      <c r="AQ1420" s="14"/>
      <c r="AR1420" s="15"/>
    </row>
    <row r="1421" spans="1:44" s="17" customFormat="1" ht="30.95" hidden="1" customHeight="1" x14ac:dyDescent="0.2">
      <c r="A1421" s="343" t="s">
        <v>1045</v>
      </c>
      <c r="B1421" s="344" t="s">
        <v>688</v>
      </c>
      <c r="C1421" s="345"/>
      <c r="D1421" s="398">
        <v>3750070</v>
      </c>
      <c r="E1421" s="31">
        <v>4151650</v>
      </c>
      <c r="F1421" s="268" t="str">
        <f>IF(D1421="","",VLOOKUP(D1421,契約台帳!$A$3:$K$4986,6,FALSE)&amp;VLOOKUP(D1421,契約台帳!$A$3:$K$4986,7,FALSE)&amp;VLOOKUP(D1421,契約台帳!$A$3:$K$4986,8,FALSE)&amp;VLOOKUP(D1421,契約台帳!$A$3:$K$4986,9,FALSE)&amp;VLOOKUP(D1421,契約台帳!$A$3:$K$4986,11,FALSE))</f>
        <v>3SNMLBMNGTBF</v>
      </c>
      <c r="G1421" s="269" t="str">
        <f>IF(D1421="","",VLOOKUP(F1421,製品マスタ!$G$5:$H$5002,2,FALSE))</f>
        <v>S</v>
      </c>
      <c r="H1421" s="269" t="str">
        <f>IF(D1421="","",VLOOKUP(F1421,製品マスタ!$G$5:$K$5002,5,FALSE))</f>
        <v>MNGTBF</v>
      </c>
      <c r="I1421" s="270" t="str">
        <f>IF(D1421="","",VLOOKUP(F1421,製品マスタ!$G$5:$L$5002,6,FALSE))</f>
        <v>メタルミー　ネーマー　銀艶　Ｂ</v>
      </c>
      <c r="J1421" s="32" t="s">
        <v>447</v>
      </c>
      <c r="K1421" s="270">
        <f>IF(D1421="","",VLOOKUP(D1421,契約台帳!$A$3:$L$4986,12,FALSE))</f>
        <v>25</v>
      </c>
      <c r="L1421" s="270" t="str">
        <f>IF(D1421="","",INDEX(製品マスタ!$Q$5:$Q$5002,MATCH(F1421&amp;K1421,製品マスタ!$AO$5:$AO$5002,0)))</f>
        <v>T62M</v>
      </c>
      <c r="M1421" s="39">
        <v>1005</v>
      </c>
      <c r="N1421" s="39">
        <v>12100</v>
      </c>
      <c r="O1421" s="47">
        <v>2</v>
      </c>
      <c r="P1421" s="57"/>
      <c r="Q1421" s="276">
        <f>IF(D1421="","",IF(J1421="リード付け",M1421,VLOOKUP(D1421,契約台帳!$A$3:$N$4986,14,FALSE)))</f>
        <v>1005</v>
      </c>
      <c r="R1421" s="277">
        <f>IF(D1421="","",IF(J1421="リード付け",M1421,VLOOKUP(D1421,契約台帳!$A$3:$O$4986,15,FALSE)))</f>
        <v>1000</v>
      </c>
      <c r="S1421" s="277">
        <f>IF(D1421="","",IF(J1421="リード付け",N1421,VLOOKUP(D1421,契約台帳!$A$3:$P$4986,16,FALSE)))</f>
        <v>4000</v>
      </c>
      <c r="T1421" s="40">
        <v>6</v>
      </c>
      <c r="U1421" s="278">
        <f ca="1">IF(D1421="","",IF(OFFSET(D1421,-2,0)=D1421,"",VLOOKUP(D1421,契約台帳!$A$3:$R$4986,18,FALSE)))</f>
        <v>6</v>
      </c>
      <c r="V1421" s="269" t="str">
        <f>IF(J1421="巻返し",VLOOKUP(F1421&amp;K1421&amp;M1421,製品マスタ!$M$5:$AD$5002,18,FALSE),IF(J1421="リード付け","原反コア",IF(J1421="スリット",VLOOKUP(F1421&amp;K1421&amp;Q1421,製品マスタ!$N$5:$AD$5002,17,FALSE),"")))</f>
        <v>6ｲﾝﾁSｺｱ</v>
      </c>
      <c r="W1421" s="269">
        <f>IF(J1421="巻返し",VLOOKUP(F1421&amp;K1421&amp;M1421,製品マスタ!$M$5:$AE$5002,19,FALSE),IF(J1421="リード付け","-",IF(J1421="スリット",VLOOKUP(F1421&amp;K1421&amp;Q1421,製品マスタ!$N$5:$AE$5002,18,FALSE),"")))</f>
        <v>1015</v>
      </c>
      <c r="X1421" s="275">
        <f>IF(D1421="","",VLOOKUP(D1421,契約台帳!$A$3:$Q$4986,17,FALSE))</f>
        <v>2</v>
      </c>
      <c r="Y1421" s="269" t="str">
        <f>IF(D1421="","",VLOOKUP(D1421,契約台帳!$A$3:$E$4986,5,FALSE))</f>
        <v>リンテック㈱</v>
      </c>
      <c r="Z1421" s="357">
        <v>45401</v>
      </c>
      <c r="AA1421" s="207"/>
      <c r="AB1421" s="369"/>
      <c r="AC1421" s="370"/>
      <c r="AD1421" s="332" t="str">
        <f>IF(F1421="","",+F1421&amp;K1421)</f>
        <v>3SNMLBMNGTBF25</v>
      </c>
      <c r="AE1421" s="216">
        <f>+M1421*N1421*O1421/1000</f>
        <v>24321</v>
      </c>
      <c r="AF1421" s="43">
        <f>IF(AD1421="","",VLOOKUP(AD1421,原価マスタ!$A$2:$AJ$1693,13,FALSE))</f>
        <v>97.5</v>
      </c>
      <c r="AG1421" s="47">
        <f>IF(AF1421="","",+AE1421*AF1421/100)</f>
        <v>23712.974999999999</v>
      </c>
      <c r="AH1421" s="30"/>
      <c r="AI1421" s="30"/>
      <c r="AJ1421" s="30"/>
      <c r="AK1421" s="30"/>
      <c r="AL1421" s="13"/>
      <c r="AM1421" s="13"/>
      <c r="AN1421" s="13"/>
      <c r="AO1421" s="13"/>
      <c r="AP1421" s="13"/>
      <c r="AQ1421" s="14"/>
      <c r="AR1421" s="15"/>
    </row>
    <row r="1422" spans="1:44" s="17" customFormat="1" ht="30.95" hidden="1" customHeight="1" x14ac:dyDescent="0.2">
      <c r="A1422" s="343"/>
      <c r="B1422" s="344"/>
      <c r="C1422" s="345"/>
      <c r="D1422" s="398"/>
      <c r="E1422" s="31"/>
      <c r="F1422" s="268"/>
      <c r="G1422" s="269"/>
      <c r="H1422" s="269"/>
      <c r="I1422" s="270"/>
      <c r="J1422" s="32"/>
      <c r="K1422" s="270"/>
      <c r="L1422" s="270"/>
      <c r="M1422" s="39"/>
      <c r="N1422" s="39"/>
      <c r="O1422" s="47"/>
      <c r="P1422" s="57"/>
      <c r="Q1422" s="276"/>
      <c r="R1422" s="277"/>
      <c r="S1422" s="277"/>
      <c r="T1422" s="40"/>
      <c r="U1422" s="278"/>
      <c r="V1422" s="269"/>
      <c r="W1422" s="269"/>
      <c r="X1422" s="275"/>
      <c r="Y1422" s="269"/>
      <c r="Z1422" s="357"/>
      <c r="AA1422" s="207"/>
      <c r="AB1422" s="369"/>
      <c r="AC1422" s="370"/>
      <c r="AD1422" s="332"/>
      <c r="AE1422" s="216"/>
      <c r="AF1422" s="43"/>
      <c r="AG1422" s="47"/>
      <c r="AH1422" s="30"/>
      <c r="AI1422" s="30"/>
      <c r="AJ1422" s="30"/>
      <c r="AK1422" s="30"/>
      <c r="AL1422" s="13"/>
      <c r="AM1422" s="13"/>
      <c r="AN1422" s="13"/>
      <c r="AO1422" s="13"/>
      <c r="AP1422" s="13"/>
      <c r="AQ1422" s="14"/>
      <c r="AR1422" s="15"/>
    </row>
    <row r="1423" spans="1:44" s="17" customFormat="1" ht="30.95" hidden="1" customHeight="1" x14ac:dyDescent="0.2">
      <c r="A1423" s="343"/>
      <c r="B1423" s="344"/>
      <c r="C1423" s="345"/>
      <c r="D1423" s="398">
        <v>3750066</v>
      </c>
      <c r="E1423" s="31">
        <v>4151626</v>
      </c>
      <c r="F1423" s="268" t="str">
        <f>IF(D1423="","",VLOOKUP(D1423,契約台帳!$A$3:$K$4986,6,FALSE)&amp;VLOOKUP(D1423,契約台帳!$A$3:$K$4986,7,FALSE)&amp;VLOOKUP(D1423,契約台帳!$A$3:$K$4986,8,FALSE)&amp;VLOOKUP(D1423,契約台帳!$A$3:$K$4986,9,FALSE)&amp;VLOOKUP(D1423,契約台帳!$A$3:$K$4986,11,FALSE))</f>
        <v>3SNMLBMNGKKBF</v>
      </c>
      <c r="G1423" s="269" t="str">
        <f>IF(D1423="","",VLOOKUP(F1423,製品マスタ!$G$5:$H$5002,2,FALSE))</f>
        <v>S</v>
      </c>
      <c r="H1423" s="269" t="str">
        <f>IF(D1423="","",VLOOKUP(F1423,製品マスタ!$G$5:$K$5002,5,FALSE))</f>
        <v>MNGKKBF</v>
      </c>
      <c r="I1423" s="270" t="str">
        <f>IF(D1423="","",VLOOKUP(F1423,製品マスタ!$G$5:$L$5002,6,FALSE))</f>
        <v>メタルミー　ネーマー銀消改　Ｂ</v>
      </c>
      <c r="J1423" s="32" t="s">
        <v>447</v>
      </c>
      <c r="K1423" s="270">
        <f>IF(D1423="","",VLOOKUP(D1423,契約台帳!$A$3:$L$4986,12,FALSE))</f>
        <v>50</v>
      </c>
      <c r="L1423" s="270" t="str">
        <f>IF(D1423="","",INDEX(製品マスタ!$Q$5:$Q$5002,MATCH(F1423&amp;K1423,製品マスタ!$AO$5:$AO$5002,0)))</f>
        <v>S99-MAT</v>
      </c>
      <c r="M1423" s="39">
        <v>1120</v>
      </c>
      <c r="N1423" s="39">
        <v>12000</v>
      </c>
      <c r="O1423" s="47">
        <v>4</v>
      </c>
      <c r="P1423" s="57"/>
      <c r="Q1423" s="276">
        <f>IF(D1423="","",IF(J1423="リード付け",M1423,VLOOKUP(D1423,契約台帳!$A$3:$N$4986,14,FALSE)))</f>
        <v>1120</v>
      </c>
      <c r="R1423" s="277">
        <f>IF(D1423="","",IF(J1423="リード付け",M1423,VLOOKUP(D1423,契約台帳!$A$3:$O$4986,15,FALSE)))</f>
        <v>1120</v>
      </c>
      <c r="S1423" s="277">
        <f>IF(D1423="","",IF(J1423="リード付け",N1423,VLOOKUP(D1423,契約台帳!$A$3:$P$4986,16,FALSE)))</f>
        <v>4000</v>
      </c>
      <c r="T1423" s="40">
        <v>12</v>
      </c>
      <c r="U1423" s="278">
        <f ca="1">IF(D1423="","",IF(OFFSET(D1423,-2,0)=D1423,"",VLOOKUP(D1423,契約台帳!$A$3:$R$4986,18,FALSE)))</f>
        <v>30</v>
      </c>
      <c r="V1423" s="269" t="str">
        <f>IF(J1423="巻返し",VLOOKUP(F1423&amp;K1423&amp;M1423,製品マスタ!$M$5:$AD$5002,18,FALSE),IF(J1423="リード付け","原反コア",IF(J1423="スリット",VLOOKUP(F1423&amp;K1423&amp;Q1423,製品マスタ!$N$5:$AD$5002,17,FALSE),"")))</f>
        <v>6ｲﾝﾁSｺｱ</v>
      </c>
      <c r="W1423" s="269">
        <f>IF(J1423="巻返し",VLOOKUP(F1423&amp;K1423&amp;M1423,製品マスタ!$M$5:$AE$5002,19,FALSE),IF(J1423="リード付け","-",IF(J1423="スリット",VLOOKUP(F1423&amp;K1423&amp;Q1423,製品マスタ!$N$5:$AE$5002,18,FALSE),"")))</f>
        <v>1125</v>
      </c>
      <c r="X1423" s="275">
        <f>IF(D1423="","",VLOOKUP(D1423,契約台帳!$A$3:$Q$4986,17,FALSE))</f>
        <v>2</v>
      </c>
      <c r="Y1423" s="269" t="str">
        <f>IF(D1423="","",VLOOKUP(D1423,契約台帳!$A$3:$E$4986,5,FALSE))</f>
        <v>リンテック㈱</v>
      </c>
      <c r="Z1423" s="357">
        <v>45401</v>
      </c>
      <c r="AA1423" s="207"/>
      <c r="AB1423" s="369"/>
      <c r="AC1423" s="370"/>
      <c r="AD1423" s="332" t="str">
        <f>IF(F1423="","",+F1423&amp;K1423)</f>
        <v>3SNMLBMNGKKBF50</v>
      </c>
      <c r="AE1423" s="216">
        <f>+M1423*N1423*O1423/1000</f>
        <v>53760</v>
      </c>
      <c r="AF1423" s="43">
        <f>IF(AD1423="","",VLOOKUP(AD1423,原価マスタ!$A$2:$AJ$1693,13,FALSE))</f>
        <v>99</v>
      </c>
      <c r="AG1423" s="47">
        <f>IF(AF1423="","",+AE1423*AF1423/100)</f>
        <v>53222.400000000001</v>
      </c>
      <c r="AH1423" s="30"/>
      <c r="AI1423" s="30"/>
      <c r="AJ1423" s="30"/>
      <c r="AK1423" s="30"/>
      <c r="AL1423" s="13"/>
      <c r="AM1423" s="13"/>
      <c r="AN1423" s="13"/>
      <c r="AO1423" s="13"/>
      <c r="AP1423" s="13"/>
      <c r="AQ1423" s="14"/>
      <c r="AR1423" s="15"/>
    </row>
    <row r="1424" spans="1:44" s="17" customFormat="1" ht="30.95" hidden="1" customHeight="1" x14ac:dyDescent="0.2">
      <c r="A1424" s="343"/>
      <c r="B1424" s="344"/>
      <c r="C1424" s="345"/>
      <c r="D1424" s="398"/>
      <c r="E1424" s="31"/>
      <c r="F1424" s="268"/>
      <c r="G1424" s="269"/>
      <c r="H1424" s="269"/>
      <c r="I1424" s="270"/>
      <c r="J1424" s="32"/>
      <c r="K1424" s="270"/>
      <c r="L1424" s="270"/>
      <c r="M1424" s="39"/>
      <c r="N1424" s="39"/>
      <c r="O1424" s="47"/>
      <c r="P1424" s="57"/>
      <c r="Q1424" s="276"/>
      <c r="R1424" s="277"/>
      <c r="S1424" s="277"/>
      <c r="T1424" s="40"/>
      <c r="U1424" s="278"/>
      <c r="V1424" s="269"/>
      <c r="W1424" s="269"/>
      <c r="X1424" s="275"/>
      <c r="Y1424" s="269"/>
      <c r="Z1424" s="357"/>
      <c r="AA1424" s="207"/>
      <c r="AB1424" s="369"/>
      <c r="AC1424" s="370"/>
      <c r="AD1424" s="332"/>
      <c r="AE1424" s="216"/>
      <c r="AF1424" s="43"/>
      <c r="AG1424" s="47"/>
      <c r="AH1424" s="30"/>
      <c r="AI1424" s="30"/>
      <c r="AJ1424" s="30"/>
      <c r="AK1424" s="30"/>
      <c r="AL1424" s="13"/>
      <c r="AM1424" s="13"/>
      <c r="AN1424" s="13"/>
      <c r="AO1424" s="13"/>
      <c r="AP1424" s="13"/>
      <c r="AQ1424" s="14"/>
      <c r="AR1424" s="15"/>
    </row>
    <row r="1425" spans="1:44" s="17" customFormat="1" ht="30.95" hidden="1" customHeight="1" x14ac:dyDescent="0.2">
      <c r="A1425" s="343" t="s">
        <v>1056</v>
      </c>
      <c r="B1425" s="344" t="s">
        <v>442</v>
      </c>
      <c r="C1425" s="345"/>
      <c r="D1425" s="398">
        <v>3750066</v>
      </c>
      <c r="E1425" s="31">
        <v>4151626</v>
      </c>
      <c r="F1425" s="268" t="str">
        <f>IF(D1425="","",VLOOKUP(D1425,契約台帳!$A$3:$K$4986,6,FALSE)&amp;VLOOKUP(D1425,契約台帳!$A$3:$K$4986,7,FALSE)&amp;VLOOKUP(D1425,契約台帳!$A$3:$K$4986,8,FALSE)&amp;VLOOKUP(D1425,契約台帳!$A$3:$K$4986,9,FALSE)&amp;VLOOKUP(D1425,契約台帳!$A$3:$K$4986,11,FALSE))</f>
        <v>3SNMLBMNGKKBF</v>
      </c>
      <c r="G1425" s="269" t="str">
        <f>IF(D1425="","",VLOOKUP(F1425,製品マスタ!$G$5:$H$5002,2,FALSE))</f>
        <v>S</v>
      </c>
      <c r="H1425" s="269" t="str">
        <f>IF(D1425="","",VLOOKUP(F1425,製品マスタ!$G$5:$K$5002,5,FALSE))</f>
        <v>MNGKKBF</v>
      </c>
      <c r="I1425" s="270" t="str">
        <f>IF(D1425="","",VLOOKUP(F1425,製品マスタ!$G$5:$L$5002,6,FALSE))</f>
        <v>メタルミー　ネーマー銀消改　Ｂ</v>
      </c>
      <c r="J1425" s="32" t="s">
        <v>447</v>
      </c>
      <c r="K1425" s="270">
        <f>IF(D1425="","",VLOOKUP(D1425,契約台帳!$A$3:$L$4986,12,FALSE))</f>
        <v>50</v>
      </c>
      <c r="L1425" s="270" t="str">
        <f>IF(D1425="","",INDEX(製品マスタ!$Q$5:$Q$5002,MATCH(F1425&amp;K1425,製品マスタ!$AO$5:$AO$5002,0)))</f>
        <v>S99-MAT</v>
      </c>
      <c r="M1425" s="39">
        <v>1120</v>
      </c>
      <c r="N1425" s="39">
        <v>12000</v>
      </c>
      <c r="O1425" s="47">
        <v>6</v>
      </c>
      <c r="P1425" s="57"/>
      <c r="Q1425" s="276">
        <f>IF(D1425="","",IF(J1425="リード付け",M1425,VLOOKUP(D1425,契約台帳!$A$3:$N$4986,14,FALSE)))</f>
        <v>1120</v>
      </c>
      <c r="R1425" s="277">
        <f>IF(D1425="","",IF(J1425="リード付け",M1425,VLOOKUP(D1425,契約台帳!$A$3:$O$4986,15,FALSE)))</f>
        <v>1120</v>
      </c>
      <c r="S1425" s="277">
        <f>IF(D1425="","",IF(J1425="リード付け",N1425,VLOOKUP(D1425,契約台帳!$A$3:$P$4986,16,FALSE)))</f>
        <v>4000</v>
      </c>
      <c r="T1425" s="40">
        <v>18</v>
      </c>
      <c r="U1425" s="278" t="str">
        <f ca="1">IF(D1425="","",IF(OFFSET(D1425,-2,0)=D1425,"",VLOOKUP(D1425,契約台帳!$A$3:$R$4986,18,FALSE)))</f>
        <v/>
      </c>
      <c r="V1425" s="269" t="str">
        <f>IF(J1425="巻返し",VLOOKUP(F1425&amp;K1425&amp;M1425,製品マスタ!$M$5:$AD$5002,18,FALSE),IF(J1425="リード付け","原反コア",IF(J1425="スリット",VLOOKUP(F1425&amp;K1425&amp;Q1425,製品マスタ!$N$5:$AD$5002,17,FALSE),"")))</f>
        <v>6ｲﾝﾁSｺｱ</v>
      </c>
      <c r="W1425" s="269">
        <f>IF(J1425="巻返し",VLOOKUP(F1425&amp;K1425&amp;M1425,製品マスタ!$M$5:$AE$5002,19,FALSE),IF(J1425="リード付け","-",IF(J1425="スリット",VLOOKUP(F1425&amp;K1425&amp;Q1425,製品マスタ!$N$5:$AE$5002,18,FALSE),"")))</f>
        <v>1125</v>
      </c>
      <c r="X1425" s="275">
        <f>IF(D1425="","",VLOOKUP(D1425,契約台帳!$A$3:$Q$4986,17,FALSE))</f>
        <v>2</v>
      </c>
      <c r="Y1425" s="269" t="str">
        <f>IF(D1425="","",VLOOKUP(D1425,契約台帳!$A$3:$E$4986,5,FALSE))</f>
        <v>リンテック㈱</v>
      </c>
      <c r="Z1425" s="357">
        <v>45405</v>
      </c>
      <c r="AA1425" s="207"/>
      <c r="AB1425" s="369"/>
      <c r="AC1425" s="370"/>
      <c r="AD1425" s="332" t="str">
        <f>IF(F1425="","",+F1425&amp;K1425)</f>
        <v>3SNMLBMNGKKBF50</v>
      </c>
      <c r="AE1425" s="216">
        <f>+M1425*N1425*O1425/1000</f>
        <v>80640</v>
      </c>
      <c r="AF1425" s="43">
        <f>IF(AD1425="","",VLOOKUP(AD1425,原価マスタ!$A$2:$AJ$1693,13,FALSE))</f>
        <v>99</v>
      </c>
      <c r="AG1425" s="47">
        <f>IF(AF1425="","",+AE1425*AF1425/100)</f>
        <v>79833.600000000006</v>
      </c>
      <c r="AH1425" s="30"/>
      <c r="AI1425" s="30"/>
      <c r="AJ1425" s="30"/>
      <c r="AK1425" s="30"/>
      <c r="AL1425" s="13"/>
      <c r="AM1425" s="13"/>
      <c r="AN1425" s="13"/>
      <c r="AO1425" s="13"/>
      <c r="AP1425" s="13"/>
      <c r="AQ1425" s="14"/>
      <c r="AR1425" s="15"/>
    </row>
    <row r="1426" spans="1:44" s="17" customFormat="1" ht="30.95" hidden="1" customHeight="1" x14ac:dyDescent="0.2">
      <c r="A1426" s="343"/>
      <c r="B1426" s="344"/>
      <c r="C1426" s="345"/>
      <c r="D1426" s="398"/>
      <c r="E1426" s="31"/>
      <c r="F1426" s="268"/>
      <c r="G1426" s="269"/>
      <c r="H1426" s="269"/>
      <c r="I1426" s="270"/>
      <c r="J1426" s="32"/>
      <c r="K1426" s="270"/>
      <c r="L1426" s="270"/>
      <c r="M1426" s="39"/>
      <c r="N1426" s="39"/>
      <c r="O1426" s="47"/>
      <c r="P1426" s="57"/>
      <c r="Q1426" s="276"/>
      <c r="R1426" s="277"/>
      <c r="S1426" s="277"/>
      <c r="T1426" s="40"/>
      <c r="U1426" s="278"/>
      <c r="V1426" s="269"/>
      <c r="W1426" s="269"/>
      <c r="X1426" s="275"/>
      <c r="Y1426" s="269"/>
      <c r="Z1426" s="357"/>
      <c r="AA1426" s="207"/>
      <c r="AB1426" s="369"/>
      <c r="AC1426" s="370"/>
      <c r="AD1426" s="332"/>
      <c r="AE1426" s="216"/>
      <c r="AF1426" s="43"/>
      <c r="AG1426" s="47"/>
      <c r="AH1426" s="30"/>
      <c r="AI1426" s="30"/>
      <c r="AJ1426" s="30"/>
      <c r="AK1426" s="30"/>
      <c r="AL1426" s="13"/>
      <c r="AM1426" s="13"/>
      <c r="AN1426" s="13"/>
      <c r="AO1426" s="13"/>
      <c r="AP1426" s="13"/>
      <c r="AQ1426" s="14"/>
      <c r="AR1426" s="15"/>
    </row>
    <row r="1427" spans="1:44" s="17" customFormat="1" ht="30.95" hidden="1" customHeight="1" x14ac:dyDescent="0.2">
      <c r="A1427" s="343" t="s">
        <v>1059</v>
      </c>
      <c r="B1427" s="344" t="s">
        <v>443</v>
      </c>
      <c r="C1427" s="345"/>
      <c r="D1427" s="398"/>
      <c r="E1427" s="31"/>
      <c r="F1427" s="268"/>
      <c r="G1427" s="269"/>
      <c r="H1427" s="269"/>
      <c r="I1427" s="301" t="s">
        <v>2737</v>
      </c>
      <c r="J1427" s="32"/>
      <c r="K1427" s="270"/>
      <c r="L1427" s="270"/>
      <c r="M1427" s="39"/>
      <c r="N1427" s="39"/>
      <c r="O1427" s="47"/>
      <c r="P1427" s="57"/>
      <c r="Q1427" s="276"/>
      <c r="R1427" s="277"/>
      <c r="S1427" s="277"/>
      <c r="T1427" s="40"/>
      <c r="U1427" s="278"/>
      <c r="V1427" s="269"/>
      <c r="W1427" s="269"/>
      <c r="X1427" s="275"/>
      <c r="Y1427" s="269"/>
      <c r="Z1427" s="357"/>
      <c r="AA1427" s="207"/>
      <c r="AB1427" s="369"/>
      <c r="AC1427" s="370"/>
      <c r="AD1427" s="332"/>
      <c r="AE1427" s="216"/>
      <c r="AF1427" s="43"/>
      <c r="AG1427" s="47"/>
      <c r="AH1427" s="30"/>
      <c r="AI1427" s="30"/>
      <c r="AJ1427" s="30"/>
      <c r="AK1427" s="30"/>
      <c r="AL1427" s="13"/>
      <c r="AM1427" s="13"/>
      <c r="AN1427" s="13"/>
      <c r="AO1427" s="13"/>
      <c r="AP1427" s="13"/>
      <c r="AQ1427" s="14"/>
      <c r="AR1427" s="15"/>
    </row>
    <row r="1428" spans="1:44" s="17" customFormat="1" ht="30.95" hidden="1" customHeight="1" x14ac:dyDescent="0.2">
      <c r="A1428" s="343"/>
      <c r="B1428" s="344"/>
      <c r="C1428" s="345"/>
      <c r="D1428" s="398"/>
      <c r="E1428" s="31"/>
      <c r="F1428" s="268"/>
      <c r="G1428" s="269"/>
      <c r="H1428" s="269"/>
      <c r="I1428" s="270"/>
      <c r="J1428" s="32"/>
      <c r="K1428" s="270"/>
      <c r="L1428" s="270"/>
      <c r="M1428" s="39"/>
      <c r="N1428" s="39"/>
      <c r="O1428" s="47"/>
      <c r="P1428" s="57"/>
      <c r="Q1428" s="276"/>
      <c r="R1428" s="277"/>
      <c r="S1428" s="277"/>
      <c r="T1428" s="40"/>
      <c r="U1428" s="278"/>
      <c r="V1428" s="269"/>
      <c r="W1428" s="269"/>
      <c r="X1428" s="275"/>
      <c r="Y1428" s="269"/>
      <c r="Z1428" s="357"/>
      <c r="AA1428" s="207"/>
      <c r="AB1428" s="369"/>
      <c r="AC1428" s="370"/>
      <c r="AD1428" s="332"/>
      <c r="AE1428" s="216"/>
      <c r="AF1428" s="43"/>
      <c r="AG1428" s="47"/>
      <c r="AH1428" s="30"/>
      <c r="AI1428" s="30"/>
      <c r="AJ1428" s="30"/>
      <c r="AK1428" s="30"/>
      <c r="AL1428" s="13"/>
      <c r="AM1428" s="13"/>
      <c r="AN1428" s="13"/>
      <c r="AO1428" s="13"/>
      <c r="AP1428" s="13"/>
      <c r="AQ1428" s="14"/>
      <c r="AR1428" s="15"/>
    </row>
    <row r="1429" spans="1:44" s="17" customFormat="1" ht="30.95" hidden="1" customHeight="1" x14ac:dyDescent="0.2">
      <c r="A1429" s="343"/>
      <c r="B1429" s="344"/>
      <c r="C1429" s="345"/>
      <c r="D1429" s="398">
        <v>3750085</v>
      </c>
      <c r="E1429" s="31">
        <v>4151630</v>
      </c>
      <c r="F1429" s="268" t="str">
        <f>IF(D1429="","",VLOOKUP(D1429,契約台帳!$A$3:$K$4986,6,FALSE)&amp;VLOOKUP(D1429,契約台帳!$A$3:$K$4986,7,FALSE)&amp;VLOOKUP(D1429,契約台帳!$A$3:$K$4986,8,FALSE)&amp;VLOOKUP(D1429,契約台帳!$A$3:$K$4986,9,FALSE)&amp;VLOOKUP(D1429,契約台帳!$A$3:$K$4986,11,FALSE))</f>
        <v>3SYMLBMSBBF</v>
      </c>
      <c r="G1429" s="269" t="str">
        <f>IF(D1429="","",VLOOKUP(F1429,製品マスタ!$G$5:$H$5002,2,FALSE))</f>
        <v>S</v>
      </c>
      <c r="H1429" s="269" t="str">
        <f>IF(D1429="","",VLOOKUP(F1429,製品マスタ!$G$5:$K$5002,5,FALSE))</f>
        <v>MSBBF</v>
      </c>
      <c r="I1429" s="270" t="str">
        <f>IF(D1429="","",VLOOKUP(F1429,製品マスタ!$G$5:$L$5002,6,FALSE))</f>
        <v>ＭＥＴＡＬＵＭＹ　ＳＩＬＶＥＲ　ＢＲＩＧＨＴ　Ｔ６２Ｍ　Ｂ</v>
      </c>
      <c r="J1429" s="32" t="s">
        <v>447</v>
      </c>
      <c r="K1429" s="270">
        <f>IF(D1429="","",VLOOKUP(D1429,契約台帳!$A$3:$L$4986,12,FALSE))</f>
        <v>25</v>
      </c>
      <c r="L1429" s="270" t="str">
        <f>IF(D1429="","",INDEX(製品マスタ!$Q$5:$Q$5002,MATCH(F1429&amp;K1429,製品マスタ!$AO$5:$AO$5002,0)))</f>
        <v>T62</v>
      </c>
      <c r="M1429" s="39">
        <v>1120</v>
      </c>
      <c r="N1429" s="39">
        <v>8000</v>
      </c>
      <c r="O1429" s="47">
        <v>1</v>
      </c>
      <c r="P1429" s="57"/>
      <c r="Q1429" s="276">
        <f>IF(D1429="","",IF(J1429="リード付け",M1429,VLOOKUP(D1429,契約台帳!$A$3:$N$4986,14,FALSE)))</f>
        <v>1120</v>
      </c>
      <c r="R1429" s="277">
        <f>IF(D1429="","",IF(J1429="リード付け",M1429,VLOOKUP(D1429,契約台帳!$A$3:$O$4986,15,FALSE)))</f>
        <v>1120</v>
      </c>
      <c r="S1429" s="277">
        <f>IF(D1429="","",IF(J1429="リード付け",N1429,VLOOKUP(D1429,契約台帳!$A$3:$P$4986,16,FALSE)))</f>
        <v>8000</v>
      </c>
      <c r="T1429" s="40">
        <v>1</v>
      </c>
      <c r="U1429" s="278">
        <f ca="1">IF(D1429="","",IF(OFFSET(D1429,-2,0)=D1429,"",VLOOKUP(D1429,契約台帳!$A$3:$R$4986,18,FALSE)))</f>
        <v>1</v>
      </c>
      <c r="V1429" s="269" t="str">
        <f>IF(J1429="巻返し",VLOOKUP(F1429&amp;K1429&amp;M1429,製品マスタ!$M$5:$AD$5002,18,FALSE),IF(J1429="リード付け","原反コア",IF(J1429="スリット",VLOOKUP(F1429&amp;K1429&amp;Q1429,製品マスタ!$N$5:$AD$5002,17,FALSE),"")))</f>
        <v>6ｲﾝﾁSｺｱ</v>
      </c>
      <c r="W1429" s="269">
        <f>IF(J1429="巻返し",VLOOKUP(F1429&amp;K1429&amp;M1429,製品マスタ!$M$5:$AE$5002,19,FALSE),IF(J1429="リード付け","-",IF(J1429="スリット",VLOOKUP(F1429&amp;K1429&amp;Q1429,製品マスタ!$N$5:$AE$5002,18,FALSE),"")))</f>
        <v>1125</v>
      </c>
      <c r="X1429" s="275">
        <f>IF(D1429="","",VLOOKUP(D1429,契約台帳!$A$3:$Q$4986,17,FALSE))</f>
        <v>2</v>
      </c>
      <c r="Y1429" s="269" t="str">
        <f>IF(D1429="","",VLOOKUP(D1429,契約台帳!$A$3:$E$4986,5,FALSE))</f>
        <v>リンテック㈱</v>
      </c>
      <c r="Z1429" s="357">
        <v>45405</v>
      </c>
      <c r="AA1429" s="207"/>
      <c r="AB1429" s="369"/>
      <c r="AC1429" s="370"/>
      <c r="AD1429" s="332" t="str">
        <f>IF(F1429="","",+F1429&amp;K1429)</f>
        <v>3SYMLBMSBBF25</v>
      </c>
      <c r="AE1429" s="216">
        <f>+M1429*N1429*O1429/1000</f>
        <v>8960</v>
      </c>
      <c r="AF1429" s="43" t="e">
        <f>IF(AD1429="","",VLOOKUP(AD1429,原価マスタ!$A$2:$AJ$1693,13,FALSE))</f>
        <v>#N/A</v>
      </c>
      <c r="AG1429" s="47" t="e">
        <f>IF(AF1429="","",+AE1429*AF1429/100)</f>
        <v>#N/A</v>
      </c>
      <c r="AH1429" s="30"/>
      <c r="AI1429" s="30"/>
      <c r="AJ1429" s="30"/>
      <c r="AK1429" s="30"/>
      <c r="AL1429" s="13"/>
      <c r="AM1429" s="13"/>
      <c r="AN1429" s="13"/>
      <c r="AO1429" s="13"/>
      <c r="AP1429" s="13"/>
      <c r="AQ1429" s="14"/>
      <c r="AR1429" s="15"/>
    </row>
    <row r="1430" spans="1:44" s="17" customFormat="1" ht="30.95" hidden="1" customHeight="1" x14ac:dyDescent="0.2">
      <c r="A1430" s="343"/>
      <c r="B1430" s="344"/>
      <c r="C1430" s="345"/>
      <c r="D1430" s="398"/>
      <c r="E1430" s="31"/>
      <c r="F1430" s="268"/>
      <c r="G1430" s="269"/>
      <c r="H1430" s="269"/>
      <c r="I1430" s="270"/>
      <c r="J1430" s="32"/>
      <c r="K1430" s="270"/>
      <c r="L1430" s="270"/>
      <c r="M1430" s="39"/>
      <c r="N1430" s="39"/>
      <c r="O1430" s="47"/>
      <c r="P1430" s="57"/>
      <c r="Q1430" s="276"/>
      <c r="R1430" s="277"/>
      <c r="S1430" s="277"/>
      <c r="T1430" s="40"/>
      <c r="U1430" s="278"/>
      <c r="V1430" s="269"/>
      <c r="W1430" s="269"/>
      <c r="X1430" s="275"/>
      <c r="Y1430" s="269"/>
      <c r="Z1430" s="357"/>
      <c r="AA1430" s="207"/>
      <c r="AB1430" s="369"/>
      <c r="AC1430" s="370"/>
      <c r="AD1430" s="332"/>
      <c r="AE1430" s="216"/>
      <c r="AF1430" s="43"/>
      <c r="AG1430" s="47"/>
      <c r="AH1430" s="30"/>
      <c r="AI1430" s="30"/>
      <c r="AJ1430" s="30"/>
      <c r="AK1430" s="30"/>
      <c r="AL1430" s="13"/>
      <c r="AM1430" s="13"/>
      <c r="AN1430" s="13"/>
      <c r="AO1430" s="13"/>
      <c r="AP1430" s="13"/>
      <c r="AQ1430" s="14"/>
      <c r="AR1430" s="15"/>
    </row>
    <row r="1431" spans="1:44" s="17" customFormat="1" ht="30.95" hidden="1" customHeight="1" x14ac:dyDescent="0.2">
      <c r="A1431" s="343"/>
      <c r="B1431" s="344"/>
      <c r="C1431" s="345"/>
      <c r="D1431" s="398">
        <v>3750091</v>
      </c>
      <c r="E1431" s="31">
        <v>4152630</v>
      </c>
      <c r="F1431" s="268" t="str">
        <f>IF(D1431="","",VLOOKUP(D1431,契約台帳!$A$3:$K$4986,6,FALSE)&amp;VLOOKUP(D1431,契約台帳!$A$3:$K$4986,7,FALSE)&amp;VLOOKUP(D1431,契約台帳!$A$3:$K$4986,8,FALSE)&amp;VLOOKUP(D1431,契約台帳!$A$3:$K$4986,9,FALSE)&amp;VLOOKUP(D1431,契約台帳!$A$3:$K$4986,11,FALSE))</f>
        <v>3SYMLBMSBBF</v>
      </c>
      <c r="G1431" s="269" t="str">
        <f>IF(D1431="","",VLOOKUP(F1431,製品マスタ!$G$5:$H$5002,2,FALSE))</f>
        <v>S</v>
      </c>
      <c r="H1431" s="269" t="str">
        <f>IF(D1431="","",VLOOKUP(F1431,製品マスタ!$G$5:$K$5002,5,FALSE))</f>
        <v>MSBBF</v>
      </c>
      <c r="I1431" s="270" t="str">
        <f>IF(D1431="","",VLOOKUP(F1431,製品マスタ!$G$5:$L$5002,6,FALSE))</f>
        <v>ＭＥＴＡＬＵＭＹ　ＳＩＬＶＥＲ　ＢＲＩＧＨＴ　Ｔ６２Ｍ　Ｂ</v>
      </c>
      <c r="J1431" s="32" t="s">
        <v>447</v>
      </c>
      <c r="K1431" s="270">
        <f>IF(D1431="","",VLOOKUP(D1431,契約台帳!$A$3:$L$4986,12,FALSE))</f>
        <v>25</v>
      </c>
      <c r="L1431" s="270" t="str">
        <f>IF(D1431="","",INDEX(製品マスタ!$Q$5:$Q$5002,MATCH(F1431&amp;K1431,製品マスタ!$AO$5:$AO$5002,0)))</f>
        <v>T62</v>
      </c>
      <c r="M1431" s="39">
        <v>1120</v>
      </c>
      <c r="N1431" s="39">
        <v>8000</v>
      </c>
      <c r="O1431" s="47">
        <v>1</v>
      </c>
      <c r="P1431" s="57"/>
      <c r="Q1431" s="276">
        <f>IF(D1431="","",IF(J1431="リード付け",M1431,VLOOKUP(D1431,契約台帳!$A$3:$N$4986,14,FALSE)))</f>
        <v>1120</v>
      </c>
      <c r="R1431" s="277">
        <f>IF(D1431="","",IF(J1431="リード付け",M1431,VLOOKUP(D1431,契約台帳!$A$3:$O$4986,15,FALSE)))</f>
        <v>1120</v>
      </c>
      <c r="S1431" s="277">
        <f>IF(D1431="","",IF(J1431="リード付け",N1431,VLOOKUP(D1431,契約台帳!$A$3:$P$4986,16,FALSE)))</f>
        <v>8000</v>
      </c>
      <c r="T1431" s="40">
        <v>1</v>
      </c>
      <c r="U1431" s="278">
        <f ca="1">IF(D1431="","",IF(OFFSET(D1431,-2,0)=D1431,"",VLOOKUP(D1431,契約台帳!$A$3:$R$4986,18,FALSE)))</f>
        <v>1</v>
      </c>
      <c r="V1431" s="269" t="str">
        <f>IF(J1431="巻返し",VLOOKUP(F1431&amp;K1431&amp;M1431,製品マスタ!$M$5:$AD$5002,18,FALSE),IF(J1431="リード付け","原反コア",IF(J1431="スリット",VLOOKUP(F1431&amp;K1431&amp;Q1431,製品マスタ!$N$5:$AD$5002,17,FALSE),"")))</f>
        <v>6ｲﾝﾁSｺｱ</v>
      </c>
      <c r="W1431" s="269">
        <f>IF(J1431="巻返し",VLOOKUP(F1431&amp;K1431&amp;M1431,製品マスタ!$M$5:$AE$5002,19,FALSE),IF(J1431="リード付け","-",IF(J1431="スリット",VLOOKUP(F1431&amp;K1431&amp;Q1431,製品マスタ!$N$5:$AE$5002,18,FALSE),"")))</f>
        <v>1125</v>
      </c>
      <c r="X1431" s="275">
        <f>IF(D1431="","",VLOOKUP(D1431,契約台帳!$A$3:$Q$4986,17,FALSE))</f>
        <v>2</v>
      </c>
      <c r="Y1431" s="269" t="str">
        <f>IF(D1431="","",VLOOKUP(D1431,契約台帳!$A$3:$E$4986,5,FALSE))</f>
        <v>リンテック㈱</v>
      </c>
      <c r="Z1431" s="357">
        <v>45405</v>
      </c>
      <c r="AA1431" s="207"/>
      <c r="AB1431" s="369"/>
      <c r="AC1431" s="370"/>
      <c r="AD1431" s="332" t="str">
        <f>IF(F1431="","",+F1431&amp;K1431)</f>
        <v>3SYMLBMSBBF25</v>
      </c>
      <c r="AE1431" s="216">
        <f>+M1431*N1431*O1431/1000</f>
        <v>8960</v>
      </c>
      <c r="AF1431" s="43" t="e">
        <f>IF(AD1431="","",VLOOKUP(AD1431,原価マスタ!$A$2:$AJ$1693,13,FALSE))</f>
        <v>#N/A</v>
      </c>
      <c r="AG1431" s="47" t="e">
        <f>IF(AF1431="","",+AE1431*AF1431/100)</f>
        <v>#N/A</v>
      </c>
      <c r="AH1431" s="30"/>
      <c r="AI1431" s="30"/>
      <c r="AJ1431" s="30"/>
      <c r="AK1431" s="30"/>
      <c r="AL1431" s="13"/>
      <c r="AM1431" s="13"/>
      <c r="AN1431" s="13"/>
      <c r="AO1431" s="13"/>
      <c r="AP1431" s="13"/>
      <c r="AQ1431" s="14"/>
      <c r="AR1431" s="15"/>
    </row>
    <row r="1432" spans="1:44" s="17" customFormat="1" ht="30.95" hidden="1" customHeight="1" x14ac:dyDescent="0.2">
      <c r="A1432" s="343"/>
      <c r="B1432" s="344"/>
      <c r="C1432" s="345"/>
      <c r="D1432" s="398"/>
      <c r="E1432" s="31"/>
      <c r="F1432" s="268"/>
      <c r="G1432" s="269"/>
      <c r="H1432" s="269"/>
      <c r="I1432" s="270"/>
      <c r="J1432" s="32"/>
      <c r="K1432" s="270"/>
      <c r="L1432" s="270"/>
      <c r="M1432" s="39"/>
      <c r="N1432" s="39"/>
      <c r="O1432" s="47"/>
      <c r="P1432" s="57"/>
      <c r="Q1432" s="276"/>
      <c r="R1432" s="277"/>
      <c r="S1432" s="277"/>
      <c r="T1432" s="40"/>
      <c r="U1432" s="278"/>
      <c r="V1432" s="269"/>
      <c r="W1432" s="269"/>
      <c r="X1432" s="275"/>
      <c r="Y1432" s="269"/>
      <c r="Z1432" s="357"/>
      <c r="AA1432" s="207"/>
      <c r="AB1432" s="369"/>
      <c r="AC1432" s="370"/>
      <c r="AD1432" s="332"/>
      <c r="AE1432" s="216"/>
      <c r="AF1432" s="43"/>
      <c r="AG1432" s="47"/>
      <c r="AH1432" s="30"/>
      <c r="AI1432" s="30"/>
      <c r="AJ1432" s="30"/>
      <c r="AK1432" s="30"/>
      <c r="AL1432" s="13"/>
      <c r="AM1432" s="13"/>
      <c r="AN1432" s="13"/>
      <c r="AO1432" s="13"/>
      <c r="AP1432" s="13"/>
      <c r="AQ1432" s="14"/>
      <c r="AR1432" s="15"/>
    </row>
    <row r="1433" spans="1:44" s="17" customFormat="1" ht="30.95" hidden="1" customHeight="1" x14ac:dyDescent="0.2">
      <c r="A1433" s="343" t="s">
        <v>1060</v>
      </c>
      <c r="B1433" s="344" t="s">
        <v>444</v>
      </c>
      <c r="C1433" s="345"/>
      <c r="D1433" s="398"/>
      <c r="E1433" s="31"/>
      <c r="F1433" s="268"/>
      <c r="G1433" s="269"/>
      <c r="H1433" s="269"/>
      <c r="I1433" s="301" t="s">
        <v>2737</v>
      </c>
      <c r="J1433" s="32"/>
      <c r="K1433" s="270"/>
      <c r="L1433" s="270"/>
      <c r="M1433" s="39"/>
      <c r="N1433" s="39"/>
      <c r="O1433" s="47"/>
      <c r="P1433" s="57"/>
      <c r="Q1433" s="276"/>
      <c r="R1433" s="277"/>
      <c r="S1433" s="277"/>
      <c r="T1433" s="40"/>
      <c r="U1433" s="278"/>
      <c r="V1433" s="269"/>
      <c r="W1433" s="269"/>
      <c r="X1433" s="275"/>
      <c r="Y1433" s="269"/>
      <c r="Z1433" s="357"/>
      <c r="AA1433" s="207"/>
      <c r="AB1433" s="369"/>
      <c r="AC1433" s="370"/>
      <c r="AD1433" s="332"/>
      <c r="AE1433" s="216"/>
      <c r="AF1433" s="43"/>
      <c r="AG1433" s="47"/>
      <c r="AH1433" s="30"/>
      <c r="AI1433" s="30"/>
      <c r="AJ1433" s="30"/>
      <c r="AK1433" s="30"/>
      <c r="AL1433" s="13"/>
      <c r="AM1433" s="13"/>
      <c r="AN1433" s="13"/>
      <c r="AO1433" s="13"/>
      <c r="AP1433" s="13"/>
      <c r="AQ1433" s="14"/>
      <c r="AR1433" s="15"/>
    </row>
    <row r="1434" spans="1:44" s="17" customFormat="1" ht="30.95" hidden="1" customHeight="1" x14ac:dyDescent="0.2">
      <c r="A1434" s="343"/>
      <c r="B1434" s="344"/>
      <c r="C1434" s="345"/>
      <c r="D1434" s="398"/>
      <c r="E1434" s="31"/>
      <c r="F1434" s="268"/>
      <c r="G1434" s="269"/>
      <c r="H1434" s="269"/>
      <c r="I1434" s="270"/>
      <c r="J1434" s="32"/>
      <c r="K1434" s="270"/>
      <c r="L1434" s="270"/>
      <c r="M1434" s="39"/>
      <c r="N1434" s="39"/>
      <c r="O1434" s="47"/>
      <c r="P1434" s="57"/>
      <c r="Q1434" s="276"/>
      <c r="R1434" s="277"/>
      <c r="S1434" s="277"/>
      <c r="T1434" s="40"/>
      <c r="U1434" s="278"/>
      <c r="V1434" s="269"/>
      <c r="W1434" s="269"/>
      <c r="X1434" s="275"/>
      <c r="Y1434" s="269"/>
      <c r="Z1434" s="357"/>
      <c r="AA1434" s="207"/>
      <c r="AB1434" s="369"/>
      <c r="AC1434" s="370"/>
      <c r="AD1434" s="332"/>
      <c r="AE1434" s="216"/>
      <c r="AF1434" s="43"/>
      <c r="AG1434" s="47"/>
      <c r="AH1434" s="30"/>
      <c r="AI1434" s="30"/>
      <c r="AJ1434" s="30"/>
      <c r="AK1434" s="30"/>
      <c r="AL1434" s="13"/>
      <c r="AM1434" s="13"/>
      <c r="AN1434" s="13"/>
      <c r="AO1434" s="13"/>
      <c r="AP1434" s="13"/>
      <c r="AQ1434" s="14"/>
      <c r="AR1434" s="15"/>
    </row>
    <row r="1435" spans="1:44" s="17" customFormat="1" ht="30.95" hidden="1" customHeight="1" x14ac:dyDescent="0.2">
      <c r="A1435" s="343"/>
      <c r="B1435" s="344"/>
      <c r="C1435" s="345"/>
      <c r="D1435" s="398">
        <v>3750072</v>
      </c>
      <c r="E1435" s="31">
        <v>4151629</v>
      </c>
      <c r="F1435" s="268" t="str">
        <f>IF(D1435="","",VLOOKUP(D1435,契約台帳!$A$3:$K$4986,6,FALSE)&amp;VLOOKUP(D1435,契約台帳!$A$3:$K$4986,7,FALSE)&amp;VLOOKUP(D1435,契約台帳!$A$3:$K$4986,8,FALSE)&amp;VLOOKUP(D1435,契約台帳!$A$3:$K$4986,9,FALSE)&amp;VLOOKUP(D1435,契約台帳!$A$3:$K$4986,11,FALSE))</f>
        <v>3SNMLBMNNGKBF</v>
      </c>
      <c r="G1435" s="269" t="str">
        <f>IF(D1435="","",VLOOKUP(F1435,製品マスタ!$G$5:$H$5002,2,FALSE))</f>
        <v>S</v>
      </c>
      <c r="H1435" s="269" t="str">
        <f>IF(D1435="","",VLOOKUP(F1435,製品マスタ!$G$5:$K$5002,5,FALSE))</f>
        <v>MNNGKBF</v>
      </c>
      <c r="I1435" s="270" t="str">
        <f>IF(D1435="","",VLOOKUP(F1435,製品マスタ!$G$5:$L$5002,6,FALSE))</f>
        <v>メタルミー　ニューネーマー銀消　Ｂ</v>
      </c>
      <c r="J1435" s="32" t="s">
        <v>447</v>
      </c>
      <c r="K1435" s="270">
        <f>IF(D1435="","",VLOOKUP(D1435,契約台帳!$A$3:$L$4986,12,FALSE))</f>
        <v>50</v>
      </c>
      <c r="L1435" s="270" t="str">
        <f>IF(D1435="","",INDEX(製品マスタ!$Q$5:$Q$5002,MATCH(F1435&amp;K1435,製品マスタ!$AO$5:$AO$5002,0)))</f>
        <v>X44</v>
      </c>
      <c r="M1435" s="39">
        <v>1000</v>
      </c>
      <c r="N1435" s="39">
        <v>12000</v>
      </c>
      <c r="O1435" s="47">
        <v>4</v>
      </c>
      <c r="P1435" s="57"/>
      <c r="Q1435" s="276">
        <f>IF(D1435="","",IF(J1435="リード付け",M1435,VLOOKUP(D1435,契約台帳!$A$3:$N$4986,14,FALSE)))</f>
        <v>1000</v>
      </c>
      <c r="R1435" s="277">
        <f>IF(D1435="","",IF(J1435="リード付け",M1435,VLOOKUP(D1435,契約台帳!$A$3:$O$4986,15,FALSE)))</f>
        <v>1000</v>
      </c>
      <c r="S1435" s="277">
        <f>IF(D1435="","",IF(J1435="リード付け",N1435,VLOOKUP(D1435,契約台帳!$A$3:$P$4986,16,FALSE)))</f>
        <v>4000</v>
      </c>
      <c r="T1435" s="40">
        <v>12</v>
      </c>
      <c r="U1435" s="278">
        <f ca="1">IF(D1435="","",IF(OFFSET(D1435,-2,0)=D1435,"",VLOOKUP(D1435,契約台帳!$A$3:$R$4986,18,FALSE)))</f>
        <v>28</v>
      </c>
      <c r="V1435" s="269" t="str">
        <f>IF(J1435="巻返し",VLOOKUP(F1435&amp;K1435&amp;M1435,製品マスタ!$M$5:$AD$5002,18,FALSE),IF(J1435="リード付け","原反コア",IF(J1435="スリット",VLOOKUP(F1435&amp;K1435&amp;Q1435,製品マスタ!$N$5:$AD$5002,17,FALSE),"")))</f>
        <v>6ｲﾝﾁSｺｱ</v>
      </c>
      <c r="W1435" s="269">
        <f>IF(J1435="巻返し",VLOOKUP(F1435&amp;K1435&amp;M1435,製品マスタ!$M$5:$AE$5002,19,FALSE),IF(J1435="リード付け","-",IF(J1435="スリット",VLOOKUP(F1435&amp;K1435&amp;Q1435,製品マスタ!$N$5:$AE$5002,18,FALSE),"")))</f>
        <v>1005</v>
      </c>
      <c r="X1435" s="275">
        <f>IF(D1435="","",VLOOKUP(D1435,契約台帳!$A$3:$Q$4986,17,FALSE))</f>
        <v>2</v>
      </c>
      <c r="Y1435" s="269" t="str">
        <f>IF(D1435="","",VLOOKUP(D1435,契約台帳!$A$3:$E$4986,5,FALSE))</f>
        <v>リンテック㈱</v>
      </c>
      <c r="Z1435" s="357">
        <v>45406</v>
      </c>
      <c r="AA1435" s="207"/>
      <c r="AB1435" s="369"/>
      <c r="AC1435" s="370"/>
      <c r="AD1435" s="332" t="str">
        <f>IF(F1435="","",+F1435&amp;K1435)</f>
        <v>3SNMLBMNNGKBF50</v>
      </c>
      <c r="AE1435" s="216">
        <f>+M1435*N1435*O1435/1000</f>
        <v>48000</v>
      </c>
      <c r="AF1435" s="43">
        <f>IF(AD1435="","",VLOOKUP(AD1435,原価マスタ!$A$2:$AJ$1693,13,FALSE))</f>
        <v>99</v>
      </c>
      <c r="AG1435" s="47">
        <f>IF(AF1435="","",+AE1435*AF1435/100)</f>
        <v>47520</v>
      </c>
      <c r="AH1435" s="30"/>
      <c r="AI1435" s="30"/>
      <c r="AJ1435" s="30"/>
      <c r="AK1435" s="30"/>
      <c r="AL1435" s="13"/>
      <c r="AM1435" s="13"/>
      <c r="AN1435" s="13"/>
      <c r="AO1435" s="13"/>
      <c r="AP1435" s="13"/>
      <c r="AQ1435" s="14"/>
      <c r="AR1435" s="15"/>
    </row>
    <row r="1436" spans="1:44" s="17" customFormat="1" ht="30.95" hidden="1" customHeight="1" x14ac:dyDescent="0.2">
      <c r="A1436" s="343"/>
      <c r="B1436" s="344"/>
      <c r="C1436" s="345"/>
      <c r="D1436" s="398"/>
      <c r="E1436" s="31"/>
      <c r="F1436" s="268"/>
      <c r="G1436" s="269"/>
      <c r="H1436" s="269"/>
      <c r="I1436" s="270"/>
      <c r="J1436" s="32"/>
      <c r="K1436" s="270"/>
      <c r="L1436" s="270"/>
      <c r="M1436" s="39"/>
      <c r="N1436" s="39"/>
      <c r="O1436" s="47"/>
      <c r="P1436" s="57"/>
      <c r="Q1436" s="276"/>
      <c r="R1436" s="277"/>
      <c r="S1436" s="277"/>
      <c r="T1436" s="40"/>
      <c r="U1436" s="278"/>
      <c r="V1436" s="269"/>
      <c r="W1436" s="269"/>
      <c r="X1436" s="275"/>
      <c r="Y1436" s="269"/>
      <c r="Z1436" s="357"/>
      <c r="AA1436" s="207"/>
      <c r="AB1436" s="369"/>
      <c r="AC1436" s="370"/>
      <c r="AD1436" s="332"/>
      <c r="AE1436" s="216"/>
      <c r="AF1436" s="43"/>
      <c r="AG1436" s="47"/>
      <c r="AH1436" s="30"/>
      <c r="AI1436" s="30"/>
      <c r="AJ1436" s="30"/>
      <c r="AK1436" s="30"/>
      <c r="AL1436" s="13"/>
      <c r="AM1436" s="13"/>
      <c r="AN1436" s="13"/>
      <c r="AO1436" s="13"/>
      <c r="AP1436" s="13"/>
      <c r="AQ1436" s="14"/>
      <c r="AR1436" s="15"/>
    </row>
    <row r="1437" spans="1:44" s="17" customFormat="1" ht="30.95" hidden="1" customHeight="1" x14ac:dyDescent="0.2">
      <c r="A1437" s="343" t="s">
        <v>1061</v>
      </c>
      <c r="B1437" s="344" t="s">
        <v>445</v>
      </c>
      <c r="C1437" s="345"/>
      <c r="D1437" s="31"/>
      <c r="E1437" s="31"/>
      <c r="F1437" s="268"/>
      <c r="G1437" s="269"/>
      <c r="H1437" s="269"/>
      <c r="I1437" s="270"/>
      <c r="J1437" s="32" t="s">
        <v>448</v>
      </c>
      <c r="K1437" s="270"/>
      <c r="L1437" s="270"/>
      <c r="M1437" s="39"/>
      <c r="N1437" s="39"/>
      <c r="O1437" s="47"/>
      <c r="P1437" s="57"/>
      <c r="Q1437" s="276"/>
      <c r="R1437" s="277"/>
      <c r="S1437" s="277"/>
      <c r="T1437" s="40"/>
      <c r="U1437" s="278"/>
      <c r="V1437" s="269"/>
      <c r="W1437" s="269"/>
      <c r="X1437" s="275"/>
      <c r="Y1437" s="269"/>
      <c r="Z1437" s="357"/>
      <c r="AA1437" s="207"/>
      <c r="AB1437" s="369"/>
      <c r="AC1437" s="370"/>
      <c r="AD1437" s="332"/>
      <c r="AE1437" s="216"/>
      <c r="AF1437" s="43"/>
      <c r="AG1437" s="47"/>
      <c r="AH1437" s="30"/>
      <c r="AI1437" s="30"/>
      <c r="AJ1437" s="30"/>
      <c r="AK1437" s="30"/>
      <c r="AL1437" s="13"/>
      <c r="AM1437" s="13"/>
      <c r="AN1437" s="13"/>
      <c r="AO1437" s="13"/>
      <c r="AP1437" s="13"/>
      <c r="AQ1437" s="14"/>
      <c r="AR1437" s="15"/>
    </row>
    <row r="1438" spans="1:44" s="17" customFormat="1" ht="30.95" hidden="1" customHeight="1" x14ac:dyDescent="0.2">
      <c r="A1438" s="343"/>
      <c r="B1438" s="344"/>
      <c r="C1438" s="345"/>
      <c r="D1438" s="31"/>
      <c r="E1438" s="31"/>
      <c r="F1438" s="268"/>
      <c r="G1438" s="269"/>
      <c r="H1438" s="269"/>
      <c r="I1438" s="270"/>
      <c r="J1438" s="32"/>
      <c r="K1438" s="270"/>
      <c r="L1438" s="270"/>
      <c r="M1438" s="39"/>
      <c r="N1438" s="39"/>
      <c r="O1438" s="47"/>
      <c r="P1438" s="57"/>
      <c r="Q1438" s="276"/>
      <c r="R1438" s="277"/>
      <c r="S1438" s="277"/>
      <c r="T1438" s="40"/>
      <c r="U1438" s="278"/>
      <c r="V1438" s="269"/>
      <c r="W1438" s="269"/>
      <c r="X1438" s="275"/>
      <c r="Y1438" s="269"/>
      <c r="Z1438" s="357"/>
      <c r="AA1438" s="207"/>
      <c r="AB1438" s="369"/>
      <c r="AC1438" s="370"/>
      <c r="AD1438" s="332"/>
      <c r="AE1438" s="216"/>
      <c r="AF1438" s="43"/>
      <c r="AG1438" s="47"/>
      <c r="AH1438" s="30"/>
      <c r="AI1438" s="30"/>
      <c r="AJ1438" s="30"/>
      <c r="AK1438" s="30"/>
      <c r="AL1438" s="13"/>
      <c r="AM1438" s="13"/>
      <c r="AN1438" s="13"/>
      <c r="AO1438" s="13"/>
      <c r="AP1438" s="13"/>
      <c r="AQ1438" s="14"/>
      <c r="AR1438" s="15"/>
    </row>
    <row r="1439" spans="1:44" s="17" customFormat="1" ht="30.95" hidden="1" customHeight="1" x14ac:dyDescent="0.2">
      <c r="A1439" s="343" t="s">
        <v>1062</v>
      </c>
      <c r="B1439" s="344" t="s">
        <v>446</v>
      </c>
      <c r="C1439" s="345"/>
      <c r="D1439" s="31"/>
      <c r="E1439" s="31"/>
      <c r="F1439" s="268"/>
      <c r="G1439" s="269"/>
      <c r="H1439" s="269"/>
      <c r="I1439" s="270"/>
      <c r="J1439" s="32" t="s">
        <v>448</v>
      </c>
      <c r="K1439" s="270"/>
      <c r="L1439" s="270"/>
      <c r="M1439" s="39"/>
      <c r="N1439" s="39"/>
      <c r="O1439" s="47"/>
      <c r="P1439" s="57"/>
      <c r="Q1439" s="276"/>
      <c r="R1439" s="277"/>
      <c r="S1439" s="277"/>
      <c r="T1439" s="40"/>
      <c r="U1439" s="278"/>
      <c r="V1439" s="269"/>
      <c r="W1439" s="269"/>
      <c r="X1439" s="275"/>
      <c r="Y1439" s="269"/>
      <c r="Z1439" s="357"/>
      <c r="AA1439" s="207"/>
      <c r="AB1439" s="369"/>
      <c r="AC1439" s="370"/>
      <c r="AD1439" s="332"/>
      <c r="AE1439" s="216"/>
      <c r="AF1439" s="43"/>
      <c r="AG1439" s="47"/>
      <c r="AH1439" s="30"/>
      <c r="AI1439" s="30"/>
      <c r="AJ1439" s="30"/>
      <c r="AK1439" s="30"/>
      <c r="AL1439" s="13"/>
      <c r="AM1439" s="13"/>
      <c r="AN1439" s="13"/>
      <c r="AO1439" s="13"/>
      <c r="AP1439" s="13"/>
      <c r="AQ1439" s="14"/>
      <c r="AR1439" s="15"/>
    </row>
    <row r="1440" spans="1:44" s="17" customFormat="1" ht="30.95" hidden="1" customHeight="1" x14ac:dyDescent="0.2">
      <c r="A1440" s="343"/>
      <c r="B1440" s="344"/>
      <c r="C1440" s="345"/>
      <c r="D1440" s="398"/>
      <c r="E1440" s="31"/>
      <c r="F1440" s="268"/>
      <c r="G1440" s="269"/>
      <c r="H1440" s="269"/>
      <c r="I1440" s="270"/>
      <c r="J1440" s="32"/>
      <c r="K1440" s="270"/>
      <c r="L1440" s="270"/>
      <c r="M1440" s="39"/>
      <c r="N1440" s="39"/>
      <c r="O1440" s="47"/>
      <c r="P1440" s="57"/>
      <c r="Q1440" s="276"/>
      <c r="R1440" s="277"/>
      <c r="S1440" s="277"/>
      <c r="T1440" s="40"/>
      <c r="U1440" s="278"/>
      <c r="V1440" s="269"/>
      <c r="W1440" s="269"/>
      <c r="X1440" s="275"/>
      <c r="Y1440" s="269"/>
      <c r="Z1440" s="357"/>
      <c r="AA1440" s="207"/>
      <c r="AB1440" s="369"/>
      <c r="AC1440" s="370"/>
      <c r="AD1440" s="332"/>
      <c r="AE1440" s="216"/>
      <c r="AF1440" s="43"/>
      <c r="AG1440" s="47"/>
      <c r="AH1440" s="30"/>
      <c r="AI1440" s="30"/>
      <c r="AJ1440" s="30"/>
      <c r="AK1440" s="30"/>
      <c r="AL1440" s="13"/>
      <c r="AM1440" s="13"/>
      <c r="AN1440" s="13"/>
      <c r="AO1440" s="13"/>
      <c r="AP1440" s="13"/>
      <c r="AQ1440" s="14"/>
      <c r="AR1440" s="15"/>
    </row>
    <row r="1441" spans="1:44" s="17" customFormat="1" ht="30.95" hidden="1" customHeight="1" x14ac:dyDescent="0.2">
      <c r="A1441" s="343" t="s">
        <v>1063</v>
      </c>
      <c r="B1441" s="344" t="s">
        <v>462</v>
      </c>
      <c r="C1441" s="345"/>
      <c r="D1441" s="398">
        <v>3750072</v>
      </c>
      <c r="E1441" s="31">
        <v>4151629</v>
      </c>
      <c r="F1441" s="268" t="str">
        <f>IF(D1441="","",VLOOKUP(D1441,契約台帳!$A$3:$K$4986,6,FALSE)&amp;VLOOKUP(D1441,契約台帳!$A$3:$K$4986,7,FALSE)&amp;VLOOKUP(D1441,契約台帳!$A$3:$K$4986,8,FALSE)&amp;VLOOKUP(D1441,契約台帳!$A$3:$K$4986,9,FALSE)&amp;VLOOKUP(D1441,契約台帳!$A$3:$K$4986,11,FALSE))</f>
        <v>3SNMLBMNNGKBF</v>
      </c>
      <c r="G1441" s="269" t="str">
        <f>IF(D1441="","",VLOOKUP(F1441,製品マスタ!$G$5:$H$5002,2,FALSE))</f>
        <v>S</v>
      </c>
      <c r="H1441" s="269" t="str">
        <f>IF(D1441="","",VLOOKUP(F1441,製品マスタ!$G$5:$K$5002,5,FALSE))</f>
        <v>MNNGKBF</v>
      </c>
      <c r="I1441" s="270" t="str">
        <f>IF(D1441="","",VLOOKUP(F1441,製品マスタ!$G$5:$L$5002,6,FALSE))</f>
        <v>メタルミー　ニューネーマー銀消　Ｂ</v>
      </c>
      <c r="J1441" s="32" t="s">
        <v>447</v>
      </c>
      <c r="K1441" s="270">
        <f>IF(D1441="","",VLOOKUP(D1441,契約台帳!$A$3:$L$4986,12,FALSE))</f>
        <v>50</v>
      </c>
      <c r="L1441" s="270" t="str">
        <f>IF(D1441="","",INDEX(製品マスタ!$Q$5:$Q$5002,MATCH(F1441&amp;K1441,製品マスタ!$AO$5:$AO$5002,0)))</f>
        <v>X44</v>
      </c>
      <c r="M1441" s="39">
        <v>1000</v>
      </c>
      <c r="N1441" s="39">
        <v>12000</v>
      </c>
      <c r="O1441" s="47">
        <v>4</v>
      </c>
      <c r="P1441" s="57"/>
      <c r="Q1441" s="276">
        <f>IF(D1441="","",IF(J1441="リード付け",M1441,VLOOKUP(D1441,契約台帳!$A$3:$N$4986,14,FALSE)))</f>
        <v>1000</v>
      </c>
      <c r="R1441" s="277">
        <f>IF(D1441="","",IF(J1441="リード付け",M1441,VLOOKUP(D1441,契約台帳!$A$3:$O$4986,15,FALSE)))</f>
        <v>1000</v>
      </c>
      <c r="S1441" s="277">
        <f>IF(D1441="","",IF(J1441="リード付け",N1441,VLOOKUP(D1441,契約台帳!$A$3:$P$4986,16,FALSE)))</f>
        <v>4000</v>
      </c>
      <c r="T1441" s="40">
        <v>12</v>
      </c>
      <c r="U1441" s="278">
        <f ca="1">IF(D1441="","",IF(OFFSET(D1441,-2,0)=D1441,"",VLOOKUP(D1441,契約台帳!$A$3:$R$4986,18,FALSE)))</f>
        <v>28</v>
      </c>
      <c r="V1441" s="269" t="str">
        <f>IF(J1441="巻返し",VLOOKUP(F1441&amp;K1441&amp;M1441,製品マスタ!$M$5:$AD$5002,18,FALSE),IF(J1441="リード付け","原反コア",IF(J1441="スリット",VLOOKUP(F1441&amp;K1441&amp;Q1441,製品マスタ!$N$5:$AD$5002,17,FALSE),"")))</f>
        <v>6ｲﾝﾁSｺｱ</v>
      </c>
      <c r="W1441" s="269">
        <f>IF(J1441="巻返し",VLOOKUP(F1441&amp;K1441&amp;M1441,製品マスタ!$M$5:$AE$5002,19,FALSE),IF(J1441="リード付け","-",IF(J1441="スリット",VLOOKUP(F1441&amp;K1441&amp;Q1441,製品マスタ!$N$5:$AE$5002,18,FALSE),"")))</f>
        <v>1005</v>
      </c>
      <c r="X1441" s="275">
        <f>IF(D1441="","",VLOOKUP(D1441,契約台帳!$A$3:$Q$4986,17,FALSE))</f>
        <v>2</v>
      </c>
      <c r="Y1441" s="269" t="str">
        <f>IF(D1441="","",VLOOKUP(D1441,契約台帳!$A$3:$E$4986,5,FALSE))</f>
        <v>リンテック㈱</v>
      </c>
      <c r="Z1441" s="357">
        <v>45407</v>
      </c>
      <c r="AA1441" s="207"/>
      <c r="AB1441" s="369"/>
      <c r="AC1441" s="370"/>
      <c r="AD1441" s="332" t="str">
        <f>IF(F1441="","",+F1441&amp;K1441)</f>
        <v>3SNMLBMNNGKBF50</v>
      </c>
      <c r="AE1441" s="216">
        <f>+M1441*N1441*O1441/1000</f>
        <v>48000</v>
      </c>
      <c r="AF1441" s="43">
        <f>IF(AD1441="","",VLOOKUP(AD1441,原価マスタ!$A$2:$AJ$1693,13,FALSE))</f>
        <v>99</v>
      </c>
      <c r="AG1441" s="47">
        <f>IF(AF1441="","",+AE1441*AF1441/100)</f>
        <v>47520</v>
      </c>
      <c r="AH1441" s="30"/>
      <c r="AI1441" s="30"/>
      <c r="AJ1441" s="30"/>
      <c r="AK1441" s="30"/>
      <c r="AL1441" s="13"/>
      <c r="AM1441" s="13"/>
      <c r="AN1441" s="13"/>
      <c r="AO1441" s="13"/>
      <c r="AP1441" s="13"/>
      <c r="AQ1441" s="14"/>
      <c r="AR1441" s="15"/>
    </row>
    <row r="1442" spans="1:44" s="17" customFormat="1" ht="30.95" hidden="1" customHeight="1" x14ac:dyDescent="0.2">
      <c r="A1442" s="343"/>
      <c r="B1442" s="344"/>
      <c r="C1442" s="345"/>
      <c r="D1442" s="398"/>
      <c r="E1442" s="31"/>
      <c r="F1442" s="268"/>
      <c r="G1442" s="269"/>
      <c r="H1442" s="269"/>
      <c r="I1442" s="270"/>
      <c r="J1442" s="32"/>
      <c r="K1442" s="270"/>
      <c r="L1442" s="270"/>
      <c r="M1442" s="39"/>
      <c r="N1442" s="39"/>
      <c r="O1442" s="47"/>
      <c r="P1442" s="57"/>
      <c r="Q1442" s="276"/>
      <c r="R1442" s="277"/>
      <c r="S1442" s="277"/>
      <c r="T1442" s="40"/>
      <c r="U1442" s="278"/>
      <c r="V1442" s="269"/>
      <c r="W1442" s="269"/>
      <c r="X1442" s="275"/>
      <c r="Y1442" s="269"/>
      <c r="Z1442" s="357"/>
      <c r="AA1442" s="207"/>
      <c r="AB1442" s="369"/>
      <c r="AC1442" s="370"/>
      <c r="AD1442" s="332"/>
      <c r="AE1442" s="216"/>
      <c r="AF1442" s="43"/>
      <c r="AG1442" s="47"/>
      <c r="AH1442" s="30"/>
      <c r="AI1442" s="30"/>
      <c r="AJ1442" s="30"/>
      <c r="AK1442" s="30"/>
      <c r="AL1442" s="13"/>
      <c r="AM1442" s="13"/>
      <c r="AN1442" s="13"/>
      <c r="AO1442" s="13"/>
      <c r="AP1442" s="13"/>
      <c r="AQ1442" s="14"/>
      <c r="AR1442" s="15"/>
    </row>
    <row r="1443" spans="1:44" s="17" customFormat="1" ht="30.95" hidden="1" customHeight="1" x14ac:dyDescent="0.2">
      <c r="A1443" s="343"/>
      <c r="B1443" s="344"/>
      <c r="C1443" s="345"/>
      <c r="D1443" s="398">
        <v>3750072</v>
      </c>
      <c r="E1443" s="31">
        <v>4151629</v>
      </c>
      <c r="F1443" s="268" t="str">
        <f>IF(D1443="","",VLOOKUP(D1443,契約台帳!$A$3:$K$4986,6,FALSE)&amp;VLOOKUP(D1443,契約台帳!$A$3:$K$4986,7,FALSE)&amp;VLOOKUP(D1443,契約台帳!$A$3:$K$4986,8,FALSE)&amp;VLOOKUP(D1443,契約台帳!$A$3:$K$4986,9,FALSE)&amp;VLOOKUP(D1443,契約台帳!$A$3:$K$4986,11,FALSE))</f>
        <v>3SNMLBMNNGKBF</v>
      </c>
      <c r="G1443" s="269" t="str">
        <f>IF(D1443="","",VLOOKUP(F1443,製品マスタ!$G$5:$H$5002,2,FALSE))</f>
        <v>S</v>
      </c>
      <c r="H1443" s="269" t="str">
        <f>IF(D1443="","",VLOOKUP(F1443,製品マスタ!$G$5:$K$5002,5,FALSE))</f>
        <v>MNNGKBF</v>
      </c>
      <c r="I1443" s="270" t="str">
        <f>IF(D1443="","",VLOOKUP(F1443,製品マスタ!$G$5:$L$5002,6,FALSE))</f>
        <v>メタルミー　ニューネーマー銀消　Ｂ</v>
      </c>
      <c r="J1443" s="32" t="s">
        <v>447</v>
      </c>
      <c r="K1443" s="270">
        <f>IF(D1443="","",VLOOKUP(D1443,契約台帳!$A$3:$L$4986,12,FALSE))</f>
        <v>50</v>
      </c>
      <c r="L1443" s="270" t="str">
        <f>IF(D1443="","",INDEX(製品マスタ!$Q$5:$Q$5002,MATCH(F1443&amp;K1443,製品マスタ!$AO$5:$AO$5002,0)))</f>
        <v>X44</v>
      </c>
      <c r="M1443" s="39">
        <v>1000</v>
      </c>
      <c r="N1443" s="39">
        <v>8000</v>
      </c>
      <c r="O1443" s="47">
        <v>2</v>
      </c>
      <c r="P1443" s="57"/>
      <c r="Q1443" s="276">
        <f>IF(D1443="","",IF(J1443="リード付け",M1443,VLOOKUP(D1443,契約台帳!$A$3:$N$4986,14,FALSE)))</f>
        <v>1000</v>
      </c>
      <c r="R1443" s="277">
        <f>IF(D1443="","",IF(J1443="リード付け",M1443,VLOOKUP(D1443,契約台帳!$A$3:$O$4986,15,FALSE)))</f>
        <v>1000</v>
      </c>
      <c r="S1443" s="277">
        <f>IF(D1443="","",IF(J1443="リード付け",N1443,VLOOKUP(D1443,契約台帳!$A$3:$P$4986,16,FALSE)))</f>
        <v>4000</v>
      </c>
      <c r="T1443" s="40">
        <v>4</v>
      </c>
      <c r="U1443" s="278" t="str">
        <f ca="1">IF(D1443="","",IF(OFFSET(D1443,-2,0)=D1443,"",VLOOKUP(D1443,契約台帳!$A$3:$R$4986,18,FALSE)))</f>
        <v/>
      </c>
      <c r="V1443" s="269" t="str">
        <f>IF(J1443="巻返し",VLOOKUP(F1443&amp;K1443&amp;M1443,製品マスタ!$M$5:$AD$5002,18,FALSE),IF(J1443="リード付け","原反コア",IF(J1443="スリット",VLOOKUP(F1443&amp;K1443&amp;Q1443,製品マスタ!$N$5:$AD$5002,17,FALSE),"")))</f>
        <v>6ｲﾝﾁSｺｱ</v>
      </c>
      <c r="W1443" s="269">
        <f>IF(J1443="巻返し",VLOOKUP(F1443&amp;K1443&amp;M1443,製品マスタ!$M$5:$AE$5002,19,FALSE),IF(J1443="リード付け","-",IF(J1443="スリット",VLOOKUP(F1443&amp;K1443&amp;Q1443,製品マスタ!$N$5:$AE$5002,18,FALSE),"")))</f>
        <v>1005</v>
      </c>
      <c r="X1443" s="275">
        <f>IF(D1443="","",VLOOKUP(D1443,契約台帳!$A$3:$Q$4986,17,FALSE))</f>
        <v>2</v>
      </c>
      <c r="Y1443" s="269" t="str">
        <f>IF(D1443="","",VLOOKUP(D1443,契約台帳!$A$3:$E$4986,5,FALSE))</f>
        <v>リンテック㈱</v>
      </c>
      <c r="Z1443" s="357">
        <v>45407</v>
      </c>
      <c r="AA1443" s="207"/>
      <c r="AB1443" s="369"/>
      <c r="AC1443" s="370"/>
      <c r="AD1443" s="332" t="str">
        <f>IF(F1443="","",+F1443&amp;K1443)</f>
        <v>3SNMLBMNNGKBF50</v>
      </c>
      <c r="AE1443" s="216">
        <f>+M1443*N1443*O1443/1000</f>
        <v>16000</v>
      </c>
      <c r="AF1443" s="43">
        <f>IF(AD1443="","",VLOOKUP(AD1443,原価マスタ!$A$2:$AJ$1693,13,FALSE))</f>
        <v>99</v>
      </c>
      <c r="AG1443" s="47">
        <f>IF(AF1443="","",+AE1443*AF1443/100)</f>
        <v>15840</v>
      </c>
      <c r="AH1443" s="30"/>
      <c r="AI1443" s="30"/>
      <c r="AJ1443" s="30"/>
      <c r="AK1443" s="30"/>
      <c r="AL1443" s="13"/>
      <c r="AM1443" s="13"/>
      <c r="AN1443" s="13"/>
      <c r="AO1443" s="13"/>
      <c r="AP1443" s="13"/>
      <c r="AQ1443" s="14"/>
      <c r="AR1443" s="15"/>
    </row>
    <row r="1444" spans="1:44" s="17" customFormat="1" ht="30.95" hidden="1" customHeight="1" x14ac:dyDescent="0.2">
      <c r="A1444" s="343"/>
      <c r="B1444" s="344"/>
      <c r="C1444" s="345"/>
      <c r="D1444" s="398"/>
      <c r="E1444" s="31"/>
      <c r="F1444" s="268"/>
      <c r="G1444" s="269"/>
      <c r="H1444" s="269"/>
      <c r="I1444" s="270"/>
      <c r="J1444" s="32"/>
      <c r="K1444" s="270"/>
      <c r="L1444" s="270"/>
      <c r="M1444" s="39"/>
      <c r="N1444" s="39"/>
      <c r="O1444" s="47"/>
      <c r="P1444" s="57"/>
      <c r="Q1444" s="276"/>
      <c r="R1444" s="277"/>
      <c r="S1444" s="277"/>
      <c r="T1444" s="40"/>
      <c r="U1444" s="278"/>
      <c r="V1444" s="269"/>
      <c r="W1444" s="269"/>
      <c r="X1444" s="275"/>
      <c r="Y1444" s="269"/>
      <c r="Z1444" s="357"/>
      <c r="AA1444" s="207"/>
      <c r="AB1444" s="369"/>
      <c r="AC1444" s="370"/>
      <c r="AD1444" s="332"/>
      <c r="AE1444" s="216"/>
      <c r="AF1444" s="43"/>
      <c r="AG1444" s="47"/>
      <c r="AH1444" s="30"/>
      <c r="AI1444" s="30"/>
      <c r="AJ1444" s="30"/>
      <c r="AK1444" s="30"/>
      <c r="AL1444" s="13"/>
      <c r="AM1444" s="13"/>
      <c r="AN1444" s="13"/>
      <c r="AO1444" s="13"/>
      <c r="AP1444" s="13"/>
      <c r="AQ1444" s="14"/>
      <c r="AR1444" s="15"/>
    </row>
    <row r="1445" spans="1:44" s="17" customFormat="1" ht="30.95" hidden="1" customHeight="1" x14ac:dyDescent="0.2">
      <c r="A1445" s="343" t="s">
        <v>1064</v>
      </c>
      <c r="B1445" s="344" t="s">
        <v>688</v>
      </c>
      <c r="C1445" s="345"/>
      <c r="D1445" s="398">
        <v>3750084</v>
      </c>
      <c r="E1445" s="31">
        <v>4151640</v>
      </c>
      <c r="F1445" s="268" t="str">
        <f>IF(D1445="","",VLOOKUP(D1445,契約台帳!$A$3:$K$4986,6,FALSE)&amp;VLOOKUP(D1445,契約台帳!$A$3:$K$4986,7,FALSE)&amp;VLOOKUP(D1445,契約台帳!$A$3:$K$4986,8,FALSE)&amp;VLOOKUP(D1445,契約台帳!$A$3:$K$4986,9,FALSE)&amp;VLOOKUP(D1445,契約台帳!$A$3:$K$4986,11,FALSE))</f>
        <v>3SYMLBMSSMBF</v>
      </c>
      <c r="G1445" s="269" t="str">
        <f>IF(D1445="","",VLOOKUP(F1445,製品マスタ!$G$5:$H$5002,2,FALSE))</f>
        <v>S</v>
      </c>
      <c r="H1445" s="269" t="str">
        <f>IF(D1445="","",VLOOKUP(F1445,製品マスタ!$G$5:$K$5002,5,FALSE))</f>
        <v>MSSMBF</v>
      </c>
      <c r="I1445" s="270" t="str">
        <f>IF(D1445="","",VLOOKUP(F1445,製品マスタ!$G$5:$L$5002,6,FALSE))</f>
        <v>ＭＥＴＡＬＵＭＹ　ＳＩＬＶＥＲ　Ｓ－ＭＡＴＴＥ　Ｓ２８ＭＭ　Ｂ</v>
      </c>
      <c r="J1445" s="32" t="s">
        <v>447</v>
      </c>
      <c r="K1445" s="270">
        <f>IF(D1445="","",VLOOKUP(D1445,契約台帳!$A$3:$L$4986,12,FALSE))</f>
        <v>25</v>
      </c>
      <c r="L1445" s="270" t="str">
        <f>IF(D1445="","",INDEX(製品マスタ!$Q$5:$Q$5002,MATCH(F1445&amp;K1445,製品マスタ!$AO$5:$AO$5002,0)))</f>
        <v>LI-MAT</v>
      </c>
      <c r="M1445" s="39">
        <v>1120</v>
      </c>
      <c r="N1445" s="39">
        <v>16000</v>
      </c>
      <c r="O1445" s="47">
        <v>1</v>
      </c>
      <c r="P1445" s="57"/>
      <c r="Q1445" s="276">
        <f>IF(D1445="","",IF(J1445="リード付け",M1445,VLOOKUP(D1445,契約台帳!$A$3:$N$4986,14,FALSE)))</f>
        <v>1120</v>
      </c>
      <c r="R1445" s="277">
        <f>IF(D1445="","",IF(J1445="リード付け",M1445,VLOOKUP(D1445,契約台帳!$A$3:$O$4986,15,FALSE)))</f>
        <v>1120</v>
      </c>
      <c r="S1445" s="277">
        <f>IF(D1445="","",IF(J1445="リード付け",N1445,VLOOKUP(D1445,契約台帳!$A$3:$P$4986,16,FALSE)))</f>
        <v>8000</v>
      </c>
      <c r="T1445" s="40">
        <v>2</v>
      </c>
      <c r="U1445" s="278">
        <f ca="1">IF(D1445="","",IF(OFFSET(D1445,-2,0)=D1445,"",VLOOKUP(D1445,契約台帳!$A$3:$R$4986,18,FALSE)))</f>
        <v>2</v>
      </c>
      <c r="V1445" s="269" t="str">
        <f>IF(J1445="巻返し",VLOOKUP(F1445&amp;K1445&amp;M1445,製品マスタ!$M$5:$AD$5002,18,FALSE),IF(J1445="リード付け","原反コア",IF(J1445="スリット",VLOOKUP(F1445&amp;K1445&amp;Q1445,製品マスタ!$N$5:$AD$5002,17,FALSE),"")))</f>
        <v>6ｲﾝﾁSｺｱ</v>
      </c>
      <c r="W1445" s="269">
        <f>IF(J1445="巻返し",VLOOKUP(F1445&amp;K1445&amp;M1445,製品マスタ!$M$5:$AE$5002,19,FALSE),IF(J1445="リード付け","-",IF(J1445="スリット",VLOOKUP(F1445&amp;K1445&amp;Q1445,製品マスタ!$N$5:$AE$5002,18,FALSE),"")))</f>
        <v>1125</v>
      </c>
      <c r="X1445" s="275">
        <f>IF(D1445="","",VLOOKUP(D1445,契約台帳!$A$3:$Q$4986,17,FALSE))</f>
        <v>2</v>
      </c>
      <c r="Y1445" s="269" t="str">
        <f>IF(D1445="","",VLOOKUP(D1445,契約台帳!$A$3:$E$4986,5,FALSE))</f>
        <v>リンテック㈱</v>
      </c>
      <c r="Z1445" s="357">
        <v>45408</v>
      </c>
      <c r="AA1445" s="207"/>
      <c r="AB1445" s="369"/>
      <c r="AC1445" s="370"/>
      <c r="AD1445" s="332" t="str">
        <f>IF(F1445="","",+F1445&amp;K1445)</f>
        <v>3SYMLBMSSMBF25</v>
      </c>
      <c r="AE1445" s="216">
        <f>+M1445*N1445*O1445/1000</f>
        <v>17920</v>
      </c>
      <c r="AF1445" s="43" t="e">
        <f>IF(AD1445="","",VLOOKUP(AD1445,原価マスタ!$A$2:$AJ$1693,13,FALSE))</f>
        <v>#N/A</v>
      </c>
      <c r="AG1445" s="47" t="e">
        <f>IF(AF1445="","",+AE1445*AF1445/100)</f>
        <v>#N/A</v>
      </c>
      <c r="AH1445" s="30"/>
      <c r="AI1445" s="30"/>
      <c r="AJ1445" s="30"/>
      <c r="AK1445" s="30"/>
      <c r="AL1445" s="13"/>
      <c r="AM1445" s="13"/>
      <c r="AN1445" s="13"/>
      <c r="AO1445" s="13"/>
      <c r="AP1445" s="13"/>
      <c r="AQ1445" s="14"/>
      <c r="AR1445" s="15"/>
    </row>
    <row r="1446" spans="1:44" s="17" customFormat="1" ht="30.95" hidden="1" customHeight="1" x14ac:dyDescent="0.2">
      <c r="A1446" s="343"/>
      <c r="B1446" s="344"/>
      <c r="C1446" s="345"/>
      <c r="D1446" s="398"/>
      <c r="E1446" s="31"/>
      <c r="F1446" s="268"/>
      <c r="G1446" s="269"/>
      <c r="H1446" s="269"/>
      <c r="I1446" s="270"/>
      <c r="J1446" s="32"/>
      <c r="K1446" s="270"/>
      <c r="L1446" s="270"/>
      <c r="M1446" s="39"/>
      <c r="N1446" s="39"/>
      <c r="O1446" s="47"/>
      <c r="P1446" s="57"/>
      <c r="Q1446" s="276"/>
      <c r="R1446" s="277"/>
      <c r="S1446" s="277"/>
      <c r="T1446" s="40"/>
      <c r="U1446" s="278"/>
      <c r="V1446" s="269"/>
      <c r="W1446" s="269"/>
      <c r="X1446" s="275"/>
      <c r="Y1446" s="269"/>
      <c r="Z1446" s="357"/>
      <c r="AA1446" s="207"/>
      <c r="AB1446" s="369"/>
      <c r="AC1446" s="370"/>
      <c r="AD1446" s="332"/>
      <c r="AE1446" s="216"/>
      <c r="AF1446" s="43"/>
      <c r="AG1446" s="47"/>
      <c r="AH1446" s="30"/>
      <c r="AI1446" s="30"/>
      <c r="AJ1446" s="30"/>
      <c r="AK1446" s="30"/>
      <c r="AL1446" s="13"/>
      <c r="AM1446" s="13"/>
      <c r="AN1446" s="13"/>
      <c r="AO1446" s="13"/>
      <c r="AP1446" s="13"/>
      <c r="AQ1446" s="14"/>
      <c r="AR1446" s="15"/>
    </row>
    <row r="1447" spans="1:44" s="17" customFormat="1" ht="30.6" hidden="1" customHeight="1" x14ac:dyDescent="0.2">
      <c r="A1447" s="343"/>
      <c r="B1447" s="344"/>
      <c r="C1447" s="345"/>
      <c r="D1447" s="398">
        <v>3752405</v>
      </c>
      <c r="E1447" s="31">
        <v>4151654</v>
      </c>
      <c r="F1447" s="268" t="str">
        <f>IF(D1447="","",VLOOKUP(D1447,契約台帳!$A$3:$K$4986,6,FALSE)&amp;VLOOKUP(D1447,契約台帳!$A$3:$K$4986,7,FALSE)&amp;VLOOKUP(D1447,契約台帳!$A$3:$K$4986,8,FALSE)&amp;VLOOKUP(D1447,契約台帳!$A$3:$K$4986,9,FALSE)&amp;VLOOKUP(D1447,契約台帳!$A$3:$K$4986,11,FALSE))</f>
        <v>3HSYMLBMSSMBF</v>
      </c>
      <c r="G1447" s="269" t="str">
        <f>IF(D1447="","",VLOOKUP(F1447,製品マスタ!$G$5:$H$5002,2,FALSE))</f>
        <v>S</v>
      </c>
      <c r="H1447" s="269" t="str">
        <f>IF(D1447="","",VLOOKUP(F1447,製品マスタ!$G$5:$K$5002,5,FALSE))</f>
        <v>MSSMBF</v>
      </c>
      <c r="I1447" s="270" t="str">
        <f>IF(D1447="","",VLOOKUP(F1447,製品マスタ!$G$5:$L$5002,6,FALSE))</f>
        <v>ＭＥＴＡＬＵＭＹ　ＳＩＬＶＥＲ　Ｓ－ＭＡＴＴＥ　Ｓ２８ＭＭ　Ｂ</v>
      </c>
      <c r="J1447" s="32" t="s">
        <v>447</v>
      </c>
      <c r="K1447" s="270">
        <f>IF(D1447="","",VLOOKUP(D1447,契約台帳!$A$3:$L$4986,12,FALSE))</f>
        <v>50</v>
      </c>
      <c r="L1447" s="270" t="str">
        <f>IF(D1447="","",INDEX(製品マスタ!$Q$5:$Q$5002,MATCH(F1447&amp;K1447,製品マスタ!$AO$5:$AO$5002,0)))</f>
        <v>LI-MAT</v>
      </c>
      <c r="M1447" s="39">
        <v>1120</v>
      </c>
      <c r="N1447" s="39">
        <v>8000</v>
      </c>
      <c r="O1447" s="47">
        <v>2</v>
      </c>
      <c r="P1447" s="57"/>
      <c r="Q1447" s="276">
        <f>IF(D1447="","",IF(J1447="リード付け",M1447,VLOOKUP(D1447,契約台帳!$A$3:$N$4986,14,FALSE)))</f>
        <v>1120</v>
      </c>
      <c r="R1447" s="277">
        <f>IF(D1447="","",IF(J1447="リード付け",M1447,VLOOKUP(D1447,契約台帳!$A$3:$O$4986,15,FALSE)))</f>
        <v>1120</v>
      </c>
      <c r="S1447" s="277">
        <f>IF(D1447="","",IF(J1447="リード付け",N1447,VLOOKUP(D1447,契約台帳!$A$3:$P$4986,16,FALSE)))</f>
        <v>4000</v>
      </c>
      <c r="T1447" s="40">
        <v>4</v>
      </c>
      <c r="U1447" s="278">
        <f ca="1">IF(D1447="","",IF(OFFSET(D1447,-2,0)=D1447,"",VLOOKUP(D1447,契約台帳!$A$3:$R$4986,18,FALSE)))</f>
        <v>4</v>
      </c>
      <c r="V1447" s="269" t="str">
        <f>IF(J1447="巻返し",VLOOKUP(F1447&amp;K1447&amp;M1447,製品マスタ!$M$5:$AD$5002,18,FALSE),IF(J1447="リード付け","原反コア",IF(J1447="スリット",VLOOKUP(F1447&amp;K1447&amp;Q1447,製品マスタ!$N$5:$AD$5002,17,FALSE),"")))</f>
        <v>6ｲﾝﾁSｺｱ</v>
      </c>
      <c r="W1447" s="269">
        <f>IF(J1447="巻返し",VLOOKUP(F1447&amp;K1447&amp;M1447,製品マスタ!$M$5:$AE$5002,19,FALSE),IF(J1447="リード付け","-",IF(J1447="スリット",VLOOKUP(F1447&amp;K1447&amp;Q1447,製品マスタ!$N$5:$AE$5002,18,FALSE),"")))</f>
        <v>1125</v>
      </c>
      <c r="X1447" s="275">
        <f>IF(D1447="","",VLOOKUP(D1447,契約台帳!$A$3:$Q$4986,17,FALSE))</f>
        <v>2</v>
      </c>
      <c r="Y1447" s="269" t="str">
        <f>IF(D1447="","",VLOOKUP(D1447,契約台帳!$A$3:$E$4986,5,FALSE))</f>
        <v>リンテック㈱</v>
      </c>
      <c r="Z1447" s="357">
        <v>45408</v>
      </c>
      <c r="AA1447" s="207"/>
      <c r="AB1447" s="369"/>
      <c r="AC1447" s="370"/>
      <c r="AD1447" s="332" t="str">
        <f>IF(F1447="","",+F1447&amp;K1447)</f>
        <v>3HSYMLBMSSMBF50</v>
      </c>
      <c r="AE1447" s="216">
        <f>+M1447*N1447*O1447/1000</f>
        <v>17920</v>
      </c>
      <c r="AF1447" s="43" t="e">
        <f>IF(AD1447="","",VLOOKUP(AD1447,原価マスタ!$A$2:$AJ$1693,13,FALSE))</f>
        <v>#N/A</v>
      </c>
      <c r="AG1447" s="47" t="e">
        <f>IF(AF1447="","",+AE1447*AF1447/100)</f>
        <v>#N/A</v>
      </c>
      <c r="AH1447" s="30"/>
      <c r="AI1447" s="30"/>
      <c r="AJ1447" s="30"/>
      <c r="AK1447" s="30"/>
      <c r="AL1447" s="13"/>
      <c r="AM1447" s="13"/>
      <c r="AN1447" s="13"/>
      <c r="AO1447" s="13"/>
      <c r="AP1447" s="13"/>
      <c r="AQ1447" s="14"/>
      <c r="AR1447" s="15"/>
    </row>
    <row r="1448" spans="1:44" s="17" customFormat="1" ht="30.6" hidden="1" customHeight="1" x14ac:dyDescent="0.2">
      <c r="A1448" s="343"/>
      <c r="B1448" s="344"/>
      <c r="C1448" s="345"/>
      <c r="D1448" s="398"/>
      <c r="E1448" s="31"/>
      <c r="F1448" s="268"/>
      <c r="G1448" s="269"/>
      <c r="H1448" s="269"/>
      <c r="I1448" s="270"/>
      <c r="J1448" s="32"/>
      <c r="K1448" s="270"/>
      <c r="L1448" s="270"/>
      <c r="M1448" s="39"/>
      <c r="N1448" s="39"/>
      <c r="O1448" s="47"/>
      <c r="P1448" s="57"/>
      <c r="Q1448" s="276"/>
      <c r="R1448" s="277"/>
      <c r="S1448" s="277"/>
      <c r="T1448" s="40"/>
      <c r="U1448" s="278"/>
      <c r="V1448" s="269"/>
      <c r="W1448" s="269"/>
      <c r="X1448" s="275"/>
      <c r="Y1448" s="269"/>
      <c r="Z1448" s="357"/>
      <c r="AA1448" s="207"/>
      <c r="AB1448" s="369"/>
      <c r="AC1448" s="370"/>
      <c r="AD1448" s="332"/>
      <c r="AE1448" s="216"/>
      <c r="AF1448" s="43"/>
      <c r="AG1448" s="47"/>
      <c r="AH1448" s="30"/>
      <c r="AI1448" s="30"/>
      <c r="AJ1448" s="30"/>
      <c r="AK1448" s="30"/>
      <c r="AL1448" s="13"/>
      <c r="AM1448" s="13"/>
      <c r="AN1448" s="13"/>
      <c r="AO1448" s="13"/>
      <c r="AP1448" s="13"/>
      <c r="AQ1448" s="14"/>
      <c r="AR1448" s="15"/>
    </row>
    <row r="1449" spans="1:44" s="17" customFormat="1" ht="30.95" hidden="1" customHeight="1" x14ac:dyDescent="0.2">
      <c r="A1449" s="343"/>
      <c r="B1449" s="344"/>
      <c r="C1449" s="345"/>
      <c r="D1449" s="398">
        <v>3750088</v>
      </c>
      <c r="E1449" s="31">
        <v>4151637</v>
      </c>
      <c r="F1449" s="268" t="str">
        <f>IF(D1449="","",VLOOKUP(D1449,契約台帳!$A$3:$K$4986,6,FALSE)&amp;VLOOKUP(D1449,契約台帳!$A$3:$K$4986,7,FALSE)&amp;VLOOKUP(D1449,契約台帳!$A$3:$K$4986,8,FALSE)&amp;VLOOKUP(D1449,契約台帳!$A$3:$K$4986,9,FALSE)&amp;VLOOKUP(D1449,契約台帳!$A$3:$K$4986,11,FALSE))</f>
        <v>3SYMLBMSNMBF</v>
      </c>
      <c r="G1449" s="269" t="str">
        <f>IF(D1449="","",VLOOKUP(F1449,製品マスタ!$G$5:$H$5002,2,FALSE))</f>
        <v>S</v>
      </c>
      <c r="H1449" s="269" t="str">
        <f>IF(D1449="","",VLOOKUP(F1449,製品マスタ!$G$5:$K$5002,5,FALSE))</f>
        <v>MSNMBF</v>
      </c>
      <c r="I1449" s="270" t="str">
        <f>IF(D1449="","",VLOOKUP(F1449,製品マスタ!$G$5:$L$5002,6,FALSE))</f>
        <v>ＭＥＴＡＬＵＭＹ　ＳＩＬＶＥＲ　Ｎ－ＭＡＴＴＥ　Ｘ４４Ｍ　Ｂ</v>
      </c>
      <c r="J1449" s="32" t="s">
        <v>447</v>
      </c>
      <c r="K1449" s="270">
        <f>IF(D1449="","",VLOOKUP(D1449,契約台帳!$A$3:$L$4986,12,FALSE))</f>
        <v>50</v>
      </c>
      <c r="L1449" s="270" t="str">
        <f>IF(D1449="","",INDEX(製品マスタ!$Q$5:$Q$5002,MATCH(F1449&amp;K1449,製品マスタ!$AO$5:$AO$5002,0)))</f>
        <v>X44</v>
      </c>
      <c r="M1449" s="39">
        <v>1120</v>
      </c>
      <c r="N1449" s="39">
        <v>8000</v>
      </c>
      <c r="O1449" s="47">
        <v>2</v>
      </c>
      <c r="P1449" s="57"/>
      <c r="Q1449" s="276">
        <f>IF(D1449="","",IF(J1449="リード付け",M1449,VLOOKUP(D1449,契約台帳!$A$3:$N$4986,14,FALSE)))</f>
        <v>1120</v>
      </c>
      <c r="R1449" s="277">
        <f>IF(D1449="","",IF(J1449="リード付け",M1449,VLOOKUP(D1449,契約台帳!$A$3:$O$4986,15,FALSE)))</f>
        <v>1120</v>
      </c>
      <c r="S1449" s="277">
        <f>IF(D1449="","",IF(J1449="リード付け",N1449,VLOOKUP(D1449,契約台帳!$A$3:$P$4986,16,FALSE)))</f>
        <v>4000</v>
      </c>
      <c r="T1449" s="40">
        <v>4</v>
      </c>
      <c r="U1449" s="278">
        <f ca="1">IF(D1449="","",IF(OFFSET(D1449,-2,0)=D1449,"",VLOOKUP(D1449,契約台帳!$A$3:$R$4986,18,FALSE)))</f>
        <v>4</v>
      </c>
      <c r="V1449" s="269" t="str">
        <f>IF(J1449="巻返し",VLOOKUP(F1449&amp;K1449&amp;M1449,製品マスタ!$M$5:$AD$5002,18,FALSE),IF(J1449="リード付け","原反コア",IF(J1449="スリット",VLOOKUP(F1449&amp;K1449&amp;Q1449,製品マスタ!$N$5:$AD$5002,17,FALSE),"")))</f>
        <v>6ｲﾝﾁMｺｱ</v>
      </c>
      <c r="W1449" s="269">
        <f>IF(J1449="巻返し",VLOOKUP(F1449&amp;K1449&amp;M1449,製品マスタ!$M$5:$AE$5002,19,FALSE),IF(J1449="リード付け","-",IF(J1449="スリット",VLOOKUP(F1449&amp;K1449&amp;Q1449,製品マスタ!$N$5:$AE$5002,18,FALSE),"")))</f>
        <v>1125</v>
      </c>
      <c r="X1449" s="275">
        <f>IF(D1449="","",VLOOKUP(D1449,契約台帳!$A$3:$Q$4986,17,FALSE))</f>
        <v>2</v>
      </c>
      <c r="Y1449" s="269" t="str">
        <f>IF(D1449="","",VLOOKUP(D1449,契約台帳!$A$3:$E$4986,5,FALSE))</f>
        <v>リンテック㈱</v>
      </c>
      <c r="Z1449" s="357">
        <v>45408</v>
      </c>
      <c r="AA1449" s="207"/>
      <c r="AB1449" s="369"/>
      <c r="AC1449" s="370"/>
      <c r="AD1449" s="332" t="str">
        <f>IF(F1449="","",+F1449&amp;K1449)</f>
        <v>3SYMLBMSNMBF50</v>
      </c>
      <c r="AE1449" s="216">
        <f>+M1449*N1449*O1449/1000</f>
        <v>17920</v>
      </c>
      <c r="AF1449" s="43">
        <f>IF(AD1449="","",VLOOKUP(AD1449,原価マスタ!$A$2:$AJ$1693,13,FALSE))</f>
        <v>98.8</v>
      </c>
      <c r="AG1449" s="47">
        <f>IF(AF1449="","",+AE1449*AF1449/100)</f>
        <v>17704.96</v>
      </c>
      <c r="AH1449" s="30"/>
      <c r="AI1449" s="30"/>
      <c r="AJ1449" s="30"/>
      <c r="AK1449" s="30"/>
      <c r="AL1449" s="13"/>
      <c r="AM1449" s="13"/>
      <c r="AN1449" s="13"/>
      <c r="AO1449" s="13"/>
      <c r="AP1449" s="13"/>
      <c r="AQ1449" s="14"/>
      <c r="AR1449" s="15"/>
    </row>
    <row r="1450" spans="1:44" s="17" customFormat="1" ht="30.95" hidden="1" customHeight="1" x14ac:dyDescent="0.2">
      <c r="A1450" s="343"/>
      <c r="B1450" s="344"/>
      <c r="C1450" s="345"/>
      <c r="D1450" s="398"/>
      <c r="E1450" s="31"/>
      <c r="F1450" s="268"/>
      <c r="G1450" s="269"/>
      <c r="H1450" s="269"/>
      <c r="I1450" s="270"/>
      <c r="J1450" s="32"/>
      <c r="K1450" s="270"/>
      <c r="L1450" s="270"/>
      <c r="M1450" s="39"/>
      <c r="N1450" s="39"/>
      <c r="O1450" s="47"/>
      <c r="P1450" s="57"/>
      <c r="Q1450" s="276"/>
      <c r="R1450" s="277"/>
      <c r="S1450" s="277"/>
      <c r="T1450" s="40"/>
      <c r="U1450" s="278"/>
      <c r="V1450" s="269"/>
      <c r="W1450" s="269"/>
      <c r="X1450" s="275"/>
      <c r="Y1450" s="269"/>
      <c r="Z1450" s="357"/>
      <c r="AA1450" s="207"/>
      <c r="AB1450" s="369"/>
      <c r="AC1450" s="370"/>
      <c r="AD1450" s="332"/>
      <c r="AE1450" s="216"/>
      <c r="AF1450" s="43"/>
      <c r="AG1450" s="47"/>
      <c r="AH1450" s="30"/>
      <c r="AI1450" s="30"/>
      <c r="AJ1450" s="30"/>
      <c r="AK1450" s="30"/>
      <c r="AL1450" s="13"/>
      <c r="AM1450" s="13"/>
      <c r="AN1450" s="13"/>
      <c r="AO1450" s="13"/>
      <c r="AP1450" s="13"/>
      <c r="AQ1450" s="14"/>
      <c r="AR1450" s="15"/>
    </row>
    <row r="1451" spans="1:44" s="17" customFormat="1" ht="30.95" hidden="1" customHeight="1" x14ac:dyDescent="0.2">
      <c r="A1451" s="343"/>
      <c r="B1451" s="344"/>
      <c r="C1451" s="345"/>
      <c r="D1451" s="398">
        <v>3750089</v>
      </c>
      <c r="E1451" s="31">
        <v>4151638</v>
      </c>
      <c r="F1451" s="268" t="str">
        <f>IF(D1451="","",VLOOKUP(D1451,契約台帳!$A$3:$K$4986,6,FALSE)&amp;VLOOKUP(D1451,契約台帳!$A$3:$K$4986,7,FALSE)&amp;VLOOKUP(D1451,契約台帳!$A$3:$K$4986,8,FALSE)&amp;VLOOKUP(D1451,契約台帳!$A$3:$K$4986,9,FALSE)&amp;VLOOKUP(D1451,契約台帳!$A$3:$K$4986,11,FALSE))</f>
        <v>3SYMLBMSNMBF</v>
      </c>
      <c r="G1451" s="269" t="str">
        <f>IF(D1451="","",VLOOKUP(F1451,製品マスタ!$G$5:$H$5002,2,FALSE))</f>
        <v>S</v>
      </c>
      <c r="H1451" s="269" t="str">
        <f>IF(D1451="","",VLOOKUP(F1451,製品マスタ!$G$5:$K$5002,5,FALSE))</f>
        <v>MSNMBF</v>
      </c>
      <c r="I1451" s="270" t="str">
        <f>IF(D1451="","",VLOOKUP(F1451,製品マスタ!$G$5:$L$5002,6,FALSE))</f>
        <v>ＭＥＴＡＬＵＭＹ　ＳＩＬＶＥＲ　Ｎ－ＭＡＴＴＥ　Ｘ４４Ｍ　Ｂ</v>
      </c>
      <c r="J1451" s="32" t="s">
        <v>447</v>
      </c>
      <c r="K1451" s="270">
        <f>IF(D1451="","",VLOOKUP(D1451,契約台帳!$A$3:$L$4986,12,FALSE))</f>
        <v>50</v>
      </c>
      <c r="L1451" s="270" t="str">
        <f>IF(D1451="","",INDEX(製品マスタ!$Q$5:$Q$5002,MATCH(F1451&amp;K1451,製品マスタ!$AO$5:$AO$5002,0)))</f>
        <v>X44</v>
      </c>
      <c r="M1451" s="39">
        <v>1120</v>
      </c>
      <c r="N1451" s="39">
        <v>8000</v>
      </c>
      <c r="O1451" s="47">
        <v>2</v>
      </c>
      <c r="P1451" s="57"/>
      <c r="Q1451" s="276">
        <f>IF(D1451="","",IF(J1451="リード付け",M1451,VLOOKUP(D1451,契約台帳!$A$3:$N$4986,14,FALSE)))</f>
        <v>1120</v>
      </c>
      <c r="R1451" s="277">
        <f>IF(D1451="","",IF(J1451="リード付け",M1451,VLOOKUP(D1451,契約台帳!$A$3:$O$4986,15,FALSE)))</f>
        <v>1120</v>
      </c>
      <c r="S1451" s="277">
        <f>IF(D1451="","",IF(J1451="リード付け",N1451,VLOOKUP(D1451,契約台帳!$A$3:$P$4986,16,FALSE)))</f>
        <v>4000</v>
      </c>
      <c r="T1451" s="40">
        <v>4</v>
      </c>
      <c r="U1451" s="278">
        <f ca="1">IF(D1451="","",IF(OFFSET(D1451,-2,0)=D1451,"",VLOOKUP(D1451,契約台帳!$A$3:$R$4986,18,FALSE)))</f>
        <v>4</v>
      </c>
      <c r="V1451" s="269" t="str">
        <f>IF(J1451="巻返し",VLOOKUP(F1451&amp;K1451&amp;M1451,製品マスタ!$M$5:$AD$5002,18,FALSE),IF(J1451="リード付け","原反コア",IF(J1451="スリット",VLOOKUP(F1451&amp;K1451&amp;Q1451,製品マスタ!$N$5:$AD$5002,17,FALSE),"")))</f>
        <v>6ｲﾝﾁMｺｱ</v>
      </c>
      <c r="W1451" s="269">
        <f>IF(J1451="巻返し",VLOOKUP(F1451&amp;K1451&amp;M1451,製品マスタ!$M$5:$AE$5002,19,FALSE),IF(J1451="リード付け","-",IF(J1451="スリット",VLOOKUP(F1451&amp;K1451&amp;Q1451,製品マスタ!$N$5:$AE$5002,18,FALSE),"")))</f>
        <v>1125</v>
      </c>
      <c r="X1451" s="275">
        <f>IF(D1451="","",VLOOKUP(D1451,契約台帳!$A$3:$Q$4986,17,FALSE))</f>
        <v>2</v>
      </c>
      <c r="Y1451" s="269" t="str">
        <f>IF(D1451="","",VLOOKUP(D1451,契約台帳!$A$3:$E$4986,5,FALSE))</f>
        <v>リンテック㈱</v>
      </c>
      <c r="Z1451" s="357">
        <v>45408</v>
      </c>
      <c r="AA1451" s="207"/>
      <c r="AB1451" s="369"/>
      <c r="AC1451" s="370"/>
      <c r="AD1451" s="332" t="str">
        <f>IF(F1451="","",+F1451&amp;K1451)</f>
        <v>3SYMLBMSNMBF50</v>
      </c>
      <c r="AE1451" s="216">
        <f>+M1451*N1451*O1451/1000</f>
        <v>17920</v>
      </c>
      <c r="AF1451" s="43">
        <f>IF(AD1451="","",VLOOKUP(AD1451,原価マスタ!$A$2:$AJ$1693,13,FALSE))</f>
        <v>98.8</v>
      </c>
      <c r="AG1451" s="47">
        <f>IF(AF1451="","",+AE1451*AF1451/100)</f>
        <v>17704.96</v>
      </c>
      <c r="AH1451" s="30"/>
      <c r="AI1451" s="30"/>
      <c r="AJ1451" s="30"/>
      <c r="AK1451" s="30"/>
      <c r="AL1451" s="13"/>
      <c r="AM1451" s="13"/>
      <c r="AN1451" s="13"/>
      <c r="AO1451" s="13"/>
      <c r="AP1451" s="13"/>
      <c r="AQ1451" s="14"/>
      <c r="AR1451" s="15"/>
    </row>
    <row r="1452" spans="1:44" s="17" customFormat="1" ht="30.95" hidden="1" customHeight="1" x14ac:dyDescent="0.2">
      <c r="A1452" s="343"/>
      <c r="B1452" s="344"/>
      <c r="C1452" s="345"/>
      <c r="D1452" s="398"/>
      <c r="E1452" s="31"/>
      <c r="F1452" s="268"/>
      <c r="G1452" s="269"/>
      <c r="H1452" s="269"/>
      <c r="I1452" s="270"/>
      <c r="J1452" s="32"/>
      <c r="K1452" s="270"/>
      <c r="L1452" s="270"/>
      <c r="M1452" s="39"/>
      <c r="N1452" s="39"/>
      <c r="O1452" s="47"/>
      <c r="P1452" s="57"/>
      <c r="Q1452" s="276"/>
      <c r="R1452" s="277"/>
      <c r="S1452" s="277"/>
      <c r="T1452" s="40"/>
      <c r="U1452" s="278"/>
      <c r="V1452" s="269"/>
      <c r="W1452" s="269"/>
      <c r="X1452" s="275"/>
      <c r="Y1452" s="269"/>
      <c r="Z1452" s="357"/>
      <c r="AA1452" s="207"/>
      <c r="AB1452" s="369"/>
      <c r="AC1452" s="370"/>
      <c r="AD1452" s="332"/>
      <c r="AE1452" s="216"/>
      <c r="AF1452" s="43"/>
      <c r="AG1452" s="47"/>
      <c r="AH1452" s="30"/>
      <c r="AI1452" s="30"/>
      <c r="AJ1452" s="30"/>
      <c r="AK1452" s="30"/>
      <c r="AL1452" s="13"/>
      <c r="AM1452" s="13"/>
      <c r="AN1452" s="13"/>
      <c r="AO1452" s="13"/>
      <c r="AP1452" s="13"/>
      <c r="AQ1452" s="14"/>
      <c r="AR1452" s="15"/>
    </row>
    <row r="1453" spans="1:44" s="17" customFormat="1" ht="30.95" hidden="1" customHeight="1" x14ac:dyDescent="0.2">
      <c r="A1453" s="343"/>
      <c r="B1453" s="344"/>
      <c r="C1453" s="345"/>
      <c r="D1453" s="398">
        <v>3750092</v>
      </c>
      <c r="E1453" s="31">
        <v>4151639</v>
      </c>
      <c r="F1453" s="268" t="str">
        <f>IF(D1453="","",VLOOKUP(D1453,契約台帳!$A$3:$K$4986,6,FALSE)&amp;VLOOKUP(D1453,契約台帳!$A$3:$K$4986,7,FALSE)&amp;VLOOKUP(D1453,契約台帳!$A$3:$K$4986,8,FALSE)&amp;VLOOKUP(D1453,契約台帳!$A$3:$K$4986,9,FALSE)&amp;VLOOKUP(D1453,契約台帳!$A$3:$K$4986,11,FALSE))</f>
        <v>3SYMLBMSNMBF</v>
      </c>
      <c r="G1453" s="269" t="str">
        <f>IF(D1453="","",VLOOKUP(F1453,製品マスタ!$G$5:$H$5002,2,FALSE))</f>
        <v>S</v>
      </c>
      <c r="H1453" s="269" t="str">
        <f>IF(D1453="","",VLOOKUP(F1453,製品マスタ!$G$5:$K$5002,5,FALSE))</f>
        <v>MSNMBF</v>
      </c>
      <c r="I1453" s="270" t="str">
        <f>IF(D1453="","",VLOOKUP(F1453,製品マスタ!$G$5:$L$5002,6,FALSE))</f>
        <v>ＭＥＴＡＬＵＭＹ　ＳＩＬＶＥＲ　Ｎ－ＭＡＴＴＥ　Ｘ４４Ｍ　Ｂ</v>
      </c>
      <c r="J1453" s="32" t="s">
        <v>447</v>
      </c>
      <c r="K1453" s="270">
        <f>IF(D1453="","",VLOOKUP(D1453,契約台帳!$A$3:$L$4986,12,FALSE))</f>
        <v>50</v>
      </c>
      <c r="L1453" s="270" t="str">
        <f>IF(D1453="","",INDEX(製品マスタ!$Q$5:$Q$5002,MATCH(F1453&amp;K1453,製品マスタ!$AO$5:$AO$5002,0)))</f>
        <v>X44</v>
      </c>
      <c r="M1453" s="39">
        <v>1120</v>
      </c>
      <c r="N1453" s="39">
        <v>8000</v>
      </c>
      <c r="O1453" s="47">
        <v>2</v>
      </c>
      <c r="P1453" s="57"/>
      <c r="Q1453" s="276">
        <f>IF(D1453="","",IF(J1453="リード付け",M1453,VLOOKUP(D1453,契約台帳!$A$3:$N$4986,14,FALSE)))</f>
        <v>1120</v>
      </c>
      <c r="R1453" s="277">
        <f>IF(D1453="","",IF(J1453="リード付け",M1453,VLOOKUP(D1453,契約台帳!$A$3:$O$4986,15,FALSE)))</f>
        <v>1120</v>
      </c>
      <c r="S1453" s="277">
        <f>IF(D1453="","",IF(J1453="リード付け",N1453,VLOOKUP(D1453,契約台帳!$A$3:$P$4986,16,FALSE)))</f>
        <v>4000</v>
      </c>
      <c r="T1453" s="40">
        <v>4</v>
      </c>
      <c r="U1453" s="278">
        <f ca="1">IF(D1453="","",IF(OFFSET(D1453,-2,0)=D1453,"",VLOOKUP(D1453,契約台帳!$A$3:$R$4986,18,FALSE)))</f>
        <v>4</v>
      </c>
      <c r="V1453" s="269" t="str">
        <f>IF(J1453="巻返し",VLOOKUP(F1453&amp;K1453&amp;M1453,製品マスタ!$M$5:$AD$5002,18,FALSE),IF(J1453="リード付け","原反コア",IF(J1453="スリット",VLOOKUP(F1453&amp;K1453&amp;Q1453,製品マスタ!$N$5:$AD$5002,17,FALSE),"")))</f>
        <v>6ｲﾝﾁMｺｱ</v>
      </c>
      <c r="W1453" s="269">
        <f>IF(J1453="巻返し",VLOOKUP(F1453&amp;K1453&amp;M1453,製品マスタ!$M$5:$AE$5002,19,FALSE),IF(J1453="リード付け","-",IF(J1453="スリット",VLOOKUP(F1453&amp;K1453&amp;Q1453,製品マスタ!$N$5:$AE$5002,18,FALSE),"")))</f>
        <v>1125</v>
      </c>
      <c r="X1453" s="275">
        <f>IF(D1453="","",VLOOKUP(D1453,契約台帳!$A$3:$Q$4986,17,FALSE))</f>
        <v>2</v>
      </c>
      <c r="Y1453" s="269" t="str">
        <f>IF(D1453="","",VLOOKUP(D1453,契約台帳!$A$3:$E$4986,5,FALSE))</f>
        <v>リンテック㈱</v>
      </c>
      <c r="Z1453" s="357">
        <v>45408</v>
      </c>
      <c r="AA1453" s="207"/>
      <c r="AB1453" s="369"/>
      <c r="AC1453" s="370"/>
      <c r="AD1453" s="332" t="str">
        <f>IF(F1453="","",+F1453&amp;K1453)</f>
        <v>3SYMLBMSNMBF50</v>
      </c>
      <c r="AE1453" s="216">
        <f>+M1453*N1453*O1453/1000</f>
        <v>17920</v>
      </c>
      <c r="AF1453" s="43">
        <f>IF(AD1453="","",VLOOKUP(AD1453,原価マスタ!$A$2:$AJ$1693,13,FALSE))</f>
        <v>98.8</v>
      </c>
      <c r="AG1453" s="47">
        <f>IF(AF1453="","",+AE1453*AF1453/100)</f>
        <v>17704.96</v>
      </c>
      <c r="AH1453" s="30"/>
      <c r="AI1453" s="30"/>
      <c r="AJ1453" s="30"/>
      <c r="AK1453" s="30"/>
      <c r="AL1453" s="13"/>
      <c r="AM1453" s="13"/>
      <c r="AN1453" s="13"/>
      <c r="AO1453" s="13"/>
      <c r="AP1453" s="13"/>
      <c r="AQ1453" s="14"/>
      <c r="AR1453" s="15"/>
    </row>
    <row r="1454" spans="1:44" s="17" customFormat="1" ht="30.95" hidden="1" customHeight="1" x14ac:dyDescent="0.2">
      <c r="A1454" s="343"/>
      <c r="B1454" s="344"/>
      <c r="C1454" s="345"/>
      <c r="D1454" s="398"/>
      <c r="E1454" s="31"/>
      <c r="F1454" s="268"/>
      <c r="G1454" s="269"/>
      <c r="H1454" s="269"/>
      <c r="I1454" s="270"/>
      <c r="J1454" s="32"/>
      <c r="K1454" s="270"/>
      <c r="L1454" s="270"/>
      <c r="M1454" s="39"/>
      <c r="N1454" s="39"/>
      <c r="O1454" s="47"/>
      <c r="P1454" s="57"/>
      <c r="Q1454" s="276"/>
      <c r="R1454" s="277"/>
      <c r="S1454" s="277"/>
      <c r="T1454" s="40"/>
      <c r="U1454" s="278"/>
      <c r="V1454" s="269"/>
      <c r="W1454" s="269"/>
      <c r="X1454" s="275"/>
      <c r="Y1454" s="269"/>
      <c r="Z1454" s="357"/>
      <c r="AA1454" s="207"/>
      <c r="AB1454" s="369"/>
      <c r="AC1454" s="370"/>
      <c r="AD1454" s="332"/>
      <c r="AE1454" s="216"/>
      <c r="AF1454" s="43"/>
      <c r="AG1454" s="47"/>
      <c r="AH1454" s="30"/>
      <c r="AI1454" s="30"/>
      <c r="AJ1454" s="30"/>
      <c r="AK1454" s="30"/>
      <c r="AL1454" s="13"/>
      <c r="AM1454" s="13"/>
      <c r="AN1454" s="13"/>
      <c r="AO1454" s="13"/>
      <c r="AP1454" s="13"/>
      <c r="AQ1454" s="14"/>
      <c r="AR1454" s="15"/>
    </row>
    <row r="1455" spans="1:44" s="17" customFormat="1" ht="30.95" hidden="1" customHeight="1" x14ac:dyDescent="0.2">
      <c r="A1455" s="343" t="s">
        <v>1065</v>
      </c>
      <c r="B1455" s="344" t="s">
        <v>442</v>
      </c>
      <c r="C1455" s="345"/>
      <c r="D1455" s="398"/>
      <c r="E1455" s="31"/>
      <c r="F1455" s="268" t="str">
        <f>IF(D1455="","",VLOOKUP(D1455,契約台帳!$A$3:$K$4986,6,FALSE)&amp;VLOOKUP(D1455,契約台帳!$A$3:$K$4986,7,FALSE)&amp;VLOOKUP(D1455,契約台帳!$A$3:$K$4986,8,FALSE)&amp;VLOOKUP(D1455,契約台帳!$A$3:$K$4986,9,FALSE)&amp;VLOOKUP(D1455,契約台帳!$A$3:$K$4986,11,FALSE))</f>
        <v/>
      </c>
      <c r="G1455" s="269" t="str">
        <f>IF(D1455="","",VLOOKUP(F1455,製品マスタ!$G$5:$H$5002,2,FALSE))</f>
        <v/>
      </c>
      <c r="H1455" s="269" t="str">
        <f>IF(D1455="","",VLOOKUP(F1455,製品マスタ!$G$5:$K$5002,5,FALSE))</f>
        <v/>
      </c>
      <c r="I1455" s="270" t="str">
        <f>IF(D1455="","",VLOOKUP(F1455,製品マスタ!$G$5:$L$5002,6,FALSE))</f>
        <v/>
      </c>
      <c r="J1455" s="32" t="s">
        <v>490</v>
      </c>
      <c r="K1455" s="270" t="str">
        <f>IF(D1455="","",VLOOKUP(D1455,契約台帳!$A$3:$L$4986,12,FALSE))</f>
        <v/>
      </c>
      <c r="L1455" s="270" t="str">
        <f>IF(D1455="","",INDEX(製品マスタ!$Q$5:$Q$5002,MATCH(F1455&amp;K1455,製品マスタ!$AO$5:$AO$5002,0)))</f>
        <v/>
      </c>
      <c r="M1455" s="39"/>
      <c r="N1455" s="39"/>
      <c r="O1455" s="47"/>
      <c r="P1455" s="57"/>
      <c r="Q1455" s="276" t="str">
        <f>IF(D1455="","",IF(J1455="リード付け",M1455,VLOOKUP(D1455,契約台帳!$A$3:$N$4986,14,FALSE)))</f>
        <v/>
      </c>
      <c r="R1455" s="277" t="str">
        <f>IF(D1455="","",IF(J1455="リード付け",M1455,VLOOKUP(D1455,契約台帳!$A$3:$O$4986,15,FALSE)))</f>
        <v/>
      </c>
      <c r="S1455" s="277" t="str">
        <f>IF(D1455="","",IF(J1455="リード付け",N1455,VLOOKUP(D1455,契約台帳!$A$3:$P$4986,16,FALSE)))</f>
        <v/>
      </c>
      <c r="T1455" s="40"/>
      <c r="U1455" s="278"/>
      <c r="V1455" s="269" t="str">
        <f>IF(J1455="巻返し",VLOOKUP(F1455&amp;K1455&amp;M1455,製品マスタ!$M$5:$AD$5002,18,FALSE),IF(J1455="リード付け","原反コア",IF(J1455="スリット",VLOOKUP(F1455&amp;K1455&amp;Q1455,製品マスタ!$N$5:$AD$5002,17,FALSE),"")))</f>
        <v/>
      </c>
      <c r="W1455" s="269" t="str">
        <f>IF(J1455="巻返し",VLOOKUP(F1455&amp;K1455&amp;M1455,製品マスタ!$M$5:$AE$5002,19,FALSE),IF(J1455="リード付け","-",IF(J1455="スリット",VLOOKUP(F1455&amp;K1455&amp;Q1455,製品マスタ!$N$5:$AE$5002,18,FALSE),"")))</f>
        <v/>
      </c>
      <c r="X1455" s="275" t="str">
        <f>IF(D1455="","",VLOOKUP(D1455,契約台帳!$A$3:$Q$4986,17,FALSE))</f>
        <v/>
      </c>
      <c r="Y1455" s="269" t="str">
        <f>IF(D1455="","",VLOOKUP(D1455,契約台帳!$A$3:$E$4986,5,FALSE))</f>
        <v/>
      </c>
      <c r="Z1455" s="357"/>
      <c r="AA1455" s="207"/>
      <c r="AB1455" s="369"/>
      <c r="AC1455" s="370"/>
      <c r="AD1455" s="332" t="str">
        <f>IF(F1455="","",+F1455&amp;K1455)</f>
        <v/>
      </c>
      <c r="AE1455" s="216">
        <f>+M1455*N1455*O1455/1000</f>
        <v>0</v>
      </c>
      <c r="AF1455" s="43" t="str">
        <f>IF(AD1455="","",VLOOKUP(AD1455,原価マスタ!$A$2:$AJ$1693,13,FALSE))</f>
        <v/>
      </c>
      <c r="AG1455" s="47" t="str">
        <f>IF(AF1455="","",+AE1455*AF1455/100)</f>
        <v/>
      </c>
      <c r="AH1455" s="30"/>
      <c r="AI1455" s="30"/>
      <c r="AJ1455" s="30"/>
      <c r="AK1455" s="30"/>
      <c r="AL1455" s="13"/>
      <c r="AM1455" s="13"/>
      <c r="AN1455" s="13"/>
      <c r="AO1455" s="13"/>
      <c r="AP1455" s="13"/>
      <c r="AQ1455" s="14"/>
      <c r="AR1455" s="15"/>
    </row>
    <row r="1456" spans="1:44" s="17" customFormat="1" ht="30.95" hidden="1" customHeight="1" x14ac:dyDescent="0.2">
      <c r="A1456" s="343"/>
      <c r="B1456" s="344"/>
      <c r="C1456" s="345"/>
      <c r="D1456" s="398"/>
      <c r="E1456" s="31"/>
      <c r="F1456" s="268"/>
      <c r="G1456" s="269"/>
      <c r="H1456" s="269"/>
      <c r="I1456" s="270"/>
      <c r="J1456" s="32"/>
      <c r="K1456" s="270"/>
      <c r="L1456" s="270"/>
      <c r="M1456" s="39"/>
      <c r="N1456" s="39"/>
      <c r="O1456" s="47"/>
      <c r="P1456" s="57"/>
      <c r="Q1456" s="276"/>
      <c r="R1456" s="277"/>
      <c r="S1456" s="277"/>
      <c r="T1456" s="40"/>
      <c r="U1456" s="278"/>
      <c r="V1456" s="269"/>
      <c r="W1456" s="269"/>
      <c r="X1456" s="275"/>
      <c r="Y1456" s="269"/>
      <c r="Z1456" s="357"/>
      <c r="AA1456" s="207"/>
      <c r="AB1456" s="369"/>
      <c r="AC1456" s="370"/>
      <c r="AD1456" s="332"/>
      <c r="AE1456" s="216"/>
      <c r="AF1456" s="43"/>
      <c r="AG1456" s="47"/>
      <c r="AH1456" s="30"/>
      <c r="AI1456" s="30"/>
      <c r="AJ1456" s="30"/>
      <c r="AK1456" s="30"/>
      <c r="AL1456" s="13"/>
      <c r="AM1456" s="13"/>
      <c r="AN1456" s="13"/>
      <c r="AO1456" s="13"/>
      <c r="AP1456" s="13"/>
      <c r="AQ1456" s="14"/>
      <c r="AR1456" s="15"/>
    </row>
    <row r="1457" spans="1:44" s="233" customFormat="1" ht="30.95" hidden="1" customHeight="1" x14ac:dyDescent="0.2">
      <c r="A1457" s="399"/>
      <c r="B1457" s="400"/>
      <c r="C1457" s="401"/>
      <c r="D1457" s="396"/>
      <c r="E1457" s="219"/>
      <c r="F1457" s="281"/>
      <c r="G1457" s="282"/>
      <c r="H1457" s="282"/>
      <c r="I1457" s="283"/>
      <c r="J1457" s="220"/>
      <c r="K1457" s="283"/>
      <c r="L1457" s="283"/>
      <c r="M1457" s="221"/>
      <c r="N1457" s="221"/>
      <c r="O1457" s="222"/>
      <c r="P1457" s="213"/>
      <c r="Q1457" s="284"/>
      <c r="R1457" s="285"/>
      <c r="S1457" s="285"/>
      <c r="T1457" s="224"/>
      <c r="U1457" s="286"/>
      <c r="V1457" s="282"/>
      <c r="W1457" s="282"/>
      <c r="X1457" s="287"/>
      <c r="Y1457" s="282"/>
      <c r="Z1457" s="356"/>
      <c r="AA1457" s="288"/>
      <c r="AB1457" s="385"/>
      <c r="AC1457" s="386"/>
      <c r="AD1457" s="387"/>
      <c r="AE1457" s="423"/>
      <c r="AF1457" s="223"/>
      <c r="AG1457" s="234" t="e">
        <f>SUM(AG1355:AG1456)</f>
        <v>#N/A</v>
      </c>
      <c r="AH1457" s="229"/>
      <c r="AI1457" s="229"/>
      <c r="AJ1457" s="229"/>
      <c r="AK1457" s="229"/>
      <c r="AL1457" s="230"/>
      <c r="AM1457" s="230"/>
      <c r="AN1457" s="230"/>
      <c r="AO1457" s="230"/>
      <c r="AP1457" s="230"/>
      <c r="AQ1457" s="231"/>
      <c r="AR1457" s="232"/>
    </row>
    <row r="1458" spans="1:44" s="17" customFormat="1" ht="30.95" hidden="1" customHeight="1" x14ac:dyDescent="0.2">
      <c r="A1458" s="343"/>
      <c r="B1458" s="344"/>
      <c r="C1458" s="345"/>
      <c r="D1458" s="398"/>
      <c r="E1458" s="31"/>
      <c r="F1458" s="268"/>
      <c r="G1458" s="269"/>
      <c r="H1458" s="269"/>
      <c r="I1458" s="270"/>
      <c r="J1458" s="32"/>
      <c r="K1458" s="270"/>
      <c r="L1458" s="270"/>
      <c r="M1458" s="39"/>
      <c r="N1458" s="39"/>
      <c r="O1458" s="47"/>
      <c r="P1458" s="57"/>
      <c r="Q1458" s="276"/>
      <c r="R1458" s="277"/>
      <c r="S1458" s="277"/>
      <c r="T1458" s="40"/>
      <c r="U1458" s="278"/>
      <c r="V1458" s="269"/>
      <c r="W1458" s="269"/>
      <c r="X1458" s="275"/>
      <c r="Y1458" s="269"/>
      <c r="Z1458" s="357"/>
      <c r="AA1458" s="207"/>
      <c r="AB1458" s="369"/>
      <c r="AC1458" s="370"/>
      <c r="AD1458" s="332"/>
      <c r="AE1458" s="216"/>
      <c r="AF1458" s="43"/>
      <c r="AG1458" s="47"/>
      <c r="AH1458" s="30"/>
      <c r="AI1458" s="30"/>
      <c r="AJ1458" s="30"/>
      <c r="AK1458" s="30"/>
      <c r="AL1458" s="13"/>
      <c r="AM1458" s="13"/>
      <c r="AN1458" s="13"/>
      <c r="AO1458" s="13"/>
      <c r="AP1458" s="13"/>
      <c r="AQ1458" s="14"/>
      <c r="AR1458" s="15"/>
    </row>
    <row r="1459" spans="1:44" s="17" customFormat="1" ht="30.95" hidden="1" customHeight="1" x14ac:dyDescent="0.2">
      <c r="A1459" s="343" t="s">
        <v>2719</v>
      </c>
      <c r="B1459" s="344" t="s">
        <v>2714</v>
      </c>
      <c r="C1459" s="345"/>
      <c r="D1459" s="398"/>
      <c r="E1459" s="31"/>
      <c r="F1459" s="268"/>
      <c r="G1459" s="269"/>
      <c r="H1459" s="269"/>
      <c r="I1459" s="270"/>
      <c r="J1459" s="32" t="s">
        <v>490</v>
      </c>
      <c r="K1459" s="270"/>
      <c r="L1459" s="270"/>
      <c r="M1459" s="39"/>
      <c r="N1459" s="39"/>
      <c r="O1459" s="47"/>
      <c r="P1459" s="57"/>
      <c r="Q1459" s="276"/>
      <c r="R1459" s="277"/>
      <c r="S1459" s="277"/>
      <c r="T1459" s="40"/>
      <c r="U1459" s="278"/>
      <c r="V1459" s="269"/>
      <c r="W1459" s="269"/>
      <c r="X1459" s="275"/>
      <c r="Y1459" s="269"/>
      <c r="Z1459" s="357"/>
      <c r="AA1459" s="207"/>
      <c r="AB1459" s="369"/>
      <c r="AC1459" s="370"/>
      <c r="AD1459" s="332"/>
      <c r="AE1459" s="216"/>
      <c r="AF1459" s="43"/>
      <c r="AG1459" s="47"/>
      <c r="AH1459" s="30"/>
      <c r="AI1459" s="30"/>
      <c r="AJ1459" s="30"/>
      <c r="AK1459" s="30"/>
      <c r="AL1459" s="13"/>
      <c r="AM1459" s="13"/>
      <c r="AN1459" s="13"/>
      <c r="AO1459" s="13"/>
      <c r="AP1459" s="13"/>
      <c r="AQ1459" s="14"/>
      <c r="AR1459" s="15"/>
    </row>
    <row r="1460" spans="1:44" s="17" customFormat="1" ht="30.95" hidden="1" customHeight="1" x14ac:dyDescent="0.2">
      <c r="A1460" s="343"/>
      <c r="B1460" s="344"/>
      <c r="C1460" s="345"/>
      <c r="D1460" s="398"/>
      <c r="E1460" s="31"/>
      <c r="F1460" s="268"/>
      <c r="G1460" s="269"/>
      <c r="H1460" s="269"/>
      <c r="I1460" s="270"/>
      <c r="J1460" s="32"/>
      <c r="K1460" s="270"/>
      <c r="L1460" s="270"/>
      <c r="M1460" s="39"/>
      <c r="N1460" s="39"/>
      <c r="O1460" s="47"/>
      <c r="P1460" s="57"/>
      <c r="Q1460" s="276"/>
      <c r="R1460" s="277"/>
      <c r="S1460" s="277"/>
      <c r="T1460" s="40"/>
      <c r="U1460" s="278"/>
      <c r="V1460" s="269"/>
      <c r="W1460" s="269"/>
      <c r="X1460" s="275"/>
      <c r="Y1460" s="269"/>
      <c r="Z1460" s="357"/>
      <c r="AA1460" s="207"/>
      <c r="AB1460" s="369"/>
      <c r="AC1460" s="370"/>
      <c r="AD1460" s="332"/>
      <c r="AE1460" s="216"/>
      <c r="AF1460" s="43"/>
      <c r="AG1460" s="47"/>
      <c r="AH1460" s="30"/>
      <c r="AI1460" s="30"/>
      <c r="AJ1460" s="30"/>
      <c r="AK1460" s="30"/>
      <c r="AL1460" s="13"/>
      <c r="AM1460" s="13"/>
      <c r="AN1460" s="13"/>
      <c r="AO1460" s="13"/>
      <c r="AP1460" s="13"/>
      <c r="AQ1460" s="14"/>
      <c r="AR1460" s="15"/>
    </row>
    <row r="1461" spans="1:44" s="17" customFormat="1" ht="30.95" hidden="1" customHeight="1" x14ac:dyDescent="0.2">
      <c r="A1461" s="343" t="s">
        <v>2720</v>
      </c>
      <c r="B1461" s="344" t="s">
        <v>2716</v>
      </c>
      <c r="C1461" s="345"/>
      <c r="D1461" s="398"/>
      <c r="E1461" s="31"/>
      <c r="F1461" s="268"/>
      <c r="G1461" s="269"/>
      <c r="H1461" s="269"/>
      <c r="I1461" s="270"/>
      <c r="J1461" s="32" t="s">
        <v>665</v>
      </c>
      <c r="K1461" s="270"/>
      <c r="L1461" s="270"/>
      <c r="M1461" s="39"/>
      <c r="N1461" s="39"/>
      <c r="O1461" s="47"/>
      <c r="P1461" s="57"/>
      <c r="Q1461" s="276"/>
      <c r="R1461" s="277"/>
      <c r="S1461" s="277"/>
      <c r="T1461" s="40"/>
      <c r="U1461" s="278"/>
      <c r="V1461" s="269"/>
      <c r="W1461" s="269"/>
      <c r="X1461" s="275"/>
      <c r="Y1461" s="269"/>
      <c r="Z1461" s="357"/>
      <c r="AA1461" s="207"/>
      <c r="AB1461" s="369"/>
      <c r="AC1461" s="370"/>
      <c r="AD1461" s="332"/>
      <c r="AE1461" s="216"/>
      <c r="AF1461" s="43"/>
      <c r="AG1461" s="47"/>
      <c r="AH1461" s="30"/>
      <c r="AI1461" s="30"/>
      <c r="AJ1461" s="30"/>
      <c r="AK1461" s="30"/>
      <c r="AL1461" s="13"/>
      <c r="AM1461" s="13"/>
      <c r="AN1461" s="13"/>
      <c r="AO1461" s="13"/>
      <c r="AP1461" s="13"/>
      <c r="AQ1461" s="14"/>
      <c r="AR1461" s="15"/>
    </row>
    <row r="1462" spans="1:44" s="17" customFormat="1" ht="30.95" hidden="1" customHeight="1" x14ac:dyDescent="0.2">
      <c r="A1462" s="343"/>
      <c r="B1462" s="344"/>
      <c r="C1462" s="345"/>
      <c r="D1462" s="398"/>
      <c r="E1462" s="31"/>
      <c r="F1462" s="268"/>
      <c r="G1462" s="269"/>
      <c r="H1462" s="269"/>
      <c r="I1462" s="270"/>
      <c r="J1462" s="32"/>
      <c r="K1462" s="270"/>
      <c r="L1462" s="270"/>
      <c r="M1462" s="39"/>
      <c r="N1462" s="39"/>
      <c r="O1462" s="47"/>
      <c r="P1462" s="57"/>
      <c r="Q1462" s="276"/>
      <c r="R1462" s="277"/>
      <c r="S1462" s="277"/>
      <c r="T1462" s="40"/>
      <c r="U1462" s="278"/>
      <c r="V1462" s="269"/>
      <c r="W1462" s="269"/>
      <c r="X1462" s="275"/>
      <c r="Y1462" s="269"/>
      <c r="Z1462" s="357"/>
      <c r="AA1462" s="207"/>
      <c r="AB1462" s="369"/>
      <c r="AC1462" s="370"/>
      <c r="AD1462" s="332"/>
      <c r="AE1462" s="216"/>
      <c r="AF1462" s="43"/>
      <c r="AG1462" s="47"/>
      <c r="AH1462" s="30"/>
      <c r="AI1462" s="30"/>
      <c r="AJ1462" s="30"/>
      <c r="AK1462" s="30"/>
      <c r="AL1462" s="13"/>
      <c r="AM1462" s="13"/>
      <c r="AN1462" s="13"/>
      <c r="AO1462" s="13"/>
      <c r="AP1462" s="13"/>
      <c r="AQ1462" s="14"/>
      <c r="AR1462" s="15"/>
    </row>
    <row r="1463" spans="1:44" s="17" customFormat="1" ht="30.95" hidden="1" customHeight="1" x14ac:dyDescent="0.2">
      <c r="A1463" s="343" t="s">
        <v>1068</v>
      </c>
      <c r="B1463" s="344" t="s">
        <v>445</v>
      </c>
      <c r="C1463" s="345"/>
      <c r="D1463" s="31"/>
      <c r="E1463" s="31"/>
      <c r="F1463" s="268"/>
      <c r="G1463" s="269"/>
      <c r="H1463" s="269"/>
      <c r="I1463" s="270"/>
      <c r="J1463" s="32" t="s">
        <v>448</v>
      </c>
      <c r="K1463" s="270"/>
      <c r="L1463" s="270"/>
      <c r="M1463" s="39"/>
      <c r="N1463" s="39"/>
      <c r="O1463" s="47"/>
      <c r="P1463" s="57"/>
      <c r="Q1463" s="276"/>
      <c r="R1463" s="277"/>
      <c r="S1463" s="277"/>
      <c r="T1463" s="40"/>
      <c r="U1463" s="278"/>
      <c r="V1463" s="269"/>
      <c r="W1463" s="269"/>
      <c r="X1463" s="275"/>
      <c r="Y1463" s="269"/>
      <c r="Z1463" s="357"/>
      <c r="AA1463" s="207"/>
      <c r="AB1463" s="369"/>
      <c r="AC1463" s="370"/>
      <c r="AD1463" s="332"/>
      <c r="AE1463" s="216"/>
      <c r="AF1463" s="43"/>
      <c r="AG1463" s="47"/>
      <c r="AH1463" s="30"/>
      <c r="AI1463" s="30"/>
      <c r="AJ1463" s="30"/>
      <c r="AK1463" s="30"/>
      <c r="AL1463" s="13"/>
      <c r="AM1463" s="13"/>
      <c r="AN1463" s="13"/>
      <c r="AO1463" s="13"/>
      <c r="AP1463" s="13"/>
      <c r="AQ1463" s="14"/>
      <c r="AR1463" s="15"/>
    </row>
    <row r="1464" spans="1:44" s="17" customFormat="1" ht="30.95" hidden="1" customHeight="1" x14ac:dyDescent="0.2">
      <c r="A1464" s="343"/>
      <c r="B1464" s="344"/>
      <c r="C1464" s="345"/>
      <c r="D1464" s="31"/>
      <c r="E1464" s="31"/>
      <c r="F1464" s="268"/>
      <c r="G1464" s="269"/>
      <c r="H1464" s="269"/>
      <c r="I1464" s="270"/>
      <c r="J1464" s="32"/>
      <c r="K1464" s="270"/>
      <c r="L1464" s="270"/>
      <c r="M1464" s="39"/>
      <c r="N1464" s="39"/>
      <c r="O1464" s="47"/>
      <c r="P1464" s="57"/>
      <c r="Q1464" s="276"/>
      <c r="R1464" s="277"/>
      <c r="S1464" s="277"/>
      <c r="T1464" s="40"/>
      <c r="U1464" s="278"/>
      <c r="V1464" s="269"/>
      <c r="W1464" s="269"/>
      <c r="X1464" s="275"/>
      <c r="Y1464" s="269"/>
      <c r="Z1464" s="357"/>
      <c r="AA1464" s="207"/>
      <c r="AB1464" s="369"/>
      <c r="AC1464" s="370"/>
      <c r="AD1464" s="332"/>
      <c r="AE1464" s="216"/>
      <c r="AF1464" s="43"/>
      <c r="AG1464" s="47"/>
      <c r="AH1464" s="30"/>
      <c r="AI1464" s="30"/>
      <c r="AJ1464" s="30"/>
      <c r="AK1464" s="30"/>
      <c r="AL1464" s="13"/>
      <c r="AM1464" s="13"/>
      <c r="AN1464" s="13"/>
      <c r="AO1464" s="13"/>
      <c r="AP1464" s="13"/>
      <c r="AQ1464" s="14"/>
      <c r="AR1464" s="15"/>
    </row>
    <row r="1465" spans="1:44" s="17" customFormat="1" ht="30.95" hidden="1" customHeight="1" x14ac:dyDescent="0.2">
      <c r="A1465" s="343" t="s">
        <v>1069</v>
      </c>
      <c r="B1465" s="344" t="s">
        <v>446</v>
      </c>
      <c r="C1465" s="345"/>
      <c r="D1465" s="31"/>
      <c r="E1465" s="31"/>
      <c r="F1465" s="268"/>
      <c r="G1465" s="269"/>
      <c r="H1465" s="269"/>
      <c r="I1465" s="270"/>
      <c r="J1465" s="32" t="s">
        <v>448</v>
      </c>
      <c r="K1465" s="270"/>
      <c r="L1465" s="270"/>
      <c r="M1465" s="39"/>
      <c r="N1465" s="39"/>
      <c r="O1465" s="47"/>
      <c r="P1465" s="57"/>
      <c r="Q1465" s="276"/>
      <c r="R1465" s="277"/>
      <c r="S1465" s="277"/>
      <c r="T1465" s="40"/>
      <c r="U1465" s="278"/>
      <c r="V1465" s="269"/>
      <c r="W1465" s="269"/>
      <c r="X1465" s="275"/>
      <c r="Y1465" s="269"/>
      <c r="Z1465" s="357"/>
      <c r="AA1465" s="207"/>
      <c r="AB1465" s="369"/>
      <c r="AC1465" s="370"/>
      <c r="AD1465" s="332"/>
      <c r="AE1465" s="216"/>
      <c r="AF1465" s="43"/>
      <c r="AG1465" s="47"/>
      <c r="AH1465" s="30"/>
      <c r="AI1465" s="30"/>
      <c r="AJ1465" s="30"/>
      <c r="AK1465" s="30"/>
      <c r="AL1465" s="13"/>
      <c r="AM1465" s="13"/>
      <c r="AN1465" s="13"/>
      <c r="AO1465" s="13"/>
      <c r="AP1465" s="13"/>
      <c r="AQ1465" s="14"/>
      <c r="AR1465" s="15"/>
    </row>
    <row r="1466" spans="1:44" s="17" customFormat="1" ht="30.95" hidden="1" customHeight="1" x14ac:dyDescent="0.2">
      <c r="A1466" s="343"/>
      <c r="B1466" s="344"/>
      <c r="C1466" s="345"/>
      <c r="D1466" s="398"/>
      <c r="E1466" s="31"/>
      <c r="F1466" s="268"/>
      <c r="G1466" s="269"/>
      <c r="H1466" s="269"/>
      <c r="I1466" s="270"/>
      <c r="J1466" s="32"/>
      <c r="K1466" s="270"/>
      <c r="L1466" s="270"/>
      <c r="M1466" s="39"/>
      <c r="N1466" s="39"/>
      <c r="O1466" s="47"/>
      <c r="P1466" s="57"/>
      <c r="Q1466" s="276"/>
      <c r="R1466" s="277"/>
      <c r="S1466" s="277"/>
      <c r="T1466" s="40"/>
      <c r="U1466" s="278"/>
      <c r="V1466" s="269"/>
      <c r="W1466" s="269"/>
      <c r="X1466" s="275"/>
      <c r="Y1466" s="269"/>
      <c r="Z1466" s="357"/>
      <c r="AA1466" s="207"/>
      <c r="AB1466" s="369"/>
      <c r="AC1466" s="370"/>
      <c r="AD1466" s="332"/>
      <c r="AE1466" s="216"/>
      <c r="AF1466" s="43"/>
      <c r="AG1466" s="47"/>
      <c r="AH1466" s="30"/>
      <c r="AI1466" s="30"/>
      <c r="AJ1466" s="30"/>
      <c r="AK1466" s="30"/>
      <c r="AL1466" s="13"/>
      <c r="AM1466" s="13"/>
      <c r="AN1466" s="13"/>
      <c r="AO1466" s="13"/>
      <c r="AP1466" s="13"/>
      <c r="AQ1466" s="14"/>
      <c r="AR1466" s="15"/>
    </row>
    <row r="1467" spans="1:44" s="17" customFormat="1" ht="30.95" hidden="1" customHeight="1" x14ac:dyDescent="0.2">
      <c r="A1467" s="343" t="s">
        <v>2776</v>
      </c>
      <c r="B1467" s="344" t="s">
        <v>2775</v>
      </c>
      <c r="C1467" s="345"/>
      <c r="D1467" s="31">
        <v>3754078</v>
      </c>
      <c r="E1467" s="31">
        <v>4170136</v>
      </c>
      <c r="F1467" s="268" t="str">
        <f>IF(D1467="","",VLOOKUP(D1467,契約台帳!$A$3:$K$4986,6,FALSE)&amp;VLOOKUP(D1467,契約台帳!$A$3:$K$4986,7,FALSE)&amp;VLOOKUP(D1467,契約台帳!$A$3:$K$4986,8,FALSE)&amp;VLOOKUP(D1467,契約台帳!$A$3:$K$4986,9,FALSE)&amp;VLOOKUP(D1467,契約台帳!$A$3:$K$4986,11,FALSE))</f>
        <v>3SNMLBMSF</v>
      </c>
      <c r="G1467" s="269" t="str">
        <f>IF(D1467="","",VLOOKUP(F1467,製品マスタ!$G$5:$H$5002,2,FALSE))</f>
        <v>S</v>
      </c>
      <c r="H1467" s="269" t="str">
        <f>IF(D1467="","",VLOOKUP(F1467,製品マスタ!$G$5:$K$5002,5,FALSE))</f>
        <v>MSF</v>
      </c>
      <c r="I1467" s="270" t="str">
        <f>IF(D1467="","",VLOOKUP(F1467,製品マスタ!$G$5:$L$5002,6,FALSE))</f>
        <v>メタルミー　Ｓ</v>
      </c>
      <c r="J1467" s="32" t="s">
        <v>464</v>
      </c>
      <c r="K1467" s="270">
        <f>IF(D1467="","",VLOOKUP(D1467,契約台帳!$A$3:$L$4986,12,FALSE))</f>
        <v>25</v>
      </c>
      <c r="L1467" s="270" t="str">
        <f>IF(D1467="","",INDEX(製品マスタ!$Q$5:$Q$5002,MATCH(F1467&amp;K1467,製品マスタ!$AO$5:$AO$5002,0)))</f>
        <v>T62M</v>
      </c>
      <c r="M1467" s="39">
        <v>1240</v>
      </c>
      <c r="N1467" s="39">
        <v>12200</v>
      </c>
      <c r="O1467" s="47">
        <v>1</v>
      </c>
      <c r="P1467" s="356">
        <v>45408</v>
      </c>
      <c r="Q1467" s="276">
        <f>IF(D1467="","",IF(J1467="リード付け",M1467,VLOOKUP(D1467,契約台帳!$A$3:$N$4986,14,FALSE)))</f>
        <v>1240</v>
      </c>
      <c r="R1467" s="277">
        <f>IF(D1467="","",IF(J1467="リード付け",M1467,VLOOKUP(D1467,契約台帳!$A$3:$O$4986,15,FALSE)))</f>
        <v>1240</v>
      </c>
      <c r="S1467" s="277">
        <f>IF(D1467="","",IF(J1467="リード付け",N1467,VLOOKUP(D1467,契約台帳!$A$3:$P$4986,16,FALSE)))</f>
        <v>12200</v>
      </c>
      <c r="T1467" s="40">
        <v>1</v>
      </c>
      <c r="U1467" s="278">
        <f ca="1">IF(D1467="","",IF(OFFSET(D1467,-2,0)=D1467,"",VLOOKUP(D1467,契約台帳!$A$3:$R$4986,18,FALSE)))</f>
        <v>12</v>
      </c>
      <c r="V1467" s="269" t="str">
        <f>IF(J1467="巻返し",VLOOKUP(F1467&amp;K1467&amp;M1467,製品マスタ!$M$5:$AD$5002,18,FALSE),IF(J1467="リード付け","原反コア",IF(J1467="スリット",VLOOKUP(F1467&amp;K1467&amp;Q1467,製品マスタ!$N$5:$AD$5002,17,FALSE),"")))</f>
        <v>原反コア</v>
      </c>
      <c r="W1467" s="269" t="str">
        <f>IF(J1467="巻返し",VLOOKUP(F1467&amp;K1467&amp;M1467,製品マスタ!$M$5:$AE$5002,19,FALSE),IF(J1467="リード付け","-",IF(J1467="スリット",VLOOKUP(F1467&amp;K1467&amp;Q1467,製品マスタ!$N$5:$AE$5002,18,FALSE),"")))</f>
        <v>-</v>
      </c>
      <c r="X1467" s="275">
        <f>IF(D1467="","",VLOOKUP(D1467,契約台帳!$A$3:$Q$4986,17,FALSE))</f>
        <v>1</v>
      </c>
      <c r="Y1467" s="269" t="str">
        <f>IF(D1467="","",VLOOKUP(D1467,契約台帳!$A$3:$E$4986,5,FALSE))</f>
        <v>日東シンコー㈱</v>
      </c>
      <c r="Z1467" s="350"/>
      <c r="AA1467" s="424"/>
      <c r="AB1467" s="352"/>
      <c r="AC1467" s="353"/>
      <c r="AD1467" s="54"/>
      <c r="AE1467" s="354"/>
      <c r="AF1467" s="355"/>
      <c r="AG1467" s="349"/>
      <c r="AH1467" s="30"/>
      <c r="AI1467" s="30"/>
      <c r="AJ1467" s="30"/>
      <c r="AK1467" s="30"/>
      <c r="AL1467" s="13"/>
      <c r="AM1467" s="13"/>
      <c r="AN1467" s="13"/>
      <c r="AO1467" s="13"/>
      <c r="AP1467" s="13"/>
      <c r="AQ1467" s="14"/>
      <c r="AR1467" s="15"/>
    </row>
    <row r="1468" spans="1:44" s="17" customFormat="1" ht="30.95" hidden="1" customHeight="1" x14ac:dyDescent="0.2">
      <c r="A1468" s="343"/>
      <c r="B1468" s="344"/>
      <c r="C1468" s="345"/>
      <c r="D1468" s="398"/>
      <c r="E1468" s="31"/>
      <c r="F1468" s="268"/>
      <c r="G1468" s="269"/>
      <c r="H1468" s="269"/>
      <c r="I1468" s="270"/>
      <c r="J1468" s="32"/>
      <c r="K1468" s="270"/>
      <c r="L1468" s="270"/>
      <c r="M1468" s="39"/>
      <c r="N1468" s="39"/>
      <c r="O1468" s="47"/>
      <c r="P1468" s="57"/>
      <c r="Q1468" s="276"/>
      <c r="R1468" s="277"/>
      <c r="S1468" s="277"/>
      <c r="T1468" s="40"/>
      <c r="U1468" s="278"/>
      <c r="V1468" s="269"/>
      <c r="W1468" s="269"/>
      <c r="X1468" s="275"/>
      <c r="Y1468" s="269"/>
      <c r="Z1468" s="357"/>
      <c r="AA1468" s="207"/>
      <c r="AB1468" s="369"/>
      <c r="AC1468" s="370"/>
      <c r="AD1468" s="332"/>
      <c r="AE1468" s="216"/>
      <c r="AF1468" s="43"/>
      <c r="AG1468" s="47"/>
      <c r="AH1468" s="30"/>
      <c r="AI1468" s="30"/>
      <c r="AJ1468" s="30"/>
      <c r="AK1468" s="30"/>
      <c r="AL1468" s="13"/>
      <c r="AM1468" s="13"/>
      <c r="AN1468" s="13"/>
      <c r="AO1468" s="13"/>
      <c r="AP1468" s="13"/>
      <c r="AQ1468" s="14"/>
      <c r="AR1468" s="15"/>
    </row>
    <row r="1469" spans="1:44" s="17" customFormat="1" ht="30.95" hidden="1" customHeight="1" x14ac:dyDescent="0.2">
      <c r="A1469" s="343"/>
      <c r="B1469" s="344"/>
      <c r="C1469" s="345"/>
      <c r="D1469" s="31">
        <v>3754079</v>
      </c>
      <c r="E1469" s="31">
        <v>4170137</v>
      </c>
      <c r="F1469" s="268" t="str">
        <f>IF(D1469="","",VLOOKUP(D1469,契約台帳!$A$3:$K$4986,6,FALSE)&amp;VLOOKUP(D1469,契約台帳!$A$3:$K$4986,7,FALSE)&amp;VLOOKUP(D1469,契約台帳!$A$3:$K$4986,8,FALSE)&amp;VLOOKUP(D1469,契約台帳!$A$3:$K$4986,9,FALSE)&amp;VLOOKUP(D1469,契約台帳!$A$3:$K$4986,11,FALSE))</f>
        <v>3SNMLBMSF</v>
      </c>
      <c r="G1469" s="269" t="str">
        <f>IF(D1469="","",VLOOKUP(F1469,製品マスタ!$G$5:$H$5002,2,FALSE))</f>
        <v>S</v>
      </c>
      <c r="H1469" s="269" t="str">
        <f>IF(D1469="","",VLOOKUP(F1469,製品マスタ!$G$5:$K$5002,5,FALSE))</f>
        <v>MSF</v>
      </c>
      <c r="I1469" s="270" t="str">
        <f>IF(D1469="","",VLOOKUP(F1469,製品マスタ!$G$5:$L$5002,6,FALSE))</f>
        <v>メタルミー　Ｓ</v>
      </c>
      <c r="J1469" s="32" t="s">
        <v>464</v>
      </c>
      <c r="K1469" s="270">
        <f>IF(D1469="","",VLOOKUP(D1469,契約台帳!$A$3:$L$4986,12,FALSE))</f>
        <v>25</v>
      </c>
      <c r="L1469" s="270" t="str">
        <f>IF(D1469="","",INDEX(製品マスタ!$Q$5:$Q$5002,MATCH(F1469&amp;K1469,製品マスタ!$AO$5:$AO$5002,0)))</f>
        <v>T62M</v>
      </c>
      <c r="M1469" s="39">
        <v>1240</v>
      </c>
      <c r="N1469" s="39">
        <v>12200</v>
      </c>
      <c r="O1469" s="47">
        <v>1</v>
      </c>
      <c r="P1469" s="356">
        <v>45408</v>
      </c>
      <c r="Q1469" s="276">
        <f>IF(D1469="","",IF(J1469="リード付け",M1469,VLOOKUP(D1469,契約台帳!$A$3:$N$4986,14,FALSE)))</f>
        <v>1240</v>
      </c>
      <c r="R1469" s="277">
        <f>IF(D1469="","",IF(J1469="リード付け",M1469,VLOOKUP(D1469,契約台帳!$A$3:$O$4986,15,FALSE)))</f>
        <v>1240</v>
      </c>
      <c r="S1469" s="277">
        <f>IF(D1469="","",IF(J1469="リード付け",N1469,VLOOKUP(D1469,契約台帳!$A$3:$P$4986,16,FALSE)))</f>
        <v>12200</v>
      </c>
      <c r="T1469" s="40">
        <v>1</v>
      </c>
      <c r="U1469" s="278">
        <f ca="1">IF(D1469="","",IF(OFFSET(D1469,-2,0)=D1469,"",VLOOKUP(D1469,契約台帳!$A$3:$R$4986,18,FALSE)))</f>
        <v>6</v>
      </c>
      <c r="V1469" s="269" t="str">
        <f>IF(J1469="巻返し",VLOOKUP(F1469&amp;K1469&amp;M1469,製品マスタ!$M$5:$AD$5002,18,FALSE),IF(J1469="リード付け","原反コア",IF(J1469="スリット",VLOOKUP(F1469&amp;K1469&amp;Q1469,製品マスタ!$N$5:$AD$5002,17,FALSE),"")))</f>
        <v>原反コア</v>
      </c>
      <c r="W1469" s="269" t="str">
        <f>IF(J1469="巻返し",VLOOKUP(F1469&amp;K1469&amp;M1469,製品マスタ!$M$5:$AE$5002,19,FALSE),IF(J1469="リード付け","-",IF(J1469="スリット",VLOOKUP(F1469&amp;K1469&amp;Q1469,製品マスタ!$N$5:$AE$5002,18,FALSE),"")))</f>
        <v>-</v>
      </c>
      <c r="X1469" s="275">
        <f>IF(D1469="","",VLOOKUP(D1469,契約台帳!$A$3:$Q$4986,17,FALSE))</f>
        <v>1</v>
      </c>
      <c r="Y1469" s="269" t="str">
        <f>IF(D1469="","",VLOOKUP(D1469,契約台帳!$A$3:$E$4986,5,FALSE))</f>
        <v>日精㈱東京支店</v>
      </c>
      <c r="Z1469" s="350"/>
      <c r="AA1469" s="424"/>
      <c r="AB1469" s="352"/>
      <c r="AC1469" s="353"/>
      <c r="AD1469" s="54"/>
      <c r="AE1469" s="354"/>
      <c r="AF1469" s="355"/>
      <c r="AG1469" s="349"/>
      <c r="AH1469" s="30"/>
      <c r="AI1469" s="30"/>
      <c r="AJ1469" s="30"/>
      <c r="AK1469" s="30"/>
      <c r="AL1469" s="13"/>
      <c r="AM1469" s="13"/>
      <c r="AN1469" s="13"/>
      <c r="AO1469" s="13"/>
      <c r="AP1469" s="13"/>
      <c r="AQ1469" s="14"/>
      <c r="AR1469" s="15"/>
    </row>
    <row r="1470" spans="1:44" s="17" customFormat="1" ht="30.95" hidden="1" customHeight="1" x14ac:dyDescent="0.2">
      <c r="A1470" s="343"/>
      <c r="B1470" s="344"/>
      <c r="C1470" s="345"/>
      <c r="D1470" s="398"/>
      <c r="E1470" s="31"/>
      <c r="F1470" s="268"/>
      <c r="G1470" s="269"/>
      <c r="H1470" s="269"/>
      <c r="I1470" s="270"/>
      <c r="J1470" s="32"/>
      <c r="K1470" s="270"/>
      <c r="L1470" s="270"/>
      <c r="M1470" s="39"/>
      <c r="N1470" s="39"/>
      <c r="O1470" s="47"/>
      <c r="P1470" s="57"/>
      <c r="Q1470" s="276"/>
      <c r="R1470" s="277"/>
      <c r="S1470" s="277"/>
      <c r="T1470" s="40"/>
      <c r="U1470" s="278"/>
      <c r="V1470" s="269"/>
      <c r="W1470" s="269"/>
      <c r="X1470" s="275"/>
      <c r="Y1470" s="269"/>
      <c r="Z1470" s="357"/>
      <c r="AA1470" s="207"/>
      <c r="AB1470" s="369"/>
      <c r="AC1470" s="370"/>
      <c r="AD1470" s="332"/>
      <c r="AE1470" s="216"/>
      <c r="AF1470" s="43"/>
      <c r="AG1470" s="47"/>
      <c r="AH1470" s="30"/>
      <c r="AI1470" s="30"/>
      <c r="AJ1470" s="30"/>
      <c r="AK1470" s="30"/>
      <c r="AL1470" s="13"/>
      <c r="AM1470" s="13"/>
      <c r="AN1470" s="13"/>
      <c r="AO1470" s="13"/>
      <c r="AP1470" s="13"/>
      <c r="AQ1470" s="14"/>
      <c r="AR1470" s="15"/>
    </row>
    <row r="1471" spans="1:44" s="17" customFormat="1" ht="30.95" hidden="1" customHeight="1" x14ac:dyDescent="0.2">
      <c r="A1471" s="343"/>
      <c r="B1471" s="344"/>
      <c r="C1471" s="345"/>
      <c r="D1471" s="31">
        <v>3754086</v>
      </c>
      <c r="E1471" s="31">
        <v>4170138</v>
      </c>
      <c r="F1471" s="268" t="str">
        <f>IF(D1471="","",VLOOKUP(D1471,契約台帳!$A$3:$K$4986,6,FALSE)&amp;VLOOKUP(D1471,契約台帳!$A$3:$K$4986,7,FALSE)&amp;VLOOKUP(D1471,契約台帳!$A$3:$K$4986,8,FALSE)&amp;VLOOKUP(D1471,契約台帳!$A$3:$K$4986,9,FALSE)&amp;VLOOKUP(D1471,契約台帳!$A$3:$K$4986,11,FALSE))</f>
        <v>3SNMLBMNGTBF</v>
      </c>
      <c r="G1471" s="269" t="str">
        <f>IF(D1471="","",VLOOKUP(F1471,製品マスタ!$G$5:$H$5002,2,FALSE))</f>
        <v>S</v>
      </c>
      <c r="H1471" s="269" t="str">
        <f>IF(D1471="","",VLOOKUP(F1471,製品マスタ!$G$5:$K$5002,5,FALSE))</f>
        <v>MNGTBF</v>
      </c>
      <c r="I1471" s="270" t="str">
        <f>IF(D1471="","",VLOOKUP(F1471,製品マスタ!$G$5:$L$5002,6,FALSE))</f>
        <v>メタルミー　ネーマー　銀艶　Ｂ</v>
      </c>
      <c r="J1471" s="32" t="s">
        <v>464</v>
      </c>
      <c r="K1471" s="270">
        <f>IF(D1471="","",VLOOKUP(D1471,契約台帳!$A$3:$L$4986,12,FALSE))</f>
        <v>25</v>
      </c>
      <c r="L1471" s="270" t="str">
        <f>IF(D1471="","",INDEX(製品マスタ!$Q$5:$Q$5002,MATCH(F1471&amp;K1471,製品マスタ!$AO$5:$AO$5002,0)))</f>
        <v>T62M</v>
      </c>
      <c r="M1471" s="39">
        <v>1005</v>
      </c>
      <c r="N1471" s="39">
        <v>12100</v>
      </c>
      <c r="O1471" s="47">
        <v>5</v>
      </c>
      <c r="P1471" s="356">
        <v>45408</v>
      </c>
      <c r="Q1471" s="276">
        <f>IF(D1471="","",IF(J1471="リード付け",M1471,VLOOKUP(D1471,契約台帳!$A$3:$N$4986,14,FALSE)))</f>
        <v>1005</v>
      </c>
      <c r="R1471" s="277">
        <f>IF(D1471="","",IF(J1471="リード付け",M1471,VLOOKUP(D1471,契約台帳!$A$3:$O$4986,15,FALSE)))</f>
        <v>1005</v>
      </c>
      <c r="S1471" s="277">
        <f>IF(D1471="","",IF(J1471="リード付け",N1471,VLOOKUP(D1471,契約台帳!$A$3:$P$4986,16,FALSE)))</f>
        <v>12100</v>
      </c>
      <c r="T1471" s="40">
        <v>5</v>
      </c>
      <c r="U1471" s="278">
        <f ca="1">IF(D1471="","",IF(OFFSET(D1471,-2,0)=D1471,"",VLOOKUP(D1471,契約台帳!$A$3:$R$4986,18,FALSE)))</f>
        <v>15</v>
      </c>
      <c r="V1471" s="269" t="str">
        <f>IF(J1471="巻返し",VLOOKUP(F1471&amp;K1471&amp;M1471,製品マスタ!$M$5:$AD$5002,18,FALSE),IF(J1471="リード付け","原反コア",IF(J1471="スリット",VLOOKUP(F1471&amp;K1471&amp;Q1471,製品マスタ!$N$5:$AD$5002,17,FALSE),"")))</f>
        <v>原反コア</v>
      </c>
      <c r="W1471" s="269" t="str">
        <f>IF(J1471="巻返し",VLOOKUP(F1471&amp;K1471&amp;M1471,製品マスタ!$M$5:$AE$5002,19,FALSE),IF(J1471="リード付け","-",IF(J1471="スリット",VLOOKUP(F1471&amp;K1471&amp;Q1471,製品マスタ!$N$5:$AE$5002,18,FALSE),"")))</f>
        <v>-</v>
      </c>
      <c r="X1471" s="275">
        <f>IF(D1471="","",VLOOKUP(D1471,契約台帳!$A$3:$Q$4986,17,FALSE))</f>
        <v>2</v>
      </c>
      <c r="Y1471" s="269" t="str">
        <f>IF(D1471="","",VLOOKUP(D1471,契約台帳!$A$3:$E$4986,5,FALSE))</f>
        <v>リンテック㈱</v>
      </c>
      <c r="Z1471" s="350"/>
      <c r="AA1471" s="424"/>
      <c r="AB1471" s="352"/>
      <c r="AC1471" s="353"/>
      <c r="AD1471" s="54"/>
      <c r="AE1471" s="354"/>
      <c r="AF1471" s="355"/>
      <c r="AG1471" s="349"/>
      <c r="AH1471" s="30"/>
      <c r="AI1471" s="30"/>
      <c r="AJ1471" s="30"/>
      <c r="AK1471" s="30"/>
      <c r="AL1471" s="13"/>
      <c r="AM1471" s="13"/>
      <c r="AN1471" s="13"/>
      <c r="AO1471" s="13"/>
      <c r="AP1471" s="13"/>
      <c r="AQ1471" s="14"/>
      <c r="AR1471" s="15"/>
    </row>
    <row r="1472" spans="1:44" s="17" customFormat="1" ht="30.95" hidden="1" customHeight="1" x14ac:dyDescent="0.2">
      <c r="A1472" s="343"/>
      <c r="B1472" s="344"/>
      <c r="C1472" s="345"/>
      <c r="D1472" s="398"/>
      <c r="E1472" s="31"/>
      <c r="F1472" s="268"/>
      <c r="G1472" s="269"/>
      <c r="H1472" s="269"/>
      <c r="I1472" s="270"/>
      <c r="J1472" s="32"/>
      <c r="K1472" s="270"/>
      <c r="L1472" s="270"/>
      <c r="M1472" s="39"/>
      <c r="N1472" s="39"/>
      <c r="O1472" s="47"/>
      <c r="P1472" s="57"/>
      <c r="Q1472" s="276"/>
      <c r="R1472" s="277"/>
      <c r="S1472" s="277"/>
      <c r="T1472" s="40"/>
      <c r="U1472" s="278"/>
      <c r="V1472" s="269"/>
      <c r="W1472" s="269"/>
      <c r="X1472" s="275"/>
      <c r="Y1472" s="269"/>
      <c r="Z1472" s="357"/>
      <c r="AA1472" s="207"/>
      <c r="AB1472" s="369"/>
      <c r="AC1472" s="370"/>
      <c r="AD1472" s="332"/>
      <c r="AE1472" s="216"/>
      <c r="AF1472" s="43"/>
      <c r="AG1472" s="47"/>
      <c r="AH1472" s="30"/>
      <c r="AI1472" s="30"/>
      <c r="AJ1472" s="30"/>
      <c r="AK1472" s="30"/>
      <c r="AL1472" s="13"/>
      <c r="AM1472" s="13"/>
      <c r="AN1472" s="13"/>
      <c r="AO1472" s="13"/>
      <c r="AP1472" s="13"/>
      <c r="AQ1472" s="14"/>
      <c r="AR1472" s="15"/>
    </row>
    <row r="1473" spans="1:44" s="17" customFormat="1" ht="30.95" hidden="1" customHeight="1" x14ac:dyDescent="0.2">
      <c r="A1473" s="343" t="s">
        <v>2777</v>
      </c>
      <c r="B1473" s="344" t="s">
        <v>2768</v>
      </c>
      <c r="C1473" s="345"/>
      <c r="D1473" s="398"/>
      <c r="E1473" s="31"/>
      <c r="F1473" s="268"/>
      <c r="G1473" s="269"/>
      <c r="H1473" s="269"/>
      <c r="I1473" s="270"/>
      <c r="J1473" s="32"/>
      <c r="K1473" s="270"/>
      <c r="L1473" s="270"/>
      <c r="M1473" s="39"/>
      <c r="N1473" s="39"/>
      <c r="O1473" s="47"/>
      <c r="P1473" s="57"/>
      <c r="Q1473" s="276"/>
      <c r="R1473" s="277"/>
      <c r="S1473" s="277"/>
      <c r="T1473" s="40"/>
      <c r="U1473" s="278"/>
      <c r="V1473" s="269"/>
      <c r="W1473" s="269"/>
      <c r="X1473" s="275"/>
      <c r="Y1473" s="269"/>
      <c r="Z1473" s="357"/>
      <c r="AA1473" s="207"/>
      <c r="AB1473" s="369"/>
      <c r="AC1473" s="370"/>
      <c r="AD1473" s="332"/>
      <c r="AE1473" s="216"/>
      <c r="AF1473" s="43"/>
      <c r="AG1473" s="47"/>
      <c r="AH1473" s="30"/>
      <c r="AI1473" s="30"/>
      <c r="AJ1473" s="30"/>
      <c r="AK1473" s="30"/>
      <c r="AL1473" s="13"/>
      <c r="AM1473" s="13"/>
      <c r="AN1473" s="13"/>
      <c r="AO1473" s="13"/>
      <c r="AP1473" s="13"/>
      <c r="AQ1473" s="14"/>
      <c r="AR1473" s="15"/>
    </row>
    <row r="1474" spans="1:44" s="17" customFormat="1" ht="30.95" hidden="1" customHeight="1" x14ac:dyDescent="0.2">
      <c r="A1474" s="343"/>
      <c r="B1474" s="344"/>
      <c r="C1474" s="345"/>
      <c r="D1474" s="398"/>
      <c r="E1474" s="31"/>
      <c r="F1474" s="268"/>
      <c r="G1474" s="269"/>
      <c r="H1474" s="269"/>
      <c r="I1474" s="270"/>
      <c r="J1474" s="32"/>
      <c r="K1474" s="270"/>
      <c r="L1474" s="270"/>
      <c r="M1474" s="39"/>
      <c r="N1474" s="39"/>
      <c r="O1474" s="47"/>
      <c r="P1474" s="57"/>
      <c r="Q1474" s="276"/>
      <c r="R1474" s="277"/>
      <c r="S1474" s="277"/>
      <c r="T1474" s="40"/>
      <c r="U1474" s="278"/>
      <c r="V1474" s="269"/>
      <c r="W1474" s="269"/>
      <c r="X1474" s="275"/>
      <c r="Y1474" s="269"/>
      <c r="Z1474" s="357"/>
      <c r="AA1474" s="207"/>
      <c r="AB1474" s="369"/>
      <c r="AC1474" s="370"/>
      <c r="AD1474" s="332"/>
      <c r="AE1474" s="216"/>
      <c r="AF1474" s="43"/>
      <c r="AG1474" s="47"/>
      <c r="AH1474" s="30"/>
      <c r="AI1474" s="30"/>
      <c r="AJ1474" s="30"/>
      <c r="AK1474" s="30"/>
      <c r="AL1474" s="13"/>
      <c r="AM1474" s="13"/>
      <c r="AN1474" s="13"/>
      <c r="AO1474" s="13"/>
      <c r="AP1474" s="13"/>
      <c r="AQ1474" s="14"/>
      <c r="AR1474" s="15"/>
    </row>
    <row r="1475" spans="1:44" s="17" customFormat="1" ht="30.95" hidden="1" customHeight="1" x14ac:dyDescent="0.2">
      <c r="A1475" s="343" t="s">
        <v>2763</v>
      </c>
      <c r="B1475" s="344" t="s">
        <v>2764</v>
      </c>
      <c r="C1475" s="345"/>
      <c r="D1475" s="398"/>
      <c r="E1475" s="31"/>
      <c r="F1475" s="268"/>
      <c r="G1475" s="269"/>
      <c r="H1475" s="269"/>
      <c r="I1475" s="270"/>
      <c r="J1475" s="32"/>
      <c r="K1475" s="270"/>
      <c r="L1475" s="270"/>
      <c r="M1475" s="39"/>
      <c r="N1475" s="39"/>
      <c r="O1475" s="47"/>
      <c r="P1475" s="57"/>
      <c r="Q1475" s="276"/>
      <c r="R1475" s="277"/>
      <c r="S1475" s="277"/>
      <c r="T1475" s="40"/>
      <c r="U1475" s="278"/>
      <c r="V1475" s="269"/>
      <c r="W1475" s="269"/>
      <c r="X1475" s="275"/>
      <c r="Y1475" s="269"/>
      <c r="Z1475" s="357"/>
      <c r="AA1475" s="207"/>
      <c r="AB1475" s="369"/>
      <c r="AC1475" s="370"/>
      <c r="AD1475" s="332"/>
      <c r="AE1475" s="216"/>
      <c r="AF1475" s="43"/>
      <c r="AG1475" s="47"/>
      <c r="AH1475" s="30"/>
      <c r="AI1475" s="30"/>
      <c r="AJ1475" s="30"/>
      <c r="AK1475" s="30"/>
      <c r="AL1475" s="13"/>
      <c r="AM1475" s="13"/>
      <c r="AN1475" s="13"/>
      <c r="AO1475" s="13"/>
      <c r="AP1475" s="13"/>
      <c r="AQ1475" s="14"/>
      <c r="AR1475" s="15"/>
    </row>
    <row r="1476" spans="1:44" s="17" customFormat="1" ht="30.95" hidden="1" customHeight="1" x14ac:dyDescent="0.2">
      <c r="A1476" s="343"/>
      <c r="B1476" s="344"/>
      <c r="C1476" s="345"/>
      <c r="D1476" s="398"/>
      <c r="E1476" s="31"/>
      <c r="F1476" s="268"/>
      <c r="G1476" s="269"/>
      <c r="H1476" s="269"/>
      <c r="I1476" s="270"/>
      <c r="J1476" s="32"/>
      <c r="K1476" s="270"/>
      <c r="L1476" s="270"/>
      <c r="M1476" s="39"/>
      <c r="N1476" s="39"/>
      <c r="O1476" s="47"/>
      <c r="P1476" s="57"/>
      <c r="Q1476" s="276"/>
      <c r="R1476" s="277"/>
      <c r="S1476" s="277"/>
      <c r="T1476" s="40"/>
      <c r="U1476" s="278"/>
      <c r="V1476" s="269"/>
      <c r="W1476" s="269"/>
      <c r="X1476" s="275"/>
      <c r="Y1476" s="269"/>
      <c r="Z1476" s="357"/>
      <c r="AA1476" s="207"/>
      <c r="AB1476" s="369"/>
      <c r="AC1476" s="370"/>
      <c r="AD1476" s="332"/>
      <c r="AE1476" s="216"/>
      <c r="AF1476" s="43"/>
      <c r="AG1476" s="47"/>
      <c r="AH1476" s="30"/>
      <c r="AI1476" s="30"/>
      <c r="AJ1476" s="30"/>
      <c r="AK1476" s="30"/>
      <c r="AL1476" s="13"/>
      <c r="AM1476" s="13"/>
      <c r="AN1476" s="13"/>
      <c r="AO1476" s="13"/>
      <c r="AP1476" s="13"/>
      <c r="AQ1476" s="14"/>
      <c r="AR1476" s="15"/>
    </row>
    <row r="1477" spans="1:44" s="17" customFormat="1" ht="30.95" hidden="1" customHeight="1" x14ac:dyDescent="0.2">
      <c r="A1477" s="343" t="s">
        <v>2765</v>
      </c>
      <c r="B1477" s="344" t="s">
        <v>2766</v>
      </c>
      <c r="C1477" s="345"/>
      <c r="D1477" s="398"/>
      <c r="E1477" s="31"/>
      <c r="F1477" s="268"/>
      <c r="G1477" s="269"/>
      <c r="H1477" s="269"/>
      <c r="I1477" s="270"/>
      <c r="J1477" s="32"/>
      <c r="K1477" s="270"/>
      <c r="L1477" s="270"/>
      <c r="M1477" s="39"/>
      <c r="N1477" s="39"/>
      <c r="O1477" s="47"/>
      <c r="P1477" s="57"/>
      <c r="Q1477" s="276"/>
      <c r="R1477" s="277"/>
      <c r="S1477" s="277"/>
      <c r="T1477" s="40"/>
      <c r="U1477" s="278"/>
      <c r="V1477" s="269"/>
      <c r="W1477" s="269"/>
      <c r="X1477" s="275"/>
      <c r="Y1477" s="269"/>
      <c r="Z1477" s="357"/>
      <c r="AA1477" s="207"/>
      <c r="AB1477" s="369"/>
      <c r="AC1477" s="370"/>
      <c r="AD1477" s="332"/>
      <c r="AE1477" s="216"/>
      <c r="AF1477" s="43"/>
      <c r="AG1477" s="47"/>
      <c r="AH1477" s="30"/>
      <c r="AI1477" s="30"/>
      <c r="AJ1477" s="30"/>
      <c r="AK1477" s="30"/>
      <c r="AL1477" s="13"/>
      <c r="AM1477" s="13"/>
      <c r="AN1477" s="13"/>
      <c r="AO1477" s="13"/>
      <c r="AP1477" s="13"/>
      <c r="AQ1477" s="14"/>
      <c r="AR1477" s="15"/>
    </row>
    <row r="1478" spans="1:44" s="17" customFormat="1" ht="30.95" hidden="1" customHeight="1" x14ac:dyDescent="0.2">
      <c r="A1478" s="343"/>
      <c r="B1478" s="344"/>
      <c r="C1478" s="345"/>
      <c r="D1478" s="398"/>
      <c r="E1478" s="31"/>
      <c r="F1478" s="268"/>
      <c r="G1478" s="269"/>
      <c r="H1478" s="269"/>
      <c r="I1478" s="270"/>
      <c r="J1478" s="32"/>
      <c r="K1478" s="270"/>
      <c r="L1478" s="270"/>
      <c r="M1478" s="39"/>
      <c r="N1478" s="39"/>
      <c r="O1478" s="47"/>
      <c r="P1478" s="57"/>
      <c r="Q1478" s="276"/>
      <c r="R1478" s="277"/>
      <c r="S1478" s="277"/>
      <c r="T1478" s="40"/>
      <c r="U1478" s="278"/>
      <c r="V1478" s="269"/>
      <c r="W1478" s="269"/>
      <c r="X1478" s="275"/>
      <c r="Y1478" s="269"/>
      <c r="Z1478" s="357"/>
      <c r="AA1478" s="207"/>
      <c r="AB1478" s="369"/>
      <c r="AC1478" s="370"/>
      <c r="AD1478" s="332"/>
      <c r="AE1478" s="216"/>
      <c r="AF1478" s="43"/>
      <c r="AG1478" s="47"/>
      <c r="AH1478" s="30"/>
      <c r="AI1478" s="30"/>
      <c r="AJ1478" s="30"/>
      <c r="AK1478" s="30"/>
      <c r="AL1478" s="13"/>
      <c r="AM1478" s="13"/>
      <c r="AN1478" s="13"/>
      <c r="AO1478" s="13"/>
      <c r="AP1478" s="13"/>
      <c r="AQ1478" s="14"/>
      <c r="AR1478" s="15"/>
    </row>
    <row r="1479" spans="1:44" s="17" customFormat="1" ht="30.95" hidden="1" customHeight="1" x14ac:dyDescent="0.2">
      <c r="A1479" s="343" t="s">
        <v>2778</v>
      </c>
      <c r="B1479" s="344" t="s">
        <v>2770</v>
      </c>
      <c r="C1479" s="345"/>
      <c r="D1479" s="398"/>
      <c r="E1479" s="31"/>
      <c r="F1479" s="268"/>
      <c r="G1479" s="269"/>
      <c r="H1479" s="269"/>
      <c r="I1479" s="270"/>
      <c r="J1479" s="32" t="s">
        <v>448</v>
      </c>
      <c r="K1479" s="270"/>
      <c r="L1479" s="270"/>
      <c r="M1479" s="39"/>
      <c r="N1479" s="39"/>
      <c r="O1479" s="47"/>
      <c r="P1479" s="57"/>
      <c r="Q1479" s="276"/>
      <c r="R1479" s="277"/>
      <c r="S1479" s="277"/>
      <c r="T1479" s="40"/>
      <c r="U1479" s="278"/>
      <c r="V1479" s="269"/>
      <c r="W1479" s="269"/>
      <c r="X1479" s="275"/>
      <c r="Y1479" s="269"/>
      <c r="Z1479" s="357"/>
      <c r="AA1479" s="207"/>
      <c r="AB1479" s="369"/>
      <c r="AC1479" s="370"/>
      <c r="AD1479" s="332"/>
      <c r="AE1479" s="216"/>
      <c r="AF1479" s="43"/>
      <c r="AG1479" s="47"/>
      <c r="AH1479" s="30"/>
      <c r="AI1479" s="30"/>
      <c r="AJ1479" s="30"/>
      <c r="AK1479" s="30"/>
      <c r="AL1479" s="13"/>
      <c r="AM1479" s="13"/>
      <c r="AN1479" s="13"/>
      <c r="AO1479" s="13"/>
      <c r="AP1479" s="13"/>
      <c r="AQ1479" s="14"/>
      <c r="AR1479" s="15"/>
    </row>
    <row r="1480" spans="1:44" s="17" customFormat="1" ht="30.95" hidden="1" customHeight="1" x14ac:dyDescent="0.2">
      <c r="A1480" s="343"/>
      <c r="B1480" s="344"/>
      <c r="C1480" s="345"/>
      <c r="D1480" s="398"/>
      <c r="E1480" s="31"/>
      <c r="F1480" s="268"/>
      <c r="G1480" s="269"/>
      <c r="H1480" s="269"/>
      <c r="I1480" s="270"/>
      <c r="J1480" s="32"/>
      <c r="K1480" s="270"/>
      <c r="L1480" s="270"/>
      <c r="M1480" s="39"/>
      <c r="N1480" s="39"/>
      <c r="O1480" s="47"/>
      <c r="P1480" s="57"/>
      <c r="Q1480" s="276"/>
      <c r="R1480" s="277"/>
      <c r="S1480" s="277"/>
      <c r="T1480" s="40"/>
      <c r="U1480" s="278"/>
      <c r="V1480" s="269"/>
      <c r="W1480" s="269"/>
      <c r="X1480" s="275"/>
      <c r="Y1480" s="269"/>
      <c r="Z1480" s="357"/>
      <c r="AA1480" s="207"/>
      <c r="AB1480" s="369"/>
      <c r="AC1480" s="370"/>
      <c r="AD1480" s="332"/>
      <c r="AE1480" s="216"/>
      <c r="AF1480" s="43"/>
      <c r="AG1480" s="47"/>
      <c r="AH1480" s="30"/>
      <c r="AI1480" s="30"/>
      <c r="AJ1480" s="30"/>
      <c r="AK1480" s="30"/>
      <c r="AL1480" s="13"/>
      <c r="AM1480" s="13"/>
      <c r="AN1480" s="13"/>
      <c r="AO1480" s="13"/>
      <c r="AP1480" s="13"/>
      <c r="AQ1480" s="14"/>
      <c r="AR1480" s="15"/>
    </row>
    <row r="1481" spans="1:44" s="17" customFormat="1" ht="30.95" hidden="1" customHeight="1" x14ac:dyDescent="0.2">
      <c r="A1481" s="343" t="s">
        <v>2779</v>
      </c>
      <c r="B1481" s="344" t="s">
        <v>2771</v>
      </c>
      <c r="C1481" s="345"/>
      <c r="D1481" s="398"/>
      <c r="E1481" s="31"/>
      <c r="F1481" s="268"/>
      <c r="G1481" s="269"/>
      <c r="H1481" s="269"/>
      <c r="I1481" s="270"/>
      <c r="J1481" s="32" t="s">
        <v>448</v>
      </c>
      <c r="K1481" s="270"/>
      <c r="L1481" s="270"/>
      <c r="M1481" s="39"/>
      <c r="N1481" s="39"/>
      <c r="O1481" s="47"/>
      <c r="P1481" s="57"/>
      <c r="Q1481" s="276"/>
      <c r="R1481" s="277"/>
      <c r="S1481" s="277"/>
      <c r="T1481" s="40"/>
      <c r="U1481" s="278"/>
      <c r="V1481" s="269"/>
      <c r="W1481" s="269"/>
      <c r="X1481" s="275"/>
      <c r="Y1481" s="269"/>
      <c r="Z1481" s="357"/>
      <c r="AA1481" s="207"/>
      <c r="AB1481" s="369"/>
      <c r="AC1481" s="370"/>
      <c r="AD1481" s="332"/>
      <c r="AE1481" s="216"/>
      <c r="AF1481" s="43"/>
      <c r="AG1481" s="47"/>
      <c r="AH1481" s="30"/>
      <c r="AI1481" s="30"/>
      <c r="AJ1481" s="30"/>
      <c r="AK1481" s="30"/>
      <c r="AL1481" s="13"/>
      <c r="AM1481" s="13"/>
      <c r="AN1481" s="13"/>
      <c r="AO1481" s="13"/>
      <c r="AP1481" s="13"/>
      <c r="AQ1481" s="14"/>
      <c r="AR1481" s="15"/>
    </row>
    <row r="1482" spans="1:44" s="17" customFormat="1" ht="30.95" hidden="1" customHeight="1" x14ac:dyDescent="0.2">
      <c r="A1482" s="343"/>
      <c r="B1482" s="344"/>
      <c r="C1482" s="345"/>
      <c r="D1482" s="398"/>
      <c r="E1482" s="31"/>
      <c r="F1482" s="268"/>
      <c r="G1482" s="269"/>
      <c r="H1482" s="269"/>
      <c r="I1482" s="270"/>
      <c r="J1482" s="32"/>
      <c r="K1482" s="270"/>
      <c r="L1482" s="270"/>
      <c r="M1482" s="39"/>
      <c r="N1482" s="39"/>
      <c r="O1482" s="47"/>
      <c r="P1482" s="57"/>
      <c r="Q1482" s="276"/>
      <c r="R1482" s="277"/>
      <c r="S1482" s="277"/>
      <c r="T1482" s="40"/>
      <c r="U1482" s="278"/>
      <c r="V1482" s="269"/>
      <c r="W1482" s="269"/>
      <c r="X1482" s="275"/>
      <c r="Y1482" s="269"/>
      <c r="Z1482" s="357"/>
      <c r="AA1482" s="207"/>
      <c r="AB1482" s="369"/>
      <c r="AC1482" s="370"/>
      <c r="AD1482" s="332"/>
      <c r="AE1482" s="216"/>
      <c r="AF1482" s="43"/>
      <c r="AG1482" s="47"/>
      <c r="AH1482" s="30"/>
      <c r="AI1482" s="30"/>
      <c r="AJ1482" s="30"/>
      <c r="AK1482" s="30"/>
      <c r="AL1482" s="13"/>
      <c r="AM1482" s="13"/>
      <c r="AN1482" s="13"/>
      <c r="AO1482" s="13"/>
      <c r="AP1482" s="13"/>
      <c r="AQ1482" s="14"/>
      <c r="AR1482" s="15"/>
    </row>
    <row r="1483" spans="1:44" s="17" customFormat="1" ht="30.95" hidden="1" customHeight="1" x14ac:dyDescent="0.2">
      <c r="A1483" s="343" t="s">
        <v>2780</v>
      </c>
      <c r="B1483" s="344" t="s">
        <v>2773</v>
      </c>
      <c r="C1483" s="345"/>
      <c r="D1483" s="398"/>
      <c r="E1483" s="31"/>
      <c r="F1483" s="268"/>
      <c r="G1483" s="269"/>
      <c r="H1483" s="269"/>
      <c r="I1483" s="270"/>
      <c r="J1483" s="32" t="s">
        <v>448</v>
      </c>
      <c r="K1483" s="270"/>
      <c r="L1483" s="270"/>
      <c r="M1483" s="39"/>
      <c r="N1483" s="39"/>
      <c r="O1483" s="47"/>
      <c r="P1483" s="57"/>
      <c r="Q1483" s="276"/>
      <c r="R1483" s="277"/>
      <c r="S1483" s="277"/>
      <c r="T1483" s="40"/>
      <c r="U1483" s="278"/>
      <c r="V1483" s="269"/>
      <c r="W1483" s="269"/>
      <c r="X1483" s="275"/>
      <c r="Y1483" s="269"/>
      <c r="Z1483" s="357"/>
      <c r="AA1483" s="207"/>
      <c r="AB1483" s="369"/>
      <c r="AC1483" s="370"/>
      <c r="AD1483" s="332"/>
      <c r="AE1483" s="216"/>
      <c r="AF1483" s="43"/>
      <c r="AG1483" s="47"/>
      <c r="AH1483" s="30"/>
      <c r="AI1483" s="30"/>
      <c r="AJ1483" s="30"/>
      <c r="AK1483" s="30"/>
      <c r="AL1483" s="13"/>
      <c r="AM1483" s="13"/>
      <c r="AN1483" s="13"/>
      <c r="AO1483" s="13"/>
      <c r="AP1483" s="13"/>
      <c r="AQ1483" s="14"/>
      <c r="AR1483" s="15"/>
    </row>
    <row r="1484" spans="1:44" s="17" customFormat="1" ht="30.95" hidden="1" customHeight="1" x14ac:dyDescent="0.2">
      <c r="A1484" s="343"/>
      <c r="B1484" s="344"/>
      <c r="C1484" s="345"/>
      <c r="D1484" s="398"/>
      <c r="E1484" s="31"/>
      <c r="F1484" s="268"/>
      <c r="G1484" s="269"/>
      <c r="H1484" s="269"/>
      <c r="I1484" s="270"/>
      <c r="J1484" s="32"/>
      <c r="K1484" s="270"/>
      <c r="L1484" s="270"/>
      <c r="M1484" s="39"/>
      <c r="N1484" s="39"/>
      <c r="O1484" s="47"/>
      <c r="P1484" s="57"/>
      <c r="Q1484" s="276"/>
      <c r="R1484" s="277"/>
      <c r="S1484" s="277"/>
      <c r="T1484" s="40"/>
      <c r="U1484" s="278"/>
      <c r="V1484" s="269"/>
      <c r="W1484" s="269"/>
      <c r="X1484" s="275"/>
      <c r="Y1484" s="269"/>
      <c r="Z1484" s="357"/>
      <c r="AA1484" s="207"/>
      <c r="AB1484" s="369"/>
      <c r="AC1484" s="370"/>
      <c r="AD1484" s="332"/>
      <c r="AE1484" s="216"/>
      <c r="AF1484" s="43"/>
      <c r="AG1484" s="47"/>
      <c r="AH1484" s="30"/>
      <c r="AI1484" s="30"/>
      <c r="AJ1484" s="30"/>
      <c r="AK1484" s="30"/>
      <c r="AL1484" s="13"/>
      <c r="AM1484" s="13"/>
      <c r="AN1484" s="13"/>
      <c r="AO1484" s="13"/>
      <c r="AP1484" s="13"/>
      <c r="AQ1484" s="14"/>
      <c r="AR1484" s="15"/>
    </row>
    <row r="1485" spans="1:44" s="17" customFormat="1" ht="30.95" hidden="1" customHeight="1" x14ac:dyDescent="0.2">
      <c r="A1485" s="343" t="s">
        <v>2781</v>
      </c>
      <c r="B1485" s="344" t="s">
        <v>2775</v>
      </c>
      <c r="C1485" s="345"/>
      <c r="D1485" s="398"/>
      <c r="E1485" s="31"/>
      <c r="F1485" s="268"/>
      <c r="G1485" s="269"/>
      <c r="H1485" s="269"/>
      <c r="I1485" s="270"/>
      <c r="J1485" s="32" t="s">
        <v>448</v>
      </c>
      <c r="K1485" s="270"/>
      <c r="L1485" s="270"/>
      <c r="M1485" s="39"/>
      <c r="N1485" s="39"/>
      <c r="O1485" s="47"/>
      <c r="P1485" s="57"/>
      <c r="Q1485" s="276"/>
      <c r="R1485" s="277"/>
      <c r="S1485" s="277"/>
      <c r="T1485" s="40"/>
      <c r="U1485" s="278"/>
      <c r="V1485" s="269"/>
      <c r="W1485" s="269"/>
      <c r="X1485" s="275"/>
      <c r="Y1485" s="269"/>
      <c r="Z1485" s="357"/>
      <c r="AA1485" s="207"/>
      <c r="AB1485" s="369"/>
      <c r="AC1485" s="370"/>
      <c r="AD1485" s="332"/>
      <c r="AE1485" s="216"/>
      <c r="AF1485" s="43"/>
      <c r="AG1485" s="47"/>
      <c r="AH1485" s="30"/>
      <c r="AI1485" s="30"/>
      <c r="AJ1485" s="30"/>
      <c r="AK1485" s="30"/>
      <c r="AL1485" s="13"/>
      <c r="AM1485" s="13"/>
      <c r="AN1485" s="13"/>
      <c r="AO1485" s="13"/>
      <c r="AP1485" s="13"/>
      <c r="AQ1485" s="14"/>
      <c r="AR1485" s="15"/>
    </row>
    <row r="1486" spans="1:44" s="17" customFormat="1" ht="30.95" hidden="1" customHeight="1" x14ac:dyDescent="0.2">
      <c r="A1486" s="343"/>
      <c r="B1486" s="344"/>
      <c r="C1486" s="345"/>
      <c r="D1486" s="398"/>
      <c r="E1486" s="31"/>
      <c r="F1486" s="268"/>
      <c r="G1486" s="269"/>
      <c r="H1486" s="269"/>
      <c r="I1486" s="270"/>
      <c r="J1486" s="32"/>
      <c r="K1486" s="270"/>
      <c r="L1486" s="270"/>
      <c r="M1486" s="39"/>
      <c r="N1486" s="39"/>
      <c r="O1486" s="47"/>
      <c r="P1486" s="57"/>
      <c r="Q1486" s="276"/>
      <c r="R1486" s="277"/>
      <c r="S1486" s="277"/>
      <c r="T1486" s="40"/>
      <c r="U1486" s="278"/>
      <c r="V1486" s="269"/>
      <c r="W1486" s="269"/>
      <c r="X1486" s="275"/>
      <c r="Y1486" s="269"/>
      <c r="Z1486" s="357"/>
      <c r="AA1486" s="207"/>
      <c r="AB1486" s="369"/>
      <c r="AC1486" s="370"/>
      <c r="AD1486" s="332"/>
      <c r="AE1486" s="216"/>
      <c r="AF1486" s="43"/>
      <c r="AG1486" s="47"/>
      <c r="AH1486" s="30"/>
      <c r="AI1486" s="30"/>
      <c r="AJ1486" s="30"/>
      <c r="AK1486" s="30"/>
      <c r="AL1486" s="13"/>
      <c r="AM1486" s="13"/>
      <c r="AN1486" s="13"/>
      <c r="AO1486" s="13"/>
      <c r="AP1486" s="13"/>
      <c r="AQ1486" s="14"/>
      <c r="AR1486" s="15"/>
    </row>
    <row r="1487" spans="1:44" s="17" customFormat="1" ht="30.95" hidden="1" customHeight="1" x14ac:dyDescent="0.2">
      <c r="A1487" s="343" t="s">
        <v>2767</v>
      </c>
      <c r="B1487" s="344" t="s">
        <v>2768</v>
      </c>
      <c r="C1487" s="345"/>
      <c r="D1487" s="398"/>
      <c r="E1487" s="31"/>
      <c r="F1487" s="268"/>
      <c r="G1487" s="269"/>
      <c r="H1487" s="269"/>
      <c r="I1487" s="270"/>
      <c r="J1487" s="32"/>
      <c r="K1487" s="270"/>
      <c r="L1487" s="270"/>
      <c r="M1487" s="39"/>
      <c r="N1487" s="39"/>
      <c r="O1487" s="47"/>
      <c r="P1487" s="57"/>
      <c r="Q1487" s="276"/>
      <c r="R1487" s="277"/>
      <c r="S1487" s="277"/>
      <c r="T1487" s="40"/>
      <c r="U1487" s="278"/>
      <c r="V1487" s="269"/>
      <c r="W1487" s="269"/>
      <c r="X1487" s="275"/>
      <c r="Y1487" s="269"/>
      <c r="Z1487" s="357"/>
      <c r="AA1487" s="207"/>
      <c r="AB1487" s="369"/>
      <c r="AC1487" s="370"/>
      <c r="AD1487" s="332"/>
      <c r="AE1487" s="216"/>
      <c r="AF1487" s="43"/>
      <c r="AG1487" s="47"/>
      <c r="AH1487" s="30"/>
      <c r="AI1487" s="30"/>
      <c r="AJ1487" s="30"/>
      <c r="AK1487" s="30"/>
      <c r="AL1487" s="13"/>
      <c r="AM1487" s="13"/>
      <c r="AN1487" s="13"/>
      <c r="AO1487" s="13"/>
      <c r="AP1487" s="13"/>
      <c r="AQ1487" s="14"/>
      <c r="AR1487" s="15"/>
    </row>
    <row r="1488" spans="1:44" s="17" customFormat="1" ht="30.95" hidden="1" customHeight="1" x14ac:dyDescent="0.2">
      <c r="A1488" s="343"/>
      <c r="B1488" s="344"/>
      <c r="C1488" s="345"/>
      <c r="D1488" s="398"/>
      <c r="E1488" s="31"/>
      <c r="F1488" s="268"/>
      <c r="G1488" s="269"/>
      <c r="H1488" s="269"/>
      <c r="I1488" s="270"/>
      <c r="J1488" s="32"/>
      <c r="K1488" s="270"/>
      <c r="L1488" s="270"/>
      <c r="M1488" s="39"/>
      <c r="N1488" s="39"/>
      <c r="O1488" s="47"/>
      <c r="P1488" s="57"/>
      <c r="Q1488" s="276"/>
      <c r="R1488" s="277"/>
      <c r="S1488" s="277"/>
      <c r="T1488" s="40"/>
      <c r="U1488" s="278"/>
      <c r="V1488" s="269"/>
      <c r="W1488" s="269"/>
      <c r="X1488" s="275"/>
      <c r="Y1488" s="269"/>
      <c r="Z1488" s="357"/>
      <c r="AA1488" s="207"/>
      <c r="AB1488" s="369"/>
      <c r="AC1488" s="370"/>
      <c r="AD1488" s="332"/>
      <c r="AE1488" s="216"/>
      <c r="AF1488" s="43"/>
      <c r="AG1488" s="47"/>
      <c r="AH1488" s="30"/>
      <c r="AI1488" s="30"/>
      <c r="AJ1488" s="30"/>
      <c r="AK1488" s="30"/>
      <c r="AL1488" s="13"/>
      <c r="AM1488" s="13"/>
      <c r="AN1488" s="13"/>
      <c r="AO1488" s="13"/>
      <c r="AP1488" s="13"/>
      <c r="AQ1488" s="14"/>
      <c r="AR1488" s="15"/>
    </row>
    <row r="1489" spans="1:44" s="17" customFormat="1" ht="30.95" hidden="1" customHeight="1" x14ac:dyDescent="0.2">
      <c r="A1489" s="343" t="s">
        <v>2788</v>
      </c>
      <c r="B1489" s="344" t="s">
        <v>2789</v>
      </c>
      <c r="C1489" s="345"/>
      <c r="D1489" s="398">
        <v>3754078</v>
      </c>
      <c r="E1489" s="31">
        <v>4151672</v>
      </c>
      <c r="F1489" s="268" t="str">
        <f>IF(D1489="","",VLOOKUP(D1489,契約台帳!$A$3:$K$4986,6,FALSE)&amp;VLOOKUP(D1489,契約台帳!$A$3:$K$4986,7,FALSE)&amp;VLOOKUP(D1489,契約台帳!$A$3:$K$4986,8,FALSE)&amp;VLOOKUP(D1489,契約台帳!$A$3:$K$4986,9,FALSE)&amp;VLOOKUP(D1489,契約台帳!$A$3:$K$4986,11,FALSE))</f>
        <v>3SNMLBMSF</v>
      </c>
      <c r="G1489" s="269" t="str">
        <f>IF(D1489="","",VLOOKUP(F1489,製品マスタ!$G$5:$H$5002,2,FALSE))</f>
        <v>S</v>
      </c>
      <c r="H1489" s="269" t="str">
        <f>IF(D1489="","",VLOOKUP(F1489,製品マスタ!$G$5:$K$5002,5,FALSE))</f>
        <v>MSF</v>
      </c>
      <c r="I1489" s="270" t="str">
        <f>IF(D1489="","",VLOOKUP(F1489,製品マスタ!$G$5:$L$5002,6,FALSE))</f>
        <v>メタルミー　Ｓ</v>
      </c>
      <c r="J1489" s="32" t="s">
        <v>447</v>
      </c>
      <c r="K1489" s="270">
        <f>IF(D1489="","",VLOOKUP(D1489,契約台帳!$A$3:$L$4986,12,FALSE))</f>
        <v>25</v>
      </c>
      <c r="L1489" s="270" t="str">
        <f>IF(D1489="","",INDEX(製品マスタ!$Q$5:$Q$5002,MATCH(F1489&amp;K1489,製品マスタ!$AO$5:$AO$5002,0)))</f>
        <v>T62M</v>
      </c>
      <c r="M1489" s="39">
        <v>1240</v>
      </c>
      <c r="N1489" s="39">
        <v>12200</v>
      </c>
      <c r="O1489" s="47">
        <v>1</v>
      </c>
      <c r="P1489" s="57"/>
      <c r="Q1489" s="276">
        <f>IF(D1489="","",IF(J1489="リード付け",M1489,VLOOKUP(D1489,契約台帳!$A$3:$N$4986,14,FALSE)))</f>
        <v>510</v>
      </c>
      <c r="R1489" s="277">
        <f>IF(D1489="","",IF(J1489="リード付け",M1489,VLOOKUP(D1489,契約台帳!$A$3:$O$4986,15,FALSE)))</f>
        <v>510</v>
      </c>
      <c r="S1489" s="277">
        <f>IF(D1489="","",IF(J1489="リード付け",N1489,VLOOKUP(D1489,契約台帳!$A$3:$P$4986,16,FALSE)))</f>
        <v>2000</v>
      </c>
      <c r="T1489" s="40">
        <v>12</v>
      </c>
      <c r="U1489" s="278">
        <f ca="1">IF(D1489="","",IF(OFFSET(D1489,-2,0)=D1489,"",VLOOKUP(D1489,契約台帳!$A$3:$R$4986,18,FALSE)))</f>
        <v>12</v>
      </c>
      <c r="V1489" s="269" t="str">
        <f>IF(J1489="巻返し",VLOOKUP(F1489&amp;K1489&amp;M1489,製品マスタ!$M$5:$AD$5002,18,FALSE),IF(J1489="リード付け","原反コア",IF(J1489="スリット",VLOOKUP(F1489&amp;K1489&amp;Q1489,製品マスタ!$N$5:$AD$5002,17,FALSE),"")))</f>
        <v>3ｲﾝﾁSｺｱ</v>
      </c>
      <c r="W1489" s="269">
        <v>515</v>
      </c>
      <c r="X1489" s="275">
        <f>IF(D1489="","",VLOOKUP(D1489,契約台帳!$A$3:$Q$4986,17,FALSE))</f>
        <v>1</v>
      </c>
      <c r="Y1489" s="269" t="str">
        <f>IF(D1489="","",VLOOKUP(D1489,契約台帳!$A$3:$E$4986,5,FALSE))</f>
        <v>日東シンコー㈱</v>
      </c>
      <c r="Z1489" s="357">
        <v>45425</v>
      </c>
      <c r="AA1489" s="207"/>
      <c r="AB1489" s="369"/>
      <c r="AC1489" s="370"/>
      <c r="AD1489" s="332" t="str">
        <f>IF(F1489="","",+F1489&amp;K1489)</f>
        <v>3SNMLBMSF25</v>
      </c>
      <c r="AE1489" s="216">
        <f>+M1489*N1489*O1489/1000</f>
        <v>15128</v>
      </c>
      <c r="AF1489" s="43">
        <f>IF(AD1489="","",VLOOKUP(AD1489,原価マスタ!$A$2:$AJ$1693,13,FALSE))</f>
        <v>97</v>
      </c>
      <c r="AG1489" s="47">
        <f>IF(AF1489="","",+AE1489*AF1489/100)</f>
        <v>14674.16</v>
      </c>
      <c r="AH1489" s="30"/>
      <c r="AI1489" s="30"/>
      <c r="AJ1489" s="30"/>
      <c r="AK1489" s="30"/>
      <c r="AL1489" s="13"/>
      <c r="AM1489" s="13"/>
      <c r="AN1489" s="13"/>
      <c r="AO1489" s="13"/>
      <c r="AP1489" s="13"/>
      <c r="AQ1489" s="14"/>
      <c r="AR1489" s="15"/>
    </row>
    <row r="1490" spans="1:44" s="17" customFormat="1" ht="30.95" hidden="1" customHeight="1" x14ac:dyDescent="0.2">
      <c r="A1490" s="343"/>
      <c r="B1490" s="344"/>
      <c r="C1490" s="345"/>
      <c r="D1490" s="398"/>
      <c r="E1490" s="31"/>
      <c r="F1490" s="268"/>
      <c r="G1490" s="269"/>
      <c r="H1490" s="269"/>
      <c r="I1490" s="270"/>
      <c r="J1490" s="32"/>
      <c r="K1490" s="270"/>
      <c r="L1490" s="270"/>
      <c r="M1490" s="39"/>
      <c r="N1490" s="39"/>
      <c r="O1490" s="47"/>
      <c r="P1490" s="57"/>
      <c r="Q1490" s="276"/>
      <c r="R1490" s="277"/>
      <c r="S1490" s="277"/>
      <c r="T1490" s="40"/>
      <c r="U1490" s="278"/>
      <c r="V1490" s="269"/>
      <c r="W1490" s="269"/>
      <c r="X1490" s="275"/>
      <c r="Y1490" s="269"/>
      <c r="Z1490" s="357"/>
      <c r="AA1490" s="207"/>
      <c r="AB1490" s="369"/>
      <c r="AC1490" s="370"/>
      <c r="AD1490" s="332"/>
      <c r="AE1490" s="216"/>
      <c r="AF1490" s="43"/>
      <c r="AG1490" s="47"/>
      <c r="AH1490" s="30"/>
      <c r="AI1490" s="30"/>
      <c r="AJ1490" s="30"/>
      <c r="AK1490" s="30"/>
      <c r="AL1490" s="13"/>
      <c r="AM1490" s="13"/>
      <c r="AN1490" s="13"/>
      <c r="AO1490" s="13"/>
      <c r="AP1490" s="13"/>
      <c r="AQ1490" s="14"/>
      <c r="AR1490" s="15"/>
    </row>
    <row r="1491" spans="1:44" s="17" customFormat="1" ht="30.95" hidden="1" customHeight="1" x14ac:dyDescent="0.2">
      <c r="A1491" s="343" t="s">
        <v>1118</v>
      </c>
      <c r="B1491" s="344" t="s">
        <v>443</v>
      </c>
      <c r="C1491" s="345"/>
      <c r="D1491" s="398">
        <v>3754079</v>
      </c>
      <c r="E1491" s="31">
        <v>4151673</v>
      </c>
      <c r="F1491" s="268" t="str">
        <f>IF(D1491="","",VLOOKUP(D1491,契約台帳!$A$3:$K$4986,6,FALSE)&amp;VLOOKUP(D1491,契約台帳!$A$3:$K$4986,7,FALSE)&amp;VLOOKUP(D1491,契約台帳!$A$3:$K$4986,8,FALSE)&amp;VLOOKUP(D1491,契約台帳!$A$3:$K$4986,9,FALSE)&amp;VLOOKUP(D1491,契約台帳!$A$3:$K$4986,11,FALSE))</f>
        <v>3SNMLBMSF</v>
      </c>
      <c r="G1491" s="269" t="str">
        <f>IF(D1491="","",VLOOKUP(F1491,製品マスタ!$G$5:$H$5002,2,FALSE))</f>
        <v>S</v>
      </c>
      <c r="H1491" s="269" t="str">
        <f>IF(D1491="","",VLOOKUP(F1491,製品マスタ!$G$5:$K$5002,5,FALSE))</f>
        <v>MSF</v>
      </c>
      <c r="I1491" s="270" t="str">
        <f>IF(D1491="","",VLOOKUP(F1491,製品マスタ!$G$5:$L$5002,6,FALSE))</f>
        <v>メタルミー　Ｓ</v>
      </c>
      <c r="J1491" s="32" t="s">
        <v>447</v>
      </c>
      <c r="K1491" s="270">
        <f>IF(D1491="","",VLOOKUP(D1491,契約台帳!$A$3:$L$4986,12,FALSE))</f>
        <v>25</v>
      </c>
      <c r="L1491" s="270" t="str">
        <f>IF(D1491="","",INDEX(製品マスタ!$Q$5:$Q$5002,MATCH(F1491&amp;K1491,製品マスタ!$AO$5:$AO$5002,0)))</f>
        <v>T62M</v>
      </c>
      <c r="M1491" s="39">
        <v>1240</v>
      </c>
      <c r="N1491" s="39">
        <v>12200</v>
      </c>
      <c r="O1491" s="47">
        <v>1</v>
      </c>
      <c r="P1491" s="57"/>
      <c r="Q1491" s="276">
        <f>IF(D1491="","",IF(J1491="リード付け",M1491,VLOOKUP(D1491,契約台帳!$A$3:$N$4986,14,FALSE)))</f>
        <v>1240</v>
      </c>
      <c r="R1491" s="277">
        <f>IF(D1491="","",IF(J1491="リード付け",M1491,VLOOKUP(D1491,契約台帳!$A$3:$O$4986,15,FALSE)))</f>
        <v>1240</v>
      </c>
      <c r="S1491" s="277">
        <f>IF(D1491="","",IF(J1491="リード付け",N1491,VLOOKUP(D1491,契約台帳!$A$3:$P$4986,16,FALSE)))</f>
        <v>2000</v>
      </c>
      <c r="T1491" s="40">
        <v>6</v>
      </c>
      <c r="U1491" s="278">
        <f ca="1">IF(D1491="","",IF(OFFSET(D1491,-2,0)=D1491,"",VLOOKUP(D1491,契約台帳!$A$3:$R$4986,18,FALSE)))</f>
        <v>6</v>
      </c>
      <c r="V1491" s="269" t="str">
        <f>IF(J1491="巻返し",VLOOKUP(F1491&amp;K1491&amp;M1491,製品マスタ!$M$5:$AD$5002,18,FALSE),IF(J1491="リード付け","原反コア",IF(J1491="スリット",VLOOKUP(F1491&amp;K1491&amp;Q1491,製品マスタ!$N$5:$AD$5002,17,FALSE),"")))</f>
        <v>3ｲﾝﾁSｺｱ</v>
      </c>
      <c r="W1491" s="269">
        <f>IF(J1491="巻返し",VLOOKUP(F1491&amp;K1491&amp;M1491,製品マスタ!$M$5:$AE$5002,19,FALSE),IF(J1491="リード付け","-",IF(J1491="スリット",VLOOKUP(F1491&amp;K1491&amp;Q1491,製品マスタ!$N$5:$AE$5002,18,FALSE),"")))</f>
        <v>1245</v>
      </c>
      <c r="X1491" s="275">
        <f>IF(D1491="","",VLOOKUP(D1491,契約台帳!$A$3:$Q$4986,17,FALSE))</f>
        <v>1</v>
      </c>
      <c r="Y1491" s="269" t="str">
        <f>IF(D1491="","",VLOOKUP(D1491,契約台帳!$A$3:$E$4986,5,FALSE))</f>
        <v>日精㈱東京支店</v>
      </c>
      <c r="Z1491" s="357">
        <v>45426</v>
      </c>
      <c r="AA1491" s="207"/>
      <c r="AB1491" s="369"/>
      <c r="AC1491" s="370"/>
      <c r="AD1491" s="332" t="str">
        <f>IF(F1491="","",+F1491&amp;K1491)</f>
        <v>3SNMLBMSF25</v>
      </c>
      <c r="AE1491" s="216">
        <f>+M1491*N1491*O1491/1000</f>
        <v>15128</v>
      </c>
      <c r="AF1491" s="43">
        <f>IF(AD1491="","",VLOOKUP(AD1491,原価マスタ!$A$2:$AJ$1693,13,FALSE))</f>
        <v>97</v>
      </c>
      <c r="AG1491" s="47">
        <f>IF(AF1491="","",+AE1491*AF1491/100)</f>
        <v>14674.16</v>
      </c>
      <c r="AH1491" s="30"/>
      <c r="AI1491" s="30"/>
      <c r="AJ1491" s="30"/>
      <c r="AK1491" s="30"/>
      <c r="AL1491" s="13"/>
      <c r="AM1491" s="13"/>
      <c r="AN1491" s="13"/>
      <c r="AO1491" s="13"/>
      <c r="AP1491" s="13"/>
      <c r="AQ1491" s="14"/>
      <c r="AR1491" s="15"/>
    </row>
    <row r="1492" spans="1:44" s="17" customFormat="1" ht="30.95" hidden="1" customHeight="1" x14ac:dyDescent="0.2">
      <c r="A1492" s="343"/>
      <c r="B1492" s="344"/>
      <c r="C1492" s="345"/>
      <c r="D1492" s="398"/>
      <c r="E1492" s="31"/>
      <c r="F1492" s="268"/>
      <c r="G1492" s="269"/>
      <c r="H1492" s="269"/>
      <c r="I1492" s="270"/>
      <c r="J1492" s="32"/>
      <c r="K1492" s="270"/>
      <c r="L1492" s="270"/>
      <c r="M1492" s="39"/>
      <c r="N1492" s="39"/>
      <c r="O1492" s="47"/>
      <c r="P1492" s="57"/>
      <c r="Q1492" s="276"/>
      <c r="R1492" s="277"/>
      <c r="S1492" s="277"/>
      <c r="T1492" s="40"/>
      <c r="U1492" s="278"/>
      <c r="V1492" s="269"/>
      <c r="W1492" s="269"/>
      <c r="X1492" s="275"/>
      <c r="Y1492" s="269"/>
      <c r="Z1492" s="357"/>
      <c r="AA1492" s="207"/>
      <c r="AB1492" s="369"/>
      <c r="AC1492" s="370"/>
      <c r="AD1492" s="332"/>
      <c r="AE1492" s="216"/>
      <c r="AF1492" s="43"/>
      <c r="AG1492" s="47"/>
      <c r="AH1492" s="30"/>
      <c r="AI1492" s="30"/>
      <c r="AJ1492" s="30"/>
      <c r="AK1492" s="30"/>
      <c r="AL1492" s="13"/>
      <c r="AM1492" s="13"/>
      <c r="AN1492" s="13"/>
      <c r="AO1492" s="13"/>
      <c r="AP1492" s="13"/>
      <c r="AQ1492" s="14"/>
      <c r="AR1492" s="15"/>
    </row>
    <row r="1493" spans="1:44" s="17" customFormat="1" ht="30.95" hidden="1" customHeight="1" x14ac:dyDescent="0.2">
      <c r="A1493" s="343"/>
      <c r="B1493" s="344"/>
      <c r="C1493" s="345"/>
      <c r="D1493" s="398">
        <v>3754086</v>
      </c>
      <c r="E1493" s="31">
        <v>4151674</v>
      </c>
      <c r="F1493" s="268" t="str">
        <f>IF(D1493="","",VLOOKUP(D1493,契約台帳!$A$3:$K$4986,6,FALSE)&amp;VLOOKUP(D1493,契約台帳!$A$3:$K$4986,7,FALSE)&amp;VLOOKUP(D1493,契約台帳!$A$3:$K$4986,8,FALSE)&amp;VLOOKUP(D1493,契約台帳!$A$3:$K$4986,9,FALSE)&amp;VLOOKUP(D1493,契約台帳!$A$3:$K$4986,11,FALSE))</f>
        <v>3SNMLBMNGTBF</v>
      </c>
      <c r="G1493" s="269" t="str">
        <f>IF(D1493="","",VLOOKUP(F1493,製品マスタ!$G$5:$H$5002,2,FALSE))</f>
        <v>S</v>
      </c>
      <c r="H1493" s="269" t="str">
        <f>IF(D1493="","",VLOOKUP(F1493,製品マスタ!$G$5:$K$5002,5,FALSE))</f>
        <v>MNGTBF</v>
      </c>
      <c r="I1493" s="270" t="str">
        <f>IF(D1493="","",VLOOKUP(F1493,製品マスタ!$G$5:$L$5002,6,FALSE))</f>
        <v>メタルミー　ネーマー　銀艶　Ｂ</v>
      </c>
      <c r="J1493" s="32" t="s">
        <v>447</v>
      </c>
      <c r="K1493" s="270">
        <f>IF(D1493="","",VLOOKUP(D1493,契約台帳!$A$3:$L$4986,12,FALSE))</f>
        <v>25</v>
      </c>
      <c r="L1493" s="270" t="str">
        <f>IF(D1493="","",INDEX(製品マスタ!$Q$5:$Q$5002,MATCH(F1493&amp;K1493,製品マスタ!$AO$5:$AO$5002,0)))</f>
        <v>T62M</v>
      </c>
      <c r="M1493" s="39">
        <v>1005</v>
      </c>
      <c r="N1493" s="39">
        <v>12100</v>
      </c>
      <c r="O1493" s="47">
        <v>1</v>
      </c>
      <c r="P1493" s="57"/>
      <c r="Q1493" s="276">
        <f>IF(D1493="","",IF(J1493="リード付け",M1493,VLOOKUP(D1493,契約台帳!$A$3:$N$4986,14,FALSE)))</f>
        <v>1005</v>
      </c>
      <c r="R1493" s="277">
        <f>IF(D1493="","",IF(J1493="リード付け",M1493,VLOOKUP(D1493,契約台帳!$A$3:$O$4986,15,FALSE)))</f>
        <v>1000</v>
      </c>
      <c r="S1493" s="277">
        <f>IF(D1493="","",IF(J1493="リード付け",N1493,VLOOKUP(D1493,契約台帳!$A$3:$P$4986,16,FALSE)))</f>
        <v>4000</v>
      </c>
      <c r="T1493" s="40">
        <v>3</v>
      </c>
      <c r="U1493" s="278">
        <f ca="1">IF(D1493="","",IF(OFFSET(D1493,-2,0)=D1493,"",VLOOKUP(D1493,契約台帳!$A$3:$R$4986,18,FALSE)))</f>
        <v>15</v>
      </c>
      <c r="V1493" s="269" t="str">
        <f>IF(J1493="巻返し",VLOOKUP(F1493&amp;K1493&amp;M1493,製品マスタ!$M$5:$AD$5002,18,FALSE),IF(J1493="リード付け","原反コア",IF(J1493="スリット",VLOOKUP(F1493&amp;K1493&amp;Q1493,製品マスタ!$N$5:$AD$5002,17,FALSE),"")))</f>
        <v>6ｲﾝﾁSｺｱ</v>
      </c>
      <c r="W1493" s="269">
        <f>IF(J1493="巻返し",VLOOKUP(F1493&amp;K1493&amp;M1493,製品マスタ!$M$5:$AE$5002,19,FALSE),IF(J1493="リード付け","-",IF(J1493="スリット",VLOOKUP(F1493&amp;K1493&amp;Q1493,製品マスタ!$N$5:$AE$5002,18,FALSE),"")))</f>
        <v>1015</v>
      </c>
      <c r="X1493" s="275">
        <f>IF(D1493="","",VLOOKUP(D1493,契約台帳!$A$3:$Q$4986,17,FALSE))</f>
        <v>2</v>
      </c>
      <c r="Y1493" s="269" t="str">
        <f>IF(D1493="","",VLOOKUP(D1493,契約台帳!$A$3:$E$4986,5,FALSE))</f>
        <v>リンテック㈱</v>
      </c>
      <c r="Z1493" s="357">
        <v>45426</v>
      </c>
      <c r="AA1493" s="207"/>
      <c r="AB1493" s="369"/>
      <c r="AC1493" s="370"/>
      <c r="AD1493" s="332" t="str">
        <f>IF(F1493="","",+F1493&amp;K1493)</f>
        <v>3SNMLBMNGTBF25</v>
      </c>
      <c r="AE1493" s="216">
        <f>+M1493*N1493*O1493/1000</f>
        <v>12160.5</v>
      </c>
      <c r="AF1493" s="43">
        <f>IF(AD1493="","",VLOOKUP(AD1493,原価マスタ!$A$2:$AJ$1693,13,FALSE))</f>
        <v>97.5</v>
      </c>
      <c r="AG1493" s="47">
        <f>IF(AF1493="","",+AE1493*AF1493/100)</f>
        <v>11856.487499999999</v>
      </c>
      <c r="AH1493" s="30"/>
      <c r="AI1493" s="30"/>
      <c r="AJ1493" s="30"/>
      <c r="AK1493" s="30"/>
      <c r="AL1493" s="13"/>
      <c r="AM1493" s="13"/>
      <c r="AN1493" s="13"/>
      <c r="AO1493" s="13"/>
      <c r="AP1493" s="13"/>
      <c r="AQ1493" s="14"/>
      <c r="AR1493" s="15"/>
    </row>
    <row r="1494" spans="1:44" s="17" customFormat="1" ht="30.95" hidden="1" customHeight="1" x14ac:dyDescent="0.2">
      <c r="A1494" s="343"/>
      <c r="B1494" s="344"/>
      <c r="C1494" s="345"/>
      <c r="D1494" s="398"/>
      <c r="E1494" s="31"/>
      <c r="F1494" s="268"/>
      <c r="G1494" s="269"/>
      <c r="H1494" s="269"/>
      <c r="I1494" s="270"/>
      <c r="J1494" s="32"/>
      <c r="K1494" s="270"/>
      <c r="L1494" s="270"/>
      <c r="M1494" s="39"/>
      <c r="N1494" s="39"/>
      <c r="O1494" s="47"/>
      <c r="P1494" s="57"/>
      <c r="Q1494" s="276"/>
      <c r="R1494" s="277"/>
      <c r="S1494" s="277"/>
      <c r="T1494" s="40"/>
      <c r="U1494" s="278"/>
      <c r="V1494" s="269"/>
      <c r="W1494" s="269"/>
      <c r="X1494" s="275"/>
      <c r="Y1494" s="269"/>
      <c r="Z1494" s="357"/>
      <c r="AA1494" s="207"/>
      <c r="AB1494" s="369"/>
      <c r="AC1494" s="370"/>
      <c r="AD1494" s="332"/>
      <c r="AE1494" s="216"/>
      <c r="AF1494" s="43"/>
      <c r="AG1494" s="47"/>
      <c r="AH1494" s="30"/>
      <c r="AI1494" s="30"/>
      <c r="AJ1494" s="30"/>
      <c r="AK1494" s="30"/>
      <c r="AL1494" s="13"/>
      <c r="AM1494" s="13"/>
      <c r="AN1494" s="13"/>
      <c r="AO1494" s="13"/>
      <c r="AP1494" s="13"/>
      <c r="AQ1494" s="14"/>
      <c r="AR1494" s="15"/>
    </row>
    <row r="1495" spans="1:44" s="17" customFormat="1" ht="30.95" hidden="1" customHeight="1" x14ac:dyDescent="0.2">
      <c r="A1495" s="343" t="s">
        <v>2815</v>
      </c>
      <c r="B1495" s="344" t="s">
        <v>2816</v>
      </c>
      <c r="C1495" s="345"/>
      <c r="D1495" s="398">
        <v>3754086</v>
      </c>
      <c r="E1495" s="31">
        <v>4151674</v>
      </c>
      <c r="F1495" s="268" t="str">
        <f>IF(D1495="","",VLOOKUP(D1495,契約台帳!$A$3:$K$4986,6,FALSE)&amp;VLOOKUP(D1495,契約台帳!$A$3:$K$4986,7,FALSE)&amp;VLOOKUP(D1495,契約台帳!$A$3:$K$4986,8,FALSE)&amp;VLOOKUP(D1495,契約台帳!$A$3:$K$4986,9,FALSE)&amp;VLOOKUP(D1495,契約台帳!$A$3:$K$4986,11,FALSE))</f>
        <v>3SNMLBMNGTBF</v>
      </c>
      <c r="G1495" s="269" t="str">
        <f>IF(D1495="","",VLOOKUP(F1495,製品マスタ!$G$5:$H$5002,2,FALSE))</f>
        <v>S</v>
      </c>
      <c r="H1495" s="269" t="str">
        <f>IF(D1495="","",VLOOKUP(F1495,製品マスタ!$G$5:$K$5002,5,FALSE))</f>
        <v>MNGTBF</v>
      </c>
      <c r="I1495" s="270" t="str">
        <f>IF(D1495="","",VLOOKUP(F1495,製品マスタ!$G$5:$L$5002,6,FALSE))</f>
        <v>メタルミー　ネーマー　銀艶　Ｂ</v>
      </c>
      <c r="J1495" s="32" t="s">
        <v>447</v>
      </c>
      <c r="K1495" s="270">
        <f>IF(D1495="","",VLOOKUP(D1495,契約台帳!$A$3:$L$4986,12,FALSE))</f>
        <v>25</v>
      </c>
      <c r="L1495" s="270" t="str">
        <f>IF(D1495="","",INDEX(製品マスタ!$Q$5:$Q$5002,MATCH(F1495&amp;K1495,製品マスタ!$AO$5:$AO$5002,0)))</f>
        <v>T62M</v>
      </c>
      <c r="M1495" s="39">
        <v>1005</v>
      </c>
      <c r="N1495" s="39">
        <v>12100</v>
      </c>
      <c r="O1495" s="47">
        <v>1</v>
      </c>
      <c r="P1495" s="57"/>
      <c r="Q1495" s="276">
        <f>IF(D1495="","",IF(J1495="リード付け",M1495,VLOOKUP(D1495,契約台帳!$A$3:$N$4986,14,FALSE)))</f>
        <v>1005</v>
      </c>
      <c r="R1495" s="277">
        <f>IF(D1495="","",IF(J1495="リード付け",M1495,VLOOKUP(D1495,契約台帳!$A$3:$O$4986,15,FALSE)))</f>
        <v>1000</v>
      </c>
      <c r="S1495" s="277">
        <f>IF(D1495="","",IF(J1495="リード付け",N1495,VLOOKUP(D1495,契約台帳!$A$3:$P$4986,16,FALSE)))</f>
        <v>4000</v>
      </c>
      <c r="T1495" s="40">
        <v>3</v>
      </c>
      <c r="U1495" s="278" t="str">
        <f ca="1">IF(D1495="","",IF(OFFSET(D1495,-2,0)=D1495,"",VLOOKUP(D1495,契約台帳!$A$3:$R$4986,18,FALSE)))</f>
        <v/>
      </c>
      <c r="V1495" s="269" t="str">
        <f>IF(J1495="巻返し",VLOOKUP(F1495&amp;K1495&amp;M1495,製品マスタ!$M$5:$AD$5002,18,FALSE),IF(J1495="リード付け","原反コア",IF(J1495="スリット",VLOOKUP(F1495&amp;K1495&amp;Q1495,製品マスタ!$N$5:$AD$5002,17,FALSE),"")))</f>
        <v>6ｲﾝﾁSｺｱ</v>
      </c>
      <c r="W1495" s="269">
        <f>IF(J1495="巻返し",VLOOKUP(F1495&amp;K1495&amp;M1495,製品マスタ!$M$5:$AE$5002,19,FALSE),IF(J1495="リード付け","-",IF(J1495="スリット",VLOOKUP(F1495&amp;K1495&amp;Q1495,製品マスタ!$N$5:$AE$5002,18,FALSE),"")))</f>
        <v>1015</v>
      </c>
      <c r="X1495" s="275">
        <f>IF(D1495="","",VLOOKUP(D1495,契約台帳!$A$3:$Q$4986,17,FALSE))</f>
        <v>2</v>
      </c>
      <c r="Y1495" s="269" t="str">
        <f>IF(D1495="","",VLOOKUP(D1495,契約台帳!$A$3:$E$4986,5,FALSE))</f>
        <v>リンテック㈱</v>
      </c>
      <c r="Z1495" s="357">
        <v>45427</v>
      </c>
      <c r="AA1495" s="207"/>
      <c r="AB1495" s="369"/>
      <c r="AC1495" s="370"/>
      <c r="AD1495" s="332" t="str">
        <f>IF(F1495="","",+F1495&amp;K1495)</f>
        <v>3SNMLBMNGTBF25</v>
      </c>
      <c r="AE1495" s="216">
        <f>+M1495*N1495*O1495/1000</f>
        <v>12160.5</v>
      </c>
      <c r="AF1495" s="43">
        <f>IF(AD1495="","",VLOOKUP(AD1495,原価マスタ!$A$2:$AJ$1693,13,FALSE))</f>
        <v>97.5</v>
      </c>
      <c r="AG1495" s="47">
        <f>IF(AF1495="","",+AE1495*AF1495/100)</f>
        <v>11856.487499999999</v>
      </c>
      <c r="AH1495" s="30"/>
      <c r="AI1495" s="30"/>
      <c r="AJ1495" s="30"/>
      <c r="AK1495" s="30"/>
      <c r="AL1495" s="13"/>
      <c r="AM1495" s="13"/>
      <c r="AN1495" s="13"/>
      <c r="AO1495" s="13"/>
      <c r="AP1495" s="13"/>
      <c r="AQ1495" s="14"/>
      <c r="AR1495" s="15"/>
    </row>
    <row r="1496" spans="1:44" s="17" customFormat="1" ht="30.95" hidden="1" customHeight="1" x14ac:dyDescent="0.2">
      <c r="A1496" s="343"/>
      <c r="B1496" s="344"/>
      <c r="C1496" s="345"/>
      <c r="D1496" s="398"/>
      <c r="E1496" s="31"/>
      <c r="F1496" s="268"/>
      <c r="G1496" s="269"/>
      <c r="H1496" s="269"/>
      <c r="I1496" s="270"/>
      <c r="J1496" s="32"/>
      <c r="K1496" s="270"/>
      <c r="L1496" s="270"/>
      <c r="M1496" s="39"/>
      <c r="N1496" s="39"/>
      <c r="O1496" s="47"/>
      <c r="P1496" s="57"/>
      <c r="Q1496" s="276"/>
      <c r="R1496" s="277"/>
      <c r="S1496" s="277"/>
      <c r="T1496" s="40"/>
      <c r="U1496" s="278"/>
      <c r="V1496" s="269"/>
      <c r="W1496" s="269"/>
      <c r="X1496" s="275"/>
      <c r="Y1496" s="269"/>
      <c r="Z1496" s="357"/>
      <c r="AA1496" s="207"/>
      <c r="AB1496" s="369"/>
      <c r="AC1496" s="370"/>
      <c r="AD1496" s="332"/>
      <c r="AE1496" s="216"/>
      <c r="AF1496" s="43"/>
      <c r="AG1496" s="47"/>
      <c r="AH1496" s="30"/>
      <c r="AI1496" s="30"/>
      <c r="AJ1496" s="30"/>
      <c r="AK1496" s="30"/>
      <c r="AL1496" s="13"/>
      <c r="AM1496" s="13"/>
      <c r="AN1496" s="13"/>
      <c r="AO1496" s="13"/>
      <c r="AP1496" s="13"/>
      <c r="AQ1496" s="14"/>
      <c r="AR1496" s="15"/>
    </row>
    <row r="1497" spans="1:44" s="17" customFormat="1" ht="30.95" hidden="1" customHeight="1" x14ac:dyDescent="0.2">
      <c r="A1497" s="343"/>
      <c r="B1497" s="344"/>
      <c r="C1497" s="345"/>
      <c r="D1497" s="398"/>
      <c r="E1497" s="31"/>
      <c r="F1497" s="268"/>
      <c r="G1497" s="269"/>
      <c r="H1497" s="269"/>
      <c r="I1497" s="270" t="s">
        <v>2822</v>
      </c>
      <c r="J1497" s="32"/>
      <c r="K1497" s="270"/>
      <c r="L1497" s="270"/>
      <c r="M1497" s="39"/>
      <c r="N1497" s="39"/>
      <c r="O1497" s="47"/>
      <c r="P1497" s="57"/>
      <c r="Q1497" s="276"/>
      <c r="R1497" s="277"/>
      <c r="S1497" s="277"/>
      <c r="T1497" s="40"/>
      <c r="U1497" s="278"/>
      <c r="V1497" s="269"/>
      <c r="W1497" s="269"/>
      <c r="X1497" s="275"/>
      <c r="Y1497" s="269"/>
      <c r="Z1497" s="357"/>
      <c r="AA1497" s="207"/>
      <c r="AB1497" s="369"/>
      <c r="AC1497" s="370"/>
      <c r="AD1497" s="332"/>
      <c r="AE1497" s="216"/>
      <c r="AF1497" s="43"/>
      <c r="AG1497" s="47"/>
      <c r="AH1497" s="30"/>
      <c r="AI1497" s="30"/>
      <c r="AJ1497" s="30"/>
      <c r="AK1497" s="30"/>
      <c r="AL1497" s="13"/>
      <c r="AM1497" s="13"/>
      <c r="AN1497" s="13"/>
      <c r="AO1497" s="13"/>
      <c r="AP1497" s="13"/>
      <c r="AQ1497" s="14"/>
      <c r="AR1497" s="15"/>
    </row>
    <row r="1498" spans="1:44" s="17" customFormat="1" ht="30.95" hidden="1" customHeight="1" x14ac:dyDescent="0.2">
      <c r="A1498" s="343"/>
      <c r="B1498" s="344"/>
      <c r="C1498" s="345"/>
      <c r="D1498" s="398"/>
      <c r="E1498" s="31"/>
      <c r="F1498" s="268"/>
      <c r="G1498" s="269"/>
      <c r="H1498" s="269"/>
      <c r="I1498" s="270"/>
      <c r="J1498" s="32"/>
      <c r="K1498" s="270"/>
      <c r="L1498" s="270"/>
      <c r="M1498" s="39"/>
      <c r="N1498" s="39"/>
      <c r="O1498" s="47"/>
      <c r="P1498" s="57"/>
      <c r="Q1498" s="276"/>
      <c r="R1498" s="277"/>
      <c r="S1498" s="277"/>
      <c r="T1498" s="40"/>
      <c r="U1498" s="278"/>
      <c r="V1498" s="269"/>
      <c r="W1498" s="269"/>
      <c r="X1498" s="275"/>
      <c r="Y1498" s="269"/>
      <c r="Z1498" s="357"/>
      <c r="AA1498" s="207"/>
      <c r="AB1498" s="369"/>
      <c r="AC1498" s="370"/>
      <c r="AD1498" s="332"/>
      <c r="AE1498" s="216"/>
      <c r="AF1498" s="43"/>
      <c r="AG1498" s="47"/>
      <c r="AH1498" s="30"/>
      <c r="AI1498" s="30"/>
      <c r="AJ1498" s="30"/>
      <c r="AK1498" s="30"/>
      <c r="AL1498" s="13"/>
      <c r="AM1498" s="13"/>
      <c r="AN1498" s="13"/>
      <c r="AO1498" s="13"/>
      <c r="AP1498" s="13"/>
      <c r="AQ1498" s="14"/>
      <c r="AR1498" s="15"/>
    </row>
    <row r="1499" spans="1:44" s="17" customFormat="1" ht="30.95" hidden="1" customHeight="1" x14ac:dyDescent="0.2">
      <c r="A1499" s="343"/>
      <c r="B1499" s="344"/>
      <c r="C1499" s="345"/>
      <c r="D1499" s="398">
        <v>3754086</v>
      </c>
      <c r="E1499" s="31">
        <v>4151674</v>
      </c>
      <c r="F1499" s="268" t="str">
        <f>IF(D1499="","",VLOOKUP(D1499,契約台帳!$A$3:$K$4986,6,FALSE)&amp;VLOOKUP(D1499,契約台帳!$A$3:$K$4986,7,FALSE)&amp;VLOOKUP(D1499,契約台帳!$A$3:$K$4986,8,FALSE)&amp;VLOOKUP(D1499,契約台帳!$A$3:$K$4986,9,FALSE)&amp;VLOOKUP(D1499,契約台帳!$A$3:$K$4986,11,FALSE))</f>
        <v>3SNMLBMNGTBF</v>
      </c>
      <c r="G1499" s="269" t="str">
        <f>IF(D1499="","",VLOOKUP(F1499,製品マスタ!$G$5:$H$5002,2,FALSE))</f>
        <v>S</v>
      </c>
      <c r="H1499" s="269" t="str">
        <f>IF(D1499="","",VLOOKUP(F1499,製品マスタ!$G$5:$K$5002,5,FALSE))</f>
        <v>MNGTBF</v>
      </c>
      <c r="I1499" s="270" t="str">
        <f>IF(D1499="","",VLOOKUP(F1499,製品マスタ!$G$5:$L$5002,6,FALSE))</f>
        <v>メタルミー　ネーマー　銀艶　Ｂ</v>
      </c>
      <c r="J1499" s="32" t="s">
        <v>447</v>
      </c>
      <c r="K1499" s="270">
        <f>IF(D1499="","",VLOOKUP(D1499,契約台帳!$A$3:$L$4986,12,FALSE))</f>
        <v>25</v>
      </c>
      <c r="L1499" s="270" t="str">
        <f>IF(D1499="","",INDEX(製品マスタ!$Q$5:$Q$5002,MATCH(F1499&amp;K1499,製品マスタ!$AO$5:$AO$5002,0)))</f>
        <v>T62M</v>
      </c>
      <c r="M1499" s="39">
        <v>1005</v>
      </c>
      <c r="N1499" s="39">
        <v>12100</v>
      </c>
      <c r="O1499" s="47">
        <v>2</v>
      </c>
      <c r="P1499" s="57"/>
      <c r="Q1499" s="276">
        <f>IF(D1499="","",IF(J1499="リード付け",M1499,VLOOKUP(D1499,契約台帳!$A$3:$N$4986,14,FALSE)))</f>
        <v>1005</v>
      </c>
      <c r="R1499" s="277">
        <f>IF(D1499="","",IF(J1499="リード付け",M1499,VLOOKUP(D1499,契約台帳!$A$3:$O$4986,15,FALSE)))</f>
        <v>1000</v>
      </c>
      <c r="S1499" s="277">
        <f>IF(D1499="","",IF(J1499="リード付け",N1499,VLOOKUP(D1499,契約台帳!$A$3:$P$4986,16,FALSE)))</f>
        <v>4000</v>
      </c>
      <c r="T1499" s="40">
        <v>6</v>
      </c>
      <c r="U1499" s="278">
        <f ca="1">IF(D1499="","",IF(OFFSET(D1499,-2,0)=D1499,"",VLOOKUP(D1499,契約台帳!$A$3:$R$4986,18,FALSE)))</f>
        <v>15</v>
      </c>
      <c r="V1499" s="269" t="str">
        <f>IF(J1499="巻返し",VLOOKUP(F1499&amp;K1499&amp;M1499,製品マスタ!$M$5:$AD$5002,18,FALSE),IF(J1499="リード付け","原反コア",IF(J1499="スリット",VLOOKUP(F1499&amp;K1499&amp;Q1499,製品マスタ!$N$5:$AD$5002,17,FALSE),"")))</f>
        <v>6ｲﾝﾁSｺｱ</v>
      </c>
      <c r="W1499" s="269">
        <f>IF(J1499="巻返し",VLOOKUP(F1499&amp;K1499&amp;M1499,製品マスタ!$M$5:$AE$5002,19,FALSE),IF(J1499="リード付け","-",IF(J1499="スリット",VLOOKUP(F1499&amp;K1499&amp;Q1499,製品マスタ!$N$5:$AE$5002,18,FALSE),"")))</f>
        <v>1015</v>
      </c>
      <c r="X1499" s="275">
        <f>IF(D1499="","",VLOOKUP(D1499,契約台帳!$A$3:$Q$4986,17,FALSE))</f>
        <v>2</v>
      </c>
      <c r="Y1499" s="269" t="str">
        <f>IF(D1499="","",VLOOKUP(D1499,契約台帳!$A$3:$E$4986,5,FALSE))</f>
        <v>リンテック㈱</v>
      </c>
      <c r="Z1499" s="357">
        <v>45427</v>
      </c>
      <c r="AA1499" s="207"/>
      <c r="AB1499" s="369"/>
      <c r="AC1499" s="370"/>
      <c r="AD1499" s="332" t="str">
        <f>IF(F1499="","",+F1499&amp;K1499)</f>
        <v>3SNMLBMNGTBF25</v>
      </c>
      <c r="AE1499" s="216">
        <f>+M1499*N1499*O1499/1000</f>
        <v>24321</v>
      </c>
      <c r="AF1499" s="43">
        <f>IF(AD1499="","",VLOOKUP(AD1499,原価マスタ!$A$2:$AJ$1693,13,FALSE))</f>
        <v>97.5</v>
      </c>
      <c r="AG1499" s="47">
        <f>IF(AF1499="","",+AE1499*AF1499/100)</f>
        <v>23712.974999999999</v>
      </c>
      <c r="AH1499" s="30"/>
      <c r="AI1499" s="30"/>
      <c r="AJ1499" s="30"/>
      <c r="AK1499" s="30"/>
      <c r="AL1499" s="13"/>
      <c r="AM1499" s="13"/>
      <c r="AN1499" s="13"/>
      <c r="AO1499" s="13"/>
      <c r="AP1499" s="13"/>
      <c r="AQ1499" s="14"/>
      <c r="AR1499" s="15"/>
    </row>
    <row r="1500" spans="1:44" s="17" customFormat="1" ht="30.95" hidden="1" customHeight="1" x14ac:dyDescent="0.2">
      <c r="A1500" s="343"/>
      <c r="B1500" s="344"/>
      <c r="C1500" s="345"/>
      <c r="D1500" s="398"/>
      <c r="E1500" s="31"/>
      <c r="F1500" s="268"/>
      <c r="G1500" s="269"/>
      <c r="H1500" s="269"/>
      <c r="I1500" s="270"/>
      <c r="J1500" s="32"/>
      <c r="K1500" s="270"/>
      <c r="L1500" s="270"/>
      <c r="M1500" s="39"/>
      <c r="N1500" s="39"/>
      <c r="O1500" s="47"/>
      <c r="P1500" s="57"/>
      <c r="Q1500" s="276"/>
      <c r="R1500" s="277"/>
      <c r="S1500" s="277"/>
      <c r="T1500" s="40"/>
      <c r="U1500" s="278"/>
      <c r="V1500" s="269"/>
      <c r="W1500" s="269"/>
      <c r="X1500" s="275"/>
      <c r="Y1500" s="269"/>
      <c r="Z1500" s="357"/>
      <c r="AA1500" s="207"/>
      <c r="AB1500" s="369"/>
      <c r="AC1500" s="370"/>
      <c r="AD1500" s="332"/>
      <c r="AE1500" s="216"/>
      <c r="AF1500" s="43"/>
      <c r="AG1500" s="47"/>
      <c r="AH1500" s="30"/>
      <c r="AI1500" s="30"/>
      <c r="AJ1500" s="30"/>
      <c r="AK1500" s="30"/>
      <c r="AL1500" s="13"/>
      <c r="AM1500" s="13"/>
      <c r="AN1500" s="13"/>
      <c r="AO1500" s="13"/>
      <c r="AP1500" s="13"/>
      <c r="AQ1500" s="14"/>
      <c r="AR1500" s="15"/>
    </row>
    <row r="1501" spans="1:44" s="17" customFormat="1" ht="30.95" hidden="1" customHeight="1" x14ac:dyDescent="0.2">
      <c r="A1501" s="343" t="s">
        <v>2820</v>
      </c>
      <c r="B1501" s="344" t="s">
        <v>2821</v>
      </c>
      <c r="C1501" s="345"/>
      <c r="D1501" s="398">
        <v>3754086</v>
      </c>
      <c r="E1501" s="31">
        <v>4151674</v>
      </c>
      <c r="F1501" s="268" t="str">
        <f>IF(D1501="","",VLOOKUP(D1501,契約台帳!$A$3:$K$4986,6,FALSE)&amp;VLOOKUP(D1501,契約台帳!$A$3:$K$4986,7,FALSE)&amp;VLOOKUP(D1501,契約台帳!$A$3:$K$4986,8,FALSE)&amp;VLOOKUP(D1501,契約台帳!$A$3:$K$4986,9,FALSE)&amp;VLOOKUP(D1501,契約台帳!$A$3:$K$4986,11,FALSE))</f>
        <v>3SNMLBMNGTBF</v>
      </c>
      <c r="G1501" s="269" t="str">
        <f>IF(D1501="","",VLOOKUP(F1501,製品マスタ!$G$5:$H$5002,2,FALSE))</f>
        <v>S</v>
      </c>
      <c r="H1501" s="269" t="str">
        <f>IF(D1501="","",VLOOKUP(F1501,製品マスタ!$G$5:$K$5002,5,FALSE))</f>
        <v>MNGTBF</v>
      </c>
      <c r="I1501" s="270" t="str">
        <f>IF(D1501="","",VLOOKUP(F1501,製品マスタ!$G$5:$L$5002,6,FALSE))</f>
        <v>メタルミー　ネーマー　銀艶　Ｂ</v>
      </c>
      <c r="J1501" s="32" t="s">
        <v>447</v>
      </c>
      <c r="K1501" s="270">
        <f>IF(D1501="","",VLOOKUP(D1501,契約台帳!$A$3:$L$4986,12,FALSE))</f>
        <v>25</v>
      </c>
      <c r="L1501" s="270" t="str">
        <f>IF(D1501="","",INDEX(製品マスタ!$Q$5:$Q$5002,MATCH(F1501&amp;K1501,製品マスタ!$AO$5:$AO$5002,0)))</f>
        <v>T62M</v>
      </c>
      <c r="M1501" s="39">
        <v>1005</v>
      </c>
      <c r="N1501" s="39">
        <v>12100</v>
      </c>
      <c r="O1501" s="47">
        <v>1</v>
      </c>
      <c r="P1501" s="57"/>
      <c r="Q1501" s="276">
        <f>IF(D1501="","",IF(J1501="リード付け",M1501,VLOOKUP(D1501,契約台帳!$A$3:$N$4986,14,FALSE)))</f>
        <v>1005</v>
      </c>
      <c r="R1501" s="277">
        <f>IF(D1501="","",IF(J1501="リード付け",M1501,VLOOKUP(D1501,契約台帳!$A$3:$O$4986,15,FALSE)))</f>
        <v>1000</v>
      </c>
      <c r="S1501" s="277">
        <f>IF(D1501="","",IF(J1501="リード付け",N1501,VLOOKUP(D1501,契約台帳!$A$3:$P$4986,16,FALSE)))</f>
        <v>4000</v>
      </c>
      <c r="T1501" s="40">
        <v>3</v>
      </c>
      <c r="U1501" s="278" t="str">
        <f ca="1">IF(D1501="","",IF(OFFSET(D1501,-2,0)=D1501,"",VLOOKUP(D1501,契約台帳!$A$3:$R$4986,18,FALSE)))</f>
        <v/>
      </c>
      <c r="V1501" s="269" t="str">
        <f>IF(J1501="巻返し",VLOOKUP(F1501&amp;K1501&amp;M1501,製品マスタ!$M$5:$AD$5002,18,FALSE),IF(J1501="リード付け","原反コア",IF(J1501="スリット",VLOOKUP(F1501&amp;K1501&amp;Q1501,製品マスタ!$N$5:$AD$5002,17,FALSE),"")))</f>
        <v>6ｲﾝﾁSｺｱ</v>
      </c>
      <c r="W1501" s="269">
        <f>IF(J1501="巻返し",VLOOKUP(F1501&amp;K1501&amp;M1501,製品マスタ!$M$5:$AE$5002,19,FALSE),IF(J1501="リード付け","-",IF(J1501="スリット",VLOOKUP(F1501&amp;K1501&amp;Q1501,製品マスタ!$N$5:$AE$5002,18,FALSE),"")))</f>
        <v>1015</v>
      </c>
      <c r="X1501" s="275">
        <f>IF(D1501="","",VLOOKUP(D1501,契約台帳!$A$3:$Q$4986,17,FALSE))</f>
        <v>2</v>
      </c>
      <c r="Y1501" s="269" t="str">
        <f>IF(D1501="","",VLOOKUP(D1501,契約台帳!$A$3:$E$4986,5,FALSE))</f>
        <v>リンテック㈱</v>
      </c>
      <c r="Z1501" s="357">
        <v>45427</v>
      </c>
      <c r="AA1501" s="207"/>
      <c r="AB1501" s="369"/>
      <c r="AC1501" s="370"/>
      <c r="AD1501" s="332" t="str">
        <f>IF(F1501="","",+F1501&amp;K1501)</f>
        <v>3SNMLBMNGTBF25</v>
      </c>
      <c r="AE1501" s="216">
        <f>+M1501*N1501*O1501/1000</f>
        <v>12160.5</v>
      </c>
      <c r="AF1501" s="43">
        <f>IF(AD1501="","",VLOOKUP(AD1501,原価マスタ!$A$2:$AJ$1693,13,FALSE))</f>
        <v>97.5</v>
      </c>
      <c r="AG1501" s="47">
        <f>IF(AF1501="","",+AE1501*AF1501/100)</f>
        <v>11856.487499999999</v>
      </c>
      <c r="AH1501" s="30"/>
      <c r="AI1501" s="30"/>
      <c r="AJ1501" s="30"/>
      <c r="AK1501" s="30"/>
      <c r="AL1501" s="13"/>
      <c r="AM1501" s="13"/>
      <c r="AN1501" s="13"/>
      <c r="AO1501" s="13"/>
      <c r="AP1501" s="13"/>
      <c r="AQ1501" s="14"/>
      <c r="AR1501" s="15"/>
    </row>
    <row r="1502" spans="1:44" s="17" customFormat="1" ht="30.95" hidden="1" customHeight="1" x14ac:dyDescent="0.2">
      <c r="A1502" s="343"/>
      <c r="B1502" s="344"/>
      <c r="C1502" s="345"/>
      <c r="D1502" s="398"/>
      <c r="E1502" s="31"/>
      <c r="F1502" s="268"/>
      <c r="G1502" s="269"/>
      <c r="H1502" s="269"/>
      <c r="I1502" s="270"/>
      <c r="J1502" s="32"/>
      <c r="K1502" s="270"/>
      <c r="L1502" s="270"/>
      <c r="M1502" s="39"/>
      <c r="N1502" s="39"/>
      <c r="O1502" s="47"/>
      <c r="P1502" s="57"/>
      <c r="Q1502" s="276"/>
      <c r="R1502" s="277"/>
      <c r="S1502" s="277"/>
      <c r="T1502" s="40"/>
      <c r="U1502" s="278"/>
      <c r="V1502" s="269"/>
      <c r="W1502" s="269"/>
      <c r="X1502" s="275"/>
      <c r="Y1502" s="269"/>
      <c r="Z1502" s="357"/>
      <c r="AA1502" s="207"/>
      <c r="AB1502" s="369"/>
      <c r="AC1502" s="370"/>
      <c r="AD1502" s="332"/>
      <c r="AE1502" s="216"/>
      <c r="AF1502" s="43"/>
      <c r="AG1502" s="47"/>
      <c r="AH1502" s="30"/>
      <c r="AI1502" s="30"/>
      <c r="AJ1502" s="30"/>
      <c r="AK1502" s="30"/>
      <c r="AL1502" s="13"/>
      <c r="AM1502" s="13"/>
      <c r="AN1502" s="13"/>
      <c r="AO1502" s="13"/>
      <c r="AP1502" s="13"/>
      <c r="AQ1502" s="14"/>
      <c r="AR1502" s="15"/>
    </row>
    <row r="1503" spans="1:44" s="17" customFormat="1" ht="30.95" hidden="1" customHeight="1" x14ac:dyDescent="0.2">
      <c r="A1503" s="343"/>
      <c r="B1503" s="344"/>
      <c r="C1503" s="345"/>
      <c r="D1503" s="398">
        <v>3754080</v>
      </c>
      <c r="E1503" s="31">
        <v>4151657</v>
      </c>
      <c r="F1503" s="268" t="str">
        <f>IF(D1503="","",VLOOKUP(D1503,契約台帳!$A$3:$K$4986,6,FALSE)&amp;VLOOKUP(D1503,契約台帳!$A$3:$K$4986,7,FALSE)&amp;VLOOKUP(D1503,契約台帳!$A$3:$K$4986,8,FALSE)&amp;VLOOKUP(D1503,契約台帳!$A$3:$K$4986,9,FALSE)&amp;VLOOKUP(D1503,契約台帳!$A$3:$K$4986,11,FALSE))</f>
        <v>3SNMLBMNGKKBF</v>
      </c>
      <c r="G1503" s="269" t="str">
        <f>IF(D1503="","",VLOOKUP(F1503,製品マスタ!$G$5:$H$5002,2,FALSE))</f>
        <v>S</v>
      </c>
      <c r="H1503" s="269" t="str">
        <f>IF(D1503="","",VLOOKUP(F1503,製品マスタ!$G$5:$K$5002,5,FALSE))</f>
        <v>MNGKKBF</v>
      </c>
      <c r="I1503" s="270" t="str">
        <f>IF(D1503="","",VLOOKUP(F1503,製品マスタ!$G$5:$L$5002,6,FALSE))</f>
        <v>メタルミー　ネーマー銀消改　Ｂ</v>
      </c>
      <c r="J1503" s="32" t="s">
        <v>447</v>
      </c>
      <c r="K1503" s="270">
        <f>IF(D1503="","",VLOOKUP(D1503,契約台帳!$A$3:$L$4986,12,FALSE))</f>
        <v>25</v>
      </c>
      <c r="L1503" s="270" t="str">
        <f>IF(D1503="","",INDEX(製品マスタ!$Q$5:$Q$5002,MATCH(F1503&amp;K1503,製品マスタ!$AO$5:$AO$5002,0)))</f>
        <v>FMATS99</v>
      </c>
      <c r="M1503" s="39">
        <v>1120</v>
      </c>
      <c r="N1503" s="39">
        <v>12000</v>
      </c>
      <c r="O1503" s="47">
        <v>1</v>
      </c>
      <c r="P1503" s="57"/>
      <c r="Q1503" s="276">
        <f>IF(D1503="","",IF(J1503="リード付け",M1503,VLOOKUP(D1503,契約台帳!$A$3:$N$4986,14,FALSE)))</f>
        <v>1120</v>
      </c>
      <c r="R1503" s="277">
        <f>IF(D1503="","",IF(J1503="リード付け",M1503,VLOOKUP(D1503,契約台帳!$A$3:$O$4986,15,FALSE)))</f>
        <v>1120</v>
      </c>
      <c r="S1503" s="277">
        <f>IF(D1503="","",IF(J1503="リード付け",N1503,VLOOKUP(D1503,契約台帳!$A$3:$P$4986,16,FALSE)))</f>
        <v>4000</v>
      </c>
      <c r="T1503" s="40">
        <v>3</v>
      </c>
      <c r="U1503" s="278">
        <f ca="1">IF(D1503="","",IF(OFFSET(D1503,-2,0)=D1503,"",VLOOKUP(D1503,契約台帳!$A$3:$R$4986,18,FALSE)))</f>
        <v>3</v>
      </c>
      <c r="V1503" s="269" t="str">
        <f>IF(J1503="巻返し",VLOOKUP(F1503&amp;K1503&amp;M1503,製品マスタ!$M$5:$AD$5002,18,FALSE),IF(J1503="リード付け","原反コア",IF(J1503="スリット",VLOOKUP(F1503&amp;K1503&amp;Q1503,製品マスタ!$N$5:$AD$5002,17,FALSE),"")))</f>
        <v>6ｲﾝﾁSｺｱ</v>
      </c>
      <c r="W1503" s="269">
        <f>IF(J1503="巻返し",VLOOKUP(F1503&amp;K1503&amp;M1503,製品マスタ!$M$5:$AE$5002,19,FALSE),IF(J1503="リード付け","-",IF(J1503="スリット",VLOOKUP(F1503&amp;K1503&amp;Q1503,製品マスタ!$N$5:$AE$5002,18,FALSE),"")))</f>
        <v>1125</v>
      </c>
      <c r="X1503" s="275">
        <f>IF(D1503="","",VLOOKUP(D1503,契約台帳!$A$3:$Q$4986,17,FALSE))</f>
        <v>2</v>
      </c>
      <c r="Y1503" s="269" t="str">
        <f>IF(D1503="","",VLOOKUP(D1503,契約台帳!$A$3:$E$4986,5,FALSE))</f>
        <v>リンテック㈱</v>
      </c>
      <c r="Z1503" s="357">
        <v>45427</v>
      </c>
      <c r="AA1503" s="207"/>
      <c r="AB1503" s="369"/>
      <c r="AC1503" s="370"/>
      <c r="AD1503" s="332" t="str">
        <f>IF(F1503="","",+F1503&amp;K1503)</f>
        <v>3SNMLBMNGKKBF25</v>
      </c>
      <c r="AE1503" s="216">
        <f>+M1503*N1503*O1503/1000</f>
        <v>13440</v>
      </c>
      <c r="AF1503" s="43">
        <f>IF(AD1503="","",VLOOKUP(AD1503,原価マスタ!$A$2:$AJ$1693,13,FALSE))</f>
        <v>96</v>
      </c>
      <c r="AG1503" s="47">
        <f>IF(AF1503="","",+AE1503*AF1503/100)</f>
        <v>12902.4</v>
      </c>
      <c r="AH1503" s="30"/>
      <c r="AI1503" s="30"/>
      <c r="AJ1503" s="30"/>
      <c r="AK1503" s="30"/>
      <c r="AL1503" s="13"/>
      <c r="AM1503" s="13"/>
      <c r="AN1503" s="13"/>
      <c r="AO1503" s="13"/>
      <c r="AP1503" s="13"/>
      <c r="AQ1503" s="14"/>
      <c r="AR1503" s="15"/>
    </row>
    <row r="1504" spans="1:44" s="17" customFormat="1" ht="30.95" hidden="1" customHeight="1" x14ac:dyDescent="0.2">
      <c r="A1504" s="343"/>
      <c r="B1504" s="344"/>
      <c r="C1504" s="345"/>
      <c r="D1504" s="398"/>
      <c r="E1504" s="31"/>
      <c r="F1504" s="268"/>
      <c r="G1504" s="269"/>
      <c r="H1504" s="269"/>
      <c r="I1504" s="270"/>
      <c r="J1504" s="32"/>
      <c r="K1504" s="270"/>
      <c r="L1504" s="270"/>
      <c r="M1504" s="39"/>
      <c r="N1504" s="39"/>
      <c r="O1504" s="47"/>
      <c r="P1504" s="57"/>
      <c r="Q1504" s="276"/>
      <c r="R1504" s="277"/>
      <c r="S1504" s="277"/>
      <c r="T1504" s="40"/>
      <c r="U1504" s="278"/>
      <c r="V1504" s="269"/>
      <c r="W1504" s="269"/>
      <c r="X1504" s="275"/>
      <c r="Y1504" s="269"/>
      <c r="Z1504" s="357"/>
      <c r="AA1504" s="207"/>
      <c r="AB1504" s="369"/>
      <c r="AC1504" s="370"/>
      <c r="AD1504" s="332"/>
      <c r="AE1504" s="216"/>
      <c r="AF1504" s="43"/>
      <c r="AG1504" s="47"/>
      <c r="AH1504" s="30"/>
      <c r="AI1504" s="30"/>
      <c r="AJ1504" s="30"/>
      <c r="AK1504" s="30"/>
      <c r="AL1504" s="13"/>
      <c r="AM1504" s="13"/>
      <c r="AN1504" s="13"/>
      <c r="AO1504" s="13"/>
      <c r="AP1504" s="13"/>
      <c r="AQ1504" s="14"/>
      <c r="AR1504" s="15"/>
    </row>
    <row r="1505" spans="1:44" s="17" customFormat="1" ht="30.6" hidden="1" customHeight="1" x14ac:dyDescent="0.2">
      <c r="A1505" s="343"/>
      <c r="B1505" s="344"/>
      <c r="C1505" s="345"/>
      <c r="D1505" s="398">
        <v>3754094</v>
      </c>
      <c r="E1505" s="31">
        <v>4151664</v>
      </c>
      <c r="F1505" s="268" t="str">
        <f>IF(D1505="","",VLOOKUP(D1505,契約台帳!$A$3:$K$4986,6,FALSE)&amp;VLOOKUP(D1505,契約台帳!$A$3:$K$4986,7,FALSE)&amp;VLOOKUP(D1505,契約台帳!$A$3:$K$4986,8,FALSE)&amp;VLOOKUP(D1505,契約台帳!$A$3:$K$4986,9,FALSE)&amp;VLOOKUP(D1505,契約台帳!$A$3:$K$4986,11,FALSE))</f>
        <v>3SYMLBMSBBF</v>
      </c>
      <c r="G1505" s="269" t="str">
        <f>IF(D1505="","",VLOOKUP(F1505,製品マスタ!$G$5:$H$5002,2,FALSE))</f>
        <v>S</v>
      </c>
      <c r="H1505" s="269" t="str">
        <f>IF(D1505="","",VLOOKUP(F1505,製品マスタ!$G$5:$K$5002,5,FALSE))</f>
        <v>MSBBF</v>
      </c>
      <c r="I1505" s="270" t="str">
        <f>IF(D1505="","",VLOOKUP(F1505,製品マスタ!$G$5:$L$5002,6,FALSE))</f>
        <v>ＭＥＴＡＬＵＭＹ　ＳＩＬＶＥＲ　ＢＲＩＧＨＴ　Ｔ６２Ｍ　Ｂ</v>
      </c>
      <c r="J1505" s="32" t="s">
        <v>447</v>
      </c>
      <c r="K1505" s="270">
        <f>IF(D1505="","",VLOOKUP(D1505,契約台帳!$A$3:$L$4986,12,FALSE))</f>
        <v>50</v>
      </c>
      <c r="L1505" s="270" t="str">
        <f>IF(D1505="","",INDEX(製品マスタ!$Q$5:$Q$5002,MATCH(F1505&amp;K1505,製品マスタ!$AO$5:$AO$5002,0)))</f>
        <v>T62</v>
      </c>
      <c r="M1505" s="39">
        <v>1120</v>
      </c>
      <c r="N1505" s="39">
        <v>10000</v>
      </c>
      <c r="O1505" s="47">
        <v>2</v>
      </c>
      <c r="P1505" s="57"/>
      <c r="Q1505" s="276">
        <f>IF(D1505="","",IF(J1505="リード付け",M1505,VLOOKUP(D1505,契約台帳!$A$3:$N$4986,14,FALSE)))</f>
        <v>1120</v>
      </c>
      <c r="R1505" s="277">
        <f>IF(D1505="","",IF(J1505="リード付け",M1505,VLOOKUP(D1505,契約台帳!$A$3:$O$4986,15,FALSE)))</f>
        <v>1120</v>
      </c>
      <c r="S1505" s="277">
        <f>IF(D1505="","",IF(J1505="リード付け",N1505,VLOOKUP(D1505,契約台帳!$A$3:$P$4986,16,FALSE)))</f>
        <v>5000</v>
      </c>
      <c r="T1505" s="40">
        <v>4</v>
      </c>
      <c r="U1505" s="278">
        <f ca="1">IF(D1505="","",IF(OFFSET(D1505,-2,0)=D1505,"",VLOOKUP(D1505,契約台帳!$A$3:$R$4986,18,FALSE)))</f>
        <v>4</v>
      </c>
      <c r="V1505" s="269" t="str">
        <f>IF(J1505="巻返し",VLOOKUP(F1505&amp;K1505&amp;M1505,製品マスタ!$M$5:$AD$5002,18,FALSE),IF(J1505="リード付け","原反コア",IF(J1505="スリット",VLOOKUP(F1505&amp;K1505&amp;Q1505,製品マスタ!$N$5:$AD$5002,17,FALSE),"")))</f>
        <v>6ｲﾝﾁSｺｱ</v>
      </c>
      <c r="W1505" s="269">
        <f>IF(J1505="巻返し",VLOOKUP(F1505&amp;K1505&amp;M1505,製品マスタ!$M$5:$AE$5002,19,FALSE),IF(J1505="リード付け","-",IF(J1505="スリット",VLOOKUP(F1505&amp;K1505&amp;Q1505,製品マスタ!$N$5:$AE$5002,18,FALSE),"")))</f>
        <v>1125</v>
      </c>
      <c r="X1505" s="275">
        <f>IF(D1505="","",VLOOKUP(D1505,契約台帳!$A$3:$Q$4986,17,FALSE))</f>
        <v>2</v>
      </c>
      <c r="Y1505" s="269" t="str">
        <f>IF(D1505="","",VLOOKUP(D1505,契約台帳!$A$3:$E$4986,5,FALSE))</f>
        <v>リンテック㈱</v>
      </c>
      <c r="Z1505" s="357">
        <v>45427</v>
      </c>
      <c r="AA1505" s="207"/>
      <c r="AB1505" s="369"/>
      <c r="AC1505" s="370"/>
      <c r="AD1505" s="332" t="str">
        <f>IF(F1505="","",+F1505&amp;K1505)</f>
        <v>3SYMLBMSBBF50</v>
      </c>
      <c r="AE1505" s="216">
        <f>+M1505*N1505*O1505/1000</f>
        <v>22400</v>
      </c>
      <c r="AF1505" s="43">
        <f>IF(AD1505="","",VLOOKUP(AD1505,原価マスタ!$A$2:$AJ$1693,13,FALSE))</f>
        <v>99</v>
      </c>
      <c r="AG1505" s="47">
        <f>IF(AF1505="","",+AE1505*AF1505/100)</f>
        <v>22176</v>
      </c>
      <c r="AH1505" s="30"/>
      <c r="AI1505" s="30"/>
      <c r="AJ1505" s="30"/>
      <c r="AK1505" s="30"/>
      <c r="AL1505" s="13"/>
      <c r="AM1505" s="13"/>
      <c r="AN1505" s="13"/>
      <c r="AO1505" s="13"/>
      <c r="AP1505" s="13"/>
      <c r="AQ1505" s="14"/>
      <c r="AR1505" s="15"/>
    </row>
    <row r="1506" spans="1:44" s="17" customFormat="1" ht="30.95" hidden="1" customHeight="1" x14ac:dyDescent="0.2">
      <c r="A1506" s="343"/>
      <c r="B1506" s="344"/>
      <c r="C1506" s="345"/>
      <c r="D1506" s="398"/>
      <c r="E1506" s="31"/>
      <c r="F1506" s="268"/>
      <c r="G1506" s="269"/>
      <c r="H1506" s="269"/>
      <c r="I1506" s="270"/>
      <c r="J1506" s="32"/>
      <c r="K1506" s="270"/>
      <c r="L1506" s="270"/>
      <c r="M1506" s="39"/>
      <c r="N1506" s="39"/>
      <c r="O1506" s="47"/>
      <c r="P1506" s="57"/>
      <c r="Q1506" s="276"/>
      <c r="R1506" s="277"/>
      <c r="S1506" s="277"/>
      <c r="T1506" s="40"/>
      <c r="U1506" s="278"/>
      <c r="V1506" s="269"/>
      <c r="W1506" s="269"/>
      <c r="X1506" s="275"/>
      <c r="Y1506" s="269"/>
      <c r="Z1506" s="357"/>
      <c r="AA1506" s="207"/>
      <c r="AB1506" s="369"/>
      <c r="AC1506" s="370"/>
      <c r="AD1506" s="332"/>
      <c r="AE1506" s="216"/>
      <c r="AF1506" s="43"/>
      <c r="AG1506" s="47"/>
      <c r="AH1506" s="30"/>
      <c r="AI1506" s="30"/>
      <c r="AJ1506" s="30"/>
      <c r="AK1506" s="30"/>
      <c r="AL1506" s="13"/>
      <c r="AM1506" s="13"/>
      <c r="AN1506" s="13"/>
      <c r="AO1506" s="13"/>
      <c r="AP1506" s="13"/>
      <c r="AQ1506" s="14"/>
      <c r="AR1506" s="15"/>
    </row>
    <row r="1507" spans="1:44" s="17" customFormat="1" ht="30.95" hidden="1" customHeight="1" x14ac:dyDescent="0.2">
      <c r="A1507" s="343" t="s">
        <v>1121</v>
      </c>
      <c r="B1507" s="344" t="s">
        <v>446</v>
      </c>
      <c r="C1507" s="345"/>
      <c r="D1507" s="398"/>
      <c r="E1507" s="31"/>
      <c r="F1507" s="268"/>
      <c r="G1507" s="269"/>
      <c r="H1507" s="269"/>
      <c r="I1507" s="270"/>
      <c r="J1507" s="32" t="s">
        <v>448</v>
      </c>
      <c r="K1507" s="270"/>
      <c r="L1507" s="270"/>
      <c r="M1507" s="39"/>
      <c r="N1507" s="39"/>
      <c r="O1507" s="47"/>
      <c r="P1507" s="57"/>
      <c r="Q1507" s="276"/>
      <c r="R1507" s="277"/>
      <c r="S1507" s="277"/>
      <c r="T1507" s="40"/>
      <c r="U1507" s="278"/>
      <c r="V1507" s="269"/>
      <c r="W1507" s="269"/>
      <c r="X1507" s="275"/>
      <c r="Y1507" s="269"/>
      <c r="Z1507" s="357"/>
      <c r="AA1507" s="207"/>
      <c r="AB1507" s="369"/>
      <c r="AC1507" s="370"/>
      <c r="AD1507" s="332"/>
      <c r="AE1507" s="216"/>
      <c r="AF1507" s="43"/>
      <c r="AG1507" s="47"/>
      <c r="AH1507" s="30"/>
      <c r="AI1507" s="30"/>
      <c r="AJ1507" s="30"/>
      <c r="AK1507" s="30"/>
      <c r="AL1507" s="13"/>
      <c r="AM1507" s="13"/>
      <c r="AN1507" s="13"/>
      <c r="AO1507" s="13"/>
      <c r="AP1507" s="13"/>
      <c r="AQ1507" s="14"/>
      <c r="AR1507" s="15"/>
    </row>
    <row r="1508" spans="1:44" s="17" customFormat="1" ht="30.95" hidden="1" customHeight="1" x14ac:dyDescent="0.2">
      <c r="A1508" s="343"/>
      <c r="B1508" s="344"/>
      <c r="C1508" s="345"/>
      <c r="D1508" s="398"/>
      <c r="E1508" s="31"/>
      <c r="F1508" s="268"/>
      <c r="G1508" s="269"/>
      <c r="H1508" s="269"/>
      <c r="I1508" s="270"/>
      <c r="J1508" s="32"/>
      <c r="K1508" s="270"/>
      <c r="L1508" s="270"/>
      <c r="M1508" s="39"/>
      <c r="N1508" s="39"/>
      <c r="O1508" s="47"/>
      <c r="P1508" s="57"/>
      <c r="Q1508" s="276"/>
      <c r="R1508" s="277"/>
      <c r="S1508" s="277"/>
      <c r="T1508" s="40"/>
      <c r="U1508" s="278"/>
      <c r="V1508" s="269"/>
      <c r="W1508" s="269"/>
      <c r="X1508" s="275"/>
      <c r="Y1508" s="269"/>
      <c r="Z1508" s="357"/>
      <c r="AA1508" s="207"/>
      <c r="AB1508" s="369"/>
      <c r="AC1508" s="370"/>
      <c r="AD1508" s="332"/>
      <c r="AE1508" s="216"/>
      <c r="AF1508" s="43"/>
      <c r="AG1508" s="47"/>
      <c r="AH1508" s="30"/>
      <c r="AI1508" s="30"/>
      <c r="AJ1508" s="30"/>
      <c r="AK1508" s="30"/>
      <c r="AL1508" s="13"/>
      <c r="AM1508" s="13"/>
      <c r="AN1508" s="13"/>
      <c r="AO1508" s="13"/>
      <c r="AP1508" s="13"/>
      <c r="AQ1508" s="14"/>
      <c r="AR1508" s="15"/>
    </row>
    <row r="1509" spans="1:44" s="17" customFormat="1" ht="30.6" hidden="1" customHeight="1" x14ac:dyDescent="0.2">
      <c r="A1509" s="343" t="s">
        <v>1124</v>
      </c>
      <c r="B1509" s="344" t="s">
        <v>462</v>
      </c>
      <c r="C1509" s="345"/>
      <c r="D1509" s="398">
        <v>3754095</v>
      </c>
      <c r="E1509" s="31">
        <v>4151665</v>
      </c>
      <c r="F1509" s="268" t="str">
        <f>IF(D1509="","",VLOOKUP(D1509,契約台帳!$A$3:$K$4986,6,FALSE)&amp;VLOOKUP(D1509,契約台帳!$A$3:$K$4986,7,FALSE)&amp;VLOOKUP(D1509,契約台帳!$A$3:$K$4986,8,FALSE)&amp;VLOOKUP(D1509,契約台帳!$A$3:$K$4986,9,FALSE)&amp;VLOOKUP(D1509,契約台帳!$A$3:$K$4986,11,FALSE))</f>
        <v>3SYMLBMSBBF</v>
      </c>
      <c r="G1509" s="269" t="str">
        <f>IF(D1509="","",VLOOKUP(F1509,製品マスタ!$G$5:$H$5002,2,FALSE))</f>
        <v>S</v>
      </c>
      <c r="H1509" s="269" t="str">
        <f>IF(D1509="","",VLOOKUP(F1509,製品マスタ!$G$5:$K$5002,5,FALSE))</f>
        <v>MSBBF</v>
      </c>
      <c r="I1509" s="270" t="str">
        <f>IF(D1509="","",VLOOKUP(F1509,製品マスタ!$G$5:$L$5002,6,FALSE))</f>
        <v>ＭＥＴＡＬＵＭＹ　ＳＩＬＶＥＲ　ＢＲＩＧＨＴ　Ｔ６２Ｍ　Ｂ</v>
      </c>
      <c r="J1509" s="32" t="s">
        <v>447</v>
      </c>
      <c r="K1509" s="270">
        <f>IF(D1509="","",VLOOKUP(D1509,契約台帳!$A$3:$L$4986,12,FALSE))</f>
        <v>50</v>
      </c>
      <c r="L1509" s="270" t="str">
        <f>IF(D1509="","",INDEX(製品マスタ!$Q$5:$Q$5002,MATCH(F1509&amp;K1509,製品マスタ!$AO$5:$AO$5002,0)))</f>
        <v>T62</v>
      </c>
      <c r="M1509" s="39">
        <v>1120</v>
      </c>
      <c r="N1509" s="39">
        <v>10000</v>
      </c>
      <c r="O1509" s="47">
        <v>3</v>
      </c>
      <c r="P1509" s="57"/>
      <c r="Q1509" s="276">
        <f>IF(D1509="","",IF(J1509="リード付け",M1509,VLOOKUP(D1509,契約台帳!$A$3:$N$4986,14,FALSE)))</f>
        <v>1120</v>
      </c>
      <c r="R1509" s="277">
        <f>IF(D1509="","",IF(J1509="リード付け",M1509,VLOOKUP(D1509,契約台帳!$A$3:$O$4986,15,FALSE)))</f>
        <v>1120</v>
      </c>
      <c r="S1509" s="277">
        <f>IF(D1509="","",IF(J1509="リード付け",N1509,VLOOKUP(D1509,契約台帳!$A$3:$P$4986,16,FALSE)))</f>
        <v>5000</v>
      </c>
      <c r="T1509" s="40">
        <v>6</v>
      </c>
      <c r="U1509" s="278">
        <f ca="1">IF(D1509="","",IF(OFFSET(D1509,-2,0)=D1509,"",VLOOKUP(D1509,契約台帳!$A$3:$R$4986,18,FALSE)))</f>
        <v>6</v>
      </c>
      <c r="V1509" s="269" t="str">
        <f>IF(J1509="巻返し",VLOOKUP(F1509&amp;K1509&amp;M1509,製品マスタ!$M$5:$AD$5002,18,FALSE),IF(J1509="リード付け","原反コア",IF(J1509="スリット",VLOOKUP(F1509&amp;K1509&amp;Q1509,製品マスタ!$N$5:$AD$5002,17,FALSE),"")))</f>
        <v>6ｲﾝﾁSｺｱ</v>
      </c>
      <c r="W1509" s="269">
        <f>IF(J1509="巻返し",VLOOKUP(F1509&amp;K1509&amp;M1509,製品マスタ!$M$5:$AE$5002,19,FALSE),IF(J1509="リード付け","-",IF(J1509="スリット",VLOOKUP(F1509&amp;K1509&amp;Q1509,製品マスタ!$N$5:$AE$5002,18,FALSE),"")))</f>
        <v>1125</v>
      </c>
      <c r="X1509" s="275">
        <f>IF(D1509="","",VLOOKUP(D1509,契約台帳!$A$3:$Q$4986,17,FALSE))</f>
        <v>2</v>
      </c>
      <c r="Y1509" s="269" t="str">
        <f>IF(D1509="","",VLOOKUP(D1509,契約台帳!$A$3:$E$4986,5,FALSE))</f>
        <v>リンテック㈱</v>
      </c>
      <c r="Z1509" s="357">
        <v>45428</v>
      </c>
      <c r="AA1509" s="207"/>
      <c r="AB1509" s="369"/>
      <c r="AC1509" s="370"/>
      <c r="AD1509" s="332" t="str">
        <f>IF(F1509="","",+F1509&amp;K1509)</f>
        <v>3SYMLBMSBBF50</v>
      </c>
      <c r="AE1509" s="216">
        <f>+M1509*N1509*O1509/1000</f>
        <v>33600</v>
      </c>
      <c r="AF1509" s="43">
        <f>IF(AD1509="","",VLOOKUP(AD1509,原価マスタ!$A$2:$AJ$1693,13,FALSE))</f>
        <v>99</v>
      </c>
      <c r="AG1509" s="47">
        <f>IF(AF1509="","",+AE1509*AF1509/100)</f>
        <v>33264</v>
      </c>
      <c r="AH1509" s="30"/>
      <c r="AI1509" s="30"/>
      <c r="AJ1509" s="30"/>
      <c r="AK1509" s="30"/>
      <c r="AL1509" s="13"/>
      <c r="AM1509" s="13"/>
      <c r="AN1509" s="13"/>
      <c r="AO1509" s="13"/>
      <c r="AP1509" s="13"/>
      <c r="AQ1509" s="14"/>
      <c r="AR1509" s="15"/>
    </row>
    <row r="1510" spans="1:44" s="17" customFormat="1" ht="30.95" hidden="1" customHeight="1" x14ac:dyDescent="0.2">
      <c r="A1510" s="343"/>
      <c r="B1510" s="344"/>
      <c r="C1510" s="345"/>
      <c r="D1510" s="398"/>
      <c r="E1510" s="31"/>
      <c r="F1510" s="268"/>
      <c r="G1510" s="269"/>
      <c r="H1510" s="269"/>
      <c r="I1510" s="270"/>
      <c r="J1510" s="32"/>
      <c r="K1510" s="270"/>
      <c r="L1510" s="270"/>
      <c r="M1510" s="39"/>
      <c r="N1510" s="39"/>
      <c r="O1510" s="47"/>
      <c r="P1510" s="57"/>
      <c r="Q1510" s="276"/>
      <c r="R1510" s="277"/>
      <c r="S1510" s="277"/>
      <c r="T1510" s="40"/>
      <c r="U1510" s="278"/>
      <c r="V1510" s="269"/>
      <c r="W1510" s="269"/>
      <c r="X1510" s="275"/>
      <c r="Y1510" s="269"/>
      <c r="Z1510" s="357"/>
      <c r="AA1510" s="207"/>
      <c r="AB1510" s="369"/>
      <c r="AC1510" s="370"/>
      <c r="AD1510" s="332"/>
      <c r="AE1510" s="216"/>
      <c r="AF1510" s="43"/>
      <c r="AG1510" s="47"/>
      <c r="AH1510" s="30"/>
      <c r="AI1510" s="30"/>
      <c r="AJ1510" s="30"/>
      <c r="AK1510" s="30"/>
      <c r="AL1510" s="13"/>
      <c r="AM1510" s="13"/>
      <c r="AN1510" s="13"/>
      <c r="AO1510" s="13"/>
      <c r="AP1510" s="13"/>
      <c r="AQ1510" s="14"/>
      <c r="AR1510" s="15"/>
    </row>
    <row r="1511" spans="1:44" s="17" customFormat="1" ht="30.6" hidden="1" customHeight="1" x14ac:dyDescent="0.2">
      <c r="A1511" s="343"/>
      <c r="B1511" s="344"/>
      <c r="C1511" s="345"/>
      <c r="D1511" s="398">
        <v>3754087</v>
      </c>
      <c r="E1511" s="31">
        <v>4151662</v>
      </c>
      <c r="F1511" s="268" t="str">
        <f>IF(D1511="","",VLOOKUP(D1511,契約台帳!$A$3:$K$4986,6,FALSE)&amp;VLOOKUP(D1511,契約台帳!$A$3:$K$4986,7,FALSE)&amp;VLOOKUP(D1511,契約台帳!$A$3:$K$4986,8,FALSE)&amp;VLOOKUP(D1511,契約台帳!$A$3:$K$4986,9,FALSE)&amp;VLOOKUP(D1511,契約台帳!$A$3:$K$4986,11,FALSE))</f>
        <v>3SNMLBMNGTBF</v>
      </c>
      <c r="G1511" s="269" t="str">
        <f>IF(D1511="","",VLOOKUP(F1511,製品マスタ!$G$5:$H$5002,2,FALSE))</f>
        <v>S</v>
      </c>
      <c r="H1511" s="269" t="str">
        <f>IF(D1511="","",VLOOKUP(F1511,製品マスタ!$G$5:$K$5002,5,FALSE))</f>
        <v>MNGTBF</v>
      </c>
      <c r="I1511" s="270" t="str">
        <f>IF(D1511="","",VLOOKUP(F1511,製品マスタ!$G$5:$L$5002,6,FALSE))</f>
        <v>メタルミー　ネーマー　銀艶　Ｂ</v>
      </c>
      <c r="J1511" s="32" t="s">
        <v>447</v>
      </c>
      <c r="K1511" s="270">
        <f>IF(D1511="","",VLOOKUP(D1511,契約台帳!$A$3:$L$4986,12,FALSE))</f>
        <v>50</v>
      </c>
      <c r="L1511" s="270" t="str">
        <f>IF(D1511="","",INDEX(製品マスタ!$Q$5:$Q$5002,MATCH(F1511&amp;K1511,製品マスタ!$AO$5:$AO$5002,0)))</f>
        <v>T62</v>
      </c>
      <c r="M1511" s="39">
        <v>1120</v>
      </c>
      <c r="N1511" s="39">
        <v>10000</v>
      </c>
      <c r="O1511" s="47">
        <v>3</v>
      </c>
      <c r="P1511" s="57"/>
      <c r="Q1511" s="276">
        <f>IF(D1511="","",IF(J1511="リード付け",M1511,VLOOKUP(D1511,契約台帳!$A$3:$N$4986,14,FALSE)))</f>
        <v>1120</v>
      </c>
      <c r="R1511" s="277">
        <f>IF(D1511="","",IF(J1511="リード付け",M1511,VLOOKUP(D1511,契約台帳!$A$3:$O$4986,15,FALSE)))</f>
        <v>1120</v>
      </c>
      <c r="S1511" s="277">
        <f>IF(D1511="","",IF(J1511="リード付け",N1511,VLOOKUP(D1511,契約台帳!$A$3:$P$4986,16,FALSE)))</f>
        <v>5000</v>
      </c>
      <c r="T1511" s="40">
        <v>6</v>
      </c>
      <c r="U1511" s="278">
        <f ca="1">IF(D1511="","",IF(OFFSET(D1511,-2,0)=D1511,"",VLOOKUP(D1511,契約台帳!$A$3:$R$4986,18,FALSE)))</f>
        <v>54</v>
      </c>
      <c r="V1511" s="269" t="str">
        <f>IF(J1511="巻返し",VLOOKUP(F1511&amp;K1511&amp;M1511,製品マスタ!$M$5:$AD$5002,18,FALSE),IF(J1511="リード付け","原反コア",IF(J1511="スリット",VLOOKUP(F1511&amp;K1511&amp;Q1511,製品マスタ!$N$5:$AD$5002,17,FALSE),"")))</f>
        <v>6ｲﾝﾁSｺｱ</v>
      </c>
      <c r="W1511" s="269">
        <f>IF(J1511="巻返し",VLOOKUP(F1511&amp;K1511&amp;M1511,製品マスタ!$M$5:$AE$5002,19,FALSE),IF(J1511="リード付け","-",IF(J1511="スリット",VLOOKUP(F1511&amp;K1511&amp;Q1511,製品マスタ!$N$5:$AE$5002,18,FALSE),"")))</f>
        <v>1125</v>
      </c>
      <c r="X1511" s="275">
        <f>IF(D1511="","",VLOOKUP(D1511,契約台帳!$A$3:$Q$4986,17,FALSE))</f>
        <v>2</v>
      </c>
      <c r="Y1511" s="269" t="str">
        <f>IF(D1511="","",VLOOKUP(D1511,契約台帳!$A$3:$E$4986,5,FALSE))</f>
        <v>リンテック㈱</v>
      </c>
      <c r="Z1511" s="357">
        <v>45428</v>
      </c>
      <c r="AA1511" s="207"/>
      <c r="AB1511" s="369"/>
      <c r="AC1511" s="370"/>
      <c r="AD1511" s="332" t="str">
        <f>IF(F1511="","",+F1511&amp;K1511)</f>
        <v>3SNMLBMNGTBF50</v>
      </c>
      <c r="AE1511" s="216">
        <f>+M1511*N1511*O1511/1000</f>
        <v>33600</v>
      </c>
      <c r="AF1511" s="43">
        <f>IF(AD1511="","",VLOOKUP(AD1511,原価マスタ!$A$2:$AJ$1693,13,FALSE))</f>
        <v>99</v>
      </c>
      <c r="AG1511" s="47">
        <f>IF(AF1511="","",+AE1511*AF1511/100)</f>
        <v>33264</v>
      </c>
      <c r="AH1511" s="30"/>
      <c r="AI1511" s="30"/>
      <c r="AJ1511" s="30"/>
      <c r="AK1511" s="30"/>
      <c r="AL1511" s="13"/>
      <c r="AM1511" s="13"/>
      <c r="AN1511" s="13"/>
      <c r="AO1511" s="13"/>
      <c r="AP1511" s="13"/>
      <c r="AQ1511" s="14"/>
      <c r="AR1511" s="15"/>
    </row>
    <row r="1512" spans="1:44" s="17" customFormat="1" ht="30.95" hidden="1" customHeight="1" x14ac:dyDescent="0.2">
      <c r="A1512" s="343"/>
      <c r="B1512" s="344"/>
      <c r="C1512" s="345"/>
      <c r="D1512" s="398"/>
      <c r="E1512" s="31"/>
      <c r="F1512" s="268"/>
      <c r="G1512" s="269"/>
      <c r="H1512" s="269"/>
      <c r="I1512" s="270"/>
      <c r="J1512" s="32"/>
      <c r="K1512" s="270"/>
      <c r="L1512" s="270"/>
      <c r="M1512" s="39"/>
      <c r="N1512" s="39"/>
      <c r="O1512" s="47"/>
      <c r="P1512" s="57"/>
      <c r="Q1512" s="276"/>
      <c r="R1512" s="277"/>
      <c r="S1512" s="277"/>
      <c r="T1512" s="40"/>
      <c r="U1512" s="278"/>
      <c r="V1512" s="269"/>
      <c r="W1512" s="269"/>
      <c r="X1512" s="275"/>
      <c r="Y1512" s="269"/>
      <c r="Z1512" s="357"/>
      <c r="AA1512" s="207"/>
      <c r="AB1512" s="369"/>
      <c r="AC1512" s="370"/>
      <c r="AD1512" s="332"/>
      <c r="AE1512" s="216"/>
      <c r="AF1512" s="43"/>
      <c r="AG1512" s="47"/>
      <c r="AH1512" s="30"/>
      <c r="AI1512" s="30"/>
      <c r="AJ1512" s="30"/>
      <c r="AK1512" s="30"/>
      <c r="AL1512" s="13"/>
      <c r="AM1512" s="13"/>
      <c r="AN1512" s="13"/>
      <c r="AO1512" s="13"/>
      <c r="AP1512" s="13"/>
      <c r="AQ1512" s="14"/>
      <c r="AR1512" s="15"/>
    </row>
    <row r="1513" spans="1:44" s="17" customFormat="1" ht="30.6" hidden="1" customHeight="1" x14ac:dyDescent="0.2">
      <c r="A1513" s="343" t="s">
        <v>1125</v>
      </c>
      <c r="B1513" s="344" t="s">
        <v>688</v>
      </c>
      <c r="C1513" s="345"/>
      <c r="D1513" s="398">
        <v>3754087</v>
      </c>
      <c r="E1513" s="31">
        <v>4151662</v>
      </c>
      <c r="F1513" s="268" t="str">
        <f>IF(D1513="","",VLOOKUP(D1513,契約台帳!$A$3:$K$4986,6,FALSE)&amp;VLOOKUP(D1513,契約台帳!$A$3:$K$4986,7,FALSE)&amp;VLOOKUP(D1513,契約台帳!$A$3:$K$4986,8,FALSE)&amp;VLOOKUP(D1513,契約台帳!$A$3:$K$4986,9,FALSE)&amp;VLOOKUP(D1513,契約台帳!$A$3:$K$4986,11,FALSE))</f>
        <v>3SNMLBMNGTBF</v>
      </c>
      <c r="G1513" s="269" t="str">
        <f>IF(D1513="","",VLOOKUP(F1513,製品マスタ!$G$5:$H$5002,2,FALSE))</f>
        <v>S</v>
      </c>
      <c r="H1513" s="269" t="str">
        <f>IF(D1513="","",VLOOKUP(F1513,製品マスタ!$G$5:$K$5002,5,FALSE))</f>
        <v>MNGTBF</v>
      </c>
      <c r="I1513" s="270" t="str">
        <f>IF(D1513="","",VLOOKUP(F1513,製品マスタ!$G$5:$L$5002,6,FALSE))</f>
        <v>メタルミー　ネーマー　銀艶　Ｂ</v>
      </c>
      <c r="J1513" s="32" t="s">
        <v>447</v>
      </c>
      <c r="K1513" s="270">
        <f>IF(D1513="","",VLOOKUP(D1513,契約台帳!$A$3:$L$4986,12,FALSE))</f>
        <v>50</v>
      </c>
      <c r="L1513" s="270" t="str">
        <f>IF(D1513="","",INDEX(製品マスタ!$Q$5:$Q$5002,MATCH(F1513&amp;K1513,製品マスタ!$AO$5:$AO$5002,0)))</f>
        <v>T62</v>
      </c>
      <c r="M1513" s="39">
        <v>1120</v>
      </c>
      <c r="N1513" s="39">
        <v>10000</v>
      </c>
      <c r="O1513" s="47">
        <v>6</v>
      </c>
      <c r="P1513" s="57"/>
      <c r="Q1513" s="276">
        <f>IF(D1513="","",IF(J1513="リード付け",M1513,VLOOKUP(D1513,契約台帳!$A$3:$N$4986,14,FALSE)))</f>
        <v>1120</v>
      </c>
      <c r="R1513" s="277">
        <f>IF(D1513="","",IF(J1513="リード付け",M1513,VLOOKUP(D1513,契約台帳!$A$3:$O$4986,15,FALSE)))</f>
        <v>1120</v>
      </c>
      <c r="S1513" s="277">
        <f>IF(D1513="","",IF(J1513="リード付け",N1513,VLOOKUP(D1513,契約台帳!$A$3:$P$4986,16,FALSE)))</f>
        <v>5000</v>
      </c>
      <c r="T1513" s="40">
        <v>12</v>
      </c>
      <c r="U1513" s="278" t="str">
        <f ca="1">IF(D1513="","",IF(OFFSET(D1513,-2,0)=D1513,"",VLOOKUP(D1513,契約台帳!$A$3:$R$4986,18,FALSE)))</f>
        <v/>
      </c>
      <c r="V1513" s="269" t="str">
        <f>IF(J1513="巻返し",VLOOKUP(F1513&amp;K1513&amp;M1513,製品マスタ!$M$5:$AD$5002,18,FALSE),IF(J1513="リード付け","原反コア",IF(J1513="スリット",VLOOKUP(F1513&amp;K1513&amp;Q1513,製品マスタ!$N$5:$AD$5002,17,FALSE),"")))</f>
        <v>6ｲﾝﾁSｺｱ</v>
      </c>
      <c r="W1513" s="269">
        <f>IF(J1513="巻返し",VLOOKUP(F1513&amp;K1513&amp;M1513,製品マスタ!$M$5:$AE$5002,19,FALSE),IF(J1513="リード付け","-",IF(J1513="スリット",VLOOKUP(F1513&amp;K1513&amp;Q1513,製品マスタ!$N$5:$AE$5002,18,FALSE),"")))</f>
        <v>1125</v>
      </c>
      <c r="X1513" s="275">
        <f>IF(D1513="","",VLOOKUP(D1513,契約台帳!$A$3:$Q$4986,17,FALSE))</f>
        <v>2</v>
      </c>
      <c r="Y1513" s="269" t="str">
        <f>IF(D1513="","",VLOOKUP(D1513,契約台帳!$A$3:$E$4986,5,FALSE))</f>
        <v>リンテック㈱</v>
      </c>
      <c r="Z1513" s="357">
        <v>45429</v>
      </c>
      <c r="AA1513" s="207"/>
      <c r="AB1513" s="369"/>
      <c r="AC1513" s="370"/>
      <c r="AD1513" s="332" t="str">
        <f>IF(F1513="","",+F1513&amp;K1513)</f>
        <v>3SNMLBMNGTBF50</v>
      </c>
      <c r="AE1513" s="216">
        <f>+M1513*N1513*O1513/1000</f>
        <v>67200</v>
      </c>
      <c r="AF1513" s="43">
        <f>IF(AD1513="","",VLOOKUP(AD1513,原価マスタ!$A$2:$AJ$1693,13,FALSE))</f>
        <v>99</v>
      </c>
      <c r="AG1513" s="47">
        <f>IF(AF1513="","",+AE1513*AF1513/100)</f>
        <v>66528</v>
      </c>
      <c r="AH1513" s="30"/>
      <c r="AI1513" s="30"/>
      <c r="AJ1513" s="30"/>
      <c r="AK1513" s="30"/>
      <c r="AL1513" s="13"/>
      <c r="AM1513" s="13"/>
      <c r="AN1513" s="13"/>
      <c r="AO1513" s="13"/>
      <c r="AP1513" s="13"/>
      <c r="AQ1513" s="14"/>
      <c r="AR1513" s="15"/>
    </row>
    <row r="1514" spans="1:44" s="17" customFormat="1" ht="30.95" hidden="1" customHeight="1" x14ac:dyDescent="0.2">
      <c r="A1514" s="343"/>
      <c r="B1514" s="344"/>
      <c r="C1514" s="345"/>
      <c r="D1514" s="398"/>
      <c r="E1514" s="31"/>
      <c r="F1514" s="268"/>
      <c r="G1514" s="269"/>
      <c r="H1514" s="269"/>
      <c r="I1514" s="270"/>
      <c r="J1514" s="32"/>
      <c r="K1514" s="270"/>
      <c r="L1514" s="270"/>
      <c r="M1514" s="39"/>
      <c r="N1514" s="39"/>
      <c r="O1514" s="47"/>
      <c r="P1514" s="57"/>
      <c r="Q1514" s="276"/>
      <c r="R1514" s="277"/>
      <c r="S1514" s="277"/>
      <c r="T1514" s="40"/>
      <c r="U1514" s="278"/>
      <c r="V1514" s="269"/>
      <c r="W1514" s="269"/>
      <c r="X1514" s="275"/>
      <c r="Y1514" s="269"/>
      <c r="Z1514" s="357"/>
      <c r="AA1514" s="207"/>
      <c r="AB1514" s="369"/>
      <c r="AC1514" s="370"/>
      <c r="AD1514" s="332"/>
      <c r="AE1514" s="216"/>
      <c r="AF1514" s="43"/>
      <c r="AG1514" s="47"/>
      <c r="AH1514" s="30"/>
      <c r="AI1514" s="30"/>
      <c r="AJ1514" s="30"/>
      <c r="AK1514" s="30"/>
      <c r="AL1514" s="13"/>
      <c r="AM1514" s="13"/>
      <c r="AN1514" s="13"/>
      <c r="AO1514" s="13"/>
      <c r="AP1514" s="13"/>
      <c r="AQ1514" s="14"/>
      <c r="AR1514" s="15"/>
    </row>
    <row r="1515" spans="1:44" s="17" customFormat="1" ht="30.6" hidden="1" customHeight="1" x14ac:dyDescent="0.2">
      <c r="A1515" s="343" t="s">
        <v>1127</v>
      </c>
      <c r="B1515" s="344" t="s">
        <v>442</v>
      </c>
      <c r="C1515" s="345"/>
      <c r="D1515" s="398">
        <v>3754087</v>
      </c>
      <c r="E1515" s="31">
        <v>4151662</v>
      </c>
      <c r="F1515" s="268" t="str">
        <f>IF(D1515="","",VLOOKUP(D1515,契約台帳!$A$3:$K$4986,6,FALSE)&amp;VLOOKUP(D1515,契約台帳!$A$3:$K$4986,7,FALSE)&amp;VLOOKUP(D1515,契約台帳!$A$3:$K$4986,8,FALSE)&amp;VLOOKUP(D1515,契約台帳!$A$3:$K$4986,9,FALSE)&amp;VLOOKUP(D1515,契約台帳!$A$3:$K$4986,11,FALSE))</f>
        <v>3SNMLBMNGTBF</v>
      </c>
      <c r="G1515" s="269" t="str">
        <f>IF(D1515="","",VLOOKUP(F1515,製品マスタ!$G$5:$H$5002,2,FALSE))</f>
        <v>S</v>
      </c>
      <c r="H1515" s="269" t="str">
        <f>IF(D1515="","",VLOOKUP(F1515,製品マスタ!$G$5:$K$5002,5,FALSE))</f>
        <v>MNGTBF</v>
      </c>
      <c r="I1515" s="270" t="str">
        <f>IF(D1515="","",VLOOKUP(F1515,製品マスタ!$G$5:$L$5002,6,FALSE))</f>
        <v>メタルミー　ネーマー　銀艶　Ｂ</v>
      </c>
      <c r="J1515" s="32" t="s">
        <v>447</v>
      </c>
      <c r="K1515" s="270">
        <f>IF(D1515="","",VLOOKUP(D1515,契約台帳!$A$3:$L$4986,12,FALSE))</f>
        <v>50</v>
      </c>
      <c r="L1515" s="270" t="str">
        <f>IF(D1515="","",INDEX(製品マスタ!$Q$5:$Q$5002,MATCH(F1515&amp;K1515,製品マスタ!$AO$5:$AO$5002,0)))</f>
        <v>T62</v>
      </c>
      <c r="M1515" s="39">
        <v>1120</v>
      </c>
      <c r="N1515" s="39">
        <v>10000</v>
      </c>
      <c r="O1515" s="47">
        <v>6</v>
      </c>
      <c r="P1515" s="57"/>
      <c r="Q1515" s="276">
        <f>IF(D1515="","",IF(J1515="リード付け",M1515,VLOOKUP(D1515,契約台帳!$A$3:$N$4986,14,FALSE)))</f>
        <v>1120</v>
      </c>
      <c r="R1515" s="277">
        <f>IF(D1515="","",IF(J1515="リード付け",M1515,VLOOKUP(D1515,契約台帳!$A$3:$O$4986,15,FALSE)))</f>
        <v>1120</v>
      </c>
      <c r="S1515" s="277">
        <f>IF(D1515="","",IF(J1515="リード付け",N1515,VLOOKUP(D1515,契約台帳!$A$3:$P$4986,16,FALSE)))</f>
        <v>5000</v>
      </c>
      <c r="T1515" s="40">
        <v>12</v>
      </c>
      <c r="U1515" s="278" t="str">
        <f ca="1">IF(D1515="","",IF(OFFSET(D1515,-2,0)=D1515,"",VLOOKUP(D1515,契約台帳!$A$3:$R$4986,18,FALSE)))</f>
        <v/>
      </c>
      <c r="V1515" s="269" t="str">
        <f>IF(J1515="巻返し",VLOOKUP(F1515&amp;K1515&amp;M1515,製品マスタ!$M$5:$AD$5002,18,FALSE),IF(J1515="リード付け","原反コア",IF(J1515="スリット",VLOOKUP(F1515&amp;K1515&amp;Q1515,製品マスタ!$N$5:$AD$5002,17,FALSE),"")))</f>
        <v>6ｲﾝﾁSｺｱ</v>
      </c>
      <c r="W1515" s="269">
        <f>IF(J1515="巻返し",VLOOKUP(F1515&amp;K1515&amp;M1515,製品マスタ!$M$5:$AE$5002,19,FALSE),IF(J1515="リード付け","-",IF(J1515="スリット",VLOOKUP(F1515&amp;K1515&amp;Q1515,製品マスタ!$N$5:$AE$5002,18,FALSE),"")))</f>
        <v>1125</v>
      </c>
      <c r="X1515" s="275">
        <f>IF(D1515="","",VLOOKUP(D1515,契約台帳!$A$3:$Q$4986,17,FALSE))</f>
        <v>2</v>
      </c>
      <c r="Y1515" s="269" t="str">
        <f>IF(D1515="","",VLOOKUP(D1515,契約台帳!$A$3:$E$4986,5,FALSE))</f>
        <v>リンテック㈱</v>
      </c>
      <c r="Z1515" s="357">
        <v>45430</v>
      </c>
      <c r="AA1515" s="207"/>
      <c r="AB1515" s="369"/>
      <c r="AC1515" s="370"/>
      <c r="AD1515" s="332" t="str">
        <f>IF(F1515="","",+F1515&amp;K1515)</f>
        <v>3SNMLBMNGTBF50</v>
      </c>
      <c r="AE1515" s="216">
        <f>+M1515*N1515*O1515/1000</f>
        <v>67200</v>
      </c>
      <c r="AF1515" s="43">
        <f>IF(AD1515="","",VLOOKUP(AD1515,原価マスタ!$A$2:$AJ$1693,13,FALSE))</f>
        <v>99</v>
      </c>
      <c r="AG1515" s="47">
        <f>IF(AF1515="","",+AE1515*AF1515/100)</f>
        <v>66528</v>
      </c>
      <c r="AH1515" s="30"/>
      <c r="AI1515" s="30"/>
      <c r="AJ1515" s="30"/>
      <c r="AK1515" s="30"/>
      <c r="AL1515" s="13"/>
      <c r="AM1515" s="13"/>
      <c r="AN1515" s="13"/>
      <c r="AO1515" s="13"/>
      <c r="AP1515" s="13"/>
      <c r="AQ1515" s="14"/>
      <c r="AR1515" s="15"/>
    </row>
    <row r="1516" spans="1:44" s="17" customFormat="1" ht="30.95" hidden="1" customHeight="1" x14ac:dyDescent="0.2">
      <c r="A1516" s="343"/>
      <c r="B1516" s="344"/>
      <c r="C1516" s="345"/>
      <c r="D1516" s="398"/>
      <c r="E1516" s="31"/>
      <c r="F1516" s="268"/>
      <c r="G1516" s="269"/>
      <c r="H1516" s="269"/>
      <c r="I1516" s="270"/>
      <c r="J1516" s="32"/>
      <c r="K1516" s="270"/>
      <c r="L1516" s="270"/>
      <c r="M1516" s="39"/>
      <c r="N1516" s="39"/>
      <c r="O1516" s="47"/>
      <c r="P1516" s="57"/>
      <c r="Q1516" s="276"/>
      <c r="R1516" s="277"/>
      <c r="S1516" s="277"/>
      <c r="T1516" s="40"/>
      <c r="U1516" s="278"/>
      <c r="V1516" s="269"/>
      <c r="W1516" s="269"/>
      <c r="X1516" s="275"/>
      <c r="Y1516" s="269"/>
      <c r="Z1516" s="357"/>
      <c r="AA1516" s="207"/>
      <c r="AB1516" s="369"/>
      <c r="AC1516" s="370"/>
      <c r="AD1516" s="332"/>
      <c r="AE1516" s="216"/>
      <c r="AF1516" s="43"/>
      <c r="AG1516" s="47"/>
      <c r="AH1516" s="30"/>
      <c r="AI1516" s="30"/>
      <c r="AJ1516" s="30"/>
      <c r="AK1516" s="30"/>
      <c r="AL1516" s="13"/>
      <c r="AM1516" s="13"/>
      <c r="AN1516" s="13"/>
      <c r="AO1516" s="13"/>
      <c r="AP1516" s="13"/>
      <c r="AQ1516" s="14"/>
      <c r="AR1516" s="15"/>
    </row>
    <row r="1517" spans="1:44" s="17" customFormat="1" ht="30.6" hidden="1" customHeight="1" x14ac:dyDescent="0.2">
      <c r="A1517" s="343" t="s">
        <v>1128</v>
      </c>
      <c r="B1517" s="344" t="s">
        <v>443</v>
      </c>
      <c r="C1517" s="345"/>
      <c r="D1517" s="398">
        <v>3754087</v>
      </c>
      <c r="E1517" s="31">
        <v>4151662</v>
      </c>
      <c r="F1517" s="268" t="str">
        <f>IF(D1517="","",VLOOKUP(D1517,契約台帳!$A$3:$K$4986,6,FALSE)&amp;VLOOKUP(D1517,契約台帳!$A$3:$K$4986,7,FALSE)&amp;VLOOKUP(D1517,契約台帳!$A$3:$K$4986,8,FALSE)&amp;VLOOKUP(D1517,契約台帳!$A$3:$K$4986,9,FALSE)&amp;VLOOKUP(D1517,契約台帳!$A$3:$K$4986,11,FALSE))</f>
        <v>3SNMLBMNGTBF</v>
      </c>
      <c r="G1517" s="269" t="str">
        <f>IF(D1517="","",VLOOKUP(F1517,製品マスタ!$G$5:$H$5002,2,FALSE))</f>
        <v>S</v>
      </c>
      <c r="H1517" s="269" t="str">
        <f>IF(D1517="","",VLOOKUP(F1517,製品マスタ!$G$5:$K$5002,5,FALSE))</f>
        <v>MNGTBF</v>
      </c>
      <c r="I1517" s="270" t="str">
        <f>IF(D1517="","",VLOOKUP(F1517,製品マスタ!$G$5:$L$5002,6,FALSE))</f>
        <v>メタルミー　ネーマー　銀艶　Ｂ</v>
      </c>
      <c r="J1517" s="32" t="s">
        <v>447</v>
      </c>
      <c r="K1517" s="270">
        <f>IF(D1517="","",VLOOKUP(D1517,契約台帳!$A$3:$L$4986,12,FALSE))</f>
        <v>50</v>
      </c>
      <c r="L1517" s="270" t="str">
        <f>IF(D1517="","",INDEX(製品マスタ!$Q$5:$Q$5002,MATCH(F1517&amp;K1517,製品マスタ!$AO$5:$AO$5002,0)))</f>
        <v>T62</v>
      </c>
      <c r="M1517" s="39">
        <v>1120</v>
      </c>
      <c r="N1517" s="39">
        <v>10000</v>
      </c>
      <c r="O1517" s="47">
        <v>6</v>
      </c>
      <c r="P1517" s="57"/>
      <c r="Q1517" s="276">
        <f>IF(D1517="","",IF(J1517="リード付け",M1517,VLOOKUP(D1517,契約台帳!$A$3:$N$4986,14,FALSE)))</f>
        <v>1120</v>
      </c>
      <c r="R1517" s="277">
        <f>IF(D1517="","",IF(J1517="リード付け",M1517,VLOOKUP(D1517,契約台帳!$A$3:$O$4986,15,FALSE)))</f>
        <v>1120</v>
      </c>
      <c r="S1517" s="277">
        <f>IF(D1517="","",IF(J1517="リード付け",N1517,VLOOKUP(D1517,契約台帳!$A$3:$P$4986,16,FALSE)))</f>
        <v>5000</v>
      </c>
      <c r="T1517" s="40">
        <v>12</v>
      </c>
      <c r="U1517" s="278" t="str">
        <f ca="1">IF(D1517="","",IF(OFFSET(D1517,-2,0)=D1517,"",VLOOKUP(D1517,契約台帳!$A$3:$R$4986,18,FALSE)))</f>
        <v/>
      </c>
      <c r="V1517" s="269" t="str">
        <f>IF(J1517="巻返し",VLOOKUP(F1517&amp;K1517&amp;M1517,製品マスタ!$M$5:$AD$5002,18,FALSE),IF(J1517="リード付け","原反コア",IF(J1517="スリット",VLOOKUP(F1517&amp;K1517&amp;Q1517,製品マスタ!$N$5:$AD$5002,17,FALSE),"")))</f>
        <v>6ｲﾝﾁSｺｱ</v>
      </c>
      <c r="W1517" s="269">
        <f>IF(J1517="巻返し",VLOOKUP(F1517&amp;K1517&amp;M1517,製品マスタ!$M$5:$AE$5002,19,FALSE),IF(J1517="リード付け","-",IF(J1517="スリット",VLOOKUP(F1517&amp;K1517&amp;Q1517,製品マスタ!$N$5:$AE$5002,18,FALSE),"")))</f>
        <v>1125</v>
      </c>
      <c r="X1517" s="275">
        <f>IF(D1517="","",VLOOKUP(D1517,契約台帳!$A$3:$Q$4986,17,FALSE))</f>
        <v>2</v>
      </c>
      <c r="Y1517" s="269" t="str">
        <f>IF(D1517="","",VLOOKUP(D1517,契約台帳!$A$3:$E$4986,5,FALSE))</f>
        <v>リンテック㈱</v>
      </c>
      <c r="Z1517" s="357">
        <v>45433</v>
      </c>
      <c r="AA1517" s="207"/>
      <c r="AB1517" s="369"/>
      <c r="AC1517" s="370"/>
      <c r="AD1517" s="332" t="str">
        <f>IF(F1517="","",+F1517&amp;K1517)</f>
        <v>3SNMLBMNGTBF50</v>
      </c>
      <c r="AE1517" s="216">
        <f>+M1517*N1517*O1517/1000</f>
        <v>67200</v>
      </c>
      <c r="AF1517" s="43">
        <f>IF(AD1517="","",VLOOKUP(AD1517,原価マスタ!$A$2:$AJ$1693,13,FALSE))</f>
        <v>99</v>
      </c>
      <c r="AG1517" s="47">
        <f>IF(AF1517="","",+AE1517*AF1517/100)</f>
        <v>66528</v>
      </c>
      <c r="AH1517" s="30"/>
      <c r="AI1517" s="30"/>
      <c r="AJ1517" s="30"/>
      <c r="AK1517" s="30"/>
      <c r="AL1517" s="13"/>
      <c r="AM1517" s="13"/>
      <c r="AN1517" s="13"/>
      <c r="AO1517" s="13"/>
      <c r="AP1517" s="13"/>
      <c r="AQ1517" s="14"/>
      <c r="AR1517" s="15"/>
    </row>
    <row r="1518" spans="1:44" s="17" customFormat="1" ht="30.95" hidden="1" customHeight="1" x14ac:dyDescent="0.2">
      <c r="A1518" s="343"/>
      <c r="B1518" s="344"/>
      <c r="C1518" s="345"/>
      <c r="D1518" s="398"/>
      <c r="E1518" s="31"/>
      <c r="F1518" s="268"/>
      <c r="G1518" s="269"/>
      <c r="H1518" s="269"/>
      <c r="I1518" s="270"/>
      <c r="J1518" s="32"/>
      <c r="K1518" s="270"/>
      <c r="L1518" s="270"/>
      <c r="M1518" s="39"/>
      <c r="N1518" s="39"/>
      <c r="O1518" s="47"/>
      <c r="P1518" s="57"/>
      <c r="Q1518" s="276"/>
      <c r="R1518" s="277"/>
      <c r="S1518" s="277"/>
      <c r="T1518" s="40"/>
      <c r="U1518" s="278"/>
      <c r="V1518" s="269"/>
      <c r="W1518" s="269"/>
      <c r="X1518" s="275"/>
      <c r="Y1518" s="269"/>
      <c r="Z1518" s="357"/>
      <c r="AA1518" s="207"/>
      <c r="AB1518" s="369"/>
      <c r="AC1518" s="370"/>
      <c r="AD1518" s="332"/>
      <c r="AE1518" s="216"/>
      <c r="AF1518" s="43"/>
      <c r="AG1518" s="47"/>
      <c r="AH1518" s="30"/>
      <c r="AI1518" s="30"/>
      <c r="AJ1518" s="30"/>
      <c r="AK1518" s="30"/>
      <c r="AL1518" s="13"/>
      <c r="AM1518" s="13"/>
      <c r="AN1518" s="13"/>
      <c r="AO1518" s="13"/>
      <c r="AP1518" s="13"/>
      <c r="AQ1518" s="14"/>
      <c r="AR1518" s="15"/>
    </row>
    <row r="1519" spans="1:44" s="17" customFormat="1" ht="30.6" hidden="1" customHeight="1" x14ac:dyDescent="0.2">
      <c r="A1519" s="343" t="s">
        <v>1129</v>
      </c>
      <c r="B1519" s="344" t="s">
        <v>444</v>
      </c>
      <c r="C1519" s="345"/>
      <c r="D1519" s="398">
        <v>3754087</v>
      </c>
      <c r="E1519" s="31">
        <v>4151662</v>
      </c>
      <c r="F1519" s="268" t="str">
        <f>IF(D1519="","",VLOOKUP(D1519,契約台帳!$A$3:$K$4986,6,FALSE)&amp;VLOOKUP(D1519,契約台帳!$A$3:$K$4986,7,FALSE)&amp;VLOOKUP(D1519,契約台帳!$A$3:$K$4986,8,FALSE)&amp;VLOOKUP(D1519,契約台帳!$A$3:$K$4986,9,FALSE)&amp;VLOOKUP(D1519,契約台帳!$A$3:$K$4986,11,FALSE))</f>
        <v>3SNMLBMNGTBF</v>
      </c>
      <c r="G1519" s="269" t="str">
        <f>IF(D1519="","",VLOOKUP(F1519,製品マスタ!$G$5:$H$5002,2,FALSE))</f>
        <v>S</v>
      </c>
      <c r="H1519" s="269" t="str">
        <f>IF(D1519="","",VLOOKUP(F1519,製品マスタ!$G$5:$K$5002,5,FALSE))</f>
        <v>MNGTBF</v>
      </c>
      <c r="I1519" s="270" t="str">
        <f>IF(D1519="","",VLOOKUP(F1519,製品マスタ!$G$5:$L$5002,6,FALSE))</f>
        <v>メタルミー　ネーマー　銀艶　Ｂ</v>
      </c>
      <c r="J1519" s="32" t="s">
        <v>447</v>
      </c>
      <c r="K1519" s="270">
        <f>IF(D1519="","",VLOOKUP(D1519,契約台帳!$A$3:$L$4986,12,FALSE))</f>
        <v>50</v>
      </c>
      <c r="L1519" s="270" t="str">
        <f>IF(D1519="","",INDEX(製品マスタ!$Q$5:$Q$5002,MATCH(F1519&amp;K1519,製品マスタ!$AO$5:$AO$5002,0)))</f>
        <v>T62</v>
      </c>
      <c r="M1519" s="39">
        <v>1120</v>
      </c>
      <c r="N1519" s="39">
        <v>10000</v>
      </c>
      <c r="O1519" s="47">
        <v>1</v>
      </c>
      <c r="P1519" s="57"/>
      <c r="Q1519" s="276">
        <f>IF(D1519="","",IF(J1519="リード付け",M1519,VLOOKUP(D1519,契約台帳!$A$3:$N$4986,14,FALSE)))</f>
        <v>1120</v>
      </c>
      <c r="R1519" s="277">
        <f>IF(D1519="","",IF(J1519="リード付け",M1519,VLOOKUP(D1519,契約台帳!$A$3:$O$4986,15,FALSE)))</f>
        <v>1120</v>
      </c>
      <c r="S1519" s="277">
        <f>IF(D1519="","",IF(J1519="リード付け",N1519,VLOOKUP(D1519,契約台帳!$A$3:$P$4986,16,FALSE)))</f>
        <v>5000</v>
      </c>
      <c r="T1519" s="40">
        <v>2</v>
      </c>
      <c r="U1519" s="278" t="str">
        <f ca="1">IF(D1519="","",IF(OFFSET(D1519,-2,0)=D1519,"",VLOOKUP(D1519,契約台帳!$A$3:$R$4986,18,FALSE)))</f>
        <v/>
      </c>
      <c r="V1519" s="269" t="str">
        <f>IF(J1519="巻返し",VLOOKUP(F1519&amp;K1519&amp;M1519,製品マスタ!$M$5:$AD$5002,18,FALSE),IF(J1519="リード付け","原反コア",IF(J1519="スリット",VLOOKUP(F1519&amp;K1519&amp;Q1519,製品マスタ!$N$5:$AD$5002,17,FALSE),"")))</f>
        <v>6ｲﾝﾁSｺｱ</v>
      </c>
      <c r="W1519" s="269">
        <f>IF(J1519="巻返し",VLOOKUP(F1519&amp;K1519&amp;M1519,製品マスタ!$M$5:$AE$5002,19,FALSE),IF(J1519="リード付け","-",IF(J1519="スリット",VLOOKUP(F1519&amp;K1519&amp;Q1519,製品マスタ!$N$5:$AE$5002,18,FALSE),"")))</f>
        <v>1125</v>
      </c>
      <c r="X1519" s="275">
        <f>IF(D1519="","",VLOOKUP(D1519,契約台帳!$A$3:$Q$4986,17,FALSE))</f>
        <v>2</v>
      </c>
      <c r="Y1519" s="269" t="str">
        <f>IF(D1519="","",VLOOKUP(D1519,契約台帳!$A$3:$E$4986,5,FALSE))</f>
        <v>リンテック㈱</v>
      </c>
      <c r="Z1519" s="357">
        <v>45434</v>
      </c>
      <c r="AA1519" s="207"/>
      <c r="AB1519" s="369"/>
      <c r="AC1519" s="370"/>
      <c r="AD1519" s="332" t="str">
        <f>IF(F1519="","",+F1519&amp;K1519)</f>
        <v>3SNMLBMNGTBF50</v>
      </c>
      <c r="AE1519" s="216">
        <f>+M1519*N1519*O1519/1000</f>
        <v>11200</v>
      </c>
      <c r="AF1519" s="43">
        <f>IF(AD1519="","",VLOOKUP(AD1519,原価マスタ!$A$2:$AJ$1693,13,FALSE))</f>
        <v>99</v>
      </c>
      <c r="AG1519" s="47">
        <f>IF(AF1519="","",+AE1519*AF1519/100)</f>
        <v>11088</v>
      </c>
      <c r="AH1519" s="30"/>
      <c r="AI1519" s="30"/>
      <c r="AJ1519" s="30"/>
      <c r="AK1519" s="30"/>
      <c r="AL1519" s="13"/>
      <c r="AM1519" s="13"/>
      <c r="AN1519" s="13"/>
      <c r="AO1519" s="13"/>
      <c r="AP1519" s="13"/>
      <c r="AQ1519" s="14"/>
      <c r="AR1519" s="15"/>
    </row>
    <row r="1520" spans="1:44" s="17" customFormat="1" ht="30.95" hidden="1" customHeight="1" x14ac:dyDescent="0.2">
      <c r="A1520" s="343"/>
      <c r="B1520" s="344"/>
      <c r="C1520" s="345"/>
      <c r="D1520" s="398"/>
      <c r="E1520" s="31"/>
      <c r="F1520" s="268"/>
      <c r="G1520" s="269"/>
      <c r="H1520" s="269"/>
      <c r="I1520" s="270"/>
      <c r="J1520" s="32"/>
      <c r="K1520" s="270"/>
      <c r="L1520" s="270"/>
      <c r="M1520" s="39"/>
      <c r="N1520" s="39"/>
      <c r="O1520" s="47"/>
      <c r="P1520" s="57"/>
      <c r="Q1520" s="276"/>
      <c r="R1520" s="277"/>
      <c r="S1520" s="277"/>
      <c r="T1520" s="40"/>
      <c r="U1520" s="278"/>
      <c r="V1520" s="269"/>
      <c r="W1520" s="269"/>
      <c r="X1520" s="275"/>
      <c r="Y1520" s="269"/>
      <c r="Z1520" s="357"/>
      <c r="AA1520" s="207"/>
      <c r="AB1520" s="369"/>
      <c r="AC1520" s="370"/>
      <c r="AD1520" s="332"/>
      <c r="AE1520" s="216"/>
      <c r="AF1520" s="43"/>
      <c r="AG1520" s="47"/>
      <c r="AH1520" s="30"/>
      <c r="AI1520" s="30"/>
      <c r="AJ1520" s="30"/>
      <c r="AK1520" s="30"/>
      <c r="AL1520" s="13"/>
      <c r="AM1520" s="13"/>
      <c r="AN1520" s="13"/>
      <c r="AO1520" s="13"/>
      <c r="AP1520" s="13"/>
      <c r="AQ1520" s="14"/>
      <c r="AR1520" s="15"/>
    </row>
    <row r="1521" spans="1:44" s="17" customFormat="1" ht="30.6" hidden="1" customHeight="1" x14ac:dyDescent="0.2">
      <c r="A1521" s="343"/>
      <c r="B1521" s="344"/>
      <c r="C1521" s="345"/>
      <c r="D1521" s="398">
        <v>3754087</v>
      </c>
      <c r="E1521" s="31">
        <v>4151681</v>
      </c>
      <c r="F1521" s="268" t="str">
        <f>IF(D1521="","",VLOOKUP(D1521,契約台帳!$A$3:$K$4986,6,FALSE)&amp;VLOOKUP(D1521,契約台帳!$A$3:$K$4986,7,FALSE)&amp;VLOOKUP(D1521,契約台帳!$A$3:$K$4986,8,FALSE)&amp;VLOOKUP(D1521,契約台帳!$A$3:$K$4986,9,FALSE)&amp;VLOOKUP(D1521,契約台帳!$A$3:$K$4986,11,FALSE))</f>
        <v>3SNMLBMNGTBF</v>
      </c>
      <c r="G1521" s="269" t="str">
        <f>IF(D1521="","",VLOOKUP(F1521,製品マスタ!$G$5:$H$5002,2,FALSE))</f>
        <v>S</v>
      </c>
      <c r="H1521" s="269" t="str">
        <f>IF(D1521="","",VLOOKUP(F1521,製品マスタ!$G$5:$K$5002,5,FALSE))</f>
        <v>MNGTBF</v>
      </c>
      <c r="I1521" s="270" t="str">
        <f>IF(D1521="","",VLOOKUP(F1521,製品マスタ!$G$5:$L$5002,6,FALSE))</f>
        <v>メタルミー　ネーマー　銀艶　Ｂ</v>
      </c>
      <c r="J1521" s="32" t="s">
        <v>447</v>
      </c>
      <c r="K1521" s="270">
        <f>IF(D1521="","",VLOOKUP(D1521,契約台帳!$A$3:$L$4986,12,FALSE))</f>
        <v>50</v>
      </c>
      <c r="L1521" s="270" t="str">
        <f>IF(D1521="","",INDEX(製品マスタ!$Q$5:$Q$5002,MATCH(F1521&amp;K1521,製品マスタ!$AO$5:$AO$5002,0)))</f>
        <v>T62</v>
      </c>
      <c r="M1521" s="39">
        <v>1120</v>
      </c>
      <c r="N1521" s="39">
        <v>10000</v>
      </c>
      <c r="O1521" s="47">
        <v>5</v>
      </c>
      <c r="P1521" s="57"/>
      <c r="Q1521" s="276">
        <f>IF(D1521="","",IF(J1521="リード付け",M1521,VLOOKUP(D1521,契約台帳!$A$3:$N$4986,14,FALSE)))</f>
        <v>1120</v>
      </c>
      <c r="R1521" s="277">
        <f>IF(D1521="","",IF(J1521="リード付け",M1521,VLOOKUP(D1521,契約台帳!$A$3:$O$4986,15,FALSE)))</f>
        <v>1120</v>
      </c>
      <c r="S1521" s="277">
        <f>IF(D1521="","",IF(J1521="リード付け",N1521,VLOOKUP(D1521,契約台帳!$A$3:$P$4986,16,FALSE)))</f>
        <v>5000</v>
      </c>
      <c r="T1521" s="40">
        <v>10</v>
      </c>
      <c r="U1521" s="278" t="str">
        <f ca="1">IF(D1521="","",IF(OFFSET(D1521,-2,0)=D1521,"",VLOOKUP(D1521,契約台帳!$A$3:$R$4986,18,FALSE)))</f>
        <v/>
      </c>
      <c r="V1521" s="269" t="str">
        <f>IF(J1521="巻返し",VLOOKUP(F1521&amp;K1521&amp;M1521,製品マスタ!$M$5:$AD$5002,18,FALSE),IF(J1521="リード付け","原反コア",IF(J1521="スリット",VLOOKUP(F1521&amp;K1521&amp;Q1521,製品マスタ!$N$5:$AD$5002,17,FALSE),"")))</f>
        <v>6ｲﾝﾁSｺｱ</v>
      </c>
      <c r="W1521" s="269">
        <f>IF(J1521="巻返し",VLOOKUP(F1521&amp;K1521&amp;M1521,製品マスタ!$M$5:$AE$5002,19,FALSE),IF(J1521="リード付け","-",IF(J1521="スリット",VLOOKUP(F1521&amp;K1521&amp;Q1521,製品マスタ!$N$5:$AE$5002,18,FALSE),"")))</f>
        <v>1125</v>
      </c>
      <c r="X1521" s="275">
        <f>IF(D1521="","",VLOOKUP(D1521,契約台帳!$A$3:$Q$4986,17,FALSE))</f>
        <v>2</v>
      </c>
      <c r="Y1521" s="269" t="str">
        <f>IF(D1521="","",VLOOKUP(D1521,契約台帳!$A$3:$E$4986,5,FALSE))</f>
        <v>リンテック㈱</v>
      </c>
      <c r="Z1521" s="357">
        <v>45434</v>
      </c>
      <c r="AA1521" s="207"/>
      <c r="AB1521" s="369"/>
      <c r="AC1521" s="370"/>
      <c r="AD1521" s="332" t="str">
        <f>IF(F1521="","",+F1521&amp;K1521)</f>
        <v>3SNMLBMNGTBF50</v>
      </c>
      <c r="AE1521" s="216">
        <f>+M1521*N1521*O1521/1000</f>
        <v>56000</v>
      </c>
      <c r="AF1521" s="43">
        <f>IF(AD1521="","",VLOOKUP(AD1521,原価マスタ!$A$2:$AJ$1693,13,FALSE))</f>
        <v>99</v>
      </c>
      <c r="AG1521" s="47">
        <f>IF(AF1521="","",+AE1521*AF1521/100)</f>
        <v>55440</v>
      </c>
      <c r="AH1521" s="30"/>
      <c r="AI1521" s="30"/>
      <c r="AJ1521" s="30"/>
      <c r="AK1521" s="30"/>
      <c r="AL1521" s="13"/>
      <c r="AM1521" s="13"/>
      <c r="AN1521" s="13"/>
      <c r="AO1521" s="13"/>
      <c r="AP1521" s="13"/>
      <c r="AQ1521" s="14"/>
      <c r="AR1521" s="15"/>
    </row>
    <row r="1522" spans="1:44" s="17" customFormat="1" ht="30.95" hidden="1" customHeight="1" x14ac:dyDescent="0.2">
      <c r="A1522" s="343"/>
      <c r="B1522" s="344"/>
      <c r="C1522" s="345"/>
      <c r="D1522" s="398"/>
      <c r="E1522" s="31"/>
      <c r="F1522" s="268"/>
      <c r="G1522" s="269"/>
      <c r="H1522" s="269"/>
      <c r="I1522" s="270"/>
      <c r="J1522" s="32"/>
      <c r="K1522" s="270"/>
      <c r="L1522" s="270"/>
      <c r="M1522" s="39"/>
      <c r="N1522" s="39"/>
      <c r="O1522" s="47"/>
      <c r="P1522" s="57"/>
      <c r="Q1522" s="276"/>
      <c r="R1522" s="277"/>
      <c r="S1522" s="277"/>
      <c r="T1522" s="40"/>
      <c r="U1522" s="278"/>
      <c r="V1522" s="269"/>
      <c r="W1522" s="269"/>
      <c r="X1522" s="275"/>
      <c r="Y1522" s="269"/>
      <c r="Z1522" s="357"/>
      <c r="AA1522" s="207"/>
      <c r="AB1522" s="369"/>
      <c r="AC1522" s="370"/>
      <c r="AD1522" s="332"/>
      <c r="AE1522" s="216"/>
      <c r="AF1522" s="43"/>
      <c r="AG1522" s="47"/>
      <c r="AH1522" s="30"/>
      <c r="AI1522" s="30"/>
      <c r="AJ1522" s="30"/>
      <c r="AK1522" s="30"/>
      <c r="AL1522" s="13"/>
      <c r="AM1522" s="13"/>
      <c r="AN1522" s="13"/>
      <c r="AO1522" s="13"/>
      <c r="AP1522" s="13"/>
      <c r="AQ1522" s="14"/>
      <c r="AR1522" s="15"/>
    </row>
    <row r="1523" spans="1:44" s="17" customFormat="1" ht="30.95" hidden="1" customHeight="1" x14ac:dyDescent="0.2">
      <c r="A1523" s="343" t="s">
        <v>1130</v>
      </c>
      <c r="B1523" s="344" t="s">
        <v>445</v>
      </c>
      <c r="C1523" s="345"/>
      <c r="D1523" s="31"/>
      <c r="E1523" s="31"/>
      <c r="F1523" s="268"/>
      <c r="G1523" s="269"/>
      <c r="H1523" s="269"/>
      <c r="I1523" s="270"/>
      <c r="J1523" s="32" t="s">
        <v>448</v>
      </c>
      <c r="K1523" s="270"/>
      <c r="L1523" s="270"/>
      <c r="M1523" s="39"/>
      <c r="N1523" s="39"/>
      <c r="O1523" s="47"/>
      <c r="P1523" s="57"/>
      <c r="Q1523" s="276"/>
      <c r="R1523" s="277"/>
      <c r="S1523" s="277"/>
      <c r="T1523" s="40"/>
      <c r="U1523" s="278"/>
      <c r="V1523" s="269"/>
      <c r="W1523" s="269"/>
      <c r="X1523" s="275"/>
      <c r="Y1523" s="269"/>
      <c r="Z1523" s="357"/>
      <c r="AA1523" s="207"/>
      <c r="AB1523" s="369"/>
      <c r="AC1523" s="370"/>
      <c r="AD1523" s="332"/>
      <c r="AE1523" s="216"/>
      <c r="AF1523" s="43"/>
      <c r="AG1523" s="47"/>
      <c r="AH1523" s="30"/>
      <c r="AI1523" s="30"/>
      <c r="AJ1523" s="30"/>
      <c r="AK1523" s="30"/>
      <c r="AL1523" s="13"/>
      <c r="AM1523" s="13"/>
      <c r="AN1523" s="13"/>
      <c r="AO1523" s="13"/>
      <c r="AP1523" s="13"/>
      <c r="AQ1523" s="14"/>
      <c r="AR1523" s="15"/>
    </row>
    <row r="1524" spans="1:44" s="17" customFormat="1" ht="30.95" hidden="1" customHeight="1" x14ac:dyDescent="0.2">
      <c r="A1524" s="343"/>
      <c r="B1524" s="344"/>
      <c r="C1524" s="345"/>
      <c r="D1524" s="31"/>
      <c r="E1524" s="31"/>
      <c r="F1524" s="268"/>
      <c r="G1524" s="269"/>
      <c r="H1524" s="269"/>
      <c r="I1524" s="270"/>
      <c r="J1524" s="32"/>
      <c r="K1524" s="270"/>
      <c r="L1524" s="270"/>
      <c r="M1524" s="39"/>
      <c r="N1524" s="39"/>
      <c r="O1524" s="47"/>
      <c r="P1524" s="57"/>
      <c r="Q1524" s="276"/>
      <c r="R1524" s="277"/>
      <c r="S1524" s="277"/>
      <c r="T1524" s="40"/>
      <c r="U1524" s="278"/>
      <c r="V1524" s="269"/>
      <c r="W1524" s="269"/>
      <c r="X1524" s="275"/>
      <c r="Y1524" s="269"/>
      <c r="Z1524" s="357"/>
      <c r="AA1524" s="207"/>
      <c r="AB1524" s="369"/>
      <c r="AC1524" s="370"/>
      <c r="AD1524" s="332"/>
      <c r="AE1524" s="216"/>
      <c r="AF1524" s="43"/>
      <c r="AG1524" s="47"/>
      <c r="AH1524" s="30"/>
      <c r="AI1524" s="30"/>
      <c r="AJ1524" s="30"/>
      <c r="AK1524" s="30"/>
      <c r="AL1524" s="13"/>
      <c r="AM1524" s="13"/>
      <c r="AN1524" s="13"/>
      <c r="AO1524" s="13"/>
      <c r="AP1524" s="13"/>
      <c r="AQ1524" s="14"/>
      <c r="AR1524" s="15"/>
    </row>
    <row r="1525" spans="1:44" s="17" customFormat="1" ht="30.95" hidden="1" customHeight="1" x14ac:dyDescent="0.2">
      <c r="A1525" s="343" t="s">
        <v>1131</v>
      </c>
      <c r="B1525" s="344" t="s">
        <v>446</v>
      </c>
      <c r="C1525" s="345"/>
      <c r="D1525" s="31"/>
      <c r="E1525" s="31"/>
      <c r="F1525" s="268"/>
      <c r="G1525" s="269"/>
      <c r="H1525" s="269"/>
      <c r="I1525" s="270"/>
      <c r="J1525" s="32" t="s">
        <v>448</v>
      </c>
      <c r="K1525" s="270"/>
      <c r="L1525" s="270"/>
      <c r="M1525" s="39"/>
      <c r="N1525" s="39"/>
      <c r="O1525" s="47"/>
      <c r="P1525" s="57"/>
      <c r="Q1525" s="276"/>
      <c r="R1525" s="277"/>
      <c r="S1525" s="277"/>
      <c r="T1525" s="40"/>
      <c r="U1525" s="278"/>
      <c r="V1525" s="269"/>
      <c r="W1525" s="269"/>
      <c r="X1525" s="275"/>
      <c r="Y1525" s="269"/>
      <c r="Z1525" s="357"/>
      <c r="AA1525" s="207"/>
      <c r="AB1525" s="369"/>
      <c r="AC1525" s="370"/>
      <c r="AD1525" s="332"/>
      <c r="AE1525" s="216"/>
      <c r="AF1525" s="43"/>
      <c r="AG1525" s="47"/>
      <c r="AH1525" s="30"/>
      <c r="AI1525" s="30"/>
      <c r="AJ1525" s="30"/>
      <c r="AK1525" s="30"/>
      <c r="AL1525" s="13"/>
      <c r="AM1525" s="13"/>
      <c r="AN1525" s="13"/>
      <c r="AO1525" s="13"/>
      <c r="AP1525" s="13"/>
      <c r="AQ1525" s="14"/>
      <c r="AR1525" s="15"/>
    </row>
    <row r="1526" spans="1:44" s="17" customFormat="1" ht="30.95" hidden="1" customHeight="1" x14ac:dyDescent="0.2">
      <c r="A1526" s="343"/>
      <c r="B1526" s="344"/>
      <c r="C1526" s="345"/>
      <c r="D1526" s="398"/>
      <c r="E1526" s="31"/>
      <c r="F1526" s="268"/>
      <c r="G1526" s="269"/>
      <c r="H1526" s="269"/>
      <c r="I1526" s="270"/>
      <c r="J1526" s="32"/>
      <c r="K1526" s="270"/>
      <c r="L1526" s="270"/>
      <c r="M1526" s="39"/>
      <c r="N1526" s="39"/>
      <c r="O1526" s="47"/>
      <c r="P1526" s="57"/>
      <c r="Q1526" s="276"/>
      <c r="R1526" s="277"/>
      <c r="S1526" s="277"/>
      <c r="T1526" s="40"/>
      <c r="U1526" s="278"/>
      <c r="V1526" s="269"/>
      <c r="W1526" s="269"/>
      <c r="X1526" s="275"/>
      <c r="Y1526" s="269"/>
      <c r="Z1526" s="357"/>
      <c r="AA1526" s="207"/>
      <c r="AB1526" s="369"/>
      <c r="AC1526" s="370"/>
      <c r="AD1526" s="332"/>
      <c r="AE1526" s="216"/>
      <c r="AF1526" s="43"/>
      <c r="AG1526" s="47"/>
      <c r="AH1526" s="30"/>
      <c r="AI1526" s="30"/>
      <c r="AJ1526" s="30"/>
      <c r="AK1526" s="30"/>
      <c r="AL1526" s="13"/>
      <c r="AM1526" s="13"/>
      <c r="AN1526" s="13"/>
      <c r="AO1526" s="13"/>
      <c r="AP1526" s="13"/>
      <c r="AQ1526" s="14"/>
      <c r="AR1526" s="15"/>
    </row>
    <row r="1527" spans="1:44" s="17" customFormat="1" ht="30.95" hidden="1" customHeight="1" x14ac:dyDescent="0.2">
      <c r="A1527" s="343" t="s">
        <v>1132</v>
      </c>
      <c r="B1527" s="344" t="s">
        <v>462</v>
      </c>
      <c r="C1527" s="345"/>
      <c r="D1527" s="398">
        <v>3754081</v>
      </c>
      <c r="E1527" s="31">
        <v>4151658</v>
      </c>
      <c r="F1527" s="268" t="str">
        <f>IF(D1527="","",VLOOKUP(D1527,契約台帳!$A$3:$K$4986,6,FALSE)&amp;VLOOKUP(D1527,契約台帳!$A$3:$K$4986,7,FALSE)&amp;VLOOKUP(D1527,契約台帳!$A$3:$K$4986,8,FALSE)&amp;VLOOKUP(D1527,契約台帳!$A$3:$K$4986,9,FALSE)&amp;VLOOKUP(D1527,契約台帳!$A$3:$K$4986,11,FALSE))</f>
        <v>3SYMLBMNGKKBF</v>
      </c>
      <c r="G1527" s="269" t="str">
        <f>IF(D1527="","",VLOOKUP(F1527,製品マスタ!$G$5:$H$5002,2,FALSE))</f>
        <v>S</v>
      </c>
      <c r="H1527" s="269" t="str">
        <f>IF(D1527="","",VLOOKUP(F1527,製品マスタ!$G$5:$K$5002,5,FALSE))</f>
        <v>MNGKKBF</v>
      </c>
      <c r="I1527" s="270" t="str">
        <f>IF(D1527="","",VLOOKUP(F1527,製品マスタ!$G$5:$L$5002,6,FALSE))</f>
        <v>メタルミー　ネーマー銀消改　Ｂ</v>
      </c>
      <c r="J1527" s="32" t="s">
        <v>447</v>
      </c>
      <c r="K1527" s="270">
        <f>IF(D1527="","",VLOOKUP(D1527,契約台帳!$A$3:$L$4986,12,FALSE))</f>
        <v>25</v>
      </c>
      <c r="L1527" s="270" t="str">
        <f>IF(D1527="","",INDEX(製品マスタ!$Q$5:$Q$5002,MATCH(F1527&amp;K1527,製品マスタ!$AO$5:$AO$5002,0)))</f>
        <v>FMATS99</v>
      </c>
      <c r="M1527" s="39">
        <v>1120</v>
      </c>
      <c r="N1527" s="39">
        <v>8000</v>
      </c>
      <c r="O1527" s="47">
        <v>2</v>
      </c>
      <c r="P1527" s="57"/>
      <c r="Q1527" s="276">
        <f>IF(D1527="","",IF(J1527="リード付け",M1527,VLOOKUP(D1527,契約台帳!$A$3:$N$4986,14,FALSE)))</f>
        <v>1120</v>
      </c>
      <c r="R1527" s="277">
        <f>IF(D1527="","",IF(J1527="リード付け",M1527,VLOOKUP(D1527,契約台帳!$A$3:$O$4986,15,FALSE)))</f>
        <v>1120</v>
      </c>
      <c r="S1527" s="277">
        <f>IF(D1527="","",IF(J1527="リード付け",N1527,VLOOKUP(D1527,契約台帳!$A$3:$P$4986,16,FALSE)))</f>
        <v>4000</v>
      </c>
      <c r="T1527" s="40">
        <v>4</v>
      </c>
      <c r="U1527" s="278">
        <f ca="1">IF(D1527="","",IF(OFFSET(D1527,-2,0)=D1527,"",VLOOKUP(D1527,契約台帳!$A$3:$R$4986,18,FALSE)))</f>
        <v>4</v>
      </c>
      <c r="V1527" s="269" t="str">
        <f>IF(J1527="巻返し",VLOOKUP(F1527&amp;K1527&amp;M1527,製品マスタ!$M$5:$AD$5002,18,FALSE),IF(J1527="リード付け","原反コア",IF(J1527="スリット",VLOOKUP(F1527&amp;K1527&amp;Q1527,製品マスタ!$N$5:$AD$5002,17,FALSE),"")))</f>
        <v>6ｲﾝﾁSｺｱ</v>
      </c>
      <c r="W1527" s="269">
        <f>IF(J1527="巻返し",VLOOKUP(F1527&amp;K1527&amp;M1527,製品マスタ!$M$5:$AE$5002,19,FALSE),IF(J1527="リード付け","-",IF(J1527="スリット",VLOOKUP(F1527&amp;K1527&amp;Q1527,製品マスタ!$N$5:$AE$5002,18,FALSE),"")))</f>
        <v>1125</v>
      </c>
      <c r="X1527" s="275">
        <f>IF(D1527="","",VLOOKUP(D1527,契約台帳!$A$3:$Q$4986,17,FALSE))</f>
        <v>2</v>
      </c>
      <c r="Y1527" s="269" t="str">
        <f>IF(D1527="","",VLOOKUP(D1527,契約台帳!$A$3:$E$4986,5,FALSE))</f>
        <v>リンテック㈱</v>
      </c>
      <c r="Z1527" s="357">
        <v>45434</v>
      </c>
      <c r="AA1527" s="429" t="s">
        <v>2330</v>
      </c>
      <c r="AB1527" s="369"/>
      <c r="AC1527" s="370"/>
      <c r="AD1527" s="332" t="str">
        <f>IF(F1527="","",+F1527&amp;K1527)</f>
        <v>3SYMLBMNGKKBF25</v>
      </c>
      <c r="AE1527" s="216">
        <f>+M1527*N1527*O1527/1000</f>
        <v>17920</v>
      </c>
      <c r="AF1527" s="223" t="e">
        <f>IF(AD1527="","",VLOOKUP(AD1527,原価マスタ!$A$2:$AJ$1693,13,FALSE))</f>
        <v>#N/A</v>
      </c>
      <c r="AG1527" s="47" t="e">
        <f>IF(AF1527="","",+AE1527*AF1527/100)</f>
        <v>#N/A</v>
      </c>
      <c r="AH1527" s="30"/>
      <c r="AI1527" s="30"/>
      <c r="AJ1527" s="30"/>
      <c r="AK1527" s="30"/>
      <c r="AL1527" s="13"/>
      <c r="AM1527" s="13"/>
      <c r="AN1527" s="13"/>
      <c r="AO1527" s="13"/>
      <c r="AP1527" s="13"/>
      <c r="AQ1527" s="14"/>
      <c r="AR1527" s="15"/>
    </row>
    <row r="1528" spans="1:44" s="17" customFormat="1" ht="30.95" hidden="1" customHeight="1" x14ac:dyDescent="0.2">
      <c r="A1528" s="343"/>
      <c r="B1528" s="344"/>
      <c r="C1528" s="345"/>
      <c r="D1528" s="398"/>
      <c r="E1528" s="31"/>
      <c r="F1528" s="268"/>
      <c r="G1528" s="269"/>
      <c r="H1528" s="269"/>
      <c r="I1528" s="270"/>
      <c r="J1528" s="32"/>
      <c r="K1528" s="270"/>
      <c r="L1528" s="270"/>
      <c r="M1528" s="39"/>
      <c r="N1528" s="39"/>
      <c r="O1528" s="47"/>
      <c r="P1528" s="57"/>
      <c r="Q1528" s="276"/>
      <c r="R1528" s="277"/>
      <c r="S1528" s="277"/>
      <c r="T1528" s="40"/>
      <c r="U1528" s="278"/>
      <c r="V1528" s="269"/>
      <c r="W1528" s="269"/>
      <c r="X1528" s="275"/>
      <c r="Y1528" s="269"/>
      <c r="Z1528" s="357"/>
      <c r="AA1528" s="207"/>
      <c r="AB1528" s="369"/>
      <c r="AC1528" s="370"/>
      <c r="AD1528" s="332"/>
      <c r="AE1528" s="216"/>
      <c r="AF1528" s="43"/>
      <c r="AG1528" s="47"/>
      <c r="AH1528" s="30"/>
      <c r="AI1528" s="30"/>
      <c r="AJ1528" s="30"/>
      <c r="AK1528" s="30"/>
      <c r="AL1528" s="13"/>
      <c r="AM1528" s="13"/>
      <c r="AN1528" s="13"/>
      <c r="AO1528" s="13"/>
      <c r="AP1528" s="13"/>
      <c r="AQ1528" s="14"/>
      <c r="AR1528" s="15"/>
    </row>
    <row r="1529" spans="1:44" s="17" customFormat="1" ht="30.6" hidden="1" customHeight="1" x14ac:dyDescent="0.2">
      <c r="A1529" s="343"/>
      <c r="B1529" s="344"/>
      <c r="C1529" s="345"/>
      <c r="D1529" s="398">
        <v>3754093</v>
      </c>
      <c r="E1529" s="31">
        <v>4151671</v>
      </c>
      <c r="F1529" s="268" t="str">
        <f>IF(D1529="","",VLOOKUP(D1529,契約台帳!$A$3:$K$4986,6,FALSE)&amp;VLOOKUP(D1529,契約台帳!$A$3:$K$4986,7,FALSE)&amp;VLOOKUP(D1529,契約台帳!$A$3:$K$4986,8,FALSE)&amp;VLOOKUP(D1529,契約台帳!$A$3:$K$4986,9,FALSE)&amp;VLOOKUP(D1529,契約台帳!$A$3:$K$4986,11,FALSE))</f>
        <v>3SYMLBMSNMBZF</v>
      </c>
      <c r="G1529" s="269" t="str">
        <f>IF(D1529="","",VLOOKUP(F1529,製品マスタ!$G$5:$H$5002,2,FALSE))</f>
        <v>S</v>
      </c>
      <c r="H1529" s="269" t="str">
        <f>IF(D1529="","",VLOOKUP(F1529,製品マスタ!$G$5:$K$5002,5,FALSE))</f>
        <v>MSNMBZF</v>
      </c>
      <c r="I1529" s="270" t="str">
        <f>IF(D1529="","",VLOOKUP(F1529,製品マスタ!$G$5:$L$5002,6,FALSE))</f>
        <v>ＭＥＴＡＬＵＭＹ　ＳＩＬＶＥＲ　Ｎ－ＭＡＴＴＥ　Ｂ</v>
      </c>
      <c r="J1529" s="32" t="s">
        <v>447</v>
      </c>
      <c r="K1529" s="270">
        <f>IF(D1529="","",VLOOKUP(D1529,契約台帳!$A$3:$L$4986,12,FALSE))</f>
        <v>25</v>
      </c>
      <c r="L1529" s="270" t="str">
        <f>IF(D1529="","",INDEX(製品マスタ!$Q$5:$Q$5002,MATCH(F1529&amp;K1529,製品マスタ!$AO$5:$AO$5002,0)))</f>
        <v>X44</v>
      </c>
      <c r="M1529" s="39">
        <v>1120</v>
      </c>
      <c r="N1529" s="39">
        <v>16000</v>
      </c>
      <c r="O1529" s="47">
        <v>1</v>
      </c>
      <c r="P1529" s="57"/>
      <c r="Q1529" s="276">
        <f>IF(D1529="","",IF(J1529="リード付け",M1529,VLOOKUP(D1529,契約台帳!$A$3:$N$4986,14,FALSE)))</f>
        <v>1120</v>
      </c>
      <c r="R1529" s="277">
        <f>IF(D1529="","",IF(J1529="リード付け",M1529,VLOOKUP(D1529,契約台帳!$A$3:$O$4986,15,FALSE)))</f>
        <v>1120</v>
      </c>
      <c r="S1529" s="277">
        <f>IF(D1529="","",IF(J1529="リード付け",N1529,VLOOKUP(D1529,契約台帳!$A$3:$P$4986,16,FALSE)))</f>
        <v>8000</v>
      </c>
      <c r="T1529" s="40">
        <v>2</v>
      </c>
      <c r="U1529" s="278">
        <f ca="1">IF(D1529="","",IF(OFFSET(D1529,-2,0)=D1529,"",VLOOKUP(D1529,契約台帳!$A$3:$R$4986,18,FALSE)))</f>
        <v>2</v>
      </c>
      <c r="V1529" s="269" t="str">
        <f>IF(J1529="巻返し",VLOOKUP(F1529&amp;K1529&amp;M1529,製品マスタ!$M$5:$AD$5002,18,FALSE),IF(J1529="リード付け","原反コア",IF(J1529="スリット",VLOOKUP(F1529&amp;K1529&amp;Q1529,製品マスタ!$N$5:$AD$5002,17,FALSE),"")))</f>
        <v>6ｲﾝﾁMｺｱ</v>
      </c>
      <c r="W1529" s="269">
        <f>IF(J1529="巻返し",VLOOKUP(F1529&amp;K1529&amp;M1529,製品マスタ!$M$5:$AE$5002,19,FALSE),IF(J1529="リード付け","-",IF(J1529="スリット",VLOOKUP(F1529&amp;K1529&amp;Q1529,製品マスタ!$N$5:$AE$5002,18,FALSE),"")))</f>
        <v>1125</v>
      </c>
      <c r="X1529" s="275">
        <f>IF(D1529="","",VLOOKUP(D1529,契約台帳!$A$3:$Q$4986,17,FALSE))</f>
        <v>2</v>
      </c>
      <c r="Y1529" s="269" t="str">
        <f>IF(D1529="","",VLOOKUP(D1529,契約台帳!$A$3:$E$4986,5,FALSE))</f>
        <v>リンテック㈱</v>
      </c>
      <c r="Z1529" s="357">
        <v>45435</v>
      </c>
      <c r="AA1529" s="207"/>
      <c r="AB1529" s="369"/>
      <c r="AC1529" s="370"/>
      <c r="AD1529" s="332" t="str">
        <f>IF(F1529="","",+F1529&amp;K1529)</f>
        <v>3SYMLBMSNMBZF25</v>
      </c>
      <c r="AE1529" s="216">
        <f>+M1529*N1529*O1529/1000</f>
        <v>17920</v>
      </c>
      <c r="AF1529" s="43">
        <f>IF(AD1529="","",VLOOKUP(AD1529,原価マスタ!$A$2:$AJ$1693,13,FALSE))</f>
        <v>98.3</v>
      </c>
      <c r="AG1529" s="47">
        <f>IF(AF1529="","",+AE1529*AF1529/100)</f>
        <v>17615.36</v>
      </c>
      <c r="AH1529" s="30"/>
      <c r="AI1529" s="30"/>
      <c r="AJ1529" s="30"/>
      <c r="AK1529" s="30"/>
      <c r="AL1529" s="13"/>
      <c r="AM1529" s="13"/>
      <c r="AN1529" s="13"/>
      <c r="AO1529" s="13"/>
      <c r="AP1529" s="13"/>
      <c r="AQ1529" s="14"/>
      <c r="AR1529" s="15"/>
    </row>
    <row r="1530" spans="1:44" s="17" customFormat="1" ht="30.95" hidden="1" customHeight="1" x14ac:dyDescent="0.2">
      <c r="A1530" s="343"/>
      <c r="B1530" s="344"/>
      <c r="C1530" s="345"/>
      <c r="D1530" s="398"/>
      <c r="E1530" s="31"/>
      <c r="F1530" s="268"/>
      <c r="G1530" s="269"/>
      <c r="H1530" s="269"/>
      <c r="I1530" s="270"/>
      <c r="J1530" s="32"/>
      <c r="K1530" s="270"/>
      <c r="L1530" s="270"/>
      <c r="M1530" s="39"/>
      <c r="N1530" s="39"/>
      <c r="O1530" s="47"/>
      <c r="P1530" s="57"/>
      <c r="Q1530" s="276"/>
      <c r="R1530" s="277"/>
      <c r="S1530" s="277"/>
      <c r="T1530" s="40"/>
      <c r="U1530" s="278"/>
      <c r="V1530" s="269"/>
      <c r="W1530" s="269"/>
      <c r="X1530" s="275"/>
      <c r="Y1530" s="269"/>
      <c r="Z1530" s="357"/>
      <c r="AA1530" s="207"/>
      <c r="AB1530" s="369"/>
      <c r="AC1530" s="370"/>
      <c r="AD1530" s="332"/>
      <c r="AE1530" s="216"/>
      <c r="AF1530" s="43"/>
      <c r="AG1530" s="47"/>
      <c r="AH1530" s="30"/>
      <c r="AI1530" s="30"/>
      <c r="AJ1530" s="30"/>
      <c r="AK1530" s="30"/>
      <c r="AL1530" s="13"/>
      <c r="AM1530" s="13"/>
      <c r="AN1530" s="13"/>
      <c r="AO1530" s="13"/>
      <c r="AP1530" s="13"/>
      <c r="AQ1530" s="14"/>
      <c r="AR1530" s="15"/>
    </row>
    <row r="1531" spans="1:44" s="17" customFormat="1" ht="30.6" hidden="1" customHeight="1" x14ac:dyDescent="0.2">
      <c r="A1531" s="343"/>
      <c r="B1531" s="344"/>
      <c r="C1531" s="345"/>
      <c r="D1531" s="398">
        <v>3754082</v>
      </c>
      <c r="E1531" s="31">
        <v>4151659</v>
      </c>
      <c r="F1531" s="268" t="str">
        <f>IF(D1531="","",VLOOKUP(D1531,契約台帳!$A$3:$K$4986,6,FALSE)&amp;VLOOKUP(D1531,契約台帳!$A$3:$K$4986,7,FALSE)&amp;VLOOKUP(D1531,契約台帳!$A$3:$K$4986,8,FALSE)&amp;VLOOKUP(D1531,契約台帳!$A$3:$K$4986,9,FALSE)&amp;VLOOKUP(D1531,契約台帳!$A$3:$K$4986,11,FALSE))</f>
        <v>3SNMLBMNGKKBF</v>
      </c>
      <c r="G1531" s="269" t="str">
        <f>IF(D1531="","",VLOOKUP(F1531,製品マスタ!$G$5:$H$5002,2,FALSE))</f>
        <v>S</v>
      </c>
      <c r="H1531" s="269" t="str">
        <f>IF(D1531="","",VLOOKUP(F1531,製品マスタ!$G$5:$K$5002,5,FALSE))</f>
        <v>MNGKKBF</v>
      </c>
      <c r="I1531" s="270" t="str">
        <f>IF(D1531="","",VLOOKUP(F1531,製品マスタ!$G$5:$L$5002,6,FALSE))</f>
        <v>メタルミー　ネーマー銀消改　Ｂ</v>
      </c>
      <c r="J1531" s="32" t="s">
        <v>447</v>
      </c>
      <c r="K1531" s="270">
        <f>IF(D1531="","",VLOOKUP(D1531,契約台帳!$A$3:$L$4986,12,FALSE))</f>
        <v>50</v>
      </c>
      <c r="L1531" s="270" t="str">
        <f>IF(D1531="","",INDEX(製品マスタ!$Q$5:$Q$5002,MATCH(F1531&amp;K1531,製品マスタ!$AO$5:$AO$5002,0)))</f>
        <v>S99-MAT</v>
      </c>
      <c r="M1531" s="39">
        <v>1000</v>
      </c>
      <c r="N1531" s="39">
        <v>12000</v>
      </c>
      <c r="O1531" s="47">
        <v>1</v>
      </c>
      <c r="P1531" s="57"/>
      <c r="Q1531" s="276">
        <f>IF(D1531="","",IF(J1531="リード付け",M1531,VLOOKUP(D1531,契約台帳!$A$3:$N$4986,14,FALSE)))</f>
        <v>1000</v>
      </c>
      <c r="R1531" s="277">
        <f>IF(D1531="","",IF(J1531="リード付け",M1531,VLOOKUP(D1531,契約台帳!$A$3:$O$4986,15,FALSE)))</f>
        <v>1000</v>
      </c>
      <c r="S1531" s="277">
        <f>IF(D1531="","",IF(J1531="リード付け",N1531,VLOOKUP(D1531,契約台帳!$A$3:$P$4986,16,FALSE)))</f>
        <v>4000</v>
      </c>
      <c r="T1531" s="40">
        <v>3</v>
      </c>
      <c r="U1531" s="278">
        <f ca="1">IF(D1531="","",IF(OFFSET(D1531,-2,0)=D1531,"",VLOOKUP(D1531,契約台帳!$A$3:$R$4986,18,FALSE)))</f>
        <v>3</v>
      </c>
      <c r="V1531" s="269" t="str">
        <f>IF(J1531="巻返し",VLOOKUP(F1531&amp;K1531&amp;M1531,製品マスタ!$M$5:$AD$5002,18,FALSE),IF(J1531="リード付け","原反コア",IF(J1531="スリット",VLOOKUP(F1531&amp;K1531&amp;Q1531,製品マスタ!$N$5:$AD$5002,17,FALSE),"")))</f>
        <v>6ｲﾝﾁSｺｱ</v>
      </c>
      <c r="W1531" s="269">
        <f>IF(J1531="巻返し",VLOOKUP(F1531&amp;K1531&amp;M1531,製品マスタ!$M$5:$AE$5002,19,FALSE),IF(J1531="リード付け","-",IF(J1531="スリット",VLOOKUP(F1531&amp;K1531&amp;Q1531,製品マスタ!$N$5:$AE$5002,18,FALSE),"")))</f>
        <v>1005</v>
      </c>
      <c r="X1531" s="275">
        <f>IF(D1531="","",VLOOKUP(D1531,契約台帳!$A$3:$Q$4986,17,FALSE))</f>
        <v>2</v>
      </c>
      <c r="Y1531" s="269" t="str">
        <f>IF(D1531="","",VLOOKUP(D1531,契約台帳!$A$3:$E$4986,5,FALSE))</f>
        <v>リンテック㈱</v>
      </c>
      <c r="Z1531" s="357">
        <v>45436</v>
      </c>
      <c r="AA1531" s="207"/>
      <c r="AB1531" s="369"/>
      <c r="AC1531" s="370"/>
      <c r="AD1531" s="332" t="str">
        <f>IF(F1531="","",+F1531&amp;K1531)</f>
        <v>3SNMLBMNGKKBF50</v>
      </c>
      <c r="AE1531" s="216">
        <f>+M1531*N1531*O1531/1000</f>
        <v>12000</v>
      </c>
      <c r="AF1531" s="43">
        <f>IF(AD1531="","",VLOOKUP(AD1531,原価マスタ!$A$2:$AJ$1693,13,FALSE))</f>
        <v>99</v>
      </c>
      <c r="AG1531" s="47">
        <f>IF(AF1531="","",+AE1531*AF1531/100)</f>
        <v>11880</v>
      </c>
      <c r="AH1531" s="30"/>
      <c r="AI1531" s="30"/>
      <c r="AJ1531" s="30"/>
      <c r="AK1531" s="30"/>
      <c r="AL1531" s="13"/>
      <c r="AM1531" s="13"/>
      <c r="AN1531" s="13"/>
      <c r="AO1531" s="13"/>
      <c r="AP1531" s="13"/>
      <c r="AQ1531" s="14"/>
      <c r="AR1531" s="15"/>
    </row>
    <row r="1532" spans="1:44" s="17" customFormat="1" ht="30.95" hidden="1" customHeight="1" x14ac:dyDescent="0.2">
      <c r="A1532" s="343"/>
      <c r="B1532" s="344"/>
      <c r="C1532" s="345"/>
      <c r="D1532" s="398"/>
      <c r="E1532" s="31"/>
      <c r="F1532" s="268"/>
      <c r="G1532" s="269"/>
      <c r="H1532" s="269"/>
      <c r="I1532" s="270"/>
      <c r="J1532" s="32"/>
      <c r="K1532" s="270"/>
      <c r="L1532" s="270"/>
      <c r="M1532" s="39"/>
      <c r="N1532" s="39"/>
      <c r="O1532" s="47"/>
      <c r="P1532" s="57"/>
      <c r="Q1532" s="276"/>
      <c r="R1532" s="277"/>
      <c r="S1532" s="277"/>
      <c r="T1532" s="40"/>
      <c r="U1532" s="278"/>
      <c r="V1532" s="269"/>
      <c r="W1532" s="269"/>
      <c r="X1532" s="275"/>
      <c r="Y1532" s="269"/>
      <c r="Z1532" s="357"/>
      <c r="AA1532" s="207"/>
      <c r="AB1532" s="369"/>
      <c r="AC1532" s="370"/>
      <c r="AD1532" s="332"/>
      <c r="AE1532" s="216"/>
      <c r="AF1532" s="43"/>
      <c r="AG1532" s="47"/>
      <c r="AH1532" s="30"/>
      <c r="AI1532" s="30"/>
      <c r="AJ1532" s="30"/>
      <c r="AK1532" s="30"/>
      <c r="AL1532" s="13"/>
      <c r="AM1532" s="13"/>
      <c r="AN1532" s="13"/>
      <c r="AO1532" s="13"/>
      <c r="AP1532" s="13"/>
      <c r="AQ1532" s="14"/>
      <c r="AR1532" s="15"/>
    </row>
    <row r="1533" spans="1:44" s="17" customFormat="1" ht="30.95" hidden="1" customHeight="1" x14ac:dyDescent="0.2">
      <c r="A1533" s="343" t="s">
        <v>1133</v>
      </c>
      <c r="B1533" s="344" t="s">
        <v>688</v>
      </c>
      <c r="C1533" s="345"/>
      <c r="D1533" s="398">
        <v>3754079</v>
      </c>
      <c r="E1533" s="414" t="s">
        <v>2824</v>
      </c>
      <c r="F1533" s="268" t="s">
        <v>2823</v>
      </c>
      <c r="G1533" s="269" t="s">
        <v>19</v>
      </c>
      <c r="H1533" s="269" t="s">
        <v>230</v>
      </c>
      <c r="I1533" s="270" t="s">
        <v>2844</v>
      </c>
      <c r="J1533" s="32" t="s">
        <v>447</v>
      </c>
      <c r="K1533" s="270">
        <v>25</v>
      </c>
      <c r="L1533" s="270" t="s">
        <v>2843</v>
      </c>
      <c r="M1533" s="39">
        <v>1240</v>
      </c>
      <c r="N1533" s="39">
        <v>2000</v>
      </c>
      <c r="O1533" s="47">
        <v>1</v>
      </c>
      <c r="P1533" s="57"/>
      <c r="Q1533" s="276">
        <v>1240</v>
      </c>
      <c r="R1533" s="277">
        <v>1240</v>
      </c>
      <c r="S1533" s="277">
        <v>2000</v>
      </c>
      <c r="T1533" s="40">
        <v>1</v>
      </c>
      <c r="U1533" s="278">
        <v>1</v>
      </c>
      <c r="V1533" s="269" t="s">
        <v>903</v>
      </c>
      <c r="W1533" s="269">
        <v>1245</v>
      </c>
      <c r="X1533" s="275">
        <v>1</v>
      </c>
      <c r="Y1533" s="269" t="s">
        <v>232</v>
      </c>
      <c r="Z1533" s="357" t="s">
        <v>2841</v>
      </c>
      <c r="AA1533" s="207"/>
      <c r="AB1533" s="369"/>
      <c r="AC1533" s="370"/>
      <c r="AD1533" s="332"/>
      <c r="AE1533" s="216"/>
      <c r="AF1533" s="43"/>
      <c r="AG1533" s="47"/>
      <c r="AH1533" s="30"/>
      <c r="AI1533" s="30"/>
      <c r="AJ1533" s="30"/>
      <c r="AK1533" s="30"/>
      <c r="AL1533" s="13"/>
      <c r="AM1533" s="13"/>
      <c r="AN1533" s="13"/>
      <c r="AO1533" s="13"/>
      <c r="AP1533" s="13"/>
      <c r="AQ1533" s="14"/>
      <c r="AR1533" s="15"/>
    </row>
    <row r="1534" spans="1:44" s="17" customFormat="1" ht="30.95" hidden="1" customHeight="1" x14ac:dyDescent="0.2">
      <c r="A1534" s="343"/>
      <c r="B1534" s="344"/>
      <c r="C1534" s="345"/>
      <c r="D1534" s="398"/>
      <c r="E1534" s="31"/>
      <c r="F1534" s="268"/>
      <c r="G1534" s="269"/>
      <c r="H1534" s="269"/>
      <c r="I1534" s="341" t="s">
        <v>2842</v>
      </c>
      <c r="J1534" s="32"/>
      <c r="K1534" s="270"/>
      <c r="L1534" s="270"/>
      <c r="M1534" s="39"/>
      <c r="N1534" s="39"/>
      <c r="O1534" s="47"/>
      <c r="P1534" s="57"/>
      <c r="Q1534" s="276"/>
      <c r="R1534" s="277"/>
      <c r="S1534" s="277"/>
      <c r="T1534" s="40"/>
      <c r="U1534" s="278"/>
      <c r="V1534" s="269"/>
      <c r="W1534" s="269"/>
      <c r="X1534" s="275"/>
      <c r="Y1534" s="269"/>
      <c r="Z1534" s="357"/>
      <c r="AA1534" s="207"/>
      <c r="AB1534" s="369"/>
      <c r="AC1534" s="370"/>
      <c r="AD1534" s="332"/>
      <c r="AE1534" s="216"/>
      <c r="AF1534" s="43"/>
      <c r="AG1534" s="47"/>
      <c r="AH1534" s="30"/>
      <c r="AI1534" s="30"/>
      <c r="AJ1534" s="30"/>
      <c r="AK1534" s="30"/>
      <c r="AL1534" s="13"/>
      <c r="AM1534" s="13"/>
      <c r="AN1534" s="13"/>
      <c r="AO1534" s="13"/>
      <c r="AP1534" s="13"/>
      <c r="AQ1534" s="14"/>
      <c r="AR1534" s="15"/>
    </row>
    <row r="1535" spans="1:44" s="17" customFormat="1" ht="30.95" hidden="1" customHeight="1" x14ac:dyDescent="0.2">
      <c r="A1535" s="343"/>
      <c r="B1535" s="344"/>
      <c r="C1535" s="345"/>
      <c r="D1535" s="398">
        <v>3750056</v>
      </c>
      <c r="E1535" s="414" t="s">
        <v>1277</v>
      </c>
      <c r="F1535" s="268" t="s">
        <v>2823</v>
      </c>
      <c r="G1535" s="269" t="s">
        <v>19</v>
      </c>
      <c r="H1535" s="269" t="s">
        <v>230</v>
      </c>
      <c r="I1535" s="270" t="s">
        <v>2844</v>
      </c>
      <c r="J1535" s="32" t="s">
        <v>447</v>
      </c>
      <c r="K1535" s="270">
        <v>25</v>
      </c>
      <c r="L1535" s="270" t="s">
        <v>2843</v>
      </c>
      <c r="M1535" s="39">
        <v>1020</v>
      </c>
      <c r="N1535" s="39">
        <v>2000</v>
      </c>
      <c r="O1535" s="47">
        <v>1</v>
      </c>
      <c r="P1535" s="57"/>
      <c r="Q1535" s="276">
        <v>1020</v>
      </c>
      <c r="R1535" s="277">
        <v>1020</v>
      </c>
      <c r="S1535" s="277">
        <v>2000</v>
      </c>
      <c r="T1535" s="40">
        <v>1</v>
      </c>
      <c r="U1535" s="278">
        <v>1</v>
      </c>
      <c r="V1535" s="269" t="s">
        <v>903</v>
      </c>
      <c r="W1535" s="269">
        <v>1025</v>
      </c>
      <c r="X1535" s="275">
        <v>2</v>
      </c>
      <c r="Y1535" s="269" t="s">
        <v>17</v>
      </c>
      <c r="Z1535" s="357" t="s">
        <v>2841</v>
      </c>
      <c r="AA1535" s="207"/>
      <c r="AB1535" s="369"/>
      <c r="AC1535" s="370"/>
      <c r="AD1535" s="332"/>
      <c r="AE1535" s="216"/>
      <c r="AF1535" s="43"/>
      <c r="AG1535" s="47"/>
      <c r="AH1535" s="30"/>
      <c r="AI1535" s="30"/>
      <c r="AJ1535" s="30"/>
      <c r="AK1535" s="30"/>
      <c r="AL1535" s="13"/>
      <c r="AM1535" s="13"/>
      <c r="AN1535" s="13"/>
      <c r="AO1535" s="13"/>
      <c r="AP1535" s="13"/>
      <c r="AQ1535" s="14"/>
      <c r="AR1535" s="15"/>
    </row>
    <row r="1536" spans="1:44" s="17" customFormat="1" ht="30.95" hidden="1" customHeight="1" x14ac:dyDescent="0.2">
      <c r="A1536" s="343"/>
      <c r="B1536" s="344"/>
      <c r="C1536" s="345"/>
      <c r="D1536" s="398"/>
      <c r="E1536" s="31"/>
      <c r="F1536" s="268"/>
      <c r="G1536" s="269"/>
      <c r="H1536" s="269"/>
      <c r="I1536" s="341" t="s">
        <v>2845</v>
      </c>
      <c r="J1536" s="32"/>
      <c r="K1536" s="270"/>
      <c r="L1536" s="270"/>
      <c r="M1536" s="39"/>
      <c r="N1536" s="39"/>
      <c r="O1536" s="47"/>
      <c r="P1536" s="57"/>
      <c r="Q1536" s="276"/>
      <c r="R1536" s="277"/>
      <c r="S1536" s="277"/>
      <c r="T1536" s="40"/>
      <c r="U1536" s="278"/>
      <c r="V1536" s="269"/>
      <c r="W1536" s="269"/>
      <c r="X1536" s="275"/>
      <c r="Y1536" s="269"/>
      <c r="Z1536" s="357"/>
      <c r="AA1536" s="207"/>
      <c r="AB1536" s="369"/>
      <c r="AC1536" s="370"/>
      <c r="AD1536" s="332"/>
      <c r="AE1536" s="216"/>
      <c r="AF1536" s="43"/>
      <c r="AG1536" s="47"/>
      <c r="AH1536" s="30"/>
      <c r="AI1536" s="30"/>
      <c r="AJ1536" s="30"/>
      <c r="AK1536" s="30"/>
      <c r="AL1536" s="13"/>
      <c r="AM1536" s="13"/>
      <c r="AN1536" s="13"/>
      <c r="AO1536" s="13"/>
      <c r="AP1536" s="13"/>
      <c r="AQ1536" s="14"/>
      <c r="AR1536" s="15"/>
    </row>
    <row r="1537" spans="1:44" s="17" customFormat="1" ht="30.95" hidden="1" customHeight="1" x14ac:dyDescent="0.2">
      <c r="A1537" s="343"/>
      <c r="B1537" s="344"/>
      <c r="C1537" s="345"/>
      <c r="D1537" s="398">
        <v>3750070</v>
      </c>
      <c r="E1537" s="31" t="s">
        <v>1277</v>
      </c>
      <c r="F1537" s="268" t="s">
        <v>2846</v>
      </c>
      <c r="G1537" s="269" t="s">
        <v>19</v>
      </c>
      <c r="H1537" s="269" t="s">
        <v>216</v>
      </c>
      <c r="I1537" s="270" t="s">
        <v>2848</v>
      </c>
      <c r="J1537" s="32" t="s">
        <v>447</v>
      </c>
      <c r="K1537" s="270">
        <v>25</v>
      </c>
      <c r="L1537" s="270" t="s">
        <v>216</v>
      </c>
      <c r="M1537" s="39">
        <v>1000</v>
      </c>
      <c r="N1537" s="39">
        <v>4000</v>
      </c>
      <c r="O1537" s="47">
        <v>1</v>
      </c>
      <c r="P1537" s="57"/>
      <c r="Q1537" s="276">
        <v>1005</v>
      </c>
      <c r="R1537" s="277">
        <v>1000</v>
      </c>
      <c r="S1537" s="277">
        <v>4000</v>
      </c>
      <c r="T1537" s="40">
        <v>1</v>
      </c>
      <c r="U1537" s="278">
        <v>1</v>
      </c>
      <c r="V1537" s="269" t="s">
        <v>806</v>
      </c>
      <c r="W1537" s="269">
        <v>1015</v>
      </c>
      <c r="X1537" s="275">
        <v>2</v>
      </c>
      <c r="Y1537" s="269" t="s">
        <v>116</v>
      </c>
      <c r="Z1537" s="357" t="s">
        <v>2841</v>
      </c>
      <c r="AA1537" s="207"/>
      <c r="AB1537" s="369"/>
      <c r="AC1537" s="370"/>
      <c r="AD1537" s="332" t="s">
        <v>2847</v>
      </c>
      <c r="AE1537" s="216">
        <v>24321</v>
      </c>
      <c r="AF1537" s="43">
        <v>97.5</v>
      </c>
      <c r="AG1537" s="47">
        <v>23712.974999999999</v>
      </c>
      <c r="AH1537" s="30"/>
      <c r="AI1537" s="30"/>
      <c r="AJ1537" s="30"/>
      <c r="AK1537" s="30"/>
      <c r="AL1537" s="13"/>
      <c r="AM1537" s="13"/>
      <c r="AN1537" s="13"/>
      <c r="AO1537" s="13"/>
      <c r="AP1537" s="13"/>
      <c r="AQ1537" s="14"/>
      <c r="AR1537" s="15"/>
    </row>
    <row r="1538" spans="1:44" s="17" customFormat="1" ht="30.95" hidden="1" customHeight="1" x14ac:dyDescent="0.2">
      <c r="A1538" s="343"/>
      <c r="B1538" s="344"/>
      <c r="C1538" s="345"/>
      <c r="D1538" s="398"/>
      <c r="E1538" s="31"/>
      <c r="F1538" s="268"/>
      <c r="G1538" s="269"/>
      <c r="H1538" s="269"/>
      <c r="I1538" s="341" t="s">
        <v>2849</v>
      </c>
      <c r="J1538" s="32"/>
      <c r="K1538" s="270"/>
      <c r="L1538" s="270"/>
      <c r="M1538" s="39"/>
      <c r="N1538" s="39"/>
      <c r="O1538" s="47"/>
      <c r="P1538" s="57"/>
      <c r="Q1538" s="276"/>
      <c r="R1538" s="277"/>
      <c r="S1538" s="277"/>
      <c r="T1538" s="40"/>
      <c r="U1538" s="278"/>
      <c r="V1538" s="269"/>
      <c r="W1538" s="269"/>
      <c r="X1538" s="275"/>
      <c r="Y1538" s="269"/>
      <c r="Z1538" s="357"/>
      <c r="AA1538" s="207"/>
      <c r="AB1538" s="369"/>
      <c r="AC1538" s="370"/>
      <c r="AD1538" s="332"/>
      <c r="AE1538" s="216"/>
      <c r="AF1538" s="43"/>
      <c r="AG1538" s="47"/>
      <c r="AH1538" s="30"/>
      <c r="AI1538" s="30"/>
      <c r="AJ1538" s="30"/>
      <c r="AK1538" s="30"/>
      <c r="AL1538" s="13"/>
      <c r="AM1538" s="13"/>
      <c r="AN1538" s="13"/>
      <c r="AO1538" s="13"/>
      <c r="AP1538" s="13"/>
      <c r="AQ1538" s="14"/>
      <c r="AR1538" s="15"/>
    </row>
    <row r="1539" spans="1:44" s="17" customFormat="1" ht="30.6" hidden="1" customHeight="1" x14ac:dyDescent="0.2">
      <c r="A1539" s="343"/>
      <c r="B1539" s="344"/>
      <c r="C1539" s="345"/>
      <c r="D1539" s="398">
        <v>3754083</v>
      </c>
      <c r="E1539" s="31">
        <v>4151660</v>
      </c>
      <c r="F1539" s="268" t="str">
        <f>IF(D1539="","",VLOOKUP(D1539,契約台帳!$A$3:$K$4986,6,FALSE)&amp;VLOOKUP(D1539,契約台帳!$A$3:$K$4986,7,FALSE)&amp;VLOOKUP(D1539,契約台帳!$A$3:$K$4986,8,FALSE)&amp;VLOOKUP(D1539,契約台帳!$A$3:$K$4986,9,FALSE)&amp;VLOOKUP(D1539,契約台帳!$A$3:$K$4986,11,FALSE))</f>
        <v>3SNMLBMNGKKBF</v>
      </c>
      <c r="G1539" s="269" t="str">
        <f>IF(D1539="","",VLOOKUP(F1539,製品マスタ!$G$5:$H$5002,2,FALSE))</f>
        <v>S</v>
      </c>
      <c r="H1539" s="269" t="str">
        <f>IF(D1539="","",VLOOKUP(F1539,製品マスタ!$G$5:$K$5002,5,FALSE))</f>
        <v>MNGKKBF</v>
      </c>
      <c r="I1539" s="270" t="str">
        <f>IF(D1539="","",VLOOKUP(F1539,製品マスタ!$G$5:$L$5002,6,FALSE))</f>
        <v>メタルミー　ネーマー銀消改　Ｂ</v>
      </c>
      <c r="J1539" s="32" t="s">
        <v>447</v>
      </c>
      <c r="K1539" s="270">
        <f>IF(D1539="","",VLOOKUP(D1539,契約台帳!$A$3:$L$4986,12,FALSE))</f>
        <v>50</v>
      </c>
      <c r="L1539" s="270" t="str">
        <f>IF(D1539="","",INDEX(製品マスタ!$Q$5:$Q$5002,MATCH(F1539&amp;K1539,製品マスタ!$AO$5:$AO$5002,0)))</f>
        <v>S99-MAT</v>
      </c>
      <c r="M1539" s="39">
        <v>1120</v>
      </c>
      <c r="N1539" s="39">
        <v>12000</v>
      </c>
      <c r="O1539" s="47">
        <v>2</v>
      </c>
      <c r="P1539" s="57"/>
      <c r="Q1539" s="276">
        <f>IF(D1539="","",IF(J1539="リード付け",M1539,VLOOKUP(D1539,契約台帳!$A$3:$N$4986,14,FALSE)))</f>
        <v>1120</v>
      </c>
      <c r="R1539" s="277">
        <f>IF(D1539="","",IF(J1539="リード付け",M1539,VLOOKUP(D1539,契約台帳!$A$3:$O$4986,15,FALSE)))</f>
        <v>1120</v>
      </c>
      <c r="S1539" s="277">
        <f>IF(D1539="","",IF(J1539="リード付け",N1539,VLOOKUP(D1539,契約台帳!$A$3:$P$4986,16,FALSE)))</f>
        <v>4000</v>
      </c>
      <c r="T1539" s="40">
        <v>6</v>
      </c>
      <c r="U1539" s="278">
        <f ca="1">IF(D1539="","",IF(OFFSET(D1539,-2,0)=D1539,"",VLOOKUP(D1539,契約台帳!$A$3:$R$4986,18,FALSE)))</f>
        <v>24</v>
      </c>
      <c r="V1539" s="269" t="str">
        <f>IF(J1539="巻返し",VLOOKUP(F1539&amp;K1539&amp;M1539,製品マスタ!$M$5:$AD$5002,18,FALSE),IF(J1539="リード付け","原反コア",IF(J1539="スリット",VLOOKUP(F1539&amp;K1539&amp;Q1539,製品マスタ!$N$5:$AD$5002,17,FALSE),"")))</f>
        <v>6ｲﾝﾁSｺｱ</v>
      </c>
      <c r="W1539" s="269">
        <f>IF(J1539="巻返し",VLOOKUP(F1539&amp;K1539&amp;M1539,製品マスタ!$M$5:$AE$5002,19,FALSE),IF(J1539="リード付け","-",IF(J1539="スリット",VLOOKUP(F1539&amp;K1539&amp;Q1539,製品マスタ!$N$5:$AE$5002,18,FALSE),"")))</f>
        <v>1125</v>
      </c>
      <c r="X1539" s="275">
        <f>IF(D1539="","",VLOOKUP(D1539,契約台帳!$A$3:$Q$4986,17,FALSE))</f>
        <v>2</v>
      </c>
      <c r="Y1539" s="269" t="str">
        <f>IF(D1539="","",VLOOKUP(D1539,契約台帳!$A$3:$E$4986,5,FALSE))</f>
        <v>リンテック㈱</v>
      </c>
      <c r="Z1539" s="357">
        <v>45439</v>
      </c>
      <c r="AA1539" s="207"/>
      <c r="AB1539" s="369"/>
      <c r="AC1539" s="370"/>
      <c r="AD1539" s="332" t="str">
        <f>IF(F1539="","",+F1539&amp;K1539)</f>
        <v>3SNMLBMNGKKBF50</v>
      </c>
      <c r="AE1539" s="216">
        <f>+M1539*N1539*O1539/1000</f>
        <v>26880</v>
      </c>
      <c r="AF1539" s="43">
        <f>IF(AD1539="","",VLOOKUP(AD1539,原価マスタ!$A$2:$AJ$1693,13,FALSE))</f>
        <v>99</v>
      </c>
      <c r="AG1539" s="47">
        <f>IF(AF1539="","",+AE1539*AF1539/100)</f>
        <v>26611.200000000001</v>
      </c>
      <c r="AH1539" s="30"/>
      <c r="AI1539" s="30"/>
      <c r="AJ1539" s="30"/>
      <c r="AK1539" s="30"/>
      <c r="AL1539" s="13"/>
      <c r="AM1539" s="13"/>
      <c r="AN1539" s="13"/>
      <c r="AO1539" s="13"/>
      <c r="AP1539" s="13"/>
      <c r="AQ1539" s="14"/>
      <c r="AR1539" s="15"/>
    </row>
    <row r="1540" spans="1:44" s="17" customFormat="1" ht="30.95" hidden="1" customHeight="1" x14ac:dyDescent="0.2">
      <c r="A1540" s="343"/>
      <c r="B1540" s="344"/>
      <c r="C1540" s="345"/>
      <c r="D1540" s="398"/>
      <c r="E1540" s="31"/>
      <c r="F1540" s="268"/>
      <c r="G1540" s="269"/>
      <c r="H1540" s="269"/>
      <c r="I1540" s="270"/>
      <c r="J1540" s="32"/>
      <c r="K1540" s="270"/>
      <c r="L1540" s="270"/>
      <c r="M1540" s="39"/>
      <c r="N1540" s="39"/>
      <c r="O1540" s="47"/>
      <c r="P1540" s="57"/>
      <c r="Q1540" s="276"/>
      <c r="R1540" s="277"/>
      <c r="S1540" s="277"/>
      <c r="T1540" s="40"/>
      <c r="U1540" s="278"/>
      <c r="V1540" s="269"/>
      <c r="W1540" s="269"/>
      <c r="X1540" s="275"/>
      <c r="Y1540" s="269"/>
      <c r="Z1540" s="357"/>
      <c r="AA1540" s="207"/>
      <c r="AB1540" s="369"/>
      <c r="AC1540" s="370"/>
      <c r="AD1540" s="332"/>
      <c r="AE1540" s="216"/>
      <c r="AF1540" s="43"/>
      <c r="AG1540" s="47"/>
      <c r="AH1540" s="30"/>
      <c r="AI1540" s="30"/>
      <c r="AJ1540" s="30"/>
      <c r="AK1540" s="30"/>
      <c r="AL1540" s="13"/>
      <c r="AM1540" s="13"/>
      <c r="AN1540" s="13"/>
      <c r="AO1540" s="13"/>
      <c r="AP1540" s="13"/>
      <c r="AQ1540" s="14"/>
      <c r="AR1540" s="15"/>
    </row>
    <row r="1541" spans="1:44" s="17" customFormat="1" ht="30.6" hidden="1" customHeight="1" x14ac:dyDescent="0.2">
      <c r="A1541" s="343" t="s">
        <v>1135</v>
      </c>
      <c r="B1541" s="344" t="s">
        <v>442</v>
      </c>
      <c r="C1541" s="345"/>
      <c r="D1541" s="398">
        <v>3754083</v>
      </c>
      <c r="E1541" s="31">
        <v>4151660</v>
      </c>
      <c r="F1541" s="268" t="str">
        <f>IF(D1541="","",VLOOKUP(D1541,契約台帳!$A$3:$K$4986,6,FALSE)&amp;VLOOKUP(D1541,契約台帳!$A$3:$K$4986,7,FALSE)&amp;VLOOKUP(D1541,契約台帳!$A$3:$K$4986,8,FALSE)&amp;VLOOKUP(D1541,契約台帳!$A$3:$K$4986,9,FALSE)&amp;VLOOKUP(D1541,契約台帳!$A$3:$K$4986,11,FALSE))</f>
        <v>3SNMLBMNGKKBF</v>
      </c>
      <c r="G1541" s="269" t="str">
        <f>IF(D1541="","",VLOOKUP(F1541,製品マスタ!$G$5:$H$5002,2,FALSE))</f>
        <v>S</v>
      </c>
      <c r="H1541" s="269" t="str">
        <f>IF(D1541="","",VLOOKUP(F1541,製品マスタ!$G$5:$K$5002,5,FALSE))</f>
        <v>MNGKKBF</v>
      </c>
      <c r="I1541" s="270" t="str">
        <f>IF(D1541="","",VLOOKUP(F1541,製品マスタ!$G$5:$L$5002,6,FALSE))</f>
        <v>メタルミー　ネーマー銀消改　Ｂ</v>
      </c>
      <c r="J1541" s="32" t="s">
        <v>447</v>
      </c>
      <c r="K1541" s="270">
        <f>IF(D1541="","",VLOOKUP(D1541,契約台帳!$A$3:$L$4986,12,FALSE))</f>
        <v>50</v>
      </c>
      <c r="L1541" s="270" t="str">
        <f>IF(D1541="","",INDEX(製品マスタ!$Q$5:$Q$5002,MATCH(F1541&amp;K1541,製品マスタ!$AO$5:$AO$5002,0)))</f>
        <v>S99-MAT</v>
      </c>
      <c r="M1541" s="39">
        <v>1120</v>
      </c>
      <c r="N1541" s="39">
        <v>12000</v>
      </c>
      <c r="O1541" s="47">
        <v>6</v>
      </c>
      <c r="P1541" s="57"/>
      <c r="Q1541" s="276">
        <f>IF(D1541="","",IF(J1541="リード付け",M1541,VLOOKUP(D1541,契約台帳!$A$3:$N$4986,14,FALSE)))</f>
        <v>1120</v>
      </c>
      <c r="R1541" s="277">
        <f>IF(D1541="","",IF(J1541="リード付け",M1541,VLOOKUP(D1541,契約台帳!$A$3:$O$4986,15,FALSE)))</f>
        <v>1120</v>
      </c>
      <c r="S1541" s="277">
        <f>IF(D1541="","",IF(J1541="リード付け",N1541,VLOOKUP(D1541,契約台帳!$A$3:$P$4986,16,FALSE)))</f>
        <v>4000</v>
      </c>
      <c r="T1541" s="40">
        <v>18</v>
      </c>
      <c r="U1541" s="278" t="str">
        <f ca="1">IF(D1541="","",IF(OFFSET(D1541,-2,0)=D1541,"",VLOOKUP(D1541,契約台帳!$A$3:$R$4986,18,FALSE)))</f>
        <v/>
      </c>
      <c r="V1541" s="269" t="str">
        <f>IF(J1541="巻返し",VLOOKUP(F1541&amp;K1541&amp;M1541,製品マスタ!$M$5:$AD$5002,18,FALSE),IF(J1541="リード付け","原反コア",IF(J1541="スリット",VLOOKUP(F1541&amp;K1541&amp;Q1541,製品マスタ!$N$5:$AD$5002,17,FALSE),"")))</f>
        <v>6ｲﾝﾁSｺｱ</v>
      </c>
      <c r="W1541" s="269">
        <f>IF(J1541="巻返し",VLOOKUP(F1541&amp;K1541&amp;M1541,製品マスタ!$M$5:$AE$5002,19,FALSE),IF(J1541="リード付け","-",IF(J1541="スリット",VLOOKUP(F1541&amp;K1541&amp;Q1541,製品マスタ!$N$5:$AE$5002,18,FALSE),"")))</f>
        <v>1125</v>
      </c>
      <c r="X1541" s="275">
        <f>IF(D1541="","",VLOOKUP(D1541,契約台帳!$A$3:$Q$4986,17,FALSE))</f>
        <v>2</v>
      </c>
      <c r="Y1541" s="269" t="str">
        <f>IF(D1541="","",VLOOKUP(D1541,契約台帳!$A$3:$E$4986,5,FALSE))</f>
        <v>リンテック㈱</v>
      </c>
      <c r="Z1541" s="357">
        <v>45440</v>
      </c>
      <c r="AA1541" s="207"/>
      <c r="AB1541" s="369"/>
      <c r="AC1541" s="370"/>
      <c r="AD1541" s="332" t="str">
        <f>IF(F1541="","",+F1541&amp;K1541)</f>
        <v>3SNMLBMNGKKBF50</v>
      </c>
      <c r="AE1541" s="216">
        <f>+M1541*N1541*O1541/1000</f>
        <v>80640</v>
      </c>
      <c r="AF1541" s="43">
        <f>IF(AD1541="","",VLOOKUP(AD1541,原価マスタ!$A$2:$AJ$1693,13,FALSE))</f>
        <v>99</v>
      </c>
      <c r="AG1541" s="47">
        <f>IF(AF1541="","",+AE1541*AF1541/100)</f>
        <v>79833.600000000006</v>
      </c>
      <c r="AH1541" s="30"/>
      <c r="AI1541" s="30"/>
      <c r="AJ1541" s="30"/>
      <c r="AK1541" s="30"/>
      <c r="AL1541" s="13"/>
      <c r="AM1541" s="13"/>
      <c r="AN1541" s="13"/>
      <c r="AO1541" s="13"/>
      <c r="AP1541" s="13"/>
      <c r="AQ1541" s="14"/>
      <c r="AR1541" s="15"/>
    </row>
    <row r="1542" spans="1:44" s="17" customFormat="1" ht="30.95" hidden="1" customHeight="1" x14ac:dyDescent="0.2">
      <c r="A1542" s="343"/>
      <c r="B1542" s="344"/>
      <c r="C1542" s="345"/>
      <c r="D1542" s="398"/>
      <c r="E1542" s="31"/>
      <c r="F1542" s="268"/>
      <c r="G1542" s="269"/>
      <c r="H1542" s="269"/>
      <c r="I1542" s="270"/>
      <c r="J1542" s="32"/>
      <c r="K1542" s="270"/>
      <c r="L1542" s="270"/>
      <c r="M1542" s="39"/>
      <c r="N1542" s="39"/>
      <c r="O1542" s="47"/>
      <c r="P1542" s="57"/>
      <c r="Q1542" s="276"/>
      <c r="R1542" s="277"/>
      <c r="S1542" s="277"/>
      <c r="T1542" s="40"/>
      <c r="U1542" s="278"/>
      <c r="V1542" s="269"/>
      <c r="W1542" s="269"/>
      <c r="X1542" s="275"/>
      <c r="Y1542" s="269"/>
      <c r="Z1542" s="357"/>
      <c r="AA1542" s="207"/>
      <c r="AB1542" s="369"/>
      <c r="AC1542" s="370"/>
      <c r="AD1542" s="332"/>
      <c r="AE1542" s="216"/>
      <c r="AF1542" s="43"/>
      <c r="AG1542" s="47"/>
      <c r="AH1542" s="30"/>
      <c r="AI1542" s="30"/>
      <c r="AJ1542" s="30"/>
      <c r="AK1542" s="30"/>
      <c r="AL1542" s="13"/>
      <c r="AM1542" s="13"/>
      <c r="AN1542" s="13"/>
      <c r="AO1542" s="13"/>
      <c r="AP1542" s="13"/>
      <c r="AQ1542" s="14"/>
      <c r="AR1542" s="15"/>
    </row>
    <row r="1543" spans="1:44" s="17" customFormat="1" ht="30.75" hidden="1" customHeight="1" x14ac:dyDescent="0.2">
      <c r="A1543" s="343" t="s">
        <v>2850</v>
      </c>
      <c r="B1543" s="344" t="s">
        <v>2851</v>
      </c>
      <c r="C1543" s="345"/>
      <c r="D1543" s="398">
        <v>3754084</v>
      </c>
      <c r="E1543" s="31">
        <v>4151655</v>
      </c>
      <c r="F1543" s="268" t="str">
        <f>IF(D1543="","",VLOOKUP(D1543,契約台帳!$A$3:$K$4986,6,FALSE)&amp;VLOOKUP(D1543,契約台帳!$A$3:$K$4986,7,FALSE)&amp;VLOOKUP(D1543,契約台帳!$A$3:$K$4986,8,FALSE)&amp;VLOOKUP(D1543,契約台帳!$A$3:$K$4986,9,FALSE)&amp;VLOOKUP(D1543,契約台帳!$A$3:$K$4986,11,FALSE))</f>
        <v>3SNMLBMNGKBF</v>
      </c>
      <c r="G1543" s="269" t="str">
        <f>IF(D1543="","",VLOOKUP(F1543,製品マスタ!$G$5:$H$5002,2,FALSE))</f>
        <v>S</v>
      </c>
      <c r="H1543" s="269" t="str">
        <f>IF(D1543="","",VLOOKUP(F1543,製品マスタ!$G$5:$K$5002,5,FALSE))</f>
        <v>MNGKBF</v>
      </c>
      <c r="I1543" s="270" t="str">
        <f>IF(D1543="","",VLOOKUP(F1543,製品マスタ!$G$5:$L$5002,6,FALSE))</f>
        <v>メタルミー　ネーマー銀消　Ｂ</v>
      </c>
      <c r="J1543" s="32" t="s">
        <v>447</v>
      </c>
      <c r="K1543" s="270">
        <f>IF(D1543="","",VLOOKUP(D1543,契約台帳!$A$3:$L$4986,12,FALSE))</f>
        <v>50</v>
      </c>
      <c r="L1543" s="270" t="str">
        <f>IF(D1543="","",INDEX(製品マスタ!$Q$5:$Q$5002,MATCH(F1543&amp;K1543,製品マスタ!$AO$5:$AO$5002,0)))</f>
        <v>MAT</v>
      </c>
      <c r="M1543" s="272">
        <v>1050</v>
      </c>
      <c r="N1543" s="273">
        <v>12300</v>
      </c>
      <c r="O1543" s="422">
        <v>1</v>
      </c>
      <c r="P1543" s="57"/>
      <c r="Q1543" s="276">
        <f>IF(D1543="","",IF(J1543="リード付け",M1543,VLOOKUP(D1543,契約台帳!$A$3:$N$4986,14,FALSE)))</f>
        <v>1050</v>
      </c>
      <c r="R1543" s="277">
        <f>IF(D1543="","",IF(J1543="リード付け",M1543,VLOOKUP(D1543,契約台帳!$A$3:$O$4986,15,FALSE)))</f>
        <v>1050</v>
      </c>
      <c r="S1543" s="277">
        <f>IF(D1543="","",IF(J1543="リード付け",N1543,VLOOKUP(D1543,契約台帳!$A$3:$P$4986,16,FALSE)))</f>
        <v>4100</v>
      </c>
      <c r="T1543" s="40">
        <v>3</v>
      </c>
      <c r="U1543" s="278">
        <f ca="1">IF(D1543="","",IF(OFFSET(D1543,-2,0)=D1543,"",VLOOKUP(D1543,契約台帳!$A$3:$R$4986,18,FALSE)))</f>
        <v>3</v>
      </c>
      <c r="V1543" s="269" t="str">
        <f>IF(J1543="巻返し",VLOOKUP(F1543&amp;K1543&amp;M1543,製品マスタ!$M$5:$AD$5002,18,FALSE),IF(J1543="リード付け","原反コア",IF(J1543="スリット",VLOOKUP(F1543&amp;K1543&amp;Q1543,製品マスタ!$N$5:$AD$5002,17,FALSE),"")))</f>
        <v>6ｲﾝﾁSｺｱ</v>
      </c>
      <c r="W1543" s="269">
        <f>IF(J1543="巻返し",VLOOKUP(F1543&amp;K1543&amp;M1543,製品マスタ!$M$5:$AE$5002,19,FALSE),IF(J1543="リード付け","-",IF(J1543="スリット",VLOOKUP(F1543&amp;K1543&amp;Q1543,製品マスタ!$N$5:$AE$5002,18,FALSE),"")))</f>
        <v>1055</v>
      </c>
      <c r="X1543" s="275">
        <f>IF(D1543="","",VLOOKUP(D1543,契約台帳!$A$3:$Q$4986,17,FALSE))</f>
        <v>2</v>
      </c>
      <c r="Y1543" s="269" t="str">
        <f>IF(D1543="","",VLOOKUP(D1543,契約台帳!$A$3:$E$4986,5,FALSE))</f>
        <v>リンテック㈱</v>
      </c>
      <c r="Z1543" s="357">
        <v>45441</v>
      </c>
      <c r="AA1543" s="207"/>
      <c r="AB1543" s="369"/>
      <c r="AC1543" s="370"/>
      <c r="AD1543" s="332" t="str">
        <f>IF(F1543="","",+F1543&amp;K1543)</f>
        <v>3SNMLBMNGKBF50</v>
      </c>
      <c r="AE1543" s="216">
        <f>+M1543*N1543*O1543/1000</f>
        <v>12915</v>
      </c>
      <c r="AF1543" s="43">
        <f>IF(AD1543="","",VLOOKUP(AD1543,原価マスタ!$A$2:$AJ$1693,13,FALSE))</f>
        <v>98</v>
      </c>
      <c r="AG1543" s="47">
        <f>IF(AF1543="","",+AE1543*AF1543/100)</f>
        <v>12656.7</v>
      </c>
      <c r="AH1543" s="30"/>
      <c r="AI1543" s="30"/>
      <c r="AJ1543" s="30"/>
      <c r="AK1543" s="30"/>
      <c r="AL1543" s="13"/>
      <c r="AM1543" s="13"/>
      <c r="AN1543" s="13"/>
      <c r="AO1543" s="13"/>
      <c r="AP1543" s="13"/>
      <c r="AQ1543" s="14"/>
      <c r="AR1543" s="15"/>
    </row>
    <row r="1544" spans="1:44" s="17" customFormat="1" ht="30.95" hidden="1" customHeight="1" x14ac:dyDescent="0.2">
      <c r="A1544" s="343"/>
      <c r="B1544" s="344"/>
      <c r="C1544" s="345"/>
      <c r="D1544" s="398"/>
      <c r="E1544" s="31"/>
      <c r="F1544" s="268"/>
      <c r="G1544" s="269"/>
      <c r="H1544" s="269"/>
      <c r="I1544" s="270"/>
      <c r="J1544" s="32"/>
      <c r="K1544" s="270"/>
      <c r="L1544" s="270"/>
      <c r="M1544" s="39"/>
      <c r="N1544" s="39"/>
      <c r="O1544" s="47"/>
      <c r="P1544" s="57"/>
      <c r="Q1544" s="276"/>
      <c r="R1544" s="277"/>
      <c r="S1544" s="277"/>
      <c r="T1544" s="40"/>
      <c r="U1544" s="278"/>
      <c r="V1544" s="269"/>
      <c r="W1544" s="269"/>
      <c r="X1544" s="275"/>
      <c r="Y1544" s="269"/>
      <c r="Z1544" s="357"/>
      <c r="AA1544" s="207"/>
      <c r="AB1544" s="369"/>
      <c r="AC1544" s="370"/>
      <c r="AD1544" s="332"/>
      <c r="AE1544" s="216"/>
      <c r="AF1544" s="43"/>
      <c r="AG1544" s="47"/>
      <c r="AH1544" s="30"/>
      <c r="AI1544" s="30"/>
      <c r="AJ1544" s="30"/>
      <c r="AK1544" s="30"/>
      <c r="AL1544" s="13"/>
      <c r="AM1544" s="13"/>
      <c r="AN1544" s="13"/>
      <c r="AO1544" s="13"/>
      <c r="AP1544" s="13"/>
      <c r="AQ1544" s="14"/>
      <c r="AR1544" s="15"/>
    </row>
    <row r="1545" spans="1:44" s="17" customFormat="1" ht="30.95" hidden="1" customHeight="1" x14ac:dyDescent="0.2">
      <c r="A1545" s="343"/>
      <c r="B1545" s="344"/>
      <c r="C1545" s="345"/>
      <c r="D1545" s="398">
        <v>3754085</v>
      </c>
      <c r="E1545" s="31">
        <v>4151656</v>
      </c>
      <c r="F1545" s="268" t="str">
        <f>IF(D1545="","",VLOOKUP(D1545,契約台帳!$A$3:$K$4986,6,FALSE)&amp;VLOOKUP(D1545,契約台帳!$A$3:$K$4986,7,FALSE)&amp;VLOOKUP(D1545,契約台帳!$A$3:$K$4986,8,FALSE)&amp;VLOOKUP(D1545,契約台帳!$A$3:$K$4986,9,FALSE)&amp;VLOOKUP(D1545,契約台帳!$A$3:$K$4986,11,FALSE))</f>
        <v>3SNMLBMNGKBF</v>
      </c>
      <c r="G1545" s="269" t="str">
        <f>IF(D1545="","",VLOOKUP(F1545,製品マスタ!$G$5:$H$5002,2,FALSE))</f>
        <v>S</v>
      </c>
      <c r="H1545" s="269" t="str">
        <f>IF(D1545="","",VLOOKUP(F1545,製品マスタ!$G$5:$K$5002,5,FALSE))</f>
        <v>MNGKBF</v>
      </c>
      <c r="I1545" s="270" t="str">
        <f>IF(D1545="","",VLOOKUP(F1545,製品マスタ!$G$5:$L$5002,6,FALSE))</f>
        <v>メタルミー　ネーマー銀消　Ｂ</v>
      </c>
      <c r="J1545" s="32" t="s">
        <v>447</v>
      </c>
      <c r="K1545" s="270">
        <f>IF(D1545="","",VLOOKUP(D1545,契約台帳!$A$3:$L$4986,12,FALSE))</f>
        <v>75</v>
      </c>
      <c r="L1545" s="270" t="str">
        <f>IF(D1545="","",INDEX(製品マスタ!$Q$5:$Q$5002,MATCH(F1545&amp;K1545,製品マスタ!$AO$5:$AO$5002,0)))</f>
        <v>MAT</v>
      </c>
      <c r="M1545" s="39">
        <v>1050</v>
      </c>
      <c r="N1545" s="39">
        <v>4000</v>
      </c>
      <c r="O1545" s="47">
        <v>1</v>
      </c>
      <c r="P1545" s="57"/>
      <c r="Q1545" s="276">
        <f>IF(D1545="","",IF(J1545="リード付け",M1545,VLOOKUP(D1545,契約台帳!$A$3:$N$4986,14,FALSE)))</f>
        <v>1050</v>
      </c>
      <c r="R1545" s="277">
        <f>IF(D1545="","",IF(J1545="リード付け",M1545,VLOOKUP(D1545,契約台帳!$A$3:$O$4986,15,FALSE)))</f>
        <v>1050</v>
      </c>
      <c r="S1545" s="277">
        <f>IF(D1545="","",IF(J1545="リード付け",N1545,VLOOKUP(D1545,契約台帳!$A$3:$P$4986,16,FALSE)))</f>
        <v>2000</v>
      </c>
      <c r="T1545" s="40">
        <v>2</v>
      </c>
      <c r="U1545" s="278">
        <f ca="1">IF(D1545="","",IF(OFFSET(D1545,-2,0)=D1545,"",VLOOKUP(D1545,契約台帳!$A$3:$R$4986,18,FALSE)))</f>
        <v>2</v>
      </c>
      <c r="V1545" s="269" t="str">
        <f>IF(J1545="巻返し",VLOOKUP(F1545&amp;K1545&amp;M1545,製品マスタ!$M$5:$AD$5002,18,FALSE),IF(J1545="リード付け","原反コア",IF(J1545="スリット",VLOOKUP(F1545&amp;K1545&amp;Q1545,製品マスタ!$N$5:$AD$5002,17,FALSE),"")))</f>
        <v>6ｲﾝﾁSｺｱ</v>
      </c>
      <c r="W1545" s="269">
        <f>IF(J1545="巻返し",VLOOKUP(F1545&amp;K1545&amp;M1545,製品マスタ!$M$5:$AE$5002,19,FALSE),IF(J1545="リード付け","-",IF(J1545="スリット",VLOOKUP(F1545&amp;K1545&amp;Q1545,製品マスタ!$N$5:$AE$5002,18,FALSE),"")))</f>
        <v>1055</v>
      </c>
      <c r="X1545" s="275">
        <f>IF(D1545="","",VLOOKUP(D1545,契約台帳!$A$3:$Q$4986,17,FALSE))</f>
        <v>2</v>
      </c>
      <c r="Y1545" s="269" t="str">
        <f>IF(D1545="","",VLOOKUP(D1545,契約台帳!$A$3:$E$4986,5,FALSE))</f>
        <v>リンテック㈱</v>
      </c>
      <c r="Z1545" s="357">
        <v>45441</v>
      </c>
      <c r="AA1545" s="207"/>
      <c r="AB1545" s="369"/>
      <c r="AC1545" s="370"/>
      <c r="AD1545" s="332" t="str">
        <f>IF(F1545="","",+F1545&amp;K1545)</f>
        <v>3SNMLBMNGKBF75</v>
      </c>
      <c r="AE1545" s="216">
        <f>+M1545*N1545*O1545/1000</f>
        <v>4200</v>
      </c>
      <c r="AF1545" s="43">
        <f>IF(AD1545="","",VLOOKUP(AD1545,原価マスタ!$A$2:$AJ$1693,13,FALSE))</f>
        <v>97</v>
      </c>
      <c r="AG1545" s="47">
        <f>IF(AF1545="","",+AE1545*AF1545/100)</f>
        <v>4074</v>
      </c>
      <c r="AH1545" s="30"/>
      <c r="AI1545" s="30"/>
      <c r="AJ1545" s="30"/>
      <c r="AK1545" s="30"/>
      <c r="AL1545" s="13"/>
      <c r="AM1545" s="13"/>
      <c r="AN1545" s="13"/>
      <c r="AO1545" s="13"/>
      <c r="AP1545" s="13"/>
      <c r="AQ1545" s="14"/>
      <c r="AR1545" s="15"/>
    </row>
    <row r="1546" spans="1:44" s="17" customFormat="1" ht="30.95" hidden="1" customHeight="1" x14ac:dyDescent="0.2">
      <c r="A1546" s="343"/>
      <c r="B1546" s="344"/>
      <c r="C1546" s="345"/>
      <c r="D1546" s="398"/>
      <c r="E1546" s="31"/>
      <c r="F1546" s="268"/>
      <c r="G1546" s="269"/>
      <c r="H1546" s="269"/>
      <c r="I1546" s="270"/>
      <c r="J1546" s="32"/>
      <c r="K1546" s="270"/>
      <c r="L1546" s="270"/>
      <c r="M1546" s="39"/>
      <c r="N1546" s="39"/>
      <c r="O1546" s="47"/>
      <c r="P1546" s="57"/>
      <c r="Q1546" s="276"/>
      <c r="R1546" s="277"/>
      <c r="S1546" s="277"/>
      <c r="T1546" s="40"/>
      <c r="U1546" s="278"/>
      <c r="V1546" s="269"/>
      <c r="W1546" s="269"/>
      <c r="X1546" s="275"/>
      <c r="Y1546" s="269"/>
      <c r="Z1546" s="357"/>
      <c r="AA1546" s="207"/>
      <c r="AB1546" s="369"/>
      <c r="AC1546" s="370"/>
      <c r="AD1546" s="332"/>
      <c r="AE1546" s="216"/>
      <c r="AF1546" s="43"/>
      <c r="AG1546" s="47"/>
      <c r="AH1546" s="30"/>
      <c r="AI1546" s="30"/>
      <c r="AJ1546" s="30"/>
      <c r="AK1546" s="30"/>
      <c r="AL1546" s="13"/>
      <c r="AM1546" s="13"/>
      <c r="AN1546" s="13"/>
      <c r="AO1546" s="13"/>
      <c r="AP1546" s="13"/>
      <c r="AQ1546" s="14"/>
      <c r="AR1546" s="15"/>
    </row>
    <row r="1547" spans="1:44" s="17" customFormat="1" ht="30.95" hidden="1" customHeight="1" x14ac:dyDescent="0.2">
      <c r="A1547" s="320"/>
      <c r="B1547" s="321"/>
      <c r="C1547" s="345"/>
      <c r="D1547" s="398">
        <v>3754088</v>
      </c>
      <c r="E1547" s="31">
        <v>4151663</v>
      </c>
      <c r="F1547" s="268" t="str">
        <f>IF(D1547="","",VLOOKUP(D1547,契約台帳!$A$3:$K$4986,6,FALSE)&amp;VLOOKUP(D1547,契約台帳!$A$3:$K$4986,7,FALSE)&amp;VLOOKUP(D1547,契約台帳!$A$3:$K$4986,8,FALSE)&amp;VLOOKUP(D1547,契約台帳!$A$3:$K$4986,9,FALSE)&amp;VLOOKUP(D1547,契約台帳!$A$3:$K$4986,11,FALSE))</f>
        <v>3SNMLBMNNGKBF</v>
      </c>
      <c r="G1547" s="269" t="str">
        <f>IF(D1547="","",VLOOKUP(F1547,製品マスタ!$G$5:$H$5002,2,FALSE))</f>
        <v>S</v>
      </c>
      <c r="H1547" s="269" t="str">
        <f>IF(D1547="","",VLOOKUP(F1547,製品マスタ!$G$5:$K$5002,5,FALSE))</f>
        <v>MNNGKBF</v>
      </c>
      <c r="I1547" s="270" t="str">
        <f>IF(D1547="","",VLOOKUP(F1547,製品マスタ!$G$5:$L$5002,6,FALSE))</f>
        <v>メタルミー　ニューネーマー銀消　Ｂ</v>
      </c>
      <c r="J1547" s="32" t="s">
        <v>447</v>
      </c>
      <c r="K1547" s="270">
        <f>IF(D1547="","",VLOOKUP(D1547,契約台帳!$A$3:$L$4986,12,FALSE))</f>
        <v>50</v>
      </c>
      <c r="L1547" s="270" t="str">
        <f>IF(D1547="","",INDEX(製品マスタ!$Q$5:$Q$5002,MATCH(F1547&amp;K1547,製品マスタ!$AO$5:$AO$5002,0)))</f>
        <v>X44</v>
      </c>
      <c r="M1547" s="39">
        <v>1000</v>
      </c>
      <c r="N1547" s="39">
        <v>12000</v>
      </c>
      <c r="O1547" s="47">
        <v>4</v>
      </c>
      <c r="P1547" s="57"/>
      <c r="Q1547" s="276">
        <f>IF(D1547="","",IF(J1547="リード付け",M1547,VLOOKUP(D1547,契約台帳!$A$3:$N$4986,14,FALSE)))</f>
        <v>1000</v>
      </c>
      <c r="R1547" s="277">
        <f>IF(D1547="","",IF(J1547="リード付け",M1547,VLOOKUP(D1547,契約台帳!$A$3:$O$4986,15,FALSE)))</f>
        <v>1000</v>
      </c>
      <c r="S1547" s="277">
        <f>IF(D1547="","",IF(J1547="リード付け",N1547,VLOOKUP(D1547,契約台帳!$A$3:$P$4986,16,FALSE)))</f>
        <v>4000</v>
      </c>
      <c r="T1547" s="40">
        <v>12</v>
      </c>
      <c r="U1547" s="278">
        <f ca="1">IF(D1547="","",IF(OFFSET(D1547,-2,0)=D1547,"",VLOOKUP(D1547,契約台帳!$A$3:$R$4986,18,FALSE)))</f>
        <v>24</v>
      </c>
      <c r="V1547" s="269" t="str">
        <f>IF(J1547="巻返し",VLOOKUP(F1547&amp;K1547&amp;M1547,製品マスタ!$M$5:$AD$5002,18,FALSE),IF(J1547="リード付け","原反コア",IF(J1547="スリット",VLOOKUP(F1547&amp;K1547&amp;Q1547,製品マスタ!$N$5:$AD$5002,17,FALSE),"")))</f>
        <v>6ｲﾝﾁSｺｱ</v>
      </c>
      <c r="W1547" s="269">
        <f>IF(J1547="巻返し",VLOOKUP(F1547&amp;K1547&amp;M1547,製品マスタ!$M$5:$AE$5002,19,FALSE),IF(J1547="リード付け","-",IF(J1547="スリット",VLOOKUP(F1547&amp;K1547&amp;Q1547,製品マスタ!$N$5:$AE$5002,18,FALSE),"")))</f>
        <v>1005</v>
      </c>
      <c r="X1547" s="275">
        <f>IF(D1547="","",VLOOKUP(D1547,契約台帳!$A$3:$Q$4986,17,FALSE))</f>
        <v>2</v>
      </c>
      <c r="Y1547" s="269" t="str">
        <f>IF(D1547="","",VLOOKUP(D1547,契約台帳!$A$3:$E$4986,5,FALSE))</f>
        <v>リンテック㈱</v>
      </c>
      <c r="Z1547" s="357">
        <v>45442</v>
      </c>
      <c r="AA1547" s="207"/>
      <c r="AB1547" s="369"/>
      <c r="AC1547" s="370"/>
      <c r="AD1547" s="332" t="str">
        <f>IF(F1547="","",+F1547&amp;K1547)</f>
        <v>3SNMLBMNNGKBF50</v>
      </c>
      <c r="AE1547" s="216">
        <f>+M1547*N1547*O1547/1000</f>
        <v>48000</v>
      </c>
      <c r="AF1547" s="43">
        <f>IF(AD1547="","",VLOOKUP(AD1547,原価マスタ!$A$2:$AJ$1693,13,FALSE))</f>
        <v>99</v>
      </c>
      <c r="AG1547" s="47">
        <f>IF(AF1547="","",+AE1547*AF1547/100)</f>
        <v>47520</v>
      </c>
      <c r="AH1547" s="30"/>
      <c r="AI1547" s="30"/>
      <c r="AJ1547" s="30"/>
      <c r="AK1547" s="30"/>
      <c r="AL1547" s="13"/>
      <c r="AM1547" s="13"/>
      <c r="AN1547" s="13"/>
      <c r="AO1547" s="13"/>
      <c r="AP1547" s="13"/>
      <c r="AQ1547" s="14"/>
      <c r="AR1547" s="15"/>
    </row>
    <row r="1548" spans="1:44" s="17" customFormat="1" ht="30.95" hidden="1" customHeight="1" x14ac:dyDescent="0.2">
      <c r="A1548" s="343"/>
      <c r="B1548" s="344"/>
      <c r="C1548" s="345"/>
      <c r="D1548" s="398"/>
      <c r="E1548" s="31"/>
      <c r="F1548" s="268"/>
      <c r="G1548" s="269"/>
      <c r="H1548" s="269"/>
      <c r="I1548" s="270"/>
      <c r="J1548" s="32"/>
      <c r="K1548" s="270"/>
      <c r="L1548" s="270"/>
      <c r="M1548" s="39"/>
      <c r="N1548" s="39"/>
      <c r="O1548" s="47"/>
      <c r="P1548" s="57"/>
      <c r="Q1548" s="276"/>
      <c r="R1548" s="277"/>
      <c r="S1548" s="277"/>
      <c r="T1548" s="40"/>
      <c r="U1548" s="278"/>
      <c r="V1548" s="269"/>
      <c r="W1548" s="269"/>
      <c r="X1548" s="275"/>
      <c r="Y1548" s="269"/>
      <c r="Z1548" s="357"/>
      <c r="AA1548" s="207"/>
      <c r="AB1548" s="369"/>
      <c r="AC1548" s="370"/>
      <c r="AD1548" s="332"/>
      <c r="AE1548" s="216"/>
      <c r="AF1548" s="43"/>
      <c r="AG1548" s="47"/>
      <c r="AH1548" s="30"/>
      <c r="AI1548" s="30"/>
      <c r="AJ1548" s="30"/>
      <c r="AK1548" s="30"/>
      <c r="AL1548" s="13"/>
      <c r="AM1548" s="13"/>
      <c r="AN1548" s="13"/>
      <c r="AO1548" s="13"/>
      <c r="AP1548" s="13"/>
      <c r="AQ1548" s="14"/>
      <c r="AR1548" s="15"/>
    </row>
    <row r="1549" spans="1:44" s="17" customFormat="1" ht="30.95" hidden="1" customHeight="1" x14ac:dyDescent="0.2">
      <c r="A1549" s="343" t="s">
        <v>1138</v>
      </c>
      <c r="B1549" s="344" t="s">
        <v>2825</v>
      </c>
      <c r="C1549" s="345"/>
      <c r="D1549" s="398">
        <v>3754088</v>
      </c>
      <c r="E1549" s="31">
        <v>4151663</v>
      </c>
      <c r="F1549" s="268" t="str">
        <f>IF(D1549="","",VLOOKUP(D1549,契約台帳!$A$3:$K$4986,6,FALSE)&amp;VLOOKUP(D1549,契約台帳!$A$3:$K$4986,7,FALSE)&amp;VLOOKUP(D1549,契約台帳!$A$3:$K$4986,8,FALSE)&amp;VLOOKUP(D1549,契約台帳!$A$3:$K$4986,9,FALSE)&amp;VLOOKUP(D1549,契約台帳!$A$3:$K$4986,11,FALSE))</f>
        <v>3SNMLBMNNGKBF</v>
      </c>
      <c r="G1549" s="269" t="str">
        <f>IF(D1549="","",VLOOKUP(F1549,製品マスタ!$G$5:$H$5002,2,FALSE))</f>
        <v>S</v>
      </c>
      <c r="H1549" s="269" t="str">
        <f>IF(D1549="","",VLOOKUP(F1549,製品マスタ!$G$5:$K$5002,5,FALSE))</f>
        <v>MNNGKBF</v>
      </c>
      <c r="I1549" s="270" t="str">
        <f>IF(D1549="","",VLOOKUP(F1549,製品マスタ!$G$5:$L$5002,6,FALSE))</f>
        <v>メタルミー　ニューネーマー銀消　Ｂ</v>
      </c>
      <c r="J1549" s="32" t="s">
        <v>447</v>
      </c>
      <c r="K1549" s="270">
        <f>IF(D1549="","",VLOOKUP(D1549,契約台帳!$A$3:$L$4986,12,FALSE))</f>
        <v>50</v>
      </c>
      <c r="L1549" s="270" t="str">
        <f>IF(D1549="","",INDEX(製品マスタ!$Q$5:$Q$5002,MATCH(F1549&amp;K1549,製品マスタ!$AO$5:$AO$5002,0)))</f>
        <v>X44</v>
      </c>
      <c r="M1549" s="39">
        <v>1000</v>
      </c>
      <c r="N1549" s="39">
        <v>12000</v>
      </c>
      <c r="O1549" s="47">
        <v>4</v>
      </c>
      <c r="P1549" s="57"/>
      <c r="Q1549" s="276">
        <f>IF(D1549="","",IF(J1549="リード付け",M1549,VLOOKUP(D1549,契約台帳!$A$3:$N$4986,14,FALSE)))</f>
        <v>1000</v>
      </c>
      <c r="R1549" s="277">
        <f>IF(D1549="","",IF(J1549="リード付け",M1549,VLOOKUP(D1549,契約台帳!$A$3:$O$4986,15,FALSE)))</f>
        <v>1000</v>
      </c>
      <c r="S1549" s="277">
        <f>IF(D1549="","",IF(J1549="リード付け",N1549,VLOOKUP(D1549,契約台帳!$A$3:$P$4986,16,FALSE)))</f>
        <v>4000</v>
      </c>
      <c r="T1549" s="40">
        <v>12</v>
      </c>
      <c r="U1549" s="278" t="str">
        <f ca="1">IF(D1549="","",IF(OFFSET(D1549,-2,0)=D1549,"",VLOOKUP(D1549,契約台帳!$A$3:$R$4986,18,FALSE)))</f>
        <v/>
      </c>
      <c r="V1549" s="269" t="str">
        <f>IF(J1549="巻返し",VLOOKUP(F1549&amp;K1549&amp;M1549,製品マスタ!$M$5:$AD$5002,18,FALSE),IF(J1549="リード付け","原反コア",IF(J1549="スリット",VLOOKUP(F1549&amp;K1549&amp;Q1549,製品マスタ!$N$5:$AD$5002,17,FALSE),"")))</f>
        <v>6ｲﾝﾁSｺｱ</v>
      </c>
      <c r="W1549" s="269">
        <f>IF(J1549="巻返し",VLOOKUP(F1549&amp;K1549&amp;M1549,製品マスタ!$M$5:$AE$5002,19,FALSE),IF(J1549="リード付け","-",IF(J1549="スリット",VLOOKUP(F1549&amp;K1549&amp;Q1549,製品マスタ!$N$5:$AE$5002,18,FALSE),"")))</f>
        <v>1005</v>
      </c>
      <c r="X1549" s="275">
        <f>IF(D1549="","",VLOOKUP(D1549,契約台帳!$A$3:$Q$4986,17,FALSE))</f>
        <v>2</v>
      </c>
      <c r="Y1549" s="269" t="str">
        <f>IF(D1549="","",VLOOKUP(D1549,契約台帳!$A$3:$E$4986,5,FALSE))</f>
        <v>リンテック㈱</v>
      </c>
      <c r="Z1549" s="357">
        <v>45441</v>
      </c>
      <c r="AA1549" s="207"/>
      <c r="AB1549" s="369"/>
      <c r="AC1549" s="370"/>
      <c r="AD1549" s="332" t="str">
        <f>IF(F1549="","",+F1549&amp;K1549)</f>
        <v>3SNMLBMNNGKBF50</v>
      </c>
      <c r="AE1549" s="216">
        <f>+M1549*N1549*O1549/1000</f>
        <v>48000</v>
      </c>
      <c r="AF1549" s="43">
        <f>IF(AD1549="","",VLOOKUP(AD1549,原価マスタ!$A$2:$AJ$1693,13,FALSE))</f>
        <v>99</v>
      </c>
      <c r="AG1549" s="47">
        <f>IF(AF1549="","",+AE1549*AF1549/100)</f>
        <v>47520</v>
      </c>
      <c r="AH1549" s="30"/>
      <c r="AI1549" s="30"/>
      <c r="AJ1549" s="30"/>
      <c r="AK1549" s="30"/>
      <c r="AL1549" s="13"/>
      <c r="AM1549" s="13"/>
      <c r="AN1549" s="13"/>
      <c r="AO1549" s="13"/>
      <c r="AP1549" s="13"/>
      <c r="AQ1549" s="14"/>
      <c r="AR1549" s="15"/>
    </row>
    <row r="1550" spans="1:44" s="17" customFormat="1" ht="30.95" hidden="1" customHeight="1" x14ac:dyDescent="0.2">
      <c r="A1550" s="343"/>
      <c r="B1550" s="344"/>
      <c r="C1550" s="345"/>
      <c r="D1550" s="398"/>
      <c r="E1550" s="31"/>
      <c r="F1550" s="268"/>
      <c r="G1550" s="269"/>
      <c r="H1550" s="269"/>
      <c r="I1550" s="270"/>
      <c r="J1550" s="32"/>
      <c r="K1550" s="270"/>
      <c r="L1550" s="270"/>
      <c r="M1550" s="39"/>
      <c r="N1550" s="39"/>
      <c r="O1550" s="47"/>
      <c r="P1550" s="57"/>
      <c r="Q1550" s="276"/>
      <c r="R1550" s="277"/>
      <c r="S1550" s="277"/>
      <c r="T1550" s="40"/>
      <c r="U1550" s="278"/>
      <c r="V1550" s="269"/>
      <c r="W1550" s="269"/>
      <c r="X1550" s="275"/>
      <c r="Y1550" s="269"/>
      <c r="Z1550" s="357"/>
      <c r="AA1550" s="207"/>
      <c r="AB1550" s="369"/>
      <c r="AC1550" s="370"/>
      <c r="AD1550" s="332"/>
      <c r="AE1550" s="216"/>
      <c r="AF1550" s="43"/>
      <c r="AG1550" s="47"/>
      <c r="AH1550" s="30"/>
      <c r="AI1550" s="30"/>
      <c r="AJ1550" s="30"/>
      <c r="AK1550" s="30"/>
      <c r="AL1550" s="13"/>
      <c r="AM1550" s="13"/>
      <c r="AN1550" s="13"/>
      <c r="AO1550" s="13"/>
      <c r="AP1550" s="13"/>
      <c r="AQ1550" s="14"/>
      <c r="AR1550" s="15"/>
    </row>
    <row r="1551" spans="1:44" s="17" customFormat="1" ht="30.95" hidden="1" customHeight="1" x14ac:dyDescent="0.2">
      <c r="A1551" s="343" t="s">
        <v>1139</v>
      </c>
      <c r="B1551" s="344" t="s">
        <v>445</v>
      </c>
      <c r="C1551" s="345"/>
      <c r="D1551" s="31"/>
      <c r="E1551" s="31"/>
      <c r="F1551" s="268"/>
      <c r="G1551" s="269"/>
      <c r="H1551" s="269"/>
      <c r="I1551" s="270"/>
      <c r="J1551" s="32" t="s">
        <v>448</v>
      </c>
      <c r="K1551" s="270"/>
      <c r="L1551" s="270"/>
      <c r="M1551" s="39"/>
      <c r="N1551" s="39"/>
      <c r="O1551" s="47"/>
      <c r="P1551" s="57"/>
      <c r="Q1551" s="276"/>
      <c r="R1551" s="277"/>
      <c r="S1551" s="277"/>
      <c r="T1551" s="40"/>
      <c r="U1551" s="278"/>
      <c r="V1551" s="269"/>
      <c r="W1551" s="269"/>
      <c r="X1551" s="275"/>
      <c r="Y1551" s="269"/>
      <c r="Z1551" s="357"/>
      <c r="AA1551" s="207"/>
      <c r="AB1551" s="369"/>
      <c r="AC1551" s="370"/>
      <c r="AD1551" s="332"/>
      <c r="AE1551" s="216"/>
      <c r="AF1551" s="43"/>
      <c r="AG1551" s="47"/>
      <c r="AH1551" s="30"/>
      <c r="AI1551" s="30"/>
      <c r="AJ1551" s="30"/>
      <c r="AK1551" s="30"/>
      <c r="AL1551" s="13"/>
      <c r="AM1551" s="13"/>
      <c r="AN1551" s="13"/>
      <c r="AO1551" s="13"/>
      <c r="AP1551" s="13"/>
      <c r="AQ1551" s="14"/>
      <c r="AR1551" s="15"/>
    </row>
    <row r="1552" spans="1:44" s="17" customFormat="1" ht="30.95" hidden="1" customHeight="1" x14ac:dyDescent="0.2">
      <c r="A1552" s="343"/>
      <c r="B1552" s="344"/>
      <c r="C1552" s="345"/>
      <c r="D1552" s="31"/>
      <c r="E1552" s="31"/>
      <c r="F1552" s="268"/>
      <c r="G1552" s="269"/>
      <c r="H1552" s="269"/>
      <c r="I1552" s="270"/>
      <c r="J1552" s="32"/>
      <c r="K1552" s="270"/>
      <c r="L1552" s="270"/>
      <c r="M1552" s="39"/>
      <c r="N1552" s="39"/>
      <c r="O1552" s="47"/>
      <c r="P1552" s="57"/>
      <c r="Q1552" s="276"/>
      <c r="R1552" s="277"/>
      <c r="S1552" s="277"/>
      <c r="T1552" s="40"/>
      <c r="U1552" s="278"/>
      <c r="V1552" s="269"/>
      <c r="W1552" s="269"/>
      <c r="X1552" s="275"/>
      <c r="Y1552" s="269"/>
      <c r="Z1552" s="357"/>
      <c r="AA1552" s="207"/>
      <c r="AB1552" s="369"/>
      <c r="AC1552" s="370"/>
      <c r="AD1552" s="332"/>
      <c r="AE1552" s="216"/>
      <c r="AF1552" s="43"/>
      <c r="AG1552" s="47"/>
      <c r="AH1552" s="30"/>
      <c r="AI1552" s="30"/>
      <c r="AJ1552" s="30"/>
      <c r="AK1552" s="30"/>
      <c r="AL1552" s="13"/>
      <c r="AM1552" s="13"/>
      <c r="AN1552" s="13"/>
      <c r="AO1552" s="13"/>
      <c r="AP1552" s="13"/>
      <c r="AQ1552" s="14"/>
      <c r="AR1552" s="15"/>
    </row>
    <row r="1553" spans="1:44" s="17" customFormat="1" ht="30.95" hidden="1" customHeight="1" x14ac:dyDescent="0.2">
      <c r="A1553" s="343" t="s">
        <v>1140</v>
      </c>
      <c r="B1553" s="344" t="s">
        <v>446</v>
      </c>
      <c r="C1553" s="345"/>
      <c r="D1553" s="31"/>
      <c r="E1553" s="31"/>
      <c r="F1553" s="268"/>
      <c r="G1553" s="269"/>
      <c r="H1553" s="269"/>
      <c r="I1553" s="270"/>
      <c r="J1553" s="32" t="s">
        <v>448</v>
      </c>
      <c r="K1553" s="270"/>
      <c r="L1553" s="270"/>
      <c r="M1553" s="39"/>
      <c r="N1553" s="39"/>
      <c r="O1553" s="47"/>
      <c r="P1553" s="57"/>
      <c r="Q1553" s="276"/>
      <c r="R1553" s="277"/>
      <c r="S1553" s="277"/>
      <c r="T1553" s="40"/>
      <c r="U1553" s="278"/>
      <c r="V1553" s="269"/>
      <c r="W1553" s="269"/>
      <c r="X1553" s="275"/>
      <c r="Y1553" s="269"/>
      <c r="Z1553" s="357"/>
      <c r="AA1553" s="207"/>
      <c r="AB1553" s="369"/>
      <c r="AC1553" s="370"/>
      <c r="AD1553" s="332"/>
      <c r="AE1553" s="216"/>
      <c r="AF1553" s="43"/>
      <c r="AG1553" s="47"/>
      <c r="AH1553" s="30"/>
      <c r="AI1553" s="30"/>
      <c r="AJ1553" s="30"/>
      <c r="AK1553" s="30"/>
      <c r="AL1553" s="13"/>
      <c r="AM1553" s="13"/>
      <c r="AN1553" s="13"/>
      <c r="AO1553" s="13"/>
      <c r="AP1553" s="13"/>
      <c r="AQ1553" s="14"/>
      <c r="AR1553" s="15"/>
    </row>
    <row r="1554" spans="1:44" s="17" customFormat="1" ht="30.6" hidden="1" customHeight="1" x14ac:dyDescent="0.2">
      <c r="A1554" s="343"/>
      <c r="B1554" s="344"/>
      <c r="C1554" s="345"/>
      <c r="D1554" s="398"/>
      <c r="E1554" s="31"/>
      <c r="F1554" s="268"/>
      <c r="G1554" s="269"/>
      <c r="H1554" s="269"/>
      <c r="I1554" s="270"/>
      <c r="J1554" s="32"/>
      <c r="K1554" s="270"/>
      <c r="L1554" s="270"/>
      <c r="M1554" s="39"/>
      <c r="N1554" s="39"/>
      <c r="O1554" s="47"/>
      <c r="P1554" s="57"/>
      <c r="Q1554" s="276"/>
      <c r="R1554" s="277"/>
      <c r="S1554" s="277"/>
      <c r="T1554" s="40"/>
      <c r="U1554" s="278"/>
      <c r="V1554" s="269"/>
      <c r="W1554" s="269"/>
      <c r="X1554" s="275"/>
      <c r="Y1554" s="269"/>
      <c r="Z1554" s="357"/>
      <c r="AA1554" s="207"/>
      <c r="AB1554" s="369"/>
      <c r="AC1554" s="370"/>
      <c r="AD1554" s="332"/>
      <c r="AE1554" s="216"/>
      <c r="AF1554" s="43"/>
      <c r="AG1554" s="47"/>
      <c r="AH1554" s="30"/>
      <c r="AI1554" s="30"/>
      <c r="AJ1554" s="30"/>
      <c r="AK1554" s="30"/>
      <c r="AL1554" s="13"/>
      <c r="AM1554" s="13"/>
      <c r="AN1554" s="13"/>
      <c r="AO1554" s="13"/>
      <c r="AP1554" s="13"/>
      <c r="AQ1554" s="14"/>
      <c r="AR1554" s="15"/>
    </row>
    <row r="1555" spans="1:44" s="337" customFormat="1" ht="30.95" hidden="1" customHeight="1" x14ac:dyDescent="0.2">
      <c r="A1555" s="320" t="s">
        <v>1141</v>
      </c>
      <c r="B1555" s="321" t="s">
        <v>462</v>
      </c>
      <c r="C1555" s="322"/>
      <c r="D1555" s="279">
        <v>3755580</v>
      </c>
      <c r="E1555" s="279">
        <v>4151680</v>
      </c>
      <c r="F1555" s="362" t="s">
        <v>2786</v>
      </c>
      <c r="G1555" s="363" t="s">
        <v>2793</v>
      </c>
      <c r="H1555" s="363" t="s">
        <v>242</v>
      </c>
      <c r="I1555" s="207" t="s">
        <v>243</v>
      </c>
      <c r="J1555" s="373" t="s">
        <v>447</v>
      </c>
      <c r="K1555" s="207">
        <v>50</v>
      </c>
      <c r="L1555" s="207" t="s">
        <v>151</v>
      </c>
      <c r="M1555" s="326">
        <v>1255</v>
      </c>
      <c r="N1555" s="326">
        <v>12200</v>
      </c>
      <c r="O1555" s="175">
        <v>1</v>
      </c>
      <c r="P1555" s="329"/>
      <c r="Q1555" s="367">
        <v>1255</v>
      </c>
      <c r="R1555" s="278">
        <v>1250</v>
      </c>
      <c r="S1555" s="278">
        <v>2000</v>
      </c>
      <c r="T1555" s="183">
        <v>6</v>
      </c>
      <c r="U1555" s="278">
        <v>6</v>
      </c>
      <c r="V1555" s="363" t="s">
        <v>2877</v>
      </c>
      <c r="W1555" s="363">
        <v>1260</v>
      </c>
      <c r="X1555" s="363">
        <v>2</v>
      </c>
      <c r="Y1555" s="363" t="s">
        <v>61</v>
      </c>
      <c r="Z1555" s="329" t="s">
        <v>2817</v>
      </c>
      <c r="AA1555" s="207" t="s">
        <v>774</v>
      </c>
      <c r="AB1555" s="330"/>
      <c r="AC1555" s="331"/>
      <c r="AD1555" s="332" t="s">
        <v>2794</v>
      </c>
      <c r="AE1555" s="216">
        <f>+M1555*N1555*O1555/1000</f>
        <v>15311</v>
      </c>
      <c r="AF1555" s="328"/>
      <c r="AG1555" s="175"/>
      <c r="AH1555" s="333"/>
      <c r="AI1555" s="333"/>
      <c r="AJ1555" s="333"/>
      <c r="AK1555" s="333"/>
      <c r="AL1555" s="334"/>
      <c r="AM1555" s="334"/>
      <c r="AN1555" s="334"/>
      <c r="AO1555" s="334"/>
      <c r="AP1555" s="334"/>
      <c r="AQ1555" s="335"/>
      <c r="AR1555" s="336"/>
    </row>
    <row r="1556" spans="1:44" s="17" customFormat="1" ht="30.95" hidden="1" customHeight="1" x14ac:dyDescent="0.2">
      <c r="A1556" s="343"/>
      <c r="B1556" s="344"/>
      <c r="C1556" s="345"/>
      <c r="D1556" s="398"/>
      <c r="E1556" s="31"/>
      <c r="F1556" s="268"/>
      <c r="G1556" s="269"/>
      <c r="H1556" s="269"/>
      <c r="I1556" s="301" t="s">
        <v>2876</v>
      </c>
      <c r="J1556" s="32"/>
      <c r="K1556" s="270"/>
      <c r="L1556" s="270"/>
      <c r="M1556" s="39"/>
      <c r="N1556" s="39"/>
      <c r="O1556" s="47"/>
      <c r="P1556" s="57"/>
      <c r="Q1556" s="276"/>
      <c r="R1556" s="277"/>
      <c r="S1556" s="277"/>
      <c r="T1556" s="40"/>
      <c r="U1556" s="278"/>
      <c r="V1556" s="269"/>
      <c r="W1556" s="269"/>
      <c r="X1556" s="275"/>
      <c r="Y1556" s="269"/>
      <c r="Z1556" s="357"/>
      <c r="AA1556" s="207"/>
      <c r="AB1556" s="369"/>
      <c r="AC1556" s="370"/>
      <c r="AD1556" s="332"/>
      <c r="AE1556" s="216"/>
      <c r="AF1556" s="43"/>
      <c r="AG1556" s="47"/>
      <c r="AH1556" s="30"/>
      <c r="AI1556" s="30"/>
      <c r="AJ1556" s="30"/>
      <c r="AK1556" s="30"/>
      <c r="AL1556" s="13"/>
      <c r="AM1556" s="13"/>
      <c r="AN1556" s="13"/>
      <c r="AO1556" s="13"/>
      <c r="AP1556" s="13"/>
      <c r="AQ1556" s="14"/>
      <c r="AR1556" s="15"/>
    </row>
    <row r="1557" spans="1:44" s="233" customFormat="1" ht="30.95" hidden="1" customHeight="1" x14ac:dyDescent="0.2">
      <c r="A1557" s="399"/>
      <c r="B1557" s="400"/>
      <c r="C1557" s="401"/>
      <c r="D1557" s="396"/>
      <c r="E1557" s="219"/>
      <c r="F1557" s="281"/>
      <c r="G1557" s="282"/>
      <c r="H1557" s="282"/>
      <c r="I1557" s="283"/>
      <c r="J1557" s="220"/>
      <c r="K1557" s="283"/>
      <c r="L1557" s="283"/>
      <c r="M1557" s="221"/>
      <c r="N1557" s="221"/>
      <c r="O1557" s="222"/>
      <c r="P1557" s="213"/>
      <c r="Q1557" s="284"/>
      <c r="R1557" s="285"/>
      <c r="S1557" s="285"/>
      <c r="T1557" s="224"/>
      <c r="U1557" s="286"/>
      <c r="V1557" s="282"/>
      <c r="W1557" s="282"/>
      <c r="X1557" s="287"/>
      <c r="Y1557" s="282"/>
      <c r="Z1557" s="356"/>
      <c r="AA1557" s="288"/>
      <c r="AB1557" s="385"/>
      <c r="AC1557" s="386"/>
      <c r="AD1557" s="387"/>
      <c r="AE1557" s="423"/>
      <c r="AF1557" s="223"/>
      <c r="AG1557" s="234" t="e">
        <f>SUM(AG1459:AG1556)</f>
        <v>#N/A</v>
      </c>
      <c r="AH1557" s="229"/>
      <c r="AI1557" s="229"/>
      <c r="AJ1557" s="229"/>
      <c r="AK1557" s="229"/>
      <c r="AL1557" s="230"/>
      <c r="AM1557" s="230"/>
      <c r="AN1557" s="230"/>
      <c r="AO1557" s="230"/>
      <c r="AP1557" s="230"/>
      <c r="AQ1557" s="231"/>
      <c r="AR1557" s="232"/>
    </row>
    <row r="1558" spans="1:44" s="17" customFormat="1" ht="30.95" hidden="1" customHeight="1" x14ac:dyDescent="0.2">
      <c r="A1558" s="343"/>
      <c r="B1558" s="344"/>
      <c r="C1558" s="345"/>
      <c r="D1558" s="398"/>
      <c r="E1558" s="31"/>
      <c r="F1558" s="268"/>
      <c r="G1558" s="269"/>
      <c r="H1558" s="269"/>
      <c r="I1558" s="270"/>
      <c r="J1558" s="32"/>
      <c r="K1558" s="270"/>
      <c r="L1558" s="270"/>
      <c r="M1558" s="39"/>
      <c r="N1558" s="39"/>
      <c r="O1558" s="47"/>
      <c r="P1558" s="57"/>
      <c r="Q1558" s="276"/>
      <c r="R1558" s="277"/>
      <c r="S1558" s="277"/>
      <c r="T1558" s="40"/>
      <c r="U1558" s="278"/>
      <c r="V1558" s="269"/>
      <c r="W1558" s="269"/>
      <c r="X1558" s="275"/>
      <c r="Y1558" s="269"/>
      <c r="Z1558" s="357"/>
      <c r="AA1558" s="207"/>
      <c r="AB1558" s="369"/>
      <c r="AC1558" s="370"/>
      <c r="AD1558" s="332"/>
      <c r="AE1558" s="216"/>
      <c r="AF1558" s="43"/>
      <c r="AG1558" s="47"/>
      <c r="AH1558" s="30"/>
      <c r="AI1558" s="30"/>
      <c r="AJ1558" s="30"/>
      <c r="AK1558" s="30"/>
      <c r="AL1558" s="13"/>
      <c r="AM1558" s="13"/>
      <c r="AN1558" s="13"/>
      <c r="AO1558" s="13"/>
      <c r="AP1558" s="13"/>
      <c r="AQ1558" s="14"/>
      <c r="AR1558" s="15"/>
    </row>
    <row r="1559" spans="1:44" s="17" customFormat="1" ht="30.95" hidden="1" customHeight="1" x14ac:dyDescent="0.2">
      <c r="A1559" s="343" t="s">
        <v>2891</v>
      </c>
      <c r="B1559" s="344" t="s">
        <v>2888</v>
      </c>
      <c r="C1559" s="345"/>
      <c r="D1559" s="398" t="s">
        <v>1276</v>
      </c>
      <c r="E1559" s="414" t="s">
        <v>1277</v>
      </c>
      <c r="F1559" s="268"/>
      <c r="G1559" s="269" t="s">
        <v>269</v>
      </c>
      <c r="H1559" s="269" t="s">
        <v>1078</v>
      </c>
      <c r="I1559" s="270" t="s">
        <v>2819</v>
      </c>
      <c r="J1559" s="32" t="s">
        <v>970</v>
      </c>
      <c r="K1559" s="270">
        <v>25</v>
      </c>
      <c r="L1559" s="270" t="s">
        <v>2813</v>
      </c>
      <c r="M1559" s="39">
        <v>1110</v>
      </c>
      <c r="N1559" s="39">
        <v>12100</v>
      </c>
      <c r="O1559" s="47">
        <v>1</v>
      </c>
      <c r="P1559" s="57"/>
      <c r="Q1559" s="276">
        <v>1050</v>
      </c>
      <c r="R1559" s="277">
        <v>1050</v>
      </c>
      <c r="S1559" s="277">
        <v>2000</v>
      </c>
      <c r="T1559" s="40">
        <v>1</v>
      </c>
      <c r="U1559" s="278">
        <v>1</v>
      </c>
      <c r="V1559" s="269" t="s">
        <v>2818</v>
      </c>
      <c r="W1559" s="269">
        <v>1250</v>
      </c>
      <c r="X1559" s="275">
        <v>1</v>
      </c>
      <c r="Y1559" s="269" t="s">
        <v>1365</v>
      </c>
      <c r="Z1559" s="357" t="s">
        <v>1016</v>
      </c>
      <c r="AA1559" s="207" t="s">
        <v>2814</v>
      </c>
      <c r="AB1559" s="369"/>
      <c r="AC1559" s="370"/>
      <c r="AD1559" s="332"/>
      <c r="AE1559" s="216"/>
      <c r="AF1559" s="43"/>
      <c r="AG1559" s="47"/>
      <c r="AH1559" s="30"/>
      <c r="AI1559" s="30"/>
      <c r="AJ1559" s="30"/>
      <c r="AK1559" s="30"/>
      <c r="AL1559" s="13"/>
      <c r="AM1559" s="13"/>
      <c r="AN1559" s="13"/>
      <c r="AO1559" s="13"/>
      <c r="AP1559" s="13"/>
      <c r="AQ1559" s="14"/>
      <c r="AR1559" s="15"/>
    </row>
    <row r="1560" spans="1:44" s="17" customFormat="1" ht="30.95" hidden="1" customHeight="1" x14ac:dyDescent="0.2">
      <c r="A1560" s="343"/>
      <c r="B1560" s="344"/>
      <c r="C1560" s="345"/>
      <c r="D1560" s="398"/>
      <c r="E1560" s="31"/>
      <c r="F1560" s="268"/>
      <c r="G1560" s="269"/>
      <c r="H1560" s="269"/>
      <c r="I1560" s="301" t="s">
        <v>2852</v>
      </c>
      <c r="J1560" s="32"/>
      <c r="K1560" s="270"/>
      <c r="L1560" s="270"/>
      <c r="M1560" s="39"/>
      <c r="N1560" s="39"/>
      <c r="O1560" s="47"/>
      <c r="P1560" s="57"/>
      <c r="Q1560" s="276"/>
      <c r="R1560" s="277"/>
      <c r="S1560" s="277"/>
      <c r="T1560" s="40"/>
      <c r="U1560" s="278"/>
      <c r="V1560" s="269"/>
      <c r="W1560" s="269"/>
      <c r="X1560" s="275"/>
      <c r="Y1560" s="269"/>
      <c r="Z1560" s="357"/>
      <c r="AA1560" s="207"/>
      <c r="AB1560" s="369"/>
      <c r="AC1560" s="370"/>
      <c r="AD1560" s="332"/>
      <c r="AE1560" s="216"/>
      <c r="AF1560" s="43"/>
      <c r="AG1560" s="47"/>
      <c r="AH1560" s="30"/>
      <c r="AI1560" s="30"/>
      <c r="AJ1560" s="30"/>
      <c r="AK1560" s="30"/>
      <c r="AL1560" s="13"/>
      <c r="AM1560" s="13"/>
      <c r="AN1560" s="13"/>
      <c r="AO1560" s="13"/>
      <c r="AP1560" s="13"/>
      <c r="AQ1560" s="14"/>
      <c r="AR1560" s="15"/>
    </row>
    <row r="1561" spans="1:44" s="17" customFormat="1" ht="30.95" hidden="1" customHeight="1" x14ac:dyDescent="0.2">
      <c r="A1561" s="343" t="s">
        <v>2795</v>
      </c>
      <c r="B1561" s="344" t="s">
        <v>2789</v>
      </c>
      <c r="C1561" s="345"/>
      <c r="D1561" s="398"/>
      <c r="E1561" s="31"/>
      <c r="F1561" s="268"/>
      <c r="G1561" s="269"/>
      <c r="H1561" s="269"/>
      <c r="I1561" s="270"/>
      <c r="J1561" s="32" t="s">
        <v>2826</v>
      </c>
      <c r="K1561" s="270"/>
      <c r="L1561" s="270"/>
      <c r="M1561" s="39"/>
      <c r="N1561" s="39"/>
      <c r="O1561" s="47"/>
      <c r="P1561" s="57"/>
      <c r="Q1561" s="276"/>
      <c r="R1561" s="277"/>
      <c r="S1561" s="277"/>
      <c r="T1561" s="40"/>
      <c r="U1561" s="278"/>
      <c r="V1561" s="269"/>
      <c r="W1561" s="269"/>
      <c r="X1561" s="275"/>
      <c r="Y1561" s="269"/>
      <c r="Z1561" s="357"/>
      <c r="AA1561" s="207"/>
      <c r="AB1561" s="369"/>
      <c r="AC1561" s="370"/>
      <c r="AD1561" s="332"/>
      <c r="AE1561" s="216"/>
      <c r="AF1561" s="43"/>
      <c r="AG1561" s="47"/>
      <c r="AH1561" s="30"/>
      <c r="AI1561" s="30"/>
      <c r="AJ1561" s="30"/>
      <c r="AK1561" s="30"/>
      <c r="AL1561" s="13"/>
      <c r="AM1561" s="13"/>
      <c r="AN1561" s="13"/>
      <c r="AO1561" s="13"/>
      <c r="AP1561" s="13"/>
      <c r="AQ1561" s="14"/>
      <c r="AR1561" s="15"/>
    </row>
    <row r="1562" spans="1:44" s="17" customFormat="1" ht="30.95" hidden="1" customHeight="1" x14ac:dyDescent="0.2">
      <c r="A1562" s="343"/>
      <c r="B1562" s="344"/>
      <c r="C1562" s="345"/>
      <c r="D1562" s="398"/>
      <c r="E1562" s="31"/>
      <c r="F1562" s="268"/>
      <c r="G1562" s="269"/>
      <c r="H1562" s="269"/>
      <c r="I1562" s="270"/>
      <c r="J1562" s="32"/>
      <c r="K1562" s="270"/>
      <c r="L1562" s="270"/>
      <c r="M1562" s="39"/>
      <c r="N1562" s="39"/>
      <c r="O1562" s="47"/>
      <c r="P1562" s="57"/>
      <c r="Q1562" s="276"/>
      <c r="R1562" s="277"/>
      <c r="S1562" s="277"/>
      <c r="T1562" s="40"/>
      <c r="U1562" s="278"/>
      <c r="V1562" s="269"/>
      <c r="W1562" s="269"/>
      <c r="X1562" s="275"/>
      <c r="Y1562" s="269"/>
      <c r="Z1562" s="357"/>
      <c r="AA1562" s="207"/>
      <c r="AB1562" s="369"/>
      <c r="AC1562" s="370"/>
      <c r="AD1562" s="332"/>
      <c r="AE1562" s="216"/>
      <c r="AF1562" s="43"/>
      <c r="AG1562" s="47"/>
      <c r="AH1562" s="30"/>
      <c r="AI1562" s="30"/>
      <c r="AJ1562" s="30"/>
      <c r="AK1562" s="30"/>
      <c r="AL1562" s="13"/>
      <c r="AM1562" s="13"/>
      <c r="AN1562" s="13"/>
      <c r="AO1562" s="13"/>
      <c r="AP1562" s="13"/>
      <c r="AQ1562" s="14"/>
      <c r="AR1562" s="15"/>
    </row>
    <row r="1563" spans="1:44" s="17" customFormat="1" ht="30.95" hidden="1" customHeight="1" x14ac:dyDescent="0.2">
      <c r="A1563" s="343" t="s">
        <v>2796</v>
      </c>
      <c r="B1563" s="344" t="s">
        <v>2790</v>
      </c>
      <c r="C1563" s="345"/>
      <c r="D1563" s="398"/>
      <c r="E1563" s="31"/>
      <c r="F1563" s="268"/>
      <c r="G1563" s="269"/>
      <c r="H1563" s="269"/>
      <c r="I1563" s="270"/>
      <c r="J1563" s="32" t="s">
        <v>665</v>
      </c>
      <c r="K1563" s="270"/>
      <c r="L1563" s="270"/>
      <c r="M1563" s="39"/>
      <c r="N1563" s="39"/>
      <c r="O1563" s="47"/>
      <c r="P1563" s="57"/>
      <c r="Q1563" s="276"/>
      <c r="R1563" s="277"/>
      <c r="S1563" s="277"/>
      <c r="T1563" s="40"/>
      <c r="U1563" s="278"/>
      <c r="V1563" s="269"/>
      <c r="W1563" s="269"/>
      <c r="X1563" s="275"/>
      <c r="Y1563" s="269"/>
      <c r="Z1563" s="357"/>
      <c r="AA1563" s="207"/>
      <c r="AB1563" s="369"/>
      <c r="AC1563" s="370"/>
      <c r="AD1563" s="332"/>
      <c r="AE1563" s="216"/>
      <c r="AF1563" s="43"/>
      <c r="AG1563" s="47"/>
      <c r="AH1563" s="30"/>
      <c r="AI1563" s="30"/>
      <c r="AJ1563" s="30"/>
      <c r="AK1563" s="30"/>
      <c r="AL1563" s="13"/>
      <c r="AM1563" s="13"/>
      <c r="AN1563" s="13"/>
      <c r="AO1563" s="13"/>
      <c r="AP1563" s="13"/>
      <c r="AQ1563" s="14"/>
      <c r="AR1563" s="15"/>
    </row>
    <row r="1564" spans="1:44" s="17" customFormat="1" ht="30.95" hidden="1" customHeight="1" x14ac:dyDescent="0.2">
      <c r="A1564" s="343"/>
      <c r="B1564" s="344"/>
      <c r="C1564" s="345"/>
      <c r="D1564" s="398"/>
      <c r="E1564" s="31"/>
      <c r="F1564" s="268"/>
      <c r="G1564" s="269"/>
      <c r="H1564" s="269"/>
      <c r="I1564" s="270"/>
      <c r="J1564" s="32"/>
      <c r="K1564" s="270"/>
      <c r="L1564" s="270"/>
      <c r="M1564" s="39"/>
      <c r="N1564" s="39"/>
      <c r="O1564" s="47"/>
      <c r="P1564" s="57"/>
      <c r="Q1564" s="276"/>
      <c r="R1564" s="277"/>
      <c r="S1564" s="277"/>
      <c r="T1564" s="40"/>
      <c r="U1564" s="278"/>
      <c r="V1564" s="269"/>
      <c r="W1564" s="269"/>
      <c r="X1564" s="275"/>
      <c r="Y1564" s="269"/>
      <c r="Z1564" s="357"/>
      <c r="AA1564" s="207"/>
      <c r="AB1564" s="369"/>
      <c r="AC1564" s="370"/>
      <c r="AD1564" s="332"/>
      <c r="AE1564" s="216"/>
      <c r="AF1564" s="43"/>
      <c r="AG1564" s="47"/>
      <c r="AH1564" s="30"/>
      <c r="AI1564" s="30"/>
      <c r="AJ1564" s="30"/>
      <c r="AK1564" s="30"/>
      <c r="AL1564" s="13"/>
      <c r="AM1564" s="13"/>
      <c r="AN1564" s="13"/>
      <c r="AO1564" s="13"/>
      <c r="AP1564" s="13"/>
      <c r="AQ1564" s="14"/>
      <c r="AR1564" s="15"/>
    </row>
    <row r="1565" spans="1:44" s="17" customFormat="1" ht="30.95" hidden="1" customHeight="1" x14ac:dyDescent="0.2">
      <c r="A1565" s="343" t="s">
        <v>2874</v>
      </c>
      <c r="B1565" s="344" t="s">
        <v>2875</v>
      </c>
      <c r="C1565" s="345"/>
      <c r="D1565" s="31">
        <v>3758065</v>
      </c>
      <c r="E1565" s="31">
        <v>4170139</v>
      </c>
      <c r="F1565" s="268" t="str">
        <f>IF(D1565="","",VLOOKUP(D1565,契約台帳!$A$3:$K$4986,6,FALSE)&amp;VLOOKUP(D1565,契約台帳!$A$3:$K$4986,7,FALSE)&amp;VLOOKUP(D1565,契約台帳!$A$3:$K$4986,8,FALSE)&amp;VLOOKUP(D1565,契約台帳!$A$3:$K$4986,9,FALSE)&amp;VLOOKUP(D1565,契約台帳!$A$3:$K$4986,11,FALSE))</f>
        <v>3SNMLBMNGTBF</v>
      </c>
      <c r="G1565" s="269" t="str">
        <f>IF(D1565="","",VLOOKUP(F1565,製品マスタ!$G$5:$H$5002,2,FALSE))</f>
        <v>S</v>
      </c>
      <c r="H1565" s="269" t="str">
        <f>IF(D1565="","",VLOOKUP(F1565,製品マスタ!$G$5:$K$5002,5,FALSE))</f>
        <v>MNGTBF</v>
      </c>
      <c r="I1565" s="270" t="str">
        <f>IF(D1565="","",VLOOKUP(F1565,製品マスタ!$G$5:$L$5002,6,FALSE))</f>
        <v>メタルミー　ネーマー　銀艶　Ｂ</v>
      </c>
      <c r="J1565" s="32" t="s">
        <v>464</v>
      </c>
      <c r="K1565" s="270">
        <f>IF(D1565="","",VLOOKUP(D1565,契約台帳!$A$3:$L$4986,12,FALSE))</f>
        <v>25</v>
      </c>
      <c r="L1565" s="270" t="str">
        <f>IF(D1565="","",INDEX(製品マスタ!$Q$5:$Q$5002,MATCH(F1565&amp;K1565,製品マスタ!$AO$5:$AO$5002,0)))</f>
        <v>T62M</v>
      </c>
      <c r="M1565" s="39">
        <v>1005</v>
      </c>
      <c r="N1565" s="39">
        <v>12100</v>
      </c>
      <c r="O1565" s="47">
        <v>2</v>
      </c>
      <c r="P1565" s="350">
        <v>45440</v>
      </c>
      <c r="Q1565" s="276">
        <f>IF(D1565="","",IF(J1565="リード付け",M1565,VLOOKUP(D1565,契約台帳!$A$3:$N$4986,14,FALSE)))</f>
        <v>1005</v>
      </c>
      <c r="R1565" s="277">
        <f>IF(D1565="","",IF(J1565="リード付け",M1565,VLOOKUP(D1565,契約台帳!$A$3:$O$4986,15,FALSE)))</f>
        <v>1005</v>
      </c>
      <c r="S1565" s="277">
        <f>IF(D1565="","",IF(J1565="リード付け",N1565,VLOOKUP(D1565,契約台帳!$A$3:$P$4986,16,FALSE)))</f>
        <v>12100</v>
      </c>
      <c r="T1565" s="40">
        <v>2</v>
      </c>
      <c r="U1565" s="278">
        <f ca="1">IF(D1565="","",IF(OFFSET(D1565,-2,0)=D1565,"",VLOOKUP(D1565,契約台帳!$A$3:$R$4986,18,FALSE)))</f>
        <v>6</v>
      </c>
      <c r="V1565" s="269" t="str">
        <f>IF(J1565="巻返し",VLOOKUP(F1565&amp;K1565&amp;M1565,製品マスタ!$M$5:$AD$5002,18,FALSE),IF(J1565="リード付け","原反コア",IF(J1565="スリット",VLOOKUP(F1565&amp;K1565&amp;Q1565,製品マスタ!$N$5:$AD$5002,17,FALSE),"")))</f>
        <v>原反コア</v>
      </c>
      <c r="W1565" s="269" t="str">
        <f>IF(J1565="巻返し",VLOOKUP(F1565&amp;K1565&amp;M1565,製品マスタ!$M$5:$AE$5002,19,FALSE),IF(J1565="リード付け","-",IF(J1565="スリット",VLOOKUP(F1565&amp;K1565&amp;Q1565,製品マスタ!$N$5:$AE$5002,18,FALSE),"")))</f>
        <v>-</v>
      </c>
      <c r="X1565" s="275">
        <f>IF(D1565="","",VLOOKUP(D1565,契約台帳!$A$3:$Q$4986,17,FALSE))</f>
        <v>2</v>
      </c>
      <c r="Y1565" s="269" t="str">
        <f>IF(D1565="","",VLOOKUP(D1565,契約台帳!$A$3:$E$4986,5,FALSE))</f>
        <v>リンテック㈱</v>
      </c>
      <c r="Z1565" s="350"/>
      <c r="AA1565" s="424"/>
      <c r="AB1565" s="352"/>
      <c r="AC1565" s="353"/>
      <c r="AD1565" s="54"/>
      <c r="AE1565" s="354"/>
      <c r="AF1565" s="355"/>
      <c r="AG1565" s="349"/>
      <c r="AH1565" s="30"/>
      <c r="AI1565" s="30"/>
      <c r="AJ1565" s="30"/>
      <c r="AK1565" s="30"/>
      <c r="AL1565" s="13"/>
      <c r="AM1565" s="13"/>
      <c r="AN1565" s="13"/>
      <c r="AO1565" s="13"/>
      <c r="AP1565" s="13"/>
      <c r="AQ1565" s="14"/>
      <c r="AR1565" s="15"/>
    </row>
    <row r="1566" spans="1:44" s="17" customFormat="1" ht="30.95" hidden="1" customHeight="1" x14ac:dyDescent="0.2">
      <c r="A1566" s="343"/>
      <c r="B1566" s="344"/>
      <c r="C1566" s="345"/>
      <c r="D1566" s="398"/>
      <c r="E1566" s="31"/>
      <c r="F1566" s="268"/>
      <c r="G1566" s="269"/>
      <c r="H1566" s="269"/>
      <c r="I1566" s="270"/>
      <c r="J1566" s="32"/>
      <c r="K1566" s="270"/>
      <c r="L1566" s="270"/>
      <c r="M1566" s="39"/>
      <c r="N1566" s="39"/>
      <c r="O1566" s="47"/>
      <c r="P1566" s="57"/>
      <c r="Q1566" s="276"/>
      <c r="R1566" s="277"/>
      <c r="S1566" s="277"/>
      <c r="T1566" s="40"/>
      <c r="U1566" s="278"/>
      <c r="V1566" s="269"/>
      <c r="W1566" s="269"/>
      <c r="X1566" s="275"/>
      <c r="Y1566" s="269"/>
      <c r="Z1566" s="357"/>
      <c r="AA1566" s="207"/>
      <c r="AB1566" s="369"/>
      <c r="AC1566" s="370"/>
      <c r="AD1566" s="332"/>
      <c r="AE1566" s="216"/>
      <c r="AF1566" s="43"/>
      <c r="AG1566" s="47"/>
      <c r="AH1566" s="30"/>
      <c r="AI1566" s="30"/>
      <c r="AJ1566" s="30"/>
      <c r="AK1566" s="30"/>
      <c r="AL1566" s="13"/>
      <c r="AM1566" s="13"/>
      <c r="AN1566" s="13"/>
      <c r="AO1566" s="13"/>
      <c r="AP1566" s="13"/>
      <c r="AQ1566" s="14"/>
      <c r="AR1566" s="15"/>
    </row>
    <row r="1567" spans="1:44" s="17" customFormat="1" ht="30.95" hidden="1" customHeight="1" x14ac:dyDescent="0.2">
      <c r="A1567" s="343" t="s">
        <v>1169</v>
      </c>
      <c r="B1567" s="344" t="s">
        <v>445</v>
      </c>
      <c r="C1567" s="345"/>
      <c r="D1567" s="31"/>
      <c r="E1567" s="31"/>
      <c r="F1567" s="268"/>
      <c r="G1567" s="269"/>
      <c r="H1567" s="269"/>
      <c r="I1567" s="270"/>
      <c r="J1567" s="32" t="s">
        <v>448</v>
      </c>
      <c r="K1567" s="270"/>
      <c r="L1567" s="270"/>
      <c r="M1567" s="39"/>
      <c r="N1567" s="39"/>
      <c r="O1567" s="47"/>
      <c r="P1567" s="57"/>
      <c r="Q1567" s="276"/>
      <c r="R1567" s="277"/>
      <c r="S1567" s="277"/>
      <c r="T1567" s="40"/>
      <c r="U1567" s="278"/>
      <c r="V1567" s="269"/>
      <c r="W1567" s="269"/>
      <c r="X1567" s="275"/>
      <c r="Y1567" s="269"/>
      <c r="Z1567" s="357"/>
      <c r="AA1567" s="207"/>
      <c r="AB1567" s="369"/>
      <c r="AC1567" s="370"/>
      <c r="AD1567" s="332"/>
      <c r="AE1567" s="216"/>
      <c r="AF1567" s="43"/>
      <c r="AG1567" s="47"/>
      <c r="AH1567" s="30"/>
      <c r="AI1567" s="30"/>
      <c r="AJ1567" s="30"/>
      <c r="AK1567" s="30"/>
      <c r="AL1567" s="13"/>
      <c r="AM1567" s="13"/>
      <c r="AN1567" s="13"/>
      <c r="AO1567" s="13"/>
      <c r="AP1567" s="13"/>
      <c r="AQ1567" s="14"/>
      <c r="AR1567" s="15"/>
    </row>
    <row r="1568" spans="1:44" s="17" customFormat="1" ht="30.95" hidden="1" customHeight="1" x14ac:dyDescent="0.2">
      <c r="A1568" s="343"/>
      <c r="B1568" s="344"/>
      <c r="C1568" s="345"/>
      <c r="D1568" s="31"/>
      <c r="E1568" s="31"/>
      <c r="F1568" s="268"/>
      <c r="G1568" s="269"/>
      <c r="H1568" s="269"/>
      <c r="I1568" s="270"/>
      <c r="J1568" s="32"/>
      <c r="K1568" s="270"/>
      <c r="L1568" s="270"/>
      <c r="M1568" s="39"/>
      <c r="N1568" s="39"/>
      <c r="O1568" s="47"/>
      <c r="P1568" s="57"/>
      <c r="Q1568" s="276"/>
      <c r="R1568" s="277"/>
      <c r="S1568" s="277"/>
      <c r="T1568" s="40"/>
      <c r="U1568" s="278"/>
      <c r="V1568" s="269"/>
      <c r="W1568" s="269"/>
      <c r="X1568" s="275"/>
      <c r="Y1568" s="269"/>
      <c r="Z1568" s="357"/>
      <c r="AA1568" s="207"/>
      <c r="AB1568" s="369"/>
      <c r="AC1568" s="370"/>
      <c r="AD1568" s="332"/>
      <c r="AE1568" s="216"/>
      <c r="AF1568" s="43"/>
      <c r="AG1568" s="47"/>
      <c r="AH1568" s="30"/>
      <c r="AI1568" s="30"/>
      <c r="AJ1568" s="30"/>
      <c r="AK1568" s="30"/>
      <c r="AL1568" s="13"/>
      <c r="AM1568" s="13"/>
      <c r="AN1568" s="13"/>
      <c r="AO1568" s="13"/>
      <c r="AP1568" s="13"/>
      <c r="AQ1568" s="14"/>
      <c r="AR1568" s="15"/>
    </row>
    <row r="1569" spans="1:44" s="17" customFormat="1" ht="30.95" hidden="1" customHeight="1" x14ac:dyDescent="0.2">
      <c r="A1569" s="343" t="s">
        <v>1170</v>
      </c>
      <c r="B1569" s="344" t="s">
        <v>446</v>
      </c>
      <c r="C1569" s="345"/>
      <c r="D1569" s="31"/>
      <c r="E1569" s="31"/>
      <c r="F1569" s="268"/>
      <c r="G1569" s="269"/>
      <c r="H1569" s="269"/>
      <c r="I1569" s="270"/>
      <c r="J1569" s="32" t="s">
        <v>448</v>
      </c>
      <c r="K1569" s="270"/>
      <c r="L1569" s="270"/>
      <c r="M1569" s="39"/>
      <c r="N1569" s="39"/>
      <c r="O1569" s="47"/>
      <c r="P1569" s="57"/>
      <c r="Q1569" s="276"/>
      <c r="R1569" s="277"/>
      <c r="S1569" s="277"/>
      <c r="T1569" s="40"/>
      <c r="U1569" s="278"/>
      <c r="V1569" s="269"/>
      <c r="W1569" s="269"/>
      <c r="X1569" s="275"/>
      <c r="Y1569" s="269"/>
      <c r="Z1569" s="357"/>
      <c r="AA1569" s="207"/>
      <c r="AB1569" s="369"/>
      <c r="AC1569" s="370"/>
      <c r="AD1569" s="332"/>
      <c r="AE1569" s="216"/>
      <c r="AF1569" s="43"/>
      <c r="AG1569" s="47"/>
      <c r="AH1569" s="30"/>
      <c r="AI1569" s="30"/>
      <c r="AJ1569" s="30"/>
      <c r="AK1569" s="30"/>
      <c r="AL1569" s="13"/>
      <c r="AM1569" s="13"/>
      <c r="AN1569" s="13"/>
      <c r="AO1569" s="13"/>
      <c r="AP1569" s="13"/>
      <c r="AQ1569" s="14"/>
      <c r="AR1569" s="15"/>
    </row>
    <row r="1570" spans="1:44" s="17" customFormat="1" ht="30.95" hidden="1" customHeight="1" x14ac:dyDescent="0.2">
      <c r="A1570" s="343"/>
      <c r="B1570" s="344"/>
      <c r="C1570" s="345"/>
      <c r="D1570" s="398"/>
      <c r="E1570" s="31"/>
      <c r="F1570" s="268"/>
      <c r="G1570" s="269"/>
      <c r="H1570" s="269"/>
      <c r="I1570" s="270"/>
      <c r="J1570" s="32"/>
      <c r="K1570" s="270"/>
      <c r="L1570" s="270"/>
      <c r="M1570" s="39"/>
      <c r="N1570" s="39"/>
      <c r="O1570" s="47"/>
      <c r="P1570" s="57"/>
      <c r="Q1570" s="276"/>
      <c r="R1570" s="277"/>
      <c r="S1570" s="277"/>
      <c r="T1570" s="40"/>
      <c r="U1570" s="278"/>
      <c r="V1570" s="269"/>
      <c r="W1570" s="269"/>
      <c r="X1570" s="275"/>
      <c r="Y1570" s="269"/>
      <c r="Z1570" s="357"/>
      <c r="AA1570" s="207"/>
      <c r="AB1570" s="369"/>
      <c r="AC1570" s="370"/>
      <c r="AD1570" s="332"/>
      <c r="AE1570" s="216"/>
      <c r="AF1570" s="43"/>
      <c r="AG1570" s="47"/>
      <c r="AH1570" s="30"/>
      <c r="AI1570" s="30"/>
      <c r="AJ1570" s="30"/>
      <c r="AK1570" s="30"/>
      <c r="AL1570" s="13"/>
      <c r="AM1570" s="13"/>
      <c r="AN1570" s="13"/>
      <c r="AO1570" s="13"/>
      <c r="AP1570" s="13"/>
      <c r="AQ1570" s="14"/>
      <c r="AR1570" s="15"/>
    </row>
    <row r="1571" spans="1:44" s="17" customFormat="1" ht="30.95" hidden="1" customHeight="1" x14ac:dyDescent="0.2">
      <c r="A1571" s="320" t="s">
        <v>2837</v>
      </c>
      <c r="B1571" s="321" t="s">
        <v>2838</v>
      </c>
      <c r="C1571" s="345"/>
      <c r="D1571" s="398">
        <v>3756847</v>
      </c>
      <c r="E1571" s="31">
        <v>4151683</v>
      </c>
      <c r="F1571" s="268" t="str">
        <f>IF(D1571="","",VLOOKUP(D1571,契約台帳!$A$3:$K$4986,6,FALSE)&amp;VLOOKUP(D1571,契約台帳!$A$3:$K$4986,7,FALSE)&amp;VLOOKUP(D1571,契約台帳!$A$3:$K$4986,8,FALSE)&amp;VLOOKUP(D1571,契約台帳!$A$3:$K$4986,9,FALSE)&amp;VLOOKUP(D1571,契約台帳!$A$3:$K$4986,11,FALSE))</f>
        <v>3TYKNZMCR</v>
      </c>
      <c r="G1571" s="269" t="str">
        <f>IF(D1571="","",VLOOKUP(F1571,製品マスタ!$G$5:$H$5002,2,FALSE))</f>
        <v>T</v>
      </c>
      <c r="H1571" s="269" t="str">
        <f>IF(D1571="","",VLOOKUP(F1571,製品マスタ!$G$5:$K$5002,5,FALSE))</f>
        <v>MCR</v>
      </c>
      <c r="I1571" s="270" t="str">
        <f>IF(D1571="","",VLOOKUP(F1571,製品マスタ!$G$5:$L$5002,6,FALSE))</f>
        <v>Metalumy CR</v>
      </c>
      <c r="J1571" s="32" t="s">
        <v>447</v>
      </c>
      <c r="K1571" s="270">
        <f>IF(D1571="","",VLOOKUP(D1571,契約台帳!$A$3:$L$4986,12,FALSE))</f>
        <v>25</v>
      </c>
      <c r="L1571" s="270" t="str">
        <f>IF(D1571="","",INDEX(製品マスタ!$Q$5:$Q$5002,MATCH(F1571&amp;K1571,製品マスタ!$AO$5:$AO$5002,0)))</f>
        <v>S28M</v>
      </c>
      <c r="M1571" s="39">
        <v>1110</v>
      </c>
      <c r="N1571" s="39">
        <v>12100</v>
      </c>
      <c r="O1571" s="47">
        <v>5</v>
      </c>
      <c r="P1571" s="57"/>
      <c r="Q1571" s="276">
        <f>IF(D1571="","",IF(J1571="リード付け",M1571,VLOOKUP(D1571,契約台帳!$A$3:$N$4986,14,FALSE)))</f>
        <v>1050</v>
      </c>
      <c r="R1571" s="277">
        <f>IF(D1571="","",IF(J1571="リード付け",M1571,VLOOKUP(D1571,契約台帳!$A$3:$O$4986,15,FALSE)))</f>
        <v>1050</v>
      </c>
      <c r="S1571" s="277">
        <f>IF(D1571="","",IF(J1571="リード付け",N1571,VLOOKUP(D1571,契約台帳!$A$3:$P$4986,16,FALSE)))</f>
        <v>6000</v>
      </c>
      <c r="T1571" s="40">
        <v>10</v>
      </c>
      <c r="U1571" s="278">
        <f ca="1">IF(D1571="","",IF(OFFSET(D1571,-2,0)=D1571,"",VLOOKUP(D1571,契約台帳!$A$3:$R$4986,18,FALSE)))</f>
        <v>20</v>
      </c>
      <c r="V1571" s="269" t="str">
        <f>IF(J1571="巻返し",VLOOKUP(F1571&amp;K1571&amp;M1571,製品マスタ!$M$5:$AD$5002,18,FALSE),IF(J1571="リード付け","原反コア",IF(J1571="スリット",VLOOKUP(F1571&amp;K1571&amp;Q1571,製品マスタ!$N$5:$AD$5002,17,FALSE),"")))</f>
        <v>6ｲﾝﾁABS</v>
      </c>
      <c r="W1571" s="269">
        <f>IF(J1571="巻返し",VLOOKUP(F1571&amp;K1571&amp;M1571,製品マスタ!$M$5:$AE$5002,19,FALSE),IF(J1571="リード付け","-",IF(J1571="スリット",VLOOKUP(F1571&amp;K1571&amp;Q1571,製品マスタ!$N$5:$AE$5002,18,FALSE),"")))</f>
        <v>1250</v>
      </c>
      <c r="X1571" s="275">
        <f>IF(D1571="","",VLOOKUP(D1571,契約台帳!$A$3:$Q$4986,17,FALSE))</f>
        <v>2</v>
      </c>
      <c r="Y1571" s="269" t="str">
        <f>IF(D1571="","",VLOOKUP(D1571,契約台帳!$A$3:$E$4986,5,FALSE))</f>
        <v>日東電工㈱豊橋工場</v>
      </c>
      <c r="Z1571" s="357">
        <v>45450</v>
      </c>
      <c r="AA1571" s="207" t="s">
        <v>2814</v>
      </c>
      <c r="AB1571" s="369"/>
      <c r="AC1571" s="370"/>
      <c r="AD1571" s="332" t="str">
        <f>IF(F1571="","",+F1571&amp;K1571)</f>
        <v>3TYKNZMCR25</v>
      </c>
      <c r="AE1571" s="216">
        <f>+M1571*N1571*O1571/1000</f>
        <v>67155</v>
      </c>
      <c r="AF1571" s="43"/>
      <c r="AG1571" s="47"/>
      <c r="AH1571" s="30"/>
      <c r="AI1571" s="30"/>
      <c r="AJ1571" s="30"/>
      <c r="AK1571" s="30"/>
      <c r="AL1571" s="13"/>
      <c r="AM1571" s="13"/>
      <c r="AN1571" s="13"/>
      <c r="AO1571" s="13"/>
      <c r="AP1571" s="13"/>
      <c r="AQ1571" s="14"/>
      <c r="AR1571" s="15"/>
    </row>
    <row r="1572" spans="1:44" s="17" customFormat="1" ht="30.95" hidden="1" customHeight="1" x14ac:dyDescent="0.2">
      <c r="A1572" s="343"/>
      <c r="B1572" s="344"/>
      <c r="C1572" s="345"/>
      <c r="D1572" s="398"/>
      <c r="E1572" s="31"/>
      <c r="F1572" s="268"/>
      <c r="G1572" s="269"/>
      <c r="H1572" s="269"/>
      <c r="I1572" s="270"/>
      <c r="J1572" s="32"/>
      <c r="K1572" s="270"/>
      <c r="L1572" s="270"/>
      <c r="M1572" s="39"/>
      <c r="N1572" s="39"/>
      <c r="O1572" s="47"/>
      <c r="P1572" s="57"/>
      <c r="Q1572" s="276"/>
      <c r="R1572" s="277"/>
      <c r="S1572" s="277"/>
      <c r="T1572" s="40"/>
      <c r="U1572" s="278"/>
      <c r="V1572" s="269"/>
      <c r="W1572" s="269"/>
      <c r="X1572" s="275"/>
      <c r="Y1572" s="269"/>
      <c r="Z1572" s="357"/>
      <c r="AA1572" s="207"/>
      <c r="AB1572" s="369"/>
      <c r="AC1572" s="370"/>
      <c r="AD1572" s="332"/>
      <c r="AE1572" s="216"/>
      <c r="AF1572" s="43"/>
      <c r="AG1572" s="47"/>
      <c r="AH1572" s="30"/>
      <c r="AI1572" s="30"/>
      <c r="AJ1572" s="30"/>
      <c r="AK1572" s="30"/>
      <c r="AL1572" s="13"/>
      <c r="AM1572" s="13"/>
      <c r="AN1572" s="13"/>
      <c r="AO1572" s="13"/>
      <c r="AP1572" s="13"/>
      <c r="AQ1572" s="14"/>
      <c r="AR1572" s="15"/>
    </row>
    <row r="1573" spans="1:44" s="17" customFormat="1" ht="30.95" hidden="1" customHeight="1" x14ac:dyDescent="0.2">
      <c r="A1573" s="320" t="s">
        <v>2839</v>
      </c>
      <c r="B1573" s="321" t="s">
        <v>2840</v>
      </c>
      <c r="C1573" s="345"/>
      <c r="D1573" s="398">
        <v>3756847</v>
      </c>
      <c r="E1573" s="31">
        <v>4151683</v>
      </c>
      <c r="F1573" s="268" t="str">
        <f>IF(D1573="","",VLOOKUP(D1573,契約台帳!$A$3:$K$4986,6,FALSE)&amp;VLOOKUP(D1573,契約台帳!$A$3:$K$4986,7,FALSE)&amp;VLOOKUP(D1573,契約台帳!$A$3:$K$4986,8,FALSE)&amp;VLOOKUP(D1573,契約台帳!$A$3:$K$4986,9,FALSE)&amp;VLOOKUP(D1573,契約台帳!$A$3:$K$4986,11,FALSE))</f>
        <v>3TYKNZMCR</v>
      </c>
      <c r="G1573" s="269" t="str">
        <f>IF(D1573="","",VLOOKUP(F1573,製品マスタ!$G$5:$H$5002,2,FALSE))</f>
        <v>T</v>
      </c>
      <c r="H1573" s="269" t="str">
        <f>IF(D1573="","",VLOOKUP(F1573,製品マスタ!$G$5:$K$5002,5,FALSE))</f>
        <v>MCR</v>
      </c>
      <c r="I1573" s="270" t="str">
        <f>IF(D1573="","",VLOOKUP(F1573,製品マスタ!$G$5:$L$5002,6,FALSE))</f>
        <v>Metalumy CR</v>
      </c>
      <c r="J1573" s="32" t="s">
        <v>447</v>
      </c>
      <c r="K1573" s="270">
        <f>IF(D1573="","",VLOOKUP(D1573,契約台帳!$A$3:$L$4986,12,FALSE))</f>
        <v>25</v>
      </c>
      <c r="L1573" s="270" t="str">
        <f>IF(D1573="","",INDEX(製品マスタ!$Q$5:$Q$5002,MATCH(F1573&amp;K1573,製品マスタ!$AO$5:$AO$5002,0)))</f>
        <v>S28M</v>
      </c>
      <c r="M1573" s="39">
        <v>1110</v>
      </c>
      <c r="N1573" s="39">
        <v>12100</v>
      </c>
      <c r="O1573" s="47">
        <v>5</v>
      </c>
      <c r="P1573" s="57"/>
      <c r="Q1573" s="276">
        <f>IF(D1573="","",IF(J1573="リード付け",M1573,VLOOKUP(D1573,契約台帳!$A$3:$N$4986,14,FALSE)))</f>
        <v>1050</v>
      </c>
      <c r="R1573" s="277">
        <f>IF(D1573="","",IF(J1573="リード付け",M1573,VLOOKUP(D1573,契約台帳!$A$3:$O$4986,15,FALSE)))</f>
        <v>1050</v>
      </c>
      <c r="S1573" s="277">
        <f>IF(D1573="","",IF(J1573="リード付け",N1573,VLOOKUP(D1573,契約台帳!$A$3:$P$4986,16,FALSE)))</f>
        <v>6000</v>
      </c>
      <c r="T1573" s="40">
        <v>10</v>
      </c>
      <c r="U1573" s="278" t="str">
        <f ca="1">IF(D1573="","",IF(OFFSET(D1573,-2,0)=D1573,"",VLOOKUP(D1573,契約台帳!$A$3:$R$4986,18,FALSE)))</f>
        <v/>
      </c>
      <c r="V1573" s="269" t="str">
        <f>IF(J1573="巻返し",VLOOKUP(F1573&amp;K1573&amp;M1573,製品マスタ!$M$5:$AD$5002,18,FALSE),IF(J1573="リード付け","原反コア",IF(J1573="スリット",VLOOKUP(F1573&amp;K1573&amp;Q1573,製品マスタ!$N$5:$AD$5002,17,FALSE),"")))</f>
        <v>6ｲﾝﾁABS</v>
      </c>
      <c r="W1573" s="269">
        <f>IF(J1573="巻返し",VLOOKUP(F1573&amp;K1573&amp;M1573,製品マスタ!$M$5:$AE$5002,19,FALSE),IF(J1573="リード付け","-",IF(J1573="スリット",VLOOKUP(F1573&amp;K1573&amp;Q1573,製品マスタ!$N$5:$AE$5002,18,FALSE),"")))</f>
        <v>1250</v>
      </c>
      <c r="X1573" s="275">
        <f>IF(D1573="","",VLOOKUP(D1573,契約台帳!$A$3:$Q$4986,17,FALSE))</f>
        <v>2</v>
      </c>
      <c r="Y1573" s="269" t="str">
        <f>IF(D1573="","",VLOOKUP(D1573,契約台帳!$A$3:$E$4986,5,FALSE))</f>
        <v>日東電工㈱豊橋工場</v>
      </c>
      <c r="Z1573" s="357">
        <v>45450</v>
      </c>
      <c r="AA1573" s="207" t="s">
        <v>2814</v>
      </c>
      <c r="AB1573" s="369"/>
      <c r="AC1573" s="370"/>
      <c r="AD1573" s="332" t="str">
        <f>IF(F1573="","",+F1573&amp;K1573)</f>
        <v>3TYKNZMCR25</v>
      </c>
      <c r="AE1573" s="216">
        <f>+M1573*N1573*O1573/1000</f>
        <v>67155</v>
      </c>
      <c r="AF1573" s="43"/>
      <c r="AG1573" s="47"/>
      <c r="AH1573" s="30"/>
      <c r="AI1573" s="30"/>
      <c r="AJ1573" s="30"/>
      <c r="AK1573" s="30"/>
      <c r="AL1573" s="13"/>
      <c r="AM1573" s="13"/>
      <c r="AN1573" s="13"/>
      <c r="AO1573" s="13"/>
      <c r="AP1573" s="13"/>
      <c r="AQ1573" s="14"/>
      <c r="AR1573" s="15"/>
    </row>
    <row r="1574" spans="1:44" s="17" customFormat="1" ht="30.95" hidden="1" customHeight="1" x14ac:dyDescent="0.2">
      <c r="A1574" s="343"/>
      <c r="B1574" s="344"/>
      <c r="C1574" s="345"/>
      <c r="D1574" s="398"/>
      <c r="E1574" s="31"/>
      <c r="F1574" s="268"/>
      <c r="G1574" s="269"/>
      <c r="H1574" s="269"/>
      <c r="I1574" s="270"/>
      <c r="J1574" s="32"/>
      <c r="K1574" s="270"/>
      <c r="L1574" s="270"/>
      <c r="M1574" s="39"/>
      <c r="N1574" s="39"/>
      <c r="O1574" s="47"/>
      <c r="P1574" s="57"/>
      <c r="Q1574" s="276"/>
      <c r="R1574" s="277"/>
      <c r="S1574" s="277"/>
      <c r="T1574" s="40"/>
      <c r="U1574" s="278"/>
      <c r="V1574" s="269"/>
      <c r="W1574" s="269"/>
      <c r="X1574" s="275"/>
      <c r="Y1574" s="269"/>
      <c r="Z1574" s="357"/>
      <c r="AA1574" s="207"/>
      <c r="AB1574" s="369"/>
      <c r="AC1574" s="370"/>
      <c r="AD1574" s="332"/>
      <c r="AE1574" s="216"/>
      <c r="AF1574" s="43"/>
      <c r="AG1574" s="47"/>
      <c r="AH1574" s="30"/>
      <c r="AI1574" s="30"/>
      <c r="AJ1574" s="30"/>
      <c r="AK1574" s="30"/>
      <c r="AL1574" s="13"/>
      <c r="AM1574" s="13"/>
      <c r="AN1574" s="13"/>
      <c r="AO1574" s="13"/>
      <c r="AP1574" s="13"/>
      <c r="AQ1574" s="14"/>
      <c r="AR1574" s="15"/>
    </row>
    <row r="1575" spans="1:44" s="17" customFormat="1" ht="30.95" hidden="1" customHeight="1" x14ac:dyDescent="0.2">
      <c r="A1575" s="343" t="s">
        <v>2895</v>
      </c>
      <c r="B1575" s="344" t="s">
        <v>2896</v>
      </c>
      <c r="C1575" s="345"/>
      <c r="D1575" s="398">
        <v>3758065</v>
      </c>
      <c r="E1575" s="31">
        <v>4151710</v>
      </c>
      <c r="F1575" s="268" t="str">
        <f>IF(D1575="","",VLOOKUP(D1575,契約台帳!$A$3:$K$4986,6,FALSE)&amp;VLOOKUP(D1575,契約台帳!$A$3:$K$4986,7,FALSE)&amp;VLOOKUP(D1575,契約台帳!$A$3:$K$4986,8,FALSE)&amp;VLOOKUP(D1575,契約台帳!$A$3:$K$4986,9,FALSE)&amp;VLOOKUP(D1575,契約台帳!$A$3:$K$4986,11,FALSE))</f>
        <v>3SNMLBMNGTBF</v>
      </c>
      <c r="G1575" s="269" t="str">
        <f>IF(D1575="","",VLOOKUP(F1575,製品マスタ!$G$5:$H$5002,2,FALSE))</f>
        <v>S</v>
      </c>
      <c r="H1575" s="269" t="str">
        <f>IF(D1575="","",VLOOKUP(F1575,製品マスタ!$G$5:$K$5002,5,FALSE))</f>
        <v>MNGTBF</v>
      </c>
      <c r="I1575" s="270" t="str">
        <f>IF(D1575="","",VLOOKUP(F1575,製品マスタ!$G$5:$L$5002,6,FALSE))</f>
        <v>メタルミー　ネーマー　銀艶　Ｂ</v>
      </c>
      <c r="J1575" s="32" t="s">
        <v>447</v>
      </c>
      <c r="K1575" s="270">
        <f>IF(D1575="","",VLOOKUP(D1575,契約台帳!$A$3:$L$4986,12,FALSE))</f>
        <v>25</v>
      </c>
      <c r="L1575" s="270" t="str">
        <f>IF(D1575="","",INDEX(製品マスタ!$Q$5:$Q$5002,MATCH(F1575&amp;K1575,製品マスタ!$AO$5:$AO$5002,0)))</f>
        <v>T62M</v>
      </c>
      <c r="M1575" s="39">
        <v>1005</v>
      </c>
      <c r="N1575" s="39">
        <v>12100</v>
      </c>
      <c r="O1575" s="47">
        <v>2</v>
      </c>
      <c r="P1575" s="57"/>
      <c r="Q1575" s="276">
        <f>IF(D1575="","",IF(J1575="リード付け",M1575,VLOOKUP(D1575,契約台帳!$A$3:$N$4986,14,FALSE)))</f>
        <v>1005</v>
      </c>
      <c r="R1575" s="277">
        <f>IF(D1575="","",IF(J1575="リード付け",M1575,VLOOKUP(D1575,契約台帳!$A$3:$O$4986,15,FALSE)))</f>
        <v>1000</v>
      </c>
      <c r="S1575" s="277">
        <f>IF(D1575="","",IF(J1575="リード付け",N1575,VLOOKUP(D1575,契約台帳!$A$3:$P$4986,16,FALSE)))</f>
        <v>4000</v>
      </c>
      <c r="T1575" s="40">
        <v>6</v>
      </c>
      <c r="U1575" s="278">
        <f ca="1">IF(D1575="","",IF(OFFSET(D1575,-2,0)=D1575,"",VLOOKUP(D1575,契約台帳!$A$3:$R$4986,18,FALSE)))</f>
        <v>6</v>
      </c>
      <c r="V1575" s="269" t="str">
        <f>IF(J1575="巻返し",VLOOKUP(F1575&amp;K1575&amp;M1575,製品マスタ!$M$5:$AD$5002,18,FALSE),IF(J1575="リード付け","原反コア",IF(J1575="スリット",VLOOKUP(F1575&amp;K1575&amp;Q1575,製品マスタ!$N$5:$AD$5002,17,FALSE),"")))</f>
        <v>6ｲﾝﾁSｺｱ</v>
      </c>
      <c r="W1575" s="269">
        <f>IF(J1575="巻返し",VLOOKUP(F1575&amp;K1575&amp;M1575,製品マスタ!$M$5:$AE$5002,19,FALSE),IF(J1575="リード付け","-",IF(J1575="スリット",VLOOKUP(F1575&amp;K1575&amp;Q1575,製品マスタ!$N$5:$AE$5002,18,FALSE),"")))</f>
        <v>1015</v>
      </c>
      <c r="X1575" s="275">
        <f>IF(D1575="","",VLOOKUP(D1575,契約台帳!$A$3:$Q$4986,17,FALSE))</f>
        <v>2</v>
      </c>
      <c r="Y1575" s="269" t="str">
        <f>IF(D1575="","",VLOOKUP(D1575,契約台帳!$A$3:$E$4986,5,FALSE))</f>
        <v>リンテック㈱</v>
      </c>
      <c r="Z1575" s="357">
        <v>45453</v>
      </c>
      <c r="AA1575" s="207"/>
      <c r="AB1575" s="369"/>
      <c r="AC1575" s="370"/>
      <c r="AD1575" s="332" t="str">
        <f>IF(F1575="","",+F1575&amp;K1575)</f>
        <v>3SNMLBMNGTBF25</v>
      </c>
      <c r="AE1575" s="216">
        <f>+M1575*N1575*O1575/1000</f>
        <v>24321</v>
      </c>
      <c r="AF1575" s="43">
        <f>IF(AD1575="","",VLOOKUP(AD1575,原価マスタ!$A$2:$AJ$1693,13,FALSE))</f>
        <v>97.5</v>
      </c>
      <c r="AG1575" s="47">
        <f>IF(AF1575="","",+AE1575*AF1575/100)</f>
        <v>23712.974999999999</v>
      </c>
      <c r="AH1575" s="30"/>
      <c r="AI1575" s="30"/>
      <c r="AJ1575" s="30"/>
      <c r="AK1575" s="30"/>
      <c r="AL1575" s="13"/>
      <c r="AM1575" s="13"/>
      <c r="AN1575" s="13"/>
      <c r="AO1575" s="13"/>
      <c r="AP1575" s="13"/>
      <c r="AQ1575" s="14"/>
      <c r="AR1575" s="15"/>
    </row>
    <row r="1576" spans="1:44" s="17" customFormat="1" ht="30.95" hidden="1" customHeight="1" x14ac:dyDescent="0.2">
      <c r="A1576" s="343"/>
      <c r="B1576" s="344"/>
      <c r="C1576" s="345"/>
      <c r="D1576" s="398"/>
      <c r="E1576" s="31"/>
      <c r="F1576" s="268"/>
      <c r="G1576" s="269"/>
      <c r="H1576" s="269"/>
      <c r="I1576" s="270"/>
      <c r="J1576" s="32"/>
      <c r="K1576" s="270"/>
      <c r="L1576" s="270"/>
      <c r="M1576" s="39"/>
      <c r="N1576" s="39"/>
      <c r="O1576" s="47"/>
      <c r="P1576" s="57"/>
      <c r="Q1576" s="276"/>
      <c r="R1576" s="277"/>
      <c r="S1576" s="277"/>
      <c r="T1576" s="40"/>
      <c r="U1576" s="278"/>
      <c r="V1576" s="269"/>
      <c r="W1576" s="269"/>
      <c r="X1576" s="275"/>
      <c r="Y1576" s="269"/>
      <c r="Z1576" s="357"/>
      <c r="AA1576" s="207"/>
      <c r="AB1576" s="369"/>
      <c r="AC1576" s="370"/>
      <c r="AD1576" s="332"/>
      <c r="AE1576" s="216"/>
      <c r="AF1576" s="43"/>
      <c r="AG1576" s="47"/>
      <c r="AH1576" s="30"/>
      <c r="AI1576" s="30"/>
      <c r="AJ1576" s="30"/>
      <c r="AK1576" s="30"/>
      <c r="AL1576" s="13"/>
      <c r="AM1576" s="13"/>
      <c r="AN1576" s="13"/>
      <c r="AO1576" s="13"/>
      <c r="AP1576" s="13"/>
      <c r="AQ1576" s="14"/>
      <c r="AR1576" s="15"/>
    </row>
    <row r="1577" spans="1:44" s="17" customFormat="1" ht="30.95" hidden="1" customHeight="1" x14ac:dyDescent="0.2">
      <c r="A1577" s="343" t="s">
        <v>1178</v>
      </c>
      <c r="B1577" s="344" t="s">
        <v>443</v>
      </c>
      <c r="C1577" s="345"/>
      <c r="D1577" s="398">
        <v>3758085</v>
      </c>
      <c r="E1577" s="31">
        <v>4151689</v>
      </c>
      <c r="F1577" s="268" t="str">
        <f>IF(D1577="","",VLOOKUP(D1577,契約台帳!$A$3:$K$4986,6,FALSE)&amp;VLOOKUP(D1577,契約台帳!$A$3:$K$4986,7,FALSE)&amp;VLOOKUP(D1577,契約台帳!$A$3:$K$4986,8,FALSE)&amp;VLOOKUP(D1577,契約台帳!$A$3:$K$4986,9,FALSE)&amp;VLOOKUP(D1577,契約台帳!$A$3:$K$4986,11,FALSE))</f>
        <v>3SYMLBMSBBF</v>
      </c>
      <c r="G1577" s="269" t="str">
        <f>IF(D1577="","",VLOOKUP(F1577,製品マスタ!$G$5:$H$5002,2,FALSE))</f>
        <v>S</v>
      </c>
      <c r="H1577" s="269" t="str">
        <f>IF(D1577="","",VLOOKUP(F1577,製品マスタ!$G$5:$K$5002,5,FALSE))</f>
        <v>MSBBF</v>
      </c>
      <c r="I1577" s="270" t="str">
        <f>IF(D1577="","",VLOOKUP(F1577,製品マスタ!$G$5:$L$5002,6,FALSE))</f>
        <v>ＭＥＴＡＬＵＭＹ　ＳＩＬＶＥＲ　ＢＲＩＧＨＴ　Ｔ６２Ｍ　Ｂ</v>
      </c>
      <c r="J1577" s="32" t="s">
        <v>447</v>
      </c>
      <c r="K1577" s="270">
        <f>IF(D1577="","",VLOOKUP(D1577,契約台帳!$A$3:$L$4986,12,FALSE))</f>
        <v>50</v>
      </c>
      <c r="L1577" s="270" t="str">
        <f>IF(D1577="","",INDEX(製品マスタ!$Q$5:$Q$5002,MATCH(F1577&amp;K1577,製品マスタ!$AO$5:$AO$5002,0)))</f>
        <v>T62</v>
      </c>
      <c r="M1577" s="39">
        <v>1120</v>
      </c>
      <c r="N1577" s="39">
        <v>10000</v>
      </c>
      <c r="O1577" s="47">
        <v>2</v>
      </c>
      <c r="P1577" s="57"/>
      <c r="Q1577" s="276">
        <f>IF(D1577="","",IF(J1577="リード付け",M1577,VLOOKUP(D1577,契約台帳!$A$3:$N$4986,14,FALSE)))</f>
        <v>1120</v>
      </c>
      <c r="R1577" s="277">
        <f>IF(D1577="","",IF(J1577="リード付け",M1577,VLOOKUP(D1577,契約台帳!$A$3:$O$4986,15,FALSE)))</f>
        <v>1120</v>
      </c>
      <c r="S1577" s="277">
        <f>IF(D1577="","",IF(J1577="リード付け",N1577,VLOOKUP(D1577,契約台帳!$A$3:$P$4986,16,FALSE)))</f>
        <v>5000</v>
      </c>
      <c r="T1577" s="40">
        <v>4</v>
      </c>
      <c r="U1577" s="278">
        <f ca="1">IF(D1577="","",IF(OFFSET(D1577,-2,0)=D1577,"",VLOOKUP(D1577,契約台帳!$A$3:$R$4986,18,FALSE)))</f>
        <v>6</v>
      </c>
      <c r="V1577" s="269" t="str">
        <f>IF(J1577="巻返し",VLOOKUP(F1577&amp;K1577&amp;M1577,製品マスタ!$M$5:$AD$5002,18,FALSE),IF(J1577="リード付け","原反コア",IF(J1577="スリット",VLOOKUP(F1577&amp;K1577&amp;Q1577,製品マスタ!$N$5:$AD$5002,17,FALSE),"")))</f>
        <v>6ｲﾝﾁSｺｱ</v>
      </c>
      <c r="W1577" s="269">
        <f>IF(J1577="巻返し",VLOOKUP(F1577&amp;K1577&amp;M1577,製品マスタ!$M$5:$AE$5002,19,FALSE),IF(J1577="リード付け","-",IF(J1577="スリット",VLOOKUP(F1577&amp;K1577&amp;Q1577,製品マスタ!$N$5:$AE$5002,18,FALSE),"")))</f>
        <v>1125</v>
      </c>
      <c r="X1577" s="275">
        <f>IF(D1577="","",VLOOKUP(D1577,契約台帳!$A$3:$Q$4986,17,FALSE))</f>
        <v>2</v>
      </c>
      <c r="Y1577" s="269" t="str">
        <f>IF(D1577="","",VLOOKUP(D1577,契約台帳!$A$3:$E$4986,5,FALSE))</f>
        <v>リンテック㈱</v>
      </c>
      <c r="Z1577" s="357">
        <v>45454</v>
      </c>
      <c r="AA1577" s="207"/>
      <c r="AB1577" s="369"/>
      <c r="AC1577" s="370"/>
      <c r="AD1577" s="332" t="str">
        <f>IF(F1577="","",+F1577&amp;K1577)</f>
        <v>3SYMLBMSBBF50</v>
      </c>
      <c r="AE1577" s="216">
        <f>+M1577*N1577*O1577/1000</f>
        <v>22400</v>
      </c>
      <c r="AF1577" s="43">
        <f>IF(AD1577="","",VLOOKUP(AD1577,原価マスタ!$A$2:$AJ$1693,13,FALSE))</f>
        <v>99</v>
      </c>
      <c r="AG1577" s="47">
        <f>IF(AF1577="","",+AE1577*AF1577/100)</f>
        <v>22176</v>
      </c>
      <c r="AH1577" s="30"/>
      <c r="AI1577" s="30"/>
      <c r="AJ1577" s="30"/>
      <c r="AK1577" s="30"/>
      <c r="AL1577" s="13"/>
      <c r="AM1577" s="13"/>
      <c r="AN1577" s="13"/>
      <c r="AO1577" s="13"/>
      <c r="AP1577" s="13"/>
      <c r="AQ1577" s="14"/>
      <c r="AR1577" s="15"/>
    </row>
    <row r="1578" spans="1:44" s="17" customFormat="1" ht="30.95" hidden="1" customHeight="1" x14ac:dyDescent="0.2">
      <c r="A1578" s="343"/>
      <c r="B1578" s="344"/>
      <c r="C1578" s="345"/>
      <c r="D1578" s="398"/>
      <c r="E1578" s="31"/>
      <c r="F1578" s="268"/>
      <c r="G1578" s="269"/>
      <c r="H1578" s="269"/>
      <c r="I1578" s="270"/>
      <c r="J1578" s="32"/>
      <c r="K1578" s="270"/>
      <c r="L1578" s="270"/>
      <c r="M1578" s="39"/>
      <c r="N1578" s="39"/>
      <c r="O1578" s="47"/>
      <c r="P1578" s="350"/>
      <c r="Q1578" s="276"/>
      <c r="R1578" s="277"/>
      <c r="S1578" s="277"/>
      <c r="T1578" s="40"/>
      <c r="U1578" s="278"/>
      <c r="V1578" s="269"/>
      <c r="W1578" s="269"/>
      <c r="X1578" s="275"/>
      <c r="Y1578" s="269"/>
      <c r="Z1578" s="357"/>
      <c r="AA1578" s="207"/>
      <c r="AB1578" s="369"/>
      <c r="AC1578" s="370"/>
      <c r="AD1578" s="332"/>
      <c r="AE1578" s="371"/>
      <c r="AF1578" s="355"/>
      <c r="AG1578" s="349"/>
      <c r="AH1578" s="30"/>
      <c r="AI1578" s="30"/>
      <c r="AJ1578" s="30"/>
      <c r="AK1578" s="30"/>
      <c r="AL1578" s="13"/>
      <c r="AM1578" s="13"/>
      <c r="AN1578" s="13"/>
      <c r="AO1578" s="13"/>
      <c r="AP1578" s="13"/>
      <c r="AQ1578" s="14"/>
      <c r="AR1578" s="15"/>
    </row>
    <row r="1579" spans="1:44" s="17" customFormat="1" ht="30.95" hidden="1" customHeight="1" x14ac:dyDescent="0.2">
      <c r="A1579" s="343" t="s">
        <v>1179</v>
      </c>
      <c r="B1579" s="344" t="s">
        <v>444</v>
      </c>
      <c r="C1579" s="345"/>
      <c r="D1579" s="398">
        <v>3758085</v>
      </c>
      <c r="E1579" s="31">
        <v>4151689</v>
      </c>
      <c r="F1579" s="268" t="str">
        <f>IF(D1579="","",VLOOKUP(D1579,契約台帳!$A$3:$K$4986,6,FALSE)&amp;VLOOKUP(D1579,契約台帳!$A$3:$K$4986,7,FALSE)&amp;VLOOKUP(D1579,契約台帳!$A$3:$K$4986,8,FALSE)&amp;VLOOKUP(D1579,契約台帳!$A$3:$K$4986,9,FALSE)&amp;VLOOKUP(D1579,契約台帳!$A$3:$K$4986,11,FALSE))</f>
        <v>3SYMLBMSBBF</v>
      </c>
      <c r="G1579" s="269" t="str">
        <f>IF(D1579="","",VLOOKUP(F1579,製品マスタ!$G$5:$H$5002,2,FALSE))</f>
        <v>S</v>
      </c>
      <c r="H1579" s="269" t="str">
        <f>IF(D1579="","",VLOOKUP(F1579,製品マスタ!$G$5:$K$5002,5,FALSE))</f>
        <v>MSBBF</v>
      </c>
      <c r="I1579" s="270" t="str">
        <f>IF(D1579="","",VLOOKUP(F1579,製品マスタ!$G$5:$L$5002,6,FALSE))</f>
        <v>ＭＥＴＡＬＵＭＹ　ＳＩＬＶＥＲ　ＢＲＩＧＨＴ　Ｔ６２Ｍ　Ｂ</v>
      </c>
      <c r="J1579" s="32" t="s">
        <v>447</v>
      </c>
      <c r="K1579" s="270">
        <f>IF(D1579="","",VLOOKUP(D1579,契約台帳!$A$3:$L$4986,12,FALSE))</f>
        <v>50</v>
      </c>
      <c r="L1579" s="270" t="str">
        <f>IF(D1579="","",INDEX(製品マスタ!$Q$5:$Q$5002,MATCH(F1579&amp;K1579,製品マスタ!$AO$5:$AO$5002,0)))</f>
        <v>T62</v>
      </c>
      <c r="M1579" s="39">
        <v>1120</v>
      </c>
      <c r="N1579" s="39">
        <v>10000</v>
      </c>
      <c r="O1579" s="47">
        <v>1</v>
      </c>
      <c r="P1579" s="57"/>
      <c r="Q1579" s="276">
        <f>IF(D1579="","",IF(J1579="リード付け",M1579,VLOOKUP(D1579,契約台帳!$A$3:$N$4986,14,FALSE)))</f>
        <v>1120</v>
      </c>
      <c r="R1579" s="277">
        <f>IF(D1579="","",IF(J1579="リード付け",M1579,VLOOKUP(D1579,契約台帳!$A$3:$O$4986,15,FALSE)))</f>
        <v>1120</v>
      </c>
      <c r="S1579" s="277">
        <f>IF(D1579="","",IF(J1579="リード付け",N1579,VLOOKUP(D1579,契約台帳!$A$3:$P$4986,16,FALSE)))</f>
        <v>5000</v>
      </c>
      <c r="T1579" s="40">
        <v>2</v>
      </c>
      <c r="U1579" s="278" t="str">
        <f ca="1">IF(D1579="","",IF(OFFSET(D1579,-2,0)=D1579,"",VLOOKUP(D1579,契約台帳!$A$3:$R$4986,18,FALSE)))</f>
        <v/>
      </c>
      <c r="V1579" s="269" t="str">
        <f>IF(J1579="巻返し",VLOOKUP(F1579&amp;K1579&amp;M1579,製品マスタ!$M$5:$AD$5002,18,FALSE),IF(J1579="リード付け","原反コア",IF(J1579="スリット",VLOOKUP(F1579&amp;K1579&amp;Q1579,製品マスタ!$N$5:$AD$5002,17,FALSE),"")))</f>
        <v>6ｲﾝﾁSｺｱ</v>
      </c>
      <c r="W1579" s="269">
        <f>IF(J1579="巻返し",VLOOKUP(F1579&amp;K1579&amp;M1579,製品マスタ!$M$5:$AE$5002,19,FALSE),IF(J1579="リード付け","-",IF(J1579="スリット",VLOOKUP(F1579&amp;K1579&amp;Q1579,製品マスタ!$N$5:$AE$5002,18,FALSE),"")))</f>
        <v>1125</v>
      </c>
      <c r="X1579" s="275">
        <f>IF(D1579="","",VLOOKUP(D1579,契約台帳!$A$3:$Q$4986,17,FALSE))</f>
        <v>2</v>
      </c>
      <c r="Y1579" s="269" t="str">
        <f>IF(D1579="","",VLOOKUP(D1579,契約台帳!$A$3:$E$4986,5,FALSE))</f>
        <v>リンテック㈱</v>
      </c>
      <c r="Z1579" s="357">
        <v>45454</v>
      </c>
      <c r="AA1579" s="207"/>
      <c r="AB1579" s="369"/>
      <c r="AC1579" s="370"/>
      <c r="AD1579" s="332" t="str">
        <f>IF(F1579="","",+F1579&amp;K1579)</f>
        <v>3SYMLBMSBBF50</v>
      </c>
      <c r="AE1579" s="216">
        <f>+M1579*N1579*O1579/1000</f>
        <v>11200</v>
      </c>
      <c r="AF1579" s="43">
        <f>IF(AD1579="","",VLOOKUP(AD1579,原価マスタ!$A$2:$AJ$1693,13,FALSE))</f>
        <v>99</v>
      </c>
      <c r="AG1579" s="47">
        <f>IF(AF1579="","",+AE1579*AF1579/100)</f>
        <v>11088</v>
      </c>
      <c r="AH1579" s="30"/>
      <c r="AI1579" s="30"/>
      <c r="AJ1579" s="30"/>
      <c r="AK1579" s="30"/>
      <c r="AL1579" s="13"/>
      <c r="AM1579" s="13"/>
      <c r="AN1579" s="13"/>
      <c r="AO1579" s="13"/>
      <c r="AP1579" s="13"/>
      <c r="AQ1579" s="14"/>
      <c r="AR1579" s="15"/>
    </row>
    <row r="1580" spans="1:44" s="17" customFormat="1" ht="30.95" hidden="1" customHeight="1" x14ac:dyDescent="0.2">
      <c r="A1580" s="343"/>
      <c r="B1580" s="344"/>
      <c r="C1580" s="345"/>
      <c r="D1580" s="398"/>
      <c r="E1580" s="31"/>
      <c r="F1580" s="268"/>
      <c r="G1580" s="269"/>
      <c r="H1580" s="269"/>
      <c r="I1580" s="270"/>
      <c r="J1580" s="32"/>
      <c r="K1580" s="270"/>
      <c r="L1580" s="270"/>
      <c r="M1580" s="39"/>
      <c r="N1580" s="39"/>
      <c r="O1580" s="47"/>
      <c r="P1580" s="350"/>
      <c r="Q1580" s="276"/>
      <c r="R1580" s="277"/>
      <c r="S1580" s="277"/>
      <c r="T1580" s="40"/>
      <c r="U1580" s="278"/>
      <c r="V1580" s="269"/>
      <c r="W1580" s="269"/>
      <c r="X1580" s="275"/>
      <c r="Y1580" s="269"/>
      <c r="Z1580" s="357"/>
      <c r="AA1580" s="207"/>
      <c r="AB1580" s="369"/>
      <c r="AC1580" s="370"/>
      <c r="AD1580" s="332"/>
      <c r="AE1580" s="371"/>
      <c r="AF1580" s="355"/>
      <c r="AG1580" s="349"/>
      <c r="AH1580" s="30"/>
      <c r="AI1580" s="30"/>
      <c r="AJ1580" s="30"/>
      <c r="AK1580" s="30"/>
      <c r="AL1580" s="13"/>
      <c r="AM1580" s="13"/>
      <c r="AN1580" s="13"/>
      <c r="AO1580" s="13"/>
      <c r="AP1580" s="13"/>
      <c r="AQ1580" s="14"/>
      <c r="AR1580" s="15"/>
    </row>
    <row r="1581" spans="1:44" s="17" customFormat="1" ht="30.95" hidden="1" customHeight="1" x14ac:dyDescent="0.2">
      <c r="A1581" s="343"/>
      <c r="B1581" s="344"/>
      <c r="C1581" s="345"/>
      <c r="D1581" s="398">
        <v>3758089</v>
      </c>
      <c r="E1581" s="31">
        <v>4151690</v>
      </c>
      <c r="F1581" s="268" t="str">
        <f>IF(D1581="","",VLOOKUP(D1581,契約台帳!$A$3:$K$4986,6,FALSE)&amp;VLOOKUP(D1581,契約台帳!$A$3:$K$4986,7,FALSE)&amp;VLOOKUP(D1581,契約台帳!$A$3:$K$4986,8,FALSE)&amp;VLOOKUP(D1581,契約台帳!$A$3:$K$4986,9,FALSE)&amp;VLOOKUP(D1581,契約台帳!$A$3:$K$4986,11,FALSE))</f>
        <v>3SYMLBMSBBF</v>
      </c>
      <c r="G1581" s="269" t="str">
        <f>IF(D1581="","",VLOOKUP(F1581,製品マスタ!$G$5:$H$5002,2,FALSE))</f>
        <v>S</v>
      </c>
      <c r="H1581" s="269" t="str">
        <f>IF(D1581="","",VLOOKUP(F1581,製品マスタ!$G$5:$K$5002,5,FALSE))</f>
        <v>MSBBF</v>
      </c>
      <c r="I1581" s="270" t="str">
        <f>IF(D1581="","",VLOOKUP(F1581,製品マスタ!$G$5:$L$5002,6,FALSE))</f>
        <v>ＭＥＴＡＬＵＭＹ　ＳＩＬＶＥＲ　ＢＲＩＧＨＴ　Ｔ６２Ｍ　Ｂ</v>
      </c>
      <c r="J1581" s="32" t="s">
        <v>447</v>
      </c>
      <c r="K1581" s="270">
        <f>IF(D1581="","",VLOOKUP(D1581,契約台帳!$A$3:$L$4986,12,FALSE))</f>
        <v>50</v>
      </c>
      <c r="L1581" s="270" t="str">
        <f>IF(D1581="","",INDEX(製品マスタ!$Q$5:$Q$5002,MATCH(F1581&amp;K1581,製品マスタ!$AO$5:$AO$5002,0)))</f>
        <v>T62</v>
      </c>
      <c r="M1581" s="39">
        <v>1120</v>
      </c>
      <c r="N1581" s="39">
        <v>10000</v>
      </c>
      <c r="O1581" s="47">
        <v>1</v>
      </c>
      <c r="P1581" s="57"/>
      <c r="Q1581" s="276">
        <f>IF(D1581="","",IF(J1581="リード付け",M1581,VLOOKUP(D1581,契約台帳!$A$3:$N$4986,14,FALSE)))</f>
        <v>1120</v>
      </c>
      <c r="R1581" s="277">
        <f>IF(D1581="","",IF(J1581="リード付け",M1581,VLOOKUP(D1581,契約台帳!$A$3:$O$4986,15,FALSE)))</f>
        <v>1120</v>
      </c>
      <c r="S1581" s="277">
        <f>IF(D1581="","",IF(J1581="リード付け",N1581,VLOOKUP(D1581,契約台帳!$A$3:$P$4986,16,FALSE)))</f>
        <v>5000</v>
      </c>
      <c r="T1581" s="40">
        <v>2</v>
      </c>
      <c r="U1581" s="278">
        <f ca="1">IF(D1581="","",IF(OFFSET(D1581,-2,0)=D1581,"",VLOOKUP(D1581,契約台帳!$A$3:$R$4986,18,FALSE)))</f>
        <v>2</v>
      </c>
      <c r="V1581" s="269" t="str">
        <f>IF(J1581="巻返し",VLOOKUP(F1581&amp;K1581&amp;M1581,製品マスタ!$M$5:$AD$5002,18,FALSE),IF(J1581="リード付け","原反コア",IF(J1581="スリット",VLOOKUP(F1581&amp;K1581&amp;Q1581,製品マスタ!$N$5:$AD$5002,17,FALSE),"")))</f>
        <v>6ｲﾝﾁSｺｱ</v>
      </c>
      <c r="W1581" s="269">
        <f>IF(J1581="巻返し",VLOOKUP(F1581&amp;K1581&amp;M1581,製品マスタ!$M$5:$AE$5002,19,FALSE),IF(J1581="リード付け","-",IF(J1581="スリット",VLOOKUP(F1581&amp;K1581&amp;Q1581,製品マスタ!$N$5:$AE$5002,18,FALSE),"")))</f>
        <v>1125</v>
      </c>
      <c r="X1581" s="275">
        <f>IF(D1581="","",VLOOKUP(D1581,契約台帳!$A$3:$Q$4986,17,FALSE))</f>
        <v>2</v>
      </c>
      <c r="Y1581" s="269" t="str">
        <f>IF(D1581="","",VLOOKUP(D1581,契約台帳!$A$3:$E$4986,5,FALSE))</f>
        <v>リンテック㈱</v>
      </c>
      <c r="Z1581" s="357">
        <v>45454</v>
      </c>
      <c r="AA1581" s="207"/>
      <c r="AB1581" s="369"/>
      <c r="AC1581" s="370"/>
      <c r="AD1581" s="332" t="str">
        <f>IF(F1581="","",+F1581&amp;K1581)</f>
        <v>3SYMLBMSBBF50</v>
      </c>
      <c r="AE1581" s="216">
        <f>+M1581*N1581*O1581/1000</f>
        <v>11200</v>
      </c>
      <c r="AF1581" s="43">
        <f>IF(AD1581="","",VLOOKUP(AD1581,原価マスタ!$A$2:$AJ$1693,13,FALSE))</f>
        <v>99</v>
      </c>
      <c r="AG1581" s="47">
        <f>IF(AF1581="","",+AE1581*AF1581/100)</f>
        <v>11088</v>
      </c>
      <c r="AH1581" s="30"/>
      <c r="AI1581" s="30"/>
      <c r="AJ1581" s="30"/>
      <c r="AK1581" s="30"/>
      <c r="AL1581" s="13"/>
      <c r="AM1581" s="13"/>
      <c r="AN1581" s="13"/>
      <c r="AO1581" s="13"/>
      <c r="AP1581" s="13"/>
      <c r="AQ1581" s="14"/>
      <c r="AR1581" s="15"/>
    </row>
    <row r="1582" spans="1:44" s="17" customFormat="1" ht="30.95" hidden="1" customHeight="1" x14ac:dyDescent="0.2">
      <c r="A1582" s="343"/>
      <c r="B1582" s="344"/>
      <c r="C1582" s="345"/>
      <c r="D1582" s="398"/>
      <c r="E1582" s="31"/>
      <c r="F1582" s="268"/>
      <c r="G1582" s="269"/>
      <c r="H1582" s="269"/>
      <c r="I1582" s="270"/>
      <c r="J1582" s="32"/>
      <c r="K1582" s="270"/>
      <c r="L1582" s="270"/>
      <c r="M1582" s="39"/>
      <c r="N1582" s="39"/>
      <c r="O1582" s="47"/>
      <c r="P1582" s="350"/>
      <c r="Q1582" s="276"/>
      <c r="R1582" s="277"/>
      <c r="S1582" s="277"/>
      <c r="T1582" s="40"/>
      <c r="U1582" s="278"/>
      <c r="V1582" s="269"/>
      <c r="W1582" s="269"/>
      <c r="X1582" s="275"/>
      <c r="Y1582" s="269"/>
      <c r="Z1582" s="357"/>
      <c r="AA1582" s="207"/>
      <c r="AB1582" s="369"/>
      <c r="AC1582" s="370"/>
      <c r="AD1582" s="332"/>
      <c r="AE1582" s="371"/>
      <c r="AF1582" s="355"/>
      <c r="AG1582" s="349"/>
      <c r="AH1582" s="30"/>
      <c r="AI1582" s="30"/>
      <c r="AJ1582" s="30"/>
      <c r="AK1582" s="30"/>
      <c r="AL1582" s="13"/>
      <c r="AM1582" s="13"/>
      <c r="AN1582" s="13"/>
      <c r="AO1582" s="13"/>
      <c r="AP1582" s="13"/>
      <c r="AQ1582" s="14"/>
      <c r="AR1582" s="15"/>
    </row>
    <row r="1583" spans="1:44" s="17" customFormat="1" ht="30.95" hidden="1" customHeight="1" x14ac:dyDescent="0.2">
      <c r="A1583" s="343"/>
      <c r="B1583" s="344"/>
      <c r="C1583" s="345"/>
      <c r="D1583" s="398">
        <v>3758066</v>
      </c>
      <c r="E1583" s="31">
        <v>4151687</v>
      </c>
      <c r="F1583" s="268" t="str">
        <f>IF(D1583="","",VLOOKUP(D1583,契約台帳!$A$3:$K$4986,6,FALSE)&amp;VLOOKUP(D1583,契約台帳!$A$3:$K$4986,7,FALSE)&amp;VLOOKUP(D1583,契約台帳!$A$3:$K$4986,8,FALSE)&amp;VLOOKUP(D1583,契約台帳!$A$3:$K$4986,9,FALSE)&amp;VLOOKUP(D1583,契約台帳!$A$3:$K$4986,11,FALSE))</f>
        <v>3SNMLBMNGTBF</v>
      </c>
      <c r="G1583" s="269" t="str">
        <f>IF(D1583="","",VLOOKUP(F1583,製品マスタ!$G$5:$H$5002,2,FALSE))</f>
        <v>S</v>
      </c>
      <c r="H1583" s="269" t="str">
        <f>IF(D1583="","",VLOOKUP(F1583,製品マスタ!$G$5:$K$5002,5,FALSE))</f>
        <v>MNGTBF</v>
      </c>
      <c r="I1583" s="270" t="str">
        <f>IF(D1583="","",VLOOKUP(F1583,製品マスタ!$G$5:$L$5002,6,FALSE))</f>
        <v>メタルミー　ネーマー　銀艶　Ｂ</v>
      </c>
      <c r="J1583" s="32" t="s">
        <v>447</v>
      </c>
      <c r="K1583" s="270">
        <f>IF(D1583="","",VLOOKUP(D1583,契約台帳!$A$3:$L$4986,12,FALSE))</f>
        <v>50</v>
      </c>
      <c r="L1583" s="270" t="str">
        <f>IF(D1583="","",INDEX(製品マスタ!$Q$5:$Q$5002,MATCH(F1583&amp;K1583,製品マスタ!$AO$5:$AO$5002,0)))</f>
        <v>T62</v>
      </c>
      <c r="M1583" s="39">
        <v>1120</v>
      </c>
      <c r="N1583" s="39">
        <v>10000</v>
      </c>
      <c r="O1583" s="47">
        <v>3</v>
      </c>
      <c r="P1583" s="57"/>
      <c r="Q1583" s="276">
        <f>IF(D1583="","",IF(J1583="リード付け",M1583,VLOOKUP(D1583,契約台帳!$A$3:$N$4986,14,FALSE)))</f>
        <v>1120</v>
      </c>
      <c r="R1583" s="277">
        <f>IF(D1583="","",IF(J1583="リード付け",M1583,VLOOKUP(D1583,契約台帳!$A$3:$O$4986,15,FALSE)))</f>
        <v>1120</v>
      </c>
      <c r="S1583" s="277">
        <f>IF(D1583="","",IF(J1583="リード付け",N1583,VLOOKUP(D1583,契約台帳!$A$3:$P$4986,16,FALSE)))</f>
        <v>5000</v>
      </c>
      <c r="T1583" s="40">
        <v>6</v>
      </c>
      <c r="U1583" s="278">
        <f ca="1">IF(D1583="","",IF(OFFSET(D1583,-2,0)=D1583,"",VLOOKUP(D1583,契約台帳!$A$3:$R$4986,18,FALSE)))</f>
        <v>52</v>
      </c>
      <c r="V1583" s="269" t="str">
        <f>IF(J1583="巻返し",VLOOKUP(F1583&amp;K1583&amp;M1583,製品マスタ!$M$5:$AD$5002,18,FALSE),IF(J1583="リード付け","原反コア",IF(J1583="スリット",VLOOKUP(F1583&amp;K1583&amp;Q1583,製品マスタ!$N$5:$AD$5002,17,FALSE),"")))</f>
        <v>6ｲﾝﾁSｺｱ</v>
      </c>
      <c r="W1583" s="269">
        <f>IF(J1583="巻返し",VLOOKUP(F1583&amp;K1583&amp;M1583,製品マスタ!$M$5:$AE$5002,19,FALSE),IF(J1583="リード付け","-",IF(J1583="スリット",VLOOKUP(F1583&amp;K1583&amp;Q1583,製品マスタ!$N$5:$AE$5002,18,FALSE),"")))</f>
        <v>1125</v>
      </c>
      <c r="X1583" s="275">
        <f>IF(D1583="","",VLOOKUP(D1583,契約台帳!$A$3:$Q$4986,17,FALSE))</f>
        <v>2</v>
      </c>
      <c r="Y1583" s="269" t="str">
        <f>IF(D1583="","",VLOOKUP(D1583,契約台帳!$A$3:$E$4986,5,FALSE))</f>
        <v>リンテック㈱</v>
      </c>
      <c r="Z1583" s="357">
        <v>45454</v>
      </c>
      <c r="AA1583" s="207"/>
      <c r="AB1583" s="369"/>
      <c r="AC1583" s="370"/>
      <c r="AD1583" s="332" t="str">
        <f>IF(F1583="","",+F1583&amp;K1583)</f>
        <v>3SNMLBMNGTBF50</v>
      </c>
      <c r="AE1583" s="216">
        <f>+M1583*N1583*O1583/1000</f>
        <v>33600</v>
      </c>
      <c r="AF1583" s="43">
        <f>IF(AD1583="","",VLOOKUP(AD1583,原価マスタ!$A$2:$AJ$1693,13,FALSE))</f>
        <v>99</v>
      </c>
      <c r="AG1583" s="47">
        <f>IF(AF1583="","",+AE1583*AF1583/100)</f>
        <v>33264</v>
      </c>
      <c r="AH1583" s="30"/>
      <c r="AI1583" s="30"/>
      <c r="AJ1583" s="30"/>
      <c r="AK1583" s="30"/>
      <c r="AL1583" s="13"/>
      <c r="AM1583" s="13"/>
      <c r="AN1583" s="13"/>
      <c r="AO1583" s="13"/>
      <c r="AP1583" s="13"/>
      <c r="AQ1583" s="14"/>
      <c r="AR1583" s="15"/>
    </row>
    <row r="1584" spans="1:44" s="17" customFormat="1" ht="30.95" hidden="1" customHeight="1" x14ac:dyDescent="0.2">
      <c r="A1584" s="343"/>
      <c r="B1584" s="344"/>
      <c r="C1584" s="345"/>
      <c r="D1584" s="398"/>
      <c r="E1584" s="31"/>
      <c r="F1584" s="268"/>
      <c r="G1584" s="269"/>
      <c r="H1584" s="269"/>
      <c r="I1584" s="270"/>
      <c r="J1584" s="32"/>
      <c r="K1584" s="270"/>
      <c r="L1584" s="270"/>
      <c r="M1584" s="39"/>
      <c r="N1584" s="39"/>
      <c r="O1584" s="47"/>
      <c r="P1584" s="350"/>
      <c r="Q1584" s="276"/>
      <c r="R1584" s="277"/>
      <c r="S1584" s="277"/>
      <c r="T1584" s="40"/>
      <c r="U1584" s="278"/>
      <c r="V1584" s="269"/>
      <c r="W1584" s="269"/>
      <c r="X1584" s="275"/>
      <c r="Y1584" s="269"/>
      <c r="Z1584" s="357"/>
      <c r="AA1584" s="207"/>
      <c r="AB1584" s="369"/>
      <c r="AC1584" s="370"/>
      <c r="AD1584" s="332"/>
      <c r="AE1584" s="371"/>
      <c r="AF1584" s="355"/>
      <c r="AG1584" s="349"/>
      <c r="AH1584" s="30"/>
      <c r="AI1584" s="30"/>
      <c r="AJ1584" s="30"/>
      <c r="AK1584" s="30"/>
      <c r="AL1584" s="13"/>
      <c r="AM1584" s="13"/>
      <c r="AN1584" s="13"/>
      <c r="AO1584" s="13"/>
      <c r="AP1584" s="13"/>
      <c r="AQ1584" s="14"/>
      <c r="AR1584" s="15"/>
    </row>
    <row r="1585" spans="1:44" s="17" customFormat="1" ht="30.95" hidden="1" customHeight="1" x14ac:dyDescent="0.2">
      <c r="A1585" s="343" t="s">
        <v>2893</v>
      </c>
      <c r="B1585" s="344" t="s">
        <v>2894</v>
      </c>
      <c r="C1585" s="345"/>
      <c r="D1585" s="398">
        <v>3758066</v>
      </c>
      <c r="E1585" s="31">
        <v>4151687</v>
      </c>
      <c r="F1585" s="268" t="str">
        <f>IF(D1585="","",VLOOKUP(D1585,契約台帳!$A$3:$K$4986,6,FALSE)&amp;VLOOKUP(D1585,契約台帳!$A$3:$K$4986,7,FALSE)&amp;VLOOKUP(D1585,契約台帳!$A$3:$K$4986,8,FALSE)&amp;VLOOKUP(D1585,契約台帳!$A$3:$K$4986,9,FALSE)&amp;VLOOKUP(D1585,契約台帳!$A$3:$K$4986,11,FALSE))</f>
        <v>3SNMLBMNGTBF</v>
      </c>
      <c r="G1585" s="269" t="str">
        <f>IF(D1585="","",VLOOKUP(F1585,製品マスタ!$G$5:$H$5002,2,FALSE))</f>
        <v>S</v>
      </c>
      <c r="H1585" s="269" t="str">
        <f>IF(D1585="","",VLOOKUP(F1585,製品マスタ!$G$5:$K$5002,5,FALSE))</f>
        <v>MNGTBF</v>
      </c>
      <c r="I1585" s="270" t="str">
        <f>IF(D1585="","",VLOOKUP(F1585,製品マスタ!$G$5:$L$5002,6,FALSE))</f>
        <v>メタルミー　ネーマー　銀艶　Ｂ</v>
      </c>
      <c r="J1585" s="32" t="s">
        <v>447</v>
      </c>
      <c r="K1585" s="270">
        <f>IF(D1585="","",VLOOKUP(D1585,契約台帳!$A$3:$L$4986,12,FALSE))</f>
        <v>50</v>
      </c>
      <c r="L1585" s="270" t="str">
        <f>IF(D1585="","",INDEX(製品マスタ!$Q$5:$Q$5002,MATCH(F1585&amp;K1585,製品マスタ!$AO$5:$AO$5002,0)))</f>
        <v>T62</v>
      </c>
      <c r="M1585" s="39">
        <v>1120</v>
      </c>
      <c r="N1585" s="39">
        <v>10000</v>
      </c>
      <c r="O1585" s="47">
        <v>6</v>
      </c>
      <c r="P1585" s="57"/>
      <c r="Q1585" s="276">
        <f>IF(D1585="","",IF(J1585="リード付け",M1585,VLOOKUP(D1585,契約台帳!$A$3:$N$4986,14,FALSE)))</f>
        <v>1120</v>
      </c>
      <c r="R1585" s="277">
        <f>IF(D1585="","",IF(J1585="リード付け",M1585,VLOOKUP(D1585,契約台帳!$A$3:$O$4986,15,FALSE)))</f>
        <v>1120</v>
      </c>
      <c r="S1585" s="277">
        <f>IF(D1585="","",IF(J1585="リード付け",N1585,VLOOKUP(D1585,契約台帳!$A$3:$P$4986,16,FALSE)))</f>
        <v>5000</v>
      </c>
      <c r="T1585" s="40">
        <v>12</v>
      </c>
      <c r="U1585" s="278" t="str">
        <f ca="1">IF(D1585="","",IF(OFFSET(D1585,-2,0)=D1585,"",VLOOKUP(D1585,契約台帳!$A$3:$R$4986,18,FALSE)))</f>
        <v/>
      </c>
      <c r="V1585" s="269" t="str">
        <f>IF(J1585="巻返し",VLOOKUP(F1585&amp;K1585&amp;M1585,製品マスタ!$M$5:$AD$5002,18,FALSE),IF(J1585="リード付け","原反コア",IF(J1585="スリット",VLOOKUP(F1585&amp;K1585&amp;Q1585,製品マスタ!$N$5:$AD$5002,17,FALSE),"")))</f>
        <v>6ｲﾝﾁSｺｱ</v>
      </c>
      <c r="W1585" s="269">
        <f>IF(J1585="巻返し",VLOOKUP(F1585&amp;K1585&amp;M1585,製品マスタ!$M$5:$AE$5002,19,FALSE),IF(J1585="リード付け","-",IF(J1585="スリット",VLOOKUP(F1585&amp;K1585&amp;Q1585,製品マスタ!$N$5:$AE$5002,18,FALSE),"")))</f>
        <v>1125</v>
      </c>
      <c r="X1585" s="275">
        <f>IF(D1585="","",VLOOKUP(D1585,契約台帳!$A$3:$Q$4986,17,FALSE))</f>
        <v>2</v>
      </c>
      <c r="Y1585" s="269" t="str">
        <f>IF(D1585="","",VLOOKUP(D1585,契約台帳!$A$3:$E$4986,5,FALSE))</f>
        <v>リンテック㈱</v>
      </c>
      <c r="Z1585" s="357">
        <v>45455</v>
      </c>
      <c r="AA1585" s="207"/>
      <c r="AB1585" s="369"/>
      <c r="AC1585" s="370"/>
      <c r="AD1585" s="332" t="str">
        <f>IF(F1585="","",+F1585&amp;K1585)</f>
        <v>3SNMLBMNGTBF50</v>
      </c>
      <c r="AE1585" s="216">
        <f>+M1585*N1585*O1585/1000</f>
        <v>67200</v>
      </c>
      <c r="AF1585" s="43">
        <f>IF(AD1585="","",VLOOKUP(AD1585,原価マスタ!$A$2:$AJ$1693,13,FALSE))</f>
        <v>99</v>
      </c>
      <c r="AG1585" s="47">
        <f>IF(AF1585="","",+AE1585*AF1585/100)</f>
        <v>66528</v>
      </c>
      <c r="AH1585" s="30"/>
      <c r="AI1585" s="30"/>
      <c r="AJ1585" s="30"/>
      <c r="AK1585" s="30"/>
      <c r="AL1585" s="13"/>
      <c r="AM1585" s="13"/>
      <c r="AN1585" s="13"/>
      <c r="AO1585" s="13"/>
      <c r="AP1585" s="13"/>
      <c r="AQ1585" s="14"/>
      <c r="AR1585" s="15"/>
    </row>
    <row r="1586" spans="1:44" s="17" customFormat="1" ht="30.95" hidden="1" customHeight="1" x14ac:dyDescent="0.2">
      <c r="A1586" s="343"/>
      <c r="B1586" s="344"/>
      <c r="C1586" s="345"/>
      <c r="D1586" s="398"/>
      <c r="E1586" s="31"/>
      <c r="F1586" s="268"/>
      <c r="G1586" s="269"/>
      <c r="H1586" s="269"/>
      <c r="I1586" s="270"/>
      <c r="J1586" s="32"/>
      <c r="K1586" s="270"/>
      <c r="L1586" s="270"/>
      <c r="M1586" s="39"/>
      <c r="N1586" s="39"/>
      <c r="O1586" s="47"/>
      <c r="P1586" s="350"/>
      <c r="Q1586" s="276"/>
      <c r="R1586" s="277"/>
      <c r="S1586" s="277"/>
      <c r="T1586" s="40"/>
      <c r="U1586" s="278"/>
      <c r="V1586" s="269"/>
      <c r="W1586" s="269"/>
      <c r="X1586" s="275"/>
      <c r="Y1586" s="269"/>
      <c r="Z1586" s="357"/>
      <c r="AA1586" s="207"/>
      <c r="AB1586" s="369"/>
      <c r="AC1586" s="370"/>
      <c r="AD1586" s="332"/>
      <c r="AE1586" s="371"/>
      <c r="AF1586" s="355"/>
      <c r="AG1586" s="349"/>
      <c r="AH1586" s="30"/>
      <c r="AI1586" s="30"/>
      <c r="AJ1586" s="30"/>
      <c r="AK1586" s="30"/>
      <c r="AL1586" s="13"/>
      <c r="AM1586" s="13"/>
      <c r="AN1586" s="13"/>
      <c r="AO1586" s="13"/>
      <c r="AP1586" s="13"/>
      <c r="AQ1586" s="14"/>
      <c r="AR1586" s="15"/>
    </row>
    <row r="1587" spans="1:44" s="17" customFormat="1" ht="30.95" hidden="1" customHeight="1" x14ac:dyDescent="0.2">
      <c r="A1587" s="343" t="s">
        <v>1181</v>
      </c>
      <c r="B1587" s="344" t="s">
        <v>446</v>
      </c>
      <c r="C1587" s="345"/>
      <c r="D1587" s="31"/>
      <c r="E1587" s="31"/>
      <c r="F1587" s="268"/>
      <c r="G1587" s="269"/>
      <c r="H1587" s="269"/>
      <c r="I1587" s="270"/>
      <c r="J1587" s="32" t="s">
        <v>448</v>
      </c>
      <c r="K1587" s="270"/>
      <c r="L1587" s="270"/>
      <c r="M1587" s="39"/>
      <c r="N1587" s="39"/>
      <c r="O1587" s="47"/>
      <c r="P1587" s="57"/>
      <c r="Q1587" s="276"/>
      <c r="R1587" s="277"/>
      <c r="S1587" s="277"/>
      <c r="T1587" s="40"/>
      <c r="U1587" s="278"/>
      <c r="V1587" s="269"/>
      <c r="W1587" s="269"/>
      <c r="X1587" s="275"/>
      <c r="Y1587" s="269"/>
      <c r="Z1587" s="357"/>
      <c r="AA1587" s="207"/>
      <c r="AB1587" s="369"/>
      <c r="AC1587" s="370"/>
      <c r="AD1587" s="332"/>
      <c r="AE1587" s="216"/>
      <c r="AF1587" s="43"/>
      <c r="AG1587" s="47"/>
      <c r="AH1587" s="30"/>
      <c r="AI1587" s="30"/>
      <c r="AJ1587" s="30"/>
      <c r="AK1587" s="30"/>
      <c r="AL1587" s="13"/>
      <c r="AM1587" s="13"/>
      <c r="AN1587" s="13"/>
      <c r="AO1587" s="13"/>
      <c r="AP1587" s="13"/>
      <c r="AQ1587" s="14"/>
      <c r="AR1587" s="15"/>
    </row>
    <row r="1588" spans="1:44" s="17" customFormat="1" ht="30.95" hidden="1" customHeight="1" x14ac:dyDescent="0.2">
      <c r="A1588" s="343"/>
      <c r="B1588" s="344"/>
      <c r="C1588" s="345"/>
      <c r="D1588" s="398"/>
      <c r="E1588" s="31"/>
      <c r="F1588" s="268"/>
      <c r="G1588" s="269"/>
      <c r="H1588" s="269"/>
      <c r="I1588" s="270"/>
      <c r="J1588" s="32"/>
      <c r="K1588" s="270"/>
      <c r="L1588" s="270"/>
      <c r="M1588" s="39"/>
      <c r="N1588" s="39"/>
      <c r="O1588" s="47"/>
      <c r="P1588" s="350"/>
      <c r="Q1588" s="276"/>
      <c r="R1588" s="277"/>
      <c r="S1588" s="277"/>
      <c r="T1588" s="40"/>
      <c r="U1588" s="278"/>
      <c r="V1588" s="269"/>
      <c r="W1588" s="269"/>
      <c r="X1588" s="275"/>
      <c r="Y1588" s="269"/>
      <c r="Z1588" s="357"/>
      <c r="AA1588" s="207"/>
      <c r="AB1588" s="369"/>
      <c r="AC1588" s="370"/>
      <c r="AD1588" s="332"/>
      <c r="AE1588" s="371"/>
      <c r="AF1588" s="355"/>
      <c r="AG1588" s="349"/>
      <c r="AH1588" s="30"/>
      <c r="AI1588" s="30"/>
      <c r="AJ1588" s="30"/>
      <c r="AK1588" s="30"/>
      <c r="AL1588" s="13"/>
      <c r="AM1588" s="13"/>
      <c r="AN1588" s="13"/>
      <c r="AO1588" s="13"/>
      <c r="AP1588" s="13"/>
      <c r="AQ1588" s="14"/>
      <c r="AR1588" s="15"/>
    </row>
    <row r="1589" spans="1:44" s="17" customFormat="1" ht="30.95" hidden="1" customHeight="1" x14ac:dyDescent="0.2">
      <c r="A1589" s="343" t="s">
        <v>1182</v>
      </c>
      <c r="B1589" s="344" t="s">
        <v>462</v>
      </c>
      <c r="C1589" s="345"/>
      <c r="D1589" s="398">
        <v>3758076</v>
      </c>
      <c r="E1589" s="31">
        <v>4151707</v>
      </c>
      <c r="F1589" s="268" t="str">
        <f>IF(D1589="","",VLOOKUP(D1589,契約台帳!$A$3:$K$4986,6,FALSE)&amp;VLOOKUP(D1589,契約台帳!$A$3:$K$4986,7,FALSE)&amp;VLOOKUP(D1589,契約台帳!$A$3:$K$4986,8,FALSE)&amp;VLOOKUP(D1589,契約台帳!$A$3:$K$4986,9,FALSE)&amp;VLOOKUP(D1589,契約台帳!$A$3:$K$4986,11,FALSE))</f>
        <v>3SNMLBMNQR66F</v>
      </c>
      <c r="G1589" s="269" t="str">
        <f>IF(D1589="","",VLOOKUP(F1589,製品マスタ!$G$5:$H$5002,2,FALSE))</f>
        <v>S</v>
      </c>
      <c r="H1589" s="269" t="str">
        <f>IF(D1589="","",VLOOKUP(F1589,製品マスタ!$G$5:$K$5002,5,FALSE))</f>
        <v>MNQR66F</v>
      </c>
      <c r="I1589" s="270" t="str">
        <f>IF(D1589="","",VLOOKUP(F1589,製品マスタ!$G$5:$L$5002,6,FALSE))</f>
        <v>ＱＲ６６蒸着品</v>
      </c>
      <c r="J1589" s="32" t="s">
        <v>447</v>
      </c>
      <c r="K1589" s="270">
        <f>IF(D1589="","",VLOOKUP(D1589,契約台帳!$A$3:$L$4986,12,FALSE))</f>
        <v>25</v>
      </c>
      <c r="L1589" s="270" t="str">
        <f>IF(D1589="","",INDEX(製品マスタ!$Q$5:$Q$5002,MATCH(F1589&amp;K1589,製品マスタ!$AO$5:$AO$5002,0)))</f>
        <v>E315</v>
      </c>
      <c r="M1589" s="39">
        <v>1100</v>
      </c>
      <c r="N1589" s="39">
        <v>18000</v>
      </c>
      <c r="O1589" s="47">
        <v>5</v>
      </c>
      <c r="P1589" s="57"/>
      <c r="Q1589" s="276">
        <f>IF(D1589="","",IF(J1589="リード付け",M1589,VLOOKUP(D1589,契約台帳!$A$3:$N$4986,14,FALSE)))</f>
        <v>1100</v>
      </c>
      <c r="R1589" s="277">
        <f>IF(D1589="","",IF(J1589="リード付け",M1589,VLOOKUP(D1589,契約台帳!$A$3:$O$4986,15,FALSE)))</f>
        <v>1100</v>
      </c>
      <c r="S1589" s="277">
        <f>IF(D1589="","",IF(J1589="リード付け",N1589,VLOOKUP(D1589,契約台帳!$A$3:$P$4986,16,FALSE)))</f>
        <v>6000</v>
      </c>
      <c r="T1589" s="40">
        <v>15</v>
      </c>
      <c r="U1589" s="278">
        <f ca="1">IF(D1589="","",IF(OFFSET(D1589,-2,0)=D1589,"",VLOOKUP(D1589,契約台帳!$A$3:$R$4986,18,FALSE)))</f>
        <v>15</v>
      </c>
      <c r="V1589" s="269" t="str">
        <f>IF(J1589="巻返し",VLOOKUP(F1589&amp;K1589&amp;M1589,製品マスタ!$M$5:$AD$5002,18,FALSE),IF(J1589="リード付け","原反コア",IF(J1589="スリット",VLOOKUP(F1589&amp;K1589&amp;Q1589,製品マスタ!$N$5:$AD$5002,17,FALSE),"")))</f>
        <v>6ｲﾝﾁMｺｱ</v>
      </c>
      <c r="W1589" s="269">
        <f>IF(J1589="巻返し",VLOOKUP(F1589&amp;K1589&amp;M1589,製品マスタ!$M$5:$AE$5002,19,FALSE),IF(J1589="リード付け","-",IF(J1589="スリット",VLOOKUP(F1589&amp;K1589&amp;Q1589,製品マスタ!$N$5:$AE$5002,18,FALSE),"")))</f>
        <v>1110</v>
      </c>
      <c r="X1589" s="275">
        <f>IF(D1589="","",VLOOKUP(D1589,契約台帳!$A$3:$Q$4986,17,FALSE))</f>
        <v>2</v>
      </c>
      <c r="Y1589" s="269" t="str">
        <f>IF(D1589="","",VLOOKUP(D1589,契約台帳!$A$3:$E$4986,5,FALSE))</f>
        <v>リンテック㈱</v>
      </c>
      <c r="Z1589" s="357">
        <v>45456</v>
      </c>
      <c r="AA1589" s="207"/>
      <c r="AB1589" s="369"/>
      <c r="AC1589" s="370"/>
      <c r="AD1589" s="332" t="str">
        <f>IF(F1589="","",+F1589&amp;K1589)</f>
        <v>3SNMLBMNQR66F25</v>
      </c>
      <c r="AE1589" s="216">
        <f>+M1589*N1589*O1589/1000</f>
        <v>99000</v>
      </c>
      <c r="AF1589" s="43">
        <f>IF(AD1589="","",VLOOKUP(AD1589,原価マスタ!$A$2:$AJ$1693,13,FALSE))</f>
        <v>98</v>
      </c>
      <c r="AG1589" s="47">
        <f>IF(AF1589="","",+AE1589*AF1589/100)</f>
        <v>97020</v>
      </c>
      <c r="AH1589" s="30"/>
      <c r="AI1589" s="30"/>
      <c r="AJ1589" s="30"/>
      <c r="AK1589" s="30"/>
      <c r="AL1589" s="13"/>
      <c r="AM1589" s="13"/>
      <c r="AN1589" s="13"/>
      <c r="AO1589" s="13"/>
      <c r="AP1589" s="13"/>
      <c r="AQ1589" s="14"/>
      <c r="AR1589" s="15"/>
    </row>
    <row r="1590" spans="1:44" s="17" customFormat="1" ht="30.95" hidden="1" customHeight="1" x14ac:dyDescent="0.2">
      <c r="A1590" s="343"/>
      <c r="B1590" s="344"/>
      <c r="C1590" s="345"/>
      <c r="D1590" s="398"/>
      <c r="E1590" s="31"/>
      <c r="F1590" s="268"/>
      <c r="G1590" s="269"/>
      <c r="H1590" s="269"/>
      <c r="I1590" s="270"/>
      <c r="J1590" s="32"/>
      <c r="K1590" s="270"/>
      <c r="L1590" s="270"/>
      <c r="M1590" s="39"/>
      <c r="N1590" s="39"/>
      <c r="O1590" s="47"/>
      <c r="P1590" s="350"/>
      <c r="Q1590" s="276"/>
      <c r="R1590" s="277"/>
      <c r="S1590" s="277"/>
      <c r="T1590" s="40"/>
      <c r="U1590" s="278"/>
      <c r="V1590" s="269"/>
      <c r="W1590" s="269"/>
      <c r="X1590" s="275"/>
      <c r="Y1590" s="269"/>
      <c r="Z1590" s="357"/>
      <c r="AA1590" s="207"/>
      <c r="AB1590" s="369"/>
      <c r="AC1590" s="370"/>
      <c r="AD1590" s="332"/>
      <c r="AE1590" s="371"/>
      <c r="AF1590" s="355"/>
      <c r="AG1590" s="349"/>
      <c r="AH1590" s="30"/>
      <c r="AI1590" s="30"/>
      <c r="AJ1590" s="30"/>
      <c r="AK1590" s="30"/>
      <c r="AL1590" s="13"/>
      <c r="AM1590" s="13"/>
      <c r="AN1590" s="13"/>
      <c r="AO1590" s="13"/>
      <c r="AP1590" s="13"/>
      <c r="AQ1590" s="14"/>
      <c r="AR1590" s="15"/>
    </row>
    <row r="1591" spans="1:44" s="17" customFormat="1" ht="30.95" hidden="1" customHeight="1" x14ac:dyDescent="0.2">
      <c r="A1591" s="343" t="s">
        <v>2898</v>
      </c>
      <c r="B1591" s="344" t="s">
        <v>2899</v>
      </c>
      <c r="C1591" s="345"/>
      <c r="D1591" s="398">
        <v>3758075</v>
      </c>
      <c r="E1591" s="31">
        <v>4151706</v>
      </c>
      <c r="F1591" s="268" t="str">
        <f>IF(D1591="","",VLOOKUP(D1591,契約台帳!$A$3:$K$4986,6,FALSE)&amp;VLOOKUP(D1591,契約台帳!$A$3:$K$4986,7,FALSE)&amp;VLOOKUP(D1591,契約台帳!$A$3:$K$4986,8,FALSE)&amp;VLOOKUP(D1591,契約台帳!$A$3:$K$4986,9,FALSE)&amp;VLOOKUP(D1591,契約台帳!$A$3:$K$4986,11,FALSE))</f>
        <v>3SNMLBMNQR66F</v>
      </c>
      <c r="G1591" s="269" t="str">
        <f>IF(D1591="","",VLOOKUP(F1591,製品マスタ!$G$5:$H$5002,2,FALSE))</f>
        <v>S</v>
      </c>
      <c r="H1591" s="269" t="str">
        <f>IF(D1591="","",VLOOKUP(F1591,製品マスタ!$G$5:$K$5002,5,FALSE))</f>
        <v>MNQR66F</v>
      </c>
      <c r="I1591" s="270" t="str">
        <f>IF(D1591="","",VLOOKUP(F1591,製品マスタ!$G$5:$L$5002,6,FALSE))</f>
        <v>ＱＲ６６蒸着品</v>
      </c>
      <c r="J1591" s="32" t="s">
        <v>447</v>
      </c>
      <c r="K1591" s="270">
        <f>IF(D1591="","",VLOOKUP(D1591,契約台帳!$A$3:$L$4986,12,FALSE))</f>
        <v>25</v>
      </c>
      <c r="L1591" s="270" t="str">
        <f>IF(D1591="","",INDEX(製品マスタ!$Q$5:$Q$5002,MATCH(F1591&amp;K1591,製品マスタ!$AO$5:$AO$5002,0)))</f>
        <v>E315</v>
      </c>
      <c r="M1591" s="39">
        <v>1000</v>
      </c>
      <c r="N1591" s="39">
        <v>18000</v>
      </c>
      <c r="O1591" s="47">
        <v>1</v>
      </c>
      <c r="P1591" s="57"/>
      <c r="Q1591" s="276">
        <f>IF(D1591="","",IF(J1591="リード付け",M1591,VLOOKUP(D1591,契約台帳!$A$3:$N$4986,14,FALSE)))</f>
        <v>1000</v>
      </c>
      <c r="R1591" s="277">
        <f>IF(D1591="","",IF(J1591="リード付け",M1591,VLOOKUP(D1591,契約台帳!$A$3:$O$4986,15,FALSE)))</f>
        <v>1000</v>
      </c>
      <c r="S1591" s="277">
        <f>IF(D1591="","",IF(J1591="リード付け",N1591,VLOOKUP(D1591,契約台帳!$A$3:$P$4986,16,FALSE)))</f>
        <v>6000</v>
      </c>
      <c r="T1591" s="40">
        <v>3</v>
      </c>
      <c r="U1591" s="278">
        <f ca="1">IF(D1591="","",IF(OFFSET(D1591,-2,0)=D1591,"",VLOOKUP(D1591,契約台帳!$A$3:$R$4986,18,FALSE)))</f>
        <v>3</v>
      </c>
      <c r="V1591" s="269" t="str">
        <f>IF(J1591="巻返し",VLOOKUP(F1591&amp;K1591&amp;M1591,製品マスタ!$M$5:$AD$5002,18,FALSE),IF(J1591="リード付け","原反コア",IF(J1591="スリット",VLOOKUP(F1591&amp;K1591&amp;Q1591,製品マスタ!$N$5:$AD$5002,17,FALSE),"")))</f>
        <v>6ｲﾝﾁMｺｱ</v>
      </c>
      <c r="W1591" s="269">
        <f>IF(J1591="巻返し",VLOOKUP(F1591&amp;K1591&amp;M1591,製品マスタ!$M$5:$AE$5002,19,FALSE),IF(J1591="リード付け","-",IF(J1591="スリット",VLOOKUP(F1591&amp;K1591&amp;Q1591,製品マスタ!$N$5:$AE$5002,18,FALSE),"")))</f>
        <v>1010</v>
      </c>
      <c r="X1591" s="275">
        <f>IF(D1591="","",VLOOKUP(D1591,契約台帳!$A$3:$Q$4986,17,FALSE))</f>
        <v>2</v>
      </c>
      <c r="Y1591" s="269" t="str">
        <f>IF(D1591="","",VLOOKUP(D1591,契約台帳!$A$3:$E$4986,5,FALSE))</f>
        <v>リンテック㈱</v>
      </c>
      <c r="Z1591" s="357">
        <v>45457</v>
      </c>
      <c r="AA1591" s="207"/>
      <c r="AB1591" s="369"/>
      <c r="AC1591" s="370"/>
      <c r="AD1591" s="332" t="str">
        <f>IF(F1591="","",+F1591&amp;K1591)</f>
        <v>3SNMLBMNQR66F25</v>
      </c>
      <c r="AE1591" s="216">
        <f>+M1591*N1591*O1591/1000</f>
        <v>18000</v>
      </c>
      <c r="AF1591" s="43">
        <f>IF(AD1591="","",VLOOKUP(AD1591,原価マスタ!$A$2:$AJ$1693,13,FALSE))</f>
        <v>98</v>
      </c>
      <c r="AG1591" s="47">
        <f>IF(AF1591="","",+AE1591*AF1591/100)</f>
        <v>17640</v>
      </c>
      <c r="AH1591" s="30"/>
      <c r="AI1591" s="30"/>
      <c r="AJ1591" s="30"/>
      <c r="AK1591" s="30"/>
      <c r="AL1591" s="13"/>
      <c r="AM1591" s="13"/>
      <c r="AN1591" s="13"/>
      <c r="AO1591" s="13"/>
      <c r="AP1591" s="13"/>
      <c r="AQ1591" s="14"/>
      <c r="AR1591" s="15"/>
    </row>
    <row r="1592" spans="1:44" s="17" customFormat="1" ht="30.95" hidden="1" customHeight="1" x14ac:dyDescent="0.2">
      <c r="A1592" s="343"/>
      <c r="B1592" s="344"/>
      <c r="C1592" s="345"/>
      <c r="D1592" s="398"/>
      <c r="E1592" s="31"/>
      <c r="F1592" s="268"/>
      <c r="G1592" s="269"/>
      <c r="H1592" s="269"/>
      <c r="I1592" s="270"/>
      <c r="J1592" s="32"/>
      <c r="K1592" s="270"/>
      <c r="L1592" s="270"/>
      <c r="M1592" s="39"/>
      <c r="N1592" s="39"/>
      <c r="O1592" s="47"/>
      <c r="P1592" s="350"/>
      <c r="Q1592" s="276"/>
      <c r="R1592" s="277"/>
      <c r="S1592" s="277"/>
      <c r="T1592" s="40"/>
      <c r="U1592" s="278"/>
      <c r="V1592" s="269"/>
      <c r="W1592" s="269"/>
      <c r="X1592" s="275"/>
      <c r="Y1592" s="269"/>
      <c r="Z1592" s="357"/>
      <c r="AA1592" s="207"/>
      <c r="AB1592" s="369"/>
      <c r="AC1592" s="370"/>
      <c r="AD1592" s="332"/>
      <c r="AE1592" s="371"/>
      <c r="AF1592" s="355"/>
      <c r="AG1592" s="349"/>
      <c r="AH1592" s="30"/>
      <c r="AI1592" s="30"/>
      <c r="AJ1592" s="30"/>
      <c r="AK1592" s="30"/>
      <c r="AL1592" s="13"/>
      <c r="AM1592" s="13"/>
      <c r="AN1592" s="13"/>
      <c r="AO1592" s="13"/>
      <c r="AP1592" s="13"/>
      <c r="AQ1592" s="14"/>
      <c r="AR1592" s="15"/>
    </row>
    <row r="1593" spans="1:44" s="17" customFormat="1" ht="30.95" hidden="1" customHeight="1" x14ac:dyDescent="0.2">
      <c r="A1593" s="37" t="s">
        <v>1184</v>
      </c>
      <c r="B1593" s="38" t="s">
        <v>442</v>
      </c>
      <c r="C1593" s="345"/>
      <c r="D1593" s="398">
        <v>3758062</v>
      </c>
      <c r="E1593" s="31">
        <v>4151685</v>
      </c>
      <c r="F1593" s="268" t="str">
        <f>IF(D1593="","",VLOOKUP(D1593,契約台帳!$A$3:$K$4986,6,FALSE)&amp;VLOOKUP(D1593,契約台帳!$A$3:$K$4986,7,FALSE)&amp;VLOOKUP(D1593,契約台帳!$A$3:$K$4986,8,FALSE)&amp;VLOOKUP(D1593,契約台帳!$A$3:$K$4986,9,FALSE)&amp;VLOOKUP(D1593,契約台帳!$A$3:$K$4986,11,FALSE))</f>
        <v>3SNMLBMNGKKBF</v>
      </c>
      <c r="G1593" s="269" t="str">
        <f>IF(D1593="","",VLOOKUP(F1593,製品マスタ!$G$5:$H$5002,2,FALSE))</f>
        <v>S</v>
      </c>
      <c r="H1593" s="269" t="str">
        <f>IF(D1593="","",VLOOKUP(F1593,製品マスタ!$G$5:$K$5002,5,FALSE))</f>
        <v>MNGKKBF</v>
      </c>
      <c r="I1593" s="270" t="str">
        <f>IF(D1593="","",VLOOKUP(F1593,製品マスタ!$G$5:$L$5002,6,FALSE))</f>
        <v>メタルミー　ネーマー銀消改　Ｂ</v>
      </c>
      <c r="J1593" s="32" t="s">
        <v>447</v>
      </c>
      <c r="K1593" s="270">
        <f>IF(D1593="","",VLOOKUP(D1593,契約台帳!$A$3:$L$4986,12,FALSE))</f>
        <v>50</v>
      </c>
      <c r="L1593" s="270" t="str">
        <f>IF(D1593="","",INDEX(製品マスタ!$Q$5:$Q$5002,MATCH(F1593&amp;K1593,製品マスタ!$AO$5:$AO$5002,0)))</f>
        <v>S99-MAT</v>
      </c>
      <c r="M1593" s="39">
        <v>1120</v>
      </c>
      <c r="N1593" s="39">
        <v>12000</v>
      </c>
      <c r="O1593" s="47">
        <v>5</v>
      </c>
      <c r="P1593" s="57"/>
      <c r="Q1593" s="276">
        <f>IF(D1593="","",IF(J1593="リード付け",M1593,VLOOKUP(D1593,契約台帳!$A$3:$N$4986,14,FALSE)))</f>
        <v>1120</v>
      </c>
      <c r="R1593" s="277">
        <f>IF(D1593="","",IF(J1593="リード付け",M1593,VLOOKUP(D1593,契約台帳!$A$3:$O$4986,15,FALSE)))</f>
        <v>1120</v>
      </c>
      <c r="S1593" s="277">
        <f>IF(D1593="","",IF(J1593="リード付け",N1593,VLOOKUP(D1593,契約台帳!$A$3:$P$4986,16,FALSE)))</f>
        <v>4000</v>
      </c>
      <c r="T1593" s="40">
        <v>15</v>
      </c>
      <c r="U1593" s="278">
        <f ca="1">IF(D1593="","",IF(OFFSET(D1593,-2,0)=D1593,"",VLOOKUP(D1593,契約台帳!$A$3:$R$4986,18,FALSE)))</f>
        <v>22</v>
      </c>
      <c r="V1593" s="269" t="str">
        <f>IF(J1593="巻返し",VLOOKUP(F1593&amp;K1593&amp;M1593,製品マスタ!$M$5:$AD$5002,18,FALSE),IF(J1593="リード付け","原反コア",IF(J1593="スリット",VLOOKUP(F1593&amp;K1593&amp;Q1593,製品マスタ!$N$5:$AD$5002,17,FALSE),"")))</f>
        <v>6ｲﾝﾁSｺｱ</v>
      </c>
      <c r="W1593" s="269">
        <f>IF(J1593="巻返し",VLOOKUP(F1593&amp;K1593&amp;M1593,製品マスタ!$M$5:$AE$5002,19,FALSE),IF(J1593="リード付け","-",IF(J1593="スリット",VLOOKUP(F1593&amp;K1593&amp;Q1593,製品マスタ!$N$5:$AE$5002,18,FALSE),"")))</f>
        <v>1125</v>
      </c>
      <c r="X1593" s="275">
        <f>IF(D1593="","",VLOOKUP(D1593,契約台帳!$A$3:$Q$4986,17,FALSE))</f>
        <v>2</v>
      </c>
      <c r="Y1593" s="269" t="str">
        <f>IF(D1593="","",VLOOKUP(D1593,契約台帳!$A$3:$E$4986,5,FALSE))</f>
        <v>リンテック㈱</v>
      </c>
      <c r="Z1593" s="357">
        <v>45457</v>
      </c>
      <c r="AA1593" s="207"/>
      <c r="AB1593" s="369"/>
      <c r="AC1593" s="370"/>
      <c r="AD1593" s="332" t="str">
        <f>IF(F1593="","",+F1593&amp;K1593)</f>
        <v>3SNMLBMNGKKBF50</v>
      </c>
      <c r="AE1593" s="216">
        <f>+M1593*N1593*O1593/1000</f>
        <v>67200</v>
      </c>
      <c r="AF1593" s="43">
        <f>IF(AD1593="","",VLOOKUP(AD1593,原価マスタ!$A$2:$AJ$1693,13,FALSE))</f>
        <v>99</v>
      </c>
      <c r="AG1593" s="47">
        <f>IF(AF1593="","",+AE1593*AF1593/100)</f>
        <v>66528</v>
      </c>
      <c r="AH1593" s="30"/>
      <c r="AI1593" s="30"/>
      <c r="AJ1593" s="30"/>
      <c r="AK1593" s="30"/>
      <c r="AL1593" s="13"/>
      <c r="AM1593" s="13"/>
      <c r="AN1593" s="13"/>
      <c r="AO1593" s="13"/>
      <c r="AP1593" s="13"/>
      <c r="AQ1593" s="14"/>
      <c r="AR1593" s="15"/>
    </row>
    <row r="1594" spans="1:44" s="17" customFormat="1" ht="30.95" hidden="1" customHeight="1" x14ac:dyDescent="0.2">
      <c r="A1594" s="343"/>
      <c r="B1594" s="344"/>
      <c r="C1594" s="345"/>
      <c r="D1594" s="398"/>
      <c r="E1594" s="31"/>
      <c r="F1594" s="268"/>
      <c r="G1594" s="269"/>
      <c r="H1594" s="269"/>
      <c r="I1594" s="270"/>
      <c r="J1594" s="32"/>
      <c r="K1594" s="270"/>
      <c r="L1594" s="270"/>
      <c r="M1594" s="39"/>
      <c r="N1594" s="39"/>
      <c r="O1594" s="47"/>
      <c r="P1594" s="350"/>
      <c r="Q1594" s="276"/>
      <c r="R1594" s="277"/>
      <c r="S1594" s="277"/>
      <c r="T1594" s="40"/>
      <c r="U1594" s="278"/>
      <c r="V1594" s="269"/>
      <c r="W1594" s="269"/>
      <c r="X1594" s="275"/>
      <c r="Y1594" s="269"/>
      <c r="Z1594" s="357"/>
      <c r="AA1594" s="207"/>
      <c r="AB1594" s="369"/>
      <c r="AC1594" s="370"/>
      <c r="AD1594" s="332"/>
      <c r="AE1594" s="371"/>
      <c r="AF1594" s="355"/>
      <c r="AG1594" s="349"/>
      <c r="AH1594" s="30"/>
      <c r="AI1594" s="30"/>
      <c r="AJ1594" s="30"/>
      <c r="AK1594" s="30"/>
      <c r="AL1594" s="13"/>
      <c r="AM1594" s="13"/>
      <c r="AN1594" s="13"/>
      <c r="AO1594" s="13"/>
      <c r="AP1594" s="13"/>
      <c r="AQ1594" s="14"/>
      <c r="AR1594" s="15"/>
    </row>
    <row r="1595" spans="1:44" s="17" customFormat="1" ht="30.95" hidden="1" customHeight="1" x14ac:dyDescent="0.2">
      <c r="A1595" s="343" t="s">
        <v>2902</v>
      </c>
      <c r="B1595" s="344" t="s">
        <v>2900</v>
      </c>
      <c r="C1595" s="345"/>
      <c r="D1595" s="398"/>
      <c r="E1595" s="31"/>
      <c r="F1595" s="268"/>
      <c r="G1595" s="269"/>
      <c r="H1595" s="269"/>
      <c r="I1595" s="270" t="s">
        <v>2911</v>
      </c>
      <c r="J1595" s="32"/>
      <c r="K1595" s="270"/>
      <c r="L1595" s="270"/>
      <c r="M1595" s="39"/>
      <c r="N1595" s="39"/>
      <c r="O1595" s="47"/>
      <c r="P1595" s="350"/>
      <c r="Q1595" s="276"/>
      <c r="R1595" s="277"/>
      <c r="S1595" s="277"/>
      <c r="T1595" s="40"/>
      <c r="U1595" s="278"/>
      <c r="V1595" s="269"/>
      <c r="W1595" s="269"/>
      <c r="X1595" s="275"/>
      <c r="Y1595" s="269"/>
      <c r="Z1595" s="357"/>
      <c r="AA1595" s="207"/>
      <c r="AB1595" s="369"/>
      <c r="AC1595" s="370"/>
      <c r="AD1595" s="332"/>
      <c r="AE1595" s="371"/>
      <c r="AF1595" s="355"/>
      <c r="AG1595" s="349"/>
      <c r="AH1595" s="30"/>
      <c r="AI1595" s="30"/>
      <c r="AJ1595" s="30"/>
      <c r="AK1595" s="30"/>
      <c r="AL1595" s="13"/>
      <c r="AM1595" s="13"/>
      <c r="AN1595" s="13"/>
      <c r="AO1595" s="13"/>
      <c r="AP1595" s="13"/>
      <c r="AQ1595" s="14"/>
      <c r="AR1595" s="15"/>
    </row>
    <row r="1596" spans="1:44" s="17" customFormat="1" ht="30.95" hidden="1" customHeight="1" x14ac:dyDescent="0.2">
      <c r="A1596" s="343"/>
      <c r="B1596" s="344"/>
      <c r="C1596" s="345"/>
      <c r="D1596" s="398"/>
      <c r="E1596" s="31"/>
      <c r="F1596" s="268"/>
      <c r="G1596" s="269"/>
      <c r="H1596" s="269"/>
      <c r="I1596" s="270"/>
      <c r="J1596" s="32"/>
      <c r="K1596" s="270"/>
      <c r="L1596" s="270"/>
      <c r="M1596" s="39"/>
      <c r="N1596" s="39"/>
      <c r="O1596" s="47"/>
      <c r="P1596" s="350"/>
      <c r="Q1596" s="276"/>
      <c r="R1596" s="277"/>
      <c r="S1596" s="277"/>
      <c r="T1596" s="40"/>
      <c r="U1596" s="278"/>
      <c r="V1596" s="269"/>
      <c r="W1596" s="269"/>
      <c r="X1596" s="275"/>
      <c r="Y1596" s="269"/>
      <c r="Z1596" s="357"/>
      <c r="AA1596" s="207"/>
      <c r="AB1596" s="369"/>
      <c r="AC1596" s="370"/>
      <c r="AD1596" s="332"/>
      <c r="AE1596" s="371"/>
      <c r="AF1596" s="355"/>
      <c r="AG1596" s="349"/>
      <c r="AH1596" s="30"/>
      <c r="AI1596" s="30"/>
      <c r="AJ1596" s="30"/>
      <c r="AK1596" s="30"/>
      <c r="AL1596" s="13"/>
      <c r="AM1596" s="13"/>
      <c r="AN1596" s="13"/>
      <c r="AO1596" s="13"/>
      <c r="AP1596" s="13"/>
      <c r="AQ1596" s="14"/>
      <c r="AR1596" s="15"/>
    </row>
    <row r="1597" spans="1:44" s="17" customFormat="1" ht="30.95" hidden="1" customHeight="1" x14ac:dyDescent="0.2">
      <c r="A1597" s="343" t="s">
        <v>2903</v>
      </c>
      <c r="B1597" s="344" t="s">
        <v>2904</v>
      </c>
      <c r="C1597" s="345"/>
      <c r="D1597" s="398"/>
      <c r="E1597" s="31"/>
      <c r="F1597" s="268"/>
      <c r="G1597" s="269"/>
      <c r="H1597" s="269"/>
      <c r="I1597" s="270" t="s">
        <v>2910</v>
      </c>
      <c r="J1597" s="32"/>
      <c r="K1597" s="270"/>
      <c r="L1597" s="270"/>
      <c r="M1597" s="39"/>
      <c r="N1597" s="39"/>
      <c r="O1597" s="47"/>
      <c r="P1597" s="350"/>
      <c r="Q1597" s="276"/>
      <c r="R1597" s="277"/>
      <c r="S1597" s="277"/>
      <c r="T1597" s="40"/>
      <c r="U1597" s="278"/>
      <c r="V1597" s="269"/>
      <c r="W1597" s="269"/>
      <c r="X1597" s="275"/>
      <c r="Y1597" s="269"/>
      <c r="Z1597" s="357"/>
      <c r="AA1597" s="207"/>
      <c r="AB1597" s="369"/>
      <c r="AC1597" s="370"/>
      <c r="AD1597" s="332"/>
      <c r="AE1597" s="371"/>
      <c r="AF1597" s="355"/>
      <c r="AG1597" s="349"/>
      <c r="AH1597" s="30"/>
      <c r="AI1597" s="30"/>
      <c r="AJ1597" s="30"/>
      <c r="AK1597" s="30"/>
      <c r="AL1597" s="13"/>
      <c r="AM1597" s="13"/>
      <c r="AN1597" s="13"/>
      <c r="AO1597" s="13"/>
      <c r="AP1597" s="13"/>
      <c r="AQ1597" s="14"/>
      <c r="AR1597" s="15"/>
    </row>
    <row r="1598" spans="1:44" s="17" customFormat="1" ht="30.95" hidden="1" customHeight="1" x14ac:dyDescent="0.2">
      <c r="A1598" s="343"/>
      <c r="B1598" s="344"/>
      <c r="C1598" s="345"/>
      <c r="D1598" s="398"/>
      <c r="E1598" s="31"/>
      <c r="F1598" s="268"/>
      <c r="G1598" s="269"/>
      <c r="H1598" s="269"/>
      <c r="I1598" s="270"/>
      <c r="J1598" s="32"/>
      <c r="K1598" s="270"/>
      <c r="L1598" s="270"/>
      <c r="M1598" s="39"/>
      <c r="N1598" s="39"/>
      <c r="O1598" s="47"/>
      <c r="P1598" s="350"/>
      <c r="Q1598" s="276"/>
      <c r="R1598" s="277"/>
      <c r="S1598" s="277"/>
      <c r="T1598" s="40"/>
      <c r="U1598" s="278"/>
      <c r="V1598" s="269"/>
      <c r="W1598" s="269"/>
      <c r="X1598" s="275"/>
      <c r="Y1598" s="269"/>
      <c r="Z1598" s="357"/>
      <c r="AA1598" s="207"/>
      <c r="AB1598" s="369"/>
      <c r="AC1598" s="370"/>
      <c r="AD1598" s="332"/>
      <c r="AE1598" s="371"/>
      <c r="AF1598" s="355"/>
      <c r="AG1598" s="349"/>
      <c r="AH1598" s="30"/>
      <c r="AI1598" s="30"/>
      <c r="AJ1598" s="30"/>
      <c r="AK1598" s="30"/>
      <c r="AL1598" s="13"/>
      <c r="AM1598" s="13"/>
      <c r="AN1598" s="13"/>
      <c r="AO1598" s="13"/>
      <c r="AP1598" s="13"/>
      <c r="AQ1598" s="14"/>
      <c r="AR1598" s="15"/>
    </row>
    <row r="1599" spans="1:44" s="17" customFormat="1" ht="30.95" hidden="1" customHeight="1" x14ac:dyDescent="0.2">
      <c r="A1599" s="343" t="s">
        <v>1208</v>
      </c>
      <c r="B1599" s="344" t="s">
        <v>445</v>
      </c>
      <c r="C1599" s="345"/>
      <c r="D1599" s="31"/>
      <c r="E1599" s="31"/>
      <c r="F1599" s="268"/>
      <c r="G1599" s="269"/>
      <c r="H1599" s="269"/>
      <c r="I1599" s="270"/>
      <c r="J1599" s="32" t="s">
        <v>448</v>
      </c>
      <c r="K1599" s="270"/>
      <c r="L1599" s="270"/>
      <c r="M1599" s="39"/>
      <c r="N1599" s="39"/>
      <c r="O1599" s="47"/>
      <c r="P1599" s="57"/>
      <c r="Q1599" s="276"/>
      <c r="R1599" s="277"/>
      <c r="S1599" s="277"/>
      <c r="T1599" s="40"/>
      <c r="U1599" s="278"/>
      <c r="V1599" s="269"/>
      <c r="W1599" s="269"/>
      <c r="X1599" s="275"/>
      <c r="Y1599" s="269"/>
      <c r="Z1599" s="357"/>
      <c r="AA1599" s="207"/>
      <c r="AB1599" s="369"/>
      <c r="AC1599" s="370"/>
      <c r="AD1599" s="332"/>
      <c r="AE1599" s="216"/>
      <c r="AF1599" s="43"/>
      <c r="AG1599" s="47"/>
      <c r="AH1599" s="30"/>
      <c r="AI1599" s="30"/>
      <c r="AJ1599" s="30"/>
      <c r="AK1599" s="30"/>
      <c r="AL1599" s="13"/>
      <c r="AM1599" s="13"/>
      <c r="AN1599" s="13"/>
      <c r="AO1599" s="13"/>
      <c r="AP1599" s="13"/>
      <c r="AQ1599" s="14"/>
      <c r="AR1599" s="15"/>
    </row>
    <row r="1600" spans="1:44" s="17" customFormat="1" ht="30.95" hidden="1" customHeight="1" x14ac:dyDescent="0.2">
      <c r="A1600" s="343"/>
      <c r="B1600" s="344"/>
      <c r="C1600" s="345"/>
      <c r="D1600" s="31"/>
      <c r="E1600" s="31"/>
      <c r="F1600" s="268"/>
      <c r="G1600" s="269"/>
      <c r="H1600" s="269"/>
      <c r="I1600" s="270"/>
      <c r="J1600" s="32"/>
      <c r="K1600" s="270"/>
      <c r="L1600" s="270"/>
      <c r="M1600" s="39"/>
      <c r="N1600" s="39"/>
      <c r="O1600" s="47"/>
      <c r="P1600" s="57"/>
      <c r="Q1600" s="276"/>
      <c r="R1600" s="277"/>
      <c r="S1600" s="277"/>
      <c r="T1600" s="40"/>
      <c r="U1600" s="278"/>
      <c r="V1600" s="269"/>
      <c r="W1600" s="269"/>
      <c r="X1600" s="275"/>
      <c r="Y1600" s="269"/>
      <c r="Z1600" s="357"/>
      <c r="AA1600" s="207"/>
      <c r="AB1600" s="369"/>
      <c r="AC1600" s="370"/>
      <c r="AD1600" s="332"/>
      <c r="AE1600" s="216"/>
      <c r="AF1600" s="43"/>
      <c r="AG1600" s="47"/>
      <c r="AH1600" s="30"/>
      <c r="AI1600" s="30"/>
      <c r="AJ1600" s="30"/>
      <c r="AK1600" s="30"/>
      <c r="AL1600" s="13"/>
      <c r="AM1600" s="13"/>
      <c r="AN1600" s="13"/>
      <c r="AO1600" s="13"/>
      <c r="AP1600" s="13"/>
      <c r="AQ1600" s="14"/>
      <c r="AR1600" s="15"/>
    </row>
    <row r="1601" spans="1:44" s="17" customFormat="1" ht="30.95" hidden="1" customHeight="1" x14ac:dyDescent="0.2">
      <c r="A1601" s="343" t="s">
        <v>1222</v>
      </c>
      <c r="B1601" s="344" t="s">
        <v>446</v>
      </c>
      <c r="C1601" s="345"/>
      <c r="D1601" s="31"/>
      <c r="E1601" s="31"/>
      <c r="F1601" s="268"/>
      <c r="G1601" s="269"/>
      <c r="H1601" s="269"/>
      <c r="I1601" s="270"/>
      <c r="J1601" s="32" t="s">
        <v>448</v>
      </c>
      <c r="K1601" s="270"/>
      <c r="L1601" s="270"/>
      <c r="M1601" s="39"/>
      <c r="N1601" s="39"/>
      <c r="O1601" s="47"/>
      <c r="P1601" s="57"/>
      <c r="Q1601" s="276"/>
      <c r="R1601" s="277"/>
      <c r="S1601" s="277"/>
      <c r="T1601" s="40"/>
      <c r="U1601" s="278"/>
      <c r="V1601" s="269"/>
      <c r="W1601" s="269"/>
      <c r="X1601" s="275"/>
      <c r="Y1601" s="269"/>
      <c r="Z1601" s="357"/>
      <c r="AA1601" s="207"/>
      <c r="AB1601" s="369"/>
      <c r="AC1601" s="370"/>
      <c r="AD1601" s="332"/>
      <c r="AE1601" s="216"/>
      <c r="AF1601" s="43"/>
      <c r="AG1601" s="47"/>
      <c r="AH1601" s="30"/>
      <c r="AI1601" s="30"/>
      <c r="AJ1601" s="30"/>
      <c r="AK1601" s="30"/>
      <c r="AL1601" s="13"/>
      <c r="AM1601" s="13"/>
      <c r="AN1601" s="13"/>
      <c r="AO1601" s="13"/>
      <c r="AP1601" s="13"/>
      <c r="AQ1601" s="14"/>
      <c r="AR1601" s="15"/>
    </row>
    <row r="1602" spans="1:44" s="17" customFormat="1" ht="30.95" hidden="1" customHeight="1" x14ac:dyDescent="0.2">
      <c r="A1602" s="343"/>
      <c r="B1602" s="344"/>
      <c r="C1602" s="345"/>
      <c r="D1602" s="398"/>
      <c r="E1602" s="31"/>
      <c r="F1602" s="268"/>
      <c r="G1602" s="269"/>
      <c r="H1602" s="269"/>
      <c r="I1602" s="270"/>
      <c r="J1602" s="32"/>
      <c r="K1602" s="270"/>
      <c r="L1602" s="270"/>
      <c r="M1602" s="39"/>
      <c r="N1602" s="39"/>
      <c r="O1602" s="47"/>
      <c r="P1602" s="350"/>
      <c r="Q1602" s="276"/>
      <c r="R1602" s="277"/>
      <c r="S1602" s="277"/>
      <c r="T1602" s="40"/>
      <c r="U1602" s="278"/>
      <c r="V1602" s="269"/>
      <c r="W1602" s="269"/>
      <c r="X1602" s="275"/>
      <c r="Y1602" s="269"/>
      <c r="Z1602" s="357"/>
      <c r="AA1602" s="207"/>
      <c r="AB1602" s="369"/>
      <c r="AC1602" s="370"/>
      <c r="AD1602" s="332"/>
      <c r="AE1602" s="371"/>
      <c r="AF1602" s="355"/>
      <c r="AG1602" s="349"/>
      <c r="AH1602" s="30"/>
      <c r="AI1602" s="30"/>
      <c r="AJ1602" s="30"/>
      <c r="AK1602" s="30"/>
      <c r="AL1602" s="13"/>
      <c r="AM1602" s="13"/>
      <c r="AN1602" s="13"/>
      <c r="AO1602" s="13"/>
      <c r="AP1602" s="13"/>
      <c r="AQ1602" s="14"/>
      <c r="AR1602" s="15"/>
    </row>
    <row r="1603" spans="1:44" s="17" customFormat="1" ht="30.95" hidden="1" customHeight="1" x14ac:dyDescent="0.2">
      <c r="A1603" s="343" t="s">
        <v>2912</v>
      </c>
      <c r="B1603" s="344" t="s">
        <v>2913</v>
      </c>
      <c r="C1603" s="345"/>
      <c r="D1603" s="31">
        <v>3758334</v>
      </c>
      <c r="E1603" s="31">
        <v>4170141</v>
      </c>
      <c r="F1603" s="268" t="str">
        <f>IF(D1603="","",VLOOKUP(D1603,契約台帳!$A$3:$K$4986,6,FALSE)&amp;VLOOKUP(D1603,契約台帳!$A$3:$K$4986,7,FALSE)&amp;VLOOKUP(D1603,契約台帳!$A$3:$K$4986,8,FALSE)&amp;VLOOKUP(D1603,契約台帳!$A$3:$K$4986,9,FALSE)&amp;VLOOKUP(D1603,契約台帳!$A$3:$K$4986,11,FALSE))</f>
        <v>3SNMLBMSF</v>
      </c>
      <c r="G1603" s="269" t="str">
        <f>IF(D1603="","",VLOOKUP(F1603,製品マスタ!$G$5:$H$5002,2,FALSE))</f>
        <v>S</v>
      </c>
      <c r="H1603" s="269" t="str">
        <f>IF(D1603="","",VLOOKUP(F1603,製品マスタ!$G$5:$K$5002,5,FALSE))</f>
        <v>MSF</v>
      </c>
      <c r="I1603" s="270" t="str">
        <f>IF(D1603="","",VLOOKUP(F1603,製品マスタ!$G$5:$L$5002,6,FALSE))</f>
        <v>メタルミー　Ｓ</v>
      </c>
      <c r="J1603" s="32" t="s">
        <v>464</v>
      </c>
      <c r="K1603" s="270">
        <f>IF(D1603="","",VLOOKUP(D1603,契約台帳!$A$3:$L$4986,12,FALSE))</f>
        <v>25</v>
      </c>
      <c r="L1603" s="270" t="str">
        <f>IF(D1603="","",INDEX(製品マスタ!$Q$5:$Q$5002,MATCH(F1603&amp;K1603,製品マスタ!$AO$5:$AO$5002,0)))</f>
        <v>T62M</v>
      </c>
      <c r="M1603" s="39">
        <v>1240</v>
      </c>
      <c r="N1603" s="39">
        <v>12200</v>
      </c>
      <c r="O1603" s="47">
        <v>1</v>
      </c>
      <c r="P1603" s="356">
        <v>45457</v>
      </c>
      <c r="Q1603" s="276">
        <f>IF(D1603="","",IF(J1603="リード付け",M1603,VLOOKUP(D1603,契約台帳!$A$3:$N$4986,14,FALSE)))</f>
        <v>1240</v>
      </c>
      <c r="R1603" s="277">
        <f>IF(D1603="","",IF(J1603="リード付け",M1603,VLOOKUP(D1603,契約台帳!$A$3:$O$4986,15,FALSE)))</f>
        <v>1240</v>
      </c>
      <c r="S1603" s="277">
        <f>IF(D1603="","",IF(J1603="リード付け",N1603,VLOOKUP(D1603,契約台帳!$A$3:$P$4986,16,FALSE)))</f>
        <v>12200</v>
      </c>
      <c r="T1603" s="40">
        <v>1</v>
      </c>
      <c r="U1603" s="278">
        <f ca="1">IF(D1603="","",IF(OFFSET(D1603,-2,0)=D1603,"",VLOOKUP(D1603,契約台帳!$A$3:$R$4986,18,FALSE)))</f>
        <v>6</v>
      </c>
      <c r="V1603" s="269" t="str">
        <f>IF(J1603="巻返し",VLOOKUP(F1603&amp;K1603&amp;M1603,製品マスタ!$M$5:$AD$5002,18,FALSE),IF(J1603="リード付け","原反コア",IF(J1603="スリット",VLOOKUP(F1603&amp;K1603&amp;Q1603,製品マスタ!$N$5:$AD$5002,17,FALSE),"")))</f>
        <v>原反コア</v>
      </c>
      <c r="W1603" s="269" t="str">
        <f>IF(J1603="巻返し",VLOOKUP(F1603&amp;K1603&amp;M1603,製品マスタ!$M$5:$AE$5002,19,FALSE),IF(J1603="リード付け","-",IF(J1603="スリット",VLOOKUP(F1603&amp;K1603&amp;Q1603,製品マスタ!$N$5:$AE$5002,18,FALSE),"")))</f>
        <v>-</v>
      </c>
      <c r="X1603" s="275">
        <f>IF(D1603="","",VLOOKUP(D1603,契約台帳!$A$3:$Q$4986,17,FALSE))</f>
        <v>1</v>
      </c>
      <c r="Y1603" s="269" t="str">
        <f>IF(D1603="","",VLOOKUP(D1603,契約台帳!$A$3:$E$4986,5,FALSE))</f>
        <v>日精㈱東京支店</v>
      </c>
      <c r="Z1603" s="350"/>
      <c r="AA1603" s="424"/>
      <c r="AB1603" s="352"/>
      <c r="AC1603" s="353"/>
      <c r="AD1603" s="54"/>
      <c r="AE1603" s="354">
        <f>+M1603*N1603*O1603/1000</f>
        <v>15128</v>
      </c>
      <c r="AF1603" s="355"/>
      <c r="AG1603" s="349"/>
      <c r="AH1603" s="30"/>
      <c r="AI1603" s="30"/>
      <c r="AJ1603" s="30"/>
      <c r="AK1603" s="30"/>
      <c r="AL1603" s="13"/>
      <c r="AM1603" s="13"/>
      <c r="AN1603" s="13"/>
      <c r="AO1603" s="13"/>
      <c r="AP1603" s="13"/>
      <c r="AQ1603" s="14"/>
      <c r="AR1603" s="15"/>
    </row>
    <row r="1604" spans="1:44" s="17" customFormat="1" ht="30.95" hidden="1" customHeight="1" x14ac:dyDescent="0.2">
      <c r="A1604" s="343"/>
      <c r="B1604" s="344"/>
      <c r="C1604" s="345"/>
      <c r="D1604" s="398"/>
      <c r="E1604" s="31"/>
      <c r="F1604" s="268"/>
      <c r="G1604" s="269"/>
      <c r="H1604" s="269"/>
      <c r="I1604" s="270"/>
      <c r="J1604" s="32"/>
      <c r="K1604" s="270"/>
      <c r="L1604" s="270"/>
      <c r="M1604" s="39"/>
      <c r="N1604" s="39"/>
      <c r="O1604" s="47"/>
      <c r="P1604" s="57"/>
      <c r="Q1604" s="276"/>
      <c r="R1604" s="277"/>
      <c r="S1604" s="277"/>
      <c r="T1604" s="40"/>
      <c r="U1604" s="278"/>
      <c r="V1604" s="269"/>
      <c r="W1604" s="269"/>
      <c r="X1604" s="275"/>
      <c r="Y1604" s="269"/>
      <c r="Z1604" s="357"/>
      <c r="AA1604" s="207"/>
      <c r="AB1604" s="369"/>
      <c r="AC1604" s="370"/>
      <c r="AD1604" s="332"/>
      <c r="AE1604" s="216"/>
      <c r="AF1604" s="43"/>
      <c r="AG1604" s="47"/>
      <c r="AH1604" s="30"/>
      <c r="AI1604" s="30"/>
      <c r="AJ1604" s="30"/>
      <c r="AK1604" s="30"/>
      <c r="AL1604" s="13"/>
      <c r="AM1604" s="13"/>
      <c r="AN1604" s="13"/>
      <c r="AO1604" s="13"/>
      <c r="AP1604" s="13"/>
      <c r="AQ1604" s="14"/>
      <c r="AR1604" s="15"/>
    </row>
    <row r="1605" spans="1:44" s="17" customFormat="1" ht="30.95" hidden="1" customHeight="1" x14ac:dyDescent="0.2">
      <c r="A1605" s="343"/>
      <c r="B1605" s="344"/>
      <c r="C1605" s="345"/>
      <c r="D1605" s="31">
        <v>3758058</v>
      </c>
      <c r="E1605" s="31">
        <v>4170140</v>
      </c>
      <c r="F1605" s="268" t="str">
        <f>IF(D1605="","",VLOOKUP(D1605,契約台帳!$A$3:$K$4986,6,FALSE)&amp;VLOOKUP(D1605,契約台帳!$A$3:$K$4986,7,FALSE)&amp;VLOOKUP(D1605,契約台帳!$A$3:$K$4986,8,FALSE)&amp;VLOOKUP(D1605,契約台帳!$A$3:$K$4986,9,FALSE)&amp;VLOOKUP(D1605,契約台帳!$A$3:$K$4986,11,FALSE))</f>
        <v>3SNMLBMSF</v>
      </c>
      <c r="G1605" s="269" t="str">
        <f>IF(D1605="","",VLOOKUP(F1605,製品マスタ!$G$5:$H$5002,2,FALSE))</f>
        <v>S</v>
      </c>
      <c r="H1605" s="269" t="str">
        <f>IF(D1605="","",VLOOKUP(F1605,製品マスタ!$G$5:$K$5002,5,FALSE))</f>
        <v>MSF</v>
      </c>
      <c r="I1605" s="270" t="str">
        <f>IF(D1605="","",VLOOKUP(F1605,製品マスタ!$G$5:$L$5002,6,FALSE))</f>
        <v>メタルミー　Ｓ</v>
      </c>
      <c r="J1605" s="32" t="s">
        <v>464</v>
      </c>
      <c r="K1605" s="270">
        <f>IF(D1605="","",VLOOKUP(D1605,契約台帳!$A$3:$L$4986,12,FALSE))</f>
        <v>25</v>
      </c>
      <c r="L1605" s="270" t="str">
        <f>IF(D1605="","",INDEX(製品マスタ!$Q$5:$Q$5002,MATCH(F1605&amp;K1605,製品マスタ!$AO$5:$AO$5002,0)))</f>
        <v>T62M</v>
      </c>
      <c r="M1605" s="39">
        <v>1020</v>
      </c>
      <c r="N1605" s="39">
        <v>12100</v>
      </c>
      <c r="O1605" s="47">
        <v>1</v>
      </c>
      <c r="P1605" s="356">
        <v>45457</v>
      </c>
      <c r="Q1605" s="276">
        <f>IF(D1605="","",IF(J1605="リード付け",M1605,VLOOKUP(D1605,契約台帳!$A$3:$N$4986,14,FALSE)))</f>
        <v>1020</v>
      </c>
      <c r="R1605" s="277">
        <f>IF(D1605="","",IF(J1605="リード付け",M1605,VLOOKUP(D1605,契約台帳!$A$3:$O$4986,15,FALSE)))</f>
        <v>1020</v>
      </c>
      <c r="S1605" s="277">
        <f>IF(D1605="","",IF(J1605="リード付け",N1605,VLOOKUP(D1605,契約台帳!$A$3:$P$4986,16,FALSE)))</f>
        <v>12100</v>
      </c>
      <c r="T1605" s="40">
        <v>1</v>
      </c>
      <c r="U1605" s="278">
        <f ca="1">IF(D1605="","",IF(OFFSET(D1605,-2,0)=D1605,"",VLOOKUP(D1605,契約台帳!$A$3:$R$4986,18,FALSE)))</f>
        <v>12</v>
      </c>
      <c r="V1605" s="269" t="str">
        <f>IF(J1605="巻返し",VLOOKUP(F1605&amp;K1605&amp;M1605,製品マスタ!$M$5:$AD$5002,18,FALSE),IF(J1605="リード付け","原反コア",IF(J1605="スリット",VLOOKUP(F1605&amp;K1605&amp;Q1605,製品マスタ!$N$5:$AD$5002,17,FALSE),"")))</f>
        <v>原反コア</v>
      </c>
      <c r="W1605" s="269" t="str">
        <f>IF(J1605="巻返し",VLOOKUP(F1605&amp;K1605&amp;M1605,製品マスタ!$M$5:$AE$5002,19,FALSE),IF(J1605="リード付け","-",IF(J1605="スリット",VLOOKUP(F1605&amp;K1605&amp;Q1605,製品マスタ!$N$5:$AE$5002,18,FALSE),"")))</f>
        <v>-</v>
      </c>
      <c r="X1605" s="275">
        <f>IF(D1605="","",VLOOKUP(D1605,契約台帳!$A$3:$Q$4986,17,FALSE))</f>
        <v>1</v>
      </c>
      <c r="Y1605" s="269" t="str">
        <f>IF(D1605="","",VLOOKUP(D1605,契約台帳!$A$3:$E$4986,5,FALSE))</f>
        <v>日東シンコー㈱</v>
      </c>
      <c r="Z1605" s="350"/>
      <c r="AA1605" s="424"/>
      <c r="AB1605" s="352"/>
      <c r="AC1605" s="353"/>
      <c r="AD1605" s="54"/>
      <c r="AE1605" s="354">
        <f>+M1605*N1605*O1605/1000</f>
        <v>12342</v>
      </c>
      <c r="AF1605" s="355"/>
      <c r="AG1605" s="349"/>
      <c r="AH1605" s="30"/>
      <c r="AI1605" s="30"/>
      <c r="AJ1605" s="30"/>
      <c r="AK1605" s="30"/>
      <c r="AL1605" s="13"/>
      <c r="AM1605" s="13"/>
      <c r="AN1605" s="13"/>
      <c r="AO1605" s="13"/>
      <c r="AP1605" s="13"/>
      <c r="AQ1605" s="14"/>
      <c r="AR1605" s="15"/>
    </row>
    <row r="1606" spans="1:44" s="17" customFormat="1" ht="30.95" hidden="1" customHeight="1" x14ac:dyDescent="0.2">
      <c r="A1606" s="343"/>
      <c r="B1606" s="344"/>
      <c r="C1606" s="345"/>
      <c r="D1606" s="398"/>
      <c r="E1606" s="31"/>
      <c r="F1606" s="268"/>
      <c r="G1606" s="269"/>
      <c r="H1606" s="269"/>
      <c r="I1606" s="270"/>
      <c r="J1606" s="32"/>
      <c r="K1606" s="270"/>
      <c r="L1606" s="270"/>
      <c r="M1606" s="39"/>
      <c r="N1606" s="39"/>
      <c r="O1606" s="47"/>
      <c r="P1606" s="350"/>
      <c r="Q1606" s="276"/>
      <c r="R1606" s="277"/>
      <c r="S1606" s="277"/>
      <c r="T1606" s="40"/>
      <c r="U1606" s="278"/>
      <c r="V1606" s="269"/>
      <c r="W1606" s="269"/>
      <c r="X1606" s="275"/>
      <c r="Y1606" s="269"/>
      <c r="Z1606" s="357"/>
      <c r="AA1606" s="207"/>
      <c r="AB1606" s="369"/>
      <c r="AC1606" s="370"/>
      <c r="AD1606" s="332"/>
      <c r="AE1606" s="371"/>
      <c r="AF1606" s="355"/>
      <c r="AG1606" s="349"/>
      <c r="AH1606" s="30"/>
      <c r="AI1606" s="30"/>
      <c r="AJ1606" s="30"/>
      <c r="AK1606" s="30"/>
      <c r="AL1606" s="13"/>
      <c r="AM1606" s="13"/>
      <c r="AN1606" s="13"/>
      <c r="AO1606" s="13"/>
      <c r="AP1606" s="13"/>
      <c r="AQ1606" s="14"/>
      <c r="AR1606" s="15"/>
    </row>
    <row r="1607" spans="1:44" s="17" customFormat="1" ht="30.95" hidden="1" customHeight="1" x14ac:dyDescent="0.2">
      <c r="A1607" s="37" t="s">
        <v>1210</v>
      </c>
      <c r="B1607" s="38" t="s">
        <v>688</v>
      </c>
      <c r="C1607" s="45"/>
      <c r="D1607" s="31">
        <v>3755579</v>
      </c>
      <c r="E1607" s="31">
        <v>4151679</v>
      </c>
      <c r="F1607" s="268" t="str">
        <f>IF(D1607="","",VLOOKUP(D1607,契約台帳!$A$3:$K$4986,6,FALSE)&amp;VLOOKUP(D1607,契約台帳!$A$3:$K$4986,7,FALSE)&amp;VLOOKUP(D1607,契約台帳!$A$3:$K$4986,8,FALSE)&amp;VLOOKUP(D1607,契約台帳!$A$3:$K$4986,9,FALSE)&amp;VLOOKUP(D1607,契約台帳!$A$3:$K$4986,11,FALSE))</f>
        <v>3UNMLBMBSF</v>
      </c>
      <c r="G1607" s="269" t="str">
        <f>IF(D1607="","",VLOOKUP(F1607,製品マスタ!$G$5:$H$5002,2,FALSE))</f>
        <v>U</v>
      </c>
      <c r="H1607" s="269" t="str">
        <f>IF(D1607="","",VLOOKUP(F1607,製品マスタ!$G$5:$K$5002,5,FALSE))</f>
        <v>MBSF</v>
      </c>
      <c r="I1607" s="270" t="str">
        <f>IF(D1607="","",VLOOKUP(F1607,製品マスタ!$G$5:$L$5002,6,FALSE))</f>
        <v>メタルミー ＢＳ</v>
      </c>
      <c r="J1607" s="32" t="s">
        <v>463</v>
      </c>
      <c r="K1607" s="270">
        <f>IF(D1607="","",VLOOKUP(D1607,契約台帳!$A$3:$L$4986,12,FALSE))</f>
        <v>12</v>
      </c>
      <c r="L1607" s="270" t="str">
        <f>IF(D1607="","",INDEX(製品マスタ!$Q$5:$Q$5002,MATCH(F1607&amp;K1607,製品マスタ!$AO$5:$AO$5002,0)))</f>
        <v>F68</v>
      </c>
      <c r="M1607" s="39">
        <v>1350</v>
      </c>
      <c r="N1607" s="39">
        <v>12800</v>
      </c>
      <c r="O1607" s="47">
        <v>1</v>
      </c>
      <c r="P1607" s="57"/>
      <c r="Q1607" s="276">
        <f>IF(D1607="","",IF(J1607="リード付け",M1607,VLOOKUP(D1607,契約台帳!$A$3:$N$4986,14,FALSE)))</f>
        <v>600</v>
      </c>
      <c r="R1607" s="277">
        <f>IF(D1607="","",IF(J1607="リード付け",M1607,VLOOKUP(D1607,契約台帳!$A$3:$O$4986,15,FALSE)))</f>
        <v>600</v>
      </c>
      <c r="S1607" s="277">
        <f>IF(D1607="","",IF(J1607="リード付け",N1607,VLOOKUP(D1607,契約台帳!$A$3:$P$4986,16,FALSE)))</f>
        <v>3000</v>
      </c>
      <c r="T1607" s="40">
        <v>8</v>
      </c>
      <c r="U1607" s="278">
        <f ca="1">IF(D1607="","",IF(OFFSET(D1607,-2,0)=D1607,"",VLOOKUP(D1607,契約台帳!$A$3:$R$4986,18,FALSE)))</f>
        <v>8</v>
      </c>
      <c r="V1607" s="269" t="str">
        <f>IF(J1607="巻返し",VLOOKUP(F1607&amp;K1607&amp;M1607,製品マスタ!$M$5:$AD$5002,18,FALSE),IF(J1607="リード付け","原反コア",IF(J1607="スリット",VLOOKUP(F1607&amp;K1607&amp;Q1607,製品マスタ!$N$5:$AD$5002,17,FALSE),"")))</f>
        <v>3ｲﾝﾁSｺｱ</v>
      </c>
      <c r="W1607" s="269">
        <f>IF(J1607="巻返し",VLOOKUP(F1607&amp;K1607&amp;M1607,製品マスタ!$M$5:$AE$5002,19,FALSE),IF(J1607="リード付け","-",IF(J1607="スリット",VLOOKUP(F1607&amp;K1607&amp;Q1607,製品マスタ!$N$5:$AE$5002,18,FALSE),"")))</f>
        <v>605</v>
      </c>
      <c r="X1607" s="275">
        <f>IF(D1607="","",VLOOKUP(D1607,契約台帳!$A$3:$Q$4986,17,FALSE))</f>
        <v>1</v>
      </c>
      <c r="Y1607" s="269" t="str">
        <f>IF(D1607="","",VLOOKUP(D1607,契約台帳!$A$3:$E$4986,5,FALSE))</f>
        <v>日東電工㈱豊橋工場</v>
      </c>
      <c r="Z1607" s="57" t="s">
        <v>1016</v>
      </c>
      <c r="AA1607" s="207" t="s">
        <v>774</v>
      </c>
      <c r="AB1607" s="33"/>
      <c r="AC1607" s="189"/>
      <c r="AD1607" s="54"/>
      <c r="AE1607" s="55"/>
      <c r="AF1607" s="43"/>
      <c r="AG1607" s="47"/>
      <c r="AH1607" s="30"/>
      <c r="AI1607" s="30"/>
      <c r="AJ1607" s="30"/>
      <c r="AK1607" s="30"/>
      <c r="AL1607" s="13"/>
      <c r="AM1607" s="13"/>
      <c r="AN1607" s="13"/>
      <c r="AO1607" s="13"/>
      <c r="AP1607" s="13"/>
      <c r="AQ1607" s="14"/>
      <c r="AR1607" s="15"/>
    </row>
    <row r="1608" spans="1:44" s="17" customFormat="1" ht="30.95" hidden="1" customHeight="1" x14ac:dyDescent="0.2">
      <c r="A1608" s="343"/>
      <c r="B1608" s="344"/>
      <c r="C1608" s="345"/>
      <c r="D1608" s="398"/>
      <c r="E1608" s="31"/>
      <c r="F1608" s="268"/>
      <c r="G1608" s="269"/>
      <c r="H1608" s="269"/>
      <c r="I1608" s="270"/>
      <c r="J1608" s="32"/>
      <c r="K1608" s="270"/>
      <c r="L1608" s="270"/>
      <c r="M1608" s="39"/>
      <c r="N1608" s="39"/>
      <c r="O1608" s="47"/>
      <c r="P1608" s="57"/>
      <c r="Q1608" s="276"/>
      <c r="R1608" s="277"/>
      <c r="S1608" s="277"/>
      <c r="T1608" s="40"/>
      <c r="U1608" s="278"/>
      <c r="V1608" s="269"/>
      <c r="W1608" s="269"/>
      <c r="X1608" s="275"/>
      <c r="Y1608" s="269"/>
      <c r="Z1608" s="357"/>
      <c r="AA1608" s="207"/>
      <c r="AB1608" s="369"/>
      <c r="AC1608" s="370"/>
      <c r="AD1608" s="332"/>
      <c r="AE1608" s="216"/>
      <c r="AF1608" s="43"/>
      <c r="AG1608" s="47"/>
      <c r="AH1608" s="30"/>
      <c r="AI1608" s="30"/>
      <c r="AJ1608" s="30"/>
      <c r="AK1608" s="30"/>
      <c r="AL1608" s="13"/>
      <c r="AM1608" s="13"/>
      <c r="AN1608" s="13"/>
      <c r="AO1608" s="13"/>
      <c r="AP1608" s="13"/>
      <c r="AQ1608" s="14"/>
      <c r="AR1608" s="15"/>
    </row>
    <row r="1609" spans="1:44" s="17" customFormat="1" ht="30.95" hidden="1" customHeight="1" x14ac:dyDescent="0.2">
      <c r="A1609" s="320" t="s">
        <v>1223</v>
      </c>
      <c r="B1609" s="321" t="s">
        <v>442</v>
      </c>
      <c r="C1609" s="345"/>
      <c r="D1609" s="398">
        <v>3758061</v>
      </c>
      <c r="E1609" s="31">
        <v>4151713</v>
      </c>
      <c r="F1609" s="268" t="str">
        <f>IF(D1609="","",VLOOKUP(D1609,契約台帳!$A$3:$K$4986,6,FALSE)&amp;VLOOKUP(D1609,契約台帳!$A$3:$K$4986,7,FALSE)&amp;VLOOKUP(D1609,契約台帳!$A$3:$K$4986,8,FALSE)&amp;VLOOKUP(D1609,契約台帳!$A$3:$K$4986,9,FALSE)&amp;VLOOKUP(D1609,契約台帳!$A$3:$K$4986,11,FALSE))</f>
        <v>3TYKNZMCR</v>
      </c>
      <c r="G1609" s="269" t="str">
        <f>IF(D1609="","",VLOOKUP(F1609,製品マスタ!$G$5:$H$5002,2,FALSE))</f>
        <v>T</v>
      </c>
      <c r="H1609" s="269" t="str">
        <f>IF(D1609="","",VLOOKUP(F1609,製品マスタ!$G$5:$K$5002,5,FALSE))</f>
        <v>MCR</v>
      </c>
      <c r="I1609" s="270" t="str">
        <f>IF(D1609="","",VLOOKUP(F1609,製品マスタ!$G$5:$L$5002,6,FALSE))</f>
        <v>Metalumy CR</v>
      </c>
      <c r="J1609" s="32" t="s">
        <v>447</v>
      </c>
      <c r="K1609" s="270">
        <f>IF(D1609="","",VLOOKUP(D1609,契約台帳!$A$3:$L$4986,12,FALSE))</f>
        <v>25</v>
      </c>
      <c r="L1609" s="270" t="str">
        <f>IF(D1609="","",INDEX(製品マスタ!$Q$5:$Q$5002,MATCH(F1609&amp;K1609,製品マスタ!$AO$5:$AO$5002,0)))</f>
        <v>S28M</v>
      </c>
      <c r="M1609" s="39">
        <v>1110</v>
      </c>
      <c r="N1609" s="39">
        <v>12100</v>
      </c>
      <c r="O1609" s="47">
        <v>3</v>
      </c>
      <c r="P1609" s="57"/>
      <c r="Q1609" s="276">
        <f>IF(D1609="","",IF(J1609="リード付け",M1609,VLOOKUP(D1609,契約台帳!$A$3:$N$4986,14,FALSE)))</f>
        <v>1050</v>
      </c>
      <c r="R1609" s="277">
        <f>IF(D1609="","",IF(J1609="リード付け",M1609,VLOOKUP(D1609,契約台帳!$A$3:$O$4986,15,FALSE)))</f>
        <v>1050</v>
      </c>
      <c r="S1609" s="277">
        <f>IF(D1609="","",IF(J1609="リード付け",N1609,VLOOKUP(D1609,契約台帳!$A$3:$P$4986,16,FALSE)))</f>
        <v>6000</v>
      </c>
      <c r="T1609" s="40">
        <v>6</v>
      </c>
      <c r="U1609" s="278">
        <f ca="1">IF(D1609="","",IF(OFFSET(D1609,-2,0)=D1609,"",VLOOKUP(D1609,契約台帳!$A$3:$R$4986,18,FALSE)))</f>
        <v>26</v>
      </c>
      <c r="V1609" s="269" t="str">
        <f>IF(J1609="巻返し",VLOOKUP(F1609&amp;K1609&amp;M1609,製品マスタ!$M$5:$AD$5002,18,FALSE),IF(J1609="リード付け","原反コア",IF(J1609="スリット",VLOOKUP(F1609&amp;K1609&amp;Q1609,製品マスタ!$N$5:$AD$5002,17,FALSE),"")))</f>
        <v>6ｲﾝﾁABS</v>
      </c>
      <c r="W1609" s="269">
        <f>IF(J1609="巻返し",VLOOKUP(F1609&amp;K1609&amp;M1609,製品マスタ!$M$5:$AE$5002,19,FALSE),IF(J1609="リード付け","-",IF(J1609="スリット",VLOOKUP(F1609&amp;K1609&amp;Q1609,製品マスタ!$N$5:$AE$5002,18,FALSE),"")))</f>
        <v>1250</v>
      </c>
      <c r="X1609" s="275">
        <f>IF(D1609="","",VLOOKUP(D1609,契約台帳!$A$3:$Q$4986,17,FALSE))</f>
        <v>2</v>
      </c>
      <c r="Y1609" s="269" t="str">
        <f>IF(D1609="","",VLOOKUP(D1609,契約台帳!$A$3:$E$4986,5,FALSE))</f>
        <v>日東電工㈱豊橋工場</v>
      </c>
      <c r="Z1609" s="357"/>
      <c r="AA1609" s="207" t="s">
        <v>2814</v>
      </c>
      <c r="AB1609" s="369"/>
      <c r="AC1609" s="370"/>
      <c r="AD1609" s="332" t="str">
        <f>IF(F1609="","",+F1609&amp;K1609)</f>
        <v>3TYKNZMCR25</v>
      </c>
      <c r="AE1609" s="216">
        <f>+M1609*N1609*O1609/1000</f>
        <v>40293</v>
      </c>
      <c r="AF1609" s="43">
        <v>83.7</v>
      </c>
      <c r="AG1609" s="47"/>
      <c r="AH1609" s="30"/>
      <c r="AI1609" s="30"/>
      <c r="AJ1609" s="30"/>
      <c r="AK1609" s="30"/>
      <c r="AL1609" s="13"/>
      <c r="AM1609" s="13"/>
      <c r="AN1609" s="13"/>
      <c r="AO1609" s="13"/>
      <c r="AP1609" s="13"/>
      <c r="AQ1609" s="14"/>
      <c r="AR1609" s="15"/>
    </row>
    <row r="1610" spans="1:44" s="17" customFormat="1" ht="30.95" hidden="1" customHeight="1" x14ac:dyDescent="0.2">
      <c r="A1610" s="343"/>
      <c r="B1610" s="344"/>
      <c r="C1610" s="345"/>
      <c r="D1610" s="398"/>
      <c r="E1610" s="31"/>
      <c r="F1610" s="268"/>
      <c r="G1610" s="269"/>
      <c r="H1610" s="269"/>
      <c r="I1610" s="270"/>
      <c r="J1610" s="32"/>
      <c r="K1610" s="270"/>
      <c r="L1610" s="270"/>
      <c r="M1610" s="39"/>
      <c r="N1610" s="39"/>
      <c r="O1610" s="47"/>
      <c r="P1610" s="57"/>
      <c r="Q1610" s="276"/>
      <c r="R1610" s="277"/>
      <c r="S1610" s="277"/>
      <c r="T1610" s="40"/>
      <c r="U1610" s="278"/>
      <c r="V1610" s="269"/>
      <c r="W1610" s="269"/>
      <c r="X1610" s="275"/>
      <c r="Y1610" s="269"/>
      <c r="Z1610" s="357"/>
      <c r="AA1610" s="207"/>
      <c r="AB1610" s="369"/>
      <c r="AC1610" s="370"/>
      <c r="AD1610" s="332"/>
      <c r="AE1610" s="216"/>
      <c r="AF1610" s="43"/>
      <c r="AG1610" s="47"/>
      <c r="AH1610" s="30"/>
      <c r="AI1610" s="30"/>
      <c r="AJ1610" s="30"/>
      <c r="AK1610" s="30"/>
      <c r="AL1610" s="13"/>
      <c r="AM1610" s="13"/>
      <c r="AN1610" s="13"/>
      <c r="AO1610" s="13"/>
      <c r="AP1610" s="13"/>
      <c r="AQ1610" s="14"/>
      <c r="AR1610" s="15"/>
    </row>
    <row r="1611" spans="1:44" s="17" customFormat="1" ht="30.95" hidden="1" customHeight="1" x14ac:dyDescent="0.2">
      <c r="A1611" s="320" t="s">
        <v>1224</v>
      </c>
      <c r="B1611" s="321" t="s">
        <v>443</v>
      </c>
      <c r="C1611" s="345"/>
      <c r="D1611" s="398">
        <v>3758061</v>
      </c>
      <c r="E1611" s="31">
        <v>4151713</v>
      </c>
      <c r="F1611" s="268" t="str">
        <f>IF(D1611="","",VLOOKUP(D1611,契約台帳!$A$3:$K$4986,6,FALSE)&amp;VLOOKUP(D1611,契約台帳!$A$3:$K$4986,7,FALSE)&amp;VLOOKUP(D1611,契約台帳!$A$3:$K$4986,8,FALSE)&amp;VLOOKUP(D1611,契約台帳!$A$3:$K$4986,9,FALSE)&amp;VLOOKUP(D1611,契約台帳!$A$3:$K$4986,11,FALSE))</f>
        <v>3TYKNZMCR</v>
      </c>
      <c r="G1611" s="269" t="str">
        <f>IF(D1611="","",VLOOKUP(F1611,製品マスタ!$G$5:$H$5002,2,FALSE))</f>
        <v>T</v>
      </c>
      <c r="H1611" s="269" t="str">
        <f>IF(D1611="","",VLOOKUP(F1611,製品マスタ!$G$5:$K$5002,5,FALSE))</f>
        <v>MCR</v>
      </c>
      <c r="I1611" s="270" t="str">
        <f>IF(D1611="","",VLOOKUP(F1611,製品マスタ!$G$5:$L$5002,6,FALSE))</f>
        <v>Metalumy CR</v>
      </c>
      <c r="J1611" s="32" t="s">
        <v>447</v>
      </c>
      <c r="K1611" s="270">
        <f>IF(D1611="","",VLOOKUP(D1611,契約台帳!$A$3:$L$4986,12,FALSE))</f>
        <v>25</v>
      </c>
      <c r="L1611" s="270" t="str">
        <f>IF(D1611="","",INDEX(製品マスタ!$Q$5:$Q$5002,MATCH(F1611&amp;K1611,製品マスタ!$AO$5:$AO$5002,0)))</f>
        <v>S28M</v>
      </c>
      <c r="M1611" s="39">
        <v>1110</v>
      </c>
      <c r="N1611" s="39">
        <v>12100</v>
      </c>
      <c r="O1611" s="47">
        <v>5</v>
      </c>
      <c r="P1611" s="57"/>
      <c r="Q1611" s="276">
        <f>IF(D1611="","",IF(J1611="リード付け",M1611,VLOOKUP(D1611,契約台帳!$A$3:$N$4986,14,FALSE)))</f>
        <v>1050</v>
      </c>
      <c r="R1611" s="277">
        <f>IF(D1611="","",IF(J1611="リード付け",M1611,VLOOKUP(D1611,契約台帳!$A$3:$O$4986,15,FALSE)))</f>
        <v>1050</v>
      </c>
      <c r="S1611" s="277">
        <f>IF(D1611="","",IF(J1611="リード付け",N1611,VLOOKUP(D1611,契約台帳!$A$3:$P$4986,16,FALSE)))</f>
        <v>6000</v>
      </c>
      <c r="T1611" s="40">
        <v>10</v>
      </c>
      <c r="U1611" s="278" t="str">
        <f ca="1">IF(D1611="","",IF(OFFSET(D1611,-2,0)=D1611,"",VLOOKUP(D1611,契約台帳!$A$3:$R$4986,18,FALSE)))</f>
        <v/>
      </c>
      <c r="V1611" s="269" t="str">
        <f>IF(J1611="巻返し",VLOOKUP(F1611&amp;K1611&amp;M1611,製品マスタ!$M$5:$AD$5002,18,FALSE),IF(J1611="リード付け","原反コア",IF(J1611="スリット",VLOOKUP(F1611&amp;K1611&amp;Q1611,製品マスタ!$N$5:$AD$5002,17,FALSE),"")))</f>
        <v>6ｲﾝﾁABS</v>
      </c>
      <c r="W1611" s="269">
        <f>IF(J1611="巻返し",VLOOKUP(F1611&amp;K1611&amp;M1611,製品マスタ!$M$5:$AE$5002,19,FALSE),IF(J1611="リード付け","-",IF(J1611="スリット",VLOOKUP(F1611&amp;K1611&amp;Q1611,製品マスタ!$N$5:$AE$5002,18,FALSE),"")))</f>
        <v>1250</v>
      </c>
      <c r="X1611" s="275">
        <f>IF(D1611="","",VLOOKUP(D1611,契約台帳!$A$3:$Q$4986,17,FALSE))</f>
        <v>2</v>
      </c>
      <c r="Y1611" s="269" t="str">
        <f>IF(D1611="","",VLOOKUP(D1611,契約台帳!$A$3:$E$4986,5,FALSE))</f>
        <v>日東電工㈱豊橋工場</v>
      </c>
      <c r="Z1611" s="357"/>
      <c r="AA1611" s="207" t="s">
        <v>2814</v>
      </c>
      <c r="AB1611" s="369"/>
      <c r="AC1611" s="370"/>
      <c r="AD1611" s="332" t="str">
        <f>IF(F1611="","",+F1611&amp;K1611)</f>
        <v>3TYKNZMCR25</v>
      </c>
      <c r="AE1611" s="216">
        <f>+M1611*N1611*O1611/1000</f>
        <v>67155</v>
      </c>
      <c r="AF1611" s="43">
        <v>83.7</v>
      </c>
      <c r="AG1611" s="47"/>
      <c r="AH1611" s="30"/>
      <c r="AI1611" s="30"/>
      <c r="AJ1611" s="30"/>
      <c r="AK1611" s="30"/>
      <c r="AL1611" s="13"/>
      <c r="AM1611" s="13"/>
      <c r="AN1611" s="13"/>
      <c r="AO1611" s="13"/>
      <c r="AP1611" s="13"/>
      <c r="AQ1611" s="14"/>
      <c r="AR1611" s="15"/>
    </row>
    <row r="1612" spans="1:44" s="17" customFormat="1" ht="30.95" hidden="1" customHeight="1" x14ac:dyDescent="0.2">
      <c r="A1612" s="343"/>
      <c r="B1612" s="344"/>
      <c r="C1612" s="345"/>
      <c r="D1612" s="398"/>
      <c r="E1612" s="31"/>
      <c r="F1612" s="268"/>
      <c r="G1612" s="269"/>
      <c r="H1612" s="269"/>
      <c r="I1612" s="270"/>
      <c r="J1612" s="32"/>
      <c r="K1612" s="270"/>
      <c r="L1612" s="270"/>
      <c r="M1612" s="39"/>
      <c r="N1612" s="39"/>
      <c r="O1612" s="47"/>
      <c r="P1612" s="57"/>
      <c r="Q1612" s="276"/>
      <c r="R1612" s="277"/>
      <c r="S1612" s="277"/>
      <c r="T1612" s="40"/>
      <c r="U1612" s="278"/>
      <c r="V1612" s="269"/>
      <c r="W1612" s="269"/>
      <c r="X1612" s="275"/>
      <c r="Y1612" s="269"/>
      <c r="Z1612" s="357"/>
      <c r="AA1612" s="207"/>
      <c r="AB1612" s="369"/>
      <c r="AC1612" s="370"/>
      <c r="AD1612" s="332"/>
      <c r="AE1612" s="216"/>
      <c r="AF1612" s="43"/>
      <c r="AG1612" s="47"/>
      <c r="AH1612" s="30"/>
      <c r="AI1612" s="30"/>
      <c r="AJ1612" s="30"/>
      <c r="AK1612" s="30"/>
      <c r="AL1612" s="13"/>
      <c r="AM1612" s="13"/>
      <c r="AN1612" s="13"/>
      <c r="AO1612" s="13"/>
      <c r="AP1612" s="13"/>
      <c r="AQ1612" s="14"/>
      <c r="AR1612" s="15"/>
    </row>
    <row r="1613" spans="1:44" s="17" customFormat="1" ht="30.95" hidden="1" customHeight="1" x14ac:dyDescent="0.2">
      <c r="A1613" s="320" t="s">
        <v>1241</v>
      </c>
      <c r="B1613" s="321" t="s">
        <v>444</v>
      </c>
      <c r="C1613" s="345"/>
      <c r="D1613" s="398">
        <v>3758061</v>
      </c>
      <c r="E1613" s="31">
        <v>4151713</v>
      </c>
      <c r="F1613" s="268" t="str">
        <f>IF(D1613="","",VLOOKUP(D1613,契約台帳!$A$3:$K$4986,6,FALSE)&amp;VLOOKUP(D1613,契約台帳!$A$3:$K$4986,7,FALSE)&amp;VLOOKUP(D1613,契約台帳!$A$3:$K$4986,8,FALSE)&amp;VLOOKUP(D1613,契約台帳!$A$3:$K$4986,9,FALSE)&amp;VLOOKUP(D1613,契約台帳!$A$3:$K$4986,11,FALSE))</f>
        <v>3TYKNZMCR</v>
      </c>
      <c r="G1613" s="269" t="str">
        <f>IF(D1613="","",VLOOKUP(F1613,製品マスタ!$G$5:$H$5002,2,FALSE))</f>
        <v>T</v>
      </c>
      <c r="H1613" s="269" t="str">
        <f>IF(D1613="","",VLOOKUP(F1613,製品マスタ!$G$5:$K$5002,5,FALSE))</f>
        <v>MCR</v>
      </c>
      <c r="I1613" s="270" t="str">
        <f>IF(D1613="","",VLOOKUP(F1613,製品マスタ!$G$5:$L$5002,6,FALSE))</f>
        <v>Metalumy CR</v>
      </c>
      <c r="J1613" s="32" t="s">
        <v>447</v>
      </c>
      <c r="K1613" s="270">
        <f>IF(D1613="","",VLOOKUP(D1613,契約台帳!$A$3:$L$4986,12,FALSE))</f>
        <v>25</v>
      </c>
      <c r="L1613" s="270" t="str">
        <f>IF(D1613="","",INDEX(製品マスタ!$Q$5:$Q$5002,MATCH(F1613&amp;K1613,製品マスタ!$AO$5:$AO$5002,0)))</f>
        <v>S28M</v>
      </c>
      <c r="M1613" s="39">
        <v>1110</v>
      </c>
      <c r="N1613" s="39">
        <v>12100</v>
      </c>
      <c r="O1613" s="47">
        <v>4</v>
      </c>
      <c r="P1613" s="57"/>
      <c r="Q1613" s="276">
        <f>IF(D1613="","",IF(J1613="リード付け",M1613,VLOOKUP(D1613,契約台帳!$A$3:$N$4986,14,FALSE)))</f>
        <v>1050</v>
      </c>
      <c r="R1613" s="277">
        <f>IF(D1613="","",IF(J1613="リード付け",M1613,VLOOKUP(D1613,契約台帳!$A$3:$O$4986,15,FALSE)))</f>
        <v>1050</v>
      </c>
      <c r="S1613" s="277">
        <f>IF(D1613="","",IF(J1613="リード付け",N1613,VLOOKUP(D1613,契約台帳!$A$3:$P$4986,16,FALSE)))</f>
        <v>6000</v>
      </c>
      <c r="T1613" s="40">
        <v>8</v>
      </c>
      <c r="U1613" s="278" t="str">
        <f ca="1">IF(D1613="","",IF(OFFSET(D1613,-2,0)=D1613,"",VLOOKUP(D1613,契約台帳!$A$3:$R$4986,18,FALSE)))</f>
        <v/>
      </c>
      <c r="V1613" s="269" t="str">
        <f>IF(J1613="巻返し",VLOOKUP(F1613&amp;K1613&amp;M1613,製品マスタ!$M$5:$AD$5002,18,FALSE),IF(J1613="リード付け","原反コア",IF(J1613="スリット",VLOOKUP(F1613&amp;K1613&amp;Q1613,製品マスタ!$N$5:$AD$5002,17,FALSE),"")))</f>
        <v>6ｲﾝﾁABS</v>
      </c>
      <c r="W1613" s="269">
        <f>IF(J1613="巻返し",VLOOKUP(F1613&amp;K1613&amp;M1613,製品マスタ!$M$5:$AE$5002,19,FALSE),IF(J1613="リード付け","-",IF(J1613="スリット",VLOOKUP(F1613&amp;K1613&amp;Q1613,製品マスタ!$N$5:$AE$5002,18,FALSE),"")))</f>
        <v>1250</v>
      </c>
      <c r="X1613" s="275">
        <f>IF(D1613="","",VLOOKUP(D1613,契約台帳!$A$3:$Q$4986,17,FALSE))</f>
        <v>2</v>
      </c>
      <c r="Y1613" s="269" t="str">
        <f>IF(D1613="","",VLOOKUP(D1613,契約台帳!$A$3:$E$4986,5,FALSE))</f>
        <v>日東電工㈱豊橋工場</v>
      </c>
      <c r="Z1613" s="357"/>
      <c r="AA1613" s="207" t="s">
        <v>2814</v>
      </c>
      <c r="AB1613" s="369"/>
      <c r="AC1613" s="370"/>
      <c r="AD1613" s="332" t="str">
        <f>IF(F1613="","",+F1613&amp;K1613)</f>
        <v>3TYKNZMCR25</v>
      </c>
      <c r="AE1613" s="216">
        <f>+M1613*N1613*O1613/1000</f>
        <v>53724</v>
      </c>
      <c r="AF1613" s="43">
        <v>83.7</v>
      </c>
      <c r="AG1613" s="47"/>
      <c r="AH1613" s="30"/>
      <c r="AI1613" s="30"/>
      <c r="AJ1613" s="30"/>
      <c r="AK1613" s="30"/>
      <c r="AL1613" s="13"/>
      <c r="AM1613" s="13"/>
      <c r="AN1613" s="13"/>
      <c r="AO1613" s="13"/>
      <c r="AP1613" s="13"/>
      <c r="AQ1613" s="14"/>
      <c r="AR1613" s="15"/>
    </row>
    <row r="1614" spans="1:44" s="17" customFormat="1" ht="30.95" hidden="1" customHeight="1" x14ac:dyDescent="0.2">
      <c r="A1614" s="343"/>
      <c r="B1614" s="344"/>
      <c r="C1614" s="345"/>
      <c r="D1614" s="398"/>
      <c r="E1614" s="31"/>
      <c r="F1614" s="268"/>
      <c r="G1614" s="269"/>
      <c r="H1614" s="269"/>
      <c r="I1614" s="270"/>
      <c r="J1614" s="32"/>
      <c r="K1614" s="270"/>
      <c r="L1614" s="270"/>
      <c r="M1614" s="39"/>
      <c r="N1614" s="39"/>
      <c r="O1614" s="47"/>
      <c r="P1614" s="57"/>
      <c r="Q1614" s="276"/>
      <c r="R1614" s="277"/>
      <c r="S1614" s="277"/>
      <c r="T1614" s="40"/>
      <c r="U1614" s="278"/>
      <c r="V1614" s="269"/>
      <c r="W1614" s="269"/>
      <c r="X1614" s="275"/>
      <c r="Y1614" s="269"/>
      <c r="Z1614" s="357"/>
      <c r="AA1614" s="207"/>
      <c r="AB1614" s="369"/>
      <c r="AC1614" s="370"/>
      <c r="AD1614" s="332"/>
      <c r="AE1614" s="216"/>
      <c r="AF1614" s="43"/>
      <c r="AG1614" s="47"/>
      <c r="AH1614" s="30"/>
      <c r="AI1614" s="30"/>
      <c r="AJ1614" s="30"/>
      <c r="AK1614" s="30"/>
      <c r="AL1614" s="13"/>
      <c r="AM1614" s="13"/>
      <c r="AN1614" s="13"/>
      <c r="AO1614" s="13"/>
      <c r="AP1614" s="13"/>
      <c r="AQ1614" s="14"/>
      <c r="AR1614" s="15"/>
    </row>
    <row r="1615" spans="1:44" s="17" customFormat="1" ht="30.95" hidden="1" customHeight="1" x14ac:dyDescent="0.2">
      <c r="A1615" s="343" t="s">
        <v>1243</v>
      </c>
      <c r="B1615" s="344" t="s">
        <v>445</v>
      </c>
      <c r="C1615" s="345"/>
      <c r="D1615" s="31"/>
      <c r="E1615" s="31"/>
      <c r="F1615" s="268"/>
      <c r="G1615" s="269"/>
      <c r="H1615" s="269"/>
      <c r="I1615" s="270"/>
      <c r="J1615" s="32" t="s">
        <v>448</v>
      </c>
      <c r="K1615" s="270"/>
      <c r="L1615" s="270"/>
      <c r="M1615" s="39"/>
      <c r="N1615" s="39"/>
      <c r="O1615" s="47"/>
      <c r="P1615" s="57"/>
      <c r="Q1615" s="276"/>
      <c r="R1615" s="277"/>
      <c r="S1615" s="277"/>
      <c r="T1615" s="40"/>
      <c r="U1615" s="278"/>
      <c r="V1615" s="269"/>
      <c r="W1615" s="269"/>
      <c r="X1615" s="275"/>
      <c r="Y1615" s="269"/>
      <c r="Z1615" s="357"/>
      <c r="AA1615" s="207"/>
      <c r="AB1615" s="369"/>
      <c r="AC1615" s="370"/>
      <c r="AD1615" s="332"/>
      <c r="AE1615" s="216"/>
      <c r="AF1615" s="43"/>
      <c r="AG1615" s="47"/>
      <c r="AH1615" s="30"/>
      <c r="AI1615" s="30"/>
      <c r="AJ1615" s="30"/>
      <c r="AK1615" s="30"/>
      <c r="AL1615" s="13"/>
      <c r="AM1615" s="13"/>
      <c r="AN1615" s="13"/>
      <c r="AO1615" s="13"/>
      <c r="AP1615" s="13"/>
      <c r="AQ1615" s="14"/>
      <c r="AR1615" s="15"/>
    </row>
    <row r="1616" spans="1:44" s="17" customFormat="1" ht="30.95" hidden="1" customHeight="1" x14ac:dyDescent="0.2">
      <c r="A1616" s="343"/>
      <c r="B1616" s="344"/>
      <c r="C1616" s="345"/>
      <c r="D1616" s="31"/>
      <c r="E1616" s="31"/>
      <c r="F1616" s="268"/>
      <c r="G1616" s="269"/>
      <c r="H1616" s="269"/>
      <c r="I1616" s="270"/>
      <c r="J1616" s="32"/>
      <c r="K1616" s="270"/>
      <c r="L1616" s="270"/>
      <c r="M1616" s="39"/>
      <c r="N1616" s="39"/>
      <c r="O1616" s="47"/>
      <c r="P1616" s="57"/>
      <c r="Q1616" s="276"/>
      <c r="R1616" s="277"/>
      <c r="S1616" s="277"/>
      <c r="T1616" s="40"/>
      <c r="U1616" s="278"/>
      <c r="V1616" s="269"/>
      <c r="W1616" s="269"/>
      <c r="X1616" s="275"/>
      <c r="Y1616" s="269"/>
      <c r="Z1616" s="357"/>
      <c r="AA1616" s="207"/>
      <c r="AB1616" s="369"/>
      <c r="AC1616" s="370"/>
      <c r="AD1616" s="332"/>
      <c r="AE1616" s="216"/>
      <c r="AF1616" s="43"/>
      <c r="AG1616" s="47"/>
      <c r="AH1616" s="30"/>
      <c r="AI1616" s="30"/>
      <c r="AJ1616" s="30"/>
      <c r="AK1616" s="30"/>
      <c r="AL1616" s="13"/>
      <c r="AM1616" s="13"/>
      <c r="AN1616" s="13"/>
      <c r="AO1616" s="13"/>
      <c r="AP1616" s="13"/>
      <c r="AQ1616" s="14"/>
      <c r="AR1616" s="15"/>
    </row>
    <row r="1617" spans="1:44" s="17" customFormat="1" ht="30.95" hidden="1" customHeight="1" x14ac:dyDescent="0.2">
      <c r="A1617" s="343" t="s">
        <v>1211</v>
      </c>
      <c r="B1617" s="344" t="s">
        <v>446</v>
      </c>
      <c r="C1617" s="345"/>
      <c r="D1617" s="31"/>
      <c r="E1617" s="31"/>
      <c r="F1617" s="268"/>
      <c r="G1617" s="269"/>
      <c r="H1617" s="269"/>
      <c r="I1617" s="270"/>
      <c r="J1617" s="32" t="s">
        <v>448</v>
      </c>
      <c r="K1617" s="270"/>
      <c r="L1617" s="270"/>
      <c r="M1617" s="39"/>
      <c r="N1617" s="39"/>
      <c r="O1617" s="47"/>
      <c r="P1617" s="57"/>
      <c r="Q1617" s="276"/>
      <c r="R1617" s="277"/>
      <c r="S1617" s="277"/>
      <c r="T1617" s="40"/>
      <c r="U1617" s="278"/>
      <c r="V1617" s="269"/>
      <c r="W1617" s="269"/>
      <c r="X1617" s="275"/>
      <c r="Y1617" s="269"/>
      <c r="Z1617" s="357"/>
      <c r="AA1617" s="207"/>
      <c r="AB1617" s="369"/>
      <c r="AC1617" s="370"/>
      <c r="AD1617" s="332"/>
      <c r="AE1617" s="216"/>
      <c r="AF1617" s="43"/>
      <c r="AG1617" s="47"/>
      <c r="AH1617" s="30"/>
      <c r="AI1617" s="30"/>
      <c r="AJ1617" s="30"/>
      <c r="AK1617" s="30"/>
      <c r="AL1617" s="13"/>
      <c r="AM1617" s="13"/>
      <c r="AN1617" s="13"/>
      <c r="AO1617" s="13"/>
      <c r="AP1617" s="13"/>
      <c r="AQ1617" s="14"/>
      <c r="AR1617" s="15"/>
    </row>
    <row r="1618" spans="1:44" s="17" customFormat="1" ht="30.95" hidden="1" customHeight="1" x14ac:dyDescent="0.2">
      <c r="A1618" s="343"/>
      <c r="B1618" s="344"/>
      <c r="C1618" s="345"/>
      <c r="D1618" s="398"/>
      <c r="E1618" s="31"/>
      <c r="F1618" s="268"/>
      <c r="G1618" s="269"/>
      <c r="H1618" s="269"/>
      <c r="I1618" s="270"/>
      <c r="J1618" s="32"/>
      <c r="K1618" s="270"/>
      <c r="L1618" s="270"/>
      <c r="M1618" s="39"/>
      <c r="N1618" s="39"/>
      <c r="O1618" s="47"/>
      <c r="P1618" s="57"/>
      <c r="Q1618" s="276"/>
      <c r="R1618" s="277"/>
      <c r="S1618" s="277"/>
      <c r="T1618" s="40"/>
      <c r="U1618" s="278"/>
      <c r="V1618" s="269"/>
      <c r="W1618" s="269"/>
      <c r="X1618" s="275"/>
      <c r="Y1618" s="269"/>
      <c r="Z1618" s="357"/>
      <c r="AA1618" s="207"/>
      <c r="AB1618" s="369"/>
      <c r="AC1618" s="370"/>
      <c r="AD1618" s="332"/>
      <c r="AE1618" s="216"/>
      <c r="AF1618" s="43"/>
      <c r="AG1618" s="47"/>
      <c r="AH1618" s="30"/>
      <c r="AI1618" s="30"/>
      <c r="AJ1618" s="30"/>
      <c r="AK1618" s="30"/>
      <c r="AL1618" s="13"/>
      <c r="AM1618" s="13"/>
      <c r="AN1618" s="13"/>
      <c r="AO1618" s="13"/>
      <c r="AP1618" s="13"/>
      <c r="AQ1618" s="14"/>
      <c r="AR1618" s="15"/>
    </row>
    <row r="1619" spans="1:44" s="17" customFormat="1" ht="30.95" hidden="1" customHeight="1" x14ac:dyDescent="0.2">
      <c r="A1619" s="343" t="s">
        <v>1212</v>
      </c>
      <c r="B1619" s="344" t="s">
        <v>462</v>
      </c>
      <c r="C1619" s="345"/>
      <c r="D1619" s="398">
        <v>3758066</v>
      </c>
      <c r="E1619" s="31">
        <v>4151716</v>
      </c>
      <c r="F1619" s="268" t="str">
        <f>IF(D1619="","",VLOOKUP(D1619,契約台帳!$A$3:$K$4986,6,FALSE)&amp;VLOOKUP(D1619,契約台帳!$A$3:$K$4986,7,FALSE)&amp;VLOOKUP(D1619,契約台帳!$A$3:$K$4986,8,FALSE)&amp;VLOOKUP(D1619,契約台帳!$A$3:$K$4986,9,FALSE)&amp;VLOOKUP(D1619,契約台帳!$A$3:$K$4986,11,FALSE))</f>
        <v>3SNMLBMNGTBF</v>
      </c>
      <c r="G1619" s="269" t="str">
        <f>IF(D1619="","",VLOOKUP(F1619,製品マスタ!$G$5:$H$5002,2,FALSE))</f>
        <v>S</v>
      </c>
      <c r="H1619" s="269" t="str">
        <f>IF(D1619="","",VLOOKUP(F1619,製品マスタ!$G$5:$K$5002,5,FALSE))</f>
        <v>MNGTBF</v>
      </c>
      <c r="I1619" s="270" t="str">
        <f>IF(D1619="","",VLOOKUP(F1619,製品マスタ!$G$5:$L$5002,6,FALSE))</f>
        <v>メタルミー　ネーマー　銀艶　Ｂ</v>
      </c>
      <c r="J1619" s="32" t="s">
        <v>447</v>
      </c>
      <c r="K1619" s="270">
        <f>IF(D1619="","",VLOOKUP(D1619,契約台帳!$A$3:$L$4986,12,FALSE))</f>
        <v>50</v>
      </c>
      <c r="L1619" s="270" t="str">
        <f>IF(D1619="","",INDEX(製品マスタ!$Q$5:$Q$5002,MATCH(F1619&amp;K1619,製品マスタ!$AO$5:$AO$5002,0)))</f>
        <v>T62</v>
      </c>
      <c r="M1619" s="39">
        <v>1120</v>
      </c>
      <c r="N1619" s="39">
        <v>10000</v>
      </c>
      <c r="O1619" s="47">
        <v>6</v>
      </c>
      <c r="P1619" s="57"/>
      <c r="Q1619" s="276">
        <f>IF(D1619="","",IF(J1619="リード付け",M1619,VLOOKUP(D1619,契約台帳!$A$3:$N$4986,14,FALSE)))</f>
        <v>1120</v>
      </c>
      <c r="R1619" s="277">
        <f>IF(D1619="","",IF(J1619="リード付け",M1619,VLOOKUP(D1619,契約台帳!$A$3:$O$4986,15,FALSE)))</f>
        <v>1120</v>
      </c>
      <c r="S1619" s="277">
        <f>IF(D1619="","",IF(J1619="リード付け",N1619,VLOOKUP(D1619,契約台帳!$A$3:$P$4986,16,FALSE)))</f>
        <v>5000</v>
      </c>
      <c r="T1619" s="40">
        <v>12</v>
      </c>
      <c r="U1619" s="278">
        <f ca="1">IF(D1619="","",IF(OFFSET(D1619,-2,0)=D1619,"",VLOOKUP(D1619,契約台帳!$A$3:$R$4986,18,FALSE)))</f>
        <v>52</v>
      </c>
      <c r="V1619" s="269" t="str">
        <f>IF(J1619="巻返し",VLOOKUP(F1619&amp;K1619&amp;M1619,製品マスタ!$M$5:$AD$5002,18,FALSE),IF(J1619="リード付け","原反コア",IF(J1619="スリット",VLOOKUP(F1619&amp;K1619&amp;Q1619,製品マスタ!$N$5:$AD$5002,17,FALSE),"")))</f>
        <v>6ｲﾝﾁSｺｱ</v>
      </c>
      <c r="W1619" s="269">
        <f>IF(J1619="巻返し",VLOOKUP(F1619&amp;K1619&amp;M1619,製品マスタ!$M$5:$AE$5002,19,FALSE),IF(J1619="リード付け","-",IF(J1619="スリット",VLOOKUP(F1619&amp;K1619&amp;Q1619,製品マスタ!$N$5:$AE$5002,18,FALSE),"")))</f>
        <v>1125</v>
      </c>
      <c r="X1619" s="275">
        <f>IF(D1619="","",VLOOKUP(D1619,契約台帳!$A$3:$Q$4986,17,FALSE))</f>
        <v>2</v>
      </c>
      <c r="Y1619" s="269" t="str">
        <f>IF(D1619="","",VLOOKUP(D1619,契約台帳!$A$3:$E$4986,5,FALSE))</f>
        <v>リンテック㈱</v>
      </c>
      <c r="Z1619" s="357">
        <v>45470</v>
      </c>
      <c r="AA1619" s="207"/>
      <c r="AB1619" s="369"/>
      <c r="AC1619" s="370"/>
      <c r="AD1619" s="332" t="str">
        <f>IF(F1619="","",+F1619&amp;K1619)</f>
        <v>3SNMLBMNGTBF50</v>
      </c>
      <c r="AE1619" s="216">
        <f>+M1619*N1619*O1619/1000</f>
        <v>67200</v>
      </c>
      <c r="AF1619" s="43">
        <f>IF(AD1619="","",VLOOKUP(AD1619,原価マスタ!$A$2:$AJ$1693,13,FALSE))</f>
        <v>99</v>
      </c>
      <c r="AG1619" s="47">
        <f>IF(AF1619="","",+AE1619*AF1619/100)</f>
        <v>66528</v>
      </c>
      <c r="AH1619" s="30"/>
      <c r="AI1619" s="30"/>
      <c r="AJ1619" s="30"/>
      <c r="AK1619" s="30"/>
      <c r="AL1619" s="13"/>
      <c r="AM1619" s="13"/>
      <c r="AN1619" s="13"/>
      <c r="AO1619" s="13"/>
      <c r="AP1619" s="13"/>
      <c r="AQ1619" s="14"/>
      <c r="AR1619" s="15"/>
    </row>
    <row r="1620" spans="1:44" s="17" customFormat="1" ht="30.95" hidden="1" customHeight="1" x14ac:dyDescent="0.2">
      <c r="A1620" s="343"/>
      <c r="B1620" s="344"/>
      <c r="C1620" s="345"/>
      <c r="D1620" s="398"/>
      <c r="E1620" s="31"/>
      <c r="F1620" s="268"/>
      <c r="G1620" s="269"/>
      <c r="H1620" s="269"/>
      <c r="I1620" s="270"/>
      <c r="J1620" s="32"/>
      <c r="K1620" s="270"/>
      <c r="L1620" s="270"/>
      <c r="M1620" s="39"/>
      <c r="N1620" s="39"/>
      <c r="O1620" s="47"/>
      <c r="P1620" s="350"/>
      <c r="Q1620" s="276"/>
      <c r="R1620" s="277"/>
      <c r="S1620" s="277"/>
      <c r="T1620" s="40"/>
      <c r="U1620" s="278"/>
      <c r="V1620" s="269"/>
      <c r="W1620" s="269"/>
      <c r="X1620" s="275"/>
      <c r="Y1620" s="269"/>
      <c r="Z1620" s="357"/>
      <c r="AA1620" s="207"/>
      <c r="AB1620" s="369"/>
      <c r="AC1620" s="370"/>
      <c r="AD1620" s="332"/>
      <c r="AE1620" s="371"/>
      <c r="AF1620" s="355"/>
      <c r="AG1620" s="349"/>
      <c r="AH1620" s="30"/>
      <c r="AI1620" s="30"/>
      <c r="AJ1620" s="30"/>
      <c r="AK1620" s="30"/>
      <c r="AL1620" s="13"/>
      <c r="AM1620" s="13"/>
      <c r="AN1620" s="13"/>
      <c r="AO1620" s="13"/>
      <c r="AP1620" s="13"/>
      <c r="AQ1620" s="14"/>
      <c r="AR1620" s="15"/>
    </row>
    <row r="1621" spans="1:44" s="17" customFormat="1" ht="30.95" hidden="1" customHeight="1" x14ac:dyDescent="0.2">
      <c r="A1621" s="343" t="s">
        <v>1213</v>
      </c>
      <c r="B1621" s="344" t="s">
        <v>688</v>
      </c>
      <c r="C1621" s="345"/>
      <c r="D1621" s="398">
        <v>3758066</v>
      </c>
      <c r="E1621" s="31">
        <v>4151716</v>
      </c>
      <c r="F1621" s="268" t="str">
        <f>IF(D1621="","",VLOOKUP(D1621,契約台帳!$A$3:$K$4986,6,FALSE)&amp;VLOOKUP(D1621,契約台帳!$A$3:$K$4986,7,FALSE)&amp;VLOOKUP(D1621,契約台帳!$A$3:$K$4986,8,FALSE)&amp;VLOOKUP(D1621,契約台帳!$A$3:$K$4986,9,FALSE)&amp;VLOOKUP(D1621,契約台帳!$A$3:$K$4986,11,FALSE))</f>
        <v>3SNMLBMNGTBF</v>
      </c>
      <c r="G1621" s="269" t="str">
        <f>IF(D1621="","",VLOOKUP(F1621,製品マスタ!$G$5:$H$5002,2,FALSE))</f>
        <v>S</v>
      </c>
      <c r="H1621" s="269" t="str">
        <f>IF(D1621="","",VLOOKUP(F1621,製品マスタ!$G$5:$K$5002,5,FALSE))</f>
        <v>MNGTBF</v>
      </c>
      <c r="I1621" s="270" t="str">
        <f>IF(D1621="","",VLOOKUP(F1621,製品マスタ!$G$5:$L$5002,6,FALSE))</f>
        <v>メタルミー　ネーマー　銀艶　Ｂ</v>
      </c>
      <c r="J1621" s="32" t="s">
        <v>447</v>
      </c>
      <c r="K1621" s="270">
        <f>IF(D1621="","",VLOOKUP(D1621,契約台帳!$A$3:$L$4986,12,FALSE))</f>
        <v>50</v>
      </c>
      <c r="L1621" s="270" t="str">
        <f>IF(D1621="","",INDEX(製品マスタ!$Q$5:$Q$5002,MATCH(F1621&amp;K1621,製品マスタ!$AO$5:$AO$5002,0)))</f>
        <v>T62</v>
      </c>
      <c r="M1621" s="39">
        <v>1120</v>
      </c>
      <c r="N1621" s="39">
        <v>10000</v>
      </c>
      <c r="O1621" s="47">
        <v>8</v>
      </c>
      <c r="P1621" s="57"/>
      <c r="Q1621" s="276">
        <f>IF(D1621="","",IF(J1621="リード付け",M1621,VLOOKUP(D1621,契約台帳!$A$3:$N$4986,14,FALSE)))</f>
        <v>1120</v>
      </c>
      <c r="R1621" s="277">
        <f>IF(D1621="","",IF(J1621="リード付け",M1621,VLOOKUP(D1621,契約台帳!$A$3:$O$4986,15,FALSE)))</f>
        <v>1120</v>
      </c>
      <c r="S1621" s="277">
        <f>IF(D1621="","",IF(J1621="リード付け",N1621,VLOOKUP(D1621,契約台帳!$A$3:$P$4986,16,FALSE)))</f>
        <v>5000</v>
      </c>
      <c r="T1621" s="40">
        <v>16</v>
      </c>
      <c r="U1621" s="278" t="str">
        <f ca="1">IF(D1621="","",IF(OFFSET(D1621,-2,0)=D1621,"",VLOOKUP(D1621,契約台帳!$A$3:$R$4986,18,FALSE)))</f>
        <v/>
      </c>
      <c r="V1621" s="269" t="str">
        <f>IF(J1621="巻返し",VLOOKUP(F1621&amp;K1621&amp;M1621,製品マスタ!$M$5:$AD$5002,18,FALSE),IF(J1621="リード付け","原反コア",IF(J1621="スリット",VLOOKUP(F1621&amp;K1621&amp;Q1621,製品マスタ!$N$5:$AD$5002,17,FALSE),"")))</f>
        <v>6ｲﾝﾁSｺｱ</v>
      </c>
      <c r="W1621" s="269">
        <f>IF(J1621="巻返し",VLOOKUP(F1621&amp;K1621&amp;M1621,製品マスタ!$M$5:$AE$5002,19,FALSE),IF(J1621="リード付け","-",IF(J1621="スリット",VLOOKUP(F1621&amp;K1621&amp;Q1621,製品マスタ!$N$5:$AE$5002,18,FALSE),"")))</f>
        <v>1125</v>
      </c>
      <c r="X1621" s="275">
        <f>IF(D1621="","",VLOOKUP(D1621,契約台帳!$A$3:$Q$4986,17,FALSE))</f>
        <v>2</v>
      </c>
      <c r="Y1621" s="269" t="str">
        <f>IF(D1621="","",VLOOKUP(D1621,契約台帳!$A$3:$E$4986,5,FALSE))</f>
        <v>リンテック㈱</v>
      </c>
      <c r="Z1621" s="357">
        <v>45471</v>
      </c>
      <c r="AA1621" s="207"/>
      <c r="AB1621" s="369"/>
      <c r="AC1621" s="370"/>
      <c r="AD1621" s="332" t="str">
        <f>IF(F1621="","",+F1621&amp;K1621)</f>
        <v>3SNMLBMNGTBF50</v>
      </c>
      <c r="AE1621" s="216">
        <f>+M1621*N1621*O1621/1000</f>
        <v>89600</v>
      </c>
      <c r="AF1621" s="43">
        <f>IF(AD1621="","",VLOOKUP(AD1621,原価マスタ!$A$2:$AJ$1693,13,FALSE))</f>
        <v>99</v>
      </c>
      <c r="AG1621" s="47">
        <f>IF(AF1621="","",+AE1621*AF1621/100)</f>
        <v>88704</v>
      </c>
      <c r="AH1621" s="30"/>
      <c r="AI1621" s="30"/>
      <c r="AJ1621" s="30"/>
      <c r="AK1621" s="30"/>
      <c r="AL1621" s="13"/>
      <c r="AM1621" s="13"/>
      <c r="AN1621" s="13"/>
      <c r="AO1621" s="13"/>
      <c r="AP1621" s="13"/>
      <c r="AQ1621" s="14"/>
      <c r="AR1621" s="15"/>
    </row>
    <row r="1622" spans="1:44" s="17" customFormat="1" ht="30.95" hidden="1" customHeight="1" x14ac:dyDescent="0.2">
      <c r="A1622" s="343"/>
      <c r="B1622" s="344"/>
      <c r="C1622" s="345"/>
      <c r="D1622" s="398"/>
      <c r="E1622" s="31"/>
      <c r="F1622" s="268"/>
      <c r="G1622" s="269"/>
      <c r="H1622" s="269"/>
      <c r="I1622" s="270"/>
      <c r="J1622" s="32"/>
      <c r="K1622" s="270"/>
      <c r="L1622" s="270"/>
      <c r="M1622" s="39"/>
      <c r="N1622" s="39"/>
      <c r="O1622" s="47"/>
      <c r="P1622" s="350"/>
      <c r="Q1622" s="276"/>
      <c r="R1622" s="277"/>
      <c r="S1622" s="277"/>
      <c r="T1622" s="40"/>
      <c r="U1622" s="278"/>
      <c r="V1622" s="269"/>
      <c r="W1622" s="269"/>
      <c r="X1622" s="275"/>
      <c r="Y1622" s="269"/>
      <c r="Z1622" s="357"/>
      <c r="AA1622" s="207"/>
      <c r="AB1622" s="369"/>
      <c r="AC1622" s="370"/>
      <c r="AD1622" s="332"/>
      <c r="AE1622" s="371"/>
      <c r="AF1622" s="355"/>
      <c r="AG1622" s="349"/>
      <c r="AH1622" s="30"/>
      <c r="AI1622" s="30"/>
      <c r="AJ1622" s="30"/>
      <c r="AK1622" s="30"/>
      <c r="AL1622" s="13"/>
      <c r="AM1622" s="13"/>
      <c r="AN1622" s="13"/>
      <c r="AO1622" s="13"/>
      <c r="AP1622" s="13"/>
      <c r="AQ1622" s="14"/>
      <c r="AR1622" s="15"/>
    </row>
    <row r="1623" spans="1:44" s="233" customFormat="1" ht="30.95" hidden="1" customHeight="1" x14ac:dyDescent="0.2">
      <c r="A1623" s="399"/>
      <c r="B1623" s="400"/>
      <c r="C1623" s="401"/>
      <c r="D1623" s="396"/>
      <c r="E1623" s="219"/>
      <c r="F1623" s="281"/>
      <c r="G1623" s="282"/>
      <c r="H1623" s="282"/>
      <c r="I1623" s="283"/>
      <c r="J1623" s="220"/>
      <c r="K1623" s="283"/>
      <c r="L1623" s="283"/>
      <c r="M1623" s="221"/>
      <c r="N1623" s="221"/>
      <c r="O1623" s="222"/>
      <c r="P1623" s="213"/>
      <c r="Q1623" s="284"/>
      <c r="R1623" s="285"/>
      <c r="S1623" s="285"/>
      <c r="T1623" s="224"/>
      <c r="U1623" s="286"/>
      <c r="V1623" s="282"/>
      <c r="W1623" s="282"/>
      <c r="X1623" s="287"/>
      <c r="Y1623" s="282"/>
      <c r="Z1623" s="356"/>
      <c r="AA1623" s="288"/>
      <c r="AB1623" s="385"/>
      <c r="AC1623" s="386"/>
      <c r="AD1623" s="387"/>
      <c r="AE1623" s="423"/>
      <c r="AF1623" s="223"/>
      <c r="AG1623" s="234">
        <f>SUM(AG1559:AG1622)</f>
        <v>504276.97499999998</v>
      </c>
      <c r="AH1623" s="229"/>
      <c r="AI1623" s="229"/>
      <c r="AJ1623" s="229"/>
      <c r="AK1623" s="229"/>
      <c r="AL1623" s="230"/>
      <c r="AM1623" s="230"/>
      <c r="AN1623" s="230"/>
      <c r="AO1623" s="230"/>
      <c r="AP1623" s="230"/>
      <c r="AQ1623" s="231"/>
      <c r="AR1623" s="232"/>
    </row>
    <row r="1624" spans="1:44" s="17" customFormat="1" ht="30.95" hidden="1" customHeight="1" x14ac:dyDescent="0.2">
      <c r="A1624" s="343"/>
      <c r="B1624" s="344"/>
      <c r="C1624" s="345"/>
      <c r="D1624" s="398"/>
      <c r="E1624" s="31"/>
      <c r="F1624" s="268"/>
      <c r="G1624" s="269"/>
      <c r="H1624" s="269"/>
      <c r="I1624" s="270"/>
      <c r="J1624" s="32"/>
      <c r="K1624" s="270"/>
      <c r="L1624" s="270"/>
      <c r="M1624" s="39"/>
      <c r="N1624" s="39"/>
      <c r="O1624" s="47"/>
      <c r="P1624" s="57"/>
      <c r="Q1624" s="276"/>
      <c r="R1624" s="277"/>
      <c r="S1624" s="277"/>
      <c r="T1624" s="40"/>
      <c r="U1624" s="278"/>
      <c r="V1624" s="269"/>
      <c r="W1624" s="269"/>
      <c r="X1624" s="275"/>
      <c r="Y1624" s="269"/>
      <c r="Z1624" s="357"/>
      <c r="AA1624" s="207"/>
      <c r="AB1624" s="369"/>
      <c r="AC1624" s="370"/>
      <c r="AD1624" s="332"/>
      <c r="AE1624" s="216"/>
      <c r="AF1624" s="43"/>
      <c r="AG1624" s="47"/>
      <c r="AH1624" s="30"/>
      <c r="AI1624" s="30"/>
      <c r="AJ1624" s="30"/>
      <c r="AK1624" s="30"/>
      <c r="AL1624" s="13"/>
      <c r="AM1624" s="13"/>
      <c r="AN1624" s="13"/>
      <c r="AO1624" s="13"/>
      <c r="AP1624" s="13"/>
      <c r="AQ1624" s="14"/>
      <c r="AR1624" s="15"/>
    </row>
    <row r="1625" spans="1:44" s="17" customFormat="1" ht="30.95" hidden="1" customHeight="1" x14ac:dyDescent="0.2">
      <c r="A1625" s="343" t="s">
        <v>2905</v>
      </c>
      <c r="B1625" s="344" t="s">
        <v>442</v>
      </c>
      <c r="C1625" s="345"/>
      <c r="D1625" s="398">
        <v>3758066</v>
      </c>
      <c r="E1625" s="31">
        <v>4151716</v>
      </c>
      <c r="F1625" s="268" t="str">
        <f>IF(D1625="","",VLOOKUP(D1625,契約台帳!$A$3:$K$4986,6,FALSE)&amp;VLOOKUP(D1625,契約台帳!$A$3:$K$4986,7,FALSE)&amp;VLOOKUP(D1625,契約台帳!$A$3:$K$4986,8,FALSE)&amp;VLOOKUP(D1625,契約台帳!$A$3:$K$4986,9,FALSE)&amp;VLOOKUP(D1625,契約台帳!$A$3:$K$4986,11,FALSE))</f>
        <v>3SNMLBMNGTBF</v>
      </c>
      <c r="G1625" s="269" t="str">
        <f>IF(D1625="","",VLOOKUP(F1625,製品マスタ!$G$5:$H$5002,2,FALSE))</f>
        <v>S</v>
      </c>
      <c r="H1625" s="269" t="str">
        <f>IF(D1625="","",VLOOKUP(F1625,製品マスタ!$G$5:$K$5002,5,FALSE))</f>
        <v>MNGTBF</v>
      </c>
      <c r="I1625" s="270" t="str">
        <f>IF(D1625="","",VLOOKUP(F1625,製品マスタ!$G$5:$L$5002,6,FALSE))</f>
        <v>メタルミー　ネーマー　銀艶　Ｂ</v>
      </c>
      <c r="J1625" s="32" t="s">
        <v>447</v>
      </c>
      <c r="K1625" s="270">
        <f>IF(D1625="","",VLOOKUP(D1625,契約台帳!$A$3:$L$4986,12,FALSE))</f>
        <v>50</v>
      </c>
      <c r="L1625" s="270" t="str">
        <f>IF(D1625="","",INDEX(製品マスタ!$Q$5:$Q$5002,MATCH(F1625&amp;K1625,製品マスタ!$AO$5:$AO$5002,0)))</f>
        <v>T62</v>
      </c>
      <c r="M1625" s="39">
        <v>1120</v>
      </c>
      <c r="N1625" s="39">
        <v>10000</v>
      </c>
      <c r="O1625" s="47">
        <v>1</v>
      </c>
      <c r="P1625" s="57"/>
      <c r="Q1625" s="276">
        <f>IF(D1625="","",IF(J1625="リード付け",M1625,VLOOKUP(D1625,契約台帳!$A$3:$N$4986,14,FALSE)))</f>
        <v>1120</v>
      </c>
      <c r="R1625" s="277">
        <f>IF(D1625="","",IF(J1625="リード付け",M1625,VLOOKUP(D1625,契約台帳!$A$3:$O$4986,15,FALSE)))</f>
        <v>1120</v>
      </c>
      <c r="S1625" s="277">
        <f>IF(D1625="","",IF(J1625="リード付け",N1625,VLOOKUP(D1625,契約台帳!$A$3:$P$4986,16,FALSE)))</f>
        <v>5000</v>
      </c>
      <c r="T1625" s="40">
        <v>2</v>
      </c>
      <c r="U1625" s="278">
        <f ca="1">IF(D1625="","",IF(OFFSET(D1625,-2,0)=D1625,"",VLOOKUP(D1625,契約台帳!$A$3:$R$4986,18,FALSE)))</f>
        <v>52</v>
      </c>
      <c r="V1625" s="269" t="str">
        <f>IF(J1625="巻返し",VLOOKUP(F1625&amp;K1625&amp;M1625,製品マスタ!$M$5:$AD$5002,18,FALSE),IF(J1625="リード付け","原反コア",IF(J1625="スリット",VLOOKUP(F1625&amp;K1625&amp;Q1625,製品マスタ!$N$5:$AD$5002,17,FALSE),"")))</f>
        <v>6ｲﾝﾁSｺｱ</v>
      </c>
      <c r="W1625" s="269">
        <f>IF(J1625="巻返し",VLOOKUP(F1625&amp;K1625&amp;M1625,製品マスタ!$M$5:$AE$5002,19,FALSE),IF(J1625="リード付け","-",IF(J1625="スリット",VLOOKUP(F1625&amp;K1625&amp;Q1625,製品マスタ!$N$5:$AE$5002,18,FALSE),"")))</f>
        <v>1125</v>
      </c>
      <c r="X1625" s="275">
        <f>IF(D1625="","",VLOOKUP(D1625,契約台帳!$A$3:$Q$4986,17,FALSE))</f>
        <v>2</v>
      </c>
      <c r="Y1625" s="269" t="str">
        <f>IF(D1625="","",VLOOKUP(D1625,契約台帳!$A$3:$E$4986,5,FALSE))</f>
        <v>リンテック㈱</v>
      </c>
      <c r="Z1625" s="357">
        <v>45474</v>
      </c>
      <c r="AA1625" s="207"/>
      <c r="AB1625" s="369"/>
      <c r="AC1625" s="370"/>
      <c r="AD1625" s="332" t="str">
        <f>IF(F1625="","",+F1625&amp;K1625)</f>
        <v>3SNMLBMNGTBF50</v>
      </c>
      <c r="AE1625" s="216">
        <f>+M1625*N1625*O1625/1000</f>
        <v>11200</v>
      </c>
      <c r="AF1625" s="43">
        <f>IF(AD1625="","",VLOOKUP(AD1625,原価マスタ!$A$2:$AJ$1693,13,FALSE))</f>
        <v>99</v>
      </c>
      <c r="AG1625" s="47">
        <f>IF(AF1625="","",+AE1625*AF1625/100)</f>
        <v>11088</v>
      </c>
      <c r="AH1625" s="30"/>
      <c r="AI1625" s="30"/>
      <c r="AJ1625" s="30"/>
      <c r="AK1625" s="30"/>
      <c r="AL1625" s="13"/>
      <c r="AM1625" s="13"/>
      <c r="AN1625" s="13"/>
      <c r="AO1625" s="13"/>
      <c r="AP1625" s="13"/>
      <c r="AQ1625" s="14"/>
      <c r="AR1625" s="15"/>
    </row>
    <row r="1626" spans="1:44" s="17" customFormat="1" ht="30.95" hidden="1" customHeight="1" x14ac:dyDescent="0.2">
      <c r="A1626" s="343"/>
      <c r="B1626" s="344"/>
      <c r="C1626" s="345"/>
      <c r="D1626" s="398"/>
      <c r="E1626" s="31"/>
      <c r="F1626" s="268"/>
      <c r="G1626" s="269"/>
      <c r="H1626" s="269"/>
      <c r="I1626" s="270"/>
      <c r="J1626" s="32"/>
      <c r="K1626" s="270"/>
      <c r="L1626" s="270"/>
      <c r="M1626" s="39"/>
      <c r="N1626" s="39"/>
      <c r="O1626" s="47"/>
      <c r="P1626" s="57"/>
      <c r="Q1626" s="276"/>
      <c r="R1626" s="277"/>
      <c r="S1626" s="277"/>
      <c r="T1626" s="40"/>
      <c r="U1626" s="278"/>
      <c r="V1626" s="269"/>
      <c r="W1626" s="269"/>
      <c r="X1626" s="275"/>
      <c r="Y1626" s="269"/>
      <c r="Z1626" s="357"/>
      <c r="AA1626" s="207"/>
      <c r="AB1626" s="369"/>
      <c r="AC1626" s="370"/>
      <c r="AD1626" s="332"/>
      <c r="AE1626" s="216"/>
      <c r="AF1626" s="43"/>
      <c r="AG1626" s="47"/>
      <c r="AH1626" s="30"/>
      <c r="AI1626" s="30"/>
      <c r="AJ1626" s="30"/>
      <c r="AK1626" s="30"/>
      <c r="AL1626" s="13"/>
      <c r="AM1626" s="13"/>
      <c r="AN1626" s="13"/>
      <c r="AO1626" s="13"/>
      <c r="AP1626" s="13"/>
      <c r="AQ1626" s="14"/>
      <c r="AR1626" s="15"/>
    </row>
    <row r="1627" spans="1:44" s="17" customFormat="1" ht="30.95" hidden="1" customHeight="1" x14ac:dyDescent="0.2">
      <c r="A1627" s="320"/>
      <c r="B1627" s="321"/>
      <c r="C1627" s="345"/>
      <c r="D1627" s="398">
        <v>3758061</v>
      </c>
      <c r="E1627" s="31">
        <v>4151713</v>
      </c>
      <c r="F1627" s="268" t="str">
        <f>IF(D1627="","",VLOOKUP(D1627,契約台帳!$A$3:$K$4986,6,FALSE)&amp;VLOOKUP(D1627,契約台帳!$A$3:$K$4986,7,FALSE)&amp;VLOOKUP(D1627,契約台帳!$A$3:$K$4986,8,FALSE)&amp;VLOOKUP(D1627,契約台帳!$A$3:$K$4986,9,FALSE)&amp;VLOOKUP(D1627,契約台帳!$A$3:$K$4986,11,FALSE))</f>
        <v>3TYKNZMCR</v>
      </c>
      <c r="G1627" s="269" t="str">
        <f>IF(D1627="","",VLOOKUP(F1627,製品マスタ!$G$5:$H$5002,2,FALSE))</f>
        <v>T</v>
      </c>
      <c r="H1627" s="269" t="str">
        <f>IF(D1627="","",VLOOKUP(F1627,製品マスタ!$G$5:$K$5002,5,FALSE))</f>
        <v>MCR</v>
      </c>
      <c r="I1627" s="270" t="str">
        <f>IF(D1627="","",VLOOKUP(F1627,製品マスタ!$G$5:$L$5002,6,FALSE))</f>
        <v>Metalumy CR</v>
      </c>
      <c r="J1627" s="32" t="s">
        <v>447</v>
      </c>
      <c r="K1627" s="270">
        <f>IF(D1627="","",VLOOKUP(D1627,契約台帳!$A$3:$L$4986,12,FALSE))</f>
        <v>25</v>
      </c>
      <c r="L1627" s="270" t="str">
        <f>IF(D1627="","",INDEX(製品マスタ!$Q$5:$Q$5002,MATCH(F1627&amp;K1627,製品マスタ!$AO$5:$AO$5002,0)))</f>
        <v>S28M</v>
      </c>
      <c r="M1627" s="39">
        <v>1110</v>
      </c>
      <c r="N1627" s="39">
        <v>12100</v>
      </c>
      <c r="O1627" s="47">
        <v>1</v>
      </c>
      <c r="P1627" s="57"/>
      <c r="Q1627" s="276">
        <f>IF(D1627="","",IF(J1627="リード付け",M1627,VLOOKUP(D1627,契約台帳!$A$3:$N$4986,14,FALSE)))</f>
        <v>1050</v>
      </c>
      <c r="R1627" s="277">
        <f>IF(D1627="","",IF(J1627="リード付け",M1627,VLOOKUP(D1627,契約台帳!$A$3:$O$4986,15,FALSE)))</f>
        <v>1050</v>
      </c>
      <c r="S1627" s="277">
        <f>IF(D1627="","",IF(J1627="リード付け",N1627,VLOOKUP(D1627,契約台帳!$A$3:$P$4986,16,FALSE)))</f>
        <v>6000</v>
      </c>
      <c r="T1627" s="40">
        <v>2</v>
      </c>
      <c r="U1627" s="278">
        <f ca="1">IF(D1627="","",IF(OFFSET(D1627,-2,0)=D1627,"",VLOOKUP(D1627,契約台帳!$A$3:$R$4986,18,FALSE)))</f>
        <v>26</v>
      </c>
      <c r="V1627" s="269" t="str">
        <f>IF(J1627="巻返し",VLOOKUP(F1627&amp;K1627&amp;M1627,製品マスタ!$M$5:$AD$5002,18,FALSE),IF(J1627="リード付け","原反コア",IF(J1627="スリット",VLOOKUP(F1627&amp;K1627&amp;Q1627,製品マスタ!$N$5:$AD$5002,17,FALSE),"")))</f>
        <v>6ｲﾝﾁABS</v>
      </c>
      <c r="W1627" s="269">
        <f>IF(J1627="巻返し",VLOOKUP(F1627&amp;K1627&amp;M1627,製品マスタ!$M$5:$AE$5002,19,FALSE),IF(J1627="リード付け","-",IF(J1627="スリット",VLOOKUP(F1627&amp;K1627&amp;Q1627,製品マスタ!$N$5:$AE$5002,18,FALSE),"")))</f>
        <v>1250</v>
      </c>
      <c r="X1627" s="275">
        <f>IF(D1627="","",VLOOKUP(D1627,契約台帳!$A$3:$Q$4986,17,FALSE))</f>
        <v>2</v>
      </c>
      <c r="Y1627" s="269" t="str">
        <f>IF(D1627="","",VLOOKUP(D1627,契約台帳!$A$3:$E$4986,5,FALSE))</f>
        <v>日東電工㈱豊橋工場</v>
      </c>
      <c r="Z1627" s="357"/>
      <c r="AA1627" s="207" t="s">
        <v>2814</v>
      </c>
      <c r="AB1627" s="369"/>
      <c r="AC1627" s="370"/>
      <c r="AD1627" s="332"/>
      <c r="AE1627" s="216"/>
      <c r="AF1627" s="43"/>
      <c r="AG1627" s="47"/>
      <c r="AH1627" s="30"/>
      <c r="AI1627" s="30"/>
      <c r="AJ1627" s="30"/>
      <c r="AK1627" s="30"/>
      <c r="AL1627" s="13"/>
      <c r="AM1627" s="13"/>
      <c r="AN1627" s="13"/>
      <c r="AO1627" s="13"/>
      <c r="AP1627" s="13"/>
      <c r="AQ1627" s="14"/>
      <c r="AR1627" s="15"/>
    </row>
    <row r="1628" spans="1:44" s="17" customFormat="1" ht="30.95" hidden="1" customHeight="1" x14ac:dyDescent="0.2">
      <c r="A1628" s="343"/>
      <c r="B1628" s="344"/>
      <c r="C1628" s="345"/>
      <c r="D1628" s="398"/>
      <c r="E1628" s="31"/>
      <c r="F1628" s="268"/>
      <c r="G1628" s="269"/>
      <c r="H1628" s="269"/>
      <c r="I1628" s="270"/>
      <c r="J1628" s="32"/>
      <c r="K1628" s="270"/>
      <c r="L1628" s="270"/>
      <c r="M1628" s="39"/>
      <c r="N1628" s="39"/>
      <c r="O1628" s="47"/>
      <c r="P1628" s="57"/>
      <c r="Q1628" s="276"/>
      <c r="R1628" s="277"/>
      <c r="S1628" s="277"/>
      <c r="T1628" s="40"/>
      <c r="U1628" s="278"/>
      <c r="V1628" s="269"/>
      <c r="W1628" s="269"/>
      <c r="X1628" s="275"/>
      <c r="Y1628" s="269"/>
      <c r="Z1628" s="357"/>
      <c r="AA1628" s="207"/>
      <c r="AB1628" s="369"/>
      <c r="AC1628" s="370"/>
      <c r="AD1628" s="332"/>
      <c r="AE1628" s="216"/>
      <c r="AF1628" s="43"/>
      <c r="AG1628" s="47"/>
      <c r="AH1628" s="30"/>
      <c r="AI1628" s="30"/>
      <c r="AJ1628" s="30"/>
      <c r="AK1628" s="30"/>
      <c r="AL1628" s="13"/>
      <c r="AM1628" s="13"/>
      <c r="AN1628" s="13"/>
      <c r="AO1628" s="13"/>
      <c r="AP1628" s="13"/>
      <c r="AQ1628" s="14"/>
      <c r="AR1628" s="15"/>
    </row>
    <row r="1629" spans="1:44" s="17" customFormat="1" ht="30.95" hidden="1" customHeight="1" x14ac:dyDescent="0.2">
      <c r="A1629" s="343"/>
      <c r="B1629" s="344"/>
      <c r="C1629" s="345"/>
      <c r="D1629" s="398"/>
      <c r="E1629" s="31"/>
      <c r="F1629" s="268"/>
      <c r="G1629" s="269"/>
      <c r="H1629" s="269"/>
      <c r="I1629" s="270" t="s">
        <v>2947</v>
      </c>
      <c r="J1629" s="32"/>
      <c r="K1629" s="270"/>
      <c r="L1629" s="270"/>
      <c r="M1629" s="39"/>
      <c r="N1629" s="39"/>
      <c r="O1629" s="47"/>
      <c r="P1629" s="57"/>
      <c r="Q1629" s="276"/>
      <c r="R1629" s="277"/>
      <c r="S1629" s="277"/>
      <c r="T1629" s="40"/>
      <c r="U1629" s="278"/>
      <c r="V1629" s="269"/>
      <c r="W1629" s="269"/>
      <c r="X1629" s="275"/>
      <c r="Y1629" s="269"/>
      <c r="Z1629" s="357"/>
      <c r="AA1629" s="207"/>
      <c r="AB1629" s="369"/>
      <c r="AC1629" s="370"/>
      <c r="AD1629" s="332"/>
      <c r="AE1629" s="216"/>
      <c r="AF1629" s="43"/>
      <c r="AG1629" s="47"/>
      <c r="AH1629" s="30"/>
      <c r="AI1629" s="30"/>
      <c r="AJ1629" s="30"/>
      <c r="AK1629" s="30"/>
      <c r="AL1629" s="13"/>
      <c r="AM1629" s="13"/>
      <c r="AN1629" s="13"/>
      <c r="AO1629" s="13"/>
      <c r="AP1629" s="13"/>
      <c r="AQ1629" s="14"/>
      <c r="AR1629" s="15"/>
    </row>
    <row r="1630" spans="1:44" s="17" customFormat="1" ht="30.95" hidden="1" customHeight="1" x14ac:dyDescent="0.2">
      <c r="A1630" s="343"/>
      <c r="B1630" s="344"/>
      <c r="C1630" s="345"/>
      <c r="D1630" s="398"/>
      <c r="E1630" s="31"/>
      <c r="F1630" s="268"/>
      <c r="G1630" s="269"/>
      <c r="H1630" s="269"/>
      <c r="I1630" s="270"/>
      <c r="J1630" s="32"/>
      <c r="K1630" s="270"/>
      <c r="L1630" s="270"/>
      <c r="M1630" s="39"/>
      <c r="N1630" s="39"/>
      <c r="O1630" s="47"/>
      <c r="P1630" s="57"/>
      <c r="Q1630" s="276"/>
      <c r="R1630" s="277"/>
      <c r="S1630" s="277"/>
      <c r="T1630" s="40"/>
      <c r="U1630" s="278"/>
      <c r="V1630" s="269"/>
      <c r="W1630" s="269"/>
      <c r="X1630" s="275"/>
      <c r="Y1630" s="269"/>
      <c r="Z1630" s="357"/>
      <c r="AA1630" s="207"/>
      <c r="AB1630" s="369"/>
      <c r="AC1630" s="370"/>
      <c r="AD1630" s="332"/>
      <c r="AE1630" s="216"/>
      <c r="AF1630" s="43"/>
      <c r="AG1630" s="47"/>
      <c r="AH1630" s="30"/>
      <c r="AI1630" s="30"/>
      <c r="AJ1630" s="30"/>
      <c r="AK1630" s="30"/>
      <c r="AL1630" s="13"/>
      <c r="AM1630" s="13"/>
      <c r="AN1630" s="13"/>
      <c r="AO1630" s="13"/>
      <c r="AP1630" s="13"/>
      <c r="AQ1630" s="14"/>
      <c r="AR1630" s="15"/>
    </row>
    <row r="1631" spans="1:44" s="17" customFormat="1" ht="30.95" hidden="1" customHeight="1" x14ac:dyDescent="0.2">
      <c r="A1631" s="320"/>
      <c r="B1631" s="321"/>
      <c r="C1631" s="345"/>
      <c r="D1631" s="398">
        <v>3758063</v>
      </c>
      <c r="E1631" s="31">
        <v>4151712</v>
      </c>
      <c r="F1631" s="268" t="str">
        <f>IF(D1631="","",VLOOKUP(D1631,契約台帳!$A$3:$K$4986,6,FALSE)&amp;VLOOKUP(D1631,契約台帳!$A$3:$K$4986,7,FALSE)&amp;VLOOKUP(D1631,契約台帳!$A$3:$K$4986,8,FALSE)&amp;VLOOKUP(D1631,契約台帳!$A$3:$K$4986,9,FALSE)&amp;VLOOKUP(D1631,契約台帳!$A$3:$K$4986,11,FALSE))</f>
        <v>3SNMLBMNGKBF</v>
      </c>
      <c r="G1631" s="269" t="str">
        <f>IF(D1631="","",VLOOKUP(F1631,製品マスタ!$G$5:$H$5002,2,FALSE))</f>
        <v>S</v>
      </c>
      <c r="H1631" s="269" t="str">
        <f>IF(D1631="","",VLOOKUP(F1631,製品マスタ!$G$5:$K$5002,5,FALSE))</f>
        <v>MNGKBF</v>
      </c>
      <c r="I1631" s="270" t="str">
        <f>IF(D1631="","",VLOOKUP(F1631,製品マスタ!$G$5:$L$5002,6,FALSE))</f>
        <v>メタルミー　ネーマー銀消　Ｂ</v>
      </c>
      <c r="J1631" s="32" t="s">
        <v>447</v>
      </c>
      <c r="K1631" s="270">
        <f>IF(D1631="","",VLOOKUP(D1631,契約台帳!$A$3:$L$4986,12,FALSE))</f>
        <v>25</v>
      </c>
      <c r="L1631" s="270" t="str">
        <f>IF(D1631="","",INDEX(製品マスタ!$Q$5:$Q$5002,MATCH(F1631&amp;K1631,製品マスタ!$AO$5:$AO$5002,0)))</f>
        <v>LUMIMAT</v>
      </c>
      <c r="M1631" s="39">
        <v>1050</v>
      </c>
      <c r="N1631" s="39">
        <v>8000</v>
      </c>
      <c r="O1631" s="47">
        <v>1</v>
      </c>
      <c r="P1631" s="57"/>
      <c r="Q1631" s="276">
        <f>IF(D1631="","",IF(J1631="リード付け",M1631,VLOOKUP(D1631,契約台帳!$A$3:$N$4986,14,FALSE)))</f>
        <v>1050</v>
      </c>
      <c r="R1631" s="277">
        <f>IF(D1631="","",IF(J1631="リード付け",M1631,VLOOKUP(D1631,契約台帳!$A$3:$O$4986,15,FALSE)))</f>
        <v>1050</v>
      </c>
      <c r="S1631" s="277">
        <f>IF(D1631="","",IF(J1631="リード付け",N1631,VLOOKUP(D1631,契約台帳!$A$3:$P$4986,16,FALSE)))</f>
        <v>4000</v>
      </c>
      <c r="T1631" s="40">
        <v>2</v>
      </c>
      <c r="U1631" s="278">
        <f ca="1">IF(D1631="","",IF(OFFSET(D1631,-2,0)=D1631,"",VLOOKUP(D1631,契約台帳!$A$3:$R$4986,18,FALSE)))</f>
        <v>2</v>
      </c>
      <c r="V1631" s="269" t="str">
        <f>IF(J1631="巻返し",VLOOKUP(F1631&amp;K1631&amp;M1631,製品マスタ!$M$5:$AD$5002,18,FALSE),IF(J1631="リード付け","原反コア",IF(J1631="スリット",VLOOKUP(F1631&amp;K1631&amp;Q1631,製品マスタ!$N$5:$AD$5002,17,FALSE),"")))</f>
        <v>6ｲﾝﾁSｺｱ</v>
      </c>
      <c r="W1631" s="269">
        <f>IF(J1631="巻返し",VLOOKUP(F1631&amp;K1631&amp;M1631,製品マスタ!$M$5:$AE$5002,19,FALSE),IF(J1631="リード付け","-",IF(J1631="スリット",VLOOKUP(F1631&amp;K1631&amp;Q1631,製品マスタ!$N$5:$AE$5002,18,FALSE),"")))</f>
        <v>1055</v>
      </c>
      <c r="X1631" s="275">
        <f>IF(D1631="","",VLOOKUP(D1631,契約台帳!$A$3:$Q$4986,17,FALSE))</f>
        <v>2</v>
      </c>
      <c r="Y1631" s="269" t="str">
        <f>IF(D1631="","",VLOOKUP(D1631,契約台帳!$A$3:$E$4986,5,FALSE))</f>
        <v>リンテック㈱</v>
      </c>
      <c r="Z1631" s="357">
        <v>45474</v>
      </c>
      <c r="AA1631" s="207"/>
      <c r="AB1631" s="369"/>
      <c r="AC1631" s="370"/>
      <c r="AD1631" s="332" t="str">
        <f>IF(F1631="","",+F1631&amp;K1631)</f>
        <v>3SNMLBMNGKBF25</v>
      </c>
      <c r="AE1631" s="216">
        <f>+M1631*N1631*O1631/1000</f>
        <v>8400</v>
      </c>
      <c r="AF1631" s="43">
        <v>95</v>
      </c>
      <c r="AG1631" s="47">
        <f>IF(AF1631="","",+AE1631*AF1631/100)</f>
        <v>7980</v>
      </c>
      <c r="AH1631" s="30"/>
      <c r="AI1631" s="30"/>
      <c r="AJ1631" s="30"/>
      <c r="AK1631" s="30"/>
      <c r="AL1631" s="13"/>
      <c r="AM1631" s="13"/>
      <c r="AN1631" s="13"/>
      <c r="AO1631" s="13"/>
      <c r="AP1631" s="13"/>
      <c r="AQ1631" s="14"/>
      <c r="AR1631" s="15"/>
    </row>
    <row r="1632" spans="1:44" s="17" customFormat="1" ht="30.95" hidden="1" customHeight="1" x14ac:dyDescent="0.2">
      <c r="A1632" s="343"/>
      <c r="B1632" s="344"/>
      <c r="C1632" s="345"/>
      <c r="D1632" s="398"/>
      <c r="E1632" s="31"/>
      <c r="F1632" s="268"/>
      <c r="G1632" s="269"/>
      <c r="H1632" s="269"/>
      <c r="I1632" s="270"/>
      <c r="J1632" s="32"/>
      <c r="K1632" s="270"/>
      <c r="L1632" s="270"/>
      <c r="M1632" s="39"/>
      <c r="N1632" s="39"/>
      <c r="O1632" s="47"/>
      <c r="P1632" s="57"/>
      <c r="Q1632" s="276"/>
      <c r="R1632" s="277"/>
      <c r="S1632" s="277"/>
      <c r="T1632" s="40"/>
      <c r="U1632" s="278"/>
      <c r="V1632" s="269"/>
      <c r="W1632" s="269"/>
      <c r="X1632" s="275"/>
      <c r="Y1632" s="269"/>
      <c r="Z1632" s="357"/>
      <c r="AA1632" s="207"/>
      <c r="AB1632" s="369"/>
      <c r="AC1632" s="370"/>
      <c r="AD1632" s="332"/>
      <c r="AE1632" s="216"/>
      <c r="AF1632" s="43"/>
      <c r="AG1632" s="47"/>
      <c r="AH1632" s="30"/>
      <c r="AI1632" s="30"/>
      <c r="AJ1632" s="30"/>
      <c r="AK1632" s="30"/>
      <c r="AL1632" s="13"/>
      <c r="AM1632" s="13"/>
      <c r="AN1632" s="13"/>
      <c r="AO1632" s="13"/>
      <c r="AP1632" s="13"/>
      <c r="AQ1632" s="14"/>
      <c r="AR1632" s="15"/>
    </row>
    <row r="1633" spans="1:44" s="17" customFormat="1" ht="30.95" hidden="1" customHeight="1" x14ac:dyDescent="0.2">
      <c r="A1633" s="320" t="s">
        <v>1214</v>
      </c>
      <c r="B1633" s="321" t="s">
        <v>443</v>
      </c>
      <c r="C1633" s="345"/>
      <c r="D1633" s="398">
        <v>3758082</v>
      </c>
      <c r="E1633" s="31">
        <v>4151692</v>
      </c>
      <c r="F1633" s="268" t="str">
        <f>IF(D1633="","",VLOOKUP(D1633,契約台帳!$A$3:$K$4986,6,FALSE)&amp;VLOOKUP(D1633,契約台帳!$A$3:$K$4986,7,FALSE)&amp;VLOOKUP(D1633,契約台帳!$A$3:$K$4986,8,FALSE)&amp;VLOOKUP(D1633,契約台帳!$A$3:$K$4986,9,FALSE)&amp;VLOOKUP(D1633,契約台帳!$A$3:$K$4986,11,FALSE))</f>
        <v>3SYMLBMSNMBF</v>
      </c>
      <c r="G1633" s="269" t="str">
        <f>IF(D1633="","",VLOOKUP(F1633,製品マスタ!$G$5:$H$5002,2,FALSE))</f>
        <v>S</v>
      </c>
      <c r="H1633" s="269" t="str">
        <f>IF(D1633="","",VLOOKUP(F1633,製品マスタ!$G$5:$K$5002,5,FALSE))</f>
        <v>MSNMBF</v>
      </c>
      <c r="I1633" s="270" t="str">
        <f>IF(D1633="","",VLOOKUP(F1633,製品マスタ!$G$5:$L$5002,6,FALSE))</f>
        <v>ＭＥＴＡＬＵＭＹ　ＳＩＬＶＥＲ　Ｎ－ＭＡＴＴＥ　Ｘ４４Ｍ　Ｂ</v>
      </c>
      <c r="J1633" s="32" t="s">
        <v>447</v>
      </c>
      <c r="K1633" s="270">
        <f>IF(D1633="","",VLOOKUP(D1633,契約台帳!$A$3:$L$4986,12,FALSE))</f>
        <v>50</v>
      </c>
      <c r="L1633" s="270" t="str">
        <f>IF(D1633="","",INDEX(製品マスタ!$Q$5:$Q$5002,MATCH(F1633&amp;K1633,製品マスタ!$AO$5:$AO$5002,0)))</f>
        <v>X44</v>
      </c>
      <c r="M1633" s="39">
        <v>1120</v>
      </c>
      <c r="N1633" s="39">
        <v>12000</v>
      </c>
      <c r="O1633" s="47">
        <v>3</v>
      </c>
      <c r="P1633" s="57"/>
      <c r="Q1633" s="276">
        <f>IF(D1633="","",IF(J1633="リード付け",M1633,VLOOKUP(D1633,契約台帳!$A$3:$N$4986,14,FALSE)))</f>
        <v>1120</v>
      </c>
      <c r="R1633" s="277">
        <f>IF(D1633="","",IF(J1633="リード付け",M1633,VLOOKUP(D1633,契約台帳!$A$3:$O$4986,15,FALSE)))</f>
        <v>1120</v>
      </c>
      <c r="S1633" s="277">
        <f>IF(D1633="","",IF(J1633="リード付け",N1633,VLOOKUP(D1633,契約台帳!$A$3:$P$4986,16,FALSE)))</f>
        <v>4000</v>
      </c>
      <c r="T1633" s="40">
        <v>9</v>
      </c>
      <c r="U1633" s="278">
        <f ca="1">IF(D1633="","",IF(OFFSET(D1633,-2,0)=D1633,"",VLOOKUP(D1633,契約台帳!$A$3:$R$4986,18,FALSE)))</f>
        <v>10</v>
      </c>
      <c r="V1633" s="269" t="str">
        <f>IF(J1633="巻返し",VLOOKUP(F1633&amp;K1633&amp;M1633,製品マスタ!$M$5:$AD$5002,18,FALSE),IF(J1633="リード付け","原反コア",IF(J1633="スリット",VLOOKUP(F1633&amp;K1633&amp;Q1633,製品マスタ!$N$5:$AD$5002,17,FALSE),"")))</f>
        <v>6ｲﾝﾁMｺｱ</v>
      </c>
      <c r="W1633" s="269">
        <f>IF(J1633="巻返し",VLOOKUP(F1633&amp;K1633&amp;M1633,製品マスタ!$M$5:$AE$5002,19,FALSE),IF(J1633="リード付け","-",IF(J1633="スリット",VLOOKUP(F1633&amp;K1633&amp;Q1633,製品マスタ!$N$5:$AE$5002,18,FALSE),"")))</f>
        <v>1125</v>
      </c>
      <c r="X1633" s="275">
        <f>IF(D1633="","",VLOOKUP(D1633,契約台帳!$A$3:$Q$4986,17,FALSE))</f>
        <v>2</v>
      </c>
      <c r="Y1633" s="269" t="str">
        <f>IF(D1633="","",VLOOKUP(D1633,契約台帳!$A$3:$E$4986,5,FALSE))</f>
        <v>リンテック㈱</v>
      </c>
      <c r="Z1633" s="357">
        <v>45475</v>
      </c>
      <c r="AA1633" s="207"/>
      <c r="AB1633" s="369"/>
      <c r="AC1633" s="370"/>
      <c r="AD1633" s="332" t="str">
        <f>IF(F1633="","",+F1633&amp;K1633)</f>
        <v>3SYMLBMSNMBF50</v>
      </c>
      <c r="AE1633" s="216">
        <f>+M1633*N1633*O1633/1000</f>
        <v>40320</v>
      </c>
      <c r="AF1633" s="43">
        <f>IF(AD1633="","",VLOOKUP(AD1633,原価マスタ!$A$2:$AJ$1693,13,FALSE))</f>
        <v>98.8</v>
      </c>
      <c r="AG1633" s="47">
        <f>IF(AF1633="","",+AE1633*AF1633/100)</f>
        <v>39836.160000000003</v>
      </c>
      <c r="AH1633" s="30"/>
      <c r="AI1633" s="30"/>
      <c r="AJ1633" s="30"/>
      <c r="AK1633" s="30"/>
      <c r="AL1633" s="13"/>
      <c r="AM1633" s="13"/>
      <c r="AN1633" s="13"/>
      <c r="AO1633" s="13"/>
      <c r="AP1633" s="13"/>
      <c r="AQ1633" s="14"/>
      <c r="AR1633" s="15"/>
    </row>
    <row r="1634" spans="1:44" s="17" customFormat="1" ht="30.95" hidden="1" customHeight="1" x14ac:dyDescent="0.2">
      <c r="A1634" s="343"/>
      <c r="B1634" s="344"/>
      <c r="C1634" s="345"/>
      <c r="D1634" s="398"/>
      <c r="E1634" s="31"/>
      <c r="F1634" s="268"/>
      <c r="G1634" s="269"/>
      <c r="H1634" s="269"/>
      <c r="I1634" s="270"/>
      <c r="J1634" s="32"/>
      <c r="K1634" s="270"/>
      <c r="L1634" s="270"/>
      <c r="M1634" s="39"/>
      <c r="N1634" s="39"/>
      <c r="O1634" s="47"/>
      <c r="P1634" s="57"/>
      <c r="Q1634" s="276"/>
      <c r="R1634" s="277"/>
      <c r="S1634" s="277"/>
      <c r="T1634" s="40"/>
      <c r="U1634" s="278"/>
      <c r="V1634" s="269"/>
      <c r="W1634" s="269"/>
      <c r="X1634" s="275"/>
      <c r="Y1634" s="269"/>
      <c r="Z1634" s="357"/>
      <c r="AA1634" s="207"/>
      <c r="AB1634" s="369"/>
      <c r="AC1634" s="370"/>
      <c r="AD1634" s="332"/>
      <c r="AE1634" s="216"/>
      <c r="AF1634" s="43"/>
      <c r="AG1634" s="47"/>
      <c r="AH1634" s="30"/>
      <c r="AI1634" s="30"/>
      <c r="AJ1634" s="30"/>
      <c r="AK1634" s="30"/>
      <c r="AL1634" s="13"/>
      <c r="AM1634" s="13"/>
      <c r="AN1634" s="13"/>
      <c r="AO1634" s="13"/>
      <c r="AP1634" s="13"/>
      <c r="AQ1634" s="14"/>
      <c r="AR1634" s="15"/>
    </row>
    <row r="1635" spans="1:44" s="17" customFormat="1" ht="30.95" hidden="1" customHeight="1" x14ac:dyDescent="0.2">
      <c r="A1635" s="320"/>
      <c r="B1635" s="321"/>
      <c r="C1635" s="345"/>
      <c r="D1635" s="398">
        <v>3758082</v>
      </c>
      <c r="E1635" s="31">
        <v>4151692</v>
      </c>
      <c r="F1635" s="268" t="str">
        <f>IF(D1635="","",VLOOKUP(D1635,契約台帳!$A$3:$K$4986,6,FALSE)&amp;VLOOKUP(D1635,契約台帳!$A$3:$K$4986,7,FALSE)&amp;VLOOKUP(D1635,契約台帳!$A$3:$K$4986,8,FALSE)&amp;VLOOKUP(D1635,契約台帳!$A$3:$K$4986,9,FALSE)&amp;VLOOKUP(D1635,契約台帳!$A$3:$K$4986,11,FALSE))</f>
        <v>3SYMLBMSNMBF</v>
      </c>
      <c r="G1635" s="269" t="str">
        <f>IF(D1635="","",VLOOKUP(F1635,製品マスタ!$G$5:$H$5002,2,FALSE))</f>
        <v>S</v>
      </c>
      <c r="H1635" s="269" t="str">
        <f>IF(D1635="","",VLOOKUP(F1635,製品マスタ!$G$5:$K$5002,5,FALSE))</f>
        <v>MSNMBF</v>
      </c>
      <c r="I1635" s="270" t="str">
        <f>IF(D1635="","",VLOOKUP(F1635,製品マスタ!$G$5:$L$5002,6,FALSE))</f>
        <v>ＭＥＴＡＬＵＭＹ　ＳＩＬＶＥＲ　Ｎ－ＭＡＴＴＥ　Ｘ４４Ｍ　Ｂ</v>
      </c>
      <c r="J1635" s="32" t="s">
        <v>447</v>
      </c>
      <c r="K1635" s="270">
        <f>IF(D1635="","",VLOOKUP(D1635,契約台帳!$A$3:$L$4986,12,FALSE))</f>
        <v>50</v>
      </c>
      <c r="L1635" s="270" t="str">
        <f>IF(D1635="","",INDEX(製品マスタ!$Q$5:$Q$5002,MATCH(F1635&amp;K1635,製品マスタ!$AO$5:$AO$5002,0)))</f>
        <v>X44</v>
      </c>
      <c r="M1635" s="39">
        <v>1120</v>
      </c>
      <c r="N1635" s="39">
        <v>12000</v>
      </c>
      <c r="O1635" s="47">
        <v>1</v>
      </c>
      <c r="P1635" s="57"/>
      <c r="Q1635" s="276">
        <f>IF(D1635="","",IF(J1635="リード付け",M1635,VLOOKUP(D1635,契約台帳!$A$3:$N$4986,14,FALSE)))</f>
        <v>1120</v>
      </c>
      <c r="R1635" s="277">
        <f>IF(D1635="","",IF(J1635="リード付け",M1635,VLOOKUP(D1635,契約台帳!$A$3:$O$4986,15,FALSE)))</f>
        <v>1120</v>
      </c>
      <c r="S1635" s="277">
        <f>IF(D1635="","",IF(J1635="リード付け",N1635,VLOOKUP(D1635,契約台帳!$A$3:$P$4986,16,FALSE)))</f>
        <v>4000</v>
      </c>
      <c r="T1635" s="40">
        <v>1</v>
      </c>
      <c r="U1635" s="278" t="str">
        <f ca="1">IF(D1635="","",IF(OFFSET(D1635,-2,0)=D1635,"",VLOOKUP(D1635,契約台帳!$A$3:$R$4986,18,FALSE)))</f>
        <v/>
      </c>
      <c r="V1635" s="269" t="str">
        <f>IF(J1635="巻返し",VLOOKUP(F1635&amp;K1635&amp;M1635,製品マスタ!$M$5:$AD$5002,18,FALSE),IF(J1635="リード付け","原反コア",IF(J1635="スリット",VLOOKUP(F1635&amp;K1635&amp;Q1635,製品マスタ!$N$5:$AD$5002,17,FALSE),"")))</f>
        <v>6ｲﾝﾁMｺｱ</v>
      </c>
      <c r="W1635" s="269">
        <f>IF(J1635="巻返し",VLOOKUP(F1635&amp;K1635&amp;M1635,製品マスタ!$M$5:$AE$5002,19,FALSE),IF(J1635="リード付け","-",IF(J1635="スリット",VLOOKUP(F1635&amp;K1635&amp;Q1635,製品マスタ!$N$5:$AE$5002,18,FALSE),"")))</f>
        <v>1125</v>
      </c>
      <c r="X1635" s="275">
        <f>IF(D1635="","",VLOOKUP(D1635,契約台帳!$A$3:$Q$4986,17,FALSE))</f>
        <v>2</v>
      </c>
      <c r="Y1635" s="269" t="str">
        <f>IF(D1635="","",VLOOKUP(D1635,契約台帳!$A$3:$E$4986,5,FALSE))</f>
        <v>リンテック㈱</v>
      </c>
      <c r="Z1635" s="357">
        <v>45475</v>
      </c>
      <c r="AA1635" s="207"/>
      <c r="AB1635" s="369"/>
      <c r="AC1635" s="370"/>
      <c r="AD1635" s="332" t="str">
        <f>IF(F1635="","",+F1635&amp;K1635)</f>
        <v>3SYMLBMSNMBF50</v>
      </c>
      <c r="AE1635" s="216">
        <f>+M1635*N1635*O1635/1000</f>
        <v>13440</v>
      </c>
      <c r="AF1635" s="43">
        <f>IF(AD1635="","",VLOOKUP(AD1635,原価マスタ!$A$2:$AJ$1693,13,FALSE))</f>
        <v>98.8</v>
      </c>
      <c r="AG1635" s="47">
        <f>IF(AF1635="","",+AE1635*AF1635/100)</f>
        <v>13278.72</v>
      </c>
      <c r="AH1635" s="30"/>
      <c r="AI1635" s="30"/>
      <c r="AJ1635" s="30"/>
      <c r="AK1635" s="30"/>
      <c r="AL1635" s="13"/>
      <c r="AM1635" s="13"/>
      <c r="AN1635" s="13"/>
      <c r="AO1635" s="13"/>
      <c r="AP1635" s="13"/>
      <c r="AQ1635" s="14"/>
      <c r="AR1635" s="15"/>
    </row>
    <row r="1636" spans="1:44" s="17" customFormat="1" ht="30.95" hidden="1" customHeight="1" x14ac:dyDescent="0.2">
      <c r="A1636" s="320"/>
      <c r="B1636" s="321"/>
      <c r="C1636" s="345"/>
      <c r="D1636" s="398">
        <v>3758083</v>
      </c>
      <c r="E1636" s="31"/>
      <c r="F1636" s="268" t="str">
        <f>IF(D1636="","",VLOOKUP(D1636,契約台帳!$A$3:$K$4986,6,FALSE)&amp;VLOOKUP(D1636,契約台帳!$A$3:$K$4986,7,FALSE)&amp;VLOOKUP(D1636,契約台帳!$A$3:$K$4986,8,FALSE)&amp;VLOOKUP(D1636,契約台帳!$A$3:$K$4986,9,FALSE)&amp;VLOOKUP(D1636,契約台帳!$A$3:$K$4986,11,FALSE))</f>
        <v>3SYMLBMSNMBF</v>
      </c>
      <c r="G1636" s="269" t="str">
        <f>IF(D1636="","",VLOOKUP(F1636,製品マスタ!$G$5:$H$5002,2,FALSE))</f>
        <v>S</v>
      </c>
      <c r="H1636" s="269" t="str">
        <f>IF(D1636="","",VLOOKUP(F1636,製品マスタ!$G$5:$K$5002,5,FALSE))</f>
        <v>MSNMBF</v>
      </c>
      <c r="I1636" s="270" t="str">
        <f>IF(D1636="","",VLOOKUP(F1636,製品マスタ!$G$5:$L$5002,6,FALSE))</f>
        <v>ＭＥＴＡＬＵＭＹ　ＳＩＬＶＥＲ　Ｎ－ＭＡＴＴＥ　Ｘ４４Ｍ　Ｂ</v>
      </c>
      <c r="J1636" s="32" t="s">
        <v>447</v>
      </c>
      <c r="K1636" s="270">
        <f>IF(D1636="","",VLOOKUP(D1636,契約台帳!$A$3:$L$4986,12,FALSE))</f>
        <v>50</v>
      </c>
      <c r="L1636" s="270" t="str">
        <f>IF(D1636="","",INDEX(製品マスタ!$Q$5:$Q$5002,MATCH(F1636&amp;K1636,製品マスタ!$AO$5:$AO$5002,0)))</f>
        <v>X44</v>
      </c>
      <c r="M1636" s="39">
        <v>1120</v>
      </c>
      <c r="N1636" s="39">
        <v>12000</v>
      </c>
      <c r="O1636" s="47"/>
      <c r="P1636" s="57"/>
      <c r="Q1636" s="276">
        <f>IF(D1636="","",IF(J1636="リード付け",M1636,VLOOKUP(D1636,契約台帳!$A$3:$N$4986,14,FALSE)))</f>
        <v>1120</v>
      </c>
      <c r="R1636" s="277">
        <f>IF(D1636="","",IF(J1636="リード付け",M1636,VLOOKUP(D1636,契約台帳!$A$3:$O$4986,15,FALSE)))</f>
        <v>1120</v>
      </c>
      <c r="S1636" s="277">
        <f>IF(D1636="","",IF(J1636="リード付け",N1636,VLOOKUP(D1636,契約台帳!$A$3:$P$4986,16,FALSE)))</f>
        <v>4000</v>
      </c>
      <c r="T1636" s="40">
        <v>2</v>
      </c>
      <c r="U1636" s="278">
        <f ca="1">IF(D1636="","",IF(OFFSET(D1636,-2,0)=D1636,"",VLOOKUP(D1636,契約台帳!$A$3:$R$4986,18,FALSE)))</f>
        <v>10</v>
      </c>
      <c r="V1636" s="269" t="str">
        <f>IF(J1636="巻返し",VLOOKUP(F1636&amp;K1636&amp;M1636,製品マスタ!$M$5:$AD$5002,18,FALSE),IF(J1636="リード付け","原反コア",IF(J1636="スリット",VLOOKUP(F1636&amp;K1636&amp;Q1636,製品マスタ!$N$5:$AD$5002,17,FALSE),"")))</f>
        <v>6ｲﾝﾁMｺｱ</v>
      </c>
      <c r="W1636" s="269">
        <f>IF(J1636="巻返し",VLOOKUP(F1636&amp;K1636&amp;M1636,製品マスタ!$M$5:$AE$5002,19,FALSE),IF(J1636="リード付け","-",IF(J1636="スリット",VLOOKUP(F1636&amp;K1636&amp;Q1636,製品マスタ!$N$5:$AE$5002,18,FALSE),"")))</f>
        <v>1125</v>
      </c>
      <c r="X1636" s="275">
        <f>IF(D1636="","",VLOOKUP(D1636,契約台帳!$A$3:$Q$4986,17,FALSE))</f>
        <v>2</v>
      </c>
      <c r="Y1636" s="269" t="str">
        <f>IF(D1636="","",VLOOKUP(D1636,契約台帳!$A$3:$E$4986,5,FALSE))</f>
        <v>リンテック㈱</v>
      </c>
      <c r="Z1636" s="357"/>
      <c r="AA1636" s="207"/>
      <c r="AB1636" s="369"/>
      <c r="AC1636" s="370"/>
      <c r="AD1636" s="332" t="str">
        <f>IF(F1636="","",+F1636&amp;K1636)</f>
        <v>3SYMLBMSNMBF50</v>
      </c>
      <c r="AE1636" s="216">
        <f>+M1636*N1636*O1636/1000</f>
        <v>0</v>
      </c>
      <c r="AF1636" s="43"/>
      <c r="AG1636" s="47"/>
      <c r="AH1636" s="30"/>
      <c r="AI1636" s="30"/>
      <c r="AJ1636" s="30"/>
      <c r="AK1636" s="30"/>
      <c r="AL1636" s="13"/>
      <c r="AM1636" s="13"/>
      <c r="AN1636" s="13"/>
      <c r="AO1636" s="13"/>
      <c r="AP1636" s="13"/>
      <c r="AQ1636" s="14"/>
      <c r="AR1636" s="15"/>
    </row>
    <row r="1637" spans="1:44" s="17" customFormat="1" ht="30.95" hidden="1" customHeight="1" x14ac:dyDescent="0.2">
      <c r="A1637" s="343"/>
      <c r="B1637" s="344"/>
      <c r="C1637" s="345"/>
      <c r="D1637" s="398"/>
      <c r="E1637" s="31"/>
      <c r="F1637" s="268"/>
      <c r="G1637" s="269"/>
      <c r="H1637" s="269"/>
      <c r="I1637" s="270"/>
      <c r="J1637" s="32"/>
      <c r="K1637" s="270"/>
      <c r="L1637" s="270"/>
      <c r="M1637" s="39"/>
      <c r="N1637" s="39"/>
      <c r="O1637" s="47"/>
      <c r="P1637" s="57"/>
      <c r="Q1637" s="276"/>
      <c r="R1637" s="277"/>
      <c r="S1637" s="277"/>
      <c r="T1637" s="40"/>
      <c r="U1637" s="278"/>
      <c r="V1637" s="269"/>
      <c r="W1637" s="269"/>
      <c r="X1637" s="275"/>
      <c r="Y1637" s="269"/>
      <c r="Z1637" s="357"/>
      <c r="AA1637" s="207"/>
      <c r="AB1637" s="369"/>
      <c r="AC1637" s="370"/>
      <c r="AD1637" s="332"/>
      <c r="AE1637" s="216"/>
      <c r="AF1637" s="43"/>
      <c r="AG1637" s="47"/>
      <c r="AH1637" s="30"/>
      <c r="AI1637" s="30"/>
      <c r="AJ1637" s="30"/>
      <c r="AK1637" s="30"/>
      <c r="AL1637" s="13"/>
      <c r="AM1637" s="13"/>
      <c r="AN1637" s="13"/>
      <c r="AO1637" s="13"/>
      <c r="AP1637" s="13"/>
      <c r="AQ1637" s="14"/>
      <c r="AR1637" s="15"/>
    </row>
    <row r="1638" spans="1:44" s="17" customFormat="1" ht="30.95" hidden="1" customHeight="1" x14ac:dyDescent="0.2">
      <c r="A1638" s="320"/>
      <c r="B1638" s="321"/>
      <c r="C1638" s="345"/>
      <c r="D1638" s="398">
        <v>3758083</v>
      </c>
      <c r="E1638" s="31">
        <v>4151693</v>
      </c>
      <c r="F1638" s="268" t="str">
        <f>IF(D1638="","",VLOOKUP(D1638,契約台帳!$A$3:$K$4986,6,FALSE)&amp;VLOOKUP(D1638,契約台帳!$A$3:$K$4986,7,FALSE)&amp;VLOOKUP(D1638,契約台帳!$A$3:$K$4986,8,FALSE)&amp;VLOOKUP(D1638,契約台帳!$A$3:$K$4986,9,FALSE)&amp;VLOOKUP(D1638,契約台帳!$A$3:$K$4986,11,FALSE))</f>
        <v>3SYMLBMSNMBF</v>
      </c>
      <c r="G1638" s="269" t="str">
        <f>IF(D1638="","",VLOOKUP(F1638,製品マスタ!$G$5:$H$5002,2,FALSE))</f>
        <v>S</v>
      </c>
      <c r="H1638" s="269" t="str">
        <f>IF(D1638="","",VLOOKUP(F1638,製品マスタ!$G$5:$K$5002,5,FALSE))</f>
        <v>MSNMBF</v>
      </c>
      <c r="I1638" s="270" t="str">
        <f>IF(D1638="","",VLOOKUP(F1638,製品マスタ!$G$5:$L$5002,6,FALSE))</f>
        <v>ＭＥＴＡＬＵＭＹ　ＳＩＬＶＥＲ　Ｎ－ＭＡＴＴＥ　Ｘ４４Ｍ　Ｂ</v>
      </c>
      <c r="J1638" s="32" t="s">
        <v>447</v>
      </c>
      <c r="K1638" s="270">
        <f>IF(D1638="","",VLOOKUP(D1638,契約台帳!$A$3:$L$4986,12,FALSE))</f>
        <v>50</v>
      </c>
      <c r="L1638" s="270" t="str">
        <f>IF(D1638="","",INDEX(製品マスタ!$Q$5:$Q$5002,MATCH(F1638&amp;K1638,製品マスタ!$AO$5:$AO$5002,0)))</f>
        <v>X44</v>
      </c>
      <c r="M1638" s="39">
        <v>1120</v>
      </c>
      <c r="N1638" s="39">
        <v>12000</v>
      </c>
      <c r="O1638" s="47">
        <v>2</v>
      </c>
      <c r="P1638" s="57"/>
      <c r="Q1638" s="276">
        <f>IF(D1638="","",IF(J1638="リード付け",M1638,VLOOKUP(D1638,契約台帳!$A$3:$N$4986,14,FALSE)))</f>
        <v>1120</v>
      </c>
      <c r="R1638" s="277">
        <f>IF(D1638="","",IF(J1638="リード付け",M1638,VLOOKUP(D1638,契約台帳!$A$3:$O$4986,15,FALSE)))</f>
        <v>1120</v>
      </c>
      <c r="S1638" s="277">
        <f>IF(D1638="","",IF(J1638="リード付け",N1638,VLOOKUP(D1638,契約台帳!$A$3:$P$4986,16,FALSE)))</f>
        <v>4000</v>
      </c>
      <c r="T1638" s="40">
        <v>6</v>
      </c>
      <c r="U1638" s="278" t="str">
        <f ca="1">IF(D1638="","",IF(OFFSET(D1638,-2,0)=D1638,"",VLOOKUP(D1638,契約台帳!$A$3:$R$4986,18,FALSE)))</f>
        <v/>
      </c>
      <c r="V1638" s="269" t="str">
        <f>IF(J1638="巻返し",VLOOKUP(F1638&amp;K1638&amp;M1638,製品マスタ!$M$5:$AD$5002,18,FALSE),IF(J1638="リード付け","原反コア",IF(J1638="スリット",VLOOKUP(F1638&amp;K1638&amp;Q1638,製品マスタ!$N$5:$AD$5002,17,FALSE),"")))</f>
        <v>6ｲﾝﾁMｺｱ</v>
      </c>
      <c r="W1638" s="269">
        <f>IF(J1638="巻返し",VLOOKUP(F1638&amp;K1638&amp;M1638,製品マスタ!$M$5:$AE$5002,19,FALSE),IF(J1638="リード付け","-",IF(J1638="スリット",VLOOKUP(F1638&amp;K1638&amp;Q1638,製品マスタ!$N$5:$AE$5002,18,FALSE),"")))</f>
        <v>1125</v>
      </c>
      <c r="X1638" s="275">
        <f>IF(D1638="","",VLOOKUP(D1638,契約台帳!$A$3:$Q$4986,17,FALSE))</f>
        <v>2</v>
      </c>
      <c r="Y1638" s="269" t="str">
        <f>IF(D1638="","",VLOOKUP(D1638,契約台帳!$A$3:$E$4986,5,FALSE))</f>
        <v>リンテック㈱</v>
      </c>
      <c r="Z1638" s="357">
        <v>45475</v>
      </c>
      <c r="AA1638" s="207"/>
      <c r="AB1638" s="369"/>
      <c r="AC1638" s="370"/>
      <c r="AD1638" s="332" t="str">
        <f>IF(F1638="","",+F1638&amp;K1638)</f>
        <v>3SYMLBMSNMBF50</v>
      </c>
      <c r="AE1638" s="216">
        <f>+M1638*N1638*O1638/1000</f>
        <v>26880</v>
      </c>
      <c r="AF1638" s="43">
        <f>IF(AD1638="","",VLOOKUP(AD1638,原価マスタ!$A$2:$AJ$1693,13,FALSE))</f>
        <v>98.8</v>
      </c>
      <c r="AG1638" s="47">
        <f>IF(AF1638="","",+AE1638*AF1638/100)</f>
        <v>26557.439999999999</v>
      </c>
      <c r="AH1638" s="30"/>
      <c r="AI1638" s="30"/>
      <c r="AJ1638" s="30"/>
      <c r="AK1638" s="30"/>
      <c r="AL1638" s="13"/>
      <c r="AM1638" s="13"/>
      <c r="AN1638" s="13"/>
      <c r="AO1638" s="13"/>
      <c r="AP1638" s="13"/>
      <c r="AQ1638" s="14"/>
      <c r="AR1638" s="15"/>
    </row>
    <row r="1639" spans="1:44" s="17" customFormat="1" ht="30.95" hidden="1" customHeight="1" x14ac:dyDescent="0.2">
      <c r="A1639" s="343"/>
      <c r="B1639" s="344"/>
      <c r="C1639" s="345"/>
      <c r="D1639" s="398"/>
      <c r="E1639" s="31"/>
      <c r="F1639" s="268"/>
      <c r="G1639" s="269"/>
      <c r="H1639" s="269"/>
      <c r="I1639" s="270"/>
      <c r="J1639" s="32"/>
      <c r="K1639" s="270"/>
      <c r="L1639" s="270"/>
      <c r="M1639" s="39"/>
      <c r="N1639" s="39"/>
      <c r="O1639" s="47"/>
      <c r="P1639" s="57"/>
      <c r="Q1639" s="276"/>
      <c r="R1639" s="277"/>
      <c r="S1639" s="277"/>
      <c r="T1639" s="40"/>
      <c r="U1639" s="278"/>
      <c r="V1639" s="269"/>
      <c r="W1639" s="269"/>
      <c r="X1639" s="275"/>
      <c r="Y1639" s="269"/>
      <c r="Z1639" s="357"/>
      <c r="AA1639" s="207"/>
      <c r="AB1639" s="369"/>
      <c r="AC1639" s="370"/>
      <c r="AD1639" s="332"/>
      <c r="AE1639" s="216"/>
      <c r="AF1639" s="43"/>
      <c r="AG1639" s="47"/>
      <c r="AH1639" s="30"/>
      <c r="AI1639" s="30"/>
      <c r="AJ1639" s="30"/>
      <c r="AK1639" s="30"/>
      <c r="AL1639" s="13"/>
      <c r="AM1639" s="13"/>
      <c r="AN1639" s="13"/>
      <c r="AO1639" s="13"/>
      <c r="AP1639" s="13"/>
      <c r="AQ1639" s="14"/>
      <c r="AR1639" s="15"/>
    </row>
    <row r="1640" spans="1:44" s="17" customFormat="1" ht="30.95" hidden="1" customHeight="1" x14ac:dyDescent="0.2">
      <c r="A1640" s="320" t="s">
        <v>1215</v>
      </c>
      <c r="B1640" s="321" t="s">
        <v>444</v>
      </c>
      <c r="C1640" s="345"/>
      <c r="D1640" s="398">
        <v>3758083</v>
      </c>
      <c r="E1640" s="31">
        <v>4151693</v>
      </c>
      <c r="F1640" s="268" t="str">
        <f>IF(D1640="","",VLOOKUP(D1640,契約台帳!$A$3:$K$4986,6,FALSE)&amp;VLOOKUP(D1640,契約台帳!$A$3:$K$4986,7,FALSE)&amp;VLOOKUP(D1640,契約台帳!$A$3:$K$4986,8,FALSE)&amp;VLOOKUP(D1640,契約台帳!$A$3:$K$4986,9,FALSE)&amp;VLOOKUP(D1640,契約台帳!$A$3:$K$4986,11,FALSE))</f>
        <v>3SYMLBMSNMBF</v>
      </c>
      <c r="G1640" s="269" t="str">
        <f>IF(D1640="","",VLOOKUP(F1640,製品マスタ!$G$5:$H$5002,2,FALSE))</f>
        <v>S</v>
      </c>
      <c r="H1640" s="269" t="str">
        <f>IF(D1640="","",VLOOKUP(F1640,製品マスタ!$G$5:$K$5002,5,FALSE))</f>
        <v>MSNMBF</v>
      </c>
      <c r="I1640" s="270" t="str">
        <f>IF(D1640="","",VLOOKUP(F1640,製品マスタ!$G$5:$L$5002,6,FALSE))</f>
        <v>ＭＥＴＡＬＵＭＹ　ＳＩＬＶＥＲ　Ｎ－ＭＡＴＴＥ　Ｘ４４Ｍ　Ｂ</v>
      </c>
      <c r="J1640" s="32" t="s">
        <v>447</v>
      </c>
      <c r="K1640" s="270">
        <f>IF(D1640="","",VLOOKUP(D1640,契約台帳!$A$3:$L$4986,12,FALSE))</f>
        <v>50</v>
      </c>
      <c r="L1640" s="270" t="str">
        <f>IF(D1640="","",INDEX(製品マスタ!$Q$5:$Q$5002,MATCH(F1640&amp;K1640,製品マスタ!$AO$5:$AO$5002,0)))</f>
        <v>X44</v>
      </c>
      <c r="M1640" s="39">
        <v>1120</v>
      </c>
      <c r="N1640" s="39">
        <v>12000</v>
      </c>
      <c r="O1640" s="47">
        <v>1</v>
      </c>
      <c r="P1640" s="57"/>
      <c r="Q1640" s="276">
        <f>IF(D1640="","",IF(J1640="リード付け",M1640,VLOOKUP(D1640,契約台帳!$A$3:$N$4986,14,FALSE)))</f>
        <v>1120</v>
      </c>
      <c r="R1640" s="277">
        <f>IF(D1640="","",IF(J1640="リード付け",M1640,VLOOKUP(D1640,契約台帳!$A$3:$O$4986,15,FALSE)))</f>
        <v>1120</v>
      </c>
      <c r="S1640" s="277">
        <f>IF(D1640="","",IF(J1640="リード付け",N1640,VLOOKUP(D1640,契約台帳!$A$3:$P$4986,16,FALSE)))</f>
        <v>4000</v>
      </c>
      <c r="T1640" s="40">
        <v>2</v>
      </c>
      <c r="U1640" s="278" t="str">
        <f ca="1">IF(D1640="","",IF(OFFSET(D1640,-2,0)=D1640,"",VLOOKUP(D1640,契約台帳!$A$3:$R$4986,18,FALSE)))</f>
        <v/>
      </c>
      <c r="V1640" s="269" t="str">
        <f>IF(J1640="巻返し",VLOOKUP(F1640&amp;K1640&amp;M1640,製品マスタ!$M$5:$AD$5002,18,FALSE),IF(J1640="リード付け","原反コア",IF(J1640="スリット",VLOOKUP(F1640&amp;K1640&amp;Q1640,製品マスタ!$N$5:$AD$5002,17,FALSE),"")))</f>
        <v>6ｲﾝﾁMｺｱ</v>
      </c>
      <c r="W1640" s="269">
        <f>IF(J1640="巻返し",VLOOKUP(F1640&amp;K1640&amp;M1640,製品マスタ!$M$5:$AE$5002,19,FALSE),IF(J1640="リード付け","-",IF(J1640="スリット",VLOOKUP(F1640&amp;K1640&amp;Q1640,製品マスタ!$N$5:$AE$5002,18,FALSE),"")))</f>
        <v>1125</v>
      </c>
      <c r="X1640" s="275">
        <f>IF(D1640="","",VLOOKUP(D1640,契約台帳!$A$3:$Q$4986,17,FALSE))</f>
        <v>2</v>
      </c>
      <c r="Y1640" s="269" t="str">
        <f>IF(D1640="","",VLOOKUP(D1640,契約台帳!$A$3:$E$4986,5,FALSE))</f>
        <v>リンテック㈱</v>
      </c>
      <c r="Z1640" s="357">
        <v>45476</v>
      </c>
      <c r="AA1640" s="207"/>
      <c r="AB1640" s="369"/>
      <c r="AC1640" s="370"/>
      <c r="AD1640" s="332" t="str">
        <f>IF(F1640="","",+F1640&amp;K1640)</f>
        <v>3SYMLBMSNMBF50</v>
      </c>
      <c r="AE1640" s="216">
        <f>+M1640*N1640*O1640/1000</f>
        <v>13440</v>
      </c>
      <c r="AF1640" s="43">
        <f>IF(AD1640="","",VLOOKUP(AD1640,原価マスタ!$A$2:$AJ$1693,13,FALSE))</f>
        <v>98.8</v>
      </c>
      <c r="AG1640" s="47">
        <f>IF(AF1640="","",+AE1640*AF1640/100)</f>
        <v>13278.72</v>
      </c>
      <c r="AH1640" s="30"/>
      <c r="AI1640" s="30"/>
      <c r="AJ1640" s="30"/>
      <c r="AK1640" s="30"/>
      <c r="AL1640" s="13"/>
      <c r="AM1640" s="13"/>
      <c r="AN1640" s="13"/>
      <c r="AO1640" s="13"/>
      <c r="AP1640" s="13"/>
      <c r="AQ1640" s="14"/>
      <c r="AR1640" s="15"/>
    </row>
    <row r="1641" spans="1:44" s="17" customFormat="1" ht="30.95" hidden="1" customHeight="1" x14ac:dyDescent="0.2">
      <c r="A1641" s="320"/>
      <c r="B1641" s="321"/>
      <c r="C1641" s="345"/>
      <c r="D1641" s="398">
        <v>3758084</v>
      </c>
      <c r="E1641" s="31"/>
      <c r="F1641" s="268" t="str">
        <f>IF(D1641="","",VLOOKUP(D1641,契約台帳!$A$3:$K$4986,6,FALSE)&amp;VLOOKUP(D1641,契約台帳!$A$3:$K$4986,7,FALSE)&amp;VLOOKUP(D1641,契約台帳!$A$3:$K$4986,8,FALSE)&amp;VLOOKUP(D1641,契約台帳!$A$3:$K$4986,9,FALSE)&amp;VLOOKUP(D1641,契約台帳!$A$3:$K$4986,11,FALSE))</f>
        <v>3SYMLBMSNMBF</v>
      </c>
      <c r="G1641" s="269" t="str">
        <f>IF(D1641="","",VLOOKUP(F1641,製品マスタ!$G$5:$H$5002,2,FALSE))</f>
        <v>S</v>
      </c>
      <c r="H1641" s="269" t="str">
        <f>IF(D1641="","",VLOOKUP(F1641,製品マスタ!$G$5:$K$5002,5,FALSE))</f>
        <v>MSNMBF</v>
      </c>
      <c r="I1641" s="270" t="str">
        <f>IF(D1641="","",VLOOKUP(F1641,製品マスタ!$G$5:$L$5002,6,FALSE))</f>
        <v>ＭＥＴＡＬＵＭＹ　ＳＩＬＶＥＲ　Ｎ－ＭＡＴＴＥ　Ｘ４４Ｍ　Ｂ</v>
      </c>
      <c r="J1641" s="32" t="s">
        <v>447</v>
      </c>
      <c r="K1641" s="270">
        <f>IF(D1641="","",VLOOKUP(D1641,契約台帳!$A$3:$L$4986,12,FALSE))</f>
        <v>50</v>
      </c>
      <c r="L1641" s="270" t="str">
        <f>IF(D1641="","",INDEX(製品マスタ!$Q$5:$Q$5002,MATCH(F1641&amp;K1641,製品マスタ!$AO$5:$AO$5002,0)))</f>
        <v>X44</v>
      </c>
      <c r="M1641" s="39">
        <v>1120</v>
      </c>
      <c r="N1641" s="39">
        <v>12000</v>
      </c>
      <c r="O1641" s="47"/>
      <c r="P1641" s="57"/>
      <c r="Q1641" s="276">
        <f>IF(D1641="","",IF(J1641="リード付け",M1641,VLOOKUP(D1641,契約台帳!$A$3:$N$4986,14,FALSE)))</f>
        <v>1120</v>
      </c>
      <c r="R1641" s="277">
        <f>IF(D1641="","",IF(J1641="リード付け",M1641,VLOOKUP(D1641,契約台帳!$A$3:$O$4986,15,FALSE)))</f>
        <v>1120</v>
      </c>
      <c r="S1641" s="277">
        <f>IF(D1641="","",IF(J1641="リード付け",N1641,VLOOKUP(D1641,契約台帳!$A$3:$P$4986,16,FALSE)))</f>
        <v>4000</v>
      </c>
      <c r="T1641" s="40">
        <v>1</v>
      </c>
      <c r="U1641" s="278">
        <f ca="1">IF(D1641="","",IF(OFFSET(D1641,-2,0)=D1641,"",VLOOKUP(D1641,契約台帳!$A$3:$R$4986,18,FALSE)))</f>
        <v>20</v>
      </c>
      <c r="V1641" s="269" t="str">
        <f>IF(J1641="巻返し",VLOOKUP(F1641&amp;K1641&amp;M1641,製品マスタ!$M$5:$AD$5002,18,FALSE),IF(J1641="リード付け","原反コア",IF(J1641="スリット",VLOOKUP(F1641&amp;K1641&amp;Q1641,製品マスタ!$N$5:$AD$5002,17,FALSE),"")))</f>
        <v>6ｲﾝﾁMｺｱ</v>
      </c>
      <c r="W1641" s="269">
        <f>IF(J1641="巻返し",VLOOKUP(F1641&amp;K1641&amp;M1641,製品マスタ!$M$5:$AE$5002,19,FALSE),IF(J1641="リード付け","-",IF(J1641="スリット",VLOOKUP(F1641&amp;K1641&amp;Q1641,製品マスタ!$N$5:$AE$5002,18,FALSE),"")))</f>
        <v>1125</v>
      </c>
      <c r="X1641" s="275">
        <f>IF(D1641="","",VLOOKUP(D1641,契約台帳!$A$3:$Q$4986,17,FALSE))</f>
        <v>2</v>
      </c>
      <c r="Y1641" s="269" t="str">
        <f>IF(D1641="","",VLOOKUP(D1641,契約台帳!$A$3:$E$4986,5,FALSE))</f>
        <v>リンテック㈱</v>
      </c>
      <c r="Z1641" s="357"/>
      <c r="AA1641" s="207"/>
      <c r="AB1641" s="369"/>
      <c r="AC1641" s="370"/>
      <c r="AD1641" s="332" t="str">
        <f>IF(F1641="","",+F1641&amp;K1641)</f>
        <v>3SYMLBMSNMBF50</v>
      </c>
      <c r="AE1641" s="216">
        <f>+M1641*N1641*O1641/1000</f>
        <v>0</v>
      </c>
      <c r="AF1641" s="43"/>
      <c r="AG1641" s="47"/>
      <c r="AH1641" s="30"/>
      <c r="AI1641" s="30"/>
      <c r="AJ1641" s="30"/>
      <c r="AK1641" s="30"/>
      <c r="AL1641" s="13"/>
      <c r="AM1641" s="13"/>
      <c r="AN1641" s="13"/>
      <c r="AO1641" s="13"/>
      <c r="AP1641" s="13"/>
      <c r="AQ1641" s="14"/>
      <c r="AR1641" s="15"/>
    </row>
    <row r="1642" spans="1:44" s="17" customFormat="1" ht="30.95" hidden="1" customHeight="1" x14ac:dyDescent="0.2">
      <c r="A1642" s="343"/>
      <c r="B1642" s="344"/>
      <c r="C1642" s="345"/>
      <c r="D1642" s="398"/>
      <c r="E1642" s="31"/>
      <c r="F1642" s="268"/>
      <c r="G1642" s="269"/>
      <c r="H1642" s="269"/>
      <c r="I1642" s="270"/>
      <c r="J1642" s="32"/>
      <c r="K1642" s="270"/>
      <c r="L1642" s="270"/>
      <c r="M1642" s="39"/>
      <c r="N1642" s="39"/>
      <c r="O1642" s="47"/>
      <c r="P1642" s="57"/>
      <c r="Q1642" s="276"/>
      <c r="R1642" s="277"/>
      <c r="S1642" s="277"/>
      <c r="T1642" s="40"/>
      <c r="U1642" s="278"/>
      <c r="V1642" s="269"/>
      <c r="W1642" s="269"/>
      <c r="X1642" s="275"/>
      <c r="Y1642" s="269"/>
      <c r="Z1642" s="357"/>
      <c r="AA1642" s="207"/>
      <c r="AB1642" s="369"/>
      <c r="AC1642" s="370"/>
      <c r="AD1642" s="332"/>
      <c r="AE1642" s="216"/>
      <c r="AF1642" s="43"/>
      <c r="AG1642" s="47"/>
      <c r="AH1642" s="30"/>
      <c r="AI1642" s="30"/>
      <c r="AJ1642" s="30"/>
      <c r="AK1642" s="30"/>
      <c r="AL1642" s="13"/>
      <c r="AM1642" s="13"/>
      <c r="AN1642" s="13"/>
      <c r="AO1642" s="13"/>
      <c r="AP1642" s="13"/>
      <c r="AQ1642" s="14"/>
      <c r="AR1642" s="15"/>
    </row>
    <row r="1643" spans="1:44" s="17" customFormat="1" ht="30.95" hidden="1" customHeight="1" x14ac:dyDescent="0.2">
      <c r="A1643" s="320"/>
      <c r="B1643" s="321"/>
      <c r="C1643" s="345"/>
      <c r="D1643" s="398">
        <v>3758084</v>
      </c>
      <c r="E1643" s="31">
        <v>4151694</v>
      </c>
      <c r="F1643" s="268" t="str">
        <f>IF(D1643="","",VLOOKUP(D1643,契約台帳!$A$3:$K$4986,6,FALSE)&amp;VLOOKUP(D1643,契約台帳!$A$3:$K$4986,7,FALSE)&amp;VLOOKUP(D1643,契約台帳!$A$3:$K$4986,8,FALSE)&amp;VLOOKUP(D1643,契約台帳!$A$3:$K$4986,9,FALSE)&amp;VLOOKUP(D1643,契約台帳!$A$3:$K$4986,11,FALSE))</f>
        <v>3SYMLBMSNMBF</v>
      </c>
      <c r="G1643" s="269" t="str">
        <f>IF(D1643="","",VLOOKUP(F1643,製品マスタ!$G$5:$H$5002,2,FALSE))</f>
        <v>S</v>
      </c>
      <c r="H1643" s="269" t="str">
        <f>IF(D1643="","",VLOOKUP(F1643,製品マスタ!$G$5:$K$5002,5,FALSE))</f>
        <v>MSNMBF</v>
      </c>
      <c r="I1643" s="270" t="str">
        <f>IF(D1643="","",VLOOKUP(F1643,製品マスタ!$G$5:$L$5002,6,FALSE))</f>
        <v>ＭＥＴＡＬＵＭＹ　ＳＩＬＶＥＲ　Ｎ－ＭＡＴＴＥ　Ｘ４４Ｍ　Ｂ</v>
      </c>
      <c r="J1643" s="32" t="s">
        <v>447</v>
      </c>
      <c r="K1643" s="270">
        <f>IF(D1643="","",VLOOKUP(D1643,契約台帳!$A$3:$L$4986,12,FALSE))</f>
        <v>50</v>
      </c>
      <c r="L1643" s="270" t="str">
        <f>IF(D1643="","",INDEX(製品マスタ!$Q$5:$Q$5002,MATCH(F1643&amp;K1643,製品マスタ!$AO$5:$AO$5002,0)))</f>
        <v>X44</v>
      </c>
      <c r="M1643" s="39">
        <v>1120</v>
      </c>
      <c r="N1643" s="39">
        <v>12000</v>
      </c>
      <c r="O1643" s="47">
        <v>2</v>
      </c>
      <c r="P1643" s="57"/>
      <c r="Q1643" s="276">
        <f>IF(D1643="","",IF(J1643="リード付け",M1643,VLOOKUP(D1643,契約台帳!$A$3:$N$4986,14,FALSE)))</f>
        <v>1120</v>
      </c>
      <c r="R1643" s="277">
        <f>IF(D1643="","",IF(J1643="リード付け",M1643,VLOOKUP(D1643,契約台帳!$A$3:$O$4986,15,FALSE)))</f>
        <v>1120</v>
      </c>
      <c r="S1643" s="277">
        <f>IF(D1643="","",IF(J1643="リード付け",N1643,VLOOKUP(D1643,契約台帳!$A$3:$P$4986,16,FALSE)))</f>
        <v>4000</v>
      </c>
      <c r="T1643" s="40">
        <v>6</v>
      </c>
      <c r="U1643" s="278" t="str">
        <f ca="1">IF(D1643="","",IF(OFFSET(D1643,-2,0)=D1643,"",VLOOKUP(D1643,契約台帳!$A$3:$R$4986,18,FALSE)))</f>
        <v/>
      </c>
      <c r="V1643" s="269" t="str">
        <f>IF(J1643="巻返し",VLOOKUP(F1643&amp;K1643&amp;M1643,製品マスタ!$M$5:$AD$5002,18,FALSE),IF(J1643="リード付け","原反コア",IF(J1643="スリット",VLOOKUP(F1643&amp;K1643&amp;Q1643,製品マスタ!$N$5:$AD$5002,17,FALSE),"")))</f>
        <v>6ｲﾝﾁMｺｱ</v>
      </c>
      <c r="W1643" s="269">
        <f>IF(J1643="巻返し",VLOOKUP(F1643&amp;K1643&amp;M1643,製品マスタ!$M$5:$AE$5002,19,FALSE),IF(J1643="リード付け","-",IF(J1643="スリット",VLOOKUP(F1643&amp;K1643&amp;Q1643,製品マスタ!$N$5:$AE$5002,18,FALSE),"")))</f>
        <v>1125</v>
      </c>
      <c r="X1643" s="275">
        <f>IF(D1643="","",VLOOKUP(D1643,契約台帳!$A$3:$Q$4986,17,FALSE))</f>
        <v>2</v>
      </c>
      <c r="Y1643" s="269" t="str">
        <f>IF(D1643="","",VLOOKUP(D1643,契約台帳!$A$3:$E$4986,5,FALSE))</f>
        <v>リンテック㈱</v>
      </c>
      <c r="Z1643" s="357">
        <v>45476</v>
      </c>
      <c r="AA1643" s="207"/>
      <c r="AB1643" s="369"/>
      <c r="AC1643" s="370"/>
      <c r="AD1643" s="332" t="str">
        <f>IF(F1643="","",+F1643&amp;K1643)</f>
        <v>3SYMLBMSNMBF50</v>
      </c>
      <c r="AE1643" s="216">
        <f>+M1643*N1643*O1643/1000</f>
        <v>26880</v>
      </c>
      <c r="AF1643" s="43">
        <f>IF(AD1643="","",VLOOKUP(AD1643,原価マスタ!$A$2:$AJ$1693,13,FALSE))</f>
        <v>98.8</v>
      </c>
      <c r="AG1643" s="47">
        <f>IF(AF1643="","",+AE1643*AF1643/100)</f>
        <v>26557.439999999999</v>
      </c>
      <c r="AH1643" s="30"/>
      <c r="AI1643" s="30"/>
      <c r="AJ1643" s="30"/>
      <c r="AK1643" s="30"/>
      <c r="AL1643" s="13"/>
      <c r="AM1643" s="13"/>
      <c r="AN1643" s="13"/>
      <c r="AO1643" s="13"/>
      <c r="AP1643" s="13"/>
      <c r="AQ1643" s="14"/>
      <c r="AR1643" s="15"/>
    </row>
    <row r="1644" spans="1:44" s="17" customFormat="1" ht="30.95" hidden="1" customHeight="1" x14ac:dyDescent="0.2">
      <c r="A1644" s="343"/>
      <c r="B1644" s="344"/>
      <c r="C1644" s="345"/>
      <c r="D1644" s="398"/>
      <c r="E1644" s="31"/>
      <c r="F1644" s="268"/>
      <c r="G1644" s="269"/>
      <c r="H1644" s="269"/>
      <c r="I1644" s="270"/>
      <c r="J1644" s="32"/>
      <c r="K1644" s="270"/>
      <c r="L1644" s="270"/>
      <c r="M1644" s="39"/>
      <c r="N1644" s="39"/>
      <c r="O1644" s="47"/>
      <c r="P1644" s="57"/>
      <c r="Q1644" s="276"/>
      <c r="R1644" s="277"/>
      <c r="S1644" s="277"/>
      <c r="T1644" s="40"/>
      <c r="U1644" s="278"/>
      <c r="V1644" s="269"/>
      <c r="W1644" s="269"/>
      <c r="X1644" s="275"/>
      <c r="Y1644" s="269"/>
      <c r="Z1644" s="357"/>
      <c r="AA1644" s="207"/>
      <c r="AB1644" s="369"/>
      <c r="AC1644" s="370"/>
      <c r="AD1644" s="332"/>
      <c r="AE1644" s="216"/>
      <c r="AF1644" s="43"/>
      <c r="AG1644" s="47"/>
      <c r="AH1644" s="30"/>
      <c r="AI1644" s="30"/>
      <c r="AJ1644" s="30"/>
      <c r="AK1644" s="30"/>
      <c r="AL1644" s="13"/>
      <c r="AM1644" s="13"/>
      <c r="AN1644" s="13"/>
      <c r="AO1644" s="13"/>
      <c r="AP1644" s="13"/>
      <c r="AQ1644" s="14"/>
      <c r="AR1644" s="15"/>
    </row>
    <row r="1645" spans="1:44" s="17" customFormat="1" ht="30.95" hidden="1" customHeight="1" x14ac:dyDescent="0.2">
      <c r="A1645" s="320"/>
      <c r="B1645" s="321"/>
      <c r="C1645" s="345"/>
      <c r="D1645" s="398">
        <v>3758084</v>
      </c>
      <c r="E1645" s="31">
        <v>4151694</v>
      </c>
      <c r="F1645" s="268" t="str">
        <f>IF(D1645="","",VLOOKUP(D1645,契約台帳!$A$3:$K$4986,6,FALSE)&amp;VLOOKUP(D1645,契約台帳!$A$3:$K$4986,7,FALSE)&amp;VLOOKUP(D1645,契約台帳!$A$3:$K$4986,8,FALSE)&amp;VLOOKUP(D1645,契約台帳!$A$3:$K$4986,9,FALSE)&amp;VLOOKUP(D1645,契約台帳!$A$3:$K$4986,11,FALSE))</f>
        <v>3SYMLBMSNMBF</v>
      </c>
      <c r="G1645" s="269" t="str">
        <f>IF(D1645="","",VLOOKUP(F1645,製品マスタ!$G$5:$H$5002,2,FALSE))</f>
        <v>S</v>
      </c>
      <c r="H1645" s="269" t="str">
        <f>IF(D1645="","",VLOOKUP(F1645,製品マスタ!$G$5:$K$5002,5,FALSE))</f>
        <v>MSNMBF</v>
      </c>
      <c r="I1645" s="270" t="str">
        <f>IF(D1645="","",VLOOKUP(F1645,製品マスタ!$G$5:$L$5002,6,FALSE))</f>
        <v>ＭＥＴＡＬＵＭＹ　ＳＩＬＶＥＲ　Ｎ－ＭＡＴＴＥ　Ｘ４４Ｍ　Ｂ</v>
      </c>
      <c r="J1645" s="32" t="s">
        <v>447</v>
      </c>
      <c r="K1645" s="270">
        <f>IF(D1645="","",VLOOKUP(D1645,契約台帳!$A$3:$L$4986,12,FALSE))</f>
        <v>50</v>
      </c>
      <c r="L1645" s="270" t="str">
        <f>IF(D1645="","",INDEX(製品マスタ!$Q$5:$Q$5002,MATCH(F1645&amp;K1645,製品マスタ!$AO$5:$AO$5002,0)))</f>
        <v>X44</v>
      </c>
      <c r="M1645" s="39">
        <v>1120</v>
      </c>
      <c r="N1645" s="39">
        <v>12000</v>
      </c>
      <c r="O1645" s="47">
        <v>1</v>
      </c>
      <c r="P1645" s="57"/>
      <c r="Q1645" s="276">
        <f>IF(D1645="","",IF(J1645="リード付け",M1645,VLOOKUP(D1645,契約台帳!$A$3:$N$4986,14,FALSE)))</f>
        <v>1120</v>
      </c>
      <c r="R1645" s="277">
        <f>IF(D1645="","",IF(J1645="リード付け",M1645,VLOOKUP(D1645,契約台帳!$A$3:$O$4986,15,FALSE)))</f>
        <v>1120</v>
      </c>
      <c r="S1645" s="277">
        <f>IF(D1645="","",IF(J1645="リード付け",N1645,VLOOKUP(D1645,契約台帳!$A$3:$P$4986,16,FALSE)))</f>
        <v>4000</v>
      </c>
      <c r="T1645" s="40">
        <v>2</v>
      </c>
      <c r="U1645" s="278" t="str">
        <f ca="1">IF(D1645="","",IF(OFFSET(D1645,-2,0)=D1645,"",VLOOKUP(D1645,契約台帳!$A$3:$R$4986,18,FALSE)))</f>
        <v/>
      </c>
      <c r="V1645" s="269" t="str">
        <f>IF(J1645="巻返し",VLOOKUP(F1645&amp;K1645&amp;M1645,製品マスタ!$M$5:$AD$5002,18,FALSE),IF(J1645="リード付け","原反コア",IF(J1645="スリット",VLOOKUP(F1645&amp;K1645&amp;Q1645,製品マスタ!$N$5:$AD$5002,17,FALSE),"")))</f>
        <v>6ｲﾝﾁMｺｱ</v>
      </c>
      <c r="W1645" s="269">
        <f>IF(J1645="巻返し",VLOOKUP(F1645&amp;K1645&amp;M1645,製品マスタ!$M$5:$AE$5002,19,FALSE),IF(J1645="リード付け","-",IF(J1645="スリット",VLOOKUP(F1645&amp;K1645&amp;Q1645,製品マスタ!$N$5:$AE$5002,18,FALSE),"")))</f>
        <v>1125</v>
      </c>
      <c r="X1645" s="275">
        <f>IF(D1645="","",VLOOKUP(D1645,契約台帳!$A$3:$Q$4986,17,FALSE))</f>
        <v>2</v>
      </c>
      <c r="Y1645" s="269" t="str">
        <f>IF(D1645="","",VLOOKUP(D1645,契約台帳!$A$3:$E$4986,5,FALSE))</f>
        <v>リンテック㈱</v>
      </c>
      <c r="Z1645" s="357">
        <v>45476</v>
      </c>
      <c r="AA1645" s="207"/>
      <c r="AB1645" s="369"/>
      <c r="AC1645" s="370"/>
      <c r="AD1645" s="332" t="str">
        <f>IF(F1645="","",+F1645&amp;K1645)</f>
        <v>3SYMLBMSNMBF50</v>
      </c>
      <c r="AE1645" s="216">
        <f>+M1645*N1645*O1645/1000</f>
        <v>13440</v>
      </c>
      <c r="AF1645" s="43">
        <f>IF(AD1645="","",VLOOKUP(AD1645,原価マスタ!$A$2:$AJ$1693,13,FALSE))</f>
        <v>98.8</v>
      </c>
      <c r="AG1645" s="47">
        <f>IF(AF1645="","",+AE1645*AF1645/100)</f>
        <v>13278.72</v>
      </c>
      <c r="AH1645" s="30"/>
      <c r="AI1645" s="30"/>
      <c r="AJ1645" s="30"/>
      <c r="AK1645" s="30"/>
      <c r="AL1645" s="13"/>
      <c r="AM1645" s="13"/>
      <c r="AN1645" s="13"/>
      <c r="AO1645" s="13"/>
      <c r="AP1645" s="13"/>
      <c r="AQ1645" s="14"/>
      <c r="AR1645" s="15"/>
    </row>
    <row r="1646" spans="1:44" s="17" customFormat="1" ht="30.95" hidden="1" customHeight="1" x14ac:dyDescent="0.2">
      <c r="A1646" s="320"/>
      <c r="B1646" s="321"/>
      <c r="C1646" s="345"/>
      <c r="D1646" s="398">
        <v>3758088</v>
      </c>
      <c r="E1646" s="31"/>
      <c r="F1646" s="268" t="str">
        <f>IF(D1646="","",VLOOKUP(D1646,契約台帳!$A$3:$K$4986,6,FALSE)&amp;VLOOKUP(D1646,契約台帳!$A$3:$K$4986,7,FALSE)&amp;VLOOKUP(D1646,契約台帳!$A$3:$K$4986,8,FALSE)&amp;VLOOKUP(D1646,契約台帳!$A$3:$K$4986,9,FALSE)&amp;VLOOKUP(D1646,契約台帳!$A$3:$K$4986,11,FALSE))</f>
        <v>3SYMLBMSNMBF</v>
      </c>
      <c r="G1646" s="269" t="str">
        <f>IF(D1646="","",VLOOKUP(F1646,製品マスタ!$G$5:$H$5002,2,FALSE))</f>
        <v>S</v>
      </c>
      <c r="H1646" s="269" t="str">
        <f>IF(D1646="","",VLOOKUP(F1646,製品マスタ!$G$5:$K$5002,5,FALSE))</f>
        <v>MSNMBF</v>
      </c>
      <c r="I1646" s="270" t="str">
        <f>IF(D1646="","",VLOOKUP(F1646,製品マスタ!$G$5:$L$5002,6,FALSE))</f>
        <v>ＭＥＴＡＬＵＭＹ　ＳＩＬＶＥＲ　Ｎ－ＭＡＴＴＥ　Ｘ４４Ｍ　Ｂ</v>
      </c>
      <c r="J1646" s="32" t="s">
        <v>447</v>
      </c>
      <c r="K1646" s="270">
        <f>IF(D1646="","",VLOOKUP(D1646,契約台帳!$A$3:$L$4986,12,FALSE))</f>
        <v>50</v>
      </c>
      <c r="L1646" s="270" t="str">
        <f>IF(D1646="","",INDEX(製品マスタ!$Q$5:$Q$5002,MATCH(F1646&amp;K1646,製品マスタ!$AO$5:$AO$5002,0)))</f>
        <v>X44</v>
      </c>
      <c r="M1646" s="39">
        <v>1120</v>
      </c>
      <c r="N1646" s="39">
        <v>12000</v>
      </c>
      <c r="O1646" s="47"/>
      <c r="P1646" s="57"/>
      <c r="Q1646" s="276">
        <f>IF(D1646="","",IF(J1646="リード付け",M1646,VLOOKUP(D1646,契約台帳!$A$3:$N$4986,14,FALSE)))</f>
        <v>1120</v>
      </c>
      <c r="R1646" s="277">
        <f>IF(D1646="","",IF(J1646="リード付け",M1646,VLOOKUP(D1646,契約台帳!$A$3:$O$4986,15,FALSE)))</f>
        <v>1120</v>
      </c>
      <c r="S1646" s="277">
        <f>IF(D1646="","",IF(J1646="リード付け",N1646,VLOOKUP(D1646,契約台帳!$A$3:$P$4986,16,FALSE)))</f>
        <v>4000</v>
      </c>
      <c r="T1646" s="40">
        <v>1</v>
      </c>
      <c r="U1646" s="278">
        <f ca="1">IF(D1646="","",IF(OFFSET(D1646,-2,0)=D1646,"",VLOOKUP(D1646,契約台帳!$A$3:$R$4986,18,FALSE)))</f>
        <v>8</v>
      </c>
      <c r="V1646" s="269" t="str">
        <f>IF(J1646="巻返し",VLOOKUP(F1646&amp;K1646&amp;M1646,製品マスタ!$M$5:$AD$5002,18,FALSE),IF(J1646="リード付け","原反コア",IF(J1646="スリット",VLOOKUP(F1646&amp;K1646&amp;Q1646,製品マスタ!$N$5:$AD$5002,17,FALSE),"")))</f>
        <v>6ｲﾝﾁMｺｱ</v>
      </c>
      <c r="W1646" s="269">
        <f>IF(J1646="巻返し",VLOOKUP(F1646&amp;K1646&amp;M1646,製品マスタ!$M$5:$AE$5002,19,FALSE),IF(J1646="リード付け","-",IF(J1646="スリット",VLOOKUP(F1646&amp;K1646&amp;Q1646,製品マスタ!$N$5:$AE$5002,18,FALSE),"")))</f>
        <v>1125</v>
      </c>
      <c r="X1646" s="275">
        <f>IF(D1646="","",VLOOKUP(D1646,契約台帳!$A$3:$Q$4986,17,FALSE))</f>
        <v>2</v>
      </c>
      <c r="Y1646" s="269" t="str">
        <f>IF(D1646="","",VLOOKUP(D1646,契約台帳!$A$3:$E$4986,5,FALSE))</f>
        <v>リンテック㈱</v>
      </c>
      <c r="Z1646" s="357"/>
      <c r="AA1646" s="207"/>
      <c r="AB1646" s="369"/>
      <c r="AC1646" s="370"/>
      <c r="AD1646" s="332" t="str">
        <f>IF(F1646="","",+F1646&amp;K1646)</f>
        <v>3SYMLBMSNMBF50</v>
      </c>
      <c r="AE1646" s="216">
        <f>+M1646*N1646*O1646/1000</f>
        <v>0</v>
      </c>
      <c r="AF1646" s="43"/>
      <c r="AG1646" s="47"/>
      <c r="AH1646" s="30"/>
      <c r="AI1646" s="30"/>
      <c r="AJ1646" s="30"/>
      <c r="AK1646" s="30"/>
      <c r="AL1646" s="13"/>
      <c r="AM1646" s="13"/>
      <c r="AN1646" s="13"/>
      <c r="AO1646" s="13"/>
      <c r="AP1646" s="13"/>
      <c r="AQ1646" s="14"/>
      <c r="AR1646" s="15"/>
    </row>
    <row r="1647" spans="1:44" s="17" customFormat="1" ht="30.95" hidden="1" customHeight="1" x14ac:dyDescent="0.2">
      <c r="A1647" s="343"/>
      <c r="B1647" s="344"/>
      <c r="C1647" s="345"/>
      <c r="D1647" s="398"/>
      <c r="E1647" s="31"/>
      <c r="F1647" s="268"/>
      <c r="G1647" s="269"/>
      <c r="H1647" s="269"/>
      <c r="I1647" s="270"/>
      <c r="J1647" s="32"/>
      <c r="K1647" s="270"/>
      <c r="L1647" s="270"/>
      <c r="M1647" s="39"/>
      <c r="N1647" s="39"/>
      <c r="O1647" s="47"/>
      <c r="P1647" s="57"/>
      <c r="Q1647" s="276"/>
      <c r="R1647" s="277"/>
      <c r="S1647" s="277"/>
      <c r="T1647" s="40"/>
      <c r="U1647" s="278"/>
      <c r="V1647" s="269"/>
      <c r="W1647" s="269"/>
      <c r="X1647" s="275"/>
      <c r="Y1647" s="269"/>
      <c r="Z1647" s="357"/>
      <c r="AA1647" s="207"/>
      <c r="AB1647" s="369"/>
      <c r="AC1647" s="370"/>
      <c r="AD1647" s="332"/>
      <c r="AE1647" s="216"/>
      <c r="AF1647" s="43"/>
      <c r="AG1647" s="47"/>
      <c r="AH1647" s="30"/>
      <c r="AI1647" s="30"/>
      <c r="AJ1647" s="30"/>
      <c r="AK1647" s="30"/>
      <c r="AL1647" s="13"/>
      <c r="AM1647" s="13"/>
      <c r="AN1647" s="13"/>
      <c r="AO1647" s="13"/>
      <c r="AP1647" s="13"/>
      <c r="AQ1647" s="14"/>
      <c r="AR1647" s="15"/>
    </row>
    <row r="1648" spans="1:44" s="17" customFormat="1" ht="30.95" hidden="1" customHeight="1" x14ac:dyDescent="0.2">
      <c r="A1648" s="320"/>
      <c r="B1648" s="321"/>
      <c r="C1648" s="345"/>
      <c r="D1648" s="398">
        <v>3758088</v>
      </c>
      <c r="E1648" s="31">
        <v>4151722</v>
      </c>
      <c r="F1648" s="268" t="str">
        <f>IF(D1648="","",VLOOKUP(D1648,契約台帳!$A$3:$K$4986,6,FALSE)&amp;VLOOKUP(D1648,契約台帳!$A$3:$K$4986,7,FALSE)&amp;VLOOKUP(D1648,契約台帳!$A$3:$K$4986,8,FALSE)&amp;VLOOKUP(D1648,契約台帳!$A$3:$K$4986,9,FALSE)&amp;VLOOKUP(D1648,契約台帳!$A$3:$K$4986,11,FALSE))</f>
        <v>3SYMLBMSNMBF</v>
      </c>
      <c r="G1648" s="269" t="str">
        <f>IF(D1648="","",VLOOKUP(F1648,製品マスタ!$G$5:$H$5002,2,FALSE))</f>
        <v>S</v>
      </c>
      <c r="H1648" s="269" t="str">
        <f>IF(D1648="","",VLOOKUP(F1648,製品マスタ!$G$5:$K$5002,5,FALSE))</f>
        <v>MSNMBF</v>
      </c>
      <c r="I1648" s="270" t="str">
        <f>IF(D1648="","",VLOOKUP(F1648,製品マスタ!$G$5:$L$5002,6,FALSE))</f>
        <v>ＭＥＴＡＬＵＭＹ　ＳＩＬＶＥＲ　Ｎ－ＭＡＴＴＥ　Ｘ４４Ｍ　Ｂ</v>
      </c>
      <c r="J1648" s="32" t="s">
        <v>447</v>
      </c>
      <c r="K1648" s="270">
        <f>IF(D1648="","",VLOOKUP(D1648,契約台帳!$A$3:$L$4986,12,FALSE))</f>
        <v>50</v>
      </c>
      <c r="L1648" s="270" t="str">
        <f>IF(D1648="","",INDEX(製品マスタ!$Q$5:$Q$5002,MATCH(F1648&amp;K1648,製品マスタ!$AO$5:$AO$5002,0)))</f>
        <v>X44</v>
      </c>
      <c r="M1648" s="39">
        <v>1120</v>
      </c>
      <c r="N1648" s="39">
        <v>12000</v>
      </c>
      <c r="O1648" s="47">
        <v>1</v>
      </c>
      <c r="P1648" s="57"/>
      <c r="Q1648" s="276">
        <f>IF(D1648="","",IF(J1648="リード付け",M1648,VLOOKUP(D1648,契約台帳!$A$3:$N$4986,14,FALSE)))</f>
        <v>1120</v>
      </c>
      <c r="R1648" s="277">
        <f>IF(D1648="","",IF(J1648="リード付け",M1648,VLOOKUP(D1648,契約台帳!$A$3:$O$4986,15,FALSE)))</f>
        <v>1120</v>
      </c>
      <c r="S1648" s="277">
        <f>IF(D1648="","",IF(J1648="リード付け",N1648,VLOOKUP(D1648,契約台帳!$A$3:$P$4986,16,FALSE)))</f>
        <v>4000</v>
      </c>
      <c r="T1648" s="40">
        <v>3</v>
      </c>
      <c r="U1648" s="278" t="str">
        <f ca="1">IF(D1648="","",IF(OFFSET(D1648,-2,0)=D1648,"",VLOOKUP(D1648,契約台帳!$A$3:$R$4986,18,FALSE)))</f>
        <v/>
      </c>
      <c r="V1648" s="269" t="str">
        <f>IF(J1648="巻返し",VLOOKUP(F1648&amp;K1648&amp;M1648,製品マスタ!$M$5:$AD$5002,18,FALSE),IF(J1648="リード付け","原反コア",IF(J1648="スリット",VLOOKUP(F1648&amp;K1648&amp;Q1648,製品マスタ!$N$5:$AD$5002,17,FALSE),"")))</f>
        <v>6ｲﾝﾁMｺｱ</v>
      </c>
      <c r="W1648" s="269">
        <f>IF(J1648="巻返し",VLOOKUP(F1648&amp;K1648&amp;M1648,製品マスタ!$M$5:$AE$5002,19,FALSE),IF(J1648="リード付け","-",IF(J1648="スリット",VLOOKUP(F1648&amp;K1648&amp;Q1648,製品マスタ!$N$5:$AE$5002,18,FALSE),"")))</f>
        <v>1125</v>
      </c>
      <c r="X1648" s="275">
        <f>IF(D1648="","",VLOOKUP(D1648,契約台帳!$A$3:$Q$4986,17,FALSE))</f>
        <v>2</v>
      </c>
      <c r="Y1648" s="269" t="str">
        <f>IF(D1648="","",VLOOKUP(D1648,契約台帳!$A$3:$E$4986,5,FALSE))</f>
        <v>リンテック㈱</v>
      </c>
      <c r="Z1648" s="357">
        <v>45476</v>
      </c>
      <c r="AA1648" s="207"/>
      <c r="AB1648" s="369"/>
      <c r="AC1648" s="370"/>
      <c r="AD1648" s="332" t="str">
        <f>IF(F1648="","",+F1648&amp;K1648)</f>
        <v>3SYMLBMSNMBF50</v>
      </c>
      <c r="AE1648" s="216">
        <f>+M1648*N1648*O1648/1000</f>
        <v>13440</v>
      </c>
      <c r="AF1648" s="43">
        <f>IF(AD1648="","",VLOOKUP(AD1648,原価マスタ!$A$2:$AJ$1693,13,FALSE))</f>
        <v>98.8</v>
      </c>
      <c r="AG1648" s="47">
        <f>IF(AF1648="","",+AE1648*AF1648/100)</f>
        <v>13278.72</v>
      </c>
      <c r="AH1648" s="30"/>
      <c r="AI1648" s="30"/>
      <c r="AJ1648" s="30"/>
      <c r="AK1648" s="30"/>
      <c r="AL1648" s="13"/>
      <c r="AM1648" s="13"/>
      <c r="AN1648" s="13"/>
      <c r="AO1648" s="13"/>
      <c r="AP1648" s="13"/>
      <c r="AQ1648" s="14"/>
      <c r="AR1648" s="15"/>
    </row>
    <row r="1649" spans="1:44" s="17" customFormat="1" ht="30.95" hidden="1" customHeight="1" x14ac:dyDescent="0.2">
      <c r="A1649" s="343"/>
      <c r="B1649" s="344"/>
      <c r="C1649" s="345"/>
      <c r="D1649" s="398"/>
      <c r="E1649" s="31"/>
      <c r="F1649" s="268"/>
      <c r="G1649" s="269"/>
      <c r="H1649" s="269"/>
      <c r="I1649" s="270"/>
      <c r="J1649" s="32"/>
      <c r="K1649" s="270"/>
      <c r="L1649" s="270"/>
      <c r="M1649" s="39"/>
      <c r="N1649" s="39"/>
      <c r="O1649" s="47"/>
      <c r="P1649" s="57"/>
      <c r="Q1649" s="276"/>
      <c r="R1649" s="277"/>
      <c r="S1649" s="277"/>
      <c r="T1649" s="40"/>
      <c r="U1649" s="278"/>
      <c r="V1649" s="269"/>
      <c r="W1649" s="269"/>
      <c r="X1649" s="275"/>
      <c r="Y1649" s="269"/>
      <c r="Z1649" s="357"/>
      <c r="AA1649" s="207"/>
      <c r="AB1649" s="369"/>
      <c r="AC1649" s="370"/>
      <c r="AD1649" s="332"/>
      <c r="AE1649" s="216"/>
      <c r="AF1649" s="43"/>
      <c r="AG1649" s="47"/>
      <c r="AH1649" s="30"/>
      <c r="AI1649" s="30"/>
      <c r="AJ1649" s="30"/>
      <c r="AK1649" s="30"/>
      <c r="AL1649" s="13"/>
      <c r="AM1649" s="13"/>
      <c r="AN1649" s="13"/>
      <c r="AO1649" s="13"/>
      <c r="AP1649" s="13"/>
      <c r="AQ1649" s="14"/>
      <c r="AR1649" s="15"/>
    </row>
    <row r="1650" spans="1:44" s="17" customFormat="1" ht="30.95" hidden="1" customHeight="1" x14ac:dyDescent="0.2">
      <c r="A1650" s="320"/>
      <c r="B1650" s="321"/>
      <c r="C1650" s="345"/>
      <c r="D1650" s="398">
        <v>3758086</v>
      </c>
      <c r="E1650" s="31">
        <v>4151708</v>
      </c>
      <c r="F1650" s="268" t="str">
        <f>IF(D1650="","",VLOOKUP(D1650,契約台帳!$A$3:$K$4986,6,FALSE)&amp;VLOOKUP(D1650,契約台帳!$A$3:$K$4986,7,FALSE)&amp;VLOOKUP(D1650,契約台帳!$A$3:$K$4986,8,FALSE)&amp;VLOOKUP(D1650,契約台帳!$A$3:$K$4986,9,FALSE)&amp;VLOOKUP(D1650,契約台帳!$A$3:$K$4986,11,FALSE))</f>
        <v>3SYMLBMSNMBZF</v>
      </c>
      <c r="G1650" s="269" t="str">
        <f>IF(D1650="","",VLOOKUP(F1650,製品マスタ!$G$5:$H$5002,2,FALSE))</f>
        <v>S</v>
      </c>
      <c r="H1650" s="269" t="str">
        <f>IF(D1650="","",VLOOKUP(F1650,製品マスタ!$G$5:$K$5002,5,FALSE))</f>
        <v>MSNMBZF</v>
      </c>
      <c r="I1650" s="270" t="str">
        <f>IF(D1650="","",VLOOKUP(F1650,製品マスタ!$G$5:$L$5002,6,FALSE))</f>
        <v>ＭＥＴＡＬＵＭＹ　ＳＩＬＶＥＲ　Ｎ－ＭＡＴＴＥ　Ｂ</v>
      </c>
      <c r="J1650" s="32" t="s">
        <v>447</v>
      </c>
      <c r="K1650" s="270">
        <f>IF(D1650="","",VLOOKUP(D1650,契約台帳!$A$3:$L$4986,12,FALSE))</f>
        <v>50</v>
      </c>
      <c r="L1650" s="270" t="str">
        <f>IF(D1650="","",INDEX(製品マスタ!$Q$5:$Q$5002,MATCH(F1650&amp;K1650,製品マスタ!$AO$5:$AO$5002,0)))</f>
        <v>X44</v>
      </c>
      <c r="M1650" s="39">
        <v>1120</v>
      </c>
      <c r="N1650" s="39">
        <v>12000</v>
      </c>
      <c r="O1650" s="47">
        <v>1</v>
      </c>
      <c r="P1650" s="57"/>
      <c r="Q1650" s="276">
        <f>IF(D1650="","",IF(J1650="リード付け",M1650,VLOOKUP(D1650,契約台帳!$A$3:$N$4986,14,FALSE)))</f>
        <v>1120</v>
      </c>
      <c r="R1650" s="277">
        <f>IF(D1650="","",IF(J1650="リード付け",M1650,VLOOKUP(D1650,契約台帳!$A$3:$O$4986,15,FALSE)))</f>
        <v>1120</v>
      </c>
      <c r="S1650" s="277">
        <f>IF(D1650="","",IF(J1650="リード付け",N1650,VLOOKUP(D1650,契約台帳!$A$3:$P$4986,16,FALSE)))</f>
        <v>4000</v>
      </c>
      <c r="T1650" s="40">
        <v>2</v>
      </c>
      <c r="U1650" s="278">
        <f ca="1">IF(D1650="","",IF(OFFSET(D1650,-2,0)=D1650,"",VLOOKUP(D1650,契約台帳!$A$3:$R$4986,18,FALSE)))</f>
        <v>2</v>
      </c>
      <c r="V1650" s="269" t="str">
        <f>IF(J1650="巻返し",VLOOKUP(F1650&amp;K1650&amp;M1650,製品マスタ!$M$5:$AD$5002,18,FALSE),IF(J1650="リード付け","原反コア",IF(J1650="スリット",VLOOKUP(F1650&amp;K1650&amp;Q1650,製品マスタ!$N$5:$AD$5002,17,FALSE),"")))</f>
        <v>6ｲﾝﾁMｺｱ</v>
      </c>
      <c r="W1650" s="269">
        <f>IF(J1650="巻返し",VLOOKUP(F1650&amp;K1650&amp;M1650,製品マスタ!$M$5:$AE$5002,19,FALSE),IF(J1650="リード付け","-",IF(J1650="スリット",VLOOKUP(F1650&amp;K1650&amp;Q1650,製品マスタ!$N$5:$AE$5002,18,FALSE),"")))</f>
        <v>1125</v>
      </c>
      <c r="X1650" s="275">
        <f>IF(D1650="","",VLOOKUP(D1650,契約台帳!$A$3:$Q$4986,17,FALSE))</f>
        <v>2</v>
      </c>
      <c r="Y1650" s="269" t="str">
        <f>IF(D1650="","",VLOOKUP(D1650,契約台帳!$A$3:$E$4986,5,FALSE))</f>
        <v>リンテック㈱</v>
      </c>
      <c r="Z1650" s="357">
        <v>45476</v>
      </c>
      <c r="AA1650" s="207"/>
      <c r="AB1650" s="369"/>
      <c r="AC1650" s="370"/>
      <c r="AD1650" s="332" t="str">
        <f>IF(F1650="","",+F1650&amp;K1650)</f>
        <v>3SYMLBMSNMBZF50</v>
      </c>
      <c r="AE1650" s="216">
        <f>+M1650*N1650*O1650/1000</f>
        <v>13440</v>
      </c>
      <c r="AF1650" s="43">
        <f>IF(AD1650="","",VLOOKUP(AD1650,原価マスタ!$A$2:$AJ$1693,13,FALSE))</f>
        <v>99</v>
      </c>
      <c r="AG1650" s="47">
        <f>IF(AF1650="","",+AE1650*AF1650/100)</f>
        <v>13305.6</v>
      </c>
      <c r="AH1650" s="30"/>
      <c r="AI1650" s="30"/>
      <c r="AJ1650" s="30"/>
      <c r="AK1650" s="30"/>
      <c r="AL1650" s="13"/>
      <c r="AM1650" s="13"/>
      <c r="AN1650" s="13"/>
      <c r="AO1650" s="13"/>
      <c r="AP1650" s="13"/>
      <c r="AQ1650" s="14"/>
      <c r="AR1650" s="15"/>
    </row>
    <row r="1651" spans="1:44" s="17" customFormat="1" ht="30.95" hidden="1" customHeight="1" x14ac:dyDescent="0.2">
      <c r="A1651" s="320"/>
      <c r="B1651" s="321"/>
      <c r="C1651" s="345"/>
      <c r="D1651" s="398">
        <v>3758087</v>
      </c>
      <c r="E1651" s="31"/>
      <c r="F1651" s="268" t="str">
        <f>IF(D1651="","",VLOOKUP(D1651,契約台帳!$A$3:$K$4986,6,FALSE)&amp;VLOOKUP(D1651,契約台帳!$A$3:$K$4986,7,FALSE)&amp;VLOOKUP(D1651,契約台帳!$A$3:$K$4986,8,FALSE)&amp;VLOOKUP(D1651,契約台帳!$A$3:$K$4986,9,FALSE)&amp;VLOOKUP(D1651,契約台帳!$A$3:$K$4986,11,FALSE))</f>
        <v>3SYMLBMSNMBZF</v>
      </c>
      <c r="G1651" s="269" t="str">
        <f>IF(D1651="","",VLOOKUP(F1651,製品マスタ!$G$5:$H$5002,2,FALSE))</f>
        <v>S</v>
      </c>
      <c r="H1651" s="269" t="str">
        <f>IF(D1651="","",VLOOKUP(F1651,製品マスタ!$G$5:$K$5002,5,FALSE))</f>
        <v>MSNMBZF</v>
      </c>
      <c r="I1651" s="270" t="str">
        <f>IF(D1651="","",VLOOKUP(F1651,製品マスタ!$G$5:$L$5002,6,FALSE))</f>
        <v>ＭＥＴＡＬＵＭＹ　ＳＩＬＶＥＲ　Ｎ－ＭＡＴＴＥ　Ｂ</v>
      </c>
      <c r="J1651" s="32" t="s">
        <v>447</v>
      </c>
      <c r="K1651" s="270">
        <f>IF(D1651="","",VLOOKUP(D1651,契約台帳!$A$3:$L$4986,12,FALSE))</f>
        <v>50</v>
      </c>
      <c r="L1651" s="270" t="str">
        <f>IF(D1651="","",INDEX(製品マスタ!$Q$5:$Q$5002,MATCH(F1651&amp;K1651,製品マスタ!$AO$5:$AO$5002,0)))</f>
        <v>X44</v>
      </c>
      <c r="M1651" s="39">
        <v>1120</v>
      </c>
      <c r="N1651" s="39">
        <v>12000</v>
      </c>
      <c r="O1651" s="47"/>
      <c r="P1651" s="57"/>
      <c r="Q1651" s="276">
        <f>IF(D1651="","",IF(J1651="リード付け",M1651,VLOOKUP(D1651,契約台帳!$A$3:$N$4986,14,FALSE)))</f>
        <v>1120</v>
      </c>
      <c r="R1651" s="277">
        <f>IF(D1651="","",IF(J1651="リード付け",M1651,VLOOKUP(D1651,契約台帳!$A$3:$O$4986,15,FALSE)))</f>
        <v>1120</v>
      </c>
      <c r="S1651" s="277">
        <f>IF(D1651="","",IF(J1651="リード付け",N1651,VLOOKUP(D1651,契約台帳!$A$3:$P$4986,16,FALSE)))</f>
        <v>4000</v>
      </c>
      <c r="T1651" s="40">
        <v>1</v>
      </c>
      <c r="U1651" s="278">
        <f ca="1">IF(D1651="","",IF(OFFSET(D1651,-2,0)=D1651,"",VLOOKUP(D1651,契約台帳!$A$3:$R$4986,18,FALSE)))</f>
        <v>10</v>
      </c>
      <c r="V1651" s="269" t="str">
        <f>IF(J1651="巻返し",VLOOKUP(F1651&amp;K1651&amp;M1651,製品マスタ!$M$5:$AD$5002,18,FALSE),IF(J1651="リード付け","原反コア",IF(J1651="スリット",VLOOKUP(F1651&amp;K1651&amp;Q1651,製品マスタ!$N$5:$AD$5002,17,FALSE),"")))</f>
        <v>6ｲﾝﾁMｺｱ</v>
      </c>
      <c r="W1651" s="269">
        <f>IF(J1651="巻返し",VLOOKUP(F1651&amp;K1651&amp;M1651,製品マスタ!$M$5:$AE$5002,19,FALSE),IF(J1651="リード付け","-",IF(J1651="スリット",VLOOKUP(F1651&amp;K1651&amp;Q1651,製品マスタ!$N$5:$AE$5002,18,FALSE),"")))</f>
        <v>1125</v>
      </c>
      <c r="X1651" s="275">
        <f>IF(D1651="","",VLOOKUP(D1651,契約台帳!$A$3:$Q$4986,17,FALSE))</f>
        <v>2</v>
      </c>
      <c r="Y1651" s="269" t="str">
        <f>IF(D1651="","",VLOOKUP(D1651,契約台帳!$A$3:$E$4986,5,FALSE))</f>
        <v>リンテック㈱</v>
      </c>
      <c r="Z1651" s="357"/>
      <c r="AA1651" s="207"/>
      <c r="AB1651" s="369"/>
      <c r="AC1651" s="370"/>
      <c r="AD1651" s="332" t="str">
        <f>IF(F1651="","",+F1651&amp;K1651)</f>
        <v>3SYMLBMSNMBZF50</v>
      </c>
      <c r="AE1651" s="216">
        <f>+M1651*N1651*O1651/1000</f>
        <v>0</v>
      </c>
      <c r="AF1651" s="43">
        <f>IF(AD1651="","",VLOOKUP(AD1651,原価マスタ!$A$2:$AJ$1693,13,FALSE))</f>
        <v>99</v>
      </c>
      <c r="AG1651" s="47">
        <f>IF(AF1651="","",+AE1651*AF1651/100)</f>
        <v>0</v>
      </c>
      <c r="AH1651" s="30"/>
      <c r="AI1651" s="30"/>
      <c r="AJ1651" s="30"/>
      <c r="AK1651" s="30"/>
      <c r="AL1651" s="13"/>
      <c r="AM1651" s="13"/>
      <c r="AN1651" s="13"/>
      <c r="AO1651" s="13"/>
      <c r="AP1651" s="13"/>
      <c r="AQ1651" s="14"/>
      <c r="AR1651" s="15"/>
    </row>
    <row r="1652" spans="1:44" s="17" customFormat="1" ht="30.95" hidden="1" customHeight="1" x14ac:dyDescent="0.2">
      <c r="A1652" s="343"/>
      <c r="B1652" s="344"/>
      <c r="C1652" s="345"/>
      <c r="D1652" s="398"/>
      <c r="E1652" s="31"/>
      <c r="F1652" s="268"/>
      <c r="G1652" s="269"/>
      <c r="H1652" s="269"/>
      <c r="I1652" s="270"/>
      <c r="J1652" s="32"/>
      <c r="K1652" s="270"/>
      <c r="L1652" s="270"/>
      <c r="M1652" s="39"/>
      <c r="N1652" s="39"/>
      <c r="O1652" s="47"/>
      <c r="P1652" s="57"/>
      <c r="Q1652" s="276"/>
      <c r="R1652" s="277"/>
      <c r="S1652" s="277"/>
      <c r="T1652" s="40"/>
      <c r="U1652" s="278"/>
      <c r="V1652" s="269"/>
      <c r="W1652" s="269"/>
      <c r="X1652" s="275"/>
      <c r="Y1652" s="269"/>
      <c r="Z1652" s="357"/>
      <c r="AA1652" s="207"/>
      <c r="AB1652" s="369"/>
      <c r="AC1652" s="370"/>
      <c r="AD1652" s="332"/>
      <c r="AE1652" s="216"/>
      <c r="AF1652" s="43"/>
      <c r="AG1652" s="47"/>
      <c r="AH1652" s="30"/>
      <c r="AI1652" s="30"/>
      <c r="AJ1652" s="30"/>
      <c r="AK1652" s="30"/>
      <c r="AL1652" s="13"/>
      <c r="AM1652" s="13"/>
      <c r="AN1652" s="13"/>
      <c r="AO1652" s="13"/>
      <c r="AP1652" s="13"/>
      <c r="AQ1652" s="14"/>
      <c r="AR1652" s="15"/>
    </row>
    <row r="1653" spans="1:44" s="17" customFormat="1" ht="30.95" hidden="1" customHeight="1" x14ac:dyDescent="0.2">
      <c r="A1653" s="343" t="s">
        <v>1216</v>
      </c>
      <c r="B1653" s="344" t="s">
        <v>445</v>
      </c>
      <c r="C1653" s="345"/>
      <c r="D1653" s="31"/>
      <c r="E1653" s="31"/>
      <c r="F1653" s="268"/>
      <c r="G1653" s="269"/>
      <c r="H1653" s="269"/>
      <c r="I1653" s="270"/>
      <c r="J1653" s="32" t="s">
        <v>448</v>
      </c>
      <c r="K1653" s="270"/>
      <c r="L1653" s="270"/>
      <c r="M1653" s="39"/>
      <c r="N1653" s="39"/>
      <c r="O1653" s="47"/>
      <c r="P1653" s="57"/>
      <c r="Q1653" s="276"/>
      <c r="R1653" s="277"/>
      <c r="S1653" s="277"/>
      <c r="T1653" s="40"/>
      <c r="U1653" s="278"/>
      <c r="V1653" s="269"/>
      <c r="W1653" s="269"/>
      <c r="X1653" s="275"/>
      <c r="Y1653" s="269"/>
      <c r="Z1653" s="357"/>
      <c r="AA1653" s="207"/>
      <c r="AB1653" s="369"/>
      <c r="AC1653" s="370"/>
      <c r="AD1653" s="332"/>
      <c r="AE1653" s="216"/>
      <c r="AF1653" s="43"/>
      <c r="AG1653" s="47"/>
      <c r="AH1653" s="30"/>
      <c r="AI1653" s="30"/>
      <c r="AJ1653" s="30"/>
      <c r="AK1653" s="30"/>
      <c r="AL1653" s="13"/>
      <c r="AM1653" s="13"/>
      <c r="AN1653" s="13"/>
      <c r="AO1653" s="13"/>
      <c r="AP1653" s="13"/>
      <c r="AQ1653" s="14"/>
      <c r="AR1653" s="15"/>
    </row>
    <row r="1654" spans="1:44" s="17" customFormat="1" ht="30.95" hidden="1" customHeight="1" x14ac:dyDescent="0.2">
      <c r="A1654" s="343"/>
      <c r="B1654" s="344"/>
      <c r="C1654" s="345"/>
      <c r="D1654" s="31"/>
      <c r="E1654" s="31"/>
      <c r="F1654" s="268"/>
      <c r="G1654" s="269"/>
      <c r="H1654" s="269"/>
      <c r="I1654" s="270"/>
      <c r="J1654" s="32"/>
      <c r="K1654" s="270"/>
      <c r="L1654" s="270"/>
      <c r="M1654" s="39"/>
      <c r="N1654" s="39"/>
      <c r="O1654" s="47"/>
      <c r="P1654" s="57"/>
      <c r="Q1654" s="276"/>
      <c r="R1654" s="277"/>
      <c r="S1654" s="277"/>
      <c r="T1654" s="40"/>
      <c r="U1654" s="278"/>
      <c r="V1654" s="269"/>
      <c r="W1654" s="269"/>
      <c r="X1654" s="275"/>
      <c r="Y1654" s="269"/>
      <c r="Z1654" s="357"/>
      <c r="AA1654" s="207"/>
      <c r="AB1654" s="369"/>
      <c r="AC1654" s="370"/>
      <c r="AD1654" s="332"/>
      <c r="AE1654" s="216"/>
      <c r="AF1654" s="43"/>
      <c r="AG1654" s="47"/>
      <c r="AH1654" s="30"/>
      <c r="AI1654" s="30"/>
      <c r="AJ1654" s="30"/>
      <c r="AK1654" s="30"/>
      <c r="AL1654" s="13"/>
      <c r="AM1654" s="13"/>
      <c r="AN1654" s="13"/>
      <c r="AO1654" s="13"/>
      <c r="AP1654" s="13"/>
      <c r="AQ1654" s="14"/>
      <c r="AR1654" s="15"/>
    </row>
    <row r="1655" spans="1:44" s="17" customFormat="1" ht="30.95" hidden="1" customHeight="1" x14ac:dyDescent="0.2">
      <c r="A1655" s="343" t="s">
        <v>1217</v>
      </c>
      <c r="B1655" s="344" t="s">
        <v>446</v>
      </c>
      <c r="C1655" s="345"/>
      <c r="D1655" s="31"/>
      <c r="E1655" s="31"/>
      <c r="F1655" s="268"/>
      <c r="G1655" s="269"/>
      <c r="H1655" s="269"/>
      <c r="I1655" s="270"/>
      <c r="J1655" s="32" t="s">
        <v>448</v>
      </c>
      <c r="K1655" s="270"/>
      <c r="L1655" s="270"/>
      <c r="M1655" s="39"/>
      <c r="N1655" s="39"/>
      <c r="O1655" s="47"/>
      <c r="P1655" s="57"/>
      <c r="Q1655" s="276"/>
      <c r="R1655" s="277"/>
      <c r="S1655" s="277"/>
      <c r="T1655" s="40"/>
      <c r="U1655" s="278"/>
      <c r="V1655" s="269"/>
      <c r="W1655" s="269"/>
      <c r="X1655" s="275"/>
      <c r="Y1655" s="269"/>
      <c r="Z1655" s="357"/>
      <c r="AA1655" s="207"/>
      <c r="AB1655" s="369"/>
      <c r="AC1655" s="370"/>
      <c r="AD1655" s="332"/>
      <c r="AE1655" s="216"/>
      <c r="AF1655" s="43"/>
      <c r="AG1655" s="47"/>
      <c r="AH1655" s="30"/>
      <c r="AI1655" s="30"/>
      <c r="AJ1655" s="30"/>
      <c r="AK1655" s="30"/>
      <c r="AL1655" s="13"/>
      <c r="AM1655" s="13"/>
      <c r="AN1655" s="13"/>
      <c r="AO1655" s="13"/>
      <c r="AP1655" s="13"/>
      <c r="AQ1655" s="14"/>
      <c r="AR1655" s="15"/>
    </row>
    <row r="1656" spans="1:44" s="17" customFormat="1" ht="30.95" hidden="1" customHeight="1" x14ac:dyDescent="0.2">
      <c r="A1656" s="343"/>
      <c r="B1656" s="344"/>
      <c r="C1656" s="345"/>
      <c r="D1656" s="398"/>
      <c r="E1656" s="31"/>
      <c r="F1656" s="268"/>
      <c r="G1656" s="269"/>
      <c r="H1656" s="269"/>
      <c r="I1656" s="270"/>
      <c r="J1656" s="32"/>
      <c r="K1656" s="270"/>
      <c r="L1656" s="270"/>
      <c r="M1656" s="39"/>
      <c r="N1656" s="39"/>
      <c r="O1656" s="47"/>
      <c r="P1656" s="57"/>
      <c r="Q1656" s="276"/>
      <c r="R1656" s="277"/>
      <c r="S1656" s="277"/>
      <c r="T1656" s="40"/>
      <c r="U1656" s="278"/>
      <c r="V1656" s="269"/>
      <c r="W1656" s="269"/>
      <c r="X1656" s="275"/>
      <c r="Y1656" s="269"/>
      <c r="Z1656" s="357"/>
      <c r="AA1656" s="207"/>
      <c r="AB1656" s="369"/>
      <c r="AC1656" s="370"/>
      <c r="AD1656" s="332"/>
      <c r="AE1656" s="216"/>
      <c r="AF1656" s="43"/>
      <c r="AG1656" s="47"/>
      <c r="AH1656" s="30"/>
      <c r="AI1656" s="30"/>
      <c r="AJ1656" s="30"/>
      <c r="AK1656" s="30"/>
      <c r="AL1656" s="13"/>
      <c r="AM1656" s="13"/>
      <c r="AN1656" s="13"/>
      <c r="AO1656" s="13"/>
      <c r="AP1656" s="13"/>
      <c r="AQ1656" s="14"/>
      <c r="AR1656" s="15"/>
    </row>
    <row r="1657" spans="1:44" s="17" customFormat="1" ht="30.95" hidden="1" customHeight="1" x14ac:dyDescent="0.2">
      <c r="A1657" s="320" t="s">
        <v>770</v>
      </c>
      <c r="B1657" s="321" t="s">
        <v>462</v>
      </c>
      <c r="C1657" s="345"/>
      <c r="D1657" s="398">
        <v>3758087</v>
      </c>
      <c r="E1657" s="31">
        <v>4151709</v>
      </c>
      <c r="F1657" s="268" t="str">
        <f>IF(D1657="","",VLOOKUP(D1657,契約台帳!$A$3:$K$4986,6,FALSE)&amp;VLOOKUP(D1657,契約台帳!$A$3:$K$4986,7,FALSE)&amp;VLOOKUP(D1657,契約台帳!$A$3:$K$4986,8,FALSE)&amp;VLOOKUP(D1657,契約台帳!$A$3:$K$4986,9,FALSE)&amp;VLOOKUP(D1657,契約台帳!$A$3:$K$4986,11,FALSE))</f>
        <v>3SYMLBMSNMBZF</v>
      </c>
      <c r="G1657" s="269" t="str">
        <f>IF(D1657="","",VLOOKUP(F1657,製品マスタ!$G$5:$H$5002,2,FALSE))</f>
        <v>S</v>
      </c>
      <c r="H1657" s="269" t="str">
        <f>IF(D1657="","",VLOOKUP(F1657,製品マスタ!$G$5:$K$5002,5,FALSE))</f>
        <v>MSNMBZF</v>
      </c>
      <c r="I1657" s="270" t="str">
        <f>IF(D1657="","",VLOOKUP(F1657,製品マスタ!$G$5:$L$5002,6,FALSE))</f>
        <v>ＭＥＴＡＬＵＭＹ　ＳＩＬＶＥＲ　Ｎ－ＭＡＴＴＥ　Ｂ</v>
      </c>
      <c r="J1657" s="32" t="s">
        <v>447</v>
      </c>
      <c r="K1657" s="270">
        <f>IF(D1657="","",VLOOKUP(D1657,契約台帳!$A$3:$L$4986,12,FALSE))</f>
        <v>50</v>
      </c>
      <c r="L1657" s="270" t="str">
        <f>IF(D1657="","",INDEX(製品マスタ!$Q$5:$Q$5002,MATCH(F1657&amp;K1657,製品マスタ!$AO$5:$AO$5002,0)))</f>
        <v>X44</v>
      </c>
      <c r="M1657" s="39">
        <v>1120</v>
      </c>
      <c r="N1657" s="39">
        <v>12000</v>
      </c>
      <c r="O1657" s="47">
        <v>2</v>
      </c>
      <c r="P1657" s="57"/>
      <c r="Q1657" s="276">
        <f>IF(D1657="","",IF(J1657="リード付け",M1657,VLOOKUP(D1657,契約台帳!$A$3:$N$4986,14,FALSE)))</f>
        <v>1120</v>
      </c>
      <c r="R1657" s="277">
        <f>IF(D1657="","",IF(J1657="リード付け",M1657,VLOOKUP(D1657,契約台帳!$A$3:$O$4986,15,FALSE)))</f>
        <v>1120</v>
      </c>
      <c r="S1657" s="277">
        <f>IF(D1657="","",IF(J1657="リード付け",N1657,VLOOKUP(D1657,契約台帳!$A$3:$P$4986,16,FALSE)))</f>
        <v>4000</v>
      </c>
      <c r="T1657" s="40">
        <v>6</v>
      </c>
      <c r="U1657" s="278">
        <f ca="1">IF(D1657="","",IF(OFFSET(D1657,-2,0)=D1657,"",VLOOKUP(D1657,契約台帳!$A$3:$R$4986,18,FALSE)))</f>
        <v>10</v>
      </c>
      <c r="V1657" s="269" t="str">
        <f>IF(J1657="巻返し",VLOOKUP(F1657&amp;K1657&amp;M1657,製品マスタ!$M$5:$AD$5002,18,FALSE),IF(J1657="リード付け","原反コア",IF(J1657="スリット",VLOOKUP(F1657&amp;K1657&amp;Q1657,製品マスタ!$N$5:$AD$5002,17,FALSE),"")))</f>
        <v>6ｲﾝﾁMｺｱ</v>
      </c>
      <c r="W1657" s="269">
        <f>IF(J1657="巻返し",VLOOKUP(F1657&amp;K1657&amp;M1657,製品マスタ!$M$5:$AE$5002,19,FALSE),IF(J1657="リード付け","-",IF(J1657="スリット",VLOOKUP(F1657&amp;K1657&amp;Q1657,製品マスタ!$N$5:$AE$5002,18,FALSE),"")))</f>
        <v>1125</v>
      </c>
      <c r="X1657" s="275">
        <f>IF(D1657="","",VLOOKUP(D1657,契約台帳!$A$3:$Q$4986,17,FALSE))</f>
        <v>2</v>
      </c>
      <c r="Y1657" s="269" t="str">
        <f>IF(D1657="","",VLOOKUP(D1657,契約台帳!$A$3:$E$4986,5,FALSE))</f>
        <v>リンテック㈱</v>
      </c>
      <c r="Z1657" s="357">
        <v>45477</v>
      </c>
      <c r="AA1657" s="207"/>
      <c r="AB1657" s="369"/>
      <c r="AC1657" s="370"/>
      <c r="AD1657" s="332" t="str">
        <f>IF(F1657="","",+F1657&amp;K1657)</f>
        <v>3SYMLBMSNMBZF50</v>
      </c>
      <c r="AE1657" s="216">
        <f>+M1657*N1657*O1657/1000</f>
        <v>26880</v>
      </c>
      <c r="AF1657" s="43">
        <f>IF(AD1657="","",VLOOKUP(AD1657,原価マスタ!$A$2:$AJ$1693,13,FALSE))</f>
        <v>99</v>
      </c>
      <c r="AG1657" s="47">
        <f>IF(AF1657="","",+AE1657*AF1657/100)</f>
        <v>26611.200000000001</v>
      </c>
      <c r="AH1657" s="30"/>
      <c r="AI1657" s="30"/>
      <c r="AJ1657" s="30"/>
      <c r="AK1657" s="30"/>
      <c r="AL1657" s="13"/>
      <c r="AM1657" s="13"/>
      <c r="AN1657" s="13"/>
      <c r="AO1657" s="13"/>
      <c r="AP1657" s="13"/>
      <c r="AQ1657" s="14"/>
      <c r="AR1657" s="15"/>
    </row>
    <row r="1658" spans="1:44" s="17" customFormat="1" ht="30.95" hidden="1" customHeight="1" x14ac:dyDescent="0.2">
      <c r="A1658" s="343"/>
      <c r="B1658" s="344"/>
      <c r="C1658" s="345"/>
      <c r="D1658" s="398"/>
      <c r="E1658" s="31"/>
      <c r="F1658" s="268"/>
      <c r="G1658" s="269"/>
      <c r="H1658" s="269"/>
      <c r="I1658" s="270"/>
      <c r="J1658" s="32"/>
      <c r="K1658" s="270"/>
      <c r="L1658" s="270"/>
      <c r="M1658" s="39"/>
      <c r="N1658" s="39"/>
      <c r="O1658" s="47"/>
      <c r="P1658" s="57"/>
      <c r="Q1658" s="276"/>
      <c r="R1658" s="277"/>
      <c r="S1658" s="277"/>
      <c r="T1658" s="40"/>
      <c r="U1658" s="278"/>
      <c r="V1658" s="269"/>
      <c r="W1658" s="269"/>
      <c r="X1658" s="275"/>
      <c r="Y1658" s="269"/>
      <c r="Z1658" s="357"/>
      <c r="AA1658" s="207"/>
      <c r="AB1658" s="369"/>
      <c r="AC1658" s="370"/>
      <c r="AD1658" s="332"/>
      <c r="AE1658" s="216"/>
      <c r="AF1658" s="43"/>
      <c r="AG1658" s="47"/>
      <c r="AH1658" s="30"/>
      <c r="AI1658" s="30"/>
      <c r="AJ1658" s="30"/>
      <c r="AK1658" s="30"/>
      <c r="AL1658" s="13"/>
      <c r="AM1658" s="13"/>
      <c r="AN1658" s="13"/>
      <c r="AO1658" s="13"/>
      <c r="AP1658" s="13"/>
      <c r="AQ1658" s="14"/>
      <c r="AR1658" s="15"/>
    </row>
    <row r="1659" spans="1:44" s="17" customFormat="1" ht="30.95" hidden="1" customHeight="1" x14ac:dyDescent="0.2">
      <c r="A1659" s="320"/>
      <c r="B1659" s="321"/>
      <c r="C1659" s="345"/>
      <c r="D1659" s="398">
        <v>3758068</v>
      </c>
      <c r="E1659" s="31">
        <v>4151688</v>
      </c>
      <c r="F1659" s="268" t="str">
        <f>IF(D1659="","",VLOOKUP(D1659,契約台帳!$A$3:$K$4986,6,FALSE)&amp;VLOOKUP(D1659,契約台帳!$A$3:$K$4986,7,FALSE)&amp;VLOOKUP(D1659,契約台帳!$A$3:$K$4986,8,FALSE)&amp;VLOOKUP(D1659,契約台帳!$A$3:$K$4986,9,FALSE)&amp;VLOOKUP(D1659,契約台帳!$A$3:$K$4986,11,FALSE))</f>
        <v>3SNMLBMNNGKBF</v>
      </c>
      <c r="G1659" s="269" t="str">
        <f>IF(D1659="","",VLOOKUP(F1659,製品マスタ!$G$5:$H$5002,2,FALSE))</f>
        <v>S</v>
      </c>
      <c r="H1659" s="269" t="str">
        <f>IF(D1659="","",VLOOKUP(F1659,製品マスタ!$G$5:$K$5002,5,FALSE))</f>
        <v>MNNGKBF</v>
      </c>
      <c r="I1659" s="270" t="str">
        <f>IF(D1659="","",VLOOKUP(F1659,製品マスタ!$G$5:$L$5002,6,FALSE))</f>
        <v>メタルミー　ニューネーマー銀消　Ｂ</v>
      </c>
      <c r="J1659" s="32" t="s">
        <v>447</v>
      </c>
      <c r="K1659" s="270">
        <f>IF(D1659="","",VLOOKUP(D1659,契約台帳!$A$3:$L$4986,12,FALSE))</f>
        <v>50</v>
      </c>
      <c r="L1659" s="270" t="str">
        <f>IF(D1659="","",INDEX(製品マスタ!$Q$5:$Q$5002,MATCH(F1659&amp;K1659,製品マスタ!$AO$5:$AO$5002,0)))</f>
        <v>X44</v>
      </c>
      <c r="M1659" s="39">
        <v>1000</v>
      </c>
      <c r="N1659" s="39">
        <v>12000</v>
      </c>
      <c r="O1659" s="47">
        <v>4</v>
      </c>
      <c r="P1659" s="57"/>
      <c r="Q1659" s="276">
        <f>IF(D1659="","",IF(J1659="リード付け",M1659,VLOOKUP(D1659,契約台帳!$A$3:$N$4986,14,FALSE)))</f>
        <v>1000</v>
      </c>
      <c r="R1659" s="277">
        <f>IF(D1659="","",IF(J1659="リード付け",M1659,VLOOKUP(D1659,契約台帳!$A$3:$O$4986,15,FALSE)))</f>
        <v>1000</v>
      </c>
      <c r="S1659" s="277">
        <f>IF(D1659="","",IF(J1659="リード付け",N1659,VLOOKUP(D1659,契約台帳!$A$3:$P$4986,16,FALSE)))</f>
        <v>4000</v>
      </c>
      <c r="T1659" s="40">
        <v>12</v>
      </c>
      <c r="U1659" s="278">
        <f ca="1">IF(D1659="","",IF(OFFSET(D1659,-2,0)=D1659,"",VLOOKUP(D1659,契約台帳!$A$3:$R$4986,18,FALSE)))</f>
        <v>27</v>
      </c>
      <c r="V1659" s="269" t="str">
        <f>IF(J1659="巻返し",VLOOKUP(F1659&amp;K1659&amp;M1659,製品マスタ!$M$5:$AD$5002,18,FALSE),IF(J1659="リード付け","原反コア",IF(J1659="スリット",VLOOKUP(F1659&amp;K1659&amp;Q1659,製品マスタ!$N$5:$AD$5002,17,FALSE),"")))</f>
        <v>6ｲﾝﾁSｺｱ</v>
      </c>
      <c r="W1659" s="269">
        <f>IF(J1659="巻返し",VLOOKUP(F1659&amp;K1659&amp;M1659,製品マスタ!$M$5:$AE$5002,19,FALSE),IF(J1659="リード付け","-",IF(J1659="スリット",VLOOKUP(F1659&amp;K1659&amp;Q1659,製品マスタ!$N$5:$AE$5002,18,FALSE),"")))</f>
        <v>1005</v>
      </c>
      <c r="X1659" s="275">
        <f>IF(D1659="","",VLOOKUP(D1659,契約台帳!$A$3:$Q$4986,17,FALSE))</f>
        <v>2</v>
      </c>
      <c r="Y1659" s="269" t="str">
        <f>IF(D1659="","",VLOOKUP(D1659,契約台帳!$A$3:$E$4986,5,FALSE))</f>
        <v>リンテック㈱</v>
      </c>
      <c r="Z1659" s="357">
        <v>45477</v>
      </c>
      <c r="AA1659" s="207"/>
      <c r="AB1659" s="369"/>
      <c r="AC1659" s="370"/>
      <c r="AD1659" s="332" t="str">
        <f>IF(F1659="","",+F1659&amp;K1659)</f>
        <v>3SNMLBMNNGKBF50</v>
      </c>
      <c r="AE1659" s="216">
        <f>+M1659*N1659*O1659/1000</f>
        <v>48000</v>
      </c>
      <c r="AF1659" s="43">
        <f>IF(AD1659="","",VLOOKUP(AD1659,原価マスタ!$A$2:$AJ$1693,13,FALSE))</f>
        <v>99</v>
      </c>
      <c r="AG1659" s="47">
        <f>IF(AF1659="","",+AE1659*AF1659/100)</f>
        <v>47520</v>
      </c>
      <c r="AH1659" s="30"/>
      <c r="AI1659" s="30"/>
      <c r="AJ1659" s="30"/>
      <c r="AK1659" s="30"/>
      <c r="AL1659" s="13"/>
      <c r="AM1659" s="13"/>
      <c r="AN1659" s="13"/>
      <c r="AO1659" s="13"/>
      <c r="AP1659" s="13"/>
      <c r="AQ1659" s="14"/>
      <c r="AR1659" s="15"/>
    </row>
    <row r="1660" spans="1:44" s="17" customFormat="1" ht="30.95" hidden="1" customHeight="1" x14ac:dyDescent="0.2">
      <c r="A1660" s="343"/>
      <c r="B1660" s="344"/>
      <c r="C1660" s="345"/>
      <c r="D1660" s="398"/>
      <c r="E1660" s="31"/>
      <c r="F1660" s="268"/>
      <c r="G1660" s="269"/>
      <c r="H1660" s="269"/>
      <c r="I1660" s="270"/>
      <c r="J1660" s="32"/>
      <c r="K1660" s="270"/>
      <c r="L1660" s="270"/>
      <c r="M1660" s="39"/>
      <c r="N1660" s="39"/>
      <c r="O1660" s="47"/>
      <c r="P1660" s="57"/>
      <c r="Q1660" s="276"/>
      <c r="R1660" s="277"/>
      <c r="S1660" s="277"/>
      <c r="T1660" s="40"/>
      <c r="U1660" s="278"/>
      <c r="V1660" s="269"/>
      <c r="W1660" s="269"/>
      <c r="X1660" s="275"/>
      <c r="Y1660" s="269"/>
      <c r="Z1660" s="357"/>
      <c r="AA1660" s="207"/>
      <c r="AB1660" s="369"/>
      <c r="AC1660" s="370"/>
      <c r="AD1660" s="332"/>
      <c r="AE1660" s="216"/>
      <c r="AF1660" s="43"/>
      <c r="AG1660" s="47"/>
      <c r="AH1660" s="30"/>
      <c r="AI1660" s="30"/>
      <c r="AJ1660" s="30"/>
      <c r="AK1660" s="30"/>
      <c r="AL1660" s="13"/>
      <c r="AM1660" s="13"/>
      <c r="AN1660" s="13"/>
      <c r="AO1660" s="13"/>
      <c r="AP1660" s="13"/>
      <c r="AQ1660" s="14"/>
      <c r="AR1660" s="15"/>
    </row>
    <row r="1661" spans="1:44" s="17" customFormat="1" ht="30.95" hidden="1" customHeight="1" x14ac:dyDescent="0.2">
      <c r="A1661" s="320" t="s">
        <v>492</v>
      </c>
      <c r="B1661" s="321" t="s">
        <v>688</v>
      </c>
      <c r="C1661" s="345"/>
      <c r="D1661" s="398">
        <v>3758068</v>
      </c>
      <c r="E1661" s="31">
        <v>4151688</v>
      </c>
      <c r="F1661" s="268" t="str">
        <f>IF(D1661="","",VLOOKUP(D1661,契約台帳!$A$3:$K$4986,6,FALSE)&amp;VLOOKUP(D1661,契約台帳!$A$3:$K$4986,7,FALSE)&amp;VLOOKUP(D1661,契約台帳!$A$3:$K$4986,8,FALSE)&amp;VLOOKUP(D1661,契約台帳!$A$3:$K$4986,9,FALSE)&amp;VLOOKUP(D1661,契約台帳!$A$3:$K$4986,11,FALSE))</f>
        <v>3SNMLBMNNGKBF</v>
      </c>
      <c r="G1661" s="269" t="str">
        <f>IF(D1661="","",VLOOKUP(F1661,製品マスタ!$G$5:$H$5002,2,FALSE))</f>
        <v>S</v>
      </c>
      <c r="H1661" s="269" t="str">
        <f>IF(D1661="","",VLOOKUP(F1661,製品マスタ!$G$5:$K$5002,5,FALSE))</f>
        <v>MNNGKBF</v>
      </c>
      <c r="I1661" s="270" t="str">
        <f>IF(D1661="","",VLOOKUP(F1661,製品マスタ!$G$5:$L$5002,6,FALSE))</f>
        <v>メタルミー　ニューネーマー銀消　Ｂ</v>
      </c>
      <c r="J1661" s="32" t="s">
        <v>447</v>
      </c>
      <c r="K1661" s="270">
        <f>IF(D1661="","",VLOOKUP(D1661,契約台帳!$A$3:$L$4986,12,FALSE))</f>
        <v>50</v>
      </c>
      <c r="L1661" s="270" t="str">
        <f>IF(D1661="","",INDEX(製品マスタ!$Q$5:$Q$5002,MATCH(F1661&amp;K1661,製品マスタ!$AO$5:$AO$5002,0)))</f>
        <v>X44</v>
      </c>
      <c r="M1661" s="39">
        <v>1000</v>
      </c>
      <c r="N1661" s="39">
        <v>12000</v>
      </c>
      <c r="O1661" s="47">
        <v>5</v>
      </c>
      <c r="P1661" s="57"/>
      <c r="Q1661" s="276">
        <f>IF(D1661="","",IF(J1661="リード付け",M1661,VLOOKUP(D1661,契約台帳!$A$3:$N$4986,14,FALSE)))</f>
        <v>1000</v>
      </c>
      <c r="R1661" s="277">
        <f>IF(D1661="","",IF(J1661="リード付け",M1661,VLOOKUP(D1661,契約台帳!$A$3:$O$4986,15,FALSE)))</f>
        <v>1000</v>
      </c>
      <c r="S1661" s="277">
        <f>IF(D1661="","",IF(J1661="リード付け",N1661,VLOOKUP(D1661,契約台帳!$A$3:$P$4986,16,FALSE)))</f>
        <v>4000</v>
      </c>
      <c r="T1661" s="40">
        <v>15</v>
      </c>
      <c r="U1661" s="278" t="str">
        <f ca="1">IF(D1661="","",IF(OFFSET(D1661,-2,0)=D1661,"",VLOOKUP(D1661,契約台帳!$A$3:$R$4986,18,FALSE)))</f>
        <v/>
      </c>
      <c r="V1661" s="269" t="str">
        <f>IF(J1661="巻返し",VLOOKUP(F1661&amp;K1661&amp;M1661,製品マスタ!$M$5:$AD$5002,18,FALSE),IF(J1661="リード付け","原反コア",IF(J1661="スリット",VLOOKUP(F1661&amp;K1661&amp;Q1661,製品マスタ!$N$5:$AD$5002,17,FALSE),"")))</f>
        <v>6ｲﾝﾁSｺｱ</v>
      </c>
      <c r="W1661" s="269">
        <f>IF(J1661="巻返し",VLOOKUP(F1661&amp;K1661&amp;M1661,製品マスタ!$M$5:$AE$5002,19,FALSE),IF(J1661="リード付け","-",IF(J1661="スリット",VLOOKUP(F1661&amp;K1661&amp;Q1661,製品マスタ!$N$5:$AE$5002,18,FALSE),"")))</f>
        <v>1005</v>
      </c>
      <c r="X1661" s="275">
        <f>IF(D1661="","",VLOOKUP(D1661,契約台帳!$A$3:$Q$4986,17,FALSE))</f>
        <v>2</v>
      </c>
      <c r="Y1661" s="269" t="str">
        <f>IF(D1661="","",VLOOKUP(D1661,契約台帳!$A$3:$E$4986,5,FALSE))</f>
        <v>リンテック㈱</v>
      </c>
      <c r="Z1661" s="357">
        <v>45478</v>
      </c>
      <c r="AA1661" s="207"/>
      <c r="AB1661" s="369"/>
      <c r="AC1661" s="370"/>
      <c r="AD1661" s="332" t="str">
        <f>IF(F1661="","",+F1661&amp;K1661)</f>
        <v>3SNMLBMNNGKBF50</v>
      </c>
      <c r="AE1661" s="216">
        <f>+M1661*N1661*O1661/1000</f>
        <v>60000</v>
      </c>
      <c r="AF1661" s="43">
        <f>IF(AD1661="","",VLOOKUP(AD1661,原価マスタ!$A$2:$AJ$1693,13,FALSE))</f>
        <v>99</v>
      </c>
      <c r="AG1661" s="47">
        <f>IF(AF1661="","",+AE1661*AF1661/100)</f>
        <v>59400</v>
      </c>
      <c r="AH1661" s="30"/>
      <c r="AI1661" s="30"/>
      <c r="AJ1661" s="30"/>
      <c r="AK1661" s="30"/>
      <c r="AL1661" s="13"/>
      <c r="AM1661" s="13"/>
      <c r="AN1661" s="13"/>
      <c r="AO1661" s="13"/>
      <c r="AP1661" s="13"/>
      <c r="AQ1661" s="14"/>
      <c r="AR1661" s="15"/>
    </row>
    <row r="1662" spans="1:44" s="17" customFormat="1" ht="30.95" hidden="1" customHeight="1" x14ac:dyDescent="0.2">
      <c r="A1662" s="343"/>
      <c r="B1662" s="344"/>
      <c r="C1662" s="345"/>
      <c r="D1662" s="398"/>
      <c r="E1662" s="31"/>
      <c r="F1662" s="268"/>
      <c r="G1662" s="269"/>
      <c r="H1662" s="269"/>
      <c r="I1662" s="270"/>
      <c r="J1662" s="32"/>
      <c r="K1662" s="270"/>
      <c r="L1662" s="270"/>
      <c r="M1662" s="39"/>
      <c r="N1662" s="39"/>
      <c r="O1662" s="47"/>
      <c r="P1662" s="57"/>
      <c r="Q1662" s="276"/>
      <c r="R1662" s="277"/>
      <c r="S1662" s="277"/>
      <c r="T1662" s="40"/>
      <c r="U1662" s="278"/>
      <c r="V1662" s="269"/>
      <c r="W1662" s="269"/>
      <c r="X1662" s="275"/>
      <c r="Y1662" s="269"/>
      <c r="Z1662" s="357"/>
      <c r="AA1662" s="207"/>
      <c r="AB1662" s="369"/>
      <c r="AC1662" s="370"/>
      <c r="AD1662" s="332"/>
      <c r="AE1662" s="216"/>
      <c r="AF1662" s="43"/>
      <c r="AG1662" s="47"/>
      <c r="AH1662" s="30"/>
      <c r="AI1662" s="30"/>
      <c r="AJ1662" s="30"/>
      <c r="AK1662" s="30"/>
      <c r="AL1662" s="13"/>
      <c r="AM1662" s="13"/>
      <c r="AN1662" s="13"/>
      <c r="AO1662" s="13"/>
      <c r="AP1662" s="13"/>
      <c r="AQ1662" s="14"/>
      <c r="AR1662" s="15"/>
    </row>
    <row r="1663" spans="1:44" s="17" customFormat="1" ht="30.95" hidden="1" customHeight="1" x14ac:dyDescent="0.2">
      <c r="A1663" s="320"/>
      <c r="B1663" s="321"/>
      <c r="C1663" s="345"/>
      <c r="D1663" s="398">
        <v>3758334</v>
      </c>
      <c r="E1663" s="31">
        <v>4151719</v>
      </c>
      <c r="F1663" s="268" t="str">
        <f>IF(D1663="","",VLOOKUP(D1663,契約台帳!$A$3:$K$4986,6,FALSE)&amp;VLOOKUP(D1663,契約台帳!$A$3:$K$4986,7,FALSE)&amp;VLOOKUP(D1663,契約台帳!$A$3:$K$4986,8,FALSE)&amp;VLOOKUP(D1663,契約台帳!$A$3:$K$4986,9,FALSE)&amp;VLOOKUP(D1663,契約台帳!$A$3:$K$4986,11,FALSE))</f>
        <v>3SNMLBMSF</v>
      </c>
      <c r="G1663" s="269" t="str">
        <f>IF(D1663="","",VLOOKUP(F1663,製品マスタ!$G$5:$H$5002,2,FALSE))</f>
        <v>S</v>
      </c>
      <c r="H1663" s="269" t="str">
        <f>IF(D1663="","",VLOOKUP(F1663,製品マスタ!$G$5:$K$5002,5,FALSE))</f>
        <v>MSF</v>
      </c>
      <c r="I1663" s="270" t="str">
        <f>IF(D1663="","",VLOOKUP(F1663,製品マスタ!$G$5:$L$5002,6,FALSE))</f>
        <v>メタルミー　Ｓ</v>
      </c>
      <c r="J1663" s="32" t="s">
        <v>447</v>
      </c>
      <c r="K1663" s="270">
        <f>IF(D1663="","",VLOOKUP(D1663,契約台帳!$A$3:$L$4986,12,FALSE))</f>
        <v>25</v>
      </c>
      <c r="L1663" s="270" t="str">
        <f>IF(D1663="","",INDEX(製品マスタ!$Q$5:$Q$5002,MATCH(F1663&amp;K1663,製品マスタ!$AO$5:$AO$5002,0)))</f>
        <v>T62M</v>
      </c>
      <c r="M1663" s="39">
        <v>1240</v>
      </c>
      <c r="N1663" s="39">
        <v>12200</v>
      </c>
      <c r="O1663" s="47">
        <v>1</v>
      </c>
      <c r="P1663" s="57"/>
      <c r="Q1663" s="276">
        <f>IF(D1663="","",IF(J1663="リード付け",M1663,VLOOKUP(D1663,契約台帳!$A$3:$N$4986,14,FALSE)))</f>
        <v>1240</v>
      </c>
      <c r="R1663" s="277">
        <f>IF(D1663="","",IF(J1663="リード付け",M1663,VLOOKUP(D1663,契約台帳!$A$3:$O$4986,15,FALSE)))</f>
        <v>1240</v>
      </c>
      <c r="S1663" s="277">
        <f>IF(D1663="","",IF(J1663="リード付け",N1663,VLOOKUP(D1663,契約台帳!$A$3:$P$4986,16,FALSE)))</f>
        <v>2000</v>
      </c>
      <c r="T1663" s="40">
        <v>6</v>
      </c>
      <c r="U1663" s="278">
        <f ca="1">IF(D1663="","",IF(OFFSET(D1663,-2,0)=D1663,"",VLOOKUP(D1663,契約台帳!$A$3:$R$4986,18,FALSE)))</f>
        <v>6</v>
      </c>
      <c r="V1663" s="269" t="str">
        <f>IF(J1663="巻返し",VLOOKUP(F1663&amp;K1663&amp;M1663,製品マスタ!$M$5:$AD$5002,18,FALSE),IF(J1663="リード付け","原反コア",IF(J1663="スリット",VLOOKUP(F1663&amp;K1663&amp;Q1663,製品マスタ!$N$5:$AD$5002,17,FALSE),"")))</f>
        <v>3ｲﾝﾁSｺｱ</v>
      </c>
      <c r="W1663" s="269">
        <f>IF(J1663="巻返し",VLOOKUP(F1663&amp;K1663&amp;M1663,製品マスタ!$M$5:$AE$5002,19,FALSE),IF(J1663="リード付け","-",IF(J1663="スリット",VLOOKUP(F1663&amp;K1663&amp;Q1663,製品マスタ!$N$5:$AE$5002,18,FALSE),"")))</f>
        <v>1245</v>
      </c>
      <c r="X1663" s="275">
        <f>IF(D1663="","",VLOOKUP(D1663,契約台帳!$A$3:$Q$4986,17,FALSE))</f>
        <v>1</v>
      </c>
      <c r="Y1663" s="269" t="str">
        <f>IF(D1663="","",VLOOKUP(D1663,契約台帳!$A$3:$E$4986,5,FALSE))</f>
        <v>日精㈱東京支店</v>
      </c>
      <c r="Z1663" s="357">
        <v>45478</v>
      </c>
      <c r="AA1663" s="207"/>
      <c r="AB1663" s="369"/>
      <c r="AC1663" s="370"/>
      <c r="AD1663" s="332" t="str">
        <f>IF(F1663="","",+F1663&amp;K1663)</f>
        <v>3SNMLBMSF25</v>
      </c>
      <c r="AE1663" s="216">
        <f>+M1663*N1663*O1663/1000</f>
        <v>15128</v>
      </c>
      <c r="AF1663" s="43">
        <f>IF(AD1663="","",VLOOKUP(AD1663,原価マスタ!$A$2:$AJ$1693,13,FALSE))</f>
        <v>97</v>
      </c>
      <c r="AG1663" s="47">
        <f>IF(AF1663="","",+AE1663*AF1663/100)</f>
        <v>14674.16</v>
      </c>
      <c r="AH1663" s="30"/>
      <c r="AI1663" s="30"/>
      <c r="AJ1663" s="30"/>
      <c r="AK1663" s="30"/>
      <c r="AL1663" s="13"/>
      <c r="AM1663" s="13"/>
      <c r="AN1663" s="13"/>
      <c r="AO1663" s="13"/>
      <c r="AP1663" s="13"/>
      <c r="AQ1663" s="14"/>
      <c r="AR1663" s="15"/>
    </row>
    <row r="1664" spans="1:44" s="17" customFormat="1" ht="30.95" hidden="1" customHeight="1" x14ac:dyDescent="0.2">
      <c r="A1664" s="343"/>
      <c r="B1664" s="344"/>
      <c r="C1664" s="345"/>
      <c r="D1664" s="398"/>
      <c r="E1664" s="31"/>
      <c r="F1664" s="268"/>
      <c r="G1664" s="269"/>
      <c r="H1664" s="269"/>
      <c r="I1664" s="270"/>
      <c r="J1664" s="32"/>
      <c r="K1664" s="270"/>
      <c r="L1664" s="270"/>
      <c r="M1664" s="39"/>
      <c r="N1664" s="39"/>
      <c r="O1664" s="47"/>
      <c r="P1664" s="57"/>
      <c r="Q1664" s="276"/>
      <c r="R1664" s="277"/>
      <c r="S1664" s="277"/>
      <c r="T1664" s="40"/>
      <c r="U1664" s="278"/>
      <c r="V1664" s="269"/>
      <c r="W1664" s="269"/>
      <c r="X1664" s="275"/>
      <c r="Y1664" s="269"/>
      <c r="Z1664" s="357"/>
      <c r="AA1664" s="207"/>
      <c r="AB1664" s="369"/>
      <c r="AC1664" s="370"/>
      <c r="AD1664" s="332"/>
      <c r="AE1664" s="216"/>
      <c r="AF1664" s="43"/>
      <c r="AG1664" s="47"/>
      <c r="AH1664" s="30"/>
      <c r="AI1664" s="30"/>
      <c r="AJ1664" s="30"/>
      <c r="AK1664" s="30"/>
      <c r="AL1664" s="13"/>
      <c r="AM1664" s="13"/>
      <c r="AN1664" s="13"/>
      <c r="AO1664" s="13"/>
      <c r="AP1664" s="13"/>
      <c r="AQ1664" s="14"/>
      <c r="AR1664" s="15"/>
    </row>
    <row r="1665" spans="1:44" s="17" customFormat="1" ht="30.95" hidden="1" customHeight="1" x14ac:dyDescent="0.2">
      <c r="A1665" s="320" t="s">
        <v>2938</v>
      </c>
      <c r="B1665" s="321" t="s">
        <v>2939</v>
      </c>
      <c r="C1665" s="345"/>
      <c r="D1665" s="398">
        <v>3758058</v>
      </c>
      <c r="E1665" s="31">
        <v>4151718</v>
      </c>
      <c r="F1665" s="268" t="str">
        <f>IF(D1665="","",VLOOKUP(D1665,契約台帳!$A$3:$K$4986,6,FALSE)&amp;VLOOKUP(D1665,契約台帳!$A$3:$K$4986,7,FALSE)&amp;VLOOKUP(D1665,契約台帳!$A$3:$K$4986,8,FALSE)&amp;VLOOKUP(D1665,契約台帳!$A$3:$K$4986,9,FALSE)&amp;VLOOKUP(D1665,契約台帳!$A$3:$K$4986,11,FALSE))</f>
        <v>3SNMLBMSF</v>
      </c>
      <c r="G1665" s="269" t="str">
        <f>IF(D1665="","",VLOOKUP(F1665,製品マスタ!$G$5:$H$5002,2,FALSE))</f>
        <v>S</v>
      </c>
      <c r="H1665" s="269" t="str">
        <f>IF(D1665="","",VLOOKUP(F1665,製品マスタ!$G$5:$K$5002,5,FALSE))</f>
        <v>MSF</v>
      </c>
      <c r="I1665" s="270" t="str">
        <f>IF(D1665="","",VLOOKUP(F1665,製品マスタ!$G$5:$L$5002,6,FALSE))</f>
        <v>メタルミー　Ｓ</v>
      </c>
      <c r="J1665" s="32" t="s">
        <v>463</v>
      </c>
      <c r="K1665" s="270">
        <f>IF(D1665="","",VLOOKUP(D1665,契約台帳!$A$3:$L$4986,12,FALSE))</f>
        <v>25</v>
      </c>
      <c r="L1665" s="270" t="str">
        <f>IF(D1665="","",INDEX(製品マスタ!$Q$5:$Q$5002,MATCH(F1665&amp;K1665,製品マスタ!$AO$5:$AO$5002,0)))</f>
        <v>T62M</v>
      </c>
      <c r="M1665" s="39">
        <v>1020</v>
      </c>
      <c r="N1665" s="39">
        <v>12100</v>
      </c>
      <c r="O1665" s="47">
        <v>1</v>
      </c>
      <c r="P1665" s="57"/>
      <c r="Q1665" s="276">
        <f>IF(D1665="","",IF(J1665="リード付け",M1665,VLOOKUP(D1665,契約台帳!$A$3:$N$4986,14,FALSE)))</f>
        <v>510</v>
      </c>
      <c r="R1665" s="277">
        <f>IF(D1665="","",IF(J1665="リード付け",M1665,VLOOKUP(D1665,契約台帳!$A$3:$O$4986,15,FALSE)))</f>
        <v>510</v>
      </c>
      <c r="S1665" s="277">
        <f>IF(D1665="","",IF(J1665="リード付け",N1665,VLOOKUP(D1665,契約台帳!$A$3:$P$4986,16,FALSE)))</f>
        <v>2000</v>
      </c>
      <c r="T1665" s="40">
        <v>12</v>
      </c>
      <c r="U1665" s="278">
        <f ca="1">IF(D1665="","",IF(OFFSET(D1665,-2,0)=D1665,"",VLOOKUP(D1665,契約台帳!$A$3:$R$4986,18,FALSE)))</f>
        <v>12</v>
      </c>
      <c r="V1665" s="269" t="str">
        <f>IF(J1665="巻返し",VLOOKUP(F1665&amp;K1665&amp;M1665,製品マスタ!$M$5:$AD$5002,18,FALSE),IF(J1665="リード付け","原反コア",IF(J1665="スリット",VLOOKUP(F1665&amp;K1665&amp;Q1665,製品マスタ!$N$5:$AD$5002,17,FALSE),"")))</f>
        <v>3ｲﾝﾁSｺｱ</v>
      </c>
      <c r="W1665" s="269">
        <f>IF(J1665="巻返し",VLOOKUP(F1665&amp;K1665&amp;M1665,製品マスタ!$M$5:$AE$5002,19,FALSE),IF(J1665="リード付け","-",IF(J1665="スリット",VLOOKUP(F1665&amp;K1665&amp;Q1665,製品マスタ!$N$5:$AE$5002,18,FALSE),"")))</f>
        <v>515</v>
      </c>
      <c r="X1665" s="275">
        <f>IF(D1665="","",VLOOKUP(D1665,契約台帳!$A$3:$Q$4986,17,FALSE))</f>
        <v>1</v>
      </c>
      <c r="Y1665" s="269" t="str">
        <f>IF(D1665="","",VLOOKUP(D1665,契約台帳!$A$3:$E$4986,5,FALSE))</f>
        <v>日東シンコー㈱</v>
      </c>
      <c r="Z1665" s="357">
        <v>45481</v>
      </c>
      <c r="AA1665" s="207"/>
      <c r="AB1665" s="369"/>
      <c r="AC1665" s="370"/>
      <c r="AD1665" s="332" t="str">
        <f>IF(F1665="","",+F1665&amp;K1665)</f>
        <v>3SNMLBMSF25</v>
      </c>
      <c r="AE1665" s="216">
        <f>+M1665*N1665*O1665/1000</f>
        <v>12342</v>
      </c>
      <c r="AF1665" s="43">
        <f>IF(AD1665="","",VLOOKUP(AD1665,原価マスタ!$A$2:$AJ$1693,13,FALSE))</f>
        <v>97</v>
      </c>
      <c r="AG1665" s="47">
        <f>IF(AF1665="","",+AE1665*AF1665/100)</f>
        <v>11971.74</v>
      </c>
      <c r="AH1665" s="30"/>
      <c r="AI1665" s="30"/>
      <c r="AJ1665" s="30"/>
      <c r="AK1665" s="30"/>
      <c r="AL1665" s="13"/>
      <c r="AM1665" s="13"/>
      <c r="AN1665" s="13"/>
      <c r="AO1665" s="13"/>
      <c r="AP1665" s="13"/>
      <c r="AQ1665" s="14"/>
      <c r="AR1665" s="15"/>
    </row>
    <row r="1666" spans="1:44" s="17" customFormat="1" ht="30.95" hidden="1" customHeight="1" x14ac:dyDescent="0.2">
      <c r="A1666" s="343"/>
      <c r="B1666" s="344"/>
      <c r="C1666" s="345"/>
      <c r="D1666" s="398"/>
      <c r="E1666" s="31"/>
      <c r="F1666" s="268"/>
      <c r="G1666" s="269"/>
      <c r="H1666" s="269"/>
      <c r="I1666" s="270"/>
      <c r="J1666" s="32"/>
      <c r="K1666" s="270"/>
      <c r="L1666" s="270"/>
      <c r="M1666" s="39"/>
      <c r="N1666" s="39"/>
      <c r="O1666" s="47"/>
      <c r="P1666" s="57"/>
      <c r="Q1666" s="276"/>
      <c r="R1666" s="277"/>
      <c r="S1666" s="277"/>
      <c r="T1666" s="40"/>
      <c r="U1666" s="278"/>
      <c r="V1666" s="269"/>
      <c r="W1666" s="269"/>
      <c r="X1666" s="275"/>
      <c r="Y1666" s="269"/>
      <c r="Z1666" s="357"/>
      <c r="AA1666" s="207"/>
      <c r="AB1666" s="369"/>
      <c r="AC1666" s="370"/>
      <c r="AD1666" s="332"/>
      <c r="AE1666" s="216"/>
      <c r="AF1666" s="43"/>
      <c r="AG1666" s="47"/>
      <c r="AH1666" s="30"/>
      <c r="AI1666" s="30"/>
      <c r="AJ1666" s="30"/>
      <c r="AK1666" s="30"/>
      <c r="AL1666" s="13"/>
      <c r="AM1666" s="13"/>
      <c r="AN1666" s="13"/>
      <c r="AO1666" s="13"/>
      <c r="AP1666" s="13"/>
      <c r="AQ1666" s="14"/>
      <c r="AR1666" s="15"/>
    </row>
    <row r="1667" spans="1:44" s="17" customFormat="1" ht="30.95" hidden="1" customHeight="1" x14ac:dyDescent="0.2">
      <c r="A1667" s="343"/>
      <c r="B1667" s="344"/>
      <c r="C1667" s="345"/>
      <c r="D1667" s="398"/>
      <c r="E1667" s="31"/>
      <c r="F1667" s="268"/>
      <c r="G1667" s="269"/>
      <c r="H1667" s="269"/>
      <c r="I1667" s="270"/>
      <c r="J1667" s="32" t="s">
        <v>2906</v>
      </c>
      <c r="K1667" s="270"/>
      <c r="L1667" s="270"/>
      <c r="M1667" s="39"/>
      <c r="N1667" s="39"/>
      <c r="O1667" s="47"/>
      <c r="P1667" s="57"/>
      <c r="Q1667" s="276"/>
      <c r="R1667" s="277"/>
      <c r="S1667" s="277"/>
      <c r="T1667" s="40"/>
      <c r="U1667" s="278"/>
      <c r="V1667" s="269"/>
      <c r="W1667" s="269"/>
      <c r="X1667" s="275"/>
      <c r="Y1667" s="269"/>
      <c r="Z1667" s="357"/>
      <c r="AA1667" s="207"/>
      <c r="AB1667" s="369"/>
      <c r="AC1667" s="370"/>
      <c r="AD1667" s="332"/>
      <c r="AE1667" s="216"/>
      <c r="AF1667" s="43"/>
      <c r="AG1667" s="47"/>
      <c r="AH1667" s="30"/>
      <c r="AI1667" s="30"/>
      <c r="AJ1667" s="30"/>
      <c r="AK1667" s="30"/>
      <c r="AL1667" s="13"/>
      <c r="AM1667" s="13"/>
      <c r="AN1667" s="13"/>
      <c r="AO1667" s="13"/>
      <c r="AP1667" s="13"/>
      <c r="AQ1667" s="14"/>
      <c r="AR1667" s="15"/>
    </row>
    <row r="1668" spans="1:44" s="17" customFormat="1" ht="30.95" hidden="1" customHeight="1" x14ac:dyDescent="0.2">
      <c r="A1668" s="343"/>
      <c r="B1668" s="344"/>
      <c r="C1668" s="345"/>
      <c r="D1668" s="398"/>
      <c r="E1668" s="31"/>
      <c r="F1668" s="268"/>
      <c r="G1668" s="269"/>
      <c r="H1668" s="269"/>
      <c r="I1668" s="270"/>
      <c r="J1668" s="32"/>
      <c r="K1668" s="270"/>
      <c r="L1668" s="270"/>
      <c r="M1668" s="39"/>
      <c r="N1668" s="39"/>
      <c r="O1668" s="47"/>
      <c r="P1668" s="57"/>
      <c r="Q1668" s="276"/>
      <c r="R1668" s="277"/>
      <c r="S1668" s="277"/>
      <c r="T1668" s="40"/>
      <c r="U1668" s="278"/>
      <c r="V1668" s="269"/>
      <c r="W1668" s="269"/>
      <c r="X1668" s="275"/>
      <c r="Y1668" s="269"/>
      <c r="Z1668" s="357"/>
      <c r="AA1668" s="207"/>
      <c r="AB1668" s="369"/>
      <c r="AC1668" s="370"/>
      <c r="AD1668" s="332"/>
      <c r="AE1668" s="216"/>
      <c r="AF1668" s="43"/>
      <c r="AG1668" s="47"/>
      <c r="AH1668" s="30"/>
      <c r="AI1668" s="30"/>
      <c r="AJ1668" s="30"/>
      <c r="AK1668" s="30"/>
      <c r="AL1668" s="13"/>
      <c r="AM1668" s="13"/>
      <c r="AN1668" s="13"/>
      <c r="AO1668" s="13"/>
      <c r="AP1668" s="13"/>
      <c r="AQ1668" s="14"/>
      <c r="AR1668" s="15"/>
    </row>
    <row r="1669" spans="1:44" s="17" customFormat="1" ht="30.95" hidden="1" customHeight="1" x14ac:dyDescent="0.2">
      <c r="A1669" s="343" t="s">
        <v>1263</v>
      </c>
      <c r="B1669" s="344" t="s">
        <v>443</v>
      </c>
      <c r="C1669" s="345"/>
      <c r="D1669" s="398"/>
      <c r="E1669" s="31"/>
      <c r="F1669" s="268"/>
      <c r="G1669" s="269"/>
      <c r="H1669" s="269"/>
      <c r="I1669" s="301" t="s">
        <v>2901</v>
      </c>
      <c r="J1669" s="32"/>
      <c r="K1669" s="270"/>
      <c r="L1669" s="270"/>
      <c r="M1669" s="39"/>
      <c r="N1669" s="39"/>
      <c r="O1669" s="47"/>
      <c r="P1669" s="350"/>
      <c r="Q1669" s="276"/>
      <c r="R1669" s="277"/>
      <c r="S1669" s="277"/>
      <c r="T1669" s="40"/>
      <c r="U1669" s="278"/>
      <c r="V1669" s="269"/>
      <c r="W1669" s="269"/>
      <c r="X1669" s="275"/>
      <c r="Y1669" s="269"/>
      <c r="Z1669" s="357"/>
      <c r="AA1669" s="207"/>
      <c r="AB1669" s="369"/>
      <c r="AC1669" s="370"/>
      <c r="AD1669" s="332"/>
      <c r="AE1669" s="371"/>
      <c r="AF1669" s="355"/>
      <c r="AG1669" s="349"/>
      <c r="AH1669" s="30"/>
      <c r="AI1669" s="30"/>
      <c r="AJ1669" s="30"/>
      <c r="AK1669" s="30"/>
      <c r="AL1669" s="13"/>
      <c r="AM1669" s="13"/>
      <c r="AN1669" s="13"/>
      <c r="AO1669" s="13"/>
      <c r="AP1669" s="13"/>
      <c r="AQ1669" s="14"/>
      <c r="AR1669" s="15"/>
    </row>
    <row r="1670" spans="1:44" s="17" customFormat="1" ht="30.95" hidden="1" customHeight="1" x14ac:dyDescent="0.2">
      <c r="A1670" s="343"/>
      <c r="B1670" s="344"/>
      <c r="C1670" s="345"/>
      <c r="D1670" s="398"/>
      <c r="E1670" s="31"/>
      <c r="F1670" s="268"/>
      <c r="G1670" s="269"/>
      <c r="H1670" s="269"/>
      <c r="I1670" s="270"/>
      <c r="J1670" s="32"/>
      <c r="K1670" s="270"/>
      <c r="L1670" s="270"/>
      <c r="M1670" s="39"/>
      <c r="N1670" s="39"/>
      <c r="O1670" s="47"/>
      <c r="P1670" s="57"/>
      <c r="Q1670" s="276"/>
      <c r="R1670" s="277"/>
      <c r="S1670" s="277"/>
      <c r="T1670" s="40"/>
      <c r="U1670" s="278"/>
      <c r="V1670" s="269"/>
      <c r="W1670" s="269"/>
      <c r="X1670" s="275"/>
      <c r="Y1670" s="269"/>
      <c r="Z1670" s="357"/>
      <c r="AA1670" s="207"/>
      <c r="AB1670" s="369"/>
      <c r="AC1670" s="370"/>
      <c r="AD1670" s="332"/>
      <c r="AE1670" s="216"/>
      <c r="AF1670" s="43"/>
      <c r="AG1670" s="47"/>
      <c r="AH1670" s="30"/>
      <c r="AI1670" s="30"/>
      <c r="AJ1670" s="30"/>
      <c r="AK1670" s="30"/>
      <c r="AL1670" s="13"/>
      <c r="AM1670" s="13"/>
      <c r="AN1670" s="13"/>
      <c r="AO1670" s="13"/>
      <c r="AP1670" s="13"/>
      <c r="AQ1670" s="14"/>
      <c r="AR1670" s="15"/>
    </row>
    <row r="1671" spans="1:44" s="17" customFormat="1" ht="30.95" hidden="1" customHeight="1" x14ac:dyDescent="0.2">
      <c r="A1671" s="343" t="s">
        <v>2951</v>
      </c>
      <c r="B1671" s="344" t="s">
        <v>2952</v>
      </c>
      <c r="C1671" s="345"/>
      <c r="D1671" s="398"/>
      <c r="E1671" s="31"/>
      <c r="F1671" s="268"/>
      <c r="G1671" s="269"/>
      <c r="H1671" s="269"/>
      <c r="I1671" s="270"/>
      <c r="J1671" s="32"/>
      <c r="K1671" s="270"/>
      <c r="L1671" s="270"/>
      <c r="M1671" s="39"/>
      <c r="N1671" s="39"/>
      <c r="O1671" s="47"/>
      <c r="P1671" s="57"/>
      <c r="Q1671" s="276"/>
      <c r="R1671" s="277"/>
      <c r="S1671" s="277"/>
      <c r="T1671" s="40"/>
      <c r="U1671" s="278"/>
      <c r="V1671" s="269"/>
      <c r="W1671" s="269"/>
      <c r="X1671" s="275"/>
      <c r="Y1671" s="269"/>
      <c r="Z1671" s="357"/>
      <c r="AA1671" s="207"/>
      <c r="AB1671" s="369"/>
      <c r="AC1671" s="370"/>
      <c r="AD1671" s="332"/>
      <c r="AE1671" s="216"/>
      <c r="AF1671" s="43"/>
      <c r="AG1671" s="47"/>
      <c r="AH1671" s="30"/>
      <c r="AI1671" s="30"/>
      <c r="AJ1671" s="30"/>
      <c r="AK1671" s="30"/>
      <c r="AL1671" s="13"/>
      <c r="AM1671" s="13"/>
      <c r="AN1671" s="13"/>
      <c r="AO1671" s="13"/>
      <c r="AP1671" s="13"/>
      <c r="AQ1671" s="14"/>
      <c r="AR1671" s="15"/>
    </row>
    <row r="1672" spans="1:44" s="17" customFormat="1" ht="30.95" hidden="1" customHeight="1" x14ac:dyDescent="0.2">
      <c r="A1672" s="343"/>
      <c r="B1672" s="344"/>
      <c r="C1672" s="345"/>
      <c r="D1672" s="398"/>
      <c r="E1672" s="31"/>
      <c r="F1672" s="268"/>
      <c r="G1672" s="269"/>
      <c r="H1672" s="269"/>
      <c r="I1672" s="270"/>
      <c r="J1672" s="32"/>
      <c r="K1672" s="270"/>
      <c r="L1672" s="270"/>
      <c r="M1672" s="39"/>
      <c r="N1672" s="39"/>
      <c r="O1672" s="47"/>
      <c r="P1672" s="57"/>
      <c r="Q1672" s="276"/>
      <c r="R1672" s="277"/>
      <c r="S1672" s="277"/>
      <c r="T1672" s="40"/>
      <c r="U1672" s="278"/>
      <c r="V1672" s="269"/>
      <c r="W1672" s="269"/>
      <c r="X1672" s="275"/>
      <c r="Y1672" s="269"/>
      <c r="Z1672" s="357"/>
      <c r="AA1672" s="207"/>
      <c r="AB1672" s="369"/>
      <c r="AC1672" s="370"/>
      <c r="AD1672" s="332"/>
      <c r="AE1672" s="216"/>
      <c r="AF1672" s="43"/>
      <c r="AG1672" s="47"/>
      <c r="AH1672" s="30"/>
      <c r="AI1672" s="30"/>
      <c r="AJ1672" s="30"/>
      <c r="AK1672" s="30"/>
      <c r="AL1672" s="13"/>
      <c r="AM1672" s="13"/>
      <c r="AN1672" s="13"/>
      <c r="AO1672" s="13"/>
      <c r="AP1672" s="13"/>
      <c r="AQ1672" s="14"/>
      <c r="AR1672" s="15"/>
    </row>
    <row r="1673" spans="1:44" s="17" customFormat="1" ht="30.95" hidden="1" customHeight="1" x14ac:dyDescent="0.2">
      <c r="A1673" s="343" t="s">
        <v>2953</v>
      </c>
      <c r="B1673" s="344" t="s">
        <v>2954</v>
      </c>
      <c r="C1673" s="345"/>
      <c r="D1673" s="398"/>
      <c r="E1673" s="31"/>
      <c r="F1673" s="268"/>
      <c r="G1673" s="269"/>
      <c r="H1673" s="269"/>
      <c r="I1673" s="270"/>
      <c r="J1673" s="32" t="s">
        <v>448</v>
      </c>
      <c r="K1673" s="270"/>
      <c r="L1673" s="270"/>
      <c r="M1673" s="39"/>
      <c r="N1673" s="39"/>
      <c r="O1673" s="47"/>
      <c r="P1673" s="57"/>
      <c r="Q1673" s="276"/>
      <c r="R1673" s="277"/>
      <c r="S1673" s="277"/>
      <c r="T1673" s="40"/>
      <c r="U1673" s="278"/>
      <c r="V1673" s="269"/>
      <c r="W1673" s="269"/>
      <c r="X1673" s="275"/>
      <c r="Y1673" s="269"/>
      <c r="Z1673" s="357"/>
      <c r="AA1673" s="207"/>
      <c r="AB1673" s="369"/>
      <c r="AC1673" s="370"/>
      <c r="AD1673" s="332"/>
      <c r="AE1673" s="216"/>
      <c r="AF1673" s="43"/>
      <c r="AG1673" s="47"/>
      <c r="AH1673" s="30"/>
      <c r="AI1673" s="30"/>
      <c r="AJ1673" s="30"/>
      <c r="AK1673" s="30"/>
      <c r="AL1673" s="13"/>
      <c r="AM1673" s="13"/>
      <c r="AN1673" s="13"/>
      <c r="AO1673" s="13"/>
      <c r="AP1673" s="13"/>
      <c r="AQ1673" s="14"/>
      <c r="AR1673" s="15"/>
    </row>
    <row r="1674" spans="1:44" s="17" customFormat="1" ht="30.95" hidden="1" customHeight="1" x14ac:dyDescent="0.2">
      <c r="A1674" s="343"/>
      <c r="B1674" s="344"/>
      <c r="C1674" s="345"/>
      <c r="D1674" s="398"/>
      <c r="E1674" s="31"/>
      <c r="F1674" s="268"/>
      <c r="G1674" s="269"/>
      <c r="H1674" s="269"/>
      <c r="I1674" s="270"/>
      <c r="J1674" s="32"/>
      <c r="K1674" s="270"/>
      <c r="L1674" s="270"/>
      <c r="M1674" s="39"/>
      <c r="N1674" s="39"/>
      <c r="O1674" s="47"/>
      <c r="P1674" s="57"/>
      <c r="Q1674" s="276"/>
      <c r="R1674" s="277"/>
      <c r="S1674" s="277"/>
      <c r="T1674" s="40"/>
      <c r="U1674" s="278"/>
      <c r="V1674" s="269"/>
      <c r="W1674" s="269"/>
      <c r="X1674" s="275"/>
      <c r="Y1674" s="269"/>
      <c r="Z1674" s="357"/>
      <c r="AA1674" s="207"/>
      <c r="AB1674" s="369"/>
      <c r="AC1674" s="370"/>
      <c r="AD1674" s="332"/>
      <c r="AE1674" s="216"/>
      <c r="AF1674" s="43"/>
      <c r="AG1674" s="47"/>
      <c r="AH1674" s="30"/>
      <c r="AI1674" s="30"/>
      <c r="AJ1674" s="30"/>
      <c r="AK1674" s="30"/>
      <c r="AL1674" s="13"/>
      <c r="AM1674" s="13"/>
      <c r="AN1674" s="13"/>
      <c r="AO1674" s="13"/>
      <c r="AP1674" s="13"/>
      <c r="AQ1674" s="14"/>
      <c r="AR1674" s="15"/>
    </row>
    <row r="1675" spans="1:44" s="17" customFormat="1" ht="30.95" hidden="1" customHeight="1" x14ac:dyDescent="0.2">
      <c r="A1675" s="343" t="s">
        <v>2955</v>
      </c>
      <c r="B1675" s="344" t="s">
        <v>2956</v>
      </c>
      <c r="C1675" s="345"/>
      <c r="D1675" s="398"/>
      <c r="E1675" s="31"/>
      <c r="F1675" s="268"/>
      <c r="G1675" s="269"/>
      <c r="H1675" s="269"/>
      <c r="I1675" s="270"/>
      <c r="J1675" s="32" t="s">
        <v>448</v>
      </c>
      <c r="K1675" s="270"/>
      <c r="L1675" s="270"/>
      <c r="M1675" s="39"/>
      <c r="N1675" s="39"/>
      <c r="O1675" s="47"/>
      <c r="P1675" s="57"/>
      <c r="Q1675" s="276"/>
      <c r="R1675" s="277"/>
      <c r="S1675" s="277"/>
      <c r="T1675" s="40"/>
      <c r="U1675" s="278"/>
      <c r="V1675" s="269"/>
      <c r="W1675" s="269"/>
      <c r="X1675" s="275"/>
      <c r="Y1675" s="269"/>
      <c r="Z1675" s="357"/>
      <c r="AA1675" s="207"/>
      <c r="AB1675" s="369"/>
      <c r="AC1675" s="370"/>
      <c r="AD1675" s="332"/>
      <c r="AE1675" s="216"/>
      <c r="AF1675" s="43"/>
      <c r="AG1675" s="47"/>
      <c r="AH1675" s="30"/>
      <c r="AI1675" s="30"/>
      <c r="AJ1675" s="30"/>
      <c r="AK1675" s="30"/>
      <c r="AL1675" s="13"/>
      <c r="AM1675" s="13"/>
      <c r="AN1675" s="13"/>
      <c r="AO1675" s="13"/>
      <c r="AP1675" s="13"/>
      <c r="AQ1675" s="14"/>
      <c r="AR1675" s="15"/>
    </row>
    <row r="1676" spans="1:44" s="17" customFormat="1" ht="30.95" hidden="1" customHeight="1" x14ac:dyDescent="0.2">
      <c r="A1676" s="343"/>
      <c r="B1676" s="344"/>
      <c r="C1676" s="345"/>
      <c r="D1676" s="398"/>
      <c r="E1676" s="31"/>
      <c r="F1676" s="268"/>
      <c r="G1676" s="269"/>
      <c r="H1676" s="269"/>
      <c r="I1676" s="270"/>
      <c r="J1676" s="32"/>
      <c r="K1676" s="270"/>
      <c r="L1676" s="270"/>
      <c r="M1676" s="39"/>
      <c r="N1676" s="39"/>
      <c r="O1676" s="47"/>
      <c r="P1676" s="57"/>
      <c r="Q1676" s="276"/>
      <c r="R1676" s="277"/>
      <c r="S1676" s="277"/>
      <c r="T1676" s="40"/>
      <c r="U1676" s="278"/>
      <c r="V1676" s="269"/>
      <c r="W1676" s="269"/>
      <c r="X1676" s="275"/>
      <c r="Y1676" s="269"/>
      <c r="Z1676" s="357"/>
      <c r="AA1676" s="207"/>
      <c r="AB1676" s="369"/>
      <c r="AC1676" s="370"/>
      <c r="AD1676" s="332"/>
      <c r="AE1676" s="216"/>
      <c r="AF1676" s="43"/>
      <c r="AG1676" s="47"/>
      <c r="AH1676" s="30"/>
      <c r="AI1676" s="30"/>
      <c r="AJ1676" s="30"/>
      <c r="AK1676" s="30"/>
      <c r="AL1676" s="13"/>
      <c r="AM1676" s="13"/>
      <c r="AN1676" s="13"/>
      <c r="AO1676" s="13"/>
      <c r="AP1676" s="13"/>
      <c r="AQ1676" s="14"/>
      <c r="AR1676" s="15"/>
    </row>
    <row r="1677" spans="1:44" s="17" customFormat="1" ht="30.95" hidden="1" customHeight="1" x14ac:dyDescent="0.2">
      <c r="A1677" s="320" t="s">
        <v>2957</v>
      </c>
      <c r="B1677" s="321" t="s">
        <v>2958</v>
      </c>
      <c r="C1677" s="345"/>
      <c r="D1677" s="398">
        <v>3763923</v>
      </c>
      <c r="E1677" s="31">
        <v>4151744</v>
      </c>
      <c r="F1677" s="268" t="str">
        <f>IF(D1677="","",VLOOKUP(D1677,契約台帳!$A$3:$K$4986,6,FALSE)&amp;VLOOKUP(D1677,契約台帳!$A$3:$K$4986,7,FALSE)&amp;VLOOKUP(D1677,契約台帳!$A$3:$K$4986,8,FALSE)&amp;VLOOKUP(D1677,契約台帳!$A$3:$K$4986,9,FALSE)&amp;VLOOKUP(D1677,契約台帳!$A$3:$K$4986,11,FALSE))</f>
        <v>3UNMLBMTSF</v>
      </c>
      <c r="G1677" s="269" t="str">
        <f>IF(D1677="","",VLOOKUP(F1677,製品マスタ!$G$5:$H$5002,2,FALSE))</f>
        <v>U</v>
      </c>
      <c r="H1677" s="269" t="str">
        <f>IF(D1677="","",VLOOKUP(F1677,製品マスタ!$G$5:$K$5002,5,FALSE))</f>
        <v>MTSF</v>
      </c>
      <c r="I1677" s="270" t="str">
        <f>IF(D1677="","",VLOOKUP(F1677,製品マスタ!$G$5:$L$5002,6,FALSE))</f>
        <v>メタルミー　ＴＳ</v>
      </c>
      <c r="J1677" s="32" t="s">
        <v>447</v>
      </c>
      <c r="K1677" s="270">
        <f>IF(D1677="","",VLOOKUP(D1677,契約台帳!$A$3:$L$4986,12,FALSE))</f>
        <v>50</v>
      </c>
      <c r="L1677" s="270" t="str">
        <f>IF(D1677="","",INDEX(製品マスタ!$Q$5:$Q$5002,MATCH(F1677&amp;K1677,製品マスタ!$AO$5:$AO$5002,0)))</f>
        <v>T62M</v>
      </c>
      <c r="M1677" s="39">
        <v>1255</v>
      </c>
      <c r="N1677" s="39">
        <v>12200</v>
      </c>
      <c r="O1677" s="47">
        <v>1</v>
      </c>
      <c r="P1677" s="57"/>
      <c r="Q1677" s="276">
        <f>IF(D1677="","",IF(J1677="リード付け",M1677,VLOOKUP(D1677,契約台帳!$A$3:$N$4986,14,FALSE)))</f>
        <v>1255</v>
      </c>
      <c r="R1677" s="277">
        <f>IF(D1677="","",IF(J1677="リード付け",M1677,VLOOKUP(D1677,契約台帳!$A$3:$O$4986,15,FALSE)))</f>
        <v>1250</v>
      </c>
      <c r="S1677" s="277">
        <f>IF(D1677="","",IF(J1677="リード付け",N1677,VLOOKUP(D1677,契約台帳!$A$3:$P$4986,16,FALSE)))</f>
        <v>2000</v>
      </c>
      <c r="T1677" s="40">
        <v>6</v>
      </c>
      <c r="U1677" s="278">
        <f ca="1">IF(D1677="","",IF(OFFSET(D1677,-2,0)=D1677,"",VLOOKUP(D1677,契約台帳!$A$3:$R$4986,18,FALSE)))</f>
        <v>6</v>
      </c>
      <c r="V1677" s="269" t="str">
        <f>IF(J1677="巻返し",VLOOKUP(F1677&amp;K1677&amp;M1677,製品マスタ!$M$5:$AD$5002,18,FALSE),IF(J1677="リード付け","原反コア",IF(J1677="スリット",VLOOKUP(F1677&amp;K1677&amp;Q1677,製品マスタ!$N$5:$AD$5002,17,FALSE),"")))</f>
        <v>3ｲﾝﾁSｺｱ</v>
      </c>
      <c r="W1677" s="269">
        <f>IF(J1677="巻返し",VLOOKUP(F1677&amp;K1677&amp;M1677,製品マスタ!$M$5:$AE$5002,19,FALSE),IF(J1677="リード付け","-",IF(J1677="スリット",VLOOKUP(F1677&amp;K1677&amp;Q1677,製品マスタ!$N$5:$AE$5002,18,FALSE),"")))</f>
        <v>1260</v>
      </c>
      <c r="X1677" s="275">
        <f>IF(D1677="","",VLOOKUP(D1677,契約台帳!$A$3:$Q$4986,17,FALSE))</f>
        <v>2</v>
      </c>
      <c r="Y1677" s="269" t="str">
        <f>IF(D1677="","",VLOOKUP(D1677,契約台帳!$A$3:$E$4986,5,FALSE))</f>
        <v>日東電工㈱豊橋工場</v>
      </c>
      <c r="Z1677" s="357">
        <v>45484</v>
      </c>
      <c r="AA1677" s="207" t="s">
        <v>774</v>
      </c>
      <c r="AB1677" s="369"/>
      <c r="AC1677" s="370"/>
      <c r="AD1677" s="332"/>
      <c r="AE1677" s="216"/>
      <c r="AF1677" s="43"/>
      <c r="AG1677" s="47"/>
      <c r="AH1677" s="30"/>
      <c r="AI1677" s="30"/>
      <c r="AJ1677" s="30"/>
      <c r="AK1677" s="30"/>
      <c r="AL1677" s="13"/>
      <c r="AM1677" s="13"/>
      <c r="AN1677" s="13"/>
      <c r="AO1677" s="13"/>
      <c r="AP1677" s="13"/>
      <c r="AQ1677" s="14"/>
      <c r="AR1677" s="15"/>
    </row>
    <row r="1678" spans="1:44" s="17" customFormat="1" ht="30.95" hidden="1" customHeight="1" x14ac:dyDescent="0.2">
      <c r="A1678" s="343"/>
      <c r="B1678" s="344"/>
      <c r="C1678" s="345"/>
      <c r="D1678" s="398"/>
      <c r="E1678" s="31"/>
      <c r="F1678" s="268"/>
      <c r="G1678" s="269"/>
      <c r="H1678" s="269"/>
      <c r="I1678" s="270"/>
      <c r="J1678" s="32"/>
      <c r="K1678" s="270"/>
      <c r="L1678" s="270"/>
      <c r="M1678" s="39"/>
      <c r="N1678" s="39"/>
      <c r="O1678" s="47"/>
      <c r="P1678" s="57"/>
      <c r="Q1678" s="276"/>
      <c r="R1678" s="277"/>
      <c r="S1678" s="277"/>
      <c r="T1678" s="40"/>
      <c r="U1678" s="278"/>
      <c r="V1678" s="269"/>
      <c r="W1678" s="269"/>
      <c r="X1678" s="275"/>
      <c r="Y1678" s="269"/>
      <c r="Z1678" s="357"/>
      <c r="AA1678" s="207"/>
      <c r="AB1678" s="369"/>
      <c r="AC1678" s="370"/>
      <c r="AD1678" s="332"/>
      <c r="AE1678" s="216"/>
      <c r="AF1678" s="43"/>
      <c r="AG1678" s="47"/>
      <c r="AH1678" s="30"/>
      <c r="AI1678" s="30"/>
      <c r="AJ1678" s="30"/>
      <c r="AK1678" s="30"/>
      <c r="AL1678" s="13"/>
      <c r="AM1678" s="13"/>
      <c r="AN1678" s="13"/>
      <c r="AO1678" s="13"/>
      <c r="AP1678" s="13"/>
      <c r="AQ1678" s="14"/>
      <c r="AR1678" s="15"/>
    </row>
    <row r="1679" spans="1:44" s="17" customFormat="1" ht="30.95" hidden="1" customHeight="1" x14ac:dyDescent="0.2">
      <c r="A1679" s="320"/>
      <c r="B1679" s="321"/>
      <c r="C1679" s="345"/>
      <c r="D1679" s="398">
        <v>3762724</v>
      </c>
      <c r="E1679" s="31">
        <v>4151738</v>
      </c>
      <c r="F1679" s="268" t="str">
        <f>IF(D1679="","",VLOOKUP(D1679,契約台帳!$A$3:$K$4986,6,FALSE)&amp;VLOOKUP(D1679,契約台帳!$A$3:$K$4986,7,FALSE)&amp;VLOOKUP(D1679,契約台帳!$A$3:$K$4986,8,FALSE)&amp;VLOOKUP(D1679,契約台帳!$A$3:$K$4986,9,FALSE)&amp;VLOOKUP(D1679,契約台帳!$A$3:$K$4986,11,FALSE))</f>
        <v>3SNMLBMTSF</v>
      </c>
      <c r="G1679" s="269" t="str">
        <f>IF(D1679="","",VLOOKUP(F1679,製品マスタ!$G$5:$H$5002,2,FALSE))</f>
        <v>S</v>
      </c>
      <c r="H1679" s="269" t="str">
        <f>IF(D1679="","",VLOOKUP(F1679,製品マスタ!$G$5:$K$5002,5,FALSE))</f>
        <v>MTSF</v>
      </c>
      <c r="I1679" s="270" t="str">
        <f>IF(D1679="","",VLOOKUP(F1679,製品マスタ!$G$5:$L$5002,6,FALSE))</f>
        <v>メタルミー　ＴＳ</v>
      </c>
      <c r="J1679" s="32" t="s">
        <v>447</v>
      </c>
      <c r="K1679" s="270">
        <f>IF(D1679="","",VLOOKUP(D1679,契約台帳!$A$3:$L$4986,12,FALSE))</f>
        <v>75</v>
      </c>
      <c r="L1679" s="270" t="str">
        <f>IF(D1679="","",INDEX(製品マスタ!$Q$5:$Q$5002,MATCH(F1679&amp;K1679,製品マスタ!$AO$5:$AO$5002,0)))</f>
        <v>T60</v>
      </c>
      <c r="M1679" s="39">
        <v>1100</v>
      </c>
      <c r="N1679" s="39">
        <v>2000</v>
      </c>
      <c r="O1679" s="47">
        <v>1</v>
      </c>
      <c r="P1679" s="57"/>
      <c r="Q1679" s="276">
        <f>IF(D1679="","",IF(J1679="リード付け",M1679,VLOOKUP(D1679,契約台帳!$A$3:$N$4986,14,FALSE)))</f>
        <v>1000</v>
      </c>
      <c r="R1679" s="277">
        <f>IF(D1679="","",IF(J1679="リード付け",M1679,VLOOKUP(D1679,契約台帳!$A$3:$O$4986,15,FALSE)))</f>
        <v>1000</v>
      </c>
      <c r="S1679" s="277">
        <f>IF(D1679="","",IF(J1679="リード付け",N1679,VLOOKUP(D1679,契約台帳!$A$3:$P$4986,16,FALSE)))</f>
        <v>1000</v>
      </c>
      <c r="T1679" s="40">
        <v>2</v>
      </c>
      <c r="U1679" s="278">
        <f ca="1">IF(D1679="","",IF(OFFSET(D1679,-2,0)=D1679,"",VLOOKUP(D1679,契約台帳!$A$3:$R$4986,18,FALSE)))</f>
        <v>2</v>
      </c>
      <c r="V1679" s="269" t="str">
        <f>IF(J1679="巻返し",VLOOKUP(F1679&amp;K1679&amp;M1679,製品マスタ!$M$5:$AD$5002,18,FALSE),IF(J1679="リード付け","原反コア",IF(J1679="スリット",VLOOKUP(F1679&amp;K1679&amp;Q1679,製品マスタ!$N$5:$AD$5002,17,FALSE),"")))</f>
        <v>3ｲﾝﾁSｺｱ</v>
      </c>
      <c r="W1679" s="269">
        <f>IF(J1679="巻返し",VLOOKUP(F1679&amp;K1679&amp;M1679,製品マスタ!$M$5:$AE$5002,19,FALSE),IF(J1679="リード付け","-",IF(J1679="スリット",VLOOKUP(F1679&amp;K1679&amp;Q1679,製品マスタ!$N$5:$AE$5002,18,FALSE),"")))</f>
        <v>1005</v>
      </c>
      <c r="X1679" s="275">
        <f>IF(D1679="","",VLOOKUP(D1679,契約台帳!$A$3:$Q$4986,17,FALSE))</f>
        <v>2</v>
      </c>
      <c r="Y1679" s="269" t="str">
        <f>IF(D1679="","",VLOOKUP(D1679,契約台帳!$A$3:$E$4986,5,FALSE))</f>
        <v>パナック㈱亀山工場</v>
      </c>
      <c r="Z1679" s="357">
        <v>45484</v>
      </c>
      <c r="AA1679" s="207"/>
      <c r="AB1679" s="369"/>
      <c r="AC1679" s="370"/>
      <c r="AD1679" s="332" t="str">
        <f>IF(F1679="","",+F1679&amp;K1679)</f>
        <v>3SNMLBMTSF75</v>
      </c>
      <c r="AE1679" s="216">
        <f>+M1679*N1679*O1679/1000</f>
        <v>2200</v>
      </c>
      <c r="AF1679" s="43">
        <f>IF(AD1679="","",VLOOKUP(AD1679,原価マスタ!$A$2:$AJ$1693,13,FALSE))</f>
        <v>86</v>
      </c>
      <c r="AG1679" s="47"/>
      <c r="AH1679" s="30"/>
      <c r="AI1679" s="30"/>
      <c r="AJ1679" s="30"/>
      <c r="AK1679" s="30"/>
      <c r="AL1679" s="13"/>
      <c r="AM1679" s="13"/>
      <c r="AN1679" s="13"/>
      <c r="AO1679" s="13"/>
      <c r="AP1679" s="13"/>
      <c r="AQ1679" s="14"/>
      <c r="AR1679" s="15"/>
    </row>
    <row r="1680" spans="1:44" s="17" customFormat="1" ht="30.95" hidden="1" customHeight="1" x14ac:dyDescent="0.2">
      <c r="A1680" s="343"/>
      <c r="B1680" s="344"/>
      <c r="C1680" s="345"/>
      <c r="D1680" s="398"/>
      <c r="E1680" s="31"/>
      <c r="F1680" s="268"/>
      <c r="G1680" s="269"/>
      <c r="H1680" s="269"/>
      <c r="I1680" s="270"/>
      <c r="J1680" s="32"/>
      <c r="K1680" s="270"/>
      <c r="L1680" s="270"/>
      <c r="M1680" s="39"/>
      <c r="N1680" s="39"/>
      <c r="O1680" s="47"/>
      <c r="P1680" s="57"/>
      <c r="Q1680" s="276"/>
      <c r="R1680" s="277"/>
      <c r="S1680" s="277"/>
      <c r="T1680" s="40"/>
      <c r="U1680" s="278"/>
      <c r="V1680" s="269"/>
      <c r="W1680" s="269"/>
      <c r="X1680" s="275"/>
      <c r="Y1680" s="269"/>
      <c r="Z1680" s="357"/>
      <c r="AA1680" s="207"/>
      <c r="AB1680" s="369"/>
      <c r="AC1680" s="370"/>
      <c r="AD1680" s="332"/>
      <c r="AE1680" s="216"/>
      <c r="AF1680" s="43"/>
      <c r="AG1680" s="47"/>
      <c r="AH1680" s="30"/>
      <c r="AI1680" s="30"/>
      <c r="AJ1680" s="30"/>
      <c r="AK1680" s="30"/>
      <c r="AL1680" s="13"/>
      <c r="AM1680" s="13"/>
      <c r="AN1680" s="13"/>
      <c r="AO1680" s="13"/>
      <c r="AP1680" s="13"/>
      <c r="AQ1680" s="14"/>
      <c r="AR1680" s="15"/>
    </row>
    <row r="1681" spans="1:44" s="17" customFormat="1" ht="30.95" hidden="1" customHeight="1" x14ac:dyDescent="0.2">
      <c r="A1681" s="320"/>
      <c r="B1681" s="321"/>
      <c r="C1681" s="345"/>
      <c r="D1681" s="398">
        <v>3762723</v>
      </c>
      <c r="E1681" s="31">
        <v>4151746</v>
      </c>
      <c r="F1681" s="268" t="str">
        <f>IF(D1681="","",VLOOKUP(D1681,契約台帳!$A$3:$K$4986,6,FALSE)&amp;VLOOKUP(D1681,契約台帳!$A$3:$K$4986,7,FALSE)&amp;VLOOKUP(D1681,契約台帳!$A$3:$K$4986,8,FALSE)&amp;VLOOKUP(D1681,契約台帳!$A$3:$K$4986,9,FALSE)&amp;VLOOKUP(D1681,契約台帳!$A$3:$K$4986,11,FALSE))</f>
        <v>3SNMLBMTSF</v>
      </c>
      <c r="G1681" s="269" t="str">
        <f>IF(D1681="","",VLOOKUP(F1681,製品マスタ!$G$5:$H$5002,2,FALSE))</f>
        <v>S</v>
      </c>
      <c r="H1681" s="269" t="str">
        <f>IF(D1681="","",VLOOKUP(F1681,製品マスタ!$G$5:$K$5002,5,FALSE))</f>
        <v>MTSF</v>
      </c>
      <c r="I1681" s="270" t="str">
        <f>IF(D1681="","",VLOOKUP(F1681,製品マスタ!$G$5:$L$5002,6,FALSE))</f>
        <v>メタルミー　ＴＳ</v>
      </c>
      <c r="J1681" s="32" t="s">
        <v>447</v>
      </c>
      <c r="K1681" s="270">
        <f>IF(D1681="","",VLOOKUP(D1681,契約台帳!$A$3:$L$4986,12,FALSE))</f>
        <v>50</v>
      </c>
      <c r="L1681" s="270" t="str">
        <f>IF(D1681="","",INDEX(製品マスタ!$Q$5:$Q$5002,MATCH(F1681&amp;K1681,製品マスタ!$AO$5:$AO$5002,0)))</f>
        <v>T62M</v>
      </c>
      <c r="M1681" s="39">
        <v>1040</v>
      </c>
      <c r="N1681" s="39">
        <v>6000</v>
      </c>
      <c r="O1681" s="47">
        <v>1</v>
      </c>
      <c r="P1681" s="57"/>
      <c r="Q1681" s="276">
        <f>IF(D1681="","",IF(J1681="リード付け",M1681,VLOOKUP(D1681,契約台帳!$A$3:$N$4986,14,FALSE)))</f>
        <v>1000</v>
      </c>
      <c r="R1681" s="277">
        <f>IF(D1681="","",IF(J1681="リード付け",M1681,VLOOKUP(D1681,契約台帳!$A$3:$O$4986,15,FALSE)))</f>
        <v>1000</v>
      </c>
      <c r="S1681" s="277">
        <f>IF(D1681="","",IF(J1681="リード付け",N1681,VLOOKUP(D1681,契約台帳!$A$3:$P$4986,16,FALSE)))</f>
        <v>1000</v>
      </c>
      <c r="T1681" s="40">
        <v>6</v>
      </c>
      <c r="U1681" s="278">
        <f ca="1">IF(D1681="","",IF(OFFSET(D1681,-2,0)=D1681,"",VLOOKUP(D1681,契約台帳!$A$3:$R$4986,18,FALSE)))</f>
        <v>6</v>
      </c>
      <c r="V1681" s="269" t="s">
        <v>903</v>
      </c>
      <c r="W1681" s="269">
        <v>1005</v>
      </c>
      <c r="X1681" s="275">
        <f>IF(D1681="","",VLOOKUP(D1681,契約台帳!$A$3:$Q$4986,17,FALSE))</f>
        <v>2</v>
      </c>
      <c r="Y1681" s="269" t="str">
        <f>IF(D1681="","",VLOOKUP(D1681,契約台帳!$A$3:$E$4986,5,FALSE))</f>
        <v>パナック㈱亀山工場</v>
      </c>
      <c r="Z1681" s="357">
        <v>45484</v>
      </c>
      <c r="AA1681" s="207"/>
      <c r="AB1681" s="369"/>
      <c r="AC1681" s="370"/>
      <c r="AD1681" s="332" t="str">
        <f>IF(F1681="","",+F1681&amp;K1681)</f>
        <v>3SNMLBMTSF50</v>
      </c>
      <c r="AE1681" s="216">
        <f>+M1681*N1681*O1681/1000</f>
        <v>6240</v>
      </c>
      <c r="AF1681" s="43">
        <f>IF(AD1681="","",VLOOKUP(AD1681,原価マスタ!$A$2:$AJ$1693,13,FALSE))</f>
        <v>95</v>
      </c>
      <c r="AG1681" s="47">
        <f>IF(AF1681="","",+AE1681*AF1681/100)</f>
        <v>5928</v>
      </c>
      <c r="AH1681" s="30"/>
      <c r="AI1681" s="30"/>
      <c r="AJ1681" s="30"/>
      <c r="AK1681" s="30"/>
      <c r="AL1681" s="13"/>
      <c r="AM1681" s="13"/>
      <c r="AN1681" s="13"/>
      <c r="AO1681" s="13"/>
      <c r="AP1681" s="13"/>
      <c r="AQ1681" s="14"/>
      <c r="AR1681" s="15"/>
    </row>
    <row r="1682" spans="1:44" s="17" customFormat="1" ht="30.95" hidden="1" customHeight="1" x14ac:dyDescent="0.2">
      <c r="A1682" s="343"/>
      <c r="B1682" s="344"/>
      <c r="C1682" s="345"/>
      <c r="D1682" s="398"/>
      <c r="E1682" s="31"/>
      <c r="F1682" s="268"/>
      <c r="G1682" s="269"/>
      <c r="H1682" s="269"/>
      <c r="I1682" s="270"/>
      <c r="J1682" s="32"/>
      <c r="K1682" s="270"/>
      <c r="L1682" s="270"/>
      <c r="M1682" s="39"/>
      <c r="N1682" s="39"/>
      <c r="O1682" s="47"/>
      <c r="P1682" s="57"/>
      <c r="Q1682" s="276"/>
      <c r="R1682" s="277"/>
      <c r="S1682" s="277"/>
      <c r="T1682" s="40"/>
      <c r="U1682" s="278"/>
      <c r="V1682" s="269"/>
      <c r="W1682" s="269"/>
      <c r="X1682" s="275"/>
      <c r="Y1682" s="269"/>
      <c r="Z1682" s="357"/>
      <c r="AA1682" s="207"/>
      <c r="AB1682" s="369"/>
      <c r="AC1682" s="370"/>
      <c r="AD1682" s="332"/>
      <c r="AE1682" s="216"/>
      <c r="AF1682" s="43"/>
      <c r="AG1682" s="47"/>
      <c r="AH1682" s="30"/>
      <c r="AI1682" s="30"/>
      <c r="AJ1682" s="30"/>
      <c r="AK1682" s="30"/>
      <c r="AL1682" s="13"/>
      <c r="AM1682" s="13"/>
      <c r="AN1682" s="13"/>
      <c r="AO1682" s="13"/>
      <c r="AP1682" s="13"/>
      <c r="AQ1682" s="14"/>
      <c r="AR1682" s="15"/>
    </row>
    <row r="1683" spans="1:44" s="17" customFormat="1" ht="30.95" hidden="1" customHeight="1" x14ac:dyDescent="0.2">
      <c r="A1683" s="320" t="s">
        <v>508</v>
      </c>
      <c r="B1683" s="321" t="s">
        <v>688</v>
      </c>
      <c r="C1683" s="345"/>
      <c r="D1683" s="398">
        <v>3762725</v>
      </c>
      <c r="E1683" s="31">
        <v>4151731</v>
      </c>
      <c r="F1683" s="268" t="str">
        <f>IF(D1683="","",VLOOKUP(D1683,契約台帳!$A$3:$K$4986,6,FALSE)&amp;VLOOKUP(D1683,契約台帳!$A$3:$K$4986,7,FALSE)&amp;VLOOKUP(D1683,契約台帳!$A$3:$K$4986,8,FALSE)&amp;VLOOKUP(D1683,契約台帳!$A$3:$K$4986,9,FALSE)&amp;VLOOKUP(D1683,契約台帳!$A$3:$K$4986,11,FALSE))</f>
        <v>3SNMLBMSF</v>
      </c>
      <c r="G1683" s="269" t="str">
        <f>IF(D1683="","",VLOOKUP(F1683,製品マスタ!$G$5:$H$5002,2,FALSE))</f>
        <v>S</v>
      </c>
      <c r="H1683" s="269" t="str">
        <f>IF(D1683="","",VLOOKUP(F1683,製品マスタ!$G$5:$K$5002,5,FALSE))</f>
        <v>MSF</v>
      </c>
      <c r="I1683" s="270" t="str">
        <f>IF(D1683="","",VLOOKUP(F1683,製品マスタ!$G$5:$L$5002,6,FALSE))</f>
        <v>メタルミー　Ｓ</v>
      </c>
      <c r="J1683" s="32" t="s">
        <v>447</v>
      </c>
      <c r="K1683" s="270">
        <f>IF(D1683="","",VLOOKUP(D1683,契約台帳!$A$3:$L$4986,12,FALSE))</f>
        <v>25</v>
      </c>
      <c r="L1683" s="270" t="str">
        <f>IF(D1683="","",INDEX(製品マスタ!$Q$5:$Q$5002,MATCH(F1683&amp;K1683,製品マスタ!$AO$5:$AO$5002,0)))</f>
        <v>T62M</v>
      </c>
      <c r="M1683" s="39">
        <v>1020</v>
      </c>
      <c r="N1683" s="39">
        <v>12100</v>
      </c>
      <c r="O1683" s="47">
        <v>1</v>
      </c>
      <c r="P1683" s="57"/>
      <c r="Q1683" s="276">
        <f>IF(D1683="","",IF(J1683="リード付け",M1683,VLOOKUP(D1683,契約台帳!$A$3:$N$4986,14,FALSE)))</f>
        <v>1000</v>
      </c>
      <c r="R1683" s="277">
        <f>IF(D1683="","",IF(J1683="リード付け",M1683,VLOOKUP(D1683,契約台帳!$A$3:$O$4986,15,FALSE)))</f>
        <v>1000</v>
      </c>
      <c r="S1683" s="277">
        <f>IF(D1683="","",IF(J1683="リード付け",N1683,VLOOKUP(D1683,契約台帳!$A$3:$P$4986,16,FALSE)))</f>
        <v>2000</v>
      </c>
      <c r="T1683" s="40">
        <v>6</v>
      </c>
      <c r="U1683" s="278">
        <f ca="1">IF(D1683="","",IF(OFFSET(D1683,-2,0)=D1683,"",VLOOKUP(D1683,契約台帳!$A$3:$R$4986,18,FALSE)))</f>
        <v>6</v>
      </c>
      <c r="V1683" s="269" t="s">
        <v>903</v>
      </c>
      <c r="W1683" s="269">
        <v>1005</v>
      </c>
      <c r="X1683" s="275">
        <f>IF(D1683="","",VLOOKUP(D1683,契約台帳!$A$3:$Q$4986,17,FALSE))</f>
        <v>2</v>
      </c>
      <c r="Y1683" s="269" t="str">
        <f>IF(D1683="","",VLOOKUP(D1683,契約台帳!$A$3:$E$4986,5,FALSE))</f>
        <v>寺岡製作所　大宮工場</v>
      </c>
      <c r="Z1683" s="357">
        <v>45485</v>
      </c>
      <c r="AA1683" s="207"/>
      <c r="AB1683" s="369"/>
      <c r="AC1683" s="370"/>
      <c r="AD1683" s="332" t="str">
        <f>IF(F1683="","",+F1683&amp;K1683)</f>
        <v>3SNMLBMSF25</v>
      </c>
      <c r="AE1683" s="216">
        <f>+M1683*N1683*O1683/1000</f>
        <v>12342</v>
      </c>
      <c r="AF1683" s="43">
        <f>IF(AD1683="","",VLOOKUP(AD1683,原価マスタ!$A$2:$AJ$1693,13,FALSE))</f>
        <v>97</v>
      </c>
      <c r="AG1683" s="47">
        <f>IF(AF1683="","",+AE1683*AF1683/100)</f>
        <v>11971.74</v>
      </c>
      <c r="AH1683" s="30"/>
      <c r="AI1683" s="30"/>
      <c r="AJ1683" s="30"/>
      <c r="AK1683" s="30"/>
      <c r="AL1683" s="13"/>
      <c r="AM1683" s="13"/>
      <c r="AN1683" s="13"/>
      <c r="AO1683" s="13"/>
      <c r="AP1683" s="13"/>
      <c r="AQ1683" s="14"/>
      <c r="AR1683" s="15"/>
    </row>
    <row r="1684" spans="1:44" s="17" customFormat="1" ht="30.95" hidden="1" customHeight="1" x14ac:dyDescent="0.2">
      <c r="A1684" s="343"/>
      <c r="B1684" s="344"/>
      <c r="C1684" s="345"/>
      <c r="D1684" s="398"/>
      <c r="E1684" s="31"/>
      <c r="F1684" s="268"/>
      <c r="G1684" s="269"/>
      <c r="H1684" s="269"/>
      <c r="I1684" s="270"/>
      <c r="J1684" s="32"/>
      <c r="K1684" s="270"/>
      <c r="L1684" s="270"/>
      <c r="M1684" s="39"/>
      <c r="N1684" s="39"/>
      <c r="O1684" s="47"/>
      <c r="P1684" s="57"/>
      <c r="Q1684" s="276"/>
      <c r="R1684" s="277"/>
      <c r="S1684" s="277"/>
      <c r="T1684" s="40"/>
      <c r="U1684" s="278"/>
      <c r="V1684" s="269"/>
      <c r="W1684" s="269"/>
      <c r="X1684" s="275"/>
      <c r="Y1684" s="269"/>
      <c r="Z1684" s="357"/>
      <c r="AA1684" s="207"/>
      <c r="AB1684" s="369"/>
      <c r="AC1684" s="370"/>
      <c r="AD1684" s="332"/>
      <c r="AE1684" s="216"/>
      <c r="AF1684" s="43"/>
      <c r="AG1684" s="47"/>
      <c r="AH1684" s="30"/>
      <c r="AI1684" s="30"/>
      <c r="AJ1684" s="30"/>
      <c r="AK1684" s="30"/>
      <c r="AL1684" s="13"/>
      <c r="AM1684" s="13"/>
      <c r="AN1684" s="13"/>
      <c r="AO1684" s="13"/>
      <c r="AP1684" s="13"/>
      <c r="AQ1684" s="14"/>
      <c r="AR1684" s="15"/>
    </row>
    <row r="1685" spans="1:44" s="17" customFormat="1" ht="30.95" hidden="1" customHeight="1" x14ac:dyDescent="0.2">
      <c r="A1685" s="320"/>
      <c r="B1685" s="321"/>
      <c r="C1685" s="345"/>
      <c r="D1685" s="398">
        <v>3762731</v>
      </c>
      <c r="E1685" s="31">
        <v>4151727</v>
      </c>
      <c r="F1685" s="268" t="str">
        <f>IF(D1685="","",VLOOKUP(D1685,契約台帳!$A$3:$K$4986,6,FALSE)&amp;VLOOKUP(D1685,契約台帳!$A$3:$K$4986,7,FALSE)&amp;VLOOKUP(D1685,契約台帳!$A$3:$K$4986,8,FALSE)&amp;VLOOKUP(D1685,契約台帳!$A$3:$K$4986,9,FALSE)&amp;VLOOKUP(D1685,契約台帳!$A$3:$K$4986,11,FALSE))</f>
        <v>3SNMLBMNGTBF</v>
      </c>
      <c r="G1685" s="269" t="str">
        <f>IF(D1685="","",VLOOKUP(F1685,製品マスタ!$G$5:$H$5002,2,FALSE))</f>
        <v>S</v>
      </c>
      <c r="H1685" s="269" t="str">
        <f>IF(D1685="","",VLOOKUP(F1685,製品マスタ!$G$5:$K$5002,5,FALSE))</f>
        <v>MNGTBF</v>
      </c>
      <c r="I1685" s="270" t="str">
        <f>IF(D1685="","",VLOOKUP(F1685,製品マスタ!$G$5:$L$5002,6,FALSE))</f>
        <v>メタルミー　ネーマー　銀艶　Ｂ</v>
      </c>
      <c r="J1685" s="32" t="s">
        <v>447</v>
      </c>
      <c r="K1685" s="270">
        <f>IF(D1685="","",VLOOKUP(D1685,契約台帳!$A$3:$L$4986,12,FALSE))</f>
        <v>25</v>
      </c>
      <c r="L1685" s="270" t="str">
        <f>IF(D1685="","",INDEX(製品マスタ!$Q$5:$Q$5002,MATCH(F1685&amp;K1685,製品マスタ!$AO$5:$AO$5002,0)))</f>
        <v>T62M</v>
      </c>
      <c r="M1685" s="39">
        <v>1005</v>
      </c>
      <c r="N1685" s="39">
        <v>12100</v>
      </c>
      <c r="O1685" s="47">
        <v>4</v>
      </c>
      <c r="P1685" s="57"/>
      <c r="Q1685" s="276">
        <f>IF(D1685="","",IF(J1685="リード付け",M1685,VLOOKUP(D1685,契約台帳!$A$3:$N$4986,14,FALSE)))</f>
        <v>1005</v>
      </c>
      <c r="R1685" s="277">
        <f>IF(D1685="","",IF(J1685="リード付け",M1685,VLOOKUP(D1685,契約台帳!$A$3:$O$4986,15,FALSE)))</f>
        <v>1000</v>
      </c>
      <c r="S1685" s="277">
        <f>IF(D1685="","",IF(J1685="リード付け",N1685,VLOOKUP(D1685,契約台帳!$A$3:$P$4986,16,FALSE)))</f>
        <v>4000</v>
      </c>
      <c r="T1685" s="40">
        <v>12</v>
      </c>
      <c r="U1685" s="278">
        <f ca="1">IF(D1685="","",IF(OFFSET(D1685,-2,0)=D1685,"",VLOOKUP(D1685,契約台帳!$A$3:$R$4986,18,FALSE)))</f>
        <v>12</v>
      </c>
      <c r="V1685" s="269" t="s">
        <v>903</v>
      </c>
      <c r="W1685" s="269">
        <v>1005</v>
      </c>
      <c r="X1685" s="275">
        <f>IF(D1685="","",VLOOKUP(D1685,契約台帳!$A$3:$Q$4986,17,FALSE))</f>
        <v>2</v>
      </c>
      <c r="Y1685" s="269" t="str">
        <f>IF(D1685="","",VLOOKUP(D1685,契約台帳!$A$3:$E$4986,5,FALSE))</f>
        <v>リンテック㈱</v>
      </c>
      <c r="Z1685" s="357">
        <v>45485</v>
      </c>
      <c r="AA1685" s="207"/>
      <c r="AB1685" s="369"/>
      <c r="AC1685" s="370"/>
      <c r="AD1685" s="332" t="str">
        <f>IF(F1685="","",+F1685&amp;K1685)</f>
        <v>3SNMLBMNGTBF25</v>
      </c>
      <c r="AE1685" s="216">
        <f>+M1685*N1685*O1685/1000</f>
        <v>48642</v>
      </c>
      <c r="AF1685" s="43">
        <f>IF(AD1685="","",VLOOKUP(AD1685,原価マスタ!$A$2:$AJ$1693,13,FALSE))</f>
        <v>97.5</v>
      </c>
      <c r="AG1685" s="47">
        <f>IF(AF1685="","",+AE1685*AF1685/100)</f>
        <v>47425.95</v>
      </c>
      <c r="AH1685" s="30"/>
      <c r="AI1685" s="30"/>
      <c r="AJ1685" s="30"/>
      <c r="AK1685" s="30"/>
      <c r="AL1685" s="13"/>
      <c r="AM1685" s="13"/>
      <c r="AN1685" s="13"/>
      <c r="AO1685" s="13"/>
      <c r="AP1685" s="13"/>
      <c r="AQ1685" s="14"/>
      <c r="AR1685" s="15"/>
    </row>
    <row r="1686" spans="1:44" s="17" customFormat="1" ht="30.95" hidden="1" customHeight="1" x14ac:dyDescent="0.2">
      <c r="A1686" s="343"/>
      <c r="B1686" s="344"/>
      <c r="C1686" s="345"/>
      <c r="D1686" s="398"/>
      <c r="E1686" s="31"/>
      <c r="F1686" s="268"/>
      <c r="G1686" s="269"/>
      <c r="H1686" s="269"/>
      <c r="I1686" s="270"/>
      <c r="J1686" s="32"/>
      <c r="K1686" s="270"/>
      <c r="L1686" s="270"/>
      <c r="M1686" s="39"/>
      <c r="N1686" s="39"/>
      <c r="O1686" s="47"/>
      <c r="P1686" s="57"/>
      <c r="Q1686" s="276"/>
      <c r="R1686" s="277"/>
      <c r="S1686" s="277"/>
      <c r="T1686" s="40"/>
      <c r="U1686" s="278"/>
      <c r="V1686" s="269"/>
      <c r="W1686" s="269"/>
      <c r="X1686" s="275"/>
      <c r="Y1686" s="269"/>
      <c r="Z1686" s="357"/>
      <c r="AA1686" s="207"/>
      <c r="AB1686" s="369"/>
      <c r="AC1686" s="370"/>
      <c r="AD1686" s="332"/>
      <c r="AE1686" s="216"/>
      <c r="AF1686" s="43"/>
      <c r="AG1686" s="47"/>
      <c r="AH1686" s="30"/>
      <c r="AI1686" s="30"/>
      <c r="AJ1686" s="30"/>
      <c r="AK1686" s="30"/>
      <c r="AL1686" s="13"/>
      <c r="AM1686" s="13"/>
      <c r="AN1686" s="13"/>
      <c r="AO1686" s="13"/>
      <c r="AP1686" s="13"/>
      <c r="AQ1686" s="14"/>
      <c r="AR1686" s="15"/>
    </row>
    <row r="1687" spans="1:44" s="17" customFormat="1" ht="30.95" hidden="1" customHeight="1" x14ac:dyDescent="0.2">
      <c r="A1687" s="320"/>
      <c r="B1687" s="321"/>
      <c r="C1687" s="345"/>
      <c r="D1687" s="398">
        <v>3762739</v>
      </c>
      <c r="E1687" s="31">
        <v>4151730</v>
      </c>
      <c r="F1687" s="268" t="str">
        <f>IF(D1687="","",VLOOKUP(D1687,契約台帳!$A$3:$K$4986,6,FALSE)&amp;VLOOKUP(D1687,契約台帳!$A$3:$K$4986,7,FALSE)&amp;VLOOKUP(D1687,契約台帳!$A$3:$K$4986,8,FALSE)&amp;VLOOKUP(D1687,契約台帳!$A$3:$K$4986,9,FALSE)&amp;VLOOKUP(D1687,契約台帳!$A$3:$K$4986,11,FALSE))</f>
        <v>3SYMLBMSBBF</v>
      </c>
      <c r="G1687" s="269" t="str">
        <f>IF(D1687="","",VLOOKUP(F1687,製品マスタ!$G$5:$H$5002,2,FALSE))</f>
        <v>S</v>
      </c>
      <c r="H1687" s="269" t="str">
        <f>IF(D1687="","",VLOOKUP(F1687,製品マスタ!$G$5:$K$5002,5,FALSE))</f>
        <v>MSBBF</v>
      </c>
      <c r="I1687" s="270" t="str">
        <f>IF(D1687="","",VLOOKUP(F1687,製品マスタ!$G$5:$L$5002,6,FALSE))</f>
        <v>ＭＥＴＡＬＵＭＹ　ＳＩＬＶＥＲ　ＢＲＩＧＨＴ　Ｔ６２Ｍ　Ｂ</v>
      </c>
      <c r="J1687" s="32" t="s">
        <v>447</v>
      </c>
      <c r="K1687" s="270">
        <f>IF(D1687="","",VLOOKUP(D1687,契約台帳!$A$3:$L$4986,12,FALSE))</f>
        <v>25</v>
      </c>
      <c r="L1687" s="270" t="str">
        <f>IF(D1687="","",INDEX(製品マスタ!$Q$5:$Q$5002,MATCH(F1687&amp;K1687,製品マスタ!$AO$5:$AO$5002,0)))</f>
        <v>T62</v>
      </c>
      <c r="M1687" s="39">
        <v>1120</v>
      </c>
      <c r="N1687" s="39">
        <v>16000</v>
      </c>
      <c r="O1687" s="47">
        <v>1</v>
      </c>
      <c r="P1687" s="57"/>
      <c r="Q1687" s="276">
        <f>IF(D1687="","",IF(J1687="リード付け",M1687,VLOOKUP(D1687,契約台帳!$A$3:$N$4986,14,FALSE)))</f>
        <v>1120</v>
      </c>
      <c r="R1687" s="277">
        <f>IF(D1687="","",IF(J1687="リード付け",M1687,VLOOKUP(D1687,契約台帳!$A$3:$O$4986,15,FALSE)))</f>
        <v>1120</v>
      </c>
      <c r="S1687" s="277">
        <f>IF(D1687="","",IF(J1687="リード付け",N1687,VLOOKUP(D1687,契約台帳!$A$3:$P$4986,16,FALSE)))</f>
        <v>8000</v>
      </c>
      <c r="T1687" s="40">
        <v>2</v>
      </c>
      <c r="U1687" s="278">
        <f ca="1">IF(D1687="","",IF(OFFSET(D1687,-2,0)=D1687,"",VLOOKUP(D1687,契約台帳!$A$3:$R$4986,18,FALSE)))</f>
        <v>2</v>
      </c>
      <c r="V1687" s="269" t="s">
        <v>903</v>
      </c>
      <c r="W1687" s="269">
        <v>1005</v>
      </c>
      <c r="X1687" s="275">
        <f>IF(D1687="","",VLOOKUP(D1687,契約台帳!$A$3:$Q$4986,17,FALSE))</f>
        <v>2</v>
      </c>
      <c r="Y1687" s="269" t="str">
        <f>IF(D1687="","",VLOOKUP(D1687,契約台帳!$A$3:$E$4986,5,FALSE))</f>
        <v>リンテック㈱</v>
      </c>
      <c r="Z1687" s="357">
        <v>45485</v>
      </c>
      <c r="AA1687" s="207"/>
      <c r="AB1687" s="369"/>
      <c r="AC1687" s="370"/>
      <c r="AD1687" s="332" t="str">
        <f>IF(F1687="","",+F1687&amp;K1687)</f>
        <v>3SYMLBMSBBF25</v>
      </c>
      <c r="AE1687" s="216">
        <f>+M1687*N1687*O1687/1000</f>
        <v>17920</v>
      </c>
      <c r="AF1687" s="43" t="e">
        <f>IF(AD1687="","",VLOOKUP(AD1687,原価マスタ!$A$2:$AJ$1693,13,FALSE))</f>
        <v>#N/A</v>
      </c>
      <c r="AG1687" s="47" t="e">
        <f>IF(AF1687="","",+AE1687*AF1687/100)</f>
        <v>#N/A</v>
      </c>
      <c r="AH1687" s="30"/>
      <c r="AI1687" s="30"/>
      <c r="AJ1687" s="30"/>
      <c r="AK1687" s="30"/>
      <c r="AL1687" s="13"/>
      <c r="AM1687" s="13"/>
      <c r="AN1687" s="13"/>
      <c r="AO1687" s="13"/>
      <c r="AP1687" s="13"/>
      <c r="AQ1687" s="14"/>
      <c r="AR1687" s="15"/>
    </row>
    <row r="1688" spans="1:44" s="17" customFormat="1" ht="30.95" hidden="1" customHeight="1" x14ac:dyDescent="0.2">
      <c r="A1688" s="343"/>
      <c r="B1688" s="344"/>
      <c r="C1688" s="345"/>
      <c r="D1688" s="398"/>
      <c r="E1688" s="31"/>
      <c r="F1688" s="268"/>
      <c r="G1688" s="269"/>
      <c r="H1688" s="269"/>
      <c r="I1688" s="270"/>
      <c r="J1688" s="32"/>
      <c r="K1688" s="270"/>
      <c r="L1688" s="270"/>
      <c r="M1688" s="39"/>
      <c r="N1688" s="39"/>
      <c r="O1688" s="47"/>
      <c r="P1688" s="57"/>
      <c r="Q1688" s="276"/>
      <c r="R1688" s="277"/>
      <c r="S1688" s="277"/>
      <c r="T1688" s="40"/>
      <c r="U1688" s="278"/>
      <c r="V1688" s="269"/>
      <c r="W1688" s="269"/>
      <c r="X1688" s="275"/>
      <c r="Y1688" s="269"/>
      <c r="Z1688" s="357"/>
      <c r="AA1688" s="207"/>
      <c r="AB1688" s="369"/>
      <c r="AC1688" s="370"/>
      <c r="AD1688" s="332"/>
      <c r="AE1688" s="216"/>
      <c r="AF1688" s="43"/>
      <c r="AG1688" s="47"/>
      <c r="AH1688" s="30"/>
      <c r="AI1688" s="30"/>
      <c r="AJ1688" s="30"/>
      <c r="AK1688" s="30"/>
      <c r="AL1688" s="13"/>
      <c r="AM1688" s="13"/>
      <c r="AN1688" s="13"/>
      <c r="AO1688" s="13"/>
      <c r="AP1688" s="13"/>
      <c r="AQ1688" s="14"/>
      <c r="AR1688" s="15"/>
    </row>
    <row r="1689" spans="1:44" s="17" customFormat="1" ht="30.95" hidden="1" customHeight="1" x14ac:dyDescent="0.2">
      <c r="A1689" s="343" t="s">
        <v>1272</v>
      </c>
      <c r="B1689" s="344" t="s">
        <v>442</v>
      </c>
      <c r="C1689" s="345"/>
      <c r="D1689" s="398">
        <v>3758066</v>
      </c>
      <c r="E1689" s="31">
        <v>4151720</v>
      </c>
      <c r="F1689" s="268" t="str">
        <f>IF(D1689="","",VLOOKUP(D1689,契約台帳!$A$3:$K$4986,6,FALSE)&amp;VLOOKUP(D1689,契約台帳!$A$3:$K$4986,7,FALSE)&amp;VLOOKUP(D1689,契約台帳!$A$3:$K$4986,8,FALSE)&amp;VLOOKUP(D1689,契約台帳!$A$3:$K$4986,9,FALSE)&amp;VLOOKUP(D1689,契約台帳!$A$3:$K$4986,11,FALSE))</f>
        <v>3SNMLBMNGTBF</v>
      </c>
      <c r="G1689" s="269" t="str">
        <f>IF(D1689="","",VLOOKUP(F1689,製品マスタ!$G$5:$H$5002,2,FALSE))</f>
        <v>S</v>
      </c>
      <c r="H1689" s="269" t="str">
        <f>IF(D1689="","",VLOOKUP(F1689,製品マスタ!$G$5:$K$5002,5,FALSE))</f>
        <v>MNGTBF</v>
      </c>
      <c r="I1689" s="270" t="str">
        <f>IF(D1689="","",VLOOKUP(F1689,製品マスタ!$G$5:$L$5002,6,FALSE))</f>
        <v>メタルミー　ネーマー　銀艶　Ｂ</v>
      </c>
      <c r="J1689" s="32" t="s">
        <v>447</v>
      </c>
      <c r="K1689" s="270">
        <f>IF(D1689="","",VLOOKUP(D1689,契約台帳!$A$3:$L$4986,12,FALSE))</f>
        <v>50</v>
      </c>
      <c r="L1689" s="270" t="str">
        <f>IF(D1689="","",INDEX(製品マスタ!$Q$5:$Q$5002,MATCH(F1689&amp;K1689,製品マスタ!$AO$5:$AO$5002,0)))</f>
        <v>T62</v>
      </c>
      <c r="M1689" s="39">
        <v>1120</v>
      </c>
      <c r="N1689" s="39">
        <v>10000</v>
      </c>
      <c r="O1689" s="47">
        <v>2</v>
      </c>
      <c r="P1689" s="57"/>
      <c r="Q1689" s="276">
        <f>IF(D1689="","",IF(J1689="リード付け",M1689,VLOOKUP(D1689,契約台帳!$A$3:$N$4986,14,FALSE)))</f>
        <v>1120</v>
      </c>
      <c r="R1689" s="277">
        <f>IF(D1689="","",IF(J1689="リード付け",M1689,VLOOKUP(D1689,契約台帳!$A$3:$O$4986,15,FALSE)))</f>
        <v>1120</v>
      </c>
      <c r="S1689" s="277">
        <f>IF(D1689="","",IF(J1689="リード付け",N1689,VLOOKUP(D1689,契約台帳!$A$3:$P$4986,16,FALSE)))</f>
        <v>5000</v>
      </c>
      <c r="T1689" s="40">
        <v>4</v>
      </c>
      <c r="U1689" s="278">
        <f ca="1">IF(D1689="","",IF(OFFSET(D1689,-2,0)=D1689,"",VLOOKUP(D1689,契約台帳!$A$3:$R$4986,18,FALSE)))</f>
        <v>52</v>
      </c>
      <c r="V1689" s="269" t="str">
        <f>IF(J1689="巻返し",VLOOKUP(F1689&amp;K1689&amp;M1689,製品マスタ!$M$5:$AD$5002,18,FALSE),IF(J1689="リード付け","原反コア",IF(J1689="スリット",VLOOKUP(F1689&amp;K1689&amp;Q1689,製品マスタ!$N$5:$AD$5002,17,FALSE),"")))</f>
        <v>6ｲﾝﾁSｺｱ</v>
      </c>
      <c r="W1689" s="269">
        <f>IF(J1689="巻返し",VLOOKUP(F1689&amp;K1689&amp;M1689,製品マスタ!$M$5:$AE$5002,19,FALSE),IF(J1689="リード付け","-",IF(J1689="スリット",VLOOKUP(F1689&amp;K1689&amp;Q1689,製品マスタ!$N$5:$AE$5002,18,FALSE),"")))</f>
        <v>1125</v>
      </c>
      <c r="X1689" s="275">
        <f>IF(D1689="","",VLOOKUP(D1689,契約台帳!$A$3:$Q$4986,17,FALSE))</f>
        <v>2</v>
      </c>
      <c r="Y1689" s="269" t="str">
        <f>IF(D1689="","",VLOOKUP(D1689,契約台帳!$A$3:$E$4986,5,FALSE))</f>
        <v>リンテック㈱</v>
      </c>
      <c r="Z1689" s="357">
        <v>45489</v>
      </c>
      <c r="AA1689" s="207"/>
      <c r="AB1689" s="369"/>
      <c r="AC1689" s="370"/>
      <c r="AD1689" s="332" t="str">
        <f>IF(F1689="","",+F1689&amp;K1689)</f>
        <v>3SNMLBMNGTBF50</v>
      </c>
      <c r="AE1689" s="216">
        <f>+M1689*N1689*O1689/1000</f>
        <v>22400</v>
      </c>
      <c r="AF1689" s="43">
        <f>IF(AD1689="","",VLOOKUP(AD1689,原価マスタ!$A$2:$AJ$1693,13,FALSE))</f>
        <v>99</v>
      </c>
      <c r="AG1689" s="47">
        <f>IF(AF1689="","",+AE1689*AF1689/100)</f>
        <v>22176</v>
      </c>
      <c r="AH1689" s="30"/>
      <c r="AI1689" s="30"/>
      <c r="AJ1689" s="30"/>
      <c r="AK1689" s="30"/>
      <c r="AL1689" s="13"/>
      <c r="AM1689" s="13"/>
      <c r="AN1689" s="13"/>
      <c r="AO1689" s="13"/>
      <c r="AP1689" s="13"/>
      <c r="AQ1689" s="14"/>
      <c r="AR1689" s="15"/>
    </row>
    <row r="1690" spans="1:44" s="17" customFormat="1" ht="30.95" hidden="1" customHeight="1" x14ac:dyDescent="0.2">
      <c r="A1690" s="343"/>
      <c r="B1690" s="344"/>
      <c r="C1690" s="345"/>
      <c r="D1690" s="398"/>
      <c r="E1690" s="31"/>
      <c r="F1690" s="268"/>
      <c r="G1690" s="269"/>
      <c r="H1690" s="269"/>
      <c r="I1690" s="270"/>
      <c r="J1690" s="32"/>
      <c r="K1690" s="270"/>
      <c r="L1690" s="270"/>
      <c r="M1690" s="39"/>
      <c r="N1690" s="39"/>
      <c r="O1690" s="47"/>
      <c r="P1690" s="350"/>
      <c r="Q1690" s="276"/>
      <c r="R1690" s="277"/>
      <c r="S1690" s="277"/>
      <c r="T1690" s="40"/>
      <c r="U1690" s="278"/>
      <c r="V1690" s="269"/>
      <c r="W1690" s="269"/>
      <c r="X1690" s="275"/>
      <c r="Y1690" s="269"/>
      <c r="Z1690" s="357"/>
      <c r="AA1690" s="207"/>
      <c r="AB1690" s="369"/>
      <c r="AC1690" s="370"/>
      <c r="AD1690" s="332"/>
      <c r="AE1690" s="371"/>
      <c r="AF1690" s="355"/>
      <c r="AG1690" s="349"/>
      <c r="AH1690" s="30"/>
      <c r="AI1690" s="30"/>
      <c r="AJ1690" s="30"/>
      <c r="AK1690" s="30"/>
      <c r="AL1690" s="13"/>
      <c r="AM1690" s="13"/>
      <c r="AN1690" s="13"/>
      <c r="AO1690" s="13"/>
      <c r="AP1690" s="13"/>
      <c r="AQ1690" s="14"/>
      <c r="AR1690" s="15"/>
    </row>
    <row r="1691" spans="1:44" s="17" customFormat="1" ht="30.95" hidden="1" customHeight="1" x14ac:dyDescent="0.2">
      <c r="A1691" s="343"/>
      <c r="B1691" s="344"/>
      <c r="C1691" s="345"/>
      <c r="D1691" s="398">
        <v>3758062</v>
      </c>
      <c r="E1691" s="31">
        <v>4151717</v>
      </c>
      <c r="F1691" s="268" t="str">
        <f>IF(D1691="","",VLOOKUP(D1691,契約台帳!$A$3:$K$4986,6,FALSE)&amp;VLOOKUP(D1691,契約台帳!$A$3:$K$4986,7,FALSE)&amp;VLOOKUP(D1691,契約台帳!$A$3:$K$4986,8,FALSE)&amp;VLOOKUP(D1691,契約台帳!$A$3:$K$4986,9,FALSE)&amp;VLOOKUP(D1691,契約台帳!$A$3:$K$4986,11,FALSE))</f>
        <v>3SNMLBMNGKKBF</v>
      </c>
      <c r="G1691" s="269" t="str">
        <f>IF(D1691="","",VLOOKUP(F1691,製品マスタ!$G$5:$H$5002,2,FALSE))</f>
        <v>S</v>
      </c>
      <c r="H1691" s="269" t="str">
        <f>IF(D1691="","",VLOOKUP(F1691,製品マスタ!$G$5:$K$5002,5,FALSE))</f>
        <v>MNGKKBF</v>
      </c>
      <c r="I1691" s="270" t="str">
        <f>IF(D1691="","",VLOOKUP(F1691,製品マスタ!$G$5:$L$5002,6,FALSE))</f>
        <v>メタルミー　ネーマー銀消改　Ｂ</v>
      </c>
      <c r="J1691" s="32" t="s">
        <v>447</v>
      </c>
      <c r="K1691" s="270">
        <f>IF(D1691="","",VLOOKUP(D1691,契約台帳!$A$3:$L$4986,12,FALSE))</f>
        <v>50</v>
      </c>
      <c r="L1691" s="270" t="str">
        <f>IF(D1691="","",INDEX(製品マスタ!$Q$5:$Q$5002,MATCH(F1691&amp;K1691,製品マスタ!$AO$5:$AO$5002,0)))</f>
        <v>S99-MAT</v>
      </c>
      <c r="M1691" s="39">
        <v>1120</v>
      </c>
      <c r="N1691" s="39">
        <v>12000</v>
      </c>
      <c r="O1691" s="47">
        <v>1</v>
      </c>
      <c r="P1691" s="57"/>
      <c r="Q1691" s="276">
        <f>IF(D1691="","",IF(J1691="リード付け",M1691,VLOOKUP(D1691,契約台帳!$A$3:$N$4986,14,FALSE)))</f>
        <v>1120</v>
      </c>
      <c r="R1691" s="277">
        <f>IF(D1691="","",IF(J1691="リード付け",M1691,VLOOKUP(D1691,契約台帳!$A$3:$O$4986,15,FALSE)))</f>
        <v>1120</v>
      </c>
      <c r="S1691" s="277">
        <f>IF(D1691="","",IF(J1691="リード付け",N1691,VLOOKUP(D1691,契約台帳!$A$3:$P$4986,16,FALSE)))</f>
        <v>4000</v>
      </c>
      <c r="T1691" s="40">
        <v>3</v>
      </c>
      <c r="U1691" s="278">
        <f ca="1">IF(D1691="","",IF(OFFSET(D1691,-2,0)=D1691,"",VLOOKUP(D1691,契約台帳!$A$3:$R$4986,18,FALSE)))</f>
        <v>22</v>
      </c>
      <c r="V1691" s="269" t="str">
        <f>IF(J1691="巻返し",VLOOKUP(F1691&amp;K1691&amp;M1691,製品マスタ!$M$5:$AD$5002,18,FALSE),IF(J1691="リード付け","原反コア",IF(J1691="スリット",VLOOKUP(F1691&amp;K1691&amp;Q1691,製品マスタ!$N$5:$AD$5002,17,FALSE),"")))</f>
        <v>6ｲﾝﾁSｺｱ</v>
      </c>
      <c r="W1691" s="269">
        <f>IF(J1691="巻返し",VLOOKUP(F1691&amp;K1691&amp;M1691,製品マスタ!$M$5:$AE$5002,19,FALSE),IF(J1691="リード付け","-",IF(J1691="スリット",VLOOKUP(F1691&amp;K1691&amp;Q1691,製品マスタ!$N$5:$AE$5002,18,FALSE),"")))</f>
        <v>1125</v>
      </c>
      <c r="X1691" s="275">
        <f>IF(D1691="","",VLOOKUP(D1691,契約台帳!$A$3:$Q$4986,17,FALSE))</f>
        <v>2</v>
      </c>
      <c r="Y1691" s="269" t="str">
        <f>IF(D1691="","",VLOOKUP(D1691,契約台帳!$A$3:$E$4986,5,FALSE))</f>
        <v>リンテック㈱</v>
      </c>
      <c r="Z1691" s="357">
        <v>45489</v>
      </c>
      <c r="AA1691" s="207"/>
      <c r="AB1691" s="369"/>
      <c r="AC1691" s="370"/>
      <c r="AD1691" s="332" t="str">
        <f>IF(F1691="","",+F1691&amp;K1691)</f>
        <v>3SNMLBMNGKKBF50</v>
      </c>
      <c r="AE1691" s="216">
        <f>+M1691*N1691*O1691/1000</f>
        <v>13440</v>
      </c>
      <c r="AF1691" s="43">
        <f>IF(AD1691="","",VLOOKUP(AD1691,原価マスタ!$A$2:$AJ$1693,13,FALSE))</f>
        <v>99</v>
      </c>
      <c r="AG1691" s="47">
        <f>IF(AF1691="","",+AE1691*AF1691/100)</f>
        <v>13305.6</v>
      </c>
      <c r="AH1691" s="30"/>
      <c r="AI1691" s="30"/>
      <c r="AJ1691" s="30"/>
      <c r="AK1691" s="30"/>
      <c r="AL1691" s="13"/>
      <c r="AM1691" s="13"/>
      <c r="AN1691" s="13"/>
      <c r="AO1691" s="13"/>
      <c r="AP1691" s="13"/>
      <c r="AQ1691" s="14"/>
      <c r="AR1691" s="15"/>
    </row>
    <row r="1692" spans="1:44" s="17" customFormat="1" ht="30.95" hidden="1" customHeight="1" x14ac:dyDescent="0.2">
      <c r="A1692" s="343"/>
      <c r="B1692" s="344"/>
      <c r="C1692" s="345"/>
      <c r="D1692" s="398"/>
      <c r="E1692" s="31"/>
      <c r="F1692" s="268"/>
      <c r="G1692" s="269"/>
      <c r="H1692" s="269"/>
      <c r="I1692" s="270"/>
      <c r="J1692" s="32"/>
      <c r="K1692" s="270"/>
      <c r="L1692" s="270"/>
      <c r="M1692" s="39"/>
      <c r="N1692" s="39"/>
      <c r="O1692" s="47"/>
      <c r="P1692" s="57"/>
      <c r="Q1692" s="276"/>
      <c r="R1692" s="277"/>
      <c r="S1692" s="277"/>
      <c r="T1692" s="40"/>
      <c r="U1692" s="278"/>
      <c r="V1692" s="269"/>
      <c r="W1692" s="269"/>
      <c r="X1692" s="275"/>
      <c r="Y1692" s="269"/>
      <c r="Z1692" s="357"/>
      <c r="AA1692" s="207"/>
      <c r="AB1692" s="369"/>
      <c r="AC1692" s="370"/>
      <c r="AD1692" s="332"/>
      <c r="AE1692" s="216"/>
      <c r="AF1692" s="43"/>
      <c r="AG1692" s="47"/>
      <c r="AH1692" s="30"/>
      <c r="AI1692" s="30"/>
      <c r="AJ1692" s="30"/>
      <c r="AK1692" s="30"/>
      <c r="AL1692" s="13"/>
      <c r="AM1692" s="13"/>
      <c r="AN1692" s="13"/>
      <c r="AO1692" s="13"/>
      <c r="AP1692" s="13"/>
      <c r="AQ1692" s="14"/>
      <c r="AR1692" s="15"/>
    </row>
    <row r="1693" spans="1:44" s="17" customFormat="1" ht="30.95" hidden="1" customHeight="1" x14ac:dyDescent="0.2">
      <c r="A1693" s="343"/>
      <c r="B1693" s="344"/>
      <c r="C1693" s="345"/>
      <c r="D1693" s="398">
        <v>3758062</v>
      </c>
      <c r="E1693" s="31">
        <v>4151717</v>
      </c>
      <c r="F1693" s="268" t="str">
        <f>IF(D1693="","",VLOOKUP(D1693,契約台帳!$A$3:$K$4986,6,FALSE)&amp;VLOOKUP(D1693,契約台帳!$A$3:$K$4986,7,FALSE)&amp;VLOOKUP(D1693,契約台帳!$A$3:$K$4986,8,FALSE)&amp;VLOOKUP(D1693,契約台帳!$A$3:$K$4986,9,FALSE)&amp;VLOOKUP(D1693,契約台帳!$A$3:$K$4986,11,FALSE))</f>
        <v>3SNMLBMNGKKBF</v>
      </c>
      <c r="G1693" s="269" t="str">
        <f>IF(D1693="","",VLOOKUP(F1693,製品マスタ!$G$5:$H$5002,2,FALSE))</f>
        <v>S</v>
      </c>
      <c r="H1693" s="269" t="str">
        <f>IF(D1693="","",VLOOKUP(F1693,製品マスタ!$G$5:$K$5002,5,FALSE))</f>
        <v>MNGKKBF</v>
      </c>
      <c r="I1693" s="270" t="str">
        <f>IF(D1693="","",VLOOKUP(F1693,製品マスタ!$G$5:$L$5002,6,FALSE))</f>
        <v>メタルミー　ネーマー銀消改　Ｂ</v>
      </c>
      <c r="J1693" s="32" t="s">
        <v>447</v>
      </c>
      <c r="K1693" s="270">
        <f>IF(D1693="","",VLOOKUP(D1693,契約台帳!$A$3:$L$4986,12,FALSE))</f>
        <v>50</v>
      </c>
      <c r="L1693" s="270" t="str">
        <f>IF(D1693="","",INDEX(製品マスタ!$Q$5:$Q$5002,MATCH(F1693&amp;K1693,製品マスタ!$AO$5:$AO$5002,0)))</f>
        <v>S99-MAT</v>
      </c>
      <c r="M1693" s="39">
        <v>1120</v>
      </c>
      <c r="N1693" s="39">
        <v>8000</v>
      </c>
      <c r="O1693" s="47">
        <v>2</v>
      </c>
      <c r="P1693" s="57"/>
      <c r="Q1693" s="276">
        <f>IF(D1693="","",IF(J1693="リード付け",M1693,VLOOKUP(D1693,契約台帳!$A$3:$N$4986,14,FALSE)))</f>
        <v>1120</v>
      </c>
      <c r="R1693" s="277">
        <f>IF(D1693="","",IF(J1693="リード付け",M1693,VLOOKUP(D1693,契約台帳!$A$3:$O$4986,15,FALSE)))</f>
        <v>1120</v>
      </c>
      <c r="S1693" s="277">
        <f>IF(D1693="","",IF(J1693="リード付け",N1693,VLOOKUP(D1693,契約台帳!$A$3:$P$4986,16,FALSE)))</f>
        <v>4000</v>
      </c>
      <c r="T1693" s="40">
        <v>4</v>
      </c>
      <c r="U1693" s="278" t="str">
        <f ca="1">IF(D1693="","",IF(OFFSET(D1693,-2,0)=D1693,"",VLOOKUP(D1693,契約台帳!$A$3:$R$4986,18,FALSE)))</f>
        <v/>
      </c>
      <c r="V1693" s="269" t="str">
        <f>IF(J1693="巻返し",VLOOKUP(F1693&amp;K1693&amp;M1693,製品マスタ!$M$5:$AD$5002,18,FALSE),IF(J1693="リード付け","原反コア",IF(J1693="スリット",VLOOKUP(F1693&amp;K1693&amp;Q1693,製品マスタ!$N$5:$AD$5002,17,FALSE),"")))</f>
        <v>6ｲﾝﾁSｺｱ</v>
      </c>
      <c r="W1693" s="269">
        <f>IF(J1693="巻返し",VLOOKUP(F1693&amp;K1693&amp;M1693,製品マスタ!$M$5:$AE$5002,19,FALSE),IF(J1693="リード付け","-",IF(J1693="スリット",VLOOKUP(F1693&amp;K1693&amp;Q1693,製品マスタ!$N$5:$AE$5002,18,FALSE),"")))</f>
        <v>1125</v>
      </c>
      <c r="X1693" s="275">
        <f>IF(D1693="","",VLOOKUP(D1693,契約台帳!$A$3:$Q$4986,17,FALSE))</f>
        <v>2</v>
      </c>
      <c r="Y1693" s="269" t="str">
        <f>IF(D1693="","",VLOOKUP(D1693,契約台帳!$A$3:$E$4986,5,FALSE))</f>
        <v>リンテック㈱</v>
      </c>
      <c r="Z1693" s="357">
        <v>45489</v>
      </c>
      <c r="AA1693" s="207"/>
      <c r="AB1693" s="369"/>
      <c r="AC1693" s="370"/>
      <c r="AD1693" s="332" t="str">
        <f>IF(F1693="","",+F1693&amp;K1693)</f>
        <v>3SNMLBMNGKKBF50</v>
      </c>
      <c r="AE1693" s="216">
        <f>+M1693*N1693*O1693/1000</f>
        <v>17920</v>
      </c>
      <c r="AF1693" s="43">
        <f>IF(AD1693="","",VLOOKUP(AD1693,原価マスタ!$A$2:$AJ$1693,13,FALSE))</f>
        <v>99</v>
      </c>
      <c r="AG1693" s="47">
        <f>IF(AF1693="","",+AE1693*AF1693/100)</f>
        <v>17740.8</v>
      </c>
      <c r="AH1693" s="30"/>
      <c r="AI1693" s="30"/>
      <c r="AJ1693" s="30"/>
      <c r="AK1693" s="30"/>
      <c r="AL1693" s="13"/>
      <c r="AM1693" s="13"/>
      <c r="AN1693" s="13"/>
      <c r="AO1693" s="13"/>
      <c r="AP1693" s="13"/>
      <c r="AQ1693" s="14"/>
      <c r="AR1693" s="15"/>
    </row>
    <row r="1694" spans="1:44" s="17" customFormat="1" ht="30.95" hidden="1" customHeight="1" x14ac:dyDescent="0.2">
      <c r="A1694" s="343"/>
      <c r="B1694" s="344"/>
      <c r="C1694" s="345"/>
      <c r="D1694" s="398"/>
      <c r="E1694" s="31"/>
      <c r="F1694" s="268"/>
      <c r="G1694" s="269"/>
      <c r="H1694" s="269"/>
      <c r="I1694" s="270"/>
      <c r="J1694" s="32"/>
      <c r="K1694" s="270"/>
      <c r="L1694" s="270"/>
      <c r="M1694" s="39"/>
      <c r="N1694" s="39"/>
      <c r="O1694" s="47"/>
      <c r="P1694" s="57"/>
      <c r="Q1694" s="276"/>
      <c r="R1694" s="277"/>
      <c r="S1694" s="277"/>
      <c r="T1694" s="40"/>
      <c r="U1694" s="278"/>
      <c r="V1694" s="269"/>
      <c r="W1694" s="269"/>
      <c r="X1694" s="275"/>
      <c r="Y1694" s="269"/>
      <c r="Z1694" s="357"/>
      <c r="AA1694" s="207"/>
      <c r="AB1694" s="369"/>
      <c r="AC1694" s="370"/>
      <c r="AD1694" s="332"/>
      <c r="AE1694" s="216"/>
      <c r="AF1694" s="43"/>
      <c r="AG1694" s="47"/>
      <c r="AH1694" s="30"/>
      <c r="AI1694" s="30"/>
      <c r="AJ1694" s="30"/>
      <c r="AK1694" s="30"/>
      <c r="AL1694" s="13"/>
      <c r="AM1694" s="13"/>
      <c r="AN1694" s="13"/>
      <c r="AO1694" s="13"/>
      <c r="AP1694" s="13"/>
      <c r="AQ1694" s="14"/>
      <c r="AR1694" s="15"/>
    </row>
    <row r="1695" spans="1:44" s="17" customFormat="1" ht="30.95" hidden="1" customHeight="1" x14ac:dyDescent="0.2">
      <c r="A1695" s="343" t="s">
        <v>2961</v>
      </c>
      <c r="B1695" s="344" t="s">
        <v>2962</v>
      </c>
      <c r="C1695" s="345"/>
      <c r="D1695" s="398"/>
      <c r="E1695" s="31"/>
      <c r="F1695" s="268"/>
      <c r="G1695" s="269"/>
      <c r="H1695" s="269"/>
      <c r="I1695" s="270"/>
      <c r="J1695" s="32"/>
      <c r="K1695" s="270"/>
      <c r="L1695" s="270"/>
      <c r="M1695" s="39"/>
      <c r="N1695" s="39"/>
      <c r="O1695" s="47"/>
      <c r="P1695" s="57"/>
      <c r="Q1695" s="276"/>
      <c r="R1695" s="277"/>
      <c r="S1695" s="277"/>
      <c r="T1695" s="40"/>
      <c r="U1695" s="278"/>
      <c r="V1695" s="269"/>
      <c r="W1695" s="269"/>
      <c r="X1695" s="275"/>
      <c r="Y1695" s="269"/>
      <c r="Z1695" s="357"/>
      <c r="AA1695" s="207"/>
      <c r="AB1695" s="369"/>
      <c r="AC1695" s="370"/>
      <c r="AD1695" s="332"/>
      <c r="AE1695" s="216"/>
      <c r="AF1695" s="43"/>
      <c r="AG1695" s="47"/>
      <c r="AH1695" s="30"/>
      <c r="AI1695" s="30"/>
      <c r="AJ1695" s="30"/>
      <c r="AK1695" s="30"/>
      <c r="AL1695" s="13"/>
      <c r="AM1695" s="13"/>
      <c r="AN1695" s="13"/>
      <c r="AO1695" s="13"/>
      <c r="AP1695" s="13"/>
      <c r="AQ1695" s="14"/>
      <c r="AR1695" s="15"/>
    </row>
    <row r="1696" spans="1:44" s="17" customFormat="1" ht="30.95" hidden="1" customHeight="1" x14ac:dyDescent="0.2">
      <c r="A1696" s="343"/>
      <c r="B1696" s="344"/>
      <c r="C1696" s="345"/>
      <c r="D1696" s="398"/>
      <c r="E1696" s="31"/>
      <c r="F1696" s="268"/>
      <c r="G1696" s="269"/>
      <c r="H1696" s="269"/>
      <c r="I1696" s="270"/>
      <c r="J1696" s="32"/>
      <c r="K1696" s="270"/>
      <c r="L1696" s="270"/>
      <c r="M1696" s="39"/>
      <c r="N1696" s="39"/>
      <c r="O1696" s="47"/>
      <c r="P1696" s="57"/>
      <c r="Q1696" s="276"/>
      <c r="R1696" s="277"/>
      <c r="S1696" s="277"/>
      <c r="T1696" s="40"/>
      <c r="U1696" s="278"/>
      <c r="V1696" s="269"/>
      <c r="W1696" s="269"/>
      <c r="X1696" s="275"/>
      <c r="Y1696" s="269"/>
      <c r="Z1696" s="357"/>
      <c r="AA1696" s="207"/>
      <c r="AB1696" s="369"/>
      <c r="AC1696" s="370"/>
      <c r="AD1696" s="332"/>
      <c r="AE1696" s="216"/>
      <c r="AF1696" s="43"/>
      <c r="AG1696" s="47"/>
      <c r="AH1696" s="30"/>
      <c r="AI1696" s="30"/>
      <c r="AJ1696" s="30"/>
      <c r="AK1696" s="30"/>
      <c r="AL1696" s="13"/>
      <c r="AM1696" s="13"/>
      <c r="AN1696" s="13"/>
      <c r="AO1696" s="13"/>
      <c r="AP1696" s="13"/>
      <c r="AQ1696" s="14"/>
      <c r="AR1696" s="15"/>
    </row>
    <row r="1697" spans="1:44" s="17" customFormat="1" ht="30.95" hidden="1" customHeight="1" x14ac:dyDescent="0.2">
      <c r="A1697" s="320" t="s">
        <v>2963</v>
      </c>
      <c r="B1697" s="321" t="s">
        <v>2952</v>
      </c>
      <c r="C1697" s="345"/>
      <c r="D1697" s="398">
        <v>3758084</v>
      </c>
      <c r="E1697" s="31">
        <v>4151721</v>
      </c>
      <c r="F1697" s="268" t="str">
        <f>IF(D1697="","",VLOOKUP(D1697,契約台帳!$A$3:$K$4986,6,FALSE)&amp;VLOOKUP(D1697,契約台帳!$A$3:$K$4986,7,FALSE)&amp;VLOOKUP(D1697,契約台帳!$A$3:$K$4986,8,FALSE)&amp;VLOOKUP(D1697,契約台帳!$A$3:$K$4986,9,FALSE)&amp;VLOOKUP(D1697,契約台帳!$A$3:$K$4986,11,FALSE))</f>
        <v>3SYMLBMSNMBF</v>
      </c>
      <c r="G1697" s="269" t="str">
        <f>IF(D1697="","",VLOOKUP(F1697,製品マスタ!$G$5:$H$5002,2,FALSE))</f>
        <v>S</v>
      </c>
      <c r="H1697" s="269" t="str">
        <f>IF(D1697="","",VLOOKUP(F1697,製品マスタ!$G$5:$K$5002,5,FALSE))</f>
        <v>MSNMBF</v>
      </c>
      <c r="I1697" s="270" t="str">
        <f>IF(D1697="","",VLOOKUP(F1697,製品マスタ!$G$5:$L$5002,6,FALSE))</f>
        <v>ＭＥＴＡＬＵＭＹ　ＳＩＬＶＥＲ　Ｎ－ＭＡＴＴＥ　Ｘ４４Ｍ　Ｂ</v>
      </c>
      <c r="J1697" s="32" t="s">
        <v>447</v>
      </c>
      <c r="K1697" s="270">
        <f>IF(D1697="","",VLOOKUP(D1697,契約台帳!$A$3:$L$4986,12,FALSE))</f>
        <v>50</v>
      </c>
      <c r="L1697" s="270" t="str">
        <f>IF(D1697="","",INDEX(製品マスタ!$Q$5:$Q$5002,MATCH(F1697&amp;K1697,製品マスタ!$AO$5:$AO$5002,0)))</f>
        <v>X44</v>
      </c>
      <c r="M1697" s="39">
        <v>1120</v>
      </c>
      <c r="N1697" s="39">
        <v>12000</v>
      </c>
      <c r="O1697" s="47">
        <v>3</v>
      </c>
      <c r="P1697" s="57"/>
      <c r="Q1697" s="276">
        <f>IF(D1697="","",IF(J1697="リード付け",M1697,VLOOKUP(D1697,契約台帳!$A$3:$N$4986,14,FALSE)))</f>
        <v>1120</v>
      </c>
      <c r="R1697" s="277">
        <f>IF(D1697="","",IF(J1697="リード付け",M1697,VLOOKUP(D1697,契約台帳!$A$3:$O$4986,15,FALSE)))</f>
        <v>1120</v>
      </c>
      <c r="S1697" s="277">
        <f>IF(D1697="","",IF(J1697="リード付け",N1697,VLOOKUP(D1697,契約台帳!$A$3:$P$4986,16,FALSE)))</f>
        <v>4000</v>
      </c>
      <c r="T1697" s="40">
        <v>9</v>
      </c>
      <c r="U1697" s="278">
        <f ca="1">IF(D1697="","",IF(OFFSET(D1697,-2,0)=D1697,"",VLOOKUP(D1697,契約台帳!$A$3:$R$4986,18,FALSE)))</f>
        <v>20</v>
      </c>
      <c r="V1697" s="269" t="str">
        <f>IF(J1697="巻返し",VLOOKUP(F1697&amp;K1697&amp;M1697,製品マスタ!$M$5:$AD$5002,18,FALSE),IF(J1697="リード付け","原反コア",IF(J1697="スリット",VLOOKUP(F1697&amp;K1697&amp;Q1697,製品マスタ!$N$5:$AD$5002,17,FALSE),"")))</f>
        <v>6ｲﾝﾁMｺｱ</v>
      </c>
      <c r="W1697" s="269">
        <f>IF(J1697="巻返し",VLOOKUP(F1697&amp;K1697&amp;M1697,製品マスタ!$M$5:$AE$5002,19,FALSE),IF(J1697="リード付け","-",IF(J1697="スリット",VLOOKUP(F1697&amp;K1697&amp;Q1697,製品マスタ!$N$5:$AE$5002,18,FALSE),"")))</f>
        <v>1125</v>
      </c>
      <c r="X1697" s="275">
        <f>IF(D1697="","",VLOOKUP(D1697,契約台帳!$A$3:$Q$4986,17,FALSE))</f>
        <v>2</v>
      </c>
      <c r="Y1697" s="269" t="str">
        <f>IF(D1697="","",VLOOKUP(D1697,契約台帳!$A$3:$E$4986,5,FALSE))</f>
        <v>リンテック㈱</v>
      </c>
      <c r="Z1697" s="357">
        <v>45490</v>
      </c>
      <c r="AA1697" s="207"/>
      <c r="AB1697" s="369"/>
      <c r="AC1697" s="370"/>
      <c r="AD1697" s="332" t="str">
        <f>IF(F1697="","",+F1697&amp;K1697)</f>
        <v>3SYMLBMSNMBF50</v>
      </c>
      <c r="AE1697" s="216">
        <f>+M1697*N1697*O1697/1000</f>
        <v>40320</v>
      </c>
      <c r="AF1697" s="43">
        <f>IF(AD1697="","",VLOOKUP(AD1697,原価マスタ!$A$2:$AJ$1693,13,FALSE))</f>
        <v>98.8</v>
      </c>
      <c r="AG1697" s="47">
        <f>IF(AF1697="","",+AE1697*AF1697/100)</f>
        <v>39836.160000000003</v>
      </c>
      <c r="AH1697" s="30"/>
      <c r="AI1697" s="30"/>
      <c r="AJ1697" s="30"/>
      <c r="AK1697" s="30"/>
      <c r="AL1697" s="13"/>
      <c r="AM1697" s="13"/>
      <c r="AN1697" s="13"/>
      <c r="AO1697" s="13"/>
      <c r="AP1697" s="13"/>
      <c r="AQ1697" s="14"/>
      <c r="AR1697" s="15"/>
    </row>
    <row r="1698" spans="1:44" s="17" customFormat="1" ht="30.95" hidden="1" customHeight="1" x14ac:dyDescent="0.2">
      <c r="A1698" s="343"/>
      <c r="B1698" s="344"/>
      <c r="C1698" s="345"/>
      <c r="D1698" s="398"/>
      <c r="E1698" s="31"/>
      <c r="F1698" s="268"/>
      <c r="G1698" s="269"/>
      <c r="H1698" s="269"/>
      <c r="I1698" s="270"/>
      <c r="J1698" s="32"/>
      <c r="K1698" s="270"/>
      <c r="L1698" s="270"/>
      <c r="M1698" s="39"/>
      <c r="N1698" s="39"/>
      <c r="O1698" s="47"/>
      <c r="P1698" s="57"/>
      <c r="Q1698" s="276"/>
      <c r="R1698" s="277"/>
      <c r="S1698" s="277"/>
      <c r="T1698" s="40"/>
      <c r="U1698" s="278"/>
      <c r="V1698" s="269"/>
      <c r="W1698" s="269"/>
      <c r="X1698" s="275"/>
      <c r="Y1698" s="269"/>
      <c r="Z1698" s="357"/>
      <c r="AA1698" s="207"/>
      <c r="AB1698" s="369"/>
      <c r="AC1698" s="370"/>
      <c r="AD1698" s="332"/>
      <c r="AE1698" s="216"/>
      <c r="AF1698" s="43"/>
      <c r="AG1698" s="47"/>
      <c r="AH1698" s="30"/>
      <c r="AI1698" s="30"/>
      <c r="AJ1698" s="30"/>
      <c r="AK1698" s="30"/>
      <c r="AL1698" s="13"/>
      <c r="AM1698" s="13"/>
      <c r="AN1698" s="13"/>
      <c r="AO1698" s="13"/>
      <c r="AP1698" s="13"/>
      <c r="AQ1698" s="14"/>
      <c r="AR1698" s="15"/>
    </row>
    <row r="1699" spans="1:44" s="17" customFormat="1" ht="30.95" hidden="1" customHeight="1" x14ac:dyDescent="0.2">
      <c r="A1699" s="343" t="s">
        <v>2964</v>
      </c>
      <c r="B1699" s="344" t="s">
        <v>2954</v>
      </c>
      <c r="C1699" s="345"/>
      <c r="D1699" s="398"/>
      <c r="E1699" s="31"/>
      <c r="F1699" s="268"/>
      <c r="G1699" s="269"/>
      <c r="H1699" s="269"/>
      <c r="I1699" s="270"/>
      <c r="J1699" s="32" t="s">
        <v>448</v>
      </c>
      <c r="K1699" s="270"/>
      <c r="L1699" s="270"/>
      <c r="M1699" s="39"/>
      <c r="N1699" s="39"/>
      <c r="O1699" s="47"/>
      <c r="P1699" s="57"/>
      <c r="Q1699" s="276"/>
      <c r="R1699" s="277"/>
      <c r="S1699" s="277"/>
      <c r="T1699" s="40"/>
      <c r="U1699" s="278"/>
      <c r="V1699" s="269"/>
      <c r="W1699" s="269"/>
      <c r="X1699" s="275"/>
      <c r="Y1699" s="269"/>
      <c r="Z1699" s="357"/>
      <c r="AA1699" s="207"/>
      <c r="AB1699" s="369"/>
      <c r="AC1699" s="370"/>
      <c r="AD1699" s="332"/>
      <c r="AE1699" s="216"/>
      <c r="AF1699" s="43"/>
      <c r="AG1699" s="47"/>
      <c r="AH1699" s="30"/>
      <c r="AI1699" s="30"/>
      <c r="AJ1699" s="30"/>
      <c r="AK1699" s="30"/>
      <c r="AL1699" s="13"/>
      <c r="AM1699" s="13"/>
      <c r="AN1699" s="13"/>
      <c r="AO1699" s="13"/>
      <c r="AP1699" s="13"/>
      <c r="AQ1699" s="14"/>
      <c r="AR1699" s="15"/>
    </row>
    <row r="1700" spans="1:44" s="17" customFormat="1" ht="30.95" hidden="1" customHeight="1" x14ac:dyDescent="0.2">
      <c r="A1700" s="343"/>
      <c r="B1700" s="344"/>
      <c r="C1700" s="345"/>
      <c r="D1700" s="398"/>
      <c r="E1700" s="31"/>
      <c r="F1700" s="268"/>
      <c r="G1700" s="269"/>
      <c r="H1700" s="269"/>
      <c r="I1700" s="270"/>
      <c r="J1700" s="32"/>
      <c r="K1700" s="270"/>
      <c r="L1700" s="270"/>
      <c r="M1700" s="39"/>
      <c r="N1700" s="39"/>
      <c r="O1700" s="47"/>
      <c r="P1700" s="57"/>
      <c r="Q1700" s="276"/>
      <c r="R1700" s="277"/>
      <c r="S1700" s="277"/>
      <c r="T1700" s="40"/>
      <c r="U1700" s="278"/>
      <c r="V1700" s="269"/>
      <c r="W1700" s="269"/>
      <c r="X1700" s="275"/>
      <c r="Y1700" s="269"/>
      <c r="Z1700" s="357"/>
      <c r="AA1700" s="207"/>
      <c r="AB1700" s="369"/>
      <c r="AC1700" s="370"/>
      <c r="AD1700" s="332"/>
      <c r="AE1700" s="216"/>
      <c r="AF1700" s="43"/>
      <c r="AG1700" s="47"/>
      <c r="AH1700" s="30"/>
      <c r="AI1700" s="30"/>
      <c r="AJ1700" s="30"/>
      <c r="AK1700" s="30"/>
      <c r="AL1700" s="13"/>
      <c r="AM1700" s="13"/>
      <c r="AN1700" s="13"/>
      <c r="AO1700" s="13"/>
      <c r="AP1700" s="13"/>
      <c r="AQ1700" s="14"/>
      <c r="AR1700" s="15"/>
    </row>
    <row r="1701" spans="1:44" s="17" customFormat="1" ht="30.95" hidden="1" customHeight="1" x14ac:dyDescent="0.2">
      <c r="A1701" s="343" t="s">
        <v>2965</v>
      </c>
      <c r="B1701" s="344" t="s">
        <v>2956</v>
      </c>
      <c r="C1701" s="345"/>
      <c r="D1701" s="398"/>
      <c r="E1701" s="31"/>
      <c r="F1701" s="268"/>
      <c r="G1701" s="269"/>
      <c r="H1701" s="269"/>
      <c r="I1701" s="270"/>
      <c r="J1701" s="32" t="s">
        <v>448</v>
      </c>
      <c r="K1701" s="270"/>
      <c r="L1701" s="270"/>
      <c r="M1701" s="39"/>
      <c r="N1701" s="39"/>
      <c r="O1701" s="47"/>
      <c r="P1701" s="57"/>
      <c r="Q1701" s="276"/>
      <c r="R1701" s="277"/>
      <c r="S1701" s="277"/>
      <c r="T1701" s="40"/>
      <c r="U1701" s="278"/>
      <c r="V1701" s="269"/>
      <c r="W1701" s="269"/>
      <c r="X1701" s="275"/>
      <c r="Y1701" s="269"/>
      <c r="Z1701" s="357"/>
      <c r="AA1701" s="207"/>
      <c r="AB1701" s="369"/>
      <c r="AC1701" s="370"/>
      <c r="AD1701" s="332"/>
      <c r="AE1701" s="216"/>
      <c r="AF1701" s="43"/>
      <c r="AG1701" s="47"/>
      <c r="AH1701" s="30"/>
      <c r="AI1701" s="30"/>
      <c r="AJ1701" s="30"/>
      <c r="AK1701" s="30"/>
      <c r="AL1701" s="13"/>
      <c r="AM1701" s="13"/>
      <c r="AN1701" s="13"/>
      <c r="AO1701" s="13"/>
      <c r="AP1701" s="13"/>
      <c r="AQ1701" s="14"/>
      <c r="AR1701" s="15"/>
    </row>
    <row r="1702" spans="1:44" s="17" customFormat="1" ht="30.95" hidden="1" customHeight="1" x14ac:dyDescent="0.2">
      <c r="A1702" s="343"/>
      <c r="B1702" s="344"/>
      <c r="C1702" s="345"/>
      <c r="D1702" s="398"/>
      <c r="E1702" s="31"/>
      <c r="F1702" s="268"/>
      <c r="G1702" s="269"/>
      <c r="H1702" s="269"/>
      <c r="I1702" s="270"/>
      <c r="J1702" s="32"/>
      <c r="K1702" s="270"/>
      <c r="L1702" s="270"/>
      <c r="M1702" s="39"/>
      <c r="N1702" s="39"/>
      <c r="O1702" s="47"/>
      <c r="P1702" s="57"/>
      <c r="Q1702" s="276"/>
      <c r="R1702" s="277"/>
      <c r="S1702" s="277"/>
      <c r="T1702" s="40"/>
      <c r="U1702" s="278"/>
      <c r="V1702" s="269"/>
      <c r="W1702" s="269"/>
      <c r="X1702" s="275"/>
      <c r="Y1702" s="269"/>
      <c r="Z1702" s="357"/>
      <c r="AA1702" s="207"/>
      <c r="AB1702" s="369"/>
      <c r="AC1702" s="370"/>
      <c r="AD1702" s="332"/>
      <c r="AE1702" s="216"/>
      <c r="AF1702" s="43"/>
      <c r="AG1702" s="47"/>
      <c r="AH1702" s="30"/>
      <c r="AI1702" s="30"/>
      <c r="AJ1702" s="30"/>
      <c r="AK1702" s="30"/>
      <c r="AL1702" s="13"/>
      <c r="AM1702" s="13"/>
      <c r="AN1702" s="13"/>
      <c r="AO1702" s="13"/>
      <c r="AP1702" s="13"/>
      <c r="AQ1702" s="14"/>
      <c r="AR1702" s="15"/>
    </row>
    <row r="1703" spans="1:44" s="17" customFormat="1" ht="30.95" hidden="1" customHeight="1" x14ac:dyDescent="0.2">
      <c r="A1703" s="343" t="s">
        <v>2966</v>
      </c>
      <c r="B1703" s="344" t="s">
        <v>2958</v>
      </c>
      <c r="C1703" s="345"/>
      <c r="D1703" s="398"/>
      <c r="E1703" s="31"/>
      <c r="F1703" s="268"/>
      <c r="G1703" s="269"/>
      <c r="H1703" s="269"/>
      <c r="I1703" s="270"/>
      <c r="J1703" s="32" t="s">
        <v>448</v>
      </c>
      <c r="K1703" s="270"/>
      <c r="L1703" s="270"/>
      <c r="M1703" s="39"/>
      <c r="N1703" s="39"/>
      <c r="O1703" s="47"/>
      <c r="P1703" s="57"/>
      <c r="Q1703" s="276"/>
      <c r="R1703" s="277"/>
      <c r="S1703" s="277"/>
      <c r="T1703" s="40"/>
      <c r="U1703" s="278"/>
      <c r="V1703" s="269"/>
      <c r="W1703" s="269"/>
      <c r="X1703" s="275"/>
      <c r="Y1703" s="269"/>
      <c r="Z1703" s="357"/>
      <c r="AA1703" s="207"/>
      <c r="AB1703" s="369"/>
      <c r="AC1703" s="370"/>
      <c r="AD1703" s="332"/>
      <c r="AE1703" s="216"/>
      <c r="AF1703" s="43"/>
      <c r="AG1703" s="47"/>
      <c r="AH1703" s="30"/>
      <c r="AI1703" s="30"/>
      <c r="AJ1703" s="30"/>
      <c r="AK1703" s="30"/>
      <c r="AL1703" s="13"/>
      <c r="AM1703" s="13"/>
      <c r="AN1703" s="13"/>
      <c r="AO1703" s="13"/>
      <c r="AP1703" s="13"/>
      <c r="AQ1703" s="14"/>
      <c r="AR1703" s="15"/>
    </row>
    <row r="1704" spans="1:44" s="17" customFormat="1" ht="30.95" hidden="1" customHeight="1" x14ac:dyDescent="0.2">
      <c r="A1704" s="343"/>
      <c r="B1704" s="344"/>
      <c r="C1704" s="345"/>
      <c r="D1704" s="398"/>
      <c r="E1704" s="31"/>
      <c r="F1704" s="268"/>
      <c r="G1704" s="269"/>
      <c r="H1704" s="269"/>
      <c r="I1704" s="270"/>
      <c r="J1704" s="32"/>
      <c r="K1704" s="270"/>
      <c r="L1704" s="270"/>
      <c r="M1704" s="39"/>
      <c r="N1704" s="39"/>
      <c r="O1704" s="47"/>
      <c r="P1704" s="57"/>
      <c r="Q1704" s="276"/>
      <c r="R1704" s="277"/>
      <c r="S1704" s="277"/>
      <c r="T1704" s="40"/>
      <c r="U1704" s="278"/>
      <c r="V1704" s="269"/>
      <c r="W1704" s="269"/>
      <c r="X1704" s="275"/>
      <c r="Y1704" s="269"/>
      <c r="Z1704" s="357"/>
      <c r="AA1704" s="207"/>
      <c r="AB1704" s="369"/>
      <c r="AC1704" s="370"/>
      <c r="AD1704" s="332"/>
      <c r="AE1704" s="216"/>
      <c r="AF1704" s="43"/>
      <c r="AG1704" s="47"/>
      <c r="AH1704" s="30"/>
      <c r="AI1704" s="30"/>
      <c r="AJ1704" s="30"/>
      <c r="AK1704" s="30"/>
      <c r="AL1704" s="13"/>
      <c r="AM1704" s="13"/>
      <c r="AN1704" s="13"/>
      <c r="AO1704" s="13"/>
      <c r="AP1704" s="13"/>
      <c r="AQ1704" s="14"/>
      <c r="AR1704" s="15"/>
    </row>
    <row r="1705" spans="1:44" s="17" customFormat="1" ht="30.95" hidden="1" customHeight="1" x14ac:dyDescent="0.2">
      <c r="A1705" s="320" t="s">
        <v>2981</v>
      </c>
      <c r="B1705" s="321" t="s">
        <v>688</v>
      </c>
      <c r="C1705" s="345"/>
      <c r="D1705" s="398">
        <v>3758084</v>
      </c>
      <c r="E1705" s="31">
        <v>4151721</v>
      </c>
      <c r="F1705" s="268" t="str">
        <f>IF(D1705="","",VLOOKUP(D1705,契約台帳!$A$3:$K$4986,6,FALSE)&amp;VLOOKUP(D1705,契約台帳!$A$3:$K$4986,7,FALSE)&amp;VLOOKUP(D1705,契約台帳!$A$3:$K$4986,8,FALSE)&amp;VLOOKUP(D1705,契約台帳!$A$3:$K$4986,9,FALSE)&amp;VLOOKUP(D1705,契約台帳!$A$3:$K$4986,11,FALSE))</f>
        <v>3SYMLBMSNMBF</v>
      </c>
      <c r="G1705" s="269" t="str">
        <f>IF(D1705="","",VLOOKUP(F1705,製品マスタ!$G$5:$H$5002,2,FALSE))</f>
        <v>S</v>
      </c>
      <c r="H1705" s="269" t="str">
        <f>IF(D1705="","",VLOOKUP(F1705,製品マスタ!$G$5:$K$5002,5,FALSE))</f>
        <v>MSNMBF</v>
      </c>
      <c r="I1705" s="270" t="str">
        <f>IF(D1705="","",VLOOKUP(F1705,製品マスタ!$G$5:$L$5002,6,FALSE))</f>
        <v>ＭＥＴＡＬＵＭＹ　ＳＩＬＶＥＲ　Ｎ－ＭＡＴＴＥ　Ｘ４４Ｍ　Ｂ</v>
      </c>
      <c r="J1705" s="32" t="s">
        <v>447</v>
      </c>
      <c r="K1705" s="270">
        <f>IF(D1705="","",VLOOKUP(D1705,契約台帳!$A$3:$L$4986,12,FALSE))</f>
        <v>50</v>
      </c>
      <c r="L1705" s="270" t="str">
        <f>IF(D1705="","",INDEX(製品マスタ!$Q$5:$Q$5002,MATCH(F1705&amp;K1705,製品マスタ!$AO$5:$AO$5002,0)))</f>
        <v>X44</v>
      </c>
      <c r="M1705" s="39">
        <v>1120</v>
      </c>
      <c r="N1705" s="39">
        <v>12000</v>
      </c>
      <c r="O1705" s="47">
        <v>1</v>
      </c>
      <c r="P1705" s="57"/>
      <c r="Q1705" s="276">
        <f>IF(D1705="","",IF(J1705="リード付け",M1705,VLOOKUP(D1705,契約台帳!$A$3:$N$4986,14,FALSE)))</f>
        <v>1120</v>
      </c>
      <c r="R1705" s="277">
        <f>IF(D1705="","",IF(J1705="リード付け",M1705,VLOOKUP(D1705,契約台帳!$A$3:$O$4986,15,FALSE)))</f>
        <v>1120</v>
      </c>
      <c r="S1705" s="277">
        <f>IF(D1705="","",IF(J1705="リード付け",N1705,VLOOKUP(D1705,契約台帳!$A$3:$P$4986,16,FALSE)))</f>
        <v>4000</v>
      </c>
      <c r="T1705" s="40">
        <v>2</v>
      </c>
      <c r="U1705" s="278">
        <f ca="1">IF(D1705="","",IF(OFFSET(D1705,-2,0)=D1705,"",VLOOKUP(D1705,契約台帳!$A$3:$R$4986,18,FALSE)))</f>
        <v>20</v>
      </c>
      <c r="V1705" s="269" t="str">
        <f>IF(J1705="巻返し",VLOOKUP(F1705&amp;K1705&amp;M1705,製品マスタ!$M$5:$AD$5002,18,FALSE),IF(J1705="リード付け","原反コア",IF(J1705="スリット",VLOOKUP(F1705&amp;K1705&amp;Q1705,製品マスタ!$N$5:$AD$5002,17,FALSE),"")))</f>
        <v>6ｲﾝﾁMｺｱ</v>
      </c>
      <c r="W1705" s="269">
        <f>IF(J1705="巻返し",VLOOKUP(F1705&amp;K1705&amp;M1705,製品マスタ!$M$5:$AE$5002,19,FALSE),IF(J1705="リード付け","-",IF(J1705="スリット",VLOOKUP(F1705&amp;K1705&amp;Q1705,製品マスタ!$N$5:$AE$5002,18,FALSE),"")))</f>
        <v>1125</v>
      </c>
      <c r="X1705" s="275">
        <f>IF(D1705="","",VLOOKUP(D1705,契約台帳!$A$3:$Q$4986,17,FALSE))</f>
        <v>2</v>
      </c>
      <c r="Y1705" s="269" t="str">
        <f>IF(D1705="","",VLOOKUP(D1705,契約台帳!$A$3:$E$4986,5,FALSE))</f>
        <v>リンテック㈱</v>
      </c>
      <c r="Z1705" s="357">
        <v>45492</v>
      </c>
      <c r="AA1705" s="207"/>
      <c r="AB1705" s="369"/>
      <c r="AC1705" s="370"/>
      <c r="AD1705" s="332" t="str">
        <f>IF(F1705="","",+F1705&amp;K1705)</f>
        <v>3SYMLBMSNMBF50</v>
      </c>
      <c r="AE1705" s="216">
        <f>+M1705*N1705*O1705/1000</f>
        <v>13440</v>
      </c>
      <c r="AF1705" s="43">
        <f>IF(AD1705="","",VLOOKUP(AD1705,原価マスタ!$A$2:$AJ$1693,13,FALSE))</f>
        <v>98.8</v>
      </c>
      <c r="AG1705" s="47">
        <f>IF(AF1705="","",+AE1705*AF1705/100)</f>
        <v>13278.72</v>
      </c>
      <c r="AH1705" s="30"/>
      <c r="AI1705" s="30"/>
      <c r="AJ1705" s="30"/>
      <c r="AK1705" s="30"/>
      <c r="AL1705" s="13"/>
      <c r="AM1705" s="13"/>
      <c r="AN1705" s="13"/>
      <c r="AO1705" s="13"/>
      <c r="AP1705" s="13"/>
      <c r="AQ1705" s="14"/>
      <c r="AR1705" s="15"/>
    </row>
    <row r="1706" spans="1:44" s="17" customFormat="1" ht="30.95" hidden="1" customHeight="1" x14ac:dyDescent="0.2">
      <c r="A1706" s="320"/>
      <c r="B1706" s="321"/>
      <c r="C1706" s="345"/>
      <c r="D1706" s="398">
        <v>3758088</v>
      </c>
      <c r="E1706" s="31"/>
      <c r="F1706" s="268" t="str">
        <f>IF(D1706="","",VLOOKUP(D1706,契約台帳!$A$3:$K$4986,6,FALSE)&amp;VLOOKUP(D1706,契約台帳!$A$3:$K$4986,7,FALSE)&amp;VLOOKUP(D1706,契約台帳!$A$3:$K$4986,8,FALSE)&amp;VLOOKUP(D1706,契約台帳!$A$3:$K$4986,9,FALSE)&amp;VLOOKUP(D1706,契約台帳!$A$3:$K$4986,11,FALSE))</f>
        <v>3SYMLBMSNMBF</v>
      </c>
      <c r="G1706" s="269" t="str">
        <f>IF(D1706="","",VLOOKUP(F1706,製品マスタ!$G$5:$H$5002,2,FALSE))</f>
        <v>S</v>
      </c>
      <c r="H1706" s="269" t="str">
        <f>IF(D1706="","",VLOOKUP(F1706,製品マスタ!$G$5:$K$5002,5,FALSE))</f>
        <v>MSNMBF</v>
      </c>
      <c r="I1706" s="270" t="str">
        <f>IF(D1706="","",VLOOKUP(F1706,製品マスタ!$G$5:$L$5002,6,FALSE))</f>
        <v>ＭＥＴＡＬＵＭＹ　ＳＩＬＶＥＲ　Ｎ－ＭＡＴＴＥ　Ｘ４４Ｍ　Ｂ</v>
      </c>
      <c r="J1706" s="32" t="s">
        <v>447</v>
      </c>
      <c r="K1706" s="270">
        <f>IF(D1706="","",VLOOKUP(D1706,契約台帳!$A$3:$L$4986,12,FALSE))</f>
        <v>50</v>
      </c>
      <c r="L1706" s="270" t="str">
        <f>IF(D1706="","",INDEX(製品マスタ!$Q$5:$Q$5002,MATCH(F1706&amp;K1706,製品マスタ!$AO$5:$AO$5002,0)))</f>
        <v>X44</v>
      </c>
      <c r="M1706" s="39">
        <v>1120</v>
      </c>
      <c r="N1706" s="39">
        <v>12000</v>
      </c>
      <c r="O1706" s="47"/>
      <c r="P1706" s="57"/>
      <c r="Q1706" s="276">
        <f>IF(D1706="","",IF(J1706="リード付け",M1706,VLOOKUP(D1706,契約台帳!$A$3:$N$4986,14,FALSE)))</f>
        <v>1120</v>
      </c>
      <c r="R1706" s="277">
        <f>IF(D1706="","",IF(J1706="リード付け",M1706,VLOOKUP(D1706,契約台帳!$A$3:$O$4986,15,FALSE)))</f>
        <v>1120</v>
      </c>
      <c r="S1706" s="277">
        <f>IF(D1706="","",IF(J1706="リード付け",N1706,VLOOKUP(D1706,契約台帳!$A$3:$P$4986,16,FALSE)))</f>
        <v>4000</v>
      </c>
      <c r="T1706" s="40">
        <v>1</v>
      </c>
      <c r="U1706" s="278">
        <f ca="1">IF(D1706="","",IF(OFFSET(D1706,-2,0)=D1706,"",VLOOKUP(D1706,契約台帳!$A$3:$R$4986,18,FALSE)))</f>
        <v>8</v>
      </c>
      <c r="V1706" s="269" t="str">
        <f>IF(J1706="巻返し",VLOOKUP(F1706&amp;K1706&amp;M1706,製品マスタ!$M$5:$AD$5002,18,FALSE),IF(J1706="リード付け","原反コア",IF(J1706="スリット",VLOOKUP(F1706&amp;K1706&amp;Q1706,製品マスタ!$N$5:$AD$5002,17,FALSE),"")))</f>
        <v>6ｲﾝﾁMｺｱ</v>
      </c>
      <c r="W1706" s="269">
        <f>IF(J1706="巻返し",VLOOKUP(F1706&amp;K1706&amp;M1706,製品マスタ!$M$5:$AE$5002,19,FALSE),IF(J1706="リード付け","-",IF(J1706="スリット",VLOOKUP(F1706&amp;K1706&amp;Q1706,製品マスタ!$N$5:$AE$5002,18,FALSE),"")))</f>
        <v>1125</v>
      </c>
      <c r="X1706" s="275">
        <f>IF(D1706="","",VLOOKUP(D1706,契約台帳!$A$3:$Q$4986,17,FALSE))</f>
        <v>2</v>
      </c>
      <c r="Y1706" s="269" t="str">
        <f>IF(D1706="","",VLOOKUP(D1706,契約台帳!$A$3:$E$4986,5,FALSE))</f>
        <v>リンテック㈱</v>
      </c>
      <c r="Z1706" s="357"/>
      <c r="AA1706" s="207"/>
      <c r="AB1706" s="369"/>
      <c r="AC1706" s="370"/>
      <c r="AD1706" s="332" t="str">
        <f>IF(F1706="","",+F1706&amp;K1706)</f>
        <v>3SYMLBMSNMBF50</v>
      </c>
      <c r="AE1706" s="216">
        <f>+M1706*N1706*O1706/1000</f>
        <v>0</v>
      </c>
      <c r="AF1706" s="43">
        <f>IF(AD1706="","",VLOOKUP(AD1706,原価マスタ!$A$2:$AJ$1693,13,FALSE))</f>
        <v>98.8</v>
      </c>
      <c r="AG1706" s="47">
        <f>IF(AF1706="","",+AE1706*AF1706/100)</f>
        <v>0</v>
      </c>
      <c r="AH1706" s="30"/>
      <c r="AI1706" s="30"/>
      <c r="AJ1706" s="30"/>
      <c r="AK1706" s="30"/>
      <c r="AL1706" s="13"/>
      <c r="AM1706" s="13"/>
      <c r="AN1706" s="13"/>
      <c r="AO1706" s="13"/>
      <c r="AP1706" s="13"/>
      <c r="AQ1706" s="14"/>
      <c r="AR1706" s="15"/>
    </row>
    <row r="1707" spans="1:44" s="17" customFormat="1" ht="30.95" hidden="1" customHeight="1" x14ac:dyDescent="0.2">
      <c r="A1707" s="343"/>
      <c r="B1707" s="344"/>
      <c r="C1707" s="345"/>
      <c r="D1707" s="398"/>
      <c r="E1707" s="31"/>
      <c r="F1707" s="268"/>
      <c r="G1707" s="269"/>
      <c r="H1707" s="269"/>
      <c r="I1707" s="270"/>
      <c r="J1707" s="32"/>
      <c r="K1707" s="270"/>
      <c r="L1707" s="270"/>
      <c r="M1707" s="39"/>
      <c r="N1707" s="39"/>
      <c r="O1707" s="47"/>
      <c r="P1707" s="57"/>
      <c r="Q1707" s="276"/>
      <c r="R1707" s="277"/>
      <c r="S1707" s="277"/>
      <c r="T1707" s="40"/>
      <c r="U1707" s="278"/>
      <c r="V1707" s="269"/>
      <c r="W1707" s="269"/>
      <c r="X1707" s="275"/>
      <c r="Y1707" s="269"/>
      <c r="Z1707" s="357"/>
      <c r="AA1707" s="207"/>
      <c r="AB1707" s="369"/>
      <c r="AC1707" s="370"/>
      <c r="AD1707" s="332"/>
      <c r="AE1707" s="216"/>
      <c r="AF1707" s="43"/>
      <c r="AG1707" s="47"/>
      <c r="AH1707" s="30"/>
      <c r="AI1707" s="30"/>
      <c r="AJ1707" s="30"/>
      <c r="AK1707" s="30"/>
      <c r="AL1707" s="13"/>
      <c r="AM1707" s="13"/>
      <c r="AN1707" s="13"/>
      <c r="AO1707" s="13"/>
      <c r="AP1707" s="13"/>
      <c r="AQ1707" s="14"/>
      <c r="AR1707" s="15"/>
    </row>
    <row r="1708" spans="1:44" s="17" customFormat="1" ht="30.95" hidden="1" customHeight="1" x14ac:dyDescent="0.2">
      <c r="A1708" s="320"/>
      <c r="B1708" s="321"/>
      <c r="C1708" s="345"/>
      <c r="D1708" s="398">
        <v>3758088</v>
      </c>
      <c r="E1708" s="31">
        <v>4151695</v>
      </c>
      <c r="F1708" s="268" t="str">
        <f>IF(D1708="","",VLOOKUP(D1708,契約台帳!$A$3:$K$4986,6,FALSE)&amp;VLOOKUP(D1708,契約台帳!$A$3:$K$4986,7,FALSE)&amp;VLOOKUP(D1708,契約台帳!$A$3:$K$4986,8,FALSE)&amp;VLOOKUP(D1708,契約台帳!$A$3:$K$4986,9,FALSE)&amp;VLOOKUP(D1708,契約台帳!$A$3:$K$4986,11,FALSE))</f>
        <v>3SYMLBMSNMBF</v>
      </c>
      <c r="G1708" s="269" t="str">
        <f>IF(D1708="","",VLOOKUP(F1708,製品マスタ!$G$5:$H$5002,2,FALSE))</f>
        <v>S</v>
      </c>
      <c r="H1708" s="269" t="str">
        <f>IF(D1708="","",VLOOKUP(F1708,製品マスタ!$G$5:$K$5002,5,FALSE))</f>
        <v>MSNMBF</v>
      </c>
      <c r="I1708" s="270" t="str">
        <f>IF(D1708="","",VLOOKUP(F1708,製品マスタ!$G$5:$L$5002,6,FALSE))</f>
        <v>ＭＥＴＡＬＵＭＹ　ＳＩＬＶＥＲ　Ｎ－ＭＡＴＴＥ　Ｘ４４Ｍ　Ｂ</v>
      </c>
      <c r="J1708" s="32" t="s">
        <v>447</v>
      </c>
      <c r="K1708" s="270">
        <f>IF(D1708="","",VLOOKUP(D1708,契約台帳!$A$3:$L$4986,12,FALSE))</f>
        <v>50</v>
      </c>
      <c r="L1708" s="270" t="str">
        <f>IF(D1708="","",INDEX(製品マスタ!$Q$5:$Q$5002,MATCH(F1708&amp;K1708,製品マスタ!$AO$5:$AO$5002,0)))</f>
        <v>X44</v>
      </c>
      <c r="M1708" s="39">
        <v>1120</v>
      </c>
      <c r="N1708" s="39">
        <v>12000</v>
      </c>
      <c r="O1708" s="47">
        <v>1</v>
      </c>
      <c r="P1708" s="57"/>
      <c r="Q1708" s="276">
        <f>IF(D1708="","",IF(J1708="リード付け",M1708,VLOOKUP(D1708,契約台帳!$A$3:$N$4986,14,FALSE)))</f>
        <v>1120</v>
      </c>
      <c r="R1708" s="277">
        <f>IF(D1708="","",IF(J1708="リード付け",M1708,VLOOKUP(D1708,契約台帳!$A$3:$O$4986,15,FALSE)))</f>
        <v>1120</v>
      </c>
      <c r="S1708" s="277">
        <f>IF(D1708="","",IF(J1708="リード付け",N1708,VLOOKUP(D1708,契約台帳!$A$3:$P$4986,16,FALSE)))</f>
        <v>4000</v>
      </c>
      <c r="T1708" s="40">
        <v>3</v>
      </c>
      <c r="U1708" s="278" t="str">
        <f ca="1">IF(D1708="","",IF(OFFSET(D1708,-2,0)=D1708,"",VLOOKUP(D1708,契約台帳!$A$3:$R$4986,18,FALSE)))</f>
        <v/>
      </c>
      <c r="V1708" s="269" t="str">
        <f>IF(J1708="巻返し",VLOOKUP(F1708&amp;K1708&amp;M1708,製品マスタ!$M$5:$AD$5002,18,FALSE),IF(J1708="リード付け","原反コア",IF(J1708="スリット",VLOOKUP(F1708&amp;K1708&amp;Q1708,製品マスタ!$N$5:$AD$5002,17,FALSE),"")))</f>
        <v>6ｲﾝﾁMｺｱ</v>
      </c>
      <c r="W1708" s="269">
        <f>IF(J1708="巻返し",VLOOKUP(F1708&amp;K1708&amp;M1708,製品マスタ!$M$5:$AE$5002,19,FALSE),IF(J1708="リード付け","-",IF(J1708="スリット",VLOOKUP(F1708&amp;K1708&amp;Q1708,製品マスタ!$N$5:$AE$5002,18,FALSE),"")))</f>
        <v>1125</v>
      </c>
      <c r="X1708" s="275">
        <f>IF(D1708="","",VLOOKUP(D1708,契約台帳!$A$3:$Q$4986,17,FALSE))</f>
        <v>2</v>
      </c>
      <c r="Y1708" s="269" t="str">
        <f>IF(D1708="","",VLOOKUP(D1708,契約台帳!$A$3:$E$4986,5,FALSE))</f>
        <v>リンテック㈱</v>
      </c>
      <c r="Z1708" s="357">
        <v>45492</v>
      </c>
      <c r="AA1708" s="207"/>
      <c r="AB1708" s="369"/>
      <c r="AC1708" s="370"/>
      <c r="AD1708" s="332" t="str">
        <f>IF(F1708="","",+F1708&amp;K1708)</f>
        <v>3SYMLBMSNMBF50</v>
      </c>
      <c r="AE1708" s="216">
        <f>+M1708*N1708*O1708/1000</f>
        <v>13440</v>
      </c>
      <c r="AF1708" s="43">
        <f>IF(AD1708="","",VLOOKUP(AD1708,原価マスタ!$A$2:$AJ$1693,13,FALSE))</f>
        <v>98.8</v>
      </c>
      <c r="AG1708" s="47">
        <f>IF(AF1708="","",+AE1708*AF1708/100)</f>
        <v>13278.72</v>
      </c>
      <c r="AH1708" s="30"/>
      <c r="AI1708" s="30"/>
      <c r="AJ1708" s="30"/>
      <c r="AK1708" s="30"/>
      <c r="AL1708" s="13"/>
      <c r="AM1708" s="13"/>
      <c r="AN1708" s="13"/>
      <c r="AO1708" s="13"/>
      <c r="AP1708" s="13"/>
      <c r="AQ1708" s="14"/>
      <c r="AR1708" s="15"/>
    </row>
    <row r="1709" spans="1:44" s="17" customFormat="1" ht="30.95" hidden="1" customHeight="1" x14ac:dyDescent="0.2">
      <c r="A1709" s="343"/>
      <c r="B1709" s="344"/>
      <c r="C1709" s="345"/>
      <c r="D1709" s="398"/>
      <c r="E1709" s="31"/>
      <c r="F1709" s="268"/>
      <c r="G1709" s="269"/>
      <c r="H1709" s="269"/>
      <c r="I1709" s="270"/>
      <c r="J1709" s="32"/>
      <c r="K1709" s="270"/>
      <c r="L1709" s="270"/>
      <c r="M1709" s="39"/>
      <c r="N1709" s="39"/>
      <c r="O1709" s="47"/>
      <c r="P1709" s="57"/>
      <c r="Q1709" s="276"/>
      <c r="R1709" s="277"/>
      <c r="S1709" s="277"/>
      <c r="T1709" s="40"/>
      <c r="U1709" s="278"/>
      <c r="V1709" s="269"/>
      <c r="W1709" s="269"/>
      <c r="X1709" s="275"/>
      <c r="Y1709" s="269"/>
      <c r="Z1709" s="357"/>
      <c r="AA1709" s="207"/>
      <c r="AB1709" s="369"/>
      <c r="AC1709" s="370"/>
      <c r="AD1709" s="332"/>
      <c r="AE1709" s="216"/>
      <c r="AF1709" s="43"/>
      <c r="AG1709" s="47"/>
      <c r="AH1709" s="30"/>
      <c r="AI1709" s="30"/>
      <c r="AJ1709" s="30"/>
      <c r="AK1709" s="30"/>
      <c r="AL1709" s="13"/>
      <c r="AM1709" s="13"/>
      <c r="AN1709" s="13"/>
      <c r="AO1709" s="13"/>
      <c r="AP1709" s="13"/>
      <c r="AQ1709" s="14"/>
      <c r="AR1709" s="15"/>
    </row>
    <row r="1710" spans="1:44" s="17" customFormat="1" ht="30.95" hidden="1" customHeight="1" x14ac:dyDescent="0.2">
      <c r="A1710" s="320"/>
      <c r="B1710" s="321"/>
      <c r="C1710" s="345"/>
      <c r="D1710" s="398">
        <v>3758087</v>
      </c>
      <c r="E1710" s="31">
        <v>4151749</v>
      </c>
      <c r="F1710" s="268" t="str">
        <f>IF(D1710="","",VLOOKUP(D1710,契約台帳!$A$3:$K$4986,6,FALSE)&amp;VLOOKUP(D1710,契約台帳!$A$3:$K$4986,7,FALSE)&amp;VLOOKUP(D1710,契約台帳!$A$3:$K$4986,8,FALSE)&amp;VLOOKUP(D1710,契約台帳!$A$3:$K$4986,9,FALSE)&amp;VLOOKUP(D1710,契約台帳!$A$3:$K$4986,11,FALSE))</f>
        <v>3SYMLBMSNMBZF</v>
      </c>
      <c r="G1710" s="269" t="str">
        <f>IF(D1710="","",VLOOKUP(F1710,製品マスタ!$G$5:$H$5002,2,FALSE))</f>
        <v>S</v>
      </c>
      <c r="H1710" s="269" t="str">
        <f>IF(D1710="","",VLOOKUP(F1710,製品マスタ!$G$5:$K$5002,5,FALSE))</f>
        <v>MSNMBZF</v>
      </c>
      <c r="I1710" s="270" t="str">
        <f>IF(D1710="","",VLOOKUP(F1710,製品マスタ!$G$5:$L$5002,6,FALSE))</f>
        <v>ＭＥＴＡＬＵＭＹ　ＳＩＬＶＥＲ　Ｎ－ＭＡＴＴＥ　Ｂ</v>
      </c>
      <c r="J1710" s="32" t="s">
        <v>447</v>
      </c>
      <c r="K1710" s="270">
        <f>IF(D1710="","",VLOOKUP(D1710,契約台帳!$A$3:$L$4986,12,FALSE))</f>
        <v>50</v>
      </c>
      <c r="L1710" s="270" t="str">
        <f>IF(D1710="","",INDEX(製品マスタ!$Q$5:$Q$5002,MATCH(F1710&amp;K1710,製品マスタ!$AO$5:$AO$5002,0)))</f>
        <v>X44</v>
      </c>
      <c r="M1710" s="39">
        <v>1120</v>
      </c>
      <c r="N1710" s="39">
        <v>12000</v>
      </c>
      <c r="O1710" s="47">
        <v>1</v>
      </c>
      <c r="P1710" s="57"/>
      <c r="Q1710" s="276">
        <f>IF(D1710="","",IF(J1710="リード付け",M1710,VLOOKUP(D1710,契約台帳!$A$3:$N$4986,14,FALSE)))</f>
        <v>1120</v>
      </c>
      <c r="R1710" s="277">
        <f>IF(D1710="","",IF(J1710="リード付け",M1710,VLOOKUP(D1710,契約台帳!$A$3:$O$4986,15,FALSE)))</f>
        <v>1120</v>
      </c>
      <c r="S1710" s="277">
        <f>IF(D1710="","",IF(J1710="リード付け",N1710,VLOOKUP(D1710,契約台帳!$A$3:$P$4986,16,FALSE)))</f>
        <v>4000</v>
      </c>
      <c r="T1710" s="40">
        <v>3</v>
      </c>
      <c r="U1710" s="278">
        <f ca="1">IF(D1710="","",IF(OFFSET(D1710,-2,0)=D1710,"",VLOOKUP(D1710,契約台帳!$A$3:$R$4986,18,FALSE)))</f>
        <v>10</v>
      </c>
      <c r="V1710" s="269" t="str">
        <f>IF(J1710="巻返し",VLOOKUP(F1710&amp;K1710&amp;M1710,製品マスタ!$M$5:$AD$5002,18,FALSE),IF(J1710="リード付け","原反コア",IF(J1710="スリット",VLOOKUP(F1710&amp;K1710&amp;Q1710,製品マスタ!$N$5:$AD$5002,17,FALSE),"")))</f>
        <v>6ｲﾝﾁMｺｱ</v>
      </c>
      <c r="W1710" s="269">
        <f>IF(J1710="巻返し",VLOOKUP(F1710&amp;K1710&amp;M1710,製品マスタ!$M$5:$AE$5002,19,FALSE),IF(J1710="リード付け","-",IF(J1710="スリット",VLOOKUP(F1710&amp;K1710&amp;Q1710,製品マスタ!$N$5:$AE$5002,18,FALSE),"")))</f>
        <v>1125</v>
      </c>
      <c r="X1710" s="275">
        <f>IF(D1710="","",VLOOKUP(D1710,契約台帳!$A$3:$Q$4986,17,FALSE))</f>
        <v>2</v>
      </c>
      <c r="Y1710" s="269" t="str">
        <f>IF(D1710="","",VLOOKUP(D1710,契約台帳!$A$3:$E$4986,5,FALSE))</f>
        <v>リンテック㈱</v>
      </c>
      <c r="Z1710" s="357">
        <v>45492</v>
      </c>
      <c r="AA1710" s="207"/>
      <c r="AB1710" s="369"/>
      <c r="AC1710" s="370"/>
      <c r="AD1710" s="332" t="str">
        <f>IF(F1710="","",+F1710&amp;K1710)</f>
        <v>3SYMLBMSNMBZF50</v>
      </c>
      <c r="AE1710" s="216">
        <f>+M1710*N1710*O1710/1000</f>
        <v>13440</v>
      </c>
      <c r="AF1710" s="43">
        <f>IF(AD1710="","",VLOOKUP(AD1710,原価マスタ!$A$2:$AJ$1693,13,FALSE))</f>
        <v>99</v>
      </c>
      <c r="AG1710" s="47">
        <f>IF(AF1710="","",+AE1710*AF1710/100)</f>
        <v>13305.6</v>
      </c>
      <c r="AH1710" s="30"/>
      <c r="AI1710" s="30"/>
      <c r="AJ1710" s="30"/>
      <c r="AK1710" s="30"/>
      <c r="AL1710" s="13"/>
      <c r="AM1710" s="13"/>
      <c r="AN1710" s="13"/>
      <c r="AO1710" s="13"/>
      <c r="AP1710" s="13"/>
      <c r="AQ1710" s="14"/>
      <c r="AR1710" s="15"/>
    </row>
    <row r="1711" spans="1:44" s="17" customFormat="1" ht="30.95" hidden="1" customHeight="1" x14ac:dyDescent="0.2">
      <c r="A1711" s="343"/>
      <c r="B1711" s="344"/>
      <c r="C1711" s="345"/>
      <c r="D1711" s="398"/>
      <c r="E1711" s="31"/>
      <c r="F1711" s="268"/>
      <c r="G1711" s="269"/>
      <c r="H1711" s="269"/>
      <c r="I1711" s="270"/>
      <c r="J1711" s="32"/>
      <c r="K1711" s="270"/>
      <c r="L1711" s="270"/>
      <c r="M1711" s="39"/>
      <c r="N1711" s="39"/>
      <c r="O1711" s="47"/>
      <c r="P1711" s="57"/>
      <c r="Q1711" s="276"/>
      <c r="R1711" s="277"/>
      <c r="S1711" s="277"/>
      <c r="T1711" s="40"/>
      <c r="U1711" s="278"/>
      <c r="V1711" s="269"/>
      <c r="W1711" s="269"/>
      <c r="X1711" s="275"/>
      <c r="Y1711" s="269"/>
      <c r="Z1711" s="357"/>
      <c r="AA1711" s="207"/>
      <c r="AB1711" s="369"/>
      <c r="AC1711" s="370"/>
      <c r="AD1711" s="332"/>
      <c r="AE1711" s="216"/>
      <c r="AF1711" s="43"/>
      <c r="AG1711" s="47"/>
      <c r="AH1711" s="30"/>
      <c r="AI1711" s="30"/>
      <c r="AJ1711" s="30"/>
      <c r="AK1711" s="30"/>
      <c r="AL1711" s="13"/>
      <c r="AM1711" s="13"/>
      <c r="AN1711" s="13"/>
      <c r="AO1711" s="13"/>
      <c r="AP1711" s="13"/>
      <c r="AQ1711" s="14"/>
      <c r="AR1711" s="15"/>
    </row>
    <row r="1712" spans="1:44" s="17" customFormat="1" ht="30.95" hidden="1" customHeight="1" x14ac:dyDescent="0.2">
      <c r="A1712" s="320"/>
      <c r="B1712" s="321"/>
      <c r="C1712" s="345"/>
      <c r="D1712" s="398">
        <v>3762740</v>
      </c>
      <c r="E1712" s="31">
        <v>4151732</v>
      </c>
      <c r="F1712" s="268" t="str">
        <f>IF(D1712="","",VLOOKUP(D1712,契約台帳!$A$3:$K$4986,6,FALSE)&amp;VLOOKUP(D1712,契約台帳!$A$3:$K$4986,7,FALSE)&amp;VLOOKUP(D1712,契約台帳!$A$3:$K$4986,8,FALSE)&amp;VLOOKUP(D1712,契約台帳!$A$3:$K$4986,9,FALSE)&amp;VLOOKUP(D1712,契約台帳!$A$3:$K$4986,11,FALSE))</f>
        <v>3SYMLBMSNMBF</v>
      </c>
      <c r="G1712" s="269" t="str">
        <f>IF(D1712="","",VLOOKUP(F1712,製品マスタ!$G$5:$H$5002,2,FALSE))</f>
        <v>S</v>
      </c>
      <c r="H1712" s="269" t="str">
        <f>IF(D1712="","",VLOOKUP(F1712,製品マスタ!$G$5:$K$5002,5,FALSE))</f>
        <v>MSNMBF</v>
      </c>
      <c r="I1712" s="270" t="str">
        <f>IF(D1712="","",VLOOKUP(F1712,製品マスタ!$G$5:$L$5002,6,FALSE))</f>
        <v>ＭＥＴＡＬＵＭＹ　ＳＩＬＶＥＲ　Ｎ－ＭＡＴＴＥ　Ｘ４４Ｍ　Ｂ</v>
      </c>
      <c r="J1712" s="32" t="s">
        <v>447</v>
      </c>
      <c r="K1712" s="270">
        <f>IF(D1712="","",VLOOKUP(D1712,契約台帳!$A$3:$L$4986,12,FALSE))</f>
        <v>50</v>
      </c>
      <c r="L1712" s="270" t="str">
        <f>IF(D1712="","",INDEX(製品マスタ!$Q$5:$Q$5002,MATCH(F1712&amp;K1712,製品マスタ!$AO$5:$AO$5002,0)))</f>
        <v>X44</v>
      </c>
      <c r="M1712" s="39">
        <v>1120</v>
      </c>
      <c r="N1712" s="39">
        <v>12000</v>
      </c>
      <c r="O1712" s="47">
        <v>1</v>
      </c>
      <c r="P1712" s="57"/>
      <c r="Q1712" s="276">
        <f>IF(D1712="","",IF(J1712="リード付け",M1712,VLOOKUP(D1712,契約台帳!$A$3:$N$4986,14,FALSE)))</f>
        <v>1120</v>
      </c>
      <c r="R1712" s="277">
        <f>IF(D1712="","",IF(J1712="リード付け",M1712,VLOOKUP(D1712,契約台帳!$A$3:$O$4986,15,FALSE)))</f>
        <v>1120</v>
      </c>
      <c r="S1712" s="277">
        <f>IF(D1712="","",IF(J1712="リード付け",N1712,VLOOKUP(D1712,契約台帳!$A$3:$P$4986,16,FALSE)))</f>
        <v>4000</v>
      </c>
      <c r="T1712" s="40">
        <v>3</v>
      </c>
      <c r="U1712" s="278">
        <f ca="1">IF(D1712="","",IF(OFFSET(D1712,-2,0)=D1712,"",VLOOKUP(D1712,契約台帳!$A$3:$R$4986,18,FALSE)))</f>
        <v>20</v>
      </c>
      <c r="V1712" s="269" t="str">
        <f>IF(J1712="巻返し",VLOOKUP(F1712&amp;K1712&amp;M1712,製品マスタ!$M$5:$AD$5002,18,FALSE),IF(J1712="リード付け","原反コア",IF(J1712="スリット",VLOOKUP(F1712&amp;K1712&amp;Q1712,製品マスタ!$N$5:$AD$5002,17,FALSE),"")))</f>
        <v>6ｲﾝﾁMｺｱ</v>
      </c>
      <c r="W1712" s="269">
        <f>IF(J1712="巻返し",VLOOKUP(F1712&amp;K1712&amp;M1712,製品マスタ!$M$5:$AE$5002,19,FALSE),IF(J1712="リード付け","-",IF(J1712="スリット",VLOOKUP(F1712&amp;K1712&amp;Q1712,製品マスタ!$N$5:$AE$5002,18,FALSE),"")))</f>
        <v>1125</v>
      </c>
      <c r="X1712" s="275">
        <f>IF(D1712="","",VLOOKUP(D1712,契約台帳!$A$3:$Q$4986,17,FALSE))</f>
        <v>2</v>
      </c>
      <c r="Y1712" s="269" t="str">
        <f>IF(D1712="","",VLOOKUP(D1712,契約台帳!$A$3:$E$4986,5,FALSE))</f>
        <v>リンテック㈱</v>
      </c>
      <c r="Z1712" s="357">
        <v>45492</v>
      </c>
      <c r="AA1712" s="207"/>
      <c r="AB1712" s="369"/>
      <c r="AC1712" s="370"/>
      <c r="AD1712" s="332" t="str">
        <f>IF(F1712="","",+F1712&amp;K1712)</f>
        <v>3SYMLBMSNMBF50</v>
      </c>
      <c r="AE1712" s="216">
        <f>+M1712*N1712*O1712/1000</f>
        <v>13440</v>
      </c>
      <c r="AF1712" s="43">
        <f>IF(AD1712="","",VLOOKUP(AD1712,原価マスタ!$A$2:$AJ$1693,13,FALSE))</f>
        <v>98.8</v>
      </c>
      <c r="AG1712" s="47">
        <f>IF(AF1712="","",+AE1712*AF1712/100)</f>
        <v>13278.72</v>
      </c>
      <c r="AH1712" s="30"/>
      <c r="AI1712" s="30"/>
      <c r="AJ1712" s="30"/>
      <c r="AK1712" s="30"/>
      <c r="AL1712" s="13"/>
      <c r="AM1712" s="13"/>
      <c r="AN1712" s="13"/>
      <c r="AO1712" s="13"/>
      <c r="AP1712" s="13"/>
      <c r="AQ1712" s="14"/>
      <c r="AR1712" s="15"/>
    </row>
    <row r="1713" spans="1:44" s="17" customFormat="1" ht="30.95" hidden="1" customHeight="1" x14ac:dyDescent="0.2">
      <c r="A1713" s="343"/>
      <c r="B1713" s="344"/>
      <c r="C1713" s="345"/>
      <c r="D1713" s="398"/>
      <c r="E1713" s="31"/>
      <c r="F1713" s="268"/>
      <c r="G1713" s="269"/>
      <c r="H1713" s="269"/>
      <c r="I1713" s="270"/>
      <c r="J1713" s="32"/>
      <c r="K1713" s="270"/>
      <c r="L1713" s="270"/>
      <c r="M1713" s="39"/>
      <c r="N1713" s="39"/>
      <c r="O1713" s="47"/>
      <c r="P1713" s="57"/>
      <c r="Q1713" s="276"/>
      <c r="R1713" s="277"/>
      <c r="S1713" s="277"/>
      <c r="T1713" s="40"/>
      <c r="U1713" s="278"/>
      <c r="V1713" s="269"/>
      <c r="W1713" s="269"/>
      <c r="X1713" s="275"/>
      <c r="Y1713" s="269"/>
      <c r="Z1713" s="357"/>
      <c r="AA1713" s="207"/>
      <c r="AB1713" s="369"/>
      <c r="AC1713" s="370"/>
      <c r="AD1713" s="332"/>
      <c r="AE1713" s="216"/>
      <c r="AF1713" s="43"/>
      <c r="AG1713" s="47"/>
      <c r="AH1713" s="30"/>
      <c r="AI1713" s="30"/>
      <c r="AJ1713" s="30"/>
      <c r="AK1713" s="30"/>
      <c r="AL1713" s="13"/>
      <c r="AM1713" s="13"/>
      <c r="AN1713" s="13"/>
      <c r="AO1713" s="13"/>
      <c r="AP1713" s="13"/>
      <c r="AQ1713" s="14"/>
      <c r="AR1713" s="15"/>
    </row>
    <row r="1714" spans="1:44" s="17" customFormat="1" ht="30.95" hidden="1" customHeight="1" x14ac:dyDescent="0.2">
      <c r="A1714" s="320"/>
      <c r="B1714" s="321"/>
      <c r="C1714" s="345"/>
      <c r="D1714" s="398">
        <v>3762734</v>
      </c>
      <c r="E1714" s="31">
        <v>4151729</v>
      </c>
      <c r="F1714" s="268" t="str">
        <f>IF(D1714="","",VLOOKUP(D1714,契約台帳!$A$3:$K$4986,6,FALSE)&amp;VLOOKUP(D1714,契約台帳!$A$3:$K$4986,7,FALSE)&amp;VLOOKUP(D1714,契約台帳!$A$3:$K$4986,8,FALSE)&amp;VLOOKUP(D1714,契約台帳!$A$3:$K$4986,9,FALSE)&amp;VLOOKUP(D1714,契約台帳!$A$3:$K$4986,11,FALSE))</f>
        <v>3SNMLBMNNGKBF</v>
      </c>
      <c r="G1714" s="269" t="str">
        <f>IF(D1714="","",VLOOKUP(F1714,製品マスタ!$G$5:$H$5002,2,FALSE))</f>
        <v>S</v>
      </c>
      <c r="H1714" s="269" t="str">
        <f>IF(D1714="","",VLOOKUP(F1714,製品マスタ!$G$5:$K$5002,5,FALSE))</f>
        <v>MNNGKBF</v>
      </c>
      <c r="I1714" s="270" t="str">
        <f>IF(D1714="","",VLOOKUP(F1714,製品マスタ!$G$5:$L$5002,6,FALSE))</f>
        <v>メタルミー　ニューネーマー銀消　Ｂ</v>
      </c>
      <c r="J1714" s="32" t="s">
        <v>447</v>
      </c>
      <c r="K1714" s="270">
        <f>IF(D1714="","",VLOOKUP(D1714,契約台帳!$A$3:$L$4986,12,FALSE))</f>
        <v>50</v>
      </c>
      <c r="L1714" s="270" t="str">
        <f>IF(D1714="","",INDEX(製品マスタ!$Q$5:$Q$5002,MATCH(F1714&amp;K1714,製品マスタ!$AO$5:$AO$5002,0)))</f>
        <v>X44</v>
      </c>
      <c r="M1714" s="39">
        <v>1000</v>
      </c>
      <c r="N1714" s="39">
        <v>12000</v>
      </c>
      <c r="O1714" s="47">
        <v>1</v>
      </c>
      <c r="P1714" s="57"/>
      <c r="Q1714" s="276">
        <f>IF(D1714="","",IF(J1714="リード付け",M1714,VLOOKUP(D1714,契約台帳!$A$3:$N$4986,14,FALSE)))</f>
        <v>1000</v>
      </c>
      <c r="R1714" s="277">
        <f>IF(D1714="","",IF(J1714="リード付け",M1714,VLOOKUP(D1714,契約台帳!$A$3:$O$4986,15,FALSE)))</f>
        <v>1000</v>
      </c>
      <c r="S1714" s="277">
        <f>IF(D1714="","",IF(J1714="リード付け",N1714,VLOOKUP(D1714,契約台帳!$A$3:$P$4986,16,FALSE)))</f>
        <v>4000</v>
      </c>
      <c r="T1714" s="40">
        <v>3</v>
      </c>
      <c r="U1714" s="278">
        <f ca="1">IF(D1714="","",IF(OFFSET(D1714,-2,0)=D1714,"",VLOOKUP(D1714,契約台帳!$A$3:$R$4986,18,FALSE)))</f>
        <v>21</v>
      </c>
      <c r="V1714" s="269" t="str">
        <f>IF(J1714="巻返し",VLOOKUP(F1714&amp;K1714&amp;M1714,製品マスタ!$M$5:$AD$5002,18,FALSE),IF(J1714="リード付け","原反コア",IF(J1714="スリット",VLOOKUP(F1714&amp;K1714&amp;Q1714,製品マスタ!$N$5:$AD$5002,17,FALSE),"")))</f>
        <v>6ｲﾝﾁSｺｱ</v>
      </c>
      <c r="W1714" s="269">
        <f>IF(J1714="巻返し",VLOOKUP(F1714&amp;K1714&amp;M1714,製品マスタ!$M$5:$AE$5002,19,FALSE),IF(J1714="リード付け","-",IF(J1714="スリット",VLOOKUP(F1714&amp;K1714&amp;Q1714,製品マスタ!$N$5:$AE$5002,18,FALSE),"")))</f>
        <v>1005</v>
      </c>
      <c r="X1714" s="275">
        <f>IF(D1714="","",VLOOKUP(D1714,契約台帳!$A$3:$Q$4986,17,FALSE))</f>
        <v>2</v>
      </c>
      <c r="Y1714" s="269" t="str">
        <f>IF(D1714="","",VLOOKUP(D1714,契約台帳!$A$3:$E$4986,5,FALSE))</f>
        <v>リンテック㈱</v>
      </c>
      <c r="Z1714" s="357">
        <v>45492</v>
      </c>
      <c r="AA1714" s="207"/>
      <c r="AB1714" s="369"/>
      <c r="AC1714" s="370"/>
      <c r="AD1714" s="332" t="str">
        <f>IF(F1714="","",+F1714&amp;K1714)</f>
        <v>3SNMLBMNNGKBF50</v>
      </c>
      <c r="AE1714" s="216">
        <f>+M1714*N1714*O1714/1000</f>
        <v>12000</v>
      </c>
      <c r="AF1714" s="43">
        <f>IF(AD1714="","",VLOOKUP(AD1714,原価マスタ!$A$2:$AJ$1693,13,FALSE))</f>
        <v>99</v>
      </c>
      <c r="AG1714" s="47">
        <f>IF(AF1714="","",+AE1714*AF1714/100)</f>
        <v>11880</v>
      </c>
      <c r="AH1714" s="30"/>
      <c r="AI1714" s="30"/>
      <c r="AJ1714" s="30"/>
      <c r="AK1714" s="30"/>
      <c r="AL1714" s="13"/>
      <c r="AM1714" s="13"/>
      <c r="AN1714" s="13"/>
      <c r="AO1714" s="13"/>
      <c r="AP1714" s="13"/>
      <c r="AQ1714" s="14"/>
      <c r="AR1714" s="15"/>
    </row>
    <row r="1715" spans="1:44" s="17" customFormat="1" ht="30.95" hidden="1" customHeight="1" x14ac:dyDescent="0.2">
      <c r="A1715" s="343"/>
      <c r="B1715" s="344"/>
      <c r="C1715" s="345"/>
      <c r="D1715" s="398"/>
      <c r="E1715" s="31"/>
      <c r="F1715" s="268"/>
      <c r="G1715" s="269"/>
      <c r="H1715" s="269"/>
      <c r="I1715" s="270"/>
      <c r="J1715" s="32"/>
      <c r="K1715" s="270"/>
      <c r="L1715" s="270"/>
      <c r="M1715" s="39"/>
      <c r="N1715" s="39"/>
      <c r="O1715" s="47"/>
      <c r="P1715" s="57"/>
      <c r="Q1715" s="276"/>
      <c r="R1715" s="277"/>
      <c r="S1715" s="277"/>
      <c r="T1715" s="40"/>
      <c r="U1715" s="278"/>
      <c r="V1715" s="269"/>
      <c r="W1715" s="269"/>
      <c r="X1715" s="275"/>
      <c r="Y1715" s="269"/>
      <c r="Z1715" s="357"/>
      <c r="AA1715" s="207"/>
      <c r="AB1715" s="369"/>
      <c r="AC1715" s="370"/>
      <c r="AD1715" s="332"/>
      <c r="AE1715" s="216"/>
      <c r="AF1715" s="43"/>
      <c r="AG1715" s="47"/>
      <c r="AH1715" s="30"/>
      <c r="AI1715" s="30"/>
      <c r="AJ1715" s="30"/>
      <c r="AK1715" s="30"/>
      <c r="AL1715" s="13"/>
      <c r="AM1715" s="13"/>
      <c r="AN1715" s="13"/>
      <c r="AO1715" s="13"/>
      <c r="AP1715" s="13"/>
      <c r="AQ1715" s="14"/>
      <c r="AR1715" s="15"/>
    </row>
    <row r="1716" spans="1:44" s="17" customFormat="1" ht="30.95" hidden="1" customHeight="1" x14ac:dyDescent="0.2">
      <c r="A1716" s="320" t="s">
        <v>2985</v>
      </c>
      <c r="B1716" s="321" t="s">
        <v>2986</v>
      </c>
      <c r="C1716" s="345"/>
      <c r="D1716" s="398">
        <v>3762734</v>
      </c>
      <c r="E1716" s="31">
        <v>4151729</v>
      </c>
      <c r="F1716" s="268" t="str">
        <f>IF(D1716="","",VLOOKUP(D1716,契約台帳!$A$3:$K$4986,6,FALSE)&amp;VLOOKUP(D1716,契約台帳!$A$3:$K$4986,7,FALSE)&amp;VLOOKUP(D1716,契約台帳!$A$3:$K$4986,8,FALSE)&amp;VLOOKUP(D1716,契約台帳!$A$3:$K$4986,9,FALSE)&amp;VLOOKUP(D1716,契約台帳!$A$3:$K$4986,11,FALSE))</f>
        <v>3SNMLBMNNGKBF</v>
      </c>
      <c r="G1716" s="269" t="str">
        <f>IF(D1716="","",VLOOKUP(F1716,製品マスタ!$G$5:$H$5002,2,FALSE))</f>
        <v>S</v>
      </c>
      <c r="H1716" s="269" t="str">
        <f>IF(D1716="","",VLOOKUP(F1716,製品マスタ!$G$5:$K$5002,5,FALSE))</f>
        <v>MNNGKBF</v>
      </c>
      <c r="I1716" s="270" t="str">
        <f>IF(D1716="","",VLOOKUP(F1716,製品マスタ!$G$5:$L$5002,6,FALSE))</f>
        <v>メタルミー　ニューネーマー銀消　Ｂ</v>
      </c>
      <c r="J1716" s="32" t="s">
        <v>447</v>
      </c>
      <c r="K1716" s="270">
        <f>IF(D1716="","",VLOOKUP(D1716,契約台帳!$A$3:$L$4986,12,FALSE))</f>
        <v>50</v>
      </c>
      <c r="L1716" s="270" t="str">
        <f>IF(D1716="","",INDEX(製品マスタ!$Q$5:$Q$5002,MATCH(F1716&amp;K1716,製品マスタ!$AO$5:$AO$5002,0)))</f>
        <v>X44</v>
      </c>
      <c r="M1716" s="39">
        <v>1000</v>
      </c>
      <c r="N1716" s="39">
        <v>12000</v>
      </c>
      <c r="O1716" s="47">
        <v>6</v>
      </c>
      <c r="P1716" s="57"/>
      <c r="Q1716" s="276">
        <f>IF(D1716="","",IF(J1716="リード付け",M1716,VLOOKUP(D1716,契約台帳!$A$3:$N$4986,14,FALSE)))</f>
        <v>1000</v>
      </c>
      <c r="R1716" s="277">
        <f>IF(D1716="","",IF(J1716="リード付け",M1716,VLOOKUP(D1716,契約台帳!$A$3:$O$4986,15,FALSE)))</f>
        <v>1000</v>
      </c>
      <c r="S1716" s="277">
        <f>IF(D1716="","",IF(J1716="リード付け",N1716,VLOOKUP(D1716,契約台帳!$A$3:$P$4986,16,FALSE)))</f>
        <v>4000</v>
      </c>
      <c r="T1716" s="40">
        <v>18</v>
      </c>
      <c r="U1716" s="278" t="str">
        <f ca="1">IF(D1716="","",IF(OFFSET(D1716,-2,0)=D1716,"",VLOOKUP(D1716,契約台帳!$A$3:$R$4986,18,FALSE)))</f>
        <v/>
      </c>
      <c r="V1716" s="269" t="str">
        <f>IF(J1716="巻返し",VLOOKUP(F1716&amp;K1716&amp;M1716,製品マスタ!$M$5:$AD$5002,18,FALSE),IF(J1716="リード付け","原反コア",IF(J1716="スリット",VLOOKUP(F1716&amp;K1716&amp;Q1716,製品マスタ!$N$5:$AD$5002,17,FALSE),"")))</f>
        <v>6ｲﾝﾁSｺｱ</v>
      </c>
      <c r="W1716" s="269">
        <f>IF(J1716="巻返し",VLOOKUP(F1716&amp;K1716&amp;M1716,製品マスタ!$M$5:$AE$5002,19,FALSE),IF(J1716="リード付け","-",IF(J1716="スリット",VLOOKUP(F1716&amp;K1716&amp;Q1716,製品マスタ!$N$5:$AE$5002,18,FALSE),"")))</f>
        <v>1005</v>
      </c>
      <c r="X1716" s="275">
        <f>IF(D1716="","",VLOOKUP(D1716,契約台帳!$A$3:$Q$4986,17,FALSE))</f>
        <v>2</v>
      </c>
      <c r="Y1716" s="269" t="str">
        <f>IF(D1716="","",VLOOKUP(D1716,契約台帳!$A$3:$E$4986,5,FALSE))</f>
        <v>リンテック㈱</v>
      </c>
      <c r="Z1716" s="357">
        <v>45495</v>
      </c>
      <c r="AA1716" s="207"/>
      <c r="AB1716" s="369"/>
      <c r="AC1716" s="370"/>
      <c r="AD1716" s="332" t="str">
        <f>IF(F1716="","",+F1716&amp;K1716)</f>
        <v>3SNMLBMNNGKBF50</v>
      </c>
      <c r="AE1716" s="216">
        <f>+M1716*N1716*O1716/1000</f>
        <v>72000</v>
      </c>
      <c r="AF1716" s="43">
        <f>IF(AD1716="","",VLOOKUP(AD1716,原価マスタ!$A$2:$AJ$1693,13,FALSE))</f>
        <v>99</v>
      </c>
      <c r="AG1716" s="47">
        <f>IF(AF1716="","",+AE1716*AF1716/100)</f>
        <v>71280</v>
      </c>
      <c r="AH1716" s="30"/>
      <c r="AI1716" s="30"/>
      <c r="AJ1716" s="30"/>
      <c r="AK1716" s="30"/>
      <c r="AL1716" s="13"/>
      <c r="AM1716" s="13"/>
      <c r="AN1716" s="13"/>
      <c r="AO1716" s="13"/>
      <c r="AP1716" s="13"/>
      <c r="AQ1716" s="14"/>
      <c r="AR1716" s="15"/>
    </row>
    <row r="1717" spans="1:44" s="17" customFormat="1" ht="30.95" hidden="1" customHeight="1" x14ac:dyDescent="0.2">
      <c r="A1717" s="343"/>
      <c r="B1717" s="344"/>
      <c r="C1717" s="345"/>
      <c r="D1717" s="398"/>
      <c r="E1717" s="31"/>
      <c r="F1717" s="268"/>
      <c r="G1717" s="269"/>
      <c r="H1717" s="269"/>
      <c r="I1717" s="270"/>
      <c r="J1717" s="32"/>
      <c r="K1717" s="270"/>
      <c r="L1717" s="270"/>
      <c r="M1717" s="39"/>
      <c r="N1717" s="39"/>
      <c r="O1717" s="47"/>
      <c r="P1717" s="57"/>
      <c r="Q1717" s="276"/>
      <c r="R1717" s="277"/>
      <c r="S1717" s="277"/>
      <c r="T1717" s="40"/>
      <c r="U1717" s="278"/>
      <c r="V1717" s="269"/>
      <c r="W1717" s="269"/>
      <c r="X1717" s="275"/>
      <c r="Y1717" s="269"/>
      <c r="Z1717" s="357"/>
      <c r="AA1717" s="207"/>
      <c r="AB1717" s="369"/>
      <c r="AC1717" s="370"/>
      <c r="AD1717" s="332"/>
      <c r="AE1717" s="216"/>
      <c r="AF1717" s="43"/>
      <c r="AG1717" s="47"/>
      <c r="AH1717" s="30"/>
      <c r="AI1717" s="30"/>
      <c r="AJ1717" s="30"/>
      <c r="AK1717" s="30"/>
      <c r="AL1717" s="13"/>
      <c r="AM1717" s="13"/>
      <c r="AN1717" s="13"/>
      <c r="AO1717" s="13"/>
      <c r="AP1717" s="13"/>
      <c r="AQ1717" s="14"/>
      <c r="AR1717" s="15"/>
    </row>
    <row r="1718" spans="1:44" s="17" customFormat="1" ht="30.95" hidden="1" customHeight="1" x14ac:dyDescent="0.2">
      <c r="A1718" s="320" t="s">
        <v>2987</v>
      </c>
      <c r="B1718" s="321" t="s">
        <v>2988</v>
      </c>
      <c r="C1718" s="345"/>
      <c r="D1718" s="398">
        <v>3762737</v>
      </c>
      <c r="E1718" s="31">
        <v>4151740</v>
      </c>
      <c r="F1718" s="268" t="str">
        <f>IF(D1718="","",VLOOKUP(D1718,契約台帳!$A$3:$K$4986,6,FALSE)&amp;VLOOKUP(D1718,契約台帳!$A$3:$K$4986,7,FALSE)&amp;VLOOKUP(D1718,契約台帳!$A$3:$K$4986,8,FALSE)&amp;VLOOKUP(D1718,契約台帳!$A$3:$K$4986,9,FALSE)&amp;VLOOKUP(D1718,契約台帳!$A$3:$K$4986,11,FALSE))</f>
        <v>3SNMLBMNQR66F</v>
      </c>
      <c r="G1718" s="269" t="str">
        <f>IF(D1718="","",VLOOKUP(F1718,製品マスタ!$G$5:$H$5002,2,FALSE))</f>
        <v>S</v>
      </c>
      <c r="H1718" s="269" t="str">
        <f>IF(D1718="","",VLOOKUP(F1718,製品マスタ!$G$5:$K$5002,5,FALSE))</f>
        <v>MNQR66F</v>
      </c>
      <c r="I1718" s="270" t="str">
        <f>IF(D1718="","",VLOOKUP(F1718,製品マスタ!$G$5:$L$5002,6,FALSE))</f>
        <v>ＱＲ６６蒸着品</v>
      </c>
      <c r="J1718" s="32" t="s">
        <v>447</v>
      </c>
      <c r="K1718" s="270">
        <f>IF(D1718="","",VLOOKUP(D1718,契約台帳!$A$3:$L$4986,12,FALSE))</f>
        <v>25</v>
      </c>
      <c r="L1718" s="270" t="str">
        <f>IF(D1718="","",INDEX(製品マスタ!$Q$5:$Q$5002,MATCH(F1718&amp;K1718,製品マスタ!$AO$5:$AO$5002,0)))</f>
        <v>E315</v>
      </c>
      <c r="M1718" s="39">
        <v>1000</v>
      </c>
      <c r="N1718" s="39">
        <v>18000</v>
      </c>
      <c r="O1718" s="47">
        <v>5</v>
      </c>
      <c r="P1718" s="57"/>
      <c r="Q1718" s="276">
        <f>IF(D1718="","",IF(J1718="リード付け",M1718,VLOOKUP(D1718,契約台帳!$A$3:$N$4986,14,FALSE)))</f>
        <v>1000</v>
      </c>
      <c r="R1718" s="277">
        <f>IF(D1718="","",IF(J1718="リード付け",M1718,VLOOKUP(D1718,契約台帳!$A$3:$O$4986,15,FALSE)))</f>
        <v>1000</v>
      </c>
      <c r="S1718" s="277">
        <f>IF(D1718="","",IF(J1718="リード付け",N1718,VLOOKUP(D1718,契約台帳!$A$3:$P$4986,16,FALSE)))</f>
        <v>6000</v>
      </c>
      <c r="T1718" s="40">
        <v>15</v>
      </c>
      <c r="U1718" s="278">
        <f ca="1">IF(D1718="","",IF(OFFSET(D1718,-2,0)=D1718,"",VLOOKUP(D1718,契約台帳!$A$3:$R$4986,18,FALSE)))</f>
        <v>15</v>
      </c>
      <c r="V1718" s="269" t="str">
        <f>IF(J1718="巻返し",VLOOKUP(F1718&amp;K1718&amp;M1718,製品マスタ!$M$5:$AD$5002,18,FALSE),IF(J1718="リード付け","原反コア",IF(J1718="スリット",VLOOKUP(F1718&amp;K1718&amp;Q1718,製品マスタ!$N$5:$AD$5002,17,FALSE),"")))</f>
        <v>6ｲﾝﾁMｺｱ</v>
      </c>
      <c r="W1718" s="269">
        <f>IF(J1718="巻返し",VLOOKUP(F1718&amp;K1718&amp;M1718,製品マスタ!$M$5:$AE$5002,19,FALSE),IF(J1718="リード付け","-",IF(J1718="スリット",VLOOKUP(F1718&amp;K1718&amp;Q1718,製品マスタ!$N$5:$AE$5002,18,FALSE),"")))</f>
        <v>1010</v>
      </c>
      <c r="X1718" s="275">
        <f>IF(D1718="","",VLOOKUP(D1718,契約台帳!$A$3:$Q$4986,17,FALSE))</f>
        <v>2</v>
      </c>
      <c r="Y1718" s="269" t="str">
        <f>IF(D1718="","",VLOOKUP(D1718,契約台帳!$A$3:$E$4986,5,FALSE))</f>
        <v>リンテック㈱</v>
      </c>
      <c r="Z1718" s="357">
        <v>45496</v>
      </c>
      <c r="AA1718" s="207"/>
      <c r="AB1718" s="369"/>
      <c r="AC1718" s="370"/>
      <c r="AD1718" s="332" t="str">
        <f>IF(F1718="","",+F1718&amp;K1718)</f>
        <v>3SNMLBMNQR66F25</v>
      </c>
      <c r="AE1718" s="216">
        <f>+M1718*N1718*O1718/1000</f>
        <v>90000</v>
      </c>
      <c r="AF1718" s="43">
        <f>IF(AD1718="","",VLOOKUP(AD1718,原価マスタ!$A$2:$AJ$1693,13,FALSE))</f>
        <v>98</v>
      </c>
      <c r="AG1718" s="47">
        <f>IF(AF1718="","",+AE1718*AF1718/100)</f>
        <v>88200</v>
      </c>
      <c r="AH1718" s="30"/>
      <c r="AI1718" s="30"/>
      <c r="AJ1718" s="30"/>
      <c r="AK1718" s="30"/>
      <c r="AL1718" s="13"/>
      <c r="AM1718" s="13"/>
      <c r="AN1718" s="13"/>
      <c r="AO1718" s="13"/>
      <c r="AP1718" s="13"/>
      <c r="AQ1718" s="14"/>
      <c r="AR1718" s="15"/>
    </row>
    <row r="1719" spans="1:44" s="17" customFormat="1" ht="30.95" hidden="1" customHeight="1" x14ac:dyDescent="0.2">
      <c r="A1719" s="343"/>
      <c r="B1719" s="344"/>
      <c r="C1719" s="345"/>
      <c r="D1719" s="398"/>
      <c r="E1719" s="31"/>
      <c r="F1719" s="268"/>
      <c r="G1719" s="269"/>
      <c r="H1719" s="269"/>
      <c r="I1719" s="270"/>
      <c r="J1719" s="32"/>
      <c r="K1719" s="270"/>
      <c r="L1719" s="270"/>
      <c r="M1719" s="39"/>
      <c r="N1719" s="39"/>
      <c r="O1719" s="47"/>
      <c r="P1719" s="57"/>
      <c r="Q1719" s="276"/>
      <c r="R1719" s="277"/>
      <c r="S1719" s="277"/>
      <c r="T1719" s="40"/>
      <c r="U1719" s="278"/>
      <c r="V1719" s="269"/>
      <c r="W1719" s="269"/>
      <c r="X1719" s="275"/>
      <c r="Y1719" s="269"/>
      <c r="Z1719" s="357"/>
      <c r="AA1719" s="207"/>
      <c r="AB1719" s="369"/>
      <c r="AC1719" s="370"/>
      <c r="AD1719" s="332"/>
      <c r="AE1719" s="216"/>
      <c r="AF1719" s="43"/>
      <c r="AG1719" s="47"/>
      <c r="AH1719" s="30"/>
      <c r="AI1719" s="30"/>
      <c r="AJ1719" s="30"/>
      <c r="AK1719" s="30"/>
      <c r="AL1719" s="13"/>
      <c r="AM1719" s="13"/>
      <c r="AN1719" s="13"/>
      <c r="AO1719" s="13"/>
      <c r="AP1719" s="13"/>
      <c r="AQ1719" s="14"/>
      <c r="AR1719" s="15"/>
    </row>
    <row r="1720" spans="1:44" s="17" customFormat="1" ht="30.95" hidden="1" customHeight="1" x14ac:dyDescent="0.2">
      <c r="A1720" s="320" t="s">
        <v>2989</v>
      </c>
      <c r="B1720" s="321" t="s">
        <v>2990</v>
      </c>
      <c r="C1720" s="345"/>
      <c r="D1720" s="398">
        <v>3762730</v>
      </c>
      <c r="E1720" s="31">
        <v>4151724</v>
      </c>
      <c r="F1720" s="268" t="str">
        <f>IF(D1720="","",VLOOKUP(D1720,契約台帳!$A$3:$K$4986,6,FALSE)&amp;VLOOKUP(D1720,契約台帳!$A$3:$K$4986,7,FALSE)&amp;VLOOKUP(D1720,契約台帳!$A$3:$K$4986,8,FALSE)&amp;VLOOKUP(D1720,契約台帳!$A$3:$K$4986,9,FALSE)&amp;VLOOKUP(D1720,契約台帳!$A$3:$K$4986,11,FALSE))</f>
        <v>3SNMLBMNGKBF</v>
      </c>
      <c r="G1720" s="269" t="str">
        <f>IF(D1720="","",VLOOKUP(F1720,製品マスタ!$G$5:$H$5002,2,FALSE))</f>
        <v>S</v>
      </c>
      <c r="H1720" s="269" t="str">
        <f>IF(D1720="","",VLOOKUP(F1720,製品マスタ!$G$5:$K$5002,5,FALSE))</f>
        <v>MNGKBF</v>
      </c>
      <c r="I1720" s="270" t="str">
        <f>IF(D1720="","",VLOOKUP(F1720,製品マスタ!$G$5:$L$5002,6,FALSE))</f>
        <v>メタルミー　ネーマー銀消　Ｂ</v>
      </c>
      <c r="J1720" s="32" t="s">
        <v>447</v>
      </c>
      <c r="K1720" s="270">
        <f>IF(D1720="","",VLOOKUP(D1720,契約台帳!$A$3:$L$4986,12,FALSE))</f>
        <v>75</v>
      </c>
      <c r="L1720" s="270" t="str">
        <f>IF(D1720="","",INDEX(製品マスタ!$Q$5:$Q$5002,MATCH(F1720&amp;K1720,製品マスタ!$AO$5:$AO$5002,0)))</f>
        <v>MAT</v>
      </c>
      <c r="M1720" s="39">
        <v>1050</v>
      </c>
      <c r="N1720" s="39">
        <v>4000</v>
      </c>
      <c r="O1720" s="47">
        <v>1</v>
      </c>
      <c r="P1720" s="57"/>
      <c r="Q1720" s="276">
        <f>IF(D1720="","",IF(J1720="リード付け",M1720,VLOOKUP(D1720,契約台帳!$A$3:$N$4986,14,FALSE)))</f>
        <v>1050</v>
      </c>
      <c r="R1720" s="277">
        <f>IF(D1720="","",IF(J1720="リード付け",M1720,VLOOKUP(D1720,契約台帳!$A$3:$O$4986,15,FALSE)))</f>
        <v>1050</v>
      </c>
      <c r="S1720" s="277">
        <f>IF(D1720="","",IF(J1720="リード付け",N1720,VLOOKUP(D1720,契約台帳!$A$3:$P$4986,16,FALSE)))</f>
        <v>2000</v>
      </c>
      <c r="T1720" s="40">
        <v>2</v>
      </c>
      <c r="U1720" s="278">
        <f ca="1">IF(D1720="","",IF(OFFSET(D1720,-2,0)=D1720,"",VLOOKUP(D1720,契約台帳!$A$3:$R$4986,18,FALSE)))</f>
        <v>2</v>
      </c>
      <c r="V1720" s="269" t="str">
        <f>IF(J1720="巻返し",VLOOKUP(F1720&amp;K1720&amp;M1720,製品マスタ!$M$5:$AD$5002,18,FALSE),IF(J1720="リード付け","原反コア",IF(J1720="スリット",VLOOKUP(F1720&amp;K1720&amp;Q1720,製品マスタ!$N$5:$AD$5002,17,FALSE),"")))</f>
        <v>6ｲﾝﾁSｺｱ</v>
      </c>
      <c r="W1720" s="269">
        <f>IF(J1720="巻返し",VLOOKUP(F1720&amp;K1720&amp;M1720,製品マスタ!$M$5:$AE$5002,19,FALSE),IF(J1720="リード付け","-",IF(J1720="スリット",VLOOKUP(F1720&amp;K1720&amp;Q1720,製品マスタ!$N$5:$AE$5002,18,FALSE),"")))</f>
        <v>1055</v>
      </c>
      <c r="X1720" s="275">
        <f>IF(D1720="","",VLOOKUP(D1720,契約台帳!$A$3:$Q$4986,17,FALSE))</f>
        <v>2</v>
      </c>
      <c r="Y1720" s="269" t="str">
        <f>IF(D1720="","",VLOOKUP(D1720,契約台帳!$A$3:$E$4986,5,FALSE))</f>
        <v>リンテック㈱</v>
      </c>
      <c r="Z1720" s="357">
        <v>45497</v>
      </c>
      <c r="AA1720" s="207"/>
      <c r="AB1720" s="369"/>
      <c r="AC1720" s="370"/>
      <c r="AD1720" s="332" t="str">
        <f>IF(F1720="","",+F1720&amp;K1720)</f>
        <v>3SNMLBMNGKBF75</v>
      </c>
      <c r="AE1720" s="216">
        <f>+M1720*N1720*O1720/1000</f>
        <v>4200</v>
      </c>
      <c r="AF1720" s="43">
        <f>IF(AD1720="","",VLOOKUP(AD1720,原価マスタ!$A$2:$AJ$1693,13,FALSE))</f>
        <v>97</v>
      </c>
      <c r="AG1720" s="47">
        <f>IF(AF1720="","",+AE1720*AF1720/100)</f>
        <v>4074</v>
      </c>
      <c r="AH1720" s="30"/>
      <c r="AI1720" s="30"/>
      <c r="AJ1720" s="30"/>
      <c r="AK1720" s="30"/>
      <c r="AL1720" s="13"/>
      <c r="AM1720" s="13"/>
      <c r="AN1720" s="13"/>
      <c r="AO1720" s="13"/>
      <c r="AP1720" s="13"/>
      <c r="AQ1720" s="14"/>
      <c r="AR1720" s="15"/>
    </row>
    <row r="1721" spans="1:44" s="17" customFormat="1" ht="30.95" hidden="1" customHeight="1" x14ac:dyDescent="0.2">
      <c r="A1721" s="343"/>
      <c r="B1721" s="344"/>
      <c r="C1721" s="345"/>
      <c r="D1721" s="398"/>
      <c r="E1721" s="31"/>
      <c r="F1721" s="268"/>
      <c r="G1721" s="269"/>
      <c r="H1721" s="269"/>
      <c r="I1721" s="270"/>
      <c r="J1721" s="32"/>
      <c r="K1721" s="270"/>
      <c r="L1721" s="270"/>
      <c r="M1721" s="39"/>
      <c r="N1721" s="39"/>
      <c r="O1721" s="47"/>
      <c r="P1721" s="57"/>
      <c r="Q1721" s="276"/>
      <c r="R1721" s="277"/>
      <c r="S1721" s="277"/>
      <c r="T1721" s="40"/>
      <c r="U1721" s="278"/>
      <c r="V1721" s="269"/>
      <c r="W1721" s="269"/>
      <c r="X1721" s="275"/>
      <c r="Y1721" s="269"/>
      <c r="Z1721" s="357"/>
      <c r="AA1721" s="207"/>
      <c r="AB1721" s="369"/>
      <c r="AC1721" s="370"/>
      <c r="AD1721" s="332"/>
      <c r="AE1721" s="216"/>
      <c r="AF1721" s="43"/>
      <c r="AG1721" s="47"/>
      <c r="AH1721" s="30"/>
      <c r="AI1721" s="30"/>
      <c r="AJ1721" s="30"/>
      <c r="AK1721" s="30"/>
      <c r="AL1721" s="13"/>
      <c r="AM1721" s="13"/>
      <c r="AN1721" s="13"/>
      <c r="AO1721" s="13"/>
      <c r="AP1721" s="13"/>
      <c r="AQ1721" s="14"/>
      <c r="AR1721" s="15"/>
    </row>
    <row r="1722" spans="1:44" s="17" customFormat="1" ht="30.95" hidden="1" customHeight="1" x14ac:dyDescent="0.2">
      <c r="A1722" s="320"/>
      <c r="B1722" s="321"/>
      <c r="C1722" s="345"/>
      <c r="D1722" s="398">
        <v>3762729</v>
      </c>
      <c r="E1722" s="31">
        <v>4151723</v>
      </c>
      <c r="F1722" s="268" t="str">
        <f>IF(D1722="","",VLOOKUP(D1722,契約台帳!$A$3:$K$4986,6,FALSE)&amp;VLOOKUP(D1722,契約台帳!$A$3:$K$4986,7,FALSE)&amp;VLOOKUP(D1722,契約台帳!$A$3:$K$4986,8,FALSE)&amp;VLOOKUP(D1722,契約台帳!$A$3:$K$4986,9,FALSE)&amp;VLOOKUP(D1722,契約台帳!$A$3:$K$4986,11,FALSE))</f>
        <v>3SNMLBMNGKBF</v>
      </c>
      <c r="G1722" s="269" t="str">
        <f>IF(D1722="","",VLOOKUP(F1722,製品マスタ!$G$5:$H$5002,2,FALSE))</f>
        <v>S</v>
      </c>
      <c r="H1722" s="269" t="str">
        <f>IF(D1722="","",VLOOKUP(F1722,製品マスタ!$G$5:$K$5002,5,FALSE))</f>
        <v>MNGKBF</v>
      </c>
      <c r="I1722" s="270" t="str">
        <f>IF(D1722="","",VLOOKUP(F1722,製品マスタ!$G$5:$L$5002,6,FALSE))</f>
        <v>メタルミー　ネーマー銀消　Ｂ</v>
      </c>
      <c r="J1722" s="32" t="s">
        <v>447</v>
      </c>
      <c r="K1722" s="270">
        <f>IF(D1722="","",VLOOKUP(D1722,契約台帳!$A$3:$L$4986,12,FALSE))</f>
        <v>38</v>
      </c>
      <c r="L1722" s="270" t="str">
        <f>IF(D1722="","",INDEX(製品マスタ!$Q$5:$Q$5002,MATCH(F1722&amp;K1722,製品マスタ!$AO$5:$AO$5002,0)))</f>
        <v>LUMIMAT</v>
      </c>
      <c r="M1722" s="39">
        <v>1005</v>
      </c>
      <c r="N1722" s="39">
        <v>8200</v>
      </c>
      <c r="O1722" s="47">
        <v>1</v>
      </c>
      <c r="P1722" s="57"/>
      <c r="Q1722" s="276">
        <f>IF(D1722="","",IF(J1722="リード付け",M1722,VLOOKUP(D1722,契約台帳!$A$3:$N$4986,14,FALSE)))</f>
        <v>1005</v>
      </c>
      <c r="R1722" s="277">
        <f>IF(D1722="","",IF(J1722="リード付け",M1722,VLOOKUP(D1722,契約台帳!$A$3:$O$4986,15,FALSE)))</f>
        <v>1000</v>
      </c>
      <c r="S1722" s="277">
        <f>IF(D1722="","",IF(J1722="リード付け",N1722,VLOOKUP(D1722,契約台帳!$A$3:$P$4986,16,FALSE)))</f>
        <v>4100</v>
      </c>
      <c r="T1722" s="40">
        <v>2</v>
      </c>
      <c r="U1722" s="278">
        <f ca="1">IF(D1722="","",IF(OFFSET(D1722,-2,0)=D1722,"",VLOOKUP(D1722,契約台帳!$A$3:$R$4986,18,FALSE)))</f>
        <v>2</v>
      </c>
      <c r="V1722" s="269" t="str">
        <f>IF(J1722="巻返し",VLOOKUP(F1722&amp;K1722&amp;M1722,製品マスタ!$M$5:$AD$5002,18,FALSE),IF(J1722="リード付け","原反コア",IF(J1722="スリット",VLOOKUP(F1722&amp;K1722&amp;Q1722,製品マスタ!$N$5:$AD$5002,17,FALSE),"")))</f>
        <v>6ｲﾝﾁSｺｱ</v>
      </c>
      <c r="W1722" s="269">
        <f>IF(J1722="巻返し",VLOOKUP(F1722&amp;K1722&amp;M1722,製品マスタ!$M$5:$AE$5002,19,FALSE),IF(J1722="リード付け","-",IF(J1722="スリット",VLOOKUP(F1722&amp;K1722&amp;Q1722,製品マスタ!$N$5:$AE$5002,18,FALSE),"")))</f>
        <v>1015</v>
      </c>
      <c r="X1722" s="275">
        <f>IF(D1722="","",VLOOKUP(D1722,契約台帳!$A$3:$Q$4986,17,FALSE))</f>
        <v>2</v>
      </c>
      <c r="Y1722" s="269" t="str">
        <f>IF(D1722="","",VLOOKUP(D1722,契約台帳!$A$3:$E$4986,5,FALSE))</f>
        <v>リンテック㈱</v>
      </c>
      <c r="Z1722" s="357">
        <v>45497</v>
      </c>
      <c r="AA1722" s="207"/>
      <c r="AB1722" s="369"/>
      <c r="AC1722" s="370"/>
      <c r="AD1722" s="332" t="str">
        <f>IF(F1722="","",+F1722&amp;K1722)</f>
        <v>3SNMLBMNGKBF38</v>
      </c>
      <c r="AE1722" s="216">
        <f>+M1722*N1722*O1722/1000</f>
        <v>8241</v>
      </c>
      <c r="AF1722" s="43">
        <f>IF(AD1722="","",VLOOKUP(AD1722,原価マスタ!$A$2:$AJ$1693,13,FALSE))</f>
        <v>97.2</v>
      </c>
      <c r="AG1722" s="47">
        <f>IF(AF1722="","",+AE1722*AF1722/100)</f>
        <v>8010.2520000000004</v>
      </c>
      <c r="AH1722" s="30"/>
      <c r="AI1722" s="30"/>
      <c r="AJ1722" s="30"/>
      <c r="AK1722" s="30"/>
      <c r="AL1722" s="13"/>
      <c r="AM1722" s="13"/>
      <c r="AN1722" s="13"/>
      <c r="AO1722" s="13"/>
      <c r="AP1722" s="13"/>
      <c r="AQ1722" s="14"/>
      <c r="AR1722" s="15"/>
    </row>
    <row r="1723" spans="1:44" s="17" customFormat="1" ht="30.95" hidden="1" customHeight="1" x14ac:dyDescent="0.2">
      <c r="A1723" s="343"/>
      <c r="B1723" s="344"/>
      <c r="C1723" s="345"/>
      <c r="D1723" s="398"/>
      <c r="E1723" s="31"/>
      <c r="F1723" s="268"/>
      <c r="G1723" s="269"/>
      <c r="H1723" s="269"/>
      <c r="I1723" s="270"/>
      <c r="J1723" s="32"/>
      <c r="K1723" s="270"/>
      <c r="L1723" s="270"/>
      <c r="M1723" s="39"/>
      <c r="N1723" s="39"/>
      <c r="O1723" s="47"/>
      <c r="P1723" s="57"/>
      <c r="Q1723" s="276"/>
      <c r="R1723" s="277"/>
      <c r="S1723" s="277"/>
      <c r="T1723" s="40"/>
      <c r="U1723" s="278"/>
      <c r="V1723" s="269"/>
      <c r="W1723" s="269"/>
      <c r="X1723" s="275"/>
      <c r="Y1723" s="269"/>
      <c r="Z1723" s="357"/>
      <c r="AA1723" s="207"/>
      <c r="AB1723" s="369"/>
      <c r="AC1723" s="370"/>
      <c r="AD1723" s="332"/>
      <c r="AE1723" s="216"/>
      <c r="AF1723" s="43"/>
      <c r="AG1723" s="47"/>
      <c r="AH1723" s="30"/>
      <c r="AI1723" s="30"/>
      <c r="AJ1723" s="30"/>
      <c r="AK1723" s="30"/>
      <c r="AL1723" s="13"/>
      <c r="AM1723" s="13"/>
      <c r="AN1723" s="13"/>
      <c r="AO1723" s="13"/>
      <c r="AP1723" s="13"/>
      <c r="AQ1723" s="14"/>
      <c r="AR1723" s="15"/>
    </row>
    <row r="1724" spans="1:44" s="17" customFormat="1" ht="30.95" hidden="1" customHeight="1" x14ac:dyDescent="0.2">
      <c r="A1724" s="320"/>
      <c r="B1724" s="321"/>
      <c r="C1724" s="345"/>
      <c r="D1724" s="398">
        <v>3762727</v>
      </c>
      <c r="E1724" s="31">
        <v>4151725</v>
      </c>
      <c r="F1724" s="268" t="str">
        <f>IF(D1724="","",VLOOKUP(D1724,契約台帳!$A$3:$K$4986,6,FALSE)&amp;VLOOKUP(D1724,契約台帳!$A$3:$K$4986,7,FALSE)&amp;VLOOKUP(D1724,契約台帳!$A$3:$K$4986,8,FALSE)&amp;VLOOKUP(D1724,契約台帳!$A$3:$K$4986,9,FALSE)&amp;VLOOKUP(D1724,契約台帳!$A$3:$K$4986,11,FALSE))</f>
        <v>3SNMLBMNGKKBF</v>
      </c>
      <c r="G1724" s="269" t="str">
        <f>IF(D1724="","",VLOOKUP(F1724,製品マスタ!$G$5:$H$5002,2,FALSE))</f>
        <v>S</v>
      </c>
      <c r="H1724" s="269" t="str">
        <f>IF(D1724="","",VLOOKUP(F1724,製品マスタ!$G$5:$K$5002,5,FALSE))</f>
        <v>MNGKKBF</v>
      </c>
      <c r="I1724" s="270" t="str">
        <f>IF(D1724="","",VLOOKUP(F1724,製品マスタ!$G$5:$L$5002,6,FALSE))</f>
        <v>メタルミー　ネーマー銀消改　Ｂ</v>
      </c>
      <c r="J1724" s="32" t="s">
        <v>447</v>
      </c>
      <c r="K1724" s="270">
        <f>IF(D1724="","",VLOOKUP(D1724,契約台帳!$A$3:$L$4986,12,FALSE))</f>
        <v>25</v>
      </c>
      <c r="L1724" s="270" t="str">
        <f>IF(D1724="","",INDEX(製品マスタ!$Q$5:$Q$5002,MATCH(F1724&amp;K1724,製品マスタ!$AO$5:$AO$5002,0)))</f>
        <v>FMATS99</v>
      </c>
      <c r="M1724" s="39">
        <v>1120</v>
      </c>
      <c r="N1724" s="39">
        <v>12000</v>
      </c>
      <c r="O1724" s="47">
        <v>2</v>
      </c>
      <c r="P1724" s="57"/>
      <c r="Q1724" s="276">
        <f>IF(D1724="","",IF(J1724="リード付け",M1724,VLOOKUP(D1724,契約台帳!$A$3:$N$4986,14,FALSE)))</f>
        <v>1120</v>
      </c>
      <c r="R1724" s="277">
        <f>IF(D1724="","",IF(J1724="リード付け",M1724,VLOOKUP(D1724,契約台帳!$A$3:$O$4986,15,FALSE)))</f>
        <v>1120</v>
      </c>
      <c r="S1724" s="277">
        <f>IF(D1724="","",IF(J1724="リード付け",N1724,VLOOKUP(D1724,契約台帳!$A$3:$P$4986,16,FALSE)))</f>
        <v>4000</v>
      </c>
      <c r="T1724" s="40">
        <v>6</v>
      </c>
      <c r="U1724" s="278">
        <f ca="1">IF(D1724="","",IF(OFFSET(D1724,-2,0)=D1724,"",VLOOKUP(D1724,契約台帳!$A$3:$R$4986,18,FALSE)))</f>
        <v>6</v>
      </c>
      <c r="V1724" s="269" t="str">
        <f>IF(J1724="巻返し",VLOOKUP(F1724&amp;K1724&amp;M1724,製品マスタ!$M$5:$AD$5002,18,FALSE),IF(J1724="リード付け","原反コア",IF(J1724="スリット",VLOOKUP(F1724&amp;K1724&amp;Q1724,製品マスタ!$N$5:$AD$5002,17,FALSE),"")))</f>
        <v>6ｲﾝﾁSｺｱ</v>
      </c>
      <c r="W1724" s="269">
        <f>IF(J1724="巻返し",VLOOKUP(F1724&amp;K1724&amp;M1724,製品マスタ!$M$5:$AE$5002,19,FALSE),IF(J1724="リード付け","-",IF(J1724="スリット",VLOOKUP(F1724&amp;K1724&amp;Q1724,製品マスタ!$N$5:$AE$5002,18,FALSE),"")))</f>
        <v>1125</v>
      </c>
      <c r="X1724" s="275">
        <f>IF(D1724="","",VLOOKUP(D1724,契約台帳!$A$3:$Q$4986,17,FALSE))</f>
        <v>2</v>
      </c>
      <c r="Y1724" s="269" t="str">
        <f>IF(D1724="","",VLOOKUP(D1724,契約台帳!$A$3:$E$4986,5,FALSE))</f>
        <v>リンテック㈱</v>
      </c>
      <c r="Z1724" s="357">
        <v>45497</v>
      </c>
      <c r="AA1724" s="207"/>
      <c r="AB1724" s="369"/>
      <c r="AC1724" s="370"/>
      <c r="AD1724" s="332" t="str">
        <f>IF(F1724="","",+F1724&amp;K1724)</f>
        <v>3SNMLBMNGKKBF25</v>
      </c>
      <c r="AE1724" s="216">
        <f>+M1724*N1724*O1724/1000</f>
        <v>26880</v>
      </c>
      <c r="AF1724" s="43">
        <f>IF(AD1724="","",VLOOKUP(AD1724,原価マスタ!$A$2:$AJ$1693,13,FALSE))</f>
        <v>96</v>
      </c>
      <c r="AG1724" s="47">
        <f>IF(AF1724="","",+AE1724*AF1724/100)</f>
        <v>25804.799999999999</v>
      </c>
      <c r="AH1724" s="30"/>
      <c r="AI1724" s="30"/>
      <c r="AJ1724" s="30"/>
      <c r="AK1724" s="30"/>
      <c r="AL1724" s="13"/>
      <c r="AM1724" s="13"/>
      <c r="AN1724" s="13"/>
      <c r="AO1724" s="13"/>
      <c r="AP1724" s="13"/>
      <c r="AQ1724" s="14"/>
      <c r="AR1724" s="15"/>
    </row>
    <row r="1725" spans="1:44" s="17" customFormat="1" ht="30.95" hidden="1" customHeight="1" x14ac:dyDescent="0.2">
      <c r="A1725" s="343"/>
      <c r="B1725" s="344"/>
      <c r="C1725" s="345"/>
      <c r="D1725" s="398"/>
      <c r="E1725" s="31"/>
      <c r="F1725" s="268"/>
      <c r="G1725" s="269"/>
      <c r="H1725" s="269"/>
      <c r="I1725" s="270"/>
      <c r="J1725" s="32"/>
      <c r="K1725" s="270"/>
      <c r="L1725" s="270"/>
      <c r="M1725" s="39"/>
      <c r="N1725" s="39"/>
      <c r="O1725" s="47"/>
      <c r="P1725" s="57"/>
      <c r="Q1725" s="276"/>
      <c r="R1725" s="277"/>
      <c r="S1725" s="277"/>
      <c r="T1725" s="40"/>
      <c r="U1725" s="278"/>
      <c r="V1725" s="269"/>
      <c r="W1725" s="269"/>
      <c r="X1725" s="275"/>
      <c r="Y1725" s="269"/>
      <c r="Z1725" s="357"/>
      <c r="AA1725" s="207"/>
      <c r="AB1725" s="369"/>
      <c r="AC1725" s="370"/>
      <c r="AD1725" s="332"/>
      <c r="AE1725" s="216"/>
      <c r="AF1725" s="43"/>
      <c r="AG1725" s="47"/>
      <c r="AH1725" s="30"/>
      <c r="AI1725" s="30"/>
      <c r="AJ1725" s="30"/>
      <c r="AK1725" s="30"/>
      <c r="AL1725" s="13"/>
      <c r="AM1725" s="13"/>
      <c r="AN1725" s="13"/>
      <c r="AO1725" s="13"/>
      <c r="AP1725" s="13"/>
      <c r="AQ1725" s="14"/>
      <c r="AR1725" s="15"/>
    </row>
    <row r="1726" spans="1:44" s="17" customFormat="1" ht="30.95" hidden="1" customHeight="1" x14ac:dyDescent="0.2">
      <c r="A1726" s="320"/>
      <c r="B1726" s="321"/>
      <c r="C1726" s="345"/>
      <c r="D1726" s="398">
        <v>3762728</v>
      </c>
      <c r="E1726" s="31">
        <v>4151726</v>
      </c>
      <c r="F1726" s="268" t="str">
        <f>IF(D1726="","",VLOOKUP(D1726,契約台帳!$A$3:$K$4986,6,FALSE)&amp;VLOOKUP(D1726,契約台帳!$A$3:$K$4986,7,FALSE)&amp;VLOOKUP(D1726,契約台帳!$A$3:$K$4986,8,FALSE)&amp;VLOOKUP(D1726,契約台帳!$A$3:$K$4986,9,FALSE)&amp;VLOOKUP(D1726,契約台帳!$A$3:$K$4986,11,FALSE))</f>
        <v>3SNMLBMNGKKBF</v>
      </c>
      <c r="G1726" s="269" t="str">
        <f>IF(D1726="","",VLOOKUP(F1726,製品マスタ!$G$5:$H$5002,2,FALSE))</f>
        <v>S</v>
      </c>
      <c r="H1726" s="269" t="str">
        <f>IF(D1726="","",VLOOKUP(F1726,製品マスタ!$G$5:$K$5002,5,FALSE))</f>
        <v>MNGKKBF</v>
      </c>
      <c r="I1726" s="270" t="str">
        <f>IF(D1726="","",VLOOKUP(F1726,製品マスタ!$G$5:$L$5002,6,FALSE))</f>
        <v>メタルミー　ネーマー銀消改　Ｂ</v>
      </c>
      <c r="J1726" s="32" t="s">
        <v>447</v>
      </c>
      <c r="K1726" s="270">
        <f>IF(D1726="","",VLOOKUP(D1726,契約台帳!$A$3:$L$4986,12,FALSE))</f>
        <v>50</v>
      </c>
      <c r="L1726" s="270" t="str">
        <f>IF(D1726="","",INDEX(製品マスタ!$Q$5:$Q$5002,MATCH(F1726&amp;K1726,製品マスタ!$AO$5:$AO$5002,0)))</f>
        <v>S99-MAT</v>
      </c>
      <c r="M1726" s="39">
        <v>1120</v>
      </c>
      <c r="N1726" s="39">
        <v>12000</v>
      </c>
      <c r="O1726" s="47">
        <v>2</v>
      </c>
      <c r="P1726" s="57"/>
      <c r="Q1726" s="276">
        <f>IF(D1726="","",IF(J1726="リード付け",M1726,VLOOKUP(D1726,契約台帳!$A$3:$N$4986,14,FALSE)))</f>
        <v>1120</v>
      </c>
      <c r="R1726" s="277">
        <f>IF(D1726="","",IF(J1726="リード付け",M1726,VLOOKUP(D1726,契約台帳!$A$3:$O$4986,15,FALSE)))</f>
        <v>1120</v>
      </c>
      <c r="S1726" s="277">
        <f>IF(D1726="","",IF(J1726="リード付け",N1726,VLOOKUP(D1726,契約台帳!$A$3:$P$4986,16,FALSE)))</f>
        <v>4000</v>
      </c>
      <c r="T1726" s="40">
        <v>6</v>
      </c>
      <c r="U1726" s="278">
        <f ca="1">IF(D1726="","",IF(OFFSET(D1726,-2,0)=D1726,"",VLOOKUP(D1726,契約台帳!$A$3:$R$4986,18,FALSE)))</f>
        <v>14</v>
      </c>
      <c r="V1726" s="269" t="str">
        <f>IF(J1726="巻返し",VLOOKUP(F1726&amp;K1726&amp;M1726,製品マスタ!$M$5:$AD$5002,18,FALSE),IF(J1726="リード付け","原反コア",IF(J1726="スリット",VLOOKUP(F1726&amp;K1726&amp;Q1726,製品マスタ!$N$5:$AD$5002,17,FALSE),"")))</f>
        <v>6ｲﾝﾁSｺｱ</v>
      </c>
      <c r="W1726" s="269">
        <f>IF(J1726="巻返し",VLOOKUP(F1726&amp;K1726&amp;M1726,製品マスタ!$M$5:$AE$5002,19,FALSE),IF(J1726="リード付け","-",IF(J1726="スリット",VLOOKUP(F1726&amp;K1726&amp;Q1726,製品マスタ!$N$5:$AE$5002,18,FALSE),"")))</f>
        <v>1125</v>
      </c>
      <c r="X1726" s="275">
        <f>IF(D1726="","",VLOOKUP(D1726,契約台帳!$A$3:$Q$4986,17,FALSE))</f>
        <v>2</v>
      </c>
      <c r="Y1726" s="269" t="str">
        <f>IF(D1726="","",VLOOKUP(D1726,契約台帳!$A$3:$E$4986,5,FALSE))</f>
        <v>リンテック㈱</v>
      </c>
      <c r="Z1726" s="357">
        <v>45497</v>
      </c>
      <c r="AA1726" s="207"/>
      <c r="AB1726" s="369"/>
      <c r="AC1726" s="370"/>
      <c r="AD1726" s="332" t="str">
        <f>IF(F1726="","",+F1726&amp;K1726)</f>
        <v>3SNMLBMNGKKBF50</v>
      </c>
      <c r="AE1726" s="216">
        <f>+M1726*N1726*O1726/1000</f>
        <v>26880</v>
      </c>
      <c r="AF1726" s="43">
        <f>IF(AD1726="","",VLOOKUP(AD1726,原価マスタ!$A$2:$AJ$1693,13,FALSE))</f>
        <v>99</v>
      </c>
      <c r="AG1726" s="47">
        <f>IF(AF1726="","",+AE1726*AF1726/100)</f>
        <v>26611.200000000001</v>
      </c>
      <c r="AH1726" s="30"/>
      <c r="AI1726" s="30"/>
      <c r="AJ1726" s="30"/>
      <c r="AK1726" s="30"/>
      <c r="AL1726" s="13"/>
      <c r="AM1726" s="13"/>
      <c r="AN1726" s="13"/>
      <c r="AO1726" s="13"/>
      <c r="AP1726" s="13"/>
      <c r="AQ1726" s="14"/>
      <c r="AR1726" s="15"/>
    </row>
    <row r="1727" spans="1:44" s="17" customFormat="1" ht="30.95" hidden="1" customHeight="1" x14ac:dyDescent="0.2">
      <c r="A1727" s="343"/>
      <c r="B1727" s="344"/>
      <c r="C1727" s="345"/>
      <c r="D1727" s="398"/>
      <c r="E1727" s="31"/>
      <c r="F1727" s="268"/>
      <c r="G1727" s="269"/>
      <c r="H1727" s="269"/>
      <c r="I1727" s="270"/>
      <c r="J1727" s="32"/>
      <c r="K1727" s="270"/>
      <c r="L1727" s="270"/>
      <c r="M1727" s="39"/>
      <c r="N1727" s="39"/>
      <c r="O1727" s="47"/>
      <c r="P1727" s="57"/>
      <c r="Q1727" s="276"/>
      <c r="R1727" s="277"/>
      <c r="S1727" s="277"/>
      <c r="T1727" s="40"/>
      <c r="U1727" s="278"/>
      <c r="V1727" s="269"/>
      <c r="W1727" s="269"/>
      <c r="X1727" s="275"/>
      <c r="Y1727" s="269"/>
      <c r="Z1727" s="357"/>
      <c r="AA1727" s="207"/>
      <c r="AB1727" s="369"/>
      <c r="AC1727" s="370"/>
      <c r="AD1727" s="332"/>
      <c r="AE1727" s="216"/>
      <c r="AF1727" s="43"/>
      <c r="AG1727" s="47"/>
      <c r="AH1727" s="30"/>
      <c r="AI1727" s="30"/>
      <c r="AJ1727" s="30"/>
      <c r="AK1727" s="30"/>
      <c r="AL1727" s="13"/>
      <c r="AM1727" s="13"/>
      <c r="AN1727" s="13"/>
      <c r="AO1727" s="13"/>
      <c r="AP1727" s="13"/>
      <c r="AQ1727" s="14"/>
      <c r="AR1727" s="15"/>
    </row>
    <row r="1728" spans="1:44" s="17" customFormat="1" ht="30.95" hidden="1" customHeight="1" x14ac:dyDescent="0.2">
      <c r="A1728" s="320" t="s">
        <v>2991</v>
      </c>
      <c r="B1728" s="321" t="s">
        <v>2992</v>
      </c>
      <c r="C1728" s="345"/>
      <c r="D1728" s="398">
        <v>3762745</v>
      </c>
      <c r="E1728" s="31">
        <v>4151742</v>
      </c>
      <c r="F1728" s="268" t="str">
        <f>IF(D1728="","",VLOOKUP(D1728,契約台帳!$A$3:$K$4986,6,FALSE)&amp;VLOOKUP(D1728,契約台帳!$A$3:$K$4986,7,FALSE)&amp;VLOOKUP(D1728,契約台帳!$A$3:$K$4986,8,FALSE)&amp;VLOOKUP(D1728,契約台帳!$A$3:$K$4986,9,FALSE)&amp;VLOOKUP(D1728,契約台帳!$A$3:$K$4986,11,FALSE))</f>
        <v>3TYKNZMCR</v>
      </c>
      <c r="G1728" s="269" t="str">
        <f>IF(D1728="","",VLOOKUP(F1728,製品マスタ!$G$5:$H$5002,2,FALSE))</f>
        <v>T</v>
      </c>
      <c r="H1728" s="269" t="str">
        <f>IF(D1728="","",VLOOKUP(F1728,製品マスタ!$G$5:$K$5002,5,FALSE))</f>
        <v>MCR</v>
      </c>
      <c r="I1728" s="270" t="str">
        <f>IF(D1728="","",VLOOKUP(F1728,製品マスタ!$G$5:$L$5002,6,FALSE))</f>
        <v>Metalumy CR</v>
      </c>
      <c r="J1728" s="32" t="s">
        <v>447</v>
      </c>
      <c r="K1728" s="270">
        <f>IF(D1728="","",VLOOKUP(D1728,契約台帳!$A$3:$L$4986,12,FALSE))</f>
        <v>25</v>
      </c>
      <c r="L1728" s="270" t="str">
        <f>IF(D1728="","",INDEX(製品マスタ!$Q$5:$Q$5002,MATCH(F1728&amp;K1728,製品マスタ!$AO$5:$AO$5002,0)))</f>
        <v>S28M</v>
      </c>
      <c r="M1728" s="39">
        <v>1110</v>
      </c>
      <c r="N1728" s="39">
        <v>12100</v>
      </c>
      <c r="O1728" s="47">
        <v>5</v>
      </c>
      <c r="P1728" s="57"/>
      <c r="Q1728" s="276">
        <f>IF(D1728="","",IF(J1728="リード付け",M1728,VLOOKUP(D1728,契約台帳!$A$3:$N$4986,14,FALSE)))</f>
        <v>1050</v>
      </c>
      <c r="R1728" s="277">
        <f>IF(D1728="","",IF(J1728="リード付け",M1728,VLOOKUP(D1728,契約台帳!$A$3:$O$4986,15,FALSE)))</f>
        <v>1050</v>
      </c>
      <c r="S1728" s="277">
        <f>IF(D1728="","",IF(J1728="リード付け",N1728,VLOOKUP(D1728,契約台帳!$A$3:$P$4986,16,FALSE)))</f>
        <v>6000</v>
      </c>
      <c r="T1728" s="40">
        <v>10</v>
      </c>
      <c r="U1728" s="278">
        <f ca="1">IF(D1728="","",IF(OFFSET(D1728,-2,0)=D1728,"",VLOOKUP(D1728,契約台帳!$A$3:$R$4986,18,FALSE)))</f>
        <v>26</v>
      </c>
      <c r="V1728" s="269" t="str">
        <f>IF(J1728="巻返し",VLOOKUP(F1728&amp;K1728&amp;M1728,製品マスタ!$M$5:$AD$5002,18,FALSE),IF(J1728="リード付け","原反コア",IF(J1728="スリット",VLOOKUP(F1728&amp;K1728&amp;Q1728,製品マスタ!$N$5:$AD$5002,17,FALSE),"")))</f>
        <v>6ｲﾝﾁABS</v>
      </c>
      <c r="W1728" s="269">
        <f>IF(J1728="巻返し",VLOOKUP(F1728&amp;K1728&amp;M1728,製品マスタ!$M$5:$AE$5002,19,FALSE),IF(J1728="リード付け","-",IF(J1728="スリット",VLOOKUP(F1728&amp;K1728&amp;Q1728,製品マスタ!$N$5:$AE$5002,18,FALSE),"")))</f>
        <v>1250</v>
      </c>
      <c r="X1728" s="275">
        <f>IF(D1728="","",VLOOKUP(D1728,契約台帳!$A$3:$Q$4986,17,FALSE))</f>
        <v>2</v>
      </c>
      <c r="Y1728" s="269" t="str">
        <f>IF(D1728="","",VLOOKUP(D1728,契約台帳!$A$3:$E$4986,5,FALSE))</f>
        <v>日東電工㈱豊橋工場</v>
      </c>
      <c r="Z1728" s="357"/>
      <c r="AA1728" s="207" t="s">
        <v>2814</v>
      </c>
      <c r="AB1728" s="369"/>
      <c r="AC1728" s="370"/>
      <c r="AD1728" s="332"/>
      <c r="AE1728" s="216"/>
      <c r="AF1728" s="43"/>
      <c r="AG1728" s="47"/>
      <c r="AH1728" s="30"/>
      <c r="AI1728" s="30"/>
      <c r="AJ1728" s="30"/>
      <c r="AK1728" s="30"/>
      <c r="AL1728" s="13"/>
      <c r="AM1728" s="13"/>
      <c r="AN1728" s="13"/>
      <c r="AO1728" s="13"/>
      <c r="AP1728" s="13"/>
      <c r="AQ1728" s="14"/>
      <c r="AR1728" s="15"/>
    </row>
    <row r="1729" spans="1:44" s="17" customFormat="1" ht="30.95" hidden="1" customHeight="1" x14ac:dyDescent="0.2">
      <c r="A1729" s="343"/>
      <c r="B1729" s="344"/>
      <c r="C1729" s="345"/>
      <c r="D1729" s="398"/>
      <c r="E1729" s="31"/>
      <c r="F1729" s="268"/>
      <c r="G1729" s="269"/>
      <c r="H1729" s="269"/>
      <c r="I1729" s="270"/>
      <c r="J1729" s="32"/>
      <c r="K1729" s="270"/>
      <c r="L1729" s="270"/>
      <c r="M1729" s="39"/>
      <c r="N1729" s="39"/>
      <c r="O1729" s="47"/>
      <c r="P1729" s="57"/>
      <c r="Q1729" s="276"/>
      <c r="R1729" s="277"/>
      <c r="S1729" s="277"/>
      <c r="T1729" s="40"/>
      <c r="U1729" s="278"/>
      <c r="V1729" s="269"/>
      <c r="W1729" s="269"/>
      <c r="X1729" s="275"/>
      <c r="Y1729" s="269"/>
      <c r="Z1729" s="357"/>
      <c r="AA1729" s="207"/>
      <c r="AB1729" s="369"/>
      <c r="AC1729" s="370"/>
      <c r="AD1729" s="332"/>
      <c r="AE1729" s="216"/>
      <c r="AF1729" s="43"/>
      <c r="AG1729" s="47"/>
      <c r="AH1729" s="30"/>
      <c r="AI1729" s="30"/>
      <c r="AJ1729" s="30"/>
      <c r="AK1729" s="30"/>
      <c r="AL1729" s="13"/>
      <c r="AM1729" s="13"/>
      <c r="AN1729" s="13"/>
      <c r="AO1729" s="13"/>
      <c r="AP1729" s="13"/>
      <c r="AQ1729" s="14"/>
      <c r="AR1729" s="15"/>
    </row>
    <row r="1730" spans="1:44" s="17" customFormat="1" ht="30.95" hidden="1" customHeight="1" x14ac:dyDescent="0.2">
      <c r="A1730" s="343" t="s">
        <v>512</v>
      </c>
      <c r="B1730" s="344" t="s">
        <v>446</v>
      </c>
      <c r="C1730" s="345"/>
      <c r="D1730" s="398"/>
      <c r="E1730" s="31"/>
      <c r="F1730" s="268"/>
      <c r="G1730" s="269"/>
      <c r="H1730" s="269"/>
      <c r="I1730" s="270"/>
      <c r="J1730" s="32" t="s">
        <v>448</v>
      </c>
      <c r="K1730" s="270"/>
      <c r="L1730" s="270"/>
      <c r="M1730" s="39"/>
      <c r="N1730" s="39"/>
      <c r="O1730" s="47"/>
      <c r="P1730" s="57"/>
      <c r="Q1730" s="276"/>
      <c r="R1730" s="277"/>
      <c r="S1730" s="277"/>
      <c r="T1730" s="40"/>
      <c r="U1730" s="278"/>
      <c r="V1730" s="269"/>
      <c r="W1730" s="269"/>
      <c r="X1730" s="275"/>
      <c r="Y1730" s="269"/>
      <c r="Z1730" s="357"/>
      <c r="AA1730" s="207"/>
      <c r="AB1730" s="369"/>
      <c r="AC1730" s="370"/>
      <c r="AD1730" s="332"/>
      <c r="AE1730" s="216"/>
      <c r="AF1730" s="43"/>
      <c r="AG1730" s="47"/>
      <c r="AH1730" s="30"/>
      <c r="AI1730" s="30"/>
      <c r="AJ1730" s="30"/>
      <c r="AK1730" s="30"/>
      <c r="AL1730" s="13"/>
      <c r="AM1730" s="13"/>
      <c r="AN1730" s="13"/>
      <c r="AO1730" s="13"/>
      <c r="AP1730" s="13"/>
      <c r="AQ1730" s="14"/>
      <c r="AR1730" s="15"/>
    </row>
    <row r="1731" spans="1:44" s="17" customFormat="1" ht="30.95" hidden="1" customHeight="1" x14ac:dyDescent="0.2">
      <c r="A1731" s="343"/>
      <c r="B1731" s="344"/>
      <c r="C1731" s="345"/>
      <c r="D1731" s="398"/>
      <c r="E1731" s="31"/>
      <c r="F1731" s="268"/>
      <c r="G1731" s="269"/>
      <c r="H1731" s="269"/>
      <c r="I1731" s="270"/>
      <c r="J1731" s="32"/>
      <c r="K1731" s="270"/>
      <c r="L1731" s="270"/>
      <c r="M1731" s="39"/>
      <c r="N1731" s="39"/>
      <c r="O1731" s="47"/>
      <c r="P1731" s="57"/>
      <c r="Q1731" s="276"/>
      <c r="R1731" s="277"/>
      <c r="S1731" s="277"/>
      <c r="T1731" s="40"/>
      <c r="U1731" s="278"/>
      <c r="V1731" s="269"/>
      <c r="W1731" s="269"/>
      <c r="X1731" s="275"/>
      <c r="Y1731" s="269"/>
      <c r="Z1731" s="357"/>
      <c r="AA1731" s="207"/>
      <c r="AB1731" s="369"/>
      <c r="AC1731" s="370"/>
      <c r="AD1731" s="332"/>
      <c r="AE1731" s="216"/>
      <c r="AF1731" s="43"/>
      <c r="AG1731" s="47"/>
      <c r="AH1731" s="30"/>
      <c r="AI1731" s="30"/>
      <c r="AJ1731" s="30"/>
      <c r="AK1731" s="30"/>
      <c r="AL1731" s="13"/>
      <c r="AM1731" s="13"/>
      <c r="AN1731" s="13"/>
      <c r="AO1731" s="13"/>
      <c r="AP1731" s="13"/>
      <c r="AQ1731" s="14"/>
      <c r="AR1731" s="15"/>
    </row>
    <row r="1732" spans="1:44" s="17" customFormat="1" ht="30.95" hidden="1" customHeight="1" x14ac:dyDescent="0.2">
      <c r="A1732" s="320" t="s">
        <v>518</v>
      </c>
      <c r="B1732" s="321" t="s">
        <v>462</v>
      </c>
      <c r="C1732" s="345"/>
      <c r="D1732" s="398">
        <v>3762745</v>
      </c>
      <c r="E1732" s="31">
        <v>4151742</v>
      </c>
      <c r="F1732" s="268" t="str">
        <f>IF(D1732="","",VLOOKUP(D1732,契約台帳!$A$3:$K$4986,6,FALSE)&amp;VLOOKUP(D1732,契約台帳!$A$3:$K$4986,7,FALSE)&amp;VLOOKUP(D1732,契約台帳!$A$3:$K$4986,8,FALSE)&amp;VLOOKUP(D1732,契約台帳!$A$3:$K$4986,9,FALSE)&amp;VLOOKUP(D1732,契約台帳!$A$3:$K$4986,11,FALSE))</f>
        <v>3TYKNZMCR</v>
      </c>
      <c r="G1732" s="269" t="str">
        <f>IF(D1732="","",VLOOKUP(F1732,製品マスタ!$G$5:$H$5002,2,FALSE))</f>
        <v>T</v>
      </c>
      <c r="H1732" s="269" t="str">
        <f>IF(D1732="","",VLOOKUP(F1732,製品マスタ!$G$5:$K$5002,5,FALSE))</f>
        <v>MCR</v>
      </c>
      <c r="I1732" s="270" t="str">
        <f>IF(D1732="","",VLOOKUP(F1732,製品マスタ!$G$5:$L$5002,6,FALSE))</f>
        <v>Metalumy CR</v>
      </c>
      <c r="J1732" s="32" t="s">
        <v>447</v>
      </c>
      <c r="K1732" s="270">
        <f>IF(D1732="","",VLOOKUP(D1732,契約台帳!$A$3:$L$4986,12,FALSE))</f>
        <v>25</v>
      </c>
      <c r="L1732" s="270" t="str">
        <f>IF(D1732="","",INDEX(製品マスタ!$Q$5:$Q$5002,MATCH(F1732&amp;K1732,製品マスタ!$AO$5:$AO$5002,0)))</f>
        <v>S28M</v>
      </c>
      <c r="M1732" s="39">
        <v>1110</v>
      </c>
      <c r="N1732" s="39">
        <v>12100</v>
      </c>
      <c r="O1732" s="47">
        <v>5</v>
      </c>
      <c r="P1732" s="57"/>
      <c r="Q1732" s="276">
        <f>IF(D1732="","",IF(J1732="リード付け",M1732,VLOOKUP(D1732,契約台帳!$A$3:$N$4986,14,FALSE)))</f>
        <v>1050</v>
      </c>
      <c r="R1732" s="277">
        <f>IF(D1732="","",IF(J1732="リード付け",M1732,VLOOKUP(D1732,契約台帳!$A$3:$O$4986,15,FALSE)))</f>
        <v>1050</v>
      </c>
      <c r="S1732" s="277">
        <f>IF(D1732="","",IF(J1732="リード付け",N1732,VLOOKUP(D1732,契約台帳!$A$3:$P$4986,16,FALSE)))</f>
        <v>6000</v>
      </c>
      <c r="T1732" s="40">
        <v>10</v>
      </c>
      <c r="U1732" s="278">
        <f ca="1">IF(D1732="","",IF(OFFSET(D1732,-2,0)=D1732,"",VLOOKUP(D1732,契約台帳!$A$3:$R$4986,18,FALSE)))</f>
        <v>26</v>
      </c>
      <c r="V1732" s="269" t="str">
        <f>IF(J1732="巻返し",VLOOKUP(F1732&amp;K1732&amp;M1732,製品マスタ!$M$5:$AD$5002,18,FALSE),IF(J1732="リード付け","原反コア",IF(J1732="スリット",VLOOKUP(F1732&amp;K1732&amp;Q1732,製品マスタ!$N$5:$AD$5002,17,FALSE),"")))</f>
        <v>6ｲﾝﾁABS</v>
      </c>
      <c r="W1732" s="269">
        <f>IF(J1732="巻返し",VLOOKUP(F1732&amp;K1732&amp;M1732,製品マスタ!$M$5:$AE$5002,19,FALSE),IF(J1732="リード付け","-",IF(J1732="スリット",VLOOKUP(F1732&amp;K1732&amp;Q1732,製品マスタ!$N$5:$AE$5002,18,FALSE),"")))</f>
        <v>1250</v>
      </c>
      <c r="X1732" s="275">
        <f>IF(D1732="","",VLOOKUP(D1732,契約台帳!$A$3:$Q$4986,17,FALSE))</f>
        <v>2</v>
      </c>
      <c r="Y1732" s="269" t="str">
        <f>IF(D1732="","",VLOOKUP(D1732,契約台帳!$A$3:$E$4986,5,FALSE))</f>
        <v>日東電工㈱豊橋工場</v>
      </c>
      <c r="Z1732" s="357"/>
      <c r="AA1732" s="207" t="s">
        <v>2814</v>
      </c>
      <c r="AB1732" s="369"/>
      <c r="AC1732" s="370"/>
      <c r="AD1732" s="332"/>
      <c r="AE1732" s="216"/>
      <c r="AF1732" s="43"/>
      <c r="AG1732" s="47"/>
      <c r="AH1732" s="30"/>
      <c r="AI1732" s="30"/>
      <c r="AJ1732" s="30"/>
      <c r="AK1732" s="30"/>
      <c r="AL1732" s="13"/>
      <c r="AM1732" s="13"/>
      <c r="AN1732" s="13"/>
      <c r="AO1732" s="13"/>
      <c r="AP1732" s="13"/>
      <c r="AQ1732" s="14"/>
      <c r="AR1732" s="15"/>
    </row>
    <row r="1733" spans="1:44" s="17" customFormat="1" ht="30.95" hidden="1" customHeight="1" x14ac:dyDescent="0.2">
      <c r="A1733" s="343"/>
      <c r="B1733" s="344"/>
      <c r="C1733" s="345"/>
      <c r="D1733" s="398"/>
      <c r="E1733" s="31"/>
      <c r="F1733" s="268"/>
      <c r="G1733" s="269"/>
      <c r="H1733" s="269"/>
      <c r="I1733" s="270"/>
      <c r="J1733" s="32"/>
      <c r="K1733" s="270"/>
      <c r="L1733" s="270"/>
      <c r="M1733" s="39"/>
      <c r="N1733" s="39"/>
      <c r="O1733" s="47"/>
      <c r="P1733" s="57"/>
      <c r="Q1733" s="276"/>
      <c r="R1733" s="277"/>
      <c r="S1733" s="277"/>
      <c r="T1733" s="40"/>
      <c r="U1733" s="278"/>
      <c r="V1733" s="269"/>
      <c r="W1733" s="269"/>
      <c r="X1733" s="275"/>
      <c r="Y1733" s="269"/>
      <c r="Z1733" s="357"/>
      <c r="AA1733" s="207"/>
      <c r="AB1733" s="369"/>
      <c r="AC1733" s="370"/>
      <c r="AD1733" s="332"/>
      <c r="AE1733" s="216"/>
      <c r="AF1733" s="43"/>
      <c r="AG1733" s="47"/>
      <c r="AH1733" s="30"/>
      <c r="AI1733" s="30"/>
      <c r="AJ1733" s="30"/>
      <c r="AK1733" s="30"/>
      <c r="AL1733" s="13"/>
      <c r="AM1733" s="13"/>
      <c r="AN1733" s="13"/>
      <c r="AO1733" s="13"/>
      <c r="AP1733" s="13"/>
      <c r="AQ1733" s="14"/>
      <c r="AR1733" s="15"/>
    </row>
    <row r="1734" spans="1:44" s="17" customFormat="1" ht="30.95" hidden="1" customHeight="1" x14ac:dyDescent="0.2">
      <c r="A1734" s="320" t="s">
        <v>513</v>
      </c>
      <c r="B1734" s="321" t="s">
        <v>688</v>
      </c>
      <c r="C1734" s="345"/>
      <c r="D1734" s="398">
        <v>3762745</v>
      </c>
      <c r="E1734" s="31">
        <v>4151742</v>
      </c>
      <c r="F1734" s="268" t="str">
        <f>IF(D1734="","",VLOOKUP(D1734,契約台帳!$A$3:$K$4986,6,FALSE)&amp;VLOOKUP(D1734,契約台帳!$A$3:$K$4986,7,FALSE)&amp;VLOOKUP(D1734,契約台帳!$A$3:$K$4986,8,FALSE)&amp;VLOOKUP(D1734,契約台帳!$A$3:$K$4986,9,FALSE)&amp;VLOOKUP(D1734,契約台帳!$A$3:$K$4986,11,FALSE))</f>
        <v>3TYKNZMCR</v>
      </c>
      <c r="G1734" s="269" t="str">
        <f>IF(D1734="","",VLOOKUP(F1734,製品マスタ!$G$5:$H$5002,2,FALSE))</f>
        <v>T</v>
      </c>
      <c r="H1734" s="269" t="str">
        <f>IF(D1734="","",VLOOKUP(F1734,製品マスタ!$G$5:$K$5002,5,FALSE))</f>
        <v>MCR</v>
      </c>
      <c r="I1734" s="270" t="str">
        <f>IF(D1734="","",VLOOKUP(F1734,製品マスタ!$G$5:$L$5002,6,FALSE))</f>
        <v>Metalumy CR</v>
      </c>
      <c r="J1734" s="32" t="s">
        <v>447</v>
      </c>
      <c r="K1734" s="270">
        <f>IF(D1734="","",VLOOKUP(D1734,契約台帳!$A$3:$L$4986,12,FALSE))</f>
        <v>25</v>
      </c>
      <c r="L1734" s="270" t="str">
        <f>IF(D1734="","",INDEX(製品マスタ!$Q$5:$Q$5002,MATCH(F1734&amp;K1734,製品マスタ!$AO$5:$AO$5002,0)))</f>
        <v>S28M</v>
      </c>
      <c r="M1734" s="39">
        <v>1110</v>
      </c>
      <c r="N1734" s="39">
        <v>12100</v>
      </c>
      <c r="O1734" s="47">
        <v>3</v>
      </c>
      <c r="P1734" s="57"/>
      <c r="Q1734" s="276">
        <f>IF(D1734="","",IF(J1734="リード付け",M1734,VLOOKUP(D1734,契約台帳!$A$3:$N$4986,14,FALSE)))</f>
        <v>1050</v>
      </c>
      <c r="R1734" s="277">
        <f>IF(D1734="","",IF(J1734="リード付け",M1734,VLOOKUP(D1734,契約台帳!$A$3:$O$4986,15,FALSE)))</f>
        <v>1050</v>
      </c>
      <c r="S1734" s="277">
        <f>IF(D1734="","",IF(J1734="リード付け",N1734,VLOOKUP(D1734,契約台帳!$A$3:$P$4986,16,FALSE)))</f>
        <v>6000</v>
      </c>
      <c r="T1734" s="40">
        <v>6</v>
      </c>
      <c r="U1734" s="278" t="str">
        <f ca="1">IF(D1734="","",IF(OFFSET(D1734,-2,0)=D1734,"",VLOOKUP(D1734,契約台帳!$A$3:$R$4986,18,FALSE)))</f>
        <v/>
      </c>
      <c r="V1734" s="269" t="str">
        <f>IF(J1734="巻返し",VLOOKUP(F1734&amp;K1734&amp;M1734,製品マスタ!$M$5:$AD$5002,18,FALSE),IF(J1734="リード付け","原反コア",IF(J1734="スリット",VLOOKUP(F1734&amp;K1734&amp;Q1734,製品マスタ!$N$5:$AD$5002,17,FALSE),"")))</f>
        <v>6ｲﾝﾁABS</v>
      </c>
      <c r="W1734" s="269">
        <f>IF(J1734="巻返し",VLOOKUP(F1734&amp;K1734&amp;M1734,製品マスタ!$M$5:$AE$5002,19,FALSE),IF(J1734="リード付け","-",IF(J1734="スリット",VLOOKUP(F1734&amp;K1734&amp;Q1734,製品マスタ!$N$5:$AE$5002,18,FALSE),"")))</f>
        <v>1250</v>
      </c>
      <c r="X1734" s="275">
        <f>IF(D1734="","",VLOOKUP(D1734,契約台帳!$A$3:$Q$4986,17,FALSE))</f>
        <v>2</v>
      </c>
      <c r="Y1734" s="269" t="str">
        <f>IF(D1734="","",VLOOKUP(D1734,契約台帳!$A$3:$E$4986,5,FALSE))</f>
        <v>日東電工㈱豊橋工場</v>
      </c>
      <c r="Z1734" s="357"/>
      <c r="AA1734" s="207" t="s">
        <v>2814</v>
      </c>
      <c r="AB1734" s="369"/>
      <c r="AC1734" s="370"/>
      <c r="AD1734" s="332"/>
      <c r="AE1734" s="216"/>
      <c r="AF1734" s="43"/>
      <c r="AG1734" s="47"/>
      <c r="AH1734" s="30"/>
      <c r="AI1734" s="30"/>
      <c r="AJ1734" s="30"/>
      <c r="AK1734" s="30"/>
      <c r="AL1734" s="13"/>
      <c r="AM1734" s="13"/>
      <c r="AN1734" s="13"/>
      <c r="AO1734" s="13"/>
      <c r="AP1734" s="13"/>
      <c r="AQ1734" s="14"/>
      <c r="AR1734" s="15"/>
    </row>
    <row r="1735" spans="1:44" s="17" customFormat="1" ht="30.95" hidden="1" customHeight="1" x14ac:dyDescent="0.2">
      <c r="A1735" s="343"/>
      <c r="B1735" s="344"/>
      <c r="C1735" s="345"/>
      <c r="D1735" s="398"/>
      <c r="E1735" s="31"/>
      <c r="F1735" s="268"/>
      <c r="G1735" s="269"/>
      <c r="H1735" s="269"/>
      <c r="I1735" s="270"/>
      <c r="J1735" s="32"/>
      <c r="K1735" s="270"/>
      <c r="L1735" s="270"/>
      <c r="M1735" s="39"/>
      <c r="N1735" s="39"/>
      <c r="O1735" s="47"/>
      <c r="P1735" s="57"/>
      <c r="Q1735" s="276"/>
      <c r="R1735" s="277"/>
      <c r="S1735" s="277"/>
      <c r="T1735" s="40"/>
      <c r="U1735" s="278"/>
      <c r="V1735" s="269"/>
      <c r="W1735" s="269"/>
      <c r="X1735" s="275"/>
      <c r="Y1735" s="269"/>
      <c r="Z1735" s="357"/>
      <c r="AA1735" s="207"/>
      <c r="AB1735" s="369"/>
      <c r="AC1735" s="370"/>
      <c r="AD1735" s="332"/>
      <c r="AE1735" s="216"/>
      <c r="AF1735" s="43"/>
      <c r="AG1735" s="47"/>
      <c r="AH1735" s="30"/>
      <c r="AI1735" s="30"/>
      <c r="AJ1735" s="30"/>
      <c r="AK1735" s="30"/>
      <c r="AL1735" s="13"/>
      <c r="AM1735" s="13"/>
      <c r="AN1735" s="13"/>
      <c r="AO1735" s="13"/>
      <c r="AP1735" s="13"/>
      <c r="AQ1735" s="14"/>
      <c r="AR1735" s="15"/>
    </row>
    <row r="1736" spans="1:44" s="17" customFormat="1" ht="30.95" hidden="1" customHeight="1" x14ac:dyDescent="0.2">
      <c r="A1736" s="320" t="s">
        <v>514</v>
      </c>
      <c r="B1736" s="321" t="s">
        <v>442</v>
      </c>
      <c r="C1736" s="345"/>
      <c r="D1736" s="398"/>
      <c r="E1736" s="31"/>
      <c r="F1736" s="268"/>
      <c r="G1736" s="269"/>
      <c r="H1736" s="269"/>
      <c r="I1736" s="270" t="s">
        <v>3011</v>
      </c>
      <c r="J1736" s="32"/>
      <c r="K1736" s="270"/>
      <c r="L1736" s="270"/>
      <c r="M1736" s="39"/>
      <c r="N1736" s="39"/>
      <c r="O1736" s="47"/>
      <c r="P1736" s="57"/>
      <c r="Q1736" s="276"/>
      <c r="R1736" s="277"/>
      <c r="S1736" s="277"/>
      <c r="T1736" s="40"/>
      <c r="U1736" s="278"/>
      <c r="V1736" s="269"/>
      <c r="W1736" s="269"/>
      <c r="X1736" s="275"/>
      <c r="Y1736" s="269"/>
      <c r="Z1736" s="357"/>
      <c r="AA1736" s="207"/>
      <c r="AB1736" s="369"/>
      <c r="AC1736" s="370"/>
      <c r="AD1736" s="332"/>
      <c r="AE1736" s="216"/>
      <c r="AF1736" s="43"/>
      <c r="AG1736" s="47"/>
      <c r="AH1736" s="30"/>
      <c r="AI1736" s="30"/>
      <c r="AJ1736" s="30"/>
      <c r="AK1736" s="30"/>
      <c r="AL1736" s="13"/>
      <c r="AM1736" s="13"/>
      <c r="AN1736" s="13"/>
      <c r="AO1736" s="13"/>
      <c r="AP1736" s="13"/>
      <c r="AQ1736" s="14"/>
      <c r="AR1736" s="15"/>
    </row>
    <row r="1737" spans="1:44" s="17" customFormat="1" ht="30.95" hidden="1" customHeight="1" x14ac:dyDescent="0.2">
      <c r="A1737" s="343"/>
      <c r="B1737" s="344"/>
      <c r="C1737" s="345"/>
      <c r="D1737" s="398"/>
      <c r="E1737" s="31"/>
      <c r="F1737" s="268"/>
      <c r="G1737" s="269"/>
      <c r="H1737" s="269"/>
      <c r="I1737" s="270"/>
      <c r="J1737" s="32"/>
      <c r="K1737" s="270"/>
      <c r="L1737" s="270"/>
      <c r="M1737" s="39"/>
      <c r="N1737" s="39"/>
      <c r="O1737" s="47"/>
      <c r="P1737" s="57"/>
      <c r="Q1737" s="276"/>
      <c r="R1737" s="277"/>
      <c r="S1737" s="277"/>
      <c r="T1737" s="40"/>
      <c r="U1737" s="278"/>
      <c r="V1737" s="269"/>
      <c r="W1737" s="269"/>
      <c r="X1737" s="275"/>
      <c r="Y1737" s="269"/>
      <c r="Z1737" s="357"/>
      <c r="AA1737" s="207"/>
      <c r="AB1737" s="369"/>
      <c r="AC1737" s="370"/>
      <c r="AD1737" s="332"/>
      <c r="AE1737" s="216"/>
      <c r="AF1737" s="43"/>
      <c r="AG1737" s="47"/>
      <c r="AH1737" s="30"/>
      <c r="AI1737" s="30"/>
      <c r="AJ1737" s="30"/>
      <c r="AK1737" s="30"/>
      <c r="AL1737" s="13"/>
      <c r="AM1737" s="13"/>
      <c r="AN1737" s="13"/>
      <c r="AO1737" s="13"/>
      <c r="AP1737" s="13"/>
      <c r="AQ1737" s="14"/>
      <c r="AR1737" s="15"/>
    </row>
    <row r="1738" spans="1:44" s="17" customFormat="1" ht="30.95" hidden="1" customHeight="1" x14ac:dyDescent="0.2">
      <c r="A1738" s="320"/>
      <c r="B1738" s="321"/>
      <c r="C1738" s="345"/>
      <c r="D1738" s="398">
        <v>3765502</v>
      </c>
      <c r="E1738" s="31">
        <v>4151750</v>
      </c>
      <c r="F1738" s="268" t="str">
        <f>IF(D1738="","",VLOOKUP(D1738,契約台帳!$A$3:$K$4986,6,FALSE)&amp;VLOOKUP(D1738,契約台帳!$A$3:$K$4986,7,FALSE)&amp;VLOOKUP(D1738,契約台帳!$A$3:$K$4986,8,FALSE)&amp;VLOOKUP(D1738,契約台帳!$A$3:$K$4986,9,FALSE)&amp;VLOOKUP(D1738,契約台帳!$A$3:$K$4986,11,FALSE))</f>
        <v>3SNMLBMTSF</v>
      </c>
      <c r="G1738" s="269" t="str">
        <f>IF(D1738="","",VLOOKUP(F1738,製品マスタ!$G$5:$H$5002,2,FALSE))</f>
        <v>S</v>
      </c>
      <c r="H1738" s="269" t="str">
        <f>IF(D1738="","",VLOOKUP(F1738,製品マスタ!$G$5:$K$5002,5,FALSE))</f>
        <v>MTSF</v>
      </c>
      <c r="I1738" s="270" t="str">
        <f>IF(D1738="","",VLOOKUP(F1738,製品マスタ!$G$5:$L$5002,6,FALSE))</f>
        <v>メタルミー　ＴＳ</v>
      </c>
      <c r="J1738" s="32" t="s">
        <v>447</v>
      </c>
      <c r="K1738" s="270">
        <f>IF(D1738="","",VLOOKUP(D1738,契約台帳!$A$3:$L$4986,12,FALSE))</f>
        <v>75</v>
      </c>
      <c r="L1738" s="270" t="str">
        <f>IF(D1738="","",INDEX(製品マスタ!$Q$5:$Q$5002,MATCH(F1738&amp;K1738,製品マスタ!$AO$5:$AO$5002,0)))</f>
        <v>T60</v>
      </c>
      <c r="M1738" s="39">
        <v>1100</v>
      </c>
      <c r="N1738" s="39">
        <v>2000</v>
      </c>
      <c r="O1738" s="47">
        <v>1</v>
      </c>
      <c r="P1738" s="57"/>
      <c r="Q1738" s="276">
        <f>IF(D1738="","",IF(J1738="リード付け",M1738,VLOOKUP(D1738,契約台帳!$A$3:$N$4986,14,FALSE)))</f>
        <v>1000</v>
      </c>
      <c r="R1738" s="277">
        <f>IF(D1738="","",IF(J1738="リード付け",M1738,VLOOKUP(D1738,契約台帳!$A$3:$O$4986,15,FALSE)))</f>
        <v>1000</v>
      </c>
      <c r="S1738" s="277">
        <f>IF(D1738="","",IF(J1738="リード付け",N1738,VLOOKUP(D1738,契約台帳!$A$3:$P$4986,16,FALSE)))</f>
        <v>1000</v>
      </c>
      <c r="T1738" s="40">
        <v>2</v>
      </c>
      <c r="U1738" s="278">
        <f ca="1">IF(D1738="","",IF(OFFSET(D1738,-2,0)=D1738,"",VLOOKUP(D1738,契約台帳!$A$3:$R$4986,18,FALSE)))</f>
        <v>2</v>
      </c>
      <c r="V1738" s="269" t="str">
        <f>IF(J1738="巻返し",VLOOKUP(F1738&amp;K1738&amp;M1738,製品マスタ!$M$5:$AD$5002,18,FALSE),IF(J1738="リード付け","原反コア",IF(J1738="スリット",VLOOKUP(F1738&amp;K1738&amp;Q1738,製品マスタ!$N$5:$AD$5002,17,FALSE),"")))</f>
        <v>3ｲﾝﾁSｺｱ</v>
      </c>
      <c r="W1738" s="269">
        <f>IF(J1738="巻返し",VLOOKUP(F1738&amp;K1738&amp;M1738,製品マスタ!$M$5:$AE$5002,19,FALSE),IF(J1738="リード付け","-",IF(J1738="スリット",VLOOKUP(F1738&amp;K1738&amp;Q1738,製品マスタ!$N$5:$AE$5002,18,FALSE),"")))</f>
        <v>1005</v>
      </c>
      <c r="X1738" s="275">
        <f>IF(D1738="","",VLOOKUP(D1738,契約台帳!$A$3:$Q$4986,17,FALSE))</f>
        <v>2</v>
      </c>
      <c r="Y1738" s="269" t="str">
        <f>IF(D1738="","",VLOOKUP(D1738,契約台帳!$A$3:$E$4986,5,FALSE))</f>
        <v>パナック㈱亀山工場</v>
      </c>
      <c r="Z1738" s="357">
        <v>45499</v>
      </c>
      <c r="AA1738" s="207"/>
      <c r="AB1738" s="369"/>
      <c r="AC1738" s="370"/>
      <c r="AD1738" s="332" t="str">
        <f>IF(F1738="","",+F1738&amp;K1738)</f>
        <v>3SNMLBMTSF75</v>
      </c>
      <c r="AE1738" s="216">
        <f>+M1738*N1738*O1738/1000</f>
        <v>2200</v>
      </c>
      <c r="AF1738" s="43">
        <f>IF(AD1738="","",VLOOKUP(AD1738,原価マスタ!$A$2:$AJ$1693,13,FALSE))</f>
        <v>86</v>
      </c>
      <c r="AG1738" s="47">
        <f>IF(AF1738="","",+AE1738*AF1738/100)</f>
        <v>1892</v>
      </c>
      <c r="AH1738" s="30"/>
      <c r="AI1738" s="30"/>
      <c r="AJ1738" s="30"/>
      <c r="AK1738" s="30"/>
      <c r="AL1738" s="13"/>
      <c r="AM1738" s="13"/>
      <c r="AN1738" s="13"/>
      <c r="AO1738" s="13"/>
      <c r="AP1738" s="13"/>
      <c r="AQ1738" s="14"/>
      <c r="AR1738" s="15"/>
    </row>
    <row r="1739" spans="1:44" s="17" customFormat="1" ht="30.95" hidden="1" customHeight="1" x14ac:dyDescent="0.2">
      <c r="A1739" s="343"/>
      <c r="B1739" s="344"/>
      <c r="C1739" s="345"/>
      <c r="D1739" s="398"/>
      <c r="E1739" s="31"/>
      <c r="F1739" s="268"/>
      <c r="G1739" s="269"/>
      <c r="H1739" s="269"/>
      <c r="I1739" s="301" t="s">
        <v>2996</v>
      </c>
      <c r="J1739" s="32"/>
      <c r="K1739" s="270"/>
      <c r="L1739" s="270"/>
      <c r="M1739" s="39"/>
      <c r="N1739" s="39"/>
      <c r="O1739" s="47"/>
      <c r="P1739" s="57"/>
      <c r="Q1739" s="276"/>
      <c r="R1739" s="277"/>
      <c r="S1739" s="277"/>
      <c r="T1739" s="40"/>
      <c r="U1739" s="278"/>
      <c r="V1739" s="269"/>
      <c r="W1739" s="269"/>
      <c r="X1739" s="275"/>
      <c r="Y1739" s="269"/>
      <c r="Z1739" s="357"/>
      <c r="AA1739" s="207"/>
      <c r="AB1739" s="369"/>
      <c r="AC1739" s="370"/>
      <c r="AD1739" s="332"/>
      <c r="AE1739" s="216"/>
      <c r="AF1739" s="43"/>
      <c r="AG1739" s="47"/>
      <c r="AH1739" s="30"/>
      <c r="AI1739" s="30"/>
      <c r="AJ1739" s="30"/>
      <c r="AK1739" s="30"/>
      <c r="AL1739" s="13"/>
      <c r="AM1739" s="13"/>
      <c r="AN1739" s="13"/>
      <c r="AO1739" s="13"/>
      <c r="AP1739" s="13"/>
      <c r="AQ1739" s="14"/>
      <c r="AR1739" s="15"/>
    </row>
    <row r="1740" spans="1:44" s="17" customFormat="1" ht="30.95" hidden="1" customHeight="1" x14ac:dyDescent="0.2">
      <c r="A1740" s="320"/>
      <c r="B1740" s="321"/>
      <c r="C1740" s="345"/>
      <c r="D1740" s="398">
        <v>3762732</v>
      </c>
      <c r="E1740" s="31">
        <v>4151728</v>
      </c>
      <c r="F1740" s="268" t="str">
        <f>IF(D1740="","",VLOOKUP(D1740,契約台帳!$A$3:$K$4986,6,FALSE)&amp;VLOOKUP(D1740,契約台帳!$A$3:$K$4986,7,FALSE)&amp;VLOOKUP(D1740,契約台帳!$A$3:$K$4986,8,FALSE)&amp;VLOOKUP(D1740,契約台帳!$A$3:$K$4986,9,FALSE)&amp;VLOOKUP(D1740,契約台帳!$A$3:$K$4986,11,FALSE))</f>
        <v>3SNMLBMNGTBF</v>
      </c>
      <c r="G1740" s="269" t="str">
        <f>IF(D1740="","",VLOOKUP(F1740,製品マスタ!$G$5:$H$5002,2,FALSE))</f>
        <v>S</v>
      </c>
      <c r="H1740" s="269" t="str">
        <f>IF(D1740="","",VLOOKUP(F1740,製品マスタ!$G$5:$K$5002,5,FALSE))</f>
        <v>MNGTBF</v>
      </c>
      <c r="I1740" s="270" t="str">
        <f>IF(D1740="","",VLOOKUP(F1740,製品マスタ!$G$5:$L$5002,6,FALSE))</f>
        <v>メタルミー　ネーマー　銀艶　Ｂ</v>
      </c>
      <c r="J1740" s="32" t="s">
        <v>447</v>
      </c>
      <c r="K1740" s="270">
        <f>IF(D1740="","",VLOOKUP(D1740,契約台帳!$A$3:$L$4986,12,FALSE))</f>
        <v>50</v>
      </c>
      <c r="L1740" s="270" t="str">
        <f>IF(D1740="","",INDEX(製品マスタ!$Q$5:$Q$5002,MATCH(F1740&amp;K1740,製品マスタ!$AO$5:$AO$5002,0)))</f>
        <v>T62</v>
      </c>
      <c r="M1740" s="39">
        <v>1120</v>
      </c>
      <c r="N1740" s="39">
        <v>10000</v>
      </c>
      <c r="O1740" s="47">
        <v>5</v>
      </c>
      <c r="P1740" s="57"/>
      <c r="Q1740" s="276">
        <f>IF(D1740="","",IF(J1740="リード付け",M1740,VLOOKUP(D1740,契約台帳!$A$3:$N$4986,14,FALSE)))</f>
        <v>1120</v>
      </c>
      <c r="R1740" s="277">
        <f>IF(D1740="","",IF(J1740="リード付け",M1740,VLOOKUP(D1740,契約台帳!$A$3:$O$4986,15,FALSE)))</f>
        <v>1120</v>
      </c>
      <c r="S1740" s="277">
        <f>IF(D1740="","",IF(J1740="リード付け",N1740,VLOOKUP(D1740,契約台帳!$A$3:$P$4986,16,FALSE)))</f>
        <v>5000</v>
      </c>
      <c r="T1740" s="40">
        <v>10</v>
      </c>
      <c r="U1740" s="278">
        <f ca="1">IF(D1740="","",IF(OFFSET(D1740,-2,0)=D1740,"",VLOOKUP(D1740,契約台帳!$A$3:$R$4986,18,FALSE)))</f>
        <v>32</v>
      </c>
      <c r="V1740" s="269" t="str">
        <f>IF(J1740="巻返し",VLOOKUP(F1740&amp;K1740&amp;M1740,製品マスタ!$M$5:$AD$5002,18,FALSE),IF(J1740="リード付け","原反コア",IF(J1740="スリット",VLOOKUP(F1740&amp;K1740&amp;Q1740,製品マスタ!$N$5:$AD$5002,17,FALSE),"")))</f>
        <v>6ｲﾝﾁSｺｱ</v>
      </c>
      <c r="W1740" s="269">
        <f>IF(J1740="巻返し",VLOOKUP(F1740&amp;K1740&amp;M1740,製品マスタ!$M$5:$AE$5002,19,FALSE),IF(J1740="リード付け","-",IF(J1740="スリット",VLOOKUP(F1740&amp;K1740&amp;Q1740,製品マスタ!$N$5:$AE$5002,18,FALSE),"")))</f>
        <v>1125</v>
      </c>
      <c r="X1740" s="275">
        <f>IF(D1740="","",VLOOKUP(D1740,契約台帳!$A$3:$Q$4986,17,FALSE))</f>
        <v>2</v>
      </c>
      <c r="Y1740" s="269" t="str">
        <f>IF(D1740="","",VLOOKUP(D1740,契約台帳!$A$3:$E$4986,5,FALSE))</f>
        <v>リンテック㈱</v>
      </c>
      <c r="Z1740" s="357">
        <v>45503</v>
      </c>
      <c r="AA1740" s="207"/>
      <c r="AB1740" s="369"/>
      <c r="AC1740" s="370"/>
      <c r="AD1740" s="332" t="str">
        <f>IF(F1740="","",+F1740&amp;K1740)</f>
        <v>3SNMLBMNGTBF50</v>
      </c>
      <c r="AE1740" s="216">
        <f>+M1740*N1740*O1740/1000</f>
        <v>56000</v>
      </c>
      <c r="AF1740" s="43">
        <f>IF(AD1740="","",VLOOKUP(AD1740,原価マスタ!$A$2:$AJ$1693,13,FALSE))</f>
        <v>99</v>
      </c>
      <c r="AG1740" s="47">
        <f>IF(AF1740="","",+AE1740*AF1740/100)</f>
        <v>55440</v>
      </c>
      <c r="AH1740" s="30"/>
      <c r="AI1740" s="30"/>
      <c r="AJ1740" s="30"/>
      <c r="AK1740" s="30"/>
      <c r="AL1740" s="13"/>
      <c r="AM1740" s="13"/>
      <c r="AN1740" s="13"/>
      <c r="AO1740" s="13"/>
      <c r="AP1740" s="13"/>
      <c r="AQ1740" s="14"/>
      <c r="AR1740" s="15"/>
    </row>
    <row r="1741" spans="1:44" s="17" customFormat="1" ht="30.95" hidden="1" customHeight="1" x14ac:dyDescent="0.2">
      <c r="A1741" s="343"/>
      <c r="B1741" s="344"/>
      <c r="C1741" s="345"/>
      <c r="D1741" s="398"/>
      <c r="E1741" s="31"/>
      <c r="F1741" s="268"/>
      <c r="G1741" s="269"/>
      <c r="H1741" s="269"/>
      <c r="I1741" s="301"/>
      <c r="J1741" s="32"/>
      <c r="K1741" s="270"/>
      <c r="L1741" s="270"/>
      <c r="M1741" s="39"/>
      <c r="N1741" s="39"/>
      <c r="O1741" s="47"/>
      <c r="P1741" s="57"/>
      <c r="Q1741" s="276"/>
      <c r="R1741" s="277"/>
      <c r="S1741" s="277"/>
      <c r="T1741" s="40"/>
      <c r="U1741" s="278"/>
      <c r="V1741" s="269"/>
      <c r="W1741" s="269"/>
      <c r="X1741" s="275"/>
      <c r="Y1741" s="269"/>
      <c r="Z1741" s="357"/>
      <c r="AA1741" s="207"/>
      <c r="AB1741" s="369"/>
      <c r="AC1741" s="370"/>
      <c r="AD1741" s="332"/>
      <c r="AE1741" s="216"/>
      <c r="AF1741" s="43"/>
      <c r="AG1741" s="47"/>
      <c r="AH1741" s="30"/>
      <c r="AI1741" s="30"/>
      <c r="AJ1741" s="30"/>
      <c r="AK1741" s="30"/>
      <c r="AL1741" s="13"/>
      <c r="AM1741" s="13"/>
      <c r="AN1741" s="13"/>
      <c r="AO1741" s="13"/>
      <c r="AP1741" s="13"/>
      <c r="AQ1741" s="14"/>
      <c r="AR1741" s="15"/>
    </row>
    <row r="1742" spans="1:44" s="17" customFormat="1" ht="30.95" hidden="1" customHeight="1" x14ac:dyDescent="0.2">
      <c r="A1742" s="320" t="s">
        <v>3006</v>
      </c>
      <c r="B1742" s="321" t="s">
        <v>3007</v>
      </c>
      <c r="C1742" s="345"/>
      <c r="D1742" s="398">
        <v>3762728</v>
      </c>
      <c r="E1742" s="31">
        <v>4151726</v>
      </c>
      <c r="F1742" s="268" t="str">
        <f>IF(D1742="","",VLOOKUP(D1742,契約台帳!$A$3:$K$4986,6,FALSE)&amp;VLOOKUP(D1742,契約台帳!$A$3:$K$4986,7,FALSE)&amp;VLOOKUP(D1742,契約台帳!$A$3:$K$4986,8,FALSE)&amp;VLOOKUP(D1742,契約台帳!$A$3:$K$4986,9,FALSE)&amp;VLOOKUP(D1742,契約台帳!$A$3:$K$4986,11,FALSE))</f>
        <v>3SNMLBMNGKKBF</v>
      </c>
      <c r="G1742" s="269" t="str">
        <f>IF(D1742="","",VLOOKUP(F1742,製品マスタ!$G$5:$H$5002,2,FALSE))</f>
        <v>S</v>
      </c>
      <c r="H1742" s="269" t="str">
        <f>IF(D1742="","",VLOOKUP(F1742,製品マスタ!$G$5:$K$5002,5,FALSE))</f>
        <v>MNGKKBF</v>
      </c>
      <c r="I1742" s="270" t="str">
        <f>IF(D1742="","",VLOOKUP(F1742,製品マスタ!$G$5:$L$5002,6,FALSE))</f>
        <v>メタルミー　ネーマー銀消改　Ｂ</v>
      </c>
      <c r="J1742" s="32" t="s">
        <v>447</v>
      </c>
      <c r="K1742" s="270">
        <f>IF(D1742="","",VLOOKUP(D1742,契約台帳!$A$3:$L$4986,12,FALSE))</f>
        <v>50</v>
      </c>
      <c r="L1742" s="270" t="str">
        <f>IF(D1742="","",INDEX(製品マスタ!$Q$5:$Q$5002,MATCH(F1742&amp;K1742,製品マスタ!$AO$5:$AO$5002,0)))</f>
        <v>S99-MAT</v>
      </c>
      <c r="M1742" s="39">
        <v>1120</v>
      </c>
      <c r="N1742" s="39">
        <v>12000</v>
      </c>
      <c r="O1742" s="47">
        <v>1</v>
      </c>
      <c r="P1742" s="57"/>
      <c r="Q1742" s="276">
        <f>IF(D1742="","",IF(J1742="リード付け",M1742,VLOOKUP(D1742,契約台帳!$A$3:$N$4986,14,FALSE)))</f>
        <v>1120</v>
      </c>
      <c r="R1742" s="277">
        <f>IF(D1742="","",IF(J1742="リード付け",M1742,VLOOKUP(D1742,契約台帳!$A$3:$O$4986,15,FALSE)))</f>
        <v>1120</v>
      </c>
      <c r="S1742" s="277">
        <f>IF(D1742="","",IF(J1742="リード付け",N1742,VLOOKUP(D1742,契約台帳!$A$3:$P$4986,16,FALSE)))</f>
        <v>4000</v>
      </c>
      <c r="T1742" s="40">
        <v>3</v>
      </c>
      <c r="U1742" s="278">
        <f ca="1">IF(D1742="","",IF(OFFSET(D1742,-2,0)=D1742,"",VLOOKUP(D1742,契約台帳!$A$3:$R$4986,18,FALSE)))</f>
        <v>14</v>
      </c>
      <c r="V1742" s="269" t="str">
        <f>IF(J1742="巻返し",VLOOKUP(F1742&amp;K1742&amp;M1742,製品マスタ!$M$5:$AD$5002,18,FALSE),IF(J1742="リード付け","原反コア",IF(J1742="スリット",VLOOKUP(F1742&amp;K1742&amp;Q1742,製品マスタ!$N$5:$AD$5002,17,FALSE),"")))</f>
        <v>6ｲﾝﾁSｺｱ</v>
      </c>
      <c r="W1742" s="269">
        <f>IF(J1742="巻返し",VLOOKUP(F1742&amp;K1742&amp;M1742,製品マスタ!$M$5:$AE$5002,19,FALSE),IF(J1742="リード付け","-",IF(J1742="スリット",VLOOKUP(F1742&amp;K1742&amp;Q1742,製品マスタ!$N$5:$AE$5002,18,FALSE),"")))</f>
        <v>1125</v>
      </c>
      <c r="X1742" s="275">
        <f>IF(D1742="","",VLOOKUP(D1742,契約台帳!$A$3:$Q$4986,17,FALSE))</f>
        <v>2</v>
      </c>
      <c r="Y1742" s="269" t="str">
        <f>IF(D1742="","",VLOOKUP(D1742,契約台帳!$A$3:$E$4986,5,FALSE))</f>
        <v>リンテック㈱</v>
      </c>
      <c r="Z1742" s="357">
        <v>45499</v>
      </c>
      <c r="AA1742" s="207"/>
      <c r="AB1742" s="369"/>
      <c r="AC1742" s="370"/>
      <c r="AD1742" s="332" t="str">
        <f>IF(F1742="","",+F1742&amp;K1742)</f>
        <v>3SNMLBMNGKKBF50</v>
      </c>
      <c r="AE1742" s="216">
        <f>+M1742*N1742*O1742/1000</f>
        <v>13440</v>
      </c>
      <c r="AF1742" s="43">
        <f>IF(AD1742="","",VLOOKUP(AD1742,原価マスタ!$A$2:$AJ$1693,13,FALSE))</f>
        <v>99</v>
      </c>
      <c r="AG1742" s="47">
        <f>IF(AF1742="","",+AE1742*AF1742/100)</f>
        <v>13305.6</v>
      </c>
      <c r="AH1742" s="30"/>
      <c r="AI1742" s="30"/>
      <c r="AJ1742" s="30"/>
      <c r="AK1742" s="30"/>
      <c r="AL1742" s="13"/>
      <c r="AM1742" s="13"/>
      <c r="AN1742" s="13"/>
      <c r="AO1742" s="13"/>
      <c r="AP1742" s="13"/>
      <c r="AQ1742" s="14"/>
      <c r="AR1742" s="15"/>
    </row>
    <row r="1743" spans="1:44" s="17" customFormat="1" ht="30.95" hidden="1" customHeight="1" x14ac:dyDescent="0.2">
      <c r="A1743" s="343"/>
      <c r="B1743" s="344"/>
      <c r="C1743" s="345"/>
      <c r="D1743" s="398"/>
      <c r="E1743" s="31"/>
      <c r="F1743" s="268"/>
      <c r="G1743" s="269"/>
      <c r="H1743" s="269"/>
      <c r="I1743" s="270"/>
      <c r="J1743" s="32"/>
      <c r="K1743" s="270"/>
      <c r="L1743" s="270"/>
      <c r="M1743" s="39"/>
      <c r="N1743" s="39"/>
      <c r="O1743" s="47"/>
      <c r="P1743" s="57"/>
      <c r="Q1743" s="276"/>
      <c r="R1743" s="277"/>
      <c r="S1743" s="277"/>
      <c r="T1743" s="40"/>
      <c r="U1743" s="278"/>
      <c r="V1743" s="269"/>
      <c r="W1743" s="269"/>
      <c r="X1743" s="275"/>
      <c r="Y1743" s="269"/>
      <c r="Z1743" s="357"/>
      <c r="AA1743" s="207"/>
      <c r="AB1743" s="369"/>
      <c r="AC1743" s="370"/>
      <c r="AD1743" s="332"/>
      <c r="AE1743" s="216"/>
      <c r="AF1743" s="43"/>
      <c r="AG1743" s="47"/>
      <c r="AH1743" s="30"/>
      <c r="AI1743" s="30"/>
      <c r="AJ1743" s="30"/>
      <c r="AK1743" s="30"/>
      <c r="AL1743" s="13"/>
      <c r="AM1743" s="13"/>
      <c r="AN1743" s="13"/>
      <c r="AO1743" s="13"/>
      <c r="AP1743" s="13"/>
      <c r="AQ1743" s="14"/>
      <c r="AR1743" s="15"/>
    </row>
    <row r="1744" spans="1:44" s="17" customFormat="1" ht="30.95" hidden="1" customHeight="1" x14ac:dyDescent="0.2">
      <c r="A1744" s="320"/>
      <c r="B1744" s="321"/>
      <c r="C1744" s="345"/>
      <c r="D1744" s="398">
        <v>3762728</v>
      </c>
      <c r="E1744" s="31">
        <v>4151726</v>
      </c>
      <c r="F1744" s="268" t="str">
        <f>IF(D1744="","",VLOOKUP(D1744,契約台帳!$A$3:$K$4986,6,FALSE)&amp;VLOOKUP(D1744,契約台帳!$A$3:$K$4986,7,FALSE)&amp;VLOOKUP(D1744,契約台帳!$A$3:$K$4986,8,FALSE)&amp;VLOOKUP(D1744,契約台帳!$A$3:$K$4986,9,FALSE)&amp;VLOOKUP(D1744,契約台帳!$A$3:$K$4986,11,FALSE))</f>
        <v>3SNMLBMNGKKBF</v>
      </c>
      <c r="G1744" s="269" t="str">
        <f>IF(D1744="","",VLOOKUP(F1744,製品マスタ!$G$5:$H$5002,2,FALSE))</f>
        <v>S</v>
      </c>
      <c r="H1744" s="269" t="str">
        <f>IF(D1744="","",VLOOKUP(F1744,製品マスタ!$G$5:$K$5002,5,FALSE))</f>
        <v>MNGKKBF</v>
      </c>
      <c r="I1744" s="270" t="str">
        <f>IF(D1744="","",VLOOKUP(F1744,製品マスタ!$G$5:$L$5002,6,FALSE))</f>
        <v>メタルミー　ネーマー銀消改　Ｂ</v>
      </c>
      <c r="J1744" s="32" t="s">
        <v>447</v>
      </c>
      <c r="K1744" s="270">
        <f>IF(D1744="","",VLOOKUP(D1744,契約台帳!$A$3:$L$4986,12,FALSE))</f>
        <v>50</v>
      </c>
      <c r="L1744" s="270" t="str">
        <f>IF(D1744="","",INDEX(製品マスタ!$Q$5:$Q$5002,MATCH(F1744&amp;K1744,製品マスタ!$AO$5:$AO$5002,0)))</f>
        <v>S99-MAT</v>
      </c>
      <c r="M1744" s="39">
        <v>1120</v>
      </c>
      <c r="N1744" s="39">
        <v>8000</v>
      </c>
      <c r="O1744" s="47">
        <v>1</v>
      </c>
      <c r="P1744" s="57"/>
      <c r="Q1744" s="276">
        <f>IF(D1744="","",IF(J1744="リード付け",M1744,VLOOKUP(D1744,契約台帳!$A$3:$N$4986,14,FALSE)))</f>
        <v>1120</v>
      </c>
      <c r="R1744" s="277">
        <f>IF(D1744="","",IF(J1744="リード付け",M1744,VLOOKUP(D1744,契約台帳!$A$3:$O$4986,15,FALSE)))</f>
        <v>1120</v>
      </c>
      <c r="S1744" s="277">
        <f>IF(D1744="","",IF(J1744="リード付け",N1744,VLOOKUP(D1744,契約台帳!$A$3:$P$4986,16,FALSE)))</f>
        <v>4000</v>
      </c>
      <c r="T1744" s="40">
        <v>2</v>
      </c>
      <c r="U1744" s="278" t="str">
        <f ca="1">IF(D1744="","",IF(OFFSET(D1744,-2,0)=D1744,"",VLOOKUP(D1744,契約台帳!$A$3:$R$4986,18,FALSE)))</f>
        <v/>
      </c>
      <c r="V1744" s="269" t="str">
        <f>IF(J1744="巻返し",VLOOKUP(F1744&amp;K1744&amp;M1744,製品マスタ!$M$5:$AD$5002,18,FALSE),IF(J1744="リード付け","原反コア",IF(J1744="スリット",VLOOKUP(F1744&amp;K1744&amp;Q1744,製品マスタ!$N$5:$AD$5002,17,FALSE),"")))</f>
        <v>6ｲﾝﾁSｺｱ</v>
      </c>
      <c r="W1744" s="269">
        <f>IF(J1744="巻返し",VLOOKUP(F1744&amp;K1744&amp;M1744,製品マスタ!$M$5:$AE$5002,19,FALSE),IF(J1744="リード付け","-",IF(J1744="スリット",VLOOKUP(F1744&amp;K1744&amp;Q1744,製品マスタ!$N$5:$AE$5002,18,FALSE),"")))</f>
        <v>1125</v>
      </c>
      <c r="X1744" s="275">
        <f>IF(D1744="","",VLOOKUP(D1744,契約台帳!$A$3:$Q$4986,17,FALSE))</f>
        <v>2</v>
      </c>
      <c r="Y1744" s="269" t="str">
        <f>IF(D1744="","",VLOOKUP(D1744,契約台帳!$A$3:$E$4986,5,FALSE))</f>
        <v>リンテック㈱</v>
      </c>
      <c r="Z1744" s="357">
        <v>45502</v>
      </c>
      <c r="AA1744" s="207"/>
      <c r="AB1744" s="369"/>
      <c r="AC1744" s="370"/>
      <c r="AD1744" s="332" t="str">
        <f>IF(F1744="","",+F1744&amp;K1744)</f>
        <v>3SNMLBMNGKKBF50</v>
      </c>
      <c r="AE1744" s="216">
        <f>+M1744*N1744*O1744/1000</f>
        <v>8960</v>
      </c>
      <c r="AF1744" s="43">
        <f>IF(AD1744="","",VLOOKUP(AD1744,原価マスタ!$A$2:$AJ$1693,13,FALSE))</f>
        <v>99</v>
      </c>
      <c r="AG1744" s="47">
        <f>IF(AF1744="","",+AE1744*AF1744/100)</f>
        <v>8870.4</v>
      </c>
      <c r="AH1744" s="30"/>
      <c r="AI1744" s="30"/>
      <c r="AJ1744" s="30"/>
      <c r="AK1744" s="30"/>
      <c r="AL1744" s="13"/>
      <c r="AM1744" s="13"/>
      <c r="AN1744" s="13"/>
      <c r="AO1744" s="13"/>
      <c r="AP1744" s="13"/>
      <c r="AQ1744" s="14"/>
      <c r="AR1744" s="15"/>
    </row>
    <row r="1745" spans="1:44" s="17" customFormat="1" ht="30.95" hidden="1" customHeight="1" x14ac:dyDescent="0.2">
      <c r="A1745" s="343"/>
      <c r="B1745" s="344"/>
      <c r="C1745" s="345"/>
      <c r="D1745" s="398"/>
      <c r="E1745" s="31"/>
      <c r="F1745" s="268"/>
      <c r="G1745" s="269"/>
      <c r="H1745" s="269"/>
      <c r="I1745" s="270"/>
      <c r="J1745" s="32"/>
      <c r="K1745" s="270"/>
      <c r="L1745" s="270"/>
      <c r="M1745" s="39"/>
      <c r="N1745" s="39"/>
      <c r="O1745" s="47"/>
      <c r="P1745" s="57"/>
      <c r="Q1745" s="276"/>
      <c r="R1745" s="277"/>
      <c r="S1745" s="277"/>
      <c r="T1745" s="40"/>
      <c r="U1745" s="278"/>
      <c r="V1745" s="269"/>
      <c r="W1745" s="269"/>
      <c r="X1745" s="275"/>
      <c r="Y1745" s="269"/>
      <c r="Z1745" s="357"/>
      <c r="AA1745" s="207"/>
      <c r="AB1745" s="369"/>
      <c r="AC1745" s="370"/>
      <c r="AD1745" s="332"/>
      <c r="AE1745" s="216"/>
      <c r="AF1745" s="43"/>
      <c r="AG1745" s="47"/>
      <c r="AH1745" s="30"/>
      <c r="AI1745" s="30"/>
      <c r="AJ1745" s="30"/>
      <c r="AK1745" s="30"/>
      <c r="AL1745" s="13"/>
      <c r="AM1745" s="13"/>
      <c r="AN1745" s="13"/>
      <c r="AO1745" s="13"/>
      <c r="AP1745" s="13"/>
      <c r="AQ1745" s="14"/>
      <c r="AR1745" s="15"/>
    </row>
    <row r="1746" spans="1:44" s="17" customFormat="1" ht="30.95" hidden="1" customHeight="1" x14ac:dyDescent="0.2">
      <c r="A1746" s="320"/>
      <c r="B1746" s="321"/>
      <c r="C1746" s="345"/>
      <c r="D1746" s="398">
        <v>3762743</v>
      </c>
      <c r="E1746" s="31">
        <v>4151741</v>
      </c>
      <c r="F1746" s="268" t="str">
        <f>IF(D1746="","",VLOOKUP(D1746,契約台帳!$A$3:$K$4986,6,FALSE)&amp;VLOOKUP(D1746,契約台帳!$A$3:$K$4986,7,FALSE)&amp;VLOOKUP(D1746,契約台帳!$A$3:$K$4986,8,FALSE)&amp;VLOOKUP(D1746,契約台帳!$A$3:$K$4986,9,FALSE)&amp;VLOOKUP(D1746,契約台帳!$A$3:$K$4986,11,FALSE))</f>
        <v>3SYMLBMSNMBZF</v>
      </c>
      <c r="G1746" s="269" t="str">
        <f>IF(D1746="","",VLOOKUP(F1746,製品マスタ!$G$5:$H$5002,2,FALSE))</f>
        <v>S</v>
      </c>
      <c r="H1746" s="269" t="str">
        <f>IF(D1746="","",VLOOKUP(F1746,製品マスタ!$G$5:$K$5002,5,FALSE))</f>
        <v>MSNMBZF</v>
      </c>
      <c r="I1746" s="270" t="str">
        <f>IF(D1746="","",VLOOKUP(F1746,製品マスタ!$G$5:$L$5002,6,FALSE))</f>
        <v>ＭＥＴＡＬＵＭＹ　ＳＩＬＶＥＲ　Ｎ－ＭＡＴＴＥ　Ｂ</v>
      </c>
      <c r="J1746" s="32" t="s">
        <v>447</v>
      </c>
      <c r="K1746" s="270">
        <f>IF(D1746="","",VLOOKUP(D1746,契約台帳!$A$3:$L$4986,12,FALSE))</f>
        <v>50</v>
      </c>
      <c r="L1746" s="270" t="str">
        <f>IF(D1746="","",INDEX(製品マスタ!$Q$5:$Q$5002,MATCH(F1746&amp;K1746,製品マスタ!$AO$5:$AO$5002,0)))</f>
        <v>X44</v>
      </c>
      <c r="M1746" s="39">
        <v>1120</v>
      </c>
      <c r="N1746" s="39">
        <v>4000</v>
      </c>
      <c r="O1746" s="47">
        <v>1</v>
      </c>
      <c r="P1746" s="57"/>
      <c r="Q1746" s="276">
        <f>IF(D1746="","",IF(J1746="リード付け",M1746,VLOOKUP(D1746,契約台帳!$A$3:$N$4986,14,FALSE)))</f>
        <v>1120</v>
      </c>
      <c r="R1746" s="277">
        <f>IF(D1746="","",IF(J1746="リード付け",M1746,VLOOKUP(D1746,契約台帳!$A$3:$O$4986,15,FALSE)))</f>
        <v>1120</v>
      </c>
      <c r="S1746" s="277">
        <f>IF(D1746="","",IF(J1746="リード付け",N1746,VLOOKUP(D1746,契約台帳!$A$3:$P$4986,16,FALSE)))</f>
        <v>4000</v>
      </c>
      <c r="T1746" s="40">
        <v>1</v>
      </c>
      <c r="U1746" s="278">
        <f ca="1">IF(D1746="","",IF(OFFSET(D1746,-2,0)=D1746,"",VLOOKUP(D1746,契約台帳!$A$3:$R$4986,18,FALSE)))</f>
        <v>1</v>
      </c>
      <c r="V1746" s="269" t="str">
        <f>IF(J1746="巻返し",VLOOKUP(F1746&amp;K1746&amp;M1746,製品マスタ!$M$5:$AD$5002,18,FALSE),IF(J1746="リード付け","原反コア",IF(J1746="スリット",VLOOKUP(F1746&amp;K1746&amp;Q1746,製品マスタ!$N$5:$AD$5002,17,FALSE),"")))</f>
        <v>6ｲﾝﾁMｺｱ</v>
      </c>
      <c r="W1746" s="269">
        <f>IF(J1746="巻返し",VLOOKUP(F1746&amp;K1746&amp;M1746,製品マスタ!$M$5:$AE$5002,19,FALSE),IF(J1746="リード付け","-",IF(J1746="スリット",VLOOKUP(F1746&amp;K1746&amp;Q1746,製品マスタ!$N$5:$AE$5002,18,FALSE),"")))</f>
        <v>1125</v>
      </c>
      <c r="X1746" s="275">
        <f>IF(D1746="","",VLOOKUP(D1746,契約台帳!$A$3:$Q$4986,17,FALSE))</f>
        <v>2</v>
      </c>
      <c r="Y1746" s="269" t="str">
        <f>IF(D1746="","",VLOOKUP(D1746,契約台帳!$A$3:$E$4986,5,FALSE))</f>
        <v>リンテック㈱</v>
      </c>
      <c r="Z1746" s="357">
        <v>45503</v>
      </c>
      <c r="AA1746" s="207"/>
      <c r="AB1746" s="369"/>
      <c r="AC1746" s="370"/>
      <c r="AD1746" s="332" t="str">
        <f>IF(F1746="","",+F1746&amp;K1746)</f>
        <v>3SYMLBMSNMBZF50</v>
      </c>
      <c r="AE1746" s="216">
        <f>+M1746*N1746*O1746/1000</f>
        <v>4480</v>
      </c>
      <c r="AF1746" s="43">
        <f>IF(AD1746="","",VLOOKUP(AD1746,原価マスタ!$A$2:$AJ$1693,13,FALSE))</f>
        <v>99</v>
      </c>
      <c r="AG1746" s="47">
        <f>IF(AF1746="","",+AE1746*AF1746/100)</f>
        <v>4435.2</v>
      </c>
      <c r="AH1746" s="30"/>
      <c r="AI1746" s="30"/>
      <c r="AJ1746" s="30"/>
      <c r="AK1746" s="30"/>
      <c r="AL1746" s="13"/>
      <c r="AM1746" s="13"/>
      <c r="AN1746" s="13"/>
      <c r="AO1746" s="13"/>
      <c r="AP1746" s="13"/>
      <c r="AQ1746" s="14"/>
      <c r="AR1746" s="15"/>
    </row>
    <row r="1747" spans="1:44" s="17" customFormat="1" ht="30.95" hidden="1" customHeight="1" x14ac:dyDescent="0.2">
      <c r="A1747" s="343"/>
      <c r="B1747" s="344"/>
      <c r="C1747" s="345"/>
      <c r="D1747" s="398"/>
      <c r="E1747" s="31"/>
      <c r="F1747" s="268"/>
      <c r="G1747" s="269"/>
      <c r="H1747" s="269"/>
      <c r="I1747" s="270"/>
      <c r="J1747" s="32"/>
      <c r="K1747" s="270"/>
      <c r="L1747" s="270"/>
      <c r="M1747" s="39"/>
      <c r="N1747" s="39"/>
      <c r="O1747" s="47"/>
      <c r="P1747" s="57"/>
      <c r="Q1747" s="276"/>
      <c r="R1747" s="277"/>
      <c r="S1747" s="277"/>
      <c r="T1747" s="40"/>
      <c r="U1747" s="278"/>
      <c r="V1747" s="269"/>
      <c r="W1747" s="269"/>
      <c r="X1747" s="275"/>
      <c r="Y1747" s="269"/>
      <c r="Z1747" s="357"/>
      <c r="AA1747" s="207"/>
      <c r="AB1747" s="369"/>
      <c r="AC1747" s="370"/>
      <c r="AD1747" s="332"/>
      <c r="AE1747" s="216"/>
      <c r="AF1747" s="43"/>
      <c r="AG1747" s="47"/>
      <c r="AH1747" s="30"/>
      <c r="AI1747" s="30"/>
      <c r="AJ1747" s="30"/>
      <c r="AK1747" s="30"/>
      <c r="AL1747" s="13"/>
      <c r="AM1747" s="13"/>
      <c r="AN1747" s="13"/>
      <c r="AO1747" s="13"/>
      <c r="AP1747" s="13"/>
      <c r="AQ1747" s="14"/>
      <c r="AR1747" s="15"/>
    </row>
    <row r="1748" spans="1:44" s="17" customFormat="1" ht="30.95" hidden="1" customHeight="1" x14ac:dyDescent="0.2">
      <c r="A1748" s="320"/>
      <c r="B1748" s="321"/>
      <c r="C1748" s="345"/>
      <c r="D1748" s="398">
        <v>3762741</v>
      </c>
      <c r="E1748" s="31">
        <v>4151733</v>
      </c>
      <c r="F1748" s="268" t="str">
        <f>IF(D1748="","",VLOOKUP(D1748,契約台帳!$A$3:$K$4986,6,FALSE)&amp;VLOOKUP(D1748,契約台帳!$A$3:$K$4986,7,FALSE)&amp;VLOOKUP(D1748,契約台帳!$A$3:$K$4986,8,FALSE)&amp;VLOOKUP(D1748,契約台帳!$A$3:$K$4986,9,FALSE)&amp;VLOOKUP(D1748,契約台帳!$A$3:$K$4986,11,FALSE))</f>
        <v>3SYMLBMSSMBF</v>
      </c>
      <c r="G1748" s="269" t="str">
        <f>IF(D1748="","",VLOOKUP(F1748,製品マスタ!$G$5:$H$5002,2,FALSE))</f>
        <v>S</v>
      </c>
      <c r="H1748" s="269" t="str">
        <f>IF(D1748="","",VLOOKUP(F1748,製品マスタ!$G$5:$K$5002,5,FALSE))</f>
        <v>MSSMBF</v>
      </c>
      <c r="I1748" s="270" t="str">
        <f>IF(D1748="","",VLOOKUP(F1748,製品マスタ!$G$5:$L$5002,6,FALSE))</f>
        <v>ＭＥＴＡＬＵＭＹ　ＳＩＬＶＥＲ　Ｓ－ＭＡＴＴＥ　Ｓ２８ＭＭ　Ｂ</v>
      </c>
      <c r="J1748" s="32" t="s">
        <v>447</v>
      </c>
      <c r="K1748" s="270">
        <f>IF(D1748="","",VLOOKUP(D1748,契約台帳!$A$3:$L$4986,12,FALSE))</f>
        <v>50</v>
      </c>
      <c r="L1748" s="270" t="e">
        <f>IF(D1748="","",INDEX(製品マスタ!$Q$5:$Q$5002,MATCH(F1748&amp;K1748,製品マスタ!$AO$5:$AO$5002,0)))</f>
        <v>#N/A</v>
      </c>
      <c r="M1748" s="39">
        <v>1120</v>
      </c>
      <c r="N1748" s="39">
        <v>8000</v>
      </c>
      <c r="O1748" s="47">
        <v>1</v>
      </c>
      <c r="P1748" s="57"/>
      <c r="Q1748" s="276">
        <f>IF(D1748="","",IF(J1748="リード付け",M1748,VLOOKUP(D1748,契約台帳!$A$3:$N$4986,14,FALSE)))</f>
        <v>1120</v>
      </c>
      <c r="R1748" s="277">
        <f>IF(D1748="","",IF(J1748="リード付け",M1748,VLOOKUP(D1748,契約台帳!$A$3:$O$4986,15,FALSE)))</f>
        <v>1120</v>
      </c>
      <c r="S1748" s="277">
        <f>IF(D1748="","",IF(J1748="リード付け",N1748,VLOOKUP(D1748,契約台帳!$A$3:$P$4986,16,FALSE)))</f>
        <v>4000</v>
      </c>
      <c r="T1748" s="40">
        <v>2</v>
      </c>
      <c r="U1748" s="278">
        <f ca="1">IF(D1748="","",IF(OFFSET(D1748,-2,0)=D1748,"",VLOOKUP(D1748,契約台帳!$A$3:$R$4986,18,FALSE)))</f>
        <v>2</v>
      </c>
      <c r="V1748" s="269" t="e">
        <f>IF(J1748="巻返し",VLOOKUP(F1748&amp;K1748&amp;M1748,製品マスタ!$M$5:$AD$5002,18,FALSE),IF(J1748="リード付け","原反コア",IF(J1748="スリット",VLOOKUP(F1748&amp;K1748&amp;Q1748,製品マスタ!$N$5:$AD$5002,17,FALSE),"")))</f>
        <v>#N/A</v>
      </c>
      <c r="W1748" s="269" t="e">
        <f>IF(J1748="巻返し",VLOOKUP(F1748&amp;K1748&amp;M1748,製品マスタ!$M$5:$AE$5002,19,FALSE),IF(J1748="リード付け","-",IF(J1748="スリット",VLOOKUP(F1748&amp;K1748&amp;Q1748,製品マスタ!$N$5:$AE$5002,18,FALSE),"")))</f>
        <v>#N/A</v>
      </c>
      <c r="X1748" s="275">
        <f>IF(D1748="","",VLOOKUP(D1748,契約台帳!$A$3:$Q$4986,17,FALSE))</f>
        <v>2</v>
      </c>
      <c r="Y1748" s="269" t="str">
        <f>IF(D1748="","",VLOOKUP(D1748,契約台帳!$A$3:$E$4986,5,FALSE))</f>
        <v>リンテック㈱</v>
      </c>
      <c r="Z1748" s="357">
        <v>45503</v>
      </c>
      <c r="AA1748" s="207"/>
      <c r="AB1748" s="369"/>
      <c r="AC1748" s="370"/>
      <c r="AD1748" s="332" t="str">
        <f>IF(F1748="","",+F1748&amp;K1748)</f>
        <v>3SYMLBMSSMBF50</v>
      </c>
      <c r="AE1748" s="216">
        <f>+M1748*N1748*O1748/1000</f>
        <v>8960</v>
      </c>
      <c r="AF1748" s="43">
        <f>IF(AD1748="","",VLOOKUP(AD1748,原価マスタ!$A$2:$AJ$1693,13,FALSE))</f>
        <v>98</v>
      </c>
      <c r="AG1748" s="47">
        <f>IF(AF1748="","",+AE1748*AF1748/100)</f>
        <v>8780.7999999999993</v>
      </c>
      <c r="AH1748" s="30"/>
      <c r="AI1748" s="30"/>
      <c r="AJ1748" s="30"/>
      <c r="AK1748" s="30"/>
      <c r="AL1748" s="13"/>
      <c r="AM1748" s="13"/>
      <c r="AN1748" s="13"/>
      <c r="AO1748" s="13"/>
      <c r="AP1748" s="13"/>
      <c r="AQ1748" s="14"/>
      <c r="AR1748" s="15"/>
    </row>
    <row r="1749" spans="1:44" s="17" customFormat="1" ht="30.95" hidden="1" customHeight="1" x14ac:dyDescent="0.2">
      <c r="A1749" s="343"/>
      <c r="B1749" s="344"/>
      <c r="C1749" s="345"/>
      <c r="D1749" s="398"/>
      <c r="E1749" s="31"/>
      <c r="F1749" s="268"/>
      <c r="G1749" s="269"/>
      <c r="H1749" s="269"/>
      <c r="I1749" s="270"/>
      <c r="J1749" s="32"/>
      <c r="K1749" s="270"/>
      <c r="L1749" s="270"/>
      <c r="M1749" s="39"/>
      <c r="N1749" s="39"/>
      <c r="O1749" s="47"/>
      <c r="P1749" s="57"/>
      <c r="Q1749" s="276"/>
      <c r="R1749" s="277"/>
      <c r="S1749" s="277"/>
      <c r="T1749" s="40"/>
      <c r="U1749" s="278"/>
      <c r="V1749" s="269"/>
      <c r="W1749" s="269"/>
      <c r="X1749" s="275"/>
      <c r="Y1749" s="269"/>
      <c r="Z1749" s="357"/>
      <c r="AA1749" s="207"/>
      <c r="AB1749" s="369"/>
      <c r="AC1749" s="370"/>
      <c r="AD1749" s="332"/>
      <c r="AE1749" s="216"/>
      <c r="AF1749" s="43"/>
      <c r="AG1749" s="47"/>
      <c r="AH1749" s="30"/>
      <c r="AI1749" s="30"/>
      <c r="AJ1749" s="30"/>
      <c r="AK1749" s="30"/>
      <c r="AL1749" s="13"/>
      <c r="AM1749" s="13"/>
      <c r="AN1749" s="13"/>
      <c r="AO1749" s="13"/>
      <c r="AP1749" s="13"/>
      <c r="AQ1749" s="14"/>
      <c r="AR1749" s="15"/>
    </row>
    <row r="1750" spans="1:44" s="17" customFormat="1" ht="30.95" hidden="1" customHeight="1" x14ac:dyDescent="0.2">
      <c r="A1750" s="320"/>
      <c r="B1750" s="321"/>
      <c r="C1750" s="345"/>
      <c r="D1750" s="398">
        <v>3762742</v>
      </c>
      <c r="E1750" s="31">
        <v>4151734</v>
      </c>
      <c r="F1750" s="268" t="str">
        <f>IF(D1750="","",VLOOKUP(D1750,契約台帳!$A$3:$K$4986,6,FALSE)&amp;VLOOKUP(D1750,契約台帳!$A$3:$K$4986,7,FALSE)&amp;VLOOKUP(D1750,契約台帳!$A$3:$K$4986,8,FALSE)&amp;VLOOKUP(D1750,契約台帳!$A$3:$K$4986,9,FALSE)&amp;VLOOKUP(D1750,契約台帳!$A$3:$K$4986,11,FALSE))</f>
        <v>3SYMLBMSSMBF</v>
      </c>
      <c r="G1750" s="269" t="str">
        <f>IF(D1750="","",VLOOKUP(F1750,製品マスタ!$G$5:$H$5002,2,FALSE))</f>
        <v>S</v>
      </c>
      <c r="H1750" s="269" t="str">
        <f>IF(D1750="","",VLOOKUP(F1750,製品マスタ!$G$5:$K$5002,5,FALSE))</f>
        <v>MSSMBF</v>
      </c>
      <c r="I1750" s="270" t="str">
        <f>IF(D1750="","",VLOOKUP(F1750,製品マスタ!$G$5:$L$5002,6,FALSE))</f>
        <v>ＭＥＴＡＬＵＭＹ　ＳＩＬＶＥＲ　Ｓ－ＭＡＴＴＥ　Ｓ２８ＭＭ　Ｂ</v>
      </c>
      <c r="J1750" s="32" t="s">
        <v>447</v>
      </c>
      <c r="K1750" s="270">
        <f>IF(D1750="","",VLOOKUP(D1750,契約台帳!$A$3:$L$4986,12,FALSE))</f>
        <v>50</v>
      </c>
      <c r="L1750" s="270" t="e">
        <f>IF(D1750="","",INDEX(製品マスタ!$Q$5:$Q$5002,MATCH(F1750&amp;K1750,製品マスタ!$AO$5:$AO$5002,0)))</f>
        <v>#N/A</v>
      </c>
      <c r="M1750" s="39">
        <v>1120</v>
      </c>
      <c r="N1750" s="39">
        <v>12000</v>
      </c>
      <c r="O1750" s="47">
        <v>2</v>
      </c>
      <c r="P1750" s="57"/>
      <c r="Q1750" s="276">
        <f>IF(D1750="","",IF(J1750="リード付け",M1750,VLOOKUP(D1750,契約台帳!$A$3:$N$4986,14,FALSE)))</f>
        <v>1120</v>
      </c>
      <c r="R1750" s="277">
        <f>IF(D1750="","",IF(J1750="リード付け",M1750,VLOOKUP(D1750,契約台帳!$A$3:$O$4986,15,FALSE)))</f>
        <v>1120</v>
      </c>
      <c r="S1750" s="277">
        <f>IF(D1750="","",IF(J1750="リード付け",N1750,VLOOKUP(D1750,契約台帳!$A$3:$P$4986,16,FALSE)))</f>
        <v>4000</v>
      </c>
      <c r="T1750" s="40">
        <v>6</v>
      </c>
      <c r="U1750" s="278">
        <f ca="1">IF(D1750="","",IF(OFFSET(D1750,-2,0)=D1750,"",VLOOKUP(D1750,契約台帳!$A$3:$R$4986,18,FALSE)))</f>
        <v>8</v>
      </c>
      <c r="V1750" s="269" t="e">
        <f>IF(J1750="巻返し",VLOOKUP(F1750&amp;K1750&amp;M1750,製品マスタ!$M$5:$AD$5002,18,FALSE),IF(J1750="リード付け","原反コア",IF(J1750="スリット",VLOOKUP(F1750&amp;K1750&amp;Q1750,製品マスタ!$N$5:$AD$5002,17,FALSE),"")))</f>
        <v>#N/A</v>
      </c>
      <c r="W1750" s="269" t="e">
        <f>IF(J1750="巻返し",VLOOKUP(F1750&amp;K1750&amp;M1750,製品マスタ!$M$5:$AE$5002,19,FALSE),IF(J1750="リード付け","-",IF(J1750="スリット",VLOOKUP(F1750&amp;K1750&amp;Q1750,製品マスタ!$N$5:$AE$5002,18,FALSE),"")))</f>
        <v>#N/A</v>
      </c>
      <c r="X1750" s="275">
        <f>IF(D1750="","",VLOOKUP(D1750,契約台帳!$A$3:$Q$4986,17,FALSE))</f>
        <v>2</v>
      </c>
      <c r="Y1750" s="269" t="str">
        <f>IF(D1750="","",VLOOKUP(D1750,契約台帳!$A$3:$E$4986,5,FALSE))</f>
        <v>リンテック㈱</v>
      </c>
      <c r="Z1750" s="357">
        <v>45503</v>
      </c>
      <c r="AA1750" s="207"/>
      <c r="AB1750" s="369"/>
      <c r="AC1750" s="370"/>
      <c r="AD1750" s="332" t="str">
        <f>IF(F1750="","",+F1750&amp;K1750)</f>
        <v>3SYMLBMSSMBF50</v>
      </c>
      <c r="AE1750" s="216">
        <f>+M1750*N1750*O1750/1000</f>
        <v>26880</v>
      </c>
      <c r="AF1750" s="43">
        <f>IF(AD1750="","",VLOOKUP(AD1750,原価マスタ!$A$2:$AJ$1693,13,FALSE))</f>
        <v>98</v>
      </c>
      <c r="AG1750" s="47">
        <f>IF(AF1750="","",+AE1750*AF1750/100)</f>
        <v>26342.400000000001</v>
      </c>
      <c r="AH1750" s="30"/>
      <c r="AI1750" s="30"/>
      <c r="AJ1750" s="30"/>
      <c r="AK1750" s="30"/>
      <c r="AL1750" s="13"/>
      <c r="AM1750" s="13"/>
      <c r="AN1750" s="13"/>
      <c r="AO1750" s="13"/>
      <c r="AP1750" s="13"/>
      <c r="AQ1750" s="14"/>
      <c r="AR1750" s="15"/>
    </row>
    <row r="1751" spans="1:44" s="17" customFormat="1" ht="30.95" hidden="1" customHeight="1" x14ac:dyDescent="0.2">
      <c r="A1751" s="343"/>
      <c r="B1751" s="344"/>
      <c r="C1751" s="345"/>
      <c r="D1751" s="398"/>
      <c r="E1751" s="31"/>
      <c r="F1751" s="268"/>
      <c r="G1751" s="269"/>
      <c r="H1751" s="269"/>
      <c r="I1751" s="270"/>
      <c r="J1751" s="32"/>
      <c r="K1751" s="270"/>
      <c r="L1751" s="270"/>
      <c r="M1751" s="39"/>
      <c r="N1751" s="39"/>
      <c r="O1751" s="47"/>
      <c r="P1751" s="57"/>
      <c r="Q1751" s="276"/>
      <c r="R1751" s="277"/>
      <c r="S1751" s="277"/>
      <c r="T1751" s="40"/>
      <c r="U1751" s="278"/>
      <c r="V1751" s="269"/>
      <c r="W1751" s="269"/>
      <c r="X1751" s="275"/>
      <c r="Y1751" s="269"/>
      <c r="Z1751" s="357"/>
      <c r="AA1751" s="207"/>
      <c r="AB1751" s="369"/>
      <c r="AC1751" s="370"/>
      <c r="AD1751" s="332"/>
      <c r="AE1751" s="216"/>
      <c r="AF1751" s="43"/>
      <c r="AG1751" s="47"/>
      <c r="AH1751" s="30"/>
      <c r="AI1751" s="30"/>
      <c r="AJ1751" s="30"/>
      <c r="AK1751" s="30"/>
      <c r="AL1751" s="13"/>
      <c r="AM1751" s="13"/>
      <c r="AN1751" s="13"/>
      <c r="AO1751" s="13"/>
      <c r="AP1751" s="13"/>
      <c r="AQ1751" s="14"/>
      <c r="AR1751" s="15"/>
    </row>
    <row r="1752" spans="1:44" s="17" customFormat="1" ht="30.95" hidden="1" customHeight="1" x14ac:dyDescent="0.2">
      <c r="A1752" s="320" t="s">
        <v>516</v>
      </c>
      <c r="B1752" s="321" t="s">
        <v>444</v>
      </c>
      <c r="C1752" s="345"/>
      <c r="D1752" s="398">
        <v>3762742</v>
      </c>
      <c r="E1752" s="31">
        <v>4151734</v>
      </c>
      <c r="F1752" s="268" t="str">
        <f>IF(D1752="","",VLOOKUP(D1752,契約台帳!$A$3:$K$4986,6,FALSE)&amp;VLOOKUP(D1752,契約台帳!$A$3:$K$4986,7,FALSE)&amp;VLOOKUP(D1752,契約台帳!$A$3:$K$4986,8,FALSE)&amp;VLOOKUP(D1752,契約台帳!$A$3:$K$4986,9,FALSE)&amp;VLOOKUP(D1752,契約台帳!$A$3:$K$4986,11,FALSE))</f>
        <v>3SYMLBMSSMBF</v>
      </c>
      <c r="G1752" s="269" t="str">
        <f>IF(D1752="","",VLOOKUP(F1752,製品マスタ!$G$5:$H$5002,2,FALSE))</f>
        <v>S</v>
      </c>
      <c r="H1752" s="269" t="str">
        <f>IF(D1752="","",VLOOKUP(F1752,製品マスタ!$G$5:$K$5002,5,FALSE))</f>
        <v>MSSMBF</v>
      </c>
      <c r="I1752" s="270" t="str">
        <f>IF(D1752="","",VLOOKUP(F1752,製品マスタ!$G$5:$L$5002,6,FALSE))</f>
        <v>ＭＥＴＡＬＵＭＹ　ＳＩＬＶＥＲ　Ｓ－ＭＡＴＴＥ　Ｓ２８ＭＭ　Ｂ</v>
      </c>
      <c r="J1752" s="32" t="s">
        <v>447</v>
      </c>
      <c r="K1752" s="270">
        <f>IF(D1752="","",VLOOKUP(D1752,契約台帳!$A$3:$L$4986,12,FALSE))</f>
        <v>50</v>
      </c>
      <c r="L1752" s="270" t="e">
        <f>IF(D1752="","",INDEX(製品マスタ!$Q$5:$Q$5002,MATCH(F1752&amp;K1752,製品マスタ!$AO$5:$AO$5002,0)))</f>
        <v>#N/A</v>
      </c>
      <c r="M1752" s="39">
        <v>1120</v>
      </c>
      <c r="N1752" s="39">
        <v>8000</v>
      </c>
      <c r="O1752" s="47">
        <v>1</v>
      </c>
      <c r="P1752" s="57"/>
      <c r="Q1752" s="276">
        <f>IF(D1752="","",IF(J1752="リード付け",M1752,VLOOKUP(D1752,契約台帳!$A$3:$N$4986,14,FALSE)))</f>
        <v>1120</v>
      </c>
      <c r="R1752" s="277">
        <f>IF(D1752="","",IF(J1752="リード付け",M1752,VLOOKUP(D1752,契約台帳!$A$3:$O$4986,15,FALSE)))</f>
        <v>1120</v>
      </c>
      <c r="S1752" s="277">
        <f>IF(D1752="","",IF(J1752="リード付け",N1752,VLOOKUP(D1752,契約台帳!$A$3:$P$4986,16,FALSE)))</f>
        <v>4000</v>
      </c>
      <c r="T1752" s="40">
        <v>2</v>
      </c>
      <c r="U1752" s="278" t="str">
        <f ca="1">IF(D1752="","",IF(OFFSET(D1752,-2,0)=D1752,"",VLOOKUP(D1752,契約台帳!$A$3:$R$4986,18,FALSE)))</f>
        <v/>
      </c>
      <c r="V1752" s="269" t="e">
        <f>IF(J1752="巻返し",VLOOKUP(F1752&amp;K1752&amp;M1752,製品マスタ!$M$5:$AD$5002,18,FALSE),IF(J1752="リード付け","原反コア",IF(J1752="スリット",VLOOKUP(F1752&amp;K1752&amp;Q1752,製品マスタ!$N$5:$AD$5002,17,FALSE),"")))</f>
        <v>#N/A</v>
      </c>
      <c r="W1752" s="269" t="e">
        <f>IF(J1752="巻返し",VLOOKUP(F1752&amp;K1752&amp;M1752,製品マスタ!$M$5:$AE$5002,19,FALSE),IF(J1752="リード付け","-",IF(J1752="スリット",VLOOKUP(F1752&amp;K1752&amp;Q1752,製品マスタ!$N$5:$AE$5002,18,FALSE),"")))</f>
        <v>#N/A</v>
      </c>
      <c r="X1752" s="275">
        <f>IF(D1752="","",VLOOKUP(D1752,契約台帳!$A$3:$Q$4986,17,FALSE))</f>
        <v>2</v>
      </c>
      <c r="Y1752" s="269" t="str">
        <f>IF(D1752="","",VLOOKUP(D1752,契約台帳!$A$3:$E$4986,5,FALSE))</f>
        <v>リンテック㈱</v>
      </c>
      <c r="Z1752" s="357">
        <v>45503</v>
      </c>
      <c r="AA1752" s="207"/>
      <c r="AB1752" s="369"/>
      <c r="AC1752" s="370"/>
      <c r="AD1752" s="332" t="str">
        <f>IF(F1752="","",+F1752&amp;K1752)</f>
        <v>3SYMLBMSSMBF50</v>
      </c>
      <c r="AE1752" s="216">
        <f>+M1752*N1752*O1752/1000</f>
        <v>8960</v>
      </c>
      <c r="AF1752" s="43">
        <f>IF(AD1752="","",VLOOKUP(AD1752,原価マスタ!$A$2:$AJ$1693,13,FALSE))</f>
        <v>98</v>
      </c>
      <c r="AG1752" s="47">
        <f>IF(AF1752="","",+AE1752*AF1752/100)</f>
        <v>8780.7999999999993</v>
      </c>
      <c r="AH1752" s="30"/>
      <c r="AI1752" s="30"/>
      <c r="AJ1752" s="30"/>
      <c r="AK1752" s="30"/>
      <c r="AL1752" s="13"/>
      <c r="AM1752" s="13"/>
      <c r="AN1752" s="13"/>
      <c r="AO1752" s="13"/>
      <c r="AP1752" s="13"/>
      <c r="AQ1752" s="14"/>
      <c r="AR1752" s="15"/>
    </row>
    <row r="1753" spans="1:44" s="17" customFormat="1" ht="30.95" hidden="1" customHeight="1" x14ac:dyDescent="0.2">
      <c r="A1753" s="343"/>
      <c r="B1753" s="344"/>
      <c r="C1753" s="345"/>
      <c r="D1753" s="398"/>
      <c r="E1753" s="31"/>
      <c r="F1753" s="268"/>
      <c r="G1753" s="269"/>
      <c r="H1753" s="269"/>
      <c r="I1753" s="270"/>
      <c r="J1753" s="32"/>
      <c r="K1753" s="270"/>
      <c r="L1753" s="270"/>
      <c r="M1753" s="39"/>
      <c r="N1753" s="39"/>
      <c r="O1753" s="47"/>
      <c r="P1753" s="57"/>
      <c r="Q1753" s="276"/>
      <c r="R1753" s="277"/>
      <c r="S1753" s="277"/>
      <c r="T1753" s="40"/>
      <c r="U1753" s="278"/>
      <c r="V1753" s="269"/>
      <c r="W1753" s="269"/>
      <c r="X1753" s="275"/>
      <c r="Y1753" s="269"/>
      <c r="Z1753" s="357"/>
      <c r="AA1753" s="207"/>
      <c r="AB1753" s="369"/>
      <c r="AC1753" s="370"/>
      <c r="AD1753" s="332"/>
      <c r="AE1753" s="216"/>
      <c r="AF1753" s="43"/>
      <c r="AG1753" s="47"/>
      <c r="AH1753" s="30"/>
      <c r="AI1753" s="30"/>
      <c r="AJ1753" s="30"/>
      <c r="AK1753" s="30"/>
      <c r="AL1753" s="13"/>
      <c r="AM1753" s="13"/>
      <c r="AN1753" s="13"/>
      <c r="AO1753" s="13"/>
      <c r="AP1753" s="13"/>
      <c r="AQ1753" s="14"/>
      <c r="AR1753" s="15"/>
    </row>
    <row r="1754" spans="1:44" s="17" customFormat="1" ht="30.95" hidden="1" customHeight="1" x14ac:dyDescent="0.2">
      <c r="A1754" s="320"/>
      <c r="B1754" s="321"/>
      <c r="C1754" s="345"/>
      <c r="D1754" s="398">
        <v>3762744</v>
      </c>
      <c r="E1754" s="31">
        <v>4151735</v>
      </c>
      <c r="F1754" s="268" t="str">
        <f>IF(D1754="","",VLOOKUP(D1754,契約台帳!$A$3:$K$4986,6,FALSE)&amp;VLOOKUP(D1754,契約台帳!$A$3:$K$4986,7,FALSE)&amp;VLOOKUP(D1754,契約台帳!$A$3:$K$4986,8,FALSE)&amp;VLOOKUP(D1754,契約台帳!$A$3:$K$4986,9,FALSE)&amp;VLOOKUP(D1754,契約台帳!$A$3:$K$4986,11,FALSE))</f>
        <v>3SYMLBMSSMBZF</v>
      </c>
      <c r="G1754" s="269" t="str">
        <f>IF(D1754="","",VLOOKUP(F1754,製品マスタ!$G$5:$H$5002,2,FALSE))</f>
        <v>S</v>
      </c>
      <c r="H1754" s="269" t="str">
        <f>IF(D1754="","",VLOOKUP(F1754,製品マスタ!$G$5:$K$5002,5,FALSE))</f>
        <v>MSSMBZF</v>
      </c>
      <c r="I1754" s="270" t="str">
        <f>IF(D1754="","",VLOOKUP(F1754,製品マスタ!$G$5:$L$5002,6,FALSE))</f>
        <v>ＭＥＴＡＬＵＭＹ　ＳＩＬＶＥＲ　Ｓ－ＭＡＴＴＥ　Ｂ</v>
      </c>
      <c r="J1754" s="32" t="s">
        <v>447</v>
      </c>
      <c r="K1754" s="270">
        <f>IF(D1754="","",VLOOKUP(D1754,契約台帳!$A$3:$L$4986,12,FALSE))</f>
        <v>50</v>
      </c>
      <c r="L1754" s="270" t="str">
        <f>IF(D1754="","",INDEX(製品マスタ!$Q$5:$Q$5002,MATCH(F1754&amp;K1754,製品マスタ!$AO$5:$AO$5002,0)))</f>
        <v>LI-MAT</v>
      </c>
      <c r="M1754" s="39">
        <v>1120</v>
      </c>
      <c r="N1754" s="39">
        <v>12000</v>
      </c>
      <c r="O1754" s="47">
        <v>2</v>
      </c>
      <c r="P1754" s="57"/>
      <c r="Q1754" s="276">
        <f>IF(D1754="","",IF(J1754="リード付け",M1754,VLOOKUP(D1754,契約台帳!$A$3:$N$4986,14,FALSE)))</f>
        <v>1120</v>
      </c>
      <c r="R1754" s="277">
        <f>IF(D1754="","",IF(J1754="リード付け",M1754,VLOOKUP(D1754,契約台帳!$A$3:$O$4986,15,FALSE)))</f>
        <v>1120</v>
      </c>
      <c r="S1754" s="277">
        <f>IF(D1754="","",IF(J1754="リード付け",N1754,VLOOKUP(D1754,契約台帳!$A$3:$P$4986,16,FALSE)))</f>
        <v>4000</v>
      </c>
      <c r="T1754" s="40">
        <v>6</v>
      </c>
      <c r="U1754" s="278">
        <f ca="1">IF(D1754="","",IF(OFFSET(D1754,-2,0)=D1754,"",VLOOKUP(D1754,契約台帳!$A$3:$R$4986,18,FALSE)))</f>
        <v>6</v>
      </c>
      <c r="V1754" s="269" t="str">
        <f>IF(J1754="巻返し",VLOOKUP(F1754&amp;K1754&amp;M1754,製品マスタ!$M$5:$AD$5002,18,FALSE),IF(J1754="リード付け","原反コア",IF(J1754="スリット",VLOOKUP(F1754&amp;K1754&amp;Q1754,製品マスタ!$N$5:$AD$5002,17,FALSE),"")))</f>
        <v>6ｲﾝﾁSｺｱ</v>
      </c>
      <c r="W1754" s="269">
        <f>IF(J1754="巻返し",VLOOKUP(F1754&amp;K1754&amp;M1754,製品マスタ!$M$5:$AE$5002,19,FALSE),IF(J1754="リード付け","-",IF(J1754="スリット",VLOOKUP(F1754&amp;K1754&amp;Q1754,製品マスタ!$N$5:$AE$5002,18,FALSE),"")))</f>
        <v>1125</v>
      </c>
      <c r="X1754" s="275">
        <f>IF(D1754="","",VLOOKUP(D1754,契約台帳!$A$3:$Q$4986,17,FALSE))</f>
        <v>2</v>
      </c>
      <c r="Y1754" s="269" t="str">
        <f>IF(D1754="","",VLOOKUP(D1754,契約台帳!$A$3:$E$4986,5,FALSE))</f>
        <v>リンテック㈱</v>
      </c>
      <c r="Z1754" s="357">
        <v>45503</v>
      </c>
      <c r="AA1754" s="207"/>
      <c r="AB1754" s="369"/>
      <c r="AC1754" s="370"/>
      <c r="AD1754" s="332" t="str">
        <f>IF(F1754="","",+F1754&amp;K1754)</f>
        <v>3SYMLBMSSMBZF50</v>
      </c>
      <c r="AE1754" s="216">
        <f>+M1754*N1754*O1754/1000</f>
        <v>26880</v>
      </c>
      <c r="AF1754" s="43">
        <f>IF(AD1754="","",VLOOKUP(AD1754,原価マスタ!$A$2:$AJ$1693,13,FALSE))</f>
        <v>98</v>
      </c>
      <c r="AG1754" s="47">
        <f>IF(AF1754="","",+AE1754*AF1754/100)</f>
        <v>26342.400000000001</v>
      </c>
      <c r="AH1754" s="30"/>
      <c r="AI1754" s="30"/>
      <c r="AJ1754" s="30"/>
      <c r="AK1754" s="30"/>
      <c r="AL1754" s="13"/>
      <c r="AM1754" s="13"/>
      <c r="AN1754" s="13"/>
      <c r="AO1754" s="13"/>
      <c r="AP1754" s="13"/>
      <c r="AQ1754" s="14"/>
      <c r="AR1754" s="15"/>
    </row>
    <row r="1755" spans="1:44" s="17" customFormat="1" ht="30.95" hidden="1" customHeight="1" x14ac:dyDescent="0.2">
      <c r="A1755" s="343"/>
      <c r="B1755" s="344"/>
      <c r="C1755" s="345"/>
      <c r="D1755" s="398"/>
      <c r="E1755" s="31"/>
      <c r="F1755" s="268"/>
      <c r="G1755" s="269"/>
      <c r="H1755" s="269"/>
      <c r="I1755" s="270"/>
      <c r="J1755" s="32"/>
      <c r="K1755" s="270"/>
      <c r="L1755" s="270"/>
      <c r="M1755" s="39"/>
      <c r="N1755" s="39"/>
      <c r="O1755" s="47"/>
      <c r="P1755" s="57"/>
      <c r="Q1755" s="276"/>
      <c r="R1755" s="277"/>
      <c r="S1755" s="277"/>
      <c r="T1755" s="40"/>
      <c r="U1755" s="278"/>
      <c r="V1755" s="269"/>
      <c r="W1755" s="269"/>
      <c r="X1755" s="275"/>
      <c r="Y1755" s="269"/>
      <c r="Z1755" s="357"/>
      <c r="AA1755" s="207"/>
      <c r="AB1755" s="369"/>
      <c r="AC1755" s="370"/>
      <c r="AD1755" s="332"/>
      <c r="AE1755" s="216"/>
      <c r="AF1755" s="43"/>
      <c r="AG1755" s="47"/>
      <c r="AH1755" s="30"/>
      <c r="AI1755" s="30"/>
      <c r="AJ1755" s="30"/>
      <c r="AK1755" s="30"/>
      <c r="AL1755" s="13"/>
      <c r="AM1755" s="13"/>
      <c r="AN1755" s="13"/>
      <c r="AO1755" s="13"/>
      <c r="AP1755" s="13"/>
      <c r="AQ1755" s="14"/>
      <c r="AR1755" s="15"/>
    </row>
    <row r="1756" spans="1:44" s="17" customFormat="1" ht="30.95" hidden="1" customHeight="1" x14ac:dyDescent="0.2">
      <c r="A1756" s="320"/>
      <c r="B1756" s="321"/>
      <c r="C1756" s="345"/>
      <c r="D1756" s="398">
        <v>3762732</v>
      </c>
      <c r="E1756" s="31">
        <v>4151728</v>
      </c>
      <c r="F1756" s="268" t="str">
        <f>IF(D1756="","",VLOOKUP(D1756,契約台帳!$A$3:$K$4986,6,FALSE)&amp;VLOOKUP(D1756,契約台帳!$A$3:$K$4986,7,FALSE)&amp;VLOOKUP(D1756,契約台帳!$A$3:$K$4986,8,FALSE)&amp;VLOOKUP(D1756,契約台帳!$A$3:$K$4986,9,FALSE)&amp;VLOOKUP(D1756,契約台帳!$A$3:$K$4986,11,FALSE))</f>
        <v>3SNMLBMNGTBF</v>
      </c>
      <c r="G1756" s="269" t="str">
        <f>IF(D1756="","",VLOOKUP(F1756,製品マスタ!$G$5:$H$5002,2,FALSE))</f>
        <v>S</v>
      </c>
      <c r="H1756" s="269" t="str">
        <f>IF(D1756="","",VLOOKUP(F1756,製品マスタ!$G$5:$K$5002,5,FALSE))</f>
        <v>MNGTBF</v>
      </c>
      <c r="I1756" s="270" t="str">
        <f>IF(D1756="","",VLOOKUP(F1756,製品マスタ!$G$5:$L$5002,6,FALSE))</f>
        <v>メタルミー　ネーマー　銀艶　Ｂ</v>
      </c>
      <c r="J1756" s="32" t="s">
        <v>447</v>
      </c>
      <c r="K1756" s="270">
        <f>IF(D1756="","",VLOOKUP(D1756,契約台帳!$A$3:$L$4986,12,FALSE))</f>
        <v>50</v>
      </c>
      <c r="L1756" s="270" t="str">
        <f>IF(D1756="","",INDEX(製品マスタ!$Q$5:$Q$5002,MATCH(F1756&amp;K1756,製品マスタ!$AO$5:$AO$5002,0)))</f>
        <v>T62</v>
      </c>
      <c r="M1756" s="39">
        <v>1120</v>
      </c>
      <c r="N1756" s="39">
        <v>10000</v>
      </c>
      <c r="O1756" s="47">
        <v>2</v>
      </c>
      <c r="P1756" s="57"/>
      <c r="Q1756" s="276">
        <f>IF(D1756="","",IF(J1756="リード付け",M1756,VLOOKUP(D1756,契約台帳!$A$3:$N$4986,14,FALSE)))</f>
        <v>1120</v>
      </c>
      <c r="R1756" s="277">
        <f>IF(D1756="","",IF(J1756="リード付け",M1756,VLOOKUP(D1756,契約台帳!$A$3:$O$4986,15,FALSE)))</f>
        <v>1120</v>
      </c>
      <c r="S1756" s="277">
        <f>IF(D1756="","",IF(J1756="リード付け",N1756,VLOOKUP(D1756,契約台帳!$A$3:$P$4986,16,FALSE)))</f>
        <v>5000</v>
      </c>
      <c r="T1756" s="40">
        <v>4</v>
      </c>
      <c r="U1756" s="278">
        <f ca="1">IF(D1756="","",IF(OFFSET(D1756,-2,0)=D1756,"",VLOOKUP(D1756,契約台帳!$A$3:$R$4986,18,FALSE)))</f>
        <v>32</v>
      </c>
      <c r="V1756" s="269" t="str">
        <f>IF(J1756="巻返し",VLOOKUP(F1756&amp;K1756&amp;M1756,製品マスタ!$M$5:$AD$5002,18,FALSE),IF(J1756="リード付け","原反コア",IF(J1756="スリット",VLOOKUP(F1756&amp;K1756&amp;Q1756,製品マスタ!$N$5:$AD$5002,17,FALSE),"")))</f>
        <v>6ｲﾝﾁSｺｱ</v>
      </c>
      <c r="W1756" s="269">
        <f>IF(J1756="巻返し",VLOOKUP(F1756&amp;K1756&amp;M1756,製品マスタ!$M$5:$AE$5002,19,FALSE),IF(J1756="リード付け","-",IF(J1756="スリット",VLOOKUP(F1756&amp;K1756&amp;Q1756,製品マスタ!$N$5:$AE$5002,18,FALSE),"")))</f>
        <v>1125</v>
      </c>
      <c r="X1756" s="275">
        <f>IF(D1756="","",VLOOKUP(D1756,契約台帳!$A$3:$Q$4986,17,FALSE))</f>
        <v>2</v>
      </c>
      <c r="Y1756" s="269" t="str">
        <f>IF(D1756="","",VLOOKUP(D1756,契約台帳!$A$3:$E$4986,5,FALSE))</f>
        <v>リンテック㈱</v>
      </c>
      <c r="Z1756" s="357">
        <v>45503</v>
      </c>
      <c r="AA1756" s="207"/>
      <c r="AB1756" s="369"/>
      <c r="AC1756" s="370"/>
      <c r="AD1756" s="332" t="str">
        <f>IF(F1756="","",+F1756&amp;K1756)</f>
        <v>3SNMLBMNGTBF50</v>
      </c>
      <c r="AE1756" s="216">
        <f>+M1756*N1756*O1756/1000</f>
        <v>22400</v>
      </c>
      <c r="AF1756" s="43">
        <f>IF(AD1756="","",VLOOKUP(AD1756,原価マスタ!$A$2:$AJ$1693,13,FALSE))</f>
        <v>99</v>
      </c>
      <c r="AG1756" s="47">
        <f>IF(AF1756="","",+AE1756*AF1756/100)</f>
        <v>22176</v>
      </c>
      <c r="AH1756" s="30"/>
      <c r="AI1756" s="30"/>
      <c r="AJ1756" s="30"/>
      <c r="AK1756" s="30"/>
      <c r="AL1756" s="13"/>
      <c r="AM1756" s="13"/>
      <c r="AN1756" s="13"/>
      <c r="AO1756" s="13"/>
      <c r="AP1756" s="13"/>
      <c r="AQ1756" s="14"/>
      <c r="AR1756" s="15"/>
    </row>
    <row r="1757" spans="1:44" s="17" customFormat="1" ht="30.95" hidden="1" customHeight="1" x14ac:dyDescent="0.2">
      <c r="A1757" s="343"/>
      <c r="B1757" s="344"/>
      <c r="C1757" s="345"/>
      <c r="D1757" s="398"/>
      <c r="E1757" s="31"/>
      <c r="F1757" s="268"/>
      <c r="G1757" s="269"/>
      <c r="H1757" s="269"/>
      <c r="I1757" s="270"/>
      <c r="J1757" s="32"/>
      <c r="K1757" s="270"/>
      <c r="L1757" s="270"/>
      <c r="M1757" s="39"/>
      <c r="N1757" s="39"/>
      <c r="O1757" s="47"/>
      <c r="P1757" s="57"/>
      <c r="Q1757" s="276"/>
      <c r="R1757" s="277"/>
      <c r="S1757" s="277"/>
      <c r="T1757" s="40"/>
      <c r="U1757" s="278"/>
      <c r="V1757" s="269"/>
      <c r="W1757" s="269"/>
      <c r="X1757" s="275"/>
      <c r="Y1757" s="269"/>
      <c r="Z1757" s="357"/>
      <c r="AA1757" s="207"/>
      <c r="AB1757" s="369"/>
      <c r="AC1757" s="370"/>
      <c r="AD1757" s="332"/>
      <c r="AE1757" s="216"/>
      <c r="AF1757" s="43"/>
      <c r="AG1757" s="47"/>
      <c r="AH1757" s="30"/>
      <c r="AI1757" s="30"/>
      <c r="AJ1757" s="30"/>
      <c r="AK1757" s="30"/>
      <c r="AL1757" s="13"/>
      <c r="AM1757" s="13"/>
      <c r="AN1757" s="13"/>
      <c r="AO1757" s="13"/>
      <c r="AP1757" s="13"/>
      <c r="AQ1757" s="14"/>
      <c r="AR1757" s="15"/>
    </row>
    <row r="1758" spans="1:44" s="17" customFormat="1" ht="30.95" hidden="1" customHeight="1" x14ac:dyDescent="0.2">
      <c r="A1758" s="343" t="s">
        <v>2972</v>
      </c>
      <c r="B1758" s="344" t="s">
        <v>2954</v>
      </c>
      <c r="C1758" s="345"/>
      <c r="D1758" s="398"/>
      <c r="E1758" s="31"/>
      <c r="F1758" s="268"/>
      <c r="G1758" s="269"/>
      <c r="H1758" s="269"/>
      <c r="I1758" s="270"/>
      <c r="J1758" s="32" t="s">
        <v>448</v>
      </c>
      <c r="K1758" s="270"/>
      <c r="L1758" s="270"/>
      <c r="M1758" s="39"/>
      <c r="N1758" s="39"/>
      <c r="O1758" s="47"/>
      <c r="P1758" s="57"/>
      <c r="Q1758" s="276"/>
      <c r="R1758" s="277"/>
      <c r="S1758" s="277"/>
      <c r="T1758" s="40"/>
      <c r="U1758" s="278"/>
      <c r="V1758" s="269"/>
      <c r="W1758" s="269"/>
      <c r="X1758" s="275"/>
      <c r="Y1758" s="269"/>
      <c r="Z1758" s="357"/>
      <c r="AA1758" s="207"/>
      <c r="AB1758" s="369"/>
      <c r="AC1758" s="370"/>
      <c r="AD1758" s="332"/>
      <c r="AE1758" s="216"/>
      <c r="AF1758" s="43"/>
      <c r="AG1758" s="47"/>
      <c r="AH1758" s="30"/>
      <c r="AI1758" s="30"/>
      <c r="AJ1758" s="30"/>
      <c r="AK1758" s="30"/>
      <c r="AL1758" s="13"/>
      <c r="AM1758" s="13"/>
      <c r="AN1758" s="13"/>
      <c r="AO1758" s="13"/>
      <c r="AP1758" s="13"/>
      <c r="AQ1758" s="14"/>
      <c r="AR1758" s="15"/>
    </row>
    <row r="1759" spans="1:44" s="17" customFormat="1" ht="30.95" hidden="1" customHeight="1" x14ac:dyDescent="0.2">
      <c r="A1759" s="343"/>
      <c r="B1759" s="344"/>
      <c r="C1759" s="345"/>
      <c r="D1759" s="398"/>
      <c r="E1759" s="31"/>
      <c r="F1759" s="268"/>
      <c r="G1759" s="269"/>
      <c r="H1759" s="269"/>
      <c r="I1759" s="270"/>
      <c r="J1759" s="32"/>
      <c r="K1759" s="270"/>
      <c r="L1759" s="270"/>
      <c r="M1759" s="39"/>
      <c r="N1759" s="39"/>
      <c r="O1759" s="47"/>
      <c r="P1759" s="57"/>
      <c r="Q1759" s="276"/>
      <c r="R1759" s="277"/>
      <c r="S1759" s="277"/>
      <c r="T1759" s="40"/>
      <c r="U1759" s="278"/>
      <c r="V1759" s="269"/>
      <c r="W1759" s="269"/>
      <c r="X1759" s="275"/>
      <c r="Y1759" s="269"/>
      <c r="Z1759" s="357"/>
      <c r="AA1759" s="207"/>
      <c r="AB1759" s="369"/>
      <c r="AC1759" s="370"/>
      <c r="AD1759" s="332"/>
      <c r="AE1759" s="216"/>
      <c r="AF1759" s="43"/>
      <c r="AG1759" s="47"/>
      <c r="AH1759" s="30"/>
      <c r="AI1759" s="30"/>
      <c r="AJ1759" s="30"/>
      <c r="AK1759" s="30"/>
      <c r="AL1759" s="13"/>
      <c r="AM1759" s="13"/>
      <c r="AN1759" s="13"/>
      <c r="AO1759" s="13"/>
      <c r="AP1759" s="13"/>
      <c r="AQ1759" s="14"/>
      <c r="AR1759" s="15"/>
    </row>
    <row r="1760" spans="1:44" s="17" customFormat="1" ht="30.95" hidden="1" customHeight="1" x14ac:dyDescent="0.2">
      <c r="A1760" s="343" t="s">
        <v>2973</v>
      </c>
      <c r="B1760" s="344" t="s">
        <v>2956</v>
      </c>
      <c r="C1760" s="345"/>
      <c r="D1760" s="398"/>
      <c r="E1760" s="31"/>
      <c r="F1760" s="268"/>
      <c r="G1760" s="269"/>
      <c r="H1760" s="269"/>
      <c r="I1760" s="270"/>
      <c r="J1760" s="32" t="s">
        <v>448</v>
      </c>
      <c r="K1760" s="270"/>
      <c r="L1760" s="270"/>
      <c r="M1760" s="39"/>
      <c r="N1760" s="39"/>
      <c r="O1760" s="47"/>
      <c r="P1760" s="57"/>
      <c r="Q1760" s="276"/>
      <c r="R1760" s="277"/>
      <c r="S1760" s="277"/>
      <c r="T1760" s="40"/>
      <c r="U1760" s="278"/>
      <c r="V1760" s="269"/>
      <c r="W1760" s="269"/>
      <c r="X1760" s="275"/>
      <c r="Y1760" s="269"/>
      <c r="Z1760" s="357"/>
      <c r="AA1760" s="207"/>
      <c r="AB1760" s="369"/>
      <c r="AC1760" s="370"/>
      <c r="AD1760" s="332"/>
      <c r="AE1760" s="216"/>
      <c r="AF1760" s="43"/>
      <c r="AG1760" s="47"/>
      <c r="AH1760" s="30"/>
      <c r="AI1760" s="30"/>
      <c r="AJ1760" s="30"/>
      <c r="AK1760" s="30"/>
      <c r="AL1760" s="13"/>
      <c r="AM1760" s="13"/>
      <c r="AN1760" s="13"/>
      <c r="AO1760" s="13"/>
      <c r="AP1760" s="13"/>
      <c r="AQ1760" s="14"/>
      <c r="AR1760" s="15"/>
    </row>
    <row r="1761" spans="1:44" s="17" customFormat="1" ht="30.95" hidden="1" customHeight="1" x14ac:dyDescent="0.2">
      <c r="A1761" s="343"/>
      <c r="B1761" s="344"/>
      <c r="C1761" s="345"/>
      <c r="D1761" s="398"/>
      <c r="E1761" s="31"/>
      <c r="F1761" s="268"/>
      <c r="G1761" s="269"/>
      <c r="H1761" s="269"/>
      <c r="I1761" s="270"/>
      <c r="J1761" s="32"/>
      <c r="K1761" s="270"/>
      <c r="L1761" s="270"/>
      <c r="M1761" s="39"/>
      <c r="N1761" s="39"/>
      <c r="O1761" s="47"/>
      <c r="P1761" s="57"/>
      <c r="Q1761" s="276"/>
      <c r="R1761" s="277"/>
      <c r="S1761" s="277"/>
      <c r="T1761" s="40"/>
      <c r="U1761" s="278"/>
      <c r="V1761" s="269"/>
      <c r="W1761" s="269"/>
      <c r="X1761" s="275"/>
      <c r="Y1761" s="269"/>
      <c r="Z1761" s="357"/>
      <c r="AA1761" s="207"/>
      <c r="AB1761" s="369"/>
      <c r="AC1761" s="370"/>
      <c r="AD1761" s="332"/>
      <c r="AE1761" s="216"/>
      <c r="AF1761" s="43"/>
      <c r="AG1761" s="47"/>
      <c r="AH1761" s="30"/>
      <c r="AI1761" s="30"/>
      <c r="AJ1761" s="30"/>
      <c r="AK1761" s="30"/>
      <c r="AL1761" s="13"/>
      <c r="AM1761" s="13"/>
      <c r="AN1761" s="13"/>
      <c r="AO1761" s="13"/>
      <c r="AP1761" s="13"/>
      <c r="AQ1761" s="14"/>
      <c r="AR1761" s="15"/>
    </row>
    <row r="1762" spans="1:44" s="233" customFormat="1" ht="30.95" hidden="1" customHeight="1" x14ac:dyDescent="0.2">
      <c r="A1762" s="399"/>
      <c r="B1762" s="400"/>
      <c r="C1762" s="401"/>
      <c r="D1762" s="396"/>
      <c r="E1762" s="219"/>
      <c r="F1762" s="281"/>
      <c r="G1762" s="282"/>
      <c r="H1762" s="282"/>
      <c r="I1762" s="283"/>
      <c r="J1762" s="220"/>
      <c r="K1762" s="283"/>
      <c r="L1762" s="283"/>
      <c r="M1762" s="221"/>
      <c r="N1762" s="221"/>
      <c r="O1762" s="222"/>
      <c r="P1762" s="213"/>
      <c r="Q1762" s="284"/>
      <c r="R1762" s="285"/>
      <c r="S1762" s="285"/>
      <c r="T1762" s="224"/>
      <c r="U1762" s="286"/>
      <c r="V1762" s="282"/>
      <c r="W1762" s="282"/>
      <c r="X1762" s="287"/>
      <c r="Y1762" s="282"/>
      <c r="Z1762" s="356"/>
      <c r="AA1762" s="288"/>
      <c r="AB1762" s="385"/>
      <c r="AC1762" s="386"/>
      <c r="AD1762" s="387"/>
      <c r="AE1762" s="423"/>
      <c r="AF1762" s="223"/>
      <c r="AG1762" s="234" t="e">
        <f>SUM(AG1625:AG1760)</f>
        <v>#N/A</v>
      </c>
      <c r="AH1762" s="229"/>
      <c r="AI1762" s="229"/>
      <c r="AJ1762" s="229"/>
      <c r="AK1762" s="229"/>
      <c r="AL1762" s="230"/>
      <c r="AM1762" s="230"/>
      <c r="AN1762" s="230"/>
      <c r="AO1762" s="230"/>
      <c r="AP1762" s="230"/>
      <c r="AQ1762" s="231"/>
      <c r="AR1762" s="232"/>
    </row>
    <row r="1763" spans="1:44" s="17" customFormat="1" ht="30.95" hidden="1" customHeight="1" x14ac:dyDescent="0.2">
      <c r="A1763" s="343"/>
      <c r="B1763" s="344"/>
      <c r="C1763" s="345"/>
      <c r="D1763" s="398"/>
      <c r="E1763" s="31"/>
      <c r="F1763" s="268"/>
      <c r="G1763" s="269"/>
      <c r="H1763" s="269"/>
      <c r="I1763" s="270"/>
      <c r="J1763" s="32"/>
      <c r="K1763" s="270"/>
      <c r="L1763" s="270"/>
      <c r="M1763" s="39"/>
      <c r="N1763" s="39"/>
      <c r="O1763" s="47"/>
      <c r="P1763" s="57"/>
      <c r="Q1763" s="276"/>
      <c r="R1763" s="277"/>
      <c r="S1763" s="277"/>
      <c r="T1763" s="40"/>
      <c r="U1763" s="278"/>
      <c r="V1763" s="269"/>
      <c r="W1763" s="269"/>
      <c r="X1763" s="275"/>
      <c r="Y1763" s="269"/>
      <c r="Z1763" s="357"/>
      <c r="AA1763" s="207"/>
      <c r="AB1763" s="369"/>
      <c r="AC1763" s="370"/>
      <c r="AD1763" s="332"/>
      <c r="AE1763" s="216"/>
      <c r="AF1763" s="43"/>
      <c r="AG1763" s="47"/>
      <c r="AH1763" s="30"/>
      <c r="AI1763" s="30"/>
      <c r="AJ1763" s="30"/>
      <c r="AK1763" s="30"/>
      <c r="AL1763" s="13"/>
      <c r="AM1763" s="13"/>
      <c r="AN1763" s="13"/>
      <c r="AO1763" s="13"/>
      <c r="AP1763" s="13"/>
      <c r="AQ1763" s="14"/>
      <c r="AR1763" s="15"/>
    </row>
    <row r="1764" spans="1:44" s="17" customFormat="1" ht="30.95" hidden="1" customHeight="1" x14ac:dyDescent="0.2">
      <c r="A1764" s="320" t="s">
        <v>520</v>
      </c>
      <c r="B1764" s="321" t="s">
        <v>462</v>
      </c>
      <c r="C1764" s="345"/>
      <c r="D1764" s="398">
        <v>3762732</v>
      </c>
      <c r="E1764" s="31">
        <v>4151728</v>
      </c>
      <c r="F1764" s="268" t="str">
        <f>IF(D1764="","",VLOOKUP(D1764,契約台帳!$A$3:$K$4986,6,FALSE)&amp;VLOOKUP(D1764,契約台帳!$A$3:$K$4986,7,FALSE)&amp;VLOOKUP(D1764,契約台帳!$A$3:$K$4986,8,FALSE)&amp;VLOOKUP(D1764,契約台帳!$A$3:$K$4986,9,FALSE)&amp;VLOOKUP(D1764,契約台帳!$A$3:$K$4986,11,FALSE))</f>
        <v>3SNMLBMNGTBF</v>
      </c>
      <c r="G1764" s="269" t="str">
        <f>IF(D1764="","",VLOOKUP(F1764,製品マスタ!$G$5:$H$5002,2,FALSE))</f>
        <v>S</v>
      </c>
      <c r="H1764" s="269" t="str">
        <f>IF(D1764="","",VLOOKUP(F1764,製品マスタ!$G$5:$K$5002,5,FALSE))</f>
        <v>MNGTBF</v>
      </c>
      <c r="I1764" s="270" t="str">
        <f>IF(D1764="","",VLOOKUP(F1764,製品マスタ!$G$5:$L$5002,6,FALSE))</f>
        <v>メタルミー　ネーマー　銀艶　Ｂ</v>
      </c>
      <c r="J1764" s="32" t="s">
        <v>447</v>
      </c>
      <c r="K1764" s="270">
        <f>IF(D1764="","",VLOOKUP(D1764,契約台帳!$A$3:$L$4986,12,FALSE))</f>
        <v>50</v>
      </c>
      <c r="L1764" s="270" t="str">
        <f>IF(D1764="","",INDEX(製品マスタ!$Q$5:$Q$5002,MATCH(F1764&amp;K1764,製品マスタ!$AO$5:$AO$5002,0)))</f>
        <v>T62</v>
      </c>
      <c r="M1764" s="39">
        <v>1120</v>
      </c>
      <c r="N1764" s="39">
        <v>10000</v>
      </c>
      <c r="O1764" s="47">
        <v>3</v>
      </c>
      <c r="P1764" s="57"/>
      <c r="Q1764" s="276">
        <f>IF(D1764="","",IF(J1764="リード付け",M1764,VLOOKUP(D1764,契約台帳!$A$3:$N$4986,14,FALSE)))</f>
        <v>1120</v>
      </c>
      <c r="R1764" s="277">
        <f>IF(D1764="","",IF(J1764="リード付け",M1764,VLOOKUP(D1764,契約台帳!$A$3:$O$4986,15,FALSE)))</f>
        <v>1120</v>
      </c>
      <c r="S1764" s="277">
        <f>IF(D1764="","",IF(J1764="リード付け",N1764,VLOOKUP(D1764,契約台帳!$A$3:$P$4986,16,FALSE)))</f>
        <v>5000</v>
      </c>
      <c r="T1764" s="40">
        <v>6</v>
      </c>
      <c r="U1764" s="278">
        <f ca="1">IF(D1764="","",IF(OFFSET(D1764,-2,0)=D1764,"",VLOOKUP(D1764,契約台帳!$A$3:$R$4986,18,FALSE)))</f>
        <v>32</v>
      </c>
      <c r="V1764" s="269" t="str">
        <f>IF(J1764="巻返し",VLOOKUP(F1764&amp;K1764&amp;M1764,製品マスタ!$M$5:$AD$5002,18,FALSE),IF(J1764="リード付け","原反コア",IF(J1764="スリット",VLOOKUP(F1764&amp;K1764&amp;Q1764,製品マスタ!$N$5:$AD$5002,17,FALSE),"")))</f>
        <v>6ｲﾝﾁSｺｱ</v>
      </c>
      <c r="W1764" s="269">
        <f>IF(J1764="巻返し",VLOOKUP(F1764&amp;K1764&amp;M1764,製品マスタ!$M$5:$AE$5002,19,FALSE),IF(J1764="リード付け","-",IF(J1764="スリット",VLOOKUP(F1764&amp;K1764&amp;Q1764,製品マスタ!$N$5:$AE$5002,18,FALSE),"")))</f>
        <v>1125</v>
      </c>
      <c r="X1764" s="275">
        <f>IF(D1764="","",VLOOKUP(D1764,契約台帳!$A$3:$Q$4986,17,FALSE))</f>
        <v>2</v>
      </c>
      <c r="Y1764" s="269" t="str">
        <f>IF(D1764="","",VLOOKUP(D1764,契約台帳!$A$3:$E$4986,5,FALSE))</f>
        <v>リンテック㈱</v>
      </c>
      <c r="Z1764" s="357">
        <v>45505</v>
      </c>
      <c r="AA1764" s="207"/>
      <c r="AB1764" s="369"/>
      <c r="AC1764" s="370"/>
      <c r="AD1764" s="332" t="str">
        <f>IF(F1764="","",+F1764&amp;K1764)</f>
        <v>3SNMLBMNGTBF50</v>
      </c>
      <c r="AE1764" s="216">
        <f>+M1764*N1764*O1764/1000</f>
        <v>33600</v>
      </c>
      <c r="AF1764" s="43">
        <f>IF(AD1764="","",VLOOKUP(AD1764,原価マスタ!$A$2:$AJ$1693,13,FALSE))</f>
        <v>99</v>
      </c>
      <c r="AG1764" s="47">
        <f>IF(AF1764="","",+AE1764*AF1764/100)</f>
        <v>33264</v>
      </c>
      <c r="AH1764" s="30"/>
      <c r="AI1764" s="30"/>
      <c r="AJ1764" s="30"/>
      <c r="AK1764" s="30"/>
      <c r="AL1764" s="13"/>
      <c r="AM1764" s="13"/>
      <c r="AN1764" s="13"/>
      <c r="AO1764" s="13"/>
      <c r="AP1764" s="13"/>
      <c r="AQ1764" s="14"/>
      <c r="AR1764" s="15"/>
    </row>
    <row r="1765" spans="1:44" s="17" customFormat="1" ht="30.95" hidden="1" customHeight="1" x14ac:dyDescent="0.2">
      <c r="A1765" s="343"/>
      <c r="B1765" s="344"/>
      <c r="C1765" s="345"/>
      <c r="D1765" s="398"/>
      <c r="E1765" s="31"/>
      <c r="F1765" s="268"/>
      <c r="G1765" s="269"/>
      <c r="H1765" s="269"/>
      <c r="I1765" s="270"/>
      <c r="J1765" s="32"/>
      <c r="K1765" s="270"/>
      <c r="L1765" s="270"/>
      <c r="M1765" s="39"/>
      <c r="N1765" s="39"/>
      <c r="O1765" s="47"/>
      <c r="P1765" s="57"/>
      <c r="Q1765" s="276"/>
      <c r="R1765" s="277"/>
      <c r="S1765" s="277"/>
      <c r="T1765" s="40"/>
      <c r="U1765" s="278"/>
      <c r="V1765" s="269"/>
      <c r="W1765" s="269"/>
      <c r="X1765" s="275"/>
      <c r="Y1765" s="269"/>
      <c r="Z1765" s="357"/>
      <c r="AA1765" s="207"/>
      <c r="AB1765" s="369"/>
      <c r="AC1765" s="370"/>
      <c r="AD1765" s="332"/>
      <c r="AE1765" s="216"/>
      <c r="AF1765" s="43"/>
      <c r="AG1765" s="47"/>
      <c r="AH1765" s="30"/>
      <c r="AI1765" s="30"/>
      <c r="AJ1765" s="30"/>
      <c r="AK1765" s="30"/>
      <c r="AL1765" s="13"/>
      <c r="AM1765" s="13"/>
      <c r="AN1765" s="13"/>
      <c r="AO1765" s="13"/>
      <c r="AP1765" s="13"/>
      <c r="AQ1765" s="14"/>
      <c r="AR1765" s="15"/>
    </row>
    <row r="1766" spans="1:44" s="17" customFormat="1" ht="30.95" hidden="1" customHeight="1" x14ac:dyDescent="0.2">
      <c r="A1766" s="320" t="s">
        <v>2997</v>
      </c>
      <c r="B1766" s="321" t="s">
        <v>688</v>
      </c>
      <c r="C1766" s="345"/>
      <c r="D1766" s="398">
        <v>3762732</v>
      </c>
      <c r="E1766" s="31">
        <v>4151728</v>
      </c>
      <c r="F1766" s="268" t="str">
        <f>IF(D1766="","",VLOOKUP(D1766,契約台帳!$A$3:$K$4986,6,FALSE)&amp;VLOOKUP(D1766,契約台帳!$A$3:$K$4986,7,FALSE)&amp;VLOOKUP(D1766,契約台帳!$A$3:$K$4986,8,FALSE)&amp;VLOOKUP(D1766,契約台帳!$A$3:$K$4986,9,FALSE)&amp;VLOOKUP(D1766,契約台帳!$A$3:$K$4986,11,FALSE))</f>
        <v>3SNMLBMNGTBF</v>
      </c>
      <c r="G1766" s="269" t="str">
        <f>IF(D1766="","",VLOOKUP(F1766,製品マスタ!$G$5:$H$5002,2,FALSE))</f>
        <v>S</v>
      </c>
      <c r="H1766" s="269" t="str">
        <f>IF(D1766="","",VLOOKUP(F1766,製品マスタ!$G$5:$K$5002,5,FALSE))</f>
        <v>MNGTBF</v>
      </c>
      <c r="I1766" s="270" t="str">
        <f>IF(D1766="","",VLOOKUP(F1766,製品マスタ!$G$5:$L$5002,6,FALSE))</f>
        <v>メタルミー　ネーマー　銀艶　Ｂ</v>
      </c>
      <c r="J1766" s="32" t="s">
        <v>447</v>
      </c>
      <c r="K1766" s="270">
        <f>IF(D1766="","",VLOOKUP(D1766,契約台帳!$A$3:$L$4986,12,FALSE))</f>
        <v>50</v>
      </c>
      <c r="L1766" s="270" t="str">
        <f>IF(D1766="","",INDEX(製品マスタ!$Q$5:$Q$5002,MATCH(F1766&amp;K1766,製品マスタ!$AO$5:$AO$5002,0)))</f>
        <v>T62</v>
      </c>
      <c r="M1766" s="39">
        <v>1120</v>
      </c>
      <c r="N1766" s="39">
        <v>10000</v>
      </c>
      <c r="O1766" s="47">
        <v>3</v>
      </c>
      <c r="P1766" s="57"/>
      <c r="Q1766" s="276">
        <f>IF(D1766="","",IF(J1766="リード付け",M1766,VLOOKUP(D1766,契約台帳!$A$3:$N$4986,14,FALSE)))</f>
        <v>1120</v>
      </c>
      <c r="R1766" s="277">
        <f>IF(D1766="","",IF(J1766="リード付け",M1766,VLOOKUP(D1766,契約台帳!$A$3:$O$4986,15,FALSE)))</f>
        <v>1120</v>
      </c>
      <c r="S1766" s="277">
        <f>IF(D1766="","",IF(J1766="リード付け",N1766,VLOOKUP(D1766,契約台帳!$A$3:$P$4986,16,FALSE)))</f>
        <v>5000</v>
      </c>
      <c r="T1766" s="40">
        <v>6</v>
      </c>
      <c r="U1766" s="278" t="str">
        <f ca="1">IF(D1766="","",IF(OFFSET(D1766,-2,0)=D1766,"",VLOOKUP(D1766,契約台帳!$A$3:$R$4986,18,FALSE)))</f>
        <v/>
      </c>
      <c r="V1766" s="269" t="str">
        <f>IF(J1766="巻返し",VLOOKUP(F1766&amp;K1766&amp;M1766,製品マスタ!$M$5:$AD$5002,18,FALSE),IF(J1766="リード付け","原反コア",IF(J1766="スリット",VLOOKUP(F1766&amp;K1766&amp;Q1766,製品マスタ!$N$5:$AD$5002,17,FALSE),"")))</f>
        <v>6ｲﾝﾁSｺｱ</v>
      </c>
      <c r="W1766" s="269">
        <f>IF(J1766="巻返し",VLOOKUP(F1766&amp;K1766&amp;M1766,製品マスタ!$M$5:$AE$5002,19,FALSE),IF(J1766="リード付け","-",IF(J1766="スリット",VLOOKUP(F1766&amp;K1766&amp;Q1766,製品マスタ!$N$5:$AE$5002,18,FALSE),"")))</f>
        <v>1125</v>
      </c>
      <c r="X1766" s="275">
        <f>IF(D1766="","",VLOOKUP(D1766,契約台帳!$A$3:$Q$4986,17,FALSE))</f>
        <v>2</v>
      </c>
      <c r="Y1766" s="269" t="str">
        <f>IF(D1766="","",VLOOKUP(D1766,契約台帳!$A$3:$E$4986,5,FALSE))</f>
        <v>リンテック㈱</v>
      </c>
      <c r="Z1766" s="357">
        <v>45505</v>
      </c>
      <c r="AA1766" s="207"/>
      <c r="AB1766" s="369"/>
      <c r="AC1766" s="370"/>
      <c r="AD1766" s="332" t="str">
        <f>IF(F1766="","",+F1766&amp;K1766)</f>
        <v>3SNMLBMNGTBF50</v>
      </c>
      <c r="AE1766" s="216">
        <f>+M1766*N1766*O1766/1000</f>
        <v>33600</v>
      </c>
      <c r="AF1766" s="43">
        <f>IF(AD1766="","",VLOOKUP(AD1766,原価マスタ!$A$2:$AJ$1693,13,FALSE))</f>
        <v>99</v>
      </c>
      <c r="AG1766" s="47">
        <f>IF(AF1766="","",+AE1766*AF1766/100)</f>
        <v>33264</v>
      </c>
      <c r="AH1766" s="30"/>
      <c r="AI1766" s="30"/>
      <c r="AJ1766" s="30"/>
      <c r="AK1766" s="30"/>
      <c r="AL1766" s="13"/>
      <c r="AM1766" s="13"/>
      <c r="AN1766" s="13"/>
      <c r="AO1766" s="13"/>
      <c r="AP1766" s="13"/>
      <c r="AQ1766" s="14"/>
      <c r="AR1766" s="15"/>
    </row>
    <row r="1767" spans="1:44" s="17" customFormat="1" ht="30.95" hidden="1" customHeight="1" x14ac:dyDescent="0.2">
      <c r="A1767" s="343"/>
      <c r="B1767" s="344"/>
      <c r="C1767" s="345"/>
      <c r="D1767" s="398"/>
      <c r="E1767" s="31"/>
      <c r="F1767" s="268"/>
      <c r="G1767" s="269"/>
      <c r="H1767" s="269"/>
      <c r="I1767" s="270"/>
      <c r="J1767" s="32"/>
      <c r="K1767" s="270"/>
      <c r="L1767" s="270"/>
      <c r="M1767" s="39"/>
      <c r="N1767" s="39"/>
      <c r="O1767" s="47"/>
      <c r="P1767" s="57"/>
      <c r="Q1767" s="276"/>
      <c r="R1767" s="277"/>
      <c r="S1767" s="277"/>
      <c r="T1767" s="40"/>
      <c r="U1767" s="278"/>
      <c r="V1767" s="269"/>
      <c r="W1767" s="269"/>
      <c r="X1767" s="275"/>
      <c r="Y1767" s="269"/>
      <c r="Z1767" s="357"/>
      <c r="AA1767" s="207"/>
      <c r="AB1767" s="369"/>
      <c r="AC1767" s="370"/>
      <c r="AD1767" s="332"/>
      <c r="AE1767" s="216"/>
      <c r="AF1767" s="43"/>
      <c r="AG1767" s="47"/>
      <c r="AH1767" s="30"/>
      <c r="AI1767" s="30"/>
      <c r="AJ1767" s="30"/>
      <c r="AK1767" s="30"/>
      <c r="AL1767" s="13"/>
      <c r="AM1767" s="13"/>
      <c r="AN1767" s="13"/>
      <c r="AO1767" s="13"/>
      <c r="AP1767" s="13"/>
      <c r="AQ1767" s="14"/>
      <c r="AR1767" s="15"/>
    </row>
    <row r="1768" spans="1:44" s="17" customFormat="1" ht="30.95" hidden="1" customHeight="1" x14ac:dyDescent="0.2">
      <c r="A1768" s="343" t="s">
        <v>3014</v>
      </c>
      <c r="B1768" s="344" t="s">
        <v>3015</v>
      </c>
      <c r="C1768" s="345"/>
      <c r="D1768" s="398"/>
      <c r="E1768" s="31"/>
      <c r="F1768" s="268"/>
      <c r="G1768" s="269"/>
      <c r="H1768" s="269"/>
      <c r="I1768" s="270" t="s">
        <v>3016</v>
      </c>
      <c r="J1768" s="32"/>
      <c r="K1768" s="270"/>
      <c r="L1768" s="270"/>
      <c r="M1768" s="39"/>
      <c r="N1768" s="39"/>
      <c r="O1768" s="47"/>
      <c r="P1768" s="57"/>
      <c r="Q1768" s="276"/>
      <c r="R1768" s="277"/>
      <c r="S1768" s="277"/>
      <c r="T1768" s="40"/>
      <c r="U1768" s="278"/>
      <c r="V1768" s="269"/>
      <c r="W1768" s="269"/>
      <c r="X1768" s="275"/>
      <c r="Y1768" s="269"/>
      <c r="Z1768" s="357"/>
      <c r="AA1768" s="207"/>
      <c r="AB1768" s="369"/>
      <c r="AC1768" s="370"/>
      <c r="AD1768" s="332"/>
      <c r="AE1768" s="216"/>
      <c r="AF1768" s="43"/>
      <c r="AG1768" s="47"/>
      <c r="AH1768" s="30"/>
      <c r="AI1768" s="30"/>
      <c r="AJ1768" s="30"/>
      <c r="AK1768" s="30"/>
      <c r="AL1768" s="13"/>
      <c r="AM1768" s="13"/>
      <c r="AN1768" s="13"/>
      <c r="AO1768" s="13"/>
      <c r="AP1768" s="13"/>
      <c r="AQ1768" s="14"/>
      <c r="AR1768" s="15"/>
    </row>
    <row r="1769" spans="1:44" s="17" customFormat="1" ht="30.95" hidden="1" customHeight="1" x14ac:dyDescent="0.2">
      <c r="A1769" s="343"/>
      <c r="B1769" s="344"/>
      <c r="C1769" s="345"/>
      <c r="D1769" s="398"/>
      <c r="E1769" s="31"/>
      <c r="F1769" s="268"/>
      <c r="G1769" s="269"/>
      <c r="H1769" s="269"/>
      <c r="I1769" s="270"/>
      <c r="J1769" s="32"/>
      <c r="K1769" s="270"/>
      <c r="L1769" s="270"/>
      <c r="M1769" s="39"/>
      <c r="N1769" s="39"/>
      <c r="O1769" s="47"/>
      <c r="P1769" s="57"/>
      <c r="Q1769" s="276"/>
      <c r="R1769" s="277"/>
      <c r="S1769" s="277"/>
      <c r="T1769" s="40"/>
      <c r="U1769" s="278"/>
      <c r="V1769" s="269"/>
      <c r="W1769" s="269"/>
      <c r="X1769" s="275"/>
      <c r="Y1769" s="269"/>
      <c r="Z1769" s="357"/>
      <c r="AA1769" s="207"/>
      <c r="AB1769" s="369"/>
      <c r="AC1769" s="370"/>
      <c r="AD1769" s="332"/>
      <c r="AE1769" s="216"/>
      <c r="AF1769" s="43"/>
      <c r="AG1769" s="47"/>
      <c r="AH1769" s="30"/>
      <c r="AI1769" s="30"/>
      <c r="AJ1769" s="30"/>
      <c r="AK1769" s="30"/>
      <c r="AL1769" s="13"/>
      <c r="AM1769" s="13"/>
      <c r="AN1769" s="13"/>
      <c r="AO1769" s="13"/>
      <c r="AP1769" s="13"/>
      <c r="AQ1769" s="14"/>
      <c r="AR1769" s="15"/>
    </row>
    <row r="1770" spans="1:44" s="17" customFormat="1" ht="30.95" hidden="1" customHeight="1" x14ac:dyDescent="0.2">
      <c r="A1770" s="343" t="s">
        <v>1293</v>
      </c>
      <c r="B1770" s="344" t="s">
        <v>443</v>
      </c>
      <c r="C1770" s="345"/>
      <c r="D1770" s="398">
        <v>3762732</v>
      </c>
      <c r="E1770" s="31">
        <v>4151728</v>
      </c>
      <c r="F1770" s="268" t="str">
        <f>IF(D1770="","",VLOOKUP(D1770,契約台帳!$A$3:$K$4986,6,FALSE)&amp;VLOOKUP(D1770,契約台帳!$A$3:$K$4986,7,FALSE)&amp;VLOOKUP(D1770,契約台帳!$A$3:$K$4986,8,FALSE)&amp;VLOOKUP(D1770,契約台帳!$A$3:$K$4986,9,FALSE)&amp;VLOOKUP(D1770,契約台帳!$A$3:$K$4986,11,FALSE))</f>
        <v>3SNMLBMNGTBF</v>
      </c>
      <c r="G1770" s="269" t="str">
        <f>IF(D1770="","",VLOOKUP(F1770,製品マスタ!$G$5:$H$5002,2,FALSE))</f>
        <v>S</v>
      </c>
      <c r="H1770" s="269" t="str">
        <f>IF(D1770="","",VLOOKUP(F1770,製品マスタ!$G$5:$K$5002,5,FALSE))</f>
        <v>MNGTBF</v>
      </c>
      <c r="I1770" s="270" t="str">
        <f>IF(D1770="","",VLOOKUP(F1770,製品マスタ!$G$5:$L$5002,6,FALSE))</f>
        <v>メタルミー　ネーマー　銀艶　Ｂ</v>
      </c>
      <c r="J1770" s="32" t="s">
        <v>447</v>
      </c>
      <c r="K1770" s="270">
        <f>IF(D1770="","",VLOOKUP(D1770,契約台帳!$A$3:$L$4986,12,FALSE))</f>
        <v>50</v>
      </c>
      <c r="L1770" s="270" t="str">
        <f>IF(D1770="","",INDEX(製品マスタ!$Q$5:$Q$5002,MATCH(F1770&amp;K1770,製品マスタ!$AO$5:$AO$5002,0)))</f>
        <v>T62</v>
      </c>
      <c r="M1770" s="39">
        <v>1120</v>
      </c>
      <c r="N1770" s="39">
        <v>10000</v>
      </c>
      <c r="O1770" s="47">
        <v>3</v>
      </c>
      <c r="P1770" s="57"/>
      <c r="Q1770" s="276">
        <f>IF(D1770="","",IF(J1770="リード付け",M1770,VLOOKUP(D1770,契約台帳!$A$3:$N$4986,14,FALSE)))</f>
        <v>1120</v>
      </c>
      <c r="R1770" s="277">
        <f>IF(D1770="","",IF(J1770="リード付け",M1770,VLOOKUP(D1770,契約台帳!$A$3:$O$4986,15,FALSE)))</f>
        <v>1120</v>
      </c>
      <c r="S1770" s="277">
        <f>IF(D1770="","",IF(J1770="リード付け",N1770,VLOOKUP(D1770,契約台帳!$A$3:$P$4986,16,FALSE)))</f>
        <v>5000</v>
      </c>
      <c r="T1770" s="40">
        <v>6</v>
      </c>
      <c r="U1770" s="278">
        <f ca="1">IF(D1770="","",IF(OFFSET(D1770,-2,0)=D1770,"",VLOOKUP(D1770,契約台帳!$A$3:$R$4986,18,FALSE)))</f>
        <v>32</v>
      </c>
      <c r="V1770" s="269" t="str">
        <f>IF(J1770="巻返し",VLOOKUP(F1770&amp;K1770&amp;M1770,製品マスタ!$M$5:$AD$5002,18,FALSE),IF(J1770="リード付け","原反コア",IF(J1770="スリット",VLOOKUP(F1770&amp;K1770&amp;Q1770,製品マスタ!$N$5:$AD$5002,17,FALSE),"")))</f>
        <v>6ｲﾝﾁSｺｱ</v>
      </c>
      <c r="W1770" s="269">
        <f>IF(J1770="巻返し",VLOOKUP(F1770&amp;K1770&amp;M1770,製品マスタ!$M$5:$AE$5002,19,FALSE),IF(J1770="リード付け","-",IF(J1770="スリット",VLOOKUP(F1770&amp;K1770&amp;Q1770,製品マスタ!$N$5:$AE$5002,18,FALSE),"")))</f>
        <v>1125</v>
      </c>
      <c r="X1770" s="275">
        <f>IF(D1770="","",VLOOKUP(D1770,契約台帳!$A$3:$Q$4986,17,FALSE))</f>
        <v>2</v>
      </c>
      <c r="Y1770" s="269" t="str">
        <f>IF(D1770="","",VLOOKUP(D1770,契約台帳!$A$3:$E$4986,5,FALSE))</f>
        <v>リンテック㈱</v>
      </c>
      <c r="Z1770" s="357">
        <v>45505</v>
      </c>
      <c r="AA1770" s="207"/>
      <c r="AB1770" s="369"/>
      <c r="AC1770" s="370"/>
      <c r="AD1770" s="332" t="str">
        <f>IF(F1770="","",+F1770&amp;K1770)</f>
        <v>3SNMLBMNGTBF50</v>
      </c>
      <c r="AE1770" s="216">
        <f>+M1770*N1770*O1770/1000</f>
        <v>33600</v>
      </c>
      <c r="AF1770" s="43">
        <f>IF(AD1770="","",VLOOKUP(AD1770,原価マスタ!$A$2:$AJ$1693,13,FALSE))</f>
        <v>99</v>
      </c>
      <c r="AG1770" s="47">
        <f>IF(AF1770="","",+AE1770*AF1770/100)</f>
        <v>33264</v>
      </c>
      <c r="AH1770" s="30"/>
      <c r="AI1770" s="30"/>
      <c r="AJ1770" s="30"/>
      <c r="AK1770" s="30"/>
      <c r="AL1770" s="13"/>
      <c r="AM1770" s="13"/>
      <c r="AN1770" s="13"/>
      <c r="AO1770" s="13"/>
      <c r="AP1770" s="13"/>
      <c r="AQ1770" s="14"/>
      <c r="AR1770" s="15"/>
    </row>
    <row r="1771" spans="1:44" s="17" customFormat="1" ht="30.95" hidden="1" customHeight="1" x14ac:dyDescent="0.2">
      <c r="A1771" s="343"/>
      <c r="B1771" s="344"/>
      <c r="C1771" s="345"/>
      <c r="D1771" s="398"/>
      <c r="E1771" s="31"/>
      <c r="F1771" s="268"/>
      <c r="G1771" s="269"/>
      <c r="H1771" s="269"/>
      <c r="I1771" s="270"/>
      <c r="J1771" s="32"/>
      <c r="K1771" s="270"/>
      <c r="L1771" s="270"/>
      <c r="M1771" s="39"/>
      <c r="N1771" s="39"/>
      <c r="O1771" s="47"/>
      <c r="P1771" s="57"/>
      <c r="Q1771" s="276"/>
      <c r="R1771" s="277"/>
      <c r="S1771" s="277"/>
      <c r="T1771" s="40"/>
      <c r="U1771" s="278"/>
      <c r="V1771" s="269"/>
      <c r="W1771" s="269"/>
      <c r="X1771" s="275"/>
      <c r="Y1771" s="269"/>
      <c r="Z1771" s="357"/>
      <c r="AA1771" s="207"/>
      <c r="AB1771" s="369"/>
      <c r="AC1771" s="370"/>
      <c r="AD1771" s="332"/>
      <c r="AE1771" s="216"/>
      <c r="AF1771" s="43"/>
      <c r="AG1771" s="47"/>
      <c r="AH1771" s="30"/>
      <c r="AI1771" s="30"/>
      <c r="AJ1771" s="30"/>
      <c r="AK1771" s="30"/>
      <c r="AL1771" s="13"/>
      <c r="AM1771" s="13"/>
      <c r="AN1771" s="13"/>
      <c r="AO1771" s="13"/>
      <c r="AP1771" s="13"/>
      <c r="AQ1771" s="14"/>
      <c r="AR1771" s="15"/>
    </row>
    <row r="1772" spans="1:44" s="17" customFormat="1" ht="30.6" hidden="1" customHeight="1" x14ac:dyDescent="0.2">
      <c r="A1772" s="343" t="s">
        <v>1346</v>
      </c>
      <c r="B1772" s="344" t="s">
        <v>444</v>
      </c>
      <c r="C1772" s="345"/>
      <c r="D1772" s="398">
        <v>3764905</v>
      </c>
      <c r="E1772" s="31">
        <v>4151748</v>
      </c>
      <c r="F1772" s="268" t="str">
        <f>IF(D1772="","",VLOOKUP(D1772,契約台帳!$A$3:$K$4986,6,FALSE)&amp;VLOOKUP(D1772,契約台帳!$A$3:$K$4986,7,FALSE)&amp;VLOOKUP(D1772,契約台帳!$A$3:$K$4986,8,FALSE)&amp;VLOOKUP(D1772,契約台帳!$A$3:$K$4986,9,FALSE)&amp;VLOOKUP(D1772,契約台帳!$A$3:$K$4986,11,FALSE))</f>
        <v>3SYMLBMSBBF</v>
      </c>
      <c r="G1772" s="269" t="str">
        <f>IF(D1772="","",VLOOKUP(F1772,製品マスタ!$G$5:$H$5002,2,FALSE))</f>
        <v>S</v>
      </c>
      <c r="H1772" s="269" t="str">
        <f>IF(D1772="","",VLOOKUP(F1772,製品マスタ!$G$5:$K$5002,5,FALSE))</f>
        <v>MSBBF</v>
      </c>
      <c r="I1772" s="270" t="str">
        <f>IF(D1772="","",VLOOKUP(F1772,製品マスタ!$G$5:$L$5002,6,FALSE))</f>
        <v>ＭＥＴＡＬＵＭＹ　ＳＩＬＶＥＲ　ＢＲＩＧＨＴ　Ｔ６２Ｍ　Ｂ</v>
      </c>
      <c r="J1772" s="32" t="s">
        <v>447</v>
      </c>
      <c r="K1772" s="270">
        <f>IF(D1772="","",VLOOKUP(D1772,契約台帳!$A$3:$L$4986,12,FALSE))</f>
        <v>25</v>
      </c>
      <c r="L1772" s="270" t="str">
        <f>IF(D1772="","",INDEX(製品マスタ!$Q$5:$Q$5002,MATCH(F1772&amp;K1772,製品マスタ!$AO$5:$AO$5002,0)))</f>
        <v>T62</v>
      </c>
      <c r="M1772" s="39">
        <v>1120</v>
      </c>
      <c r="N1772" s="39">
        <v>16000</v>
      </c>
      <c r="O1772" s="47">
        <v>1</v>
      </c>
      <c r="P1772" s="57"/>
      <c r="Q1772" s="276">
        <f>IF(D1772="","",IF(J1772="リード付け",M1772,VLOOKUP(D1772,契約台帳!$A$3:$N$4986,14,FALSE)))</f>
        <v>1120</v>
      </c>
      <c r="R1772" s="277">
        <f>IF(D1772="","",IF(J1772="リード付け",M1772,VLOOKUP(D1772,契約台帳!$A$3:$O$4986,15,FALSE)))</f>
        <v>1120</v>
      </c>
      <c r="S1772" s="277">
        <f>IF(D1772="","",IF(J1772="リード付け",N1772,VLOOKUP(D1772,契約台帳!$A$3:$P$4986,16,FALSE)))</f>
        <v>8000</v>
      </c>
      <c r="T1772" s="40">
        <v>2</v>
      </c>
      <c r="U1772" s="278">
        <f ca="1">IF(D1772="","",IF(OFFSET(D1772,-2,0)=D1772,"",VLOOKUP(D1772,契約台帳!$A$3:$R$4986,18,FALSE)))</f>
        <v>2</v>
      </c>
      <c r="V1772" s="269" t="str">
        <f>IF(J1772="巻返し",VLOOKUP(F1772&amp;K1772&amp;M1772,製品マスタ!$M$5:$AD$5002,18,FALSE),IF(J1772="リード付け","原反コア",IF(J1772="スリット",VLOOKUP(F1772&amp;K1772&amp;Q1772,製品マスタ!$N$5:$AD$5002,17,FALSE),"")))</f>
        <v>6ｲﾝﾁSｺｱ</v>
      </c>
      <c r="W1772" s="269">
        <f>IF(J1772="巻返し",VLOOKUP(F1772&amp;K1772&amp;M1772,製品マスタ!$M$5:$AE$5002,19,FALSE),IF(J1772="リード付け","-",IF(J1772="スリット",VLOOKUP(F1772&amp;K1772&amp;Q1772,製品マスタ!$N$5:$AE$5002,18,FALSE),"")))</f>
        <v>1125</v>
      </c>
      <c r="X1772" s="275">
        <f>IF(D1772="","",VLOOKUP(D1772,契約台帳!$A$3:$Q$4986,17,FALSE))</f>
        <v>2</v>
      </c>
      <c r="Y1772" s="269" t="str">
        <f>IF(D1772="","",VLOOKUP(D1772,契約台帳!$A$3:$E$4986,5,FALSE))</f>
        <v>リンテック㈱</v>
      </c>
      <c r="Z1772" s="357">
        <v>45509</v>
      </c>
      <c r="AA1772" s="207"/>
      <c r="AB1772" s="369"/>
      <c r="AC1772" s="370"/>
      <c r="AD1772" s="332" t="str">
        <f>IF(F1772="","",+F1772&amp;K1772)</f>
        <v>3SYMLBMSBBF25</v>
      </c>
      <c r="AE1772" s="216">
        <f>+M1772*N1772*O1772/1000</f>
        <v>17920</v>
      </c>
      <c r="AF1772" s="43" t="e">
        <f>IF(AD1772="","",VLOOKUP(AD1772,原価マスタ!$A$2:$AJ$1693,13,FALSE))</f>
        <v>#N/A</v>
      </c>
      <c r="AG1772" s="47" t="e">
        <f>IF(AF1772="","",+AE1772*AF1772/100)</f>
        <v>#N/A</v>
      </c>
      <c r="AH1772" s="30"/>
      <c r="AI1772" s="30"/>
      <c r="AJ1772" s="30"/>
      <c r="AK1772" s="30"/>
      <c r="AL1772" s="13"/>
      <c r="AM1772" s="13"/>
      <c r="AN1772" s="13"/>
      <c r="AO1772" s="13"/>
      <c r="AP1772" s="13"/>
      <c r="AQ1772" s="14"/>
      <c r="AR1772" s="15"/>
    </row>
    <row r="1773" spans="1:44" s="17" customFormat="1" ht="30.95" hidden="1" customHeight="1" x14ac:dyDescent="0.2">
      <c r="A1773" s="343"/>
      <c r="B1773" s="344"/>
      <c r="C1773" s="345"/>
      <c r="D1773" s="398"/>
      <c r="E1773" s="31"/>
      <c r="F1773" s="268"/>
      <c r="G1773" s="269"/>
      <c r="H1773" s="269"/>
      <c r="I1773" s="270"/>
      <c r="J1773" s="32"/>
      <c r="K1773" s="270"/>
      <c r="L1773" s="270"/>
      <c r="M1773" s="39"/>
      <c r="N1773" s="39"/>
      <c r="O1773" s="47"/>
      <c r="P1773" s="57"/>
      <c r="Q1773" s="276"/>
      <c r="R1773" s="277"/>
      <c r="S1773" s="277"/>
      <c r="T1773" s="40"/>
      <c r="U1773" s="278"/>
      <c r="V1773" s="269"/>
      <c r="W1773" s="269"/>
      <c r="X1773" s="275"/>
      <c r="Y1773" s="269"/>
      <c r="Z1773" s="357"/>
      <c r="AA1773" s="207"/>
      <c r="AB1773" s="369"/>
      <c r="AC1773" s="370"/>
      <c r="AD1773" s="332"/>
      <c r="AE1773" s="216"/>
      <c r="AF1773" s="43"/>
      <c r="AG1773" s="47"/>
      <c r="AH1773" s="30"/>
      <c r="AI1773" s="30"/>
      <c r="AJ1773" s="30"/>
      <c r="AK1773" s="30"/>
      <c r="AL1773" s="13"/>
      <c r="AM1773" s="13"/>
      <c r="AN1773" s="13"/>
      <c r="AO1773" s="13"/>
      <c r="AP1773" s="13"/>
      <c r="AQ1773" s="14"/>
      <c r="AR1773" s="15"/>
    </row>
    <row r="1774" spans="1:44" s="17" customFormat="1" ht="30.95" hidden="1" customHeight="1" x14ac:dyDescent="0.2">
      <c r="A1774" s="320"/>
      <c r="B1774" s="321"/>
      <c r="C1774" s="345"/>
      <c r="D1774" s="346">
        <v>5370450</v>
      </c>
      <c r="E1774" s="346">
        <v>4151782</v>
      </c>
      <c r="F1774" s="268"/>
      <c r="G1774" s="269" t="s">
        <v>450</v>
      </c>
      <c r="H1774" s="269" t="s">
        <v>230</v>
      </c>
      <c r="I1774" s="270" t="s">
        <v>2993</v>
      </c>
      <c r="J1774" s="347" t="s">
        <v>1877</v>
      </c>
      <c r="K1774" s="270">
        <v>50</v>
      </c>
      <c r="L1774" s="270" t="s">
        <v>2994</v>
      </c>
      <c r="M1774" s="348">
        <v>1250</v>
      </c>
      <c r="N1774" s="348">
        <v>2000</v>
      </c>
      <c r="O1774" s="349">
        <v>3</v>
      </c>
      <c r="P1774" s="350"/>
      <c r="Q1774" s="276">
        <v>1000</v>
      </c>
      <c r="R1774" s="277">
        <v>1000</v>
      </c>
      <c r="S1774" s="277">
        <v>1900</v>
      </c>
      <c r="T1774" s="351">
        <v>3</v>
      </c>
      <c r="U1774" s="278">
        <v>3</v>
      </c>
      <c r="V1774" s="269" t="s">
        <v>1879</v>
      </c>
      <c r="W1774" s="269">
        <v>1005</v>
      </c>
      <c r="X1774" s="275">
        <v>1</v>
      </c>
      <c r="Y1774" s="269" t="s">
        <v>61</v>
      </c>
      <c r="Z1774" s="350" t="s">
        <v>1016</v>
      </c>
      <c r="AA1774" s="207"/>
      <c r="AB1774" s="352"/>
      <c r="AC1774" s="353"/>
      <c r="AD1774" s="54"/>
      <c r="AE1774" s="354"/>
      <c r="AF1774" s="355"/>
      <c r="AG1774" s="349"/>
      <c r="AH1774" s="30"/>
      <c r="AI1774" s="30"/>
      <c r="AJ1774" s="30"/>
      <c r="AK1774" s="30"/>
      <c r="AL1774" s="13"/>
      <c r="AM1774" s="13"/>
      <c r="AN1774" s="13"/>
      <c r="AO1774" s="13"/>
      <c r="AP1774" s="13"/>
      <c r="AQ1774" s="14"/>
      <c r="AR1774" s="15"/>
    </row>
    <row r="1775" spans="1:44" s="17" customFormat="1" ht="30.95" hidden="1" customHeight="1" x14ac:dyDescent="0.2">
      <c r="A1775" s="343"/>
      <c r="B1775" s="344"/>
      <c r="C1775" s="345"/>
      <c r="D1775" s="346"/>
      <c r="E1775" s="413" t="s">
        <v>932</v>
      </c>
      <c r="F1775" s="268"/>
      <c r="G1775" s="269"/>
      <c r="H1775" s="269"/>
      <c r="I1775" s="270"/>
      <c r="J1775" s="347"/>
      <c r="K1775" s="270"/>
      <c r="L1775" s="270"/>
      <c r="M1775" s="348"/>
      <c r="N1775" s="348"/>
      <c r="O1775" s="349"/>
      <c r="P1775" s="350"/>
      <c r="Q1775" s="276"/>
      <c r="R1775" s="277"/>
      <c r="S1775" s="277"/>
      <c r="T1775" s="351"/>
      <c r="U1775" s="278"/>
      <c r="V1775" s="269"/>
      <c r="W1775" s="269"/>
      <c r="X1775" s="275"/>
      <c r="Y1775" s="269"/>
      <c r="Z1775" s="350"/>
      <c r="AA1775" s="207"/>
      <c r="AB1775" s="352"/>
      <c r="AC1775" s="353"/>
      <c r="AD1775" s="54"/>
      <c r="AE1775" s="354"/>
      <c r="AF1775" s="355"/>
      <c r="AG1775" s="349"/>
      <c r="AH1775" s="30"/>
      <c r="AI1775" s="30"/>
      <c r="AJ1775" s="30"/>
      <c r="AK1775" s="30"/>
      <c r="AL1775" s="13"/>
      <c r="AM1775" s="13"/>
      <c r="AN1775" s="13"/>
      <c r="AO1775" s="13"/>
      <c r="AP1775" s="13"/>
      <c r="AQ1775" s="14"/>
      <c r="AR1775" s="15"/>
    </row>
    <row r="1776" spans="1:44" s="17" customFormat="1" ht="30.95" hidden="1" customHeight="1" x14ac:dyDescent="0.2">
      <c r="A1776" s="343" t="s">
        <v>3042</v>
      </c>
      <c r="B1776" s="344" t="s">
        <v>3043</v>
      </c>
      <c r="C1776" s="345"/>
      <c r="D1776" s="398"/>
      <c r="E1776" s="31"/>
      <c r="F1776" s="268"/>
      <c r="G1776" s="269"/>
      <c r="H1776" s="269"/>
      <c r="I1776" s="270"/>
      <c r="J1776" s="32" t="s">
        <v>448</v>
      </c>
      <c r="K1776" s="270"/>
      <c r="L1776" s="270"/>
      <c r="M1776" s="39"/>
      <c r="N1776" s="39"/>
      <c r="O1776" s="47"/>
      <c r="P1776" s="57"/>
      <c r="Q1776" s="276"/>
      <c r="R1776" s="277"/>
      <c r="S1776" s="277"/>
      <c r="T1776" s="40"/>
      <c r="U1776" s="278"/>
      <c r="V1776" s="269"/>
      <c r="W1776" s="269"/>
      <c r="X1776" s="275"/>
      <c r="Y1776" s="269"/>
      <c r="Z1776" s="357"/>
      <c r="AA1776" s="207"/>
      <c r="AB1776" s="369"/>
      <c r="AC1776" s="370"/>
      <c r="AD1776" s="332"/>
      <c r="AE1776" s="216"/>
      <c r="AF1776" s="43"/>
      <c r="AG1776" s="47"/>
      <c r="AH1776" s="30"/>
      <c r="AI1776" s="30"/>
      <c r="AJ1776" s="30"/>
      <c r="AK1776" s="30"/>
      <c r="AL1776" s="13"/>
      <c r="AM1776" s="13"/>
      <c r="AN1776" s="13"/>
      <c r="AO1776" s="13"/>
      <c r="AP1776" s="13"/>
      <c r="AQ1776" s="14"/>
      <c r="AR1776" s="15"/>
    </row>
    <row r="1777" spans="1:44" s="17" customFormat="1" ht="30.95" hidden="1" customHeight="1" x14ac:dyDescent="0.2">
      <c r="A1777" s="343"/>
      <c r="B1777" s="344"/>
      <c r="C1777" s="345"/>
      <c r="D1777" s="398"/>
      <c r="E1777" s="31"/>
      <c r="F1777" s="268"/>
      <c r="G1777" s="269"/>
      <c r="H1777" s="269"/>
      <c r="I1777" s="270"/>
      <c r="J1777" s="32"/>
      <c r="K1777" s="270"/>
      <c r="L1777" s="270"/>
      <c r="M1777" s="39"/>
      <c r="N1777" s="39"/>
      <c r="O1777" s="47"/>
      <c r="P1777" s="57"/>
      <c r="Q1777" s="276"/>
      <c r="R1777" s="277"/>
      <c r="S1777" s="277"/>
      <c r="T1777" s="40"/>
      <c r="U1777" s="278"/>
      <c r="V1777" s="269"/>
      <c r="W1777" s="269"/>
      <c r="X1777" s="275"/>
      <c r="Y1777" s="269"/>
      <c r="Z1777" s="357"/>
      <c r="AA1777" s="207"/>
      <c r="AB1777" s="369"/>
      <c r="AC1777" s="370"/>
      <c r="AD1777" s="332"/>
      <c r="AE1777" s="216"/>
      <c r="AF1777" s="43"/>
      <c r="AG1777" s="47"/>
      <c r="AH1777" s="30"/>
      <c r="AI1777" s="30"/>
      <c r="AJ1777" s="30"/>
      <c r="AK1777" s="30"/>
      <c r="AL1777" s="13"/>
      <c r="AM1777" s="13"/>
      <c r="AN1777" s="13"/>
      <c r="AO1777" s="13"/>
      <c r="AP1777" s="13"/>
      <c r="AQ1777" s="14"/>
      <c r="AR1777" s="15"/>
    </row>
    <row r="1778" spans="1:44" s="17" customFormat="1" ht="30.95" hidden="1" customHeight="1" x14ac:dyDescent="0.2">
      <c r="A1778" s="343" t="s">
        <v>3044</v>
      </c>
      <c r="B1778" s="344" t="s">
        <v>3045</v>
      </c>
      <c r="C1778" s="345"/>
      <c r="D1778" s="398"/>
      <c r="E1778" s="31"/>
      <c r="F1778" s="268"/>
      <c r="G1778" s="269"/>
      <c r="H1778" s="269"/>
      <c r="I1778" s="270"/>
      <c r="J1778" s="32" t="s">
        <v>448</v>
      </c>
      <c r="K1778" s="270"/>
      <c r="L1778" s="270"/>
      <c r="M1778" s="39"/>
      <c r="N1778" s="39"/>
      <c r="O1778" s="47"/>
      <c r="P1778" s="57"/>
      <c r="Q1778" s="276"/>
      <c r="R1778" s="277"/>
      <c r="S1778" s="277"/>
      <c r="T1778" s="40"/>
      <c r="U1778" s="278"/>
      <c r="V1778" s="269"/>
      <c r="W1778" s="269"/>
      <c r="X1778" s="275"/>
      <c r="Y1778" s="269"/>
      <c r="Z1778" s="357"/>
      <c r="AA1778" s="207"/>
      <c r="AB1778" s="369"/>
      <c r="AC1778" s="370"/>
      <c r="AD1778" s="332"/>
      <c r="AE1778" s="216"/>
      <c r="AF1778" s="43"/>
      <c r="AG1778" s="47"/>
      <c r="AH1778" s="30"/>
      <c r="AI1778" s="30"/>
      <c r="AJ1778" s="30"/>
      <c r="AK1778" s="30"/>
      <c r="AL1778" s="13"/>
      <c r="AM1778" s="13"/>
      <c r="AN1778" s="13"/>
      <c r="AO1778" s="13"/>
      <c r="AP1778" s="13"/>
      <c r="AQ1778" s="14"/>
      <c r="AR1778" s="15"/>
    </row>
    <row r="1779" spans="1:44" s="17" customFormat="1" ht="30.95" hidden="1" customHeight="1" x14ac:dyDescent="0.2">
      <c r="A1779" s="343"/>
      <c r="B1779" s="344"/>
      <c r="C1779" s="345"/>
      <c r="D1779" s="398"/>
      <c r="E1779" s="31"/>
      <c r="F1779" s="268"/>
      <c r="G1779" s="269"/>
      <c r="H1779" s="269"/>
      <c r="I1779" s="270"/>
      <c r="J1779" s="32"/>
      <c r="K1779" s="270"/>
      <c r="L1779" s="270"/>
      <c r="M1779" s="39"/>
      <c r="N1779" s="39"/>
      <c r="O1779" s="47"/>
      <c r="P1779" s="57"/>
      <c r="Q1779" s="276"/>
      <c r="R1779" s="277"/>
      <c r="S1779" s="277"/>
      <c r="T1779" s="40"/>
      <c r="U1779" s="278"/>
      <c r="V1779" s="269"/>
      <c r="W1779" s="269"/>
      <c r="X1779" s="275"/>
      <c r="Y1779" s="269"/>
      <c r="Z1779" s="357"/>
      <c r="AA1779" s="207"/>
      <c r="AB1779" s="369"/>
      <c r="AC1779" s="370"/>
      <c r="AD1779" s="332"/>
      <c r="AE1779" s="216"/>
      <c r="AF1779" s="43"/>
      <c r="AG1779" s="47"/>
      <c r="AH1779" s="30"/>
      <c r="AI1779" s="30"/>
      <c r="AJ1779" s="30"/>
      <c r="AK1779" s="30"/>
      <c r="AL1779" s="13"/>
      <c r="AM1779" s="13"/>
      <c r="AN1779" s="13"/>
      <c r="AO1779" s="13"/>
      <c r="AP1779" s="13"/>
      <c r="AQ1779" s="14"/>
      <c r="AR1779" s="15"/>
    </row>
    <row r="1780" spans="1:44" s="17" customFormat="1" ht="30.95" hidden="1" customHeight="1" x14ac:dyDescent="0.2">
      <c r="A1780" s="320" t="s">
        <v>3072</v>
      </c>
      <c r="B1780" s="321" t="s">
        <v>3073</v>
      </c>
      <c r="C1780" s="345"/>
      <c r="D1780" s="398">
        <v>3762717</v>
      </c>
      <c r="E1780" s="31">
        <v>4151743</v>
      </c>
      <c r="F1780" s="268" t="str">
        <f>IF(D1780="","",VLOOKUP(D1780,契約台帳!$A$3:$K$4986,6,FALSE)&amp;VLOOKUP(D1780,契約台帳!$A$3:$K$4986,7,FALSE)&amp;VLOOKUP(D1780,契約台帳!$A$3:$K$4986,8,FALSE)&amp;VLOOKUP(D1780,契約台帳!$A$3:$K$4986,9,FALSE)&amp;VLOOKUP(D1780,契約台帳!$A$3:$K$4986,11,FALSE))</f>
        <v>3TNDMSX42GPC</v>
      </c>
      <c r="G1780" s="269" t="str">
        <f>IF(D1780="","",VLOOKUP(F1780,製品マスタ!$G$5:$H$5002,2,FALSE))</f>
        <v>T</v>
      </c>
      <c r="H1780" s="269" t="str">
        <f>IF(D1780="","",VLOOKUP(F1780,製品マスタ!$G$5:$K$5002,5,FALSE))</f>
        <v>X42GPC</v>
      </c>
      <c r="I1780" s="270" t="str">
        <f>IF(D1780="","",VLOOKUP(F1780,製品マスタ!$G$5:$L$5002,6,FALSE))</f>
        <v>ＤＭＳ（Ｘ４２Ｇ）ＰＣ</v>
      </c>
      <c r="J1780" s="32" t="s">
        <v>447</v>
      </c>
      <c r="K1780" s="270">
        <f>IF(D1780="","",VLOOKUP(D1780,契約台帳!$A$3:$L$4986,12,FALSE))</f>
        <v>50</v>
      </c>
      <c r="L1780" s="270" t="str">
        <f>IF(D1780="","",INDEX(製品マスタ!$Q$5:$Q$5002,MATCH(F1780&amp;K1780,製品マスタ!$AO$5:$AO$5002,0)))</f>
        <v>X42G</v>
      </c>
      <c r="M1780" s="39">
        <v>1360</v>
      </c>
      <c r="N1780" s="39">
        <v>4100</v>
      </c>
      <c r="O1780" s="47">
        <v>1</v>
      </c>
      <c r="P1780" s="57"/>
      <c r="Q1780" s="276">
        <f>IF(D1780="","",IF(J1780="リード付け",M1780,VLOOKUP(D1780,契約台帳!$A$3:$N$4986,14,FALSE)))</f>
        <v>680</v>
      </c>
      <c r="R1780" s="277">
        <f>IF(D1780="","",IF(J1780="リード付け",M1780,VLOOKUP(D1780,契約台帳!$A$3:$O$4986,15,FALSE)))</f>
        <v>680</v>
      </c>
      <c r="S1780" s="277">
        <f>IF(D1780="","",IF(J1780="リード付け",N1780,VLOOKUP(D1780,契約台帳!$A$3:$P$4986,16,FALSE)))</f>
        <v>2000</v>
      </c>
      <c r="T1780" s="40">
        <v>4</v>
      </c>
      <c r="U1780" s="278">
        <f ca="1">IF(D1780="","",IF(OFFSET(D1780,-2,0)=D1780,"",VLOOKUP(D1780,契約台帳!$A$3:$R$4986,18,FALSE)))</f>
        <v>4</v>
      </c>
      <c r="V1780" s="269" t="str">
        <f>IF(J1780="巻返し",VLOOKUP(F1780&amp;K1780&amp;M1780,製品マスタ!$M$5:$AD$5002,18,FALSE),IF(J1780="リード付け","原反コア",IF(J1780="スリット",VLOOKUP(F1780&amp;K1780&amp;Q1780,製品マスタ!$N$5:$AD$5002,17,FALSE),"")))</f>
        <v>3ｲﾝﾁMｺｱ</v>
      </c>
      <c r="W1780" s="269">
        <f>IF(J1780="巻返し",VLOOKUP(F1780&amp;K1780&amp;M1780,製品マスタ!$M$5:$AE$5002,19,FALSE),IF(J1780="リード付け","-",IF(J1780="スリット",VLOOKUP(F1780&amp;K1780&amp;Q1780,製品マスタ!$N$5:$AE$5002,18,FALSE),"")))</f>
        <v>690</v>
      </c>
      <c r="X1780" s="275">
        <f>IF(D1780="","",VLOOKUP(D1780,契約台帳!$A$3:$Q$4986,17,FALSE))</f>
        <v>2</v>
      </c>
      <c r="Y1780" s="269" t="str">
        <f>IF(D1780="","",VLOOKUP(D1780,契約台帳!$A$3:$E$4986,5,FALSE))</f>
        <v>㈱ポラテクノ</v>
      </c>
      <c r="Z1780" s="357">
        <v>45512</v>
      </c>
      <c r="AA1780" s="207" t="s">
        <v>774</v>
      </c>
      <c r="AB1780" s="369"/>
      <c r="AC1780" s="370"/>
      <c r="AD1780" s="332" t="str">
        <f>IF(F1780="","",+F1780&amp;K1780)</f>
        <v>3TNDMSX42GPC50</v>
      </c>
      <c r="AE1780" s="216">
        <f>+M1780*N1780*O1780/1000</f>
        <v>5576</v>
      </c>
      <c r="AF1780" s="43"/>
      <c r="AG1780" s="47"/>
      <c r="AH1780" s="30"/>
      <c r="AI1780" s="30"/>
      <c r="AJ1780" s="30"/>
      <c r="AK1780" s="30"/>
      <c r="AL1780" s="13"/>
      <c r="AM1780" s="13"/>
      <c r="AN1780" s="13"/>
      <c r="AO1780" s="13"/>
      <c r="AP1780" s="13"/>
      <c r="AQ1780" s="14"/>
      <c r="AR1780" s="15"/>
    </row>
    <row r="1781" spans="1:44" s="17" customFormat="1" ht="30.95" hidden="1" customHeight="1" x14ac:dyDescent="0.2">
      <c r="A1781" s="343"/>
      <c r="B1781" s="344"/>
      <c r="C1781" s="345"/>
      <c r="D1781" s="398"/>
      <c r="E1781" s="31"/>
      <c r="F1781" s="268"/>
      <c r="G1781" s="269"/>
      <c r="H1781" s="269"/>
      <c r="I1781" s="270"/>
      <c r="J1781" s="32"/>
      <c r="K1781" s="270"/>
      <c r="L1781" s="270"/>
      <c r="M1781" s="39"/>
      <c r="N1781" s="39"/>
      <c r="O1781" s="47"/>
      <c r="P1781" s="57"/>
      <c r="Q1781" s="276"/>
      <c r="R1781" s="277"/>
      <c r="S1781" s="277"/>
      <c r="T1781" s="40"/>
      <c r="U1781" s="278"/>
      <c r="V1781" s="269"/>
      <c r="W1781" s="269"/>
      <c r="X1781" s="275"/>
      <c r="Y1781" s="269"/>
      <c r="Z1781" s="357"/>
      <c r="AA1781" s="207"/>
      <c r="AB1781" s="369"/>
      <c r="AC1781" s="370"/>
      <c r="AD1781" s="332"/>
      <c r="AE1781" s="216"/>
      <c r="AF1781" s="43"/>
      <c r="AG1781" s="47"/>
      <c r="AH1781" s="30"/>
      <c r="AI1781" s="30"/>
      <c r="AJ1781" s="30"/>
      <c r="AK1781" s="30"/>
      <c r="AL1781" s="13"/>
      <c r="AM1781" s="13"/>
      <c r="AN1781" s="13"/>
      <c r="AO1781" s="13"/>
      <c r="AP1781" s="13"/>
      <c r="AQ1781" s="14"/>
      <c r="AR1781" s="15"/>
    </row>
    <row r="1782" spans="1:44" s="17" customFormat="1" ht="30.95" hidden="1" customHeight="1" x14ac:dyDescent="0.2">
      <c r="A1782" s="343"/>
      <c r="B1782" s="344"/>
      <c r="C1782" s="345"/>
      <c r="D1782" s="31">
        <v>3766747</v>
      </c>
      <c r="E1782" s="31">
        <v>4170142</v>
      </c>
      <c r="F1782" s="268" t="str">
        <f>IF(D1782="","",VLOOKUP(D1782,契約台帳!$A$3:$K$4986,6,FALSE)&amp;VLOOKUP(D1782,契約台帳!$A$3:$K$4986,7,FALSE)&amp;VLOOKUP(D1782,契約台帳!$A$3:$K$4986,8,FALSE)&amp;VLOOKUP(D1782,契約台帳!$A$3:$K$4986,9,FALSE)&amp;VLOOKUP(D1782,契約台帳!$A$3:$K$4986,11,FALSE))</f>
        <v>3SNMCLBEYK</v>
      </c>
      <c r="G1782" s="269" t="str">
        <f>IF(D1782="","",VLOOKUP(F1782,製品マスタ!$G$5:$H$5002,2,FALSE))</f>
        <v>S</v>
      </c>
      <c r="H1782" s="269" t="str">
        <f>IF(D1782="","",VLOOKUP(F1782,製品マスタ!$G$5:$K$5002,5,FALSE))</f>
        <v>EYK</v>
      </c>
      <c r="I1782" s="270" t="str">
        <f>IF(D1782="","",VLOOKUP(F1782,製品マスタ!$G$5:$L$5002,6,FALSE))</f>
        <v>メタルミー　ＥＹＫ</v>
      </c>
      <c r="J1782" s="32" t="s">
        <v>3017</v>
      </c>
      <c r="K1782" s="270">
        <f>IF(D1782="","",VLOOKUP(D1782,契約台帳!$A$3:$L$4986,12,FALSE))</f>
        <v>25</v>
      </c>
      <c r="L1782" s="270" t="str">
        <f>IF(D1782="","",INDEX(製品マスタ!$Q$5:$Q$5002,MATCH(F1782&amp;K1782,製品マスタ!$AO$5:$AO$5002,0)))</f>
        <v>T62M</v>
      </c>
      <c r="M1782" s="39">
        <v>1125</v>
      </c>
      <c r="N1782" s="39">
        <v>12100</v>
      </c>
      <c r="O1782" s="47">
        <v>1</v>
      </c>
      <c r="P1782" s="350">
        <v>45505</v>
      </c>
      <c r="Q1782" s="276">
        <f>IF(D1782="","",IF(J1782="リード付け",M1782,VLOOKUP(D1782,契約台帳!$A$3:$N$4986,14,FALSE)))</f>
        <v>1125</v>
      </c>
      <c r="R1782" s="277">
        <f>IF(D1782="","",IF(J1782="リード付け",M1782,VLOOKUP(D1782,契約台帳!$A$3:$O$4986,15,FALSE)))</f>
        <v>1125</v>
      </c>
      <c r="S1782" s="277">
        <f>IF(D1782="","",IF(J1782="リード付け",N1782,VLOOKUP(D1782,契約台帳!$A$3:$P$4986,16,FALSE)))</f>
        <v>12100</v>
      </c>
      <c r="T1782" s="40">
        <v>1</v>
      </c>
      <c r="U1782" s="278">
        <f ca="1">IF(D1782="","",IF(OFFSET(D1782,-2,0)=D1782,"",VLOOKUP(D1782,契約台帳!$A$3:$R$4986,18,FALSE)))</f>
        <v>2</v>
      </c>
      <c r="V1782" s="269" t="str">
        <f>IF(J1782="巻返し",VLOOKUP(F1782&amp;K1782&amp;M1782,製品マスタ!$M$5:$AD$5002,18,FALSE),IF(J1782="リード付け","原反コア",IF(J1782="スリット",VLOOKUP(F1782&amp;K1782&amp;Q1782,製品マスタ!$N$5:$AD$5002,17,FALSE),"")))</f>
        <v>原反コア</v>
      </c>
      <c r="W1782" s="269" t="str">
        <f>IF(J1782="巻返し",VLOOKUP(F1782&amp;K1782&amp;M1782,製品マスタ!$M$5:$AE$5002,19,FALSE),IF(J1782="リード付け","-",IF(J1782="スリット",VLOOKUP(F1782&amp;K1782&amp;Q1782,製品マスタ!$N$5:$AE$5002,18,FALSE),"")))</f>
        <v>-</v>
      </c>
      <c r="X1782" s="275">
        <f>IF(D1782="","",VLOOKUP(D1782,契約台帳!$A$3:$Q$4986,17,FALSE))</f>
        <v>2</v>
      </c>
      <c r="Y1782" s="269" t="str">
        <f>IF(D1782="","",VLOOKUP(D1782,契約台帳!$A$3:$E$4986,5,FALSE))</f>
        <v>新タック化成㈱</v>
      </c>
      <c r="Z1782" s="350"/>
      <c r="AA1782" s="424"/>
      <c r="AB1782" s="352"/>
      <c r="AC1782" s="353"/>
      <c r="AD1782" s="54"/>
      <c r="AE1782" s="354">
        <f>+M1782*N1782*O1782/1000</f>
        <v>13612.5</v>
      </c>
      <c r="AF1782" s="355"/>
      <c r="AG1782" s="349"/>
      <c r="AH1782" s="30"/>
      <c r="AI1782" s="30"/>
      <c r="AJ1782" s="30"/>
      <c r="AK1782" s="30"/>
      <c r="AL1782" s="13"/>
      <c r="AM1782" s="13"/>
      <c r="AN1782" s="13"/>
      <c r="AO1782" s="13"/>
      <c r="AP1782" s="13"/>
      <c r="AQ1782" s="14"/>
      <c r="AR1782" s="15"/>
    </row>
    <row r="1783" spans="1:44" s="17" customFormat="1" ht="30.95" hidden="1" customHeight="1" x14ac:dyDescent="0.2">
      <c r="A1783" s="343"/>
      <c r="B1783" s="344"/>
      <c r="C1783" s="345"/>
      <c r="D1783" s="398"/>
      <c r="E1783" s="31"/>
      <c r="F1783" s="268"/>
      <c r="G1783" s="269"/>
      <c r="H1783" s="269"/>
      <c r="I1783" s="270"/>
      <c r="J1783" s="32"/>
      <c r="K1783" s="270"/>
      <c r="L1783" s="270"/>
      <c r="M1783" s="39"/>
      <c r="N1783" s="39"/>
      <c r="O1783" s="47"/>
      <c r="P1783" s="57"/>
      <c r="Q1783" s="276"/>
      <c r="R1783" s="277"/>
      <c r="S1783" s="277"/>
      <c r="T1783" s="40"/>
      <c r="U1783" s="278"/>
      <c r="V1783" s="269"/>
      <c r="W1783" s="269"/>
      <c r="X1783" s="275"/>
      <c r="Y1783" s="269"/>
      <c r="Z1783" s="357"/>
      <c r="AA1783" s="207"/>
      <c r="AB1783" s="369"/>
      <c r="AC1783" s="370"/>
      <c r="AD1783" s="332"/>
      <c r="AE1783" s="216"/>
      <c r="AF1783" s="43"/>
      <c r="AG1783" s="47"/>
      <c r="AH1783" s="30"/>
      <c r="AI1783" s="30"/>
      <c r="AJ1783" s="30"/>
      <c r="AK1783" s="30"/>
      <c r="AL1783" s="13"/>
      <c r="AM1783" s="13"/>
      <c r="AN1783" s="13"/>
      <c r="AO1783" s="13"/>
      <c r="AP1783" s="13"/>
      <c r="AQ1783" s="14"/>
      <c r="AR1783" s="15"/>
    </row>
    <row r="1784" spans="1:44" s="17" customFormat="1" ht="30.95" hidden="1" customHeight="1" x14ac:dyDescent="0.2">
      <c r="A1784" s="343"/>
      <c r="B1784" s="344"/>
      <c r="C1784" s="345"/>
      <c r="D1784" s="31">
        <v>3766743</v>
      </c>
      <c r="E1784" s="31">
        <v>4170143</v>
      </c>
      <c r="F1784" s="268" t="str">
        <f>IF(D1784="","",VLOOKUP(D1784,契約台帳!$A$3:$K$4986,6,FALSE)&amp;VLOOKUP(D1784,契約台帳!$A$3:$K$4986,7,FALSE)&amp;VLOOKUP(D1784,契約台帳!$A$3:$K$4986,8,FALSE)&amp;VLOOKUP(D1784,契約台帳!$A$3:$K$4986,9,FALSE)&amp;VLOOKUP(D1784,契約台帳!$A$3:$K$4986,11,FALSE))</f>
        <v>3SNMLBMDMSJF</v>
      </c>
      <c r="G1784" s="269" t="str">
        <f>IF(D1784="","",VLOOKUP(F1784,製品マスタ!$G$5:$H$5002,2,FALSE))</f>
        <v>S</v>
      </c>
      <c r="H1784" s="269" t="str">
        <f>IF(D1784="","",VLOOKUP(F1784,製品マスタ!$G$5:$K$5002,5,FALSE))</f>
        <v>MDMSJF</v>
      </c>
      <c r="I1784" s="270" t="str">
        <f>IF(D1784="","",VLOOKUP(F1784,製品マスタ!$G$5:$L$5002,6,FALSE))</f>
        <v>ＤＭＳ蒸着（Ｘ－４４）</v>
      </c>
      <c r="J1784" s="32" t="s">
        <v>3017</v>
      </c>
      <c r="K1784" s="270">
        <f>IF(D1784="","",VLOOKUP(D1784,契約台帳!$A$3:$L$4986,12,FALSE))</f>
        <v>50</v>
      </c>
      <c r="L1784" s="270" t="str">
        <f>IF(D1784="","",INDEX(製品マスタ!$Q$5:$Q$5002,MATCH(F1784&amp;K1784,製品マスタ!$AO$5:$AO$5002,0)))</f>
        <v>X44</v>
      </c>
      <c r="M1784" s="39">
        <v>1020</v>
      </c>
      <c r="N1784" s="39">
        <v>4000</v>
      </c>
      <c r="O1784" s="47">
        <v>1</v>
      </c>
      <c r="P1784" s="350">
        <v>45505</v>
      </c>
      <c r="Q1784" s="276">
        <f>IF(D1784="","",IF(J1784="リード付け",M1784,VLOOKUP(D1784,契約台帳!$A$3:$N$4986,14,FALSE)))</f>
        <v>1020</v>
      </c>
      <c r="R1784" s="277">
        <f>IF(D1784="","",IF(J1784="リード付け",M1784,VLOOKUP(D1784,契約台帳!$A$3:$O$4986,15,FALSE)))</f>
        <v>1020</v>
      </c>
      <c r="S1784" s="277">
        <f>IF(D1784="","",IF(J1784="リード付け",N1784,VLOOKUP(D1784,契約台帳!$A$3:$P$4986,16,FALSE)))</f>
        <v>4000</v>
      </c>
      <c r="T1784" s="40">
        <v>1</v>
      </c>
      <c r="U1784" s="278">
        <f ca="1">IF(D1784="","",IF(OFFSET(D1784,-2,0)=D1784,"",VLOOKUP(D1784,契約台帳!$A$3:$R$4986,18,FALSE)))</f>
        <v>2</v>
      </c>
      <c r="V1784" s="269" t="str">
        <f>IF(J1784="巻返し",VLOOKUP(F1784&amp;K1784&amp;M1784,製品マスタ!$M$5:$AD$5002,18,FALSE),IF(J1784="リード付け","原反コア",IF(J1784="スリット",VLOOKUP(F1784&amp;K1784&amp;Q1784,製品マスタ!$N$5:$AD$5002,17,FALSE),"")))</f>
        <v>原反コア</v>
      </c>
      <c r="W1784" s="269" t="str">
        <f>IF(J1784="巻返し",VLOOKUP(F1784&amp;K1784&amp;M1784,製品マスタ!$M$5:$AE$5002,19,FALSE),IF(J1784="リード付け","-",IF(J1784="スリット",VLOOKUP(F1784&amp;K1784&amp;Q1784,製品マスタ!$N$5:$AE$5002,18,FALSE),"")))</f>
        <v>-</v>
      </c>
      <c r="X1784" s="275">
        <f>IF(D1784="","",VLOOKUP(D1784,契約台帳!$A$3:$Q$4986,17,FALSE))</f>
        <v>2</v>
      </c>
      <c r="Y1784" s="269" t="str">
        <f>IF(D1784="","",VLOOKUP(D1784,契約台帳!$A$3:$E$4986,5,FALSE))</f>
        <v>五洋紙工㈱</v>
      </c>
      <c r="Z1784" s="350"/>
      <c r="AA1784" s="424"/>
      <c r="AB1784" s="352"/>
      <c r="AC1784" s="353"/>
      <c r="AD1784" s="54"/>
      <c r="AE1784" s="354">
        <f>+M1784*N1784*O1784/1000</f>
        <v>4080</v>
      </c>
      <c r="AF1784" s="355"/>
      <c r="AG1784" s="349"/>
      <c r="AH1784" s="30"/>
      <c r="AI1784" s="30"/>
      <c r="AJ1784" s="30"/>
      <c r="AK1784" s="30"/>
      <c r="AL1784" s="13"/>
      <c r="AM1784" s="13"/>
      <c r="AN1784" s="13"/>
      <c r="AO1784" s="13"/>
      <c r="AP1784" s="13"/>
      <c r="AQ1784" s="14"/>
      <c r="AR1784" s="15"/>
    </row>
    <row r="1785" spans="1:44" s="17" customFormat="1" ht="30.95" hidden="1" customHeight="1" x14ac:dyDescent="0.2">
      <c r="A1785" s="343"/>
      <c r="B1785" s="344"/>
      <c r="C1785" s="345"/>
      <c r="D1785" s="398"/>
      <c r="E1785" s="31"/>
      <c r="F1785" s="268"/>
      <c r="G1785" s="269"/>
      <c r="H1785" s="269"/>
      <c r="I1785" s="270"/>
      <c r="J1785" s="32"/>
      <c r="K1785" s="270"/>
      <c r="L1785" s="270"/>
      <c r="M1785" s="39"/>
      <c r="N1785" s="39"/>
      <c r="O1785" s="47"/>
      <c r="P1785" s="57"/>
      <c r="Q1785" s="276"/>
      <c r="R1785" s="277"/>
      <c r="S1785" s="277"/>
      <c r="T1785" s="40"/>
      <c r="U1785" s="278"/>
      <c r="V1785" s="269"/>
      <c r="W1785" s="269"/>
      <c r="X1785" s="275"/>
      <c r="Y1785" s="269"/>
      <c r="Z1785" s="357"/>
      <c r="AA1785" s="207"/>
      <c r="AB1785" s="369"/>
      <c r="AC1785" s="370"/>
      <c r="AD1785" s="332"/>
      <c r="AE1785" s="216"/>
      <c r="AF1785" s="43"/>
      <c r="AG1785" s="47"/>
      <c r="AH1785" s="30"/>
      <c r="AI1785" s="30"/>
      <c r="AJ1785" s="30"/>
      <c r="AK1785" s="30"/>
      <c r="AL1785" s="13"/>
      <c r="AM1785" s="13"/>
      <c r="AN1785" s="13"/>
      <c r="AO1785" s="13"/>
      <c r="AP1785" s="13"/>
      <c r="AQ1785" s="14"/>
      <c r="AR1785" s="15"/>
    </row>
    <row r="1786" spans="1:44" s="17" customFormat="1" ht="30.95" hidden="1" customHeight="1" x14ac:dyDescent="0.2">
      <c r="A1786" s="343"/>
      <c r="B1786" s="344"/>
      <c r="C1786" s="345"/>
      <c r="D1786" s="31">
        <v>3766761</v>
      </c>
      <c r="E1786" s="31">
        <v>4170144</v>
      </c>
      <c r="F1786" s="268" t="str">
        <f>IF(D1786="","",VLOOKUP(D1786,契約台帳!$A$3:$K$4986,6,FALSE)&amp;VLOOKUP(D1786,契約台帳!$A$3:$K$4986,7,FALSE)&amp;VLOOKUP(D1786,契約台帳!$A$3:$K$4986,8,FALSE)&amp;VLOOKUP(D1786,契約台帳!$A$3:$K$4986,9,FALSE)&amp;VLOOKUP(D1786,契約台帳!$A$3:$K$4986,11,FALSE))</f>
        <v>3SNMLBMNGTBF</v>
      </c>
      <c r="G1786" s="269" t="str">
        <f>IF(D1786="","",VLOOKUP(F1786,製品マスタ!$G$5:$H$5002,2,FALSE))</f>
        <v>S</v>
      </c>
      <c r="H1786" s="269" t="str">
        <f>IF(D1786="","",VLOOKUP(F1786,製品マスタ!$G$5:$K$5002,5,FALSE))</f>
        <v>MNGTBF</v>
      </c>
      <c r="I1786" s="270" t="str">
        <f>IF(D1786="","",VLOOKUP(F1786,製品マスタ!$G$5:$L$5002,6,FALSE))</f>
        <v>メタルミー　ネーマー　銀艶　Ｂ</v>
      </c>
      <c r="J1786" s="32" t="s">
        <v>3017</v>
      </c>
      <c r="K1786" s="270">
        <f>IF(D1786="","",VLOOKUP(D1786,契約台帳!$A$3:$L$4986,12,FALSE))</f>
        <v>25</v>
      </c>
      <c r="L1786" s="270" t="str">
        <f>IF(D1786="","",INDEX(製品マスタ!$Q$5:$Q$5002,MATCH(F1786&amp;K1786,製品マスタ!$AO$5:$AO$5002,0)))</f>
        <v>T62M</v>
      </c>
      <c r="M1786" s="39">
        <v>1005</v>
      </c>
      <c r="N1786" s="39">
        <v>12100</v>
      </c>
      <c r="O1786" s="47">
        <v>1</v>
      </c>
      <c r="P1786" s="350">
        <v>45505</v>
      </c>
      <c r="Q1786" s="276">
        <f>IF(D1786="","",IF(J1786="リード付け",M1786,VLOOKUP(D1786,契約台帳!$A$3:$N$4986,14,FALSE)))</f>
        <v>1005</v>
      </c>
      <c r="R1786" s="277">
        <f>IF(D1786="","",IF(J1786="リード付け",M1786,VLOOKUP(D1786,契約台帳!$A$3:$O$4986,15,FALSE)))</f>
        <v>1005</v>
      </c>
      <c r="S1786" s="277">
        <f>IF(D1786="","",IF(J1786="リード付け",N1786,VLOOKUP(D1786,契約台帳!$A$3:$P$4986,16,FALSE)))</f>
        <v>12100</v>
      </c>
      <c r="T1786" s="40">
        <v>1</v>
      </c>
      <c r="U1786" s="278">
        <f ca="1">IF(D1786="","",IF(OFFSET(D1786,-2,0)=D1786,"",VLOOKUP(D1786,契約台帳!$A$3:$R$4986,18,FALSE)))</f>
        <v>3</v>
      </c>
      <c r="V1786" s="269" t="str">
        <f>IF(J1786="巻返し",VLOOKUP(F1786&amp;K1786&amp;M1786,製品マスタ!$M$5:$AD$5002,18,FALSE),IF(J1786="リード付け","原反コア",IF(J1786="スリット",VLOOKUP(F1786&amp;K1786&amp;Q1786,製品マスタ!$N$5:$AD$5002,17,FALSE),"")))</f>
        <v>原反コア</v>
      </c>
      <c r="W1786" s="269" t="str">
        <f>IF(J1786="巻返し",VLOOKUP(F1786&amp;K1786&amp;M1786,製品マスタ!$M$5:$AE$5002,19,FALSE),IF(J1786="リード付け","-",IF(J1786="スリット",VLOOKUP(F1786&amp;K1786&amp;Q1786,製品マスタ!$N$5:$AE$5002,18,FALSE),"")))</f>
        <v>-</v>
      </c>
      <c r="X1786" s="275">
        <f>IF(D1786="","",VLOOKUP(D1786,契約台帳!$A$3:$Q$4986,17,FALSE))</f>
        <v>2</v>
      </c>
      <c r="Y1786" s="269" t="str">
        <f>IF(D1786="","",VLOOKUP(D1786,契約台帳!$A$3:$E$4986,5,FALSE))</f>
        <v>リンテック㈱</v>
      </c>
      <c r="Z1786" s="350"/>
      <c r="AA1786" s="424"/>
      <c r="AB1786" s="352"/>
      <c r="AC1786" s="353"/>
      <c r="AD1786" s="54"/>
      <c r="AE1786" s="354">
        <f>+M1786*N1786*O1786/1000</f>
        <v>12160.5</v>
      </c>
      <c r="AF1786" s="355"/>
      <c r="AG1786" s="349"/>
      <c r="AH1786" s="30"/>
      <c r="AI1786" s="30"/>
      <c r="AJ1786" s="30"/>
      <c r="AK1786" s="30"/>
      <c r="AL1786" s="13"/>
      <c r="AM1786" s="13"/>
      <c r="AN1786" s="13"/>
      <c r="AO1786" s="13"/>
      <c r="AP1786" s="13"/>
      <c r="AQ1786" s="14"/>
      <c r="AR1786" s="15"/>
    </row>
    <row r="1787" spans="1:44" s="17" customFormat="1" ht="30.95" hidden="1" customHeight="1" x14ac:dyDescent="0.2">
      <c r="A1787" s="343"/>
      <c r="B1787" s="344"/>
      <c r="C1787" s="345"/>
      <c r="D1787" s="398"/>
      <c r="E1787" s="31"/>
      <c r="F1787" s="268"/>
      <c r="G1787" s="269"/>
      <c r="H1787" s="269"/>
      <c r="I1787" s="270"/>
      <c r="J1787" s="32"/>
      <c r="K1787" s="270"/>
      <c r="L1787" s="270"/>
      <c r="M1787" s="39"/>
      <c r="N1787" s="39"/>
      <c r="O1787" s="47"/>
      <c r="P1787" s="57"/>
      <c r="Q1787" s="276"/>
      <c r="R1787" s="277"/>
      <c r="S1787" s="277"/>
      <c r="T1787" s="40"/>
      <c r="U1787" s="278"/>
      <c r="V1787" s="269"/>
      <c r="W1787" s="269"/>
      <c r="X1787" s="275"/>
      <c r="Y1787" s="269"/>
      <c r="Z1787" s="357"/>
      <c r="AA1787" s="207"/>
      <c r="AB1787" s="369"/>
      <c r="AC1787" s="370"/>
      <c r="AD1787" s="332"/>
      <c r="AE1787" s="216"/>
      <c r="AF1787" s="43"/>
      <c r="AG1787" s="47"/>
      <c r="AH1787" s="30"/>
      <c r="AI1787" s="30"/>
      <c r="AJ1787" s="30"/>
      <c r="AK1787" s="30"/>
      <c r="AL1787" s="13"/>
      <c r="AM1787" s="13"/>
      <c r="AN1787" s="13"/>
      <c r="AO1787" s="13"/>
      <c r="AP1787" s="13"/>
      <c r="AQ1787" s="14"/>
      <c r="AR1787" s="15"/>
    </row>
    <row r="1788" spans="1:44" s="17" customFormat="1" ht="30.95" hidden="1" customHeight="1" x14ac:dyDescent="0.2">
      <c r="A1788" s="343" t="s">
        <v>3047</v>
      </c>
      <c r="B1788" s="344" t="s">
        <v>3048</v>
      </c>
      <c r="C1788" s="345"/>
      <c r="D1788" s="398"/>
      <c r="E1788" s="31"/>
      <c r="F1788" s="268"/>
      <c r="G1788" s="269"/>
      <c r="H1788" s="269"/>
      <c r="I1788" s="270"/>
      <c r="J1788" s="32"/>
      <c r="K1788" s="270"/>
      <c r="L1788" s="270"/>
      <c r="M1788" s="39"/>
      <c r="N1788" s="39"/>
      <c r="O1788" s="47"/>
      <c r="P1788" s="57"/>
      <c r="Q1788" s="276"/>
      <c r="R1788" s="277"/>
      <c r="S1788" s="277"/>
      <c r="T1788" s="40"/>
      <c r="U1788" s="278"/>
      <c r="V1788" s="269"/>
      <c r="W1788" s="269"/>
      <c r="X1788" s="275"/>
      <c r="Y1788" s="269"/>
      <c r="Z1788" s="357"/>
      <c r="AA1788" s="207"/>
      <c r="AB1788" s="369"/>
      <c r="AC1788" s="370"/>
      <c r="AD1788" s="332"/>
      <c r="AE1788" s="216"/>
      <c r="AF1788" s="43"/>
      <c r="AG1788" s="47"/>
      <c r="AH1788" s="30"/>
      <c r="AI1788" s="30"/>
      <c r="AJ1788" s="30"/>
      <c r="AK1788" s="30"/>
      <c r="AL1788" s="13"/>
      <c r="AM1788" s="13"/>
      <c r="AN1788" s="13"/>
      <c r="AO1788" s="13"/>
      <c r="AP1788" s="13"/>
      <c r="AQ1788" s="14"/>
      <c r="AR1788" s="15"/>
    </row>
    <row r="1789" spans="1:44" s="17" customFormat="1" ht="30.95" hidden="1" customHeight="1" x14ac:dyDescent="0.2">
      <c r="A1789" s="343"/>
      <c r="B1789" s="344"/>
      <c r="C1789" s="345"/>
      <c r="D1789" s="398"/>
      <c r="E1789" s="31"/>
      <c r="F1789" s="268"/>
      <c r="G1789" s="269"/>
      <c r="H1789" s="269"/>
      <c r="I1789" s="270"/>
      <c r="J1789" s="32"/>
      <c r="K1789" s="270"/>
      <c r="L1789" s="270"/>
      <c r="M1789" s="39"/>
      <c r="N1789" s="39"/>
      <c r="O1789" s="47"/>
      <c r="P1789" s="57"/>
      <c r="Q1789" s="276"/>
      <c r="R1789" s="277"/>
      <c r="S1789" s="277"/>
      <c r="T1789" s="40"/>
      <c r="U1789" s="278"/>
      <c r="V1789" s="269"/>
      <c r="W1789" s="269"/>
      <c r="X1789" s="275"/>
      <c r="Y1789" s="269"/>
      <c r="Z1789" s="357"/>
      <c r="AA1789" s="207"/>
      <c r="AB1789" s="369"/>
      <c r="AC1789" s="370"/>
      <c r="AD1789" s="332"/>
      <c r="AE1789" s="216"/>
      <c r="AF1789" s="43"/>
      <c r="AG1789" s="47"/>
      <c r="AH1789" s="30"/>
      <c r="AI1789" s="30"/>
      <c r="AJ1789" s="30"/>
      <c r="AK1789" s="30"/>
      <c r="AL1789" s="13"/>
      <c r="AM1789" s="13"/>
      <c r="AN1789" s="13"/>
      <c r="AO1789" s="13"/>
      <c r="AP1789" s="13"/>
      <c r="AQ1789" s="14"/>
      <c r="AR1789" s="15"/>
    </row>
    <row r="1790" spans="1:44" s="17" customFormat="1" ht="30.6" hidden="1" customHeight="1" x14ac:dyDescent="0.2">
      <c r="A1790" s="320" t="s">
        <v>3074</v>
      </c>
      <c r="B1790" s="321" t="s">
        <v>3075</v>
      </c>
      <c r="C1790" s="345"/>
      <c r="D1790" s="398">
        <v>3766762</v>
      </c>
      <c r="E1790" s="31">
        <v>4151760</v>
      </c>
      <c r="F1790" s="268" t="str">
        <f>IF(D1790="","",VLOOKUP(D1790,契約台帳!$A$3:$K$4986,6,FALSE)&amp;VLOOKUP(D1790,契約台帳!$A$3:$K$4986,7,FALSE)&amp;VLOOKUP(D1790,契約台帳!$A$3:$K$4986,8,FALSE)&amp;VLOOKUP(D1790,契約台帳!$A$3:$K$4986,9,FALSE)&amp;VLOOKUP(D1790,契約台帳!$A$3:$K$4986,11,FALSE))</f>
        <v>3SNMLBMNGTBF</v>
      </c>
      <c r="G1790" s="269" t="str">
        <f>IF(D1790="","",VLOOKUP(F1790,製品マスタ!$G$5:$H$5002,2,FALSE))</f>
        <v>S</v>
      </c>
      <c r="H1790" s="269" t="str">
        <f>IF(D1790="","",VLOOKUP(F1790,製品マスタ!$G$5:$K$5002,5,FALSE))</f>
        <v>MNGTBF</v>
      </c>
      <c r="I1790" s="270" t="str">
        <f>IF(D1790="","",VLOOKUP(F1790,製品マスタ!$G$5:$L$5002,6,FALSE))</f>
        <v>メタルミー　ネーマー　銀艶　Ｂ</v>
      </c>
      <c r="J1790" s="32" t="s">
        <v>447</v>
      </c>
      <c r="K1790" s="270">
        <f>IF(D1790="","",VLOOKUP(D1790,契約台帳!$A$3:$L$4986,12,FALSE))</f>
        <v>50</v>
      </c>
      <c r="L1790" s="270" t="str">
        <f>IF(D1790="","",INDEX(製品マスタ!$Q$5:$Q$5002,MATCH(F1790&amp;K1790,製品マスタ!$AO$5:$AO$5002,0)))</f>
        <v>T62</v>
      </c>
      <c r="M1790" s="39">
        <v>1120</v>
      </c>
      <c r="N1790" s="39">
        <v>10000</v>
      </c>
      <c r="O1790" s="47">
        <v>1</v>
      </c>
      <c r="P1790" s="57"/>
      <c r="Q1790" s="276">
        <f>IF(D1790="","",IF(J1790="リード付け",M1790,VLOOKUP(D1790,契約台帳!$A$3:$N$4986,14,FALSE)))</f>
        <v>1120</v>
      </c>
      <c r="R1790" s="277">
        <f>IF(D1790="","",IF(J1790="リード付け",M1790,VLOOKUP(D1790,契約台帳!$A$3:$O$4986,15,FALSE)))</f>
        <v>1120</v>
      </c>
      <c r="S1790" s="277">
        <f>IF(D1790="","",IF(J1790="リード付け",N1790,VLOOKUP(D1790,契約台帳!$A$3:$P$4986,16,FALSE)))</f>
        <v>5000</v>
      </c>
      <c r="T1790" s="40">
        <v>2</v>
      </c>
      <c r="U1790" s="278">
        <f ca="1">IF(D1790="","",IF(OFFSET(D1790,-2,0)=D1790,"",VLOOKUP(D1790,契約台帳!$A$3:$R$4986,18,FALSE)))</f>
        <v>22</v>
      </c>
      <c r="V1790" s="269" t="str">
        <f>IF(J1790="巻返し",VLOOKUP(F1790&amp;K1790&amp;M1790,製品マスタ!$M$5:$AD$5002,18,FALSE),IF(J1790="リード付け","原反コア",IF(J1790="スリット",VLOOKUP(F1790&amp;K1790&amp;Q1790,製品マスタ!$N$5:$AD$5002,17,FALSE),"")))</f>
        <v>6ｲﾝﾁSｺｱ</v>
      </c>
      <c r="W1790" s="269">
        <f>IF(J1790="巻返し",VLOOKUP(F1790&amp;K1790&amp;M1790,製品マスタ!$M$5:$AE$5002,19,FALSE),IF(J1790="リード付け","-",IF(J1790="スリット",VLOOKUP(F1790&amp;K1790&amp;Q1790,製品マスタ!$N$5:$AE$5002,18,FALSE),"")))</f>
        <v>1125</v>
      </c>
      <c r="X1790" s="275">
        <f>IF(D1790="","",VLOOKUP(D1790,契約台帳!$A$3:$Q$4986,17,FALSE))</f>
        <v>2</v>
      </c>
      <c r="Y1790" s="269" t="str">
        <f>IF(D1790="","",VLOOKUP(D1790,契約台帳!$A$3:$E$4986,5,FALSE))</f>
        <v>リンテック㈱</v>
      </c>
      <c r="Z1790" s="357"/>
      <c r="AA1790" s="207"/>
      <c r="AB1790" s="369"/>
      <c r="AC1790" s="370"/>
      <c r="AD1790" s="332" t="str">
        <f>IF(F1790="","",+F1790&amp;K1790)</f>
        <v>3SNMLBMNGTBF50</v>
      </c>
      <c r="AE1790" s="216">
        <f>+M1790*N1790*O1790/1000</f>
        <v>11200</v>
      </c>
      <c r="AF1790" s="43">
        <f>IF(AD1790="","",VLOOKUP(AD1790,原価マスタ!$A$2:$AJ$1693,13,FALSE))</f>
        <v>99</v>
      </c>
      <c r="AG1790" s="47">
        <f>IF(AF1790="","",+AE1790*AF1790/100)</f>
        <v>11088</v>
      </c>
      <c r="AH1790" s="30"/>
      <c r="AI1790" s="30"/>
      <c r="AJ1790" s="30"/>
      <c r="AK1790" s="30"/>
      <c r="AL1790" s="13"/>
      <c r="AM1790" s="13"/>
      <c r="AN1790" s="13"/>
      <c r="AO1790" s="13"/>
      <c r="AP1790" s="13"/>
      <c r="AQ1790" s="14"/>
      <c r="AR1790" s="15"/>
    </row>
    <row r="1791" spans="1:44" s="17" customFormat="1" ht="30.95" hidden="1" customHeight="1" x14ac:dyDescent="0.2">
      <c r="A1791" s="343"/>
      <c r="B1791" s="344"/>
      <c r="C1791" s="345"/>
      <c r="D1791" s="398"/>
      <c r="E1791" s="31"/>
      <c r="F1791" s="268"/>
      <c r="G1791" s="269"/>
      <c r="H1791" s="269"/>
      <c r="I1791" s="270"/>
      <c r="J1791" s="32"/>
      <c r="K1791" s="270"/>
      <c r="L1791" s="270"/>
      <c r="M1791" s="39"/>
      <c r="N1791" s="39"/>
      <c r="O1791" s="47"/>
      <c r="P1791" s="57"/>
      <c r="Q1791" s="276"/>
      <c r="R1791" s="277"/>
      <c r="S1791" s="277"/>
      <c r="T1791" s="40"/>
      <c r="U1791" s="278"/>
      <c r="V1791" s="269"/>
      <c r="W1791" s="269"/>
      <c r="X1791" s="275"/>
      <c r="Y1791" s="269"/>
      <c r="Z1791" s="357"/>
      <c r="AA1791" s="207"/>
      <c r="AB1791" s="369"/>
      <c r="AC1791" s="370"/>
      <c r="AD1791" s="332"/>
      <c r="AE1791" s="216"/>
      <c r="AF1791" s="43"/>
      <c r="AG1791" s="47"/>
      <c r="AH1791" s="30"/>
      <c r="AI1791" s="30"/>
      <c r="AJ1791" s="30"/>
      <c r="AK1791" s="30"/>
      <c r="AL1791" s="13"/>
      <c r="AM1791" s="13"/>
      <c r="AN1791" s="13"/>
      <c r="AO1791" s="13"/>
      <c r="AP1791" s="13"/>
      <c r="AQ1791" s="14"/>
      <c r="AR1791" s="15"/>
    </row>
    <row r="1792" spans="1:44" s="17" customFormat="1" ht="30.95" hidden="1" customHeight="1" x14ac:dyDescent="0.2">
      <c r="A1792" s="320" t="s">
        <v>537</v>
      </c>
      <c r="B1792" s="321" t="s">
        <v>443</v>
      </c>
      <c r="C1792" s="345"/>
      <c r="D1792" s="398">
        <v>3766772</v>
      </c>
      <c r="E1792" s="31">
        <v>4151768</v>
      </c>
      <c r="F1792" s="268" t="str">
        <f>IF(D1792="","",VLOOKUP(D1792,契約台帳!$A$3:$K$4986,6,FALSE)&amp;VLOOKUP(D1792,契約台帳!$A$3:$K$4986,7,FALSE)&amp;VLOOKUP(D1792,契約台帳!$A$3:$K$4986,8,FALSE)&amp;VLOOKUP(D1792,契約台帳!$A$3:$K$4986,9,FALSE)&amp;VLOOKUP(D1792,契約台帳!$A$3:$K$4986,11,FALSE))</f>
        <v>3SNMLBMTSF</v>
      </c>
      <c r="G1792" s="269" t="str">
        <f>IF(D1792="","",VLOOKUP(F1792,製品マスタ!$G$5:$H$5002,2,FALSE))</f>
        <v>S</v>
      </c>
      <c r="H1792" s="269" t="str">
        <f>IF(D1792="","",VLOOKUP(F1792,製品マスタ!$G$5:$K$5002,5,FALSE))</f>
        <v>MTSF</v>
      </c>
      <c r="I1792" s="270" t="str">
        <f>IF(D1792="","",VLOOKUP(F1792,製品マスタ!$G$5:$L$5002,6,FALSE))</f>
        <v>メタルミー　ＴＳ</v>
      </c>
      <c r="J1792" s="32" t="s">
        <v>447</v>
      </c>
      <c r="K1792" s="270">
        <f>IF(D1792="","",VLOOKUP(D1792,契約台帳!$A$3:$L$4986,12,FALSE))</f>
        <v>50</v>
      </c>
      <c r="L1792" s="270" t="str">
        <f>IF(D1792="","",INDEX(製品マスタ!$Q$5:$Q$5002,MATCH(F1792&amp;K1792,製品マスタ!$AO$5:$AO$5002,0)))</f>
        <v>T62M</v>
      </c>
      <c r="M1792" s="39">
        <v>1255</v>
      </c>
      <c r="N1792" s="39">
        <v>12200</v>
      </c>
      <c r="O1792" s="47">
        <v>1</v>
      </c>
      <c r="P1792" s="57"/>
      <c r="Q1792" s="276">
        <f>IF(D1792="","",IF(J1792="リード付け",M1792,VLOOKUP(D1792,契約台帳!$A$3:$N$4986,14,FALSE)))</f>
        <v>1255</v>
      </c>
      <c r="R1792" s="277">
        <f>IF(D1792="","",IF(J1792="リード付け",M1792,VLOOKUP(D1792,契約台帳!$A$3:$O$4986,15,FALSE)))</f>
        <v>1250</v>
      </c>
      <c r="S1792" s="277">
        <f>IF(D1792="","",IF(J1792="リード付け",N1792,VLOOKUP(D1792,契約台帳!$A$3:$P$4986,16,FALSE)))</f>
        <v>2000</v>
      </c>
      <c r="T1792" s="40">
        <v>6</v>
      </c>
      <c r="U1792" s="278">
        <f ca="1">IF(D1792="","",IF(OFFSET(D1792,-2,0)=D1792,"",VLOOKUP(D1792,契約台帳!$A$3:$R$4986,18,FALSE)))</f>
        <v>6</v>
      </c>
      <c r="V1792" s="269" t="str">
        <f>IF(J1792="巻返し",VLOOKUP(F1792&amp;K1792&amp;M1792,製品マスタ!$M$5:$AD$5002,18,FALSE),IF(J1792="リード付け","原反コア",IF(J1792="スリット",VLOOKUP(F1792&amp;K1792&amp;Q1792,製品マスタ!$N$5:$AD$5002,17,FALSE),"")))</f>
        <v>3ｲﾝﾁSｺｱ</v>
      </c>
      <c r="W1792" s="269">
        <f>IF(J1792="巻返し",VLOOKUP(F1792&amp;K1792&amp;M1792,製品マスタ!$M$5:$AE$5002,19,FALSE),IF(J1792="リード付け","-",IF(J1792="スリット",VLOOKUP(F1792&amp;K1792&amp;Q1792,製品マスタ!$N$5:$AE$5002,18,FALSE),"")))</f>
        <v>1260</v>
      </c>
      <c r="X1792" s="275">
        <f>IF(D1792="","",VLOOKUP(D1792,契約台帳!$A$3:$Q$4986,17,FALSE))</f>
        <v>2</v>
      </c>
      <c r="Y1792" s="269" t="str">
        <f>IF(D1792="","",VLOOKUP(D1792,契約台帳!$A$3:$E$4986,5,FALSE))</f>
        <v>日東電工㈱豊橋工場</v>
      </c>
      <c r="Z1792" s="357"/>
      <c r="AA1792" s="207"/>
      <c r="AB1792" s="369"/>
      <c r="AC1792" s="370"/>
      <c r="AD1792" s="332" t="str">
        <f>IF(F1792="","",+F1792&amp;K1792)</f>
        <v>3SNMLBMTSF50</v>
      </c>
      <c r="AE1792" s="216">
        <f>+M1792*N1792*O1792/1000</f>
        <v>15311</v>
      </c>
      <c r="AF1792" s="43">
        <f>IF(AD1792="","",VLOOKUP(AD1792,原価マスタ!$A$2:$AJ$1693,13,FALSE))</f>
        <v>95</v>
      </c>
      <c r="AG1792" s="47">
        <f>IF(AF1792="","",+AE1792*AF1792/100)</f>
        <v>14545.45</v>
      </c>
      <c r="AH1792" s="30"/>
      <c r="AI1792" s="30"/>
      <c r="AJ1792" s="30"/>
      <c r="AK1792" s="30"/>
      <c r="AL1792" s="13"/>
      <c r="AM1792" s="13"/>
      <c r="AN1792" s="13"/>
      <c r="AO1792" s="13"/>
      <c r="AP1792" s="13"/>
      <c r="AQ1792" s="14"/>
      <c r="AR1792" s="15"/>
    </row>
    <row r="1793" spans="1:44" s="17" customFormat="1" ht="30.95" hidden="1" customHeight="1" x14ac:dyDescent="0.2">
      <c r="A1793" s="343"/>
      <c r="B1793" s="344"/>
      <c r="C1793" s="345"/>
      <c r="D1793" s="398"/>
      <c r="E1793" s="31"/>
      <c r="F1793" s="268"/>
      <c r="G1793" s="269"/>
      <c r="H1793" s="269"/>
      <c r="I1793" s="270"/>
      <c r="J1793" s="32"/>
      <c r="K1793" s="270"/>
      <c r="L1793" s="270"/>
      <c r="M1793" s="39"/>
      <c r="N1793" s="39"/>
      <c r="O1793" s="47"/>
      <c r="P1793" s="57"/>
      <c r="Q1793" s="276"/>
      <c r="R1793" s="277"/>
      <c r="S1793" s="277"/>
      <c r="T1793" s="40"/>
      <c r="U1793" s="278"/>
      <c r="V1793" s="269"/>
      <c r="W1793" s="269"/>
      <c r="X1793" s="275"/>
      <c r="Y1793" s="269"/>
      <c r="Z1793" s="357"/>
      <c r="AA1793" s="207"/>
      <c r="AB1793" s="369"/>
      <c r="AC1793" s="370"/>
      <c r="AD1793" s="332"/>
      <c r="AE1793" s="216"/>
      <c r="AF1793" s="43"/>
      <c r="AG1793" s="47"/>
      <c r="AH1793" s="30"/>
      <c r="AI1793" s="30"/>
      <c r="AJ1793" s="30"/>
      <c r="AK1793" s="30"/>
      <c r="AL1793" s="13"/>
      <c r="AM1793" s="13"/>
      <c r="AN1793" s="13"/>
      <c r="AO1793" s="13"/>
      <c r="AP1793" s="13"/>
      <c r="AQ1793" s="14"/>
      <c r="AR1793" s="15"/>
    </row>
    <row r="1794" spans="1:44" s="17" customFormat="1" ht="30.6" hidden="1" customHeight="1" x14ac:dyDescent="0.2">
      <c r="A1794" s="320"/>
      <c r="B1794" s="321"/>
      <c r="C1794" s="345"/>
      <c r="D1794" s="398">
        <v>3766761</v>
      </c>
      <c r="E1794" s="31">
        <v>4151784</v>
      </c>
      <c r="F1794" s="268" t="str">
        <f>IF(D1794="","",VLOOKUP(D1794,契約台帳!$A$3:$K$4986,6,FALSE)&amp;VLOOKUP(D1794,契約台帳!$A$3:$K$4986,7,FALSE)&amp;VLOOKUP(D1794,契約台帳!$A$3:$K$4986,8,FALSE)&amp;VLOOKUP(D1794,契約台帳!$A$3:$K$4986,9,FALSE)&amp;VLOOKUP(D1794,契約台帳!$A$3:$K$4986,11,FALSE))</f>
        <v>3SNMLBMNGTBF</v>
      </c>
      <c r="G1794" s="269" t="str">
        <f>IF(D1794="","",VLOOKUP(F1794,製品マスタ!$G$5:$H$5002,2,FALSE))</f>
        <v>S</v>
      </c>
      <c r="H1794" s="269" t="str">
        <f>IF(D1794="","",VLOOKUP(F1794,製品マスタ!$G$5:$K$5002,5,FALSE))</f>
        <v>MNGTBF</v>
      </c>
      <c r="I1794" s="270" t="str">
        <f>IF(D1794="","",VLOOKUP(F1794,製品マスタ!$G$5:$L$5002,6,FALSE))</f>
        <v>メタルミー　ネーマー　銀艶　Ｂ</v>
      </c>
      <c r="J1794" s="32" t="s">
        <v>447</v>
      </c>
      <c r="K1794" s="270">
        <f>IF(D1794="","",VLOOKUP(D1794,契約台帳!$A$3:$L$4986,12,FALSE))</f>
        <v>25</v>
      </c>
      <c r="L1794" s="270" t="str">
        <f>IF(D1794="","",INDEX(製品マスタ!$Q$5:$Q$5002,MATCH(F1794&amp;K1794,製品マスタ!$AO$5:$AO$5002,0)))</f>
        <v>T62M</v>
      </c>
      <c r="M1794" s="39">
        <v>1005</v>
      </c>
      <c r="N1794" s="39">
        <v>12100</v>
      </c>
      <c r="O1794" s="47">
        <v>1</v>
      </c>
      <c r="P1794" s="57"/>
      <c r="Q1794" s="276">
        <f>IF(D1794="","",IF(J1794="リード付け",M1794,VLOOKUP(D1794,契約台帳!$A$3:$N$4986,14,FALSE)))</f>
        <v>1005</v>
      </c>
      <c r="R1794" s="277">
        <f>IF(D1794="","",IF(J1794="リード付け",M1794,VLOOKUP(D1794,契約台帳!$A$3:$O$4986,15,FALSE)))</f>
        <v>1000</v>
      </c>
      <c r="S1794" s="277">
        <f>IF(D1794="","",IF(J1794="リード付け",N1794,VLOOKUP(D1794,契約台帳!$A$3:$P$4986,16,FALSE)))</f>
        <v>4000</v>
      </c>
      <c r="T1794" s="40">
        <v>3</v>
      </c>
      <c r="U1794" s="278">
        <f ca="1">IF(D1794="","",IF(OFFSET(D1794,-2,0)=D1794,"",VLOOKUP(D1794,契約台帳!$A$3:$R$4986,18,FALSE)))</f>
        <v>3</v>
      </c>
      <c r="V1794" s="269" t="str">
        <f>IF(J1794="巻返し",VLOOKUP(F1794&amp;K1794&amp;M1794,製品マスタ!$M$5:$AD$5002,18,FALSE),IF(J1794="リード付け","原反コア",IF(J1794="スリット",VLOOKUP(F1794&amp;K1794&amp;Q1794,製品マスタ!$N$5:$AD$5002,17,FALSE),"")))</f>
        <v>6ｲﾝﾁSｺｱ</v>
      </c>
      <c r="W1794" s="269">
        <f>IF(J1794="巻返し",VLOOKUP(F1794&amp;K1794&amp;M1794,製品マスタ!$M$5:$AE$5002,19,FALSE),IF(J1794="リード付け","-",IF(J1794="スリット",VLOOKUP(F1794&amp;K1794&amp;Q1794,製品マスタ!$N$5:$AE$5002,18,FALSE),"")))</f>
        <v>1015</v>
      </c>
      <c r="X1794" s="275">
        <f>IF(D1794="","",VLOOKUP(D1794,契約台帳!$A$3:$Q$4986,17,FALSE))</f>
        <v>2</v>
      </c>
      <c r="Y1794" s="269" t="str">
        <f>IF(D1794="","",VLOOKUP(D1794,契約台帳!$A$3:$E$4986,5,FALSE))</f>
        <v>リンテック㈱</v>
      </c>
      <c r="Z1794" s="357"/>
      <c r="AA1794" s="207"/>
      <c r="AB1794" s="369"/>
      <c r="AC1794" s="370"/>
      <c r="AD1794" s="332" t="str">
        <f>IF(F1794="","",+F1794&amp;K1794)</f>
        <v>3SNMLBMNGTBF25</v>
      </c>
      <c r="AE1794" s="216">
        <f>+M1794*N1794*O1794/1000</f>
        <v>12160.5</v>
      </c>
      <c r="AF1794" s="43">
        <f>IF(AD1794="","",VLOOKUP(AD1794,原価マスタ!$A$2:$AJ$1693,13,FALSE))</f>
        <v>97.5</v>
      </c>
      <c r="AG1794" s="47">
        <f>IF(AF1794="","",+AE1794*AF1794/100)</f>
        <v>11856.487499999999</v>
      </c>
      <c r="AH1794" s="30"/>
      <c r="AI1794" s="30"/>
      <c r="AJ1794" s="30"/>
      <c r="AK1794" s="30"/>
      <c r="AL1794" s="13"/>
      <c r="AM1794" s="13"/>
      <c r="AN1794" s="13"/>
      <c r="AO1794" s="13"/>
      <c r="AP1794" s="13"/>
      <c r="AQ1794" s="14"/>
      <c r="AR1794" s="15"/>
    </row>
    <row r="1795" spans="1:44" s="17" customFormat="1" ht="30.95" hidden="1" customHeight="1" x14ac:dyDescent="0.2">
      <c r="A1795" s="343"/>
      <c r="B1795" s="344"/>
      <c r="C1795" s="345"/>
      <c r="D1795" s="398"/>
      <c r="E1795" s="31"/>
      <c r="F1795" s="268"/>
      <c r="G1795" s="269"/>
      <c r="H1795" s="269"/>
      <c r="I1795" s="270"/>
      <c r="J1795" s="32"/>
      <c r="K1795" s="270"/>
      <c r="L1795" s="270"/>
      <c r="M1795" s="39"/>
      <c r="N1795" s="39"/>
      <c r="O1795" s="47"/>
      <c r="P1795" s="57"/>
      <c r="Q1795" s="276"/>
      <c r="R1795" s="277"/>
      <c r="S1795" s="277"/>
      <c r="T1795" s="40"/>
      <c r="U1795" s="278"/>
      <c r="V1795" s="269"/>
      <c r="W1795" s="269"/>
      <c r="X1795" s="275"/>
      <c r="Y1795" s="269"/>
      <c r="Z1795" s="357"/>
      <c r="AA1795" s="207"/>
      <c r="AB1795" s="369"/>
      <c r="AC1795" s="370"/>
      <c r="AD1795" s="332"/>
      <c r="AE1795" s="216"/>
      <c r="AF1795" s="43"/>
      <c r="AG1795" s="47"/>
      <c r="AH1795" s="30"/>
      <c r="AI1795" s="30"/>
      <c r="AJ1795" s="30"/>
      <c r="AK1795" s="30"/>
      <c r="AL1795" s="13"/>
      <c r="AM1795" s="13"/>
      <c r="AN1795" s="13"/>
      <c r="AO1795" s="13"/>
      <c r="AP1795" s="13"/>
      <c r="AQ1795" s="14"/>
      <c r="AR1795" s="15"/>
    </row>
    <row r="1796" spans="1:44" s="17" customFormat="1" ht="30.6" hidden="1" customHeight="1" x14ac:dyDescent="0.2">
      <c r="A1796" s="320"/>
      <c r="B1796" s="321"/>
      <c r="C1796" s="345"/>
      <c r="D1796" s="398">
        <v>3762728</v>
      </c>
      <c r="E1796" s="31">
        <v>4151786</v>
      </c>
      <c r="F1796" s="268" t="str">
        <f>IF(D1796="","",VLOOKUP(D1796,契約台帳!$A$3:$K$4986,6,FALSE)&amp;VLOOKUP(D1796,契約台帳!$A$3:$K$4986,7,FALSE)&amp;VLOOKUP(D1796,契約台帳!$A$3:$K$4986,8,FALSE)&amp;VLOOKUP(D1796,契約台帳!$A$3:$K$4986,9,FALSE)&amp;VLOOKUP(D1796,契約台帳!$A$3:$K$4986,11,FALSE))</f>
        <v>3SNMLBMNGKKBF</v>
      </c>
      <c r="G1796" s="269" t="str">
        <f>IF(D1796="","",VLOOKUP(F1796,製品マスタ!$G$5:$H$5002,2,FALSE))</f>
        <v>S</v>
      </c>
      <c r="H1796" s="269" t="str">
        <f>IF(D1796="","",VLOOKUP(F1796,製品マスタ!$G$5:$K$5002,5,FALSE))</f>
        <v>MNGKKBF</v>
      </c>
      <c r="I1796" s="270" t="str">
        <f>IF(D1796="","",VLOOKUP(F1796,製品マスタ!$G$5:$L$5002,6,FALSE))</f>
        <v>メタルミー　ネーマー銀消改　Ｂ</v>
      </c>
      <c r="J1796" s="32" t="s">
        <v>447</v>
      </c>
      <c r="K1796" s="270">
        <f>IF(D1796="","",VLOOKUP(D1796,契約台帳!$A$3:$L$4986,12,FALSE))</f>
        <v>50</v>
      </c>
      <c r="L1796" s="270" t="str">
        <f>IF(D1796="","",INDEX(製品マスタ!$Q$5:$Q$5002,MATCH(F1796&amp;K1796,製品マスタ!$AO$5:$AO$5002,0)))</f>
        <v>S99-MAT</v>
      </c>
      <c r="M1796" s="39">
        <v>1120</v>
      </c>
      <c r="N1796" s="39">
        <v>12000</v>
      </c>
      <c r="O1796" s="47">
        <v>1</v>
      </c>
      <c r="P1796" s="57"/>
      <c r="Q1796" s="276">
        <f>IF(D1796="","",IF(J1796="リード付け",M1796,VLOOKUP(D1796,契約台帳!$A$3:$N$4986,14,FALSE)))</f>
        <v>1120</v>
      </c>
      <c r="R1796" s="277">
        <f>IF(D1796="","",IF(J1796="リード付け",M1796,VLOOKUP(D1796,契約台帳!$A$3:$O$4986,15,FALSE)))</f>
        <v>1120</v>
      </c>
      <c r="S1796" s="277">
        <f>IF(D1796="","",IF(J1796="リード付け",N1796,VLOOKUP(D1796,契約台帳!$A$3:$P$4986,16,FALSE)))</f>
        <v>4000</v>
      </c>
      <c r="T1796" s="40">
        <v>3</v>
      </c>
      <c r="U1796" s="278">
        <f ca="1">IF(D1796="","",IF(OFFSET(D1796,-2,0)=D1796,"",VLOOKUP(D1796,契約台帳!$A$3:$R$4986,18,FALSE)))</f>
        <v>14</v>
      </c>
      <c r="V1796" s="269" t="str">
        <f>IF(J1796="巻返し",VLOOKUP(F1796&amp;K1796&amp;M1796,製品マスタ!$M$5:$AD$5002,18,FALSE),IF(J1796="リード付け","原反コア",IF(J1796="スリット",VLOOKUP(F1796&amp;K1796&amp;Q1796,製品マスタ!$N$5:$AD$5002,17,FALSE),"")))</f>
        <v>6ｲﾝﾁSｺｱ</v>
      </c>
      <c r="W1796" s="269">
        <f>IF(J1796="巻返し",VLOOKUP(F1796&amp;K1796&amp;M1796,製品マスタ!$M$5:$AE$5002,19,FALSE),IF(J1796="リード付け","-",IF(J1796="スリット",VLOOKUP(F1796&amp;K1796&amp;Q1796,製品マスタ!$N$5:$AE$5002,18,FALSE),"")))</f>
        <v>1125</v>
      </c>
      <c r="X1796" s="275">
        <f>IF(D1796="","",VLOOKUP(D1796,契約台帳!$A$3:$Q$4986,17,FALSE))</f>
        <v>2</v>
      </c>
      <c r="Y1796" s="269" t="str">
        <f>IF(D1796="","",VLOOKUP(D1796,契約台帳!$A$3:$E$4986,5,FALSE))</f>
        <v>リンテック㈱</v>
      </c>
      <c r="Z1796" s="357"/>
      <c r="AA1796" s="207"/>
      <c r="AB1796" s="369"/>
      <c r="AC1796" s="370"/>
      <c r="AD1796" s="332" t="str">
        <f>IF(F1796="","",+F1796&amp;K1796)</f>
        <v>3SNMLBMNGKKBF50</v>
      </c>
      <c r="AE1796" s="216">
        <f>+M1796*N1796*O1796/1000</f>
        <v>13440</v>
      </c>
      <c r="AF1796" s="43">
        <f>IF(AD1796="","",VLOOKUP(AD1796,原価マスタ!$A$2:$AJ$1693,13,FALSE))</f>
        <v>99</v>
      </c>
      <c r="AG1796" s="47">
        <f>IF(AF1796="","",+AE1796*AF1796/100)</f>
        <v>13305.6</v>
      </c>
      <c r="AH1796" s="30"/>
      <c r="AI1796" s="30"/>
      <c r="AJ1796" s="30"/>
      <c r="AK1796" s="30"/>
      <c r="AL1796" s="13"/>
      <c r="AM1796" s="13"/>
      <c r="AN1796" s="13"/>
      <c r="AO1796" s="13"/>
      <c r="AP1796" s="13"/>
      <c r="AQ1796" s="14"/>
      <c r="AR1796" s="15"/>
    </row>
    <row r="1797" spans="1:44" s="17" customFormat="1" ht="30.95" hidden="1" customHeight="1" x14ac:dyDescent="0.2">
      <c r="A1797" s="343"/>
      <c r="B1797" s="344"/>
      <c r="C1797" s="345"/>
      <c r="D1797" s="398"/>
      <c r="E1797" s="31"/>
      <c r="F1797" s="268"/>
      <c r="G1797" s="269"/>
      <c r="H1797" s="269"/>
      <c r="I1797" s="270"/>
      <c r="J1797" s="32"/>
      <c r="K1797" s="270"/>
      <c r="L1797" s="270"/>
      <c r="M1797" s="39"/>
      <c r="N1797" s="39"/>
      <c r="O1797" s="47"/>
      <c r="P1797" s="57"/>
      <c r="Q1797" s="276"/>
      <c r="R1797" s="277"/>
      <c r="S1797" s="277"/>
      <c r="T1797" s="40"/>
      <c r="U1797" s="278"/>
      <c r="V1797" s="269"/>
      <c r="W1797" s="269"/>
      <c r="X1797" s="275"/>
      <c r="Y1797" s="269"/>
      <c r="Z1797" s="357"/>
      <c r="AA1797" s="207"/>
      <c r="AB1797" s="369"/>
      <c r="AC1797" s="370"/>
      <c r="AD1797" s="332"/>
      <c r="AE1797" s="216"/>
      <c r="AF1797" s="43"/>
      <c r="AG1797" s="47"/>
      <c r="AH1797" s="30"/>
      <c r="AI1797" s="30"/>
      <c r="AJ1797" s="30"/>
      <c r="AK1797" s="30"/>
      <c r="AL1797" s="13"/>
      <c r="AM1797" s="13"/>
      <c r="AN1797" s="13"/>
      <c r="AO1797" s="13"/>
      <c r="AP1797" s="13"/>
      <c r="AQ1797" s="14"/>
      <c r="AR1797" s="15"/>
    </row>
    <row r="1798" spans="1:44" s="17" customFormat="1" ht="30.6" hidden="1" customHeight="1" x14ac:dyDescent="0.2">
      <c r="A1798" s="320"/>
      <c r="B1798" s="321"/>
      <c r="C1798" s="345"/>
      <c r="D1798" s="398">
        <v>3764502</v>
      </c>
      <c r="E1798" s="31">
        <v>4151747</v>
      </c>
      <c r="F1798" s="268" t="str">
        <f>IF(D1798="","",VLOOKUP(D1798,契約台帳!$A$3:$K$4986,6,FALSE)&amp;VLOOKUP(D1798,契約台帳!$A$3:$K$4986,7,FALSE)&amp;VLOOKUP(D1798,契約台帳!$A$3:$K$4986,8,FALSE)&amp;VLOOKUP(D1798,契約台帳!$A$3:$K$4986,9,FALSE)&amp;VLOOKUP(D1798,契約台帳!$A$3:$K$4986,11,FALSE))</f>
        <v>3SNMLBMNGKKBF</v>
      </c>
      <c r="G1798" s="269" t="str">
        <f>IF(D1798="","",VLOOKUP(F1798,製品マスタ!$G$5:$H$5002,2,FALSE))</f>
        <v>S</v>
      </c>
      <c r="H1798" s="269" t="str">
        <f>IF(D1798="","",VLOOKUP(F1798,製品マスタ!$G$5:$K$5002,5,FALSE))</f>
        <v>MNGKKBF</v>
      </c>
      <c r="I1798" s="270" t="str">
        <f>IF(D1798="","",VLOOKUP(F1798,製品マスタ!$G$5:$L$5002,6,FALSE))</f>
        <v>メタルミー　ネーマー銀消改　Ｂ</v>
      </c>
      <c r="J1798" s="32" t="s">
        <v>447</v>
      </c>
      <c r="K1798" s="270">
        <f>IF(D1798="","",VLOOKUP(D1798,契約台帳!$A$3:$L$4986,12,FALSE))</f>
        <v>50</v>
      </c>
      <c r="L1798" s="270" t="str">
        <f>IF(D1798="","",INDEX(製品マスタ!$Q$5:$Q$5002,MATCH(F1798&amp;K1798,製品マスタ!$AO$5:$AO$5002,0)))</f>
        <v>S99-MAT</v>
      </c>
      <c r="M1798" s="39">
        <v>1120</v>
      </c>
      <c r="N1798" s="39">
        <v>12000</v>
      </c>
      <c r="O1798" s="47">
        <v>1</v>
      </c>
      <c r="P1798" s="57"/>
      <c r="Q1798" s="276">
        <f>IF(D1798="","",IF(J1798="リード付け",M1798,VLOOKUP(D1798,契約台帳!$A$3:$N$4986,14,FALSE)))</f>
        <v>1120</v>
      </c>
      <c r="R1798" s="277">
        <f>IF(D1798="","",IF(J1798="リード付け",M1798,VLOOKUP(D1798,契約台帳!$A$3:$O$4986,15,FALSE)))</f>
        <v>1120</v>
      </c>
      <c r="S1798" s="277">
        <f>IF(D1798="","",IF(J1798="リード付け",N1798,VLOOKUP(D1798,契約台帳!$A$3:$P$4986,16,FALSE)))</f>
        <v>4000</v>
      </c>
      <c r="T1798" s="40">
        <v>3</v>
      </c>
      <c r="U1798" s="278">
        <f ca="1">IF(D1798="","",IF(OFFSET(D1798,-2,0)=D1798,"",VLOOKUP(D1798,契約台帳!$A$3:$R$4986,18,FALSE)))</f>
        <v>7</v>
      </c>
      <c r="V1798" s="269" t="str">
        <f>IF(J1798="巻返し",VLOOKUP(F1798&amp;K1798&amp;M1798,製品マスタ!$M$5:$AD$5002,18,FALSE),IF(J1798="リード付け","原反コア",IF(J1798="スリット",VLOOKUP(F1798&amp;K1798&amp;Q1798,製品マスタ!$N$5:$AD$5002,17,FALSE),"")))</f>
        <v>6ｲﾝﾁSｺｱ</v>
      </c>
      <c r="W1798" s="269">
        <f>IF(J1798="巻返し",VLOOKUP(F1798&amp;K1798&amp;M1798,製品マスタ!$M$5:$AE$5002,19,FALSE),IF(J1798="リード付け","-",IF(J1798="スリット",VLOOKUP(F1798&amp;K1798&amp;Q1798,製品マスタ!$N$5:$AE$5002,18,FALSE),"")))</f>
        <v>1125</v>
      </c>
      <c r="X1798" s="275">
        <f>IF(D1798="","",VLOOKUP(D1798,契約台帳!$A$3:$Q$4986,17,FALSE))</f>
        <v>2</v>
      </c>
      <c r="Y1798" s="269" t="str">
        <f>IF(D1798="","",VLOOKUP(D1798,契約台帳!$A$3:$E$4986,5,FALSE))</f>
        <v>リンテック㈱</v>
      </c>
      <c r="Z1798" s="357"/>
      <c r="AA1798" s="207"/>
      <c r="AB1798" s="369"/>
      <c r="AC1798" s="370"/>
      <c r="AD1798" s="332" t="str">
        <f>IF(F1798="","",+F1798&amp;K1798)</f>
        <v>3SNMLBMNGKKBF50</v>
      </c>
      <c r="AE1798" s="216">
        <f>+M1798*N1798*O1798/1000</f>
        <v>13440</v>
      </c>
      <c r="AF1798" s="43">
        <f>IF(AD1798="","",VLOOKUP(AD1798,原価マスタ!$A$2:$AJ$1693,13,FALSE))</f>
        <v>99</v>
      </c>
      <c r="AG1798" s="47">
        <f>IF(AF1798="","",+AE1798*AF1798/100)</f>
        <v>13305.6</v>
      </c>
      <c r="AH1798" s="30"/>
      <c r="AI1798" s="30"/>
      <c r="AJ1798" s="30"/>
      <c r="AK1798" s="30"/>
      <c r="AL1798" s="13"/>
      <c r="AM1798" s="13"/>
      <c r="AN1798" s="13"/>
      <c r="AO1798" s="13"/>
      <c r="AP1798" s="13"/>
      <c r="AQ1798" s="14"/>
      <c r="AR1798" s="15"/>
    </row>
    <row r="1799" spans="1:44" s="17" customFormat="1" ht="30.95" hidden="1" customHeight="1" x14ac:dyDescent="0.2">
      <c r="A1799" s="343"/>
      <c r="B1799" s="344"/>
      <c r="C1799" s="345"/>
      <c r="D1799" s="398"/>
      <c r="E1799" s="31"/>
      <c r="F1799" s="268"/>
      <c r="G1799" s="269"/>
      <c r="H1799" s="269"/>
      <c r="I1799" s="270"/>
      <c r="J1799" s="32"/>
      <c r="K1799" s="270"/>
      <c r="L1799" s="270"/>
      <c r="M1799" s="39"/>
      <c r="N1799" s="39"/>
      <c r="O1799" s="47"/>
      <c r="P1799" s="57"/>
      <c r="Q1799" s="276"/>
      <c r="R1799" s="277"/>
      <c r="S1799" s="277"/>
      <c r="T1799" s="40"/>
      <c r="U1799" s="278"/>
      <c r="V1799" s="269"/>
      <c r="W1799" s="269"/>
      <c r="X1799" s="275"/>
      <c r="Y1799" s="269"/>
      <c r="Z1799" s="357"/>
      <c r="AA1799" s="207"/>
      <c r="AB1799" s="369"/>
      <c r="AC1799" s="370"/>
      <c r="AD1799" s="332"/>
      <c r="AE1799" s="216"/>
      <c r="AF1799" s="43"/>
      <c r="AG1799" s="47"/>
      <c r="AH1799" s="30"/>
      <c r="AI1799" s="30"/>
      <c r="AJ1799" s="30"/>
      <c r="AK1799" s="30"/>
      <c r="AL1799" s="13"/>
      <c r="AM1799" s="13"/>
      <c r="AN1799" s="13"/>
      <c r="AO1799" s="13"/>
      <c r="AP1799" s="13"/>
      <c r="AQ1799" s="14"/>
      <c r="AR1799" s="15"/>
    </row>
    <row r="1800" spans="1:44" s="17" customFormat="1" ht="30.6" hidden="1" customHeight="1" x14ac:dyDescent="0.2">
      <c r="A1800" s="343" t="s">
        <v>3058</v>
      </c>
      <c r="B1800" s="344" t="s">
        <v>3059</v>
      </c>
      <c r="C1800" s="345"/>
      <c r="D1800" s="398">
        <v>3764502</v>
      </c>
      <c r="E1800" s="31">
        <v>4151747</v>
      </c>
      <c r="F1800" s="268" t="str">
        <f>IF(D1800="","",VLOOKUP(D1800,契約台帳!$A$3:$K$4986,6,FALSE)&amp;VLOOKUP(D1800,契約台帳!$A$3:$K$4986,7,FALSE)&amp;VLOOKUP(D1800,契約台帳!$A$3:$K$4986,8,FALSE)&amp;VLOOKUP(D1800,契約台帳!$A$3:$K$4986,9,FALSE)&amp;VLOOKUP(D1800,契約台帳!$A$3:$K$4986,11,FALSE))</f>
        <v>3SNMLBMNGKKBF</v>
      </c>
      <c r="G1800" s="269" t="str">
        <f>IF(D1800="","",VLOOKUP(F1800,製品マスタ!$G$5:$H$5002,2,FALSE))</f>
        <v>S</v>
      </c>
      <c r="H1800" s="269" t="str">
        <f>IF(D1800="","",VLOOKUP(F1800,製品マスタ!$G$5:$K$5002,5,FALSE))</f>
        <v>MNGKKBF</v>
      </c>
      <c r="I1800" s="270" t="str">
        <f>IF(D1800="","",VLOOKUP(F1800,製品マスタ!$G$5:$L$5002,6,FALSE))</f>
        <v>メタルミー　ネーマー銀消改　Ｂ</v>
      </c>
      <c r="J1800" s="32" t="s">
        <v>447</v>
      </c>
      <c r="K1800" s="270">
        <f>IF(D1800="","",VLOOKUP(D1800,契約台帳!$A$3:$L$4986,12,FALSE))</f>
        <v>50</v>
      </c>
      <c r="L1800" s="270" t="str">
        <f>IF(D1800="","",INDEX(製品マスタ!$Q$5:$Q$5002,MATCH(F1800&amp;K1800,製品マスタ!$AO$5:$AO$5002,0)))</f>
        <v>S99-MAT</v>
      </c>
      <c r="M1800" s="39">
        <v>1120</v>
      </c>
      <c r="N1800" s="39">
        <v>8000</v>
      </c>
      <c r="O1800" s="47">
        <v>2</v>
      </c>
      <c r="P1800" s="57"/>
      <c r="Q1800" s="276">
        <f>IF(D1800="","",IF(J1800="リード付け",M1800,VLOOKUP(D1800,契約台帳!$A$3:$N$4986,14,FALSE)))</f>
        <v>1120</v>
      </c>
      <c r="R1800" s="277">
        <f>IF(D1800="","",IF(J1800="リード付け",M1800,VLOOKUP(D1800,契約台帳!$A$3:$O$4986,15,FALSE)))</f>
        <v>1120</v>
      </c>
      <c r="S1800" s="277">
        <f>IF(D1800="","",IF(J1800="リード付け",N1800,VLOOKUP(D1800,契約台帳!$A$3:$P$4986,16,FALSE)))</f>
        <v>4000</v>
      </c>
      <c r="T1800" s="40">
        <v>4</v>
      </c>
      <c r="U1800" s="278" t="str">
        <f ca="1">IF(D1800="","",IF(OFFSET(D1800,-2,0)=D1800,"",VLOOKUP(D1800,契約台帳!$A$3:$R$4986,18,FALSE)))</f>
        <v/>
      </c>
      <c r="V1800" s="269" t="str">
        <f>IF(J1800="巻返し",VLOOKUP(F1800&amp;K1800&amp;M1800,製品マスタ!$M$5:$AD$5002,18,FALSE),IF(J1800="リード付け","原反コア",IF(J1800="スリット",VLOOKUP(F1800&amp;K1800&amp;Q1800,製品マスタ!$N$5:$AD$5002,17,FALSE),"")))</f>
        <v>6ｲﾝﾁSｺｱ</v>
      </c>
      <c r="W1800" s="269">
        <f>IF(J1800="巻返し",VLOOKUP(F1800&amp;K1800&amp;M1800,製品マスタ!$M$5:$AE$5002,19,FALSE),IF(J1800="リード付け","-",IF(J1800="スリット",VLOOKUP(F1800&amp;K1800&amp;Q1800,製品マスタ!$N$5:$AE$5002,18,FALSE),"")))</f>
        <v>1125</v>
      </c>
      <c r="X1800" s="275">
        <f>IF(D1800="","",VLOOKUP(D1800,契約台帳!$A$3:$Q$4986,17,FALSE))</f>
        <v>2</v>
      </c>
      <c r="Y1800" s="269" t="str">
        <f>IF(D1800="","",VLOOKUP(D1800,契約台帳!$A$3:$E$4986,5,FALSE))</f>
        <v>リンテック㈱</v>
      </c>
      <c r="Z1800" s="357"/>
      <c r="AA1800" s="207"/>
      <c r="AB1800" s="369"/>
      <c r="AC1800" s="370"/>
      <c r="AD1800" s="332" t="str">
        <f>IF(F1800="","",+F1800&amp;K1800)</f>
        <v>3SNMLBMNGKKBF50</v>
      </c>
      <c r="AE1800" s="216">
        <f>+M1800*N1800*O1800/1000</f>
        <v>17920</v>
      </c>
      <c r="AF1800" s="43">
        <f>IF(AD1800="","",VLOOKUP(AD1800,原価マスタ!$A$2:$AJ$1693,13,FALSE))</f>
        <v>99</v>
      </c>
      <c r="AG1800" s="47">
        <f>IF(AF1800="","",+AE1800*AF1800/100)</f>
        <v>17740.8</v>
      </c>
      <c r="AH1800" s="30"/>
      <c r="AI1800" s="30"/>
      <c r="AJ1800" s="30"/>
      <c r="AK1800" s="30"/>
      <c r="AL1800" s="13"/>
      <c r="AM1800" s="13"/>
      <c r="AN1800" s="13"/>
      <c r="AO1800" s="13"/>
      <c r="AP1800" s="13"/>
      <c r="AQ1800" s="14"/>
      <c r="AR1800" s="15"/>
    </row>
    <row r="1801" spans="1:44" s="17" customFormat="1" ht="30.95" hidden="1" customHeight="1" x14ac:dyDescent="0.2">
      <c r="A1801" s="343"/>
      <c r="B1801" s="344"/>
      <c r="C1801" s="345"/>
      <c r="D1801" s="398"/>
      <c r="E1801" s="31"/>
      <c r="F1801" s="268"/>
      <c r="G1801" s="269"/>
      <c r="H1801" s="269"/>
      <c r="I1801" s="270"/>
      <c r="J1801" s="32"/>
      <c r="K1801" s="270"/>
      <c r="L1801" s="270"/>
      <c r="M1801" s="39"/>
      <c r="N1801" s="39"/>
      <c r="O1801" s="47"/>
      <c r="P1801" s="57"/>
      <c r="Q1801" s="276"/>
      <c r="R1801" s="277"/>
      <c r="S1801" s="277"/>
      <c r="T1801" s="40"/>
      <c r="U1801" s="278"/>
      <c r="V1801" s="269"/>
      <c r="W1801" s="269"/>
      <c r="X1801" s="275"/>
      <c r="Y1801" s="269"/>
      <c r="Z1801" s="357"/>
      <c r="AA1801" s="207"/>
      <c r="AB1801" s="369"/>
      <c r="AC1801" s="370"/>
      <c r="AD1801" s="332"/>
      <c r="AE1801" s="216"/>
      <c r="AF1801" s="43"/>
      <c r="AG1801" s="47"/>
      <c r="AH1801" s="30"/>
      <c r="AI1801" s="30"/>
      <c r="AJ1801" s="30"/>
      <c r="AK1801" s="30"/>
      <c r="AL1801" s="13"/>
      <c r="AM1801" s="13"/>
      <c r="AN1801" s="13"/>
      <c r="AO1801" s="13"/>
      <c r="AP1801" s="13"/>
      <c r="AQ1801" s="14"/>
      <c r="AR1801" s="15"/>
    </row>
    <row r="1802" spans="1:44" s="17" customFormat="1" ht="30.6" hidden="1" customHeight="1" x14ac:dyDescent="0.2">
      <c r="A1802" s="320"/>
      <c r="B1802" s="321"/>
      <c r="C1802" s="345"/>
      <c r="D1802" s="398">
        <v>3767088</v>
      </c>
      <c r="E1802" s="31">
        <v>4151770</v>
      </c>
      <c r="F1802" s="268" t="str">
        <f>IF(D1802="","",VLOOKUP(D1802,契約台帳!$A$3:$K$4986,6,FALSE)&amp;VLOOKUP(D1802,契約台帳!$A$3:$K$4986,7,FALSE)&amp;VLOOKUP(D1802,契約台帳!$A$3:$K$4986,8,FALSE)&amp;VLOOKUP(D1802,契約台帳!$A$3:$K$4986,9,FALSE)&amp;VLOOKUP(D1802,契約台帳!$A$3:$K$4986,11,FALSE))</f>
        <v>3SYMLBMSNMBF</v>
      </c>
      <c r="G1802" s="269" t="str">
        <f>IF(D1802="","",VLOOKUP(F1802,製品マスタ!$G$5:$H$5002,2,FALSE))</f>
        <v>S</v>
      </c>
      <c r="H1802" s="269" t="str">
        <f>IF(D1802="","",VLOOKUP(F1802,製品マスタ!$G$5:$K$5002,5,FALSE))</f>
        <v>MSNMBF</v>
      </c>
      <c r="I1802" s="270" t="str">
        <f>IF(D1802="","",VLOOKUP(F1802,製品マスタ!$G$5:$L$5002,6,FALSE))</f>
        <v>ＭＥＴＡＬＵＭＹ　ＳＩＬＶＥＲ　Ｎ－ＭＡＴＴＥ　Ｘ４４Ｍ　Ｂ</v>
      </c>
      <c r="J1802" s="32" t="s">
        <v>447</v>
      </c>
      <c r="K1802" s="270">
        <f>IF(D1802="","",VLOOKUP(D1802,契約台帳!$A$3:$L$4986,12,FALSE))</f>
        <v>50</v>
      </c>
      <c r="L1802" s="270" t="str">
        <f>IF(D1802="","",INDEX(製品マスタ!$Q$5:$Q$5002,MATCH(F1802&amp;K1802,製品マスタ!$AO$5:$AO$5002,0)))</f>
        <v>X44</v>
      </c>
      <c r="M1802" s="39">
        <v>1120</v>
      </c>
      <c r="N1802" s="39">
        <v>12000</v>
      </c>
      <c r="O1802" s="47">
        <v>2</v>
      </c>
      <c r="P1802" s="57"/>
      <c r="Q1802" s="276">
        <f>IF(D1802="","",IF(J1802="リード付け",M1802,VLOOKUP(D1802,契約台帳!$A$3:$N$4986,14,FALSE)))</f>
        <v>1120</v>
      </c>
      <c r="R1802" s="277">
        <f>IF(D1802="","",IF(J1802="リード付け",M1802,VLOOKUP(D1802,契約台帳!$A$3:$O$4986,15,FALSE)))</f>
        <v>1120</v>
      </c>
      <c r="S1802" s="277">
        <f>IF(D1802="","",IF(J1802="リード付け",N1802,VLOOKUP(D1802,契約台帳!$A$3:$P$4986,16,FALSE)))</f>
        <v>4000</v>
      </c>
      <c r="T1802" s="40">
        <v>6</v>
      </c>
      <c r="U1802" s="278">
        <f ca="1">IF(D1802="","",IF(OFFSET(D1802,-2,0)=D1802,"",VLOOKUP(D1802,契約台帳!$A$3:$R$4986,18,FALSE)))</f>
        <v>6</v>
      </c>
      <c r="V1802" s="269" t="str">
        <f>IF(J1802="巻返し",VLOOKUP(F1802&amp;K1802&amp;M1802,製品マスタ!$M$5:$AD$5002,18,FALSE),IF(J1802="リード付け","原反コア",IF(J1802="スリット",VLOOKUP(F1802&amp;K1802&amp;Q1802,製品マスタ!$N$5:$AD$5002,17,FALSE),"")))</f>
        <v>6ｲﾝﾁMｺｱ</v>
      </c>
      <c r="W1802" s="269">
        <f>IF(J1802="巻返し",VLOOKUP(F1802&amp;K1802&amp;M1802,製品マスタ!$M$5:$AE$5002,19,FALSE),IF(J1802="リード付け","-",IF(J1802="スリット",VLOOKUP(F1802&amp;K1802&amp;Q1802,製品マスタ!$N$5:$AE$5002,18,FALSE),"")))</f>
        <v>1125</v>
      </c>
      <c r="X1802" s="275">
        <f>IF(D1802="","",VLOOKUP(D1802,契約台帳!$A$3:$Q$4986,17,FALSE))</f>
        <v>2</v>
      </c>
      <c r="Y1802" s="269" t="str">
        <f>IF(D1802="","",VLOOKUP(D1802,契約台帳!$A$3:$E$4986,5,FALSE))</f>
        <v>リンテック㈱</v>
      </c>
      <c r="Z1802" s="357"/>
      <c r="AA1802" s="207"/>
      <c r="AB1802" s="369"/>
      <c r="AC1802" s="370"/>
      <c r="AD1802" s="332" t="str">
        <f>IF(F1802="","",+F1802&amp;K1802)</f>
        <v>3SYMLBMSNMBF50</v>
      </c>
      <c r="AE1802" s="216">
        <f>+M1802*N1802*O1802/1000</f>
        <v>26880</v>
      </c>
      <c r="AF1802" s="43">
        <f>IF(AD1802="","",VLOOKUP(AD1802,原価マスタ!$A$2:$AJ$1693,13,FALSE))</f>
        <v>98.8</v>
      </c>
      <c r="AG1802" s="47">
        <f>IF(AF1802="","",+AE1802*AF1802/100)</f>
        <v>26557.439999999999</v>
      </c>
      <c r="AH1802" s="30"/>
      <c r="AI1802" s="30"/>
      <c r="AJ1802" s="30"/>
      <c r="AK1802" s="30"/>
      <c r="AL1802" s="13"/>
      <c r="AM1802" s="13"/>
      <c r="AN1802" s="13"/>
      <c r="AO1802" s="13"/>
      <c r="AP1802" s="13"/>
      <c r="AQ1802" s="14"/>
      <c r="AR1802" s="15"/>
    </row>
    <row r="1803" spans="1:44" s="17" customFormat="1" ht="30.95" hidden="1" customHeight="1" x14ac:dyDescent="0.2">
      <c r="A1803" s="343"/>
      <c r="B1803" s="344"/>
      <c r="C1803" s="345"/>
      <c r="D1803" s="398"/>
      <c r="E1803" s="31"/>
      <c r="F1803" s="268"/>
      <c r="G1803" s="269"/>
      <c r="H1803" s="269"/>
      <c r="I1803" s="270"/>
      <c r="J1803" s="32"/>
      <c r="K1803" s="270"/>
      <c r="L1803" s="270"/>
      <c r="M1803" s="39"/>
      <c r="N1803" s="39"/>
      <c r="O1803" s="47"/>
      <c r="P1803" s="57"/>
      <c r="Q1803" s="276"/>
      <c r="R1803" s="277"/>
      <c r="S1803" s="277"/>
      <c r="T1803" s="40"/>
      <c r="U1803" s="278"/>
      <c r="V1803" s="269"/>
      <c r="W1803" s="269"/>
      <c r="X1803" s="275"/>
      <c r="Y1803" s="269"/>
      <c r="Z1803" s="357"/>
      <c r="AA1803" s="207"/>
      <c r="AB1803" s="369"/>
      <c r="AC1803" s="370"/>
      <c r="AD1803" s="332"/>
      <c r="AE1803" s="216"/>
      <c r="AF1803" s="43"/>
      <c r="AG1803" s="47"/>
      <c r="AH1803" s="30"/>
      <c r="AI1803" s="30"/>
      <c r="AJ1803" s="30"/>
      <c r="AK1803" s="30"/>
      <c r="AL1803" s="13"/>
      <c r="AM1803" s="13"/>
      <c r="AN1803" s="13"/>
      <c r="AO1803" s="13"/>
      <c r="AP1803" s="13"/>
      <c r="AQ1803" s="14"/>
      <c r="AR1803" s="15"/>
    </row>
    <row r="1804" spans="1:44" s="17" customFormat="1" ht="30.95" hidden="1" customHeight="1" x14ac:dyDescent="0.2">
      <c r="A1804" s="343" t="s">
        <v>3060</v>
      </c>
      <c r="B1804" s="344" t="s">
        <v>3061</v>
      </c>
      <c r="C1804" s="345"/>
      <c r="D1804" s="398"/>
      <c r="E1804" s="31"/>
      <c r="F1804" s="268"/>
      <c r="G1804" s="269"/>
      <c r="H1804" s="269"/>
      <c r="I1804" s="270"/>
      <c r="J1804" s="32"/>
      <c r="K1804" s="270"/>
      <c r="L1804" s="270"/>
      <c r="M1804" s="39"/>
      <c r="N1804" s="39"/>
      <c r="O1804" s="47"/>
      <c r="P1804" s="57"/>
      <c r="Q1804" s="276"/>
      <c r="R1804" s="277"/>
      <c r="S1804" s="277"/>
      <c r="T1804" s="40"/>
      <c r="U1804" s="278"/>
      <c r="V1804" s="269"/>
      <c r="W1804" s="269"/>
      <c r="X1804" s="275"/>
      <c r="Y1804" s="269"/>
      <c r="Z1804" s="357"/>
      <c r="AA1804" s="207"/>
      <c r="AB1804" s="369"/>
      <c r="AC1804" s="370"/>
      <c r="AD1804" s="332"/>
      <c r="AE1804" s="216"/>
      <c r="AF1804" s="43"/>
      <c r="AG1804" s="47"/>
      <c r="AH1804" s="30"/>
      <c r="AI1804" s="30"/>
      <c r="AJ1804" s="30"/>
      <c r="AK1804" s="30"/>
      <c r="AL1804" s="13"/>
      <c r="AM1804" s="13"/>
      <c r="AN1804" s="13"/>
      <c r="AO1804" s="13"/>
      <c r="AP1804" s="13"/>
      <c r="AQ1804" s="14"/>
      <c r="AR1804" s="15"/>
    </row>
    <row r="1805" spans="1:44" s="17" customFormat="1" ht="30.95" hidden="1" customHeight="1" x14ac:dyDescent="0.2">
      <c r="A1805" s="343"/>
      <c r="B1805" s="344"/>
      <c r="C1805" s="345"/>
      <c r="D1805" s="398"/>
      <c r="E1805" s="31"/>
      <c r="F1805" s="268"/>
      <c r="G1805" s="269"/>
      <c r="H1805" s="269"/>
      <c r="I1805" s="270"/>
      <c r="J1805" s="32"/>
      <c r="K1805" s="270"/>
      <c r="L1805" s="270"/>
      <c r="M1805" s="39"/>
      <c r="N1805" s="39"/>
      <c r="O1805" s="47"/>
      <c r="P1805" s="57"/>
      <c r="Q1805" s="276"/>
      <c r="R1805" s="277"/>
      <c r="S1805" s="277"/>
      <c r="T1805" s="40"/>
      <c r="U1805" s="278"/>
      <c r="V1805" s="269"/>
      <c r="W1805" s="269"/>
      <c r="X1805" s="275"/>
      <c r="Y1805" s="269"/>
      <c r="Z1805" s="357"/>
      <c r="AA1805" s="207"/>
      <c r="AB1805" s="369"/>
      <c r="AC1805" s="370"/>
      <c r="AD1805" s="332"/>
      <c r="AE1805" s="216"/>
      <c r="AF1805" s="43"/>
      <c r="AG1805" s="47"/>
      <c r="AH1805" s="30"/>
      <c r="AI1805" s="30"/>
      <c r="AJ1805" s="30"/>
      <c r="AK1805" s="30"/>
      <c r="AL1805" s="13"/>
      <c r="AM1805" s="13"/>
      <c r="AN1805" s="13"/>
      <c r="AO1805" s="13"/>
      <c r="AP1805" s="13"/>
      <c r="AQ1805" s="14"/>
      <c r="AR1805" s="15"/>
    </row>
    <row r="1806" spans="1:44" s="17" customFormat="1" ht="30.95" hidden="1" customHeight="1" x14ac:dyDescent="0.2">
      <c r="A1806" s="343" t="s">
        <v>3051</v>
      </c>
      <c r="B1806" s="344" t="s">
        <v>3045</v>
      </c>
      <c r="C1806" s="345"/>
      <c r="D1806" s="398"/>
      <c r="E1806" s="31"/>
      <c r="F1806" s="268"/>
      <c r="G1806" s="269"/>
      <c r="H1806" s="269"/>
      <c r="I1806" s="270"/>
      <c r="J1806" s="32" t="s">
        <v>448</v>
      </c>
      <c r="K1806" s="270"/>
      <c r="L1806" s="270"/>
      <c r="M1806" s="39"/>
      <c r="N1806" s="39"/>
      <c r="O1806" s="47"/>
      <c r="P1806" s="57"/>
      <c r="Q1806" s="276"/>
      <c r="R1806" s="277"/>
      <c r="S1806" s="277"/>
      <c r="T1806" s="40"/>
      <c r="U1806" s="278"/>
      <c r="V1806" s="269"/>
      <c r="W1806" s="269"/>
      <c r="X1806" s="275"/>
      <c r="Y1806" s="269"/>
      <c r="Z1806" s="357"/>
      <c r="AA1806" s="207"/>
      <c r="AB1806" s="369"/>
      <c r="AC1806" s="370"/>
      <c r="AD1806" s="332"/>
      <c r="AE1806" s="216"/>
      <c r="AF1806" s="43"/>
      <c r="AG1806" s="47"/>
      <c r="AH1806" s="30"/>
      <c r="AI1806" s="30"/>
      <c r="AJ1806" s="30"/>
      <c r="AK1806" s="30"/>
      <c r="AL1806" s="13"/>
      <c r="AM1806" s="13"/>
      <c r="AN1806" s="13"/>
      <c r="AO1806" s="13"/>
      <c r="AP1806" s="13"/>
      <c r="AQ1806" s="14"/>
      <c r="AR1806" s="15"/>
    </row>
    <row r="1807" spans="1:44" s="17" customFormat="1" ht="30.95" hidden="1" customHeight="1" x14ac:dyDescent="0.2">
      <c r="A1807" s="343"/>
      <c r="B1807" s="344"/>
      <c r="C1807" s="345"/>
      <c r="D1807" s="398"/>
      <c r="E1807" s="31"/>
      <c r="F1807" s="268"/>
      <c r="G1807" s="269"/>
      <c r="H1807" s="269"/>
      <c r="I1807" s="270"/>
      <c r="J1807" s="32"/>
      <c r="K1807" s="270"/>
      <c r="L1807" s="270"/>
      <c r="M1807" s="39"/>
      <c r="N1807" s="39"/>
      <c r="O1807" s="47"/>
      <c r="P1807" s="57"/>
      <c r="Q1807" s="276"/>
      <c r="R1807" s="277"/>
      <c r="S1807" s="277"/>
      <c r="T1807" s="40"/>
      <c r="U1807" s="278"/>
      <c r="V1807" s="269"/>
      <c r="W1807" s="269"/>
      <c r="X1807" s="275"/>
      <c r="Y1807" s="269"/>
      <c r="Z1807" s="357"/>
      <c r="AA1807" s="207"/>
      <c r="AB1807" s="369"/>
      <c r="AC1807" s="370"/>
      <c r="AD1807" s="332"/>
      <c r="AE1807" s="216"/>
      <c r="AF1807" s="43"/>
      <c r="AG1807" s="47"/>
      <c r="AH1807" s="30"/>
      <c r="AI1807" s="30"/>
      <c r="AJ1807" s="30"/>
      <c r="AK1807" s="30"/>
      <c r="AL1807" s="13"/>
      <c r="AM1807" s="13"/>
      <c r="AN1807" s="13"/>
      <c r="AO1807" s="13"/>
      <c r="AP1807" s="13"/>
      <c r="AQ1807" s="14"/>
      <c r="AR1807" s="15"/>
    </row>
    <row r="1808" spans="1:44" s="17" customFormat="1" ht="30.95" hidden="1" customHeight="1" x14ac:dyDescent="0.2">
      <c r="A1808" s="343" t="s">
        <v>3052</v>
      </c>
      <c r="B1808" s="344" t="s">
        <v>3046</v>
      </c>
      <c r="C1808" s="345"/>
      <c r="D1808" s="398"/>
      <c r="E1808" s="31"/>
      <c r="F1808" s="268"/>
      <c r="G1808" s="269"/>
      <c r="H1808" s="269"/>
      <c r="I1808" s="270"/>
      <c r="J1808" s="32" t="s">
        <v>448</v>
      </c>
      <c r="K1808" s="270"/>
      <c r="L1808" s="270"/>
      <c r="M1808" s="39"/>
      <c r="N1808" s="39"/>
      <c r="O1808" s="47"/>
      <c r="P1808" s="57"/>
      <c r="Q1808" s="276"/>
      <c r="R1808" s="277"/>
      <c r="S1808" s="277"/>
      <c r="T1808" s="40"/>
      <c r="U1808" s="278"/>
      <c r="V1808" s="269"/>
      <c r="W1808" s="269"/>
      <c r="X1808" s="275"/>
      <c r="Y1808" s="269"/>
      <c r="Z1808" s="357"/>
      <c r="AA1808" s="207"/>
      <c r="AB1808" s="369"/>
      <c r="AC1808" s="370"/>
      <c r="AD1808" s="332"/>
      <c r="AE1808" s="216"/>
      <c r="AF1808" s="43"/>
      <c r="AG1808" s="47"/>
      <c r="AH1808" s="30"/>
      <c r="AI1808" s="30"/>
      <c r="AJ1808" s="30"/>
      <c r="AK1808" s="30"/>
      <c r="AL1808" s="13"/>
      <c r="AM1808" s="13"/>
      <c r="AN1808" s="13"/>
      <c r="AO1808" s="13"/>
      <c r="AP1808" s="13"/>
      <c r="AQ1808" s="14"/>
      <c r="AR1808" s="15"/>
    </row>
    <row r="1809" spans="1:44" s="17" customFormat="1" ht="30.95" hidden="1" customHeight="1" x14ac:dyDescent="0.2">
      <c r="A1809" s="343"/>
      <c r="B1809" s="344"/>
      <c r="C1809" s="345"/>
      <c r="D1809" s="398"/>
      <c r="E1809" s="31"/>
      <c r="F1809" s="268"/>
      <c r="G1809" s="269"/>
      <c r="H1809" s="269"/>
      <c r="I1809" s="270"/>
      <c r="J1809" s="32"/>
      <c r="K1809" s="270"/>
      <c r="L1809" s="270"/>
      <c r="M1809" s="39"/>
      <c r="N1809" s="39"/>
      <c r="O1809" s="47"/>
      <c r="P1809" s="57"/>
      <c r="Q1809" s="276"/>
      <c r="R1809" s="277"/>
      <c r="S1809" s="277"/>
      <c r="T1809" s="40"/>
      <c r="U1809" s="278"/>
      <c r="V1809" s="269"/>
      <c r="W1809" s="269"/>
      <c r="X1809" s="275"/>
      <c r="Y1809" s="269"/>
      <c r="Z1809" s="357"/>
      <c r="AA1809" s="207"/>
      <c r="AB1809" s="369"/>
      <c r="AC1809" s="370"/>
      <c r="AD1809" s="332"/>
      <c r="AE1809" s="216"/>
      <c r="AF1809" s="43"/>
      <c r="AG1809" s="47"/>
      <c r="AH1809" s="30"/>
      <c r="AI1809" s="30"/>
      <c r="AJ1809" s="30"/>
      <c r="AK1809" s="30"/>
      <c r="AL1809" s="13"/>
      <c r="AM1809" s="13"/>
      <c r="AN1809" s="13"/>
      <c r="AO1809" s="13"/>
      <c r="AP1809" s="13"/>
      <c r="AQ1809" s="14"/>
      <c r="AR1809" s="15"/>
    </row>
    <row r="1810" spans="1:44" s="17" customFormat="1" ht="30.95" hidden="1" customHeight="1" x14ac:dyDescent="0.2">
      <c r="A1810" s="343" t="s">
        <v>3053</v>
      </c>
      <c r="B1810" s="344" t="s">
        <v>3048</v>
      </c>
      <c r="C1810" s="345"/>
      <c r="D1810" s="398"/>
      <c r="E1810" s="31"/>
      <c r="F1810" s="268"/>
      <c r="G1810" s="269"/>
      <c r="H1810" s="269"/>
      <c r="I1810" s="270"/>
      <c r="J1810" s="32" t="s">
        <v>448</v>
      </c>
      <c r="K1810" s="270"/>
      <c r="L1810" s="270"/>
      <c r="M1810" s="39"/>
      <c r="N1810" s="39"/>
      <c r="O1810" s="47"/>
      <c r="P1810" s="57"/>
      <c r="Q1810" s="276"/>
      <c r="R1810" s="277"/>
      <c r="S1810" s="277"/>
      <c r="T1810" s="40"/>
      <c r="U1810" s="278"/>
      <c r="V1810" s="269"/>
      <c r="W1810" s="269"/>
      <c r="X1810" s="275"/>
      <c r="Y1810" s="269"/>
      <c r="Z1810" s="357"/>
      <c r="AA1810" s="207"/>
      <c r="AB1810" s="369"/>
      <c r="AC1810" s="370"/>
      <c r="AD1810" s="332"/>
      <c r="AE1810" s="216"/>
      <c r="AF1810" s="43"/>
      <c r="AG1810" s="47"/>
      <c r="AH1810" s="30"/>
      <c r="AI1810" s="30"/>
      <c r="AJ1810" s="30"/>
      <c r="AK1810" s="30"/>
      <c r="AL1810" s="13"/>
      <c r="AM1810" s="13"/>
      <c r="AN1810" s="13"/>
      <c r="AO1810" s="13"/>
      <c r="AP1810" s="13"/>
      <c r="AQ1810" s="14"/>
      <c r="AR1810" s="15"/>
    </row>
    <row r="1811" spans="1:44" s="17" customFormat="1" ht="30.95" hidden="1" customHeight="1" x14ac:dyDescent="0.2">
      <c r="A1811" s="343"/>
      <c r="B1811" s="344"/>
      <c r="C1811" s="345"/>
      <c r="D1811" s="398"/>
      <c r="E1811" s="31"/>
      <c r="F1811" s="268"/>
      <c r="G1811" s="269"/>
      <c r="H1811" s="269"/>
      <c r="I1811" s="270"/>
      <c r="J1811" s="32"/>
      <c r="K1811" s="270"/>
      <c r="L1811" s="270"/>
      <c r="M1811" s="39"/>
      <c r="N1811" s="39"/>
      <c r="O1811" s="47"/>
      <c r="P1811" s="57"/>
      <c r="Q1811" s="276"/>
      <c r="R1811" s="277"/>
      <c r="S1811" s="277"/>
      <c r="T1811" s="40"/>
      <c r="U1811" s="278"/>
      <c r="V1811" s="269"/>
      <c r="W1811" s="269"/>
      <c r="X1811" s="275"/>
      <c r="Y1811" s="269"/>
      <c r="Z1811" s="357"/>
      <c r="AA1811" s="207"/>
      <c r="AB1811" s="369"/>
      <c r="AC1811" s="370"/>
      <c r="AD1811" s="332"/>
      <c r="AE1811" s="216"/>
      <c r="AF1811" s="43"/>
      <c r="AG1811" s="47"/>
      <c r="AH1811" s="30"/>
      <c r="AI1811" s="30"/>
      <c r="AJ1811" s="30"/>
      <c r="AK1811" s="30"/>
      <c r="AL1811" s="13"/>
      <c r="AM1811" s="13"/>
      <c r="AN1811" s="13"/>
      <c r="AO1811" s="13"/>
      <c r="AP1811" s="13"/>
      <c r="AQ1811" s="14"/>
      <c r="AR1811" s="15"/>
    </row>
    <row r="1812" spans="1:44" s="17" customFormat="1" ht="30.95" hidden="1" customHeight="1" x14ac:dyDescent="0.2">
      <c r="A1812" s="343" t="s">
        <v>3054</v>
      </c>
      <c r="B1812" s="344" t="s">
        <v>3049</v>
      </c>
      <c r="C1812" s="345"/>
      <c r="D1812" s="398"/>
      <c r="E1812" s="31"/>
      <c r="F1812" s="268"/>
      <c r="G1812" s="269"/>
      <c r="H1812" s="269"/>
      <c r="I1812" s="270"/>
      <c r="J1812" s="32" t="s">
        <v>448</v>
      </c>
      <c r="K1812" s="270"/>
      <c r="L1812" s="270"/>
      <c r="M1812" s="39"/>
      <c r="N1812" s="39"/>
      <c r="O1812" s="47"/>
      <c r="P1812" s="57"/>
      <c r="Q1812" s="276"/>
      <c r="R1812" s="277"/>
      <c r="S1812" s="277"/>
      <c r="T1812" s="40"/>
      <c r="U1812" s="278"/>
      <c r="V1812" s="269"/>
      <c r="W1812" s="269"/>
      <c r="X1812" s="275"/>
      <c r="Y1812" s="269"/>
      <c r="Z1812" s="357"/>
      <c r="AA1812" s="207"/>
      <c r="AB1812" s="369"/>
      <c r="AC1812" s="370"/>
      <c r="AD1812" s="332"/>
      <c r="AE1812" s="216"/>
      <c r="AF1812" s="43"/>
      <c r="AG1812" s="47"/>
      <c r="AH1812" s="30"/>
      <c r="AI1812" s="30"/>
      <c r="AJ1812" s="30"/>
      <c r="AK1812" s="30"/>
      <c r="AL1812" s="13"/>
      <c r="AM1812" s="13"/>
      <c r="AN1812" s="13"/>
      <c r="AO1812" s="13"/>
      <c r="AP1812" s="13"/>
      <c r="AQ1812" s="14"/>
      <c r="AR1812" s="15"/>
    </row>
    <row r="1813" spans="1:44" s="17" customFormat="1" ht="30.95" hidden="1" customHeight="1" x14ac:dyDescent="0.2">
      <c r="A1813" s="343"/>
      <c r="B1813" s="344"/>
      <c r="C1813" s="345"/>
      <c r="D1813" s="398"/>
      <c r="E1813" s="31"/>
      <c r="F1813" s="268"/>
      <c r="G1813" s="269"/>
      <c r="H1813" s="269"/>
      <c r="I1813" s="270"/>
      <c r="J1813" s="32"/>
      <c r="K1813" s="270"/>
      <c r="L1813" s="270"/>
      <c r="M1813" s="39"/>
      <c r="N1813" s="39"/>
      <c r="O1813" s="47"/>
      <c r="P1813" s="57"/>
      <c r="Q1813" s="276"/>
      <c r="R1813" s="277"/>
      <c r="S1813" s="277"/>
      <c r="T1813" s="40"/>
      <c r="U1813" s="278"/>
      <c r="V1813" s="269"/>
      <c r="W1813" s="269"/>
      <c r="X1813" s="275"/>
      <c r="Y1813" s="269"/>
      <c r="Z1813" s="357"/>
      <c r="AA1813" s="207"/>
      <c r="AB1813" s="369"/>
      <c r="AC1813" s="370"/>
      <c r="AD1813" s="332"/>
      <c r="AE1813" s="216"/>
      <c r="AF1813" s="43"/>
      <c r="AG1813" s="47"/>
      <c r="AH1813" s="30"/>
      <c r="AI1813" s="30"/>
      <c r="AJ1813" s="30"/>
      <c r="AK1813" s="30"/>
      <c r="AL1813" s="13"/>
      <c r="AM1813" s="13"/>
      <c r="AN1813" s="13"/>
      <c r="AO1813" s="13"/>
      <c r="AP1813" s="13"/>
      <c r="AQ1813" s="14"/>
      <c r="AR1813" s="15"/>
    </row>
    <row r="1814" spans="1:44" s="17" customFormat="1" ht="30.95" hidden="1" customHeight="1" x14ac:dyDescent="0.2">
      <c r="A1814" s="343" t="s">
        <v>3055</v>
      </c>
      <c r="B1814" s="344" t="s">
        <v>3050</v>
      </c>
      <c r="C1814" s="345"/>
      <c r="D1814" s="398"/>
      <c r="E1814" s="31"/>
      <c r="F1814" s="268"/>
      <c r="G1814" s="269"/>
      <c r="H1814" s="269"/>
      <c r="I1814" s="270"/>
      <c r="J1814" s="32" t="s">
        <v>448</v>
      </c>
      <c r="K1814" s="270"/>
      <c r="L1814" s="270"/>
      <c r="M1814" s="39"/>
      <c r="N1814" s="39"/>
      <c r="O1814" s="47"/>
      <c r="P1814" s="57"/>
      <c r="Q1814" s="276"/>
      <c r="R1814" s="277"/>
      <c r="S1814" s="277"/>
      <c r="T1814" s="40"/>
      <c r="U1814" s="278"/>
      <c r="V1814" s="269"/>
      <c r="W1814" s="269"/>
      <c r="X1814" s="275"/>
      <c r="Y1814" s="269"/>
      <c r="Z1814" s="357"/>
      <c r="AA1814" s="207"/>
      <c r="AB1814" s="369"/>
      <c r="AC1814" s="370"/>
      <c r="AD1814" s="332"/>
      <c r="AE1814" s="216"/>
      <c r="AF1814" s="43"/>
      <c r="AG1814" s="47"/>
      <c r="AH1814" s="30"/>
      <c r="AI1814" s="30"/>
      <c r="AJ1814" s="30"/>
      <c r="AK1814" s="30"/>
      <c r="AL1814" s="13"/>
      <c r="AM1814" s="13"/>
      <c r="AN1814" s="13"/>
      <c r="AO1814" s="13"/>
      <c r="AP1814" s="13"/>
      <c r="AQ1814" s="14"/>
      <c r="AR1814" s="15"/>
    </row>
    <row r="1815" spans="1:44" s="17" customFormat="1" ht="30.95" hidden="1" customHeight="1" x14ac:dyDescent="0.2">
      <c r="A1815" s="343"/>
      <c r="B1815" s="344"/>
      <c r="C1815" s="345"/>
      <c r="D1815" s="398"/>
      <c r="E1815" s="31"/>
      <c r="F1815" s="268"/>
      <c r="G1815" s="269"/>
      <c r="H1815" s="269"/>
      <c r="I1815" s="270"/>
      <c r="J1815" s="32"/>
      <c r="K1815" s="270"/>
      <c r="L1815" s="270"/>
      <c r="M1815" s="39"/>
      <c r="N1815" s="39"/>
      <c r="O1815" s="47"/>
      <c r="P1815" s="57"/>
      <c r="Q1815" s="276"/>
      <c r="R1815" s="277"/>
      <c r="S1815" s="277"/>
      <c r="T1815" s="40"/>
      <c r="U1815" s="278"/>
      <c r="V1815" s="269"/>
      <c r="W1815" s="269"/>
      <c r="X1815" s="275"/>
      <c r="Y1815" s="269"/>
      <c r="Z1815" s="357"/>
      <c r="AA1815" s="207"/>
      <c r="AB1815" s="369"/>
      <c r="AC1815" s="370"/>
      <c r="AD1815" s="332"/>
      <c r="AE1815" s="216"/>
      <c r="AF1815" s="43"/>
      <c r="AG1815" s="47"/>
      <c r="AH1815" s="30"/>
      <c r="AI1815" s="30"/>
      <c r="AJ1815" s="30"/>
      <c r="AK1815" s="30"/>
      <c r="AL1815" s="13"/>
      <c r="AM1815" s="13"/>
      <c r="AN1815" s="13"/>
      <c r="AO1815" s="13"/>
      <c r="AP1815" s="13"/>
      <c r="AQ1815" s="14"/>
      <c r="AR1815" s="15"/>
    </row>
    <row r="1816" spans="1:44" s="17" customFormat="1" ht="30.95" hidden="1" customHeight="1" x14ac:dyDescent="0.2">
      <c r="A1816" s="320" t="s">
        <v>1381</v>
      </c>
      <c r="B1816" s="321" t="s">
        <v>444</v>
      </c>
      <c r="C1816" s="345"/>
      <c r="D1816" s="398">
        <v>3766744</v>
      </c>
      <c r="E1816" s="31">
        <v>4151774</v>
      </c>
      <c r="F1816" s="268" t="str">
        <f>IF(D1816="","",VLOOKUP(D1816,契約台帳!$A$3:$K$4986,6,FALSE)&amp;VLOOKUP(D1816,契約台帳!$A$3:$K$4986,7,FALSE)&amp;VLOOKUP(D1816,契約台帳!$A$3:$K$4986,8,FALSE)&amp;VLOOKUP(D1816,契約台帳!$A$3:$K$4986,9,FALSE)&amp;VLOOKUP(D1816,契約台帳!$A$3:$K$4986,11,FALSE))</f>
        <v>3TYKNZMCR</v>
      </c>
      <c r="G1816" s="269" t="str">
        <f>IF(D1816="","",VLOOKUP(F1816,製品マスタ!$G$5:$H$5002,2,FALSE))</f>
        <v>T</v>
      </c>
      <c r="H1816" s="269" t="str">
        <f>IF(D1816="","",VLOOKUP(F1816,製品マスタ!$G$5:$K$5002,5,FALSE))</f>
        <v>MCR</v>
      </c>
      <c r="I1816" s="270" t="str">
        <f>IF(D1816="","",VLOOKUP(F1816,製品マスタ!$G$5:$L$5002,6,FALSE))</f>
        <v>Metalumy CR</v>
      </c>
      <c r="J1816" s="32" t="s">
        <v>447</v>
      </c>
      <c r="K1816" s="270">
        <f>IF(D1816="","",VLOOKUP(D1816,契約台帳!$A$3:$L$4986,12,FALSE))</f>
        <v>25</v>
      </c>
      <c r="L1816" s="270" t="str">
        <f>IF(D1816="","",INDEX(製品マスタ!$Q$5:$Q$5002,MATCH(F1816&amp;K1816,製品マスタ!$AO$5:$AO$5002,0)))</f>
        <v>S28M</v>
      </c>
      <c r="M1816" s="39">
        <v>1110</v>
      </c>
      <c r="N1816" s="39">
        <v>12100</v>
      </c>
      <c r="O1816" s="47">
        <v>3</v>
      </c>
      <c r="P1816" s="57"/>
      <c r="Q1816" s="276">
        <f>IF(D1816="","",IF(J1816="リード付け",M1816,VLOOKUP(D1816,契約台帳!$A$3:$N$4986,14,FALSE)))</f>
        <v>1050</v>
      </c>
      <c r="R1816" s="277">
        <f>IF(D1816="","",IF(J1816="リード付け",M1816,VLOOKUP(D1816,契約台帳!$A$3:$O$4986,15,FALSE)))</f>
        <v>1050</v>
      </c>
      <c r="S1816" s="277">
        <f>IF(D1816="","",IF(J1816="リード付け",N1816,VLOOKUP(D1816,契約台帳!$A$3:$P$4986,16,FALSE)))</f>
        <v>6000</v>
      </c>
      <c r="T1816" s="40">
        <v>6</v>
      </c>
      <c r="U1816" s="278">
        <f ca="1">IF(D1816="","",IF(OFFSET(D1816,-2,0)=D1816,"",VLOOKUP(D1816,契約台帳!$A$3:$R$4986,18,FALSE)))</f>
        <v>26</v>
      </c>
      <c r="V1816" s="269" t="str">
        <f>IF(J1816="巻返し",VLOOKUP(F1816&amp;K1816&amp;M1816,製品マスタ!$M$5:$AD$5002,18,FALSE),IF(J1816="リード付け","原反コア",IF(J1816="スリット",VLOOKUP(F1816&amp;K1816&amp;Q1816,製品マスタ!$N$5:$AD$5002,17,FALSE),"")))</f>
        <v>6ｲﾝﾁABS</v>
      </c>
      <c r="W1816" s="269">
        <f>IF(J1816="巻返し",VLOOKUP(F1816&amp;K1816&amp;M1816,製品マスタ!$M$5:$AE$5002,19,FALSE),IF(J1816="リード付け","-",IF(J1816="スリット",VLOOKUP(F1816&amp;K1816&amp;Q1816,製品マスタ!$N$5:$AE$5002,18,FALSE),"")))</f>
        <v>1250</v>
      </c>
      <c r="X1816" s="275">
        <f>IF(D1816="","",VLOOKUP(D1816,契約台帳!$A$3:$Q$4986,17,FALSE))</f>
        <v>2</v>
      </c>
      <c r="Y1816" s="269" t="str">
        <f>IF(D1816="","",VLOOKUP(D1816,契約台帳!$A$3:$E$4986,5,FALSE))</f>
        <v>日東電工㈱豊橋工場</v>
      </c>
      <c r="Z1816" s="357"/>
      <c r="AA1816" s="207" t="s">
        <v>2814</v>
      </c>
      <c r="AB1816" s="369"/>
      <c r="AC1816" s="370"/>
      <c r="AD1816" s="332"/>
      <c r="AE1816" s="216"/>
      <c r="AF1816" s="43"/>
      <c r="AG1816" s="47"/>
      <c r="AH1816" s="30"/>
      <c r="AI1816" s="30"/>
      <c r="AJ1816" s="30"/>
      <c r="AK1816" s="30"/>
      <c r="AL1816" s="13"/>
      <c r="AM1816" s="13"/>
      <c r="AN1816" s="13"/>
      <c r="AO1816" s="13"/>
      <c r="AP1816" s="13"/>
      <c r="AQ1816" s="14"/>
      <c r="AR1816" s="15"/>
    </row>
    <row r="1817" spans="1:44" s="17" customFormat="1" ht="30.95" hidden="1" customHeight="1" x14ac:dyDescent="0.2">
      <c r="A1817" s="343"/>
      <c r="B1817" s="344"/>
      <c r="C1817" s="345"/>
      <c r="D1817" s="398"/>
      <c r="E1817" s="31"/>
      <c r="F1817" s="268"/>
      <c r="G1817" s="269"/>
      <c r="H1817" s="269"/>
      <c r="I1817" s="270"/>
      <c r="J1817" s="32"/>
      <c r="K1817" s="270"/>
      <c r="L1817" s="270"/>
      <c r="M1817" s="39"/>
      <c r="N1817" s="39"/>
      <c r="O1817" s="47"/>
      <c r="P1817" s="57"/>
      <c r="Q1817" s="276"/>
      <c r="R1817" s="277"/>
      <c r="S1817" s="277"/>
      <c r="T1817" s="40"/>
      <c r="U1817" s="278"/>
      <c r="V1817" s="269"/>
      <c r="W1817" s="269"/>
      <c r="X1817" s="275"/>
      <c r="Y1817" s="269"/>
      <c r="Z1817" s="357"/>
      <c r="AA1817" s="207"/>
      <c r="AB1817" s="369"/>
      <c r="AC1817" s="370"/>
      <c r="AD1817" s="332"/>
      <c r="AE1817" s="216"/>
      <c r="AF1817" s="43"/>
      <c r="AG1817" s="47"/>
      <c r="AH1817" s="30"/>
      <c r="AI1817" s="30"/>
      <c r="AJ1817" s="30"/>
      <c r="AK1817" s="30"/>
      <c r="AL1817" s="13"/>
      <c r="AM1817" s="13"/>
      <c r="AN1817" s="13"/>
      <c r="AO1817" s="13"/>
      <c r="AP1817" s="13"/>
      <c r="AQ1817" s="14"/>
      <c r="AR1817" s="15"/>
    </row>
    <row r="1818" spans="1:44" s="17" customFormat="1" ht="30.95" hidden="1" customHeight="1" x14ac:dyDescent="0.2">
      <c r="A1818" s="320" t="s">
        <v>539</v>
      </c>
      <c r="B1818" s="321" t="s">
        <v>445</v>
      </c>
      <c r="C1818" s="345"/>
      <c r="D1818" s="398">
        <v>3766744</v>
      </c>
      <c r="E1818" s="31">
        <v>4151774</v>
      </c>
      <c r="F1818" s="268" t="str">
        <f>IF(D1818="","",VLOOKUP(D1818,契約台帳!$A$3:$K$4986,6,FALSE)&amp;VLOOKUP(D1818,契約台帳!$A$3:$K$4986,7,FALSE)&amp;VLOOKUP(D1818,契約台帳!$A$3:$K$4986,8,FALSE)&amp;VLOOKUP(D1818,契約台帳!$A$3:$K$4986,9,FALSE)&amp;VLOOKUP(D1818,契約台帳!$A$3:$K$4986,11,FALSE))</f>
        <v>3TYKNZMCR</v>
      </c>
      <c r="G1818" s="269" t="str">
        <f>IF(D1818="","",VLOOKUP(F1818,製品マスタ!$G$5:$H$5002,2,FALSE))</f>
        <v>T</v>
      </c>
      <c r="H1818" s="269" t="str">
        <f>IF(D1818="","",VLOOKUP(F1818,製品マスタ!$G$5:$K$5002,5,FALSE))</f>
        <v>MCR</v>
      </c>
      <c r="I1818" s="270" t="str">
        <f>IF(D1818="","",VLOOKUP(F1818,製品マスタ!$G$5:$L$5002,6,FALSE))</f>
        <v>Metalumy CR</v>
      </c>
      <c r="J1818" s="32" t="s">
        <v>447</v>
      </c>
      <c r="K1818" s="270">
        <f>IF(D1818="","",VLOOKUP(D1818,契約台帳!$A$3:$L$4986,12,FALSE))</f>
        <v>25</v>
      </c>
      <c r="L1818" s="270" t="str">
        <f>IF(D1818="","",INDEX(製品マスタ!$Q$5:$Q$5002,MATCH(F1818&amp;K1818,製品マスタ!$AO$5:$AO$5002,0)))</f>
        <v>S28M</v>
      </c>
      <c r="M1818" s="39">
        <v>1110</v>
      </c>
      <c r="N1818" s="39">
        <v>12100</v>
      </c>
      <c r="O1818" s="47">
        <v>5</v>
      </c>
      <c r="P1818" s="57"/>
      <c r="Q1818" s="276">
        <f>IF(D1818="","",IF(J1818="リード付け",M1818,VLOOKUP(D1818,契約台帳!$A$3:$N$4986,14,FALSE)))</f>
        <v>1050</v>
      </c>
      <c r="R1818" s="277">
        <f>IF(D1818="","",IF(J1818="リード付け",M1818,VLOOKUP(D1818,契約台帳!$A$3:$O$4986,15,FALSE)))</f>
        <v>1050</v>
      </c>
      <c r="S1818" s="277">
        <f>IF(D1818="","",IF(J1818="リード付け",N1818,VLOOKUP(D1818,契約台帳!$A$3:$P$4986,16,FALSE)))</f>
        <v>6000</v>
      </c>
      <c r="T1818" s="40">
        <v>10</v>
      </c>
      <c r="U1818" s="278" t="str">
        <f ca="1">IF(D1818="","",IF(OFFSET(D1818,-2,0)=D1818,"",VLOOKUP(D1818,契約台帳!$A$3:$R$4986,18,FALSE)))</f>
        <v/>
      </c>
      <c r="V1818" s="269" t="str">
        <f>IF(J1818="巻返し",VLOOKUP(F1818&amp;K1818&amp;M1818,製品マスタ!$M$5:$AD$5002,18,FALSE),IF(J1818="リード付け","原反コア",IF(J1818="スリット",VLOOKUP(F1818&amp;K1818&amp;Q1818,製品マスタ!$N$5:$AD$5002,17,FALSE),"")))</f>
        <v>6ｲﾝﾁABS</v>
      </c>
      <c r="W1818" s="269">
        <f>IF(J1818="巻返し",VLOOKUP(F1818&amp;K1818&amp;M1818,製品マスタ!$M$5:$AE$5002,19,FALSE),IF(J1818="リード付け","-",IF(J1818="スリット",VLOOKUP(F1818&amp;K1818&amp;Q1818,製品マスタ!$N$5:$AE$5002,18,FALSE),"")))</f>
        <v>1250</v>
      </c>
      <c r="X1818" s="275">
        <f>IF(D1818="","",VLOOKUP(D1818,契約台帳!$A$3:$Q$4986,17,FALSE))</f>
        <v>2</v>
      </c>
      <c r="Y1818" s="269" t="str">
        <f>IF(D1818="","",VLOOKUP(D1818,契約台帳!$A$3:$E$4986,5,FALSE))</f>
        <v>日東電工㈱豊橋工場</v>
      </c>
      <c r="Z1818" s="357"/>
      <c r="AA1818" s="207" t="s">
        <v>2814</v>
      </c>
      <c r="AB1818" s="369"/>
      <c r="AC1818" s="370"/>
      <c r="AD1818" s="332"/>
      <c r="AE1818" s="216"/>
      <c r="AF1818" s="43"/>
      <c r="AG1818" s="47"/>
      <c r="AH1818" s="30"/>
      <c r="AI1818" s="30"/>
      <c r="AJ1818" s="30"/>
      <c r="AK1818" s="30"/>
      <c r="AL1818" s="13"/>
      <c r="AM1818" s="13"/>
      <c r="AN1818" s="13"/>
      <c r="AO1818" s="13"/>
      <c r="AP1818" s="13"/>
      <c r="AQ1818" s="14"/>
      <c r="AR1818" s="15"/>
    </row>
    <row r="1819" spans="1:44" s="17" customFormat="1" ht="30.95" hidden="1" customHeight="1" x14ac:dyDescent="0.2">
      <c r="A1819" s="343"/>
      <c r="B1819" s="344"/>
      <c r="C1819" s="345"/>
      <c r="D1819" s="398"/>
      <c r="E1819" s="31"/>
      <c r="F1819" s="268"/>
      <c r="G1819" s="269"/>
      <c r="H1819" s="269"/>
      <c r="I1819" s="270"/>
      <c r="J1819" s="32"/>
      <c r="K1819" s="270"/>
      <c r="L1819" s="270"/>
      <c r="M1819" s="39"/>
      <c r="N1819" s="39"/>
      <c r="O1819" s="47"/>
      <c r="P1819" s="57"/>
      <c r="Q1819" s="276"/>
      <c r="R1819" s="277"/>
      <c r="S1819" s="277"/>
      <c r="T1819" s="40"/>
      <c r="U1819" s="278"/>
      <c r="V1819" s="269"/>
      <c r="W1819" s="269"/>
      <c r="X1819" s="275"/>
      <c r="Y1819" s="269"/>
      <c r="Z1819" s="357"/>
      <c r="AA1819" s="207"/>
      <c r="AB1819" s="369"/>
      <c r="AC1819" s="370"/>
      <c r="AD1819" s="332"/>
      <c r="AE1819" s="216"/>
      <c r="AF1819" s="43"/>
      <c r="AG1819" s="47"/>
      <c r="AH1819" s="30"/>
      <c r="AI1819" s="30"/>
      <c r="AJ1819" s="30"/>
      <c r="AK1819" s="30"/>
      <c r="AL1819" s="13"/>
      <c r="AM1819" s="13"/>
      <c r="AN1819" s="13"/>
      <c r="AO1819" s="13"/>
      <c r="AP1819" s="13"/>
      <c r="AQ1819" s="14"/>
      <c r="AR1819" s="15"/>
    </row>
    <row r="1820" spans="1:44" s="17" customFormat="1" ht="30.95" hidden="1" customHeight="1" x14ac:dyDescent="0.2">
      <c r="A1820" s="343" t="s">
        <v>3056</v>
      </c>
      <c r="B1820" s="344" t="s">
        <v>3045</v>
      </c>
      <c r="C1820" s="345"/>
      <c r="D1820" s="398"/>
      <c r="E1820" s="31"/>
      <c r="F1820" s="268"/>
      <c r="G1820" s="269"/>
      <c r="H1820" s="269"/>
      <c r="I1820" s="270"/>
      <c r="J1820" s="32" t="s">
        <v>448</v>
      </c>
      <c r="K1820" s="270"/>
      <c r="L1820" s="270"/>
      <c r="M1820" s="39"/>
      <c r="N1820" s="39"/>
      <c r="O1820" s="47"/>
      <c r="P1820" s="57"/>
      <c r="Q1820" s="276"/>
      <c r="R1820" s="277"/>
      <c r="S1820" s="277"/>
      <c r="T1820" s="40"/>
      <c r="U1820" s="278"/>
      <c r="V1820" s="269"/>
      <c r="W1820" s="269"/>
      <c r="X1820" s="275"/>
      <c r="Y1820" s="269"/>
      <c r="Z1820" s="357"/>
      <c r="AA1820" s="207"/>
      <c r="AB1820" s="369"/>
      <c r="AC1820" s="370"/>
      <c r="AD1820" s="332"/>
      <c r="AE1820" s="216"/>
      <c r="AF1820" s="43"/>
      <c r="AG1820" s="47"/>
      <c r="AH1820" s="30"/>
      <c r="AI1820" s="30"/>
      <c r="AJ1820" s="30"/>
      <c r="AK1820" s="30"/>
      <c r="AL1820" s="13"/>
      <c r="AM1820" s="13"/>
      <c r="AN1820" s="13"/>
      <c r="AO1820" s="13"/>
      <c r="AP1820" s="13"/>
      <c r="AQ1820" s="14"/>
      <c r="AR1820" s="15"/>
    </row>
    <row r="1821" spans="1:44" s="17" customFormat="1" ht="30.95" hidden="1" customHeight="1" x14ac:dyDescent="0.2">
      <c r="A1821" s="343"/>
      <c r="B1821" s="344"/>
      <c r="C1821" s="345"/>
      <c r="D1821" s="398"/>
      <c r="E1821" s="31"/>
      <c r="F1821" s="268"/>
      <c r="G1821" s="269"/>
      <c r="H1821" s="269"/>
      <c r="I1821" s="270"/>
      <c r="J1821" s="32"/>
      <c r="K1821" s="270"/>
      <c r="L1821" s="270"/>
      <c r="M1821" s="39"/>
      <c r="N1821" s="39"/>
      <c r="O1821" s="47"/>
      <c r="P1821" s="57"/>
      <c r="Q1821" s="276"/>
      <c r="R1821" s="277"/>
      <c r="S1821" s="277"/>
      <c r="T1821" s="40"/>
      <c r="U1821" s="278"/>
      <c r="V1821" s="269"/>
      <c r="W1821" s="269"/>
      <c r="X1821" s="275"/>
      <c r="Y1821" s="269"/>
      <c r="Z1821" s="357"/>
      <c r="AA1821" s="207"/>
      <c r="AB1821" s="369"/>
      <c r="AC1821" s="370"/>
      <c r="AD1821" s="332"/>
      <c r="AE1821" s="216"/>
      <c r="AF1821" s="43"/>
      <c r="AG1821" s="47"/>
      <c r="AH1821" s="30"/>
      <c r="AI1821" s="30"/>
      <c r="AJ1821" s="30"/>
      <c r="AK1821" s="30"/>
      <c r="AL1821" s="13"/>
      <c r="AM1821" s="13"/>
      <c r="AN1821" s="13"/>
      <c r="AO1821" s="13"/>
      <c r="AP1821" s="13"/>
      <c r="AQ1821" s="14"/>
      <c r="AR1821" s="15"/>
    </row>
    <row r="1822" spans="1:44" s="17" customFormat="1" ht="30.95" hidden="1" customHeight="1" x14ac:dyDescent="0.2">
      <c r="A1822" s="320" t="s">
        <v>540</v>
      </c>
      <c r="B1822" s="321" t="s">
        <v>462</v>
      </c>
      <c r="C1822" s="345"/>
      <c r="D1822" s="398">
        <v>3766744</v>
      </c>
      <c r="E1822" s="31">
        <v>4151774</v>
      </c>
      <c r="F1822" s="268" t="str">
        <f>IF(D1822="","",VLOOKUP(D1822,契約台帳!$A$3:$K$4986,6,FALSE)&amp;VLOOKUP(D1822,契約台帳!$A$3:$K$4986,7,FALSE)&amp;VLOOKUP(D1822,契約台帳!$A$3:$K$4986,8,FALSE)&amp;VLOOKUP(D1822,契約台帳!$A$3:$K$4986,9,FALSE)&amp;VLOOKUP(D1822,契約台帳!$A$3:$K$4986,11,FALSE))</f>
        <v>3TYKNZMCR</v>
      </c>
      <c r="G1822" s="269" t="str">
        <f>IF(D1822="","",VLOOKUP(F1822,製品マスタ!$G$5:$H$5002,2,FALSE))</f>
        <v>T</v>
      </c>
      <c r="H1822" s="269" t="str">
        <f>IF(D1822="","",VLOOKUP(F1822,製品マスタ!$G$5:$K$5002,5,FALSE))</f>
        <v>MCR</v>
      </c>
      <c r="I1822" s="270" t="str">
        <f>IF(D1822="","",VLOOKUP(F1822,製品マスタ!$G$5:$L$5002,6,FALSE))</f>
        <v>Metalumy CR</v>
      </c>
      <c r="J1822" s="32" t="s">
        <v>447</v>
      </c>
      <c r="K1822" s="270">
        <f>IF(D1822="","",VLOOKUP(D1822,契約台帳!$A$3:$L$4986,12,FALSE))</f>
        <v>25</v>
      </c>
      <c r="L1822" s="270" t="str">
        <f>IF(D1822="","",INDEX(製品マスタ!$Q$5:$Q$5002,MATCH(F1822&amp;K1822,製品マスタ!$AO$5:$AO$5002,0)))</f>
        <v>S28M</v>
      </c>
      <c r="M1822" s="39">
        <v>1110</v>
      </c>
      <c r="N1822" s="39">
        <v>12100</v>
      </c>
      <c r="O1822" s="47">
        <v>5</v>
      </c>
      <c r="P1822" s="57"/>
      <c r="Q1822" s="276">
        <f>IF(D1822="","",IF(J1822="リード付け",M1822,VLOOKUP(D1822,契約台帳!$A$3:$N$4986,14,FALSE)))</f>
        <v>1050</v>
      </c>
      <c r="R1822" s="277">
        <f>IF(D1822="","",IF(J1822="リード付け",M1822,VLOOKUP(D1822,契約台帳!$A$3:$O$4986,15,FALSE)))</f>
        <v>1050</v>
      </c>
      <c r="S1822" s="277">
        <f>IF(D1822="","",IF(J1822="リード付け",N1822,VLOOKUP(D1822,契約台帳!$A$3:$P$4986,16,FALSE)))</f>
        <v>6000</v>
      </c>
      <c r="T1822" s="40">
        <v>10</v>
      </c>
      <c r="U1822" s="278">
        <f ca="1">IF(D1822="","",IF(OFFSET(D1822,-2,0)=D1822,"",VLOOKUP(D1822,契約台帳!$A$3:$R$4986,18,FALSE)))</f>
        <v>26</v>
      </c>
      <c r="V1822" s="269" t="str">
        <f>IF(J1822="巻返し",VLOOKUP(F1822&amp;K1822&amp;M1822,製品マスタ!$M$5:$AD$5002,18,FALSE),IF(J1822="リード付け","原反コア",IF(J1822="スリット",VLOOKUP(F1822&amp;K1822&amp;Q1822,製品マスタ!$N$5:$AD$5002,17,FALSE),"")))</f>
        <v>6ｲﾝﾁABS</v>
      </c>
      <c r="W1822" s="269">
        <f>IF(J1822="巻返し",VLOOKUP(F1822&amp;K1822&amp;M1822,製品マスタ!$M$5:$AE$5002,19,FALSE),IF(J1822="リード付け","-",IF(J1822="スリット",VLOOKUP(F1822&amp;K1822&amp;Q1822,製品マスタ!$N$5:$AE$5002,18,FALSE),"")))</f>
        <v>1250</v>
      </c>
      <c r="X1822" s="275">
        <f>IF(D1822="","",VLOOKUP(D1822,契約台帳!$A$3:$Q$4986,17,FALSE))</f>
        <v>2</v>
      </c>
      <c r="Y1822" s="269" t="str">
        <f>IF(D1822="","",VLOOKUP(D1822,契約台帳!$A$3:$E$4986,5,FALSE))</f>
        <v>日東電工㈱豊橋工場</v>
      </c>
      <c r="Z1822" s="357"/>
      <c r="AA1822" s="207" t="s">
        <v>2814</v>
      </c>
      <c r="AB1822" s="369"/>
      <c r="AC1822" s="370"/>
      <c r="AD1822" s="332"/>
      <c r="AE1822" s="216"/>
      <c r="AF1822" s="43"/>
      <c r="AG1822" s="47"/>
      <c r="AH1822" s="30"/>
      <c r="AI1822" s="30"/>
      <c r="AJ1822" s="30"/>
      <c r="AK1822" s="30"/>
      <c r="AL1822" s="13"/>
      <c r="AM1822" s="13"/>
      <c r="AN1822" s="13"/>
      <c r="AO1822" s="13"/>
      <c r="AP1822" s="13"/>
      <c r="AQ1822" s="14"/>
      <c r="AR1822" s="15"/>
    </row>
    <row r="1823" spans="1:44" s="17" customFormat="1" ht="30.95" hidden="1" customHeight="1" x14ac:dyDescent="0.2">
      <c r="A1823" s="343"/>
      <c r="B1823" s="344"/>
      <c r="C1823" s="345"/>
      <c r="D1823" s="398"/>
      <c r="E1823" s="31"/>
      <c r="F1823" s="268"/>
      <c r="G1823" s="269"/>
      <c r="H1823" s="269"/>
      <c r="I1823" s="270"/>
      <c r="J1823" s="32"/>
      <c r="K1823" s="270"/>
      <c r="L1823" s="270"/>
      <c r="M1823" s="39"/>
      <c r="N1823" s="39"/>
      <c r="O1823" s="47"/>
      <c r="P1823" s="57"/>
      <c r="Q1823" s="276"/>
      <c r="R1823" s="277"/>
      <c r="S1823" s="277"/>
      <c r="T1823" s="40"/>
      <c r="U1823" s="278"/>
      <c r="V1823" s="269"/>
      <c r="W1823" s="269"/>
      <c r="X1823" s="275"/>
      <c r="Y1823" s="269"/>
      <c r="Z1823" s="357"/>
      <c r="AA1823" s="207"/>
      <c r="AB1823" s="369"/>
      <c r="AC1823" s="370"/>
      <c r="AD1823" s="332"/>
      <c r="AE1823" s="216"/>
      <c r="AF1823" s="43"/>
      <c r="AG1823" s="47"/>
      <c r="AH1823" s="30"/>
      <c r="AI1823" s="30"/>
      <c r="AJ1823" s="30"/>
      <c r="AK1823" s="30"/>
      <c r="AL1823" s="13"/>
      <c r="AM1823" s="13"/>
      <c r="AN1823" s="13"/>
      <c r="AO1823" s="13"/>
      <c r="AP1823" s="13"/>
      <c r="AQ1823" s="14"/>
      <c r="AR1823" s="15"/>
    </row>
    <row r="1824" spans="1:44" s="17" customFormat="1" ht="30.6" hidden="1" customHeight="1" x14ac:dyDescent="0.2">
      <c r="A1824" s="320" t="s">
        <v>3062</v>
      </c>
      <c r="B1824" s="321" t="s">
        <v>3063</v>
      </c>
      <c r="C1824" s="345"/>
      <c r="D1824" s="398">
        <v>3767089</v>
      </c>
      <c r="E1824" s="31">
        <v>4151771</v>
      </c>
      <c r="F1824" s="268" t="str">
        <f>IF(D1824="","",VLOOKUP(D1824,契約台帳!$A$3:$K$4986,6,FALSE)&amp;VLOOKUP(D1824,契約台帳!$A$3:$K$4986,7,FALSE)&amp;VLOOKUP(D1824,契約台帳!$A$3:$K$4986,8,FALSE)&amp;VLOOKUP(D1824,契約台帳!$A$3:$K$4986,9,FALSE)&amp;VLOOKUP(D1824,契約台帳!$A$3:$K$4986,11,FALSE))</f>
        <v>3SYMLBMSNMBF</v>
      </c>
      <c r="G1824" s="269" t="str">
        <f>IF(D1824="","",VLOOKUP(F1824,製品マスタ!$G$5:$H$5002,2,FALSE))</f>
        <v>S</v>
      </c>
      <c r="H1824" s="269" t="str">
        <f>IF(D1824="","",VLOOKUP(F1824,製品マスタ!$G$5:$K$5002,5,FALSE))</f>
        <v>MSNMBF</v>
      </c>
      <c r="I1824" s="270" t="str">
        <f>IF(D1824="","",VLOOKUP(F1824,製品マスタ!$G$5:$L$5002,6,FALSE))</f>
        <v>ＭＥＴＡＬＵＭＹ　ＳＩＬＶＥＲ　Ｎ－ＭＡＴＴＥ　Ｘ４４Ｍ　Ｂ</v>
      </c>
      <c r="J1824" s="32" t="s">
        <v>447</v>
      </c>
      <c r="K1824" s="270">
        <f>IF(D1824="","",VLOOKUP(D1824,契約台帳!$A$3:$L$4986,12,FALSE))</f>
        <v>50</v>
      </c>
      <c r="L1824" s="270" t="str">
        <f>IF(D1824="","",INDEX(製品マスタ!$Q$5:$Q$5002,MATCH(F1824&amp;K1824,製品マスタ!$AO$5:$AO$5002,0)))</f>
        <v>X44</v>
      </c>
      <c r="M1824" s="39">
        <v>1120</v>
      </c>
      <c r="N1824" s="39">
        <v>12000</v>
      </c>
      <c r="O1824" s="47">
        <v>1</v>
      </c>
      <c r="P1824" s="57"/>
      <c r="Q1824" s="276">
        <f>IF(D1824="","",IF(J1824="リード付け",M1824,VLOOKUP(D1824,契約台帳!$A$3:$N$4986,14,FALSE)))</f>
        <v>1120</v>
      </c>
      <c r="R1824" s="277">
        <f>IF(D1824="","",IF(J1824="リード付け",M1824,VLOOKUP(D1824,契約台帳!$A$3:$O$4986,15,FALSE)))</f>
        <v>1120</v>
      </c>
      <c r="S1824" s="277">
        <f>IF(D1824="","",IF(J1824="リード付け",N1824,VLOOKUP(D1824,契約台帳!$A$3:$P$4986,16,FALSE)))</f>
        <v>4000</v>
      </c>
      <c r="T1824" s="40">
        <v>3</v>
      </c>
      <c r="U1824" s="278">
        <f ca="1">IF(D1824="","",IF(OFFSET(D1824,-2,0)=D1824,"",VLOOKUP(D1824,契約台帳!$A$3:$R$4986,18,FALSE)))</f>
        <v>4</v>
      </c>
      <c r="V1824" s="269" t="str">
        <f>IF(J1824="巻返し",VLOOKUP(F1824&amp;K1824&amp;M1824,製品マスタ!$M$5:$AD$5002,18,FALSE),IF(J1824="リード付け","原反コア",IF(J1824="スリット",VLOOKUP(F1824&amp;K1824&amp;Q1824,製品マスタ!$N$5:$AD$5002,17,FALSE),"")))</f>
        <v>6ｲﾝﾁMｺｱ</v>
      </c>
      <c r="W1824" s="269">
        <f>IF(J1824="巻返し",VLOOKUP(F1824&amp;K1824&amp;M1824,製品マスタ!$M$5:$AE$5002,19,FALSE),IF(J1824="リード付け","-",IF(J1824="スリット",VLOOKUP(F1824&amp;K1824&amp;Q1824,製品マスタ!$N$5:$AE$5002,18,FALSE),"")))</f>
        <v>1125</v>
      </c>
      <c r="X1824" s="275">
        <f>IF(D1824="","",VLOOKUP(D1824,契約台帳!$A$3:$Q$4986,17,FALSE))</f>
        <v>2</v>
      </c>
      <c r="Y1824" s="269" t="str">
        <f>IF(D1824="","",VLOOKUP(D1824,契約台帳!$A$3:$E$4986,5,FALSE))</f>
        <v>リンテック㈱</v>
      </c>
      <c r="Z1824" s="357"/>
      <c r="AA1824" s="207"/>
      <c r="AB1824" s="369"/>
      <c r="AC1824" s="370"/>
      <c r="AD1824" s="332" t="str">
        <f>IF(F1824="","",+F1824&amp;K1824)</f>
        <v>3SYMLBMSNMBF50</v>
      </c>
      <c r="AE1824" s="216">
        <f>+M1824*N1824*O1824/1000</f>
        <v>13440</v>
      </c>
      <c r="AF1824" s="43">
        <f>IF(AD1824="","",VLOOKUP(AD1824,原価マスタ!$A$2:$AJ$1693,13,FALSE))</f>
        <v>98.8</v>
      </c>
      <c r="AG1824" s="47">
        <f>IF(AF1824="","",+AE1824*AF1824/100)</f>
        <v>13278.72</v>
      </c>
      <c r="AH1824" s="30"/>
      <c r="AI1824" s="30"/>
      <c r="AJ1824" s="30"/>
      <c r="AK1824" s="30"/>
      <c r="AL1824" s="13"/>
      <c r="AM1824" s="13"/>
      <c r="AN1824" s="13"/>
      <c r="AO1824" s="13"/>
      <c r="AP1824" s="13"/>
      <c r="AQ1824" s="14"/>
      <c r="AR1824" s="15"/>
    </row>
    <row r="1825" spans="1:44" s="17" customFormat="1" ht="30.95" hidden="1" customHeight="1" x14ac:dyDescent="0.2">
      <c r="A1825" s="343"/>
      <c r="B1825" s="344"/>
      <c r="C1825" s="345"/>
      <c r="D1825" s="398"/>
      <c r="E1825" s="31"/>
      <c r="F1825" s="268"/>
      <c r="G1825" s="269"/>
      <c r="H1825" s="269"/>
      <c r="I1825" s="270"/>
      <c r="J1825" s="32"/>
      <c r="K1825" s="270"/>
      <c r="L1825" s="270"/>
      <c r="M1825" s="39"/>
      <c r="N1825" s="39"/>
      <c r="O1825" s="47"/>
      <c r="P1825" s="57"/>
      <c r="Q1825" s="276"/>
      <c r="R1825" s="277"/>
      <c r="S1825" s="277"/>
      <c r="T1825" s="40"/>
      <c r="U1825" s="278"/>
      <c r="V1825" s="269"/>
      <c r="W1825" s="269"/>
      <c r="X1825" s="275"/>
      <c r="Y1825" s="269"/>
      <c r="Z1825" s="357"/>
      <c r="AA1825" s="207"/>
      <c r="AB1825" s="369"/>
      <c r="AC1825" s="370"/>
      <c r="AD1825" s="332"/>
      <c r="AE1825" s="216"/>
      <c r="AF1825" s="43"/>
      <c r="AG1825" s="47"/>
      <c r="AH1825" s="30"/>
      <c r="AI1825" s="30"/>
      <c r="AJ1825" s="30"/>
      <c r="AK1825" s="30"/>
      <c r="AL1825" s="13"/>
      <c r="AM1825" s="13"/>
      <c r="AN1825" s="13"/>
      <c r="AO1825" s="13"/>
      <c r="AP1825" s="13"/>
      <c r="AQ1825" s="14"/>
      <c r="AR1825" s="15"/>
    </row>
    <row r="1826" spans="1:44" s="17" customFormat="1" ht="30.6" hidden="1" customHeight="1" x14ac:dyDescent="0.2">
      <c r="A1826" s="320"/>
      <c r="B1826" s="321"/>
      <c r="C1826" s="345"/>
      <c r="D1826" s="398">
        <v>3767089</v>
      </c>
      <c r="E1826" s="31">
        <v>4151771</v>
      </c>
      <c r="F1826" s="268" t="str">
        <f>IF(D1826="","",VLOOKUP(D1826,契約台帳!$A$3:$K$4986,6,FALSE)&amp;VLOOKUP(D1826,契約台帳!$A$3:$K$4986,7,FALSE)&amp;VLOOKUP(D1826,契約台帳!$A$3:$K$4986,8,FALSE)&amp;VLOOKUP(D1826,契約台帳!$A$3:$K$4986,9,FALSE)&amp;VLOOKUP(D1826,契約台帳!$A$3:$K$4986,11,FALSE))</f>
        <v>3SYMLBMSNMBF</v>
      </c>
      <c r="G1826" s="269" t="str">
        <f>IF(D1826="","",VLOOKUP(F1826,製品マスタ!$G$5:$H$5002,2,FALSE))</f>
        <v>S</v>
      </c>
      <c r="H1826" s="269" t="str">
        <f>IF(D1826="","",VLOOKUP(F1826,製品マスタ!$G$5:$K$5002,5,FALSE))</f>
        <v>MSNMBF</v>
      </c>
      <c r="I1826" s="270" t="str">
        <f>IF(D1826="","",VLOOKUP(F1826,製品マスタ!$G$5:$L$5002,6,FALSE))</f>
        <v>ＭＥＴＡＬＵＭＹ　ＳＩＬＶＥＲ　Ｎ－ＭＡＴＴＥ　Ｘ４４Ｍ　Ｂ</v>
      </c>
      <c r="J1826" s="32" t="s">
        <v>447</v>
      </c>
      <c r="K1826" s="270">
        <f>IF(D1826="","",VLOOKUP(D1826,契約台帳!$A$3:$L$4986,12,FALSE))</f>
        <v>50</v>
      </c>
      <c r="L1826" s="270" t="str">
        <f>IF(D1826="","",INDEX(製品マスタ!$Q$5:$Q$5002,MATCH(F1826&amp;K1826,製品マスタ!$AO$5:$AO$5002,0)))</f>
        <v>X44</v>
      </c>
      <c r="M1826" s="39">
        <v>1120</v>
      </c>
      <c r="N1826" s="39">
        <v>12000</v>
      </c>
      <c r="O1826" s="47">
        <v>1</v>
      </c>
      <c r="P1826" s="57"/>
      <c r="Q1826" s="276">
        <f>IF(D1826="","",IF(J1826="リード付け",M1826,VLOOKUP(D1826,契約台帳!$A$3:$N$4986,14,FALSE)))</f>
        <v>1120</v>
      </c>
      <c r="R1826" s="277">
        <f>IF(D1826="","",IF(J1826="リード付け",M1826,VLOOKUP(D1826,契約台帳!$A$3:$O$4986,15,FALSE)))</f>
        <v>1120</v>
      </c>
      <c r="S1826" s="277">
        <f>IF(D1826="","",IF(J1826="リード付け",N1826,VLOOKUP(D1826,契約台帳!$A$3:$P$4986,16,FALSE)))</f>
        <v>4000</v>
      </c>
      <c r="T1826" s="40">
        <v>1</v>
      </c>
      <c r="U1826" s="278" t="str">
        <f ca="1">IF(D1826="","",IF(OFFSET(D1826,-2,0)=D1826,"",VLOOKUP(D1826,契約台帳!$A$3:$R$4986,18,FALSE)))</f>
        <v/>
      </c>
      <c r="V1826" s="269" t="str">
        <f>IF(J1826="巻返し",VLOOKUP(F1826&amp;K1826&amp;M1826,製品マスタ!$M$5:$AD$5002,18,FALSE),IF(J1826="リード付け","原反コア",IF(J1826="スリット",VLOOKUP(F1826&amp;K1826&amp;Q1826,製品マスタ!$N$5:$AD$5002,17,FALSE),"")))</f>
        <v>6ｲﾝﾁMｺｱ</v>
      </c>
      <c r="W1826" s="269">
        <f>IF(J1826="巻返し",VLOOKUP(F1826&amp;K1826&amp;M1826,製品マスタ!$M$5:$AE$5002,19,FALSE),IF(J1826="リード付け","-",IF(J1826="スリット",VLOOKUP(F1826&amp;K1826&amp;Q1826,製品マスタ!$N$5:$AE$5002,18,FALSE),"")))</f>
        <v>1125</v>
      </c>
      <c r="X1826" s="275">
        <f>IF(D1826="","",VLOOKUP(D1826,契約台帳!$A$3:$Q$4986,17,FALSE))</f>
        <v>2</v>
      </c>
      <c r="Y1826" s="269" t="str">
        <f>IF(D1826="","",VLOOKUP(D1826,契約台帳!$A$3:$E$4986,5,FALSE))</f>
        <v>リンテック㈱</v>
      </c>
      <c r="Z1826" s="357"/>
      <c r="AA1826" s="207"/>
      <c r="AB1826" s="369"/>
      <c r="AC1826" s="370"/>
      <c r="AD1826" s="332" t="str">
        <f>IF(F1826="","",+F1826&amp;K1826)</f>
        <v>3SYMLBMSNMBF50</v>
      </c>
      <c r="AE1826" s="216">
        <f>+M1826*N1826*O1826/1000</f>
        <v>13440</v>
      </c>
      <c r="AF1826" s="43">
        <f>IF(AD1826="","",VLOOKUP(AD1826,原価マスタ!$A$2:$AJ$1693,13,FALSE))</f>
        <v>98.8</v>
      </c>
      <c r="AG1826" s="47">
        <f>IF(AF1826="","",+AE1826*AF1826/100)</f>
        <v>13278.72</v>
      </c>
      <c r="AH1826" s="30"/>
      <c r="AI1826" s="30"/>
      <c r="AJ1826" s="30"/>
      <c r="AK1826" s="30"/>
      <c r="AL1826" s="13"/>
      <c r="AM1826" s="13"/>
      <c r="AN1826" s="13"/>
      <c r="AO1826" s="13"/>
      <c r="AP1826" s="13"/>
      <c r="AQ1826" s="14"/>
      <c r="AR1826" s="15"/>
    </row>
    <row r="1827" spans="1:44" s="17" customFormat="1" ht="30.6" hidden="1" customHeight="1" x14ac:dyDescent="0.2">
      <c r="A1827" s="320"/>
      <c r="B1827" s="321"/>
      <c r="C1827" s="345"/>
      <c r="D1827" s="398">
        <v>3767090</v>
      </c>
      <c r="E1827" s="31"/>
      <c r="F1827" s="268" t="str">
        <f>IF(D1827="","",VLOOKUP(D1827,契約台帳!$A$3:$K$4986,6,FALSE)&amp;VLOOKUP(D1827,契約台帳!$A$3:$K$4986,7,FALSE)&amp;VLOOKUP(D1827,契約台帳!$A$3:$K$4986,8,FALSE)&amp;VLOOKUP(D1827,契約台帳!$A$3:$K$4986,9,FALSE)&amp;VLOOKUP(D1827,契約台帳!$A$3:$K$4986,11,FALSE))</f>
        <v>3SYMLBMSNMBF</v>
      </c>
      <c r="G1827" s="269" t="str">
        <f>IF(D1827="","",VLOOKUP(F1827,製品マスタ!$G$5:$H$5002,2,FALSE))</f>
        <v>S</v>
      </c>
      <c r="H1827" s="269" t="str">
        <f>IF(D1827="","",VLOOKUP(F1827,製品マスタ!$G$5:$K$5002,5,FALSE))</f>
        <v>MSNMBF</v>
      </c>
      <c r="I1827" s="270" t="str">
        <f>IF(D1827="","",VLOOKUP(F1827,製品マスタ!$G$5:$L$5002,6,FALSE))</f>
        <v>ＭＥＴＡＬＵＭＹ　ＳＩＬＶＥＲ　Ｎ－ＭＡＴＴＥ　Ｘ４４Ｍ　Ｂ</v>
      </c>
      <c r="J1827" s="32" t="s">
        <v>447</v>
      </c>
      <c r="K1827" s="270">
        <f>IF(D1827="","",VLOOKUP(D1827,契約台帳!$A$3:$L$4986,12,FALSE))</f>
        <v>50</v>
      </c>
      <c r="L1827" s="270" t="str">
        <f>IF(D1827="","",INDEX(製品マスタ!$Q$5:$Q$5002,MATCH(F1827&amp;K1827,製品マスタ!$AO$5:$AO$5002,0)))</f>
        <v>X44</v>
      </c>
      <c r="M1827" s="39">
        <v>1120</v>
      </c>
      <c r="N1827" s="39"/>
      <c r="O1827" s="47"/>
      <c r="P1827" s="57"/>
      <c r="Q1827" s="276">
        <f>IF(D1827="","",IF(J1827="リード付け",M1827,VLOOKUP(D1827,契約台帳!$A$3:$N$4986,14,FALSE)))</f>
        <v>1120</v>
      </c>
      <c r="R1827" s="277">
        <f>IF(D1827="","",IF(J1827="リード付け",M1827,VLOOKUP(D1827,契約台帳!$A$3:$O$4986,15,FALSE)))</f>
        <v>1120</v>
      </c>
      <c r="S1827" s="277">
        <f>IF(D1827="","",IF(J1827="リード付け",N1827,VLOOKUP(D1827,契約台帳!$A$3:$P$4986,16,FALSE)))</f>
        <v>4000</v>
      </c>
      <c r="T1827" s="40">
        <v>2</v>
      </c>
      <c r="U1827" s="278">
        <f ca="1">IF(D1827="","",IF(OFFSET(D1827,-2,0)=D1827,"",VLOOKUP(D1827,契約台帳!$A$3:$R$4986,18,FALSE)))</f>
        <v>52</v>
      </c>
      <c r="V1827" s="269" t="str">
        <f>IF(J1827="巻返し",VLOOKUP(F1827&amp;K1827&amp;M1827,製品マスタ!$M$5:$AD$5002,18,FALSE),IF(J1827="リード付け","原反コア",IF(J1827="スリット",VLOOKUP(F1827&amp;K1827&amp;Q1827,製品マスタ!$N$5:$AD$5002,17,FALSE),"")))</f>
        <v>6ｲﾝﾁMｺｱ</v>
      </c>
      <c r="W1827" s="269">
        <f>IF(J1827="巻返し",VLOOKUP(F1827&amp;K1827&amp;M1827,製品マスタ!$M$5:$AE$5002,19,FALSE),IF(J1827="リード付け","-",IF(J1827="スリット",VLOOKUP(F1827&amp;K1827&amp;Q1827,製品マスタ!$N$5:$AE$5002,18,FALSE),"")))</f>
        <v>1125</v>
      </c>
      <c r="X1827" s="275">
        <f>IF(D1827="","",VLOOKUP(D1827,契約台帳!$A$3:$Q$4986,17,FALSE))</f>
        <v>2</v>
      </c>
      <c r="Y1827" s="269" t="str">
        <f>IF(D1827="","",VLOOKUP(D1827,契約台帳!$A$3:$E$4986,5,FALSE))</f>
        <v>リンテック㈱</v>
      </c>
      <c r="Z1827" s="357"/>
      <c r="AA1827" s="207"/>
      <c r="AB1827" s="369"/>
      <c r="AC1827" s="370"/>
      <c r="AD1827" s="332" t="str">
        <f>IF(F1827="","",+F1827&amp;K1827)</f>
        <v>3SYMLBMSNMBF50</v>
      </c>
      <c r="AE1827" s="216">
        <f>+M1827*N1827*O1827/1000</f>
        <v>0</v>
      </c>
      <c r="AF1827" s="43">
        <f>IF(AD1827="","",VLOOKUP(AD1827,原価マスタ!$A$2:$AJ$1693,13,FALSE))</f>
        <v>98.8</v>
      </c>
      <c r="AG1827" s="47">
        <f>IF(AF1827="","",+AE1827*AF1827/100)</f>
        <v>0</v>
      </c>
      <c r="AH1827" s="30"/>
      <c r="AI1827" s="30"/>
      <c r="AJ1827" s="30"/>
      <c r="AK1827" s="30"/>
      <c r="AL1827" s="13"/>
      <c r="AM1827" s="13"/>
      <c r="AN1827" s="13"/>
      <c r="AO1827" s="13"/>
      <c r="AP1827" s="13"/>
      <c r="AQ1827" s="14"/>
      <c r="AR1827" s="15"/>
    </row>
    <row r="1828" spans="1:44" s="17" customFormat="1" ht="30.95" hidden="1" customHeight="1" x14ac:dyDescent="0.2">
      <c r="A1828" s="343"/>
      <c r="B1828" s="344"/>
      <c r="C1828" s="345"/>
      <c r="D1828" s="398"/>
      <c r="E1828" s="31"/>
      <c r="F1828" s="268"/>
      <c r="G1828" s="269"/>
      <c r="H1828" s="269"/>
      <c r="I1828" s="270"/>
      <c r="J1828" s="32"/>
      <c r="K1828" s="270"/>
      <c r="L1828" s="270"/>
      <c r="M1828" s="39"/>
      <c r="N1828" s="39"/>
      <c r="O1828" s="47"/>
      <c r="P1828" s="57"/>
      <c r="Q1828" s="276"/>
      <c r="R1828" s="277"/>
      <c r="S1828" s="277"/>
      <c r="T1828" s="40"/>
      <c r="U1828" s="278"/>
      <c r="V1828" s="269"/>
      <c r="W1828" s="269"/>
      <c r="X1828" s="275"/>
      <c r="Y1828" s="269"/>
      <c r="Z1828" s="357"/>
      <c r="AA1828" s="207"/>
      <c r="AB1828" s="369"/>
      <c r="AC1828" s="370"/>
      <c r="AD1828" s="332"/>
      <c r="AE1828" s="216"/>
      <c r="AF1828" s="43"/>
      <c r="AG1828" s="47"/>
      <c r="AH1828" s="30"/>
      <c r="AI1828" s="30"/>
      <c r="AJ1828" s="30"/>
      <c r="AK1828" s="30"/>
      <c r="AL1828" s="13"/>
      <c r="AM1828" s="13"/>
      <c r="AN1828" s="13"/>
      <c r="AO1828" s="13"/>
      <c r="AP1828" s="13"/>
      <c r="AQ1828" s="14"/>
      <c r="AR1828" s="15"/>
    </row>
    <row r="1829" spans="1:44" s="17" customFormat="1" ht="30.6" hidden="1" customHeight="1" x14ac:dyDescent="0.2">
      <c r="A1829" s="320"/>
      <c r="B1829" s="321"/>
      <c r="C1829" s="345"/>
      <c r="D1829" s="398">
        <v>3767090</v>
      </c>
      <c r="E1829" s="31">
        <v>4151772</v>
      </c>
      <c r="F1829" s="268" t="str">
        <f>IF(D1829="","",VLOOKUP(D1829,契約台帳!$A$3:$K$4986,6,FALSE)&amp;VLOOKUP(D1829,契約台帳!$A$3:$K$4986,7,FALSE)&amp;VLOOKUP(D1829,契約台帳!$A$3:$K$4986,8,FALSE)&amp;VLOOKUP(D1829,契約台帳!$A$3:$K$4986,9,FALSE)&amp;VLOOKUP(D1829,契約台帳!$A$3:$K$4986,11,FALSE))</f>
        <v>3SYMLBMSNMBF</v>
      </c>
      <c r="G1829" s="269" t="str">
        <f>IF(D1829="","",VLOOKUP(F1829,製品マスタ!$G$5:$H$5002,2,FALSE))</f>
        <v>S</v>
      </c>
      <c r="H1829" s="269" t="str">
        <f>IF(D1829="","",VLOOKUP(F1829,製品マスタ!$G$5:$K$5002,5,FALSE))</f>
        <v>MSNMBF</v>
      </c>
      <c r="I1829" s="270" t="str">
        <f>IF(D1829="","",VLOOKUP(F1829,製品マスタ!$G$5:$L$5002,6,FALSE))</f>
        <v>ＭＥＴＡＬＵＭＹ　ＳＩＬＶＥＲ　Ｎ－ＭＡＴＴＥ　Ｘ４４Ｍ　Ｂ</v>
      </c>
      <c r="J1829" s="32" t="s">
        <v>447</v>
      </c>
      <c r="K1829" s="270">
        <f>IF(D1829="","",VLOOKUP(D1829,契約台帳!$A$3:$L$4986,12,FALSE))</f>
        <v>50</v>
      </c>
      <c r="L1829" s="270" t="str">
        <f>IF(D1829="","",INDEX(製品マスタ!$Q$5:$Q$5002,MATCH(F1829&amp;K1829,製品マスタ!$AO$5:$AO$5002,0)))</f>
        <v>X44</v>
      </c>
      <c r="M1829" s="39">
        <v>1120</v>
      </c>
      <c r="N1829" s="39">
        <v>12000</v>
      </c>
      <c r="O1829" s="47">
        <v>4</v>
      </c>
      <c r="P1829" s="57"/>
      <c r="Q1829" s="276">
        <f>IF(D1829="","",IF(J1829="リード付け",M1829,VLOOKUP(D1829,契約台帳!$A$3:$N$4986,14,FALSE)))</f>
        <v>1120</v>
      </c>
      <c r="R1829" s="277">
        <f>IF(D1829="","",IF(J1829="リード付け",M1829,VLOOKUP(D1829,契約台帳!$A$3:$O$4986,15,FALSE)))</f>
        <v>1120</v>
      </c>
      <c r="S1829" s="277">
        <f>IF(D1829="","",IF(J1829="リード付け",N1829,VLOOKUP(D1829,契約台帳!$A$3:$P$4986,16,FALSE)))</f>
        <v>4000</v>
      </c>
      <c r="T1829" s="40">
        <v>12</v>
      </c>
      <c r="U1829" s="278" t="str">
        <f ca="1">IF(D1829="","",IF(OFFSET(D1829,-2,0)=D1829,"",VLOOKUP(D1829,契約台帳!$A$3:$R$4986,18,FALSE)))</f>
        <v/>
      </c>
      <c r="V1829" s="269" t="str">
        <f>IF(J1829="巻返し",VLOOKUP(F1829&amp;K1829&amp;M1829,製品マスタ!$M$5:$AD$5002,18,FALSE),IF(J1829="リード付け","原反コア",IF(J1829="スリット",VLOOKUP(F1829&amp;K1829&amp;Q1829,製品マスタ!$N$5:$AD$5002,17,FALSE),"")))</f>
        <v>6ｲﾝﾁMｺｱ</v>
      </c>
      <c r="W1829" s="269">
        <f>IF(J1829="巻返し",VLOOKUP(F1829&amp;K1829&amp;M1829,製品マスタ!$M$5:$AE$5002,19,FALSE),IF(J1829="リード付け","-",IF(J1829="スリット",VLOOKUP(F1829&amp;K1829&amp;Q1829,製品マスタ!$N$5:$AE$5002,18,FALSE),"")))</f>
        <v>1125</v>
      </c>
      <c r="X1829" s="275">
        <f>IF(D1829="","",VLOOKUP(D1829,契約台帳!$A$3:$Q$4986,17,FALSE))</f>
        <v>2</v>
      </c>
      <c r="Y1829" s="269" t="str">
        <f>IF(D1829="","",VLOOKUP(D1829,契約台帳!$A$3:$E$4986,5,FALSE))</f>
        <v>リンテック㈱</v>
      </c>
      <c r="Z1829" s="357"/>
      <c r="AA1829" s="207"/>
      <c r="AB1829" s="369"/>
      <c r="AC1829" s="370"/>
      <c r="AD1829" s="332" t="str">
        <f>IF(F1829="","",+F1829&amp;K1829)</f>
        <v>3SYMLBMSNMBF50</v>
      </c>
      <c r="AE1829" s="216">
        <f>+M1829*N1829*O1829/1000</f>
        <v>53760</v>
      </c>
      <c r="AF1829" s="43">
        <f>IF(AD1829="","",VLOOKUP(AD1829,原価マスタ!$A$2:$AJ$1693,13,FALSE))</f>
        <v>98.8</v>
      </c>
      <c r="AG1829" s="47">
        <f>IF(AF1829="","",+AE1829*AF1829/100)</f>
        <v>53114.879999999997</v>
      </c>
      <c r="AH1829" s="30"/>
      <c r="AI1829" s="30"/>
      <c r="AJ1829" s="30"/>
      <c r="AK1829" s="30"/>
      <c r="AL1829" s="13"/>
      <c r="AM1829" s="13"/>
      <c r="AN1829" s="13"/>
      <c r="AO1829" s="13"/>
      <c r="AP1829" s="13"/>
      <c r="AQ1829" s="14"/>
      <c r="AR1829" s="15"/>
    </row>
    <row r="1830" spans="1:44" s="17" customFormat="1" ht="30.95" hidden="1" customHeight="1" x14ac:dyDescent="0.2">
      <c r="A1830" s="343"/>
      <c r="B1830" s="344"/>
      <c r="C1830" s="345"/>
      <c r="D1830" s="398"/>
      <c r="E1830" s="31"/>
      <c r="F1830" s="268"/>
      <c r="G1830" s="269"/>
      <c r="H1830" s="269"/>
      <c r="I1830" s="270"/>
      <c r="J1830" s="32"/>
      <c r="K1830" s="270"/>
      <c r="L1830" s="270"/>
      <c r="M1830" s="39"/>
      <c r="N1830" s="39"/>
      <c r="O1830" s="47"/>
      <c r="P1830" s="57"/>
      <c r="Q1830" s="276"/>
      <c r="R1830" s="277"/>
      <c r="S1830" s="277"/>
      <c r="T1830" s="40"/>
      <c r="U1830" s="278"/>
      <c r="V1830" s="269"/>
      <c r="W1830" s="269"/>
      <c r="X1830" s="275"/>
      <c r="Y1830" s="269"/>
      <c r="Z1830" s="357"/>
      <c r="AA1830" s="207"/>
      <c r="AB1830" s="369"/>
      <c r="AC1830" s="370"/>
      <c r="AD1830" s="332"/>
      <c r="AE1830" s="216"/>
      <c r="AF1830" s="43"/>
      <c r="AG1830" s="47"/>
      <c r="AH1830" s="30"/>
      <c r="AI1830" s="30"/>
      <c r="AJ1830" s="30"/>
      <c r="AK1830" s="30"/>
      <c r="AL1830" s="13"/>
      <c r="AM1830" s="13"/>
      <c r="AN1830" s="13"/>
      <c r="AO1830" s="13"/>
      <c r="AP1830" s="13"/>
      <c r="AQ1830" s="14"/>
      <c r="AR1830" s="15"/>
    </row>
    <row r="1831" spans="1:44" s="17" customFormat="1" ht="30.6" hidden="1" customHeight="1" x14ac:dyDescent="0.2">
      <c r="A1831" s="320" t="s">
        <v>3064</v>
      </c>
      <c r="B1831" s="321" t="s">
        <v>3065</v>
      </c>
      <c r="C1831" s="345"/>
      <c r="D1831" s="398">
        <v>3767090</v>
      </c>
      <c r="E1831" s="31">
        <v>4151772</v>
      </c>
      <c r="F1831" s="268" t="str">
        <f>IF(D1831="","",VLOOKUP(D1831,契約台帳!$A$3:$K$4986,6,FALSE)&amp;VLOOKUP(D1831,契約台帳!$A$3:$K$4986,7,FALSE)&amp;VLOOKUP(D1831,契約台帳!$A$3:$K$4986,8,FALSE)&amp;VLOOKUP(D1831,契約台帳!$A$3:$K$4986,9,FALSE)&amp;VLOOKUP(D1831,契約台帳!$A$3:$K$4986,11,FALSE))</f>
        <v>3SYMLBMSNMBF</v>
      </c>
      <c r="G1831" s="269" t="str">
        <f>IF(D1831="","",VLOOKUP(F1831,製品マスタ!$G$5:$H$5002,2,FALSE))</f>
        <v>S</v>
      </c>
      <c r="H1831" s="269" t="str">
        <f>IF(D1831="","",VLOOKUP(F1831,製品マスタ!$G$5:$K$5002,5,FALSE))</f>
        <v>MSNMBF</v>
      </c>
      <c r="I1831" s="270" t="str">
        <f>IF(D1831="","",VLOOKUP(F1831,製品マスタ!$G$5:$L$5002,6,FALSE))</f>
        <v>ＭＥＴＡＬＵＭＹ　ＳＩＬＶＥＲ　Ｎ－ＭＡＴＴＥ　Ｘ４４Ｍ　Ｂ</v>
      </c>
      <c r="J1831" s="32" t="s">
        <v>447</v>
      </c>
      <c r="K1831" s="270">
        <f>IF(D1831="","",VLOOKUP(D1831,契約台帳!$A$3:$L$4986,12,FALSE))</f>
        <v>50</v>
      </c>
      <c r="L1831" s="270" t="str">
        <f>IF(D1831="","",INDEX(製品マスタ!$Q$5:$Q$5002,MATCH(F1831&amp;K1831,製品マスタ!$AO$5:$AO$5002,0)))</f>
        <v>X44</v>
      </c>
      <c r="M1831" s="39">
        <v>1120</v>
      </c>
      <c r="N1831" s="39">
        <v>12000</v>
      </c>
      <c r="O1831" s="47">
        <v>6</v>
      </c>
      <c r="P1831" s="57"/>
      <c r="Q1831" s="276">
        <f>IF(D1831="","",IF(J1831="リード付け",M1831,VLOOKUP(D1831,契約台帳!$A$3:$N$4986,14,FALSE)))</f>
        <v>1120</v>
      </c>
      <c r="R1831" s="277">
        <f>IF(D1831="","",IF(J1831="リード付け",M1831,VLOOKUP(D1831,契約台帳!$A$3:$O$4986,15,FALSE)))</f>
        <v>1120</v>
      </c>
      <c r="S1831" s="277">
        <f>IF(D1831="","",IF(J1831="リード付け",N1831,VLOOKUP(D1831,契約台帳!$A$3:$P$4986,16,FALSE)))</f>
        <v>4000</v>
      </c>
      <c r="T1831" s="40">
        <v>18</v>
      </c>
      <c r="U1831" s="278" t="str">
        <f ca="1">IF(D1831="","",IF(OFFSET(D1831,-2,0)=D1831,"",VLOOKUP(D1831,契約台帳!$A$3:$R$4986,18,FALSE)))</f>
        <v/>
      </c>
      <c r="V1831" s="269" t="str">
        <f>IF(J1831="巻返し",VLOOKUP(F1831&amp;K1831&amp;M1831,製品マスタ!$M$5:$AD$5002,18,FALSE),IF(J1831="リード付け","原反コア",IF(J1831="スリット",VLOOKUP(F1831&amp;K1831&amp;Q1831,製品マスタ!$N$5:$AD$5002,17,FALSE),"")))</f>
        <v>6ｲﾝﾁMｺｱ</v>
      </c>
      <c r="W1831" s="269">
        <f>IF(J1831="巻返し",VLOOKUP(F1831&amp;K1831&amp;M1831,製品マスタ!$M$5:$AE$5002,19,FALSE),IF(J1831="リード付け","-",IF(J1831="スリット",VLOOKUP(F1831&amp;K1831&amp;Q1831,製品マスタ!$N$5:$AE$5002,18,FALSE),"")))</f>
        <v>1125</v>
      </c>
      <c r="X1831" s="275">
        <f>IF(D1831="","",VLOOKUP(D1831,契約台帳!$A$3:$Q$4986,17,FALSE))</f>
        <v>2</v>
      </c>
      <c r="Y1831" s="269" t="str">
        <f>IF(D1831="","",VLOOKUP(D1831,契約台帳!$A$3:$E$4986,5,FALSE))</f>
        <v>リンテック㈱</v>
      </c>
      <c r="Z1831" s="357"/>
      <c r="AA1831" s="207"/>
      <c r="AB1831" s="369"/>
      <c r="AC1831" s="370"/>
      <c r="AD1831" s="332" t="str">
        <f>IF(F1831="","",+F1831&amp;K1831)</f>
        <v>3SYMLBMSNMBF50</v>
      </c>
      <c r="AE1831" s="216">
        <f>+M1831*N1831*O1831/1000</f>
        <v>80640</v>
      </c>
      <c r="AF1831" s="43">
        <f>IF(AD1831="","",VLOOKUP(AD1831,原価マスタ!$A$2:$AJ$1693,13,FALSE))</f>
        <v>98.8</v>
      </c>
      <c r="AG1831" s="47">
        <f>IF(AF1831="","",+AE1831*AF1831/100)</f>
        <v>79672.320000000007</v>
      </c>
      <c r="AH1831" s="30"/>
      <c r="AI1831" s="30"/>
      <c r="AJ1831" s="30"/>
      <c r="AK1831" s="30"/>
      <c r="AL1831" s="13"/>
      <c r="AM1831" s="13"/>
      <c r="AN1831" s="13"/>
      <c r="AO1831" s="13"/>
      <c r="AP1831" s="13"/>
      <c r="AQ1831" s="14"/>
      <c r="AR1831" s="15"/>
    </row>
    <row r="1832" spans="1:44" s="17" customFormat="1" ht="30.95" hidden="1" customHeight="1" x14ac:dyDescent="0.2">
      <c r="A1832" s="343"/>
      <c r="B1832" s="344"/>
      <c r="C1832" s="345"/>
      <c r="D1832" s="398"/>
      <c r="E1832" s="31"/>
      <c r="F1832" s="268"/>
      <c r="G1832" s="269"/>
      <c r="H1832" s="269"/>
      <c r="I1832" s="270"/>
      <c r="J1832" s="32"/>
      <c r="K1832" s="270"/>
      <c r="L1832" s="270"/>
      <c r="M1832" s="39"/>
      <c r="N1832" s="39"/>
      <c r="O1832" s="47"/>
      <c r="P1832" s="57"/>
      <c r="Q1832" s="276"/>
      <c r="R1832" s="277"/>
      <c r="S1832" s="277"/>
      <c r="T1832" s="40"/>
      <c r="U1832" s="278"/>
      <c r="V1832" s="269"/>
      <c r="W1832" s="269"/>
      <c r="X1832" s="275"/>
      <c r="Y1832" s="269"/>
      <c r="Z1832" s="357"/>
      <c r="AA1832" s="207"/>
      <c r="AB1832" s="369"/>
      <c r="AC1832" s="370"/>
      <c r="AD1832" s="332"/>
      <c r="AE1832" s="216"/>
      <c r="AF1832" s="43"/>
      <c r="AG1832" s="47"/>
      <c r="AH1832" s="30"/>
      <c r="AI1832" s="30"/>
      <c r="AJ1832" s="30"/>
      <c r="AK1832" s="30"/>
      <c r="AL1832" s="13"/>
      <c r="AM1832" s="13"/>
      <c r="AN1832" s="13"/>
      <c r="AO1832" s="13"/>
      <c r="AP1832" s="13"/>
      <c r="AQ1832" s="14"/>
      <c r="AR1832" s="15"/>
    </row>
    <row r="1833" spans="1:44" s="17" customFormat="1" ht="30.6" hidden="1" customHeight="1" x14ac:dyDescent="0.2">
      <c r="A1833" s="320" t="s">
        <v>3066</v>
      </c>
      <c r="B1833" s="321" t="s">
        <v>3067</v>
      </c>
      <c r="C1833" s="345"/>
      <c r="D1833" s="398">
        <v>3767090</v>
      </c>
      <c r="E1833" s="31">
        <v>4151772</v>
      </c>
      <c r="F1833" s="268" t="str">
        <f>IF(D1833="","",VLOOKUP(D1833,契約台帳!$A$3:$K$4986,6,FALSE)&amp;VLOOKUP(D1833,契約台帳!$A$3:$K$4986,7,FALSE)&amp;VLOOKUP(D1833,契約台帳!$A$3:$K$4986,8,FALSE)&amp;VLOOKUP(D1833,契約台帳!$A$3:$K$4986,9,FALSE)&amp;VLOOKUP(D1833,契約台帳!$A$3:$K$4986,11,FALSE))</f>
        <v>3SYMLBMSNMBF</v>
      </c>
      <c r="G1833" s="269" t="str">
        <f>IF(D1833="","",VLOOKUP(F1833,製品マスタ!$G$5:$H$5002,2,FALSE))</f>
        <v>S</v>
      </c>
      <c r="H1833" s="269" t="str">
        <f>IF(D1833="","",VLOOKUP(F1833,製品マスタ!$G$5:$K$5002,5,FALSE))</f>
        <v>MSNMBF</v>
      </c>
      <c r="I1833" s="270" t="str">
        <f>IF(D1833="","",VLOOKUP(F1833,製品マスタ!$G$5:$L$5002,6,FALSE))</f>
        <v>ＭＥＴＡＬＵＭＹ　ＳＩＬＶＥＲ　Ｎ－ＭＡＴＴＥ　Ｘ４４Ｍ　Ｂ</v>
      </c>
      <c r="J1833" s="32" t="s">
        <v>447</v>
      </c>
      <c r="K1833" s="270">
        <f>IF(D1833="","",VLOOKUP(D1833,契約台帳!$A$3:$L$4986,12,FALSE))</f>
        <v>50</v>
      </c>
      <c r="L1833" s="270" t="str">
        <f>IF(D1833="","",INDEX(製品マスタ!$Q$5:$Q$5002,MATCH(F1833&amp;K1833,製品マスタ!$AO$5:$AO$5002,0)))</f>
        <v>X44</v>
      </c>
      <c r="M1833" s="39">
        <v>1120</v>
      </c>
      <c r="N1833" s="39">
        <v>12000</v>
      </c>
      <c r="O1833" s="47">
        <v>5</v>
      </c>
      <c r="P1833" s="57"/>
      <c r="Q1833" s="276">
        <f>IF(D1833="","",IF(J1833="リード付け",M1833,VLOOKUP(D1833,契約台帳!$A$3:$N$4986,14,FALSE)))</f>
        <v>1120</v>
      </c>
      <c r="R1833" s="277">
        <f>IF(D1833="","",IF(J1833="リード付け",M1833,VLOOKUP(D1833,契約台帳!$A$3:$O$4986,15,FALSE)))</f>
        <v>1120</v>
      </c>
      <c r="S1833" s="277">
        <f>IF(D1833="","",IF(J1833="リード付け",N1833,VLOOKUP(D1833,契約台帳!$A$3:$P$4986,16,FALSE)))</f>
        <v>4000</v>
      </c>
      <c r="T1833" s="40">
        <v>15</v>
      </c>
      <c r="U1833" s="278" t="str">
        <f ca="1">IF(D1833="","",IF(OFFSET(D1833,-2,0)=D1833,"",VLOOKUP(D1833,契約台帳!$A$3:$R$4986,18,FALSE)))</f>
        <v/>
      </c>
      <c r="V1833" s="269" t="str">
        <f>IF(J1833="巻返し",VLOOKUP(F1833&amp;K1833&amp;M1833,製品マスタ!$M$5:$AD$5002,18,FALSE),IF(J1833="リード付け","原反コア",IF(J1833="スリット",VLOOKUP(F1833&amp;K1833&amp;Q1833,製品マスタ!$N$5:$AD$5002,17,FALSE),"")))</f>
        <v>6ｲﾝﾁMｺｱ</v>
      </c>
      <c r="W1833" s="269">
        <f>IF(J1833="巻返し",VLOOKUP(F1833&amp;K1833&amp;M1833,製品マスタ!$M$5:$AE$5002,19,FALSE),IF(J1833="リード付け","-",IF(J1833="スリット",VLOOKUP(F1833&amp;K1833&amp;Q1833,製品マスタ!$N$5:$AE$5002,18,FALSE),"")))</f>
        <v>1125</v>
      </c>
      <c r="X1833" s="275">
        <f>IF(D1833="","",VLOOKUP(D1833,契約台帳!$A$3:$Q$4986,17,FALSE))</f>
        <v>2</v>
      </c>
      <c r="Y1833" s="269" t="str">
        <f>IF(D1833="","",VLOOKUP(D1833,契約台帳!$A$3:$E$4986,5,FALSE))</f>
        <v>リンテック㈱</v>
      </c>
      <c r="Z1833" s="357"/>
      <c r="AA1833" s="207"/>
      <c r="AB1833" s="369"/>
      <c r="AC1833" s="370"/>
      <c r="AD1833" s="332" t="str">
        <f>IF(F1833="","",+F1833&amp;K1833)</f>
        <v>3SYMLBMSNMBF50</v>
      </c>
      <c r="AE1833" s="216">
        <f>+M1833*N1833*O1833/1000</f>
        <v>67200</v>
      </c>
      <c r="AF1833" s="43">
        <f>IF(AD1833="","",VLOOKUP(AD1833,原価マスタ!$A$2:$AJ$1693,13,FALSE))</f>
        <v>98.8</v>
      </c>
      <c r="AG1833" s="47">
        <f>IF(AF1833="","",+AE1833*AF1833/100)</f>
        <v>66393.600000000006</v>
      </c>
      <c r="AH1833" s="30"/>
      <c r="AI1833" s="30"/>
      <c r="AJ1833" s="30"/>
      <c r="AK1833" s="30"/>
      <c r="AL1833" s="13"/>
      <c r="AM1833" s="13"/>
      <c r="AN1833" s="13"/>
      <c r="AO1833" s="13"/>
      <c r="AP1833" s="13"/>
      <c r="AQ1833" s="14"/>
      <c r="AR1833" s="15"/>
    </row>
    <row r="1834" spans="1:44" s="17" customFormat="1" ht="30.95" hidden="1" customHeight="1" x14ac:dyDescent="0.2">
      <c r="A1834" s="343"/>
      <c r="B1834" s="344"/>
      <c r="C1834" s="345"/>
      <c r="D1834" s="398"/>
      <c r="E1834" s="31"/>
      <c r="F1834" s="268"/>
      <c r="G1834" s="269"/>
      <c r="H1834" s="269"/>
      <c r="I1834" s="270"/>
      <c r="J1834" s="32"/>
      <c r="K1834" s="270"/>
      <c r="L1834" s="270"/>
      <c r="M1834" s="39"/>
      <c r="N1834" s="39"/>
      <c r="O1834" s="47"/>
      <c r="P1834" s="57"/>
      <c r="Q1834" s="276"/>
      <c r="R1834" s="277"/>
      <c r="S1834" s="277"/>
      <c r="T1834" s="40"/>
      <c r="U1834" s="278"/>
      <c r="V1834" s="269"/>
      <c r="W1834" s="269"/>
      <c r="X1834" s="275"/>
      <c r="Y1834" s="269"/>
      <c r="Z1834" s="357"/>
      <c r="AA1834" s="207"/>
      <c r="AB1834" s="369"/>
      <c r="AC1834" s="370"/>
      <c r="AD1834" s="332"/>
      <c r="AE1834" s="216"/>
      <c r="AF1834" s="43"/>
      <c r="AG1834" s="47"/>
      <c r="AH1834" s="30"/>
      <c r="AI1834" s="30"/>
      <c r="AJ1834" s="30"/>
      <c r="AK1834" s="30"/>
      <c r="AL1834" s="13"/>
      <c r="AM1834" s="13"/>
      <c r="AN1834" s="13"/>
      <c r="AO1834" s="13"/>
      <c r="AP1834" s="13"/>
      <c r="AQ1834" s="14"/>
      <c r="AR1834" s="15"/>
    </row>
    <row r="1835" spans="1:44" s="17" customFormat="1" ht="30.6" hidden="1" customHeight="1" x14ac:dyDescent="0.2">
      <c r="A1835" s="320"/>
      <c r="B1835" s="321"/>
      <c r="C1835" s="345"/>
      <c r="D1835" s="398">
        <v>3767090</v>
      </c>
      <c r="E1835" s="31">
        <v>4151772</v>
      </c>
      <c r="F1835" s="268" t="str">
        <f>IF(D1835="","",VLOOKUP(D1835,契約台帳!$A$3:$K$4986,6,FALSE)&amp;VLOOKUP(D1835,契約台帳!$A$3:$K$4986,7,FALSE)&amp;VLOOKUP(D1835,契約台帳!$A$3:$K$4986,8,FALSE)&amp;VLOOKUP(D1835,契約台帳!$A$3:$K$4986,9,FALSE)&amp;VLOOKUP(D1835,契約台帳!$A$3:$K$4986,11,FALSE))</f>
        <v>3SYMLBMSNMBF</v>
      </c>
      <c r="G1835" s="269" t="str">
        <f>IF(D1835="","",VLOOKUP(F1835,製品マスタ!$G$5:$H$5002,2,FALSE))</f>
        <v>S</v>
      </c>
      <c r="H1835" s="269" t="str">
        <f>IF(D1835="","",VLOOKUP(F1835,製品マスタ!$G$5:$K$5002,5,FALSE))</f>
        <v>MSNMBF</v>
      </c>
      <c r="I1835" s="270" t="str">
        <f>IF(D1835="","",VLOOKUP(F1835,製品マスタ!$G$5:$L$5002,6,FALSE))</f>
        <v>ＭＥＴＡＬＵＭＹ　ＳＩＬＶＥＲ　Ｎ－ＭＡＴＴＥ　Ｘ４４Ｍ　Ｂ</v>
      </c>
      <c r="J1835" s="32" t="s">
        <v>447</v>
      </c>
      <c r="K1835" s="270">
        <f>IF(D1835="","",VLOOKUP(D1835,契約台帳!$A$3:$L$4986,12,FALSE))</f>
        <v>50</v>
      </c>
      <c r="L1835" s="270" t="str">
        <f>IF(D1835="","",INDEX(製品マスタ!$Q$5:$Q$5002,MATCH(F1835&amp;K1835,製品マスタ!$AO$5:$AO$5002,0)))</f>
        <v>X44</v>
      </c>
      <c r="M1835" s="39">
        <v>1120</v>
      </c>
      <c r="N1835" s="39">
        <v>12000</v>
      </c>
      <c r="O1835" s="47">
        <v>1</v>
      </c>
      <c r="P1835" s="57"/>
      <c r="Q1835" s="276">
        <f>IF(D1835="","",IF(J1835="リード付け",M1835,VLOOKUP(D1835,契約台帳!$A$3:$N$4986,14,FALSE)))</f>
        <v>1120</v>
      </c>
      <c r="R1835" s="277">
        <f>IF(D1835="","",IF(J1835="リード付け",M1835,VLOOKUP(D1835,契約台帳!$A$3:$O$4986,15,FALSE)))</f>
        <v>1120</v>
      </c>
      <c r="S1835" s="277">
        <f>IF(D1835="","",IF(J1835="リード付け",N1835,VLOOKUP(D1835,契約台帳!$A$3:$P$4986,16,FALSE)))</f>
        <v>4000</v>
      </c>
      <c r="T1835" s="40">
        <v>2</v>
      </c>
      <c r="U1835" s="278" t="str">
        <f ca="1">IF(D1835="","",IF(OFFSET(D1835,-2,0)=D1835,"",VLOOKUP(D1835,契約台帳!$A$3:$R$4986,18,FALSE)))</f>
        <v/>
      </c>
      <c r="V1835" s="269" t="str">
        <f>IF(J1835="巻返し",VLOOKUP(F1835&amp;K1835&amp;M1835,製品マスタ!$M$5:$AD$5002,18,FALSE),IF(J1835="リード付け","原反コア",IF(J1835="スリット",VLOOKUP(F1835&amp;K1835&amp;Q1835,製品マスタ!$N$5:$AD$5002,17,FALSE),"")))</f>
        <v>6ｲﾝﾁMｺｱ</v>
      </c>
      <c r="W1835" s="269">
        <f>IF(J1835="巻返し",VLOOKUP(F1835&amp;K1835&amp;M1835,製品マスタ!$M$5:$AE$5002,19,FALSE),IF(J1835="リード付け","-",IF(J1835="スリット",VLOOKUP(F1835&amp;K1835&amp;Q1835,製品マスタ!$N$5:$AE$5002,18,FALSE),"")))</f>
        <v>1125</v>
      </c>
      <c r="X1835" s="275">
        <f>IF(D1835="","",VLOOKUP(D1835,契約台帳!$A$3:$Q$4986,17,FALSE))</f>
        <v>2</v>
      </c>
      <c r="Y1835" s="269" t="str">
        <f>IF(D1835="","",VLOOKUP(D1835,契約台帳!$A$3:$E$4986,5,FALSE))</f>
        <v>リンテック㈱</v>
      </c>
      <c r="Z1835" s="357"/>
      <c r="AA1835" s="207"/>
      <c r="AB1835" s="369"/>
      <c r="AC1835" s="370"/>
      <c r="AD1835" s="332" t="str">
        <f>IF(F1835="","",+F1835&amp;K1835)</f>
        <v>3SYMLBMSNMBF50</v>
      </c>
      <c r="AE1835" s="216">
        <f>+M1835*N1835*O1835/1000</f>
        <v>13440</v>
      </c>
      <c r="AF1835" s="43">
        <f>IF(AD1835="","",VLOOKUP(AD1835,原価マスタ!$A$2:$AJ$1693,13,FALSE))</f>
        <v>98.8</v>
      </c>
      <c r="AG1835" s="47">
        <f>IF(AF1835="","",+AE1835*AF1835/100)</f>
        <v>13278.72</v>
      </c>
      <c r="AH1835" s="30"/>
      <c r="AI1835" s="30"/>
      <c r="AJ1835" s="30"/>
      <c r="AK1835" s="30"/>
      <c r="AL1835" s="13"/>
      <c r="AM1835" s="13"/>
      <c r="AN1835" s="13"/>
      <c r="AO1835" s="13"/>
      <c r="AP1835" s="13"/>
      <c r="AQ1835" s="14"/>
      <c r="AR1835" s="15"/>
    </row>
    <row r="1836" spans="1:44" s="17" customFormat="1" ht="30.6" hidden="1" customHeight="1" x14ac:dyDescent="0.2">
      <c r="A1836" s="320"/>
      <c r="B1836" s="321"/>
      <c r="C1836" s="345"/>
      <c r="D1836" s="398">
        <v>3767228</v>
      </c>
      <c r="E1836" s="31"/>
      <c r="F1836" s="268" t="str">
        <f>IF(D1836="","",VLOOKUP(D1836,契約台帳!$A$3:$K$4986,6,FALSE)&amp;VLOOKUP(D1836,契約台帳!$A$3:$K$4986,7,FALSE)&amp;VLOOKUP(D1836,契約台帳!$A$3:$K$4986,8,FALSE)&amp;VLOOKUP(D1836,契約台帳!$A$3:$K$4986,9,FALSE)&amp;VLOOKUP(D1836,契約台帳!$A$3:$K$4986,11,FALSE))</f>
        <v>3SYMLBMSNMBZF</v>
      </c>
      <c r="G1836" s="269" t="str">
        <f>IF(D1836="","",VLOOKUP(F1836,製品マスタ!$G$5:$H$5002,2,FALSE))</f>
        <v>S</v>
      </c>
      <c r="H1836" s="269" t="str">
        <f>IF(D1836="","",VLOOKUP(F1836,製品マスタ!$G$5:$K$5002,5,FALSE))</f>
        <v>MSNMBZF</v>
      </c>
      <c r="I1836" s="270" t="str">
        <f>IF(D1836="","",VLOOKUP(F1836,製品マスタ!$G$5:$L$5002,6,FALSE))</f>
        <v>ＭＥＴＡＬＵＭＹ　ＳＩＬＶＥＲ　Ｎ－ＭＡＴＴＥ　Ｂ</v>
      </c>
      <c r="J1836" s="32" t="s">
        <v>447</v>
      </c>
      <c r="K1836" s="270">
        <f>IF(D1836="","",VLOOKUP(D1836,契約台帳!$A$3:$L$4986,12,FALSE))</f>
        <v>50</v>
      </c>
      <c r="L1836" s="270" t="str">
        <f>IF(D1836="","",INDEX(製品マスタ!$Q$5:$Q$5002,MATCH(F1836&amp;K1836,製品マスタ!$AO$5:$AO$5002,0)))</f>
        <v>X44</v>
      </c>
      <c r="M1836" s="39">
        <v>1120</v>
      </c>
      <c r="N1836" s="39"/>
      <c r="O1836" s="47"/>
      <c r="P1836" s="57"/>
      <c r="Q1836" s="276">
        <f>IF(D1836="","",IF(J1836="リード付け",M1836,VLOOKUP(D1836,契約台帳!$A$3:$N$4986,14,FALSE)))</f>
        <v>1120</v>
      </c>
      <c r="R1836" s="277">
        <f>IF(D1836="","",IF(J1836="リード付け",M1836,VLOOKUP(D1836,契約台帳!$A$3:$O$4986,15,FALSE)))</f>
        <v>1120</v>
      </c>
      <c r="S1836" s="277">
        <f>IF(D1836="","",IF(J1836="リード付け",N1836,VLOOKUP(D1836,契約台帳!$A$3:$P$4986,16,FALSE)))</f>
        <v>4000</v>
      </c>
      <c r="T1836" s="40">
        <v>1</v>
      </c>
      <c r="U1836" s="278">
        <f ca="1">IF(D1836="","",IF(OFFSET(D1836,-2,0)=D1836,"",VLOOKUP(D1836,契約台帳!$A$3:$R$4986,18,FALSE)))</f>
        <v>10</v>
      </c>
      <c r="V1836" s="269" t="str">
        <f>IF(J1836="巻返し",VLOOKUP(F1836&amp;K1836&amp;M1836,製品マスタ!$M$5:$AD$5002,18,FALSE),IF(J1836="リード付け","原反コア",IF(J1836="スリット",VLOOKUP(F1836&amp;K1836&amp;Q1836,製品マスタ!$N$5:$AD$5002,17,FALSE),"")))</f>
        <v>6ｲﾝﾁMｺｱ</v>
      </c>
      <c r="W1836" s="269">
        <f>IF(J1836="巻返し",VLOOKUP(F1836&amp;K1836&amp;M1836,製品マスタ!$M$5:$AE$5002,19,FALSE),IF(J1836="リード付け","-",IF(J1836="スリット",VLOOKUP(F1836&amp;K1836&amp;Q1836,製品マスタ!$N$5:$AE$5002,18,FALSE),"")))</f>
        <v>1125</v>
      </c>
      <c r="X1836" s="275">
        <f>IF(D1836="","",VLOOKUP(D1836,契約台帳!$A$3:$Q$4986,17,FALSE))</f>
        <v>2</v>
      </c>
      <c r="Y1836" s="269" t="str">
        <f>IF(D1836="","",VLOOKUP(D1836,契約台帳!$A$3:$E$4986,5,FALSE))</f>
        <v>リンテック㈱</v>
      </c>
      <c r="Z1836" s="357"/>
      <c r="AA1836" s="207"/>
      <c r="AB1836" s="369"/>
      <c r="AC1836" s="370"/>
      <c r="AD1836" s="332" t="str">
        <f>IF(F1836="","",+F1836&amp;K1836)</f>
        <v>3SYMLBMSNMBZF50</v>
      </c>
      <c r="AE1836" s="216">
        <f>+M1836*N1836*O1836/1000</f>
        <v>0</v>
      </c>
      <c r="AF1836" s="43">
        <f>IF(AD1836="","",VLOOKUP(AD1836,原価マスタ!$A$2:$AJ$1693,13,FALSE))</f>
        <v>99</v>
      </c>
      <c r="AG1836" s="47">
        <f>IF(AF1836="","",+AE1836*AF1836/100)</f>
        <v>0</v>
      </c>
      <c r="AH1836" s="30"/>
      <c r="AI1836" s="30"/>
      <c r="AJ1836" s="30"/>
      <c r="AK1836" s="30"/>
      <c r="AL1836" s="13"/>
      <c r="AM1836" s="13"/>
      <c r="AN1836" s="13"/>
      <c r="AO1836" s="13"/>
      <c r="AP1836" s="13"/>
      <c r="AQ1836" s="14"/>
      <c r="AR1836" s="15"/>
    </row>
    <row r="1837" spans="1:44" s="17" customFormat="1" ht="30.95" hidden="1" customHeight="1" x14ac:dyDescent="0.2">
      <c r="A1837" s="343"/>
      <c r="B1837" s="344"/>
      <c r="C1837" s="345"/>
      <c r="D1837" s="398"/>
      <c r="E1837" s="31"/>
      <c r="F1837" s="268"/>
      <c r="G1837" s="269"/>
      <c r="H1837" s="269"/>
      <c r="I1837" s="270"/>
      <c r="J1837" s="32"/>
      <c r="K1837" s="270"/>
      <c r="L1837" s="270"/>
      <c r="M1837" s="39"/>
      <c r="N1837" s="39"/>
      <c r="O1837" s="47"/>
      <c r="P1837" s="57"/>
      <c r="Q1837" s="276"/>
      <c r="R1837" s="277"/>
      <c r="S1837" s="277"/>
      <c r="T1837" s="40"/>
      <c r="U1837" s="278"/>
      <c r="V1837" s="269"/>
      <c r="W1837" s="269"/>
      <c r="X1837" s="275"/>
      <c r="Y1837" s="269"/>
      <c r="Z1837" s="357"/>
      <c r="AA1837" s="207"/>
      <c r="AB1837" s="369"/>
      <c r="AC1837" s="370"/>
      <c r="AD1837" s="332"/>
      <c r="AE1837" s="216"/>
      <c r="AF1837" s="43"/>
      <c r="AG1837" s="47"/>
      <c r="AH1837" s="30"/>
      <c r="AI1837" s="30"/>
      <c r="AJ1837" s="30"/>
      <c r="AK1837" s="30"/>
      <c r="AL1837" s="13"/>
      <c r="AM1837" s="13"/>
      <c r="AN1837" s="13"/>
      <c r="AO1837" s="13"/>
      <c r="AP1837" s="13"/>
      <c r="AQ1837" s="14"/>
      <c r="AR1837" s="15"/>
    </row>
    <row r="1838" spans="1:44" s="17" customFormat="1" ht="30.6" hidden="1" customHeight="1" x14ac:dyDescent="0.2">
      <c r="A1838" s="320" t="s">
        <v>1441</v>
      </c>
      <c r="B1838" s="321" t="s">
        <v>444</v>
      </c>
      <c r="C1838" s="345"/>
      <c r="D1838" s="398">
        <v>3767228</v>
      </c>
      <c r="E1838" s="31">
        <v>4151775</v>
      </c>
      <c r="F1838" s="268" t="str">
        <f>IF(D1838="","",VLOOKUP(D1838,契約台帳!$A$3:$K$4986,6,FALSE)&amp;VLOOKUP(D1838,契約台帳!$A$3:$K$4986,7,FALSE)&amp;VLOOKUP(D1838,契約台帳!$A$3:$K$4986,8,FALSE)&amp;VLOOKUP(D1838,契約台帳!$A$3:$K$4986,9,FALSE)&amp;VLOOKUP(D1838,契約台帳!$A$3:$K$4986,11,FALSE))</f>
        <v>3SYMLBMSNMBZF</v>
      </c>
      <c r="G1838" s="269" t="str">
        <f>IF(D1838="","",VLOOKUP(F1838,製品マスタ!$G$5:$H$5002,2,FALSE))</f>
        <v>S</v>
      </c>
      <c r="H1838" s="269" t="str">
        <f>IF(D1838="","",VLOOKUP(F1838,製品マスタ!$G$5:$K$5002,5,FALSE))</f>
        <v>MSNMBZF</v>
      </c>
      <c r="I1838" s="270" t="str">
        <f>IF(D1838="","",VLOOKUP(F1838,製品マスタ!$G$5:$L$5002,6,FALSE))</f>
        <v>ＭＥＴＡＬＵＭＹ　ＳＩＬＶＥＲ　Ｎ－ＭＡＴＴＥ　Ｂ</v>
      </c>
      <c r="J1838" s="32" t="s">
        <v>447</v>
      </c>
      <c r="K1838" s="270">
        <f>IF(D1838="","",VLOOKUP(D1838,契約台帳!$A$3:$L$4986,12,FALSE))</f>
        <v>50</v>
      </c>
      <c r="L1838" s="270" t="str">
        <f>IF(D1838="","",INDEX(製品マスタ!$Q$5:$Q$5002,MATCH(F1838&amp;K1838,製品マスタ!$AO$5:$AO$5002,0)))</f>
        <v>X44</v>
      </c>
      <c r="M1838" s="39">
        <v>1120</v>
      </c>
      <c r="N1838" s="39">
        <v>12000</v>
      </c>
      <c r="O1838" s="47">
        <v>3</v>
      </c>
      <c r="P1838" s="57"/>
      <c r="Q1838" s="276">
        <f>IF(D1838="","",IF(J1838="リード付け",M1838,VLOOKUP(D1838,契約台帳!$A$3:$N$4986,14,FALSE)))</f>
        <v>1120</v>
      </c>
      <c r="R1838" s="277">
        <f>IF(D1838="","",IF(J1838="リード付け",M1838,VLOOKUP(D1838,契約台帳!$A$3:$O$4986,15,FALSE)))</f>
        <v>1120</v>
      </c>
      <c r="S1838" s="277">
        <f>IF(D1838="","",IF(J1838="リード付け",N1838,VLOOKUP(D1838,契約台帳!$A$3:$P$4986,16,FALSE)))</f>
        <v>4000</v>
      </c>
      <c r="T1838" s="40">
        <v>9</v>
      </c>
      <c r="U1838" s="278" t="str">
        <f ca="1">IF(D1838="","",IF(OFFSET(D1838,-2,0)=D1838,"",VLOOKUP(D1838,契約台帳!$A$3:$R$4986,18,FALSE)))</f>
        <v/>
      </c>
      <c r="V1838" s="269" t="str">
        <f>IF(J1838="巻返し",VLOOKUP(F1838&amp;K1838&amp;M1838,製品マスタ!$M$5:$AD$5002,18,FALSE),IF(J1838="リード付け","原反コア",IF(J1838="スリット",VLOOKUP(F1838&amp;K1838&amp;Q1838,製品マスタ!$N$5:$AD$5002,17,FALSE),"")))</f>
        <v>6ｲﾝﾁMｺｱ</v>
      </c>
      <c r="W1838" s="269">
        <f>IF(J1838="巻返し",VLOOKUP(F1838&amp;K1838&amp;M1838,製品マスタ!$M$5:$AE$5002,19,FALSE),IF(J1838="リード付け","-",IF(J1838="スリット",VLOOKUP(F1838&amp;K1838&amp;Q1838,製品マスタ!$N$5:$AE$5002,18,FALSE),"")))</f>
        <v>1125</v>
      </c>
      <c r="X1838" s="275">
        <f>IF(D1838="","",VLOOKUP(D1838,契約台帳!$A$3:$Q$4986,17,FALSE))</f>
        <v>2</v>
      </c>
      <c r="Y1838" s="269" t="str">
        <f>IF(D1838="","",VLOOKUP(D1838,契約台帳!$A$3:$E$4986,5,FALSE))</f>
        <v>リンテック㈱</v>
      </c>
      <c r="Z1838" s="357"/>
      <c r="AA1838" s="207"/>
      <c r="AB1838" s="369"/>
      <c r="AC1838" s="370"/>
      <c r="AD1838" s="332" t="str">
        <f>IF(F1838="","",+F1838&amp;K1838)</f>
        <v>3SYMLBMSNMBZF50</v>
      </c>
      <c r="AE1838" s="216">
        <f>+M1838*N1838*O1838/1000</f>
        <v>40320</v>
      </c>
      <c r="AF1838" s="43">
        <f>IF(AD1838="","",VLOOKUP(AD1838,原価マスタ!$A$2:$AJ$1693,13,FALSE))</f>
        <v>99</v>
      </c>
      <c r="AG1838" s="47">
        <f>IF(AF1838="","",+AE1838*AF1838/100)</f>
        <v>39916.800000000003</v>
      </c>
      <c r="AH1838" s="30"/>
      <c r="AI1838" s="30"/>
      <c r="AJ1838" s="30"/>
      <c r="AK1838" s="30"/>
      <c r="AL1838" s="13"/>
      <c r="AM1838" s="13"/>
      <c r="AN1838" s="13"/>
      <c r="AO1838" s="13"/>
      <c r="AP1838" s="13"/>
      <c r="AQ1838" s="14"/>
      <c r="AR1838" s="15"/>
    </row>
    <row r="1839" spans="1:44" s="17" customFormat="1" ht="30.95" hidden="1" customHeight="1" x14ac:dyDescent="0.2">
      <c r="A1839" s="343"/>
      <c r="B1839" s="344"/>
      <c r="C1839" s="345"/>
      <c r="D1839" s="398"/>
      <c r="E1839" s="31"/>
      <c r="F1839" s="268"/>
      <c r="G1839" s="269"/>
      <c r="H1839" s="269"/>
      <c r="I1839" s="270"/>
      <c r="J1839" s="32"/>
      <c r="K1839" s="270"/>
      <c r="L1839" s="270"/>
      <c r="M1839" s="39"/>
      <c r="N1839" s="39"/>
      <c r="O1839" s="47"/>
      <c r="P1839" s="57"/>
      <c r="Q1839" s="276"/>
      <c r="R1839" s="277"/>
      <c r="S1839" s="277"/>
      <c r="T1839" s="40"/>
      <c r="U1839" s="278"/>
      <c r="V1839" s="269"/>
      <c r="W1839" s="269"/>
      <c r="X1839" s="275"/>
      <c r="Y1839" s="269"/>
      <c r="Z1839" s="357"/>
      <c r="AA1839" s="207"/>
      <c r="AB1839" s="369"/>
      <c r="AC1839" s="370"/>
      <c r="AD1839" s="332"/>
      <c r="AE1839" s="216"/>
      <c r="AF1839" s="43"/>
      <c r="AG1839" s="47"/>
      <c r="AH1839" s="30"/>
      <c r="AI1839" s="30"/>
      <c r="AJ1839" s="30"/>
      <c r="AK1839" s="30"/>
      <c r="AL1839" s="13"/>
      <c r="AM1839" s="13"/>
      <c r="AN1839" s="13"/>
      <c r="AO1839" s="13"/>
      <c r="AP1839" s="13"/>
      <c r="AQ1839" s="14"/>
      <c r="AR1839" s="15"/>
    </row>
    <row r="1840" spans="1:44" s="17" customFormat="1" ht="30.6" hidden="1" customHeight="1" x14ac:dyDescent="0.2">
      <c r="A1840" s="320"/>
      <c r="B1840" s="321"/>
      <c r="C1840" s="345"/>
      <c r="D1840" s="398">
        <v>3767087</v>
      </c>
      <c r="E1840" s="31">
        <v>4151769</v>
      </c>
      <c r="F1840" s="268" t="str">
        <f>IF(D1840="","",VLOOKUP(D1840,契約台帳!$A$3:$K$4986,6,FALSE)&amp;VLOOKUP(D1840,契約台帳!$A$3:$K$4986,7,FALSE)&amp;VLOOKUP(D1840,契約台帳!$A$3:$K$4986,8,FALSE)&amp;VLOOKUP(D1840,契約台帳!$A$3:$K$4986,9,FALSE)&amp;VLOOKUP(D1840,契約台帳!$A$3:$K$4986,11,FALSE))</f>
        <v>3SYMLBMSBBF</v>
      </c>
      <c r="G1840" s="269" t="str">
        <f>IF(D1840="","",VLOOKUP(F1840,製品マスタ!$G$5:$H$5002,2,FALSE))</f>
        <v>S</v>
      </c>
      <c r="H1840" s="269" t="str">
        <f>IF(D1840="","",VLOOKUP(F1840,製品マスタ!$G$5:$K$5002,5,FALSE))</f>
        <v>MSBBF</v>
      </c>
      <c r="I1840" s="270" t="str">
        <f>IF(D1840="","",VLOOKUP(F1840,製品マスタ!$G$5:$L$5002,6,FALSE))</f>
        <v>ＭＥＴＡＬＵＭＹ　ＳＩＬＶＥＲ　ＢＲＩＧＨＴ　Ｔ６２Ｍ　Ｂ</v>
      </c>
      <c r="J1840" s="32" t="s">
        <v>447</v>
      </c>
      <c r="K1840" s="270">
        <f>IF(D1840="","",VLOOKUP(D1840,契約台帳!$A$3:$L$4986,12,FALSE))</f>
        <v>25</v>
      </c>
      <c r="L1840" s="270" t="str">
        <f>IF(D1840="","",INDEX(製品マスタ!$Q$5:$Q$5002,MATCH(F1840&amp;K1840,製品マスタ!$AO$5:$AO$5002,0)))</f>
        <v>T62</v>
      </c>
      <c r="M1840" s="39">
        <v>1120</v>
      </c>
      <c r="N1840" s="39">
        <v>16000</v>
      </c>
      <c r="O1840" s="47">
        <v>1</v>
      </c>
      <c r="P1840" s="57"/>
      <c r="Q1840" s="276">
        <f>IF(D1840="","",IF(J1840="リード付け",M1840,VLOOKUP(D1840,契約台帳!$A$3:$N$4986,14,FALSE)))</f>
        <v>1120</v>
      </c>
      <c r="R1840" s="277">
        <f>IF(D1840="","",IF(J1840="リード付け",M1840,VLOOKUP(D1840,契約台帳!$A$3:$O$4986,15,FALSE)))</f>
        <v>1120</v>
      </c>
      <c r="S1840" s="277">
        <f>IF(D1840="","",IF(J1840="リード付け",N1840,VLOOKUP(D1840,契約台帳!$A$3:$P$4986,16,FALSE)))</f>
        <v>8000</v>
      </c>
      <c r="T1840" s="40">
        <v>2</v>
      </c>
      <c r="U1840" s="278">
        <f ca="1">IF(D1840="","",IF(OFFSET(D1840,-2,0)=D1840,"",VLOOKUP(D1840,契約台帳!$A$3:$R$4986,18,FALSE)))</f>
        <v>2</v>
      </c>
      <c r="V1840" s="269" t="str">
        <f>IF(J1840="巻返し",VLOOKUP(F1840&amp;K1840&amp;M1840,製品マスタ!$M$5:$AD$5002,18,FALSE),IF(J1840="リード付け","原反コア",IF(J1840="スリット",VLOOKUP(F1840&amp;K1840&amp;Q1840,製品マスタ!$N$5:$AD$5002,17,FALSE),"")))</f>
        <v>6ｲﾝﾁSｺｱ</v>
      </c>
      <c r="W1840" s="269">
        <f>IF(J1840="巻返し",VLOOKUP(F1840&amp;K1840&amp;M1840,製品マスタ!$M$5:$AE$5002,19,FALSE),IF(J1840="リード付け","-",IF(J1840="スリット",VLOOKUP(F1840&amp;K1840&amp;Q1840,製品マスタ!$N$5:$AE$5002,18,FALSE),"")))</f>
        <v>1125</v>
      </c>
      <c r="X1840" s="275">
        <f>IF(D1840="","",VLOOKUP(D1840,契約台帳!$A$3:$Q$4986,17,FALSE))</f>
        <v>2</v>
      </c>
      <c r="Y1840" s="269" t="str">
        <f>IF(D1840="","",VLOOKUP(D1840,契約台帳!$A$3:$E$4986,5,FALSE))</f>
        <v>リンテック㈱</v>
      </c>
      <c r="Z1840" s="357"/>
      <c r="AA1840" s="207"/>
      <c r="AB1840" s="369"/>
      <c r="AC1840" s="370"/>
      <c r="AD1840" s="332" t="str">
        <f>IF(F1840="","",+F1840&amp;K1840)</f>
        <v>3SYMLBMSBBF25</v>
      </c>
      <c r="AE1840" s="216">
        <f>+M1840*N1840*O1840/1000</f>
        <v>17920</v>
      </c>
      <c r="AF1840" s="43" t="e">
        <f>IF(AD1840="","",VLOOKUP(AD1840,原価マスタ!$A$2:$AJ$1693,13,FALSE))</f>
        <v>#N/A</v>
      </c>
      <c r="AG1840" s="47" t="e">
        <f>IF(AF1840="","",+AE1840*AF1840/100)</f>
        <v>#N/A</v>
      </c>
      <c r="AH1840" s="30"/>
      <c r="AI1840" s="30"/>
      <c r="AJ1840" s="30"/>
      <c r="AK1840" s="30"/>
      <c r="AL1840" s="13"/>
      <c r="AM1840" s="13"/>
      <c r="AN1840" s="13"/>
      <c r="AO1840" s="13"/>
      <c r="AP1840" s="13"/>
      <c r="AQ1840" s="14"/>
      <c r="AR1840" s="15"/>
    </row>
    <row r="1841" spans="1:44" s="17" customFormat="1" ht="30.95" hidden="1" customHeight="1" x14ac:dyDescent="0.2">
      <c r="A1841" s="343"/>
      <c r="B1841" s="344"/>
      <c r="C1841" s="345"/>
      <c r="D1841" s="398"/>
      <c r="E1841" s="31"/>
      <c r="F1841" s="268"/>
      <c r="G1841" s="269"/>
      <c r="H1841" s="269"/>
      <c r="I1841" s="270"/>
      <c r="J1841" s="32"/>
      <c r="K1841" s="270"/>
      <c r="L1841" s="270"/>
      <c r="M1841" s="39"/>
      <c r="N1841" s="39"/>
      <c r="O1841" s="47"/>
      <c r="P1841" s="57"/>
      <c r="Q1841" s="276"/>
      <c r="R1841" s="277"/>
      <c r="S1841" s="277"/>
      <c r="T1841" s="40"/>
      <c r="U1841" s="278"/>
      <c r="V1841" s="269"/>
      <c r="W1841" s="269"/>
      <c r="X1841" s="275"/>
      <c r="Y1841" s="269"/>
      <c r="Z1841" s="357"/>
      <c r="AA1841" s="207"/>
      <c r="AB1841" s="369"/>
      <c r="AC1841" s="370"/>
      <c r="AD1841" s="332"/>
      <c r="AE1841" s="216"/>
      <c r="AF1841" s="43"/>
      <c r="AG1841" s="47"/>
      <c r="AH1841" s="30"/>
      <c r="AI1841" s="30"/>
      <c r="AJ1841" s="30"/>
      <c r="AK1841" s="30"/>
      <c r="AL1841" s="13"/>
      <c r="AM1841" s="13"/>
      <c r="AN1841" s="13"/>
      <c r="AO1841" s="13"/>
      <c r="AP1841" s="13"/>
      <c r="AQ1841" s="14"/>
      <c r="AR1841" s="15"/>
    </row>
    <row r="1842" spans="1:44" s="17" customFormat="1" ht="30.6" hidden="1" customHeight="1" x14ac:dyDescent="0.2">
      <c r="A1842" s="320"/>
      <c r="B1842" s="321"/>
      <c r="C1842" s="345"/>
      <c r="D1842" s="398">
        <v>3766762</v>
      </c>
      <c r="E1842" s="31">
        <v>4151785</v>
      </c>
      <c r="F1842" s="268" t="str">
        <f>IF(D1842="","",VLOOKUP(D1842,契約台帳!$A$3:$K$4986,6,FALSE)&amp;VLOOKUP(D1842,契約台帳!$A$3:$K$4986,7,FALSE)&amp;VLOOKUP(D1842,契約台帳!$A$3:$K$4986,8,FALSE)&amp;VLOOKUP(D1842,契約台帳!$A$3:$K$4986,9,FALSE)&amp;VLOOKUP(D1842,契約台帳!$A$3:$K$4986,11,FALSE))</f>
        <v>3SNMLBMNGTBF</v>
      </c>
      <c r="G1842" s="269" t="str">
        <f>IF(D1842="","",VLOOKUP(F1842,製品マスタ!$G$5:$H$5002,2,FALSE))</f>
        <v>S</v>
      </c>
      <c r="H1842" s="269" t="str">
        <f>IF(D1842="","",VLOOKUP(F1842,製品マスタ!$G$5:$K$5002,5,FALSE))</f>
        <v>MNGTBF</v>
      </c>
      <c r="I1842" s="270" t="str">
        <f>IF(D1842="","",VLOOKUP(F1842,製品マスタ!$G$5:$L$5002,6,FALSE))</f>
        <v>メタルミー　ネーマー　銀艶　Ｂ</v>
      </c>
      <c r="J1842" s="32" t="s">
        <v>447</v>
      </c>
      <c r="K1842" s="270">
        <f>IF(D1842="","",VLOOKUP(D1842,契約台帳!$A$3:$L$4986,12,FALSE))</f>
        <v>50</v>
      </c>
      <c r="L1842" s="270" t="str">
        <f>IF(D1842="","",INDEX(製品マスタ!$Q$5:$Q$5002,MATCH(F1842&amp;K1842,製品マスタ!$AO$5:$AO$5002,0)))</f>
        <v>T62</v>
      </c>
      <c r="M1842" s="39">
        <v>1120</v>
      </c>
      <c r="N1842" s="39">
        <v>8000</v>
      </c>
      <c r="O1842" s="47">
        <v>2</v>
      </c>
      <c r="P1842" s="57"/>
      <c r="Q1842" s="276">
        <f>IF(D1842="","",IF(J1842="リード付け",M1842,VLOOKUP(D1842,契約台帳!$A$3:$N$4986,14,FALSE)))</f>
        <v>1120</v>
      </c>
      <c r="R1842" s="277">
        <f>IF(D1842="","",IF(J1842="リード付け",M1842,VLOOKUP(D1842,契約台帳!$A$3:$O$4986,15,FALSE)))</f>
        <v>1120</v>
      </c>
      <c r="S1842" s="277">
        <v>4000</v>
      </c>
      <c r="T1842" s="40">
        <v>4</v>
      </c>
      <c r="U1842" s="278">
        <f ca="1">IF(D1842="","",IF(OFFSET(D1842,-2,0)=D1842,"",VLOOKUP(D1842,契約台帳!$A$3:$R$4986,18,FALSE)))</f>
        <v>22</v>
      </c>
      <c r="V1842" s="269" t="str">
        <f>IF(J1842="巻返し",VLOOKUP(F1842&amp;K1842&amp;M1842,製品マスタ!$M$5:$AD$5002,18,FALSE),IF(J1842="リード付け","原反コア",IF(J1842="スリット",VLOOKUP(F1842&amp;K1842&amp;Q1842,製品マスタ!$N$5:$AD$5002,17,FALSE),"")))</f>
        <v>6ｲﾝﾁSｺｱ</v>
      </c>
      <c r="W1842" s="269">
        <f>IF(J1842="巻返し",VLOOKUP(F1842&amp;K1842&amp;M1842,製品マスタ!$M$5:$AE$5002,19,FALSE),IF(J1842="リード付け","-",IF(J1842="スリット",VLOOKUP(F1842&amp;K1842&amp;Q1842,製品マスタ!$N$5:$AE$5002,18,FALSE),"")))</f>
        <v>1125</v>
      </c>
      <c r="X1842" s="275">
        <f>IF(D1842="","",VLOOKUP(D1842,契約台帳!$A$3:$Q$4986,17,FALSE))</f>
        <v>2</v>
      </c>
      <c r="Y1842" s="269" t="str">
        <f>IF(D1842="","",VLOOKUP(D1842,契約台帳!$A$3:$E$4986,5,FALSE))</f>
        <v>リンテック㈱</v>
      </c>
      <c r="Z1842" s="357"/>
      <c r="AA1842" s="207"/>
      <c r="AB1842" s="369"/>
      <c r="AC1842" s="370"/>
      <c r="AD1842" s="332" t="str">
        <f>IF(F1842="","",+F1842&amp;K1842)</f>
        <v>3SNMLBMNGTBF50</v>
      </c>
      <c r="AE1842" s="216">
        <f>+M1842*N1842*O1842/1000</f>
        <v>17920</v>
      </c>
      <c r="AF1842" s="43">
        <f>IF(AD1842="","",VLOOKUP(AD1842,原価マスタ!$A$2:$AJ$1693,13,FALSE))</f>
        <v>99</v>
      </c>
      <c r="AG1842" s="47">
        <f>IF(AF1842="","",+AE1842*AF1842/100)</f>
        <v>17740.8</v>
      </c>
      <c r="AH1842" s="30"/>
      <c r="AI1842" s="30"/>
      <c r="AJ1842" s="30"/>
      <c r="AK1842" s="30"/>
      <c r="AL1842" s="13"/>
      <c r="AM1842" s="13"/>
      <c r="AN1842" s="13"/>
      <c r="AO1842" s="13"/>
      <c r="AP1842" s="13"/>
      <c r="AQ1842" s="14"/>
      <c r="AR1842" s="15"/>
    </row>
    <row r="1843" spans="1:44" s="17" customFormat="1" ht="30.95" hidden="1" customHeight="1" x14ac:dyDescent="0.2">
      <c r="A1843" s="343"/>
      <c r="B1843" s="344"/>
      <c r="C1843" s="345"/>
      <c r="D1843" s="398"/>
      <c r="E1843" s="31"/>
      <c r="F1843" s="268"/>
      <c r="G1843" s="269"/>
      <c r="H1843" s="269"/>
      <c r="I1843" s="270"/>
      <c r="J1843" s="32"/>
      <c r="K1843" s="270"/>
      <c r="L1843" s="270"/>
      <c r="M1843" s="39"/>
      <c r="N1843" s="39"/>
      <c r="O1843" s="47"/>
      <c r="P1843" s="57"/>
      <c r="Q1843" s="276"/>
      <c r="R1843" s="277"/>
      <c r="S1843" s="277"/>
      <c r="T1843" s="40"/>
      <c r="U1843" s="278"/>
      <c r="V1843" s="269"/>
      <c r="W1843" s="269"/>
      <c r="X1843" s="275"/>
      <c r="Y1843" s="269"/>
      <c r="Z1843" s="357"/>
      <c r="AA1843" s="207"/>
      <c r="AB1843" s="369"/>
      <c r="AC1843" s="370"/>
      <c r="AD1843" s="332"/>
      <c r="AE1843" s="216"/>
      <c r="AF1843" s="43"/>
      <c r="AG1843" s="47"/>
      <c r="AH1843" s="30"/>
      <c r="AI1843" s="30"/>
      <c r="AJ1843" s="30"/>
      <c r="AK1843" s="30"/>
      <c r="AL1843" s="13"/>
      <c r="AM1843" s="13"/>
      <c r="AN1843" s="13"/>
      <c r="AO1843" s="13"/>
      <c r="AP1843" s="13"/>
      <c r="AQ1843" s="14"/>
      <c r="AR1843" s="15"/>
    </row>
    <row r="1844" spans="1:44" s="17" customFormat="1" ht="30.95" hidden="1" customHeight="1" x14ac:dyDescent="0.2">
      <c r="A1844" s="343" t="s">
        <v>1442</v>
      </c>
      <c r="B1844" s="344" t="s">
        <v>445</v>
      </c>
      <c r="C1844" s="345"/>
      <c r="D1844" s="398"/>
      <c r="E1844" s="31"/>
      <c r="F1844" s="268"/>
      <c r="G1844" s="269"/>
      <c r="H1844" s="269"/>
      <c r="I1844" s="270"/>
      <c r="J1844" s="32" t="s">
        <v>448</v>
      </c>
      <c r="K1844" s="270"/>
      <c r="L1844" s="270"/>
      <c r="M1844" s="39"/>
      <c r="N1844" s="39"/>
      <c r="O1844" s="47"/>
      <c r="P1844" s="57"/>
      <c r="Q1844" s="276"/>
      <c r="R1844" s="277"/>
      <c r="S1844" s="277"/>
      <c r="T1844" s="40"/>
      <c r="U1844" s="278"/>
      <c r="V1844" s="269"/>
      <c r="W1844" s="269"/>
      <c r="X1844" s="275"/>
      <c r="Y1844" s="269"/>
      <c r="Z1844" s="357"/>
      <c r="AA1844" s="207"/>
      <c r="AB1844" s="369"/>
      <c r="AC1844" s="370"/>
      <c r="AD1844" s="332"/>
      <c r="AE1844" s="216"/>
      <c r="AF1844" s="43"/>
      <c r="AG1844" s="47"/>
      <c r="AH1844" s="30"/>
      <c r="AI1844" s="30"/>
      <c r="AJ1844" s="30"/>
      <c r="AK1844" s="30"/>
      <c r="AL1844" s="13"/>
      <c r="AM1844" s="13"/>
      <c r="AN1844" s="13"/>
      <c r="AO1844" s="13"/>
      <c r="AP1844" s="13"/>
      <c r="AQ1844" s="14"/>
      <c r="AR1844" s="15"/>
    </row>
    <row r="1845" spans="1:44" s="17" customFormat="1" ht="30.95" hidden="1" customHeight="1" x14ac:dyDescent="0.2">
      <c r="A1845" s="343"/>
      <c r="B1845" s="344"/>
      <c r="C1845" s="345"/>
      <c r="D1845" s="398"/>
      <c r="E1845" s="31"/>
      <c r="F1845" s="268"/>
      <c r="G1845" s="269"/>
      <c r="H1845" s="269"/>
      <c r="I1845" s="270"/>
      <c r="J1845" s="32"/>
      <c r="K1845" s="270"/>
      <c r="L1845" s="270"/>
      <c r="M1845" s="39"/>
      <c r="N1845" s="39"/>
      <c r="O1845" s="47"/>
      <c r="P1845" s="57"/>
      <c r="Q1845" s="276"/>
      <c r="R1845" s="277"/>
      <c r="S1845" s="277"/>
      <c r="T1845" s="40"/>
      <c r="U1845" s="278"/>
      <c r="V1845" s="269"/>
      <c r="W1845" s="269"/>
      <c r="X1845" s="275"/>
      <c r="Y1845" s="269"/>
      <c r="Z1845" s="357"/>
      <c r="AA1845" s="207"/>
      <c r="AB1845" s="369"/>
      <c r="AC1845" s="370"/>
      <c r="AD1845" s="332"/>
      <c r="AE1845" s="216"/>
      <c r="AF1845" s="43"/>
      <c r="AG1845" s="47"/>
      <c r="AH1845" s="30"/>
      <c r="AI1845" s="30"/>
      <c r="AJ1845" s="30"/>
      <c r="AK1845" s="30"/>
      <c r="AL1845" s="13"/>
      <c r="AM1845" s="13"/>
      <c r="AN1845" s="13"/>
      <c r="AO1845" s="13"/>
      <c r="AP1845" s="13"/>
      <c r="AQ1845" s="14"/>
      <c r="AR1845" s="15"/>
    </row>
    <row r="1846" spans="1:44" s="17" customFormat="1" ht="30.95" hidden="1" customHeight="1" x14ac:dyDescent="0.2">
      <c r="A1846" s="343" t="s">
        <v>1444</v>
      </c>
      <c r="B1846" s="344" t="s">
        <v>446</v>
      </c>
      <c r="C1846" s="345"/>
      <c r="D1846" s="398"/>
      <c r="E1846" s="31"/>
      <c r="F1846" s="268"/>
      <c r="G1846" s="269"/>
      <c r="H1846" s="269"/>
      <c r="I1846" s="270"/>
      <c r="J1846" s="32" t="s">
        <v>448</v>
      </c>
      <c r="K1846" s="270"/>
      <c r="L1846" s="270"/>
      <c r="M1846" s="39"/>
      <c r="N1846" s="39"/>
      <c r="O1846" s="47"/>
      <c r="P1846" s="57"/>
      <c r="Q1846" s="276"/>
      <c r="R1846" s="277"/>
      <c r="S1846" s="277"/>
      <c r="T1846" s="40"/>
      <c r="U1846" s="278"/>
      <c r="V1846" s="269"/>
      <c r="W1846" s="269"/>
      <c r="X1846" s="275"/>
      <c r="Y1846" s="269"/>
      <c r="Z1846" s="357"/>
      <c r="AA1846" s="207"/>
      <c r="AB1846" s="369"/>
      <c r="AC1846" s="370"/>
      <c r="AD1846" s="332"/>
      <c r="AE1846" s="216"/>
      <c r="AF1846" s="43"/>
      <c r="AG1846" s="47"/>
      <c r="AH1846" s="30"/>
      <c r="AI1846" s="30"/>
      <c r="AJ1846" s="30"/>
      <c r="AK1846" s="30"/>
      <c r="AL1846" s="13"/>
      <c r="AM1846" s="13"/>
      <c r="AN1846" s="13"/>
      <c r="AO1846" s="13"/>
      <c r="AP1846" s="13"/>
      <c r="AQ1846" s="14"/>
      <c r="AR1846" s="15"/>
    </row>
    <row r="1847" spans="1:44" s="17" customFormat="1" ht="30.95" hidden="1" customHeight="1" x14ac:dyDescent="0.2">
      <c r="A1847" s="343"/>
      <c r="B1847" s="344"/>
      <c r="C1847" s="345"/>
      <c r="D1847" s="398"/>
      <c r="E1847" s="31"/>
      <c r="F1847" s="268"/>
      <c r="G1847" s="269"/>
      <c r="H1847" s="269"/>
      <c r="I1847" s="270"/>
      <c r="J1847" s="32"/>
      <c r="K1847" s="270"/>
      <c r="L1847" s="270"/>
      <c r="M1847" s="39"/>
      <c r="N1847" s="39"/>
      <c r="O1847" s="47"/>
      <c r="P1847" s="57"/>
      <c r="Q1847" s="276"/>
      <c r="R1847" s="277"/>
      <c r="S1847" s="277"/>
      <c r="T1847" s="40"/>
      <c r="U1847" s="278"/>
      <c r="V1847" s="269"/>
      <c r="W1847" s="269"/>
      <c r="X1847" s="275"/>
      <c r="Y1847" s="269"/>
      <c r="Z1847" s="357"/>
      <c r="AA1847" s="207"/>
      <c r="AB1847" s="369"/>
      <c r="AC1847" s="370"/>
      <c r="AD1847" s="332"/>
      <c r="AE1847" s="216"/>
      <c r="AF1847" s="43"/>
      <c r="AG1847" s="47"/>
      <c r="AH1847" s="30"/>
      <c r="AI1847" s="30"/>
      <c r="AJ1847" s="30"/>
      <c r="AK1847" s="30"/>
      <c r="AL1847" s="13"/>
      <c r="AM1847" s="13"/>
      <c r="AN1847" s="13"/>
      <c r="AO1847" s="13"/>
      <c r="AP1847" s="13"/>
      <c r="AQ1847" s="14"/>
      <c r="AR1847" s="15"/>
    </row>
    <row r="1848" spans="1:44" s="17" customFormat="1" ht="30.6" hidden="1" customHeight="1" x14ac:dyDescent="0.2">
      <c r="A1848" s="320" t="s">
        <v>1384</v>
      </c>
      <c r="B1848" s="321" t="s">
        <v>462</v>
      </c>
      <c r="C1848" s="345"/>
      <c r="D1848" s="398">
        <v>3766762</v>
      </c>
      <c r="E1848" s="31">
        <v>4151785</v>
      </c>
      <c r="F1848" s="268" t="str">
        <f>IF(D1848="","",VLOOKUP(D1848,契約台帳!$A$3:$K$4986,6,FALSE)&amp;VLOOKUP(D1848,契約台帳!$A$3:$K$4986,7,FALSE)&amp;VLOOKUP(D1848,契約台帳!$A$3:$K$4986,8,FALSE)&amp;VLOOKUP(D1848,契約台帳!$A$3:$K$4986,9,FALSE)&amp;VLOOKUP(D1848,契約台帳!$A$3:$K$4986,11,FALSE))</f>
        <v>3SNMLBMNGTBF</v>
      </c>
      <c r="G1848" s="269" t="str">
        <f>IF(D1848="","",VLOOKUP(F1848,製品マスタ!$G$5:$H$5002,2,FALSE))</f>
        <v>S</v>
      </c>
      <c r="H1848" s="269" t="str">
        <f>IF(D1848="","",VLOOKUP(F1848,製品マスタ!$G$5:$K$5002,5,FALSE))</f>
        <v>MNGTBF</v>
      </c>
      <c r="I1848" s="270" t="str">
        <f>IF(D1848="","",VLOOKUP(F1848,製品マスタ!$G$5:$L$5002,6,FALSE))</f>
        <v>メタルミー　ネーマー　銀艶　Ｂ</v>
      </c>
      <c r="J1848" s="32" t="s">
        <v>447</v>
      </c>
      <c r="K1848" s="270">
        <f>IF(D1848="","",VLOOKUP(D1848,契約台帳!$A$3:$L$4986,12,FALSE))</f>
        <v>50</v>
      </c>
      <c r="L1848" s="270" t="str">
        <f>IF(D1848="","",INDEX(製品マスタ!$Q$5:$Q$5002,MATCH(F1848&amp;K1848,製品マスタ!$AO$5:$AO$5002,0)))</f>
        <v>T62</v>
      </c>
      <c r="M1848" s="39">
        <v>1120</v>
      </c>
      <c r="N1848" s="39">
        <v>8000</v>
      </c>
      <c r="O1848" s="47">
        <v>6</v>
      </c>
      <c r="P1848" s="57"/>
      <c r="Q1848" s="276">
        <f>IF(D1848="","",IF(J1848="リード付け",M1848,VLOOKUP(D1848,契約台帳!$A$3:$N$4986,14,FALSE)))</f>
        <v>1120</v>
      </c>
      <c r="R1848" s="277">
        <f>IF(D1848="","",IF(J1848="リード付け",M1848,VLOOKUP(D1848,契約台帳!$A$3:$O$4986,15,FALSE)))</f>
        <v>1120</v>
      </c>
      <c r="S1848" s="277">
        <v>4000</v>
      </c>
      <c r="T1848" s="40">
        <v>12</v>
      </c>
      <c r="U1848" s="278">
        <f ca="1">IF(D1848="","",IF(OFFSET(D1848,-2,0)=D1848,"",VLOOKUP(D1848,契約台帳!$A$3:$R$4986,18,FALSE)))</f>
        <v>22</v>
      </c>
      <c r="V1848" s="269" t="str">
        <f>IF(J1848="巻返し",VLOOKUP(F1848&amp;K1848&amp;M1848,製品マスタ!$M$5:$AD$5002,18,FALSE),IF(J1848="リード付け","原反コア",IF(J1848="スリット",VLOOKUP(F1848&amp;K1848&amp;Q1848,製品マスタ!$N$5:$AD$5002,17,FALSE),"")))</f>
        <v>6ｲﾝﾁSｺｱ</v>
      </c>
      <c r="W1848" s="269">
        <f>IF(J1848="巻返し",VLOOKUP(F1848&amp;K1848&amp;M1848,製品マスタ!$M$5:$AE$5002,19,FALSE),IF(J1848="リード付け","-",IF(J1848="スリット",VLOOKUP(F1848&amp;K1848&amp;Q1848,製品マスタ!$N$5:$AE$5002,18,FALSE),"")))</f>
        <v>1125</v>
      </c>
      <c r="X1848" s="275">
        <f>IF(D1848="","",VLOOKUP(D1848,契約台帳!$A$3:$Q$4986,17,FALSE))</f>
        <v>2</v>
      </c>
      <c r="Y1848" s="269" t="str">
        <f>IF(D1848="","",VLOOKUP(D1848,契約台帳!$A$3:$E$4986,5,FALSE))</f>
        <v>リンテック㈱</v>
      </c>
      <c r="Z1848" s="357"/>
      <c r="AA1848" s="207"/>
      <c r="AB1848" s="369"/>
      <c r="AC1848" s="370"/>
      <c r="AD1848" s="332" t="str">
        <f>IF(F1848="","",+F1848&amp;K1848)</f>
        <v>3SNMLBMNGTBF50</v>
      </c>
      <c r="AE1848" s="216">
        <f>+M1848*N1848*O1848/1000</f>
        <v>53760</v>
      </c>
      <c r="AF1848" s="43">
        <f>IF(AD1848="","",VLOOKUP(AD1848,原価マスタ!$A$2:$AJ$1693,13,FALSE))</f>
        <v>99</v>
      </c>
      <c r="AG1848" s="47">
        <f>IF(AF1848="","",+AE1848*AF1848/100)</f>
        <v>53222.400000000001</v>
      </c>
      <c r="AH1848" s="30"/>
      <c r="AI1848" s="30"/>
      <c r="AJ1848" s="30"/>
      <c r="AK1848" s="30"/>
      <c r="AL1848" s="13"/>
      <c r="AM1848" s="13"/>
      <c r="AN1848" s="13"/>
      <c r="AO1848" s="13"/>
      <c r="AP1848" s="13"/>
      <c r="AQ1848" s="14"/>
      <c r="AR1848" s="15"/>
    </row>
    <row r="1849" spans="1:44" s="17" customFormat="1" ht="30.95" hidden="1" customHeight="1" x14ac:dyDescent="0.2">
      <c r="A1849" s="343"/>
      <c r="B1849" s="344"/>
      <c r="C1849" s="345"/>
      <c r="D1849" s="398"/>
      <c r="E1849" s="31"/>
      <c r="F1849" s="268"/>
      <c r="G1849" s="269"/>
      <c r="H1849" s="269"/>
      <c r="I1849" s="270"/>
      <c r="J1849" s="32"/>
      <c r="K1849" s="270"/>
      <c r="L1849" s="270"/>
      <c r="M1849" s="39"/>
      <c r="N1849" s="39"/>
      <c r="O1849" s="47"/>
      <c r="P1849" s="57"/>
      <c r="Q1849" s="276"/>
      <c r="R1849" s="277"/>
      <c r="S1849" s="277"/>
      <c r="T1849" s="40"/>
      <c r="U1849" s="278"/>
      <c r="V1849" s="269"/>
      <c r="W1849" s="269"/>
      <c r="X1849" s="275"/>
      <c r="Y1849" s="269"/>
      <c r="Z1849" s="357"/>
      <c r="AA1849" s="207"/>
      <c r="AB1849" s="369"/>
      <c r="AC1849" s="370"/>
      <c r="AD1849" s="332"/>
      <c r="AE1849" s="216"/>
      <c r="AF1849" s="43"/>
      <c r="AG1849" s="47"/>
      <c r="AH1849" s="30"/>
      <c r="AI1849" s="30"/>
      <c r="AJ1849" s="30"/>
      <c r="AK1849" s="30"/>
      <c r="AL1849" s="13"/>
      <c r="AM1849" s="13"/>
      <c r="AN1849" s="13"/>
      <c r="AO1849" s="13"/>
      <c r="AP1849" s="13"/>
      <c r="AQ1849" s="14"/>
      <c r="AR1849" s="15"/>
    </row>
    <row r="1850" spans="1:44" s="17" customFormat="1" ht="30.6" hidden="1" customHeight="1" x14ac:dyDescent="0.2">
      <c r="A1850" s="320" t="s">
        <v>1385</v>
      </c>
      <c r="B1850" s="321" t="s">
        <v>688</v>
      </c>
      <c r="C1850" s="345"/>
      <c r="D1850" s="398">
        <v>3766762</v>
      </c>
      <c r="E1850" s="31">
        <v>4151785</v>
      </c>
      <c r="F1850" s="268" t="str">
        <f>IF(D1850="","",VLOOKUP(D1850,契約台帳!$A$3:$K$4986,6,FALSE)&amp;VLOOKUP(D1850,契約台帳!$A$3:$K$4986,7,FALSE)&amp;VLOOKUP(D1850,契約台帳!$A$3:$K$4986,8,FALSE)&amp;VLOOKUP(D1850,契約台帳!$A$3:$K$4986,9,FALSE)&amp;VLOOKUP(D1850,契約台帳!$A$3:$K$4986,11,FALSE))</f>
        <v>3SNMLBMNGTBF</v>
      </c>
      <c r="G1850" s="269" t="str">
        <f>IF(D1850="","",VLOOKUP(F1850,製品マスタ!$G$5:$H$5002,2,FALSE))</f>
        <v>S</v>
      </c>
      <c r="H1850" s="269" t="str">
        <f>IF(D1850="","",VLOOKUP(F1850,製品マスタ!$G$5:$K$5002,5,FALSE))</f>
        <v>MNGTBF</v>
      </c>
      <c r="I1850" s="270" t="str">
        <f>IF(D1850="","",VLOOKUP(F1850,製品マスタ!$G$5:$L$5002,6,FALSE))</f>
        <v>メタルミー　ネーマー　銀艶　Ｂ</v>
      </c>
      <c r="J1850" s="32" t="s">
        <v>447</v>
      </c>
      <c r="K1850" s="270">
        <f>IF(D1850="","",VLOOKUP(D1850,契約台帳!$A$3:$L$4986,12,FALSE))</f>
        <v>50</v>
      </c>
      <c r="L1850" s="270" t="str">
        <f>IF(D1850="","",INDEX(製品マスタ!$Q$5:$Q$5002,MATCH(F1850&amp;K1850,製品マスタ!$AO$5:$AO$5002,0)))</f>
        <v>T62</v>
      </c>
      <c r="M1850" s="39">
        <v>1120</v>
      </c>
      <c r="N1850" s="39">
        <v>8000</v>
      </c>
      <c r="O1850" s="47">
        <v>1</v>
      </c>
      <c r="P1850" s="57"/>
      <c r="Q1850" s="276">
        <f>IF(D1850="","",IF(J1850="リード付け",M1850,VLOOKUP(D1850,契約台帳!$A$3:$N$4986,14,FALSE)))</f>
        <v>1120</v>
      </c>
      <c r="R1850" s="277">
        <f>IF(D1850="","",IF(J1850="リード付け",M1850,VLOOKUP(D1850,契約台帳!$A$3:$O$4986,15,FALSE)))</f>
        <v>1120</v>
      </c>
      <c r="S1850" s="277">
        <v>4000</v>
      </c>
      <c r="T1850" s="40">
        <v>2</v>
      </c>
      <c r="U1850" s="278" t="str">
        <f ca="1">IF(D1850="","",IF(OFFSET(D1850,-2,0)=D1850,"",VLOOKUP(D1850,契約台帳!$A$3:$R$4986,18,FALSE)))</f>
        <v/>
      </c>
      <c r="V1850" s="269" t="str">
        <f>IF(J1850="巻返し",VLOOKUP(F1850&amp;K1850&amp;M1850,製品マスタ!$M$5:$AD$5002,18,FALSE),IF(J1850="リード付け","原反コア",IF(J1850="スリット",VLOOKUP(F1850&amp;K1850&amp;Q1850,製品マスタ!$N$5:$AD$5002,17,FALSE),"")))</f>
        <v>6ｲﾝﾁSｺｱ</v>
      </c>
      <c r="W1850" s="269">
        <f>IF(J1850="巻返し",VLOOKUP(F1850&amp;K1850&amp;M1850,製品マスタ!$M$5:$AE$5002,19,FALSE),IF(J1850="リード付け","-",IF(J1850="スリット",VLOOKUP(F1850&amp;K1850&amp;Q1850,製品マスタ!$N$5:$AE$5002,18,FALSE),"")))</f>
        <v>1125</v>
      </c>
      <c r="X1850" s="275">
        <f>IF(D1850="","",VLOOKUP(D1850,契約台帳!$A$3:$Q$4986,17,FALSE))</f>
        <v>2</v>
      </c>
      <c r="Y1850" s="269" t="str">
        <f>IF(D1850="","",VLOOKUP(D1850,契約台帳!$A$3:$E$4986,5,FALSE))</f>
        <v>リンテック㈱</v>
      </c>
      <c r="Z1850" s="357"/>
      <c r="AA1850" s="207"/>
      <c r="AB1850" s="369"/>
      <c r="AC1850" s="370"/>
      <c r="AD1850" s="332" t="str">
        <f>IF(F1850="","",+F1850&amp;K1850)</f>
        <v>3SNMLBMNGTBF50</v>
      </c>
      <c r="AE1850" s="216">
        <f>+M1850*N1850*O1850/1000</f>
        <v>8960</v>
      </c>
      <c r="AF1850" s="43">
        <f>IF(AD1850="","",VLOOKUP(AD1850,原価マスタ!$A$2:$AJ$1693,13,FALSE))</f>
        <v>99</v>
      </c>
      <c r="AG1850" s="47">
        <f>IF(AF1850="","",+AE1850*AF1850/100)</f>
        <v>8870.4</v>
      </c>
      <c r="AH1850" s="30"/>
      <c r="AI1850" s="30"/>
      <c r="AJ1850" s="30"/>
      <c r="AK1850" s="30"/>
      <c r="AL1850" s="13"/>
      <c r="AM1850" s="13"/>
      <c r="AN1850" s="13"/>
      <c r="AO1850" s="13"/>
      <c r="AP1850" s="13"/>
      <c r="AQ1850" s="14"/>
      <c r="AR1850" s="15"/>
    </row>
    <row r="1851" spans="1:44" s="17" customFormat="1" ht="30.95" hidden="1" customHeight="1" x14ac:dyDescent="0.2">
      <c r="A1851" s="343"/>
      <c r="B1851" s="344"/>
      <c r="C1851" s="345"/>
      <c r="D1851" s="398"/>
      <c r="E1851" s="31"/>
      <c r="F1851" s="268"/>
      <c r="G1851" s="269"/>
      <c r="H1851" s="269"/>
      <c r="I1851" s="270"/>
      <c r="J1851" s="32"/>
      <c r="K1851" s="270"/>
      <c r="L1851" s="270"/>
      <c r="M1851" s="39"/>
      <c r="N1851" s="39"/>
      <c r="O1851" s="47"/>
      <c r="P1851" s="57"/>
      <c r="Q1851" s="276"/>
      <c r="R1851" s="277"/>
      <c r="S1851" s="277"/>
      <c r="T1851" s="40"/>
      <c r="U1851" s="278"/>
      <c r="V1851" s="269"/>
      <c r="W1851" s="269"/>
      <c r="X1851" s="275"/>
      <c r="Y1851" s="269"/>
      <c r="Z1851" s="357"/>
      <c r="AA1851" s="207"/>
      <c r="AB1851" s="369"/>
      <c r="AC1851" s="370"/>
      <c r="AD1851" s="332"/>
      <c r="AE1851" s="216"/>
      <c r="AF1851" s="43"/>
      <c r="AG1851" s="47"/>
      <c r="AH1851" s="30"/>
      <c r="AI1851" s="30"/>
      <c r="AJ1851" s="30"/>
      <c r="AK1851" s="30"/>
      <c r="AL1851" s="13"/>
      <c r="AM1851" s="13"/>
      <c r="AN1851" s="13"/>
      <c r="AO1851" s="13"/>
      <c r="AP1851" s="13"/>
      <c r="AQ1851" s="14"/>
      <c r="AR1851" s="15"/>
    </row>
    <row r="1852" spans="1:44" s="17" customFormat="1" ht="30.6" hidden="1" customHeight="1" x14ac:dyDescent="0.2">
      <c r="A1852" s="320"/>
      <c r="B1852" s="321"/>
      <c r="C1852" s="345"/>
      <c r="D1852" s="398">
        <v>3767091</v>
      </c>
      <c r="E1852" s="31">
        <v>4151773</v>
      </c>
      <c r="F1852" s="268" t="str">
        <f>IF(D1852="","",VLOOKUP(D1852,契約台帳!$A$3:$K$4986,6,FALSE)&amp;VLOOKUP(D1852,契約台帳!$A$3:$K$4986,7,FALSE)&amp;VLOOKUP(D1852,契約台帳!$A$3:$K$4986,8,FALSE)&amp;VLOOKUP(D1852,契約台帳!$A$3:$K$4986,9,FALSE)&amp;VLOOKUP(D1852,契約台帳!$A$3:$K$4986,11,FALSE))</f>
        <v>3SYMLBMSSMBF</v>
      </c>
      <c r="G1852" s="269" t="str">
        <f>IF(D1852="","",VLOOKUP(F1852,製品マスタ!$G$5:$H$5002,2,FALSE))</f>
        <v>S</v>
      </c>
      <c r="H1852" s="269" t="str">
        <f>IF(D1852="","",VLOOKUP(F1852,製品マスタ!$G$5:$K$5002,5,FALSE))</f>
        <v>MSSMBF</v>
      </c>
      <c r="I1852" s="270" t="str">
        <f>IF(D1852="","",VLOOKUP(F1852,製品マスタ!$G$5:$L$5002,6,FALSE))</f>
        <v>ＭＥＴＡＬＵＭＹ　ＳＩＬＶＥＲ　Ｓ－ＭＡＴＴＥ　Ｓ２８ＭＭ　Ｂ</v>
      </c>
      <c r="J1852" s="32" t="s">
        <v>447</v>
      </c>
      <c r="K1852" s="270">
        <f>IF(D1852="","",VLOOKUP(D1852,契約台帳!$A$3:$L$4986,12,FALSE))</f>
        <v>25</v>
      </c>
      <c r="L1852" s="270" t="str">
        <f>IF(D1852="","",INDEX(製品マスタ!$Q$5:$Q$5002,MATCH(F1852&amp;K1852,製品マスタ!$AO$5:$AO$5002,0)))</f>
        <v>LI-MAT</v>
      </c>
      <c r="M1852" s="39">
        <v>1120</v>
      </c>
      <c r="N1852" s="39">
        <v>16000</v>
      </c>
      <c r="O1852" s="47">
        <v>1</v>
      </c>
      <c r="P1852" s="57"/>
      <c r="Q1852" s="276">
        <f>IF(D1852="","",IF(J1852="リード付け",M1852,VLOOKUP(D1852,契約台帳!$A$3:$N$4986,14,FALSE)))</f>
        <v>1120</v>
      </c>
      <c r="R1852" s="277">
        <f>IF(D1852="","",IF(J1852="リード付け",M1852,VLOOKUP(D1852,契約台帳!$A$3:$O$4986,15,FALSE)))</f>
        <v>1120</v>
      </c>
      <c r="S1852" s="277">
        <f>IF(D1852="","",IF(J1852="リード付け",N1852,VLOOKUP(D1852,契約台帳!$A$3:$P$4986,16,FALSE)))</f>
        <v>8000</v>
      </c>
      <c r="T1852" s="40">
        <v>2</v>
      </c>
      <c r="U1852" s="278">
        <f ca="1">IF(D1852="","",IF(OFFSET(D1852,-2,0)=D1852,"",VLOOKUP(D1852,契約台帳!$A$3:$R$4986,18,FALSE)))</f>
        <v>2</v>
      </c>
      <c r="V1852" s="269" t="str">
        <f>IF(J1852="巻返し",VLOOKUP(F1852&amp;K1852&amp;M1852,製品マスタ!$M$5:$AD$5002,18,FALSE),IF(J1852="リード付け","原反コア",IF(J1852="スリット",VLOOKUP(F1852&amp;K1852&amp;Q1852,製品マスタ!$N$5:$AD$5002,17,FALSE),"")))</f>
        <v>6ｲﾝﾁSｺｱ</v>
      </c>
      <c r="W1852" s="269">
        <f>IF(J1852="巻返し",VLOOKUP(F1852&amp;K1852&amp;M1852,製品マスタ!$M$5:$AE$5002,19,FALSE),IF(J1852="リード付け","-",IF(J1852="スリット",VLOOKUP(F1852&amp;K1852&amp;Q1852,製品マスタ!$N$5:$AE$5002,18,FALSE),"")))</f>
        <v>1125</v>
      </c>
      <c r="X1852" s="275">
        <f>IF(D1852="","",VLOOKUP(D1852,契約台帳!$A$3:$Q$4986,17,FALSE))</f>
        <v>2</v>
      </c>
      <c r="Y1852" s="269" t="str">
        <f>IF(D1852="","",VLOOKUP(D1852,契約台帳!$A$3:$E$4986,5,FALSE))</f>
        <v>リンテック㈱</v>
      </c>
      <c r="Z1852" s="357"/>
      <c r="AA1852" s="207"/>
      <c r="AB1852" s="369"/>
      <c r="AC1852" s="370"/>
      <c r="AD1852" s="332" t="str">
        <f>IF(F1852="","",+F1852&amp;K1852)</f>
        <v>3SYMLBMSSMBF25</v>
      </c>
      <c r="AE1852" s="216">
        <f>+M1852*N1852*O1852/1000</f>
        <v>17920</v>
      </c>
      <c r="AF1852" s="43" t="e">
        <f>IF(AD1852="","",VLOOKUP(AD1852,原価マスタ!$A$2:$AJ$1693,13,FALSE))</f>
        <v>#N/A</v>
      </c>
      <c r="AG1852" s="47" t="e">
        <f>IF(AF1852="","",+AE1852*AF1852/100)</f>
        <v>#N/A</v>
      </c>
      <c r="AH1852" s="30"/>
      <c r="AI1852" s="30"/>
      <c r="AJ1852" s="30"/>
      <c r="AK1852" s="30"/>
      <c r="AL1852" s="13"/>
      <c r="AM1852" s="13"/>
      <c r="AN1852" s="13"/>
      <c r="AO1852" s="13"/>
      <c r="AP1852" s="13"/>
      <c r="AQ1852" s="14"/>
      <c r="AR1852" s="15"/>
    </row>
    <row r="1853" spans="1:44" s="17" customFormat="1" ht="30.95" hidden="1" customHeight="1" x14ac:dyDescent="0.2">
      <c r="A1853" s="343"/>
      <c r="B1853" s="344"/>
      <c r="C1853" s="345"/>
      <c r="D1853" s="398"/>
      <c r="E1853" s="31"/>
      <c r="F1853" s="268"/>
      <c r="G1853" s="269"/>
      <c r="H1853" s="269"/>
      <c r="I1853" s="270"/>
      <c r="J1853" s="32"/>
      <c r="K1853" s="270"/>
      <c r="L1853" s="270"/>
      <c r="M1853" s="39"/>
      <c r="N1853" s="39"/>
      <c r="O1853" s="47"/>
      <c r="P1853" s="57"/>
      <c r="Q1853" s="276"/>
      <c r="R1853" s="277"/>
      <c r="S1853" s="277"/>
      <c r="T1853" s="40"/>
      <c r="U1853" s="278"/>
      <c r="V1853" s="269"/>
      <c r="W1853" s="269"/>
      <c r="X1853" s="275"/>
      <c r="Y1853" s="269"/>
      <c r="Z1853" s="357"/>
      <c r="AA1853" s="207"/>
      <c r="AB1853" s="369"/>
      <c r="AC1853" s="370"/>
      <c r="AD1853" s="332"/>
      <c r="AE1853" s="216"/>
      <c r="AF1853" s="43"/>
      <c r="AG1853" s="47"/>
      <c r="AH1853" s="30"/>
      <c r="AI1853" s="30"/>
      <c r="AJ1853" s="30"/>
      <c r="AK1853" s="30"/>
      <c r="AL1853" s="13"/>
      <c r="AM1853" s="13"/>
      <c r="AN1853" s="13"/>
      <c r="AO1853" s="13"/>
      <c r="AP1853" s="13"/>
      <c r="AQ1853" s="14"/>
      <c r="AR1853" s="15"/>
    </row>
    <row r="1854" spans="1:44" s="17" customFormat="1" ht="30.6" hidden="1" customHeight="1" x14ac:dyDescent="0.2">
      <c r="A1854" s="320"/>
      <c r="B1854" s="321"/>
      <c r="C1854" s="345"/>
      <c r="D1854" s="398">
        <v>3766758</v>
      </c>
      <c r="E1854" s="31">
        <v>4151756</v>
      </c>
      <c r="F1854" s="268" t="str">
        <f>IF(D1854="","",VLOOKUP(D1854,契約台帳!$A$3:$K$4986,6,FALSE)&amp;VLOOKUP(D1854,契約台帳!$A$3:$K$4986,7,FALSE)&amp;VLOOKUP(D1854,契約台帳!$A$3:$K$4986,8,FALSE)&amp;VLOOKUP(D1854,契約台帳!$A$3:$K$4986,9,FALSE)&amp;VLOOKUP(D1854,契約台帳!$A$3:$K$4986,11,FALSE))</f>
        <v>3SNMLBMNGKKBF</v>
      </c>
      <c r="G1854" s="269" t="str">
        <f>IF(D1854="","",VLOOKUP(F1854,製品マスタ!$G$5:$H$5002,2,FALSE))</f>
        <v>S</v>
      </c>
      <c r="H1854" s="269" t="str">
        <f>IF(D1854="","",VLOOKUP(F1854,製品マスタ!$G$5:$K$5002,5,FALSE))</f>
        <v>MNGKKBF</v>
      </c>
      <c r="I1854" s="270" t="str">
        <f>IF(D1854="","",VLOOKUP(F1854,製品マスタ!$G$5:$L$5002,6,FALSE))</f>
        <v>メタルミー　ネーマー銀消改　Ｂ</v>
      </c>
      <c r="J1854" s="32" t="s">
        <v>447</v>
      </c>
      <c r="K1854" s="270">
        <f>IF(D1854="","",VLOOKUP(D1854,契約台帳!$A$3:$L$4986,12,FALSE))</f>
        <v>25</v>
      </c>
      <c r="L1854" s="270" t="str">
        <f>IF(D1854="","",INDEX(製品マスタ!$Q$5:$Q$5002,MATCH(F1854&amp;K1854,製品マスタ!$AO$5:$AO$5002,0)))</f>
        <v>FMATS99</v>
      </c>
      <c r="M1854" s="39">
        <v>1120</v>
      </c>
      <c r="N1854" s="39">
        <v>12000</v>
      </c>
      <c r="O1854" s="47">
        <v>1</v>
      </c>
      <c r="P1854" s="57"/>
      <c r="Q1854" s="276">
        <f>IF(D1854="","",IF(J1854="リード付け",M1854,VLOOKUP(D1854,契約台帳!$A$3:$N$4986,14,FALSE)))</f>
        <v>1120</v>
      </c>
      <c r="R1854" s="277">
        <f>IF(D1854="","",IF(J1854="リード付け",M1854,VLOOKUP(D1854,契約台帳!$A$3:$O$4986,15,FALSE)))</f>
        <v>1120</v>
      </c>
      <c r="S1854" s="277">
        <f>IF(D1854="","",IF(J1854="リード付け",N1854,VLOOKUP(D1854,契約台帳!$A$3:$P$4986,16,FALSE)))</f>
        <v>4000</v>
      </c>
      <c r="T1854" s="40">
        <v>3</v>
      </c>
      <c r="U1854" s="278">
        <f ca="1">IF(D1854="","",IF(OFFSET(D1854,-2,0)=D1854,"",VLOOKUP(D1854,契約台帳!$A$3:$R$4986,18,FALSE)))</f>
        <v>3</v>
      </c>
      <c r="V1854" s="269" t="str">
        <f>IF(J1854="巻返し",VLOOKUP(F1854&amp;K1854&amp;M1854,製品マスタ!$M$5:$AD$5002,18,FALSE),IF(J1854="リード付け","原反コア",IF(J1854="スリット",VLOOKUP(F1854&amp;K1854&amp;Q1854,製品マスタ!$N$5:$AD$5002,17,FALSE),"")))</f>
        <v>6ｲﾝﾁSｺｱ</v>
      </c>
      <c r="W1854" s="269">
        <f>IF(J1854="巻返し",VLOOKUP(F1854&amp;K1854&amp;M1854,製品マスタ!$M$5:$AE$5002,19,FALSE),IF(J1854="リード付け","-",IF(J1854="スリット",VLOOKUP(F1854&amp;K1854&amp;Q1854,製品マスタ!$N$5:$AE$5002,18,FALSE),"")))</f>
        <v>1125</v>
      </c>
      <c r="X1854" s="275">
        <f>IF(D1854="","",VLOOKUP(D1854,契約台帳!$A$3:$Q$4986,17,FALSE))</f>
        <v>2</v>
      </c>
      <c r="Y1854" s="269" t="str">
        <f>IF(D1854="","",VLOOKUP(D1854,契約台帳!$A$3:$E$4986,5,FALSE))</f>
        <v>リンテック㈱</v>
      </c>
      <c r="Z1854" s="357"/>
      <c r="AA1854" s="207"/>
      <c r="AB1854" s="369"/>
      <c r="AC1854" s="370"/>
      <c r="AD1854" s="332" t="str">
        <f>IF(F1854="","",+F1854&amp;K1854)</f>
        <v>3SNMLBMNGKKBF25</v>
      </c>
      <c r="AE1854" s="216">
        <f>+M1854*N1854*O1854/1000</f>
        <v>13440</v>
      </c>
      <c r="AF1854" s="43">
        <f>IF(AD1854="","",VLOOKUP(AD1854,原価マスタ!$A$2:$AJ$1693,13,FALSE))</f>
        <v>96</v>
      </c>
      <c r="AG1854" s="47">
        <f>IF(AF1854="","",+AE1854*AF1854/100)</f>
        <v>12902.4</v>
      </c>
      <c r="AH1854" s="30"/>
      <c r="AI1854" s="30"/>
      <c r="AJ1854" s="30"/>
      <c r="AK1854" s="30"/>
      <c r="AL1854" s="13"/>
      <c r="AM1854" s="13"/>
      <c r="AN1854" s="13"/>
      <c r="AO1854" s="13"/>
      <c r="AP1854" s="13"/>
      <c r="AQ1854" s="14"/>
      <c r="AR1854" s="15"/>
    </row>
    <row r="1855" spans="1:44" s="17" customFormat="1" ht="30.95" hidden="1" customHeight="1" x14ac:dyDescent="0.2">
      <c r="A1855" s="343"/>
      <c r="B1855" s="344"/>
      <c r="C1855" s="345"/>
      <c r="D1855" s="398"/>
      <c r="E1855" s="31"/>
      <c r="F1855" s="268"/>
      <c r="G1855" s="269"/>
      <c r="H1855" s="269"/>
      <c r="I1855" s="270"/>
      <c r="J1855" s="32"/>
      <c r="K1855" s="270"/>
      <c r="L1855" s="270"/>
      <c r="M1855" s="39"/>
      <c r="N1855" s="39"/>
      <c r="O1855" s="47"/>
      <c r="P1855" s="57"/>
      <c r="Q1855" s="276"/>
      <c r="R1855" s="277"/>
      <c r="S1855" s="277"/>
      <c r="T1855" s="40"/>
      <c r="U1855" s="278"/>
      <c r="V1855" s="269"/>
      <c r="W1855" s="269"/>
      <c r="X1855" s="275"/>
      <c r="Y1855" s="269"/>
      <c r="Z1855" s="357"/>
      <c r="AA1855" s="207"/>
      <c r="AB1855" s="369"/>
      <c r="AC1855" s="370"/>
      <c r="AD1855" s="332"/>
      <c r="AE1855" s="216"/>
      <c r="AF1855" s="43"/>
      <c r="AG1855" s="47"/>
      <c r="AH1855" s="30"/>
      <c r="AI1855" s="30"/>
      <c r="AJ1855" s="30"/>
      <c r="AK1855" s="30"/>
      <c r="AL1855" s="13"/>
      <c r="AM1855" s="13"/>
      <c r="AN1855" s="13"/>
      <c r="AO1855" s="13"/>
      <c r="AP1855" s="13"/>
      <c r="AQ1855" s="14"/>
      <c r="AR1855" s="15"/>
    </row>
    <row r="1856" spans="1:44" s="17" customFormat="1" ht="30.6" hidden="1" customHeight="1" x14ac:dyDescent="0.2">
      <c r="A1856" s="320"/>
      <c r="B1856" s="321"/>
      <c r="C1856" s="345"/>
      <c r="D1856" s="398">
        <v>3766760</v>
      </c>
      <c r="E1856" s="31">
        <v>4151758</v>
      </c>
      <c r="F1856" s="268" t="str">
        <f>IF(D1856="","",VLOOKUP(D1856,契約台帳!$A$3:$K$4986,6,FALSE)&amp;VLOOKUP(D1856,契約台帳!$A$3:$K$4986,7,FALSE)&amp;VLOOKUP(D1856,契約台帳!$A$3:$K$4986,8,FALSE)&amp;VLOOKUP(D1856,契約台帳!$A$3:$K$4986,9,FALSE)&amp;VLOOKUP(D1856,契約台帳!$A$3:$K$4986,11,FALSE))</f>
        <v>3SNMLBMNGKKBF</v>
      </c>
      <c r="G1856" s="269" t="str">
        <f>IF(D1856="","",VLOOKUP(F1856,製品マスタ!$G$5:$H$5002,2,FALSE))</f>
        <v>S</v>
      </c>
      <c r="H1856" s="269" t="str">
        <f>IF(D1856="","",VLOOKUP(F1856,製品マスタ!$G$5:$K$5002,5,FALSE))</f>
        <v>MNGKKBF</v>
      </c>
      <c r="I1856" s="270" t="str">
        <f>IF(D1856="","",VLOOKUP(F1856,製品マスタ!$G$5:$L$5002,6,FALSE))</f>
        <v>メタルミー　ネーマー銀消改　Ｂ</v>
      </c>
      <c r="J1856" s="32" t="s">
        <v>447</v>
      </c>
      <c r="K1856" s="270">
        <f>IF(D1856="","",VLOOKUP(D1856,契約台帳!$A$3:$L$4986,12,FALSE))</f>
        <v>50</v>
      </c>
      <c r="L1856" s="270" t="str">
        <f>IF(D1856="","",INDEX(製品マスタ!$Q$5:$Q$5002,MATCH(F1856&amp;K1856,製品マスタ!$AO$5:$AO$5002,0)))</f>
        <v>S99-MAT</v>
      </c>
      <c r="M1856" s="39">
        <v>1120</v>
      </c>
      <c r="N1856" s="39">
        <v>12000</v>
      </c>
      <c r="O1856" s="47">
        <v>2</v>
      </c>
      <c r="P1856" s="57"/>
      <c r="Q1856" s="276">
        <f>IF(D1856="","",IF(J1856="リード付け",M1856,VLOOKUP(D1856,契約台帳!$A$3:$N$4986,14,FALSE)))</f>
        <v>1120</v>
      </c>
      <c r="R1856" s="277">
        <f>IF(D1856="","",IF(J1856="リード付け",M1856,VLOOKUP(D1856,契約台帳!$A$3:$O$4986,15,FALSE)))</f>
        <v>1120</v>
      </c>
      <c r="S1856" s="277">
        <f>IF(D1856="","",IF(J1856="リード付け",N1856,VLOOKUP(D1856,契約台帳!$A$3:$P$4986,16,FALSE)))</f>
        <v>4000</v>
      </c>
      <c r="T1856" s="40">
        <v>6</v>
      </c>
      <c r="U1856" s="278">
        <f ca="1">IF(D1856="","",IF(OFFSET(D1856,-2,0)=D1856,"",VLOOKUP(D1856,契約台帳!$A$3:$R$4986,18,FALSE)))</f>
        <v>23</v>
      </c>
      <c r="V1856" s="269" t="str">
        <f>IF(J1856="巻返し",VLOOKUP(F1856&amp;K1856&amp;M1856,製品マスタ!$M$5:$AD$5002,18,FALSE),IF(J1856="リード付け","原反コア",IF(J1856="スリット",VLOOKUP(F1856&amp;K1856&amp;Q1856,製品マスタ!$N$5:$AD$5002,17,FALSE),"")))</f>
        <v>6ｲﾝﾁSｺｱ</v>
      </c>
      <c r="W1856" s="269">
        <f>IF(J1856="巻返し",VLOOKUP(F1856&amp;K1856&amp;M1856,製品マスタ!$M$5:$AE$5002,19,FALSE),IF(J1856="リード付け","-",IF(J1856="スリット",VLOOKUP(F1856&amp;K1856&amp;Q1856,製品マスタ!$N$5:$AE$5002,18,FALSE),"")))</f>
        <v>1125</v>
      </c>
      <c r="X1856" s="275">
        <f>IF(D1856="","",VLOOKUP(D1856,契約台帳!$A$3:$Q$4986,17,FALSE))</f>
        <v>2</v>
      </c>
      <c r="Y1856" s="269" t="str">
        <f>IF(D1856="","",VLOOKUP(D1856,契約台帳!$A$3:$E$4986,5,FALSE))</f>
        <v>リンテック㈱</v>
      </c>
      <c r="Z1856" s="357"/>
      <c r="AA1856" s="207"/>
      <c r="AB1856" s="369"/>
      <c r="AC1856" s="370"/>
      <c r="AD1856" s="332" t="str">
        <f>IF(F1856="","",+F1856&amp;K1856)</f>
        <v>3SNMLBMNGKKBF50</v>
      </c>
      <c r="AE1856" s="216">
        <f>+M1856*N1856*O1856/1000</f>
        <v>26880</v>
      </c>
      <c r="AF1856" s="43">
        <f>IF(AD1856="","",VLOOKUP(AD1856,原価マスタ!$A$2:$AJ$1693,13,FALSE))</f>
        <v>99</v>
      </c>
      <c r="AG1856" s="47">
        <f>IF(AF1856="","",+AE1856*AF1856/100)</f>
        <v>26611.200000000001</v>
      </c>
      <c r="AH1856" s="30"/>
      <c r="AI1856" s="30"/>
      <c r="AJ1856" s="30"/>
      <c r="AK1856" s="30"/>
      <c r="AL1856" s="13"/>
      <c r="AM1856" s="13"/>
      <c r="AN1856" s="13"/>
      <c r="AO1856" s="13"/>
      <c r="AP1856" s="13"/>
      <c r="AQ1856" s="14"/>
      <c r="AR1856" s="15"/>
    </row>
    <row r="1857" spans="1:44" s="17" customFormat="1" ht="30.95" hidden="1" customHeight="1" x14ac:dyDescent="0.2">
      <c r="A1857" s="343"/>
      <c r="B1857" s="344"/>
      <c r="C1857" s="345"/>
      <c r="D1857" s="398"/>
      <c r="E1857" s="31"/>
      <c r="F1857" s="268"/>
      <c r="G1857" s="269"/>
      <c r="H1857" s="269"/>
      <c r="I1857" s="270"/>
      <c r="J1857" s="32"/>
      <c r="K1857" s="270"/>
      <c r="L1857" s="270"/>
      <c r="M1857" s="39"/>
      <c r="N1857" s="39"/>
      <c r="O1857" s="47"/>
      <c r="P1857" s="57"/>
      <c r="Q1857" s="276"/>
      <c r="R1857" s="277"/>
      <c r="S1857" s="277"/>
      <c r="T1857" s="40"/>
      <c r="U1857" s="278"/>
      <c r="V1857" s="269"/>
      <c r="W1857" s="269"/>
      <c r="X1857" s="275"/>
      <c r="Y1857" s="269"/>
      <c r="Z1857" s="357"/>
      <c r="AA1857" s="207"/>
      <c r="AB1857" s="369"/>
      <c r="AC1857" s="370"/>
      <c r="AD1857" s="332"/>
      <c r="AE1857" s="216"/>
      <c r="AF1857" s="43"/>
      <c r="AG1857" s="47"/>
      <c r="AH1857" s="30"/>
      <c r="AI1857" s="30"/>
      <c r="AJ1857" s="30"/>
      <c r="AK1857" s="30"/>
      <c r="AL1857" s="13"/>
      <c r="AM1857" s="13"/>
      <c r="AN1857" s="13"/>
      <c r="AO1857" s="13"/>
      <c r="AP1857" s="13"/>
      <c r="AQ1857" s="14"/>
      <c r="AR1857" s="15"/>
    </row>
    <row r="1858" spans="1:44" s="233" customFormat="1" ht="30.95" hidden="1" customHeight="1" x14ac:dyDescent="0.2">
      <c r="A1858" s="399"/>
      <c r="B1858" s="400"/>
      <c r="C1858" s="401"/>
      <c r="D1858" s="396"/>
      <c r="E1858" s="219"/>
      <c r="F1858" s="281"/>
      <c r="G1858" s="282"/>
      <c r="H1858" s="282"/>
      <c r="I1858" s="283"/>
      <c r="J1858" s="220"/>
      <c r="K1858" s="283"/>
      <c r="L1858" s="283"/>
      <c r="M1858" s="221"/>
      <c r="N1858" s="221"/>
      <c r="O1858" s="222"/>
      <c r="P1858" s="213"/>
      <c r="Q1858" s="284"/>
      <c r="R1858" s="285"/>
      <c r="S1858" s="285"/>
      <c r="T1858" s="224"/>
      <c r="U1858" s="286"/>
      <c r="V1858" s="282"/>
      <c r="W1858" s="282"/>
      <c r="X1858" s="287"/>
      <c r="Y1858" s="282"/>
      <c r="Z1858" s="356"/>
      <c r="AA1858" s="288"/>
      <c r="AB1858" s="385"/>
      <c r="AC1858" s="386"/>
      <c r="AD1858" s="387"/>
      <c r="AE1858" s="423"/>
      <c r="AF1858" s="223"/>
      <c r="AG1858" s="234" t="e">
        <f>SUM(AG1772:AG1856)</f>
        <v>#N/A</v>
      </c>
      <c r="AH1858" s="229"/>
      <c r="AI1858" s="229"/>
      <c r="AJ1858" s="229"/>
      <c r="AK1858" s="229"/>
      <c r="AL1858" s="230"/>
      <c r="AM1858" s="230"/>
      <c r="AN1858" s="230"/>
      <c r="AO1858" s="230"/>
      <c r="AP1858" s="230"/>
      <c r="AQ1858" s="231"/>
      <c r="AR1858" s="232"/>
    </row>
    <row r="1859" spans="1:44" s="17" customFormat="1" ht="30.95" hidden="1" customHeight="1" x14ac:dyDescent="0.2">
      <c r="A1859" s="343"/>
      <c r="B1859" s="344"/>
      <c r="C1859" s="345"/>
      <c r="D1859" s="398"/>
      <c r="E1859" s="31"/>
      <c r="F1859" s="268"/>
      <c r="G1859" s="269"/>
      <c r="H1859" s="269"/>
      <c r="I1859" s="270"/>
      <c r="J1859" s="32"/>
      <c r="K1859" s="270"/>
      <c r="L1859" s="270"/>
      <c r="M1859" s="39"/>
      <c r="N1859" s="39"/>
      <c r="O1859" s="47"/>
      <c r="P1859" s="57"/>
      <c r="Q1859" s="276"/>
      <c r="R1859" s="277"/>
      <c r="S1859" s="277"/>
      <c r="T1859" s="40"/>
      <c r="U1859" s="278"/>
      <c r="V1859" s="269"/>
      <c r="W1859" s="269"/>
      <c r="X1859" s="275"/>
      <c r="Y1859" s="269"/>
      <c r="Z1859" s="357"/>
      <c r="AA1859" s="207"/>
      <c r="AB1859" s="369"/>
      <c r="AC1859" s="370"/>
      <c r="AD1859" s="332"/>
      <c r="AE1859" s="216"/>
      <c r="AF1859" s="43"/>
      <c r="AG1859" s="47"/>
      <c r="AH1859" s="30"/>
      <c r="AI1859" s="30"/>
      <c r="AJ1859" s="30"/>
      <c r="AK1859" s="30"/>
      <c r="AL1859" s="13"/>
      <c r="AM1859" s="13"/>
      <c r="AN1859" s="13"/>
      <c r="AO1859" s="13"/>
      <c r="AP1859" s="13"/>
      <c r="AQ1859" s="14"/>
      <c r="AR1859" s="15"/>
    </row>
    <row r="1860" spans="1:44" s="17" customFormat="1" ht="30.6" hidden="1" customHeight="1" x14ac:dyDescent="0.2">
      <c r="A1860" s="320" t="s">
        <v>3068</v>
      </c>
      <c r="B1860" s="321" t="s">
        <v>3065</v>
      </c>
      <c r="C1860" s="345"/>
      <c r="D1860" s="398">
        <v>3766760</v>
      </c>
      <c r="E1860" s="31">
        <v>4151758</v>
      </c>
      <c r="F1860" s="268" t="str">
        <f>IF(D1860="","",VLOOKUP(D1860,契約台帳!$A$3:$K$4986,6,FALSE)&amp;VLOOKUP(D1860,契約台帳!$A$3:$K$4986,7,FALSE)&amp;VLOOKUP(D1860,契約台帳!$A$3:$K$4986,8,FALSE)&amp;VLOOKUP(D1860,契約台帳!$A$3:$K$4986,9,FALSE)&amp;VLOOKUP(D1860,契約台帳!$A$3:$K$4986,11,FALSE))</f>
        <v>3SNMLBMNGKKBF</v>
      </c>
      <c r="G1860" s="269" t="str">
        <f>IF(D1860="","",VLOOKUP(F1860,製品マスタ!$G$5:$H$5002,2,FALSE))</f>
        <v>S</v>
      </c>
      <c r="H1860" s="269" t="str">
        <f>IF(D1860="","",VLOOKUP(F1860,製品マスタ!$G$5:$K$5002,5,FALSE))</f>
        <v>MNGKKBF</v>
      </c>
      <c r="I1860" s="270" t="str">
        <f>IF(D1860="","",VLOOKUP(F1860,製品マスタ!$G$5:$L$5002,6,FALSE))</f>
        <v>メタルミー　ネーマー銀消改　Ｂ</v>
      </c>
      <c r="J1860" s="32" t="s">
        <v>447</v>
      </c>
      <c r="K1860" s="270">
        <f>IF(D1860="","",VLOOKUP(D1860,契約台帳!$A$3:$L$4986,12,FALSE))</f>
        <v>50</v>
      </c>
      <c r="L1860" s="270" t="str">
        <f>IF(D1860="","",INDEX(製品マスタ!$Q$5:$Q$5002,MATCH(F1860&amp;K1860,製品マスタ!$AO$5:$AO$5002,0)))</f>
        <v>S99-MAT</v>
      </c>
      <c r="M1860" s="39">
        <v>1120</v>
      </c>
      <c r="N1860" s="39">
        <v>12000</v>
      </c>
      <c r="O1860" s="47">
        <v>5</v>
      </c>
      <c r="P1860" s="57"/>
      <c r="Q1860" s="276">
        <f>IF(D1860="","",IF(J1860="リード付け",M1860,VLOOKUP(D1860,契約台帳!$A$3:$N$4986,14,FALSE)))</f>
        <v>1120</v>
      </c>
      <c r="R1860" s="277">
        <f>IF(D1860="","",IF(J1860="リード付け",M1860,VLOOKUP(D1860,契約台帳!$A$3:$O$4986,15,FALSE)))</f>
        <v>1120</v>
      </c>
      <c r="S1860" s="277">
        <f>IF(D1860="","",IF(J1860="リード付け",N1860,VLOOKUP(D1860,契約台帳!$A$3:$P$4986,16,FALSE)))</f>
        <v>4000</v>
      </c>
      <c r="T1860" s="40">
        <v>15</v>
      </c>
      <c r="U1860" s="278">
        <f ca="1">IF(D1860="","",IF(OFFSET(D1860,-2,0)=D1860,"",VLOOKUP(D1860,契約台帳!$A$3:$R$4986,18,FALSE)))</f>
        <v>23</v>
      </c>
      <c r="V1860" s="269" t="str">
        <f>IF(J1860="巻返し",VLOOKUP(F1860&amp;K1860&amp;M1860,製品マスタ!$M$5:$AD$5002,18,FALSE),IF(J1860="リード付け","原反コア",IF(J1860="スリット",VLOOKUP(F1860&amp;K1860&amp;Q1860,製品マスタ!$N$5:$AD$5002,17,FALSE),"")))</f>
        <v>6ｲﾝﾁSｺｱ</v>
      </c>
      <c r="W1860" s="269">
        <f>IF(J1860="巻返し",VLOOKUP(F1860&amp;K1860&amp;M1860,製品マスタ!$M$5:$AE$5002,19,FALSE),IF(J1860="リード付け","-",IF(J1860="スリット",VLOOKUP(F1860&amp;K1860&amp;Q1860,製品マスタ!$N$5:$AE$5002,18,FALSE),"")))</f>
        <v>1125</v>
      </c>
      <c r="X1860" s="275">
        <f>IF(D1860="","",VLOOKUP(D1860,契約台帳!$A$3:$Q$4986,17,FALSE))</f>
        <v>2</v>
      </c>
      <c r="Y1860" s="269" t="str">
        <f>IF(D1860="","",VLOOKUP(D1860,契約台帳!$A$3:$E$4986,5,FALSE))</f>
        <v>リンテック㈱</v>
      </c>
      <c r="Z1860" s="357"/>
      <c r="AA1860" s="207"/>
      <c r="AB1860" s="369"/>
      <c r="AC1860" s="370"/>
      <c r="AD1860" s="332" t="str">
        <f>IF(F1860="","",+F1860&amp;K1860)</f>
        <v>3SNMLBMNGKKBF50</v>
      </c>
      <c r="AE1860" s="216">
        <f>+M1860*N1860*O1860/1000</f>
        <v>67200</v>
      </c>
      <c r="AF1860" s="43">
        <f>IF(AD1860="","",VLOOKUP(AD1860,原価マスタ!$A$2:$AJ$1693,13,FALSE))</f>
        <v>99</v>
      </c>
      <c r="AG1860" s="47">
        <f>IF(AF1860="","",+AE1860*AF1860/100)</f>
        <v>66528</v>
      </c>
      <c r="AH1860" s="30"/>
      <c r="AI1860" s="30"/>
      <c r="AJ1860" s="30"/>
      <c r="AK1860" s="30"/>
      <c r="AL1860" s="13"/>
      <c r="AM1860" s="13"/>
      <c r="AN1860" s="13"/>
      <c r="AO1860" s="13"/>
      <c r="AP1860" s="13"/>
      <c r="AQ1860" s="14"/>
      <c r="AR1860" s="15"/>
    </row>
    <row r="1861" spans="1:44" s="17" customFormat="1" ht="30.95" hidden="1" customHeight="1" x14ac:dyDescent="0.2">
      <c r="A1861" s="343"/>
      <c r="B1861" s="344"/>
      <c r="C1861" s="345"/>
      <c r="D1861" s="398"/>
      <c r="E1861" s="31"/>
      <c r="F1861" s="268"/>
      <c r="G1861" s="269"/>
      <c r="H1861" s="269"/>
      <c r="I1861" s="270"/>
      <c r="J1861" s="32"/>
      <c r="K1861" s="270"/>
      <c r="L1861" s="270"/>
      <c r="M1861" s="39"/>
      <c r="N1861" s="39"/>
      <c r="O1861" s="47"/>
      <c r="P1861" s="57"/>
      <c r="Q1861" s="276"/>
      <c r="R1861" s="277"/>
      <c r="S1861" s="277"/>
      <c r="T1861" s="40"/>
      <c r="U1861" s="278"/>
      <c r="V1861" s="269"/>
      <c r="W1861" s="269"/>
      <c r="X1861" s="275"/>
      <c r="Y1861" s="269"/>
      <c r="Z1861" s="357"/>
      <c r="AA1861" s="207"/>
      <c r="AB1861" s="369"/>
      <c r="AC1861" s="370"/>
      <c r="AD1861" s="332"/>
      <c r="AE1861" s="216"/>
      <c r="AF1861" s="43"/>
      <c r="AG1861" s="47"/>
      <c r="AH1861" s="30"/>
      <c r="AI1861" s="30"/>
      <c r="AJ1861" s="30"/>
      <c r="AK1861" s="30"/>
      <c r="AL1861" s="13"/>
      <c r="AM1861" s="13"/>
      <c r="AN1861" s="13"/>
      <c r="AO1861" s="13"/>
      <c r="AP1861" s="13"/>
      <c r="AQ1861" s="14"/>
      <c r="AR1861" s="15"/>
    </row>
    <row r="1862" spans="1:44" s="17" customFormat="1" ht="30.95" hidden="1" customHeight="1" x14ac:dyDescent="0.2">
      <c r="A1862" s="343"/>
      <c r="B1862" s="344"/>
      <c r="C1862" s="345"/>
      <c r="D1862" s="398"/>
      <c r="E1862" s="31"/>
      <c r="F1862" s="268"/>
      <c r="G1862" s="269"/>
      <c r="H1862" s="269"/>
      <c r="I1862" s="341" t="s">
        <v>3090</v>
      </c>
      <c r="J1862" s="32"/>
      <c r="K1862" s="270"/>
      <c r="L1862" s="270"/>
      <c r="M1862" s="39"/>
      <c r="N1862" s="39"/>
      <c r="O1862" s="47"/>
      <c r="P1862" s="57"/>
      <c r="Q1862" s="276"/>
      <c r="R1862" s="277"/>
      <c r="S1862" s="277"/>
      <c r="T1862" s="40"/>
      <c r="U1862" s="278"/>
      <c r="V1862" s="269"/>
      <c r="W1862" s="269"/>
      <c r="X1862" s="275"/>
      <c r="Y1862" s="269"/>
      <c r="Z1862" s="357"/>
      <c r="AA1862" s="207"/>
      <c r="AB1862" s="369"/>
      <c r="AC1862" s="370"/>
      <c r="AD1862" s="332"/>
      <c r="AE1862" s="216"/>
      <c r="AF1862" s="43"/>
      <c r="AG1862" s="47"/>
      <c r="AH1862" s="30"/>
      <c r="AI1862" s="30"/>
      <c r="AJ1862" s="30"/>
      <c r="AK1862" s="30"/>
      <c r="AL1862" s="13"/>
      <c r="AM1862" s="13"/>
      <c r="AN1862" s="13"/>
      <c r="AO1862" s="13"/>
      <c r="AP1862" s="13"/>
      <c r="AQ1862" s="14"/>
      <c r="AR1862" s="15"/>
    </row>
    <row r="1863" spans="1:44" s="17" customFormat="1" ht="30.95" hidden="1" customHeight="1" x14ac:dyDescent="0.2">
      <c r="A1863" s="343"/>
      <c r="B1863" s="344"/>
      <c r="C1863" s="345"/>
      <c r="D1863" s="398"/>
      <c r="E1863" s="31"/>
      <c r="F1863" s="268"/>
      <c r="G1863" s="269"/>
      <c r="H1863" s="269"/>
      <c r="I1863" s="270"/>
      <c r="J1863" s="32"/>
      <c r="K1863" s="270"/>
      <c r="L1863" s="270"/>
      <c r="M1863" s="39"/>
      <c r="N1863" s="39"/>
      <c r="O1863" s="47"/>
      <c r="P1863" s="57"/>
      <c r="Q1863" s="276"/>
      <c r="R1863" s="277"/>
      <c r="S1863" s="277"/>
      <c r="T1863" s="40"/>
      <c r="U1863" s="278"/>
      <c r="V1863" s="269"/>
      <c r="W1863" s="269"/>
      <c r="X1863" s="275"/>
      <c r="Y1863" s="269"/>
      <c r="Z1863" s="357"/>
      <c r="AA1863" s="207"/>
      <c r="AB1863" s="369"/>
      <c r="AC1863" s="370"/>
      <c r="AD1863" s="332"/>
      <c r="AE1863" s="216"/>
      <c r="AF1863" s="43"/>
      <c r="AG1863" s="47"/>
      <c r="AH1863" s="30"/>
      <c r="AI1863" s="30"/>
      <c r="AJ1863" s="30"/>
      <c r="AK1863" s="30"/>
      <c r="AL1863" s="13"/>
      <c r="AM1863" s="13"/>
      <c r="AN1863" s="13"/>
      <c r="AO1863" s="13"/>
      <c r="AP1863" s="13"/>
      <c r="AQ1863" s="14"/>
      <c r="AR1863" s="15"/>
    </row>
    <row r="1864" spans="1:44" s="17" customFormat="1" ht="30.6" hidden="1" customHeight="1" x14ac:dyDescent="0.2">
      <c r="A1864" s="320" t="s">
        <v>1386</v>
      </c>
      <c r="B1864" s="321" t="s">
        <v>443</v>
      </c>
      <c r="C1864" s="345"/>
      <c r="D1864" s="398">
        <v>3766760</v>
      </c>
      <c r="E1864" s="31">
        <v>4151758</v>
      </c>
      <c r="F1864" s="268" t="str">
        <f>IF(D1864="","",VLOOKUP(D1864,契約台帳!$A$3:$K$4986,6,FALSE)&amp;VLOOKUP(D1864,契約台帳!$A$3:$K$4986,7,FALSE)&amp;VLOOKUP(D1864,契約台帳!$A$3:$K$4986,8,FALSE)&amp;VLOOKUP(D1864,契約台帳!$A$3:$K$4986,9,FALSE)&amp;VLOOKUP(D1864,契約台帳!$A$3:$K$4986,11,FALSE))</f>
        <v>3SNMLBMNGKKBF</v>
      </c>
      <c r="G1864" s="269" t="str">
        <f>IF(D1864="","",VLOOKUP(F1864,製品マスタ!$G$5:$H$5002,2,FALSE))</f>
        <v>S</v>
      </c>
      <c r="H1864" s="269" t="str">
        <f>IF(D1864="","",VLOOKUP(F1864,製品マスタ!$G$5:$K$5002,5,FALSE))</f>
        <v>MNGKKBF</v>
      </c>
      <c r="I1864" s="270" t="str">
        <f>IF(D1864="","",VLOOKUP(F1864,製品マスタ!$G$5:$L$5002,6,FALSE))</f>
        <v>メタルミー　ネーマー銀消改　Ｂ</v>
      </c>
      <c r="J1864" s="32" t="s">
        <v>447</v>
      </c>
      <c r="K1864" s="270">
        <f>IF(D1864="","",VLOOKUP(D1864,契約台帳!$A$3:$L$4986,12,FALSE))</f>
        <v>50</v>
      </c>
      <c r="L1864" s="270" t="str">
        <f>IF(D1864="","",INDEX(製品マスタ!$Q$5:$Q$5002,MATCH(F1864&amp;K1864,製品マスタ!$AO$5:$AO$5002,0)))</f>
        <v>S99-MAT</v>
      </c>
      <c r="M1864" s="39">
        <v>1120</v>
      </c>
      <c r="N1864" s="39">
        <v>8000</v>
      </c>
      <c r="O1864" s="47">
        <v>1</v>
      </c>
      <c r="P1864" s="57"/>
      <c r="Q1864" s="276">
        <f>IF(D1864="","",IF(J1864="リード付け",M1864,VLOOKUP(D1864,契約台帳!$A$3:$N$4986,14,FALSE)))</f>
        <v>1120</v>
      </c>
      <c r="R1864" s="277">
        <f>IF(D1864="","",IF(J1864="リード付け",M1864,VLOOKUP(D1864,契約台帳!$A$3:$O$4986,15,FALSE)))</f>
        <v>1120</v>
      </c>
      <c r="S1864" s="277">
        <f>IF(D1864="","",IF(J1864="リード付け",N1864,VLOOKUP(D1864,契約台帳!$A$3:$P$4986,16,FALSE)))</f>
        <v>4000</v>
      </c>
      <c r="T1864" s="40">
        <v>2</v>
      </c>
      <c r="U1864" s="278">
        <f ca="1">IF(D1864="","",IF(OFFSET(D1864,-2,0)=D1864,"",VLOOKUP(D1864,契約台帳!$A$3:$R$4986,18,FALSE)))</f>
        <v>23</v>
      </c>
      <c r="V1864" s="269" t="str">
        <f>IF(J1864="巻返し",VLOOKUP(F1864&amp;K1864&amp;M1864,製品マスタ!$M$5:$AD$5002,18,FALSE),IF(J1864="リード付け","原反コア",IF(J1864="スリット",VLOOKUP(F1864&amp;K1864&amp;Q1864,製品マスタ!$N$5:$AD$5002,17,FALSE),"")))</f>
        <v>6ｲﾝﾁSｺｱ</v>
      </c>
      <c r="W1864" s="269">
        <f>IF(J1864="巻返し",VLOOKUP(F1864&amp;K1864&amp;M1864,製品マスタ!$M$5:$AE$5002,19,FALSE),IF(J1864="リード付け","-",IF(J1864="スリット",VLOOKUP(F1864&amp;K1864&amp;Q1864,製品マスタ!$N$5:$AE$5002,18,FALSE),"")))</f>
        <v>1125</v>
      </c>
      <c r="X1864" s="275">
        <f>IF(D1864="","",VLOOKUP(D1864,契約台帳!$A$3:$Q$4986,17,FALSE))</f>
        <v>2</v>
      </c>
      <c r="Y1864" s="269" t="str">
        <f>IF(D1864="","",VLOOKUP(D1864,契約台帳!$A$3:$E$4986,5,FALSE))</f>
        <v>リンテック㈱</v>
      </c>
      <c r="Z1864" s="357"/>
      <c r="AA1864" s="207"/>
      <c r="AB1864" s="369"/>
      <c r="AC1864" s="370"/>
      <c r="AD1864" s="332" t="str">
        <f>IF(F1864="","",+F1864&amp;K1864)</f>
        <v>3SNMLBMNGKKBF50</v>
      </c>
      <c r="AE1864" s="216">
        <f>+M1864*N1864*O1864/1000</f>
        <v>8960</v>
      </c>
      <c r="AF1864" s="43">
        <f>IF(AD1864="","",VLOOKUP(AD1864,原価マスタ!$A$2:$AJ$1693,13,FALSE))</f>
        <v>99</v>
      </c>
      <c r="AG1864" s="47">
        <f>IF(AF1864="","",+AE1864*AF1864/100)</f>
        <v>8870.4</v>
      </c>
      <c r="AH1864" s="30"/>
      <c r="AI1864" s="30"/>
      <c r="AJ1864" s="30"/>
      <c r="AK1864" s="30"/>
      <c r="AL1864" s="13"/>
      <c r="AM1864" s="13"/>
      <c r="AN1864" s="13"/>
      <c r="AO1864" s="13"/>
      <c r="AP1864" s="13"/>
      <c r="AQ1864" s="14"/>
      <c r="AR1864" s="15"/>
    </row>
    <row r="1865" spans="1:44" s="17" customFormat="1" ht="30.95" hidden="1" customHeight="1" x14ac:dyDescent="0.2">
      <c r="A1865" s="343"/>
      <c r="B1865" s="344"/>
      <c r="C1865" s="345"/>
      <c r="D1865" s="398"/>
      <c r="E1865" s="31"/>
      <c r="F1865" s="268"/>
      <c r="G1865" s="269"/>
      <c r="H1865" s="269"/>
      <c r="I1865" s="270"/>
      <c r="J1865" s="32"/>
      <c r="K1865" s="270"/>
      <c r="L1865" s="270"/>
      <c r="M1865" s="39"/>
      <c r="N1865" s="39"/>
      <c r="O1865" s="47"/>
      <c r="P1865" s="57"/>
      <c r="Q1865" s="276"/>
      <c r="R1865" s="277"/>
      <c r="S1865" s="277"/>
      <c r="T1865" s="40"/>
      <c r="U1865" s="278"/>
      <c r="V1865" s="269"/>
      <c r="W1865" s="269"/>
      <c r="X1865" s="275"/>
      <c r="Y1865" s="269"/>
      <c r="Z1865" s="357"/>
      <c r="AA1865" s="207"/>
      <c r="AB1865" s="369"/>
      <c r="AC1865" s="370"/>
      <c r="AD1865" s="332"/>
      <c r="AE1865" s="216"/>
      <c r="AF1865" s="43"/>
      <c r="AG1865" s="47"/>
      <c r="AH1865" s="30"/>
      <c r="AI1865" s="30"/>
      <c r="AJ1865" s="30"/>
      <c r="AK1865" s="30"/>
      <c r="AL1865" s="13"/>
      <c r="AM1865" s="13"/>
      <c r="AN1865" s="13"/>
      <c r="AO1865" s="13"/>
      <c r="AP1865" s="13"/>
      <c r="AQ1865" s="14"/>
      <c r="AR1865" s="15"/>
    </row>
    <row r="1866" spans="1:44" s="17" customFormat="1" ht="30.6" hidden="1" customHeight="1" x14ac:dyDescent="0.2">
      <c r="A1866" s="320"/>
      <c r="B1866" s="321"/>
      <c r="C1866" s="345"/>
      <c r="D1866" s="398">
        <v>3767090</v>
      </c>
      <c r="E1866" s="31">
        <v>4151772</v>
      </c>
      <c r="F1866" s="268" t="str">
        <f>IF(D1866="","",VLOOKUP(D1866,契約台帳!$A$3:$K$4986,6,FALSE)&amp;VLOOKUP(D1866,契約台帳!$A$3:$K$4986,7,FALSE)&amp;VLOOKUP(D1866,契約台帳!$A$3:$K$4986,8,FALSE)&amp;VLOOKUP(D1866,契約台帳!$A$3:$K$4986,9,FALSE)&amp;VLOOKUP(D1866,契約台帳!$A$3:$K$4986,11,FALSE))</f>
        <v>3SYMLBMSNMBF</v>
      </c>
      <c r="G1866" s="269" t="str">
        <f>IF(D1866="","",VLOOKUP(F1866,製品マスタ!$G$5:$H$5002,2,FALSE))</f>
        <v>S</v>
      </c>
      <c r="H1866" s="269" t="str">
        <f>IF(D1866="","",VLOOKUP(F1866,製品マスタ!$G$5:$K$5002,5,FALSE))</f>
        <v>MSNMBF</v>
      </c>
      <c r="I1866" s="270" t="str">
        <f>IF(D1866="","",VLOOKUP(F1866,製品マスタ!$G$5:$L$5002,6,FALSE))</f>
        <v>ＭＥＴＡＬＵＭＹ　ＳＩＬＶＥＲ　Ｎ－ＭＡＴＴＥ　Ｘ４４Ｍ　Ｂ</v>
      </c>
      <c r="J1866" s="32" t="s">
        <v>447</v>
      </c>
      <c r="K1866" s="270">
        <f>IF(D1866="","",VLOOKUP(D1866,契約台帳!$A$3:$L$4986,12,FALSE))</f>
        <v>50</v>
      </c>
      <c r="L1866" s="270" t="str">
        <f>IF(D1866="","",INDEX(製品マスタ!$Q$5:$Q$5002,MATCH(F1866&amp;K1866,製品マスタ!$AO$5:$AO$5002,0)))</f>
        <v>X44</v>
      </c>
      <c r="M1866" s="39">
        <v>1120</v>
      </c>
      <c r="N1866" s="39">
        <v>12000</v>
      </c>
      <c r="O1866" s="47">
        <v>1</v>
      </c>
      <c r="P1866" s="57"/>
      <c r="Q1866" s="276">
        <f>IF(D1866="","",IF(J1866="リード付け",M1866,VLOOKUP(D1866,契約台帳!$A$3:$N$4986,14,FALSE)))</f>
        <v>1120</v>
      </c>
      <c r="R1866" s="277">
        <f>IF(D1866="","",IF(J1866="リード付け",M1866,VLOOKUP(D1866,契約台帳!$A$3:$O$4986,15,FALSE)))</f>
        <v>1120</v>
      </c>
      <c r="S1866" s="277">
        <f>IF(D1866="","",IF(J1866="リード付け",N1866,VLOOKUP(D1866,契約台帳!$A$3:$P$4986,16,FALSE)))</f>
        <v>4000</v>
      </c>
      <c r="T1866" s="40">
        <v>3</v>
      </c>
      <c r="U1866" s="278">
        <f ca="1">IF(D1866="","",IF(OFFSET(D1866,-2,0)=D1866,"",VLOOKUP(D1866,契約台帳!$A$3:$R$4986,18,FALSE)))</f>
        <v>52</v>
      </c>
      <c r="V1866" s="269" t="str">
        <f>IF(J1866="巻返し",VLOOKUP(F1866&amp;K1866&amp;M1866,製品マスタ!$M$5:$AD$5002,18,FALSE),IF(J1866="リード付け","原反コア",IF(J1866="スリット",VLOOKUP(F1866&amp;K1866&amp;Q1866,製品マスタ!$N$5:$AD$5002,17,FALSE),"")))</f>
        <v>6ｲﾝﾁMｺｱ</v>
      </c>
      <c r="W1866" s="269">
        <f>IF(J1866="巻返し",VLOOKUP(F1866&amp;K1866&amp;M1866,製品マスタ!$M$5:$AE$5002,19,FALSE),IF(J1866="リード付け","-",IF(J1866="スリット",VLOOKUP(F1866&amp;K1866&amp;Q1866,製品マスタ!$N$5:$AE$5002,18,FALSE),"")))</f>
        <v>1125</v>
      </c>
      <c r="X1866" s="275">
        <f>IF(D1866="","",VLOOKUP(D1866,契約台帳!$A$3:$Q$4986,17,FALSE))</f>
        <v>2</v>
      </c>
      <c r="Y1866" s="269" t="str">
        <f>IF(D1866="","",VLOOKUP(D1866,契約台帳!$A$3:$E$4986,5,FALSE))</f>
        <v>リンテック㈱</v>
      </c>
      <c r="Z1866" s="357"/>
      <c r="AA1866" s="207"/>
      <c r="AB1866" s="369"/>
      <c r="AC1866" s="370"/>
      <c r="AD1866" s="332" t="str">
        <f>IF(F1866="","",+F1866&amp;K1866)</f>
        <v>3SYMLBMSNMBF50</v>
      </c>
      <c r="AE1866" s="216">
        <f>+M1866*N1866*O1866/1000</f>
        <v>13440</v>
      </c>
      <c r="AF1866" s="43">
        <f>IF(AD1866="","",VLOOKUP(AD1866,原価マスタ!$A$2:$AJ$1693,13,FALSE))</f>
        <v>98.8</v>
      </c>
      <c r="AG1866" s="47">
        <f>IF(AF1866="","",+AE1866*AF1866/100)</f>
        <v>13278.72</v>
      </c>
      <c r="AH1866" s="30"/>
      <c r="AI1866" s="30"/>
      <c r="AJ1866" s="30"/>
      <c r="AK1866" s="30"/>
      <c r="AL1866" s="13"/>
      <c r="AM1866" s="13"/>
      <c r="AN1866" s="13"/>
      <c r="AO1866" s="13"/>
      <c r="AP1866" s="13"/>
      <c r="AQ1866" s="14"/>
      <c r="AR1866" s="15"/>
    </row>
    <row r="1867" spans="1:44" s="17" customFormat="1" ht="30.95" hidden="1" customHeight="1" x14ac:dyDescent="0.2">
      <c r="A1867" s="343"/>
      <c r="B1867" s="344"/>
      <c r="C1867" s="345"/>
      <c r="D1867" s="398"/>
      <c r="E1867" s="31"/>
      <c r="F1867" s="268"/>
      <c r="G1867" s="269"/>
      <c r="H1867" s="269"/>
      <c r="I1867" s="270"/>
      <c r="J1867" s="32"/>
      <c r="K1867" s="270"/>
      <c r="L1867" s="270"/>
      <c r="M1867" s="39"/>
      <c r="N1867" s="39"/>
      <c r="O1867" s="47"/>
      <c r="P1867" s="57"/>
      <c r="Q1867" s="276"/>
      <c r="R1867" s="277"/>
      <c r="S1867" s="277"/>
      <c r="T1867" s="40"/>
      <c r="U1867" s="278"/>
      <c r="V1867" s="269"/>
      <c r="W1867" s="269"/>
      <c r="X1867" s="275"/>
      <c r="Y1867" s="269"/>
      <c r="Z1867" s="357"/>
      <c r="AA1867" s="207"/>
      <c r="AB1867" s="369"/>
      <c r="AC1867" s="370"/>
      <c r="AD1867" s="332"/>
      <c r="AE1867" s="216"/>
      <c r="AF1867" s="43"/>
      <c r="AG1867" s="47"/>
      <c r="AH1867" s="30"/>
      <c r="AI1867" s="30"/>
      <c r="AJ1867" s="30"/>
      <c r="AK1867" s="30"/>
      <c r="AL1867" s="13"/>
      <c r="AM1867" s="13"/>
      <c r="AN1867" s="13"/>
      <c r="AO1867" s="13"/>
      <c r="AP1867" s="13"/>
      <c r="AQ1867" s="14"/>
      <c r="AR1867" s="15"/>
    </row>
    <row r="1868" spans="1:44" s="17" customFormat="1" ht="30.6" hidden="1" customHeight="1" x14ac:dyDescent="0.2">
      <c r="A1868" s="320"/>
      <c r="B1868" s="321"/>
      <c r="C1868" s="345"/>
      <c r="D1868" s="398">
        <v>3766764</v>
      </c>
      <c r="E1868" s="31">
        <v>4141181</v>
      </c>
      <c r="F1868" s="268" t="str">
        <f>IF(D1868="","",VLOOKUP(D1868,契約台帳!$A$3:$K$4986,6,FALSE)&amp;VLOOKUP(D1868,契約台帳!$A$3:$K$4986,7,FALSE)&amp;VLOOKUP(D1868,契約台帳!$A$3:$K$4986,8,FALSE)&amp;VLOOKUP(D1868,契約台帳!$A$3:$K$4986,9,FALSE)&amp;VLOOKUP(D1868,契約台帳!$A$3:$K$4986,11,FALSE))</f>
        <v>3SNMLBMNQR66F</v>
      </c>
      <c r="G1868" s="269" t="str">
        <f>IF(D1868="","",VLOOKUP(F1868,製品マスタ!$G$5:$H$5002,2,FALSE))</f>
        <v>S</v>
      </c>
      <c r="H1868" s="269" t="str">
        <f>IF(D1868="","",VLOOKUP(F1868,製品マスタ!$G$5:$K$5002,5,FALSE))</f>
        <v>MNQR66F</v>
      </c>
      <c r="I1868" s="270" t="str">
        <f>IF(D1868="","",VLOOKUP(F1868,製品マスタ!$G$5:$L$5002,6,FALSE))</f>
        <v>ＱＲ６６蒸着品</v>
      </c>
      <c r="J1868" s="32" t="s">
        <v>447</v>
      </c>
      <c r="K1868" s="270">
        <f>IF(D1868="","",VLOOKUP(D1868,契約台帳!$A$3:$L$4986,12,FALSE))</f>
        <v>25</v>
      </c>
      <c r="L1868" s="270" t="str">
        <f>IF(D1868="","",INDEX(製品マスタ!$Q$5:$Q$5002,MATCH(F1868&amp;K1868,製品マスタ!$AO$5:$AO$5002,0)))</f>
        <v>E315</v>
      </c>
      <c r="M1868" s="39">
        <v>1100</v>
      </c>
      <c r="N1868" s="39">
        <v>18000</v>
      </c>
      <c r="O1868" s="47">
        <v>2</v>
      </c>
      <c r="P1868" s="57"/>
      <c r="Q1868" s="276">
        <f>IF(D1868="","",IF(J1868="リード付け",M1868,VLOOKUP(D1868,契約台帳!$A$3:$N$4986,14,FALSE)))</f>
        <v>1100</v>
      </c>
      <c r="R1868" s="277">
        <f>IF(D1868="","",IF(J1868="リード付け",M1868,VLOOKUP(D1868,契約台帳!$A$3:$O$4986,15,FALSE)))</f>
        <v>1100</v>
      </c>
      <c r="S1868" s="277">
        <f>IF(D1868="","",IF(J1868="リード付け",N1868,VLOOKUP(D1868,契約台帳!$A$3:$P$4986,16,FALSE)))</f>
        <v>6000</v>
      </c>
      <c r="T1868" s="40">
        <v>6</v>
      </c>
      <c r="U1868" s="278">
        <f ca="1">IF(D1868="","",IF(OFFSET(D1868,-2,0)=D1868,"",VLOOKUP(D1868,契約台帳!$A$3:$R$4986,18,FALSE)))</f>
        <v>6</v>
      </c>
      <c r="V1868" s="269" t="str">
        <f>IF(J1868="巻返し",VLOOKUP(F1868&amp;K1868&amp;M1868,製品マスタ!$M$5:$AD$5002,18,FALSE),IF(J1868="リード付け","原反コア",IF(J1868="スリット",VLOOKUP(F1868&amp;K1868&amp;Q1868,製品マスタ!$N$5:$AD$5002,17,FALSE),"")))</f>
        <v>6ｲﾝﾁMｺｱ</v>
      </c>
      <c r="W1868" s="269">
        <f>IF(J1868="巻返し",VLOOKUP(F1868&amp;K1868&amp;M1868,製品マスタ!$M$5:$AE$5002,19,FALSE),IF(J1868="リード付け","-",IF(J1868="スリット",VLOOKUP(F1868&amp;K1868&amp;Q1868,製品マスタ!$N$5:$AE$5002,18,FALSE),"")))</f>
        <v>1110</v>
      </c>
      <c r="X1868" s="275">
        <f>IF(D1868="","",VLOOKUP(D1868,契約台帳!$A$3:$Q$4986,17,FALSE))</f>
        <v>2</v>
      </c>
      <c r="Y1868" s="269" t="str">
        <f>IF(D1868="","",VLOOKUP(D1868,契約台帳!$A$3:$E$4986,5,FALSE))</f>
        <v>リンテック㈱</v>
      </c>
      <c r="Z1868" s="357"/>
      <c r="AA1868" s="207"/>
      <c r="AB1868" s="369"/>
      <c r="AC1868" s="370"/>
      <c r="AD1868" s="332" t="str">
        <f>IF(F1868="","",+F1868&amp;K1868)</f>
        <v>3SNMLBMNQR66F25</v>
      </c>
      <c r="AE1868" s="216">
        <f>+M1868*N1868*O1868/1000</f>
        <v>39600</v>
      </c>
      <c r="AF1868" s="43">
        <f>IF(AD1868="","",VLOOKUP(AD1868,原価マスタ!$A$2:$AJ$1693,13,FALSE))</f>
        <v>98</v>
      </c>
      <c r="AG1868" s="47">
        <f>IF(AF1868="","",+AE1868*AF1868/100)</f>
        <v>38808</v>
      </c>
      <c r="AH1868" s="30"/>
      <c r="AI1868" s="30"/>
      <c r="AJ1868" s="30"/>
      <c r="AK1868" s="30"/>
      <c r="AL1868" s="13"/>
      <c r="AM1868" s="13"/>
      <c r="AN1868" s="13"/>
      <c r="AO1868" s="13"/>
      <c r="AP1868" s="13"/>
      <c r="AQ1868" s="14"/>
      <c r="AR1868" s="15"/>
    </row>
    <row r="1869" spans="1:44" s="17" customFormat="1" ht="30.95" hidden="1" customHeight="1" x14ac:dyDescent="0.2">
      <c r="A1869" s="343"/>
      <c r="B1869" s="344"/>
      <c r="C1869" s="345"/>
      <c r="D1869" s="398"/>
      <c r="E1869" s="31"/>
      <c r="F1869" s="268"/>
      <c r="G1869" s="269"/>
      <c r="H1869" s="269"/>
      <c r="I1869" s="270"/>
      <c r="J1869" s="32"/>
      <c r="K1869" s="270"/>
      <c r="L1869" s="270"/>
      <c r="M1869" s="39"/>
      <c r="N1869" s="39"/>
      <c r="O1869" s="47"/>
      <c r="P1869" s="57"/>
      <c r="Q1869" s="276"/>
      <c r="R1869" s="277"/>
      <c r="S1869" s="277"/>
      <c r="T1869" s="40"/>
      <c r="U1869" s="278"/>
      <c r="V1869" s="269"/>
      <c r="W1869" s="269"/>
      <c r="X1869" s="275"/>
      <c r="Y1869" s="269"/>
      <c r="Z1869" s="357"/>
      <c r="AA1869" s="207"/>
      <c r="AB1869" s="369"/>
      <c r="AC1869" s="370"/>
      <c r="AD1869" s="332"/>
      <c r="AE1869" s="216"/>
      <c r="AF1869" s="43"/>
      <c r="AG1869" s="47"/>
      <c r="AH1869" s="30"/>
      <c r="AI1869" s="30"/>
      <c r="AJ1869" s="30"/>
      <c r="AK1869" s="30"/>
      <c r="AL1869" s="13"/>
      <c r="AM1869" s="13"/>
      <c r="AN1869" s="13"/>
      <c r="AO1869" s="13"/>
      <c r="AP1869" s="13"/>
      <c r="AQ1869" s="14"/>
      <c r="AR1869" s="15"/>
    </row>
    <row r="1870" spans="1:44" s="17" customFormat="1" ht="30.6" hidden="1" customHeight="1" x14ac:dyDescent="0.2">
      <c r="A1870" s="320"/>
      <c r="B1870" s="321"/>
      <c r="C1870" s="345"/>
      <c r="D1870" s="398">
        <v>3766756</v>
      </c>
      <c r="E1870" s="31">
        <v>4151754</v>
      </c>
      <c r="F1870" s="268" t="str">
        <f>IF(D1870="","",VLOOKUP(D1870,契約台帳!$A$3:$K$4986,6,FALSE)&amp;VLOOKUP(D1870,契約台帳!$A$3:$K$4986,7,FALSE)&amp;VLOOKUP(D1870,契約台帳!$A$3:$K$4986,8,FALSE)&amp;VLOOKUP(D1870,契約台帳!$A$3:$K$4986,9,FALSE)&amp;VLOOKUP(D1870,契約台帳!$A$3:$K$4986,11,FALSE))</f>
        <v>3SNMLBMNGKBF</v>
      </c>
      <c r="G1870" s="269" t="str">
        <f>IF(D1870="","",VLOOKUP(F1870,製品マスタ!$G$5:$H$5002,2,FALSE))</f>
        <v>S</v>
      </c>
      <c r="H1870" s="269" t="str">
        <f>IF(D1870="","",VLOOKUP(F1870,製品マスタ!$G$5:$K$5002,5,FALSE))</f>
        <v>MNGKBF</v>
      </c>
      <c r="I1870" s="270" t="str">
        <f>IF(D1870="","",VLOOKUP(F1870,製品マスタ!$G$5:$L$5002,6,FALSE))</f>
        <v>メタルミー　ネーマー銀消　Ｂ</v>
      </c>
      <c r="J1870" s="32" t="s">
        <v>447</v>
      </c>
      <c r="K1870" s="270">
        <f>IF(D1870="","",VLOOKUP(D1870,契約台帳!$A$3:$L$4986,12,FALSE))</f>
        <v>75</v>
      </c>
      <c r="L1870" s="270" t="str">
        <f>IF(D1870="","",INDEX(製品マスタ!$Q$5:$Q$5002,MATCH(F1870&amp;K1870,製品マスタ!$AO$5:$AO$5002,0)))</f>
        <v>MAT</v>
      </c>
      <c r="M1870" s="39">
        <v>1050</v>
      </c>
      <c r="N1870" s="39">
        <v>4000</v>
      </c>
      <c r="O1870" s="47">
        <v>1</v>
      </c>
      <c r="P1870" s="57"/>
      <c r="Q1870" s="276">
        <f>IF(D1870="","",IF(J1870="リード付け",M1870,VLOOKUP(D1870,契約台帳!$A$3:$N$4986,14,FALSE)))</f>
        <v>1050</v>
      </c>
      <c r="R1870" s="277">
        <f>IF(D1870="","",IF(J1870="リード付け",M1870,VLOOKUP(D1870,契約台帳!$A$3:$O$4986,15,FALSE)))</f>
        <v>1050</v>
      </c>
      <c r="S1870" s="277">
        <f>IF(D1870="","",IF(J1870="リード付け",N1870,VLOOKUP(D1870,契約台帳!$A$3:$P$4986,16,FALSE)))</f>
        <v>2000</v>
      </c>
      <c r="T1870" s="40">
        <v>2</v>
      </c>
      <c r="U1870" s="278">
        <f ca="1">IF(D1870="","",IF(OFFSET(D1870,-2,0)=D1870,"",VLOOKUP(D1870,契約台帳!$A$3:$R$4986,18,FALSE)))</f>
        <v>2</v>
      </c>
      <c r="V1870" s="269" t="str">
        <f>IF(J1870="巻返し",VLOOKUP(F1870&amp;K1870&amp;M1870,製品マスタ!$M$5:$AD$5002,18,FALSE),IF(J1870="リード付け","原反コア",IF(J1870="スリット",VLOOKUP(F1870&amp;K1870&amp;Q1870,製品マスタ!$N$5:$AD$5002,17,FALSE),"")))</f>
        <v>6ｲﾝﾁSｺｱ</v>
      </c>
      <c r="W1870" s="269">
        <f>IF(J1870="巻返し",VLOOKUP(F1870&amp;K1870&amp;M1870,製品マスタ!$M$5:$AE$5002,19,FALSE),IF(J1870="リード付け","-",IF(J1870="スリット",VLOOKUP(F1870&amp;K1870&amp;Q1870,製品マスタ!$N$5:$AE$5002,18,FALSE),"")))</f>
        <v>1055</v>
      </c>
      <c r="X1870" s="275">
        <f>IF(D1870="","",VLOOKUP(D1870,契約台帳!$A$3:$Q$4986,17,FALSE))</f>
        <v>2</v>
      </c>
      <c r="Y1870" s="269" t="str">
        <f>IF(D1870="","",VLOOKUP(D1870,契約台帳!$A$3:$E$4986,5,FALSE))</f>
        <v>リンテック㈱</v>
      </c>
      <c r="Z1870" s="357"/>
      <c r="AA1870" s="207"/>
      <c r="AB1870" s="369"/>
      <c r="AC1870" s="370"/>
      <c r="AD1870" s="332" t="str">
        <f>IF(F1870="","",+F1870&amp;K1870)</f>
        <v>3SNMLBMNGKBF75</v>
      </c>
      <c r="AE1870" s="216">
        <f>+M1870*N1870*O1870/1000</f>
        <v>4200</v>
      </c>
      <c r="AF1870" s="43">
        <f>IF(AD1870="","",VLOOKUP(AD1870,原価マスタ!$A$2:$AJ$1693,13,FALSE))</f>
        <v>97</v>
      </c>
      <c r="AG1870" s="47">
        <f>IF(AF1870="","",+AE1870*AF1870/100)</f>
        <v>4074</v>
      </c>
      <c r="AH1870" s="30"/>
      <c r="AI1870" s="30"/>
      <c r="AJ1870" s="30"/>
      <c r="AK1870" s="30"/>
      <c r="AL1870" s="13"/>
      <c r="AM1870" s="13"/>
      <c r="AN1870" s="13"/>
      <c r="AO1870" s="13"/>
      <c r="AP1870" s="13"/>
      <c r="AQ1870" s="14"/>
      <c r="AR1870" s="15"/>
    </row>
    <row r="1871" spans="1:44" s="17" customFormat="1" ht="30.95" hidden="1" customHeight="1" x14ac:dyDescent="0.2">
      <c r="A1871" s="343"/>
      <c r="B1871" s="344"/>
      <c r="C1871" s="345"/>
      <c r="D1871" s="398"/>
      <c r="E1871" s="31"/>
      <c r="F1871" s="268"/>
      <c r="G1871" s="269"/>
      <c r="H1871" s="269"/>
      <c r="I1871" s="270"/>
      <c r="J1871" s="32"/>
      <c r="K1871" s="270"/>
      <c r="L1871" s="270"/>
      <c r="M1871" s="39"/>
      <c r="N1871" s="39"/>
      <c r="O1871" s="47"/>
      <c r="P1871" s="57"/>
      <c r="Q1871" s="276"/>
      <c r="R1871" s="277"/>
      <c r="S1871" s="277"/>
      <c r="T1871" s="40"/>
      <c r="U1871" s="278"/>
      <c r="V1871" s="269"/>
      <c r="W1871" s="269"/>
      <c r="X1871" s="275"/>
      <c r="Y1871" s="269"/>
      <c r="Z1871" s="357"/>
      <c r="AA1871" s="207"/>
      <c r="AB1871" s="369"/>
      <c r="AC1871" s="370"/>
      <c r="AD1871" s="332"/>
      <c r="AE1871" s="216"/>
      <c r="AF1871" s="43"/>
      <c r="AG1871" s="47"/>
      <c r="AH1871" s="30"/>
      <c r="AI1871" s="30"/>
      <c r="AJ1871" s="30"/>
      <c r="AK1871" s="30"/>
      <c r="AL1871" s="13"/>
      <c r="AM1871" s="13"/>
      <c r="AN1871" s="13"/>
      <c r="AO1871" s="13"/>
      <c r="AP1871" s="13"/>
      <c r="AQ1871" s="14"/>
      <c r="AR1871" s="15"/>
    </row>
    <row r="1872" spans="1:44" s="17" customFormat="1" ht="30.6" hidden="1" customHeight="1" x14ac:dyDescent="0.2">
      <c r="A1872" s="320"/>
      <c r="B1872" s="321"/>
      <c r="C1872" s="345"/>
      <c r="D1872" s="398">
        <v>3766755</v>
      </c>
      <c r="E1872" s="31">
        <v>4151753</v>
      </c>
      <c r="F1872" s="268" t="str">
        <f>IF(D1872="","",VLOOKUP(D1872,契約台帳!$A$3:$K$4986,6,FALSE)&amp;VLOOKUP(D1872,契約台帳!$A$3:$K$4986,7,FALSE)&amp;VLOOKUP(D1872,契約台帳!$A$3:$K$4986,8,FALSE)&amp;VLOOKUP(D1872,契約台帳!$A$3:$K$4986,9,FALSE)&amp;VLOOKUP(D1872,契約台帳!$A$3:$K$4986,11,FALSE))</f>
        <v>3SNMLBMNGKBF</v>
      </c>
      <c r="G1872" s="269" t="str">
        <f>IF(D1872="","",VLOOKUP(F1872,製品マスタ!$G$5:$H$5002,2,FALSE))</f>
        <v>S</v>
      </c>
      <c r="H1872" s="269" t="str">
        <f>IF(D1872="","",VLOOKUP(F1872,製品マスタ!$G$5:$K$5002,5,FALSE))</f>
        <v>MNGKBF</v>
      </c>
      <c r="I1872" s="270" t="str">
        <f>IF(D1872="","",VLOOKUP(F1872,製品マスタ!$G$5:$L$5002,6,FALSE))</f>
        <v>メタルミー　ネーマー銀消　Ｂ</v>
      </c>
      <c r="J1872" s="32" t="s">
        <v>447</v>
      </c>
      <c r="K1872" s="270">
        <f>IF(D1872="","",VLOOKUP(D1872,契約台帳!$A$3:$L$4986,12,FALSE))</f>
        <v>38</v>
      </c>
      <c r="L1872" s="270" t="str">
        <f>IF(D1872="","",INDEX(製品マスタ!$Q$5:$Q$5002,MATCH(F1872&amp;K1872,製品マスタ!$AO$5:$AO$5002,0)))</f>
        <v>LUMIMAT</v>
      </c>
      <c r="M1872" s="39">
        <v>1005</v>
      </c>
      <c r="N1872" s="39">
        <v>8200</v>
      </c>
      <c r="O1872" s="47">
        <v>1</v>
      </c>
      <c r="P1872" s="57"/>
      <c r="Q1872" s="276">
        <f>IF(D1872="","",IF(J1872="リード付け",M1872,VLOOKUP(D1872,契約台帳!$A$3:$N$4986,14,FALSE)))</f>
        <v>1005</v>
      </c>
      <c r="R1872" s="277">
        <f>IF(D1872="","",IF(J1872="リード付け",M1872,VLOOKUP(D1872,契約台帳!$A$3:$O$4986,15,FALSE)))</f>
        <v>1000</v>
      </c>
      <c r="S1872" s="277">
        <f>IF(D1872="","",IF(J1872="リード付け",N1872,VLOOKUP(D1872,契約台帳!$A$3:$P$4986,16,FALSE)))</f>
        <v>4100</v>
      </c>
      <c r="T1872" s="40">
        <v>2</v>
      </c>
      <c r="U1872" s="278">
        <f ca="1">IF(D1872="","",IF(OFFSET(D1872,-2,0)=D1872,"",VLOOKUP(D1872,契約台帳!$A$3:$R$4986,18,FALSE)))</f>
        <v>2</v>
      </c>
      <c r="V1872" s="269" t="str">
        <f>IF(J1872="巻返し",VLOOKUP(F1872&amp;K1872&amp;M1872,製品マスタ!$M$5:$AD$5002,18,FALSE),IF(J1872="リード付け","原反コア",IF(J1872="スリット",VLOOKUP(F1872&amp;K1872&amp;Q1872,製品マスタ!$N$5:$AD$5002,17,FALSE),"")))</f>
        <v>6ｲﾝﾁSｺｱ</v>
      </c>
      <c r="W1872" s="269">
        <f>IF(J1872="巻返し",VLOOKUP(F1872&amp;K1872&amp;M1872,製品マスタ!$M$5:$AE$5002,19,FALSE),IF(J1872="リード付け","-",IF(J1872="スリット",VLOOKUP(F1872&amp;K1872&amp;Q1872,製品マスタ!$N$5:$AE$5002,18,FALSE),"")))</f>
        <v>1015</v>
      </c>
      <c r="X1872" s="275">
        <f>IF(D1872="","",VLOOKUP(D1872,契約台帳!$A$3:$Q$4986,17,FALSE))</f>
        <v>2</v>
      </c>
      <c r="Y1872" s="269" t="str">
        <f>IF(D1872="","",VLOOKUP(D1872,契約台帳!$A$3:$E$4986,5,FALSE))</f>
        <v>リンテック㈱</v>
      </c>
      <c r="Z1872" s="357"/>
      <c r="AA1872" s="207"/>
      <c r="AB1872" s="369"/>
      <c r="AC1872" s="370"/>
      <c r="AD1872" s="332" t="str">
        <f>IF(F1872="","",+F1872&amp;K1872)</f>
        <v>3SNMLBMNGKBF38</v>
      </c>
      <c r="AE1872" s="216">
        <f>+M1872*N1872*O1872/1000</f>
        <v>8241</v>
      </c>
      <c r="AF1872" s="43">
        <f>IF(AD1872="","",VLOOKUP(AD1872,原価マスタ!$A$2:$AJ$1693,13,FALSE))</f>
        <v>97.2</v>
      </c>
      <c r="AG1872" s="47">
        <f>IF(AF1872="","",+AE1872*AF1872/100)</f>
        <v>8010.2520000000004</v>
      </c>
      <c r="AH1872" s="30"/>
      <c r="AI1872" s="30"/>
      <c r="AJ1872" s="30"/>
      <c r="AK1872" s="30"/>
      <c r="AL1872" s="13"/>
      <c r="AM1872" s="13"/>
      <c r="AN1872" s="13"/>
      <c r="AO1872" s="13"/>
      <c r="AP1872" s="13"/>
      <c r="AQ1872" s="14"/>
      <c r="AR1872" s="15"/>
    </row>
    <row r="1873" spans="1:44" s="17" customFormat="1" ht="30.95" hidden="1" customHeight="1" x14ac:dyDescent="0.2">
      <c r="A1873" s="343"/>
      <c r="B1873" s="344"/>
      <c r="C1873" s="345"/>
      <c r="D1873" s="398"/>
      <c r="E1873" s="31"/>
      <c r="F1873" s="268"/>
      <c r="G1873" s="269"/>
      <c r="H1873" s="269"/>
      <c r="I1873" s="270"/>
      <c r="J1873" s="32"/>
      <c r="K1873" s="270"/>
      <c r="L1873" s="270"/>
      <c r="M1873" s="39"/>
      <c r="N1873" s="39"/>
      <c r="O1873" s="47"/>
      <c r="P1873" s="57"/>
      <c r="Q1873" s="276"/>
      <c r="R1873" s="277"/>
      <c r="S1873" s="277"/>
      <c r="T1873" s="40"/>
      <c r="U1873" s="278"/>
      <c r="V1873" s="269"/>
      <c r="W1873" s="269"/>
      <c r="X1873" s="275"/>
      <c r="Y1873" s="269"/>
      <c r="Z1873" s="357"/>
      <c r="AA1873" s="207"/>
      <c r="AB1873" s="369"/>
      <c r="AC1873" s="370"/>
      <c r="AD1873" s="332"/>
      <c r="AE1873" s="216"/>
      <c r="AF1873" s="43"/>
      <c r="AG1873" s="47"/>
      <c r="AH1873" s="30"/>
      <c r="AI1873" s="30"/>
      <c r="AJ1873" s="30"/>
      <c r="AK1873" s="30"/>
      <c r="AL1873" s="13"/>
      <c r="AM1873" s="13"/>
      <c r="AN1873" s="13"/>
      <c r="AO1873" s="13"/>
      <c r="AP1873" s="13"/>
      <c r="AQ1873" s="14"/>
      <c r="AR1873" s="15"/>
    </row>
    <row r="1874" spans="1:44" s="17" customFormat="1" ht="30.6" hidden="1" customHeight="1" x14ac:dyDescent="0.2">
      <c r="A1874" s="320" t="s">
        <v>3069</v>
      </c>
      <c r="B1874" s="321" t="s">
        <v>3059</v>
      </c>
      <c r="C1874" s="345"/>
      <c r="D1874" s="398">
        <v>3766757</v>
      </c>
      <c r="E1874" s="31">
        <v>4151755</v>
      </c>
      <c r="F1874" s="268" t="str">
        <f>IF(D1874="","",VLOOKUP(D1874,契約台帳!$A$3:$K$4986,6,FALSE)&amp;VLOOKUP(D1874,契約台帳!$A$3:$K$4986,7,FALSE)&amp;VLOOKUP(D1874,契約台帳!$A$3:$K$4986,8,FALSE)&amp;VLOOKUP(D1874,契約台帳!$A$3:$K$4986,9,FALSE)&amp;VLOOKUP(D1874,契約台帳!$A$3:$K$4986,11,FALSE))</f>
        <v>3SNMLBMNGKKBF</v>
      </c>
      <c r="G1874" s="269" t="str">
        <f>IF(D1874="","",VLOOKUP(F1874,製品マスタ!$G$5:$H$5002,2,FALSE))</f>
        <v>S</v>
      </c>
      <c r="H1874" s="269" t="str">
        <f>IF(D1874="","",VLOOKUP(F1874,製品マスタ!$G$5:$K$5002,5,FALSE))</f>
        <v>MNGKKBF</v>
      </c>
      <c r="I1874" s="270" t="str">
        <f>IF(D1874="","",VLOOKUP(F1874,製品マスタ!$G$5:$L$5002,6,FALSE))</f>
        <v>メタルミー　ネーマー銀消改　Ｂ</v>
      </c>
      <c r="J1874" s="32" t="s">
        <v>447</v>
      </c>
      <c r="K1874" s="270">
        <f>IF(D1874="","",VLOOKUP(D1874,契約台帳!$A$3:$L$4986,12,FALSE))</f>
        <v>25</v>
      </c>
      <c r="L1874" s="270" t="str">
        <f>IF(D1874="","",INDEX(製品マスタ!$Q$5:$Q$5002,MATCH(F1874&amp;K1874,製品マスタ!$AO$5:$AO$5002,0)))</f>
        <v>FMATS99</v>
      </c>
      <c r="M1874" s="39">
        <v>1000</v>
      </c>
      <c r="N1874" s="39">
        <v>12000</v>
      </c>
      <c r="O1874" s="47">
        <v>1</v>
      </c>
      <c r="P1874" s="57"/>
      <c r="Q1874" s="276">
        <f>IF(D1874="","",IF(J1874="リード付け",M1874,VLOOKUP(D1874,契約台帳!$A$3:$N$4986,14,FALSE)))</f>
        <v>1000</v>
      </c>
      <c r="R1874" s="277">
        <f>IF(D1874="","",IF(J1874="リード付け",M1874,VLOOKUP(D1874,契約台帳!$A$3:$O$4986,15,FALSE)))</f>
        <v>1000</v>
      </c>
      <c r="S1874" s="277">
        <f>IF(D1874="","",IF(J1874="リード付け",N1874,VLOOKUP(D1874,契約台帳!$A$3:$P$4986,16,FALSE)))</f>
        <v>4000</v>
      </c>
      <c r="T1874" s="40">
        <v>3</v>
      </c>
      <c r="U1874" s="278">
        <f ca="1">IF(D1874="","",IF(OFFSET(D1874,-2,0)=D1874,"",VLOOKUP(D1874,契約台帳!$A$3:$R$4986,18,FALSE)))</f>
        <v>3</v>
      </c>
      <c r="V1874" s="269" t="str">
        <f>IF(J1874="巻返し",VLOOKUP(F1874&amp;K1874&amp;M1874,製品マスタ!$M$5:$AD$5002,18,FALSE),IF(J1874="リード付け","原反コア",IF(J1874="スリット",VLOOKUP(F1874&amp;K1874&amp;Q1874,製品マスタ!$N$5:$AD$5002,17,FALSE),"")))</f>
        <v>6ｲﾝﾁSｺｱ</v>
      </c>
      <c r="W1874" s="269">
        <f>IF(J1874="巻返し",VLOOKUP(F1874&amp;K1874&amp;M1874,製品マスタ!$M$5:$AE$5002,19,FALSE),IF(J1874="リード付け","-",IF(J1874="スリット",VLOOKUP(F1874&amp;K1874&amp;Q1874,製品マスタ!$N$5:$AE$5002,18,FALSE),"")))</f>
        <v>1005</v>
      </c>
      <c r="X1874" s="275">
        <f>IF(D1874="","",VLOOKUP(D1874,契約台帳!$A$3:$Q$4986,17,FALSE))</f>
        <v>2</v>
      </c>
      <c r="Y1874" s="269" t="str">
        <f>IF(D1874="","",VLOOKUP(D1874,契約台帳!$A$3:$E$4986,5,FALSE))</f>
        <v>リンテック㈱</v>
      </c>
      <c r="Z1874" s="357"/>
      <c r="AA1874" s="207"/>
      <c r="AB1874" s="369"/>
      <c r="AC1874" s="370"/>
      <c r="AD1874" s="332" t="str">
        <f>IF(F1874="","",+F1874&amp;K1874)</f>
        <v>3SNMLBMNGKKBF25</v>
      </c>
      <c r="AE1874" s="216">
        <f>+M1874*N1874*O1874/1000</f>
        <v>12000</v>
      </c>
      <c r="AF1874" s="43">
        <f>IF(AD1874="","",VLOOKUP(AD1874,原価マスタ!$A$2:$AJ$1693,13,FALSE))</f>
        <v>96</v>
      </c>
      <c r="AG1874" s="47">
        <f>IF(AF1874="","",+AE1874*AF1874/100)</f>
        <v>11520</v>
      </c>
      <c r="AH1874" s="30"/>
      <c r="AI1874" s="30"/>
      <c r="AJ1874" s="30"/>
      <c r="AK1874" s="30"/>
      <c r="AL1874" s="13"/>
      <c r="AM1874" s="13"/>
      <c r="AN1874" s="13"/>
      <c r="AO1874" s="13"/>
      <c r="AP1874" s="13"/>
      <c r="AQ1874" s="14"/>
      <c r="AR1874" s="15"/>
    </row>
    <row r="1875" spans="1:44" s="17" customFormat="1" ht="30.95" hidden="1" customHeight="1" x14ac:dyDescent="0.2">
      <c r="A1875" s="343"/>
      <c r="B1875" s="344"/>
      <c r="C1875" s="345"/>
      <c r="D1875" s="398"/>
      <c r="E1875" s="31"/>
      <c r="F1875" s="268"/>
      <c r="G1875" s="269"/>
      <c r="H1875" s="269"/>
      <c r="I1875" s="270"/>
      <c r="J1875" s="32"/>
      <c r="K1875" s="270"/>
      <c r="L1875" s="270"/>
      <c r="M1875" s="39"/>
      <c r="N1875" s="39"/>
      <c r="O1875" s="47"/>
      <c r="P1875" s="57"/>
      <c r="Q1875" s="276"/>
      <c r="R1875" s="277"/>
      <c r="S1875" s="277"/>
      <c r="T1875" s="40"/>
      <c r="U1875" s="278"/>
      <c r="V1875" s="269"/>
      <c r="W1875" s="269"/>
      <c r="X1875" s="275"/>
      <c r="Y1875" s="269"/>
      <c r="Z1875" s="357"/>
      <c r="AA1875" s="207"/>
      <c r="AB1875" s="369"/>
      <c r="AC1875" s="370"/>
      <c r="AD1875" s="332"/>
      <c r="AE1875" s="216"/>
      <c r="AF1875" s="43"/>
      <c r="AG1875" s="47"/>
      <c r="AH1875" s="30"/>
      <c r="AI1875" s="30"/>
      <c r="AJ1875" s="30"/>
      <c r="AK1875" s="30"/>
      <c r="AL1875" s="13"/>
      <c r="AM1875" s="13"/>
      <c r="AN1875" s="13"/>
      <c r="AO1875" s="13"/>
      <c r="AP1875" s="13"/>
      <c r="AQ1875" s="14"/>
      <c r="AR1875" s="15"/>
    </row>
    <row r="1876" spans="1:44" s="17" customFormat="1" ht="30.6" hidden="1" customHeight="1" x14ac:dyDescent="0.2">
      <c r="A1876" s="320"/>
      <c r="B1876" s="321"/>
      <c r="C1876" s="345"/>
      <c r="D1876" s="398">
        <v>3766759</v>
      </c>
      <c r="E1876" s="31">
        <v>4151757</v>
      </c>
      <c r="F1876" s="268" t="str">
        <f>IF(D1876="","",VLOOKUP(D1876,契約台帳!$A$3:$K$4986,6,FALSE)&amp;VLOOKUP(D1876,契約台帳!$A$3:$K$4986,7,FALSE)&amp;VLOOKUP(D1876,契約台帳!$A$3:$K$4986,8,FALSE)&amp;VLOOKUP(D1876,契約台帳!$A$3:$K$4986,9,FALSE)&amp;VLOOKUP(D1876,契約台帳!$A$3:$K$4986,11,FALSE))</f>
        <v>3SNMLBMNGKKBF</v>
      </c>
      <c r="G1876" s="269" t="str">
        <f>IF(D1876="","",VLOOKUP(F1876,製品マスタ!$G$5:$H$5002,2,FALSE))</f>
        <v>S</v>
      </c>
      <c r="H1876" s="269" t="str">
        <f>IF(D1876="","",VLOOKUP(F1876,製品マスタ!$G$5:$K$5002,5,FALSE))</f>
        <v>MNGKKBF</v>
      </c>
      <c r="I1876" s="270" t="str">
        <f>IF(D1876="","",VLOOKUP(F1876,製品マスタ!$G$5:$L$5002,6,FALSE))</f>
        <v>メタルミー　ネーマー銀消改　Ｂ</v>
      </c>
      <c r="J1876" s="32" t="s">
        <v>447</v>
      </c>
      <c r="K1876" s="270">
        <f>IF(D1876="","",VLOOKUP(D1876,契約台帳!$A$3:$L$4986,12,FALSE))</f>
        <v>50</v>
      </c>
      <c r="L1876" s="270" t="str">
        <f>IF(D1876="","",INDEX(製品マスタ!$Q$5:$Q$5002,MATCH(F1876&amp;K1876,製品マスタ!$AO$5:$AO$5002,0)))</f>
        <v>S99-MAT</v>
      </c>
      <c r="M1876" s="39">
        <v>1000</v>
      </c>
      <c r="N1876" s="39">
        <v>12000</v>
      </c>
      <c r="O1876" s="47">
        <v>1</v>
      </c>
      <c r="P1876" s="57"/>
      <c r="Q1876" s="276">
        <f>IF(D1876="","",IF(J1876="リード付け",M1876,VLOOKUP(D1876,契約台帳!$A$3:$N$4986,14,FALSE)))</f>
        <v>1000</v>
      </c>
      <c r="R1876" s="277">
        <f>IF(D1876="","",IF(J1876="リード付け",M1876,VLOOKUP(D1876,契約台帳!$A$3:$O$4986,15,FALSE)))</f>
        <v>1000</v>
      </c>
      <c r="S1876" s="277">
        <f>IF(D1876="","",IF(J1876="リード付け",N1876,VLOOKUP(D1876,契約台帳!$A$3:$P$4986,16,FALSE)))</f>
        <v>4000</v>
      </c>
      <c r="T1876" s="40">
        <v>3</v>
      </c>
      <c r="U1876" s="278">
        <f ca="1">IF(D1876="","",IF(OFFSET(D1876,-2,0)=D1876,"",VLOOKUP(D1876,契約台帳!$A$3:$R$4986,18,FALSE)))</f>
        <v>5</v>
      </c>
      <c r="V1876" s="269" t="str">
        <f>IF(J1876="巻返し",VLOOKUP(F1876&amp;K1876&amp;M1876,製品マスタ!$M$5:$AD$5002,18,FALSE),IF(J1876="リード付け","原反コア",IF(J1876="スリット",VLOOKUP(F1876&amp;K1876&amp;Q1876,製品マスタ!$N$5:$AD$5002,17,FALSE),"")))</f>
        <v>6ｲﾝﾁSｺｱ</v>
      </c>
      <c r="W1876" s="269">
        <f>IF(J1876="巻返し",VLOOKUP(F1876&amp;K1876&amp;M1876,製品マスタ!$M$5:$AE$5002,19,FALSE),IF(J1876="リード付け","-",IF(J1876="スリット",VLOOKUP(F1876&amp;K1876&amp;Q1876,製品マスタ!$N$5:$AE$5002,18,FALSE),"")))</f>
        <v>1005</v>
      </c>
      <c r="X1876" s="275">
        <f>IF(D1876="","",VLOOKUP(D1876,契約台帳!$A$3:$Q$4986,17,FALSE))</f>
        <v>2</v>
      </c>
      <c r="Y1876" s="269" t="str">
        <f>IF(D1876="","",VLOOKUP(D1876,契約台帳!$A$3:$E$4986,5,FALSE))</f>
        <v>リンテック㈱</v>
      </c>
      <c r="Z1876" s="357"/>
      <c r="AA1876" s="207"/>
      <c r="AB1876" s="369"/>
      <c r="AC1876" s="370"/>
      <c r="AD1876" s="332" t="str">
        <f>IF(F1876="","",+F1876&amp;K1876)</f>
        <v>3SNMLBMNGKKBF50</v>
      </c>
      <c r="AE1876" s="216">
        <f>+M1876*N1876*O1876/1000</f>
        <v>12000</v>
      </c>
      <c r="AF1876" s="43">
        <f>IF(AD1876="","",VLOOKUP(AD1876,原価マスタ!$A$2:$AJ$1693,13,FALSE))</f>
        <v>99</v>
      </c>
      <c r="AG1876" s="47">
        <f>IF(AF1876="","",+AE1876*AF1876/100)</f>
        <v>11880</v>
      </c>
      <c r="AH1876" s="30"/>
      <c r="AI1876" s="30"/>
      <c r="AJ1876" s="30"/>
      <c r="AK1876" s="30"/>
      <c r="AL1876" s="13"/>
      <c r="AM1876" s="13"/>
      <c r="AN1876" s="13"/>
      <c r="AO1876" s="13"/>
      <c r="AP1876" s="13"/>
      <c r="AQ1876" s="14"/>
      <c r="AR1876" s="15"/>
    </row>
    <row r="1877" spans="1:44" s="17" customFormat="1" ht="30.95" hidden="1" customHeight="1" x14ac:dyDescent="0.2">
      <c r="A1877" s="343"/>
      <c r="B1877" s="344"/>
      <c r="C1877" s="345"/>
      <c r="D1877" s="398"/>
      <c r="E1877" s="31"/>
      <c r="F1877" s="268"/>
      <c r="G1877" s="269"/>
      <c r="H1877" s="269"/>
      <c r="I1877" s="270"/>
      <c r="J1877" s="32"/>
      <c r="K1877" s="270"/>
      <c r="L1877" s="270"/>
      <c r="M1877" s="39"/>
      <c r="N1877" s="39"/>
      <c r="O1877" s="47"/>
      <c r="P1877" s="57"/>
      <c r="Q1877" s="276"/>
      <c r="R1877" s="277"/>
      <c r="S1877" s="277"/>
      <c r="T1877" s="40"/>
      <c r="U1877" s="278"/>
      <c r="V1877" s="269"/>
      <c r="W1877" s="269"/>
      <c r="X1877" s="275"/>
      <c r="Y1877" s="269"/>
      <c r="Z1877" s="357"/>
      <c r="AA1877" s="207"/>
      <c r="AB1877" s="369"/>
      <c r="AC1877" s="370"/>
      <c r="AD1877" s="332"/>
      <c r="AE1877" s="216"/>
      <c r="AF1877" s="43"/>
      <c r="AG1877" s="47"/>
      <c r="AH1877" s="30"/>
      <c r="AI1877" s="30"/>
      <c r="AJ1877" s="30"/>
      <c r="AK1877" s="30"/>
      <c r="AL1877" s="13"/>
      <c r="AM1877" s="13"/>
      <c r="AN1877" s="13"/>
      <c r="AO1877" s="13"/>
      <c r="AP1877" s="13"/>
      <c r="AQ1877" s="14"/>
      <c r="AR1877" s="15"/>
    </row>
    <row r="1878" spans="1:44" s="17" customFormat="1" ht="30.6" hidden="1" customHeight="1" x14ac:dyDescent="0.2">
      <c r="A1878" s="320"/>
      <c r="B1878" s="321"/>
      <c r="C1878" s="345"/>
      <c r="D1878" s="398">
        <v>3766759</v>
      </c>
      <c r="E1878" s="31">
        <v>4151757</v>
      </c>
      <c r="F1878" s="268" t="str">
        <f>IF(D1878="","",VLOOKUP(D1878,契約台帳!$A$3:$K$4986,6,FALSE)&amp;VLOOKUP(D1878,契約台帳!$A$3:$K$4986,7,FALSE)&amp;VLOOKUP(D1878,契約台帳!$A$3:$K$4986,8,FALSE)&amp;VLOOKUP(D1878,契約台帳!$A$3:$K$4986,9,FALSE)&amp;VLOOKUP(D1878,契約台帳!$A$3:$K$4986,11,FALSE))</f>
        <v>3SNMLBMNGKKBF</v>
      </c>
      <c r="G1878" s="269" t="str">
        <f>IF(D1878="","",VLOOKUP(F1878,製品マスタ!$G$5:$H$5002,2,FALSE))</f>
        <v>S</v>
      </c>
      <c r="H1878" s="269" t="str">
        <f>IF(D1878="","",VLOOKUP(F1878,製品マスタ!$G$5:$K$5002,5,FALSE))</f>
        <v>MNGKKBF</v>
      </c>
      <c r="I1878" s="270" t="str">
        <f>IF(D1878="","",VLOOKUP(F1878,製品マスタ!$G$5:$L$5002,6,FALSE))</f>
        <v>メタルミー　ネーマー銀消改　Ｂ</v>
      </c>
      <c r="J1878" s="32" t="s">
        <v>447</v>
      </c>
      <c r="K1878" s="270">
        <f>IF(D1878="","",VLOOKUP(D1878,契約台帳!$A$3:$L$4986,12,FALSE))</f>
        <v>50</v>
      </c>
      <c r="L1878" s="270" t="str">
        <f>IF(D1878="","",INDEX(製品マスタ!$Q$5:$Q$5002,MATCH(F1878&amp;K1878,製品マスタ!$AO$5:$AO$5002,0)))</f>
        <v>S99-MAT</v>
      </c>
      <c r="M1878" s="39">
        <v>1000</v>
      </c>
      <c r="N1878" s="39">
        <v>8000</v>
      </c>
      <c r="O1878" s="47">
        <v>1</v>
      </c>
      <c r="P1878" s="57"/>
      <c r="Q1878" s="276">
        <f>IF(D1878="","",IF(J1878="リード付け",M1878,VLOOKUP(D1878,契約台帳!$A$3:$N$4986,14,FALSE)))</f>
        <v>1000</v>
      </c>
      <c r="R1878" s="277">
        <f>IF(D1878="","",IF(J1878="リード付け",M1878,VLOOKUP(D1878,契約台帳!$A$3:$O$4986,15,FALSE)))</f>
        <v>1000</v>
      </c>
      <c r="S1878" s="277">
        <f>IF(D1878="","",IF(J1878="リード付け",N1878,VLOOKUP(D1878,契約台帳!$A$3:$P$4986,16,FALSE)))</f>
        <v>4000</v>
      </c>
      <c r="T1878" s="40">
        <v>2</v>
      </c>
      <c r="U1878" s="278" t="str">
        <f ca="1">IF(D1878="","",IF(OFFSET(D1878,-2,0)=D1878,"",VLOOKUP(D1878,契約台帳!$A$3:$R$4986,18,FALSE)))</f>
        <v/>
      </c>
      <c r="V1878" s="269" t="str">
        <f>IF(J1878="巻返し",VLOOKUP(F1878&amp;K1878&amp;M1878,製品マスタ!$M$5:$AD$5002,18,FALSE),IF(J1878="リード付け","原反コア",IF(J1878="スリット",VLOOKUP(F1878&amp;K1878&amp;Q1878,製品マスタ!$N$5:$AD$5002,17,FALSE),"")))</f>
        <v>6ｲﾝﾁSｺｱ</v>
      </c>
      <c r="W1878" s="269">
        <f>IF(J1878="巻返し",VLOOKUP(F1878&amp;K1878&amp;M1878,製品マスタ!$M$5:$AE$5002,19,FALSE),IF(J1878="リード付け","-",IF(J1878="スリット",VLOOKUP(F1878&amp;K1878&amp;Q1878,製品マスタ!$N$5:$AE$5002,18,FALSE),"")))</f>
        <v>1005</v>
      </c>
      <c r="X1878" s="275">
        <f>IF(D1878="","",VLOOKUP(D1878,契約台帳!$A$3:$Q$4986,17,FALSE))</f>
        <v>2</v>
      </c>
      <c r="Y1878" s="269" t="str">
        <f>IF(D1878="","",VLOOKUP(D1878,契約台帳!$A$3:$E$4986,5,FALSE))</f>
        <v>リンテック㈱</v>
      </c>
      <c r="Z1878" s="357"/>
      <c r="AA1878" s="207"/>
      <c r="AB1878" s="369"/>
      <c r="AC1878" s="370"/>
      <c r="AD1878" s="332" t="str">
        <f>IF(F1878="","",+F1878&amp;K1878)</f>
        <v>3SNMLBMNGKKBF50</v>
      </c>
      <c r="AE1878" s="216">
        <f>+M1878*N1878*O1878/1000</f>
        <v>8000</v>
      </c>
      <c r="AF1878" s="43">
        <f>IF(AD1878="","",VLOOKUP(AD1878,原価マスタ!$A$2:$AJ$1693,13,FALSE))</f>
        <v>99</v>
      </c>
      <c r="AG1878" s="47">
        <f>IF(AF1878="","",+AE1878*AF1878/100)</f>
        <v>7920</v>
      </c>
      <c r="AH1878" s="30"/>
      <c r="AI1878" s="30"/>
      <c r="AJ1878" s="30"/>
      <c r="AK1878" s="30"/>
      <c r="AL1878" s="13"/>
      <c r="AM1878" s="13"/>
      <c r="AN1878" s="13"/>
      <c r="AO1878" s="13"/>
      <c r="AP1878" s="13"/>
      <c r="AQ1878" s="14"/>
      <c r="AR1878" s="15"/>
    </row>
    <row r="1879" spans="1:44" s="17" customFormat="1" ht="30.95" hidden="1" customHeight="1" x14ac:dyDescent="0.2">
      <c r="A1879" s="343"/>
      <c r="B1879" s="344"/>
      <c r="C1879" s="345"/>
      <c r="D1879" s="398"/>
      <c r="E1879" s="31"/>
      <c r="F1879" s="268"/>
      <c r="G1879" s="269"/>
      <c r="H1879" s="269"/>
      <c r="I1879" s="270"/>
      <c r="J1879" s="32"/>
      <c r="K1879" s="270"/>
      <c r="L1879" s="270"/>
      <c r="M1879" s="39"/>
      <c r="N1879" s="39"/>
      <c r="O1879" s="47"/>
      <c r="P1879" s="57"/>
      <c r="Q1879" s="276"/>
      <c r="R1879" s="277"/>
      <c r="S1879" s="277"/>
      <c r="T1879" s="40"/>
      <c r="U1879" s="278"/>
      <c r="V1879" s="269"/>
      <c r="W1879" s="269"/>
      <c r="X1879" s="275"/>
      <c r="Y1879" s="269"/>
      <c r="Z1879" s="357"/>
      <c r="AA1879" s="207"/>
      <c r="AB1879" s="369"/>
      <c r="AC1879" s="370"/>
      <c r="AD1879" s="332"/>
      <c r="AE1879" s="216"/>
      <c r="AF1879" s="43"/>
      <c r="AG1879" s="47"/>
      <c r="AH1879" s="30"/>
      <c r="AI1879" s="30"/>
      <c r="AJ1879" s="30"/>
      <c r="AK1879" s="30"/>
      <c r="AL1879" s="13"/>
      <c r="AM1879" s="13"/>
      <c r="AN1879" s="13"/>
      <c r="AO1879" s="13"/>
      <c r="AP1879" s="13"/>
      <c r="AQ1879" s="14"/>
      <c r="AR1879" s="15"/>
    </row>
    <row r="1880" spans="1:44" s="17" customFormat="1" ht="30.6" hidden="1" customHeight="1" x14ac:dyDescent="0.2">
      <c r="A1880" s="320"/>
      <c r="B1880" s="321"/>
      <c r="C1880" s="345"/>
      <c r="D1880" s="398">
        <v>3766763</v>
      </c>
      <c r="E1880" s="31">
        <v>4151761</v>
      </c>
      <c r="F1880" s="268" t="str">
        <f>IF(D1880="","",VLOOKUP(D1880,契約台帳!$A$3:$K$4986,6,FALSE)&amp;VLOOKUP(D1880,契約台帳!$A$3:$K$4986,7,FALSE)&amp;VLOOKUP(D1880,契約台帳!$A$3:$K$4986,8,FALSE)&amp;VLOOKUP(D1880,契約台帳!$A$3:$K$4986,9,FALSE)&amp;VLOOKUP(D1880,契約台帳!$A$3:$K$4986,11,FALSE))</f>
        <v>3SNMLBMNNGKBF</v>
      </c>
      <c r="G1880" s="269" t="str">
        <f>IF(D1880="","",VLOOKUP(F1880,製品マスタ!$G$5:$H$5002,2,FALSE))</f>
        <v>S</v>
      </c>
      <c r="H1880" s="269" t="str">
        <f>IF(D1880="","",VLOOKUP(F1880,製品マスタ!$G$5:$K$5002,5,FALSE))</f>
        <v>MNNGKBF</v>
      </c>
      <c r="I1880" s="270" t="str">
        <f>IF(D1880="","",VLOOKUP(F1880,製品マスタ!$G$5:$L$5002,6,FALSE))</f>
        <v>メタルミー　ニューネーマー銀消　Ｂ</v>
      </c>
      <c r="J1880" s="32" t="s">
        <v>447</v>
      </c>
      <c r="K1880" s="270">
        <f>IF(D1880="","",VLOOKUP(D1880,契約台帳!$A$3:$L$4986,12,FALSE))</f>
        <v>50</v>
      </c>
      <c r="L1880" s="270" t="str">
        <f>IF(D1880="","",INDEX(製品マスタ!$Q$5:$Q$5002,MATCH(F1880&amp;K1880,製品マスタ!$AO$5:$AO$5002,0)))</f>
        <v>X44</v>
      </c>
      <c r="M1880" s="39">
        <v>1000</v>
      </c>
      <c r="N1880" s="39">
        <v>12000</v>
      </c>
      <c r="O1880" s="47">
        <v>3</v>
      </c>
      <c r="P1880" s="57"/>
      <c r="Q1880" s="276">
        <f>IF(D1880="","",IF(J1880="リード付け",M1880,VLOOKUP(D1880,契約台帳!$A$3:$N$4986,14,FALSE)))</f>
        <v>1000</v>
      </c>
      <c r="R1880" s="277">
        <f>IF(D1880="","",IF(J1880="リード付け",M1880,VLOOKUP(D1880,契約台帳!$A$3:$O$4986,15,FALSE)))</f>
        <v>1000</v>
      </c>
      <c r="S1880" s="277">
        <f>IF(D1880="","",IF(J1880="リード付け",N1880,VLOOKUP(D1880,契約台帳!$A$3:$P$4986,16,FALSE)))</f>
        <v>4000</v>
      </c>
      <c r="T1880" s="40">
        <v>9</v>
      </c>
      <c r="U1880" s="278">
        <f ca="1">IF(D1880="","",IF(OFFSET(D1880,-2,0)=D1880,"",VLOOKUP(D1880,契約台帳!$A$3:$R$4986,18,FALSE)))</f>
        <v>21</v>
      </c>
      <c r="V1880" s="269" t="str">
        <f>IF(J1880="巻返し",VLOOKUP(F1880&amp;K1880&amp;M1880,製品マスタ!$M$5:$AD$5002,18,FALSE),IF(J1880="リード付け","原反コア",IF(J1880="スリット",VLOOKUP(F1880&amp;K1880&amp;Q1880,製品マスタ!$N$5:$AD$5002,17,FALSE),"")))</f>
        <v>6ｲﾝﾁSｺｱ</v>
      </c>
      <c r="W1880" s="269">
        <f>IF(J1880="巻返し",VLOOKUP(F1880&amp;K1880&amp;M1880,製品マスタ!$M$5:$AE$5002,19,FALSE),IF(J1880="リード付け","-",IF(J1880="スリット",VLOOKUP(F1880&amp;K1880&amp;Q1880,製品マスタ!$N$5:$AE$5002,18,FALSE),"")))</f>
        <v>1005</v>
      </c>
      <c r="X1880" s="275">
        <f>IF(D1880="","",VLOOKUP(D1880,契約台帳!$A$3:$Q$4986,17,FALSE))</f>
        <v>2</v>
      </c>
      <c r="Y1880" s="269" t="str">
        <f>IF(D1880="","",VLOOKUP(D1880,契約台帳!$A$3:$E$4986,5,FALSE))</f>
        <v>リンテック㈱</v>
      </c>
      <c r="Z1880" s="357"/>
      <c r="AA1880" s="207"/>
      <c r="AB1880" s="369"/>
      <c r="AC1880" s="370"/>
      <c r="AD1880" s="332" t="str">
        <f>IF(F1880="","",+F1880&amp;K1880)</f>
        <v>3SNMLBMNNGKBF50</v>
      </c>
      <c r="AE1880" s="216">
        <f>+M1880*N1880*O1880/1000</f>
        <v>36000</v>
      </c>
      <c r="AF1880" s="43">
        <f>IF(AD1880="","",VLOOKUP(AD1880,原価マスタ!$A$2:$AJ$1693,13,FALSE))</f>
        <v>99</v>
      </c>
      <c r="AG1880" s="47">
        <f>IF(AF1880="","",+AE1880*AF1880/100)</f>
        <v>35640</v>
      </c>
      <c r="AH1880" s="30"/>
      <c r="AI1880" s="30"/>
      <c r="AJ1880" s="30"/>
      <c r="AK1880" s="30"/>
      <c r="AL1880" s="13"/>
      <c r="AM1880" s="13"/>
      <c r="AN1880" s="13"/>
      <c r="AO1880" s="13"/>
      <c r="AP1880" s="13"/>
      <c r="AQ1880" s="14"/>
      <c r="AR1880" s="15"/>
    </row>
    <row r="1881" spans="1:44" s="17" customFormat="1" ht="30.6" hidden="1" customHeight="1" x14ac:dyDescent="0.2">
      <c r="A1881" s="343"/>
      <c r="B1881" s="344"/>
      <c r="C1881" s="345"/>
      <c r="D1881" s="398"/>
      <c r="E1881" s="31"/>
      <c r="F1881" s="268"/>
      <c r="G1881" s="269"/>
      <c r="H1881" s="269"/>
      <c r="I1881" s="270"/>
      <c r="J1881" s="32"/>
      <c r="K1881" s="270"/>
      <c r="L1881" s="270"/>
      <c r="M1881" s="39"/>
      <c r="N1881" s="39"/>
      <c r="O1881" s="47"/>
      <c r="P1881" s="57"/>
      <c r="Q1881" s="276"/>
      <c r="R1881" s="277"/>
      <c r="S1881" s="277"/>
      <c r="T1881" s="40"/>
      <c r="U1881" s="278"/>
      <c r="V1881" s="269"/>
      <c r="W1881" s="269"/>
      <c r="X1881" s="275"/>
      <c r="Y1881" s="269"/>
      <c r="Z1881" s="357"/>
      <c r="AA1881" s="207"/>
      <c r="AB1881" s="369"/>
      <c r="AC1881" s="370"/>
      <c r="AD1881" s="332"/>
      <c r="AE1881" s="216"/>
      <c r="AF1881" s="43"/>
      <c r="AG1881" s="47"/>
      <c r="AH1881" s="30"/>
      <c r="AI1881" s="30"/>
      <c r="AJ1881" s="30"/>
      <c r="AK1881" s="30"/>
      <c r="AL1881" s="13"/>
      <c r="AM1881" s="13"/>
      <c r="AN1881" s="13"/>
      <c r="AO1881" s="13"/>
      <c r="AP1881" s="13"/>
      <c r="AQ1881" s="14"/>
      <c r="AR1881" s="15"/>
    </row>
    <row r="1882" spans="1:44" s="17" customFormat="1" ht="30.95" hidden="1" customHeight="1" x14ac:dyDescent="0.2">
      <c r="A1882" s="343" t="s">
        <v>1388</v>
      </c>
      <c r="B1882" s="344" t="s">
        <v>445</v>
      </c>
      <c r="C1882" s="345"/>
      <c r="D1882" s="398"/>
      <c r="E1882" s="31"/>
      <c r="F1882" s="268"/>
      <c r="G1882" s="269"/>
      <c r="H1882" s="269"/>
      <c r="I1882" s="270"/>
      <c r="J1882" s="32" t="s">
        <v>448</v>
      </c>
      <c r="K1882" s="270"/>
      <c r="L1882" s="270"/>
      <c r="M1882" s="39"/>
      <c r="N1882" s="39"/>
      <c r="O1882" s="47"/>
      <c r="P1882" s="57"/>
      <c r="Q1882" s="276"/>
      <c r="R1882" s="277"/>
      <c r="S1882" s="277"/>
      <c r="T1882" s="40"/>
      <c r="U1882" s="278"/>
      <c r="V1882" s="269"/>
      <c r="W1882" s="269"/>
      <c r="X1882" s="275"/>
      <c r="Y1882" s="269"/>
      <c r="Z1882" s="357"/>
      <c r="AA1882" s="207"/>
      <c r="AB1882" s="369"/>
      <c r="AC1882" s="370"/>
      <c r="AD1882" s="332"/>
      <c r="AE1882" s="216"/>
      <c r="AF1882" s="43"/>
      <c r="AG1882" s="47"/>
      <c r="AH1882" s="30"/>
      <c r="AI1882" s="30"/>
      <c r="AJ1882" s="30"/>
      <c r="AK1882" s="30"/>
      <c r="AL1882" s="13"/>
      <c r="AM1882" s="13"/>
      <c r="AN1882" s="13"/>
      <c r="AO1882" s="13"/>
      <c r="AP1882" s="13"/>
      <c r="AQ1882" s="14"/>
      <c r="AR1882" s="15"/>
    </row>
    <row r="1883" spans="1:44" s="17" customFormat="1" ht="30.95" hidden="1" customHeight="1" x14ac:dyDescent="0.2">
      <c r="A1883" s="343"/>
      <c r="B1883" s="344"/>
      <c r="C1883" s="345"/>
      <c r="D1883" s="398"/>
      <c r="E1883" s="31"/>
      <c r="F1883" s="268"/>
      <c r="G1883" s="269"/>
      <c r="H1883" s="269"/>
      <c r="I1883" s="270"/>
      <c r="J1883" s="32"/>
      <c r="K1883" s="270"/>
      <c r="L1883" s="270"/>
      <c r="M1883" s="39"/>
      <c r="N1883" s="39"/>
      <c r="O1883" s="47"/>
      <c r="P1883" s="57"/>
      <c r="Q1883" s="276"/>
      <c r="R1883" s="277"/>
      <c r="S1883" s="277"/>
      <c r="T1883" s="40"/>
      <c r="U1883" s="278"/>
      <c r="V1883" s="269"/>
      <c r="W1883" s="269"/>
      <c r="X1883" s="275"/>
      <c r="Y1883" s="269"/>
      <c r="Z1883" s="357"/>
      <c r="AA1883" s="207"/>
      <c r="AB1883" s="369"/>
      <c r="AC1883" s="370"/>
      <c r="AD1883" s="332"/>
      <c r="AE1883" s="216"/>
      <c r="AF1883" s="43"/>
      <c r="AG1883" s="47"/>
      <c r="AH1883" s="30"/>
      <c r="AI1883" s="30"/>
      <c r="AJ1883" s="30"/>
      <c r="AK1883" s="30"/>
      <c r="AL1883" s="13"/>
      <c r="AM1883" s="13"/>
      <c r="AN1883" s="13"/>
      <c r="AO1883" s="13"/>
      <c r="AP1883" s="13"/>
      <c r="AQ1883" s="14"/>
      <c r="AR1883" s="15"/>
    </row>
    <row r="1884" spans="1:44" s="17" customFormat="1" ht="30.95" hidden="1" customHeight="1" x14ac:dyDescent="0.2">
      <c r="A1884" s="343" t="s">
        <v>546</v>
      </c>
      <c r="B1884" s="344" t="s">
        <v>446</v>
      </c>
      <c r="C1884" s="345"/>
      <c r="D1884" s="398"/>
      <c r="E1884" s="31"/>
      <c r="F1884" s="268"/>
      <c r="G1884" s="269"/>
      <c r="H1884" s="269"/>
      <c r="I1884" s="270"/>
      <c r="J1884" s="32" t="s">
        <v>448</v>
      </c>
      <c r="K1884" s="270"/>
      <c r="L1884" s="270"/>
      <c r="M1884" s="39"/>
      <c r="N1884" s="39"/>
      <c r="O1884" s="47"/>
      <c r="P1884" s="57"/>
      <c r="Q1884" s="276"/>
      <c r="R1884" s="277"/>
      <c r="S1884" s="277"/>
      <c r="T1884" s="40"/>
      <c r="U1884" s="278"/>
      <c r="V1884" s="269"/>
      <c r="W1884" s="269"/>
      <c r="X1884" s="275"/>
      <c r="Y1884" s="269"/>
      <c r="Z1884" s="357"/>
      <c r="AA1884" s="207"/>
      <c r="AB1884" s="369"/>
      <c r="AC1884" s="370"/>
      <c r="AD1884" s="332"/>
      <c r="AE1884" s="216"/>
      <c r="AF1884" s="43"/>
      <c r="AG1884" s="47"/>
      <c r="AH1884" s="30"/>
      <c r="AI1884" s="30"/>
      <c r="AJ1884" s="30"/>
      <c r="AK1884" s="30"/>
      <c r="AL1884" s="13"/>
      <c r="AM1884" s="13"/>
      <c r="AN1884" s="13"/>
      <c r="AO1884" s="13"/>
      <c r="AP1884" s="13"/>
      <c r="AQ1884" s="14"/>
      <c r="AR1884" s="15"/>
    </row>
    <row r="1885" spans="1:44" s="17" customFormat="1" ht="30.95" hidden="1" customHeight="1" x14ac:dyDescent="0.2">
      <c r="A1885" s="343"/>
      <c r="B1885" s="344"/>
      <c r="C1885" s="345"/>
      <c r="D1885" s="398"/>
      <c r="E1885" s="31"/>
      <c r="F1885" s="268"/>
      <c r="G1885" s="269"/>
      <c r="H1885" s="269"/>
      <c r="I1885" s="270"/>
      <c r="J1885" s="32"/>
      <c r="K1885" s="270"/>
      <c r="L1885" s="270"/>
      <c r="M1885" s="39"/>
      <c r="N1885" s="39"/>
      <c r="O1885" s="47"/>
      <c r="P1885" s="57"/>
      <c r="Q1885" s="276"/>
      <c r="R1885" s="277"/>
      <c r="S1885" s="277"/>
      <c r="T1885" s="40"/>
      <c r="U1885" s="278"/>
      <c r="V1885" s="269"/>
      <c r="W1885" s="269"/>
      <c r="X1885" s="275"/>
      <c r="Y1885" s="269"/>
      <c r="Z1885" s="357"/>
      <c r="AA1885" s="207"/>
      <c r="AB1885" s="369"/>
      <c r="AC1885" s="370"/>
      <c r="AD1885" s="332"/>
      <c r="AE1885" s="216"/>
      <c r="AF1885" s="43"/>
      <c r="AG1885" s="47"/>
      <c r="AH1885" s="30"/>
      <c r="AI1885" s="30"/>
      <c r="AJ1885" s="30"/>
      <c r="AK1885" s="30"/>
      <c r="AL1885" s="13"/>
      <c r="AM1885" s="13"/>
      <c r="AN1885" s="13"/>
      <c r="AO1885" s="13"/>
      <c r="AP1885" s="13"/>
      <c r="AQ1885" s="14"/>
      <c r="AR1885" s="15"/>
    </row>
    <row r="1886" spans="1:44" s="17" customFormat="1" ht="30.6" hidden="1" customHeight="1" x14ac:dyDescent="0.2">
      <c r="A1886" s="320" t="s">
        <v>3070</v>
      </c>
      <c r="B1886" s="321" t="s">
        <v>3071</v>
      </c>
      <c r="C1886" s="345"/>
      <c r="D1886" s="398">
        <v>3766763</v>
      </c>
      <c r="E1886" s="31">
        <v>4151761</v>
      </c>
      <c r="F1886" s="268" t="str">
        <f>IF(D1886="","",VLOOKUP(D1886,契約台帳!$A$3:$K$4986,6,FALSE)&amp;VLOOKUP(D1886,契約台帳!$A$3:$K$4986,7,FALSE)&amp;VLOOKUP(D1886,契約台帳!$A$3:$K$4986,8,FALSE)&amp;VLOOKUP(D1886,契約台帳!$A$3:$K$4986,9,FALSE)&amp;VLOOKUP(D1886,契約台帳!$A$3:$K$4986,11,FALSE))</f>
        <v>3SNMLBMNNGKBF</v>
      </c>
      <c r="G1886" s="269" t="str">
        <f>IF(D1886="","",VLOOKUP(F1886,製品マスタ!$G$5:$H$5002,2,FALSE))</f>
        <v>S</v>
      </c>
      <c r="H1886" s="269" t="str">
        <f>IF(D1886="","",VLOOKUP(F1886,製品マスタ!$G$5:$K$5002,5,FALSE))</f>
        <v>MNNGKBF</v>
      </c>
      <c r="I1886" s="270" t="str">
        <f>IF(D1886="","",VLOOKUP(F1886,製品マスタ!$G$5:$L$5002,6,FALSE))</f>
        <v>メタルミー　ニューネーマー銀消　Ｂ</v>
      </c>
      <c r="J1886" s="32" t="s">
        <v>447</v>
      </c>
      <c r="K1886" s="270">
        <f>IF(D1886="","",VLOOKUP(D1886,契約台帳!$A$3:$L$4986,12,FALSE))</f>
        <v>50</v>
      </c>
      <c r="L1886" s="270" t="str">
        <f>IF(D1886="","",INDEX(製品マスタ!$Q$5:$Q$5002,MATCH(F1886&amp;K1886,製品マスタ!$AO$5:$AO$5002,0)))</f>
        <v>X44</v>
      </c>
      <c r="M1886" s="39">
        <v>1000</v>
      </c>
      <c r="N1886" s="39">
        <v>12000</v>
      </c>
      <c r="O1886" s="47">
        <v>4</v>
      </c>
      <c r="P1886" s="57"/>
      <c r="Q1886" s="276">
        <f>IF(D1886="","",IF(J1886="リード付け",M1886,VLOOKUP(D1886,契約台帳!$A$3:$N$4986,14,FALSE)))</f>
        <v>1000</v>
      </c>
      <c r="R1886" s="277">
        <f>IF(D1886="","",IF(J1886="リード付け",M1886,VLOOKUP(D1886,契約台帳!$A$3:$O$4986,15,FALSE)))</f>
        <v>1000</v>
      </c>
      <c r="S1886" s="277">
        <f>IF(D1886="","",IF(J1886="リード付け",N1886,VLOOKUP(D1886,契約台帳!$A$3:$P$4986,16,FALSE)))</f>
        <v>4000</v>
      </c>
      <c r="T1886" s="40">
        <v>12</v>
      </c>
      <c r="U1886" s="278">
        <f ca="1">IF(D1886="","",IF(OFFSET(D1886,-2,0)=D1886,"",VLOOKUP(D1886,契約台帳!$A$3:$R$4986,18,FALSE)))</f>
        <v>21</v>
      </c>
      <c r="V1886" s="269" t="str">
        <f>IF(J1886="巻返し",VLOOKUP(F1886&amp;K1886&amp;M1886,製品マスタ!$M$5:$AD$5002,18,FALSE),IF(J1886="リード付け","原反コア",IF(J1886="スリット",VLOOKUP(F1886&amp;K1886&amp;Q1886,製品マスタ!$N$5:$AD$5002,17,FALSE),"")))</f>
        <v>6ｲﾝﾁSｺｱ</v>
      </c>
      <c r="W1886" s="269">
        <f>IF(J1886="巻返し",VLOOKUP(F1886&amp;K1886&amp;M1886,製品マスタ!$M$5:$AE$5002,19,FALSE),IF(J1886="リード付け","-",IF(J1886="スリット",VLOOKUP(F1886&amp;K1886&amp;Q1886,製品マスタ!$N$5:$AE$5002,18,FALSE),"")))</f>
        <v>1005</v>
      </c>
      <c r="X1886" s="275">
        <f>IF(D1886="","",VLOOKUP(D1886,契約台帳!$A$3:$Q$4986,17,FALSE))</f>
        <v>2</v>
      </c>
      <c r="Y1886" s="269" t="str">
        <f>IF(D1886="","",VLOOKUP(D1886,契約台帳!$A$3:$E$4986,5,FALSE))</f>
        <v>リンテック㈱</v>
      </c>
      <c r="Z1886" s="357"/>
      <c r="AA1886" s="207"/>
      <c r="AB1886" s="369"/>
      <c r="AC1886" s="370"/>
      <c r="AD1886" s="332" t="str">
        <f>IF(F1886="","",+F1886&amp;K1886)</f>
        <v>3SNMLBMNNGKBF50</v>
      </c>
      <c r="AE1886" s="216">
        <f>+M1886*N1886*O1886/1000</f>
        <v>48000</v>
      </c>
      <c r="AF1886" s="43">
        <f>IF(AD1886="","",VLOOKUP(AD1886,原価マスタ!$A$2:$AJ$1693,13,FALSE))</f>
        <v>99</v>
      </c>
      <c r="AG1886" s="47">
        <f>IF(AF1886="","",+AE1886*AF1886/100)</f>
        <v>47520</v>
      </c>
      <c r="AH1886" s="30"/>
      <c r="AI1886" s="30"/>
      <c r="AJ1886" s="30"/>
      <c r="AK1886" s="30"/>
      <c r="AL1886" s="13"/>
      <c r="AM1886" s="13"/>
      <c r="AN1886" s="13"/>
      <c r="AO1886" s="13"/>
      <c r="AP1886" s="13"/>
      <c r="AQ1886" s="14"/>
      <c r="AR1886" s="15"/>
    </row>
    <row r="1887" spans="1:44" s="17" customFormat="1" ht="30.95" hidden="1" customHeight="1" x14ac:dyDescent="0.2">
      <c r="A1887" s="343"/>
      <c r="B1887" s="344"/>
      <c r="C1887" s="345"/>
      <c r="D1887" s="398"/>
      <c r="E1887" s="31"/>
      <c r="F1887" s="268"/>
      <c r="G1887" s="269"/>
      <c r="H1887" s="269"/>
      <c r="I1887" s="270"/>
      <c r="J1887" s="32"/>
      <c r="K1887" s="270"/>
      <c r="L1887" s="270"/>
      <c r="M1887" s="39"/>
      <c r="N1887" s="39"/>
      <c r="O1887" s="47"/>
      <c r="P1887" s="57"/>
      <c r="Q1887" s="276"/>
      <c r="R1887" s="277"/>
      <c r="S1887" s="277"/>
      <c r="T1887" s="40"/>
      <c r="U1887" s="278"/>
      <c r="V1887" s="269"/>
      <c r="W1887" s="269"/>
      <c r="X1887" s="275"/>
      <c r="Y1887" s="269"/>
      <c r="Z1887" s="357"/>
      <c r="AA1887" s="207"/>
      <c r="AB1887" s="369"/>
      <c r="AC1887" s="370"/>
      <c r="AD1887" s="332"/>
      <c r="AE1887" s="216"/>
      <c r="AF1887" s="43"/>
      <c r="AG1887" s="47"/>
      <c r="AH1887" s="30"/>
      <c r="AI1887" s="30"/>
      <c r="AJ1887" s="30"/>
      <c r="AK1887" s="30"/>
      <c r="AL1887" s="13"/>
      <c r="AM1887" s="13"/>
      <c r="AN1887" s="13"/>
      <c r="AO1887" s="13"/>
      <c r="AP1887" s="13"/>
      <c r="AQ1887" s="14"/>
      <c r="AR1887" s="15"/>
    </row>
    <row r="1888" spans="1:44" s="17" customFormat="1" ht="30.95" hidden="1" customHeight="1" x14ac:dyDescent="0.2">
      <c r="A1888" s="320"/>
      <c r="B1888" s="321"/>
      <c r="C1888" s="345"/>
      <c r="D1888" s="346">
        <v>5371154</v>
      </c>
      <c r="E1888" s="346">
        <v>4151800</v>
      </c>
      <c r="F1888" s="268"/>
      <c r="G1888" s="269" t="s">
        <v>450</v>
      </c>
      <c r="H1888" s="269" t="s">
        <v>230</v>
      </c>
      <c r="I1888" s="270" t="s">
        <v>2993</v>
      </c>
      <c r="J1888" s="347" t="s">
        <v>1877</v>
      </c>
      <c r="K1888" s="270">
        <v>50</v>
      </c>
      <c r="L1888" s="270" t="s">
        <v>2994</v>
      </c>
      <c r="M1888" s="348">
        <v>1250</v>
      </c>
      <c r="N1888" s="348">
        <v>2000</v>
      </c>
      <c r="O1888" s="349">
        <v>4</v>
      </c>
      <c r="P1888" s="350"/>
      <c r="Q1888" s="276">
        <v>1000</v>
      </c>
      <c r="R1888" s="277">
        <v>1000</v>
      </c>
      <c r="S1888" s="277">
        <v>1900</v>
      </c>
      <c r="T1888" s="351">
        <v>4</v>
      </c>
      <c r="U1888" s="278">
        <v>4</v>
      </c>
      <c r="V1888" s="269" t="s">
        <v>903</v>
      </c>
      <c r="W1888" s="269">
        <v>1005</v>
      </c>
      <c r="X1888" s="275">
        <v>1</v>
      </c>
      <c r="Y1888" s="269" t="s">
        <v>61</v>
      </c>
      <c r="Z1888" s="350" t="s">
        <v>1016</v>
      </c>
      <c r="AA1888" s="207"/>
      <c r="AB1888" s="352"/>
      <c r="AC1888" s="353"/>
      <c r="AD1888" s="54"/>
      <c r="AE1888" s="354"/>
      <c r="AF1888" s="355"/>
      <c r="AG1888" s="349"/>
      <c r="AH1888" s="30"/>
      <c r="AI1888" s="30"/>
      <c r="AJ1888" s="30"/>
      <c r="AK1888" s="30"/>
      <c r="AL1888" s="13"/>
      <c r="AM1888" s="13"/>
      <c r="AN1888" s="13"/>
      <c r="AO1888" s="13"/>
      <c r="AP1888" s="13"/>
      <c r="AQ1888" s="14"/>
      <c r="AR1888" s="15"/>
    </row>
    <row r="1889" spans="1:44" s="17" customFormat="1" ht="30.95" hidden="1" customHeight="1" x14ac:dyDescent="0.2">
      <c r="A1889" s="343"/>
      <c r="B1889" s="344"/>
      <c r="C1889" s="345"/>
      <c r="D1889" s="346"/>
      <c r="E1889" s="413" t="s">
        <v>932</v>
      </c>
      <c r="F1889" s="268"/>
      <c r="G1889" s="269"/>
      <c r="H1889" s="269"/>
      <c r="I1889" s="270"/>
      <c r="J1889" s="347"/>
      <c r="K1889" s="270"/>
      <c r="L1889" s="270"/>
      <c r="M1889" s="348"/>
      <c r="N1889" s="348"/>
      <c r="O1889" s="349"/>
      <c r="P1889" s="350"/>
      <c r="Q1889" s="276"/>
      <c r="R1889" s="277"/>
      <c r="S1889" s="277"/>
      <c r="T1889" s="351"/>
      <c r="U1889" s="278"/>
      <c r="V1889" s="269"/>
      <c r="W1889" s="269"/>
      <c r="X1889" s="275"/>
      <c r="Y1889" s="269"/>
      <c r="Z1889" s="350"/>
      <c r="AA1889" s="207"/>
      <c r="AB1889" s="352"/>
      <c r="AC1889" s="353"/>
      <c r="AD1889" s="54"/>
      <c r="AE1889" s="354"/>
      <c r="AF1889" s="355"/>
      <c r="AG1889" s="349"/>
      <c r="AH1889" s="30"/>
      <c r="AI1889" s="30"/>
      <c r="AJ1889" s="30"/>
      <c r="AK1889" s="30"/>
      <c r="AL1889" s="13"/>
      <c r="AM1889" s="13"/>
      <c r="AN1889" s="13"/>
      <c r="AO1889" s="13"/>
      <c r="AP1889" s="13"/>
      <c r="AQ1889" s="14"/>
      <c r="AR1889" s="15"/>
    </row>
    <row r="1890" spans="1:44" s="17" customFormat="1" ht="30.6" hidden="1" customHeight="1" x14ac:dyDescent="0.2">
      <c r="A1890" s="320"/>
      <c r="B1890" s="321"/>
      <c r="C1890" s="345"/>
      <c r="D1890" s="398">
        <v>3766743</v>
      </c>
      <c r="E1890" s="31">
        <v>4151783</v>
      </c>
      <c r="F1890" s="268" t="str">
        <f>IF(D1890="","",VLOOKUP(D1890,契約台帳!$A$3:$K$4986,6,FALSE)&amp;VLOOKUP(D1890,契約台帳!$A$3:$K$4986,7,FALSE)&amp;VLOOKUP(D1890,契約台帳!$A$3:$K$4986,8,FALSE)&amp;VLOOKUP(D1890,契約台帳!$A$3:$K$4986,9,FALSE)&amp;VLOOKUP(D1890,契約台帳!$A$3:$K$4986,11,FALSE))</f>
        <v>3SNMLBMDMSJF</v>
      </c>
      <c r="G1890" s="269" t="str">
        <f>IF(D1890="","",VLOOKUP(F1890,製品マスタ!$G$5:$H$5002,2,FALSE))</f>
        <v>S</v>
      </c>
      <c r="H1890" s="269" t="str">
        <f>IF(D1890="","",VLOOKUP(F1890,製品マスタ!$G$5:$K$5002,5,FALSE))</f>
        <v>MDMSJF</v>
      </c>
      <c r="I1890" s="270" t="str">
        <f>IF(D1890="","",VLOOKUP(F1890,製品マスタ!$G$5:$L$5002,6,FALSE))</f>
        <v>ＤＭＳ蒸着（Ｘ－４４）</v>
      </c>
      <c r="J1890" s="32" t="s">
        <v>447</v>
      </c>
      <c r="K1890" s="270">
        <f>IF(D1890="","",VLOOKUP(D1890,契約台帳!$A$3:$L$4986,12,FALSE))</f>
        <v>50</v>
      </c>
      <c r="L1890" s="270" t="str">
        <f>IF(D1890="","",INDEX(製品マスタ!$Q$5:$Q$5002,MATCH(F1890&amp;K1890,製品マスタ!$AO$5:$AO$5002,0)))</f>
        <v>X44</v>
      </c>
      <c r="M1890" s="39">
        <v>1020</v>
      </c>
      <c r="N1890" s="39">
        <v>4000</v>
      </c>
      <c r="O1890" s="47">
        <v>1</v>
      </c>
      <c r="P1890" s="57"/>
      <c r="Q1890" s="276">
        <f>IF(D1890="","",IF(J1890="リード付け",M1890,VLOOKUP(D1890,契約台帳!$A$3:$N$4986,14,FALSE)))</f>
        <v>1020</v>
      </c>
      <c r="R1890" s="277">
        <f>IF(D1890="","",IF(J1890="リード付け",M1890,VLOOKUP(D1890,契約台帳!$A$3:$O$4986,15,FALSE)))</f>
        <v>1000</v>
      </c>
      <c r="S1890" s="277">
        <f>IF(D1890="","",IF(J1890="リード付け",N1890,VLOOKUP(D1890,契約台帳!$A$3:$P$4986,16,FALSE)))</f>
        <v>2000</v>
      </c>
      <c r="T1890" s="40">
        <v>2</v>
      </c>
      <c r="U1890" s="278">
        <f ca="1">IF(D1890="","",IF(OFFSET(D1890,-2,0)=D1890,"",VLOOKUP(D1890,契約台帳!$A$3:$R$4986,18,FALSE)))</f>
        <v>2</v>
      </c>
      <c r="V1890" s="269" t="str">
        <f>IF(J1890="巻返し",VLOOKUP(F1890&amp;K1890&amp;M1890,製品マスタ!$M$5:$AD$5002,18,FALSE),IF(J1890="リード付け","原反コア",IF(J1890="スリット",VLOOKUP(F1890&amp;K1890&amp;Q1890,製品マスタ!$N$5:$AD$5002,17,FALSE),"")))</f>
        <v>3ｲﾝﾁSｺｱ</v>
      </c>
      <c r="W1890" s="269">
        <f>IF(J1890="巻返し",VLOOKUP(F1890&amp;K1890&amp;M1890,製品マスタ!$M$5:$AE$5002,19,FALSE),IF(J1890="リード付け","-",IF(J1890="スリット",VLOOKUP(F1890&amp;K1890&amp;Q1890,製品マスタ!$N$5:$AE$5002,18,FALSE),"")))</f>
        <v>1005</v>
      </c>
      <c r="X1890" s="275">
        <f>IF(D1890="","",VLOOKUP(D1890,契約台帳!$A$3:$Q$4986,17,FALSE))</f>
        <v>2</v>
      </c>
      <c r="Y1890" s="269" t="str">
        <f>IF(D1890="","",VLOOKUP(D1890,契約台帳!$A$3:$E$4986,5,FALSE))</f>
        <v>五洋紙工㈱</v>
      </c>
      <c r="Z1890" s="357"/>
      <c r="AA1890" s="207"/>
      <c r="AB1890" s="369"/>
      <c r="AC1890" s="370"/>
      <c r="AD1890" s="332" t="str">
        <f>IF(F1890="","",+F1890&amp;K1890)</f>
        <v>3SNMLBMDMSJF50</v>
      </c>
      <c r="AE1890" s="216">
        <f>+M1890*N1890*O1890/1000</f>
        <v>4080</v>
      </c>
      <c r="AF1890" s="43">
        <v>97</v>
      </c>
      <c r="AG1890" s="47">
        <f>IF(AF1890="","",+AE1890*AF1890/100)</f>
        <v>3957.6</v>
      </c>
      <c r="AH1890" s="30"/>
      <c r="AI1890" s="30"/>
      <c r="AJ1890" s="30"/>
      <c r="AK1890" s="30"/>
      <c r="AL1890" s="13"/>
      <c r="AM1890" s="13"/>
      <c r="AN1890" s="13"/>
      <c r="AO1890" s="13"/>
      <c r="AP1890" s="13"/>
      <c r="AQ1890" s="14"/>
      <c r="AR1890" s="15"/>
    </row>
    <row r="1891" spans="1:44" s="17" customFormat="1" ht="30.95" hidden="1" customHeight="1" x14ac:dyDescent="0.2">
      <c r="A1891" s="343"/>
      <c r="B1891" s="344"/>
      <c r="C1891" s="345"/>
      <c r="D1891" s="398"/>
      <c r="E1891" s="31"/>
      <c r="F1891" s="268"/>
      <c r="G1891" s="269"/>
      <c r="H1891" s="269"/>
      <c r="I1891" s="270"/>
      <c r="J1891" s="32"/>
      <c r="K1891" s="270"/>
      <c r="L1891" s="270"/>
      <c r="M1891" s="39"/>
      <c r="N1891" s="39"/>
      <c r="O1891" s="47"/>
      <c r="P1891" s="57"/>
      <c r="Q1891" s="276"/>
      <c r="R1891" s="277"/>
      <c r="S1891" s="277"/>
      <c r="T1891" s="40"/>
      <c r="U1891" s="278"/>
      <c r="V1891" s="269"/>
      <c r="W1891" s="269"/>
      <c r="X1891" s="275"/>
      <c r="Y1891" s="269"/>
      <c r="Z1891" s="357"/>
      <c r="AA1891" s="207"/>
      <c r="AB1891" s="369"/>
      <c r="AC1891" s="370"/>
      <c r="AD1891" s="332"/>
      <c r="AE1891" s="216"/>
      <c r="AF1891" s="43"/>
      <c r="AG1891" s="47"/>
      <c r="AH1891" s="30"/>
      <c r="AI1891" s="30"/>
      <c r="AJ1891" s="30"/>
      <c r="AK1891" s="30"/>
      <c r="AL1891" s="13"/>
      <c r="AM1891" s="13"/>
      <c r="AN1891" s="13"/>
      <c r="AO1891" s="13"/>
      <c r="AP1891" s="13"/>
      <c r="AQ1891" s="14"/>
      <c r="AR1891" s="15"/>
    </row>
    <row r="1892" spans="1:44" s="17" customFormat="1" ht="30.95" hidden="1" customHeight="1" x14ac:dyDescent="0.2">
      <c r="A1892" s="343" t="s">
        <v>3091</v>
      </c>
      <c r="B1892" s="344" t="s">
        <v>3092</v>
      </c>
      <c r="C1892" s="345"/>
      <c r="D1892" s="398" t="s">
        <v>3086</v>
      </c>
      <c r="E1892" s="31" t="s">
        <v>3087</v>
      </c>
      <c r="F1892" s="268" t="s">
        <v>1603</v>
      </c>
      <c r="G1892" s="269" t="s">
        <v>1604</v>
      </c>
      <c r="H1892" s="269" t="s">
        <v>1318</v>
      </c>
      <c r="I1892" s="270" t="s">
        <v>2917</v>
      </c>
      <c r="J1892" s="32" t="s">
        <v>463</v>
      </c>
      <c r="K1892" s="270">
        <v>50</v>
      </c>
      <c r="L1892" s="270" t="s">
        <v>1320</v>
      </c>
      <c r="M1892" s="39">
        <v>1040</v>
      </c>
      <c r="N1892" s="39">
        <v>640</v>
      </c>
      <c r="O1892" s="47">
        <v>1</v>
      </c>
      <c r="P1892" s="57"/>
      <c r="Q1892" s="276">
        <v>1000</v>
      </c>
      <c r="R1892" s="277">
        <v>1000</v>
      </c>
      <c r="S1892" s="277">
        <v>640</v>
      </c>
      <c r="T1892" s="40">
        <v>1</v>
      </c>
      <c r="U1892" s="278">
        <v>1</v>
      </c>
      <c r="V1892" s="269" t="s">
        <v>806</v>
      </c>
      <c r="W1892" s="269">
        <v>1005</v>
      </c>
      <c r="X1892" s="275">
        <v>2</v>
      </c>
      <c r="Y1892" s="269" t="s">
        <v>116</v>
      </c>
      <c r="Z1892" s="357"/>
      <c r="AA1892" s="207" t="s">
        <v>774</v>
      </c>
      <c r="AB1892" s="369"/>
      <c r="AC1892" s="370"/>
      <c r="AD1892" s="332"/>
      <c r="AE1892" s="216"/>
      <c r="AF1892" s="43"/>
      <c r="AG1892" s="47"/>
      <c r="AH1892" s="30"/>
      <c r="AI1892" s="30"/>
      <c r="AJ1892" s="30"/>
      <c r="AK1892" s="30"/>
      <c r="AL1892" s="13"/>
      <c r="AM1892" s="13"/>
      <c r="AN1892" s="13"/>
      <c r="AO1892" s="13"/>
      <c r="AP1892" s="13"/>
      <c r="AQ1892" s="14"/>
      <c r="AR1892" s="15"/>
    </row>
    <row r="1893" spans="1:44" s="17" customFormat="1" ht="30.95" hidden="1" customHeight="1" x14ac:dyDescent="0.2">
      <c r="A1893" s="343"/>
      <c r="B1893" s="344"/>
      <c r="C1893" s="345"/>
      <c r="D1893" s="398"/>
      <c r="E1893" s="31"/>
      <c r="F1893" s="268"/>
      <c r="G1893" s="269"/>
      <c r="H1893" s="269"/>
      <c r="I1893" s="270"/>
      <c r="J1893" s="32"/>
      <c r="K1893" s="270"/>
      <c r="L1893" s="270"/>
      <c r="M1893" s="39"/>
      <c r="N1893" s="39"/>
      <c r="O1893" s="47"/>
      <c r="P1893" s="57"/>
      <c r="Q1893" s="276"/>
      <c r="R1893" s="277"/>
      <c r="S1893" s="277"/>
      <c r="T1893" s="40"/>
      <c r="U1893" s="278"/>
      <c r="V1893" s="269"/>
      <c r="W1893" s="269"/>
      <c r="X1893" s="275"/>
      <c r="Y1893" s="269"/>
      <c r="Z1893" s="357"/>
      <c r="AA1893" s="207"/>
      <c r="AB1893" s="369"/>
      <c r="AC1893" s="370"/>
      <c r="AD1893" s="332"/>
      <c r="AE1893" s="216"/>
      <c r="AF1893" s="43"/>
      <c r="AG1893" s="47"/>
      <c r="AH1893" s="30"/>
      <c r="AI1893" s="30"/>
      <c r="AJ1893" s="30"/>
      <c r="AK1893" s="30"/>
      <c r="AL1893" s="13"/>
      <c r="AM1893" s="13"/>
      <c r="AN1893" s="13"/>
      <c r="AO1893" s="13"/>
      <c r="AP1893" s="13"/>
      <c r="AQ1893" s="14"/>
      <c r="AR1893" s="15"/>
    </row>
    <row r="1894" spans="1:44" s="17" customFormat="1" ht="30.95" hidden="1" customHeight="1" x14ac:dyDescent="0.2">
      <c r="A1894" s="343"/>
      <c r="B1894" s="344"/>
      <c r="C1894" s="345"/>
      <c r="D1894" s="398" t="s">
        <v>3086</v>
      </c>
      <c r="E1894" s="31" t="s">
        <v>3087</v>
      </c>
      <c r="F1894" s="268" t="s">
        <v>1603</v>
      </c>
      <c r="G1894" s="269" t="s">
        <v>1604</v>
      </c>
      <c r="H1894" s="269" t="s">
        <v>1319</v>
      </c>
      <c r="I1894" s="270" t="s">
        <v>2918</v>
      </c>
      <c r="J1894" s="32" t="s">
        <v>463</v>
      </c>
      <c r="K1894" s="270">
        <v>50</v>
      </c>
      <c r="L1894" s="270" t="s">
        <v>1320</v>
      </c>
      <c r="M1894" s="39">
        <v>1040</v>
      </c>
      <c r="N1894" s="39">
        <v>515</v>
      </c>
      <c r="O1894" s="47">
        <v>1</v>
      </c>
      <c r="P1894" s="57"/>
      <c r="Q1894" s="276">
        <v>1000</v>
      </c>
      <c r="R1894" s="277">
        <v>1000</v>
      </c>
      <c r="S1894" s="277">
        <v>515</v>
      </c>
      <c r="T1894" s="40">
        <v>1</v>
      </c>
      <c r="U1894" s="278">
        <v>1</v>
      </c>
      <c r="V1894" s="269" t="s">
        <v>806</v>
      </c>
      <c r="W1894" s="269">
        <v>1005</v>
      </c>
      <c r="X1894" s="275">
        <v>2</v>
      </c>
      <c r="Y1894" s="269" t="s">
        <v>116</v>
      </c>
      <c r="Z1894" s="357"/>
      <c r="AA1894" s="207" t="s">
        <v>774</v>
      </c>
      <c r="AB1894" s="369"/>
      <c r="AC1894" s="370"/>
      <c r="AD1894" s="332"/>
      <c r="AE1894" s="216"/>
      <c r="AF1894" s="43"/>
      <c r="AG1894" s="47"/>
      <c r="AH1894" s="30"/>
      <c r="AI1894" s="30"/>
      <c r="AJ1894" s="30"/>
      <c r="AK1894" s="30"/>
      <c r="AL1894" s="13"/>
      <c r="AM1894" s="13"/>
      <c r="AN1894" s="13"/>
      <c r="AO1894" s="13"/>
      <c r="AP1894" s="13"/>
      <c r="AQ1894" s="14"/>
      <c r="AR1894" s="15"/>
    </row>
    <row r="1895" spans="1:44" s="17" customFormat="1" ht="30.95" hidden="1" customHeight="1" x14ac:dyDescent="0.2">
      <c r="A1895" s="343"/>
      <c r="B1895" s="344"/>
      <c r="C1895" s="345"/>
      <c r="D1895" s="398"/>
      <c r="E1895" s="31"/>
      <c r="F1895" s="268"/>
      <c r="G1895" s="269"/>
      <c r="H1895" s="269"/>
      <c r="I1895" s="270"/>
      <c r="J1895" s="32"/>
      <c r="K1895" s="270"/>
      <c r="L1895" s="270"/>
      <c r="M1895" s="39"/>
      <c r="N1895" s="39"/>
      <c r="O1895" s="47"/>
      <c r="P1895" s="57"/>
      <c r="Q1895" s="276"/>
      <c r="R1895" s="277"/>
      <c r="S1895" s="277"/>
      <c r="T1895" s="40"/>
      <c r="U1895" s="278"/>
      <c r="V1895" s="269"/>
      <c r="W1895" s="269"/>
      <c r="X1895" s="275"/>
      <c r="Y1895" s="269"/>
      <c r="Z1895" s="357"/>
      <c r="AA1895" s="207"/>
      <c r="AB1895" s="369"/>
      <c r="AC1895" s="370"/>
      <c r="AD1895" s="332"/>
      <c r="AE1895" s="216"/>
      <c r="AF1895" s="43"/>
      <c r="AG1895" s="47"/>
      <c r="AH1895" s="30"/>
      <c r="AI1895" s="30"/>
      <c r="AJ1895" s="30"/>
      <c r="AK1895" s="30"/>
      <c r="AL1895" s="13"/>
      <c r="AM1895" s="13"/>
      <c r="AN1895" s="13"/>
      <c r="AO1895" s="13"/>
      <c r="AP1895" s="13"/>
      <c r="AQ1895" s="14"/>
      <c r="AR1895" s="15"/>
    </row>
    <row r="1896" spans="1:44" s="17" customFormat="1" ht="30.95" hidden="1" customHeight="1" x14ac:dyDescent="0.2">
      <c r="A1896" s="343"/>
      <c r="B1896" s="344"/>
      <c r="C1896" s="345"/>
      <c r="D1896" s="442" t="s">
        <v>3098</v>
      </c>
      <c r="E1896" s="31" t="s">
        <v>3087</v>
      </c>
      <c r="F1896" s="268"/>
      <c r="G1896" s="269" t="s">
        <v>3097</v>
      </c>
      <c r="H1896" s="269" t="s">
        <v>216</v>
      </c>
      <c r="I1896" s="270" t="s">
        <v>3095</v>
      </c>
      <c r="J1896" s="441" t="s">
        <v>3096</v>
      </c>
      <c r="K1896" s="270">
        <v>50</v>
      </c>
      <c r="L1896" s="270" t="s">
        <v>216</v>
      </c>
      <c r="M1896" s="39">
        <v>1120</v>
      </c>
      <c r="N1896" s="39">
        <v>5000</v>
      </c>
      <c r="O1896" s="47">
        <v>8</v>
      </c>
      <c r="P1896" s="57"/>
      <c r="Q1896" s="276">
        <v>1120</v>
      </c>
      <c r="R1896" s="277">
        <v>1120</v>
      </c>
      <c r="S1896" s="277">
        <v>8000</v>
      </c>
      <c r="T1896" s="40">
        <v>8</v>
      </c>
      <c r="U1896" s="278">
        <v>16</v>
      </c>
      <c r="V1896" s="269" t="s">
        <v>806</v>
      </c>
      <c r="W1896" s="269">
        <v>1125</v>
      </c>
      <c r="X1896" s="275">
        <v>2</v>
      </c>
      <c r="Y1896" s="269" t="s">
        <v>116</v>
      </c>
      <c r="Z1896" s="357"/>
      <c r="AA1896" s="207"/>
      <c r="AB1896" s="369"/>
      <c r="AC1896" s="370"/>
      <c r="AD1896" s="332"/>
      <c r="AE1896" s="216"/>
      <c r="AF1896" s="43"/>
      <c r="AG1896" s="47"/>
      <c r="AH1896" s="30"/>
      <c r="AI1896" s="30"/>
      <c r="AJ1896" s="30"/>
      <c r="AK1896" s="30"/>
      <c r="AL1896" s="13"/>
      <c r="AM1896" s="13"/>
      <c r="AN1896" s="13"/>
      <c r="AO1896" s="13"/>
      <c r="AP1896" s="13"/>
      <c r="AQ1896" s="14"/>
      <c r="AR1896" s="15"/>
    </row>
    <row r="1897" spans="1:44" s="17" customFormat="1" ht="30.95" hidden="1" customHeight="1" x14ac:dyDescent="0.2">
      <c r="A1897" s="343"/>
      <c r="B1897" s="344"/>
      <c r="C1897" s="345"/>
      <c r="D1897" s="398"/>
      <c r="E1897" s="31"/>
      <c r="F1897" s="268"/>
      <c r="G1897" s="269"/>
      <c r="H1897" s="269"/>
      <c r="I1897" s="270"/>
      <c r="J1897" s="32"/>
      <c r="K1897" s="270"/>
      <c r="L1897" s="270"/>
      <c r="M1897" s="39"/>
      <c r="N1897" s="39"/>
      <c r="O1897" s="47"/>
      <c r="P1897" s="57"/>
      <c r="Q1897" s="276"/>
      <c r="R1897" s="277"/>
      <c r="S1897" s="277"/>
      <c r="T1897" s="40"/>
      <c r="U1897" s="278"/>
      <c r="V1897" s="269"/>
      <c r="W1897" s="269"/>
      <c r="X1897" s="275"/>
      <c r="Y1897" s="269"/>
      <c r="Z1897" s="357"/>
      <c r="AA1897" s="207"/>
      <c r="AB1897" s="369"/>
      <c r="AC1897" s="370"/>
      <c r="AD1897" s="332"/>
      <c r="AE1897" s="216"/>
      <c r="AF1897" s="43"/>
      <c r="AG1897" s="47"/>
      <c r="AH1897" s="30"/>
      <c r="AI1897" s="30"/>
      <c r="AJ1897" s="30"/>
      <c r="AK1897" s="30"/>
      <c r="AL1897" s="13"/>
      <c r="AM1897" s="13"/>
      <c r="AN1897" s="13"/>
      <c r="AO1897" s="13"/>
      <c r="AP1897" s="13"/>
      <c r="AQ1897" s="14"/>
      <c r="AR1897" s="15"/>
    </row>
    <row r="1898" spans="1:44" s="17" customFormat="1" ht="30.95" hidden="1" customHeight="1" x14ac:dyDescent="0.2">
      <c r="A1898" s="343" t="s">
        <v>3093</v>
      </c>
      <c r="B1898" s="344" t="s">
        <v>3094</v>
      </c>
      <c r="C1898" s="345"/>
      <c r="D1898" s="442" t="s">
        <v>3098</v>
      </c>
      <c r="E1898" s="31" t="s">
        <v>3087</v>
      </c>
      <c r="F1898" s="268"/>
      <c r="G1898" s="269" t="s">
        <v>3097</v>
      </c>
      <c r="H1898" s="269" t="s">
        <v>216</v>
      </c>
      <c r="I1898" s="270" t="s">
        <v>3095</v>
      </c>
      <c r="J1898" s="441" t="s">
        <v>3096</v>
      </c>
      <c r="K1898" s="270">
        <v>50</v>
      </c>
      <c r="L1898" s="270" t="s">
        <v>216</v>
      </c>
      <c r="M1898" s="39">
        <v>1120</v>
      </c>
      <c r="N1898" s="39">
        <v>5000</v>
      </c>
      <c r="O1898" s="47">
        <v>8</v>
      </c>
      <c r="P1898" s="57"/>
      <c r="Q1898" s="276">
        <v>1120</v>
      </c>
      <c r="R1898" s="277">
        <v>1120</v>
      </c>
      <c r="S1898" s="277">
        <v>8000</v>
      </c>
      <c r="T1898" s="40">
        <v>8</v>
      </c>
      <c r="U1898" s="278">
        <v>16</v>
      </c>
      <c r="V1898" s="269" t="s">
        <v>806</v>
      </c>
      <c r="W1898" s="269">
        <v>1125</v>
      </c>
      <c r="X1898" s="275">
        <v>2</v>
      </c>
      <c r="Y1898" s="269" t="s">
        <v>116</v>
      </c>
      <c r="Z1898" s="357"/>
      <c r="AA1898" s="207"/>
      <c r="AB1898" s="369"/>
      <c r="AC1898" s="370"/>
      <c r="AD1898" s="332"/>
      <c r="AE1898" s="216"/>
      <c r="AF1898" s="43"/>
      <c r="AG1898" s="47"/>
      <c r="AH1898" s="30"/>
      <c r="AI1898" s="30"/>
      <c r="AJ1898" s="30"/>
      <c r="AK1898" s="30"/>
      <c r="AL1898" s="13"/>
      <c r="AM1898" s="13"/>
      <c r="AN1898" s="13"/>
      <c r="AO1898" s="13"/>
      <c r="AP1898" s="13"/>
      <c r="AQ1898" s="14"/>
      <c r="AR1898" s="15"/>
    </row>
    <row r="1899" spans="1:44" s="17" customFormat="1" ht="30.95" hidden="1" customHeight="1" x14ac:dyDescent="0.2">
      <c r="A1899" s="343"/>
      <c r="B1899" s="344"/>
      <c r="C1899" s="345"/>
      <c r="D1899" s="398"/>
      <c r="E1899" s="31"/>
      <c r="F1899" s="268"/>
      <c r="G1899" s="269"/>
      <c r="H1899" s="269"/>
      <c r="I1899" s="270"/>
      <c r="J1899" s="32"/>
      <c r="K1899" s="270"/>
      <c r="L1899" s="270"/>
      <c r="M1899" s="39"/>
      <c r="N1899" s="39"/>
      <c r="O1899" s="47"/>
      <c r="P1899" s="57"/>
      <c r="Q1899" s="276"/>
      <c r="R1899" s="277"/>
      <c r="S1899" s="277"/>
      <c r="T1899" s="40"/>
      <c r="U1899" s="278"/>
      <c r="V1899" s="269"/>
      <c r="W1899" s="269"/>
      <c r="X1899" s="275"/>
      <c r="Y1899" s="269"/>
      <c r="Z1899" s="357"/>
      <c r="AA1899" s="207"/>
      <c r="AB1899" s="369"/>
      <c r="AC1899" s="370"/>
      <c r="AD1899" s="332"/>
      <c r="AE1899" s="216"/>
      <c r="AF1899" s="43"/>
      <c r="AG1899" s="47"/>
      <c r="AH1899" s="30"/>
      <c r="AI1899" s="30"/>
      <c r="AJ1899" s="30"/>
      <c r="AK1899" s="30"/>
      <c r="AL1899" s="13"/>
      <c r="AM1899" s="13"/>
      <c r="AN1899" s="13"/>
      <c r="AO1899" s="13"/>
      <c r="AP1899" s="13"/>
      <c r="AQ1899" s="14"/>
      <c r="AR1899" s="15"/>
    </row>
    <row r="1900" spans="1:44" s="17" customFormat="1" ht="30.95" hidden="1" customHeight="1" x14ac:dyDescent="0.2">
      <c r="A1900" s="343" t="s">
        <v>3157</v>
      </c>
      <c r="B1900" s="344" t="s">
        <v>443</v>
      </c>
      <c r="C1900" s="345"/>
      <c r="D1900" s="31">
        <v>3770573</v>
      </c>
      <c r="E1900" s="31">
        <v>4170145</v>
      </c>
      <c r="F1900" s="268" t="str">
        <f>IF(D1900="","",VLOOKUP(D1900,契約台帳!$A$3:$K$4986,6,FALSE)&amp;VLOOKUP(D1900,契約台帳!$A$3:$K$4986,7,FALSE)&amp;VLOOKUP(D1900,契約台帳!$A$3:$K$4986,8,FALSE)&amp;VLOOKUP(D1900,契約台帳!$A$3:$K$4986,9,FALSE)&amp;VLOOKUP(D1900,契約台帳!$A$3:$K$4986,11,FALSE))</f>
        <v>3SNMLBMDMSJF</v>
      </c>
      <c r="G1900" s="269" t="str">
        <f>IF(D1900="","",VLOOKUP(F1900,製品マスタ!$G$5:$H$5002,2,FALSE))</f>
        <v>S</v>
      </c>
      <c r="H1900" s="269" t="str">
        <f>IF(D1900="","",VLOOKUP(F1900,製品マスタ!$G$5:$K$5002,5,FALSE))</f>
        <v>MDMSJF</v>
      </c>
      <c r="I1900" s="270" t="str">
        <f>IF(D1900="","",VLOOKUP(F1900,製品マスタ!$G$5:$L$5002,6,FALSE))</f>
        <v>ＤＭＳ蒸着（Ｘ－４４）</v>
      </c>
      <c r="J1900" s="32" t="s">
        <v>3017</v>
      </c>
      <c r="K1900" s="270">
        <f>IF(D1900="","",VLOOKUP(D1900,契約台帳!$A$3:$L$4986,12,FALSE))</f>
        <v>50</v>
      </c>
      <c r="L1900" s="270" t="str">
        <f>IF(D1900="","",INDEX(製品マスタ!$Q$5:$Q$5002,MATCH(F1900&amp;K1900,製品マスタ!$AO$5:$AO$5002,0)))</f>
        <v>X44</v>
      </c>
      <c r="M1900" s="39">
        <v>1020</v>
      </c>
      <c r="N1900" s="39">
        <v>4000</v>
      </c>
      <c r="O1900" s="47">
        <v>1</v>
      </c>
      <c r="P1900" s="356">
        <v>45539</v>
      </c>
      <c r="Q1900" s="276">
        <f>IF(D1900="","",IF(J1900="リード付け",M1900,VLOOKUP(D1900,契約台帳!$A$3:$N$4986,14,FALSE)))</f>
        <v>1020</v>
      </c>
      <c r="R1900" s="277">
        <f>IF(D1900="","",IF(J1900="リード付け",M1900,VLOOKUP(D1900,契約台帳!$A$3:$O$4986,15,FALSE)))</f>
        <v>1020</v>
      </c>
      <c r="S1900" s="277">
        <f>IF(D1900="","",IF(J1900="リード付け",N1900,VLOOKUP(D1900,契約台帳!$A$3:$P$4986,16,FALSE)))</f>
        <v>4000</v>
      </c>
      <c r="T1900" s="40">
        <v>1</v>
      </c>
      <c r="U1900" s="278">
        <f ca="1">IF(D1900="","",IF(OFFSET(D1900,-2,0)=D1900,"",VLOOKUP(D1900,契約台帳!$A$3:$R$4986,18,FALSE)))</f>
        <v>2</v>
      </c>
      <c r="V1900" s="269" t="str">
        <f>IF(J1900="巻返し",VLOOKUP(F1900&amp;K1900&amp;M1900,製品マスタ!$M$5:$AD$5002,18,FALSE),IF(J1900="リード付け","原反コア",IF(J1900="スリット",VLOOKUP(F1900&amp;K1900&amp;Q1900,製品マスタ!$N$5:$AD$5002,17,FALSE),"")))</f>
        <v>原反コア</v>
      </c>
      <c r="W1900" s="269" t="str">
        <f>IF(J1900="巻返し",VLOOKUP(F1900&amp;K1900&amp;M1900,製品マスタ!$M$5:$AE$5002,19,FALSE),IF(J1900="リード付け","-",IF(J1900="スリット",VLOOKUP(F1900&amp;K1900&amp;Q1900,製品マスタ!$N$5:$AE$5002,18,FALSE),"")))</f>
        <v>-</v>
      </c>
      <c r="X1900" s="275">
        <f>IF(D1900="","",VLOOKUP(D1900,契約台帳!$A$3:$Q$4986,17,FALSE))</f>
        <v>2</v>
      </c>
      <c r="Y1900" s="269" t="str">
        <f>IF(D1900="","",VLOOKUP(D1900,契約台帳!$A$3:$E$4986,5,FALSE))</f>
        <v>五洋紙工㈱</v>
      </c>
      <c r="Z1900" s="357"/>
      <c r="AA1900" s="207"/>
      <c r="AB1900" s="369"/>
      <c r="AC1900" s="370"/>
      <c r="AD1900" s="332"/>
      <c r="AE1900" s="216">
        <f>+M1900*N1900*O1900/1000</f>
        <v>4080</v>
      </c>
      <c r="AF1900" s="43"/>
      <c r="AG1900" s="47"/>
      <c r="AH1900" s="30"/>
      <c r="AI1900" s="30"/>
      <c r="AJ1900" s="30"/>
      <c r="AK1900" s="30"/>
      <c r="AL1900" s="13"/>
      <c r="AM1900" s="13"/>
      <c r="AN1900" s="13"/>
      <c r="AO1900" s="13"/>
      <c r="AP1900" s="13"/>
      <c r="AQ1900" s="14"/>
      <c r="AR1900" s="15"/>
    </row>
    <row r="1901" spans="1:44" s="17" customFormat="1" ht="30.95" hidden="1" customHeight="1" x14ac:dyDescent="0.2">
      <c r="A1901" s="343"/>
      <c r="B1901" s="344"/>
      <c r="C1901" s="345"/>
      <c r="D1901" s="398"/>
      <c r="E1901" s="31"/>
      <c r="F1901" s="268"/>
      <c r="G1901" s="269"/>
      <c r="H1901" s="269"/>
      <c r="I1901" s="270"/>
      <c r="J1901" s="32"/>
      <c r="K1901" s="270"/>
      <c r="L1901" s="270"/>
      <c r="M1901" s="39"/>
      <c r="N1901" s="39"/>
      <c r="O1901" s="47"/>
      <c r="P1901" s="57"/>
      <c r="Q1901" s="276"/>
      <c r="R1901" s="277"/>
      <c r="S1901" s="277"/>
      <c r="T1901" s="40"/>
      <c r="U1901" s="278"/>
      <c r="V1901" s="269"/>
      <c r="W1901" s="269"/>
      <c r="X1901" s="275"/>
      <c r="Y1901" s="269"/>
      <c r="Z1901" s="357"/>
      <c r="AA1901" s="207"/>
      <c r="AB1901" s="369"/>
      <c r="AC1901" s="370"/>
      <c r="AD1901" s="332"/>
      <c r="AE1901" s="216"/>
      <c r="AF1901" s="43"/>
      <c r="AG1901" s="47"/>
      <c r="AH1901" s="30"/>
      <c r="AI1901" s="30"/>
      <c r="AJ1901" s="30"/>
      <c r="AK1901" s="30"/>
      <c r="AL1901" s="13"/>
      <c r="AM1901" s="13"/>
      <c r="AN1901" s="13"/>
      <c r="AO1901" s="13"/>
      <c r="AP1901" s="13"/>
      <c r="AQ1901" s="14"/>
      <c r="AR1901" s="15"/>
    </row>
    <row r="1902" spans="1:44" s="17" customFormat="1" ht="30.95" hidden="1" customHeight="1" x14ac:dyDescent="0.2">
      <c r="A1902" s="343"/>
      <c r="B1902" s="344"/>
      <c r="C1902" s="345"/>
      <c r="D1902" s="31">
        <v>3770572</v>
      </c>
      <c r="E1902" s="31">
        <v>4170146</v>
      </c>
      <c r="F1902" s="268" t="str">
        <f>IF(D1902="","",VLOOKUP(D1902,契約台帳!$A$3:$K$4986,6,FALSE)&amp;VLOOKUP(D1902,契約台帳!$A$3:$K$4986,7,FALSE)&amp;VLOOKUP(D1902,契約台帳!$A$3:$K$4986,8,FALSE)&amp;VLOOKUP(D1902,契約台帳!$A$3:$K$4986,9,FALSE)&amp;VLOOKUP(D1902,契約台帳!$A$3:$K$4986,11,FALSE))</f>
        <v>3SNMLBMSF</v>
      </c>
      <c r="G1902" s="269" t="str">
        <f>IF(D1902="","",VLOOKUP(F1902,製品マスタ!$G$5:$H$5002,2,FALSE))</f>
        <v>S</v>
      </c>
      <c r="H1902" s="269" t="str">
        <f>IF(D1902="","",VLOOKUP(F1902,製品マスタ!$G$5:$K$5002,5,FALSE))</f>
        <v>MSF</v>
      </c>
      <c r="I1902" s="270" t="str">
        <f>IF(D1902="","",VLOOKUP(F1902,製品マスタ!$G$5:$L$5002,6,FALSE))</f>
        <v>メタルミー　Ｓ</v>
      </c>
      <c r="J1902" s="32" t="s">
        <v>3017</v>
      </c>
      <c r="K1902" s="270">
        <f>IF(D1902="","",VLOOKUP(D1902,契約台帳!$A$3:$L$4986,12,FALSE))</f>
        <v>25</v>
      </c>
      <c r="L1902" s="270" t="str">
        <f>IF(D1902="","",INDEX(製品マスタ!$Q$5:$Q$5002,MATCH(F1902&amp;K1902,製品マスタ!$AO$5:$AO$5002,0)))</f>
        <v>T62M</v>
      </c>
      <c r="M1902" s="39">
        <v>1020</v>
      </c>
      <c r="N1902" s="39">
        <v>12100</v>
      </c>
      <c r="O1902" s="47">
        <v>1</v>
      </c>
      <c r="P1902" s="356">
        <v>45539</v>
      </c>
      <c r="Q1902" s="276">
        <f>IF(D1902="","",IF(J1902="リード付け",M1902,VLOOKUP(D1902,契約台帳!$A$3:$N$4986,14,FALSE)))</f>
        <v>1020</v>
      </c>
      <c r="R1902" s="277">
        <f>IF(D1902="","",IF(J1902="リード付け",M1902,VLOOKUP(D1902,契約台帳!$A$3:$O$4986,15,FALSE)))</f>
        <v>1020</v>
      </c>
      <c r="S1902" s="277">
        <f>IF(D1902="","",IF(J1902="リード付け",N1902,VLOOKUP(D1902,契約台帳!$A$3:$P$4986,16,FALSE)))</f>
        <v>12100</v>
      </c>
      <c r="T1902" s="40">
        <v>1</v>
      </c>
      <c r="U1902" s="278">
        <f ca="1">IF(D1902="","",IF(OFFSET(D1902,-2,0)=D1902,"",VLOOKUP(D1902,契約台帳!$A$3:$R$4986,18,FALSE)))</f>
        <v>6</v>
      </c>
      <c r="V1902" s="269" t="str">
        <f>IF(J1902="巻返し",VLOOKUP(F1902&amp;K1902&amp;M1902,製品マスタ!$M$5:$AD$5002,18,FALSE),IF(J1902="リード付け","原反コア",IF(J1902="スリット",VLOOKUP(F1902&amp;K1902&amp;Q1902,製品マスタ!$N$5:$AD$5002,17,FALSE),"")))</f>
        <v>原反コア</v>
      </c>
      <c r="W1902" s="269" t="str">
        <f>IF(J1902="巻返し",VLOOKUP(F1902&amp;K1902&amp;M1902,製品マスタ!$M$5:$AE$5002,19,FALSE),IF(J1902="リード付け","-",IF(J1902="スリット",VLOOKUP(F1902&amp;K1902&amp;Q1902,製品マスタ!$N$5:$AE$5002,18,FALSE),"")))</f>
        <v>-</v>
      </c>
      <c r="X1902" s="275">
        <f>IF(D1902="","",VLOOKUP(D1902,契約台帳!$A$3:$Q$4986,17,FALSE))</f>
        <v>2</v>
      </c>
      <c r="Y1902" s="269" t="str">
        <f>IF(D1902="","",VLOOKUP(D1902,契約台帳!$A$3:$E$4986,5,FALSE))</f>
        <v>寺岡製作所　大宮工場</v>
      </c>
      <c r="Z1902" s="357"/>
      <c r="AA1902" s="207"/>
      <c r="AB1902" s="369"/>
      <c r="AC1902" s="370"/>
      <c r="AD1902" s="332"/>
      <c r="AE1902" s="216">
        <f>+M1902*N1902*O1902/1000</f>
        <v>12342</v>
      </c>
      <c r="AF1902" s="43"/>
      <c r="AG1902" s="47"/>
      <c r="AH1902" s="30"/>
      <c r="AI1902" s="30"/>
      <c r="AJ1902" s="30"/>
      <c r="AK1902" s="30"/>
      <c r="AL1902" s="13"/>
      <c r="AM1902" s="13"/>
      <c r="AN1902" s="13"/>
      <c r="AO1902" s="13"/>
      <c r="AP1902" s="13"/>
      <c r="AQ1902" s="14"/>
      <c r="AR1902" s="15"/>
    </row>
    <row r="1903" spans="1:44" s="17" customFormat="1" ht="30.95" hidden="1" customHeight="1" x14ac:dyDescent="0.2">
      <c r="A1903" s="343"/>
      <c r="B1903" s="344"/>
      <c r="C1903" s="345"/>
      <c r="D1903" s="398"/>
      <c r="E1903" s="31"/>
      <c r="F1903" s="268"/>
      <c r="G1903" s="269"/>
      <c r="H1903" s="269"/>
      <c r="I1903" s="270"/>
      <c r="J1903" s="32"/>
      <c r="K1903" s="270"/>
      <c r="L1903" s="270"/>
      <c r="M1903" s="39"/>
      <c r="N1903" s="39"/>
      <c r="O1903" s="47"/>
      <c r="P1903" s="350"/>
      <c r="Q1903" s="276"/>
      <c r="R1903" s="277"/>
      <c r="S1903" s="277"/>
      <c r="T1903" s="40"/>
      <c r="U1903" s="278"/>
      <c r="V1903" s="269"/>
      <c r="W1903" s="269"/>
      <c r="X1903" s="275"/>
      <c r="Y1903" s="269"/>
      <c r="Z1903" s="357"/>
      <c r="AA1903" s="207"/>
      <c r="AB1903" s="369"/>
      <c r="AC1903" s="370"/>
      <c r="AD1903" s="332"/>
      <c r="AE1903" s="216"/>
      <c r="AF1903" s="43"/>
      <c r="AG1903" s="47"/>
      <c r="AH1903" s="30"/>
      <c r="AI1903" s="30"/>
      <c r="AJ1903" s="30"/>
      <c r="AK1903" s="30"/>
      <c r="AL1903" s="13"/>
      <c r="AM1903" s="13"/>
      <c r="AN1903" s="13"/>
      <c r="AO1903" s="13"/>
      <c r="AP1903" s="13"/>
      <c r="AQ1903" s="14"/>
      <c r="AR1903" s="15"/>
    </row>
    <row r="1904" spans="1:44" s="17" customFormat="1" ht="30.95" hidden="1" customHeight="1" x14ac:dyDescent="0.2">
      <c r="A1904" s="343"/>
      <c r="B1904" s="344"/>
      <c r="C1904" s="345"/>
      <c r="D1904" s="31">
        <v>3770583</v>
      </c>
      <c r="E1904" s="31">
        <v>4170147</v>
      </c>
      <c r="F1904" s="268" t="str">
        <f>IF(D1904="","",VLOOKUP(D1904,契約台帳!$A$3:$K$4986,6,FALSE)&amp;VLOOKUP(D1904,契約台帳!$A$3:$K$4986,7,FALSE)&amp;VLOOKUP(D1904,契約台帳!$A$3:$K$4986,8,FALSE)&amp;VLOOKUP(D1904,契約台帳!$A$3:$K$4986,9,FALSE)&amp;VLOOKUP(D1904,契約台帳!$A$3:$K$4986,11,FALSE))</f>
        <v>3SNMLBMNGTBF</v>
      </c>
      <c r="G1904" s="269" t="str">
        <f>IF(D1904="","",VLOOKUP(F1904,製品マスタ!$G$5:$H$5002,2,FALSE))</f>
        <v>S</v>
      </c>
      <c r="H1904" s="269" t="str">
        <f>IF(D1904="","",VLOOKUP(F1904,製品マスタ!$G$5:$K$5002,5,FALSE))</f>
        <v>MNGTBF</v>
      </c>
      <c r="I1904" s="270" t="str">
        <f>IF(D1904="","",VLOOKUP(F1904,製品マスタ!$G$5:$L$5002,6,FALSE))</f>
        <v>メタルミー　ネーマー　銀艶　Ｂ</v>
      </c>
      <c r="J1904" s="32" t="s">
        <v>3017</v>
      </c>
      <c r="K1904" s="270">
        <f>IF(D1904="","",VLOOKUP(D1904,契約台帳!$A$3:$L$4986,12,FALSE))</f>
        <v>25</v>
      </c>
      <c r="L1904" s="270" t="str">
        <f>IF(D1904="","",INDEX(製品マスタ!$Q$5:$Q$5002,MATCH(F1904&amp;K1904,製品マスタ!$AO$5:$AO$5002,0)))</f>
        <v>T62M</v>
      </c>
      <c r="M1904" s="39">
        <v>1005</v>
      </c>
      <c r="N1904" s="39">
        <v>12100</v>
      </c>
      <c r="O1904" s="47">
        <v>5</v>
      </c>
      <c r="P1904" s="356">
        <v>45539</v>
      </c>
      <c r="Q1904" s="276">
        <f>IF(D1904="","",IF(J1904="リード付け",M1904,VLOOKUP(D1904,契約台帳!$A$3:$N$4986,14,FALSE)))</f>
        <v>1005</v>
      </c>
      <c r="R1904" s="277">
        <f>IF(D1904="","",IF(J1904="リード付け",M1904,VLOOKUP(D1904,契約台帳!$A$3:$O$4986,15,FALSE)))</f>
        <v>1005</v>
      </c>
      <c r="S1904" s="277">
        <f>IF(D1904="","",IF(J1904="リード付け",N1904,VLOOKUP(D1904,契約台帳!$A$3:$P$4986,16,FALSE)))</f>
        <v>12100</v>
      </c>
      <c r="T1904" s="40">
        <v>5</v>
      </c>
      <c r="U1904" s="278">
        <f ca="1">IF(D1904="","",IF(OFFSET(D1904,-2,0)=D1904,"",VLOOKUP(D1904,契約台帳!$A$3:$R$4986,18,FALSE)))</f>
        <v>15</v>
      </c>
      <c r="V1904" s="269" t="str">
        <f>IF(J1904="巻返し",VLOOKUP(F1904&amp;K1904&amp;M1904,製品マスタ!$M$5:$AD$5002,18,FALSE),IF(J1904="リード付け","原反コア",IF(J1904="スリット",VLOOKUP(F1904&amp;K1904&amp;Q1904,製品マスタ!$N$5:$AD$5002,17,FALSE),"")))</f>
        <v>原反コア</v>
      </c>
      <c r="W1904" s="269" t="str">
        <f>IF(J1904="巻返し",VLOOKUP(F1904&amp;K1904&amp;M1904,製品マスタ!$M$5:$AE$5002,19,FALSE),IF(J1904="リード付け","-",IF(J1904="スリット",VLOOKUP(F1904&amp;K1904&amp;Q1904,製品マスタ!$N$5:$AE$5002,18,FALSE),"")))</f>
        <v>-</v>
      </c>
      <c r="X1904" s="275">
        <f>IF(D1904="","",VLOOKUP(D1904,契約台帳!$A$3:$Q$4986,17,FALSE))</f>
        <v>2</v>
      </c>
      <c r="Y1904" s="269" t="str">
        <f>IF(D1904="","",VLOOKUP(D1904,契約台帳!$A$3:$E$4986,5,FALSE))</f>
        <v>リンテック㈱</v>
      </c>
      <c r="Z1904" s="357"/>
      <c r="AA1904" s="207"/>
      <c r="AB1904" s="369"/>
      <c r="AC1904" s="370"/>
      <c r="AD1904" s="332"/>
      <c r="AE1904" s="216">
        <f>+M1904*N1904*O1904/1000</f>
        <v>60802.5</v>
      </c>
      <c r="AF1904" s="43"/>
      <c r="AG1904" s="47"/>
      <c r="AH1904" s="30"/>
      <c r="AI1904" s="30"/>
      <c r="AJ1904" s="30"/>
      <c r="AK1904" s="30"/>
      <c r="AL1904" s="13"/>
      <c r="AM1904" s="13"/>
      <c r="AN1904" s="13"/>
      <c r="AO1904" s="13"/>
      <c r="AP1904" s="13"/>
      <c r="AQ1904" s="14"/>
      <c r="AR1904" s="15"/>
    </row>
    <row r="1905" spans="1:44" s="17" customFormat="1" ht="30.95" hidden="1" customHeight="1" x14ac:dyDescent="0.2">
      <c r="A1905" s="343"/>
      <c r="B1905" s="344"/>
      <c r="C1905" s="345"/>
      <c r="D1905" s="398"/>
      <c r="E1905" s="31"/>
      <c r="F1905" s="268"/>
      <c r="G1905" s="269"/>
      <c r="H1905" s="269"/>
      <c r="I1905" s="270"/>
      <c r="J1905" s="32"/>
      <c r="K1905" s="270"/>
      <c r="L1905" s="270"/>
      <c r="M1905" s="39"/>
      <c r="N1905" s="39"/>
      <c r="O1905" s="47"/>
      <c r="P1905" s="57"/>
      <c r="Q1905" s="276"/>
      <c r="R1905" s="277"/>
      <c r="S1905" s="277"/>
      <c r="T1905" s="40"/>
      <c r="U1905" s="278"/>
      <c r="V1905" s="269"/>
      <c r="W1905" s="269"/>
      <c r="X1905" s="275"/>
      <c r="Y1905" s="269"/>
      <c r="Z1905" s="357"/>
      <c r="AA1905" s="207"/>
      <c r="AB1905" s="369"/>
      <c r="AC1905" s="370"/>
      <c r="AD1905" s="332"/>
      <c r="AE1905" s="216"/>
      <c r="AF1905" s="43"/>
      <c r="AG1905" s="47"/>
      <c r="AH1905" s="30"/>
      <c r="AI1905" s="30"/>
      <c r="AJ1905" s="30"/>
      <c r="AK1905" s="30"/>
      <c r="AL1905" s="13"/>
      <c r="AM1905" s="13"/>
      <c r="AN1905" s="13"/>
      <c r="AO1905" s="13"/>
      <c r="AP1905" s="13"/>
      <c r="AQ1905" s="14"/>
      <c r="AR1905" s="15"/>
    </row>
    <row r="1906" spans="1:44" s="17" customFormat="1" ht="30.95" hidden="1" customHeight="1" x14ac:dyDescent="0.2">
      <c r="A1906" s="343" t="s">
        <v>550</v>
      </c>
      <c r="B1906" s="344" t="s">
        <v>443</v>
      </c>
      <c r="C1906" s="345"/>
      <c r="D1906" s="31">
        <v>3772590</v>
      </c>
      <c r="E1906" s="31">
        <v>4170148</v>
      </c>
      <c r="F1906" s="268" t="str">
        <f>IF(D1906="","",VLOOKUP(D1906,契約台帳!$A$3:$K$4986,6,FALSE)&amp;VLOOKUP(D1906,契約台帳!$A$3:$K$4986,7,FALSE)&amp;VLOOKUP(D1906,契約台帳!$A$3:$K$4986,8,FALSE)&amp;VLOOKUP(D1906,契約台帳!$A$3:$K$4986,9,FALSE)&amp;VLOOKUP(D1906,契約台帳!$A$3:$K$4986,11,FALSE))</f>
        <v>3SNMLBMSF</v>
      </c>
      <c r="G1906" s="269" t="str">
        <f>IF(D1906="","",VLOOKUP(F1906,製品マスタ!$G$5:$H$5002,2,FALSE))</f>
        <v>S</v>
      </c>
      <c r="H1906" s="269" t="str">
        <f>IF(D1906="","",VLOOKUP(F1906,製品マスタ!$G$5:$K$5002,5,FALSE))</f>
        <v>MSF</v>
      </c>
      <c r="I1906" s="270" t="str">
        <f>IF(D1906="","",VLOOKUP(F1906,製品マスタ!$G$5:$L$5002,6,FALSE))</f>
        <v>メタルミー　Ｓ</v>
      </c>
      <c r="J1906" s="32" t="s">
        <v>3017</v>
      </c>
      <c r="K1906" s="270">
        <f>IF(D1906="","",VLOOKUP(D1906,契約台帳!$A$3:$L$4986,12,FALSE))</f>
        <v>25</v>
      </c>
      <c r="L1906" s="270" t="str">
        <f>IF(D1906="","",INDEX(製品マスタ!$Q$5:$Q$5002,MATCH(F1906&amp;K1906,製品マスタ!$AO$5:$AO$5002,0)))</f>
        <v>T62M</v>
      </c>
      <c r="M1906" s="39">
        <v>1240</v>
      </c>
      <c r="N1906" s="39">
        <v>12200</v>
      </c>
      <c r="O1906" s="47">
        <v>1</v>
      </c>
      <c r="P1906" s="356">
        <v>45540</v>
      </c>
      <c r="Q1906" s="276">
        <f>IF(D1906="","",IF(J1906="リード付け",M1906,VLOOKUP(D1906,契約台帳!$A$3:$N$4986,14,FALSE)))</f>
        <v>1240</v>
      </c>
      <c r="R1906" s="277">
        <f>IF(D1906="","",IF(J1906="リード付け",M1906,VLOOKUP(D1906,契約台帳!$A$3:$O$4986,15,FALSE)))</f>
        <v>1240</v>
      </c>
      <c r="S1906" s="277">
        <f>IF(D1906="","",IF(J1906="リード付け",N1906,VLOOKUP(D1906,契約台帳!$A$3:$P$4986,16,FALSE)))</f>
        <v>12200</v>
      </c>
      <c r="T1906" s="40">
        <v>1</v>
      </c>
      <c r="U1906" s="278">
        <f ca="1">IF(D1906="","",IF(OFFSET(D1906,-2,0)=D1906,"",VLOOKUP(D1906,契約台帳!$A$3:$R$4986,18,FALSE)))</f>
        <v>6</v>
      </c>
      <c r="V1906" s="269" t="str">
        <f>IF(J1906="巻返し",VLOOKUP(F1906&amp;K1906&amp;M1906,製品マスタ!$M$5:$AD$5002,18,FALSE),IF(J1906="リード付け","原反コア",IF(J1906="スリット",VLOOKUP(F1906&amp;K1906&amp;Q1906,製品マスタ!$N$5:$AD$5002,17,FALSE),"")))</f>
        <v>原反コア</v>
      </c>
      <c r="W1906" s="269" t="str">
        <f>IF(J1906="巻返し",VLOOKUP(F1906&amp;K1906&amp;M1906,製品マスタ!$M$5:$AE$5002,19,FALSE),IF(J1906="リード付け","-",IF(J1906="スリット",VLOOKUP(F1906&amp;K1906&amp;Q1906,製品マスタ!$N$5:$AE$5002,18,FALSE),"")))</f>
        <v>-</v>
      </c>
      <c r="X1906" s="275">
        <f>IF(D1906="","",VLOOKUP(D1906,契約台帳!$A$3:$Q$4986,17,FALSE))</f>
        <v>1</v>
      </c>
      <c r="Y1906" s="269" t="str">
        <f>IF(D1906="","",VLOOKUP(D1906,契約台帳!$A$3:$E$4986,5,FALSE))</f>
        <v>日精㈱東京支店</v>
      </c>
      <c r="Z1906" s="357"/>
      <c r="AA1906" s="207"/>
      <c r="AB1906" s="369"/>
      <c r="AC1906" s="370"/>
      <c r="AD1906" s="332"/>
      <c r="AE1906" s="216">
        <f>+M1906*N1906*O1906/1000</f>
        <v>15128</v>
      </c>
      <c r="AF1906" s="43"/>
      <c r="AG1906" s="47"/>
      <c r="AH1906" s="30"/>
      <c r="AI1906" s="30"/>
      <c r="AJ1906" s="30"/>
      <c r="AK1906" s="30"/>
      <c r="AL1906" s="13"/>
      <c r="AM1906" s="13"/>
      <c r="AN1906" s="13"/>
      <c r="AO1906" s="13"/>
      <c r="AP1906" s="13"/>
      <c r="AQ1906" s="14"/>
      <c r="AR1906" s="15"/>
    </row>
    <row r="1907" spans="1:44" s="17" customFormat="1" ht="30.95" hidden="1" customHeight="1" x14ac:dyDescent="0.2">
      <c r="A1907" s="343"/>
      <c r="B1907" s="344"/>
      <c r="C1907" s="345"/>
      <c r="D1907" s="398"/>
      <c r="E1907" s="31"/>
      <c r="F1907" s="268"/>
      <c r="G1907" s="269"/>
      <c r="H1907" s="269"/>
      <c r="I1907" s="270"/>
      <c r="J1907" s="32"/>
      <c r="K1907" s="270"/>
      <c r="L1907" s="270"/>
      <c r="M1907" s="39"/>
      <c r="N1907" s="39"/>
      <c r="O1907" s="47"/>
      <c r="P1907" s="57"/>
      <c r="Q1907" s="276"/>
      <c r="R1907" s="277"/>
      <c r="S1907" s="277"/>
      <c r="T1907" s="40"/>
      <c r="U1907" s="278"/>
      <c r="V1907" s="269"/>
      <c r="W1907" s="269"/>
      <c r="X1907" s="275"/>
      <c r="Y1907" s="269"/>
      <c r="Z1907" s="357"/>
      <c r="AA1907" s="207"/>
      <c r="AB1907" s="369"/>
      <c r="AC1907" s="370"/>
      <c r="AD1907" s="332"/>
      <c r="AE1907" s="216"/>
      <c r="AF1907" s="43"/>
      <c r="AG1907" s="47"/>
      <c r="AH1907" s="30"/>
      <c r="AI1907" s="30"/>
      <c r="AJ1907" s="30"/>
      <c r="AK1907" s="30"/>
      <c r="AL1907" s="13"/>
      <c r="AM1907" s="13"/>
      <c r="AN1907" s="13"/>
      <c r="AO1907" s="13"/>
      <c r="AP1907" s="13"/>
      <c r="AQ1907" s="14"/>
      <c r="AR1907" s="15"/>
    </row>
    <row r="1908" spans="1:44" s="17" customFormat="1" ht="30.95" hidden="1" customHeight="1" x14ac:dyDescent="0.2">
      <c r="A1908" s="343" t="s">
        <v>551</v>
      </c>
      <c r="B1908" s="344" t="s">
        <v>444</v>
      </c>
      <c r="C1908" s="345"/>
      <c r="D1908" s="398"/>
      <c r="E1908" s="31"/>
      <c r="F1908" s="268"/>
      <c r="G1908" s="269"/>
      <c r="H1908" s="269"/>
      <c r="I1908" s="270"/>
      <c r="J1908" s="32" t="s">
        <v>3099</v>
      </c>
      <c r="K1908" s="270"/>
      <c r="L1908" s="270"/>
      <c r="M1908" s="39"/>
      <c r="N1908" s="39"/>
      <c r="O1908" s="47"/>
      <c r="P1908" s="57"/>
      <c r="Q1908" s="276"/>
      <c r="R1908" s="277"/>
      <c r="S1908" s="277"/>
      <c r="T1908" s="40"/>
      <c r="U1908" s="278"/>
      <c r="V1908" s="269"/>
      <c r="W1908" s="269"/>
      <c r="X1908" s="275"/>
      <c r="Y1908" s="269"/>
      <c r="Z1908" s="357"/>
      <c r="AA1908" s="207"/>
      <c r="AB1908" s="369"/>
      <c r="AC1908" s="370"/>
      <c r="AD1908" s="332"/>
      <c r="AE1908" s="216"/>
      <c r="AF1908" s="43"/>
      <c r="AG1908" s="47"/>
      <c r="AH1908" s="30"/>
      <c r="AI1908" s="30"/>
      <c r="AJ1908" s="30"/>
      <c r="AK1908" s="30"/>
      <c r="AL1908" s="13"/>
      <c r="AM1908" s="13"/>
      <c r="AN1908" s="13"/>
      <c r="AO1908" s="13"/>
      <c r="AP1908" s="13"/>
      <c r="AQ1908" s="14"/>
      <c r="AR1908" s="15"/>
    </row>
    <row r="1909" spans="1:44" s="17" customFormat="1" ht="30.95" hidden="1" customHeight="1" x14ac:dyDescent="0.2">
      <c r="A1909" s="343"/>
      <c r="B1909" s="344"/>
      <c r="C1909" s="345"/>
      <c r="D1909" s="398"/>
      <c r="E1909" s="31"/>
      <c r="F1909" s="268"/>
      <c r="G1909" s="269"/>
      <c r="H1909" s="269"/>
      <c r="I1909" s="270"/>
      <c r="J1909" s="32"/>
      <c r="K1909" s="270"/>
      <c r="L1909" s="270"/>
      <c r="M1909" s="39"/>
      <c r="N1909" s="39"/>
      <c r="O1909" s="47"/>
      <c r="P1909" s="57"/>
      <c r="Q1909" s="276"/>
      <c r="R1909" s="277"/>
      <c r="S1909" s="277"/>
      <c r="T1909" s="40"/>
      <c r="U1909" s="278"/>
      <c r="V1909" s="269"/>
      <c r="W1909" s="269"/>
      <c r="X1909" s="275"/>
      <c r="Y1909" s="269"/>
      <c r="Z1909" s="357"/>
      <c r="AA1909" s="207"/>
      <c r="AB1909" s="369"/>
      <c r="AC1909" s="370"/>
      <c r="AD1909" s="332"/>
      <c r="AE1909" s="216"/>
      <c r="AF1909" s="43"/>
      <c r="AG1909" s="47"/>
      <c r="AH1909" s="30"/>
      <c r="AI1909" s="30"/>
      <c r="AJ1909" s="30"/>
      <c r="AK1909" s="30"/>
      <c r="AL1909" s="13"/>
      <c r="AM1909" s="13"/>
      <c r="AN1909" s="13"/>
      <c r="AO1909" s="13"/>
      <c r="AP1909" s="13"/>
      <c r="AQ1909" s="14"/>
      <c r="AR1909" s="15"/>
    </row>
    <row r="1910" spans="1:44" s="17" customFormat="1" ht="30.95" hidden="1" customHeight="1" x14ac:dyDescent="0.2">
      <c r="A1910" s="343" t="s">
        <v>552</v>
      </c>
      <c r="B1910" s="344" t="s">
        <v>445</v>
      </c>
      <c r="C1910" s="345"/>
      <c r="D1910" s="398"/>
      <c r="E1910" s="31"/>
      <c r="F1910" s="268"/>
      <c r="G1910" s="269"/>
      <c r="H1910" s="269"/>
      <c r="I1910" s="270"/>
      <c r="J1910" s="32" t="s">
        <v>3099</v>
      </c>
      <c r="K1910" s="270"/>
      <c r="L1910" s="270"/>
      <c r="M1910" s="39"/>
      <c r="N1910" s="39"/>
      <c r="O1910" s="47"/>
      <c r="P1910" s="57"/>
      <c r="Q1910" s="276"/>
      <c r="R1910" s="277"/>
      <c r="S1910" s="277"/>
      <c r="T1910" s="40"/>
      <c r="U1910" s="278"/>
      <c r="V1910" s="269"/>
      <c r="W1910" s="269"/>
      <c r="X1910" s="275"/>
      <c r="Y1910" s="269"/>
      <c r="Z1910" s="357"/>
      <c r="AA1910" s="207"/>
      <c r="AB1910" s="369"/>
      <c r="AC1910" s="370"/>
      <c r="AD1910" s="332"/>
      <c r="AE1910" s="216"/>
      <c r="AF1910" s="43"/>
      <c r="AG1910" s="47"/>
      <c r="AH1910" s="30"/>
      <c r="AI1910" s="30"/>
      <c r="AJ1910" s="30"/>
      <c r="AK1910" s="30"/>
      <c r="AL1910" s="13"/>
      <c r="AM1910" s="13"/>
      <c r="AN1910" s="13"/>
      <c r="AO1910" s="13"/>
      <c r="AP1910" s="13"/>
      <c r="AQ1910" s="14"/>
      <c r="AR1910" s="15"/>
    </row>
    <row r="1911" spans="1:44" s="17" customFormat="1" ht="30.95" hidden="1" customHeight="1" x14ac:dyDescent="0.2">
      <c r="A1911" s="343"/>
      <c r="B1911" s="344"/>
      <c r="C1911" s="345"/>
      <c r="D1911" s="398"/>
      <c r="E1911" s="31"/>
      <c r="F1911" s="268"/>
      <c r="G1911" s="269"/>
      <c r="H1911" s="269"/>
      <c r="I1911" s="270"/>
      <c r="J1911" s="32"/>
      <c r="K1911" s="270"/>
      <c r="L1911" s="270"/>
      <c r="M1911" s="39"/>
      <c r="N1911" s="39"/>
      <c r="O1911" s="47"/>
      <c r="P1911" s="57"/>
      <c r="Q1911" s="276"/>
      <c r="R1911" s="277"/>
      <c r="S1911" s="277"/>
      <c r="T1911" s="40"/>
      <c r="U1911" s="278"/>
      <c r="V1911" s="269"/>
      <c r="W1911" s="269"/>
      <c r="X1911" s="275"/>
      <c r="Y1911" s="269"/>
      <c r="Z1911" s="357"/>
      <c r="AA1911" s="207"/>
      <c r="AB1911" s="369"/>
      <c r="AC1911" s="370"/>
      <c r="AD1911" s="332"/>
      <c r="AE1911" s="216"/>
      <c r="AF1911" s="43"/>
      <c r="AG1911" s="47"/>
      <c r="AH1911" s="30"/>
      <c r="AI1911" s="30"/>
      <c r="AJ1911" s="30"/>
      <c r="AK1911" s="30"/>
      <c r="AL1911" s="13"/>
      <c r="AM1911" s="13"/>
      <c r="AN1911" s="13"/>
      <c r="AO1911" s="13"/>
      <c r="AP1911" s="13"/>
      <c r="AQ1911" s="14"/>
      <c r="AR1911" s="15"/>
    </row>
    <row r="1912" spans="1:44" s="17" customFormat="1" ht="30.95" hidden="1" customHeight="1" x14ac:dyDescent="0.2">
      <c r="A1912" s="343" t="s">
        <v>3100</v>
      </c>
      <c r="B1912" s="344" t="s">
        <v>3101</v>
      </c>
      <c r="C1912" s="345"/>
      <c r="D1912" s="398"/>
      <c r="E1912" s="31"/>
      <c r="F1912" s="268"/>
      <c r="G1912" s="269"/>
      <c r="H1912" s="269"/>
      <c r="I1912" s="270"/>
      <c r="J1912" s="32" t="s">
        <v>3102</v>
      </c>
      <c r="K1912" s="270"/>
      <c r="L1912" s="270"/>
      <c r="M1912" s="39"/>
      <c r="N1912" s="39"/>
      <c r="O1912" s="47"/>
      <c r="P1912" s="57"/>
      <c r="Q1912" s="276"/>
      <c r="R1912" s="277"/>
      <c r="S1912" s="277"/>
      <c r="T1912" s="40"/>
      <c r="U1912" s="278"/>
      <c r="V1912" s="269"/>
      <c r="W1912" s="269"/>
      <c r="X1912" s="275"/>
      <c r="Y1912" s="269"/>
      <c r="Z1912" s="357"/>
      <c r="AA1912" s="207"/>
      <c r="AB1912" s="369"/>
      <c r="AC1912" s="370"/>
      <c r="AD1912" s="332"/>
      <c r="AE1912" s="216"/>
      <c r="AF1912" s="43"/>
      <c r="AG1912" s="47"/>
      <c r="AH1912" s="30"/>
      <c r="AI1912" s="30"/>
      <c r="AJ1912" s="30"/>
      <c r="AK1912" s="30"/>
      <c r="AL1912" s="13"/>
      <c r="AM1912" s="13"/>
      <c r="AN1912" s="13"/>
      <c r="AO1912" s="13"/>
      <c r="AP1912" s="13"/>
      <c r="AQ1912" s="14"/>
      <c r="AR1912" s="15"/>
    </row>
    <row r="1913" spans="1:44" s="17" customFormat="1" ht="30.6" hidden="1" customHeight="1" x14ac:dyDescent="0.2">
      <c r="A1913" s="343"/>
      <c r="B1913" s="344"/>
      <c r="C1913" s="345"/>
      <c r="D1913" s="398"/>
      <c r="E1913" s="31"/>
      <c r="F1913" s="268"/>
      <c r="G1913" s="269"/>
      <c r="H1913" s="269"/>
      <c r="I1913" s="270"/>
      <c r="J1913" s="32"/>
      <c r="K1913" s="270"/>
      <c r="L1913" s="270"/>
      <c r="M1913" s="39"/>
      <c r="N1913" s="39"/>
      <c r="O1913" s="47"/>
      <c r="P1913" s="57"/>
      <c r="Q1913" s="276"/>
      <c r="R1913" s="277"/>
      <c r="S1913" s="277"/>
      <c r="T1913" s="40"/>
      <c r="U1913" s="278"/>
      <c r="V1913" s="269"/>
      <c r="W1913" s="269"/>
      <c r="X1913" s="275"/>
      <c r="Y1913" s="269"/>
      <c r="Z1913" s="357"/>
      <c r="AA1913" s="207"/>
      <c r="AB1913" s="369"/>
      <c r="AC1913" s="370"/>
      <c r="AD1913" s="332"/>
      <c r="AE1913" s="216"/>
      <c r="AF1913" s="43"/>
      <c r="AG1913" s="47"/>
      <c r="AH1913" s="30"/>
      <c r="AI1913" s="30"/>
      <c r="AJ1913" s="30"/>
      <c r="AK1913" s="30"/>
      <c r="AL1913" s="13"/>
      <c r="AM1913" s="13"/>
      <c r="AN1913" s="13"/>
      <c r="AO1913" s="13"/>
      <c r="AP1913" s="13"/>
      <c r="AQ1913" s="14"/>
      <c r="AR1913" s="15"/>
    </row>
    <row r="1914" spans="1:44" s="17" customFormat="1" ht="30.6" hidden="1" customHeight="1" x14ac:dyDescent="0.2">
      <c r="A1914" s="343" t="s">
        <v>3158</v>
      </c>
      <c r="B1914" s="344" t="s">
        <v>462</v>
      </c>
      <c r="C1914" s="345"/>
      <c r="D1914" s="398"/>
      <c r="E1914" s="31"/>
      <c r="F1914" s="268"/>
      <c r="G1914" s="269"/>
      <c r="H1914" s="269"/>
      <c r="I1914" s="270"/>
      <c r="J1914" s="32"/>
      <c r="K1914" s="270"/>
      <c r="L1914" s="270"/>
      <c r="M1914" s="39"/>
      <c r="N1914" s="39"/>
      <c r="O1914" s="47"/>
      <c r="P1914" s="57"/>
      <c r="Q1914" s="276"/>
      <c r="R1914" s="277"/>
      <c r="S1914" s="277"/>
      <c r="T1914" s="40"/>
      <c r="U1914" s="278"/>
      <c r="V1914" s="269"/>
      <c r="W1914" s="269"/>
      <c r="X1914" s="275"/>
      <c r="Y1914" s="269"/>
      <c r="Z1914" s="357"/>
      <c r="AA1914" s="207"/>
      <c r="AB1914" s="369"/>
      <c r="AC1914" s="370"/>
      <c r="AD1914" s="332"/>
      <c r="AE1914" s="216"/>
      <c r="AF1914" s="43"/>
      <c r="AG1914" s="47"/>
      <c r="AH1914" s="30"/>
      <c r="AI1914" s="30"/>
      <c r="AJ1914" s="30"/>
      <c r="AK1914" s="30"/>
      <c r="AL1914" s="13"/>
      <c r="AM1914" s="13"/>
      <c r="AN1914" s="13"/>
      <c r="AO1914" s="13"/>
      <c r="AP1914" s="13"/>
      <c r="AQ1914" s="14"/>
      <c r="AR1914" s="15"/>
    </row>
    <row r="1915" spans="1:44" s="17" customFormat="1" ht="30.6" hidden="1" customHeight="1" x14ac:dyDescent="0.2">
      <c r="A1915" s="343"/>
      <c r="B1915" s="344"/>
      <c r="C1915" s="345"/>
      <c r="D1915" s="398"/>
      <c r="E1915" s="31"/>
      <c r="F1915" s="268"/>
      <c r="G1915" s="269"/>
      <c r="H1915" s="269"/>
      <c r="I1915" s="270"/>
      <c r="J1915" s="32"/>
      <c r="K1915" s="270"/>
      <c r="L1915" s="270"/>
      <c r="M1915" s="39"/>
      <c r="N1915" s="39"/>
      <c r="O1915" s="47"/>
      <c r="P1915" s="57"/>
      <c r="Q1915" s="276"/>
      <c r="R1915" s="277"/>
      <c r="S1915" s="277"/>
      <c r="T1915" s="40"/>
      <c r="U1915" s="278"/>
      <c r="V1915" s="269"/>
      <c r="W1915" s="269"/>
      <c r="X1915" s="275"/>
      <c r="Y1915" s="269"/>
      <c r="Z1915" s="357"/>
      <c r="AA1915" s="207"/>
      <c r="AB1915" s="369"/>
      <c r="AC1915" s="370"/>
      <c r="AD1915" s="332"/>
      <c r="AE1915" s="216"/>
      <c r="AF1915" s="43"/>
      <c r="AG1915" s="47"/>
      <c r="AH1915" s="30"/>
      <c r="AI1915" s="30"/>
      <c r="AJ1915" s="30"/>
      <c r="AK1915" s="30"/>
      <c r="AL1915" s="13"/>
      <c r="AM1915" s="13"/>
      <c r="AN1915" s="13"/>
      <c r="AO1915" s="13"/>
      <c r="AP1915" s="13"/>
      <c r="AQ1915" s="14"/>
      <c r="AR1915" s="15"/>
    </row>
    <row r="1916" spans="1:44" s="17" customFormat="1" ht="30.95" hidden="1" customHeight="1" x14ac:dyDescent="0.2">
      <c r="A1916" s="320" t="s">
        <v>3161</v>
      </c>
      <c r="B1916" s="321" t="s">
        <v>688</v>
      </c>
      <c r="C1916" s="345"/>
      <c r="D1916" s="398">
        <v>3770572</v>
      </c>
      <c r="E1916" s="31">
        <v>4151821</v>
      </c>
      <c r="F1916" s="268" t="str">
        <f>IF(D1916="","",VLOOKUP(D1916,契約台帳!$A$3:$K$4986,6,FALSE)&amp;VLOOKUP(D1916,契約台帳!$A$3:$K$4986,7,FALSE)&amp;VLOOKUP(D1916,契約台帳!$A$3:$K$4986,8,FALSE)&amp;VLOOKUP(D1916,契約台帳!$A$3:$K$4986,9,FALSE)&amp;VLOOKUP(D1916,契約台帳!$A$3:$K$4986,11,FALSE))</f>
        <v>3SNMLBMSF</v>
      </c>
      <c r="G1916" s="269" t="str">
        <f>IF(D1916="","",VLOOKUP(F1916,製品マスタ!$G$5:$H$5002,2,FALSE))</f>
        <v>S</v>
      </c>
      <c r="H1916" s="269" t="str">
        <f>IF(D1916="","",VLOOKUP(F1916,製品マスタ!$G$5:$K$5002,5,FALSE))</f>
        <v>MSF</v>
      </c>
      <c r="I1916" s="270" t="str">
        <f>IF(D1916="","",VLOOKUP(F1916,製品マスタ!$G$5:$L$5002,6,FALSE))</f>
        <v>メタルミー　Ｓ</v>
      </c>
      <c r="J1916" s="32" t="s">
        <v>447</v>
      </c>
      <c r="K1916" s="270">
        <f>IF(D1916="","",VLOOKUP(D1916,契約台帳!$A$3:$L$4986,12,FALSE))</f>
        <v>25</v>
      </c>
      <c r="L1916" s="270" t="str">
        <f>IF(D1916="","",INDEX(製品マスタ!$Q$5:$Q$5002,MATCH(F1916&amp;K1916,製品マスタ!$AO$5:$AO$5002,0)))</f>
        <v>T62M</v>
      </c>
      <c r="M1916" s="39">
        <v>1020</v>
      </c>
      <c r="N1916" s="39">
        <v>12100</v>
      </c>
      <c r="O1916" s="47">
        <v>1</v>
      </c>
      <c r="P1916" s="57"/>
      <c r="Q1916" s="276">
        <f>IF(D1916="","",IF(J1916="リード付け",M1916,VLOOKUP(D1916,契約台帳!$A$3:$N$4986,14,FALSE)))</f>
        <v>1000</v>
      </c>
      <c r="R1916" s="277">
        <f>IF(D1916="","",IF(J1916="リード付け",M1916,VLOOKUP(D1916,契約台帳!$A$3:$O$4986,15,FALSE)))</f>
        <v>1000</v>
      </c>
      <c r="S1916" s="277">
        <f>IF(D1916="","",IF(J1916="リード付け",N1916,VLOOKUP(D1916,契約台帳!$A$3:$P$4986,16,FALSE)))</f>
        <v>2000</v>
      </c>
      <c r="T1916" s="40">
        <v>6</v>
      </c>
      <c r="U1916" s="278">
        <f ca="1">IF(D1916="","",IF(OFFSET(D1916,-2,0)=D1916,"",VLOOKUP(D1916,契約台帳!$A$3:$R$4986,18,FALSE)))</f>
        <v>6</v>
      </c>
      <c r="V1916" s="269" t="s">
        <v>903</v>
      </c>
      <c r="W1916" s="269">
        <f>IF(J1916="巻返し",VLOOKUP(F1916&amp;K1916&amp;M1916,製品マスタ!$M$5:$AE$5002,19,FALSE),IF(J1916="リード付け","-",IF(J1916="スリット",VLOOKUP(F1916&amp;K1916&amp;Q1916,製品マスタ!$N$5:$AE$5002,18,FALSE),"")))</f>
        <v>1005</v>
      </c>
      <c r="X1916" s="275">
        <f>IF(D1916="","",VLOOKUP(D1916,契約台帳!$A$3:$Q$4986,17,FALSE))</f>
        <v>2</v>
      </c>
      <c r="Y1916" s="269" t="str">
        <f>IF(D1916="","",VLOOKUP(D1916,契約台帳!$A$3:$E$4986,5,FALSE))</f>
        <v>寺岡製作所　大宮工場</v>
      </c>
      <c r="Z1916" s="357"/>
      <c r="AA1916" s="207"/>
      <c r="AB1916" s="369"/>
      <c r="AC1916" s="370"/>
      <c r="AD1916" s="332" t="str">
        <f>IF(F1916="","",+F1916&amp;K1916)</f>
        <v>3SNMLBMSF25</v>
      </c>
      <c r="AE1916" s="216">
        <f>+M1916*N1916*O1916/1000</f>
        <v>12342</v>
      </c>
      <c r="AF1916" s="43">
        <f>IF(AD1916="","",VLOOKUP(AD1916,原価マスタ!$A$2:$AJ$1693,13,FALSE))</f>
        <v>97</v>
      </c>
      <c r="AG1916" s="47">
        <f>IF(AF1916="","",+AE1916*AF1916/100)</f>
        <v>11971.74</v>
      </c>
      <c r="AH1916" s="30"/>
      <c r="AI1916" s="30"/>
      <c r="AJ1916" s="30"/>
      <c r="AK1916" s="30"/>
      <c r="AL1916" s="13"/>
      <c r="AM1916" s="13"/>
      <c r="AN1916" s="13"/>
      <c r="AO1916" s="13"/>
      <c r="AP1916" s="13"/>
      <c r="AQ1916" s="14"/>
      <c r="AR1916" s="15"/>
    </row>
    <row r="1917" spans="1:44" s="17" customFormat="1" ht="30.95" hidden="1" customHeight="1" x14ac:dyDescent="0.2">
      <c r="A1917" s="343"/>
      <c r="B1917" s="344"/>
      <c r="C1917" s="345"/>
      <c r="D1917" s="398"/>
      <c r="E1917" s="31"/>
      <c r="F1917" s="268"/>
      <c r="G1917" s="269"/>
      <c r="H1917" s="269"/>
      <c r="I1917" s="270"/>
      <c r="J1917" s="32"/>
      <c r="K1917" s="270"/>
      <c r="L1917" s="270"/>
      <c r="M1917" s="39"/>
      <c r="N1917" s="39"/>
      <c r="O1917" s="47"/>
      <c r="P1917" s="57"/>
      <c r="Q1917" s="276"/>
      <c r="R1917" s="277"/>
      <c r="S1917" s="277"/>
      <c r="T1917" s="40"/>
      <c r="U1917" s="278"/>
      <c r="V1917" s="269"/>
      <c r="W1917" s="269"/>
      <c r="X1917" s="275"/>
      <c r="Y1917" s="269"/>
      <c r="Z1917" s="357"/>
      <c r="AA1917" s="207"/>
      <c r="AB1917" s="369"/>
      <c r="AC1917" s="370"/>
      <c r="AD1917" s="332"/>
      <c r="AE1917" s="216"/>
      <c r="AF1917" s="43"/>
      <c r="AG1917" s="47"/>
      <c r="AH1917" s="30"/>
      <c r="AI1917" s="30"/>
      <c r="AJ1917" s="30"/>
      <c r="AK1917" s="30"/>
      <c r="AL1917" s="13"/>
      <c r="AM1917" s="13"/>
      <c r="AN1917" s="13"/>
      <c r="AO1917" s="13"/>
      <c r="AP1917" s="13"/>
      <c r="AQ1917" s="14"/>
      <c r="AR1917" s="15"/>
    </row>
    <row r="1918" spans="1:44" s="17" customFormat="1" ht="30.95" hidden="1" customHeight="1" x14ac:dyDescent="0.2">
      <c r="A1918" s="320"/>
      <c r="B1918" s="321"/>
      <c r="C1918" s="345"/>
      <c r="D1918" s="398">
        <v>3770583</v>
      </c>
      <c r="E1918" s="31">
        <v>4151822</v>
      </c>
      <c r="F1918" s="268" t="str">
        <f>IF(D1918="","",VLOOKUP(D1918,契約台帳!$A$3:$K$4986,6,FALSE)&amp;VLOOKUP(D1918,契約台帳!$A$3:$K$4986,7,FALSE)&amp;VLOOKUP(D1918,契約台帳!$A$3:$K$4986,8,FALSE)&amp;VLOOKUP(D1918,契約台帳!$A$3:$K$4986,9,FALSE)&amp;VLOOKUP(D1918,契約台帳!$A$3:$K$4986,11,FALSE))</f>
        <v>3SNMLBMNGTBF</v>
      </c>
      <c r="G1918" s="269" t="str">
        <f>IF(D1918="","",VLOOKUP(F1918,製品マスタ!$G$5:$H$5002,2,FALSE))</f>
        <v>S</v>
      </c>
      <c r="H1918" s="269" t="str">
        <f>IF(D1918="","",VLOOKUP(F1918,製品マスタ!$G$5:$K$5002,5,FALSE))</f>
        <v>MNGTBF</v>
      </c>
      <c r="I1918" s="270" t="str">
        <f>IF(D1918="","",VLOOKUP(F1918,製品マスタ!$G$5:$L$5002,6,FALSE))</f>
        <v>メタルミー　ネーマー　銀艶　Ｂ</v>
      </c>
      <c r="J1918" s="32" t="s">
        <v>447</v>
      </c>
      <c r="K1918" s="270">
        <f>IF(D1918="","",VLOOKUP(D1918,契約台帳!$A$3:$L$4986,12,FALSE))</f>
        <v>25</v>
      </c>
      <c r="L1918" s="270" t="str">
        <f>IF(D1918="","",INDEX(製品マスタ!$Q$5:$Q$5002,MATCH(F1918&amp;K1918,製品マスタ!$AO$5:$AO$5002,0)))</f>
        <v>T62M</v>
      </c>
      <c r="M1918" s="39">
        <v>1005</v>
      </c>
      <c r="N1918" s="39">
        <v>12100</v>
      </c>
      <c r="O1918" s="47">
        <v>2</v>
      </c>
      <c r="P1918" s="57"/>
      <c r="Q1918" s="276">
        <f>IF(D1918="","",IF(J1918="リード付け",M1918,VLOOKUP(D1918,契約台帳!$A$3:$N$4986,14,FALSE)))</f>
        <v>1005</v>
      </c>
      <c r="R1918" s="277">
        <f>IF(D1918="","",IF(J1918="リード付け",M1918,VLOOKUP(D1918,契約台帳!$A$3:$O$4986,15,FALSE)))</f>
        <v>1000</v>
      </c>
      <c r="S1918" s="277">
        <f>IF(D1918="","",IF(J1918="リード付け",N1918,VLOOKUP(D1918,契約台帳!$A$3:$P$4986,16,FALSE)))</f>
        <v>4000</v>
      </c>
      <c r="T1918" s="40">
        <v>6</v>
      </c>
      <c r="U1918" s="278">
        <f ca="1">IF(D1918="","",IF(OFFSET(D1918,-2,0)=D1918,"",VLOOKUP(D1918,契約台帳!$A$3:$R$4986,18,FALSE)))</f>
        <v>15</v>
      </c>
      <c r="V1918" s="269" t="s">
        <v>903</v>
      </c>
      <c r="W1918" s="269">
        <f>IF(J1918="巻返し",VLOOKUP(F1918&amp;K1918&amp;M1918,製品マスタ!$M$5:$AE$5002,19,FALSE),IF(J1918="リード付け","-",IF(J1918="スリット",VLOOKUP(F1918&amp;K1918&amp;Q1918,製品マスタ!$N$5:$AE$5002,18,FALSE),"")))</f>
        <v>1015</v>
      </c>
      <c r="X1918" s="275">
        <f>IF(D1918="","",VLOOKUP(D1918,契約台帳!$A$3:$Q$4986,17,FALSE))</f>
        <v>2</v>
      </c>
      <c r="Y1918" s="269" t="str">
        <f>IF(D1918="","",VLOOKUP(D1918,契約台帳!$A$3:$E$4986,5,FALSE))</f>
        <v>リンテック㈱</v>
      </c>
      <c r="Z1918" s="357"/>
      <c r="AA1918" s="207"/>
      <c r="AB1918" s="369"/>
      <c r="AC1918" s="370"/>
      <c r="AD1918" s="332" t="str">
        <f>IF(F1918="","",+F1918&amp;K1918)</f>
        <v>3SNMLBMNGTBF25</v>
      </c>
      <c r="AE1918" s="216">
        <f>+M1918*N1918*O1918/1000</f>
        <v>24321</v>
      </c>
      <c r="AF1918" s="43">
        <f>IF(AD1918="","",VLOOKUP(AD1918,原価マスタ!$A$2:$AJ$1693,13,FALSE))</f>
        <v>97.5</v>
      </c>
      <c r="AG1918" s="47">
        <f>IF(AF1918="","",+AE1918*AF1918/100)</f>
        <v>23712.974999999999</v>
      </c>
      <c r="AH1918" s="30"/>
      <c r="AI1918" s="30"/>
      <c r="AJ1918" s="30"/>
      <c r="AK1918" s="30"/>
      <c r="AL1918" s="13"/>
      <c r="AM1918" s="13"/>
      <c r="AN1918" s="13"/>
      <c r="AO1918" s="13"/>
      <c r="AP1918" s="13"/>
      <c r="AQ1918" s="14"/>
      <c r="AR1918" s="15"/>
    </row>
    <row r="1919" spans="1:44" s="17" customFormat="1" ht="30.95" hidden="1" customHeight="1" x14ac:dyDescent="0.2">
      <c r="A1919" s="343"/>
      <c r="B1919" s="344"/>
      <c r="C1919" s="345"/>
      <c r="D1919" s="398"/>
      <c r="E1919" s="31"/>
      <c r="F1919" s="268"/>
      <c r="G1919" s="269"/>
      <c r="H1919" s="269"/>
      <c r="I1919" s="270"/>
      <c r="J1919" s="32"/>
      <c r="K1919" s="270"/>
      <c r="L1919" s="270"/>
      <c r="M1919" s="39"/>
      <c r="N1919" s="39"/>
      <c r="O1919" s="47"/>
      <c r="P1919" s="350"/>
      <c r="Q1919" s="276"/>
      <c r="R1919" s="277"/>
      <c r="S1919" s="277"/>
      <c r="T1919" s="40"/>
      <c r="U1919" s="278"/>
      <c r="V1919" s="269"/>
      <c r="W1919" s="269"/>
      <c r="X1919" s="275"/>
      <c r="Y1919" s="269"/>
      <c r="Z1919" s="357"/>
      <c r="AA1919" s="207"/>
      <c r="AB1919" s="369"/>
      <c r="AC1919" s="370"/>
      <c r="AD1919" s="332"/>
      <c r="AE1919" s="371"/>
      <c r="AF1919" s="355"/>
      <c r="AG1919" s="349"/>
      <c r="AH1919" s="30"/>
      <c r="AI1919" s="30"/>
      <c r="AJ1919" s="30"/>
      <c r="AK1919" s="30"/>
      <c r="AL1919" s="13"/>
      <c r="AM1919" s="13"/>
      <c r="AN1919" s="13"/>
      <c r="AO1919" s="13"/>
      <c r="AP1919" s="13"/>
      <c r="AQ1919" s="14"/>
      <c r="AR1919" s="15"/>
    </row>
    <row r="1920" spans="1:44" s="17" customFormat="1" ht="30.95" hidden="1" customHeight="1" x14ac:dyDescent="0.2">
      <c r="A1920" s="320" t="s">
        <v>3162</v>
      </c>
      <c r="B1920" s="321" t="s">
        <v>442</v>
      </c>
      <c r="C1920" s="345"/>
      <c r="D1920" s="398">
        <v>3770583</v>
      </c>
      <c r="E1920" s="31">
        <v>4151822</v>
      </c>
      <c r="F1920" s="268" t="str">
        <f>IF(D1920="","",VLOOKUP(D1920,契約台帳!$A$3:$K$4986,6,FALSE)&amp;VLOOKUP(D1920,契約台帳!$A$3:$K$4986,7,FALSE)&amp;VLOOKUP(D1920,契約台帳!$A$3:$K$4986,8,FALSE)&amp;VLOOKUP(D1920,契約台帳!$A$3:$K$4986,9,FALSE)&amp;VLOOKUP(D1920,契約台帳!$A$3:$K$4986,11,FALSE))</f>
        <v>3SNMLBMNGTBF</v>
      </c>
      <c r="G1920" s="269" t="str">
        <f>IF(D1920="","",VLOOKUP(F1920,製品マスタ!$G$5:$H$5002,2,FALSE))</f>
        <v>S</v>
      </c>
      <c r="H1920" s="269" t="str">
        <f>IF(D1920="","",VLOOKUP(F1920,製品マスタ!$G$5:$K$5002,5,FALSE))</f>
        <v>MNGTBF</v>
      </c>
      <c r="I1920" s="270" t="str">
        <f>IF(D1920="","",VLOOKUP(F1920,製品マスタ!$G$5:$L$5002,6,FALSE))</f>
        <v>メタルミー　ネーマー　銀艶　Ｂ</v>
      </c>
      <c r="J1920" s="32" t="s">
        <v>447</v>
      </c>
      <c r="K1920" s="270">
        <f>IF(D1920="","",VLOOKUP(D1920,契約台帳!$A$3:$L$4986,12,FALSE))</f>
        <v>25</v>
      </c>
      <c r="L1920" s="270" t="str">
        <f>IF(D1920="","",INDEX(製品マスタ!$Q$5:$Q$5002,MATCH(F1920&amp;K1920,製品マスタ!$AO$5:$AO$5002,0)))</f>
        <v>T62M</v>
      </c>
      <c r="M1920" s="39">
        <v>1005</v>
      </c>
      <c r="N1920" s="39">
        <v>12100</v>
      </c>
      <c r="O1920" s="47">
        <v>3</v>
      </c>
      <c r="P1920" s="57"/>
      <c r="Q1920" s="276">
        <f>IF(D1920="","",IF(J1920="リード付け",M1920,VLOOKUP(D1920,契約台帳!$A$3:$N$4986,14,FALSE)))</f>
        <v>1005</v>
      </c>
      <c r="R1920" s="277">
        <f>IF(D1920="","",IF(J1920="リード付け",M1920,VLOOKUP(D1920,契約台帳!$A$3:$O$4986,15,FALSE)))</f>
        <v>1000</v>
      </c>
      <c r="S1920" s="277">
        <f>IF(D1920="","",IF(J1920="リード付け",N1920,VLOOKUP(D1920,契約台帳!$A$3:$P$4986,16,FALSE)))</f>
        <v>4000</v>
      </c>
      <c r="T1920" s="40">
        <v>9</v>
      </c>
      <c r="U1920" s="278" t="str">
        <f ca="1">IF(D1920="","",IF(OFFSET(D1920,-2,0)=D1920,"",VLOOKUP(D1920,契約台帳!$A$3:$R$4986,18,FALSE)))</f>
        <v/>
      </c>
      <c r="V1920" s="269" t="s">
        <v>903</v>
      </c>
      <c r="W1920" s="269">
        <f>IF(J1920="巻返し",VLOOKUP(F1920&amp;K1920&amp;M1920,製品マスタ!$M$5:$AE$5002,19,FALSE),IF(J1920="リード付け","-",IF(J1920="スリット",VLOOKUP(F1920&amp;K1920&amp;Q1920,製品マスタ!$N$5:$AE$5002,18,FALSE),"")))</f>
        <v>1015</v>
      </c>
      <c r="X1920" s="275">
        <f>IF(D1920="","",VLOOKUP(D1920,契約台帳!$A$3:$Q$4986,17,FALSE))</f>
        <v>2</v>
      </c>
      <c r="Y1920" s="269" t="str">
        <f>IF(D1920="","",VLOOKUP(D1920,契約台帳!$A$3:$E$4986,5,FALSE))</f>
        <v>リンテック㈱</v>
      </c>
      <c r="Z1920" s="357"/>
      <c r="AA1920" s="207"/>
      <c r="AB1920" s="369"/>
      <c r="AC1920" s="370"/>
      <c r="AD1920" s="332" t="str">
        <f>IF(F1920="","",+F1920&amp;K1920)</f>
        <v>3SNMLBMNGTBF25</v>
      </c>
      <c r="AE1920" s="216">
        <f>+M1920*N1920*O1920/1000</f>
        <v>36481.5</v>
      </c>
      <c r="AF1920" s="43">
        <f>IF(AD1920="","",VLOOKUP(AD1920,原価マスタ!$A$2:$AJ$1693,13,FALSE))</f>
        <v>97.5</v>
      </c>
      <c r="AG1920" s="47">
        <f>IF(AF1920="","",+AE1920*AF1920/100)</f>
        <v>35569.462500000001</v>
      </c>
      <c r="AH1920" s="30"/>
      <c r="AI1920" s="30"/>
      <c r="AJ1920" s="30"/>
      <c r="AK1920" s="30"/>
      <c r="AL1920" s="13"/>
      <c r="AM1920" s="13"/>
      <c r="AN1920" s="13"/>
      <c r="AO1920" s="13"/>
      <c r="AP1920" s="13"/>
      <c r="AQ1920" s="14"/>
      <c r="AR1920" s="15"/>
    </row>
    <row r="1921" spans="1:44" s="17" customFormat="1" ht="30.95" hidden="1" customHeight="1" x14ac:dyDescent="0.2">
      <c r="A1921" s="343"/>
      <c r="B1921" s="344"/>
      <c r="C1921" s="345"/>
      <c r="D1921" s="398"/>
      <c r="E1921" s="31"/>
      <c r="F1921" s="268"/>
      <c r="G1921" s="269"/>
      <c r="H1921" s="269"/>
      <c r="I1921" s="270"/>
      <c r="J1921" s="32"/>
      <c r="K1921" s="270"/>
      <c r="L1921" s="270"/>
      <c r="M1921" s="39"/>
      <c r="N1921" s="39"/>
      <c r="O1921" s="47"/>
      <c r="P1921" s="350"/>
      <c r="Q1921" s="276"/>
      <c r="R1921" s="277"/>
      <c r="S1921" s="277"/>
      <c r="T1921" s="40"/>
      <c r="U1921" s="278"/>
      <c r="V1921" s="269"/>
      <c r="W1921" s="269"/>
      <c r="X1921" s="275"/>
      <c r="Y1921" s="269"/>
      <c r="Z1921" s="357"/>
      <c r="AA1921" s="207"/>
      <c r="AB1921" s="369"/>
      <c r="AC1921" s="370"/>
      <c r="AD1921" s="332"/>
      <c r="AE1921" s="371"/>
      <c r="AF1921" s="355"/>
      <c r="AG1921" s="349"/>
      <c r="AH1921" s="30"/>
      <c r="AI1921" s="30"/>
      <c r="AJ1921" s="30"/>
      <c r="AK1921" s="30"/>
      <c r="AL1921" s="13"/>
      <c r="AM1921" s="13"/>
      <c r="AN1921" s="13"/>
      <c r="AO1921" s="13"/>
      <c r="AP1921" s="13"/>
      <c r="AQ1921" s="14"/>
      <c r="AR1921" s="15"/>
    </row>
    <row r="1922" spans="1:44" s="17" customFormat="1" ht="30.6" hidden="1" customHeight="1" x14ac:dyDescent="0.2">
      <c r="A1922" s="343"/>
      <c r="B1922" s="344"/>
      <c r="C1922" s="345"/>
      <c r="D1922" s="398">
        <v>3770578</v>
      </c>
      <c r="E1922" s="31">
        <v>4151805</v>
      </c>
      <c r="F1922" s="268" t="str">
        <f>IF(D1922="","",VLOOKUP(D1922,契約台帳!$A$3:$K$4986,6,FALSE)&amp;VLOOKUP(D1922,契約台帳!$A$3:$K$4986,7,FALSE)&amp;VLOOKUP(D1922,契約台帳!$A$3:$K$4986,8,FALSE)&amp;VLOOKUP(D1922,契約台帳!$A$3:$K$4986,9,FALSE)&amp;VLOOKUP(D1922,契約台帳!$A$3:$K$4986,11,FALSE))</f>
        <v>3SNMLBMNGKKBF</v>
      </c>
      <c r="G1922" s="269" t="str">
        <f>IF(D1922="","",VLOOKUP(F1922,製品マスタ!$G$5:$H$5002,2,FALSE))</f>
        <v>S</v>
      </c>
      <c r="H1922" s="269" t="str">
        <f>IF(D1922="","",VLOOKUP(F1922,製品マスタ!$G$5:$K$5002,5,FALSE))</f>
        <v>MNGKKBF</v>
      </c>
      <c r="I1922" s="270" t="str">
        <f>IF(D1922="","",VLOOKUP(F1922,製品マスタ!$G$5:$L$5002,6,FALSE))</f>
        <v>メタルミー　ネーマー銀消改　Ｂ</v>
      </c>
      <c r="J1922" s="32" t="s">
        <v>447</v>
      </c>
      <c r="K1922" s="270">
        <f>IF(D1922="","",VLOOKUP(D1922,契約台帳!$A$3:$L$4986,12,FALSE))</f>
        <v>25</v>
      </c>
      <c r="L1922" s="270" t="str">
        <f>IF(D1922="","",INDEX(製品マスタ!$Q$5:$Q$5002,MATCH(F1922&amp;K1922,製品マスタ!$AO$5:$AO$5002,0)))</f>
        <v>FMATS99</v>
      </c>
      <c r="M1922" s="39">
        <v>1120</v>
      </c>
      <c r="N1922" s="39">
        <v>12000</v>
      </c>
      <c r="O1922" s="47">
        <v>3</v>
      </c>
      <c r="P1922" s="57"/>
      <c r="Q1922" s="276">
        <f>IF(D1922="","",IF(J1922="リード付け",M1922,VLOOKUP(D1922,契約台帳!$A$3:$N$4986,14,FALSE)))</f>
        <v>1120</v>
      </c>
      <c r="R1922" s="277">
        <f>IF(D1922="","",IF(J1922="リード付け",M1922,VLOOKUP(D1922,契約台帳!$A$3:$O$4986,15,FALSE)))</f>
        <v>1120</v>
      </c>
      <c r="S1922" s="277">
        <f>IF(D1922="","",IF(J1922="リード付け",N1922,VLOOKUP(D1922,契約台帳!$A$3:$P$4986,16,FALSE)))</f>
        <v>4000</v>
      </c>
      <c r="T1922" s="40">
        <v>9</v>
      </c>
      <c r="U1922" s="278">
        <f ca="1">IF(D1922="","",IF(OFFSET(D1922,-2,0)=D1922,"",VLOOKUP(D1922,契約台帳!$A$3:$R$4986,18,FALSE)))</f>
        <v>9</v>
      </c>
      <c r="V1922" s="269" t="str">
        <f>IF(J1922="巻返し",VLOOKUP(F1922&amp;K1922&amp;M1922,製品マスタ!$M$5:$AD$5002,18,FALSE),IF(J1922="リード付け","原反コア",IF(J1922="スリット",VLOOKUP(F1922&amp;K1922&amp;Q1922,製品マスタ!$N$5:$AD$5002,17,FALSE),"")))</f>
        <v>6ｲﾝﾁSｺｱ</v>
      </c>
      <c r="W1922" s="269">
        <f>IF(J1922="巻返し",VLOOKUP(F1922&amp;K1922&amp;M1922,製品マスタ!$M$5:$AE$5002,19,FALSE),IF(J1922="リード付け","-",IF(J1922="スリット",VLOOKUP(F1922&amp;K1922&amp;Q1922,製品マスタ!$N$5:$AE$5002,18,FALSE),"")))</f>
        <v>1125</v>
      </c>
      <c r="X1922" s="275">
        <f>IF(D1922="","",VLOOKUP(D1922,契約台帳!$A$3:$Q$4986,17,FALSE))</f>
        <v>2</v>
      </c>
      <c r="Y1922" s="269" t="str">
        <f>IF(D1922="","",VLOOKUP(D1922,契約台帳!$A$3:$E$4986,5,FALSE))</f>
        <v>リンテック㈱</v>
      </c>
      <c r="Z1922" s="357"/>
      <c r="AA1922" s="207"/>
      <c r="AB1922" s="369"/>
      <c r="AC1922" s="370"/>
      <c r="AD1922" s="332" t="str">
        <f>IF(F1922="","",+F1922&amp;K1922)</f>
        <v>3SNMLBMNGKKBF25</v>
      </c>
      <c r="AE1922" s="216">
        <f>+M1922*N1922*O1922/1000</f>
        <v>40320</v>
      </c>
      <c r="AF1922" s="43">
        <f>IF(AD1922="","",VLOOKUP(AD1922,原価マスタ!$A$2:$AJ$1693,13,FALSE))</f>
        <v>96</v>
      </c>
      <c r="AG1922" s="47">
        <f>IF(AF1922="","",+AE1922*AF1922/100)</f>
        <v>38707.199999999997</v>
      </c>
      <c r="AH1922" s="30"/>
      <c r="AI1922" s="30"/>
      <c r="AJ1922" s="30"/>
      <c r="AK1922" s="30"/>
      <c r="AL1922" s="13"/>
      <c r="AM1922" s="13"/>
      <c r="AN1922" s="13"/>
      <c r="AO1922" s="13"/>
      <c r="AP1922" s="13"/>
      <c r="AQ1922" s="14"/>
      <c r="AR1922" s="15"/>
    </row>
    <row r="1923" spans="1:44" s="17" customFormat="1" ht="30.95" hidden="1" customHeight="1" x14ac:dyDescent="0.2">
      <c r="A1923" s="343"/>
      <c r="B1923" s="344"/>
      <c r="C1923" s="345"/>
      <c r="D1923" s="398"/>
      <c r="E1923" s="31"/>
      <c r="F1923" s="268"/>
      <c r="G1923" s="269"/>
      <c r="H1923" s="269"/>
      <c r="I1923" s="270"/>
      <c r="J1923" s="32"/>
      <c r="K1923" s="270"/>
      <c r="L1923" s="270"/>
      <c r="M1923" s="39"/>
      <c r="N1923" s="39"/>
      <c r="O1923" s="47"/>
      <c r="P1923" s="57"/>
      <c r="Q1923" s="276"/>
      <c r="R1923" s="277"/>
      <c r="S1923" s="277"/>
      <c r="T1923" s="40"/>
      <c r="U1923" s="278"/>
      <c r="V1923" s="269"/>
      <c r="W1923" s="269"/>
      <c r="X1923" s="275"/>
      <c r="Y1923" s="269"/>
      <c r="Z1923" s="357"/>
      <c r="AA1923" s="207"/>
      <c r="AB1923" s="369"/>
      <c r="AC1923" s="370"/>
      <c r="AD1923" s="332"/>
      <c r="AE1923" s="216"/>
      <c r="AF1923" s="43"/>
      <c r="AG1923" s="47"/>
      <c r="AH1923" s="30"/>
      <c r="AI1923" s="30"/>
      <c r="AJ1923" s="30"/>
      <c r="AK1923" s="30"/>
      <c r="AL1923" s="13"/>
      <c r="AM1923" s="13"/>
      <c r="AN1923" s="13"/>
      <c r="AO1923" s="13"/>
      <c r="AP1923" s="13"/>
      <c r="AQ1923" s="14"/>
      <c r="AR1923" s="15"/>
    </row>
    <row r="1924" spans="1:44" s="17" customFormat="1" ht="30.95" hidden="1" customHeight="1" x14ac:dyDescent="0.2">
      <c r="A1924" s="343" t="s">
        <v>3133</v>
      </c>
      <c r="B1924" s="344" t="s">
        <v>3134</v>
      </c>
      <c r="C1924" s="345"/>
      <c r="D1924" s="398"/>
      <c r="E1924" s="31"/>
      <c r="F1924" s="268"/>
      <c r="G1924" s="269"/>
      <c r="H1924" s="269"/>
      <c r="I1924" s="270"/>
      <c r="J1924" s="32" t="s">
        <v>3129</v>
      </c>
      <c r="K1924" s="270"/>
      <c r="L1924" s="270"/>
      <c r="M1924" s="39"/>
      <c r="N1924" s="39"/>
      <c r="O1924" s="47"/>
      <c r="P1924" s="57"/>
      <c r="Q1924" s="276"/>
      <c r="R1924" s="277"/>
      <c r="S1924" s="277"/>
      <c r="T1924" s="40"/>
      <c r="U1924" s="278"/>
      <c r="V1924" s="269"/>
      <c r="W1924" s="269"/>
      <c r="X1924" s="275"/>
      <c r="Y1924" s="269"/>
      <c r="Z1924" s="357"/>
      <c r="AA1924" s="207"/>
      <c r="AB1924" s="369"/>
      <c r="AC1924" s="370"/>
      <c r="AD1924" s="332"/>
      <c r="AE1924" s="216"/>
      <c r="AF1924" s="43"/>
      <c r="AG1924" s="47"/>
      <c r="AH1924" s="30"/>
      <c r="AI1924" s="30"/>
      <c r="AJ1924" s="30"/>
      <c r="AK1924" s="30"/>
      <c r="AL1924" s="13"/>
      <c r="AM1924" s="13"/>
      <c r="AN1924" s="13"/>
      <c r="AO1924" s="13"/>
      <c r="AP1924" s="13"/>
      <c r="AQ1924" s="14"/>
      <c r="AR1924" s="15"/>
    </row>
    <row r="1925" spans="1:44" s="17" customFormat="1" ht="30.95" hidden="1" customHeight="1" x14ac:dyDescent="0.2">
      <c r="A1925" s="343"/>
      <c r="B1925" s="344"/>
      <c r="C1925" s="345"/>
      <c r="D1925" s="398"/>
      <c r="E1925" s="31"/>
      <c r="F1925" s="268"/>
      <c r="G1925" s="269"/>
      <c r="H1925" s="269"/>
      <c r="I1925" s="270"/>
      <c r="J1925" s="32"/>
      <c r="K1925" s="270"/>
      <c r="L1925" s="270"/>
      <c r="M1925" s="39"/>
      <c r="N1925" s="39"/>
      <c r="O1925" s="47"/>
      <c r="P1925" s="57"/>
      <c r="Q1925" s="276"/>
      <c r="R1925" s="277"/>
      <c r="S1925" s="277"/>
      <c r="T1925" s="40"/>
      <c r="U1925" s="278"/>
      <c r="V1925" s="269"/>
      <c r="W1925" s="269"/>
      <c r="X1925" s="275"/>
      <c r="Y1925" s="269"/>
      <c r="Z1925" s="357"/>
      <c r="AA1925" s="207"/>
      <c r="AB1925" s="369"/>
      <c r="AC1925" s="370"/>
      <c r="AD1925" s="332"/>
      <c r="AE1925" s="216"/>
      <c r="AF1925" s="43"/>
      <c r="AG1925" s="47"/>
      <c r="AH1925" s="30"/>
      <c r="AI1925" s="30"/>
      <c r="AJ1925" s="30"/>
      <c r="AK1925" s="30"/>
      <c r="AL1925" s="13"/>
      <c r="AM1925" s="13"/>
      <c r="AN1925" s="13"/>
      <c r="AO1925" s="13"/>
      <c r="AP1925" s="13"/>
      <c r="AQ1925" s="14"/>
      <c r="AR1925" s="15"/>
    </row>
    <row r="1926" spans="1:44" s="17" customFormat="1" ht="30.6" hidden="1" customHeight="1" x14ac:dyDescent="0.2">
      <c r="A1926" s="320" t="s">
        <v>3135</v>
      </c>
      <c r="B1926" s="321" t="s">
        <v>3136</v>
      </c>
      <c r="C1926" s="345"/>
      <c r="D1926" s="398">
        <v>3770576</v>
      </c>
      <c r="E1926" s="31">
        <v>4151812</v>
      </c>
      <c r="F1926" s="268" t="str">
        <f>IF(D1926="","",VLOOKUP(D1926,契約台帳!$A$3:$K$4986,6,FALSE)&amp;VLOOKUP(D1926,契約台帳!$A$3:$K$4986,7,FALSE)&amp;VLOOKUP(D1926,契約台帳!$A$3:$K$4986,8,FALSE)&amp;VLOOKUP(D1926,契約台帳!$A$3:$K$4986,9,FALSE)&amp;VLOOKUP(D1926,契約台帳!$A$3:$K$4986,11,FALSE))</f>
        <v>3SYMLBMSNMBF</v>
      </c>
      <c r="G1926" s="269" t="str">
        <f>IF(D1926="","",VLOOKUP(F1926,製品マスタ!$G$5:$H$5002,2,FALSE))</f>
        <v>S</v>
      </c>
      <c r="H1926" s="269" t="str">
        <f>IF(D1926="","",VLOOKUP(F1926,製品マスタ!$G$5:$K$5002,5,FALSE))</f>
        <v>MSNMBF</v>
      </c>
      <c r="I1926" s="270" t="str">
        <f>IF(D1926="","",VLOOKUP(F1926,製品マスタ!$G$5:$L$5002,6,FALSE))</f>
        <v>ＭＥＴＡＬＵＭＹ　ＳＩＬＶＥＲ　Ｎ－ＭＡＴＴＥ　Ｘ４４Ｍ　Ｂ</v>
      </c>
      <c r="J1926" s="32" t="s">
        <v>447</v>
      </c>
      <c r="K1926" s="270">
        <f>IF(D1926="","",VLOOKUP(D1926,契約台帳!$A$3:$L$4986,12,FALSE))</f>
        <v>50</v>
      </c>
      <c r="L1926" s="270" t="str">
        <f>IF(D1926="","",INDEX(製品マスタ!$Q$5:$Q$5002,MATCH(F1926&amp;K1926,製品マスタ!$AO$5:$AO$5002,0)))</f>
        <v>X44</v>
      </c>
      <c r="M1926" s="39">
        <v>1120</v>
      </c>
      <c r="N1926" s="39">
        <v>12000</v>
      </c>
      <c r="O1926" s="47">
        <v>3</v>
      </c>
      <c r="P1926" s="57"/>
      <c r="Q1926" s="276">
        <f>IF(D1926="","",IF(J1926="リード付け",M1926,VLOOKUP(D1926,契約台帳!$A$3:$N$4986,14,FALSE)))</f>
        <v>1120</v>
      </c>
      <c r="R1926" s="277">
        <f>IF(D1926="","",IF(J1926="リード付け",M1926,VLOOKUP(D1926,契約台帳!$A$3:$O$4986,15,FALSE)))</f>
        <v>1120</v>
      </c>
      <c r="S1926" s="277">
        <f>IF(D1926="","",IF(J1926="リード付け",N1926,VLOOKUP(D1926,契約台帳!$A$3:$P$4986,16,FALSE)))</f>
        <v>4000</v>
      </c>
      <c r="T1926" s="40">
        <v>9</v>
      </c>
      <c r="U1926" s="278">
        <f ca="1">IF(D1926="","",IF(OFFSET(D1926,-2,0)=D1926,"",VLOOKUP(D1926,契約台帳!$A$3:$R$4986,18,FALSE)))</f>
        <v>9</v>
      </c>
      <c r="V1926" s="269" t="str">
        <f>IF(J1926="巻返し",VLOOKUP(F1926&amp;K1926&amp;M1926,製品マスタ!$M$5:$AD$5002,18,FALSE),IF(J1926="リード付け","原反コア",IF(J1926="スリット",VLOOKUP(F1926&amp;K1926&amp;Q1926,製品マスタ!$N$5:$AD$5002,17,FALSE),"")))</f>
        <v>6ｲﾝﾁMｺｱ</v>
      </c>
      <c r="W1926" s="269">
        <f>IF(J1926="巻返し",VLOOKUP(F1926&amp;K1926&amp;M1926,製品マスタ!$M$5:$AE$5002,19,FALSE),IF(J1926="リード付け","-",IF(J1926="スリット",VLOOKUP(F1926&amp;K1926&amp;Q1926,製品マスタ!$N$5:$AE$5002,18,FALSE),"")))</f>
        <v>1125</v>
      </c>
      <c r="X1926" s="275">
        <f>IF(D1926="","",VLOOKUP(D1926,契約台帳!$A$3:$Q$4986,17,FALSE))</f>
        <v>2</v>
      </c>
      <c r="Y1926" s="269" t="str">
        <f>IF(D1926="","",VLOOKUP(D1926,契約台帳!$A$3:$E$4986,5,FALSE))</f>
        <v>リンテック㈱</v>
      </c>
      <c r="Z1926" s="357"/>
      <c r="AA1926" s="207"/>
      <c r="AB1926" s="369"/>
      <c r="AC1926" s="370"/>
      <c r="AD1926" s="332" t="str">
        <f>IF(F1926="","",+F1926&amp;K1926)</f>
        <v>3SYMLBMSNMBF50</v>
      </c>
      <c r="AE1926" s="216">
        <f>+M1926*N1926*O1926/1000</f>
        <v>40320</v>
      </c>
      <c r="AF1926" s="43">
        <f>IF(AD1926="","",VLOOKUP(AD1926,原価マスタ!$A$2:$AJ$1693,13,FALSE))</f>
        <v>98.8</v>
      </c>
      <c r="AG1926" s="47">
        <f>IF(AF1926="","",+AE1926*AF1926/100)</f>
        <v>39836.160000000003</v>
      </c>
      <c r="AH1926" s="30"/>
      <c r="AI1926" s="30"/>
      <c r="AJ1926" s="30"/>
      <c r="AK1926" s="30"/>
      <c r="AL1926" s="13"/>
      <c r="AM1926" s="13"/>
      <c r="AN1926" s="13"/>
      <c r="AO1926" s="13"/>
      <c r="AP1926" s="13"/>
      <c r="AQ1926" s="14"/>
      <c r="AR1926" s="15"/>
    </row>
    <row r="1927" spans="1:44" s="17" customFormat="1" ht="30.95" hidden="1" customHeight="1" x14ac:dyDescent="0.2">
      <c r="A1927" s="343"/>
      <c r="B1927" s="344"/>
      <c r="C1927" s="345"/>
      <c r="D1927" s="398"/>
      <c r="E1927" s="31"/>
      <c r="F1927" s="268"/>
      <c r="G1927" s="269"/>
      <c r="H1927" s="269"/>
      <c r="I1927" s="270"/>
      <c r="J1927" s="32"/>
      <c r="K1927" s="270"/>
      <c r="L1927" s="270"/>
      <c r="M1927" s="39"/>
      <c r="N1927" s="39"/>
      <c r="O1927" s="47"/>
      <c r="P1927" s="57"/>
      <c r="Q1927" s="276"/>
      <c r="R1927" s="277"/>
      <c r="S1927" s="277"/>
      <c r="T1927" s="40"/>
      <c r="U1927" s="278"/>
      <c r="V1927" s="269"/>
      <c r="W1927" s="269"/>
      <c r="X1927" s="275"/>
      <c r="Y1927" s="269"/>
      <c r="Z1927" s="357"/>
      <c r="AA1927" s="207"/>
      <c r="AB1927" s="369"/>
      <c r="AC1927" s="370"/>
      <c r="AD1927" s="332"/>
      <c r="AE1927" s="216"/>
      <c r="AF1927" s="43"/>
      <c r="AG1927" s="47"/>
      <c r="AH1927" s="30"/>
      <c r="AI1927" s="30"/>
      <c r="AJ1927" s="30"/>
      <c r="AK1927" s="30"/>
      <c r="AL1927" s="13"/>
      <c r="AM1927" s="13"/>
      <c r="AN1927" s="13"/>
      <c r="AO1927" s="13"/>
      <c r="AP1927" s="13"/>
      <c r="AQ1927" s="14"/>
      <c r="AR1927" s="15"/>
    </row>
    <row r="1928" spans="1:44" s="17" customFormat="1" ht="30.95" hidden="1" customHeight="1" x14ac:dyDescent="0.2">
      <c r="A1928" s="343" t="s">
        <v>562</v>
      </c>
      <c r="B1928" s="344" t="s">
        <v>445</v>
      </c>
      <c r="C1928" s="345"/>
      <c r="D1928" s="398"/>
      <c r="E1928" s="31"/>
      <c r="F1928" s="268"/>
      <c r="G1928" s="269"/>
      <c r="H1928" s="269"/>
      <c r="I1928" s="270"/>
      <c r="J1928" s="32" t="s">
        <v>448</v>
      </c>
      <c r="K1928" s="270"/>
      <c r="L1928" s="270"/>
      <c r="M1928" s="39"/>
      <c r="N1928" s="39"/>
      <c r="O1928" s="47"/>
      <c r="P1928" s="57"/>
      <c r="Q1928" s="276"/>
      <c r="R1928" s="277"/>
      <c r="S1928" s="277"/>
      <c r="T1928" s="40"/>
      <c r="U1928" s="278"/>
      <c r="V1928" s="269"/>
      <c r="W1928" s="269"/>
      <c r="X1928" s="275"/>
      <c r="Y1928" s="269"/>
      <c r="Z1928" s="357"/>
      <c r="AA1928" s="207"/>
      <c r="AB1928" s="369"/>
      <c r="AC1928" s="370"/>
      <c r="AD1928" s="332"/>
      <c r="AE1928" s="216"/>
      <c r="AF1928" s="43"/>
      <c r="AG1928" s="47"/>
      <c r="AH1928" s="30"/>
      <c r="AI1928" s="30"/>
      <c r="AJ1928" s="30"/>
      <c r="AK1928" s="30"/>
      <c r="AL1928" s="13"/>
      <c r="AM1928" s="13"/>
      <c r="AN1928" s="13"/>
      <c r="AO1928" s="13"/>
      <c r="AP1928" s="13"/>
      <c r="AQ1928" s="14"/>
      <c r="AR1928" s="15"/>
    </row>
    <row r="1929" spans="1:44" s="17" customFormat="1" ht="30.95" hidden="1" customHeight="1" x14ac:dyDescent="0.2">
      <c r="A1929" s="343"/>
      <c r="B1929" s="344"/>
      <c r="C1929" s="345"/>
      <c r="D1929" s="398"/>
      <c r="E1929" s="31"/>
      <c r="F1929" s="268"/>
      <c r="G1929" s="269"/>
      <c r="H1929" s="269"/>
      <c r="I1929" s="270"/>
      <c r="J1929" s="32"/>
      <c r="K1929" s="270"/>
      <c r="L1929" s="270"/>
      <c r="M1929" s="39"/>
      <c r="N1929" s="39"/>
      <c r="O1929" s="47"/>
      <c r="P1929" s="57"/>
      <c r="Q1929" s="276"/>
      <c r="R1929" s="277"/>
      <c r="S1929" s="277"/>
      <c r="T1929" s="40"/>
      <c r="U1929" s="278"/>
      <c r="V1929" s="269"/>
      <c r="W1929" s="269"/>
      <c r="X1929" s="275"/>
      <c r="Y1929" s="269"/>
      <c r="Z1929" s="357"/>
      <c r="AA1929" s="207"/>
      <c r="AB1929" s="369"/>
      <c r="AC1929" s="370"/>
      <c r="AD1929" s="332"/>
      <c r="AE1929" s="216"/>
      <c r="AF1929" s="43"/>
      <c r="AG1929" s="47"/>
      <c r="AH1929" s="30"/>
      <c r="AI1929" s="30"/>
      <c r="AJ1929" s="30"/>
      <c r="AK1929" s="30"/>
      <c r="AL1929" s="13"/>
      <c r="AM1929" s="13"/>
      <c r="AN1929" s="13"/>
      <c r="AO1929" s="13"/>
      <c r="AP1929" s="13"/>
      <c r="AQ1929" s="14"/>
      <c r="AR1929" s="15"/>
    </row>
    <row r="1930" spans="1:44" s="17" customFormat="1" ht="30.95" hidden="1" customHeight="1" x14ac:dyDescent="0.2">
      <c r="A1930" s="343" t="s">
        <v>563</v>
      </c>
      <c r="B1930" s="344" t="s">
        <v>446</v>
      </c>
      <c r="C1930" s="345"/>
      <c r="D1930" s="398"/>
      <c r="E1930" s="31"/>
      <c r="F1930" s="268"/>
      <c r="G1930" s="269"/>
      <c r="H1930" s="269"/>
      <c r="I1930" s="270"/>
      <c r="J1930" s="32" t="s">
        <v>448</v>
      </c>
      <c r="K1930" s="270"/>
      <c r="L1930" s="270"/>
      <c r="M1930" s="39"/>
      <c r="N1930" s="39"/>
      <c r="O1930" s="47"/>
      <c r="P1930" s="57"/>
      <c r="Q1930" s="276"/>
      <c r="R1930" s="277"/>
      <c r="S1930" s="277"/>
      <c r="T1930" s="40"/>
      <c r="U1930" s="278"/>
      <c r="V1930" s="269"/>
      <c r="W1930" s="269"/>
      <c r="X1930" s="275"/>
      <c r="Y1930" s="269"/>
      <c r="Z1930" s="357"/>
      <c r="AA1930" s="207"/>
      <c r="AB1930" s="369"/>
      <c r="AC1930" s="370"/>
      <c r="AD1930" s="332"/>
      <c r="AE1930" s="216"/>
      <c r="AF1930" s="43"/>
      <c r="AG1930" s="47"/>
      <c r="AH1930" s="30"/>
      <c r="AI1930" s="30"/>
      <c r="AJ1930" s="30"/>
      <c r="AK1930" s="30"/>
      <c r="AL1930" s="13"/>
      <c r="AM1930" s="13"/>
      <c r="AN1930" s="13"/>
      <c r="AO1930" s="13"/>
      <c r="AP1930" s="13"/>
      <c r="AQ1930" s="14"/>
      <c r="AR1930" s="15"/>
    </row>
    <row r="1931" spans="1:44" s="17" customFormat="1" ht="30.95" hidden="1" customHeight="1" x14ac:dyDescent="0.2">
      <c r="A1931" s="343"/>
      <c r="B1931" s="344"/>
      <c r="C1931" s="345"/>
      <c r="D1931" s="398"/>
      <c r="E1931" s="31"/>
      <c r="F1931" s="268"/>
      <c r="G1931" s="269"/>
      <c r="H1931" s="269"/>
      <c r="I1931" s="270"/>
      <c r="J1931" s="32"/>
      <c r="K1931" s="270"/>
      <c r="L1931" s="270"/>
      <c r="M1931" s="39"/>
      <c r="N1931" s="39"/>
      <c r="O1931" s="47"/>
      <c r="P1931" s="57"/>
      <c r="Q1931" s="276"/>
      <c r="R1931" s="277"/>
      <c r="S1931" s="277"/>
      <c r="T1931" s="40"/>
      <c r="U1931" s="278"/>
      <c r="V1931" s="269"/>
      <c r="W1931" s="269"/>
      <c r="X1931" s="275"/>
      <c r="Y1931" s="269"/>
      <c r="Z1931" s="357"/>
      <c r="AA1931" s="207"/>
      <c r="AB1931" s="369"/>
      <c r="AC1931" s="370"/>
      <c r="AD1931" s="332"/>
      <c r="AE1931" s="216"/>
      <c r="AF1931" s="43"/>
      <c r="AG1931" s="47"/>
      <c r="AH1931" s="30"/>
      <c r="AI1931" s="30"/>
      <c r="AJ1931" s="30"/>
      <c r="AK1931" s="30"/>
      <c r="AL1931" s="13"/>
      <c r="AM1931" s="13"/>
      <c r="AN1931" s="13"/>
      <c r="AO1931" s="13"/>
      <c r="AP1931" s="13"/>
      <c r="AQ1931" s="14"/>
      <c r="AR1931" s="15"/>
    </row>
    <row r="1932" spans="1:44" s="17" customFormat="1" ht="30.95" hidden="1" customHeight="1" x14ac:dyDescent="0.2">
      <c r="A1932" s="343" t="s">
        <v>564</v>
      </c>
      <c r="B1932" s="344" t="s">
        <v>462</v>
      </c>
      <c r="C1932" s="345"/>
      <c r="D1932" s="398"/>
      <c r="E1932" s="31"/>
      <c r="F1932" s="268"/>
      <c r="G1932" s="269"/>
      <c r="H1932" s="269"/>
      <c r="I1932" s="270"/>
      <c r="J1932" s="32" t="s">
        <v>448</v>
      </c>
      <c r="K1932" s="270"/>
      <c r="L1932" s="270"/>
      <c r="M1932" s="39"/>
      <c r="N1932" s="39"/>
      <c r="O1932" s="47"/>
      <c r="P1932" s="57"/>
      <c r="Q1932" s="276"/>
      <c r="R1932" s="277"/>
      <c r="S1932" s="277"/>
      <c r="T1932" s="40"/>
      <c r="U1932" s="278"/>
      <c r="V1932" s="269"/>
      <c r="W1932" s="269"/>
      <c r="X1932" s="275"/>
      <c r="Y1932" s="269"/>
      <c r="Z1932" s="357"/>
      <c r="AA1932" s="207"/>
      <c r="AB1932" s="369"/>
      <c r="AC1932" s="370"/>
      <c r="AD1932" s="332"/>
      <c r="AE1932" s="216"/>
      <c r="AF1932" s="43"/>
      <c r="AG1932" s="47"/>
      <c r="AH1932" s="30"/>
      <c r="AI1932" s="30"/>
      <c r="AJ1932" s="30"/>
      <c r="AK1932" s="30"/>
      <c r="AL1932" s="13"/>
      <c r="AM1932" s="13"/>
      <c r="AN1932" s="13"/>
      <c r="AO1932" s="13"/>
      <c r="AP1932" s="13"/>
      <c r="AQ1932" s="14"/>
      <c r="AR1932" s="15"/>
    </row>
    <row r="1933" spans="1:44" s="17" customFormat="1" ht="30.95" hidden="1" customHeight="1" x14ac:dyDescent="0.2">
      <c r="A1933" s="343"/>
      <c r="B1933" s="344"/>
      <c r="C1933" s="345"/>
      <c r="D1933" s="398"/>
      <c r="E1933" s="31"/>
      <c r="F1933" s="268"/>
      <c r="G1933" s="269"/>
      <c r="H1933" s="269"/>
      <c r="I1933" s="270"/>
      <c r="J1933" s="32"/>
      <c r="K1933" s="270"/>
      <c r="L1933" s="270"/>
      <c r="M1933" s="39"/>
      <c r="N1933" s="39"/>
      <c r="O1933" s="47"/>
      <c r="P1933" s="57"/>
      <c r="Q1933" s="276"/>
      <c r="R1933" s="277"/>
      <c r="S1933" s="277"/>
      <c r="T1933" s="40"/>
      <c r="U1933" s="278"/>
      <c r="V1933" s="269"/>
      <c r="W1933" s="269"/>
      <c r="X1933" s="275"/>
      <c r="Y1933" s="269"/>
      <c r="Z1933" s="357"/>
      <c r="AA1933" s="207"/>
      <c r="AB1933" s="369"/>
      <c r="AC1933" s="370"/>
      <c r="AD1933" s="332"/>
      <c r="AE1933" s="216"/>
      <c r="AF1933" s="43"/>
      <c r="AG1933" s="47"/>
      <c r="AH1933" s="30"/>
      <c r="AI1933" s="30"/>
      <c r="AJ1933" s="30"/>
      <c r="AK1933" s="30"/>
      <c r="AL1933" s="13"/>
      <c r="AM1933" s="13"/>
      <c r="AN1933" s="13"/>
      <c r="AO1933" s="13"/>
      <c r="AP1933" s="13"/>
      <c r="AQ1933" s="14"/>
      <c r="AR1933" s="15"/>
    </row>
    <row r="1934" spans="1:44" s="17" customFormat="1" ht="30.6" hidden="1" customHeight="1" x14ac:dyDescent="0.2">
      <c r="A1934" s="320" t="s">
        <v>565</v>
      </c>
      <c r="B1934" s="321" t="s">
        <v>688</v>
      </c>
      <c r="C1934" s="345"/>
      <c r="D1934" s="398">
        <v>3770577</v>
      </c>
      <c r="E1934" s="31">
        <v>4151813</v>
      </c>
      <c r="F1934" s="268" t="str">
        <f>IF(D1934="","",VLOOKUP(D1934,契約台帳!$A$3:$K$4986,6,FALSE)&amp;VLOOKUP(D1934,契約台帳!$A$3:$K$4986,7,FALSE)&amp;VLOOKUP(D1934,契約台帳!$A$3:$K$4986,8,FALSE)&amp;VLOOKUP(D1934,契約台帳!$A$3:$K$4986,9,FALSE)&amp;VLOOKUP(D1934,契約台帳!$A$3:$K$4986,11,FALSE))</f>
        <v>3SYMLBMSNMBF</v>
      </c>
      <c r="G1934" s="269" t="str">
        <f>IF(D1934="","",VLOOKUP(F1934,製品マスタ!$G$5:$H$5002,2,FALSE))</f>
        <v>S</v>
      </c>
      <c r="H1934" s="269" t="str">
        <f>IF(D1934="","",VLOOKUP(F1934,製品マスタ!$G$5:$K$5002,5,FALSE))</f>
        <v>MSNMBF</v>
      </c>
      <c r="I1934" s="270" t="str">
        <f>IF(D1934="","",VLOOKUP(F1934,製品マスタ!$G$5:$L$5002,6,FALSE))</f>
        <v>ＭＥＴＡＬＵＭＹ　ＳＩＬＶＥＲ　Ｎ－ＭＡＴＴＥ　Ｘ４４Ｍ　Ｂ</v>
      </c>
      <c r="J1934" s="32" t="s">
        <v>447</v>
      </c>
      <c r="K1934" s="270">
        <f>IF(D1934="","",VLOOKUP(D1934,契約台帳!$A$3:$L$4986,12,FALSE))</f>
        <v>50</v>
      </c>
      <c r="L1934" s="270" t="str">
        <f>IF(D1934="","",INDEX(製品マスタ!$Q$5:$Q$5002,MATCH(F1934&amp;K1934,製品マスタ!$AO$5:$AO$5002,0)))</f>
        <v>X44</v>
      </c>
      <c r="M1934" s="39">
        <v>1120</v>
      </c>
      <c r="N1934" s="39">
        <v>12000</v>
      </c>
      <c r="O1934" s="47">
        <v>2</v>
      </c>
      <c r="P1934" s="57"/>
      <c r="Q1934" s="276">
        <f>IF(D1934="","",IF(J1934="リード付け",M1934,VLOOKUP(D1934,契約台帳!$A$3:$N$4986,14,FALSE)))</f>
        <v>1120</v>
      </c>
      <c r="R1934" s="277">
        <f>IF(D1934="","",IF(J1934="リード付け",M1934,VLOOKUP(D1934,契約台帳!$A$3:$O$4986,15,FALSE)))</f>
        <v>1120</v>
      </c>
      <c r="S1934" s="277">
        <f>IF(D1934="","",IF(J1934="リード付け",N1934,VLOOKUP(D1934,契約台帳!$A$3:$P$4986,16,FALSE)))</f>
        <v>4000</v>
      </c>
      <c r="T1934" s="40">
        <v>6</v>
      </c>
      <c r="U1934" s="278">
        <f ca="1">IF(D1934="","",IF(OFFSET(D1934,-2,0)=D1934,"",VLOOKUP(D1934,契約台帳!$A$3:$R$4986,18,FALSE)))</f>
        <v>10</v>
      </c>
      <c r="V1934" s="269" t="str">
        <f>IF(J1934="巻返し",VLOOKUP(F1934&amp;K1934&amp;M1934,製品マスタ!$M$5:$AD$5002,18,FALSE),IF(J1934="リード付け","原反コア",IF(J1934="スリット",VLOOKUP(F1934&amp;K1934&amp;Q1934,製品マスタ!$N$5:$AD$5002,17,FALSE),"")))</f>
        <v>6ｲﾝﾁMｺｱ</v>
      </c>
      <c r="W1934" s="269">
        <f>IF(J1934="巻返し",VLOOKUP(F1934&amp;K1934&amp;M1934,製品マスタ!$M$5:$AE$5002,19,FALSE),IF(J1934="リード付け","-",IF(J1934="スリット",VLOOKUP(F1934&amp;K1934&amp;Q1934,製品マスタ!$N$5:$AE$5002,18,FALSE),"")))</f>
        <v>1125</v>
      </c>
      <c r="X1934" s="275">
        <f>IF(D1934="","",VLOOKUP(D1934,契約台帳!$A$3:$Q$4986,17,FALSE))</f>
        <v>2</v>
      </c>
      <c r="Y1934" s="269" t="str">
        <f>IF(D1934="","",VLOOKUP(D1934,契約台帳!$A$3:$E$4986,5,FALSE))</f>
        <v>リンテック㈱</v>
      </c>
      <c r="Z1934" s="357"/>
      <c r="AA1934" s="207"/>
      <c r="AB1934" s="369"/>
      <c r="AC1934" s="370"/>
      <c r="AD1934" s="332" t="str">
        <f>IF(F1934="","",+F1934&amp;K1934)</f>
        <v>3SYMLBMSNMBF50</v>
      </c>
      <c r="AE1934" s="216">
        <f>+M1934*N1934*O1934/1000</f>
        <v>26880</v>
      </c>
      <c r="AF1934" s="43">
        <f>IF(AD1934="","",VLOOKUP(AD1934,原価マスタ!$A$2:$AJ$1693,13,FALSE))</f>
        <v>98.8</v>
      </c>
      <c r="AG1934" s="47">
        <f>IF(AF1934="","",+AE1934*AF1934/100)</f>
        <v>26557.439999999999</v>
      </c>
      <c r="AH1934" s="30"/>
      <c r="AI1934" s="30"/>
      <c r="AJ1934" s="30"/>
      <c r="AK1934" s="30"/>
      <c r="AL1934" s="13"/>
      <c r="AM1934" s="13"/>
      <c r="AN1934" s="13"/>
      <c r="AO1934" s="13"/>
      <c r="AP1934" s="13"/>
      <c r="AQ1934" s="14"/>
      <c r="AR1934" s="15"/>
    </row>
    <row r="1935" spans="1:44" s="17" customFormat="1" ht="30.95" hidden="1" customHeight="1" x14ac:dyDescent="0.2">
      <c r="A1935" s="343"/>
      <c r="B1935" s="344"/>
      <c r="C1935" s="345"/>
      <c r="D1935" s="398"/>
      <c r="E1935" s="31"/>
      <c r="F1935" s="268"/>
      <c r="G1935" s="269"/>
      <c r="H1935" s="269"/>
      <c r="I1935" s="270"/>
      <c r="J1935" s="32"/>
      <c r="K1935" s="270"/>
      <c r="L1935" s="270"/>
      <c r="M1935" s="39"/>
      <c r="N1935" s="39"/>
      <c r="O1935" s="47"/>
      <c r="P1935" s="57"/>
      <c r="Q1935" s="276"/>
      <c r="R1935" s="277"/>
      <c r="S1935" s="277"/>
      <c r="T1935" s="40"/>
      <c r="U1935" s="278"/>
      <c r="V1935" s="269"/>
      <c r="W1935" s="269"/>
      <c r="X1935" s="275"/>
      <c r="Y1935" s="269"/>
      <c r="Z1935" s="357"/>
      <c r="AA1935" s="207"/>
      <c r="AB1935" s="369"/>
      <c r="AC1935" s="370"/>
      <c r="AD1935" s="332"/>
      <c r="AE1935" s="216"/>
      <c r="AF1935" s="43"/>
      <c r="AG1935" s="47"/>
      <c r="AH1935" s="30"/>
      <c r="AI1935" s="30"/>
      <c r="AJ1935" s="30"/>
      <c r="AK1935" s="30"/>
      <c r="AL1935" s="13"/>
      <c r="AM1935" s="13"/>
      <c r="AN1935" s="13"/>
      <c r="AO1935" s="13"/>
      <c r="AP1935" s="13"/>
      <c r="AQ1935" s="14"/>
      <c r="AR1935" s="15"/>
    </row>
    <row r="1936" spans="1:44" s="17" customFormat="1" ht="30.6" hidden="1" customHeight="1" x14ac:dyDescent="0.2">
      <c r="A1936" s="320"/>
      <c r="B1936" s="321"/>
      <c r="C1936" s="345"/>
      <c r="D1936" s="398">
        <v>3770593</v>
      </c>
      <c r="E1936" s="31">
        <v>4151816</v>
      </c>
      <c r="F1936" s="268" t="str">
        <f>IF(D1936="","",VLOOKUP(D1936,契約台帳!$A$3:$K$4986,6,FALSE)&amp;VLOOKUP(D1936,契約台帳!$A$3:$K$4986,7,FALSE)&amp;VLOOKUP(D1936,契約台帳!$A$3:$K$4986,8,FALSE)&amp;VLOOKUP(D1936,契約台帳!$A$3:$K$4986,9,FALSE)&amp;VLOOKUP(D1936,契約台帳!$A$3:$K$4986,11,FALSE))</f>
        <v>3SNMLBMNQR66F</v>
      </c>
      <c r="G1936" s="269" t="str">
        <f>IF(D1936="","",VLOOKUP(F1936,製品マスタ!$G$5:$H$5002,2,FALSE))</f>
        <v>S</v>
      </c>
      <c r="H1936" s="269" t="str">
        <f>IF(D1936="","",VLOOKUP(F1936,製品マスタ!$G$5:$K$5002,5,FALSE))</f>
        <v>MNQR66F</v>
      </c>
      <c r="I1936" s="270" t="str">
        <f>IF(D1936="","",VLOOKUP(F1936,製品マスタ!$G$5:$L$5002,6,FALSE))</f>
        <v>ＱＲ６６蒸着品</v>
      </c>
      <c r="J1936" s="32" t="s">
        <v>447</v>
      </c>
      <c r="K1936" s="270">
        <f>IF(D1936="","",VLOOKUP(D1936,契約台帳!$A$3:$L$4986,12,FALSE))</f>
        <v>25</v>
      </c>
      <c r="L1936" s="270" t="str">
        <f>IF(D1936="","",INDEX(製品マスタ!$Q$5:$Q$5002,MATCH(F1936&amp;K1936,製品マスタ!$AO$5:$AO$5002,0)))</f>
        <v>E315</v>
      </c>
      <c r="M1936" s="39">
        <v>1100</v>
      </c>
      <c r="N1936" s="39">
        <v>18000</v>
      </c>
      <c r="O1936" s="47">
        <v>4</v>
      </c>
      <c r="P1936" s="57"/>
      <c r="Q1936" s="276">
        <f>IF(D1936="","",IF(J1936="リード付け",M1936,VLOOKUP(D1936,契約台帳!$A$3:$N$4986,14,FALSE)))</f>
        <v>1100</v>
      </c>
      <c r="R1936" s="277">
        <f>IF(D1936="","",IF(J1936="リード付け",M1936,VLOOKUP(D1936,契約台帳!$A$3:$O$4986,15,FALSE)))</f>
        <v>1100</v>
      </c>
      <c r="S1936" s="277">
        <f>IF(D1936="","",IF(J1936="リード付け",N1936,VLOOKUP(D1936,契約台帳!$A$3:$P$4986,16,FALSE)))</f>
        <v>6000</v>
      </c>
      <c r="T1936" s="40">
        <v>12</v>
      </c>
      <c r="U1936" s="278">
        <f ca="1">IF(D1936="","",IF(OFFSET(D1936,-2,0)=D1936,"",VLOOKUP(D1936,契約台帳!$A$3:$R$4986,18,FALSE)))</f>
        <v>12</v>
      </c>
      <c r="V1936" s="269" t="str">
        <f>IF(J1936="巻返し",VLOOKUP(F1936&amp;K1936&amp;M1936,製品マスタ!$M$5:$AD$5002,18,FALSE),IF(J1936="リード付け","原反コア",IF(J1936="スリット",VLOOKUP(F1936&amp;K1936&amp;Q1936,製品マスタ!$N$5:$AD$5002,17,FALSE),"")))</f>
        <v>6ｲﾝﾁMｺｱ</v>
      </c>
      <c r="W1936" s="269">
        <f>IF(J1936="巻返し",VLOOKUP(F1936&amp;K1936&amp;M1936,製品マスタ!$M$5:$AE$5002,19,FALSE),IF(J1936="リード付け","-",IF(J1936="スリット",VLOOKUP(F1936&amp;K1936&amp;Q1936,製品マスタ!$N$5:$AE$5002,18,FALSE),"")))</f>
        <v>1110</v>
      </c>
      <c r="X1936" s="275">
        <f>IF(D1936="","",VLOOKUP(D1936,契約台帳!$A$3:$Q$4986,17,FALSE))</f>
        <v>2</v>
      </c>
      <c r="Y1936" s="269" t="str">
        <f>IF(D1936="","",VLOOKUP(D1936,契約台帳!$A$3:$E$4986,5,FALSE))</f>
        <v>リンテック㈱</v>
      </c>
      <c r="Z1936" s="357"/>
      <c r="AA1936" s="207"/>
      <c r="AB1936" s="369"/>
      <c r="AC1936" s="370"/>
      <c r="AD1936" s="332" t="str">
        <f>IF(F1936="","",+F1936&amp;K1936)</f>
        <v>3SNMLBMNQR66F25</v>
      </c>
      <c r="AE1936" s="216">
        <f>+M1936*N1936*O1936/1000</f>
        <v>79200</v>
      </c>
      <c r="AF1936" s="43">
        <f>IF(AD1936="","",VLOOKUP(AD1936,原価マスタ!$A$2:$AJ$1693,13,FALSE))</f>
        <v>98</v>
      </c>
      <c r="AG1936" s="47">
        <f>IF(AF1936="","",+AE1936*AF1936/100)</f>
        <v>77616</v>
      </c>
      <c r="AH1936" s="30"/>
      <c r="AI1936" s="30"/>
      <c r="AJ1936" s="30"/>
      <c r="AK1936" s="30"/>
      <c r="AL1936" s="13"/>
      <c r="AM1936" s="13"/>
      <c r="AN1936" s="13"/>
      <c r="AO1936" s="13"/>
      <c r="AP1936" s="13"/>
      <c r="AQ1936" s="14"/>
      <c r="AR1936" s="15"/>
    </row>
    <row r="1937" spans="1:44" s="17" customFormat="1" ht="30.95" hidden="1" customHeight="1" x14ac:dyDescent="0.2">
      <c r="A1937" s="343"/>
      <c r="B1937" s="344"/>
      <c r="C1937" s="345"/>
      <c r="D1937" s="398"/>
      <c r="E1937" s="31"/>
      <c r="F1937" s="268"/>
      <c r="G1937" s="269"/>
      <c r="H1937" s="269"/>
      <c r="I1937" s="270"/>
      <c r="J1937" s="32"/>
      <c r="K1937" s="270"/>
      <c r="L1937" s="270"/>
      <c r="M1937" s="39"/>
      <c r="N1937" s="39"/>
      <c r="O1937" s="47"/>
      <c r="P1937" s="57"/>
      <c r="Q1937" s="276"/>
      <c r="R1937" s="277"/>
      <c r="S1937" s="277"/>
      <c r="T1937" s="40"/>
      <c r="U1937" s="278"/>
      <c r="V1937" s="269"/>
      <c r="W1937" s="269"/>
      <c r="X1937" s="275"/>
      <c r="Y1937" s="269"/>
      <c r="Z1937" s="357"/>
      <c r="AA1937" s="207"/>
      <c r="AB1937" s="369"/>
      <c r="AC1937" s="370"/>
      <c r="AD1937" s="332"/>
      <c r="AE1937" s="216"/>
      <c r="AF1937" s="43"/>
      <c r="AG1937" s="47"/>
      <c r="AH1937" s="30"/>
      <c r="AI1937" s="30"/>
      <c r="AJ1937" s="30"/>
      <c r="AK1937" s="30"/>
      <c r="AL1937" s="13"/>
      <c r="AM1937" s="13"/>
      <c r="AN1937" s="13"/>
      <c r="AO1937" s="13"/>
      <c r="AP1937" s="13"/>
      <c r="AQ1937" s="14"/>
      <c r="AR1937" s="15"/>
    </row>
    <row r="1938" spans="1:44" s="17" customFormat="1" ht="30.6" hidden="1" customHeight="1" x14ac:dyDescent="0.2">
      <c r="A1938" s="320" t="s">
        <v>566</v>
      </c>
      <c r="B1938" s="321" t="s">
        <v>442</v>
      </c>
      <c r="C1938" s="345"/>
      <c r="D1938" s="398">
        <v>3770581</v>
      </c>
      <c r="E1938" s="31">
        <v>4151804</v>
      </c>
      <c r="F1938" s="268" t="str">
        <f>IF(D1938="","",VLOOKUP(D1938,契約台帳!$A$3:$K$4986,6,FALSE)&amp;VLOOKUP(D1938,契約台帳!$A$3:$K$4986,7,FALSE)&amp;VLOOKUP(D1938,契約台帳!$A$3:$K$4986,8,FALSE)&amp;VLOOKUP(D1938,契約台帳!$A$3:$K$4986,9,FALSE)&amp;VLOOKUP(D1938,契約台帳!$A$3:$K$4986,11,FALSE))</f>
        <v>3SNMLBMNGKBF</v>
      </c>
      <c r="G1938" s="269" t="str">
        <f>IF(D1938="","",VLOOKUP(F1938,製品マスタ!$G$5:$H$5002,2,FALSE))</f>
        <v>S</v>
      </c>
      <c r="H1938" s="269" t="str">
        <f>IF(D1938="","",VLOOKUP(F1938,製品マスタ!$G$5:$K$5002,5,FALSE))</f>
        <v>MNGKBF</v>
      </c>
      <c r="I1938" s="270" t="str">
        <f>IF(D1938="","",VLOOKUP(F1938,製品マスタ!$G$5:$L$5002,6,FALSE))</f>
        <v>メタルミー　ネーマー銀消　Ｂ</v>
      </c>
      <c r="J1938" s="32" t="s">
        <v>447</v>
      </c>
      <c r="K1938" s="270">
        <f>IF(D1938="","",VLOOKUP(D1938,契約台帳!$A$3:$L$4986,12,FALSE))</f>
        <v>75</v>
      </c>
      <c r="L1938" s="270" t="str">
        <f>IF(D1938="","",INDEX(製品マスタ!$Q$5:$Q$5002,MATCH(F1938&amp;K1938,製品マスタ!$AO$5:$AO$5002,0)))</f>
        <v>MAT</v>
      </c>
      <c r="M1938" s="39">
        <v>1050</v>
      </c>
      <c r="N1938" s="39">
        <v>4000</v>
      </c>
      <c r="O1938" s="47">
        <v>1</v>
      </c>
      <c r="P1938" s="57"/>
      <c r="Q1938" s="276">
        <f>IF(D1938="","",IF(J1938="リード付け",M1938,VLOOKUP(D1938,契約台帳!$A$3:$N$4986,14,FALSE)))</f>
        <v>1050</v>
      </c>
      <c r="R1938" s="277">
        <f>IF(D1938="","",IF(J1938="リード付け",M1938,VLOOKUP(D1938,契約台帳!$A$3:$O$4986,15,FALSE)))</f>
        <v>1050</v>
      </c>
      <c r="S1938" s="277">
        <f>IF(D1938="","",IF(J1938="リード付け",N1938,VLOOKUP(D1938,契約台帳!$A$3:$P$4986,16,FALSE)))</f>
        <v>2000</v>
      </c>
      <c r="T1938" s="40">
        <v>2</v>
      </c>
      <c r="U1938" s="278">
        <f ca="1">IF(D1938="","",IF(OFFSET(D1938,-2,0)=D1938,"",VLOOKUP(D1938,契約台帳!$A$3:$R$4986,18,FALSE)))</f>
        <v>2</v>
      </c>
      <c r="V1938" s="269" t="str">
        <f>IF(J1938="巻返し",VLOOKUP(F1938&amp;K1938&amp;M1938,製品マスタ!$M$5:$AD$5002,18,FALSE),IF(J1938="リード付け","原反コア",IF(J1938="スリット",VLOOKUP(F1938&amp;K1938&amp;Q1938,製品マスタ!$N$5:$AD$5002,17,FALSE),"")))</f>
        <v>6ｲﾝﾁSｺｱ</v>
      </c>
      <c r="W1938" s="269">
        <f>IF(J1938="巻返し",VLOOKUP(F1938&amp;K1938&amp;M1938,製品マスタ!$M$5:$AE$5002,19,FALSE),IF(J1938="リード付け","-",IF(J1938="スリット",VLOOKUP(F1938&amp;K1938&amp;Q1938,製品マスタ!$N$5:$AE$5002,18,FALSE),"")))</f>
        <v>1055</v>
      </c>
      <c r="X1938" s="275">
        <f>IF(D1938="","",VLOOKUP(D1938,契約台帳!$A$3:$Q$4986,17,FALSE))</f>
        <v>2</v>
      </c>
      <c r="Y1938" s="269" t="str">
        <f>IF(D1938="","",VLOOKUP(D1938,契約台帳!$A$3:$E$4986,5,FALSE))</f>
        <v>リンテック㈱</v>
      </c>
      <c r="Z1938" s="357"/>
      <c r="AA1938" s="207"/>
      <c r="AB1938" s="369"/>
      <c r="AC1938" s="370"/>
      <c r="AD1938" s="332" t="str">
        <f>IF(F1938="","",+F1938&amp;K1938)</f>
        <v>3SNMLBMNGKBF75</v>
      </c>
      <c r="AE1938" s="216">
        <f>+M1938*N1938*O1938/1000</f>
        <v>4200</v>
      </c>
      <c r="AF1938" s="43">
        <f>IF(AD1938="","",VLOOKUP(AD1938,原価マスタ!$A$2:$AJ$1693,13,FALSE))</f>
        <v>97</v>
      </c>
      <c r="AG1938" s="47">
        <f>IF(AF1938="","",+AE1938*AF1938/100)</f>
        <v>4074</v>
      </c>
      <c r="AH1938" s="30"/>
      <c r="AI1938" s="30"/>
      <c r="AJ1938" s="30"/>
      <c r="AK1938" s="30"/>
      <c r="AL1938" s="13"/>
      <c r="AM1938" s="13"/>
      <c r="AN1938" s="13"/>
      <c r="AO1938" s="13"/>
      <c r="AP1938" s="13"/>
      <c r="AQ1938" s="14"/>
      <c r="AR1938" s="15"/>
    </row>
    <row r="1939" spans="1:44" s="17" customFormat="1" ht="30.95" hidden="1" customHeight="1" x14ac:dyDescent="0.2">
      <c r="A1939" s="343"/>
      <c r="B1939" s="344"/>
      <c r="C1939" s="345"/>
      <c r="D1939" s="398"/>
      <c r="E1939" s="31"/>
      <c r="F1939" s="268"/>
      <c r="G1939" s="269"/>
      <c r="H1939" s="269"/>
      <c r="I1939" s="270"/>
      <c r="J1939" s="32"/>
      <c r="K1939" s="270"/>
      <c r="L1939" s="270"/>
      <c r="M1939" s="39"/>
      <c r="N1939" s="39"/>
      <c r="O1939" s="47"/>
      <c r="P1939" s="57"/>
      <c r="Q1939" s="276"/>
      <c r="R1939" s="277"/>
      <c r="S1939" s="277"/>
      <c r="T1939" s="40"/>
      <c r="U1939" s="278"/>
      <c r="V1939" s="269"/>
      <c r="W1939" s="269"/>
      <c r="X1939" s="275"/>
      <c r="Y1939" s="269"/>
      <c r="Z1939" s="357"/>
      <c r="AA1939" s="207"/>
      <c r="AB1939" s="369"/>
      <c r="AC1939" s="370"/>
      <c r="AD1939" s="332"/>
      <c r="AE1939" s="216"/>
      <c r="AF1939" s="43"/>
      <c r="AG1939" s="47"/>
      <c r="AH1939" s="30"/>
      <c r="AI1939" s="30"/>
      <c r="AJ1939" s="30"/>
      <c r="AK1939" s="30"/>
      <c r="AL1939" s="13"/>
      <c r="AM1939" s="13"/>
      <c r="AN1939" s="13"/>
      <c r="AO1939" s="13"/>
      <c r="AP1939" s="13"/>
      <c r="AQ1939" s="14"/>
      <c r="AR1939" s="15"/>
    </row>
    <row r="1940" spans="1:44" s="17" customFormat="1" ht="30.6" hidden="1" customHeight="1" x14ac:dyDescent="0.2">
      <c r="A1940" s="320"/>
      <c r="B1940" s="321"/>
      <c r="C1940" s="345"/>
      <c r="D1940" s="398">
        <v>3770573</v>
      </c>
      <c r="E1940" s="31">
        <v>4151820</v>
      </c>
      <c r="F1940" s="268" t="str">
        <f>IF(D1940="","",VLOOKUP(D1940,契約台帳!$A$3:$K$4986,6,FALSE)&amp;VLOOKUP(D1940,契約台帳!$A$3:$K$4986,7,FALSE)&amp;VLOOKUP(D1940,契約台帳!$A$3:$K$4986,8,FALSE)&amp;VLOOKUP(D1940,契約台帳!$A$3:$K$4986,9,FALSE)&amp;VLOOKUP(D1940,契約台帳!$A$3:$K$4986,11,FALSE))</f>
        <v>3SNMLBMDMSJF</v>
      </c>
      <c r="G1940" s="269" t="str">
        <f>IF(D1940="","",VLOOKUP(F1940,製品マスタ!$G$5:$H$5002,2,FALSE))</f>
        <v>S</v>
      </c>
      <c r="H1940" s="269" t="str">
        <f>IF(D1940="","",VLOOKUP(F1940,製品マスタ!$G$5:$K$5002,5,FALSE))</f>
        <v>MDMSJF</v>
      </c>
      <c r="I1940" s="270" t="str">
        <f>IF(D1940="","",VLOOKUP(F1940,製品マスタ!$G$5:$L$5002,6,FALSE))</f>
        <v>ＤＭＳ蒸着（Ｘ－４４）</v>
      </c>
      <c r="J1940" s="32" t="s">
        <v>447</v>
      </c>
      <c r="K1940" s="270">
        <f>IF(D1940="","",VLOOKUP(D1940,契約台帳!$A$3:$L$4986,12,FALSE))</f>
        <v>50</v>
      </c>
      <c r="L1940" s="270" t="str">
        <f>IF(D1940="","",INDEX(製品マスタ!$Q$5:$Q$5002,MATCH(F1940&amp;K1940,製品マスタ!$AO$5:$AO$5002,0)))</f>
        <v>X44</v>
      </c>
      <c r="M1940" s="39">
        <v>1020</v>
      </c>
      <c r="N1940" s="39">
        <v>4000</v>
      </c>
      <c r="O1940" s="47">
        <v>1</v>
      </c>
      <c r="P1940" s="57"/>
      <c r="Q1940" s="276">
        <f>IF(D1940="","",IF(J1940="リード付け",M1940,VLOOKUP(D1940,契約台帳!$A$3:$N$4986,14,FALSE)))</f>
        <v>1020</v>
      </c>
      <c r="R1940" s="277">
        <f>IF(D1940="","",IF(J1940="リード付け",M1940,VLOOKUP(D1940,契約台帳!$A$3:$O$4986,15,FALSE)))</f>
        <v>1000</v>
      </c>
      <c r="S1940" s="277">
        <f>IF(D1940="","",IF(J1940="リード付け",N1940,VLOOKUP(D1940,契約台帳!$A$3:$P$4986,16,FALSE)))</f>
        <v>2000</v>
      </c>
      <c r="T1940" s="40">
        <v>2</v>
      </c>
      <c r="U1940" s="278">
        <f ca="1">IF(D1940="","",IF(OFFSET(D1940,-2,0)=D1940,"",VLOOKUP(D1940,契約台帳!$A$3:$R$4986,18,FALSE)))</f>
        <v>2</v>
      </c>
      <c r="V1940" s="269" t="str">
        <f>IF(J1940="巻返し",VLOOKUP(F1940&amp;K1940&amp;M1940,製品マスタ!$M$5:$AD$5002,18,FALSE),IF(J1940="リード付け","原反コア",IF(J1940="スリット",VLOOKUP(F1940&amp;K1940&amp;Q1940,製品マスタ!$N$5:$AD$5002,17,FALSE),"")))</f>
        <v>3ｲﾝﾁSｺｱ</v>
      </c>
      <c r="W1940" s="269">
        <f>IF(J1940="巻返し",VLOOKUP(F1940&amp;K1940&amp;M1940,製品マスタ!$M$5:$AE$5002,19,FALSE),IF(J1940="リード付け","-",IF(J1940="スリット",VLOOKUP(F1940&amp;K1940&amp;Q1940,製品マスタ!$N$5:$AE$5002,18,FALSE),"")))</f>
        <v>1005</v>
      </c>
      <c r="X1940" s="275">
        <f>IF(D1940="","",VLOOKUP(D1940,契約台帳!$A$3:$Q$4986,17,FALSE))</f>
        <v>2</v>
      </c>
      <c r="Y1940" s="269" t="str">
        <f>IF(D1940="","",VLOOKUP(D1940,契約台帳!$A$3:$E$4986,5,FALSE))</f>
        <v>五洋紙工㈱</v>
      </c>
      <c r="Z1940" s="357"/>
      <c r="AA1940" s="207"/>
      <c r="AB1940" s="369"/>
      <c r="AC1940" s="370"/>
      <c r="AD1940" s="332" t="str">
        <f>IF(F1940="","",+F1940&amp;K1940)</f>
        <v>3SNMLBMDMSJF50</v>
      </c>
      <c r="AE1940" s="216">
        <f>+M1940*N1940*O1940/1000</f>
        <v>4080</v>
      </c>
      <c r="AF1940" s="43">
        <v>97</v>
      </c>
      <c r="AG1940" s="47">
        <f>IF(AF1940="","",+AE1940*AF1940/100)</f>
        <v>3957.6</v>
      </c>
      <c r="AH1940" s="30"/>
      <c r="AI1940" s="30"/>
      <c r="AJ1940" s="30"/>
      <c r="AK1940" s="30"/>
      <c r="AL1940" s="13"/>
      <c r="AM1940" s="13"/>
      <c r="AN1940" s="13"/>
      <c r="AO1940" s="13"/>
      <c r="AP1940" s="13"/>
      <c r="AQ1940" s="14"/>
      <c r="AR1940" s="15"/>
    </row>
    <row r="1941" spans="1:44" s="17" customFormat="1" ht="30.95" hidden="1" customHeight="1" x14ac:dyDescent="0.2">
      <c r="A1941" s="343"/>
      <c r="B1941" s="344"/>
      <c r="C1941" s="345"/>
      <c r="D1941" s="398"/>
      <c r="E1941" s="31"/>
      <c r="F1941" s="268"/>
      <c r="G1941" s="269"/>
      <c r="H1941" s="269"/>
      <c r="I1941" s="270"/>
      <c r="J1941" s="32"/>
      <c r="K1941" s="270"/>
      <c r="L1941" s="270"/>
      <c r="M1941" s="39"/>
      <c r="N1941" s="39"/>
      <c r="O1941" s="47"/>
      <c r="P1941" s="57"/>
      <c r="Q1941" s="276"/>
      <c r="R1941" s="277"/>
      <c r="S1941" s="277"/>
      <c r="T1941" s="40"/>
      <c r="U1941" s="278"/>
      <c r="V1941" s="269"/>
      <c r="W1941" s="269"/>
      <c r="X1941" s="275"/>
      <c r="Y1941" s="269"/>
      <c r="Z1941" s="357"/>
      <c r="AA1941" s="207"/>
      <c r="AB1941" s="369"/>
      <c r="AC1941" s="370"/>
      <c r="AD1941" s="332"/>
      <c r="AE1941" s="216"/>
      <c r="AF1941" s="43"/>
      <c r="AG1941" s="47"/>
      <c r="AH1941" s="30"/>
      <c r="AI1941" s="30"/>
      <c r="AJ1941" s="30"/>
      <c r="AK1941" s="30"/>
      <c r="AL1941" s="13"/>
      <c r="AM1941" s="13"/>
      <c r="AN1941" s="13"/>
      <c r="AO1941" s="13"/>
      <c r="AP1941" s="13"/>
      <c r="AQ1941" s="14"/>
      <c r="AR1941" s="15"/>
    </row>
    <row r="1942" spans="1:44" s="17" customFormat="1" ht="30.6" hidden="1" customHeight="1" x14ac:dyDescent="0.2">
      <c r="A1942" s="320"/>
      <c r="B1942" s="321"/>
      <c r="C1942" s="345"/>
      <c r="D1942" s="398">
        <v>3776274</v>
      </c>
      <c r="E1942" s="31">
        <v>4155049</v>
      </c>
      <c r="F1942" s="268" t="str">
        <f>IF(D1942="","",VLOOKUP(D1942,契約台帳!$A$3:$K$4986,6,FALSE)&amp;VLOOKUP(D1942,契約台帳!$A$3:$K$4986,7,FALSE)&amp;VLOOKUP(D1942,契約台帳!$A$3:$K$4986,8,FALSE)&amp;VLOOKUP(D1942,契約台帳!$A$3:$K$4986,9,FALSE)&amp;VLOOKUP(D1942,契約台帳!$A$3:$K$4986,11,FALSE))</f>
        <v>3SNMLBMNGTBF</v>
      </c>
      <c r="G1942" s="269" t="str">
        <f>IF(D1942="","",VLOOKUP(F1942,製品マスタ!$G$5:$H$5002,2,FALSE))</f>
        <v>S</v>
      </c>
      <c r="H1942" s="269" t="str">
        <f>IF(D1942="","",VLOOKUP(F1942,製品マスタ!$G$5:$K$5002,5,FALSE))</f>
        <v>MNGTBF</v>
      </c>
      <c r="I1942" s="270" t="str">
        <f>IF(D1942="","",VLOOKUP(F1942,製品マスタ!$G$5:$L$5002,6,FALSE))</f>
        <v>メタルミー　ネーマー　銀艶　Ｂ</v>
      </c>
      <c r="J1942" s="32" t="s">
        <v>447</v>
      </c>
      <c r="K1942" s="270">
        <f>IF(D1942="","",VLOOKUP(D1942,契約台帳!$A$3:$L$4986,12,FALSE))</f>
        <v>25</v>
      </c>
      <c r="L1942" s="270" t="str">
        <f>IF(D1942="","",INDEX(製品マスタ!$Q$5:$Q$5002,MATCH(F1942&amp;K1942,製品マスタ!$AO$5:$AO$5002,0)))</f>
        <v>T62M</v>
      </c>
      <c r="M1942" s="39">
        <v>1005</v>
      </c>
      <c r="N1942" s="39">
        <v>12100</v>
      </c>
      <c r="O1942" s="47">
        <v>1</v>
      </c>
      <c r="P1942" s="57"/>
      <c r="Q1942" s="276">
        <f>IF(D1942="","",IF(J1942="リード付け",M1942,VLOOKUP(D1942,契約台帳!$A$3:$N$4986,14,FALSE)))</f>
        <v>1005</v>
      </c>
      <c r="R1942" s="277">
        <f>IF(D1942="","",IF(J1942="リード付け",M1942,VLOOKUP(D1942,契約台帳!$A$3:$O$4986,15,FALSE)))</f>
        <v>1000</v>
      </c>
      <c r="S1942" s="277">
        <f>IF(D1942="","",IF(J1942="リード付け",N1942,VLOOKUP(D1942,契約台帳!$A$3:$P$4986,16,FALSE)))</f>
        <v>4000</v>
      </c>
      <c r="T1942" s="40">
        <v>3</v>
      </c>
      <c r="U1942" s="278">
        <f ca="1">IF(D1942="","",IF(OFFSET(D1942,-2,0)=D1942,"",VLOOKUP(D1942,契約台帳!$A$3:$R$4986,18,FALSE)))</f>
        <v>3</v>
      </c>
      <c r="V1942" s="269" t="str">
        <f>IF(J1942="巻返し",VLOOKUP(F1942&amp;K1942&amp;M1942,製品マスタ!$M$5:$AD$5002,18,FALSE),IF(J1942="リード付け","原反コア",IF(J1942="スリット",VLOOKUP(F1942&amp;K1942&amp;Q1942,製品マスタ!$N$5:$AD$5002,17,FALSE),"")))</f>
        <v>6ｲﾝﾁSｺｱ</v>
      </c>
      <c r="W1942" s="269">
        <f>IF(J1942="巻返し",VLOOKUP(F1942&amp;K1942&amp;M1942,製品マスタ!$M$5:$AE$5002,19,FALSE),IF(J1942="リード付け","-",IF(J1942="スリット",VLOOKUP(F1942&amp;K1942&amp;Q1942,製品マスタ!$N$5:$AE$5002,18,FALSE),"")))</f>
        <v>1015</v>
      </c>
      <c r="X1942" s="275">
        <f>IF(D1942="","",VLOOKUP(D1942,契約台帳!$A$3:$Q$4986,17,FALSE))</f>
        <v>2</v>
      </c>
      <c r="Y1942" s="269" t="str">
        <f>IF(D1942="","",VLOOKUP(D1942,契約台帳!$A$3:$E$4986,5,FALSE))</f>
        <v>リンテック㈱</v>
      </c>
      <c r="Z1942" s="357"/>
      <c r="AA1942" s="207"/>
      <c r="AB1942" s="369"/>
      <c r="AC1942" s="370"/>
      <c r="AD1942" s="332" t="str">
        <f>IF(F1942="","",+F1942&amp;K1942)</f>
        <v>3SNMLBMNGTBF25</v>
      </c>
      <c r="AE1942" s="216">
        <f>+M1942*N1942*O1942/1000</f>
        <v>12160.5</v>
      </c>
      <c r="AF1942" s="43">
        <f>IF(AD1942="","",VLOOKUP(AD1942,原価マスタ!$A$2:$AJ$1693,13,FALSE))</f>
        <v>97.5</v>
      </c>
      <c r="AG1942" s="47">
        <f>IF(AF1942="","",+AE1942*AF1942/100)</f>
        <v>11856.487499999999</v>
      </c>
      <c r="AH1942" s="30"/>
      <c r="AI1942" s="30"/>
      <c r="AJ1942" s="30"/>
      <c r="AK1942" s="30"/>
      <c r="AL1942" s="13"/>
      <c r="AM1942" s="13"/>
      <c r="AN1942" s="13"/>
      <c r="AO1942" s="13"/>
      <c r="AP1942" s="13"/>
      <c r="AQ1942" s="14"/>
      <c r="AR1942" s="15"/>
    </row>
    <row r="1943" spans="1:44" s="17" customFormat="1" ht="30.95" hidden="1" customHeight="1" x14ac:dyDescent="0.2">
      <c r="A1943" s="343"/>
      <c r="B1943" s="344"/>
      <c r="C1943" s="345"/>
      <c r="D1943" s="398"/>
      <c r="E1943" s="31"/>
      <c r="F1943" s="268"/>
      <c r="G1943" s="269"/>
      <c r="H1943" s="269"/>
      <c r="I1943" s="270"/>
      <c r="J1943" s="32"/>
      <c r="K1943" s="270"/>
      <c r="L1943" s="270"/>
      <c r="M1943" s="39"/>
      <c r="N1943" s="39"/>
      <c r="O1943" s="47"/>
      <c r="P1943" s="57"/>
      <c r="Q1943" s="276"/>
      <c r="R1943" s="277"/>
      <c r="S1943" s="277"/>
      <c r="T1943" s="40"/>
      <c r="U1943" s="278"/>
      <c r="V1943" s="269"/>
      <c r="W1943" s="269"/>
      <c r="X1943" s="275"/>
      <c r="Y1943" s="269"/>
      <c r="Z1943" s="357"/>
      <c r="AA1943" s="207"/>
      <c r="AB1943" s="369"/>
      <c r="AC1943" s="370"/>
      <c r="AD1943" s="332"/>
      <c r="AE1943" s="216"/>
      <c r="AF1943" s="43"/>
      <c r="AG1943" s="47"/>
      <c r="AH1943" s="30"/>
      <c r="AI1943" s="30"/>
      <c r="AJ1943" s="30"/>
      <c r="AK1943" s="30"/>
      <c r="AL1943" s="13"/>
      <c r="AM1943" s="13"/>
      <c r="AN1943" s="13"/>
      <c r="AO1943" s="13"/>
      <c r="AP1943" s="13"/>
      <c r="AQ1943" s="14"/>
      <c r="AR1943" s="15"/>
    </row>
    <row r="1944" spans="1:44" s="17" customFormat="1" ht="30.6" hidden="1" customHeight="1" x14ac:dyDescent="0.2">
      <c r="A1944" s="320"/>
      <c r="B1944" s="321"/>
      <c r="C1944" s="345"/>
      <c r="D1944" s="398">
        <v>3774181</v>
      </c>
      <c r="E1944" s="31">
        <v>4155048</v>
      </c>
      <c r="F1944" s="268" t="str">
        <f>IF(D1944="","",VLOOKUP(D1944,契約台帳!$A$3:$K$4986,6,FALSE)&amp;VLOOKUP(D1944,契約台帳!$A$3:$K$4986,7,FALSE)&amp;VLOOKUP(D1944,契約台帳!$A$3:$K$4986,8,FALSE)&amp;VLOOKUP(D1944,契約台帳!$A$3:$K$4986,9,FALSE)&amp;VLOOKUP(D1944,契約台帳!$A$3:$K$4986,11,FALSE))</f>
        <v>3SNMLBMNGTBF</v>
      </c>
      <c r="G1944" s="269" t="str">
        <f>IF(D1944="","",VLOOKUP(F1944,製品マスタ!$G$5:$H$5002,2,FALSE))</f>
        <v>S</v>
      </c>
      <c r="H1944" s="269" t="str">
        <f>IF(D1944="","",VLOOKUP(F1944,製品マスタ!$G$5:$K$5002,5,FALSE))</f>
        <v>MNGTBF</v>
      </c>
      <c r="I1944" s="270" t="str">
        <f>IF(D1944="","",VLOOKUP(F1944,製品マスタ!$G$5:$L$5002,6,FALSE))</f>
        <v>メタルミー　ネーマー　銀艶　Ｂ</v>
      </c>
      <c r="J1944" s="32" t="s">
        <v>447</v>
      </c>
      <c r="K1944" s="270">
        <f>IF(D1944="","",VLOOKUP(D1944,契約台帳!$A$3:$L$4986,12,FALSE))</f>
        <v>25</v>
      </c>
      <c r="L1944" s="270" t="str">
        <f>IF(D1944="","",INDEX(製品マスタ!$Q$5:$Q$5002,MATCH(F1944&amp;K1944,製品マスタ!$AO$5:$AO$5002,0)))</f>
        <v>T62M</v>
      </c>
      <c r="M1944" s="39">
        <v>1125</v>
      </c>
      <c r="N1944" s="39">
        <v>12100</v>
      </c>
      <c r="O1944" s="47">
        <v>1</v>
      </c>
      <c r="P1944" s="57"/>
      <c r="Q1944" s="276">
        <f>IF(D1944="","",IF(J1944="リード付け",M1944,VLOOKUP(D1944,契約台帳!$A$3:$N$4986,14,FALSE)))</f>
        <v>1125</v>
      </c>
      <c r="R1944" s="277">
        <f>IF(D1944="","",IF(J1944="リード付け",M1944,VLOOKUP(D1944,契約台帳!$A$3:$O$4986,15,FALSE)))</f>
        <v>1120</v>
      </c>
      <c r="S1944" s="277">
        <f>IF(D1944="","",IF(J1944="リード付け",N1944,VLOOKUP(D1944,契約台帳!$A$3:$P$4986,16,FALSE)))</f>
        <v>4000</v>
      </c>
      <c r="T1944" s="40">
        <v>3</v>
      </c>
      <c r="U1944" s="278">
        <f ca="1">IF(D1944="","",IF(OFFSET(D1944,-2,0)=D1944,"",VLOOKUP(D1944,契約台帳!$A$3:$R$4986,18,FALSE)))</f>
        <v>3</v>
      </c>
      <c r="V1944" s="269" t="str">
        <f>IF(J1944="巻返し",VLOOKUP(F1944&amp;K1944&amp;M1944,製品マスタ!$M$5:$AD$5002,18,FALSE),IF(J1944="リード付け","原反コア",IF(J1944="スリット",VLOOKUP(F1944&amp;K1944&amp;Q1944,製品マスタ!$N$5:$AD$5002,17,FALSE),"")))</f>
        <v>6ｲﾝﾁSｺｱ</v>
      </c>
      <c r="W1944" s="269">
        <f>IF(J1944="巻返し",VLOOKUP(F1944&amp;K1944&amp;M1944,製品マスタ!$M$5:$AE$5002,19,FALSE),IF(J1944="リード付け","-",IF(J1944="スリット",VLOOKUP(F1944&amp;K1944&amp;Q1944,製品マスタ!$N$5:$AE$5002,18,FALSE),"")))</f>
        <v>1130</v>
      </c>
      <c r="X1944" s="275">
        <f>IF(D1944="","",VLOOKUP(D1944,契約台帳!$A$3:$Q$4986,17,FALSE))</f>
        <v>2</v>
      </c>
      <c r="Y1944" s="269" t="str">
        <f>IF(D1944="","",VLOOKUP(D1944,契約台帳!$A$3:$E$4986,5,FALSE))</f>
        <v>リンテック㈱</v>
      </c>
      <c r="Z1944" s="357"/>
      <c r="AA1944" s="207"/>
      <c r="AB1944" s="369"/>
      <c r="AC1944" s="370"/>
      <c r="AD1944" s="332" t="str">
        <f>IF(F1944="","",+F1944&amp;K1944)</f>
        <v>3SNMLBMNGTBF25</v>
      </c>
      <c r="AE1944" s="216">
        <f>+M1944*N1944*O1944/1000</f>
        <v>13612.5</v>
      </c>
      <c r="AF1944" s="43">
        <f>IF(AD1944="","",VLOOKUP(AD1944,原価マスタ!$A$2:$AJ$1693,13,FALSE))</f>
        <v>97.5</v>
      </c>
      <c r="AG1944" s="47">
        <f>IF(AF1944="","",+AE1944*AF1944/100)</f>
        <v>13272.1875</v>
      </c>
      <c r="AH1944" s="30"/>
      <c r="AI1944" s="30"/>
      <c r="AJ1944" s="30"/>
      <c r="AK1944" s="30"/>
      <c r="AL1944" s="13"/>
      <c r="AM1944" s="13"/>
      <c r="AN1944" s="13"/>
      <c r="AO1944" s="13"/>
      <c r="AP1944" s="13"/>
      <c r="AQ1944" s="14"/>
      <c r="AR1944" s="15"/>
    </row>
    <row r="1945" spans="1:44" s="17" customFormat="1" ht="30.95" hidden="1" customHeight="1" x14ac:dyDescent="0.2">
      <c r="A1945" s="343"/>
      <c r="B1945" s="344"/>
      <c r="C1945" s="345"/>
      <c r="D1945" s="398"/>
      <c r="E1945" s="31"/>
      <c r="F1945" s="268"/>
      <c r="G1945" s="269"/>
      <c r="H1945" s="269"/>
      <c r="I1945" s="270"/>
      <c r="J1945" s="32"/>
      <c r="K1945" s="270"/>
      <c r="L1945" s="270"/>
      <c r="M1945" s="39"/>
      <c r="N1945" s="39"/>
      <c r="O1945" s="47"/>
      <c r="P1945" s="57"/>
      <c r="Q1945" s="276"/>
      <c r="R1945" s="277"/>
      <c r="S1945" s="277"/>
      <c r="T1945" s="40"/>
      <c r="U1945" s="278"/>
      <c r="V1945" s="269"/>
      <c r="W1945" s="269"/>
      <c r="X1945" s="275"/>
      <c r="Y1945" s="269"/>
      <c r="Z1945" s="357"/>
      <c r="AA1945" s="207"/>
      <c r="AB1945" s="369"/>
      <c r="AC1945" s="370"/>
      <c r="AD1945" s="332"/>
      <c r="AE1945" s="216"/>
      <c r="AF1945" s="43"/>
      <c r="AG1945" s="47"/>
      <c r="AH1945" s="30"/>
      <c r="AI1945" s="30"/>
      <c r="AJ1945" s="30"/>
      <c r="AK1945" s="30"/>
      <c r="AL1945" s="13"/>
      <c r="AM1945" s="13"/>
      <c r="AN1945" s="13"/>
      <c r="AO1945" s="13"/>
      <c r="AP1945" s="13"/>
      <c r="AQ1945" s="14"/>
      <c r="AR1945" s="15"/>
    </row>
    <row r="1946" spans="1:44" s="17" customFormat="1" ht="30.6" hidden="1" customHeight="1" x14ac:dyDescent="0.2">
      <c r="A1946" s="320"/>
      <c r="B1946" s="321"/>
      <c r="C1946" s="345"/>
      <c r="D1946" s="398">
        <v>3770584</v>
      </c>
      <c r="E1946" s="31">
        <v>4151808</v>
      </c>
      <c r="F1946" s="268" t="str">
        <f>IF(D1946="","",VLOOKUP(D1946,契約台帳!$A$3:$K$4986,6,FALSE)&amp;VLOOKUP(D1946,契約台帳!$A$3:$K$4986,7,FALSE)&amp;VLOOKUP(D1946,契約台帳!$A$3:$K$4986,8,FALSE)&amp;VLOOKUP(D1946,契約台帳!$A$3:$K$4986,9,FALSE)&amp;VLOOKUP(D1946,契約台帳!$A$3:$K$4986,11,FALSE))</f>
        <v>3SNMLBMNGTBF</v>
      </c>
      <c r="G1946" s="269" t="str">
        <f>IF(D1946="","",VLOOKUP(F1946,製品マスタ!$G$5:$H$5002,2,FALSE))</f>
        <v>S</v>
      </c>
      <c r="H1946" s="269" t="str">
        <f>IF(D1946="","",VLOOKUP(F1946,製品マスタ!$G$5:$K$5002,5,FALSE))</f>
        <v>MNGTBF</v>
      </c>
      <c r="I1946" s="270" t="str">
        <f>IF(D1946="","",VLOOKUP(F1946,製品マスタ!$G$5:$L$5002,6,FALSE))</f>
        <v>メタルミー　ネーマー　銀艶　Ｂ</v>
      </c>
      <c r="J1946" s="32" t="s">
        <v>447</v>
      </c>
      <c r="K1946" s="270">
        <f>IF(D1946="","",VLOOKUP(D1946,契約台帳!$A$3:$L$4986,12,FALSE))</f>
        <v>50</v>
      </c>
      <c r="L1946" s="270" t="str">
        <f>IF(D1946="","",INDEX(製品マスタ!$Q$5:$Q$5002,MATCH(F1946&amp;K1946,製品マスタ!$AO$5:$AO$5002,0)))</f>
        <v>T62</v>
      </c>
      <c r="M1946" s="39">
        <v>1120</v>
      </c>
      <c r="N1946" s="39">
        <v>8000</v>
      </c>
      <c r="O1946" s="47">
        <v>4</v>
      </c>
      <c r="P1946" s="57"/>
      <c r="Q1946" s="276">
        <f>IF(D1946="","",IF(J1946="リード付け",M1946,VLOOKUP(D1946,契約台帳!$A$3:$N$4986,14,FALSE)))</f>
        <v>1120</v>
      </c>
      <c r="R1946" s="277">
        <f>IF(D1946="","",IF(J1946="リード付け",M1946,VLOOKUP(D1946,契約台帳!$A$3:$O$4986,15,FALSE)))</f>
        <v>1120</v>
      </c>
      <c r="S1946" s="277">
        <v>4000</v>
      </c>
      <c r="T1946" s="40">
        <v>8</v>
      </c>
      <c r="U1946" s="278">
        <f ca="1">IF(D1946="","",IF(OFFSET(D1946,-2,0)=D1946,"",VLOOKUP(D1946,契約台帳!$A$3:$R$4986,18,FALSE)))</f>
        <v>68</v>
      </c>
      <c r="V1946" s="269" t="str">
        <f>IF(J1946="巻返し",VLOOKUP(F1946&amp;K1946&amp;M1946,製品マスタ!$M$5:$AD$5002,18,FALSE),IF(J1946="リード付け","原反コア",IF(J1946="スリット",VLOOKUP(F1946&amp;K1946&amp;Q1946,製品マスタ!$N$5:$AD$5002,17,FALSE),"")))</f>
        <v>6ｲﾝﾁSｺｱ</v>
      </c>
      <c r="W1946" s="269">
        <f>IF(J1946="巻返し",VLOOKUP(F1946&amp;K1946&amp;M1946,製品マスタ!$M$5:$AE$5002,19,FALSE),IF(J1946="リード付け","-",IF(J1946="スリット",VLOOKUP(F1946&amp;K1946&amp;Q1946,製品マスタ!$N$5:$AE$5002,18,FALSE),"")))</f>
        <v>1125</v>
      </c>
      <c r="X1946" s="275">
        <f>IF(D1946="","",VLOOKUP(D1946,契約台帳!$A$3:$Q$4986,17,FALSE))</f>
        <v>2</v>
      </c>
      <c r="Y1946" s="269" t="str">
        <f>IF(D1946="","",VLOOKUP(D1946,契約台帳!$A$3:$E$4986,5,FALSE))</f>
        <v>リンテック㈱</v>
      </c>
      <c r="Z1946" s="357"/>
      <c r="AA1946" s="207"/>
      <c r="AB1946" s="369"/>
      <c r="AC1946" s="370"/>
      <c r="AD1946" s="332" t="str">
        <f>IF(F1946="","",+F1946&amp;K1946)</f>
        <v>3SNMLBMNGTBF50</v>
      </c>
      <c r="AE1946" s="216">
        <f>+M1946*N1946*O1946/1000</f>
        <v>35840</v>
      </c>
      <c r="AF1946" s="43">
        <f>IF(AD1946="","",VLOOKUP(AD1946,原価マスタ!$A$2:$AJ$1693,13,FALSE))</f>
        <v>99</v>
      </c>
      <c r="AG1946" s="47">
        <f>IF(AF1946="","",+AE1946*AF1946/100)</f>
        <v>35481.599999999999</v>
      </c>
      <c r="AH1946" s="30"/>
      <c r="AI1946" s="30"/>
      <c r="AJ1946" s="30"/>
      <c r="AK1946" s="30"/>
      <c r="AL1946" s="13"/>
      <c r="AM1946" s="13"/>
      <c r="AN1946" s="13"/>
      <c r="AO1946" s="13"/>
      <c r="AP1946" s="13"/>
      <c r="AQ1946" s="14"/>
      <c r="AR1946" s="15"/>
    </row>
    <row r="1947" spans="1:44" s="17" customFormat="1" ht="30.95" hidden="1" customHeight="1" x14ac:dyDescent="0.2">
      <c r="A1947" s="343"/>
      <c r="B1947" s="344"/>
      <c r="C1947" s="345"/>
      <c r="D1947" s="398"/>
      <c r="E1947" s="31"/>
      <c r="F1947" s="268"/>
      <c r="G1947" s="269"/>
      <c r="H1947" s="269"/>
      <c r="I1947" s="270"/>
      <c r="J1947" s="32"/>
      <c r="K1947" s="270"/>
      <c r="L1947" s="270"/>
      <c r="M1947" s="39"/>
      <c r="N1947" s="39"/>
      <c r="O1947" s="47"/>
      <c r="P1947" s="57"/>
      <c r="Q1947" s="276"/>
      <c r="R1947" s="277"/>
      <c r="S1947" s="277"/>
      <c r="T1947" s="40"/>
      <c r="U1947" s="278"/>
      <c r="V1947" s="269"/>
      <c r="W1947" s="269"/>
      <c r="X1947" s="275"/>
      <c r="Y1947" s="269"/>
      <c r="Z1947" s="357"/>
      <c r="AA1947" s="207"/>
      <c r="AB1947" s="369"/>
      <c r="AC1947" s="370"/>
      <c r="AD1947" s="332"/>
      <c r="AE1947" s="216"/>
      <c r="AF1947" s="43"/>
      <c r="AG1947" s="47"/>
      <c r="AH1947" s="30"/>
      <c r="AI1947" s="30"/>
      <c r="AJ1947" s="30"/>
      <c r="AK1947" s="30"/>
      <c r="AL1947" s="13"/>
      <c r="AM1947" s="13"/>
      <c r="AN1947" s="13"/>
      <c r="AO1947" s="13"/>
      <c r="AP1947" s="13"/>
      <c r="AQ1947" s="14"/>
      <c r="AR1947" s="15"/>
    </row>
    <row r="1948" spans="1:44" s="17" customFormat="1" ht="30.6" hidden="1" customHeight="1" x14ac:dyDescent="0.2">
      <c r="A1948" s="320" t="s">
        <v>3172</v>
      </c>
      <c r="B1948" s="321" t="s">
        <v>3173</v>
      </c>
      <c r="C1948" s="345"/>
      <c r="D1948" s="398">
        <v>3770584</v>
      </c>
      <c r="E1948" s="31">
        <v>4151808</v>
      </c>
      <c r="F1948" s="268" t="str">
        <f>IF(D1948="","",VLOOKUP(D1948,契約台帳!$A$3:$K$4986,6,FALSE)&amp;VLOOKUP(D1948,契約台帳!$A$3:$K$4986,7,FALSE)&amp;VLOOKUP(D1948,契約台帳!$A$3:$K$4986,8,FALSE)&amp;VLOOKUP(D1948,契約台帳!$A$3:$K$4986,9,FALSE)&amp;VLOOKUP(D1948,契約台帳!$A$3:$K$4986,11,FALSE))</f>
        <v>3SNMLBMNGTBF</v>
      </c>
      <c r="G1948" s="269" t="str">
        <f>IF(D1948="","",VLOOKUP(F1948,製品マスタ!$G$5:$H$5002,2,FALSE))</f>
        <v>S</v>
      </c>
      <c r="H1948" s="269" t="str">
        <f>IF(D1948="","",VLOOKUP(F1948,製品マスタ!$G$5:$K$5002,5,FALSE))</f>
        <v>MNGTBF</v>
      </c>
      <c r="I1948" s="270" t="str">
        <f>IF(D1948="","",VLOOKUP(F1948,製品マスタ!$G$5:$L$5002,6,FALSE))</f>
        <v>メタルミー　ネーマー　銀艶　Ｂ</v>
      </c>
      <c r="J1948" s="32" t="s">
        <v>447</v>
      </c>
      <c r="K1948" s="270">
        <f>IF(D1948="","",VLOOKUP(D1948,契約台帳!$A$3:$L$4986,12,FALSE))</f>
        <v>50</v>
      </c>
      <c r="L1948" s="270" t="str">
        <f>IF(D1948="","",INDEX(製品マスタ!$Q$5:$Q$5002,MATCH(F1948&amp;K1948,製品マスタ!$AO$5:$AO$5002,0)))</f>
        <v>T62</v>
      </c>
      <c r="M1948" s="39">
        <v>1120</v>
      </c>
      <c r="N1948" s="39">
        <v>8000</v>
      </c>
      <c r="O1948" s="47">
        <v>7</v>
      </c>
      <c r="P1948" s="57"/>
      <c r="Q1948" s="276">
        <f>IF(D1948="","",IF(J1948="リード付け",M1948,VLOOKUP(D1948,契約台帳!$A$3:$N$4986,14,FALSE)))</f>
        <v>1120</v>
      </c>
      <c r="R1948" s="277">
        <f>IF(D1948="","",IF(J1948="リード付け",M1948,VLOOKUP(D1948,契約台帳!$A$3:$O$4986,15,FALSE)))</f>
        <v>1120</v>
      </c>
      <c r="S1948" s="277">
        <v>4000</v>
      </c>
      <c r="T1948" s="40">
        <v>14</v>
      </c>
      <c r="U1948" s="278" t="str">
        <f ca="1">IF(D1948="","",IF(OFFSET(D1948,-2,0)=D1948,"",VLOOKUP(D1948,契約台帳!$A$3:$R$4986,18,FALSE)))</f>
        <v/>
      </c>
      <c r="V1948" s="269" t="str">
        <f>IF(J1948="巻返し",VLOOKUP(F1948&amp;K1948&amp;M1948,製品マスタ!$M$5:$AD$5002,18,FALSE),IF(J1948="リード付け","原反コア",IF(J1948="スリット",VLOOKUP(F1948&amp;K1948&amp;Q1948,製品マスタ!$N$5:$AD$5002,17,FALSE),"")))</f>
        <v>6ｲﾝﾁSｺｱ</v>
      </c>
      <c r="W1948" s="269">
        <f>IF(J1948="巻返し",VLOOKUP(F1948&amp;K1948&amp;M1948,製品マスタ!$M$5:$AE$5002,19,FALSE),IF(J1948="リード付け","-",IF(J1948="スリット",VLOOKUP(F1948&amp;K1948&amp;Q1948,製品マスタ!$N$5:$AE$5002,18,FALSE),"")))</f>
        <v>1125</v>
      </c>
      <c r="X1948" s="275">
        <f>IF(D1948="","",VLOOKUP(D1948,契約台帳!$A$3:$Q$4986,17,FALSE))</f>
        <v>2</v>
      </c>
      <c r="Y1948" s="269" t="str">
        <f>IF(D1948="","",VLOOKUP(D1948,契約台帳!$A$3:$E$4986,5,FALSE))</f>
        <v>リンテック㈱</v>
      </c>
      <c r="Z1948" s="357"/>
      <c r="AA1948" s="207"/>
      <c r="AB1948" s="369"/>
      <c r="AC1948" s="370"/>
      <c r="AD1948" s="332" t="str">
        <f>IF(F1948="","",+F1948&amp;K1948)</f>
        <v>3SNMLBMNGTBF50</v>
      </c>
      <c r="AE1948" s="216">
        <f>+M1948*N1948*O1948/1000</f>
        <v>62720</v>
      </c>
      <c r="AF1948" s="43">
        <f>IF(AD1948="","",VLOOKUP(AD1948,原価マスタ!$A$2:$AJ$1693,13,FALSE))</f>
        <v>99</v>
      </c>
      <c r="AG1948" s="47">
        <f>IF(AF1948="","",+AE1948*AF1948/100)</f>
        <v>62092.800000000003</v>
      </c>
      <c r="AH1948" s="30"/>
      <c r="AI1948" s="30"/>
      <c r="AJ1948" s="30"/>
      <c r="AK1948" s="30"/>
      <c r="AL1948" s="13"/>
      <c r="AM1948" s="13"/>
      <c r="AN1948" s="13"/>
      <c r="AO1948" s="13"/>
      <c r="AP1948" s="13"/>
      <c r="AQ1948" s="14"/>
      <c r="AR1948" s="15"/>
    </row>
    <row r="1949" spans="1:44" s="17" customFormat="1" ht="30.95" hidden="1" customHeight="1" x14ac:dyDescent="0.2">
      <c r="A1949" s="343"/>
      <c r="B1949" s="344"/>
      <c r="C1949" s="345"/>
      <c r="D1949" s="398"/>
      <c r="E1949" s="31"/>
      <c r="F1949" s="268"/>
      <c r="G1949" s="269"/>
      <c r="H1949" s="269"/>
      <c r="I1949" s="270"/>
      <c r="J1949" s="32"/>
      <c r="K1949" s="270"/>
      <c r="L1949" s="270"/>
      <c r="M1949" s="39"/>
      <c r="N1949" s="39"/>
      <c r="O1949" s="47"/>
      <c r="P1949" s="57"/>
      <c r="Q1949" s="276"/>
      <c r="R1949" s="277"/>
      <c r="S1949" s="277"/>
      <c r="T1949" s="40"/>
      <c r="U1949" s="278"/>
      <c r="V1949" s="269"/>
      <c r="W1949" s="269"/>
      <c r="X1949" s="275"/>
      <c r="Y1949" s="269"/>
      <c r="Z1949" s="357"/>
      <c r="AA1949" s="207"/>
      <c r="AB1949" s="369"/>
      <c r="AC1949" s="370"/>
      <c r="AD1949" s="332"/>
      <c r="AE1949" s="216"/>
      <c r="AF1949" s="43"/>
      <c r="AG1949" s="47"/>
      <c r="AH1949" s="30"/>
      <c r="AI1949" s="30"/>
      <c r="AJ1949" s="30"/>
      <c r="AK1949" s="30"/>
      <c r="AL1949" s="13"/>
      <c r="AM1949" s="13"/>
      <c r="AN1949" s="13"/>
      <c r="AO1949" s="13"/>
      <c r="AP1949" s="13"/>
      <c r="AQ1949" s="14"/>
      <c r="AR1949" s="15"/>
    </row>
    <row r="1950" spans="1:44" s="17" customFormat="1" ht="30.6" hidden="1" customHeight="1" x14ac:dyDescent="0.2">
      <c r="A1950" s="320" t="s">
        <v>568</v>
      </c>
      <c r="B1950" s="321" t="s">
        <v>444</v>
      </c>
      <c r="C1950" s="345"/>
      <c r="D1950" s="398">
        <v>3770577</v>
      </c>
      <c r="E1950" s="31">
        <v>4151813</v>
      </c>
      <c r="F1950" s="268" t="str">
        <f>IF(D1950="","",VLOOKUP(D1950,契約台帳!$A$3:$K$4986,6,FALSE)&amp;VLOOKUP(D1950,契約台帳!$A$3:$K$4986,7,FALSE)&amp;VLOOKUP(D1950,契約台帳!$A$3:$K$4986,8,FALSE)&amp;VLOOKUP(D1950,契約台帳!$A$3:$K$4986,9,FALSE)&amp;VLOOKUP(D1950,契約台帳!$A$3:$K$4986,11,FALSE))</f>
        <v>3SYMLBMSNMBF</v>
      </c>
      <c r="G1950" s="269" t="str">
        <f>IF(D1950="","",VLOOKUP(F1950,製品マスタ!$G$5:$H$5002,2,FALSE))</f>
        <v>S</v>
      </c>
      <c r="H1950" s="269" t="str">
        <f>IF(D1950="","",VLOOKUP(F1950,製品マスタ!$G$5:$K$5002,5,FALSE))</f>
        <v>MSNMBF</v>
      </c>
      <c r="I1950" s="270" t="str">
        <f>IF(D1950="","",VLOOKUP(F1950,製品マスタ!$G$5:$L$5002,6,FALSE))</f>
        <v>ＭＥＴＡＬＵＭＹ　ＳＩＬＶＥＲ　Ｎ－ＭＡＴＴＥ　Ｘ４４Ｍ　Ｂ</v>
      </c>
      <c r="J1950" s="32" t="s">
        <v>447</v>
      </c>
      <c r="K1950" s="270">
        <f>IF(D1950="","",VLOOKUP(D1950,契約台帳!$A$3:$L$4986,12,FALSE))</f>
        <v>50</v>
      </c>
      <c r="L1950" s="270" t="str">
        <f>IF(D1950="","",INDEX(製品マスタ!$Q$5:$Q$5002,MATCH(F1950&amp;K1950,製品マスタ!$AO$5:$AO$5002,0)))</f>
        <v>X44</v>
      </c>
      <c r="M1950" s="39">
        <v>1120</v>
      </c>
      <c r="N1950" s="39">
        <v>8000</v>
      </c>
      <c r="O1950" s="47">
        <v>2</v>
      </c>
      <c r="P1950" s="57"/>
      <c r="Q1950" s="276">
        <f>IF(D1950="","",IF(J1950="リード付け",M1950,VLOOKUP(D1950,契約台帳!$A$3:$N$4986,14,FALSE)))</f>
        <v>1120</v>
      </c>
      <c r="R1950" s="277">
        <f>IF(D1950="","",IF(J1950="リード付け",M1950,VLOOKUP(D1950,契約台帳!$A$3:$O$4986,15,FALSE)))</f>
        <v>1120</v>
      </c>
      <c r="S1950" s="277">
        <f>IF(D1950="","",IF(J1950="リード付け",N1950,VLOOKUP(D1950,契約台帳!$A$3:$P$4986,16,FALSE)))</f>
        <v>4000</v>
      </c>
      <c r="T1950" s="40">
        <v>4</v>
      </c>
      <c r="U1950" s="278">
        <f ca="1">IF(D1950="","",IF(OFFSET(D1950,-2,0)=D1950,"",VLOOKUP(D1950,契約台帳!$A$3:$R$4986,18,FALSE)))</f>
        <v>10</v>
      </c>
      <c r="V1950" s="269" t="str">
        <f>IF(J1950="巻返し",VLOOKUP(F1950&amp;K1950&amp;M1950,製品マスタ!$M$5:$AD$5002,18,FALSE),IF(J1950="リード付け","原反コア",IF(J1950="スリット",VLOOKUP(F1950&amp;K1950&amp;Q1950,製品マスタ!$N$5:$AD$5002,17,FALSE),"")))</f>
        <v>6ｲﾝﾁMｺｱ</v>
      </c>
      <c r="W1950" s="269">
        <f>IF(J1950="巻返し",VLOOKUP(F1950&amp;K1950&amp;M1950,製品マスタ!$M$5:$AE$5002,19,FALSE),IF(J1950="リード付け","-",IF(J1950="スリット",VLOOKUP(F1950&amp;K1950&amp;Q1950,製品マスタ!$N$5:$AE$5002,18,FALSE),"")))</f>
        <v>1125</v>
      </c>
      <c r="X1950" s="275">
        <f>IF(D1950="","",VLOOKUP(D1950,契約台帳!$A$3:$Q$4986,17,FALSE))</f>
        <v>2</v>
      </c>
      <c r="Y1950" s="269" t="str">
        <f>IF(D1950="","",VLOOKUP(D1950,契約台帳!$A$3:$E$4986,5,FALSE))</f>
        <v>リンテック㈱</v>
      </c>
      <c r="Z1950" s="357"/>
      <c r="AA1950" s="207"/>
      <c r="AB1950" s="369"/>
      <c r="AC1950" s="370"/>
      <c r="AD1950" s="332" t="str">
        <f>IF(F1950="","",+F1950&amp;K1950)</f>
        <v>3SYMLBMSNMBF50</v>
      </c>
      <c r="AE1950" s="216">
        <f>+M1950*N1950*O1950/1000</f>
        <v>17920</v>
      </c>
      <c r="AF1950" s="43">
        <f>IF(AD1950="","",VLOOKUP(AD1950,原価マスタ!$A$2:$AJ$1693,13,FALSE))</f>
        <v>98.8</v>
      </c>
      <c r="AG1950" s="47">
        <f>IF(AF1950="","",+AE1950*AF1950/100)</f>
        <v>17704.96</v>
      </c>
      <c r="AH1950" s="30"/>
      <c r="AI1950" s="30"/>
      <c r="AJ1950" s="30"/>
      <c r="AK1950" s="30"/>
      <c r="AL1950" s="13"/>
      <c r="AM1950" s="13"/>
      <c r="AN1950" s="13"/>
      <c r="AO1950" s="13"/>
      <c r="AP1950" s="13"/>
      <c r="AQ1950" s="14"/>
      <c r="AR1950" s="15"/>
    </row>
    <row r="1951" spans="1:44" s="17" customFormat="1" ht="30.95" hidden="1" customHeight="1" x14ac:dyDescent="0.2">
      <c r="A1951" s="343"/>
      <c r="B1951" s="344"/>
      <c r="C1951" s="345"/>
      <c r="D1951" s="398"/>
      <c r="E1951" s="31"/>
      <c r="F1951" s="268"/>
      <c r="G1951" s="269"/>
      <c r="H1951" s="269"/>
      <c r="I1951" s="270"/>
      <c r="J1951" s="32"/>
      <c r="K1951" s="270"/>
      <c r="L1951" s="270"/>
      <c r="M1951" s="39"/>
      <c r="N1951" s="39"/>
      <c r="O1951" s="47"/>
      <c r="P1951" s="57"/>
      <c r="Q1951" s="276"/>
      <c r="R1951" s="277"/>
      <c r="S1951" s="277"/>
      <c r="T1951" s="40"/>
      <c r="U1951" s="278"/>
      <c r="V1951" s="269"/>
      <c r="W1951" s="269"/>
      <c r="X1951" s="275"/>
      <c r="Y1951" s="269"/>
      <c r="Z1951" s="357"/>
      <c r="AA1951" s="207"/>
      <c r="AB1951" s="369"/>
      <c r="AC1951" s="370"/>
      <c r="AD1951" s="332"/>
      <c r="AE1951" s="216"/>
      <c r="AF1951" s="43"/>
      <c r="AG1951" s="47"/>
      <c r="AH1951" s="30"/>
      <c r="AI1951" s="30"/>
      <c r="AJ1951" s="30"/>
      <c r="AK1951" s="30"/>
      <c r="AL1951" s="13"/>
      <c r="AM1951" s="13"/>
      <c r="AN1951" s="13"/>
      <c r="AO1951" s="13"/>
      <c r="AP1951" s="13"/>
      <c r="AQ1951" s="14"/>
      <c r="AR1951" s="15"/>
    </row>
    <row r="1952" spans="1:44" s="17" customFormat="1" ht="30.6" hidden="1" customHeight="1" x14ac:dyDescent="0.2">
      <c r="A1952" s="320"/>
      <c r="B1952" s="321"/>
      <c r="C1952" s="345"/>
      <c r="D1952" s="398">
        <v>3770574</v>
      </c>
      <c r="E1952" s="31">
        <v>4151814</v>
      </c>
      <c r="F1952" s="268" t="str">
        <f>IF(D1952="","",VLOOKUP(D1952,契約台帳!$A$3:$K$4986,6,FALSE)&amp;VLOOKUP(D1952,契約台帳!$A$3:$K$4986,7,FALSE)&amp;VLOOKUP(D1952,契約台帳!$A$3:$K$4986,8,FALSE)&amp;VLOOKUP(D1952,契約台帳!$A$3:$K$4986,9,FALSE)&amp;VLOOKUP(D1952,契約台帳!$A$3:$K$4986,11,FALSE))</f>
        <v>3SYMLBMSSMBZF</v>
      </c>
      <c r="G1952" s="269" t="str">
        <f>IF(D1952="","",VLOOKUP(F1952,製品マスタ!$G$5:$H$5002,2,FALSE))</f>
        <v>S</v>
      </c>
      <c r="H1952" s="269" t="str">
        <f>IF(D1952="","",VLOOKUP(F1952,製品マスタ!$G$5:$K$5002,5,FALSE))</f>
        <v>MSSMBZF</v>
      </c>
      <c r="I1952" s="270" t="str">
        <f>IF(D1952="","",VLOOKUP(F1952,製品マスタ!$G$5:$L$5002,6,FALSE))</f>
        <v>ＭＥＴＡＬＵＭＹ　ＳＩＬＶＥＲ　Ｓ－ＭＡＴＴＥ　Ｂ</v>
      </c>
      <c r="J1952" s="32" t="s">
        <v>447</v>
      </c>
      <c r="K1952" s="270">
        <f>IF(D1952="","",VLOOKUP(D1952,契約台帳!$A$3:$L$4986,12,FALSE))</f>
        <v>50</v>
      </c>
      <c r="L1952" s="270" t="str">
        <f>IF(D1952="","",INDEX(製品マスタ!$Q$5:$Q$5002,MATCH(F1952&amp;K1952,製品マスタ!$AO$5:$AO$5002,0)))</f>
        <v>LI-MAT</v>
      </c>
      <c r="M1952" s="39">
        <v>1120</v>
      </c>
      <c r="N1952" s="39">
        <v>12000</v>
      </c>
      <c r="O1952" s="47">
        <v>2</v>
      </c>
      <c r="P1952" s="57"/>
      <c r="Q1952" s="276">
        <f>IF(D1952="","",IF(J1952="リード付け",M1952,VLOOKUP(D1952,契約台帳!$A$3:$N$4986,14,FALSE)))</f>
        <v>1120</v>
      </c>
      <c r="R1952" s="277">
        <f>IF(D1952="","",IF(J1952="リード付け",M1952,VLOOKUP(D1952,契約台帳!$A$3:$O$4986,15,FALSE)))</f>
        <v>1120</v>
      </c>
      <c r="S1952" s="277">
        <f>IF(D1952="","",IF(J1952="リード付け",N1952,VLOOKUP(D1952,契約台帳!$A$3:$P$4986,16,FALSE)))</f>
        <v>4000</v>
      </c>
      <c r="T1952" s="40">
        <v>6</v>
      </c>
      <c r="U1952" s="278">
        <f ca="1">IF(D1952="","",IF(OFFSET(D1952,-2,0)=D1952,"",VLOOKUP(D1952,契約台帳!$A$3:$R$4986,18,FALSE)))</f>
        <v>6</v>
      </c>
      <c r="V1952" s="269" t="str">
        <f>IF(J1952="巻返し",VLOOKUP(F1952&amp;K1952&amp;M1952,製品マスタ!$M$5:$AD$5002,18,FALSE),IF(J1952="リード付け","原反コア",IF(J1952="スリット",VLOOKUP(F1952&amp;K1952&amp;Q1952,製品マスタ!$N$5:$AD$5002,17,FALSE),"")))</f>
        <v>6ｲﾝﾁSｺｱ</v>
      </c>
      <c r="W1952" s="269">
        <f>IF(J1952="巻返し",VLOOKUP(F1952&amp;K1952&amp;M1952,製品マスタ!$M$5:$AE$5002,19,FALSE),IF(J1952="リード付け","-",IF(J1952="スリット",VLOOKUP(F1952&amp;K1952&amp;Q1952,製品マスタ!$N$5:$AE$5002,18,FALSE),"")))</f>
        <v>1125</v>
      </c>
      <c r="X1952" s="275">
        <f>IF(D1952="","",VLOOKUP(D1952,契約台帳!$A$3:$Q$4986,17,FALSE))</f>
        <v>2</v>
      </c>
      <c r="Y1952" s="269" t="str">
        <f>IF(D1952="","",VLOOKUP(D1952,契約台帳!$A$3:$E$4986,5,FALSE))</f>
        <v>リンテック㈱</v>
      </c>
      <c r="Z1952" s="357"/>
      <c r="AA1952" s="207"/>
      <c r="AB1952" s="369"/>
      <c r="AC1952" s="370"/>
      <c r="AD1952" s="332" t="str">
        <f>IF(F1952="","",+F1952&amp;K1952)</f>
        <v>3SYMLBMSSMBZF50</v>
      </c>
      <c r="AE1952" s="216">
        <f>+M1952*N1952*O1952/1000</f>
        <v>26880</v>
      </c>
      <c r="AF1952" s="43">
        <f>IF(AD1952="","",VLOOKUP(AD1952,原価マスタ!$A$2:$AJ$1693,13,FALSE))</f>
        <v>98</v>
      </c>
      <c r="AG1952" s="47">
        <f>IF(AF1952="","",+AE1952*AF1952/100)</f>
        <v>26342.400000000001</v>
      </c>
      <c r="AH1952" s="30"/>
      <c r="AI1952" s="30"/>
      <c r="AJ1952" s="30"/>
      <c r="AK1952" s="30"/>
      <c r="AL1952" s="13"/>
      <c r="AM1952" s="13"/>
      <c r="AN1952" s="13"/>
      <c r="AO1952" s="13"/>
      <c r="AP1952" s="13"/>
      <c r="AQ1952" s="14"/>
      <c r="AR1952" s="15"/>
    </row>
    <row r="1953" spans="1:44" s="17" customFormat="1" ht="30.95" hidden="1" customHeight="1" x14ac:dyDescent="0.2">
      <c r="A1953" s="343"/>
      <c r="B1953" s="344"/>
      <c r="C1953" s="345"/>
      <c r="D1953" s="398"/>
      <c r="E1953" s="31"/>
      <c r="F1953" s="268"/>
      <c r="G1953" s="269"/>
      <c r="H1953" s="269"/>
      <c r="I1953" s="270"/>
      <c r="J1953" s="32"/>
      <c r="K1953" s="270"/>
      <c r="L1953" s="270"/>
      <c r="M1953" s="39"/>
      <c r="N1953" s="39"/>
      <c r="O1953" s="47"/>
      <c r="P1953" s="57"/>
      <c r="Q1953" s="276"/>
      <c r="R1953" s="277"/>
      <c r="S1953" s="277"/>
      <c r="T1953" s="40"/>
      <c r="U1953" s="278"/>
      <c r="V1953" s="269"/>
      <c r="W1953" s="269"/>
      <c r="X1953" s="275"/>
      <c r="Y1953" s="269"/>
      <c r="Z1953" s="357"/>
      <c r="AA1953" s="207"/>
      <c r="AB1953" s="369"/>
      <c r="AC1953" s="370"/>
      <c r="AD1953" s="332"/>
      <c r="AE1953" s="216"/>
      <c r="AF1953" s="43"/>
      <c r="AG1953" s="47"/>
      <c r="AH1953" s="30"/>
      <c r="AI1953" s="30"/>
      <c r="AJ1953" s="30"/>
      <c r="AK1953" s="30"/>
      <c r="AL1953" s="13"/>
      <c r="AM1953" s="13"/>
      <c r="AN1953" s="13"/>
      <c r="AO1953" s="13"/>
      <c r="AP1953" s="13"/>
      <c r="AQ1953" s="14"/>
      <c r="AR1953" s="15"/>
    </row>
    <row r="1954" spans="1:44" s="17" customFormat="1" ht="30.6" hidden="1" customHeight="1" x14ac:dyDescent="0.2">
      <c r="A1954" s="320"/>
      <c r="B1954" s="321"/>
      <c r="C1954" s="345"/>
      <c r="D1954" s="398">
        <v>3770575</v>
      </c>
      <c r="E1954" s="31">
        <v>4151810</v>
      </c>
      <c r="F1954" s="268" t="str">
        <f>IF(D1954="","",VLOOKUP(D1954,契約台帳!$A$3:$K$4986,6,FALSE)&amp;VLOOKUP(D1954,契約台帳!$A$3:$K$4986,7,FALSE)&amp;VLOOKUP(D1954,契約台帳!$A$3:$K$4986,8,FALSE)&amp;VLOOKUP(D1954,契約台帳!$A$3:$K$4986,9,FALSE)&amp;VLOOKUP(D1954,契約台帳!$A$3:$K$4986,11,FALSE))</f>
        <v>3SYMLBMSBBF</v>
      </c>
      <c r="G1954" s="269" t="str">
        <f>IF(D1954="","",VLOOKUP(F1954,製品マスタ!$G$5:$H$5002,2,FALSE))</f>
        <v>S</v>
      </c>
      <c r="H1954" s="269" t="str">
        <f>IF(D1954="","",VLOOKUP(F1954,製品マスタ!$G$5:$K$5002,5,FALSE))</f>
        <v>MSBBF</v>
      </c>
      <c r="I1954" s="270" t="str">
        <f>IF(D1954="","",VLOOKUP(F1954,製品マスタ!$G$5:$L$5002,6,FALSE))</f>
        <v>ＭＥＴＡＬＵＭＹ　ＳＩＬＶＥＲ　ＢＲＩＧＨＴ　Ｔ６２Ｍ　Ｂ</v>
      </c>
      <c r="J1954" s="32" t="s">
        <v>447</v>
      </c>
      <c r="K1954" s="270">
        <f>IF(D1954="","",VLOOKUP(D1954,契約台帳!$A$3:$L$4986,12,FALSE))</f>
        <v>25</v>
      </c>
      <c r="L1954" s="270" t="str">
        <f>IF(D1954="","",INDEX(製品マスタ!$Q$5:$Q$5002,MATCH(F1954&amp;K1954,製品マスタ!$AO$5:$AO$5002,0)))</f>
        <v>T62</v>
      </c>
      <c r="M1954" s="39">
        <v>1120</v>
      </c>
      <c r="N1954" s="39">
        <v>16000</v>
      </c>
      <c r="O1954" s="47">
        <v>2</v>
      </c>
      <c r="P1954" s="57"/>
      <c r="Q1954" s="276">
        <f>IF(D1954="","",IF(J1954="リード付け",M1954,VLOOKUP(D1954,契約台帳!$A$3:$N$4986,14,FALSE)))</f>
        <v>1120</v>
      </c>
      <c r="R1954" s="277">
        <f>IF(D1954="","",IF(J1954="リード付け",M1954,VLOOKUP(D1954,契約台帳!$A$3:$O$4986,15,FALSE)))</f>
        <v>1120</v>
      </c>
      <c r="S1954" s="277">
        <f>IF(D1954="","",IF(J1954="リード付け",N1954,VLOOKUP(D1954,契約台帳!$A$3:$P$4986,16,FALSE)))</f>
        <v>8000</v>
      </c>
      <c r="T1954" s="40">
        <v>4</v>
      </c>
      <c r="U1954" s="278">
        <f ca="1">IF(D1954="","",IF(OFFSET(D1954,-2,0)=D1954,"",VLOOKUP(D1954,契約台帳!$A$3:$R$4986,18,FALSE)))</f>
        <v>4</v>
      </c>
      <c r="V1954" s="269" t="str">
        <f>IF(J1954="巻返し",VLOOKUP(F1954&amp;K1954&amp;M1954,製品マスタ!$M$5:$AD$5002,18,FALSE),IF(J1954="リード付け","原反コア",IF(J1954="スリット",VLOOKUP(F1954&amp;K1954&amp;Q1954,製品マスタ!$N$5:$AD$5002,17,FALSE),"")))</f>
        <v>6ｲﾝﾁSｺｱ</v>
      </c>
      <c r="W1954" s="269">
        <f>IF(J1954="巻返し",VLOOKUP(F1954&amp;K1954&amp;M1954,製品マスタ!$M$5:$AE$5002,19,FALSE),IF(J1954="リード付け","-",IF(J1954="スリット",VLOOKUP(F1954&amp;K1954&amp;Q1954,製品マスタ!$N$5:$AE$5002,18,FALSE),"")))</f>
        <v>1125</v>
      </c>
      <c r="X1954" s="275">
        <f>IF(D1954="","",VLOOKUP(D1954,契約台帳!$A$3:$Q$4986,17,FALSE))</f>
        <v>2</v>
      </c>
      <c r="Y1954" s="269" t="str">
        <f>IF(D1954="","",VLOOKUP(D1954,契約台帳!$A$3:$E$4986,5,FALSE))</f>
        <v>リンテック㈱</v>
      </c>
      <c r="Z1954" s="357"/>
      <c r="AA1954" s="207"/>
      <c r="AB1954" s="369"/>
      <c r="AC1954" s="370"/>
      <c r="AD1954" s="332" t="str">
        <f>IF(F1954="","",+F1954&amp;K1954)</f>
        <v>3SYMLBMSBBF25</v>
      </c>
      <c r="AE1954" s="216">
        <f>+M1954*N1954*O1954/1000</f>
        <v>35840</v>
      </c>
      <c r="AF1954" s="43" t="e">
        <f>IF(AD1954="","",VLOOKUP(AD1954,原価マスタ!$A$2:$AJ$1693,13,FALSE))</f>
        <v>#N/A</v>
      </c>
      <c r="AG1954" s="47" t="e">
        <f>IF(AF1954="","",+AE1954*AF1954/100)</f>
        <v>#N/A</v>
      </c>
      <c r="AH1954" s="30"/>
      <c r="AI1954" s="30"/>
      <c r="AJ1954" s="30"/>
      <c r="AK1954" s="30"/>
      <c r="AL1954" s="13"/>
      <c r="AM1954" s="13"/>
      <c r="AN1954" s="13"/>
      <c r="AO1954" s="13"/>
      <c r="AP1954" s="13"/>
      <c r="AQ1954" s="14"/>
      <c r="AR1954" s="15"/>
    </row>
    <row r="1955" spans="1:44" s="17" customFormat="1" ht="30.95" hidden="1" customHeight="1" x14ac:dyDescent="0.2">
      <c r="A1955" s="343"/>
      <c r="B1955" s="344"/>
      <c r="C1955" s="345"/>
      <c r="D1955" s="398"/>
      <c r="E1955" s="31"/>
      <c r="F1955" s="268"/>
      <c r="G1955" s="269"/>
      <c r="H1955" s="269"/>
      <c r="I1955" s="270"/>
      <c r="J1955" s="32"/>
      <c r="K1955" s="270"/>
      <c r="L1955" s="270"/>
      <c r="M1955" s="39"/>
      <c r="N1955" s="39"/>
      <c r="O1955" s="47"/>
      <c r="P1955" s="57"/>
      <c r="Q1955" s="276"/>
      <c r="R1955" s="277"/>
      <c r="S1955" s="277"/>
      <c r="T1955" s="40"/>
      <c r="U1955" s="278"/>
      <c r="V1955" s="269"/>
      <c r="W1955" s="269"/>
      <c r="X1955" s="275"/>
      <c r="Y1955" s="269"/>
      <c r="Z1955" s="357"/>
      <c r="AA1955" s="207"/>
      <c r="AB1955" s="369"/>
      <c r="AC1955" s="370"/>
      <c r="AD1955" s="332"/>
      <c r="AE1955" s="216"/>
      <c r="AF1955" s="43"/>
      <c r="AG1955" s="47"/>
      <c r="AH1955" s="30"/>
      <c r="AI1955" s="30"/>
      <c r="AJ1955" s="30"/>
      <c r="AK1955" s="30"/>
      <c r="AL1955" s="13"/>
      <c r="AM1955" s="13"/>
      <c r="AN1955" s="13"/>
      <c r="AO1955" s="13"/>
      <c r="AP1955" s="13"/>
      <c r="AQ1955" s="14"/>
      <c r="AR1955" s="15"/>
    </row>
    <row r="1956" spans="1:44" s="17" customFormat="1" ht="30.95" hidden="1" customHeight="1" x14ac:dyDescent="0.2">
      <c r="A1956" s="343" t="s">
        <v>569</v>
      </c>
      <c r="B1956" s="344" t="s">
        <v>445</v>
      </c>
      <c r="C1956" s="345"/>
      <c r="D1956" s="398"/>
      <c r="E1956" s="31"/>
      <c r="F1956" s="268"/>
      <c r="G1956" s="269"/>
      <c r="H1956" s="269"/>
      <c r="I1956" s="270"/>
      <c r="J1956" s="32" t="s">
        <v>448</v>
      </c>
      <c r="K1956" s="270"/>
      <c r="L1956" s="270"/>
      <c r="M1956" s="39"/>
      <c r="N1956" s="39"/>
      <c r="O1956" s="47"/>
      <c r="P1956" s="57"/>
      <c r="Q1956" s="276"/>
      <c r="R1956" s="277"/>
      <c r="S1956" s="277"/>
      <c r="T1956" s="40"/>
      <c r="U1956" s="278"/>
      <c r="V1956" s="269"/>
      <c r="W1956" s="269"/>
      <c r="X1956" s="275"/>
      <c r="Y1956" s="269"/>
      <c r="Z1956" s="357"/>
      <c r="AA1956" s="207"/>
      <c r="AB1956" s="369"/>
      <c r="AC1956" s="370"/>
      <c r="AD1956" s="332"/>
      <c r="AE1956" s="216"/>
      <c r="AF1956" s="43"/>
      <c r="AG1956" s="47"/>
      <c r="AH1956" s="30"/>
      <c r="AI1956" s="30"/>
      <c r="AJ1956" s="30"/>
      <c r="AK1956" s="30"/>
      <c r="AL1956" s="13"/>
      <c r="AM1956" s="13"/>
      <c r="AN1956" s="13"/>
      <c r="AO1956" s="13"/>
      <c r="AP1956" s="13"/>
      <c r="AQ1956" s="14"/>
      <c r="AR1956" s="15"/>
    </row>
    <row r="1957" spans="1:44" s="17" customFormat="1" ht="30.95" hidden="1" customHeight="1" x14ac:dyDescent="0.2">
      <c r="A1957" s="343"/>
      <c r="B1957" s="344"/>
      <c r="C1957" s="345"/>
      <c r="D1957" s="398"/>
      <c r="E1957" s="31"/>
      <c r="F1957" s="268"/>
      <c r="G1957" s="269"/>
      <c r="H1957" s="269"/>
      <c r="I1957" s="270"/>
      <c r="J1957" s="32"/>
      <c r="K1957" s="270"/>
      <c r="L1957" s="270"/>
      <c r="M1957" s="39"/>
      <c r="N1957" s="39"/>
      <c r="O1957" s="47"/>
      <c r="P1957" s="57"/>
      <c r="Q1957" s="276"/>
      <c r="R1957" s="277"/>
      <c r="S1957" s="277"/>
      <c r="T1957" s="40"/>
      <c r="U1957" s="278"/>
      <c r="V1957" s="269"/>
      <c r="W1957" s="269"/>
      <c r="X1957" s="275"/>
      <c r="Y1957" s="269"/>
      <c r="Z1957" s="357"/>
      <c r="AA1957" s="207"/>
      <c r="AB1957" s="369"/>
      <c r="AC1957" s="370"/>
      <c r="AD1957" s="332"/>
      <c r="AE1957" s="216"/>
      <c r="AF1957" s="43"/>
      <c r="AG1957" s="47"/>
      <c r="AH1957" s="30"/>
      <c r="AI1957" s="30"/>
      <c r="AJ1957" s="30"/>
      <c r="AK1957" s="30"/>
      <c r="AL1957" s="13"/>
      <c r="AM1957" s="13"/>
      <c r="AN1957" s="13"/>
      <c r="AO1957" s="13"/>
      <c r="AP1957" s="13"/>
      <c r="AQ1957" s="14"/>
      <c r="AR1957" s="15"/>
    </row>
    <row r="1958" spans="1:44" s="17" customFormat="1" ht="30.95" hidden="1" customHeight="1" x14ac:dyDescent="0.2">
      <c r="A1958" s="343" t="s">
        <v>570</v>
      </c>
      <c r="B1958" s="344" t="s">
        <v>446</v>
      </c>
      <c r="C1958" s="345"/>
      <c r="D1958" s="398"/>
      <c r="E1958" s="31"/>
      <c r="F1958" s="268"/>
      <c r="G1958" s="269"/>
      <c r="H1958" s="269"/>
      <c r="I1958" s="270"/>
      <c r="J1958" s="32" t="s">
        <v>448</v>
      </c>
      <c r="K1958" s="270"/>
      <c r="L1958" s="270"/>
      <c r="M1958" s="39"/>
      <c r="N1958" s="39"/>
      <c r="O1958" s="47"/>
      <c r="P1958" s="57"/>
      <c r="Q1958" s="276"/>
      <c r="R1958" s="277"/>
      <c r="S1958" s="277"/>
      <c r="T1958" s="40"/>
      <c r="U1958" s="278"/>
      <c r="V1958" s="269"/>
      <c r="W1958" s="269"/>
      <c r="X1958" s="275"/>
      <c r="Y1958" s="269"/>
      <c r="Z1958" s="357"/>
      <c r="AA1958" s="207"/>
      <c r="AB1958" s="369"/>
      <c r="AC1958" s="370"/>
      <c r="AD1958" s="332"/>
      <c r="AE1958" s="216"/>
      <c r="AF1958" s="43"/>
      <c r="AG1958" s="47"/>
      <c r="AH1958" s="30"/>
      <c r="AI1958" s="30"/>
      <c r="AJ1958" s="30"/>
      <c r="AK1958" s="30"/>
      <c r="AL1958" s="13"/>
      <c r="AM1958" s="13"/>
      <c r="AN1958" s="13"/>
      <c r="AO1958" s="13"/>
      <c r="AP1958" s="13"/>
      <c r="AQ1958" s="14"/>
      <c r="AR1958" s="15"/>
    </row>
    <row r="1959" spans="1:44" s="17" customFormat="1" ht="30.95" hidden="1" customHeight="1" x14ac:dyDescent="0.2">
      <c r="A1959" s="343"/>
      <c r="B1959" s="344"/>
      <c r="C1959" s="345"/>
      <c r="D1959" s="398"/>
      <c r="E1959" s="31"/>
      <c r="F1959" s="268"/>
      <c r="G1959" s="269"/>
      <c r="H1959" s="269"/>
      <c r="I1959" s="270"/>
      <c r="J1959" s="32"/>
      <c r="K1959" s="270"/>
      <c r="L1959" s="270"/>
      <c r="M1959" s="39"/>
      <c r="N1959" s="39"/>
      <c r="O1959" s="47"/>
      <c r="P1959" s="57"/>
      <c r="Q1959" s="276"/>
      <c r="R1959" s="277"/>
      <c r="S1959" s="277"/>
      <c r="T1959" s="40"/>
      <c r="U1959" s="278"/>
      <c r="V1959" s="269"/>
      <c r="W1959" s="269"/>
      <c r="X1959" s="275"/>
      <c r="Y1959" s="269"/>
      <c r="Z1959" s="357"/>
      <c r="AA1959" s="207"/>
      <c r="AB1959" s="369"/>
      <c r="AC1959" s="370"/>
      <c r="AD1959" s="332"/>
      <c r="AE1959" s="216"/>
      <c r="AF1959" s="43"/>
      <c r="AG1959" s="47"/>
      <c r="AH1959" s="30"/>
      <c r="AI1959" s="30"/>
      <c r="AJ1959" s="30"/>
      <c r="AK1959" s="30"/>
      <c r="AL1959" s="13"/>
      <c r="AM1959" s="13"/>
      <c r="AN1959" s="13"/>
      <c r="AO1959" s="13"/>
      <c r="AP1959" s="13"/>
      <c r="AQ1959" s="14"/>
      <c r="AR1959" s="15"/>
    </row>
    <row r="1960" spans="1:44" s="17" customFormat="1" ht="30.95" hidden="1" customHeight="1" x14ac:dyDescent="0.2">
      <c r="A1960" s="343" t="s">
        <v>1455</v>
      </c>
      <c r="B1960" s="344" t="s">
        <v>462</v>
      </c>
      <c r="C1960" s="345"/>
      <c r="D1960" s="398"/>
      <c r="E1960" s="31"/>
      <c r="F1960" s="268"/>
      <c r="G1960" s="269"/>
      <c r="H1960" s="269"/>
      <c r="I1960" s="270"/>
      <c r="J1960" s="32" t="s">
        <v>448</v>
      </c>
      <c r="K1960" s="270"/>
      <c r="L1960" s="270"/>
      <c r="M1960" s="39"/>
      <c r="N1960" s="39"/>
      <c r="O1960" s="47"/>
      <c r="P1960" s="57"/>
      <c r="Q1960" s="276"/>
      <c r="R1960" s="277"/>
      <c r="S1960" s="277"/>
      <c r="T1960" s="40"/>
      <c r="U1960" s="278"/>
      <c r="V1960" s="269"/>
      <c r="W1960" s="269"/>
      <c r="X1960" s="275"/>
      <c r="Y1960" s="269"/>
      <c r="Z1960" s="357"/>
      <c r="AA1960" s="207"/>
      <c r="AB1960" s="369"/>
      <c r="AC1960" s="370"/>
      <c r="AD1960" s="332"/>
      <c r="AE1960" s="216"/>
      <c r="AF1960" s="43"/>
      <c r="AG1960" s="47"/>
      <c r="AH1960" s="30"/>
      <c r="AI1960" s="30"/>
      <c r="AJ1960" s="30"/>
      <c r="AK1960" s="30"/>
      <c r="AL1960" s="13"/>
      <c r="AM1960" s="13"/>
      <c r="AN1960" s="13"/>
      <c r="AO1960" s="13"/>
      <c r="AP1960" s="13"/>
      <c r="AQ1960" s="14"/>
      <c r="AR1960" s="15"/>
    </row>
    <row r="1961" spans="1:44" s="17" customFormat="1" ht="30.95" hidden="1" customHeight="1" x14ac:dyDescent="0.2">
      <c r="A1961" s="343"/>
      <c r="B1961" s="344"/>
      <c r="C1961" s="345"/>
      <c r="D1961" s="398"/>
      <c r="E1961" s="31"/>
      <c r="F1961" s="268"/>
      <c r="G1961" s="269"/>
      <c r="H1961" s="269"/>
      <c r="I1961" s="270"/>
      <c r="J1961" s="32"/>
      <c r="K1961" s="270"/>
      <c r="L1961" s="270"/>
      <c r="M1961" s="39"/>
      <c r="N1961" s="39"/>
      <c r="O1961" s="47"/>
      <c r="P1961" s="57"/>
      <c r="Q1961" s="276"/>
      <c r="R1961" s="277"/>
      <c r="S1961" s="277"/>
      <c r="T1961" s="40"/>
      <c r="U1961" s="278"/>
      <c r="V1961" s="269"/>
      <c r="W1961" s="269"/>
      <c r="X1961" s="275"/>
      <c r="Y1961" s="269"/>
      <c r="Z1961" s="357"/>
      <c r="AA1961" s="207"/>
      <c r="AB1961" s="369"/>
      <c r="AC1961" s="370"/>
      <c r="AD1961" s="332"/>
      <c r="AE1961" s="216"/>
      <c r="AF1961" s="43"/>
      <c r="AG1961" s="47"/>
      <c r="AH1961" s="30"/>
      <c r="AI1961" s="30"/>
      <c r="AJ1961" s="30"/>
      <c r="AK1961" s="30"/>
      <c r="AL1961" s="13"/>
      <c r="AM1961" s="13"/>
      <c r="AN1961" s="13"/>
      <c r="AO1961" s="13"/>
      <c r="AP1961" s="13"/>
      <c r="AQ1961" s="14"/>
      <c r="AR1961" s="15"/>
    </row>
    <row r="1962" spans="1:44" s="17" customFormat="1" ht="30.95" hidden="1" customHeight="1" x14ac:dyDescent="0.2">
      <c r="A1962" s="320" t="s">
        <v>571</v>
      </c>
      <c r="B1962" s="321" t="s">
        <v>688</v>
      </c>
      <c r="C1962" s="345"/>
      <c r="D1962" s="398">
        <v>3770571</v>
      </c>
      <c r="E1962" s="31">
        <v>4151819</v>
      </c>
      <c r="F1962" s="268" t="str">
        <f>IF(D1962="","",VLOOKUP(D1962,契約台帳!$A$3:$K$4986,6,FALSE)&amp;VLOOKUP(D1962,契約台帳!$A$3:$K$4986,7,FALSE)&amp;VLOOKUP(D1962,契約台帳!$A$3:$K$4986,8,FALSE)&amp;VLOOKUP(D1962,契約台帳!$A$3:$K$4986,9,FALSE)&amp;VLOOKUP(D1962,契約台帳!$A$3:$K$4986,11,FALSE))</f>
        <v>3TYKNZMCR</v>
      </c>
      <c r="G1962" s="269" t="str">
        <f>IF(D1962="","",VLOOKUP(F1962,製品マスタ!$G$5:$H$5002,2,FALSE))</f>
        <v>T</v>
      </c>
      <c r="H1962" s="269" t="str">
        <f>IF(D1962="","",VLOOKUP(F1962,製品マスタ!$G$5:$K$5002,5,FALSE))</f>
        <v>MCR</v>
      </c>
      <c r="I1962" s="270" t="str">
        <f>IF(D1962="","",VLOOKUP(F1962,製品マスタ!$G$5:$L$5002,6,FALSE))</f>
        <v>Metalumy CR</v>
      </c>
      <c r="J1962" s="32" t="s">
        <v>447</v>
      </c>
      <c r="K1962" s="270">
        <f>IF(D1962="","",VLOOKUP(D1962,契約台帳!$A$3:$L$4986,12,FALSE))</f>
        <v>25</v>
      </c>
      <c r="L1962" s="270" t="str">
        <f>IF(D1962="","",INDEX(製品マスタ!$Q$5:$Q$5002,MATCH(F1962&amp;K1962,製品マスタ!$AO$5:$AO$5002,0)))</f>
        <v>S28M</v>
      </c>
      <c r="M1962" s="39">
        <v>1110</v>
      </c>
      <c r="N1962" s="39">
        <v>12100</v>
      </c>
      <c r="O1962" s="47">
        <v>5</v>
      </c>
      <c r="P1962" s="57"/>
      <c r="Q1962" s="276">
        <f>IF(D1962="","",IF(J1962="リード付け",M1962,VLOOKUP(D1962,契約台帳!$A$3:$N$4986,14,FALSE)))</f>
        <v>1050</v>
      </c>
      <c r="R1962" s="277">
        <f>IF(D1962="","",IF(J1962="リード付け",M1962,VLOOKUP(D1962,契約台帳!$A$3:$O$4986,15,FALSE)))</f>
        <v>1050</v>
      </c>
      <c r="S1962" s="277">
        <f>IF(D1962="","",IF(J1962="リード付け",N1962,VLOOKUP(D1962,契約台帳!$A$3:$P$4986,16,FALSE)))</f>
        <v>6000</v>
      </c>
      <c r="T1962" s="40">
        <v>10</v>
      </c>
      <c r="U1962" s="278">
        <f ca="1">IF(D1962="","",IF(OFFSET(D1962,-2,0)=D1962,"",VLOOKUP(D1962,契約台帳!$A$3:$R$4986,18,FALSE)))</f>
        <v>26</v>
      </c>
      <c r="V1962" s="269" t="str">
        <f>IF(J1962="巻返し",VLOOKUP(F1962&amp;K1962&amp;M1962,製品マスタ!$M$5:$AD$5002,18,FALSE),IF(J1962="リード付け","原反コア",IF(J1962="スリット",VLOOKUP(F1962&amp;K1962&amp;Q1962,製品マスタ!$N$5:$AD$5002,17,FALSE),"")))</f>
        <v>6ｲﾝﾁABS</v>
      </c>
      <c r="W1962" s="269">
        <f>IF(J1962="巻返し",VLOOKUP(F1962&amp;K1962&amp;M1962,製品マスタ!$M$5:$AE$5002,19,FALSE),IF(J1962="リード付け","-",IF(J1962="スリット",VLOOKUP(F1962&amp;K1962&amp;Q1962,製品マスタ!$N$5:$AE$5002,18,FALSE),"")))</f>
        <v>1250</v>
      </c>
      <c r="X1962" s="275">
        <f>IF(D1962="","",VLOOKUP(D1962,契約台帳!$A$3:$Q$4986,17,FALSE))</f>
        <v>2</v>
      </c>
      <c r="Y1962" s="269" t="str">
        <f>IF(D1962="","",VLOOKUP(D1962,契約台帳!$A$3:$E$4986,5,FALSE))</f>
        <v>日東電工㈱豊橋工場</v>
      </c>
      <c r="Z1962" s="357"/>
      <c r="AA1962" s="207" t="s">
        <v>2814</v>
      </c>
      <c r="AB1962" s="369"/>
      <c r="AC1962" s="370"/>
      <c r="AD1962" s="332"/>
      <c r="AE1962" s="216"/>
      <c r="AF1962" s="43"/>
      <c r="AG1962" s="47"/>
      <c r="AH1962" s="30"/>
      <c r="AI1962" s="30"/>
      <c r="AJ1962" s="30"/>
      <c r="AK1962" s="30"/>
      <c r="AL1962" s="13"/>
      <c r="AM1962" s="13"/>
      <c r="AN1962" s="13"/>
      <c r="AO1962" s="13"/>
      <c r="AP1962" s="13"/>
      <c r="AQ1962" s="14"/>
      <c r="AR1962" s="15"/>
    </row>
    <row r="1963" spans="1:44" s="17" customFormat="1" ht="30.95" hidden="1" customHeight="1" x14ac:dyDescent="0.2">
      <c r="A1963" s="343"/>
      <c r="B1963" s="344"/>
      <c r="C1963" s="345"/>
      <c r="D1963" s="398"/>
      <c r="E1963" s="31"/>
      <c r="F1963" s="268"/>
      <c r="G1963" s="269"/>
      <c r="H1963" s="269"/>
      <c r="I1963" s="270"/>
      <c r="J1963" s="32"/>
      <c r="K1963" s="270"/>
      <c r="L1963" s="270"/>
      <c r="M1963" s="39"/>
      <c r="N1963" s="39"/>
      <c r="O1963" s="47"/>
      <c r="P1963" s="57"/>
      <c r="Q1963" s="276"/>
      <c r="R1963" s="277"/>
      <c r="S1963" s="277"/>
      <c r="T1963" s="40"/>
      <c r="U1963" s="278"/>
      <c r="V1963" s="269"/>
      <c r="W1963" s="269"/>
      <c r="X1963" s="275"/>
      <c r="Y1963" s="269"/>
      <c r="Z1963" s="357"/>
      <c r="AA1963" s="207"/>
      <c r="AB1963" s="369"/>
      <c r="AC1963" s="370"/>
      <c r="AD1963" s="332"/>
      <c r="AE1963" s="216"/>
      <c r="AF1963" s="43"/>
      <c r="AG1963" s="47"/>
      <c r="AH1963" s="30"/>
      <c r="AI1963" s="30"/>
      <c r="AJ1963" s="30"/>
      <c r="AK1963" s="30"/>
      <c r="AL1963" s="13"/>
      <c r="AM1963" s="13"/>
      <c r="AN1963" s="13"/>
      <c r="AO1963" s="13"/>
      <c r="AP1963" s="13"/>
      <c r="AQ1963" s="14"/>
      <c r="AR1963" s="15"/>
    </row>
    <row r="1964" spans="1:44" s="233" customFormat="1" ht="30.95" hidden="1" customHeight="1" x14ac:dyDescent="0.2">
      <c r="A1964" s="399"/>
      <c r="B1964" s="400"/>
      <c r="C1964" s="401"/>
      <c r="D1964" s="396"/>
      <c r="E1964" s="219"/>
      <c r="F1964" s="281"/>
      <c r="G1964" s="282"/>
      <c r="H1964" s="282"/>
      <c r="I1964" s="283"/>
      <c r="J1964" s="220"/>
      <c r="K1964" s="283"/>
      <c r="L1964" s="283"/>
      <c r="M1964" s="221"/>
      <c r="N1964" s="221"/>
      <c r="O1964" s="222"/>
      <c r="P1964" s="213"/>
      <c r="Q1964" s="284"/>
      <c r="R1964" s="285"/>
      <c r="S1964" s="285"/>
      <c r="T1964" s="224"/>
      <c r="U1964" s="286"/>
      <c r="V1964" s="282"/>
      <c r="W1964" s="282"/>
      <c r="X1964" s="287"/>
      <c r="Y1964" s="282"/>
      <c r="Z1964" s="356"/>
      <c r="AA1964" s="288"/>
      <c r="AB1964" s="385"/>
      <c r="AC1964" s="386"/>
      <c r="AD1964" s="387"/>
      <c r="AE1964" s="423"/>
      <c r="AF1964" s="223"/>
      <c r="AG1964" s="234" t="e">
        <f>SUM(AG1860:AG1962)</f>
        <v>#N/A</v>
      </c>
      <c r="AH1964" s="229"/>
      <c r="AI1964" s="229"/>
      <c r="AJ1964" s="229"/>
      <c r="AK1964" s="229"/>
      <c r="AL1964" s="230"/>
      <c r="AM1964" s="230"/>
      <c r="AN1964" s="230"/>
      <c r="AO1964" s="230"/>
      <c r="AP1964" s="230"/>
      <c r="AQ1964" s="231"/>
      <c r="AR1964" s="232"/>
    </row>
    <row r="1965" spans="1:44" s="17" customFormat="1" ht="30.95" hidden="1" customHeight="1" x14ac:dyDescent="0.2">
      <c r="A1965" s="343"/>
      <c r="B1965" s="344"/>
      <c r="C1965" s="345"/>
      <c r="D1965" s="398"/>
      <c r="E1965" s="31"/>
      <c r="F1965" s="268"/>
      <c r="G1965" s="269"/>
      <c r="H1965" s="269"/>
      <c r="I1965" s="270"/>
      <c r="J1965" s="32"/>
      <c r="K1965" s="270"/>
      <c r="L1965" s="270"/>
      <c r="M1965" s="39"/>
      <c r="N1965" s="39"/>
      <c r="O1965" s="47"/>
      <c r="P1965" s="57"/>
      <c r="Q1965" s="276"/>
      <c r="R1965" s="277"/>
      <c r="S1965" s="277"/>
      <c r="T1965" s="40"/>
      <c r="U1965" s="278"/>
      <c r="V1965" s="269"/>
      <c r="W1965" s="269"/>
      <c r="X1965" s="275"/>
      <c r="Y1965" s="269"/>
      <c r="Z1965" s="357"/>
      <c r="AA1965" s="207"/>
      <c r="AB1965" s="369"/>
      <c r="AC1965" s="370"/>
      <c r="AD1965" s="332"/>
      <c r="AE1965" s="216"/>
      <c r="AF1965" s="43"/>
      <c r="AG1965" s="47"/>
      <c r="AH1965" s="30"/>
      <c r="AI1965" s="30"/>
      <c r="AJ1965" s="30"/>
      <c r="AK1965" s="30"/>
      <c r="AL1965" s="13"/>
      <c r="AM1965" s="13"/>
      <c r="AN1965" s="13"/>
      <c r="AO1965" s="13"/>
      <c r="AP1965" s="13"/>
      <c r="AQ1965" s="14"/>
      <c r="AR1965" s="15"/>
    </row>
    <row r="1966" spans="1:44" s="17" customFormat="1" ht="30.95" hidden="1" customHeight="1" x14ac:dyDescent="0.2">
      <c r="A1966" s="320" t="s">
        <v>572</v>
      </c>
      <c r="B1966" s="321" t="s">
        <v>442</v>
      </c>
      <c r="C1966" s="345"/>
      <c r="D1966" s="398">
        <v>3770571</v>
      </c>
      <c r="E1966" s="31">
        <v>4151819</v>
      </c>
      <c r="F1966" s="268" t="str">
        <f>IF(D1966="","",VLOOKUP(D1966,契約台帳!$A$3:$K$4986,6,FALSE)&amp;VLOOKUP(D1966,契約台帳!$A$3:$K$4986,7,FALSE)&amp;VLOOKUP(D1966,契約台帳!$A$3:$K$4986,8,FALSE)&amp;VLOOKUP(D1966,契約台帳!$A$3:$K$4986,9,FALSE)&amp;VLOOKUP(D1966,契約台帳!$A$3:$K$4986,11,FALSE))</f>
        <v>3TYKNZMCR</v>
      </c>
      <c r="G1966" s="269" t="str">
        <f>IF(D1966="","",VLOOKUP(F1966,製品マスタ!$G$5:$H$5002,2,FALSE))</f>
        <v>T</v>
      </c>
      <c r="H1966" s="269" t="str">
        <f>IF(D1966="","",VLOOKUP(F1966,製品マスタ!$G$5:$K$5002,5,FALSE))</f>
        <v>MCR</v>
      </c>
      <c r="I1966" s="270" t="str">
        <f>IF(D1966="","",VLOOKUP(F1966,製品マスタ!$G$5:$L$5002,6,FALSE))</f>
        <v>Metalumy CR</v>
      </c>
      <c r="J1966" s="32" t="s">
        <v>447</v>
      </c>
      <c r="K1966" s="270">
        <f>IF(D1966="","",VLOOKUP(D1966,契約台帳!$A$3:$L$4986,12,FALSE))</f>
        <v>25</v>
      </c>
      <c r="L1966" s="270" t="str">
        <f>IF(D1966="","",INDEX(製品マスタ!$Q$5:$Q$5002,MATCH(F1966&amp;K1966,製品マスタ!$AO$5:$AO$5002,0)))</f>
        <v>S28M</v>
      </c>
      <c r="M1966" s="39">
        <v>1110</v>
      </c>
      <c r="N1966" s="39">
        <v>12100</v>
      </c>
      <c r="O1966" s="47">
        <v>5</v>
      </c>
      <c r="P1966" s="57"/>
      <c r="Q1966" s="276">
        <f>IF(D1966="","",IF(J1966="リード付け",M1966,VLOOKUP(D1966,契約台帳!$A$3:$N$4986,14,FALSE)))</f>
        <v>1050</v>
      </c>
      <c r="R1966" s="277">
        <f>IF(D1966="","",IF(J1966="リード付け",M1966,VLOOKUP(D1966,契約台帳!$A$3:$O$4986,15,FALSE)))</f>
        <v>1050</v>
      </c>
      <c r="S1966" s="277">
        <f>IF(D1966="","",IF(J1966="リード付け",N1966,VLOOKUP(D1966,契約台帳!$A$3:$P$4986,16,FALSE)))</f>
        <v>6000</v>
      </c>
      <c r="T1966" s="40">
        <v>10</v>
      </c>
      <c r="U1966" s="278">
        <f ca="1">IF(D1966="","",IF(OFFSET(D1966,-2,0)=D1966,"",VLOOKUP(D1966,契約台帳!$A$3:$R$4986,18,FALSE)))</f>
        <v>26</v>
      </c>
      <c r="V1966" s="269" t="str">
        <f>IF(J1966="巻返し",VLOOKUP(F1966&amp;K1966&amp;M1966,製品マスタ!$M$5:$AD$5002,18,FALSE),IF(J1966="リード付け","原反コア",IF(J1966="スリット",VLOOKUP(F1966&amp;K1966&amp;Q1966,製品マスタ!$N$5:$AD$5002,17,FALSE),"")))</f>
        <v>6ｲﾝﾁABS</v>
      </c>
      <c r="W1966" s="269">
        <f>IF(J1966="巻返し",VLOOKUP(F1966&amp;K1966&amp;M1966,製品マスタ!$M$5:$AE$5002,19,FALSE),IF(J1966="リード付け","-",IF(J1966="スリット",VLOOKUP(F1966&amp;K1966&amp;Q1966,製品マスタ!$N$5:$AE$5002,18,FALSE),"")))</f>
        <v>1250</v>
      </c>
      <c r="X1966" s="275">
        <f>IF(D1966="","",VLOOKUP(D1966,契約台帳!$A$3:$Q$4986,17,FALSE))</f>
        <v>2</v>
      </c>
      <c r="Y1966" s="269" t="str">
        <f>IF(D1966="","",VLOOKUP(D1966,契約台帳!$A$3:$E$4986,5,FALSE))</f>
        <v>日東電工㈱豊橋工場</v>
      </c>
      <c r="Z1966" s="357"/>
      <c r="AA1966" s="207" t="s">
        <v>2814</v>
      </c>
      <c r="AB1966" s="369"/>
      <c r="AC1966" s="370"/>
      <c r="AD1966" s="332"/>
      <c r="AE1966" s="216"/>
      <c r="AF1966" s="43"/>
      <c r="AG1966" s="47"/>
      <c r="AH1966" s="30"/>
      <c r="AI1966" s="30"/>
      <c r="AJ1966" s="30"/>
      <c r="AK1966" s="30"/>
      <c r="AL1966" s="13"/>
      <c r="AM1966" s="13"/>
      <c r="AN1966" s="13"/>
      <c r="AO1966" s="13"/>
      <c r="AP1966" s="13"/>
      <c r="AQ1966" s="14"/>
      <c r="AR1966" s="15"/>
    </row>
    <row r="1967" spans="1:44" s="17" customFormat="1" ht="30.95" hidden="1" customHeight="1" x14ac:dyDescent="0.2">
      <c r="A1967" s="343"/>
      <c r="B1967" s="344"/>
      <c r="C1967" s="345"/>
      <c r="D1967" s="398"/>
      <c r="E1967" s="31"/>
      <c r="F1967" s="268"/>
      <c r="G1967" s="269"/>
      <c r="H1967" s="269"/>
      <c r="I1967" s="270"/>
      <c r="J1967" s="32"/>
      <c r="K1967" s="270"/>
      <c r="L1967" s="270"/>
      <c r="M1967" s="39"/>
      <c r="N1967" s="39"/>
      <c r="O1967" s="47"/>
      <c r="P1967" s="57"/>
      <c r="Q1967" s="276"/>
      <c r="R1967" s="277"/>
      <c r="S1967" s="277"/>
      <c r="T1967" s="40"/>
      <c r="U1967" s="278"/>
      <c r="V1967" s="269"/>
      <c r="W1967" s="269"/>
      <c r="X1967" s="275"/>
      <c r="Y1967" s="269"/>
      <c r="Z1967" s="357"/>
      <c r="AA1967" s="207"/>
      <c r="AB1967" s="369"/>
      <c r="AC1967" s="370"/>
      <c r="AD1967" s="332"/>
      <c r="AE1967" s="216"/>
      <c r="AF1967" s="43"/>
      <c r="AG1967" s="47"/>
      <c r="AH1967" s="30"/>
      <c r="AI1967" s="30"/>
      <c r="AJ1967" s="30"/>
      <c r="AK1967" s="30"/>
      <c r="AL1967" s="13"/>
      <c r="AM1967" s="13"/>
      <c r="AN1967" s="13"/>
      <c r="AO1967" s="13"/>
      <c r="AP1967" s="13"/>
      <c r="AQ1967" s="14"/>
      <c r="AR1967" s="15"/>
    </row>
    <row r="1968" spans="1:44" s="17" customFormat="1" ht="30.95" hidden="1" customHeight="1" x14ac:dyDescent="0.2">
      <c r="A1968" s="320" t="s">
        <v>573</v>
      </c>
      <c r="B1968" s="321" t="s">
        <v>443</v>
      </c>
      <c r="C1968" s="345"/>
      <c r="D1968" s="398">
        <v>3770571</v>
      </c>
      <c r="E1968" s="31">
        <v>4151819</v>
      </c>
      <c r="F1968" s="268" t="str">
        <f>IF(D1968="","",VLOOKUP(D1968,契約台帳!$A$3:$K$4986,6,FALSE)&amp;VLOOKUP(D1968,契約台帳!$A$3:$K$4986,7,FALSE)&amp;VLOOKUP(D1968,契約台帳!$A$3:$K$4986,8,FALSE)&amp;VLOOKUP(D1968,契約台帳!$A$3:$K$4986,9,FALSE)&amp;VLOOKUP(D1968,契約台帳!$A$3:$K$4986,11,FALSE))</f>
        <v>3TYKNZMCR</v>
      </c>
      <c r="G1968" s="269" t="str">
        <f>IF(D1968="","",VLOOKUP(F1968,製品マスタ!$G$5:$H$5002,2,FALSE))</f>
        <v>T</v>
      </c>
      <c r="H1968" s="269" t="str">
        <f>IF(D1968="","",VLOOKUP(F1968,製品マスタ!$G$5:$K$5002,5,FALSE))</f>
        <v>MCR</v>
      </c>
      <c r="I1968" s="270" t="str">
        <f>IF(D1968="","",VLOOKUP(F1968,製品マスタ!$G$5:$L$5002,6,FALSE))</f>
        <v>Metalumy CR</v>
      </c>
      <c r="J1968" s="32" t="s">
        <v>447</v>
      </c>
      <c r="K1968" s="270">
        <f>IF(D1968="","",VLOOKUP(D1968,契約台帳!$A$3:$L$4986,12,FALSE))</f>
        <v>25</v>
      </c>
      <c r="L1968" s="270" t="str">
        <f>IF(D1968="","",INDEX(製品マスタ!$Q$5:$Q$5002,MATCH(F1968&amp;K1968,製品マスタ!$AO$5:$AO$5002,0)))</f>
        <v>S28M</v>
      </c>
      <c r="M1968" s="39">
        <v>1110</v>
      </c>
      <c r="N1968" s="39">
        <v>12100</v>
      </c>
      <c r="O1968" s="47">
        <v>3</v>
      </c>
      <c r="P1968" s="57"/>
      <c r="Q1968" s="276">
        <f>IF(D1968="","",IF(J1968="リード付け",M1968,VLOOKUP(D1968,契約台帳!$A$3:$N$4986,14,FALSE)))</f>
        <v>1050</v>
      </c>
      <c r="R1968" s="277">
        <f>IF(D1968="","",IF(J1968="リード付け",M1968,VLOOKUP(D1968,契約台帳!$A$3:$O$4986,15,FALSE)))</f>
        <v>1050</v>
      </c>
      <c r="S1968" s="277">
        <f>IF(D1968="","",IF(J1968="リード付け",N1968,VLOOKUP(D1968,契約台帳!$A$3:$P$4986,16,FALSE)))</f>
        <v>6000</v>
      </c>
      <c r="T1968" s="40">
        <v>6</v>
      </c>
      <c r="U1968" s="278" t="str">
        <f ca="1">IF(D1968="","",IF(OFFSET(D1968,-2,0)=D1968,"",VLOOKUP(D1968,契約台帳!$A$3:$R$4986,18,FALSE)))</f>
        <v/>
      </c>
      <c r="V1968" s="269" t="str">
        <f>IF(J1968="巻返し",VLOOKUP(F1968&amp;K1968&amp;M1968,製品マスタ!$M$5:$AD$5002,18,FALSE),IF(J1968="リード付け","原反コア",IF(J1968="スリット",VLOOKUP(F1968&amp;K1968&amp;Q1968,製品マスタ!$N$5:$AD$5002,17,FALSE),"")))</f>
        <v>6ｲﾝﾁABS</v>
      </c>
      <c r="W1968" s="269">
        <f>IF(J1968="巻返し",VLOOKUP(F1968&amp;K1968&amp;M1968,製品マスタ!$M$5:$AE$5002,19,FALSE),IF(J1968="リード付け","-",IF(J1968="スリット",VLOOKUP(F1968&amp;K1968&amp;Q1968,製品マスタ!$N$5:$AE$5002,18,FALSE),"")))</f>
        <v>1250</v>
      </c>
      <c r="X1968" s="275">
        <f>IF(D1968="","",VLOOKUP(D1968,契約台帳!$A$3:$Q$4986,17,FALSE))</f>
        <v>2</v>
      </c>
      <c r="Y1968" s="269" t="str">
        <f>IF(D1968="","",VLOOKUP(D1968,契約台帳!$A$3:$E$4986,5,FALSE))</f>
        <v>日東電工㈱豊橋工場</v>
      </c>
      <c r="Z1968" s="357"/>
      <c r="AA1968" s="207" t="s">
        <v>2814</v>
      </c>
      <c r="AB1968" s="369"/>
      <c r="AC1968" s="370"/>
      <c r="AD1968" s="332"/>
      <c r="AE1968" s="216"/>
      <c r="AF1968" s="43"/>
      <c r="AG1968" s="47"/>
      <c r="AH1968" s="30"/>
      <c r="AI1968" s="30"/>
      <c r="AJ1968" s="30"/>
      <c r="AK1968" s="30"/>
      <c r="AL1968" s="13"/>
      <c r="AM1968" s="13"/>
      <c r="AN1968" s="13"/>
      <c r="AO1968" s="13"/>
      <c r="AP1968" s="13"/>
      <c r="AQ1968" s="14"/>
      <c r="AR1968" s="15"/>
    </row>
    <row r="1969" spans="1:44" s="17" customFormat="1" ht="30.95" hidden="1" customHeight="1" x14ac:dyDescent="0.2">
      <c r="A1969" s="343"/>
      <c r="B1969" s="344"/>
      <c r="C1969" s="345"/>
      <c r="D1969" s="398"/>
      <c r="E1969" s="31"/>
      <c r="F1969" s="268"/>
      <c r="G1969" s="269"/>
      <c r="H1969" s="269"/>
      <c r="I1969" s="270"/>
      <c r="J1969" s="32"/>
      <c r="K1969" s="270"/>
      <c r="L1969" s="270"/>
      <c r="M1969" s="39"/>
      <c r="N1969" s="39"/>
      <c r="O1969" s="47"/>
      <c r="P1969" s="57"/>
      <c r="Q1969" s="276"/>
      <c r="R1969" s="277"/>
      <c r="S1969" s="277"/>
      <c r="T1969" s="40"/>
      <c r="U1969" s="278"/>
      <c r="V1969" s="269"/>
      <c r="W1969" s="269"/>
      <c r="X1969" s="275"/>
      <c r="Y1969" s="269"/>
      <c r="Z1969" s="357"/>
      <c r="AA1969" s="207"/>
      <c r="AB1969" s="369"/>
      <c r="AC1969" s="370"/>
      <c r="AD1969" s="332"/>
      <c r="AE1969" s="216"/>
      <c r="AF1969" s="43"/>
      <c r="AG1969" s="47"/>
      <c r="AH1969" s="30"/>
      <c r="AI1969" s="30"/>
      <c r="AJ1969" s="30"/>
      <c r="AK1969" s="30"/>
      <c r="AL1969" s="13"/>
      <c r="AM1969" s="13"/>
      <c r="AN1969" s="13"/>
      <c r="AO1969" s="13"/>
      <c r="AP1969" s="13"/>
      <c r="AQ1969" s="14"/>
      <c r="AR1969" s="15"/>
    </row>
    <row r="1970" spans="1:44" s="17" customFormat="1" ht="30.6" hidden="1" customHeight="1" x14ac:dyDescent="0.2">
      <c r="A1970" s="320"/>
      <c r="B1970" s="321"/>
      <c r="C1970" s="345"/>
      <c r="D1970" s="398">
        <v>3770584</v>
      </c>
      <c r="E1970" s="31">
        <v>4155313</v>
      </c>
      <c r="F1970" s="268" t="str">
        <f>IF(D1970="","",VLOOKUP(D1970,契約台帳!$A$3:$K$4986,6,FALSE)&amp;VLOOKUP(D1970,契約台帳!$A$3:$K$4986,7,FALSE)&amp;VLOOKUP(D1970,契約台帳!$A$3:$K$4986,8,FALSE)&amp;VLOOKUP(D1970,契約台帳!$A$3:$K$4986,9,FALSE)&amp;VLOOKUP(D1970,契約台帳!$A$3:$K$4986,11,FALSE))</f>
        <v>3SNMLBMNGTBF</v>
      </c>
      <c r="G1970" s="269" t="str">
        <f>IF(D1970="","",VLOOKUP(F1970,製品マスタ!$G$5:$H$5002,2,FALSE))</f>
        <v>S</v>
      </c>
      <c r="H1970" s="269" t="str">
        <f>IF(D1970="","",VLOOKUP(F1970,製品マスタ!$G$5:$K$5002,5,FALSE))</f>
        <v>MNGTBF</v>
      </c>
      <c r="I1970" s="270" t="str">
        <f>IF(D1970="","",VLOOKUP(F1970,製品マスタ!$G$5:$L$5002,6,FALSE))</f>
        <v>メタルミー　ネーマー　銀艶　Ｂ</v>
      </c>
      <c r="J1970" s="32" t="s">
        <v>447</v>
      </c>
      <c r="K1970" s="270">
        <f>IF(D1970="","",VLOOKUP(D1970,契約台帳!$A$3:$L$4986,12,FALSE))</f>
        <v>50</v>
      </c>
      <c r="L1970" s="270" t="str">
        <f>IF(D1970="","",INDEX(製品マスタ!$Q$5:$Q$5002,MATCH(F1970&amp;K1970,製品マスタ!$AO$5:$AO$5002,0)))</f>
        <v>T62</v>
      </c>
      <c r="M1970" s="39">
        <v>1120</v>
      </c>
      <c r="N1970" s="39">
        <v>8000</v>
      </c>
      <c r="O1970" s="47">
        <v>3</v>
      </c>
      <c r="P1970" s="57"/>
      <c r="Q1970" s="276">
        <f>IF(D1970="","",IF(J1970="リード付け",M1970,VLOOKUP(D1970,契約台帳!$A$3:$N$4986,14,FALSE)))</f>
        <v>1120</v>
      </c>
      <c r="R1970" s="277">
        <f>IF(D1970="","",IF(J1970="リード付け",M1970,VLOOKUP(D1970,契約台帳!$A$3:$O$4986,15,FALSE)))</f>
        <v>1120</v>
      </c>
      <c r="S1970" s="277">
        <v>4000</v>
      </c>
      <c r="T1970" s="40">
        <v>6</v>
      </c>
      <c r="U1970" s="278">
        <f ca="1">IF(D1970="","",IF(OFFSET(D1970,-2,0)=D1970,"",VLOOKUP(D1970,契約台帳!$A$3:$R$4986,18,FALSE)))</f>
        <v>68</v>
      </c>
      <c r="V1970" s="269" t="str">
        <f>IF(J1970="巻返し",VLOOKUP(F1970&amp;K1970&amp;M1970,製品マスタ!$M$5:$AD$5002,18,FALSE),IF(J1970="リード付け","原反コア",IF(J1970="スリット",VLOOKUP(F1970&amp;K1970&amp;Q1970,製品マスタ!$N$5:$AD$5002,17,FALSE),"")))</f>
        <v>6ｲﾝﾁSｺｱ</v>
      </c>
      <c r="W1970" s="269">
        <f>IF(J1970="巻返し",VLOOKUP(F1970&amp;K1970&amp;M1970,製品マスタ!$M$5:$AE$5002,19,FALSE),IF(J1970="リード付け","-",IF(J1970="スリット",VLOOKUP(F1970&amp;K1970&amp;Q1970,製品マスタ!$N$5:$AE$5002,18,FALSE),"")))</f>
        <v>1125</v>
      </c>
      <c r="X1970" s="275">
        <f>IF(D1970="","",VLOOKUP(D1970,契約台帳!$A$3:$Q$4986,17,FALSE))</f>
        <v>2</v>
      </c>
      <c r="Y1970" s="269" t="str">
        <f>IF(D1970="","",VLOOKUP(D1970,契約台帳!$A$3:$E$4986,5,FALSE))</f>
        <v>リンテック㈱</v>
      </c>
      <c r="Z1970" s="357">
        <v>45566</v>
      </c>
      <c r="AA1970" s="207"/>
      <c r="AB1970" s="369"/>
      <c r="AC1970" s="370"/>
      <c r="AD1970" s="332" t="str">
        <f>IF(F1970="","",+F1970&amp;K1970)</f>
        <v>3SNMLBMNGTBF50</v>
      </c>
      <c r="AE1970" s="216">
        <f>+M1970*N1970*O1970/1000</f>
        <v>26880</v>
      </c>
      <c r="AF1970" s="43">
        <f>IF(AD1970="","",VLOOKUP(AD1970,原価マスタ!$A$2:$AJ$1693,13,FALSE))</f>
        <v>99</v>
      </c>
      <c r="AG1970" s="47">
        <f>IF(AF1970="","",+AE1970*AF1970/100)</f>
        <v>26611.200000000001</v>
      </c>
      <c r="AH1970" s="30"/>
      <c r="AI1970" s="30"/>
      <c r="AJ1970" s="30"/>
      <c r="AK1970" s="30"/>
      <c r="AL1970" s="13"/>
      <c r="AM1970" s="13"/>
      <c r="AN1970" s="13"/>
      <c r="AO1970" s="13"/>
      <c r="AP1970" s="13"/>
      <c r="AQ1970" s="14"/>
      <c r="AR1970" s="15"/>
    </row>
    <row r="1971" spans="1:44" s="17" customFormat="1" ht="30.95" hidden="1" customHeight="1" x14ac:dyDescent="0.2">
      <c r="A1971" s="343"/>
      <c r="B1971" s="344"/>
      <c r="C1971" s="345"/>
      <c r="D1971" s="398"/>
      <c r="E1971" s="31"/>
      <c r="F1971" s="268"/>
      <c r="G1971" s="269"/>
      <c r="H1971" s="269"/>
      <c r="I1971" s="270"/>
      <c r="J1971" s="32"/>
      <c r="K1971" s="270"/>
      <c r="L1971" s="270"/>
      <c r="M1971" s="39"/>
      <c r="N1971" s="39"/>
      <c r="O1971" s="47"/>
      <c r="P1971" s="57"/>
      <c r="Q1971" s="276"/>
      <c r="R1971" s="277"/>
      <c r="S1971" s="277"/>
      <c r="T1971" s="40"/>
      <c r="U1971" s="278"/>
      <c r="V1971" s="269"/>
      <c r="W1971" s="269"/>
      <c r="X1971" s="275"/>
      <c r="Y1971" s="269"/>
      <c r="Z1971" s="357"/>
      <c r="AA1971" s="207"/>
      <c r="AB1971" s="369"/>
      <c r="AC1971" s="370"/>
      <c r="AD1971" s="332"/>
      <c r="AE1971" s="216"/>
      <c r="AF1971" s="43"/>
      <c r="AG1971" s="47"/>
      <c r="AH1971" s="30"/>
      <c r="AI1971" s="30"/>
      <c r="AJ1971" s="30"/>
      <c r="AK1971" s="30"/>
      <c r="AL1971" s="13"/>
      <c r="AM1971" s="13"/>
      <c r="AN1971" s="13"/>
      <c r="AO1971" s="13"/>
      <c r="AP1971" s="13"/>
      <c r="AQ1971" s="14"/>
      <c r="AR1971" s="15"/>
    </row>
    <row r="1972" spans="1:44" s="17" customFormat="1" ht="30.6" hidden="1" customHeight="1" x14ac:dyDescent="0.2">
      <c r="A1972" s="320" t="s">
        <v>3139</v>
      </c>
      <c r="B1972" s="321" t="s">
        <v>3136</v>
      </c>
      <c r="C1972" s="345"/>
      <c r="D1972" s="398">
        <v>3770584</v>
      </c>
      <c r="E1972" s="31">
        <v>4155313</v>
      </c>
      <c r="F1972" s="268" t="str">
        <f>IF(D1972="","",VLOOKUP(D1972,契約台帳!$A$3:$K$4986,6,FALSE)&amp;VLOOKUP(D1972,契約台帳!$A$3:$K$4986,7,FALSE)&amp;VLOOKUP(D1972,契約台帳!$A$3:$K$4986,8,FALSE)&amp;VLOOKUP(D1972,契約台帳!$A$3:$K$4986,9,FALSE)&amp;VLOOKUP(D1972,契約台帳!$A$3:$K$4986,11,FALSE))</f>
        <v>3SNMLBMNGTBF</v>
      </c>
      <c r="G1972" s="269" t="str">
        <f>IF(D1972="","",VLOOKUP(F1972,製品マスタ!$G$5:$H$5002,2,FALSE))</f>
        <v>S</v>
      </c>
      <c r="H1972" s="269" t="str">
        <f>IF(D1972="","",VLOOKUP(F1972,製品マスタ!$G$5:$K$5002,5,FALSE))</f>
        <v>MNGTBF</v>
      </c>
      <c r="I1972" s="270" t="str">
        <f>IF(D1972="","",VLOOKUP(F1972,製品マスタ!$G$5:$L$5002,6,FALSE))</f>
        <v>メタルミー　ネーマー　銀艶　Ｂ</v>
      </c>
      <c r="J1972" s="32" t="s">
        <v>447</v>
      </c>
      <c r="K1972" s="270">
        <f>IF(D1972="","",VLOOKUP(D1972,契約台帳!$A$3:$L$4986,12,FALSE))</f>
        <v>50</v>
      </c>
      <c r="L1972" s="270" t="str">
        <f>IF(D1972="","",INDEX(製品マスタ!$Q$5:$Q$5002,MATCH(F1972&amp;K1972,製品マスタ!$AO$5:$AO$5002,0)))</f>
        <v>T62</v>
      </c>
      <c r="M1972" s="39">
        <v>1120</v>
      </c>
      <c r="N1972" s="39">
        <v>8000</v>
      </c>
      <c r="O1972" s="47">
        <v>6</v>
      </c>
      <c r="P1972" s="57"/>
      <c r="Q1972" s="276">
        <f>IF(D1972="","",IF(J1972="リード付け",M1972,VLOOKUP(D1972,契約台帳!$A$3:$N$4986,14,FALSE)))</f>
        <v>1120</v>
      </c>
      <c r="R1972" s="277">
        <f>IF(D1972="","",IF(J1972="リード付け",M1972,VLOOKUP(D1972,契約台帳!$A$3:$O$4986,15,FALSE)))</f>
        <v>1120</v>
      </c>
      <c r="S1972" s="277">
        <v>4000</v>
      </c>
      <c r="T1972" s="40">
        <v>12</v>
      </c>
      <c r="U1972" s="278" t="str">
        <f ca="1">IF(D1972="","",IF(OFFSET(D1972,-2,0)=D1972,"",VLOOKUP(D1972,契約台帳!$A$3:$R$4986,18,FALSE)))</f>
        <v/>
      </c>
      <c r="V1972" s="269" t="str">
        <f>IF(J1972="巻返し",VLOOKUP(F1972&amp;K1972&amp;M1972,製品マスタ!$M$5:$AD$5002,18,FALSE),IF(J1972="リード付け","原反コア",IF(J1972="スリット",VLOOKUP(F1972&amp;K1972&amp;Q1972,製品マスタ!$N$5:$AD$5002,17,FALSE),"")))</f>
        <v>6ｲﾝﾁSｺｱ</v>
      </c>
      <c r="W1972" s="269">
        <f>IF(J1972="巻返し",VLOOKUP(F1972&amp;K1972&amp;M1972,製品マスタ!$M$5:$AE$5002,19,FALSE),IF(J1972="リード付け","-",IF(J1972="スリット",VLOOKUP(F1972&amp;K1972&amp;Q1972,製品マスタ!$N$5:$AE$5002,18,FALSE),"")))</f>
        <v>1125</v>
      </c>
      <c r="X1972" s="275">
        <f>IF(D1972="","",VLOOKUP(D1972,契約台帳!$A$3:$Q$4986,17,FALSE))</f>
        <v>2</v>
      </c>
      <c r="Y1972" s="269" t="str">
        <f>IF(D1972="","",VLOOKUP(D1972,契約台帳!$A$3:$E$4986,5,FALSE))</f>
        <v>リンテック㈱</v>
      </c>
      <c r="Z1972" s="357">
        <v>45566</v>
      </c>
      <c r="AA1972" s="207"/>
      <c r="AB1972" s="369"/>
      <c r="AC1972" s="370"/>
      <c r="AD1972" s="332" t="str">
        <f>IF(F1972="","",+F1972&amp;K1972)</f>
        <v>3SNMLBMNGTBF50</v>
      </c>
      <c r="AE1972" s="216">
        <f>+M1972*N1972*O1972/1000</f>
        <v>53760</v>
      </c>
      <c r="AF1972" s="43">
        <f>IF(AD1972="","",VLOOKUP(AD1972,原価マスタ!$A$2:$AJ$1693,13,FALSE))</f>
        <v>99</v>
      </c>
      <c r="AG1972" s="47">
        <f>IF(AF1972="","",+AE1972*AF1972/100)</f>
        <v>53222.400000000001</v>
      </c>
      <c r="AH1972" s="30"/>
      <c r="AI1972" s="30"/>
      <c r="AJ1972" s="30"/>
      <c r="AK1972" s="30"/>
      <c r="AL1972" s="13"/>
      <c r="AM1972" s="13"/>
      <c r="AN1972" s="13"/>
      <c r="AO1972" s="13"/>
      <c r="AP1972" s="13"/>
      <c r="AQ1972" s="14"/>
      <c r="AR1972" s="15"/>
    </row>
    <row r="1973" spans="1:44" s="17" customFormat="1" ht="30.95" hidden="1" customHeight="1" x14ac:dyDescent="0.2">
      <c r="A1973" s="343"/>
      <c r="B1973" s="344"/>
      <c r="C1973" s="345"/>
      <c r="D1973" s="398"/>
      <c r="E1973" s="31"/>
      <c r="F1973" s="268"/>
      <c r="G1973" s="269"/>
      <c r="H1973" s="269"/>
      <c r="I1973" s="270"/>
      <c r="J1973" s="32"/>
      <c r="K1973" s="270"/>
      <c r="L1973" s="270"/>
      <c r="M1973" s="39"/>
      <c r="N1973" s="39"/>
      <c r="O1973" s="47"/>
      <c r="P1973" s="57"/>
      <c r="Q1973" s="276"/>
      <c r="R1973" s="277"/>
      <c r="S1973" s="277"/>
      <c r="T1973" s="40"/>
      <c r="U1973" s="278"/>
      <c r="V1973" s="269"/>
      <c r="W1973" s="269"/>
      <c r="X1973" s="275"/>
      <c r="Y1973" s="269"/>
      <c r="Z1973" s="357"/>
      <c r="AA1973" s="207"/>
      <c r="AB1973" s="369"/>
      <c r="AC1973" s="370"/>
      <c r="AD1973" s="332"/>
      <c r="AE1973" s="216"/>
      <c r="AF1973" s="43"/>
      <c r="AG1973" s="47"/>
      <c r="AH1973" s="30"/>
      <c r="AI1973" s="30"/>
      <c r="AJ1973" s="30"/>
      <c r="AK1973" s="30"/>
      <c r="AL1973" s="13"/>
      <c r="AM1973" s="13"/>
      <c r="AN1973" s="13"/>
      <c r="AO1973" s="13"/>
      <c r="AP1973" s="13"/>
      <c r="AQ1973" s="14"/>
      <c r="AR1973" s="15"/>
    </row>
    <row r="1974" spans="1:44" s="17" customFormat="1" ht="30.6" hidden="1" customHeight="1" x14ac:dyDescent="0.2">
      <c r="A1974" s="320" t="s">
        <v>3140</v>
      </c>
      <c r="B1974" s="321" t="s">
        <v>3141</v>
      </c>
      <c r="C1974" s="345"/>
      <c r="D1974" s="398">
        <v>3770584</v>
      </c>
      <c r="E1974" s="31">
        <v>4155313</v>
      </c>
      <c r="F1974" s="268" t="str">
        <f>IF(D1974="","",VLOOKUP(D1974,契約台帳!$A$3:$K$4986,6,FALSE)&amp;VLOOKUP(D1974,契約台帳!$A$3:$K$4986,7,FALSE)&amp;VLOOKUP(D1974,契約台帳!$A$3:$K$4986,8,FALSE)&amp;VLOOKUP(D1974,契約台帳!$A$3:$K$4986,9,FALSE)&amp;VLOOKUP(D1974,契約台帳!$A$3:$K$4986,11,FALSE))</f>
        <v>3SNMLBMNGTBF</v>
      </c>
      <c r="G1974" s="269" t="str">
        <f>IF(D1974="","",VLOOKUP(F1974,製品マスタ!$G$5:$H$5002,2,FALSE))</f>
        <v>S</v>
      </c>
      <c r="H1974" s="269" t="str">
        <f>IF(D1974="","",VLOOKUP(F1974,製品マスタ!$G$5:$K$5002,5,FALSE))</f>
        <v>MNGTBF</v>
      </c>
      <c r="I1974" s="270" t="str">
        <f>IF(D1974="","",VLOOKUP(F1974,製品マスタ!$G$5:$L$5002,6,FALSE))</f>
        <v>メタルミー　ネーマー　銀艶　Ｂ</v>
      </c>
      <c r="J1974" s="32" t="s">
        <v>447</v>
      </c>
      <c r="K1974" s="270">
        <f>IF(D1974="","",VLOOKUP(D1974,契約台帳!$A$3:$L$4986,12,FALSE))</f>
        <v>50</v>
      </c>
      <c r="L1974" s="270" t="str">
        <f>IF(D1974="","",INDEX(製品マスタ!$Q$5:$Q$5002,MATCH(F1974&amp;K1974,製品マスタ!$AO$5:$AO$5002,0)))</f>
        <v>T62</v>
      </c>
      <c r="M1974" s="39">
        <v>1120</v>
      </c>
      <c r="N1974" s="39">
        <v>8000</v>
      </c>
      <c r="O1974" s="47">
        <v>6</v>
      </c>
      <c r="P1974" s="57"/>
      <c r="Q1974" s="276">
        <f>IF(D1974="","",IF(J1974="リード付け",M1974,VLOOKUP(D1974,契約台帳!$A$3:$N$4986,14,FALSE)))</f>
        <v>1120</v>
      </c>
      <c r="R1974" s="277">
        <f>IF(D1974="","",IF(J1974="リード付け",M1974,VLOOKUP(D1974,契約台帳!$A$3:$O$4986,15,FALSE)))</f>
        <v>1120</v>
      </c>
      <c r="S1974" s="277">
        <v>4000</v>
      </c>
      <c r="T1974" s="40">
        <v>12</v>
      </c>
      <c r="U1974" s="278" t="str">
        <f ca="1">IF(D1974="","",IF(OFFSET(D1974,-2,0)=D1974,"",VLOOKUP(D1974,契約台帳!$A$3:$R$4986,18,FALSE)))</f>
        <v/>
      </c>
      <c r="V1974" s="269" t="str">
        <f>IF(J1974="巻返し",VLOOKUP(F1974&amp;K1974&amp;M1974,製品マスタ!$M$5:$AD$5002,18,FALSE),IF(J1974="リード付け","原反コア",IF(J1974="スリット",VLOOKUP(F1974&amp;K1974&amp;Q1974,製品マスタ!$N$5:$AD$5002,17,FALSE),"")))</f>
        <v>6ｲﾝﾁSｺｱ</v>
      </c>
      <c r="W1974" s="269">
        <f>IF(J1974="巻返し",VLOOKUP(F1974&amp;K1974&amp;M1974,製品マスタ!$M$5:$AE$5002,19,FALSE),IF(J1974="リード付け","-",IF(J1974="スリット",VLOOKUP(F1974&amp;K1974&amp;Q1974,製品マスタ!$N$5:$AE$5002,18,FALSE),"")))</f>
        <v>1125</v>
      </c>
      <c r="X1974" s="275">
        <f>IF(D1974="","",VLOOKUP(D1974,契約台帳!$A$3:$Q$4986,17,FALSE))</f>
        <v>2</v>
      </c>
      <c r="Y1974" s="269" t="str">
        <f>IF(D1974="","",VLOOKUP(D1974,契約台帳!$A$3:$E$4986,5,FALSE))</f>
        <v>リンテック㈱</v>
      </c>
      <c r="Z1974" s="357">
        <v>45566</v>
      </c>
      <c r="AA1974" s="207"/>
      <c r="AB1974" s="369"/>
      <c r="AC1974" s="370"/>
      <c r="AD1974" s="332" t="str">
        <f>IF(F1974="","",+F1974&amp;K1974)</f>
        <v>3SNMLBMNGTBF50</v>
      </c>
      <c r="AE1974" s="216">
        <f>+M1974*N1974*O1974/1000</f>
        <v>53760</v>
      </c>
      <c r="AF1974" s="43">
        <f>IF(AD1974="","",VLOOKUP(AD1974,原価マスタ!$A$2:$AJ$1693,13,FALSE))</f>
        <v>99</v>
      </c>
      <c r="AG1974" s="47">
        <f>IF(AF1974="","",+AE1974*AF1974/100)</f>
        <v>53222.400000000001</v>
      </c>
      <c r="AH1974" s="30"/>
      <c r="AI1974" s="30"/>
      <c r="AJ1974" s="30"/>
      <c r="AK1974" s="30"/>
      <c r="AL1974" s="13"/>
      <c r="AM1974" s="13"/>
      <c r="AN1974" s="13"/>
      <c r="AO1974" s="13"/>
      <c r="AP1974" s="13"/>
      <c r="AQ1974" s="14"/>
      <c r="AR1974" s="15"/>
    </row>
    <row r="1975" spans="1:44" s="17" customFormat="1" ht="30.95" hidden="1" customHeight="1" x14ac:dyDescent="0.2">
      <c r="A1975" s="343"/>
      <c r="B1975" s="344"/>
      <c r="C1975" s="345"/>
      <c r="D1975" s="398"/>
      <c r="E1975" s="31"/>
      <c r="F1975" s="268"/>
      <c r="G1975" s="269"/>
      <c r="H1975" s="269"/>
      <c r="I1975" s="270"/>
      <c r="J1975" s="32"/>
      <c r="K1975" s="270"/>
      <c r="L1975" s="270"/>
      <c r="M1975" s="39"/>
      <c r="N1975" s="39"/>
      <c r="O1975" s="47"/>
      <c r="P1975" s="57"/>
      <c r="Q1975" s="276"/>
      <c r="R1975" s="277"/>
      <c r="S1975" s="277"/>
      <c r="T1975" s="40"/>
      <c r="U1975" s="278"/>
      <c r="V1975" s="269"/>
      <c r="W1975" s="269"/>
      <c r="X1975" s="275"/>
      <c r="Y1975" s="269"/>
      <c r="Z1975" s="357"/>
      <c r="AA1975" s="207"/>
      <c r="AB1975" s="369"/>
      <c r="AC1975" s="370"/>
      <c r="AD1975" s="332"/>
      <c r="AE1975" s="216"/>
      <c r="AF1975" s="43"/>
      <c r="AG1975" s="47"/>
      <c r="AH1975" s="30"/>
      <c r="AI1975" s="30"/>
      <c r="AJ1975" s="30"/>
      <c r="AK1975" s="30"/>
      <c r="AL1975" s="13"/>
      <c r="AM1975" s="13"/>
      <c r="AN1975" s="13"/>
      <c r="AO1975" s="13"/>
      <c r="AP1975" s="13"/>
      <c r="AQ1975" s="14"/>
      <c r="AR1975" s="15"/>
    </row>
    <row r="1976" spans="1:44" s="17" customFormat="1" ht="30.95" hidden="1" customHeight="1" x14ac:dyDescent="0.2">
      <c r="A1976" s="343" t="s">
        <v>582</v>
      </c>
      <c r="B1976" s="344" t="s">
        <v>446</v>
      </c>
      <c r="C1976" s="345"/>
      <c r="D1976" s="398"/>
      <c r="E1976" s="31"/>
      <c r="F1976" s="268"/>
      <c r="G1976" s="269"/>
      <c r="H1976" s="269"/>
      <c r="I1976" s="270"/>
      <c r="J1976" s="32" t="s">
        <v>448</v>
      </c>
      <c r="K1976" s="270"/>
      <c r="L1976" s="270"/>
      <c r="M1976" s="39"/>
      <c r="N1976" s="39"/>
      <c r="O1976" s="47"/>
      <c r="P1976" s="57"/>
      <c r="Q1976" s="276"/>
      <c r="R1976" s="277"/>
      <c r="S1976" s="277"/>
      <c r="T1976" s="40"/>
      <c r="U1976" s="278"/>
      <c r="V1976" s="269"/>
      <c r="W1976" s="269"/>
      <c r="X1976" s="275"/>
      <c r="Y1976" s="269"/>
      <c r="Z1976" s="357"/>
      <c r="AA1976" s="207"/>
      <c r="AB1976" s="369"/>
      <c r="AC1976" s="370"/>
      <c r="AD1976" s="332"/>
      <c r="AE1976" s="216"/>
      <c r="AF1976" s="43"/>
      <c r="AG1976" s="47"/>
      <c r="AH1976" s="30"/>
      <c r="AI1976" s="30"/>
      <c r="AJ1976" s="30"/>
      <c r="AK1976" s="30"/>
      <c r="AL1976" s="13"/>
      <c r="AM1976" s="13"/>
      <c r="AN1976" s="13"/>
      <c r="AO1976" s="13"/>
      <c r="AP1976" s="13"/>
      <c r="AQ1976" s="14"/>
      <c r="AR1976" s="15"/>
    </row>
    <row r="1977" spans="1:44" s="17" customFormat="1" ht="30.95" hidden="1" customHeight="1" x14ac:dyDescent="0.2">
      <c r="A1977" s="343"/>
      <c r="B1977" s="344"/>
      <c r="C1977" s="345"/>
      <c r="D1977" s="398"/>
      <c r="E1977" s="31"/>
      <c r="F1977" s="268"/>
      <c r="G1977" s="269"/>
      <c r="H1977" s="269"/>
      <c r="I1977" s="270"/>
      <c r="J1977" s="32"/>
      <c r="K1977" s="270"/>
      <c r="L1977" s="270"/>
      <c r="M1977" s="39"/>
      <c r="N1977" s="39"/>
      <c r="O1977" s="47"/>
      <c r="P1977" s="57"/>
      <c r="Q1977" s="276"/>
      <c r="R1977" s="277"/>
      <c r="S1977" s="277"/>
      <c r="T1977" s="40"/>
      <c r="U1977" s="278"/>
      <c r="V1977" s="269"/>
      <c r="W1977" s="269"/>
      <c r="X1977" s="275"/>
      <c r="Y1977" s="269"/>
      <c r="Z1977" s="357"/>
      <c r="AA1977" s="207"/>
      <c r="AB1977" s="369"/>
      <c r="AC1977" s="370"/>
      <c r="AD1977" s="332"/>
      <c r="AE1977" s="216"/>
      <c r="AF1977" s="43"/>
      <c r="AG1977" s="47"/>
      <c r="AH1977" s="30"/>
      <c r="AI1977" s="30"/>
      <c r="AJ1977" s="30"/>
      <c r="AK1977" s="30"/>
      <c r="AL1977" s="13"/>
      <c r="AM1977" s="13"/>
      <c r="AN1977" s="13"/>
      <c r="AO1977" s="13"/>
      <c r="AP1977" s="13"/>
      <c r="AQ1977" s="14"/>
      <c r="AR1977" s="15"/>
    </row>
    <row r="1978" spans="1:44" s="17" customFormat="1" ht="30.6" hidden="1" customHeight="1" x14ac:dyDescent="0.2">
      <c r="A1978" s="320" t="s">
        <v>3142</v>
      </c>
      <c r="B1978" s="321" t="s">
        <v>3143</v>
      </c>
      <c r="C1978" s="345"/>
      <c r="D1978" s="398">
        <v>3770584</v>
      </c>
      <c r="E1978" s="31">
        <v>4155313</v>
      </c>
      <c r="F1978" s="268" t="str">
        <f>IF(D1978="","",VLOOKUP(D1978,契約台帳!$A$3:$K$4986,6,FALSE)&amp;VLOOKUP(D1978,契約台帳!$A$3:$K$4986,7,FALSE)&amp;VLOOKUP(D1978,契約台帳!$A$3:$K$4986,8,FALSE)&amp;VLOOKUP(D1978,契約台帳!$A$3:$K$4986,9,FALSE)&amp;VLOOKUP(D1978,契約台帳!$A$3:$K$4986,11,FALSE))</f>
        <v>3SNMLBMNGTBF</v>
      </c>
      <c r="G1978" s="269" t="str">
        <f>IF(D1978="","",VLOOKUP(F1978,製品マスタ!$G$5:$H$5002,2,FALSE))</f>
        <v>S</v>
      </c>
      <c r="H1978" s="269" t="str">
        <f>IF(D1978="","",VLOOKUP(F1978,製品マスタ!$G$5:$K$5002,5,FALSE))</f>
        <v>MNGTBF</v>
      </c>
      <c r="I1978" s="270" t="str">
        <f>IF(D1978="","",VLOOKUP(F1978,製品マスタ!$G$5:$L$5002,6,FALSE))</f>
        <v>メタルミー　ネーマー　銀艶　Ｂ</v>
      </c>
      <c r="J1978" s="32" t="s">
        <v>447</v>
      </c>
      <c r="K1978" s="270">
        <f>IF(D1978="","",VLOOKUP(D1978,契約台帳!$A$3:$L$4986,12,FALSE))</f>
        <v>50</v>
      </c>
      <c r="L1978" s="270" t="str">
        <f>IF(D1978="","",INDEX(製品マスタ!$Q$5:$Q$5002,MATCH(F1978&amp;K1978,製品マスタ!$AO$5:$AO$5002,0)))</f>
        <v>T62</v>
      </c>
      <c r="M1978" s="39">
        <v>1120</v>
      </c>
      <c r="N1978" s="39">
        <v>8000</v>
      </c>
      <c r="O1978" s="47">
        <v>6</v>
      </c>
      <c r="P1978" s="57"/>
      <c r="Q1978" s="276">
        <f>IF(D1978="","",IF(J1978="リード付け",M1978,VLOOKUP(D1978,契約台帳!$A$3:$N$4986,14,FALSE)))</f>
        <v>1120</v>
      </c>
      <c r="R1978" s="277">
        <f>IF(D1978="","",IF(J1978="リード付け",M1978,VLOOKUP(D1978,契約台帳!$A$3:$O$4986,15,FALSE)))</f>
        <v>1120</v>
      </c>
      <c r="S1978" s="277">
        <v>4000</v>
      </c>
      <c r="T1978" s="40">
        <v>12</v>
      </c>
      <c r="U1978" s="278">
        <f ca="1">IF(D1978="","",IF(OFFSET(D1978,-2,0)=D1978,"",VLOOKUP(D1978,契約台帳!$A$3:$R$4986,18,FALSE)))</f>
        <v>68</v>
      </c>
      <c r="V1978" s="269" t="str">
        <f>IF(J1978="巻返し",VLOOKUP(F1978&amp;K1978&amp;M1978,製品マスタ!$M$5:$AD$5002,18,FALSE),IF(J1978="リード付け","原反コア",IF(J1978="スリット",VLOOKUP(F1978&amp;K1978&amp;Q1978,製品マスタ!$N$5:$AD$5002,17,FALSE),"")))</f>
        <v>6ｲﾝﾁSｺｱ</v>
      </c>
      <c r="W1978" s="269">
        <f>IF(J1978="巻返し",VLOOKUP(F1978&amp;K1978&amp;M1978,製品マスタ!$M$5:$AE$5002,19,FALSE),IF(J1978="リード付け","-",IF(J1978="スリット",VLOOKUP(F1978&amp;K1978&amp;Q1978,製品マスタ!$N$5:$AE$5002,18,FALSE),"")))</f>
        <v>1125</v>
      </c>
      <c r="X1978" s="275">
        <f>IF(D1978="","",VLOOKUP(D1978,契約台帳!$A$3:$Q$4986,17,FALSE))</f>
        <v>2</v>
      </c>
      <c r="Y1978" s="269" t="str">
        <f>IF(D1978="","",VLOOKUP(D1978,契約台帳!$A$3:$E$4986,5,FALSE))</f>
        <v>リンテック㈱</v>
      </c>
      <c r="Z1978" s="357">
        <v>45567</v>
      </c>
      <c r="AA1978" s="207"/>
      <c r="AB1978" s="369"/>
      <c r="AC1978" s="370"/>
      <c r="AD1978" s="332" t="str">
        <f>IF(F1978="","",+F1978&amp;K1978)</f>
        <v>3SNMLBMNGTBF50</v>
      </c>
      <c r="AE1978" s="216">
        <f>+M1978*N1978*O1978/1000</f>
        <v>53760</v>
      </c>
      <c r="AF1978" s="43">
        <f>IF(AD1978="","",VLOOKUP(AD1978,原価マスタ!$A$2:$AJ$1693,13,FALSE))</f>
        <v>99</v>
      </c>
      <c r="AG1978" s="47">
        <f>IF(AF1978="","",+AE1978*AF1978/100)</f>
        <v>53222.400000000001</v>
      </c>
      <c r="AH1978" s="30"/>
      <c r="AI1978" s="30"/>
      <c r="AJ1978" s="30"/>
      <c r="AK1978" s="30"/>
      <c r="AL1978" s="13"/>
      <c r="AM1978" s="13"/>
      <c r="AN1978" s="13"/>
      <c r="AO1978" s="13"/>
      <c r="AP1978" s="13"/>
      <c r="AQ1978" s="14"/>
      <c r="AR1978" s="15"/>
    </row>
    <row r="1979" spans="1:44" s="17" customFormat="1" ht="30.95" hidden="1" customHeight="1" x14ac:dyDescent="0.2">
      <c r="A1979" s="343"/>
      <c r="B1979" s="344"/>
      <c r="C1979" s="345"/>
      <c r="D1979" s="398"/>
      <c r="E1979" s="31"/>
      <c r="F1979" s="268"/>
      <c r="G1979" s="269"/>
      <c r="H1979" s="269"/>
      <c r="I1979" s="270"/>
      <c r="J1979" s="32"/>
      <c r="K1979" s="270"/>
      <c r="L1979" s="270"/>
      <c r="M1979" s="39"/>
      <c r="N1979" s="39"/>
      <c r="O1979" s="47"/>
      <c r="P1979" s="57"/>
      <c r="Q1979" s="276"/>
      <c r="R1979" s="277"/>
      <c r="S1979" s="277"/>
      <c r="T1979" s="40"/>
      <c r="U1979" s="278"/>
      <c r="V1979" s="269"/>
      <c r="W1979" s="269"/>
      <c r="X1979" s="275"/>
      <c r="Y1979" s="269"/>
      <c r="Z1979" s="357"/>
      <c r="AA1979" s="207"/>
      <c r="AB1979" s="369"/>
      <c r="AC1979" s="370"/>
      <c r="AD1979" s="332"/>
      <c r="AE1979" s="216"/>
      <c r="AF1979" s="43"/>
      <c r="AG1979" s="47"/>
      <c r="AH1979" s="30"/>
      <c r="AI1979" s="30"/>
      <c r="AJ1979" s="30"/>
      <c r="AK1979" s="30"/>
      <c r="AL1979" s="13"/>
      <c r="AM1979" s="13"/>
      <c r="AN1979" s="13"/>
      <c r="AO1979" s="13"/>
      <c r="AP1979" s="13"/>
      <c r="AQ1979" s="14"/>
      <c r="AR1979" s="15"/>
    </row>
    <row r="1980" spans="1:44" s="17" customFormat="1" ht="30.6" hidden="1" customHeight="1" x14ac:dyDescent="0.2">
      <c r="A1980" s="320" t="s">
        <v>3144</v>
      </c>
      <c r="B1980" s="321" t="s">
        <v>3131</v>
      </c>
      <c r="C1980" s="345"/>
      <c r="D1980" s="398">
        <v>3770584</v>
      </c>
      <c r="E1980" s="31">
        <v>4155313</v>
      </c>
      <c r="F1980" s="268" t="str">
        <f>IF(D1980="","",VLOOKUP(D1980,契約台帳!$A$3:$K$4986,6,FALSE)&amp;VLOOKUP(D1980,契約台帳!$A$3:$K$4986,7,FALSE)&amp;VLOOKUP(D1980,契約台帳!$A$3:$K$4986,8,FALSE)&amp;VLOOKUP(D1980,契約台帳!$A$3:$K$4986,9,FALSE)&amp;VLOOKUP(D1980,契約台帳!$A$3:$K$4986,11,FALSE))</f>
        <v>3SNMLBMNGTBF</v>
      </c>
      <c r="G1980" s="269" t="str">
        <f>IF(D1980="","",VLOOKUP(F1980,製品マスタ!$G$5:$H$5002,2,FALSE))</f>
        <v>S</v>
      </c>
      <c r="H1980" s="269" t="str">
        <f>IF(D1980="","",VLOOKUP(F1980,製品マスタ!$G$5:$K$5002,5,FALSE))</f>
        <v>MNGTBF</v>
      </c>
      <c r="I1980" s="270" t="str">
        <f>IF(D1980="","",VLOOKUP(F1980,製品マスタ!$G$5:$L$5002,6,FALSE))</f>
        <v>メタルミー　ネーマー　銀艶　Ｂ</v>
      </c>
      <c r="J1980" s="32" t="s">
        <v>447</v>
      </c>
      <c r="K1980" s="270">
        <f>IF(D1980="","",VLOOKUP(D1980,契約台帳!$A$3:$L$4986,12,FALSE))</f>
        <v>50</v>
      </c>
      <c r="L1980" s="270" t="str">
        <f>IF(D1980="","",INDEX(製品マスタ!$Q$5:$Q$5002,MATCH(F1980&amp;K1980,製品マスタ!$AO$5:$AO$5002,0)))</f>
        <v>T62</v>
      </c>
      <c r="M1980" s="39">
        <v>1120</v>
      </c>
      <c r="N1980" s="39">
        <v>8000</v>
      </c>
      <c r="O1980" s="47">
        <v>2</v>
      </c>
      <c r="P1980" s="57"/>
      <c r="Q1980" s="276">
        <f>IF(D1980="","",IF(J1980="リード付け",M1980,VLOOKUP(D1980,契約台帳!$A$3:$N$4986,14,FALSE)))</f>
        <v>1120</v>
      </c>
      <c r="R1980" s="277">
        <f>IF(D1980="","",IF(J1980="リード付け",M1980,VLOOKUP(D1980,契約台帳!$A$3:$O$4986,15,FALSE)))</f>
        <v>1120</v>
      </c>
      <c r="S1980" s="277">
        <v>4000</v>
      </c>
      <c r="T1980" s="40">
        <v>4</v>
      </c>
      <c r="U1980" s="278" t="str">
        <f ca="1">IF(D1980="","",IF(OFFSET(D1980,-2,0)=D1980,"",VLOOKUP(D1980,契約台帳!$A$3:$R$4986,18,FALSE)))</f>
        <v/>
      </c>
      <c r="V1980" s="269" t="str">
        <f>IF(J1980="巻返し",VLOOKUP(F1980&amp;K1980&amp;M1980,製品マスタ!$M$5:$AD$5002,18,FALSE),IF(J1980="リード付け","原反コア",IF(J1980="スリット",VLOOKUP(F1980&amp;K1980&amp;Q1980,製品マスタ!$N$5:$AD$5002,17,FALSE),"")))</f>
        <v>6ｲﾝﾁSｺｱ</v>
      </c>
      <c r="W1980" s="269">
        <f>IF(J1980="巻返し",VLOOKUP(F1980&amp;K1980&amp;M1980,製品マスタ!$M$5:$AE$5002,19,FALSE),IF(J1980="リード付け","-",IF(J1980="スリット",VLOOKUP(F1980&amp;K1980&amp;Q1980,製品マスタ!$N$5:$AE$5002,18,FALSE),"")))</f>
        <v>1125</v>
      </c>
      <c r="X1980" s="275">
        <f>IF(D1980="","",VLOOKUP(D1980,契約台帳!$A$3:$Q$4986,17,FALSE))</f>
        <v>2</v>
      </c>
      <c r="Y1980" s="269" t="str">
        <f>IF(D1980="","",VLOOKUP(D1980,契約台帳!$A$3:$E$4986,5,FALSE))</f>
        <v>リンテック㈱</v>
      </c>
      <c r="Z1980" s="357">
        <v>45568</v>
      </c>
      <c r="AA1980" s="207"/>
      <c r="AB1980" s="369"/>
      <c r="AC1980" s="370"/>
      <c r="AD1980" s="332" t="str">
        <f>IF(F1980="","",+F1980&amp;K1980)</f>
        <v>3SNMLBMNGTBF50</v>
      </c>
      <c r="AE1980" s="216">
        <f>+M1980*N1980*O1980/1000</f>
        <v>17920</v>
      </c>
      <c r="AF1980" s="43">
        <f>IF(AD1980="","",VLOOKUP(AD1980,原価マスタ!$A$2:$AJ$1693,13,FALSE))</f>
        <v>99</v>
      </c>
      <c r="AG1980" s="47">
        <f>IF(AF1980="","",+AE1980*AF1980/100)</f>
        <v>17740.8</v>
      </c>
      <c r="AH1980" s="30"/>
      <c r="AI1980" s="30"/>
      <c r="AJ1980" s="30"/>
      <c r="AK1980" s="30"/>
      <c r="AL1980" s="13"/>
      <c r="AM1980" s="13"/>
      <c r="AN1980" s="13"/>
      <c r="AO1980" s="13"/>
      <c r="AP1980" s="13"/>
      <c r="AQ1980" s="14"/>
      <c r="AR1980" s="15"/>
    </row>
    <row r="1981" spans="1:44" s="17" customFormat="1" ht="30.95" hidden="1" customHeight="1" x14ac:dyDescent="0.2">
      <c r="A1981" s="343"/>
      <c r="B1981" s="344"/>
      <c r="C1981" s="345"/>
      <c r="D1981" s="398"/>
      <c r="E1981" s="31"/>
      <c r="F1981" s="268"/>
      <c r="G1981" s="269"/>
      <c r="H1981" s="269"/>
      <c r="I1981" s="270"/>
      <c r="J1981" s="32"/>
      <c r="K1981" s="270"/>
      <c r="L1981" s="270"/>
      <c r="M1981" s="39"/>
      <c r="N1981" s="39"/>
      <c r="O1981" s="47"/>
      <c r="P1981" s="57"/>
      <c r="Q1981" s="276"/>
      <c r="R1981" s="277"/>
      <c r="S1981" s="277"/>
      <c r="T1981" s="40"/>
      <c r="U1981" s="278"/>
      <c r="V1981" s="269"/>
      <c r="W1981" s="269"/>
      <c r="X1981" s="275"/>
      <c r="Y1981" s="269"/>
      <c r="Z1981" s="357"/>
      <c r="AA1981" s="207"/>
      <c r="AB1981" s="369"/>
      <c r="AC1981" s="370"/>
      <c r="AD1981" s="332"/>
      <c r="AE1981" s="216"/>
      <c r="AF1981" s="43"/>
      <c r="AG1981" s="47"/>
      <c r="AH1981" s="30"/>
      <c r="AI1981" s="30"/>
      <c r="AJ1981" s="30"/>
      <c r="AK1981" s="30"/>
      <c r="AL1981" s="13"/>
      <c r="AM1981" s="13"/>
      <c r="AN1981" s="13"/>
      <c r="AO1981" s="13"/>
      <c r="AP1981" s="13"/>
      <c r="AQ1981" s="14"/>
      <c r="AR1981" s="15"/>
    </row>
    <row r="1982" spans="1:44" s="17" customFormat="1" ht="30.95" hidden="1" customHeight="1" x14ac:dyDescent="0.2">
      <c r="A1982" s="343"/>
      <c r="B1982" s="344"/>
      <c r="C1982" s="345"/>
      <c r="D1982" s="398">
        <v>3776277</v>
      </c>
      <c r="E1982" s="31">
        <v>4154692</v>
      </c>
      <c r="F1982" s="268" t="s">
        <v>1603</v>
      </c>
      <c r="G1982" s="269" t="s">
        <v>3057</v>
      </c>
      <c r="H1982" s="269" t="s">
        <v>212</v>
      </c>
      <c r="I1982" s="270" t="s">
        <v>213</v>
      </c>
      <c r="J1982" s="32" t="s">
        <v>447</v>
      </c>
      <c r="K1982" s="270">
        <v>25</v>
      </c>
      <c r="L1982" s="270" t="s">
        <v>214</v>
      </c>
      <c r="M1982" s="39">
        <v>1120</v>
      </c>
      <c r="N1982" s="39">
        <v>4000</v>
      </c>
      <c r="O1982" s="47">
        <v>1</v>
      </c>
      <c r="P1982" s="57"/>
      <c r="Q1982" s="276">
        <v>1120</v>
      </c>
      <c r="R1982" s="277">
        <v>1120</v>
      </c>
      <c r="S1982" s="277">
        <v>4000</v>
      </c>
      <c r="T1982" s="40">
        <v>1</v>
      </c>
      <c r="U1982" s="278">
        <v>1</v>
      </c>
      <c r="V1982" s="269" t="s">
        <v>806</v>
      </c>
      <c r="W1982" s="269">
        <v>1125</v>
      </c>
      <c r="X1982" s="275">
        <v>2</v>
      </c>
      <c r="Y1982" s="269" t="s">
        <v>116</v>
      </c>
      <c r="Z1982" s="357"/>
      <c r="AA1982" s="207" t="s">
        <v>774</v>
      </c>
      <c r="AB1982" s="369"/>
      <c r="AC1982" s="370"/>
      <c r="AD1982" s="332"/>
      <c r="AE1982" s="216"/>
      <c r="AF1982" s="43"/>
      <c r="AG1982" s="47"/>
      <c r="AH1982" s="30"/>
      <c r="AI1982" s="30"/>
      <c r="AJ1982" s="30"/>
      <c r="AK1982" s="30"/>
      <c r="AL1982" s="13"/>
      <c r="AM1982" s="13"/>
      <c r="AN1982" s="13"/>
      <c r="AO1982" s="13"/>
      <c r="AP1982" s="13"/>
      <c r="AQ1982" s="14"/>
      <c r="AR1982" s="15"/>
    </row>
    <row r="1983" spans="1:44" s="17" customFormat="1" ht="30.95" hidden="1" customHeight="1" x14ac:dyDescent="0.2">
      <c r="A1983" s="343"/>
      <c r="B1983" s="344"/>
      <c r="C1983" s="345"/>
      <c r="D1983" s="398"/>
      <c r="E1983" s="31"/>
      <c r="F1983" s="268"/>
      <c r="G1983" s="269"/>
      <c r="H1983" s="269"/>
      <c r="I1983" s="270"/>
      <c r="J1983" s="32"/>
      <c r="K1983" s="270"/>
      <c r="L1983" s="270"/>
      <c r="M1983" s="39"/>
      <c r="N1983" s="39"/>
      <c r="O1983" s="47"/>
      <c r="P1983" s="57"/>
      <c r="Q1983" s="276"/>
      <c r="R1983" s="277"/>
      <c r="S1983" s="277"/>
      <c r="T1983" s="40"/>
      <c r="U1983" s="278"/>
      <c r="V1983" s="269"/>
      <c r="W1983" s="269"/>
      <c r="X1983" s="275"/>
      <c r="Y1983" s="269"/>
      <c r="Z1983" s="357"/>
      <c r="AA1983" s="207"/>
      <c r="AB1983" s="369"/>
      <c r="AC1983" s="370"/>
      <c r="AD1983" s="332"/>
      <c r="AE1983" s="216"/>
      <c r="AF1983" s="43"/>
      <c r="AG1983" s="47"/>
      <c r="AH1983" s="30"/>
      <c r="AI1983" s="30"/>
      <c r="AJ1983" s="30"/>
      <c r="AK1983" s="30"/>
      <c r="AL1983" s="13"/>
      <c r="AM1983" s="13"/>
      <c r="AN1983" s="13"/>
      <c r="AO1983" s="13"/>
      <c r="AP1983" s="13"/>
      <c r="AQ1983" s="14"/>
      <c r="AR1983" s="15"/>
    </row>
    <row r="1984" spans="1:44" s="17" customFormat="1" ht="30.6" hidden="1" customHeight="1" x14ac:dyDescent="0.2">
      <c r="A1984" s="320"/>
      <c r="B1984" s="321"/>
      <c r="C1984" s="345"/>
      <c r="D1984" s="398">
        <v>3776276</v>
      </c>
      <c r="E1984" s="31">
        <v>4154693</v>
      </c>
      <c r="F1984" s="268" t="s">
        <v>1603</v>
      </c>
      <c r="G1984" s="269" t="s">
        <v>3057</v>
      </c>
      <c r="H1984" s="269" t="s">
        <v>212</v>
      </c>
      <c r="I1984" s="270" t="s">
        <v>213</v>
      </c>
      <c r="J1984" s="32" t="s">
        <v>447</v>
      </c>
      <c r="K1984" s="270">
        <v>50</v>
      </c>
      <c r="L1984" s="270" t="s">
        <v>215</v>
      </c>
      <c r="M1984" s="39">
        <v>1120</v>
      </c>
      <c r="N1984" s="39">
        <v>4000</v>
      </c>
      <c r="O1984" s="47">
        <v>1</v>
      </c>
      <c r="P1984" s="57"/>
      <c r="Q1984" s="276">
        <v>1120</v>
      </c>
      <c r="R1984" s="277">
        <v>1120</v>
      </c>
      <c r="S1984" s="277">
        <v>4000</v>
      </c>
      <c r="T1984" s="40">
        <v>1</v>
      </c>
      <c r="U1984" s="278">
        <v>1</v>
      </c>
      <c r="V1984" s="269" t="s">
        <v>806</v>
      </c>
      <c r="W1984" s="269">
        <v>1125</v>
      </c>
      <c r="X1984" s="275">
        <v>2</v>
      </c>
      <c r="Y1984" s="269" t="s">
        <v>116</v>
      </c>
      <c r="Z1984" s="357"/>
      <c r="AA1984" s="207" t="s">
        <v>774</v>
      </c>
      <c r="AB1984" s="369"/>
      <c r="AC1984" s="370"/>
      <c r="AD1984" s="332"/>
      <c r="AE1984" s="216"/>
      <c r="AF1984" s="43"/>
      <c r="AG1984" s="47"/>
      <c r="AH1984" s="30"/>
      <c r="AI1984" s="30"/>
      <c r="AJ1984" s="30"/>
      <c r="AK1984" s="30"/>
      <c r="AL1984" s="13"/>
      <c r="AM1984" s="13"/>
      <c r="AN1984" s="13"/>
      <c r="AO1984" s="13"/>
      <c r="AP1984" s="13"/>
      <c r="AQ1984" s="14"/>
      <c r="AR1984" s="15"/>
    </row>
    <row r="1985" spans="1:44" s="17" customFormat="1" ht="30.95" hidden="1" customHeight="1" x14ac:dyDescent="0.2">
      <c r="A1985" s="343"/>
      <c r="B1985" s="344"/>
      <c r="C1985" s="345"/>
      <c r="D1985" s="398"/>
      <c r="E1985" s="31"/>
      <c r="F1985" s="268"/>
      <c r="G1985" s="269"/>
      <c r="H1985" s="269"/>
      <c r="I1985" s="270"/>
      <c r="J1985" s="32"/>
      <c r="K1985" s="270"/>
      <c r="L1985" s="270"/>
      <c r="M1985" s="39"/>
      <c r="N1985" s="39"/>
      <c r="O1985" s="47"/>
      <c r="P1985" s="57"/>
      <c r="Q1985" s="276"/>
      <c r="R1985" s="277"/>
      <c r="S1985" s="277"/>
      <c r="T1985" s="40"/>
      <c r="U1985" s="278"/>
      <c r="V1985" s="269"/>
      <c r="W1985" s="269"/>
      <c r="X1985" s="275"/>
      <c r="Y1985" s="269"/>
      <c r="Z1985" s="357"/>
      <c r="AA1985" s="207"/>
      <c r="AB1985" s="369"/>
      <c r="AC1985" s="370"/>
      <c r="AD1985" s="332"/>
      <c r="AE1985" s="216"/>
      <c r="AF1985" s="43"/>
      <c r="AG1985" s="47"/>
      <c r="AH1985" s="30"/>
      <c r="AI1985" s="30"/>
      <c r="AJ1985" s="30"/>
      <c r="AK1985" s="30"/>
      <c r="AL1985" s="13"/>
      <c r="AM1985" s="13"/>
      <c r="AN1985" s="13"/>
      <c r="AO1985" s="13"/>
      <c r="AP1985" s="13"/>
      <c r="AQ1985" s="14"/>
      <c r="AR1985" s="15"/>
    </row>
    <row r="1986" spans="1:44" s="17" customFormat="1" ht="30.95" hidden="1" customHeight="1" x14ac:dyDescent="0.2">
      <c r="A1986" s="343"/>
      <c r="B1986" s="344"/>
      <c r="C1986" s="345"/>
      <c r="D1986" s="398">
        <v>3776278</v>
      </c>
      <c r="E1986" s="31">
        <v>4154694</v>
      </c>
      <c r="F1986" s="268" t="s">
        <v>927</v>
      </c>
      <c r="G1986" s="269" t="s">
        <v>3146</v>
      </c>
      <c r="H1986" s="269" t="s">
        <v>206</v>
      </c>
      <c r="I1986" s="270" t="s">
        <v>207</v>
      </c>
      <c r="J1986" s="32" t="s">
        <v>447</v>
      </c>
      <c r="K1986" s="270">
        <v>50</v>
      </c>
      <c r="L1986" s="270" t="s">
        <v>168</v>
      </c>
      <c r="M1986" s="39">
        <v>1005</v>
      </c>
      <c r="N1986" s="39">
        <v>4000</v>
      </c>
      <c r="O1986" s="47">
        <v>1</v>
      </c>
      <c r="P1986" s="57"/>
      <c r="Q1986" s="276">
        <v>1000</v>
      </c>
      <c r="R1986" s="277">
        <v>1000</v>
      </c>
      <c r="S1986" s="277">
        <v>4000</v>
      </c>
      <c r="T1986" s="40">
        <v>1</v>
      </c>
      <c r="U1986" s="278">
        <v>1</v>
      </c>
      <c r="V1986" s="269" t="s">
        <v>3147</v>
      </c>
      <c r="W1986" s="269">
        <v>1005</v>
      </c>
      <c r="X1986" s="275">
        <v>2</v>
      </c>
      <c r="Y1986" s="269" t="s">
        <v>3127</v>
      </c>
      <c r="Z1986" s="357"/>
      <c r="AA1986" s="207" t="s">
        <v>774</v>
      </c>
      <c r="AB1986" s="369"/>
      <c r="AC1986" s="370"/>
      <c r="AD1986" s="332" t="s">
        <v>3145</v>
      </c>
      <c r="AE1986" s="216">
        <v>4080</v>
      </c>
      <c r="AF1986" s="43"/>
      <c r="AG1986" s="47"/>
      <c r="AH1986" s="30"/>
      <c r="AI1986" s="30"/>
      <c r="AJ1986" s="30"/>
      <c r="AK1986" s="30"/>
      <c r="AL1986" s="13"/>
      <c r="AM1986" s="13"/>
      <c r="AN1986" s="13"/>
      <c r="AO1986" s="13"/>
      <c r="AP1986" s="13"/>
      <c r="AQ1986" s="14"/>
      <c r="AR1986" s="15"/>
    </row>
    <row r="1987" spans="1:44" s="17" customFormat="1" ht="30.95" hidden="1" customHeight="1" x14ac:dyDescent="0.2">
      <c r="A1987" s="343"/>
      <c r="B1987" s="344"/>
      <c r="C1987" s="345"/>
      <c r="D1987" s="398"/>
      <c r="E1987" s="31"/>
      <c r="F1987" s="268"/>
      <c r="G1987" s="269"/>
      <c r="H1987" s="269"/>
      <c r="I1987" s="270"/>
      <c r="J1987" s="32"/>
      <c r="K1987" s="270"/>
      <c r="L1987" s="270"/>
      <c r="M1987" s="39"/>
      <c r="N1987" s="39"/>
      <c r="O1987" s="47"/>
      <c r="P1987" s="57"/>
      <c r="Q1987" s="276"/>
      <c r="R1987" s="277"/>
      <c r="S1987" s="277"/>
      <c r="T1987" s="40"/>
      <c r="U1987" s="278"/>
      <c r="V1987" s="269"/>
      <c r="W1987" s="269"/>
      <c r="X1987" s="275"/>
      <c r="Y1987" s="269"/>
      <c r="Z1987" s="357"/>
      <c r="AA1987" s="207"/>
      <c r="AB1987" s="369"/>
      <c r="AC1987" s="370"/>
      <c r="AD1987" s="332"/>
      <c r="AE1987" s="216"/>
      <c r="AF1987" s="43"/>
      <c r="AG1987" s="47"/>
      <c r="AH1987" s="30"/>
      <c r="AI1987" s="30"/>
      <c r="AJ1987" s="30"/>
      <c r="AK1987" s="30"/>
      <c r="AL1987" s="13"/>
      <c r="AM1987" s="13"/>
      <c r="AN1987" s="13"/>
      <c r="AO1987" s="13"/>
      <c r="AP1987" s="13"/>
      <c r="AQ1987" s="14"/>
      <c r="AR1987" s="15"/>
    </row>
    <row r="1988" spans="1:44" s="17" customFormat="1" ht="30.95" hidden="1" customHeight="1" x14ac:dyDescent="0.2">
      <c r="A1988" s="320"/>
      <c r="B1988" s="321"/>
      <c r="C1988" s="345"/>
      <c r="D1988" s="398">
        <v>3772590</v>
      </c>
      <c r="E1988" s="31">
        <v>4151840</v>
      </c>
      <c r="F1988" s="268" t="str">
        <f>IF(D1988="","",VLOOKUP(D1988,契約台帳!$A$3:$K$4986,6,FALSE)&amp;VLOOKUP(D1988,契約台帳!$A$3:$K$4986,7,FALSE)&amp;VLOOKUP(D1988,契約台帳!$A$3:$K$4986,8,FALSE)&amp;VLOOKUP(D1988,契約台帳!$A$3:$K$4986,9,FALSE)&amp;VLOOKUP(D1988,契約台帳!$A$3:$K$4986,11,FALSE))</f>
        <v>3SNMLBMSF</v>
      </c>
      <c r="G1988" s="269" t="str">
        <f>IF(D1988="","",VLOOKUP(F1988,製品マスタ!$G$5:$H$5002,2,FALSE))</f>
        <v>S</v>
      </c>
      <c r="H1988" s="269" t="str">
        <f>IF(D1988="","",VLOOKUP(F1988,製品マスタ!$G$5:$K$5002,5,FALSE))</f>
        <v>MSF</v>
      </c>
      <c r="I1988" s="270" t="str">
        <f>IF(D1988="","",VLOOKUP(F1988,製品マスタ!$G$5:$L$5002,6,FALSE))</f>
        <v>メタルミー　Ｓ</v>
      </c>
      <c r="J1988" s="32" t="s">
        <v>447</v>
      </c>
      <c r="K1988" s="270">
        <f>IF(D1988="","",VLOOKUP(D1988,契約台帳!$A$3:$L$4986,12,FALSE))</f>
        <v>25</v>
      </c>
      <c r="L1988" s="270" t="str">
        <f>IF(D1988="","",INDEX(製品マスタ!$Q$5:$Q$5002,MATCH(F1988&amp;K1988,製品マスタ!$AO$5:$AO$5002,0)))</f>
        <v>T62M</v>
      </c>
      <c r="M1988" s="39">
        <v>1240</v>
      </c>
      <c r="N1988" s="39">
        <v>12200</v>
      </c>
      <c r="O1988" s="47">
        <v>1</v>
      </c>
      <c r="P1988" s="57"/>
      <c r="Q1988" s="276">
        <f>IF(D1988="","",IF(J1988="リード付け",M1988,VLOOKUP(D1988,契約台帳!$A$3:$N$4986,14,FALSE)))</f>
        <v>1240</v>
      </c>
      <c r="R1988" s="277">
        <f>IF(D1988="","",IF(J1988="リード付け",M1988,VLOOKUP(D1988,契約台帳!$A$3:$O$4986,15,FALSE)))</f>
        <v>1240</v>
      </c>
      <c r="S1988" s="277">
        <f>IF(D1988="","",IF(J1988="リード付け",N1988,VLOOKUP(D1988,契約台帳!$A$3:$P$4986,16,FALSE)))</f>
        <v>2000</v>
      </c>
      <c r="T1988" s="40">
        <v>6</v>
      </c>
      <c r="U1988" s="278">
        <f ca="1">IF(D1988="","",IF(OFFSET(D1988,-2,0)=D1988,"",VLOOKUP(D1988,契約台帳!$A$3:$R$4986,18,FALSE)))</f>
        <v>6</v>
      </c>
      <c r="V1988" s="269" t="s">
        <v>903</v>
      </c>
      <c r="W1988" s="269">
        <f>IF(J1988="巻返し",VLOOKUP(F1988&amp;K1988&amp;M1988,製品マスタ!$M$5:$AE$5002,19,FALSE),IF(J1988="リード付け","-",IF(J1988="スリット",VLOOKUP(F1988&amp;K1988&amp;Q1988,製品マスタ!$N$5:$AE$5002,18,FALSE),"")))</f>
        <v>1245</v>
      </c>
      <c r="X1988" s="275">
        <f>IF(D1988="","",VLOOKUP(D1988,契約台帳!$A$3:$Q$4986,17,FALSE))</f>
        <v>1</v>
      </c>
      <c r="Y1988" s="269" t="str">
        <f>IF(D1988="","",VLOOKUP(D1988,契約台帳!$A$3:$E$4986,5,FALSE))</f>
        <v>日精㈱東京支店</v>
      </c>
      <c r="Z1988" s="357"/>
      <c r="AA1988" s="207"/>
      <c r="AB1988" s="369"/>
      <c r="AC1988" s="370"/>
      <c r="AD1988" s="332" t="str">
        <f>IF(F1988="","",+F1988&amp;K1988)</f>
        <v>3SNMLBMSF25</v>
      </c>
      <c r="AE1988" s="216">
        <f>+M1988*N1988*O1988/1000</f>
        <v>15128</v>
      </c>
      <c r="AF1988" s="43">
        <f>IF(AD1988="","",VLOOKUP(AD1988,原価マスタ!$A$2:$AJ$1693,13,FALSE))</f>
        <v>97</v>
      </c>
      <c r="AG1988" s="47">
        <f>IF(AF1988="","",+AE1988*AF1988/100)</f>
        <v>14674.16</v>
      </c>
      <c r="AH1988" s="30"/>
      <c r="AI1988" s="30"/>
      <c r="AJ1988" s="30"/>
      <c r="AK1988" s="30"/>
      <c r="AL1988" s="13"/>
      <c r="AM1988" s="13"/>
      <c r="AN1988" s="13"/>
      <c r="AO1988" s="13"/>
      <c r="AP1988" s="13"/>
      <c r="AQ1988" s="14"/>
      <c r="AR1988" s="15"/>
    </row>
    <row r="1989" spans="1:44" s="17" customFormat="1" ht="30.95" hidden="1" customHeight="1" x14ac:dyDescent="0.2">
      <c r="A1989" s="343"/>
      <c r="B1989" s="344"/>
      <c r="C1989" s="345"/>
      <c r="D1989" s="398"/>
      <c r="E1989" s="31"/>
      <c r="F1989" s="268"/>
      <c r="G1989" s="269"/>
      <c r="H1989" s="269"/>
      <c r="I1989" s="270"/>
      <c r="J1989" s="32"/>
      <c r="K1989" s="270"/>
      <c r="L1989" s="270"/>
      <c r="M1989" s="39"/>
      <c r="N1989" s="39"/>
      <c r="O1989" s="47"/>
      <c r="P1989" s="57"/>
      <c r="Q1989" s="276"/>
      <c r="R1989" s="277"/>
      <c r="S1989" s="277"/>
      <c r="T1989" s="40"/>
      <c r="U1989" s="278"/>
      <c r="V1989" s="269"/>
      <c r="W1989" s="269"/>
      <c r="X1989" s="275"/>
      <c r="Y1989" s="269"/>
      <c r="Z1989" s="357"/>
      <c r="AA1989" s="207"/>
      <c r="AB1989" s="369"/>
      <c r="AC1989" s="370"/>
      <c r="AD1989" s="332"/>
      <c r="AE1989" s="216"/>
      <c r="AF1989" s="43"/>
      <c r="AG1989" s="47"/>
      <c r="AH1989" s="30"/>
      <c r="AI1989" s="30"/>
      <c r="AJ1989" s="30"/>
      <c r="AK1989" s="30"/>
      <c r="AL1989" s="13"/>
      <c r="AM1989" s="13"/>
      <c r="AN1989" s="13"/>
      <c r="AO1989" s="13"/>
      <c r="AP1989" s="13"/>
      <c r="AQ1989" s="14"/>
      <c r="AR1989" s="15"/>
    </row>
    <row r="1990" spans="1:44" s="17" customFormat="1" ht="30.95" hidden="1" customHeight="1" x14ac:dyDescent="0.2">
      <c r="A1990" s="343" t="s">
        <v>3197</v>
      </c>
      <c r="B1990" s="344" t="s">
        <v>3198</v>
      </c>
      <c r="C1990" s="345"/>
      <c r="D1990" s="398"/>
      <c r="E1990" s="31"/>
      <c r="F1990" s="268"/>
      <c r="G1990" s="269"/>
      <c r="H1990" s="269"/>
      <c r="I1990" s="301" t="s">
        <v>3180</v>
      </c>
      <c r="J1990" s="32"/>
      <c r="K1990" s="270"/>
      <c r="L1990" s="270"/>
      <c r="M1990" s="39"/>
      <c r="N1990" s="39"/>
      <c r="O1990" s="47"/>
      <c r="P1990" s="57"/>
      <c r="Q1990" s="276"/>
      <c r="R1990" s="277"/>
      <c r="S1990" s="277"/>
      <c r="T1990" s="40"/>
      <c r="U1990" s="278"/>
      <c r="V1990" s="269"/>
      <c r="W1990" s="269"/>
      <c r="X1990" s="275"/>
      <c r="Y1990" s="269"/>
      <c r="Z1990" s="357"/>
      <c r="AA1990" s="207" t="s">
        <v>3181</v>
      </c>
      <c r="AB1990" s="369"/>
      <c r="AC1990" s="370"/>
      <c r="AD1990" s="332"/>
      <c r="AE1990" s="216"/>
      <c r="AF1990" s="43"/>
      <c r="AG1990" s="47"/>
      <c r="AH1990" s="30"/>
      <c r="AI1990" s="30"/>
      <c r="AJ1990" s="30"/>
      <c r="AK1990" s="30"/>
      <c r="AL1990" s="13"/>
      <c r="AM1990" s="13"/>
      <c r="AN1990" s="13"/>
      <c r="AO1990" s="13"/>
      <c r="AP1990" s="13"/>
      <c r="AQ1990" s="14"/>
      <c r="AR1990" s="15"/>
    </row>
    <row r="1991" spans="1:44" s="17" customFormat="1" ht="30.95" hidden="1" customHeight="1" x14ac:dyDescent="0.2">
      <c r="A1991" s="343"/>
      <c r="B1991" s="344"/>
      <c r="C1991" s="345"/>
      <c r="D1991" s="398"/>
      <c r="E1991" s="31"/>
      <c r="F1991" s="268"/>
      <c r="G1991" s="269"/>
      <c r="H1991" s="269"/>
      <c r="I1991" s="270"/>
      <c r="J1991" s="32"/>
      <c r="K1991" s="270"/>
      <c r="L1991" s="270"/>
      <c r="M1991" s="39"/>
      <c r="N1991" s="39"/>
      <c r="O1991" s="47"/>
      <c r="P1991" s="57"/>
      <c r="Q1991" s="276"/>
      <c r="R1991" s="277"/>
      <c r="S1991" s="277"/>
      <c r="T1991" s="40"/>
      <c r="U1991" s="278"/>
      <c r="V1991" s="269"/>
      <c r="W1991" s="269"/>
      <c r="X1991" s="275"/>
      <c r="Y1991" s="269"/>
      <c r="Z1991" s="357"/>
      <c r="AA1991" s="207"/>
      <c r="AB1991" s="369"/>
      <c r="AC1991" s="370"/>
      <c r="AD1991" s="332"/>
      <c r="AE1991" s="216"/>
      <c r="AF1991" s="43"/>
      <c r="AG1991" s="47"/>
      <c r="AH1991" s="30"/>
      <c r="AI1991" s="30"/>
      <c r="AJ1991" s="30"/>
      <c r="AK1991" s="30"/>
      <c r="AL1991" s="13"/>
      <c r="AM1991" s="13"/>
      <c r="AN1991" s="13"/>
      <c r="AO1991" s="13"/>
      <c r="AP1991" s="13"/>
      <c r="AQ1991" s="14"/>
      <c r="AR1991" s="15"/>
    </row>
    <row r="1992" spans="1:44" s="17" customFormat="1" ht="30.95" hidden="1" customHeight="1" x14ac:dyDescent="0.2">
      <c r="A1992" s="343"/>
      <c r="B1992" s="344"/>
      <c r="C1992" s="345"/>
      <c r="D1992" s="31">
        <v>3778932</v>
      </c>
      <c r="E1992" s="31">
        <v>4170824</v>
      </c>
      <c r="F1992" s="268" t="str">
        <f>IF(D1992="","",VLOOKUP(D1992,契約台帳!$A$3:$K$4986,6,FALSE)&amp;VLOOKUP(D1992,契約台帳!$A$3:$K$4986,7,FALSE)&amp;VLOOKUP(D1992,契約台帳!$A$3:$K$4986,8,FALSE)&amp;VLOOKUP(D1992,契約台帳!$A$3:$K$4986,9,FALSE)&amp;VLOOKUP(D1992,契約台帳!$A$3:$K$4986,11,FALSE))</f>
        <v>3SNMLBMNGTBF</v>
      </c>
      <c r="G1992" s="269" t="str">
        <f>IF(D1992="","",VLOOKUP(F1992,製品マスタ!$G$5:$H$5002,2,FALSE))</f>
        <v>S</v>
      </c>
      <c r="H1992" s="269" t="str">
        <f>IF(D1992="","",VLOOKUP(F1992,製品マスタ!$G$5:$K$5002,5,FALSE))</f>
        <v>MNGTBF</v>
      </c>
      <c r="I1992" s="270" t="str">
        <f>IF(D1992="","",VLOOKUP(F1992,製品マスタ!$G$5:$L$5002,6,FALSE))</f>
        <v>メタルミー　ネーマー　銀艶　Ｂ</v>
      </c>
      <c r="J1992" s="32" t="s">
        <v>3017</v>
      </c>
      <c r="K1992" s="270">
        <f>IF(D1992="","",VLOOKUP(D1992,契約台帳!$A$3:$L$4986,12,FALSE))</f>
        <v>25</v>
      </c>
      <c r="L1992" s="270" t="str">
        <f>IF(D1992="","",INDEX(製品マスタ!$Q$5:$Q$5002,MATCH(F1992&amp;K1992,製品マスタ!$AO$5:$AO$5002,0)))</f>
        <v>T62M</v>
      </c>
      <c r="M1992" s="39">
        <v>1005</v>
      </c>
      <c r="N1992" s="39">
        <v>12100</v>
      </c>
      <c r="O1992" s="47">
        <v>7</v>
      </c>
      <c r="P1992" s="356">
        <v>45567</v>
      </c>
      <c r="Q1992" s="276">
        <f>IF(D1992="","",IF(J1992="リード付け",M1992,VLOOKUP(D1992,契約台帳!$A$3:$N$4986,14,FALSE)))</f>
        <v>1005</v>
      </c>
      <c r="R1992" s="277">
        <f>IF(D1992="","",IF(J1992="リード付け",M1992,VLOOKUP(D1992,契約台帳!$A$3:$O$4986,15,FALSE)))</f>
        <v>1005</v>
      </c>
      <c r="S1992" s="277">
        <f>IF(D1992="","",IF(J1992="リード付け",N1992,VLOOKUP(D1992,契約台帳!$A$3:$P$4986,16,FALSE)))</f>
        <v>12100</v>
      </c>
      <c r="T1992" s="40">
        <v>7</v>
      </c>
      <c r="U1992" s="278">
        <f ca="1">IF(D1992="","",IF(OFFSET(D1992,-2,0)=D1992,"",VLOOKUP(D1992,契約台帳!$A$3:$R$4986,18,FALSE)))</f>
        <v>21</v>
      </c>
      <c r="V1992" s="269" t="str">
        <f>IF(J1992="巻返し",VLOOKUP(F1992&amp;K1992&amp;M1992,製品マスタ!$M$5:$AD$5002,18,FALSE),IF(J1992="リード付け","原反コア",IF(J1992="スリット",VLOOKUP(F1992&amp;K1992&amp;Q1992,製品マスタ!$N$5:$AD$5002,17,FALSE),"")))</f>
        <v>原反コア</v>
      </c>
      <c r="W1992" s="269" t="str">
        <f>IF(J1992="巻返し",VLOOKUP(F1992&amp;K1992&amp;M1992,製品マスタ!$M$5:$AE$5002,19,FALSE),IF(J1992="リード付け","-",IF(J1992="スリット",VLOOKUP(F1992&amp;K1992&amp;Q1992,製品マスタ!$N$5:$AE$5002,18,FALSE),"")))</f>
        <v>-</v>
      </c>
      <c r="X1992" s="275">
        <f>IF(D1992="","",VLOOKUP(D1992,契約台帳!$A$3:$Q$4986,17,FALSE))</f>
        <v>2</v>
      </c>
      <c r="Y1992" s="269" t="str">
        <f>IF(D1992="","",VLOOKUP(D1992,契約台帳!$A$3:$E$4986,5,FALSE))</f>
        <v>リンテック㈱</v>
      </c>
      <c r="Z1992" s="357"/>
      <c r="AA1992" s="207"/>
      <c r="AB1992" s="369"/>
      <c r="AC1992" s="370"/>
      <c r="AD1992" s="332"/>
      <c r="AE1992" s="216"/>
      <c r="AF1992" s="43"/>
      <c r="AG1992" s="47"/>
      <c r="AH1992" s="30"/>
      <c r="AI1992" s="30"/>
      <c r="AJ1992" s="30"/>
      <c r="AK1992" s="30"/>
      <c r="AL1992" s="13"/>
      <c r="AM1992" s="13"/>
      <c r="AN1992" s="13"/>
      <c r="AO1992" s="13"/>
      <c r="AP1992" s="13"/>
      <c r="AQ1992" s="14"/>
      <c r="AR1992" s="15"/>
    </row>
    <row r="1993" spans="1:44" s="17" customFormat="1" ht="30.95" hidden="1" customHeight="1" x14ac:dyDescent="0.2">
      <c r="A1993" s="343"/>
      <c r="B1993" s="344"/>
      <c r="C1993" s="345"/>
      <c r="D1993" s="398"/>
      <c r="E1993" s="31"/>
      <c r="F1993" s="268"/>
      <c r="G1993" s="269"/>
      <c r="H1993" s="269"/>
      <c r="I1993" s="270"/>
      <c r="J1993" s="32"/>
      <c r="K1993" s="270"/>
      <c r="L1993" s="270"/>
      <c r="M1993" s="39"/>
      <c r="N1993" s="39"/>
      <c r="O1993" s="47"/>
      <c r="P1993" s="57"/>
      <c r="Q1993" s="276"/>
      <c r="R1993" s="277"/>
      <c r="S1993" s="277"/>
      <c r="T1993" s="40"/>
      <c r="U1993" s="278"/>
      <c r="V1993" s="269"/>
      <c r="W1993" s="269"/>
      <c r="X1993" s="275"/>
      <c r="Y1993" s="269"/>
      <c r="Z1993" s="357"/>
      <c r="AA1993" s="207"/>
      <c r="AB1993" s="369"/>
      <c r="AC1993" s="370"/>
      <c r="AD1993" s="332"/>
      <c r="AE1993" s="216"/>
      <c r="AF1993" s="43"/>
      <c r="AG1993" s="47"/>
      <c r="AH1993" s="30"/>
      <c r="AI1993" s="30"/>
      <c r="AJ1993" s="30"/>
      <c r="AK1993" s="30"/>
      <c r="AL1993" s="13"/>
      <c r="AM1993" s="13"/>
      <c r="AN1993" s="13"/>
      <c r="AO1993" s="13"/>
      <c r="AP1993" s="13"/>
      <c r="AQ1993" s="14"/>
      <c r="AR1993" s="15"/>
    </row>
    <row r="1994" spans="1:44" s="17" customFormat="1" ht="30.95" hidden="1" customHeight="1" x14ac:dyDescent="0.2">
      <c r="A1994" s="343" t="s">
        <v>3274</v>
      </c>
      <c r="B1994" s="344" t="s">
        <v>443</v>
      </c>
      <c r="C1994" s="345"/>
      <c r="D1994" s="398">
        <v>3778720</v>
      </c>
      <c r="E1994" s="31" t="s">
        <v>3275</v>
      </c>
      <c r="F1994" s="268" t="s">
        <v>2823</v>
      </c>
      <c r="G1994" s="269" t="s">
        <v>19</v>
      </c>
      <c r="H1994" s="269" t="s">
        <v>230</v>
      </c>
      <c r="I1994" s="270" t="s">
        <v>231</v>
      </c>
      <c r="J1994" s="32" t="s">
        <v>970</v>
      </c>
      <c r="K1994" s="270">
        <v>25</v>
      </c>
      <c r="L1994" s="270" t="s">
        <v>151</v>
      </c>
      <c r="M1994" s="39">
        <v>1020</v>
      </c>
      <c r="N1994" s="39">
        <v>6000</v>
      </c>
      <c r="O1994" s="47">
        <v>1</v>
      </c>
      <c r="P1994" s="350"/>
      <c r="Q1994" s="276">
        <v>510</v>
      </c>
      <c r="R1994" s="277">
        <v>510</v>
      </c>
      <c r="S1994" s="277">
        <v>2000</v>
      </c>
      <c r="T1994" s="40">
        <v>3</v>
      </c>
      <c r="U1994" s="278">
        <v>3</v>
      </c>
      <c r="V1994" s="269" t="s">
        <v>903</v>
      </c>
      <c r="W1994" s="269">
        <v>515</v>
      </c>
      <c r="X1994" s="275">
        <v>1</v>
      </c>
      <c r="Y1994" s="269" t="s">
        <v>753</v>
      </c>
      <c r="Z1994" s="357"/>
      <c r="AA1994" s="207"/>
      <c r="AB1994" s="369"/>
      <c r="AC1994" s="370"/>
      <c r="AD1994" s="332" t="s">
        <v>3273</v>
      </c>
      <c r="AE1994" s="216">
        <v>12342</v>
      </c>
      <c r="AF1994" s="43">
        <v>97</v>
      </c>
      <c r="AG1994" s="47">
        <v>11971.74</v>
      </c>
      <c r="AH1994" s="30"/>
      <c r="AI1994" s="30"/>
      <c r="AJ1994" s="30"/>
      <c r="AK1994" s="30"/>
      <c r="AL1994" s="13"/>
      <c r="AM1994" s="13"/>
      <c r="AN1994" s="13"/>
      <c r="AO1994" s="13"/>
      <c r="AP1994" s="13"/>
      <c r="AQ1994" s="14"/>
      <c r="AR1994" s="15"/>
    </row>
    <row r="1995" spans="1:44" s="17" customFormat="1" ht="30.95" hidden="1" customHeight="1" x14ac:dyDescent="0.2">
      <c r="A1995" s="343"/>
      <c r="B1995" s="344"/>
      <c r="C1995" s="345"/>
      <c r="D1995" s="398"/>
      <c r="E1995" s="31"/>
      <c r="F1995" s="268"/>
      <c r="G1995" s="269"/>
      <c r="H1995" s="269"/>
      <c r="I1995" s="270"/>
      <c r="J1995" s="32"/>
      <c r="K1995" s="270"/>
      <c r="L1995" s="270"/>
      <c r="M1995" s="39"/>
      <c r="N1995" s="39"/>
      <c r="O1995" s="47"/>
      <c r="P1995" s="350"/>
      <c r="Q1995" s="276"/>
      <c r="R1995" s="277"/>
      <c r="S1995" s="277"/>
      <c r="T1995" s="40"/>
      <c r="U1995" s="278"/>
      <c r="V1995" s="269"/>
      <c r="W1995" s="269"/>
      <c r="X1995" s="275"/>
      <c r="Y1995" s="269"/>
      <c r="Z1995" s="357"/>
      <c r="AA1995" s="207"/>
      <c r="AB1995" s="369"/>
      <c r="AC1995" s="370"/>
      <c r="AD1995" s="332"/>
      <c r="AE1995" s="216"/>
      <c r="AF1995" s="43"/>
      <c r="AG1995" s="47"/>
      <c r="AH1995" s="30"/>
      <c r="AI1995" s="30"/>
      <c r="AJ1995" s="30"/>
      <c r="AK1995" s="30"/>
      <c r="AL1995" s="13"/>
      <c r="AM1995" s="13"/>
      <c r="AN1995" s="13"/>
      <c r="AO1995" s="13"/>
      <c r="AP1995" s="13"/>
      <c r="AQ1995" s="14"/>
      <c r="AR1995" s="15"/>
    </row>
    <row r="1996" spans="1:44" s="17" customFormat="1" ht="30.95" hidden="1" customHeight="1" x14ac:dyDescent="0.2">
      <c r="A1996" s="343" t="s">
        <v>3213</v>
      </c>
      <c r="B1996" s="344" t="s">
        <v>3214</v>
      </c>
      <c r="C1996" s="345"/>
      <c r="D1996" s="398"/>
      <c r="E1996" s="31"/>
      <c r="F1996" s="268"/>
      <c r="G1996" s="269"/>
      <c r="H1996" s="269"/>
      <c r="I1996" s="270"/>
      <c r="J1996" s="32"/>
      <c r="K1996" s="270"/>
      <c r="L1996" s="270"/>
      <c r="M1996" s="39"/>
      <c r="N1996" s="39"/>
      <c r="O1996" s="47"/>
      <c r="P1996" s="350"/>
      <c r="Q1996" s="276"/>
      <c r="R1996" s="277"/>
      <c r="S1996" s="277"/>
      <c r="T1996" s="40"/>
      <c r="U1996" s="278"/>
      <c r="V1996" s="269"/>
      <c r="W1996" s="269"/>
      <c r="X1996" s="275"/>
      <c r="Y1996" s="269"/>
      <c r="Z1996" s="357"/>
      <c r="AA1996" s="207"/>
      <c r="AB1996" s="369"/>
      <c r="AC1996" s="370"/>
      <c r="AD1996" s="332"/>
      <c r="AE1996" s="216"/>
      <c r="AF1996" s="43"/>
      <c r="AG1996" s="47"/>
      <c r="AH1996" s="30"/>
      <c r="AI1996" s="30"/>
      <c r="AJ1996" s="30"/>
      <c r="AK1996" s="30"/>
      <c r="AL1996" s="13"/>
      <c r="AM1996" s="13"/>
      <c r="AN1996" s="13"/>
      <c r="AO1996" s="13"/>
      <c r="AP1996" s="13"/>
      <c r="AQ1996" s="14"/>
      <c r="AR1996" s="15"/>
    </row>
    <row r="1997" spans="1:44" s="17" customFormat="1" ht="30.95" hidden="1" customHeight="1" x14ac:dyDescent="0.2">
      <c r="A1997" s="343"/>
      <c r="B1997" s="344"/>
      <c r="C1997" s="345"/>
      <c r="D1997" s="398"/>
      <c r="E1997" s="31"/>
      <c r="F1997" s="268"/>
      <c r="G1997" s="269"/>
      <c r="H1997" s="269"/>
      <c r="I1997" s="270"/>
      <c r="J1997" s="32"/>
      <c r="K1997" s="270"/>
      <c r="L1997" s="270"/>
      <c r="M1997" s="39"/>
      <c r="N1997" s="39"/>
      <c r="O1997" s="47"/>
      <c r="P1997" s="350"/>
      <c r="Q1997" s="276"/>
      <c r="R1997" s="277"/>
      <c r="S1997" s="277"/>
      <c r="T1997" s="40"/>
      <c r="U1997" s="278"/>
      <c r="V1997" s="269"/>
      <c r="W1997" s="269"/>
      <c r="X1997" s="275"/>
      <c r="Y1997" s="269"/>
      <c r="Z1997" s="357"/>
      <c r="AA1997" s="207"/>
      <c r="AB1997" s="369"/>
      <c r="AC1997" s="370"/>
      <c r="AD1997" s="332"/>
      <c r="AE1997" s="216"/>
      <c r="AF1997" s="43"/>
      <c r="AG1997" s="47"/>
      <c r="AH1997" s="30"/>
      <c r="AI1997" s="30"/>
      <c r="AJ1997" s="30"/>
      <c r="AK1997" s="30"/>
      <c r="AL1997" s="13"/>
      <c r="AM1997" s="13"/>
      <c r="AN1997" s="13"/>
      <c r="AO1997" s="13"/>
      <c r="AP1997" s="13"/>
      <c r="AQ1997" s="14"/>
      <c r="AR1997" s="15"/>
    </row>
    <row r="1998" spans="1:44" s="17" customFormat="1" ht="30.95" hidden="1" customHeight="1" x14ac:dyDescent="0.2">
      <c r="A1998" s="343" t="s">
        <v>3215</v>
      </c>
      <c r="B1998" s="344" t="s">
        <v>3216</v>
      </c>
      <c r="C1998" s="345"/>
      <c r="D1998" s="398"/>
      <c r="E1998" s="31"/>
      <c r="F1998" s="268"/>
      <c r="G1998" s="269"/>
      <c r="H1998" s="269"/>
      <c r="I1998" s="270"/>
      <c r="J1998" s="32" t="s">
        <v>3219</v>
      </c>
      <c r="K1998" s="270"/>
      <c r="L1998" s="270"/>
      <c r="M1998" s="39"/>
      <c r="N1998" s="39"/>
      <c r="O1998" s="47"/>
      <c r="P1998" s="350"/>
      <c r="Q1998" s="276"/>
      <c r="R1998" s="277"/>
      <c r="S1998" s="277"/>
      <c r="T1998" s="40"/>
      <c r="U1998" s="278"/>
      <c r="V1998" s="269"/>
      <c r="W1998" s="269"/>
      <c r="X1998" s="275"/>
      <c r="Y1998" s="269"/>
      <c r="Z1998" s="357"/>
      <c r="AA1998" s="207"/>
      <c r="AB1998" s="369"/>
      <c r="AC1998" s="370"/>
      <c r="AD1998" s="332"/>
      <c r="AE1998" s="216"/>
      <c r="AF1998" s="43"/>
      <c r="AG1998" s="47"/>
      <c r="AH1998" s="30"/>
      <c r="AI1998" s="30"/>
      <c r="AJ1998" s="30"/>
      <c r="AK1998" s="30"/>
      <c r="AL1998" s="13"/>
      <c r="AM1998" s="13"/>
      <c r="AN1998" s="13"/>
      <c r="AO1998" s="13"/>
      <c r="AP1998" s="13"/>
      <c r="AQ1998" s="14"/>
      <c r="AR1998" s="15"/>
    </row>
    <row r="1999" spans="1:44" s="17" customFormat="1" ht="30.95" hidden="1" customHeight="1" x14ac:dyDescent="0.2">
      <c r="A1999" s="343"/>
      <c r="B1999" s="344"/>
      <c r="C1999" s="345"/>
      <c r="D1999" s="398"/>
      <c r="E1999" s="31"/>
      <c r="F1999" s="268"/>
      <c r="G1999" s="269"/>
      <c r="H1999" s="269"/>
      <c r="I1999" s="270"/>
      <c r="J1999" s="32"/>
      <c r="K1999" s="270"/>
      <c r="L1999" s="270"/>
      <c r="M1999" s="39"/>
      <c r="N1999" s="39"/>
      <c r="O1999" s="47"/>
      <c r="P1999" s="350"/>
      <c r="Q1999" s="276"/>
      <c r="R1999" s="277"/>
      <c r="S1999" s="277"/>
      <c r="T1999" s="40"/>
      <c r="U1999" s="278"/>
      <c r="V1999" s="269"/>
      <c r="W1999" s="269"/>
      <c r="X1999" s="275"/>
      <c r="Y1999" s="269"/>
      <c r="Z1999" s="357"/>
      <c r="AA1999" s="207"/>
      <c r="AB1999" s="369"/>
      <c r="AC1999" s="370"/>
      <c r="AD1999" s="332"/>
      <c r="AE1999" s="216"/>
      <c r="AF1999" s="43"/>
      <c r="AG1999" s="47"/>
      <c r="AH1999" s="30"/>
      <c r="AI1999" s="30"/>
      <c r="AJ1999" s="30"/>
      <c r="AK1999" s="30"/>
      <c r="AL1999" s="13"/>
      <c r="AM1999" s="13"/>
      <c r="AN1999" s="13"/>
      <c r="AO1999" s="13"/>
      <c r="AP1999" s="13"/>
      <c r="AQ1999" s="14"/>
      <c r="AR1999" s="15"/>
    </row>
    <row r="2000" spans="1:44" s="17" customFormat="1" ht="30.95" hidden="1" customHeight="1" x14ac:dyDescent="0.2">
      <c r="A2000" s="343" t="s">
        <v>3217</v>
      </c>
      <c r="B2000" s="344" t="s">
        <v>3218</v>
      </c>
      <c r="C2000" s="345"/>
      <c r="D2000" s="398"/>
      <c r="E2000" s="31"/>
      <c r="F2000" s="268"/>
      <c r="G2000" s="269"/>
      <c r="H2000" s="269"/>
      <c r="I2000" s="270"/>
      <c r="J2000" s="32" t="s">
        <v>3219</v>
      </c>
      <c r="K2000" s="270"/>
      <c r="L2000" s="270"/>
      <c r="M2000" s="39"/>
      <c r="N2000" s="39"/>
      <c r="O2000" s="47"/>
      <c r="P2000" s="350"/>
      <c r="Q2000" s="276"/>
      <c r="R2000" s="277"/>
      <c r="S2000" s="277"/>
      <c r="T2000" s="40"/>
      <c r="U2000" s="278"/>
      <c r="V2000" s="269"/>
      <c r="W2000" s="269"/>
      <c r="X2000" s="275"/>
      <c r="Y2000" s="269"/>
      <c r="Z2000" s="357"/>
      <c r="AA2000" s="207"/>
      <c r="AB2000" s="369"/>
      <c r="AC2000" s="370"/>
      <c r="AD2000" s="332"/>
      <c r="AE2000" s="216"/>
      <c r="AF2000" s="43"/>
      <c r="AG2000" s="47"/>
      <c r="AH2000" s="30"/>
      <c r="AI2000" s="30"/>
      <c r="AJ2000" s="30"/>
      <c r="AK2000" s="30"/>
      <c r="AL2000" s="13"/>
      <c r="AM2000" s="13"/>
      <c r="AN2000" s="13"/>
      <c r="AO2000" s="13"/>
      <c r="AP2000" s="13"/>
      <c r="AQ2000" s="14"/>
      <c r="AR2000" s="15"/>
    </row>
    <row r="2001" spans="1:44" s="17" customFormat="1" ht="30.95" hidden="1" customHeight="1" x14ac:dyDescent="0.2">
      <c r="A2001" s="343"/>
      <c r="B2001" s="344"/>
      <c r="C2001" s="345"/>
      <c r="D2001" s="398"/>
      <c r="E2001" s="31"/>
      <c r="F2001" s="268"/>
      <c r="G2001" s="269"/>
      <c r="H2001" s="269"/>
      <c r="I2001" s="270"/>
      <c r="J2001" s="32"/>
      <c r="K2001" s="270"/>
      <c r="L2001" s="270"/>
      <c r="M2001" s="39"/>
      <c r="N2001" s="39"/>
      <c r="O2001" s="47"/>
      <c r="P2001" s="350"/>
      <c r="Q2001" s="276"/>
      <c r="R2001" s="277"/>
      <c r="S2001" s="277"/>
      <c r="T2001" s="40"/>
      <c r="U2001" s="278"/>
      <c r="V2001" s="269"/>
      <c r="W2001" s="269"/>
      <c r="X2001" s="275"/>
      <c r="Y2001" s="269"/>
      <c r="Z2001" s="357"/>
      <c r="AA2001" s="207"/>
      <c r="AB2001" s="369"/>
      <c r="AC2001" s="370"/>
      <c r="AD2001" s="332"/>
      <c r="AE2001" s="216"/>
      <c r="AF2001" s="43"/>
      <c r="AG2001" s="47"/>
      <c r="AH2001" s="30"/>
      <c r="AI2001" s="30"/>
      <c r="AJ2001" s="30"/>
      <c r="AK2001" s="30"/>
      <c r="AL2001" s="13"/>
      <c r="AM2001" s="13"/>
      <c r="AN2001" s="13"/>
      <c r="AO2001" s="13"/>
      <c r="AP2001" s="13"/>
      <c r="AQ2001" s="14"/>
      <c r="AR2001" s="15"/>
    </row>
    <row r="2002" spans="1:44" s="17" customFormat="1" ht="30.95" hidden="1" customHeight="1" x14ac:dyDescent="0.2">
      <c r="A2002" s="343" t="s">
        <v>3220</v>
      </c>
      <c r="B2002" s="344" t="s">
        <v>3221</v>
      </c>
      <c r="C2002" s="345"/>
      <c r="D2002" s="398"/>
      <c r="E2002" s="31"/>
      <c r="F2002" s="268"/>
      <c r="G2002" s="269"/>
      <c r="H2002" s="269"/>
      <c r="I2002" s="301" t="s">
        <v>3222</v>
      </c>
      <c r="J2002" s="32"/>
      <c r="K2002" s="270"/>
      <c r="L2002" s="270"/>
      <c r="M2002" s="39"/>
      <c r="N2002" s="39"/>
      <c r="O2002" s="47"/>
      <c r="P2002" s="350"/>
      <c r="Q2002" s="276"/>
      <c r="R2002" s="277"/>
      <c r="S2002" s="277"/>
      <c r="T2002" s="40"/>
      <c r="U2002" s="278"/>
      <c r="V2002" s="269"/>
      <c r="W2002" s="269"/>
      <c r="X2002" s="275"/>
      <c r="Y2002" s="269"/>
      <c r="Z2002" s="357"/>
      <c r="AA2002" s="207"/>
      <c r="AB2002" s="369"/>
      <c r="AC2002" s="370"/>
      <c r="AD2002" s="332"/>
      <c r="AE2002" s="216"/>
      <c r="AF2002" s="43"/>
      <c r="AG2002" s="47"/>
      <c r="AH2002" s="30"/>
      <c r="AI2002" s="30"/>
      <c r="AJ2002" s="30"/>
      <c r="AK2002" s="30"/>
      <c r="AL2002" s="13"/>
      <c r="AM2002" s="13"/>
      <c r="AN2002" s="13"/>
      <c r="AO2002" s="13"/>
      <c r="AP2002" s="13"/>
      <c r="AQ2002" s="14"/>
      <c r="AR2002" s="15"/>
    </row>
    <row r="2003" spans="1:44" s="17" customFormat="1" ht="30.95" hidden="1" customHeight="1" x14ac:dyDescent="0.2">
      <c r="A2003" s="343"/>
      <c r="B2003" s="344"/>
      <c r="C2003" s="345"/>
      <c r="D2003" s="398"/>
      <c r="E2003" s="31"/>
      <c r="F2003" s="268"/>
      <c r="G2003" s="269"/>
      <c r="H2003" s="269"/>
      <c r="I2003" s="270"/>
      <c r="J2003" s="32"/>
      <c r="K2003" s="270"/>
      <c r="L2003" s="270"/>
      <c r="M2003" s="39"/>
      <c r="N2003" s="39"/>
      <c r="O2003" s="47"/>
      <c r="P2003" s="350"/>
      <c r="Q2003" s="276"/>
      <c r="R2003" s="277"/>
      <c r="S2003" s="277"/>
      <c r="T2003" s="40"/>
      <c r="U2003" s="278"/>
      <c r="V2003" s="269"/>
      <c r="W2003" s="269"/>
      <c r="X2003" s="275"/>
      <c r="Y2003" s="269"/>
      <c r="Z2003" s="357"/>
      <c r="AA2003" s="207"/>
      <c r="AB2003" s="369"/>
      <c r="AC2003" s="370"/>
      <c r="AD2003" s="332"/>
      <c r="AE2003" s="216"/>
      <c r="AF2003" s="43"/>
      <c r="AG2003" s="47"/>
      <c r="AH2003" s="30"/>
      <c r="AI2003" s="30"/>
      <c r="AJ2003" s="30"/>
      <c r="AK2003" s="30"/>
      <c r="AL2003" s="13"/>
      <c r="AM2003" s="13"/>
      <c r="AN2003" s="13"/>
      <c r="AO2003" s="13"/>
      <c r="AP2003" s="13"/>
      <c r="AQ2003" s="14"/>
      <c r="AR2003" s="15"/>
    </row>
    <row r="2004" spans="1:44" s="17" customFormat="1" ht="30.95" hidden="1" customHeight="1" x14ac:dyDescent="0.2">
      <c r="A2004" s="343"/>
      <c r="B2004" s="344"/>
      <c r="C2004" s="345"/>
      <c r="D2004" s="31">
        <v>3778933</v>
      </c>
      <c r="E2004" s="31">
        <v>4170825</v>
      </c>
      <c r="F2004" s="268" t="str">
        <f>IF(D2004="","",VLOOKUP(D2004,契約台帳!$A$3:$K$4986,6,FALSE)&amp;VLOOKUP(D2004,契約台帳!$A$3:$K$4986,7,FALSE)&amp;VLOOKUP(D2004,契約台帳!$A$3:$K$4986,8,FALSE)&amp;VLOOKUP(D2004,契約台帳!$A$3:$K$4986,9,FALSE)&amp;VLOOKUP(D2004,契約台帳!$A$3:$K$4986,11,FALSE))</f>
        <v>3SNMLBMNGTBF</v>
      </c>
      <c r="G2004" s="269" t="str">
        <f>IF(D2004="","",VLOOKUP(F2004,製品マスタ!$G$5:$H$5002,2,FALSE))</f>
        <v>S</v>
      </c>
      <c r="H2004" s="269" t="str">
        <f>IF(D2004="","",VLOOKUP(F2004,製品マスタ!$G$5:$K$5002,5,FALSE))</f>
        <v>MNGTBF</v>
      </c>
      <c r="I2004" s="270" t="str">
        <f>IF(D2004="","",VLOOKUP(F2004,製品マスタ!$G$5:$L$5002,6,FALSE))</f>
        <v>メタルミー　ネーマー　銀艶　Ｂ</v>
      </c>
      <c r="J2004" s="32" t="s">
        <v>3017</v>
      </c>
      <c r="K2004" s="270">
        <f>IF(D2004="","",VLOOKUP(D2004,契約台帳!$A$3:$L$4986,12,FALSE))</f>
        <v>25</v>
      </c>
      <c r="L2004" s="270" t="str">
        <f>IF(D2004="","",INDEX(製品マスタ!$Q$5:$Q$5002,MATCH(F2004&amp;K2004,製品マスタ!$AO$5:$AO$5002,0)))</f>
        <v>T62M</v>
      </c>
      <c r="M2004" s="39">
        <v>1125</v>
      </c>
      <c r="N2004" s="39">
        <v>12100</v>
      </c>
      <c r="O2004" s="47">
        <v>1</v>
      </c>
      <c r="P2004" s="350">
        <v>45572</v>
      </c>
      <c r="Q2004" s="276">
        <f>IF(D2004="","",IF(J2004="リード付け",M2004,VLOOKUP(D2004,契約台帳!$A$3:$N$4986,14,FALSE)))</f>
        <v>1125</v>
      </c>
      <c r="R2004" s="277">
        <f>IF(D2004="","",IF(J2004="リード付け",M2004,VLOOKUP(D2004,契約台帳!$A$3:$O$4986,15,FALSE)))</f>
        <v>1125</v>
      </c>
      <c r="S2004" s="277">
        <f>IF(D2004="","",IF(J2004="リード付け",N2004,VLOOKUP(D2004,契約台帳!$A$3:$P$4986,16,FALSE)))</f>
        <v>12100</v>
      </c>
      <c r="T2004" s="40">
        <v>1</v>
      </c>
      <c r="U2004" s="278">
        <f ca="1">IF(D2004="","",IF(OFFSET(D2004,-2,0)=D2004,"",VLOOKUP(D2004,契約台帳!$A$3:$R$4986,18,FALSE)))</f>
        <v>3</v>
      </c>
      <c r="V2004" s="269" t="str">
        <f>IF(J2004="巻返し",VLOOKUP(F2004&amp;K2004&amp;M2004,製品マスタ!$M$5:$AD$5002,18,FALSE),IF(J2004="リード付け","原反コア",IF(J2004="スリット",VLOOKUP(F2004&amp;K2004&amp;Q2004,製品マスタ!$N$5:$AD$5002,17,FALSE),"")))</f>
        <v>原反コア</v>
      </c>
      <c r="W2004" s="269" t="str">
        <f>IF(J2004="巻返し",VLOOKUP(F2004&amp;K2004&amp;M2004,製品マスタ!$M$5:$AE$5002,19,FALSE),IF(J2004="リード付け","-",IF(J2004="スリット",VLOOKUP(F2004&amp;K2004&amp;Q2004,製品マスタ!$N$5:$AE$5002,18,FALSE),"")))</f>
        <v>-</v>
      </c>
      <c r="X2004" s="275">
        <f>IF(D2004="","",VLOOKUP(D2004,契約台帳!$A$3:$Q$4986,17,FALSE))</f>
        <v>2</v>
      </c>
      <c r="Y2004" s="269" t="str">
        <f>IF(D2004="","",VLOOKUP(D2004,契約台帳!$A$3:$E$4986,5,FALSE))</f>
        <v>リンテック㈱</v>
      </c>
      <c r="Z2004" s="357"/>
      <c r="AA2004" s="207"/>
      <c r="AB2004" s="369"/>
      <c r="AC2004" s="370"/>
      <c r="AD2004" s="332"/>
      <c r="AE2004" s="216"/>
      <c r="AF2004" s="43"/>
      <c r="AG2004" s="47"/>
      <c r="AH2004" s="30"/>
      <c r="AI2004" s="30"/>
      <c r="AJ2004" s="30"/>
      <c r="AK2004" s="30"/>
      <c r="AL2004" s="13"/>
      <c r="AM2004" s="13"/>
      <c r="AN2004" s="13"/>
      <c r="AO2004" s="13"/>
      <c r="AP2004" s="13"/>
      <c r="AQ2004" s="14"/>
      <c r="AR2004" s="15"/>
    </row>
    <row r="2005" spans="1:44" s="17" customFormat="1" ht="30.95" hidden="1" customHeight="1" x14ac:dyDescent="0.2">
      <c r="A2005" s="343"/>
      <c r="B2005" s="344"/>
      <c r="C2005" s="345"/>
      <c r="D2005" s="398"/>
      <c r="E2005" s="31"/>
      <c r="F2005" s="268"/>
      <c r="G2005" s="269"/>
      <c r="H2005" s="269"/>
      <c r="I2005" s="270"/>
      <c r="J2005" s="32"/>
      <c r="K2005" s="270"/>
      <c r="L2005" s="270"/>
      <c r="M2005" s="39"/>
      <c r="N2005" s="39"/>
      <c r="O2005" s="47"/>
      <c r="P2005" s="350"/>
      <c r="Q2005" s="276"/>
      <c r="R2005" s="277"/>
      <c r="S2005" s="277"/>
      <c r="T2005" s="40"/>
      <c r="U2005" s="278"/>
      <c r="V2005" s="269"/>
      <c r="W2005" s="269"/>
      <c r="X2005" s="275"/>
      <c r="Y2005" s="269"/>
      <c r="Z2005" s="357"/>
      <c r="AA2005" s="207"/>
      <c r="AB2005" s="369"/>
      <c r="AC2005" s="370"/>
      <c r="AD2005" s="332"/>
      <c r="AE2005" s="216"/>
      <c r="AF2005" s="43"/>
      <c r="AG2005" s="47"/>
      <c r="AH2005" s="30"/>
      <c r="AI2005" s="30"/>
      <c r="AJ2005" s="30"/>
      <c r="AK2005" s="30"/>
      <c r="AL2005" s="13"/>
      <c r="AM2005" s="13"/>
      <c r="AN2005" s="13"/>
      <c r="AO2005" s="13"/>
      <c r="AP2005" s="13"/>
      <c r="AQ2005" s="14"/>
      <c r="AR2005" s="15"/>
    </row>
    <row r="2006" spans="1:44" s="17" customFormat="1" ht="30.95" hidden="1" customHeight="1" x14ac:dyDescent="0.2">
      <c r="A2006" s="343"/>
      <c r="B2006" s="344"/>
      <c r="C2006" s="345"/>
      <c r="D2006" s="31">
        <v>3778934</v>
      </c>
      <c r="E2006" s="31">
        <v>4170826</v>
      </c>
      <c r="F2006" s="268" t="str">
        <f>IF(D2006="","",VLOOKUP(D2006,契約台帳!$A$3:$K$4986,6,FALSE)&amp;VLOOKUP(D2006,契約台帳!$A$3:$K$4986,7,FALSE)&amp;VLOOKUP(D2006,契約台帳!$A$3:$K$4986,8,FALSE)&amp;VLOOKUP(D2006,契約台帳!$A$3:$K$4986,9,FALSE)&amp;VLOOKUP(D2006,契約台帳!$A$3:$K$4986,11,FALSE))</f>
        <v>3SNMLBMNGTBF</v>
      </c>
      <c r="G2006" s="269" t="str">
        <f>IF(D2006="","",VLOOKUP(F2006,製品マスタ!$G$5:$H$5002,2,FALSE))</f>
        <v>S</v>
      </c>
      <c r="H2006" s="269" t="str">
        <f>IF(D2006="","",VLOOKUP(F2006,製品マスタ!$G$5:$K$5002,5,FALSE))</f>
        <v>MNGTBF</v>
      </c>
      <c r="I2006" s="270" t="str">
        <f>IF(D2006="","",VLOOKUP(F2006,製品マスタ!$G$5:$L$5002,6,FALSE))</f>
        <v>メタルミー　ネーマー　銀艶　Ｂ</v>
      </c>
      <c r="J2006" s="32" t="s">
        <v>3017</v>
      </c>
      <c r="K2006" s="270">
        <f>IF(D2006="","",VLOOKUP(D2006,契約台帳!$A$3:$L$4986,12,FALSE))</f>
        <v>25</v>
      </c>
      <c r="L2006" s="270" t="str">
        <f>IF(D2006="","",INDEX(製品マスタ!$Q$5:$Q$5002,MATCH(F2006&amp;K2006,製品マスタ!$AO$5:$AO$5002,0)))</f>
        <v>T62M</v>
      </c>
      <c r="M2006" s="39">
        <v>1125</v>
      </c>
      <c r="N2006" s="39">
        <v>12100</v>
      </c>
      <c r="O2006" s="47">
        <v>1</v>
      </c>
      <c r="P2006" s="350">
        <v>45572</v>
      </c>
      <c r="Q2006" s="276">
        <f>IF(D2006="","",IF(J2006="リード付け",M2006,VLOOKUP(D2006,契約台帳!$A$3:$N$4986,14,FALSE)))</f>
        <v>1125</v>
      </c>
      <c r="R2006" s="277">
        <f>IF(D2006="","",IF(J2006="リード付け",M2006,VLOOKUP(D2006,契約台帳!$A$3:$O$4986,15,FALSE)))</f>
        <v>1125</v>
      </c>
      <c r="S2006" s="277">
        <f>IF(D2006="","",IF(J2006="リード付け",N2006,VLOOKUP(D2006,契約台帳!$A$3:$P$4986,16,FALSE)))</f>
        <v>12100</v>
      </c>
      <c r="T2006" s="40">
        <v>1</v>
      </c>
      <c r="U2006" s="278">
        <f ca="1">IF(D2006="","",IF(OFFSET(D2006,-2,0)=D2006,"",VLOOKUP(D2006,契約台帳!$A$3:$R$4986,18,FALSE)))</f>
        <v>3</v>
      </c>
      <c r="V2006" s="269" t="str">
        <f>IF(J2006="巻返し",VLOOKUP(F2006&amp;K2006&amp;M2006,製品マスタ!$M$5:$AD$5002,18,FALSE),IF(J2006="リード付け","原反コア",IF(J2006="スリット",VLOOKUP(F2006&amp;K2006&amp;Q2006,製品マスタ!$N$5:$AD$5002,17,FALSE),"")))</f>
        <v>原反コア</v>
      </c>
      <c r="W2006" s="269" t="str">
        <f>IF(J2006="巻返し",VLOOKUP(F2006&amp;K2006&amp;M2006,製品マスタ!$M$5:$AE$5002,19,FALSE),IF(J2006="リード付け","-",IF(J2006="スリット",VLOOKUP(F2006&amp;K2006&amp;Q2006,製品マスタ!$N$5:$AE$5002,18,FALSE),"")))</f>
        <v>-</v>
      </c>
      <c r="X2006" s="275">
        <f>IF(D2006="","",VLOOKUP(D2006,契約台帳!$A$3:$Q$4986,17,FALSE))</f>
        <v>2</v>
      </c>
      <c r="Y2006" s="269" t="str">
        <f>IF(D2006="","",VLOOKUP(D2006,契約台帳!$A$3:$E$4986,5,FALSE))</f>
        <v>リンテック㈱</v>
      </c>
      <c r="Z2006" s="357"/>
      <c r="AA2006" s="207"/>
      <c r="AB2006" s="369"/>
      <c r="AC2006" s="370"/>
      <c r="AD2006" s="332"/>
      <c r="AE2006" s="216"/>
      <c r="AF2006" s="43"/>
      <c r="AG2006" s="47"/>
      <c r="AH2006" s="30"/>
      <c r="AI2006" s="30"/>
      <c r="AJ2006" s="30"/>
      <c r="AK2006" s="30"/>
      <c r="AL2006" s="13"/>
      <c r="AM2006" s="13"/>
      <c r="AN2006" s="13"/>
      <c r="AO2006" s="13"/>
      <c r="AP2006" s="13"/>
      <c r="AQ2006" s="14"/>
      <c r="AR2006" s="15"/>
    </row>
    <row r="2007" spans="1:44" s="17" customFormat="1" ht="30.95" hidden="1" customHeight="1" x14ac:dyDescent="0.2">
      <c r="A2007" s="343"/>
      <c r="B2007" s="344"/>
      <c r="C2007" s="345"/>
      <c r="D2007" s="398"/>
      <c r="E2007" s="31"/>
      <c r="F2007" s="268"/>
      <c r="G2007" s="269"/>
      <c r="H2007" s="269"/>
      <c r="I2007" s="270"/>
      <c r="J2007" s="32"/>
      <c r="K2007" s="270"/>
      <c r="L2007" s="270"/>
      <c r="M2007" s="39"/>
      <c r="N2007" s="39"/>
      <c r="O2007" s="47"/>
      <c r="P2007" s="350"/>
      <c r="Q2007" s="276"/>
      <c r="R2007" s="277"/>
      <c r="S2007" s="277"/>
      <c r="T2007" s="40"/>
      <c r="U2007" s="278"/>
      <c r="V2007" s="269"/>
      <c r="W2007" s="269"/>
      <c r="X2007" s="275"/>
      <c r="Y2007" s="269"/>
      <c r="Z2007" s="357"/>
      <c r="AA2007" s="207"/>
      <c r="AB2007" s="369"/>
      <c r="AC2007" s="370"/>
      <c r="AD2007" s="332"/>
      <c r="AE2007" s="216"/>
      <c r="AF2007" s="43"/>
      <c r="AG2007" s="47"/>
      <c r="AH2007" s="30"/>
      <c r="AI2007" s="30"/>
      <c r="AJ2007" s="30"/>
      <c r="AK2007" s="30"/>
      <c r="AL2007" s="13"/>
      <c r="AM2007" s="13"/>
      <c r="AN2007" s="13"/>
      <c r="AO2007" s="13"/>
      <c r="AP2007" s="13"/>
      <c r="AQ2007" s="14"/>
      <c r="AR2007" s="15"/>
    </row>
    <row r="2008" spans="1:44" s="17" customFormat="1" ht="30.6" hidden="1" customHeight="1" x14ac:dyDescent="0.2">
      <c r="A2008" s="320" t="s">
        <v>591</v>
      </c>
      <c r="B2008" s="321" t="s">
        <v>688</v>
      </c>
      <c r="C2008" s="345"/>
      <c r="D2008" s="398">
        <v>3778932</v>
      </c>
      <c r="E2008" s="31">
        <v>4155423</v>
      </c>
      <c r="F2008" s="268" t="str">
        <f>IF(D2008="","",VLOOKUP(D2008,契約台帳!$A$3:$K$4986,6,FALSE)&amp;VLOOKUP(D2008,契約台帳!$A$3:$K$4986,7,FALSE)&amp;VLOOKUP(D2008,契約台帳!$A$3:$K$4986,8,FALSE)&amp;VLOOKUP(D2008,契約台帳!$A$3:$K$4986,9,FALSE)&amp;VLOOKUP(D2008,契約台帳!$A$3:$K$4986,11,FALSE))</f>
        <v>3SNMLBMNGTBF</v>
      </c>
      <c r="G2008" s="269" t="str">
        <f>IF(D2008="","",VLOOKUP(F2008,製品マスタ!$G$5:$H$5002,2,FALSE))</f>
        <v>S</v>
      </c>
      <c r="H2008" s="269" t="str">
        <f>IF(D2008="","",VLOOKUP(F2008,製品マスタ!$G$5:$K$5002,5,FALSE))</f>
        <v>MNGTBF</v>
      </c>
      <c r="I2008" s="270" t="str">
        <f>IF(D2008="","",VLOOKUP(F2008,製品マスタ!$G$5:$L$5002,6,FALSE))</f>
        <v>メタルミー　ネーマー　銀艶　Ｂ</v>
      </c>
      <c r="J2008" s="32" t="s">
        <v>447</v>
      </c>
      <c r="K2008" s="270">
        <f>IF(D2008="","",VLOOKUP(D2008,契約台帳!$A$3:$L$4986,12,FALSE))</f>
        <v>25</v>
      </c>
      <c r="L2008" s="270" t="str">
        <f>IF(D2008="","",INDEX(製品マスタ!$Q$5:$Q$5002,MATCH(F2008&amp;K2008,製品マスタ!$AO$5:$AO$5002,0)))</f>
        <v>T62M</v>
      </c>
      <c r="M2008" s="39">
        <v>1005</v>
      </c>
      <c r="N2008" s="39">
        <v>12100</v>
      </c>
      <c r="O2008" s="47">
        <v>2</v>
      </c>
      <c r="P2008" s="57"/>
      <c r="Q2008" s="276">
        <f>IF(D2008="","",IF(J2008="リード付け",M2008,VLOOKUP(D2008,契約台帳!$A$3:$N$4986,14,FALSE)))</f>
        <v>1005</v>
      </c>
      <c r="R2008" s="277">
        <f>IF(D2008="","",IF(J2008="リード付け",M2008,VLOOKUP(D2008,契約台帳!$A$3:$O$4986,15,FALSE)))</f>
        <v>1000</v>
      </c>
      <c r="S2008" s="277">
        <f>IF(D2008="","",IF(J2008="リード付け",N2008,VLOOKUP(D2008,契約台帳!$A$3:$P$4986,16,FALSE)))</f>
        <v>4000</v>
      </c>
      <c r="T2008" s="40">
        <v>6</v>
      </c>
      <c r="U2008" s="278">
        <f ca="1">IF(D2008="","",IF(OFFSET(D2008,-2,0)=D2008,"",VLOOKUP(D2008,契約台帳!$A$3:$R$4986,18,FALSE)))</f>
        <v>21</v>
      </c>
      <c r="V2008" s="269" t="str">
        <f>IF(J2008="巻返し",VLOOKUP(F2008&amp;K2008&amp;M2008,製品マスタ!$M$5:$AD$5002,18,FALSE),IF(J2008="リード付け","原反コア",IF(J2008="スリット",VLOOKUP(F2008&amp;K2008&amp;Q2008,製品マスタ!$N$5:$AD$5002,17,FALSE),"")))</f>
        <v>6ｲﾝﾁSｺｱ</v>
      </c>
      <c r="W2008" s="269">
        <f>IF(J2008="巻返し",VLOOKUP(F2008&amp;K2008&amp;M2008,製品マスタ!$M$5:$AE$5002,19,FALSE),IF(J2008="リード付け","-",IF(J2008="スリット",VLOOKUP(F2008&amp;K2008&amp;Q2008,製品マスタ!$N$5:$AE$5002,18,FALSE),"")))</f>
        <v>1015</v>
      </c>
      <c r="X2008" s="275">
        <f>IF(D2008="","",VLOOKUP(D2008,契約台帳!$A$3:$Q$4986,17,FALSE))</f>
        <v>2</v>
      </c>
      <c r="Y2008" s="269" t="str">
        <f>IF(D2008="","",VLOOKUP(D2008,契約台帳!$A$3:$E$4986,5,FALSE))</f>
        <v>リンテック㈱</v>
      </c>
      <c r="Z2008" s="357"/>
      <c r="AA2008" s="207"/>
      <c r="AB2008" s="369"/>
      <c r="AC2008" s="370"/>
      <c r="AD2008" s="332" t="str">
        <f>IF(F2008="","",+F2008&amp;K2008)</f>
        <v>3SNMLBMNGTBF25</v>
      </c>
      <c r="AE2008" s="216">
        <f>+M2008*N2008*O2008/1000</f>
        <v>24321</v>
      </c>
      <c r="AF2008" s="43">
        <f>IF(AD2008="","",VLOOKUP(AD2008,原価マスタ!$A$2:$AJ$1693,13,FALSE))</f>
        <v>97.5</v>
      </c>
      <c r="AG2008" s="47">
        <f>IF(AF2008="","",+AE2008*AF2008/100)</f>
        <v>23712.974999999999</v>
      </c>
      <c r="AH2008" s="30"/>
      <c r="AI2008" s="30"/>
      <c r="AJ2008" s="30"/>
      <c r="AK2008" s="30"/>
      <c r="AL2008" s="13"/>
      <c r="AM2008" s="13"/>
      <c r="AN2008" s="13"/>
      <c r="AO2008" s="13"/>
      <c r="AP2008" s="13"/>
      <c r="AQ2008" s="14"/>
      <c r="AR2008" s="15"/>
    </row>
    <row r="2009" spans="1:44" s="17" customFormat="1" ht="30.95" hidden="1" customHeight="1" x14ac:dyDescent="0.2">
      <c r="A2009" s="343"/>
      <c r="B2009" s="344"/>
      <c r="C2009" s="345"/>
      <c r="D2009" s="398"/>
      <c r="E2009" s="31"/>
      <c r="F2009" s="268"/>
      <c r="G2009" s="269"/>
      <c r="H2009" s="269"/>
      <c r="I2009" s="270"/>
      <c r="J2009" s="32"/>
      <c r="K2009" s="270"/>
      <c r="L2009" s="270"/>
      <c r="M2009" s="39"/>
      <c r="N2009" s="39"/>
      <c r="O2009" s="47"/>
      <c r="P2009" s="350"/>
      <c r="Q2009" s="276"/>
      <c r="R2009" s="277"/>
      <c r="S2009" s="277"/>
      <c r="T2009" s="40"/>
      <c r="U2009" s="278"/>
      <c r="V2009" s="269"/>
      <c r="W2009" s="269"/>
      <c r="X2009" s="275"/>
      <c r="Y2009" s="269"/>
      <c r="Z2009" s="357"/>
      <c r="AA2009" s="207"/>
      <c r="AB2009" s="369"/>
      <c r="AC2009" s="370"/>
      <c r="AD2009" s="332"/>
      <c r="AE2009" s="216"/>
      <c r="AF2009" s="43"/>
      <c r="AG2009" s="47"/>
      <c r="AH2009" s="30"/>
      <c r="AI2009" s="30"/>
      <c r="AJ2009" s="30"/>
      <c r="AK2009" s="30"/>
      <c r="AL2009" s="13"/>
      <c r="AM2009" s="13"/>
      <c r="AN2009" s="13"/>
      <c r="AO2009" s="13"/>
      <c r="AP2009" s="13"/>
      <c r="AQ2009" s="14"/>
      <c r="AR2009" s="15"/>
    </row>
    <row r="2010" spans="1:44" s="17" customFormat="1" ht="30.6" hidden="1" customHeight="1" x14ac:dyDescent="0.2">
      <c r="A2010" s="320" t="s">
        <v>3224</v>
      </c>
      <c r="B2010" s="321" t="s">
        <v>3225</v>
      </c>
      <c r="C2010" s="345"/>
      <c r="D2010" s="398">
        <v>3778932</v>
      </c>
      <c r="E2010" s="31">
        <v>4155423</v>
      </c>
      <c r="F2010" s="268" t="str">
        <f>IF(D2010="","",VLOOKUP(D2010,契約台帳!$A$3:$K$4986,6,FALSE)&amp;VLOOKUP(D2010,契約台帳!$A$3:$K$4986,7,FALSE)&amp;VLOOKUP(D2010,契約台帳!$A$3:$K$4986,8,FALSE)&amp;VLOOKUP(D2010,契約台帳!$A$3:$K$4986,9,FALSE)&amp;VLOOKUP(D2010,契約台帳!$A$3:$K$4986,11,FALSE))</f>
        <v>3SNMLBMNGTBF</v>
      </c>
      <c r="G2010" s="269" t="str">
        <f>IF(D2010="","",VLOOKUP(F2010,製品マスタ!$G$5:$H$5002,2,FALSE))</f>
        <v>S</v>
      </c>
      <c r="H2010" s="269" t="str">
        <f>IF(D2010="","",VLOOKUP(F2010,製品マスタ!$G$5:$K$5002,5,FALSE))</f>
        <v>MNGTBF</v>
      </c>
      <c r="I2010" s="270" t="str">
        <f>IF(D2010="","",VLOOKUP(F2010,製品マスタ!$G$5:$L$5002,6,FALSE))</f>
        <v>メタルミー　ネーマー　銀艶　Ｂ</v>
      </c>
      <c r="J2010" s="32" t="s">
        <v>447</v>
      </c>
      <c r="K2010" s="270">
        <f>IF(D2010="","",VLOOKUP(D2010,契約台帳!$A$3:$L$4986,12,FALSE))</f>
        <v>25</v>
      </c>
      <c r="L2010" s="270" t="str">
        <f>IF(D2010="","",INDEX(製品マスタ!$Q$5:$Q$5002,MATCH(F2010&amp;K2010,製品マスタ!$AO$5:$AO$5002,0)))</f>
        <v>T62M</v>
      </c>
      <c r="M2010" s="39">
        <v>1005</v>
      </c>
      <c r="N2010" s="39">
        <v>12100</v>
      </c>
      <c r="O2010" s="47">
        <v>4</v>
      </c>
      <c r="P2010" s="57"/>
      <c r="Q2010" s="276">
        <f>IF(D2010="","",IF(J2010="リード付け",M2010,VLOOKUP(D2010,契約台帳!$A$3:$N$4986,14,FALSE)))</f>
        <v>1005</v>
      </c>
      <c r="R2010" s="277">
        <f>IF(D2010="","",IF(J2010="リード付け",M2010,VLOOKUP(D2010,契約台帳!$A$3:$O$4986,15,FALSE)))</f>
        <v>1000</v>
      </c>
      <c r="S2010" s="277">
        <f>IF(D2010="","",IF(J2010="リード付け",N2010,VLOOKUP(D2010,契約台帳!$A$3:$P$4986,16,FALSE)))</f>
        <v>4000</v>
      </c>
      <c r="T2010" s="40">
        <v>12</v>
      </c>
      <c r="U2010" s="278" t="str">
        <f ca="1">IF(D2010="","",IF(OFFSET(D2010,-2,0)=D2010,"",VLOOKUP(D2010,契約台帳!$A$3:$R$4986,18,FALSE)))</f>
        <v/>
      </c>
      <c r="V2010" s="269" t="str">
        <f>IF(J2010="巻返し",VLOOKUP(F2010&amp;K2010&amp;M2010,製品マスタ!$M$5:$AD$5002,18,FALSE),IF(J2010="リード付け","原反コア",IF(J2010="スリット",VLOOKUP(F2010&amp;K2010&amp;Q2010,製品マスタ!$N$5:$AD$5002,17,FALSE),"")))</f>
        <v>6ｲﾝﾁSｺｱ</v>
      </c>
      <c r="W2010" s="269">
        <f>IF(J2010="巻返し",VLOOKUP(F2010&amp;K2010&amp;M2010,製品マスタ!$M$5:$AE$5002,19,FALSE),IF(J2010="リード付け","-",IF(J2010="スリット",VLOOKUP(F2010&amp;K2010&amp;Q2010,製品マスタ!$N$5:$AE$5002,18,FALSE),"")))</f>
        <v>1015</v>
      </c>
      <c r="X2010" s="275">
        <f>IF(D2010="","",VLOOKUP(D2010,契約台帳!$A$3:$Q$4986,17,FALSE))</f>
        <v>2</v>
      </c>
      <c r="Y2010" s="269" t="str">
        <f>IF(D2010="","",VLOOKUP(D2010,契約台帳!$A$3:$E$4986,5,FALSE))</f>
        <v>リンテック㈱</v>
      </c>
      <c r="Z2010" s="357"/>
      <c r="AA2010" s="207"/>
      <c r="AB2010" s="369"/>
      <c r="AC2010" s="370"/>
      <c r="AD2010" s="332" t="str">
        <f>IF(F2010="","",+F2010&amp;K2010)</f>
        <v>3SNMLBMNGTBF25</v>
      </c>
      <c r="AE2010" s="216">
        <f>+M2010*N2010*O2010/1000</f>
        <v>48642</v>
      </c>
      <c r="AF2010" s="43">
        <f>IF(AD2010="","",VLOOKUP(AD2010,原価マスタ!$A$2:$AJ$1693,13,FALSE))</f>
        <v>97.5</v>
      </c>
      <c r="AG2010" s="47">
        <f>IF(AF2010="","",+AE2010*AF2010/100)</f>
        <v>47425.95</v>
      </c>
      <c r="AH2010" s="30"/>
      <c r="AI2010" s="30"/>
      <c r="AJ2010" s="30"/>
      <c r="AK2010" s="30"/>
      <c r="AL2010" s="13"/>
      <c r="AM2010" s="13"/>
      <c r="AN2010" s="13"/>
      <c r="AO2010" s="13"/>
      <c r="AP2010" s="13"/>
      <c r="AQ2010" s="14"/>
      <c r="AR2010" s="15"/>
    </row>
    <row r="2011" spans="1:44" s="17" customFormat="1" ht="30.95" hidden="1" customHeight="1" x14ac:dyDescent="0.2">
      <c r="A2011" s="343"/>
      <c r="B2011" s="344"/>
      <c r="C2011" s="345"/>
      <c r="D2011" s="398"/>
      <c r="E2011" s="31"/>
      <c r="F2011" s="268"/>
      <c r="G2011" s="269"/>
      <c r="H2011" s="269"/>
      <c r="I2011" s="270"/>
      <c r="J2011" s="32"/>
      <c r="K2011" s="270"/>
      <c r="L2011" s="270"/>
      <c r="M2011" s="39"/>
      <c r="N2011" s="39"/>
      <c r="O2011" s="47"/>
      <c r="P2011" s="350"/>
      <c r="Q2011" s="276"/>
      <c r="R2011" s="277"/>
      <c r="S2011" s="277"/>
      <c r="T2011" s="40"/>
      <c r="U2011" s="278"/>
      <c r="V2011" s="269"/>
      <c r="W2011" s="269"/>
      <c r="X2011" s="275"/>
      <c r="Y2011" s="269"/>
      <c r="Z2011" s="357"/>
      <c r="AA2011" s="207"/>
      <c r="AB2011" s="369"/>
      <c r="AC2011" s="370"/>
      <c r="AD2011" s="332"/>
      <c r="AE2011" s="216"/>
      <c r="AF2011" s="43"/>
      <c r="AG2011" s="47"/>
      <c r="AH2011" s="30"/>
      <c r="AI2011" s="30"/>
      <c r="AJ2011" s="30"/>
      <c r="AK2011" s="30"/>
      <c r="AL2011" s="13"/>
      <c r="AM2011" s="13"/>
      <c r="AN2011" s="13"/>
      <c r="AO2011" s="13"/>
      <c r="AP2011" s="13"/>
      <c r="AQ2011" s="14"/>
      <c r="AR2011" s="15"/>
    </row>
    <row r="2012" spans="1:44" s="17" customFormat="1" ht="30.6" hidden="1" customHeight="1" x14ac:dyDescent="0.2">
      <c r="A2012" s="320" t="s">
        <v>593</v>
      </c>
      <c r="B2012" s="321" t="s">
        <v>443</v>
      </c>
      <c r="C2012" s="345"/>
      <c r="D2012" s="398">
        <v>3778932</v>
      </c>
      <c r="E2012" s="31">
        <v>4155423</v>
      </c>
      <c r="F2012" s="268" t="str">
        <f>IF(D2012="","",VLOOKUP(D2012,契約台帳!$A$3:$K$4986,6,FALSE)&amp;VLOOKUP(D2012,契約台帳!$A$3:$K$4986,7,FALSE)&amp;VLOOKUP(D2012,契約台帳!$A$3:$K$4986,8,FALSE)&amp;VLOOKUP(D2012,契約台帳!$A$3:$K$4986,9,FALSE)&amp;VLOOKUP(D2012,契約台帳!$A$3:$K$4986,11,FALSE))</f>
        <v>3SNMLBMNGTBF</v>
      </c>
      <c r="G2012" s="269" t="str">
        <f>IF(D2012="","",VLOOKUP(F2012,製品マスタ!$G$5:$H$5002,2,FALSE))</f>
        <v>S</v>
      </c>
      <c r="H2012" s="269" t="str">
        <f>IF(D2012="","",VLOOKUP(F2012,製品マスタ!$G$5:$K$5002,5,FALSE))</f>
        <v>MNGTBF</v>
      </c>
      <c r="I2012" s="270" t="str">
        <f>IF(D2012="","",VLOOKUP(F2012,製品マスタ!$G$5:$L$5002,6,FALSE))</f>
        <v>メタルミー　ネーマー　銀艶　Ｂ</v>
      </c>
      <c r="J2012" s="32" t="s">
        <v>447</v>
      </c>
      <c r="K2012" s="270">
        <f>IF(D2012="","",VLOOKUP(D2012,契約台帳!$A$3:$L$4986,12,FALSE))</f>
        <v>25</v>
      </c>
      <c r="L2012" s="270" t="str">
        <f>IF(D2012="","",INDEX(製品マスタ!$Q$5:$Q$5002,MATCH(F2012&amp;K2012,製品マスタ!$AO$5:$AO$5002,0)))</f>
        <v>T62M</v>
      </c>
      <c r="M2012" s="39">
        <v>1005</v>
      </c>
      <c r="N2012" s="39">
        <v>12100</v>
      </c>
      <c r="O2012" s="47">
        <v>1</v>
      </c>
      <c r="P2012" s="57"/>
      <c r="Q2012" s="276">
        <f>IF(D2012="","",IF(J2012="リード付け",M2012,VLOOKUP(D2012,契約台帳!$A$3:$N$4986,14,FALSE)))</f>
        <v>1005</v>
      </c>
      <c r="R2012" s="277">
        <f>IF(D2012="","",IF(J2012="リード付け",M2012,VLOOKUP(D2012,契約台帳!$A$3:$O$4986,15,FALSE)))</f>
        <v>1000</v>
      </c>
      <c r="S2012" s="277">
        <f>IF(D2012="","",IF(J2012="リード付け",N2012,VLOOKUP(D2012,契約台帳!$A$3:$P$4986,16,FALSE)))</f>
        <v>4000</v>
      </c>
      <c r="T2012" s="40">
        <v>3</v>
      </c>
      <c r="U2012" s="278" t="str">
        <f ca="1">IF(D2012="","",IF(OFFSET(D2012,-2,0)=D2012,"",VLOOKUP(D2012,契約台帳!$A$3:$R$4986,18,FALSE)))</f>
        <v/>
      </c>
      <c r="V2012" s="269" t="str">
        <f>IF(J2012="巻返し",VLOOKUP(F2012&amp;K2012&amp;M2012,製品マスタ!$M$5:$AD$5002,18,FALSE),IF(J2012="リード付け","原反コア",IF(J2012="スリット",VLOOKUP(F2012&amp;K2012&amp;Q2012,製品マスタ!$N$5:$AD$5002,17,FALSE),"")))</f>
        <v>6ｲﾝﾁSｺｱ</v>
      </c>
      <c r="W2012" s="269">
        <f>IF(J2012="巻返し",VLOOKUP(F2012&amp;K2012&amp;M2012,製品マスタ!$M$5:$AE$5002,19,FALSE),IF(J2012="リード付け","-",IF(J2012="スリット",VLOOKUP(F2012&amp;K2012&amp;Q2012,製品マスタ!$N$5:$AE$5002,18,FALSE),"")))</f>
        <v>1015</v>
      </c>
      <c r="X2012" s="275">
        <f>IF(D2012="","",VLOOKUP(D2012,契約台帳!$A$3:$Q$4986,17,FALSE))</f>
        <v>2</v>
      </c>
      <c r="Y2012" s="269" t="str">
        <f>IF(D2012="","",VLOOKUP(D2012,契約台帳!$A$3:$E$4986,5,FALSE))</f>
        <v>リンテック㈱</v>
      </c>
      <c r="Z2012" s="357"/>
      <c r="AA2012" s="207"/>
      <c r="AB2012" s="369"/>
      <c r="AC2012" s="370"/>
      <c r="AD2012" s="332" t="str">
        <f>IF(F2012="","",+F2012&amp;K2012)</f>
        <v>3SNMLBMNGTBF25</v>
      </c>
      <c r="AE2012" s="216">
        <f>+M2012*N2012*O2012/1000</f>
        <v>12160.5</v>
      </c>
      <c r="AF2012" s="43">
        <f>IF(AD2012="","",VLOOKUP(AD2012,原価マスタ!$A$2:$AJ$1693,13,FALSE))</f>
        <v>97.5</v>
      </c>
      <c r="AG2012" s="47">
        <f>IF(AF2012="","",+AE2012*AF2012/100)</f>
        <v>11856.487499999999</v>
      </c>
      <c r="AH2012" s="30"/>
      <c r="AI2012" s="30"/>
      <c r="AJ2012" s="30"/>
      <c r="AK2012" s="30"/>
      <c r="AL2012" s="13"/>
      <c r="AM2012" s="13"/>
      <c r="AN2012" s="13"/>
      <c r="AO2012" s="13"/>
      <c r="AP2012" s="13"/>
      <c r="AQ2012" s="14"/>
      <c r="AR2012" s="15"/>
    </row>
    <row r="2013" spans="1:44" s="17" customFormat="1" ht="30.95" hidden="1" customHeight="1" x14ac:dyDescent="0.2">
      <c r="A2013" s="343"/>
      <c r="B2013" s="344"/>
      <c r="C2013" s="345"/>
      <c r="D2013" s="398"/>
      <c r="E2013" s="31"/>
      <c r="F2013" s="268"/>
      <c r="G2013" s="269"/>
      <c r="H2013" s="269"/>
      <c r="I2013" s="270"/>
      <c r="J2013" s="32"/>
      <c r="K2013" s="270"/>
      <c r="L2013" s="270"/>
      <c r="M2013" s="39"/>
      <c r="N2013" s="39"/>
      <c r="O2013" s="47"/>
      <c r="P2013" s="350"/>
      <c r="Q2013" s="276"/>
      <c r="R2013" s="277"/>
      <c r="S2013" s="277"/>
      <c r="T2013" s="40"/>
      <c r="U2013" s="278"/>
      <c r="V2013" s="269"/>
      <c r="W2013" s="269"/>
      <c r="X2013" s="275"/>
      <c r="Y2013" s="269"/>
      <c r="Z2013" s="357"/>
      <c r="AA2013" s="207"/>
      <c r="AB2013" s="369"/>
      <c r="AC2013" s="370"/>
      <c r="AD2013" s="332"/>
      <c r="AE2013" s="216"/>
      <c r="AF2013" s="43"/>
      <c r="AG2013" s="47"/>
      <c r="AH2013" s="30"/>
      <c r="AI2013" s="30"/>
      <c r="AJ2013" s="30"/>
      <c r="AK2013" s="30"/>
      <c r="AL2013" s="13"/>
      <c r="AM2013" s="13"/>
      <c r="AN2013" s="13"/>
      <c r="AO2013" s="13"/>
      <c r="AP2013" s="13"/>
      <c r="AQ2013" s="14"/>
      <c r="AR2013" s="15"/>
    </row>
    <row r="2014" spans="1:44" s="17" customFormat="1" ht="30.6" hidden="1" customHeight="1" x14ac:dyDescent="0.2">
      <c r="A2014" s="320" t="s">
        <v>594</v>
      </c>
      <c r="B2014" s="321" t="s">
        <v>444</v>
      </c>
      <c r="C2014" s="345"/>
      <c r="D2014" s="398">
        <v>3778933</v>
      </c>
      <c r="E2014" s="31">
        <v>4155424</v>
      </c>
      <c r="F2014" s="268" t="str">
        <f>IF(D2014="","",VLOOKUP(D2014,契約台帳!$A$3:$K$4986,6,FALSE)&amp;VLOOKUP(D2014,契約台帳!$A$3:$K$4986,7,FALSE)&amp;VLOOKUP(D2014,契約台帳!$A$3:$K$4986,8,FALSE)&amp;VLOOKUP(D2014,契約台帳!$A$3:$K$4986,9,FALSE)&amp;VLOOKUP(D2014,契約台帳!$A$3:$K$4986,11,FALSE))</f>
        <v>3SNMLBMNGTBF</v>
      </c>
      <c r="G2014" s="269" t="str">
        <f>IF(D2014="","",VLOOKUP(F2014,製品マスタ!$G$5:$H$5002,2,FALSE))</f>
        <v>S</v>
      </c>
      <c r="H2014" s="269" t="str">
        <f>IF(D2014="","",VLOOKUP(F2014,製品マスタ!$G$5:$K$5002,5,FALSE))</f>
        <v>MNGTBF</v>
      </c>
      <c r="I2014" s="270" t="str">
        <f>IF(D2014="","",VLOOKUP(F2014,製品マスタ!$G$5:$L$5002,6,FALSE))</f>
        <v>メタルミー　ネーマー　銀艶　Ｂ</v>
      </c>
      <c r="J2014" s="32" t="s">
        <v>447</v>
      </c>
      <c r="K2014" s="270">
        <f>IF(D2014="","",VLOOKUP(D2014,契約台帳!$A$3:$L$4986,12,FALSE))</f>
        <v>25</v>
      </c>
      <c r="L2014" s="270" t="str">
        <f>IF(D2014="","",INDEX(製品マスタ!$Q$5:$Q$5002,MATCH(F2014&amp;K2014,製品マスタ!$AO$5:$AO$5002,0)))</f>
        <v>T62M</v>
      </c>
      <c r="M2014" s="39">
        <v>1125</v>
      </c>
      <c r="N2014" s="39">
        <v>12100</v>
      </c>
      <c r="O2014" s="47">
        <v>1</v>
      </c>
      <c r="P2014" s="57"/>
      <c r="Q2014" s="276">
        <f>IF(D2014="","",IF(J2014="リード付け",M2014,VLOOKUP(D2014,契約台帳!$A$3:$N$4986,14,FALSE)))</f>
        <v>1125</v>
      </c>
      <c r="R2014" s="277">
        <f>IF(D2014="","",IF(J2014="リード付け",M2014,VLOOKUP(D2014,契約台帳!$A$3:$O$4986,15,FALSE)))</f>
        <v>1120</v>
      </c>
      <c r="S2014" s="277">
        <f>IF(D2014="","",IF(J2014="リード付け",N2014,VLOOKUP(D2014,契約台帳!$A$3:$P$4986,16,FALSE)))</f>
        <v>4000</v>
      </c>
      <c r="T2014" s="40">
        <v>3</v>
      </c>
      <c r="U2014" s="278">
        <f ca="1">IF(D2014="","",IF(OFFSET(D2014,-2,0)=D2014,"",VLOOKUP(D2014,契約台帳!$A$3:$R$4986,18,FALSE)))</f>
        <v>3</v>
      </c>
      <c r="V2014" s="269" t="str">
        <f>IF(J2014="巻返し",VLOOKUP(F2014&amp;K2014&amp;M2014,製品マスタ!$M$5:$AD$5002,18,FALSE),IF(J2014="リード付け","原反コア",IF(J2014="スリット",VLOOKUP(F2014&amp;K2014&amp;Q2014,製品マスタ!$N$5:$AD$5002,17,FALSE),"")))</f>
        <v>6ｲﾝﾁSｺｱ</v>
      </c>
      <c r="W2014" s="269">
        <f>IF(J2014="巻返し",VLOOKUP(F2014&amp;K2014&amp;M2014,製品マスタ!$M$5:$AE$5002,19,FALSE),IF(J2014="リード付け","-",IF(J2014="スリット",VLOOKUP(F2014&amp;K2014&amp;Q2014,製品マスタ!$N$5:$AE$5002,18,FALSE),"")))</f>
        <v>1130</v>
      </c>
      <c r="X2014" s="275">
        <f>IF(D2014="","",VLOOKUP(D2014,契約台帳!$A$3:$Q$4986,17,FALSE))</f>
        <v>2</v>
      </c>
      <c r="Y2014" s="269" t="str">
        <f>IF(D2014="","",VLOOKUP(D2014,契約台帳!$A$3:$E$4986,5,FALSE))</f>
        <v>リンテック㈱</v>
      </c>
      <c r="Z2014" s="357"/>
      <c r="AA2014" s="207"/>
      <c r="AB2014" s="369"/>
      <c r="AC2014" s="370"/>
      <c r="AD2014" s="332" t="str">
        <f>IF(F2014="","",+F2014&amp;K2014)</f>
        <v>3SNMLBMNGTBF25</v>
      </c>
      <c r="AE2014" s="216">
        <f>+M2014*N2014*O2014/1000</f>
        <v>13612.5</v>
      </c>
      <c r="AF2014" s="43">
        <f>IF(AD2014="","",VLOOKUP(AD2014,原価マスタ!$A$2:$AJ$1693,13,FALSE))</f>
        <v>97.5</v>
      </c>
      <c r="AG2014" s="47">
        <f>IF(AF2014="","",+AE2014*AF2014/100)</f>
        <v>13272.1875</v>
      </c>
      <c r="AH2014" s="30"/>
      <c r="AI2014" s="30"/>
      <c r="AJ2014" s="30"/>
      <c r="AK2014" s="30"/>
      <c r="AL2014" s="13"/>
      <c r="AM2014" s="13"/>
      <c r="AN2014" s="13"/>
      <c r="AO2014" s="13"/>
      <c r="AP2014" s="13"/>
      <c r="AQ2014" s="14"/>
      <c r="AR2014" s="15"/>
    </row>
    <row r="2015" spans="1:44" s="17" customFormat="1" ht="30.95" hidden="1" customHeight="1" x14ac:dyDescent="0.2">
      <c r="A2015" s="343"/>
      <c r="B2015" s="344"/>
      <c r="C2015" s="345"/>
      <c r="D2015" s="398"/>
      <c r="E2015" s="31"/>
      <c r="F2015" s="268"/>
      <c r="G2015" s="269"/>
      <c r="H2015" s="269"/>
      <c r="I2015" s="270"/>
      <c r="J2015" s="32"/>
      <c r="K2015" s="270"/>
      <c r="L2015" s="270"/>
      <c r="M2015" s="39"/>
      <c r="N2015" s="39"/>
      <c r="O2015" s="47"/>
      <c r="P2015" s="350"/>
      <c r="Q2015" s="276"/>
      <c r="R2015" s="277"/>
      <c r="S2015" s="277"/>
      <c r="T2015" s="40"/>
      <c r="U2015" s="278"/>
      <c r="V2015" s="269"/>
      <c r="W2015" s="269"/>
      <c r="X2015" s="275"/>
      <c r="Y2015" s="269"/>
      <c r="Z2015" s="357"/>
      <c r="AA2015" s="207"/>
      <c r="AB2015" s="369"/>
      <c r="AC2015" s="370"/>
      <c r="AD2015" s="332"/>
      <c r="AE2015" s="216"/>
      <c r="AF2015" s="43"/>
      <c r="AG2015" s="47"/>
      <c r="AH2015" s="30"/>
      <c r="AI2015" s="30"/>
      <c r="AJ2015" s="30"/>
      <c r="AK2015" s="30"/>
      <c r="AL2015" s="13"/>
      <c r="AM2015" s="13"/>
      <c r="AN2015" s="13"/>
      <c r="AO2015" s="13"/>
      <c r="AP2015" s="13"/>
      <c r="AQ2015" s="14"/>
      <c r="AR2015" s="15"/>
    </row>
    <row r="2016" spans="1:44" s="17" customFormat="1" ht="30.6" hidden="1" customHeight="1" x14ac:dyDescent="0.2">
      <c r="A2016" s="320"/>
      <c r="B2016" s="321"/>
      <c r="C2016" s="345"/>
      <c r="D2016" s="398">
        <v>3778934</v>
      </c>
      <c r="E2016" s="31">
        <v>4155425</v>
      </c>
      <c r="F2016" s="268" t="str">
        <f>IF(D2016="","",VLOOKUP(D2016,契約台帳!$A$3:$K$4986,6,FALSE)&amp;VLOOKUP(D2016,契約台帳!$A$3:$K$4986,7,FALSE)&amp;VLOOKUP(D2016,契約台帳!$A$3:$K$4986,8,FALSE)&amp;VLOOKUP(D2016,契約台帳!$A$3:$K$4986,9,FALSE)&amp;VLOOKUP(D2016,契約台帳!$A$3:$K$4986,11,FALSE))</f>
        <v>3SNMLBMNGTBF</v>
      </c>
      <c r="G2016" s="269" t="str">
        <f>IF(D2016="","",VLOOKUP(F2016,製品マスタ!$G$5:$H$5002,2,FALSE))</f>
        <v>S</v>
      </c>
      <c r="H2016" s="269" t="str">
        <f>IF(D2016="","",VLOOKUP(F2016,製品マスタ!$G$5:$K$5002,5,FALSE))</f>
        <v>MNGTBF</v>
      </c>
      <c r="I2016" s="270" t="str">
        <f>IF(D2016="","",VLOOKUP(F2016,製品マスタ!$G$5:$L$5002,6,FALSE))</f>
        <v>メタルミー　ネーマー　銀艶　Ｂ</v>
      </c>
      <c r="J2016" s="32" t="s">
        <v>447</v>
      </c>
      <c r="K2016" s="270">
        <f>IF(D2016="","",VLOOKUP(D2016,契約台帳!$A$3:$L$4986,12,FALSE))</f>
        <v>25</v>
      </c>
      <c r="L2016" s="270" t="str">
        <f>IF(D2016="","",INDEX(製品マスタ!$Q$5:$Q$5002,MATCH(F2016&amp;K2016,製品マスタ!$AO$5:$AO$5002,0)))</f>
        <v>T62M</v>
      </c>
      <c r="M2016" s="39">
        <v>1125</v>
      </c>
      <c r="N2016" s="39">
        <v>12100</v>
      </c>
      <c r="O2016" s="47">
        <v>1</v>
      </c>
      <c r="P2016" s="57"/>
      <c r="Q2016" s="276">
        <f>IF(D2016="","",IF(J2016="リード付け",M2016,VLOOKUP(D2016,契約台帳!$A$3:$N$4986,14,FALSE)))</f>
        <v>1125</v>
      </c>
      <c r="R2016" s="277">
        <f>IF(D2016="","",IF(J2016="リード付け",M2016,VLOOKUP(D2016,契約台帳!$A$3:$O$4986,15,FALSE)))</f>
        <v>1120</v>
      </c>
      <c r="S2016" s="277">
        <f>IF(D2016="","",IF(J2016="リード付け",N2016,VLOOKUP(D2016,契約台帳!$A$3:$P$4986,16,FALSE)))</f>
        <v>4000</v>
      </c>
      <c r="T2016" s="40">
        <v>3</v>
      </c>
      <c r="U2016" s="278">
        <f ca="1">IF(D2016="","",IF(OFFSET(D2016,-2,0)=D2016,"",VLOOKUP(D2016,契約台帳!$A$3:$R$4986,18,FALSE)))</f>
        <v>3</v>
      </c>
      <c r="V2016" s="269" t="str">
        <f>IF(J2016="巻返し",VLOOKUP(F2016&amp;K2016&amp;M2016,製品マスタ!$M$5:$AD$5002,18,FALSE),IF(J2016="リード付け","原反コア",IF(J2016="スリット",VLOOKUP(F2016&amp;K2016&amp;Q2016,製品マスタ!$N$5:$AD$5002,17,FALSE),"")))</f>
        <v>6ｲﾝﾁSｺｱ</v>
      </c>
      <c r="W2016" s="269">
        <f>IF(J2016="巻返し",VLOOKUP(F2016&amp;K2016&amp;M2016,製品マスタ!$M$5:$AE$5002,19,FALSE),IF(J2016="リード付け","-",IF(J2016="スリット",VLOOKUP(F2016&amp;K2016&amp;Q2016,製品マスタ!$N$5:$AE$5002,18,FALSE),"")))</f>
        <v>1130</v>
      </c>
      <c r="X2016" s="275">
        <f>IF(D2016="","",VLOOKUP(D2016,契約台帳!$A$3:$Q$4986,17,FALSE))</f>
        <v>2</v>
      </c>
      <c r="Y2016" s="269" t="str">
        <f>IF(D2016="","",VLOOKUP(D2016,契約台帳!$A$3:$E$4986,5,FALSE))</f>
        <v>リンテック㈱</v>
      </c>
      <c r="Z2016" s="357"/>
      <c r="AA2016" s="207"/>
      <c r="AB2016" s="369"/>
      <c r="AC2016" s="370"/>
      <c r="AD2016" s="332" t="str">
        <f>IF(F2016="","",+F2016&amp;K2016)</f>
        <v>3SNMLBMNGTBF25</v>
      </c>
      <c r="AE2016" s="216">
        <f>+M2016*N2016*O2016/1000</f>
        <v>13612.5</v>
      </c>
      <c r="AF2016" s="43">
        <f>IF(AD2016="","",VLOOKUP(AD2016,原価マスタ!$A$2:$AJ$1693,13,FALSE))</f>
        <v>97.5</v>
      </c>
      <c r="AG2016" s="47">
        <f>IF(AF2016="","",+AE2016*AF2016/100)</f>
        <v>13272.1875</v>
      </c>
      <c r="AH2016" s="30"/>
      <c r="AI2016" s="30"/>
      <c r="AJ2016" s="30"/>
      <c r="AK2016" s="30"/>
      <c r="AL2016" s="13"/>
      <c r="AM2016" s="13"/>
      <c r="AN2016" s="13"/>
      <c r="AO2016" s="13"/>
      <c r="AP2016" s="13"/>
      <c r="AQ2016" s="14"/>
      <c r="AR2016" s="15"/>
    </row>
    <row r="2017" spans="1:44" s="17" customFormat="1" ht="30.95" hidden="1" customHeight="1" x14ac:dyDescent="0.2">
      <c r="A2017" s="343"/>
      <c r="B2017" s="344"/>
      <c r="C2017" s="345"/>
      <c r="D2017" s="398"/>
      <c r="E2017" s="31"/>
      <c r="F2017" s="268"/>
      <c r="G2017" s="269"/>
      <c r="H2017" s="269"/>
      <c r="I2017" s="270"/>
      <c r="J2017" s="32"/>
      <c r="K2017" s="270"/>
      <c r="L2017" s="270"/>
      <c r="M2017" s="39"/>
      <c r="N2017" s="39"/>
      <c r="O2017" s="47"/>
      <c r="P2017" s="350"/>
      <c r="Q2017" s="276"/>
      <c r="R2017" s="277"/>
      <c r="S2017" s="277"/>
      <c r="T2017" s="40"/>
      <c r="U2017" s="278"/>
      <c r="V2017" s="269"/>
      <c r="W2017" s="269"/>
      <c r="X2017" s="275"/>
      <c r="Y2017" s="269"/>
      <c r="Z2017" s="357"/>
      <c r="AA2017" s="207"/>
      <c r="AB2017" s="369"/>
      <c r="AC2017" s="370"/>
      <c r="AD2017" s="332"/>
      <c r="AE2017" s="216"/>
      <c r="AF2017" s="43"/>
      <c r="AG2017" s="47"/>
      <c r="AH2017" s="30"/>
      <c r="AI2017" s="30"/>
      <c r="AJ2017" s="30"/>
      <c r="AK2017" s="30"/>
      <c r="AL2017" s="13"/>
      <c r="AM2017" s="13"/>
      <c r="AN2017" s="13"/>
      <c r="AO2017" s="13"/>
      <c r="AP2017" s="13"/>
      <c r="AQ2017" s="14"/>
      <c r="AR2017" s="15"/>
    </row>
    <row r="2018" spans="1:44" s="17" customFormat="1" ht="30.6" hidden="1" customHeight="1" x14ac:dyDescent="0.2">
      <c r="A2018" s="320"/>
      <c r="B2018" s="321"/>
      <c r="C2018" s="345"/>
      <c r="D2018" s="398">
        <v>3780715</v>
      </c>
      <c r="E2018" s="31">
        <v>4143070</v>
      </c>
      <c r="F2018" s="268" t="str">
        <f>IF(D2018="","",VLOOKUP(D2018,契約台帳!$A$3:$K$4986,6,FALSE)&amp;VLOOKUP(D2018,契約台帳!$A$3:$K$4986,7,FALSE)&amp;VLOOKUP(D2018,契約台帳!$A$3:$K$4986,8,FALSE)&amp;VLOOKUP(D2018,契約台帳!$A$3:$K$4986,9,FALSE)&amp;VLOOKUP(D2018,契約台帳!$A$3:$K$4986,11,FALSE))</f>
        <v>3SNMLBMNQR66F</v>
      </c>
      <c r="G2018" s="269" t="str">
        <f>IF(D2018="","",VLOOKUP(F2018,製品マスタ!$G$5:$H$5002,2,FALSE))</f>
        <v>S</v>
      </c>
      <c r="H2018" s="269" t="str">
        <f>IF(D2018="","",VLOOKUP(F2018,製品マスタ!$G$5:$K$5002,5,FALSE))</f>
        <v>MNQR66F</v>
      </c>
      <c r="I2018" s="270" t="str">
        <f>IF(D2018="","",VLOOKUP(F2018,製品マスタ!$G$5:$L$5002,6,FALSE))</f>
        <v>ＱＲ６６蒸着品</v>
      </c>
      <c r="J2018" s="32" t="s">
        <v>447</v>
      </c>
      <c r="K2018" s="270">
        <f>IF(D2018="","",VLOOKUP(D2018,契約台帳!$A$3:$L$4986,12,FALSE))</f>
        <v>25</v>
      </c>
      <c r="L2018" s="270" t="str">
        <f>IF(D2018="","",INDEX(製品マスタ!$Q$5:$Q$5002,MATCH(F2018&amp;K2018,製品マスタ!$AO$5:$AO$5002,0)))</f>
        <v>E315</v>
      </c>
      <c r="M2018" s="39">
        <v>1100</v>
      </c>
      <c r="N2018" s="39">
        <v>18000</v>
      </c>
      <c r="O2018" s="47">
        <v>1</v>
      </c>
      <c r="P2018" s="57"/>
      <c r="Q2018" s="276">
        <f>IF(D2018="","",IF(J2018="リード付け",M2018,VLOOKUP(D2018,契約台帳!$A$3:$N$4986,14,FALSE)))</f>
        <v>1100</v>
      </c>
      <c r="R2018" s="277">
        <f>IF(D2018="","",IF(J2018="リード付け",M2018,VLOOKUP(D2018,契約台帳!$A$3:$O$4986,15,FALSE)))</f>
        <v>1100</v>
      </c>
      <c r="S2018" s="277">
        <f>IF(D2018="","",IF(J2018="リード付け",N2018,VLOOKUP(D2018,契約台帳!$A$3:$P$4986,16,FALSE)))</f>
        <v>6000</v>
      </c>
      <c r="T2018" s="40">
        <v>3</v>
      </c>
      <c r="U2018" s="278">
        <f ca="1">IF(D2018="","",IF(OFFSET(D2018,-2,0)=D2018,"",VLOOKUP(D2018,契約台帳!$A$3:$R$4986,18,FALSE)))</f>
        <v>3</v>
      </c>
      <c r="V2018" s="269" t="str">
        <f>IF(J2018="巻返し",VLOOKUP(F2018&amp;K2018&amp;M2018,製品マスタ!$M$5:$AD$5002,18,FALSE),IF(J2018="リード付け","原反コア",IF(J2018="スリット",VLOOKUP(F2018&amp;K2018&amp;Q2018,製品マスタ!$N$5:$AD$5002,17,FALSE),"")))</f>
        <v>6ｲﾝﾁMｺｱ</v>
      </c>
      <c r="W2018" s="269">
        <f>IF(J2018="巻返し",VLOOKUP(F2018&amp;K2018&amp;M2018,製品マスタ!$M$5:$AE$5002,19,FALSE),IF(J2018="リード付け","-",IF(J2018="スリット",VLOOKUP(F2018&amp;K2018&amp;Q2018,製品マスタ!$N$5:$AE$5002,18,FALSE),"")))</f>
        <v>1110</v>
      </c>
      <c r="X2018" s="275">
        <f>IF(D2018="","",VLOOKUP(D2018,契約台帳!$A$3:$Q$4986,17,FALSE))</f>
        <v>2</v>
      </c>
      <c r="Y2018" s="269" t="str">
        <f>IF(D2018="","",VLOOKUP(D2018,契約台帳!$A$3:$E$4986,5,FALSE))</f>
        <v>リンテック㈱</v>
      </c>
      <c r="Z2018" s="357"/>
      <c r="AA2018" s="207"/>
      <c r="AB2018" s="369"/>
      <c r="AC2018" s="370"/>
      <c r="AD2018" s="332" t="str">
        <f>IF(F2018="","",+F2018&amp;K2018)</f>
        <v>3SNMLBMNQR66F25</v>
      </c>
      <c r="AE2018" s="216">
        <f>+M2018*N2018*O2018/1000</f>
        <v>19800</v>
      </c>
      <c r="AF2018" s="43">
        <f>IF(AD2018="","",VLOOKUP(AD2018,原価マスタ!$A$2:$AJ$1693,13,FALSE))</f>
        <v>98</v>
      </c>
      <c r="AG2018" s="47">
        <f>IF(AF2018="","",+AE2018*AF2018/100)</f>
        <v>19404</v>
      </c>
      <c r="AH2018" s="30"/>
      <c r="AI2018" s="30"/>
      <c r="AJ2018" s="30"/>
      <c r="AK2018" s="30"/>
      <c r="AL2018" s="13"/>
      <c r="AM2018" s="13"/>
      <c r="AN2018" s="13"/>
      <c r="AO2018" s="13"/>
      <c r="AP2018" s="13"/>
      <c r="AQ2018" s="14"/>
      <c r="AR2018" s="15"/>
    </row>
    <row r="2019" spans="1:44" s="17" customFormat="1" ht="30.95" hidden="1" customHeight="1" x14ac:dyDescent="0.2">
      <c r="A2019" s="343"/>
      <c r="B2019" s="344"/>
      <c r="C2019" s="345"/>
      <c r="D2019" s="398"/>
      <c r="E2019" s="31"/>
      <c r="F2019" s="268"/>
      <c r="G2019" s="269"/>
      <c r="H2019" s="269"/>
      <c r="I2019" s="270"/>
      <c r="J2019" s="32"/>
      <c r="K2019" s="270"/>
      <c r="L2019" s="270"/>
      <c r="M2019" s="39"/>
      <c r="N2019" s="39"/>
      <c r="O2019" s="47"/>
      <c r="P2019" s="350"/>
      <c r="Q2019" s="276"/>
      <c r="R2019" s="277"/>
      <c r="S2019" s="277"/>
      <c r="T2019" s="40"/>
      <c r="U2019" s="278"/>
      <c r="V2019" s="269"/>
      <c r="W2019" s="269"/>
      <c r="X2019" s="275"/>
      <c r="Y2019" s="269"/>
      <c r="Z2019" s="357"/>
      <c r="AA2019" s="207"/>
      <c r="AB2019" s="369"/>
      <c r="AC2019" s="370"/>
      <c r="AD2019" s="332"/>
      <c r="AE2019" s="216"/>
      <c r="AF2019" s="43"/>
      <c r="AG2019" s="47"/>
      <c r="AH2019" s="30"/>
      <c r="AI2019" s="30"/>
      <c r="AJ2019" s="30"/>
      <c r="AK2019" s="30"/>
      <c r="AL2019" s="13"/>
      <c r="AM2019" s="13"/>
      <c r="AN2019" s="13"/>
      <c r="AO2019" s="13"/>
      <c r="AP2019" s="13"/>
      <c r="AQ2019" s="14"/>
      <c r="AR2019" s="15"/>
    </row>
    <row r="2020" spans="1:44" s="17" customFormat="1" ht="30.6" hidden="1" customHeight="1" x14ac:dyDescent="0.2">
      <c r="A2020" s="320"/>
      <c r="B2020" s="321"/>
      <c r="C2020" s="345"/>
      <c r="D2020" s="398">
        <v>3778936</v>
      </c>
      <c r="E2020" s="31">
        <v>4155294</v>
      </c>
      <c r="F2020" s="268" t="str">
        <f>IF(D2020="","",VLOOKUP(D2020,契約台帳!$A$3:$K$4986,6,FALSE)&amp;VLOOKUP(D2020,契約台帳!$A$3:$K$4986,7,FALSE)&amp;VLOOKUP(D2020,契約台帳!$A$3:$K$4986,8,FALSE)&amp;VLOOKUP(D2020,契約台帳!$A$3:$K$4986,9,FALSE)&amp;VLOOKUP(D2020,契約台帳!$A$3:$K$4986,11,FALSE))</f>
        <v>3SNMLBMNGTBF</v>
      </c>
      <c r="G2020" s="269" t="str">
        <f>IF(D2020="","",VLOOKUP(F2020,製品マスタ!$G$5:$H$5002,2,FALSE))</f>
        <v>S</v>
      </c>
      <c r="H2020" s="269" t="str">
        <f>IF(D2020="","",VLOOKUP(F2020,製品マスタ!$G$5:$K$5002,5,FALSE))</f>
        <v>MNGTBF</v>
      </c>
      <c r="I2020" s="270" t="str">
        <f>IF(D2020="","",VLOOKUP(F2020,製品マスタ!$G$5:$L$5002,6,FALSE))</f>
        <v>メタルミー　ネーマー　銀艶　Ｂ</v>
      </c>
      <c r="J2020" s="32" t="s">
        <v>447</v>
      </c>
      <c r="K2020" s="270">
        <f>IF(D2020="","",VLOOKUP(D2020,契約台帳!$A$3:$L$4986,12,FALSE))</f>
        <v>50</v>
      </c>
      <c r="L2020" s="270" t="str">
        <f>IF(D2020="","",INDEX(製品マスタ!$Q$5:$Q$5002,MATCH(F2020&amp;K2020,製品マスタ!$AO$5:$AO$5002,0)))</f>
        <v>T62</v>
      </c>
      <c r="M2020" s="39">
        <v>1120</v>
      </c>
      <c r="N2020" s="39">
        <v>8000</v>
      </c>
      <c r="O2020" s="47">
        <v>3</v>
      </c>
      <c r="P2020" s="57"/>
      <c r="Q2020" s="276">
        <f>IF(D2020="","",IF(J2020="リード付け",M2020,VLOOKUP(D2020,契約台帳!$A$3:$N$4986,14,FALSE)))</f>
        <v>1120</v>
      </c>
      <c r="R2020" s="277">
        <f>IF(D2020="","",IF(J2020="リード付け",M2020,VLOOKUP(D2020,契約台帳!$A$3:$O$4986,15,FALSE)))</f>
        <v>1120</v>
      </c>
      <c r="S2020" s="277">
        <v>4000</v>
      </c>
      <c r="T2020" s="40">
        <v>6</v>
      </c>
      <c r="U2020" s="278">
        <f ca="1">IF(D2020="","",IF(OFFSET(D2020,-2,0)=D2020,"",VLOOKUP(D2020,契約台帳!$A$3:$R$4986,18,FALSE)))</f>
        <v>38</v>
      </c>
      <c r="V2020" s="269" t="str">
        <f>IF(J2020="巻返し",VLOOKUP(F2020&amp;K2020&amp;M2020,製品マスタ!$M$5:$AD$5002,18,FALSE),IF(J2020="リード付け","原反コア",IF(J2020="スリット",VLOOKUP(F2020&amp;K2020&amp;Q2020,製品マスタ!$N$5:$AD$5002,17,FALSE),"")))</f>
        <v>6ｲﾝﾁSｺｱ</v>
      </c>
      <c r="W2020" s="269">
        <f>IF(J2020="巻返し",VLOOKUP(F2020&amp;K2020&amp;M2020,製品マスタ!$M$5:$AE$5002,19,FALSE),IF(J2020="リード付け","-",IF(J2020="スリット",VLOOKUP(F2020&amp;K2020&amp;Q2020,製品マスタ!$N$5:$AE$5002,18,FALSE),"")))</f>
        <v>1125</v>
      </c>
      <c r="X2020" s="275">
        <f>IF(D2020="","",VLOOKUP(D2020,契約台帳!$A$3:$Q$4986,17,FALSE))</f>
        <v>2</v>
      </c>
      <c r="Y2020" s="269" t="str">
        <f>IF(D2020="","",VLOOKUP(D2020,契約台帳!$A$3:$E$4986,5,FALSE))</f>
        <v>リンテック㈱</v>
      </c>
      <c r="Z2020" s="357"/>
      <c r="AA2020" s="207"/>
      <c r="AB2020" s="369"/>
      <c r="AC2020" s="370"/>
      <c r="AD2020" s="332" t="str">
        <f>IF(F2020="","",+F2020&amp;K2020)</f>
        <v>3SNMLBMNGTBF50</v>
      </c>
      <c r="AE2020" s="216">
        <f>+M2020*N2020*O2020/1000</f>
        <v>26880</v>
      </c>
      <c r="AF2020" s="43">
        <f>IF(AD2020="","",VLOOKUP(AD2020,原価マスタ!$A$2:$AJ$1693,13,FALSE))</f>
        <v>99</v>
      </c>
      <c r="AG2020" s="47">
        <f>IF(AF2020="","",+AE2020*AF2020/100)</f>
        <v>26611.200000000001</v>
      </c>
      <c r="AH2020" s="30"/>
      <c r="AI2020" s="30"/>
      <c r="AJ2020" s="30"/>
      <c r="AK2020" s="30"/>
      <c r="AL2020" s="13"/>
      <c r="AM2020" s="13"/>
      <c r="AN2020" s="13"/>
      <c r="AO2020" s="13"/>
      <c r="AP2020" s="13"/>
      <c r="AQ2020" s="14"/>
      <c r="AR2020" s="15"/>
    </row>
    <row r="2021" spans="1:44" s="17" customFormat="1" ht="30.95" hidden="1" customHeight="1" x14ac:dyDescent="0.2">
      <c r="A2021" s="343"/>
      <c r="B2021" s="344"/>
      <c r="C2021" s="345"/>
      <c r="D2021" s="398"/>
      <c r="E2021" s="31"/>
      <c r="F2021" s="268"/>
      <c r="G2021" s="269"/>
      <c r="H2021" s="269"/>
      <c r="I2021" s="270"/>
      <c r="J2021" s="32"/>
      <c r="K2021" s="270"/>
      <c r="L2021" s="270"/>
      <c r="M2021" s="39"/>
      <c r="N2021" s="39"/>
      <c r="O2021" s="47"/>
      <c r="P2021" s="57"/>
      <c r="Q2021" s="276"/>
      <c r="R2021" s="277"/>
      <c r="S2021" s="277"/>
      <c r="T2021" s="40"/>
      <c r="U2021" s="278"/>
      <c r="V2021" s="269"/>
      <c r="W2021" s="269"/>
      <c r="X2021" s="275"/>
      <c r="Y2021" s="269"/>
      <c r="Z2021" s="357"/>
      <c r="AA2021" s="207"/>
      <c r="AB2021" s="369"/>
      <c r="AC2021" s="370"/>
      <c r="AD2021" s="332"/>
      <c r="AE2021" s="216"/>
      <c r="AF2021" s="43"/>
      <c r="AG2021" s="47"/>
      <c r="AH2021" s="30"/>
      <c r="AI2021" s="30"/>
      <c r="AJ2021" s="30"/>
      <c r="AK2021" s="30"/>
      <c r="AL2021" s="13"/>
      <c r="AM2021" s="13"/>
      <c r="AN2021" s="13"/>
      <c r="AO2021" s="13"/>
      <c r="AP2021" s="13"/>
      <c r="AQ2021" s="14"/>
      <c r="AR2021" s="15"/>
    </row>
    <row r="2022" spans="1:44" s="17" customFormat="1" ht="30.95" hidden="1" customHeight="1" x14ac:dyDescent="0.2">
      <c r="A2022" s="343" t="s">
        <v>3226</v>
      </c>
      <c r="B2022" s="344" t="s">
        <v>3216</v>
      </c>
      <c r="C2022" s="345"/>
      <c r="D2022" s="398"/>
      <c r="E2022" s="31"/>
      <c r="F2022" s="268"/>
      <c r="G2022" s="269"/>
      <c r="H2022" s="269"/>
      <c r="I2022" s="270"/>
      <c r="J2022" s="32" t="s">
        <v>3219</v>
      </c>
      <c r="K2022" s="270"/>
      <c r="L2022" s="270"/>
      <c r="M2022" s="39"/>
      <c r="N2022" s="39"/>
      <c r="O2022" s="47"/>
      <c r="P2022" s="57"/>
      <c r="Q2022" s="276"/>
      <c r="R2022" s="277"/>
      <c r="S2022" s="277"/>
      <c r="T2022" s="40"/>
      <c r="U2022" s="278"/>
      <c r="V2022" s="269"/>
      <c r="W2022" s="269"/>
      <c r="X2022" s="275"/>
      <c r="Y2022" s="269"/>
      <c r="Z2022" s="357"/>
      <c r="AA2022" s="207"/>
      <c r="AB2022" s="369"/>
      <c r="AC2022" s="370"/>
      <c r="AD2022" s="332"/>
      <c r="AE2022" s="216"/>
      <c r="AF2022" s="43"/>
      <c r="AG2022" s="47"/>
      <c r="AH2022" s="30"/>
      <c r="AI2022" s="30"/>
      <c r="AJ2022" s="30"/>
      <c r="AK2022" s="30"/>
      <c r="AL2022" s="13"/>
      <c r="AM2022" s="13"/>
      <c r="AN2022" s="13"/>
      <c r="AO2022" s="13"/>
      <c r="AP2022" s="13"/>
      <c r="AQ2022" s="14"/>
      <c r="AR2022" s="15"/>
    </row>
    <row r="2023" spans="1:44" s="17" customFormat="1" ht="30.95" hidden="1" customHeight="1" x14ac:dyDescent="0.2">
      <c r="A2023" s="343"/>
      <c r="B2023" s="344"/>
      <c r="C2023" s="345"/>
      <c r="D2023" s="398"/>
      <c r="E2023" s="31"/>
      <c r="F2023" s="268"/>
      <c r="G2023" s="269"/>
      <c r="H2023" s="269"/>
      <c r="I2023" s="270"/>
      <c r="J2023" s="32"/>
      <c r="K2023" s="270"/>
      <c r="L2023" s="270"/>
      <c r="M2023" s="39"/>
      <c r="N2023" s="39"/>
      <c r="O2023" s="47"/>
      <c r="P2023" s="57"/>
      <c r="Q2023" s="276"/>
      <c r="R2023" s="277"/>
      <c r="S2023" s="277"/>
      <c r="T2023" s="40"/>
      <c r="U2023" s="278"/>
      <c r="V2023" s="269"/>
      <c r="W2023" s="269"/>
      <c r="X2023" s="275"/>
      <c r="Y2023" s="269"/>
      <c r="Z2023" s="357"/>
      <c r="AA2023" s="207"/>
      <c r="AB2023" s="369"/>
      <c r="AC2023" s="370"/>
      <c r="AD2023" s="332"/>
      <c r="AE2023" s="216"/>
      <c r="AF2023" s="43"/>
      <c r="AG2023" s="47"/>
      <c r="AH2023" s="30"/>
      <c r="AI2023" s="30"/>
      <c r="AJ2023" s="30"/>
      <c r="AK2023" s="30"/>
      <c r="AL2023" s="13"/>
      <c r="AM2023" s="13"/>
      <c r="AN2023" s="13"/>
      <c r="AO2023" s="13"/>
      <c r="AP2023" s="13"/>
      <c r="AQ2023" s="14"/>
      <c r="AR2023" s="15"/>
    </row>
    <row r="2024" spans="1:44" s="17" customFormat="1" ht="30.95" hidden="1" customHeight="1" x14ac:dyDescent="0.2">
      <c r="A2024" s="343" t="s">
        <v>3227</v>
      </c>
      <c r="B2024" s="344" t="s">
        <v>3218</v>
      </c>
      <c r="C2024" s="345"/>
      <c r="D2024" s="398"/>
      <c r="E2024" s="31"/>
      <c r="F2024" s="268"/>
      <c r="G2024" s="269"/>
      <c r="H2024" s="269"/>
      <c r="I2024" s="270"/>
      <c r="J2024" s="32" t="s">
        <v>3219</v>
      </c>
      <c r="K2024" s="270"/>
      <c r="L2024" s="270"/>
      <c r="M2024" s="39"/>
      <c r="N2024" s="39"/>
      <c r="O2024" s="47"/>
      <c r="P2024" s="57"/>
      <c r="Q2024" s="276"/>
      <c r="R2024" s="277"/>
      <c r="S2024" s="277"/>
      <c r="T2024" s="40"/>
      <c r="U2024" s="278"/>
      <c r="V2024" s="269"/>
      <c r="W2024" s="269"/>
      <c r="X2024" s="275"/>
      <c r="Y2024" s="269"/>
      <c r="Z2024" s="357"/>
      <c r="AA2024" s="207"/>
      <c r="AB2024" s="369"/>
      <c r="AC2024" s="370"/>
      <c r="AD2024" s="332"/>
      <c r="AE2024" s="216"/>
      <c r="AF2024" s="43"/>
      <c r="AG2024" s="47"/>
      <c r="AH2024" s="30"/>
      <c r="AI2024" s="30"/>
      <c r="AJ2024" s="30"/>
      <c r="AK2024" s="30"/>
      <c r="AL2024" s="13"/>
      <c r="AM2024" s="13"/>
      <c r="AN2024" s="13"/>
      <c r="AO2024" s="13"/>
      <c r="AP2024" s="13"/>
      <c r="AQ2024" s="14"/>
      <c r="AR2024" s="15"/>
    </row>
    <row r="2025" spans="1:44" s="17" customFormat="1" ht="30.95" hidden="1" customHeight="1" x14ac:dyDescent="0.2">
      <c r="A2025" s="343"/>
      <c r="B2025" s="344"/>
      <c r="C2025" s="345"/>
      <c r="D2025" s="398"/>
      <c r="E2025" s="31"/>
      <c r="F2025" s="268"/>
      <c r="G2025" s="269"/>
      <c r="H2025" s="269"/>
      <c r="I2025" s="270"/>
      <c r="J2025" s="32"/>
      <c r="K2025" s="270"/>
      <c r="L2025" s="270"/>
      <c r="M2025" s="39"/>
      <c r="N2025" s="39"/>
      <c r="O2025" s="47"/>
      <c r="P2025" s="57"/>
      <c r="Q2025" s="276"/>
      <c r="R2025" s="277"/>
      <c r="S2025" s="277"/>
      <c r="T2025" s="40"/>
      <c r="U2025" s="278"/>
      <c r="V2025" s="269"/>
      <c r="W2025" s="269"/>
      <c r="X2025" s="275"/>
      <c r="Y2025" s="269"/>
      <c r="Z2025" s="357"/>
      <c r="AA2025" s="207"/>
      <c r="AB2025" s="369"/>
      <c r="AC2025" s="370"/>
      <c r="AD2025" s="332"/>
      <c r="AE2025" s="216"/>
      <c r="AF2025" s="43"/>
      <c r="AG2025" s="47"/>
      <c r="AH2025" s="30"/>
      <c r="AI2025" s="30"/>
      <c r="AJ2025" s="30"/>
      <c r="AK2025" s="30"/>
      <c r="AL2025" s="13"/>
      <c r="AM2025" s="13"/>
      <c r="AN2025" s="13"/>
      <c r="AO2025" s="13"/>
      <c r="AP2025" s="13"/>
      <c r="AQ2025" s="14"/>
      <c r="AR2025" s="15"/>
    </row>
    <row r="2026" spans="1:44" s="17" customFormat="1" ht="30.95" hidden="1" customHeight="1" x14ac:dyDescent="0.2">
      <c r="A2026" s="343" t="s">
        <v>3228</v>
      </c>
      <c r="B2026" s="344" t="s">
        <v>3221</v>
      </c>
      <c r="C2026" s="345"/>
      <c r="D2026" s="398"/>
      <c r="E2026" s="31"/>
      <c r="F2026" s="268"/>
      <c r="G2026" s="269"/>
      <c r="H2026" s="269"/>
      <c r="I2026" s="270"/>
      <c r="J2026" s="32" t="s">
        <v>3219</v>
      </c>
      <c r="K2026" s="270"/>
      <c r="L2026" s="270"/>
      <c r="M2026" s="39"/>
      <c r="N2026" s="39"/>
      <c r="O2026" s="47"/>
      <c r="P2026" s="57"/>
      <c r="Q2026" s="276"/>
      <c r="R2026" s="277"/>
      <c r="S2026" s="277"/>
      <c r="T2026" s="40"/>
      <c r="U2026" s="278"/>
      <c r="V2026" s="269"/>
      <c r="W2026" s="269"/>
      <c r="X2026" s="275"/>
      <c r="Y2026" s="269"/>
      <c r="Z2026" s="357"/>
      <c r="AA2026" s="207"/>
      <c r="AB2026" s="369"/>
      <c r="AC2026" s="370"/>
      <c r="AD2026" s="332"/>
      <c r="AE2026" s="216"/>
      <c r="AF2026" s="43"/>
      <c r="AG2026" s="47"/>
      <c r="AH2026" s="30"/>
      <c r="AI2026" s="30"/>
      <c r="AJ2026" s="30"/>
      <c r="AK2026" s="30"/>
      <c r="AL2026" s="13"/>
      <c r="AM2026" s="13"/>
      <c r="AN2026" s="13"/>
      <c r="AO2026" s="13"/>
      <c r="AP2026" s="13"/>
      <c r="AQ2026" s="14"/>
      <c r="AR2026" s="15"/>
    </row>
    <row r="2027" spans="1:44" s="17" customFormat="1" ht="30.95" hidden="1" customHeight="1" x14ac:dyDescent="0.2">
      <c r="A2027" s="343"/>
      <c r="B2027" s="344"/>
      <c r="C2027" s="345"/>
      <c r="D2027" s="398"/>
      <c r="E2027" s="31"/>
      <c r="F2027" s="268"/>
      <c r="G2027" s="269"/>
      <c r="H2027" s="269"/>
      <c r="I2027" s="270"/>
      <c r="J2027" s="32"/>
      <c r="K2027" s="270"/>
      <c r="L2027" s="270"/>
      <c r="M2027" s="39"/>
      <c r="N2027" s="39"/>
      <c r="O2027" s="47"/>
      <c r="P2027" s="57"/>
      <c r="Q2027" s="276"/>
      <c r="R2027" s="277"/>
      <c r="S2027" s="277"/>
      <c r="T2027" s="40"/>
      <c r="U2027" s="278"/>
      <c r="V2027" s="269"/>
      <c r="W2027" s="269"/>
      <c r="X2027" s="275"/>
      <c r="Y2027" s="269"/>
      <c r="Z2027" s="357"/>
      <c r="AA2027" s="207"/>
      <c r="AB2027" s="369"/>
      <c r="AC2027" s="370"/>
      <c r="AD2027" s="332"/>
      <c r="AE2027" s="216"/>
      <c r="AF2027" s="43"/>
      <c r="AG2027" s="47"/>
      <c r="AH2027" s="30"/>
      <c r="AI2027" s="30"/>
      <c r="AJ2027" s="30"/>
      <c r="AK2027" s="30"/>
      <c r="AL2027" s="13"/>
      <c r="AM2027" s="13"/>
      <c r="AN2027" s="13"/>
      <c r="AO2027" s="13"/>
      <c r="AP2027" s="13"/>
      <c r="AQ2027" s="14"/>
      <c r="AR2027" s="15"/>
    </row>
    <row r="2028" spans="1:44" s="17" customFormat="1" ht="30.6" hidden="1" customHeight="1" x14ac:dyDescent="0.2">
      <c r="A2028" s="320" t="s">
        <v>3229</v>
      </c>
      <c r="B2028" s="321" t="s">
        <v>3223</v>
      </c>
      <c r="C2028" s="345"/>
      <c r="D2028" s="398">
        <v>3778922</v>
      </c>
      <c r="E2028" s="31">
        <v>4155463</v>
      </c>
      <c r="F2028" s="268" t="str">
        <f>IF(D2028="","",VLOOKUP(D2028,契約台帳!$A$3:$K$4986,6,FALSE)&amp;VLOOKUP(D2028,契約台帳!$A$3:$K$4986,7,FALSE)&amp;VLOOKUP(D2028,契約台帳!$A$3:$K$4986,8,FALSE)&amp;VLOOKUP(D2028,契約台帳!$A$3:$K$4986,9,FALSE)&amp;VLOOKUP(D2028,契約台帳!$A$3:$K$4986,11,FALSE))</f>
        <v>3TYKNZMCR</v>
      </c>
      <c r="G2028" s="269" t="str">
        <f>IF(D2028="","",VLOOKUP(F2028,製品マスタ!$G$5:$H$5002,2,FALSE))</f>
        <v>T</v>
      </c>
      <c r="H2028" s="269" t="str">
        <f>IF(D2028="","",VLOOKUP(F2028,製品マスタ!$G$5:$K$5002,5,FALSE))</f>
        <v>MCR</v>
      </c>
      <c r="I2028" s="270" t="str">
        <f>IF(D2028="","",VLOOKUP(F2028,製品マスタ!$G$5:$L$5002,6,FALSE))</f>
        <v>Metalumy CR</v>
      </c>
      <c r="J2028" s="32" t="s">
        <v>447</v>
      </c>
      <c r="K2028" s="270">
        <f>IF(D2028="","",VLOOKUP(D2028,契約台帳!$A$3:$L$4986,12,FALSE))</f>
        <v>25</v>
      </c>
      <c r="L2028" s="270" t="str">
        <f>IF(D2028="","",INDEX(製品マスタ!$Q$5:$Q$5002,MATCH(F2028&amp;K2028,製品マスタ!$AO$5:$AO$5002,0)))</f>
        <v>S28M</v>
      </c>
      <c r="M2028" s="39">
        <v>1110</v>
      </c>
      <c r="N2028" s="39">
        <v>12100</v>
      </c>
      <c r="O2028" s="47">
        <v>4</v>
      </c>
      <c r="P2028" s="57"/>
      <c r="Q2028" s="276">
        <f>IF(D2028="","",IF(J2028="リード付け",M2028,VLOOKUP(D2028,契約台帳!$A$3:$N$4986,14,FALSE)))</f>
        <v>1050</v>
      </c>
      <c r="R2028" s="277">
        <f>IF(D2028="","",IF(J2028="リード付け",M2028,VLOOKUP(D2028,契約台帳!$A$3:$O$4986,15,FALSE)))</f>
        <v>1050</v>
      </c>
      <c r="S2028" s="277">
        <v>4000</v>
      </c>
      <c r="T2028" s="40">
        <v>8</v>
      </c>
      <c r="U2028" s="278">
        <f ca="1">IF(D2028="","",IF(OFFSET(D2028,-2,0)=D2028,"",VLOOKUP(D2028,契約台帳!$A$3:$R$4986,18,FALSE)))</f>
        <v>12</v>
      </c>
      <c r="V2028" s="269" t="str">
        <f>IF(J2028="巻返し",VLOOKUP(F2028&amp;K2028&amp;M2028,製品マスタ!$M$5:$AD$5002,18,FALSE),IF(J2028="リード付け","原反コア",IF(J2028="スリット",VLOOKUP(F2028&amp;K2028&amp;Q2028,製品マスタ!$N$5:$AD$5002,17,FALSE),"")))</f>
        <v>6ｲﾝﾁABS</v>
      </c>
      <c r="W2028" s="269">
        <f>IF(J2028="巻返し",VLOOKUP(F2028&amp;K2028&amp;M2028,製品マスタ!$M$5:$AE$5002,19,FALSE),IF(J2028="リード付け","-",IF(J2028="スリット",VLOOKUP(F2028&amp;K2028&amp;Q2028,製品マスタ!$N$5:$AE$5002,18,FALSE),"")))</f>
        <v>1250</v>
      </c>
      <c r="X2028" s="275">
        <f>IF(D2028="","",VLOOKUP(D2028,契約台帳!$A$3:$Q$4986,17,FALSE))</f>
        <v>2</v>
      </c>
      <c r="Y2028" s="269" t="str">
        <f>IF(D2028="","",VLOOKUP(D2028,契約台帳!$A$3:$E$4986,5,FALSE))</f>
        <v>日東電工㈱豊橋工場</v>
      </c>
      <c r="Z2028" s="357"/>
      <c r="AA2028" s="207" t="s">
        <v>2892</v>
      </c>
      <c r="AB2028" s="369"/>
      <c r="AC2028" s="370"/>
      <c r="AD2028" s="332" t="str">
        <f>IF(F2028="","",+F2028&amp;K2028)</f>
        <v>3TYKNZMCR25</v>
      </c>
      <c r="AE2028" s="216">
        <f>+M2028*N2028*O2028/1000</f>
        <v>53724</v>
      </c>
      <c r="AF2028" s="43"/>
      <c r="AG2028" s="47"/>
      <c r="AH2028" s="30"/>
      <c r="AI2028" s="30"/>
      <c r="AJ2028" s="30"/>
      <c r="AK2028" s="30"/>
      <c r="AL2028" s="13"/>
      <c r="AM2028" s="13"/>
      <c r="AN2028" s="13"/>
      <c r="AO2028" s="13"/>
      <c r="AP2028" s="13"/>
      <c r="AQ2028" s="14"/>
      <c r="AR2028" s="15"/>
    </row>
    <row r="2029" spans="1:44" s="17" customFormat="1" ht="30.95" hidden="1" customHeight="1" x14ac:dyDescent="0.2">
      <c r="A2029" s="343"/>
      <c r="B2029" s="344"/>
      <c r="C2029" s="345"/>
      <c r="D2029" s="398"/>
      <c r="E2029" s="31"/>
      <c r="F2029" s="268"/>
      <c r="G2029" s="269"/>
      <c r="H2029" s="269"/>
      <c r="I2029" s="270"/>
      <c r="J2029" s="32"/>
      <c r="K2029" s="270"/>
      <c r="L2029" s="270"/>
      <c r="M2029" s="39"/>
      <c r="N2029" s="39"/>
      <c r="O2029" s="47"/>
      <c r="P2029" s="57"/>
      <c r="Q2029" s="276"/>
      <c r="R2029" s="277"/>
      <c r="S2029" s="277"/>
      <c r="T2029" s="40"/>
      <c r="U2029" s="278"/>
      <c r="V2029" s="269"/>
      <c r="W2029" s="269"/>
      <c r="X2029" s="275"/>
      <c r="Y2029" s="269"/>
      <c r="Z2029" s="357"/>
      <c r="AA2029" s="207"/>
      <c r="AB2029" s="369"/>
      <c r="AC2029" s="370"/>
      <c r="AD2029" s="332"/>
      <c r="AE2029" s="216"/>
      <c r="AF2029" s="43"/>
      <c r="AG2029" s="47"/>
      <c r="AH2029" s="30"/>
      <c r="AI2029" s="30"/>
      <c r="AJ2029" s="30"/>
      <c r="AK2029" s="30"/>
      <c r="AL2029" s="13"/>
      <c r="AM2029" s="13"/>
      <c r="AN2029" s="13"/>
      <c r="AO2029" s="13"/>
      <c r="AP2029" s="13"/>
      <c r="AQ2029" s="14"/>
      <c r="AR2029" s="15"/>
    </row>
    <row r="2030" spans="1:44" s="17" customFormat="1" ht="30.6" hidden="1" customHeight="1" x14ac:dyDescent="0.2">
      <c r="A2030" s="320" t="s">
        <v>599</v>
      </c>
      <c r="B2030" s="321" t="s">
        <v>442</v>
      </c>
      <c r="C2030" s="345"/>
      <c r="D2030" s="398">
        <v>3778922</v>
      </c>
      <c r="E2030" s="31">
        <v>4155463</v>
      </c>
      <c r="F2030" s="268" t="str">
        <f>IF(D2030="","",VLOOKUP(D2030,契約台帳!$A$3:$K$4986,6,FALSE)&amp;VLOOKUP(D2030,契約台帳!$A$3:$K$4986,7,FALSE)&amp;VLOOKUP(D2030,契約台帳!$A$3:$K$4986,8,FALSE)&amp;VLOOKUP(D2030,契約台帳!$A$3:$K$4986,9,FALSE)&amp;VLOOKUP(D2030,契約台帳!$A$3:$K$4986,11,FALSE))</f>
        <v>3TYKNZMCR</v>
      </c>
      <c r="G2030" s="269" t="str">
        <f>IF(D2030="","",VLOOKUP(F2030,製品マスタ!$G$5:$H$5002,2,FALSE))</f>
        <v>T</v>
      </c>
      <c r="H2030" s="269" t="str">
        <f>IF(D2030="","",VLOOKUP(F2030,製品マスタ!$G$5:$K$5002,5,FALSE))</f>
        <v>MCR</v>
      </c>
      <c r="I2030" s="270" t="str">
        <f>IF(D2030="","",VLOOKUP(F2030,製品マスタ!$G$5:$L$5002,6,FALSE))</f>
        <v>Metalumy CR</v>
      </c>
      <c r="J2030" s="32" t="s">
        <v>447</v>
      </c>
      <c r="K2030" s="270">
        <f>IF(D2030="","",VLOOKUP(D2030,契約台帳!$A$3:$L$4986,12,FALSE))</f>
        <v>25</v>
      </c>
      <c r="L2030" s="270" t="str">
        <f>IF(D2030="","",INDEX(製品マスタ!$Q$5:$Q$5002,MATCH(F2030&amp;K2030,製品マスタ!$AO$5:$AO$5002,0)))</f>
        <v>S28M</v>
      </c>
      <c r="M2030" s="39">
        <v>1110</v>
      </c>
      <c r="N2030" s="39">
        <v>12100</v>
      </c>
      <c r="O2030" s="47">
        <v>2</v>
      </c>
      <c r="P2030" s="57"/>
      <c r="Q2030" s="276">
        <f>IF(D2030="","",IF(J2030="リード付け",M2030,VLOOKUP(D2030,契約台帳!$A$3:$N$4986,14,FALSE)))</f>
        <v>1050</v>
      </c>
      <c r="R2030" s="277">
        <f>IF(D2030="","",IF(J2030="リード付け",M2030,VLOOKUP(D2030,契約台帳!$A$3:$O$4986,15,FALSE)))</f>
        <v>1050</v>
      </c>
      <c r="S2030" s="277">
        <v>4000</v>
      </c>
      <c r="T2030" s="40">
        <v>4</v>
      </c>
      <c r="U2030" s="278" t="str">
        <f ca="1">IF(D2030="","",IF(OFFSET(D2030,-2,0)=D2030,"",VLOOKUP(D2030,契約台帳!$A$3:$R$4986,18,FALSE)))</f>
        <v/>
      </c>
      <c r="V2030" s="269" t="str">
        <f>IF(J2030="巻返し",VLOOKUP(F2030&amp;K2030&amp;M2030,製品マスタ!$M$5:$AD$5002,18,FALSE),IF(J2030="リード付け","原反コア",IF(J2030="スリット",VLOOKUP(F2030&amp;K2030&amp;Q2030,製品マスタ!$N$5:$AD$5002,17,FALSE),"")))</f>
        <v>6ｲﾝﾁABS</v>
      </c>
      <c r="W2030" s="269">
        <f>IF(J2030="巻返し",VLOOKUP(F2030&amp;K2030&amp;M2030,製品マスタ!$M$5:$AE$5002,19,FALSE),IF(J2030="リード付け","-",IF(J2030="スリット",VLOOKUP(F2030&amp;K2030&amp;Q2030,製品マスタ!$N$5:$AE$5002,18,FALSE),"")))</f>
        <v>1250</v>
      </c>
      <c r="X2030" s="275">
        <f>IF(D2030="","",VLOOKUP(D2030,契約台帳!$A$3:$Q$4986,17,FALSE))</f>
        <v>2</v>
      </c>
      <c r="Y2030" s="269" t="str">
        <f>IF(D2030="","",VLOOKUP(D2030,契約台帳!$A$3:$E$4986,5,FALSE))</f>
        <v>日東電工㈱豊橋工場</v>
      </c>
      <c r="Z2030" s="357"/>
      <c r="AA2030" s="207" t="s">
        <v>2892</v>
      </c>
      <c r="AB2030" s="369"/>
      <c r="AC2030" s="370"/>
      <c r="AD2030" s="332" t="str">
        <f>IF(F2030="","",+F2030&amp;K2030)</f>
        <v>3TYKNZMCR25</v>
      </c>
      <c r="AE2030" s="216">
        <f>+M2030*N2030*O2030/1000</f>
        <v>26862</v>
      </c>
      <c r="AF2030" s="43"/>
      <c r="AG2030" s="47"/>
      <c r="AH2030" s="30"/>
      <c r="AI2030" s="30"/>
      <c r="AJ2030" s="30"/>
      <c r="AK2030" s="30"/>
      <c r="AL2030" s="13"/>
      <c r="AM2030" s="13"/>
      <c r="AN2030" s="13"/>
      <c r="AO2030" s="13"/>
      <c r="AP2030" s="13"/>
      <c r="AQ2030" s="14"/>
      <c r="AR2030" s="15"/>
    </row>
    <row r="2031" spans="1:44" s="17" customFormat="1" ht="30.95" hidden="1" customHeight="1" x14ac:dyDescent="0.2">
      <c r="A2031" s="343"/>
      <c r="B2031" s="344"/>
      <c r="C2031" s="345"/>
      <c r="D2031" s="398"/>
      <c r="E2031" s="31"/>
      <c r="F2031" s="268"/>
      <c r="G2031" s="269"/>
      <c r="H2031" s="269"/>
      <c r="I2031" s="270"/>
      <c r="J2031" s="32"/>
      <c r="K2031" s="270"/>
      <c r="L2031" s="270"/>
      <c r="M2031" s="39"/>
      <c r="N2031" s="39"/>
      <c r="O2031" s="47"/>
      <c r="P2031" s="57"/>
      <c r="Q2031" s="276"/>
      <c r="R2031" s="277"/>
      <c r="S2031" s="277"/>
      <c r="T2031" s="40"/>
      <c r="U2031" s="278"/>
      <c r="V2031" s="269"/>
      <c r="W2031" s="269"/>
      <c r="X2031" s="275"/>
      <c r="Y2031" s="269"/>
      <c r="Z2031" s="357"/>
      <c r="AA2031" s="207"/>
      <c r="AB2031" s="369"/>
      <c r="AC2031" s="370"/>
      <c r="AD2031" s="332"/>
      <c r="AE2031" s="216"/>
      <c r="AF2031" s="43"/>
      <c r="AG2031" s="47"/>
      <c r="AH2031" s="30"/>
      <c r="AI2031" s="30"/>
      <c r="AJ2031" s="30"/>
      <c r="AK2031" s="30"/>
      <c r="AL2031" s="13"/>
      <c r="AM2031" s="13"/>
      <c r="AN2031" s="13"/>
      <c r="AO2031" s="13"/>
      <c r="AP2031" s="13"/>
      <c r="AQ2031" s="14"/>
      <c r="AR2031" s="15"/>
    </row>
    <row r="2032" spans="1:44" s="17" customFormat="1" ht="30.6" hidden="1" customHeight="1" x14ac:dyDescent="0.2">
      <c r="A2032" s="320"/>
      <c r="B2032" s="321"/>
      <c r="C2032" s="345"/>
      <c r="D2032" s="398">
        <v>3778936</v>
      </c>
      <c r="E2032" s="31">
        <v>4155796</v>
      </c>
      <c r="F2032" s="268" t="str">
        <f>IF(D2032="","",VLOOKUP(D2032,契約台帳!$A$3:$K$4986,6,FALSE)&amp;VLOOKUP(D2032,契約台帳!$A$3:$K$4986,7,FALSE)&amp;VLOOKUP(D2032,契約台帳!$A$3:$K$4986,8,FALSE)&amp;VLOOKUP(D2032,契約台帳!$A$3:$K$4986,9,FALSE)&amp;VLOOKUP(D2032,契約台帳!$A$3:$K$4986,11,FALSE))</f>
        <v>3SNMLBMNGTBF</v>
      </c>
      <c r="G2032" s="269" t="str">
        <f>IF(D2032="","",VLOOKUP(F2032,製品マスタ!$G$5:$H$5002,2,FALSE))</f>
        <v>S</v>
      </c>
      <c r="H2032" s="269" t="str">
        <f>IF(D2032="","",VLOOKUP(F2032,製品マスタ!$G$5:$K$5002,5,FALSE))</f>
        <v>MNGTBF</v>
      </c>
      <c r="I2032" s="270" t="str">
        <f>IF(D2032="","",VLOOKUP(F2032,製品マスタ!$G$5:$L$5002,6,FALSE))</f>
        <v>メタルミー　ネーマー　銀艶　Ｂ</v>
      </c>
      <c r="J2032" s="32" t="s">
        <v>447</v>
      </c>
      <c r="K2032" s="270">
        <f>IF(D2032="","",VLOOKUP(D2032,契約台帳!$A$3:$L$4986,12,FALSE))</f>
        <v>50</v>
      </c>
      <c r="L2032" s="270" t="str">
        <f>IF(D2032="","",INDEX(製品マスタ!$Q$5:$Q$5002,MATCH(F2032&amp;K2032,製品マスタ!$AO$5:$AO$5002,0)))</f>
        <v>T62</v>
      </c>
      <c r="M2032" s="39">
        <v>1120</v>
      </c>
      <c r="N2032" s="39">
        <v>8000</v>
      </c>
      <c r="O2032" s="47">
        <v>5</v>
      </c>
      <c r="P2032" s="57"/>
      <c r="Q2032" s="276">
        <f>IF(D2032="","",IF(J2032="リード付け",M2032,VLOOKUP(D2032,契約台帳!$A$3:$N$4986,14,FALSE)))</f>
        <v>1120</v>
      </c>
      <c r="R2032" s="277">
        <f>IF(D2032="","",IF(J2032="リード付け",M2032,VLOOKUP(D2032,契約台帳!$A$3:$O$4986,15,FALSE)))</f>
        <v>1120</v>
      </c>
      <c r="S2032" s="277">
        <v>4000</v>
      </c>
      <c r="T2032" s="40">
        <v>10</v>
      </c>
      <c r="U2032" s="278">
        <f ca="1">IF(D2032="","",IF(OFFSET(D2032,-2,0)=D2032,"",VLOOKUP(D2032,契約台帳!$A$3:$R$4986,18,FALSE)))</f>
        <v>38</v>
      </c>
      <c r="V2032" s="269" t="str">
        <f>IF(J2032="巻返し",VLOOKUP(F2032&amp;K2032&amp;M2032,製品マスタ!$M$5:$AD$5002,18,FALSE),IF(J2032="リード付け","原反コア",IF(J2032="スリット",VLOOKUP(F2032&amp;K2032&amp;Q2032,製品マスタ!$N$5:$AD$5002,17,FALSE),"")))</f>
        <v>6ｲﾝﾁSｺｱ</v>
      </c>
      <c r="W2032" s="269">
        <f>IF(J2032="巻返し",VLOOKUP(F2032&amp;K2032&amp;M2032,製品マスタ!$M$5:$AE$5002,19,FALSE),IF(J2032="リード付け","-",IF(J2032="スリット",VLOOKUP(F2032&amp;K2032&amp;Q2032,製品マスタ!$N$5:$AE$5002,18,FALSE),"")))</f>
        <v>1125</v>
      </c>
      <c r="X2032" s="275">
        <f>IF(D2032="","",VLOOKUP(D2032,契約台帳!$A$3:$Q$4986,17,FALSE))</f>
        <v>2</v>
      </c>
      <c r="Y2032" s="269" t="str">
        <f>IF(D2032="","",VLOOKUP(D2032,契約台帳!$A$3:$E$4986,5,FALSE))</f>
        <v>リンテック㈱</v>
      </c>
      <c r="Z2032" s="357"/>
      <c r="AA2032" s="207"/>
      <c r="AB2032" s="369"/>
      <c r="AC2032" s="370"/>
      <c r="AD2032" s="332" t="str">
        <f>IF(F2032="","",+F2032&amp;K2032)</f>
        <v>3SNMLBMNGTBF50</v>
      </c>
      <c r="AE2032" s="216">
        <f>+M2032*N2032*O2032/1000</f>
        <v>44800</v>
      </c>
      <c r="AF2032" s="43">
        <f>IF(AD2032="","",VLOOKUP(AD2032,原価マスタ!$A$2:$AJ$1693,13,FALSE))</f>
        <v>99</v>
      </c>
      <c r="AG2032" s="47">
        <f>IF(AF2032="","",+AE2032*AF2032/100)</f>
        <v>44352</v>
      </c>
      <c r="AH2032" s="30"/>
      <c r="AI2032" s="30"/>
      <c r="AJ2032" s="30"/>
      <c r="AK2032" s="30"/>
      <c r="AL2032" s="13"/>
      <c r="AM2032" s="13"/>
      <c r="AN2032" s="13"/>
      <c r="AO2032" s="13"/>
      <c r="AP2032" s="13"/>
      <c r="AQ2032" s="14"/>
      <c r="AR2032" s="15"/>
    </row>
    <row r="2033" spans="1:44" s="17" customFormat="1" ht="30.95" hidden="1" customHeight="1" x14ac:dyDescent="0.2">
      <c r="A2033" s="343"/>
      <c r="B2033" s="344"/>
      <c r="C2033" s="345"/>
      <c r="D2033" s="398"/>
      <c r="E2033" s="31"/>
      <c r="F2033" s="268"/>
      <c r="G2033" s="269"/>
      <c r="H2033" s="269"/>
      <c r="I2033" s="270"/>
      <c r="J2033" s="32"/>
      <c r="K2033" s="270"/>
      <c r="L2033" s="270"/>
      <c r="M2033" s="39"/>
      <c r="N2033" s="39"/>
      <c r="O2033" s="47"/>
      <c r="P2033" s="350"/>
      <c r="Q2033" s="276"/>
      <c r="R2033" s="277"/>
      <c r="S2033" s="277"/>
      <c r="T2033" s="40"/>
      <c r="U2033" s="278"/>
      <c r="V2033" s="269"/>
      <c r="W2033" s="269"/>
      <c r="X2033" s="275"/>
      <c r="Y2033" s="269"/>
      <c r="Z2033" s="357"/>
      <c r="AA2033" s="207"/>
      <c r="AB2033" s="369"/>
      <c r="AC2033" s="370"/>
      <c r="AD2033" s="332"/>
      <c r="AE2033" s="216"/>
      <c r="AF2033" s="43"/>
      <c r="AG2033" s="47"/>
      <c r="AH2033" s="30"/>
      <c r="AI2033" s="30"/>
      <c r="AJ2033" s="30"/>
      <c r="AK2033" s="30"/>
      <c r="AL2033" s="13"/>
      <c r="AM2033" s="13"/>
      <c r="AN2033" s="13"/>
      <c r="AO2033" s="13"/>
      <c r="AP2033" s="13"/>
      <c r="AQ2033" s="14"/>
      <c r="AR2033" s="15"/>
    </row>
    <row r="2034" spans="1:44" s="17" customFormat="1" ht="30.6" hidden="1" customHeight="1" x14ac:dyDescent="0.2">
      <c r="A2034" s="320" t="s">
        <v>3262</v>
      </c>
      <c r="B2034" s="321" t="s">
        <v>3263</v>
      </c>
      <c r="C2034" s="345"/>
      <c r="D2034" s="398">
        <v>3778936</v>
      </c>
      <c r="E2034" s="31">
        <v>4155796</v>
      </c>
      <c r="F2034" s="268" t="str">
        <f>IF(D2034="","",VLOOKUP(D2034,契約台帳!$A$3:$K$4986,6,FALSE)&amp;VLOOKUP(D2034,契約台帳!$A$3:$K$4986,7,FALSE)&amp;VLOOKUP(D2034,契約台帳!$A$3:$K$4986,8,FALSE)&amp;VLOOKUP(D2034,契約台帳!$A$3:$K$4986,9,FALSE)&amp;VLOOKUP(D2034,契約台帳!$A$3:$K$4986,11,FALSE))</f>
        <v>3SNMLBMNGTBF</v>
      </c>
      <c r="G2034" s="269" t="str">
        <f>IF(D2034="","",VLOOKUP(F2034,製品マスタ!$G$5:$H$5002,2,FALSE))</f>
        <v>S</v>
      </c>
      <c r="H2034" s="269" t="str">
        <f>IF(D2034="","",VLOOKUP(F2034,製品マスタ!$G$5:$K$5002,5,FALSE))</f>
        <v>MNGTBF</v>
      </c>
      <c r="I2034" s="270" t="str">
        <f>IF(D2034="","",VLOOKUP(F2034,製品マスタ!$G$5:$L$5002,6,FALSE))</f>
        <v>メタルミー　ネーマー　銀艶　Ｂ</v>
      </c>
      <c r="J2034" s="32" t="s">
        <v>447</v>
      </c>
      <c r="K2034" s="270">
        <f>IF(D2034="","",VLOOKUP(D2034,契約台帳!$A$3:$L$4986,12,FALSE))</f>
        <v>50</v>
      </c>
      <c r="L2034" s="270" t="str">
        <f>IF(D2034="","",INDEX(製品マスタ!$Q$5:$Q$5002,MATCH(F2034&amp;K2034,製品マスタ!$AO$5:$AO$5002,0)))</f>
        <v>T62</v>
      </c>
      <c r="M2034" s="39">
        <v>1120</v>
      </c>
      <c r="N2034" s="39">
        <v>8000</v>
      </c>
      <c r="O2034" s="47">
        <v>7</v>
      </c>
      <c r="P2034" s="57"/>
      <c r="Q2034" s="276">
        <f>IF(D2034="","",IF(J2034="リード付け",M2034,VLOOKUP(D2034,契約台帳!$A$3:$N$4986,14,FALSE)))</f>
        <v>1120</v>
      </c>
      <c r="R2034" s="277">
        <f>IF(D2034="","",IF(J2034="リード付け",M2034,VLOOKUP(D2034,契約台帳!$A$3:$O$4986,15,FALSE)))</f>
        <v>1120</v>
      </c>
      <c r="S2034" s="277">
        <v>4000</v>
      </c>
      <c r="T2034" s="40">
        <v>14</v>
      </c>
      <c r="U2034" s="278" t="str">
        <f ca="1">IF(D2034="","",IF(OFFSET(D2034,-2,0)=D2034,"",VLOOKUP(D2034,契約台帳!$A$3:$R$4986,18,FALSE)))</f>
        <v/>
      </c>
      <c r="V2034" s="269" t="str">
        <f>IF(J2034="巻返し",VLOOKUP(F2034&amp;K2034&amp;M2034,製品マスタ!$M$5:$AD$5002,18,FALSE),IF(J2034="リード付け","原反コア",IF(J2034="スリット",VLOOKUP(F2034&amp;K2034&amp;Q2034,製品マスタ!$N$5:$AD$5002,17,FALSE),"")))</f>
        <v>6ｲﾝﾁSｺｱ</v>
      </c>
      <c r="W2034" s="269">
        <f>IF(J2034="巻返し",VLOOKUP(F2034&amp;K2034&amp;M2034,製品マスタ!$M$5:$AE$5002,19,FALSE),IF(J2034="リード付け","-",IF(J2034="スリット",VLOOKUP(F2034&amp;K2034&amp;Q2034,製品マスタ!$N$5:$AE$5002,18,FALSE),"")))</f>
        <v>1125</v>
      </c>
      <c r="X2034" s="275">
        <f>IF(D2034="","",VLOOKUP(D2034,契約台帳!$A$3:$Q$4986,17,FALSE))</f>
        <v>2</v>
      </c>
      <c r="Y2034" s="269" t="str">
        <f>IF(D2034="","",VLOOKUP(D2034,契約台帳!$A$3:$E$4986,5,FALSE))</f>
        <v>リンテック㈱</v>
      </c>
      <c r="Z2034" s="357"/>
      <c r="AA2034" s="207"/>
      <c r="AB2034" s="369"/>
      <c r="AC2034" s="370"/>
      <c r="AD2034" s="332" t="str">
        <f>IF(F2034="","",+F2034&amp;K2034)</f>
        <v>3SNMLBMNGTBF50</v>
      </c>
      <c r="AE2034" s="216">
        <f>+M2034*N2034*O2034/1000</f>
        <v>62720</v>
      </c>
      <c r="AF2034" s="43">
        <f>IF(AD2034="","",VLOOKUP(AD2034,原価マスタ!$A$2:$AJ$1693,13,FALSE))</f>
        <v>99</v>
      </c>
      <c r="AG2034" s="47">
        <f>IF(AF2034="","",+AE2034*AF2034/100)</f>
        <v>62092.800000000003</v>
      </c>
      <c r="AH2034" s="30"/>
      <c r="AI2034" s="30"/>
      <c r="AJ2034" s="30"/>
      <c r="AK2034" s="30"/>
      <c r="AL2034" s="13"/>
      <c r="AM2034" s="13"/>
      <c r="AN2034" s="13"/>
      <c r="AO2034" s="13"/>
      <c r="AP2034" s="13"/>
      <c r="AQ2034" s="14"/>
      <c r="AR2034" s="15"/>
    </row>
    <row r="2035" spans="1:44" s="17" customFormat="1" ht="30.95" hidden="1" customHeight="1" x14ac:dyDescent="0.2">
      <c r="A2035" s="343"/>
      <c r="B2035" s="344"/>
      <c r="C2035" s="345"/>
      <c r="D2035" s="398"/>
      <c r="E2035" s="31"/>
      <c r="F2035" s="268"/>
      <c r="G2035" s="269"/>
      <c r="H2035" s="269"/>
      <c r="I2035" s="270"/>
      <c r="J2035" s="32"/>
      <c r="K2035" s="270"/>
      <c r="L2035" s="270"/>
      <c r="M2035" s="39"/>
      <c r="N2035" s="39"/>
      <c r="O2035" s="47"/>
      <c r="P2035" s="57"/>
      <c r="Q2035" s="276"/>
      <c r="R2035" s="277"/>
      <c r="S2035" s="277"/>
      <c r="T2035" s="40"/>
      <c r="U2035" s="278"/>
      <c r="V2035" s="269"/>
      <c r="W2035" s="269"/>
      <c r="X2035" s="275"/>
      <c r="Y2035" s="269"/>
      <c r="Z2035" s="357"/>
      <c r="AA2035" s="207"/>
      <c r="AB2035" s="369"/>
      <c r="AC2035" s="370"/>
      <c r="AD2035" s="332"/>
      <c r="AE2035" s="216"/>
      <c r="AF2035" s="43"/>
      <c r="AG2035" s="47"/>
      <c r="AH2035" s="30"/>
      <c r="AI2035" s="30"/>
      <c r="AJ2035" s="30"/>
      <c r="AK2035" s="30"/>
      <c r="AL2035" s="13"/>
      <c r="AM2035" s="13"/>
      <c r="AN2035" s="13"/>
      <c r="AO2035" s="13"/>
      <c r="AP2035" s="13"/>
      <c r="AQ2035" s="14"/>
      <c r="AR2035" s="15"/>
    </row>
    <row r="2036" spans="1:44" s="17" customFormat="1" ht="30.6" hidden="1" customHeight="1" x14ac:dyDescent="0.2">
      <c r="A2036" s="320" t="s">
        <v>622</v>
      </c>
      <c r="B2036" s="321" t="s">
        <v>444</v>
      </c>
      <c r="C2036" s="345"/>
      <c r="D2036" s="398">
        <v>3778936</v>
      </c>
      <c r="E2036" s="31">
        <v>4155796</v>
      </c>
      <c r="F2036" s="268" t="str">
        <f>IF(D2036="","",VLOOKUP(D2036,契約台帳!$A$3:$K$4986,6,FALSE)&amp;VLOOKUP(D2036,契約台帳!$A$3:$K$4986,7,FALSE)&amp;VLOOKUP(D2036,契約台帳!$A$3:$K$4986,8,FALSE)&amp;VLOOKUP(D2036,契約台帳!$A$3:$K$4986,9,FALSE)&amp;VLOOKUP(D2036,契約台帳!$A$3:$K$4986,11,FALSE))</f>
        <v>3SNMLBMNGTBF</v>
      </c>
      <c r="G2036" s="269" t="str">
        <f>IF(D2036="","",VLOOKUP(F2036,製品マスタ!$G$5:$H$5002,2,FALSE))</f>
        <v>S</v>
      </c>
      <c r="H2036" s="269" t="str">
        <f>IF(D2036="","",VLOOKUP(F2036,製品マスタ!$G$5:$K$5002,5,FALSE))</f>
        <v>MNGTBF</v>
      </c>
      <c r="I2036" s="270" t="str">
        <f>IF(D2036="","",VLOOKUP(F2036,製品マスタ!$G$5:$L$5002,6,FALSE))</f>
        <v>メタルミー　ネーマー　銀艶　Ｂ</v>
      </c>
      <c r="J2036" s="32" t="s">
        <v>447</v>
      </c>
      <c r="K2036" s="270">
        <f>IF(D2036="","",VLOOKUP(D2036,契約台帳!$A$3:$L$4986,12,FALSE))</f>
        <v>50</v>
      </c>
      <c r="L2036" s="270" t="str">
        <f>IF(D2036="","",INDEX(製品マスタ!$Q$5:$Q$5002,MATCH(F2036&amp;K2036,製品マスタ!$AO$5:$AO$5002,0)))</f>
        <v>T62</v>
      </c>
      <c r="M2036" s="39">
        <v>1120</v>
      </c>
      <c r="N2036" s="39">
        <v>8000</v>
      </c>
      <c r="O2036" s="47">
        <v>4</v>
      </c>
      <c r="P2036" s="57"/>
      <c r="Q2036" s="276">
        <f>IF(D2036="","",IF(J2036="リード付け",M2036,VLOOKUP(D2036,契約台帳!$A$3:$N$4986,14,FALSE)))</f>
        <v>1120</v>
      </c>
      <c r="R2036" s="277">
        <f>IF(D2036="","",IF(J2036="リード付け",M2036,VLOOKUP(D2036,契約台帳!$A$3:$O$4986,15,FALSE)))</f>
        <v>1120</v>
      </c>
      <c r="S2036" s="277">
        <v>4000</v>
      </c>
      <c r="T2036" s="40">
        <v>8</v>
      </c>
      <c r="U2036" s="278" t="str">
        <f ca="1">IF(D2036="","",IF(OFFSET(D2036,-2,0)=D2036,"",VLOOKUP(D2036,契約台帳!$A$3:$R$4986,18,FALSE)))</f>
        <v/>
      </c>
      <c r="V2036" s="269" t="str">
        <f>IF(J2036="巻返し",VLOOKUP(F2036&amp;K2036&amp;M2036,製品マスタ!$M$5:$AD$5002,18,FALSE),IF(J2036="リード付け","原反コア",IF(J2036="スリット",VLOOKUP(F2036&amp;K2036&amp;Q2036,製品マスタ!$N$5:$AD$5002,17,FALSE),"")))</f>
        <v>6ｲﾝﾁSｺｱ</v>
      </c>
      <c r="W2036" s="269">
        <f>IF(J2036="巻返し",VLOOKUP(F2036&amp;K2036&amp;M2036,製品マスタ!$M$5:$AE$5002,19,FALSE),IF(J2036="リード付け","-",IF(J2036="スリット",VLOOKUP(F2036&amp;K2036&amp;Q2036,製品マスタ!$N$5:$AE$5002,18,FALSE),"")))</f>
        <v>1125</v>
      </c>
      <c r="X2036" s="275">
        <f>IF(D2036="","",VLOOKUP(D2036,契約台帳!$A$3:$Q$4986,17,FALSE))</f>
        <v>2</v>
      </c>
      <c r="Y2036" s="269" t="str">
        <f>IF(D2036="","",VLOOKUP(D2036,契約台帳!$A$3:$E$4986,5,FALSE))</f>
        <v>リンテック㈱</v>
      </c>
      <c r="Z2036" s="357"/>
      <c r="AA2036" s="207"/>
      <c r="AB2036" s="369"/>
      <c r="AC2036" s="370"/>
      <c r="AD2036" s="332" t="str">
        <f>IF(F2036="","",+F2036&amp;K2036)</f>
        <v>3SNMLBMNGTBF50</v>
      </c>
      <c r="AE2036" s="216">
        <f>+M2036*N2036*O2036/1000</f>
        <v>35840</v>
      </c>
      <c r="AF2036" s="43">
        <f>IF(AD2036="","",VLOOKUP(AD2036,原価マスタ!$A$2:$AJ$1693,13,FALSE))</f>
        <v>99</v>
      </c>
      <c r="AG2036" s="47">
        <f>IF(AF2036="","",+AE2036*AF2036/100)</f>
        <v>35481.599999999999</v>
      </c>
      <c r="AH2036" s="30"/>
      <c r="AI2036" s="30"/>
      <c r="AJ2036" s="30"/>
      <c r="AK2036" s="30"/>
      <c r="AL2036" s="13"/>
      <c r="AM2036" s="13"/>
      <c r="AN2036" s="13"/>
      <c r="AO2036" s="13"/>
      <c r="AP2036" s="13"/>
      <c r="AQ2036" s="14"/>
      <c r="AR2036" s="15"/>
    </row>
    <row r="2037" spans="1:44" s="17" customFormat="1" ht="30.95" hidden="1" customHeight="1" x14ac:dyDescent="0.2">
      <c r="A2037" s="343"/>
      <c r="B2037" s="344"/>
      <c r="C2037" s="345"/>
      <c r="D2037" s="398"/>
      <c r="E2037" s="31"/>
      <c r="F2037" s="268"/>
      <c r="G2037" s="269"/>
      <c r="H2037" s="269"/>
      <c r="I2037" s="270"/>
      <c r="J2037" s="32"/>
      <c r="K2037" s="270"/>
      <c r="L2037" s="270"/>
      <c r="M2037" s="39"/>
      <c r="N2037" s="39"/>
      <c r="O2037" s="47"/>
      <c r="P2037" s="57"/>
      <c r="Q2037" s="276"/>
      <c r="R2037" s="277"/>
      <c r="S2037" s="277"/>
      <c r="T2037" s="40"/>
      <c r="U2037" s="278"/>
      <c r="V2037" s="269"/>
      <c r="W2037" s="269"/>
      <c r="X2037" s="275"/>
      <c r="Y2037" s="269"/>
      <c r="Z2037" s="357"/>
      <c r="AA2037" s="207"/>
      <c r="AB2037" s="369"/>
      <c r="AC2037" s="370"/>
      <c r="AD2037" s="332"/>
      <c r="AE2037" s="216"/>
      <c r="AF2037" s="43"/>
      <c r="AG2037" s="47"/>
      <c r="AH2037" s="30"/>
      <c r="AI2037" s="30"/>
      <c r="AJ2037" s="30"/>
      <c r="AK2037" s="30"/>
      <c r="AL2037" s="13"/>
      <c r="AM2037" s="13"/>
      <c r="AN2037" s="13"/>
      <c r="AO2037" s="13"/>
      <c r="AP2037" s="13"/>
      <c r="AQ2037" s="14"/>
      <c r="AR2037" s="15"/>
    </row>
    <row r="2038" spans="1:44" s="17" customFormat="1" ht="30.6" hidden="1" customHeight="1" x14ac:dyDescent="0.2">
      <c r="A2038" s="320"/>
      <c r="B2038" s="321"/>
      <c r="C2038" s="345"/>
      <c r="D2038" s="398">
        <v>3778946</v>
      </c>
      <c r="E2038" s="31">
        <v>4115296</v>
      </c>
      <c r="F2038" s="268" t="str">
        <f>IF(D2038="","",VLOOKUP(D2038,契約台帳!$A$3:$K$4986,6,FALSE)&amp;VLOOKUP(D2038,契約台帳!$A$3:$K$4986,7,FALSE)&amp;VLOOKUP(D2038,契約台帳!$A$3:$K$4986,8,FALSE)&amp;VLOOKUP(D2038,契約台帳!$A$3:$K$4986,9,FALSE)&amp;VLOOKUP(D2038,契約台帳!$A$3:$K$4986,11,FALSE))</f>
        <v>3SYMLBMSBBF</v>
      </c>
      <c r="G2038" s="269" t="str">
        <f>IF(D2038="","",VLOOKUP(F2038,製品マスタ!$G$5:$H$5002,2,FALSE))</f>
        <v>S</v>
      </c>
      <c r="H2038" s="269" t="str">
        <f>IF(D2038="","",VLOOKUP(F2038,製品マスタ!$G$5:$K$5002,5,FALSE))</f>
        <v>MSBBF</v>
      </c>
      <c r="I2038" s="270" t="str">
        <f>IF(D2038="","",VLOOKUP(F2038,製品マスタ!$G$5:$L$5002,6,FALSE))</f>
        <v>ＭＥＴＡＬＵＭＹ　ＳＩＬＶＥＲ　ＢＲＩＧＨＴ　Ｔ６２Ｍ　Ｂ</v>
      </c>
      <c r="J2038" s="32" t="s">
        <v>447</v>
      </c>
      <c r="K2038" s="270">
        <f>IF(D2038="","",VLOOKUP(D2038,契約台帳!$A$3:$L$4986,12,FALSE))</f>
        <v>50</v>
      </c>
      <c r="L2038" s="270" t="str">
        <f>IF(D2038="","",INDEX(製品マスタ!$Q$5:$Q$5002,MATCH(F2038&amp;K2038,製品マスタ!$AO$5:$AO$5002,0)))</f>
        <v>T62</v>
      </c>
      <c r="M2038" s="39">
        <v>1120</v>
      </c>
      <c r="N2038" s="39">
        <v>8000</v>
      </c>
      <c r="O2038" s="47">
        <v>1</v>
      </c>
      <c r="P2038" s="57"/>
      <c r="Q2038" s="276">
        <f>IF(D2038="","",IF(J2038="リード付け",M2038,VLOOKUP(D2038,契約台帳!$A$3:$N$4986,14,FALSE)))</f>
        <v>1120</v>
      </c>
      <c r="R2038" s="277">
        <f>IF(D2038="","",IF(J2038="リード付け",M2038,VLOOKUP(D2038,契約台帳!$A$3:$O$4986,15,FALSE)))</f>
        <v>1120</v>
      </c>
      <c r="S2038" s="277">
        <v>4000</v>
      </c>
      <c r="T2038" s="40">
        <v>2</v>
      </c>
      <c r="U2038" s="278">
        <f ca="1">IF(D2038="","",IF(OFFSET(D2038,-2,0)=D2038,"",VLOOKUP(D2038,契約台帳!$A$3:$R$4986,18,FALSE)))</f>
        <v>2</v>
      </c>
      <c r="V2038" s="269" t="str">
        <f>IF(J2038="巻返し",VLOOKUP(F2038&amp;K2038&amp;M2038,製品マスタ!$M$5:$AD$5002,18,FALSE),IF(J2038="リード付け","原反コア",IF(J2038="スリット",VLOOKUP(F2038&amp;K2038&amp;Q2038,製品マスタ!$N$5:$AD$5002,17,FALSE),"")))</f>
        <v>6ｲﾝﾁSｺｱ</v>
      </c>
      <c r="W2038" s="269">
        <f>IF(J2038="巻返し",VLOOKUP(F2038&amp;K2038&amp;M2038,製品マスタ!$M$5:$AE$5002,19,FALSE),IF(J2038="リード付け","-",IF(J2038="スリット",VLOOKUP(F2038&amp;K2038&amp;Q2038,製品マスタ!$N$5:$AE$5002,18,FALSE),"")))</f>
        <v>1125</v>
      </c>
      <c r="X2038" s="275">
        <f>IF(D2038="","",VLOOKUP(D2038,契約台帳!$A$3:$Q$4986,17,FALSE))</f>
        <v>2</v>
      </c>
      <c r="Y2038" s="269" t="str">
        <f>IF(D2038="","",VLOOKUP(D2038,契約台帳!$A$3:$E$4986,5,FALSE))</f>
        <v>リンテック㈱</v>
      </c>
      <c r="Z2038" s="357"/>
      <c r="AA2038" s="207"/>
      <c r="AB2038" s="369"/>
      <c r="AC2038" s="370"/>
      <c r="AD2038" s="332" t="str">
        <f>IF(F2038="","",+F2038&amp;K2038)</f>
        <v>3SYMLBMSBBF50</v>
      </c>
      <c r="AE2038" s="216">
        <f>+M2038*N2038*O2038/1000</f>
        <v>8960</v>
      </c>
      <c r="AF2038" s="43">
        <f>IF(AD2038="","",VLOOKUP(AD2038,原価マスタ!$A$2:$AJ$1693,13,FALSE))</f>
        <v>99</v>
      </c>
      <c r="AG2038" s="47">
        <f>IF(AF2038="","",+AE2038*AF2038/100)</f>
        <v>8870.4</v>
      </c>
      <c r="AH2038" s="30"/>
      <c r="AI2038" s="30"/>
      <c r="AJ2038" s="30"/>
      <c r="AK2038" s="30"/>
      <c r="AL2038" s="13"/>
      <c r="AM2038" s="13"/>
      <c r="AN2038" s="13"/>
      <c r="AO2038" s="13"/>
      <c r="AP2038" s="13"/>
      <c r="AQ2038" s="14"/>
      <c r="AR2038" s="15"/>
    </row>
    <row r="2039" spans="1:44" s="17" customFormat="1" ht="30.95" hidden="1" customHeight="1" x14ac:dyDescent="0.2">
      <c r="A2039" s="343"/>
      <c r="B2039" s="344"/>
      <c r="C2039" s="345"/>
      <c r="D2039" s="398"/>
      <c r="E2039" s="31"/>
      <c r="F2039" s="268"/>
      <c r="G2039" s="269"/>
      <c r="H2039" s="269"/>
      <c r="I2039" s="270"/>
      <c r="J2039" s="32"/>
      <c r="K2039" s="270"/>
      <c r="L2039" s="270"/>
      <c r="M2039" s="39"/>
      <c r="N2039" s="39"/>
      <c r="O2039" s="47"/>
      <c r="P2039" s="57"/>
      <c r="Q2039" s="276"/>
      <c r="R2039" s="277"/>
      <c r="S2039" s="277"/>
      <c r="T2039" s="40"/>
      <c r="U2039" s="278"/>
      <c r="V2039" s="269"/>
      <c r="W2039" s="269"/>
      <c r="X2039" s="275"/>
      <c r="Y2039" s="269"/>
      <c r="Z2039" s="357"/>
      <c r="AA2039" s="207"/>
      <c r="AB2039" s="369"/>
      <c r="AC2039" s="370"/>
      <c r="AD2039" s="332"/>
      <c r="AE2039" s="216"/>
      <c r="AF2039" s="43"/>
      <c r="AG2039" s="47"/>
      <c r="AH2039" s="30"/>
      <c r="AI2039" s="30"/>
      <c r="AJ2039" s="30"/>
      <c r="AK2039" s="30"/>
      <c r="AL2039" s="13"/>
      <c r="AM2039" s="13"/>
      <c r="AN2039" s="13"/>
      <c r="AO2039" s="13"/>
      <c r="AP2039" s="13"/>
      <c r="AQ2039" s="14"/>
      <c r="AR2039" s="15"/>
    </row>
    <row r="2040" spans="1:44" s="17" customFormat="1" ht="30.6" hidden="1" customHeight="1" x14ac:dyDescent="0.2">
      <c r="A2040" s="320"/>
      <c r="B2040" s="321"/>
      <c r="C2040" s="345"/>
      <c r="D2040" s="398">
        <v>3778948</v>
      </c>
      <c r="E2040" s="31">
        <v>4115297</v>
      </c>
      <c r="F2040" s="268" t="str">
        <f>IF(D2040="","",VLOOKUP(D2040,契約台帳!$A$3:$K$4986,6,FALSE)&amp;VLOOKUP(D2040,契約台帳!$A$3:$K$4986,7,FALSE)&amp;VLOOKUP(D2040,契約台帳!$A$3:$K$4986,8,FALSE)&amp;VLOOKUP(D2040,契約台帳!$A$3:$K$4986,9,FALSE)&amp;VLOOKUP(D2040,契約台帳!$A$3:$K$4986,11,FALSE))</f>
        <v>3SYMLBMSBBF</v>
      </c>
      <c r="G2040" s="269" t="str">
        <f>IF(D2040="","",VLOOKUP(F2040,製品マスタ!$G$5:$H$5002,2,FALSE))</f>
        <v>S</v>
      </c>
      <c r="H2040" s="269" t="str">
        <f>IF(D2040="","",VLOOKUP(F2040,製品マスタ!$G$5:$K$5002,5,FALSE))</f>
        <v>MSBBF</v>
      </c>
      <c r="I2040" s="270" t="str">
        <f>IF(D2040="","",VLOOKUP(F2040,製品マスタ!$G$5:$L$5002,6,FALSE))</f>
        <v>ＭＥＴＡＬＵＭＹ　ＳＩＬＶＥＲ　ＢＲＩＧＨＴ　Ｔ６２Ｍ　Ｂ</v>
      </c>
      <c r="J2040" s="32" t="s">
        <v>447</v>
      </c>
      <c r="K2040" s="270">
        <f>IF(D2040="","",VLOOKUP(D2040,契約台帳!$A$3:$L$4986,12,FALSE))</f>
        <v>50</v>
      </c>
      <c r="L2040" s="270" t="str">
        <f>IF(D2040="","",INDEX(製品マスタ!$Q$5:$Q$5002,MATCH(F2040&amp;K2040,製品マスタ!$AO$5:$AO$5002,0)))</f>
        <v>T62</v>
      </c>
      <c r="M2040" s="39">
        <v>1120</v>
      </c>
      <c r="N2040" s="39">
        <v>8000</v>
      </c>
      <c r="O2040" s="47">
        <v>1</v>
      </c>
      <c r="P2040" s="57"/>
      <c r="Q2040" s="276">
        <f>IF(D2040="","",IF(J2040="リード付け",M2040,VLOOKUP(D2040,契約台帳!$A$3:$N$4986,14,FALSE)))</f>
        <v>1120</v>
      </c>
      <c r="R2040" s="277">
        <f>IF(D2040="","",IF(J2040="リード付け",M2040,VLOOKUP(D2040,契約台帳!$A$3:$O$4986,15,FALSE)))</f>
        <v>1120</v>
      </c>
      <c r="S2040" s="277">
        <v>4000</v>
      </c>
      <c r="T2040" s="40">
        <v>2</v>
      </c>
      <c r="U2040" s="278">
        <f ca="1">IF(D2040="","",IF(OFFSET(D2040,-2,0)=D2040,"",VLOOKUP(D2040,契約台帳!$A$3:$R$4986,18,FALSE)))</f>
        <v>2</v>
      </c>
      <c r="V2040" s="269" t="str">
        <f>IF(J2040="巻返し",VLOOKUP(F2040&amp;K2040&amp;M2040,製品マスタ!$M$5:$AD$5002,18,FALSE),IF(J2040="リード付け","原反コア",IF(J2040="スリット",VLOOKUP(F2040&amp;K2040&amp;Q2040,製品マスタ!$N$5:$AD$5002,17,FALSE),"")))</f>
        <v>6ｲﾝﾁSｺｱ</v>
      </c>
      <c r="W2040" s="269">
        <f>IF(J2040="巻返し",VLOOKUP(F2040&amp;K2040&amp;M2040,製品マスタ!$M$5:$AE$5002,19,FALSE),IF(J2040="リード付け","-",IF(J2040="スリット",VLOOKUP(F2040&amp;K2040&amp;Q2040,製品マスタ!$N$5:$AE$5002,18,FALSE),"")))</f>
        <v>1125</v>
      </c>
      <c r="X2040" s="275">
        <f>IF(D2040="","",VLOOKUP(D2040,契約台帳!$A$3:$Q$4986,17,FALSE))</f>
        <v>2</v>
      </c>
      <c r="Y2040" s="269" t="str">
        <f>IF(D2040="","",VLOOKUP(D2040,契約台帳!$A$3:$E$4986,5,FALSE))</f>
        <v>リンテック㈱</v>
      </c>
      <c r="Z2040" s="357"/>
      <c r="AA2040" s="207"/>
      <c r="AB2040" s="369"/>
      <c r="AC2040" s="370"/>
      <c r="AD2040" s="332" t="str">
        <f>IF(F2040="","",+F2040&amp;K2040)</f>
        <v>3SYMLBMSBBF50</v>
      </c>
      <c r="AE2040" s="216">
        <f>+M2040*N2040*O2040/1000</f>
        <v>8960</v>
      </c>
      <c r="AF2040" s="43">
        <f>IF(AD2040="","",VLOOKUP(AD2040,原価マスタ!$A$2:$AJ$1693,13,FALSE))</f>
        <v>99</v>
      </c>
      <c r="AG2040" s="47">
        <f>IF(AF2040="","",+AE2040*AF2040/100)</f>
        <v>8870.4</v>
      </c>
      <c r="AH2040" s="30"/>
      <c r="AI2040" s="30"/>
      <c r="AJ2040" s="30"/>
      <c r="AK2040" s="30"/>
      <c r="AL2040" s="13"/>
      <c r="AM2040" s="13"/>
      <c r="AN2040" s="13"/>
      <c r="AO2040" s="13"/>
      <c r="AP2040" s="13"/>
      <c r="AQ2040" s="14"/>
      <c r="AR2040" s="15"/>
    </row>
    <row r="2041" spans="1:44" s="17" customFormat="1" ht="30.95" hidden="1" customHeight="1" x14ac:dyDescent="0.2">
      <c r="A2041" s="343"/>
      <c r="B2041" s="344"/>
      <c r="C2041" s="345"/>
      <c r="D2041" s="398"/>
      <c r="E2041" s="31"/>
      <c r="F2041" s="268"/>
      <c r="G2041" s="269"/>
      <c r="H2041" s="269"/>
      <c r="I2041" s="270"/>
      <c r="J2041" s="32"/>
      <c r="K2041" s="270"/>
      <c r="L2041" s="270"/>
      <c r="M2041" s="39"/>
      <c r="N2041" s="39"/>
      <c r="O2041" s="47"/>
      <c r="P2041" s="57"/>
      <c r="Q2041" s="276"/>
      <c r="R2041" s="277"/>
      <c r="S2041" s="277"/>
      <c r="T2041" s="40"/>
      <c r="U2041" s="278"/>
      <c r="V2041" s="269"/>
      <c r="W2041" s="269"/>
      <c r="X2041" s="275"/>
      <c r="Y2041" s="269"/>
      <c r="Z2041" s="357"/>
      <c r="AA2041" s="207"/>
      <c r="AB2041" s="369"/>
      <c r="AC2041" s="370"/>
      <c r="AD2041" s="332"/>
      <c r="AE2041" s="216"/>
      <c r="AF2041" s="43"/>
      <c r="AG2041" s="47"/>
      <c r="AH2041" s="30"/>
      <c r="AI2041" s="30"/>
      <c r="AJ2041" s="30"/>
      <c r="AK2041" s="30"/>
      <c r="AL2041" s="13"/>
      <c r="AM2041" s="13"/>
      <c r="AN2041" s="13"/>
      <c r="AO2041" s="13"/>
      <c r="AP2041" s="13"/>
      <c r="AQ2041" s="14"/>
      <c r="AR2041" s="15"/>
    </row>
    <row r="2042" spans="1:44" s="17" customFormat="1" ht="30.6" hidden="1" customHeight="1" x14ac:dyDescent="0.2">
      <c r="A2042" s="320"/>
      <c r="B2042" s="321"/>
      <c r="C2042" s="345"/>
      <c r="D2042" s="398">
        <v>3778949</v>
      </c>
      <c r="E2042" s="31">
        <v>4115298</v>
      </c>
      <c r="F2042" s="268" t="str">
        <f>IF(D2042="","",VLOOKUP(D2042,契約台帳!$A$3:$K$4986,6,FALSE)&amp;VLOOKUP(D2042,契約台帳!$A$3:$K$4986,7,FALSE)&amp;VLOOKUP(D2042,契約台帳!$A$3:$K$4986,8,FALSE)&amp;VLOOKUP(D2042,契約台帳!$A$3:$K$4986,9,FALSE)&amp;VLOOKUP(D2042,契約台帳!$A$3:$K$4986,11,FALSE))</f>
        <v>3SYMLBMSBBF</v>
      </c>
      <c r="G2042" s="269" t="str">
        <f>IF(D2042="","",VLOOKUP(F2042,製品マスタ!$G$5:$H$5002,2,FALSE))</f>
        <v>S</v>
      </c>
      <c r="H2042" s="269" t="str">
        <f>IF(D2042="","",VLOOKUP(F2042,製品マスタ!$G$5:$K$5002,5,FALSE))</f>
        <v>MSBBF</v>
      </c>
      <c r="I2042" s="270" t="str">
        <f>IF(D2042="","",VLOOKUP(F2042,製品マスタ!$G$5:$L$5002,6,FALSE))</f>
        <v>ＭＥＴＡＬＵＭＹ　ＳＩＬＶＥＲ　ＢＲＩＧＨＴ　Ｔ６２Ｍ　Ｂ</v>
      </c>
      <c r="J2042" s="32" t="s">
        <v>447</v>
      </c>
      <c r="K2042" s="270">
        <f>IF(D2042="","",VLOOKUP(D2042,契約台帳!$A$3:$L$4986,12,FALSE))</f>
        <v>50</v>
      </c>
      <c r="L2042" s="270" t="str">
        <f>IF(D2042="","",INDEX(製品マスタ!$Q$5:$Q$5002,MATCH(F2042&amp;K2042,製品マスタ!$AO$5:$AO$5002,0)))</f>
        <v>T62</v>
      </c>
      <c r="M2042" s="39">
        <v>1120</v>
      </c>
      <c r="N2042" s="39">
        <v>8000</v>
      </c>
      <c r="O2042" s="47">
        <v>1</v>
      </c>
      <c r="P2042" s="57"/>
      <c r="Q2042" s="276">
        <f>IF(D2042="","",IF(J2042="リード付け",M2042,VLOOKUP(D2042,契約台帳!$A$3:$N$4986,14,FALSE)))</f>
        <v>1120</v>
      </c>
      <c r="R2042" s="277">
        <f>IF(D2042="","",IF(J2042="リード付け",M2042,VLOOKUP(D2042,契約台帳!$A$3:$O$4986,15,FALSE)))</f>
        <v>1120</v>
      </c>
      <c r="S2042" s="277">
        <v>4000</v>
      </c>
      <c r="T2042" s="40">
        <v>2</v>
      </c>
      <c r="U2042" s="278">
        <f ca="1">IF(D2042="","",IF(OFFSET(D2042,-2,0)=D2042,"",VLOOKUP(D2042,契約台帳!$A$3:$R$4986,18,FALSE)))</f>
        <v>2</v>
      </c>
      <c r="V2042" s="269" t="str">
        <f>IF(J2042="巻返し",VLOOKUP(F2042&amp;K2042&amp;M2042,製品マスタ!$M$5:$AD$5002,18,FALSE),IF(J2042="リード付け","原反コア",IF(J2042="スリット",VLOOKUP(F2042&amp;K2042&amp;Q2042,製品マスタ!$N$5:$AD$5002,17,FALSE),"")))</f>
        <v>6ｲﾝﾁSｺｱ</v>
      </c>
      <c r="W2042" s="269">
        <f>IF(J2042="巻返し",VLOOKUP(F2042&amp;K2042&amp;M2042,製品マスタ!$M$5:$AE$5002,19,FALSE),IF(J2042="リード付け","-",IF(J2042="スリット",VLOOKUP(F2042&amp;K2042&amp;Q2042,製品マスタ!$N$5:$AE$5002,18,FALSE),"")))</f>
        <v>1125</v>
      </c>
      <c r="X2042" s="275">
        <f>IF(D2042="","",VLOOKUP(D2042,契約台帳!$A$3:$Q$4986,17,FALSE))</f>
        <v>2</v>
      </c>
      <c r="Y2042" s="269" t="str">
        <f>IF(D2042="","",VLOOKUP(D2042,契約台帳!$A$3:$E$4986,5,FALSE))</f>
        <v>リンテック㈱</v>
      </c>
      <c r="Z2042" s="357"/>
      <c r="AA2042" s="207"/>
      <c r="AB2042" s="369"/>
      <c r="AC2042" s="370"/>
      <c r="AD2042" s="332" t="str">
        <f>IF(F2042="","",+F2042&amp;K2042)</f>
        <v>3SYMLBMSBBF50</v>
      </c>
      <c r="AE2042" s="216">
        <f>+M2042*N2042*O2042/1000</f>
        <v>8960</v>
      </c>
      <c r="AF2042" s="43">
        <f>IF(AD2042="","",VLOOKUP(AD2042,原価マスタ!$A$2:$AJ$1693,13,FALSE))</f>
        <v>99</v>
      </c>
      <c r="AG2042" s="47">
        <f>IF(AF2042="","",+AE2042*AF2042/100)</f>
        <v>8870.4</v>
      </c>
      <c r="AH2042" s="30"/>
      <c r="AI2042" s="30"/>
      <c r="AJ2042" s="30"/>
      <c r="AK2042" s="30"/>
      <c r="AL2042" s="13"/>
      <c r="AM2042" s="13"/>
      <c r="AN2042" s="13"/>
      <c r="AO2042" s="13"/>
      <c r="AP2042" s="13"/>
      <c r="AQ2042" s="14"/>
      <c r="AR2042" s="15"/>
    </row>
    <row r="2043" spans="1:44" s="17" customFormat="1" ht="30.95" hidden="1" customHeight="1" x14ac:dyDescent="0.2">
      <c r="A2043" s="343"/>
      <c r="B2043" s="344"/>
      <c r="C2043" s="345"/>
      <c r="D2043" s="398"/>
      <c r="E2043" s="31"/>
      <c r="F2043" s="268"/>
      <c r="G2043" s="269"/>
      <c r="H2043" s="269"/>
      <c r="I2043" s="270"/>
      <c r="J2043" s="32"/>
      <c r="K2043" s="270"/>
      <c r="L2043" s="270"/>
      <c r="M2043" s="39"/>
      <c r="N2043" s="39"/>
      <c r="O2043" s="47"/>
      <c r="P2043" s="57"/>
      <c r="Q2043" s="276"/>
      <c r="R2043" s="277"/>
      <c r="S2043" s="277"/>
      <c r="T2043" s="40"/>
      <c r="U2043" s="278"/>
      <c r="V2043" s="269"/>
      <c r="W2043" s="269"/>
      <c r="X2043" s="275"/>
      <c r="Y2043" s="269"/>
      <c r="Z2043" s="357"/>
      <c r="AA2043" s="207"/>
      <c r="AB2043" s="369"/>
      <c r="AC2043" s="370"/>
      <c r="AD2043" s="332"/>
      <c r="AE2043" s="216"/>
      <c r="AF2043" s="43"/>
      <c r="AG2043" s="47"/>
      <c r="AH2043" s="30"/>
      <c r="AI2043" s="30"/>
      <c r="AJ2043" s="30"/>
      <c r="AK2043" s="30"/>
      <c r="AL2043" s="13"/>
      <c r="AM2043" s="13"/>
      <c r="AN2043" s="13"/>
      <c r="AO2043" s="13"/>
      <c r="AP2043" s="13"/>
      <c r="AQ2043" s="14"/>
      <c r="AR2043" s="15"/>
    </row>
    <row r="2044" spans="1:44" s="17" customFormat="1" ht="30.6" hidden="1" customHeight="1" x14ac:dyDescent="0.2">
      <c r="A2044" s="320" t="s">
        <v>3264</v>
      </c>
      <c r="B2044" s="321" t="s">
        <v>3265</v>
      </c>
      <c r="C2044" s="345"/>
      <c r="D2044" s="398">
        <v>3778950</v>
      </c>
      <c r="E2044" s="31">
        <v>4115299</v>
      </c>
      <c r="F2044" s="268" t="str">
        <f>IF(D2044="","",VLOOKUP(D2044,契約台帳!$A$3:$K$4986,6,FALSE)&amp;VLOOKUP(D2044,契約台帳!$A$3:$K$4986,7,FALSE)&amp;VLOOKUP(D2044,契約台帳!$A$3:$K$4986,8,FALSE)&amp;VLOOKUP(D2044,契約台帳!$A$3:$K$4986,9,FALSE)&amp;VLOOKUP(D2044,契約台帳!$A$3:$K$4986,11,FALSE))</f>
        <v>3SYMLBMSBBF</v>
      </c>
      <c r="G2044" s="269" t="str">
        <f>IF(D2044="","",VLOOKUP(F2044,製品マスタ!$G$5:$H$5002,2,FALSE))</f>
        <v>S</v>
      </c>
      <c r="H2044" s="269" t="str">
        <f>IF(D2044="","",VLOOKUP(F2044,製品マスタ!$G$5:$K$5002,5,FALSE))</f>
        <v>MSBBF</v>
      </c>
      <c r="I2044" s="270" t="str">
        <f>IF(D2044="","",VLOOKUP(F2044,製品マスタ!$G$5:$L$5002,6,FALSE))</f>
        <v>ＭＥＴＡＬＵＭＹ　ＳＩＬＶＥＲ　ＢＲＩＧＨＴ　Ｔ６２Ｍ　Ｂ</v>
      </c>
      <c r="J2044" s="32" t="s">
        <v>447</v>
      </c>
      <c r="K2044" s="270">
        <f>IF(D2044="","",VLOOKUP(D2044,契約台帳!$A$3:$L$4986,12,FALSE))</f>
        <v>50</v>
      </c>
      <c r="L2044" s="270" t="str">
        <f>IF(D2044="","",INDEX(製品マスタ!$Q$5:$Q$5002,MATCH(F2044&amp;K2044,製品マスタ!$AO$5:$AO$5002,0)))</f>
        <v>T62</v>
      </c>
      <c r="M2044" s="39">
        <v>1120</v>
      </c>
      <c r="N2044" s="39">
        <v>8000</v>
      </c>
      <c r="O2044" s="47">
        <v>2</v>
      </c>
      <c r="P2044" s="57"/>
      <c r="Q2044" s="276">
        <f>IF(D2044="","",IF(J2044="リード付け",M2044,VLOOKUP(D2044,契約台帳!$A$3:$N$4986,14,FALSE)))</f>
        <v>1120</v>
      </c>
      <c r="R2044" s="277">
        <f>IF(D2044="","",IF(J2044="リード付け",M2044,VLOOKUP(D2044,契約台帳!$A$3:$O$4986,15,FALSE)))</f>
        <v>1120</v>
      </c>
      <c r="S2044" s="277">
        <v>4000</v>
      </c>
      <c r="T2044" s="40">
        <v>4</v>
      </c>
      <c r="U2044" s="278">
        <f ca="1">IF(D2044="","",IF(OFFSET(D2044,-2,0)=D2044,"",VLOOKUP(D2044,契約台帳!$A$3:$R$4986,18,FALSE)))</f>
        <v>4</v>
      </c>
      <c r="V2044" s="269" t="str">
        <f>IF(J2044="巻返し",VLOOKUP(F2044&amp;K2044&amp;M2044,製品マスタ!$M$5:$AD$5002,18,FALSE),IF(J2044="リード付け","原反コア",IF(J2044="スリット",VLOOKUP(F2044&amp;K2044&amp;Q2044,製品マスタ!$N$5:$AD$5002,17,FALSE),"")))</f>
        <v>6ｲﾝﾁSｺｱ</v>
      </c>
      <c r="W2044" s="269">
        <f>IF(J2044="巻返し",VLOOKUP(F2044&amp;K2044&amp;M2044,製品マスタ!$M$5:$AE$5002,19,FALSE),IF(J2044="リード付け","-",IF(J2044="スリット",VLOOKUP(F2044&amp;K2044&amp;Q2044,製品マスタ!$N$5:$AE$5002,18,FALSE),"")))</f>
        <v>1125</v>
      </c>
      <c r="X2044" s="275">
        <f>IF(D2044="","",VLOOKUP(D2044,契約台帳!$A$3:$Q$4986,17,FALSE))</f>
        <v>2</v>
      </c>
      <c r="Y2044" s="269" t="str">
        <f>IF(D2044="","",VLOOKUP(D2044,契約台帳!$A$3:$E$4986,5,FALSE))</f>
        <v>リンテック㈱</v>
      </c>
      <c r="Z2044" s="357"/>
      <c r="AA2044" s="207"/>
      <c r="AB2044" s="369"/>
      <c r="AC2044" s="370"/>
      <c r="AD2044" s="332" t="str">
        <f>IF(F2044="","",+F2044&amp;K2044)</f>
        <v>3SYMLBMSBBF50</v>
      </c>
      <c r="AE2044" s="216">
        <f>+M2044*N2044*O2044/1000</f>
        <v>17920</v>
      </c>
      <c r="AF2044" s="43">
        <f>IF(AD2044="","",VLOOKUP(AD2044,原価マスタ!$A$2:$AJ$1693,13,FALSE))</f>
        <v>99</v>
      </c>
      <c r="AG2044" s="47">
        <f>IF(AF2044="","",+AE2044*AF2044/100)</f>
        <v>17740.8</v>
      </c>
      <c r="AH2044" s="30"/>
      <c r="AI2044" s="30"/>
      <c r="AJ2044" s="30"/>
      <c r="AK2044" s="30"/>
      <c r="AL2044" s="13"/>
      <c r="AM2044" s="13"/>
      <c r="AN2044" s="13"/>
      <c r="AO2044" s="13"/>
      <c r="AP2044" s="13"/>
      <c r="AQ2044" s="14"/>
      <c r="AR2044" s="15"/>
    </row>
    <row r="2045" spans="1:44" s="17" customFormat="1" ht="30.95" hidden="1" customHeight="1" x14ac:dyDescent="0.2">
      <c r="A2045" s="343"/>
      <c r="B2045" s="344"/>
      <c r="C2045" s="345"/>
      <c r="D2045" s="398"/>
      <c r="E2045" s="31"/>
      <c r="F2045" s="268"/>
      <c r="G2045" s="269"/>
      <c r="H2045" s="269"/>
      <c r="I2045" s="270"/>
      <c r="J2045" s="32"/>
      <c r="K2045" s="270"/>
      <c r="L2045" s="270"/>
      <c r="M2045" s="39"/>
      <c r="N2045" s="39"/>
      <c r="O2045" s="47"/>
      <c r="P2045" s="57"/>
      <c r="Q2045" s="276"/>
      <c r="R2045" s="277"/>
      <c r="S2045" s="277"/>
      <c r="T2045" s="40"/>
      <c r="U2045" s="278"/>
      <c r="V2045" s="269"/>
      <c r="W2045" s="269"/>
      <c r="X2045" s="275"/>
      <c r="Y2045" s="269"/>
      <c r="Z2045" s="357"/>
      <c r="AA2045" s="207"/>
      <c r="AB2045" s="369"/>
      <c r="AC2045" s="370"/>
      <c r="AD2045" s="332"/>
      <c r="AE2045" s="216"/>
      <c r="AF2045" s="43"/>
      <c r="AG2045" s="47"/>
      <c r="AH2045" s="30"/>
      <c r="AI2045" s="30"/>
      <c r="AJ2045" s="30"/>
      <c r="AK2045" s="30"/>
      <c r="AL2045" s="13"/>
      <c r="AM2045" s="13"/>
      <c r="AN2045" s="13"/>
      <c r="AO2045" s="13"/>
      <c r="AP2045" s="13"/>
      <c r="AQ2045" s="14"/>
      <c r="AR2045" s="15"/>
    </row>
    <row r="2046" spans="1:44" s="17" customFormat="1" ht="30.6" hidden="1" customHeight="1" x14ac:dyDescent="0.2">
      <c r="A2046" s="320"/>
      <c r="B2046" s="321"/>
      <c r="C2046" s="345"/>
      <c r="D2046" s="398">
        <v>3778926</v>
      </c>
      <c r="E2046" s="31">
        <v>4155288</v>
      </c>
      <c r="F2046" s="268" t="str">
        <f>IF(D2046="","",VLOOKUP(D2046,契約台帳!$A$3:$K$4986,6,FALSE)&amp;VLOOKUP(D2046,契約台帳!$A$3:$K$4986,7,FALSE)&amp;VLOOKUP(D2046,契約台帳!$A$3:$K$4986,8,FALSE)&amp;VLOOKUP(D2046,契約台帳!$A$3:$K$4986,9,FALSE)&amp;VLOOKUP(D2046,契約台帳!$A$3:$K$4986,11,FALSE))</f>
        <v>3SNMLBMNGKKBF</v>
      </c>
      <c r="G2046" s="269" t="str">
        <f>IF(D2046="","",VLOOKUP(F2046,製品マスタ!$G$5:$H$5002,2,FALSE))</f>
        <v>S</v>
      </c>
      <c r="H2046" s="269" t="str">
        <f>IF(D2046="","",VLOOKUP(F2046,製品マスタ!$G$5:$K$5002,5,FALSE))</f>
        <v>MNGKKBF</v>
      </c>
      <c r="I2046" s="270" t="str">
        <f>IF(D2046="","",VLOOKUP(F2046,製品マスタ!$G$5:$L$5002,6,FALSE))</f>
        <v>メタルミー　ネーマー銀消改　Ｂ</v>
      </c>
      <c r="J2046" s="32" t="s">
        <v>447</v>
      </c>
      <c r="K2046" s="270">
        <f>IF(D2046="","",VLOOKUP(D2046,契約台帳!$A$3:$L$4986,12,FALSE))</f>
        <v>50</v>
      </c>
      <c r="L2046" s="270" t="str">
        <f>IF(D2046="","",INDEX(製品マスタ!$Q$5:$Q$5002,MATCH(F2046&amp;K2046,製品マスタ!$AO$5:$AO$5002,0)))</f>
        <v>S99-MAT</v>
      </c>
      <c r="M2046" s="39">
        <v>1120</v>
      </c>
      <c r="N2046" s="39">
        <v>12000</v>
      </c>
      <c r="O2046" s="47">
        <v>1</v>
      </c>
      <c r="P2046" s="57"/>
      <c r="Q2046" s="276">
        <f>IF(D2046="","",IF(J2046="リード付け",M2046,VLOOKUP(D2046,契約台帳!$A$3:$N$4986,14,FALSE)))</f>
        <v>1120</v>
      </c>
      <c r="R2046" s="277">
        <f>IF(D2046="","",IF(J2046="リード付け",M2046,VLOOKUP(D2046,契約台帳!$A$3:$O$4986,15,FALSE)))</f>
        <v>1120</v>
      </c>
      <c r="S2046" s="277">
        <f>IF(D2046="","",IF(J2046="リード付け",N2046,VLOOKUP(D2046,契約台帳!$A$3:$P$4986,16,FALSE)))</f>
        <v>4000</v>
      </c>
      <c r="T2046" s="40">
        <v>3</v>
      </c>
      <c r="U2046" s="278">
        <f ca="1">IF(D2046="","",IF(OFFSET(D2046,-2,0)=D2046,"",VLOOKUP(D2046,契約台帳!$A$3:$R$4986,18,FALSE)))</f>
        <v>9</v>
      </c>
      <c r="V2046" s="269" t="str">
        <f>IF(J2046="巻返し",VLOOKUP(F2046&amp;K2046&amp;M2046,製品マスタ!$M$5:$AD$5002,18,FALSE),IF(J2046="リード付け","原反コア",IF(J2046="スリット",VLOOKUP(F2046&amp;K2046&amp;Q2046,製品マスタ!$N$5:$AD$5002,17,FALSE),"")))</f>
        <v>6ｲﾝﾁSｺｱ</v>
      </c>
      <c r="W2046" s="269">
        <f>IF(J2046="巻返し",VLOOKUP(F2046&amp;K2046&amp;M2046,製品マスタ!$M$5:$AE$5002,19,FALSE),IF(J2046="リード付け","-",IF(J2046="スリット",VLOOKUP(F2046&amp;K2046&amp;Q2046,製品マスタ!$N$5:$AE$5002,18,FALSE),"")))</f>
        <v>1125</v>
      </c>
      <c r="X2046" s="275">
        <f>IF(D2046="","",VLOOKUP(D2046,契約台帳!$A$3:$Q$4986,17,FALSE))</f>
        <v>2</v>
      </c>
      <c r="Y2046" s="269" t="str">
        <f>IF(D2046="","",VLOOKUP(D2046,契約台帳!$A$3:$E$4986,5,FALSE))</f>
        <v>リンテック㈱</v>
      </c>
      <c r="Z2046" s="357"/>
      <c r="AA2046" s="207"/>
      <c r="AB2046" s="369"/>
      <c r="AC2046" s="370"/>
      <c r="AD2046" s="332" t="str">
        <f>IF(F2046="","",+F2046&amp;K2046)</f>
        <v>3SNMLBMNGKKBF50</v>
      </c>
      <c r="AE2046" s="216">
        <f>+M2046*N2046*O2046/1000</f>
        <v>13440</v>
      </c>
      <c r="AF2046" s="43">
        <f>IF(AD2046="","",VLOOKUP(AD2046,原価マスタ!$A$2:$AJ$1693,13,FALSE))</f>
        <v>99</v>
      </c>
      <c r="AG2046" s="47">
        <f>IF(AF2046="","",+AE2046*AF2046/100)</f>
        <v>13305.6</v>
      </c>
      <c r="AH2046" s="30"/>
      <c r="AI2046" s="30"/>
      <c r="AJ2046" s="30"/>
      <c r="AK2046" s="30"/>
      <c r="AL2046" s="13"/>
      <c r="AM2046" s="13"/>
      <c r="AN2046" s="13"/>
      <c r="AO2046" s="13"/>
      <c r="AP2046" s="13"/>
      <c r="AQ2046" s="14"/>
      <c r="AR2046" s="15"/>
    </row>
    <row r="2047" spans="1:44" s="17" customFormat="1" ht="30.95" hidden="1" customHeight="1" x14ac:dyDescent="0.2">
      <c r="A2047" s="343"/>
      <c r="B2047" s="344"/>
      <c r="C2047" s="345"/>
      <c r="D2047" s="398"/>
      <c r="E2047" s="31"/>
      <c r="F2047" s="268"/>
      <c r="G2047" s="269"/>
      <c r="H2047" s="269"/>
      <c r="I2047" s="270"/>
      <c r="J2047" s="32"/>
      <c r="K2047" s="270"/>
      <c r="L2047" s="270"/>
      <c r="M2047" s="39"/>
      <c r="N2047" s="39"/>
      <c r="O2047" s="47"/>
      <c r="P2047" s="57"/>
      <c r="Q2047" s="276"/>
      <c r="R2047" s="277"/>
      <c r="S2047" s="277"/>
      <c r="T2047" s="40"/>
      <c r="U2047" s="278"/>
      <c r="V2047" s="269"/>
      <c r="W2047" s="269"/>
      <c r="X2047" s="275"/>
      <c r="Y2047" s="269"/>
      <c r="Z2047" s="357"/>
      <c r="AA2047" s="207"/>
      <c r="AB2047" s="369"/>
      <c r="AC2047" s="370"/>
      <c r="AD2047" s="332"/>
      <c r="AE2047" s="216"/>
      <c r="AF2047" s="43"/>
      <c r="AG2047" s="47"/>
      <c r="AH2047" s="30"/>
      <c r="AI2047" s="30"/>
      <c r="AJ2047" s="30"/>
      <c r="AK2047" s="30"/>
      <c r="AL2047" s="13"/>
      <c r="AM2047" s="13"/>
      <c r="AN2047" s="13"/>
      <c r="AO2047" s="13"/>
      <c r="AP2047" s="13"/>
      <c r="AQ2047" s="14"/>
      <c r="AR2047" s="15"/>
    </row>
    <row r="2048" spans="1:44" s="17" customFormat="1" ht="30.95" hidden="1" customHeight="1" x14ac:dyDescent="0.2">
      <c r="A2048" s="343" t="s">
        <v>624</v>
      </c>
      <c r="B2048" s="344" t="s">
        <v>446</v>
      </c>
      <c r="C2048" s="345"/>
      <c r="D2048" s="398"/>
      <c r="E2048" s="31"/>
      <c r="F2048" s="268"/>
      <c r="G2048" s="269"/>
      <c r="H2048" s="269"/>
      <c r="I2048" s="270"/>
      <c r="J2048" s="32" t="s">
        <v>448</v>
      </c>
      <c r="K2048" s="270"/>
      <c r="L2048" s="270"/>
      <c r="M2048" s="39"/>
      <c r="N2048" s="39"/>
      <c r="O2048" s="47"/>
      <c r="P2048" s="57"/>
      <c r="Q2048" s="276"/>
      <c r="R2048" s="277"/>
      <c r="S2048" s="277"/>
      <c r="T2048" s="40"/>
      <c r="U2048" s="278"/>
      <c r="V2048" s="269"/>
      <c r="W2048" s="269"/>
      <c r="X2048" s="275"/>
      <c r="Y2048" s="269"/>
      <c r="Z2048" s="357"/>
      <c r="AA2048" s="207"/>
      <c r="AB2048" s="369"/>
      <c r="AC2048" s="370"/>
      <c r="AD2048" s="332"/>
      <c r="AE2048" s="216"/>
      <c r="AF2048" s="43"/>
      <c r="AG2048" s="47"/>
      <c r="AH2048" s="30"/>
      <c r="AI2048" s="30"/>
      <c r="AJ2048" s="30"/>
      <c r="AK2048" s="30"/>
      <c r="AL2048" s="13"/>
      <c r="AM2048" s="13"/>
      <c r="AN2048" s="13"/>
      <c r="AO2048" s="13"/>
      <c r="AP2048" s="13"/>
      <c r="AQ2048" s="14"/>
      <c r="AR2048" s="15"/>
    </row>
    <row r="2049" spans="1:44" s="17" customFormat="1" ht="30.95" hidden="1" customHeight="1" x14ac:dyDescent="0.2">
      <c r="A2049" s="343"/>
      <c r="B2049" s="344"/>
      <c r="C2049" s="345"/>
      <c r="D2049" s="398"/>
      <c r="E2049" s="31"/>
      <c r="F2049" s="268"/>
      <c r="G2049" s="269"/>
      <c r="H2049" s="269"/>
      <c r="I2049" s="270"/>
      <c r="J2049" s="32"/>
      <c r="K2049" s="270"/>
      <c r="L2049" s="270"/>
      <c r="M2049" s="39"/>
      <c r="N2049" s="39"/>
      <c r="O2049" s="47"/>
      <c r="P2049" s="57"/>
      <c r="Q2049" s="276"/>
      <c r="R2049" s="277"/>
      <c r="S2049" s="277"/>
      <c r="T2049" s="40"/>
      <c r="U2049" s="278"/>
      <c r="V2049" s="269"/>
      <c r="W2049" s="269"/>
      <c r="X2049" s="275"/>
      <c r="Y2049" s="269"/>
      <c r="Z2049" s="357"/>
      <c r="AA2049" s="207"/>
      <c r="AB2049" s="369"/>
      <c r="AC2049" s="370"/>
      <c r="AD2049" s="332"/>
      <c r="AE2049" s="216"/>
      <c r="AF2049" s="43"/>
      <c r="AG2049" s="47"/>
      <c r="AH2049" s="30"/>
      <c r="AI2049" s="30"/>
      <c r="AJ2049" s="30"/>
      <c r="AK2049" s="30"/>
      <c r="AL2049" s="13"/>
      <c r="AM2049" s="13"/>
      <c r="AN2049" s="13"/>
      <c r="AO2049" s="13"/>
      <c r="AP2049" s="13"/>
      <c r="AQ2049" s="14"/>
      <c r="AR2049" s="15"/>
    </row>
    <row r="2050" spans="1:44" s="17" customFormat="1" ht="30.6" hidden="1" customHeight="1" x14ac:dyDescent="0.2">
      <c r="A2050" s="320" t="s">
        <v>3266</v>
      </c>
      <c r="B2050" s="321" t="s">
        <v>3267</v>
      </c>
      <c r="C2050" s="345"/>
      <c r="D2050" s="398">
        <v>3778926</v>
      </c>
      <c r="E2050" s="31">
        <v>4155288</v>
      </c>
      <c r="F2050" s="268" t="str">
        <f>IF(D2050="","",VLOOKUP(D2050,契約台帳!$A$3:$K$4986,6,FALSE)&amp;VLOOKUP(D2050,契約台帳!$A$3:$K$4986,7,FALSE)&amp;VLOOKUP(D2050,契約台帳!$A$3:$K$4986,8,FALSE)&amp;VLOOKUP(D2050,契約台帳!$A$3:$K$4986,9,FALSE)&amp;VLOOKUP(D2050,契約台帳!$A$3:$K$4986,11,FALSE))</f>
        <v>3SNMLBMNGKKBF</v>
      </c>
      <c r="G2050" s="269" t="str">
        <f>IF(D2050="","",VLOOKUP(F2050,製品マスタ!$G$5:$H$5002,2,FALSE))</f>
        <v>S</v>
      </c>
      <c r="H2050" s="269" t="str">
        <f>IF(D2050="","",VLOOKUP(F2050,製品マスタ!$G$5:$K$5002,5,FALSE))</f>
        <v>MNGKKBF</v>
      </c>
      <c r="I2050" s="270" t="str">
        <f>IF(D2050="","",VLOOKUP(F2050,製品マスタ!$G$5:$L$5002,6,FALSE))</f>
        <v>メタルミー　ネーマー銀消改　Ｂ</v>
      </c>
      <c r="J2050" s="32" t="s">
        <v>447</v>
      </c>
      <c r="K2050" s="270">
        <f>IF(D2050="","",VLOOKUP(D2050,契約台帳!$A$3:$L$4986,12,FALSE))</f>
        <v>50</v>
      </c>
      <c r="L2050" s="270" t="str">
        <f>IF(D2050="","",INDEX(製品マスタ!$Q$5:$Q$5002,MATCH(F2050&amp;K2050,製品マスタ!$AO$5:$AO$5002,0)))</f>
        <v>S99-MAT</v>
      </c>
      <c r="M2050" s="39">
        <v>1120</v>
      </c>
      <c r="N2050" s="39">
        <v>12000</v>
      </c>
      <c r="O2050" s="47">
        <v>2</v>
      </c>
      <c r="P2050" s="57"/>
      <c r="Q2050" s="276">
        <f>IF(D2050="","",IF(J2050="リード付け",M2050,VLOOKUP(D2050,契約台帳!$A$3:$N$4986,14,FALSE)))</f>
        <v>1120</v>
      </c>
      <c r="R2050" s="277">
        <f>IF(D2050="","",IF(J2050="リード付け",M2050,VLOOKUP(D2050,契約台帳!$A$3:$O$4986,15,FALSE)))</f>
        <v>1120</v>
      </c>
      <c r="S2050" s="277">
        <f>IF(D2050="","",IF(J2050="リード付け",N2050,VLOOKUP(D2050,契約台帳!$A$3:$P$4986,16,FALSE)))</f>
        <v>4000</v>
      </c>
      <c r="T2050" s="40">
        <v>6</v>
      </c>
      <c r="U2050" s="278">
        <f ca="1">IF(D2050="","",IF(OFFSET(D2050,-2,0)=D2050,"",VLOOKUP(D2050,契約台帳!$A$3:$R$4986,18,FALSE)))</f>
        <v>9</v>
      </c>
      <c r="V2050" s="269" t="str">
        <f>IF(J2050="巻返し",VLOOKUP(F2050&amp;K2050&amp;M2050,製品マスタ!$M$5:$AD$5002,18,FALSE),IF(J2050="リード付け","原反コア",IF(J2050="スリット",VLOOKUP(F2050&amp;K2050&amp;Q2050,製品マスタ!$N$5:$AD$5002,17,FALSE),"")))</f>
        <v>6ｲﾝﾁSｺｱ</v>
      </c>
      <c r="W2050" s="269">
        <f>IF(J2050="巻返し",VLOOKUP(F2050&amp;K2050&amp;M2050,製品マスタ!$M$5:$AE$5002,19,FALSE),IF(J2050="リード付け","-",IF(J2050="スリット",VLOOKUP(F2050&amp;K2050&amp;Q2050,製品マスタ!$N$5:$AE$5002,18,FALSE),"")))</f>
        <v>1125</v>
      </c>
      <c r="X2050" s="275">
        <f>IF(D2050="","",VLOOKUP(D2050,契約台帳!$A$3:$Q$4986,17,FALSE))</f>
        <v>2</v>
      </c>
      <c r="Y2050" s="269" t="str">
        <f>IF(D2050="","",VLOOKUP(D2050,契約台帳!$A$3:$E$4986,5,FALSE))</f>
        <v>リンテック㈱</v>
      </c>
      <c r="Z2050" s="357"/>
      <c r="AA2050" s="207"/>
      <c r="AB2050" s="369"/>
      <c r="AC2050" s="370"/>
      <c r="AD2050" s="332" t="str">
        <f>IF(F2050="","",+F2050&amp;K2050)</f>
        <v>3SNMLBMNGKKBF50</v>
      </c>
      <c r="AE2050" s="216">
        <f>+M2050*N2050*O2050/1000</f>
        <v>26880</v>
      </c>
      <c r="AF2050" s="43">
        <f>IF(AD2050="","",VLOOKUP(AD2050,原価マスタ!$A$2:$AJ$1693,13,FALSE))</f>
        <v>99</v>
      </c>
      <c r="AG2050" s="47">
        <f>IF(AF2050="","",+AE2050*AF2050/100)</f>
        <v>26611.200000000001</v>
      </c>
      <c r="AH2050" s="30"/>
      <c r="AI2050" s="30"/>
      <c r="AJ2050" s="30"/>
      <c r="AK2050" s="30"/>
      <c r="AL2050" s="13"/>
      <c r="AM2050" s="13"/>
      <c r="AN2050" s="13"/>
      <c r="AO2050" s="13"/>
      <c r="AP2050" s="13"/>
      <c r="AQ2050" s="14"/>
      <c r="AR2050" s="15"/>
    </row>
    <row r="2051" spans="1:44" s="17" customFormat="1" ht="30.95" hidden="1" customHeight="1" x14ac:dyDescent="0.2">
      <c r="A2051" s="343"/>
      <c r="B2051" s="344"/>
      <c r="C2051" s="345"/>
      <c r="D2051" s="398"/>
      <c r="E2051" s="31"/>
      <c r="F2051" s="268"/>
      <c r="G2051" s="269"/>
      <c r="H2051" s="269"/>
      <c r="I2051" s="270"/>
      <c r="J2051" s="32"/>
      <c r="K2051" s="270"/>
      <c r="L2051" s="270"/>
      <c r="M2051" s="39"/>
      <c r="N2051" s="39"/>
      <c r="O2051" s="47"/>
      <c r="P2051" s="57"/>
      <c r="Q2051" s="276"/>
      <c r="R2051" s="277"/>
      <c r="S2051" s="277"/>
      <c r="T2051" s="40"/>
      <c r="U2051" s="278"/>
      <c r="V2051" s="269"/>
      <c r="W2051" s="269"/>
      <c r="X2051" s="275"/>
      <c r="Y2051" s="269"/>
      <c r="Z2051" s="357"/>
      <c r="AA2051" s="207"/>
      <c r="AB2051" s="369"/>
      <c r="AC2051" s="370"/>
      <c r="AD2051" s="332"/>
      <c r="AE2051" s="216"/>
      <c r="AF2051" s="43"/>
      <c r="AG2051" s="47"/>
      <c r="AH2051" s="30"/>
      <c r="AI2051" s="30"/>
      <c r="AJ2051" s="30"/>
      <c r="AK2051" s="30"/>
      <c r="AL2051" s="13"/>
      <c r="AM2051" s="13"/>
      <c r="AN2051" s="13"/>
      <c r="AO2051" s="13"/>
      <c r="AP2051" s="13"/>
      <c r="AQ2051" s="14"/>
      <c r="AR2051" s="15"/>
    </row>
    <row r="2052" spans="1:44" s="17" customFormat="1" ht="30.6" hidden="1" customHeight="1" x14ac:dyDescent="0.2">
      <c r="A2052" s="320"/>
      <c r="B2052" s="321"/>
      <c r="C2052" s="345"/>
      <c r="D2052" s="398">
        <v>3778925</v>
      </c>
      <c r="E2052" s="31">
        <v>4155427</v>
      </c>
      <c r="F2052" s="268" t="str">
        <f>IF(D2052="","",VLOOKUP(D2052,契約台帳!$A$3:$K$4986,6,FALSE)&amp;VLOOKUP(D2052,契約台帳!$A$3:$K$4986,7,FALSE)&amp;VLOOKUP(D2052,契約台帳!$A$3:$K$4986,8,FALSE)&amp;VLOOKUP(D2052,契約台帳!$A$3:$K$4986,9,FALSE)&amp;VLOOKUP(D2052,契約台帳!$A$3:$K$4986,11,FALSE))</f>
        <v>3SNMLBMNGKKBF</v>
      </c>
      <c r="G2052" s="269" t="str">
        <f>IF(D2052="","",VLOOKUP(F2052,製品マスタ!$G$5:$H$5002,2,FALSE))</f>
        <v>S</v>
      </c>
      <c r="H2052" s="269" t="str">
        <f>IF(D2052="","",VLOOKUP(F2052,製品マスタ!$G$5:$K$5002,5,FALSE))</f>
        <v>MNGKKBF</v>
      </c>
      <c r="I2052" s="270" t="str">
        <f>IF(D2052="","",VLOOKUP(F2052,製品マスタ!$G$5:$L$5002,6,FALSE))</f>
        <v>メタルミー　ネーマー銀消改　Ｂ</v>
      </c>
      <c r="J2052" s="32" t="s">
        <v>447</v>
      </c>
      <c r="K2052" s="270">
        <f>IF(D2052="","",VLOOKUP(D2052,契約台帳!$A$3:$L$4986,12,FALSE))</f>
        <v>25</v>
      </c>
      <c r="L2052" s="270" t="str">
        <f>IF(D2052="","",INDEX(製品マスタ!$Q$5:$Q$5002,MATCH(F2052&amp;K2052,製品マスタ!$AO$5:$AO$5002,0)))</f>
        <v>FMATS99</v>
      </c>
      <c r="M2052" s="39">
        <v>1120</v>
      </c>
      <c r="N2052" s="39">
        <v>12000</v>
      </c>
      <c r="O2052" s="47">
        <v>1</v>
      </c>
      <c r="P2052" s="57"/>
      <c r="Q2052" s="276">
        <f>IF(D2052="","",IF(J2052="リード付け",M2052,VLOOKUP(D2052,契約台帳!$A$3:$N$4986,14,FALSE)))</f>
        <v>1120</v>
      </c>
      <c r="R2052" s="277">
        <f>IF(D2052="","",IF(J2052="リード付け",M2052,VLOOKUP(D2052,契約台帳!$A$3:$O$4986,15,FALSE)))</f>
        <v>1120</v>
      </c>
      <c r="S2052" s="277">
        <f>IF(D2052="","",IF(J2052="リード付け",N2052,VLOOKUP(D2052,契約台帳!$A$3:$P$4986,16,FALSE)))</f>
        <v>4000</v>
      </c>
      <c r="T2052" s="40">
        <v>3</v>
      </c>
      <c r="U2052" s="278">
        <f ca="1">IF(D2052="","",IF(OFFSET(D2052,-2,0)=D2052,"",VLOOKUP(D2052,契約台帳!$A$3:$R$4986,18,FALSE)))</f>
        <v>5</v>
      </c>
      <c r="V2052" s="269" t="str">
        <f>IF(J2052="巻返し",VLOOKUP(F2052&amp;K2052&amp;M2052,製品マスタ!$M$5:$AD$5002,18,FALSE),IF(J2052="リード付け","原反コア",IF(J2052="スリット",VLOOKUP(F2052&amp;K2052&amp;Q2052,製品マスタ!$N$5:$AD$5002,17,FALSE),"")))</f>
        <v>6ｲﾝﾁSｺｱ</v>
      </c>
      <c r="W2052" s="269">
        <f>IF(J2052="巻返し",VLOOKUP(F2052&amp;K2052&amp;M2052,製品マスタ!$M$5:$AE$5002,19,FALSE),IF(J2052="リード付け","-",IF(J2052="スリット",VLOOKUP(F2052&amp;K2052&amp;Q2052,製品マスタ!$N$5:$AE$5002,18,FALSE),"")))</f>
        <v>1125</v>
      </c>
      <c r="X2052" s="275">
        <f>IF(D2052="","",VLOOKUP(D2052,契約台帳!$A$3:$Q$4986,17,FALSE))</f>
        <v>2</v>
      </c>
      <c r="Y2052" s="269" t="str">
        <f>IF(D2052="","",VLOOKUP(D2052,契約台帳!$A$3:$E$4986,5,FALSE))</f>
        <v>リンテック㈱</v>
      </c>
      <c r="Z2052" s="357"/>
      <c r="AA2052" s="207"/>
      <c r="AB2052" s="369"/>
      <c r="AC2052" s="370"/>
      <c r="AD2052" s="332" t="str">
        <f>IF(F2052="","",+F2052&amp;K2052)</f>
        <v>3SNMLBMNGKKBF25</v>
      </c>
      <c r="AE2052" s="216">
        <f>+M2052*N2052*O2052/1000</f>
        <v>13440</v>
      </c>
      <c r="AF2052" s="43">
        <f>IF(AD2052="","",VLOOKUP(AD2052,原価マスタ!$A$2:$AJ$1693,13,FALSE))</f>
        <v>96</v>
      </c>
      <c r="AG2052" s="47">
        <f>IF(AF2052="","",+AE2052*AF2052/100)</f>
        <v>12902.4</v>
      </c>
      <c r="AH2052" s="30"/>
      <c r="AI2052" s="30"/>
      <c r="AJ2052" s="30"/>
      <c r="AK2052" s="30"/>
      <c r="AL2052" s="13"/>
      <c r="AM2052" s="13"/>
      <c r="AN2052" s="13"/>
      <c r="AO2052" s="13"/>
      <c r="AP2052" s="13"/>
      <c r="AQ2052" s="14"/>
      <c r="AR2052" s="15"/>
    </row>
    <row r="2053" spans="1:44" s="17" customFormat="1" ht="30.95" hidden="1" customHeight="1" x14ac:dyDescent="0.2">
      <c r="A2053" s="343"/>
      <c r="B2053" s="344"/>
      <c r="C2053" s="345"/>
      <c r="D2053" s="398"/>
      <c r="E2053" s="31"/>
      <c r="F2053" s="268"/>
      <c r="G2053" s="269"/>
      <c r="H2053" s="269"/>
      <c r="I2053" s="270"/>
      <c r="J2053" s="32"/>
      <c r="K2053" s="270"/>
      <c r="L2053" s="270"/>
      <c r="M2053" s="39"/>
      <c r="N2053" s="39"/>
      <c r="O2053" s="47"/>
      <c r="P2053" s="57"/>
      <c r="Q2053" s="276"/>
      <c r="R2053" s="277"/>
      <c r="S2053" s="277"/>
      <c r="T2053" s="40"/>
      <c r="U2053" s="278"/>
      <c r="V2053" s="269"/>
      <c r="W2053" s="269"/>
      <c r="X2053" s="275"/>
      <c r="Y2053" s="269"/>
      <c r="Z2053" s="357"/>
      <c r="AA2053" s="207"/>
      <c r="AB2053" s="369"/>
      <c r="AC2053" s="370"/>
      <c r="AD2053" s="332"/>
      <c r="AE2053" s="216"/>
      <c r="AF2053" s="43"/>
      <c r="AG2053" s="47"/>
      <c r="AH2053" s="30"/>
      <c r="AI2053" s="30"/>
      <c r="AJ2053" s="30"/>
      <c r="AK2053" s="30"/>
      <c r="AL2053" s="13"/>
      <c r="AM2053" s="13"/>
      <c r="AN2053" s="13"/>
      <c r="AO2053" s="13"/>
      <c r="AP2053" s="13"/>
      <c r="AQ2053" s="14"/>
      <c r="AR2053" s="15"/>
    </row>
    <row r="2054" spans="1:44" s="17" customFormat="1" ht="30.6" hidden="1" customHeight="1" x14ac:dyDescent="0.2">
      <c r="A2054" s="320"/>
      <c r="B2054" s="321"/>
      <c r="C2054" s="345"/>
      <c r="D2054" s="398">
        <v>3778925</v>
      </c>
      <c r="E2054" s="31">
        <v>4155427</v>
      </c>
      <c r="F2054" s="268" t="str">
        <f>IF(D2054="","",VLOOKUP(D2054,契約台帳!$A$3:$K$4986,6,FALSE)&amp;VLOOKUP(D2054,契約台帳!$A$3:$K$4986,7,FALSE)&amp;VLOOKUP(D2054,契約台帳!$A$3:$K$4986,8,FALSE)&amp;VLOOKUP(D2054,契約台帳!$A$3:$K$4986,9,FALSE)&amp;VLOOKUP(D2054,契約台帳!$A$3:$K$4986,11,FALSE))</f>
        <v>3SNMLBMNGKKBF</v>
      </c>
      <c r="G2054" s="269" t="str">
        <f>IF(D2054="","",VLOOKUP(F2054,製品マスタ!$G$5:$H$5002,2,FALSE))</f>
        <v>S</v>
      </c>
      <c r="H2054" s="269" t="str">
        <f>IF(D2054="","",VLOOKUP(F2054,製品マスタ!$G$5:$K$5002,5,FALSE))</f>
        <v>MNGKKBF</v>
      </c>
      <c r="I2054" s="270" t="str">
        <f>IF(D2054="","",VLOOKUP(F2054,製品マスタ!$G$5:$L$5002,6,FALSE))</f>
        <v>メタルミー　ネーマー銀消改　Ｂ</v>
      </c>
      <c r="J2054" s="32" t="s">
        <v>447</v>
      </c>
      <c r="K2054" s="270">
        <f>IF(D2054="","",VLOOKUP(D2054,契約台帳!$A$3:$L$4986,12,FALSE))</f>
        <v>25</v>
      </c>
      <c r="L2054" s="270" t="str">
        <f>IF(D2054="","",INDEX(製品マスタ!$Q$5:$Q$5002,MATCH(F2054&amp;K2054,製品マスタ!$AO$5:$AO$5002,0)))</f>
        <v>FMATS99</v>
      </c>
      <c r="M2054" s="39">
        <v>1120</v>
      </c>
      <c r="N2054" s="39">
        <v>8000</v>
      </c>
      <c r="O2054" s="47">
        <v>1</v>
      </c>
      <c r="P2054" s="57"/>
      <c r="Q2054" s="276">
        <f>IF(D2054="","",IF(J2054="リード付け",M2054,VLOOKUP(D2054,契約台帳!$A$3:$N$4986,14,FALSE)))</f>
        <v>1120</v>
      </c>
      <c r="R2054" s="277">
        <f>IF(D2054="","",IF(J2054="リード付け",M2054,VLOOKUP(D2054,契約台帳!$A$3:$O$4986,15,FALSE)))</f>
        <v>1120</v>
      </c>
      <c r="S2054" s="277">
        <f>IF(D2054="","",IF(J2054="リード付け",N2054,VLOOKUP(D2054,契約台帳!$A$3:$P$4986,16,FALSE)))</f>
        <v>4000</v>
      </c>
      <c r="T2054" s="40">
        <v>2</v>
      </c>
      <c r="U2054" s="278" t="str">
        <f ca="1">IF(D2054="","",IF(OFFSET(D2054,-2,0)=D2054,"",VLOOKUP(D2054,契約台帳!$A$3:$R$4986,18,FALSE)))</f>
        <v/>
      </c>
      <c r="V2054" s="269" t="str">
        <f>IF(J2054="巻返し",VLOOKUP(F2054&amp;K2054&amp;M2054,製品マスタ!$M$5:$AD$5002,18,FALSE),IF(J2054="リード付け","原反コア",IF(J2054="スリット",VLOOKUP(F2054&amp;K2054&amp;Q2054,製品マスタ!$N$5:$AD$5002,17,FALSE),"")))</f>
        <v>6ｲﾝﾁSｺｱ</v>
      </c>
      <c r="W2054" s="269">
        <f>IF(J2054="巻返し",VLOOKUP(F2054&amp;K2054&amp;M2054,製品マスタ!$M$5:$AE$5002,19,FALSE),IF(J2054="リード付け","-",IF(J2054="スリット",VLOOKUP(F2054&amp;K2054&amp;Q2054,製品マスタ!$N$5:$AE$5002,18,FALSE),"")))</f>
        <v>1125</v>
      </c>
      <c r="X2054" s="275">
        <f>IF(D2054="","",VLOOKUP(D2054,契約台帳!$A$3:$Q$4986,17,FALSE))</f>
        <v>2</v>
      </c>
      <c r="Y2054" s="269" t="str">
        <f>IF(D2054="","",VLOOKUP(D2054,契約台帳!$A$3:$E$4986,5,FALSE))</f>
        <v>リンテック㈱</v>
      </c>
      <c r="Z2054" s="357"/>
      <c r="AA2054" s="207"/>
      <c r="AB2054" s="369"/>
      <c r="AC2054" s="370"/>
      <c r="AD2054" s="332" t="str">
        <f>IF(F2054="","",+F2054&amp;K2054)</f>
        <v>3SNMLBMNGKKBF25</v>
      </c>
      <c r="AE2054" s="216">
        <f>+M2054*N2054*O2054/1000</f>
        <v>8960</v>
      </c>
      <c r="AF2054" s="43">
        <f>IF(AD2054="","",VLOOKUP(AD2054,原価マスタ!$A$2:$AJ$1693,13,FALSE))</f>
        <v>96</v>
      </c>
      <c r="AG2054" s="47">
        <f>IF(AF2054="","",+AE2054*AF2054/100)</f>
        <v>8601.6</v>
      </c>
      <c r="AH2054" s="30"/>
      <c r="AI2054" s="30"/>
      <c r="AJ2054" s="30"/>
      <c r="AK2054" s="30"/>
      <c r="AL2054" s="13"/>
      <c r="AM2054" s="13"/>
      <c r="AN2054" s="13"/>
      <c r="AO2054" s="13"/>
      <c r="AP2054" s="13"/>
      <c r="AQ2054" s="14"/>
      <c r="AR2054" s="15"/>
    </row>
    <row r="2055" spans="1:44" s="17" customFormat="1" ht="30.95" hidden="1" customHeight="1" x14ac:dyDescent="0.2">
      <c r="A2055" s="343"/>
      <c r="B2055" s="344"/>
      <c r="C2055" s="345"/>
      <c r="D2055" s="398"/>
      <c r="E2055" s="31"/>
      <c r="F2055" s="268"/>
      <c r="G2055" s="269"/>
      <c r="H2055" s="269"/>
      <c r="I2055" s="270"/>
      <c r="J2055" s="32"/>
      <c r="K2055" s="270"/>
      <c r="L2055" s="270"/>
      <c r="M2055" s="39"/>
      <c r="N2055" s="39"/>
      <c r="O2055" s="47"/>
      <c r="P2055" s="57"/>
      <c r="Q2055" s="276"/>
      <c r="R2055" s="277"/>
      <c r="S2055" s="277"/>
      <c r="T2055" s="40"/>
      <c r="U2055" s="278"/>
      <c r="V2055" s="269"/>
      <c r="W2055" s="269"/>
      <c r="X2055" s="275"/>
      <c r="Y2055" s="269"/>
      <c r="Z2055" s="357"/>
      <c r="AA2055" s="207"/>
      <c r="AB2055" s="369"/>
      <c r="AC2055" s="370"/>
      <c r="AD2055" s="332"/>
      <c r="AE2055" s="216"/>
      <c r="AF2055" s="43"/>
      <c r="AG2055" s="47"/>
      <c r="AH2055" s="30"/>
      <c r="AI2055" s="30"/>
      <c r="AJ2055" s="30"/>
      <c r="AK2055" s="30"/>
      <c r="AL2055" s="13"/>
      <c r="AM2055" s="13"/>
      <c r="AN2055" s="13"/>
      <c r="AO2055" s="13"/>
      <c r="AP2055" s="13"/>
      <c r="AQ2055" s="14"/>
      <c r="AR2055" s="15"/>
    </row>
    <row r="2056" spans="1:44" s="17" customFormat="1" ht="30.6" hidden="1" customHeight="1" x14ac:dyDescent="0.2">
      <c r="A2056" s="320"/>
      <c r="B2056" s="321"/>
      <c r="C2056" s="345"/>
      <c r="D2056" s="398">
        <v>3778929</v>
      </c>
      <c r="E2056" s="31">
        <v>4155285</v>
      </c>
      <c r="F2056" s="268" t="str">
        <f>IF(D2056="","",VLOOKUP(D2056,契約台帳!$A$3:$K$4986,6,FALSE)&amp;VLOOKUP(D2056,契約台帳!$A$3:$K$4986,7,FALSE)&amp;VLOOKUP(D2056,契約台帳!$A$3:$K$4986,8,FALSE)&amp;VLOOKUP(D2056,契約台帳!$A$3:$K$4986,9,FALSE)&amp;VLOOKUP(D2056,契約台帳!$A$3:$K$4986,11,FALSE))</f>
        <v>3SNMLBMNGKBF</v>
      </c>
      <c r="G2056" s="269" t="str">
        <f>IF(D2056="","",VLOOKUP(F2056,製品マスタ!$G$5:$H$5002,2,FALSE))</f>
        <v>S</v>
      </c>
      <c r="H2056" s="269" t="str">
        <f>IF(D2056="","",VLOOKUP(F2056,製品マスタ!$G$5:$K$5002,5,FALSE))</f>
        <v>MNGKBF</v>
      </c>
      <c r="I2056" s="270" t="str">
        <f>IF(D2056="","",VLOOKUP(F2056,製品マスタ!$G$5:$L$5002,6,FALSE))</f>
        <v>メタルミー　ネーマー銀消　Ｂ</v>
      </c>
      <c r="J2056" s="32" t="s">
        <v>447</v>
      </c>
      <c r="K2056" s="270">
        <f>IF(D2056="","",VLOOKUP(D2056,契約台帳!$A$3:$L$4986,12,FALSE))</f>
        <v>50</v>
      </c>
      <c r="L2056" s="270" t="str">
        <f>IF(D2056="","",INDEX(製品マスタ!$Q$5:$Q$5002,MATCH(F2056&amp;K2056,製品マスタ!$AO$5:$AO$5002,0)))</f>
        <v>MAT</v>
      </c>
      <c r="M2056" s="39">
        <v>1050</v>
      </c>
      <c r="N2056" s="39">
        <v>12300</v>
      </c>
      <c r="O2056" s="47">
        <v>1</v>
      </c>
      <c r="P2056" s="57"/>
      <c r="Q2056" s="276">
        <f>IF(D2056="","",IF(J2056="リード付け",M2056,VLOOKUP(D2056,契約台帳!$A$3:$N$4986,14,FALSE)))</f>
        <v>1050</v>
      </c>
      <c r="R2056" s="277">
        <f>IF(D2056="","",IF(J2056="リード付け",M2056,VLOOKUP(D2056,契約台帳!$A$3:$O$4986,15,FALSE)))</f>
        <v>1050</v>
      </c>
      <c r="S2056" s="277">
        <f>IF(D2056="","",IF(J2056="リード付け",N2056,VLOOKUP(D2056,契約台帳!$A$3:$P$4986,16,FALSE)))</f>
        <v>4100</v>
      </c>
      <c r="T2056" s="40">
        <v>3</v>
      </c>
      <c r="U2056" s="278">
        <f ca="1">IF(D2056="","",IF(OFFSET(D2056,-2,0)=D2056,"",VLOOKUP(D2056,契約台帳!$A$3:$R$4986,18,FALSE)))</f>
        <v>3</v>
      </c>
      <c r="V2056" s="269" t="str">
        <f>IF(J2056="巻返し",VLOOKUP(F2056&amp;K2056&amp;M2056,製品マスタ!$M$5:$AD$5002,18,FALSE),IF(J2056="リード付け","原反コア",IF(J2056="スリット",VLOOKUP(F2056&amp;K2056&amp;Q2056,製品マスタ!$N$5:$AD$5002,17,FALSE),"")))</f>
        <v>6ｲﾝﾁSｺｱ</v>
      </c>
      <c r="W2056" s="269">
        <f>IF(J2056="巻返し",VLOOKUP(F2056&amp;K2056&amp;M2056,製品マスタ!$M$5:$AE$5002,19,FALSE),IF(J2056="リード付け","-",IF(J2056="スリット",VLOOKUP(F2056&amp;K2056&amp;Q2056,製品マスタ!$N$5:$AE$5002,18,FALSE),"")))</f>
        <v>1055</v>
      </c>
      <c r="X2056" s="275">
        <f>IF(D2056="","",VLOOKUP(D2056,契約台帳!$A$3:$Q$4986,17,FALSE))</f>
        <v>2</v>
      </c>
      <c r="Y2056" s="269" t="str">
        <f>IF(D2056="","",VLOOKUP(D2056,契約台帳!$A$3:$E$4986,5,FALSE))</f>
        <v>リンテック㈱</v>
      </c>
      <c r="Z2056" s="357"/>
      <c r="AA2056" s="207"/>
      <c r="AB2056" s="369"/>
      <c r="AC2056" s="370"/>
      <c r="AD2056" s="332" t="str">
        <f>IF(F2056="","",+F2056&amp;K2056)</f>
        <v>3SNMLBMNGKBF50</v>
      </c>
      <c r="AE2056" s="216">
        <f>+M2056*N2056*O2056/1000</f>
        <v>12915</v>
      </c>
      <c r="AF2056" s="43">
        <f>IF(AD2056="","",VLOOKUP(AD2056,原価マスタ!$A$2:$AJ$1693,13,FALSE))</f>
        <v>98</v>
      </c>
      <c r="AG2056" s="47">
        <f>IF(AF2056="","",+AE2056*AF2056/100)</f>
        <v>12656.7</v>
      </c>
      <c r="AH2056" s="30"/>
      <c r="AI2056" s="30"/>
      <c r="AJ2056" s="30"/>
      <c r="AK2056" s="30"/>
      <c r="AL2056" s="13"/>
      <c r="AM2056" s="13"/>
      <c r="AN2056" s="13"/>
      <c r="AO2056" s="13"/>
      <c r="AP2056" s="13"/>
      <c r="AQ2056" s="14"/>
      <c r="AR2056" s="15"/>
    </row>
    <row r="2057" spans="1:44" s="17" customFormat="1" ht="30.95" hidden="1" customHeight="1" x14ac:dyDescent="0.2">
      <c r="A2057" s="343"/>
      <c r="B2057" s="344"/>
      <c r="C2057" s="345"/>
      <c r="D2057" s="398"/>
      <c r="E2057" s="31"/>
      <c r="F2057" s="268"/>
      <c r="G2057" s="269"/>
      <c r="H2057" s="269"/>
      <c r="I2057" s="270"/>
      <c r="J2057" s="32"/>
      <c r="K2057" s="270"/>
      <c r="L2057" s="270"/>
      <c r="M2057" s="39"/>
      <c r="N2057" s="39"/>
      <c r="O2057" s="47"/>
      <c r="P2057" s="57"/>
      <c r="Q2057" s="276"/>
      <c r="R2057" s="277"/>
      <c r="S2057" s="277"/>
      <c r="T2057" s="40"/>
      <c r="U2057" s="278"/>
      <c r="V2057" s="269"/>
      <c r="W2057" s="269"/>
      <c r="X2057" s="275"/>
      <c r="Y2057" s="269"/>
      <c r="Z2057" s="357"/>
      <c r="AA2057" s="207"/>
      <c r="AB2057" s="369"/>
      <c r="AC2057" s="370"/>
      <c r="AD2057" s="332"/>
      <c r="AE2057" s="216"/>
      <c r="AF2057" s="43"/>
      <c r="AG2057" s="47"/>
      <c r="AH2057" s="30"/>
      <c r="AI2057" s="30"/>
      <c r="AJ2057" s="30"/>
      <c r="AK2057" s="30"/>
      <c r="AL2057" s="13"/>
      <c r="AM2057" s="13"/>
      <c r="AN2057" s="13"/>
      <c r="AO2057" s="13"/>
      <c r="AP2057" s="13"/>
      <c r="AQ2057" s="14"/>
      <c r="AR2057" s="15"/>
    </row>
    <row r="2058" spans="1:44" s="17" customFormat="1" ht="30.6" hidden="1" customHeight="1" x14ac:dyDescent="0.2">
      <c r="A2058" s="320" t="s">
        <v>3268</v>
      </c>
      <c r="B2058" s="321" t="s">
        <v>3269</v>
      </c>
      <c r="C2058" s="345"/>
      <c r="D2058" s="398">
        <v>3778928</v>
      </c>
      <c r="E2058" s="31">
        <v>4155284</v>
      </c>
      <c r="F2058" s="268" t="str">
        <f>IF(D2058="","",VLOOKUP(D2058,契約台帳!$A$3:$K$4986,6,FALSE)&amp;VLOOKUP(D2058,契約台帳!$A$3:$K$4986,7,FALSE)&amp;VLOOKUP(D2058,契約台帳!$A$3:$K$4986,8,FALSE)&amp;VLOOKUP(D2058,契約台帳!$A$3:$K$4986,9,FALSE)&amp;VLOOKUP(D2058,契約台帳!$A$3:$K$4986,11,FALSE))</f>
        <v>3SNMLBMNGKBF</v>
      </c>
      <c r="G2058" s="269" t="str">
        <f>IF(D2058="","",VLOOKUP(F2058,製品マスタ!$G$5:$H$5002,2,FALSE))</f>
        <v>S</v>
      </c>
      <c r="H2058" s="269" t="str">
        <f>IF(D2058="","",VLOOKUP(F2058,製品マスタ!$G$5:$K$5002,5,FALSE))</f>
        <v>MNGKBF</v>
      </c>
      <c r="I2058" s="270" t="str">
        <f>IF(D2058="","",VLOOKUP(F2058,製品マスタ!$G$5:$L$5002,6,FALSE))</f>
        <v>メタルミー　ネーマー銀消　Ｂ</v>
      </c>
      <c r="J2058" s="32" t="s">
        <v>447</v>
      </c>
      <c r="K2058" s="270">
        <f>IF(D2058="","",VLOOKUP(D2058,契約台帳!$A$3:$L$4986,12,FALSE))</f>
        <v>38</v>
      </c>
      <c r="L2058" s="270" t="str">
        <f>IF(D2058="","",INDEX(製品マスタ!$Q$5:$Q$5002,MATCH(F2058&amp;K2058,製品マスタ!$AO$5:$AO$5002,0)))</f>
        <v>LUMIMAT</v>
      </c>
      <c r="M2058" s="39">
        <v>1005</v>
      </c>
      <c r="N2058" s="39">
        <v>8200</v>
      </c>
      <c r="O2058" s="47">
        <v>1</v>
      </c>
      <c r="P2058" s="57"/>
      <c r="Q2058" s="276">
        <f>IF(D2058="","",IF(J2058="リード付け",M2058,VLOOKUP(D2058,契約台帳!$A$3:$N$4986,14,FALSE)))</f>
        <v>1005</v>
      </c>
      <c r="R2058" s="277">
        <f>IF(D2058="","",IF(J2058="リード付け",M2058,VLOOKUP(D2058,契約台帳!$A$3:$O$4986,15,FALSE)))</f>
        <v>1000</v>
      </c>
      <c r="S2058" s="277">
        <f>IF(D2058="","",IF(J2058="リード付け",N2058,VLOOKUP(D2058,契約台帳!$A$3:$P$4986,16,FALSE)))</f>
        <v>4100</v>
      </c>
      <c r="T2058" s="40">
        <v>2</v>
      </c>
      <c r="U2058" s="278">
        <f ca="1">IF(D2058="","",IF(OFFSET(D2058,-2,0)=D2058,"",VLOOKUP(D2058,契約台帳!$A$3:$R$4986,18,FALSE)))</f>
        <v>2</v>
      </c>
      <c r="V2058" s="269" t="str">
        <f>IF(J2058="巻返し",VLOOKUP(F2058&amp;K2058&amp;M2058,製品マスタ!$M$5:$AD$5002,18,FALSE),IF(J2058="リード付け","原反コア",IF(J2058="スリット",VLOOKUP(F2058&amp;K2058&amp;Q2058,製品マスタ!$N$5:$AD$5002,17,FALSE),"")))</f>
        <v>6ｲﾝﾁSｺｱ</v>
      </c>
      <c r="W2058" s="269">
        <f>IF(J2058="巻返し",VLOOKUP(F2058&amp;K2058&amp;M2058,製品マスタ!$M$5:$AE$5002,19,FALSE),IF(J2058="リード付け","-",IF(J2058="スリット",VLOOKUP(F2058&amp;K2058&amp;Q2058,製品マスタ!$N$5:$AE$5002,18,FALSE),"")))</f>
        <v>1015</v>
      </c>
      <c r="X2058" s="275">
        <f>IF(D2058="","",VLOOKUP(D2058,契約台帳!$A$3:$Q$4986,17,FALSE))</f>
        <v>2</v>
      </c>
      <c r="Y2058" s="269" t="str">
        <f>IF(D2058="","",VLOOKUP(D2058,契約台帳!$A$3:$E$4986,5,FALSE))</f>
        <v>リンテック㈱</v>
      </c>
      <c r="Z2058" s="357"/>
      <c r="AA2058" s="207"/>
      <c r="AB2058" s="369"/>
      <c r="AC2058" s="370"/>
      <c r="AD2058" s="332" t="str">
        <f>IF(F2058="","",+F2058&amp;K2058)</f>
        <v>3SNMLBMNGKBF38</v>
      </c>
      <c r="AE2058" s="216">
        <f>+M2058*N2058*O2058/1000</f>
        <v>8241</v>
      </c>
      <c r="AF2058" s="43">
        <f>IF(AD2058="","",VLOOKUP(AD2058,原価マスタ!$A$2:$AJ$1693,13,FALSE))</f>
        <v>97.2</v>
      </c>
      <c r="AG2058" s="47">
        <f>IF(AF2058="","",+AE2058*AF2058/100)</f>
        <v>8010.2520000000004</v>
      </c>
      <c r="AH2058" s="30"/>
      <c r="AI2058" s="30"/>
      <c r="AJ2058" s="30"/>
      <c r="AK2058" s="30"/>
      <c r="AL2058" s="13"/>
      <c r="AM2058" s="13"/>
      <c r="AN2058" s="13"/>
      <c r="AO2058" s="13"/>
      <c r="AP2058" s="13"/>
      <c r="AQ2058" s="14"/>
      <c r="AR2058" s="15"/>
    </row>
    <row r="2059" spans="1:44" s="17" customFormat="1" ht="30.95" hidden="1" customHeight="1" x14ac:dyDescent="0.2">
      <c r="A2059" s="343"/>
      <c r="B2059" s="344"/>
      <c r="C2059" s="345"/>
      <c r="D2059" s="398"/>
      <c r="E2059" s="31"/>
      <c r="F2059" s="268"/>
      <c r="G2059" s="269"/>
      <c r="H2059" s="269"/>
      <c r="I2059" s="270"/>
      <c r="J2059" s="32"/>
      <c r="K2059" s="270"/>
      <c r="L2059" s="270"/>
      <c r="M2059" s="39"/>
      <c r="N2059" s="39"/>
      <c r="O2059" s="47"/>
      <c r="P2059" s="57"/>
      <c r="Q2059" s="276"/>
      <c r="R2059" s="277"/>
      <c r="S2059" s="277"/>
      <c r="T2059" s="40"/>
      <c r="U2059" s="278"/>
      <c r="V2059" s="269"/>
      <c r="W2059" s="269"/>
      <c r="X2059" s="275"/>
      <c r="Y2059" s="269"/>
      <c r="Z2059" s="357"/>
      <c r="AA2059" s="207"/>
      <c r="AB2059" s="369"/>
      <c r="AC2059" s="370"/>
      <c r="AD2059" s="332"/>
      <c r="AE2059" s="216"/>
      <c r="AF2059" s="43"/>
      <c r="AG2059" s="47"/>
      <c r="AH2059" s="30"/>
      <c r="AI2059" s="30"/>
      <c r="AJ2059" s="30"/>
      <c r="AK2059" s="30"/>
      <c r="AL2059" s="13"/>
      <c r="AM2059" s="13"/>
      <c r="AN2059" s="13"/>
      <c r="AO2059" s="13"/>
      <c r="AP2059" s="13"/>
      <c r="AQ2059" s="14"/>
      <c r="AR2059" s="15"/>
    </row>
    <row r="2060" spans="1:44" s="17" customFormat="1" ht="30.6" hidden="1" customHeight="1" x14ac:dyDescent="0.2">
      <c r="A2060" s="320"/>
      <c r="B2060" s="321"/>
      <c r="C2060" s="345"/>
      <c r="D2060" s="398">
        <v>3778924</v>
      </c>
      <c r="E2060" s="31">
        <v>4155426</v>
      </c>
      <c r="F2060" s="268" t="str">
        <f>IF(D2060="","",VLOOKUP(D2060,契約台帳!$A$3:$K$4986,6,FALSE)&amp;VLOOKUP(D2060,契約台帳!$A$3:$K$4986,7,FALSE)&amp;VLOOKUP(D2060,契約台帳!$A$3:$K$4986,8,FALSE)&amp;VLOOKUP(D2060,契約台帳!$A$3:$K$4986,9,FALSE)&amp;VLOOKUP(D2060,契約台帳!$A$3:$K$4986,11,FALSE))</f>
        <v>3SNMLBMNGKKBF</v>
      </c>
      <c r="G2060" s="269" t="str">
        <f>IF(D2060="","",VLOOKUP(F2060,製品マスタ!$G$5:$H$5002,2,FALSE))</f>
        <v>S</v>
      </c>
      <c r="H2060" s="269" t="str">
        <f>IF(D2060="","",VLOOKUP(F2060,製品マスタ!$G$5:$K$5002,5,FALSE))</f>
        <v>MNGKKBF</v>
      </c>
      <c r="I2060" s="270" t="str">
        <f>IF(D2060="","",VLOOKUP(F2060,製品マスタ!$G$5:$L$5002,6,FALSE))</f>
        <v>メタルミー　ネーマー銀消改　Ｂ</v>
      </c>
      <c r="J2060" s="32" t="s">
        <v>447</v>
      </c>
      <c r="K2060" s="270">
        <f>IF(D2060="","",VLOOKUP(D2060,契約台帳!$A$3:$L$4986,12,FALSE))</f>
        <v>25</v>
      </c>
      <c r="L2060" s="270" t="str">
        <f>IF(D2060="","",INDEX(製品マスタ!$Q$5:$Q$5002,MATCH(F2060&amp;K2060,製品マスタ!$AO$5:$AO$5002,0)))</f>
        <v>FMATS99</v>
      </c>
      <c r="M2060" s="39">
        <v>1000</v>
      </c>
      <c r="N2060" s="39">
        <v>12000</v>
      </c>
      <c r="O2060" s="47">
        <v>1</v>
      </c>
      <c r="P2060" s="57"/>
      <c r="Q2060" s="276">
        <f>IF(D2060="","",IF(J2060="リード付け",M2060,VLOOKUP(D2060,契約台帳!$A$3:$N$4986,14,FALSE)))</f>
        <v>1000</v>
      </c>
      <c r="R2060" s="277">
        <f>IF(D2060="","",IF(J2060="リード付け",M2060,VLOOKUP(D2060,契約台帳!$A$3:$O$4986,15,FALSE)))</f>
        <v>1000</v>
      </c>
      <c r="S2060" s="277">
        <f>IF(D2060="","",IF(J2060="リード付け",N2060,VLOOKUP(D2060,契約台帳!$A$3:$P$4986,16,FALSE)))</f>
        <v>4000</v>
      </c>
      <c r="T2060" s="40">
        <v>3</v>
      </c>
      <c r="U2060" s="278">
        <f ca="1">IF(D2060="","",IF(OFFSET(D2060,-2,0)=D2060,"",VLOOKUP(D2060,契約台帳!$A$3:$R$4986,18,FALSE)))</f>
        <v>3</v>
      </c>
      <c r="V2060" s="269" t="str">
        <f>IF(J2060="巻返し",VLOOKUP(F2060&amp;K2060&amp;M2060,製品マスタ!$M$5:$AD$5002,18,FALSE),IF(J2060="リード付け","原反コア",IF(J2060="スリット",VLOOKUP(F2060&amp;K2060&amp;Q2060,製品マスタ!$N$5:$AD$5002,17,FALSE),"")))</f>
        <v>6ｲﾝﾁSｺｱ</v>
      </c>
      <c r="W2060" s="269">
        <f>IF(J2060="巻返し",VLOOKUP(F2060&amp;K2060&amp;M2060,製品マスタ!$M$5:$AE$5002,19,FALSE),IF(J2060="リード付け","-",IF(J2060="スリット",VLOOKUP(F2060&amp;K2060&amp;Q2060,製品マスタ!$N$5:$AE$5002,18,FALSE),"")))</f>
        <v>1005</v>
      </c>
      <c r="X2060" s="275">
        <f>IF(D2060="","",VLOOKUP(D2060,契約台帳!$A$3:$Q$4986,17,FALSE))</f>
        <v>2</v>
      </c>
      <c r="Y2060" s="269" t="str">
        <f>IF(D2060="","",VLOOKUP(D2060,契約台帳!$A$3:$E$4986,5,FALSE))</f>
        <v>リンテック㈱</v>
      </c>
      <c r="Z2060" s="357"/>
      <c r="AA2060" s="207"/>
      <c r="AB2060" s="369"/>
      <c r="AC2060" s="370"/>
      <c r="AD2060" s="332" t="str">
        <f>IF(F2060="","",+F2060&amp;K2060)</f>
        <v>3SNMLBMNGKKBF25</v>
      </c>
      <c r="AE2060" s="216">
        <f>+M2060*N2060*O2060/1000</f>
        <v>12000</v>
      </c>
      <c r="AF2060" s="43">
        <f>IF(AD2060="","",VLOOKUP(AD2060,原価マスタ!$A$2:$AJ$1693,13,FALSE))</f>
        <v>96</v>
      </c>
      <c r="AG2060" s="47">
        <f>IF(AF2060="","",+AE2060*AF2060/100)</f>
        <v>11520</v>
      </c>
      <c r="AH2060" s="30"/>
      <c r="AI2060" s="30"/>
      <c r="AJ2060" s="30"/>
      <c r="AK2060" s="30"/>
      <c r="AL2060" s="13"/>
      <c r="AM2060" s="13"/>
      <c r="AN2060" s="13"/>
      <c r="AO2060" s="13"/>
      <c r="AP2060" s="13"/>
      <c r="AQ2060" s="14"/>
      <c r="AR2060" s="15"/>
    </row>
    <row r="2061" spans="1:44" s="17" customFormat="1" ht="30.95" hidden="1" customHeight="1" x14ac:dyDescent="0.2">
      <c r="A2061" s="343"/>
      <c r="B2061" s="344"/>
      <c r="C2061" s="345"/>
      <c r="D2061" s="398"/>
      <c r="E2061" s="31"/>
      <c r="F2061" s="268"/>
      <c r="G2061" s="269"/>
      <c r="H2061" s="269"/>
      <c r="I2061" s="270"/>
      <c r="J2061" s="32"/>
      <c r="K2061" s="270"/>
      <c r="L2061" s="270"/>
      <c r="M2061" s="39"/>
      <c r="N2061" s="39"/>
      <c r="O2061" s="47"/>
      <c r="P2061" s="57"/>
      <c r="Q2061" s="276"/>
      <c r="R2061" s="277"/>
      <c r="S2061" s="277"/>
      <c r="T2061" s="40"/>
      <c r="U2061" s="278"/>
      <c r="V2061" s="269"/>
      <c r="W2061" s="269"/>
      <c r="X2061" s="275"/>
      <c r="Y2061" s="269"/>
      <c r="Z2061" s="357"/>
      <c r="AA2061" s="207"/>
      <c r="AB2061" s="369"/>
      <c r="AC2061" s="370"/>
      <c r="AD2061" s="332"/>
      <c r="AE2061" s="216"/>
      <c r="AF2061" s="43"/>
      <c r="AG2061" s="47"/>
      <c r="AH2061" s="30"/>
      <c r="AI2061" s="30"/>
      <c r="AJ2061" s="30"/>
      <c r="AK2061" s="30"/>
      <c r="AL2061" s="13"/>
      <c r="AM2061" s="13"/>
      <c r="AN2061" s="13"/>
      <c r="AO2061" s="13"/>
      <c r="AP2061" s="13"/>
      <c r="AQ2061" s="14"/>
      <c r="AR2061" s="15"/>
    </row>
    <row r="2062" spans="1:44" s="17" customFormat="1" ht="30.6" hidden="1" customHeight="1" x14ac:dyDescent="0.2">
      <c r="A2062" s="320"/>
      <c r="B2062" s="321"/>
      <c r="C2062" s="345"/>
      <c r="D2062" s="398">
        <v>3778935</v>
      </c>
      <c r="E2062" s="31">
        <v>4155293</v>
      </c>
      <c r="F2062" s="268" t="str">
        <f>IF(D2062="","",VLOOKUP(D2062,契約台帳!$A$3:$K$4986,6,FALSE)&amp;VLOOKUP(D2062,契約台帳!$A$3:$K$4986,7,FALSE)&amp;VLOOKUP(D2062,契約台帳!$A$3:$K$4986,8,FALSE)&amp;VLOOKUP(D2062,契約台帳!$A$3:$K$4986,9,FALSE)&amp;VLOOKUP(D2062,契約台帳!$A$3:$K$4986,11,FALSE))</f>
        <v>3SNMLBMNGTBF</v>
      </c>
      <c r="G2062" s="269" t="str">
        <f>IF(D2062="","",VLOOKUP(F2062,製品マスタ!$G$5:$H$5002,2,FALSE))</f>
        <v>S</v>
      </c>
      <c r="H2062" s="269" t="str">
        <f>IF(D2062="","",VLOOKUP(F2062,製品マスタ!$G$5:$K$5002,5,FALSE))</f>
        <v>MNGTBF</v>
      </c>
      <c r="I2062" s="270" t="str">
        <f>IF(D2062="","",VLOOKUP(F2062,製品マスタ!$G$5:$L$5002,6,FALSE))</f>
        <v>メタルミー　ネーマー　銀艶　Ｂ</v>
      </c>
      <c r="J2062" s="32" t="s">
        <v>447</v>
      </c>
      <c r="K2062" s="270">
        <f>IF(D2062="","",VLOOKUP(D2062,契約台帳!$A$3:$L$4986,12,FALSE))</f>
        <v>50</v>
      </c>
      <c r="L2062" s="270" t="str">
        <f>IF(D2062="","",INDEX(製品マスタ!$Q$5:$Q$5002,MATCH(F2062&amp;K2062,製品マスタ!$AO$5:$AO$5002,0)))</f>
        <v>T62</v>
      </c>
      <c r="M2062" s="39">
        <v>1120</v>
      </c>
      <c r="N2062" s="39">
        <v>10000</v>
      </c>
      <c r="O2062" s="47">
        <v>3</v>
      </c>
      <c r="P2062" s="57"/>
      <c r="Q2062" s="276">
        <f>IF(D2062="","",IF(J2062="リード付け",M2062,VLOOKUP(D2062,契約台帳!$A$3:$N$4986,14,FALSE)))</f>
        <v>1120</v>
      </c>
      <c r="R2062" s="277">
        <f>IF(D2062="","",IF(J2062="リード付け",M2062,VLOOKUP(D2062,契約台帳!$A$3:$O$4986,15,FALSE)))</f>
        <v>1120</v>
      </c>
      <c r="S2062" s="277">
        <f>IF(D2062="","",IF(J2062="リード付け",N2062,VLOOKUP(D2062,契約台帳!$A$3:$P$4986,16,FALSE)))</f>
        <v>5000</v>
      </c>
      <c r="T2062" s="40">
        <v>6</v>
      </c>
      <c r="U2062" s="278">
        <f ca="1">IF(D2062="","",IF(OFFSET(D2062,-2,0)=D2062,"",VLOOKUP(D2062,契約台帳!$A$3:$R$4986,18,FALSE)))</f>
        <v>24</v>
      </c>
      <c r="V2062" s="269" t="str">
        <f>IF(J2062="巻返し",VLOOKUP(F2062&amp;K2062&amp;M2062,製品マスタ!$M$5:$AD$5002,18,FALSE),IF(J2062="リード付け","原反コア",IF(J2062="スリット",VLOOKUP(F2062&amp;K2062&amp;Q2062,製品マスタ!$N$5:$AD$5002,17,FALSE),"")))</f>
        <v>6ｲﾝﾁSｺｱ</v>
      </c>
      <c r="W2062" s="269">
        <f>IF(J2062="巻返し",VLOOKUP(F2062&amp;K2062&amp;M2062,製品マスタ!$M$5:$AE$5002,19,FALSE),IF(J2062="リード付け","-",IF(J2062="スリット",VLOOKUP(F2062&amp;K2062&amp;Q2062,製品マスタ!$N$5:$AE$5002,18,FALSE),"")))</f>
        <v>1125</v>
      </c>
      <c r="X2062" s="275">
        <f>IF(D2062="","",VLOOKUP(D2062,契約台帳!$A$3:$Q$4986,17,FALSE))</f>
        <v>2</v>
      </c>
      <c r="Y2062" s="269" t="str">
        <f>IF(D2062="","",VLOOKUP(D2062,契約台帳!$A$3:$E$4986,5,FALSE))</f>
        <v>リンテック㈱</v>
      </c>
      <c r="Z2062" s="357"/>
      <c r="AA2062" s="207"/>
      <c r="AB2062" s="369"/>
      <c r="AC2062" s="370"/>
      <c r="AD2062" s="332" t="str">
        <f>IF(F2062="","",+F2062&amp;K2062)</f>
        <v>3SNMLBMNGTBF50</v>
      </c>
      <c r="AE2062" s="216">
        <f>+M2062*N2062*O2062/1000</f>
        <v>33600</v>
      </c>
      <c r="AF2062" s="43">
        <f>IF(AD2062="","",VLOOKUP(AD2062,原価マスタ!$A$2:$AJ$1693,13,FALSE))</f>
        <v>99</v>
      </c>
      <c r="AG2062" s="47">
        <f>IF(AF2062="","",+AE2062*AF2062/100)</f>
        <v>33264</v>
      </c>
      <c r="AH2062" s="30"/>
      <c r="AI2062" s="30"/>
      <c r="AJ2062" s="30"/>
      <c r="AK2062" s="30"/>
      <c r="AL2062" s="13"/>
      <c r="AM2062" s="13"/>
      <c r="AN2062" s="13"/>
      <c r="AO2062" s="13"/>
      <c r="AP2062" s="13"/>
      <c r="AQ2062" s="14"/>
      <c r="AR2062" s="15"/>
    </row>
    <row r="2063" spans="1:44" s="17" customFormat="1" ht="30.95" hidden="1" customHeight="1" x14ac:dyDescent="0.2">
      <c r="A2063" s="343"/>
      <c r="B2063" s="344"/>
      <c r="C2063" s="345"/>
      <c r="D2063" s="398"/>
      <c r="E2063" s="31"/>
      <c r="F2063" s="268"/>
      <c r="G2063" s="269"/>
      <c r="H2063" s="269"/>
      <c r="I2063" s="270"/>
      <c r="J2063" s="32"/>
      <c r="K2063" s="270"/>
      <c r="L2063" s="270"/>
      <c r="M2063" s="39"/>
      <c r="N2063" s="39"/>
      <c r="O2063" s="47"/>
      <c r="P2063" s="57"/>
      <c r="Q2063" s="276"/>
      <c r="R2063" s="277"/>
      <c r="S2063" s="277"/>
      <c r="T2063" s="40"/>
      <c r="U2063" s="278"/>
      <c r="V2063" s="269"/>
      <c r="W2063" s="269"/>
      <c r="X2063" s="275"/>
      <c r="Y2063" s="269"/>
      <c r="Z2063" s="357"/>
      <c r="AA2063" s="207"/>
      <c r="AB2063" s="369"/>
      <c r="AC2063" s="370"/>
      <c r="AD2063" s="332"/>
      <c r="AE2063" s="216"/>
      <c r="AF2063" s="43"/>
      <c r="AG2063" s="47"/>
      <c r="AH2063" s="30"/>
      <c r="AI2063" s="30"/>
      <c r="AJ2063" s="30"/>
      <c r="AK2063" s="30"/>
      <c r="AL2063" s="13"/>
      <c r="AM2063" s="13"/>
      <c r="AN2063" s="13"/>
      <c r="AO2063" s="13"/>
      <c r="AP2063" s="13"/>
      <c r="AQ2063" s="14"/>
      <c r="AR2063" s="15"/>
    </row>
    <row r="2064" spans="1:44" s="17" customFormat="1" ht="30.6" hidden="1" customHeight="1" x14ac:dyDescent="0.2">
      <c r="A2064" s="320" t="s">
        <v>3270</v>
      </c>
      <c r="B2064" s="321" t="s">
        <v>442</v>
      </c>
      <c r="C2064" s="345"/>
      <c r="D2064" s="398">
        <v>3778935</v>
      </c>
      <c r="E2064" s="31">
        <v>4155293</v>
      </c>
      <c r="F2064" s="268" t="str">
        <f>IF(D2064="","",VLOOKUP(D2064,契約台帳!$A$3:$K$4986,6,FALSE)&amp;VLOOKUP(D2064,契約台帳!$A$3:$K$4986,7,FALSE)&amp;VLOOKUP(D2064,契約台帳!$A$3:$K$4986,8,FALSE)&amp;VLOOKUP(D2064,契約台帳!$A$3:$K$4986,9,FALSE)&amp;VLOOKUP(D2064,契約台帳!$A$3:$K$4986,11,FALSE))</f>
        <v>3SNMLBMNGTBF</v>
      </c>
      <c r="G2064" s="269" t="str">
        <f>IF(D2064="","",VLOOKUP(F2064,製品マスタ!$G$5:$H$5002,2,FALSE))</f>
        <v>S</v>
      </c>
      <c r="H2064" s="269" t="str">
        <f>IF(D2064="","",VLOOKUP(F2064,製品マスタ!$G$5:$K$5002,5,FALSE))</f>
        <v>MNGTBF</v>
      </c>
      <c r="I2064" s="270" t="str">
        <f>IF(D2064="","",VLOOKUP(F2064,製品マスタ!$G$5:$L$5002,6,FALSE))</f>
        <v>メタルミー　ネーマー　銀艶　Ｂ</v>
      </c>
      <c r="J2064" s="32" t="s">
        <v>447</v>
      </c>
      <c r="K2064" s="270">
        <f>IF(D2064="","",VLOOKUP(D2064,契約台帳!$A$3:$L$4986,12,FALSE))</f>
        <v>50</v>
      </c>
      <c r="L2064" s="270" t="str">
        <f>IF(D2064="","",INDEX(製品マスタ!$Q$5:$Q$5002,MATCH(F2064&amp;K2064,製品マスタ!$AO$5:$AO$5002,0)))</f>
        <v>T62</v>
      </c>
      <c r="M2064" s="39">
        <v>1120</v>
      </c>
      <c r="N2064" s="39">
        <v>10000</v>
      </c>
      <c r="O2064" s="47">
        <v>6</v>
      </c>
      <c r="P2064" s="57"/>
      <c r="Q2064" s="276">
        <f>IF(D2064="","",IF(J2064="リード付け",M2064,VLOOKUP(D2064,契約台帳!$A$3:$N$4986,14,FALSE)))</f>
        <v>1120</v>
      </c>
      <c r="R2064" s="277">
        <f>IF(D2064="","",IF(J2064="リード付け",M2064,VLOOKUP(D2064,契約台帳!$A$3:$O$4986,15,FALSE)))</f>
        <v>1120</v>
      </c>
      <c r="S2064" s="277">
        <f>IF(D2064="","",IF(J2064="リード付け",N2064,VLOOKUP(D2064,契約台帳!$A$3:$P$4986,16,FALSE)))</f>
        <v>5000</v>
      </c>
      <c r="T2064" s="40">
        <v>12</v>
      </c>
      <c r="U2064" s="278" t="str">
        <f ca="1">IF(D2064="","",IF(OFFSET(D2064,-2,0)=D2064,"",VLOOKUP(D2064,契約台帳!$A$3:$R$4986,18,FALSE)))</f>
        <v/>
      </c>
      <c r="V2064" s="269" t="str">
        <f>IF(J2064="巻返し",VLOOKUP(F2064&amp;K2064&amp;M2064,製品マスタ!$M$5:$AD$5002,18,FALSE),IF(J2064="リード付け","原反コア",IF(J2064="スリット",VLOOKUP(F2064&amp;K2064&amp;Q2064,製品マスタ!$N$5:$AD$5002,17,FALSE),"")))</f>
        <v>6ｲﾝﾁSｺｱ</v>
      </c>
      <c r="W2064" s="269">
        <f>IF(J2064="巻返し",VLOOKUP(F2064&amp;K2064&amp;M2064,製品マスタ!$M$5:$AE$5002,19,FALSE),IF(J2064="リード付け","-",IF(J2064="スリット",VLOOKUP(F2064&amp;K2064&amp;Q2064,製品マスタ!$N$5:$AE$5002,18,FALSE),"")))</f>
        <v>1125</v>
      </c>
      <c r="X2064" s="275">
        <f>IF(D2064="","",VLOOKUP(D2064,契約台帳!$A$3:$Q$4986,17,FALSE))</f>
        <v>2</v>
      </c>
      <c r="Y2064" s="269" t="str">
        <f>IF(D2064="","",VLOOKUP(D2064,契約台帳!$A$3:$E$4986,5,FALSE))</f>
        <v>リンテック㈱</v>
      </c>
      <c r="Z2064" s="357"/>
      <c r="AA2064" s="207"/>
      <c r="AB2064" s="369"/>
      <c r="AC2064" s="370"/>
      <c r="AD2064" s="332" t="str">
        <f>IF(F2064="","",+F2064&amp;K2064)</f>
        <v>3SNMLBMNGTBF50</v>
      </c>
      <c r="AE2064" s="216">
        <f>+M2064*N2064*O2064/1000</f>
        <v>67200</v>
      </c>
      <c r="AF2064" s="43">
        <f>IF(AD2064="","",VLOOKUP(AD2064,原価マスタ!$A$2:$AJ$1693,13,FALSE))</f>
        <v>99</v>
      </c>
      <c r="AG2064" s="47">
        <f>IF(AF2064="","",+AE2064*AF2064/100)</f>
        <v>66528</v>
      </c>
      <c r="AH2064" s="30"/>
      <c r="AI2064" s="30"/>
      <c r="AJ2064" s="30"/>
      <c r="AK2064" s="30"/>
      <c r="AL2064" s="13"/>
      <c r="AM2064" s="13"/>
      <c r="AN2064" s="13"/>
      <c r="AO2064" s="13"/>
      <c r="AP2064" s="13"/>
      <c r="AQ2064" s="14"/>
      <c r="AR2064" s="15"/>
    </row>
    <row r="2065" spans="1:44" s="17" customFormat="1" ht="30.95" hidden="1" customHeight="1" x14ac:dyDescent="0.2">
      <c r="A2065" s="343"/>
      <c r="B2065" s="344"/>
      <c r="C2065" s="345"/>
      <c r="D2065" s="398"/>
      <c r="E2065" s="31"/>
      <c r="F2065" s="268"/>
      <c r="G2065" s="269"/>
      <c r="H2065" s="269"/>
      <c r="I2065" s="270"/>
      <c r="J2065" s="32"/>
      <c r="K2065" s="270"/>
      <c r="L2065" s="270"/>
      <c r="M2065" s="39"/>
      <c r="N2065" s="39"/>
      <c r="O2065" s="47"/>
      <c r="P2065" s="57"/>
      <c r="Q2065" s="276"/>
      <c r="R2065" s="277"/>
      <c r="S2065" s="277"/>
      <c r="T2065" s="40"/>
      <c r="U2065" s="278"/>
      <c r="V2065" s="269"/>
      <c r="W2065" s="269"/>
      <c r="X2065" s="275"/>
      <c r="Y2065" s="269"/>
      <c r="Z2065" s="357"/>
      <c r="AA2065" s="207"/>
      <c r="AB2065" s="369"/>
      <c r="AC2065" s="370"/>
      <c r="AD2065" s="332"/>
      <c r="AE2065" s="216"/>
      <c r="AF2065" s="43"/>
      <c r="AG2065" s="47"/>
      <c r="AH2065" s="30"/>
      <c r="AI2065" s="30"/>
      <c r="AJ2065" s="30"/>
      <c r="AK2065" s="30"/>
      <c r="AL2065" s="13"/>
      <c r="AM2065" s="13"/>
      <c r="AN2065" s="13"/>
      <c r="AO2065" s="13"/>
      <c r="AP2065" s="13"/>
      <c r="AQ2065" s="14"/>
      <c r="AR2065" s="15"/>
    </row>
    <row r="2066" spans="1:44" s="17" customFormat="1" ht="30.6" hidden="1" customHeight="1" x14ac:dyDescent="0.2">
      <c r="A2066" s="320" t="s">
        <v>634</v>
      </c>
      <c r="B2066" s="321" t="s">
        <v>443</v>
      </c>
      <c r="C2066" s="345"/>
      <c r="D2066" s="398">
        <v>3778935</v>
      </c>
      <c r="E2066" s="31">
        <v>4155293</v>
      </c>
      <c r="F2066" s="268" t="str">
        <f>IF(D2066="","",VLOOKUP(D2066,契約台帳!$A$3:$K$4986,6,FALSE)&amp;VLOOKUP(D2066,契約台帳!$A$3:$K$4986,7,FALSE)&amp;VLOOKUP(D2066,契約台帳!$A$3:$K$4986,8,FALSE)&amp;VLOOKUP(D2066,契約台帳!$A$3:$K$4986,9,FALSE)&amp;VLOOKUP(D2066,契約台帳!$A$3:$K$4986,11,FALSE))</f>
        <v>3SNMLBMNGTBF</v>
      </c>
      <c r="G2066" s="269" t="str">
        <f>IF(D2066="","",VLOOKUP(F2066,製品マスタ!$G$5:$H$5002,2,FALSE))</f>
        <v>S</v>
      </c>
      <c r="H2066" s="269" t="str">
        <f>IF(D2066="","",VLOOKUP(F2066,製品マスタ!$G$5:$K$5002,5,FALSE))</f>
        <v>MNGTBF</v>
      </c>
      <c r="I2066" s="270" t="str">
        <f>IF(D2066="","",VLOOKUP(F2066,製品マスタ!$G$5:$L$5002,6,FALSE))</f>
        <v>メタルミー　ネーマー　銀艶　Ｂ</v>
      </c>
      <c r="J2066" s="32" t="s">
        <v>447</v>
      </c>
      <c r="K2066" s="270">
        <f>IF(D2066="","",VLOOKUP(D2066,契約台帳!$A$3:$L$4986,12,FALSE))</f>
        <v>50</v>
      </c>
      <c r="L2066" s="270" t="str">
        <f>IF(D2066="","",INDEX(製品マスタ!$Q$5:$Q$5002,MATCH(F2066&amp;K2066,製品マスタ!$AO$5:$AO$5002,0)))</f>
        <v>T62</v>
      </c>
      <c r="M2066" s="39">
        <v>1120</v>
      </c>
      <c r="N2066" s="39">
        <v>10000</v>
      </c>
      <c r="O2066" s="47">
        <v>2</v>
      </c>
      <c r="P2066" s="57"/>
      <c r="Q2066" s="276">
        <f>IF(D2066="","",IF(J2066="リード付け",M2066,VLOOKUP(D2066,契約台帳!$A$3:$N$4986,14,FALSE)))</f>
        <v>1120</v>
      </c>
      <c r="R2066" s="277">
        <f>IF(D2066="","",IF(J2066="リード付け",M2066,VLOOKUP(D2066,契約台帳!$A$3:$O$4986,15,FALSE)))</f>
        <v>1120</v>
      </c>
      <c r="S2066" s="277">
        <f>IF(D2066="","",IF(J2066="リード付け",N2066,VLOOKUP(D2066,契約台帳!$A$3:$P$4986,16,FALSE)))</f>
        <v>5000</v>
      </c>
      <c r="T2066" s="40">
        <v>4</v>
      </c>
      <c r="U2066" s="278" t="str">
        <f ca="1">IF(D2066="","",IF(OFFSET(D2066,-2,0)=D2066,"",VLOOKUP(D2066,契約台帳!$A$3:$R$4986,18,FALSE)))</f>
        <v/>
      </c>
      <c r="V2066" s="269" t="str">
        <f>IF(J2066="巻返し",VLOOKUP(F2066&amp;K2066&amp;M2066,製品マスタ!$M$5:$AD$5002,18,FALSE),IF(J2066="リード付け","原反コア",IF(J2066="スリット",VLOOKUP(F2066&amp;K2066&amp;Q2066,製品マスタ!$N$5:$AD$5002,17,FALSE),"")))</f>
        <v>6ｲﾝﾁSｺｱ</v>
      </c>
      <c r="W2066" s="269">
        <f>IF(J2066="巻返し",VLOOKUP(F2066&amp;K2066&amp;M2066,製品マスタ!$M$5:$AE$5002,19,FALSE),IF(J2066="リード付け","-",IF(J2066="スリット",VLOOKUP(F2066&amp;K2066&amp;Q2066,製品マスタ!$N$5:$AE$5002,18,FALSE),"")))</f>
        <v>1125</v>
      </c>
      <c r="X2066" s="275">
        <f>IF(D2066="","",VLOOKUP(D2066,契約台帳!$A$3:$Q$4986,17,FALSE))</f>
        <v>2</v>
      </c>
      <c r="Y2066" s="269" t="str">
        <f>IF(D2066="","",VLOOKUP(D2066,契約台帳!$A$3:$E$4986,5,FALSE))</f>
        <v>リンテック㈱</v>
      </c>
      <c r="Z2066" s="357"/>
      <c r="AA2066" s="207"/>
      <c r="AB2066" s="369"/>
      <c r="AC2066" s="370"/>
      <c r="AD2066" s="332" t="str">
        <f>IF(F2066="","",+F2066&amp;K2066)</f>
        <v>3SNMLBMNGTBF50</v>
      </c>
      <c r="AE2066" s="216">
        <f>+M2066*N2066*O2066/1000</f>
        <v>22400</v>
      </c>
      <c r="AF2066" s="43">
        <f>IF(AD2066="","",VLOOKUP(AD2066,原価マスタ!$A$2:$AJ$1693,13,FALSE))</f>
        <v>99</v>
      </c>
      <c r="AG2066" s="47">
        <f>IF(AF2066="","",+AE2066*AF2066/100)</f>
        <v>22176</v>
      </c>
      <c r="AH2066" s="30"/>
      <c r="AI2066" s="30"/>
      <c r="AJ2066" s="30"/>
      <c r="AK2066" s="30"/>
      <c r="AL2066" s="13"/>
      <c r="AM2066" s="13"/>
      <c r="AN2066" s="13"/>
      <c r="AO2066" s="13"/>
      <c r="AP2066" s="13"/>
      <c r="AQ2066" s="14"/>
      <c r="AR2066" s="15"/>
    </row>
    <row r="2067" spans="1:44" s="17" customFormat="1" ht="30.95" hidden="1" customHeight="1" x14ac:dyDescent="0.2">
      <c r="A2067" s="343"/>
      <c r="B2067" s="344"/>
      <c r="C2067" s="345"/>
      <c r="D2067" s="398"/>
      <c r="E2067" s="31"/>
      <c r="F2067" s="268"/>
      <c r="G2067" s="269"/>
      <c r="H2067" s="269"/>
      <c r="I2067" s="270"/>
      <c r="J2067" s="32"/>
      <c r="K2067" s="270"/>
      <c r="L2067" s="270"/>
      <c r="M2067" s="39"/>
      <c r="N2067" s="39"/>
      <c r="O2067" s="47"/>
      <c r="P2067" s="57"/>
      <c r="Q2067" s="276"/>
      <c r="R2067" s="277"/>
      <c r="S2067" s="277"/>
      <c r="T2067" s="40"/>
      <c r="U2067" s="278"/>
      <c r="V2067" s="269"/>
      <c r="W2067" s="269"/>
      <c r="X2067" s="275"/>
      <c r="Y2067" s="269"/>
      <c r="Z2067" s="357"/>
      <c r="AA2067" s="207"/>
      <c r="AB2067" s="369"/>
      <c r="AC2067" s="370"/>
      <c r="AD2067" s="332"/>
      <c r="AE2067" s="216"/>
      <c r="AF2067" s="43"/>
      <c r="AG2067" s="47"/>
      <c r="AH2067" s="30"/>
      <c r="AI2067" s="30"/>
      <c r="AJ2067" s="30"/>
      <c r="AK2067" s="30"/>
      <c r="AL2067" s="13"/>
      <c r="AM2067" s="13"/>
      <c r="AN2067" s="13"/>
      <c r="AO2067" s="13"/>
      <c r="AP2067" s="13"/>
      <c r="AQ2067" s="14"/>
      <c r="AR2067" s="15"/>
    </row>
    <row r="2068" spans="1:44" s="17" customFormat="1" ht="30.6" hidden="1" customHeight="1" x14ac:dyDescent="0.2">
      <c r="A2068" s="320"/>
      <c r="B2068" s="321"/>
      <c r="C2068" s="345"/>
      <c r="D2068" s="398">
        <v>3778927</v>
      </c>
      <c r="E2068" s="31">
        <v>4155289</v>
      </c>
      <c r="F2068" s="268" t="str">
        <f>IF(D2068="","",VLOOKUP(D2068,契約台帳!$A$3:$K$4986,6,FALSE)&amp;VLOOKUP(D2068,契約台帳!$A$3:$K$4986,7,FALSE)&amp;VLOOKUP(D2068,契約台帳!$A$3:$K$4986,8,FALSE)&amp;VLOOKUP(D2068,契約台帳!$A$3:$K$4986,9,FALSE)&amp;VLOOKUP(D2068,契約台帳!$A$3:$K$4986,11,FALSE))</f>
        <v>3SNMLBMNGKKBF</v>
      </c>
      <c r="G2068" s="269" t="str">
        <f>IF(D2068="","",VLOOKUP(F2068,製品マスタ!$G$5:$H$5002,2,FALSE))</f>
        <v>S</v>
      </c>
      <c r="H2068" s="269" t="str">
        <f>IF(D2068="","",VLOOKUP(F2068,製品マスタ!$G$5:$K$5002,5,FALSE))</f>
        <v>MNGKKBF</v>
      </c>
      <c r="I2068" s="270" t="str">
        <f>IF(D2068="","",VLOOKUP(F2068,製品マスタ!$G$5:$L$5002,6,FALSE))</f>
        <v>メタルミー　ネーマー銀消改　Ｂ</v>
      </c>
      <c r="J2068" s="32" t="s">
        <v>447</v>
      </c>
      <c r="K2068" s="270">
        <f>IF(D2068="","",VLOOKUP(D2068,契約台帳!$A$3:$L$4986,12,FALSE))</f>
        <v>50</v>
      </c>
      <c r="L2068" s="270" t="str">
        <f>IF(D2068="","",INDEX(製品マスタ!$Q$5:$Q$5002,MATCH(F2068&amp;K2068,製品マスタ!$AO$5:$AO$5002,0)))</f>
        <v>S99-MAT</v>
      </c>
      <c r="M2068" s="39">
        <v>1120</v>
      </c>
      <c r="N2068" s="39">
        <v>12000</v>
      </c>
      <c r="O2068" s="47">
        <v>3</v>
      </c>
      <c r="P2068" s="57"/>
      <c r="Q2068" s="276">
        <f>IF(D2068="","",IF(J2068="リード付け",M2068,VLOOKUP(D2068,契約台帳!$A$3:$N$4986,14,FALSE)))</f>
        <v>1120</v>
      </c>
      <c r="R2068" s="277">
        <f>IF(D2068="","",IF(J2068="リード付け",M2068,VLOOKUP(D2068,契約台帳!$A$3:$O$4986,15,FALSE)))</f>
        <v>1120</v>
      </c>
      <c r="S2068" s="277">
        <f>IF(D2068="","",IF(J2068="リード付け",N2068,VLOOKUP(D2068,契約台帳!$A$3:$P$4986,16,FALSE)))</f>
        <v>4000</v>
      </c>
      <c r="T2068" s="40">
        <v>9</v>
      </c>
      <c r="U2068" s="278">
        <f ca="1">IF(D2068="","",IF(OFFSET(D2068,-2,0)=D2068,"",VLOOKUP(D2068,契約台帳!$A$3:$R$4986,18,FALSE)))</f>
        <v>12</v>
      </c>
      <c r="V2068" s="269" t="str">
        <f>IF(J2068="巻返し",VLOOKUP(F2068&amp;K2068&amp;M2068,製品マスタ!$M$5:$AD$5002,18,FALSE),IF(J2068="リード付け","原反コア",IF(J2068="スリット",VLOOKUP(F2068&amp;K2068&amp;Q2068,製品マスタ!$N$5:$AD$5002,17,FALSE),"")))</f>
        <v>6ｲﾝﾁSｺｱ</v>
      </c>
      <c r="W2068" s="269">
        <f>IF(J2068="巻返し",VLOOKUP(F2068&amp;K2068&amp;M2068,製品マスタ!$M$5:$AE$5002,19,FALSE),IF(J2068="リード付け","-",IF(J2068="スリット",VLOOKUP(F2068&amp;K2068&amp;Q2068,製品マスタ!$N$5:$AE$5002,18,FALSE),"")))</f>
        <v>1125</v>
      </c>
      <c r="X2068" s="275">
        <f>IF(D2068="","",VLOOKUP(D2068,契約台帳!$A$3:$Q$4986,17,FALSE))</f>
        <v>2</v>
      </c>
      <c r="Y2068" s="269" t="str">
        <f>IF(D2068="","",VLOOKUP(D2068,契約台帳!$A$3:$E$4986,5,FALSE))</f>
        <v>リンテック㈱</v>
      </c>
      <c r="Z2068" s="357"/>
      <c r="AA2068" s="207"/>
      <c r="AB2068" s="369"/>
      <c r="AC2068" s="370"/>
      <c r="AD2068" s="332" t="str">
        <f>IF(F2068="","",+F2068&amp;K2068)</f>
        <v>3SNMLBMNGKKBF50</v>
      </c>
      <c r="AE2068" s="216">
        <f>+M2068*N2068*O2068/1000</f>
        <v>40320</v>
      </c>
      <c r="AF2068" s="43">
        <f>IF(AD2068="","",VLOOKUP(AD2068,原価マスタ!$A$2:$AJ$1693,13,FALSE))</f>
        <v>99</v>
      </c>
      <c r="AG2068" s="47">
        <f>IF(AF2068="","",+AE2068*AF2068/100)</f>
        <v>39916.800000000003</v>
      </c>
      <c r="AH2068" s="30"/>
      <c r="AI2068" s="30"/>
      <c r="AJ2068" s="30"/>
      <c r="AK2068" s="30"/>
      <c r="AL2068" s="13"/>
      <c r="AM2068" s="13"/>
      <c r="AN2068" s="13"/>
      <c r="AO2068" s="13"/>
      <c r="AP2068" s="13"/>
      <c r="AQ2068" s="14"/>
      <c r="AR2068" s="15"/>
    </row>
    <row r="2069" spans="1:44" s="17" customFormat="1" ht="30.95" hidden="1" customHeight="1" x14ac:dyDescent="0.2">
      <c r="A2069" s="343"/>
      <c r="B2069" s="344"/>
      <c r="C2069" s="345"/>
      <c r="D2069" s="398"/>
      <c r="E2069" s="31"/>
      <c r="F2069" s="268"/>
      <c r="G2069" s="269"/>
      <c r="H2069" s="269"/>
      <c r="I2069" s="270"/>
      <c r="J2069" s="32"/>
      <c r="K2069" s="270"/>
      <c r="L2069" s="270"/>
      <c r="M2069" s="39"/>
      <c r="N2069" s="39"/>
      <c r="O2069" s="47"/>
      <c r="P2069" s="57"/>
      <c r="Q2069" s="276"/>
      <c r="R2069" s="277"/>
      <c r="S2069" s="277"/>
      <c r="T2069" s="40"/>
      <c r="U2069" s="278"/>
      <c r="V2069" s="269"/>
      <c r="W2069" s="269"/>
      <c r="X2069" s="275"/>
      <c r="Y2069" s="269"/>
      <c r="Z2069" s="357"/>
      <c r="AA2069" s="207"/>
      <c r="AB2069" s="369"/>
      <c r="AC2069" s="370"/>
      <c r="AD2069" s="332"/>
      <c r="AE2069" s="216"/>
      <c r="AF2069" s="43"/>
      <c r="AG2069" s="47"/>
      <c r="AH2069" s="30"/>
      <c r="AI2069" s="30"/>
      <c r="AJ2069" s="30"/>
      <c r="AK2069" s="30"/>
      <c r="AL2069" s="13"/>
      <c r="AM2069" s="13"/>
      <c r="AN2069" s="13"/>
      <c r="AO2069" s="13"/>
      <c r="AP2069" s="13"/>
      <c r="AQ2069" s="14"/>
      <c r="AR2069" s="15"/>
    </row>
    <row r="2070" spans="1:44" s="17" customFormat="1" ht="30.6" hidden="1" customHeight="1" x14ac:dyDescent="0.2">
      <c r="A2070" s="320" t="s">
        <v>3271</v>
      </c>
      <c r="B2070" s="321" t="s">
        <v>3272</v>
      </c>
      <c r="C2070" s="345"/>
      <c r="D2070" s="398">
        <v>3778927</v>
      </c>
      <c r="E2070" s="31">
        <v>4155289</v>
      </c>
      <c r="F2070" s="268" t="str">
        <f>IF(D2070="","",VLOOKUP(D2070,契約台帳!$A$3:$K$4986,6,FALSE)&amp;VLOOKUP(D2070,契約台帳!$A$3:$K$4986,7,FALSE)&amp;VLOOKUP(D2070,契約台帳!$A$3:$K$4986,8,FALSE)&amp;VLOOKUP(D2070,契約台帳!$A$3:$K$4986,9,FALSE)&amp;VLOOKUP(D2070,契約台帳!$A$3:$K$4986,11,FALSE))</f>
        <v>3SNMLBMNGKKBF</v>
      </c>
      <c r="G2070" s="269" t="str">
        <f>IF(D2070="","",VLOOKUP(F2070,製品マスタ!$G$5:$H$5002,2,FALSE))</f>
        <v>S</v>
      </c>
      <c r="H2070" s="269" t="str">
        <f>IF(D2070="","",VLOOKUP(F2070,製品マスタ!$G$5:$K$5002,5,FALSE))</f>
        <v>MNGKKBF</v>
      </c>
      <c r="I2070" s="270" t="str">
        <f>IF(D2070="","",VLOOKUP(F2070,製品マスタ!$G$5:$L$5002,6,FALSE))</f>
        <v>メタルミー　ネーマー銀消改　Ｂ</v>
      </c>
      <c r="J2070" s="32" t="s">
        <v>447</v>
      </c>
      <c r="K2070" s="270">
        <f>IF(D2070="","",VLOOKUP(D2070,契約台帳!$A$3:$L$4986,12,FALSE))</f>
        <v>50</v>
      </c>
      <c r="L2070" s="270" t="str">
        <f>IF(D2070="","",INDEX(製品マスタ!$Q$5:$Q$5002,MATCH(F2070&amp;K2070,製品マスタ!$AO$5:$AO$5002,0)))</f>
        <v>S99-MAT</v>
      </c>
      <c r="M2070" s="39">
        <v>1120</v>
      </c>
      <c r="N2070" s="39">
        <v>12000</v>
      </c>
      <c r="O2070" s="47">
        <v>1</v>
      </c>
      <c r="P2070" s="57"/>
      <c r="Q2070" s="276">
        <f>IF(D2070="","",IF(J2070="リード付け",M2070,VLOOKUP(D2070,契約台帳!$A$3:$N$4986,14,FALSE)))</f>
        <v>1120</v>
      </c>
      <c r="R2070" s="277">
        <f>IF(D2070="","",IF(J2070="リード付け",M2070,VLOOKUP(D2070,契約台帳!$A$3:$O$4986,15,FALSE)))</f>
        <v>1120</v>
      </c>
      <c r="S2070" s="277">
        <f>IF(D2070="","",IF(J2070="リード付け",N2070,VLOOKUP(D2070,契約台帳!$A$3:$P$4986,16,FALSE)))</f>
        <v>4000</v>
      </c>
      <c r="T2070" s="40">
        <v>3</v>
      </c>
      <c r="U2070" s="278" t="str">
        <f ca="1">IF(D2070="","",IF(OFFSET(D2070,-2,0)=D2070,"",VLOOKUP(D2070,契約台帳!$A$3:$R$4986,18,FALSE)))</f>
        <v/>
      </c>
      <c r="V2070" s="269" t="str">
        <f>IF(J2070="巻返し",VLOOKUP(F2070&amp;K2070&amp;M2070,製品マスタ!$M$5:$AD$5002,18,FALSE),IF(J2070="リード付け","原反コア",IF(J2070="スリット",VLOOKUP(F2070&amp;K2070&amp;Q2070,製品マスタ!$N$5:$AD$5002,17,FALSE),"")))</f>
        <v>6ｲﾝﾁSｺｱ</v>
      </c>
      <c r="W2070" s="269">
        <f>IF(J2070="巻返し",VLOOKUP(F2070&amp;K2070&amp;M2070,製品マスタ!$M$5:$AE$5002,19,FALSE),IF(J2070="リード付け","-",IF(J2070="スリット",VLOOKUP(F2070&amp;K2070&amp;Q2070,製品マスタ!$N$5:$AE$5002,18,FALSE),"")))</f>
        <v>1125</v>
      </c>
      <c r="X2070" s="275">
        <f>IF(D2070="","",VLOOKUP(D2070,契約台帳!$A$3:$Q$4986,17,FALSE))</f>
        <v>2</v>
      </c>
      <c r="Y2070" s="269" t="str">
        <f>IF(D2070="","",VLOOKUP(D2070,契約台帳!$A$3:$E$4986,5,FALSE))</f>
        <v>リンテック㈱</v>
      </c>
      <c r="Z2070" s="357"/>
      <c r="AA2070" s="207"/>
      <c r="AB2070" s="369"/>
      <c r="AC2070" s="370"/>
      <c r="AD2070" s="332" t="str">
        <f>IF(F2070="","",+F2070&amp;K2070)</f>
        <v>3SNMLBMNGKKBF50</v>
      </c>
      <c r="AE2070" s="216">
        <f>+M2070*N2070*O2070/1000</f>
        <v>13440</v>
      </c>
      <c r="AF2070" s="43">
        <f>IF(AD2070="","",VLOOKUP(AD2070,原価マスタ!$A$2:$AJ$1693,13,FALSE))</f>
        <v>99</v>
      </c>
      <c r="AG2070" s="47">
        <f>IF(AF2070="","",+AE2070*AF2070/100)</f>
        <v>13305.6</v>
      </c>
      <c r="AH2070" s="30"/>
      <c r="AI2070" s="30"/>
      <c r="AJ2070" s="30"/>
      <c r="AK2070" s="30"/>
      <c r="AL2070" s="13"/>
      <c r="AM2070" s="13"/>
      <c r="AN2070" s="13"/>
      <c r="AO2070" s="13"/>
      <c r="AP2070" s="13"/>
      <c r="AQ2070" s="14"/>
      <c r="AR2070" s="15"/>
    </row>
    <row r="2071" spans="1:44" s="17" customFormat="1" ht="30.95" hidden="1" customHeight="1" x14ac:dyDescent="0.2">
      <c r="A2071" s="343"/>
      <c r="B2071" s="344"/>
      <c r="C2071" s="345"/>
      <c r="D2071" s="398"/>
      <c r="E2071" s="31"/>
      <c r="F2071" s="268"/>
      <c r="G2071" s="269"/>
      <c r="H2071" s="269"/>
      <c r="I2071" s="270"/>
      <c r="J2071" s="32"/>
      <c r="K2071" s="270"/>
      <c r="L2071" s="270"/>
      <c r="M2071" s="39"/>
      <c r="N2071" s="39"/>
      <c r="O2071" s="47"/>
      <c r="P2071" s="57"/>
      <c r="Q2071" s="276"/>
      <c r="R2071" s="277"/>
      <c r="S2071" s="277"/>
      <c r="T2071" s="40"/>
      <c r="U2071" s="278"/>
      <c r="V2071" s="269"/>
      <c r="W2071" s="269"/>
      <c r="X2071" s="275"/>
      <c r="Y2071" s="269"/>
      <c r="Z2071" s="357"/>
      <c r="AA2071" s="207"/>
      <c r="AB2071" s="369"/>
      <c r="AC2071" s="370"/>
      <c r="AD2071" s="332"/>
      <c r="AE2071" s="216"/>
      <c r="AF2071" s="43"/>
      <c r="AG2071" s="47"/>
      <c r="AH2071" s="30"/>
      <c r="AI2071" s="30"/>
      <c r="AJ2071" s="30"/>
      <c r="AK2071" s="30"/>
      <c r="AL2071" s="13"/>
      <c r="AM2071" s="13"/>
      <c r="AN2071" s="13"/>
      <c r="AO2071" s="13"/>
      <c r="AP2071" s="13"/>
      <c r="AQ2071" s="14"/>
      <c r="AR2071" s="15"/>
    </row>
    <row r="2072" spans="1:44" s="17" customFormat="1" ht="30.6" hidden="1" customHeight="1" x14ac:dyDescent="0.2">
      <c r="A2072" s="320"/>
      <c r="B2072" s="321"/>
      <c r="C2072" s="345"/>
      <c r="D2072" s="398">
        <v>3778938</v>
      </c>
      <c r="E2072" s="31">
        <v>4155295</v>
      </c>
      <c r="F2072" s="268" t="str">
        <f>IF(D2072="","",VLOOKUP(D2072,契約台帳!$A$3:$K$4986,6,FALSE)&amp;VLOOKUP(D2072,契約台帳!$A$3:$K$4986,7,FALSE)&amp;VLOOKUP(D2072,契約台帳!$A$3:$K$4986,8,FALSE)&amp;VLOOKUP(D2072,契約台帳!$A$3:$K$4986,9,FALSE)&amp;VLOOKUP(D2072,契約台帳!$A$3:$K$4986,11,FALSE))</f>
        <v>3SNMLBMNNGKBF</v>
      </c>
      <c r="G2072" s="269" t="str">
        <f>IF(D2072="","",VLOOKUP(F2072,製品マスタ!$G$5:$H$5002,2,FALSE))</f>
        <v>S</v>
      </c>
      <c r="H2072" s="269" t="str">
        <f>IF(D2072="","",VLOOKUP(F2072,製品マスタ!$G$5:$K$5002,5,FALSE))</f>
        <v>MNNGKBF</v>
      </c>
      <c r="I2072" s="270" t="str">
        <f>IF(D2072="","",VLOOKUP(F2072,製品マスタ!$G$5:$L$5002,6,FALSE))</f>
        <v>メタルミー　ニューネーマー銀消　Ｂ</v>
      </c>
      <c r="J2072" s="32" t="s">
        <v>447</v>
      </c>
      <c r="K2072" s="270">
        <f>IF(D2072="","",VLOOKUP(D2072,契約台帳!$A$3:$L$4986,12,FALSE))</f>
        <v>50</v>
      </c>
      <c r="L2072" s="270" t="str">
        <f>IF(D2072="","",INDEX(製品マスタ!$Q$5:$Q$5002,MATCH(F2072&amp;K2072,製品マスタ!$AO$5:$AO$5002,0)))</f>
        <v>X44</v>
      </c>
      <c r="M2072" s="39">
        <v>1000</v>
      </c>
      <c r="N2072" s="39">
        <v>12000</v>
      </c>
      <c r="O2072" s="47">
        <v>2</v>
      </c>
      <c r="P2072" s="57"/>
      <c r="Q2072" s="276">
        <f>IF(D2072="","",IF(J2072="リード付け",M2072,VLOOKUP(D2072,契約台帳!$A$3:$N$4986,14,FALSE)))</f>
        <v>1000</v>
      </c>
      <c r="R2072" s="277">
        <f>IF(D2072="","",IF(J2072="リード付け",M2072,VLOOKUP(D2072,契約台帳!$A$3:$O$4986,15,FALSE)))</f>
        <v>1000</v>
      </c>
      <c r="S2072" s="277">
        <f>IF(D2072="","",IF(J2072="リード付け",N2072,VLOOKUP(D2072,契約台帳!$A$3:$P$4986,16,FALSE)))</f>
        <v>4000</v>
      </c>
      <c r="T2072" s="40">
        <v>6</v>
      </c>
      <c r="U2072" s="278">
        <f ca="1">IF(D2072="","",IF(OFFSET(D2072,-2,0)=D2072,"",VLOOKUP(D2072,契約台帳!$A$3:$R$4986,18,FALSE)))</f>
        <v>15</v>
      </c>
      <c r="V2072" s="269" t="str">
        <f>IF(J2072="巻返し",VLOOKUP(F2072&amp;K2072&amp;M2072,製品マスタ!$M$5:$AD$5002,18,FALSE),IF(J2072="リード付け","原反コア",IF(J2072="スリット",VLOOKUP(F2072&amp;K2072&amp;Q2072,製品マスタ!$N$5:$AD$5002,17,FALSE),"")))</f>
        <v>6ｲﾝﾁSｺｱ</v>
      </c>
      <c r="W2072" s="269">
        <f>IF(J2072="巻返し",VLOOKUP(F2072&amp;K2072&amp;M2072,製品マスタ!$M$5:$AE$5002,19,FALSE),IF(J2072="リード付け","-",IF(J2072="スリット",VLOOKUP(F2072&amp;K2072&amp;Q2072,製品マスタ!$N$5:$AE$5002,18,FALSE),"")))</f>
        <v>1005</v>
      </c>
      <c r="X2072" s="275">
        <f>IF(D2072="","",VLOOKUP(D2072,契約台帳!$A$3:$Q$4986,17,FALSE))</f>
        <v>2</v>
      </c>
      <c r="Y2072" s="269" t="str">
        <f>IF(D2072="","",VLOOKUP(D2072,契約台帳!$A$3:$E$4986,5,FALSE))</f>
        <v>リンテック㈱</v>
      </c>
      <c r="Z2072" s="357"/>
      <c r="AA2072" s="207"/>
      <c r="AB2072" s="369"/>
      <c r="AC2072" s="370"/>
      <c r="AD2072" s="332" t="str">
        <f>IF(F2072="","",+F2072&amp;K2072)</f>
        <v>3SNMLBMNNGKBF50</v>
      </c>
      <c r="AE2072" s="216">
        <f>+M2072*N2072*O2072/1000</f>
        <v>24000</v>
      </c>
      <c r="AF2072" s="43">
        <f>IF(AD2072="","",VLOOKUP(AD2072,原価マスタ!$A$2:$AJ$1693,13,FALSE))</f>
        <v>99</v>
      </c>
      <c r="AG2072" s="47">
        <f>IF(AF2072="","",+AE2072*AF2072/100)</f>
        <v>23760</v>
      </c>
      <c r="AH2072" s="30"/>
      <c r="AI2072" s="30"/>
      <c r="AJ2072" s="30"/>
      <c r="AK2072" s="30"/>
      <c r="AL2072" s="13"/>
      <c r="AM2072" s="13"/>
      <c r="AN2072" s="13"/>
      <c r="AO2072" s="13"/>
      <c r="AP2072" s="13"/>
      <c r="AQ2072" s="14"/>
      <c r="AR2072" s="15"/>
    </row>
    <row r="2073" spans="1:44" s="17" customFormat="1" ht="30.95" hidden="1" customHeight="1" x14ac:dyDescent="0.2">
      <c r="A2073" s="343"/>
      <c r="B2073" s="344"/>
      <c r="C2073" s="345"/>
      <c r="D2073" s="398"/>
      <c r="E2073" s="31"/>
      <c r="F2073" s="268"/>
      <c r="G2073" s="269"/>
      <c r="H2073" s="269"/>
      <c r="I2073" s="270"/>
      <c r="J2073" s="32"/>
      <c r="K2073" s="270"/>
      <c r="L2073" s="270"/>
      <c r="M2073" s="39"/>
      <c r="N2073" s="39"/>
      <c r="O2073" s="47"/>
      <c r="P2073" s="57"/>
      <c r="Q2073" s="276"/>
      <c r="R2073" s="277"/>
      <c r="S2073" s="277"/>
      <c r="T2073" s="40"/>
      <c r="U2073" s="278"/>
      <c r="V2073" s="269"/>
      <c r="W2073" s="269"/>
      <c r="X2073" s="275"/>
      <c r="Y2073" s="269"/>
      <c r="Z2073" s="357"/>
      <c r="AA2073" s="207"/>
      <c r="AB2073" s="369"/>
      <c r="AC2073" s="370"/>
      <c r="AD2073" s="332"/>
      <c r="AE2073" s="216"/>
      <c r="AF2073" s="43"/>
      <c r="AG2073" s="47"/>
      <c r="AH2073" s="30"/>
      <c r="AI2073" s="30"/>
      <c r="AJ2073" s="30"/>
      <c r="AK2073" s="30"/>
      <c r="AL2073" s="13"/>
      <c r="AM2073" s="13"/>
      <c r="AN2073" s="13"/>
      <c r="AO2073" s="13"/>
      <c r="AP2073" s="13"/>
      <c r="AQ2073" s="14"/>
      <c r="AR2073" s="15"/>
    </row>
    <row r="2074" spans="1:44" s="17" customFormat="1" ht="30.6" hidden="1" customHeight="1" x14ac:dyDescent="0.2">
      <c r="A2074" s="320"/>
      <c r="B2074" s="321"/>
      <c r="C2074" s="345"/>
      <c r="D2074" s="398">
        <v>3778938</v>
      </c>
      <c r="E2074" s="31">
        <v>4155295</v>
      </c>
      <c r="F2074" s="268" t="str">
        <f>IF(D2074="","",VLOOKUP(D2074,契約台帳!$A$3:$K$4986,6,FALSE)&amp;VLOOKUP(D2074,契約台帳!$A$3:$K$4986,7,FALSE)&amp;VLOOKUP(D2074,契約台帳!$A$3:$K$4986,8,FALSE)&amp;VLOOKUP(D2074,契約台帳!$A$3:$K$4986,9,FALSE)&amp;VLOOKUP(D2074,契約台帳!$A$3:$K$4986,11,FALSE))</f>
        <v>3SNMLBMNNGKBF</v>
      </c>
      <c r="G2074" s="269" t="str">
        <f>IF(D2074="","",VLOOKUP(F2074,製品マスタ!$G$5:$H$5002,2,FALSE))</f>
        <v>S</v>
      </c>
      <c r="H2074" s="269" t="str">
        <f>IF(D2074="","",VLOOKUP(F2074,製品マスタ!$G$5:$K$5002,5,FALSE))</f>
        <v>MNNGKBF</v>
      </c>
      <c r="I2074" s="270" t="str">
        <f>IF(D2074="","",VLOOKUP(F2074,製品マスタ!$G$5:$L$5002,6,FALSE))</f>
        <v>メタルミー　ニューネーマー銀消　Ｂ</v>
      </c>
      <c r="J2074" s="32" t="s">
        <v>447</v>
      </c>
      <c r="K2074" s="270">
        <f>IF(D2074="","",VLOOKUP(D2074,契約台帳!$A$3:$L$4986,12,FALSE))</f>
        <v>50</v>
      </c>
      <c r="L2074" s="270" t="str">
        <f>IF(D2074="","",INDEX(製品マスタ!$Q$5:$Q$5002,MATCH(F2074&amp;K2074,製品マスタ!$AO$5:$AO$5002,0)))</f>
        <v>X44</v>
      </c>
      <c r="M2074" s="39">
        <v>1000</v>
      </c>
      <c r="N2074" s="39">
        <v>12000</v>
      </c>
      <c r="O2074" s="47">
        <v>3</v>
      </c>
      <c r="P2074" s="57"/>
      <c r="Q2074" s="276">
        <f>IF(D2074="","",IF(J2074="リード付け",M2074,VLOOKUP(D2074,契約台帳!$A$3:$N$4986,14,FALSE)))</f>
        <v>1000</v>
      </c>
      <c r="R2074" s="277">
        <f>IF(D2074="","",IF(J2074="リード付け",M2074,VLOOKUP(D2074,契約台帳!$A$3:$O$4986,15,FALSE)))</f>
        <v>1000</v>
      </c>
      <c r="S2074" s="277">
        <f>IF(D2074="","",IF(J2074="リード付け",N2074,VLOOKUP(D2074,契約台帳!$A$3:$P$4986,16,FALSE)))</f>
        <v>4000</v>
      </c>
      <c r="T2074" s="40">
        <v>9</v>
      </c>
      <c r="U2074" s="278" t="str">
        <f ca="1">IF(D2074="","",IF(OFFSET(D2074,-2,0)=D2074,"",VLOOKUP(D2074,契約台帳!$A$3:$R$4986,18,FALSE)))</f>
        <v/>
      </c>
      <c r="V2074" s="269" t="str">
        <f>IF(J2074="巻返し",VLOOKUP(F2074&amp;K2074&amp;M2074,製品マスタ!$M$5:$AD$5002,18,FALSE),IF(J2074="リード付け","原反コア",IF(J2074="スリット",VLOOKUP(F2074&amp;K2074&amp;Q2074,製品マスタ!$N$5:$AD$5002,17,FALSE),"")))</f>
        <v>6ｲﾝﾁSｺｱ</v>
      </c>
      <c r="W2074" s="269">
        <f>IF(J2074="巻返し",VLOOKUP(F2074&amp;K2074&amp;M2074,製品マスタ!$M$5:$AE$5002,19,FALSE),IF(J2074="リード付け","-",IF(J2074="スリット",VLOOKUP(F2074&amp;K2074&amp;Q2074,製品マスタ!$N$5:$AE$5002,18,FALSE),"")))</f>
        <v>1005</v>
      </c>
      <c r="X2074" s="275">
        <f>IF(D2074="","",VLOOKUP(D2074,契約台帳!$A$3:$Q$4986,17,FALSE))</f>
        <v>2</v>
      </c>
      <c r="Y2074" s="269" t="str">
        <f>IF(D2074="","",VLOOKUP(D2074,契約台帳!$A$3:$E$4986,5,FALSE))</f>
        <v>リンテック㈱</v>
      </c>
      <c r="Z2074" s="357"/>
      <c r="AA2074" s="207"/>
      <c r="AB2074" s="369"/>
      <c r="AC2074" s="370"/>
      <c r="AD2074" s="332" t="str">
        <f>IF(F2074="","",+F2074&amp;K2074)</f>
        <v>3SNMLBMNNGKBF50</v>
      </c>
      <c r="AE2074" s="216">
        <f>+M2074*N2074*O2074/1000</f>
        <v>36000</v>
      </c>
      <c r="AF2074" s="43">
        <f>IF(AD2074="","",VLOOKUP(AD2074,原価マスタ!$A$2:$AJ$1693,13,FALSE))</f>
        <v>99</v>
      </c>
      <c r="AG2074" s="47">
        <f>IF(AF2074="","",+AE2074*AF2074/100)</f>
        <v>35640</v>
      </c>
      <c r="AH2074" s="30"/>
      <c r="AI2074" s="30"/>
      <c r="AJ2074" s="30"/>
      <c r="AK2074" s="30"/>
      <c r="AL2074" s="13"/>
      <c r="AM2074" s="13"/>
      <c r="AN2074" s="13"/>
      <c r="AO2074" s="13"/>
      <c r="AP2074" s="13"/>
      <c r="AQ2074" s="14"/>
      <c r="AR2074" s="15"/>
    </row>
    <row r="2075" spans="1:44" s="17" customFormat="1" ht="30.95" hidden="1" customHeight="1" x14ac:dyDescent="0.2">
      <c r="A2075" s="343"/>
      <c r="B2075" s="344"/>
      <c r="C2075" s="345"/>
      <c r="D2075" s="398"/>
      <c r="E2075" s="31"/>
      <c r="F2075" s="268"/>
      <c r="G2075" s="269"/>
      <c r="H2075" s="269"/>
      <c r="I2075" s="270"/>
      <c r="J2075" s="32"/>
      <c r="K2075" s="270"/>
      <c r="L2075" s="270"/>
      <c r="M2075" s="39"/>
      <c r="N2075" s="39"/>
      <c r="O2075" s="47"/>
      <c r="P2075" s="57"/>
      <c r="Q2075" s="276"/>
      <c r="R2075" s="277"/>
      <c r="S2075" s="277"/>
      <c r="T2075" s="40"/>
      <c r="U2075" s="278"/>
      <c r="V2075" s="269"/>
      <c r="W2075" s="269"/>
      <c r="X2075" s="275"/>
      <c r="Y2075" s="269"/>
      <c r="Z2075" s="357"/>
      <c r="AA2075" s="207"/>
      <c r="AB2075" s="369"/>
      <c r="AC2075" s="370"/>
      <c r="AD2075" s="332"/>
      <c r="AE2075" s="216"/>
      <c r="AF2075" s="43"/>
      <c r="AG2075" s="47"/>
      <c r="AH2075" s="30"/>
      <c r="AI2075" s="30"/>
      <c r="AJ2075" s="30"/>
      <c r="AK2075" s="30"/>
      <c r="AL2075" s="13"/>
      <c r="AM2075" s="13"/>
      <c r="AN2075" s="13"/>
      <c r="AO2075" s="13"/>
      <c r="AP2075" s="13"/>
      <c r="AQ2075" s="14"/>
      <c r="AR2075" s="15"/>
    </row>
    <row r="2076" spans="1:44" s="17" customFormat="1" ht="30.95" hidden="1" customHeight="1" x14ac:dyDescent="0.2">
      <c r="A2076" s="343" t="s">
        <v>636</v>
      </c>
      <c r="B2076" s="344" t="s">
        <v>445</v>
      </c>
      <c r="C2076" s="345"/>
      <c r="D2076" s="398"/>
      <c r="E2076" s="31"/>
      <c r="F2076" s="268"/>
      <c r="G2076" s="269"/>
      <c r="H2076" s="269"/>
      <c r="I2076" s="270"/>
      <c r="J2076" s="32" t="s">
        <v>448</v>
      </c>
      <c r="K2076" s="270"/>
      <c r="L2076" s="270"/>
      <c r="M2076" s="39"/>
      <c r="N2076" s="39"/>
      <c r="O2076" s="47"/>
      <c r="P2076" s="57"/>
      <c r="Q2076" s="276"/>
      <c r="R2076" s="277"/>
      <c r="S2076" s="277"/>
      <c r="T2076" s="40"/>
      <c r="U2076" s="278"/>
      <c r="V2076" s="269"/>
      <c r="W2076" s="269"/>
      <c r="X2076" s="275"/>
      <c r="Y2076" s="269"/>
      <c r="Z2076" s="357"/>
      <c r="AA2076" s="207"/>
      <c r="AB2076" s="369"/>
      <c r="AC2076" s="370"/>
      <c r="AD2076" s="332"/>
      <c r="AE2076" s="216"/>
      <c r="AF2076" s="43"/>
      <c r="AG2076" s="47"/>
      <c r="AH2076" s="30"/>
      <c r="AI2076" s="30"/>
      <c r="AJ2076" s="30"/>
      <c r="AK2076" s="30"/>
      <c r="AL2076" s="13"/>
      <c r="AM2076" s="13"/>
      <c r="AN2076" s="13"/>
      <c r="AO2076" s="13"/>
      <c r="AP2076" s="13"/>
      <c r="AQ2076" s="14"/>
      <c r="AR2076" s="15"/>
    </row>
    <row r="2077" spans="1:44" s="17" customFormat="1" ht="30.95" hidden="1" customHeight="1" x14ac:dyDescent="0.2">
      <c r="A2077" s="343"/>
      <c r="B2077" s="344"/>
      <c r="C2077" s="345"/>
      <c r="D2077" s="398"/>
      <c r="E2077" s="31"/>
      <c r="F2077" s="268"/>
      <c r="G2077" s="269"/>
      <c r="H2077" s="269"/>
      <c r="I2077" s="270"/>
      <c r="J2077" s="32"/>
      <c r="K2077" s="270"/>
      <c r="L2077" s="270"/>
      <c r="M2077" s="39"/>
      <c r="N2077" s="39"/>
      <c r="O2077" s="47"/>
      <c r="P2077" s="57"/>
      <c r="Q2077" s="276"/>
      <c r="R2077" s="277"/>
      <c r="S2077" s="277"/>
      <c r="T2077" s="40"/>
      <c r="U2077" s="278"/>
      <c r="V2077" s="269"/>
      <c r="W2077" s="269"/>
      <c r="X2077" s="275"/>
      <c r="Y2077" s="269"/>
      <c r="Z2077" s="357"/>
      <c r="AA2077" s="207"/>
      <c r="AB2077" s="369"/>
      <c r="AC2077" s="370"/>
      <c r="AD2077" s="332"/>
      <c r="AE2077" s="216"/>
      <c r="AF2077" s="43"/>
      <c r="AG2077" s="47"/>
      <c r="AH2077" s="30"/>
      <c r="AI2077" s="30"/>
      <c r="AJ2077" s="30"/>
      <c r="AK2077" s="30"/>
      <c r="AL2077" s="13"/>
      <c r="AM2077" s="13"/>
      <c r="AN2077" s="13"/>
      <c r="AO2077" s="13"/>
      <c r="AP2077" s="13"/>
      <c r="AQ2077" s="14"/>
      <c r="AR2077" s="15"/>
    </row>
    <row r="2078" spans="1:44" s="17" customFormat="1" ht="30.95" hidden="1" customHeight="1" x14ac:dyDescent="0.2">
      <c r="A2078" s="343" t="s">
        <v>637</v>
      </c>
      <c r="B2078" s="344" t="s">
        <v>446</v>
      </c>
      <c r="C2078" s="345"/>
      <c r="D2078" s="398"/>
      <c r="E2078" s="31"/>
      <c r="F2078" s="268"/>
      <c r="G2078" s="269"/>
      <c r="H2078" s="269"/>
      <c r="I2078" s="270"/>
      <c r="J2078" s="32" t="s">
        <v>448</v>
      </c>
      <c r="K2078" s="270"/>
      <c r="L2078" s="270"/>
      <c r="M2078" s="39"/>
      <c r="N2078" s="39"/>
      <c r="O2078" s="47"/>
      <c r="P2078" s="57"/>
      <c r="Q2078" s="276"/>
      <c r="R2078" s="277"/>
      <c r="S2078" s="277"/>
      <c r="T2078" s="40"/>
      <c r="U2078" s="278"/>
      <c r="V2078" s="269"/>
      <c r="W2078" s="269"/>
      <c r="X2078" s="275"/>
      <c r="Y2078" s="269"/>
      <c r="Z2078" s="357"/>
      <c r="AA2078" s="207"/>
      <c r="AB2078" s="369"/>
      <c r="AC2078" s="370"/>
      <c r="AD2078" s="332"/>
      <c r="AE2078" s="216"/>
      <c r="AF2078" s="43"/>
      <c r="AG2078" s="47"/>
      <c r="AH2078" s="30"/>
      <c r="AI2078" s="30"/>
      <c r="AJ2078" s="30"/>
      <c r="AK2078" s="30"/>
      <c r="AL2078" s="13"/>
      <c r="AM2078" s="13"/>
      <c r="AN2078" s="13"/>
      <c r="AO2078" s="13"/>
      <c r="AP2078" s="13"/>
      <c r="AQ2078" s="14"/>
      <c r="AR2078" s="15"/>
    </row>
    <row r="2079" spans="1:44" s="17" customFormat="1" ht="30.95" hidden="1" customHeight="1" x14ac:dyDescent="0.2">
      <c r="A2079" s="343"/>
      <c r="B2079" s="344"/>
      <c r="C2079" s="345"/>
      <c r="D2079" s="398"/>
      <c r="E2079" s="31"/>
      <c r="F2079" s="268"/>
      <c r="G2079" s="269"/>
      <c r="H2079" s="269"/>
      <c r="I2079" s="270"/>
      <c r="J2079" s="32"/>
      <c r="K2079" s="270"/>
      <c r="L2079" s="270"/>
      <c r="M2079" s="39"/>
      <c r="N2079" s="39"/>
      <c r="O2079" s="47"/>
      <c r="P2079" s="57"/>
      <c r="Q2079" s="276"/>
      <c r="R2079" s="277"/>
      <c r="S2079" s="277"/>
      <c r="T2079" s="40"/>
      <c r="U2079" s="278"/>
      <c r="V2079" s="269"/>
      <c r="W2079" s="269"/>
      <c r="X2079" s="275"/>
      <c r="Y2079" s="269"/>
      <c r="Z2079" s="357"/>
      <c r="AA2079" s="207"/>
      <c r="AB2079" s="369"/>
      <c r="AC2079" s="370"/>
      <c r="AD2079" s="332"/>
      <c r="AE2079" s="216"/>
      <c r="AF2079" s="43"/>
      <c r="AG2079" s="47"/>
      <c r="AH2079" s="30"/>
      <c r="AI2079" s="30"/>
      <c r="AJ2079" s="30"/>
      <c r="AK2079" s="30"/>
      <c r="AL2079" s="13"/>
      <c r="AM2079" s="13"/>
      <c r="AN2079" s="13"/>
      <c r="AO2079" s="13"/>
      <c r="AP2079" s="13"/>
      <c r="AQ2079" s="14"/>
      <c r="AR2079" s="15"/>
    </row>
    <row r="2080" spans="1:44" s="17" customFormat="1" ht="30.6" hidden="1" customHeight="1" x14ac:dyDescent="0.2">
      <c r="A2080" s="343" t="s">
        <v>1644</v>
      </c>
      <c r="B2080" s="344" t="s">
        <v>462</v>
      </c>
      <c r="C2080" s="345"/>
      <c r="D2080" s="398">
        <v>3778923</v>
      </c>
      <c r="E2080" s="31">
        <v>4155454</v>
      </c>
      <c r="F2080" s="268" t="str">
        <f>IF(D2080="","",VLOOKUP(D2080,契約台帳!$A$3:$K$4986,6,FALSE)&amp;VLOOKUP(D2080,契約台帳!$A$3:$K$4986,7,FALSE)&amp;VLOOKUP(D2080,契約台帳!$A$3:$K$4986,8,FALSE)&amp;VLOOKUP(D2080,契約台帳!$A$3:$K$4986,9,FALSE)&amp;VLOOKUP(D2080,契約台帳!$A$3:$K$4986,11,FALSE))</f>
        <v>3SNMLBMTSF</v>
      </c>
      <c r="G2080" s="269" t="str">
        <f>IF(D2080="","",VLOOKUP(F2080,製品マスタ!$G$5:$H$5002,2,FALSE))</f>
        <v>S</v>
      </c>
      <c r="H2080" s="269" t="str">
        <f>IF(D2080="","",VLOOKUP(F2080,製品マスタ!$G$5:$K$5002,5,FALSE))</f>
        <v>MTSF</v>
      </c>
      <c r="I2080" s="270" t="str">
        <f>IF(D2080="","",VLOOKUP(F2080,製品マスタ!$G$5:$L$5002,6,FALSE))</f>
        <v>メタルミー　ＴＳ</v>
      </c>
      <c r="J2080" s="32" t="s">
        <v>447</v>
      </c>
      <c r="K2080" s="270">
        <f>IF(D2080="","",VLOOKUP(D2080,契約台帳!$A$3:$L$4986,12,FALSE))</f>
        <v>50</v>
      </c>
      <c r="L2080" s="270" t="str">
        <f>IF(D2080="","",INDEX(製品マスタ!$Q$5:$Q$5002,MATCH(F2080&amp;K2080,製品マスタ!$AO$5:$AO$5002,0)))</f>
        <v>T62M</v>
      </c>
      <c r="M2080" s="39">
        <v>1255</v>
      </c>
      <c r="N2080" s="39">
        <v>12200</v>
      </c>
      <c r="O2080" s="47">
        <v>2</v>
      </c>
      <c r="P2080" s="57"/>
      <c r="Q2080" s="276">
        <f>IF(D2080="","",IF(J2080="リード付け",M2080,VLOOKUP(D2080,契約台帳!$A$3:$N$4986,14,FALSE)))</f>
        <v>1255</v>
      </c>
      <c r="R2080" s="277">
        <f>IF(D2080="","",IF(J2080="リード付け",M2080,VLOOKUP(D2080,契約台帳!$A$3:$O$4986,15,FALSE)))</f>
        <v>1250</v>
      </c>
      <c r="S2080" s="277">
        <f>IF(D2080="","",IF(J2080="リード付け",N2080,VLOOKUP(D2080,契約台帳!$A$3:$P$4986,16,FALSE)))</f>
        <v>2000</v>
      </c>
      <c r="T2080" s="40">
        <v>12</v>
      </c>
      <c r="U2080" s="278">
        <f ca="1">IF(D2080="","",IF(OFFSET(D2080,-2,0)=D2080,"",VLOOKUP(D2080,契約台帳!$A$3:$R$4986,18,FALSE)))</f>
        <v>12</v>
      </c>
      <c r="V2080" s="269" t="str">
        <f>IF(J2080="巻返し",VLOOKUP(F2080&amp;K2080&amp;M2080,製品マスタ!$M$5:$AD$5002,18,FALSE),IF(J2080="リード付け","原反コア",IF(J2080="スリット",VLOOKUP(F2080&amp;K2080&amp;Q2080,製品マスタ!$N$5:$AD$5002,17,FALSE),"")))</f>
        <v>3ｲﾝﾁSｺｱ</v>
      </c>
      <c r="W2080" s="269">
        <f>IF(J2080="巻返し",VLOOKUP(F2080&amp;K2080&amp;M2080,製品マスタ!$M$5:$AE$5002,19,FALSE),IF(J2080="リード付け","-",IF(J2080="スリット",VLOOKUP(F2080&amp;K2080&amp;Q2080,製品マスタ!$N$5:$AE$5002,18,FALSE),"")))</f>
        <v>1260</v>
      </c>
      <c r="X2080" s="275">
        <f>IF(D2080="","",VLOOKUP(D2080,契約台帳!$A$3:$Q$4986,17,FALSE))</f>
        <v>2</v>
      </c>
      <c r="Y2080" s="269" t="str">
        <f>IF(D2080="","",VLOOKUP(D2080,契約台帳!$A$3:$E$4986,5,FALSE))</f>
        <v>日東電工㈱豊橋工場</v>
      </c>
      <c r="Z2080" s="357"/>
      <c r="AA2080" s="207"/>
      <c r="AB2080" s="369"/>
      <c r="AC2080" s="370"/>
      <c r="AD2080" s="332" t="str">
        <f>IF(F2080="","",+F2080&amp;K2080)</f>
        <v>3SNMLBMTSF50</v>
      </c>
      <c r="AE2080" s="216">
        <f>+M2080*N2080*O2080/1000</f>
        <v>30622</v>
      </c>
      <c r="AF2080" s="43">
        <f>IF(AD2080="","",VLOOKUP(AD2080,原価マスタ!$A$2:$AJ$1693,13,FALSE))</f>
        <v>95</v>
      </c>
      <c r="AG2080" s="47">
        <f>IF(AF2080="","",+AE2080*AF2080/100)</f>
        <v>29090.9</v>
      </c>
      <c r="AH2080" s="30"/>
      <c r="AI2080" s="30"/>
      <c r="AJ2080" s="30"/>
      <c r="AK2080" s="30"/>
      <c r="AL2080" s="13"/>
      <c r="AM2080" s="13"/>
      <c r="AN2080" s="13"/>
      <c r="AO2080" s="13"/>
      <c r="AP2080" s="13"/>
      <c r="AQ2080" s="14"/>
      <c r="AR2080" s="15"/>
    </row>
    <row r="2081" spans="1:44" s="17" customFormat="1" ht="30.95" hidden="1" customHeight="1" x14ac:dyDescent="0.2">
      <c r="A2081" s="343"/>
      <c r="B2081" s="344"/>
      <c r="C2081" s="345"/>
      <c r="D2081" s="398"/>
      <c r="E2081" s="31"/>
      <c r="F2081" s="268"/>
      <c r="G2081" s="269"/>
      <c r="H2081" s="269"/>
      <c r="I2081" s="270"/>
      <c r="J2081" s="32"/>
      <c r="K2081" s="270"/>
      <c r="L2081" s="270"/>
      <c r="M2081" s="39"/>
      <c r="N2081" s="39"/>
      <c r="O2081" s="47"/>
      <c r="P2081" s="57"/>
      <c r="Q2081" s="276"/>
      <c r="R2081" s="277"/>
      <c r="S2081" s="277"/>
      <c r="T2081" s="40"/>
      <c r="U2081" s="278"/>
      <c r="V2081" s="269"/>
      <c r="W2081" s="269"/>
      <c r="X2081" s="275"/>
      <c r="Y2081" s="269"/>
      <c r="Z2081" s="357"/>
      <c r="AA2081" s="207"/>
      <c r="AB2081" s="369"/>
      <c r="AC2081" s="370"/>
      <c r="AD2081" s="332"/>
      <c r="AE2081" s="216"/>
      <c r="AF2081" s="43"/>
      <c r="AG2081" s="47"/>
      <c r="AH2081" s="30"/>
      <c r="AI2081" s="30"/>
      <c r="AJ2081" s="30"/>
      <c r="AK2081" s="30"/>
      <c r="AL2081" s="13"/>
      <c r="AM2081" s="13"/>
      <c r="AN2081" s="13"/>
      <c r="AO2081" s="13"/>
      <c r="AP2081" s="13"/>
      <c r="AQ2081" s="14"/>
      <c r="AR2081" s="15"/>
    </row>
    <row r="2082" spans="1:44" s="233" customFormat="1" ht="30.95" hidden="1" customHeight="1" x14ac:dyDescent="0.2">
      <c r="A2082" s="399"/>
      <c r="B2082" s="400"/>
      <c r="C2082" s="401"/>
      <c r="D2082" s="396"/>
      <c r="E2082" s="219"/>
      <c r="F2082" s="281"/>
      <c r="G2082" s="282"/>
      <c r="H2082" s="282"/>
      <c r="I2082" s="283"/>
      <c r="J2082" s="220"/>
      <c r="K2082" s="283"/>
      <c r="L2082" s="283"/>
      <c r="M2082" s="221"/>
      <c r="N2082" s="221"/>
      <c r="O2082" s="222"/>
      <c r="P2082" s="213"/>
      <c r="Q2082" s="284"/>
      <c r="R2082" s="285"/>
      <c r="S2082" s="285"/>
      <c r="T2082" s="224"/>
      <c r="U2082" s="286"/>
      <c r="V2082" s="282"/>
      <c r="W2082" s="282"/>
      <c r="X2082" s="287"/>
      <c r="Y2082" s="282"/>
      <c r="Z2082" s="356"/>
      <c r="AA2082" s="288"/>
      <c r="AB2082" s="385"/>
      <c r="AC2082" s="386"/>
      <c r="AD2082" s="387"/>
      <c r="AE2082" s="423"/>
      <c r="AF2082" s="223"/>
      <c r="AG2082" s="234">
        <f>SUM(AG1966:AG2081)</f>
        <v>929787.53949999996</v>
      </c>
      <c r="AH2082" s="229"/>
      <c r="AI2082" s="229"/>
      <c r="AJ2082" s="229"/>
      <c r="AK2082" s="229"/>
      <c r="AL2082" s="230"/>
      <c r="AM2082" s="230"/>
      <c r="AN2082" s="230"/>
      <c r="AO2082" s="230"/>
      <c r="AP2082" s="230"/>
      <c r="AQ2082" s="231"/>
      <c r="AR2082" s="232"/>
    </row>
    <row r="2083" spans="1:44" s="17" customFormat="1" ht="30.95" hidden="1" customHeight="1" x14ac:dyDescent="0.2">
      <c r="A2083" s="343"/>
      <c r="B2083" s="344"/>
      <c r="C2083" s="345"/>
      <c r="D2083" s="398"/>
      <c r="E2083" s="31"/>
      <c r="F2083" s="268"/>
      <c r="G2083" s="269"/>
      <c r="H2083" s="269"/>
      <c r="I2083" s="270"/>
      <c r="J2083" s="32"/>
      <c r="K2083" s="270"/>
      <c r="L2083" s="270"/>
      <c r="M2083" s="39"/>
      <c r="N2083" s="39"/>
      <c r="O2083" s="47"/>
      <c r="P2083" s="57"/>
      <c r="Q2083" s="276"/>
      <c r="R2083" s="277"/>
      <c r="S2083" s="277"/>
      <c r="T2083" s="40"/>
      <c r="U2083" s="278"/>
      <c r="V2083" s="269"/>
      <c r="W2083" s="269"/>
      <c r="X2083" s="275"/>
      <c r="Y2083" s="269"/>
      <c r="Z2083" s="357"/>
      <c r="AA2083" s="207"/>
      <c r="AB2083" s="369"/>
      <c r="AC2083" s="370"/>
      <c r="AD2083" s="332"/>
      <c r="AE2083" s="216"/>
      <c r="AF2083" s="43"/>
      <c r="AG2083" s="47"/>
      <c r="AH2083" s="30"/>
      <c r="AI2083" s="30"/>
      <c r="AJ2083" s="30"/>
      <c r="AK2083" s="30"/>
      <c r="AL2083" s="13"/>
      <c r="AM2083" s="13"/>
      <c r="AN2083" s="13"/>
      <c r="AO2083" s="13"/>
      <c r="AP2083" s="13"/>
      <c r="AQ2083" s="14"/>
      <c r="AR2083" s="15"/>
    </row>
    <row r="2084" spans="1:44" s="17" customFormat="1" ht="30.95" hidden="1" customHeight="1" x14ac:dyDescent="0.2">
      <c r="A2084" s="343" t="s">
        <v>3231</v>
      </c>
      <c r="B2084" s="344" t="s">
        <v>3223</v>
      </c>
      <c r="C2084" s="345"/>
      <c r="D2084" s="398"/>
      <c r="E2084" s="31"/>
      <c r="F2084" s="268"/>
      <c r="G2084" s="269"/>
      <c r="H2084" s="269"/>
      <c r="I2084" s="270"/>
      <c r="J2084" s="32" t="s">
        <v>490</v>
      </c>
      <c r="K2084" s="270"/>
      <c r="L2084" s="270"/>
      <c r="M2084" s="39"/>
      <c r="N2084" s="39"/>
      <c r="O2084" s="47"/>
      <c r="P2084" s="57"/>
      <c r="Q2084" s="276"/>
      <c r="R2084" s="277"/>
      <c r="S2084" s="277"/>
      <c r="T2084" s="40"/>
      <c r="U2084" s="278"/>
      <c r="V2084" s="269"/>
      <c r="W2084" s="269"/>
      <c r="X2084" s="275"/>
      <c r="Y2084" s="269"/>
      <c r="Z2084" s="357"/>
      <c r="AA2084" s="207"/>
      <c r="AB2084" s="369"/>
      <c r="AC2084" s="370"/>
      <c r="AD2084" s="332"/>
      <c r="AE2084" s="216"/>
      <c r="AF2084" s="43"/>
      <c r="AG2084" s="47"/>
      <c r="AH2084" s="30"/>
      <c r="AI2084" s="30"/>
      <c r="AJ2084" s="30"/>
      <c r="AK2084" s="30"/>
      <c r="AL2084" s="13"/>
      <c r="AM2084" s="13"/>
      <c r="AN2084" s="13"/>
      <c r="AO2084" s="13"/>
      <c r="AP2084" s="13"/>
      <c r="AQ2084" s="14"/>
      <c r="AR2084" s="15"/>
    </row>
    <row r="2085" spans="1:44" s="17" customFormat="1" ht="30.95" hidden="1" customHeight="1" x14ac:dyDescent="0.2">
      <c r="A2085" s="343"/>
      <c r="B2085" s="344"/>
      <c r="C2085" s="345"/>
      <c r="D2085" s="398"/>
      <c r="E2085" s="31"/>
      <c r="F2085" s="268"/>
      <c r="G2085" s="269"/>
      <c r="H2085" s="269"/>
      <c r="I2085" s="270"/>
      <c r="J2085" s="32"/>
      <c r="K2085" s="270"/>
      <c r="L2085" s="270"/>
      <c r="M2085" s="39"/>
      <c r="N2085" s="39"/>
      <c r="O2085" s="47"/>
      <c r="P2085" s="57"/>
      <c r="Q2085" s="276"/>
      <c r="R2085" s="277"/>
      <c r="S2085" s="277"/>
      <c r="T2085" s="40"/>
      <c r="U2085" s="278"/>
      <c r="V2085" s="269"/>
      <c r="W2085" s="269"/>
      <c r="X2085" s="275"/>
      <c r="Y2085" s="269"/>
      <c r="Z2085" s="357"/>
      <c r="AA2085" s="207"/>
      <c r="AB2085" s="369"/>
      <c r="AC2085" s="370"/>
      <c r="AD2085" s="332"/>
      <c r="AE2085" s="216"/>
      <c r="AF2085" s="43"/>
      <c r="AG2085" s="47"/>
      <c r="AH2085" s="30"/>
      <c r="AI2085" s="30"/>
      <c r="AJ2085" s="30"/>
      <c r="AK2085" s="30"/>
      <c r="AL2085" s="13"/>
      <c r="AM2085" s="13"/>
      <c r="AN2085" s="13"/>
      <c r="AO2085" s="13"/>
      <c r="AP2085" s="13"/>
      <c r="AQ2085" s="14"/>
      <c r="AR2085" s="15"/>
    </row>
    <row r="2086" spans="1:44" s="17" customFormat="1" ht="30.95" hidden="1" customHeight="1" x14ac:dyDescent="0.2">
      <c r="A2086" s="343" t="s">
        <v>3232</v>
      </c>
      <c r="B2086" s="344" t="s">
        <v>3225</v>
      </c>
      <c r="C2086" s="345"/>
      <c r="D2086" s="398"/>
      <c r="E2086" s="31"/>
      <c r="F2086" s="268"/>
      <c r="G2086" s="269"/>
      <c r="H2086" s="269"/>
      <c r="I2086" s="341"/>
      <c r="J2086" s="32" t="s">
        <v>3328</v>
      </c>
      <c r="K2086" s="270"/>
      <c r="L2086" s="270"/>
      <c r="M2086" s="39"/>
      <c r="N2086" s="39"/>
      <c r="O2086" s="47"/>
      <c r="P2086" s="57"/>
      <c r="Q2086" s="276"/>
      <c r="R2086" s="277"/>
      <c r="S2086" s="277"/>
      <c r="T2086" s="40"/>
      <c r="U2086" s="278"/>
      <c r="V2086" s="269"/>
      <c r="W2086" s="269"/>
      <c r="X2086" s="275"/>
      <c r="Y2086" s="269"/>
      <c r="Z2086" s="357"/>
      <c r="AA2086" s="207"/>
      <c r="AB2086" s="369"/>
      <c r="AC2086" s="370"/>
      <c r="AD2086" s="332"/>
      <c r="AE2086" s="216"/>
      <c r="AF2086" s="43"/>
      <c r="AG2086" s="47"/>
      <c r="AH2086" s="30"/>
      <c r="AI2086" s="30"/>
      <c r="AJ2086" s="30"/>
      <c r="AK2086" s="30"/>
      <c r="AL2086" s="13"/>
      <c r="AM2086" s="13"/>
      <c r="AN2086" s="13"/>
      <c r="AO2086" s="13"/>
      <c r="AP2086" s="13"/>
      <c r="AQ2086" s="14"/>
      <c r="AR2086" s="15"/>
    </row>
    <row r="2087" spans="1:44" s="17" customFormat="1" ht="30.95" hidden="1" customHeight="1" x14ac:dyDescent="0.2">
      <c r="A2087" s="343"/>
      <c r="B2087" s="344"/>
      <c r="C2087" s="345"/>
      <c r="D2087" s="398"/>
      <c r="E2087" s="31"/>
      <c r="F2087" s="268"/>
      <c r="G2087" s="269"/>
      <c r="H2087" s="269"/>
      <c r="I2087" s="270"/>
      <c r="J2087" s="32"/>
      <c r="K2087" s="270"/>
      <c r="L2087" s="270"/>
      <c r="M2087" s="39"/>
      <c r="N2087" s="39"/>
      <c r="O2087" s="47"/>
      <c r="P2087" s="57"/>
      <c r="Q2087" s="276"/>
      <c r="R2087" s="277"/>
      <c r="S2087" s="277"/>
      <c r="T2087" s="40"/>
      <c r="U2087" s="278"/>
      <c r="V2087" s="269"/>
      <c r="W2087" s="269"/>
      <c r="X2087" s="275"/>
      <c r="Y2087" s="269"/>
      <c r="Z2087" s="357"/>
      <c r="AA2087" s="207"/>
      <c r="AB2087" s="369"/>
      <c r="AC2087" s="370"/>
      <c r="AD2087" s="332"/>
      <c r="AE2087" s="216"/>
      <c r="AF2087" s="43"/>
      <c r="AG2087" s="47"/>
      <c r="AH2087" s="30"/>
      <c r="AI2087" s="30"/>
      <c r="AJ2087" s="30"/>
      <c r="AK2087" s="30"/>
      <c r="AL2087" s="13"/>
      <c r="AM2087" s="13"/>
      <c r="AN2087" s="13"/>
      <c r="AO2087" s="13"/>
      <c r="AP2087" s="13"/>
      <c r="AQ2087" s="14"/>
      <c r="AR2087" s="15"/>
    </row>
    <row r="2088" spans="1:44" s="17" customFormat="1" ht="30.95" hidden="1" customHeight="1" x14ac:dyDescent="0.2">
      <c r="A2088" s="343" t="s">
        <v>3326</v>
      </c>
      <c r="B2088" s="344" t="s">
        <v>3327</v>
      </c>
      <c r="C2088" s="345"/>
      <c r="D2088" s="398"/>
      <c r="E2088" s="31"/>
      <c r="F2088" s="268"/>
      <c r="G2088" s="269"/>
      <c r="H2088" s="269"/>
      <c r="I2088" s="270"/>
      <c r="J2088" s="32" t="s">
        <v>3329</v>
      </c>
      <c r="K2088" s="270"/>
      <c r="L2088" s="270"/>
      <c r="M2088" s="39"/>
      <c r="N2088" s="39"/>
      <c r="O2088" s="47"/>
      <c r="P2088" s="57"/>
      <c r="Q2088" s="276"/>
      <c r="R2088" s="277"/>
      <c r="S2088" s="277"/>
      <c r="T2088" s="40"/>
      <c r="U2088" s="278"/>
      <c r="V2088" s="269"/>
      <c r="W2088" s="269"/>
      <c r="X2088" s="275"/>
      <c r="Y2088" s="269"/>
      <c r="Z2088" s="357"/>
      <c r="AA2088" s="207"/>
      <c r="AB2088" s="369"/>
      <c r="AC2088" s="370"/>
      <c r="AD2088" s="332"/>
      <c r="AE2088" s="216"/>
      <c r="AF2088" s="43"/>
      <c r="AG2088" s="47"/>
      <c r="AH2088" s="30"/>
      <c r="AI2088" s="30"/>
      <c r="AJ2088" s="30"/>
      <c r="AK2088" s="30"/>
      <c r="AL2088" s="13"/>
      <c r="AM2088" s="13"/>
      <c r="AN2088" s="13"/>
      <c r="AO2088" s="13"/>
      <c r="AP2088" s="13"/>
      <c r="AQ2088" s="14"/>
      <c r="AR2088" s="15"/>
    </row>
    <row r="2089" spans="1:44" s="17" customFormat="1" ht="30.95" hidden="1" customHeight="1" x14ac:dyDescent="0.2">
      <c r="A2089" s="343"/>
      <c r="B2089" s="344"/>
      <c r="C2089" s="345"/>
      <c r="D2089" s="398"/>
      <c r="E2089" s="31"/>
      <c r="F2089" s="268"/>
      <c r="G2089" s="269"/>
      <c r="H2089" s="269"/>
      <c r="I2089" s="270"/>
      <c r="J2089" s="32"/>
      <c r="K2089" s="270"/>
      <c r="L2089" s="270"/>
      <c r="M2089" s="39"/>
      <c r="N2089" s="39"/>
      <c r="O2089" s="47"/>
      <c r="P2089" s="57"/>
      <c r="Q2089" s="276"/>
      <c r="R2089" s="277"/>
      <c r="S2089" s="277"/>
      <c r="T2089" s="40"/>
      <c r="U2089" s="278"/>
      <c r="V2089" s="269"/>
      <c r="W2089" s="269"/>
      <c r="X2089" s="275"/>
      <c r="Y2089" s="269"/>
      <c r="Z2089" s="357"/>
      <c r="AA2089" s="207"/>
      <c r="AB2089" s="369"/>
      <c r="AC2089" s="370"/>
      <c r="AD2089" s="332"/>
      <c r="AE2089" s="216"/>
      <c r="AF2089" s="43"/>
      <c r="AG2089" s="47"/>
      <c r="AH2089" s="30"/>
      <c r="AI2089" s="30"/>
      <c r="AJ2089" s="30"/>
      <c r="AK2089" s="30"/>
      <c r="AL2089" s="13"/>
      <c r="AM2089" s="13"/>
      <c r="AN2089" s="13"/>
      <c r="AO2089" s="13"/>
      <c r="AP2089" s="13"/>
      <c r="AQ2089" s="14"/>
      <c r="AR2089" s="15"/>
    </row>
    <row r="2090" spans="1:44" s="17" customFormat="1" ht="30.95" hidden="1" customHeight="1" x14ac:dyDescent="0.2">
      <c r="A2090" s="343" t="s">
        <v>3322</v>
      </c>
      <c r="B2090" s="344" t="s">
        <v>3323</v>
      </c>
      <c r="C2090" s="345"/>
      <c r="D2090" s="31">
        <v>3783798</v>
      </c>
      <c r="E2090" s="31">
        <v>4172148</v>
      </c>
      <c r="F2090" s="268" t="str">
        <f>IF(D2090="","",VLOOKUP(D2090,契約台帳!$A$3:$K$4986,6,FALSE)&amp;VLOOKUP(D2090,契約台帳!$A$3:$K$4986,7,FALSE)&amp;VLOOKUP(D2090,契約台帳!$A$3:$K$4986,8,FALSE)&amp;VLOOKUP(D2090,契約台帳!$A$3:$K$4986,9,FALSE)&amp;VLOOKUP(D2090,契約台帳!$A$3:$K$4986,11,FALSE))</f>
        <v>3SNMLBMSF</v>
      </c>
      <c r="G2090" s="269" t="str">
        <f>IF(D2090="","",VLOOKUP(F2090,製品マスタ!$G$5:$H$5002,2,FALSE))</f>
        <v>S</v>
      </c>
      <c r="H2090" s="269" t="str">
        <f>IF(D2090="","",VLOOKUP(F2090,製品マスタ!$G$5:$K$5002,5,FALSE))</f>
        <v>MSF</v>
      </c>
      <c r="I2090" s="270" t="str">
        <f>IF(D2090="","",VLOOKUP(F2090,製品マスタ!$G$5:$L$5002,6,FALSE))</f>
        <v>メタルミー　Ｓ</v>
      </c>
      <c r="J2090" s="32" t="s">
        <v>3017</v>
      </c>
      <c r="K2090" s="270">
        <f>IF(D2090="","",VLOOKUP(D2090,契約台帳!$A$3:$L$4986,12,FALSE))</f>
        <v>25</v>
      </c>
      <c r="L2090" s="270" t="str">
        <f>IF(D2090="","",INDEX(製品マスタ!$Q$5:$Q$5002,MATCH(F2090&amp;K2090,製品マスタ!$AO$5:$AO$5002,0)))</f>
        <v>T62M</v>
      </c>
      <c r="M2090" s="39">
        <v>1240</v>
      </c>
      <c r="N2090" s="39">
        <v>12200</v>
      </c>
      <c r="O2090" s="47">
        <v>1</v>
      </c>
      <c r="P2090" s="356">
        <v>45597</v>
      </c>
      <c r="Q2090" s="276">
        <f>IF(D2090="","",IF(J2090="リード付け",M2090,VLOOKUP(D2090,契約台帳!$A$3:$N$4986,14,FALSE)))</f>
        <v>1240</v>
      </c>
      <c r="R2090" s="277">
        <f>IF(D2090="","",IF(J2090="リード付け",M2090,VLOOKUP(D2090,契約台帳!$A$3:$O$4986,15,FALSE)))</f>
        <v>1240</v>
      </c>
      <c r="S2090" s="277">
        <f>IF(D2090="","",IF(J2090="リード付け",N2090,VLOOKUP(D2090,契約台帳!$A$3:$P$4986,16,FALSE)))</f>
        <v>12200</v>
      </c>
      <c r="T2090" s="40">
        <v>1</v>
      </c>
      <c r="U2090" s="278">
        <f ca="1">IF(D2090="","",IF(OFFSET(D2090,-2,0)=D2090,"",VLOOKUP(D2090,契約台帳!$A$3:$R$4986,18,FALSE)))</f>
        <v>6</v>
      </c>
      <c r="V2090" s="269" t="str">
        <f>IF(J2090="巻返し",VLOOKUP(F2090&amp;K2090&amp;M2090,製品マスタ!$M$5:$AD$5002,18,FALSE),IF(J2090="リード付け","原反コア",IF(J2090="スリット",VLOOKUP(F2090&amp;K2090&amp;Q2090,製品マスタ!$N$5:$AD$5002,17,FALSE),"")))</f>
        <v>原反コア</v>
      </c>
      <c r="W2090" s="269" t="str">
        <f>IF(J2090="巻返し",VLOOKUP(F2090&amp;K2090&amp;M2090,製品マスタ!$M$5:$AE$5002,19,FALSE),IF(J2090="リード付け","-",IF(J2090="スリット",VLOOKUP(F2090&amp;K2090&amp;Q2090,製品マスタ!$N$5:$AE$5002,18,FALSE),"")))</f>
        <v>-</v>
      </c>
      <c r="X2090" s="275">
        <f>IF(D2090="","",VLOOKUP(D2090,契約台帳!$A$3:$Q$4986,17,FALSE))</f>
        <v>1</v>
      </c>
      <c r="Y2090" s="269" t="str">
        <f>IF(D2090="","",VLOOKUP(D2090,契約台帳!$A$3:$E$4986,5,FALSE))</f>
        <v>日精㈱東京支店</v>
      </c>
      <c r="Z2090" s="357"/>
      <c r="AA2090" s="207"/>
      <c r="AB2090" s="369"/>
      <c r="AC2090" s="370"/>
      <c r="AD2090" s="332"/>
      <c r="AE2090" s="216"/>
      <c r="AF2090" s="43"/>
      <c r="AG2090" s="47"/>
      <c r="AH2090" s="30"/>
      <c r="AI2090" s="30"/>
      <c r="AJ2090" s="30"/>
      <c r="AK2090" s="30"/>
      <c r="AL2090" s="13"/>
      <c r="AM2090" s="13"/>
      <c r="AN2090" s="13"/>
      <c r="AO2090" s="13"/>
      <c r="AP2090" s="13"/>
      <c r="AQ2090" s="14"/>
      <c r="AR2090" s="15"/>
    </row>
    <row r="2091" spans="1:44" s="17" customFormat="1" ht="30.95" hidden="1" customHeight="1" x14ac:dyDescent="0.2">
      <c r="A2091" s="343"/>
      <c r="B2091" s="344"/>
      <c r="C2091" s="345"/>
      <c r="D2091" s="398"/>
      <c r="E2091" s="31"/>
      <c r="F2091" s="268"/>
      <c r="G2091" s="269"/>
      <c r="H2091" s="269"/>
      <c r="I2091" s="270"/>
      <c r="J2091" s="32"/>
      <c r="K2091" s="270"/>
      <c r="L2091" s="270"/>
      <c r="M2091" s="39"/>
      <c r="N2091" s="39"/>
      <c r="O2091" s="47"/>
      <c r="P2091" s="57"/>
      <c r="Q2091" s="276"/>
      <c r="R2091" s="277"/>
      <c r="S2091" s="277"/>
      <c r="T2091" s="40"/>
      <c r="U2091" s="278"/>
      <c r="V2091" s="269"/>
      <c r="W2091" s="269"/>
      <c r="X2091" s="275"/>
      <c r="Y2091" s="269"/>
      <c r="Z2091" s="357"/>
      <c r="AA2091" s="207"/>
      <c r="AB2091" s="369"/>
      <c r="AC2091" s="370"/>
      <c r="AD2091" s="332"/>
      <c r="AE2091" s="216"/>
      <c r="AF2091" s="43"/>
      <c r="AG2091" s="47"/>
      <c r="AH2091" s="30"/>
      <c r="AI2091" s="30"/>
      <c r="AJ2091" s="30"/>
      <c r="AK2091" s="30"/>
      <c r="AL2091" s="13"/>
      <c r="AM2091" s="13"/>
      <c r="AN2091" s="13"/>
      <c r="AO2091" s="13"/>
      <c r="AP2091" s="13"/>
      <c r="AQ2091" s="14"/>
      <c r="AR2091" s="15"/>
    </row>
    <row r="2092" spans="1:44" s="17" customFormat="1" ht="30.95" hidden="1" customHeight="1" x14ac:dyDescent="0.2">
      <c r="A2092" s="343"/>
      <c r="B2092" s="344"/>
      <c r="C2092" s="345"/>
      <c r="D2092" s="31">
        <v>3783809</v>
      </c>
      <c r="E2092" s="31">
        <v>4172150</v>
      </c>
      <c r="F2092" s="268" t="str">
        <f>IF(D2092="","",VLOOKUP(D2092,契約台帳!$A$3:$K$4986,6,FALSE)&amp;VLOOKUP(D2092,契約台帳!$A$3:$K$4986,7,FALSE)&amp;VLOOKUP(D2092,契約台帳!$A$3:$K$4986,8,FALSE)&amp;VLOOKUP(D2092,契約台帳!$A$3:$K$4986,9,FALSE)&amp;VLOOKUP(D2092,契約台帳!$A$3:$K$4986,11,FALSE))</f>
        <v>3SNMLBMNGTBF</v>
      </c>
      <c r="G2092" s="269" t="str">
        <f>IF(D2092="","",VLOOKUP(F2092,製品マスタ!$G$5:$H$5002,2,FALSE))</f>
        <v>S</v>
      </c>
      <c r="H2092" s="269" t="str">
        <f>IF(D2092="","",VLOOKUP(F2092,製品マスタ!$G$5:$K$5002,5,FALSE))</f>
        <v>MNGTBF</v>
      </c>
      <c r="I2092" s="270" t="str">
        <f>IF(D2092="","",VLOOKUP(F2092,製品マスタ!$G$5:$L$5002,6,FALSE))</f>
        <v>メタルミー　ネーマー　銀艶　Ｂ</v>
      </c>
      <c r="J2092" s="32" t="s">
        <v>3017</v>
      </c>
      <c r="K2092" s="270">
        <f>IF(D2092="","",VLOOKUP(D2092,契約台帳!$A$3:$L$4986,12,FALSE))</f>
        <v>25</v>
      </c>
      <c r="L2092" s="270" t="str">
        <f>IF(D2092="","",INDEX(製品マスタ!$Q$5:$Q$5002,MATCH(F2092&amp;K2092,製品マスタ!$AO$5:$AO$5002,0)))</f>
        <v>T62M</v>
      </c>
      <c r="M2092" s="39">
        <v>1125</v>
      </c>
      <c r="N2092" s="39">
        <v>12100</v>
      </c>
      <c r="O2092" s="47">
        <v>1</v>
      </c>
      <c r="P2092" s="356">
        <v>45597</v>
      </c>
      <c r="Q2092" s="276">
        <f>IF(D2092="","",IF(J2092="リード付け",M2092,VLOOKUP(D2092,契約台帳!$A$3:$N$4986,14,FALSE)))</f>
        <v>1125</v>
      </c>
      <c r="R2092" s="277">
        <f>IF(D2092="","",IF(J2092="リード付け",M2092,VLOOKUP(D2092,契約台帳!$A$3:$O$4986,15,FALSE)))</f>
        <v>1125</v>
      </c>
      <c r="S2092" s="277">
        <f>IF(D2092="","",IF(J2092="リード付け",N2092,VLOOKUP(D2092,契約台帳!$A$3:$P$4986,16,FALSE)))</f>
        <v>12100</v>
      </c>
      <c r="T2092" s="40">
        <v>1</v>
      </c>
      <c r="U2092" s="278">
        <f ca="1">IF(D2092="","",IF(OFFSET(D2092,-2,0)=D2092,"",VLOOKUP(D2092,契約台帳!$A$3:$R$4986,18,FALSE)))</f>
        <v>3</v>
      </c>
      <c r="V2092" s="269" t="str">
        <f>IF(J2092="巻返し",VLOOKUP(F2092&amp;K2092&amp;M2092,製品マスタ!$M$5:$AD$5002,18,FALSE),IF(J2092="リード付け","原反コア",IF(J2092="スリット",VLOOKUP(F2092&amp;K2092&amp;Q2092,製品マスタ!$N$5:$AD$5002,17,FALSE),"")))</f>
        <v>原反コア</v>
      </c>
      <c r="W2092" s="269" t="str">
        <f>IF(J2092="巻返し",VLOOKUP(F2092&amp;K2092&amp;M2092,製品マスタ!$M$5:$AE$5002,19,FALSE),IF(J2092="リード付け","-",IF(J2092="スリット",VLOOKUP(F2092&amp;K2092&amp;Q2092,製品マスタ!$N$5:$AE$5002,18,FALSE),"")))</f>
        <v>-</v>
      </c>
      <c r="X2092" s="275">
        <f>IF(D2092="","",VLOOKUP(D2092,契約台帳!$A$3:$Q$4986,17,FALSE))</f>
        <v>2</v>
      </c>
      <c r="Y2092" s="269" t="str">
        <f>IF(D2092="","",VLOOKUP(D2092,契約台帳!$A$3:$E$4986,5,FALSE))</f>
        <v>リンテック㈱</v>
      </c>
      <c r="Z2092" s="357"/>
      <c r="AA2092" s="207"/>
      <c r="AB2092" s="369"/>
      <c r="AC2092" s="370"/>
      <c r="AD2092" s="332"/>
      <c r="AE2092" s="216"/>
      <c r="AF2092" s="43"/>
      <c r="AG2092" s="47"/>
      <c r="AH2092" s="30"/>
      <c r="AI2092" s="30"/>
      <c r="AJ2092" s="30"/>
      <c r="AK2092" s="30"/>
      <c r="AL2092" s="13"/>
      <c r="AM2092" s="13"/>
      <c r="AN2092" s="13"/>
      <c r="AO2092" s="13"/>
      <c r="AP2092" s="13"/>
      <c r="AQ2092" s="14"/>
      <c r="AR2092" s="15"/>
    </row>
    <row r="2093" spans="1:44" s="17" customFormat="1" ht="30.95" hidden="1" customHeight="1" x14ac:dyDescent="0.2">
      <c r="A2093" s="343"/>
      <c r="B2093" s="344"/>
      <c r="C2093" s="345"/>
      <c r="D2093" s="398"/>
      <c r="E2093" s="31"/>
      <c r="F2093" s="268"/>
      <c r="G2093" s="269"/>
      <c r="H2093" s="269"/>
      <c r="I2093" s="270"/>
      <c r="J2093" s="32"/>
      <c r="K2093" s="270"/>
      <c r="L2093" s="270"/>
      <c r="M2093" s="39"/>
      <c r="N2093" s="39"/>
      <c r="O2093" s="47"/>
      <c r="P2093" s="57"/>
      <c r="Q2093" s="276"/>
      <c r="R2093" s="277"/>
      <c r="S2093" s="277"/>
      <c r="T2093" s="40"/>
      <c r="U2093" s="278"/>
      <c r="V2093" s="269"/>
      <c r="W2093" s="269"/>
      <c r="X2093" s="275"/>
      <c r="Y2093" s="269"/>
      <c r="Z2093" s="357"/>
      <c r="AA2093" s="207"/>
      <c r="AB2093" s="369"/>
      <c r="AC2093" s="370"/>
      <c r="AD2093" s="332"/>
      <c r="AE2093" s="216"/>
      <c r="AF2093" s="43"/>
      <c r="AG2093" s="47"/>
      <c r="AH2093" s="30"/>
      <c r="AI2093" s="30"/>
      <c r="AJ2093" s="30"/>
      <c r="AK2093" s="30"/>
      <c r="AL2093" s="13"/>
      <c r="AM2093" s="13"/>
      <c r="AN2093" s="13"/>
      <c r="AO2093" s="13"/>
      <c r="AP2093" s="13"/>
      <c r="AQ2093" s="14"/>
      <c r="AR2093" s="15"/>
    </row>
    <row r="2094" spans="1:44" s="17" customFormat="1" ht="30.95" hidden="1" customHeight="1" x14ac:dyDescent="0.2">
      <c r="A2094" s="343"/>
      <c r="B2094" s="344"/>
      <c r="C2094" s="345"/>
      <c r="D2094" s="31">
        <v>3783797</v>
      </c>
      <c r="E2094" s="31">
        <v>4172147</v>
      </c>
      <c r="F2094" s="268" t="str">
        <f>IF(D2094="","",VLOOKUP(D2094,契約台帳!$A$3:$K$4986,6,FALSE)&amp;VLOOKUP(D2094,契約台帳!$A$3:$K$4986,7,FALSE)&amp;VLOOKUP(D2094,契約台帳!$A$3:$K$4986,8,FALSE)&amp;VLOOKUP(D2094,契約台帳!$A$3:$K$4986,9,FALSE)&amp;VLOOKUP(D2094,契約台帳!$A$3:$K$4986,11,FALSE))</f>
        <v>3SNMLBMSF</v>
      </c>
      <c r="G2094" s="269" t="str">
        <f>IF(D2094="","",VLOOKUP(F2094,製品マスタ!$G$5:$H$5002,2,FALSE))</f>
        <v>S</v>
      </c>
      <c r="H2094" s="269" t="str">
        <f>IF(D2094="","",VLOOKUP(F2094,製品マスタ!$G$5:$K$5002,5,FALSE))</f>
        <v>MSF</v>
      </c>
      <c r="I2094" s="270" t="str">
        <f>IF(D2094="","",VLOOKUP(F2094,製品マスタ!$G$5:$L$5002,6,FALSE))</f>
        <v>メタルミー　Ｓ</v>
      </c>
      <c r="J2094" s="32" t="s">
        <v>3017</v>
      </c>
      <c r="K2094" s="270">
        <f>IF(D2094="","",VLOOKUP(D2094,契約台帳!$A$3:$L$4986,12,FALSE))</f>
        <v>25</v>
      </c>
      <c r="L2094" s="270" t="str">
        <f>IF(D2094="","",INDEX(製品マスタ!$Q$5:$Q$5002,MATCH(F2094&amp;K2094,製品マスタ!$AO$5:$AO$5002,0)))</f>
        <v>T62M</v>
      </c>
      <c r="M2094" s="39">
        <v>1020</v>
      </c>
      <c r="N2094" s="39">
        <v>12100</v>
      </c>
      <c r="O2094" s="47">
        <v>1</v>
      </c>
      <c r="P2094" s="356">
        <v>45597</v>
      </c>
      <c r="Q2094" s="276">
        <f>IF(D2094="","",IF(J2094="リード付け",M2094,VLOOKUP(D2094,契約台帳!$A$3:$N$4986,14,FALSE)))</f>
        <v>1020</v>
      </c>
      <c r="R2094" s="277">
        <f>IF(D2094="","",IF(J2094="リード付け",M2094,VLOOKUP(D2094,契約台帳!$A$3:$O$4986,15,FALSE)))</f>
        <v>1020</v>
      </c>
      <c r="S2094" s="277">
        <f>IF(D2094="","",IF(J2094="リード付け",N2094,VLOOKUP(D2094,契約台帳!$A$3:$P$4986,16,FALSE)))</f>
        <v>12100</v>
      </c>
      <c r="T2094" s="40">
        <v>1</v>
      </c>
      <c r="U2094" s="278">
        <f ca="1">IF(D2094="","",IF(OFFSET(D2094,-2,0)=D2094,"",VLOOKUP(D2094,契約台帳!$A$3:$R$4986,18,FALSE)))</f>
        <v>6</v>
      </c>
      <c r="V2094" s="269" t="str">
        <f>IF(J2094="巻返し",VLOOKUP(F2094&amp;K2094&amp;M2094,製品マスタ!$M$5:$AD$5002,18,FALSE),IF(J2094="リード付け","原反コア",IF(J2094="スリット",VLOOKUP(F2094&amp;K2094&amp;Q2094,製品マスタ!$N$5:$AD$5002,17,FALSE),"")))</f>
        <v>原反コア</v>
      </c>
      <c r="W2094" s="269" t="str">
        <f>IF(J2094="巻返し",VLOOKUP(F2094&amp;K2094&amp;M2094,製品マスタ!$M$5:$AE$5002,19,FALSE),IF(J2094="リード付け","-",IF(J2094="スリット",VLOOKUP(F2094&amp;K2094&amp;Q2094,製品マスタ!$N$5:$AE$5002,18,FALSE),"")))</f>
        <v>-</v>
      </c>
      <c r="X2094" s="275">
        <f>IF(D2094="","",VLOOKUP(D2094,契約台帳!$A$3:$Q$4986,17,FALSE))</f>
        <v>1</v>
      </c>
      <c r="Y2094" s="269" t="str">
        <f>IF(D2094="","",VLOOKUP(D2094,契約台帳!$A$3:$E$4986,5,FALSE))</f>
        <v>日精㈱東京支店</v>
      </c>
      <c r="Z2094" s="357"/>
      <c r="AA2094" s="207"/>
      <c r="AB2094" s="369"/>
      <c r="AC2094" s="370"/>
      <c r="AD2094" s="332"/>
      <c r="AE2094" s="216"/>
      <c r="AF2094" s="43"/>
      <c r="AG2094" s="47"/>
      <c r="AH2094" s="30"/>
      <c r="AI2094" s="30"/>
      <c r="AJ2094" s="30"/>
      <c r="AK2094" s="30"/>
      <c r="AL2094" s="13"/>
      <c r="AM2094" s="13"/>
      <c r="AN2094" s="13"/>
      <c r="AO2094" s="13"/>
      <c r="AP2094" s="13"/>
      <c r="AQ2094" s="14"/>
      <c r="AR2094" s="15"/>
    </row>
    <row r="2095" spans="1:44" s="17" customFormat="1" ht="30.95" hidden="1" customHeight="1" x14ac:dyDescent="0.2">
      <c r="A2095" s="343"/>
      <c r="B2095" s="344"/>
      <c r="C2095" s="345"/>
      <c r="D2095" s="398"/>
      <c r="E2095" s="31"/>
      <c r="F2095" s="268"/>
      <c r="G2095" s="269"/>
      <c r="H2095" s="269"/>
      <c r="I2095" s="270"/>
      <c r="J2095" s="32"/>
      <c r="K2095" s="270"/>
      <c r="L2095" s="270"/>
      <c r="M2095" s="39"/>
      <c r="N2095" s="39"/>
      <c r="O2095" s="47"/>
      <c r="P2095" s="57"/>
      <c r="Q2095" s="276"/>
      <c r="R2095" s="277"/>
      <c r="S2095" s="277"/>
      <c r="T2095" s="40"/>
      <c r="U2095" s="278"/>
      <c r="V2095" s="269"/>
      <c r="W2095" s="269"/>
      <c r="X2095" s="275"/>
      <c r="Y2095" s="269"/>
      <c r="Z2095" s="357"/>
      <c r="AA2095" s="207"/>
      <c r="AB2095" s="369"/>
      <c r="AC2095" s="370"/>
      <c r="AD2095" s="332"/>
      <c r="AE2095" s="216"/>
      <c r="AF2095" s="43"/>
      <c r="AG2095" s="47"/>
      <c r="AH2095" s="30"/>
      <c r="AI2095" s="30"/>
      <c r="AJ2095" s="30"/>
      <c r="AK2095" s="30"/>
      <c r="AL2095" s="13"/>
      <c r="AM2095" s="13"/>
      <c r="AN2095" s="13"/>
      <c r="AO2095" s="13"/>
      <c r="AP2095" s="13"/>
      <c r="AQ2095" s="14"/>
      <c r="AR2095" s="15"/>
    </row>
    <row r="2096" spans="1:44" s="17" customFormat="1" ht="30.95" hidden="1" customHeight="1" x14ac:dyDescent="0.2">
      <c r="A2096" s="343"/>
      <c r="B2096" s="344"/>
      <c r="C2096" s="345"/>
      <c r="D2096" s="31">
        <v>3783808</v>
      </c>
      <c r="E2096" s="31">
        <v>4172149</v>
      </c>
      <c r="F2096" s="268" t="str">
        <f>IF(D2096="","",VLOOKUP(D2096,契約台帳!$A$3:$K$4986,6,FALSE)&amp;VLOOKUP(D2096,契約台帳!$A$3:$K$4986,7,FALSE)&amp;VLOOKUP(D2096,契約台帳!$A$3:$K$4986,8,FALSE)&amp;VLOOKUP(D2096,契約台帳!$A$3:$K$4986,9,FALSE)&amp;VLOOKUP(D2096,契約台帳!$A$3:$K$4986,11,FALSE))</f>
        <v>3SNMLBMNGTBF</v>
      </c>
      <c r="G2096" s="269" t="str">
        <f>IF(D2096="","",VLOOKUP(F2096,製品マスタ!$G$5:$H$5002,2,FALSE))</f>
        <v>S</v>
      </c>
      <c r="H2096" s="269" t="str">
        <f>IF(D2096="","",VLOOKUP(F2096,製品マスタ!$G$5:$K$5002,5,FALSE))</f>
        <v>MNGTBF</v>
      </c>
      <c r="I2096" s="270" t="str">
        <f>IF(D2096="","",VLOOKUP(F2096,製品マスタ!$G$5:$L$5002,6,FALSE))</f>
        <v>メタルミー　ネーマー　銀艶　Ｂ</v>
      </c>
      <c r="J2096" s="32" t="s">
        <v>3017</v>
      </c>
      <c r="K2096" s="270">
        <f>IF(D2096="","",VLOOKUP(D2096,契約台帳!$A$3:$L$4986,12,FALSE))</f>
        <v>25</v>
      </c>
      <c r="L2096" s="270" t="str">
        <f>IF(D2096="","",INDEX(製品マスタ!$Q$5:$Q$5002,MATCH(F2096&amp;K2096,製品マスタ!$AO$5:$AO$5002,0)))</f>
        <v>T62M</v>
      </c>
      <c r="M2096" s="39">
        <v>1005</v>
      </c>
      <c r="N2096" s="39">
        <v>12100</v>
      </c>
      <c r="O2096" s="47">
        <v>7</v>
      </c>
      <c r="P2096" s="356">
        <v>45597</v>
      </c>
      <c r="Q2096" s="276">
        <f>IF(D2096="","",IF(J2096="リード付け",M2096,VLOOKUP(D2096,契約台帳!$A$3:$N$4986,14,FALSE)))</f>
        <v>1005</v>
      </c>
      <c r="R2096" s="277">
        <f>IF(D2096="","",IF(J2096="リード付け",M2096,VLOOKUP(D2096,契約台帳!$A$3:$O$4986,15,FALSE)))</f>
        <v>1005</v>
      </c>
      <c r="S2096" s="277">
        <f>IF(D2096="","",IF(J2096="リード付け",N2096,VLOOKUP(D2096,契約台帳!$A$3:$P$4986,16,FALSE)))</f>
        <v>12100</v>
      </c>
      <c r="T2096" s="40">
        <v>7</v>
      </c>
      <c r="U2096" s="278">
        <f ca="1">IF(D2096="","",IF(OFFSET(D2096,-2,0)=D2096,"",VLOOKUP(D2096,契約台帳!$A$3:$R$4986,18,FALSE)))</f>
        <v>21</v>
      </c>
      <c r="V2096" s="269" t="str">
        <f>IF(J2096="巻返し",VLOOKUP(F2096&amp;K2096&amp;M2096,製品マスタ!$M$5:$AD$5002,18,FALSE),IF(J2096="リード付け","原反コア",IF(J2096="スリット",VLOOKUP(F2096&amp;K2096&amp;Q2096,製品マスタ!$N$5:$AD$5002,17,FALSE),"")))</f>
        <v>原反コア</v>
      </c>
      <c r="W2096" s="269" t="str">
        <f>IF(J2096="巻返し",VLOOKUP(F2096&amp;K2096&amp;M2096,製品マスタ!$M$5:$AE$5002,19,FALSE),IF(J2096="リード付け","-",IF(J2096="スリット",VLOOKUP(F2096&amp;K2096&amp;Q2096,製品マスタ!$N$5:$AE$5002,18,FALSE),"")))</f>
        <v>-</v>
      </c>
      <c r="X2096" s="275">
        <f>IF(D2096="","",VLOOKUP(D2096,契約台帳!$A$3:$Q$4986,17,FALSE))</f>
        <v>2</v>
      </c>
      <c r="Y2096" s="269" t="str">
        <f>IF(D2096="","",VLOOKUP(D2096,契約台帳!$A$3:$E$4986,5,FALSE))</f>
        <v>リンテック㈱</v>
      </c>
      <c r="Z2096" s="357"/>
      <c r="AA2096" s="207"/>
      <c r="AB2096" s="369"/>
      <c r="AC2096" s="370"/>
      <c r="AD2096" s="332"/>
      <c r="AE2096" s="216"/>
      <c r="AF2096" s="43"/>
      <c r="AG2096" s="47"/>
      <c r="AH2096" s="30"/>
      <c r="AI2096" s="30"/>
      <c r="AJ2096" s="30"/>
      <c r="AK2096" s="30"/>
      <c r="AL2096" s="13"/>
      <c r="AM2096" s="13"/>
      <c r="AN2096" s="13"/>
      <c r="AO2096" s="13"/>
      <c r="AP2096" s="13"/>
      <c r="AQ2096" s="14"/>
      <c r="AR2096" s="15"/>
    </row>
    <row r="2097" spans="1:44" s="17" customFormat="1" ht="30.95" hidden="1" customHeight="1" x14ac:dyDescent="0.2">
      <c r="A2097" s="343"/>
      <c r="B2097" s="344"/>
      <c r="C2097" s="345"/>
      <c r="D2097" s="398"/>
      <c r="E2097" s="31"/>
      <c r="F2097" s="268"/>
      <c r="G2097" s="269"/>
      <c r="H2097" s="269"/>
      <c r="I2097" s="270"/>
      <c r="J2097" s="32"/>
      <c r="K2097" s="270"/>
      <c r="L2097" s="270"/>
      <c r="M2097" s="39"/>
      <c r="N2097" s="39"/>
      <c r="O2097" s="47"/>
      <c r="P2097" s="57"/>
      <c r="Q2097" s="276"/>
      <c r="R2097" s="277"/>
      <c r="S2097" s="277"/>
      <c r="T2097" s="40"/>
      <c r="U2097" s="278"/>
      <c r="V2097" s="269"/>
      <c r="W2097" s="269"/>
      <c r="X2097" s="275"/>
      <c r="Y2097" s="269"/>
      <c r="Z2097" s="357"/>
      <c r="AA2097" s="207"/>
      <c r="AB2097" s="369"/>
      <c r="AC2097" s="370"/>
      <c r="AD2097" s="332"/>
      <c r="AE2097" s="216"/>
      <c r="AF2097" s="43"/>
      <c r="AG2097" s="47"/>
      <c r="AH2097" s="30"/>
      <c r="AI2097" s="30"/>
      <c r="AJ2097" s="30"/>
      <c r="AK2097" s="30"/>
      <c r="AL2097" s="13"/>
      <c r="AM2097" s="13"/>
      <c r="AN2097" s="13"/>
      <c r="AO2097" s="13"/>
      <c r="AP2097" s="13"/>
      <c r="AQ2097" s="14"/>
      <c r="AR2097" s="15"/>
    </row>
    <row r="2098" spans="1:44" s="17" customFormat="1" ht="30.95" hidden="1" customHeight="1" x14ac:dyDescent="0.2">
      <c r="A2098" s="343" t="s">
        <v>3233</v>
      </c>
      <c r="B2098" s="344" t="s">
        <v>3216</v>
      </c>
      <c r="C2098" s="345"/>
      <c r="D2098" s="398"/>
      <c r="E2098" s="31"/>
      <c r="F2098" s="268"/>
      <c r="G2098" s="269"/>
      <c r="H2098" s="269"/>
      <c r="I2098" s="270"/>
      <c r="J2098" s="32" t="s">
        <v>3219</v>
      </c>
      <c r="K2098" s="270"/>
      <c r="L2098" s="270"/>
      <c r="M2098" s="39"/>
      <c r="N2098" s="39"/>
      <c r="O2098" s="47"/>
      <c r="P2098" s="57"/>
      <c r="Q2098" s="276"/>
      <c r="R2098" s="277"/>
      <c r="S2098" s="277"/>
      <c r="T2098" s="40"/>
      <c r="U2098" s="278"/>
      <c r="V2098" s="269"/>
      <c r="W2098" s="269"/>
      <c r="X2098" s="275"/>
      <c r="Y2098" s="269"/>
      <c r="Z2098" s="357"/>
      <c r="AA2098" s="207"/>
      <c r="AB2098" s="369"/>
      <c r="AC2098" s="370"/>
      <c r="AD2098" s="332"/>
      <c r="AE2098" s="216"/>
      <c r="AF2098" s="43"/>
      <c r="AG2098" s="47"/>
      <c r="AH2098" s="30"/>
      <c r="AI2098" s="30"/>
      <c r="AJ2098" s="30"/>
      <c r="AK2098" s="30"/>
      <c r="AL2098" s="13"/>
      <c r="AM2098" s="13"/>
      <c r="AN2098" s="13"/>
      <c r="AO2098" s="13"/>
      <c r="AP2098" s="13"/>
      <c r="AQ2098" s="14"/>
      <c r="AR2098" s="15"/>
    </row>
    <row r="2099" spans="1:44" s="17" customFormat="1" ht="30.95" hidden="1" customHeight="1" x14ac:dyDescent="0.2">
      <c r="A2099" s="343"/>
      <c r="B2099" s="344"/>
      <c r="C2099" s="345"/>
      <c r="D2099" s="398"/>
      <c r="E2099" s="31"/>
      <c r="F2099" s="268"/>
      <c r="G2099" s="269"/>
      <c r="H2099" s="269"/>
      <c r="I2099" s="270"/>
      <c r="J2099" s="32"/>
      <c r="K2099" s="270"/>
      <c r="L2099" s="270"/>
      <c r="M2099" s="39"/>
      <c r="N2099" s="39"/>
      <c r="O2099" s="47"/>
      <c r="P2099" s="57"/>
      <c r="Q2099" s="276"/>
      <c r="R2099" s="277"/>
      <c r="S2099" s="277"/>
      <c r="T2099" s="40"/>
      <c r="U2099" s="278"/>
      <c r="V2099" s="269"/>
      <c r="W2099" s="269"/>
      <c r="X2099" s="275"/>
      <c r="Y2099" s="269"/>
      <c r="Z2099" s="357"/>
      <c r="AA2099" s="207"/>
      <c r="AB2099" s="369"/>
      <c r="AC2099" s="370"/>
      <c r="AD2099" s="332"/>
      <c r="AE2099" s="216"/>
      <c r="AF2099" s="43"/>
      <c r="AG2099" s="47"/>
      <c r="AH2099" s="30"/>
      <c r="AI2099" s="30"/>
      <c r="AJ2099" s="30"/>
      <c r="AK2099" s="30"/>
      <c r="AL2099" s="13"/>
      <c r="AM2099" s="13"/>
      <c r="AN2099" s="13"/>
      <c r="AO2099" s="13"/>
      <c r="AP2099" s="13"/>
      <c r="AQ2099" s="14"/>
      <c r="AR2099" s="15"/>
    </row>
    <row r="2100" spans="1:44" s="17" customFormat="1" ht="30.95" hidden="1" customHeight="1" x14ac:dyDescent="0.2">
      <c r="A2100" s="343" t="s">
        <v>3234</v>
      </c>
      <c r="B2100" s="344" t="s">
        <v>3218</v>
      </c>
      <c r="C2100" s="345"/>
      <c r="D2100" s="398"/>
      <c r="E2100" s="31"/>
      <c r="F2100" s="268"/>
      <c r="G2100" s="269"/>
      <c r="H2100" s="269"/>
      <c r="I2100" s="270"/>
      <c r="J2100" s="32" t="s">
        <v>3219</v>
      </c>
      <c r="K2100" s="270"/>
      <c r="L2100" s="270"/>
      <c r="M2100" s="39"/>
      <c r="N2100" s="39"/>
      <c r="O2100" s="47"/>
      <c r="P2100" s="57"/>
      <c r="Q2100" s="276"/>
      <c r="R2100" s="277"/>
      <c r="S2100" s="277"/>
      <c r="T2100" s="40"/>
      <c r="U2100" s="278"/>
      <c r="V2100" s="269"/>
      <c r="W2100" s="269"/>
      <c r="X2100" s="275"/>
      <c r="Y2100" s="269"/>
      <c r="Z2100" s="357"/>
      <c r="AA2100" s="207"/>
      <c r="AB2100" s="369"/>
      <c r="AC2100" s="370"/>
      <c r="AD2100" s="332"/>
      <c r="AE2100" s="216"/>
      <c r="AF2100" s="43"/>
      <c r="AG2100" s="47"/>
      <c r="AH2100" s="30"/>
      <c r="AI2100" s="30"/>
      <c r="AJ2100" s="30"/>
      <c r="AK2100" s="30"/>
      <c r="AL2100" s="13"/>
      <c r="AM2100" s="13"/>
      <c r="AN2100" s="13"/>
      <c r="AO2100" s="13"/>
      <c r="AP2100" s="13"/>
      <c r="AQ2100" s="14"/>
      <c r="AR2100" s="15"/>
    </row>
    <row r="2101" spans="1:44" s="17" customFormat="1" ht="30.95" hidden="1" customHeight="1" x14ac:dyDescent="0.2">
      <c r="A2101" s="343"/>
      <c r="B2101" s="344"/>
      <c r="C2101" s="345"/>
      <c r="D2101" s="398"/>
      <c r="E2101" s="31"/>
      <c r="F2101" s="268"/>
      <c r="G2101" s="269"/>
      <c r="H2101" s="269"/>
      <c r="I2101" s="270"/>
      <c r="J2101" s="32"/>
      <c r="K2101" s="270"/>
      <c r="L2101" s="270"/>
      <c r="M2101" s="39"/>
      <c r="N2101" s="39"/>
      <c r="O2101" s="47"/>
      <c r="P2101" s="57"/>
      <c r="Q2101" s="276"/>
      <c r="R2101" s="277"/>
      <c r="S2101" s="277"/>
      <c r="T2101" s="40"/>
      <c r="U2101" s="278"/>
      <c r="V2101" s="269"/>
      <c r="W2101" s="269"/>
      <c r="X2101" s="275"/>
      <c r="Y2101" s="269"/>
      <c r="Z2101" s="357"/>
      <c r="AA2101" s="207"/>
      <c r="AB2101" s="369"/>
      <c r="AC2101" s="370"/>
      <c r="AD2101" s="332"/>
      <c r="AE2101" s="216"/>
      <c r="AF2101" s="43"/>
      <c r="AG2101" s="47"/>
      <c r="AH2101" s="30"/>
      <c r="AI2101" s="30"/>
      <c r="AJ2101" s="30"/>
      <c r="AK2101" s="30"/>
      <c r="AL2101" s="13"/>
      <c r="AM2101" s="13"/>
      <c r="AN2101" s="13"/>
      <c r="AO2101" s="13"/>
      <c r="AP2101" s="13"/>
      <c r="AQ2101" s="14"/>
      <c r="AR2101" s="15"/>
    </row>
    <row r="2102" spans="1:44" s="17" customFormat="1" ht="30.95" hidden="1" customHeight="1" x14ac:dyDescent="0.2">
      <c r="A2102" s="343" t="s">
        <v>3235</v>
      </c>
      <c r="B2102" s="344" t="s">
        <v>3221</v>
      </c>
      <c r="C2102" s="345"/>
      <c r="D2102" s="398"/>
      <c r="E2102" s="31"/>
      <c r="F2102" s="268"/>
      <c r="G2102" s="269"/>
      <c r="H2102" s="269"/>
      <c r="I2102" s="270"/>
      <c r="J2102" s="32" t="s">
        <v>3219</v>
      </c>
      <c r="K2102" s="270"/>
      <c r="L2102" s="270"/>
      <c r="M2102" s="39"/>
      <c r="N2102" s="39"/>
      <c r="O2102" s="47"/>
      <c r="P2102" s="57"/>
      <c r="Q2102" s="276"/>
      <c r="R2102" s="277"/>
      <c r="S2102" s="277"/>
      <c r="T2102" s="40"/>
      <c r="U2102" s="278"/>
      <c r="V2102" s="269"/>
      <c r="W2102" s="269"/>
      <c r="X2102" s="275"/>
      <c r="Y2102" s="269"/>
      <c r="Z2102" s="357"/>
      <c r="AA2102" s="207"/>
      <c r="AB2102" s="369"/>
      <c r="AC2102" s="370"/>
      <c r="AD2102" s="332"/>
      <c r="AE2102" s="216"/>
      <c r="AF2102" s="43"/>
      <c r="AG2102" s="47"/>
      <c r="AH2102" s="30"/>
      <c r="AI2102" s="30"/>
      <c r="AJ2102" s="30"/>
      <c r="AK2102" s="30"/>
      <c r="AL2102" s="13"/>
      <c r="AM2102" s="13"/>
      <c r="AN2102" s="13"/>
      <c r="AO2102" s="13"/>
      <c r="AP2102" s="13"/>
      <c r="AQ2102" s="14"/>
      <c r="AR2102" s="15"/>
    </row>
    <row r="2103" spans="1:44" s="17" customFormat="1" ht="30.95" hidden="1" customHeight="1" x14ac:dyDescent="0.2">
      <c r="A2103" s="343"/>
      <c r="B2103" s="344"/>
      <c r="C2103" s="345"/>
      <c r="D2103" s="398"/>
      <c r="E2103" s="31"/>
      <c r="F2103" s="268"/>
      <c r="G2103" s="269"/>
      <c r="H2103" s="269"/>
      <c r="I2103" s="270"/>
      <c r="J2103" s="32"/>
      <c r="K2103" s="270"/>
      <c r="L2103" s="270"/>
      <c r="M2103" s="39"/>
      <c r="N2103" s="39"/>
      <c r="O2103" s="47"/>
      <c r="P2103" s="57"/>
      <c r="Q2103" s="276"/>
      <c r="R2103" s="277"/>
      <c r="S2103" s="277"/>
      <c r="T2103" s="40"/>
      <c r="U2103" s="278"/>
      <c r="V2103" s="269"/>
      <c r="W2103" s="269"/>
      <c r="X2103" s="275"/>
      <c r="Y2103" s="269"/>
      <c r="Z2103" s="357"/>
      <c r="AA2103" s="207"/>
      <c r="AB2103" s="369"/>
      <c r="AC2103" s="370"/>
      <c r="AD2103" s="332"/>
      <c r="AE2103" s="216"/>
      <c r="AF2103" s="43"/>
      <c r="AG2103" s="47"/>
      <c r="AH2103" s="30"/>
      <c r="AI2103" s="30"/>
      <c r="AJ2103" s="30"/>
      <c r="AK2103" s="30"/>
      <c r="AL2103" s="13"/>
      <c r="AM2103" s="13"/>
      <c r="AN2103" s="13"/>
      <c r="AO2103" s="13"/>
      <c r="AP2103" s="13"/>
      <c r="AQ2103" s="14"/>
      <c r="AR2103" s="15"/>
    </row>
    <row r="2104" spans="1:44" s="17" customFormat="1" ht="30.95" hidden="1" customHeight="1" x14ac:dyDescent="0.2">
      <c r="A2104" s="343" t="s">
        <v>3281</v>
      </c>
      <c r="B2104" s="344" t="s">
        <v>3282</v>
      </c>
      <c r="C2104" s="345"/>
      <c r="D2104" s="398"/>
      <c r="E2104" s="31"/>
      <c r="F2104" s="268"/>
      <c r="G2104" s="269"/>
      <c r="H2104" s="269"/>
      <c r="I2104" s="341" t="s">
        <v>3350</v>
      </c>
      <c r="J2104" s="32"/>
      <c r="K2104" s="270"/>
      <c r="L2104" s="270"/>
      <c r="M2104" s="39"/>
      <c r="N2104" s="39"/>
      <c r="O2104" s="47"/>
      <c r="P2104" s="57"/>
      <c r="Q2104" s="276"/>
      <c r="R2104" s="277"/>
      <c r="S2104" s="277"/>
      <c r="T2104" s="40"/>
      <c r="U2104" s="278"/>
      <c r="V2104" s="269"/>
      <c r="W2104" s="269"/>
      <c r="X2104" s="275"/>
      <c r="Y2104" s="269"/>
      <c r="Z2104" s="357"/>
      <c r="AA2104" s="207"/>
      <c r="AB2104" s="369"/>
      <c r="AC2104" s="370"/>
      <c r="AD2104" s="332"/>
      <c r="AE2104" s="216"/>
      <c r="AF2104" s="43"/>
      <c r="AG2104" s="47"/>
      <c r="AH2104" s="30"/>
      <c r="AI2104" s="30"/>
      <c r="AJ2104" s="30"/>
      <c r="AK2104" s="30"/>
      <c r="AL2104" s="13"/>
      <c r="AM2104" s="13"/>
      <c r="AN2104" s="13"/>
      <c r="AO2104" s="13"/>
      <c r="AP2104" s="13"/>
      <c r="AQ2104" s="14"/>
      <c r="AR2104" s="15"/>
    </row>
    <row r="2105" spans="1:44" s="17" customFormat="1" ht="30.95" hidden="1" customHeight="1" x14ac:dyDescent="0.2">
      <c r="A2105" s="343"/>
      <c r="B2105" s="344"/>
      <c r="C2105" s="345"/>
      <c r="D2105" s="398"/>
      <c r="E2105" s="31"/>
      <c r="F2105" s="268"/>
      <c r="G2105" s="269"/>
      <c r="H2105" s="269"/>
      <c r="I2105" s="270"/>
      <c r="J2105" s="32"/>
      <c r="K2105" s="270"/>
      <c r="L2105" s="270"/>
      <c r="M2105" s="39"/>
      <c r="N2105" s="39"/>
      <c r="O2105" s="47"/>
      <c r="P2105" s="57"/>
      <c r="Q2105" s="276"/>
      <c r="R2105" s="277"/>
      <c r="S2105" s="277"/>
      <c r="T2105" s="40"/>
      <c r="U2105" s="278"/>
      <c r="V2105" s="269"/>
      <c r="W2105" s="269"/>
      <c r="X2105" s="275"/>
      <c r="Y2105" s="269"/>
      <c r="Z2105" s="357"/>
      <c r="AA2105" s="207"/>
      <c r="AB2105" s="369"/>
      <c r="AC2105" s="370"/>
      <c r="AD2105" s="332"/>
      <c r="AE2105" s="216"/>
      <c r="AF2105" s="43"/>
      <c r="AG2105" s="47"/>
      <c r="AH2105" s="30"/>
      <c r="AI2105" s="30"/>
      <c r="AJ2105" s="30"/>
      <c r="AK2105" s="30"/>
      <c r="AL2105" s="13"/>
      <c r="AM2105" s="13"/>
      <c r="AN2105" s="13"/>
      <c r="AO2105" s="13"/>
      <c r="AP2105" s="13"/>
      <c r="AQ2105" s="14"/>
      <c r="AR2105" s="15"/>
    </row>
    <row r="2106" spans="1:44" s="17" customFormat="1" ht="30.95" hidden="1" customHeight="1" x14ac:dyDescent="0.2">
      <c r="A2106" s="343" t="s">
        <v>3346</v>
      </c>
      <c r="B2106" s="344" t="s">
        <v>3345</v>
      </c>
      <c r="C2106" s="345"/>
      <c r="D2106" s="398">
        <v>3778917</v>
      </c>
      <c r="E2106" s="31">
        <v>4155461</v>
      </c>
      <c r="F2106" s="268" t="str">
        <f>IF(D2106="","",VLOOKUP(D2106,契約台帳!$A$3:$K$4986,6,FALSE)&amp;VLOOKUP(D2106,契約台帳!$A$3:$K$4986,7,FALSE)&amp;VLOOKUP(D2106,契約台帳!$A$3:$K$4986,8,FALSE)&amp;VLOOKUP(D2106,契約台帳!$A$3:$K$4986,9,FALSE)&amp;VLOOKUP(D2106,契約台帳!$A$3:$K$4986,11,FALSE))</f>
        <v>3TNDMSX42GPC</v>
      </c>
      <c r="G2106" s="269" t="str">
        <f>IF(D2106="","",VLOOKUP(F2106,製品マスタ!$G$5:$H$5002,2,FALSE))</f>
        <v>T</v>
      </c>
      <c r="H2106" s="269" t="str">
        <f>IF(D2106="","",VLOOKUP(F2106,製品マスタ!$G$5:$K$5002,5,FALSE))</f>
        <v>X42GPC</v>
      </c>
      <c r="I2106" s="270" t="str">
        <f>IF(D2106="","",VLOOKUP(F2106,製品マスタ!$G$5:$L$5002,6,FALSE))</f>
        <v>ＤＭＳ（Ｘ４２Ｇ）ＰＣ</v>
      </c>
      <c r="J2106" s="32" t="s">
        <v>447</v>
      </c>
      <c r="K2106" s="270">
        <f>IF(D2106="","",VLOOKUP(D2106,契約台帳!$A$3:$L$4986,12,FALSE))</f>
        <v>50</v>
      </c>
      <c r="L2106" s="270" t="str">
        <f>IF(D2106="","",INDEX(製品マスタ!$Q$5:$Q$5002,MATCH(F2106&amp;K2106,製品マスタ!$AO$5:$AO$5002,0)))</f>
        <v>X42G</v>
      </c>
      <c r="M2106" s="39">
        <v>1360</v>
      </c>
      <c r="N2106" s="39">
        <v>4100</v>
      </c>
      <c r="O2106" s="47">
        <v>2</v>
      </c>
      <c r="P2106" s="57"/>
      <c r="Q2106" s="276">
        <f>IF(D2106="","",IF(J2106="リード付け",M2106,VLOOKUP(D2106,契約台帳!$A$3:$N$4986,14,FALSE)))</f>
        <v>680</v>
      </c>
      <c r="R2106" s="277">
        <f>IF(D2106="","",IF(J2106="リード付け",M2106,VLOOKUP(D2106,契約台帳!$A$3:$O$4986,15,FALSE)))</f>
        <v>680</v>
      </c>
      <c r="S2106" s="277">
        <f>IF(D2106="","",IF(J2106="リード付け",N2106,VLOOKUP(D2106,契約台帳!$A$3:$P$4986,16,FALSE)))</f>
        <v>2000</v>
      </c>
      <c r="T2106" s="40">
        <v>8</v>
      </c>
      <c r="U2106" s="278">
        <f ca="1">IF(D2106="","",IF(OFFSET(D2106,-2,0)=D2106,"",VLOOKUP(D2106,契約台帳!$A$3:$R$4986,18,FALSE)))</f>
        <v>8</v>
      </c>
      <c r="V2106" s="269" t="str">
        <f>IF(J2106="巻返し",VLOOKUP(F2106&amp;K2106&amp;M2106,製品マスタ!$M$5:$AD$5002,18,FALSE),IF(J2106="リード付け","原反コア",IF(J2106="スリット",VLOOKUP(F2106&amp;K2106&amp;Q2106,製品マスタ!$N$5:$AD$5002,17,FALSE),"")))</f>
        <v>3ｲﾝﾁMｺｱ</v>
      </c>
      <c r="W2106" s="269">
        <f>IF(J2106="巻返し",VLOOKUP(F2106&amp;K2106&amp;M2106,製品マスタ!$M$5:$AE$5002,19,FALSE),IF(J2106="リード付け","-",IF(J2106="スリット",VLOOKUP(F2106&amp;K2106&amp;Q2106,製品マスタ!$N$5:$AE$5002,18,FALSE),"")))</f>
        <v>690</v>
      </c>
      <c r="X2106" s="275">
        <f>IF(D2106="","",VLOOKUP(D2106,契約台帳!$A$3:$Q$4986,17,FALSE))</f>
        <v>2</v>
      </c>
      <c r="Y2106" s="269" t="str">
        <f>IF(D2106="","",VLOOKUP(D2106,契約台帳!$A$3:$E$4986,5,FALSE))</f>
        <v>㈱ポラテクノ</v>
      </c>
      <c r="Z2106" s="357"/>
      <c r="AA2106" s="207" t="s">
        <v>3349</v>
      </c>
      <c r="AB2106" s="369"/>
      <c r="AC2106" s="370"/>
      <c r="AD2106" s="332" t="str">
        <f>IF(F2106="","",+F2106&amp;K2106)</f>
        <v>3TNDMSX42GPC50</v>
      </c>
      <c r="AE2106" s="216">
        <f>+M2106*N2106*O2106/1000</f>
        <v>11152</v>
      </c>
      <c r="AF2106" s="43"/>
      <c r="AG2106" s="47"/>
      <c r="AH2106" s="30"/>
      <c r="AI2106" s="30"/>
      <c r="AJ2106" s="30"/>
      <c r="AK2106" s="30"/>
      <c r="AL2106" s="13"/>
      <c r="AM2106" s="13"/>
      <c r="AN2106" s="13"/>
      <c r="AO2106" s="13"/>
      <c r="AP2106" s="13"/>
      <c r="AQ2106" s="14"/>
      <c r="AR2106" s="15"/>
    </row>
    <row r="2107" spans="1:44" s="17" customFormat="1" ht="30.95" hidden="1" customHeight="1" x14ac:dyDescent="0.2">
      <c r="A2107" s="343"/>
      <c r="B2107" s="344"/>
      <c r="C2107" s="345"/>
      <c r="D2107" s="398"/>
      <c r="E2107" s="31"/>
      <c r="F2107" s="268"/>
      <c r="G2107" s="269"/>
      <c r="H2107" s="269"/>
      <c r="I2107" s="270"/>
      <c r="J2107" s="32"/>
      <c r="K2107" s="270"/>
      <c r="L2107" s="270"/>
      <c r="M2107" s="39"/>
      <c r="N2107" s="39"/>
      <c r="O2107" s="47"/>
      <c r="P2107" s="57"/>
      <c r="Q2107" s="276"/>
      <c r="R2107" s="277"/>
      <c r="S2107" s="277"/>
      <c r="T2107" s="40"/>
      <c r="U2107" s="278"/>
      <c r="V2107" s="269"/>
      <c r="W2107" s="269"/>
      <c r="X2107" s="275"/>
      <c r="Y2107" s="269"/>
      <c r="Z2107" s="357"/>
      <c r="AA2107" s="207"/>
      <c r="AB2107" s="369"/>
      <c r="AC2107" s="370"/>
      <c r="AD2107" s="332"/>
      <c r="AE2107" s="216"/>
      <c r="AF2107" s="43"/>
      <c r="AG2107" s="47"/>
      <c r="AH2107" s="30"/>
      <c r="AI2107" s="30"/>
      <c r="AJ2107" s="30"/>
      <c r="AK2107" s="30"/>
      <c r="AL2107" s="13"/>
      <c r="AM2107" s="13"/>
      <c r="AN2107" s="13"/>
      <c r="AO2107" s="13"/>
      <c r="AP2107" s="13"/>
      <c r="AQ2107" s="14"/>
      <c r="AR2107" s="15"/>
    </row>
    <row r="2108" spans="1:44" s="17" customFormat="1" ht="30.6" hidden="1" customHeight="1" x14ac:dyDescent="0.2">
      <c r="A2108" s="320" t="s">
        <v>3347</v>
      </c>
      <c r="B2108" s="321" t="s">
        <v>3348</v>
      </c>
      <c r="C2108" s="345"/>
      <c r="D2108" s="398">
        <v>3783816</v>
      </c>
      <c r="E2108" s="31">
        <v>4156803</v>
      </c>
      <c r="F2108" s="268" t="str">
        <f>IF(D2108="","",VLOOKUP(D2108,契約台帳!$A$3:$K$4986,6,FALSE)&amp;VLOOKUP(D2108,契約台帳!$A$3:$K$4986,7,FALSE)&amp;VLOOKUP(D2108,契約台帳!$A$3:$K$4986,8,FALSE)&amp;VLOOKUP(D2108,契約台帳!$A$3:$K$4986,9,FALSE)&amp;VLOOKUP(D2108,契約台帳!$A$3:$K$4986,11,FALSE))</f>
        <v>3SNMLBMNQR66F</v>
      </c>
      <c r="G2108" s="269" t="str">
        <f>IF(D2108="","",VLOOKUP(F2108,製品マスタ!$G$5:$H$5002,2,FALSE))</f>
        <v>S</v>
      </c>
      <c r="H2108" s="269" t="str">
        <f>IF(D2108="","",VLOOKUP(F2108,製品マスタ!$G$5:$K$5002,5,FALSE))</f>
        <v>MNQR66F</v>
      </c>
      <c r="I2108" s="270" t="str">
        <f>IF(D2108="","",VLOOKUP(F2108,製品マスタ!$G$5:$L$5002,6,FALSE))</f>
        <v>ＱＲ６６蒸着品</v>
      </c>
      <c r="J2108" s="32" t="s">
        <v>447</v>
      </c>
      <c r="K2108" s="270">
        <f>IF(D2108="","",VLOOKUP(D2108,契約台帳!$A$3:$L$4986,12,FALSE))</f>
        <v>25</v>
      </c>
      <c r="L2108" s="270" t="str">
        <f>IF(D2108="","",INDEX(製品マスタ!$Q$5:$Q$5002,MATCH(F2108&amp;K2108,製品マスタ!$AO$5:$AO$5002,0)))</f>
        <v>E315</v>
      </c>
      <c r="M2108" s="39">
        <v>1100</v>
      </c>
      <c r="N2108" s="39">
        <v>18000</v>
      </c>
      <c r="O2108" s="47">
        <v>4</v>
      </c>
      <c r="P2108" s="57"/>
      <c r="Q2108" s="276">
        <f>IF(D2108="","",IF(J2108="リード付け",M2108,VLOOKUP(D2108,契約台帳!$A$3:$N$4986,14,FALSE)))</f>
        <v>1100</v>
      </c>
      <c r="R2108" s="277">
        <f>IF(D2108="","",IF(J2108="リード付け",M2108,VLOOKUP(D2108,契約台帳!$A$3:$O$4986,15,FALSE)))</f>
        <v>1100</v>
      </c>
      <c r="S2108" s="277">
        <f>IF(D2108="","",IF(J2108="リード付け",N2108,VLOOKUP(D2108,契約台帳!$A$3:$P$4986,16,FALSE)))</f>
        <v>6000</v>
      </c>
      <c r="T2108" s="40">
        <v>12</v>
      </c>
      <c r="U2108" s="278">
        <f ca="1">IF(D2108="","",IF(OFFSET(D2108,-2,0)=D2108,"",VLOOKUP(D2108,契約台帳!$A$3:$R$4986,18,FALSE)))</f>
        <v>12</v>
      </c>
      <c r="V2108" s="269" t="str">
        <f>IF(J2108="巻返し",VLOOKUP(F2108&amp;K2108&amp;M2108,製品マスタ!$M$5:$AD$5002,18,FALSE),IF(J2108="リード付け","原反コア",IF(J2108="スリット",VLOOKUP(F2108&amp;K2108&amp;Q2108,製品マスタ!$N$5:$AD$5002,17,FALSE),"")))</f>
        <v>6ｲﾝﾁMｺｱ</v>
      </c>
      <c r="W2108" s="269">
        <f>IF(J2108="巻返し",VLOOKUP(F2108&amp;K2108&amp;M2108,製品マスタ!$M$5:$AE$5002,19,FALSE),IF(J2108="リード付け","-",IF(J2108="スリット",VLOOKUP(F2108&amp;K2108&amp;Q2108,製品マスタ!$N$5:$AE$5002,18,FALSE),"")))</f>
        <v>1110</v>
      </c>
      <c r="X2108" s="275">
        <f>IF(D2108="","",VLOOKUP(D2108,契約台帳!$A$3:$Q$4986,17,FALSE))</f>
        <v>2</v>
      </c>
      <c r="Y2108" s="269" t="str">
        <f>IF(D2108="","",VLOOKUP(D2108,契約台帳!$A$3:$E$4986,5,FALSE))</f>
        <v>リンテック㈱</v>
      </c>
      <c r="Z2108" s="357"/>
      <c r="AA2108" s="207" t="str">
        <f>IFERROR(VLOOKUP(F2108&amp;K2108&amp;M2108,製品マスタ!$M$5:$AM$5002,27,FALSE),"")</f>
        <v>原反ケース再利用</v>
      </c>
      <c r="AB2108" s="369"/>
      <c r="AC2108" s="370"/>
      <c r="AD2108" s="332" t="str">
        <f>IF(F2108="","",+F2108&amp;K2108)</f>
        <v>3SNMLBMNQR66F25</v>
      </c>
      <c r="AE2108" s="216">
        <f>+M2108*N2108*O2108/1000</f>
        <v>79200</v>
      </c>
      <c r="AF2108" s="43">
        <f>IF(AD2108="","",VLOOKUP(AD2108,原価マスタ!$A$2:$AJ$1693,13,FALSE))</f>
        <v>98</v>
      </c>
      <c r="AG2108" s="47">
        <f>IF(AF2108="","",+AE2108*AF2108/100)</f>
        <v>77616</v>
      </c>
      <c r="AH2108" s="30"/>
      <c r="AI2108" s="30"/>
      <c r="AJ2108" s="30"/>
      <c r="AK2108" s="30"/>
      <c r="AL2108" s="13"/>
      <c r="AM2108" s="13"/>
      <c r="AN2108" s="13"/>
      <c r="AO2108" s="13"/>
      <c r="AP2108" s="13"/>
      <c r="AQ2108" s="14"/>
      <c r="AR2108" s="15"/>
    </row>
    <row r="2109" spans="1:44" s="17" customFormat="1" ht="30.95" hidden="1" customHeight="1" x14ac:dyDescent="0.2">
      <c r="A2109" s="343"/>
      <c r="B2109" s="344"/>
      <c r="C2109" s="345"/>
      <c r="D2109" s="398"/>
      <c r="E2109" s="31"/>
      <c r="F2109" s="268"/>
      <c r="G2109" s="269"/>
      <c r="H2109" s="269"/>
      <c r="I2109" s="270"/>
      <c r="J2109" s="32"/>
      <c r="K2109" s="270"/>
      <c r="L2109" s="270"/>
      <c r="M2109" s="39"/>
      <c r="N2109" s="39"/>
      <c r="O2109" s="47"/>
      <c r="P2109" s="57"/>
      <c r="Q2109" s="276"/>
      <c r="R2109" s="277"/>
      <c r="S2109" s="277"/>
      <c r="T2109" s="40"/>
      <c r="U2109" s="278"/>
      <c r="V2109" s="269"/>
      <c r="W2109" s="269"/>
      <c r="X2109" s="275"/>
      <c r="Y2109" s="269"/>
      <c r="Z2109" s="357"/>
      <c r="AA2109" s="207"/>
      <c r="AB2109" s="369"/>
      <c r="AC2109" s="370"/>
      <c r="AD2109" s="332"/>
      <c r="AE2109" s="216"/>
      <c r="AF2109" s="43"/>
      <c r="AG2109" s="47"/>
      <c r="AH2109" s="30"/>
      <c r="AI2109" s="30"/>
      <c r="AJ2109" s="30"/>
      <c r="AK2109" s="30"/>
      <c r="AL2109" s="13"/>
      <c r="AM2109" s="13"/>
      <c r="AN2109" s="13"/>
      <c r="AO2109" s="13"/>
      <c r="AP2109" s="13"/>
      <c r="AQ2109" s="14"/>
      <c r="AR2109" s="15"/>
    </row>
    <row r="2110" spans="1:44" s="17" customFormat="1" ht="30.6" hidden="1" customHeight="1" x14ac:dyDescent="0.2">
      <c r="A2110" s="320" t="s">
        <v>3351</v>
      </c>
      <c r="B2110" s="321" t="s">
        <v>444</v>
      </c>
      <c r="C2110" s="345"/>
      <c r="D2110" s="398">
        <v>3778935</v>
      </c>
      <c r="E2110" s="31">
        <v>4157213</v>
      </c>
      <c r="F2110" s="268" t="str">
        <f>IF(D2110="","",VLOOKUP(D2110,契約台帳!$A$3:$K$4986,6,FALSE)&amp;VLOOKUP(D2110,契約台帳!$A$3:$K$4986,7,FALSE)&amp;VLOOKUP(D2110,契約台帳!$A$3:$K$4986,8,FALSE)&amp;VLOOKUP(D2110,契約台帳!$A$3:$K$4986,9,FALSE)&amp;VLOOKUP(D2110,契約台帳!$A$3:$K$4986,11,FALSE))</f>
        <v>3SNMLBMNGTBF</v>
      </c>
      <c r="G2110" s="269" t="str">
        <f>IF(D2110="","",VLOOKUP(F2110,製品マスタ!$G$5:$H$5002,2,FALSE))</f>
        <v>S</v>
      </c>
      <c r="H2110" s="269" t="str">
        <f>IF(D2110="","",VLOOKUP(F2110,製品マスタ!$G$5:$K$5002,5,FALSE))</f>
        <v>MNGTBF</v>
      </c>
      <c r="I2110" s="270" t="str">
        <f>IF(D2110="","",VLOOKUP(F2110,製品マスタ!$G$5:$L$5002,6,FALSE))</f>
        <v>メタルミー　ネーマー　銀艶　Ｂ</v>
      </c>
      <c r="J2110" s="32" t="s">
        <v>447</v>
      </c>
      <c r="K2110" s="270">
        <f>IF(D2110="","",VLOOKUP(D2110,契約台帳!$A$3:$L$4986,12,FALSE))</f>
        <v>50</v>
      </c>
      <c r="L2110" s="270" t="str">
        <f>IF(D2110="","",INDEX(製品マスタ!$Q$5:$Q$5002,MATCH(F2110&amp;K2110,製品マスタ!$AO$5:$AO$5002,0)))</f>
        <v>T62</v>
      </c>
      <c r="M2110" s="39">
        <v>1120</v>
      </c>
      <c r="N2110" s="39">
        <v>10000</v>
      </c>
      <c r="O2110" s="47">
        <v>1</v>
      </c>
      <c r="P2110" s="57"/>
      <c r="Q2110" s="276">
        <f>IF(D2110="","",IF(J2110="リード付け",M2110,VLOOKUP(D2110,契約台帳!$A$3:$N$4986,14,FALSE)))</f>
        <v>1120</v>
      </c>
      <c r="R2110" s="277">
        <f>IF(D2110="","",IF(J2110="リード付け",M2110,VLOOKUP(D2110,契約台帳!$A$3:$O$4986,15,FALSE)))</f>
        <v>1120</v>
      </c>
      <c r="S2110" s="277">
        <f>IF(D2110="","",IF(J2110="リード付け",N2110,VLOOKUP(D2110,契約台帳!$A$3:$P$4986,16,FALSE)))</f>
        <v>5000</v>
      </c>
      <c r="T2110" s="40">
        <v>2</v>
      </c>
      <c r="U2110" s="278">
        <f ca="1">IF(D2110="","",IF(OFFSET(D2110,-2,0)=D2110,"",VLOOKUP(D2110,契約台帳!$A$3:$R$4986,18,FALSE)))</f>
        <v>24</v>
      </c>
      <c r="V2110" s="269" t="str">
        <f>IF(J2110="巻返し",VLOOKUP(F2110&amp;K2110&amp;M2110,製品マスタ!$M$5:$AD$5002,18,FALSE),IF(J2110="リード付け","原反コア",IF(J2110="スリット",VLOOKUP(F2110&amp;K2110&amp;Q2110,製品マスタ!$N$5:$AD$5002,17,FALSE),"")))</f>
        <v>6ｲﾝﾁSｺｱ</v>
      </c>
      <c r="W2110" s="269">
        <f>IF(J2110="巻返し",VLOOKUP(F2110&amp;K2110&amp;M2110,製品マスタ!$M$5:$AE$5002,19,FALSE),IF(J2110="リード付け","-",IF(J2110="スリット",VLOOKUP(F2110&amp;K2110&amp;Q2110,製品マスタ!$N$5:$AE$5002,18,FALSE),"")))</f>
        <v>1125</v>
      </c>
      <c r="X2110" s="275">
        <f>IF(D2110="","",VLOOKUP(D2110,契約台帳!$A$3:$Q$4986,17,FALSE))</f>
        <v>2</v>
      </c>
      <c r="Y2110" s="269" t="str">
        <f>IF(D2110="","",VLOOKUP(D2110,契約台帳!$A$3:$E$4986,5,FALSE))</f>
        <v>リンテック㈱</v>
      </c>
      <c r="Z2110" s="357"/>
      <c r="AA2110" s="207" t="str">
        <f>IFERROR(VLOOKUP(F2110&amp;K2110&amp;M2110,製品マスタ!$M$5:$AM$5002,27,FALSE),"")</f>
        <v>原反ケース再利用</v>
      </c>
      <c r="AB2110" s="369"/>
      <c r="AC2110" s="370"/>
      <c r="AD2110" s="332" t="str">
        <f>IF(F2110="","",+F2110&amp;K2110)</f>
        <v>3SNMLBMNGTBF50</v>
      </c>
      <c r="AE2110" s="216">
        <f>+M2110*N2110*O2110/1000</f>
        <v>11200</v>
      </c>
      <c r="AF2110" s="43">
        <f>IF(AD2110="","",VLOOKUP(AD2110,原価マスタ!$A$2:$AJ$1693,13,FALSE))</f>
        <v>99</v>
      </c>
      <c r="AG2110" s="47">
        <f>IF(AF2110="","",+AE2110*AF2110/100)</f>
        <v>11088</v>
      </c>
      <c r="AH2110" s="30"/>
      <c r="AI2110" s="30"/>
      <c r="AJ2110" s="30"/>
      <c r="AK2110" s="30"/>
      <c r="AL2110" s="13"/>
      <c r="AM2110" s="13"/>
      <c r="AN2110" s="13"/>
      <c r="AO2110" s="13"/>
      <c r="AP2110" s="13"/>
      <c r="AQ2110" s="14"/>
      <c r="AR2110" s="15"/>
    </row>
    <row r="2111" spans="1:44" s="17" customFormat="1" ht="30.95" hidden="1" customHeight="1" x14ac:dyDescent="0.2">
      <c r="A2111" s="343"/>
      <c r="B2111" s="344"/>
      <c r="C2111" s="345"/>
      <c r="D2111" s="398"/>
      <c r="E2111" s="31"/>
      <c r="F2111" s="268"/>
      <c r="G2111" s="269"/>
      <c r="H2111" s="269"/>
      <c r="I2111" s="270"/>
      <c r="J2111" s="32"/>
      <c r="K2111" s="270"/>
      <c r="L2111" s="270"/>
      <c r="M2111" s="39"/>
      <c r="N2111" s="39"/>
      <c r="O2111" s="47"/>
      <c r="P2111" s="57"/>
      <c r="Q2111" s="276"/>
      <c r="R2111" s="277"/>
      <c r="S2111" s="277"/>
      <c r="T2111" s="40"/>
      <c r="U2111" s="278"/>
      <c r="V2111" s="269"/>
      <c r="W2111" s="269"/>
      <c r="X2111" s="275"/>
      <c r="Y2111" s="269"/>
      <c r="Z2111" s="357"/>
      <c r="AA2111" s="207"/>
      <c r="AB2111" s="369"/>
      <c r="AC2111" s="370"/>
      <c r="AD2111" s="332"/>
      <c r="AE2111" s="216"/>
      <c r="AF2111" s="43"/>
      <c r="AG2111" s="47"/>
      <c r="AH2111" s="30"/>
      <c r="AI2111" s="30"/>
      <c r="AJ2111" s="30"/>
      <c r="AK2111" s="30"/>
      <c r="AL2111" s="13"/>
      <c r="AM2111" s="13"/>
      <c r="AN2111" s="13"/>
      <c r="AO2111" s="13"/>
      <c r="AP2111" s="13"/>
      <c r="AQ2111" s="14"/>
      <c r="AR2111" s="15"/>
    </row>
    <row r="2112" spans="1:44" s="17" customFormat="1" ht="30.6" hidden="1" customHeight="1" x14ac:dyDescent="0.2">
      <c r="A2112" s="320"/>
      <c r="B2112" s="321"/>
      <c r="C2112" s="345"/>
      <c r="D2112" s="398">
        <v>3785950</v>
      </c>
      <c r="E2112" s="31">
        <v>4156906</v>
      </c>
      <c r="F2112" s="268" t="str">
        <f>IF(D2112="","",VLOOKUP(D2112,契約台帳!$A$3:$K$4986,6,FALSE)&amp;VLOOKUP(D2112,契約台帳!$A$3:$K$4986,7,FALSE)&amp;VLOOKUP(D2112,契約台帳!$A$3:$K$4986,8,FALSE)&amp;VLOOKUP(D2112,契約台帳!$A$3:$K$4986,9,FALSE)&amp;VLOOKUP(D2112,契約台帳!$A$3:$K$4986,11,FALSE))</f>
        <v>3SNMLBMNGTBF</v>
      </c>
      <c r="G2112" s="269" t="str">
        <f>IF(D2112="","",VLOOKUP(F2112,製品マスタ!$G$5:$H$5002,2,FALSE))</f>
        <v>S</v>
      </c>
      <c r="H2112" s="269" t="str">
        <f>IF(D2112="","",VLOOKUP(F2112,製品マスタ!$G$5:$K$5002,5,FALSE))</f>
        <v>MNGTBF</v>
      </c>
      <c r="I2112" s="270" t="str">
        <f>IF(D2112="","",VLOOKUP(F2112,製品マスタ!$G$5:$L$5002,6,FALSE))</f>
        <v>メタルミー　ネーマー　銀艶　Ｂ</v>
      </c>
      <c r="J2112" s="32" t="s">
        <v>447</v>
      </c>
      <c r="K2112" s="270">
        <f>IF(D2112="","",VLOOKUP(D2112,契約台帳!$A$3:$L$4986,12,FALSE))</f>
        <v>50</v>
      </c>
      <c r="L2112" s="270" t="str">
        <f>IF(D2112="","",INDEX(製品マスタ!$Q$5:$Q$5002,MATCH(F2112&amp;K2112,製品マスタ!$AO$5:$AO$5002,0)))</f>
        <v>T62</v>
      </c>
      <c r="M2112" s="39">
        <v>1120</v>
      </c>
      <c r="N2112" s="39">
        <v>8000</v>
      </c>
      <c r="O2112" s="47">
        <v>2</v>
      </c>
      <c r="P2112" s="57"/>
      <c r="Q2112" s="276">
        <f>IF(D2112="","",IF(J2112="リード付け",M2112,VLOOKUP(D2112,契約台帳!$A$3:$N$4986,14,FALSE)))</f>
        <v>1120</v>
      </c>
      <c r="R2112" s="277">
        <f>IF(D2112="","",IF(J2112="リード付け",M2112,VLOOKUP(D2112,契約台帳!$A$3:$O$4986,15,FALSE)))</f>
        <v>1120</v>
      </c>
      <c r="S2112" s="277">
        <v>4000</v>
      </c>
      <c r="T2112" s="40">
        <v>4</v>
      </c>
      <c r="U2112" s="278">
        <f ca="1">IF(D2112="","",IF(OFFSET(D2112,-2,0)=D2112,"",VLOOKUP(D2112,契約台帳!$A$3:$R$4986,18,FALSE)))</f>
        <v>10</v>
      </c>
      <c r="V2112" s="269" t="str">
        <f>IF(J2112="巻返し",VLOOKUP(F2112&amp;K2112&amp;M2112,製品マスタ!$M$5:$AD$5002,18,FALSE),IF(J2112="リード付け","原反コア",IF(J2112="スリット",VLOOKUP(F2112&amp;K2112&amp;Q2112,製品マスタ!$N$5:$AD$5002,17,FALSE),"")))</f>
        <v>6ｲﾝﾁSｺｱ</v>
      </c>
      <c r="W2112" s="269">
        <f>IF(J2112="巻返し",VLOOKUP(F2112&amp;K2112&amp;M2112,製品マスタ!$M$5:$AE$5002,19,FALSE),IF(J2112="リード付け","-",IF(J2112="スリット",VLOOKUP(F2112&amp;K2112&amp;Q2112,製品マスタ!$N$5:$AE$5002,18,FALSE),"")))</f>
        <v>1125</v>
      </c>
      <c r="X2112" s="275">
        <f>IF(D2112="","",VLOOKUP(D2112,契約台帳!$A$3:$Q$4986,17,FALSE))</f>
        <v>2</v>
      </c>
      <c r="Y2112" s="269" t="str">
        <f>IF(D2112="","",VLOOKUP(D2112,契約台帳!$A$3:$E$4986,5,FALSE))</f>
        <v>リンテック㈱</v>
      </c>
      <c r="Z2112" s="357"/>
      <c r="AA2112" s="207" t="str">
        <f>IFERROR(VLOOKUP(F2112&amp;K2112&amp;M2112,製品マスタ!$M$5:$AM$5002,27,FALSE),"")</f>
        <v>原反ケース再利用</v>
      </c>
      <c r="AB2112" s="369"/>
      <c r="AC2112" s="370"/>
      <c r="AD2112" s="332" t="str">
        <f>IF(F2112="","",+F2112&amp;K2112)</f>
        <v>3SNMLBMNGTBF50</v>
      </c>
      <c r="AE2112" s="216">
        <f>+M2112*N2112*O2112/1000</f>
        <v>17920</v>
      </c>
      <c r="AF2112" s="43">
        <f>IF(AD2112="","",VLOOKUP(AD2112,原価マスタ!$A$2:$AJ$1693,13,FALSE))</f>
        <v>99</v>
      </c>
      <c r="AG2112" s="47">
        <f>IF(AF2112="","",+AE2112*AF2112/100)</f>
        <v>17740.8</v>
      </c>
      <c r="AH2112" s="30"/>
      <c r="AI2112" s="30"/>
      <c r="AJ2112" s="30"/>
      <c r="AK2112" s="30"/>
      <c r="AL2112" s="13"/>
      <c r="AM2112" s="13"/>
      <c r="AN2112" s="13"/>
      <c r="AO2112" s="13"/>
      <c r="AP2112" s="13"/>
      <c r="AQ2112" s="14"/>
      <c r="AR2112" s="15"/>
    </row>
    <row r="2113" spans="1:44" s="17" customFormat="1" ht="30.95" hidden="1" customHeight="1" x14ac:dyDescent="0.2">
      <c r="A2113" s="343"/>
      <c r="B2113" s="344"/>
      <c r="C2113" s="345"/>
      <c r="D2113" s="398"/>
      <c r="E2113" s="31"/>
      <c r="F2113" s="268"/>
      <c r="G2113" s="269"/>
      <c r="H2113" s="269"/>
      <c r="I2113" s="270"/>
      <c r="J2113" s="32"/>
      <c r="K2113" s="270"/>
      <c r="L2113" s="270"/>
      <c r="M2113" s="39"/>
      <c r="N2113" s="39"/>
      <c r="O2113" s="47"/>
      <c r="P2113" s="57"/>
      <c r="Q2113" s="276"/>
      <c r="R2113" s="277"/>
      <c r="S2113" s="277"/>
      <c r="T2113" s="40"/>
      <c r="U2113" s="278"/>
      <c r="V2113" s="269"/>
      <c r="W2113" s="269"/>
      <c r="X2113" s="275"/>
      <c r="Y2113" s="269"/>
      <c r="Z2113" s="357"/>
      <c r="AA2113" s="207"/>
      <c r="AB2113" s="369"/>
      <c r="AC2113" s="370"/>
      <c r="AD2113" s="332"/>
      <c r="AE2113" s="216"/>
      <c r="AF2113" s="43"/>
      <c r="AG2113" s="47"/>
      <c r="AH2113" s="30"/>
      <c r="AI2113" s="30"/>
      <c r="AJ2113" s="30"/>
      <c r="AK2113" s="30"/>
      <c r="AL2113" s="13"/>
      <c r="AM2113" s="13"/>
      <c r="AN2113" s="13"/>
      <c r="AO2113" s="13"/>
      <c r="AP2113" s="13"/>
      <c r="AQ2113" s="14"/>
      <c r="AR2113" s="15"/>
    </row>
    <row r="2114" spans="1:44" s="17" customFormat="1" ht="30.95" hidden="1" customHeight="1" x14ac:dyDescent="0.2">
      <c r="A2114" s="320" t="s">
        <v>3354</v>
      </c>
      <c r="B2114" s="321" t="s">
        <v>3355</v>
      </c>
      <c r="C2114" s="345"/>
      <c r="D2114" s="346">
        <v>5374629</v>
      </c>
      <c r="E2114" s="346">
        <v>4157626</v>
      </c>
      <c r="F2114" s="268"/>
      <c r="G2114" s="269" t="s">
        <v>450</v>
      </c>
      <c r="H2114" s="269" t="s">
        <v>230</v>
      </c>
      <c r="I2114" s="270" t="s">
        <v>2993</v>
      </c>
      <c r="J2114" s="347" t="s">
        <v>1877</v>
      </c>
      <c r="K2114" s="270">
        <v>50</v>
      </c>
      <c r="L2114" s="270" t="s">
        <v>2994</v>
      </c>
      <c r="M2114" s="348">
        <v>1250</v>
      </c>
      <c r="N2114" s="348">
        <v>2000</v>
      </c>
      <c r="O2114" s="349">
        <v>3</v>
      </c>
      <c r="P2114" s="350"/>
      <c r="Q2114" s="276">
        <v>1000</v>
      </c>
      <c r="R2114" s="277">
        <v>1000</v>
      </c>
      <c r="S2114" s="277">
        <v>1800</v>
      </c>
      <c r="T2114" s="351">
        <v>3</v>
      </c>
      <c r="U2114" s="278">
        <v>3</v>
      </c>
      <c r="V2114" s="269" t="s">
        <v>903</v>
      </c>
      <c r="W2114" s="269">
        <v>1005</v>
      </c>
      <c r="X2114" s="275">
        <v>2</v>
      </c>
      <c r="Y2114" s="269" t="s">
        <v>61</v>
      </c>
      <c r="Z2114" s="350" t="s">
        <v>1016</v>
      </c>
      <c r="AA2114" s="207"/>
      <c r="AB2114" s="352"/>
      <c r="AC2114" s="353"/>
      <c r="AD2114" s="54"/>
      <c r="AE2114" s="354"/>
      <c r="AF2114" s="355"/>
      <c r="AG2114" s="349"/>
      <c r="AH2114" s="30"/>
      <c r="AI2114" s="30"/>
      <c r="AJ2114" s="30"/>
      <c r="AK2114" s="30"/>
      <c r="AL2114" s="13"/>
      <c r="AM2114" s="13"/>
      <c r="AN2114" s="13"/>
      <c r="AO2114" s="13"/>
      <c r="AP2114" s="13"/>
      <c r="AQ2114" s="14"/>
      <c r="AR2114" s="15"/>
    </row>
    <row r="2115" spans="1:44" s="17" customFormat="1" ht="30.95" hidden="1" customHeight="1" x14ac:dyDescent="0.2">
      <c r="A2115" s="343"/>
      <c r="B2115" s="344"/>
      <c r="C2115" s="345"/>
      <c r="D2115" s="346"/>
      <c r="E2115" s="413" t="s">
        <v>932</v>
      </c>
      <c r="F2115" s="268"/>
      <c r="G2115" s="269"/>
      <c r="H2115" s="269"/>
      <c r="I2115" s="270"/>
      <c r="J2115" s="347"/>
      <c r="K2115" s="270"/>
      <c r="L2115" s="270"/>
      <c r="M2115" s="348"/>
      <c r="N2115" s="348"/>
      <c r="O2115" s="349"/>
      <c r="P2115" s="350"/>
      <c r="Q2115" s="276"/>
      <c r="R2115" s="277"/>
      <c r="S2115" s="277"/>
      <c r="T2115" s="351"/>
      <c r="U2115" s="278"/>
      <c r="V2115" s="269"/>
      <c r="W2115" s="269"/>
      <c r="X2115" s="275"/>
      <c r="Y2115" s="269"/>
      <c r="Z2115" s="350"/>
      <c r="AA2115" s="207"/>
      <c r="AB2115" s="352"/>
      <c r="AC2115" s="353"/>
      <c r="AD2115" s="54"/>
      <c r="AE2115" s="354"/>
      <c r="AF2115" s="355"/>
      <c r="AG2115" s="349"/>
      <c r="AH2115" s="30"/>
      <c r="AI2115" s="30"/>
      <c r="AJ2115" s="30"/>
      <c r="AK2115" s="30"/>
      <c r="AL2115" s="13"/>
      <c r="AM2115" s="13"/>
      <c r="AN2115" s="13"/>
      <c r="AO2115" s="13"/>
      <c r="AP2115" s="13"/>
      <c r="AQ2115" s="14"/>
      <c r="AR2115" s="15"/>
    </row>
    <row r="2116" spans="1:44" s="17" customFormat="1" ht="30.6" hidden="1" customHeight="1" x14ac:dyDescent="0.2">
      <c r="A2116" s="320" t="s">
        <v>1741</v>
      </c>
      <c r="B2116" s="321" t="s">
        <v>462</v>
      </c>
      <c r="C2116" s="345"/>
      <c r="D2116" s="398">
        <v>3785950</v>
      </c>
      <c r="E2116" s="31">
        <v>4156906</v>
      </c>
      <c r="F2116" s="268" t="str">
        <f>IF(D2116="","",VLOOKUP(D2116,契約台帳!$A$3:$K$4986,6,FALSE)&amp;VLOOKUP(D2116,契約台帳!$A$3:$K$4986,7,FALSE)&amp;VLOOKUP(D2116,契約台帳!$A$3:$K$4986,8,FALSE)&amp;VLOOKUP(D2116,契約台帳!$A$3:$K$4986,9,FALSE)&amp;VLOOKUP(D2116,契約台帳!$A$3:$K$4986,11,FALSE))</f>
        <v>3SNMLBMNGTBF</v>
      </c>
      <c r="G2116" s="269" t="str">
        <f>IF(D2116="","",VLOOKUP(F2116,製品マスタ!$G$5:$H$5002,2,FALSE))</f>
        <v>S</v>
      </c>
      <c r="H2116" s="269" t="str">
        <f>IF(D2116="","",VLOOKUP(F2116,製品マスタ!$G$5:$K$5002,5,FALSE))</f>
        <v>MNGTBF</v>
      </c>
      <c r="I2116" s="270" t="str">
        <f>IF(D2116="","",VLOOKUP(F2116,製品マスタ!$G$5:$L$5002,6,FALSE))</f>
        <v>メタルミー　ネーマー　銀艶　Ｂ</v>
      </c>
      <c r="J2116" s="32" t="s">
        <v>447</v>
      </c>
      <c r="K2116" s="270">
        <f>IF(D2116="","",VLOOKUP(D2116,契約台帳!$A$3:$L$4986,12,FALSE))</f>
        <v>50</v>
      </c>
      <c r="L2116" s="270" t="str">
        <f>IF(D2116="","",INDEX(製品マスタ!$Q$5:$Q$5002,MATCH(F2116&amp;K2116,製品マスタ!$AO$5:$AO$5002,0)))</f>
        <v>T62</v>
      </c>
      <c r="M2116" s="39">
        <v>1120</v>
      </c>
      <c r="N2116" s="39">
        <v>8000</v>
      </c>
      <c r="O2116" s="47">
        <v>3</v>
      </c>
      <c r="P2116" s="57"/>
      <c r="Q2116" s="276">
        <f>IF(D2116="","",IF(J2116="リード付け",M2116,VLOOKUP(D2116,契約台帳!$A$3:$N$4986,14,FALSE)))</f>
        <v>1120</v>
      </c>
      <c r="R2116" s="277">
        <f>IF(D2116="","",IF(J2116="リード付け",M2116,VLOOKUP(D2116,契約台帳!$A$3:$O$4986,15,FALSE)))</f>
        <v>1120</v>
      </c>
      <c r="S2116" s="277">
        <v>4000</v>
      </c>
      <c r="T2116" s="40">
        <v>6</v>
      </c>
      <c r="U2116" s="278">
        <f ca="1">IF(D2116="","",IF(OFFSET(D2116,-2,0)=D2116,"",VLOOKUP(D2116,契約台帳!$A$3:$R$4986,18,FALSE)))</f>
        <v>10</v>
      </c>
      <c r="V2116" s="269" t="str">
        <f>IF(J2116="巻返し",VLOOKUP(F2116&amp;K2116&amp;M2116,製品マスタ!$M$5:$AD$5002,18,FALSE),IF(J2116="リード付け","原反コア",IF(J2116="スリット",VLOOKUP(F2116&amp;K2116&amp;Q2116,製品マスタ!$N$5:$AD$5002,17,FALSE),"")))</f>
        <v>6ｲﾝﾁSｺｱ</v>
      </c>
      <c r="W2116" s="269">
        <f>IF(J2116="巻返し",VLOOKUP(F2116&amp;K2116&amp;M2116,製品マスタ!$M$5:$AE$5002,19,FALSE),IF(J2116="リード付け","-",IF(J2116="スリット",VLOOKUP(F2116&amp;K2116&amp;Q2116,製品マスタ!$N$5:$AE$5002,18,FALSE),"")))</f>
        <v>1125</v>
      </c>
      <c r="X2116" s="275">
        <f>IF(D2116="","",VLOOKUP(D2116,契約台帳!$A$3:$Q$4986,17,FALSE))</f>
        <v>2</v>
      </c>
      <c r="Y2116" s="269" t="str">
        <f>IF(D2116="","",VLOOKUP(D2116,契約台帳!$A$3:$E$4986,5,FALSE))</f>
        <v>リンテック㈱</v>
      </c>
      <c r="Z2116" s="357"/>
      <c r="AA2116" s="207" t="str">
        <f>IFERROR(VLOOKUP(F2116&amp;K2116&amp;M2116,製品マスタ!$M$5:$AM$5002,27,FALSE),"")</f>
        <v>原反ケース再利用</v>
      </c>
      <c r="AB2116" s="369"/>
      <c r="AC2116" s="370"/>
      <c r="AD2116" s="332" t="str">
        <f>IF(F2116="","",+F2116&amp;K2116)</f>
        <v>3SNMLBMNGTBF50</v>
      </c>
      <c r="AE2116" s="216">
        <f>+M2116*N2116*O2116/1000</f>
        <v>26880</v>
      </c>
      <c r="AF2116" s="43">
        <f>IF(AD2116="","",VLOOKUP(AD2116,原価マスタ!$A$2:$AJ$1693,13,FALSE))</f>
        <v>99</v>
      </c>
      <c r="AG2116" s="47">
        <f>IF(AF2116="","",+AE2116*AF2116/100)</f>
        <v>26611.200000000001</v>
      </c>
      <c r="AH2116" s="30"/>
      <c r="AI2116" s="30"/>
      <c r="AJ2116" s="30"/>
      <c r="AK2116" s="30"/>
      <c r="AL2116" s="13"/>
      <c r="AM2116" s="13"/>
      <c r="AN2116" s="13"/>
      <c r="AO2116" s="13"/>
      <c r="AP2116" s="13"/>
      <c r="AQ2116" s="14"/>
      <c r="AR2116" s="15"/>
    </row>
    <row r="2117" spans="1:44" s="17" customFormat="1" ht="30.95" hidden="1" customHeight="1" x14ac:dyDescent="0.2">
      <c r="A2117" s="343"/>
      <c r="B2117" s="344"/>
      <c r="C2117" s="345"/>
      <c r="D2117" s="398"/>
      <c r="E2117" s="31"/>
      <c r="F2117" s="268"/>
      <c r="G2117" s="269"/>
      <c r="H2117" s="269"/>
      <c r="I2117" s="270"/>
      <c r="J2117" s="32"/>
      <c r="K2117" s="270"/>
      <c r="L2117" s="270"/>
      <c r="M2117" s="39"/>
      <c r="N2117" s="39"/>
      <c r="O2117" s="47"/>
      <c r="P2117" s="57"/>
      <c r="Q2117" s="276"/>
      <c r="R2117" s="277"/>
      <c r="S2117" s="277"/>
      <c r="T2117" s="40"/>
      <c r="U2117" s="278"/>
      <c r="V2117" s="269"/>
      <c r="W2117" s="269"/>
      <c r="X2117" s="275"/>
      <c r="Y2117" s="269"/>
      <c r="Z2117" s="357"/>
      <c r="AA2117" s="207"/>
      <c r="AB2117" s="369"/>
      <c r="AC2117" s="370"/>
      <c r="AD2117" s="332"/>
      <c r="AE2117" s="216"/>
      <c r="AF2117" s="43"/>
      <c r="AG2117" s="47"/>
      <c r="AH2117" s="30"/>
      <c r="AI2117" s="30"/>
      <c r="AJ2117" s="30"/>
      <c r="AK2117" s="30"/>
      <c r="AL2117" s="13"/>
      <c r="AM2117" s="13"/>
      <c r="AN2117" s="13"/>
      <c r="AO2117" s="13"/>
      <c r="AP2117" s="13"/>
      <c r="AQ2117" s="14"/>
      <c r="AR2117" s="15"/>
    </row>
    <row r="2118" spans="1:44" s="17" customFormat="1" ht="30.95" hidden="1" customHeight="1" x14ac:dyDescent="0.2">
      <c r="A2118" s="343" t="s">
        <v>645</v>
      </c>
      <c r="B2118" s="344" t="s">
        <v>446</v>
      </c>
      <c r="C2118" s="345"/>
      <c r="D2118" s="398"/>
      <c r="E2118" s="31"/>
      <c r="F2118" s="268"/>
      <c r="G2118" s="269"/>
      <c r="H2118" s="269"/>
      <c r="I2118" s="270"/>
      <c r="J2118" s="32" t="s">
        <v>448</v>
      </c>
      <c r="K2118" s="270"/>
      <c r="L2118" s="270"/>
      <c r="M2118" s="39"/>
      <c r="N2118" s="39"/>
      <c r="O2118" s="47"/>
      <c r="P2118" s="57"/>
      <c r="Q2118" s="276"/>
      <c r="R2118" s="277"/>
      <c r="S2118" s="277"/>
      <c r="T2118" s="40"/>
      <c r="U2118" s="278"/>
      <c r="V2118" s="269"/>
      <c r="W2118" s="269"/>
      <c r="X2118" s="275"/>
      <c r="Y2118" s="269"/>
      <c r="Z2118" s="357"/>
      <c r="AA2118" s="207"/>
      <c r="AB2118" s="369"/>
      <c r="AC2118" s="370"/>
      <c r="AD2118" s="332"/>
      <c r="AE2118" s="216"/>
      <c r="AF2118" s="43"/>
      <c r="AG2118" s="47"/>
      <c r="AH2118" s="30"/>
      <c r="AI2118" s="30"/>
      <c r="AJ2118" s="30"/>
      <c r="AK2118" s="30"/>
      <c r="AL2118" s="13"/>
      <c r="AM2118" s="13"/>
      <c r="AN2118" s="13"/>
      <c r="AO2118" s="13"/>
      <c r="AP2118" s="13"/>
      <c r="AQ2118" s="14"/>
      <c r="AR2118" s="15"/>
    </row>
    <row r="2119" spans="1:44" s="17" customFormat="1" ht="30.95" hidden="1" customHeight="1" x14ac:dyDescent="0.2">
      <c r="A2119" s="343"/>
      <c r="B2119" s="344"/>
      <c r="C2119" s="345"/>
      <c r="D2119" s="398"/>
      <c r="E2119" s="31"/>
      <c r="F2119" s="268"/>
      <c r="G2119" s="269"/>
      <c r="H2119" s="269"/>
      <c r="I2119" s="270"/>
      <c r="J2119" s="32"/>
      <c r="K2119" s="270"/>
      <c r="L2119" s="270"/>
      <c r="M2119" s="39"/>
      <c r="N2119" s="39"/>
      <c r="O2119" s="47"/>
      <c r="P2119" s="57"/>
      <c r="Q2119" s="276"/>
      <c r="R2119" s="277"/>
      <c r="S2119" s="277"/>
      <c r="T2119" s="40"/>
      <c r="U2119" s="278"/>
      <c r="V2119" s="269"/>
      <c r="W2119" s="269"/>
      <c r="X2119" s="275"/>
      <c r="Y2119" s="269"/>
      <c r="Z2119" s="357"/>
      <c r="AA2119" s="207"/>
      <c r="AB2119" s="369"/>
      <c r="AC2119" s="370"/>
      <c r="AD2119" s="332"/>
      <c r="AE2119" s="216"/>
      <c r="AF2119" s="43"/>
      <c r="AG2119" s="47"/>
      <c r="AH2119" s="30"/>
      <c r="AI2119" s="30"/>
      <c r="AJ2119" s="30"/>
      <c r="AK2119" s="30"/>
      <c r="AL2119" s="13"/>
      <c r="AM2119" s="13"/>
      <c r="AN2119" s="13"/>
      <c r="AO2119" s="13"/>
      <c r="AP2119" s="13"/>
      <c r="AQ2119" s="14"/>
      <c r="AR2119" s="15"/>
    </row>
    <row r="2120" spans="1:44" s="17" customFormat="1" ht="30.6" hidden="1" customHeight="1" x14ac:dyDescent="0.2">
      <c r="A2120" s="320" t="s">
        <v>3356</v>
      </c>
      <c r="B2120" s="321" t="s">
        <v>462</v>
      </c>
      <c r="C2120" s="345"/>
      <c r="D2120" s="398">
        <v>3783797</v>
      </c>
      <c r="E2120" s="31">
        <v>4156840</v>
      </c>
      <c r="F2120" s="268" t="str">
        <f>IF(D2120="","",VLOOKUP(D2120,契約台帳!$A$3:$K$4986,6,FALSE)&amp;VLOOKUP(D2120,契約台帳!$A$3:$K$4986,7,FALSE)&amp;VLOOKUP(D2120,契約台帳!$A$3:$K$4986,8,FALSE)&amp;VLOOKUP(D2120,契約台帳!$A$3:$K$4986,9,FALSE)&amp;VLOOKUP(D2120,契約台帳!$A$3:$K$4986,11,FALSE))</f>
        <v>3SNMLBMSF</v>
      </c>
      <c r="G2120" s="269" t="str">
        <f>IF(D2120="","",VLOOKUP(F2120,製品マスタ!$G$5:$H$5002,2,FALSE))</f>
        <v>S</v>
      </c>
      <c r="H2120" s="269" t="str">
        <f>IF(D2120="","",VLOOKUP(F2120,製品マスタ!$G$5:$K$5002,5,FALSE))</f>
        <v>MSF</v>
      </c>
      <c r="I2120" s="270" t="str">
        <f>IF(D2120="","",VLOOKUP(F2120,製品マスタ!$G$5:$L$5002,6,FALSE))</f>
        <v>メタルミー　Ｓ</v>
      </c>
      <c r="J2120" s="32" t="s">
        <v>447</v>
      </c>
      <c r="K2120" s="270">
        <f>IF(D2120="","",VLOOKUP(D2120,契約台帳!$A$3:$L$4986,12,FALSE))</f>
        <v>25</v>
      </c>
      <c r="L2120" s="270" t="str">
        <f>IF(D2120="","",INDEX(製品マスタ!$Q$5:$Q$5002,MATCH(F2120&amp;K2120,製品マスタ!$AO$5:$AO$5002,0)))</f>
        <v>T62M</v>
      </c>
      <c r="M2120" s="39">
        <v>1020</v>
      </c>
      <c r="N2120" s="39">
        <v>12100</v>
      </c>
      <c r="O2120" s="47">
        <v>1</v>
      </c>
      <c r="P2120" s="57"/>
      <c r="Q2120" s="276">
        <f>IF(D2120="","",IF(J2120="リード付け",M2120,VLOOKUP(D2120,契約台帳!$A$3:$N$4986,14,FALSE)))</f>
        <v>1020</v>
      </c>
      <c r="R2120" s="277">
        <f>IF(D2120="","",IF(J2120="リード付け",M2120,VLOOKUP(D2120,契約台帳!$A$3:$O$4986,15,FALSE)))</f>
        <v>1020</v>
      </c>
      <c r="S2120" s="277">
        <f>IF(D2120="","",IF(J2120="リード付け",N2120,VLOOKUP(D2120,契約台帳!$A$3:$P$4986,16,FALSE)))</f>
        <v>2000</v>
      </c>
      <c r="T2120" s="40">
        <v>6</v>
      </c>
      <c r="U2120" s="278">
        <f ca="1">IF(D2120="","",IF(OFFSET(D2120,-2,0)=D2120,"",VLOOKUP(D2120,契約台帳!$A$3:$R$4986,18,FALSE)))</f>
        <v>6</v>
      </c>
      <c r="V2120" s="269" t="str">
        <f>IF(J2120="巻返し",VLOOKUP(F2120&amp;K2120&amp;M2120,製品マスタ!$M$5:$AD$5002,18,FALSE),IF(J2120="リード付け","原反コア",IF(J2120="スリット",VLOOKUP(F2120&amp;K2120&amp;Q2120,製品マスタ!$N$5:$AD$5002,17,FALSE),"")))</f>
        <v>3ｲﾝﾁSｺｱ</v>
      </c>
      <c r="W2120" s="269">
        <f>IF(J2120="巻返し",VLOOKUP(F2120&amp;K2120&amp;M2120,製品マスタ!$M$5:$AE$5002,19,FALSE),IF(J2120="リード付け","-",IF(J2120="スリット",VLOOKUP(F2120&amp;K2120&amp;Q2120,製品マスタ!$N$5:$AE$5002,18,FALSE),"")))</f>
        <v>1005</v>
      </c>
      <c r="X2120" s="275">
        <f>IF(D2120="","",VLOOKUP(D2120,契約台帳!$A$3:$Q$4986,17,FALSE))</f>
        <v>1</v>
      </c>
      <c r="Y2120" s="269" t="str">
        <f>IF(D2120="","",VLOOKUP(D2120,契約台帳!$A$3:$E$4986,5,FALSE))</f>
        <v>日精㈱東京支店</v>
      </c>
      <c r="Z2120" s="357"/>
      <c r="AA2120" s="207">
        <f>IFERROR(VLOOKUP(F2120&amp;K2120&amp;M2120,製品マスタ!$M$5:$AM$5002,27,FALSE),"")</f>
        <v>0</v>
      </c>
      <c r="AB2120" s="369"/>
      <c r="AC2120" s="370"/>
      <c r="AD2120" s="332" t="str">
        <f>IF(F2120="","",+F2120&amp;K2120)</f>
        <v>3SNMLBMSF25</v>
      </c>
      <c r="AE2120" s="216">
        <f>+M2120*N2120*O2120/1000</f>
        <v>12342</v>
      </c>
      <c r="AF2120" s="43">
        <f>IF(AD2120="","",VLOOKUP(AD2120,原価マスタ!$A$2:$AJ$1693,13,FALSE))</f>
        <v>97</v>
      </c>
      <c r="AG2120" s="47">
        <f>IF(AF2120="","",+AE2120*AF2120/100)</f>
        <v>11971.74</v>
      </c>
      <c r="AH2120" s="30"/>
      <c r="AI2120" s="30"/>
      <c r="AJ2120" s="30"/>
      <c r="AK2120" s="30"/>
      <c r="AL2120" s="13"/>
      <c r="AM2120" s="13"/>
      <c r="AN2120" s="13"/>
      <c r="AO2120" s="13"/>
      <c r="AP2120" s="13"/>
      <c r="AQ2120" s="14"/>
      <c r="AR2120" s="15"/>
    </row>
    <row r="2121" spans="1:44" s="17" customFormat="1" ht="30.95" hidden="1" customHeight="1" x14ac:dyDescent="0.2">
      <c r="A2121" s="343"/>
      <c r="B2121" s="344"/>
      <c r="C2121" s="345"/>
      <c r="D2121" s="398"/>
      <c r="E2121" s="31"/>
      <c r="F2121" s="268"/>
      <c r="G2121" s="269"/>
      <c r="H2121" s="269"/>
      <c r="I2121" s="270"/>
      <c r="J2121" s="32"/>
      <c r="K2121" s="270"/>
      <c r="L2121" s="270"/>
      <c r="M2121" s="39"/>
      <c r="N2121" s="39"/>
      <c r="O2121" s="47"/>
      <c r="P2121" s="57"/>
      <c r="Q2121" s="276"/>
      <c r="R2121" s="277"/>
      <c r="S2121" s="277"/>
      <c r="T2121" s="40"/>
      <c r="U2121" s="278"/>
      <c r="V2121" s="269"/>
      <c r="W2121" s="269"/>
      <c r="X2121" s="275"/>
      <c r="Y2121" s="269"/>
      <c r="Z2121" s="357"/>
      <c r="AA2121" s="207"/>
      <c r="AB2121" s="369"/>
      <c r="AC2121" s="370"/>
      <c r="AD2121" s="332"/>
      <c r="AE2121" s="216"/>
      <c r="AF2121" s="43"/>
      <c r="AG2121" s="47"/>
      <c r="AH2121" s="30"/>
      <c r="AI2121" s="30"/>
      <c r="AJ2121" s="30"/>
      <c r="AK2121" s="30"/>
      <c r="AL2121" s="13"/>
      <c r="AM2121" s="13"/>
      <c r="AN2121" s="13"/>
      <c r="AO2121" s="13"/>
      <c r="AP2121" s="13"/>
      <c r="AQ2121" s="14"/>
      <c r="AR2121" s="15"/>
    </row>
    <row r="2122" spans="1:44" s="17" customFormat="1" ht="30.6" hidden="1" customHeight="1" x14ac:dyDescent="0.2">
      <c r="A2122" s="320"/>
      <c r="B2122" s="321"/>
      <c r="C2122" s="345"/>
      <c r="D2122" s="398">
        <v>3783811</v>
      </c>
      <c r="E2122" s="31">
        <v>4156802</v>
      </c>
      <c r="F2122" s="268" t="str">
        <f>IF(D2122="","",VLOOKUP(D2122,契約台帳!$A$3:$K$4986,6,FALSE)&amp;VLOOKUP(D2122,契約台帳!$A$3:$K$4986,7,FALSE)&amp;VLOOKUP(D2122,契約台帳!$A$3:$K$4986,8,FALSE)&amp;VLOOKUP(D2122,契約台帳!$A$3:$K$4986,9,FALSE)&amp;VLOOKUP(D2122,契約台帳!$A$3:$K$4986,11,FALSE))</f>
        <v>3SNMLBMNNGKBF</v>
      </c>
      <c r="G2122" s="269" t="str">
        <f>IF(D2122="","",VLOOKUP(F2122,製品マスタ!$G$5:$H$5002,2,FALSE))</f>
        <v>S</v>
      </c>
      <c r="H2122" s="269" t="str">
        <f>IF(D2122="","",VLOOKUP(F2122,製品マスタ!$G$5:$K$5002,5,FALSE))</f>
        <v>MNNGKBF</v>
      </c>
      <c r="I2122" s="270" t="str">
        <f>IF(D2122="","",VLOOKUP(F2122,製品マスタ!$G$5:$L$5002,6,FALSE))</f>
        <v>メタルミー　ニューネーマー銀消　Ｂ</v>
      </c>
      <c r="J2122" s="32" t="s">
        <v>447</v>
      </c>
      <c r="K2122" s="270">
        <f>IF(D2122="","",VLOOKUP(D2122,契約台帳!$A$3:$L$4986,12,FALSE))</f>
        <v>25</v>
      </c>
      <c r="L2122" s="270" t="str">
        <f>IF(D2122="","",INDEX(製品マスタ!$Q$5:$Q$5002,MATCH(F2122&amp;K2122,製品マスタ!$AO$5:$AO$5002,0)))</f>
        <v>X44C</v>
      </c>
      <c r="M2122" s="39">
        <v>1005</v>
      </c>
      <c r="N2122" s="39">
        <v>16000</v>
      </c>
      <c r="O2122" s="47">
        <v>1</v>
      </c>
      <c r="P2122" s="57"/>
      <c r="Q2122" s="276">
        <f>IF(D2122="","",IF(J2122="リード付け",M2122,VLOOKUP(D2122,契約台帳!$A$3:$N$4986,14,FALSE)))</f>
        <v>1000</v>
      </c>
      <c r="R2122" s="277">
        <f>IF(D2122="","",IF(J2122="リード付け",M2122,VLOOKUP(D2122,契約台帳!$A$3:$O$4986,15,FALSE)))</f>
        <v>1000</v>
      </c>
      <c r="S2122" s="277">
        <f>IF(D2122="","",IF(J2122="リード付け",N2122,VLOOKUP(D2122,契約台帳!$A$3:$P$4986,16,FALSE)))</f>
        <v>4000</v>
      </c>
      <c r="T2122" s="40">
        <v>4</v>
      </c>
      <c r="U2122" s="278">
        <f ca="1">IF(D2122="","",IF(OFFSET(D2122,-2,0)=D2122,"",VLOOKUP(D2122,契約台帳!$A$3:$R$4986,18,FALSE)))</f>
        <v>4</v>
      </c>
      <c r="V2122" s="269" t="str">
        <f>IF(J2122="巻返し",VLOOKUP(F2122&amp;K2122&amp;M2122,製品マスタ!$M$5:$AD$5002,18,FALSE),IF(J2122="リード付け","原反コア",IF(J2122="スリット",VLOOKUP(F2122&amp;K2122&amp;Q2122,製品マスタ!$N$5:$AD$5002,17,FALSE),"")))</f>
        <v>6ｲﾝﾁSｺｱ</v>
      </c>
      <c r="W2122" s="269">
        <f>IF(J2122="巻返し",VLOOKUP(F2122&amp;K2122&amp;M2122,製品マスタ!$M$5:$AE$5002,19,FALSE),IF(J2122="リード付け","-",IF(J2122="スリット",VLOOKUP(F2122&amp;K2122&amp;Q2122,製品マスタ!$N$5:$AE$5002,18,FALSE),"")))</f>
        <v>1015</v>
      </c>
      <c r="X2122" s="275">
        <f>IF(D2122="","",VLOOKUP(D2122,契約台帳!$A$3:$Q$4986,17,FALSE))</f>
        <v>2</v>
      </c>
      <c r="Y2122" s="269" t="str">
        <f>IF(D2122="","",VLOOKUP(D2122,契約台帳!$A$3:$E$4986,5,FALSE))</f>
        <v>リンテック㈱</v>
      </c>
      <c r="Z2122" s="357"/>
      <c r="AA2122" s="207">
        <f>IFERROR(VLOOKUP(F2122&amp;K2122&amp;M2122,製品マスタ!$M$5:$AM$5002,27,FALSE),"")</f>
        <v>0</v>
      </c>
      <c r="AB2122" s="369"/>
      <c r="AC2122" s="370"/>
      <c r="AD2122" s="332" t="str">
        <f>IF(F2122="","",+F2122&amp;K2122)</f>
        <v>3SNMLBMNNGKBF25</v>
      </c>
      <c r="AE2122" s="216">
        <f>+M2122*N2122*O2122/1000</f>
        <v>16080</v>
      </c>
      <c r="AF2122" s="43">
        <f>IF(AD2122="","",VLOOKUP(AD2122,原価マスタ!$A$2:$AJ$1693,13,FALSE))</f>
        <v>98.3</v>
      </c>
      <c r="AG2122" s="47">
        <f>IF(AF2122="","",+AE2122*AF2122/100)</f>
        <v>15806.64</v>
      </c>
      <c r="AH2122" s="30"/>
      <c r="AI2122" s="30"/>
      <c r="AJ2122" s="30"/>
      <c r="AK2122" s="30"/>
      <c r="AL2122" s="13"/>
      <c r="AM2122" s="13"/>
      <c r="AN2122" s="13"/>
      <c r="AO2122" s="13"/>
      <c r="AP2122" s="13"/>
      <c r="AQ2122" s="14"/>
      <c r="AR2122" s="15"/>
    </row>
    <row r="2123" spans="1:44" s="17" customFormat="1" ht="30.95" hidden="1" customHeight="1" x14ac:dyDescent="0.2">
      <c r="A2123" s="343"/>
      <c r="B2123" s="344"/>
      <c r="C2123" s="345"/>
      <c r="D2123" s="398"/>
      <c r="E2123" s="31"/>
      <c r="F2123" s="268"/>
      <c r="G2123" s="269"/>
      <c r="H2123" s="269"/>
      <c r="I2123" s="270"/>
      <c r="J2123" s="32"/>
      <c r="K2123" s="270"/>
      <c r="L2123" s="270"/>
      <c r="M2123" s="39"/>
      <c r="N2123" s="39"/>
      <c r="O2123" s="47"/>
      <c r="P2123" s="57"/>
      <c r="Q2123" s="276"/>
      <c r="R2123" s="277"/>
      <c r="S2123" s="277"/>
      <c r="T2123" s="40"/>
      <c r="U2123" s="278"/>
      <c r="V2123" s="269"/>
      <c r="W2123" s="269"/>
      <c r="X2123" s="275"/>
      <c r="Y2123" s="269"/>
      <c r="Z2123" s="357"/>
      <c r="AA2123" s="207"/>
      <c r="AB2123" s="369"/>
      <c r="AC2123" s="370"/>
      <c r="AD2123" s="332"/>
      <c r="AE2123" s="216"/>
      <c r="AF2123" s="43"/>
      <c r="AG2123" s="47"/>
      <c r="AH2123" s="30"/>
      <c r="AI2123" s="30"/>
      <c r="AJ2123" s="30"/>
      <c r="AK2123" s="30"/>
      <c r="AL2123" s="13"/>
      <c r="AM2123" s="13"/>
      <c r="AN2123" s="13"/>
      <c r="AO2123" s="13"/>
      <c r="AP2123" s="13"/>
      <c r="AQ2123" s="14"/>
      <c r="AR2123" s="15"/>
    </row>
    <row r="2124" spans="1:44" s="17" customFormat="1" ht="30.6" hidden="1" customHeight="1" x14ac:dyDescent="0.2">
      <c r="A2124" s="320"/>
      <c r="B2124" s="321"/>
      <c r="C2124" s="345"/>
      <c r="D2124" s="398">
        <v>3783812</v>
      </c>
      <c r="E2124" s="31">
        <v>4156659</v>
      </c>
      <c r="F2124" s="268" t="str">
        <f>IF(D2124="","",VLOOKUP(D2124,契約台帳!$A$3:$K$4986,6,FALSE)&amp;VLOOKUP(D2124,契約台帳!$A$3:$K$4986,7,FALSE)&amp;VLOOKUP(D2124,契約台帳!$A$3:$K$4986,8,FALSE)&amp;VLOOKUP(D2124,契約台帳!$A$3:$K$4986,9,FALSE)&amp;VLOOKUP(D2124,契約台帳!$A$3:$K$4986,11,FALSE))</f>
        <v>3SNMLBMNNGKBF</v>
      </c>
      <c r="G2124" s="269" t="str">
        <f>IF(D2124="","",VLOOKUP(F2124,製品マスタ!$G$5:$H$5002,2,FALSE))</f>
        <v>S</v>
      </c>
      <c r="H2124" s="269" t="str">
        <f>IF(D2124="","",VLOOKUP(F2124,製品マスタ!$G$5:$K$5002,5,FALSE))</f>
        <v>MNNGKBF</v>
      </c>
      <c r="I2124" s="270" t="str">
        <f>IF(D2124="","",VLOOKUP(F2124,製品マスタ!$G$5:$L$5002,6,FALSE))</f>
        <v>メタルミー　ニューネーマー銀消　Ｂ</v>
      </c>
      <c r="J2124" s="32" t="s">
        <v>447</v>
      </c>
      <c r="K2124" s="270">
        <f>IF(D2124="","",VLOOKUP(D2124,契約台帳!$A$3:$L$4986,12,FALSE))</f>
        <v>50</v>
      </c>
      <c r="L2124" s="270" t="str">
        <f>IF(D2124="","",INDEX(製品マスタ!$Q$5:$Q$5002,MATCH(F2124&amp;K2124,製品マスタ!$AO$5:$AO$5002,0)))</f>
        <v>X44</v>
      </c>
      <c r="M2124" s="39">
        <v>1000</v>
      </c>
      <c r="N2124" s="39">
        <v>12000</v>
      </c>
      <c r="O2124" s="47">
        <v>2</v>
      </c>
      <c r="P2124" s="57"/>
      <c r="Q2124" s="276">
        <f>IF(D2124="","",IF(J2124="リード付け",M2124,VLOOKUP(D2124,契約台帳!$A$3:$N$4986,14,FALSE)))</f>
        <v>1000</v>
      </c>
      <c r="R2124" s="277">
        <f>IF(D2124="","",IF(J2124="リード付け",M2124,VLOOKUP(D2124,契約台帳!$A$3:$O$4986,15,FALSE)))</f>
        <v>1000</v>
      </c>
      <c r="S2124" s="277">
        <f>IF(D2124="","",IF(J2124="リード付け",N2124,VLOOKUP(D2124,契約台帳!$A$3:$P$4986,16,FALSE)))</f>
        <v>4000</v>
      </c>
      <c r="T2124" s="40">
        <v>6</v>
      </c>
      <c r="U2124" s="278">
        <f ca="1">IF(D2124="","",IF(OFFSET(D2124,-2,0)=D2124,"",VLOOKUP(D2124,契約台帳!$A$3:$R$4986,18,FALSE)))</f>
        <v>9</v>
      </c>
      <c r="V2124" s="269" t="str">
        <f>IF(J2124="巻返し",VLOOKUP(F2124&amp;K2124&amp;M2124,製品マスタ!$M$5:$AD$5002,18,FALSE),IF(J2124="リード付け","原反コア",IF(J2124="スリット",VLOOKUP(F2124&amp;K2124&amp;Q2124,製品マスタ!$N$5:$AD$5002,17,FALSE),"")))</f>
        <v>6ｲﾝﾁSｺｱ</v>
      </c>
      <c r="W2124" s="269">
        <f>IF(J2124="巻返し",VLOOKUP(F2124&amp;K2124&amp;M2124,製品マスタ!$M$5:$AE$5002,19,FALSE),IF(J2124="リード付け","-",IF(J2124="スリット",VLOOKUP(F2124&amp;K2124&amp;Q2124,製品マスタ!$N$5:$AE$5002,18,FALSE),"")))</f>
        <v>1005</v>
      </c>
      <c r="X2124" s="275">
        <f>IF(D2124="","",VLOOKUP(D2124,契約台帳!$A$3:$Q$4986,17,FALSE))</f>
        <v>2</v>
      </c>
      <c r="Y2124" s="269" t="str">
        <f>IF(D2124="","",VLOOKUP(D2124,契約台帳!$A$3:$E$4986,5,FALSE))</f>
        <v>リンテック㈱</v>
      </c>
      <c r="Z2124" s="357"/>
      <c r="AA2124" s="207" t="str">
        <f>IFERROR(VLOOKUP(F2124&amp;K2124&amp;M2124,製品マスタ!$M$5:$AM$5002,27,FALSE),"")</f>
        <v>原反ケース再利用</v>
      </c>
      <c r="AB2124" s="369"/>
      <c r="AC2124" s="370"/>
      <c r="AD2124" s="332" t="str">
        <f>IF(F2124="","",+F2124&amp;K2124)</f>
        <v>3SNMLBMNNGKBF50</v>
      </c>
      <c r="AE2124" s="216">
        <f>+M2124*N2124*O2124/1000</f>
        <v>24000</v>
      </c>
      <c r="AF2124" s="43">
        <f>IF(AD2124="","",VLOOKUP(AD2124,原価マスタ!$A$2:$AJ$1693,13,FALSE))</f>
        <v>99</v>
      </c>
      <c r="AG2124" s="47">
        <f>IF(AF2124="","",+AE2124*AF2124/100)</f>
        <v>23760</v>
      </c>
      <c r="AH2124" s="30"/>
      <c r="AI2124" s="30"/>
      <c r="AJ2124" s="30"/>
      <c r="AK2124" s="30"/>
      <c r="AL2124" s="13"/>
      <c r="AM2124" s="13"/>
      <c r="AN2124" s="13"/>
      <c r="AO2124" s="13"/>
      <c r="AP2124" s="13"/>
      <c r="AQ2124" s="14"/>
      <c r="AR2124" s="15"/>
    </row>
    <row r="2125" spans="1:44" s="17" customFormat="1" ht="30.95" hidden="1" customHeight="1" x14ac:dyDescent="0.2">
      <c r="A2125" s="343"/>
      <c r="B2125" s="344"/>
      <c r="C2125" s="345"/>
      <c r="D2125" s="398"/>
      <c r="E2125" s="31"/>
      <c r="F2125" s="268"/>
      <c r="G2125" s="269"/>
      <c r="H2125" s="269"/>
      <c r="I2125" s="270"/>
      <c r="J2125" s="32"/>
      <c r="K2125" s="270"/>
      <c r="L2125" s="270"/>
      <c r="M2125" s="39"/>
      <c r="N2125" s="39"/>
      <c r="O2125" s="47"/>
      <c r="P2125" s="57"/>
      <c r="Q2125" s="276"/>
      <c r="R2125" s="277"/>
      <c r="S2125" s="277"/>
      <c r="T2125" s="40"/>
      <c r="U2125" s="278"/>
      <c r="V2125" s="269"/>
      <c r="W2125" s="269"/>
      <c r="X2125" s="275"/>
      <c r="Y2125" s="269"/>
      <c r="Z2125" s="357"/>
      <c r="AA2125" s="207"/>
      <c r="AB2125" s="369"/>
      <c r="AC2125" s="370"/>
      <c r="AD2125" s="332"/>
      <c r="AE2125" s="216"/>
      <c r="AF2125" s="43"/>
      <c r="AG2125" s="47"/>
      <c r="AH2125" s="30"/>
      <c r="AI2125" s="30"/>
      <c r="AJ2125" s="30"/>
      <c r="AK2125" s="30"/>
      <c r="AL2125" s="13"/>
      <c r="AM2125" s="13"/>
      <c r="AN2125" s="13"/>
      <c r="AO2125" s="13"/>
      <c r="AP2125" s="13"/>
      <c r="AQ2125" s="14"/>
      <c r="AR2125" s="15"/>
    </row>
    <row r="2126" spans="1:44" s="17" customFormat="1" ht="30.6" hidden="1" customHeight="1" x14ac:dyDescent="0.2">
      <c r="A2126" s="320" t="s">
        <v>1742</v>
      </c>
      <c r="B2126" s="321" t="s">
        <v>688</v>
      </c>
      <c r="C2126" s="345"/>
      <c r="D2126" s="398">
        <v>3783812</v>
      </c>
      <c r="E2126" s="31">
        <v>4156659</v>
      </c>
      <c r="F2126" s="268" t="str">
        <f>IF(D2126="","",VLOOKUP(D2126,契約台帳!$A$3:$K$4986,6,FALSE)&amp;VLOOKUP(D2126,契約台帳!$A$3:$K$4986,7,FALSE)&amp;VLOOKUP(D2126,契約台帳!$A$3:$K$4986,8,FALSE)&amp;VLOOKUP(D2126,契約台帳!$A$3:$K$4986,9,FALSE)&amp;VLOOKUP(D2126,契約台帳!$A$3:$K$4986,11,FALSE))</f>
        <v>3SNMLBMNNGKBF</v>
      </c>
      <c r="G2126" s="269" t="str">
        <f>IF(D2126="","",VLOOKUP(F2126,製品マスタ!$G$5:$H$5002,2,FALSE))</f>
        <v>S</v>
      </c>
      <c r="H2126" s="269" t="str">
        <f>IF(D2126="","",VLOOKUP(F2126,製品マスタ!$G$5:$K$5002,5,FALSE))</f>
        <v>MNNGKBF</v>
      </c>
      <c r="I2126" s="270" t="str">
        <f>IF(D2126="","",VLOOKUP(F2126,製品マスタ!$G$5:$L$5002,6,FALSE))</f>
        <v>メタルミー　ニューネーマー銀消　Ｂ</v>
      </c>
      <c r="J2126" s="32" t="s">
        <v>447</v>
      </c>
      <c r="K2126" s="270">
        <f>IF(D2126="","",VLOOKUP(D2126,契約台帳!$A$3:$L$4986,12,FALSE))</f>
        <v>50</v>
      </c>
      <c r="L2126" s="270" t="str">
        <f>IF(D2126="","",INDEX(製品マスタ!$Q$5:$Q$5002,MATCH(F2126&amp;K2126,製品マスタ!$AO$5:$AO$5002,0)))</f>
        <v>X44</v>
      </c>
      <c r="M2126" s="39">
        <v>1000</v>
      </c>
      <c r="N2126" s="39">
        <v>12000</v>
      </c>
      <c r="O2126" s="47">
        <v>1</v>
      </c>
      <c r="P2126" s="57"/>
      <c r="Q2126" s="276">
        <f>IF(D2126="","",IF(J2126="リード付け",M2126,VLOOKUP(D2126,契約台帳!$A$3:$N$4986,14,FALSE)))</f>
        <v>1000</v>
      </c>
      <c r="R2126" s="277">
        <f>IF(D2126="","",IF(J2126="リード付け",M2126,VLOOKUP(D2126,契約台帳!$A$3:$O$4986,15,FALSE)))</f>
        <v>1000</v>
      </c>
      <c r="S2126" s="277">
        <f>IF(D2126="","",IF(J2126="リード付け",N2126,VLOOKUP(D2126,契約台帳!$A$3:$P$4986,16,FALSE)))</f>
        <v>4000</v>
      </c>
      <c r="T2126" s="40">
        <v>3</v>
      </c>
      <c r="U2126" s="278" t="str">
        <f ca="1">IF(D2126="","",IF(OFFSET(D2126,-2,0)=D2126,"",VLOOKUP(D2126,契約台帳!$A$3:$R$4986,18,FALSE)))</f>
        <v/>
      </c>
      <c r="V2126" s="269" t="str">
        <f>IF(J2126="巻返し",VLOOKUP(F2126&amp;K2126&amp;M2126,製品マスタ!$M$5:$AD$5002,18,FALSE),IF(J2126="リード付け","原反コア",IF(J2126="スリット",VLOOKUP(F2126&amp;K2126&amp;Q2126,製品マスタ!$N$5:$AD$5002,17,FALSE),"")))</f>
        <v>6ｲﾝﾁSｺｱ</v>
      </c>
      <c r="W2126" s="269">
        <f>IF(J2126="巻返し",VLOOKUP(F2126&amp;K2126&amp;M2126,製品マスタ!$M$5:$AE$5002,19,FALSE),IF(J2126="リード付け","-",IF(J2126="スリット",VLOOKUP(F2126&amp;K2126&amp;Q2126,製品マスタ!$N$5:$AE$5002,18,FALSE),"")))</f>
        <v>1005</v>
      </c>
      <c r="X2126" s="275">
        <f>IF(D2126="","",VLOOKUP(D2126,契約台帳!$A$3:$Q$4986,17,FALSE))</f>
        <v>2</v>
      </c>
      <c r="Y2126" s="269" t="str">
        <f>IF(D2126="","",VLOOKUP(D2126,契約台帳!$A$3:$E$4986,5,FALSE))</f>
        <v>リンテック㈱</v>
      </c>
      <c r="Z2126" s="357"/>
      <c r="AA2126" s="207" t="str">
        <f>IFERROR(VLOOKUP(F2126&amp;K2126&amp;M2126,製品マスタ!$M$5:$AM$5002,27,FALSE),"")</f>
        <v>原反ケース再利用</v>
      </c>
      <c r="AB2126" s="369"/>
      <c r="AC2126" s="370"/>
      <c r="AD2126" s="332" t="str">
        <f>IF(F2126="","",+F2126&amp;K2126)</f>
        <v>3SNMLBMNNGKBF50</v>
      </c>
      <c r="AE2126" s="216">
        <f>+M2126*N2126*O2126/1000</f>
        <v>12000</v>
      </c>
      <c r="AF2126" s="43">
        <f>IF(AD2126="","",VLOOKUP(AD2126,原価マスタ!$A$2:$AJ$1693,13,FALSE))</f>
        <v>99</v>
      </c>
      <c r="AG2126" s="47">
        <f>IF(AF2126="","",+AE2126*AF2126/100)</f>
        <v>11880</v>
      </c>
      <c r="AH2126" s="30"/>
      <c r="AI2126" s="30"/>
      <c r="AJ2126" s="30"/>
      <c r="AK2126" s="30"/>
      <c r="AL2126" s="13"/>
      <c r="AM2126" s="13"/>
      <c r="AN2126" s="13"/>
      <c r="AO2126" s="13"/>
      <c r="AP2126" s="13"/>
      <c r="AQ2126" s="14"/>
      <c r="AR2126" s="15"/>
    </row>
    <row r="2127" spans="1:44" s="17" customFormat="1" ht="30.95" hidden="1" customHeight="1" x14ac:dyDescent="0.2">
      <c r="A2127" s="343"/>
      <c r="B2127" s="344"/>
      <c r="C2127" s="345"/>
      <c r="D2127" s="398"/>
      <c r="E2127" s="31"/>
      <c r="F2127" s="268"/>
      <c r="G2127" s="269"/>
      <c r="H2127" s="269"/>
      <c r="I2127" s="270"/>
      <c r="J2127" s="32"/>
      <c r="K2127" s="270"/>
      <c r="L2127" s="270"/>
      <c r="M2127" s="39"/>
      <c r="N2127" s="39"/>
      <c r="O2127" s="47"/>
      <c r="P2127" s="57"/>
      <c r="Q2127" s="276"/>
      <c r="R2127" s="277"/>
      <c r="S2127" s="277"/>
      <c r="T2127" s="40"/>
      <c r="U2127" s="278"/>
      <c r="V2127" s="269"/>
      <c r="W2127" s="269"/>
      <c r="X2127" s="275"/>
      <c r="Y2127" s="269"/>
      <c r="Z2127" s="357"/>
      <c r="AA2127" s="207"/>
      <c r="AB2127" s="369"/>
      <c r="AC2127" s="370"/>
      <c r="AD2127" s="332"/>
      <c r="AE2127" s="216"/>
      <c r="AF2127" s="43"/>
      <c r="AG2127" s="47"/>
      <c r="AH2127" s="30"/>
      <c r="AI2127" s="30"/>
      <c r="AJ2127" s="30"/>
      <c r="AK2127" s="30"/>
      <c r="AL2127" s="13"/>
      <c r="AM2127" s="13"/>
      <c r="AN2127" s="13"/>
      <c r="AO2127" s="13"/>
      <c r="AP2127" s="13"/>
      <c r="AQ2127" s="14"/>
      <c r="AR2127" s="15"/>
    </row>
    <row r="2128" spans="1:44" s="17" customFormat="1" ht="30.6" hidden="1" customHeight="1" x14ac:dyDescent="0.2">
      <c r="A2128" s="320"/>
      <c r="B2128" s="321"/>
      <c r="C2128" s="345"/>
      <c r="D2128" s="398">
        <v>3783819</v>
      </c>
      <c r="E2128" s="31">
        <v>4156648</v>
      </c>
      <c r="F2128" s="268" t="str">
        <f>IF(D2128="","",VLOOKUP(D2128,契約台帳!$A$3:$K$4986,6,FALSE)&amp;VLOOKUP(D2128,契約台帳!$A$3:$K$4986,7,FALSE)&amp;VLOOKUP(D2128,契約台帳!$A$3:$K$4986,8,FALSE)&amp;VLOOKUP(D2128,契約台帳!$A$3:$K$4986,9,FALSE)&amp;VLOOKUP(D2128,契約台帳!$A$3:$K$4986,11,FALSE))</f>
        <v>3HSYMLBMSSMBF</v>
      </c>
      <c r="G2128" s="269" t="str">
        <f>IF(D2128="","",VLOOKUP(F2128,製品マスタ!$G$5:$H$5002,2,FALSE))</f>
        <v>S</v>
      </c>
      <c r="H2128" s="269" t="str">
        <f>IF(D2128="","",VLOOKUP(F2128,製品マスタ!$G$5:$K$5002,5,FALSE))</f>
        <v>MSSMBF</v>
      </c>
      <c r="I2128" s="270" t="str">
        <f>IF(D2128="","",VLOOKUP(F2128,製品マスタ!$G$5:$L$5002,6,FALSE))</f>
        <v>ＭＥＴＡＬＵＭＹ　ＳＩＬＶＥＲ　Ｓ－ＭＡＴＴＥ　Ｓ２８ＭＭ　Ｂ</v>
      </c>
      <c r="J2128" s="32" t="s">
        <v>447</v>
      </c>
      <c r="K2128" s="270">
        <f>IF(D2128="","",VLOOKUP(D2128,契約台帳!$A$3:$L$4986,12,FALSE))</f>
        <v>50</v>
      </c>
      <c r="L2128" s="270" t="str">
        <f>IF(D2128="","",INDEX(製品マスタ!$Q$5:$Q$5002,MATCH(F2128&amp;K2128,製品マスタ!$AO$5:$AO$5002,0)))</f>
        <v>LI-MAT</v>
      </c>
      <c r="M2128" s="39">
        <v>1120</v>
      </c>
      <c r="N2128" s="39">
        <v>12000</v>
      </c>
      <c r="O2128" s="47">
        <v>1</v>
      </c>
      <c r="P2128" s="57"/>
      <c r="Q2128" s="276">
        <f>IF(D2128="","",IF(J2128="リード付け",M2128,VLOOKUP(D2128,契約台帳!$A$3:$N$4986,14,FALSE)))</f>
        <v>1120</v>
      </c>
      <c r="R2128" s="277">
        <f>IF(D2128="","",IF(J2128="リード付け",M2128,VLOOKUP(D2128,契約台帳!$A$3:$O$4986,15,FALSE)))</f>
        <v>1120</v>
      </c>
      <c r="S2128" s="277">
        <f>IF(D2128="","",IF(J2128="リード付け",N2128,VLOOKUP(D2128,契約台帳!$A$3:$P$4986,16,FALSE)))</f>
        <v>4000</v>
      </c>
      <c r="T2128" s="40">
        <v>3</v>
      </c>
      <c r="U2128" s="278">
        <f ca="1">IF(D2128="","",IF(OFFSET(D2128,-2,0)=D2128,"",VLOOKUP(D2128,契約台帳!$A$3:$R$4986,18,FALSE)))</f>
        <v>3</v>
      </c>
      <c r="V2128" s="269" t="str">
        <f>IF(J2128="巻返し",VLOOKUP(F2128&amp;K2128&amp;M2128,製品マスタ!$M$5:$AD$5002,18,FALSE),IF(J2128="リード付け","原反コア",IF(J2128="スリット",VLOOKUP(F2128&amp;K2128&amp;Q2128,製品マスタ!$N$5:$AD$5002,17,FALSE),"")))</f>
        <v>6ｲﾝﾁSｺｱ</v>
      </c>
      <c r="W2128" s="269">
        <f>IF(J2128="巻返し",VLOOKUP(F2128&amp;K2128&amp;M2128,製品マスタ!$M$5:$AE$5002,19,FALSE),IF(J2128="リード付け","-",IF(J2128="スリット",VLOOKUP(F2128&amp;K2128&amp;Q2128,製品マスタ!$N$5:$AE$5002,18,FALSE),"")))</f>
        <v>1125</v>
      </c>
      <c r="X2128" s="275">
        <f>IF(D2128="","",VLOOKUP(D2128,契約台帳!$A$3:$Q$4986,17,FALSE))</f>
        <v>2</v>
      </c>
      <c r="Y2128" s="269" t="str">
        <f>IF(D2128="","",VLOOKUP(D2128,契約台帳!$A$3:$E$4986,5,FALSE))</f>
        <v>リンテック㈱</v>
      </c>
      <c r="Z2128" s="357"/>
      <c r="AA2128" s="207">
        <f>IFERROR(VLOOKUP(F2128&amp;K2128&amp;M2128,製品マスタ!$M$5:$AM$5002,27,FALSE),"")</f>
        <v>0</v>
      </c>
      <c r="AB2128" s="369"/>
      <c r="AC2128" s="370"/>
      <c r="AD2128" s="332" t="str">
        <f>IF(F2128="","",+F2128&amp;K2128)</f>
        <v>3HSYMLBMSSMBF50</v>
      </c>
      <c r="AE2128" s="216">
        <f>+M2128*N2128*O2128/1000</f>
        <v>13440</v>
      </c>
      <c r="AF2128" s="43">
        <v>98</v>
      </c>
      <c r="AG2128" s="47">
        <f>IF(AF2128="","",+AE2128*AF2128/100)</f>
        <v>13171.2</v>
      </c>
      <c r="AH2128" s="30"/>
      <c r="AI2128" s="30"/>
      <c r="AJ2128" s="30"/>
      <c r="AK2128" s="30"/>
      <c r="AL2128" s="13"/>
      <c r="AM2128" s="13"/>
      <c r="AN2128" s="13"/>
      <c r="AO2128" s="13"/>
      <c r="AP2128" s="13"/>
      <c r="AQ2128" s="14"/>
      <c r="AR2128" s="15"/>
    </row>
    <row r="2129" spans="1:44" s="17" customFormat="1" ht="30.95" hidden="1" customHeight="1" x14ac:dyDescent="0.2">
      <c r="A2129" s="343"/>
      <c r="B2129" s="344"/>
      <c r="C2129" s="345"/>
      <c r="D2129" s="398"/>
      <c r="E2129" s="31"/>
      <c r="F2129" s="268"/>
      <c r="G2129" s="269"/>
      <c r="H2129" s="269"/>
      <c r="I2129" s="270"/>
      <c r="J2129" s="32"/>
      <c r="K2129" s="270"/>
      <c r="L2129" s="270"/>
      <c r="M2129" s="39"/>
      <c r="N2129" s="39"/>
      <c r="O2129" s="47"/>
      <c r="P2129" s="57"/>
      <c r="Q2129" s="276"/>
      <c r="R2129" s="277"/>
      <c r="S2129" s="277"/>
      <c r="T2129" s="40"/>
      <c r="U2129" s="278"/>
      <c r="V2129" s="269"/>
      <c r="W2129" s="269"/>
      <c r="X2129" s="275"/>
      <c r="Y2129" s="269"/>
      <c r="Z2129" s="357"/>
      <c r="AA2129" s="207"/>
      <c r="AB2129" s="369"/>
      <c r="AC2129" s="370"/>
      <c r="AD2129" s="332"/>
      <c r="AE2129" s="216"/>
      <c r="AF2129" s="43"/>
      <c r="AG2129" s="47"/>
      <c r="AH2129" s="30"/>
      <c r="AI2129" s="30"/>
      <c r="AJ2129" s="30"/>
      <c r="AK2129" s="30"/>
      <c r="AL2129" s="13"/>
      <c r="AM2129" s="13"/>
      <c r="AN2129" s="13"/>
      <c r="AO2129" s="13"/>
      <c r="AP2129" s="13"/>
      <c r="AQ2129" s="14"/>
      <c r="AR2129" s="15"/>
    </row>
    <row r="2130" spans="1:44" s="17" customFormat="1" ht="30.6" hidden="1" customHeight="1" x14ac:dyDescent="0.2">
      <c r="A2130" s="320"/>
      <c r="B2130" s="321"/>
      <c r="C2130" s="345"/>
      <c r="D2130" s="398">
        <v>3785951</v>
      </c>
      <c r="E2130" s="31">
        <v>4156903</v>
      </c>
      <c r="F2130" s="268" t="str">
        <f>IF(D2130="","",VLOOKUP(D2130,契約台帳!$A$3:$K$4986,6,FALSE)&amp;VLOOKUP(D2130,契約台帳!$A$3:$K$4986,7,FALSE)&amp;VLOOKUP(D2130,契約台帳!$A$3:$K$4986,8,FALSE)&amp;VLOOKUP(D2130,契約台帳!$A$3:$K$4986,9,FALSE)&amp;VLOOKUP(D2130,契約台帳!$A$3:$K$4986,11,FALSE))</f>
        <v>3SYMLBMSSMBZF</v>
      </c>
      <c r="G2130" s="269" t="str">
        <f>IF(D2130="","",VLOOKUP(F2130,製品マスタ!$G$5:$H$5002,2,FALSE))</f>
        <v>S</v>
      </c>
      <c r="H2130" s="269" t="str">
        <f>IF(D2130="","",VLOOKUP(F2130,製品マスタ!$G$5:$K$5002,5,FALSE))</f>
        <v>MSSMBZF</v>
      </c>
      <c r="I2130" s="270" t="str">
        <f>IF(D2130="","",VLOOKUP(F2130,製品マスタ!$G$5:$L$5002,6,FALSE))</f>
        <v>ＭＥＴＡＬＵＭＹ　ＳＩＬＶＥＲ　Ｓ－ＭＡＴＴＥ　Ｂ</v>
      </c>
      <c r="J2130" s="32" t="s">
        <v>447</v>
      </c>
      <c r="K2130" s="270">
        <f>IF(D2130="","",VLOOKUP(D2130,契約台帳!$A$3:$L$4986,12,FALSE))</f>
        <v>50</v>
      </c>
      <c r="L2130" s="270" t="str">
        <f>IF(D2130="","",INDEX(製品マスタ!$Q$5:$Q$5002,MATCH(F2130&amp;K2130,製品マスタ!$AO$5:$AO$5002,0)))</f>
        <v>LI-MAT</v>
      </c>
      <c r="M2130" s="39">
        <v>1120</v>
      </c>
      <c r="N2130" s="39">
        <v>12000</v>
      </c>
      <c r="O2130" s="47">
        <v>2</v>
      </c>
      <c r="P2130" s="57"/>
      <c r="Q2130" s="276">
        <f>IF(D2130="","",IF(J2130="リード付け",M2130,VLOOKUP(D2130,契約台帳!$A$3:$N$4986,14,FALSE)))</f>
        <v>1120</v>
      </c>
      <c r="R2130" s="277">
        <f>IF(D2130="","",IF(J2130="リード付け",M2130,VLOOKUP(D2130,契約台帳!$A$3:$O$4986,15,FALSE)))</f>
        <v>1120</v>
      </c>
      <c r="S2130" s="277">
        <f>IF(D2130="","",IF(J2130="リード付け",N2130,VLOOKUP(D2130,契約台帳!$A$3:$P$4986,16,FALSE)))</f>
        <v>4000</v>
      </c>
      <c r="T2130" s="40">
        <v>6</v>
      </c>
      <c r="U2130" s="278">
        <f ca="1">IF(D2130="","",IF(OFFSET(D2130,-2,0)=D2130,"",VLOOKUP(D2130,契約台帳!$A$3:$R$4986,18,FALSE)))</f>
        <v>6</v>
      </c>
      <c r="V2130" s="269" t="str">
        <f>IF(J2130="巻返し",VLOOKUP(F2130&amp;K2130&amp;M2130,製品マスタ!$M$5:$AD$5002,18,FALSE),IF(J2130="リード付け","原反コア",IF(J2130="スリット",VLOOKUP(F2130&amp;K2130&amp;Q2130,製品マスタ!$N$5:$AD$5002,17,FALSE),"")))</f>
        <v>6ｲﾝﾁSｺｱ</v>
      </c>
      <c r="W2130" s="269">
        <f>IF(J2130="巻返し",VLOOKUP(F2130&amp;K2130&amp;M2130,製品マスタ!$M$5:$AE$5002,19,FALSE),IF(J2130="リード付け","-",IF(J2130="スリット",VLOOKUP(F2130&amp;K2130&amp;Q2130,製品マスタ!$N$5:$AE$5002,18,FALSE),"")))</f>
        <v>1125</v>
      </c>
      <c r="X2130" s="275">
        <f>IF(D2130="","",VLOOKUP(D2130,契約台帳!$A$3:$Q$4986,17,FALSE))</f>
        <v>2</v>
      </c>
      <c r="Y2130" s="269" t="str">
        <f>IF(D2130="","",VLOOKUP(D2130,契約台帳!$A$3:$E$4986,5,FALSE))</f>
        <v>リンテック㈱</v>
      </c>
      <c r="Z2130" s="357"/>
      <c r="AA2130" s="207">
        <f>IFERROR(VLOOKUP(F2130&amp;K2130&amp;M2130,製品マスタ!$M$5:$AM$5002,27,FALSE),"")</f>
        <v>0</v>
      </c>
      <c r="AB2130" s="369"/>
      <c r="AC2130" s="370"/>
      <c r="AD2130" s="332" t="str">
        <f>IF(F2130="","",+F2130&amp;K2130)</f>
        <v>3SYMLBMSSMBZF50</v>
      </c>
      <c r="AE2130" s="216">
        <f>+M2130*N2130*O2130/1000</f>
        <v>26880</v>
      </c>
      <c r="AF2130" s="43">
        <f>IF(AD2130="","",VLOOKUP(AD2130,原価マスタ!$A$2:$AJ$1693,13,FALSE))</f>
        <v>98</v>
      </c>
      <c r="AG2130" s="47">
        <f>IF(AF2130="","",+AE2130*AF2130/100)</f>
        <v>26342.400000000001</v>
      </c>
      <c r="AH2130" s="30"/>
      <c r="AI2130" s="30"/>
      <c r="AJ2130" s="30"/>
      <c r="AK2130" s="30"/>
      <c r="AL2130" s="13"/>
      <c r="AM2130" s="13"/>
      <c r="AN2130" s="13"/>
      <c r="AO2130" s="13"/>
      <c r="AP2130" s="13"/>
      <c r="AQ2130" s="14"/>
      <c r="AR2130" s="15"/>
    </row>
    <row r="2131" spans="1:44" s="17" customFormat="1" ht="30.95" hidden="1" customHeight="1" x14ac:dyDescent="0.2">
      <c r="A2131" s="343"/>
      <c r="B2131" s="344"/>
      <c r="C2131" s="345"/>
      <c r="D2131" s="398"/>
      <c r="E2131" s="31"/>
      <c r="F2131" s="268"/>
      <c r="G2131" s="269"/>
      <c r="H2131" s="269"/>
      <c r="I2131" s="270"/>
      <c r="J2131" s="32"/>
      <c r="K2131" s="270"/>
      <c r="L2131" s="270"/>
      <c r="M2131" s="39"/>
      <c r="N2131" s="39"/>
      <c r="O2131" s="47"/>
      <c r="P2131" s="57"/>
      <c r="Q2131" s="276"/>
      <c r="R2131" s="277"/>
      <c r="S2131" s="277"/>
      <c r="T2131" s="40"/>
      <c r="U2131" s="278"/>
      <c r="V2131" s="269"/>
      <c r="W2131" s="269"/>
      <c r="X2131" s="275"/>
      <c r="Y2131" s="269"/>
      <c r="Z2131" s="357"/>
      <c r="AA2131" s="207"/>
      <c r="AB2131" s="369"/>
      <c r="AC2131" s="370"/>
      <c r="AD2131" s="332"/>
      <c r="AE2131" s="216"/>
      <c r="AF2131" s="43"/>
      <c r="AG2131" s="47"/>
      <c r="AH2131" s="30"/>
      <c r="AI2131" s="30"/>
      <c r="AJ2131" s="30"/>
      <c r="AK2131" s="30"/>
      <c r="AL2131" s="13"/>
      <c r="AM2131" s="13"/>
      <c r="AN2131" s="13"/>
      <c r="AO2131" s="13"/>
      <c r="AP2131" s="13"/>
      <c r="AQ2131" s="14"/>
      <c r="AR2131" s="15"/>
    </row>
    <row r="2132" spans="1:44" s="17" customFormat="1" ht="30.6" hidden="1" customHeight="1" x14ac:dyDescent="0.2">
      <c r="A2132" s="320"/>
      <c r="B2132" s="321"/>
      <c r="C2132" s="345"/>
      <c r="D2132" s="398">
        <v>3785953</v>
      </c>
      <c r="E2132" s="31">
        <v>4156899</v>
      </c>
      <c r="F2132" s="268" t="str">
        <f>IF(D2132="","",VLOOKUP(D2132,契約台帳!$A$3:$K$4986,6,FALSE)&amp;VLOOKUP(D2132,契約台帳!$A$3:$K$4986,7,FALSE)&amp;VLOOKUP(D2132,契約台帳!$A$3:$K$4986,8,FALSE)&amp;VLOOKUP(D2132,契約台帳!$A$3:$K$4986,9,FALSE)&amp;VLOOKUP(D2132,契約台帳!$A$3:$K$4986,11,FALSE))</f>
        <v>3HSYMLBMSSMBF</v>
      </c>
      <c r="G2132" s="269" t="str">
        <f>IF(D2132="","",VLOOKUP(F2132,製品マスタ!$G$5:$H$5002,2,FALSE))</f>
        <v>S</v>
      </c>
      <c r="H2132" s="269" t="str">
        <f>IF(D2132="","",VLOOKUP(F2132,製品マスタ!$G$5:$K$5002,5,FALSE))</f>
        <v>MSSMBF</v>
      </c>
      <c r="I2132" s="270" t="str">
        <f>IF(D2132="","",VLOOKUP(F2132,製品マスタ!$G$5:$L$5002,6,FALSE))</f>
        <v>ＭＥＴＡＬＵＭＹ　ＳＩＬＶＥＲ　Ｓ－ＭＡＴＴＥ　Ｓ２８ＭＭ　Ｂ</v>
      </c>
      <c r="J2132" s="32" t="s">
        <v>447</v>
      </c>
      <c r="K2132" s="270">
        <f>IF(D2132="","",VLOOKUP(D2132,契約台帳!$A$3:$L$4986,12,FALSE))</f>
        <v>50</v>
      </c>
      <c r="L2132" s="270" t="str">
        <f>IF(D2132="","",INDEX(製品マスタ!$Q$5:$Q$5002,MATCH(F2132&amp;K2132,製品マスタ!$AO$5:$AO$5002,0)))</f>
        <v>LI-MAT</v>
      </c>
      <c r="M2132" s="39">
        <v>1120</v>
      </c>
      <c r="N2132" s="39">
        <v>12000</v>
      </c>
      <c r="O2132" s="47">
        <v>2</v>
      </c>
      <c r="P2132" s="57"/>
      <c r="Q2132" s="276">
        <f>IF(D2132="","",IF(J2132="リード付け",M2132,VLOOKUP(D2132,契約台帳!$A$3:$N$4986,14,FALSE)))</f>
        <v>1120</v>
      </c>
      <c r="R2132" s="277">
        <f>IF(D2132="","",IF(J2132="リード付け",M2132,VLOOKUP(D2132,契約台帳!$A$3:$O$4986,15,FALSE)))</f>
        <v>1120</v>
      </c>
      <c r="S2132" s="277">
        <f>IF(D2132="","",IF(J2132="リード付け",N2132,VLOOKUP(D2132,契約台帳!$A$3:$P$4986,16,FALSE)))</f>
        <v>4000</v>
      </c>
      <c r="T2132" s="40">
        <v>6</v>
      </c>
      <c r="U2132" s="278">
        <f ca="1">IF(D2132="","",IF(OFFSET(D2132,-2,0)=D2132,"",VLOOKUP(D2132,契約台帳!$A$3:$R$4986,18,FALSE)))</f>
        <v>6</v>
      </c>
      <c r="V2132" s="269" t="str">
        <f>IF(J2132="巻返し",VLOOKUP(F2132&amp;K2132&amp;M2132,製品マスタ!$M$5:$AD$5002,18,FALSE),IF(J2132="リード付け","原反コア",IF(J2132="スリット",VLOOKUP(F2132&amp;K2132&amp;Q2132,製品マスタ!$N$5:$AD$5002,17,FALSE),"")))</f>
        <v>6ｲﾝﾁSｺｱ</v>
      </c>
      <c r="W2132" s="269">
        <f>IF(J2132="巻返し",VLOOKUP(F2132&amp;K2132&amp;M2132,製品マスタ!$M$5:$AE$5002,19,FALSE),IF(J2132="リード付け","-",IF(J2132="スリット",VLOOKUP(F2132&amp;K2132&amp;Q2132,製品マスタ!$N$5:$AE$5002,18,FALSE),"")))</f>
        <v>1125</v>
      </c>
      <c r="X2132" s="275">
        <f>IF(D2132="","",VLOOKUP(D2132,契約台帳!$A$3:$Q$4986,17,FALSE))</f>
        <v>2</v>
      </c>
      <c r="Y2132" s="269" t="str">
        <f>IF(D2132="","",VLOOKUP(D2132,契約台帳!$A$3:$E$4986,5,FALSE))</f>
        <v>リンテック㈱</v>
      </c>
      <c r="Z2132" s="357"/>
      <c r="AA2132" s="207">
        <f>IFERROR(VLOOKUP(F2132&amp;K2132&amp;M2132,製品マスタ!$M$5:$AM$5002,27,FALSE),"")</f>
        <v>0</v>
      </c>
      <c r="AB2132" s="369"/>
      <c r="AC2132" s="370"/>
      <c r="AD2132" s="332" t="str">
        <f>IF(F2132="","",+F2132&amp;K2132)</f>
        <v>3HSYMLBMSSMBF50</v>
      </c>
      <c r="AE2132" s="216">
        <f>+M2132*N2132*O2132/1000</f>
        <v>26880</v>
      </c>
      <c r="AF2132" s="43">
        <v>98</v>
      </c>
      <c r="AG2132" s="47">
        <f>IF(AF2132="","",+AE2132*AF2132/100)</f>
        <v>26342.400000000001</v>
      </c>
      <c r="AH2132" s="30"/>
      <c r="AI2132" s="30"/>
      <c r="AJ2132" s="30"/>
      <c r="AK2132" s="30"/>
      <c r="AL2132" s="13"/>
      <c r="AM2132" s="13"/>
      <c r="AN2132" s="13"/>
      <c r="AO2132" s="13"/>
      <c r="AP2132" s="13"/>
      <c r="AQ2132" s="14"/>
      <c r="AR2132" s="15"/>
    </row>
    <row r="2133" spans="1:44" s="17" customFormat="1" ht="30.95" hidden="1" customHeight="1" x14ac:dyDescent="0.2">
      <c r="A2133" s="343"/>
      <c r="B2133" s="344"/>
      <c r="C2133" s="345"/>
      <c r="D2133" s="398"/>
      <c r="E2133" s="31"/>
      <c r="F2133" s="268"/>
      <c r="G2133" s="269"/>
      <c r="H2133" s="269"/>
      <c r="I2133" s="270"/>
      <c r="J2133" s="32"/>
      <c r="K2133" s="270"/>
      <c r="L2133" s="270"/>
      <c r="M2133" s="39"/>
      <c r="N2133" s="39"/>
      <c r="O2133" s="47"/>
      <c r="P2133" s="57"/>
      <c r="Q2133" s="276"/>
      <c r="R2133" s="277"/>
      <c r="S2133" s="277"/>
      <c r="T2133" s="40"/>
      <c r="U2133" s="278"/>
      <c r="V2133" s="269"/>
      <c r="W2133" s="269"/>
      <c r="X2133" s="275"/>
      <c r="Y2133" s="269"/>
      <c r="Z2133" s="357"/>
      <c r="AA2133" s="207"/>
      <c r="AB2133" s="369"/>
      <c r="AC2133" s="370"/>
      <c r="AD2133" s="332"/>
      <c r="AE2133" s="216"/>
      <c r="AF2133" s="43"/>
      <c r="AG2133" s="47"/>
      <c r="AH2133" s="30"/>
      <c r="AI2133" s="30"/>
      <c r="AJ2133" s="30"/>
      <c r="AK2133" s="30"/>
      <c r="AL2133" s="13"/>
      <c r="AM2133" s="13"/>
      <c r="AN2133" s="13"/>
      <c r="AO2133" s="13"/>
      <c r="AP2133" s="13"/>
      <c r="AQ2133" s="14"/>
      <c r="AR2133" s="15"/>
    </row>
    <row r="2134" spans="1:44" s="17" customFormat="1" ht="30.6" hidden="1" customHeight="1" x14ac:dyDescent="0.2">
      <c r="A2134" s="320" t="s">
        <v>646</v>
      </c>
      <c r="B2134" s="321" t="s">
        <v>442</v>
      </c>
      <c r="C2134" s="345"/>
      <c r="D2134" s="398">
        <v>3783822</v>
      </c>
      <c r="E2134" s="31">
        <v>4156662</v>
      </c>
      <c r="F2134" s="268" t="str">
        <f>IF(D2134="","",VLOOKUP(D2134,契約台帳!$A$3:$K$4986,6,FALSE)&amp;VLOOKUP(D2134,契約台帳!$A$3:$K$4986,7,FALSE)&amp;VLOOKUP(D2134,契約台帳!$A$3:$K$4986,8,FALSE)&amp;VLOOKUP(D2134,契約台帳!$A$3:$K$4986,9,FALSE)&amp;VLOOKUP(D2134,契約台帳!$A$3:$K$4986,11,FALSE))</f>
        <v>3SYMLBMSNMBF</v>
      </c>
      <c r="G2134" s="269" t="str">
        <f>IF(D2134="","",VLOOKUP(F2134,製品マスタ!$G$5:$H$5002,2,FALSE))</f>
        <v>S</v>
      </c>
      <c r="H2134" s="269" t="str">
        <f>IF(D2134="","",VLOOKUP(F2134,製品マスタ!$G$5:$K$5002,5,FALSE))</f>
        <v>MSNMBF</v>
      </c>
      <c r="I2134" s="270" t="str">
        <f>IF(D2134="","",VLOOKUP(F2134,製品マスタ!$G$5:$L$5002,6,FALSE))</f>
        <v>ＭＥＴＡＬＵＭＹ　ＳＩＬＶＥＲ　Ｎ－ＭＡＴＴＥ　Ｘ４４Ｍ　Ｂ</v>
      </c>
      <c r="J2134" s="32" t="s">
        <v>447</v>
      </c>
      <c r="K2134" s="270">
        <f>IF(D2134="","",VLOOKUP(D2134,契約台帳!$A$3:$L$4986,12,FALSE))</f>
        <v>50</v>
      </c>
      <c r="L2134" s="270" t="str">
        <f>IF(D2134="","",INDEX(製品マスタ!$Q$5:$Q$5002,MATCH(F2134&amp;K2134,製品マスタ!$AO$5:$AO$5002,0)))</f>
        <v>X44</v>
      </c>
      <c r="M2134" s="39">
        <v>1120</v>
      </c>
      <c r="N2134" s="39">
        <v>12000</v>
      </c>
      <c r="O2134" s="47">
        <v>3</v>
      </c>
      <c r="P2134" s="57"/>
      <c r="Q2134" s="276">
        <f>IF(D2134="","",IF(J2134="リード付け",M2134,VLOOKUP(D2134,契約台帳!$A$3:$N$4986,14,FALSE)))</f>
        <v>1120</v>
      </c>
      <c r="R2134" s="277">
        <f>IF(D2134="","",IF(J2134="リード付け",M2134,VLOOKUP(D2134,契約台帳!$A$3:$O$4986,15,FALSE)))</f>
        <v>1120</v>
      </c>
      <c r="S2134" s="277">
        <f>IF(D2134="","",IF(J2134="リード付け",N2134,VLOOKUP(D2134,契約台帳!$A$3:$P$4986,16,FALSE)))</f>
        <v>4000</v>
      </c>
      <c r="T2134" s="40">
        <v>9</v>
      </c>
      <c r="U2134" s="278">
        <f ca="1">IF(D2134="","",IF(OFFSET(D2134,-2,0)=D2134,"",VLOOKUP(D2134,契約台帳!$A$3:$R$4986,18,FALSE)))</f>
        <v>10</v>
      </c>
      <c r="V2134" s="269" t="str">
        <f>IF(J2134="巻返し",VLOOKUP(F2134&amp;K2134&amp;M2134,製品マスタ!$M$5:$AD$5002,18,FALSE),IF(J2134="リード付け","原反コア",IF(J2134="スリット",VLOOKUP(F2134&amp;K2134&amp;Q2134,製品マスタ!$N$5:$AD$5002,17,FALSE),"")))</f>
        <v>6ｲﾝﾁMｺｱ</v>
      </c>
      <c r="W2134" s="269">
        <f>IF(J2134="巻返し",VLOOKUP(F2134&amp;K2134&amp;M2134,製品マスタ!$M$5:$AE$5002,19,FALSE),IF(J2134="リード付け","-",IF(J2134="スリット",VLOOKUP(F2134&amp;K2134&amp;Q2134,製品マスタ!$N$5:$AE$5002,18,FALSE),"")))</f>
        <v>1125</v>
      </c>
      <c r="X2134" s="275">
        <f>IF(D2134="","",VLOOKUP(D2134,契約台帳!$A$3:$Q$4986,17,FALSE))</f>
        <v>2</v>
      </c>
      <c r="Y2134" s="269" t="str">
        <f>IF(D2134="","",VLOOKUP(D2134,契約台帳!$A$3:$E$4986,5,FALSE))</f>
        <v>リンテック㈱</v>
      </c>
      <c r="Z2134" s="357"/>
      <c r="AA2134" s="207">
        <f>IFERROR(VLOOKUP(F2134&amp;K2134&amp;M2134,製品マスタ!$M$5:$AM$5002,27,FALSE),"")</f>
        <v>0</v>
      </c>
      <c r="AB2134" s="369"/>
      <c r="AC2134" s="370"/>
      <c r="AD2134" s="332" t="str">
        <f>IF(F2134="","",+F2134&amp;K2134)</f>
        <v>3SYMLBMSNMBF50</v>
      </c>
      <c r="AE2134" s="216">
        <f>+M2134*N2134*O2134/1000</f>
        <v>40320</v>
      </c>
      <c r="AF2134" s="43">
        <f>IF(AD2134="","",VLOOKUP(AD2134,原価マスタ!$A$2:$AJ$1693,13,FALSE))</f>
        <v>98.8</v>
      </c>
      <c r="AG2134" s="47">
        <f>IF(AF2134="","",+AE2134*AF2134/100)</f>
        <v>39836.160000000003</v>
      </c>
      <c r="AH2134" s="30"/>
      <c r="AI2134" s="30"/>
      <c r="AJ2134" s="30"/>
      <c r="AK2134" s="30"/>
      <c r="AL2134" s="13"/>
      <c r="AM2134" s="13"/>
      <c r="AN2134" s="13"/>
      <c r="AO2134" s="13"/>
      <c r="AP2134" s="13"/>
      <c r="AQ2134" s="14"/>
      <c r="AR2134" s="15"/>
    </row>
    <row r="2135" spans="1:44" s="17" customFormat="1" ht="30.95" hidden="1" customHeight="1" x14ac:dyDescent="0.2">
      <c r="A2135" s="343"/>
      <c r="B2135" s="344"/>
      <c r="C2135" s="345"/>
      <c r="D2135" s="398"/>
      <c r="E2135" s="31"/>
      <c r="F2135" s="268"/>
      <c r="G2135" s="269"/>
      <c r="H2135" s="269"/>
      <c r="I2135" s="270"/>
      <c r="J2135" s="32"/>
      <c r="K2135" s="270"/>
      <c r="L2135" s="270"/>
      <c r="M2135" s="39"/>
      <c r="N2135" s="39"/>
      <c r="O2135" s="47"/>
      <c r="P2135" s="57"/>
      <c r="Q2135" s="276"/>
      <c r="R2135" s="277"/>
      <c r="S2135" s="277"/>
      <c r="T2135" s="40"/>
      <c r="U2135" s="278"/>
      <c r="V2135" s="269"/>
      <c r="W2135" s="269"/>
      <c r="X2135" s="275"/>
      <c r="Y2135" s="269"/>
      <c r="Z2135" s="357"/>
      <c r="AA2135" s="207"/>
      <c r="AB2135" s="369"/>
      <c r="AC2135" s="370"/>
      <c r="AD2135" s="332"/>
      <c r="AE2135" s="216"/>
      <c r="AF2135" s="43"/>
      <c r="AG2135" s="47"/>
      <c r="AH2135" s="30"/>
      <c r="AI2135" s="30"/>
      <c r="AJ2135" s="30"/>
      <c r="AK2135" s="30"/>
      <c r="AL2135" s="13"/>
      <c r="AM2135" s="13"/>
      <c r="AN2135" s="13"/>
      <c r="AO2135" s="13"/>
      <c r="AP2135" s="13"/>
      <c r="AQ2135" s="14"/>
      <c r="AR2135" s="15"/>
    </row>
    <row r="2136" spans="1:44" s="17" customFormat="1" ht="30.6" hidden="1" customHeight="1" x14ac:dyDescent="0.2">
      <c r="A2136" s="320"/>
      <c r="B2136" s="321"/>
      <c r="C2136" s="345"/>
      <c r="D2136" s="398">
        <v>3783822</v>
      </c>
      <c r="E2136" s="31">
        <v>4156662</v>
      </c>
      <c r="F2136" s="268" t="str">
        <f>IF(D2136="","",VLOOKUP(D2136,契約台帳!$A$3:$K$4986,6,FALSE)&amp;VLOOKUP(D2136,契約台帳!$A$3:$K$4986,7,FALSE)&amp;VLOOKUP(D2136,契約台帳!$A$3:$K$4986,8,FALSE)&amp;VLOOKUP(D2136,契約台帳!$A$3:$K$4986,9,FALSE)&amp;VLOOKUP(D2136,契約台帳!$A$3:$K$4986,11,FALSE))</f>
        <v>3SYMLBMSNMBF</v>
      </c>
      <c r="G2136" s="269" t="str">
        <f>IF(D2136="","",VLOOKUP(F2136,製品マスタ!$G$5:$H$5002,2,FALSE))</f>
        <v>S</v>
      </c>
      <c r="H2136" s="269" t="str">
        <f>IF(D2136="","",VLOOKUP(F2136,製品マスタ!$G$5:$K$5002,5,FALSE))</f>
        <v>MSNMBF</v>
      </c>
      <c r="I2136" s="270" t="str">
        <f>IF(D2136="","",VLOOKUP(F2136,製品マスタ!$G$5:$L$5002,6,FALSE))</f>
        <v>ＭＥＴＡＬＵＭＹ　ＳＩＬＶＥＲ　Ｎ－ＭＡＴＴＥ　Ｘ４４Ｍ　Ｂ</v>
      </c>
      <c r="J2136" s="32" t="s">
        <v>447</v>
      </c>
      <c r="K2136" s="270">
        <f>IF(D2136="","",VLOOKUP(D2136,契約台帳!$A$3:$L$4986,12,FALSE))</f>
        <v>50</v>
      </c>
      <c r="L2136" s="270" t="str">
        <f>IF(D2136="","",INDEX(製品マスタ!$Q$5:$Q$5002,MATCH(F2136&amp;K2136,製品マスタ!$AO$5:$AO$5002,0)))</f>
        <v>X44</v>
      </c>
      <c r="M2136" s="39">
        <v>1120</v>
      </c>
      <c r="N2136" s="39">
        <v>12000</v>
      </c>
      <c r="O2136" s="47">
        <v>1</v>
      </c>
      <c r="P2136" s="57"/>
      <c r="Q2136" s="276">
        <f>IF(D2136="","",IF(J2136="リード付け",M2136,VLOOKUP(D2136,契約台帳!$A$3:$N$4986,14,FALSE)))</f>
        <v>1120</v>
      </c>
      <c r="R2136" s="277">
        <f>IF(D2136="","",IF(J2136="リード付け",M2136,VLOOKUP(D2136,契約台帳!$A$3:$O$4986,15,FALSE)))</f>
        <v>1120</v>
      </c>
      <c r="S2136" s="277">
        <f>IF(D2136="","",IF(J2136="リード付け",N2136,VLOOKUP(D2136,契約台帳!$A$3:$P$4986,16,FALSE)))</f>
        <v>4000</v>
      </c>
      <c r="T2136" s="40">
        <v>1</v>
      </c>
      <c r="U2136" s="278" t="str">
        <f ca="1">IF(D2136="","",IF(OFFSET(D2136,-2,0)=D2136,"",VLOOKUP(D2136,契約台帳!$A$3:$R$4986,18,FALSE)))</f>
        <v/>
      </c>
      <c r="V2136" s="269" t="str">
        <f>IF(J2136="巻返し",VLOOKUP(F2136&amp;K2136&amp;M2136,製品マスタ!$M$5:$AD$5002,18,FALSE),IF(J2136="リード付け","原反コア",IF(J2136="スリット",VLOOKUP(F2136&amp;K2136&amp;Q2136,製品マスタ!$N$5:$AD$5002,17,FALSE),"")))</f>
        <v>6ｲﾝﾁMｺｱ</v>
      </c>
      <c r="W2136" s="269">
        <f>IF(J2136="巻返し",VLOOKUP(F2136&amp;K2136&amp;M2136,製品マスタ!$M$5:$AE$5002,19,FALSE),IF(J2136="リード付け","-",IF(J2136="スリット",VLOOKUP(F2136&amp;K2136&amp;Q2136,製品マスタ!$N$5:$AE$5002,18,FALSE),"")))</f>
        <v>1125</v>
      </c>
      <c r="X2136" s="275">
        <f>IF(D2136="","",VLOOKUP(D2136,契約台帳!$A$3:$Q$4986,17,FALSE))</f>
        <v>2</v>
      </c>
      <c r="Y2136" s="269" t="str">
        <f>IF(D2136="","",VLOOKUP(D2136,契約台帳!$A$3:$E$4986,5,FALSE))</f>
        <v>リンテック㈱</v>
      </c>
      <c r="Z2136" s="357"/>
      <c r="AA2136" s="207">
        <f>IFERROR(VLOOKUP(F2136&amp;K2136&amp;M2136,製品マスタ!$M$5:$AM$5002,27,FALSE),"")</f>
        <v>0</v>
      </c>
      <c r="AB2136" s="369"/>
      <c r="AC2136" s="370"/>
      <c r="AD2136" s="332" t="str">
        <f>IF(F2136="","",+F2136&amp;K2136)</f>
        <v>3SYMLBMSNMBF50</v>
      </c>
      <c r="AE2136" s="216">
        <f>+M2136*N2136*O2136/1000</f>
        <v>13440</v>
      </c>
      <c r="AF2136" s="43">
        <f>IF(AD2136="","",VLOOKUP(AD2136,原価マスタ!$A$2:$AJ$1693,13,FALSE))</f>
        <v>98.8</v>
      </c>
      <c r="AG2136" s="47">
        <f>IF(AF2136="","",+AE2136*AF2136/100)</f>
        <v>13278.72</v>
      </c>
      <c r="AH2136" s="30"/>
      <c r="AI2136" s="30"/>
      <c r="AJ2136" s="30"/>
      <c r="AK2136" s="30"/>
      <c r="AL2136" s="13"/>
      <c r="AM2136" s="13"/>
      <c r="AN2136" s="13"/>
      <c r="AO2136" s="13"/>
      <c r="AP2136" s="13"/>
      <c r="AQ2136" s="14"/>
      <c r="AR2136" s="15"/>
    </row>
    <row r="2137" spans="1:44" s="17" customFormat="1" ht="30.6" hidden="1" customHeight="1" x14ac:dyDescent="0.2">
      <c r="A2137" s="320"/>
      <c r="B2137" s="321"/>
      <c r="C2137" s="345"/>
      <c r="D2137" s="398">
        <v>3783824</v>
      </c>
      <c r="E2137" s="31"/>
      <c r="F2137" s="268" t="str">
        <f>IF(D2137="","",VLOOKUP(D2137,契約台帳!$A$3:$K$4986,6,FALSE)&amp;VLOOKUP(D2137,契約台帳!$A$3:$K$4986,7,FALSE)&amp;VLOOKUP(D2137,契約台帳!$A$3:$K$4986,8,FALSE)&amp;VLOOKUP(D2137,契約台帳!$A$3:$K$4986,9,FALSE)&amp;VLOOKUP(D2137,契約台帳!$A$3:$K$4986,11,FALSE))</f>
        <v>3SYMLBMSNMBF</v>
      </c>
      <c r="G2137" s="269" t="str">
        <f>IF(D2137="","",VLOOKUP(F2137,製品マスタ!$G$5:$H$5002,2,FALSE))</f>
        <v>S</v>
      </c>
      <c r="H2137" s="269" t="str">
        <f>IF(D2137="","",VLOOKUP(F2137,製品マスタ!$G$5:$K$5002,5,FALSE))</f>
        <v>MSNMBF</v>
      </c>
      <c r="I2137" s="270" t="str">
        <f>IF(D2137="","",VLOOKUP(F2137,製品マスタ!$G$5:$L$5002,6,FALSE))</f>
        <v>ＭＥＴＡＬＵＭＹ　ＳＩＬＶＥＲ　Ｎ－ＭＡＴＴＥ　Ｘ４４Ｍ　Ｂ</v>
      </c>
      <c r="J2137" s="32" t="s">
        <v>447</v>
      </c>
      <c r="K2137" s="270">
        <f>IF(D2137="","",VLOOKUP(D2137,契約台帳!$A$3:$L$4986,12,FALSE))</f>
        <v>50</v>
      </c>
      <c r="L2137" s="270" t="str">
        <f>IF(D2137="","",INDEX(製品マスタ!$Q$5:$Q$5002,MATCH(F2137&amp;K2137,製品マスタ!$AO$5:$AO$5002,0)))</f>
        <v>X44</v>
      </c>
      <c r="M2137" s="39">
        <v>1120</v>
      </c>
      <c r="N2137" s="39"/>
      <c r="O2137" s="47"/>
      <c r="P2137" s="57"/>
      <c r="Q2137" s="276">
        <f>IF(D2137="","",IF(J2137="リード付け",M2137,VLOOKUP(D2137,契約台帳!$A$3:$N$4986,14,FALSE)))</f>
        <v>1120</v>
      </c>
      <c r="R2137" s="277">
        <f>IF(D2137="","",IF(J2137="リード付け",M2137,VLOOKUP(D2137,契約台帳!$A$3:$O$4986,15,FALSE)))</f>
        <v>1120</v>
      </c>
      <c r="S2137" s="277">
        <f>IF(D2137="","",IF(J2137="リード付け",N2137,VLOOKUP(D2137,契約台帳!$A$3:$P$4986,16,FALSE)))</f>
        <v>4000</v>
      </c>
      <c r="T2137" s="40">
        <v>2</v>
      </c>
      <c r="U2137" s="278">
        <f ca="1">IF(D2137="","",IF(OFFSET(D2137,-2,0)=D2137,"",VLOOKUP(D2137,契約台帳!$A$3:$R$4986,18,FALSE)))</f>
        <v>4</v>
      </c>
      <c r="V2137" s="269" t="str">
        <f>IF(J2137="巻返し",VLOOKUP(F2137&amp;K2137&amp;M2137,製品マスタ!$M$5:$AD$5002,18,FALSE),IF(J2137="リード付け","原反コア",IF(J2137="スリット",VLOOKUP(F2137&amp;K2137&amp;Q2137,製品マスタ!$N$5:$AD$5002,17,FALSE),"")))</f>
        <v>6ｲﾝﾁMｺｱ</v>
      </c>
      <c r="W2137" s="269">
        <f>IF(J2137="巻返し",VLOOKUP(F2137&amp;K2137&amp;M2137,製品マスタ!$M$5:$AE$5002,19,FALSE),IF(J2137="リード付け","-",IF(J2137="スリット",VLOOKUP(F2137&amp;K2137&amp;Q2137,製品マスタ!$N$5:$AE$5002,18,FALSE),"")))</f>
        <v>1125</v>
      </c>
      <c r="X2137" s="275">
        <f>IF(D2137="","",VLOOKUP(D2137,契約台帳!$A$3:$Q$4986,17,FALSE))</f>
        <v>2</v>
      </c>
      <c r="Y2137" s="269" t="str">
        <f>IF(D2137="","",VLOOKUP(D2137,契約台帳!$A$3:$E$4986,5,FALSE))</f>
        <v>リンテック㈱</v>
      </c>
      <c r="Z2137" s="357"/>
      <c r="AA2137" s="207"/>
      <c r="AB2137" s="369"/>
      <c r="AC2137" s="370"/>
      <c r="AD2137" s="332" t="str">
        <f>IF(F2137="","",+F2137&amp;K2137)</f>
        <v>3SYMLBMSNMBF50</v>
      </c>
      <c r="AE2137" s="216">
        <f>+M2137*N2137*O2137/1000</f>
        <v>0</v>
      </c>
      <c r="AF2137" s="43">
        <f>IF(AD2137="","",VLOOKUP(AD2137,原価マスタ!$A$2:$AJ$1693,13,FALSE))</f>
        <v>98.8</v>
      </c>
      <c r="AG2137" s="47">
        <f>IF(AF2137="","",+AE2137*AF2137/100)</f>
        <v>0</v>
      </c>
      <c r="AH2137" s="30"/>
      <c r="AI2137" s="30"/>
      <c r="AJ2137" s="30"/>
      <c r="AK2137" s="30"/>
      <c r="AL2137" s="13"/>
      <c r="AM2137" s="13"/>
      <c r="AN2137" s="13"/>
      <c r="AO2137" s="13"/>
      <c r="AP2137" s="13"/>
      <c r="AQ2137" s="14"/>
      <c r="AR2137" s="15"/>
    </row>
    <row r="2138" spans="1:44" s="17" customFormat="1" ht="30.95" hidden="1" customHeight="1" x14ac:dyDescent="0.2">
      <c r="A2138" s="343"/>
      <c r="B2138" s="344"/>
      <c r="C2138" s="345"/>
      <c r="D2138" s="398"/>
      <c r="E2138" s="31"/>
      <c r="F2138" s="268"/>
      <c r="G2138" s="269"/>
      <c r="H2138" s="269"/>
      <c r="I2138" s="270"/>
      <c r="J2138" s="32"/>
      <c r="K2138" s="270"/>
      <c r="L2138" s="270"/>
      <c r="M2138" s="39"/>
      <c r="N2138" s="39"/>
      <c r="O2138" s="47"/>
      <c r="P2138" s="57"/>
      <c r="Q2138" s="276"/>
      <c r="R2138" s="277"/>
      <c r="S2138" s="277"/>
      <c r="T2138" s="40"/>
      <c r="U2138" s="278"/>
      <c r="V2138" s="269"/>
      <c r="W2138" s="269"/>
      <c r="X2138" s="275"/>
      <c r="Y2138" s="269"/>
      <c r="Z2138" s="357"/>
      <c r="AA2138" s="207"/>
      <c r="AB2138" s="369"/>
      <c r="AC2138" s="370"/>
      <c r="AD2138" s="332"/>
      <c r="AE2138" s="216"/>
      <c r="AF2138" s="43"/>
      <c r="AG2138" s="47"/>
      <c r="AH2138" s="30"/>
      <c r="AI2138" s="30"/>
      <c r="AJ2138" s="30"/>
      <c r="AK2138" s="30"/>
      <c r="AL2138" s="13"/>
      <c r="AM2138" s="13"/>
      <c r="AN2138" s="13"/>
      <c r="AO2138" s="13"/>
      <c r="AP2138" s="13"/>
      <c r="AQ2138" s="14"/>
      <c r="AR2138" s="15"/>
    </row>
    <row r="2139" spans="1:44" s="17" customFormat="1" ht="30.6" hidden="1" customHeight="1" x14ac:dyDescent="0.2">
      <c r="A2139" s="320"/>
      <c r="B2139" s="321"/>
      <c r="C2139" s="345"/>
      <c r="D2139" s="398">
        <v>3783824</v>
      </c>
      <c r="E2139" s="31">
        <v>4156663</v>
      </c>
      <c r="F2139" s="268" t="str">
        <f>IF(D2139="","",VLOOKUP(D2139,契約台帳!$A$3:$K$4986,6,FALSE)&amp;VLOOKUP(D2139,契約台帳!$A$3:$K$4986,7,FALSE)&amp;VLOOKUP(D2139,契約台帳!$A$3:$K$4986,8,FALSE)&amp;VLOOKUP(D2139,契約台帳!$A$3:$K$4986,9,FALSE)&amp;VLOOKUP(D2139,契約台帳!$A$3:$K$4986,11,FALSE))</f>
        <v>3SYMLBMSNMBF</v>
      </c>
      <c r="G2139" s="269" t="str">
        <f>IF(D2139="","",VLOOKUP(F2139,製品マスタ!$G$5:$H$5002,2,FALSE))</f>
        <v>S</v>
      </c>
      <c r="H2139" s="269" t="str">
        <f>IF(D2139="","",VLOOKUP(F2139,製品マスタ!$G$5:$K$5002,5,FALSE))</f>
        <v>MSNMBF</v>
      </c>
      <c r="I2139" s="270" t="str">
        <f>IF(D2139="","",VLOOKUP(F2139,製品マスタ!$G$5:$L$5002,6,FALSE))</f>
        <v>ＭＥＴＡＬＵＭＹ　ＳＩＬＶＥＲ　Ｎ－ＭＡＴＴＥ　Ｘ４４Ｍ　Ｂ</v>
      </c>
      <c r="J2139" s="32" t="s">
        <v>447</v>
      </c>
      <c r="K2139" s="270">
        <f>IF(D2139="","",VLOOKUP(D2139,契約台帳!$A$3:$L$4986,12,FALSE))</f>
        <v>50</v>
      </c>
      <c r="L2139" s="270" t="str">
        <f>IF(D2139="","",INDEX(製品マスタ!$Q$5:$Q$5002,MATCH(F2139&amp;K2139,製品マスタ!$AO$5:$AO$5002,0)))</f>
        <v>X44</v>
      </c>
      <c r="M2139" s="39">
        <v>1120</v>
      </c>
      <c r="N2139" s="39">
        <v>12000</v>
      </c>
      <c r="O2139" s="47">
        <v>1</v>
      </c>
      <c r="P2139" s="57"/>
      <c r="Q2139" s="276">
        <f>IF(D2139="","",IF(J2139="リード付け",M2139,VLOOKUP(D2139,契約台帳!$A$3:$N$4986,14,FALSE)))</f>
        <v>1120</v>
      </c>
      <c r="R2139" s="277">
        <f>IF(D2139="","",IF(J2139="リード付け",M2139,VLOOKUP(D2139,契約台帳!$A$3:$O$4986,15,FALSE)))</f>
        <v>1120</v>
      </c>
      <c r="S2139" s="277">
        <f>IF(D2139="","",IF(J2139="リード付け",N2139,VLOOKUP(D2139,契約台帳!$A$3:$P$4986,16,FALSE)))</f>
        <v>4000</v>
      </c>
      <c r="T2139" s="40">
        <v>2</v>
      </c>
      <c r="U2139" s="278" t="str">
        <f ca="1">IF(D2139="","",IF(OFFSET(D2139,-2,0)=D2139,"",VLOOKUP(D2139,契約台帳!$A$3:$R$4986,18,FALSE)))</f>
        <v/>
      </c>
      <c r="V2139" s="269" t="str">
        <f>IF(J2139="巻返し",VLOOKUP(F2139&amp;K2139&amp;M2139,製品マスタ!$M$5:$AD$5002,18,FALSE),IF(J2139="リード付け","原反コア",IF(J2139="スリット",VLOOKUP(F2139&amp;K2139&amp;Q2139,製品マスタ!$N$5:$AD$5002,17,FALSE),"")))</f>
        <v>6ｲﾝﾁMｺｱ</v>
      </c>
      <c r="W2139" s="269">
        <f>IF(J2139="巻返し",VLOOKUP(F2139&amp;K2139&amp;M2139,製品マスタ!$M$5:$AE$5002,19,FALSE),IF(J2139="リード付け","-",IF(J2139="スリット",VLOOKUP(F2139&amp;K2139&amp;Q2139,製品マスタ!$N$5:$AE$5002,18,FALSE),"")))</f>
        <v>1125</v>
      </c>
      <c r="X2139" s="275">
        <f>IF(D2139="","",VLOOKUP(D2139,契約台帳!$A$3:$Q$4986,17,FALSE))</f>
        <v>2</v>
      </c>
      <c r="Y2139" s="269" t="str">
        <f>IF(D2139="","",VLOOKUP(D2139,契約台帳!$A$3:$E$4986,5,FALSE))</f>
        <v>リンテック㈱</v>
      </c>
      <c r="Z2139" s="357"/>
      <c r="AA2139" s="207">
        <f>IFERROR(VLOOKUP(F2139&amp;K2139&amp;M2139,製品マスタ!$M$5:$AM$5002,27,FALSE),"")</f>
        <v>0</v>
      </c>
      <c r="AB2139" s="369"/>
      <c r="AC2139" s="370"/>
      <c r="AD2139" s="332" t="str">
        <f>IF(F2139="","",+F2139&amp;K2139)</f>
        <v>3SYMLBMSNMBF50</v>
      </c>
      <c r="AE2139" s="216">
        <f>+M2139*N2139*O2139/1000</f>
        <v>13440</v>
      </c>
      <c r="AF2139" s="43">
        <f>IF(AD2139="","",VLOOKUP(AD2139,原価マスタ!$A$2:$AJ$1693,13,FALSE))</f>
        <v>98.8</v>
      </c>
      <c r="AG2139" s="47">
        <f>IF(AF2139="","",+AE2139*AF2139/100)</f>
        <v>13278.72</v>
      </c>
      <c r="AH2139" s="30"/>
      <c r="AI2139" s="30"/>
      <c r="AJ2139" s="30"/>
      <c r="AK2139" s="30"/>
      <c r="AL2139" s="13"/>
      <c r="AM2139" s="13"/>
      <c r="AN2139" s="13"/>
      <c r="AO2139" s="13"/>
      <c r="AP2139" s="13"/>
      <c r="AQ2139" s="14"/>
      <c r="AR2139" s="15"/>
    </row>
    <row r="2140" spans="1:44" s="17" customFormat="1" ht="30.6" hidden="1" customHeight="1" x14ac:dyDescent="0.2">
      <c r="A2140" s="320"/>
      <c r="B2140" s="321"/>
      <c r="C2140" s="345"/>
      <c r="D2140" s="398">
        <v>3783823</v>
      </c>
      <c r="E2140" s="31"/>
      <c r="F2140" s="268" t="str">
        <f>IF(D2140="","",VLOOKUP(D2140,契約台帳!$A$3:$K$4986,6,FALSE)&amp;VLOOKUP(D2140,契約台帳!$A$3:$K$4986,7,FALSE)&amp;VLOOKUP(D2140,契約台帳!$A$3:$K$4986,8,FALSE)&amp;VLOOKUP(D2140,契約台帳!$A$3:$K$4986,9,FALSE)&amp;VLOOKUP(D2140,契約台帳!$A$3:$K$4986,11,FALSE))</f>
        <v>3SYMLBMSNMBZF</v>
      </c>
      <c r="G2140" s="269" t="str">
        <f>IF(D2140="","",VLOOKUP(F2140,製品マスタ!$G$5:$H$5002,2,FALSE))</f>
        <v>S</v>
      </c>
      <c r="H2140" s="269" t="str">
        <f>IF(D2140="","",VLOOKUP(F2140,製品マスタ!$G$5:$K$5002,5,FALSE))</f>
        <v>MSNMBZF</v>
      </c>
      <c r="I2140" s="270" t="str">
        <f>IF(D2140="","",VLOOKUP(F2140,製品マスタ!$G$5:$L$5002,6,FALSE))</f>
        <v>ＭＥＴＡＬＵＭＹ　ＳＩＬＶＥＲ　Ｎ－ＭＡＴＴＥ　Ｂ</v>
      </c>
      <c r="J2140" s="32" t="s">
        <v>447</v>
      </c>
      <c r="K2140" s="270">
        <f>IF(D2140="","",VLOOKUP(D2140,契約台帳!$A$3:$L$4986,12,FALSE))</f>
        <v>50</v>
      </c>
      <c r="L2140" s="270" t="str">
        <f>IF(D2140="","",INDEX(製品マスタ!$Q$5:$Q$5002,MATCH(F2140&amp;K2140,製品マスタ!$AO$5:$AO$5002,0)))</f>
        <v>X44</v>
      </c>
      <c r="M2140" s="39">
        <v>1120</v>
      </c>
      <c r="N2140" s="39"/>
      <c r="O2140" s="47"/>
      <c r="P2140" s="57"/>
      <c r="Q2140" s="276">
        <f>IF(D2140="","",IF(J2140="リード付け",M2140,VLOOKUP(D2140,契約台帳!$A$3:$N$4986,14,FALSE)))</f>
        <v>1120</v>
      </c>
      <c r="R2140" s="277">
        <f>IF(D2140="","",IF(J2140="リード付け",M2140,VLOOKUP(D2140,契約台帳!$A$3:$O$4986,15,FALSE)))</f>
        <v>1120</v>
      </c>
      <c r="S2140" s="277">
        <f>IF(D2140="","",IF(J2140="リード付け",N2140,VLOOKUP(D2140,契約台帳!$A$3:$P$4986,16,FALSE)))</f>
        <v>4000</v>
      </c>
      <c r="T2140" s="40">
        <v>1</v>
      </c>
      <c r="U2140" s="278">
        <f ca="1">IF(D2140="","",IF(OFFSET(D2140,-2,0)=D2140,"",VLOOKUP(D2140,契約台帳!$A$3:$R$4986,18,FALSE)))</f>
        <v>10</v>
      </c>
      <c r="V2140" s="269" t="str">
        <f>IF(J2140="巻返し",VLOOKUP(F2140&amp;K2140&amp;M2140,製品マスタ!$M$5:$AD$5002,18,FALSE),IF(J2140="リード付け","原反コア",IF(J2140="スリット",VLOOKUP(F2140&amp;K2140&amp;Q2140,製品マスタ!$N$5:$AD$5002,17,FALSE),"")))</f>
        <v>6ｲﾝﾁMｺｱ</v>
      </c>
      <c r="W2140" s="269">
        <f>IF(J2140="巻返し",VLOOKUP(F2140&amp;K2140&amp;M2140,製品マスタ!$M$5:$AE$5002,19,FALSE),IF(J2140="リード付け","-",IF(J2140="スリット",VLOOKUP(F2140&amp;K2140&amp;Q2140,製品マスタ!$N$5:$AE$5002,18,FALSE),"")))</f>
        <v>1125</v>
      </c>
      <c r="X2140" s="275">
        <f>IF(D2140="","",VLOOKUP(D2140,契約台帳!$A$3:$Q$4986,17,FALSE))</f>
        <v>2</v>
      </c>
      <c r="Y2140" s="269" t="str">
        <f>IF(D2140="","",VLOOKUP(D2140,契約台帳!$A$3:$E$4986,5,FALSE))</f>
        <v>リンテック㈱</v>
      </c>
      <c r="Z2140" s="357"/>
      <c r="AA2140" s="207"/>
      <c r="AB2140" s="369"/>
      <c r="AC2140" s="370"/>
      <c r="AD2140" s="332" t="str">
        <f>IF(F2140="","",+F2140&amp;K2140)</f>
        <v>3SYMLBMSNMBZF50</v>
      </c>
      <c r="AE2140" s="216">
        <f>+M2140*N2140*O2140/1000</f>
        <v>0</v>
      </c>
      <c r="AF2140" s="43">
        <f>IF(AD2140="","",VLOOKUP(AD2140,原価マスタ!$A$2:$AJ$1693,13,FALSE))</f>
        <v>99</v>
      </c>
      <c r="AG2140" s="47">
        <f>IF(AF2140="","",+AE2140*AF2140/100)</f>
        <v>0</v>
      </c>
      <c r="AH2140" s="30"/>
      <c r="AI2140" s="30"/>
      <c r="AJ2140" s="30"/>
      <c r="AK2140" s="30"/>
      <c r="AL2140" s="13"/>
      <c r="AM2140" s="13"/>
      <c r="AN2140" s="13"/>
      <c r="AO2140" s="13"/>
      <c r="AP2140" s="13"/>
      <c r="AQ2140" s="14"/>
      <c r="AR2140" s="15"/>
    </row>
    <row r="2141" spans="1:44" s="17" customFormat="1" ht="30.95" hidden="1" customHeight="1" x14ac:dyDescent="0.2">
      <c r="A2141" s="343"/>
      <c r="B2141" s="344"/>
      <c r="C2141" s="345"/>
      <c r="D2141" s="398"/>
      <c r="E2141" s="31"/>
      <c r="F2141" s="268"/>
      <c r="G2141" s="269"/>
      <c r="H2141" s="269"/>
      <c r="I2141" s="270"/>
      <c r="J2141" s="32"/>
      <c r="K2141" s="270"/>
      <c r="L2141" s="270"/>
      <c r="M2141" s="39"/>
      <c r="N2141" s="39"/>
      <c r="O2141" s="47"/>
      <c r="P2141" s="57"/>
      <c r="Q2141" s="276"/>
      <c r="R2141" s="277"/>
      <c r="S2141" s="277"/>
      <c r="T2141" s="40"/>
      <c r="U2141" s="278"/>
      <c r="V2141" s="269"/>
      <c r="W2141" s="269"/>
      <c r="X2141" s="275"/>
      <c r="Y2141" s="269"/>
      <c r="Z2141" s="357"/>
      <c r="AA2141" s="207"/>
      <c r="AB2141" s="369"/>
      <c r="AC2141" s="370"/>
      <c r="AD2141" s="332"/>
      <c r="AE2141" s="216"/>
      <c r="AF2141" s="43"/>
      <c r="AG2141" s="47"/>
      <c r="AH2141" s="30"/>
      <c r="AI2141" s="30"/>
      <c r="AJ2141" s="30"/>
      <c r="AK2141" s="30"/>
      <c r="AL2141" s="13"/>
      <c r="AM2141" s="13"/>
      <c r="AN2141" s="13"/>
      <c r="AO2141" s="13"/>
      <c r="AP2141" s="13"/>
      <c r="AQ2141" s="14"/>
      <c r="AR2141" s="15"/>
    </row>
    <row r="2142" spans="1:44" s="17" customFormat="1" ht="30.6" hidden="1" customHeight="1" x14ac:dyDescent="0.2">
      <c r="A2142" s="320" t="s">
        <v>3362</v>
      </c>
      <c r="B2142" s="321" t="s">
        <v>443</v>
      </c>
      <c r="C2142" s="345"/>
      <c r="D2142" s="398">
        <v>3785952</v>
      </c>
      <c r="E2142" s="31">
        <v>4156902</v>
      </c>
      <c r="F2142" s="268" t="str">
        <f>IF(D2142="","",VLOOKUP(D2142,契約台帳!$A$3:$K$4986,6,FALSE)&amp;VLOOKUP(D2142,契約台帳!$A$3:$K$4986,7,FALSE)&amp;VLOOKUP(D2142,契約台帳!$A$3:$K$4986,8,FALSE)&amp;VLOOKUP(D2142,契約台帳!$A$3:$K$4986,9,FALSE)&amp;VLOOKUP(D2142,契約台帳!$A$3:$K$4986,11,FALSE))</f>
        <v>3SYMLBMSNMBZF</v>
      </c>
      <c r="G2142" s="269" t="str">
        <f>IF(D2142="","",VLOOKUP(F2142,製品マスタ!$G$5:$H$5002,2,FALSE))</f>
        <v>S</v>
      </c>
      <c r="H2142" s="269" t="str">
        <f>IF(D2142="","",VLOOKUP(F2142,製品マスタ!$G$5:$K$5002,5,FALSE))</f>
        <v>MSNMBZF</v>
      </c>
      <c r="I2142" s="270" t="str">
        <f>IF(D2142="","",VLOOKUP(F2142,製品マスタ!$G$5:$L$5002,6,FALSE))</f>
        <v>ＭＥＴＡＬＵＭＹ　ＳＩＬＶＥＲ　Ｎ－ＭＡＴＴＥ　Ｂ</v>
      </c>
      <c r="J2142" s="32" t="s">
        <v>447</v>
      </c>
      <c r="K2142" s="270">
        <f>IF(D2142="","",VLOOKUP(D2142,契約台帳!$A$3:$L$4986,12,FALSE))</f>
        <v>50</v>
      </c>
      <c r="L2142" s="270" t="str">
        <f>IF(D2142="","",INDEX(製品マスタ!$Q$5:$Q$5002,MATCH(F2142&amp;K2142,製品マスタ!$AO$5:$AO$5002,0)))</f>
        <v>X44</v>
      </c>
      <c r="M2142" s="39">
        <v>1120</v>
      </c>
      <c r="N2142" s="39">
        <v>12000</v>
      </c>
      <c r="O2142" s="47">
        <v>3</v>
      </c>
      <c r="P2142" s="57"/>
      <c r="Q2142" s="276">
        <f>IF(D2142="","",IF(J2142="リード付け",M2142,VLOOKUP(D2142,契約台帳!$A$3:$N$4986,14,FALSE)))</f>
        <v>1120</v>
      </c>
      <c r="R2142" s="277">
        <f>IF(D2142="","",IF(J2142="リード付け",M2142,VLOOKUP(D2142,契約台帳!$A$3:$O$4986,15,FALSE)))</f>
        <v>1120</v>
      </c>
      <c r="S2142" s="277">
        <f>IF(D2142="","",IF(J2142="リード付け",N2142,VLOOKUP(D2142,契約台帳!$A$3:$P$4986,16,FALSE)))</f>
        <v>4000</v>
      </c>
      <c r="T2142" s="40">
        <v>9</v>
      </c>
      <c r="U2142" s="278">
        <f ca="1">IF(D2142="","",IF(OFFSET(D2142,-2,0)=D2142,"",VLOOKUP(D2142,契約台帳!$A$3:$R$4986,18,FALSE)))</f>
        <v>9</v>
      </c>
      <c r="V2142" s="269" t="str">
        <f>IF(J2142="巻返し",VLOOKUP(F2142&amp;K2142&amp;M2142,製品マスタ!$M$5:$AD$5002,18,FALSE),IF(J2142="リード付け","原反コア",IF(J2142="スリット",VLOOKUP(F2142&amp;K2142&amp;Q2142,製品マスタ!$N$5:$AD$5002,17,FALSE),"")))</f>
        <v>6ｲﾝﾁMｺｱ</v>
      </c>
      <c r="W2142" s="269">
        <f>IF(J2142="巻返し",VLOOKUP(F2142&amp;K2142&amp;M2142,製品マスタ!$M$5:$AE$5002,19,FALSE),IF(J2142="リード付け","-",IF(J2142="スリット",VLOOKUP(F2142&amp;K2142&amp;Q2142,製品マスタ!$N$5:$AE$5002,18,FALSE),"")))</f>
        <v>1125</v>
      </c>
      <c r="X2142" s="275">
        <f>IF(D2142="","",VLOOKUP(D2142,契約台帳!$A$3:$Q$4986,17,FALSE))</f>
        <v>2</v>
      </c>
      <c r="Y2142" s="269" t="str">
        <f>IF(D2142="","",VLOOKUP(D2142,契約台帳!$A$3:$E$4986,5,FALSE))</f>
        <v>リンテック㈱</v>
      </c>
      <c r="Z2142" s="357"/>
      <c r="AA2142" s="207">
        <f>IFERROR(VLOOKUP(F2142&amp;K2142&amp;M2142,製品マスタ!$M$5:$AM$5002,27,FALSE),"")</f>
        <v>0</v>
      </c>
      <c r="AB2142" s="369"/>
      <c r="AC2142" s="370"/>
      <c r="AD2142" s="332" t="str">
        <f>IF(F2142="","",+F2142&amp;K2142)</f>
        <v>3SYMLBMSNMBZF50</v>
      </c>
      <c r="AE2142" s="216">
        <f>+M2142*N2142*O2142/1000</f>
        <v>40320</v>
      </c>
      <c r="AF2142" s="43">
        <f>IF(AD2142="","",VLOOKUP(AD2142,原価マスタ!$A$2:$AJ$1693,13,FALSE))</f>
        <v>99</v>
      </c>
      <c r="AG2142" s="47">
        <f>IF(AF2142="","",+AE2142*AF2142/100)</f>
        <v>39916.800000000003</v>
      </c>
      <c r="AH2142" s="30"/>
      <c r="AI2142" s="30"/>
      <c r="AJ2142" s="30"/>
      <c r="AK2142" s="30"/>
      <c r="AL2142" s="13"/>
      <c r="AM2142" s="13"/>
      <c r="AN2142" s="13"/>
      <c r="AO2142" s="13"/>
      <c r="AP2142" s="13"/>
      <c r="AQ2142" s="14"/>
      <c r="AR2142" s="15"/>
    </row>
    <row r="2143" spans="1:44" s="17" customFormat="1" ht="30.95" hidden="1" customHeight="1" x14ac:dyDescent="0.2">
      <c r="A2143" s="343"/>
      <c r="B2143" s="344"/>
      <c r="C2143" s="345"/>
      <c r="D2143" s="398"/>
      <c r="E2143" s="31"/>
      <c r="F2143" s="268"/>
      <c r="G2143" s="269"/>
      <c r="H2143" s="269"/>
      <c r="I2143" s="270"/>
      <c r="J2143" s="32"/>
      <c r="K2143" s="270"/>
      <c r="L2143" s="270"/>
      <c r="M2143" s="39"/>
      <c r="N2143" s="39"/>
      <c r="O2143" s="47"/>
      <c r="P2143" s="57"/>
      <c r="Q2143" s="276"/>
      <c r="R2143" s="277"/>
      <c r="S2143" s="277"/>
      <c r="T2143" s="40"/>
      <c r="U2143" s="278"/>
      <c r="V2143" s="269"/>
      <c r="W2143" s="269"/>
      <c r="X2143" s="275"/>
      <c r="Y2143" s="269"/>
      <c r="Z2143" s="357"/>
      <c r="AA2143" s="207"/>
      <c r="AB2143" s="369"/>
      <c r="AC2143" s="370"/>
      <c r="AD2143" s="332"/>
      <c r="AE2143" s="216"/>
      <c r="AF2143" s="43"/>
      <c r="AG2143" s="47"/>
      <c r="AH2143" s="30"/>
      <c r="AI2143" s="30"/>
      <c r="AJ2143" s="30"/>
      <c r="AK2143" s="30"/>
      <c r="AL2143" s="13"/>
      <c r="AM2143" s="13"/>
      <c r="AN2143" s="13"/>
      <c r="AO2143" s="13"/>
      <c r="AP2143" s="13"/>
      <c r="AQ2143" s="14"/>
      <c r="AR2143" s="15"/>
    </row>
    <row r="2144" spans="1:44" s="17" customFormat="1" ht="30.6" hidden="1" customHeight="1" x14ac:dyDescent="0.2">
      <c r="A2144" s="320"/>
      <c r="B2144" s="321"/>
      <c r="C2144" s="345"/>
      <c r="D2144" s="398">
        <v>3783804</v>
      </c>
      <c r="E2144" s="31">
        <v>4156655</v>
      </c>
      <c r="F2144" s="268" t="str">
        <f>IF(D2144="","",VLOOKUP(D2144,契約台帳!$A$3:$K$4986,6,FALSE)&amp;VLOOKUP(D2144,契約台帳!$A$3:$K$4986,7,FALSE)&amp;VLOOKUP(D2144,契約台帳!$A$3:$K$4986,8,FALSE)&amp;VLOOKUP(D2144,契約台帳!$A$3:$K$4986,9,FALSE)&amp;VLOOKUP(D2144,契約台帳!$A$3:$K$4986,11,FALSE))</f>
        <v>3SNMLBMNGKKBF</v>
      </c>
      <c r="G2144" s="269" t="str">
        <f>IF(D2144="","",VLOOKUP(F2144,製品マスタ!$G$5:$H$5002,2,FALSE))</f>
        <v>S</v>
      </c>
      <c r="H2144" s="269" t="str">
        <f>IF(D2144="","",VLOOKUP(F2144,製品マスタ!$G$5:$K$5002,5,FALSE))</f>
        <v>MNGKKBF</v>
      </c>
      <c r="I2144" s="270" t="str">
        <f>IF(D2144="","",VLOOKUP(F2144,製品マスタ!$G$5:$L$5002,6,FALSE))</f>
        <v>メタルミー　ネーマー銀消改　Ｂ</v>
      </c>
      <c r="J2144" s="32" t="s">
        <v>447</v>
      </c>
      <c r="K2144" s="270">
        <f>IF(D2144="","",VLOOKUP(D2144,契約台帳!$A$3:$L$4986,12,FALSE))</f>
        <v>50</v>
      </c>
      <c r="L2144" s="270" t="str">
        <f>IF(D2144="","",INDEX(製品マスタ!$Q$5:$Q$5002,MATCH(F2144&amp;K2144,製品マスタ!$AO$5:$AO$5002,0)))</f>
        <v>S99-MAT</v>
      </c>
      <c r="M2144" s="39">
        <v>1120</v>
      </c>
      <c r="N2144" s="39">
        <v>12000</v>
      </c>
      <c r="O2144" s="47">
        <v>3</v>
      </c>
      <c r="P2144" s="57"/>
      <c r="Q2144" s="276">
        <f>IF(D2144="","",IF(J2144="リード付け",M2144,VLOOKUP(D2144,契約台帳!$A$3:$N$4986,14,FALSE)))</f>
        <v>1120</v>
      </c>
      <c r="R2144" s="277">
        <f>IF(D2144="","",IF(J2144="リード付け",M2144,VLOOKUP(D2144,契約台帳!$A$3:$O$4986,15,FALSE)))</f>
        <v>1120</v>
      </c>
      <c r="S2144" s="277">
        <f>IF(D2144="","",IF(J2144="リード付け",N2144,VLOOKUP(D2144,契約台帳!$A$3:$P$4986,16,FALSE)))</f>
        <v>4000</v>
      </c>
      <c r="T2144" s="40">
        <v>9</v>
      </c>
      <c r="U2144" s="278">
        <f ca="1">IF(D2144="","",IF(OFFSET(D2144,-2,0)=D2144,"",VLOOKUP(D2144,契約台帳!$A$3:$R$4986,18,FALSE)))</f>
        <v>24</v>
      </c>
      <c r="V2144" s="269" t="str">
        <f>IF(J2144="巻返し",VLOOKUP(F2144&amp;K2144&amp;M2144,製品マスタ!$M$5:$AD$5002,18,FALSE),IF(J2144="リード付け","原反コア",IF(J2144="スリット",VLOOKUP(F2144&amp;K2144&amp;Q2144,製品マスタ!$N$5:$AD$5002,17,FALSE),"")))</f>
        <v>6ｲﾝﾁSｺｱ</v>
      </c>
      <c r="W2144" s="269">
        <f>IF(J2144="巻返し",VLOOKUP(F2144&amp;K2144&amp;M2144,製品マスタ!$M$5:$AE$5002,19,FALSE),IF(J2144="リード付け","-",IF(J2144="スリット",VLOOKUP(F2144&amp;K2144&amp;Q2144,製品マスタ!$N$5:$AE$5002,18,FALSE),"")))</f>
        <v>1125</v>
      </c>
      <c r="X2144" s="275">
        <f>IF(D2144="","",VLOOKUP(D2144,契約台帳!$A$3:$Q$4986,17,FALSE))</f>
        <v>2</v>
      </c>
      <c r="Y2144" s="269" t="str">
        <f>IF(D2144="","",VLOOKUP(D2144,契約台帳!$A$3:$E$4986,5,FALSE))</f>
        <v>リンテック㈱</v>
      </c>
      <c r="Z2144" s="357"/>
      <c r="AA2144" s="207">
        <f>IFERROR(VLOOKUP(F2144&amp;K2144&amp;M2144,製品マスタ!$M$5:$AM$5002,27,FALSE),"")</f>
        <v>0</v>
      </c>
      <c r="AB2144" s="369"/>
      <c r="AC2144" s="370"/>
      <c r="AD2144" s="332" t="str">
        <f>IF(F2144="","",+F2144&amp;K2144)</f>
        <v>3SNMLBMNGKKBF50</v>
      </c>
      <c r="AE2144" s="216">
        <f>+M2144*N2144*O2144/1000</f>
        <v>40320</v>
      </c>
      <c r="AF2144" s="43">
        <f>IF(AD2144="","",VLOOKUP(AD2144,原価マスタ!$A$2:$AJ$1693,13,FALSE))</f>
        <v>99</v>
      </c>
      <c r="AG2144" s="47">
        <f>IF(AF2144="","",+AE2144*AF2144/100)</f>
        <v>39916.800000000003</v>
      </c>
      <c r="AH2144" s="30"/>
      <c r="AI2144" s="30"/>
      <c r="AJ2144" s="30"/>
      <c r="AK2144" s="30"/>
      <c r="AL2144" s="13"/>
      <c r="AM2144" s="13"/>
      <c r="AN2144" s="13"/>
      <c r="AO2144" s="13"/>
      <c r="AP2144" s="13"/>
      <c r="AQ2144" s="14"/>
      <c r="AR2144" s="15"/>
    </row>
    <row r="2145" spans="1:44" s="17" customFormat="1" ht="30.95" hidden="1" customHeight="1" x14ac:dyDescent="0.2">
      <c r="A2145" s="343"/>
      <c r="B2145" s="344"/>
      <c r="C2145" s="345"/>
      <c r="D2145" s="398"/>
      <c r="E2145" s="31"/>
      <c r="F2145" s="268"/>
      <c r="G2145" s="269"/>
      <c r="H2145" s="269"/>
      <c r="I2145" s="270"/>
      <c r="J2145" s="32"/>
      <c r="K2145" s="270"/>
      <c r="L2145" s="270"/>
      <c r="M2145" s="39"/>
      <c r="N2145" s="39"/>
      <c r="O2145" s="47"/>
      <c r="P2145" s="57"/>
      <c r="Q2145" s="276"/>
      <c r="R2145" s="277"/>
      <c r="S2145" s="277"/>
      <c r="T2145" s="40"/>
      <c r="U2145" s="278"/>
      <c r="V2145" s="269"/>
      <c r="W2145" s="269"/>
      <c r="X2145" s="275"/>
      <c r="Y2145" s="269"/>
      <c r="Z2145" s="357"/>
      <c r="AA2145" s="207"/>
      <c r="AB2145" s="369"/>
      <c r="AC2145" s="370"/>
      <c r="AD2145" s="332"/>
      <c r="AE2145" s="216"/>
      <c r="AF2145" s="43"/>
      <c r="AG2145" s="47"/>
      <c r="AH2145" s="30"/>
      <c r="AI2145" s="30"/>
      <c r="AJ2145" s="30"/>
      <c r="AK2145" s="30"/>
      <c r="AL2145" s="13"/>
      <c r="AM2145" s="13"/>
      <c r="AN2145" s="13"/>
      <c r="AO2145" s="13"/>
      <c r="AP2145" s="13"/>
      <c r="AQ2145" s="14"/>
      <c r="AR2145" s="15"/>
    </row>
    <row r="2146" spans="1:44" s="17" customFormat="1" ht="30.6" hidden="1" customHeight="1" x14ac:dyDescent="0.2">
      <c r="A2146" s="320"/>
      <c r="B2146" s="321"/>
      <c r="C2146" s="345"/>
      <c r="D2146" s="398">
        <v>3783809</v>
      </c>
      <c r="E2146" s="31">
        <v>4156843</v>
      </c>
      <c r="F2146" s="268" t="str">
        <f>IF(D2146="","",VLOOKUP(D2146,契約台帳!$A$3:$K$4986,6,FALSE)&amp;VLOOKUP(D2146,契約台帳!$A$3:$K$4986,7,FALSE)&amp;VLOOKUP(D2146,契約台帳!$A$3:$K$4986,8,FALSE)&amp;VLOOKUP(D2146,契約台帳!$A$3:$K$4986,9,FALSE)&amp;VLOOKUP(D2146,契約台帳!$A$3:$K$4986,11,FALSE))</f>
        <v>3SNMLBMNGTBF</v>
      </c>
      <c r="G2146" s="269" t="str">
        <f>IF(D2146="","",VLOOKUP(F2146,製品マスタ!$G$5:$H$5002,2,FALSE))</f>
        <v>S</v>
      </c>
      <c r="H2146" s="269" t="str">
        <f>IF(D2146="","",VLOOKUP(F2146,製品マスタ!$G$5:$K$5002,5,FALSE))</f>
        <v>MNGTBF</v>
      </c>
      <c r="I2146" s="270" t="str">
        <f>IF(D2146="","",VLOOKUP(F2146,製品マスタ!$G$5:$L$5002,6,FALSE))</f>
        <v>メタルミー　ネーマー　銀艶　Ｂ</v>
      </c>
      <c r="J2146" s="32" t="s">
        <v>447</v>
      </c>
      <c r="K2146" s="270">
        <f>IF(D2146="","",VLOOKUP(D2146,契約台帳!$A$3:$L$4986,12,FALSE))</f>
        <v>25</v>
      </c>
      <c r="L2146" s="270" t="str">
        <f>IF(D2146="","",INDEX(製品マスタ!$Q$5:$Q$5002,MATCH(F2146&amp;K2146,製品マスタ!$AO$5:$AO$5002,0)))</f>
        <v>T62M</v>
      </c>
      <c r="M2146" s="39">
        <v>1125</v>
      </c>
      <c r="N2146" s="39">
        <v>12100</v>
      </c>
      <c r="O2146" s="47">
        <v>1</v>
      </c>
      <c r="P2146" s="57"/>
      <c r="Q2146" s="276">
        <f>IF(D2146="","",IF(J2146="リード付け",M2146,VLOOKUP(D2146,契約台帳!$A$3:$N$4986,14,FALSE)))</f>
        <v>1125</v>
      </c>
      <c r="R2146" s="277">
        <f>IF(D2146="","",IF(J2146="リード付け",M2146,VLOOKUP(D2146,契約台帳!$A$3:$O$4986,15,FALSE)))</f>
        <v>1120</v>
      </c>
      <c r="S2146" s="277">
        <f>IF(D2146="","",IF(J2146="リード付け",N2146,VLOOKUP(D2146,契約台帳!$A$3:$P$4986,16,FALSE)))</f>
        <v>4000</v>
      </c>
      <c r="T2146" s="40">
        <v>3</v>
      </c>
      <c r="U2146" s="278">
        <f ca="1">IF(D2146="","",IF(OFFSET(D2146,-2,0)=D2146,"",VLOOKUP(D2146,契約台帳!$A$3:$R$4986,18,FALSE)))</f>
        <v>3</v>
      </c>
      <c r="V2146" s="269" t="str">
        <f>IF(J2146="巻返し",VLOOKUP(F2146&amp;K2146&amp;M2146,製品マスタ!$M$5:$AD$5002,18,FALSE),IF(J2146="リード付け","原反コア",IF(J2146="スリット",VLOOKUP(F2146&amp;K2146&amp;Q2146,製品マスタ!$N$5:$AD$5002,17,FALSE),"")))</f>
        <v>6ｲﾝﾁSｺｱ</v>
      </c>
      <c r="W2146" s="269">
        <f>IF(J2146="巻返し",VLOOKUP(F2146&amp;K2146&amp;M2146,製品マスタ!$M$5:$AE$5002,19,FALSE),IF(J2146="リード付け","-",IF(J2146="スリット",VLOOKUP(F2146&amp;K2146&amp;Q2146,製品マスタ!$N$5:$AE$5002,18,FALSE),"")))</f>
        <v>1130</v>
      </c>
      <c r="X2146" s="275">
        <f>IF(D2146="","",VLOOKUP(D2146,契約台帳!$A$3:$Q$4986,17,FALSE))</f>
        <v>2</v>
      </c>
      <c r="Y2146" s="269" t="str">
        <f>IF(D2146="","",VLOOKUP(D2146,契約台帳!$A$3:$E$4986,5,FALSE))</f>
        <v>リンテック㈱</v>
      </c>
      <c r="Z2146" s="357"/>
      <c r="AA2146" s="207">
        <f>IFERROR(VLOOKUP(F2146&amp;K2146&amp;M2146,製品マスタ!$M$5:$AM$5002,27,FALSE),"")</f>
        <v>0</v>
      </c>
      <c r="AB2146" s="369"/>
      <c r="AC2146" s="370"/>
      <c r="AD2146" s="332" t="str">
        <f>IF(F2146="","",+F2146&amp;K2146)</f>
        <v>3SNMLBMNGTBF25</v>
      </c>
      <c r="AE2146" s="216">
        <f>+M2146*N2146*O2146/1000</f>
        <v>13612.5</v>
      </c>
      <c r="AF2146" s="43">
        <f>IF(AD2146="","",VLOOKUP(AD2146,原価マスタ!$A$2:$AJ$1693,13,FALSE))</f>
        <v>97.5</v>
      </c>
      <c r="AG2146" s="47">
        <f>IF(AF2146="","",+AE2146*AF2146/100)</f>
        <v>13272.1875</v>
      </c>
      <c r="AH2146" s="30"/>
      <c r="AI2146" s="30"/>
      <c r="AJ2146" s="30"/>
      <c r="AK2146" s="30"/>
      <c r="AL2146" s="13"/>
      <c r="AM2146" s="13"/>
      <c r="AN2146" s="13"/>
      <c r="AO2146" s="13"/>
      <c r="AP2146" s="13"/>
      <c r="AQ2146" s="14"/>
      <c r="AR2146" s="15"/>
    </row>
    <row r="2147" spans="1:44" s="17" customFormat="1" ht="30.95" hidden="1" customHeight="1" x14ac:dyDescent="0.2">
      <c r="A2147" s="343"/>
      <c r="B2147" s="344"/>
      <c r="C2147" s="345"/>
      <c r="D2147" s="398"/>
      <c r="E2147" s="31"/>
      <c r="F2147" s="268"/>
      <c r="G2147" s="269"/>
      <c r="H2147" s="269"/>
      <c r="I2147" s="270"/>
      <c r="J2147" s="32"/>
      <c r="K2147" s="270"/>
      <c r="L2147" s="270"/>
      <c r="M2147" s="39"/>
      <c r="N2147" s="39"/>
      <c r="O2147" s="47"/>
      <c r="P2147" s="57"/>
      <c r="Q2147" s="276"/>
      <c r="R2147" s="277"/>
      <c r="S2147" s="277"/>
      <c r="T2147" s="40"/>
      <c r="U2147" s="278"/>
      <c r="V2147" s="269"/>
      <c r="W2147" s="269"/>
      <c r="X2147" s="275"/>
      <c r="Y2147" s="269"/>
      <c r="Z2147" s="357"/>
      <c r="AA2147" s="207"/>
      <c r="AB2147" s="369"/>
      <c r="AC2147" s="370"/>
      <c r="AD2147" s="332"/>
      <c r="AE2147" s="216"/>
      <c r="AF2147" s="43"/>
      <c r="AG2147" s="47"/>
      <c r="AH2147" s="30"/>
      <c r="AI2147" s="30"/>
      <c r="AJ2147" s="30"/>
      <c r="AK2147" s="30"/>
      <c r="AL2147" s="13"/>
      <c r="AM2147" s="13"/>
      <c r="AN2147" s="13"/>
      <c r="AO2147" s="13"/>
      <c r="AP2147" s="13"/>
      <c r="AQ2147" s="14"/>
      <c r="AR2147" s="15"/>
    </row>
    <row r="2148" spans="1:44" s="17" customFormat="1" ht="30.6" hidden="1" customHeight="1" x14ac:dyDescent="0.2">
      <c r="A2148" s="320" t="s">
        <v>3363</v>
      </c>
      <c r="B2148" s="321" t="s">
        <v>3364</v>
      </c>
      <c r="C2148" s="345"/>
      <c r="D2148" s="398">
        <v>3783808</v>
      </c>
      <c r="E2148" s="31">
        <v>4156842</v>
      </c>
      <c r="F2148" s="268" t="str">
        <f>IF(D2148="","",VLOOKUP(D2148,契約台帳!$A$3:$K$4986,6,FALSE)&amp;VLOOKUP(D2148,契約台帳!$A$3:$K$4986,7,FALSE)&amp;VLOOKUP(D2148,契約台帳!$A$3:$K$4986,8,FALSE)&amp;VLOOKUP(D2148,契約台帳!$A$3:$K$4986,9,FALSE)&amp;VLOOKUP(D2148,契約台帳!$A$3:$K$4986,11,FALSE))</f>
        <v>3SNMLBMNGTBF</v>
      </c>
      <c r="G2148" s="269" t="str">
        <f>IF(D2148="","",VLOOKUP(F2148,製品マスタ!$G$5:$H$5002,2,FALSE))</f>
        <v>S</v>
      </c>
      <c r="H2148" s="269" t="str">
        <f>IF(D2148="","",VLOOKUP(F2148,製品マスタ!$G$5:$K$5002,5,FALSE))</f>
        <v>MNGTBF</v>
      </c>
      <c r="I2148" s="270" t="str">
        <f>IF(D2148="","",VLOOKUP(F2148,製品マスタ!$G$5:$L$5002,6,FALSE))</f>
        <v>メタルミー　ネーマー　銀艶　Ｂ</v>
      </c>
      <c r="J2148" s="32" t="s">
        <v>447</v>
      </c>
      <c r="K2148" s="270">
        <f>IF(D2148="","",VLOOKUP(D2148,契約台帳!$A$3:$L$4986,12,FALSE))</f>
        <v>25</v>
      </c>
      <c r="L2148" s="270" t="str">
        <f>IF(D2148="","",INDEX(製品マスタ!$Q$5:$Q$5002,MATCH(F2148&amp;K2148,製品マスタ!$AO$5:$AO$5002,0)))</f>
        <v>T62M</v>
      </c>
      <c r="M2148" s="39">
        <v>1005</v>
      </c>
      <c r="N2148" s="39">
        <v>12100</v>
      </c>
      <c r="O2148" s="47">
        <v>7</v>
      </c>
      <c r="P2148" s="57"/>
      <c r="Q2148" s="276">
        <f>IF(D2148="","",IF(J2148="リード付け",M2148,VLOOKUP(D2148,契約台帳!$A$3:$N$4986,14,FALSE)))</f>
        <v>1005</v>
      </c>
      <c r="R2148" s="277">
        <f>IF(D2148="","",IF(J2148="リード付け",M2148,VLOOKUP(D2148,契約台帳!$A$3:$O$4986,15,FALSE)))</f>
        <v>1000</v>
      </c>
      <c r="S2148" s="277">
        <f>IF(D2148="","",IF(J2148="リード付け",N2148,VLOOKUP(D2148,契約台帳!$A$3:$P$4986,16,FALSE)))</f>
        <v>4000</v>
      </c>
      <c r="T2148" s="40">
        <v>21</v>
      </c>
      <c r="U2148" s="278">
        <f ca="1">IF(D2148="","",IF(OFFSET(D2148,-2,0)=D2148,"",VLOOKUP(D2148,契約台帳!$A$3:$R$4986,18,FALSE)))</f>
        <v>21</v>
      </c>
      <c r="V2148" s="269" t="str">
        <f>IF(J2148="巻返し",VLOOKUP(F2148&amp;K2148&amp;M2148,製品マスタ!$M$5:$AD$5002,18,FALSE),IF(J2148="リード付け","原反コア",IF(J2148="スリット",VLOOKUP(F2148&amp;K2148&amp;Q2148,製品マスタ!$N$5:$AD$5002,17,FALSE),"")))</f>
        <v>6ｲﾝﾁSｺｱ</v>
      </c>
      <c r="W2148" s="269">
        <f>IF(J2148="巻返し",VLOOKUP(F2148&amp;K2148&amp;M2148,製品マスタ!$M$5:$AE$5002,19,FALSE),IF(J2148="リード付け","-",IF(J2148="スリット",VLOOKUP(F2148&amp;K2148&amp;Q2148,製品マスタ!$N$5:$AE$5002,18,FALSE),"")))</f>
        <v>1015</v>
      </c>
      <c r="X2148" s="275">
        <f>IF(D2148="","",VLOOKUP(D2148,契約台帳!$A$3:$Q$4986,17,FALSE))</f>
        <v>2</v>
      </c>
      <c r="Y2148" s="269" t="str">
        <f>IF(D2148="","",VLOOKUP(D2148,契約台帳!$A$3:$E$4986,5,FALSE))</f>
        <v>リンテック㈱</v>
      </c>
      <c r="Z2148" s="357"/>
      <c r="AA2148" s="207">
        <f>IFERROR(VLOOKUP(F2148&amp;K2148&amp;M2148,製品マスタ!$M$5:$AM$5002,27,FALSE),"")</f>
        <v>0</v>
      </c>
      <c r="AB2148" s="369"/>
      <c r="AC2148" s="370"/>
      <c r="AD2148" s="332" t="str">
        <f>IF(F2148="","",+F2148&amp;K2148)</f>
        <v>3SNMLBMNGTBF25</v>
      </c>
      <c r="AE2148" s="216">
        <f>+M2148*N2148*O2148/1000</f>
        <v>85123.5</v>
      </c>
      <c r="AF2148" s="43">
        <f>IF(AD2148="","",VLOOKUP(AD2148,原価マスタ!$A$2:$AJ$1693,13,FALSE))</f>
        <v>97.5</v>
      </c>
      <c r="AG2148" s="47">
        <f>IF(AF2148="","",+AE2148*AF2148/100)</f>
        <v>82995.412500000006</v>
      </c>
      <c r="AH2148" s="30"/>
      <c r="AI2148" s="30"/>
      <c r="AJ2148" s="30"/>
      <c r="AK2148" s="30"/>
      <c r="AL2148" s="13"/>
      <c r="AM2148" s="13"/>
      <c r="AN2148" s="13"/>
      <c r="AO2148" s="13"/>
      <c r="AP2148" s="13"/>
      <c r="AQ2148" s="14"/>
      <c r="AR2148" s="15"/>
    </row>
    <row r="2149" spans="1:44" s="17" customFormat="1" ht="30.95" hidden="1" customHeight="1" x14ac:dyDescent="0.2">
      <c r="A2149" s="343"/>
      <c r="B2149" s="344"/>
      <c r="C2149" s="345"/>
      <c r="D2149" s="398"/>
      <c r="E2149" s="31"/>
      <c r="F2149" s="268"/>
      <c r="G2149" s="269"/>
      <c r="H2149" s="269"/>
      <c r="I2149" s="270"/>
      <c r="J2149" s="32"/>
      <c r="K2149" s="270"/>
      <c r="L2149" s="270"/>
      <c r="M2149" s="39"/>
      <c r="N2149" s="39"/>
      <c r="O2149" s="47"/>
      <c r="P2149" s="57"/>
      <c r="Q2149" s="276"/>
      <c r="R2149" s="277"/>
      <c r="S2149" s="277"/>
      <c r="T2149" s="40"/>
      <c r="U2149" s="278"/>
      <c r="V2149" s="269"/>
      <c r="W2149" s="269"/>
      <c r="X2149" s="275"/>
      <c r="Y2149" s="269"/>
      <c r="Z2149" s="357"/>
      <c r="AA2149" s="207"/>
      <c r="AB2149" s="369"/>
      <c r="AC2149" s="370"/>
      <c r="AD2149" s="332"/>
      <c r="AE2149" s="216"/>
      <c r="AF2149" s="43"/>
      <c r="AG2149" s="47"/>
      <c r="AH2149" s="30"/>
      <c r="AI2149" s="30"/>
      <c r="AJ2149" s="30"/>
      <c r="AK2149" s="30"/>
      <c r="AL2149" s="13"/>
      <c r="AM2149" s="13"/>
      <c r="AN2149" s="13"/>
      <c r="AO2149" s="13"/>
      <c r="AP2149" s="13"/>
      <c r="AQ2149" s="14"/>
      <c r="AR2149" s="15"/>
    </row>
    <row r="2150" spans="1:44" s="17" customFormat="1" ht="30.95" hidden="1" customHeight="1" x14ac:dyDescent="0.2">
      <c r="A2150" s="343" t="s">
        <v>650</v>
      </c>
      <c r="B2150" s="344" t="s">
        <v>445</v>
      </c>
      <c r="C2150" s="345"/>
      <c r="D2150" s="398"/>
      <c r="E2150" s="31"/>
      <c r="F2150" s="268"/>
      <c r="G2150" s="269"/>
      <c r="H2150" s="269"/>
      <c r="I2150" s="270"/>
      <c r="J2150" s="32" t="s">
        <v>448</v>
      </c>
      <c r="K2150" s="270"/>
      <c r="L2150" s="270"/>
      <c r="M2150" s="39"/>
      <c r="N2150" s="39"/>
      <c r="O2150" s="47"/>
      <c r="P2150" s="57"/>
      <c r="Q2150" s="276"/>
      <c r="R2150" s="277"/>
      <c r="S2150" s="277"/>
      <c r="T2150" s="40"/>
      <c r="U2150" s="278"/>
      <c r="V2150" s="269"/>
      <c r="W2150" s="269"/>
      <c r="X2150" s="275"/>
      <c r="Y2150" s="269"/>
      <c r="Z2150" s="357"/>
      <c r="AA2150" s="207"/>
      <c r="AB2150" s="369"/>
      <c r="AC2150" s="370"/>
      <c r="AD2150" s="332"/>
      <c r="AE2150" s="216"/>
      <c r="AF2150" s="43"/>
      <c r="AG2150" s="47"/>
      <c r="AH2150" s="30"/>
      <c r="AI2150" s="30"/>
      <c r="AJ2150" s="30"/>
      <c r="AK2150" s="30"/>
      <c r="AL2150" s="13"/>
      <c r="AM2150" s="13"/>
      <c r="AN2150" s="13"/>
      <c r="AO2150" s="13"/>
      <c r="AP2150" s="13"/>
      <c r="AQ2150" s="14"/>
      <c r="AR2150" s="15"/>
    </row>
    <row r="2151" spans="1:44" s="17" customFormat="1" ht="30.95" hidden="1" customHeight="1" x14ac:dyDescent="0.2">
      <c r="A2151" s="343"/>
      <c r="B2151" s="344"/>
      <c r="C2151" s="345"/>
      <c r="D2151" s="398"/>
      <c r="E2151" s="31"/>
      <c r="F2151" s="268"/>
      <c r="G2151" s="269"/>
      <c r="H2151" s="269"/>
      <c r="I2151" s="270"/>
      <c r="J2151" s="32"/>
      <c r="K2151" s="270"/>
      <c r="L2151" s="270"/>
      <c r="M2151" s="39"/>
      <c r="N2151" s="39"/>
      <c r="O2151" s="47"/>
      <c r="P2151" s="57"/>
      <c r="Q2151" s="276"/>
      <c r="R2151" s="277"/>
      <c r="S2151" s="277"/>
      <c r="T2151" s="40"/>
      <c r="U2151" s="278"/>
      <c r="V2151" s="269"/>
      <c r="W2151" s="269"/>
      <c r="X2151" s="275"/>
      <c r="Y2151" s="269"/>
      <c r="Z2151" s="357"/>
      <c r="AA2151" s="207"/>
      <c r="AB2151" s="369"/>
      <c r="AC2151" s="370"/>
      <c r="AD2151" s="332"/>
      <c r="AE2151" s="216"/>
      <c r="AF2151" s="43"/>
      <c r="AG2151" s="47"/>
      <c r="AH2151" s="30"/>
      <c r="AI2151" s="30"/>
      <c r="AJ2151" s="30"/>
      <c r="AK2151" s="30"/>
      <c r="AL2151" s="13"/>
      <c r="AM2151" s="13"/>
      <c r="AN2151" s="13"/>
      <c r="AO2151" s="13"/>
      <c r="AP2151" s="13"/>
      <c r="AQ2151" s="14"/>
      <c r="AR2151" s="15"/>
    </row>
    <row r="2152" spans="1:44" s="17" customFormat="1" ht="30.95" hidden="1" customHeight="1" x14ac:dyDescent="0.2">
      <c r="A2152" s="343" t="s">
        <v>651</v>
      </c>
      <c r="B2152" s="344" t="s">
        <v>446</v>
      </c>
      <c r="C2152" s="345"/>
      <c r="D2152" s="398"/>
      <c r="E2152" s="31"/>
      <c r="F2152" s="268"/>
      <c r="G2152" s="269"/>
      <c r="H2152" s="269"/>
      <c r="I2152" s="270"/>
      <c r="J2152" s="32" t="s">
        <v>448</v>
      </c>
      <c r="K2152" s="270"/>
      <c r="L2152" s="270"/>
      <c r="M2152" s="39"/>
      <c r="N2152" s="39"/>
      <c r="O2152" s="47"/>
      <c r="P2152" s="57"/>
      <c r="Q2152" s="276"/>
      <c r="R2152" s="277"/>
      <c r="S2152" s="277"/>
      <c r="T2152" s="40"/>
      <c r="U2152" s="278"/>
      <c r="V2152" s="269"/>
      <c r="W2152" s="269"/>
      <c r="X2152" s="275"/>
      <c r="Y2152" s="269"/>
      <c r="Z2152" s="357"/>
      <c r="AA2152" s="207"/>
      <c r="AB2152" s="369"/>
      <c r="AC2152" s="370"/>
      <c r="AD2152" s="332"/>
      <c r="AE2152" s="216"/>
      <c r="AF2152" s="43"/>
      <c r="AG2152" s="47"/>
      <c r="AH2152" s="30"/>
      <c r="AI2152" s="30"/>
      <c r="AJ2152" s="30"/>
      <c r="AK2152" s="30"/>
      <c r="AL2152" s="13"/>
      <c r="AM2152" s="13"/>
      <c r="AN2152" s="13"/>
      <c r="AO2152" s="13"/>
      <c r="AP2152" s="13"/>
      <c r="AQ2152" s="14"/>
      <c r="AR2152" s="15"/>
    </row>
    <row r="2153" spans="1:44" s="17" customFormat="1" ht="30.95" hidden="1" customHeight="1" x14ac:dyDescent="0.2">
      <c r="A2153" s="343"/>
      <c r="B2153" s="344"/>
      <c r="C2153" s="345"/>
      <c r="D2153" s="398"/>
      <c r="E2153" s="31"/>
      <c r="F2153" s="268"/>
      <c r="G2153" s="269"/>
      <c r="H2153" s="269"/>
      <c r="I2153" s="270"/>
      <c r="J2153" s="32"/>
      <c r="K2153" s="270"/>
      <c r="L2153" s="270"/>
      <c r="M2153" s="39"/>
      <c r="N2153" s="39"/>
      <c r="O2153" s="47"/>
      <c r="P2153" s="57"/>
      <c r="Q2153" s="276"/>
      <c r="R2153" s="277"/>
      <c r="S2153" s="277"/>
      <c r="T2153" s="40"/>
      <c r="U2153" s="278"/>
      <c r="V2153" s="269"/>
      <c r="W2153" s="269"/>
      <c r="X2153" s="275"/>
      <c r="Y2153" s="269"/>
      <c r="Z2153" s="357"/>
      <c r="AA2153" s="207"/>
      <c r="AB2153" s="369"/>
      <c r="AC2153" s="370"/>
      <c r="AD2153" s="332"/>
      <c r="AE2153" s="216"/>
      <c r="AF2153" s="43"/>
      <c r="AG2153" s="47"/>
      <c r="AH2153" s="30"/>
      <c r="AI2153" s="30"/>
      <c r="AJ2153" s="30"/>
      <c r="AK2153" s="30"/>
      <c r="AL2153" s="13"/>
      <c r="AM2153" s="13"/>
      <c r="AN2153" s="13"/>
      <c r="AO2153" s="13"/>
      <c r="AP2153" s="13"/>
      <c r="AQ2153" s="14"/>
      <c r="AR2153" s="15"/>
    </row>
    <row r="2154" spans="1:44" s="17" customFormat="1" ht="30.6" hidden="1" customHeight="1" x14ac:dyDescent="0.2">
      <c r="A2154" s="320" t="s">
        <v>3357</v>
      </c>
      <c r="B2154" s="321" t="s">
        <v>462</v>
      </c>
      <c r="C2154" s="345"/>
      <c r="D2154" s="398">
        <v>3784730</v>
      </c>
      <c r="E2154" s="31">
        <v>4156826</v>
      </c>
      <c r="F2154" s="268" t="str">
        <f>IF(D2154="","",VLOOKUP(D2154,契約台帳!$A$3:$K$4986,6,FALSE)&amp;VLOOKUP(D2154,契約台帳!$A$3:$K$4986,7,FALSE)&amp;VLOOKUP(D2154,契約台帳!$A$3:$K$4986,8,FALSE)&amp;VLOOKUP(D2154,契約台帳!$A$3:$K$4986,9,FALSE)&amp;VLOOKUP(D2154,契約台帳!$A$3:$K$4986,11,FALSE))</f>
        <v>3TNMLBMTSF</v>
      </c>
      <c r="G2154" s="269" t="str">
        <f>IF(D2154="","",VLOOKUP(F2154,製品マスタ!$G$5:$H$5002,2,FALSE))</f>
        <v>T</v>
      </c>
      <c r="H2154" s="269" t="str">
        <f>IF(D2154="","",VLOOKUP(F2154,製品マスタ!$G$5:$K$5002,5,FALSE))</f>
        <v>MTSF</v>
      </c>
      <c r="I2154" s="270" t="str">
        <f>IF(D2154="","",VLOOKUP(F2154,製品マスタ!$G$5:$L$5002,6,FALSE))</f>
        <v>メタルミー　ＴＳ</v>
      </c>
      <c r="J2154" s="32" t="s">
        <v>447</v>
      </c>
      <c r="K2154" s="270">
        <f>IF(D2154="","",VLOOKUP(D2154,契約台帳!$A$3:$L$4986,12,FALSE))</f>
        <v>50</v>
      </c>
      <c r="L2154" s="270" t="str">
        <f>IF(D2154="","",INDEX(製品マスタ!$Q$5:$Q$5002,MATCH(F2154&amp;K2154,製品マスタ!$AO$5:$AO$5002,0)))</f>
        <v>T62M</v>
      </c>
      <c r="M2154" s="39">
        <v>1255</v>
      </c>
      <c r="N2154" s="39">
        <v>10200</v>
      </c>
      <c r="O2154" s="47">
        <v>1</v>
      </c>
      <c r="P2154" s="57"/>
      <c r="Q2154" s="276">
        <f>IF(D2154="","",IF(J2154="リード付け",M2154,VLOOKUP(D2154,契約台帳!$A$3:$N$4986,14,FALSE)))</f>
        <v>1255</v>
      </c>
      <c r="R2154" s="277">
        <f>IF(D2154="","",IF(J2154="リード付け",M2154,VLOOKUP(D2154,契約台帳!$A$3:$O$4986,15,FALSE)))</f>
        <v>1250</v>
      </c>
      <c r="S2154" s="277">
        <v>3000</v>
      </c>
      <c r="T2154" s="40">
        <v>2</v>
      </c>
      <c r="U2154" s="278">
        <f ca="1">IF(D2154="","",IF(OFFSET(D2154,-2,0)=D2154,"",VLOOKUP(D2154,契約台帳!$A$3:$R$4986,18,FALSE)))</f>
        <v>4</v>
      </c>
      <c r="V2154" s="269" t="s">
        <v>2258</v>
      </c>
      <c r="W2154" s="269">
        <f>IF(J2154="巻返し",VLOOKUP(F2154&amp;K2154&amp;M2154,製品マスタ!$M$5:$AE$5002,19,FALSE),IF(J2154="リード付け","-",IF(J2154="スリット",VLOOKUP(F2154&amp;K2154&amp;Q2154,製品マスタ!$N$5:$AE$5002,18,FALSE),"")))</f>
        <v>1260</v>
      </c>
      <c r="X2154" s="275">
        <f>IF(D2154="","",VLOOKUP(D2154,契約台帳!$A$3:$Q$4986,17,FALSE))</f>
        <v>2</v>
      </c>
      <c r="Y2154" s="269" t="str">
        <f>IF(D2154="","",VLOOKUP(D2154,契約台帳!$A$3:$E$4986,5,FALSE))</f>
        <v>日東電工㈱豊橋工場</v>
      </c>
      <c r="Z2154" s="357"/>
      <c r="AA2154" s="207" t="s">
        <v>3349</v>
      </c>
      <c r="AB2154" s="369"/>
      <c r="AC2154" s="370"/>
      <c r="AD2154" s="332" t="str">
        <f>IF(F2154="","",+F2154&amp;K2154)</f>
        <v>3TNMLBMTSF50</v>
      </c>
      <c r="AE2154" s="216">
        <f>+M2154*N2154*O2154/1000</f>
        <v>12801</v>
      </c>
      <c r="AF2154" s="43">
        <v>96</v>
      </c>
      <c r="AG2154" s="47">
        <f>IF(AF2154="","",+AE2154*AF2154/100)</f>
        <v>12288.96</v>
      </c>
      <c r="AH2154" s="30"/>
      <c r="AI2154" s="30"/>
      <c r="AJ2154" s="30"/>
      <c r="AK2154" s="30"/>
      <c r="AL2154" s="13"/>
      <c r="AM2154" s="13"/>
      <c r="AN2154" s="13"/>
      <c r="AO2154" s="13"/>
      <c r="AP2154" s="13"/>
      <c r="AQ2154" s="14"/>
      <c r="AR2154" s="15"/>
    </row>
    <row r="2155" spans="1:44" s="17" customFormat="1" ht="30.95" hidden="1" customHeight="1" x14ac:dyDescent="0.2">
      <c r="A2155" s="343"/>
      <c r="B2155" s="344"/>
      <c r="C2155" s="345"/>
      <c r="D2155" s="398"/>
      <c r="E2155" s="31"/>
      <c r="F2155" s="268"/>
      <c r="G2155" s="269"/>
      <c r="H2155" s="269"/>
      <c r="I2155" s="270"/>
      <c r="J2155" s="32"/>
      <c r="K2155" s="270"/>
      <c r="L2155" s="270"/>
      <c r="M2155" s="39"/>
      <c r="N2155" s="39"/>
      <c r="O2155" s="47"/>
      <c r="P2155" s="57"/>
      <c r="Q2155" s="276">
        <v>1255</v>
      </c>
      <c r="R2155" s="277">
        <v>1250</v>
      </c>
      <c r="S2155" s="277">
        <v>2000</v>
      </c>
      <c r="T2155" s="40">
        <v>2</v>
      </c>
      <c r="U2155" s="278"/>
      <c r="V2155" s="269" t="s">
        <v>903</v>
      </c>
      <c r="W2155" s="269"/>
      <c r="X2155" s="275"/>
      <c r="Y2155" s="269"/>
      <c r="Z2155" s="357"/>
      <c r="AA2155" s="207"/>
      <c r="AB2155" s="369"/>
      <c r="AC2155" s="370"/>
      <c r="AD2155" s="332"/>
      <c r="AE2155" s="216"/>
      <c r="AF2155" s="43"/>
      <c r="AG2155" s="47"/>
      <c r="AH2155" s="30"/>
      <c r="AI2155" s="30"/>
      <c r="AJ2155" s="30"/>
      <c r="AK2155" s="30"/>
      <c r="AL2155" s="13"/>
      <c r="AM2155" s="13"/>
      <c r="AN2155" s="13"/>
      <c r="AO2155" s="13"/>
      <c r="AP2155" s="13"/>
      <c r="AQ2155" s="14"/>
      <c r="AR2155" s="15"/>
    </row>
    <row r="2156" spans="1:44" s="17" customFormat="1" ht="30.95" hidden="1" customHeight="1" x14ac:dyDescent="0.2">
      <c r="A2156" s="343"/>
      <c r="B2156" s="344"/>
      <c r="C2156" s="345"/>
      <c r="D2156" s="398"/>
      <c r="E2156" s="31"/>
      <c r="F2156" s="268"/>
      <c r="G2156" s="269"/>
      <c r="H2156" s="269"/>
      <c r="I2156" s="270"/>
      <c r="J2156" s="32"/>
      <c r="K2156" s="270"/>
      <c r="L2156" s="270"/>
      <c r="M2156" s="39"/>
      <c r="N2156" s="39"/>
      <c r="O2156" s="47"/>
      <c r="P2156" s="57"/>
      <c r="Q2156" s="276"/>
      <c r="R2156" s="277"/>
      <c r="S2156" s="277"/>
      <c r="T2156" s="40"/>
      <c r="U2156" s="278"/>
      <c r="V2156" s="269"/>
      <c r="W2156" s="269"/>
      <c r="X2156" s="275"/>
      <c r="Y2156" s="269"/>
      <c r="Z2156" s="357"/>
      <c r="AA2156" s="207"/>
      <c r="AB2156" s="369"/>
      <c r="AC2156" s="370"/>
      <c r="AD2156" s="332"/>
      <c r="AE2156" s="216"/>
      <c r="AF2156" s="43"/>
      <c r="AG2156" s="47"/>
      <c r="AH2156" s="30"/>
      <c r="AI2156" s="30"/>
      <c r="AJ2156" s="30"/>
      <c r="AK2156" s="30"/>
      <c r="AL2156" s="13"/>
      <c r="AM2156" s="13"/>
      <c r="AN2156" s="13"/>
      <c r="AO2156" s="13"/>
      <c r="AP2156" s="13"/>
      <c r="AQ2156" s="14"/>
      <c r="AR2156" s="15"/>
    </row>
    <row r="2157" spans="1:44" s="17" customFormat="1" ht="30.95" hidden="1" customHeight="1" x14ac:dyDescent="0.2">
      <c r="A2157" s="343" t="s">
        <v>3358</v>
      </c>
      <c r="B2157" s="344" t="s">
        <v>3359</v>
      </c>
      <c r="C2157" s="345"/>
      <c r="D2157" s="398"/>
      <c r="E2157" s="31"/>
      <c r="F2157" s="268"/>
      <c r="G2157" s="269"/>
      <c r="H2157" s="269"/>
      <c r="I2157" s="270"/>
      <c r="J2157" s="32"/>
      <c r="K2157" s="270"/>
      <c r="L2157" s="270"/>
      <c r="M2157" s="39"/>
      <c r="N2157" s="39"/>
      <c r="O2157" s="47"/>
      <c r="P2157" s="57"/>
      <c r="Q2157" s="276"/>
      <c r="R2157" s="277"/>
      <c r="S2157" s="277"/>
      <c r="T2157" s="40"/>
      <c r="U2157" s="278"/>
      <c r="V2157" s="269"/>
      <c r="W2157" s="269"/>
      <c r="X2157" s="275"/>
      <c r="Y2157" s="269"/>
      <c r="Z2157" s="357"/>
      <c r="AA2157" s="207"/>
      <c r="AB2157" s="369"/>
      <c r="AC2157" s="370"/>
      <c r="AD2157" s="332"/>
      <c r="AE2157" s="216"/>
      <c r="AF2157" s="43"/>
      <c r="AG2157" s="47"/>
      <c r="AH2157" s="30"/>
      <c r="AI2157" s="30"/>
      <c r="AJ2157" s="30"/>
      <c r="AK2157" s="30"/>
      <c r="AL2157" s="13"/>
      <c r="AM2157" s="13"/>
      <c r="AN2157" s="13"/>
      <c r="AO2157" s="13"/>
      <c r="AP2157" s="13"/>
      <c r="AQ2157" s="14"/>
      <c r="AR2157" s="15"/>
    </row>
    <row r="2158" spans="1:44" s="17" customFormat="1" ht="30.95" hidden="1" customHeight="1" x14ac:dyDescent="0.2">
      <c r="A2158" s="343"/>
      <c r="B2158" s="344"/>
      <c r="C2158" s="345"/>
      <c r="D2158" s="398"/>
      <c r="E2158" s="31"/>
      <c r="F2158" s="268"/>
      <c r="G2158" s="269"/>
      <c r="H2158" s="269"/>
      <c r="I2158" s="270"/>
      <c r="J2158" s="32"/>
      <c r="K2158" s="270"/>
      <c r="L2158" s="270"/>
      <c r="M2158" s="39"/>
      <c r="N2158" s="39"/>
      <c r="O2158" s="47"/>
      <c r="P2158" s="57"/>
      <c r="Q2158" s="276"/>
      <c r="R2158" s="277"/>
      <c r="S2158" s="277"/>
      <c r="T2158" s="40"/>
      <c r="U2158" s="278"/>
      <c r="V2158" s="269"/>
      <c r="W2158" s="269"/>
      <c r="X2158" s="275"/>
      <c r="Y2158" s="269"/>
      <c r="Z2158" s="357"/>
      <c r="AA2158" s="207"/>
      <c r="AB2158" s="369"/>
      <c r="AC2158" s="370"/>
      <c r="AD2158" s="332"/>
      <c r="AE2158" s="216"/>
      <c r="AF2158" s="43"/>
      <c r="AG2158" s="47"/>
      <c r="AH2158" s="30"/>
      <c r="AI2158" s="30"/>
      <c r="AJ2158" s="30"/>
      <c r="AK2158" s="30"/>
      <c r="AL2158" s="13"/>
      <c r="AM2158" s="13"/>
      <c r="AN2158" s="13"/>
      <c r="AO2158" s="13"/>
      <c r="AP2158" s="13"/>
      <c r="AQ2158" s="14"/>
      <c r="AR2158" s="15"/>
    </row>
    <row r="2159" spans="1:44" s="17" customFormat="1" ht="30.6" hidden="1" customHeight="1" x14ac:dyDescent="0.2">
      <c r="A2159" s="320" t="s">
        <v>3365</v>
      </c>
      <c r="B2159" s="321" t="s">
        <v>3366</v>
      </c>
      <c r="C2159" s="345"/>
      <c r="D2159" s="398">
        <v>3783810</v>
      </c>
      <c r="E2159" s="31">
        <v>4156907</v>
      </c>
      <c r="F2159" s="268" t="str">
        <f>IF(D2159="","",VLOOKUP(D2159,契約台帳!$A$3:$K$4986,6,FALSE)&amp;VLOOKUP(D2159,契約台帳!$A$3:$K$4986,7,FALSE)&amp;VLOOKUP(D2159,契約台帳!$A$3:$K$4986,8,FALSE)&amp;VLOOKUP(D2159,契約台帳!$A$3:$K$4986,9,FALSE)&amp;VLOOKUP(D2159,契約台帳!$A$3:$K$4986,11,FALSE))</f>
        <v>3SNMLBMNGTBF</v>
      </c>
      <c r="G2159" s="269" t="str">
        <f>IF(D2159="","",VLOOKUP(F2159,製品マスタ!$G$5:$H$5002,2,FALSE))</f>
        <v>S</v>
      </c>
      <c r="H2159" s="269" t="str">
        <f>IF(D2159="","",VLOOKUP(F2159,製品マスタ!$G$5:$K$5002,5,FALSE))</f>
        <v>MNGTBF</v>
      </c>
      <c r="I2159" s="270" t="str">
        <f>IF(D2159="","",VLOOKUP(F2159,製品マスタ!$G$5:$L$5002,6,FALSE))</f>
        <v>メタルミー　ネーマー　銀艶　Ｂ</v>
      </c>
      <c r="J2159" s="32" t="s">
        <v>447</v>
      </c>
      <c r="K2159" s="270">
        <f>IF(D2159="","",VLOOKUP(D2159,契約台帳!$A$3:$L$4986,12,FALSE))</f>
        <v>50</v>
      </c>
      <c r="L2159" s="270" t="str">
        <f>IF(D2159="","",INDEX(製品マスタ!$Q$5:$Q$5002,MATCH(F2159&amp;K2159,製品マスタ!$AO$5:$AO$5002,0)))</f>
        <v>T62</v>
      </c>
      <c r="M2159" s="39">
        <v>1120</v>
      </c>
      <c r="N2159" s="39">
        <v>10000</v>
      </c>
      <c r="O2159" s="47">
        <v>4</v>
      </c>
      <c r="P2159" s="57"/>
      <c r="Q2159" s="276">
        <f>IF(D2159="","",IF(J2159="リード付け",M2159,VLOOKUP(D2159,契約台帳!$A$3:$N$4986,14,FALSE)))</f>
        <v>1120</v>
      </c>
      <c r="R2159" s="277">
        <f>IF(D2159="","",IF(J2159="リード付け",M2159,VLOOKUP(D2159,契約台帳!$A$3:$O$4986,15,FALSE)))</f>
        <v>1120</v>
      </c>
      <c r="S2159" s="277">
        <f>IF(D2159="","",IF(J2159="リード付け",N2159,VLOOKUP(D2159,契約台帳!$A$3:$P$4986,16,FALSE)))</f>
        <v>5000</v>
      </c>
      <c r="T2159" s="40">
        <v>8</v>
      </c>
      <c r="U2159" s="278">
        <f ca="1">IF(D2159="","",IF(OFFSET(D2159,-2,0)=D2159,"",VLOOKUP(D2159,契約台帳!$A$3:$R$4986,18,FALSE)))</f>
        <v>48</v>
      </c>
      <c r="V2159" s="269" t="str">
        <f>IF(J2159="巻返し",VLOOKUP(F2159&amp;K2159&amp;M2159,製品マスタ!$M$5:$AD$5002,18,FALSE),IF(J2159="リード付け","原反コア",IF(J2159="スリット",VLOOKUP(F2159&amp;K2159&amp;Q2159,製品マスタ!$N$5:$AD$5002,17,FALSE),"")))</f>
        <v>6ｲﾝﾁSｺｱ</v>
      </c>
      <c r="W2159" s="269">
        <f>IF(J2159="巻返し",VLOOKUP(F2159&amp;K2159&amp;M2159,製品マスタ!$M$5:$AE$5002,19,FALSE),IF(J2159="リード付け","-",IF(J2159="スリット",VLOOKUP(F2159&amp;K2159&amp;Q2159,製品マスタ!$N$5:$AE$5002,18,FALSE),"")))</f>
        <v>1125</v>
      </c>
      <c r="X2159" s="275">
        <f>IF(D2159="","",VLOOKUP(D2159,契約台帳!$A$3:$Q$4986,17,FALSE))</f>
        <v>2</v>
      </c>
      <c r="Y2159" s="269" t="str">
        <f>IF(D2159="","",VLOOKUP(D2159,契約台帳!$A$3:$E$4986,5,FALSE))</f>
        <v>リンテック㈱</v>
      </c>
      <c r="Z2159" s="357"/>
      <c r="AA2159" s="207" t="str">
        <f>IFERROR(VLOOKUP(F2159&amp;K2159&amp;M2159,製品マスタ!$M$5:$AM$5002,27,FALSE),"")</f>
        <v>原反ケース再利用</v>
      </c>
      <c r="AB2159" s="369"/>
      <c r="AC2159" s="370"/>
      <c r="AD2159" s="332" t="str">
        <f>IF(F2159="","",+F2159&amp;K2159)</f>
        <v>3SNMLBMNGTBF50</v>
      </c>
      <c r="AE2159" s="216">
        <f>+M2159*N2159*O2159/1000</f>
        <v>44800</v>
      </c>
      <c r="AF2159" s="43">
        <f>IF(AD2159="","",VLOOKUP(AD2159,原価マスタ!$A$2:$AJ$1693,13,FALSE))</f>
        <v>99</v>
      </c>
      <c r="AG2159" s="47">
        <f>IF(AF2159="","",+AE2159*AF2159/100)</f>
        <v>44352</v>
      </c>
      <c r="AH2159" s="30"/>
      <c r="AI2159" s="30"/>
      <c r="AJ2159" s="30"/>
      <c r="AK2159" s="30"/>
      <c r="AL2159" s="13"/>
      <c r="AM2159" s="13"/>
      <c r="AN2159" s="13"/>
      <c r="AO2159" s="13"/>
      <c r="AP2159" s="13"/>
      <c r="AQ2159" s="14"/>
      <c r="AR2159" s="15"/>
    </row>
    <row r="2160" spans="1:44" s="17" customFormat="1" ht="30.95" hidden="1" customHeight="1" x14ac:dyDescent="0.2">
      <c r="A2160" s="343"/>
      <c r="B2160" s="344"/>
      <c r="C2160" s="345"/>
      <c r="D2160" s="398"/>
      <c r="E2160" s="31"/>
      <c r="F2160" s="268"/>
      <c r="G2160" s="269"/>
      <c r="H2160" s="269"/>
      <c r="I2160" s="270"/>
      <c r="J2160" s="32"/>
      <c r="K2160" s="270"/>
      <c r="L2160" s="270"/>
      <c r="M2160" s="39"/>
      <c r="N2160" s="39"/>
      <c r="O2160" s="47"/>
      <c r="P2160" s="57"/>
      <c r="Q2160" s="276"/>
      <c r="R2160" s="277"/>
      <c r="S2160" s="277"/>
      <c r="T2160" s="40"/>
      <c r="U2160" s="278"/>
      <c r="V2160" s="269"/>
      <c r="W2160" s="269"/>
      <c r="X2160" s="275"/>
      <c r="Y2160" s="269"/>
      <c r="Z2160" s="357"/>
      <c r="AA2160" s="207"/>
      <c r="AB2160" s="369"/>
      <c r="AC2160" s="370"/>
      <c r="AD2160" s="332"/>
      <c r="AE2160" s="216"/>
      <c r="AF2160" s="43"/>
      <c r="AG2160" s="47"/>
      <c r="AH2160" s="30"/>
      <c r="AI2160" s="30"/>
      <c r="AJ2160" s="30"/>
      <c r="AK2160" s="30"/>
      <c r="AL2160" s="13"/>
      <c r="AM2160" s="13"/>
      <c r="AN2160" s="13"/>
      <c r="AO2160" s="13"/>
      <c r="AP2160" s="13"/>
      <c r="AQ2160" s="14"/>
      <c r="AR2160" s="15"/>
    </row>
    <row r="2161" spans="1:44" s="17" customFormat="1" ht="30.6" hidden="1" customHeight="1" x14ac:dyDescent="0.2">
      <c r="A2161" s="320" t="s">
        <v>3367</v>
      </c>
      <c r="B2161" s="321" t="s">
        <v>3368</v>
      </c>
      <c r="C2161" s="345"/>
      <c r="D2161" s="398">
        <v>3783810</v>
      </c>
      <c r="E2161" s="31">
        <v>4156907</v>
      </c>
      <c r="F2161" s="268" t="str">
        <f>IF(D2161="","",VLOOKUP(D2161,契約台帳!$A$3:$K$4986,6,FALSE)&amp;VLOOKUP(D2161,契約台帳!$A$3:$K$4986,7,FALSE)&amp;VLOOKUP(D2161,契約台帳!$A$3:$K$4986,8,FALSE)&amp;VLOOKUP(D2161,契約台帳!$A$3:$K$4986,9,FALSE)&amp;VLOOKUP(D2161,契約台帳!$A$3:$K$4986,11,FALSE))</f>
        <v>3SNMLBMNGTBF</v>
      </c>
      <c r="G2161" s="269" t="str">
        <f>IF(D2161="","",VLOOKUP(F2161,製品マスタ!$G$5:$H$5002,2,FALSE))</f>
        <v>S</v>
      </c>
      <c r="H2161" s="269" t="str">
        <f>IF(D2161="","",VLOOKUP(F2161,製品マスタ!$G$5:$K$5002,5,FALSE))</f>
        <v>MNGTBF</v>
      </c>
      <c r="I2161" s="270" t="str">
        <f>IF(D2161="","",VLOOKUP(F2161,製品マスタ!$G$5:$L$5002,6,FALSE))</f>
        <v>メタルミー　ネーマー　銀艶　Ｂ</v>
      </c>
      <c r="J2161" s="32" t="s">
        <v>447</v>
      </c>
      <c r="K2161" s="270">
        <f>IF(D2161="","",VLOOKUP(D2161,契約台帳!$A$3:$L$4986,12,FALSE))</f>
        <v>50</v>
      </c>
      <c r="L2161" s="270" t="str">
        <f>IF(D2161="","",INDEX(製品マスタ!$Q$5:$Q$5002,MATCH(F2161&amp;K2161,製品マスタ!$AO$5:$AO$5002,0)))</f>
        <v>T62</v>
      </c>
      <c r="M2161" s="39">
        <v>1120</v>
      </c>
      <c r="N2161" s="39">
        <v>8000</v>
      </c>
      <c r="O2161" s="47">
        <v>6</v>
      </c>
      <c r="P2161" s="57"/>
      <c r="Q2161" s="276">
        <f>IF(D2161="","",IF(J2161="リード付け",M2161,VLOOKUP(D2161,契約台帳!$A$3:$N$4986,14,FALSE)))</f>
        <v>1120</v>
      </c>
      <c r="R2161" s="277">
        <f>IF(D2161="","",IF(J2161="リード付け",M2161,VLOOKUP(D2161,契約台帳!$A$3:$O$4986,15,FALSE)))</f>
        <v>1120</v>
      </c>
      <c r="S2161" s="277">
        <v>4000</v>
      </c>
      <c r="T2161" s="40">
        <v>12</v>
      </c>
      <c r="U2161" s="278" t="str">
        <f ca="1">IF(D2161="","",IF(OFFSET(D2161,-2,0)=D2161,"",VLOOKUP(D2161,契約台帳!$A$3:$R$4986,18,FALSE)))</f>
        <v/>
      </c>
      <c r="V2161" s="269" t="str">
        <f>IF(J2161="巻返し",VLOOKUP(F2161&amp;K2161&amp;M2161,製品マスタ!$M$5:$AD$5002,18,FALSE),IF(J2161="リード付け","原反コア",IF(J2161="スリット",VLOOKUP(F2161&amp;K2161&amp;Q2161,製品マスタ!$N$5:$AD$5002,17,FALSE),"")))</f>
        <v>6ｲﾝﾁSｺｱ</v>
      </c>
      <c r="W2161" s="269">
        <f>IF(J2161="巻返し",VLOOKUP(F2161&amp;K2161&amp;M2161,製品マスタ!$M$5:$AE$5002,19,FALSE),IF(J2161="リード付け","-",IF(J2161="スリット",VLOOKUP(F2161&amp;K2161&amp;Q2161,製品マスタ!$N$5:$AE$5002,18,FALSE),"")))</f>
        <v>1125</v>
      </c>
      <c r="X2161" s="275">
        <f>IF(D2161="","",VLOOKUP(D2161,契約台帳!$A$3:$Q$4986,17,FALSE))</f>
        <v>2</v>
      </c>
      <c r="Y2161" s="269" t="str">
        <f>IF(D2161="","",VLOOKUP(D2161,契約台帳!$A$3:$E$4986,5,FALSE))</f>
        <v>リンテック㈱</v>
      </c>
      <c r="Z2161" s="357"/>
      <c r="AA2161" s="207" t="str">
        <f>IFERROR(VLOOKUP(F2161&amp;K2161&amp;M2161,製品マスタ!$M$5:$AM$5002,27,FALSE),"")</f>
        <v>原反ケース再利用</v>
      </c>
      <c r="AB2161" s="369"/>
      <c r="AC2161" s="370"/>
      <c r="AD2161" s="332" t="str">
        <f>IF(F2161="","",+F2161&amp;K2161)</f>
        <v>3SNMLBMNGTBF50</v>
      </c>
      <c r="AE2161" s="216">
        <f>+M2161*N2161*O2161/1000</f>
        <v>53760</v>
      </c>
      <c r="AF2161" s="43">
        <f>IF(AD2161="","",VLOOKUP(AD2161,原価マスタ!$A$2:$AJ$1693,13,FALSE))</f>
        <v>99</v>
      </c>
      <c r="AG2161" s="47">
        <f>IF(AF2161="","",+AE2161*AF2161/100)</f>
        <v>53222.400000000001</v>
      </c>
      <c r="AH2161" s="30"/>
      <c r="AI2161" s="30"/>
      <c r="AJ2161" s="30"/>
      <c r="AK2161" s="30"/>
      <c r="AL2161" s="13"/>
      <c r="AM2161" s="13"/>
      <c r="AN2161" s="13"/>
      <c r="AO2161" s="13"/>
      <c r="AP2161" s="13"/>
      <c r="AQ2161" s="14"/>
      <c r="AR2161" s="15"/>
    </row>
    <row r="2162" spans="1:44" s="17" customFormat="1" ht="30.95" hidden="1" customHeight="1" x14ac:dyDescent="0.2">
      <c r="A2162" s="343"/>
      <c r="B2162" s="344"/>
      <c r="C2162" s="345"/>
      <c r="D2162" s="398"/>
      <c r="E2162" s="31"/>
      <c r="F2162" s="268"/>
      <c r="G2162" s="269"/>
      <c r="H2162" s="269"/>
      <c r="I2162" s="270"/>
      <c r="J2162" s="32"/>
      <c r="K2162" s="270"/>
      <c r="L2162" s="270"/>
      <c r="M2162" s="39"/>
      <c r="N2162" s="39"/>
      <c r="O2162" s="47"/>
      <c r="P2162" s="57"/>
      <c r="Q2162" s="276"/>
      <c r="R2162" s="277"/>
      <c r="S2162" s="277"/>
      <c r="T2162" s="40"/>
      <c r="U2162" s="278"/>
      <c r="V2162" s="269"/>
      <c r="W2162" s="269"/>
      <c r="X2162" s="275"/>
      <c r="Y2162" s="269"/>
      <c r="Z2162" s="357"/>
      <c r="AA2162" s="207"/>
      <c r="AB2162" s="369"/>
      <c r="AC2162" s="370"/>
      <c r="AD2162" s="332"/>
      <c r="AE2162" s="216"/>
      <c r="AF2162" s="43"/>
      <c r="AG2162" s="47"/>
      <c r="AH2162" s="30"/>
      <c r="AI2162" s="30"/>
      <c r="AJ2162" s="30"/>
      <c r="AK2162" s="30"/>
      <c r="AL2162" s="13"/>
      <c r="AM2162" s="13"/>
      <c r="AN2162" s="13"/>
      <c r="AO2162" s="13"/>
      <c r="AP2162" s="13"/>
      <c r="AQ2162" s="14"/>
      <c r="AR2162" s="15"/>
    </row>
    <row r="2163" spans="1:44" s="17" customFormat="1" ht="30.6" hidden="1" customHeight="1" x14ac:dyDescent="0.2">
      <c r="A2163" s="320" t="s">
        <v>3369</v>
      </c>
      <c r="B2163" s="321" t="s">
        <v>3364</v>
      </c>
      <c r="C2163" s="345"/>
      <c r="D2163" s="398">
        <v>3783810</v>
      </c>
      <c r="E2163" s="31">
        <v>4156907</v>
      </c>
      <c r="F2163" s="268" t="str">
        <f>IF(D2163="","",VLOOKUP(D2163,契約台帳!$A$3:$K$4986,6,FALSE)&amp;VLOOKUP(D2163,契約台帳!$A$3:$K$4986,7,FALSE)&amp;VLOOKUP(D2163,契約台帳!$A$3:$K$4986,8,FALSE)&amp;VLOOKUP(D2163,契約台帳!$A$3:$K$4986,9,FALSE)&amp;VLOOKUP(D2163,契約台帳!$A$3:$K$4986,11,FALSE))</f>
        <v>3SNMLBMNGTBF</v>
      </c>
      <c r="G2163" s="269" t="str">
        <f>IF(D2163="","",VLOOKUP(F2163,製品マスタ!$G$5:$H$5002,2,FALSE))</f>
        <v>S</v>
      </c>
      <c r="H2163" s="269" t="str">
        <f>IF(D2163="","",VLOOKUP(F2163,製品マスタ!$G$5:$K$5002,5,FALSE))</f>
        <v>MNGTBF</v>
      </c>
      <c r="I2163" s="270" t="str">
        <f>IF(D2163="","",VLOOKUP(F2163,製品マスタ!$G$5:$L$5002,6,FALSE))</f>
        <v>メタルミー　ネーマー　銀艶　Ｂ</v>
      </c>
      <c r="J2163" s="32" t="s">
        <v>447</v>
      </c>
      <c r="K2163" s="270">
        <f>IF(D2163="","",VLOOKUP(D2163,契約台帳!$A$3:$L$4986,12,FALSE))</f>
        <v>50</v>
      </c>
      <c r="L2163" s="270" t="str">
        <f>IF(D2163="","",INDEX(製品マスタ!$Q$5:$Q$5002,MATCH(F2163&amp;K2163,製品マスタ!$AO$5:$AO$5002,0)))</f>
        <v>T62</v>
      </c>
      <c r="M2163" s="39">
        <v>1120</v>
      </c>
      <c r="N2163" s="39">
        <v>8000</v>
      </c>
      <c r="O2163" s="47">
        <v>6</v>
      </c>
      <c r="P2163" s="57"/>
      <c r="Q2163" s="276">
        <f>IF(D2163="","",IF(J2163="リード付け",M2163,VLOOKUP(D2163,契約台帳!$A$3:$N$4986,14,FALSE)))</f>
        <v>1120</v>
      </c>
      <c r="R2163" s="277">
        <f>IF(D2163="","",IF(J2163="リード付け",M2163,VLOOKUP(D2163,契約台帳!$A$3:$O$4986,15,FALSE)))</f>
        <v>1120</v>
      </c>
      <c r="S2163" s="277">
        <v>4000</v>
      </c>
      <c r="T2163" s="40">
        <v>12</v>
      </c>
      <c r="U2163" s="278" t="str">
        <f ca="1">IF(D2163="","",IF(OFFSET(D2163,-2,0)=D2163,"",VLOOKUP(D2163,契約台帳!$A$3:$R$4986,18,FALSE)))</f>
        <v/>
      </c>
      <c r="V2163" s="269" t="str">
        <f>IF(J2163="巻返し",VLOOKUP(F2163&amp;K2163&amp;M2163,製品マスタ!$M$5:$AD$5002,18,FALSE),IF(J2163="リード付け","原反コア",IF(J2163="スリット",VLOOKUP(F2163&amp;K2163&amp;Q2163,製品マスタ!$N$5:$AD$5002,17,FALSE),"")))</f>
        <v>6ｲﾝﾁSｺｱ</v>
      </c>
      <c r="W2163" s="269">
        <f>IF(J2163="巻返し",VLOOKUP(F2163&amp;K2163&amp;M2163,製品マスタ!$M$5:$AE$5002,19,FALSE),IF(J2163="リード付け","-",IF(J2163="スリット",VLOOKUP(F2163&amp;K2163&amp;Q2163,製品マスタ!$N$5:$AE$5002,18,FALSE),"")))</f>
        <v>1125</v>
      </c>
      <c r="X2163" s="275">
        <f>IF(D2163="","",VLOOKUP(D2163,契約台帳!$A$3:$Q$4986,17,FALSE))</f>
        <v>2</v>
      </c>
      <c r="Y2163" s="269" t="str">
        <f>IF(D2163="","",VLOOKUP(D2163,契約台帳!$A$3:$E$4986,5,FALSE))</f>
        <v>リンテック㈱</v>
      </c>
      <c r="Z2163" s="357"/>
      <c r="AA2163" s="207" t="str">
        <f>IFERROR(VLOOKUP(F2163&amp;K2163&amp;M2163,製品マスタ!$M$5:$AM$5002,27,FALSE),"")</f>
        <v>原反ケース再利用</v>
      </c>
      <c r="AB2163" s="369"/>
      <c r="AC2163" s="370"/>
      <c r="AD2163" s="332" t="str">
        <f>IF(F2163="","",+F2163&amp;K2163)</f>
        <v>3SNMLBMNGTBF50</v>
      </c>
      <c r="AE2163" s="216">
        <f>+M2163*N2163*O2163/1000</f>
        <v>53760</v>
      </c>
      <c r="AF2163" s="43">
        <f>IF(AD2163="","",VLOOKUP(AD2163,原価マスタ!$A$2:$AJ$1693,13,FALSE))</f>
        <v>99</v>
      </c>
      <c r="AG2163" s="47">
        <f>IF(AF2163="","",+AE2163*AF2163/100)</f>
        <v>53222.400000000001</v>
      </c>
      <c r="AH2163" s="30"/>
      <c r="AI2163" s="30"/>
      <c r="AJ2163" s="30"/>
      <c r="AK2163" s="30"/>
      <c r="AL2163" s="13"/>
      <c r="AM2163" s="13"/>
      <c r="AN2163" s="13"/>
      <c r="AO2163" s="13"/>
      <c r="AP2163" s="13"/>
      <c r="AQ2163" s="14"/>
      <c r="AR2163" s="15"/>
    </row>
    <row r="2164" spans="1:44" s="17" customFormat="1" ht="30.95" hidden="1" customHeight="1" x14ac:dyDescent="0.2">
      <c r="A2164" s="343"/>
      <c r="B2164" s="344"/>
      <c r="C2164" s="345"/>
      <c r="D2164" s="398"/>
      <c r="E2164" s="31"/>
      <c r="F2164" s="268"/>
      <c r="G2164" s="269"/>
      <c r="H2164" s="269"/>
      <c r="I2164" s="270"/>
      <c r="J2164" s="32"/>
      <c r="K2164" s="270"/>
      <c r="L2164" s="270"/>
      <c r="M2164" s="39"/>
      <c r="N2164" s="39"/>
      <c r="O2164" s="47"/>
      <c r="P2164" s="57"/>
      <c r="Q2164" s="276"/>
      <c r="R2164" s="277"/>
      <c r="S2164" s="277"/>
      <c r="T2164" s="40"/>
      <c r="U2164" s="278"/>
      <c r="V2164" s="269"/>
      <c r="W2164" s="269"/>
      <c r="X2164" s="275"/>
      <c r="Y2164" s="269"/>
      <c r="Z2164" s="357"/>
      <c r="AA2164" s="207"/>
      <c r="AB2164" s="369"/>
      <c r="AC2164" s="370"/>
      <c r="AD2164" s="332"/>
      <c r="AE2164" s="216"/>
      <c r="AF2164" s="43"/>
      <c r="AG2164" s="47"/>
      <c r="AH2164" s="30"/>
      <c r="AI2164" s="30"/>
      <c r="AJ2164" s="30"/>
      <c r="AK2164" s="30"/>
      <c r="AL2164" s="13"/>
      <c r="AM2164" s="13"/>
      <c r="AN2164" s="13"/>
      <c r="AO2164" s="13"/>
      <c r="AP2164" s="13"/>
      <c r="AQ2164" s="14"/>
      <c r="AR2164" s="15"/>
    </row>
    <row r="2165" spans="1:44" s="17" customFormat="1" ht="30.95" hidden="1" customHeight="1" x14ac:dyDescent="0.2">
      <c r="A2165" s="343" t="s">
        <v>656</v>
      </c>
      <c r="B2165" s="344" t="s">
        <v>445</v>
      </c>
      <c r="C2165" s="345"/>
      <c r="D2165" s="398"/>
      <c r="E2165" s="31"/>
      <c r="F2165" s="268"/>
      <c r="G2165" s="269"/>
      <c r="H2165" s="269"/>
      <c r="I2165" s="270"/>
      <c r="J2165" s="32" t="s">
        <v>448</v>
      </c>
      <c r="K2165" s="270"/>
      <c r="L2165" s="270"/>
      <c r="M2165" s="39"/>
      <c r="N2165" s="39"/>
      <c r="O2165" s="47"/>
      <c r="P2165" s="57"/>
      <c r="Q2165" s="276"/>
      <c r="R2165" s="277"/>
      <c r="S2165" s="277"/>
      <c r="T2165" s="40"/>
      <c r="U2165" s="278"/>
      <c r="V2165" s="269"/>
      <c r="W2165" s="269"/>
      <c r="X2165" s="275"/>
      <c r="Y2165" s="269"/>
      <c r="Z2165" s="357"/>
      <c r="AA2165" s="207"/>
      <c r="AB2165" s="369"/>
      <c r="AC2165" s="370"/>
      <c r="AD2165" s="332"/>
      <c r="AE2165" s="216"/>
      <c r="AF2165" s="43"/>
      <c r="AG2165" s="47"/>
      <c r="AH2165" s="30"/>
      <c r="AI2165" s="30"/>
      <c r="AJ2165" s="30"/>
      <c r="AK2165" s="30"/>
      <c r="AL2165" s="13"/>
      <c r="AM2165" s="13"/>
      <c r="AN2165" s="13"/>
      <c r="AO2165" s="13"/>
      <c r="AP2165" s="13"/>
      <c r="AQ2165" s="14"/>
      <c r="AR2165" s="15"/>
    </row>
    <row r="2166" spans="1:44" s="17" customFormat="1" ht="30.95" hidden="1" customHeight="1" x14ac:dyDescent="0.2">
      <c r="A2166" s="343"/>
      <c r="B2166" s="344"/>
      <c r="C2166" s="345"/>
      <c r="D2166" s="398"/>
      <c r="E2166" s="31"/>
      <c r="F2166" s="268"/>
      <c r="G2166" s="269"/>
      <c r="H2166" s="269"/>
      <c r="I2166" s="270"/>
      <c r="J2166" s="32"/>
      <c r="K2166" s="270"/>
      <c r="L2166" s="270"/>
      <c r="M2166" s="39"/>
      <c r="N2166" s="39"/>
      <c r="O2166" s="47"/>
      <c r="P2166" s="57"/>
      <c r="Q2166" s="276"/>
      <c r="R2166" s="277"/>
      <c r="S2166" s="277"/>
      <c r="T2166" s="40"/>
      <c r="U2166" s="278"/>
      <c r="V2166" s="269"/>
      <c r="W2166" s="269"/>
      <c r="X2166" s="275"/>
      <c r="Y2166" s="269"/>
      <c r="Z2166" s="357"/>
      <c r="AA2166" s="207"/>
      <c r="AB2166" s="369"/>
      <c r="AC2166" s="370"/>
      <c r="AD2166" s="332"/>
      <c r="AE2166" s="216"/>
      <c r="AF2166" s="43"/>
      <c r="AG2166" s="47"/>
      <c r="AH2166" s="30"/>
      <c r="AI2166" s="30"/>
      <c r="AJ2166" s="30"/>
      <c r="AK2166" s="30"/>
      <c r="AL2166" s="13"/>
      <c r="AM2166" s="13"/>
      <c r="AN2166" s="13"/>
      <c r="AO2166" s="13"/>
      <c r="AP2166" s="13"/>
      <c r="AQ2166" s="14"/>
      <c r="AR2166" s="15"/>
    </row>
    <row r="2167" spans="1:44" s="17" customFormat="1" ht="30.95" hidden="1" customHeight="1" x14ac:dyDescent="0.2">
      <c r="A2167" s="343" t="s">
        <v>657</v>
      </c>
      <c r="B2167" s="344" t="s">
        <v>446</v>
      </c>
      <c r="C2167" s="345"/>
      <c r="D2167" s="398"/>
      <c r="E2167" s="31"/>
      <c r="F2167" s="268"/>
      <c r="G2167" s="269"/>
      <c r="H2167" s="269"/>
      <c r="I2167" s="270"/>
      <c r="J2167" s="32" t="s">
        <v>448</v>
      </c>
      <c r="K2167" s="270"/>
      <c r="L2167" s="270"/>
      <c r="M2167" s="39"/>
      <c r="N2167" s="39"/>
      <c r="O2167" s="47"/>
      <c r="P2167" s="57"/>
      <c r="Q2167" s="276"/>
      <c r="R2167" s="277"/>
      <c r="S2167" s="277"/>
      <c r="T2167" s="40"/>
      <c r="U2167" s="278"/>
      <c r="V2167" s="269"/>
      <c r="W2167" s="269"/>
      <c r="X2167" s="275"/>
      <c r="Y2167" s="269"/>
      <c r="Z2167" s="357"/>
      <c r="AA2167" s="207"/>
      <c r="AB2167" s="369"/>
      <c r="AC2167" s="370"/>
      <c r="AD2167" s="332"/>
      <c r="AE2167" s="216"/>
      <c r="AF2167" s="43"/>
      <c r="AG2167" s="47"/>
      <c r="AH2167" s="30"/>
      <c r="AI2167" s="30"/>
      <c r="AJ2167" s="30"/>
      <c r="AK2167" s="30"/>
      <c r="AL2167" s="13"/>
      <c r="AM2167" s="13"/>
      <c r="AN2167" s="13"/>
      <c r="AO2167" s="13"/>
      <c r="AP2167" s="13"/>
      <c r="AQ2167" s="14"/>
      <c r="AR2167" s="15"/>
    </row>
    <row r="2168" spans="1:44" s="17" customFormat="1" ht="30.95" hidden="1" customHeight="1" x14ac:dyDescent="0.2">
      <c r="A2168" s="343"/>
      <c r="B2168" s="344"/>
      <c r="C2168" s="345"/>
      <c r="D2168" s="398"/>
      <c r="E2168" s="31"/>
      <c r="F2168" s="268"/>
      <c r="G2168" s="269"/>
      <c r="H2168" s="269"/>
      <c r="I2168" s="270"/>
      <c r="J2168" s="32"/>
      <c r="K2168" s="270"/>
      <c r="L2168" s="270"/>
      <c r="M2168" s="39"/>
      <c r="N2168" s="39"/>
      <c r="O2168" s="47"/>
      <c r="P2168" s="57"/>
      <c r="Q2168" s="276"/>
      <c r="R2168" s="277"/>
      <c r="S2168" s="277"/>
      <c r="T2168" s="40"/>
      <c r="U2168" s="278"/>
      <c r="V2168" s="269"/>
      <c r="W2168" s="269"/>
      <c r="X2168" s="275"/>
      <c r="Y2168" s="269"/>
      <c r="Z2168" s="357"/>
      <c r="AA2168" s="207"/>
      <c r="AB2168" s="369"/>
      <c r="AC2168" s="370"/>
      <c r="AD2168" s="332"/>
      <c r="AE2168" s="216"/>
      <c r="AF2168" s="43"/>
      <c r="AG2168" s="47"/>
      <c r="AH2168" s="30"/>
      <c r="AI2168" s="30"/>
      <c r="AJ2168" s="30"/>
      <c r="AK2168" s="30"/>
      <c r="AL2168" s="13"/>
      <c r="AM2168" s="13"/>
      <c r="AN2168" s="13"/>
      <c r="AO2168" s="13"/>
      <c r="AP2168" s="13"/>
      <c r="AQ2168" s="14"/>
      <c r="AR2168" s="15"/>
    </row>
    <row r="2169" spans="1:44" s="17" customFormat="1" ht="30.6" hidden="1" customHeight="1" x14ac:dyDescent="0.2">
      <c r="A2169" s="320" t="s">
        <v>3370</v>
      </c>
      <c r="B2169" s="321" t="s">
        <v>3371</v>
      </c>
      <c r="C2169" s="345"/>
      <c r="D2169" s="398">
        <v>3783810</v>
      </c>
      <c r="E2169" s="31">
        <v>4156907</v>
      </c>
      <c r="F2169" s="268" t="str">
        <f>IF(D2169="","",VLOOKUP(D2169,契約台帳!$A$3:$K$4986,6,FALSE)&amp;VLOOKUP(D2169,契約台帳!$A$3:$K$4986,7,FALSE)&amp;VLOOKUP(D2169,契約台帳!$A$3:$K$4986,8,FALSE)&amp;VLOOKUP(D2169,契約台帳!$A$3:$K$4986,9,FALSE)&amp;VLOOKUP(D2169,契約台帳!$A$3:$K$4986,11,FALSE))</f>
        <v>3SNMLBMNGTBF</v>
      </c>
      <c r="G2169" s="269" t="str">
        <f>IF(D2169="","",VLOOKUP(F2169,製品マスタ!$G$5:$H$5002,2,FALSE))</f>
        <v>S</v>
      </c>
      <c r="H2169" s="269" t="str">
        <f>IF(D2169="","",VLOOKUP(F2169,製品マスタ!$G$5:$K$5002,5,FALSE))</f>
        <v>MNGTBF</v>
      </c>
      <c r="I2169" s="270" t="str">
        <f>IF(D2169="","",VLOOKUP(F2169,製品マスタ!$G$5:$L$5002,6,FALSE))</f>
        <v>メタルミー　ネーマー　銀艶　Ｂ</v>
      </c>
      <c r="J2169" s="32" t="s">
        <v>447</v>
      </c>
      <c r="K2169" s="270">
        <f>IF(D2169="","",VLOOKUP(D2169,契約台帳!$A$3:$L$4986,12,FALSE))</f>
        <v>50</v>
      </c>
      <c r="L2169" s="270" t="str">
        <f>IF(D2169="","",INDEX(製品マスタ!$Q$5:$Q$5002,MATCH(F2169&amp;K2169,製品マスタ!$AO$5:$AO$5002,0)))</f>
        <v>T62</v>
      </c>
      <c r="M2169" s="39">
        <v>1120</v>
      </c>
      <c r="N2169" s="39">
        <v>8000</v>
      </c>
      <c r="O2169" s="47">
        <v>6</v>
      </c>
      <c r="P2169" s="57"/>
      <c r="Q2169" s="276">
        <f>IF(D2169="","",IF(J2169="リード付け",M2169,VLOOKUP(D2169,契約台帳!$A$3:$N$4986,14,FALSE)))</f>
        <v>1120</v>
      </c>
      <c r="R2169" s="277">
        <f>IF(D2169="","",IF(J2169="リード付け",M2169,VLOOKUP(D2169,契約台帳!$A$3:$O$4986,15,FALSE)))</f>
        <v>1120</v>
      </c>
      <c r="S2169" s="277">
        <v>4000</v>
      </c>
      <c r="T2169" s="40">
        <v>12</v>
      </c>
      <c r="U2169" s="278">
        <f ca="1">IF(D2169="","",IF(OFFSET(D2169,-2,0)=D2169,"",VLOOKUP(D2169,契約台帳!$A$3:$R$4986,18,FALSE)))</f>
        <v>48</v>
      </c>
      <c r="V2169" s="269" t="str">
        <f>IF(J2169="巻返し",VLOOKUP(F2169&amp;K2169&amp;M2169,製品マスタ!$M$5:$AD$5002,18,FALSE),IF(J2169="リード付け","原反コア",IF(J2169="スリット",VLOOKUP(F2169&amp;K2169&amp;Q2169,製品マスタ!$N$5:$AD$5002,17,FALSE),"")))</f>
        <v>6ｲﾝﾁSｺｱ</v>
      </c>
      <c r="W2169" s="269">
        <f>IF(J2169="巻返し",VLOOKUP(F2169&amp;K2169&amp;M2169,製品マスタ!$M$5:$AE$5002,19,FALSE),IF(J2169="リード付け","-",IF(J2169="スリット",VLOOKUP(F2169&amp;K2169&amp;Q2169,製品マスタ!$N$5:$AE$5002,18,FALSE),"")))</f>
        <v>1125</v>
      </c>
      <c r="X2169" s="275">
        <f>IF(D2169="","",VLOOKUP(D2169,契約台帳!$A$3:$Q$4986,17,FALSE))</f>
        <v>2</v>
      </c>
      <c r="Y2169" s="269" t="str">
        <f>IF(D2169="","",VLOOKUP(D2169,契約台帳!$A$3:$E$4986,5,FALSE))</f>
        <v>リンテック㈱</v>
      </c>
      <c r="Z2169" s="357"/>
      <c r="AA2169" s="207" t="str">
        <f>IFERROR(VLOOKUP(F2169&amp;K2169&amp;M2169,製品マスタ!$M$5:$AM$5002,27,FALSE),"")</f>
        <v>原反ケース再利用</v>
      </c>
      <c r="AB2169" s="369"/>
      <c r="AC2169" s="370"/>
      <c r="AD2169" s="332" t="str">
        <f>IF(F2169="","",+F2169&amp;K2169)</f>
        <v>3SNMLBMNGTBF50</v>
      </c>
      <c r="AE2169" s="216">
        <f>+M2169*N2169*O2169/1000</f>
        <v>53760</v>
      </c>
      <c r="AF2169" s="43">
        <f>IF(AD2169="","",VLOOKUP(AD2169,原価マスタ!$A$2:$AJ$1693,13,FALSE))</f>
        <v>99</v>
      </c>
      <c r="AG2169" s="47">
        <f>IF(AF2169="","",+AE2169*AF2169/100)</f>
        <v>53222.400000000001</v>
      </c>
      <c r="AH2169" s="30"/>
      <c r="AI2169" s="30"/>
      <c r="AJ2169" s="30"/>
      <c r="AK2169" s="30"/>
      <c r="AL2169" s="13"/>
      <c r="AM2169" s="13"/>
      <c r="AN2169" s="13"/>
      <c r="AO2169" s="13"/>
      <c r="AP2169" s="13"/>
      <c r="AQ2169" s="14"/>
      <c r="AR2169" s="15"/>
    </row>
    <row r="2170" spans="1:44" s="17" customFormat="1" ht="30.95" hidden="1" customHeight="1" x14ac:dyDescent="0.2">
      <c r="A2170" s="343"/>
      <c r="B2170" s="344"/>
      <c r="C2170" s="345"/>
      <c r="D2170" s="398"/>
      <c r="E2170" s="31"/>
      <c r="F2170" s="268"/>
      <c r="G2170" s="269"/>
      <c r="H2170" s="269"/>
      <c r="I2170" s="270"/>
      <c r="J2170" s="32"/>
      <c r="K2170" s="270"/>
      <c r="L2170" s="270"/>
      <c r="M2170" s="39"/>
      <c r="N2170" s="39"/>
      <c r="O2170" s="47"/>
      <c r="P2170" s="57"/>
      <c r="Q2170" s="276"/>
      <c r="R2170" s="277"/>
      <c r="S2170" s="277"/>
      <c r="T2170" s="40"/>
      <c r="U2170" s="278"/>
      <c r="V2170" s="269"/>
      <c r="W2170" s="269"/>
      <c r="X2170" s="275"/>
      <c r="Y2170" s="269"/>
      <c r="Z2170" s="357"/>
      <c r="AA2170" s="207"/>
      <c r="AB2170" s="369"/>
      <c r="AC2170" s="370"/>
      <c r="AD2170" s="332"/>
      <c r="AE2170" s="216"/>
      <c r="AF2170" s="43"/>
      <c r="AG2170" s="47"/>
      <c r="AH2170" s="30"/>
      <c r="AI2170" s="30"/>
      <c r="AJ2170" s="30"/>
      <c r="AK2170" s="30"/>
      <c r="AL2170" s="13"/>
      <c r="AM2170" s="13"/>
      <c r="AN2170" s="13"/>
      <c r="AO2170" s="13"/>
      <c r="AP2170" s="13"/>
      <c r="AQ2170" s="14"/>
      <c r="AR2170" s="15"/>
    </row>
    <row r="2171" spans="1:44" s="17" customFormat="1" ht="30.6" hidden="1" customHeight="1" x14ac:dyDescent="0.2">
      <c r="A2171" s="320" t="s">
        <v>3384</v>
      </c>
      <c r="B2171" s="321" t="s">
        <v>3385</v>
      </c>
      <c r="C2171" s="345"/>
      <c r="D2171" s="398">
        <v>3783821</v>
      </c>
      <c r="E2171" s="31">
        <v>4156664</v>
      </c>
      <c r="F2171" s="268" t="str">
        <f>IF(D2171="","",VLOOKUP(D2171,契約台帳!$A$3:$K$4986,6,FALSE)&amp;VLOOKUP(D2171,契約台帳!$A$3:$K$4986,7,FALSE)&amp;VLOOKUP(D2171,契約台帳!$A$3:$K$4986,8,FALSE)&amp;VLOOKUP(D2171,契約台帳!$A$3:$K$4986,9,FALSE)&amp;VLOOKUP(D2171,契約台帳!$A$3:$K$4986,11,FALSE))</f>
        <v>3SYMLBMSSMBF</v>
      </c>
      <c r="G2171" s="269" t="str">
        <f>IF(D2171="","",VLOOKUP(F2171,製品マスタ!$G$5:$H$5002,2,FALSE))</f>
        <v>S</v>
      </c>
      <c r="H2171" s="269" t="str">
        <f>IF(D2171="","",VLOOKUP(F2171,製品マスタ!$G$5:$K$5002,5,FALSE))</f>
        <v>MSSMBF</v>
      </c>
      <c r="I2171" s="270" t="str">
        <f>IF(D2171="","",VLOOKUP(F2171,製品マスタ!$G$5:$L$5002,6,FALSE))</f>
        <v>ＭＥＴＡＬＵＭＹ　ＳＩＬＶＥＲ　Ｓ－ＭＡＴＴＥ　Ｓ２８ＭＭ　Ｂ</v>
      </c>
      <c r="J2171" s="32" t="s">
        <v>447</v>
      </c>
      <c r="K2171" s="270">
        <f>IF(D2171="","",VLOOKUP(D2171,契約台帳!$A$3:$L$4986,12,FALSE))</f>
        <v>25</v>
      </c>
      <c r="L2171" s="270" t="str">
        <f>IF(D2171="","",INDEX(製品マスタ!$Q$5:$Q$5002,MATCH(F2171&amp;K2171,製品マスタ!$AO$5:$AO$5002,0)))</f>
        <v>LI-MAT</v>
      </c>
      <c r="M2171" s="39">
        <v>1120</v>
      </c>
      <c r="N2171" s="39">
        <v>16000</v>
      </c>
      <c r="O2171" s="47">
        <v>1</v>
      </c>
      <c r="P2171" s="57"/>
      <c r="Q2171" s="276">
        <f>IF(D2171="","",IF(J2171="リード付け",M2171,VLOOKUP(D2171,契約台帳!$A$3:$N$4986,14,FALSE)))</f>
        <v>1120</v>
      </c>
      <c r="R2171" s="277">
        <f>IF(D2171="","",IF(J2171="リード付け",M2171,VLOOKUP(D2171,契約台帳!$A$3:$O$4986,15,FALSE)))</f>
        <v>1120</v>
      </c>
      <c r="S2171" s="277">
        <f>IF(D2171="","",IF(J2171="リード付け",N2171,VLOOKUP(D2171,契約台帳!$A$3:$P$4986,16,FALSE)))</f>
        <v>8000</v>
      </c>
      <c r="T2171" s="40">
        <v>2</v>
      </c>
      <c r="U2171" s="278">
        <f ca="1">IF(D2171="","",IF(OFFSET(D2171,-2,0)=D2171,"",VLOOKUP(D2171,契約台帳!$A$3:$R$4986,18,FALSE)))</f>
        <v>2</v>
      </c>
      <c r="V2171" s="269" t="str">
        <f>IF(J2171="巻返し",VLOOKUP(F2171&amp;K2171&amp;M2171,製品マスタ!$M$5:$AD$5002,18,FALSE),IF(J2171="リード付け","原反コア",IF(J2171="スリット",VLOOKUP(F2171&amp;K2171&amp;Q2171,製品マスタ!$N$5:$AD$5002,17,FALSE),"")))</f>
        <v>6ｲﾝﾁSｺｱ</v>
      </c>
      <c r="W2171" s="269">
        <f>IF(J2171="巻返し",VLOOKUP(F2171&amp;K2171&amp;M2171,製品マスタ!$M$5:$AE$5002,19,FALSE),IF(J2171="リード付け","-",IF(J2171="スリット",VLOOKUP(F2171&amp;K2171&amp;Q2171,製品マスタ!$N$5:$AE$5002,18,FALSE),"")))</f>
        <v>1125</v>
      </c>
      <c r="X2171" s="275">
        <f>IF(D2171="","",VLOOKUP(D2171,契約台帳!$A$3:$Q$4986,17,FALSE))</f>
        <v>2</v>
      </c>
      <c r="Y2171" s="269" t="str">
        <f>IF(D2171="","",VLOOKUP(D2171,契約台帳!$A$3:$E$4986,5,FALSE))</f>
        <v>リンテック㈱</v>
      </c>
      <c r="Z2171" s="357"/>
      <c r="AA2171" s="207">
        <f>IFERROR(VLOOKUP(F2171&amp;K2171&amp;M2171,製品マスタ!$M$5:$AM$5002,27,FALSE),"")</f>
        <v>0</v>
      </c>
      <c r="AB2171" s="369"/>
      <c r="AC2171" s="370"/>
      <c r="AD2171" s="332" t="str">
        <f>IF(F2171="","",+F2171&amp;K2171)</f>
        <v>3SYMLBMSSMBF25</v>
      </c>
      <c r="AE2171" s="216">
        <f>+M2171*N2171*O2171/1000</f>
        <v>17920</v>
      </c>
      <c r="AF2171" s="43">
        <v>98</v>
      </c>
      <c r="AG2171" s="47">
        <f>IF(AF2171="","",+AE2171*AF2171/100)</f>
        <v>17561.599999999999</v>
      </c>
      <c r="AH2171" s="30"/>
      <c r="AI2171" s="30"/>
      <c r="AJ2171" s="30"/>
      <c r="AK2171" s="30"/>
      <c r="AL2171" s="13"/>
      <c r="AM2171" s="13"/>
      <c r="AN2171" s="13"/>
      <c r="AO2171" s="13"/>
      <c r="AP2171" s="13"/>
      <c r="AQ2171" s="14"/>
      <c r="AR2171" s="15"/>
    </row>
    <row r="2172" spans="1:44" s="17" customFormat="1" ht="30.95" hidden="1" customHeight="1" x14ac:dyDescent="0.2">
      <c r="A2172" s="343"/>
      <c r="B2172" s="344"/>
      <c r="C2172" s="345"/>
      <c r="D2172" s="398"/>
      <c r="E2172" s="31"/>
      <c r="F2172" s="268"/>
      <c r="G2172" s="269"/>
      <c r="H2172" s="269"/>
      <c r="I2172" s="270"/>
      <c r="J2172" s="32"/>
      <c r="K2172" s="270"/>
      <c r="L2172" s="270"/>
      <c r="M2172" s="39"/>
      <c r="N2172" s="39"/>
      <c r="O2172" s="47"/>
      <c r="P2172" s="57"/>
      <c r="Q2172" s="276"/>
      <c r="R2172" s="277"/>
      <c r="S2172" s="277"/>
      <c r="T2172" s="40"/>
      <c r="U2172" s="278"/>
      <c r="V2172" s="269"/>
      <c r="W2172" s="269"/>
      <c r="X2172" s="275"/>
      <c r="Y2172" s="269"/>
      <c r="Z2172" s="357"/>
      <c r="AA2172" s="207"/>
      <c r="AB2172" s="369"/>
      <c r="AC2172" s="370"/>
      <c r="AD2172" s="332"/>
      <c r="AE2172" s="216"/>
      <c r="AF2172" s="43"/>
      <c r="AG2172" s="47"/>
      <c r="AH2172" s="30"/>
      <c r="AI2172" s="30"/>
      <c r="AJ2172" s="30"/>
      <c r="AK2172" s="30"/>
      <c r="AL2172" s="13"/>
      <c r="AM2172" s="13"/>
      <c r="AN2172" s="13"/>
      <c r="AO2172" s="13"/>
      <c r="AP2172" s="13"/>
      <c r="AQ2172" s="14"/>
      <c r="AR2172" s="15"/>
    </row>
    <row r="2173" spans="1:44" s="17" customFormat="1" ht="30.6" hidden="1" customHeight="1" x14ac:dyDescent="0.2">
      <c r="A2173" s="320"/>
      <c r="B2173" s="321"/>
      <c r="C2173" s="345"/>
      <c r="D2173" s="398">
        <v>3770580</v>
      </c>
      <c r="E2173" s="31">
        <v>4151803</v>
      </c>
      <c r="F2173" s="268" t="str">
        <f>IF(D2173="","",VLOOKUP(D2173,契約台帳!$A$3:$K$4986,6,FALSE)&amp;VLOOKUP(D2173,契約台帳!$A$3:$K$4986,7,FALSE)&amp;VLOOKUP(D2173,契約台帳!$A$3:$K$4986,8,FALSE)&amp;VLOOKUP(D2173,契約台帳!$A$3:$K$4986,9,FALSE)&amp;VLOOKUP(D2173,契約台帳!$A$3:$K$4986,11,FALSE))</f>
        <v>3SNMLBMNGKBF</v>
      </c>
      <c r="G2173" s="269" t="str">
        <f>IF(D2173="","",VLOOKUP(F2173,製品マスタ!$G$5:$H$5002,2,FALSE))</f>
        <v>S</v>
      </c>
      <c r="H2173" s="269" t="str">
        <f>IF(D2173="","",VLOOKUP(F2173,製品マスタ!$G$5:$K$5002,5,FALSE))</f>
        <v>MNGKBF</v>
      </c>
      <c r="I2173" s="270" t="str">
        <f>IF(D2173="","",VLOOKUP(F2173,製品マスタ!$G$5:$L$5002,6,FALSE))</f>
        <v>メタルミー　ネーマー銀消　Ｂ</v>
      </c>
      <c r="J2173" s="32" t="s">
        <v>447</v>
      </c>
      <c r="K2173" s="270">
        <f>IF(D2173="","",VLOOKUP(D2173,契約台帳!$A$3:$L$4986,12,FALSE))</f>
        <v>50</v>
      </c>
      <c r="L2173" s="270" t="str">
        <f>IF(D2173="","",INDEX(製品マスタ!$Q$5:$Q$5002,MATCH(F2173&amp;K2173,製品マスタ!$AO$5:$AO$5002,0)))</f>
        <v>MAT</v>
      </c>
      <c r="M2173" s="39">
        <v>1050</v>
      </c>
      <c r="N2173" s="39">
        <v>12300</v>
      </c>
      <c r="O2173" s="47">
        <v>1</v>
      </c>
      <c r="P2173" s="57"/>
      <c r="Q2173" s="276">
        <f>IF(D2173="","",IF(J2173="リード付け",M2173,VLOOKUP(D2173,契約台帳!$A$3:$N$4986,14,FALSE)))</f>
        <v>1005</v>
      </c>
      <c r="R2173" s="277">
        <f>IF(D2173="","",IF(J2173="リード付け",M2173,VLOOKUP(D2173,契約台帳!$A$3:$O$4986,15,FALSE)))</f>
        <v>1050</v>
      </c>
      <c r="S2173" s="277">
        <f>IF(D2173="","",IF(J2173="リード付け",N2173,VLOOKUP(D2173,契約台帳!$A$3:$P$4986,16,FALSE)))</f>
        <v>4100</v>
      </c>
      <c r="T2173" s="40">
        <v>3</v>
      </c>
      <c r="U2173" s="278">
        <f ca="1">IF(D2173="","",IF(OFFSET(D2173,-2,0)=D2173,"",VLOOKUP(D2173,契約台帳!$A$3:$R$4986,18,FALSE)))</f>
        <v>3</v>
      </c>
      <c r="V2173" s="269" t="str">
        <f>IF(J2173="巻返し",VLOOKUP(F2173&amp;K2173&amp;M2173,製品マスタ!$M$5:$AD$5002,18,FALSE),IF(J2173="リード付け","原反コア",IF(J2173="スリット",VLOOKUP(F2173&amp;K2173&amp;Q2173,製品マスタ!$N$5:$AD$5002,17,FALSE),"")))</f>
        <v>6ｲﾝﾁSｺｱ</v>
      </c>
      <c r="W2173" s="269">
        <f>IF(J2173="巻返し",VLOOKUP(F2173&amp;K2173&amp;M2173,製品マスタ!$M$5:$AE$5002,19,FALSE),IF(J2173="リード付け","-",IF(J2173="スリット",VLOOKUP(F2173&amp;K2173&amp;Q2173,製品マスタ!$N$5:$AE$5002,18,FALSE),"")))</f>
        <v>1055</v>
      </c>
      <c r="X2173" s="275">
        <f>IF(D2173="","",VLOOKUP(D2173,契約台帳!$A$3:$Q$4986,17,FALSE))</f>
        <v>2</v>
      </c>
      <c r="Y2173" s="269" t="str">
        <f>IF(D2173="","",VLOOKUP(D2173,契約台帳!$A$3:$E$4986,5,FALSE))</f>
        <v>リンテック㈱</v>
      </c>
      <c r="Z2173" s="357"/>
      <c r="AA2173" s="207">
        <f>IFERROR(VLOOKUP(F2173&amp;K2173&amp;M2173,製品マスタ!$M$5:$AM$5002,27,FALSE),"")</f>
        <v>0</v>
      </c>
      <c r="AB2173" s="369"/>
      <c r="AC2173" s="370"/>
      <c r="AD2173" s="332" t="str">
        <f>IF(F2173="","",+F2173&amp;K2173)</f>
        <v>3SNMLBMNGKBF50</v>
      </c>
      <c r="AE2173" s="216">
        <f>+M2173*N2173*O2173/1000</f>
        <v>12915</v>
      </c>
      <c r="AF2173" s="43">
        <f>IF(AD2173="","",VLOOKUP(AD2173,原価マスタ!$A$2:$AJ$1693,13,FALSE))</f>
        <v>98</v>
      </c>
      <c r="AG2173" s="47">
        <f>IF(AF2173="","",+AE2173*AF2173/100)</f>
        <v>12656.7</v>
      </c>
      <c r="AH2173" s="30"/>
      <c r="AI2173" s="30"/>
      <c r="AJ2173" s="30"/>
      <c r="AK2173" s="30"/>
      <c r="AL2173" s="13"/>
      <c r="AM2173" s="13"/>
      <c r="AN2173" s="13"/>
      <c r="AO2173" s="13"/>
      <c r="AP2173" s="13"/>
      <c r="AQ2173" s="14"/>
      <c r="AR2173" s="15"/>
    </row>
    <row r="2174" spans="1:44" s="17" customFormat="1" ht="30.95" hidden="1" customHeight="1" x14ac:dyDescent="0.2">
      <c r="A2174" s="343"/>
      <c r="B2174" s="344"/>
      <c r="C2174" s="345"/>
      <c r="D2174" s="398"/>
      <c r="E2174" s="31"/>
      <c r="F2174" s="268"/>
      <c r="G2174" s="269"/>
      <c r="H2174" s="269"/>
      <c r="I2174" s="270"/>
      <c r="J2174" s="32"/>
      <c r="K2174" s="270"/>
      <c r="L2174" s="270"/>
      <c r="M2174" s="39"/>
      <c r="N2174" s="39"/>
      <c r="O2174" s="47"/>
      <c r="P2174" s="57"/>
      <c r="Q2174" s="276"/>
      <c r="R2174" s="277"/>
      <c r="S2174" s="277"/>
      <c r="T2174" s="40"/>
      <c r="U2174" s="278"/>
      <c r="V2174" s="269"/>
      <c r="W2174" s="269"/>
      <c r="X2174" s="275"/>
      <c r="Y2174" s="269"/>
      <c r="Z2174" s="357"/>
      <c r="AA2174" s="207"/>
      <c r="AB2174" s="369"/>
      <c r="AC2174" s="370"/>
      <c r="AD2174" s="332"/>
      <c r="AE2174" s="216"/>
      <c r="AF2174" s="43"/>
      <c r="AG2174" s="47"/>
      <c r="AH2174" s="30"/>
      <c r="AI2174" s="30"/>
      <c r="AJ2174" s="30"/>
      <c r="AK2174" s="30"/>
      <c r="AL2174" s="13"/>
      <c r="AM2174" s="13"/>
      <c r="AN2174" s="13"/>
      <c r="AO2174" s="13"/>
      <c r="AP2174" s="13"/>
      <c r="AQ2174" s="14"/>
      <c r="AR2174" s="15"/>
    </row>
    <row r="2175" spans="1:44" s="17" customFormat="1" ht="30.6" hidden="1" customHeight="1" x14ac:dyDescent="0.2">
      <c r="A2175" s="320"/>
      <c r="B2175" s="321"/>
      <c r="C2175" s="345"/>
      <c r="D2175" s="398">
        <v>3783805</v>
      </c>
      <c r="E2175" s="31">
        <v>4156650</v>
      </c>
      <c r="F2175" s="268" t="str">
        <f>IF(D2175="","",VLOOKUP(D2175,契約台帳!$A$3:$K$4986,6,FALSE)&amp;VLOOKUP(D2175,契約台帳!$A$3:$K$4986,7,FALSE)&amp;VLOOKUP(D2175,契約台帳!$A$3:$K$4986,8,FALSE)&amp;VLOOKUP(D2175,契約台帳!$A$3:$K$4986,9,FALSE)&amp;VLOOKUP(D2175,契約台帳!$A$3:$K$4986,11,FALSE))</f>
        <v>3SNMLBMNGKBF</v>
      </c>
      <c r="G2175" s="269" t="str">
        <f>IF(D2175="","",VLOOKUP(F2175,製品マスタ!$G$5:$H$5002,2,FALSE))</f>
        <v>S</v>
      </c>
      <c r="H2175" s="269" t="str">
        <f>IF(D2175="","",VLOOKUP(F2175,製品マスタ!$G$5:$K$5002,5,FALSE))</f>
        <v>MNGKBF</v>
      </c>
      <c r="I2175" s="270" t="str">
        <f>IF(D2175="","",VLOOKUP(F2175,製品マスタ!$G$5:$L$5002,6,FALSE))</f>
        <v>メタルミー　ネーマー銀消　Ｂ</v>
      </c>
      <c r="J2175" s="32" t="s">
        <v>447</v>
      </c>
      <c r="K2175" s="270">
        <f>IF(D2175="","",VLOOKUP(D2175,契約台帳!$A$3:$L$4986,12,FALSE))</f>
        <v>50</v>
      </c>
      <c r="L2175" s="270" t="str">
        <f>IF(D2175="","",INDEX(製品マスタ!$Q$5:$Q$5002,MATCH(F2175&amp;K2175,製品マスタ!$AO$5:$AO$5002,0)))</f>
        <v>MAT</v>
      </c>
      <c r="M2175" s="39">
        <v>1050</v>
      </c>
      <c r="N2175" s="39">
        <v>12300</v>
      </c>
      <c r="O2175" s="47">
        <v>1</v>
      </c>
      <c r="P2175" s="57"/>
      <c r="Q2175" s="276">
        <f>IF(D2175="","",IF(J2175="リード付け",M2175,VLOOKUP(D2175,契約台帳!$A$3:$N$4986,14,FALSE)))</f>
        <v>1050</v>
      </c>
      <c r="R2175" s="277">
        <f>IF(D2175="","",IF(J2175="リード付け",M2175,VLOOKUP(D2175,契約台帳!$A$3:$O$4986,15,FALSE)))</f>
        <v>1050</v>
      </c>
      <c r="S2175" s="277">
        <f>IF(D2175="","",IF(J2175="リード付け",N2175,VLOOKUP(D2175,契約台帳!$A$3:$P$4986,16,FALSE)))</f>
        <v>4100</v>
      </c>
      <c r="T2175" s="40">
        <v>3</v>
      </c>
      <c r="U2175" s="278">
        <f ca="1">IF(D2175="","",IF(OFFSET(D2175,-2,0)=D2175,"",VLOOKUP(D2175,契約台帳!$A$3:$R$4986,18,FALSE)))</f>
        <v>5</v>
      </c>
      <c r="V2175" s="269" t="str">
        <f>IF(J2175="巻返し",VLOOKUP(F2175&amp;K2175&amp;M2175,製品マスタ!$M$5:$AD$5002,18,FALSE),IF(J2175="リード付け","原反コア",IF(J2175="スリット",VLOOKUP(F2175&amp;K2175&amp;Q2175,製品マスタ!$N$5:$AD$5002,17,FALSE),"")))</f>
        <v>6ｲﾝﾁSｺｱ</v>
      </c>
      <c r="W2175" s="269">
        <f>IF(J2175="巻返し",VLOOKUP(F2175&amp;K2175&amp;M2175,製品マスタ!$M$5:$AE$5002,19,FALSE),IF(J2175="リード付け","-",IF(J2175="スリット",VLOOKUP(F2175&amp;K2175&amp;Q2175,製品マスタ!$N$5:$AE$5002,18,FALSE),"")))</f>
        <v>1055</v>
      </c>
      <c r="X2175" s="275">
        <f>IF(D2175="","",VLOOKUP(D2175,契約台帳!$A$3:$Q$4986,17,FALSE))</f>
        <v>2</v>
      </c>
      <c r="Y2175" s="269" t="str">
        <f>IF(D2175="","",VLOOKUP(D2175,契約台帳!$A$3:$E$4986,5,FALSE))</f>
        <v>リンテック㈱</v>
      </c>
      <c r="Z2175" s="357"/>
      <c r="AA2175" s="207">
        <f>IFERROR(VLOOKUP(F2175&amp;K2175&amp;M2175,製品マスタ!$M$5:$AM$5002,27,FALSE),"")</f>
        <v>0</v>
      </c>
      <c r="AB2175" s="369"/>
      <c r="AC2175" s="370"/>
      <c r="AD2175" s="332" t="str">
        <f>IF(F2175="","",+F2175&amp;K2175)</f>
        <v>3SNMLBMNGKBF50</v>
      </c>
      <c r="AE2175" s="216">
        <f>+M2175*N2175*O2175/1000</f>
        <v>12915</v>
      </c>
      <c r="AF2175" s="43">
        <f>IF(AD2175="","",VLOOKUP(AD2175,原価マスタ!$A$2:$AJ$1693,13,FALSE))</f>
        <v>98</v>
      </c>
      <c r="AG2175" s="47">
        <f>IF(AF2175="","",+AE2175*AF2175/100)</f>
        <v>12656.7</v>
      </c>
      <c r="AH2175" s="30"/>
      <c r="AI2175" s="30"/>
      <c r="AJ2175" s="30"/>
      <c r="AK2175" s="30"/>
      <c r="AL2175" s="13"/>
      <c r="AM2175" s="13"/>
      <c r="AN2175" s="13"/>
      <c r="AO2175" s="13"/>
      <c r="AP2175" s="13"/>
      <c r="AQ2175" s="14"/>
      <c r="AR2175" s="15"/>
    </row>
    <row r="2176" spans="1:44" s="17" customFormat="1" ht="30.95" hidden="1" customHeight="1" x14ac:dyDescent="0.2">
      <c r="A2176" s="343"/>
      <c r="B2176" s="344"/>
      <c r="C2176" s="345"/>
      <c r="D2176" s="398"/>
      <c r="E2176" s="31"/>
      <c r="F2176" s="268"/>
      <c r="G2176" s="269"/>
      <c r="H2176" s="269"/>
      <c r="I2176" s="270"/>
      <c r="J2176" s="32"/>
      <c r="K2176" s="270"/>
      <c r="L2176" s="270"/>
      <c r="M2176" s="39"/>
      <c r="N2176" s="39"/>
      <c r="O2176" s="47"/>
      <c r="P2176" s="57"/>
      <c r="Q2176" s="276"/>
      <c r="R2176" s="277"/>
      <c r="S2176" s="277"/>
      <c r="T2176" s="40"/>
      <c r="U2176" s="278"/>
      <c r="V2176" s="269"/>
      <c r="W2176" s="269"/>
      <c r="X2176" s="275"/>
      <c r="Y2176" s="269"/>
      <c r="Z2176" s="357"/>
      <c r="AA2176" s="207"/>
      <c r="AB2176" s="369"/>
      <c r="AC2176" s="370"/>
      <c r="AD2176" s="332"/>
      <c r="AE2176" s="216"/>
      <c r="AF2176" s="43"/>
      <c r="AG2176" s="47"/>
      <c r="AH2176" s="30"/>
      <c r="AI2176" s="30"/>
      <c r="AJ2176" s="30"/>
      <c r="AK2176" s="30"/>
      <c r="AL2176" s="13"/>
      <c r="AM2176" s="13"/>
      <c r="AN2176" s="13"/>
      <c r="AO2176" s="13"/>
      <c r="AP2176" s="13"/>
      <c r="AQ2176" s="14"/>
      <c r="AR2176" s="15"/>
    </row>
    <row r="2177" spans="1:44" s="17" customFormat="1" ht="30.6" hidden="1" customHeight="1" x14ac:dyDescent="0.2">
      <c r="A2177" s="320"/>
      <c r="B2177" s="321"/>
      <c r="C2177" s="345"/>
      <c r="D2177" s="398">
        <v>3783831</v>
      </c>
      <c r="E2177" s="31">
        <v>4156670</v>
      </c>
      <c r="F2177" s="268" t="str">
        <f>IF(D2177="","",VLOOKUP(D2177,契約台帳!$A$3:$K$4986,6,FALSE)&amp;VLOOKUP(D2177,契約台帳!$A$3:$K$4986,7,FALSE)&amp;VLOOKUP(D2177,契約台帳!$A$3:$K$4986,8,FALSE)&amp;VLOOKUP(D2177,契約台帳!$A$3:$K$4986,9,FALSE)&amp;VLOOKUP(D2177,契約台帳!$A$3:$K$4986,11,FALSE))</f>
        <v>3SNMLBMNGKBF</v>
      </c>
      <c r="G2177" s="269" t="str">
        <f>IF(D2177="","",VLOOKUP(F2177,製品マスタ!$G$5:$H$5002,2,FALSE))</f>
        <v>S</v>
      </c>
      <c r="H2177" s="269" t="str">
        <f>IF(D2177="","",VLOOKUP(F2177,製品マスタ!$G$5:$K$5002,5,FALSE))</f>
        <v>MNGKBF</v>
      </c>
      <c r="I2177" s="270" t="str">
        <f>IF(D2177="","",VLOOKUP(F2177,製品マスタ!$G$5:$L$5002,6,FALSE))</f>
        <v>メタルミー　ネーマー銀消　Ｂ</v>
      </c>
      <c r="J2177" s="32" t="s">
        <v>447</v>
      </c>
      <c r="K2177" s="270">
        <f>IF(D2177="","",VLOOKUP(D2177,契約台帳!$A$3:$L$4986,12,FALSE))</f>
        <v>75</v>
      </c>
      <c r="L2177" s="270" t="str">
        <f>IF(D2177="","",INDEX(製品マスタ!$Q$5:$Q$5002,MATCH(F2177&amp;K2177,製品マスタ!$AO$5:$AO$5002,0)))</f>
        <v>MAT</v>
      </c>
      <c r="M2177" s="39">
        <v>1050</v>
      </c>
      <c r="N2177" s="39">
        <v>4000</v>
      </c>
      <c r="O2177" s="47">
        <v>1</v>
      </c>
      <c r="P2177" s="57"/>
      <c r="Q2177" s="276">
        <f>IF(D2177="","",IF(J2177="リード付け",M2177,VLOOKUP(D2177,契約台帳!$A$3:$N$4986,14,FALSE)))</f>
        <v>1050</v>
      </c>
      <c r="R2177" s="277">
        <f>IF(D2177="","",IF(J2177="リード付け",M2177,VLOOKUP(D2177,契約台帳!$A$3:$O$4986,15,FALSE)))</f>
        <v>1050</v>
      </c>
      <c r="S2177" s="277">
        <f>IF(D2177="","",IF(J2177="リード付け",N2177,VLOOKUP(D2177,契約台帳!$A$3:$P$4986,16,FALSE)))</f>
        <v>2000</v>
      </c>
      <c r="T2177" s="40">
        <v>2</v>
      </c>
      <c r="U2177" s="278">
        <f ca="1">IF(D2177="","",IF(OFFSET(D2177,-2,0)=D2177,"",VLOOKUP(D2177,契約台帳!$A$3:$R$4986,18,FALSE)))</f>
        <v>2</v>
      </c>
      <c r="V2177" s="269" t="str">
        <f>IF(J2177="巻返し",VLOOKUP(F2177&amp;K2177&amp;M2177,製品マスタ!$M$5:$AD$5002,18,FALSE),IF(J2177="リード付け","原反コア",IF(J2177="スリット",VLOOKUP(F2177&amp;K2177&amp;Q2177,製品マスタ!$N$5:$AD$5002,17,FALSE),"")))</f>
        <v>6ｲﾝﾁSｺｱ</v>
      </c>
      <c r="W2177" s="269">
        <f>IF(J2177="巻返し",VLOOKUP(F2177&amp;K2177&amp;M2177,製品マスタ!$M$5:$AE$5002,19,FALSE),IF(J2177="リード付け","-",IF(J2177="スリット",VLOOKUP(F2177&amp;K2177&amp;Q2177,製品マスタ!$N$5:$AE$5002,18,FALSE),"")))</f>
        <v>1055</v>
      </c>
      <c r="X2177" s="275">
        <f>IF(D2177="","",VLOOKUP(D2177,契約台帳!$A$3:$Q$4986,17,FALSE))</f>
        <v>2</v>
      </c>
      <c r="Y2177" s="269" t="str">
        <f>IF(D2177="","",VLOOKUP(D2177,契約台帳!$A$3:$E$4986,5,FALSE))</f>
        <v>リンテック㈱</v>
      </c>
      <c r="Z2177" s="357"/>
      <c r="AA2177" s="207">
        <f>IFERROR(VLOOKUP(F2177&amp;K2177&amp;M2177,製品マスタ!$M$5:$AM$5002,27,FALSE),"")</f>
        <v>0</v>
      </c>
      <c r="AB2177" s="369"/>
      <c r="AC2177" s="370"/>
      <c r="AD2177" s="332" t="str">
        <f>IF(F2177="","",+F2177&amp;K2177)</f>
        <v>3SNMLBMNGKBF75</v>
      </c>
      <c r="AE2177" s="216">
        <f>+M2177*N2177*O2177/1000</f>
        <v>4200</v>
      </c>
      <c r="AF2177" s="43">
        <f>IF(AD2177="","",VLOOKUP(AD2177,原価マスタ!$A$2:$AJ$1693,13,FALSE))</f>
        <v>97</v>
      </c>
      <c r="AG2177" s="47">
        <f>IF(AF2177="","",+AE2177*AF2177/100)</f>
        <v>4074</v>
      </c>
      <c r="AH2177" s="30"/>
      <c r="AI2177" s="30"/>
      <c r="AJ2177" s="30"/>
      <c r="AK2177" s="30"/>
      <c r="AL2177" s="13"/>
      <c r="AM2177" s="13"/>
      <c r="AN2177" s="13"/>
      <c r="AO2177" s="13"/>
      <c r="AP2177" s="13"/>
      <c r="AQ2177" s="14"/>
      <c r="AR2177" s="15"/>
    </row>
    <row r="2178" spans="1:44" s="17" customFormat="1" ht="30.95" hidden="1" customHeight="1" x14ac:dyDescent="0.2">
      <c r="A2178" s="343"/>
      <c r="B2178" s="344"/>
      <c r="C2178" s="345"/>
      <c r="D2178" s="398"/>
      <c r="E2178" s="31"/>
      <c r="F2178" s="268"/>
      <c r="G2178" s="269"/>
      <c r="H2178" s="269"/>
      <c r="I2178" s="270"/>
      <c r="J2178" s="32"/>
      <c r="K2178" s="270"/>
      <c r="L2178" s="270"/>
      <c r="M2178" s="39"/>
      <c r="N2178" s="39"/>
      <c r="O2178" s="47"/>
      <c r="P2178" s="57"/>
      <c r="Q2178" s="276"/>
      <c r="R2178" s="277"/>
      <c r="S2178" s="277"/>
      <c r="T2178" s="40"/>
      <c r="U2178" s="278"/>
      <c r="V2178" s="269"/>
      <c r="W2178" s="269"/>
      <c r="X2178" s="275"/>
      <c r="Y2178" s="269"/>
      <c r="Z2178" s="357"/>
      <c r="AA2178" s="207"/>
      <c r="AB2178" s="369"/>
      <c r="AC2178" s="370"/>
      <c r="AD2178" s="332"/>
      <c r="AE2178" s="216"/>
      <c r="AF2178" s="43"/>
      <c r="AG2178" s="47"/>
      <c r="AH2178" s="30"/>
      <c r="AI2178" s="30"/>
      <c r="AJ2178" s="30"/>
      <c r="AK2178" s="30"/>
      <c r="AL2178" s="13"/>
      <c r="AM2178" s="13"/>
      <c r="AN2178" s="13"/>
      <c r="AO2178" s="13"/>
      <c r="AP2178" s="13"/>
      <c r="AQ2178" s="14"/>
      <c r="AR2178" s="15"/>
    </row>
    <row r="2179" spans="1:44" s="17" customFormat="1" ht="30.6" hidden="1" customHeight="1" x14ac:dyDescent="0.2">
      <c r="A2179" s="320"/>
      <c r="B2179" s="321"/>
      <c r="C2179" s="345"/>
      <c r="D2179" s="398">
        <v>3783801</v>
      </c>
      <c r="E2179" s="31">
        <v>4156913</v>
      </c>
      <c r="F2179" s="268" t="str">
        <f>IF(D2179="","",VLOOKUP(D2179,契約台帳!$A$3:$K$4986,6,FALSE)&amp;VLOOKUP(D2179,契約台帳!$A$3:$K$4986,7,FALSE)&amp;VLOOKUP(D2179,契約台帳!$A$3:$K$4986,8,FALSE)&amp;VLOOKUP(D2179,契約台帳!$A$3:$K$4986,9,FALSE)&amp;VLOOKUP(D2179,契約台帳!$A$3:$K$4986,11,FALSE))</f>
        <v>3SNMLBMNGKKBF</v>
      </c>
      <c r="G2179" s="269" t="str">
        <f>IF(D2179="","",VLOOKUP(F2179,製品マスタ!$G$5:$H$5002,2,FALSE))</f>
        <v>S</v>
      </c>
      <c r="H2179" s="269" t="str">
        <f>IF(D2179="","",VLOOKUP(F2179,製品マスタ!$G$5:$K$5002,5,FALSE))</f>
        <v>MNGKKBF</v>
      </c>
      <c r="I2179" s="270" t="str">
        <f>IF(D2179="","",VLOOKUP(F2179,製品マスタ!$G$5:$L$5002,6,FALSE))</f>
        <v>メタルミー　ネーマー銀消改　Ｂ</v>
      </c>
      <c r="J2179" s="32" t="s">
        <v>447</v>
      </c>
      <c r="K2179" s="270">
        <f>IF(D2179="","",VLOOKUP(D2179,契約台帳!$A$3:$L$4986,12,FALSE))</f>
        <v>25</v>
      </c>
      <c r="L2179" s="270" t="str">
        <f>IF(D2179="","",INDEX(製品マスタ!$Q$5:$Q$5002,MATCH(F2179&amp;K2179,製品マスタ!$AO$5:$AO$5002,0)))</f>
        <v>FMATS99</v>
      </c>
      <c r="M2179" s="39">
        <v>1000</v>
      </c>
      <c r="N2179" s="39">
        <v>12000</v>
      </c>
      <c r="O2179" s="47">
        <v>1</v>
      </c>
      <c r="P2179" s="57"/>
      <c r="Q2179" s="276">
        <f>IF(D2179="","",IF(J2179="リード付け",M2179,VLOOKUP(D2179,契約台帳!$A$3:$N$4986,14,FALSE)))</f>
        <v>1000</v>
      </c>
      <c r="R2179" s="277">
        <f>IF(D2179="","",IF(J2179="リード付け",M2179,VLOOKUP(D2179,契約台帳!$A$3:$O$4986,15,FALSE)))</f>
        <v>1000</v>
      </c>
      <c r="S2179" s="277">
        <f>IF(D2179="","",IF(J2179="リード付け",N2179,VLOOKUP(D2179,契約台帳!$A$3:$P$4986,16,FALSE)))</f>
        <v>4000</v>
      </c>
      <c r="T2179" s="40">
        <v>3</v>
      </c>
      <c r="U2179" s="278">
        <f ca="1">IF(D2179="","",IF(OFFSET(D2179,-2,0)=D2179,"",VLOOKUP(D2179,契約台帳!$A$3:$R$4986,18,FALSE)))</f>
        <v>3</v>
      </c>
      <c r="V2179" s="269" t="str">
        <f>IF(J2179="巻返し",VLOOKUP(F2179&amp;K2179&amp;M2179,製品マスタ!$M$5:$AD$5002,18,FALSE),IF(J2179="リード付け","原反コア",IF(J2179="スリット",VLOOKUP(F2179&amp;K2179&amp;Q2179,製品マスタ!$N$5:$AD$5002,17,FALSE),"")))</f>
        <v>6ｲﾝﾁSｺｱ</v>
      </c>
      <c r="W2179" s="269">
        <f>IF(J2179="巻返し",VLOOKUP(F2179&amp;K2179&amp;M2179,製品マスタ!$M$5:$AE$5002,19,FALSE),IF(J2179="リード付け","-",IF(J2179="スリット",VLOOKUP(F2179&amp;K2179&amp;Q2179,製品マスタ!$N$5:$AE$5002,18,FALSE),"")))</f>
        <v>1005</v>
      </c>
      <c r="X2179" s="275">
        <f>IF(D2179="","",VLOOKUP(D2179,契約台帳!$A$3:$Q$4986,17,FALSE))</f>
        <v>2</v>
      </c>
      <c r="Y2179" s="269" t="str">
        <f>IF(D2179="","",VLOOKUP(D2179,契約台帳!$A$3:$E$4986,5,FALSE))</f>
        <v>リンテック㈱</v>
      </c>
      <c r="Z2179" s="357"/>
      <c r="AA2179" s="207">
        <f>IFERROR(VLOOKUP(F2179&amp;K2179&amp;M2179,製品マスタ!$M$5:$AM$5002,27,FALSE),"")</f>
        <v>0</v>
      </c>
      <c r="AB2179" s="369"/>
      <c r="AC2179" s="370"/>
      <c r="AD2179" s="332" t="str">
        <f>IF(F2179="","",+F2179&amp;K2179)</f>
        <v>3SNMLBMNGKKBF25</v>
      </c>
      <c r="AE2179" s="216">
        <f>+M2179*N2179*O2179/1000</f>
        <v>12000</v>
      </c>
      <c r="AF2179" s="43">
        <f>IF(AD2179="","",VLOOKUP(AD2179,原価マスタ!$A$2:$AJ$1693,13,FALSE))</f>
        <v>96</v>
      </c>
      <c r="AG2179" s="47">
        <f>IF(AF2179="","",+AE2179*AF2179/100)</f>
        <v>11520</v>
      </c>
      <c r="AH2179" s="30"/>
      <c r="AI2179" s="30"/>
      <c r="AJ2179" s="30"/>
      <c r="AK2179" s="30"/>
      <c r="AL2179" s="13"/>
      <c r="AM2179" s="13"/>
      <c r="AN2179" s="13"/>
      <c r="AO2179" s="13"/>
      <c r="AP2179" s="13"/>
      <c r="AQ2179" s="14"/>
      <c r="AR2179" s="15"/>
    </row>
    <row r="2180" spans="1:44" s="17" customFormat="1" ht="30.95" hidden="1" customHeight="1" x14ac:dyDescent="0.2">
      <c r="A2180" s="343"/>
      <c r="B2180" s="344"/>
      <c r="C2180" s="345"/>
      <c r="D2180" s="398"/>
      <c r="E2180" s="31"/>
      <c r="F2180" s="268"/>
      <c r="G2180" s="269"/>
      <c r="H2180" s="269"/>
      <c r="I2180" s="270"/>
      <c r="J2180" s="32"/>
      <c r="K2180" s="270"/>
      <c r="L2180" s="270"/>
      <c r="M2180" s="39"/>
      <c r="N2180" s="39"/>
      <c r="O2180" s="47"/>
      <c r="P2180" s="57"/>
      <c r="Q2180" s="276"/>
      <c r="R2180" s="277"/>
      <c r="S2180" s="277"/>
      <c r="T2180" s="40"/>
      <c r="U2180" s="278"/>
      <c r="V2180" s="269"/>
      <c r="W2180" s="269"/>
      <c r="X2180" s="275"/>
      <c r="Y2180" s="269"/>
      <c r="Z2180" s="357"/>
      <c r="AA2180" s="207"/>
      <c r="AB2180" s="369"/>
      <c r="AC2180" s="370"/>
      <c r="AD2180" s="332"/>
      <c r="AE2180" s="216"/>
      <c r="AF2180" s="43"/>
      <c r="AG2180" s="47"/>
      <c r="AH2180" s="30"/>
      <c r="AI2180" s="30"/>
      <c r="AJ2180" s="30"/>
      <c r="AK2180" s="30"/>
      <c r="AL2180" s="13"/>
      <c r="AM2180" s="13"/>
      <c r="AN2180" s="13"/>
      <c r="AO2180" s="13"/>
      <c r="AP2180" s="13"/>
      <c r="AQ2180" s="14"/>
      <c r="AR2180" s="15"/>
    </row>
    <row r="2181" spans="1:44" s="17" customFormat="1" ht="30.95" hidden="1" customHeight="1" x14ac:dyDescent="0.2">
      <c r="A2181" s="343"/>
      <c r="B2181" s="344"/>
      <c r="C2181" s="345"/>
      <c r="D2181" s="398">
        <v>3784725</v>
      </c>
      <c r="E2181" s="31">
        <v>4157161</v>
      </c>
      <c r="F2181" s="268" t="str">
        <f>IF(D2181="","",VLOOKUP(D2181,契約台帳!$A$3:$K$4986,6,FALSE)&amp;VLOOKUP(D2181,契約台帳!$A$3:$K$4986,7,FALSE)&amp;VLOOKUP(D2181,契約台帳!$A$3:$K$4986,8,FALSE)&amp;VLOOKUP(D2181,契約台帳!$A$3:$K$4986,9,FALSE)&amp;VLOOKUP(D2181,契約台帳!$A$3:$K$4986,11,FALSE))</f>
        <v>3TNDMSX42GPC</v>
      </c>
      <c r="G2181" s="269" t="str">
        <f>IF(D2181="","",VLOOKUP(F2181,製品マスタ!$G$5:$H$5002,2,FALSE))</f>
        <v>T</v>
      </c>
      <c r="H2181" s="269" t="str">
        <f>IF(D2181="","",VLOOKUP(F2181,製品マスタ!$G$5:$K$5002,5,FALSE))</f>
        <v>X42GPC</v>
      </c>
      <c r="I2181" s="270" t="str">
        <f>IF(D2181="","",VLOOKUP(F2181,製品マスタ!$G$5:$L$5002,6,FALSE))</f>
        <v>ＤＭＳ（Ｘ４２Ｇ）ＰＣ</v>
      </c>
      <c r="J2181" s="32" t="s">
        <v>447</v>
      </c>
      <c r="K2181" s="270">
        <f>IF(D2181="","",VLOOKUP(D2181,契約台帳!$A$3:$L$4986,12,FALSE))</f>
        <v>50</v>
      </c>
      <c r="L2181" s="270" t="str">
        <f>IF(D2181="","",INDEX(製品マスタ!$Q$5:$Q$5002,MATCH(F2181&amp;K2181,製品マスタ!$AO$5:$AO$5002,0)))</f>
        <v>X42G</v>
      </c>
      <c r="M2181" s="39">
        <v>1360</v>
      </c>
      <c r="N2181" s="39">
        <v>4100</v>
      </c>
      <c r="O2181" s="47">
        <v>1</v>
      </c>
      <c r="P2181" s="57"/>
      <c r="Q2181" s="276">
        <f>IF(D2181="","",IF(J2181="リード付け",M2181,VLOOKUP(D2181,契約台帳!$A$3:$N$4986,14,FALSE)))</f>
        <v>680</v>
      </c>
      <c r="R2181" s="277">
        <f>IF(D2181="","",IF(J2181="リード付け",M2181,VLOOKUP(D2181,契約台帳!$A$3:$O$4986,15,FALSE)))</f>
        <v>680</v>
      </c>
      <c r="S2181" s="277">
        <f>IF(D2181="","",IF(J2181="リード付け",N2181,VLOOKUP(D2181,契約台帳!$A$3:$P$4986,16,FALSE)))</f>
        <v>2000</v>
      </c>
      <c r="T2181" s="40">
        <v>4</v>
      </c>
      <c r="U2181" s="278">
        <f ca="1">IF(D2181="","",IF(OFFSET(D2181,-2,0)=D2181,"",VLOOKUP(D2181,契約台帳!$A$3:$R$4986,18,FALSE)))</f>
        <v>4</v>
      </c>
      <c r="V2181" s="269" t="str">
        <f>IF(J2181="巻返し",VLOOKUP(F2181&amp;K2181&amp;M2181,製品マスタ!$M$5:$AD$5002,18,FALSE),IF(J2181="リード付け","原反コア",IF(J2181="スリット",VLOOKUP(F2181&amp;K2181&amp;Q2181,製品マスタ!$N$5:$AD$5002,17,FALSE),"")))</f>
        <v>3ｲﾝﾁMｺｱ</v>
      </c>
      <c r="W2181" s="269">
        <f>IF(J2181="巻返し",VLOOKUP(F2181&amp;K2181&amp;M2181,製品マスタ!$M$5:$AE$5002,19,FALSE),IF(J2181="リード付け","-",IF(J2181="スリット",VLOOKUP(F2181&amp;K2181&amp;Q2181,製品マスタ!$N$5:$AE$5002,18,FALSE),"")))</f>
        <v>690</v>
      </c>
      <c r="X2181" s="275">
        <f>IF(D2181="","",VLOOKUP(D2181,契約台帳!$A$3:$Q$4986,17,FALSE))</f>
        <v>2</v>
      </c>
      <c r="Y2181" s="269" t="str">
        <f>IF(D2181="","",VLOOKUP(D2181,契約台帳!$A$3:$E$4986,5,FALSE))</f>
        <v>㈱ポラテクノ</v>
      </c>
      <c r="Z2181" s="357"/>
      <c r="AA2181" s="207" t="s">
        <v>3349</v>
      </c>
      <c r="AB2181" s="369"/>
      <c r="AC2181" s="370"/>
      <c r="AD2181" s="332" t="str">
        <f>IF(F2181="","",+F2181&amp;K2181)</f>
        <v>3TNDMSX42GPC50</v>
      </c>
      <c r="AE2181" s="216">
        <f>+M2181*N2181*O2181/1000</f>
        <v>5576</v>
      </c>
      <c r="AF2181" s="43"/>
      <c r="AG2181" s="47"/>
      <c r="AH2181" s="30"/>
      <c r="AI2181" s="30"/>
      <c r="AJ2181" s="30"/>
      <c r="AK2181" s="30"/>
      <c r="AL2181" s="13"/>
      <c r="AM2181" s="13"/>
      <c r="AN2181" s="13"/>
      <c r="AO2181" s="13"/>
      <c r="AP2181" s="13"/>
      <c r="AQ2181" s="14"/>
      <c r="AR2181" s="15"/>
    </row>
    <row r="2182" spans="1:44" s="17" customFormat="1" ht="30.95" hidden="1" customHeight="1" x14ac:dyDescent="0.2">
      <c r="A2182" s="343"/>
      <c r="B2182" s="344"/>
      <c r="C2182" s="345"/>
      <c r="D2182" s="398"/>
      <c r="E2182" s="31"/>
      <c r="F2182" s="268"/>
      <c r="G2182" s="269"/>
      <c r="H2182" s="269"/>
      <c r="I2182" s="270"/>
      <c r="J2182" s="32"/>
      <c r="K2182" s="270"/>
      <c r="L2182" s="270"/>
      <c r="M2182" s="39"/>
      <c r="N2182" s="39"/>
      <c r="O2182" s="47"/>
      <c r="P2182" s="57"/>
      <c r="Q2182" s="276"/>
      <c r="R2182" s="277"/>
      <c r="S2182" s="277"/>
      <c r="T2182" s="40"/>
      <c r="U2182" s="278"/>
      <c r="V2182" s="269"/>
      <c r="W2182" s="269"/>
      <c r="X2182" s="275"/>
      <c r="Y2182" s="269"/>
      <c r="Z2182" s="357"/>
      <c r="AA2182" s="207"/>
      <c r="AB2182" s="369"/>
      <c r="AC2182" s="370"/>
      <c r="AD2182" s="332"/>
      <c r="AE2182" s="216"/>
      <c r="AF2182" s="43"/>
      <c r="AG2182" s="47"/>
      <c r="AH2182" s="30"/>
      <c r="AI2182" s="30"/>
      <c r="AJ2182" s="30"/>
      <c r="AK2182" s="30"/>
      <c r="AL2182" s="13"/>
      <c r="AM2182" s="13"/>
      <c r="AN2182" s="13"/>
      <c r="AO2182" s="13"/>
      <c r="AP2182" s="13"/>
      <c r="AQ2182" s="14"/>
      <c r="AR2182" s="15"/>
    </row>
    <row r="2183" spans="1:44" s="233" customFormat="1" ht="30.95" hidden="1" customHeight="1" x14ac:dyDescent="0.2">
      <c r="A2183" s="399"/>
      <c r="B2183" s="400"/>
      <c r="C2183" s="401"/>
      <c r="D2183" s="396"/>
      <c r="E2183" s="219"/>
      <c r="F2183" s="281"/>
      <c r="G2183" s="282"/>
      <c r="H2183" s="282"/>
      <c r="I2183" s="283"/>
      <c r="J2183" s="220"/>
      <c r="K2183" s="283"/>
      <c r="L2183" s="283"/>
      <c r="M2183" s="221"/>
      <c r="N2183" s="221"/>
      <c r="O2183" s="222"/>
      <c r="P2183" s="213"/>
      <c r="Q2183" s="284"/>
      <c r="R2183" s="285"/>
      <c r="S2183" s="285"/>
      <c r="T2183" s="224"/>
      <c r="U2183" s="286"/>
      <c r="V2183" s="282"/>
      <c r="W2183" s="282"/>
      <c r="X2183" s="287"/>
      <c r="Y2183" s="282"/>
      <c r="Z2183" s="356"/>
      <c r="AA2183" s="288"/>
      <c r="AB2183" s="385"/>
      <c r="AC2183" s="386"/>
      <c r="AD2183" s="387"/>
      <c r="AE2183" s="423"/>
      <c r="AF2183" s="223"/>
      <c r="AG2183" s="234">
        <f>SUM(AG2084:AG2181)</f>
        <v>779602.33999999985</v>
      </c>
      <c r="AH2183" s="229"/>
      <c r="AI2183" s="229"/>
      <c r="AJ2183" s="229"/>
      <c r="AK2183" s="229"/>
      <c r="AL2183" s="230"/>
      <c r="AM2183" s="230"/>
      <c r="AN2183" s="230"/>
      <c r="AO2183" s="230"/>
      <c r="AP2183" s="230"/>
      <c r="AQ2183" s="231"/>
      <c r="AR2183" s="232"/>
    </row>
    <row r="2184" spans="1:44" s="17" customFormat="1" ht="30.95" hidden="1" customHeight="1" x14ac:dyDescent="0.2">
      <c r="A2184" s="343"/>
      <c r="B2184" s="344"/>
      <c r="C2184" s="345"/>
      <c r="D2184" s="398"/>
      <c r="E2184" s="31"/>
      <c r="F2184" s="268"/>
      <c r="G2184" s="269"/>
      <c r="H2184" s="269"/>
      <c r="I2184" s="270"/>
      <c r="J2184" s="32"/>
      <c r="K2184" s="270"/>
      <c r="L2184" s="270"/>
      <c r="M2184" s="39"/>
      <c r="N2184" s="39"/>
      <c r="O2184" s="47"/>
      <c r="P2184" s="57"/>
      <c r="Q2184" s="276"/>
      <c r="R2184" s="277"/>
      <c r="S2184" s="277"/>
      <c r="T2184" s="40"/>
      <c r="U2184" s="278"/>
      <c r="V2184" s="269"/>
      <c r="W2184" s="269"/>
      <c r="X2184" s="275"/>
      <c r="Y2184" s="269"/>
      <c r="Z2184" s="357"/>
      <c r="AA2184" s="207"/>
      <c r="AB2184" s="369"/>
      <c r="AC2184" s="370"/>
      <c r="AD2184" s="332"/>
      <c r="AE2184" s="216"/>
      <c r="AF2184" s="43"/>
      <c r="AG2184" s="47"/>
      <c r="AH2184" s="30"/>
      <c r="AI2184" s="30"/>
      <c r="AJ2184" s="30"/>
      <c r="AK2184" s="30"/>
      <c r="AL2184" s="13"/>
      <c r="AM2184" s="13"/>
      <c r="AN2184" s="13"/>
      <c r="AO2184" s="13"/>
      <c r="AP2184" s="13"/>
      <c r="AQ2184" s="14"/>
      <c r="AR2184" s="15"/>
    </row>
    <row r="2185" spans="1:44" s="17" customFormat="1" ht="30.6" hidden="1" customHeight="1" x14ac:dyDescent="0.2">
      <c r="A2185" s="320" t="s">
        <v>3382</v>
      </c>
      <c r="B2185" s="321" t="s">
        <v>3383</v>
      </c>
      <c r="C2185" s="345"/>
      <c r="D2185" s="398">
        <v>3789511</v>
      </c>
      <c r="E2185" s="31">
        <v>4157817</v>
      </c>
      <c r="F2185" s="268" t="str">
        <f>IF(D2185="","",VLOOKUP(D2185,契約台帳!$A$3:$K$4986,6,FALSE)&amp;VLOOKUP(D2185,契約台帳!$A$3:$K$4986,7,FALSE)&amp;VLOOKUP(D2185,契約台帳!$A$3:$K$4986,8,FALSE)&amp;VLOOKUP(D2185,契約台帳!$A$3:$K$4986,9,FALSE)&amp;VLOOKUP(D2185,契約台帳!$A$3:$K$4986,11,FALSE))</f>
        <v>3SNMLBMTSF</v>
      </c>
      <c r="G2185" s="269" t="str">
        <f>IF(D2185="","",VLOOKUP(F2185,製品マスタ!$G$5:$H$5002,2,FALSE))</f>
        <v>S</v>
      </c>
      <c r="H2185" s="269" t="str">
        <f>IF(D2185="","",VLOOKUP(F2185,製品マスタ!$G$5:$K$5002,5,FALSE))</f>
        <v>MTSF</v>
      </c>
      <c r="I2185" s="270" t="str">
        <f>IF(D2185="","",VLOOKUP(F2185,製品マスタ!$G$5:$L$5002,6,FALSE))</f>
        <v>メタルミー　ＴＳ</v>
      </c>
      <c r="J2185" s="32" t="s">
        <v>447</v>
      </c>
      <c r="K2185" s="270">
        <f>IF(D2185="","",VLOOKUP(D2185,契約台帳!$A$3:$L$4986,12,FALSE))</f>
        <v>75</v>
      </c>
      <c r="L2185" s="270" t="str">
        <f>IF(D2185="","",INDEX(製品マスタ!$Q$5:$Q$5002,MATCH(F2185&amp;K2185,製品マスタ!$AO$5:$AO$5002,0)))</f>
        <v>T60</v>
      </c>
      <c r="M2185" s="39">
        <v>1100</v>
      </c>
      <c r="N2185" s="39">
        <v>2000</v>
      </c>
      <c r="O2185" s="47">
        <v>1</v>
      </c>
      <c r="P2185" s="57"/>
      <c r="Q2185" s="276">
        <f>IF(D2185="","",IF(J2185="リード付け",M2185,VLOOKUP(D2185,契約台帳!$A$3:$N$4986,14,FALSE)))</f>
        <v>1000</v>
      </c>
      <c r="R2185" s="277">
        <f>IF(D2185="","",IF(J2185="リード付け",M2185,VLOOKUP(D2185,契約台帳!$A$3:$O$4986,15,FALSE)))</f>
        <v>1000</v>
      </c>
      <c r="S2185" s="277">
        <f>IF(D2185="","",IF(J2185="リード付け",N2185,VLOOKUP(D2185,契約台帳!$A$3:$P$4986,16,FALSE)))</f>
        <v>1000</v>
      </c>
      <c r="T2185" s="40">
        <v>2</v>
      </c>
      <c r="U2185" s="278">
        <f ca="1">IF(D2185="","",IF(OFFSET(D2185,-2,0)=D2185,"",VLOOKUP(D2185,契約台帳!$A$3:$R$4986,18,FALSE)))</f>
        <v>2</v>
      </c>
      <c r="V2185" s="269" t="str">
        <f>IF(J2185="巻返し",VLOOKUP(F2185&amp;K2185&amp;M2185,製品マスタ!$M$5:$AD$5002,18,FALSE),IF(J2185="リード付け","原反コア",IF(J2185="スリット",VLOOKUP(F2185&amp;K2185&amp;Q2185,製品マスタ!$N$5:$AD$5002,17,FALSE),"")))</f>
        <v>3ｲﾝﾁSｺｱ</v>
      </c>
      <c r="W2185" s="269">
        <f>IF(J2185="巻返し",VLOOKUP(F2185&amp;K2185&amp;M2185,製品マスタ!$M$5:$AE$5002,19,FALSE),IF(J2185="リード付け","-",IF(J2185="スリット",VLOOKUP(F2185&amp;K2185&amp;Q2185,製品マスタ!$N$5:$AE$5002,18,FALSE),"")))</f>
        <v>1005</v>
      </c>
      <c r="X2185" s="275">
        <f>IF(D2185="","",VLOOKUP(D2185,契約台帳!$A$3:$Q$4986,17,FALSE))</f>
        <v>2</v>
      </c>
      <c r="Y2185" s="269" t="str">
        <f>IF(D2185="","",VLOOKUP(D2185,契約台帳!$A$3:$E$4986,5,FALSE))</f>
        <v>パナック㈱亀山工場</v>
      </c>
      <c r="Z2185" s="357"/>
      <c r="AA2185" s="207">
        <f>IFERROR(VLOOKUP(F2185&amp;K2185&amp;M2185,製品マスタ!$M$5:$AM$5002,27,FALSE),"")</f>
        <v>0</v>
      </c>
      <c r="AB2185" s="369"/>
      <c r="AC2185" s="370"/>
      <c r="AD2185" s="332" t="str">
        <f>IF(F2185="","",+F2185&amp;K2185)</f>
        <v>3SNMLBMTSF75</v>
      </c>
      <c r="AE2185" s="216">
        <f>+M2185*N2185*O2185/1000</f>
        <v>2200</v>
      </c>
      <c r="AF2185" s="43">
        <f>IF(AD2185="","",VLOOKUP(AD2185,原価マスタ!$A$2:$AJ$1693,13,FALSE))</f>
        <v>86</v>
      </c>
      <c r="AG2185" s="47">
        <f>IF(AF2185="","",+AE2185*AF2185/100)</f>
        <v>1892</v>
      </c>
      <c r="AH2185" s="30"/>
      <c r="AI2185" s="30"/>
      <c r="AJ2185" s="30"/>
      <c r="AK2185" s="30"/>
      <c r="AL2185" s="13"/>
      <c r="AM2185" s="13"/>
      <c r="AN2185" s="13"/>
      <c r="AO2185" s="13"/>
      <c r="AP2185" s="13"/>
      <c r="AQ2185" s="14"/>
      <c r="AR2185" s="15"/>
    </row>
    <row r="2186" spans="1:44" s="17" customFormat="1" ht="30.95" hidden="1" customHeight="1" x14ac:dyDescent="0.2">
      <c r="A2186" s="343"/>
      <c r="B2186" s="344"/>
      <c r="C2186" s="345"/>
      <c r="D2186" s="398"/>
      <c r="E2186" s="31"/>
      <c r="F2186" s="268"/>
      <c r="G2186" s="269"/>
      <c r="H2186" s="269"/>
      <c r="I2186" s="270"/>
      <c r="J2186" s="32"/>
      <c r="K2186" s="270"/>
      <c r="L2186" s="270"/>
      <c r="M2186" s="39"/>
      <c r="N2186" s="39"/>
      <c r="O2186" s="47"/>
      <c r="P2186" s="57"/>
      <c r="Q2186" s="276"/>
      <c r="R2186" s="277"/>
      <c r="S2186" s="277"/>
      <c r="T2186" s="40"/>
      <c r="U2186" s="278"/>
      <c r="V2186" s="269"/>
      <c r="W2186" s="269"/>
      <c r="X2186" s="275"/>
      <c r="Y2186" s="269"/>
      <c r="Z2186" s="357"/>
      <c r="AA2186" s="207"/>
      <c r="AB2186" s="369"/>
      <c r="AC2186" s="370"/>
      <c r="AD2186" s="332"/>
      <c r="AE2186" s="216"/>
      <c r="AF2186" s="43"/>
      <c r="AG2186" s="47"/>
      <c r="AH2186" s="30"/>
      <c r="AI2186" s="30"/>
      <c r="AJ2186" s="30"/>
      <c r="AK2186" s="30"/>
      <c r="AL2186" s="13"/>
      <c r="AM2186" s="13"/>
      <c r="AN2186" s="13"/>
      <c r="AO2186" s="13"/>
      <c r="AP2186" s="13"/>
      <c r="AQ2186" s="14"/>
      <c r="AR2186" s="15"/>
    </row>
    <row r="2187" spans="1:44" s="17" customFormat="1" ht="30.95" hidden="1" customHeight="1" x14ac:dyDescent="0.2">
      <c r="A2187" s="320"/>
      <c r="B2187" s="321"/>
      <c r="C2187" s="345"/>
      <c r="D2187" s="346">
        <v>5375515</v>
      </c>
      <c r="E2187" s="346">
        <v>4158022</v>
      </c>
      <c r="F2187" s="268"/>
      <c r="G2187" s="269" t="s">
        <v>450</v>
      </c>
      <c r="H2187" s="269" t="s">
        <v>230</v>
      </c>
      <c r="I2187" s="270" t="s">
        <v>2993</v>
      </c>
      <c r="J2187" s="347" t="s">
        <v>1877</v>
      </c>
      <c r="K2187" s="270">
        <v>50</v>
      </c>
      <c r="L2187" s="270" t="s">
        <v>2994</v>
      </c>
      <c r="M2187" s="348">
        <v>1250</v>
      </c>
      <c r="N2187" s="348">
        <v>2000</v>
      </c>
      <c r="O2187" s="349">
        <v>1</v>
      </c>
      <c r="P2187" s="350"/>
      <c r="Q2187" s="276">
        <v>1000</v>
      </c>
      <c r="R2187" s="277">
        <v>1000</v>
      </c>
      <c r="S2187" s="277">
        <v>1800</v>
      </c>
      <c r="T2187" s="351">
        <v>1</v>
      </c>
      <c r="U2187" s="278">
        <v>1</v>
      </c>
      <c r="V2187" s="269" t="s">
        <v>903</v>
      </c>
      <c r="W2187" s="269">
        <v>1005</v>
      </c>
      <c r="X2187" s="275">
        <v>2</v>
      </c>
      <c r="Y2187" s="269" t="s">
        <v>61</v>
      </c>
      <c r="Z2187" s="350" t="s">
        <v>1016</v>
      </c>
      <c r="AA2187" s="207"/>
      <c r="AB2187" s="352"/>
      <c r="AC2187" s="353"/>
      <c r="AD2187" s="54"/>
      <c r="AE2187" s="354"/>
      <c r="AF2187" s="355"/>
      <c r="AG2187" s="349"/>
      <c r="AH2187" s="30"/>
      <c r="AI2187" s="30"/>
      <c r="AJ2187" s="30"/>
      <c r="AK2187" s="30"/>
      <c r="AL2187" s="13"/>
      <c r="AM2187" s="13"/>
      <c r="AN2187" s="13"/>
      <c r="AO2187" s="13"/>
      <c r="AP2187" s="13"/>
      <c r="AQ2187" s="14"/>
      <c r="AR2187" s="15"/>
    </row>
    <row r="2188" spans="1:44" s="17" customFormat="1" ht="30.95" hidden="1" customHeight="1" x14ac:dyDescent="0.2">
      <c r="A2188" s="343"/>
      <c r="B2188" s="344"/>
      <c r="C2188" s="345"/>
      <c r="D2188" s="346"/>
      <c r="E2188" s="413" t="s">
        <v>932</v>
      </c>
      <c r="F2188" s="268"/>
      <c r="G2188" s="269"/>
      <c r="H2188" s="269"/>
      <c r="I2188" s="270"/>
      <c r="J2188" s="347"/>
      <c r="K2188" s="270"/>
      <c r="L2188" s="270"/>
      <c r="M2188" s="348"/>
      <c r="N2188" s="348"/>
      <c r="O2188" s="349"/>
      <c r="P2188" s="350"/>
      <c r="Q2188" s="276"/>
      <c r="R2188" s="277"/>
      <c r="S2188" s="277"/>
      <c r="T2188" s="351"/>
      <c r="U2188" s="278"/>
      <c r="V2188" s="269"/>
      <c r="W2188" s="269"/>
      <c r="X2188" s="275"/>
      <c r="Y2188" s="269"/>
      <c r="Z2188" s="350"/>
      <c r="AA2188" s="207"/>
      <c r="AB2188" s="352"/>
      <c r="AC2188" s="353"/>
      <c r="AD2188" s="54"/>
      <c r="AE2188" s="354"/>
      <c r="AF2188" s="355"/>
      <c r="AG2188" s="349"/>
      <c r="AH2188" s="30"/>
      <c r="AI2188" s="30"/>
      <c r="AJ2188" s="30"/>
      <c r="AK2188" s="30"/>
      <c r="AL2188" s="13"/>
      <c r="AM2188" s="13"/>
      <c r="AN2188" s="13"/>
      <c r="AO2188" s="13"/>
      <c r="AP2188" s="13"/>
      <c r="AQ2188" s="14"/>
      <c r="AR2188" s="15"/>
    </row>
    <row r="2189" spans="1:44" s="17" customFormat="1" ht="30.95" hidden="1" customHeight="1" x14ac:dyDescent="0.2">
      <c r="A2189" s="343" t="s">
        <v>3398</v>
      </c>
      <c r="B2189" s="344" t="s">
        <v>3399</v>
      </c>
      <c r="C2189" s="345"/>
      <c r="D2189" s="398"/>
      <c r="E2189" s="31"/>
      <c r="F2189" s="268"/>
      <c r="G2189" s="269"/>
      <c r="H2189" s="269"/>
      <c r="I2189" s="270"/>
      <c r="J2189" s="32" t="s">
        <v>3400</v>
      </c>
      <c r="K2189" s="270"/>
      <c r="L2189" s="270"/>
      <c r="M2189" s="39"/>
      <c r="N2189" s="39"/>
      <c r="O2189" s="47"/>
      <c r="P2189" s="57"/>
      <c r="Q2189" s="276"/>
      <c r="R2189" s="277"/>
      <c r="S2189" s="277"/>
      <c r="T2189" s="40"/>
      <c r="U2189" s="278"/>
      <c r="V2189" s="269"/>
      <c r="W2189" s="269"/>
      <c r="X2189" s="275"/>
      <c r="Y2189" s="269"/>
      <c r="Z2189" s="357"/>
      <c r="AA2189" s="207"/>
      <c r="AB2189" s="369"/>
      <c r="AC2189" s="370"/>
      <c r="AD2189" s="332"/>
      <c r="AE2189" s="216"/>
      <c r="AF2189" s="43"/>
      <c r="AG2189" s="47"/>
      <c r="AH2189" s="30"/>
      <c r="AI2189" s="30"/>
      <c r="AJ2189" s="30"/>
      <c r="AK2189" s="30"/>
      <c r="AL2189" s="13"/>
      <c r="AM2189" s="13"/>
      <c r="AN2189" s="13"/>
      <c r="AO2189" s="13"/>
      <c r="AP2189" s="13"/>
      <c r="AQ2189" s="14"/>
      <c r="AR2189" s="15"/>
    </row>
    <row r="2190" spans="1:44" s="17" customFormat="1" ht="30.95" hidden="1" customHeight="1" x14ac:dyDescent="0.2">
      <c r="A2190" s="343"/>
      <c r="B2190" s="344"/>
      <c r="C2190" s="345"/>
      <c r="D2190" s="398"/>
      <c r="E2190" s="31"/>
      <c r="F2190" s="268"/>
      <c r="G2190" s="269"/>
      <c r="H2190" s="269"/>
      <c r="I2190" s="270"/>
      <c r="J2190" s="32"/>
      <c r="K2190" s="270"/>
      <c r="L2190" s="270"/>
      <c r="M2190" s="39"/>
      <c r="N2190" s="39"/>
      <c r="O2190" s="47"/>
      <c r="P2190" s="57"/>
      <c r="Q2190" s="276"/>
      <c r="R2190" s="277"/>
      <c r="S2190" s="277"/>
      <c r="T2190" s="40"/>
      <c r="U2190" s="278"/>
      <c r="V2190" s="269"/>
      <c r="W2190" s="269"/>
      <c r="X2190" s="275"/>
      <c r="Y2190" s="269"/>
      <c r="Z2190" s="357"/>
      <c r="AA2190" s="207"/>
      <c r="AB2190" s="369"/>
      <c r="AC2190" s="370"/>
      <c r="AD2190" s="332"/>
      <c r="AE2190" s="216"/>
      <c r="AF2190" s="43"/>
      <c r="AG2190" s="47"/>
      <c r="AH2190" s="30"/>
      <c r="AI2190" s="30"/>
      <c r="AJ2190" s="30"/>
      <c r="AK2190" s="30"/>
      <c r="AL2190" s="13"/>
      <c r="AM2190" s="13"/>
      <c r="AN2190" s="13"/>
      <c r="AO2190" s="13"/>
      <c r="AP2190" s="13"/>
      <c r="AQ2190" s="14"/>
      <c r="AR2190" s="15"/>
    </row>
    <row r="2191" spans="1:44" s="17" customFormat="1" ht="30.95" hidden="1" customHeight="1" x14ac:dyDescent="0.2">
      <c r="A2191" s="343" t="s">
        <v>3401</v>
      </c>
      <c r="B2191" s="344" t="s">
        <v>3402</v>
      </c>
      <c r="C2191" s="345"/>
      <c r="D2191" s="398"/>
      <c r="E2191" s="31"/>
      <c r="F2191" s="268"/>
      <c r="G2191" s="269"/>
      <c r="H2191" s="269"/>
      <c r="I2191" s="270"/>
      <c r="J2191" s="32" t="s">
        <v>3400</v>
      </c>
      <c r="K2191" s="270"/>
      <c r="L2191" s="270"/>
      <c r="M2191" s="39"/>
      <c r="N2191" s="39"/>
      <c r="O2191" s="47"/>
      <c r="P2191" s="57"/>
      <c r="Q2191" s="276"/>
      <c r="R2191" s="277"/>
      <c r="S2191" s="277"/>
      <c r="T2191" s="40"/>
      <c r="U2191" s="278"/>
      <c r="V2191" s="269"/>
      <c r="W2191" s="269"/>
      <c r="X2191" s="275"/>
      <c r="Y2191" s="269"/>
      <c r="Z2191" s="357"/>
      <c r="AA2191" s="207"/>
      <c r="AB2191" s="369"/>
      <c r="AC2191" s="370"/>
      <c r="AD2191" s="332"/>
      <c r="AE2191" s="216"/>
      <c r="AF2191" s="43"/>
      <c r="AG2191" s="47"/>
      <c r="AH2191" s="30"/>
      <c r="AI2191" s="30"/>
      <c r="AJ2191" s="30"/>
      <c r="AK2191" s="30"/>
      <c r="AL2191" s="13"/>
      <c r="AM2191" s="13"/>
      <c r="AN2191" s="13"/>
      <c r="AO2191" s="13"/>
      <c r="AP2191" s="13"/>
      <c r="AQ2191" s="14"/>
      <c r="AR2191" s="15"/>
    </row>
    <row r="2192" spans="1:44" s="17" customFormat="1" ht="30.95" hidden="1" customHeight="1" x14ac:dyDescent="0.2">
      <c r="A2192" s="343"/>
      <c r="B2192" s="344"/>
      <c r="C2192" s="345"/>
      <c r="D2192" s="398"/>
      <c r="E2192" s="31"/>
      <c r="F2192" s="268"/>
      <c r="G2192" s="269"/>
      <c r="H2192" s="269"/>
      <c r="I2192" s="270"/>
      <c r="J2192" s="32"/>
      <c r="K2192" s="270"/>
      <c r="L2192" s="270"/>
      <c r="M2192" s="39"/>
      <c r="N2192" s="39"/>
      <c r="O2192" s="47"/>
      <c r="P2192" s="57"/>
      <c r="Q2192" s="276"/>
      <c r="R2192" s="277"/>
      <c r="S2192" s="277"/>
      <c r="T2192" s="40"/>
      <c r="U2192" s="278"/>
      <c r="V2192" s="269"/>
      <c r="W2192" s="269"/>
      <c r="X2192" s="275"/>
      <c r="Y2192" s="269"/>
      <c r="Z2192" s="357"/>
      <c r="AA2192" s="207"/>
      <c r="AB2192" s="369"/>
      <c r="AC2192" s="370"/>
      <c r="AD2192" s="332"/>
      <c r="AE2192" s="216"/>
      <c r="AF2192" s="43"/>
      <c r="AG2192" s="47"/>
      <c r="AH2192" s="30"/>
      <c r="AI2192" s="30"/>
      <c r="AJ2192" s="30"/>
      <c r="AK2192" s="30"/>
      <c r="AL2192" s="13"/>
      <c r="AM2192" s="13"/>
      <c r="AN2192" s="13"/>
      <c r="AO2192" s="13"/>
      <c r="AP2192" s="13"/>
      <c r="AQ2192" s="14"/>
      <c r="AR2192" s="15"/>
    </row>
    <row r="2193" spans="1:44" s="17" customFormat="1" ht="30.95" hidden="1" customHeight="1" x14ac:dyDescent="0.2">
      <c r="A2193" s="343" t="s">
        <v>3403</v>
      </c>
      <c r="B2193" s="344" t="s">
        <v>3404</v>
      </c>
      <c r="C2193" s="345"/>
      <c r="D2193" s="398"/>
      <c r="E2193" s="31"/>
      <c r="F2193" s="268"/>
      <c r="G2193" s="269"/>
      <c r="H2193" s="269"/>
      <c r="I2193" s="270"/>
      <c r="J2193" s="32" t="s">
        <v>3405</v>
      </c>
      <c r="K2193" s="270"/>
      <c r="L2193" s="270"/>
      <c r="M2193" s="39"/>
      <c r="N2193" s="39"/>
      <c r="O2193" s="47"/>
      <c r="P2193" s="57"/>
      <c r="Q2193" s="276"/>
      <c r="R2193" s="277"/>
      <c r="S2193" s="277"/>
      <c r="T2193" s="40"/>
      <c r="U2193" s="278"/>
      <c r="V2193" s="269"/>
      <c r="W2193" s="269"/>
      <c r="X2193" s="275"/>
      <c r="Y2193" s="269"/>
      <c r="Z2193" s="357"/>
      <c r="AA2193" s="207"/>
      <c r="AB2193" s="369"/>
      <c r="AC2193" s="370"/>
      <c r="AD2193" s="332"/>
      <c r="AE2193" s="216"/>
      <c r="AF2193" s="43"/>
      <c r="AG2193" s="47"/>
      <c r="AH2193" s="30"/>
      <c r="AI2193" s="30"/>
      <c r="AJ2193" s="30"/>
      <c r="AK2193" s="30"/>
      <c r="AL2193" s="13"/>
      <c r="AM2193" s="13"/>
      <c r="AN2193" s="13"/>
      <c r="AO2193" s="13"/>
      <c r="AP2193" s="13"/>
      <c r="AQ2193" s="14"/>
      <c r="AR2193" s="15"/>
    </row>
    <row r="2194" spans="1:44" s="17" customFormat="1" ht="30.95" hidden="1" customHeight="1" x14ac:dyDescent="0.2">
      <c r="A2194" s="343"/>
      <c r="B2194" s="344"/>
      <c r="C2194" s="345"/>
      <c r="D2194" s="398"/>
      <c r="E2194" s="31"/>
      <c r="F2194" s="268"/>
      <c r="G2194" s="269"/>
      <c r="H2194" s="269"/>
      <c r="I2194" s="270"/>
      <c r="J2194" s="32"/>
      <c r="K2194" s="270"/>
      <c r="L2194" s="270"/>
      <c r="M2194" s="39"/>
      <c r="N2194" s="39"/>
      <c r="O2194" s="47"/>
      <c r="P2194" s="57"/>
      <c r="Q2194" s="276"/>
      <c r="R2194" s="277"/>
      <c r="S2194" s="277"/>
      <c r="T2194" s="40"/>
      <c r="U2194" s="278"/>
      <c r="V2194" s="269"/>
      <c r="W2194" s="269"/>
      <c r="X2194" s="275"/>
      <c r="Y2194" s="269"/>
      <c r="Z2194" s="357"/>
      <c r="AA2194" s="207"/>
      <c r="AB2194" s="369"/>
      <c r="AC2194" s="370"/>
      <c r="AD2194" s="332"/>
      <c r="AE2194" s="216"/>
      <c r="AF2194" s="43"/>
      <c r="AG2194" s="47"/>
      <c r="AH2194" s="30"/>
      <c r="AI2194" s="30"/>
      <c r="AJ2194" s="30"/>
      <c r="AK2194" s="30"/>
      <c r="AL2194" s="13"/>
      <c r="AM2194" s="13"/>
      <c r="AN2194" s="13"/>
      <c r="AO2194" s="13"/>
      <c r="AP2194" s="13"/>
      <c r="AQ2194" s="14"/>
      <c r="AR2194" s="15"/>
    </row>
    <row r="2195" spans="1:44" s="17" customFormat="1" ht="30.95" hidden="1" customHeight="1" x14ac:dyDescent="0.2">
      <c r="A2195" s="343" t="s">
        <v>3406</v>
      </c>
      <c r="B2195" s="344" t="s">
        <v>3407</v>
      </c>
      <c r="C2195" s="345"/>
      <c r="D2195" s="398"/>
      <c r="E2195" s="31"/>
      <c r="F2195" s="268"/>
      <c r="G2195" s="269"/>
      <c r="H2195" s="269"/>
      <c r="I2195" s="270"/>
      <c r="J2195" s="32" t="s">
        <v>3405</v>
      </c>
      <c r="K2195" s="270"/>
      <c r="L2195" s="270"/>
      <c r="M2195" s="39"/>
      <c r="N2195" s="39"/>
      <c r="O2195" s="47"/>
      <c r="P2195" s="57"/>
      <c r="Q2195" s="276"/>
      <c r="R2195" s="277"/>
      <c r="S2195" s="277"/>
      <c r="T2195" s="40"/>
      <c r="U2195" s="278"/>
      <c r="V2195" s="269"/>
      <c r="W2195" s="269"/>
      <c r="X2195" s="275"/>
      <c r="Y2195" s="269"/>
      <c r="Z2195" s="357"/>
      <c r="AA2195" s="207"/>
      <c r="AB2195" s="369"/>
      <c r="AC2195" s="370"/>
      <c r="AD2195" s="332"/>
      <c r="AE2195" s="216"/>
      <c r="AF2195" s="43"/>
      <c r="AG2195" s="47"/>
      <c r="AH2195" s="30"/>
      <c r="AI2195" s="30"/>
      <c r="AJ2195" s="30"/>
      <c r="AK2195" s="30"/>
      <c r="AL2195" s="13"/>
      <c r="AM2195" s="13"/>
      <c r="AN2195" s="13"/>
      <c r="AO2195" s="13"/>
      <c r="AP2195" s="13"/>
      <c r="AQ2195" s="14"/>
      <c r="AR2195" s="15"/>
    </row>
    <row r="2196" spans="1:44" s="17" customFormat="1" ht="30.95" hidden="1" customHeight="1" x14ac:dyDescent="0.2">
      <c r="A2196" s="343"/>
      <c r="B2196" s="344"/>
      <c r="C2196" s="345"/>
      <c r="D2196" s="398"/>
      <c r="E2196" s="31"/>
      <c r="F2196" s="268"/>
      <c r="G2196" s="269"/>
      <c r="H2196" s="269"/>
      <c r="I2196" s="270"/>
      <c r="J2196" s="32"/>
      <c r="K2196" s="270"/>
      <c r="L2196" s="270"/>
      <c r="M2196" s="39"/>
      <c r="N2196" s="39"/>
      <c r="O2196" s="47"/>
      <c r="P2196" s="57"/>
      <c r="Q2196" s="276"/>
      <c r="R2196" s="277"/>
      <c r="S2196" s="277"/>
      <c r="T2196" s="40"/>
      <c r="U2196" s="278"/>
      <c r="V2196" s="269"/>
      <c r="W2196" s="269"/>
      <c r="X2196" s="275"/>
      <c r="Y2196" s="269"/>
      <c r="Z2196" s="357"/>
      <c r="AA2196" s="207"/>
      <c r="AB2196" s="369"/>
      <c r="AC2196" s="370"/>
      <c r="AD2196" s="332"/>
      <c r="AE2196" s="216"/>
      <c r="AF2196" s="43"/>
      <c r="AG2196" s="47"/>
      <c r="AH2196" s="30"/>
      <c r="AI2196" s="30"/>
      <c r="AJ2196" s="30"/>
      <c r="AK2196" s="30"/>
      <c r="AL2196" s="13"/>
      <c r="AM2196" s="13"/>
      <c r="AN2196" s="13"/>
      <c r="AO2196" s="13"/>
      <c r="AP2196" s="13"/>
      <c r="AQ2196" s="14"/>
      <c r="AR2196" s="15"/>
    </row>
    <row r="2197" spans="1:44" s="17" customFormat="1" ht="30.95" hidden="1" customHeight="1" x14ac:dyDescent="0.2">
      <c r="A2197" s="343" t="s">
        <v>3408</v>
      </c>
      <c r="B2197" s="344" t="s">
        <v>3409</v>
      </c>
      <c r="C2197" s="345"/>
      <c r="D2197" s="398"/>
      <c r="E2197" s="31"/>
      <c r="F2197" s="268"/>
      <c r="G2197" s="269"/>
      <c r="H2197" s="269"/>
      <c r="I2197" s="270"/>
      <c r="J2197" s="32" t="s">
        <v>3410</v>
      </c>
      <c r="K2197" s="270"/>
      <c r="L2197" s="270"/>
      <c r="M2197" s="39"/>
      <c r="N2197" s="39"/>
      <c r="O2197" s="47"/>
      <c r="P2197" s="57"/>
      <c r="Q2197" s="276"/>
      <c r="R2197" s="277"/>
      <c r="S2197" s="277"/>
      <c r="T2197" s="40"/>
      <c r="U2197" s="278"/>
      <c r="V2197" s="269"/>
      <c r="W2197" s="269"/>
      <c r="X2197" s="275"/>
      <c r="Y2197" s="269"/>
      <c r="Z2197" s="357"/>
      <c r="AA2197" s="207"/>
      <c r="AB2197" s="369"/>
      <c r="AC2197" s="370"/>
      <c r="AD2197" s="332"/>
      <c r="AE2197" s="216"/>
      <c r="AF2197" s="43"/>
      <c r="AG2197" s="47"/>
      <c r="AH2197" s="30"/>
      <c r="AI2197" s="30"/>
      <c r="AJ2197" s="30"/>
      <c r="AK2197" s="30"/>
      <c r="AL2197" s="13"/>
      <c r="AM2197" s="13"/>
      <c r="AN2197" s="13"/>
      <c r="AO2197" s="13"/>
      <c r="AP2197" s="13"/>
      <c r="AQ2197" s="14"/>
      <c r="AR2197" s="15"/>
    </row>
    <row r="2198" spans="1:44" s="17" customFormat="1" ht="30.95" hidden="1" customHeight="1" x14ac:dyDescent="0.2">
      <c r="A2198" s="343"/>
      <c r="B2198" s="344"/>
      <c r="C2198" s="345"/>
      <c r="D2198" s="398"/>
      <c r="E2198" s="31"/>
      <c r="F2198" s="268"/>
      <c r="G2198" s="269"/>
      <c r="H2198" s="269"/>
      <c r="I2198" s="270"/>
      <c r="J2198" s="32"/>
      <c r="K2198" s="270"/>
      <c r="L2198" s="270"/>
      <c r="M2198" s="39"/>
      <c r="N2198" s="39"/>
      <c r="O2198" s="47"/>
      <c r="P2198" s="57"/>
      <c r="Q2198" s="276"/>
      <c r="R2198" s="277"/>
      <c r="S2198" s="277"/>
      <c r="T2198" s="40"/>
      <c r="U2198" s="278"/>
      <c r="V2198" s="269"/>
      <c r="W2198" s="269"/>
      <c r="X2198" s="275"/>
      <c r="Y2198" s="269"/>
      <c r="Z2198" s="357"/>
      <c r="AA2198" s="207"/>
      <c r="AB2198" s="369"/>
      <c r="AC2198" s="370"/>
      <c r="AD2198" s="332"/>
      <c r="AE2198" s="216"/>
      <c r="AF2198" s="43"/>
      <c r="AG2198" s="47"/>
      <c r="AH2198" s="30"/>
      <c r="AI2198" s="30"/>
      <c r="AJ2198" s="30"/>
      <c r="AK2198" s="30"/>
      <c r="AL2198" s="13"/>
      <c r="AM2198" s="13"/>
      <c r="AN2198" s="13"/>
      <c r="AO2198" s="13"/>
      <c r="AP2198" s="13"/>
      <c r="AQ2198" s="14"/>
      <c r="AR2198" s="15"/>
    </row>
    <row r="2199" spans="1:44" s="17" customFormat="1" ht="30.95" hidden="1" customHeight="1" x14ac:dyDescent="0.2">
      <c r="A2199" s="343" t="s">
        <v>3411</v>
      </c>
      <c r="B2199" s="344" t="s">
        <v>3412</v>
      </c>
      <c r="C2199" s="345"/>
      <c r="D2199" s="398"/>
      <c r="E2199" s="31"/>
      <c r="F2199" s="268"/>
      <c r="G2199" s="269"/>
      <c r="H2199" s="269"/>
      <c r="I2199" s="270"/>
      <c r="J2199" s="32" t="s">
        <v>489</v>
      </c>
      <c r="K2199" s="270"/>
      <c r="L2199" s="270"/>
      <c r="M2199" s="39"/>
      <c r="N2199" s="39"/>
      <c r="O2199" s="47"/>
      <c r="P2199" s="57"/>
      <c r="Q2199" s="276"/>
      <c r="R2199" s="277"/>
      <c r="S2199" s="277"/>
      <c r="T2199" s="40"/>
      <c r="U2199" s="278"/>
      <c r="V2199" s="269"/>
      <c r="W2199" s="269"/>
      <c r="X2199" s="275"/>
      <c r="Y2199" s="269"/>
      <c r="Z2199" s="357"/>
      <c r="AA2199" s="207"/>
      <c r="AB2199" s="369"/>
      <c r="AC2199" s="370"/>
      <c r="AD2199" s="332"/>
      <c r="AE2199" s="216"/>
      <c r="AF2199" s="43"/>
      <c r="AG2199" s="47"/>
      <c r="AH2199" s="30"/>
      <c r="AI2199" s="30"/>
      <c r="AJ2199" s="30"/>
      <c r="AK2199" s="30"/>
      <c r="AL2199" s="13"/>
      <c r="AM2199" s="13"/>
      <c r="AN2199" s="13"/>
      <c r="AO2199" s="13"/>
      <c r="AP2199" s="13"/>
      <c r="AQ2199" s="14"/>
      <c r="AR2199" s="15"/>
    </row>
    <row r="2200" spans="1:44" s="17" customFormat="1" ht="30.95" hidden="1" customHeight="1" x14ac:dyDescent="0.2">
      <c r="A2200" s="343"/>
      <c r="B2200" s="344"/>
      <c r="C2200" s="345"/>
      <c r="D2200" s="398"/>
      <c r="E2200" s="31"/>
      <c r="F2200" s="268"/>
      <c r="G2200" s="269"/>
      <c r="H2200" s="269"/>
      <c r="I2200" s="270"/>
      <c r="J2200" s="32"/>
      <c r="K2200" s="270"/>
      <c r="L2200" s="270"/>
      <c r="M2200" s="39"/>
      <c r="N2200" s="39"/>
      <c r="O2200" s="47"/>
      <c r="P2200" s="57"/>
      <c r="Q2200" s="276"/>
      <c r="R2200" s="277"/>
      <c r="S2200" s="277"/>
      <c r="T2200" s="40"/>
      <c r="U2200" s="278"/>
      <c r="V2200" s="269"/>
      <c r="W2200" s="269"/>
      <c r="X2200" s="275"/>
      <c r="Y2200" s="269"/>
      <c r="Z2200" s="357"/>
      <c r="AA2200" s="207"/>
      <c r="AB2200" s="369"/>
      <c r="AC2200" s="370"/>
      <c r="AD2200" s="332"/>
      <c r="AE2200" s="216"/>
      <c r="AF2200" s="43"/>
      <c r="AG2200" s="47"/>
      <c r="AH2200" s="30"/>
      <c r="AI2200" s="30"/>
      <c r="AJ2200" s="30"/>
      <c r="AK2200" s="30"/>
      <c r="AL2200" s="13"/>
      <c r="AM2200" s="13"/>
      <c r="AN2200" s="13"/>
      <c r="AO2200" s="13"/>
      <c r="AP2200" s="13"/>
      <c r="AQ2200" s="14"/>
      <c r="AR2200" s="15"/>
    </row>
    <row r="2201" spans="1:44" s="17" customFormat="1" ht="30.95" hidden="1" customHeight="1" x14ac:dyDescent="0.2">
      <c r="A2201" s="343" t="s">
        <v>3460</v>
      </c>
      <c r="B2201" s="344" t="s">
        <v>3461</v>
      </c>
      <c r="C2201" s="345"/>
      <c r="D2201" s="448" t="s">
        <v>3462</v>
      </c>
      <c r="E2201" s="414" t="s">
        <v>3463</v>
      </c>
      <c r="F2201" s="268" t="s">
        <v>2823</v>
      </c>
      <c r="G2201" s="269" t="s">
        <v>3452</v>
      </c>
      <c r="H2201" s="269" t="s">
        <v>3453</v>
      </c>
      <c r="I2201" s="270" t="s">
        <v>3454</v>
      </c>
      <c r="J2201" s="32" t="s">
        <v>3455</v>
      </c>
      <c r="K2201" s="270">
        <v>25</v>
      </c>
      <c r="L2201" s="270" t="s">
        <v>3456</v>
      </c>
      <c r="M2201" s="39">
        <v>1200</v>
      </c>
      <c r="N2201" s="39">
        <v>8000</v>
      </c>
      <c r="O2201" s="47">
        <v>1</v>
      </c>
      <c r="P2201" s="213">
        <v>45629</v>
      </c>
      <c r="Q2201" s="276">
        <v>1200</v>
      </c>
      <c r="R2201" s="277">
        <v>1200</v>
      </c>
      <c r="S2201" s="277">
        <v>10000</v>
      </c>
      <c r="T2201" s="40">
        <v>1</v>
      </c>
      <c r="U2201" s="278">
        <v>1</v>
      </c>
      <c r="V2201" s="269"/>
      <c r="W2201" s="269"/>
      <c r="X2201" s="275">
        <v>2</v>
      </c>
      <c r="Y2201" s="269" t="s">
        <v>3458</v>
      </c>
      <c r="Z2201" s="357"/>
      <c r="AA2201" s="207" t="s">
        <v>2892</v>
      </c>
      <c r="AB2201" s="369"/>
      <c r="AC2201" s="370"/>
      <c r="AD2201" s="332"/>
      <c r="AE2201" s="216"/>
      <c r="AF2201" s="43"/>
      <c r="AG2201" s="47"/>
      <c r="AH2201" s="30"/>
      <c r="AI2201" s="30"/>
      <c r="AJ2201" s="30"/>
      <c r="AK2201" s="30"/>
      <c r="AL2201" s="13"/>
      <c r="AM2201" s="13"/>
      <c r="AN2201" s="13"/>
      <c r="AO2201" s="13"/>
      <c r="AP2201" s="13"/>
      <c r="AQ2201" s="14"/>
      <c r="AR2201" s="15"/>
    </row>
    <row r="2202" spans="1:44" s="17" customFormat="1" ht="30.95" hidden="1" customHeight="1" x14ac:dyDescent="0.2">
      <c r="A2202" s="343"/>
      <c r="B2202" s="344"/>
      <c r="C2202" s="345"/>
      <c r="D2202" s="398"/>
      <c r="E2202" s="31"/>
      <c r="F2202" s="268" t="s">
        <v>2823</v>
      </c>
      <c r="G2202" s="269" t="s">
        <v>3452</v>
      </c>
      <c r="H2202" s="269" t="s">
        <v>3453</v>
      </c>
      <c r="I2202" s="270" t="s">
        <v>3459</v>
      </c>
      <c r="J2202" s="32" t="s">
        <v>3455</v>
      </c>
      <c r="K2202" s="270">
        <v>25</v>
      </c>
      <c r="L2202" s="270" t="s">
        <v>3457</v>
      </c>
      <c r="M2202" s="39">
        <v>1200</v>
      </c>
      <c r="N2202" s="39">
        <v>2000</v>
      </c>
      <c r="O2202" s="47">
        <v>1</v>
      </c>
      <c r="P2202" s="213">
        <v>45629</v>
      </c>
      <c r="Q2202" s="276"/>
      <c r="R2202" s="277"/>
      <c r="S2202" s="277"/>
      <c r="T2202" s="40"/>
      <c r="U2202" s="278">
        <v>1</v>
      </c>
      <c r="V2202" s="269"/>
      <c r="W2202" s="269"/>
      <c r="X2202" s="275">
        <v>2</v>
      </c>
      <c r="Y2202" s="269" t="s">
        <v>3458</v>
      </c>
      <c r="Z2202" s="357"/>
      <c r="AA2202" s="207"/>
      <c r="AB2202" s="369"/>
      <c r="AC2202" s="370"/>
      <c r="AD2202" s="332"/>
      <c r="AE2202" s="216"/>
      <c r="AF2202" s="43"/>
      <c r="AG2202" s="47"/>
      <c r="AH2202" s="30"/>
      <c r="AI2202" s="30"/>
      <c r="AJ2202" s="30"/>
      <c r="AK2202" s="30"/>
      <c r="AL2202" s="13"/>
      <c r="AM2202" s="13"/>
      <c r="AN2202" s="13"/>
      <c r="AO2202" s="13"/>
      <c r="AP2202" s="13"/>
      <c r="AQ2202" s="14"/>
      <c r="AR2202" s="15"/>
    </row>
    <row r="2203" spans="1:44" s="17" customFormat="1" ht="30.95" hidden="1" customHeight="1" x14ac:dyDescent="0.2">
      <c r="A2203" s="343"/>
      <c r="B2203" s="344"/>
      <c r="C2203" s="345"/>
      <c r="D2203" s="398"/>
      <c r="E2203" s="31"/>
      <c r="F2203" s="268"/>
      <c r="G2203" s="269"/>
      <c r="H2203" s="269"/>
      <c r="I2203" s="301" t="s">
        <v>3476</v>
      </c>
      <c r="J2203" s="32"/>
      <c r="K2203" s="270"/>
      <c r="L2203" s="270"/>
      <c r="M2203" s="39"/>
      <c r="N2203" s="39"/>
      <c r="O2203" s="47"/>
      <c r="P2203" s="57"/>
      <c r="Q2203" s="276"/>
      <c r="R2203" s="277"/>
      <c r="S2203" s="277"/>
      <c r="T2203" s="40"/>
      <c r="U2203" s="278"/>
      <c r="V2203" s="269"/>
      <c r="W2203" s="269"/>
      <c r="X2203" s="275"/>
      <c r="Y2203" s="269"/>
      <c r="Z2203" s="357"/>
      <c r="AA2203" s="207"/>
      <c r="AB2203" s="369"/>
      <c r="AC2203" s="370"/>
      <c r="AD2203" s="332"/>
      <c r="AE2203" s="216"/>
      <c r="AF2203" s="43"/>
      <c r="AG2203" s="47"/>
      <c r="AH2203" s="30"/>
      <c r="AI2203" s="30"/>
      <c r="AJ2203" s="30"/>
      <c r="AK2203" s="30"/>
      <c r="AL2203" s="13"/>
      <c r="AM2203" s="13"/>
      <c r="AN2203" s="13"/>
      <c r="AO2203" s="13"/>
      <c r="AP2203" s="13"/>
      <c r="AQ2203" s="14"/>
      <c r="AR2203" s="15"/>
    </row>
    <row r="2204" spans="1:44" s="17" customFormat="1" ht="30.95" hidden="1" customHeight="1" x14ac:dyDescent="0.2">
      <c r="A2204" s="343" t="s">
        <v>3415</v>
      </c>
      <c r="B2204" s="344" t="s">
        <v>3399</v>
      </c>
      <c r="C2204" s="345"/>
      <c r="D2204" s="398"/>
      <c r="E2204" s="31"/>
      <c r="F2204" s="268"/>
      <c r="G2204" s="269"/>
      <c r="H2204" s="269"/>
      <c r="I2204" s="270"/>
      <c r="J2204" s="32" t="s">
        <v>1888</v>
      </c>
      <c r="K2204" s="270"/>
      <c r="L2204" s="270"/>
      <c r="M2204" s="39"/>
      <c r="N2204" s="39"/>
      <c r="O2204" s="47"/>
      <c r="P2204" s="57"/>
      <c r="Q2204" s="276"/>
      <c r="R2204" s="277"/>
      <c r="S2204" s="277"/>
      <c r="T2204" s="40"/>
      <c r="U2204" s="278"/>
      <c r="V2204" s="269"/>
      <c r="W2204" s="269"/>
      <c r="X2204" s="275"/>
      <c r="Y2204" s="269"/>
      <c r="Z2204" s="357"/>
      <c r="AA2204" s="207"/>
      <c r="AB2204" s="369"/>
      <c r="AC2204" s="370"/>
      <c r="AD2204" s="332"/>
      <c r="AE2204" s="216"/>
      <c r="AF2204" s="43"/>
      <c r="AG2204" s="47"/>
      <c r="AH2204" s="30"/>
      <c r="AI2204" s="30"/>
      <c r="AJ2204" s="30"/>
      <c r="AK2204" s="30"/>
      <c r="AL2204" s="13"/>
      <c r="AM2204" s="13"/>
      <c r="AN2204" s="13"/>
      <c r="AO2204" s="13"/>
      <c r="AP2204" s="13"/>
      <c r="AQ2204" s="14"/>
      <c r="AR2204" s="15"/>
    </row>
    <row r="2205" spans="1:44" s="17" customFormat="1" ht="30.95" hidden="1" customHeight="1" x14ac:dyDescent="0.2">
      <c r="A2205" s="343"/>
      <c r="B2205" s="344"/>
      <c r="C2205" s="345"/>
      <c r="D2205" s="398"/>
      <c r="E2205" s="31"/>
      <c r="F2205" s="268"/>
      <c r="G2205" s="269"/>
      <c r="H2205" s="269"/>
      <c r="I2205" s="270"/>
      <c r="J2205" s="32"/>
      <c r="K2205" s="270"/>
      <c r="L2205" s="270"/>
      <c r="M2205" s="39"/>
      <c r="N2205" s="39"/>
      <c r="O2205" s="47"/>
      <c r="P2205" s="57"/>
      <c r="Q2205" s="276"/>
      <c r="R2205" s="277"/>
      <c r="S2205" s="277"/>
      <c r="T2205" s="40"/>
      <c r="U2205" s="278"/>
      <c r="V2205" s="269"/>
      <c r="W2205" s="269"/>
      <c r="X2205" s="275"/>
      <c r="Y2205" s="269"/>
      <c r="Z2205" s="357"/>
      <c r="AA2205" s="207"/>
      <c r="AB2205" s="369"/>
      <c r="AC2205" s="370"/>
      <c r="AD2205" s="332"/>
      <c r="AE2205" s="216"/>
      <c r="AF2205" s="43"/>
      <c r="AG2205" s="47"/>
      <c r="AH2205" s="30"/>
      <c r="AI2205" s="30"/>
      <c r="AJ2205" s="30"/>
      <c r="AK2205" s="30"/>
      <c r="AL2205" s="13"/>
      <c r="AM2205" s="13"/>
      <c r="AN2205" s="13"/>
      <c r="AO2205" s="13"/>
      <c r="AP2205" s="13"/>
      <c r="AQ2205" s="14"/>
      <c r="AR2205" s="15"/>
    </row>
    <row r="2206" spans="1:44" s="17" customFormat="1" ht="30.95" hidden="1" customHeight="1" x14ac:dyDescent="0.2">
      <c r="A2206" s="343" t="s">
        <v>1837</v>
      </c>
      <c r="B2206" s="344" t="s">
        <v>3402</v>
      </c>
      <c r="C2206" s="345"/>
      <c r="D2206" s="31">
        <v>3783798</v>
      </c>
      <c r="E2206" s="31">
        <v>4172148</v>
      </c>
      <c r="F2206" s="268" t="str">
        <f>IF(D2206="","",VLOOKUP(D2206,契約台帳!$A$3:$K$4986,6,FALSE)&amp;VLOOKUP(D2206,契約台帳!$A$3:$K$4986,7,FALSE)&amp;VLOOKUP(D2206,契約台帳!$A$3:$K$4986,8,FALSE)&amp;VLOOKUP(D2206,契約台帳!$A$3:$K$4986,9,FALSE)&amp;VLOOKUP(D2206,契約台帳!$A$3:$K$4986,11,FALSE))</f>
        <v>3SNMLBMSF</v>
      </c>
      <c r="G2206" s="269" t="str">
        <f>IF(D2206="","",VLOOKUP(F2206,製品マスタ!$G$5:$H$5002,2,FALSE))</f>
        <v>S</v>
      </c>
      <c r="H2206" s="269" t="str">
        <f>IF(D2206="","",VLOOKUP(F2206,製品マスタ!$G$5:$K$5002,5,FALSE))</f>
        <v>MSF</v>
      </c>
      <c r="I2206" s="270" t="str">
        <f>IF(D2206="","",VLOOKUP(F2206,製品マスタ!$G$5:$L$5002,6,FALSE))</f>
        <v>メタルミー　Ｓ</v>
      </c>
      <c r="J2206" s="32" t="s">
        <v>3017</v>
      </c>
      <c r="K2206" s="270">
        <f>IF(D2206="","",VLOOKUP(D2206,契約台帳!$A$3:$L$4986,12,FALSE))</f>
        <v>25</v>
      </c>
      <c r="L2206" s="270" t="str">
        <f>IF(D2206="","",INDEX(製品マスタ!$Q$5:$Q$5002,MATCH(F2206&amp;K2206,製品マスタ!$AO$5:$AO$5002,0)))</f>
        <v>T62M</v>
      </c>
      <c r="M2206" s="39">
        <v>1240</v>
      </c>
      <c r="N2206" s="39">
        <v>12200</v>
      </c>
      <c r="O2206" s="47">
        <v>1</v>
      </c>
      <c r="P2206" s="356">
        <v>45632</v>
      </c>
      <c r="Q2206" s="276">
        <f>IF(D2206="","",IF(J2206="リード付け",M2206,VLOOKUP(D2206,契約台帳!$A$3:$N$4986,14,FALSE)))</f>
        <v>1240</v>
      </c>
      <c r="R2206" s="277">
        <f>IF(D2206="","",IF(J2206="リード付け",M2206,VLOOKUP(D2206,契約台帳!$A$3:$O$4986,15,FALSE)))</f>
        <v>1240</v>
      </c>
      <c r="S2206" s="277">
        <f>IF(D2206="","",IF(J2206="リード付け",N2206,VLOOKUP(D2206,契約台帳!$A$3:$P$4986,16,FALSE)))</f>
        <v>12200</v>
      </c>
      <c r="T2206" s="40">
        <v>1</v>
      </c>
      <c r="U2206" s="278">
        <f ca="1">IF(D2206="","",IF(OFFSET(D2206,-2,0)=D2206,"",VLOOKUP(D2206,契約台帳!$A$3:$R$4986,18,FALSE)))</f>
        <v>6</v>
      </c>
      <c r="V2206" s="269" t="str">
        <f>IF(J2206="巻返し",VLOOKUP(F2206&amp;K2206&amp;M2206,製品マスタ!$M$5:$AD$5002,18,FALSE),IF(J2206="リード付け","原反コア",IF(J2206="スリット",VLOOKUP(F2206&amp;K2206&amp;Q2206,製品マスタ!$N$5:$AD$5002,17,FALSE),"")))</f>
        <v>原反コア</v>
      </c>
      <c r="W2206" s="269" t="str">
        <f>IF(J2206="巻返し",VLOOKUP(F2206&amp;K2206&amp;M2206,製品マスタ!$M$5:$AE$5002,19,FALSE),IF(J2206="リード付け","-",IF(J2206="スリット",VLOOKUP(F2206&amp;K2206&amp;Q2206,製品マスタ!$N$5:$AE$5002,18,FALSE),"")))</f>
        <v>-</v>
      </c>
      <c r="X2206" s="275">
        <f>IF(D2206="","",VLOOKUP(D2206,契約台帳!$A$3:$Q$4986,17,FALSE))</f>
        <v>1</v>
      </c>
      <c r="Y2206" s="269" t="str">
        <f>IF(D2206="","",VLOOKUP(D2206,契約台帳!$A$3:$E$4986,5,FALSE))</f>
        <v>日精㈱東京支店</v>
      </c>
      <c r="Z2206" s="357"/>
      <c r="AA2206" s="207"/>
      <c r="AB2206" s="369"/>
      <c r="AC2206" s="370"/>
      <c r="AD2206" s="332"/>
      <c r="AE2206" s="216"/>
      <c r="AF2206" s="43"/>
      <c r="AG2206" s="47"/>
      <c r="AH2206" s="30"/>
      <c r="AI2206" s="30"/>
      <c r="AJ2206" s="30"/>
      <c r="AK2206" s="30"/>
      <c r="AL2206" s="13"/>
      <c r="AM2206" s="13"/>
      <c r="AN2206" s="13"/>
      <c r="AO2206" s="13"/>
      <c r="AP2206" s="13"/>
      <c r="AQ2206" s="14"/>
      <c r="AR2206" s="15"/>
    </row>
    <row r="2207" spans="1:44" s="17" customFormat="1" ht="30.95" hidden="1" customHeight="1" x14ac:dyDescent="0.2">
      <c r="A2207" s="343"/>
      <c r="B2207" s="344"/>
      <c r="C2207" s="345"/>
      <c r="D2207" s="398"/>
      <c r="E2207" s="31"/>
      <c r="F2207" s="268"/>
      <c r="G2207" s="269"/>
      <c r="H2207" s="269"/>
      <c r="I2207" s="270"/>
      <c r="J2207" s="32"/>
      <c r="K2207" s="270"/>
      <c r="L2207" s="270"/>
      <c r="M2207" s="39"/>
      <c r="N2207" s="39"/>
      <c r="O2207" s="47"/>
      <c r="P2207" s="350"/>
      <c r="Q2207" s="276"/>
      <c r="R2207" s="277"/>
      <c r="S2207" s="277"/>
      <c r="T2207" s="40"/>
      <c r="U2207" s="278"/>
      <c r="V2207" s="269"/>
      <c r="W2207" s="269"/>
      <c r="X2207" s="275"/>
      <c r="Y2207" s="269"/>
      <c r="Z2207" s="357"/>
      <c r="AA2207" s="207"/>
      <c r="AB2207" s="369"/>
      <c r="AC2207" s="370"/>
      <c r="AD2207" s="332"/>
      <c r="AE2207" s="216"/>
      <c r="AF2207" s="43"/>
      <c r="AG2207" s="47"/>
      <c r="AH2207" s="30"/>
      <c r="AI2207" s="30"/>
      <c r="AJ2207" s="30"/>
      <c r="AK2207" s="30"/>
      <c r="AL2207" s="13"/>
      <c r="AM2207" s="13"/>
      <c r="AN2207" s="13"/>
      <c r="AO2207" s="13"/>
      <c r="AP2207" s="13"/>
      <c r="AQ2207" s="14"/>
      <c r="AR2207" s="15"/>
    </row>
    <row r="2208" spans="1:44" s="17" customFormat="1" ht="30.95" hidden="1" customHeight="1" x14ac:dyDescent="0.2">
      <c r="A2208" s="343"/>
      <c r="B2208" s="344"/>
      <c r="C2208" s="345"/>
      <c r="D2208" s="31">
        <v>3790256</v>
      </c>
      <c r="E2208" s="31">
        <v>4175536</v>
      </c>
      <c r="F2208" s="268" t="str">
        <f>IF(D2208="","",VLOOKUP(D2208,契約台帳!$A$3:$K$4986,6,FALSE)&amp;VLOOKUP(D2208,契約台帳!$A$3:$K$4986,7,FALSE)&amp;VLOOKUP(D2208,契約台帳!$A$3:$K$4986,8,FALSE)&amp;VLOOKUP(D2208,契約台帳!$A$3:$K$4986,9,FALSE)&amp;VLOOKUP(D2208,契約台帳!$A$3:$K$4986,11,FALSE))</f>
        <v>3SNMLBMNGTBF</v>
      </c>
      <c r="G2208" s="269" t="str">
        <f>IF(D2208="","",VLOOKUP(F2208,製品マスタ!$G$5:$H$5002,2,FALSE))</f>
        <v>S</v>
      </c>
      <c r="H2208" s="269" t="str">
        <f>IF(D2208="","",VLOOKUP(F2208,製品マスタ!$G$5:$K$5002,5,FALSE))</f>
        <v>MNGTBF</v>
      </c>
      <c r="I2208" s="270" t="str">
        <f>IF(D2208="","",VLOOKUP(F2208,製品マスタ!$G$5:$L$5002,6,FALSE))</f>
        <v>メタルミー　ネーマー　銀艶　Ｂ</v>
      </c>
      <c r="J2208" s="32" t="s">
        <v>3017</v>
      </c>
      <c r="K2208" s="270">
        <f>IF(D2208="","",VLOOKUP(D2208,契約台帳!$A$3:$L$4986,12,FALSE))</f>
        <v>25</v>
      </c>
      <c r="L2208" s="270" t="str">
        <f>IF(D2208="","",INDEX(製品マスタ!$Q$5:$Q$5002,MATCH(F2208&amp;K2208,製品マスタ!$AO$5:$AO$5002,0)))</f>
        <v>T62M</v>
      </c>
      <c r="M2208" s="39">
        <v>1125</v>
      </c>
      <c r="N2208" s="39">
        <v>12100</v>
      </c>
      <c r="O2208" s="47">
        <v>1</v>
      </c>
      <c r="P2208" s="356">
        <v>45632</v>
      </c>
      <c r="Q2208" s="276">
        <f>IF(D2208="","",IF(J2208="リード付け",M2208,VLOOKUP(D2208,契約台帳!$A$3:$N$4986,14,FALSE)))</f>
        <v>1125</v>
      </c>
      <c r="R2208" s="277">
        <f>IF(D2208="","",IF(J2208="リード付け",M2208,VLOOKUP(D2208,契約台帳!$A$3:$O$4986,15,FALSE)))</f>
        <v>1125</v>
      </c>
      <c r="S2208" s="277">
        <f>IF(D2208="","",IF(J2208="リード付け",N2208,VLOOKUP(D2208,契約台帳!$A$3:$P$4986,16,FALSE)))</f>
        <v>12100</v>
      </c>
      <c r="T2208" s="40">
        <v>1</v>
      </c>
      <c r="U2208" s="278">
        <f ca="1">IF(D2208="","",IF(OFFSET(D2208,-2,0)=D2208,"",VLOOKUP(D2208,契約台帳!$A$3:$R$4986,18,FALSE)))</f>
        <v>3</v>
      </c>
      <c r="V2208" s="269" t="str">
        <f>IF(J2208="巻返し",VLOOKUP(F2208&amp;K2208&amp;M2208,製品マスタ!$M$5:$AD$5002,18,FALSE),IF(J2208="リード付け","原反コア",IF(J2208="スリット",VLOOKUP(F2208&amp;K2208&amp;Q2208,製品マスタ!$N$5:$AD$5002,17,FALSE),"")))</f>
        <v>原反コア</v>
      </c>
      <c r="W2208" s="269" t="str">
        <f>IF(J2208="巻返し",VLOOKUP(F2208&amp;K2208&amp;M2208,製品マスタ!$M$5:$AE$5002,19,FALSE),IF(J2208="リード付け","-",IF(J2208="スリット",VLOOKUP(F2208&amp;K2208&amp;Q2208,製品マスタ!$N$5:$AE$5002,18,FALSE),"")))</f>
        <v>-</v>
      </c>
      <c r="X2208" s="275">
        <f>IF(D2208="","",VLOOKUP(D2208,契約台帳!$A$3:$Q$4986,17,FALSE))</f>
        <v>2</v>
      </c>
      <c r="Y2208" s="269" t="str">
        <f>IF(D2208="","",VLOOKUP(D2208,契約台帳!$A$3:$E$4986,5,FALSE))</f>
        <v>リンテック㈱</v>
      </c>
      <c r="Z2208" s="357"/>
      <c r="AA2208" s="207"/>
      <c r="AB2208" s="369"/>
      <c r="AC2208" s="370"/>
      <c r="AD2208" s="332"/>
      <c r="AE2208" s="216"/>
      <c r="AF2208" s="43"/>
      <c r="AG2208" s="47"/>
      <c r="AH2208" s="30"/>
      <c r="AI2208" s="30"/>
      <c r="AJ2208" s="30"/>
      <c r="AK2208" s="30"/>
      <c r="AL2208" s="13"/>
      <c r="AM2208" s="13"/>
      <c r="AN2208" s="13"/>
      <c r="AO2208" s="13"/>
      <c r="AP2208" s="13"/>
      <c r="AQ2208" s="14"/>
      <c r="AR2208" s="15"/>
    </row>
    <row r="2209" spans="1:44" s="17" customFormat="1" ht="30.95" hidden="1" customHeight="1" x14ac:dyDescent="0.2">
      <c r="A2209" s="343"/>
      <c r="B2209" s="344"/>
      <c r="C2209" s="345"/>
      <c r="D2209" s="398"/>
      <c r="E2209" s="31"/>
      <c r="F2209" s="268"/>
      <c r="G2209" s="269"/>
      <c r="H2209" s="269"/>
      <c r="I2209" s="270"/>
      <c r="J2209" s="32"/>
      <c r="K2209" s="270"/>
      <c r="L2209" s="270"/>
      <c r="M2209" s="39"/>
      <c r="N2209" s="39"/>
      <c r="O2209" s="47"/>
      <c r="P2209" s="57"/>
      <c r="Q2209" s="276"/>
      <c r="R2209" s="277"/>
      <c r="S2209" s="277"/>
      <c r="T2209" s="40"/>
      <c r="U2209" s="278"/>
      <c r="V2209" s="269"/>
      <c r="W2209" s="269"/>
      <c r="X2209" s="275"/>
      <c r="Y2209" s="269"/>
      <c r="Z2209" s="357"/>
      <c r="AA2209" s="207"/>
      <c r="AB2209" s="369"/>
      <c r="AC2209" s="370"/>
      <c r="AD2209" s="332"/>
      <c r="AE2209" s="216"/>
      <c r="AF2209" s="43"/>
      <c r="AG2209" s="47"/>
      <c r="AH2209" s="30"/>
      <c r="AI2209" s="30"/>
      <c r="AJ2209" s="30"/>
      <c r="AK2209" s="30"/>
      <c r="AL2209" s="13"/>
      <c r="AM2209" s="13"/>
      <c r="AN2209" s="13"/>
      <c r="AO2209" s="13"/>
      <c r="AP2209" s="13"/>
      <c r="AQ2209" s="14"/>
      <c r="AR2209" s="15"/>
    </row>
    <row r="2210" spans="1:44" s="17" customFormat="1" ht="30.95" hidden="1" customHeight="1" x14ac:dyDescent="0.2">
      <c r="A2210" s="343"/>
      <c r="B2210" s="344"/>
      <c r="C2210" s="345"/>
      <c r="D2210" s="31">
        <v>3790247</v>
      </c>
      <c r="E2210" s="31">
        <v>4175537</v>
      </c>
      <c r="F2210" s="268" t="str">
        <f>IF(D2210="","",VLOOKUP(D2210,契約台帳!$A$3:$K$4986,6,FALSE)&amp;VLOOKUP(D2210,契約台帳!$A$3:$K$4986,7,FALSE)&amp;VLOOKUP(D2210,契約台帳!$A$3:$K$4986,8,FALSE)&amp;VLOOKUP(D2210,契約台帳!$A$3:$K$4986,9,FALSE)&amp;VLOOKUP(D2210,契約台帳!$A$3:$K$4986,11,FALSE))</f>
        <v>3SNMLBMSF</v>
      </c>
      <c r="G2210" s="269" t="str">
        <f>IF(D2210="","",VLOOKUP(F2210,製品マスタ!$G$5:$H$5002,2,FALSE))</f>
        <v>S</v>
      </c>
      <c r="H2210" s="269" t="str">
        <f>IF(D2210="","",VLOOKUP(F2210,製品マスタ!$G$5:$K$5002,5,FALSE))</f>
        <v>MSF</v>
      </c>
      <c r="I2210" s="270" t="str">
        <f>IF(D2210="","",VLOOKUP(F2210,製品マスタ!$G$5:$L$5002,6,FALSE))</f>
        <v>メタルミー　Ｓ</v>
      </c>
      <c r="J2210" s="32" t="s">
        <v>3017</v>
      </c>
      <c r="K2210" s="270">
        <f>IF(D2210="","",VLOOKUP(D2210,契約台帳!$A$3:$L$4986,12,FALSE))</f>
        <v>25</v>
      </c>
      <c r="L2210" s="270" t="str">
        <f>IF(D2210="","",INDEX(製品マスタ!$Q$5:$Q$5002,MATCH(F2210&amp;K2210,製品マスタ!$AO$5:$AO$5002,0)))</f>
        <v>T62M</v>
      </c>
      <c r="M2210" s="39">
        <v>1020</v>
      </c>
      <c r="N2210" s="39">
        <v>12100</v>
      </c>
      <c r="O2210" s="47">
        <v>1</v>
      </c>
      <c r="P2210" s="356">
        <v>45631</v>
      </c>
      <c r="Q2210" s="276">
        <f>IF(D2210="","",IF(J2210="リード付け",M2210,VLOOKUP(D2210,契約台帳!$A$3:$N$4986,14,FALSE)))</f>
        <v>1020</v>
      </c>
      <c r="R2210" s="277">
        <f>IF(D2210="","",IF(J2210="リード付け",M2210,VLOOKUP(D2210,契約台帳!$A$3:$O$4986,15,FALSE)))</f>
        <v>1020</v>
      </c>
      <c r="S2210" s="277">
        <f>IF(D2210="","",IF(J2210="リード付け",N2210,VLOOKUP(D2210,契約台帳!$A$3:$P$4986,16,FALSE)))</f>
        <v>12100</v>
      </c>
      <c r="T2210" s="40">
        <v>1</v>
      </c>
      <c r="U2210" s="278">
        <f ca="1">IF(D2210="","",IF(OFFSET(D2210,-2,0)=D2210,"",VLOOKUP(D2210,契約台帳!$A$3:$R$4986,18,FALSE)))</f>
        <v>6</v>
      </c>
      <c r="V2210" s="269" t="str">
        <f>IF(J2210="巻返し",VLOOKUP(F2210&amp;K2210&amp;M2210,製品マスタ!$M$5:$AD$5002,18,FALSE),IF(J2210="リード付け","原反コア",IF(J2210="スリット",VLOOKUP(F2210&amp;K2210&amp;Q2210,製品マスタ!$N$5:$AD$5002,17,FALSE),"")))</f>
        <v>原反コア</v>
      </c>
      <c r="W2210" s="269" t="str">
        <f>IF(J2210="巻返し",VLOOKUP(F2210&amp;K2210&amp;M2210,製品マスタ!$M$5:$AE$5002,19,FALSE),IF(J2210="リード付け","-",IF(J2210="スリット",VLOOKUP(F2210&amp;K2210&amp;Q2210,製品マスタ!$N$5:$AE$5002,18,FALSE),"")))</f>
        <v>-</v>
      </c>
      <c r="X2210" s="275">
        <f>IF(D2210="","",VLOOKUP(D2210,契約台帳!$A$3:$Q$4986,17,FALSE))</f>
        <v>2</v>
      </c>
      <c r="Y2210" s="269" t="str">
        <f>IF(D2210="","",VLOOKUP(D2210,契約台帳!$A$3:$E$4986,5,FALSE))</f>
        <v>パナック㈱亀山工場</v>
      </c>
      <c r="Z2210" s="357"/>
      <c r="AA2210" s="207"/>
      <c r="AB2210" s="369"/>
      <c r="AC2210" s="370"/>
      <c r="AD2210" s="332"/>
      <c r="AE2210" s="216"/>
      <c r="AF2210" s="43"/>
      <c r="AG2210" s="47"/>
      <c r="AH2210" s="30"/>
      <c r="AI2210" s="30"/>
      <c r="AJ2210" s="30"/>
      <c r="AK2210" s="30"/>
      <c r="AL2210" s="13"/>
      <c r="AM2210" s="13"/>
      <c r="AN2210" s="13"/>
      <c r="AO2210" s="13"/>
      <c r="AP2210" s="13"/>
      <c r="AQ2210" s="14"/>
      <c r="AR2210" s="15"/>
    </row>
    <row r="2211" spans="1:44" s="17" customFormat="1" ht="30.95" hidden="1" customHeight="1" x14ac:dyDescent="0.2">
      <c r="A2211" s="343"/>
      <c r="B2211" s="344"/>
      <c r="C2211" s="345"/>
      <c r="D2211" s="398"/>
      <c r="E2211" s="31"/>
      <c r="F2211" s="268"/>
      <c r="G2211" s="269"/>
      <c r="H2211" s="269"/>
      <c r="I2211" s="270"/>
      <c r="J2211" s="32"/>
      <c r="K2211" s="270"/>
      <c r="L2211" s="270"/>
      <c r="M2211" s="39"/>
      <c r="N2211" s="39"/>
      <c r="O2211" s="47"/>
      <c r="P2211" s="57"/>
      <c r="Q2211" s="276"/>
      <c r="R2211" s="277"/>
      <c r="S2211" s="277"/>
      <c r="T2211" s="40"/>
      <c r="U2211" s="278"/>
      <c r="V2211" s="269"/>
      <c r="W2211" s="269"/>
      <c r="X2211" s="275"/>
      <c r="Y2211" s="269"/>
      <c r="Z2211" s="357"/>
      <c r="AA2211" s="207"/>
      <c r="AB2211" s="369"/>
      <c r="AC2211" s="370"/>
      <c r="AD2211" s="332"/>
      <c r="AE2211" s="216"/>
      <c r="AF2211" s="43"/>
      <c r="AG2211" s="47"/>
      <c r="AH2211" s="30"/>
      <c r="AI2211" s="30"/>
      <c r="AJ2211" s="30"/>
      <c r="AK2211" s="30"/>
      <c r="AL2211" s="13"/>
      <c r="AM2211" s="13"/>
      <c r="AN2211" s="13"/>
      <c r="AO2211" s="13"/>
      <c r="AP2211" s="13"/>
      <c r="AQ2211" s="14"/>
      <c r="AR2211" s="15"/>
    </row>
    <row r="2212" spans="1:44" s="17" customFormat="1" ht="30.95" hidden="1" customHeight="1" x14ac:dyDescent="0.2">
      <c r="A2212" s="343"/>
      <c r="B2212" s="344"/>
      <c r="C2212" s="345"/>
      <c r="D2212" s="31">
        <v>3790255</v>
      </c>
      <c r="E2212" s="31">
        <v>4175535</v>
      </c>
      <c r="F2212" s="268" t="str">
        <f>IF(D2212="","",VLOOKUP(D2212,契約台帳!$A$3:$K$4986,6,FALSE)&amp;VLOOKUP(D2212,契約台帳!$A$3:$K$4986,7,FALSE)&amp;VLOOKUP(D2212,契約台帳!$A$3:$K$4986,8,FALSE)&amp;VLOOKUP(D2212,契約台帳!$A$3:$K$4986,9,FALSE)&amp;VLOOKUP(D2212,契約台帳!$A$3:$K$4986,11,FALSE))</f>
        <v>3SNMLBMNGTBF</v>
      </c>
      <c r="G2212" s="269" t="str">
        <f>IF(D2212="","",VLOOKUP(F2212,製品マスタ!$G$5:$H$5002,2,FALSE))</f>
        <v>S</v>
      </c>
      <c r="H2212" s="269" t="str">
        <f>IF(D2212="","",VLOOKUP(F2212,製品マスタ!$G$5:$K$5002,5,FALSE))</f>
        <v>MNGTBF</v>
      </c>
      <c r="I2212" s="270" t="str">
        <f>IF(D2212="","",VLOOKUP(F2212,製品マスタ!$G$5:$L$5002,6,FALSE))</f>
        <v>メタルミー　ネーマー　銀艶　Ｂ</v>
      </c>
      <c r="J2212" s="32" t="s">
        <v>3017</v>
      </c>
      <c r="K2212" s="270">
        <f>IF(D2212="","",VLOOKUP(D2212,契約台帳!$A$3:$L$4986,12,FALSE))</f>
        <v>25</v>
      </c>
      <c r="L2212" s="270" t="str">
        <f>IF(D2212="","",INDEX(製品マスタ!$Q$5:$Q$5002,MATCH(F2212&amp;K2212,製品マスタ!$AO$5:$AO$5002,0)))</f>
        <v>T62M</v>
      </c>
      <c r="M2212" s="39">
        <v>1005</v>
      </c>
      <c r="N2212" s="39">
        <v>12100</v>
      </c>
      <c r="O2212" s="47">
        <v>5</v>
      </c>
      <c r="P2212" s="356">
        <v>45632</v>
      </c>
      <c r="Q2212" s="276">
        <f>IF(D2212="","",IF(J2212="リード付け",M2212,VLOOKUP(D2212,契約台帳!$A$3:$N$4986,14,FALSE)))</f>
        <v>1005</v>
      </c>
      <c r="R2212" s="277">
        <f>IF(D2212="","",IF(J2212="リード付け",M2212,VLOOKUP(D2212,契約台帳!$A$3:$O$4986,15,FALSE)))</f>
        <v>1005</v>
      </c>
      <c r="S2212" s="277">
        <f>IF(D2212="","",IF(J2212="リード付け",N2212,VLOOKUP(D2212,契約台帳!$A$3:$P$4986,16,FALSE)))</f>
        <v>12100</v>
      </c>
      <c r="T2212" s="40">
        <v>7</v>
      </c>
      <c r="U2212" s="278">
        <f ca="1">IF(D2212="","",IF(OFFSET(D2212,-2,0)=D2212,"",VLOOKUP(D2212,契約台帳!$A$3:$R$4986,18,FALSE)))</f>
        <v>15</v>
      </c>
      <c r="V2212" s="269" t="str">
        <f>IF(J2212="巻返し",VLOOKUP(F2212&amp;K2212&amp;M2212,製品マスタ!$M$5:$AD$5002,18,FALSE),IF(J2212="リード付け","原反コア",IF(J2212="スリット",VLOOKUP(F2212&amp;K2212&amp;Q2212,製品マスタ!$N$5:$AD$5002,17,FALSE),"")))</f>
        <v>原反コア</v>
      </c>
      <c r="W2212" s="269" t="str">
        <f>IF(J2212="巻返し",VLOOKUP(F2212&amp;K2212&amp;M2212,製品マスタ!$M$5:$AE$5002,19,FALSE),IF(J2212="リード付け","-",IF(J2212="スリット",VLOOKUP(F2212&amp;K2212&amp;Q2212,製品マスタ!$N$5:$AE$5002,18,FALSE),"")))</f>
        <v>-</v>
      </c>
      <c r="X2212" s="275">
        <f>IF(D2212="","",VLOOKUP(D2212,契約台帳!$A$3:$Q$4986,17,FALSE))</f>
        <v>2</v>
      </c>
      <c r="Y2212" s="269" t="str">
        <f>IF(D2212="","",VLOOKUP(D2212,契約台帳!$A$3:$E$4986,5,FALSE))</f>
        <v>リンテック㈱</v>
      </c>
      <c r="Z2212" s="357"/>
      <c r="AA2212" s="207"/>
      <c r="AB2212" s="369"/>
      <c r="AC2212" s="370"/>
      <c r="AD2212" s="332"/>
      <c r="AE2212" s="216"/>
      <c r="AF2212" s="43"/>
      <c r="AG2212" s="47"/>
      <c r="AH2212" s="30"/>
      <c r="AI2212" s="30"/>
      <c r="AJ2212" s="30"/>
      <c r="AK2212" s="30"/>
      <c r="AL2212" s="13"/>
      <c r="AM2212" s="13"/>
      <c r="AN2212" s="13"/>
      <c r="AO2212" s="13"/>
      <c r="AP2212" s="13"/>
      <c r="AQ2212" s="14"/>
      <c r="AR2212" s="15"/>
    </row>
    <row r="2213" spans="1:44" s="17" customFormat="1" ht="30.95" hidden="1" customHeight="1" x14ac:dyDescent="0.2">
      <c r="A2213" s="343"/>
      <c r="B2213" s="344"/>
      <c r="C2213" s="345"/>
      <c r="D2213" s="398"/>
      <c r="E2213" s="31"/>
      <c r="F2213" s="268"/>
      <c r="G2213" s="269"/>
      <c r="H2213" s="269"/>
      <c r="I2213" s="270"/>
      <c r="J2213" s="32"/>
      <c r="K2213" s="270"/>
      <c r="L2213" s="270"/>
      <c r="M2213" s="39"/>
      <c r="N2213" s="39"/>
      <c r="O2213" s="47"/>
      <c r="P2213" s="57"/>
      <c r="Q2213" s="276"/>
      <c r="R2213" s="277"/>
      <c r="S2213" s="277"/>
      <c r="T2213" s="40"/>
      <c r="U2213" s="278"/>
      <c r="V2213" s="269"/>
      <c r="W2213" s="269"/>
      <c r="X2213" s="275"/>
      <c r="Y2213" s="269"/>
      <c r="Z2213" s="357"/>
      <c r="AA2213" s="207"/>
      <c r="AB2213" s="369"/>
      <c r="AC2213" s="370"/>
      <c r="AD2213" s="332"/>
      <c r="AE2213" s="216"/>
      <c r="AF2213" s="43"/>
      <c r="AG2213" s="47"/>
      <c r="AH2213" s="30"/>
      <c r="AI2213" s="30"/>
      <c r="AJ2213" s="30"/>
      <c r="AK2213" s="30"/>
      <c r="AL2213" s="13"/>
      <c r="AM2213" s="13"/>
      <c r="AN2213" s="13"/>
      <c r="AO2213" s="13"/>
      <c r="AP2213" s="13"/>
      <c r="AQ2213" s="14"/>
      <c r="AR2213" s="15"/>
    </row>
    <row r="2214" spans="1:44" s="17" customFormat="1" ht="30.95" hidden="1" customHeight="1" x14ac:dyDescent="0.2">
      <c r="A2214" s="343" t="s">
        <v>3416</v>
      </c>
      <c r="B2214" s="344" t="s">
        <v>3404</v>
      </c>
      <c r="C2214" s="345"/>
      <c r="D2214" s="398"/>
      <c r="E2214" s="31"/>
      <c r="F2214" s="268"/>
      <c r="G2214" s="269"/>
      <c r="H2214" s="269"/>
      <c r="I2214" s="270"/>
      <c r="J2214" s="32" t="s">
        <v>3410</v>
      </c>
      <c r="K2214" s="270"/>
      <c r="L2214" s="270"/>
      <c r="M2214" s="39"/>
      <c r="N2214" s="39"/>
      <c r="O2214" s="47"/>
      <c r="P2214" s="57"/>
      <c r="Q2214" s="276"/>
      <c r="R2214" s="277"/>
      <c r="S2214" s="277"/>
      <c r="T2214" s="40"/>
      <c r="U2214" s="278"/>
      <c r="V2214" s="269"/>
      <c r="W2214" s="269"/>
      <c r="X2214" s="275"/>
      <c r="Y2214" s="269"/>
      <c r="Z2214" s="357"/>
      <c r="AA2214" s="207"/>
      <c r="AB2214" s="369"/>
      <c r="AC2214" s="370"/>
      <c r="AD2214" s="332"/>
      <c r="AE2214" s="216"/>
      <c r="AF2214" s="43"/>
      <c r="AG2214" s="47"/>
      <c r="AH2214" s="30"/>
      <c r="AI2214" s="30"/>
      <c r="AJ2214" s="30"/>
      <c r="AK2214" s="30"/>
      <c r="AL2214" s="13"/>
      <c r="AM2214" s="13"/>
      <c r="AN2214" s="13"/>
      <c r="AO2214" s="13"/>
      <c r="AP2214" s="13"/>
      <c r="AQ2214" s="14"/>
      <c r="AR2214" s="15"/>
    </row>
    <row r="2215" spans="1:44" s="17" customFormat="1" ht="30.95" hidden="1" customHeight="1" x14ac:dyDescent="0.2">
      <c r="A2215" s="343"/>
      <c r="B2215" s="344"/>
      <c r="C2215" s="345"/>
      <c r="D2215" s="398"/>
      <c r="E2215" s="31"/>
      <c r="F2215" s="268"/>
      <c r="G2215" s="269"/>
      <c r="H2215" s="269"/>
      <c r="I2215" s="270"/>
      <c r="J2215" s="32"/>
      <c r="K2215" s="270"/>
      <c r="L2215" s="270"/>
      <c r="M2215" s="39"/>
      <c r="N2215" s="39"/>
      <c r="O2215" s="47"/>
      <c r="P2215" s="57"/>
      <c r="Q2215" s="276"/>
      <c r="R2215" s="277"/>
      <c r="S2215" s="277"/>
      <c r="T2215" s="40"/>
      <c r="U2215" s="278"/>
      <c r="V2215" s="269"/>
      <c r="W2215" s="269"/>
      <c r="X2215" s="275"/>
      <c r="Y2215" s="269"/>
      <c r="Z2215" s="357"/>
      <c r="AA2215" s="207"/>
      <c r="AB2215" s="369"/>
      <c r="AC2215" s="370"/>
      <c r="AD2215" s="332"/>
      <c r="AE2215" s="216"/>
      <c r="AF2215" s="43"/>
      <c r="AG2215" s="47"/>
      <c r="AH2215" s="30"/>
      <c r="AI2215" s="30"/>
      <c r="AJ2215" s="30"/>
      <c r="AK2215" s="30"/>
      <c r="AL2215" s="13"/>
      <c r="AM2215" s="13"/>
      <c r="AN2215" s="13"/>
      <c r="AO2215" s="13"/>
      <c r="AP2215" s="13"/>
      <c r="AQ2215" s="14"/>
      <c r="AR2215" s="15"/>
    </row>
    <row r="2216" spans="1:44" s="17" customFormat="1" ht="30.95" hidden="1" customHeight="1" x14ac:dyDescent="0.2">
      <c r="A2216" s="343" t="s">
        <v>3417</v>
      </c>
      <c r="B2216" s="344" t="s">
        <v>3407</v>
      </c>
      <c r="C2216" s="345"/>
      <c r="D2216" s="398"/>
      <c r="E2216" s="31"/>
      <c r="F2216" s="268"/>
      <c r="G2216" s="269"/>
      <c r="H2216" s="269"/>
      <c r="I2216" s="270"/>
      <c r="J2216" s="32" t="s">
        <v>3405</v>
      </c>
      <c r="K2216" s="270"/>
      <c r="L2216" s="270"/>
      <c r="M2216" s="39"/>
      <c r="N2216" s="39"/>
      <c r="O2216" s="47"/>
      <c r="P2216" s="57"/>
      <c r="Q2216" s="276"/>
      <c r="R2216" s="277"/>
      <c r="S2216" s="277"/>
      <c r="T2216" s="40"/>
      <c r="U2216" s="278"/>
      <c r="V2216" s="269"/>
      <c r="W2216" s="269"/>
      <c r="X2216" s="275"/>
      <c r="Y2216" s="269"/>
      <c r="Z2216" s="357"/>
      <c r="AA2216" s="207"/>
      <c r="AB2216" s="369"/>
      <c r="AC2216" s="370"/>
      <c r="AD2216" s="332"/>
      <c r="AE2216" s="216"/>
      <c r="AF2216" s="43"/>
      <c r="AG2216" s="47"/>
      <c r="AH2216" s="30"/>
      <c r="AI2216" s="30"/>
      <c r="AJ2216" s="30"/>
      <c r="AK2216" s="30"/>
      <c r="AL2216" s="13"/>
      <c r="AM2216" s="13"/>
      <c r="AN2216" s="13"/>
      <c r="AO2216" s="13"/>
      <c r="AP2216" s="13"/>
      <c r="AQ2216" s="14"/>
      <c r="AR2216" s="15"/>
    </row>
    <row r="2217" spans="1:44" s="17" customFormat="1" ht="30.95" hidden="1" customHeight="1" x14ac:dyDescent="0.2">
      <c r="A2217" s="343"/>
      <c r="B2217" s="344"/>
      <c r="C2217" s="345"/>
      <c r="D2217" s="398"/>
      <c r="E2217" s="31"/>
      <c r="F2217" s="268"/>
      <c r="G2217" s="269"/>
      <c r="H2217" s="269"/>
      <c r="I2217" s="270"/>
      <c r="J2217" s="32"/>
      <c r="K2217" s="270"/>
      <c r="L2217" s="270"/>
      <c r="M2217" s="39"/>
      <c r="N2217" s="39"/>
      <c r="O2217" s="47"/>
      <c r="P2217" s="57"/>
      <c r="Q2217" s="276"/>
      <c r="R2217" s="277"/>
      <c r="S2217" s="277"/>
      <c r="T2217" s="40"/>
      <c r="U2217" s="278"/>
      <c r="V2217" s="269"/>
      <c r="W2217" s="269"/>
      <c r="X2217" s="275"/>
      <c r="Y2217" s="269"/>
      <c r="Z2217" s="357"/>
      <c r="AA2217" s="207"/>
      <c r="AB2217" s="369"/>
      <c r="AC2217" s="370"/>
      <c r="AD2217" s="332"/>
      <c r="AE2217" s="216"/>
      <c r="AF2217" s="43"/>
      <c r="AG2217" s="47"/>
      <c r="AH2217" s="30"/>
      <c r="AI2217" s="30"/>
      <c r="AJ2217" s="30"/>
      <c r="AK2217" s="30"/>
      <c r="AL2217" s="13"/>
      <c r="AM2217" s="13"/>
      <c r="AN2217" s="13"/>
      <c r="AO2217" s="13"/>
      <c r="AP2217" s="13"/>
      <c r="AQ2217" s="14"/>
      <c r="AR2217" s="15"/>
    </row>
    <row r="2218" spans="1:44" s="17" customFormat="1" ht="30.95" customHeight="1" x14ac:dyDescent="0.2">
      <c r="A2218" s="320" t="s">
        <v>1826</v>
      </c>
      <c r="B2218" s="321" t="s">
        <v>462</v>
      </c>
      <c r="C2218" s="345"/>
      <c r="D2218" s="398"/>
      <c r="E2218" s="31"/>
      <c r="F2218" s="268"/>
      <c r="G2218" s="269"/>
      <c r="H2218" s="269"/>
      <c r="I2218" s="270"/>
      <c r="J2218" s="32"/>
      <c r="K2218" s="270"/>
      <c r="L2218" s="270"/>
      <c r="M2218" s="39"/>
      <c r="N2218" s="39"/>
      <c r="O2218" s="47"/>
      <c r="P2218" s="57"/>
      <c r="Q2218" s="276"/>
      <c r="R2218" s="277"/>
      <c r="S2218" s="277"/>
      <c r="T2218" s="40"/>
      <c r="U2218" s="278"/>
      <c r="V2218" s="269"/>
      <c r="W2218" s="269"/>
      <c r="X2218" s="275"/>
      <c r="Y2218" s="269"/>
      <c r="Z2218" s="357"/>
      <c r="AA2218" s="207"/>
      <c r="AB2218" s="369"/>
      <c r="AC2218" s="370"/>
      <c r="AD2218" s="332"/>
      <c r="AE2218" s="216"/>
      <c r="AF2218" s="43"/>
      <c r="AG2218" s="47"/>
      <c r="AH2218" s="30"/>
      <c r="AI2218" s="30"/>
      <c r="AJ2218" s="30"/>
      <c r="AK2218" s="30"/>
      <c r="AL2218" s="13"/>
      <c r="AM2218" s="13"/>
      <c r="AN2218" s="13"/>
      <c r="AO2218" s="13"/>
      <c r="AP2218" s="13"/>
      <c r="AQ2218" s="14"/>
      <c r="AR2218" s="15"/>
    </row>
    <row r="2219" spans="1:44" s="17" customFormat="1" ht="30.95" customHeight="1" x14ac:dyDescent="0.2">
      <c r="A2219" s="343"/>
      <c r="B2219" s="344"/>
      <c r="C2219" s="345"/>
      <c r="D2219" s="398"/>
      <c r="E2219" s="31"/>
      <c r="F2219" s="268"/>
      <c r="G2219" s="269"/>
      <c r="H2219" s="269"/>
      <c r="I2219" s="270"/>
      <c r="J2219" s="32"/>
      <c r="K2219" s="270"/>
      <c r="L2219" s="270"/>
      <c r="M2219" s="39"/>
      <c r="N2219" s="39"/>
      <c r="O2219" s="47"/>
      <c r="P2219" s="57"/>
      <c r="Q2219" s="276"/>
      <c r="R2219" s="277"/>
      <c r="S2219" s="277"/>
      <c r="T2219" s="40"/>
      <c r="U2219" s="278"/>
      <c r="V2219" s="269"/>
      <c r="W2219" s="269"/>
      <c r="X2219" s="275"/>
      <c r="Y2219" s="269"/>
      <c r="Z2219" s="357"/>
      <c r="AA2219" s="207"/>
      <c r="AB2219" s="369"/>
      <c r="AC2219" s="370"/>
      <c r="AD2219" s="332"/>
      <c r="AE2219" s="216"/>
      <c r="AF2219" s="43"/>
      <c r="AG2219" s="47"/>
      <c r="AH2219" s="30"/>
      <c r="AI2219" s="30"/>
      <c r="AJ2219" s="30"/>
      <c r="AK2219" s="30"/>
      <c r="AL2219" s="13"/>
      <c r="AM2219" s="13"/>
      <c r="AN2219" s="13"/>
      <c r="AO2219" s="13"/>
      <c r="AP2219" s="13"/>
      <c r="AQ2219" s="14"/>
      <c r="AR2219" s="15"/>
    </row>
    <row r="2220" spans="1:44" s="17" customFormat="1" ht="30.6" customHeight="1" x14ac:dyDescent="0.2">
      <c r="A2220" s="320" t="s">
        <v>1828</v>
      </c>
      <c r="B2220" s="321" t="s">
        <v>688</v>
      </c>
      <c r="C2220" s="345"/>
      <c r="D2220" s="398">
        <v>3790266</v>
      </c>
      <c r="E2220" s="31">
        <v>4144213</v>
      </c>
      <c r="F2220" s="268" t="str">
        <f>IF(D2220="","",VLOOKUP(D2220,契約台帳!$A$3:$K$4986,6,FALSE)&amp;VLOOKUP(D2220,契約台帳!$A$3:$K$4986,7,FALSE)&amp;VLOOKUP(D2220,契約台帳!$A$3:$K$4986,8,FALSE)&amp;VLOOKUP(D2220,契約台帳!$A$3:$K$4986,9,FALSE)&amp;VLOOKUP(D2220,契約台帳!$A$3:$K$4986,11,FALSE))</f>
        <v>3SNMLBMNQR66F</v>
      </c>
      <c r="G2220" s="269" t="str">
        <f>IF(D2220="","",VLOOKUP(F2220,製品マスタ!$G$5:$H$5002,2,FALSE))</f>
        <v>S</v>
      </c>
      <c r="H2220" s="269" t="str">
        <f>IF(D2220="","",VLOOKUP(F2220,製品マスタ!$G$5:$K$5002,5,FALSE))</f>
        <v>MNQR66F</v>
      </c>
      <c r="I2220" s="270" t="str">
        <f>IF(D2220="","",VLOOKUP(F2220,製品マスタ!$G$5:$L$5002,6,FALSE))</f>
        <v>ＱＲ６６蒸着品</v>
      </c>
      <c r="J2220" s="32" t="s">
        <v>447</v>
      </c>
      <c r="K2220" s="270">
        <f>IF(D2220="","",VLOOKUP(D2220,契約台帳!$A$3:$L$4986,12,FALSE))</f>
        <v>25</v>
      </c>
      <c r="L2220" s="270" t="str">
        <f>IF(D2220="","",INDEX(製品マスタ!$Q$5:$Q$5002,MATCH(F2220&amp;K2220,製品マスタ!$AO$5:$AO$5002,0)))</f>
        <v>E315</v>
      </c>
      <c r="M2220" s="39">
        <v>1100</v>
      </c>
      <c r="N2220" s="39">
        <v>18000</v>
      </c>
      <c r="O2220" s="47">
        <v>3</v>
      </c>
      <c r="P2220" s="57"/>
      <c r="Q2220" s="276">
        <f>IF(D2220="","",IF(J2220="リード付け",M2220,VLOOKUP(D2220,契約台帳!$A$3:$N$4986,14,FALSE)))</f>
        <v>1100</v>
      </c>
      <c r="R2220" s="277">
        <f>IF(D2220="","",IF(J2220="リード付け",M2220,VLOOKUP(D2220,契約台帳!$A$3:$O$4986,15,FALSE)))</f>
        <v>1100</v>
      </c>
      <c r="S2220" s="277">
        <f>IF(D2220="","",IF(J2220="リード付け",N2220,VLOOKUP(D2220,契約台帳!$A$3:$P$4986,16,FALSE)))</f>
        <v>6000</v>
      </c>
      <c r="T2220" s="40">
        <v>9</v>
      </c>
      <c r="U2220" s="278">
        <f ca="1">IF(D2220="","",IF(OFFSET(D2220,-2,0)=D2220,"",VLOOKUP(D2220,契約台帳!$A$3:$R$4986,18,FALSE)))</f>
        <v>9</v>
      </c>
      <c r="V2220" s="269" t="str">
        <f>IF(J2220="巻返し",VLOOKUP(F2220&amp;K2220&amp;M2220,製品マスタ!$M$5:$AD$5002,18,FALSE),IF(J2220="リード付け","原反コア",IF(J2220="スリット",VLOOKUP(F2220&amp;K2220&amp;Q2220,製品マスタ!$N$5:$AD$5002,17,FALSE),"")))</f>
        <v>6ｲﾝﾁMｺｱ</v>
      </c>
      <c r="W2220" s="269">
        <f>IF(J2220="巻返し",VLOOKUP(F2220&amp;K2220&amp;M2220,製品マスタ!$M$5:$AE$5002,19,FALSE),IF(J2220="リード付け","-",IF(J2220="スリット",VLOOKUP(F2220&amp;K2220&amp;Q2220,製品マスタ!$N$5:$AE$5002,18,FALSE),"")))</f>
        <v>1110</v>
      </c>
      <c r="X2220" s="275">
        <f>IF(D2220="","",VLOOKUP(D2220,契約台帳!$A$3:$Q$4986,17,FALSE))</f>
        <v>2</v>
      </c>
      <c r="Y2220" s="269" t="str">
        <f>IF(D2220="","",VLOOKUP(D2220,契約台帳!$A$3:$E$4986,5,FALSE))</f>
        <v>リンテック㈱</v>
      </c>
      <c r="Z2220" s="357"/>
      <c r="AA2220" s="207" t="str">
        <f>IFERROR(VLOOKUP(F2220&amp;K2220&amp;M2220,製品マスタ!$M$5:$AM$5002,27,FALSE),"")</f>
        <v>原反ケース再利用</v>
      </c>
      <c r="AB2220" s="369"/>
      <c r="AC2220" s="370"/>
      <c r="AD2220" s="332" t="str">
        <f>IF(F2220="","",+F2220&amp;K2220)</f>
        <v>3SNMLBMNQR66F25</v>
      </c>
      <c r="AE2220" s="216">
        <f>+M2220*N2220*O2220/1000</f>
        <v>59400</v>
      </c>
      <c r="AF2220" s="43">
        <f>IF(AD2220="","",VLOOKUP(AD2220,原価マスタ!$A$2:$AJ$1693,13,FALSE))</f>
        <v>98</v>
      </c>
      <c r="AG2220" s="47">
        <f>IF(AF2220="","",+AE2220*AF2220/100)</f>
        <v>58212</v>
      </c>
      <c r="AH2220" s="30"/>
      <c r="AI2220" s="30"/>
      <c r="AJ2220" s="30"/>
      <c r="AK2220" s="30"/>
      <c r="AL2220" s="13"/>
      <c r="AM2220" s="13"/>
      <c r="AN2220" s="13"/>
      <c r="AO2220" s="13"/>
      <c r="AP2220" s="13"/>
      <c r="AQ2220" s="14"/>
      <c r="AR2220" s="15"/>
    </row>
    <row r="2221" spans="1:44" s="17" customFormat="1" ht="30.95" customHeight="1" x14ac:dyDescent="0.2">
      <c r="A2221" s="343"/>
      <c r="B2221" s="344"/>
      <c r="C2221" s="345"/>
      <c r="D2221" s="398"/>
      <c r="E2221" s="31"/>
      <c r="F2221" s="268"/>
      <c r="G2221" s="269"/>
      <c r="H2221" s="269"/>
      <c r="I2221" s="270"/>
      <c r="J2221" s="32"/>
      <c r="K2221" s="270"/>
      <c r="L2221" s="270"/>
      <c r="M2221" s="39"/>
      <c r="N2221" s="39"/>
      <c r="O2221" s="47"/>
      <c r="P2221" s="57"/>
      <c r="Q2221" s="276"/>
      <c r="R2221" s="277"/>
      <c r="S2221" s="277"/>
      <c r="T2221" s="40"/>
      <c r="U2221" s="278"/>
      <c r="V2221" s="269"/>
      <c r="W2221" s="269"/>
      <c r="X2221" s="275"/>
      <c r="Y2221" s="269"/>
      <c r="Z2221" s="357"/>
      <c r="AA2221" s="207"/>
      <c r="AB2221" s="369"/>
      <c r="AC2221" s="370"/>
      <c r="AD2221" s="332"/>
      <c r="AE2221" s="216"/>
      <c r="AF2221" s="43"/>
      <c r="AG2221" s="47"/>
      <c r="AH2221" s="30"/>
      <c r="AI2221" s="30"/>
      <c r="AJ2221" s="30"/>
      <c r="AK2221" s="30"/>
      <c r="AL2221" s="13"/>
      <c r="AM2221" s="13"/>
      <c r="AN2221" s="13"/>
      <c r="AO2221" s="13"/>
      <c r="AP2221" s="13"/>
      <c r="AQ2221" s="14"/>
      <c r="AR2221" s="15"/>
    </row>
    <row r="2222" spans="1:44" s="17" customFormat="1" ht="30.6" customHeight="1" x14ac:dyDescent="0.2">
      <c r="A2222" s="320"/>
      <c r="B2222" s="321"/>
      <c r="C2222" s="345"/>
      <c r="D2222" s="398">
        <v>3790257</v>
      </c>
      <c r="E2222" s="31">
        <v>4157992</v>
      </c>
      <c r="F2222" s="268" t="str">
        <f>IF(D2222="","",VLOOKUP(D2222,契約台帳!$A$3:$K$4986,6,FALSE)&amp;VLOOKUP(D2222,契約台帳!$A$3:$K$4986,7,FALSE)&amp;VLOOKUP(D2222,契約台帳!$A$3:$K$4986,8,FALSE)&amp;VLOOKUP(D2222,契約台帳!$A$3:$K$4986,9,FALSE)&amp;VLOOKUP(D2222,契約台帳!$A$3:$K$4986,11,FALSE))</f>
        <v>3SNMLBMNGTBF</v>
      </c>
      <c r="G2222" s="269" t="str">
        <f>IF(D2222="","",VLOOKUP(F2222,製品マスタ!$G$5:$H$5002,2,FALSE))</f>
        <v>S</v>
      </c>
      <c r="H2222" s="269" t="str">
        <f>IF(D2222="","",VLOOKUP(F2222,製品マスタ!$G$5:$K$5002,5,FALSE))</f>
        <v>MNGTBF</v>
      </c>
      <c r="I2222" s="270" t="str">
        <f>IF(D2222="","",VLOOKUP(F2222,製品マスタ!$G$5:$L$5002,6,FALSE))</f>
        <v>メタルミー　ネーマー　銀艶　Ｂ</v>
      </c>
      <c r="J2222" s="32" t="s">
        <v>447</v>
      </c>
      <c r="K2222" s="270">
        <f>IF(D2222="","",VLOOKUP(D2222,契約台帳!$A$3:$L$4986,12,FALSE))</f>
        <v>50</v>
      </c>
      <c r="L2222" s="270" t="str">
        <f>IF(D2222="","",INDEX(製品マスタ!$Q$5:$Q$5002,MATCH(F2222&amp;K2222,製品マスタ!$AO$5:$AO$5002,0)))</f>
        <v>T62</v>
      </c>
      <c r="M2222" s="39">
        <v>1120</v>
      </c>
      <c r="N2222" s="39">
        <v>10000</v>
      </c>
      <c r="O2222" s="47">
        <v>2</v>
      </c>
      <c r="P2222" s="57"/>
      <c r="Q2222" s="276">
        <f>IF(D2222="","",IF(J2222="リード付け",M2222,VLOOKUP(D2222,契約台帳!$A$3:$N$4986,14,FALSE)))</f>
        <v>1120</v>
      </c>
      <c r="R2222" s="277">
        <f>IF(D2222="","",IF(J2222="リード付け",M2222,VLOOKUP(D2222,契約台帳!$A$3:$O$4986,15,FALSE)))</f>
        <v>1120</v>
      </c>
      <c r="S2222" s="277">
        <f>IF(D2222="","",IF(J2222="リード付け",N2222,VLOOKUP(D2222,契約台帳!$A$3:$P$4986,16,FALSE)))</f>
        <v>5000</v>
      </c>
      <c r="T2222" s="40">
        <v>4</v>
      </c>
      <c r="U2222" s="278">
        <f ca="1">IF(D2222="","",IF(OFFSET(D2222,-2,0)=D2222,"",VLOOKUP(D2222,契約台帳!$A$3:$R$4986,18,FALSE)))</f>
        <v>52</v>
      </c>
      <c r="V2222" s="269" t="str">
        <f>IF(J2222="巻返し",VLOOKUP(F2222&amp;K2222&amp;M2222,製品マスタ!$M$5:$AD$5002,18,FALSE),IF(J2222="リード付け","原反コア",IF(J2222="スリット",VLOOKUP(F2222&amp;K2222&amp;Q2222,製品マスタ!$N$5:$AD$5002,17,FALSE),"")))</f>
        <v>6ｲﾝﾁSｺｱ</v>
      </c>
      <c r="W2222" s="269">
        <f>IF(J2222="巻返し",VLOOKUP(F2222&amp;K2222&amp;M2222,製品マスタ!$M$5:$AE$5002,19,FALSE),IF(J2222="リード付け","-",IF(J2222="スリット",VLOOKUP(F2222&amp;K2222&amp;Q2222,製品マスタ!$N$5:$AE$5002,18,FALSE),"")))</f>
        <v>1125</v>
      </c>
      <c r="X2222" s="275">
        <f>IF(D2222="","",VLOOKUP(D2222,契約台帳!$A$3:$Q$4986,17,FALSE))</f>
        <v>2</v>
      </c>
      <c r="Y2222" s="269" t="str">
        <f>IF(D2222="","",VLOOKUP(D2222,契約台帳!$A$3:$E$4986,5,FALSE))</f>
        <v>リンテック㈱</v>
      </c>
      <c r="Z2222" s="357"/>
      <c r="AA2222" s="207" t="str">
        <f>IFERROR(VLOOKUP(F2222&amp;K2222&amp;M2222,製品マスタ!$M$5:$AM$5002,27,FALSE),"")</f>
        <v>原反ケース再利用</v>
      </c>
      <c r="AB2222" s="369"/>
      <c r="AC2222" s="370"/>
      <c r="AD2222" s="332" t="str">
        <f>IF(F2222="","",+F2222&amp;K2222)</f>
        <v>3SNMLBMNGTBF50</v>
      </c>
      <c r="AE2222" s="216">
        <f>+M2222*N2222*O2222/1000</f>
        <v>22400</v>
      </c>
      <c r="AF2222" s="43">
        <f>IF(AD2222="","",VLOOKUP(AD2222,原価マスタ!$A$2:$AJ$1693,13,FALSE))</f>
        <v>99</v>
      </c>
      <c r="AG2222" s="47">
        <f>IF(AF2222="","",+AE2222*AF2222/100)</f>
        <v>22176</v>
      </c>
      <c r="AH2222" s="30"/>
      <c r="AI2222" s="30"/>
      <c r="AJ2222" s="30"/>
      <c r="AK2222" s="30"/>
      <c r="AL2222" s="13"/>
      <c r="AM2222" s="13"/>
      <c r="AN2222" s="13"/>
      <c r="AO2222" s="13"/>
      <c r="AP2222" s="13"/>
      <c r="AQ2222" s="14"/>
      <c r="AR2222" s="15"/>
    </row>
    <row r="2223" spans="1:44" s="17" customFormat="1" ht="30.95" customHeight="1" x14ac:dyDescent="0.2">
      <c r="A2223" s="343"/>
      <c r="B2223" s="344"/>
      <c r="C2223" s="345"/>
      <c r="D2223" s="398"/>
      <c r="E2223" s="31"/>
      <c r="F2223" s="268"/>
      <c r="G2223" s="269"/>
      <c r="H2223" s="269"/>
      <c r="I2223" s="270"/>
      <c r="J2223" s="32"/>
      <c r="K2223" s="270"/>
      <c r="L2223" s="270"/>
      <c r="M2223" s="39"/>
      <c r="N2223" s="39"/>
      <c r="O2223" s="47"/>
      <c r="P2223" s="57"/>
      <c r="Q2223" s="276"/>
      <c r="R2223" s="277"/>
      <c r="S2223" s="277"/>
      <c r="T2223" s="40"/>
      <c r="U2223" s="278"/>
      <c r="V2223" s="269"/>
      <c r="W2223" s="269"/>
      <c r="X2223" s="275"/>
      <c r="Y2223" s="269"/>
      <c r="Z2223" s="357"/>
      <c r="AA2223" s="207"/>
      <c r="AB2223" s="369"/>
      <c r="AC2223" s="370"/>
      <c r="AD2223" s="332"/>
      <c r="AE2223" s="216"/>
      <c r="AF2223" s="43"/>
      <c r="AG2223" s="47"/>
      <c r="AH2223" s="30"/>
      <c r="AI2223" s="30"/>
      <c r="AJ2223" s="30"/>
      <c r="AK2223" s="30"/>
      <c r="AL2223" s="13"/>
      <c r="AM2223" s="13"/>
      <c r="AN2223" s="13"/>
      <c r="AO2223" s="13"/>
      <c r="AP2223" s="13"/>
      <c r="AQ2223" s="14"/>
      <c r="AR2223" s="15"/>
    </row>
    <row r="2224" spans="1:44" s="17" customFormat="1" ht="30.6" customHeight="1" x14ac:dyDescent="0.2">
      <c r="A2224" s="320" t="s">
        <v>3428</v>
      </c>
      <c r="B2224" s="321" t="s">
        <v>3429</v>
      </c>
      <c r="C2224" s="345"/>
      <c r="D2224" s="398">
        <v>3790257</v>
      </c>
      <c r="E2224" s="31">
        <v>4157992</v>
      </c>
      <c r="F2224" s="268" t="str">
        <f>IF(D2224="","",VLOOKUP(D2224,契約台帳!$A$3:$K$4986,6,FALSE)&amp;VLOOKUP(D2224,契約台帳!$A$3:$K$4986,7,FALSE)&amp;VLOOKUP(D2224,契約台帳!$A$3:$K$4986,8,FALSE)&amp;VLOOKUP(D2224,契約台帳!$A$3:$K$4986,9,FALSE)&amp;VLOOKUP(D2224,契約台帳!$A$3:$K$4986,11,FALSE))</f>
        <v>3SNMLBMNGTBF</v>
      </c>
      <c r="G2224" s="269" t="str">
        <f>IF(D2224="","",VLOOKUP(F2224,製品マスタ!$G$5:$H$5002,2,FALSE))</f>
        <v>S</v>
      </c>
      <c r="H2224" s="269" t="str">
        <f>IF(D2224="","",VLOOKUP(F2224,製品マスタ!$G$5:$K$5002,5,FALSE))</f>
        <v>MNGTBF</v>
      </c>
      <c r="I2224" s="270" t="str">
        <f>IF(D2224="","",VLOOKUP(F2224,製品マスタ!$G$5:$L$5002,6,FALSE))</f>
        <v>メタルミー　ネーマー　銀艶　Ｂ</v>
      </c>
      <c r="J2224" s="32" t="s">
        <v>447</v>
      </c>
      <c r="K2224" s="270">
        <f>IF(D2224="","",VLOOKUP(D2224,契約台帳!$A$3:$L$4986,12,FALSE))</f>
        <v>50</v>
      </c>
      <c r="L2224" s="270" t="str">
        <f>IF(D2224="","",INDEX(製品マスタ!$Q$5:$Q$5002,MATCH(F2224&amp;K2224,製品マスタ!$AO$5:$AO$5002,0)))</f>
        <v>T62</v>
      </c>
      <c r="M2224" s="39">
        <v>1120</v>
      </c>
      <c r="N2224" s="39">
        <v>10000</v>
      </c>
      <c r="O2224" s="47">
        <v>6</v>
      </c>
      <c r="P2224" s="57"/>
      <c r="Q2224" s="276">
        <f>IF(D2224="","",IF(J2224="リード付け",M2224,VLOOKUP(D2224,契約台帳!$A$3:$N$4986,14,FALSE)))</f>
        <v>1120</v>
      </c>
      <c r="R2224" s="277">
        <f>IF(D2224="","",IF(J2224="リード付け",M2224,VLOOKUP(D2224,契約台帳!$A$3:$O$4986,15,FALSE)))</f>
        <v>1120</v>
      </c>
      <c r="S2224" s="277">
        <f>IF(D2224="","",IF(J2224="リード付け",N2224,VLOOKUP(D2224,契約台帳!$A$3:$P$4986,16,FALSE)))</f>
        <v>5000</v>
      </c>
      <c r="T2224" s="40">
        <v>12</v>
      </c>
      <c r="U2224" s="278" t="str">
        <f ca="1">IF(D2224="","",IF(OFFSET(D2224,-2,0)=D2224,"",VLOOKUP(D2224,契約台帳!$A$3:$R$4986,18,FALSE)))</f>
        <v/>
      </c>
      <c r="V2224" s="269" t="str">
        <f>IF(J2224="巻返し",VLOOKUP(F2224&amp;K2224&amp;M2224,製品マスタ!$M$5:$AD$5002,18,FALSE),IF(J2224="リード付け","原反コア",IF(J2224="スリット",VLOOKUP(F2224&amp;K2224&amp;Q2224,製品マスタ!$N$5:$AD$5002,17,FALSE),"")))</f>
        <v>6ｲﾝﾁSｺｱ</v>
      </c>
      <c r="W2224" s="269">
        <f>IF(J2224="巻返し",VLOOKUP(F2224&amp;K2224&amp;M2224,製品マスタ!$M$5:$AE$5002,19,FALSE),IF(J2224="リード付け","-",IF(J2224="スリット",VLOOKUP(F2224&amp;K2224&amp;Q2224,製品マスタ!$N$5:$AE$5002,18,FALSE),"")))</f>
        <v>1125</v>
      </c>
      <c r="X2224" s="275">
        <f>IF(D2224="","",VLOOKUP(D2224,契約台帳!$A$3:$Q$4986,17,FALSE))</f>
        <v>2</v>
      </c>
      <c r="Y2224" s="269" t="str">
        <f>IF(D2224="","",VLOOKUP(D2224,契約台帳!$A$3:$E$4986,5,FALSE))</f>
        <v>リンテック㈱</v>
      </c>
      <c r="Z2224" s="357"/>
      <c r="AA2224" s="207" t="str">
        <f>IFERROR(VLOOKUP(F2224&amp;K2224&amp;M2224,製品マスタ!$M$5:$AM$5002,27,FALSE),"")</f>
        <v>原反ケース再利用</v>
      </c>
      <c r="AB2224" s="369"/>
      <c r="AC2224" s="370"/>
      <c r="AD2224" s="332" t="str">
        <f>IF(F2224="","",+F2224&amp;K2224)</f>
        <v>3SNMLBMNGTBF50</v>
      </c>
      <c r="AE2224" s="216">
        <f>+M2224*N2224*O2224/1000</f>
        <v>67200</v>
      </c>
      <c r="AF2224" s="43">
        <f>IF(AD2224="","",VLOOKUP(AD2224,原価マスタ!$A$2:$AJ$1693,13,FALSE))</f>
        <v>99</v>
      </c>
      <c r="AG2224" s="47">
        <f>IF(AF2224="","",+AE2224*AF2224/100)</f>
        <v>66528</v>
      </c>
      <c r="AH2224" s="30"/>
      <c r="AI2224" s="30"/>
      <c r="AJ2224" s="30"/>
      <c r="AK2224" s="30"/>
      <c r="AL2224" s="13"/>
      <c r="AM2224" s="13"/>
      <c r="AN2224" s="13"/>
      <c r="AO2224" s="13"/>
      <c r="AP2224" s="13"/>
      <c r="AQ2224" s="14"/>
      <c r="AR2224" s="15"/>
    </row>
    <row r="2225" spans="1:44" s="17" customFormat="1" ht="30.95" customHeight="1" x14ac:dyDescent="0.2">
      <c r="A2225" s="343"/>
      <c r="B2225" s="344"/>
      <c r="C2225" s="345"/>
      <c r="D2225" s="398"/>
      <c r="E2225" s="31"/>
      <c r="F2225" s="268"/>
      <c r="G2225" s="269"/>
      <c r="H2225" s="269"/>
      <c r="I2225" s="270"/>
      <c r="J2225" s="32"/>
      <c r="K2225" s="270"/>
      <c r="L2225" s="270"/>
      <c r="M2225" s="39"/>
      <c r="N2225" s="39"/>
      <c r="O2225" s="47"/>
      <c r="P2225" s="57"/>
      <c r="Q2225" s="276"/>
      <c r="R2225" s="277"/>
      <c r="S2225" s="277"/>
      <c r="T2225" s="40"/>
      <c r="U2225" s="278"/>
      <c r="V2225" s="269"/>
      <c r="W2225" s="269"/>
      <c r="X2225" s="275"/>
      <c r="Y2225" s="269"/>
      <c r="Z2225" s="357"/>
      <c r="AA2225" s="207"/>
      <c r="AB2225" s="369"/>
      <c r="AC2225" s="370"/>
      <c r="AD2225" s="332"/>
      <c r="AE2225" s="216"/>
      <c r="AF2225" s="43"/>
      <c r="AG2225" s="47"/>
      <c r="AH2225" s="30"/>
      <c r="AI2225" s="30"/>
      <c r="AJ2225" s="30"/>
      <c r="AK2225" s="30"/>
      <c r="AL2225" s="13"/>
      <c r="AM2225" s="13"/>
      <c r="AN2225" s="13"/>
      <c r="AO2225" s="13"/>
      <c r="AP2225" s="13"/>
      <c r="AQ2225" s="14"/>
      <c r="AR2225" s="15"/>
    </row>
    <row r="2226" spans="1:44" s="17" customFormat="1" ht="30.6" customHeight="1" x14ac:dyDescent="0.2">
      <c r="A2226" s="320" t="s">
        <v>3430</v>
      </c>
      <c r="B2226" s="321" t="s">
        <v>3431</v>
      </c>
      <c r="C2226" s="345"/>
      <c r="D2226" s="398">
        <v>3790257</v>
      </c>
      <c r="E2226" s="31">
        <v>4157992</v>
      </c>
      <c r="F2226" s="268" t="str">
        <f>IF(D2226="","",VLOOKUP(D2226,契約台帳!$A$3:$K$4986,6,FALSE)&amp;VLOOKUP(D2226,契約台帳!$A$3:$K$4986,7,FALSE)&amp;VLOOKUP(D2226,契約台帳!$A$3:$K$4986,8,FALSE)&amp;VLOOKUP(D2226,契約台帳!$A$3:$K$4986,9,FALSE)&amp;VLOOKUP(D2226,契約台帳!$A$3:$K$4986,11,FALSE))</f>
        <v>3SNMLBMNGTBF</v>
      </c>
      <c r="G2226" s="269" t="str">
        <f>IF(D2226="","",VLOOKUP(F2226,製品マスタ!$G$5:$H$5002,2,FALSE))</f>
        <v>S</v>
      </c>
      <c r="H2226" s="269" t="str">
        <f>IF(D2226="","",VLOOKUP(F2226,製品マスタ!$G$5:$K$5002,5,FALSE))</f>
        <v>MNGTBF</v>
      </c>
      <c r="I2226" s="270" t="str">
        <f>IF(D2226="","",VLOOKUP(F2226,製品マスタ!$G$5:$L$5002,6,FALSE))</f>
        <v>メタルミー　ネーマー　銀艶　Ｂ</v>
      </c>
      <c r="J2226" s="32" t="s">
        <v>447</v>
      </c>
      <c r="K2226" s="270">
        <f>IF(D2226="","",VLOOKUP(D2226,契約台帳!$A$3:$L$4986,12,FALSE))</f>
        <v>50</v>
      </c>
      <c r="L2226" s="270" t="str">
        <f>IF(D2226="","",INDEX(製品マスタ!$Q$5:$Q$5002,MATCH(F2226&amp;K2226,製品マスタ!$AO$5:$AO$5002,0)))</f>
        <v>T62</v>
      </c>
      <c r="M2226" s="39">
        <v>1120</v>
      </c>
      <c r="N2226" s="39">
        <v>10000</v>
      </c>
      <c r="O2226" s="47">
        <v>6</v>
      </c>
      <c r="P2226" s="57"/>
      <c r="Q2226" s="276">
        <f>IF(D2226="","",IF(J2226="リード付け",M2226,VLOOKUP(D2226,契約台帳!$A$3:$N$4986,14,FALSE)))</f>
        <v>1120</v>
      </c>
      <c r="R2226" s="277">
        <f>IF(D2226="","",IF(J2226="リード付け",M2226,VLOOKUP(D2226,契約台帳!$A$3:$O$4986,15,FALSE)))</f>
        <v>1120</v>
      </c>
      <c r="S2226" s="277">
        <f>IF(D2226="","",IF(J2226="リード付け",N2226,VLOOKUP(D2226,契約台帳!$A$3:$P$4986,16,FALSE)))</f>
        <v>5000</v>
      </c>
      <c r="T2226" s="40">
        <v>12</v>
      </c>
      <c r="U2226" s="278" t="str">
        <f ca="1">IF(D2226="","",IF(OFFSET(D2226,-2,0)=D2226,"",VLOOKUP(D2226,契約台帳!$A$3:$R$4986,18,FALSE)))</f>
        <v/>
      </c>
      <c r="V2226" s="269" t="str">
        <f>IF(J2226="巻返し",VLOOKUP(F2226&amp;K2226&amp;M2226,製品マスタ!$M$5:$AD$5002,18,FALSE),IF(J2226="リード付け","原反コア",IF(J2226="スリット",VLOOKUP(F2226&amp;K2226&amp;Q2226,製品マスタ!$N$5:$AD$5002,17,FALSE),"")))</f>
        <v>6ｲﾝﾁSｺｱ</v>
      </c>
      <c r="W2226" s="269">
        <f>IF(J2226="巻返し",VLOOKUP(F2226&amp;K2226&amp;M2226,製品マスタ!$M$5:$AE$5002,19,FALSE),IF(J2226="リード付け","-",IF(J2226="スリット",VLOOKUP(F2226&amp;K2226&amp;Q2226,製品マスタ!$N$5:$AE$5002,18,FALSE),"")))</f>
        <v>1125</v>
      </c>
      <c r="X2226" s="275">
        <f>IF(D2226="","",VLOOKUP(D2226,契約台帳!$A$3:$Q$4986,17,FALSE))</f>
        <v>2</v>
      </c>
      <c r="Y2226" s="269" t="str">
        <f>IF(D2226="","",VLOOKUP(D2226,契約台帳!$A$3:$E$4986,5,FALSE))</f>
        <v>リンテック㈱</v>
      </c>
      <c r="Z2226" s="357"/>
      <c r="AA2226" s="207" t="str">
        <f>IFERROR(VLOOKUP(F2226&amp;K2226&amp;M2226,製品マスタ!$M$5:$AM$5002,27,FALSE),"")</f>
        <v>原反ケース再利用</v>
      </c>
      <c r="AB2226" s="369"/>
      <c r="AC2226" s="370"/>
      <c r="AD2226" s="332" t="str">
        <f>IF(F2226="","",+F2226&amp;K2226)</f>
        <v>3SNMLBMNGTBF50</v>
      </c>
      <c r="AE2226" s="216">
        <f>+M2226*N2226*O2226/1000</f>
        <v>67200</v>
      </c>
      <c r="AF2226" s="43">
        <f>IF(AD2226="","",VLOOKUP(AD2226,原価マスタ!$A$2:$AJ$1693,13,FALSE))</f>
        <v>99</v>
      </c>
      <c r="AG2226" s="47">
        <f>IF(AF2226="","",+AE2226*AF2226/100)</f>
        <v>66528</v>
      </c>
      <c r="AH2226" s="30"/>
      <c r="AI2226" s="30"/>
      <c r="AJ2226" s="30"/>
      <c r="AK2226" s="30"/>
      <c r="AL2226" s="13"/>
      <c r="AM2226" s="13"/>
      <c r="AN2226" s="13"/>
      <c r="AO2226" s="13"/>
      <c r="AP2226" s="13"/>
      <c r="AQ2226" s="14"/>
      <c r="AR2226" s="15"/>
    </row>
    <row r="2227" spans="1:44" s="17" customFormat="1" ht="30.95" customHeight="1" x14ac:dyDescent="0.2">
      <c r="A2227" s="343"/>
      <c r="B2227" s="344"/>
      <c r="C2227" s="345"/>
      <c r="D2227" s="398"/>
      <c r="E2227" s="31"/>
      <c r="F2227" s="268"/>
      <c r="G2227" s="269"/>
      <c r="H2227" s="269"/>
      <c r="I2227" s="270"/>
      <c r="J2227" s="32"/>
      <c r="K2227" s="270"/>
      <c r="L2227" s="270"/>
      <c r="M2227" s="39"/>
      <c r="N2227" s="39"/>
      <c r="O2227" s="47"/>
      <c r="P2227" s="57"/>
      <c r="Q2227" s="276"/>
      <c r="R2227" s="277"/>
      <c r="S2227" s="277"/>
      <c r="T2227" s="40"/>
      <c r="U2227" s="278"/>
      <c r="V2227" s="269"/>
      <c r="W2227" s="269"/>
      <c r="X2227" s="275"/>
      <c r="Y2227" s="269"/>
      <c r="Z2227" s="357"/>
      <c r="AA2227" s="207"/>
      <c r="AB2227" s="369"/>
      <c r="AC2227" s="370"/>
      <c r="AD2227" s="332"/>
      <c r="AE2227" s="216"/>
      <c r="AF2227" s="43"/>
      <c r="AG2227" s="47"/>
      <c r="AH2227" s="30"/>
      <c r="AI2227" s="30"/>
      <c r="AJ2227" s="30"/>
      <c r="AK2227" s="30"/>
      <c r="AL2227" s="13"/>
      <c r="AM2227" s="13"/>
      <c r="AN2227" s="13"/>
      <c r="AO2227" s="13"/>
      <c r="AP2227" s="13"/>
      <c r="AQ2227" s="14"/>
      <c r="AR2227" s="15"/>
    </row>
    <row r="2228" spans="1:44" s="17" customFormat="1" ht="30.6" customHeight="1" x14ac:dyDescent="0.2">
      <c r="A2228" s="320" t="s">
        <v>3432</v>
      </c>
      <c r="B2228" s="321" t="s">
        <v>3433</v>
      </c>
      <c r="C2228" s="345"/>
      <c r="D2228" s="398">
        <v>3790257</v>
      </c>
      <c r="E2228" s="31">
        <v>4157992</v>
      </c>
      <c r="F2228" s="268" t="str">
        <f>IF(D2228="","",VLOOKUP(D2228,契約台帳!$A$3:$K$4986,6,FALSE)&amp;VLOOKUP(D2228,契約台帳!$A$3:$K$4986,7,FALSE)&amp;VLOOKUP(D2228,契約台帳!$A$3:$K$4986,8,FALSE)&amp;VLOOKUP(D2228,契約台帳!$A$3:$K$4986,9,FALSE)&amp;VLOOKUP(D2228,契約台帳!$A$3:$K$4986,11,FALSE))</f>
        <v>3SNMLBMNGTBF</v>
      </c>
      <c r="G2228" s="269" t="str">
        <f>IF(D2228="","",VLOOKUP(F2228,製品マスタ!$G$5:$H$5002,2,FALSE))</f>
        <v>S</v>
      </c>
      <c r="H2228" s="269" t="str">
        <f>IF(D2228="","",VLOOKUP(F2228,製品マスタ!$G$5:$K$5002,5,FALSE))</f>
        <v>MNGTBF</v>
      </c>
      <c r="I2228" s="270" t="str">
        <f>IF(D2228="","",VLOOKUP(F2228,製品マスタ!$G$5:$L$5002,6,FALSE))</f>
        <v>メタルミー　ネーマー　銀艶　Ｂ</v>
      </c>
      <c r="J2228" s="32" t="s">
        <v>447</v>
      </c>
      <c r="K2228" s="270">
        <f>IF(D2228="","",VLOOKUP(D2228,契約台帳!$A$3:$L$4986,12,FALSE))</f>
        <v>50</v>
      </c>
      <c r="L2228" s="270" t="str">
        <f>IF(D2228="","",INDEX(製品マスタ!$Q$5:$Q$5002,MATCH(F2228&amp;K2228,製品マスタ!$AO$5:$AO$5002,0)))</f>
        <v>T62</v>
      </c>
      <c r="M2228" s="39">
        <v>1120</v>
      </c>
      <c r="N2228" s="39">
        <v>10000</v>
      </c>
      <c r="O2228" s="47">
        <v>5</v>
      </c>
      <c r="P2228" s="57"/>
      <c r="Q2228" s="276">
        <f>IF(D2228="","",IF(J2228="リード付け",M2228,VLOOKUP(D2228,契約台帳!$A$3:$N$4986,14,FALSE)))</f>
        <v>1120</v>
      </c>
      <c r="R2228" s="277">
        <f>IF(D2228="","",IF(J2228="リード付け",M2228,VLOOKUP(D2228,契約台帳!$A$3:$O$4986,15,FALSE)))</f>
        <v>1120</v>
      </c>
      <c r="S2228" s="277">
        <f>IF(D2228="","",IF(J2228="リード付け",N2228,VLOOKUP(D2228,契約台帳!$A$3:$P$4986,16,FALSE)))</f>
        <v>5000</v>
      </c>
      <c r="T2228" s="40">
        <v>10</v>
      </c>
      <c r="U2228" s="278" t="str">
        <f ca="1">IF(D2228="","",IF(OFFSET(D2228,-2,0)=D2228,"",VLOOKUP(D2228,契約台帳!$A$3:$R$4986,18,FALSE)))</f>
        <v/>
      </c>
      <c r="V2228" s="269" t="str">
        <f>IF(J2228="巻返し",VLOOKUP(F2228&amp;K2228&amp;M2228,製品マスタ!$M$5:$AD$5002,18,FALSE),IF(J2228="リード付け","原反コア",IF(J2228="スリット",VLOOKUP(F2228&amp;K2228&amp;Q2228,製品マスタ!$N$5:$AD$5002,17,FALSE),"")))</f>
        <v>6ｲﾝﾁSｺｱ</v>
      </c>
      <c r="W2228" s="269">
        <f>IF(J2228="巻返し",VLOOKUP(F2228&amp;K2228&amp;M2228,製品マスタ!$M$5:$AE$5002,19,FALSE),IF(J2228="リード付け","-",IF(J2228="スリット",VLOOKUP(F2228&amp;K2228&amp;Q2228,製品マスタ!$N$5:$AE$5002,18,FALSE),"")))</f>
        <v>1125</v>
      </c>
      <c r="X2228" s="275">
        <f>IF(D2228="","",VLOOKUP(D2228,契約台帳!$A$3:$Q$4986,17,FALSE))</f>
        <v>2</v>
      </c>
      <c r="Y2228" s="269" t="str">
        <f>IF(D2228="","",VLOOKUP(D2228,契約台帳!$A$3:$E$4986,5,FALSE))</f>
        <v>リンテック㈱</v>
      </c>
      <c r="Z2228" s="357"/>
      <c r="AA2228" s="207" t="str">
        <f>IFERROR(VLOOKUP(F2228&amp;K2228&amp;M2228,製品マスタ!$M$5:$AM$5002,27,FALSE),"")</f>
        <v>原反ケース再利用</v>
      </c>
      <c r="AB2228" s="369"/>
      <c r="AC2228" s="370"/>
      <c r="AD2228" s="332" t="str">
        <f>IF(F2228="","",+F2228&amp;K2228)</f>
        <v>3SNMLBMNGTBF50</v>
      </c>
      <c r="AE2228" s="216">
        <f>+M2228*N2228*O2228/1000</f>
        <v>56000</v>
      </c>
      <c r="AF2228" s="43">
        <f>IF(AD2228="","",VLOOKUP(AD2228,原価マスタ!$A$2:$AJ$1693,13,FALSE))</f>
        <v>99</v>
      </c>
      <c r="AG2228" s="47">
        <f>IF(AF2228="","",+AE2228*AF2228/100)</f>
        <v>55440</v>
      </c>
      <c r="AH2228" s="30"/>
      <c r="AI2228" s="30"/>
      <c r="AJ2228" s="30"/>
      <c r="AK2228" s="30"/>
      <c r="AL2228" s="13"/>
      <c r="AM2228" s="13"/>
      <c r="AN2228" s="13"/>
      <c r="AO2228" s="13"/>
      <c r="AP2228" s="13"/>
      <c r="AQ2228" s="14"/>
      <c r="AR2228" s="15"/>
    </row>
    <row r="2229" spans="1:44" s="17" customFormat="1" ht="30.95" customHeight="1" x14ac:dyDescent="0.2">
      <c r="A2229" s="343"/>
      <c r="B2229" s="344"/>
      <c r="C2229" s="345"/>
      <c r="D2229" s="398"/>
      <c r="E2229" s="31"/>
      <c r="F2229" s="268"/>
      <c r="G2229" s="269"/>
      <c r="H2229" s="269"/>
      <c r="I2229" s="270"/>
      <c r="J2229" s="32"/>
      <c r="K2229" s="270"/>
      <c r="L2229" s="270"/>
      <c r="M2229" s="39"/>
      <c r="N2229" s="39"/>
      <c r="O2229" s="47"/>
      <c r="P2229" s="57"/>
      <c r="Q2229" s="276"/>
      <c r="R2229" s="277"/>
      <c r="S2229" s="277"/>
      <c r="T2229" s="40"/>
      <c r="U2229" s="278"/>
      <c r="V2229" s="269"/>
      <c r="W2229" s="269"/>
      <c r="X2229" s="275"/>
      <c r="Y2229" s="269"/>
      <c r="Z2229" s="357"/>
      <c r="AA2229" s="207"/>
      <c r="AB2229" s="369"/>
      <c r="AC2229" s="370"/>
      <c r="AD2229" s="332"/>
      <c r="AE2229" s="216"/>
      <c r="AF2229" s="43"/>
      <c r="AG2229" s="47"/>
      <c r="AH2229" s="30"/>
      <c r="AI2229" s="30"/>
      <c r="AJ2229" s="30"/>
      <c r="AK2229" s="30"/>
      <c r="AL2229" s="13"/>
      <c r="AM2229" s="13"/>
      <c r="AN2229" s="13"/>
      <c r="AO2229" s="13"/>
      <c r="AP2229" s="13"/>
      <c r="AQ2229" s="14"/>
      <c r="AR2229" s="15"/>
    </row>
    <row r="2230" spans="1:44" s="17" customFormat="1" ht="30.6" customHeight="1" x14ac:dyDescent="0.2">
      <c r="A2230" s="320"/>
      <c r="B2230" s="321"/>
      <c r="C2230" s="345"/>
      <c r="D2230" s="398">
        <v>3790256</v>
      </c>
      <c r="E2230" s="31"/>
      <c r="F2230" s="268" t="str">
        <f>IF(D2230="","",VLOOKUP(D2230,契約台帳!$A$3:$K$4986,6,FALSE)&amp;VLOOKUP(D2230,契約台帳!$A$3:$K$4986,7,FALSE)&amp;VLOOKUP(D2230,契約台帳!$A$3:$K$4986,8,FALSE)&amp;VLOOKUP(D2230,契約台帳!$A$3:$K$4986,9,FALSE)&amp;VLOOKUP(D2230,契約台帳!$A$3:$K$4986,11,FALSE))</f>
        <v>3SNMLBMNGTBF</v>
      </c>
      <c r="G2230" s="269" t="str">
        <f>IF(D2230="","",VLOOKUP(F2230,製品マスタ!$G$5:$H$5002,2,FALSE))</f>
        <v>S</v>
      </c>
      <c r="H2230" s="269" t="str">
        <f>IF(D2230="","",VLOOKUP(F2230,製品マスタ!$G$5:$K$5002,5,FALSE))</f>
        <v>MNGTBF</v>
      </c>
      <c r="I2230" s="270" t="str">
        <f>IF(D2230="","",VLOOKUP(F2230,製品マスタ!$G$5:$L$5002,6,FALSE))</f>
        <v>メタルミー　ネーマー　銀艶　Ｂ</v>
      </c>
      <c r="J2230" s="32" t="s">
        <v>447</v>
      </c>
      <c r="K2230" s="270">
        <f>IF(D2230="","",VLOOKUP(D2230,契約台帳!$A$3:$L$4986,12,FALSE))</f>
        <v>25</v>
      </c>
      <c r="L2230" s="270" t="str">
        <f>IF(D2230="","",INDEX(製品マスタ!$Q$5:$Q$5002,MATCH(F2230&amp;K2230,製品マスタ!$AO$5:$AO$5002,0)))</f>
        <v>T62M</v>
      </c>
      <c r="M2230" s="39">
        <v>1125</v>
      </c>
      <c r="N2230" s="39">
        <v>12100</v>
      </c>
      <c r="O2230" s="47">
        <v>1</v>
      </c>
      <c r="P2230" s="57"/>
      <c r="Q2230" s="276">
        <f>IF(D2230="","",IF(J2230="リード付け",M2230,VLOOKUP(D2230,契約台帳!$A$3:$N$4986,14,FALSE)))</f>
        <v>1125</v>
      </c>
      <c r="R2230" s="277">
        <f>IF(D2230="","",IF(J2230="リード付け",M2230,VLOOKUP(D2230,契約台帳!$A$3:$O$4986,15,FALSE)))</f>
        <v>1120</v>
      </c>
      <c r="S2230" s="277">
        <f>IF(D2230="","",IF(J2230="リード付け",N2230,VLOOKUP(D2230,契約台帳!$A$3:$P$4986,16,FALSE)))</f>
        <v>4000</v>
      </c>
      <c r="T2230" s="40">
        <v>3</v>
      </c>
      <c r="U2230" s="278">
        <f ca="1">IF(D2230="","",IF(OFFSET(D2230,-2,0)=D2230,"",VLOOKUP(D2230,契約台帳!$A$3:$R$4986,18,FALSE)))</f>
        <v>3</v>
      </c>
      <c r="V2230" s="269" t="str">
        <f>IF(J2230="巻返し",VLOOKUP(F2230&amp;K2230&amp;M2230,製品マスタ!$M$5:$AD$5002,18,FALSE),IF(J2230="リード付け","原反コア",IF(J2230="スリット",VLOOKUP(F2230&amp;K2230&amp;Q2230,製品マスタ!$N$5:$AD$5002,17,FALSE),"")))</f>
        <v>6ｲﾝﾁSｺｱ</v>
      </c>
      <c r="W2230" s="269">
        <f>IF(J2230="巻返し",VLOOKUP(F2230&amp;K2230&amp;M2230,製品マスタ!$M$5:$AE$5002,19,FALSE),IF(J2230="リード付け","-",IF(J2230="スリット",VLOOKUP(F2230&amp;K2230&amp;Q2230,製品マスタ!$N$5:$AE$5002,18,FALSE),"")))</f>
        <v>1130</v>
      </c>
      <c r="X2230" s="275">
        <f>IF(D2230="","",VLOOKUP(D2230,契約台帳!$A$3:$Q$4986,17,FALSE))</f>
        <v>2</v>
      </c>
      <c r="Y2230" s="269" t="str">
        <f>IF(D2230="","",VLOOKUP(D2230,契約台帳!$A$3:$E$4986,5,FALSE))</f>
        <v>リンテック㈱</v>
      </c>
      <c r="Z2230" s="357"/>
      <c r="AA2230" s="207">
        <f>IFERROR(VLOOKUP(F2230&amp;K2230&amp;M2230,製品マスタ!$M$5:$AM$5002,27,FALSE),"")</f>
        <v>0</v>
      </c>
      <c r="AB2230" s="369"/>
      <c r="AC2230" s="370"/>
      <c r="AD2230" s="332" t="str">
        <f>IF(F2230="","",+F2230&amp;K2230)</f>
        <v>3SNMLBMNGTBF25</v>
      </c>
      <c r="AE2230" s="216">
        <f>+M2230*N2230*O2230/1000</f>
        <v>13612.5</v>
      </c>
      <c r="AF2230" s="43">
        <f>IF(AD2230="","",VLOOKUP(AD2230,原価マスタ!$A$2:$AJ$1693,13,FALSE))</f>
        <v>97.5</v>
      </c>
      <c r="AG2230" s="47">
        <f>IF(AF2230="","",+AE2230*AF2230/100)</f>
        <v>13272.1875</v>
      </c>
      <c r="AH2230" s="30"/>
      <c r="AI2230" s="30"/>
      <c r="AJ2230" s="30"/>
      <c r="AK2230" s="30"/>
      <c r="AL2230" s="13"/>
      <c r="AM2230" s="13"/>
      <c r="AN2230" s="13"/>
      <c r="AO2230" s="13"/>
      <c r="AP2230" s="13"/>
      <c r="AQ2230" s="14"/>
      <c r="AR2230" s="15"/>
    </row>
    <row r="2231" spans="1:44" s="17" customFormat="1" ht="30.95" customHeight="1" x14ac:dyDescent="0.2">
      <c r="A2231" s="343"/>
      <c r="B2231" s="344"/>
      <c r="C2231" s="345"/>
      <c r="D2231" s="398"/>
      <c r="E2231" s="31"/>
      <c r="F2231" s="268"/>
      <c r="G2231" s="269"/>
      <c r="H2231" s="269"/>
      <c r="I2231" s="270"/>
      <c r="J2231" s="32"/>
      <c r="K2231" s="270"/>
      <c r="L2231" s="270"/>
      <c r="M2231" s="39"/>
      <c r="N2231" s="39"/>
      <c r="O2231" s="47"/>
      <c r="P2231" s="57"/>
      <c r="Q2231" s="276"/>
      <c r="R2231" s="277"/>
      <c r="S2231" s="277"/>
      <c r="T2231" s="40"/>
      <c r="U2231" s="278"/>
      <c r="V2231" s="269"/>
      <c r="W2231" s="269"/>
      <c r="X2231" s="275"/>
      <c r="Y2231" s="269"/>
      <c r="Z2231" s="357"/>
      <c r="AA2231" s="207"/>
      <c r="AB2231" s="369"/>
      <c r="AC2231" s="370"/>
      <c r="AD2231" s="332"/>
      <c r="AE2231" s="216"/>
      <c r="AF2231" s="43"/>
      <c r="AG2231" s="47"/>
      <c r="AH2231" s="30"/>
      <c r="AI2231" s="30"/>
      <c r="AJ2231" s="30"/>
      <c r="AK2231" s="30"/>
      <c r="AL2231" s="13"/>
      <c r="AM2231" s="13"/>
      <c r="AN2231" s="13"/>
      <c r="AO2231" s="13"/>
      <c r="AP2231" s="13"/>
      <c r="AQ2231" s="14"/>
      <c r="AR2231" s="15"/>
    </row>
    <row r="2232" spans="1:44" s="17" customFormat="1" ht="30.95" customHeight="1" x14ac:dyDescent="0.2">
      <c r="A2232" s="343" t="s">
        <v>3434</v>
      </c>
      <c r="B2232" s="344" t="s">
        <v>3435</v>
      </c>
      <c r="C2232" s="345"/>
      <c r="D2232" s="398"/>
      <c r="E2232" s="31"/>
      <c r="F2232" s="268"/>
      <c r="G2232" s="269"/>
      <c r="H2232" s="269"/>
      <c r="I2232" s="270"/>
      <c r="J2232" s="32" t="s">
        <v>448</v>
      </c>
      <c r="K2232" s="270"/>
      <c r="L2232" s="270"/>
      <c r="M2232" s="39"/>
      <c r="N2232" s="39"/>
      <c r="O2232" s="47"/>
      <c r="P2232" s="57"/>
      <c r="Q2232" s="276"/>
      <c r="R2232" s="277"/>
      <c r="S2232" s="277"/>
      <c r="T2232" s="40"/>
      <c r="U2232" s="278"/>
      <c r="V2232" s="269"/>
      <c r="W2232" s="269"/>
      <c r="X2232" s="275"/>
      <c r="Y2232" s="269"/>
      <c r="Z2232" s="357"/>
      <c r="AA2232" s="207"/>
      <c r="AB2232" s="369"/>
      <c r="AC2232" s="370"/>
      <c r="AD2232" s="332"/>
      <c r="AE2232" s="216"/>
      <c r="AF2232" s="43"/>
      <c r="AG2232" s="47"/>
      <c r="AH2232" s="30"/>
      <c r="AI2232" s="30"/>
      <c r="AJ2232" s="30"/>
      <c r="AK2232" s="30"/>
      <c r="AL2232" s="13"/>
      <c r="AM2232" s="13"/>
      <c r="AN2232" s="13"/>
      <c r="AO2232" s="13"/>
      <c r="AP2232" s="13"/>
      <c r="AQ2232" s="14"/>
      <c r="AR2232" s="15"/>
    </row>
    <row r="2233" spans="1:44" s="17" customFormat="1" ht="30.95" customHeight="1" x14ac:dyDescent="0.2">
      <c r="A2233" s="343"/>
      <c r="B2233" s="344"/>
      <c r="C2233" s="345"/>
      <c r="D2233" s="398"/>
      <c r="E2233" s="31"/>
      <c r="F2233" s="268"/>
      <c r="G2233" s="269"/>
      <c r="H2233" s="269"/>
      <c r="I2233" s="270"/>
      <c r="J2233" s="32"/>
      <c r="K2233" s="270"/>
      <c r="L2233" s="270"/>
      <c r="M2233" s="39"/>
      <c r="N2233" s="39"/>
      <c r="O2233" s="47"/>
      <c r="P2233" s="57"/>
      <c r="Q2233" s="276"/>
      <c r="R2233" s="277"/>
      <c r="S2233" s="277"/>
      <c r="T2233" s="40"/>
      <c r="U2233" s="278"/>
      <c r="V2233" s="269"/>
      <c r="W2233" s="269"/>
      <c r="X2233" s="275"/>
      <c r="Y2233" s="269"/>
      <c r="Z2233" s="357"/>
      <c r="AA2233" s="207"/>
      <c r="AB2233" s="369"/>
      <c r="AC2233" s="370"/>
      <c r="AD2233" s="332"/>
      <c r="AE2233" s="216"/>
      <c r="AF2233" s="43"/>
      <c r="AG2233" s="47"/>
      <c r="AH2233" s="30"/>
      <c r="AI2233" s="30"/>
      <c r="AJ2233" s="30"/>
      <c r="AK2233" s="30"/>
      <c r="AL2233" s="13"/>
      <c r="AM2233" s="13"/>
      <c r="AN2233" s="13"/>
      <c r="AO2233" s="13"/>
      <c r="AP2233" s="13"/>
      <c r="AQ2233" s="14"/>
      <c r="AR2233" s="15"/>
    </row>
    <row r="2234" spans="1:44" s="17" customFormat="1" ht="30.95" customHeight="1" x14ac:dyDescent="0.2">
      <c r="A2234" s="343" t="s">
        <v>3436</v>
      </c>
      <c r="B2234" s="344" t="s">
        <v>3437</v>
      </c>
      <c r="C2234" s="345"/>
      <c r="D2234" s="398"/>
      <c r="E2234" s="31"/>
      <c r="F2234" s="268"/>
      <c r="G2234" s="269"/>
      <c r="H2234" s="269"/>
      <c r="I2234" s="270"/>
      <c r="J2234" s="32" t="s">
        <v>448</v>
      </c>
      <c r="K2234" s="270"/>
      <c r="L2234" s="270"/>
      <c r="M2234" s="39"/>
      <c r="N2234" s="39"/>
      <c r="O2234" s="47"/>
      <c r="P2234" s="57"/>
      <c r="Q2234" s="276"/>
      <c r="R2234" s="277"/>
      <c r="S2234" s="277"/>
      <c r="T2234" s="40"/>
      <c r="U2234" s="278"/>
      <c r="V2234" s="269"/>
      <c r="W2234" s="269"/>
      <c r="X2234" s="275"/>
      <c r="Y2234" s="269"/>
      <c r="Z2234" s="357"/>
      <c r="AA2234" s="207"/>
      <c r="AB2234" s="369"/>
      <c r="AC2234" s="370"/>
      <c r="AD2234" s="332"/>
      <c r="AE2234" s="216"/>
      <c r="AF2234" s="43"/>
      <c r="AG2234" s="47"/>
      <c r="AH2234" s="30"/>
      <c r="AI2234" s="30"/>
      <c r="AJ2234" s="30"/>
      <c r="AK2234" s="30"/>
      <c r="AL2234" s="13"/>
      <c r="AM2234" s="13"/>
      <c r="AN2234" s="13"/>
      <c r="AO2234" s="13"/>
      <c r="AP2234" s="13"/>
      <c r="AQ2234" s="14"/>
      <c r="AR2234" s="15"/>
    </row>
    <row r="2235" spans="1:44" s="17" customFormat="1" ht="30.95" customHeight="1" x14ac:dyDescent="0.2">
      <c r="A2235" s="343"/>
      <c r="B2235" s="344"/>
      <c r="C2235" s="345"/>
      <c r="D2235" s="398"/>
      <c r="E2235" s="31"/>
      <c r="F2235" s="268"/>
      <c r="G2235" s="269"/>
      <c r="H2235" s="269"/>
      <c r="I2235" s="270"/>
      <c r="J2235" s="32"/>
      <c r="K2235" s="270"/>
      <c r="L2235" s="270"/>
      <c r="M2235" s="39"/>
      <c r="N2235" s="39"/>
      <c r="O2235" s="47"/>
      <c r="P2235" s="57"/>
      <c r="Q2235" s="276"/>
      <c r="R2235" s="277"/>
      <c r="S2235" s="277"/>
      <c r="T2235" s="40"/>
      <c r="U2235" s="278"/>
      <c r="V2235" s="269"/>
      <c r="W2235" s="269"/>
      <c r="X2235" s="275"/>
      <c r="Y2235" s="269"/>
      <c r="Z2235" s="357"/>
      <c r="AA2235" s="207"/>
      <c r="AB2235" s="369"/>
      <c r="AC2235" s="370"/>
      <c r="AD2235" s="332"/>
      <c r="AE2235" s="216"/>
      <c r="AF2235" s="43"/>
      <c r="AG2235" s="47"/>
      <c r="AH2235" s="30"/>
      <c r="AI2235" s="30"/>
      <c r="AJ2235" s="30"/>
      <c r="AK2235" s="30"/>
      <c r="AL2235" s="13"/>
      <c r="AM2235" s="13"/>
      <c r="AN2235" s="13"/>
      <c r="AO2235" s="13"/>
      <c r="AP2235" s="13"/>
      <c r="AQ2235" s="14"/>
      <c r="AR2235" s="15"/>
    </row>
    <row r="2236" spans="1:44" s="17" customFormat="1" ht="30.6" customHeight="1" x14ac:dyDescent="0.2">
      <c r="A2236" s="320" t="s">
        <v>3438</v>
      </c>
      <c r="B2236" s="321" t="s">
        <v>3439</v>
      </c>
      <c r="C2236" s="345"/>
      <c r="D2236" s="398">
        <v>3790255</v>
      </c>
      <c r="E2236" s="31"/>
      <c r="F2236" s="268" t="str">
        <f>IF(D2236="","",VLOOKUP(D2236,契約台帳!$A$3:$K$4986,6,FALSE)&amp;VLOOKUP(D2236,契約台帳!$A$3:$K$4986,7,FALSE)&amp;VLOOKUP(D2236,契約台帳!$A$3:$K$4986,8,FALSE)&amp;VLOOKUP(D2236,契約台帳!$A$3:$K$4986,9,FALSE)&amp;VLOOKUP(D2236,契約台帳!$A$3:$K$4986,11,FALSE))</f>
        <v>3SNMLBMNGTBF</v>
      </c>
      <c r="G2236" s="269" t="str">
        <f>IF(D2236="","",VLOOKUP(F2236,製品マスタ!$G$5:$H$5002,2,FALSE))</f>
        <v>S</v>
      </c>
      <c r="H2236" s="269" t="str">
        <f>IF(D2236="","",VLOOKUP(F2236,製品マスタ!$G$5:$K$5002,5,FALSE))</f>
        <v>MNGTBF</v>
      </c>
      <c r="I2236" s="270" t="str">
        <f>IF(D2236="","",VLOOKUP(F2236,製品マスタ!$G$5:$L$5002,6,FALSE))</f>
        <v>メタルミー　ネーマー　銀艶　Ｂ</v>
      </c>
      <c r="J2236" s="32" t="s">
        <v>447</v>
      </c>
      <c r="K2236" s="270">
        <f>IF(D2236="","",VLOOKUP(D2236,契約台帳!$A$3:$L$4986,12,FALSE))</f>
        <v>25</v>
      </c>
      <c r="L2236" s="270" t="str">
        <f>IF(D2236="","",INDEX(製品マスタ!$Q$5:$Q$5002,MATCH(F2236&amp;K2236,製品マスタ!$AO$5:$AO$5002,0)))</f>
        <v>T62M</v>
      </c>
      <c r="M2236" s="39">
        <v>1005</v>
      </c>
      <c r="N2236" s="39">
        <v>12100</v>
      </c>
      <c r="O2236" s="47">
        <v>5</v>
      </c>
      <c r="P2236" s="57"/>
      <c r="Q2236" s="276">
        <f>IF(D2236="","",IF(J2236="リード付け",M2236,VLOOKUP(D2236,契約台帳!$A$3:$N$4986,14,FALSE)))</f>
        <v>1005</v>
      </c>
      <c r="R2236" s="277">
        <f>IF(D2236="","",IF(J2236="リード付け",M2236,VLOOKUP(D2236,契約台帳!$A$3:$O$4986,15,FALSE)))</f>
        <v>1000</v>
      </c>
      <c r="S2236" s="277">
        <f>IF(D2236="","",IF(J2236="リード付け",N2236,VLOOKUP(D2236,契約台帳!$A$3:$P$4986,16,FALSE)))</f>
        <v>4000</v>
      </c>
      <c r="T2236" s="40">
        <v>15</v>
      </c>
      <c r="U2236" s="278">
        <f ca="1">IF(D2236="","",IF(OFFSET(D2236,-2,0)=D2236,"",VLOOKUP(D2236,契約台帳!$A$3:$R$4986,18,FALSE)))</f>
        <v>15</v>
      </c>
      <c r="V2236" s="269" t="str">
        <f>IF(J2236="巻返し",VLOOKUP(F2236&amp;K2236&amp;M2236,製品マスタ!$M$5:$AD$5002,18,FALSE),IF(J2236="リード付け","原反コア",IF(J2236="スリット",VLOOKUP(F2236&amp;K2236&amp;Q2236,製品マスタ!$N$5:$AD$5002,17,FALSE),"")))</f>
        <v>6ｲﾝﾁSｺｱ</v>
      </c>
      <c r="W2236" s="269">
        <f>IF(J2236="巻返し",VLOOKUP(F2236&amp;K2236&amp;M2236,製品マスタ!$M$5:$AE$5002,19,FALSE),IF(J2236="リード付け","-",IF(J2236="スリット",VLOOKUP(F2236&amp;K2236&amp;Q2236,製品マスタ!$N$5:$AE$5002,18,FALSE),"")))</f>
        <v>1015</v>
      </c>
      <c r="X2236" s="275">
        <f>IF(D2236="","",VLOOKUP(D2236,契約台帳!$A$3:$Q$4986,17,FALSE))</f>
        <v>2</v>
      </c>
      <c r="Y2236" s="269" t="str">
        <f>IF(D2236="","",VLOOKUP(D2236,契約台帳!$A$3:$E$4986,5,FALSE))</f>
        <v>リンテック㈱</v>
      </c>
      <c r="Z2236" s="357"/>
      <c r="AA2236" s="207">
        <f>IFERROR(VLOOKUP(F2236&amp;K2236&amp;M2236,製品マスタ!$M$5:$AM$5002,27,FALSE),"")</f>
        <v>0</v>
      </c>
      <c r="AB2236" s="369"/>
      <c r="AC2236" s="370"/>
      <c r="AD2236" s="332" t="str">
        <f>IF(F2236="","",+F2236&amp;K2236)</f>
        <v>3SNMLBMNGTBF25</v>
      </c>
      <c r="AE2236" s="216">
        <f>+M2236*N2236*O2236/1000</f>
        <v>60802.5</v>
      </c>
      <c r="AF2236" s="43">
        <f>IF(AD2236="","",VLOOKUP(AD2236,原価マスタ!$A$2:$AJ$1693,13,FALSE))</f>
        <v>97.5</v>
      </c>
      <c r="AG2236" s="47">
        <f>IF(AF2236="","",+AE2236*AF2236/100)</f>
        <v>59282.4375</v>
      </c>
      <c r="AH2236" s="30"/>
      <c r="AI2236" s="30"/>
      <c r="AJ2236" s="30"/>
      <c r="AK2236" s="30"/>
      <c r="AL2236" s="13"/>
      <c r="AM2236" s="13"/>
      <c r="AN2236" s="13"/>
      <c r="AO2236" s="13"/>
      <c r="AP2236" s="13"/>
      <c r="AQ2236" s="14"/>
      <c r="AR2236" s="15"/>
    </row>
    <row r="2237" spans="1:44" s="17" customFormat="1" ht="30.95" customHeight="1" x14ac:dyDescent="0.2">
      <c r="A2237" s="343"/>
      <c r="B2237" s="344"/>
      <c r="C2237" s="345"/>
      <c r="D2237" s="398"/>
      <c r="E2237" s="31"/>
      <c r="F2237" s="268"/>
      <c r="G2237" s="269"/>
      <c r="H2237" s="269"/>
      <c r="I2237" s="270"/>
      <c r="J2237" s="32"/>
      <c r="K2237" s="270"/>
      <c r="L2237" s="270"/>
      <c r="M2237" s="39"/>
      <c r="N2237" s="39"/>
      <c r="O2237" s="47"/>
      <c r="P2237" s="57"/>
      <c r="Q2237" s="276"/>
      <c r="R2237" s="277"/>
      <c r="S2237" s="277"/>
      <c r="T2237" s="40"/>
      <c r="U2237" s="278"/>
      <c r="V2237" s="269"/>
      <c r="W2237" s="269"/>
      <c r="X2237" s="275"/>
      <c r="Y2237" s="269"/>
      <c r="Z2237" s="357"/>
      <c r="AA2237" s="207"/>
      <c r="AB2237" s="369"/>
      <c r="AC2237" s="370"/>
      <c r="AD2237" s="332"/>
      <c r="AE2237" s="216"/>
      <c r="AF2237" s="43"/>
      <c r="AG2237" s="47"/>
      <c r="AH2237" s="30"/>
      <c r="AI2237" s="30"/>
      <c r="AJ2237" s="30"/>
      <c r="AK2237" s="30"/>
      <c r="AL2237" s="13"/>
      <c r="AM2237" s="13"/>
      <c r="AN2237" s="13"/>
      <c r="AO2237" s="13"/>
      <c r="AP2237" s="13"/>
      <c r="AQ2237" s="14"/>
      <c r="AR2237" s="15"/>
    </row>
    <row r="2238" spans="1:44" s="17" customFormat="1" ht="30.6" customHeight="1" x14ac:dyDescent="0.2">
      <c r="A2238" s="320" t="s">
        <v>3440</v>
      </c>
      <c r="B2238" s="321" t="s">
        <v>3427</v>
      </c>
      <c r="C2238" s="345"/>
      <c r="D2238" s="398">
        <v>3783798</v>
      </c>
      <c r="E2238" s="31"/>
      <c r="F2238" s="268" t="str">
        <f>IF(D2238="","",VLOOKUP(D2238,契約台帳!$A$3:$K$4986,6,FALSE)&amp;VLOOKUP(D2238,契約台帳!$A$3:$K$4986,7,FALSE)&amp;VLOOKUP(D2238,契約台帳!$A$3:$K$4986,8,FALSE)&amp;VLOOKUP(D2238,契約台帳!$A$3:$K$4986,9,FALSE)&amp;VLOOKUP(D2238,契約台帳!$A$3:$K$4986,11,FALSE))</f>
        <v>3SNMLBMSF</v>
      </c>
      <c r="G2238" s="269" t="str">
        <f>IF(D2238="","",VLOOKUP(F2238,製品マスタ!$G$5:$H$5002,2,FALSE))</f>
        <v>S</v>
      </c>
      <c r="H2238" s="269" t="str">
        <f>IF(D2238="","",VLOOKUP(F2238,製品マスタ!$G$5:$K$5002,5,FALSE))</f>
        <v>MSF</v>
      </c>
      <c r="I2238" s="270" t="str">
        <f>IF(D2238="","",VLOOKUP(F2238,製品マスタ!$G$5:$L$5002,6,FALSE))</f>
        <v>メタルミー　Ｓ</v>
      </c>
      <c r="J2238" s="32" t="s">
        <v>447</v>
      </c>
      <c r="K2238" s="270">
        <f>IF(D2238="","",VLOOKUP(D2238,契約台帳!$A$3:$L$4986,12,FALSE))</f>
        <v>25</v>
      </c>
      <c r="L2238" s="270" t="str">
        <f>IF(D2238="","",INDEX(製品マスタ!$Q$5:$Q$5002,MATCH(F2238&amp;K2238,製品マスタ!$AO$5:$AO$5002,0)))</f>
        <v>T62M</v>
      </c>
      <c r="M2238" s="39">
        <v>1240</v>
      </c>
      <c r="N2238" s="39">
        <v>12200</v>
      </c>
      <c r="O2238" s="47">
        <v>1</v>
      </c>
      <c r="P2238" s="57"/>
      <c r="Q2238" s="276">
        <f>IF(D2238="","",IF(J2238="リード付け",M2238,VLOOKUP(D2238,契約台帳!$A$3:$N$4986,14,FALSE)))</f>
        <v>1240</v>
      </c>
      <c r="R2238" s="277">
        <f>IF(D2238="","",IF(J2238="リード付け",M2238,VLOOKUP(D2238,契約台帳!$A$3:$O$4986,15,FALSE)))</f>
        <v>1240</v>
      </c>
      <c r="S2238" s="277">
        <f>IF(D2238="","",IF(J2238="リード付け",N2238,VLOOKUP(D2238,契約台帳!$A$3:$P$4986,16,FALSE)))</f>
        <v>2000</v>
      </c>
      <c r="T2238" s="40">
        <v>6</v>
      </c>
      <c r="U2238" s="278">
        <f ca="1">IF(D2238="","",IF(OFFSET(D2238,-2,0)=D2238,"",VLOOKUP(D2238,契約台帳!$A$3:$R$4986,18,FALSE)))</f>
        <v>6</v>
      </c>
      <c r="V2238" s="269" t="str">
        <f>IF(J2238="巻返し",VLOOKUP(F2238&amp;K2238&amp;M2238,製品マスタ!$M$5:$AD$5002,18,FALSE),IF(J2238="リード付け","原反コア",IF(J2238="スリット",VLOOKUP(F2238&amp;K2238&amp;Q2238,製品マスタ!$N$5:$AD$5002,17,FALSE),"")))</f>
        <v>3ｲﾝﾁSｺｱ</v>
      </c>
      <c r="W2238" s="269">
        <f>IF(J2238="巻返し",VLOOKUP(F2238&amp;K2238&amp;M2238,製品マスタ!$M$5:$AE$5002,19,FALSE),IF(J2238="リード付け","-",IF(J2238="スリット",VLOOKUP(F2238&amp;K2238&amp;Q2238,製品マスタ!$N$5:$AE$5002,18,FALSE),"")))</f>
        <v>1245</v>
      </c>
      <c r="X2238" s="275">
        <f>IF(D2238="","",VLOOKUP(D2238,契約台帳!$A$3:$Q$4986,17,FALSE))</f>
        <v>1</v>
      </c>
      <c r="Y2238" s="269" t="str">
        <f>IF(D2238="","",VLOOKUP(D2238,契約台帳!$A$3:$E$4986,5,FALSE))</f>
        <v>日精㈱東京支店</v>
      </c>
      <c r="Z2238" s="357"/>
      <c r="AA2238" s="207">
        <f>IFERROR(VLOOKUP(F2238&amp;K2238&amp;M2238,製品マスタ!$M$5:$AM$5002,27,FALSE),"")</f>
        <v>0</v>
      </c>
      <c r="AB2238" s="369"/>
      <c r="AC2238" s="370"/>
      <c r="AD2238" s="332" t="str">
        <f>IF(F2238="","",+F2238&amp;K2238)</f>
        <v>3SNMLBMSF25</v>
      </c>
      <c r="AE2238" s="216">
        <f>+M2238*N2238*O2238/1000</f>
        <v>15128</v>
      </c>
      <c r="AF2238" s="43">
        <f>IF(AD2238="","",VLOOKUP(AD2238,原価マスタ!$A$2:$AJ$1693,13,FALSE))</f>
        <v>97</v>
      </c>
      <c r="AG2238" s="47">
        <f>IF(AF2238="","",+AE2238*AF2238/100)</f>
        <v>14674.16</v>
      </c>
      <c r="AH2238" s="30"/>
      <c r="AI2238" s="30"/>
      <c r="AJ2238" s="30"/>
      <c r="AK2238" s="30"/>
      <c r="AL2238" s="13"/>
      <c r="AM2238" s="13"/>
      <c r="AN2238" s="13"/>
      <c r="AO2238" s="13"/>
      <c r="AP2238" s="13"/>
      <c r="AQ2238" s="14"/>
      <c r="AR2238" s="15"/>
    </row>
    <row r="2239" spans="1:44" s="17" customFormat="1" ht="30.95" customHeight="1" x14ac:dyDescent="0.2">
      <c r="A2239" s="343"/>
      <c r="B2239" s="344"/>
      <c r="C2239" s="345"/>
      <c r="D2239" s="398"/>
      <c r="E2239" s="31"/>
      <c r="F2239" s="268"/>
      <c r="G2239" s="269"/>
      <c r="H2239" s="269"/>
      <c r="I2239" s="270"/>
      <c r="J2239" s="32"/>
      <c r="K2239" s="270"/>
      <c r="L2239" s="270"/>
      <c r="M2239" s="39"/>
      <c r="N2239" s="39"/>
      <c r="O2239" s="47"/>
      <c r="P2239" s="57"/>
      <c r="Q2239" s="276"/>
      <c r="R2239" s="277"/>
      <c r="S2239" s="277"/>
      <c r="T2239" s="40"/>
      <c r="U2239" s="278"/>
      <c r="V2239" s="269"/>
      <c r="W2239" s="269"/>
      <c r="X2239" s="275"/>
      <c r="Y2239" s="269"/>
      <c r="Z2239" s="357"/>
      <c r="AA2239" s="207"/>
      <c r="AB2239" s="369"/>
      <c r="AC2239" s="370"/>
      <c r="AD2239" s="332"/>
      <c r="AE2239" s="216"/>
      <c r="AF2239" s="43"/>
      <c r="AG2239" s="47"/>
      <c r="AH2239" s="30"/>
      <c r="AI2239" s="30"/>
      <c r="AJ2239" s="30"/>
      <c r="AK2239" s="30"/>
      <c r="AL2239" s="13"/>
      <c r="AM2239" s="13"/>
      <c r="AN2239" s="13"/>
      <c r="AO2239" s="13"/>
      <c r="AP2239" s="13"/>
      <c r="AQ2239" s="14"/>
      <c r="AR2239" s="15"/>
    </row>
    <row r="2240" spans="1:44" s="17" customFormat="1" ht="30.6" customHeight="1" x14ac:dyDescent="0.2">
      <c r="A2240" s="320"/>
      <c r="B2240" s="321"/>
      <c r="C2240" s="345"/>
      <c r="D2240" s="398">
        <v>3790247</v>
      </c>
      <c r="E2240" s="31"/>
      <c r="F2240" s="268" t="str">
        <f>IF(D2240="","",VLOOKUP(D2240,契約台帳!$A$3:$K$4986,6,FALSE)&amp;VLOOKUP(D2240,契約台帳!$A$3:$K$4986,7,FALSE)&amp;VLOOKUP(D2240,契約台帳!$A$3:$K$4986,8,FALSE)&amp;VLOOKUP(D2240,契約台帳!$A$3:$K$4986,9,FALSE)&amp;VLOOKUP(D2240,契約台帳!$A$3:$K$4986,11,FALSE))</f>
        <v>3SNMLBMSF</v>
      </c>
      <c r="G2240" s="269" t="str">
        <f>IF(D2240="","",VLOOKUP(F2240,製品マスタ!$G$5:$H$5002,2,FALSE))</f>
        <v>S</v>
      </c>
      <c r="H2240" s="269" t="str">
        <f>IF(D2240="","",VLOOKUP(F2240,製品マスタ!$G$5:$K$5002,5,FALSE))</f>
        <v>MSF</v>
      </c>
      <c r="I2240" s="270" t="str">
        <f>IF(D2240="","",VLOOKUP(F2240,製品マスタ!$G$5:$L$5002,6,FALSE))</f>
        <v>メタルミー　Ｓ</v>
      </c>
      <c r="J2240" s="32" t="s">
        <v>447</v>
      </c>
      <c r="K2240" s="270">
        <f>IF(D2240="","",VLOOKUP(D2240,契約台帳!$A$3:$L$4986,12,FALSE))</f>
        <v>25</v>
      </c>
      <c r="L2240" s="270" t="str">
        <f>IF(D2240="","",INDEX(製品マスタ!$Q$5:$Q$5002,MATCH(F2240&amp;K2240,製品マスタ!$AO$5:$AO$5002,0)))</f>
        <v>T62M</v>
      </c>
      <c r="M2240" s="39">
        <v>1020</v>
      </c>
      <c r="N2240" s="39">
        <v>12100</v>
      </c>
      <c r="O2240" s="47">
        <v>1</v>
      </c>
      <c r="P2240" s="57"/>
      <c r="Q2240" s="276">
        <f>IF(D2240="","",IF(J2240="リード付け",M2240,VLOOKUP(D2240,契約台帳!$A$3:$N$4986,14,FALSE)))</f>
        <v>1020</v>
      </c>
      <c r="R2240" s="277">
        <f>IF(D2240="","",IF(J2240="リード付け",M2240,VLOOKUP(D2240,契約台帳!$A$3:$O$4986,15,FALSE)))</f>
        <v>1020</v>
      </c>
      <c r="S2240" s="277">
        <f>IF(D2240="","",IF(J2240="リード付け",N2240,VLOOKUP(D2240,契約台帳!$A$3:$P$4986,16,FALSE)))</f>
        <v>2000</v>
      </c>
      <c r="T2240" s="40">
        <v>6</v>
      </c>
      <c r="U2240" s="278">
        <f ca="1">IF(D2240="","",IF(OFFSET(D2240,-2,0)=D2240,"",VLOOKUP(D2240,契約台帳!$A$3:$R$4986,18,FALSE)))</f>
        <v>6</v>
      </c>
      <c r="V2240" s="269" t="str">
        <f>IF(J2240="巻返し",VLOOKUP(F2240&amp;K2240&amp;M2240,製品マスタ!$M$5:$AD$5002,18,FALSE),IF(J2240="リード付け","原反コア",IF(J2240="スリット",VLOOKUP(F2240&amp;K2240&amp;Q2240,製品マスタ!$N$5:$AD$5002,17,FALSE),"")))</f>
        <v>3ｲﾝﾁSｺｱ</v>
      </c>
      <c r="W2240" s="269">
        <f>IF(J2240="巻返し",VLOOKUP(F2240&amp;K2240&amp;M2240,製品マスタ!$M$5:$AE$5002,19,FALSE),IF(J2240="リード付け","-",IF(J2240="スリット",VLOOKUP(F2240&amp;K2240&amp;Q2240,製品マスタ!$N$5:$AE$5002,18,FALSE),"")))</f>
        <v>1005</v>
      </c>
      <c r="X2240" s="275">
        <f>IF(D2240="","",VLOOKUP(D2240,契約台帳!$A$3:$Q$4986,17,FALSE))</f>
        <v>2</v>
      </c>
      <c r="Y2240" s="269" t="str">
        <f>IF(D2240="","",VLOOKUP(D2240,契約台帳!$A$3:$E$4986,5,FALSE))</f>
        <v>パナック㈱亀山工場</v>
      </c>
      <c r="Z2240" s="357"/>
      <c r="AA2240" s="207">
        <f>IFERROR(VLOOKUP(F2240&amp;K2240&amp;M2240,製品マスタ!$M$5:$AM$5002,27,FALSE),"")</f>
        <v>0</v>
      </c>
      <c r="AB2240" s="369"/>
      <c r="AC2240" s="370"/>
      <c r="AD2240" s="332" t="str">
        <f>IF(F2240="","",+F2240&amp;K2240)</f>
        <v>3SNMLBMSF25</v>
      </c>
      <c r="AE2240" s="216">
        <f>+M2240*N2240*O2240/1000</f>
        <v>12342</v>
      </c>
      <c r="AF2240" s="43">
        <f>IF(AD2240="","",VLOOKUP(AD2240,原価マスタ!$A$2:$AJ$1693,13,FALSE))</f>
        <v>97</v>
      </c>
      <c r="AG2240" s="47">
        <f>IF(AF2240="","",+AE2240*AF2240/100)</f>
        <v>11971.74</v>
      </c>
      <c r="AH2240" s="30"/>
      <c r="AI2240" s="30"/>
      <c r="AJ2240" s="30"/>
      <c r="AK2240" s="30"/>
      <c r="AL2240" s="13"/>
      <c r="AM2240" s="13"/>
      <c r="AN2240" s="13"/>
      <c r="AO2240" s="13"/>
      <c r="AP2240" s="13"/>
      <c r="AQ2240" s="14"/>
      <c r="AR2240" s="15"/>
    </row>
    <row r="2241" spans="1:44" s="17" customFormat="1" ht="30.95" customHeight="1" x14ac:dyDescent="0.2">
      <c r="A2241" s="343"/>
      <c r="B2241" s="344"/>
      <c r="C2241" s="345"/>
      <c r="D2241" s="398"/>
      <c r="E2241" s="31"/>
      <c r="F2241" s="268"/>
      <c r="G2241" s="269"/>
      <c r="H2241" s="269"/>
      <c r="I2241" s="270"/>
      <c r="J2241" s="32"/>
      <c r="K2241" s="270"/>
      <c r="L2241" s="270"/>
      <c r="M2241" s="39"/>
      <c r="N2241" s="39"/>
      <c r="O2241" s="47"/>
      <c r="P2241" s="57"/>
      <c r="Q2241" s="276"/>
      <c r="R2241" s="277"/>
      <c r="S2241" s="277"/>
      <c r="T2241" s="40"/>
      <c r="U2241" s="278"/>
      <c r="V2241" s="269"/>
      <c r="W2241" s="269"/>
      <c r="X2241" s="275"/>
      <c r="Y2241" s="269"/>
      <c r="Z2241" s="357"/>
      <c r="AA2241" s="207"/>
      <c r="AB2241" s="369"/>
      <c r="AC2241" s="370"/>
      <c r="AD2241" s="332"/>
      <c r="AE2241" s="216"/>
      <c r="AF2241" s="43"/>
      <c r="AG2241" s="47"/>
      <c r="AH2241" s="30"/>
      <c r="AI2241" s="30"/>
      <c r="AJ2241" s="30"/>
      <c r="AK2241" s="30"/>
      <c r="AL2241" s="13"/>
      <c r="AM2241" s="13"/>
      <c r="AN2241" s="13"/>
      <c r="AO2241" s="13"/>
      <c r="AP2241" s="13"/>
      <c r="AQ2241" s="14"/>
      <c r="AR2241" s="15"/>
    </row>
    <row r="2242" spans="1:44" s="17" customFormat="1" ht="30.6" customHeight="1" x14ac:dyDescent="0.2">
      <c r="A2242" s="320"/>
      <c r="B2242" s="321"/>
      <c r="C2242" s="345"/>
      <c r="D2242" s="398">
        <v>3783802</v>
      </c>
      <c r="E2242" s="31"/>
      <c r="F2242" s="268" t="str">
        <f>IF(D2242="","",VLOOKUP(D2242,契約台帳!$A$3:$K$4986,6,FALSE)&amp;VLOOKUP(D2242,契約台帳!$A$3:$K$4986,7,FALSE)&amp;VLOOKUP(D2242,契約台帳!$A$3:$K$4986,8,FALSE)&amp;VLOOKUP(D2242,契約台帳!$A$3:$K$4986,9,FALSE)&amp;VLOOKUP(D2242,契約台帳!$A$3:$K$4986,11,FALSE))</f>
        <v>3SNMLBMNGKKBF</v>
      </c>
      <c r="G2242" s="269" t="str">
        <f>IF(D2242="","",VLOOKUP(F2242,製品マスタ!$G$5:$H$5002,2,FALSE))</f>
        <v>S</v>
      </c>
      <c r="H2242" s="269" t="str">
        <f>IF(D2242="","",VLOOKUP(F2242,製品マスタ!$G$5:$K$5002,5,FALSE))</f>
        <v>MNGKKBF</v>
      </c>
      <c r="I2242" s="270" t="str">
        <f>IF(D2242="","",VLOOKUP(F2242,製品マスタ!$G$5:$L$5002,6,FALSE))</f>
        <v>メタルミー　ネーマー銀消改　Ｂ</v>
      </c>
      <c r="J2242" s="32" t="s">
        <v>447</v>
      </c>
      <c r="K2242" s="270">
        <f>IF(D2242="","",VLOOKUP(D2242,契約台帳!$A$3:$L$4986,12,FALSE))</f>
        <v>25</v>
      </c>
      <c r="L2242" s="270" t="str">
        <f>IF(D2242="","",INDEX(製品マスタ!$Q$5:$Q$5002,MATCH(F2242&amp;K2242,製品マスタ!$AO$5:$AO$5002,0)))</f>
        <v>FMATS99</v>
      </c>
      <c r="M2242" s="39">
        <v>1120</v>
      </c>
      <c r="N2242" s="39">
        <v>12000</v>
      </c>
      <c r="O2242" s="47">
        <v>1</v>
      </c>
      <c r="P2242" s="57"/>
      <c r="Q2242" s="276">
        <f>IF(D2242="","",IF(J2242="リード付け",M2242,VLOOKUP(D2242,契約台帳!$A$3:$N$4986,14,FALSE)))</f>
        <v>1120</v>
      </c>
      <c r="R2242" s="277">
        <f>IF(D2242="","",IF(J2242="リード付け",M2242,VLOOKUP(D2242,契約台帳!$A$3:$O$4986,15,FALSE)))</f>
        <v>1120</v>
      </c>
      <c r="S2242" s="277">
        <f>IF(D2242="","",IF(J2242="リード付け",N2242,VLOOKUP(D2242,契約台帳!$A$3:$P$4986,16,FALSE)))</f>
        <v>4000</v>
      </c>
      <c r="T2242" s="40">
        <v>3</v>
      </c>
      <c r="U2242" s="278">
        <f ca="1">IF(D2242="","",IF(OFFSET(D2242,-2,0)=D2242,"",VLOOKUP(D2242,契約台帳!$A$3:$R$4986,18,FALSE)))</f>
        <v>4</v>
      </c>
      <c r="V2242" s="269" t="str">
        <f>IF(J2242="巻返し",VLOOKUP(F2242&amp;K2242&amp;M2242,製品マスタ!$M$5:$AD$5002,18,FALSE),IF(J2242="リード付け","原反コア",IF(J2242="スリット",VLOOKUP(F2242&amp;K2242&amp;Q2242,製品マスタ!$N$5:$AD$5002,17,FALSE),"")))</f>
        <v>6ｲﾝﾁSｺｱ</v>
      </c>
      <c r="W2242" s="269">
        <f>IF(J2242="巻返し",VLOOKUP(F2242&amp;K2242&amp;M2242,製品マスタ!$M$5:$AE$5002,19,FALSE),IF(J2242="リード付け","-",IF(J2242="スリット",VLOOKUP(F2242&amp;K2242&amp;Q2242,製品マスタ!$N$5:$AE$5002,18,FALSE),"")))</f>
        <v>1125</v>
      </c>
      <c r="X2242" s="275">
        <f>IF(D2242="","",VLOOKUP(D2242,契約台帳!$A$3:$Q$4986,17,FALSE))</f>
        <v>2</v>
      </c>
      <c r="Y2242" s="269" t="str">
        <f>IF(D2242="","",VLOOKUP(D2242,契約台帳!$A$3:$E$4986,5,FALSE))</f>
        <v>リンテック㈱</v>
      </c>
      <c r="Z2242" s="357"/>
      <c r="AA2242" s="207">
        <f>IFERROR(VLOOKUP(F2242&amp;K2242&amp;M2242,製品マスタ!$M$5:$AM$5002,27,FALSE),"")</f>
        <v>0</v>
      </c>
      <c r="AB2242" s="369"/>
      <c r="AC2242" s="370"/>
      <c r="AD2242" s="332" t="str">
        <f>IF(F2242="","",+F2242&amp;K2242)</f>
        <v>3SNMLBMNGKKBF25</v>
      </c>
      <c r="AE2242" s="216">
        <f>+M2242*N2242*O2242/1000</f>
        <v>13440</v>
      </c>
      <c r="AF2242" s="43">
        <f>IF(AD2242="","",VLOOKUP(AD2242,原価マスタ!$A$2:$AJ$1693,13,FALSE))</f>
        <v>96</v>
      </c>
      <c r="AG2242" s="47">
        <f>IF(AF2242="","",+AE2242*AF2242/100)</f>
        <v>12902.4</v>
      </c>
      <c r="AH2242" s="30"/>
      <c r="AI2242" s="30"/>
      <c r="AJ2242" s="30"/>
      <c r="AK2242" s="30"/>
      <c r="AL2242" s="13"/>
      <c r="AM2242" s="13"/>
      <c r="AN2242" s="13"/>
      <c r="AO2242" s="13"/>
      <c r="AP2242" s="13"/>
      <c r="AQ2242" s="14"/>
      <c r="AR2242" s="15"/>
    </row>
    <row r="2243" spans="1:44" s="17" customFormat="1" ht="30.95" customHeight="1" x14ac:dyDescent="0.2">
      <c r="A2243" s="343"/>
      <c r="B2243" s="344"/>
      <c r="C2243" s="345"/>
      <c r="D2243" s="398"/>
      <c r="E2243" s="31"/>
      <c r="F2243" s="268"/>
      <c r="G2243" s="269"/>
      <c r="H2243" s="269"/>
      <c r="I2243" s="270"/>
      <c r="J2243" s="32"/>
      <c r="K2243" s="270"/>
      <c r="L2243" s="270"/>
      <c r="M2243" s="39"/>
      <c r="N2243" s="39"/>
      <c r="O2243" s="47"/>
      <c r="P2243" s="57"/>
      <c r="Q2243" s="276"/>
      <c r="R2243" s="277"/>
      <c r="S2243" s="277"/>
      <c r="T2243" s="40"/>
      <c r="U2243" s="278"/>
      <c r="V2243" s="269"/>
      <c r="W2243" s="269"/>
      <c r="X2243" s="275"/>
      <c r="Y2243" s="269"/>
      <c r="Z2243" s="357"/>
      <c r="AA2243" s="207"/>
      <c r="AB2243" s="369"/>
      <c r="AC2243" s="370"/>
      <c r="AD2243" s="332"/>
      <c r="AE2243" s="216"/>
      <c r="AF2243" s="43"/>
      <c r="AG2243" s="47"/>
      <c r="AH2243" s="30"/>
      <c r="AI2243" s="30"/>
      <c r="AJ2243" s="30"/>
      <c r="AK2243" s="30"/>
      <c r="AL2243" s="13"/>
      <c r="AM2243" s="13"/>
      <c r="AN2243" s="13"/>
      <c r="AO2243" s="13"/>
      <c r="AP2243" s="13"/>
      <c r="AQ2243" s="14"/>
      <c r="AR2243" s="15"/>
    </row>
    <row r="2244" spans="1:44" s="17" customFormat="1" ht="30.6" customHeight="1" x14ac:dyDescent="0.2">
      <c r="A2244" s="320"/>
      <c r="B2244" s="321"/>
      <c r="C2244" s="345"/>
      <c r="D2244" s="398">
        <v>3790250</v>
      </c>
      <c r="E2244" s="31"/>
      <c r="F2244" s="268" t="str">
        <f>IF(D2244="","",VLOOKUP(D2244,契約台帳!$A$3:$K$4986,6,FALSE)&amp;VLOOKUP(D2244,契約台帳!$A$3:$K$4986,7,FALSE)&amp;VLOOKUP(D2244,契約台帳!$A$3:$K$4986,8,FALSE)&amp;VLOOKUP(D2244,契約台帳!$A$3:$K$4986,9,FALSE)&amp;VLOOKUP(D2244,契約台帳!$A$3:$K$4986,11,FALSE))</f>
        <v>3SNMLBMNGKKBF</v>
      </c>
      <c r="G2244" s="269" t="str">
        <f>IF(D2244="","",VLOOKUP(F2244,製品マスタ!$G$5:$H$5002,2,FALSE))</f>
        <v>S</v>
      </c>
      <c r="H2244" s="269" t="str">
        <f>IF(D2244="","",VLOOKUP(F2244,製品マスタ!$G$5:$K$5002,5,FALSE))</f>
        <v>MNGKKBF</v>
      </c>
      <c r="I2244" s="270" t="str">
        <f>IF(D2244="","",VLOOKUP(F2244,製品マスタ!$G$5:$L$5002,6,FALSE))</f>
        <v>メタルミー　ネーマー銀消改　Ｂ</v>
      </c>
      <c r="J2244" s="32" t="s">
        <v>447</v>
      </c>
      <c r="K2244" s="270">
        <f>IF(D2244="","",VLOOKUP(D2244,契約台帳!$A$3:$L$4986,12,FALSE))</f>
        <v>25</v>
      </c>
      <c r="L2244" s="270" t="str">
        <f>IF(D2244="","",INDEX(製品マスタ!$Q$5:$Q$5002,MATCH(F2244&amp;K2244,製品マスタ!$AO$5:$AO$5002,0)))</f>
        <v>FMATS99</v>
      </c>
      <c r="M2244" s="39">
        <v>1120</v>
      </c>
      <c r="N2244" s="39">
        <v>12000</v>
      </c>
      <c r="O2244" s="47">
        <v>1</v>
      </c>
      <c r="P2244" s="57"/>
      <c r="Q2244" s="276">
        <f>IF(D2244="","",IF(J2244="リード付け",M2244,VLOOKUP(D2244,契約台帳!$A$3:$N$4986,14,FALSE)))</f>
        <v>1120</v>
      </c>
      <c r="R2244" s="277">
        <f>IF(D2244="","",IF(J2244="リード付け",M2244,VLOOKUP(D2244,契約台帳!$A$3:$O$4986,15,FALSE)))</f>
        <v>1120</v>
      </c>
      <c r="S2244" s="277">
        <f>IF(D2244="","",IF(J2244="リード付け",N2244,VLOOKUP(D2244,契約台帳!$A$3:$P$4986,16,FALSE)))</f>
        <v>4000</v>
      </c>
      <c r="T2244" s="40">
        <v>3</v>
      </c>
      <c r="U2244" s="278">
        <f ca="1">IF(D2244="","",IF(OFFSET(D2244,-2,0)=D2244,"",VLOOKUP(D2244,契約台帳!$A$3:$R$4986,18,FALSE)))</f>
        <v>5</v>
      </c>
      <c r="V2244" s="269" t="str">
        <f>IF(J2244="巻返し",VLOOKUP(F2244&amp;K2244&amp;M2244,製品マスタ!$M$5:$AD$5002,18,FALSE),IF(J2244="リード付け","原反コア",IF(J2244="スリット",VLOOKUP(F2244&amp;K2244&amp;Q2244,製品マスタ!$N$5:$AD$5002,17,FALSE),"")))</f>
        <v>6ｲﾝﾁSｺｱ</v>
      </c>
      <c r="W2244" s="269">
        <f>IF(J2244="巻返し",VLOOKUP(F2244&amp;K2244&amp;M2244,製品マスタ!$M$5:$AE$5002,19,FALSE),IF(J2244="リード付け","-",IF(J2244="スリット",VLOOKUP(F2244&amp;K2244&amp;Q2244,製品マスタ!$N$5:$AE$5002,18,FALSE),"")))</f>
        <v>1125</v>
      </c>
      <c r="X2244" s="275">
        <f>IF(D2244="","",VLOOKUP(D2244,契約台帳!$A$3:$Q$4986,17,FALSE))</f>
        <v>2</v>
      </c>
      <c r="Y2244" s="269" t="str">
        <f>IF(D2244="","",VLOOKUP(D2244,契約台帳!$A$3:$E$4986,5,FALSE))</f>
        <v>リンテック㈱</v>
      </c>
      <c r="Z2244" s="357"/>
      <c r="AA2244" s="207">
        <f>IFERROR(VLOOKUP(F2244&amp;K2244&amp;M2244,製品マスタ!$M$5:$AM$5002,27,FALSE),"")</f>
        <v>0</v>
      </c>
      <c r="AB2244" s="369"/>
      <c r="AC2244" s="370"/>
      <c r="AD2244" s="332" t="str">
        <f>IF(F2244="","",+F2244&amp;K2244)</f>
        <v>3SNMLBMNGKKBF25</v>
      </c>
      <c r="AE2244" s="216">
        <f>+M2244*N2244*O2244/1000</f>
        <v>13440</v>
      </c>
      <c r="AF2244" s="43">
        <f>IF(AD2244="","",VLOOKUP(AD2244,原価マスタ!$A$2:$AJ$1693,13,FALSE))</f>
        <v>96</v>
      </c>
      <c r="AG2244" s="47">
        <f>IF(AF2244="","",+AE2244*AF2244/100)</f>
        <v>12902.4</v>
      </c>
      <c r="AH2244" s="30"/>
      <c r="AI2244" s="30"/>
      <c r="AJ2244" s="30"/>
      <c r="AK2244" s="30"/>
      <c r="AL2244" s="13"/>
      <c r="AM2244" s="13"/>
      <c r="AN2244" s="13"/>
      <c r="AO2244" s="13"/>
      <c r="AP2244" s="13"/>
      <c r="AQ2244" s="14"/>
      <c r="AR2244" s="15"/>
    </row>
    <row r="2245" spans="1:44" s="17" customFormat="1" ht="30.95" customHeight="1" x14ac:dyDescent="0.2">
      <c r="A2245" s="343"/>
      <c r="B2245" s="344"/>
      <c r="C2245" s="345"/>
      <c r="D2245" s="398"/>
      <c r="E2245" s="31"/>
      <c r="F2245" s="268"/>
      <c r="G2245" s="269"/>
      <c r="H2245" s="269"/>
      <c r="I2245" s="270"/>
      <c r="J2245" s="32"/>
      <c r="K2245" s="270"/>
      <c r="L2245" s="270"/>
      <c r="M2245" s="39"/>
      <c r="N2245" s="39"/>
      <c r="O2245" s="47"/>
      <c r="P2245" s="57"/>
      <c r="Q2245" s="276"/>
      <c r="R2245" s="277"/>
      <c r="S2245" s="277"/>
      <c r="T2245" s="40"/>
      <c r="U2245" s="278"/>
      <c r="V2245" s="269"/>
      <c r="W2245" s="269"/>
      <c r="X2245" s="275"/>
      <c r="Y2245" s="269"/>
      <c r="Z2245" s="357"/>
      <c r="AA2245" s="207"/>
      <c r="AB2245" s="369"/>
      <c r="AC2245" s="370"/>
      <c r="AD2245" s="332"/>
      <c r="AE2245" s="216"/>
      <c r="AF2245" s="43"/>
      <c r="AG2245" s="47"/>
      <c r="AH2245" s="30"/>
      <c r="AI2245" s="30"/>
      <c r="AJ2245" s="30"/>
      <c r="AK2245" s="30"/>
      <c r="AL2245" s="13"/>
      <c r="AM2245" s="13"/>
      <c r="AN2245" s="13"/>
      <c r="AO2245" s="13"/>
      <c r="AP2245" s="13"/>
      <c r="AQ2245" s="14"/>
      <c r="AR2245" s="15"/>
    </row>
    <row r="2246" spans="1:44" s="17" customFormat="1" ht="30.6" customHeight="1" x14ac:dyDescent="0.2">
      <c r="A2246" s="320"/>
      <c r="B2246" s="321"/>
      <c r="C2246" s="345"/>
      <c r="D2246" s="398">
        <v>3790250</v>
      </c>
      <c r="E2246" s="31"/>
      <c r="F2246" s="268" t="str">
        <f>IF(D2246="","",VLOOKUP(D2246,契約台帳!$A$3:$K$4986,6,FALSE)&amp;VLOOKUP(D2246,契約台帳!$A$3:$K$4986,7,FALSE)&amp;VLOOKUP(D2246,契約台帳!$A$3:$K$4986,8,FALSE)&amp;VLOOKUP(D2246,契約台帳!$A$3:$K$4986,9,FALSE)&amp;VLOOKUP(D2246,契約台帳!$A$3:$K$4986,11,FALSE))</f>
        <v>3SNMLBMNGKKBF</v>
      </c>
      <c r="G2246" s="269" t="str">
        <f>IF(D2246="","",VLOOKUP(F2246,製品マスタ!$G$5:$H$5002,2,FALSE))</f>
        <v>S</v>
      </c>
      <c r="H2246" s="269" t="str">
        <f>IF(D2246="","",VLOOKUP(F2246,製品マスタ!$G$5:$K$5002,5,FALSE))</f>
        <v>MNGKKBF</v>
      </c>
      <c r="I2246" s="270" t="str">
        <f>IF(D2246="","",VLOOKUP(F2246,製品マスタ!$G$5:$L$5002,6,FALSE))</f>
        <v>メタルミー　ネーマー銀消改　Ｂ</v>
      </c>
      <c r="J2246" s="32" t="s">
        <v>447</v>
      </c>
      <c r="K2246" s="270">
        <f>IF(D2246="","",VLOOKUP(D2246,契約台帳!$A$3:$L$4986,12,FALSE))</f>
        <v>25</v>
      </c>
      <c r="L2246" s="270" t="str">
        <f>IF(D2246="","",INDEX(製品マスタ!$Q$5:$Q$5002,MATCH(F2246&amp;K2246,製品マスタ!$AO$5:$AO$5002,0)))</f>
        <v>FMATS99</v>
      </c>
      <c r="M2246" s="39">
        <v>1120</v>
      </c>
      <c r="N2246" s="39">
        <v>8000</v>
      </c>
      <c r="O2246" s="47">
        <v>1</v>
      </c>
      <c r="P2246" s="57"/>
      <c r="Q2246" s="276">
        <f>IF(D2246="","",IF(J2246="リード付け",M2246,VLOOKUP(D2246,契約台帳!$A$3:$N$4986,14,FALSE)))</f>
        <v>1120</v>
      </c>
      <c r="R2246" s="277">
        <f>IF(D2246="","",IF(J2246="リード付け",M2246,VLOOKUP(D2246,契約台帳!$A$3:$O$4986,15,FALSE)))</f>
        <v>1120</v>
      </c>
      <c r="S2246" s="277">
        <f>IF(D2246="","",IF(J2246="リード付け",N2246,VLOOKUP(D2246,契約台帳!$A$3:$P$4986,16,FALSE)))</f>
        <v>4000</v>
      </c>
      <c r="T2246" s="40">
        <v>2</v>
      </c>
      <c r="U2246" s="278" t="str">
        <f ca="1">IF(D2246="","",IF(OFFSET(D2246,-2,0)=D2246,"",VLOOKUP(D2246,契約台帳!$A$3:$R$4986,18,FALSE)))</f>
        <v/>
      </c>
      <c r="V2246" s="269" t="str">
        <f>IF(J2246="巻返し",VLOOKUP(F2246&amp;K2246&amp;M2246,製品マスタ!$M$5:$AD$5002,18,FALSE),IF(J2246="リード付け","原反コア",IF(J2246="スリット",VLOOKUP(F2246&amp;K2246&amp;Q2246,製品マスタ!$N$5:$AD$5002,17,FALSE),"")))</f>
        <v>6ｲﾝﾁSｺｱ</v>
      </c>
      <c r="W2246" s="269">
        <f>IF(J2246="巻返し",VLOOKUP(F2246&amp;K2246&amp;M2246,製品マスタ!$M$5:$AE$5002,19,FALSE),IF(J2246="リード付け","-",IF(J2246="スリット",VLOOKUP(F2246&amp;K2246&amp;Q2246,製品マスタ!$N$5:$AE$5002,18,FALSE),"")))</f>
        <v>1125</v>
      </c>
      <c r="X2246" s="275">
        <f>IF(D2246="","",VLOOKUP(D2246,契約台帳!$A$3:$Q$4986,17,FALSE))</f>
        <v>2</v>
      </c>
      <c r="Y2246" s="269" t="str">
        <f>IF(D2246="","",VLOOKUP(D2246,契約台帳!$A$3:$E$4986,5,FALSE))</f>
        <v>リンテック㈱</v>
      </c>
      <c r="Z2246" s="357"/>
      <c r="AA2246" s="207">
        <f>IFERROR(VLOOKUP(F2246&amp;K2246&amp;M2246,製品マスタ!$M$5:$AM$5002,27,FALSE),"")</f>
        <v>0</v>
      </c>
      <c r="AB2246" s="369"/>
      <c r="AC2246" s="370"/>
      <c r="AD2246" s="332" t="str">
        <f>IF(F2246="","",+F2246&amp;K2246)</f>
        <v>3SNMLBMNGKKBF25</v>
      </c>
      <c r="AE2246" s="216">
        <f>+M2246*N2246*O2246/1000</f>
        <v>8960</v>
      </c>
      <c r="AF2246" s="43">
        <f>IF(AD2246="","",VLOOKUP(AD2246,原価マスタ!$A$2:$AJ$1693,13,FALSE))</f>
        <v>96</v>
      </c>
      <c r="AG2246" s="47">
        <f>IF(AF2246="","",+AE2246*AF2246/100)</f>
        <v>8601.6</v>
      </c>
      <c r="AH2246" s="30"/>
      <c r="AI2246" s="30"/>
      <c r="AJ2246" s="30"/>
      <c r="AK2246" s="30"/>
      <c r="AL2246" s="13"/>
      <c r="AM2246" s="13"/>
      <c r="AN2246" s="13"/>
      <c r="AO2246" s="13"/>
      <c r="AP2246" s="13"/>
      <c r="AQ2246" s="14"/>
      <c r="AR2246" s="15"/>
    </row>
    <row r="2247" spans="1:44" s="17" customFormat="1" ht="30.95" customHeight="1" x14ac:dyDescent="0.2">
      <c r="A2247" s="343"/>
      <c r="B2247" s="344"/>
      <c r="C2247" s="345"/>
      <c r="D2247" s="398"/>
      <c r="E2247" s="31"/>
      <c r="F2247" s="268"/>
      <c r="G2247" s="269"/>
      <c r="H2247" s="269"/>
      <c r="I2247" s="270"/>
      <c r="J2247" s="32"/>
      <c r="K2247" s="270"/>
      <c r="L2247" s="270"/>
      <c r="M2247" s="39"/>
      <c r="N2247" s="39"/>
      <c r="O2247" s="47"/>
      <c r="P2247" s="57"/>
      <c r="Q2247" s="276"/>
      <c r="R2247" s="277"/>
      <c r="S2247" s="277"/>
      <c r="T2247" s="40"/>
      <c r="U2247" s="278"/>
      <c r="V2247" s="269"/>
      <c r="W2247" s="269"/>
      <c r="X2247" s="275"/>
      <c r="Y2247" s="269"/>
      <c r="Z2247" s="357"/>
      <c r="AA2247" s="207"/>
      <c r="AB2247" s="369"/>
      <c r="AC2247" s="370"/>
      <c r="AD2247" s="332"/>
      <c r="AE2247" s="216"/>
      <c r="AF2247" s="43"/>
      <c r="AG2247" s="47"/>
      <c r="AH2247" s="30"/>
      <c r="AI2247" s="30"/>
      <c r="AJ2247" s="30"/>
      <c r="AK2247" s="30"/>
      <c r="AL2247" s="13"/>
      <c r="AM2247" s="13"/>
      <c r="AN2247" s="13"/>
      <c r="AO2247" s="13"/>
      <c r="AP2247" s="13"/>
      <c r="AQ2247" s="14"/>
      <c r="AR2247" s="15"/>
    </row>
    <row r="2248" spans="1:44" s="17" customFormat="1" ht="30.6" customHeight="1" x14ac:dyDescent="0.2">
      <c r="A2248" s="320"/>
      <c r="B2248" s="321"/>
      <c r="C2248" s="345"/>
      <c r="D2248" s="398">
        <v>3790252</v>
      </c>
      <c r="E2248" s="31"/>
      <c r="F2248" s="268" t="str">
        <f>IF(D2248="","",VLOOKUP(D2248,契約台帳!$A$3:$K$4986,6,FALSE)&amp;VLOOKUP(D2248,契約台帳!$A$3:$K$4986,7,FALSE)&amp;VLOOKUP(D2248,契約台帳!$A$3:$K$4986,8,FALSE)&amp;VLOOKUP(D2248,契約台帳!$A$3:$K$4986,9,FALSE)&amp;VLOOKUP(D2248,契約台帳!$A$3:$K$4986,11,FALSE))</f>
        <v>3SNMLBMNGKKBF</v>
      </c>
      <c r="G2248" s="269" t="str">
        <f>IF(D2248="","",VLOOKUP(F2248,製品マスタ!$G$5:$H$5002,2,FALSE))</f>
        <v>S</v>
      </c>
      <c r="H2248" s="269" t="str">
        <f>IF(D2248="","",VLOOKUP(F2248,製品マスタ!$G$5:$K$5002,5,FALSE))</f>
        <v>MNGKKBF</v>
      </c>
      <c r="I2248" s="270" t="str">
        <f>IF(D2248="","",VLOOKUP(F2248,製品マスタ!$G$5:$L$5002,6,FALSE))</f>
        <v>メタルミー　ネーマー銀消改　Ｂ</v>
      </c>
      <c r="J2248" s="32" t="s">
        <v>447</v>
      </c>
      <c r="K2248" s="270">
        <f>IF(D2248="","",VLOOKUP(D2248,契約台帳!$A$3:$L$4986,12,FALSE))</f>
        <v>50</v>
      </c>
      <c r="L2248" s="270" t="str">
        <f>IF(D2248="","",INDEX(製品マスタ!$Q$5:$Q$5002,MATCH(F2248&amp;K2248,製品マスタ!$AO$5:$AO$5002,0)))</f>
        <v>S99-MAT</v>
      </c>
      <c r="M2248" s="39">
        <v>1120</v>
      </c>
      <c r="N2248" s="39">
        <v>12000</v>
      </c>
      <c r="O2248" s="47">
        <v>2</v>
      </c>
      <c r="P2248" s="57"/>
      <c r="Q2248" s="276">
        <f>IF(D2248="","",IF(J2248="リード付け",M2248,VLOOKUP(D2248,契約台帳!$A$3:$N$4986,14,FALSE)))</f>
        <v>1120</v>
      </c>
      <c r="R2248" s="277">
        <f>IF(D2248="","",IF(J2248="リード付け",M2248,VLOOKUP(D2248,契約台帳!$A$3:$O$4986,15,FALSE)))</f>
        <v>1120</v>
      </c>
      <c r="S2248" s="277">
        <f>IF(D2248="","",IF(J2248="リード付け",N2248,VLOOKUP(D2248,契約台帳!$A$3:$P$4986,16,FALSE)))</f>
        <v>4000</v>
      </c>
      <c r="T2248" s="40">
        <v>6</v>
      </c>
      <c r="U2248" s="278">
        <f ca="1">IF(D2248="","",IF(OFFSET(D2248,-2,0)=D2248,"",VLOOKUP(D2248,契約台帳!$A$3:$R$4986,18,FALSE)))</f>
        <v>36</v>
      </c>
      <c r="V2248" s="269" t="str">
        <f>IF(J2248="巻返し",VLOOKUP(F2248&amp;K2248&amp;M2248,製品マスタ!$M$5:$AD$5002,18,FALSE),IF(J2248="リード付け","原反コア",IF(J2248="スリット",VLOOKUP(F2248&amp;K2248&amp;Q2248,製品マスタ!$N$5:$AD$5002,17,FALSE),"")))</f>
        <v>6ｲﾝﾁSｺｱ</v>
      </c>
      <c r="W2248" s="269">
        <f>IF(J2248="巻返し",VLOOKUP(F2248&amp;K2248&amp;M2248,製品マスタ!$M$5:$AE$5002,19,FALSE),IF(J2248="リード付け","-",IF(J2248="スリット",VLOOKUP(F2248&amp;K2248&amp;Q2248,製品マスタ!$N$5:$AE$5002,18,FALSE),"")))</f>
        <v>1125</v>
      </c>
      <c r="X2248" s="275">
        <f>IF(D2248="","",VLOOKUP(D2248,契約台帳!$A$3:$Q$4986,17,FALSE))</f>
        <v>2</v>
      </c>
      <c r="Y2248" s="269" t="str">
        <f>IF(D2248="","",VLOOKUP(D2248,契約台帳!$A$3:$E$4986,5,FALSE))</f>
        <v>リンテック㈱</v>
      </c>
      <c r="Z2248" s="357"/>
      <c r="AA2248" s="207">
        <f>IFERROR(VLOOKUP(F2248&amp;K2248&amp;M2248,製品マスタ!$M$5:$AM$5002,27,FALSE),"")</f>
        <v>0</v>
      </c>
      <c r="AB2248" s="369"/>
      <c r="AC2248" s="370"/>
      <c r="AD2248" s="332" t="str">
        <f>IF(F2248="","",+F2248&amp;K2248)</f>
        <v>3SNMLBMNGKKBF50</v>
      </c>
      <c r="AE2248" s="216">
        <f>+M2248*N2248*O2248/1000</f>
        <v>26880</v>
      </c>
      <c r="AF2248" s="43">
        <f>IF(AD2248="","",VLOOKUP(AD2248,原価マスタ!$A$2:$AJ$1693,13,FALSE))</f>
        <v>99</v>
      </c>
      <c r="AG2248" s="47">
        <f>IF(AF2248="","",+AE2248*AF2248/100)</f>
        <v>26611.200000000001</v>
      </c>
      <c r="AH2248" s="30"/>
      <c r="AI2248" s="30"/>
      <c r="AJ2248" s="30"/>
      <c r="AK2248" s="30"/>
      <c r="AL2248" s="13"/>
      <c r="AM2248" s="13"/>
      <c r="AN2248" s="13"/>
      <c r="AO2248" s="13"/>
      <c r="AP2248" s="13"/>
      <c r="AQ2248" s="14"/>
      <c r="AR2248" s="15"/>
    </row>
    <row r="2249" spans="1:44" s="17" customFormat="1" ht="30.95" customHeight="1" x14ac:dyDescent="0.2">
      <c r="A2249" s="343"/>
      <c r="B2249" s="344"/>
      <c r="C2249" s="345"/>
      <c r="D2249" s="398"/>
      <c r="E2249" s="31"/>
      <c r="F2249" s="268"/>
      <c r="G2249" s="269"/>
      <c r="H2249" s="269"/>
      <c r="I2249" s="270"/>
      <c r="J2249" s="32"/>
      <c r="K2249" s="270"/>
      <c r="L2249" s="270"/>
      <c r="M2249" s="39"/>
      <c r="N2249" s="39"/>
      <c r="O2249" s="47"/>
      <c r="P2249" s="57"/>
      <c r="Q2249" s="276"/>
      <c r="R2249" s="277"/>
      <c r="S2249" s="277"/>
      <c r="T2249" s="40"/>
      <c r="U2249" s="278"/>
      <c r="V2249" s="269"/>
      <c r="W2249" s="269"/>
      <c r="X2249" s="275"/>
      <c r="Y2249" s="269"/>
      <c r="Z2249" s="357"/>
      <c r="AA2249" s="207"/>
      <c r="AB2249" s="369"/>
      <c r="AC2249" s="370"/>
      <c r="AD2249" s="332"/>
      <c r="AE2249" s="216"/>
      <c r="AF2249" s="43"/>
      <c r="AG2249" s="47"/>
      <c r="AH2249" s="30"/>
      <c r="AI2249" s="30"/>
      <c r="AJ2249" s="30"/>
      <c r="AK2249" s="30"/>
      <c r="AL2249" s="13"/>
      <c r="AM2249" s="13"/>
      <c r="AN2249" s="13"/>
      <c r="AO2249" s="13"/>
      <c r="AP2249" s="13"/>
      <c r="AQ2249" s="14"/>
      <c r="AR2249" s="15"/>
    </row>
    <row r="2250" spans="1:44" s="17" customFormat="1" ht="30.6" customHeight="1" x14ac:dyDescent="0.2">
      <c r="A2250" s="320" t="s">
        <v>678</v>
      </c>
      <c r="B2250" s="321" t="s">
        <v>442</v>
      </c>
      <c r="C2250" s="345"/>
      <c r="D2250" s="398">
        <v>3790252</v>
      </c>
      <c r="E2250" s="31"/>
      <c r="F2250" s="268" t="str">
        <f>IF(D2250="","",VLOOKUP(D2250,契約台帳!$A$3:$K$4986,6,FALSE)&amp;VLOOKUP(D2250,契約台帳!$A$3:$K$4986,7,FALSE)&amp;VLOOKUP(D2250,契約台帳!$A$3:$K$4986,8,FALSE)&amp;VLOOKUP(D2250,契約台帳!$A$3:$K$4986,9,FALSE)&amp;VLOOKUP(D2250,契約台帳!$A$3:$K$4986,11,FALSE))</f>
        <v>3SNMLBMNGKKBF</v>
      </c>
      <c r="G2250" s="269" t="str">
        <f>IF(D2250="","",VLOOKUP(F2250,製品マスタ!$G$5:$H$5002,2,FALSE))</f>
        <v>S</v>
      </c>
      <c r="H2250" s="269" t="str">
        <f>IF(D2250="","",VLOOKUP(F2250,製品マスタ!$G$5:$K$5002,5,FALSE))</f>
        <v>MNGKKBF</v>
      </c>
      <c r="I2250" s="270" t="str">
        <f>IF(D2250="","",VLOOKUP(F2250,製品マスタ!$G$5:$L$5002,6,FALSE))</f>
        <v>メタルミー　ネーマー銀消改　Ｂ</v>
      </c>
      <c r="J2250" s="32" t="s">
        <v>447</v>
      </c>
      <c r="K2250" s="270">
        <f>IF(D2250="","",VLOOKUP(D2250,契約台帳!$A$3:$L$4986,12,FALSE))</f>
        <v>50</v>
      </c>
      <c r="L2250" s="270" t="str">
        <f>IF(D2250="","",INDEX(製品マスタ!$Q$5:$Q$5002,MATCH(F2250&amp;K2250,製品マスタ!$AO$5:$AO$5002,0)))</f>
        <v>S99-MAT</v>
      </c>
      <c r="M2250" s="39">
        <v>1120</v>
      </c>
      <c r="N2250" s="39">
        <v>12000</v>
      </c>
      <c r="O2250" s="47">
        <v>6</v>
      </c>
      <c r="P2250" s="57"/>
      <c r="Q2250" s="276">
        <f>IF(D2250="","",IF(J2250="リード付け",M2250,VLOOKUP(D2250,契約台帳!$A$3:$N$4986,14,FALSE)))</f>
        <v>1120</v>
      </c>
      <c r="R2250" s="277">
        <f>IF(D2250="","",IF(J2250="リード付け",M2250,VLOOKUP(D2250,契約台帳!$A$3:$O$4986,15,FALSE)))</f>
        <v>1120</v>
      </c>
      <c r="S2250" s="277">
        <f>IF(D2250="","",IF(J2250="リード付け",N2250,VLOOKUP(D2250,契約台帳!$A$3:$P$4986,16,FALSE)))</f>
        <v>4000</v>
      </c>
      <c r="T2250" s="40">
        <v>18</v>
      </c>
      <c r="U2250" s="278" t="str">
        <f ca="1">IF(D2250="","",IF(OFFSET(D2250,-2,0)=D2250,"",VLOOKUP(D2250,契約台帳!$A$3:$R$4986,18,FALSE)))</f>
        <v/>
      </c>
      <c r="V2250" s="269" t="str">
        <f>IF(J2250="巻返し",VLOOKUP(F2250&amp;K2250&amp;M2250,製品マスタ!$M$5:$AD$5002,18,FALSE),IF(J2250="リード付け","原反コア",IF(J2250="スリット",VLOOKUP(F2250&amp;K2250&amp;Q2250,製品マスタ!$N$5:$AD$5002,17,FALSE),"")))</f>
        <v>6ｲﾝﾁSｺｱ</v>
      </c>
      <c r="W2250" s="269">
        <f>IF(J2250="巻返し",VLOOKUP(F2250&amp;K2250&amp;M2250,製品マスタ!$M$5:$AE$5002,19,FALSE),IF(J2250="リード付け","-",IF(J2250="スリット",VLOOKUP(F2250&amp;K2250&amp;Q2250,製品マスタ!$N$5:$AE$5002,18,FALSE),"")))</f>
        <v>1125</v>
      </c>
      <c r="X2250" s="275">
        <f>IF(D2250="","",VLOOKUP(D2250,契約台帳!$A$3:$Q$4986,17,FALSE))</f>
        <v>2</v>
      </c>
      <c r="Y2250" s="269" t="str">
        <f>IF(D2250="","",VLOOKUP(D2250,契約台帳!$A$3:$E$4986,5,FALSE))</f>
        <v>リンテック㈱</v>
      </c>
      <c r="Z2250" s="357"/>
      <c r="AA2250" s="207">
        <f>IFERROR(VLOOKUP(F2250&amp;K2250&amp;M2250,製品マスタ!$M$5:$AM$5002,27,FALSE),"")</f>
        <v>0</v>
      </c>
      <c r="AB2250" s="369"/>
      <c r="AC2250" s="370"/>
      <c r="AD2250" s="332" t="str">
        <f>IF(F2250="","",+F2250&amp;K2250)</f>
        <v>3SNMLBMNGKKBF50</v>
      </c>
      <c r="AE2250" s="216">
        <f>+M2250*N2250*O2250/1000</f>
        <v>80640</v>
      </c>
      <c r="AF2250" s="43">
        <f>IF(AD2250="","",VLOOKUP(AD2250,原価マスタ!$A$2:$AJ$1693,13,FALSE))</f>
        <v>99</v>
      </c>
      <c r="AG2250" s="47">
        <f>IF(AF2250="","",+AE2250*AF2250/100)</f>
        <v>79833.600000000006</v>
      </c>
      <c r="AH2250" s="30"/>
      <c r="AI2250" s="30"/>
      <c r="AJ2250" s="30"/>
      <c r="AK2250" s="30"/>
      <c r="AL2250" s="13"/>
      <c r="AM2250" s="13"/>
      <c r="AN2250" s="13"/>
      <c r="AO2250" s="13"/>
      <c r="AP2250" s="13"/>
      <c r="AQ2250" s="14"/>
      <c r="AR2250" s="15"/>
    </row>
    <row r="2251" spans="1:44" s="17" customFormat="1" ht="30.95" customHeight="1" x14ac:dyDescent="0.2">
      <c r="A2251" s="343"/>
      <c r="B2251" s="344"/>
      <c r="C2251" s="345"/>
      <c r="D2251" s="398"/>
      <c r="E2251" s="31"/>
      <c r="F2251" s="268"/>
      <c r="G2251" s="269"/>
      <c r="H2251" s="269"/>
      <c r="I2251" s="270"/>
      <c r="J2251" s="32"/>
      <c r="K2251" s="270"/>
      <c r="L2251" s="270"/>
      <c r="M2251" s="39"/>
      <c r="N2251" s="39"/>
      <c r="O2251" s="47"/>
      <c r="P2251" s="57"/>
      <c r="Q2251" s="276"/>
      <c r="R2251" s="277"/>
      <c r="S2251" s="277"/>
      <c r="T2251" s="40"/>
      <c r="U2251" s="278"/>
      <c r="V2251" s="269"/>
      <c r="W2251" s="269"/>
      <c r="X2251" s="275"/>
      <c r="Y2251" s="269"/>
      <c r="Z2251" s="357"/>
      <c r="AA2251" s="207"/>
      <c r="AB2251" s="369"/>
      <c r="AC2251" s="370"/>
      <c r="AD2251" s="332"/>
      <c r="AE2251" s="216"/>
      <c r="AF2251" s="43"/>
      <c r="AG2251" s="47"/>
      <c r="AH2251" s="30"/>
      <c r="AI2251" s="30"/>
      <c r="AJ2251" s="30"/>
      <c r="AK2251" s="30"/>
      <c r="AL2251" s="13"/>
      <c r="AM2251" s="13"/>
      <c r="AN2251" s="13"/>
      <c r="AO2251" s="13"/>
      <c r="AP2251" s="13"/>
      <c r="AQ2251" s="14"/>
      <c r="AR2251" s="15"/>
    </row>
    <row r="2252" spans="1:44" s="17" customFormat="1" ht="30.6" customHeight="1" x14ac:dyDescent="0.2">
      <c r="A2252" s="320" t="s">
        <v>679</v>
      </c>
      <c r="B2252" s="321" t="s">
        <v>443</v>
      </c>
      <c r="C2252" s="345"/>
      <c r="D2252" s="398">
        <v>3790252</v>
      </c>
      <c r="E2252" s="31"/>
      <c r="F2252" s="268" t="str">
        <f>IF(D2252="","",VLOOKUP(D2252,契約台帳!$A$3:$K$4986,6,FALSE)&amp;VLOOKUP(D2252,契約台帳!$A$3:$K$4986,7,FALSE)&amp;VLOOKUP(D2252,契約台帳!$A$3:$K$4986,8,FALSE)&amp;VLOOKUP(D2252,契約台帳!$A$3:$K$4986,9,FALSE)&amp;VLOOKUP(D2252,契約台帳!$A$3:$K$4986,11,FALSE))</f>
        <v>3SNMLBMNGKKBF</v>
      </c>
      <c r="G2252" s="269" t="str">
        <f>IF(D2252="","",VLOOKUP(F2252,製品マスタ!$G$5:$H$5002,2,FALSE))</f>
        <v>S</v>
      </c>
      <c r="H2252" s="269" t="str">
        <f>IF(D2252="","",VLOOKUP(F2252,製品マスタ!$G$5:$K$5002,5,FALSE))</f>
        <v>MNGKKBF</v>
      </c>
      <c r="I2252" s="270" t="str">
        <f>IF(D2252="","",VLOOKUP(F2252,製品マスタ!$G$5:$L$5002,6,FALSE))</f>
        <v>メタルミー　ネーマー銀消改　Ｂ</v>
      </c>
      <c r="J2252" s="32" t="s">
        <v>447</v>
      </c>
      <c r="K2252" s="270">
        <f>IF(D2252="","",VLOOKUP(D2252,契約台帳!$A$3:$L$4986,12,FALSE))</f>
        <v>50</v>
      </c>
      <c r="L2252" s="270" t="str">
        <f>IF(D2252="","",INDEX(製品マスタ!$Q$5:$Q$5002,MATCH(F2252&amp;K2252,製品マスタ!$AO$5:$AO$5002,0)))</f>
        <v>S99-MAT</v>
      </c>
      <c r="M2252" s="39">
        <v>1120</v>
      </c>
      <c r="N2252" s="39">
        <v>12000</v>
      </c>
      <c r="O2252" s="47">
        <v>4</v>
      </c>
      <c r="P2252" s="57"/>
      <c r="Q2252" s="276">
        <f>IF(D2252="","",IF(J2252="リード付け",M2252,VLOOKUP(D2252,契約台帳!$A$3:$N$4986,14,FALSE)))</f>
        <v>1120</v>
      </c>
      <c r="R2252" s="277">
        <f>IF(D2252="","",IF(J2252="リード付け",M2252,VLOOKUP(D2252,契約台帳!$A$3:$O$4986,15,FALSE)))</f>
        <v>1120</v>
      </c>
      <c r="S2252" s="277">
        <f>IF(D2252="","",IF(J2252="リード付け",N2252,VLOOKUP(D2252,契約台帳!$A$3:$P$4986,16,FALSE)))</f>
        <v>4000</v>
      </c>
      <c r="T2252" s="40">
        <v>12</v>
      </c>
      <c r="U2252" s="278" t="str">
        <f ca="1">IF(D2252="","",IF(OFFSET(D2252,-2,0)=D2252,"",VLOOKUP(D2252,契約台帳!$A$3:$R$4986,18,FALSE)))</f>
        <v/>
      </c>
      <c r="V2252" s="269" t="str">
        <f>IF(J2252="巻返し",VLOOKUP(F2252&amp;K2252&amp;M2252,製品マスタ!$M$5:$AD$5002,18,FALSE),IF(J2252="リード付け","原反コア",IF(J2252="スリット",VLOOKUP(F2252&amp;K2252&amp;Q2252,製品マスタ!$N$5:$AD$5002,17,FALSE),"")))</f>
        <v>6ｲﾝﾁSｺｱ</v>
      </c>
      <c r="W2252" s="269">
        <f>IF(J2252="巻返し",VLOOKUP(F2252&amp;K2252&amp;M2252,製品マスタ!$M$5:$AE$5002,19,FALSE),IF(J2252="リード付け","-",IF(J2252="スリット",VLOOKUP(F2252&amp;K2252&amp;Q2252,製品マスタ!$N$5:$AE$5002,18,FALSE),"")))</f>
        <v>1125</v>
      </c>
      <c r="X2252" s="275">
        <f>IF(D2252="","",VLOOKUP(D2252,契約台帳!$A$3:$Q$4986,17,FALSE))</f>
        <v>2</v>
      </c>
      <c r="Y2252" s="269" t="str">
        <f>IF(D2252="","",VLOOKUP(D2252,契約台帳!$A$3:$E$4986,5,FALSE))</f>
        <v>リンテック㈱</v>
      </c>
      <c r="Z2252" s="357"/>
      <c r="AA2252" s="207">
        <f>IFERROR(VLOOKUP(F2252&amp;K2252&amp;M2252,製品マスタ!$M$5:$AM$5002,27,FALSE),"")</f>
        <v>0</v>
      </c>
      <c r="AB2252" s="369"/>
      <c r="AC2252" s="370"/>
      <c r="AD2252" s="332" t="str">
        <f>IF(F2252="","",+F2252&amp;K2252)</f>
        <v>3SNMLBMNGKKBF50</v>
      </c>
      <c r="AE2252" s="216">
        <f>+M2252*N2252*O2252/1000</f>
        <v>53760</v>
      </c>
      <c r="AF2252" s="43">
        <f>IF(AD2252="","",VLOOKUP(AD2252,原価マスタ!$A$2:$AJ$1693,13,FALSE))</f>
        <v>99</v>
      </c>
      <c r="AG2252" s="47">
        <f>IF(AF2252="","",+AE2252*AF2252/100)</f>
        <v>53222.400000000001</v>
      </c>
      <c r="AH2252" s="30"/>
      <c r="AI2252" s="30"/>
      <c r="AJ2252" s="30"/>
      <c r="AK2252" s="30"/>
      <c r="AL2252" s="13"/>
      <c r="AM2252" s="13"/>
      <c r="AN2252" s="13"/>
      <c r="AO2252" s="13"/>
      <c r="AP2252" s="13"/>
      <c r="AQ2252" s="14"/>
      <c r="AR2252" s="15"/>
    </row>
    <row r="2253" spans="1:44" s="17" customFormat="1" ht="30.95" customHeight="1" x14ac:dyDescent="0.2">
      <c r="A2253" s="343"/>
      <c r="B2253" s="344"/>
      <c r="C2253" s="345"/>
      <c r="D2253" s="398"/>
      <c r="E2253" s="31"/>
      <c r="F2253" s="268"/>
      <c r="G2253" s="269"/>
      <c r="H2253" s="269"/>
      <c r="I2253" s="270"/>
      <c r="J2253" s="32"/>
      <c r="K2253" s="270"/>
      <c r="L2253" s="270"/>
      <c r="M2253" s="39"/>
      <c r="N2253" s="39"/>
      <c r="O2253" s="47"/>
      <c r="P2253" s="57"/>
      <c r="Q2253" s="276"/>
      <c r="R2253" s="277"/>
      <c r="S2253" s="277"/>
      <c r="T2253" s="40"/>
      <c r="U2253" s="278"/>
      <c r="V2253" s="269"/>
      <c r="W2253" s="269"/>
      <c r="X2253" s="275"/>
      <c r="Y2253" s="269"/>
      <c r="Z2253" s="357"/>
      <c r="AA2253" s="207"/>
      <c r="AB2253" s="369"/>
      <c r="AC2253" s="370"/>
      <c r="AD2253" s="332"/>
      <c r="AE2253" s="216"/>
      <c r="AF2253" s="43"/>
      <c r="AG2253" s="47"/>
      <c r="AH2253" s="30"/>
      <c r="AI2253" s="30"/>
      <c r="AJ2253" s="30"/>
      <c r="AK2253" s="30"/>
      <c r="AL2253" s="13"/>
      <c r="AM2253" s="13"/>
      <c r="AN2253" s="13"/>
      <c r="AO2253" s="13"/>
      <c r="AP2253" s="13"/>
      <c r="AQ2253" s="14"/>
      <c r="AR2253" s="15"/>
    </row>
    <row r="2254" spans="1:44" s="17" customFormat="1" ht="30.6" customHeight="1" x14ac:dyDescent="0.2">
      <c r="A2254" s="320"/>
      <c r="B2254" s="321"/>
      <c r="C2254" s="345"/>
      <c r="D2254" s="398">
        <v>3790270</v>
      </c>
      <c r="E2254" s="31"/>
      <c r="F2254" s="268" t="str">
        <f>IF(D2254="","",VLOOKUP(D2254,契約台帳!$A$3:$K$4986,6,FALSE)&amp;VLOOKUP(D2254,契約台帳!$A$3:$K$4986,7,FALSE)&amp;VLOOKUP(D2254,契約台帳!$A$3:$K$4986,8,FALSE)&amp;VLOOKUP(D2254,契約台帳!$A$3:$K$4986,9,FALSE)&amp;VLOOKUP(D2254,契約台帳!$A$3:$K$4986,11,FALSE))</f>
        <v>3SYMLBMSNMBF</v>
      </c>
      <c r="G2254" s="269" t="str">
        <f>IF(D2254="","",VLOOKUP(F2254,製品マスタ!$G$5:$H$5002,2,FALSE))</f>
        <v>S</v>
      </c>
      <c r="H2254" s="269" t="str">
        <f>IF(D2254="","",VLOOKUP(F2254,製品マスタ!$G$5:$K$5002,5,FALSE))</f>
        <v>MSNMBF</v>
      </c>
      <c r="I2254" s="270" t="str">
        <f>IF(D2254="","",VLOOKUP(F2254,製品マスタ!$G$5:$L$5002,6,FALSE))</f>
        <v>ＭＥＴＡＬＵＭＹ　ＳＩＬＶＥＲ　Ｎ－ＭＡＴＴＥ　Ｘ４４Ｍ　Ｂ</v>
      </c>
      <c r="J2254" s="32" t="s">
        <v>447</v>
      </c>
      <c r="K2254" s="270">
        <f>IF(D2254="","",VLOOKUP(D2254,契約台帳!$A$3:$L$4986,12,FALSE))</f>
        <v>50</v>
      </c>
      <c r="L2254" s="270" t="str">
        <f>IF(D2254="","",INDEX(製品マスタ!$Q$5:$Q$5002,MATCH(F2254&amp;K2254,製品マスタ!$AO$5:$AO$5002,0)))</f>
        <v>X44</v>
      </c>
      <c r="M2254" s="39">
        <v>1120</v>
      </c>
      <c r="N2254" s="39">
        <v>12000</v>
      </c>
      <c r="O2254" s="47">
        <v>2</v>
      </c>
      <c r="P2254" s="57"/>
      <c r="Q2254" s="276">
        <f>IF(D2254="","",IF(J2254="リード付け",M2254,VLOOKUP(D2254,契約台帳!$A$3:$N$4986,14,FALSE)))</f>
        <v>1120</v>
      </c>
      <c r="R2254" s="277">
        <f>IF(D2254="","",IF(J2254="リード付け",M2254,VLOOKUP(D2254,契約台帳!$A$3:$O$4986,15,FALSE)))</f>
        <v>1120</v>
      </c>
      <c r="S2254" s="277">
        <f>IF(D2254="","",IF(J2254="リード付け",N2254,VLOOKUP(D2254,契約台帳!$A$3:$P$4986,16,FALSE)))</f>
        <v>4000</v>
      </c>
      <c r="T2254" s="40">
        <v>6</v>
      </c>
      <c r="U2254" s="278">
        <f ca="1">IF(D2254="","",IF(OFFSET(D2254,-2,0)=D2254,"",VLOOKUP(D2254,契約台帳!$A$3:$R$4986,18,FALSE)))</f>
        <v>8</v>
      </c>
      <c r="V2254" s="269" t="str">
        <f>IF(J2254="巻返し",VLOOKUP(F2254&amp;K2254&amp;M2254,製品マスタ!$M$5:$AD$5002,18,FALSE),IF(J2254="リード付け","原反コア",IF(J2254="スリット",VLOOKUP(F2254&amp;K2254&amp;Q2254,製品マスタ!$N$5:$AD$5002,17,FALSE),"")))</f>
        <v>6ｲﾝﾁMｺｱ</v>
      </c>
      <c r="W2254" s="269">
        <f>IF(J2254="巻返し",VLOOKUP(F2254&amp;K2254&amp;M2254,製品マスタ!$M$5:$AE$5002,19,FALSE),IF(J2254="リード付け","-",IF(J2254="スリット",VLOOKUP(F2254&amp;K2254&amp;Q2254,製品マスタ!$N$5:$AE$5002,18,FALSE),"")))</f>
        <v>1125</v>
      </c>
      <c r="X2254" s="275">
        <f>IF(D2254="","",VLOOKUP(D2254,契約台帳!$A$3:$Q$4986,17,FALSE))</f>
        <v>2</v>
      </c>
      <c r="Y2254" s="269" t="str">
        <f>IF(D2254="","",VLOOKUP(D2254,契約台帳!$A$3:$E$4986,5,FALSE))</f>
        <v>リンテック㈱</v>
      </c>
      <c r="Z2254" s="357"/>
      <c r="AA2254" s="207">
        <f>IFERROR(VLOOKUP(F2254&amp;K2254&amp;M2254,製品マスタ!$M$5:$AM$5002,27,FALSE),"")</f>
        <v>0</v>
      </c>
      <c r="AB2254" s="369"/>
      <c r="AC2254" s="370"/>
      <c r="AD2254" s="332" t="str">
        <f>IF(F2254="","",+F2254&amp;K2254)</f>
        <v>3SYMLBMSNMBF50</v>
      </c>
      <c r="AE2254" s="216">
        <f>+M2254*N2254*O2254/1000</f>
        <v>26880</v>
      </c>
      <c r="AF2254" s="43">
        <f>IF(AD2254="","",VLOOKUP(AD2254,原価マスタ!$A$2:$AJ$1693,13,FALSE))</f>
        <v>98.8</v>
      </c>
      <c r="AG2254" s="47">
        <f>IF(AF2254="","",+AE2254*AF2254/100)</f>
        <v>26557.439999999999</v>
      </c>
      <c r="AH2254" s="30"/>
      <c r="AI2254" s="30"/>
      <c r="AJ2254" s="30"/>
      <c r="AK2254" s="30"/>
      <c r="AL2254" s="13"/>
      <c r="AM2254" s="13"/>
      <c r="AN2254" s="13"/>
      <c r="AO2254" s="13"/>
      <c r="AP2254" s="13"/>
      <c r="AQ2254" s="14"/>
      <c r="AR2254" s="15"/>
    </row>
    <row r="2255" spans="1:44" s="17" customFormat="1" ht="30.95" customHeight="1" x14ac:dyDescent="0.2">
      <c r="A2255" s="343"/>
      <c r="B2255" s="344"/>
      <c r="C2255" s="345"/>
      <c r="D2255" s="398"/>
      <c r="E2255" s="31"/>
      <c r="F2255" s="268"/>
      <c r="G2255" s="269"/>
      <c r="H2255" s="269"/>
      <c r="I2255" s="270"/>
      <c r="J2255" s="32"/>
      <c r="K2255" s="270"/>
      <c r="L2255" s="270"/>
      <c r="M2255" s="39"/>
      <c r="N2255" s="39"/>
      <c r="O2255" s="47"/>
      <c r="P2255" s="57"/>
      <c r="Q2255" s="276"/>
      <c r="R2255" s="277"/>
      <c r="S2255" s="277"/>
      <c r="T2255" s="40"/>
      <c r="U2255" s="278"/>
      <c r="V2255" s="269"/>
      <c r="W2255" s="269"/>
      <c r="X2255" s="275"/>
      <c r="Y2255" s="269"/>
      <c r="Z2255" s="357"/>
      <c r="AA2255" s="207"/>
      <c r="AB2255" s="369"/>
      <c r="AC2255" s="370"/>
      <c r="AD2255" s="332"/>
      <c r="AE2255" s="216"/>
      <c r="AF2255" s="43"/>
      <c r="AG2255" s="47"/>
      <c r="AH2255" s="30"/>
      <c r="AI2255" s="30"/>
      <c r="AJ2255" s="30"/>
      <c r="AK2255" s="30"/>
      <c r="AL2255" s="13"/>
      <c r="AM2255" s="13"/>
      <c r="AN2255" s="13"/>
      <c r="AO2255" s="13"/>
      <c r="AP2255" s="13"/>
      <c r="AQ2255" s="14"/>
      <c r="AR2255" s="15"/>
    </row>
    <row r="2256" spans="1:44" s="17" customFormat="1" ht="30.6" customHeight="1" x14ac:dyDescent="0.2">
      <c r="A2256" s="320" t="s">
        <v>3464</v>
      </c>
      <c r="B2256" s="321" t="s">
        <v>3465</v>
      </c>
      <c r="C2256" s="345"/>
      <c r="D2256" s="398">
        <v>3790270</v>
      </c>
      <c r="E2256" s="31"/>
      <c r="F2256" s="268" t="str">
        <f>IF(D2256="","",VLOOKUP(D2256,契約台帳!$A$3:$K$4986,6,FALSE)&amp;VLOOKUP(D2256,契約台帳!$A$3:$K$4986,7,FALSE)&amp;VLOOKUP(D2256,契約台帳!$A$3:$K$4986,8,FALSE)&amp;VLOOKUP(D2256,契約台帳!$A$3:$K$4986,9,FALSE)&amp;VLOOKUP(D2256,契約台帳!$A$3:$K$4986,11,FALSE))</f>
        <v>3SYMLBMSNMBF</v>
      </c>
      <c r="G2256" s="269" t="str">
        <f>IF(D2256="","",VLOOKUP(F2256,製品マスタ!$G$5:$H$5002,2,FALSE))</f>
        <v>S</v>
      </c>
      <c r="H2256" s="269" t="str">
        <f>IF(D2256="","",VLOOKUP(F2256,製品マスタ!$G$5:$K$5002,5,FALSE))</f>
        <v>MSNMBF</v>
      </c>
      <c r="I2256" s="270" t="str">
        <f>IF(D2256="","",VLOOKUP(F2256,製品マスタ!$G$5:$L$5002,6,FALSE))</f>
        <v>ＭＥＴＡＬＵＭＹ　ＳＩＬＶＥＲ　Ｎ－ＭＡＴＴＥ　Ｘ４４Ｍ　Ｂ</v>
      </c>
      <c r="J2256" s="32" t="s">
        <v>447</v>
      </c>
      <c r="K2256" s="270">
        <f>IF(D2256="","",VLOOKUP(D2256,契約台帳!$A$3:$L$4986,12,FALSE))</f>
        <v>50</v>
      </c>
      <c r="L2256" s="270" t="str">
        <f>IF(D2256="","",INDEX(製品マスタ!$Q$5:$Q$5002,MATCH(F2256&amp;K2256,製品マスタ!$AO$5:$AO$5002,0)))</f>
        <v>X44</v>
      </c>
      <c r="M2256" s="39">
        <v>1120</v>
      </c>
      <c r="N2256" s="39">
        <v>12000</v>
      </c>
      <c r="O2256" s="47">
        <v>1</v>
      </c>
      <c r="P2256" s="57"/>
      <c r="Q2256" s="276">
        <f>IF(D2256="","",IF(J2256="リード付け",M2256,VLOOKUP(D2256,契約台帳!$A$3:$N$4986,14,FALSE)))</f>
        <v>1120</v>
      </c>
      <c r="R2256" s="277">
        <f>IF(D2256="","",IF(J2256="リード付け",M2256,VLOOKUP(D2256,契約台帳!$A$3:$O$4986,15,FALSE)))</f>
        <v>1120</v>
      </c>
      <c r="S2256" s="277">
        <f>IF(D2256="","",IF(J2256="リード付け",N2256,VLOOKUP(D2256,契約台帳!$A$3:$P$4986,16,FALSE)))</f>
        <v>4000</v>
      </c>
      <c r="T2256" s="40">
        <v>2</v>
      </c>
      <c r="U2256" s="278" t="str">
        <f ca="1">IF(D2256="","",IF(OFFSET(D2256,-2,0)=D2256,"",VLOOKUP(D2256,契約台帳!$A$3:$R$4986,18,FALSE)))</f>
        <v/>
      </c>
      <c r="V2256" s="269" t="str">
        <f>IF(J2256="巻返し",VLOOKUP(F2256&amp;K2256&amp;M2256,製品マスタ!$M$5:$AD$5002,18,FALSE),IF(J2256="リード付け","原反コア",IF(J2256="スリット",VLOOKUP(F2256&amp;K2256&amp;Q2256,製品マスタ!$N$5:$AD$5002,17,FALSE),"")))</f>
        <v>6ｲﾝﾁMｺｱ</v>
      </c>
      <c r="W2256" s="269">
        <f>IF(J2256="巻返し",VLOOKUP(F2256&amp;K2256&amp;M2256,製品マスタ!$M$5:$AE$5002,19,FALSE),IF(J2256="リード付け","-",IF(J2256="スリット",VLOOKUP(F2256&amp;K2256&amp;Q2256,製品マスタ!$N$5:$AE$5002,18,FALSE),"")))</f>
        <v>1125</v>
      </c>
      <c r="X2256" s="275">
        <f>IF(D2256="","",VLOOKUP(D2256,契約台帳!$A$3:$Q$4986,17,FALSE))</f>
        <v>2</v>
      </c>
      <c r="Y2256" s="269" t="str">
        <f>IF(D2256="","",VLOOKUP(D2256,契約台帳!$A$3:$E$4986,5,FALSE))</f>
        <v>リンテック㈱</v>
      </c>
      <c r="Z2256" s="357"/>
      <c r="AA2256" s="207">
        <f>IFERROR(VLOOKUP(F2256&amp;K2256&amp;M2256,製品マスタ!$M$5:$AM$5002,27,FALSE),"")</f>
        <v>0</v>
      </c>
      <c r="AB2256" s="369"/>
      <c r="AC2256" s="370"/>
      <c r="AD2256" s="332" t="str">
        <f>IF(F2256="","",+F2256&amp;K2256)</f>
        <v>3SYMLBMSNMBF50</v>
      </c>
      <c r="AE2256" s="216">
        <f>+M2256*N2256*O2256/1000</f>
        <v>13440</v>
      </c>
      <c r="AF2256" s="43">
        <f>IF(AD2256="","",VLOOKUP(AD2256,原価マスタ!$A$2:$AJ$1693,13,FALSE))</f>
        <v>98.8</v>
      </c>
      <c r="AG2256" s="47">
        <f>IF(AF2256="","",+AE2256*AF2256/100)</f>
        <v>13278.72</v>
      </c>
      <c r="AH2256" s="30"/>
      <c r="AI2256" s="30"/>
      <c r="AJ2256" s="30"/>
      <c r="AK2256" s="30"/>
      <c r="AL2256" s="13"/>
      <c r="AM2256" s="13"/>
      <c r="AN2256" s="13"/>
      <c r="AO2256" s="13"/>
      <c r="AP2256" s="13"/>
      <c r="AQ2256" s="14"/>
      <c r="AR2256" s="15"/>
    </row>
    <row r="2257" spans="1:44" s="17" customFormat="1" ht="30.6" customHeight="1" x14ac:dyDescent="0.2">
      <c r="A2257" s="320"/>
      <c r="B2257" s="321"/>
      <c r="C2257" s="345"/>
      <c r="D2257" s="398">
        <v>3790274</v>
      </c>
      <c r="E2257" s="31"/>
      <c r="F2257" s="268" t="str">
        <f>IF(D2257="","",VLOOKUP(D2257,契約台帳!$A$3:$K$4986,6,FALSE)&amp;VLOOKUP(D2257,契約台帳!$A$3:$K$4986,7,FALSE)&amp;VLOOKUP(D2257,契約台帳!$A$3:$K$4986,8,FALSE)&amp;VLOOKUP(D2257,契約台帳!$A$3:$K$4986,9,FALSE)&amp;VLOOKUP(D2257,契約台帳!$A$3:$K$4986,11,FALSE))</f>
        <v>3SYMLBMSNMBF</v>
      </c>
      <c r="G2257" s="269" t="str">
        <f>IF(D2257="","",VLOOKUP(F2257,製品マスタ!$G$5:$H$5002,2,FALSE))</f>
        <v>S</v>
      </c>
      <c r="H2257" s="269" t="str">
        <f>IF(D2257="","",VLOOKUP(F2257,製品マスタ!$G$5:$K$5002,5,FALSE))</f>
        <v>MSNMBF</v>
      </c>
      <c r="I2257" s="270" t="str">
        <f>IF(D2257="","",VLOOKUP(F2257,製品マスタ!$G$5:$L$5002,6,FALSE))</f>
        <v>ＭＥＴＡＬＵＭＹ　ＳＩＬＶＥＲ　Ｎ－ＭＡＴＴＥ　Ｘ４４Ｍ　Ｂ</v>
      </c>
      <c r="J2257" s="32" t="s">
        <v>447</v>
      </c>
      <c r="K2257" s="270">
        <f>IF(D2257="","",VLOOKUP(D2257,契約台帳!$A$3:$L$4986,12,FALSE))</f>
        <v>50</v>
      </c>
      <c r="L2257" s="270" t="str">
        <f>IF(D2257="","",INDEX(製品マスタ!$Q$5:$Q$5002,MATCH(F2257&amp;K2257,製品マスタ!$AO$5:$AO$5002,0)))</f>
        <v>X44</v>
      </c>
      <c r="M2257" s="39">
        <v>1120</v>
      </c>
      <c r="N2257" s="39"/>
      <c r="O2257" s="47"/>
      <c r="P2257" s="57"/>
      <c r="Q2257" s="276">
        <f>IF(D2257="","",IF(J2257="リード付け",M2257,VLOOKUP(D2257,契約台帳!$A$3:$N$4986,14,FALSE)))</f>
        <v>1120</v>
      </c>
      <c r="R2257" s="277">
        <f>IF(D2257="","",IF(J2257="リード付け",M2257,VLOOKUP(D2257,契約台帳!$A$3:$O$4986,15,FALSE)))</f>
        <v>1120</v>
      </c>
      <c r="S2257" s="277">
        <f>IF(D2257="","",IF(J2257="リード付け",N2257,VLOOKUP(D2257,契約台帳!$A$3:$P$4986,16,FALSE)))</f>
        <v>4000</v>
      </c>
      <c r="T2257" s="40">
        <v>1</v>
      </c>
      <c r="U2257" s="278">
        <f ca="1">IF(D2257="","",IF(OFFSET(D2257,-2,0)=D2257,"",VLOOKUP(D2257,契約台帳!$A$3:$R$4986,18,FALSE)))</f>
        <v>2</v>
      </c>
      <c r="V2257" s="269" t="str">
        <f>IF(J2257="巻返し",VLOOKUP(F2257&amp;K2257&amp;M2257,製品マスタ!$M$5:$AD$5002,18,FALSE),IF(J2257="リード付け","原反コア",IF(J2257="スリット",VLOOKUP(F2257&amp;K2257&amp;Q2257,製品マスタ!$N$5:$AD$5002,17,FALSE),"")))</f>
        <v>6ｲﾝﾁMｺｱ</v>
      </c>
      <c r="W2257" s="269">
        <f>IF(J2257="巻返し",VLOOKUP(F2257&amp;K2257&amp;M2257,製品マスタ!$M$5:$AE$5002,19,FALSE),IF(J2257="リード付け","-",IF(J2257="スリット",VLOOKUP(F2257&amp;K2257&amp;Q2257,製品マスタ!$N$5:$AE$5002,18,FALSE),"")))</f>
        <v>1125</v>
      </c>
      <c r="X2257" s="275">
        <f>IF(D2257="","",VLOOKUP(D2257,契約台帳!$A$3:$Q$4986,17,FALSE))</f>
        <v>2</v>
      </c>
      <c r="Y2257" s="269" t="str">
        <f>IF(D2257="","",VLOOKUP(D2257,契約台帳!$A$3:$E$4986,5,FALSE))</f>
        <v>リンテック㈱</v>
      </c>
      <c r="Z2257" s="357"/>
      <c r="AA2257" s="207">
        <f>IFERROR(VLOOKUP(F2257&amp;K2257&amp;M2257,製品マスタ!$M$5:$AM$5002,27,FALSE),"")</f>
        <v>0</v>
      </c>
      <c r="AB2257" s="369"/>
      <c r="AC2257" s="370"/>
      <c r="AD2257" s="332" t="str">
        <f>IF(F2257="","",+F2257&amp;K2257)</f>
        <v>3SYMLBMSNMBF50</v>
      </c>
      <c r="AE2257" s="216">
        <f>+M2257*N2257*O2257/1000</f>
        <v>0</v>
      </c>
      <c r="AF2257" s="43">
        <f>IF(AD2257="","",VLOOKUP(AD2257,原価マスタ!$A$2:$AJ$1693,13,FALSE))</f>
        <v>98.8</v>
      </c>
      <c r="AG2257" s="47">
        <f>IF(AF2257="","",+AE2257*AF2257/100)</f>
        <v>0</v>
      </c>
      <c r="AH2257" s="30"/>
      <c r="AI2257" s="30"/>
      <c r="AJ2257" s="30"/>
      <c r="AK2257" s="30"/>
      <c r="AL2257" s="13"/>
      <c r="AM2257" s="13"/>
      <c r="AN2257" s="13"/>
      <c r="AO2257" s="13"/>
      <c r="AP2257" s="13"/>
      <c r="AQ2257" s="14"/>
      <c r="AR2257" s="15"/>
    </row>
    <row r="2258" spans="1:44" s="17" customFormat="1" ht="30.95" customHeight="1" x14ac:dyDescent="0.2">
      <c r="A2258" s="343"/>
      <c r="B2258" s="344"/>
      <c r="C2258" s="345"/>
      <c r="D2258" s="398"/>
      <c r="E2258" s="31"/>
      <c r="F2258" s="268"/>
      <c r="G2258" s="269"/>
      <c r="H2258" s="269"/>
      <c r="I2258" s="270"/>
      <c r="J2258" s="32"/>
      <c r="K2258" s="270"/>
      <c r="L2258" s="270"/>
      <c r="M2258" s="39"/>
      <c r="N2258" s="39"/>
      <c r="O2258" s="47"/>
      <c r="P2258" s="57"/>
      <c r="Q2258" s="276"/>
      <c r="R2258" s="277"/>
      <c r="S2258" s="277"/>
      <c r="T2258" s="40"/>
      <c r="U2258" s="278"/>
      <c r="V2258" s="269"/>
      <c r="W2258" s="269"/>
      <c r="X2258" s="275"/>
      <c r="Y2258" s="269"/>
      <c r="Z2258" s="357"/>
      <c r="AA2258" s="207"/>
      <c r="AB2258" s="369"/>
      <c r="AC2258" s="370"/>
      <c r="AD2258" s="332"/>
      <c r="AE2258" s="216"/>
      <c r="AF2258" s="43"/>
      <c r="AG2258" s="47"/>
      <c r="AH2258" s="30"/>
      <c r="AI2258" s="30"/>
      <c r="AJ2258" s="30"/>
      <c r="AK2258" s="30"/>
      <c r="AL2258" s="13"/>
      <c r="AM2258" s="13"/>
      <c r="AN2258" s="13"/>
      <c r="AO2258" s="13"/>
      <c r="AP2258" s="13"/>
      <c r="AQ2258" s="14"/>
      <c r="AR2258" s="15"/>
    </row>
    <row r="2259" spans="1:44" s="17" customFormat="1" ht="30.6" customHeight="1" x14ac:dyDescent="0.2">
      <c r="A2259" s="320"/>
      <c r="B2259" s="321"/>
      <c r="C2259" s="345"/>
      <c r="D2259" s="398">
        <v>3790274</v>
      </c>
      <c r="E2259" s="31"/>
      <c r="F2259" s="268" t="str">
        <f>IF(D2259="","",VLOOKUP(D2259,契約台帳!$A$3:$K$4986,6,FALSE)&amp;VLOOKUP(D2259,契約台帳!$A$3:$K$4986,7,FALSE)&amp;VLOOKUP(D2259,契約台帳!$A$3:$K$4986,8,FALSE)&amp;VLOOKUP(D2259,契約台帳!$A$3:$K$4986,9,FALSE)&amp;VLOOKUP(D2259,契約台帳!$A$3:$K$4986,11,FALSE))</f>
        <v>3SYMLBMSNMBF</v>
      </c>
      <c r="G2259" s="269" t="str">
        <f>IF(D2259="","",VLOOKUP(F2259,製品マスタ!$G$5:$H$5002,2,FALSE))</f>
        <v>S</v>
      </c>
      <c r="H2259" s="269" t="str">
        <f>IF(D2259="","",VLOOKUP(F2259,製品マスタ!$G$5:$K$5002,5,FALSE))</f>
        <v>MSNMBF</v>
      </c>
      <c r="I2259" s="270" t="str">
        <f>IF(D2259="","",VLOOKUP(F2259,製品マスタ!$G$5:$L$5002,6,FALSE))</f>
        <v>ＭＥＴＡＬＵＭＹ　ＳＩＬＶＥＲ　Ｎ－ＭＡＴＴＥ　Ｘ４４Ｍ　Ｂ</v>
      </c>
      <c r="J2259" s="32" t="s">
        <v>447</v>
      </c>
      <c r="K2259" s="270">
        <f>IF(D2259="","",VLOOKUP(D2259,契約台帳!$A$3:$L$4986,12,FALSE))</f>
        <v>50</v>
      </c>
      <c r="L2259" s="270" t="str">
        <f>IF(D2259="","",INDEX(製品マスタ!$Q$5:$Q$5002,MATCH(F2259&amp;K2259,製品マスタ!$AO$5:$AO$5002,0)))</f>
        <v>X44</v>
      </c>
      <c r="M2259" s="39">
        <v>1120</v>
      </c>
      <c r="N2259" s="39">
        <v>12000</v>
      </c>
      <c r="O2259" s="47">
        <v>1</v>
      </c>
      <c r="P2259" s="57"/>
      <c r="Q2259" s="276">
        <f>IF(D2259="","",IF(J2259="リード付け",M2259,VLOOKUP(D2259,契約台帳!$A$3:$N$4986,14,FALSE)))</f>
        <v>1120</v>
      </c>
      <c r="R2259" s="277">
        <f>IF(D2259="","",IF(J2259="リード付け",M2259,VLOOKUP(D2259,契約台帳!$A$3:$O$4986,15,FALSE)))</f>
        <v>1120</v>
      </c>
      <c r="S2259" s="277">
        <f>IF(D2259="","",IF(J2259="リード付け",N2259,VLOOKUP(D2259,契約台帳!$A$3:$P$4986,16,FALSE)))</f>
        <v>4000</v>
      </c>
      <c r="T2259" s="40">
        <v>1</v>
      </c>
      <c r="U2259" s="278" t="str">
        <f ca="1">IF(D2259="","",IF(OFFSET(D2259,-2,0)=D2259,"",VLOOKUP(D2259,契約台帳!$A$3:$R$4986,18,FALSE)))</f>
        <v/>
      </c>
      <c r="V2259" s="269" t="str">
        <f>IF(J2259="巻返し",VLOOKUP(F2259&amp;K2259&amp;M2259,製品マスタ!$M$5:$AD$5002,18,FALSE),IF(J2259="リード付け","原反コア",IF(J2259="スリット",VLOOKUP(F2259&amp;K2259&amp;Q2259,製品マスタ!$N$5:$AD$5002,17,FALSE),"")))</f>
        <v>6ｲﾝﾁMｺｱ</v>
      </c>
      <c r="W2259" s="269">
        <f>IF(J2259="巻返し",VLOOKUP(F2259&amp;K2259&amp;M2259,製品マスタ!$M$5:$AE$5002,19,FALSE),IF(J2259="リード付け","-",IF(J2259="スリット",VLOOKUP(F2259&amp;K2259&amp;Q2259,製品マスタ!$N$5:$AE$5002,18,FALSE),"")))</f>
        <v>1125</v>
      </c>
      <c r="X2259" s="275">
        <f>IF(D2259="","",VLOOKUP(D2259,契約台帳!$A$3:$Q$4986,17,FALSE))</f>
        <v>2</v>
      </c>
      <c r="Y2259" s="269" t="str">
        <f>IF(D2259="","",VLOOKUP(D2259,契約台帳!$A$3:$E$4986,5,FALSE))</f>
        <v>リンテック㈱</v>
      </c>
      <c r="Z2259" s="357"/>
      <c r="AA2259" s="207">
        <f>IFERROR(VLOOKUP(F2259&amp;K2259&amp;M2259,製品マスタ!$M$5:$AM$5002,27,FALSE),"")</f>
        <v>0</v>
      </c>
      <c r="AB2259" s="369"/>
      <c r="AC2259" s="370"/>
      <c r="AD2259" s="332" t="str">
        <f>IF(F2259="","",+F2259&amp;K2259)</f>
        <v>3SYMLBMSNMBF50</v>
      </c>
      <c r="AE2259" s="216">
        <f>+M2259*N2259*O2259/1000</f>
        <v>13440</v>
      </c>
      <c r="AF2259" s="43">
        <f>IF(AD2259="","",VLOOKUP(AD2259,原価マスタ!$A$2:$AJ$1693,13,FALSE))</f>
        <v>98.8</v>
      </c>
      <c r="AG2259" s="47">
        <f>IF(AF2259="","",+AE2259*AF2259/100)</f>
        <v>13278.72</v>
      </c>
      <c r="AH2259" s="30"/>
      <c r="AI2259" s="30"/>
      <c r="AJ2259" s="30"/>
      <c r="AK2259" s="30"/>
      <c r="AL2259" s="13"/>
      <c r="AM2259" s="13"/>
      <c r="AN2259" s="13"/>
      <c r="AO2259" s="13"/>
      <c r="AP2259" s="13"/>
      <c r="AQ2259" s="14"/>
      <c r="AR2259" s="15"/>
    </row>
    <row r="2260" spans="1:44" s="17" customFormat="1" ht="30.6" customHeight="1" x14ac:dyDescent="0.2">
      <c r="A2260" s="320"/>
      <c r="B2260" s="321"/>
      <c r="C2260" s="345"/>
      <c r="D2260" s="398">
        <v>3790275</v>
      </c>
      <c r="E2260" s="31"/>
      <c r="F2260" s="268" t="str">
        <f>IF(D2260="","",VLOOKUP(D2260,契約台帳!$A$3:$K$4986,6,FALSE)&amp;VLOOKUP(D2260,契約台帳!$A$3:$K$4986,7,FALSE)&amp;VLOOKUP(D2260,契約台帳!$A$3:$K$4986,8,FALSE)&amp;VLOOKUP(D2260,契約台帳!$A$3:$K$4986,9,FALSE)&amp;VLOOKUP(D2260,契約台帳!$A$3:$K$4986,11,FALSE))</f>
        <v>3SYMLBMSNMBF</v>
      </c>
      <c r="G2260" s="269" t="str">
        <f>IF(D2260="","",VLOOKUP(F2260,製品マスタ!$G$5:$H$5002,2,FALSE))</f>
        <v>S</v>
      </c>
      <c r="H2260" s="269" t="str">
        <f>IF(D2260="","",VLOOKUP(F2260,製品マスタ!$G$5:$K$5002,5,FALSE))</f>
        <v>MSNMBF</v>
      </c>
      <c r="I2260" s="270" t="str">
        <f>IF(D2260="","",VLOOKUP(F2260,製品マスタ!$G$5:$L$5002,6,FALSE))</f>
        <v>ＭＥＴＡＬＵＭＹ　ＳＩＬＶＥＲ　Ｎ－ＭＡＴＴＥ　Ｘ４４Ｍ　Ｂ</v>
      </c>
      <c r="J2260" s="32" t="s">
        <v>447</v>
      </c>
      <c r="K2260" s="270">
        <f>IF(D2260="","",VLOOKUP(D2260,契約台帳!$A$3:$L$4986,12,FALSE))</f>
        <v>50</v>
      </c>
      <c r="L2260" s="270" t="str">
        <f>IF(D2260="","",INDEX(製品マスタ!$Q$5:$Q$5002,MATCH(F2260&amp;K2260,製品マスタ!$AO$5:$AO$5002,0)))</f>
        <v>X44</v>
      </c>
      <c r="M2260" s="39">
        <v>1120</v>
      </c>
      <c r="N2260" s="39"/>
      <c r="O2260" s="47"/>
      <c r="P2260" s="57"/>
      <c r="Q2260" s="276">
        <f>IF(D2260="","",IF(J2260="リード付け",M2260,VLOOKUP(D2260,契約台帳!$A$3:$N$4986,14,FALSE)))</f>
        <v>1120</v>
      </c>
      <c r="R2260" s="277">
        <f>IF(D2260="","",IF(J2260="リード付け",M2260,VLOOKUP(D2260,契約台帳!$A$3:$O$4986,15,FALSE)))</f>
        <v>1120</v>
      </c>
      <c r="S2260" s="277">
        <f>IF(D2260="","",IF(J2260="リード付け",N2260,VLOOKUP(D2260,契約台帳!$A$3:$P$4986,16,FALSE)))</f>
        <v>4000</v>
      </c>
      <c r="T2260" s="40">
        <v>2</v>
      </c>
      <c r="U2260" s="278">
        <f ca="1">IF(D2260="","",IF(OFFSET(D2260,-2,0)=D2260,"",VLOOKUP(D2260,契約台帳!$A$3:$R$4986,18,FALSE)))</f>
        <v>8</v>
      </c>
      <c r="V2260" s="269" t="str">
        <f>IF(J2260="巻返し",VLOOKUP(F2260&amp;K2260&amp;M2260,製品マスタ!$M$5:$AD$5002,18,FALSE),IF(J2260="リード付け","原反コア",IF(J2260="スリット",VLOOKUP(F2260&amp;K2260&amp;Q2260,製品マスタ!$N$5:$AD$5002,17,FALSE),"")))</f>
        <v>6ｲﾝﾁMｺｱ</v>
      </c>
      <c r="W2260" s="269">
        <f>IF(J2260="巻返し",VLOOKUP(F2260&amp;K2260&amp;M2260,製品マスタ!$M$5:$AE$5002,19,FALSE),IF(J2260="リード付け","-",IF(J2260="スリット",VLOOKUP(F2260&amp;K2260&amp;Q2260,製品マスタ!$N$5:$AE$5002,18,FALSE),"")))</f>
        <v>1125</v>
      </c>
      <c r="X2260" s="275">
        <f>IF(D2260="","",VLOOKUP(D2260,契約台帳!$A$3:$Q$4986,17,FALSE))</f>
        <v>2</v>
      </c>
      <c r="Y2260" s="269" t="str">
        <f>IF(D2260="","",VLOOKUP(D2260,契約台帳!$A$3:$E$4986,5,FALSE))</f>
        <v>リンテック㈱</v>
      </c>
      <c r="Z2260" s="357"/>
      <c r="AA2260" s="207">
        <f>IFERROR(VLOOKUP(F2260&amp;K2260&amp;M2260,製品マスタ!$M$5:$AM$5002,27,FALSE),"")</f>
        <v>0</v>
      </c>
      <c r="AB2260" s="369"/>
      <c r="AC2260" s="370"/>
      <c r="AD2260" s="332" t="str">
        <f>IF(F2260="","",+F2260&amp;K2260)</f>
        <v>3SYMLBMSNMBF50</v>
      </c>
      <c r="AE2260" s="216">
        <f>+M2260*N2260*O2260/1000</f>
        <v>0</v>
      </c>
      <c r="AF2260" s="43">
        <f>IF(AD2260="","",VLOOKUP(AD2260,原価マスタ!$A$2:$AJ$1693,13,FALSE))</f>
        <v>98.8</v>
      </c>
      <c r="AG2260" s="47">
        <f>IF(AF2260="","",+AE2260*AF2260/100)</f>
        <v>0</v>
      </c>
      <c r="AH2260" s="30"/>
      <c r="AI2260" s="30"/>
      <c r="AJ2260" s="30"/>
      <c r="AK2260" s="30"/>
      <c r="AL2260" s="13"/>
      <c r="AM2260" s="13"/>
      <c r="AN2260" s="13"/>
      <c r="AO2260" s="13"/>
      <c r="AP2260" s="13"/>
      <c r="AQ2260" s="14"/>
      <c r="AR2260" s="15"/>
    </row>
    <row r="2261" spans="1:44" s="17" customFormat="1" ht="30.95" customHeight="1" x14ac:dyDescent="0.2">
      <c r="A2261" s="343"/>
      <c r="B2261" s="344"/>
      <c r="C2261" s="345"/>
      <c r="D2261" s="398"/>
      <c r="E2261" s="31"/>
      <c r="F2261" s="268"/>
      <c r="G2261" s="269"/>
      <c r="H2261" s="269"/>
      <c r="I2261" s="270"/>
      <c r="J2261" s="32"/>
      <c r="K2261" s="270"/>
      <c r="L2261" s="270"/>
      <c r="M2261" s="39"/>
      <c r="N2261" s="39"/>
      <c r="O2261" s="47"/>
      <c r="P2261" s="57"/>
      <c r="Q2261" s="276"/>
      <c r="R2261" s="277"/>
      <c r="S2261" s="277"/>
      <c r="T2261" s="40"/>
      <c r="U2261" s="278"/>
      <c r="V2261" s="269"/>
      <c r="W2261" s="269"/>
      <c r="X2261" s="275"/>
      <c r="Y2261" s="269"/>
      <c r="Z2261" s="357"/>
      <c r="AA2261" s="207"/>
      <c r="AB2261" s="369"/>
      <c r="AC2261" s="370"/>
      <c r="AD2261" s="332"/>
      <c r="AE2261" s="216"/>
      <c r="AF2261" s="43"/>
      <c r="AG2261" s="47"/>
      <c r="AH2261" s="30"/>
      <c r="AI2261" s="30"/>
      <c r="AJ2261" s="30"/>
      <c r="AK2261" s="30"/>
      <c r="AL2261" s="13"/>
      <c r="AM2261" s="13"/>
      <c r="AN2261" s="13"/>
      <c r="AO2261" s="13"/>
      <c r="AP2261" s="13"/>
      <c r="AQ2261" s="14"/>
      <c r="AR2261" s="15"/>
    </row>
    <row r="2262" spans="1:44" s="17" customFormat="1" ht="30.6" customHeight="1" x14ac:dyDescent="0.2">
      <c r="A2262" s="320"/>
      <c r="B2262" s="321"/>
      <c r="C2262" s="345"/>
      <c r="D2262" s="398">
        <v>3790275</v>
      </c>
      <c r="E2262" s="31"/>
      <c r="F2262" s="268" t="str">
        <f>IF(D2262="","",VLOOKUP(D2262,契約台帳!$A$3:$K$4986,6,FALSE)&amp;VLOOKUP(D2262,契約台帳!$A$3:$K$4986,7,FALSE)&amp;VLOOKUP(D2262,契約台帳!$A$3:$K$4986,8,FALSE)&amp;VLOOKUP(D2262,契約台帳!$A$3:$K$4986,9,FALSE)&amp;VLOOKUP(D2262,契約台帳!$A$3:$K$4986,11,FALSE))</f>
        <v>3SYMLBMSNMBF</v>
      </c>
      <c r="G2262" s="269" t="str">
        <f>IF(D2262="","",VLOOKUP(F2262,製品マスタ!$G$5:$H$5002,2,FALSE))</f>
        <v>S</v>
      </c>
      <c r="H2262" s="269" t="str">
        <f>IF(D2262="","",VLOOKUP(F2262,製品マスタ!$G$5:$K$5002,5,FALSE))</f>
        <v>MSNMBF</v>
      </c>
      <c r="I2262" s="270" t="str">
        <f>IF(D2262="","",VLOOKUP(F2262,製品マスタ!$G$5:$L$5002,6,FALSE))</f>
        <v>ＭＥＴＡＬＵＭＹ　ＳＩＬＶＥＲ　Ｎ－ＭＡＴＴＥ　Ｘ４４Ｍ　Ｂ</v>
      </c>
      <c r="J2262" s="32" t="s">
        <v>447</v>
      </c>
      <c r="K2262" s="270">
        <f>IF(D2262="","",VLOOKUP(D2262,契約台帳!$A$3:$L$4986,12,FALSE))</f>
        <v>50</v>
      </c>
      <c r="L2262" s="270" t="str">
        <f>IF(D2262="","",INDEX(製品マスタ!$Q$5:$Q$5002,MATCH(F2262&amp;K2262,製品マスタ!$AO$5:$AO$5002,0)))</f>
        <v>X44</v>
      </c>
      <c r="M2262" s="39">
        <v>1120</v>
      </c>
      <c r="N2262" s="39">
        <v>12000</v>
      </c>
      <c r="O2262" s="47">
        <v>2</v>
      </c>
      <c r="P2262" s="57"/>
      <c r="Q2262" s="276">
        <f>IF(D2262="","",IF(J2262="リード付け",M2262,VLOOKUP(D2262,契約台帳!$A$3:$N$4986,14,FALSE)))</f>
        <v>1120</v>
      </c>
      <c r="R2262" s="277">
        <f>IF(D2262="","",IF(J2262="リード付け",M2262,VLOOKUP(D2262,契約台帳!$A$3:$O$4986,15,FALSE)))</f>
        <v>1120</v>
      </c>
      <c r="S2262" s="277">
        <f>IF(D2262="","",IF(J2262="リード付け",N2262,VLOOKUP(D2262,契約台帳!$A$3:$P$4986,16,FALSE)))</f>
        <v>4000</v>
      </c>
      <c r="T2262" s="40">
        <v>6</v>
      </c>
      <c r="U2262" s="278" t="str">
        <f ca="1">IF(D2262="","",IF(OFFSET(D2262,-2,0)=D2262,"",VLOOKUP(D2262,契約台帳!$A$3:$R$4986,18,FALSE)))</f>
        <v/>
      </c>
      <c r="V2262" s="269" t="str">
        <f>IF(J2262="巻返し",VLOOKUP(F2262&amp;K2262&amp;M2262,製品マスタ!$M$5:$AD$5002,18,FALSE),IF(J2262="リード付け","原反コア",IF(J2262="スリット",VLOOKUP(F2262&amp;K2262&amp;Q2262,製品マスタ!$N$5:$AD$5002,17,FALSE),"")))</f>
        <v>6ｲﾝﾁMｺｱ</v>
      </c>
      <c r="W2262" s="269">
        <f>IF(J2262="巻返し",VLOOKUP(F2262&amp;K2262&amp;M2262,製品マスタ!$M$5:$AE$5002,19,FALSE),IF(J2262="リード付け","-",IF(J2262="スリット",VLOOKUP(F2262&amp;K2262&amp;Q2262,製品マスタ!$N$5:$AE$5002,18,FALSE),"")))</f>
        <v>1125</v>
      </c>
      <c r="X2262" s="275">
        <f>IF(D2262="","",VLOOKUP(D2262,契約台帳!$A$3:$Q$4986,17,FALSE))</f>
        <v>2</v>
      </c>
      <c r="Y2262" s="269" t="str">
        <f>IF(D2262="","",VLOOKUP(D2262,契約台帳!$A$3:$E$4986,5,FALSE))</f>
        <v>リンテック㈱</v>
      </c>
      <c r="Z2262" s="357"/>
      <c r="AA2262" s="207">
        <f>IFERROR(VLOOKUP(F2262&amp;K2262&amp;M2262,製品マスタ!$M$5:$AM$5002,27,FALSE),"")</f>
        <v>0</v>
      </c>
      <c r="AB2262" s="369"/>
      <c r="AC2262" s="370"/>
      <c r="AD2262" s="332" t="str">
        <f>IF(F2262="","",+F2262&amp;K2262)</f>
        <v>3SYMLBMSNMBF50</v>
      </c>
      <c r="AE2262" s="216">
        <f>+M2262*N2262*O2262/1000</f>
        <v>26880</v>
      </c>
      <c r="AF2262" s="43">
        <f>IF(AD2262="","",VLOOKUP(AD2262,原価マスタ!$A$2:$AJ$1693,13,FALSE))</f>
        <v>98.8</v>
      </c>
      <c r="AG2262" s="47">
        <f>IF(AF2262="","",+AE2262*AF2262/100)</f>
        <v>26557.439999999999</v>
      </c>
      <c r="AH2262" s="30"/>
      <c r="AI2262" s="30"/>
      <c r="AJ2262" s="30"/>
      <c r="AK2262" s="30"/>
      <c r="AL2262" s="13"/>
      <c r="AM2262" s="13"/>
      <c r="AN2262" s="13"/>
      <c r="AO2262" s="13"/>
      <c r="AP2262" s="13"/>
      <c r="AQ2262" s="14"/>
      <c r="AR2262" s="15"/>
    </row>
    <row r="2263" spans="1:44" s="17" customFormat="1" ht="30.95" customHeight="1" x14ac:dyDescent="0.2">
      <c r="A2263" s="343"/>
      <c r="B2263" s="344"/>
      <c r="C2263" s="345"/>
      <c r="D2263" s="398"/>
      <c r="E2263" s="31"/>
      <c r="F2263" s="268"/>
      <c r="G2263" s="269"/>
      <c r="H2263" s="269"/>
      <c r="I2263" s="270"/>
      <c r="J2263" s="32"/>
      <c r="K2263" s="270"/>
      <c r="L2263" s="270"/>
      <c r="M2263" s="39"/>
      <c r="N2263" s="39"/>
      <c r="O2263" s="47"/>
      <c r="P2263" s="57"/>
      <c r="Q2263" s="276"/>
      <c r="R2263" s="277"/>
      <c r="S2263" s="277"/>
      <c r="T2263" s="40"/>
      <c r="U2263" s="278"/>
      <c r="V2263" s="269"/>
      <c r="W2263" s="269"/>
      <c r="X2263" s="275"/>
      <c r="Y2263" s="269"/>
      <c r="Z2263" s="357"/>
      <c r="AA2263" s="207"/>
      <c r="AB2263" s="369"/>
      <c r="AC2263" s="370"/>
      <c r="AD2263" s="332"/>
      <c r="AE2263" s="216"/>
      <c r="AF2263" s="43"/>
      <c r="AG2263" s="47"/>
      <c r="AH2263" s="30"/>
      <c r="AI2263" s="30"/>
      <c r="AJ2263" s="30"/>
      <c r="AK2263" s="30"/>
      <c r="AL2263" s="13"/>
      <c r="AM2263" s="13"/>
      <c r="AN2263" s="13"/>
      <c r="AO2263" s="13"/>
      <c r="AP2263" s="13"/>
      <c r="AQ2263" s="14"/>
      <c r="AR2263" s="15"/>
    </row>
    <row r="2264" spans="1:44" s="17" customFormat="1" ht="30.6" customHeight="1" x14ac:dyDescent="0.2">
      <c r="A2264" s="320"/>
      <c r="B2264" s="321"/>
      <c r="C2264" s="345"/>
      <c r="D2264" s="398">
        <v>3790272</v>
      </c>
      <c r="E2264" s="31"/>
      <c r="F2264" s="268" t="str">
        <f>IF(D2264="","",VLOOKUP(D2264,契約台帳!$A$3:$K$4986,6,FALSE)&amp;VLOOKUP(D2264,契約台帳!$A$3:$K$4986,7,FALSE)&amp;VLOOKUP(D2264,契約台帳!$A$3:$K$4986,8,FALSE)&amp;VLOOKUP(D2264,契約台帳!$A$3:$K$4986,9,FALSE)&amp;VLOOKUP(D2264,契約台帳!$A$3:$K$4986,11,FALSE))</f>
        <v>3SYMLBMSNMBZF</v>
      </c>
      <c r="G2264" s="269" t="str">
        <f>IF(D2264="","",VLOOKUP(F2264,製品マスタ!$G$5:$H$5002,2,FALSE))</f>
        <v>S</v>
      </c>
      <c r="H2264" s="269" t="str">
        <f>IF(D2264="","",VLOOKUP(F2264,製品マスタ!$G$5:$K$5002,5,FALSE))</f>
        <v>MSNMBZF</v>
      </c>
      <c r="I2264" s="270" t="str">
        <f>IF(D2264="","",VLOOKUP(F2264,製品マスタ!$G$5:$L$5002,6,FALSE))</f>
        <v>ＭＥＴＡＬＵＭＹ　ＳＩＬＶＥＲ　Ｎ－ＭＡＴＴＥ　Ｂ</v>
      </c>
      <c r="J2264" s="32" t="s">
        <v>447</v>
      </c>
      <c r="K2264" s="270">
        <f>IF(D2264="","",VLOOKUP(D2264,契約台帳!$A$3:$L$4986,12,FALSE))</f>
        <v>50</v>
      </c>
      <c r="L2264" s="270" t="str">
        <f>IF(D2264="","",INDEX(製品マスタ!$Q$5:$Q$5002,MATCH(F2264&amp;K2264,製品マスタ!$AO$5:$AO$5002,0)))</f>
        <v>X44</v>
      </c>
      <c r="M2264" s="39">
        <v>1120</v>
      </c>
      <c r="N2264" s="39">
        <v>12000</v>
      </c>
      <c r="O2264" s="47">
        <v>3</v>
      </c>
      <c r="P2264" s="57"/>
      <c r="Q2264" s="276">
        <f>IF(D2264="","",IF(J2264="リード付け",M2264,VLOOKUP(D2264,契約台帳!$A$3:$N$4986,14,FALSE)))</f>
        <v>1120</v>
      </c>
      <c r="R2264" s="277">
        <f>IF(D2264="","",IF(J2264="リード付け",M2264,VLOOKUP(D2264,契約台帳!$A$3:$O$4986,15,FALSE)))</f>
        <v>1120</v>
      </c>
      <c r="S2264" s="277">
        <f>IF(D2264="","",IF(J2264="リード付け",N2264,VLOOKUP(D2264,契約台帳!$A$3:$P$4986,16,FALSE)))</f>
        <v>4000</v>
      </c>
      <c r="T2264" s="40">
        <v>9</v>
      </c>
      <c r="U2264" s="278">
        <f ca="1">IF(D2264="","",IF(OFFSET(D2264,-2,0)=D2264,"",VLOOKUP(D2264,契約台帳!$A$3:$R$4986,18,FALSE)))</f>
        <v>9</v>
      </c>
      <c r="V2264" s="269" t="str">
        <f>IF(J2264="巻返し",VLOOKUP(F2264&amp;K2264&amp;M2264,製品マスタ!$M$5:$AD$5002,18,FALSE),IF(J2264="リード付け","原反コア",IF(J2264="スリット",VLOOKUP(F2264&amp;K2264&amp;Q2264,製品マスタ!$N$5:$AD$5002,17,FALSE),"")))</f>
        <v>6ｲﾝﾁMｺｱ</v>
      </c>
      <c r="W2264" s="269">
        <f>IF(J2264="巻返し",VLOOKUP(F2264&amp;K2264&amp;M2264,製品マスタ!$M$5:$AE$5002,19,FALSE),IF(J2264="リード付け","-",IF(J2264="スリット",VLOOKUP(F2264&amp;K2264&amp;Q2264,製品マスタ!$N$5:$AE$5002,18,FALSE),"")))</f>
        <v>1125</v>
      </c>
      <c r="X2264" s="275">
        <f>IF(D2264="","",VLOOKUP(D2264,契約台帳!$A$3:$Q$4986,17,FALSE))</f>
        <v>2</v>
      </c>
      <c r="Y2264" s="269" t="str">
        <f>IF(D2264="","",VLOOKUP(D2264,契約台帳!$A$3:$E$4986,5,FALSE))</f>
        <v>リンテック㈱</v>
      </c>
      <c r="Z2264" s="357"/>
      <c r="AA2264" s="207">
        <f>IFERROR(VLOOKUP(F2264&amp;K2264&amp;M2264,製品マスタ!$M$5:$AM$5002,27,FALSE),"")</f>
        <v>0</v>
      </c>
      <c r="AB2264" s="369"/>
      <c r="AC2264" s="370"/>
      <c r="AD2264" s="332" t="str">
        <f>IF(F2264="","",+F2264&amp;K2264)</f>
        <v>3SYMLBMSNMBZF50</v>
      </c>
      <c r="AE2264" s="216">
        <f>+M2264*N2264*O2264/1000</f>
        <v>40320</v>
      </c>
      <c r="AF2264" s="43">
        <f>IF(AD2264="","",VLOOKUP(AD2264,原価マスタ!$A$2:$AJ$1693,13,FALSE))</f>
        <v>99</v>
      </c>
      <c r="AG2264" s="47">
        <f>IF(AF2264="","",+AE2264*AF2264/100)</f>
        <v>39916.800000000003</v>
      </c>
      <c r="AH2264" s="30"/>
      <c r="AI2264" s="30"/>
      <c r="AJ2264" s="30"/>
      <c r="AK2264" s="30"/>
      <c r="AL2264" s="13"/>
      <c r="AM2264" s="13"/>
      <c r="AN2264" s="13"/>
      <c r="AO2264" s="13"/>
      <c r="AP2264" s="13"/>
      <c r="AQ2264" s="14"/>
      <c r="AR2264" s="15"/>
    </row>
    <row r="2265" spans="1:44" s="17" customFormat="1" ht="30.95" customHeight="1" x14ac:dyDescent="0.2">
      <c r="A2265" s="343"/>
      <c r="B2265" s="344"/>
      <c r="C2265" s="345"/>
      <c r="D2265" s="398"/>
      <c r="E2265" s="31"/>
      <c r="F2265" s="268"/>
      <c r="G2265" s="269"/>
      <c r="H2265" s="269"/>
      <c r="I2265" s="270"/>
      <c r="J2265" s="32"/>
      <c r="K2265" s="270"/>
      <c r="L2265" s="270"/>
      <c r="M2265" s="39"/>
      <c r="N2265" s="39"/>
      <c r="O2265" s="47"/>
      <c r="P2265" s="57"/>
      <c r="Q2265" s="276"/>
      <c r="R2265" s="277"/>
      <c r="S2265" s="277"/>
      <c r="T2265" s="40"/>
      <c r="U2265" s="278"/>
      <c r="V2265" s="269"/>
      <c r="W2265" s="269"/>
      <c r="X2265" s="275"/>
      <c r="Y2265" s="269"/>
      <c r="Z2265" s="357"/>
      <c r="AA2265" s="207"/>
      <c r="AB2265" s="369"/>
      <c r="AC2265" s="370"/>
      <c r="AD2265" s="332"/>
      <c r="AE2265" s="216"/>
      <c r="AF2265" s="43"/>
      <c r="AG2265" s="47"/>
      <c r="AH2265" s="30"/>
      <c r="AI2265" s="30"/>
      <c r="AJ2265" s="30"/>
      <c r="AK2265" s="30"/>
      <c r="AL2265" s="13"/>
      <c r="AM2265" s="13"/>
      <c r="AN2265" s="13"/>
      <c r="AO2265" s="13"/>
      <c r="AP2265" s="13"/>
      <c r="AQ2265" s="14"/>
      <c r="AR2265" s="15"/>
    </row>
    <row r="2266" spans="1:44" s="17" customFormat="1" ht="30.6" customHeight="1" x14ac:dyDescent="0.2">
      <c r="A2266" s="320" t="s">
        <v>3466</v>
      </c>
      <c r="B2266" s="321" t="s">
        <v>3467</v>
      </c>
      <c r="C2266" s="345"/>
      <c r="D2266" s="398">
        <v>3790254</v>
      </c>
      <c r="E2266" s="31"/>
      <c r="F2266" s="268" t="str">
        <f>IF(D2266="","",VLOOKUP(D2266,契約台帳!$A$3:$K$4986,6,FALSE)&amp;VLOOKUP(D2266,契約台帳!$A$3:$K$4986,7,FALSE)&amp;VLOOKUP(D2266,契約台帳!$A$3:$K$4986,8,FALSE)&amp;VLOOKUP(D2266,契約台帳!$A$3:$K$4986,9,FALSE)&amp;VLOOKUP(D2266,契約台帳!$A$3:$K$4986,11,FALSE))</f>
        <v>3SNMLBMNGKBF</v>
      </c>
      <c r="G2266" s="269" t="str">
        <f>IF(D2266="","",VLOOKUP(F2266,製品マスタ!$G$5:$H$5002,2,FALSE))</f>
        <v>S</v>
      </c>
      <c r="H2266" s="269" t="str">
        <f>IF(D2266="","",VLOOKUP(F2266,製品マスタ!$G$5:$K$5002,5,FALSE))</f>
        <v>MNGKBF</v>
      </c>
      <c r="I2266" s="270" t="str">
        <f>IF(D2266="","",VLOOKUP(F2266,製品マスタ!$G$5:$L$5002,6,FALSE))</f>
        <v>メタルミー　ネーマー銀消　Ｂ</v>
      </c>
      <c r="J2266" s="32" t="s">
        <v>447</v>
      </c>
      <c r="K2266" s="270">
        <f>IF(D2266="","",VLOOKUP(D2266,契約台帳!$A$3:$L$4986,12,FALSE))</f>
        <v>50</v>
      </c>
      <c r="L2266" s="270" t="str">
        <f>IF(D2266="","",INDEX(製品マスタ!$Q$5:$Q$5002,MATCH(F2266&amp;K2266,製品マスタ!$AO$5:$AO$5002,0)))</f>
        <v>MAT</v>
      </c>
      <c r="M2266" s="39">
        <v>1050</v>
      </c>
      <c r="N2266" s="39">
        <v>12300</v>
      </c>
      <c r="O2266" s="47">
        <v>1</v>
      </c>
      <c r="P2266" s="57"/>
      <c r="Q2266" s="276">
        <f>IF(D2266="","",IF(J2266="リード付け",M2266,VLOOKUP(D2266,契約台帳!$A$3:$N$4986,14,FALSE)))</f>
        <v>1050</v>
      </c>
      <c r="R2266" s="277">
        <f>IF(D2266="","",IF(J2266="リード付け",M2266,VLOOKUP(D2266,契約台帳!$A$3:$O$4986,15,FALSE)))</f>
        <v>1050</v>
      </c>
      <c r="S2266" s="277">
        <f>IF(D2266="","",IF(J2266="リード付け",N2266,VLOOKUP(D2266,契約台帳!$A$3:$P$4986,16,FALSE)))</f>
        <v>4100</v>
      </c>
      <c r="T2266" s="40">
        <v>3</v>
      </c>
      <c r="U2266" s="278">
        <f ca="1">IF(D2266="","",IF(OFFSET(D2266,-2,0)=D2266,"",VLOOKUP(D2266,契約台帳!$A$3:$R$4986,18,FALSE)))</f>
        <v>5</v>
      </c>
      <c r="V2266" s="269" t="str">
        <f>IF(J2266="巻返し",VLOOKUP(F2266&amp;K2266&amp;M2266,製品マスタ!$M$5:$AD$5002,18,FALSE),IF(J2266="リード付け","原反コア",IF(J2266="スリット",VLOOKUP(F2266&amp;K2266&amp;Q2266,製品マスタ!$N$5:$AD$5002,17,FALSE),"")))</f>
        <v>6ｲﾝﾁSｺｱ</v>
      </c>
      <c r="W2266" s="269">
        <f>IF(J2266="巻返し",VLOOKUP(F2266&amp;K2266&amp;M2266,製品マスタ!$M$5:$AE$5002,19,FALSE),IF(J2266="リード付け","-",IF(J2266="スリット",VLOOKUP(F2266&amp;K2266&amp;Q2266,製品マスタ!$N$5:$AE$5002,18,FALSE),"")))</f>
        <v>1055</v>
      </c>
      <c r="X2266" s="275">
        <f>IF(D2266="","",VLOOKUP(D2266,契約台帳!$A$3:$Q$4986,17,FALSE))</f>
        <v>2</v>
      </c>
      <c r="Y2266" s="269" t="str">
        <f>IF(D2266="","",VLOOKUP(D2266,契約台帳!$A$3:$E$4986,5,FALSE))</f>
        <v>リンテック㈱</v>
      </c>
      <c r="Z2266" s="357"/>
      <c r="AA2266" s="207">
        <f>IFERROR(VLOOKUP(F2266&amp;K2266&amp;M2266,製品マスタ!$M$5:$AM$5002,27,FALSE),"")</f>
        <v>0</v>
      </c>
      <c r="AB2266" s="369"/>
      <c r="AC2266" s="370"/>
      <c r="AD2266" s="332" t="str">
        <f>IF(F2266="","",+F2266&amp;K2266)</f>
        <v>3SNMLBMNGKBF50</v>
      </c>
      <c r="AE2266" s="216">
        <f>+M2266*N2266*O2266/1000</f>
        <v>12915</v>
      </c>
      <c r="AF2266" s="43">
        <f>IF(AD2266="","",VLOOKUP(AD2266,原価マスタ!$A$2:$AJ$1693,13,FALSE))</f>
        <v>98</v>
      </c>
      <c r="AG2266" s="47">
        <f>IF(AF2266="","",+AE2266*AF2266/100)</f>
        <v>12656.7</v>
      </c>
      <c r="AH2266" s="30"/>
      <c r="AI2266" s="30"/>
      <c r="AJ2266" s="30"/>
      <c r="AK2266" s="30"/>
      <c r="AL2266" s="13"/>
      <c r="AM2266" s="13"/>
      <c r="AN2266" s="13"/>
      <c r="AO2266" s="13"/>
      <c r="AP2266" s="13"/>
      <c r="AQ2266" s="14"/>
      <c r="AR2266" s="15"/>
    </row>
    <row r="2267" spans="1:44" s="17" customFormat="1" ht="30.95" customHeight="1" x14ac:dyDescent="0.2">
      <c r="A2267" s="343"/>
      <c r="B2267" s="344"/>
      <c r="C2267" s="345"/>
      <c r="D2267" s="398"/>
      <c r="E2267" s="31"/>
      <c r="F2267" s="268"/>
      <c r="G2267" s="269"/>
      <c r="H2267" s="269"/>
      <c r="I2267" s="270"/>
      <c r="J2267" s="32"/>
      <c r="K2267" s="270"/>
      <c r="L2267" s="270"/>
      <c r="M2267" s="39"/>
      <c r="N2267" s="39"/>
      <c r="O2267" s="47"/>
      <c r="P2267" s="57"/>
      <c r="Q2267" s="276"/>
      <c r="R2267" s="277"/>
      <c r="S2267" s="277"/>
      <c r="T2267" s="40"/>
      <c r="U2267" s="278"/>
      <c r="V2267" s="269"/>
      <c r="W2267" s="269"/>
      <c r="X2267" s="275"/>
      <c r="Y2267" s="269"/>
      <c r="Z2267" s="357"/>
      <c r="AA2267" s="207"/>
      <c r="AB2267" s="369"/>
      <c r="AC2267" s="370"/>
      <c r="AD2267" s="332"/>
      <c r="AE2267" s="216"/>
      <c r="AF2267" s="43"/>
      <c r="AG2267" s="47"/>
      <c r="AH2267" s="30"/>
      <c r="AI2267" s="30"/>
      <c r="AJ2267" s="30"/>
      <c r="AK2267" s="30"/>
      <c r="AL2267" s="13"/>
      <c r="AM2267" s="13"/>
      <c r="AN2267" s="13"/>
      <c r="AO2267" s="13"/>
      <c r="AP2267" s="13"/>
      <c r="AQ2267" s="14"/>
      <c r="AR2267" s="15"/>
    </row>
    <row r="2268" spans="1:44" s="17" customFormat="1" ht="30.6" customHeight="1" x14ac:dyDescent="0.2">
      <c r="A2268" s="320"/>
      <c r="B2268" s="321"/>
      <c r="C2268" s="345"/>
      <c r="D2268" s="398">
        <v>3790254</v>
      </c>
      <c r="E2268" s="31"/>
      <c r="F2268" s="268" t="str">
        <f>IF(D2268="","",VLOOKUP(D2268,契約台帳!$A$3:$K$4986,6,FALSE)&amp;VLOOKUP(D2268,契約台帳!$A$3:$K$4986,7,FALSE)&amp;VLOOKUP(D2268,契約台帳!$A$3:$K$4986,8,FALSE)&amp;VLOOKUP(D2268,契約台帳!$A$3:$K$4986,9,FALSE)&amp;VLOOKUP(D2268,契約台帳!$A$3:$K$4986,11,FALSE))</f>
        <v>3SNMLBMNGKBF</v>
      </c>
      <c r="G2268" s="269" t="str">
        <f>IF(D2268="","",VLOOKUP(F2268,製品マスタ!$G$5:$H$5002,2,FALSE))</f>
        <v>S</v>
      </c>
      <c r="H2268" s="269" t="str">
        <f>IF(D2268="","",VLOOKUP(F2268,製品マスタ!$G$5:$K$5002,5,FALSE))</f>
        <v>MNGKBF</v>
      </c>
      <c r="I2268" s="270" t="str">
        <f>IF(D2268="","",VLOOKUP(F2268,製品マスタ!$G$5:$L$5002,6,FALSE))</f>
        <v>メタルミー　ネーマー銀消　Ｂ</v>
      </c>
      <c r="J2268" s="32" t="s">
        <v>447</v>
      </c>
      <c r="K2268" s="270">
        <f>IF(D2268="","",VLOOKUP(D2268,契約台帳!$A$3:$L$4986,12,FALSE))</f>
        <v>50</v>
      </c>
      <c r="L2268" s="270" t="str">
        <f>IF(D2268="","",INDEX(製品マスタ!$Q$5:$Q$5002,MATCH(F2268&amp;K2268,製品マスタ!$AO$5:$AO$5002,0)))</f>
        <v>MAT</v>
      </c>
      <c r="M2268" s="39">
        <v>1050</v>
      </c>
      <c r="N2268" s="39">
        <v>8200</v>
      </c>
      <c r="O2268" s="47">
        <v>1</v>
      </c>
      <c r="P2268" s="57"/>
      <c r="Q2268" s="276">
        <f>IF(D2268="","",IF(J2268="リード付け",M2268,VLOOKUP(D2268,契約台帳!$A$3:$N$4986,14,FALSE)))</f>
        <v>1050</v>
      </c>
      <c r="R2268" s="277">
        <f>IF(D2268="","",IF(J2268="リード付け",M2268,VLOOKUP(D2268,契約台帳!$A$3:$O$4986,15,FALSE)))</f>
        <v>1050</v>
      </c>
      <c r="S2268" s="277">
        <f>IF(D2268="","",IF(J2268="リード付け",N2268,VLOOKUP(D2268,契約台帳!$A$3:$P$4986,16,FALSE)))</f>
        <v>4100</v>
      </c>
      <c r="T2268" s="40">
        <v>2</v>
      </c>
      <c r="U2268" s="278" t="str">
        <f ca="1">IF(D2268="","",IF(OFFSET(D2268,-2,0)=D2268,"",VLOOKUP(D2268,契約台帳!$A$3:$R$4986,18,FALSE)))</f>
        <v/>
      </c>
      <c r="V2268" s="269" t="str">
        <f>IF(J2268="巻返し",VLOOKUP(F2268&amp;K2268&amp;M2268,製品マスタ!$M$5:$AD$5002,18,FALSE),IF(J2268="リード付け","原反コア",IF(J2268="スリット",VLOOKUP(F2268&amp;K2268&amp;Q2268,製品マスタ!$N$5:$AD$5002,17,FALSE),"")))</f>
        <v>6ｲﾝﾁSｺｱ</v>
      </c>
      <c r="W2268" s="269">
        <f>IF(J2268="巻返し",VLOOKUP(F2268&amp;K2268&amp;M2268,製品マスタ!$M$5:$AE$5002,19,FALSE),IF(J2268="リード付け","-",IF(J2268="スリット",VLOOKUP(F2268&amp;K2268&amp;Q2268,製品マスタ!$N$5:$AE$5002,18,FALSE),"")))</f>
        <v>1055</v>
      </c>
      <c r="X2268" s="275">
        <f>IF(D2268="","",VLOOKUP(D2268,契約台帳!$A$3:$Q$4986,17,FALSE))</f>
        <v>2</v>
      </c>
      <c r="Y2268" s="269" t="str">
        <f>IF(D2268="","",VLOOKUP(D2268,契約台帳!$A$3:$E$4986,5,FALSE))</f>
        <v>リンテック㈱</v>
      </c>
      <c r="Z2268" s="357"/>
      <c r="AA2268" s="207">
        <f>IFERROR(VLOOKUP(F2268&amp;K2268&amp;M2268,製品マスタ!$M$5:$AM$5002,27,FALSE),"")</f>
        <v>0</v>
      </c>
      <c r="AB2268" s="369"/>
      <c r="AC2268" s="370"/>
      <c r="AD2268" s="332" t="str">
        <f>IF(F2268="","",+F2268&amp;K2268)</f>
        <v>3SNMLBMNGKBF50</v>
      </c>
      <c r="AE2268" s="216">
        <f>+M2268*N2268*O2268/1000</f>
        <v>8610</v>
      </c>
      <c r="AF2268" s="43">
        <f>IF(AD2268="","",VLOOKUP(AD2268,原価マスタ!$A$2:$AJ$1693,13,FALSE))</f>
        <v>98</v>
      </c>
      <c r="AG2268" s="47">
        <f>IF(AF2268="","",+AE2268*AF2268/100)</f>
        <v>8437.7999999999993</v>
      </c>
      <c r="AH2268" s="30"/>
      <c r="AI2268" s="30"/>
      <c r="AJ2268" s="30"/>
      <c r="AK2268" s="30"/>
      <c r="AL2268" s="13"/>
      <c r="AM2268" s="13"/>
      <c r="AN2268" s="13"/>
      <c r="AO2268" s="13"/>
      <c r="AP2268" s="13"/>
      <c r="AQ2268" s="14"/>
      <c r="AR2268" s="15"/>
    </row>
    <row r="2269" spans="1:44" s="17" customFormat="1" ht="30.95" customHeight="1" x14ac:dyDescent="0.2">
      <c r="A2269" s="343"/>
      <c r="B2269" s="344"/>
      <c r="C2269" s="345"/>
      <c r="D2269" s="398"/>
      <c r="E2269" s="31"/>
      <c r="F2269" s="268"/>
      <c r="G2269" s="269"/>
      <c r="H2269" s="269"/>
      <c r="I2269" s="270"/>
      <c r="J2269" s="32"/>
      <c r="K2269" s="270"/>
      <c r="L2269" s="270"/>
      <c r="M2269" s="39"/>
      <c r="N2269" s="39"/>
      <c r="O2269" s="47"/>
      <c r="P2269" s="57"/>
      <c r="Q2269" s="276"/>
      <c r="R2269" s="277"/>
      <c r="S2269" s="277"/>
      <c r="T2269" s="40"/>
      <c r="U2269" s="278"/>
      <c r="V2269" s="269"/>
      <c r="W2269" s="269"/>
      <c r="X2269" s="275"/>
      <c r="Y2269" s="269"/>
      <c r="Z2269" s="357"/>
      <c r="AA2269" s="207"/>
      <c r="AB2269" s="369"/>
      <c r="AC2269" s="370"/>
      <c r="AD2269" s="332"/>
      <c r="AE2269" s="216"/>
      <c r="AF2269" s="43"/>
      <c r="AG2269" s="47"/>
      <c r="AH2269" s="30"/>
      <c r="AI2269" s="30"/>
      <c r="AJ2269" s="30"/>
      <c r="AK2269" s="30"/>
      <c r="AL2269" s="13"/>
      <c r="AM2269" s="13"/>
      <c r="AN2269" s="13"/>
      <c r="AO2269" s="13"/>
      <c r="AP2269" s="13"/>
      <c r="AQ2269" s="14"/>
      <c r="AR2269" s="15"/>
    </row>
    <row r="2270" spans="1:44" s="17" customFormat="1" ht="30.6" customHeight="1" x14ac:dyDescent="0.2">
      <c r="A2270" s="320"/>
      <c r="B2270" s="321"/>
      <c r="C2270" s="345"/>
      <c r="D2270" s="398">
        <v>3790253</v>
      </c>
      <c r="E2270" s="31"/>
      <c r="F2270" s="268" t="str">
        <f>IF(D2270="","",VLOOKUP(D2270,契約台帳!$A$3:$K$4986,6,FALSE)&amp;VLOOKUP(D2270,契約台帳!$A$3:$K$4986,7,FALSE)&amp;VLOOKUP(D2270,契約台帳!$A$3:$K$4986,8,FALSE)&amp;VLOOKUP(D2270,契約台帳!$A$3:$K$4986,9,FALSE)&amp;VLOOKUP(D2270,契約台帳!$A$3:$K$4986,11,FALSE))</f>
        <v>3SNMLBMNGKBF</v>
      </c>
      <c r="G2270" s="269" t="str">
        <f>IF(D2270="","",VLOOKUP(F2270,製品マスタ!$G$5:$H$5002,2,FALSE))</f>
        <v>S</v>
      </c>
      <c r="H2270" s="269" t="str">
        <f>IF(D2270="","",VLOOKUP(F2270,製品マスタ!$G$5:$K$5002,5,FALSE))</f>
        <v>MNGKBF</v>
      </c>
      <c r="I2270" s="270" t="str">
        <f>IF(D2270="","",VLOOKUP(F2270,製品マスタ!$G$5:$L$5002,6,FALSE))</f>
        <v>メタルミー　ネーマー銀消　Ｂ</v>
      </c>
      <c r="J2270" s="32" t="s">
        <v>447</v>
      </c>
      <c r="K2270" s="270">
        <f>IF(D2270="","",VLOOKUP(D2270,契約台帳!$A$3:$L$4986,12,FALSE))</f>
        <v>38</v>
      </c>
      <c r="L2270" s="270" t="str">
        <f>IF(D2270="","",INDEX(製品マスタ!$Q$5:$Q$5002,MATCH(F2270&amp;K2270,製品マスタ!$AO$5:$AO$5002,0)))</f>
        <v>LUMIMAT</v>
      </c>
      <c r="M2270" s="39">
        <v>1005</v>
      </c>
      <c r="N2270" s="39">
        <v>8200</v>
      </c>
      <c r="O2270" s="47">
        <v>1</v>
      </c>
      <c r="P2270" s="57"/>
      <c r="Q2270" s="276">
        <f>IF(D2270="","",IF(J2270="リード付け",M2270,VLOOKUP(D2270,契約台帳!$A$3:$N$4986,14,FALSE)))</f>
        <v>1005</v>
      </c>
      <c r="R2270" s="277">
        <f>IF(D2270="","",IF(J2270="リード付け",M2270,VLOOKUP(D2270,契約台帳!$A$3:$O$4986,15,FALSE)))</f>
        <v>1000</v>
      </c>
      <c r="S2270" s="277">
        <f>IF(D2270="","",IF(J2270="リード付け",N2270,VLOOKUP(D2270,契約台帳!$A$3:$P$4986,16,FALSE)))</f>
        <v>4100</v>
      </c>
      <c r="T2270" s="40">
        <v>2</v>
      </c>
      <c r="U2270" s="278">
        <f ca="1">IF(D2270="","",IF(OFFSET(D2270,-2,0)=D2270,"",VLOOKUP(D2270,契約台帳!$A$3:$R$4986,18,FALSE)))</f>
        <v>2</v>
      </c>
      <c r="V2270" s="269" t="str">
        <f>IF(J2270="巻返し",VLOOKUP(F2270&amp;K2270&amp;M2270,製品マスタ!$M$5:$AD$5002,18,FALSE),IF(J2270="リード付け","原反コア",IF(J2270="スリット",VLOOKUP(F2270&amp;K2270&amp;Q2270,製品マスタ!$N$5:$AD$5002,17,FALSE),"")))</f>
        <v>6ｲﾝﾁSｺｱ</v>
      </c>
      <c r="W2270" s="269">
        <f>IF(J2270="巻返し",VLOOKUP(F2270&amp;K2270&amp;M2270,製品マスタ!$M$5:$AE$5002,19,FALSE),IF(J2270="リード付け","-",IF(J2270="スリット",VLOOKUP(F2270&amp;K2270&amp;Q2270,製品マスタ!$N$5:$AE$5002,18,FALSE),"")))</f>
        <v>1015</v>
      </c>
      <c r="X2270" s="275">
        <f>IF(D2270="","",VLOOKUP(D2270,契約台帳!$A$3:$Q$4986,17,FALSE))</f>
        <v>2</v>
      </c>
      <c r="Y2270" s="269" t="str">
        <f>IF(D2270="","",VLOOKUP(D2270,契約台帳!$A$3:$E$4986,5,FALSE))</f>
        <v>リンテック㈱</v>
      </c>
      <c r="Z2270" s="357"/>
      <c r="AA2270" s="207">
        <f>IFERROR(VLOOKUP(F2270&amp;K2270&amp;M2270,製品マスタ!$M$5:$AM$5002,27,FALSE),"")</f>
        <v>0</v>
      </c>
      <c r="AB2270" s="369"/>
      <c r="AC2270" s="370"/>
      <c r="AD2270" s="332" t="str">
        <f>IF(F2270="","",+F2270&amp;K2270)</f>
        <v>3SNMLBMNGKBF38</v>
      </c>
      <c r="AE2270" s="216">
        <f>+M2270*N2270*O2270/1000</f>
        <v>8241</v>
      </c>
      <c r="AF2270" s="43">
        <f>IF(AD2270="","",VLOOKUP(AD2270,原価マスタ!$A$2:$AJ$1693,13,FALSE))</f>
        <v>97.2</v>
      </c>
      <c r="AG2270" s="47">
        <f>IF(AF2270="","",+AE2270*AF2270/100)</f>
        <v>8010.2520000000004</v>
      </c>
      <c r="AH2270" s="30"/>
      <c r="AI2270" s="30"/>
      <c r="AJ2270" s="30"/>
      <c r="AK2270" s="30"/>
      <c r="AL2270" s="13"/>
      <c r="AM2270" s="13"/>
      <c r="AN2270" s="13"/>
      <c r="AO2270" s="13"/>
      <c r="AP2270" s="13"/>
      <c r="AQ2270" s="14"/>
      <c r="AR2270" s="15"/>
    </row>
    <row r="2271" spans="1:44" s="17" customFormat="1" ht="30.95" customHeight="1" x14ac:dyDescent="0.2">
      <c r="A2271" s="343"/>
      <c r="B2271" s="344"/>
      <c r="C2271" s="345"/>
      <c r="D2271" s="398"/>
      <c r="E2271" s="31"/>
      <c r="F2271" s="268"/>
      <c r="G2271" s="269"/>
      <c r="H2271" s="269"/>
      <c r="I2271" s="270"/>
      <c r="J2271" s="32"/>
      <c r="K2271" s="270"/>
      <c r="L2271" s="270"/>
      <c r="M2271" s="39"/>
      <c r="N2271" s="39"/>
      <c r="O2271" s="47"/>
      <c r="P2271" s="57"/>
      <c r="Q2271" s="276"/>
      <c r="R2271" s="277"/>
      <c r="S2271" s="277"/>
      <c r="T2271" s="40"/>
      <c r="U2271" s="278"/>
      <c r="V2271" s="269"/>
      <c r="W2271" s="269"/>
      <c r="X2271" s="275"/>
      <c r="Y2271" s="269"/>
      <c r="Z2271" s="357"/>
      <c r="AA2271" s="207"/>
      <c r="AB2271" s="369"/>
      <c r="AC2271" s="370"/>
      <c r="AD2271" s="332"/>
      <c r="AE2271" s="216"/>
      <c r="AF2271" s="43"/>
      <c r="AG2271" s="47"/>
      <c r="AH2271" s="30"/>
      <c r="AI2271" s="30"/>
      <c r="AJ2271" s="30"/>
      <c r="AK2271" s="30"/>
      <c r="AL2271" s="13"/>
      <c r="AM2271" s="13"/>
      <c r="AN2271" s="13"/>
      <c r="AO2271" s="13"/>
      <c r="AP2271" s="13"/>
      <c r="AQ2271" s="14"/>
      <c r="AR2271" s="15"/>
    </row>
    <row r="2272" spans="1:44" s="17" customFormat="1" ht="30.6" customHeight="1" x14ac:dyDescent="0.2">
      <c r="A2272" s="320"/>
      <c r="B2272" s="321"/>
      <c r="C2272" s="345"/>
      <c r="D2272" s="398">
        <v>3790258</v>
      </c>
      <c r="E2272" s="31"/>
      <c r="F2272" s="268" t="str">
        <f>IF(D2272="","",VLOOKUP(D2272,契約台帳!$A$3:$K$4986,6,FALSE)&amp;VLOOKUP(D2272,契約台帳!$A$3:$K$4986,7,FALSE)&amp;VLOOKUP(D2272,契約台帳!$A$3:$K$4986,8,FALSE)&amp;VLOOKUP(D2272,契約台帳!$A$3:$K$4986,9,FALSE)&amp;VLOOKUP(D2272,契約台帳!$A$3:$K$4986,11,FALSE))</f>
        <v>3SNMLBMNNGKBF</v>
      </c>
      <c r="G2272" s="269" t="str">
        <f>IF(D2272="","",VLOOKUP(F2272,製品マスタ!$G$5:$H$5002,2,FALSE))</f>
        <v>S</v>
      </c>
      <c r="H2272" s="269" t="str">
        <f>IF(D2272="","",VLOOKUP(F2272,製品マスタ!$G$5:$K$5002,5,FALSE))</f>
        <v>MNNGKBF</v>
      </c>
      <c r="I2272" s="270" t="str">
        <f>IF(D2272="","",VLOOKUP(F2272,製品マスタ!$G$5:$L$5002,6,FALSE))</f>
        <v>メタルミー　ニューネーマー銀消　Ｂ</v>
      </c>
      <c r="J2272" s="32" t="s">
        <v>447</v>
      </c>
      <c r="K2272" s="270">
        <f>IF(D2272="","",VLOOKUP(D2272,契約台帳!$A$3:$L$4986,12,FALSE))</f>
        <v>25</v>
      </c>
      <c r="L2272" s="270" t="str">
        <f>IF(D2272="","",INDEX(製品マスタ!$Q$5:$Q$5002,MATCH(F2272&amp;K2272,製品マスタ!$AO$5:$AO$5002,0)))</f>
        <v>X44C</v>
      </c>
      <c r="M2272" s="39">
        <v>1005</v>
      </c>
      <c r="N2272" s="39">
        <v>16000</v>
      </c>
      <c r="O2272" s="47">
        <v>1</v>
      </c>
      <c r="P2272" s="57"/>
      <c r="Q2272" s="276">
        <f>IF(D2272="","",IF(J2272="リード付け",M2272,VLOOKUP(D2272,契約台帳!$A$3:$N$4986,14,FALSE)))</f>
        <v>1005</v>
      </c>
      <c r="R2272" s="277">
        <f>IF(D2272="","",IF(J2272="リード付け",M2272,VLOOKUP(D2272,契約台帳!$A$3:$O$4986,15,FALSE)))</f>
        <v>1000</v>
      </c>
      <c r="S2272" s="277">
        <f>IF(D2272="","",IF(J2272="リード付け",N2272,VLOOKUP(D2272,契約台帳!$A$3:$P$4986,16,FALSE)))</f>
        <v>4000</v>
      </c>
      <c r="T2272" s="40">
        <v>4</v>
      </c>
      <c r="U2272" s="278">
        <f ca="1">IF(D2272="","",IF(OFFSET(D2272,-2,0)=D2272,"",VLOOKUP(D2272,契約台帳!$A$3:$R$4986,18,FALSE)))</f>
        <v>6</v>
      </c>
      <c r="V2272" s="269" t="str">
        <f>IF(J2272="巻返し",VLOOKUP(F2272&amp;K2272&amp;M2272,製品マスタ!$M$5:$AD$5002,18,FALSE),IF(J2272="リード付け","原反コア",IF(J2272="スリット",VLOOKUP(F2272&amp;K2272&amp;Q2272,製品マスタ!$N$5:$AD$5002,17,FALSE),"")))</f>
        <v>6ｲﾝﾁSｺｱ</v>
      </c>
      <c r="W2272" s="269">
        <f>IF(J2272="巻返し",VLOOKUP(F2272&amp;K2272&amp;M2272,製品マスタ!$M$5:$AE$5002,19,FALSE),IF(J2272="リード付け","-",IF(J2272="スリット",VLOOKUP(F2272&amp;K2272&amp;Q2272,製品マスタ!$N$5:$AE$5002,18,FALSE),"")))</f>
        <v>1015</v>
      </c>
      <c r="X2272" s="275">
        <f>IF(D2272="","",VLOOKUP(D2272,契約台帳!$A$3:$Q$4986,17,FALSE))</f>
        <v>2</v>
      </c>
      <c r="Y2272" s="269" t="str">
        <f>IF(D2272="","",VLOOKUP(D2272,契約台帳!$A$3:$E$4986,5,FALSE))</f>
        <v>リンテック㈱</v>
      </c>
      <c r="Z2272" s="357"/>
      <c r="AA2272" s="207">
        <f>IFERROR(VLOOKUP(F2272&amp;K2272&amp;M2272,製品マスタ!$M$5:$AM$5002,27,FALSE),"")</f>
        <v>0</v>
      </c>
      <c r="AB2272" s="369"/>
      <c r="AC2272" s="370"/>
      <c r="AD2272" s="332" t="str">
        <f>IF(F2272="","",+F2272&amp;K2272)</f>
        <v>3SNMLBMNNGKBF25</v>
      </c>
      <c r="AE2272" s="216">
        <f>+M2272*N2272*O2272/1000</f>
        <v>16080</v>
      </c>
      <c r="AF2272" s="43">
        <f>IF(AD2272="","",VLOOKUP(AD2272,原価マスタ!$A$2:$AJ$1693,13,FALSE))</f>
        <v>98.3</v>
      </c>
      <c r="AG2272" s="47">
        <f>IF(AF2272="","",+AE2272*AF2272/100)</f>
        <v>15806.64</v>
      </c>
      <c r="AH2272" s="30"/>
      <c r="AI2272" s="30"/>
      <c r="AJ2272" s="30"/>
      <c r="AK2272" s="30"/>
      <c r="AL2272" s="13"/>
      <c r="AM2272" s="13"/>
      <c r="AN2272" s="13"/>
      <c r="AO2272" s="13"/>
      <c r="AP2272" s="13"/>
      <c r="AQ2272" s="14"/>
      <c r="AR2272" s="15"/>
    </row>
    <row r="2273" spans="1:44" s="17" customFormat="1" ht="30.95" customHeight="1" x14ac:dyDescent="0.2">
      <c r="A2273" s="343"/>
      <c r="B2273" s="344"/>
      <c r="C2273" s="345"/>
      <c r="D2273" s="398"/>
      <c r="E2273" s="31"/>
      <c r="F2273" s="268"/>
      <c r="G2273" s="269"/>
      <c r="H2273" s="269"/>
      <c r="I2273" s="270"/>
      <c r="J2273" s="32"/>
      <c r="K2273" s="270"/>
      <c r="L2273" s="270"/>
      <c r="M2273" s="39"/>
      <c r="N2273" s="39"/>
      <c r="O2273" s="47"/>
      <c r="P2273" s="57"/>
      <c r="Q2273" s="276"/>
      <c r="R2273" s="277"/>
      <c r="S2273" s="277"/>
      <c r="T2273" s="40"/>
      <c r="U2273" s="278"/>
      <c r="V2273" s="269"/>
      <c r="W2273" s="269"/>
      <c r="X2273" s="275"/>
      <c r="Y2273" s="269"/>
      <c r="Z2273" s="357"/>
      <c r="AA2273" s="207"/>
      <c r="AB2273" s="369"/>
      <c r="AC2273" s="370"/>
      <c r="AD2273" s="332"/>
      <c r="AE2273" s="216"/>
      <c r="AF2273" s="43"/>
      <c r="AG2273" s="47"/>
      <c r="AH2273" s="30"/>
      <c r="AI2273" s="30"/>
      <c r="AJ2273" s="30"/>
      <c r="AK2273" s="30"/>
      <c r="AL2273" s="13"/>
      <c r="AM2273" s="13"/>
      <c r="AN2273" s="13"/>
      <c r="AO2273" s="13"/>
      <c r="AP2273" s="13"/>
      <c r="AQ2273" s="14"/>
      <c r="AR2273" s="15"/>
    </row>
    <row r="2274" spans="1:44" s="17" customFormat="1" ht="30.6" customHeight="1" x14ac:dyDescent="0.2">
      <c r="A2274" s="320"/>
      <c r="B2274" s="321"/>
      <c r="C2274" s="345"/>
      <c r="D2274" s="398">
        <v>3790258</v>
      </c>
      <c r="E2274" s="31"/>
      <c r="F2274" s="268" t="str">
        <f>IF(D2274="","",VLOOKUP(D2274,契約台帳!$A$3:$K$4986,6,FALSE)&amp;VLOOKUP(D2274,契約台帳!$A$3:$K$4986,7,FALSE)&amp;VLOOKUP(D2274,契約台帳!$A$3:$K$4986,8,FALSE)&amp;VLOOKUP(D2274,契約台帳!$A$3:$K$4986,9,FALSE)&amp;VLOOKUP(D2274,契約台帳!$A$3:$K$4986,11,FALSE))</f>
        <v>3SNMLBMNNGKBF</v>
      </c>
      <c r="G2274" s="269" t="str">
        <f>IF(D2274="","",VLOOKUP(F2274,製品マスタ!$G$5:$H$5002,2,FALSE))</f>
        <v>S</v>
      </c>
      <c r="H2274" s="269" t="str">
        <f>IF(D2274="","",VLOOKUP(F2274,製品マスタ!$G$5:$K$5002,5,FALSE))</f>
        <v>MNNGKBF</v>
      </c>
      <c r="I2274" s="270" t="str">
        <f>IF(D2274="","",VLOOKUP(F2274,製品マスタ!$G$5:$L$5002,6,FALSE))</f>
        <v>メタルミー　ニューネーマー銀消　Ｂ</v>
      </c>
      <c r="J2274" s="32" t="s">
        <v>447</v>
      </c>
      <c r="K2274" s="270">
        <f>IF(D2274="","",VLOOKUP(D2274,契約台帳!$A$3:$L$4986,12,FALSE))</f>
        <v>25</v>
      </c>
      <c r="L2274" s="270" t="str">
        <f>IF(D2274="","",INDEX(製品マスタ!$Q$5:$Q$5002,MATCH(F2274&amp;K2274,製品マスタ!$AO$5:$AO$5002,0)))</f>
        <v>X44C</v>
      </c>
      <c r="M2274" s="39">
        <v>1005</v>
      </c>
      <c r="N2274" s="39">
        <v>8000</v>
      </c>
      <c r="O2274" s="47">
        <v>1</v>
      </c>
      <c r="P2274" s="57"/>
      <c r="Q2274" s="276">
        <f>IF(D2274="","",IF(J2274="リード付け",M2274,VLOOKUP(D2274,契約台帳!$A$3:$N$4986,14,FALSE)))</f>
        <v>1005</v>
      </c>
      <c r="R2274" s="277">
        <f>IF(D2274="","",IF(J2274="リード付け",M2274,VLOOKUP(D2274,契約台帳!$A$3:$O$4986,15,FALSE)))</f>
        <v>1000</v>
      </c>
      <c r="S2274" s="277">
        <f>IF(D2274="","",IF(J2274="リード付け",N2274,VLOOKUP(D2274,契約台帳!$A$3:$P$4986,16,FALSE)))</f>
        <v>4000</v>
      </c>
      <c r="T2274" s="40">
        <v>2</v>
      </c>
      <c r="U2274" s="278" t="str">
        <f ca="1">IF(D2274="","",IF(OFFSET(D2274,-2,0)=D2274,"",VLOOKUP(D2274,契約台帳!$A$3:$R$4986,18,FALSE)))</f>
        <v/>
      </c>
      <c r="V2274" s="269" t="str">
        <f>IF(J2274="巻返し",VLOOKUP(F2274&amp;K2274&amp;M2274,製品マスタ!$M$5:$AD$5002,18,FALSE),IF(J2274="リード付け","原反コア",IF(J2274="スリット",VLOOKUP(F2274&amp;K2274&amp;Q2274,製品マスタ!$N$5:$AD$5002,17,FALSE),"")))</f>
        <v>6ｲﾝﾁSｺｱ</v>
      </c>
      <c r="W2274" s="269">
        <f>IF(J2274="巻返し",VLOOKUP(F2274&amp;K2274&amp;M2274,製品マスタ!$M$5:$AE$5002,19,FALSE),IF(J2274="リード付け","-",IF(J2274="スリット",VLOOKUP(F2274&amp;K2274&amp;Q2274,製品マスタ!$N$5:$AE$5002,18,FALSE),"")))</f>
        <v>1015</v>
      </c>
      <c r="X2274" s="275">
        <f>IF(D2274="","",VLOOKUP(D2274,契約台帳!$A$3:$Q$4986,17,FALSE))</f>
        <v>2</v>
      </c>
      <c r="Y2274" s="269" t="str">
        <f>IF(D2274="","",VLOOKUP(D2274,契約台帳!$A$3:$E$4986,5,FALSE))</f>
        <v>リンテック㈱</v>
      </c>
      <c r="Z2274" s="357"/>
      <c r="AA2274" s="207">
        <f>IFERROR(VLOOKUP(F2274&amp;K2274&amp;M2274,製品マスタ!$M$5:$AM$5002,27,FALSE),"")</f>
        <v>0</v>
      </c>
      <c r="AB2274" s="369"/>
      <c r="AC2274" s="370"/>
      <c r="AD2274" s="332" t="str">
        <f>IF(F2274="","",+F2274&amp;K2274)</f>
        <v>3SNMLBMNNGKBF25</v>
      </c>
      <c r="AE2274" s="216">
        <f>+M2274*N2274*O2274/1000</f>
        <v>8040</v>
      </c>
      <c r="AF2274" s="43">
        <f>IF(AD2274="","",VLOOKUP(AD2274,原価マスタ!$A$2:$AJ$1693,13,FALSE))</f>
        <v>98.3</v>
      </c>
      <c r="AG2274" s="47">
        <f>IF(AF2274="","",+AE2274*AF2274/100)</f>
        <v>7903.32</v>
      </c>
      <c r="AH2274" s="30"/>
      <c r="AI2274" s="30"/>
      <c r="AJ2274" s="30"/>
      <c r="AK2274" s="30"/>
      <c r="AL2274" s="13"/>
      <c r="AM2274" s="13"/>
      <c r="AN2274" s="13"/>
      <c r="AO2274" s="13"/>
      <c r="AP2274" s="13"/>
      <c r="AQ2274" s="14"/>
      <c r="AR2274" s="15"/>
    </row>
    <row r="2275" spans="1:44" s="17" customFormat="1" ht="30.95" customHeight="1" x14ac:dyDescent="0.2">
      <c r="A2275" s="343"/>
      <c r="B2275" s="344"/>
      <c r="C2275" s="345"/>
      <c r="D2275" s="398"/>
      <c r="E2275" s="31"/>
      <c r="F2275" s="268"/>
      <c r="G2275" s="269"/>
      <c r="H2275" s="269"/>
      <c r="I2275" s="270"/>
      <c r="J2275" s="32"/>
      <c r="K2275" s="270"/>
      <c r="L2275" s="270"/>
      <c r="M2275" s="39"/>
      <c r="N2275" s="39"/>
      <c r="O2275" s="47"/>
      <c r="P2275" s="57"/>
      <c r="Q2275" s="276"/>
      <c r="R2275" s="277"/>
      <c r="S2275" s="277"/>
      <c r="T2275" s="40"/>
      <c r="U2275" s="278"/>
      <c r="V2275" s="269"/>
      <c r="W2275" s="269"/>
      <c r="X2275" s="275"/>
      <c r="Y2275" s="269"/>
      <c r="Z2275" s="357"/>
      <c r="AA2275" s="207"/>
      <c r="AB2275" s="369"/>
      <c r="AC2275" s="370"/>
      <c r="AD2275" s="332"/>
      <c r="AE2275" s="216"/>
      <c r="AF2275" s="43"/>
      <c r="AG2275" s="47"/>
      <c r="AH2275" s="30"/>
      <c r="AI2275" s="30"/>
      <c r="AJ2275" s="30"/>
      <c r="AK2275" s="30"/>
      <c r="AL2275" s="13"/>
      <c r="AM2275" s="13"/>
      <c r="AN2275" s="13"/>
      <c r="AO2275" s="13"/>
      <c r="AP2275" s="13"/>
      <c r="AQ2275" s="14"/>
      <c r="AR2275" s="15"/>
    </row>
    <row r="2276" spans="1:44" s="17" customFormat="1" ht="30.95" customHeight="1" x14ac:dyDescent="0.2">
      <c r="A2276" s="343" t="s">
        <v>3448</v>
      </c>
      <c r="B2276" s="344" t="s">
        <v>3437</v>
      </c>
      <c r="C2276" s="345"/>
      <c r="D2276" s="398"/>
      <c r="E2276" s="31"/>
      <c r="F2276" s="268"/>
      <c r="G2276" s="269"/>
      <c r="H2276" s="269"/>
      <c r="I2276" s="270"/>
      <c r="J2276" s="32" t="s">
        <v>3444</v>
      </c>
      <c r="K2276" s="270"/>
      <c r="L2276" s="270"/>
      <c r="M2276" s="39"/>
      <c r="N2276" s="39"/>
      <c r="O2276" s="47"/>
      <c r="P2276" s="57"/>
      <c r="Q2276" s="276"/>
      <c r="R2276" s="277"/>
      <c r="S2276" s="277"/>
      <c r="T2276" s="40"/>
      <c r="U2276" s="278"/>
      <c r="V2276" s="269"/>
      <c r="W2276" s="269"/>
      <c r="X2276" s="275"/>
      <c r="Y2276" s="269"/>
      <c r="Z2276" s="357"/>
      <c r="AA2276" s="207"/>
      <c r="AB2276" s="369"/>
      <c r="AC2276" s="370"/>
      <c r="AD2276" s="332"/>
      <c r="AE2276" s="216"/>
      <c r="AF2276" s="43"/>
      <c r="AG2276" s="47"/>
      <c r="AH2276" s="30"/>
      <c r="AI2276" s="30"/>
      <c r="AJ2276" s="30"/>
      <c r="AK2276" s="30"/>
      <c r="AL2276" s="13"/>
      <c r="AM2276" s="13"/>
      <c r="AN2276" s="13"/>
      <c r="AO2276" s="13"/>
      <c r="AP2276" s="13"/>
      <c r="AQ2276" s="14"/>
      <c r="AR2276" s="15"/>
    </row>
    <row r="2277" spans="1:44" s="17" customFormat="1" ht="30.95" customHeight="1" x14ac:dyDescent="0.2">
      <c r="A2277" s="343"/>
      <c r="B2277" s="344"/>
      <c r="C2277" s="345"/>
      <c r="D2277" s="398"/>
      <c r="E2277" s="31"/>
      <c r="F2277" s="268"/>
      <c r="G2277" s="269"/>
      <c r="H2277" s="269"/>
      <c r="I2277" s="270"/>
      <c r="J2277" s="32"/>
      <c r="K2277" s="270"/>
      <c r="L2277" s="270"/>
      <c r="M2277" s="39"/>
      <c r="N2277" s="39"/>
      <c r="O2277" s="47"/>
      <c r="P2277" s="57"/>
      <c r="Q2277" s="276"/>
      <c r="R2277" s="277"/>
      <c r="S2277" s="277"/>
      <c r="T2277" s="40"/>
      <c r="U2277" s="278"/>
      <c r="V2277" s="269"/>
      <c r="W2277" s="269"/>
      <c r="X2277" s="275"/>
      <c r="Y2277" s="269"/>
      <c r="Z2277" s="357"/>
      <c r="AA2277" s="207"/>
      <c r="AB2277" s="369"/>
      <c r="AC2277" s="370"/>
      <c r="AD2277" s="332"/>
      <c r="AE2277" s="216"/>
      <c r="AF2277" s="43"/>
      <c r="AG2277" s="47"/>
      <c r="AH2277" s="30"/>
      <c r="AI2277" s="30"/>
      <c r="AJ2277" s="30"/>
      <c r="AK2277" s="30"/>
      <c r="AL2277" s="13"/>
      <c r="AM2277" s="13"/>
      <c r="AN2277" s="13"/>
      <c r="AO2277" s="13"/>
      <c r="AP2277" s="13"/>
      <c r="AQ2277" s="14"/>
      <c r="AR2277" s="15"/>
    </row>
    <row r="2278" spans="1:44" s="17" customFormat="1" ht="30.6" customHeight="1" x14ac:dyDescent="0.2">
      <c r="A2278" s="320" t="s">
        <v>3468</v>
      </c>
      <c r="B2278" s="321" t="s">
        <v>3469</v>
      </c>
      <c r="C2278" s="345"/>
      <c r="D2278" s="398">
        <v>3790251</v>
      </c>
      <c r="E2278" s="31"/>
      <c r="F2278" s="268" t="str">
        <f>IF(D2278="","",VLOOKUP(D2278,契約台帳!$A$3:$K$4986,6,FALSE)&amp;VLOOKUP(D2278,契約台帳!$A$3:$K$4986,7,FALSE)&amp;VLOOKUP(D2278,契約台帳!$A$3:$K$4986,8,FALSE)&amp;VLOOKUP(D2278,契約台帳!$A$3:$K$4986,9,FALSE)&amp;VLOOKUP(D2278,契約台帳!$A$3:$K$4986,11,FALSE))</f>
        <v>3SNMLBMNGKKBF</v>
      </c>
      <c r="G2278" s="269" t="str">
        <f>IF(D2278="","",VLOOKUP(F2278,製品マスタ!$G$5:$H$5002,2,FALSE))</f>
        <v>S</v>
      </c>
      <c r="H2278" s="269" t="str">
        <f>IF(D2278="","",VLOOKUP(F2278,製品マスタ!$G$5:$K$5002,5,FALSE))</f>
        <v>MNGKKBF</v>
      </c>
      <c r="I2278" s="270" t="str">
        <f>IF(D2278="","",VLOOKUP(F2278,製品マスタ!$G$5:$L$5002,6,FALSE))</f>
        <v>メタルミー　ネーマー銀消改　Ｂ</v>
      </c>
      <c r="J2278" s="32" t="s">
        <v>447</v>
      </c>
      <c r="K2278" s="270">
        <f>IF(D2278="","",VLOOKUP(D2278,契約台帳!$A$3:$L$4986,12,FALSE))</f>
        <v>50</v>
      </c>
      <c r="L2278" s="270" t="str">
        <f>IF(D2278="","",INDEX(製品マスタ!$Q$5:$Q$5002,MATCH(F2278&amp;K2278,製品マスタ!$AO$5:$AO$5002,0)))</f>
        <v>S99-MAT</v>
      </c>
      <c r="M2278" s="39">
        <v>1000</v>
      </c>
      <c r="N2278" s="39">
        <v>8000</v>
      </c>
      <c r="O2278" s="47">
        <v>1</v>
      </c>
      <c r="P2278" s="57"/>
      <c r="Q2278" s="276">
        <f>IF(D2278="","",IF(J2278="リード付け",M2278,VLOOKUP(D2278,契約台帳!$A$3:$N$4986,14,FALSE)))</f>
        <v>1000</v>
      </c>
      <c r="R2278" s="277">
        <f>IF(D2278="","",IF(J2278="リード付け",M2278,VLOOKUP(D2278,契約台帳!$A$3:$O$4986,15,FALSE)))</f>
        <v>1000</v>
      </c>
      <c r="S2278" s="277">
        <f>IF(D2278="","",IF(J2278="リード付け",N2278,VLOOKUP(D2278,契約台帳!$A$3:$P$4986,16,FALSE)))</f>
        <v>4000</v>
      </c>
      <c r="T2278" s="40">
        <v>2</v>
      </c>
      <c r="U2278" s="278">
        <f ca="1">IF(D2278="","",IF(OFFSET(D2278,-2,0)=D2278,"",VLOOKUP(D2278,契約台帳!$A$3:$R$4986,18,FALSE)))</f>
        <v>2</v>
      </c>
      <c r="V2278" s="269" t="str">
        <f>IF(J2278="巻返し",VLOOKUP(F2278&amp;K2278&amp;M2278,製品マスタ!$M$5:$AD$5002,18,FALSE),IF(J2278="リード付け","原反コア",IF(J2278="スリット",VLOOKUP(F2278&amp;K2278&amp;Q2278,製品マスタ!$N$5:$AD$5002,17,FALSE),"")))</f>
        <v>6ｲﾝﾁSｺｱ</v>
      </c>
      <c r="W2278" s="269">
        <f>IF(J2278="巻返し",VLOOKUP(F2278&amp;K2278&amp;M2278,製品マスタ!$M$5:$AE$5002,19,FALSE),IF(J2278="リード付け","-",IF(J2278="スリット",VLOOKUP(F2278&amp;K2278&amp;Q2278,製品マスタ!$N$5:$AE$5002,18,FALSE),"")))</f>
        <v>1005</v>
      </c>
      <c r="X2278" s="275">
        <f>IF(D2278="","",VLOOKUP(D2278,契約台帳!$A$3:$Q$4986,17,FALSE))</f>
        <v>2</v>
      </c>
      <c r="Y2278" s="269" t="str">
        <f>IF(D2278="","",VLOOKUP(D2278,契約台帳!$A$3:$E$4986,5,FALSE))</f>
        <v>リンテック㈱</v>
      </c>
      <c r="Z2278" s="357"/>
      <c r="AA2278" s="207">
        <f>IFERROR(VLOOKUP(F2278&amp;K2278&amp;M2278,製品マスタ!$M$5:$AM$5002,27,FALSE),"")</f>
        <v>0</v>
      </c>
      <c r="AB2278" s="369"/>
      <c r="AC2278" s="370"/>
      <c r="AD2278" s="332" t="str">
        <f>IF(F2278="","",+F2278&amp;K2278)</f>
        <v>3SNMLBMNGKKBF50</v>
      </c>
      <c r="AE2278" s="216">
        <f>+M2278*N2278*O2278/1000</f>
        <v>8000</v>
      </c>
      <c r="AF2278" s="43">
        <f>IF(AD2278="","",VLOOKUP(AD2278,原価マスタ!$A$2:$AJ$1693,13,FALSE))</f>
        <v>99</v>
      </c>
      <c r="AG2278" s="47">
        <f>IF(AF2278="","",+AE2278*AF2278/100)</f>
        <v>7920</v>
      </c>
      <c r="AH2278" s="30"/>
      <c r="AI2278" s="30"/>
      <c r="AJ2278" s="30"/>
      <c r="AK2278" s="30"/>
      <c r="AL2278" s="13"/>
      <c r="AM2278" s="13"/>
      <c r="AN2278" s="13"/>
      <c r="AO2278" s="13"/>
      <c r="AP2278" s="13"/>
      <c r="AQ2278" s="14"/>
      <c r="AR2278" s="15"/>
    </row>
    <row r="2279" spans="1:44" s="17" customFormat="1" ht="30.95" customHeight="1" x14ac:dyDescent="0.2">
      <c r="A2279" s="343"/>
      <c r="B2279" s="344"/>
      <c r="C2279" s="345"/>
      <c r="D2279" s="398"/>
      <c r="E2279" s="31"/>
      <c r="F2279" s="268"/>
      <c r="G2279" s="269"/>
      <c r="H2279" s="269"/>
      <c r="I2279" s="270"/>
      <c r="J2279" s="32"/>
      <c r="K2279" s="270"/>
      <c r="L2279" s="270"/>
      <c r="M2279" s="39"/>
      <c r="N2279" s="39"/>
      <c r="O2279" s="47"/>
      <c r="P2279" s="57"/>
      <c r="Q2279" s="276"/>
      <c r="R2279" s="277"/>
      <c r="S2279" s="277"/>
      <c r="T2279" s="40"/>
      <c r="U2279" s="278"/>
      <c r="V2279" s="269"/>
      <c r="W2279" s="269"/>
      <c r="X2279" s="275"/>
      <c r="Y2279" s="269"/>
      <c r="Z2279" s="357"/>
      <c r="AA2279" s="207"/>
      <c r="AB2279" s="369"/>
      <c r="AC2279" s="370"/>
      <c r="AD2279" s="332"/>
      <c r="AE2279" s="216"/>
      <c r="AF2279" s="43"/>
      <c r="AG2279" s="47"/>
      <c r="AH2279" s="30"/>
      <c r="AI2279" s="30"/>
      <c r="AJ2279" s="30"/>
      <c r="AK2279" s="30"/>
      <c r="AL2279" s="13"/>
      <c r="AM2279" s="13"/>
      <c r="AN2279" s="13"/>
      <c r="AO2279" s="13"/>
      <c r="AP2279" s="13"/>
      <c r="AQ2279" s="14"/>
      <c r="AR2279" s="15"/>
    </row>
    <row r="2280" spans="1:44" s="17" customFormat="1" ht="30.6" customHeight="1" x14ac:dyDescent="0.2">
      <c r="A2280" s="320"/>
      <c r="B2280" s="321"/>
      <c r="C2280" s="345"/>
      <c r="D2280" s="398">
        <v>3790259</v>
      </c>
      <c r="E2280" s="31"/>
      <c r="F2280" s="268" t="str">
        <f>IF(D2280="","",VLOOKUP(D2280,契約台帳!$A$3:$K$4986,6,FALSE)&amp;VLOOKUP(D2280,契約台帳!$A$3:$K$4986,7,FALSE)&amp;VLOOKUP(D2280,契約台帳!$A$3:$K$4986,8,FALSE)&amp;VLOOKUP(D2280,契約台帳!$A$3:$K$4986,9,FALSE)&amp;VLOOKUP(D2280,契約台帳!$A$3:$K$4986,11,FALSE))</f>
        <v>3SNMLBMNNGKBF</v>
      </c>
      <c r="G2280" s="269" t="str">
        <f>IF(D2280="","",VLOOKUP(F2280,製品マスタ!$G$5:$H$5002,2,FALSE))</f>
        <v>S</v>
      </c>
      <c r="H2280" s="269" t="str">
        <f>IF(D2280="","",VLOOKUP(F2280,製品マスタ!$G$5:$K$5002,5,FALSE))</f>
        <v>MNNGKBF</v>
      </c>
      <c r="I2280" s="270" t="str">
        <f>IF(D2280="","",VLOOKUP(F2280,製品マスタ!$G$5:$L$5002,6,FALSE))</f>
        <v>メタルミー　ニューネーマー銀消　Ｂ</v>
      </c>
      <c r="J2280" s="32" t="s">
        <v>447</v>
      </c>
      <c r="K2280" s="270">
        <f>IF(D2280="","",VLOOKUP(D2280,契約台帳!$A$3:$L$4986,12,FALSE))</f>
        <v>50</v>
      </c>
      <c r="L2280" s="270" t="str">
        <f>IF(D2280="","",INDEX(製品マスタ!$Q$5:$Q$5002,MATCH(F2280&amp;K2280,製品マスタ!$AO$5:$AO$5002,0)))</f>
        <v>X44</v>
      </c>
      <c r="M2280" s="39">
        <v>1000</v>
      </c>
      <c r="N2280" s="39">
        <v>12000</v>
      </c>
      <c r="O2280" s="47">
        <v>5</v>
      </c>
      <c r="P2280" s="57"/>
      <c r="Q2280" s="276">
        <f>IF(D2280="","",IF(J2280="リード付け",M2280,VLOOKUP(D2280,契約台帳!$A$3:$N$4986,14,FALSE)))</f>
        <v>1000</v>
      </c>
      <c r="R2280" s="277">
        <f>IF(D2280="","",IF(J2280="リード付け",M2280,VLOOKUP(D2280,契約台帳!$A$3:$O$4986,15,FALSE)))</f>
        <v>1000</v>
      </c>
      <c r="S2280" s="277">
        <f>IF(D2280="","",IF(J2280="リード付け",N2280,VLOOKUP(D2280,契約台帳!$A$3:$P$4986,16,FALSE)))</f>
        <v>4000</v>
      </c>
      <c r="T2280" s="40">
        <v>15</v>
      </c>
      <c r="U2280" s="278">
        <f ca="1">IF(D2280="","",IF(OFFSET(D2280,-2,0)=D2280,"",VLOOKUP(D2280,契約台帳!$A$3:$R$4986,18,FALSE)))</f>
        <v>15</v>
      </c>
      <c r="V2280" s="269" t="str">
        <f>IF(J2280="巻返し",VLOOKUP(F2280&amp;K2280&amp;M2280,製品マスタ!$M$5:$AD$5002,18,FALSE),IF(J2280="リード付け","原反コア",IF(J2280="スリット",VLOOKUP(F2280&amp;K2280&amp;Q2280,製品マスタ!$N$5:$AD$5002,17,FALSE),"")))</f>
        <v>6ｲﾝﾁSｺｱ</v>
      </c>
      <c r="W2280" s="269">
        <f>IF(J2280="巻返し",VLOOKUP(F2280&amp;K2280&amp;M2280,製品マスタ!$M$5:$AE$5002,19,FALSE),IF(J2280="リード付け","-",IF(J2280="スリット",VLOOKUP(F2280&amp;K2280&amp;Q2280,製品マスタ!$N$5:$AE$5002,18,FALSE),"")))</f>
        <v>1005</v>
      </c>
      <c r="X2280" s="275">
        <f>IF(D2280="","",VLOOKUP(D2280,契約台帳!$A$3:$Q$4986,17,FALSE))</f>
        <v>2</v>
      </c>
      <c r="Y2280" s="269" t="str">
        <f>IF(D2280="","",VLOOKUP(D2280,契約台帳!$A$3:$E$4986,5,FALSE))</f>
        <v>リンテック㈱</v>
      </c>
      <c r="Z2280" s="357"/>
      <c r="AA2280" s="207" t="str">
        <f>IFERROR(VLOOKUP(F2280&amp;K2280&amp;M2280,製品マスタ!$M$5:$AM$5002,27,FALSE),"")</f>
        <v>原反ケース再利用</v>
      </c>
      <c r="AB2280" s="369"/>
      <c r="AC2280" s="370"/>
      <c r="AD2280" s="332" t="str">
        <f>IF(F2280="","",+F2280&amp;K2280)</f>
        <v>3SNMLBMNNGKBF50</v>
      </c>
      <c r="AE2280" s="216">
        <f>+M2280*N2280*O2280/1000</f>
        <v>60000</v>
      </c>
      <c r="AF2280" s="43">
        <f>IF(AD2280="","",VLOOKUP(AD2280,原価マスタ!$A$2:$AJ$1693,13,FALSE))</f>
        <v>99</v>
      </c>
      <c r="AG2280" s="47">
        <f>IF(AF2280="","",+AE2280*AF2280/100)</f>
        <v>59400</v>
      </c>
      <c r="AH2280" s="30"/>
      <c r="AI2280" s="30"/>
      <c r="AJ2280" s="30"/>
      <c r="AK2280" s="30"/>
      <c r="AL2280" s="13"/>
      <c r="AM2280" s="13"/>
      <c r="AN2280" s="13"/>
      <c r="AO2280" s="13"/>
      <c r="AP2280" s="13"/>
      <c r="AQ2280" s="14"/>
      <c r="AR2280" s="15"/>
    </row>
    <row r="2281" spans="1:44" s="17" customFormat="1" ht="30.95" customHeight="1" x14ac:dyDescent="0.2">
      <c r="A2281" s="343"/>
      <c r="B2281" s="344"/>
      <c r="C2281" s="345"/>
      <c r="D2281" s="398"/>
      <c r="E2281" s="31"/>
      <c r="F2281" s="268"/>
      <c r="G2281" s="269"/>
      <c r="H2281" s="269"/>
      <c r="I2281" s="270"/>
      <c r="J2281" s="32"/>
      <c r="K2281" s="270"/>
      <c r="L2281" s="270"/>
      <c r="M2281" s="39"/>
      <c r="N2281" s="39"/>
      <c r="O2281" s="47"/>
      <c r="P2281" s="57"/>
      <c r="Q2281" s="276"/>
      <c r="R2281" s="277"/>
      <c r="S2281" s="277"/>
      <c r="T2281" s="40"/>
      <c r="U2281" s="278"/>
      <c r="V2281" s="269"/>
      <c r="W2281" s="269"/>
      <c r="X2281" s="275"/>
      <c r="Y2281" s="269"/>
      <c r="Z2281" s="357"/>
      <c r="AA2281" s="207"/>
      <c r="AB2281" s="369"/>
      <c r="AC2281" s="370"/>
      <c r="AD2281" s="332"/>
      <c r="AE2281" s="216"/>
      <c r="AF2281" s="43"/>
      <c r="AG2281" s="47"/>
      <c r="AH2281" s="30"/>
      <c r="AI2281" s="30"/>
      <c r="AJ2281" s="30"/>
      <c r="AK2281" s="30"/>
      <c r="AL2281" s="13"/>
      <c r="AM2281" s="13"/>
      <c r="AN2281" s="13"/>
      <c r="AO2281" s="13"/>
      <c r="AP2281" s="13"/>
      <c r="AQ2281" s="14"/>
      <c r="AR2281" s="15"/>
    </row>
    <row r="2282" spans="1:44" s="17" customFormat="1" ht="30.95" customHeight="1" x14ac:dyDescent="0.2">
      <c r="A2282" s="343" t="s">
        <v>3470</v>
      </c>
      <c r="B2282" s="344" t="s">
        <v>3471</v>
      </c>
      <c r="C2282" s="345"/>
      <c r="D2282" s="448" t="s">
        <v>3086</v>
      </c>
      <c r="E2282" s="414" t="s">
        <v>1277</v>
      </c>
      <c r="F2282" s="268" t="s">
        <v>2823</v>
      </c>
      <c r="G2282" s="269" t="s">
        <v>452</v>
      </c>
      <c r="H2282" s="269" t="s">
        <v>3335</v>
      </c>
      <c r="I2282" s="270" t="s">
        <v>3454</v>
      </c>
      <c r="J2282" s="32" t="s">
        <v>935</v>
      </c>
      <c r="K2282" s="270">
        <v>25</v>
      </c>
      <c r="L2282" s="270" t="s">
        <v>2813</v>
      </c>
      <c r="M2282" s="39">
        <v>1200</v>
      </c>
      <c r="N2282" s="39">
        <v>10000</v>
      </c>
      <c r="O2282" s="47">
        <v>1</v>
      </c>
      <c r="P2282" s="57"/>
      <c r="Q2282" s="276">
        <v>1050</v>
      </c>
      <c r="R2282" s="277">
        <v>1050</v>
      </c>
      <c r="S2282" s="277">
        <v>8000</v>
      </c>
      <c r="T2282" s="40">
        <v>1</v>
      </c>
      <c r="U2282" s="278">
        <v>1</v>
      </c>
      <c r="V2282" s="269" t="s">
        <v>272</v>
      </c>
      <c r="W2282" s="269">
        <v>1250</v>
      </c>
      <c r="X2282" s="275">
        <v>2</v>
      </c>
      <c r="Y2282" s="269" t="s">
        <v>3472</v>
      </c>
      <c r="Z2282" s="357"/>
      <c r="AA2282" s="207" t="s">
        <v>2814</v>
      </c>
      <c r="AB2282" s="369"/>
      <c r="AC2282" s="370"/>
      <c r="AD2282" s="332"/>
      <c r="AE2282" s="216"/>
      <c r="AF2282" s="43"/>
      <c r="AG2282" s="47"/>
      <c r="AH2282" s="30"/>
      <c r="AI2282" s="30"/>
      <c r="AJ2282" s="30"/>
      <c r="AK2282" s="30"/>
      <c r="AL2282" s="13"/>
      <c r="AM2282" s="13"/>
      <c r="AN2282" s="13"/>
      <c r="AO2282" s="13"/>
      <c r="AP2282" s="13"/>
      <c r="AQ2282" s="14"/>
      <c r="AR2282" s="15"/>
    </row>
    <row r="2283" spans="1:44" s="17" customFormat="1" ht="30.95" customHeight="1" x14ac:dyDescent="0.2">
      <c r="A2283" s="343"/>
      <c r="B2283" s="344"/>
      <c r="C2283" s="345"/>
      <c r="D2283" s="398"/>
      <c r="E2283" s="31"/>
      <c r="F2283" s="268" t="s">
        <v>2823</v>
      </c>
      <c r="G2283" s="269" t="s">
        <v>452</v>
      </c>
      <c r="H2283" s="269" t="s">
        <v>3335</v>
      </c>
      <c r="I2283" s="270" t="s">
        <v>3459</v>
      </c>
      <c r="J2283" s="32" t="s">
        <v>935</v>
      </c>
      <c r="K2283" s="270">
        <v>25</v>
      </c>
      <c r="L2283" s="270" t="s">
        <v>3457</v>
      </c>
      <c r="M2283" s="39"/>
      <c r="N2283" s="39"/>
      <c r="O2283" s="47"/>
      <c r="P2283" s="57"/>
      <c r="Q2283" s="276">
        <v>1050</v>
      </c>
      <c r="R2283" s="277">
        <v>1050</v>
      </c>
      <c r="S2283" s="277">
        <v>2000</v>
      </c>
      <c r="T2283" s="40">
        <v>1</v>
      </c>
      <c r="U2283" s="278">
        <v>1</v>
      </c>
      <c r="V2283" s="269"/>
      <c r="W2283" s="269"/>
      <c r="X2283" s="275"/>
      <c r="Y2283" s="269"/>
      <c r="Z2283" s="357"/>
      <c r="AA2283" s="207"/>
      <c r="AB2283" s="369"/>
      <c r="AC2283" s="370"/>
      <c r="AD2283" s="332"/>
      <c r="AE2283" s="216"/>
      <c r="AF2283" s="43"/>
      <c r="AG2283" s="47"/>
      <c r="AH2283" s="30"/>
      <c r="AI2283" s="30"/>
      <c r="AJ2283" s="30"/>
      <c r="AK2283" s="30"/>
      <c r="AL2283" s="13"/>
      <c r="AM2283" s="13"/>
      <c r="AN2283" s="13"/>
      <c r="AO2283" s="13"/>
      <c r="AP2283" s="13"/>
      <c r="AQ2283" s="14"/>
      <c r="AR2283" s="15"/>
    </row>
    <row r="2284" spans="1:44" s="17" customFormat="1" ht="30.95" customHeight="1" x14ac:dyDescent="0.2">
      <c r="A2284" s="343"/>
      <c r="B2284" s="344"/>
      <c r="C2284" s="345"/>
      <c r="D2284" s="398"/>
      <c r="E2284" s="31"/>
      <c r="F2284" s="268"/>
      <c r="G2284" s="269"/>
      <c r="H2284" s="269"/>
      <c r="I2284" s="270"/>
      <c r="J2284" s="32"/>
      <c r="K2284" s="270"/>
      <c r="L2284" s="270"/>
      <c r="M2284" s="39"/>
      <c r="N2284" s="39"/>
      <c r="O2284" s="47"/>
      <c r="P2284" s="57"/>
      <c r="Q2284" s="276"/>
      <c r="R2284" s="277"/>
      <c r="S2284" s="277"/>
      <c r="T2284" s="40"/>
      <c r="U2284" s="278"/>
      <c r="V2284" s="269"/>
      <c r="W2284" s="269"/>
      <c r="X2284" s="275"/>
      <c r="Y2284" s="269"/>
      <c r="Z2284" s="357"/>
      <c r="AA2284" s="207"/>
      <c r="AB2284" s="369"/>
      <c r="AC2284" s="370"/>
      <c r="AD2284" s="332"/>
      <c r="AE2284" s="216"/>
      <c r="AF2284" s="43"/>
      <c r="AG2284" s="47"/>
      <c r="AH2284" s="30"/>
      <c r="AI2284" s="30"/>
      <c r="AJ2284" s="30"/>
      <c r="AK2284" s="30"/>
      <c r="AL2284" s="13"/>
      <c r="AM2284" s="13"/>
      <c r="AN2284" s="13"/>
      <c r="AO2284" s="13"/>
      <c r="AP2284" s="13"/>
      <c r="AQ2284" s="14"/>
      <c r="AR2284" s="15"/>
    </row>
    <row r="2285" spans="1:44" s="233" customFormat="1" ht="30.95" customHeight="1" x14ac:dyDescent="0.2">
      <c r="A2285" s="399"/>
      <c r="B2285" s="400"/>
      <c r="C2285" s="401"/>
      <c r="D2285" s="396"/>
      <c r="E2285" s="219"/>
      <c r="F2285" s="281"/>
      <c r="G2285" s="282"/>
      <c r="H2285" s="282"/>
      <c r="I2285" s="283"/>
      <c r="J2285" s="220"/>
      <c r="K2285" s="283"/>
      <c r="L2285" s="283"/>
      <c r="M2285" s="221"/>
      <c r="N2285" s="221"/>
      <c r="O2285" s="222"/>
      <c r="P2285" s="213"/>
      <c r="Q2285" s="284"/>
      <c r="R2285" s="285"/>
      <c r="S2285" s="285"/>
      <c r="T2285" s="224"/>
      <c r="U2285" s="286"/>
      <c r="V2285" s="282"/>
      <c r="W2285" s="282"/>
      <c r="X2285" s="287"/>
      <c r="Y2285" s="282"/>
      <c r="Z2285" s="356"/>
      <c r="AA2285" s="288"/>
      <c r="AB2285" s="385"/>
      <c r="AC2285" s="386"/>
      <c r="AD2285" s="387"/>
      <c r="AE2285" s="423"/>
      <c r="AF2285" s="223"/>
      <c r="AG2285" s="234">
        <f>SUM(AG2220:AG2280)</f>
        <v>801881.95699999982</v>
      </c>
      <c r="AH2285" s="229"/>
      <c r="AI2285" s="229"/>
      <c r="AJ2285" s="229"/>
      <c r="AK2285" s="229"/>
      <c r="AL2285" s="230"/>
      <c r="AM2285" s="230"/>
      <c r="AN2285" s="230"/>
      <c r="AO2285" s="230"/>
      <c r="AP2285" s="230"/>
      <c r="AQ2285" s="231"/>
      <c r="AR2285" s="232"/>
    </row>
    <row r="2286" spans="1:44" s="17" customFormat="1" ht="30.95" customHeight="1" x14ac:dyDescent="0.2">
      <c r="A2286" s="343"/>
      <c r="B2286" s="344"/>
      <c r="C2286" s="345"/>
      <c r="D2286" s="398"/>
      <c r="E2286" s="31"/>
      <c r="F2286" s="268"/>
      <c r="G2286" s="269"/>
      <c r="H2286" s="269"/>
      <c r="I2286" s="270"/>
      <c r="J2286" s="32"/>
      <c r="K2286" s="270"/>
      <c r="L2286" s="270"/>
      <c r="M2286" s="39"/>
      <c r="N2286" s="39"/>
      <c r="O2286" s="47"/>
      <c r="P2286" s="57"/>
      <c r="Q2286" s="276"/>
      <c r="R2286" s="277"/>
      <c r="S2286" s="277"/>
      <c r="T2286" s="40"/>
      <c r="U2286" s="278"/>
      <c r="V2286" s="269"/>
      <c r="W2286" s="269"/>
      <c r="X2286" s="275"/>
      <c r="Y2286" s="269"/>
      <c r="Z2286" s="357"/>
      <c r="AA2286" s="207"/>
      <c r="AB2286" s="369"/>
      <c r="AC2286" s="370"/>
      <c r="AD2286" s="332"/>
      <c r="AE2286" s="216"/>
      <c r="AF2286" s="43"/>
      <c r="AG2286" s="47"/>
      <c r="AH2286" s="30"/>
      <c r="AI2286" s="30"/>
      <c r="AJ2286" s="30"/>
      <c r="AK2286" s="30"/>
      <c r="AL2286" s="13"/>
      <c r="AM2286" s="13"/>
      <c r="AN2286" s="13"/>
      <c r="AO2286" s="13"/>
      <c r="AP2286" s="13"/>
      <c r="AQ2286" s="14"/>
      <c r="AR2286" s="15"/>
    </row>
    <row r="2287" spans="1:44" s="17" customFormat="1" ht="30.6" customHeight="1" x14ac:dyDescent="0.2">
      <c r="A2287" s="320"/>
      <c r="B2287" s="321"/>
      <c r="C2287" s="345"/>
      <c r="D2287" s="398">
        <v>3790257</v>
      </c>
      <c r="E2287" s="31"/>
      <c r="F2287" s="268" t="str">
        <f>IF(D2287="","",VLOOKUP(D2287,契約台帳!$A$3:$K$4986,6,FALSE)&amp;VLOOKUP(D2287,契約台帳!$A$3:$K$4986,7,FALSE)&amp;VLOOKUP(D2287,契約台帳!$A$3:$K$4986,8,FALSE)&amp;VLOOKUP(D2287,契約台帳!$A$3:$K$4986,9,FALSE)&amp;VLOOKUP(D2287,契約台帳!$A$3:$K$4986,11,FALSE))</f>
        <v>3SNMLBMNGTBF</v>
      </c>
      <c r="G2287" s="269" t="str">
        <f>IF(D2287="","",VLOOKUP(F2287,製品マスタ!$G$5:$H$5002,2,FALSE))</f>
        <v>S</v>
      </c>
      <c r="H2287" s="269" t="str">
        <f>IF(D2287="","",VLOOKUP(F2287,製品マスタ!$G$5:$K$5002,5,FALSE))</f>
        <v>MNGTBF</v>
      </c>
      <c r="I2287" s="270" t="str">
        <f>IF(D2287="","",VLOOKUP(F2287,製品マスタ!$G$5:$L$5002,6,FALSE))</f>
        <v>メタルミー　ネーマー　銀艶　Ｂ</v>
      </c>
      <c r="J2287" s="32" t="s">
        <v>447</v>
      </c>
      <c r="K2287" s="270">
        <f>IF(D2287="","",VLOOKUP(D2287,契約台帳!$A$3:$L$4986,12,FALSE))</f>
        <v>50</v>
      </c>
      <c r="L2287" s="270" t="str">
        <f>IF(D2287="","",INDEX(製品マスタ!$Q$5:$Q$5002,MATCH(F2287&amp;K2287,製品マスタ!$AO$5:$AO$5002,0)))</f>
        <v>T62</v>
      </c>
      <c r="M2287" s="39">
        <v>1120</v>
      </c>
      <c r="N2287" s="39">
        <v>10000</v>
      </c>
      <c r="O2287" s="47">
        <v>7</v>
      </c>
      <c r="P2287" s="57"/>
      <c r="Q2287" s="276">
        <f>IF(D2287="","",IF(J2287="リード付け",M2287,VLOOKUP(D2287,契約台帳!$A$3:$N$4986,14,FALSE)))</f>
        <v>1120</v>
      </c>
      <c r="R2287" s="277">
        <f>IF(D2287="","",IF(J2287="リード付け",M2287,VLOOKUP(D2287,契約台帳!$A$3:$O$4986,15,FALSE)))</f>
        <v>1120</v>
      </c>
      <c r="S2287" s="277">
        <f>IF(D2287="","",IF(J2287="リード付け",N2287,VLOOKUP(D2287,契約台帳!$A$3:$P$4986,16,FALSE)))</f>
        <v>5000</v>
      </c>
      <c r="T2287" s="40">
        <v>14</v>
      </c>
      <c r="U2287" s="278">
        <f ca="1">IF(D2287="","",IF(OFFSET(D2287,-2,0)=D2287,"",VLOOKUP(D2287,契約台帳!$A$3:$R$4986,18,FALSE)))</f>
        <v>52</v>
      </c>
      <c r="V2287" s="269" t="str">
        <f>IF(J2287="巻返し",VLOOKUP(F2287&amp;K2287&amp;M2287,製品マスタ!$M$5:$AD$5002,18,FALSE),IF(J2287="リード付け","原反コア",IF(J2287="スリット",VLOOKUP(F2287&amp;K2287&amp;Q2287,製品マスタ!$N$5:$AD$5002,17,FALSE),"")))</f>
        <v>6ｲﾝﾁSｺｱ</v>
      </c>
      <c r="W2287" s="269">
        <f>IF(J2287="巻返し",VLOOKUP(F2287&amp;K2287&amp;M2287,製品マスタ!$M$5:$AE$5002,19,FALSE),IF(J2287="リード付け","-",IF(J2287="スリット",VLOOKUP(F2287&amp;K2287&amp;Q2287,製品マスタ!$N$5:$AE$5002,18,FALSE),"")))</f>
        <v>1125</v>
      </c>
      <c r="X2287" s="275">
        <f>IF(D2287="","",VLOOKUP(D2287,契約台帳!$A$3:$Q$4986,17,FALSE))</f>
        <v>2</v>
      </c>
      <c r="Y2287" s="269" t="str">
        <f>IF(D2287="","",VLOOKUP(D2287,契約台帳!$A$3:$E$4986,5,FALSE))</f>
        <v>リンテック㈱</v>
      </c>
      <c r="Z2287" s="357"/>
      <c r="AA2287" s="207" t="str">
        <f>IFERROR(VLOOKUP(F2287&amp;K2287&amp;M2287,製品マスタ!$M$5:$AM$5002,27,FALSE),"")</f>
        <v>原反ケース再利用</v>
      </c>
      <c r="AB2287" s="369"/>
      <c r="AC2287" s="370"/>
      <c r="AD2287" s="332" t="str">
        <f>IF(F2287="","",+F2287&amp;K2287)</f>
        <v>3SNMLBMNGTBF50</v>
      </c>
      <c r="AE2287" s="216">
        <f>+M2287*N2287*O2287/1000</f>
        <v>78400</v>
      </c>
      <c r="AF2287" s="43">
        <f>IF(AD2287="","",VLOOKUP(AD2287,原価マスタ!$A$2:$AJ$1693,13,FALSE))</f>
        <v>99</v>
      </c>
      <c r="AG2287" s="47">
        <f>IF(AF2287="","",+AE2287*AF2287/100)</f>
        <v>77616</v>
      </c>
      <c r="AH2287" s="30"/>
      <c r="AI2287" s="30"/>
      <c r="AJ2287" s="30"/>
      <c r="AK2287" s="30"/>
      <c r="AL2287" s="13"/>
      <c r="AM2287" s="13"/>
      <c r="AN2287" s="13"/>
      <c r="AO2287" s="13"/>
      <c r="AP2287" s="13"/>
      <c r="AQ2287" s="14"/>
      <c r="AR2287" s="15"/>
    </row>
    <row r="2288" spans="1:44" s="17" customFormat="1" ht="30.95" customHeight="1" x14ac:dyDescent="0.2">
      <c r="A2288" s="343"/>
      <c r="B2288" s="344"/>
      <c r="C2288" s="345"/>
      <c r="D2288" s="398"/>
      <c r="E2288" s="31"/>
      <c r="F2288" s="268"/>
      <c r="G2288" s="269"/>
      <c r="H2288" s="269"/>
      <c r="I2288" s="270"/>
      <c r="J2288" s="32"/>
      <c r="K2288" s="270"/>
      <c r="L2288" s="270"/>
      <c r="M2288" s="39"/>
      <c r="N2288" s="39"/>
      <c r="O2288" s="47"/>
      <c r="P2288" s="57"/>
      <c r="Q2288" s="276"/>
      <c r="R2288" s="277"/>
      <c r="S2288" s="277"/>
      <c r="T2288" s="40"/>
      <c r="U2288" s="278"/>
      <c r="V2288" s="269"/>
      <c r="W2288" s="269"/>
      <c r="X2288" s="275"/>
      <c r="Y2288" s="269"/>
      <c r="Z2288" s="357"/>
      <c r="AA2288" s="207"/>
      <c r="AB2288" s="369"/>
      <c r="AC2288" s="370"/>
      <c r="AD2288" s="332"/>
      <c r="AE2288" s="216"/>
      <c r="AF2288" s="43"/>
      <c r="AG2288" s="47"/>
      <c r="AH2288" s="30"/>
      <c r="AI2288" s="30"/>
      <c r="AJ2288" s="30"/>
      <c r="AK2288" s="30"/>
      <c r="AL2288" s="13"/>
      <c r="AM2288" s="13"/>
      <c r="AN2288" s="13"/>
      <c r="AO2288" s="13"/>
      <c r="AP2288" s="13"/>
      <c r="AQ2288" s="14"/>
      <c r="AR2288" s="15"/>
    </row>
    <row r="2289" spans="1:44" s="17" customFormat="1" ht="30.6" customHeight="1" x14ac:dyDescent="0.2">
      <c r="A2289" s="320"/>
      <c r="B2289" s="321"/>
      <c r="C2289" s="345"/>
      <c r="D2289" s="398">
        <v>3790271</v>
      </c>
      <c r="E2289" s="31"/>
      <c r="F2289" s="268" t="str">
        <f>IF(D2289="","",VLOOKUP(D2289,契約台帳!$A$3:$K$4986,6,FALSE)&amp;VLOOKUP(D2289,契約台帳!$A$3:$K$4986,7,FALSE)&amp;VLOOKUP(D2289,契約台帳!$A$3:$K$4986,8,FALSE)&amp;VLOOKUP(D2289,契約台帳!$A$3:$K$4986,9,FALSE)&amp;VLOOKUP(D2289,契約台帳!$A$3:$K$4986,11,FALSE))</f>
        <v>3SYMLBMSBBF</v>
      </c>
      <c r="G2289" s="269" t="str">
        <f>IF(D2289="","",VLOOKUP(F2289,製品マスタ!$G$5:$H$5002,2,FALSE))</f>
        <v>S</v>
      </c>
      <c r="H2289" s="269" t="str">
        <f>IF(D2289="","",VLOOKUP(F2289,製品マスタ!$G$5:$K$5002,5,FALSE))</f>
        <v>MSBBF</v>
      </c>
      <c r="I2289" s="270" t="str">
        <f>IF(D2289="","",VLOOKUP(F2289,製品マスタ!$G$5:$L$5002,6,FALSE))</f>
        <v>ＭＥＴＡＬＵＭＹ　ＳＩＬＶＥＲ　ＢＲＩＧＨＴ　Ｔ６２Ｍ　Ｂ</v>
      </c>
      <c r="J2289" s="32" t="s">
        <v>447</v>
      </c>
      <c r="K2289" s="270">
        <f>IF(D2289="","",VLOOKUP(D2289,契約台帳!$A$3:$L$4986,12,FALSE))</f>
        <v>50</v>
      </c>
      <c r="L2289" s="270" t="str">
        <f>IF(D2289="","",INDEX(製品マスタ!$Q$5:$Q$5002,MATCH(F2289&amp;K2289,製品マスタ!$AO$5:$AO$5002,0)))</f>
        <v>T62</v>
      </c>
      <c r="M2289" s="39">
        <v>1120</v>
      </c>
      <c r="N2289" s="39">
        <v>10000</v>
      </c>
      <c r="O2289" s="47">
        <v>1</v>
      </c>
      <c r="P2289" s="57"/>
      <c r="Q2289" s="276">
        <f>IF(D2289="","",IF(J2289="リード付け",M2289,VLOOKUP(D2289,契約台帳!$A$3:$N$4986,14,FALSE)))</f>
        <v>1120</v>
      </c>
      <c r="R2289" s="277">
        <f>IF(D2289="","",IF(J2289="リード付け",M2289,VLOOKUP(D2289,契約台帳!$A$3:$O$4986,15,FALSE)))</f>
        <v>1120</v>
      </c>
      <c r="S2289" s="277">
        <f>IF(D2289="","",IF(J2289="リード付け",N2289,VLOOKUP(D2289,契約台帳!$A$3:$P$4986,16,FALSE)))</f>
        <v>5000</v>
      </c>
      <c r="T2289" s="40">
        <v>2</v>
      </c>
      <c r="U2289" s="278">
        <f ca="1">IF(D2289="","",IF(OFFSET(D2289,-2,0)=D2289,"",VLOOKUP(D2289,契約台帳!$A$3:$R$4986,18,FALSE)))</f>
        <v>2</v>
      </c>
      <c r="V2289" s="269" t="str">
        <f>IF(J2289="巻返し",VLOOKUP(F2289&amp;K2289&amp;M2289,製品マスタ!$M$5:$AD$5002,18,FALSE),IF(J2289="リード付け","原反コア",IF(J2289="スリット",VLOOKUP(F2289&amp;K2289&amp;Q2289,製品マスタ!$N$5:$AD$5002,17,FALSE),"")))</f>
        <v>6ｲﾝﾁSｺｱ</v>
      </c>
      <c r="W2289" s="269">
        <f>IF(J2289="巻返し",VLOOKUP(F2289&amp;K2289&amp;M2289,製品マスタ!$M$5:$AE$5002,19,FALSE),IF(J2289="リード付け","-",IF(J2289="スリット",VLOOKUP(F2289&amp;K2289&amp;Q2289,製品マスタ!$N$5:$AE$5002,18,FALSE),"")))</f>
        <v>1125</v>
      </c>
      <c r="X2289" s="275">
        <f>IF(D2289="","",VLOOKUP(D2289,契約台帳!$A$3:$Q$4986,17,FALSE))</f>
        <v>2</v>
      </c>
      <c r="Y2289" s="269" t="str">
        <f>IF(D2289="","",VLOOKUP(D2289,契約台帳!$A$3:$E$4986,5,FALSE))</f>
        <v>リンテック㈱</v>
      </c>
      <c r="Z2289" s="357"/>
      <c r="AA2289" s="207" t="str">
        <f>IFERROR(VLOOKUP(F2289&amp;K2289&amp;M2289,製品マスタ!$M$5:$AM$5002,27,FALSE),"")</f>
        <v>原反ケース再利用</v>
      </c>
      <c r="AB2289" s="369"/>
      <c r="AC2289" s="370"/>
      <c r="AD2289" s="332" t="str">
        <f>IF(F2289="","",+F2289&amp;K2289)</f>
        <v>3SYMLBMSBBF50</v>
      </c>
      <c r="AE2289" s="216">
        <f>+M2289*N2289*O2289/1000</f>
        <v>11200</v>
      </c>
      <c r="AF2289" s="43">
        <f>IF(AD2289="","",VLOOKUP(AD2289,原価マスタ!$A$2:$AJ$1693,13,FALSE))</f>
        <v>99</v>
      </c>
      <c r="AG2289" s="47">
        <f>IF(AF2289="","",+AE2289*AF2289/100)</f>
        <v>11088</v>
      </c>
      <c r="AH2289" s="30"/>
      <c r="AI2289" s="30"/>
      <c r="AJ2289" s="30"/>
      <c r="AK2289" s="30"/>
      <c r="AL2289" s="13"/>
      <c r="AM2289" s="13"/>
      <c r="AN2289" s="13"/>
      <c r="AO2289" s="13"/>
      <c r="AP2289" s="13"/>
      <c r="AQ2289" s="14"/>
      <c r="AR2289" s="15"/>
    </row>
    <row r="2290" spans="1:44" s="17" customFormat="1" ht="30.95" customHeight="1" x14ac:dyDescent="0.2">
      <c r="A2290" s="343"/>
      <c r="B2290" s="344"/>
      <c r="C2290" s="345"/>
      <c r="D2290" s="398"/>
      <c r="E2290" s="31"/>
      <c r="F2290" s="268"/>
      <c r="G2290" s="269"/>
      <c r="H2290" s="269"/>
      <c r="I2290" s="270"/>
      <c r="J2290" s="32"/>
      <c r="K2290" s="270"/>
      <c r="L2290" s="270"/>
      <c r="M2290" s="39"/>
      <c r="N2290" s="39"/>
      <c r="O2290" s="47"/>
      <c r="P2290" s="57"/>
      <c r="Q2290" s="276"/>
      <c r="R2290" s="277"/>
      <c r="S2290" s="277"/>
      <c r="T2290" s="40"/>
      <c r="U2290" s="278"/>
      <c r="V2290" s="269"/>
      <c r="W2290" s="269"/>
      <c r="X2290" s="275"/>
      <c r="Y2290" s="269"/>
      <c r="Z2290" s="357"/>
      <c r="AA2290" s="207"/>
      <c r="AB2290" s="369"/>
      <c r="AC2290" s="370"/>
      <c r="AD2290" s="332"/>
      <c r="AE2290" s="216"/>
      <c r="AF2290" s="43"/>
      <c r="AG2290" s="47"/>
      <c r="AH2290" s="30"/>
      <c r="AI2290" s="30"/>
      <c r="AJ2290" s="30"/>
      <c r="AK2290" s="30"/>
      <c r="AL2290" s="13"/>
      <c r="AM2290" s="13"/>
      <c r="AN2290" s="13"/>
      <c r="AO2290" s="13"/>
      <c r="AP2290" s="13"/>
      <c r="AQ2290" s="14"/>
      <c r="AR2290" s="15"/>
    </row>
    <row r="2291" spans="1:44" s="17" customFormat="1" ht="30.6" customHeight="1" x14ac:dyDescent="0.2">
      <c r="A2291" s="320"/>
      <c r="B2291" s="321"/>
      <c r="C2291" s="345"/>
      <c r="D2291" s="398">
        <v>3790273</v>
      </c>
      <c r="E2291" s="31"/>
      <c r="F2291" s="268" t="str">
        <f>IF(D2291="","",VLOOKUP(D2291,契約台帳!$A$3:$K$4986,6,FALSE)&amp;VLOOKUP(D2291,契約台帳!$A$3:$K$4986,7,FALSE)&amp;VLOOKUP(D2291,契約台帳!$A$3:$K$4986,8,FALSE)&amp;VLOOKUP(D2291,契約台帳!$A$3:$K$4986,9,FALSE)&amp;VLOOKUP(D2291,契約台帳!$A$3:$K$4986,11,FALSE))</f>
        <v>3SYMLBMSBBF</v>
      </c>
      <c r="G2291" s="269" t="str">
        <f>IF(D2291="","",VLOOKUP(F2291,製品マスタ!$G$5:$H$5002,2,FALSE))</f>
        <v>S</v>
      </c>
      <c r="H2291" s="269" t="str">
        <f>IF(D2291="","",VLOOKUP(F2291,製品マスタ!$G$5:$K$5002,5,FALSE))</f>
        <v>MSBBF</v>
      </c>
      <c r="I2291" s="270" t="str">
        <f>IF(D2291="","",VLOOKUP(F2291,製品マスタ!$G$5:$L$5002,6,FALSE))</f>
        <v>ＭＥＴＡＬＵＭＹ　ＳＩＬＶＥＲ　ＢＲＩＧＨＴ　Ｔ６２Ｍ　Ｂ</v>
      </c>
      <c r="J2291" s="32" t="s">
        <v>447</v>
      </c>
      <c r="K2291" s="270">
        <f>IF(D2291="","",VLOOKUP(D2291,契約台帳!$A$3:$L$4986,12,FALSE))</f>
        <v>50</v>
      </c>
      <c r="L2291" s="270" t="str">
        <f>IF(D2291="","",INDEX(製品マスタ!$Q$5:$Q$5002,MATCH(F2291&amp;K2291,製品マスタ!$AO$5:$AO$5002,0)))</f>
        <v>T62</v>
      </c>
      <c r="M2291" s="39">
        <v>1120</v>
      </c>
      <c r="N2291" s="39">
        <v>10000</v>
      </c>
      <c r="O2291" s="47">
        <v>1</v>
      </c>
      <c r="P2291" s="57"/>
      <c r="Q2291" s="276">
        <f>IF(D2291="","",IF(J2291="リード付け",M2291,VLOOKUP(D2291,契約台帳!$A$3:$N$4986,14,FALSE)))</f>
        <v>1120</v>
      </c>
      <c r="R2291" s="277">
        <f>IF(D2291="","",IF(J2291="リード付け",M2291,VLOOKUP(D2291,契約台帳!$A$3:$O$4986,15,FALSE)))</f>
        <v>1120</v>
      </c>
      <c r="S2291" s="277">
        <f>IF(D2291="","",IF(J2291="リード付け",N2291,VLOOKUP(D2291,契約台帳!$A$3:$P$4986,16,FALSE)))</f>
        <v>5000</v>
      </c>
      <c r="T2291" s="40">
        <v>2</v>
      </c>
      <c r="U2291" s="278">
        <f ca="1">IF(D2291="","",IF(OFFSET(D2291,-2,0)=D2291,"",VLOOKUP(D2291,契約台帳!$A$3:$R$4986,18,FALSE)))</f>
        <v>2</v>
      </c>
      <c r="V2291" s="269" t="str">
        <f>IF(J2291="巻返し",VLOOKUP(F2291&amp;K2291&amp;M2291,製品マスタ!$M$5:$AD$5002,18,FALSE),IF(J2291="リード付け","原反コア",IF(J2291="スリット",VLOOKUP(F2291&amp;K2291&amp;Q2291,製品マスタ!$N$5:$AD$5002,17,FALSE),"")))</f>
        <v>6ｲﾝﾁSｺｱ</v>
      </c>
      <c r="W2291" s="269">
        <f>IF(J2291="巻返し",VLOOKUP(F2291&amp;K2291&amp;M2291,製品マスタ!$M$5:$AE$5002,19,FALSE),IF(J2291="リード付け","-",IF(J2291="スリット",VLOOKUP(F2291&amp;K2291&amp;Q2291,製品マスタ!$N$5:$AE$5002,18,FALSE),"")))</f>
        <v>1125</v>
      </c>
      <c r="X2291" s="275">
        <f>IF(D2291="","",VLOOKUP(D2291,契約台帳!$A$3:$Q$4986,17,FALSE))</f>
        <v>2</v>
      </c>
      <c r="Y2291" s="269" t="str">
        <f>IF(D2291="","",VLOOKUP(D2291,契約台帳!$A$3:$E$4986,5,FALSE))</f>
        <v>リンテック㈱</v>
      </c>
      <c r="Z2291" s="357"/>
      <c r="AA2291" s="207" t="str">
        <f>IFERROR(VLOOKUP(F2291&amp;K2291&amp;M2291,製品マスタ!$M$5:$AM$5002,27,FALSE),"")</f>
        <v>原反ケース再利用</v>
      </c>
      <c r="AB2291" s="369"/>
      <c r="AC2291" s="370"/>
      <c r="AD2291" s="332" t="str">
        <f>IF(F2291="","",+F2291&amp;K2291)</f>
        <v>3SYMLBMSBBF50</v>
      </c>
      <c r="AE2291" s="216">
        <f>+M2291*N2291*O2291/1000</f>
        <v>11200</v>
      </c>
      <c r="AF2291" s="43">
        <f>IF(AD2291="","",VLOOKUP(AD2291,原価マスタ!$A$2:$AJ$1693,13,FALSE))</f>
        <v>99</v>
      </c>
      <c r="AG2291" s="47">
        <f>IF(AF2291="","",+AE2291*AF2291/100)</f>
        <v>11088</v>
      </c>
      <c r="AH2291" s="30"/>
      <c r="AI2291" s="30"/>
      <c r="AJ2291" s="30"/>
      <c r="AK2291" s="30"/>
      <c r="AL2291" s="13"/>
      <c r="AM2291" s="13"/>
      <c r="AN2291" s="13"/>
      <c r="AO2291" s="13"/>
      <c r="AP2291" s="13"/>
      <c r="AQ2291" s="14"/>
      <c r="AR2291" s="15"/>
    </row>
    <row r="2292" spans="1:44" s="17" customFormat="1" ht="30.95" customHeight="1" x14ac:dyDescent="0.2">
      <c r="A2292" s="343"/>
      <c r="B2292" s="344"/>
      <c r="C2292" s="345"/>
      <c r="D2292" s="398"/>
      <c r="E2292" s="31"/>
      <c r="F2292" s="268"/>
      <c r="G2292" s="269"/>
      <c r="H2292" s="269"/>
      <c r="I2292" s="270"/>
      <c r="J2292" s="32"/>
      <c r="K2292" s="270"/>
      <c r="L2292" s="270"/>
      <c r="M2292" s="39"/>
      <c r="N2292" s="39"/>
      <c r="O2292" s="47"/>
      <c r="P2292" s="57"/>
      <c r="Q2292" s="276"/>
      <c r="R2292" s="277"/>
      <c r="S2292" s="277"/>
      <c r="T2292" s="40"/>
      <c r="U2292" s="278"/>
      <c r="V2292" s="269"/>
      <c r="W2292" s="269"/>
      <c r="X2292" s="275"/>
      <c r="Y2292" s="269"/>
      <c r="Z2292" s="357"/>
      <c r="AA2292" s="207"/>
      <c r="AB2292" s="369"/>
      <c r="AC2292" s="370"/>
      <c r="AD2292" s="332"/>
      <c r="AE2292" s="216"/>
      <c r="AF2292" s="43"/>
      <c r="AG2292" s="47"/>
      <c r="AH2292" s="30"/>
      <c r="AI2292" s="30"/>
      <c r="AJ2292" s="30"/>
      <c r="AK2292" s="30"/>
      <c r="AL2292" s="13"/>
      <c r="AM2292" s="13"/>
      <c r="AN2292" s="13"/>
      <c r="AO2292" s="13"/>
      <c r="AP2292" s="13"/>
      <c r="AQ2292" s="14"/>
      <c r="AR2292" s="15"/>
    </row>
    <row r="2293" spans="1:44" s="17" customFormat="1" ht="30.95" customHeight="1" x14ac:dyDescent="0.2">
      <c r="A2293" s="343"/>
      <c r="B2293" s="344"/>
      <c r="C2293" s="345"/>
      <c r="D2293" s="398">
        <v>3790246</v>
      </c>
      <c r="E2293" s="31"/>
      <c r="F2293" s="268" t="str">
        <f>IF(D2293="","",VLOOKUP(D2293,契約台帳!$A$3:$K$4986,6,FALSE)&amp;VLOOKUP(D2293,契約台帳!$A$3:$K$4986,7,FALSE)&amp;VLOOKUP(D2293,契約台帳!$A$3:$K$4986,8,FALSE)&amp;VLOOKUP(D2293,契約台帳!$A$3:$K$4986,9,FALSE)&amp;VLOOKUP(D2293,契約台帳!$A$3:$K$4986,11,FALSE))</f>
        <v>3TNDMSX42GPC</v>
      </c>
      <c r="G2293" s="269" t="str">
        <f>IF(D2293="","",VLOOKUP(F2293,製品マスタ!$G$5:$H$5002,2,FALSE))</f>
        <v>T</v>
      </c>
      <c r="H2293" s="269" t="str">
        <f>IF(D2293="","",VLOOKUP(F2293,製品マスタ!$G$5:$K$5002,5,FALSE))</f>
        <v>X42GPC</v>
      </c>
      <c r="I2293" s="270" t="str">
        <f>IF(D2293="","",VLOOKUP(F2293,製品マスタ!$G$5:$L$5002,6,FALSE))</f>
        <v>ＤＭＳ（Ｘ４２Ｇ）ＰＣ</v>
      </c>
      <c r="J2293" s="32" t="s">
        <v>447</v>
      </c>
      <c r="K2293" s="270">
        <f>IF(D2293="","",VLOOKUP(D2293,契約台帳!$A$3:$L$4986,12,FALSE))</f>
        <v>50</v>
      </c>
      <c r="L2293" s="270" t="str">
        <f>IF(D2293="","",INDEX(製品マスタ!$Q$5:$Q$5002,MATCH(F2293&amp;K2293,製品マスタ!$AO$5:$AO$5002,0)))</f>
        <v>X42G</v>
      </c>
      <c r="M2293" s="39">
        <v>1360</v>
      </c>
      <c r="N2293" s="39">
        <v>4100</v>
      </c>
      <c r="O2293" s="47">
        <v>3</v>
      </c>
      <c r="P2293" s="57"/>
      <c r="Q2293" s="276">
        <f>IF(D2293="","",IF(J2293="リード付け",M2293,VLOOKUP(D2293,契約台帳!$A$3:$N$4986,14,FALSE)))</f>
        <v>680</v>
      </c>
      <c r="R2293" s="277">
        <f>IF(D2293="","",IF(J2293="リード付け",M2293,VLOOKUP(D2293,契約台帳!$A$3:$O$4986,15,FALSE)))</f>
        <v>680</v>
      </c>
      <c r="S2293" s="277">
        <f>IF(D2293="","",IF(J2293="リード付け",N2293,VLOOKUP(D2293,契約台帳!$A$3:$P$4986,16,FALSE)))</f>
        <v>2000</v>
      </c>
      <c r="T2293" s="40">
        <v>12</v>
      </c>
      <c r="U2293" s="278">
        <f ca="1">IF(D2293="","",IF(OFFSET(D2293,-2,0)=D2293,"",VLOOKUP(D2293,契約台帳!$A$3:$R$4986,18,FALSE)))</f>
        <v>12</v>
      </c>
      <c r="V2293" s="269" t="str">
        <f>IF(J2293="巻返し",VLOOKUP(F2293&amp;K2293&amp;M2293,製品マスタ!$M$5:$AD$5002,18,FALSE),IF(J2293="リード付け","原反コア",IF(J2293="スリット",VLOOKUP(F2293&amp;K2293&amp;Q2293,製品マスタ!$N$5:$AD$5002,17,FALSE),"")))</f>
        <v>3ｲﾝﾁMｺｱ</v>
      </c>
      <c r="W2293" s="269">
        <f>IF(J2293="巻返し",VLOOKUP(F2293&amp;K2293&amp;M2293,製品マスタ!$M$5:$AE$5002,19,FALSE),IF(J2293="リード付け","-",IF(J2293="スリット",VLOOKUP(F2293&amp;K2293&amp;Q2293,製品マスタ!$N$5:$AE$5002,18,FALSE),"")))</f>
        <v>690</v>
      </c>
      <c r="X2293" s="275">
        <f>IF(D2293="","",VLOOKUP(D2293,契約台帳!$A$3:$Q$4986,17,FALSE))</f>
        <v>2</v>
      </c>
      <c r="Y2293" s="269" t="str">
        <f>IF(D2293="","",VLOOKUP(D2293,契約台帳!$A$3:$E$4986,5,FALSE))</f>
        <v>㈱ポラテクノ</v>
      </c>
      <c r="Z2293" s="357"/>
      <c r="AA2293" s="207" t="s">
        <v>3349</v>
      </c>
      <c r="AB2293" s="369"/>
      <c r="AC2293" s="370"/>
      <c r="AD2293" s="332" t="str">
        <f>IF(F2293="","",+F2293&amp;K2293)</f>
        <v>3TNDMSX42GPC50</v>
      </c>
      <c r="AE2293" s="216">
        <f>+M2293*N2293*O2293/1000</f>
        <v>16728</v>
      </c>
      <c r="AF2293" s="43"/>
      <c r="AG2293" s="47"/>
      <c r="AH2293" s="30"/>
      <c r="AI2293" s="30"/>
      <c r="AJ2293" s="30"/>
      <c r="AK2293" s="30"/>
      <c r="AL2293" s="13"/>
      <c r="AM2293" s="13"/>
      <c r="AN2293" s="13"/>
      <c r="AO2293" s="13"/>
      <c r="AP2293" s="13"/>
      <c r="AQ2293" s="14"/>
      <c r="AR2293" s="15"/>
    </row>
    <row r="2294" spans="1:44" s="17" customFormat="1" ht="30.95" customHeight="1" x14ac:dyDescent="0.2">
      <c r="A2294" s="343"/>
      <c r="B2294" s="344"/>
      <c r="C2294" s="345"/>
      <c r="D2294" s="398"/>
      <c r="E2294" s="31"/>
      <c r="F2294" s="268"/>
      <c r="G2294" s="269"/>
      <c r="H2294" s="269"/>
      <c r="I2294" s="270"/>
      <c r="J2294" s="32"/>
      <c r="K2294" s="270"/>
      <c r="L2294" s="270"/>
      <c r="M2294" s="39"/>
      <c r="N2294" s="39"/>
      <c r="O2294" s="47"/>
      <c r="P2294" s="57"/>
      <c r="Q2294" s="276"/>
      <c r="R2294" s="277"/>
      <c r="S2294" s="277"/>
      <c r="T2294" s="40"/>
      <c r="U2294" s="278"/>
      <c r="V2294" s="269"/>
      <c r="W2294" s="269"/>
      <c r="X2294" s="275"/>
      <c r="Y2294" s="269"/>
      <c r="Z2294" s="357"/>
      <c r="AA2294" s="207"/>
      <c r="AB2294" s="369"/>
      <c r="AC2294" s="370"/>
      <c r="AD2294" s="332"/>
      <c r="AE2294" s="216"/>
      <c r="AF2294" s="43"/>
      <c r="AG2294" s="47"/>
      <c r="AH2294" s="30"/>
      <c r="AI2294" s="30"/>
      <c r="AJ2294" s="30"/>
      <c r="AK2294" s="30"/>
      <c r="AL2294" s="13"/>
      <c r="AM2294" s="13"/>
      <c r="AN2294" s="13"/>
      <c r="AO2294" s="13"/>
      <c r="AP2294" s="13"/>
      <c r="AQ2294" s="14"/>
      <c r="AR2294" s="15"/>
    </row>
    <row r="2295" spans="1:44" s="17" customFormat="1" ht="30.95" customHeight="1" x14ac:dyDescent="0.2">
      <c r="A2295" s="343"/>
      <c r="B2295" s="344"/>
      <c r="C2295" s="345"/>
      <c r="D2295" s="398"/>
      <c r="E2295" s="31"/>
      <c r="F2295" s="268"/>
      <c r="G2295" s="269"/>
      <c r="H2295" s="269"/>
      <c r="I2295" s="270"/>
      <c r="J2295" s="32"/>
      <c r="K2295" s="270"/>
      <c r="L2295" s="270"/>
      <c r="M2295" s="39"/>
      <c r="N2295" s="39"/>
      <c r="O2295" s="47"/>
      <c r="P2295" s="57"/>
      <c r="Q2295" s="276"/>
      <c r="R2295" s="277"/>
      <c r="S2295" s="277"/>
      <c r="T2295" s="40"/>
      <c r="U2295" s="278"/>
      <c r="V2295" s="269"/>
      <c r="W2295" s="269"/>
      <c r="X2295" s="275"/>
      <c r="Y2295" s="269"/>
      <c r="Z2295" s="357"/>
      <c r="AA2295" s="207"/>
      <c r="AB2295" s="369"/>
      <c r="AC2295" s="370"/>
      <c r="AD2295" s="332"/>
      <c r="AE2295" s="216"/>
      <c r="AF2295" s="43"/>
      <c r="AG2295" s="47"/>
      <c r="AH2295" s="30"/>
      <c r="AI2295" s="30"/>
      <c r="AJ2295" s="30"/>
      <c r="AK2295" s="30"/>
      <c r="AL2295" s="13"/>
      <c r="AM2295" s="13"/>
      <c r="AN2295" s="13"/>
      <c r="AO2295" s="13"/>
      <c r="AP2295" s="13"/>
      <c r="AQ2295" s="14"/>
      <c r="AR2295" s="15"/>
    </row>
    <row r="2296" spans="1:44" s="17" customFormat="1" ht="30.95" customHeight="1" x14ac:dyDescent="0.2">
      <c r="A2296" s="343"/>
      <c r="B2296" s="344"/>
      <c r="C2296" s="345"/>
      <c r="D2296" s="398"/>
      <c r="E2296" s="31"/>
      <c r="F2296" s="268"/>
      <c r="G2296" s="269"/>
      <c r="H2296" s="269"/>
      <c r="I2296" s="270"/>
      <c r="J2296" s="32"/>
      <c r="K2296" s="270"/>
      <c r="L2296" s="270"/>
      <c r="M2296" s="39"/>
      <c r="N2296" s="39"/>
      <c r="O2296" s="47"/>
      <c r="P2296" s="57"/>
      <c r="Q2296" s="276"/>
      <c r="R2296" s="277"/>
      <c r="S2296" s="277"/>
      <c r="T2296" s="40"/>
      <c r="U2296" s="278"/>
      <c r="V2296" s="269"/>
      <c r="W2296" s="269"/>
      <c r="X2296" s="275"/>
      <c r="Y2296" s="269"/>
      <c r="Z2296" s="357"/>
      <c r="AA2296" s="207"/>
      <c r="AB2296" s="369"/>
      <c r="AC2296" s="370"/>
      <c r="AD2296" s="332"/>
      <c r="AE2296" s="216"/>
      <c r="AF2296" s="43"/>
      <c r="AG2296" s="47"/>
      <c r="AH2296" s="30"/>
      <c r="AI2296" s="30"/>
      <c r="AJ2296" s="30"/>
      <c r="AK2296" s="30"/>
      <c r="AL2296" s="13"/>
      <c r="AM2296" s="13"/>
      <c r="AN2296" s="13"/>
      <c r="AO2296" s="13"/>
      <c r="AP2296" s="13"/>
      <c r="AQ2296" s="14"/>
      <c r="AR2296" s="15"/>
    </row>
    <row r="2297" spans="1:44" s="17" customFormat="1" ht="30.95" customHeight="1" x14ac:dyDescent="0.2">
      <c r="A2297" s="343"/>
      <c r="B2297" s="344"/>
      <c r="C2297" s="345"/>
      <c r="D2297" s="398"/>
      <c r="E2297" s="31"/>
      <c r="F2297" s="268"/>
      <c r="G2297" s="269"/>
      <c r="H2297" s="269"/>
      <c r="I2297" s="270"/>
      <c r="J2297" s="32"/>
      <c r="K2297" s="270"/>
      <c r="L2297" s="270"/>
      <c r="M2297" s="39"/>
      <c r="N2297" s="39"/>
      <c r="O2297" s="47"/>
      <c r="P2297" s="57"/>
      <c r="Q2297" s="276"/>
      <c r="R2297" s="277"/>
      <c r="S2297" s="277"/>
      <c r="T2297" s="40"/>
      <c r="U2297" s="278"/>
      <c r="V2297" s="269"/>
      <c r="W2297" s="269"/>
      <c r="X2297" s="275"/>
      <c r="Y2297" s="269"/>
      <c r="Z2297" s="357"/>
      <c r="AA2297" s="207"/>
      <c r="AB2297" s="369"/>
      <c r="AC2297" s="370"/>
      <c r="AD2297" s="332"/>
      <c r="AE2297" s="216"/>
      <c r="AF2297" s="43"/>
      <c r="AG2297" s="47"/>
      <c r="AH2297" s="30"/>
      <c r="AI2297" s="30"/>
      <c r="AJ2297" s="30"/>
      <c r="AK2297" s="30"/>
      <c r="AL2297" s="13"/>
      <c r="AM2297" s="13"/>
      <c r="AN2297" s="13"/>
      <c r="AO2297" s="13"/>
      <c r="AP2297" s="13"/>
      <c r="AQ2297" s="14"/>
      <c r="AR2297" s="15"/>
    </row>
    <row r="2298" spans="1:44" s="17" customFormat="1" ht="30.95" customHeight="1" x14ac:dyDescent="0.2">
      <c r="A2298" s="343"/>
      <c r="B2298" s="344"/>
      <c r="C2298" s="345"/>
      <c r="D2298" s="398"/>
      <c r="E2298" s="31"/>
      <c r="F2298" s="268"/>
      <c r="G2298" s="269"/>
      <c r="H2298" s="269"/>
      <c r="I2298" s="270"/>
      <c r="J2298" s="32"/>
      <c r="K2298" s="270"/>
      <c r="L2298" s="270"/>
      <c r="M2298" s="39"/>
      <c r="N2298" s="39"/>
      <c r="O2298" s="47"/>
      <c r="P2298" s="57"/>
      <c r="Q2298" s="276"/>
      <c r="R2298" s="277"/>
      <c r="S2298" s="277"/>
      <c r="T2298" s="40"/>
      <c r="U2298" s="278"/>
      <c r="V2298" s="269"/>
      <c r="W2298" s="269"/>
      <c r="X2298" s="275"/>
      <c r="Y2298" s="269"/>
      <c r="Z2298" s="357"/>
      <c r="AA2298" s="207"/>
      <c r="AB2298" s="369"/>
      <c r="AC2298" s="370"/>
      <c r="AD2298" s="332"/>
      <c r="AE2298" s="216"/>
      <c r="AF2298" s="43"/>
      <c r="AG2298" s="47"/>
      <c r="AH2298" s="30"/>
      <c r="AI2298" s="30"/>
      <c r="AJ2298" s="30"/>
      <c r="AK2298" s="30"/>
      <c r="AL2298" s="13"/>
      <c r="AM2298" s="13"/>
      <c r="AN2298" s="13"/>
      <c r="AO2298" s="13"/>
      <c r="AP2298" s="13"/>
      <c r="AQ2298" s="14"/>
      <c r="AR2298" s="15"/>
    </row>
    <row r="2299" spans="1:44" s="17" customFormat="1" ht="30.95" customHeight="1" x14ac:dyDescent="0.2">
      <c r="A2299" s="343"/>
      <c r="B2299" s="344"/>
      <c r="C2299" s="345"/>
      <c r="D2299" s="398"/>
      <c r="E2299" s="31"/>
      <c r="F2299" s="268"/>
      <c r="G2299" s="269"/>
      <c r="H2299" s="269"/>
      <c r="I2299" s="270"/>
      <c r="J2299" s="32"/>
      <c r="K2299" s="270"/>
      <c r="L2299" s="270"/>
      <c r="M2299" s="39"/>
      <c r="N2299" s="39"/>
      <c r="O2299" s="47"/>
      <c r="P2299" s="57"/>
      <c r="Q2299" s="276"/>
      <c r="R2299" s="277"/>
      <c r="S2299" s="277"/>
      <c r="T2299" s="40"/>
      <c r="U2299" s="278"/>
      <c r="V2299" s="269"/>
      <c r="W2299" s="269"/>
      <c r="X2299" s="275"/>
      <c r="Y2299" s="269"/>
      <c r="Z2299" s="357"/>
      <c r="AA2299" s="207"/>
      <c r="AB2299" s="369"/>
      <c r="AC2299" s="370"/>
      <c r="AD2299" s="332"/>
      <c r="AE2299" s="216"/>
      <c r="AF2299" s="43"/>
      <c r="AG2299" s="47"/>
      <c r="AH2299" s="30"/>
      <c r="AI2299" s="30"/>
      <c r="AJ2299" s="30"/>
      <c r="AK2299" s="30"/>
      <c r="AL2299" s="13"/>
      <c r="AM2299" s="13"/>
      <c r="AN2299" s="13"/>
      <c r="AO2299" s="13"/>
      <c r="AP2299" s="13"/>
      <c r="AQ2299" s="14"/>
      <c r="AR2299" s="15"/>
    </row>
    <row r="2300" spans="1:44" s="17" customFormat="1" ht="30.95" customHeight="1" x14ac:dyDescent="0.2">
      <c r="A2300" s="343"/>
      <c r="B2300" s="344"/>
      <c r="C2300" s="345"/>
      <c r="D2300" s="398"/>
      <c r="E2300" s="31"/>
      <c r="F2300" s="268"/>
      <c r="G2300" s="269"/>
      <c r="H2300" s="269"/>
      <c r="I2300" s="270"/>
      <c r="J2300" s="32"/>
      <c r="K2300" s="270"/>
      <c r="L2300" s="270"/>
      <c r="M2300" s="39"/>
      <c r="N2300" s="39"/>
      <c r="O2300" s="47"/>
      <c r="P2300" s="57"/>
      <c r="Q2300" s="276"/>
      <c r="R2300" s="277"/>
      <c r="S2300" s="277"/>
      <c r="T2300" s="40"/>
      <c r="U2300" s="278"/>
      <c r="V2300" s="269"/>
      <c r="W2300" s="269"/>
      <c r="X2300" s="275"/>
      <c r="Y2300" s="269"/>
      <c r="Z2300" s="357"/>
      <c r="AA2300" s="207"/>
      <c r="AB2300" s="369"/>
      <c r="AC2300" s="370"/>
      <c r="AD2300" s="332"/>
      <c r="AE2300" s="216"/>
      <c r="AF2300" s="43"/>
      <c r="AG2300" s="47"/>
      <c r="AH2300" s="30"/>
      <c r="AI2300" s="30"/>
      <c r="AJ2300" s="30"/>
      <c r="AK2300" s="30"/>
      <c r="AL2300" s="13"/>
      <c r="AM2300" s="13"/>
      <c r="AN2300" s="13"/>
      <c r="AO2300" s="13"/>
      <c r="AP2300" s="13"/>
      <c r="AQ2300" s="14"/>
      <c r="AR2300" s="15"/>
    </row>
    <row r="2301" spans="1:44" s="17" customFormat="1" ht="30.95" customHeight="1" x14ac:dyDescent="0.2">
      <c r="A2301" s="343" t="s">
        <v>3330</v>
      </c>
      <c r="B2301" s="344" t="s">
        <v>3331</v>
      </c>
      <c r="C2301" s="345"/>
      <c r="D2301" s="398"/>
      <c r="E2301" s="31"/>
      <c r="F2301" s="268"/>
      <c r="G2301" s="269"/>
      <c r="H2301" s="269"/>
      <c r="I2301" s="341" t="s">
        <v>3332</v>
      </c>
      <c r="J2301" s="32"/>
      <c r="K2301" s="270"/>
      <c r="L2301" s="270"/>
      <c r="M2301" s="39"/>
      <c r="N2301" s="39"/>
      <c r="O2301" s="47"/>
      <c r="P2301" s="57"/>
      <c r="Q2301" s="276"/>
      <c r="R2301" s="277"/>
      <c r="S2301" s="277"/>
      <c r="T2301" s="40"/>
      <c r="U2301" s="278"/>
      <c r="V2301" s="269"/>
      <c r="W2301" s="269"/>
      <c r="X2301" s="275"/>
      <c r="Y2301" s="269"/>
      <c r="Z2301" s="357"/>
      <c r="AA2301" s="207"/>
      <c r="AB2301" s="369"/>
      <c r="AC2301" s="370"/>
      <c r="AD2301" s="332"/>
      <c r="AE2301" s="216"/>
      <c r="AF2301" s="43"/>
      <c r="AG2301" s="47"/>
      <c r="AH2301" s="30"/>
      <c r="AI2301" s="30"/>
      <c r="AJ2301" s="30"/>
      <c r="AK2301" s="30"/>
      <c r="AL2301" s="13"/>
      <c r="AM2301" s="13"/>
      <c r="AN2301" s="13"/>
      <c r="AO2301" s="13"/>
      <c r="AP2301" s="13"/>
      <c r="AQ2301" s="14"/>
      <c r="AR2301" s="15"/>
    </row>
    <row r="2302" spans="1:44" s="17" customFormat="1" ht="30.95" customHeight="1" x14ac:dyDescent="0.2">
      <c r="A2302" s="343"/>
      <c r="B2302" s="344"/>
      <c r="C2302" s="345"/>
      <c r="D2302" s="398"/>
      <c r="E2302" s="31"/>
      <c r="F2302" s="268"/>
      <c r="G2302" s="269"/>
      <c r="H2302" s="269"/>
      <c r="I2302" s="270"/>
      <c r="J2302" s="32"/>
      <c r="K2302" s="270"/>
      <c r="L2302" s="270"/>
      <c r="M2302" s="39"/>
      <c r="N2302" s="39"/>
      <c r="O2302" s="47"/>
      <c r="P2302" s="57"/>
      <c r="Q2302" s="276"/>
      <c r="R2302" s="277"/>
      <c r="S2302" s="277"/>
      <c r="T2302" s="40"/>
      <c r="U2302" s="278"/>
      <c r="V2302" s="269"/>
      <c r="W2302" s="269"/>
      <c r="X2302" s="275"/>
      <c r="Y2302" s="269"/>
      <c r="Z2302" s="357"/>
      <c r="AA2302" s="207"/>
      <c r="AB2302" s="369"/>
      <c r="AC2302" s="370"/>
      <c r="AD2302" s="332"/>
      <c r="AE2302" s="216"/>
      <c r="AF2302" s="43"/>
      <c r="AG2302" s="47"/>
      <c r="AH2302" s="30"/>
      <c r="AI2302" s="30"/>
      <c r="AJ2302" s="30"/>
      <c r="AK2302" s="30"/>
      <c r="AL2302" s="13"/>
      <c r="AM2302" s="13"/>
      <c r="AN2302" s="13"/>
      <c r="AO2302" s="13"/>
      <c r="AP2302" s="13"/>
      <c r="AQ2302" s="14"/>
      <c r="AR2302" s="15"/>
    </row>
    <row r="2303" spans="1:44" s="17" customFormat="1" ht="30.95" customHeight="1" x14ac:dyDescent="0.2">
      <c r="A2303" s="343"/>
      <c r="B2303" s="344"/>
      <c r="C2303" s="345"/>
      <c r="D2303" s="398"/>
      <c r="E2303" s="31"/>
      <c r="F2303" s="268"/>
      <c r="G2303" s="269"/>
      <c r="H2303" s="269"/>
      <c r="I2303" s="270"/>
      <c r="J2303" s="32"/>
      <c r="K2303" s="270"/>
      <c r="L2303" s="270"/>
      <c r="M2303" s="39"/>
      <c r="N2303" s="39"/>
      <c r="O2303" s="47"/>
      <c r="P2303" s="57"/>
      <c r="Q2303" s="276"/>
      <c r="R2303" s="277"/>
      <c r="S2303" s="277"/>
      <c r="T2303" s="40"/>
      <c r="U2303" s="278"/>
      <c r="V2303" s="269"/>
      <c r="W2303" s="269"/>
      <c r="X2303" s="275"/>
      <c r="Y2303" s="269"/>
      <c r="Z2303" s="357"/>
      <c r="AA2303" s="207"/>
      <c r="AB2303" s="369"/>
      <c r="AC2303" s="370"/>
      <c r="AD2303" s="332"/>
      <c r="AE2303" s="216"/>
      <c r="AF2303" s="43"/>
      <c r="AG2303" s="47"/>
      <c r="AH2303" s="30"/>
      <c r="AI2303" s="30"/>
      <c r="AJ2303" s="30"/>
      <c r="AK2303" s="30"/>
      <c r="AL2303" s="13"/>
      <c r="AM2303" s="13"/>
      <c r="AN2303" s="13"/>
      <c r="AO2303" s="13"/>
      <c r="AP2303" s="13"/>
      <c r="AQ2303" s="14"/>
      <c r="AR2303" s="15"/>
    </row>
    <row r="2304" spans="1:44" s="17" customFormat="1" ht="30.95" customHeight="1" x14ac:dyDescent="0.2">
      <c r="A2304" s="343"/>
      <c r="B2304" s="344"/>
      <c r="C2304" s="345"/>
      <c r="D2304" s="398"/>
      <c r="E2304" s="31"/>
      <c r="F2304" s="268"/>
      <c r="G2304" s="269"/>
      <c r="H2304" s="269"/>
      <c r="I2304" s="270"/>
      <c r="J2304" s="32"/>
      <c r="K2304" s="270"/>
      <c r="L2304" s="270"/>
      <c r="M2304" s="39"/>
      <c r="N2304" s="39"/>
      <c r="O2304" s="47"/>
      <c r="P2304" s="57"/>
      <c r="Q2304" s="276"/>
      <c r="R2304" s="277"/>
      <c r="S2304" s="277"/>
      <c r="T2304" s="40"/>
      <c r="U2304" s="278"/>
      <c r="V2304" s="269"/>
      <c r="W2304" s="269"/>
      <c r="X2304" s="275"/>
      <c r="Y2304" s="269"/>
      <c r="Z2304" s="357"/>
      <c r="AA2304" s="207"/>
      <c r="AB2304" s="369"/>
      <c r="AC2304" s="370"/>
      <c r="AD2304" s="332"/>
      <c r="AE2304" s="216"/>
      <c r="AF2304" s="43"/>
      <c r="AG2304" s="47"/>
      <c r="AH2304" s="30"/>
      <c r="AI2304" s="30"/>
      <c r="AJ2304" s="30"/>
      <c r="AK2304" s="30"/>
      <c r="AL2304" s="13"/>
      <c r="AM2304" s="13"/>
      <c r="AN2304" s="13"/>
      <c r="AO2304" s="13"/>
      <c r="AP2304" s="13"/>
      <c r="AQ2304" s="14"/>
      <c r="AR2304" s="15"/>
    </row>
    <row r="2305" spans="1:44" s="17" customFormat="1" ht="30.95" customHeight="1" x14ac:dyDescent="0.2">
      <c r="A2305" s="343"/>
      <c r="B2305" s="344"/>
      <c r="C2305" s="345"/>
      <c r="D2305" s="398"/>
      <c r="E2305" s="31"/>
      <c r="F2305" s="268"/>
      <c r="G2305" s="269"/>
      <c r="H2305" s="269"/>
      <c r="I2305" s="270"/>
      <c r="J2305" s="32"/>
      <c r="K2305" s="270"/>
      <c r="L2305" s="270"/>
      <c r="M2305" s="39"/>
      <c r="N2305" s="39"/>
      <c r="O2305" s="47"/>
      <c r="P2305" s="57"/>
      <c r="Q2305" s="276"/>
      <c r="R2305" s="277"/>
      <c r="S2305" s="277"/>
      <c r="T2305" s="40"/>
      <c r="U2305" s="278"/>
      <c r="V2305" s="269"/>
      <c r="W2305" s="269"/>
      <c r="X2305" s="275"/>
      <c r="Y2305" s="269"/>
      <c r="Z2305" s="357"/>
      <c r="AA2305" s="207"/>
      <c r="AB2305" s="369"/>
      <c r="AC2305" s="370"/>
      <c r="AD2305" s="332"/>
      <c r="AE2305" s="216"/>
      <c r="AF2305" s="43"/>
      <c r="AG2305" s="47"/>
      <c r="AH2305" s="30"/>
      <c r="AI2305" s="30"/>
      <c r="AJ2305" s="30"/>
      <c r="AK2305" s="30"/>
      <c r="AL2305" s="13"/>
      <c r="AM2305" s="13"/>
      <c r="AN2305" s="13"/>
      <c r="AO2305" s="13"/>
      <c r="AP2305" s="13"/>
      <c r="AQ2305" s="14"/>
      <c r="AR2305" s="15"/>
    </row>
    <row r="2306" spans="1:44" s="17" customFormat="1" ht="30.95" customHeight="1" x14ac:dyDescent="0.2">
      <c r="A2306" s="343"/>
      <c r="B2306" s="344"/>
      <c r="C2306" s="345"/>
      <c r="D2306" s="398"/>
      <c r="E2306" s="31"/>
      <c r="F2306" s="268"/>
      <c r="G2306" s="269"/>
      <c r="H2306" s="269"/>
      <c r="I2306" s="270"/>
      <c r="J2306" s="32"/>
      <c r="K2306" s="270"/>
      <c r="L2306" s="270"/>
      <c r="M2306" s="39"/>
      <c r="N2306" s="39"/>
      <c r="O2306" s="47"/>
      <c r="P2306" s="57"/>
      <c r="Q2306" s="276"/>
      <c r="R2306" s="277"/>
      <c r="S2306" s="277"/>
      <c r="T2306" s="40"/>
      <c r="U2306" s="278"/>
      <c r="V2306" s="269"/>
      <c r="W2306" s="269"/>
      <c r="X2306" s="275"/>
      <c r="Y2306" s="269"/>
      <c r="Z2306" s="357"/>
      <c r="AA2306" s="207"/>
      <c r="AB2306" s="369"/>
      <c r="AC2306" s="370"/>
      <c r="AD2306" s="332"/>
      <c r="AE2306" s="216"/>
      <c r="AF2306" s="43"/>
      <c r="AG2306" s="47"/>
      <c r="AH2306" s="30"/>
      <c r="AI2306" s="30"/>
      <c r="AJ2306" s="30"/>
      <c r="AK2306" s="30"/>
      <c r="AL2306" s="13"/>
      <c r="AM2306" s="13"/>
      <c r="AN2306" s="13"/>
      <c r="AO2306" s="13"/>
      <c r="AP2306" s="13"/>
      <c r="AQ2306" s="14"/>
      <c r="AR2306" s="15"/>
    </row>
    <row r="2307" spans="1:44" s="17" customFormat="1" ht="30.95" customHeight="1" x14ac:dyDescent="0.2">
      <c r="A2307" s="343"/>
      <c r="B2307" s="344"/>
      <c r="C2307" s="345"/>
      <c r="D2307" s="398"/>
      <c r="E2307" s="31"/>
      <c r="F2307" s="268"/>
      <c r="G2307" s="269"/>
      <c r="H2307" s="269"/>
      <c r="I2307" s="270"/>
      <c r="J2307" s="32"/>
      <c r="K2307" s="270"/>
      <c r="L2307" s="270"/>
      <c r="M2307" s="39"/>
      <c r="N2307" s="39"/>
      <c r="O2307" s="47"/>
      <c r="P2307" s="57"/>
      <c r="Q2307" s="276"/>
      <c r="R2307" s="277"/>
      <c r="S2307" s="277"/>
      <c r="T2307" s="40"/>
      <c r="U2307" s="278"/>
      <c r="V2307" s="269"/>
      <c r="W2307" s="269"/>
      <c r="X2307" s="275"/>
      <c r="Y2307" s="269"/>
      <c r="Z2307" s="357"/>
      <c r="AA2307" s="207"/>
      <c r="AB2307" s="369"/>
      <c r="AC2307" s="370"/>
      <c r="AD2307" s="332"/>
      <c r="AE2307" s="216"/>
      <c r="AF2307" s="43"/>
      <c r="AG2307" s="47"/>
      <c r="AH2307" s="30"/>
      <c r="AI2307" s="30"/>
      <c r="AJ2307" s="30"/>
      <c r="AK2307" s="30"/>
      <c r="AL2307" s="13"/>
      <c r="AM2307" s="13"/>
      <c r="AN2307" s="13"/>
      <c r="AO2307" s="13"/>
      <c r="AP2307" s="13"/>
      <c r="AQ2307" s="14"/>
      <c r="AR2307" s="15"/>
    </row>
    <row r="2308" spans="1:44" s="17" customFormat="1" ht="30.95" customHeight="1" x14ac:dyDescent="0.2">
      <c r="A2308" s="343"/>
      <c r="B2308" s="344"/>
      <c r="C2308" s="345"/>
      <c r="D2308" s="398"/>
      <c r="E2308" s="31"/>
      <c r="F2308" s="268"/>
      <c r="G2308" s="269"/>
      <c r="H2308" s="269"/>
      <c r="I2308" s="270"/>
      <c r="J2308" s="32"/>
      <c r="K2308" s="270"/>
      <c r="L2308" s="270"/>
      <c r="M2308" s="39"/>
      <c r="N2308" s="39"/>
      <c r="O2308" s="47"/>
      <c r="P2308" s="57"/>
      <c r="Q2308" s="276"/>
      <c r="R2308" s="277"/>
      <c r="S2308" s="277"/>
      <c r="T2308" s="40"/>
      <c r="U2308" s="278"/>
      <c r="V2308" s="269"/>
      <c r="W2308" s="269"/>
      <c r="X2308" s="275"/>
      <c r="Y2308" s="269"/>
      <c r="Z2308" s="357"/>
      <c r="AA2308" s="207"/>
      <c r="AB2308" s="369"/>
      <c r="AC2308" s="370"/>
      <c r="AD2308" s="332"/>
      <c r="AE2308" s="216"/>
      <c r="AF2308" s="43"/>
      <c r="AG2308" s="47"/>
      <c r="AH2308" s="30"/>
      <c r="AI2308" s="30"/>
      <c r="AJ2308" s="30"/>
      <c r="AK2308" s="30"/>
      <c r="AL2308" s="13"/>
      <c r="AM2308" s="13"/>
      <c r="AN2308" s="13"/>
      <c r="AO2308" s="13"/>
      <c r="AP2308" s="13"/>
      <c r="AQ2308" s="14"/>
      <c r="AR2308" s="15"/>
    </row>
    <row r="2309" spans="1:44" s="17" customFormat="1" ht="30.95" customHeight="1" x14ac:dyDescent="0.2">
      <c r="A2309" s="343"/>
      <c r="B2309" s="344"/>
      <c r="C2309" s="345"/>
      <c r="D2309" s="398"/>
      <c r="E2309" s="31"/>
      <c r="F2309" s="268"/>
      <c r="G2309" s="269"/>
      <c r="H2309" s="269"/>
      <c r="I2309" s="270"/>
      <c r="J2309" s="32"/>
      <c r="K2309" s="270"/>
      <c r="L2309" s="270"/>
      <c r="M2309" s="39"/>
      <c r="N2309" s="39"/>
      <c r="O2309" s="47"/>
      <c r="P2309" s="57"/>
      <c r="Q2309" s="276"/>
      <c r="R2309" s="277"/>
      <c r="S2309" s="277"/>
      <c r="T2309" s="40"/>
      <c r="U2309" s="278"/>
      <c r="V2309" s="269"/>
      <c r="W2309" s="269"/>
      <c r="X2309" s="275"/>
      <c r="Y2309" s="269"/>
      <c r="Z2309" s="357"/>
      <c r="AA2309" s="207"/>
      <c r="AB2309" s="369"/>
      <c r="AC2309" s="370"/>
      <c r="AD2309" s="332"/>
      <c r="AE2309" s="216"/>
      <c r="AF2309" s="43"/>
      <c r="AG2309" s="47"/>
      <c r="AH2309" s="30"/>
      <c r="AI2309" s="30"/>
      <c r="AJ2309" s="30"/>
      <c r="AK2309" s="30"/>
      <c r="AL2309" s="13"/>
      <c r="AM2309" s="13"/>
      <c r="AN2309" s="13"/>
      <c r="AO2309" s="13"/>
      <c r="AP2309" s="13"/>
      <c r="AQ2309" s="14"/>
      <c r="AR2309" s="15"/>
    </row>
    <row r="2310" spans="1:44" s="17" customFormat="1" ht="30.95" customHeight="1" x14ac:dyDescent="0.2">
      <c r="A2310" s="343"/>
      <c r="B2310" s="344"/>
      <c r="C2310" s="345"/>
      <c r="D2310" s="398"/>
      <c r="E2310" s="31"/>
      <c r="F2310" s="268"/>
      <c r="G2310" s="269"/>
      <c r="H2310" s="269"/>
      <c r="I2310" s="270"/>
      <c r="J2310" s="32"/>
      <c r="K2310" s="270"/>
      <c r="L2310" s="270"/>
      <c r="M2310" s="39"/>
      <c r="N2310" s="39"/>
      <c r="O2310" s="47"/>
      <c r="P2310" s="57"/>
      <c r="Q2310" s="276"/>
      <c r="R2310" s="277"/>
      <c r="S2310" s="277"/>
      <c r="T2310" s="40"/>
      <c r="U2310" s="278"/>
      <c r="V2310" s="269"/>
      <c r="W2310" s="269"/>
      <c r="X2310" s="275"/>
      <c r="Y2310" s="269"/>
      <c r="Z2310" s="357"/>
      <c r="AA2310" s="207"/>
      <c r="AB2310" s="369"/>
      <c r="AC2310" s="370"/>
      <c r="AD2310" s="332"/>
      <c r="AE2310" s="216"/>
      <c r="AF2310" s="43"/>
      <c r="AG2310" s="47"/>
      <c r="AH2310" s="30"/>
      <c r="AI2310" s="30"/>
      <c r="AJ2310" s="30"/>
      <c r="AK2310" s="30"/>
      <c r="AL2310" s="13"/>
      <c r="AM2310" s="13"/>
      <c r="AN2310" s="13"/>
      <c r="AO2310" s="13"/>
      <c r="AP2310" s="13"/>
      <c r="AQ2310" s="14"/>
      <c r="AR2310" s="15"/>
    </row>
    <row r="2311" spans="1:44" s="17" customFormat="1" ht="30.95" customHeight="1" x14ac:dyDescent="0.2">
      <c r="A2311" s="343"/>
      <c r="B2311" s="344"/>
      <c r="C2311" s="345"/>
      <c r="D2311" s="398"/>
      <c r="E2311" s="31"/>
      <c r="F2311" s="268"/>
      <c r="G2311" s="269"/>
      <c r="H2311" s="269"/>
      <c r="I2311" s="270"/>
      <c r="J2311" s="32"/>
      <c r="K2311" s="270"/>
      <c r="L2311" s="270"/>
      <c r="M2311" s="39"/>
      <c r="N2311" s="39"/>
      <c r="O2311" s="47"/>
      <c r="P2311" s="57"/>
      <c r="Q2311" s="276"/>
      <c r="R2311" s="277"/>
      <c r="S2311" s="277"/>
      <c r="T2311" s="40"/>
      <c r="U2311" s="278"/>
      <c r="V2311" s="269"/>
      <c r="W2311" s="269"/>
      <c r="X2311" s="275"/>
      <c r="Y2311" s="269"/>
      <c r="Z2311" s="357"/>
      <c r="AA2311" s="207"/>
      <c r="AB2311" s="369"/>
      <c r="AC2311" s="370"/>
      <c r="AD2311" s="332"/>
      <c r="AE2311" s="216"/>
      <c r="AF2311" s="43"/>
      <c r="AG2311" s="47"/>
      <c r="AH2311" s="30"/>
      <c r="AI2311" s="30"/>
      <c r="AJ2311" s="30"/>
      <c r="AK2311" s="30"/>
      <c r="AL2311" s="13"/>
      <c r="AM2311" s="13"/>
      <c r="AN2311" s="13"/>
      <c r="AO2311" s="13"/>
      <c r="AP2311" s="13"/>
      <c r="AQ2311" s="14"/>
      <c r="AR2311" s="15"/>
    </row>
    <row r="2312" spans="1:44" s="17" customFormat="1" ht="30.95" customHeight="1" x14ac:dyDescent="0.2">
      <c r="A2312" s="343"/>
      <c r="B2312" s="344"/>
      <c r="C2312" s="345"/>
      <c r="D2312" s="398"/>
      <c r="E2312" s="31"/>
      <c r="F2312" s="268"/>
      <c r="G2312" s="269"/>
      <c r="H2312" s="269"/>
      <c r="I2312" s="270"/>
      <c r="J2312" s="32"/>
      <c r="K2312" s="270"/>
      <c r="L2312" s="270"/>
      <c r="M2312" s="39"/>
      <c r="N2312" s="39"/>
      <c r="O2312" s="47"/>
      <c r="P2312" s="57"/>
      <c r="Q2312" s="276"/>
      <c r="R2312" s="277"/>
      <c r="S2312" s="277"/>
      <c r="T2312" s="40"/>
      <c r="U2312" s="278"/>
      <c r="V2312" s="269"/>
      <c r="W2312" s="269"/>
      <c r="X2312" s="275"/>
      <c r="Y2312" s="269"/>
      <c r="Z2312" s="357"/>
      <c r="AA2312" s="207"/>
      <c r="AB2312" s="369"/>
      <c r="AC2312" s="370"/>
      <c r="AD2312" s="332"/>
      <c r="AE2312" s="216"/>
      <c r="AF2312" s="43"/>
      <c r="AG2312" s="47"/>
      <c r="AH2312" s="30"/>
      <c r="AI2312" s="30"/>
      <c r="AJ2312" s="30"/>
      <c r="AK2312" s="30"/>
      <c r="AL2312" s="13"/>
      <c r="AM2312" s="13"/>
      <c r="AN2312" s="13"/>
      <c r="AO2312" s="13"/>
      <c r="AP2312" s="13"/>
      <c r="AQ2312" s="14"/>
      <c r="AR2312" s="15"/>
    </row>
    <row r="2313" spans="1:44" s="17" customFormat="1" ht="30.95" customHeight="1" x14ac:dyDescent="0.2">
      <c r="A2313" s="343"/>
      <c r="B2313" s="344"/>
      <c r="C2313" s="345"/>
      <c r="D2313" s="398"/>
      <c r="E2313" s="31"/>
      <c r="F2313" s="268"/>
      <c r="G2313" s="269"/>
      <c r="H2313" s="269"/>
      <c r="I2313" s="270"/>
      <c r="J2313" s="32"/>
      <c r="K2313" s="270"/>
      <c r="L2313" s="270"/>
      <c r="M2313" s="39"/>
      <c r="N2313" s="39"/>
      <c r="O2313" s="47"/>
      <c r="P2313" s="57"/>
      <c r="Q2313" s="276"/>
      <c r="R2313" s="277"/>
      <c r="S2313" s="277"/>
      <c r="T2313" s="40"/>
      <c r="U2313" s="278"/>
      <c r="V2313" s="269"/>
      <c r="W2313" s="269"/>
      <c r="X2313" s="275"/>
      <c r="Y2313" s="269"/>
      <c r="Z2313" s="357"/>
      <c r="AA2313" s="207"/>
      <c r="AB2313" s="369"/>
      <c r="AC2313" s="370"/>
      <c r="AD2313" s="332"/>
      <c r="AE2313" s="216"/>
      <c r="AF2313" s="43"/>
      <c r="AG2313" s="47"/>
      <c r="AH2313" s="30"/>
      <c r="AI2313" s="30"/>
      <c r="AJ2313" s="30"/>
      <c r="AK2313" s="30"/>
      <c r="AL2313" s="13"/>
      <c r="AM2313" s="13"/>
      <c r="AN2313" s="13"/>
      <c r="AO2313" s="13"/>
      <c r="AP2313" s="13"/>
      <c r="AQ2313" s="14"/>
      <c r="AR2313" s="15"/>
    </row>
    <row r="2314" spans="1:44" s="17" customFormat="1" ht="30.95" customHeight="1" x14ac:dyDescent="0.2">
      <c r="A2314" s="343"/>
      <c r="B2314" s="344"/>
      <c r="C2314" s="345"/>
      <c r="D2314" s="398"/>
      <c r="E2314" s="31"/>
      <c r="F2314" s="268"/>
      <c r="G2314" s="269"/>
      <c r="H2314" s="269"/>
      <c r="I2314" s="270"/>
      <c r="J2314" s="32"/>
      <c r="K2314" s="270"/>
      <c r="L2314" s="270"/>
      <c r="M2314" s="39"/>
      <c r="N2314" s="39"/>
      <c r="O2314" s="47"/>
      <c r="P2314" s="57"/>
      <c r="Q2314" s="276"/>
      <c r="R2314" s="277"/>
      <c r="S2314" s="277"/>
      <c r="T2314" s="40"/>
      <c r="U2314" s="278"/>
      <c r="V2314" s="269"/>
      <c r="W2314" s="269"/>
      <c r="X2314" s="275"/>
      <c r="Y2314" s="269"/>
      <c r="Z2314" s="357"/>
      <c r="AA2314" s="207"/>
      <c r="AB2314" s="369"/>
      <c r="AC2314" s="370"/>
      <c r="AD2314" s="332"/>
      <c r="AE2314" s="216"/>
      <c r="AF2314" s="43"/>
      <c r="AG2314" s="47"/>
      <c r="AH2314" s="30"/>
      <c r="AI2314" s="30"/>
      <c r="AJ2314" s="30"/>
      <c r="AK2314" s="30"/>
      <c r="AL2314" s="13"/>
      <c r="AM2314" s="13"/>
      <c r="AN2314" s="13"/>
      <c r="AO2314" s="13"/>
      <c r="AP2314" s="13"/>
      <c r="AQ2314" s="14"/>
      <c r="AR2314" s="15"/>
    </row>
    <row r="2315" spans="1:44" s="17" customFormat="1" ht="30.95" customHeight="1" x14ac:dyDescent="0.2">
      <c r="A2315" s="343"/>
      <c r="B2315" s="344"/>
      <c r="C2315" s="345"/>
      <c r="D2315" s="398"/>
      <c r="E2315" s="31"/>
      <c r="F2315" s="268" t="str">
        <f>IF(D2315="","",VLOOKUP(D2315,契約台帳!$A$3:$K$4986,6,FALSE)&amp;VLOOKUP(D2315,契約台帳!$A$3:$K$4986,7,FALSE)&amp;VLOOKUP(D2315,契約台帳!$A$3:$K$4986,8,FALSE)&amp;VLOOKUP(D2315,契約台帳!$A$3:$K$4986,9,FALSE)&amp;VLOOKUP(D2315,契約台帳!$A$3:$K$4986,11,FALSE))</f>
        <v/>
      </c>
      <c r="G2315" s="269" t="str">
        <f>IF(D2315="","",VLOOKUP(F2315,製品マスタ!$G$5:$H$5002,2,FALSE))</f>
        <v/>
      </c>
      <c r="H2315" s="269" t="str">
        <f>IF(D2315="","",VLOOKUP(F2315,製品マスタ!$G$5:$K$5002,5,FALSE))</f>
        <v/>
      </c>
      <c r="I2315" s="270" t="str">
        <f>IF(D2315="","",VLOOKUP(F2315,製品マスタ!$G$5:$L$5002,6,FALSE))</f>
        <v/>
      </c>
      <c r="J2315" s="32" t="s">
        <v>447</v>
      </c>
      <c r="K2315" s="270" t="str">
        <f>IF(D2315="","",VLOOKUP(D2315,契約台帳!$A$3:$L$4986,12,FALSE))</f>
        <v/>
      </c>
      <c r="L2315" s="270" t="str">
        <f>IF(D2315="","",INDEX(製品マスタ!$Q$5:$Q$5002,MATCH(F2315&amp;K2315,製品マスタ!$AO$5:$AO$5002,0)))</f>
        <v/>
      </c>
      <c r="M2315" s="39"/>
      <c r="N2315" s="39"/>
      <c r="O2315" s="47"/>
      <c r="P2315" s="57"/>
      <c r="Q2315" s="276" t="str">
        <f>IF(D2315="","",IF(J2315="リード付け",M2315,VLOOKUP(D2315,契約台帳!$A$3:$N$4986,14,FALSE)))</f>
        <v/>
      </c>
      <c r="R2315" s="277" t="str">
        <f>IF(D2315="","",IF(J2315="リード付け",M2315,VLOOKUP(D2315,契約台帳!$A$3:$O$4986,15,FALSE)))</f>
        <v/>
      </c>
      <c r="S2315" s="277" t="str">
        <f>IF(D2315="","",IF(J2315="リード付け",N2315,VLOOKUP(D2315,契約台帳!$A$3:$P$4986,16,FALSE)))</f>
        <v/>
      </c>
      <c r="T2315" s="40"/>
      <c r="U2315" s="278" t="str">
        <f ca="1">IF(D2315="","",IF(OFFSET(D2315,-2,0)=D2315,"",VLOOKUP(D2315,契約台帳!$A$3:$R$4986,18,FALSE)))</f>
        <v/>
      </c>
      <c r="V2315" s="269" t="e">
        <f>IF(J2315="巻返し",VLOOKUP(F2315&amp;K2315&amp;M2315,製品マスタ!$M$5:$AD$5002,18,FALSE),IF(J2315="リード付け","原反コア",IF(J2315="スリット",VLOOKUP(F2315&amp;K2315&amp;Q2315,製品マスタ!$N$5:$AD$5002,17,FALSE),"")))</f>
        <v>#N/A</v>
      </c>
      <c r="W2315" s="269" t="e">
        <f>IF(J2315="巻返し",VLOOKUP(F2315&amp;K2315&amp;M2315,製品マスタ!$M$5:$AE$5002,19,FALSE),IF(J2315="リード付け","-",IF(J2315="スリット",VLOOKUP(F2315&amp;K2315&amp;Q2315,製品マスタ!$N$5:$AE$5002,18,FALSE),"")))</f>
        <v>#N/A</v>
      </c>
      <c r="X2315" s="275" t="str">
        <f>IF(D2315="","",VLOOKUP(D2315,契約台帳!$A$3:$Q$4986,17,FALSE))</f>
        <v/>
      </c>
      <c r="Y2315" s="269" t="str">
        <f>IF(D2315="","",VLOOKUP(D2315,契約台帳!$A$3:$E$4986,5,FALSE))</f>
        <v/>
      </c>
      <c r="Z2315" s="357"/>
      <c r="AA2315" s="207"/>
      <c r="AB2315" s="369"/>
      <c r="AC2315" s="370"/>
      <c r="AD2315" s="332" t="str">
        <f t="shared" ref="AD2315:AD2346" si="6">IF(F2315="","",+F2315&amp;K2315)</f>
        <v/>
      </c>
      <c r="AE2315" s="216">
        <f t="shared" ref="AE2315:AE2346" si="7">+M2315*N2315*O2315/1000</f>
        <v>0</v>
      </c>
      <c r="AF2315" s="43" t="str">
        <f>IF(AD2315="","",VLOOKUP(AD2315,原価マスタ!$A$2:$AJ$1693,13,FALSE))</f>
        <v/>
      </c>
      <c r="AG2315" s="47" t="str">
        <f t="shared" ref="AG2315:AG2346" si="8">IF(AF2315="","",+AE2315*AF2315/100)</f>
        <v/>
      </c>
      <c r="AH2315" s="30"/>
      <c r="AI2315" s="30"/>
      <c r="AJ2315" s="30"/>
      <c r="AK2315" s="30"/>
      <c r="AL2315" s="13"/>
      <c r="AM2315" s="13"/>
      <c r="AN2315" s="13"/>
      <c r="AO2315" s="13"/>
      <c r="AP2315" s="13"/>
      <c r="AQ2315" s="14"/>
      <c r="AR2315" s="15"/>
    </row>
    <row r="2316" spans="1:44" s="17" customFormat="1" ht="30.95" customHeight="1" x14ac:dyDescent="0.2">
      <c r="A2316" s="343"/>
      <c r="B2316" s="344"/>
      <c r="C2316" s="345"/>
      <c r="D2316" s="398"/>
      <c r="E2316" s="31"/>
      <c r="F2316" s="268" t="str">
        <f>IF(D2316="","",VLOOKUP(D2316,契約台帳!$A$3:$K$4986,6,FALSE)&amp;VLOOKUP(D2316,契約台帳!$A$3:$K$4986,7,FALSE)&amp;VLOOKUP(D2316,契約台帳!$A$3:$K$4986,8,FALSE)&amp;VLOOKUP(D2316,契約台帳!$A$3:$K$4986,9,FALSE)&amp;VLOOKUP(D2316,契約台帳!$A$3:$K$4986,11,FALSE))</f>
        <v/>
      </c>
      <c r="G2316" s="269" t="str">
        <f>IF(D2316="","",VLOOKUP(F2316,製品マスタ!$G$5:$H$5002,2,FALSE))</f>
        <v/>
      </c>
      <c r="H2316" s="269" t="str">
        <f>IF(D2316="","",VLOOKUP(F2316,製品マスタ!$G$5:$K$5002,5,FALSE))</f>
        <v/>
      </c>
      <c r="I2316" s="270" t="str">
        <f>IF(D2316="","",VLOOKUP(F2316,製品マスタ!$G$5:$L$5002,6,FALSE))</f>
        <v/>
      </c>
      <c r="J2316" s="32" t="s">
        <v>447</v>
      </c>
      <c r="K2316" s="270" t="str">
        <f>IF(D2316="","",VLOOKUP(D2316,契約台帳!$A$3:$L$4986,12,FALSE))</f>
        <v/>
      </c>
      <c r="L2316" s="270" t="str">
        <f>IF(D2316="","",INDEX(製品マスタ!$Q$5:$Q$5002,MATCH(F2316&amp;K2316,製品マスタ!$AO$5:$AO$5002,0)))</f>
        <v/>
      </c>
      <c r="M2316" s="39"/>
      <c r="N2316" s="39"/>
      <c r="O2316" s="47"/>
      <c r="P2316" s="57"/>
      <c r="Q2316" s="276" t="str">
        <f>IF(D2316="","",IF(J2316="リード付け",M2316,VLOOKUP(D2316,契約台帳!$A$3:$N$4986,14,FALSE)))</f>
        <v/>
      </c>
      <c r="R2316" s="277" t="str">
        <f>IF(D2316="","",IF(J2316="リード付け",M2316,VLOOKUP(D2316,契約台帳!$A$3:$O$4986,15,FALSE)))</f>
        <v/>
      </c>
      <c r="S2316" s="277" t="str">
        <f>IF(D2316="","",IF(J2316="リード付け",N2316,VLOOKUP(D2316,契約台帳!$A$3:$P$4986,16,FALSE)))</f>
        <v/>
      </c>
      <c r="T2316" s="40"/>
      <c r="U2316" s="278" t="str">
        <f ca="1">IF(D2316="","",IF(OFFSET(D2316,-2,0)=D2316,"",VLOOKUP(D2316,契約台帳!$A$3:$R$4986,18,FALSE)))</f>
        <v/>
      </c>
      <c r="V2316" s="269" t="e">
        <f>IF(J2316="巻返し",VLOOKUP(F2316&amp;K2316&amp;M2316,製品マスタ!$M$5:$AD$5002,18,FALSE),IF(J2316="リード付け","原反コア",IF(J2316="スリット",VLOOKUP(F2316&amp;K2316&amp;Q2316,製品マスタ!$N$5:$AD$5002,17,FALSE),"")))</f>
        <v>#N/A</v>
      </c>
      <c r="W2316" s="269" t="e">
        <f>IF(J2316="巻返し",VLOOKUP(F2316&amp;K2316&amp;M2316,製品マスタ!$M$5:$AE$5002,19,FALSE),IF(J2316="リード付け","-",IF(J2316="スリット",VLOOKUP(F2316&amp;K2316&amp;Q2316,製品マスタ!$N$5:$AE$5002,18,FALSE),"")))</f>
        <v>#N/A</v>
      </c>
      <c r="X2316" s="275" t="str">
        <f>IF(D2316="","",VLOOKUP(D2316,契約台帳!$A$3:$Q$4986,17,FALSE))</f>
        <v/>
      </c>
      <c r="Y2316" s="269" t="str">
        <f>IF(D2316="","",VLOOKUP(D2316,契約台帳!$A$3:$E$4986,5,FALSE))</f>
        <v/>
      </c>
      <c r="Z2316" s="357"/>
      <c r="AA2316" s="207"/>
      <c r="AB2316" s="369"/>
      <c r="AC2316" s="370"/>
      <c r="AD2316" s="332" t="str">
        <f t="shared" si="6"/>
        <v/>
      </c>
      <c r="AE2316" s="216">
        <f t="shared" si="7"/>
        <v>0</v>
      </c>
      <c r="AF2316" s="43" t="str">
        <f>IF(AD2316="","",VLOOKUP(AD2316,原価マスタ!$A$2:$AJ$1693,13,FALSE))</f>
        <v/>
      </c>
      <c r="AG2316" s="47" t="str">
        <f t="shared" si="8"/>
        <v/>
      </c>
      <c r="AH2316" s="30"/>
      <c r="AI2316" s="30"/>
      <c r="AJ2316" s="30"/>
      <c r="AK2316" s="30"/>
      <c r="AL2316" s="13"/>
      <c r="AM2316" s="13"/>
      <c r="AN2316" s="13"/>
      <c r="AO2316" s="13"/>
      <c r="AP2316" s="13"/>
      <c r="AQ2316" s="14"/>
      <c r="AR2316" s="15"/>
    </row>
    <row r="2317" spans="1:44" s="17" customFormat="1" ht="30.95" customHeight="1" x14ac:dyDescent="0.2">
      <c r="A2317" s="343"/>
      <c r="B2317" s="344"/>
      <c r="C2317" s="345"/>
      <c r="D2317" s="398"/>
      <c r="E2317" s="31"/>
      <c r="F2317" s="268" t="str">
        <f>IF(D2317="","",VLOOKUP(D2317,契約台帳!$A$3:$K$4986,6,FALSE)&amp;VLOOKUP(D2317,契約台帳!$A$3:$K$4986,7,FALSE)&amp;VLOOKUP(D2317,契約台帳!$A$3:$K$4986,8,FALSE)&amp;VLOOKUP(D2317,契約台帳!$A$3:$K$4986,9,FALSE)&amp;VLOOKUP(D2317,契約台帳!$A$3:$K$4986,11,FALSE))</f>
        <v/>
      </c>
      <c r="G2317" s="269" t="str">
        <f>IF(D2317="","",VLOOKUP(F2317,製品マスタ!$G$5:$H$5002,2,FALSE))</f>
        <v/>
      </c>
      <c r="H2317" s="269" t="str">
        <f>IF(D2317="","",VLOOKUP(F2317,製品マスタ!$G$5:$K$5002,5,FALSE))</f>
        <v/>
      </c>
      <c r="I2317" s="270" t="str">
        <f>IF(D2317="","",VLOOKUP(F2317,製品マスタ!$G$5:$L$5002,6,FALSE))</f>
        <v/>
      </c>
      <c r="J2317" s="32" t="s">
        <v>447</v>
      </c>
      <c r="K2317" s="270" t="str">
        <f>IF(D2317="","",VLOOKUP(D2317,契約台帳!$A$3:$L$4986,12,FALSE))</f>
        <v/>
      </c>
      <c r="L2317" s="270" t="str">
        <f>IF(D2317="","",INDEX(製品マスタ!$Q$5:$Q$5002,MATCH(F2317&amp;K2317,製品マスタ!$AO$5:$AO$5002,0)))</f>
        <v/>
      </c>
      <c r="M2317" s="39"/>
      <c r="N2317" s="39"/>
      <c r="O2317" s="47"/>
      <c r="P2317" s="57"/>
      <c r="Q2317" s="276" t="str">
        <f>IF(D2317="","",IF(J2317="リード付け",M2317,VLOOKUP(D2317,契約台帳!$A$3:$N$4986,14,FALSE)))</f>
        <v/>
      </c>
      <c r="R2317" s="277" t="str">
        <f>IF(D2317="","",IF(J2317="リード付け",M2317,VLOOKUP(D2317,契約台帳!$A$3:$O$4986,15,FALSE)))</f>
        <v/>
      </c>
      <c r="S2317" s="277" t="str">
        <f>IF(D2317="","",IF(J2317="リード付け",N2317,VLOOKUP(D2317,契約台帳!$A$3:$P$4986,16,FALSE)))</f>
        <v/>
      </c>
      <c r="T2317" s="40"/>
      <c r="U2317" s="278" t="str">
        <f ca="1">IF(D2317="","",IF(OFFSET(D2317,-2,0)=D2317,"",VLOOKUP(D2317,契約台帳!$A$3:$R$4986,18,FALSE)))</f>
        <v/>
      </c>
      <c r="V2317" s="269" t="e">
        <f>IF(J2317="巻返し",VLOOKUP(F2317&amp;K2317&amp;M2317,製品マスタ!$M$5:$AD$5002,18,FALSE),IF(J2317="リード付け","原反コア",IF(J2317="スリット",VLOOKUP(F2317&amp;K2317&amp;Q2317,製品マスタ!$N$5:$AD$5002,17,FALSE),"")))</f>
        <v>#N/A</v>
      </c>
      <c r="W2317" s="269" t="e">
        <f>IF(J2317="巻返し",VLOOKUP(F2317&amp;K2317&amp;M2317,製品マスタ!$M$5:$AE$5002,19,FALSE),IF(J2317="リード付け","-",IF(J2317="スリット",VLOOKUP(F2317&amp;K2317&amp;Q2317,製品マスタ!$N$5:$AE$5002,18,FALSE),"")))</f>
        <v>#N/A</v>
      </c>
      <c r="X2317" s="275" t="str">
        <f>IF(D2317="","",VLOOKUP(D2317,契約台帳!$A$3:$Q$4986,17,FALSE))</f>
        <v/>
      </c>
      <c r="Y2317" s="269" t="str">
        <f>IF(D2317="","",VLOOKUP(D2317,契約台帳!$A$3:$E$4986,5,FALSE))</f>
        <v/>
      </c>
      <c r="Z2317" s="357"/>
      <c r="AA2317" s="207"/>
      <c r="AB2317" s="369"/>
      <c r="AC2317" s="370"/>
      <c r="AD2317" s="332" t="str">
        <f t="shared" si="6"/>
        <v/>
      </c>
      <c r="AE2317" s="216">
        <f t="shared" si="7"/>
        <v>0</v>
      </c>
      <c r="AF2317" s="43" t="str">
        <f>IF(AD2317="","",VLOOKUP(AD2317,原価マスタ!$A$2:$AJ$1693,13,FALSE))</f>
        <v/>
      </c>
      <c r="AG2317" s="47" t="str">
        <f t="shared" si="8"/>
        <v/>
      </c>
      <c r="AH2317" s="30"/>
      <c r="AI2317" s="30"/>
      <c r="AJ2317" s="30"/>
      <c r="AK2317" s="30"/>
      <c r="AL2317" s="13"/>
      <c r="AM2317" s="13"/>
      <c r="AN2317" s="13"/>
      <c r="AO2317" s="13"/>
      <c r="AP2317" s="13"/>
      <c r="AQ2317" s="14"/>
      <c r="AR2317" s="15"/>
    </row>
    <row r="2318" spans="1:44" s="17" customFormat="1" ht="30.95" customHeight="1" x14ac:dyDescent="0.2">
      <c r="A2318" s="343"/>
      <c r="B2318" s="344"/>
      <c r="C2318" s="345"/>
      <c r="D2318" s="398"/>
      <c r="E2318" s="31"/>
      <c r="F2318" s="268" t="str">
        <f>IF(D2318="","",VLOOKUP(D2318,契約台帳!$A$3:$K$4986,6,FALSE)&amp;VLOOKUP(D2318,契約台帳!$A$3:$K$4986,7,FALSE)&amp;VLOOKUP(D2318,契約台帳!$A$3:$K$4986,8,FALSE)&amp;VLOOKUP(D2318,契約台帳!$A$3:$K$4986,9,FALSE)&amp;VLOOKUP(D2318,契約台帳!$A$3:$K$4986,11,FALSE))</f>
        <v/>
      </c>
      <c r="G2318" s="269" t="str">
        <f>IF(D2318="","",VLOOKUP(F2318,製品マスタ!$G$5:$H$5002,2,FALSE))</f>
        <v/>
      </c>
      <c r="H2318" s="269" t="str">
        <f>IF(D2318="","",VLOOKUP(F2318,製品マスタ!$G$5:$K$5002,5,FALSE))</f>
        <v/>
      </c>
      <c r="I2318" s="270" t="str">
        <f>IF(D2318="","",VLOOKUP(F2318,製品マスタ!$G$5:$L$5002,6,FALSE))</f>
        <v/>
      </c>
      <c r="J2318" s="32" t="s">
        <v>447</v>
      </c>
      <c r="K2318" s="270" t="str">
        <f>IF(D2318="","",VLOOKUP(D2318,契約台帳!$A$3:$L$4986,12,FALSE))</f>
        <v/>
      </c>
      <c r="L2318" s="270" t="str">
        <f>IF(D2318="","",INDEX(製品マスタ!$Q$5:$Q$5002,MATCH(F2318&amp;K2318,製品マスタ!$AO$5:$AO$5002,0)))</f>
        <v/>
      </c>
      <c r="M2318" s="39"/>
      <c r="N2318" s="39"/>
      <c r="O2318" s="47"/>
      <c r="P2318" s="57"/>
      <c r="Q2318" s="276" t="str">
        <f>IF(D2318="","",IF(J2318="リード付け",M2318,VLOOKUP(D2318,契約台帳!$A$3:$N$4986,14,FALSE)))</f>
        <v/>
      </c>
      <c r="R2318" s="277" t="str">
        <f>IF(D2318="","",IF(J2318="リード付け",M2318,VLOOKUP(D2318,契約台帳!$A$3:$O$4986,15,FALSE)))</f>
        <v/>
      </c>
      <c r="S2318" s="277" t="str">
        <f>IF(D2318="","",IF(J2318="リード付け",N2318,VLOOKUP(D2318,契約台帳!$A$3:$P$4986,16,FALSE)))</f>
        <v/>
      </c>
      <c r="T2318" s="40"/>
      <c r="U2318" s="278" t="str">
        <f ca="1">IF(D2318="","",IF(OFFSET(D2318,-2,0)=D2318,"",VLOOKUP(D2318,契約台帳!$A$3:$R$4986,18,FALSE)))</f>
        <v/>
      </c>
      <c r="V2318" s="269" t="e">
        <f>IF(J2318="巻返し",VLOOKUP(F2318&amp;K2318&amp;M2318,製品マスタ!$M$5:$AD$5002,18,FALSE),IF(J2318="リード付け","原反コア",IF(J2318="スリット",VLOOKUP(F2318&amp;K2318&amp;Q2318,製品マスタ!$N$5:$AD$5002,17,FALSE),"")))</f>
        <v>#N/A</v>
      </c>
      <c r="W2318" s="269" t="e">
        <f>IF(J2318="巻返し",VLOOKUP(F2318&amp;K2318&amp;M2318,製品マスタ!$M$5:$AE$5002,19,FALSE),IF(J2318="リード付け","-",IF(J2318="スリット",VLOOKUP(F2318&amp;K2318&amp;Q2318,製品マスタ!$N$5:$AE$5002,18,FALSE),"")))</f>
        <v>#N/A</v>
      </c>
      <c r="X2318" s="275" t="str">
        <f>IF(D2318="","",VLOOKUP(D2318,契約台帳!$A$3:$Q$4986,17,FALSE))</f>
        <v/>
      </c>
      <c r="Y2318" s="269" t="str">
        <f>IF(D2318="","",VLOOKUP(D2318,契約台帳!$A$3:$E$4986,5,FALSE))</f>
        <v/>
      </c>
      <c r="Z2318" s="357"/>
      <c r="AA2318" s="207"/>
      <c r="AB2318" s="369"/>
      <c r="AC2318" s="370"/>
      <c r="AD2318" s="332" t="str">
        <f t="shared" si="6"/>
        <v/>
      </c>
      <c r="AE2318" s="216">
        <f t="shared" si="7"/>
        <v>0</v>
      </c>
      <c r="AF2318" s="43" t="str">
        <f>IF(AD2318="","",VLOOKUP(AD2318,原価マスタ!$A$2:$AJ$1693,13,FALSE))</f>
        <v/>
      </c>
      <c r="AG2318" s="47" t="str">
        <f t="shared" si="8"/>
        <v/>
      </c>
      <c r="AH2318" s="30"/>
      <c r="AI2318" s="30"/>
      <c r="AJ2318" s="30"/>
      <c r="AK2318" s="30"/>
      <c r="AL2318" s="13"/>
      <c r="AM2318" s="13"/>
      <c r="AN2318" s="13"/>
      <c r="AO2318" s="13"/>
      <c r="AP2318" s="13"/>
      <c r="AQ2318" s="14"/>
      <c r="AR2318" s="15"/>
    </row>
    <row r="2319" spans="1:44" s="17" customFormat="1" ht="30.95" customHeight="1" x14ac:dyDescent="0.2">
      <c r="A2319" s="343"/>
      <c r="B2319" s="344"/>
      <c r="C2319" s="345"/>
      <c r="D2319" s="398"/>
      <c r="E2319" s="31"/>
      <c r="F2319" s="268" t="str">
        <f>IF(D2319="","",VLOOKUP(D2319,契約台帳!$A$3:$K$4986,6,FALSE)&amp;VLOOKUP(D2319,契約台帳!$A$3:$K$4986,7,FALSE)&amp;VLOOKUP(D2319,契約台帳!$A$3:$K$4986,8,FALSE)&amp;VLOOKUP(D2319,契約台帳!$A$3:$K$4986,9,FALSE)&amp;VLOOKUP(D2319,契約台帳!$A$3:$K$4986,11,FALSE))</f>
        <v/>
      </c>
      <c r="G2319" s="269" t="str">
        <f>IF(D2319="","",VLOOKUP(F2319,製品マスタ!$G$5:$H$5002,2,FALSE))</f>
        <v/>
      </c>
      <c r="H2319" s="269" t="str">
        <f>IF(D2319="","",VLOOKUP(F2319,製品マスタ!$G$5:$K$5002,5,FALSE))</f>
        <v/>
      </c>
      <c r="I2319" s="270" t="str">
        <f>IF(D2319="","",VLOOKUP(F2319,製品マスタ!$G$5:$L$5002,6,FALSE))</f>
        <v/>
      </c>
      <c r="J2319" s="32" t="s">
        <v>447</v>
      </c>
      <c r="K2319" s="270" t="str">
        <f>IF(D2319="","",VLOOKUP(D2319,契約台帳!$A$3:$L$4986,12,FALSE))</f>
        <v/>
      </c>
      <c r="L2319" s="270" t="str">
        <f>IF(D2319="","",INDEX(製品マスタ!$Q$5:$Q$5002,MATCH(F2319&amp;K2319,製品マスタ!$AO$5:$AO$5002,0)))</f>
        <v/>
      </c>
      <c r="M2319" s="39"/>
      <c r="N2319" s="39"/>
      <c r="O2319" s="47"/>
      <c r="P2319" s="57"/>
      <c r="Q2319" s="276" t="str">
        <f>IF(D2319="","",IF(J2319="リード付け",M2319,VLOOKUP(D2319,契約台帳!$A$3:$N$4986,14,FALSE)))</f>
        <v/>
      </c>
      <c r="R2319" s="277" t="str">
        <f>IF(D2319="","",IF(J2319="リード付け",M2319,VLOOKUP(D2319,契約台帳!$A$3:$O$4986,15,FALSE)))</f>
        <v/>
      </c>
      <c r="S2319" s="277" t="str">
        <f>IF(D2319="","",IF(J2319="リード付け",N2319,VLOOKUP(D2319,契約台帳!$A$3:$P$4986,16,FALSE)))</f>
        <v/>
      </c>
      <c r="T2319" s="40"/>
      <c r="U2319" s="278" t="str">
        <f ca="1">IF(D2319="","",IF(OFFSET(D2319,-2,0)=D2319,"",VLOOKUP(D2319,契約台帳!$A$3:$R$4986,18,FALSE)))</f>
        <v/>
      </c>
      <c r="V2319" s="269" t="e">
        <f>IF(J2319="巻返し",VLOOKUP(F2319&amp;K2319&amp;M2319,製品マスタ!$M$5:$AD$5002,18,FALSE),IF(J2319="リード付け","原反コア",IF(J2319="スリット",VLOOKUP(F2319&amp;K2319&amp;Q2319,製品マスタ!$N$5:$AD$5002,17,FALSE),"")))</f>
        <v>#N/A</v>
      </c>
      <c r="W2319" s="269" t="e">
        <f>IF(J2319="巻返し",VLOOKUP(F2319&amp;K2319&amp;M2319,製品マスタ!$M$5:$AE$5002,19,FALSE),IF(J2319="リード付け","-",IF(J2319="スリット",VLOOKUP(F2319&amp;K2319&amp;Q2319,製品マスタ!$N$5:$AE$5002,18,FALSE),"")))</f>
        <v>#N/A</v>
      </c>
      <c r="X2319" s="275" t="str">
        <f>IF(D2319="","",VLOOKUP(D2319,契約台帳!$A$3:$Q$4986,17,FALSE))</f>
        <v/>
      </c>
      <c r="Y2319" s="269" t="str">
        <f>IF(D2319="","",VLOOKUP(D2319,契約台帳!$A$3:$E$4986,5,FALSE))</f>
        <v/>
      </c>
      <c r="Z2319" s="357"/>
      <c r="AA2319" s="207"/>
      <c r="AB2319" s="369"/>
      <c r="AC2319" s="370"/>
      <c r="AD2319" s="332" t="str">
        <f t="shared" si="6"/>
        <v/>
      </c>
      <c r="AE2319" s="216">
        <f t="shared" si="7"/>
        <v>0</v>
      </c>
      <c r="AF2319" s="43" t="str">
        <f>IF(AD2319="","",VLOOKUP(AD2319,原価マスタ!$A$2:$AJ$1693,13,FALSE))</f>
        <v/>
      </c>
      <c r="AG2319" s="47" t="str">
        <f t="shared" si="8"/>
        <v/>
      </c>
      <c r="AH2319" s="30"/>
      <c r="AI2319" s="30"/>
      <c r="AJ2319" s="30"/>
      <c r="AK2319" s="30"/>
      <c r="AL2319" s="13"/>
      <c r="AM2319" s="13"/>
      <c r="AN2319" s="13"/>
      <c r="AO2319" s="13"/>
      <c r="AP2319" s="13"/>
      <c r="AQ2319" s="14"/>
      <c r="AR2319" s="15"/>
    </row>
    <row r="2320" spans="1:44" s="17" customFormat="1" ht="30.95" customHeight="1" x14ac:dyDescent="0.2">
      <c r="A2320" s="343"/>
      <c r="B2320" s="344"/>
      <c r="C2320" s="345"/>
      <c r="D2320" s="398"/>
      <c r="E2320" s="31"/>
      <c r="F2320" s="268" t="str">
        <f>IF(D2320="","",VLOOKUP(D2320,契約台帳!$A$3:$K$4986,6,FALSE)&amp;VLOOKUP(D2320,契約台帳!$A$3:$K$4986,7,FALSE)&amp;VLOOKUP(D2320,契約台帳!$A$3:$K$4986,8,FALSE)&amp;VLOOKUP(D2320,契約台帳!$A$3:$K$4986,9,FALSE)&amp;VLOOKUP(D2320,契約台帳!$A$3:$K$4986,11,FALSE))</f>
        <v/>
      </c>
      <c r="G2320" s="269" t="str">
        <f>IF(D2320="","",VLOOKUP(F2320,製品マスタ!$G$5:$H$5002,2,FALSE))</f>
        <v/>
      </c>
      <c r="H2320" s="269" t="str">
        <f>IF(D2320="","",VLOOKUP(F2320,製品マスタ!$G$5:$K$5002,5,FALSE))</f>
        <v/>
      </c>
      <c r="I2320" s="270" t="str">
        <f>IF(D2320="","",VLOOKUP(F2320,製品マスタ!$G$5:$L$5002,6,FALSE))</f>
        <v/>
      </c>
      <c r="J2320" s="32" t="s">
        <v>447</v>
      </c>
      <c r="K2320" s="270" t="str">
        <f>IF(D2320="","",VLOOKUP(D2320,契約台帳!$A$3:$L$4986,12,FALSE))</f>
        <v/>
      </c>
      <c r="L2320" s="270" t="str">
        <f>IF(D2320="","",INDEX(製品マスタ!$Q$5:$Q$5002,MATCH(F2320&amp;K2320,製品マスタ!$AO$5:$AO$5002,0)))</f>
        <v/>
      </c>
      <c r="M2320" s="39"/>
      <c r="N2320" s="39"/>
      <c r="O2320" s="47"/>
      <c r="P2320" s="57"/>
      <c r="Q2320" s="276" t="str">
        <f>IF(D2320="","",IF(J2320="リード付け",M2320,VLOOKUP(D2320,契約台帳!$A$3:$N$4986,14,FALSE)))</f>
        <v/>
      </c>
      <c r="R2320" s="277" t="str">
        <f>IF(D2320="","",IF(J2320="リード付け",M2320,VLOOKUP(D2320,契約台帳!$A$3:$O$4986,15,FALSE)))</f>
        <v/>
      </c>
      <c r="S2320" s="277" t="str">
        <f>IF(D2320="","",IF(J2320="リード付け",N2320,VLOOKUP(D2320,契約台帳!$A$3:$P$4986,16,FALSE)))</f>
        <v/>
      </c>
      <c r="T2320" s="40"/>
      <c r="U2320" s="278" t="str">
        <f ca="1">IF(D2320="","",IF(OFFSET(D2320,-2,0)=D2320,"",VLOOKUP(D2320,契約台帳!$A$3:$R$4986,18,FALSE)))</f>
        <v/>
      </c>
      <c r="V2320" s="269" t="e">
        <f>IF(J2320="巻返し",VLOOKUP(F2320&amp;K2320&amp;M2320,製品マスタ!$M$5:$AD$5002,18,FALSE),IF(J2320="リード付け","原反コア",IF(J2320="スリット",VLOOKUP(F2320&amp;K2320&amp;Q2320,製品マスタ!$N$5:$AD$5002,17,FALSE),"")))</f>
        <v>#N/A</v>
      </c>
      <c r="W2320" s="269" t="e">
        <f>IF(J2320="巻返し",VLOOKUP(F2320&amp;K2320&amp;M2320,製品マスタ!$M$5:$AE$5002,19,FALSE),IF(J2320="リード付け","-",IF(J2320="スリット",VLOOKUP(F2320&amp;K2320&amp;Q2320,製品マスタ!$N$5:$AE$5002,18,FALSE),"")))</f>
        <v>#N/A</v>
      </c>
      <c r="X2320" s="275" t="str">
        <f>IF(D2320="","",VLOOKUP(D2320,契約台帳!$A$3:$Q$4986,17,FALSE))</f>
        <v/>
      </c>
      <c r="Y2320" s="269" t="str">
        <f>IF(D2320="","",VLOOKUP(D2320,契約台帳!$A$3:$E$4986,5,FALSE))</f>
        <v/>
      </c>
      <c r="Z2320" s="357"/>
      <c r="AA2320" s="207"/>
      <c r="AB2320" s="369"/>
      <c r="AC2320" s="370"/>
      <c r="AD2320" s="332" t="str">
        <f t="shared" si="6"/>
        <v/>
      </c>
      <c r="AE2320" s="216">
        <f t="shared" si="7"/>
        <v>0</v>
      </c>
      <c r="AF2320" s="43" t="str">
        <f>IF(AD2320="","",VLOOKUP(AD2320,原価マスタ!$A$2:$AJ$1693,13,FALSE))</f>
        <v/>
      </c>
      <c r="AG2320" s="47" t="str">
        <f t="shared" si="8"/>
        <v/>
      </c>
      <c r="AH2320" s="30"/>
      <c r="AI2320" s="30"/>
      <c r="AJ2320" s="30"/>
      <c r="AK2320" s="30"/>
      <c r="AL2320" s="13"/>
      <c r="AM2320" s="13"/>
      <c r="AN2320" s="13"/>
      <c r="AO2320" s="13"/>
      <c r="AP2320" s="13"/>
      <c r="AQ2320" s="14"/>
      <c r="AR2320" s="15"/>
    </row>
    <row r="2321" spans="1:44" s="17" customFormat="1" ht="30.95" customHeight="1" x14ac:dyDescent="0.2">
      <c r="A2321" s="343"/>
      <c r="B2321" s="344"/>
      <c r="C2321" s="345"/>
      <c r="D2321" s="398"/>
      <c r="E2321" s="31"/>
      <c r="F2321" s="268" t="str">
        <f>IF(D2321="","",VLOOKUP(D2321,契約台帳!$A$3:$K$4986,6,FALSE)&amp;VLOOKUP(D2321,契約台帳!$A$3:$K$4986,7,FALSE)&amp;VLOOKUP(D2321,契約台帳!$A$3:$K$4986,8,FALSE)&amp;VLOOKUP(D2321,契約台帳!$A$3:$K$4986,9,FALSE)&amp;VLOOKUP(D2321,契約台帳!$A$3:$K$4986,11,FALSE))</f>
        <v/>
      </c>
      <c r="G2321" s="269" t="str">
        <f>IF(D2321="","",VLOOKUP(F2321,製品マスタ!$G$5:$H$5002,2,FALSE))</f>
        <v/>
      </c>
      <c r="H2321" s="269" t="str">
        <f>IF(D2321="","",VLOOKUP(F2321,製品マスタ!$G$5:$K$5002,5,FALSE))</f>
        <v/>
      </c>
      <c r="I2321" s="270" t="str">
        <f>IF(D2321="","",VLOOKUP(F2321,製品マスタ!$G$5:$L$5002,6,FALSE))</f>
        <v/>
      </c>
      <c r="J2321" s="32" t="s">
        <v>447</v>
      </c>
      <c r="K2321" s="270" t="str">
        <f>IF(D2321="","",VLOOKUP(D2321,契約台帳!$A$3:$L$4986,12,FALSE))</f>
        <v/>
      </c>
      <c r="L2321" s="270" t="str">
        <f>IF(D2321="","",INDEX(製品マスタ!$Q$5:$Q$5002,MATCH(F2321&amp;K2321,製品マスタ!$AO$5:$AO$5002,0)))</f>
        <v/>
      </c>
      <c r="M2321" s="39"/>
      <c r="N2321" s="39"/>
      <c r="O2321" s="47"/>
      <c r="P2321" s="57"/>
      <c r="Q2321" s="276" t="str">
        <f>IF(D2321="","",IF(J2321="リード付け",M2321,VLOOKUP(D2321,契約台帳!$A$3:$N$4986,14,FALSE)))</f>
        <v/>
      </c>
      <c r="R2321" s="277" t="str">
        <f>IF(D2321="","",IF(J2321="リード付け",M2321,VLOOKUP(D2321,契約台帳!$A$3:$O$4986,15,FALSE)))</f>
        <v/>
      </c>
      <c r="S2321" s="277" t="str">
        <f>IF(D2321="","",IF(J2321="リード付け",N2321,VLOOKUP(D2321,契約台帳!$A$3:$P$4986,16,FALSE)))</f>
        <v/>
      </c>
      <c r="T2321" s="40"/>
      <c r="U2321" s="278" t="str">
        <f ca="1">IF(D2321="","",IF(OFFSET(D2321,-2,0)=D2321,"",VLOOKUP(D2321,契約台帳!$A$3:$R$4986,18,FALSE)))</f>
        <v/>
      </c>
      <c r="V2321" s="269" t="e">
        <f>IF(J2321="巻返し",VLOOKUP(F2321&amp;K2321&amp;M2321,製品マスタ!$M$5:$AD$5002,18,FALSE),IF(J2321="リード付け","原反コア",IF(J2321="スリット",VLOOKUP(F2321&amp;K2321&amp;Q2321,製品マスタ!$N$5:$AD$5002,17,FALSE),"")))</f>
        <v>#N/A</v>
      </c>
      <c r="W2321" s="269" t="e">
        <f>IF(J2321="巻返し",VLOOKUP(F2321&amp;K2321&amp;M2321,製品マスタ!$M$5:$AE$5002,19,FALSE),IF(J2321="リード付け","-",IF(J2321="スリット",VLOOKUP(F2321&amp;K2321&amp;Q2321,製品マスタ!$N$5:$AE$5002,18,FALSE),"")))</f>
        <v>#N/A</v>
      </c>
      <c r="X2321" s="275" t="str">
        <f>IF(D2321="","",VLOOKUP(D2321,契約台帳!$A$3:$Q$4986,17,FALSE))</f>
        <v/>
      </c>
      <c r="Y2321" s="269" t="str">
        <f>IF(D2321="","",VLOOKUP(D2321,契約台帳!$A$3:$E$4986,5,FALSE))</f>
        <v/>
      </c>
      <c r="Z2321" s="357"/>
      <c r="AA2321" s="207"/>
      <c r="AB2321" s="369"/>
      <c r="AC2321" s="370"/>
      <c r="AD2321" s="332" t="str">
        <f t="shared" si="6"/>
        <v/>
      </c>
      <c r="AE2321" s="216">
        <f t="shared" si="7"/>
        <v>0</v>
      </c>
      <c r="AF2321" s="43" t="str">
        <f>IF(AD2321="","",VLOOKUP(AD2321,原価マスタ!$A$2:$AJ$1693,13,FALSE))</f>
        <v/>
      </c>
      <c r="AG2321" s="47" t="str">
        <f t="shared" si="8"/>
        <v/>
      </c>
      <c r="AH2321" s="30"/>
      <c r="AI2321" s="30"/>
      <c r="AJ2321" s="30"/>
      <c r="AK2321" s="30"/>
      <c r="AL2321" s="13"/>
      <c r="AM2321" s="13"/>
      <c r="AN2321" s="13"/>
      <c r="AO2321" s="13"/>
      <c r="AP2321" s="13"/>
      <c r="AQ2321" s="14"/>
      <c r="AR2321" s="15"/>
    </row>
    <row r="2322" spans="1:44" s="17" customFormat="1" ht="30.95" customHeight="1" x14ac:dyDescent="0.2">
      <c r="A2322" s="343"/>
      <c r="B2322" s="344"/>
      <c r="C2322" s="345"/>
      <c r="D2322" s="398"/>
      <c r="E2322" s="31"/>
      <c r="F2322" s="268" t="str">
        <f>IF(D2322="","",VLOOKUP(D2322,契約台帳!$A$3:$K$4986,6,FALSE)&amp;VLOOKUP(D2322,契約台帳!$A$3:$K$4986,7,FALSE)&amp;VLOOKUP(D2322,契約台帳!$A$3:$K$4986,8,FALSE)&amp;VLOOKUP(D2322,契約台帳!$A$3:$K$4986,9,FALSE)&amp;VLOOKUP(D2322,契約台帳!$A$3:$K$4986,11,FALSE))</f>
        <v/>
      </c>
      <c r="G2322" s="269" t="str">
        <f>IF(D2322="","",VLOOKUP(F2322,製品マスタ!$G$5:$H$5002,2,FALSE))</f>
        <v/>
      </c>
      <c r="H2322" s="269" t="str">
        <f>IF(D2322="","",VLOOKUP(F2322,製品マスタ!$G$5:$K$5002,5,FALSE))</f>
        <v/>
      </c>
      <c r="I2322" s="270" t="str">
        <f>IF(D2322="","",VLOOKUP(F2322,製品マスタ!$G$5:$L$5002,6,FALSE))</f>
        <v/>
      </c>
      <c r="J2322" s="32" t="s">
        <v>447</v>
      </c>
      <c r="K2322" s="270" t="str">
        <f>IF(D2322="","",VLOOKUP(D2322,契約台帳!$A$3:$L$4986,12,FALSE))</f>
        <v/>
      </c>
      <c r="L2322" s="270" t="str">
        <f>IF(D2322="","",INDEX(製品マスタ!$Q$5:$Q$5002,MATCH(F2322&amp;K2322,製品マスタ!$AO$5:$AO$5002,0)))</f>
        <v/>
      </c>
      <c r="M2322" s="39"/>
      <c r="N2322" s="39"/>
      <c r="O2322" s="47"/>
      <c r="P2322" s="57"/>
      <c r="Q2322" s="276" t="str">
        <f>IF(D2322="","",IF(J2322="リード付け",M2322,VLOOKUP(D2322,契約台帳!$A$3:$N$4986,14,FALSE)))</f>
        <v/>
      </c>
      <c r="R2322" s="277" t="str">
        <f>IF(D2322="","",IF(J2322="リード付け",M2322,VLOOKUP(D2322,契約台帳!$A$3:$O$4986,15,FALSE)))</f>
        <v/>
      </c>
      <c r="S2322" s="277" t="str">
        <f>IF(D2322="","",IF(J2322="リード付け",N2322,VLOOKUP(D2322,契約台帳!$A$3:$P$4986,16,FALSE)))</f>
        <v/>
      </c>
      <c r="T2322" s="40"/>
      <c r="U2322" s="278" t="str">
        <f ca="1">IF(D2322="","",IF(OFFSET(D2322,-2,0)=D2322,"",VLOOKUP(D2322,契約台帳!$A$3:$R$4986,18,FALSE)))</f>
        <v/>
      </c>
      <c r="V2322" s="269" t="e">
        <f>IF(J2322="巻返し",VLOOKUP(F2322&amp;K2322&amp;M2322,製品マスタ!$M$5:$AD$5002,18,FALSE),IF(J2322="リード付け","原反コア",IF(J2322="スリット",VLOOKUP(F2322&amp;K2322&amp;Q2322,製品マスタ!$N$5:$AD$5002,17,FALSE),"")))</f>
        <v>#N/A</v>
      </c>
      <c r="W2322" s="269" t="e">
        <f>IF(J2322="巻返し",VLOOKUP(F2322&amp;K2322&amp;M2322,製品マスタ!$M$5:$AE$5002,19,FALSE),IF(J2322="リード付け","-",IF(J2322="スリット",VLOOKUP(F2322&amp;K2322&amp;Q2322,製品マスタ!$N$5:$AE$5002,18,FALSE),"")))</f>
        <v>#N/A</v>
      </c>
      <c r="X2322" s="275" t="str">
        <f>IF(D2322="","",VLOOKUP(D2322,契約台帳!$A$3:$Q$4986,17,FALSE))</f>
        <v/>
      </c>
      <c r="Y2322" s="269" t="str">
        <f>IF(D2322="","",VLOOKUP(D2322,契約台帳!$A$3:$E$4986,5,FALSE))</f>
        <v/>
      </c>
      <c r="Z2322" s="357"/>
      <c r="AA2322" s="207"/>
      <c r="AB2322" s="369"/>
      <c r="AC2322" s="370"/>
      <c r="AD2322" s="332" t="str">
        <f t="shared" si="6"/>
        <v/>
      </c>
      <c r="AE2322" s="216">
        <f t="shared" si="7"/>
        <v>0</v>
      </c>
      <c r="AF2322" s="43" t="str">
        <f>IF(AD2322="","",VLOOKUP(AD2322,原価マスタ!$A$2:$AJ$1693,13,FALSE))</f>
        <v/>
      </c>
      <c r="AG2322" s="47" t="str">
        <f t="shared" si="8"/>
        <v/>
      </c>
      <c r="AH2322" s="30"/>
      <c r="AI2322" s="30"/>
      <c r="AJ2322" s="30"/>
      <c r="AK2322" s="30"/>
      <c r="AL2322" s="13"/>
      <c r="AM2322" s="13"/>
      <c r="AN2322" s="13"/>
      <c r="AO2322" s="13"/>
      <c r="AP2322" s="13"/>
      <c r="AQ2322" s="14"/>
      <c r="AR2322" s="15"/>
    </row>
    <row r="2323" spans="1:44" s="17" customFormat="1" ht="30.95" customHeight="1" x14ac:dyDescent="0.2">
      <c r="A2323" s="343"/>
      <c r="B2323" s="344"/>
      <c r="C2323" s="345"/>
      <c r="D2323" s="398"/>
      <c r="E2323" s="31"/>
      <c r="F2323" s="268" t="str">
        <f>IF(D2323="","",VLOOKUP(D2323,契約台帳!$A$3:$K$4986,6,FALSE)&amp;VLOOKUP(D2323,契約台帳!$A$3:$K$4986,7,FALSE)&amp;VLOOKUP(D2323,契約台帳!$A$3:$K$4986,8,FALSE)&amp;VLOOKUP(D2323,契約台帳!$A$3:$K$4986,9,FALSE)&amp;VLOOKUP(D2323,契約台帳!$A$3:$K$4986,11,FALSE))</f>
        <v/>
      </c>
      <c r="G2323" s="269" t="str">
        <f>IF(D2323="","",VLOOKUP(F2323,製品マスタ!$G$5:$H$5002,2,FALSE))</f>
        <v/>
      </c>
      <c r="H2323" s="269" t="str">
        <f>IF(D2323="","",VLOOKUP(F2323,製品マスタ!$G$5:$K$5002,5,FALSE))</f>
        <v/>
      </c>
      <c r="I2323" s="270" t="str">
        <f>IF(D2323="","",VLOOKUP(F2323,製品マスタ!$G$5:$L$5002,6,FALSE))</f>
        <v/>
      </c>
      <c r="J2323" s="32" t="s">
        <v>447</v>
      </c>
      <c r="K2323" s="270" t="str">
        <f>IF(D2323="","",VLOOKUP(D2323,契約台帳!$A$3:$L$4986,12,FALSE))</f>
        <v/>
      </c>
      <c r="L2323" s="270" t="str">
        <f>IF(D2323="","",INDEX(製品マスタ!$Q$5:$Q$5002,MATCH(F2323&amp;K2323,製品マスタ!$AO$5:$AO$5002,0)))</f>
        <v/>
      </c>
      <c r="M2323" s="39"/>
      <c r="N2323" s="39"/>
      <c r="O2323" s="47"/>
      <c r="P2323" s="57"/>
      <c r="Q2323" s="276" t="str">
        <f>IF(D2323="","",IF(J2323="リード付け",M2323,VLOOKUP(D2323,契約台帳!$A$3:$N$4986,14,FALSE)))</f>
        <v/>
      </c>
      <c r="R2323" s="277" t="str">
        <f>IF(D2323="","",IF(J2323="リード付け",M2323,VLOOKUP(D2323,契約台帳!$A$3:$O$4986,15,FALSE)))</f>
        <v/>
      </c>
      <c r="S2323" s="277" t="str">
        <f>IF(D2323="","",IF(J2323="リード付け",N2323,VLOOKUP(D2323,契約台帳!$A$3:$P$4986,16,FALSE)))</f>
        <v/>
      </c>
      <c r="T2323" s="40"/>
      <c r="U2323" s="278" t="str">
        <f ca="1">IF(D2323="","",IF(OFFSET(D2323,-2,0)=D2323,"",VLOOKUP(D2323,契約台帳!$A$3:$R$4986,18,FALSE)))</f>
        <v/>
      </c>
      <c r="V2323" s="269" t="e">
        <f>IF(J2323="巻返し",VLOOKUP(F2323&amp;K2323&amp;M2323,製品マスタ!$M$5:$AD$5002,18,FALSE),IF(J2323="リード付け","原反コア",IF(J2323="スリット",VLOOKUP(F2323&amp;K2323&amp;Q2323,製品マスタ!$N$5:$AD$5002,17,FALSE),"")))</f>
        <v>#N/A</v>
      </c>
      <c r="W2323" s="269" t="e">
        <f>IF(J2323="巻返し",VLOOKUP(F2323&amp;K2323&amp;M2323,製品マスタ!$M$5:$AE$5002,19,FALSE),IF(J2323="リード付け","-",IF(J2323="スリット",VLOOKUP(F2323&amp;K2323&amp;Q2323,製品マスタ!$N$5:$AE$5002,18,FALSE),"")))</f>
        <v>#N/A</v>
      </c>
      <c r="X2323" s="275" t="str">
        <f>IF(D2323="","",VLOOKUP(D2323,契約台帳!$A$3:$Q$4986,17,FALSE))</f>
        <v/>
      </c>
      <c r="Y2323" s="269" t="str">
        <f>IF(D2323="","",VLOOKUP(D2323,契約台帳!$A$3:$E$4986,5,FALSE))</f>
        <v/>
      </c>
      <c r="Z2323" s="357"/>
      <c r="AA2323" s="207"/>
      <c r="AB2323" s="369"/>
      <c r="AC2323" s="370"/>
      <c r="AD2323" s="332" t="str">
        <f t="shared" si="6"/>
        <v/>
      </c>
      <c r="AE2323" s="216">
        <f t="shared" si="7"/>
        <v>0</v>
      </c>
      <c r="AF2323" s="43" t="str">
        <f>IF(AD2323="","",VLOOKUP(AD2323,原価マスタ!$A$2:$AJ$1693,13,FALSE))</f>
        <v/>
      </c>
      <c r="AG2323" s="47" t="str">
        <f t="shared" si="8"/>
        <v/>
      </c>
      <c r="AH2323" s="30"/>
      <c r="AI2323" s="30"/>
      <c r="AJ2323" s="30"/>
      <c r="AK2323" s="30"/>
      <c r="AL2323" s="13"/>
      <c r="AM2323" s="13"/>
      <c r="AN2323" s="13"/>
      <c r="AO2323" s="13"/>
      <c r="AP2323" s="13"/>
      <c r="AQ2323" s="14"/>
      <c r="AR2323" s="15"/>
    </row>
    <row r="2324" spans="1:44" s="17" customFormat="1" ht="30.95" customHeight="1" x14ac:dyDescent="0.2">
      <c r="A2324" s="343"/>
      <c r="B2324" s="344"/>
      <c r="C2324" s="345"/>
      <c r="D2324" s="398"/>
      <c r="E2324" s="31"/>
      <c r="F2324" s="268" t="str">
        <f>IF(D2324="","",VLOOKUP(D2324,契約台帳!$A$3:$K$4986,6,FALSE)&amp;VLOOKUP(D2324,契約台帳!$A$3:$K$4986,7,FALSE)&amp;VLOOKUP(D2324,契約台帳!$A$3:$K$4986,8,FALSE)&amp;VLOOKUP(D2324,契約台帳!$A$3:$K$4986,9,FALSE)&amp;VLOOKUP(D2324,契約台帳!$A$3:$K$4986,11,FALSE))</f>
        <v/>
      </c>
      <c r="G2324" s="269" t="str">
        <f>IF(D2324="","",VLOOKUP(F2324,製品マスタ!$G$5:$H$5002,2,FALSE))</f>
        <v/>
      </c>
      <c r="H2324" s="269" t="str">
        <f>IF(D2324="","",VLOOKUP(F2324,製品マスタ!$G$5:$K$5002,5,FALSE))</f>
        <v/>
      </c>
      <c r="I2324" s="270" t="str">
        <f>IF(D2324="","",VLOOKUP(F2324,製品マスタ!$G$5:$L$5002,6,FALSE))</f>
        <v/>
      </c>
      <c r="J2324" s="32" t="s">
        <v>447</v>
      </c>
      <c r="K2324" s="270" t="str">
        <f>IF(D2324="","",VLOOKUP(D2324,契約台帳!$A$3:$L$4986,12,FALSE))</f>
        <v/>
      </c>
      <c r="L2324" s="270" t="str">
        <f>IF(D2324="","",INDEX(製品マスタ!$Q$5:$Q$5002,MATCH(F2324&amp;K2324,製品マスタ!$AO$5:$AO$5002,0)))</f>
        <v/>
      </c>
      <c r="M2324" s="39"/>
      <c r="N2324" s="39"/>
      <c r="O2324" s="47"/>
      <c r="P2324" s="57"/>
      <c r="Q2324" s="276" t="str">
        <f>IF(D2324="","",IF(J2324="リード付け",M2324,VLOOKUP(D2324,契約台帳!$A$3:$N$4986,14,FALSE)))</f>
        <v/>
      </c>
      <c r="R2324" s="277" t="str">
        <f>IF(D2324="","",IF(J2324="リード付け",M2324,VLOOKUP(D2324,契約台帳!$A$3:$O$4986,15,FALSE)))</f>
        <v/>
      </c>
      <c r="S2324" s="277" t="str">
        <f>IF(D2324="","",IF(J2324="リード付け",N2324,VLOOKUP(D2324,契約台帳!$A$3:$P$4986,16,FALSE)))</f>
        <v/>
      </c>
      <c r="T2324" s="40"/>
      <c r="U2324" s="278" t="str">
        <f ca="1">IF(D2324="","",IF(OFFSET(D2324,-2,0)=D2324,"",VLOOKUP(D2324,契約台帳!$A$3:$R$4986,18,FALSE)))</f>
        <v/>
      </c>
      <c r="V2324" s="269" t="e">
        <f>IF(J2324="巻返し",VLOOKUP(F2324&amp;K2324&amp;M2324,製品マスタ!$M$5:$AD$5002,18,FALSE),IF(J2324="リード付け","原反コア",IF(J2324="スリット",VLOOKUP(F2324&amp;K2324&amp;Q2324,製品マスタ!$N$5:$AD$5002,17,FALSE),"")))</f>
        <v>#N/A</v>
      </c>
      <c r="W2324" s="269" t="e">
        <f>IF(J2324="巻返し",VLOOKUP(F2324&amp;K2324&amp;M2324,製品マスタ!$M$5:$AE$5002,19,FALSE),IF(J2324="リード付け","-",IF(J2324="スリット",VLOOKUP(F2324&amp;K2324&amp;Q2324,製品マスタ!$N$5:$AE$5002,18,FALSE),"")))</f>
        <v>#N/A</v>
      </c>
      <c r="X2324" s="275" t="str">
        <f>IF(D2324="","",VLOOKUP(D2324,契約台帳!$A$3:$Q$4986,17,FALSE))</f>
        <v/>
      </c>
      <c r="Y2324" s="269" t="str">
        <f>IF(D2324="","",VLOOKUP(D2324,契約台帳!$A$3:$E$4986,5,FALSE))</f>
        <v/>
      </c>
      <c r="Z2324" s="357"/>
      <c r="AA2324" s="207"/>
      <c r="AB2324" s="369"/>
      <c r="AC2324" s="370"/>
      <c r="AD2324" s="332" t="str">
        <f t="shared" si="6"/>
        <v/>
      </c>
      <c r="AE2324" s="216">
        <f t="shared" si="7"/>
        <v>0</v>
      </c>
      <c r="AF2324" s="43" t="str">
        <f>IF(AD2324="","",VLOOKUP(AD2324,原価マスタ!$A$2:$AJ$1693,13,FALSE))</f>
        <v/>
      </c>
      <c r="AG2324" s="47" t="str">
        <f t="shared" si="8"/>
        <v/>
      </c>
      <c r="AH2324" s="30"/>
      <c r="AI2324" s="30"/>
      <c r="AJ2324" s="30"/>
      <c r="AK2324" s="30"/>
      <c r="AL2324" s="13"/>
      <c r="AM2324" s="13"/>
      <c r="AN2324" s="13"/>
      <c r="AO2324" s="13"/>
      <c r="AP2324" s="13"/>
      <c r="AQ2324" s="14"/>
      <c r="AR2324" s="15"/>
    </row>
    <row r="2325" spans="1:44" s="17" customFormat="1" ht="30.95" customHeight="1" x14ac:dyDescent="0.2">
      <c r="A2325" s="343"/>
      <c r="B2325" s="344"/>
      <c r="C2325" s="345"/>
      <c r="D2325" s="398"/>
      <c r="E2325" s="31"/>
      <c r="F2325" s="268" t="str">
        <f>IF(D2325="","",VLOOKUP(D2325,契約台帳!$A$3:$K$4986,6,FALSE)&amp;VLOOKUP(D2325,契約台帳!$A$3:$K$4986,7,FALSE)&amp;VLOOKUP(D2325,契約台帳!$A$3:$K$4986,8,FALSE)&amp;VLOOKUP(D2325,契約台帳!$A$3:$K$4986,9,FALSE)&amp;VLOOKUP(D2325,契約台帳!$A$3:$K$4986,11,FALSE))</f>
        <v/>
      </c>
      <c r="G2325" s="269" t="str">
        <f>IF(D2325="","",VLOOKUP(F2325,製品マスタ!$G$5:$H$5002,2,FALSE))</f>
        <v/>
      </c>
      <c r="H2325" s="269" t="str">
        <f>IF(D2325="","",VLOOKUP(F2325,製品マスタ!$G$5:$K$5002,5,FALSE))</f>
        <v/>
      </c>
      <c r="I2325" s="270" t="str">
        <f>IF(D2325="","",VLOOKUP(F2325,製品マスタ!$G$5:$L$5002,6,FALSE))</f>
        <v/>
      </c>
      <c r="J2325" s="32" t="s">
        <v>447</v>
      </c>
      <c r="K2325" s="270" t="str">
        <f>IF(D2325="","",VLOOKUP(D2325,契約台帳!$A$3:$L$4986,12,FALSE))</f>
        <v/>
      </c>
      <c r="L2325" s="270" t="str">
        <f>IF(D2325="","",INDEX(製品マスタ!$Q$5:$Q$5002,MATCH(F2325&amp;K2325,製品マスタ!$AO$5:$AO$5002,0)))</f>
        <v/>
      </c>
      <c r="M2325" s="39"/>
      <c r="N2325" s="39"/>
      <c r="O2325" s="47"/>
      <c r="P2325" s="57"/>
      <c r="Q2325" s="276" t="str">
        <f>IF(D2325="","",IF(J2325="リード付け",M2325,VLOOKUP(D2325,契約台帳!$A$3:$N$4986,14,FALSE)))</f>
        <v/>
      </c>
      <c r="R2325" s="277" t="str">
        <f>IF(D2325="","",IF(J2325="リード付け",M2325,VLOOKUP(D2325,契約台帳!$A$3:$O$4986,15,FALSE)))</f>
        <v/>
      </c>
      <c r="S2325" s="277" t="str">
        <f>IF(D2325="","",IF(J2325="リード付け",N2325,VLOOKUP(D2325,契約台帳!$A$3:$P$4986,16,FALSE)))</f>
        <v/>
      </c>
      <c r="T2325" s="40"/>
      <c r="U2325" s="278" t="str">
        <f ca="1">IF(D2325="","",IF(OFFSET(D2325,-2,0)=D2325,"",VLOOKUP(D2325,契約台帳!$A$3:$R$4986,18,FALSE)))</f>
        <v/>
      </c>
      <c r="V2325" s="269" t="e">
        <f>IF(J2325="巻返し",VLOOKUP(F2325&amp;K2325&amp;M2325,製品マスタ!$M$5:$AD$5002,18,FALSE),IF(J2325="リード付け","原反コア",IF(J2325="スリット",VLOOKUP(F2325&amp;K2325&amp;Q2325,製品マスタ!$N$5:$AD$5002,17,FALSE),"")))</f>
        <v>#N/A</v>
      </c>
      <c r="W2325" s="269" t="e">
        <f>IF(J2325="巻返し",VLOOKUP(F2325&amp;K2325&amp;M2325,製品マスタ!$M$5:$AE$5002,19,FALSE),IF(J2325="リード付け","-",IF(J2325="スリット",VLOOKUP(F2325&amp;K2325&amp;Q2325,製品マスタ!$N$5:$AE$5002,18,FALSE),"")))</f>
        <v>#N/A</v>
      </c>
      <c r="X2325" s="275" t="str">
        <f>IF(D2325="","",VLOOKUP(D2325,契約台帳!$A$3:$Q$4986,17,FALSE))</f>
        <v/>
      </c>
      <c r="Y2325" s="269" t="str">
        <f>IF(D2325="","",VLOOKUP(D2325,契約台帳!$A$3:$E$4986,5,FALSE))</f>
        <v/>
      </c>
      <c r="Z2325" s="357"/>
      <c r="AA2325" s="207"/>
      <c r="AB2325" s="369"/>
      <c r="AC2325" s="370"/>
      <c r="AD2325" s="332" t="str">
        <f t="shared" si="6"/>
        <v/>
      </c>
      <c r="AE2325" s="216">
        <f t="shared" si="7"/>
        <v>0</v>
      </c>
      <c r="AF2325" s="43" t="str">
        <f>IF(AD2325="","",VLOOKUP(AD2325,原価マスタ!$A$2:$AJ$1693,13,FALSE))</f>
        <v/>
      </c>
      <c r="AG2325" s="47" t="str">
        <f t="shared" si="8"/>
        <v/>
      </c>
      <c r="AH2325" s="30"/>
      <c r="AI2325" s="30"/>
      <c r="AJ2325" s="30"/>
      <c r="AK2325" s="30"/>
      <c r="AL2325" s="13"/>
      <c r="AM2325" s="13"/>
      <c r="AN2325" s="13"/>
      <c r="AO2325" s="13"/>
      <c r="AP2325" s="13"/>
      <c r="AQ2325" s="14"/>
      <c r="AR2325" s="15"/>
    </row>
    <row r="2326" spans="1:44" s="17" customFormat="1" ht="30.95" customHeight="1" x14ac:dyDescent="0.2">
      <c r="A2326" s="343"/>
      <c r="B2326" s="344"/>
      <c r="C2326" s="345"/>
      <c r="D2326" s="398"/>
      <c r="E2326" s="31"/>
      <c r="F2326" s="268" t="str">
        <f>IF(D2326="","",VLOOKUP(D2326,契約台帳!$A$3:$K$4986,6,FALSE)&amp;VLOOKUP(D2326,契約台帳!$A$3:$K$4986,7,FALSE)&amp;VLOOKUP(D2326,契約台帳!$A$3:$K$4986,8,FALSE)&amp;VLOOKUP(D2326,契約台帳!$A$3:$K$4986,9,FALSE)&amp;VLOOKUP(D2326,契約台帳!$A$3:$K$4986,11,FALSE))</f>
        <v/>
      </c>
      <c r="G2326" s="269" t="str">
        <f>IF(D2326="","",VLOOKUP(F2326,製品マスタ!$G$5:$H$5002,2,FALSE))</f>
        <v/>
      </c>
      <c r="H2326" s="269" t="str">
        <f>IF(D2326="","",VLOOKUP(F2326,製品マスタ!$G$5:$K$5002,5,FALSE))</f>
        <v/>
      </c>
      <c r="I2326" s="270" t="str">
        <f>IF(D2326="","",VLOOKUP(F2326,製品マスタ!$G$5:$L$5002,6,FALSE))</f>
        <v/>
      </c>
      <c r="J2326" s="32" t="s">
        <v>447</v>
      </c>
      <c r="K2326" s="270" t="str">
        <f>IF(D2326="","",VLOOKUP(D2326,契約台帳!$A$3:$L$4986,12,FALSE))</f>
        <v/>
      </c>
      <c r="L2326" s="270" t="str">
        <f>IF(D2326="","",INDEX(製品マスタ!$Q$5:$Q$5002,MATCH(F2326&amp;K2326,製品マスタ!$AO$5:$AO$5002,0)))</f>
        <v/>
      </c>
      <c r="M2326" s="39"/>
      <c r="N2326" s="39"/>
      <c r="O2326" s="47"/>
      <c r="P2326" s="57"/>
      <c r="Q2326" s="276" t="str">
        <f>IF(D2326="","",IF(J2326="リード付け",M2326,VLOOKUP(D2326,契約台帳!$A$3:$N$4986,14,FALSE)))</f>
        <v/>
      </c>
      <c r="R2326" s="277" t="str">
        <f>IF(D2326="","",IF(J2326="リード付け",M2326,VLOOKUP(D2326,契約台帳!$A$3:$O$4986,15,FALSE)))</f>
        <v/>
      </c>
      <c r="S2326" s="277" t="str">
        <f>IF(D2326="","",IF(J2326="リード付け",N2326,VLOOKUP(D2326,契約台帳!$A$3:$P$4986,16,FALSE)))</f>
        <v/>
      </c>
      <c r="T2326" s="40"/>
      <c r="U2326" s="278" t="str">
        <f ca="1">IF(D2326="","",IF(OFFSET(D2326,-2,0)=D2326,"",VLOOKUP(D2326,契約台帳!$A$3:$R$4986,18,FALSE)))</f>
        <v/>
      </c>
      <c r="V2326" s="269" t="e">
        <f>IF(J2326="巻返し",VLOOKUP(F2326&amp;K2326&amp;M2326,製品マスタ!$M$5:$AD$5002,18,FALSE),IF(J2326="リード付け","原反コア",IF(J2326="スリット",VLOOKUP(F2326&amp;K2326&amp;Q2326,製品マスタ!$N$5:$AD$5002,17,FALSE),"")))</f>
        <v>#N/A</v>
      </c>
      <c r="W2326" s="269" t="e">
        <f>IF(J2326="巻返し",VLOOKUP(F2326&amp;K2326&amp;M2326,製品マスタ!$M$5:$AE$5002,19,FALSE),IF(J2326="リード付け","-",IF(J2326="スリット",VLOOKUP(F2326&amp;K2326&amp;Q2326,製品マスタ!$N$5:$AE$5002,18,FALSE),"")))</f>
        <v>#N/A</v>
      </c>
      <c r="X2326" s="275" t="str">
        <f>IF(D2326="","",VLOOKUP(D2326,契約台帳!$A$3:$Q$4986,17,FALSE))</f>
        <v/>
      </c>
      <c r="Y2326" s="269" t="str">
        <f>IF(D2326="","",VLOOKUP(D2326,契約台帳!$A$3:$E$4986,5,FALSE))</f>
        <v/>
      </c>
      <c r="Z2326" s="357"/>
      <c r="AA2326" s="207"/>
      <c r="AB2326" s="369"/>
      <c r="AC2326" s="370"/>
      <c r="AD2326" s="332" t="str">
        <f t="shared" si="6"/>
        <v/>
      </c>
      <c r="AE2326" s="216">
        <f t="shared" si="7"/>
        <v>0</v>
      </c>
      <c r="AF2326" s="43" t="str">
        <f>IF(AD2326="","",VLOOKUP(AD2326,原価マスタ!$A$2:$AJ$1693,13,FALSE))</f>
        <v/>
      </c>
      <c r="AG2326" s="47" t="str">
        <f t="shared" si="8"/>
        <v/>
      </c>
      <c r="AH2326" s="30"/>
      <c r="AI2326" s="30"/>
      <c r="AJ2326" s="30"/>
      <c r="AK2326" s="30"/>
      <c r="AL2326" s="13"/>
      <c r="AM2326" s="13"/>
      <c r="AN2326" s="13"/>
      <c r="AO2326" s="13"/>
      <c r="AP2326" s="13"/>
      <c r="AQ2326" s="14"/>
      <c r="AR2326" s="15"/>
    </row>
    <row r="2327" spans="1:44" s="17" customFormat="1" ht="30.95" customHeight="1" x14ac:dyDescent="0.2">
      <c r="A2327" s="343"/>
      <c r="B2327" s="344"/>
      <c r="C2327" s="345"/>
      <c r="D2327" s="398"/>
      <c r="E2327" s="31"/>
      <c r="F2327" s="268" t="str">
        <f>IF(D2327="","",VLOOKUP(D2327,契約台帳!$A$3:$K$4986,6,FALSE)&amp;VLOOKUP(D2327,契約台帳!$A$3:$K$4986,7,FALSE)&amp;VLOOKUP(D2327,契約台帳!$A$3:$K$4986,8,FALSE)&amp;VLOOKUP(D2327,契約台帳!$A$3:$K$4986,9,FALSE)&amp;VLOOKUP(D2327,契約台帳!$A$3:$K$4986,11,FALSE))</f>
        <v/>
      </c>
      <c r="G2327" s="269" t="str">
        <f>IF(D2327="","",VLOOKUP(F2327,製品マスタ!$G$5:$H$5002,2,FALSE))</f>
        <v/>
      </c>
      <c r="H2327" s="269" t="str">
        <f>IF(D2327="","",VLOOKUP(F2327,製品マスタ!$G$5:$K$5002,5,FALSE))</f>
        <v/>
      </c>
      <c r="I2327" s="270" t="str">
        <f>IF(D2327="","",VLOOKUP(F2327,製品マスタ!$G$5:$L$5002,6,FALSE))</f>
        <v/>
      </c>
      <c r="J2327" s="32" t="s">
        <v>447</v>
      </c>
      <c r="K2327" s="270" t="str">
        <f>IF(D2327="","",VLOOKUP(D2327,契約台帳!$A$3:$L$4986,12,FALSE))</f>
        <v/>
      </c>
      <c r="L2327" s="270" t="str">
        <f>IF(D2327="","",INDEX(製品マスタ!$Q$5:$Q$5002,MATCH(F2327&amp;K2327,製品マスタ!$AO$5:$AO$5002,0)))</f>
        <v/>
      </c>
      <c r="M2327" s="39"/>
      <c r="N2327" s="39"/>
      <c r="O2327" s="47"/>
      <c r="P2327" s="57"/>
      <c r="Q2327" s="276" t="str">
        <f>IF(D2327="","",IF(J2327="リード付け",M2327,VLOOKUP(D2327,契約台帳!$A$3:$N$4986,14,FALSE)))</f>
        <v/>
      </c>
      <c r="R2327" s="277" t="str">
        <f>IF(D2327="","",IF(J2327="リード付け",M2327,VLOOKUP(D2327,契約台帳!$A$3:$O$4986,15,FALSE)))</f>
        <v/>
      </c>
      <c r="S2327" s="277" t="str">
        <f>IF(D2327="","",IF(J2327="リード付け",N2327,VLOOKUP(D2327,契約台帳!$A$3:$P$4986,16,FALSE)))</f>
        <v/>
      </c>
      <c r="T2327" s="40"/>
      <c r="U2327" s="278" t="str">
        <f ca="1">IF(D2327="","",IF(OFFSET(D2327,-2,0)=D2327,"",VLOOKUP(D2327,契約台帳!$A$3:$R$4986,18,FALSE)))</f>
        <v/>
      </c>
      <c r="V2327" s="269" t="e">
        <f>IF(J2327="巻返し",VLOOKUP(F2327&amp;K2327&amp;M2327,製品マスタ!$M$5:$AD$5002,18,FALSE),IF(J2327="リード付け","原反コア",IF(J2327="スリット",VLOOKUP(F2327&amp;K2327&amp;Q2327,製品マスタ!$N$5:$AD$5002,17,FALSE),"")))</f>
        <v>#N/A</v>
      </c>
      <c r="W2327" s="269" t="e">
        <f>IF(J2327="巻返し",VLOOKUP(F2327&amp;K2327&amp;M2327,製品マスタ!$M$5:$AE$5002,19,FALSE),IF(J2327="リード付け","-",IF(J2327="スリット",VLOOKUP(F2327&amp;K2327&amp;Q2327,製品マスタ!$N$5:$AE$5002,18,FALSE),"")))</f>
        <v>#N/A</v>
      </c>
      <c r="X2327" s="275" t="str">
        <f>IF(D2327="","",VLOOKUP(D2327,契約台帳!$A$3:$Q$4986,17,FALSE))</f>
        <v/>
      </c>
      <c r="Y2327" s="269" t="str">
        <f>IF(D2327="","",VLOOKUP(D2327,契約台帳!$A$3:$E$4986,5,FALSE))</f>
        <v/>
      </c>
      <c r="Z2327" s="357"/>
      <c r="AA2327" s="207"/>
      <c r="AB2327" s="369"/>
      <c r="AC2327" s="370"/>
      <c r="AD2327" s="332" t="str">
        <f t="shared" si="6"/>
        <v/>
      </c>
      <c r="AE2327" s="216">
        <f t="shared" si="7"/>
        <v>0</v>
      </c>
      <c r="AF2327" s="43" t="str">
        <f>IF(AD2327="","",VLOOKUP(AD2327,原価マスタ!$A$2:$AJ$1693,13,FALSE))</f>
        <v/>
      </c>
      <c r="AG2327" s="47" t="str">
        <f t="shared" si="8"/>
        <v/>
      </c>
      <c r="AH2327" s="30"/>
      <c r="AI2327" s="30"/>
      <c r="AJ2327" s="30"/>
      <c r="AK2327" s="30"/>
      <c r="AL2327" s="13"/>
      <c r="AM2327" s="13"/>
      <c r="AN2327" s="13"/>
      <c r="AO2327" s="13"/>
      <c r="AP2327" s="13"/>
      <c r="AQ2327" s="14"/>
      <c r="AR2327" s="15"/>
    </row>
    <row r="2328" spans="1:44" s="17" customFormat="1" ht="30.95" customHeight="1" x14ac:dyDescent="0.2">
      <c r="A2328" s="343"/>
      <c r="B2328" s="344"/>
      <c r="C2328" s="345"/>
      <c r="D2328" s="398"/>
      <c r="E2328" s="31"/>
      <c r="F2328" s="268" t="str">
        <f>IF(D2328="","",VLOOKUP(D2328,契約台帳!$A$3:$K$4986,6,FALSE)&amp;VLOOKUP(D2328,契約台帳!$A$3:$K$4986,7,FALSE)&amp;VLOOKUP(D2328,契約台帳!$A$3:$K$4986,8,FALSE)&amp;VLOOKUP(D2328,契約台帳!$A$3:$K$4986,9,FALSE)&amp;VLOOKUP(D2328,契約台帳!$A$3:$K$4986,11,FALSE))</f>
        <v/>
      </c>
      <c r="G2328" s="269" t="str">
        <f>IF(D2328="","",VLOOKUP(F2328,製品マスタ!$G$5:$H$5002,2,FALSE))</f>
        <v/>
      </c>
      <c r="H2328" s="269" t="str">
        <f>IF(D2328="","",VLOOKUP(F2328,製品マスタ!$G$5:$K$5002,5,FALSE))</f>
        <v/>
      </c>
      <c r="I2328" s="270" t="str">
        <f>IF(D2328="","",VLOOKUP(F2328,製品マスタ!$G$5:$L$5002,6,FALSE))</f>
        <v/>
      </c>
      <c r="J2328" s="32" t="s">
        <v>447</v>
      </c>
      <c r="K2328" s="270" t="str">
        <f>IF(D2328="","",VLOOKUP(D2328,契約台帳!$A$3:$L$4986,12,FALSE))</f>
        <v/>
      </c>
      <c r="L2328" s="270" t="str">
        <f>IF(D2328="","",INDEX(製品マスタ!$Q$5:$Q$5002,MATCH(F2328&amp;K2328,製品マスタ!$AO$5:$AO$5002,0)))</f>
        <v/>
      </c>
      <c r="M2328" s="39"/>
      <c r="N2328" s="39"/>
      <c r="O2328" s="47"/>
      <c r="P2328" s="57"/>
      <c r="Q2328" s="276" t="str">
        <f>IF(D2328="","",IF(J2328="リード付け",M2328,VLOOKUP(D2328,契約台帳!$A$3:$N$4986,14,FALSE)))</f>
        <v/>
      </c>
      <c r="R2328" s="277" t="str">
        <f>IF(D2328="","",IF(J2328="リード付け",M2328,VLOOKUP(D2328,契約台帳!$A$3:$O$4986,15,FALSE)))</f>
        <v/>
      </c>
      <c r="S2328" s="277" t="str">
        <f>IF(D2328="","",IF(J2328="リード付け",N2328,VLOOKUP(D2328,契約台帳!$A$3:$P$4986,16,FALSE)))</f>
        <v/>
      </c>
      <c r="T2328" s="40"/>
      <c r="U2328" s="278" t="str">
        <f ca="1">IF(D2328="","",IF(OFFSET(D2328,-2,0)=D2328,"",VLOOKUP(D2328,契約台帳!$A$3:$R$4986,18,FALSE)))</f>
        <v/>
      </c>
      <c r="V2328" s="269" t="e">
        <f>IF(J2328="巻返し",VLOOKUP(F2328&amp;K2328&amp;M2328,製品マスタ!$M$5:$AD$5002,18,FALSE),IF(J2328="リード付け","原反コア",IF(J2328="スリット",VLOOKUP(F2328&amp;K2328&amp;Q2328,製品マスタ!$N$5:$AD$5002,17,FALSE),"")))</f>
        <v>#N/A</v>
      </c>
      <c r="W2328" s="269" t="e">
        <f>IF(J2328="巻返し",VLOOKUP(F2328&amp;K2328&amp;M2328,製品マスタ!$M$5:$AE$5002,19,FALSE),IF(J2328="リード付け","-",IF(J2328="スリット",VLOOKUP(F2328&amp;K2328&amp;Q2328,製品マスタ!$N$5:$AE$5002,18,FALSE),"")))</f>
        <v>#N/A</v>
      </c>
      <c r="X2328" s="275" t="str">
        <f>IF(D2328="","",VLOOKUP(D2328,契約台帳!$A$3:$Q$4986,17,FALSE))</f>
        <v/>
      </c>
      <c r="Y2328" s="269" t="str">
        <f>IF(D2328="","",VLOOKUP(D2328,契約台帳!$A$3:$E$4986,5,FALSE))</f>
        <v/>
      </c>
      <c r="Z2328" s="357"/>
      <c r="AA2328" s="207"/>
      <c r="AB2328" s="369"/>
      <c r="AC2328" s="370"/>
      <c r="AD2328" s="332" t="str">
        <f t="shared" si="6"/>
        <v/>
      </c>
      <c r="AE2328" s="216">
        <f t="shared" si="7"/>
        <v>0</v>
      </c>
      <c r="AF2328" s="43" t="str">
        <f>IF(AD2328="","",VLOOKUP(AD2328,原価マスタ!$A$2:$AJ$1693,13,FALSE))</f>
        <v/>
      </c>
      <c r="AG2328" s="47" t="str">
        <f t="shared" si="8"/>
        <v/>
      </c>
      <c r="AH2328" s="30"/>
      <c r="AI2328" s="30"/>
      <c r="AJ2328" s="30"/>
      <c r="AK2328" s="30"/>
      <c r="AL2328" s="13"/>
      <c r="AM2328" s="13"/>
      <c r="AN2328" s="13"/>
      <c r="AO2328" s="13"/>
      <c r="AP2328" s="13"/>
      <c r="AQ2328" s="14"/>
      <c r="AR2328" s="15"/>
    </row>
    <row r="2329" spans="1:44" s="17" customFormat="1" ht="30.95" customHeight="1" x14ac:dyDescent="0.2">
      <c r="A2329" s="343"/>
      <c r="B2329" s="344"/>
      <c r="C2329" s="345"/>
      <c r="D2329" s="398"/>
      <c r="E2329" s="31"/>
      <c r="F2329" s="268" t="str">
        <f>IF(D2329="","",VLOOKUP(D2329,契約台帳!$A$3:$K$4986,6,FALSE)&amp;VLOOKUP(D2329,契約台帳!$A$3:$K$4986,7,FALSE)&amp;VLOOKUP(D2329,契約台帳!$A$3:$K$4986,8,FALSE)&amp;VLOOKUP(D2329,契約台帳!$A$3:$K$4986,9,FALSE)&amp;VLOOKUP(D2329,契約台帳!$A$3:$K$4986,11,FALSE))</f>
        <v/>
      </c>
      <c r="G2329" s="269" t="str">
        <f>IF(D2329="","",VLOOKUP(F2329,製品マスタ!$G$5:$H$5002,2,FALSE))</f>
        <v/>
      </c>
      <c r="H2329" s="269" t="str">
        <f>IF(D2329="","",VLOOKUP(F2329,製品マスタ!$G$5:$K$5002,5,FALSE))</f>
        <v/>
      </c>
      <c r="I2329" s="270" t="str">
        <f>IF(D2329="","",VLOOKUP(F2329,製品マスタ!$G$5:$L$5002,6,FALSE))</f>
        <v/>
      </c>
      <c r="J2329" s="32" t="s">
        <v>447</v>
      </c>
      <c r="K2329" s="270" t="str">
        <f>IF(D2329="","",VLOOKUP(D2329,契約台帳!$A$3:$L$4986,12,FALSE))</f>
        <v/>
      </c>
      <c r="L2329" s="270" t="str">
        <f>IF(D2329="","",INDEX(製品マスタ!$Q$5:$Q$5002,MATCH(F2329&amp;K2329,製品マスタ!$AO$5:$AO$5002,0)))</f>
        <v/>
      </c>
      <c r="M2329" s="39"/>
      <c r="N2329" s="39"/>
      <c r="O2329" s="47"/>
      <c r="P2329" s="57"/>
      <c r="Q2329" s="276" t="str">
        <f>IF(D2329="","",IF(J2329="リード付け",M2329,VLOOKUP(D2329,契約台帳!$A$3:$N$4986,14,FALSE)))</f>
        <v/>
      </c>
      <c r="R2329" s="277" t="str">
        <f>IF(D2329="","",IF(J2329="リード付け",M2329,VLOOKUP(D2329,契約台帳!$A$3:$O$4986,15,FALSE)))</f>
        <v/>
      </c>
      <c r="S2329" s="277" t="str">
        <f>IF(D2329="","",IF(J2329="リード付け",N2329,VLOOKUP(D2329,契約台帳!$A$3:$P$4986,16,FALSE)))</f>
        <v/>
      </c>
      <c r="T2329" s="40"/>
      <c r="U2329" s="278" t="str">
        <f ca="1">IF(D2329="","",IF(OFFSET(D2329,-2,0)=D2329,"",VLOOKUP(D2329,契約台帳!$A$3:$R$4986,18,FALSE)))</f>
        <v/>
      </c>
      <c r="V2329" s="269" t="e">
        <f>IF(J2329="巻返し",VLOOKUP(F2329&amp;K2329&amp;M2329,製品マスタ!$M$5:$AD$5002,18,FALSE),IF(J2329="リード付け","原反コア",IF(J2329="スリット",VLOOKUP(F2329&amp;K2329&amp;Q2329,製品マスタ!$N$5:$AD$5002,17,FALSE),"")))</f>
        <v>#N/A</v>
      </c>
      <c r="W2329" s="269" t="e">
        <f>IF(J2329="巻返し",VLOOKUP(F2329&amp;K2329&amp;M2329,製品マスタ!$M$5:$AE$5002,19,FALSE),IF(J2329="リード付け","-",IF(J2329="スリット",VLOOKUP(F2329&amp;K2329&amp;Q2329,製品マスタ!$N$5:$AE$5002,18,FALSE),"")))</f>
        <v>#N/A</v>
      </c>
      <c r="X2329" s="275" t="str">
        <f>IF(D2329="","",VLOOKUP(D2329,契約台帳!$A$3:$Q$4986,17,FALSE))</f>
        <v/>
      </c>
      <c r="Y2329" s="269" t="str">
        <f>IF(D2329="","",VLOOKUP(D2329,契約台帳!$A$3:$E$4986,5,FALSE))</f>
        <v/>
      </c>
      <c r="Z2329" s="357"/>
      <c r="AA2329" s="207"/>
      <c r="AB2329" s="369"/>
      <c r="AC2329" s="370"/>
      <c r="AD2329" s="332" t="str">
        <f t="shared" si="6"/>
        <v/>
      </c>
      <c r="AE2329" s="216">
        <f t="shared" si="7"/>
        <v>0</v>
      </c>
      <c r="AF2329" s="43" t="str">
        <f>IF(AD2329="","",VLOOKUP(AD2329,原価マスタ!$A$2:$AJ$1693,13,FALSE))</f>
        <v/>
      </c>
      <c r="AG2329" s="47" t="str">
        <f t="shared" si="8"/>
        <v/>
      </c>
      <c r="AH2329" s="30"/>
      <c r="AI2329" s="30"/>
      <c r="AJ2329" s="30"/>
      <c r="AK2329" s="30"/>
      <c r="AL2329" s="13"/>
      <c r="AM2329" s="13"/>
      <c r="AN2329" s="13"/>
      <c r="AO2329" s="13"/>
      <c r="AP2329" s="13"/>
      <c r="AQ2329" s="14"/>
      <c r="AR2329" s="15"/>
    </row>
    <row r="2330" spans="1:44" s="17" customFormat="1" ht="30.95" customHeight="1" x14ac:dyDescent="0.2">
      <c r="A2330" s="343"/>
      <c r="B2330" s="344"/>
      <c r="C2330" s="345"/>
      <c r="D2330" s="398"/>
      <c r="E2330" s="31"/>
      <c r="F2330" s="268" t="str">
        <f>IF(D2330="","",VLOOKUP(D2330,契約台帳!$A$3:$K$4986,6,FALSE)&amp;VLOOKUP(D2330,契約台帳!$A$3:$K$4986,7,FALSE)&amp;VLOOKUP(D2330,契約台帳!$A$3:$K$4986,8,FALSE)&amp;VLOOKUP(D2330,契約台帳!$A$3:$K$4986,9,FALSE)&amp;VLOOKUP(D2330,契約台帳!$A$3:$K$4986,11,FALSE))</f>
        <v/>
      </c>
      <c r="G2330" s="269" t="str">
        <f>IF(D2330="","",VLOOKUP(F2330,製品マスタ!$G$5:$H$5002,2,FALSE))</f>
        <v/>
      </c>
      <c r="H2330" s="269" t="str">
        <f>IF(D2330="","",VLOOKUP(F2330,製品マスタ!$G$5:$K$5002,5,FALSE))</f>
        <v/>
      </c>
      <c r="I2330" s="270" t="str">
        <f>IF(D2330="","",VLOOKUP(F2330,製品マスタ!$G$5:$L$5002,6,FALSE))</f>
        <v/>
      </c>
      <c r="J2330" s="32" t="s">
        <v>447</v>
      </c>
      <c r="K2330" s="270" t="str">
        <f>IF(D2330="","",VLOOKUP(D2330,契約台帳!$A$3:$L$4986,12,FALSE))</f>
        <v/>
      </c>
      <c r="L2330" s="270" t="str">
        <f>IF(D2330="","",INDEX(製品マスタ!$Q$5:$Q$5002,MATCH(F2330&amp;K2330,製品マスタ!$AO$5:$AO$5002,0)))</f>
        <v/>
      </c>
      <c r="M2330" s="39"/>
      <c r="N2330" s="39"/>
      <c r="O2330" s="47"/>
      <c r="P2330" s="57"/>
      <c r="Q2330" s="276" t="str">
        <f>IF(D2330="","",IF(J2330="リード付け",M2330,VLOOKUP(D2330,契約台帳!$A$3:$N$4986,14,FALSE)))</f>
        <v/>
      </c>
      <c r="R2330" s="277" t="str">
        <f>IF(D2330="","",IF(J2330="リード付け",M2330,VLOOKUP(D2330,契約台帳!$A$3:$O$4986,15,FALSE)))</f>
        <v/>
      </c>
      <c r="S2330" s="277" t="str">
        <f>IF(D2330="","",IF(J2330="リード付け",N2330,VLOOKUP(D2330,契約台帳!$A$3:$P$4986,16,FALSE)))</f>
        <v/>
      </c>
      <c r="T2330" s="40"/>
      <c r="U2330" s="278" t="str">
        <f ca="1">IF(D2330="","",IF(OFFSET(D2330,-2,0)=D2330,"",VLOOKUP(D2330,契約台帳!$A$3:$R$4986,18,FALSE)))</f>
        <v/>
      </c>
      <c r="V2330" s="269" t="e">
        <f>IF(J2330="巻返し",VLOOKUP(F2330&amp;K2330&amp;M2330,製品マスタ!$M$5:$AD$5002,18,FALSE),IF(J2330="リード付け","原反コア",IF(J2330="スリット",VLOOKUP(F2330&amp;K2330&amp;Q2330,製品マスタ!$N$5:$AD$5002,17,FALSE),"")))</f>
        <v>#N/A</v>
      </c>
      <c r="W2330" s="269" t="e">
        <f>IF(J2330="巻返し",VLOOKUP(F2330&amp;K2330&amp;M2330,製品マスタ!$M$5:$AE$5002,19,FALSE),IF(J2330="リード付け","-",IF(J2330="スリット",VLOOKUP(F2330&amp;K2330&amp;Q2330,製品マスタ!$N$5:$AE$5002,18,FALSE),"")))</f>
        <v>#N/A</v>
      </c>
      <c r="X2330" s="275" t="str">
        <f>IF(D2330="","",VLOOKUP(D2330,契約台帳!$A$3:$Q$4986,17,FALSE))</f>
        <v/>
      </c>
      <c r="Y2330" s="269" t="str">
        <f>IF(D2330="","",VLOOKUP(D2330,契約台帳!$A$3:$E$4986,5,FALSE))</f>
        <v/>
      </c>
      <c r="Z2330" s="357"/>
      <c r="AA2330" s="207"/>
      <c r="AB2330" s="369"/>
      <c r="AC2330" s="370"/>
      <c r="AD2330" s="332" t="str">
        <f t="shared" si="6"/>
        <v/>
      </c>
      <c r="AE2330" s="216">
        <f t="shared" si="7"/>
        <v>0</v>
      </c>
      <c r="AF2330" s="43" t="str">
        <f>IF(AD2330="","",VLOOKUP(AD2330,原価マスタ!$A$2:$AJ$1693,13,FALSE))</f>
        <v/>
      </c>
      <c r="AG2330" s="47" t="str">
        <f t="shared" si="8"/>
        <v/>
      </c>
      <c r="AH2330" s="30"/>
      <c r="AI2330" s="30"/>
      <c r="AJ2330" s="30"/>
      <c r="AK2330" s="30"/>
      <c r="AL2330" s="13"/>
      <c r="AM2330" s="13"/>
      <c r="AN2330" s="13"/>
      <c r="AO2330" s="13"/>
      <c r="AP2330" s="13"/>
      <c r="AQ2330" s="14"/>
      <c r="AR2330" s="15"/>
    </row>
    <row r="2331" spans="1:44" s="17" customFormat="1" ht="30.95" customHeight="1" x14ac:dyDescent="0.2">
      <c r="A2331" s="343"/>
      <c r="B2331" s="344"/>
      <c r="C2331" s="345"/>
      <c r="D2331" s="398"/>
      <c r="E2331" s="31"/>
      <c r="F2331" s="268" t="str">
        <f>IF(D2331="","",VLOOKUP(D2331,契約台帳!$A$3:$K$4986,6,FALSE)&amp;VLOOKUP(D2331,契約台帳!$A$3:$K$4986,7,FALSE)&amp;VLOOKUP(D2331,契約台帳!$A$3:$K$4986,8,FALSE)&amp;VLOOKUP(D2331,契約台帳!$A$3:$K$4986,9,FALSE)&amp;VLOOKUP(D2331,契約台帳!$A$3:$K$4986,11,FALSE))</f>
        <v/>
      </c>
      <c r="G2331" s="269" t="str">
        <f>IF(D2331="","",VLOOKUP(F2331,製品マスタ!$G$5:$H$5002,2,FALSE))</f>
        <v/>
      </c>
      <c r="H2331" s="269" t="str">
        <f>IF(D2331="","",VLOOKUP(F2331,製品マスタ!$G$5:$K$5002,5,FALSE))</f>
        <v/>
      </c>
      <c r="I2331" s="270" t="str">
        <f>IF(D2331="","",VLOOKUP(F2331,製品マスタ!$G$5:$L$5002,6,FALSE))</f>
        <v/>
      </c>
      <c r="J2331" s="32" t="s">
        <v>447</v>
      </c>
      <c r="K2331" s="270" t="str">
        <f>IF(D2331="","",VLOOKUP(D2331,契約台帳!$A$3:$L$4986,12,FALSE))</f>
        <v/>
      </c>
      <c r="L2331" s="270" t="str">
        <f>IF(D2331="","",INDEX(製品マスタ!$Q$5:$Q$5002,MATCH(F2331&amp;K2331,製品マスタ!$AO$5:$AO$5002,0)))</f>
        <v/>
      </c>
      <c r="M2331" s="39"/>
      <c r="N2331" s="39"/>
      <c r="O2331" s="47"/>
      <c r="P2331" s="57"/>
      <c r="Q2331" s="276" t="str">
        <f>IF(D2331="","",IF(J2331="リード付け",M2331,VLOOKUP(D2331,契約台帳!$A$3:$N$4986,14,FALSE)))</f>
        <v/>
      </c>
      <c r="R2331" s="277" t="str">
        <f>IF(D2331="","",IF(J2331="リード付け",M2331,VLOOKUP(D2331,契約台帳!$A$3:$O$4986,15,FALSE)))</f>
        <v/>
      </c>
      <c r="S2331" s="277" t="str">
        <f>IF(D2331="","",IF(J2331="リード付け",N2331,VLOOKUP(D2331,契約台帳!$A$3:$P$4986,16,FALSE)))</f>
        <v/>
      </c>
      <c r="T2331" s="40"/>
      <c r="U2331" s="278" t="str">
        <f ca="1">IF(D2331="","",IF(OFFSET(D2331,-2,0)=D2331,"",VLOOKUP(D2331,契約台帳!$A$3:$R$4986,18,FALSE)))</f>
        <v/>
      </c>
      <c r="V2331" s="269" t="e">
        <f>IF(J2331="巻返し",VLOOKUP(F2331&amp;K2331&amp;M2331,製品マスタ!$M$5:$AD$5002,18,FALSE),IF(J2331="リード付け","原反コア",IF(J2331="スリット",VLOOKUP(F2331&amp;K2331&amp;Q2331,製品マスタ!$N$5:$AD$5002,17,FALSE),"")))</f>
        <v>#N/A</v>
      </c>
      <c r="W2331" s="269" t="e">
        <f>IF(J2331="巻返し",VLOOKUP(F2331&amp;K2331&amp;M2331,製品マスタ!$M$5:$AE$5002,19,FALSE),IF(J2331="リード付け","-",IF(J2331="スリット",VLOOKUP(F2331&amp;K2331&amp;Q2331,製品マスタ!$N$5:$AE$5002,18,FALSE),"")))</f>
        <v>#N/A</v>
      </c>
      <c r="X2331" s="275" t="str">
        <f>IF(D2331="","",VLOOKUP(D2331,契約台帳!$A$3:$Q$4986,17,FALSE))</f>
        <v/>
      </c>
      <c r="Y2331" s="269" t="str">
        <f>IF(D2331="","",VLOOKUP(D2331,契約台帳!$A$3:$E$4986,5,FALSE))</f>
        <v/>
      </c>
      <c r="Z2331" s="357"/>
      <c r="AA2331" s="207"/>
      <c r="AB2331" s="369"/>
      <c r="AC2331" s="370"/>
      <c r="AD2331" s="332" t="str">
        <f t="shared" si="6"/>
        <v/>
      </c>
      <c r="AE2331" s="216">
        <f t="shared" si="7"/>
        <v>0</v>
      </c>
      <c r="AF2331" s="43" t="str">
        <f>IF(AD2331="","",VLOOKUP(AD2331,原価マスタ!$A$2:$AJ$1693,13,FALSE))</f>
        <v/>
      </c>
      <c r="AG2331" s="47" t="str">
        <f t="shared" si="8"/>
        <v/>
      </c>
      <c r="AH2331" s="30"/>
      <c r="AI2331" s="30"/>
      <c r="AJ2331" s="30"/>
      <c r="AK2331" s="30"/>
      <c r="AL2331" s="13"/>
      <c r="AM2331" s="13"/>
      <c r="AN2331" s="13"/>
      <c r="AO2331" s="13"/>
      <c r="AP2331" s="13"/>
      <c r="AQ2331" s="14"/>
      <c r="AR2331" s="15"/>
    </row>
    <row r="2332" spans="1:44" s="17" customFormat="1" ht="30.95" customHeight="1" x14ac:dyDescent="0.2">
      <c r="A2332" s="343"/>
      <c r="B2332" s="344"/>
      <c r="C2332" s="345"/>
      <c r="D2332" s="398"/>
      <c r="E2332" s="31"/>
      <c r="F2332" s="268" t="str">
        <f>IF(D2332="","",VLOOKUP(D2332,契約台帳!$A$3:$K$4986,6,FALSE)&amp;VLOOKUP(D2332,契約台帳!$A$3:$K$4986,7,FALSE)&amp;VLOOKUP(D2332,契約台帳!$A$3:$K$4986,8,FALSE)&amp;VLOOKUP(D2332,契約台帳!$A$3:$K$4986,9,FALSE)&amp;VLOOKUP(D2332,契約台帳!$A$3:$K$4986,11,FALSE))</f>
        <v/>
      </c>
      <c r="G2332" s="269" t="str">
        <f>IF(D2332="","",VLOOKUP(F2332,製品マスタ!$G$5:$H$5002,2,FALSE))</f>
        <v/>
      </c>
      <c r="H2332" s="269" t="str">
        <f>IF(D2332="","",VLOOKUP(F2332,製品マスタ!$G$5:$K$5002,5,FALSE))</f>
        <v/>
      </c>
      <c r="I2332" s="270" t="str">
        <f>IF(D2332="","",VLOOKUP(F2332,製品マスタ!$G$5:$L$5002,6,FALSE))</f>
        <v/>
      </c>
      <c r="J2332" s="32" t="s">
        <v>447</v>
      </c>
      <c r="K2332" s="270" t="str">
        <f>IF(D2332="","",VLOOKUP(D2332,契約台帳!$A$3:$L$4986,12,FALSE))</f>
        <v/>
      </c>
      <c r="L2332" s="270" t="str">
        <f>IF(D2332="","",INDEX(製品マスタ!$Q$5:$Q$5002,MATCH(F2332&amp;K2332,製品マスタ!$AO$5:$AO$5002,0)))</f>
        <v/>
      </c>
      <c r="M2332" s="39"/>
      <c r="N2332" s="39"/>
      <c r="O2332" s="47"/>
      <c r="P2332" s="57"/>
      <c r="Q2332" s="276" t="str">
        <f>IF(D2332="","",IF(J2332="リード付け",M2332,VLOOKUP(D2332,契約台帳!$A$3:$N$4986,14,FALSE)))</f>
        <v/>
      </c>
      <c r="R2332" s="277" t="str">
        <f>IF(D2332="","",IF(J2332="リード付け",M2332,VLOOKUP(D2332,契約台帳!$A$3:$O$4986,15,FALSE)))</f>
        <v/>
      </c>
      <c r="S2332" s="277" t="str">
        <f>IF(D2332="","",IF(J2332="リード付け",N2332,VLOOKUP(D2332,契約台帳!$A$3:$P$4986,16,FALSE)))</f>
        <v/>
      </c>
      <c r="T2332" s="40"/>
      <c r="U2332" s="278" t="str">
        <f ca="1">IF(D2332="","",IF(OFFSET(D2332,-2,0)=D2332,"",VLOOKUP(D2332,契約台帳!$A$3:$R$4986,18,FALSE)))</f>
        <v/>
      </c>
      <c r="V2332" s="269" t="e">
        <f>IF(J2332="巻返し",VLOOKUP(F2332&amp;K2332&amp;M2332,製品マスタ!$M$5:$AD$5002,18,FALSE),IF(J2332="リード付け","原反コア",IF(J2332="スリット",VLOOKUP(F2332&amp;K2332&amp;Q2332,製品マスタ!$N$5:$AD$5002,17,FALSE),"")))</f>
        <v>#N/A</v>
      </c>
      <c r="W2332" s="269" t="e">
        <f>IF(J2332="巻返し",VLOOKUP(F2332&amp;K2332&amp;M2332,製品マスタ!$M$5:$AE$5002,19,FALSE),IF(J2332="リード付け","-",IF(J2332="スリット",VLOOKUP(F2332&amp;K2332&amp;Q2332,製品マスタ!$N$5:$AE$5002,18,FALSE),"")))</f>
        <v>#N/A</v>
      </c>
      <c r="X2332" s="275" t="str">
        <f>IF(D2332="","",VLOOKUP(D2332,契約台帳!$A$3:$Q$4986,17,FALSE))</f>
        <v/>
      </c>
      <c r="Y2332" s="269" t="str">
        <f>IF(D2332="","",VLOOKUP(D2332,契約台帳!$A$3:$E$4986,5,FALSE))</f>
        <v/>
      </c>
      <c r="Z2332" s="357"/>
      <c r="AA2332" s="207"/>
      <c r="AB2332" s="369"/>
      <c r="AC2332" s="370"/>
      <c r="AD2332" s="332" t="str">
        <f t="shared" si="6"/>
        <v/>
      </c>
      <c r="AE2332" s="216">
        <f t="shared" si="7"/>
        <v>0</v>
      </c>
      <c r="AF2332" s="43" t="str">
        <f>IF(AD2332="","",VLOOKUP(AD2332,原価マスタ!$A$2:$AJ$1693,13,FALSE))</f>
        <v/>
      </c>
      <c r="AG2332" s="47" t="str">
        <f t="shared" si="8"/>
        <v/>
      </c>
      <c r="AH2332" s="30"/>
      <c r="AI2332" s="30"/>
      <c r="AJ2332" s="30"/>
      <c r="AK2332" s="30"/>
      <c r="AL2332" s="13"/>
      <c r="AM2332" s="13"/>
      <c r="AN2332" s="13"/>
      <c r="AO2332" s="13"/>
      <c r="AP2332" s="13"/>
      <c r="AQ2332" s="14"/>
      <c r="AR2332" s="15"/>
    </row>
    <row r="2333" spans="1:44" s="17" customFormat="1" ht="30.95" customHeight="1" x14ac:dyDescent="0.2">
      <c r="A2333" s="343"/>
      <c r="B2333" s="344"/>
      <c r="C2333" s="345"/>
      <c r="D2333" s="398"/>
      <c r="E2333" s="31"/>
      <c r="F2333" s="268" t="str">
        <f>IF(D2333="","",VLOOKUP(D2333,契約台帳!$A$3:$K$4986,6,FALSE)&amp;VLOOKUP(D2333,契約台帳!$A$3:$K$4986,7,FALSE)&amp;VLOOKUP(D2333,契約台帳!$A$3:$K$4986,8,FALSE)&amp;VLOOKUP(D2333,契約台帳!$A$3:$K$4986,9,FALSE)&amp;VLOOKUP(D2333,契約台帳!$A$3:$K$4986,11,FALSE))</f>
        <v/>
      </c>
      <c r="G2333" s="269" t="str">
        <f>IF(D2333="","",VLOOKUP(F2333,製品マスタ!$G$5:$H$5002,2,FALSE))</f>
        <v/>
      </c>
      <c r="H2333" s="269" t="str">
        <f>IF(D2333="","",VLOOKUP(F2333,製品マスタ!$G$5:$K$5002,5,FALSE))</f>
        <v/>
      </c>
      <c r="I2333" s="270" t="str">
        <f>IF(D2333="","",VLOOKUP(F2333,製品マスタ!$G$5:$L$5002,6,FALSE))</f>
        <v/>
      </c>
      <c r="J2333" s="32" t="s">
        <v>447</v>
      </c>
      <c r="K2333" s="270" t="str">
        <f>IF(D2333="","",VLOOKUP(D2333,契約台帳!$A$3:$L$4986,12,FALSE))</f>
        <v/>
      </c>
      <c r="L2333" s="270" t="str">
        <f>IF(D2333="","",INDEX(製品マスタ!$Q$5:$Q$5002,MATCH(F2333&amp;K2333,製品マスタ!$AO$5:$AO$5002,0)))</f>
        <v/>
      </c>
      <c r="M2333" s="39"/>
      <c r="N2333" s="39"/>
      <c r="O2333" s="47"/>
      <c r="P2333" s="57"/>
      <c r="Q2333" s="276" t="str">
        <f>IF(D2333="","",IF(J2333="リード付け",M2333,VLOOKUP(D2333,契約台帳!$A$3:$N$4986,14,FALSE)))</f>
        <v/>
      </c>
      <c r="R2333" s="277" t="str">
        <f>IF(D2333="","",IF(J2333="リード付け",M2333,VLOOKUP(D2333,契約台帳!$A$3:$O$4986,15,FALSE)))</f>
        <v/>
      </c>
      <c r="S2333" s="277" t="str">
        <f>IF(D2333="","",IF(J2333="リード付け",N2333,VLOOKUP(D2333,契約台帳!$A$3:$P$4986,16,FALSE)))</f>
        <v/>
      </c>
      <c r="T2333" s="40"/>
      <c r="U2333" s="278" t="str">
        <f ca="1">IF(D2333="","",IF(OFFSET(D2333,-2,0)=D2333,"",VLOOKUP(D2333,契約台帳!$A$3:$R$4986,18,FALSE)))</f>
        <v/>
      </c>
      <c r="V2333" s="269" t="e">
        <f>IF(J2333="巻返し",VLOOKUP(F2333&amp;K2333&amp;M2333,製品マスタ!$M$5:$AD$5002,18,FALSE),IF(J2333="リード付け","原反コア",IF(J2333="スリット",VLOOKUP(F2333&amp;K2333&amp;Q2333,製品マスタ!$N$5:$AD$5002,17,FALSE),"")))</f>
        <v>#N/A</v>
      </c>
      <c r="W2333" s="269" t="e">
        <f>IF(J2333="巻返し",VLOOKUP(F2333&amp;K2333&amp;M2333,製品マスタ!$M$5:$AE$5002,19,FALSE),IF(J2333="リード付け","-",IF(J2333="スリット",VLOOKUP(F2333&amp;K2333&amp;Q2333,製品マスタ!$N$5:$AE$5002,18,FALSE),"")))</f>
        <v>#N/A</v>
      </c>
      <c r="X2333" s="275" t="str">
        <f>IF(D2333="","",VLOOKUP(D2333,契約台帳!$A$3:$Q$4986,17,FALSE))</f>
        <v/>
      </c>
      <c r="Y2333" s="269" t="str">
        <f>IF(D2333="","",VLOOKUP(D2333,契約台帳!$A$3:$E$4986,5,FALSE))</f>
        <v/>
      </c>
      <c r="Z2333" s="357"/>
      <c r="AA2333" s="207"/>
      <c r="AB2333" s="369"/>
      <c r="AC2333" s="370"/>
      <c r="AD2333" s="332" t="str">
        <f t="shared" si="6"/>
        <v/>
      </c>
      <c r="AE2333" s="216">
        <f t="shared" si="7"/>
        <v>0</v>
      </c>
      <c r="AF2333" s="43" t="str">
        <f>IF(AD2333="","",VLOOKUP(AD2333,原価マスタ!$A$2:$AJ$1693,13,FALSE))</f>
        <v/>
      </c>
      <c r="AG2333" s="47" t="str">
        <f t="shared" si="8"/>
        <v/>
      </c>
      <c r="AH2333" s="30"/>
      <c r="AI2333" s="30"/>
      <c r="AJ2333" s="30"/>
      <c r="AK2333" s="30"/>
      <c r="AL2333" s="13"/>
      <c r="AM2333" s="13"/>
      <c r="AN2333" s="13"/>
      <c r="AO2333" s="13"/>
      <c r="AP2333" s="13"/>
      <c r="AQ2333" s="14"/>
      <c r="AR2333" s="15"/>
    </row>
    <row r="2334" spans="1:44" s="17" customFormat="1" ht="30.95" customHeight="1" x14ac:dyDescent="0.2">
      <c r="A2334" s="343"/>
      <c r="B2334" s="344"/>
      <c r="C2334" s="345"/>
      <c r="D2334" s="398"/>
      <c r="E2334" s="31"/>
      <c r="F2334" s="268" t="str">
        <f>IF(D2334="","",VLOOKUP(D2334,契約台帳!$A$3:$K$4986,6,FALSE)&amp;VLOOKUP(D2334,契約台帳!$A$3:$K$4986,7,FALSE)&amp;VLOOKUP(D2334,契約台帳!$A$3:$K$4986,8,FALSE)&amp;VLOOKUP(D2334,契約台帳!$A$3:$K$4986,9,FALSE)&amp;VLOOKUP(D2334,契約台帳!$A$3:$K$4986,11,FALSE))</f>
        <v/>
      </c>
      <c r="G2334" s="269" t="str">
        <f>IF(D2334="","",VLOOKUP(F2334,製品マスタ!$G$5:$H$5002,2,FALSE))</f>
        <v/>
      </c>
      <c r="H2334" s="269" t="str">
        <f>IF(D2334="","",VLOOKUP(F2334,製品マスタ!$G$5:$K$5002,5,FALSE))</f>
        <v/>
      </c>
      <c r="I2334" s="270" t="str">
        <f>IF(D2334="","",VLOOKUP(F2334,製品マスタ!$G$5:$L$5002,6,FALSE))</f>
        <v/>
      </c>
      <c r="J2334" s="32" t="s">
        <v>447</v>
      </c>
      <c r="K2334" s="270" t="str">
        <f>IF(D2334="","",VLOOKUP(D2334,契約台帳!$A$3:$L$4986,12,FALSE))</f>
        <v/>
      </c>
      <c r="L2334" s="270" t="str">
        <f>IF(D2334="","",INDEX(製品マスタ!$Q$5:$Q$5002,MATCH(F2334&amp;K2334,製品マスタ!$AO$5:$AO$5002,0)))</f>
        <v/>
      </c>
      <c r="M2334" s="39"/>
      <c r="N2334" s="39"/>
      <c r="O2334" s="47"/>
      <c r="P2334" s="57"/>
      <c r="Q2334" s="276" t="str">
        <f>IF(D2334="","",IF(J2334="リード付け",M2334,VLOOKUP(D2334,契約台帳!$A$3:$N$4986,14,FALSE)))</f>
        <v/>
      </c>
      <c r="R2334" s="277" t="str">
        <f>IF(D2334="","",IF(J2334="リード付け",M2334,VLOOKUP(D2334,契約台帳!$A$3:$O$4986,15,FALSE)))</f>
        <v/>
      </c>
      <c r="S2334" s="277" t="str">
        <f>IF(D2334="","",IF(J2334="リード付け",N2334,VLOOKUP(D2334,契約台帳!$A$3:$P$4986,16,FALSE)))</f>
        <v/>
      </c>
      <c r="T2334" s="40"/>
      <c r="U2334" s="278" t="str">
        <f ca="1">IF(D2334="","",IF(OFFSET(D2334,-2,0)=D2334,"",VLOOKUP(D2334,契約台帳!$A$3:$R$4986,18,FALSE)))</f>
        <v/>
      </c>
      <c r="V2334" s="269" t="e">
        <f>IF(J2334="巻返し",VLOOKUP(F2334&amp;K2334&amp;M2334,製品マスタ!$M$5:$AD$5002,18,FALSE),IF(J2334="リード付け","原反コア",IF(J2334="スリット",VLOOKUP(F2334&amp;K2334&amp;Q2334,製品マスタ!$N$5:$AD$5002,17,FALSE),"")))</f>
        <v>#N/A</v>
      </c>
      <c r="W2334" s="269" t="e">
        <f>IF(J2334="巻返し",VLOOKUP(F2334&amp;K2334&amp;M2334,製品マスタ!$M$5:$AE$5002,19,FALSE),IF(J2334="リード付け","-",IF(J2334="スリット",VLOOKUP(F2334&amp;K2334&amp;Q2334,製品マスタ!$N$5:$AE$5002,18,FALSE),"")))</f>
        <v>#N/A</v>
      </c>
      <c r="X2334" s="275" t="str">
        <f>IF(D2334="","",VLOOKUP(D2334,契約台帳!$A$3:$Q$4986,17,FALSE))</f>
        <v/>
      </c>
      <c r="Y2334" s="269" t="str">
        <f>IF(D2334="","",VLOOKUP(D2334,契約台帳!$A$3:$E$4986,5,FALSE))</f>
        <v/>
      </c>
      <c r="Z2334" s="357"/>
      <c r="AA2334" s="207"/>
      <c r="AB2334" s="369"/>
      <c r="AC2334" s="370"/>
      <c r="AD2334" s="332" t="str">
        <f t="shared" si="6"/>
        <v/>
      </c>
      <c r="AE2334" s="216">
        <f t="shared" si="7"/>
        <v>0</v>
      </c>
      <c r="AF2334" s="43" t="str">
        <f>IF(AD2334="","",VLOOKUP(AD2334,原価マスタ!$A$2:$AJ$1693,13,FALSE))</f>
        <v/>
      </c>
      <c r="AG2334" s="47" t="str">
        <f t="shared" si="8"/>
        <v/>
      </c>
      <c r="AH2334" s="30"/>
      <c r="AI2334" s="30"/>
      <c r="AJ2334" s="30"/>
      <c r="AK2334" s="30"/>
      <c r="AL2334" s="13"/>
      <c r="AM2334" s="13"/>
      <c r="AN2334" s="13"/>
      <c r="AO2334" s="13"/>
      <c r="AP2334" s="13"/>
      <c r="AQ2334" s="14"/>
      <c r="AR2334" s="15"/>
    </row>
    <row r="2335" spans="1:44" s="17" customFormat="1" ht="30.95" customHeight="1" x14ac:dyDescent="0.2">
      <c r="A2335" s="343"/>
      <c r="B2335" s="344"/>
      <c r="C2335" s="345"/>
      <c r="D2335" s="398"/>
      <c r="E2335" s="31"/>
      <c r="F2335" s="268" t="str">
        <f>IF(D2335="","",VLOOKUP(D2335,契約台帳!$A$3:$K$4986,6,FALSE)&amp;VLOOKUP(D2335,契約台帳!$A$3:$K$4986,7,FALSE)&amp;VLOOKUP(D2335,契約台帳!$A$3:$K$4986,8,FALSE)&amp;VLOOKUP(D2335,契約台帳!$A$3:$K$4986,9,FALSE)&amp;VLOOKUP(D2335,契約台帳!$A$3:$K$4986,11,FALSE))</f>
        <v/>
      </c>
      <c r="G2335" s="269" t="str">
        <f>IF(D2335="","",VLOOKUP(F2335,製品マスタ!$G$5:$H$5002,2,FALSE))</f>
        <v/>
      </c>
      <c r="H2335" s="269" t="str">
        <f>IF(D2335="","",VLOOKUP(F2335,製品マスタ!$G$5:$K$5002,5,FALSE))</f>
        <v/>
      </c>
      <c r="I2335" s="270" t="str">
        <f>IF(D2335="","",VLOOKUP(F2335,製品マスタ!$G$5:$L$5002,6,FALSE))</f>
        <v/>
      </c>
      <c r="J2335" s="32" t="s">
        <v>447</v>
      </c>
      <c r="K2335" s="270" t="str">
        <f>IF(D2335="","",VLOOKUP(D2335,契約台帳!$A$3:$L$4986,12,FALSE))</f>
        <v/>
      </c>
      <c r="L2335" s="270" t="str">
        <f>IF(D2335="","",INDEX(製品マスタ!$Q$5:$Q$5002,MATCH(F2335&amp;K2335,製品マスタ!$AO$5:$AO$5002,0)))</f>
        <v/>
      </c>
      <c r="M2335" s="39"/>
      <c r="N2335" s="39"/>
      <c r="O2335" s="47"/>
      <c r="P2335" s="57"/>
      <c r="Q2335" s="276" t="str">
        <f>IF(D2335="","",IF(J2335="リード付け",M2335,VLOOKUP(D2335,契約台帳!$A$3:$N$4986,14,FALSE)))</f>
        <v/>
      </c>
      <c r="R2335" s="277" t="str">
        <f>IF(D2335="","",IF(J2335="リード付け",M2335,VLOOKUP(D2335,契約台帳!$A$3:$O$4986,15,FALSE)))</f>
        <v/>
      </c>
      <c r="S2335" s="277" t="str">
        <f>IF(D2335="","",IF(J2335="リード付け",N2335,VLOOKUP(D2335,契約台帳!$A$3:$P$4986,16,FALSE)))</f>
        <v/>
      </c>
      <c r="T2335" s="40"/>
      <c r="U2335" s="278" t="str">
        <f ca="1">IF(D2335="","",IF(OFFSET(D2335,-2,0)=D2335,"",VLOOKUP(D2335,契約台帳!$A$3:$R$4986,18,FALSE)))</f>
        <v/>
      </c>
      <c r="V2335" s="269" t="e">
        <f>IF(J2335="巻返し",VLOOKUP(F2335&amp;K2335&amp;M2335,製品マスタ!$M$5:$AD$5002,18,FALSE),IF(J2335="リード付け","原反コア",IF(J2335="スリット",VLOOKUP(F2335&amp;K2335&amp;Q2335,製品マスタ!$N$5:$AD$5002,17,FALSE),"")))</f>
        <v>#N/A</v>
      </c>
      <c r="W2335" s="269" t="e">
        <f>IF(J2335="巻返し",VLOOKUP(F2335&amp;K2335&amp;M2335,製品マスタ!$M$5:$AE$5002,19,FALSE),IF(J2335="リード付け","-",IF(J2335="スリット",VLOOKUP(F2335&amp;K2335&amp;Q2335,製品マスタ!$N$5:$AE$5002,18,FALSE),"")))</f>
        <v>#N/A</v>
      </c>
      <c r="X2335" s="275" t="str">
        <f>IF(D2335="","",VLOOKUP(D2335,契約台帳!$A$3:$Q$4986,17,FALSE))</f>
        <v/>
      </c>
      <c r="Y2335" s="269" t="str">
        <f>IF(D2335="","",VLOOKUP(D2335,契約台帳!$A$3:$E$4986,5,FALSE))</f>
        <v/>
      </c>
      <c r="Z2335" s="357"/>
      <c r="AA2335" s="207"/>
      <c r="AB2335" s="369"/>
      <c r="AC2335" s="370"/>
      <c r="AD2335" s="332" t="str">
        <f t="shared" si="6"/>
        <v/>
      </c>
      <c r="AE2335" s="216">
        <f t="shared" si="7"/>
        <v>0</v>
      </c>
      <c r="AF2335" s="43" t="str">
        <f>IF(AD2335="","",VLOOKUP(AD2335,原価マスタ!$A$2:$AJ$1693,13,FALSE))</f>
        <v/>
      </c>
      <c r="AG2335" s="47" t="str">
        <f t="shared" si="8"/>
        <v/>
      </c>
      <c r="AH2335" s="30"/>
      <c r="AI2335" s="30"/>
      <c r="AJ2335" s="30"/>
      <c r="AK2335" s="30"/>
      <c r="AL2335" s="13"/>
      <c r="AM2335" s="13"/>
      <c r="AN2335" s="13"/>
      <c r="AO2335" s="13"/>
      <c r="AP2335" s="13"/>
      <c r="AQ2335" s="14"/>
      <c r="AR2335" s="15"/>
    </row>
    <row r="2336" spans="1:44" s="17" customFormat="1" ht="30.95" customHeight="1" x14ac:dyDescent="0.2">
      <c r="A2336" s="343"/>
      <c r="B2336" s="344"/>
      <c r="C2336" s="345"/>
      <c r="D2336" s="398"/>
      <c r="E2336" s="31"/>
      <c r="F2336" s="268" t="str">
        <f>IF(D2336="","",VLOOKUP(D2336,契約台帳!$A$3:$K$4986,6,FALSE)&amp;VLOOKUP(D2336,契約台帳!$A$3:$K$4986,7,FALSE)&amp;VLOOKUP(D2336,契約台帳!$A$3:$K$4986,8,FALSE)&amp;VLOOKUP(D2336,契約台帳!$A$3:$K$4986,9,FALSE)&amp;VLOOKUP(D2336,契約台帳!$A$3:$K$4986,11,FALSE))</f>
        <v/>
      </c>
      <c r="G2336" s="269" t="str">
        <f>IF(D2336="","",VLOOKUP(F2336,製品マスタ!$G$5:$H$5002,2,FALSE))</f>
        <v/>
      </c>
      <c r="H2336" s="269" t="str">
        <f>IF(D2336="","",VLOOKUP(F2336,製品マスタ!$G$5:$K$5002,5,FALSE))</f>
        <v/>
      </c>
      <c r="I2336" s="270" t="str">
        <f>IF(D2336="","",VLOOKUP(F2336,製品マスタ!$G$5:$L$5002,6,FALSE))</f>
        <v/>
      </c>
      <c r="J2336" s="32" t="s">
        <v>447</v>
      </c>
      <c r="K2336" s="270" t="str">
        <f>IF(D2336="","",VLOOKUP(D2336,契約台帳!$A$3:$L$4986,12,FALSE))</f>
        <v/>
      </c>
      <c r="L2336" s="270" t="str">
        <f>IF(D2336="","",INDEX(製品マスタ!$Q$5:$Q$5002,MATCH(F2336&amp;K2336,製品マスタ!$AO$5:$AO$5002,0)))</f>
        <v/>
      </c>
      <c r="M2336" s="39"/>
      <c r="N2336" s="39"/>
      <c r="O2336" s="47"/>
      <c r="P2336" s="57"/>
      <c r="Q2336" s="276" t="str">
        <f>IF(D2336="","",IF(J2336="リード付け",M2336,VLOOKUP(D2336,契約台帳!$A$3:$N$4986,14,FALSE)))</f>
        <v/>
      </c>
      <c r="R2336" s="277" t="str">
        <f>IF(D2336="","",IF(J2336="リード付け",M2336,VLOOKUP(D2336,契約台帳!$A$3:$O$4986,15,FALSE)))</f>
        <v/>
      </c>
      <c r="S2336" s="277" t="str">
        <f>IF(D2336="","",IF(J2336="リード付け",N2336,VLOOKUP(D2336,契約台帳!$A$3:$P$4986,16,FALSE)))</f>
        <v/>
      </c>
      <c r="T2336" s="40"/>
      <c r="U2336" s="278" t="str">
        <f ca="1">IF(D2336="","",IF(OFFSET(D2336,-2,0)=D2336,"",VLOOKUP(D2336,契約台帳!$A$3:$R$4986,18,FALSE)))</f>
        <v/>
      </c>
      <c r="V2336" s="269" t="e">
        <f>IF(J2336="巻返し",VLOOKUP(F2336&amp;K2336&amp;M2336,製品マスタ!$M$5:$AD$5002,18,FALSE),IF(J2336="リード付け","原反コア",IF(J2336="スリット",VLOOKUP(F2336&amp;K2336&amp;Q2336,製品マスタ!$N$5:$AD$5002,17,FALSE),"")))</f>
        <v>#N/A</v>
      </c>
      <c r="W2336" s="269" t="e">
        <f>IF(J2336="巻返し",VLOOKUP(F2336&amp;K2336&amp;M2336,製品マスタ!$M$5:$AE$5002,19,FALSE),IF(J2336="リード付け","-",IF(J2336="スリット",VLOOKUP(F2336&amp;K2336&amp;Q2336,製品マスタ!$N$5:$AE$5002,18,FALSE),"")))</f>
        <v>#N/A</v>
      </c>
      <c r="X2336" s="275" t="str">
        <f>IF(D2336="","",VLOOKUP(D2336,契約台帳!$A$3:$Q$4986,17,FALSE))</f>
        <v/>
      </c>
      <c r="Y2336" s="269" t="str">
        <f>IF(D2336="","",VLOOKUP(D2336,契約台帳!$A$3:$E$4986,5,FALSE))</f>
        <v/>
      </c>
      <c r="Z2336" s="357"/>
      <c r="AA2336" s="207"/>
      <c r="AB2336" s="369"/>
      <c r="AC2336" s="370"/>
      <c r="AD2336" s="332" t="str">
        <f t="shared" si="6"/>
        <v/>
      </c>
      <c r="AE2336" s="216">
        <f t="shared" si="7"/>
        <v>0</v>
      </c>
      <c r="AF2336" s="43" t="str">
        <f>IF(AD2336="","",VLOOKUP(AD2336,原価マスタ!$A$2:$AJ$1693,13,FALSE))</f>
        <v/>
      </c>
      <c r="AG2336" s="47" t="str">
        <f t="shared" si="8"/>
        <v/>
      </c>
      <c r="AH2336" s="30"/>
      <c r="AI2336" s="30"/>
      <c r="AJ2336" s="30"/>
      <c r="AK2336" s="30"/>
      <c r="AL2336" s="13"/>
      <c r="AM2336" s="13"/>
      <c r="AN2336" s="13"/>
      <c r="AO2336" s="13"/>
      <c r="AP2336" s="13"/>
      <c r="AQ2336" s="14"/>
      <c r="AR2336" s="15"/>
    </row>
    <row r="2337" spans="1:44" s="17" customFormat="1" ht="30.95" customHeight="1" x14ac:dyDescent="0.2">
      <c r="A2337" s="343"/>
      <c r="B2337" s="344"/>
      <c r="C2337" s="345"/>
      <c r="D2337" s="398"/>
      <c r="E2337" s="31"/>
      <c r="F2337" s="268" t="str">
        <f>IF(D2337="","",VLOOKUP(D2337,契約台帳!$A$3:$K$4986,6,FALSE)&amp;VLOOKUP(D2337,契約台帳!$A$3:$K$4986,7,FALSE)&amp;VLOOKUP(D2337,契約台帳!$A$3:$K$4986,8,FALSE)&amp;VLOOKUP(D2337,契約台帳!$A$3:$K$4986,9,FALSE)&amp;VLOOKUP(D2337,契約台帳!$A$3:$K$4986,11,FALSE))</f>
        <v/>
      </c>
      <c r="G2337" s="269" t="str">
        <f>IF(D2337="","",VLOOKUP(F2337,製品マスタ!$G$5:$H$5002,2,FALSE))</f>
        <v/>
      </c>
      <c r="H2337" s="269" t="str">
        <f>IF(D2337="","",VLOOKUP(F2337,製品マスタ!$G$5:$K$5002,5,FALSE))</f>
        <v/>
      </c>
      <c r="I2337" s="270" t="str">
        <f>IF(D2337="","",VLOOKUP(F2337,製品マスタ!$G$5:$L$5002,6,FALSE))</f>
        <v/>
      </c>
      <c r="J2337" s="32" t="s">
        <v>447</v>
      </c>
      <c r="K2337" s="270" t="str">
        <f>IF(D2337="","",VLOOKUP(D2337,契約台帳!$A$3:$L$4986,12,FALSE))</f>
        <v/>
      </c>
      <c r="L2337" s="270" t="str">
        <f>IF(D2337="","",INDEX(製品マスタ!$Q$5:$Q$5002,MATCH(F2337&amp;K2337,製品マスタ!$AO$5:$AO$5002,0)))</f>
        <v/>
      </c>
      <c r="M2337" s="39"/>
      <c r="N2337" s="39"/>
      <c r="O2337" s="47"/>
      <c r="P2337" s="57"/>
      <c r="Q2337" s="276" t="str">
        <f>IF(D2337="","",IF(J2337="リード付け",M2337,VLOOKUP(D2337,契約台帳!$A$3:$N$4986,14,FALSE)))</f>
        <v/>
      </c>
      <c r="R2337" s="277" t="str">
        <f>IF(D2337="","",IF(J2337="リード付け",M2337,VLOOKUP(D2337,契約台帳!$A$3:$O$4986,15,FALSE)))</f>
        <v/>
      </c>
      <c r="S2337" s="277" t="str">
        <f>IF(D2337="","",IF(J2337="リード付け",N2337,VLOOKUP(D2337,契約台帳!$A$3:$P$4986,16,FALSE)))</f>
        <v/>
      </c>
      <c r="T2337" s="40"/>
      <c r="U2337" s="278" t="str">
        <f ca="1">IF(D2337="","",IF(OFFSET(D2337,-2,0)=D2337,"",VLOOKUP(D2337,契約台帳!$A$3:$R$4986,18,FALSE)))</f>
        <v/>
      </c>
      <c r="V2337" s="269" t="e">
        <f>IF(J2337="巻返し",VLOOKUP(F2337&amp;K2337&amp;M2337,製品マスタ!$M$5:$AD$5002,18,FALSE),IF(J2337="リード付け","原反コア",IF(J2337="スリット",VLOOKUP(F2337&amp;K2337&amp;Q2337,製品マスタ!$N$5:$AD$5002,17,FALSE),"")))</f>
        <v>#N/A</v>
      </c>
      <c r="W2337" s="269" t="e">
        <f>IF(J2337="巻返し",VLOOKUP(F2337&amp;K2337&amp;M2337,製品マスタ!$M$5:$AE$5002,19,FALSE),IF(J2337="リード付け","-",IF(J2337="スリット",VLOOKUP(F2337&amp;K2337&amp;Q2337,製品マスタ!$N$5:$AE$5002,18,FALSE),"")))</f>
        <v>#N/A</v>
      </c>
      <c r="X2337" s="275" t="str">
        <f>IF(D2337="","",VLOOKUP(D2337,契約台帳!$A$3:$Q$4986,17,FALSE))</f>
        <v/>
      </c>
      <c r="Y2337" s="269" t="str">
        <f>IF(D2337="","",VLOOKUP(D2337,契約台帳!$A$3:$E$4986,5,FALSE))</f>
        <v/>
      </c>
      <c r="Z2337" s="357"/>
      <c r="AA2337" s="207"/>
      <c r="AB2337" s="369"/>
      <c r="AC2337" s="370"/>
      <c r="AD2337" s="332" t="str">
        <f t="shared" si="6"/>
        <v/>
      </c>
      <c r="AE2337" s="216">
        <f t="shared" si="7"/>
        <v>0</v>
      </c>
      <c r="AF2337" s="43" t="str">
        <f>IF(AD2337="","",VLOOKUP(AD2337,原価マスタ!$A$2:$AJ$1693,13,FALSE))</f>
        <v/>
      </c>
      <c r="AG2337" s="47" t="str">
        <f t="shared" si="8"/>
        <v/>
      </c>
      <c r="AH2337" s="30"/>
      <c r="AI2337" s="30"/>
      <c r="AJ2337" s="30"/>
      <c r="AK2337" s="30"/>
      <c r="AL2337" s="13"/>
      <c r="AM2337" s="13"/>
      <c r="AN2337" s="13"/>
      <c r="AO2337" s="13"/>
      <c r="AP2337" s="13"/>
      <c r="AQ2337" s="14"/>
      <c r="AR2337" s="15"/>
    </row>
    <row r="2338" spans="1:44" s="17" customFormat="1" ht="30.95" customHeight="1" x14ac:dyDescent="0.2">
      <c r="A2338" s="343"/>
      <c r="B2338" s="344"/>
      <c r="C2338" s="345"/>
      <c r="D2338" s="398"/>
      <c r="E2338" s="31"/>
      <c r="F2338" s="268" t="str">
        <f>IF(D2338="","",VLOOKUP(D2338,契約台帳!$A$3:$K$4986,6,FALSE)&amp;VLOOKUP(D2338,契約台帳!$A$3:$K$4986,7,FALSE)&amp;VLOOKUP(D2338,契約台帳!$A$3:$K$4986,8,FALSE)&amp;VLOOKUP(D2338,契約台帳!$A$3:$K$4986,9,FALSE)&amp;VLOOKUP(D2338,契約台帳!$A$3:$K$4986,11,FALSE))</f>
        <v/>
      </c>
      <c r="G2338" s="269" t="str">
        <f>IF(D2338="","",VLOOKUP(F2338,製品マスタ!$G$5:$H$5002,2,FALSE))</f>
        <v/>
      </c>
      <c r="H2338" s="269" t="str">
        <f>IF(D2338="","",VLOOKUP(F2338,製品マスタ!$G$5:$K$5002,5,FALSE))</f>
        <v/>
      </c>
      <c r="I2338" s="270" t="str">
        <f>IF(D2338="","",VLOOKUP(F2338,製品マスタ!$G$5:$L$5002,6,FALSE))</f>
        <v/>
      </c>
      <c r="J2338" s="32" t="s">
        <v>447</v>
      </c>
      <c r="K2338" s="270" t="str">
        <f>IF(D2338="","",VLOOKUP(D2338,契約台帳!$A$3:$L$4986,12,FALSE))</f>
        <v/>
      </c>
      <c r="L2338" s="270" t="str">
        <f>IF(D2338="","",INDEX(製品マスタ!$Q$5:$Q$5002,MATCH(F2338&amp;K2338,製品マスタ!$AO$5:$AO$5002,0)))</f>
        <v/>
      </c>
      <c r="M2338" s="39"/>
      <c r="N2338" s="39"/>
      <c r="O2338" s="47"/>
      <c r="P2338" s="57"/>
      <c r="Q2338" s="276" t="str">
        <f>IF(D2338="","",IF(J2338="リード付け",M2338,VLOOKUP(D2338,契約台帳!$A$3:$N$4986,14,FALSE)))</f>
        <v/>
      </c>
      <c r="R2338" s="277" t="str">
        <f>IF(D2338="","",IF(J2338="リード付け",M2338,VLOOKUP(D2338,契約台帳!$A$3:$O$4986,15,FALSE)))</f>
        <v/>
      </c>
      <c r="S2338" s="277" t="str">
        <f>IF(D2338="","",IF(J2338="リード付け",N2338,VLOOKUP(D2338,契約台帳!$A$3:$P$4986,16,FALSE)))</f>
        <v/>
      </c>
      <c r="T2338" s="40"/>
      <c r="U2338" s="278" t="str">
        <f ca="1">IF(D2338="","",IF(OFFSET(D2338,-2,0)=D2338,"",VLOOKUP(D2338,契約台帳!$A$3:$R$4986,18,FALSE)))</f>
        <v/>
      </c>
      <c r="V2338" s="269" t="e">
        <f>IF(J2338="巻返し",VLOOKUP(F2338&amp;K2338&amp;M2338,製品マスタ!$M$5:$AD$5002,18,FALSE),IF(J2338="リード付け","原反コア",IF(J2338="スリット",VLOOKUP(F2338&amp;K2338&amp;Q2338,製品マスタ!$N$5:$AD$5002,17,FALSE),"")))</f>
        <v>#N/A</v>
      </c>
      <c r="W2338" s="269" t="e">
        <f>IF(J2338="巻返し",VLOOKUP(F2338&amp;K2338&amp;M2338,製品マスタ!$M$5:$AE$5002,19,FALSE),IF(J2338="リード付け","-",IF(J2338="スリット",VLOOKUP(F2338&amp;K2338&amp;Q2338,製品マスタ!$N$5:$AE$5002,18,FALSE),"")))</f>
        <v>#N/A</v>
      </c>
      <c r="X2338" s="275" t="str">
        <f>IF(D2338="","",VLOOKUP(D2338,契約台帳!$A$3:$Q$4986,17,FALSE))</f>
        <v/>
      </c>
      <c r="Y2338" s="269" t="str">
        <f>IF(D2338="","",VLOOKUP(D2338,契約台帳!$A$3:$E$4986,5,FALSE))</f>
        <v/>
      </c>
      <c r="Z2338" s="357"/>
      <c r="AA2338" s="207"/>
      <c r="AB2338" s="369"/>
      <c r="AC2338" s="370"/>
      <c r="AD2338" s="332" t="str">
        <f t="shared" si="6"/>
        <v/>
      </c>
      <c r="AE2338" s="216">
        <f t="shared" si="7"/>
        <v>0</v>
      </c>
      <c r="AF2338" s="43" t="str">
        <f>IF(AD2338="","",VLOOKUP(AD2338,原価マスタ!$A$2:$AJ$1693,13,FALSE))</f>
        <v/>
      </c>
      <c r="AG2338" s="47" t="str">
        <f t="shared" si="8"/>
        <v/>
      </c>
      <c r="AH2338" s="30"/>
      <c r="AI2338" s="30"/>
      <c r="AJ2338" s="30"/>
      <c r="AK2338" s="30"/>
      <c r="AL2338" s="13"/>
      <c r="AM2338" s="13"/>
      <c r="AN2338" s="13"/>
      <c r="AO2338" s="13"/>
      <c r="AP2338" s="13"/>
      <c r="AQ2338" s="14"/>
      <c r="AR2338" s="15"/>
    </row>
    <row r="2339" spans="1:44" s="17" customFormat="1" ht="30.95" customHeight="1" x14ac:dyDescent="0.2">
      <c r="A2339" s="343"/>
      <c r="B2339" s="344"/>
      <c r="C2339" s="345"/>
      <c r="D2339" s="398"/>
      <c r="E2339" s="31"/>
      <c r="F2339" s="268" t="str">
        <f>IF(D2339="","",VLOOKUP(D2339,契約台帳!$A$3:$K$4986,6,FALSE)&amp;VLOOKUP(D2339,契約台帳!$A$3:$K$4986,7,FALSE)&amp;VLOOKUP(D2339,契約台帳!$A$3:$K$4986,8,FALSE)&amp;VLOOKUP(D2339,契約台帳!$A$3:$K$4986,9,FALSE)&amp;VLOOKUP(D2339,契約台帳!$A$3:$K$4986,11,FALSE))</f>
        <v/>
      </c>
      <c r="G2339" s="269" t="str">
        <f>IF(D2339="","",VLOOKUP(F2339,製品マスタ!$G$5:$H$5002,2,FALSE))</f>
        <v/>
      </c>
      <c r="H2339" s="269" t="str">
        <f>IF(D2339="","",VLOOKUP(F2339,製品マスタ!$G$5:$K$5002,5,FALSE))</f>
        <v/>
      </c>
      <c r="I2339" s="270" t="str">
        <f>IF(D2339="","",VLOOKUP(F2339,製品マスタ!$G$5:$L$5002,6,FALSE))</f>
        <v/>
      </c>
      <c r="J2339" s="32" t="s">
        <v>447</v>
      </c>
      <c r="K2339" s="270" t="str">
        <f>IF(D2339="","",VLOOKUP(D2339,契約台帳!$A$3:$L$4986,12,FALSE))</f>
        <v/>
      </c>
      <c r="L2339" s="270" t="str">
        <f>IF(D2339="","",INDEX(製品マスタ!$Q$5:$Q$5002,MATCH(F2339&amp;K2339,製品マスタ!$AO$5:$AO$5002,0)))</f>
        <v/>
      </c>
      <c r="M2339" s="39"/>
      <c r="N2339" s="39"/>
      <c r="O2339" s="47"/>
      <c r="P2339" s="57"/>
      <c r="Q2339" s="276" t="str">
        <f>IF(D2339="","",IF(J2339="リード付け",M2339,VLOOKUP(D2339,契約台帳!$A$3:$N$4986,14,FALSE)))</f>
        <v/>
      </c>
      <c r="R2339" s="277" t="str">
        <f>IF(D2339="","",IF(J2339="リード付け",M2339,VLOOKUP(D2339,契約台帳!$A$3:$O$4986,15,FALSE)))</f>
        <v/>
      </c>
      <c r="S2339" s="277" t="str">
        <f>IF(D2339="","",IF(J2339="リード付け",N2339,VLOOKUP(D2339,契約台帳!$A$3:$P$4986,16,FALSE)))</f>
        <v/>
      </c>
      <c r="T2339" s="40"/>
      <c r="U2339" s="278" t="str">
        <f ca="1">IF(D2339="","",IF(OFFSET(D2339,-2,0)=D2339,"",VLOOKUP(D2339,契約台帳!$A$3:$R$4986,18,FALSE)))</f>
        <v/>
      </c>
      <c r="V2339" s="269" t="e">
        <f>IF(J2339="巻返し",VLOOKUP(F2339&amp;K2339&amp;M2339,製品マスタ!$M$5:$AD$5002,18,FALSE),IF(J2339="リード付け","原反コア",IF(J2339="スリット",VLOOKUP(F2339&amp;K2339&amp;Q2339,製品マスタ!$N$5:$AD$5002,17,FALSE),"")))</f>
        <v>#N/A</v>
      </c>
      <c r="W2339" s="269" t="e">
        <f>IF(J2339="巻返し",VLOOKUP(F2339&amp;K2339&amp;M2339,製品マスタ!$M$5:$AE$5002,19,FALSE),IF(J2339="リード付け","-",IF(J2339="スリット",VLOOKUP(F2339&amp;K2339&amp;Q2339,製品マスタ!$N$5:$AE$5002,18,FALSE),"")))</f>
        <v>#N/A</v>
      </c>
      <c r="X2339" s="275" t="str">
        <f>IF(D2339="","",VLOOKUP(D2339,契約台帳!$A$3:$Q$4986,17,FALSE))</f>
        <v/>
      </c>
      <c r="Y2339" s="269" t="str">
        <f>IF(D2339="","",VLOOKUP(D2339,契約台帳!$A$3:$E$4986,5,FALSE))</f>
        <v/>
      </c>
      <c r="Z2339" s="357"/>
      <c r="AA2339" s="207"/>
      <c r="AB2339" s="369"/>
      <c r="AC2339" s="370"/>
      <c r="AD2339" s="332" t="str">
        <f t="shared" si="6"/>
        <v/>
      </c>
      <c r="AE2339" s="216">
        <f t="shared" si="7"/>
        <v>0</v>
      </c>
      <c r="AF2339" s="43" t="str">
        <f>IF(AD2339="","",VLOOKUP(AD2339,原価マスタ!$A$2:$AJ$1693,13,FALSE))</f>
        <v/>
      </c>
      <c r="AG2339" s="47" t="str">
        <f t="shared" si="8"/>
        <v/>
      </c>
      <c r="AH2339" s="30"/>
      <c r="AI2339" s="30"/>
      <c r="AJ2339" s="30"/>
      <c r="AK2339" s="30"/>
      <c r="AL2339" s="13"/>
      <c r="AM2339" s="13"/>
      <c r="AN2339" s="13"/>
      <c r="AO2339" s="13"/>
      <c r="AP2339" s="13"/>
      <c r="AQ2339" s="14"/>
      <c r="AR2339" s="15"/>
    </row>
    <row r="2340" spans="1:44" s="17" customFormat="1" ht="30.95" customHeight="1" x14ac:dyDescent="0.2">
      <c r="A2340" s="343"/>
      <c r="B2340" s="344"/>
      <c r="C2340" s="345"/>
      <c r="D2340" s="398"/>
      <c r="E2340" s="31"/>
      <c r="F2340" s="268" t="str">
        <f>IF(D2340="","",VLOOKUP(D2340,契約台帳!$A$3:$K$4986,6,FALSE)&amp;VLOOKUP(D2340,契約台帳!$A$3:$K$4986,7,FALSE)&amp;VLOOKUP(D2340,契約台帳!$A$3:$K$4986,8,FALSE)&amp;VLOOKUP(D2340,契約台帳!$A$3:$K$4986,9,FALSE)&amp;VLOOKUP(D2340,契約台帳!$A$3:$K$4986,11,FALSE))</f>
        <v/>
      </c>
      <c r="G2340" s="269" t="str">
        <f>IF(D2340="","",VLOOKUP(F2340,製品マスタ!$G$5:$H$5002,2,FALSE))</f>
        <v/>
      </c>
      <c r="H2340" s="269" t="str">
        <f>IF(D2340="","",VLOOKUP(F2340,製品マスタ!$G$5:$K$5002,5,FALSE))</f>
        <v/>
      </c>
      <c r="I2340" s="270" t="str">
        <f>IF(D2340="","",VLOOKUP(F2340,製品マスタ!$G$5:$L$5002,6,FALSE))</f>
        <v/>
      </c>
      <c r="J2340" s="32" t="s">
        <v>447</v>
      </c>
      <c r="K2340" s="270" t="str">
        <f>IF(D2340="","",VLOOKUP(D2340,契約台帳!$A$3:$L$4986,12,FALSE))</f>
        <v/>
      </c>
      <c r="L2340" s="270" t="str">
        <f>IF(D2340="","",INDEX(製品マスタ!$Q$5:$Q$5002,MATCH(F2340&amp;K2340,製品マスタ!$AO$5:$AO$5002,0)))</f>
        <v/>
      </c>
      <c r="M2340" s="39"/>
      <c r="N2340" s="39"/>
      <c r="O2340" s="47"/>
      <c r="P2340" s="57"/>
      <c r="Q2340" s="276" t="str">
        <f>IF(D2340="","",IF(J2340="リード付け",M2340,VLOOKUP(D2340,契約台帳!$A$3:$N$4986,14,FALSE)))</f>
        <v/>
      </c>
      <c r="R2340" s="277" t="str">
        <f>IF(D2340="","",IF(J2340="リード付け",M2340,VLOOKUP(D2340,契約台帳!$A$3:$O$4986,15,FALSE)))</f>
        <v/>
      </c>
      <c r="S2340" s="277" t="str">
        <f>IF(D2340="","",IF(J2340="リード付け",N2340,VLOOKUP(D2340,契約台帳!$A$3:$P$4986,16,FALSE)))</f>
        <v/>
      </c>
      <c r="T2340" s="40"/>
      <c r="U2340" s="278" t="str">
        <f ca="1">IF(D2340="","",IF(OFFSET(D2340,-2,0)=D2340,"",VLOOKUP(D2340,契約台帳!$A$3:$R$4986,18,FALSE)))</f>
        <v/>
      </c>
      <c r="V2340" s="269" t="e">
        <f>IF(J2340="巻返し",VLOOKUP(F2340&amp;K2340&amp;M2340,製品マスタ!$M$5:$AD$5002,18,FALSE),IF(J2340="リード付け","原反コア",IF(J2340="スリット",VLOOKUP(F2340&amp;K2340&amp;Q2340,製品マスタ!$N$5:$AD$5002,17,FALSE),"")))</f>
        <v>#N/A</v>
      </c>
      <c r="W2340" s="269" t="e">
        <f>IF(J2340="巻返し",VLOOKUP(F2340&amp;K2340&amp;M2340,製品マスタ!$M$5:$AE$5002,19,FALSE),IF(J2340="リード付け","-",IF(J2340="スリット",VLOOKUP(F2340&amp;K2340&amp;Q2340,製品マスタ!$N$5:$AE$5002,18,FALSE),"")))</f>
        <v>#N/A</v>
      </c>
      <c r="X2340" s="275" t="str">
        <f>IF(D2340="","",VLOOKUP(D2340,契約台帳!$A$3:$Q$4986,17,FALSE))</f>
        <v/>
      </c>
      <c r="Y2340" s="269" t="str">
        <f>IF(D2340="","",VLOOKUP(D2340,契約台帳!$A$3:$E$4986,5,FALSE))</f>
        <v/>
      </c>
      <c r="Z2340" s="357"/>
      <c r="AA2340" s="207"/>
      <c r="AB2340" s="369"/>
      <c r="AC2340" s="370"/>
      <c r="AD2340" s="332" t="str">
        <f t="shared" si="6"/>
        <v/>
      </c>
      <c r="AE2340" s="216">
        <f t="shared" si="7"/>
        <v>0</v>
      </c>
      <c r="AF2340" s="43" t="str">
        <f>IF(AD2340="","",VLOOKUP(AD2340,原価マスタ!$A$2:$AJ$1693,13,FALSE))</f>
        <v/>
      </c>
      <c r="AG2340" s="47" t="str">
        <f t="shared" si="8"/>
        <v/>
      </c>
      <c r="AH2340" s="30"/>
      <c r="AI2340" s="30"/>
      <c r="AJ2340" s="30"/>
      <c r="AK2340" s="30"/>
      <c r="AL2340" s="13"/>
      <c r="AM2340" s="13"/>
      <c r="AN2340" s="13"/>
      <c r="AO2340" s="13"/>
      <c r="AP2340" s="13"/>
      <c r="AQ2340" s="14"/>
      <c r="AR2340" s="15"/>
    </row>
    <row r="2341" spans="1:44" s="17" customFormat="1" ht="30.95" customHeight="1" x14ac:dyDescent="0.2">
      <c r="A2341" s="343"/>
      <c r="B2341" s="344"/>
      <c r="C2341" s="345"/>
      <c r="D2341" s="398"/>
      <c r="E2341" s="31"/>
      <c r="F2341" s="268" t="str">
        <f>IF(D2341="","",VLOOKUP(D2341,契約台帳!$A$3:$K$4986,6,FALSE)&amp;VLOOKUP(D2341,契約台帳!$A$3:$K$4986,7,FALSE)&amp;VLOOKUP(D2341,契約台帳!$A$3:$K$4986,8,FALSE)&amp;VLOOKUP(D2341,契約台帳!$A$3:$K$4986,9,FALSE)&amp;VLOOKUP(D2341,契約台帳!$A$3:$K$4986,11,FALSE))</f>
        <v/>
      </c>
      <c r="G2341" s="269" t="str">
        <f>IF(D2341="","",VLOOKUP(F2341,製品マスタ!$G$5:$H$5002,2,FALSE))</f>
        <v/>
      </c>
      <c r="H2341" s="269" t="str">
        <f>IF(D2341="","",VLOOKUP(F2341,製品マスタ!$G$5:$K$5002,5,FALSE))</f>
        <v/>
      </c>
      <c r="I2341" s="270" t="str">
        <f>IF(D2341="","",VLOOKUP(F2341,製品マスタ!$G$5:$L$5002,6,FALSE))</f>
        <v/>
      </c>
      <c r="J2341" s="32" t="s">
        <v>447</v>
      </c>
      <c r="K2341" s="270" t="str">
        <f>IF(D2341="","",VLOOKUP(D2341,契約台帳!$A$3:$L$4986,12,FALSE))</f>
        <v/>
      </c>
      <c r="L2341" s="270" t="str">
        <f>IF(D2341="","",INDEX(製品マスタ!$Q$5:$Q$5002,MATCH(F2341&amp;K2341,製品マスタ!$AO$5:$AO$5002,0)))</f>
        <v/>
      </c>
      <c r="M2341" s="39"/>
      <c r="N2341" s="39"/>
      <c r="O2341" s="47"/>
      <c r="P2341" s="57"/>
      <c r="Q2341" s="276" t="str">
        <f>IF(D2341="","",IF(J2341="リード付け",M2341,VLOOKUP(D2341,契約台帳!$A$3:$N$4986,14,FALSE)))</f>
        <v/>
      </c>
      <c r="R2341" s="277" t="str">
        <f>IF(D2341="","",IF(J2341="リード付け",M2341,VLOOKUP(D2341,契約台帳!$A$3:$O$4986,15,FALSE)))</f>
        <v/>
      </c>
      <c r="S2341" s="277" t="str">
        <f>IF(D2341="","",IF(J2341="リード付け",N2341,VLOOKUP(D2341,契約台帳!$A$3:$P$4986,16,FALSE)))</f>
        <v/>
      </c>
      <c r="T2341" s="40"/>
      <c r="U2341" s="278" t="str">
        <f ca="1">IF(D2341="","",IF(OFFSET(D2341,-2,0)=D2341,"",VLOOKUP(D2341,契約台帳!$A$3:$R$4986,18,FALSE)))</f>
        <v/>
      </c>
      <c r="V2341" s="269" t="e">
        <f>IF(J2341="巻返し",VLOOKUP(F2341&amp;K2341&amp;M2341,製品マスタ!$M$5:$AD$5002,18,FALSE),IF(J2341="リード付け","原反コア",IF(J2341="スリット",VLOOKUP(F2341&amp;K2341&amp;Q2341,製品マスタ!$N$5:$AD$5002,17,FALSE),"")))</f>
        <v>#N/A</v>
      </c>
      <c r="W2341" s="269" t="e">
        <f>IF(J2341="巻返し",VLOOKUP(F2341&amp;K2341&amp;M2341,製品マスタ!$M$5:$AE$5002,19,FALSE),IF(J2341="リード付け","-",IF(J2341="スリット",VLOOKUP(F2341&amp;K2341&amp;Q2341,製品マスタ!$N$5:$AE$5002,18,FALSE),"")))</f>
        <v>#N/A</v>
      </c>
      <c r="X2341" s="275" t="str">
        <f>IF(D2341="","",VLOOKUP(D2341,契約台帳!$A$3:$Q$4986,17,FALSE))</f>
        <v/>
      </c>
      <c r="Y2341" s="269" t="str">
        <f>IF(D2341="","",VLOOKUP(D2341,契約台帳!$A$3:$E$4986,5,FALSE))</f>
        <v/>
      </c>
      <c r="Z2341" s="357"/>
      <c r="AA2341" s="207"/>
      <c r="AB2341" s="369"/>
      <c r="AC2341" s="370"/>
      <c r="AD2341" s="332" t="str">
        <f t="shared" si="6"/>
        <v/>
      </c>
      <c r="AE2341" s="216">
        <f t="shared" si="7"/>
        <v>0</v>
      </c>
      <c r="AF2341" s="43" t="str">
        <f>IF(AD2341="","",VLOOKUP(AD2341,原価マスタ!$A$2:$AJ$1693,13,FALSE))</f>
        <v/>
      </c>
      <c r="AG2341" s="47" t="str">
        <f t="shared" si="8"/>
        <v/>
      </c>
      <c r="AH2341" s="30"/>
      <c r="AI2341" s="30"/>
      <c r="AJ2341" s="30"/>
      <c r="AK2341" s="30"/>
      <c r="AL2341" s="13"/>
      <c r="AM2341" s="13"/>
      <c r="AN2341" s="13"/>
      <c r="AO2341" s="13"/>
      <c r="AP2341" s="13"/>
      <c r="AQ2341" s="14"/>
      <c r="AR2341" s="15"/>
    </row>
    <row r="2342" spans="1:44" s="17" customFormat="1" ht="30.95" customHeight="1" x14ac:dyDescent="0.2">
      <c r="A2342" s="343"/>
      <c r="B2342" s="344"/>
      <c r="C2342" s="345"/>
      <c r="D2342" s="398"/>
      <c r="E2342" s="31"/>
      <c r="F2342" s="268" t="str">
        <f>IF(D2342="","",VLOOKUP(D2342,契約台帳!$A$3:$K$4986,6,FALSE)&amp;VLOOKUP(D2342,契約台帳!$A$3:$K$4986,7,FALSE)&amp;VLOOKUP(D2342,契約台帳!$A$3:$K$4986,8,FALSE)&amp;VLOOKUP(D2342,契約台帳!$A$3:$K$4986,9,FALSE)&amp;VLOOKUP(D2342,契約台帳!$A$3:$K$4986,11,FALSE))</f>
        <v/>
      </c>
      <c r="G2342" s="269" t="str">
        <f>IF(D2342="","",VLOOKUP(F2342,製品マスタ!$G$5:$H$5002,2,FALSE))</f>
        <v/>
      </c>
      <c r="H2342" s="269" t="str">
        <f>IF(D2342="","",VLOOKUP(F2342,製品マスタ!$G$5:$K$5002,5,FALSE))</f>
        <v/>
      </c>
      <c r="I2342" s="270" t="str">
        <f>IF(D2342="","",VLOOKUP(F2342,製品マスタ!$G$5:$L$5002,6,FALSE))</f>
        <v/>
      </c>
      <c r="J2342" s="32" t="s">
        <v>447</v>
      </c>
      <c r="K2342" s="270" t="str">
        <f>IF(D2342="","",VLOOKUP(D2342,契約台帳!$A$3:$L$4986,12,FALSE))</f>
        <v/>
      </c>
      <c r="L2342" s="270" t="str">
        <f>IF(D2342="","",INDEX(製品マスタ!$Q$5:$Q$5002,MATCH(F2342&amp;K2342,製品マスタ!$AO$5:$AO$5002,0)))</f>
        <v/>
      </c>
      <c r="M2342" s="39"/>
      <c r="N2342" s="39"/>
      <c r="O2342" s="47"/>
      <c r="P2342" s="57"/>
      <c r="Q2342" s="276" t="str">
        <f>IF(D2342="","",IF(J2342="リード付け",M2342,VLOOKUP(D2342,契約台帳!$A$3:$N$4986,14,FALSE)))</f>
        <v/>
      </c>
      <c r="R2342" s="277" t="str">
        <f>IF(D2342="","",IF(J2342="リード付け",M2342,VLOOKUP(D2342,契約台帳!$A$3:$O$4986,15,FALSE)))</f>
        <v/>
      </c>
      <c r="S2342" s="277" t="str">
        <f>IF(D2342="","",IF(J2342="リード付け",N2342,VLOOKUP(D2342,契約台帳!$A$3:$P$4986,16,FALSE)))</f>
        <v/>
      </c>
      <c r="T2342" s="40"/>
      <c r="U2342" s="278" t="str">
        <f ca="1">IF(D2342="","",IF(OFFSET(D2342,-2,0)=D2342,"",VLOOKUP(D2342,契約台帳!$A$3:$R$4986,18,FALSE)))</f>
        <v/>
      </c>
      <c r="V2342" s="269" t="e">
        <f>IF(J2342="巻返し",VLOOKUP(F2342&amp;K2342&amp;M2342,製品マスタ!$M$5:$AD$5002,18,FALSE),IF(J2342="リード付け","原反コア",IF(J2342="スリット",VLOOKUP(F2342&amp;K2342&amp;Q2342,製品マスタ!$N$5:$AD$5002,17,FALSE),"")))</f>
        <v>#N/A</v>
      </c>
      <c r="W2342" s="269" t="e">
        <f>IF(J2342="巻返し",VLOOKUP(F2342&amp;K2342&amp;M2342,製品マスタ!$M$5:$AE$5002,19,FALSE),IF(J2342="リード付け","-",IF(J2342="スリット",VLOOKUP(F2342&amp;K2342&amp;Q2342,製品マスタ!$N$5:$AE$5002,18,FALSE),"")))</f>
        <v>#N/A</v>
      </c>
      <c r="X2342" s="275" t="str">
        <f>IF(D2342="","",VLOOKUP(D2342,契約台帳!$A$3:$Q$4986,17,FALSE))</f>
        <v/>
      </c>
      <c r="Y2342" s="269" t="str">
        <f>IF(D2342="","",VLOOKUP(D2342,契約台帳!$A$3:$E$4986,5,FALSE))</f>
        <v/>
      </c>
      <c r="Z2342" s="357"/>
      <c r="AA2342" s="207"/>
      <c r="AB2342" s="369"/>
      <c r="AC2342" s="370"/>
      <c r="AD2342" s="332" t="str">
        <f t="shared" si="6"/>
        <v/>
      </c>
      <c r="AE2342" s="216">
        <f t="shared" si="7"/>
        <v>0</v>
      </c>
      <c r="AF2342" s="43" t="str">
        <f>IF(AD2342="","",VLOOKUP(AD2342,原価マスタ!$A$2:$AJ$1693,13,FALSE))</f>
        <v/>
      </c>
      <c r="AG2342" s="47" t="str">
        <f t="shared" si="8"/>
        <v/>
      </c>
      <c r="AH2342" s="30"/>
      <c r="AI2342" s="30"/>
      <c r="AJ2342" s="30"/>
      <c r="AK2342" s="30"/>
      <c r="AL2342" s="13"/>
      <c r="AM2342" s="13"/>
      <c r="AN2342" s="13"/>
      <c r="AO2342" s="13"/>
      <c r="AP2342" s="13"/>
      <c r="AQ2342" s="14"/>
      <c r="AR2342" s="15"/>
    </row>
    <row r="2343" spans="1:44" s="17" customFormat="1" ht="30.95" customHeight="1" x14ac:dyDescent="0.2">
      <c r="A2343" s="343"/>
      <c r="B2343" s="344"/>
      <c r="C2343" s="345"/>
      <c r="D2343" s="398"/>
      <c r="E2343" s="31"/>
      <c r="F2343" s="268" t="str">
        <f>IF(D2343="","",VLOOKUP(D2343,契約台帳!$A$3:$K$4986,6,FALSE)&amp;VLOOKUP(D2343,契約台帳!$A$3:$K$4986,7,FALSE)&amp;VLOOKUP(D2343,契約台帳!$A$3:$K$4986,8,FALSE)&amp;VLOOKUP(D2343,契約台帳!$A$3:$K$4986,9,FALSE)&amp;VLOOKUP(D2343,契約台帳!$A$3:$K$4986,11,FALSE))</f>
        <v/>
      </c>
      <c r="G2343" s="269" t="str">
        <f>IF(D2343="","",VLOOKUP(F2343,製品マスタ!$G$5:$H$5002,2,FALSE))</f>
        <v/>
      </c>
      <c r="H2343" s="269" t="str">
        <f>IF(D2343="","",VLOOKUP(F2343,製品マスタ!$G$5:$K$5002,5,FALSE))</f>
        <v/>
      </c>
      <c r="I2343" s="270" t="str">
        <f>IF(D2343="","",VLOOKUP(F2343,製品マスタ!$G$5:$L$5002,6,FALSE))</f>
        <v/>
      </c>
      <c r="J2343" s="32" t="s">
        <v>447</v>
      </c>
      <c r="K2343" s="270" t="str">
        <f>IF(D2343="","",VLOOKUP(D2343,契約台帳!$A$3:$L$4986,12,FALSE))</f>
        <v/>
      </c>
      <c r="L2343" s="270" t="str">
        <f>IF(D2343="","",INDEX(製品マスタ!$Q$5:$Q$5002,MATCH(F2343&amp;K2343,製品マスタ!$AO$5:$AO$5002,0)))</f>
        <v/>
      </c>
      <c r="M2343" s="39"/>
      <c r="N2343" s="39"/>
      <c r="O2343" s="47"/>
      <c r="P2343" s="57"/>
      <c r="Q2343" s="276" t="str">
        <f>IF(D2343="","",IF(J2343="リード付け",M2343,VLOOKUP(D2343,契約台帳!$A$3:$N$4986,14,FALSE)))</f>
        <v/>
      </c>
      <c r="R2343" s="277" t="str">
        <f>IF(D2343="","",IF(J2343="リード付け",M2343,VLOOKUP(D2343,契約台帳!$A$3:$O$4986,15,FALSE)))</f>
        <v/>
      </c>
      <c r="S2343" s="277" t="str">
        <f>IF(D2343="","",IF(J2343="リード付け",N2343,VLOOKUP(D2343,契約台帳!$A$3:$P$4986,16,FALSE)))</f>
        <v/>
      </c>
      <c r="T2343" s="40"/>
      <c r="U2343" s="278" t="str">
        <f ca="1">IF(D2343="","",IF(OFFSET(D2343,-2,0)=D2343,"",VLOOKUP(D2343,契約台帳!$A$3:$R$4986,18,FALSE)))</f>
        <v/>
      </c>
      <c r="V2343" s="269" t="e">
        <f>IF(J2343="巻返し",VLOOKUP(F2343&amp;K2343&amp;M2343,製品マスタ!$M$5:$AD$5002,18,FALSE),IF(J2343="リード付け","原反コア",IF(J2343="スリット",VLOOKUP(F2343&amp;K2343&amp;Q2343,製品マスタ!$N$5:$AD$5002,17,FALSE),"")))</f>
        <v>#N/A</v>
      </c>
      <c r="W2343" s="269" t="e">
        <f>IF(J2343="巻返し",VLOOKUP(F2343&amp;K2343&amp;M2343,製品マスタ!$M$5:$AE$5002,19,FALSE),IF(J2343="リード付け","-",IF(J2343="スリット",VLOOKUP(F2343&amp;K2343&amp;Q2343,製品マスタ!$N$5:$AE$5002,18,FALSE),"")))</f>
        <v>#N/A</v>
      </c>
      <c r="X2343" s="275" t="str">
        <f>IF(D2343="","",VLOOKUP(D2343,契約台帳!$A$3:$Q$4986,17,FALSE))</f>
        <v/>
      </c>
      <c r="Y2343" s="269" t="str">
        <f>IF(D2343="","",VLOOKUP(D2343,契約台帳!$A$3:$E$4986,5,FALSE))</f>
        <v/>
      </c>
      <c r="Z2343" s="357"/>
      <c r="AA2343" s="207"/>
      <c r="AB2343" s="369"/>
      <c r="AC2343" s="370"/>
      <c r="AD2343" s="332" t="str">
        <f t="shared" si="6"/>
        <v/>
      </c>
      <c r="AE2343" s="216">
        <f t="shared" si="7"/>
        <v>0</v>
      </c>
      <c r="AF2343" s="43" t="str">
        <f>IF(AD2343="","",VLOOKUP(AD2343,原価マスタ!$A$2:$AJ$1693,13,FALSE))</f>
        <v/>
      </c>
      <c r="AG2343" s="47" t="str">
        <f t="shared" si="8"/>
        <v/>
      </c>
      <c r="AH2343" s="30"/>
      <c r="AI2343" s="30"/>
      <c r="AJ2343" s="30"/>
      <c r="AK2343" s="30"/>
      <c r="AL2343" s="13"/>
      <c r="AM2343" s="13"/>
      <c r="AN2343" s="13"/>
      <c r="AO2343" s="13"/>
      <c r="AP2343" s="13"/>
      <c r="AQ2343" s="14"/>
      <c r="AR2343" s="15"/>
    </row>
    <row r="2344" spans="1:44" s="17" customFormat="1" ht="30.95" customHeight="1" x14ac:dyDescent="0.2">
      <c r="A2344" s="343"/>
      <c r="B2344" s="344"/>
      <c r="C2344" s="345"/>
      <c r="D2344" s="398"/>
      <c r="E2344" s="31"/>
      <c r="F2344" s="268" t="str">
        <f>IF(D2344="","",VLOOKUP(D2344,契約台帳!$A$3:$K$4986,6,FALSE)&amp;VLOOKUP(D2344,契約台帳!$A$3:$K$4986,7,FALSE)&amp;VLOOKUP(D2344,契約台帳!$A$3:$K$4986,8,FALSE)&amp;VLOOKUP(D2344,契約台帳!$A$3:$K$4986,9,FALSE)&amp;VLOOKUP(D2344,契約台帳!$A$3:$K$4986,11,FALSE))</f>
        <v/>
      </c>
      <c r="G2344" s="269" t="str">
        <f>IF(D2344="","",VLOOKUP(F2344,製品マスタ!$G$5:$H$5002,2,FALSE))</f>
        <v/>
      </c>
      <c r="H2344" s="269" t="str">
        <f>IF(D2344="","",VLOOKUP(F2344,製品マスタ!$G$5:$K$5002,5,FALSE))</f>
        <v/>
      </c>
      <c r="I2344" s="270" t="str">
        <f>IF(D2344="","",VLOOKUP(F2344,製品マスタ!$G$5:$L$5002,6,FALSE))</f>
        <v/>
      </c>
      <c r="J2344" s="32" t="s">
        <v>447</v>
      </c>
      <c r="K2344" s="270" t="str">
        <f>IF(D2344="","",VLOOKUP(D2344,契約台帳!$A$3:$L$4986,12,FALSE))</f>
        <v/>
      </c>
      <c r="L2344" s="270" t="str">
        <f>IF(D2344="","",INDEX(製品マスタ!$Q$5:$Q$5002,MATCH(F2344&amp;K2344,製品マスタ!$AO$5:$AO$5002,0)))</f>
        <v/>
      </c>
      <c r="M2344" s="39"/>
      <c r="N2344" s="39"/>
      <c r="O2344" s="47"/>
      <c r="P2344" s="57"/>
      <c r="Q2344" s="276" t="str">
        <f>IF(D2344="","",IF(J2344="リード付け",M2344,VLOOKUP(D2344,契約台帳!$A$3:$N$4986,14,FALSE)))</f>
        <v/>
      </c>
      <c r="R2344" s="277" t="str">
        <f>IF(D2344="","",IF(J2344="リード付け",M2344,VLOOKUP(D2344,契約台帳!$A$3:$O$4986,15,FALSE)))</f>
        <v/>
      </c>
      <c r="S2344" s="277" t="str">
        <f>IF(D2344="","",IF(J2344="リード付け",N2344,VLOOKUP(D2344,契約台帳!$A$3:$P$4986,16,FALSE)))</f>
        <v/>
      </c>
      <c r="T2344" s="40"/>
      <c r="U2344" s="278" t="str">
        <f ca="1">IF(D2344="","",IF(OFFSET(D2344,-2,0)=D2344,"",VLOOKUP(D2344,契約台帳!$A$3:$R$4986,18,FALSE)))</f>
        <v/>
      </c>
      <c r="V2344" s="269" t="e">
        <f>IF(J2344="巻返し",VLOOKUP(F2344&amp;K2344&amp;M2344,製品マスタ!$M$5:$AD$5002,18,FALSE),IF(J2344="リード付け","原反コア",IF(J2344="スリット",VLOOKUP(F2344&amp;K2344&amp;Q2344,製品マスタ!$N$5:$AD$5002,17,FALSE),"")))</f>
        <v>#N/A</v>
      </c>
      <c r="W2344" s="269" t="e">
        <f>IF(J2344="巻返し",VLOOKUP(F2344&amp;K2344&amp;M2344,製品マスタ!$M$5:$AE$5002,19,FALSE),IF(J2344="リード付け","-",IF(J2344="スリット",VLOOKUP(F2344&amp;K2344&amp;Q2344,製品マスタ!$N$5:$AE$5002,18,FALSE),"")))</f>
        <v>#N/A</v>
      </c>
      <c r="X2344" s="275" t="str">
        <f>IF(D2344="","",VLOOKUP(D2344,契約台帳!$A$3:$Q$4986,17,FALSE))</f>
        <v/>
      </c>
      <c r="Y2344" s="269" t="str">
        <f>IF(D2344="","",VLOOKUP(D2344,契約台帳!$A$3:$E$4986,5,FALSE))</f>
        <v/>
      </c>
      <c r="Z2344" s="357"/>
      <c r="AA2344" s="207"/>
      <c r="AB2344" s="369"/>
      <c r="AC2344" s="370"/>
      <c r="AD2344" s="332" t="str">
        <f t="shared" si="6"/>
        <v/>
      </c>
      <c r="AE2344" s="216">
        <f t="shared" si="7"/>
        <v>0</v>
      </c>
      <c r="AF2344" s="43" t="str">
        <f>IF(AD2344="","",VLOOKUP(AD2344,原価マスタ!$A$2:$AJ$1693,13,FALSE))</f>
        <v/>
      </c>
      <c r="AG2344" s="47" t="str">
        <f t="shared" si="8"/>
        <v/>
      </c>
      <c r="AH2344" s="30"/>
      <c r="AI2344" s="30"/>
      <c r="AJ2344" s="30"/>
      <c r="AK2344" s="30"/>
      <c r="AL2344" s="13"/>
      <c r="AM2344" s="13"/>
      <c r="AN2344" s="13"/>
      <c r="AO2344" s="13"/>
      <c r="AP2344" s="13"/>
      <c r="AQ2344" s="14"/>
      <c r="AR2344" s="15"/>
    </row>
    <row r="2345" spans="1:44" s="17" customFormat="1" ht="30.95" customHeight="1" x14ac:dyDescent="0.2">
      <c r="A2345" s="343"/>
      <c r="B2345" s="344"/>
      <c r="C2345" s="345"/>
      <c r="D2345" s="398"/>
      <c r="E2345" s="31"/>
      <c r="F2345" s="268" t="str">
        <f>IF(D2345="","",VLOOKUP(D2345,契約台帳!$A$3:$K$4986,6,FALSE)&amp;VLOOKUP(D2345,契約台帳!$A$3:$K$4986,7,FALSE)&amp;VLOOKUP(D2345,契約台帳!$A$3:$K$4986,8,FALSE)&amp;VLOOKUP(D2345,契約台帳!$A$3:$K$4986,9,FALSE)&amp;VLOOKUP(D2345,契約台帳!$A$3:$K$4986,11,FALSE))</f>
        <v/>
      </c>
      <c r="G2345" s="269" t="str">
        <f>IF(D2345="","",VLOOKUP(F2345,製品マスタ!$G$5:$H$5002,2,FALSE))</f>
        <v/>
      </c>
      <c r="H2345" s="269" t="str">
        <f>IF(D2345="","",VLOOKUP(F2345,製品マスタ!$G$5:$K$5002,5,FALSE))</f>
        <v/>
      </c>
      <c r="I2345" s="270" t="str">
        <f>IF(D2345="","",VLOOKUP(F2345,製品マスタ!$G$5:$L$5002,6,FALSE))</f>
        <v/>
      </c>
      <c r="J2345" s="32" t="s">
        <v>447</v>
      </c>
      <c r="K2345" s="270" t="str">
        <f>IF(D2345="","",VLOOKUP(D2345,契約台帳!$A$3:$L$4986,12,FALSE))</f>
        <v/>
      </c>
      <c r="L2345" s="270" t="str">
        <f>IF(D2345="","",INDEX(製品マスタ!$Q$5:$Q$5002,MATCH(F2345&amp;K2345,製品マスタ!$AO$5:$AO$5002,0)))</f>
        <v/>
      </c>
      <c r="M2345" s="39"/>
      <c r="N2345" s="39"/>
      <c r="O2345" s="47"/>
      <c r="P2345" s="57"/>
      <c r="Q2345" s="276" t="str">
        <f>IF(D2345="","",IF(J2345="リード付け",M2345,VLOOKUP(D2345,契約台帳!$A$3:$N$4986,14,FALSE)))</f>
        <v/>
      </c>
      <c r="R2345" s="277" t="str">
        <f>IF(D2345="","",IF(J2345="リード付け",M2345,VLOOKUP(D2345,契約台帳!$A$3:$O$4986,15,FALSE)))</f>
        <v/>
      </c>
      <c r="S2345" s="277" t="str">
        <f>IF(D2345="","",IF(J2345="リード付け",N2345,VLOOKUP(D2345,契約台帳!$A$3:$P$4986,16,FALSE)))</f>
        <v/>
      </c>
      <c r="T2345" s="40"/>
      <c r="U2345" s="278" t="str">
        <f ca="1">IF(D2345="","",IF(OFFSET(D2345,-2,0)=D2345,"",VLOOKUP(D2345,契約台帳!$A$3:$R$4986,18,FALSE)))</f>
        <v/>
      </c>
      <c r="V2345" s="269" t="e">
        <f>IF(J2345="巻返し",VLOOKUP(F2345&amp;K2345&amp;M2345,製品マスタ!$M$5:$AD$5002,18,FALSE),IF(J2345="リード付け","原反コア",IF(J2345="スリット",VLOOKUP(F2345&amp;K2345&amp;Q2345,製品マスタ!$N$5:$AD$5002,17,FALSE),"")))</f>
        <v>#N/A</v>
      </c>
      <c r="W2345" s="269" t="e">
        <f>IF(J2345="巻返し",VLOOKUP(F2345&amp;K2345&amp;M2345,製品マスタ!$M$5:$AE$5002,19,FALSE),IF(J2345="リード付け","-",IF(J2345="スリット",VLOOKUP(F2345&amp;K2345&amp;Q2345,製品マスタ!$N$5:$AE$5002,18,FALSE),"")))</f>
        <v>#N/A</v>
      </c>
      <c r="X2345" s="275" t="str">
        <f>IF(D2345="","",VLOOKUP(D2345,契約台帳!$A$3:$Q$4986,17,FALSE))</f>
        <v/>
      </c>
      <c r="Y2345" s="269" t="str">
        <f>IF(D2345="","",VLOOKUP(D2345,契約台帳!$A$3:$E$4986,5,FALSE))</f>
        <v/>
      </c>
      <c r="Z2345" s="357"/>
      <c r="AA2345" s="207"/>
      <c r="AB2345" s="369"/>
      <c r="AC2345" s="370"/>
      <c r="AD2345" s="332" t="str">
        <f t="shared" si="6"/>
        <v/>
      </c>
      <c r="AE2345" s="216">
        <f t="shared" si="7"/>
        <v>0</v>
      </c>
      <c r="AF2345" s="43" t="str">
        <f>IF(AD2345="","",VLOOKUP(AD2345,原価マスタ!$A$2:$AJ$1693,13,FALSE))</f>
        <v/>
      </c>
      <c r="AG2345" s="47" t="str">
        <f t="shared" si="8"/>
        <v/>
      </c>
      <c r="AH2345" s="30"/>
      <c r="AI2345" s="30"/>
      <c r="AJ2345" s="30"/>
      <c r="AK2345" s="30"/>
      <c r="AL2345" s="13"/>
      <c r="AM2345" s="13"/>
      <c r="AN2345" s="13"/>
      <c r="AO2345" s="13"/>
      <c r="AP2345" s="13"/>
      <c r="AQ2345" s="14"/>
      <c r="AR2345" s="15"/>
    </row>
    <row r="2346" spans="1:44" s="17" customFormat="1" ht="30.95" customHeight="1" x14ac:dyDescent="0.2">
      <c r="A2346" s="343"/>
      <c r="B2346" s="344"/>
      <c r="C2346" s="345"/>
      <c r="D2346" s="398"/>
      <c r="E2346" s="31"/>
      <c r="F2346" s="268" t="str">
        <f>IF(D2346="","",VLOOKUP(D2346,契約台帳!$A$3:$K$4986,6,FALSE)&amp;VLOOKUP(D2346,契約台帳!$A$3:$K$4986,7,FALSE)&amp;VLOOKUP(D2346,契約台帳!$A$3:$K$4986,8,FALSE)&amp;VLOOKUP(D2346,契約台帳!$A$3:$K$4986,9,FALSE)&amp;VLOOKUP(D2346,契約台帳!$A$3:$K$4986,11,FALSE))</f>
        <v/>
      </c>
      <c r="G2346" s="269" t="str">
        <f>IF(D2346="","",VLOOKUP(F2346,製品マスタ!$G$5:$H$5002,2,FALSE))</f>
        <v/>
      </c>
      <c r="H2346" s="269" t="str">
        <f>IF(D2346="","",VLOOKUP(F2346,製品マスタ!$G$5:$K$5002,5,FALSE))</f>
        <v/>
      </c>
      <c r="I2346" s="270" t="str">
        <f>IF(D2346="","",VLOOKUP(F2346,製品マスタ!$G$5:$L$5002,6,FALSE))</f>
        <v/>
      </c>
      <c r="J2346" s="32" t="s">
        <v>447</v>
      </c>
      <c r="K2346" s="270" t="str">
        <f>IF(D2346="","",VLOOKUP(D2346,契約台帳!$A$3:$L$4986,12,FALSE))</f>
        <v/>
      </c>
      <c r="L2346" s="270" t="str">
        <f>IF(D2346="","",INDEX(製品マスタ!$Q$5:$Q$5002,MATCH(F2346&amp;K2346,製品マスタ!$AO$5:$AO$5002,0)))</f>
        <v/>
      </c>
      <c r="M2346" s="39"/>
      <c r="N2346" s="39"/>
      <c r="O2346" s="47"/>
      <c r="P2346" s="57"/>
      <c r="Q2346" s="276" t="str">
        <f>IF(D2346="","",IF(J2346="リード付け",M2346,VLOOKUP(D2346,契約台帳!$A$3:$N$4986,14,FALSE)))</f>
        <v/>
      </c>
      <c r="R2346" s="277" t="str">
        <f>IF(D2346="","",IF(J2346="リード付け",M2346,VLOOKUP(D2346,契約台帳!$A$3:$O$4986,15,FALSE)))</f>
        <v/>
      </c>
      <c r="S2346" s="277" t="str">
        <f>IF(D2346="","",IF(J2346="リード付け",N2346,VLOOKUP(D2346,契約台帳!$A$3:$P$4986,16,FALSE)))</f>
        <v/>
      </c>
      <c r="T2346" s="40"/>
      <c r="U2346" s="278" t="str">
        <f ca="1">IF(D2346="","",IF(OFFSET(D2346,-2,0)=D2346,"",VLOOKUP(D2346,契約台帳!$A$3:$R$4986,18,FALSE)))</f>
        <v/>
      </c>
      <c r="V2346" s="269" t="e">
        <f>IF(J2346="巻返し",VLOOKUP(F2346&amp;K2346&amp;M2346,製品マスタ!$M$5:$AD$5002,18,FALSE),IF(J2346="リード付け","原反コア",IF(J2346="スリット",VLOOKUP(F2346&amp;K2346&amp;Q2346,製品マスタ!$N$5:$AD$5002,17,FALSE),"")))</f>
        <v>#N/A</v>
      </c>
      <c r="W2346" s="269" t="e">
        <f>IF(J2346="巻返し",VLOOKUP(F2346&amp;K2346&amp;M2346,製品マスタ!$M$5:$AE$5002,19,FALSE),IF(J2346="リード付け","-",IF(J2346="スリット",VLOOKUP(F2346&amp;K2346&amp;Q2346,製品マスタ!$N$5:$AE$5002,18,FALSE),"")))</f>
        <v>#N/A</v>
      </c>
      <c r="X2346" s="275" t="str">
        <f>IF(D2346="","",VLOOKUP(D2346,契約台帳!$A$3:$Q$4986,17,FALSE))</f>
        <v/>
      </c>
      <c r="Y2346" s="269" t="str">
        <f>IF(D2346="","",VLOOKUP(D2346,契約台帳!$A$3:$E$4986,5,FALSE))</f>
        <v/>
      </c>
      <c r="Z2346" s="357"/>
      <c r="AA2346" s="207"/>
      <c r="AB2346" s="369"/>
      <c r="AC2346" s="370"/>
      <c r="AD2346" s="332" t="str">
        <f t="shared" si="6"/>
        <v/>
      </c>
      <c r="AE2346" s="216">
        <f t="shared" si="7"/>
        <v>0</v>
      </c>
      <c r="AF2346" s="43" t="str">
        <f>IF(AD2346="","",VLOOKUP(AD2346,原価マスタ!$A$2:$AJ$1693,13,FALSE))</f>
        <v/>
      </c>
      <c r="AG2346" s="47" t="str">
        <f t="shared" si="8"/>
        <v/>
      </c>
      <c r="AH2346" s="30"/>
      <c r="AI2346" s="30"/>
      <c r="AJ2346" s="30"/>
      <c r="AK2346" s="30"/>
      <c r="AL2346" s="13"/>
      <c r="AM2346" s="13"/>
      <c r="AN2346" s="13"/>
      <c r="AO2346" s="13"/>
      <c r="AP2346" s="13"/>
      <c r="AQ2346" s="14"/>
      <c r="AR2346" s="15"/>
    </row>
    <row r="2347" spans="1:44" s="17" customFormat="1" ht="30.95" customHeight="1" x14ac:dyDescent="0.2">
      <c r="A2347" s="343"/>
      <c r="B2347" s="344"/>
      <c r="C2347" s="345"/>
      <c r="D2347" s="398"/>
      <c r="E2347" s="31"/>
      <c r="F2347" s="268" t="str">
        <f>IF(D2347="","",VLOOKUP(D2347,契約台帳!$A$3:$K$4986,6,FALSE)&amp;VLOOKUP(D2347,契約台帳!$A$3:$K$4986,7,FALSE)&amp;VLOOKUP(D2347,契約台帳!$A$3:$K$4986,8,FALSE)&amp;VLOOKUP(D2347,契約台帳!$A$3:$K$4986,9,FALSE)&amp;VLOOKUP(D2347,契約台帳!$A$3:$K$4986,11,FALSE))</f>
        <v/>
      </c>
      <c r="G2347" s="269" t="str">
        <f>IF(D2347="","",VLOOKUP(F2347,製品マスタ!$G$5:$H$5002,2,FALSE))</f>
        <v/>
      </c>
      <c r="H2347" s="269" t="str">
        <f>IF(D2347="","",VLOOKUP(F2347,製品マスタ!$G$5:$K$5002,5,FALSE))</f>
        <v/>
      </c>
      <c r="I2347" s="270" t="str">
        <f>IF(D2347="","",VLOOKUP(F2347,製品マスタ!$G$5:$L$5002,6,FALSE))</f>
        <v/>
      </c>
      <c r="J2347" s="32" t="s">
        <v>447</v>
      </c>
      <c r="K2347" s="270" t="str">
        <f>IF(D2347="","",VLOOKUP(D2347,契約台帳!$A$3:$L$4986,12,FALSE))</f>
        <v/>
      </c>
      <c r="L2347" s="270" t="str">
        <f>IF(D2347="","",INDEX(製品マスタ!$Q$5:$Q$5002,MATCH(F2347&amp;K2347,製品マスタ!$AO$5:$AO$5002,0)))</f>
        <v/>
      </c>
      <c r="M2347" s="39"/>
      <c r="N2347" s="39"/>
      <c r="O2347" s="47"/>
      <c r="P2347" s="57"/>
      <c r="Q2347" s="276" t="str">
        <f>IF(D2347="","",IF(J2347="リード付け",M2347,VLOOKUP(D2347,契約台帳!$A$3:$N$4986,14,FALSE)))</f>
        <v/>
      </c>
      <c r="R2347" s="277" t="str">
        <f>IF(D2347="","",IF(J2347="リード付け",M2347,VLOOKUP(D2347,契約台帳!$A$3:$O$4986,15,FALSE)))</f>
        <v/>
      </c>
      <c r="S2347" s="277" t="str">
        <f>IF(D2347="","",IF(J2347="リード付け",N2347,VLOOKUP(D2347,契約台帳!$A$3:$P$4986,16,FALSE)))</f>
        <v/>
      </c>
      <c r="T2347" s="40"/>
      <c r="U2347" s="278" t="str">
        <f ca="1">IF(D2347="","",IF(OFFSET(D2347,-2,0)=D2347,"",VLOOKUP(D2347,契約台帳!$A$3:$R$4986,18,FALSE)))</f>
        <v/>
      </c>
      <c r="V2347" s="269" t="e">
        <f>IF(J2347="巻返し",VLOOKUP(F2347&amp;K2347&amp;M2347,製品マスタ!$M$5:$AD$5002,18,FALSE),IF(J2347="リード付け","原反コア",IF(J2347="スリット",VLOOKUP(F2347&amp;K2347&amp;Q2347,製品マスタ!$N$5:$AD$5002,17,FALSE),"")))</f>
        <v>#N/A</v>
      </c>
      <c r="W2347" s="269" t="e">
        <f>IF(J2347="巻返し",VLOOKUP(F2347&amp;K2347&amp;M2347,製品マスタ!$M$5:$AE$5002,19,FALSE),IF(J2347="リード付け","-",IF(J2347="スリット",VLOOKUP(F2347&amp;K2347&amp;Q2347,製品マスタ!$N$5:$AE$5002,18,FALSE),"")))</f>
        <v>#N/A</v>
      </c>
      <c r="X2347" s="275" t="str">
        <f>IF(D2347="","",VLOOKUP(D2347,契約台帳!$A$3:$Q$4986,17,FALSE))</f>
        <v/>
      </c>
      <c r="Y2347" s="269" t="str">
        <f>IF(D2347="","",VLOOKUP(D2347,契約台帳!$A$3:$E$4986,5,FALSE))</f>
        <v/>
      </c>
      <c r="Z2347" s="357"/>
      <c r="AA2347" s="207"/>
      <c r="AB2347" s="369"/>
      <c r="AC2347" s="370"/>
      <c r="AD2347" s="332" t="str">
        <f t="shared" ref="AD2347:AD2368" si="9">IF(F2347="","",+F2347&amp;K2347)</f>
        <v/>
      </c>
      <c r="AE2347" s="216">
        <f t="shared" ref="AE2347:AE2368" si="10">+M2347*N2347*O2347/1000</f>
        <v>0</v>
      </c>
      <c r="AF2347" s="43" t="str">
        <f>IF(AD2347="","",VLOOKUP(AD2347,原価マスタ!$A$2:$AJ$1693,13,FALSE))</f>
        <v/>
      </c>
      <c r="AG2347" s="47" t="str">
        <f t="shared" ref="AG2347:AG2368" si="11">IF(AF2347="","",+AE2347*AF2347/100)</f>
        <v/>
      </c>
      <c r="AH2347" s="30"/>
      <c r="AI2347" s="30"/>
      <c r="AJ2347" s="30"/>
      <c r="AK2347" s="30"/>
      <c r="AL2347" s="13"/>
      <c r="AM2347" s="13"/>
      <c r="AN2347" s="13"/>
      <c r="AO2347" s="13"/>
      <c r="AP2347" s="13"/>
      <c r="AQ2347" s="14"/>
      <c r="AR2347" s="15"/>
    </row>
    <row r="2348" spans="1:44" s="17" customFormat="1" ht="30.95" customHeight="1" x14ac:dyDescent="0.2">
      <c r="A2348" s="343"/>
      <c r="B2348" s="344"/>
      <c r="C2348" s="345"/>
      <c r="D2348" s="398"/>
      <c r="E2348" s="31"/>
      <c r="F2348" s="268" t="str">
        <f>IF(D2348="","",VLOOKUP(D2348,契約台帳!$A$3:$K$4986,6,FALSE)&amp;VLOOKUP(D2348,契約台帳!$A$3:$K$4986,7,FALSE)&amp;VLOOKUP(D2348,契約台帳!$A$3:$K$4986,8,FALSE)&amp;VLOOKUP(D2348,契約台帳!$A$3:$K$4986,9,FALSE)&amp;VLOOKUP(D2348,契約台帳!$A$3:$K$4986,11,FALSE))</f>
        <v/>
      </c>
      <c r="G2348" s="269" t="str">
        <f>IF(D2348="","",VLOOKUP(F2348,製品マスタ!$G$5:$H$5002,2,FALSE))</f>
        <v/>
      </c>
      <c r="H2348" s="269" t="str">
        <f>IF(D2348="","",VLOOKUP(F2348,製品マスタ!$G$5:$K$5002,5,FALSE))</f>
        <v/>
      </c>
      <c r="I2348" s="270" t="str">
        <f>IF(D2348="","",VLOOKUP(F2348,製品マスタ!$G$5:$L$5002,6,FALSE))</f>
        <v/>
      </c>
      <c r="J2348" s="32" t="s">
        <v>447</v>
      </c>
      <c r="K2348" s="270" t="str">
        <f>IF(D2348="","",VLOOKUP(D2348,契約台帳!$A$3:$L$4986,12,FALSE))</f>
        <v/>
      </c>
      <c r="L2348" s="270" t="str">
        <f>IF(D2348="","",INDEX(製品マスタ!$Q$5:$Q$5002,MATCH(F2348&amp;K2348,製品マスタ!$AO$5:$AO$5002,0)))</f>
        <v/>
      </c>
      <c r="M2348" s="39"/>
      <c r="N2348" s="39"/>
      <c r="O2348" s="47"/>
      <c r="P2348" s="57"/>
      <c r="Q2348" s="276" t="str">
        <f>IF(D2348="","",IF(J2348="リード付け",M2348,VLOOKUP(D2348,契約台帳!$A$3:$N$4986,14,FALSE)))</f>
        <v/>
      </c>
      <c r="R2348" s="277" t="str">
        <f>IF(D2348="","",IF(J2348="リード付け",M2348,VLOOKUP(D2348,契約台帳!$A$3:$O$4986,15,FALSE)))</f>
        <v/>
      </c>
      <c r="S2348" s="277" t="str">
        <f>IF(D2348="","",IF(J2348="リード付け",N2348,VLOOKUP(D2348,契約台帳!$A$3:$P$4986,16,FALSE)))</f>
        <v/>
      </c>
      <c r="T2348" s="40"/>
      <c r="U2348" s="278" t="str">
        <f ca="1">IF(D2348="","",IF(OFFSET(D2348,-2,0)=D2348,"",VLOOKUP(D2348,契約台帳!$A$3:$R$4986,18,FALSE)))</f>
        <v/>
      </c>
      <c r="V2348" s="269" t="e">
        <f>IF(J2348="巻返し",VLOOKUP(F2348&amp;K2348&amp;M2348,製品マスタ!$M$5:$AD$5002,18,FALSE),IF(J2348="リード付け","原反コア",IF(J2348="スリット",VLOOKUP(F2348&amp;K2348&amp;Q2348,製品マスタ!$N$5:$AD$5002,17,FALSE),"")))</f>
        <v>#N/A</v>
      </c>
      <c r="W2348" s="269" t="e">
        <f>IF(J2348="巻返し",VLOOKUP(F2348&amp;K2348&amp;M2348,製品マスタ!$M$5:$AE$5002,19,FALSE),IF(J2348="リード付け","-",IF(J2348="スリット",VLOOKUP(F2348&amp;K2348&amp;Q2348,製品マスタ!$N$5:$AE$5002,18,FALSE),"")))</f>
        <v>#N/A</v>
      </c>
      <c r="X2348" s="275" t="str">
        <f>IF(D2348="","",VLOOKUP(D2348,契約台帳!$A$3:$Q$4986,17,FALSE))</f>
        <v/>
      </c>
      <c r="Y2348" s="269" t="str">
        <f>IF(D2348="","",VLOOKUP(D2348,契約台帳!$A$3:$E$4986,5,FALSE))</f>
        <v/>
      </c>
      <c r="Z2348" s="357"/>
      <c r="AA2348" s="207"/>
      <c r="AB2348" s="369"/>
      <c r="AC2348" s="370"/>
      <c r="AD2348" s="332" t="str">
        <f t="shared" si="9"/>
        <v/>
      </c>
      <c r="AE2348" s="216">
        <f t="shared" si="10"/>
        <v>0</v>
      </c>
      <c r="AF2348" s="43" t="str">
        <f>IF(AD2348="","",VLOOKUP(AD2348,原価マスタ!$A$2:$AJ$1693,13,FALSE))</f>
        <v/>
      </c>
      <c r="AG2348" s="47" t="str">
        <f t="shared" si="11"/>
        <v/>
      </c>
      <c r="AH2348" s="30"/>
      <c r="AI2348" s="30"/>
      <c r="AJ2348" s="30"/>
      <c r="AK2348" s="30"/>
      <c r="AL2348" s="13"/>
      <c r="AM2348" s="13"/>
      <c r="AN2348" s="13"/>
      <c r="AO2348" s="13"/>
      <c r="AP2348" s="13"/>
      <c r="AQ2348" s="14"/>
      <c r="AR2348" s="15"/>
    </row>
    <row r="2349" spans="1:44" s="17" customFormat="1" ht="30.95" customHeight="1" x14ac:dyDescent="0.2">
      <c r="A2349" s="343"/>
      <c r="B2349" s="344"/>
      <c r="C2349" s="345"/>
      <c r="D2349" s="398"/>
      <c r="E2349" s="31"/>
      <c r="F2349" s="268" t="str">
        <f>IF(D2349="","",VLOOKUP(D2349,契約台帳!$A$3:$K$4986,6,FALSE)&amp;VLOOKUP(D2349,契約台帳!$A$3:$K$4986,7,FALSE)&amp;VLOOKUP(D2349,契約台帳!$A$3:$K$4986,8,FALSE)&amp;VLOOKUP(D2349,契約台帳!$A$3:$K$4986,9,FALSE)&amp;VLOOKUP(D2349,契約台帳!$A$3:$K$4986,11,FALSE))</f>
        <v/>
      </c>
      <c r="G2349" s="269" t="str">
        <f>IF(D2349="","",VLOOKUP(F2349,製品マスタ!$G$5:$H$5002,2,FALSE))</f>
        <v/>
      </c>
      <c r="H2349" s="269" t="str">
        <f>IF(D2349="","",VLOOKUP(F2349,製品マスタ!$G$5:$K$5002,5,FALSE))</f>
        <v/>
      </c>
      <c r="I2349" s="270" t="str">
        <f>IF(D2349="","",VLOOKUP(F2349,製品マスタ!$G$5:$L$5002,6,FALSE))</f>
        <v/>
      </c>
      <c r="J2349" s="32" t="s">
        <v>447</v>
      </c>
      <c r="K2349" s="270" t="str">
        <f>IF(D2349="","",VLOOKUP(D2349,契約台帳!$A$3:$L$4986,12,FALSE))</f>
        <v/>
      </c>
      <c r="L2349" s="270" t="str">
        <f>IF(D2349="","",INDEX(製品マスタ!$Q$5:$Q$5002,MATCH(F2349&amp;K2349,製品マスタ!$AO$5:$AO$5002,0)))</f>
        <v/>
      </c>
      <c r="M2349" s="39"/>
      <c r="N2349" s="39"/>
      <c r="O2349" s="47"/>
      <c r="P2349" s="57"/>
      <c r="Q2349" s="276" t="str">
        <f>IF(D2349="","",IF(J2349="リード付け",M2349,VLOOKUP(D2349,契約台帳!$A$3:$N$4986,14,FALSE)))</f>
        <v/>
      </c>
      <c r="R2349" s="277" t="str">
        <f>IF(D2349="","",IF(J2349="リード付け",M2349,VLOOKUP(D2349,契約台帳!$A$3:$O$4986,15,FALSE)))</f>
        <v/>
      </c>
      <c r="S2349" s="277" t="str">
        <f>IF(D2349="","",IF(J2349="リード付け",N2349,VLOOKUP(D2349,契約台帳!$A$3:$P$4986,16,FALSE)))</f>
        <v/>
      </c>
      <c r="T2349" s="40"/>
      <c r="U2349" s="278" t="str">
        <f ca="1">IF(D2349="","",IF(OFFSET(D2349,-2,0)=D2349,"",VLOOKUP(D2349,契約台帳!$A$3:$R$4986,18,FALSE)))</f>
        <v/>
      </c>
      <c r="V2349" s="269" t="e">
        <f>IF(J2349="巻返し",VLOOKUP(F2349&amp;K2349&amp;M2349,製品マスタ!$M$5:$AD$5002,18,FALSE),IF(J2349="リード付け","原反コア",IF(J2349="スリット",VLOOKUP(F2349&amp;K2349&amp;Q2349,製品マスタ!$N$5:$AD$5002,17,FALSE),"")))</f>
        <v>#N/A</v>
      </c>
      <c r="W2349" s="269" t="e">
        <f>IF(J2349="巻返し",VLOOKUP(F2349&amp;K2349&amp;M2349,製品マスタ!$M$5:$AE$5002,19,FALSE),IF(J2349="リード付け","-",IF(J2349="スリット",VLOOKUP(F2349&amp;K2349&amp;Q2349,製品マスタ!$N$5:$AE$5002,18,FALSE),"")))</f>
        <v>#N/A</v>
      </c>
      <c r="X2349" s="275" t="str">
        <f>IF(D2349="","",VLOOKUP(D2349,契約台帳!$A$3:$Q$4986,17,FALSE))</f>
        <v/>
      </c>
      <c r="Y2349" s="269" t="str">
        <f>IF(D2349="","",VLOOKUP(D2349,契約台帳!$A$3:$E$4986,5,FALSE))</f>
        <v/>
      </c>
      <c r="Z2349" s="357"/>
      <c r="AA2349" s="207"/>
      <c r="AB2349" s="369"/>
      <c r="AC2349" s="370"/>
      <c r="AD2349" s="332" t="str">
        <f t="shared" si="9"/>
        <v/>
      </c>
      <c r="AE2349" s="216">
        <f t="shared" si="10"/>
        <v>0</v>
      </c>
      <c r="AF2349" s="43" t="str">
        <f>IF(AD2349="","",VLOOKUP(AD2349,原価マスタ!$A$2:$AJ$1693,13,FALSE))</f>
        <v/>
      </c>
      <c r="AG2349" s="47" t="str">
        <f t="shared" si="11"/>
        <v/>
      </c>
      <c r="AH2349" s="30"/>
      <c r="AI2349" s="30"/>
      <c r="AJ2349" s="30"/>
      <c r="AK2349" s="30"/>
      <c r="AL2349" s="13"/>
      <c r="AM2349" s="13"/>
      <c r="AN2349" s="13"/>
      <c r="AO2349" s="13"/>
      <c r="AP2349" s="13"/>
      <c r="AQ2349" s="14"/>
      <c r="AR2349" s="15"/>
    </row>
    <row r="2350" spans="1:44" s="17" customFormat="1" ht="30.95" customHeight="1" x14ac:dyDescent="0.2">
      <c r="A2350" s="343"/>
      <c r="B2350" s="344"/>
      <c r="C2350" s="345"/>
      <c r="D2350" s="398"/>
      <c r="E2350" s="31"/>
      <c r="F2350" s="268" t="str">
        <f>IF(D2350="","",VLOOKUP(D2350,契約台帳!$A$3:$K$4986,6,FALSE)&amp;VLOOKUP(D2350,契約台帳!$A$3:$K$4986,7,FALSE)&amp;VLOOKUP(D2350,契約台帳!$A$3:$K$4986,8,FALSE)&amp;VLOOKUP(D2350,契約台帳!$A$3:$K$4986,9,FALSE)&amp;VLOOKUP(D2350,契約台帳!$A$3:$K$4986,11,FALSE))</f>
        <v/>
      </c>
      <c r="G2350" s="269" t="str">
        <f>IF(D2350="","",VLOOKUP(F2350,製品マスタ!$G$5:$H$5002,2,FALSE))</f>
        <v/>
      </c>
      <c r="H2350" s="269" t="str">
        <f>IF(D2350="","",VLOOKUP(F2350,製品マスタ!$G$5:$K$5002,5,FALSE))</f>
        <v/>
      </c>
      <c r="I2350" s="270" t="str">
        <f>IF(D2350="","",VLOOKUP(F2350,製品マスタ!$G$5:$L$5002,6,FALSE))</f>
        <v/>
      </c>
      <c r="J2350" s="32" t="s">
        <v>447</v>
      </c>
      <c r="K2350" s="270" t="str">
        <f>IF(D2350="","",VLOOKUP(D2350,契約台帳!$A$3:$L$4986,12,FALSE))</f>
        <v/>
      </c>
      <c r="L2350" s="270" t="str">
        <f>IF(D2350="","",INDEX(製品マスタ!$Q$5:$Q$5002,MATCH(F2350&amp;K2350,製品マスタ!$AO$5:$AO$5002,0)))</f>
        <v/>
      </c>
      <c r="M2350" s="39"/>
      <c r="N2350" s="39"/>
      <c r="O2350" s="47"/>
      <c r="P2350" s="57"/>
      <c r="Q2350" s="276" t="str">
        <f>IF(D2350="","",IF(J2350="リード付け",M2350,VLOOKUP(D2350,契約台帳!$A$3:$N$4986,14,FALSE)))</f>
        <v/>
      </c>
      <c r="R2350" s="277" t="str">
        <f>IF(D2350="","",IF(J2350="リード付け",M2350,VLOOKUP(D2350,契約台帳!$A$3:$O$4986,15,FALSE)))</f>
        <v/>
      </c>
      <c r="S2350" s="277" t="str">
        <f>IF(D2350="","",IF(J2350="リード付け",N2350,VLOOKUP(D2350,契約台帳!$A$3:$P$4986,16,FALSE)))</f>
        <v/>
      </c>
      <c r="T2350" s="40"/>
      <c r="U2350" s="278" t="str">
        <f ca="1">IF(D2350="","",IF(OFFSET(D2350,-2,0)=D2350,"",VLOOKUP(D2350,契約台帳!$A$3:$R$4986,18,FALSE)))</f>
        <v/>
      </c>
      <c r="V2350" s="269" t="e">
        <f>IF(J2350="巻返し",VLOOKUP(F2350&amp;K2350&amp;M2350,製品マスタ!$M$5:$AD$5002,18,FALSE),IF(J2350="リード付け","原反コア",IF(J2350="スリット",VLOOKUP(F2350&amp;K2350&amp;Q2350,製品マスタ!$N$5:$AD$5002,17,FALSE),"")))</f>
        <v>#N/A</v>
      </c>
      <c r="W2350" s="269" t="e">
        <f>IF(J2350="巻返し",VLOOKUP(F2350&amp;K2350&amp;M2350,製品マスタ!$M$5:$AE$5002,19,FALSE),IF(J2350="リード付け","-",IF(J2350="スリット",VLOOKUP(F2350&amp;K2350&amp;Q2350,製品マスタ!$N$5:$AE$5002,18,FALSE),"")))</f>
        <v>#N/A</v>
      </c>
      <c r="X2350" s="275" t="str">
        <f>IF(D2350="","",VLOOKUP(D2350,契約台帳!$A$3:$Q$4986,17,FALSE))</f>
        <v/>
      </c>
      <c r="Y2350" s="269" t="str">
        <f>IF(D2350="","",VLOOKUP(D2350,契約台帳!$A$3:$E$4986,5,FALSE))</f>
        <v/>
      </c>
      <c r="Z2350" s="357"/>
      <c r="AA2350" s="207"/>
      <c r="AB2350" s="369"/>
      <c r="AC2350" s="370"/>
      <c r="AD2350" s="332" t="str">
        <f t="shared" si="9"/>
        <v/>
      </c>
      <c r="AE2350" s="216">
        <f t="shared" si="10"/>
        <v>0</v>
      </c>
      <c r="AF2350" s="43" t="str">
        <f>IF(AD2350="","",VLOOKUP(AD2350,原価マスタ!$A$2:$AJ$1693,13,FALSE))</f>
        <v/>
      </c>
      <c r="AG2350" s="47" t="str">
        <f t="shared" si="11"/>
        <v/>
      </c>
      <c r="AH2350" s="30"/>
      <c r="AI2350" s="30"/>
      <c r="AJ2350" s="30"/>
      <c r="AK2350" s="30"/>
      <c r="AL2350" s="13"/>
      <c r="AM2350" s="13"/>
      <c r="AN2350" s="13"/>
      <c r="AO2350" s="13"/>
      <c r="AP2350" s="13"/>
      <c r="AQ2350" s="14"/>
      <c r="AR2350" s="15"/>
    </row>
    <row r="2351" spans="1:44" s="17" customFormat="1" ht="30.95" customHeight="1" x14ac:dyDescent="0.2">
      <c r="A2351" s="343"/>
      <c r="B2351" s="344"/>
      <c r="C2351" s="345"/>
      <c r="D2351" s="398"/>
      <c r="E2351" s="31"/>
      <c r="F2351" s="268" t="str">
        <f>IF(D2351="","",VLOOKUP(D2351,契約台帳!$A$3:$K$4986,6,FALSE)&amp;VLOOKUP(D2351,契約台帳!$A$3:$K$4986,7,FALSE)&amp;VLOOKUP(D2351,契約台帳!$A$3:$K$4986,8,FALSE)&amp;VLOOKUP(D2351,契約台帳!$A$3:$K$4986,9,FALSE)&amp;VLOOKUP(D2351,契約台帳!$A$3:$K$4986,11,FALSE))</f>
        <v/>
      </c>
      <c r="G2351" s="269" t="str">
        <f>IF(D2351="","",VLOOKUP(F2351,製品マスタ!$G$5:$H$5002,2,FALSE))</f>
        <v/>
      </c>
      <c r="H2351" s="269" t="str">
        <f>IF(D2351="","",VLOOKUP(F2351,製品マスタ!$G$5:$K$5002,5,FALSE))</f>
        <v/>
      </c>
      <c r="I2351" s="270" t="str">
        <f>IF(D2351="","",VLOOKUP(F2351,製品マスタ!$G$5:$L$5002,6,FALSE))</f>
        <v/>
      </c>
      <c r="J2351" s="32" t="s">
        <v>447</v>
      </c>
      <c r="K2351" s="270" t="str">
        <f>IF(D2351="","",VLOOKUP(D2351,契約台帳!$A$3:$L$4986,12,FALSE))</f>
        <v/>
      </c>
      <c r="L2351" s="270" t="str">
        <f>IF(D2351="","",INDEX(製品マスタ!$Q$5:$Q$5002,MATCH(F2351&amp;K2351,製品マスタ!$AO$5:$AO$5002,0)))</f>
        <v/>
      </c>
      <c r="M2351" s="39"/>
      <c r="N2351" s="39"/>
      <c r="O2351" s="47"/>
      <c r="P2351" s="57"/>
      <c r="Q2351" s="276" t="str">
        <f>IF(D2351="","",IF(J2351="リード付け",M2351,VLOOKUP(D2351,契約台帳!$A$3:$N$4986,14,FALSE)))</f>
        <v/>
      </c>
      <c r="R2351" s="277" t="str">
        <f>IF(D2351="","",IF(J2351="リード付け",M2351,VLOOKUP(D2351,契約台帳!$A$3:$O$4986,15,FALSE)))</f>
        <v/>
      </c>
      <c r="S2351" s="277" t="str">
        <f>IF(D2351="","",IF(J2351="リード付け",N2351,VLOOKUP(D2351,契約台帳!$A$3:$P$4986,16,FALSE)))</f>
        <v/>
      </c>
      <c r="T2351" s="40"/>
      <c r="U2351" s="278" t="str">
        <f ca="1">IF(D2351="","",IF(OFFSET(D2351,-2,0)=D2351,"",VLOOKUP(D2351,契約台帳!$A$3:$R$4986,18,FALSE)))</f>
        <v/>
      </c>
      <c r="V2351" s="269" t="e">
        <f>IF(J2351="巻返し",VLOOKUP(F2351&amp;K2351&amp;M2351,製品マスタ!$M$5:$AD$5002,18,FALSE),IF(J2351="リード付け","原反コア",IF(J2351="スリット",VLOOKUP(F2351&amp;K2351&amp;Q2351,製品マスタ!$N$5:$AD$5002,17,FALSE),"")))</f>
        <v>#N/A</v>
      </c>
      <c r="W2351" s="269" t="e">
        <f>IF(J2351="巻返し",VLOOKUP(F2351&amp;K2351&amp;M2351,製品マスタ!$M$5:$AE$5002,19,FALSE),IF(J2351="リード付け","-",IF(J2351="スリット",VLOOKUP(F2351&amp;K2351&amp;Q2351,製品マスタ!$N$5:$AE$5002,18,FALSE),"")))</f>
        <v>#N/A</v>
      </c>
      <c r="X2351" s="275" t="str">
        <f>IF(D2351="","",VLOOKUP(D2351,契約台帳!$A$3:$Q$4986,17,FALSE))</f>
        <v/>
      </c>
      <c r="Y2351" s="269" t="str">
        <f>IF(D2351="","",VLOOKUP(D2351,契約台帳!$A$3:$E$4986,5,FALSE))</f>
        <v/>
      </c>
      <c r="Z2351" s="357"/>
      <c r="AA2351" s="207"/>
      <c r="AB2351" s="369"/>
      <c r="AC2351" s="370"/>
      <c r="AD2351" s="332" t="str">
        <f t="shared" si="9"/>
        <v/>
      </c>
      <c r="AE2351" s="216">
        <f t="shared" si="10"/>
        <v>0</v>
      </c>
      <c r="AF2351" s="43" t="str">
        <f>IF(AD2351="","",VLOOKUP(AD2351,原価マスタ!$A$2:$AJ$1693,13,FALSE))</f>
        <v/>
      </c>
      <c r="AG2351" s="47" t="str">
        <f t="shared" si="11"/>
        <v/>
      </c>
      <c r="AH2351" s="30"/>
      <c r="AI2351" s="30"/>
      <c r="AJ2351" s="30"/>
      <c r="AK2351" s="30"/>
      <c r="AL2351" s="13"/>
      <c r="AM2351" s="13"/>
      <c r="AN2351" s="13"/>
      <c r="AO2351" s="13"/>
      <c r="AP2351" s="13"/>
      <c r="AQ2351" s="14"/>
      <c r="AR2351" s="15"/>
    </row>
    <row r="2352" spans="1:44" s="17" customFormat="1" ht="30.95" customHeight="1" x14ac:dyDescent="0.2">
      <c r="A2352" s="343"/>
      <c r="B2352" s="344"/>
      <c r="C2352" s="345"/>
      <c r="D2352" s="398"/>
      <c r="E2352" s="31"/>
      <c r="F2352" s="268" t="str">
        <f>IF(D2352="","",VLOOKUP(D2352,契約台帳!$A$3:$K$4986,6,FALSE)&amp;VLOOKUP(D2352,契約台帳!$A$3:$K$4986,7,FALSE)&amp;VLOOKUP(D2352,契約台帳!$A$3:$K$4986,8,FALSE)&amp;VLOOKUP(D2352,契約台帳!$A$3:$K$4986,9,FALSE)&amp;VLOOKUP(D2352,契約台帳!$A$3:$K$4986,11,FALSE))</f>
        <v/>
      </c>
      <c r="G2352" s="269" t="str">
        <f>IF(D2352="","",VLOOKUP(F2352,製品マスタ!$G$5:$H$5002,2,FALSE))</f>
        <v/>
      </c>
      <c r="H2352" s="269" t="str">
        <f>IF(D2352="","",VLOOKUP(F2352,製品マスタ!$G$5:$K$5002,5,FALSE))</f>
        <v/>
      </c>
      <c r="I2352" s="270" t="str">
        <f>IF(D2352="","",VLOOKUP(F2352,製品マスタ!$G$5:$L$5002,6,FALSE))</f>
        <v/>
      </c>
      <c r="J2352" s="32" t="s">
        <v>447</v>
      </c>
      <c r="K2352" s="270" t="str">
        <f>IF(D2352="","",VLOOKUP(D2352,契約台帳!$A$3:$L$4986,12,FALSE))</f>
        <v/>
      </c>
      <c r="L2352" s="270" t="str">
        <f>IF(D2352="","",INDEX(製品マスタ!$Q$5:$Q$5002,MATCH(F2352&amp;K2352,製品マスタ!$AO$5:$AO$5002,0)))</f>
        <v/>
      </c>
      <c r="M2352" s="39"/>
      <c r="N2352" s="39"/>
      <c r="O2352" s="47"/>
      <c r="P2352" s="57"/>
      <c r="Q2352" s="276" t="str">
        <f>IF(D2352="","",IF(J2352="リード付け",M2352,VLOOKUP(D2352,契約台帳!$A$3:$N$4986,14,FALSE)))</f>
        <v/>
      </c>
      <c r="R2352" s="277" t="str">
        <f>IF(D2352="","",IF(J2352="リード付け",M2352,VLOOKUP(D2352,契約台帳!$A$3:$O$4986,15,FALSE)))</f>
        <v/>
      </c>
      <c r="S2352" s="277" t="str">
        <f>IF(D2352="","",IF(J2352="リード付け",N2352,VLOOKUP(D2352,契約台帳!$A$3:$P$4986,16,FALSE)))</f>
        <v/>
      </c>
      <c r="T2352" s="40"/>
      <c r="U2352" s="278" t="str">
        <f ca="1">IF(D2352="","",IF(OFFSET(D2352,-2,0)=D2352,"",VLOOKUP(D2352,契約台帳!$A$3:$R$4986,18,FALSE)))</f>
        <v/>
      </c>
      <c r="V2352" s="269" t="e">
        <f>IF(J2352="巻返し",VLOOKUP(F2352&amp;K2352&amp;M2352,製品マスタ!$M$5:$AD$5002,18,FALSE),IF(J2352="リード付け","原反コア",IF(J2352="スリット",VLOOKUP(F2352&amp;K2352&amp;Q2352,製品マスタ!$N$5:$AD$5002,17,FALSE),"")))</f>
        <v>#N/A</v>
      </c>
      <c r="W2352" s="269" t="e">
        <f>IF(J2352="巻返し",VLOOKUP(F2352&amp;K2352&amp;M2352,製品マスタ!$M$5:$AE$5002,19,FALSE),IF(J2352="リード付け","-",IF(J2352="スリット",VLOOKUP(F2352&amp;K2352&amp;Q2352,製品マスタ!$N$5:$AE$5002,18,FALSE),"")))</f>
        <v>#N/A</v>
      </c>
      <c r="X2352" s="275" t="str">
        <f>IF(D2352="","",VLOOKUP(D2352,契約台帳!$A$3:$Q$4986,17,FALSE))</f>
        <v/>
      </c>
      <c r="Y2352" s="269" t="str">
        <f>IF(D2352="","",VLOOKUP(D2352,契約台帳!$A$3:$E$4986,5,FALSE))</f>
        <v/>
      </c>
      <c r="Z2352" s="357"/>
      <c r="AA2352" s="207"/>
      <c r="AB2352" s="369"/>
      <c r="AC2352" s="370"/>
      <c r="AD2352" s="332" t="str">
        <f t="shared" si="9"/>
        <v/>
      </c>
      <c r="AE2352" s="216">
        <f t="shared" si="10"/>
        <v>0</v>
      </c>
      <c r="AF2352" s="43" t="str">
        <f>IF(AD2352="","",VLOOKUP(AD2352,原価マスタ!$A$2:$AJ$1693,13,FALSE))</f>
        <v/>
      </c>
      <c r="AG2352" s="47" t="str">
        <f t="shared" si="11"/>
        <v/>
      </c>
      <c r="AH2352" s="30"/>
      <c r="AI2352" s="30"/>
      <c r="AJ2352" s="30"/>
      <c r="AK2352" s="30"/>
      <c r="AL2352" s="13"/>
      <c r="AM2352" s="13"/>
      <c r="AN2352" s="13"/>
      <c r="AO2352" s="13"/>
      <c r="AP2352" s="13"/>
      <c r="AQ2352" s="14"/>
      <c r="AR2352" s="15"/>
    </row>
    <row r="2353" spans="1:44" s="17" customFormat="1" ht="30.95" customHeight="1" x14ac:dyDescent="0.2">
      <c r="A2353" s="343"/>
      <c r="B2353" s="344"/>
      <c r="C2353" s="345"/>
      <c r="D2353" s="398"/>
      <c r="E2353" s="31"/>
      <c r="F2353" s="268" t="str">
        <f>IF(D2353="","",VLOOKUP(D2353,契約台帳!$A$3:$K$4986,6,FALSE)&amp;VLOOKUP(D2353,契約台帳!$A$3:$K$4986,7,FALSE)&amp;VLOOKUP(D2353,契約台帳!$A$3:$K$4986,8,FALSE)&amp;VLOOKUP(D2353,契約台帳!$A$3:$K$4986,9,FALSE)&amp;VLOOKUP(D2353,契約台帳!$A$3:$K$4986,11,FALSE))</f>
        <v/>
      </c>
      <c r="G2353" s="269" t="str">
        <f>IF(D2353="","",VLOOKUP(F2353,製品マスタ!$G$5:$H$5002,2,FALSE))</f>
        <v/>
      </c>
      <c r="H2353" s="269" t="str">
        <f>IF(D2353="","",VLOOKUP(F2353,製品マスタ!$G$5:$K$5002,5,FALSE))</f>
        <v/>
      </c>
      <c r="I2353" s="270" t="str">
        <f>IF(D2353="","",VLOOKUP(F2353,製品マスタ!$G$5:$L$5002,6,FALSE))</f>
        <v/>
      </c>
      <c r="J2353" s="32" t="s">
        <v>447</v>
      </c>
      <c r="K2353" s="270" t="str">
        <f>IF(D2353="","",VLOOKUP(D2353,契約台帳!$A$3:$L$4986,12,FALSE))</f>
        <v/>
      </c>
      <c r="L2353" s="270" t="str">
        <f>IF(D2353="","",INDEX(製品マスタ!$Q$5:$Q$5002,MATCH(F2353&amp;K2353,製品マスタ!$AO$5:$AO$5002,0)))</f>
        <v/>
      </c>
      <c r="M2353" s="39"/>
      <c r="N2353" s="39"/>
      <c r="O2353" s="47"/>
      <c r="P2353" s="57"/>
      <c r="Q2353" s="276" t="str">
        <f>IF(D2353="","",IF(J2353="リード付け",M2353,VLOOKUP(D2353,契約台帳!$A$3:$N$4986,14,FALSE)))</f>
        <v/>
      </c>
      <c r="R2353" s="277" t="str">
        <f>IF(D2353="","",IF(J2353="リード付け",M2353,VLOOKUP(D2353,契約台帳!$A$3:$O$4986,15,FALSE)))</f>
        <v/>
      </c>
      <c r="S2353" s="277" t="str">
        <f>IF(D2353="","",IF(J2353="リード付け",N2353,VLOOKUP(D2353,契約台帳!$A$3:$P$4986,16,FALSE)))</f>
        <v/>
      </c>
      <c r="T2353" s="40"/>
      <c r="U2353" s="278" t="str">
        <f ca="1">IF(D2353="","",IF(OFFSET(D2353,-2,0)=D2353,"",VLOOKUP(D2353,契約台帳!$A$3:$R$4986,18,FALSE)))</f>
        <v/>
      </c>
      <c r="V2353" s="269" t="e">
        <f>IF(J2353="巻返し",VLOOKUP(F2353&amp;K2353&amp;M2353,製品マスタ!$M$5:$AD$5002,18,FALSE),IF(J2353="リード付け","原反コア",IF(J2353="スリット",VLOOKUP(F2353&amp;K2353&amp;Q2353,製品マスタ!$N$5:$AD$5002,17,FALSE),"")))</f>
        <v>#N/A</v>
      </c>
      <c r="W2353" s="269" t="e">
        <f>IF(J2353="巻返し",VLOOKUP(F2353&amp;K2353&amp;M2353,製品マスタ!$M$5:$AE$5002,19,FALSE),IF(J2353="リード付け","-",IF(J2353="スリット",VLOOKUP(F2353&amp;K2353&amp;Q2353,製品マスタ!$N$5:$AE$5002,18,FALSE),"")))</f>
        <v>#N/A</v>
      </c>
      <c r="X2353" s="275" t="str">
        <f>IF(D2353="","",VLOOKUP(D2353,契約台帳!$A$3:$Q$4986,17,FALSE))</f>
        <v/>
      </c>
      <c r="Y2353" s="269" t="str">
        <f>IF(D2353="","",VLOOKUP(D2353,契約台帳!$A$3:$E$4986,5,FALSE))</f>
        <v/>
      </c>
      <c r="Z2353" s="357"/>
      <c r="AA2353" s="207"/>
      <c r="AB2353" s="369"/>
      <c r="AC2353" s="370"/>
      <c r="AD2353" s="332" t="str">
        <f t="shared" si="9"/>
        <v/>
      </c>
      <c r="AE2353" s="216">
        <f t="shared" si="10"/>
        <v>0</v>
      </c>
      <c r="AF2353" s="43" t="str">
        <f>IF(AD2353="","",VLOOKUP(AD2353,原価マスタ!$A$2:$AJ$1693,13,FALSE))</f>
        <v/>
      </c>
      <c r="AG2353" s="47" t="str">
        <f t="shared" si="11"/>
        <v/>
      </c>
      <c r="AH2353" s="30"/>
      <c r="AI2353" s="30"/>
      <c r="AJ2353" s="30"/>
      <c r="AK2353" s="30"/>
      <c r="AL2353" s="13"/>
      <c r="AM2353" s="13"/>
      <c r="AN2353" s="13"/>
      <c r="AO2353" s="13"/>
      <c r="AP2353" s="13"/>
      <c r="AQ2353" s="14"/>
      <c r="AR2353" s="15"/>
    </row>
    <row r="2354" spans="1:44" s="17" customFormat="1" ht="30.95" customHeight="1" x14ac:dyDescent="0.2">
      <c r="A2354" s="343"/>
      <c r="B2354" s="344"/>
      <c r="C2354" s="345"/>
      <c r="D2354" s="398"/>
      <c r="E2354" s="31"/>
      <c r="F2354" s="268" t="str">
        <f>IF(D2354="","",VLOOKUP(D2354,契約台帳!$A$3:$K$4986,6,FALSE)&amp;VLOOKUP(D2354,契約台帳!$A$3:$K$4986,7,FALSE)&amp;VLOOKUP(D2354,契約台帳!$A$3:$K$4986,8,FALSE)&amp;VLOOKUP(D2354,契約台帳!$A$3:$K$4986,9,FALSE)&amp;VLOOKUP(D2354,契約台帳!$A$3:$K$4986,11,FALSE))</f>
        <v/>
      </c>
      <c r="G2354" s="269" t="str">
        <f>IF(D2354="","",VLOOKUP(F2354,製品マスタ!$G$5:$H$5002,2,FALSE))</f>
        <v/>
      </c>
      <c r="H2354" s="269" t="str">
        <f>IF(D2354="","",VLOOKUP(F2354,製品マスタ!$G$5:$K$5002,5,FALSE))</f>
        <v/>
      </c>
      <c r="I2354" s="270" t="str">
        <f>IF(D2354="","",VLOOKUP(F2354,製品マスタ!$G$5:$L$5002,6,FALSE))</f>
        <v/>
      </c>
      <c r="J2354" s="32" t="s">
        <v>447</v>
      </c>
      <c r="K2354" s="270" t="str">
        <f>IF(D2354="","",VLOOKUP(D2354,契約台帳!$A$3:$L$4986,12,FALSE))</f>
        <v/>
      </c>
      <c r="L2354" s="270" t="str">
        <f>IF(D2354="","",INDEX(製品マスタ!$Q$5:$Q$5002,MATCH(F2354&amp;K2354,製品マスタ!$AO$5:$AO$5002,0)))</f>
        <v/>
      </c>
      <c r="M2354" s="39"/>
      <c r="N2354" s="39"/>
      <c r="O2354" s="47"/>
      <c r="P2354" s="57"/>
      <c r="Q2354" s="276" t="str">
        <f>IF(D2354="","",IF(J2354="リード付け",M2354,VLOOKUP(D2354,契約台帳!$A$3:$N$4986,14,FALSE)))</f>
        <v/>
      </c>
      <c r="R2354" s="277" t="str">
        <f>IF(D2354="","",IF(J2354="リード付け",M2354,VLOOKUP(D2354,契約台帳!$A$3:$O$4986,15,FALSE)))</f>
        <v/>
      </c>
      <c r="S2354" s="277" t="str">
        <f>IF(D2354="","",IF(J2354="リード付け",N2354,VLOOKUP(D2354,契約台帳!$A$3:$P$4986,16,FALSE)))</f>
        <v/>
      </c>
      <c r="T2354" s="40"/>
      <c r="U2354" s="278" t="str">
        <f ca="1">IF(D2354="","",IF(OFFSET(D2354,-2,0)=D2354,"",VLOOKUP(D2354,契約台帳!$A$3:$R$4986,18,FALSE)))</f>
        <v/>
      </c>
      <c r="V2354" s="269" t="e">
        <f>IF(J2354="巻返し",VLOOKUP(F2354&amp;K2354&amp;M2354,製品マスタ!$M$5:$AD$5002,18,FALSE),IF(J2354="リード付け","原反コア",IF(J2354="スリット",VLOOKUP(F2354&amp;K2354&amp;Q2354,製品マスタ!$N$5:$AD$5002,17,FALSE),"")))</f>
        <v>#N/A</v>
      </c>
      <c r="W2354" s="269" t="e">
        <f>IF(J2354="巻返し",VLOOKUP(F2354&amp;K2354&amp;M2354,製品マスタ!$M$5:$AE$5002,19,FALSE),IF(J2354="リード付け","-",IF(J2354="スリット",VLOOKUP(F2354&amp;K2354&amp;Q2354,製品マスタ!$N$5:$AE$5002,18,FALSE),"")))</f>
        <v>#N/A</v>
      </c>
      <c r="X2354" s="275" t="str">
        <f>IF(D2354="","",VLOOKUP(D2354,契約台帳!$A$3:$Q$4986,17,FALSE))</f>
        <v/>
      </c>
      <c r="Y2354" s="269" t="str">
        <f>IF(D2354="","",VLOOKUP(D2354,契約台帳!$A$3:$E$4986,5,FALSE))</f>
        <v/>
      </c>
      <c r="Z2354" s="357"/>
      <c r="AA2354" s="207"/>
      <c r="AB2354" s="369"/>
      <c r="AC2354" s="370"/>
      <c r="AD2354" s="332" t="str">
        <f t="shared" si="9"/>
        <v/>
      </c>
      <c r="AE2354" s="216">
        <f t="shared" si="10"/>
        <v>0</v>
      </c>
      <c r="AF2354" s="43" t="str">
        <f>IF(AD2354="","",VLOOKUP(AD2354,原価マスタ!$A$2:$AJ$1693,13,FALSE))</f>
        <v/>
      </c>
      <c r="AG2354" s="47" t="str">
        <f t="shared" si="11"/>
        <v/>
      </c>
      <c r="AH2354" s="30"/>
      <c r="AI2354" s="30"/>
      <c r="AJ2354" s="30"/>
      <c r="AK2354" s="30"/>
      <c r="AL2354" s="13"/>
      <c r="AM2354" s="13"/>
      <c r="AN2354" s="13"/>
      <c r="AO2354" s="13"/>
      <c r="AP2354" s="13"/>
      <c r="AQ2354" s="14"/>
      <c r="AR2354" s="15"/>
    </row>
    <row r="2355" spans="1:44" s="17" customFormat="1" ht="30.95" customHeight="1" x14ac:dyDescent="0.2">
      <c r="A2355" s="343"/>
      <c r="B2355" s="344"/>
      <c r="C2355" s="345"/>
      <c r="D2355" s="398"/>
      <c r="E2355" s="31"/>
      <c r="F2355" s="268" t="str">
        <f>IF(D2355="","",VLOOKUP(D2355,契約台帳!$A$3:$K$4986,6,FALSE)&amp;VLOOKUP(D2355,契約台帳!$A$3:$K$4986,7,FALSE)&amp;VLOOKUP(D2355,契約台帳!$A$3:$K$4986,8,FALSE)&amp;VLOOKUP(D2355,契約台帳!$A$3:$K$4986,9,FALSE)&amp;VLOOKUP(D2355,契約台帳!$A$3:$K$4986,11,FALSE))</f>
        <v/>
      </c>
      <c r="G2355" s="269" t="str">
        <f>IF(D2355="","",VLOOKUP(F2355,製品マスタ!$G$5:$H$5002,2,FALSE))</f>
        <v/>
      </c>
      <c r="H2355" s="269" t="str">
        <f>IF(D2355="","",VLOOKUP(F2355,製品マスタ!$G$5:$K$5002,5,FALSE))</f>
        <v/>
      </c>
      <c r="I2355" s="270" t="str">
        <f>IF(D2355="","",VLOOKUP(F2355,製品マスタ!$G$5:$L$5002,6,FALSE))</f>
        <v/>
      </c>
      <c r="J2355" s="32" t="s">
        <v>447</v>
      </c>
      <c r="K2355" s="270" t="str">
        <f>IF(D2355="","",VLOOKUP(D2355,契約台帳!$A$3:$L$4986,12,FALSE))</f>
        <v/>
      </c>
      <c r="L2355" s="270" t="str">
        <f>IF(D2355="","",INDEX(製品マスタ!$Q$5:$Q$5002,MATCH(F2355&amp;K2355,製品マスタ!$AO$5:$AO$5002,0)))</f>
        <v/>
      </c>
      <c r="M2355" s="39"/>
      <c r="N2355" s="39"/>
      <c r="O2355" s="47"/>
      <c r="P2355" s="57"/>
      <c r="Q2355" s="276" t="str">
        <f>IF(D2355="","",IF(J2355="リード付け",M2355,VLOOKUP(D2355,契約台帳!$A$3:$N$4986,14,FALSE)))</f>
        <v/>
      </c>
      <c r="R2355" s="277" t="str">
        <f>IF(D2355="","",IF(J2355="リード付け",M2355,VLOOKUP(D2355,契約台帳!$A$3:$O$4986,15,FALSE)))</f>
        <v/>
      </c>
      <c r="S2355" s="277" t="str">
        <f>IF(D2355="","",IF(J2355="リード付け",N2355,VLOOKUP(D2355,契約台帳!$A$3:$P$4986,16,FALSE)))</f>
        <v/>
      </c>
      <c r="T2355" s="40"/>
      <c r="U2355" s="278" t="str">
        <f ca="1">IF(D2355="","",IF(OFFSET(D2355,-2,0)=D2355,"",VLOOKUP(D2355,契約台帳!$A$3:$R$4986,18,FALSE)))</f>
        <v/>
      </c>
      <c r="V2355" s="269" t="e">
        <f>IF(J2355="巻返し",VLOOKUP(F2355&amp;K2355&amp;M2355,製品マスタ!$M$5:$AD$5002,18,FALSE),IF(J2355="リード付け","原反コア",IF(J2355="スリット",VLOOKUP(F2355&amp;K2355&amp;Q2355,製品マスタ!$N$5:$AD$5002,17,FALSE),"")))</f>
        <v>#N/A</v>
      </c>
      <c r="W2355" s="269" t="e">
        <f>IF(J2355="巻返し",VLOOKUP(F2355&amp;K2355&amp;M2355,製品マスタ!$M$5:$AE$5002,19,FALSE),IF(J2355="リード付け","-",IF(J2355="スリット",VLOOKUP(F2355&amp;K2355&amp;Q2355,製品マスタ!$N$5:$AE$5002,18,FALSE),"")))</f>
        <v>#N/A</v>
      </c>
      <c r="X2355" s="275" t="str">
        <f>IF(D2355="","",VLOOKUP(D2355,契約台帳!$A$3:$Q$4986,17,FALSE))</f>
        <v/>
      </c>
      <c r="Y2355" s="269" t="str">
        <f>IF(D2355="","",VLOOKUP(D2355,契約台帳!$A$3:$E$4986,5,FALSE))</f>
        <v/>
      </c>
      <c r="Z2355" s="357"/>
      <c r="AA2355" s="207"/>
      <c r="AB2355" s="369"/>
      <c r="AC2355" s="370"/>
      <c r="AD2355" s="332" t="str">
        <f t="shared" si="9"/>
        <v/>
      </c>
      <c r="AE2355" s="216">
        <f t="shared" si="10"/>
        <v>0</v>
      </c>
      <c r="AF2355" s="43" t="str">
        <f>IF(AD2355="","",VLOOKUP(AD2355,原価マスタ!$A$2:$AJ$1693,13,FALSE))</f>
        <v/>
      </c>
      <c r="AG2355" s="47" t="str">
        <f t="shared" si="11"/>
        <v/>
      </c>
      <c r="AH2355" s="30"/>
      <c r="AI2355" s="30"/>
      <c r="AJ2355" s="30"/>
      <c r="AK2355" s="30"/>
      <c r="AL2355" s="13"/>
      <c r="AM2355" s="13"/>
      <c r="AN2355" s="13"/>
      <c r="AO2355" s="13"/>
      <c r="AP2355" s="13"/>
      <c r="AQ2355" s="14"/>
      <c r="AR2355" s="15"/>
    </row>
    <row r="2356" spans="1:44" s="17" customFormat="1" ht="30.95" customHeight="1" x14ac:dyDescent="0.2">
      <c r="A2356" s="343"/>
      <c r="B2356" s="344"/>
      <c r="C2356" s="345"/>
      <c r="D2356" s="398"/>
      <c r="E2356" s="31"/>
      <c r="F2356" s="268" t="str">
        <f>IF(D2356="","",VLOOKUP(D2356,契約台帳!$A$3:$K$4986,6,FALSE)&amp;VLOOKUP(D2356,契約台帳!$A$3:$K$4986,7,FALSE)&amp;VLOOKUP(D2356,契約台帳!$A$3:$K$4986,8,FALSE)&amp;VLOOKUP(D2356,契約台帳!$A$3:$K$4986,9,FALSE)&amp;VLOOKUP(D2356,契約台帳!$A$3:$K$4986,11,FALSE))</f>
        <v/>
      </c>
      <c r="G2356" s="269" t="str">
        <f>IF(D2356="","",VLOOKUP(F2356,製品マスタ!$G$5:$H$5002,2,FALSE))</f>
        <v/>
      </c>
      <c r="H2356" s="269" t="str">
        <f>IF(D2356="","",VLOOKUP(F2356,製品マスタ!$G$5:$K$5002,5,FALSE))</f>
        <v/>
      </c>
      <c r="I2356" s="270" t="str">
        <f>IF(D2356="","",VLOOKUP(F2356,製品マスタ!$G$5:$L$5002,6,FALSE))</f>
        <v/>
      </c>
      <c r="J2356" s="32" t="s">
        <v>447</v>
      </c>
      <c r="K2356" s="270" t="str">
        <f>IF(D2356="","",VLOOKUP(D2356,契約台帳!$A$3:$L$4986,12,FALSE))</f>
        <v/>
      </c>
      <c r="L2356" s="270" t="str">
        <f>IF(D2356="","",INDEX(製品マスタ!$Q$5:$Q$5002,MATCH(F2356&amp;K2356,製品マスタ!$AO$5:$AO$5002,0)))</f>
        <v/>
      </c>
      <c r="M2356" s="39"/>
      <c r="N2356" s="39"/>
      <c r="O2356" s="47"/>
      <c r="P2356" s="57"/>
      <c r="Q2356" s="276" t="str">
        <f>IF(D2356="","",IF(J2356="リード付け",M2356,VLOOKUP(D2356,契約台帳!$A$3:$N$4986,14,FALSE)))</f>
        <v/>
      </c>
      <c r="R2356" s="277" t="str">
        <f>IF(D2356="","",IF(J2356="リード付け",M2356,VLOOKUP(D2356,契約台帳!$A$3:$O$4986,15,FALSE)))</f>
        <v/>
      </c>
      <c r="S2356" s="277" t="str">
        <f>IF(D2356="","",IF(J2356="リード付け",N2356,VLOOKUP(D2356,契約台帳!$A$3:$P$4986,16,FALSE)))</f>
        <v/>
      </c>
      <c r="T2356" s="40"/>
      <c r="U2356" s="278" t="str">
        <f ca="1">IF(D2356="","",IF(OFFSET(D2356,-2,0)=D2356,"",VLOOKUP(D2356,契約台帳!$A$3:$R$4986,18,FALSE)))</f>
        <v/>
      </c>
      <c r="V2356" s="269" t="e">
        <f>IF(J2356="巻返し",VLOOKUP(F2356&amp;K2356&amp;M2356,製品マスタ!$M$5:$AD$5002,18,FALSE),IF(J2356="リード付け","原反コア",IF(J2356="スリット",VLOOKUP(F2356&amp;K2356&amp;Q2356,製品マスタ!$N$5:$AD$5002,17,FALSE),"")))</f>
        <v>#N/A</v>
      </c>
      <c r="W2356" s="269" t="e">
        <f>IF(J2356="巻返し",VLOOKUP(F2356&amp;K2356&amp;M2356,製品マスタ!$M$5:$AE$5002,19,FALSE),IF(J2356="リード付け","-",IF(J2356="スリット",VLOOKUP(F2356&amp;K2356&amp;Q2356,製品マスタ!$N$5:$AE$5002,18,FALSE),"")))</f>
        <v>#N/A</v>
      </c>
      <c r="X2356" s="275" t="str">
        <f>IF(D2356="","",VLOOKUP(D2356,契約台帳!$A$3:$Q$4986,17,FALSE))</f>
        <v/>
      </c>
      <c r="Y2356" s="269" t="str">
        <f>IF(D2356="","",VLOOKUP(D2356,契約台帳!$A$3:$E$4986,5,FALSE))</f>
        <v/>
      </c>
      <c r="Z2356" s="357"/>
      <c r="AA2356" s="207"/>
      <c r="AB2356" s="369"/>
      <c r="AC2356" s="370"/>
      <c r="AD2356" s="332" t="str">
        <f t="shared" si="9"/>
        <v/>
      </c>
      <c r="AE2356" s="216">
        <f t="shared" si="10"/>
        <v>0</v>
      </c>
      <c r="AF2356" s="43" t="str">
        <f>IF(AD2356="","",VLOOKUP(AD2356,原価マスタ!$A$2:$AJ$1693,13,FALSE))</f>
        <v/>
      </c>
      <c r="AG2356" s="47" t="str">
        <f t="shared" si="11"/>
        <v/>
      </c>
      <c r="AH2356" s="30"/>
      <c r="AI2356" s="30"/>
      <c r="AJ2356" s="30"/>
      <c r="AK2356" s="30"/>
      <c r="AL2356" s="13"/>
      <c r="AM2356" s="13"/>
      <c r="AN2356" s="13"/>
      <c r="AO2356" s="13"/>
      <c r="AP2356" s="13"/>
      <c r="AQ2356" s="14"/>
      <c r="AR2356" s="15"/>
    </row>
    <row r="2357" spans="1:44" s="17" customFormat="1" ht="30.95" customHeight="1" x14ac:dyDescent="0.2">
      <c r="A2357" s="343"/>
      <c r="B2357" s="344"/>
      <c r="C2357" s="345"/>
      <c r="D2357" s="398"/>
      <c r="E2357" s="31"/>
      <c r="F2357" s="268" t="str">
        <f>IF(D2357="","",VLOOKUP(D2357,契約台帳!$A$3:$K$4986,6,FALSE)&amp;VLOOKUP(D2357,契約台帳!$A$3:$K$4986,7,FALSE)&amp;VLOOKUP(D2357,契約台帳!$A$3:$K$4986,8,FALSE)&amp;VLOOKUP(D2357,契約台帳!$A$3:$K$4986,9,FALSE)&amp;VLOOKUP(D2357,契約台帳!$A$3:$K$4986,11,FALSE))</f>
        <v/>
      </c>
      <c r="G2357" s="269" t="str">
        <f>IF(D2357="","",VLOOKUP(F2357,製品マスタ!$G$5:$H$5002,2,FALSE))</f>
        <v/>
      </c>
      <c r="H2357" s="269" t="str">
        <f>IF(D2357="","",VLOOKUP(F2357,製品マスタ!$G$5:$K$5002,5,FALSE))</f>
        <v/>
      </c>
      <c r="I2357" s="270" t="str">
        <f>IF(D2357="","",VLOOKUP(F2357,製品マスタ!$G$5:$L$5002,6,FALSE))</f>
        <v/>
      </c>
      <c r="J2357" s="32" t="s">
        <v>447</v>
      </c>
      <c r="K2357" s="270" t="str">
        <f>IF(D2357="","",VLOOKUP(D2357,契約台帳!$A$3:$L$4986,12,FALSE))</f>
        <v/>
      </c>
      <c r="L2357" s="270" t="str">
        <f>IF(D2357="","",INDEX(製品マスタ!$Q$5:$Q$5002,MATCH(F2357&amp;K2357,製品マスタ!$AO$5:$AO$5002,0)))</f>
        <v/>
      </c>
      <c r="M2357" s="39"/>
      <c r="N2357" s="39"/>
      <c r="O2357" s="47"/>
      <c r="P2357" s="57"/>
      <c r="Q2357" s="276" t="str">
        <f>IF(D2357="","",IF(J2357="リード付け",M2357,VLOOKUP(D2357,契約台帳!$A$3:$N$4986,14,FALSE)))</f>
        <v/>
      </c>
      <c r="R2357" s="277" t="str">
        <f>IF(D2357="","",IF(J2357="リード付け",M2357,VLOOKUP(D2357,契約台帳!$A$3:$O$4986,15,FALSE)))</f>
        <v/>
      </c>
      <c r="S2357" s="277" t="str">
        <f>IF(D2357="","",IF(J2357="リード付け",N2357,VLOOKUP(D2357,契約台帳!$A$3:$P$4986,16,FALSE)))</f>
        <v/>
      </c>
      <c r="T2357" s="40"/>
      <c r="U2357" s="278" t="str">
        <f ca="1">IF(D2357="","",IF(OFFSET(D2357,-2,0)=D2357,"",VLOOKUP(D2357,契約台帳!$A$3:$R$4986,18,FALSE)))</f>
        <v/>
      </c>
      <c r="V2357" s="269" t="e">
        <f>IF(J2357="巻返し",VLOOKUP(F2357&amp;K2357&amp;M2357,製品マスタ!$M$5:$AD$5002,18,FALSE),IF(J2357="リード付け","原反コア",IF(J2357="スリット",VLOOKUP(F2357&amp;K2357&amp;Q2357,製品マスタ!$N$5:$AD$5002,17,FALSE),"")))</f>
        <v>#N/A</v>
      </c>
      <c r="W2357" s="269" t="e">
        <f>IF(J2357="巻返し",VLOOKUP(F2357&amp;K2357&amp;M2357,製品マスタ!$M$5:$AE$5002,19,FALSE),IF(J2357="リード付け","-",IF(J2357="スリット",VLOOKUP(F2357&amp;K2357&amp;Q2357,製品マスタ!$N$5:$AE$5002,18,FALSE),"")))</f>
        <v>#N/A</v>
      </c>
      <c r="X2357" s="275" t="str">
        <f>IF(D2357="","",VLOOKUP(D2357,契約台帳!$A$3:$Q$4986,17,FALSE))</f>
        <v/>
      </c>
      <c r="Y2357" s="269" t="str">
        <f>IF(D2357="","",VLOOKUP(D2357,契約台帳!$A$3:$E$4986,5,FALSE))</f>
        <v/>
      </c>
      <c r="Z2357" s="357"/>
      <c r="AA2357" s="207"/>
      <c r="AB2357" s="369"/>
      <c r="AC2357" s="370"/>
      <c r="AD2357" s="332" t="str">
        <f t="shared" si="9"/>
        <v/>
      </c>
      <c r="AE2357" s="216">
        <f t="shared" si="10"/>
        <v>0</v>
      </c>
      <c r="AF2357" s="43" t="str">
        <f>IF(AD2357="","",VLOOKUP(AD2357,原価マスタ!$A$2:$AJ$1693,13,FALSE))</f>
        <v/>
      </c>
      <c r="AG2357" s="47" t="str">
        <f t="shared" si="11"/>
        <v/>
      </c>
      <c r="AH2357" s="30"/>
      <c r="AI2357" s="30"/>
      <c r="AJ2357" s="30"/>
      <c r="AK2357" s="30"/>
      <c r="AL2357" s="13"/>
      <c r="AM2357" s="13"/>
      <c r="AN2357" s="13"/>
      <c r="AO2357" s="13"/>
      <c r="AP2357" s="13"/>
      <c r="AQ2357" s="14"/>
      <c r="AR2357" s="15"/>
    </row>
    <row r="2358" spans="1:44" s="17" customFormat="1" ht="30.95" customHeight="1" x14ac:dyDescent="0.2">
      <c r="A2358" s="343"/>
      <c r="B2358" s="344"/>
      <c r="C2358" s="345"/>
      <c r="D2358" s="398"/>
      <c r="E2358" s="31"/>
      <c r="F2358" s="268" t="str">
        <f>IF(D2358="","",VLOOKUP(D2358,契約台帳!$A$3:$K$4986,6,FALSE)&amp;VLOOKUP(D2358,契約台帳!$A$3:$K$4986,7,FALSE)&amp;VLOOKUP(D2358,契約台帳!$A$3:$K$4986,8,FALSE)&amp;VLOOKUP(D2358,契約台帳!$A$3:$K$4986,9,FALSE)&amp;VLOOKUP(D2358,契約台帳!$A$3:$K$4986,11,FALSE))</f>
        <v/>
      </c>
      <c r="G2358" s="269" t="str">
        <f>IF(D2358="","",VLOOKUP(F2358,製品マスタ!$G$5:$H$5002,2,FALSE))</f>
        <v/>
      </c>
      <c r="H2358" s="269" t="str">
        <f>IF(D2358="","",VLOOKUP(F2358,製品マスタ!$G$5:$K$5002,5,FALSE))</f>
        <v/>
      </c>
      <c r="I2358" s="270" t="str">
        <f>IF(D2358="","",VLOOKUP(F2358,製品マスタ!$G$5:$L$5002,6,FALSE))</f>
        <v/>
      </c>
      <c r="J2358" s="32" t="s">
        <v>447</v>
      </c>
      <c r="K2358" s="270" t="str">
        <f>IF(D2358="","",VLOOKUP(D2358,契約台帳!$A$3:$L$4986,12,FALSE))</f>
        <v/>
      </c>
      <c r="L2358" s="270" t="str">
        <f>IF(D2358="","",INDEX(製品マスタ!$Q$5:$Q$5002,MATCH(F2358&amp;K2358,製品マスタ!$AO$5:$AO$5002,0)))</f>
        <v/>
      </c>
      <c r="M2358" s="39"/>
      <c r="N2358" s="39"/>
      <c r="O2358" s="47"/>
      <c r="P2358" s="57"/>
      <c r="Q2358" s="276" t="str">
        <f>IF(D2358="","",IF(J2358="リード付け",M2358,VLOOKUP(D2358,契約台帳!$A$3:$N$4986,14,FALSE)))</f>
        <v/>
      </c>
      <c r="R2358" s="277" t="str">
        <f>IF(D2358="","",IF(J2358="リード付け",M2358,VLOOKUP(D2358,契約台帳!$A$3:$O$4986,15,FALSE)))</f>
        <v/>
      </c>
      <c r="S2358" s="277" t="str">
        <f>IF(D2358="","",IF(J2358="リード付け",N2358,VLOOKUP(D2358,契約台帳!$A$3:$P$4986,16,FALSE)))</f>
        <v/>
      </c>
      <c r="T2358" s="40"/>
      <c r="U2358" s="278" t="str">
        <f ca="1">IF(D2358="","",IF(OFFSET(D2358,-2,0)=D2358,"",VLOOKUP(D2358,契約台帳!$A$3:$R$4986,18,FALSE)))</f>
        <v/>
      </c>
      <c r="V2358" s="269" t="e">
        <f>IF(J2358="巻返し",VLOOKUP(F2358&amp;K2358&amp;M2358,製品マスタ!$M$5:$AD$5002,18,FALSE),IF(J2358="リード付け","原反コア",IF(J2358="スリット",VLOOKUP(F2358&amp;K2358&amp;Q2358,製品マスタ!$N$5:$AD$5002,17,FALSE),"")))</f>
        <v>#N/A</v>
      </c>
      <c r="W2358" s="269" t="e">
        <f>IF(J2358="巻返し",VLOOKUP(F2358&amp;K2358&amp;M2358,製品マスタ!$M$5:$AE$5002,19,FALSE),IF(J2358="リード付け","-",IF(J2358="スリット",VLOOKUP(F2358&amp;K2358&amp;Q2358,製品マスタ!$N$5:$AE$5002,18,FALSE),"")))</f>
        <v>#N/A</v>
      </c>
      <c r="X2358" s="275" t="str">
        <f>IF(D2358="","",VLOOKUP(D2358,契約台帳!$A$3:$Q$4986,17,FALSE))</f>
        <v/>
      </c>
      <c r="Y2358" s="269" t="str">
        <f>IF(D2358="","",VLOOKUP(D2358,契約台帳!$A$3:$E$4986,5,FALSE))</f>
        <v/>
      </c>
      <c r="Z2358" s="357"/>
      <c r="AA2358" s="207"/>
      <c r="AB2358" s="369"/>
      <c r="AC2358" s="370"/>
      <c r="AD2358" s="332" t="str">
        <f t="shared" si="9"/>
        <v/>
      </c>
      <c r="AE2358" s="216">
        <f t="shared" si="10"/>
        <v>0</v>
      </c>
      <c r="AF2358" s="43" t="str">
        <f>IF(AD2358="","",VLOOKUP(AD2358,原価マスタ!$A$2:$AJ$1693,13,FALSE))</f>
        <v/>
      </c>
      <c r="AG2358" s="47" t="str">
        <f t="shared" si="11"/>
        <v/>
      </c>
      <c r="AH2358" s="30"/>
      <c r="AI2358" s="30"/>
      <c r="AJ2358" s="30"/>
      <c r="AK2358" s="30"/>
      <c r="AL2358" s="13"/>
      <c r="AM2358" s="13"/>
      <c r="AN2358" s="13"/>
      <c r="AO2358" s="13"/>
      <c r="AP2358" s="13"/>
      <c r="AQ2358" s="14"/>
      <c r="AR2358" s="15"/>
    </row>
    <row r="2359" spans="1:44" s="17" customFormat="1" ht="30.95" customHeight="1" x14ac:dyDescent="0.2">
      <c r="A2359" s="343"/>
      <c r="B2359" s="344"/>
      <c r="C2359" s="345"/>
      <c r="D2359" s="398"/>
      <c r="E2359" s="31"/>
      <c r="F2359" s="268" t="str">
        <f>IF(D2359="","",VLOOKUP(D2359,契約台帳!$A$3:$K$4986,6,FALSE)&amp;VLOOKUP(D2359,契約台帳!$A$3:$K$4986,7,FALSE)&amp;VLOOKUP(D2359,契約台帳!$A$3:$K$4986,8,FALSE)&amp;VLOOKUP(D2359,契約台帳!$A$3:$K$4986,9,FALSE)&amp;VLOOKUP(D2359,契約台帳!$A$3:$K$4986,11,FALSE))</f>
        <v/>
      </c>
      <c r="G2359" s="269" t="str">
        <f>IF(D2359="","",VLOOKUP(F2359,製品マスタ!$G$5:$H$5002,2,FALSE))</f>
        <v/>
      </c>
      <c r="H2359" s="269" t="str">
        <f>IF(D2359="","",VLOOKUP(F2359,製品マスタ!$G$5:$K$5002,5,FALSE))</f>
        <v/>
      </c>
      <c r="I2359" s="270" t="str">
        <f>IF(D2359="","",VLOOKUP(F2359,製品マスタ!$G$5:$L$5002,6,FALSE))</f>
        <v/>
      </c>
      <c r="J2359" s="32" t="s">
        <v>447</v>
      </c>
      <c r="K2359" s="270" t="str">
        <f>IF(D2359="","",VLOOKUP(D2359,契約台帳!$A$3:$L$4986,12,FALSE))</f>
        <v/>
      </c>
      <c r="L2359" s="270" t="str">
        <f>IF(D2359="","",INDEX(製品マスタ!$Q$5:$Q$5002,MATCH(F2359&amp;K2359,製品マスタ!$AO$5:$AO$5002,0)))</f>
        <v/>
      </c>
      <c r="M2359" s="39"/>
      <c r="N2359" s="39"/>
      <c r="O2359" s="47"/>
      <c r="P2359" s="57"/>
      <c r="Q2359" s="276" t="str">
        <f>IF(D2359="","",IF(J2359="リード付け",M2359,VLOOKUP(D2359,契約台帳!$A$3:$N$4986,14,FALSE)))</f>
        <v/>
      </c>
      <c r="R2359" s="277" t="str">
        <f>IF(D2359="","",IF(J2359="リード付け",M2359,VLOOKUP(D2359,契約台帳!$A$3:$O$4986,15,FALSE)))</f>
        <v/>
      </c>
      <c r="S2359" s="277" t="str">
        <f>IF(D2359="","",IF(J2359="リード付け",N2359,VLOOKUP(D2359,契約台帳!$A$3:$P$4986,16,FALSE)))</f>
        <v/>
      </c>
      <c r="T2359" s="40"/>
      <c r="U2359" s="278" t="str">
        <f ca="1">IF(D2359="","",IF(OFFSET(D2359,-2,0)=D2359,"",VLOOKUP(D2359,契約台帳!$A$3:$R$4986,18,FALSE)))</f>
        <v/>
      </c>
      <c r="V2359" s="269" t="e">
        <f>IF(J2359="巻返し",VLOOKUP(F2359&amp;K2359&amp;M2359,製品マスタ!$M$5:$AD$5002,18,FALSE),IF(J2359="リード付け","原反コア",IF(J2359="スリット",VLOOKUP(F2359&amp;K2359&amp;Q2359,製品マスタ!$N$5:$AD$5002,17,FALSE),"")))</f>
        <v>#N/A</v>
      </c>
      <c r="W2359" s="269" t="e">
        <f>IF(J2359="巻返し",VLOOKUP(F2359&amp;K2359&amp;M2359,製品マスタ!$M$5:$AE$5002,19,FALSE),IF(J2359="リード付け","-",IF(J2359="スリット",VLOOKUP(F2359&amp;K2359&amp;Q2359,製品マスタ!$N$5:$AE$5002,18,FALSE),"")))</f>
        <v>#N/A</v>
      </c>
      <c r="X2359" s="275" t="str">
        <f>IF(D2359="","",VLOOKUP(D2359,契約台帳!$A$3:$Q$4986,17,FALSE))</f>
        <v/>
      </c>
      <c r="Y2359" s="269" t="str">
        <f>IF(D2359="","",VLOOKUP(D2359,契約台帳!$A$3:$E$4986,5,FALSE))</f>
        <v/>
      </c>
      <c r="Z2359" s="357"/>
      <c r="AA2359" s="207"/>
      <c r="AB2359" s="369"/>
      <c r="AC2359" s="370"/>
      <c r="AD2359" s="332" t="str">
        <f t="shared" si="9"/>
        <v/>
      </c>
      <c r="AE2359" s="216">
        <f t="shared" si="10"/>
        <v>0</v>
      </c>
      <c r="AF2359" s="43" t="str">
        <f>IF(AD2359="","",VLOOKUP(AD2359,原価マスタ!$A$2:$AJ$1693,13,FALSE))</f>
        <v/>
      </c>
      <c r="AG2359" s="47" t="str">
        <f t="shared" si="11"/>
        <v/>
      </c>
      <c r="AH2359" s="30"/>
      <c r="AI2359" s="30"/>
      <c r="AJ2359" s="30"/>
      <c r="AK2359" s="30"/>
      <c r="AL2359" s="13"/>
      <c r="AM2359" s="13"/>
      <c r="AN2359" s="13"/>
      <c r="AO2359" s="13"/>
      <c r="AP2359" s="13"/>
      <c r="AQ2359" s="14"/>
      <c r="AR2359" s="15"/>
    </row>
    <row r="2360" spans="1:44" s="17" customFormat="1" ht="30.95" customHeight="1" x14ac:dyDescent="0.2">
      <c r="A2360" s="343"/>
      <c r="B2360" s="344"/>
      <c r="C2360" s="345"/>
      <c r="D2360" s="398"/>
      <c r="E2360" s="31"/>
      <c r="F2360" s="268" t="str">
        <f>IF(D2360="","",VLOOKUP(D2360,契約台帳!$A$3:$K$4986,6,FALSE)&amp;VLOOKUP(D2360,契約台帳!$A$3:$K$4986,7,FALSE)&amp;VLOOKUP(D2360,契約台帳!$A$3:$K$4986,8,FALSE)&amp;VLOOKUP(D2360,契約台帳!$A$3:$K$4986,9,FALSE)&amp;VLOOKUP(D2360,契約台帳!$A$3:$K$4986,11,FALSE))</f>
        <v/>
      </c>
      <c r="G2360" s="269" t="str">
        <f>IF(D2360="","",VLOOKUP(F2360,製品マスタ!$G$5:$H$5002,2,FALSE))</f>
        <v/>
      </c>
      <c r="H2360" s="269" t="str">
        <f>IF(D2360="","",VLOOKUP(F2360,製品マスタ!$G$5:$K$5002,5,FALSE))</f>
        <v/>
      </c>
      <c r="I2360" s="270" t="str">
        <f>IF(D2360="","",VLOOKUP(F2360,製品マスタ!$G$5:$L$5002,6,FALSE))</f>
        <v/>
      </c>
      <c r="J2360" s="32" t="s">
        <v>447</v>
      </c>
      <c r="K2360" s="270" t="str">
        <f>IF(D2360="","",VLOOKUP(D2360,契約台帳!$A$3:$L$4986,12,FALSE))</f>
        <v/>
      </c>
      <c r="L2360" s="270" t="str">
        <f>IF(D2360="","",INDEX(製品マスタ!$Q$5:$Q$5002,MATCH(F2360&amp;K2360,製品マスタ!$AO$5:$AO$5002,0)))</f>
        <v/>
      </c>
      <c r="M2360" s="39"/>
      <c r="N2360" s="39"/>
      <c r="O2360" s="47"/>
      <c r="P2360" s="57"/>
      <c r="Q2360" s="276" t="str">
        <f>IF(D2360="","",IF(J2360="リード付け",M2360,VLOOKUP(D2360,契約台帳!$A$3:$N$4986,14,FALSE)))</f>
        <v/>
      </c>
      <c r="R2360" s="277" t="str">
        <f>IF(D2360="","",IF(J2360="リード付け",M2360,VLOOKUP(D2360,契約台帳!$A$3:$O$4986,15,FALSE)))</f>
        <v/>
      </c>
      <c r="S2360" s="277" t="str">
        <f>IF(D2360="","",IF(J2360="リード付け",N2360,VLOOKUP(D2360,契約台帳!$A$3:$P$4986,16,FALSE)))</f>
        <v/>
      </c>
      <c r="T2360" s="40"/>
      <c r="U2360" s="278" t="str">
        <f ca="1">IF(D2360="","",IF(OFFSET(D2360,-2,0)=D2360,"",VLOOKUP(D2360,契約台帳!$A$3:$R$4986,18,FALSE)))</f>
        <v/>
      </c>
      <c r="V2360" s="269" t="e">
        <f>IF(J2360="巻返し",VLOOKUP(F2360&amp;K2360&amp;M2360,製品マスタ!$M$5:$AD$5002,18,FALSE),IF(J2360="リード付け","原反コア",IF(J2360="スリット",VLOOKUP(F2360&amp;K2360&amp;Q2360,製品マスタ!$N$5:$AD$5002,17,FALSE),"")))</f>
        <v>#N/A</v>
      </c>
      <c r="W2360" s="269" t="e">
        <f>IF(J2360="巻返し",VLOOKUP(F2360&amp;K2360&amp;M2360,製品マスタ!$M$5:$AE$5002,19,FALSE),IF(J2360="リード付け","-",IF(J2360="スリット",VLOOKUP(F2360&amp;K2360&amp;Q2360,製品マスタ!$N$5:$AE$5002,18,FALSE),"")))</f>
        <v>#N/A</v>
      </c>
      <c r="X2360" s="275" t="str">
        <f>IF(D2360="","",VLOOKUP(D2360,契約台帳!$A$3:$Q$4986,17,FALSE))</f>
        <v/>
      </c>
      <c r="Y2360" s="269" t="str">
        <f>IF(D2360="","",VLOOKUP(D2360,契約台帳!$A$3:$E$4986,5,FALSE))</f>
        <v/>
      </c>
      <c r="Z2360" s="357"/>
      <c r="AA2360" s="207"/>
      <c r="AB2360" s="369"/>
      <c r="AC2360" s="370"/>
      <c r="AD2360" s="332" t="str">
        <f t="shared" si="9"/>
        <v/>
      </c>
      <c r="AE2360" s="216">
        <f t="shared" si="10"/>
        <v>0</v>
      </c>
      <c r="AF2360" s="43" t="str">
        <f>IF(AD2360="","",VLOOKUP(AD2360,原価マスタ!$A$2:$AJ$1693,13,FALSE))</f>
        <v/>
      </c>
      <c r="AG2360" s="47" t="str">
        <f t="shared" si="11"/>
        <v/>
      </c>
      <c r="AH2360" s="30"/>
      <c r="AI2360" s="30"/>
      <c r="AJ2360" s="30"/>
      <c r="AK2360" s="30"/>
      <c r="AL2360" s="13"/>
      <c r="AM2360" s="13"/>
      <c r="AN2360" s="13"/>
      <c r="AO2360" s="13"/>
      <c r="AP2360" s="13"/>
      <c r="AQ2360" s="14"/>
      <c r="AR2360" s="15"/>
    </row>
    <row r="2361" spans="1:44" s="17" customFormat="1" ht="30.95" customHeight="1" x14ac:dyDescent="0.2">
      <c r="A2361" s="343"/>
      <c r="B2361" s="344"/>
      <c r="C2361" s="345"/>
      <c r="D2361" s="398"/>
      <c r="E2361" s="31"/>
      <c r="F2361" s="268" t="str">
        <f>IF(D2361="","",VLOOKUP(D2361,契約台帳!$A$3:$K$4986,6,FALSE)&amp;VLOOKUP(D2361,契約台帳!$A$3:$K$4986,7,FALSE)&amp;VLOOKUP(D2361,契約台帳!$A$3:$K$4986,8,FALSE)&amp;VLOOKUP(D2361,契約台帳!$A$3:$K$4986,9,FALSE)&amp;VLOOKUP(D2361,契約台帳!$A$3:$K$4986,11,FALSE))</f>
        <v/>
      </c>
      <c r="G2361" s="269" t="str">
        <f>IF(D2361="","",VLOOKUP(F2361,製品マスタ!$G$5:$H$5002,2,FALSE))</f>
        <v/>
      </c>
      <c r="H2361" s="269" t="str">
        <f>IF(D2361="","",VLOOKUP(F2361,製品マスタ!$G$5:$K$5002,5,FALSE))</f>
        <v/>
      </c>
      <c r="I2361" s="270" t="str">
        <f>IF(D2361="","",VLOOKUP(F2361,製品マスタ!$G$5:$L$5002,6,FALSE))</f>
        <v/>
      </c>
      <c r="J2361" s="32" t="s">
        <v>447</v>
      </c>
      <c r="K2361" s="270" t="str">
        <f>IF(D2361="","",VLOOKUP(D2361,契約台帳!$A$3:$L$4986,12,FALSE))</f>
        <v/>
      </c>
      <c r="L2361" s="270" t="str">
        <f>IF(D2361="","",INDEX(製品マスタ!$Q$5:$Q$5002,MATCH(F2361&amp;K2361,製品マスタ!$AO$5:$AO$5002,0)))</f>
        <v/>
      </c>
      <c r="M2361" s="39"/>
      <c r="N2361" s="39"/>
      <c r="O2361" s="47"/>
      <c r="P2361" s="57"/>
      <c r="Q2361" s="276" t="str">
        <f>IF(D2361="","",IF(J2361="リード付け",M2361,VLOOKUP(D2361,契約台帳!$A$3:$N$4986,14,FALSE)))</f>
        <v/>
      </c>
      <c r="R2361" s="277" t="str">
        <f>IF(D2361="","",IF(J2361="リード付け",M2361,VLOOKUP(D2361,契約台帳!$A$3:$O$4986,15,FALSE)))</f>
        <v/>
      </c>
      <c r="S2361" s="277" t="str">
        <f>IF(D2361="","",IF(J2361="リード付け",N2361,VLOOKUP(D2361,契約台帳!$A$3:$P$4986,16,FALSE)))</f>
        <v/>
      </c>
      <c r="T2361" s="40"/>
      <c r="U2361" s="278" t="str">
        <f ca="1">IF(D2361="","",IF(OFFSET(D2361,-2,0)=D2361,"",VLOOKUP(D2361,契約台帳!$A$3:$R$4986,18,FALSE)))</f>
        <v/>
      </c>
      <c r="V2361" s="269" t="e">
        <f>IF(J2361="巻返し",VLOOKUP(F2361&amp;K2361&amp;M2361,製品マスタ!$M$5:$AD$5002,18,FALSE),IF(J2361="リード付け","原反コア",IF(J2361="スリット",VLOOKUP(F2361&amp;K2361&amp;Q2361,製品マスタ!$N$5:$AD$5002,17,FALSE),"")))</f>
        <v>#N/A</v>
      </c>
      <c r="W2361" s="269" t="e">
        <f>IF(J2361="巻返し",VLOOKUP(F2361&amp;K2361&amp;M2361,製品マスタ!$M$5:$AE$5002,19,FALSE),IF(J2361="リード付け","-",IF(J2361="スリット",VLOOKUP(F2361&amp;K2361&amp;Q2361,製品マスタ!$N$5:$AE$5002,18,FALSE),"")))</f>
        <v>#N/A</v>
      </c>
      <c r="X2361" s="275" t="str">
        <f>IF(D2361="","",VLOOKUP(D2361,契約台帳!$A$3:$Q$4986,17,FALSE))</f>
        <v/>
      </c>
      <c r="Y2361" s="269" t="str">
        <f>IF(D2361="","",VLOOKUP(D2361,契約台帳!$A$3:$E$4986,5,FALSE))</f>
        <v/>
      </c>
      <c r="Z2361" s="357"/>
      <c r="AA2361" s="207"/>
      <c r="AB2361" s="369"/>
      <c r="AC2361" s="370"/>
      <c r="AD2361" s="332" t="str">
        <f t="shared" si="9"/>
        <v/>
      </c>
      <c r="AE2361" s="216">
        <f t="shared" si="10"/>
        <v>0</v>
      </c>
      <c r="AF2361" s="43" t="str">
        <f>IF(AD2361="","",VLOOKUP(AD2361,原価マスタ!$A$2:$AJ$1693,13,FALSE))</f>
        <v/>
      </c>
      <c r="AG2361" s="47" t="str">
        <f t="shared" si="11"/>
        <v/>
      </c>
      <c r="AH2361" s="30"/>
      <c r="AI2361" s="30"/>
      <c r="AJ2361" s="30"/>
      <c r="AK2361" s="30"/>
      <c r="AL2361" s="13"/>
      <c r="AM2361" s="13"/>
      <c r="AN2361" s="13"/>
      <c r="AO2361" s="13"/>
      <c r="AP2361" s="13"/>
      <c r="AQ2361" s="14"/>
      <c r="AR2361" s="15"/>
    </row>
    <row r="2362" spans="1:44" s="17" customFormat="1" ht="30.95" customHeight="1" x14ac:dyDescent="0.2">
      <c r="A2362" s="343"/>
      <c r="B2362" s="344"/>
      <c r="C2362" s="345"/>
      <c r="D2362" s="398"/>
      <c r="E2362" s="31"/>
      <c r="F2362" s="268" t="str">
        <f>IF(D2362="","",VLOOKUP(D2362,契約台帳!$A$3:$K$4986,6,FALSE)&amp;VLOOKUP(D2362,契約台帳!$A$3:$K$4986,7,FALSE)&amp;VLOOKUP(D2362,契約台帳!$A$3:$K$4986,8,FALSE)&amp;VLOOKUP(D2362,契約台帳!$A$3:$K$4986,9,FALSE)&amp;VLOOKUP(D2362,契約台帳!$A$3:$K$4986,11,FALSE))</f>
        <v/>
      </c>
      <c r="G2362" s="269" t="str">
        <f>IF(D2362="","",VLOOKUP(F2362,製品マスタ!$G$5:$H$5002,2,FALSE))</f>
        <v/>
      </c>
      <c r="H2362" s="269" t="str">
        <f>IF(D2362="","",VLOOKUP(F2362,製品マスタ!$G$5:$K$5002,5,FALSE))</f>
        <v/>
      </c>
      <c r="I2362" s="270" t="str">
        <f>IF(D2362="","",VLOOKUP(F2362,製品マスタ!$G$5:$L$5002,6,FALSE))</f>
        <v/>
      </c>
      <c r="J2362" s="32" t="s">
        <v>447</v>
      </c>
      <c r="K2362" s="270" t="str">
        <f>IF(D2362="","",VLOOKUP(D2362,契約台帳!$A$3:$L$4986,12,FALSE))</f>
        <v/>
      </c>
      <c r="L2362" s="270" t="str">
        <f>IF(D2362="","",INDEX(製品マスタ!$Q$5:$Q$5002,MATCH(F2362&amp;K2362,製品マスタ!$AO$5:$AO$5002,0)))</f>
        <v/>
      </c>
      <c r="M2362" s="39"/>
      <c r="N2362" s="39"/>
      <c r="O2362" s="47"/>
      <c r="P2362" s="57"/>
      <c r="Q2362" s="276" t="str">
        <f>IF(D2362="","",IF(J2362="リード付け",M2362,VLOOKUP(D2362,契約台帳!$A$3:$N$4986,14,FALSE)))</f>
        <v/>
      </c>
      <c r="R2362" s="277" t="str">
        <f>IF(D2362="","",IF(J2362="リード付け",M2362,VLOOKUP(D2362,契約台帳!$A$3:$O$4986,15,FALSE)))</f>
        <v/>
      </c>
      <c r="S2362" s="277" t="str">
        <f>IF(D2362="","",IF(J2362="リード付け",N2362,VLOOKUP(D2362,契約台帳!$A$3:$P$4986,16,FALSE)))</f>
        <v/>
      </c>
      <c r="T2362" s="40"/>
      <c r="U2362" s="278" t="str">
        <f ca="1">IF(D2362="","",IF(OFFSET(D2362,-2,0)=D2362,"",VLOOKUP(D2362,契約台帳!$A$3:$R$4986,18,FALSE)))</f>
        <v/>
      </c>
      <c r="V2362" s="269" t="e">
        <f>IF(J2362="巻返し",VLOOKUP(F2362&amp;K2362&amp;M2362,製品マスタ!$M$5:$AD$5002,18,FALSE),IF(J2362="リード付け","原反コア",IF(J2362="スリット",VLOOKUP(F2362&amp;K2362&amp;Q2362,製品マスタ!$N$5:$AD$5002,17,FALSE),"")))</f>
        <v>#N/A</v>
      </c>
      <c r="W2362" s="269" t="e">
        <f>IF(J2362="巻返し",VLOOKUP(F2362&amp;K2362&amp;M2362,製品マスタ!$M$5:$AE$5002,19,FALSE),IF(J2362="リード付け","-",IF(J2362="スリット",VLOOKUP(F2362&amp;K2362&amp;Q2362,製品マスタ!$N$5:$AE$5002,18,FALSE),"")))</f>
        <v>#N/A</v>
      </c>
      <c r="X2362" s="275" t="str">
        <f>IF(D2362="","",VLOOKUP(D2362,契約台帳!$A$3:$Q$4986,17,FALSE))</f>
        <v/>
      </c>
      <c r="Y2362" s="269" t="str">
        <f>IF(D2362="","",VLOOKUP(D2362,契約台帳!$A$3:$E$4986,5,FALSE))</f>
        <v/>
      </c>
      <c r="Z2362" s="357"/>
      <c r="AA2362" s="207"/>
      <c r="AB2362" s="369"/>
      <c r="AC2362" s="370"/>
      <c r="AD2362" s="332" t="str">
        <f t="shared" si="9"/>
        <v/>
      </c>
      <c r="AE2362" s="216">
        <f t="shared" si="10"/>
        <v>0</v>
      </c>
      <c r="AF2362" s="43" t="str">
        <f>IF(AD2362="","",VLOOKUP(AD2362,原価マスタ!$A$2:$AJ$1693,13,FALSE))</f>
        <v/>
      </c>
      <c r="AG2362" s="47" t="str">
        <f t="shared" si="11"/>
        <v/>
      </c>
      <c r="AH2362" s="30"/>
      <c r="AI2362" s="30"/>
      <c r="AJ2362" s="30"/>
      <c r="AK2362" s="30"/>
      <c r="AL2362" s="13"/>
      <c r="AM2362" s="13"/>
      <c r="AN2362" s="13"/>
      <c r="AO2362" s="13"/>
      <c r="AP2362" s="13"/>
      <c r="AQ2362" s="14"/>
      <c r="AR2362" s="15"/>
    </row>
    <row r="2363" spans="1:44" s="17" customFormat="1" ht="30.95" customHeight="1" x14ac:dyDescent="0.2">
      <c r="A2363" s="343"/>
      <c r="B2363" s="344"/>
      <c r="C2363" s="345"/>
      <c r="D2363" s="398"/>
      <c r="E2363" s="31"/>
      <c r="F2363" s="268" t="str">
        <f>IF(D2363="","",VLOOKUP(D2363,契約台帳!$A$3:$K$4986,6,FALSE)&amp;VLOOKUP(D2363,契約台帳!$A$3:$K$4986,7,FALSE)&amp;VLOOKUP(D2363,契約台帳!$A$3:$K$4986,8,FALSE)&amp;VLOOKUP(D2363,契約台帳!$A$3:$K$4986,9,FALSE)&amp;VLOOKUP(D2363,契約台帳!$A$3:$K$4986,11,FALSE))</f>
        <v/>
      </c>
      <c r="G2363" s="269" t="str">
        <f>IF(D2363="","",VLOOKUP(F2363,製品マスタ!$G$5:$H$5002,2,FALSE))</f>
        <v/>
      </c>
      <c r="H2363" s="269" t="str">
        <f>IF(D2363="","",VLOOKUP(F2363,製品マスタ!$G$5:$K$5002,5,FALSE))</f>
        <v/>
      </c>
      <c r="I2363" s="270" t="str">
        <f>IF(D2363="","",VLOOKUP(F2363,製品マスタ!$G$5:$L$5002,6,FALSE))</f>
        <v/>
      </c>
      <c r="J2363" s="32" t="s">
        <v>447</v>
      </c>
      <c r="K2363" s="270" t="str">
        <f>IF(D2363="","",VLOOKUP(D2363,契約台帳!$A$3:$L$4986,12,FALSE))</f>
        <v/>
      </c>
      <c r="L2363" s="270" t="str">
        <f>IF(D2363="","",INDEX(製品マスタ!$Q$5:$Q$5002,MATCH(F2363&amp;K2363,製品マスタ!$AO$5:$AO$5002,0)))</f>
        <v/>
      </c>
      <c r="M2363" s="39"/>
      <c r="N2363" s="39"/>
      <c r="O2363" s="47"/>
      <c r="P2363" s="57"/>
      <c r="Q2363" s="276" t="str">
        <f>IF(D2363="","",IF(J2363="リード付け",M2363,VLOOKUP(D2363,契約台帳!$A$3:$N$4986,14,FALSE)))</f>
        <v/>
      </c>
      <c r="R2363" s="277" t="str">
        <f>IF(D2363="","",IF(J2363="リード付け",M2363,VLOOKUP(D2363,契約台帳!$A$3:$O$4986,15,FALSE)))</f>
        <v/>
      </c>
      <c r="S2363" s="277" t="str">
        <f>IF(D2363="","",IF(J2363="リード付け",N2363,VLOOKUP(D2363,契約台帳!$A$3:$P$4986,16,FALSE)))</f>
        <v/>
      </c>
      <c r="T2363" s="40"/>
      <c r="U2363" s="278" t="str">
        <f ca="1">IF(D2363="","",IF(OFFSET(D2363,-2,0)=D2363,"",VLOOKUP(D2363,契約台帳!$A$3:$R$4986,18,FALSE)))</f>
        <v/>
      </c>
      <c r="V2363" s="269" t="e">
        <f>IF(J2363="巻返し",VLOOKUP(F2363&amp;K2363&amp;M2363,製品マスタ!$M$5:$AD$5002,18,FALSE),IF(J2363="リード付け","原反コア",IF(J2363="スリット",VLOOKUP(F2363&amp;K2363&amp;Q2363,製品マスタ!$N$5:$AD$5002,17,FALSE),"")))</f>
        <v>#N/A</v>
      </c>
      <c r="W2363" s="269" t="e">
        <f>IF(J2363="巻返し",VLOOKUP(F2363&amp;K2363&amp;M2363,製品マスタ!$M$5:$AE$5002,19,FALSE),IF(J2363="リード付け","-",IF(J2363="スリット",VLOOKUP(F2363&amp;K2363&amp;Q2363,製品マスタ!$N$5:$AE$5002,18,FALSE),"")))</f>
        <v>#N/A</v>
      </c>
      <c r="X2363" s="275" t="str">
        <f>IF(D2363="","",VLOOKUP(D2363,契約台帳!$A$3:$Q$4986,17,FALSE))</f>
        <v/>
      </c>
      <c r="Y2363" s="269" t="str">
        <f>IF(D2363="","",VLOOKUP(D2363,契約台帳!$A$3:$E$4986,5,FALSE))</f>
        <v/>
      </c>
      <c r="Z2363" s="357"/>
      <c r="AA2363" s="207"/>
      <c r="AB2363" s="369"/>
      <c r="AC2363" s="370"/>
      <c r="AD2363" s="332" t="str">
        <f t="shared" si="9"/>
        <v/>
      </c>
      <c r="AE2363" s="216">
        <f t="shared" si="10"/>
        <v>0</v>
      </c>
      <c r="AF2363" s="43" t="str">
        <f>IF(AD2363="","",VLOOKUP(AD2363,原価マスタ!$A$2:$AJ$1693,13,FALSE))</f>
        <v/>
      </c>
      <c r="AG2363" s="47" t="str">
        <f t="shared" si="11"/>
        <v/>
      </c>
      <c r="AH2363" s="30"/>
      <c r="AI2363" s="30"/>
      <c r="AJ2363" s="30"/>
      <c r="AK2363" s="30"/>
      <c r="AL2363" s="13"/>
      <c r="AM2363" s="13"/>
      <c r="AN2363" s="13"/>
      <c r="AO2363" s="13"/>
      <c r="AP2363" s="13"/>
      <c r="AQ2363" s="14"/>
      <c r="AR2363" s="15"/>
    </row>
    <row r="2364" spans="1:44" s="17" customFormat="1" ht="30.95" customHeight="1" x14ac:dyDescent="0.2">
      <c r="A2364" s="343"/>
      <c r="B2364" s="344"/>
      <c r="C2364" s="345"/>
      <c r="D2364" s="398"/>
      <c r="E2364" s="31"/>
      <c r="F2364" s="268" t="str">
        <f>IF(D2364="","",VLOOKUP(D2364,契約台帳!$A$3:$K$4986,6,FALSE)&amp;VLOOKUP(D2364,契約台帳!$A$3:$K$4986,7,FALSE)&amp;VLOOKUP(D2364,契約台帳!$A$3:$K$4986,8,FALSE)&amp;VLOOKUP(D2364,契約台帳!$A$3:$K$4986,9,FALSE)&amp;VLOOKUP(D2364,契約台帳!$A$3:$K$4986,11,FALSE))</f>
        <v/>
      </c>
      <c r="G2364" s="269" t="str">
        <f>IF(D2364="","",VLOOKUP(F2364,製品マスタ!$G$5:$H$5002,2,FALSE))</f>
        <v/>
      </c>
      <c r="H2364" s="269" t="str">
        <f>IF(D2364="","",VLOOKUP(F2364,製品マスタ!$G$5:$K$5002,5,FALSE))</f>
        <v/>
      </c>
      <c r="I2364" s="270" t="str">
        <f>IF(D2364="","",VLOOKUP(F2364,製品マスタ!$G$5:$L$5002,6,FALSE))</f>
        <v/>
      </c>
      <c r="J2364" s="32" t="s">
        <v>447</v>
      </c>
      <c r="K2364" s="270" t="str">
        <f>IF(D2364="","",VLOOKUP(D2364,契約台帳!$A$3:$L$4986,12,FALSE))</f>
        <v/>
      </c>
      <c r="L2364" s="270" t="str">
        <f>IF(D2364="","",INDEX(製品マスタ!$Q$5:$Q$5002,MATCH(F2364&amp;K2364,製品マスタ!$AO$5:$AO$5002,0)))</f>
        <v/>
      </c>
      <c r="M2364" s="39"/>
      <c r="N2364" s="39"/>
      <c r="O2364" s="47"/>
      <c r="P2364" s="57"/>
      <c r="Q2364" s="276" t="str">
        <f>IF(D2364="","",IF(J2364="リード付け",M2364,VLOOKUP(D2364,契約台帳!$A$3:$N$4986,14,FALSE)))</f>
        <v/>
      </c>
      <c r="R2364" s="277" t="str">
        <f>IF(D2364="","",IF(J2364="リード付け",M2364,VLOOKUP(D2364,契約台帳!$A$3:$O$4986,15,FALSE)))</f>
        <v/>
      </c>
      <c r="S2364" s="277" t="str">
        <f>IF(D2364="","",IF(J2364="リード付け",N2364,VLOOKUP(D2364,契約台帳!$A$3:$P$4986,16,FALSE)))</f>
        <v/>
      </c>
      <c r="T2364" s="40"/>
      <c r="U2364" s="278" t="str">
        <f ca="1">IF(D2364="","",IF(OFFSET(D2364,-2,0)=D2364,"",VLOOKUP(D2364,契約台帳!$A$3:$R$4986,18,FALSE)))</f>
        <v/>
      </c>
      <c r="V2364" s="269" t="e">
        <f>IF(J2364="巻返し",VLOOKUP(F2364&amp;K2364&amp;M2364,製品マスタ!$M$5:$AD$5002,18,FALSE),IF(J2364="リード付け","原反コア",IF(J2364="スリット",VLOOKUP(F2364&amp;K2364&amp;Q2364,製品マスタ!$N$5:$AD$5002,17,FALSE),"")))</f>
        <v>#N/A</v>
      </c>
      <c r="W2364" s="269" t="e">
        <f>IF(J2364="巻返し",VLOOKUP(F2364&amp;K2364&amp;M2364,製品マスタ!$M$5:$AE$5002,19,FALSE),IF(J2364="リード付け","-",IF(J2364="スリット",VLOOKUP(F2364&amp;K2364&amp;Q2364,製品マスタ!$N$5:$AE$5002,18,FALSE),"")))</f>
        <v>#N/A</v>
      </c>
      <c r="X2364" s="275" t="str">
        <f>IF(D2364="","",VLOOKUP(D2364,契約台帳!$A$3:$Q$4986,17,FALSE))</f>
        <v/>
      </c>
      <c r="Y2364" s="269" t="str">
        <f>IF(D2364="","",VLOOKUP(D2364,契約台帳!$A$3:$E$4986,5,FALSE))</f>
        <v/>
      </c>
      <c r="Z2364" s="357"/>
      <c r="AA2364" s="207"/>
      <c r="AB2364" s="369"/>
      <c r="AC2364" s="370"/>
      <c r="AD2364" s="332" t="str">
        <f t="shared" si="9"/>
        <v/>
      </c>
      <c r="AE2364" s="216">
        <f t="shared" si="10"/>
        <v>0</v>
      </c>
      <c r="AF2364" s="43" t="str">
        <f>IF(AD2364="","",VLOOKUP(AD2364,原価マスタ!$A$2:$AJ$1693,13,FALSE))</f>
        <v/>
      </c>
      <c r="AG2364" s="47" t="str">
        <f t="shared" si="11"/>
        <v/>
      </c>
      <c r="AH2364" s="30"/>
      <c r="AI2364" s="30"/>
      <c r="AJ2364" s="30"/>
      <c r="AK2364" s="30"/>
      <c r="AL2364" s="13"/>
      <c r="AM2364" s="13"/>
      <c r="AN2364" s="13"/>
      <c r="AO2364" s="13"/>
      <c r="AP2364" s="13"/>
      <c r="AQ2364" s="14"/>
      <c r="AR2364" s="15"/>
    </row>
    <row r="2365" spans="1:44" s="17" customFormat="1" ht="30.95" customHeight="1" x14ac:dyDescent="0.2">
      <c r="A2365" s="343"/>
      <c r="B2365" s="344"/>
      <c r="C2365" s="345"/>
      <c r="D2365" s="398"/>
      <c r="E2365" s="31"/>
      <c r="F2365" s="268" t="str">
        <f>IF(D2365="","",VLOOKUP(D2365,契約台帳!$A$3:$K$4986,6,FALSE)&amp;VLOOKUP(D2365,契約台帳!$A$3:$K$4986,7,FALSE)&amp;VLOOKUP(D2365,契約台帳!$A$3:$K$4986,8,FALSE)&amp;VLOOKUP(D2365,契約台帳!$A$3:$K$4986,9,FALSE)&amp;VLOOKUP(D2365,契約台帳!$A$3:$K$4986,11,FALSE))</f>
        <v/>
      </c>
      <c r="G2365" s="269" t="str">
        <f>IF(D2365="","",VLOOKUP(F2365,製品マスタ!$G$5:$H$5002,2,FALSE))</f>
        <v/>
      </c>
      <c r="H2365" s="269" t="str">
        <f>IF(D2365="","",VLOOKUP(F2365,製品マスタ!$G$5:$K$5002,5,FALSE))</f>
        <v/>
      </c>
      <c r="I2365" s="270" t="str">
        <f>IF(D2365="","",VLOOKUP(F2365,製品マスタ!$G$5:$L$5002,6,FALSE))</f>
        <v/>
      </c>
      <c r="J2365" s="32" t="s">
        <v>447</v>
      </c>
      <c r="K2365" s="270" t="str">
        <f>IF(D2365="","",VLOOKUP(D2365,契約台帳!$A$3:$L$4986,12,FALSE))</f>
        <v/>
      </c>
      <c r="L2365" s="270" t="str">
        <f>IF(D2365="","",INDEX(製品マスタ!$Q$5:$Q$5002,MATCH(F2365&amp;K2365,製品マスタ!$AO$5:$AO$5002,0)))</f>
        <v/>
      </c>
      <c r="M2365" s="39"/>
      <c r="N2365" s="39"/>
      <c r="O2365" s="47"/>
      <c r="P2365" s="57"/>
      <c r="Q2365" s="276" t="str">
        <f>IF(D2365="","",IF(J2365="リード付け",M2365,VLOOKUP(D2365,契約台帳!$A$3:$N$4986,14,FALSE)))</f>
        <v/>
      </c>
      <c r="R2365" s="277" t="str">
        <f>IF(D2365="","",IF(J2365="リード付け",M2365,VLOOKUP(D2365,契約台帳!$A$3:$O$4986,15,FALSE)))</f>
        <v/>
      </c>
      <c r="S2365" s="277" t="str">
        <f>IF(D2365="","",IF(J2365="リード付け",N2365,VLOOKUP(D2365,契約台帳!$A$3:$P$4986,16,FALSE)))</f>
        <v/>
      </c>
      <c r="T2365" s="40"/>
      <c r="U2365" s="278" t="str">
        <f ca="1">IF(D2365="","",IF(OFFSET(D2365,-2,0)=D2365,"",VLOOKUP(D2365,契約台帳!$A$3:$R$4986,18,FALSE)))</f>
        <v/>
      </c>
      <c r="V2365" s="269" t="e">
        <f>IF(J2365="巻返し",VLOOKUP(F2365&amp;K2365&amp;M2365,製品マスタ!$M$5:$AD$5002,18,FALSE),IF(J2365="リード付け","原反コア",IF(J2365="スリット",VLOOKUP(F2365&amp;K2365&amp;Q2365,製品マスタ!$N$5:$AD$5002,17,FALSE),"")))</f>
        <v>#N/A</v>
      </c>
      <c r="W2365" s="269" t="e">
        <f>IF(J2365="巻返し",VLOOKUP(F2365&amp;K2365&amp;M2365,製品マスタ!$M$5:$AE$5002,19,FALSE),IF(J2365="リード付け","-",IF(J2365="スリット",VLOOKUP(F2365&amp;K2365&amp;Q2365,製品マスタ!$N$5:$AE$5002,18,FALSE),"")))</f>
        <v>#N/A</v>
      </c>
      <c r="X2365" s="275" t="str">
        <f>IF(D2365="","",VLOOKUP(D2365,契約台帳!$A$3:$Q$4986,17,FALSE))</f>
        <v/>
      </c>
      <c r="Y2365" s="269" t="str">
        <f>IF(D2365="","",VLOOKUP(D2365,契約台帳!$A$3:$E$4986,5,FALSE))</f>
        <v/>
      </c>
      <c r="Z2365" s="357"/>
      <c r="AA2365" s="207"/>
      <c r="AB2365" s="369"/>
      <c r="AC2365" s="370"/>
      <c r="AD2365" s="332" t="str">
        <f t="shared" si="9"/>
        <v/>
      </c>
      <c r="AE2365" s="216">
        <f t="shared" si="10"/>
        <v>0</v>
      </c>
      <c r="AF2365" s="43" t="str">
        <f>IF(AD2365="","",VLOOKUP(AD2365,原価マスタ!$A$2:$AJ$1693,13,FALSE))</f>
        <v/>
      </c>
      <c r="AG2365" s="47" t="str">
        <f t="shared" si="11"/>
        <v/>
      </c>
      <c r="AH2365" s="30"/>
      <c r="AI2365" s="30"/>
      <c r="AJ2365" s="30"/>
      <c r="AK2365" s="30"/>
      <c r="AL2365" s="13"/>
      <c r="AM2365" s="13"/>
      <c r="AN2365" s="13"/>
      <c r="AO2365" s="13"/>
      <c r="AP2365" s="13"/>
      <c r="AQ2365" s="14"/>
      <c r="AR2365" s="15"/>
    </row>
    <row r="2366" spans="1:44" s="17" customFormat="1" ht="30.95" customHeight="1" x14ac:dyDescent="0.2">
      <c r="A2366" s="343"/>
      <c r="B2366" s="344"/>
      <c r="C2366" s="345"/>
      <c r="D2366" s="398"/>
      <c r="E2366" s="31"/>
      <c r="F2366" s="268" t="str">
        <f>IF(D2366="","",VLOOKUP(D2366,契約台帳!$A$3:$K$4986,6,FALSE)&amp;VLOOKUP(D2366,契約台帳!$A$3:$K$4986,7,FALSE)&amp;VLOOKUP(D2366,契約台帳!$A$3:$K$4986,8,FALSE)&amp;VLOOKUP(D2366,契約台帳!$A$3:$K$4986,9,FALSE)&amp;VLOOKUP(D2366,契約台帳!$A$3:$K$4986,11,FALSE))</f>
        <v/>
      </c>
      <c r="G2366" s="269" t="str">
        <f>IF(D2366="","",VLOOKUP(F2366,製品マスタ!$G$5:$H$5002,2,FALSE))</f>
        <v/>
      </c>
      <c r="H2366" s="269" t="str">
        <f>IF(D2366="","",VLOOKUP(F2366,製品マスタ!$G$5:$K$5002,5,FALSE))</f>
        <v/>
      </c>
      <c r="I2366" s="270" t="str">
        <f>IF(D2366="","",VLOOKUP(F2366,製品マスタ!$G$5:$L$5002,6,FALSE))</f>
        <v/>
      </c>
      <c r="J2366" s="32" t="s">
        <v>447</v>
      </c>
      <c r="K2366" s="270" t="str">
        <f>IF(D2366="","",VLOOKUP(D2366,契約台帳!$A$3:$L$4986,12,FALSE))</f>
        <v/>
      </c>
      <c r="L2366" s="270" t="str">
        <f>IF(D2366="","",INDEX(製品マスタ!$Q$5:$Q$5002,MATCH(F2366&amp;K2366,製品マスタ!$AO$5:$AO$5002,0)))</f>
        <v/>
      </c>
      <c r="M2366" s="39"/>
      <c r="N2366" s="39"/>
      <c r="O2366" s="47"/>
      <c r="P2366" s="57"/>
      <c r="Q2366" s="276" t="str">
        <f>IF(D2366="","",IF(J2366="リード付け",M2366,VLOOKUP(D2366,契約台帳!$A$3:$N$4986,14,FALSE)))</f>
        <v/>
      </c>
      <c r="R2366" s="277" t="str">
        <f>IF(D2366="","",IF(J2366="リード付け",M2366,VLOOKUP(D2366,契約台帳!$A$3:$O$4986,15,FALSE)))</f>
        <v/>
      </c>
      <c r="S2366" s="277" t="str">
        <f>IF(D2366="","",IF(J2366="リード付け",N2366,VLOOKUP(D2366,契約台帳!$A$3:$P$4986,16,FALSE)))</f>
        <v/>
      </c>
      <c r="T2366" s="40"/>
      <c r="U2366" s="278" t="str">
        <f ca="1">IF(D2366="","",IF(OFFSET(D2366,-2,0)=D2366,"",VLOOKUP(D2366,契約台帳!$A$3:$R$4986,18,FALSE)))</f>
        <v/>
      </c>
      <c r="V2366" s="269" t="e">
        <f>IF(J2366="巻返し",VLOOKUP(F2366&amp;K2366&amp;M2366,製品マスタ!$M$5:$AD$5002,18,FALSE),IF(J2366="リード付け","原反コア",IF(J2366="スリット",VLOOKUP(F2366&amp;K2366&amp;Q2366,製品マスタ!$N$5:$AD$5002,17,FALSE),"")))</f>
        <v>#N/A</v>
      </c>
      <c r="W2366" s="269" t="e">
        <f>IF(J2366="巻返し",VLOOKUP(F2366&amp;K2366&amp;M2366,製品マスタ!$M$5:$AE$5002,19,FALSE),IF(J2366="リード付け","-",IF(J2366="スリット",VLOOKUP(F2366&amp;K2366&amp;Q2366,製品マスタ!$N$5:$AE$5002,18,FALSE),"")))</f>
        <v>#N/A</v>
      </c>
      <c r="X2366" s="275" t="str">
        <f>IF(D2366="","",VLOOKUP(D2366,契約台帳!$A$3:$Q$4986,17,FALSE))</f>
        <v/>
      </c>
      <c r="Y2366" s="269" t="str">
        <f>IF(D2366="","",VLOOKUP(D2366,契約台帳!$A$3:$E$4986,5,FALSE))</f>
        <v/>
      </c>
      <c r="Z2366" s="357"/>
      <c r="AA2366" s="207"/>
      <c r="AB2366" s="369"/>
      <c r="AC2366" s="370"/>
      <c r="AD2366" s="332" t="str">
        <f t="shared" si="9"/>
        <v/>
      </c>
      <c r="AE2366" s="216">
        <f t="shared" si="10"/>
        <v>0</v>
      </c>
      <c r="AF2366" s="43" t="str">
        <f>IF(AD2366="","",VLOOKUP(AD2366,原価マスタ!$A$2:$AJ$1693,13,FALSE))</f>
        <v/>
      </c>
      <c r="AG2366" s="47" t="str">
        <f t="shared" si="11"/>
        <v/>
      </c>
      <c r="AH2366" s="30"/>
      <c r="AI2366" s="30"/>
      <c r="AJ2366" s="30"/>
      <c r="AK2366" s="30"/>
      <c r="AL2366" s="13"/>
      <c r="AM2366" s="13"/>
      <c r="AN2366" s="13"/>
      <c r="AO2366" s="13"/>
      <c r="AP2366" s="13"/>
      <c r="AQ2366" s="14"/>
      <c r="AR2366" s="15"/>
    </row>
    <row r="2367" spans="1:44" s="17" customFormat="1" ht="30.95" customHeight="1" x14ac:dyDescent="0.2">
      <c r="A2367" s="343"/>
      <c r="B2367" s="344"/>
      <c r="C2367" s="345"/>
      <c r="D2367" s="398"/>
      <c r="E2367" s="31"/>
      <c r="F2367" s="268" t="str">
        <f>IF(D2367="","",VLOOKUP(D2367,契約台帳!$A$3:$K$4986,6,FALSE)&amp;VLOOKUP(D2367,契約台帳!$A$3:$K$4986,7,FALSE)&amp;VLOOKUP(D2367,契約台帳!$A$3:$K$4986,8,FALSE)&amp;VLOOKUP(D2367,契約台帳!$A$3:$K$4986,9,FALSE)&amp;VLOOKUP(D2367,契約台帳!$A$3:$K$4986,11,FALSE))</f>
        <v/>
      </c>
      <c r="G2367" s="269" t="str">
        <f>IF(D2367="","",VLOOKUP(F2367,製品マスタ!$G$5:$H$5002,2,FALSE))</f>
        <v/>
      </c>
      <c r="H2367" s="269" t="str">
        <f>IF(D2367="","",VLOOKUP(F2367,製品マスタ!$G$5:$K$5002,5,FALSE))</f>
        <v/>
      </c>
      <c r="I2367" s="270" t="str">
        <f>IF(D2367="","",VLOOKUP(F2367,製品マスタ!$G$5:$L$5002,6,FALSE))</f>
        <v/>
      </c>
      <c r="J2367" s="32" t="s">
        <v>447</v>
      </c>
      <c r="K2367" s="270" t="str">
        <f>IF(D2367="","",VLOOKUP(D2367,契約台帳!$A$3:$L$4986,12,FALSE))</f>
        <v/>
      </c>
      <c r="L2367" s="270" t="str">
        <f>IF(D2367="","",INDEX(製品マスタ!$Q$5:$Q$5002,MATCH(F2367&amp;K2367,製品マスタ!$AO$5:$AO$5002,0)))</f>
        <v/>
      </c>
      <c r="M2367" s="39"/>
      <c r="N2367" s="39"/>
      <c r="O2367" s="47"/>
      <c r="P2367" s="57"/>
      <c r="Q2367" s="276" t="str">
        <f>IF(D2367="","",IF(J2367="リード付け",M2367,VLOOKUP(D2367,契約台帳!$A$3:$N$4986,14,FALSE)))</f>
        <v/>
      </c>
      <c r="R2367" s="277" t="str">
        <f>IF(D2367="","",IF(J2367="リード付け",M2367,VLOOKUP(D2367,契約台帳!$A$3:$O$4986,15,FALSE)))</f>
        <v/>
      </c>
      <c r="S2367" s="277" t="str">
        <f>IF(D2367="","",IF(J2367="リード付け",N2367,VLOOKUP(D2367,契約台帳!$A$3:$P$4986,16,FALSE)))</f>
        <v/>
      </c>
      <c r="T2367" s="40"/>
      <c r="U2367" s="278" t="str">
        <f ca="1">IF(D2367="","",IF(OFFSET(D2367,-2,0)=D2367,"",VLOOKUP(D2367,契約台帳!$A$3:$R$4986,18,FALSE)))</f>
        <v/>
      </c>
      <c r="V2367" s="269" t="e">
        <f>IF(J2367="巻返し",VLOOKUP(F2367&amp;K2367&amp;M2367,製品マスタ!$M$5:$AD$5002,18,FALSE),IF(J2367="リード付け","原反コア",IF(J2367="スリット",VLOOKUP(F2367&amp;K2367&amp;Q2367,製品マスタ!$N$5:$AD$5002,17,FALSE),"")))</f>
        <v>#N/A</v>
      </c>
      <c r="W2367" s="269" t="e">
        <f>IF(J2367="巻返し",VLOOKUP(F2367&amp;K2367&amp;M2367,製品マスタ!$M$5:$AE$5002,19,FALSE),IF(J2367="リード付け","-",IF(J2367="スリット",VLOOKUP(F2367&amp;K2367&amp;Q2367,製品マスタ!$N$5:$AE$5002,18,FALSE),"")))</f>
        <v>#N/A</v>
      </c>
      <c r="X2367" s="275" t="str">
        <f>IF(D2367="","",VLOOKUP(D2367,契約台帳!$A$3:$Q$4986,17,FALSE))</f>
        <v/>
      </c>
      <c r="Y2367" s="269" t="str">
        <f>IF(D2367="","",VLOOKUP(D2367,契約台帳!$A$3:$E$4986,5,FALSE))</f>
        <v/>
      </c>
      <c r="Z2367" s="357"/>
      <c r="AA2367" s="207"/>
      <c r="AB2367" s="369"/>
      <c r="AC2367" s="370"/>
      <c r="AD2367" s="332" t="str">
        <f t="shared" si="9"/>
        <v/>
      </c>
      <c r="AE2367" s="216">
        <f t="shared" si="10"/>
        <v>0</v>
      </c>
      <c r="AF2367" s="43" t="str">
        <f>IF(AD2367="","",VLOOKUP(AD2367,原価マスタ!$A$2:$AJ$1693,13,FALSE))</f>
        <v/>
      </c>
      <c r="AG2367" s="47" t="str">
        <f t="shared" si="11"/>
        <v/>
      </c>
      <c r="AH2367" s="30"/>
      <c r="AI2367" s="30"/>
      <c r="AJ2367" s="30"/>
      <c r="AK2367" s="30"/>
      <c r="AL2367" s="13"/>
      <c r="AM2367" s="13"/>
      <c r="AN2367" s="13"/>
      <c r="AO2367" s="13"/>
      <c r="AP2367" s="13"/>
      <c r="AQ2367" s="14"/>
      <c r="AR2367" s="15"/>
    </row>
    <row r="2368" spans="1:44" s="17" customFormat="1" ht="30.95" customHeight="1" x14ac:dyDescent="0.2">
      <c r="A2368" s="343"/>
      <c r="B2368" s="344"/>
      <c r="C2368" s="345"/>
      <c r="D2368" s="398"/>
      <c r="E2368" s="31"/>
      <c r="F2368" s="268" t="str">
        <f>IF(D2368="","",VLOOKUP(D2368,契約台帳!$A$3:$K$4986,6,FALSE)&amp;VLOOKUP(D2368,契約台帳!$A$3:$K$4986,7,FALSE)&amp;VLOOKUP(D2368,契約台帳!$A$3:$K$4986,8,FALSE)&amp;VLOOKUP(D2368,契約台帳!$A$3:$K$4986,9,FALSE)&amp;VLOOKUP(D2368,契約台帳!$A$3:$K$4986,11,FALSE))</f>
        <v/>
      </c>
      <c r="G2368" s="269" t="str">
        <f>IF(D2368="","",VLOOKUP(F2368,製品マスタ!$G$5:$H$5002,2,FALSE))</f>
        <v/>
      </c>
      <c r="H2368" s="269" t="str">
        <f>IF(D2368="","",VLOOKUP(F2368,製品マスタ!$G$5:$K$5002,5,FALSE))</f>
        <v/>
      </c>
      <c r="I2368" s="270" t="str">
        <f>IF(D2368="","",VLOOKUP(F2368,製品マスタ!$G$5:$L$5002,6,FALSE))</f>
        <v/>
      </c>
      <c r="J2368" s="32" t="s">
        <v>447</v>
      </c>
      <c r="K2368" s="270" t="str">
        <f>IF(D2368="","",VLOOKUP(D2368,契約台帳!$A$3:$L$4986,12,FALSE))</f>
        <v/>
      </c>
      <c r="L2368" s="270" t="str">
        <f>IF(D2368="","",INDEX(製品マスタ!$Q$5:$Q$5002,MATCH(F2368&amp;K2368,製品マスタ!$AO$5:$AO$5002,0)))</f>
        <v/>
      </c>
      <c r="M2368" s="39"/>
      <c r="N2368" s="39"/>
      <c r="O2368" s="47"/>
      <c r="P2368" s="57"/>
      <c r="Q2368" s="276" t="str">
        <f>IF(D2368="","",IF(J2368="リード付け",M2368,VLOOKUP(D2368,契約台帳!$A$3:$N$4986,14,FALSE)))</f>
        <v/>
      </c>
      <c r="R2368" s="277" t="str">
        <f>IF(D2368="","",IF(J2368="リード付け",M2368,VLOOKUP(D2368,契約台帳!$A$3:$O$4986,15,FALSE)))</f>
        <v/>
      </c>
      <c r="S2368" s="277" t="str">
        <f>IF(D2368="","",IF(J2368="リード付け",N2368,VLOOKUP(D2368,契約台帳!$A$3:$P$4986,16,FALSE)))</f>
        <v/>
      </c>
      <c r="T2368" s="40"/>
      <c r="U2368" s="278" t="str">
        <f ca="1">IF(D2368="","",IF(OFFSET(D2368,-2,0)=D2368,"",VLOOKUP(D2368,契約台帳!$A$3:$R$4986,18,FALSE)))</f>
        <v/>
      </c>
      <c r="V2368" s="269" t="e">
        <f>IF(J2368="巻返し",VLOOKUP(F2368&amp;K2368&amp;M2368,製品マスタ!$M$5:$AD$5002,18,FALSE),IF(J2368="リード付け","原反コア",IF(J2368="スリット",VLOOKUP(F2368&amp;K2368&amp;Q2368,製品マスタ!$N$5:$AD$5002,17,FALSE),"")))</f>
        <v>#N/A</v>
      </c>
      <c r="W2368" s="269" t="e">
        <f>IF(J2368="巻返し",VLOOKUP(F2368&amp;K2368&amp;M2368,製品マスタ!$M$5:$AE$5002,19,FALSE),IF(J2368="リード付け","-",IF(J2368="スリット",VLOOKUP(F2368&amp;K2368&amp;Q2368,製品マスタ!$N$5:$AE$5002,18,FALSE),"")))</f>
        <v>#N/A</v>
      </c>
      <c r="X2368" s="275" t="str">
        <f>IF(D2368="","",VLOOKUP(D2368,契約台帳!$A$3:$Q$4986,17,FALSE))</f>
        <v/>
      </c>
      <c r="Y2368" s="269" t="str">
        <f>IF(D2368="","",VLOOKUP(D2368,契約台帳!$A$3:$E$4986,5,FALSE))</f>
        <v/>
      </c>
      <c r="Z2368" s="357"/>
      <c r="AA2368" s="207"/>
      <c r="AB2368" s="369"/>
      <c r="AC2368" s="370"/>
      <c r="AD2368" s="332" t="str">
        <f t="shared" si="9"/>
        <v/>
      </c>
      <c r="AE2368" s="216">
        <f t="shared" si="10"/>
        <v>0</v>
      </c>
      <c r="AF2368" s="43" t="str">
        <f>IF(AD2368="","",VLOOKUP(AD2368,原価マスタ!$A$2:$AJ$1693,13,FALSE))</f>
        <v/>
      </c>
      <c r="AG2368" s="47" t="str">
        <f t="shared" si="11"/>
        <v/>
      </c>
      <c r="AH2368" s="30"/>
      <c r="AI2368" s="30"/>
      <c r="AJ2368" s="30"/>
      <c r="AK2368" s="30"/>
      <c r="AL2368" s="13"/>
      <c r="AM2368" s="13"/>
      <c r="AN2368" s="13"/>
      <c r="AO2368" s="13"/>
      <c r="AP2368" s="13"/>
      <c r="AQ2368" s="14"/>
      <c r="AR2368" s="15"/>
    </row>
    <row r="2369" spans="1:44" s="17" customFormat="1" ht="30.95" customHeight="1" x14ac:dyDescent="0.2">
      <c r="A2369" s="343"/>
      <c r="B2369" s="344"/>
      <c r="C2369" s="345"/>
      <c r="D2369" s="346"/>
      <c r="E2369" s="346"/>
      <c r="F2369" s="268"/>
      <c r="G2369" s="269"/>
      <c r="H2369" s="269"/>
      <c r="I2369" s="270"/>
      <c r="J2369" s="347"/>
      <c r="K2369" s="270"/>
      <c r="L2369" s="270"/>
      <c r="M2369" s="348"/>
      <c r="N2369" s="348"/>
      <c r="O2369" s="349"/>
      <c r="P2369" s="350"/>
      <c r="Q2369" s="276"/>
      <c r="R2369" s="277"/>
      <c r="S2369" s="277"/>
      <c r="T2369" s="351"/>
      <c r="U2369" s="278"/>
      <c r="V2369" s="269"/>
      <c r="W2369" s="269"/>
      <c r="X2369" s="275"/>
      <c r="Y2369" s="269"/>
      <c r="Z2369" s="350"/>
      <c r="AA2369" s="207"/>
      <c r="AB2369" s="352"/>
      <c r="AC2369" s="353"/>
      <c r="AD2369" s="54"/>
      <c r="AE2369" s="354"/>
      <c r="AF2369" s="355"/>
      <c r="AG2369" s="349"/>
      <c r="AH2369" s="30"/>
      <c r="AI2369" s="30"/>
      <c r="AJ2369" s="30"/>
      <c r="AK2369" s="30"/>
      <c r="AL2369" s="13"/>
      <c r="AM2369" s="13"/>
      <c r="AN2369" s="13"/>
      <c r="AO2369" s="13"/>
      <c r="AP2369" s="13"/>
      <c r="AQ2369" s="14"/>
      <c r="AR2369" s="15"/>
    </row>
    <row r="2370" spans="1:44" s="17" customFormat="1" ht="30.95" customHeight="1" x14ac:dyDescent="0.2">
      <c r="A2370" s="343"/>
      <c r="B2370" s="344"/>
      <c r="C2370" s="345"/>
      <c r="D2370" s="346"/>
      <c r="E2370" s="346"/>
      <c r="F2370" s="268"/>
      <c r="G2370" s="269"/>
      <c r="H2370" s="269"/>
      <c r="I2370" s="270"/>
      <c r="J2370" s="347"/>
      <c r="K2370" s="270"/>
      <c r="L2370" s="270"/>
      <c r="M2370" s="348"/>
      <c r="N2370" s="348"/>
      <c r="O2370" s="349"/>
      <c r="P2370" s="350"/>
      <c r="Q2370" s="276"/>
      <c r="R2370" s="277"/>
      <c r="S2370" s="277"/>
      <c r="T2370" s="351"/>
      <c r="U2370" s="278"/>
      <c r="V2370" s="269"/>
      <c r="W2370" s="269"/>
      <c r="X2370" s="275"/>
      <c r="Y2370" s="269"/>
      <c r="Z2370" s="350"/>
      <c r="AA2370" s="207"/>
      <c r="AB2370" s="352"/>
      <c r="AC2370" s="353"/>
      <c r="AD2370" s="54"/>
      <c r="AE2370" s="354"/>
      <c r="AF2370" s="355"/>
      <c r="AG2370" s="349"/>
      <c r="AH2370" s="30"/>
      <c r="AI2370" s="30"/>
      <c r="AJ2370" s="30"/>
      <c r="AK2370" s="30"/>
      <c r="AL2370" s="13"/>
      <c r="AM2370" s="13"/>
      <c r="AN2370" s="13"/>
      <c r="AO2370" s="13"/>
      <c r="AP2370" s="13"/>
      <c r="AQ2370" s="14"/>
      <c r="AR2370" s="15"/>
    </row>
    <row r="2371" spans="1:44" s="17" customFormat="1" ht="30.95" customHeight="1" x14ac:dyDescent="0.2">
      <c r="A2371" s="343"/>
      <c r="B2371" s="344"/>
      <c r="C2371" s="345"/>
      <c r="D2371" s="346"/>
      <c r="E2371" s="346"/>
      <c r="F2371" s="268"/>
      <c r="G2371" s="269"/>
      <c r="H2371" s="269"/>
      <c r="I2371" s="270"/>
      <c r="J2371" s="347"/>
      <c r="K2371" s="270"/>
      <c r="L2371" s="270"/>
      <c r="M2371" s="348"/>
      <c r="N2371" s="348"/>
      <c r="O2371" s="349"/>
      <c r="P2371" s="350"/>
      <c r="Q2371" s="276"/>
      <c r="R2371" s="277"/>
      <c r="S2371" s="277"/>
      <c r="T2371" s="351"/>
      <c r="U2371" s="278"/>
      <c r="V2371" s="269"/>
      <c r="W2371" s="269"/>
      <c r="X2371" s="275"/>
      <c r="Y2371" s="269"/>
      <c r="Z2371" s="350"/>
      <c r="AA2371" s="207"/>
      <c r="AB2371" s="352"/>
      <c r="AC2371" s="353"/>
      <c r="AD2371" s="54"/>
      <c r="AE2371" s="354"/>
      <c r="AF2371" s="355"/>
      <c r="AG2371" s="349"/>
      <c r="AH2371" s="30"/>
      <c r="AI2371" s="30"/>
      <c r="AJ2371" s="30"/>
      <c r="AK2371" s="30"/>
      <c r="AL2371" s="13"/>
      <c r="AM2371" s="13"/>
      <c r="AN2371" s="13"/>
      <c r="AO2371" s="13"/>
      <c r="AP2371" s="13"/>
      <c r="AQ2371" s="14"/>
      <c r="AR2371" s="15"/>
    </row>
    <row r="2372" spans="1:44" s="17" customFormat="1" ht="30.95" customHeight="1" x14ac:dyDescent="0.2">
      <c r="A2372" s="343"/>
      <c r="B2372" s="344"/>
      <c r="C2372" s="345"/>
      <c r="D2372" s="346"/>
      <c r="E2372" s="346"/>
      <c r="F2372" s="268"/>
      <c r="G2372" s="269"/>
      <c r="H2372" s="269"/>
      <c r="I2372" s="270"/>
      <c r="J2372" s="347"/>
      <c r="K2372" s="270"/>
      <c r="L2372" s="270"/>
      <c r="M2372" s="348"/>
      <c r="N2372" s="348"/>
      <c r="O2372" s="349"/>
      <c r="P2372" s="350"/>
      <c r="Q2372" s="276"/>
      <c r="R2372" s="277"/>
      <c r="S2372" s="277"/>
      <c r="T2372" s="351"/>
      <c r="U2372" s="278"/>
      <c r="V2372" s="269"/>
      <c r="W2372" s="269"/>
      <c r="X2372" s="275"/>
      <c r="Y2372" s="269"/>
      <c r="Z2372" s="350"/>
      <c r="AA2372" s="207"/>
      <c r="AB2372" s="352"/>
      <c r="AC2372" s="353"/>
      <c r="AD2372" s="54"/>
      <c r="AE2372" s="354"/>
      <c r="AF2372" s="355"/>
      <c r="AG2372" s="349"/>
      <c r="AH2372" s="30"/>
      <c r="AI2372" s="30"/>
      <c r="AJ2372" s="30"/>
      <c r="AK2372" s="30"/>
      <c r="AL2372" s="13"/>
      <c r="AM2372" s="13"/>
      <c r="AN2372" s="13"/>
      <c r="AO2372" s="13"/>
      <c r="AP2372" s="13"/>
      <c r="AQ2372" s="14"/>
      <c r="AR2372" s="15"/>
    </row>
    <row r="2373" spans="1:44" s="17" customFormat="1" ht="30.95" customHeight="1" x14ac:dyDescent="0.2">
      <c r="A2373" s="343"/>
      <c r="B2373" s="344"/>
      <c r="C2373" s="345"/>
      <c r="D2373" s="346"/>
      <c r="E2373" s="346"/>
      <c r="F2373" s="268"/>
      <c r="G2373" s="269"/>
      <c r="H2373" s="269"/>
      <c r="I2373" s="270"/>
      <c r="J2373" s="347"/>
      <c r="K2373" s="270"/>
      <c r="L2373" s="270"/>
      <c r="M2373" s="348"/>
      <c r="N2373" s="348"/>
      <c r="O2373" s="349"/>
      <c r="P2373" s="350"/>
      <c r="Q2373" s="276"/>
      <c r="R2373" s="277"/>
      <c r="S2373" s="277"/>
      <c r="T2373" s="351"/>
      <c r="U2373" s="278"/>
      <c r="V2373" s="269"/>
      <c r="W2373" s="269"/>
      <c r="X2373" s="275"/>
      <c r="Y2373" s="269"/>
      <c r="Z2373" s="350"/>
      <c r="AA2373" s="207"/>
      <c r="AB2373" s="352"/>
      <c r="AC2373" s="353"/>
      <c r="AD2373" s="54"/>
      <c r="AE2373" s="354"/>
      <c r="AF2373" s="355"/>
      <c r="AG2373" s="349"/>
      <c r="AH2373" s="30"/>
      <c r="AI2373" s="30"/>
      <c r="AJ2373" s="30"/>
      <c r="AK2373" s="30"/>
      <c r="AL2373" s="13"/>
      <c r="AM2373" s="13"/>
      <c r="AN2373" s="13"/>
      <c r="AO2373" s="13"/>
      <c r="AP2373" s="13"/>
      <c r="AQ2373" s="14"/>
      <c r="AR2373" s="15"/>
    </row>
    <row r="2374" spans="1:44" s="17" customFormat="1" ht="30.95" customHeight="1" x14ac:dyDescent="0.2">
      <c r="A2374" s="343"/>
      <c r="B2374" s="344"/>
      <c r="C2374" s="345"/>
      <c r="D2374" s="346"/>
      <c r="E2374" s="346"/>
      <c r="F2374" s="268"/>
      <c r="G2374" s="269"/>
      <c r="H2374" s="269"/>
      <c r="I2374" s="270"/>
      <c r="J2374" s="347"/>
      <c r="K2374" s="270"/>
      <c r="L2374" s="270"/>
      <c r="M2374" s="348"/>
      <c r="N2374" s="348"/>
      <c r="O2374" s="349"/>
      <c r="P2374" s="350"/>
      <c r="Q2374" s="276"/>
      <c r="R2374" s="277"/>
      <c r="S2374" s="277"/>
      <c r="T2374" s="351"/>
      <c r="U2374" s="278"/>
      <c r="V2374" s="269"/>
      <c r="W2374" s="269"/>
      <c r="X2374" s="275"/>
      <c r="Y2374" s="269"/>
      <c r="Z2374" s="350"/>
      <c r="AA2374" s="207"/>
      <c r="AB2374" s="352"/>
      <c r="AC2374" s="353"/>
      <c r="AD2374" s="54"/>
      <c r="AE2374" s="354"/>
      <c r="AF2374" s="355"/>
      <c r="AG2374" s="349"/>
      <c r="AH2374" s="30"/>
      <c r="AI2374" s="30"/>
      <c r="AJ2374" s="30"/>
      <c r="AK2374" s="30"/>
      <c r="AL2374" s="13"/>
      <c r="AM2374" s="13"/>
      <c r="AN2374" s="13"/>
      <c r="AO2374" s="13"/>
      <c r="AP2374" s="13"/>
      <c r="AQ2374" s="14"/>
      <c r="AR2374" s="15"/>
    </row>
    <row r="2375" spans="1:44" s="17" customFormat="1" ht="30.95" customHeight="1" x14ac:dyDescent="0.2">
      <c r="A2375" s="343"/>
      <c r="B2375" s="344"/>
      <c r="C2375" s="345"/>
      <c r="D2375" s="346"/>
      <c r="E2375" s="346"/>
      <c r="F2375" s="268"/>
      <c r="G2375" s="269"/>
      <c r="H2375" s="269"/>
      <c r="I2375" s="270"/>
      <c r="J2375" s="347"/>
      <c r="K2375" s="270"/>
      <c r="L2375" s="270"/>
      <c r="M2375" s="348"/>
      <c r="N2375" s="348"/>
      <c r="O2375" s="349"/>
      <c r="P2375" s="350"/>
      <c r="Q2375" s="276"/>
      <c r="R2375" s="277"/>
      <c r="S2375" s="277"/>
      <c r="T2375" s="351"/>
      <c r="U2375" s="278"/>
      <c r="V2375" s="269"/>
      <c r="W2375" s="269"/>
      <c r="X2375" s="275"/>
      <c r="Y2375" s="269"/>
      <c r="Z2375" s="350"/>
      <c r="AA2375" s="207"/>
      <c r="AB2375" s="352"/>
      <c r="AC2375" s="353"/>
      <c r="AD2375" s="54"/>
      <c r="AE2375" s="354"/>
      <c r="AF2375" s="355"/>
      <c r="AG2375" s="349"/>
      <c r="AH2375" s="30"/>
      <c r="AI2375" s="30"/>
      <c r="AJ2375" s="30"/>
      <c r="AK2375" s="30"/>
      <c r="AL2375" s="13"/>
      <c r="AM2375" s="13"/>
      <c r="AN2375" s="13"/>
      <c r="AO2375" s="13"/>
      <c r="AP2375" s="13"/>
      <c r="AQ2375" s="14"/>
      <c r="AR2375" s="15"/>
    </row>
    <row r="2376" spans="1:44" s="17" customFormat="1" ht="30.95" customHeight="1" x14ac:dyDescent="0.2">
      <c r="A2376" s="343"/>
      <c r="B2376" s="344"/>
      <c r="C2376" s="345"/>
      <c r="D2376" s="346"/>
      <c r="E2376" s="346"/>
      <c r="F2376" s="268"/>
      <c r="G2376" s="269"/>
      <c r="H2376" s="269"/>
      <c r="I2376" s="270"/>
      <c r="J2376" s="347"/>
      <c r="K2376" s="270"/>
      <c r="L2376" s="270"/>
      <c r="M2376" s="348"/>
      <c r="N2376" s="348"/>
      <c r="O2376" s="349"/>
      <c r="P2376" s="350"/>
      <c r="Q2376" s="276"/>
      <c r="R2376" s="277"/>
      <c r="S2376" s="277"/>
      <c r="T2376" s="351"/>
      <c r="U2376" s="278"/>
      <c r="V2376" s="269"/>
      <c r="W2376" s="269"/>
      <c r="X2376" s="275"/>
      <c r="Y2376" s="269"/>
      <c r="Z2376" s="350"/>
      <c r="AA2376" s="207"/>
      <c r="AB2376" s="352"/>
      <c r="AC2376" s="353"/>
      <c r="AD2376" s="54"/>
      <c r="AE2376" s="354"/>
      <c r="AF2376" s="355"/>
      <c r="AG2376" s="349"/>
      <c r="AH2376" s="30"/>
      <c r="AI2376" s="30"/>
      <c r="AJ2376" s="30"/>
      <c r="AK2376" s="30"/>
      <c r="AL2376" s="13"/>
      <c r="AM2376" s="13"/>
      <c r="AN2376" s="13"/>
      <c r="AO2376" s="13"/>
      <c r="AP2376" s="13"/>
      <c r="AQ2376" s="14"/>
      <c r="AR2376" s="15"/>
    </row>
    <row r="2377" spans="1:44" s="17" customFormat="1" ht="30.95" customHeight="1" x14ac:dyDescent="0.2">
      <c r="A2377" s="343"/>
      <c r="B2377" s="344"/>
      <c r="C2377" s="345"/>
      <c r="D2377" s="346"/>
      <c r="E2377" s="346"/>
      <c r="F2377" s="268"/>
      <c r="G2377" s="269"/>
      <c r="H2377" s="269"/>
      <c r="I2377" s="270"/>
      <c r="J2377" s="347"/>
      <c r="K2377" s="270"/>
      <c r="L2377" s="270"/>
      <c r="M2377" s="348"/>
      <c r="N2377" s="348"/>
      <c r="O2377" s="349"/>
      <c r="P2377" s="350"/>
      <c r="Q2377" s="276"/>
      <c r="R2377" s="277"/>
      <c r="S2377" s="277"/>
      <c r="T2377" s="351"/>
      <c r="U2377" s="278"/>
      <c r="V2377" s="269"/>
      <c r="W2377" s="269"/>
      <c r="X2377" s="275"/>
      <c r="Y2377" s="269"/>
      <c r="Z2377" s="350"/>
      <c r="AA2377" s="207"/>
      <c r="AB2377" s="352"/>
      <c r="AC2377" s="353"/>
      <c r="AD2377" s="54"/>
      <c r="AE2377" s="354"/>
      <c r="AF2377" s="355"/>
      <c r="AG2377" s="349"/>
      <c r="AH2377" s="30"/>
      <c r="AI2377" s="30"/>
      <c r="AJ2377" s="30"/>
      <c r="AK2377" s="30"/>
      <c r="AL2377" s="13"/>
      <c r="AM2377" s="13"/>
      <c r="AN2377" s="13"/>
      <c r="AO2377" s="13"/>
      <c r="AP2377" s="13"/>
      <c r="AQ2377" s="14"/>
      <c r="AR2377" s="15"/>
    </row>
    <row r="2378" spans="1:44" s="17" customFormat="1" ht="30.95" customHeight="1" x14ac:dyDescent="0.2">
      <c r="A2378" s="343"/>
      <c r="B2378" s="344"/>
      <c r="C2378" s="345"/>
      <c r="D2378" s="346"/>
      <c r="E2378" s="346"/>
      <c r="F2378" s="268"/>
      <c r="G2378" s="269"/>
      <c r="H2378" s="269"/>
      <c r="I2378" s="270"/>
      <c r="J2378" s="347"/>
      <c r="K2378" s="270"/>
      <c r="L2378" s="270"/>
      <c r="M2378" s="348"/>
      <c r="N2378" s="348"/>
      <c r="O2378" s="349"/>
      <c r="P2378" s="350"/>
      <c r="Q2378" s="276"/>
      <c r="R2378" s="277"/>
      <c r="S2378" s="277"/>
      <c r="T2378" s="351"/>
      <c r="U2378" s="278"/>
      <c r="V2378" s="269"/>
      <c r="W2378" s="269"/>
      <c r="X2378" s="275"/>
      <c r="Y2378" s="269"/>
      <c r="Z2378" s="350"/>
      <c r="AA2378" s="207"/>
      <c r="AB2378" s="352"/>
      <c r="AC2378" s="353"/>
      <c r="AD2378" s="54"/>
      <c r="AE2378" s="354"/>
      <c r="AF2378" s="355"/>
      <c r="AG2378" s="349"/>
      <c r="AH2378" s="30"/>
      <c r="AI2378" s="30"/>
      <c r="AJ2378" s="30"/>
      <c r="AK2378" s="30"/>
      <c r="AL2378" s="13"/>
      <c r="AM2378" s="13"/>
      <c r="AN2378" s="13"/>
      <c r="AO2378" s="13"/>
      <c r="AP2378" s="13"/>
      <c r="AQ2378" s="14"/>
      <c r="AR2378" s="15"/>
    </row>
    <row r="2379" spans="1:44" s="17" customFormat="1" ht="30.95" customHeight="1" x14ac:dyDescent="0.2">
      <c r="A2379" s="343"/>
      <c r="B2379" s="344"/>
      <c r="C2379" s="345"/>
      <c r="D2379" s="346"/>
      <c r="E2379" s="346"/>
      <c r="F2379" s="268"/>
      <c r="G2379" s="269"/>
      <c r="H2379" s="269"/>
      <c r="I2379" s="270"/>
      <c r="J2379" s="347"/>
      <c r="K2379" s="270"/>
      <c r="L2379" s="270"/>
      <c r="M2379" s="348"/>
      <c r="N2379" s="348"/>
      <c r="O2379" s="349"/>
      <c r="P2379" s="350"/>
      <c r="Q2379" s="276"/>
      <c r="R2379" s="277"/>
      <c r="S2379" s="277"/>
      <c r="T2379" s="351"/>
      <c r="U2379" s="278"/>
      <c r="V2379" s="269"/>
      <c r="W2379" s="269"/>
      <c r="X2379" s="275"/>
      <c r="Y2379" s="269"/>
      <c r="Z2379" s="350"/>
      <c r="AA2379" s="207"/>
      <c r="AB2379" s="352"/>
      <c r="AC2379" s="353"/>
      <c r="AD2379" s="54"/>
      <c r="AE2379" s="354"/>
      <c r="AF2379" s="355"/>
      <c r="AG2379" s="349"/>
      <c r="AH2379" s="30"/>
      <c r="AI2379" s="30"/>
      <c r="AJ2379" s="30"/>
      <c r="AK2379" s="30"/>
      <c r="AL2379" s="13"/>
      <c r="AM2379" s="13"/>
      <c r="AN2379" s="13"/>
      <c r="AO2379" s="13"/>
      <c r="AP2379" s="13"/>
      <c r="AQ2379" s="14"/>
      <c r="AR2379" s="15"/>
    </row>
    <row r="2380" spans="1:44" s="17" customFormat="1" ht="30.95" customHeight="1" x14ac:dyDescent="0.2">
      <c r="A2380" s="343"/>
      <c r="B2380" s="344"/>
      <c r="C2380" s="345"/>
      <c r="D2380" s="346"/>
      <c r="E2380" s="346"/>
      <c r="F2380" s="268"/>
      <c r="G2380" s="269"/>
      <c r="H2380" s="269"/>
      <c r="I2380" s="270"/>
      <c r="J2380" s="347"/>
      <c r="K2380" s="270"/>
      <c r="L2380" s="270"/>
      <c r="M2380" s="348"/>
      <c r="N2380" s="348"/>
      <c r="O2380" s="349"/>
      <c r="P2380" s="350"/>
      <c r="Q2380" s="276"/>
      <c r="R2380" s="277"/>
      <c r="S2380" s="277"/>
      <c r="T2380" s="351"/>
      <c r="U2380" s="278"/>
      <c r="V2380" s="269"/>
      <c r="W2380" s="269"/>
      <c r="X2380" s="275"/>
      <c r="Y2380" s="269"/>
      <c r="Z2380" s="350"/>
      <c r="AA2380" s="207"/>
      <c r="AB2380" s="352"/>
      <c r="AC2380" s="353"/>
      <c r="AD2380" s="54"/>
      <c r="AE2380" s="354"/>
      <c r="AF2380" s="355"/>
      <c r="AG2380" s="349"/>
      <c r="AH2380" s="30"/>
      <c r="AI2380" s="30"/>
      <c r="AJ2380" s="30"/>
      <c r="AK2380" s="30"/>
      <c r="AL2380" s="13"/>
      <c r="AM2380" s="13"/>
      <c r="AN2380" s="13"/>
      <c r="AO2380" s="13"/>
      <c r="AP2380" s="13"/>
      <c r="AQ2380" s="14"/>
      <c r="AR2380" s="15"/>
    </row>
    <row r="2381" spans="1:44" s="17" customFormat="1" ht="30.95" customHeight="1" x14ac:dyDescent="0.2">
      <c r="A2381" s="343"/>
      <c r="B2381" s="344"/>
      <c r="C2381" s="345"/>
      <c r="D2381" s="346"/>
      <c r="E2381" s="346"/>
      <c r="F2381" s="268"/>
      <c r="G2381" s="269"/>
      <c r="H2381" s="269"/>
      <c r="I2381" s="270"/>
      <c r="J2381" s="347"/>
      <c r="K2381" s="270"/>
      <c r="L2381" s="270"/>
      <c r="M2381" s="348"/>
      <c r="N2381" s="348"/>
      <c r="O2381" s="349"/>
      <c r="P2381" s="350"/>
      <c r="Q2381" s="276"/>
      <c r="R2381" s="277"/>
      <c r="S2381" s="277"/>
      <c r="T2381" s="351"/>
      <c r="U2381" s="278"/>
      <c r="V2381" s="269"/>
      <c r="W2381" s="269"/>
      <c r="X2381" s="275"/>
      <c r="Y2381" s="269"/>
      <c r="Z2381" s="350"/>
      <c r="AA2381" s="207"/>
      <c r="AB2381" s="352"/>
      <c r="AC2381" s="353"/>
      <c r="AD2381" s="54"/>
      <c r="AE2381" s="354"/>
      <c r="AF2381" s="355"/>
      <c r="AG2381" s="349"/>
      <c r="AH2381" s="30"/>
      <c r="AI2381" s="30"/>
      <c r="AJ2381" s="30"/>
      <c r="AK2381" s="30"/>
      <c r="AL2381" s="13"/>
      <c r="AM2381" s="13"/>
      <c r="AN2381" s="13"/>
      <c r="AO2381" s="13"/>
      <c r="AP2381" s="13"/>
      <c r="AQ2381" s="14"/>
      <c r="AR2381" s="15"/>
    </row>
    <row r="2382" spans="1:44" s="17" customFormat="1" ht="30.95" customHeight="1" x14ac:dyDescent="0.2">
      <c r="A2382" s="343"/>
      <c r="B2382" s="344"/>
      <c r="C2382" s="345"/>
      <c r="D2382" s="346"/>
      <c r="E2382" s="346"/>
      <c r="F2382" s="268"/>
      <c r="G2382" s="269"/>
      <c r="H2382" s="269"/>
      <c r="I2382" s="270"/>
      <c r="J2382" s="347"/>
      <c r="K2382" s="270"/>
      <c r="L2382" s="270"/>
      <c r="M2382" s="348"/>
      <c r="N2382" s="348"/>
      <c r="O2382" s="349"/>
      <c r="P2382" s="350"/>
      <c r="Q2382" s="276"/>
      <c r="R2382" s="277"/>
      <c r="S2382" s="277"/>
      <c r="T2382" s="351"/>
      <c r="U2382" s="278"/>
      <c r="V2382" s="269"/>
      <c r="W2382" s="269"/>
      <c r="X2382" s="275"/>
      <c r="Y2382" s="269"/>
      <c r="Z2382" s="350"/>
      <c r="AA2382" s="207"/>
      <c r="AB2382" s="352"/>
      <c r="AC2382" s="353"/>
      <c r="AD2382" s="54"/>
      <c r="AE2382" s="354"/>
      <c r="AF2382" s="355"/>
      <c r="AG2382" s="349"/>
      <c r="AH2382" s="30"/>
      <c r="AI2382" s="30"/>
      <c r="AJ2382" s="30"/>
      <c r="AK2382" s="30"/>
      <c r="AL2382" s="13"/>
      <c r="AM2382" s="13"/>
      <c r="AN2382" s="13"/>
      <c r="AO2382" s="13"/>
      <c r="AP2382" s="13"/>
      <c r="AQ2382" s="14"/>
      <c r="AR2382" s="15"/>
    </row>
    <row r="2383" spans="1:44" s="17" customFormat="1" ht="30.95" customHeight="1" x14ac:dyDescent="0.2">
      <c r="A2383" s="343"/>
      <c r="B2383" s="344"/>
      <c r="C2383" s="345"/>
      <c r="D2383" s="346"/>
      <c r="E2383" s="346"/>
      <c r="F2383" s="268"/>
      <c r="G2383" s="269"/>
      <c r="H2383" s="269"/>
      <c r="I2383" s="270"/>
      <c r="J2383" s="347"/>
      <c r="K2383" s="270"/>
      <c r="L2383" s="270"/>
      <c r="M2383" s="348"/>
      <c r="N2383" s="348"/>
      <c r="O2383" s="349"/>
      <c r="P2383" s="350"/>
      <c r="Q2383" s="276"/>
      <c r="R2383" s="277"/>
      <c r="S2383" s="277"/>
      <c r="T2383" s="351"/>
      <c r="U2383" s="278"/>
      <c r="V2383" s="269"/>
      <c r="W2383" s="269"/>
      <c r="X2383" s="275"/>
      <c r="Y2383" s="269"/>
      <c r="Z2383" s="350"/>
      <c r="AA2383" s="207"/>
      <c r="AB2383" s="352"/>
      <c r="AC2383" s="353"/>
      <c r="AD2383" s="54"/>
      <c r="AE2383" s="354"/>
      <c r="AF2383" s="355"/>
      <c r="AG2383" s="349"/>
      <c r="AH2383" s="30"/>
      <c r="AI2383" s="30"/>
      <c r="AJ2383" s="30"/>
      <c r="AK2383" s="30"/>
      <c r="AL2383" s="13"/>
      <c r="AM2383" s="13"/>
      <c r="AN2383" s="13"/>
      <c r="AO2383" s="13"/>
      <c r="AP2383" s="13"/>
      <c r="AQ2383" s="14"/>
      <c r="AR2383" s="15"/>
    </row>
    <row r="2384" spans="1:44" s="17" customFormat="1" ht="30.95" customHeight="1" x14ac:dyDescent="0.2">
      <c r="A2384" s="343"/>
      <c r="B2384" s="344"/>
      <c r="C2384" s="345"/>
      <c r="D2384" s="346"/>
      <c r="E2384" s="346"/>
      <c r="F2384" s="268"/>
      <c r="G2384" s="269"/>
      <c r="H2384" s="269"/>
      <c r="I2384" s="270"/>
      <c r="J2384" s="347"/>
      <c r="K2384" s="270"/>
      <c r="L2384" s="270"/>
      <c r="M2384" s="348"/>
      <c r="N2384" s="348"/>
      <c r="O2384" s="349"/>
      <c r="P2384" s="350"/>
      <c r="Q2384" s="276"/>
      <c r="R2384" s="277"/>
      <c r="S2384" s="277"/>
      <c r="T2384" s="351"/>
      <c r="U2384" s="278"/>
      <c r="V2384" s="269"/>
      <c r="W2384" s="269"/>
      <c r="X2384" s="275"/>
      <c r="Y2384" s="269"/>
      <c r="Z2384" s="350"/>
      <c r="AA2384" s="207"/>
      <c r="AB2384" s="352"/>
      <c r="AC2384" s="353"/>
      <c r="AD2384" s="54"/>
      <c r="AE2384" s="354"/>
      <c r="AF2384" s="355"/>
      <c r="AG2384" s="349"/>
      <c r="AH2384" s="30"/>
      <c r="AI2384" s="30"/>
      <c r="AJ2384" s="30"/>
      <c r="AK2384" s="30"/>
      <c r="AL2384" s="13"/>
      <c r="AM2384" s="13"/>
      <c r="AN2384" s="13"/>
      <c r="AO2384" s="13"/>
      <c r="AP2384" s="13"/>
      <c r="AQ2384" s="14"/>
      <c r="AR2384" s="15"/>
    </row>
    <row r="2385" spans="1:44" s="17" customFormat="1" ht="30.95" customHeight="1" x14ac:dyDescent="0.2">
      <c r="A2385" s="343"/>
      <c r="B2385" s="344"/>
      <c r="C2385" s="345"/>
      <c r="D2385" s="346"/>
      <c r="E2385" s="346"/>
      <c r="F2385" s="268"/>
      <c r="G2385" s="269"/>
      <c r="H2385" s="269"/>
      <c r="I2385" s="270"/>
      <c r="J2385" s="347"/>
      <c r="K2385" s="270"/>
      <c r="L2385" s="270"/>
      <c r="M2385" s="348"/>
      <c r="N2385" s="348"/>
      <c r="O2385" s="349"/>
      <c r="P2385" s="350"/>
      <c r="Q2385" s="276"/>
      <c r="R2385" s="277"/>
      <c r="S2385" s="277"/>
      <c r="T2385" s="351"/>
      <c r="U2385" s="278"/>
      <c r="V2385" s="269"/>
      <c r="W2385" s="269"/>
      <c r="X2385" s="275"/>
      <c r="Y2385" s="269"/>
      <c r="Z2385" s="350"/>
      <c r="AA2385" s="207"/>
      <c r="AB2385" s="352"/>
      <c r="AC2385" s="353"/>
      <c r="AD2385" s="54"/>
      <c r="AE2385" s="354"/>
      <c r="AF2385" s="355"/>
      <c r="AG2385" s="349"/>
      <c r="AH2385" s="30"/>
      <c r="AI2385" s="30"/>
      <c r="AJ2385" s="30"/>
      <c r="AK2385" s="30"/>
      <c r="AL2385" s="13"/>
      <c r="AM2385" s="13"/>
      <c r="AN2385" s="13"/>
      <c r="AO2385" s="13"/>
      <c r="AP2385" s="13"/>
      <c r="AQ2385" s="14"/>
      <c r="AR2385" s="15"/>
    </row>
    <row r="2386" spans="1:44" s="17" customFormat="1" ht="30.95" customHeight="1" x14ac:dyDescent="0.2">
      <c r="A2386" s="343"/>
      <c r="B2386" s="344"/>
      <c r="C2386" s="345"/>
      <c r="D2386" s="346"/>
      <c r="E2386" s="346"/>
      <c r="F2386" s="268"/>
      <c r="G2386" s="269"/>
      <c r="H2386" s="269"/>
      <c r="I2386" s="270"/>
      <c r="J2386" s="347"/>
      <c r="K2386" s="270"/>
      <c r="L2386" s="270"/>
      <c r="M2386" s="348"/>
      <c r="N2386" s="348"/>
      <c r="O2386" s="349"/>
      <c r="P2386" s="350"/>
      <c r="Q2386" s="276"/>
      <c r="R2386" s="277"/>
      <c r="S2386" s="277"/>
      <c r="T2386" s="351"/>
      <c r="U2386" s="278"/>
      <c r="V2386" s="269"/>
      <c r="W2386" s="269"/>
      <c r="X2386" s="275"/>
      <c r="Y2386" s="269"/>
      <c r="Z2386" s="350"/>
      <c r="AA2386" s="207"/>
      <c r="AB2386" s="352"/>
      <c r="AC2386" s="353"/>
      <c r="AD2386" s="54"/>
      <c r="AE2386" s="354"/>
      <c r="AF2386" s="355"/>
      <c r="AG2386" s="349"/>
      <c r="AH2386" s="30"/>
      <c r="AI2386" s="30"/>
      <c r="AJ2386" s="30"/>
      <c r="AK2386" s="30"/>
      <c r="AL2386" s="13"/>
      <c r="AM2386" s="13"/>
      <c r="AN2386" s="13"/>
      <c r="AO2386" s="13"/>
      <c r="AP2386" s="13"/>
      <c r="AQ2386" s="14"/>
      <c r="AR2386" s="15"/>
    </row>
    <row r="2387" spans="1:44" s="17" customFormat="1" ht="30.95" customHeight="1" x14ac:dyDescent="0.2">
      <c r="A2387" s="343"/>
      <c r="B2387" s="344"/>
      <c r="C2387" s="345"/>
      <c r="D2387" s="346"/>
      <c r="E2387" s="346"/>
      <c r="F2387" s="268"/>
      <c r="G2387" s="269"/>
      <c r="H2387" s="269"/>
      <c r="I2387" s="270"/>
      <c r="J2387" s="347"/>
      <c r="K2387" s="270"/>
      <c r="L2387" s="270"/>
      <c r="M2387" s="348"/>
      <c r="N2387" s="348"/>
      <c r="O2387" s="349"/>
      <c r="P2387" s="350"/>
      <c r="Q2387" s="276"/>
      <c r="R2387" s="277"/>
      <c r="S2387" s="277"/>
      <c r="T2387" s="351"/>
      <c r="U2387" s="278"/>
      <c r="V2387" s="269"/>
      <c r="W2387" s="269"/>
      <c r="X2387" s="275"/>
      <c r="Y2387" s="269"/>
      <c r="Z2387" s="350"/>
      <c r="AA2387" s="207"/>
      <c r="AB2387" s="352"/>
      <c r="AC2387" s="353"/>
      <c r="AD2387" s="54"/>
      <c r="AE2387" s="354"/>
      <c r="AF2387" s="355"/>
      <c r="AG2387" s="349"/>
      <c r="AH2387" s="30"/>
      <c r="AI2387" s="30"/>
      <c r="AJ2387" s="30"/>
      <c r="AK2387" s="30"/>
      <c r="AL2387" s="13"/>
      <c r="AM2387" s="13"/>
      <c r="AN2387" s="13"/>
      <c r="AO2387" s="13"/>
      <c r="AP2387" s="13"/>
      <c r="AQ2387" s="14"/>
      <c r="AR2387" s="15"/>
    </row>
    <row r="2388" spans="1:44" s="17" customFormat="1" ht="30.95" customHeight="1" x14ac:dyDescent="0.2">
      <c r="A2388" s="343"/>
      <c r="B2388" s="344"/>
      <c r="C2388" s="345"/>
      <c r="D2388" s="346"/>
      <c r="E2388" s="346"/>
      <c r="F2388" s="268"/>
      <c r="G2388" s="269"/>
      <c r="H2388" s="269"/>
      <c r="I2388" s="270"/>
      <c r="J2388" s="347"/>
      <c r="K2388" s="270"/>
      <c r="L2388" s="270"/>
      <c r="M2388" s="348"/>
      <c r="N2388" s="348"/>
      <c r="O2388" s="349"/>
      <c r="P2388" s="350"/>
      <c r="Q2388" s="276"/>
      <c r="R2388" s="277"/>
      <c r="S2388" s="277"/>
      <c r="T2388" s="351"/>
      <c r="U2388" s="278"/>
      <c r="V2388" s="269"/>
      <c r="W2388" s="269"/>
      <c r="X2388" s="275"/>
      <c r="Y2388" s="269"/>
      <c r="Z2388" s="350"/>
      <c r="AA2388" s="207"/>
      <c r="AB2388" s="352"/>
      <c r="AC2388" s="353"/>
      <c r="AD2388" s="54"/>
      <c r="AE2388" s="354"/>
      <c r="AF2388" s="355"/>
      <c r="AG2388" s="349"/>
      <c r="AH2388" s="30"/>
      <c r="AI2388" s="30"/>
      <c r="AJ2388" s="30"/>
      <c r="AK2388" s="30"/>
      <c r="AL2388" s="13"/>
      <c r="AM2388" s="13"/>
      <c r="AN2388" s="13"/>
      <c r="AO2388" s="13"/>
      <c r="AP2388" s="13"/>
      <c r="AQ2388" s="14"/>
      <c r="AR2388" s="15"/>
    </row>
    <row r="2389" spans="1:44" s="17" customFormat="1" ht="30.95" customHeight="1" x14ac:dyDescent="0.2">
      <c r="A2389" s="343"/>
      <c r="B2389" s="344"/>
      <c r="C2389" s="345"/>
      <c r="D2389" s="346"/>
      <c r="E2389" s="346"/>
      <c r="F2389" s="268"/>
      <c r="G2389" s="269"/>
      <c r="H2389" s="269"/>
      <c r="I2389" s="270"/>
      <c r="J2389" s="347"/>
      <c r="K2389" s="270"/>
      <c r="L2389" s="270"/>
      <c r="M2389" s="348"/>
      <c r="N2389" s="348"/>
      <c r="O2389" s="349"/>
      <c r="P2389" s="350"/>
      <c r="Q2389" s="276"/>
      <c r="R2389" s="277"/>
      <c r="S2389" s="277"/>
      <c r="T2389" s="351"/>
      <c r="U2389" s="278"/>
      <c r="V2389" s="269"/>
      <c r="W2389" s="269"/>
      <c r="X2389" s="275"/>
      <c r="Y2389" s="269"/>
      <c r="Z2389" s="350"/>
      <c r="AA2389" s="207"/>
      <c r="AB2389" s="352"/>
      <c r="AC2389" s="353"/>
      <c r="AD2389" s="54"/>
      <c r="AE2389" s="354"/>
      <c r="AF2389" s="355"/>
      <c r="AG2389" s="349"/>
      <c r="AH2389" s="30"/>
      <c r="AI2389" s="30"/>
      <c r="AJ2389" s="30"/>
      <c r="AK2389" s="30"/>
      <c r="AL2389" s="13"/>
      <c r="AM2389" s="13"/>
      <c r="AN2389" s="13"/>
      <c r="AO2389" s="13"/>
      <c r="AP2389" s="13"/>
      <c r="AQ2389" s="14"/>
      <c r="AR2389" s="15"/>
    </row>
    <row r="2390" spans="1:44" s="17" customFormat="1" ht="30.95" customHeight="1" x14ac:dyDescent="0.2">
      <c r="A2390" s="343"/>
      <c r="B2390" s="344"/>
      <c r="C2390" s="345"/>
      <c r="D2390" s="346"/>
      <c r="E2390" s="346"/>
      <c r="F2390" s="268"/>
      <c r="G2390" s="269"/>
      <c r="H2390" s="269"/>
      <c r="I2390" s="270"/>
      <c r="J2390" s="347"/>
      <c r="K2390" s="270"/>
      <c r="L2390" s="270"/>
      <c r="M2390" s="348"/>
      <c r="N2390" s="348"/>
      <c r="O2390" s="349"/>
      <c r="P2390" s="350"/>
      <c r="Q2390" s="276"/>
      <c r="R2390" s="277"/>
      <c r="S2390" s="277"/>
      <c r="T2390" s="351"/>
      <c r="U2390" s="278"/>
      <c r="V2390" s="269"/>
      <c r="W2390" s="269"/>
      <c r="X2390" s="275"/>
      <c r="Y2390" s="269"/>
      <c r="Z2390" s="350"/>
      <c r="AA2390" s="207"/>
      <c r="AB2390" s="352"/>
      <c r="AC2390" s="353"/>
      <c r="AD2390" s="54"/>
      <c r="AE2390" s="354"/>
      <c r="AF2390" s="355"/>
      <c r="AG2390" s="349"/>
      <c r="AH2390" s="30"/>
      <c r="AI2390" s="30"/>
      <c r="AJ2390" s="30"/>
      <c r="AK2390" s="30"/>
      <c r="AL2390" s="13"/>
      <c r="AM2390" s="13"/>
      <c r="AN2390" s="13"/>
      <c r="AO2390" s="13"/>
      <c r="AP2390" s="13"/>
      <c r="AQ2390" s="14"/>
      <c r="AR2390" s="15"/>
    </row>
    <row r="2391" spans="1:44" s="17" customFormat="1" ht="30.95" customHeight="1" x14ac:dyDescent="0.2">
      <c r="A2391" s="343"/>
      <c r="B2391" s="344"/>
      <c r="C2391" s="345"/>
      <c r="D2391" s="346"/>
      <c r="E2391" s="346"/>
      <c r="F2391" s="268"/>
      <c r="G2391" s="269"/>
      <c r="H2391" s="269"/>
      <c r="I2391" s="270"/>
      <c r="J2391" s="347"/>
      <c r="K2391" s="270"/>
      <c r="L2391" s="270"/>
      <c r="M2391" s="348"/>
      <c r="N2391" s="348"/>
      <c r="O2391" s="349"/>
      <c r="P2391" s="350"/>
      <c r="Q2391" s="276"/>
      <c r="R2391" s="277"/>
      <c r="S2391" s="277"/>
      <c r="T2391" s="351"/>
      <c r="U2391" s="278"/>
      <c r="V2391" s="269"/>
      <c r="W2391" s="269"/>
      <c r="X2391" s="275"/>
      <c r="Y2391" s="269"/>
      <c r="Z2391" s="350"/>
      <c r="AA2391" s="207"/>
      <c r="AB2391" s="352"/>
      <c r="AC2391" s="353"/>
      <c r="AD2391" s="54"/>
      <c r="AE2391" s="354"/>
      <c r="AF2391" s="355"/>
      <c r="AG2391" s="349"/>
      <c r="AH2391" s="30"/>
      <c r="AI2391" s="30"/>
      <c r="AJ2391" s="30"/>
      <c r="AK2391" s="30"/>
      <c r="AL2391" s="13"/>
      <c r="AM2391" s="13"/>
      <c r="AN2391" s="13"/>
      <c r="AO2391" s="13"/>
      <c r="AP2391" s="13"/>
      <c r="AQ2391" s="14"/>
      <c r="AR2391" s="15"/>
    </row>
    <row r="2392" spans="1:44" s="17" customFormat="1" ht="30.95" customHeight="1" x14ac:dyDescent="0.2">
      <c r="A2392" s="343"/>
      <c r="B2392" s="344"/>
      <c r="C2392" s="345"/>
      <c r="D2392" s="346"/>
      <c r="E2392" s="346"/>
      <c r="F2392" s="268"/>
      <c r="G2392" s="269"/>
      <c r="H2392" s="269"/>
      <c r="I2392" s="270"/>
      <c r="J2392" s="347"/>
      <c r="K2392" s="270"/>
      <c r="L2392" s="270"/>
      <c r="M2392" s="348"/>
      <c r="N2392" s="348"/>
      <c r="O2392" s="349"/>
      <c r="P2392" s="350"/>
      <c r="Q2392" s="276"/>
      <c r="R2392" s="277"/>
      <c r="S2392" s="277"/>
      <c r="T2392" s="351"/>
      <c r="U2392" s="278"/>
      <c r="V2392" s="269"/>
      <c r="W2392" s="269"/>
      <c r="X2392" s="275"/>
      <c r="Y2392" s="269"/>
      <c r="Z2392" s="350"/>
      <c r="AA2392" s="207"/>
      <c r="AB2392" s="352"/>
      <c r="AC2392" s="353"/>
      <c r="AD2392" s="54"/>
      <c r="AE2392" s="354"/>
      <c r="AF2392" s="355"/>
      <c r="AG2392" s="349"/>
      <c r="AH2392" s="30"/>
      <c r="AI2392" s="30"/>
      <c r="AJ2392" s="30"/>
      <c r="AK2392" s="30"/>
      <c r="AL2392" s="13"/>
      <c r="AM2392" s="13"/>
      <c r="AN2392" s="13"/>
      <c r="AO2392" s="13"/>
      <c r="AP2392" s="13"/>
      <c r="AQ2392" s="14"/>
      <c r="AR2392" s="15"/>
    </row>
    <row r="2393" spans="1:44" s="17" customFormat="1" ht="30.95" customHeight="1" x14ac:dyDescent="0.2">
      <c r="A2393" s="343"/>
      <c r="B2393" s="344"/>
      <c r="C2393" s="345"/>
      <c r="D2393" s="346"/>
      <c r="E2393" s="346"/>
      <c r="F2393" s="268"/>
      <c r="G2393" s="269"/>
      <c r="H2393" s="269"/>
      <c r="I2393" s="270"/>
      <c r="J2393" s="347"/>
      <c r="K2393" s="270"/>
      <c r="L2393" s="270"/>
      <c r="M2393" s="348"/>
      <c r="N2393" s="348"/>
      <c r="O2393" s="349"/>
      <c r="P2393" s="350"/>
      <c r="Q2393" s="276"/>
      <c r="R2393" s="277"/>
      <c r="S2393" s="277"/>
      <c r="T2393" s="351"/>
      <c r="U2393" s="278"/>
      <c r="V2393" s="269"/>
      <c r="W2393" s="269"/>
      <c r="X2393" s="275"/>
      <c r="Y2393" s="269"/>
      <c r="Z2393" s="350"/>
      <c r="AA2393" s="207"/>
      <c r="AB2393" s="352"/>
      <c r="AC2393" s="353"/>
      <c r="AD2393" s="54"/>
      <c r="AE2393" s="354"/>
      <c r="AF2393" s="355"/>
      <c r="AG2393" s="349"/>
      <c r="AH2393" s="30"/>
      <c r="AI2393" s="30"/>
      <c r="AJ2393" s="30"/>
      <c r="AK2393" s="30"/>
      <c r="AL2393" s="13"/>
      <c r="AM2393" s="13"/>
      <c r="AN2393" s="13"/>
      <c r="AO2393" s="13"/>
      <c r="AP2393" s="13"/>
      <c r="AQ2393" s="14"/>
      <c r="AR2393" s="15"/>
    </row>
    <row r="2394" spans="1:44" s="17" customFormat="1" ht="30.95" customHeight="1" x14ac:dyDescent="0.2">
      <c r="A2394" s="343"/>
      <c r="B2394" s="344"/>
      <c r="C2394" s="345"/>
      <c r="D2394" s="346"/>
      <c r="E2394" s="346"/>
      <c r="F2394" s="268"/>
      <c r="G2394" s="269"/>
      <c r="H2394" s="269"/>
      <c r="I2394" s="270"/>
      <c r="J2394" s="347"/>
      <c r="K2394" s="270"/>
      <c r="L2394" s="270"/>
      <c r="M2394" s="348"/>
      <c r="N2394" s="348"/>
      <c r="O2394" s="349"/>
      <c r="P2394" s="350"/>
      <c r="Q2394" s="276"/>
      <c r="R2394" s="277"/>
      <c r="S2394" s="277"/>
      <c r="T2394" s="351"/>
      <c r="U2394" s="278"/>
      <c r="V2394" s="269"/>
      <c r="W2394" s="269"/>
      <c r="X2394" s="275"/>
      <c r="Y2394" s="269"/>
      <c r="Z2394" s="350"/>
      <c r="AA2394" s="207"/>
      <c r="AB2394" s="352"/>
      <c r="AC2394" s="353"/>
      <c r="AD2394" s="54"/>
      <c r="AE2394" s="354"/>
      <c r="AF2394" s="355"/>
      <c r="AG2394" s="349"/>
      <c r="AH2394" s="30"/>
      <c r="AI2394" s="30"/>
      <c r="AJ2394" s="30"/>
      <c r="AK2394" s="30"/>
      <c r="AL2394" s="13"/>
      <c r="AM2394" s="13"/>
      <c r="AN2394" s="13"/>
      <c r="AO2394" s="13"/>
      <c r="AP2394" s="13"/>
      <c r="AQ2394" s="14"/>
      <c r="AR2394" s="15"/>
    </row>
    <row r="2395" spans="1:44" s="17" customFormat="1" ht="30.95" customHeight="1" x14ac:dyDescent="0.2">
      <c r="A2395" s="343"/>
      <c r="B2395" s="344"/>
      <c r="C2395" s="345"/>
      <c r="D2395" s="346"/>
      <c r="E2395" s="346"/>
      <c r="F2395" s="268"/>
      <c r="G2395" s="269"/>
      <c r="H2395" s="269"/>
      <c r="I2395" s="270"/>
      <c r="J2395" s="347"/>
      <c r="K2395" s="270"/>
      <c r="L2395" s="270"/>
      <c r="M2395" s="348"/>
      <c r="N2395" s="348"/>
      <c r="O2395" s="349"/>
      <c r="P2395" s="350"/>
      <c r="Q2395" s="276"/>
      <c r="R2395" s="277"/>
      <c r="S2395" s="277"/>
      <c r="T2395" s="351"/>
      <c r="U2395" s="278"/>
      <c r="V2395" s="269"/>
      <c r="W2395" s="269"/>
      <c r="X2395" s="275"/>
      <c r="Y2395" s="269"/>
      <c r="Z2395" s="350"/>
      <c r="AA2395" s="207"/>
      <c r="AB2395" s="352"/>
      <c r="AC2395" s="353"/>
      <c r="AD2395" s="54"/>
      <c r="AE2395" s="354"/>
      <c r="AF2395" s="355"/>
      <c r="AG2395" s="349"/>
      <c r="AH2395" s="30"/>
      <c r="AI2395" s="30"/>
      <c r="AJ2395" s="30"/>
      <c r="AK2395" s="30"/>
      <c r="AL2395" s="13"/>
      <c r="AM2395" s="13"/>
      <c r="AN2395" s="13"/>
      <c r="AO2395" s="13"/>
      <c r="AP2395" s="13"/>
      <c r="AQ2395" s="14"/>
      <c r="AR2395" s="15"/>
    </row>
    <row r="2396" spans="1:44" s="17" customFormat="1" ht="30.95" customHeight="1" x14ac:dyDescent="0.2">
      <c r="A2396" s="343"/>
      <c r="B2396" s="344"/>
      <c r="C2396" s="345"/>
      <c r="D2396" s="346"/>
      <c r="E2396" s="346"/>
      <c r="F2396" s="268"/>
      <c r="G2396" s="269"/>
      <c r="H2396" s="269"/>
      <c r="I2396" s="270"/>
      <c r="J2396" s="347"/>
      <c r="K2396" s="270"/>
      <c r="L2396" s="270"/>
      <c r="M2396" s="348"/>
      <c r="N2396" s="348"/>
      <c r="O2396" s="349"/>
      <c r="P2396" s="350"/>
      <c r="Q2396" s="276"/>
      <c r="R2396" s="277"/>
      <c r="S2396" s="277"/>
      <c r="T2396" s="351"/>
      <c r="U2396" s="278"/>
      <c r="V2396" s="269"/>
      <c r="W2396" s="269"/>
      <c r="X2396" s="275"/>
      <c r="Y2396" s="269"/>
      <c r="Z2396" s="350"/>
      <c r="AA2396" s="207"/>
      <c r="AB2396" s="352"/>
      <c r="AC2396" s="353"/>
      <c r="AD2396" s="54"/>
      <c r="AE2396" s="354"/>
      <c r="AF2396" s="355"/>
      <c r="AG2396" s="349"/>
      <c r="AH2396" s="30"/>
      <c r="AI2396" s="30"/>
      <c r="AJ2396" s="30"/>
      <c r="AK2396" s="30"/>
      <c r="AL2396" s="13"/>
      <c r="AM2396" s="13"/>
      <c r="AN2396" s="13"/>
      <c r="AO2396" s="13"/>
      <c r="AP2396" s="13"/>
      <c r="AQ2396" s="14"/>
      <c r="AR2396" s="15"/>
    </row>
    <row r="2397" spans="1:44" s="17" customFormat="1" ht="30.95" customHeight="1" x14ac:dyDescent="0.2">
      <c r="A2397" s="343"/>
      <c r="B2397" s="344"/>
      <c r="C2397" s="345"/>
      <c r="D2397" s="346"/>
      <c r="E2397" s="346"/>
      <c r="F2397" s="268"/>
      <c r="G2397" s="269"/>
      <c r="H2397" s="269"/>
      <c r="I2397" s="270"/>
      <c r="J2397" s="347"/>
      <c r="K2397" s="270"/>
      <c r="L2397" s="270"/>
      <c r="M2397" s="348"/>
      <c r="N2397" s="348"/>
      <c r="O2397" s="349"/>
      <c r="P2397" s="350"/>
      <c r="Q2397" s="276"/>
      <c r="R2397" s="277"/>
      <c r="S2397" s="277"/>
      <c r="T2397" s="351"/>
      <c r="U2397" s="278"/>
      <c r="V2397" s="269"/>
      <c r="W2397" s="269"/>
      <c r="X2397" s="275"/>
      <c r="Y2397" s="269"/>
      <c r="Z2397" s="350"/>
      <c r="AA2397" s="207"/>
      <c r="AB2397" s="352"/>
      <c r="AC2397" s="353"/>
      <c r="AD2397" s="54"/>
      <c r="AE2397" s="354"/>
      <c r="AF2397" s="355"/>
      <c r="AG2397" s="349"/>
      <c r="AH2397" s="30"/>
      <c r="AI2397" s="30"/>
      <c r="AJ2397" s="30"/>
      <c r="AK2397" s="30"/>
      <c r="AL2397" s="13"/>
      <c r="AM2397" s="13"/>
      <c r="AN2397" s="13"/>
      <c r="AO2397" s="13"/>
      <c r="AP2397" s="13"/>
      <c r="AQ2397" s="14"/>
      <c r="AR2397" s="15"/>
    </row>
    <row r="2398" spans="1:44" s="17" customFormat="1" ht="30.95" customHeight="1" x14ac:dyDescent="0.2">
      <c r="A2398" s="343"/>
      <c r="B2398" s="344"/>
      <c r="C2398" s="345"/>
      <c r="D2398" s="346"/>
      <c r="E2398" s="346"/>
      <c r="F2398" s="268"/>
      <c r="G2398" s="269"/>
      <c r="H2398" s="269"/>
      <c r="I2398" s="270"/>
      <c r="J2398" s="347"/>
      <c r="K2398" s="270"/>
      <c r="L2398" s="270"/>
      <c r="M2398" s="348"/>
      <c r="N2398" s="348"/>
      <c r="O2398" s="349"/>
      <c r="P2398" s="350"/>
      <c r="Q2398" s="276"/>
      <c r="R2398" s="277"/>
      <c r="S2398" s="277"/>
      <c r="T2398" s="351"/>
      <c r="U2398" s="278"/>
      <c r="V2398" s="269"/>
      <c r="W2398" s="269"/>
      <c r="X2398" s="275"/>
      <c r="Y2398" s="269"/>
      <c r="Z2398" s="350"/>
      <c r="AA2398" s="207"/>
      <c r="AB2398" s="352"/>
      <c r="AC2398" s="353"/>
      <c r="AD2398" s="54"/>
      <c r="AE2398" s="354"/>
      <c r="AF2398" s="355"/>
      <c r="AG2398" s="349"/>
      <c r="AH2398" s="30"/>
      <c r="AI2398" s="30"/>
      <c r="AJ2398" s="30"/>
      <c r="AK2398" s="30"/>
      <c r="AL2398" s="13"/>
      <c r="AM2398" s="13"/>
      <c r="AN2398" s="13"/>
      <c r="AO2398" s="13"/>
      <c r="AP2398" s="13"/>
      <c r="AQ2398" s="14"/>
      <c r="AR2398" s="15"/>
    </row>
    <row r="2399" spans="1:44" s="17" customFormat="1" ht="30.95" customHeight="1" x14ac:dyDescent="0.2">
      <c r="A2399" s="343"/>
      <c r="B2399" s="344"/>
      <c r="C2399" s="345"/>
      <c r="D2399" s="346"/>
      <c r="E2399" s="346"/>
      <c r="F2399" s="268"/>
      <c r="G2399" s="269"/>
      <c r="H2399" s="269"/>
      <c r="I2399" s="270"/>
      <c r="J2399" s="347"/>
      <c r="K2399" s="270"/>
      <c r="L2399" s="270"/>
      <c r="M2399" s="348"/>
      <c r="N2399" s="348"/>
      <c r="O2399" s="349"/>
      <c r="P2399" s="350"/>
      <c r="Q2399" s="276"/>
      <c r="R2399" s="277"/>
      <c r="S2399" s="277"/>
      <c r="T2399" s="351"/>
      <c r="U2399" s="278"/>
      <c r="V2399" s="269"/>
      <c r="W2399" s="269"/>
      <c r="X2399" s="275"/>
      <c r="Y2399" s="269"/>
      <c r="Z2399" s="350"/>
      <c r="AA2399" s="207"/>
      <c r="AB2399" s="352"/>
      <c r="AC2399" s="353"/>
      <c r="AD2399" s="54"/>
      <c r="AE2399" s="354"/>
      <c r="AF2399" s="355"/>
      <c r="AG2399" s="349"/>
      <c r="AH2399" s="30"/>
      <c r="AI2399" s="30"/>
      <c r="AJ2399" s="30"/>
      <c r="AK2399" s="30"/>
      <c r="AL2399" s="13"/>
      <c r="AM2399" s="13"/>
      <c r="AN2399" s="13"/>
      <c r="AO2399" s="13"/>
      <c r="AP2399" s="13"/>
      <c r="AQ2399" s="14"/>
      <c r="AR2399" s="15"/>
    </row>
    <row r="2400" spans="1:44" s="17" customFormat="1" ht="30.95" customHeight="1" x14ac:dyDescent="0.2">
      <c r="A2400" s="343"/>
      <c r="B2400" s="344"/>
      <c r="C2400" s="345"/>
      <c r="D2400" s="346"/>
      <c r="E2400" s="346"/>
      <c r="F2400" s="268"/>
      <c r="G2400" s="269"/>
      <c r="H2400" s="269"/>
      <c r="I2400" s="270"/>
      <c r="J2400" s="347"/>
      <c r="K2400" s="270"/>
      <c r="L2400" s="270"/>
      <c r="M2400" s="348"/>
      <c r="N2400" s="348"/>
      <c r="O2400" s="349"/>
      <c r="P2400" s="350"/>
      <c r="Q2400" s="276"/>
      <c r="R2400" s="277"/>
      <c r="S2400" s="277"/>
      <c r="T2400" s="351"/>
      <c r="U2400" s="278"/>
      <c r="V2400" s="269"/>
      <c r="W2400" s="269"/>
      <c r="X2400" s="275"/>
      <c r="Y2400" s="269"/>
      <c r="Z2400" s="350"/>
      <c r="AA2400" s="207"/>
      <c r="AB2400" s="352"/>
      <c r="AC2400" s="353"/>
      <c r="AD2400" s="54"/>
      <c r="AE2400" s="354"/>
      <c r="AF2400" s="355"/>
      <c r="AG2400" s="349"/>
      <c r="AH2400" s="30"/>
      <c r="AI2400" s="30"/>
      <c r="AJ2400" s="30"/>
      <c r="AK2400" s="30"/>
      <c r="AL2400" s="13"/>
      <c r="AM2400" s="13"/>
      <c r="AN2400" s="13"/>
      <c r="AO2400" s="13"/>
      <c r="AP2400" s="13"/>
      <c r="AQ2400" s="14"/>
      <c r="AR2400" s="15"/>
    </row>
    <row r="2401" spans="1:44" s="17" customFormat="1" ht="30.95" customHeight="1" x14ac:dyDescent="0.2">
      <c r="A2401" s="343"/>
      <c r="B2401" s="344"/>
      <c r="C2401" s="345"/>
      <c r="D2401" s="346"/>
      <c r="E2401" s="346"/>
      <c r="F2401" s="268"/>
      <c r="G2401" s="269"/>
      <c r="H2401" s="269"/>
      <c r="I2401" s="270"/>
      <c r="J2401" s="347"/>
      <c r="K2401" s="270"/>
      <c r="L2401" s="270"/>
      <c r="M2401" s="348"/>
      <c r="N2401" s="348"/>
      <c r="O2401" s="349"/>
      <c r="P2401" s="350"/>
      <c r="Q2401" s="276"/>
      <c r="R2401" s="277"/>
      <c r="S2401" s="277"/>
      <c r="T2401" s="351"/>
      <c r="U2401" s="278"/>
      <c r="V2401" s="269"/>
      <c r="W2401" s="269"/>
      <c r="X2401" s="275"/>
      <c r="Y2401" s="269"/>
      <c r="Z2401" s="350"/>
      <c r="AA2401" s="207"/>
      <c r="AB2401" s="352"/>
      <c r="AC2401" s="353"/>
      <c r="AD2401" s="54"/>
      <c r="AE2401" s="354"/>
      <c r="AF2401" s="355"/>
      <c r="AG2401" s="349"/>
      <c r="AH2401" s="30"/>
      <c r="AI2401" s="30"/>
      <c r="AJ2401" s="30"/>
      <c r="AK2401" s="30"/>
      <c r="AL2401" s="13"/>
      <c r="AM2401" s="13"/>
      <c r="AN2401" s="13"/>
      <c r="AO2401" s="13"/>
      <c r="AP2401" s="13"/>
      <c r="AQ2401" s="14"/>
      <c r="AR2401" s="15"/>
    </row>
    <row r="2402" spans="1:44" s="17" customFormat="1" ht="30.95" customHeight="1" x14ac:dyDescent="0.2">
      <c r="A2402" s="343"/>
      <c r="B2402" s="344"/>
      <c r="C2402" s="345"/>
      <c r="D2402" s="346"/>
      <c r="E2402" s="346"/>
      <c r="F2402" s="268"/>
      <c r="G2402" s="269"/>
      <c r="H2402" s="269"/>
      <c r="I2402" s="270"/>
      <c r="J2402" s="347"/>
      <c r="K2402" s="270"/>
      <c r="L2402" s="270"/>
      <c r="M2402" s="348"/>
      <c r="N2402" s="348"/>
      <c r="O2402" s="349"/>
      <c r="P2402" s="350"/>
      <c r="Q2402" s="276"/>
      <c r="R2402" s="277"/>
      <c r="S2402" s="277"/>
      <c r="T2402" s="351"/>
      <c r="U2402" s="278"/>
      <c r="V2402" s="269"/>
      <c r="W2402" s="269"/>
      <c r="X2402" s="275"/>
      <c r="Y2402" s="269"/>
      <c r="Z2402" s="350"/>
      <c r="AA2402" s="207"/>
      <c r="AB2402" s="352"/>
      <c r="AC2402" s="353"/>
      <c r="AD2402" s="54"/>
      <c r="AE2402" s="354"/>
      <c r="AF2402" s="355"/>
      <c r="AG2402" s="349"/>
      <c r="AH2402" s="30"/>
      <c r="AI2402" s="30"/>
      <c r="AJ2402" s="30"/>
      <c r="AK2402" s="30"/>
      <c r="AL2402" s="13"/>
      <c r="AM2402" s="13"/>
      <c r="AN2402" s="13"/>
      <c r="AO2402" s="13"/>
      <c r="AP2402" s="13"/>
      <c r="AQ2402" s="14"/>
      <c r="AR2402" s="15"/>
    </row>
    <row r="2403" spans="1:44" s="17" customFormat="1" ht="30.95" customHeight="1" x14ac:dyDescent="0.2">
      <c r="A2403" s="343"/>
      <c r="B2403" s="344"/>
      <c r="C2403" s="345"/>
      <c r="D2403" s="346"/>
      <c r="E2403" s="346"/>
      <c r="F2403" s="268"/>
      <c r="G2403" s="269"/>
      <c r="H2403" s="269"/>
      <c r="I2403" s="270"/>
      <c r="J2403" s="347"/>
      <c r="K2403" s="270"/>
      <c r="L2403" s="270"/>
      <c r="M2403" s="348"/>
      <c r="N2403" s="348"/>
      <c r="O2403" s="349"/>
      <c r="P2403" s="350"/>
      <c r="Q2403" s="276"/>
      <c r="R2403" s="277"/>
      <c r="S2403" s="277"/>
      <c r="T2403" s="351"/>
      <c r="U2403" s="278"/>
      <c r="V2403" s="269"/>
      <c r="W2403" s="269"/>
      <c r="X2403" s="275"/>
      <c r="Y2403" s="269"/>
      <c r="Z2403" s="350"/>
      <c r="AA2403" s="207"/>
      <c r="AB2403" s="352"/>
      <c r="AC2403" s="353"/>
      <c r="AD2403" s="54"/>
      <c r="AE2403" s="354"/>
      <c r="AF2403" s="355"/>
      <c r="AG2403" s="349"/>
      <c r="AH2403" s="30"/>
      <c r="AI2403" s="30"/>
      <c r="AJ2403" s="30"/>
      <c r="AK2403" s="30"/>
      <c r="AL2403" s="13"/>
      <c r="AM2403" s="13"/>
      <c r="AN2403" s="13"/>
      <c r="AO2403" s="13"/>
      <c r="AP2403" s="13"/>
      <c r="AQ2403" s="14"/>
      <c r="AR2403" s="15"/>
    </row>
    <row r="2404" spans="1:44" s="17" customFormat="1" ht="30.95" customHeight="1" x14ac:dyDescent="0.2">
      <c r="A2404" s="343"/>
      <c r="B2404" s="344"/>
      <c r="C2404" s="345"/>
      <c r="D2404" s="346"/>
      <c r="E2404" s="346"/>
      <c r="F2404" s="268"/>
      <c r="G2404" s="269"/>
      <c r="H2404" s="269"/>
      <c r="I2404" s="270"/>
      <c r="J2404" s="347"/>
      <c r="K2404" s="270"/>
      <c r="L2404" s="270"/>
      <c r="M2404" s="348"/>
      <c r="N2404" s="348"/>
      <c r="O2404" s="349"/>
      <c r="P2404" s="350"/>
      <c r="Q2404" s="276"/>
      <c r="R2404" s="277"/>
      <c r="S2404" s="277"/>
      <c r="T2404" s="351"/>
      <c r="U2404" s="278"/>
      <c r="V2404" s="269"/>
      <c r="W2404" s="269"/>
      <c r="X2404" s="275"/>
      <c r="Y2404" s="269"/>
      <c r="Z2404" s="350"/>
      <c r="AA2404" s="207"/>
      <c r="AB2404" s="352"/>
      <c r="AC2404" s="353"/>
      <c r="AD2404" s="54"/>
      <c r="AE2404" s="354"/>
      <c r="AF2404" s="355"/>
      <c r="AG2404" s="349"/>
      <c r="AH2404" s="30"/>
      <c r="AI2404" s="30"/>
      <c r="AJ2404" s="30"/>
      <c r="AK2404" s="30"/>
      <c r="AL2404" s="13"/>
      <c r="AM2404" s="13"/>
      <c r="AN2404" s="13"/>
      <c r="AO2404" s="13"/>
      <c r="AP2404" s="13"/>
      <c r="AQ2404" s="14"/>
      <c r="AR2404" s="15"/>
    </row>
    <row r="2405" spans="1:44" s="17" customFormat="1" ht="30.95" customHeight="1" x14ac:dyDescent="0.2">
      <c r="A2405" s="343"/>
      <c r="B2405" s="344"/>
      <c r="C2405" s="345"/>
      <c r="D2405" s="346"/>
      <c r="E2405" s="346"/>
      <c r="F2405" s="268"/>
      <c r="G2405" s="269"/>
      <c r="H2405" s="269"/>
      <c r="I2405" s="270"/>
      <c r="J2405" s="347"/>
      <c r="K2405" s="270"/>
      <c r="L2405" s="270"/>
      <c r="M2405" s="348"/>
      <c r="N2405" s="348"/>
      <c r="O2405" s="349"/>
      <c r="P2405" s="350"/>
      <c r="Q2405" s="276"/>
      <c r="R2405" s="277"/>
      <c r="S2405" s="277"/>
      <c r="T2405" s="351"/>
      <c r="U2405" s="278"/>
      <c r="V2405" s="269"/>
      <c r="W2405" s="269"/>
      <c r="X2405" s="275"/>
      <c r="Y2405" s="269"/>
      <c r="Z2405" s="350"/>
      <c r="AA2405" s="207"/>
      <c r="AB2405" s="352"/>
      <c r="AC2405" s="353"/>
      <c r="AD2405" s="54"/>
      <c r="AE2405" s="354"/>
      <c r="AF2405" s="355"/>
      <c r="AG2405" s="349"/>
      <c r="AH2405" s="30"/>
      <c r="AI2405" s="30"/>
      <c r="AJ2405" s="30"/>
      <c r="AK2405" s="30"/>
      <c r="AL2405" s="13"/>
      <c r="AM2405" s="13"/>
      <c r="AN2405" s="13"/>
      <c r="AO2405" s="13"/>
      <c r="AP2405" s="13"/>
      <c r="AQ2405" s="14"/>
      <c r="AR2405" s="15"/>
    </row>
    <row r="2406" spans="1:44" s="17" customFormat="1" ht="30.95" customHeight="1" x14ac:dyDescent="0.2">
      <c r="A2406" s="343"/>
      <c r="B2406" s="344"/>
      <c r="C2406" s="345"/>
      <c r="D2406" s="346"/>
      <c r="E2406" s="346"/>
      <c r="F2406" s="268"/>
      <c r="G2406" s="269"/>
      <c r="H2406" s="269"/>
      <c r="I2406" s="270"/>
      <c r="J2406" s="347"/>
      <c r="K2406" s="270"/>
      <c r="L2406" s="270"/>
      <c r="M2406" s="348"/>
      <c r="N2406" s="348"/>
      <c r="O2406" s="349"/>
      <c r="P2406" s="350"/>
      <c r="Q2406" s="276"/>
      <c r="R2406" s="277"/>
      <c r="S2406" s="277"/>
      <c r="T2406" s="351"/>
      <c r="U2406" s="278"/>
      <c r="V2406" s="269"/>
      <c r="W2406" s="269"/>
      <c r="X2406" s="275"/>
      <c r="Y2406" s="269"/>
      <c r="Z2406" s="350"/>
      <c r="AA2406" s="207"/>
      <c r="AB2406" s="352"/>
      <c r="AC2406" s="353"/>
      <c r="AD2406" s="54"/>
      <c r="AE2406" s="354"/>
      <c r="AF2406" s="355"/>
      <c r="AG2406" s="349"/>
      <c r="AH2406" s="30"/>
      <c r="AI2406" s="30"/>
      <c r="AJ2406" s="30"/>
      <c r="AK2406" s="30"/>
      <c r="AL2406" s="13"/>
      <c r="AM2406" s="13"/>
      <c r="AN2406" s="13"/>
      <c r="AO2406" s="13"/>
      <c r="AP2406" s="13"/>
      <c r="AQ2406" s="14"/>
      <c r="AR2406" s="15"/>
    </row>
    <row r="2407" spans="1:44" s="17" customFormat="1" ht="30.95" customHeight="1" x14ac:dyDescent="0.2">
      <c r="A2407" s="343"/>
      <c r="B2407" s="344"/>
      <c r="C2407" s="345"/>
      <c r="D2407" s="346"/>
      <c r="E2407" s="346"/>
      <c r="F2407" s="268"/>
      <c r="G2407" s="269"/>
      <c r="H2407" s="269"/>
      <c r="I2407" s="270"/>
      <c r="J2407" s="347"/>
      <c r="K2407" s="270"/>
      <c r="L2407" s="270"/>
      <c r="M2407" s="348"/>
      <c r="N2407" s="348"/>
      <c r="O2407" s="349"/>
      <c r="P2407" s="350"/>
      <c r="Q2407" s="276"/>
      <c r="R2407" s="277"/>
      <c r="S2407" s="277"/>
      <c r="T2407" s="351"/>
      <c r="U2407" s="278"/>
      <c r="V2407" s="269"/>
      <c r="W2407" s="269"/>
      <c r="X2407" s="275"/>
      <c r="Y2407" s="269"/>
      <c r="Z2407" s="350"/>
      <c r="AA2407" s="207"/>
      <c r="AB2407" s="352"/>
      <c r="AC2407" s="353"/>
      <c r="AD2407" s="54"/>
      <c r="AE2407" s="354"/>
      <c r="AF2407" s="355"/>
      <c r="AG2407" s="349"/>
      <c r="AH2407" s="30"/>
      <c r="AI2407" s="30"/>
      <c r="AJ2407" s="30"/>
      <c r="AK2407" s="30"/>
      <c r="AL2407" s="13"/>
      <c r="AM2407" s="13"/>
      <c r="AN2407" s="13"/>
      <c r="AO2407" s="13"/>
      <c r="AP2407" s="13"/>
      <c r="AQ2407" s="14"/>
      <c r="AR2407" s="15"/>
    </row>
    <row r="2408" spans="1:44" s="17" customFormat="1" ht="30.95" customHeight="1" x14ac:dyDescent="0.2">
      <c r="A2408" s="343"/>
      <c r="B2408" s="344"/>
      <c r="C2408" s="345"/>
      <c r="D2408" s="346"/>
      <c r="E2408" s="346"/>
      <c r="F2408" s="268"/>
      <c r="G2408" s="269"/>
      <c r="H2408" s="269"/>
      <c r="I2408" s="270"/>
      <c r="J2408" s="347"/>
      <c r="K2408" s="270"/>
      <c r="L2408" s="270"/>
      <c r="M2408" s="348"/>
      <c r="N2408" s="348"/>
      <c r="O2408" s="349"/>
      <c r="P2408" s="350"/>
      <c r="Q2408" s="276"/>
      <c r="R2408" s="277"/>
      <c r="S2408" s="277"/>
      <c r="T2408" s="351"/>
      <c r="U2408" s="278"/>
      <c r="V2408" s="269"/>
      <c r="W2408" s="269"/>
      <c r="X2408" s="275"/>
      <c r="Y2408" s="269"/>
      <c r="Z2408" s="350"/>
      <c r="AA2408" s="207"/>
      <c r="AB2408" s="352"/>
      <c r="AC2408" s="353"/>
      <c r="AD2408" s="54"/>
      <c r="AE2408" s="354"/>
      <c r="AF2408" s="355"/>
      <c r="AG2408" s="349"/>
      <c r="AH2408" s="30"/>
      <c r="AI2408" s="30"/>
      <c r="AJ2408" s="30"/>
      <c r="AK2408" s="30"/>
      <c r="AL2408" s="13"/>
      <c r="AM2408" s="13"/>
      <c r="AN2408" s="13"/>
      <c r="AO2408" s="13"/>
      <c r="AP2408" s="13"/>
      <c r="AQ2408" s="14"/>
      <c r="AR2408" s="15"/>
    </row>
    <row r="2409" spans="1:44" s="17" customFormat="1" ht="30.95" customHeight="1" x14ac:dyDescent="0.2">
      <c r="A2409" s="343"/>
      <c r="B2409" s="344"/>
      <c r="C2409" s="345"/>
      <c r="D2409" s="346"/>
      <c r="E2409" s="346"/>
      <c r="F2409" s="268"/>
      <c r="G2409" s="269"/>
      <c r="H2409" s="269"/>
      <c r="I2409" s="270"/>
      <c r="J2409" s="347"/>
      <c r="K2409" s="270"/>
      <c r="L2409" s="270"/>
      <c r="M2409" s="348"/>
      <c r="N2409" s="348"/>
      <c r="O2409" s="349"/>
      <c r="P2409" s="350"/>
      <c r="Q2409" s="276"/>
      <c r="R2409" s="277"/>
      <c r="S2409" s="277"/>
      <c r="T2409" s="351"/>
      <c r="U2409" s="278"/>
      <c r="V2409" s="269"/>
      <c r="W2409" s="269"/>
      <c r="X2409" s="275"/>
      <c r="Y2409" s="269"/>
      <c r="Z2409" s="350"/>
      <c r="AA2409" s="207"/>
      <c r="AB2409" s="352"/>
      <c r="AC2409" s="353"/>
      <c r="AD2409" s="54"/>
      <c r="AE2409" s="354"/>
      <c r="AF2409" s="355"/>
      <c r="AG2409" s="349"/>
      <c r="AH2409" s="30"/>
      <c r="AI2409" s="30"/>
      <c r="AJ2409" s="30"/>
      <c r="AK2409" s="30"/>
      <c r="AL2409" s="13"/>
      <c r="AM2409" s="13"/>
      <c r="AN2409" s="13"/>
      <c r="AO2409" s="13"/>
      <c r="AP2409" s="13"/>
      <c r="AQ2409" s="14"/>
      <c r="AR2409" s="15"/>
    </row>
    <row r="2410" spans="1:44" s="17" customFormat="1" ht="30.95" customHeight="1" x14ac:dyDescent="0.2">
      <c r="A2410" s="343"/>
      <c r="B2410" s="344"/>
      <c r="C2410" s="345"/>
      <c r="D2410" s="346"/>
      <c r="E2410" s="346"/>
      <c r="F2410" s="268"/>
      <c r="G2410" s="269"/>
      <c r="H2410" s="269"/>
      <c r="I2410" s="270"/>
      <c r="J2410" s="347"/>
      <c r="K2410" s="270"/>
      <c r="L2410" s="270"/>
      <c r="M2410" s="348"/>
      <c r="N2410" s="348"/>
      <c r="O2410" s="349"/>
      <c r="P2410" s="350"/>
      <c r="Q2410" s="276"/>
      <c r="R2410" s="277"/>
      <c r="S2410" s="277"/>
      <c r="T2410" s="351"/>
      <c r="U2410" s="278"/>
      <c r="V2410" s="269"/>
      <c r="W2410" s="269"/>
      <c r="X2410" s="275"/>
      <c r="Y2410" s="269"/>
      <c r="Z2410" s="350"/>
      <c r="AA2410" s="207"/>
      <c r="AB2410" s="352"/>
      <c r="AC2410" s="353"/>
      <c r="AD2410" s="54"/>
      <c r="AE2410" s="354"/>
      <c r="AF2410" s="355"/>
      <c r="AG2410" s="349"/>
      <c r="AH2410" s="30"/>
      <c r="AI2410" s="30"/>
      <c r="AJ2410" s="30"/>
      <c r="AK2410" s="30"/>
      <c r="AL2410" s="13"/>
      <c r="AM2410" s="13"/>
      <c r="AN2410" s="13"/>
      <c r="AO2410" s="13"/>
      <c r="AP2410" s="13"/>
      <c r="AQ2410" s="14"/>
      <c r="AR2410" s="15"/>
    </row>
    <row r="2411" spans="1:44" s="17" customFormat="1" ht="30.95" customHeight="1" x14ac:dyDescent="0.2">
      <c r="A2411" s="343"/>
      <c r="B2411" s="344"/>
      <c r="C2411" s="345"/>
      <c r="D2411" s="346"/>
      <c r="E2411" s="346"/>
      <c r="F2411" s="268"/>
      <c r="G2411" s="269"/>
      <c r="H2411" s="269"/>
      <c r="I2411" s="270"/>
      <c r="J2411" s="347"/>
      <c r="K2411" s="270"/>
      <c r="L2411" s="270"/>
      <c r="M2411" s="348"/>
      <c r="N2411" s="348"/>
      <c r="O2411" s="349"/>
      <c r="P2411" s="350"/>
      <c r="Q2411" s="276"/>
      <c r="R2411" s="277"/>
      <c r="S2411" s="277"/>
      <c r="T2411" s="351"/>
      <c r="U2411" s="278"/>
      <c r="V2411" s="269"/>
      <c r="W2411" s="269"/>
      <c r="X2411" s="275"/>
      <c r="Y2411" s="269"/>
      <c r="Z2411" s="350"/>
      <c r="AA2411" s="207"/>
      <c r="AB2411" s="352"/>
      <c r="AC2411" s="353"/>
      <c r="AD2411" s="54"/>
      <c r="AE2411" s="354"/>
      <c r="AF2411" s="355"/>
      <c r="AG2411" s="349"/>
      <c r="AH2411" s="30"/>
      <c r="AI2411" s="30"/>
      <c r="AJ2411" s="30"/>
      <c r="AK2411" s="30"/>
      <c r="AL2411" s="13"/>
      <c r="AM2411" s="13"/>
      <c r="AN2411" s="13"/>
      <c r="AO2411" s="13"/>
      <c r="AP2411" s="13"/>
      <c r="AQ2411" s="14"/>
      <c r="AR2411" s="15"/>
    </row>
    <row r="2412" spans="1:44" s="17" customFormat="1" ht="30.95" customHeight="1" x14ac:dyDescent="0.2">
      <c r="A2412" s="343"/>
      <c r="B2412" s="344"/>
      <c r="C2412" s="345"/>
      <c r="D2412" s="346"/>
      <c r="E2412" s="346"/>
      <c r="F2412" s="268"/>
      <c r="G2412" s="269"/>
      <c r="H2412" s="269"/>
      <c r="I2412" s="270"/>
      <c r="J2412" s="347"/>
      <c r="K2412" s="270"/>
      <c r="L2412" s="270"/>
      <c r="M2412" s="348"/>
      <c r="N2412" s="348"/>
      <c r="O2412" s="349"/>
      <c r="P2412" s="350"/>
      <c r="Q2412" s="276"/>
      <c r="R2412" s="277"/>
      <c r="S2412" s="277"/>
      <c r="T2412" s="351"/>
      <c r="U2412" s="278"/>
      <c r="V2412" s="269"/>
      <c r="W2412" s="269"/>
      <c r="X2412" s="275"/>
      <c r="Y2412" s="269"/>
      <c r="Z2412" s="350"/>
      <c r="AA2412" s="207"/>
      <c r="AB2412" s="352"/>
      <c r="AC2412" s="353"/>
      <c r="AD2412" s="54"/>
      <c r="AE2412" s="354"/>
      <c r="AF2412" s="355"/>
      <c r="AG2412" s="349"/>
      <c r="AH2412" s="30"/>
      <c r="AI2412" s="30"/>
      <c r="AJ2412" s="30"/>
      <c r="AK2412" s="30"/>
      <c r="AL2412" s="13"/>
      <c r="AM2412" s="13"/>
      <c r="AN2412" s="13"/>
      <c r="AO2412" s="13"/>
      <c r="AP2412" s="13"/>
      <c r="AQ2412" s="14"/>
      <c r="AR2412" s="15"/>
    </row>
    <row r="2413" spans="1:44" s="17" customFormat="1" ht="30.95" customHeight="1" x14ac:dyDescent="0.2">
      <c r="A2413" s="343"/>
      <c r="B2413" s="344"/>
      <c r="C2413" s="345"/>
      <c r="D2413" s="346"/>
      <c r="E2413" s="346"/>
      <c r="F2413" s="268"/>
      <c r="G2413" s="269"/>
      <c r="H2413" s="269"/>
      <c r="I2413" s="270"/>
      <c r="J2413" s="347"/>
      <c r="K2413" s="270"/>
      <c r="L2413" s="270"/>
      <c r="M2413" s="348"/>
      <c r="N2413" s="348"/>
      <c r="O2413" s="349"/>
      <c r="P2413" s="350"/>
      <c r="Q2413" s="276"/>
      <c r="R2413" s="277"/>
      <c r="S2413" s="277"/>
      <c r="T2413" s="351"/>
      <c r="U2413" s="278"/>
      <c r="V2413" s="269"/>
      <c r="W2413" s="269"/>
      <c r="X2413" s="275"/>
      <c r="Y2413" s="269"/>
      <c r="Z2413" s="350"/>
      <c r="AA2413" s="207"/>
      <c r="AB2413" s="352"/>
      <c r="AC2413" s="353"/>
      <c r="AD2413" s="54"/>
      <c r="AE2413" s="354"/>
      <c r="AF2413" s="355"/>
      <c r="AG2413" s="349"/>
      <c r="AH2413" s="30"/>
      <c r="AI2413" s="30"/>
      <c r="AJ2413" s="30"/>
      <c r="AK2413" s="30"/>
      <c r="AL2413" s="13"/>
      <c r="AM2413" s="13"/>
      <c r="AN2413" s="13"/>
      <c r="AO2413" s="13"/>
      <c r="AP2413" s="13"/>
      <c r="AQ2413" s="14"/>
      <c r="AR2413" s="15"/>
    </row>
    <row r="2414" spans="1:44" s="17" customFormat="1" ht="30.95" customHeight="1" x14ac:dyDescent="0.2">
      <c r="A2414" s="343"/>
      <c r="B2414" s="344"/>
      <c r="C2414" s="345"/>
      <c r="D2414" s="346"/>
      <c r="E2414" s="346"/>
      <c r="F2414" s="268"/>
      <c r="G2414" s="269"/>
      <c r="H2414" s="269"/>
      <c r="I2414" s="270"/>
      <c r="J2414" s="347"/>
      <c r="K2414" s="270"/>
      <c r="L2414" s="270"/>
      <c r="M2414" s="348"/>
      <c r="N2414" s="348"/>
      <c r="O2414" s="349"/>
      <c r="P2414" s="350"/>
      <c r="Q2414" s="276"/>
      <c r="R2414" s="277"/>
      <c r="S2414" s="277"/>
      <c r="T2414" s="351"/>
      <c r="U2414" s="278"/>
      <c r="V2414" s="269"/>
      <c r="W2414" s="269"/>
      <c r="X2414" s="275"/>
      <c r="Y2414" s="269"/>
      <c r="Z2414" s="350"/>
      <c r="AA2414" s="207"/>
      <c r="AB2414" s="352"/>
      <c r="AC2414" s="353"/>
      <c r="AD2414" s="54"/>
      <c r="AE2414" s="354"/>
      <c r="AF2414" s="355"/>
      <c r="AG2414" s="349"/>
      <c r="AH2414" s="30"/>
      <c r="AI2414" s="30"/>
      <c r="AJ2414" s="30"/>
      <c r="AK2414" s="30"/>
      <c r="AL2414" s="13"/>
      <c r="AM2414" s="13"/>
      <c r="AN2414" s="13"/>
      <c r="AO2414" s="13"/>
      <c r="AP2414" s="13"/>
      <c r="AQ2414" s="14"/>
      <c r="AR2414" s="15"/>
    </row>
    <row r="2415" spans="1:44" s="17" customFormat="1" ht="30.95" customHeight="1" x14ac:dyDescent="0.2">
      <c r="A2415" s="343"/>
      <c r="B2415" s="344"/>
      <c r="C2415" s="345"/>
      <c r="D2415" s="346"/>
      <c r="E2415" s="346"/>
      <c r="F2415" s="268"/>
      <c r="G2415" s="269"/>
      <c r="H2415" s="269"/>
      <c r="I2415" s="270"/>
      <c r="J2415" s="347"/>
      <c r="K2415" s="270"/>
      <c r="L2415" s="270"/>
      <c r="M2415" s="348"/>
      <c r="N2415" s="348"/>
      <c r="O2415" s="349"/>
      <c r="P2415" s="350"/>
      <c r="Q2415" s="276"/>
      <c r="R2415" s="277"/>
      <c r="S2415" s="277"/>
      <c r="T2415" s="351"/>
      <c r="U2415" s="278"/>
      <c r="V2415" s="269"/>
      <c r="W2415" s="269"/>
      <c r="X2415" s="275"/>
      <c r="Y2415" s="269"/>
      <c r="Z2415" s="350"/>
      <c r="AA2415" s="207"/>
      <c r="AB2415" s="352"/>
      <c r="AC2415" s="353"/>
      <c r="AD2415" s="54"/>
      <c r="AE2415" s="354"/>
      <c r="AF2415" s="355"/>
      <c r="AG2415" s="349"/>
      <c r="AH2415" s="30"/>
      <c r="AI2415" s="30"/>
      <c r="AJ2415" s="30"/>
      <c r="AK2415" s="30"/>
      <c r="AL2415" s="13"/>
      <c r="AM2415" s="13"/>
      <c r="AN2415" s="13"/>
      <c r="AO2415" s="13"/>
      <c r="AP2415" s="13"/>
      <c r="AQ2415" s="14"/>
      <c r="AR2415" s="15"/>
    </row>
    <row r="2416" spans="1:44" s="17" customFormat="1" ht="30.95" customHeight="1" x14ac:dyDescent="0.2">
      <c r="A2416" s="343"/>
      <c r="B2416" s="344"/>
      <c r="C2416" s="345"/>
      <c r="D2416" s="346"/>
      <c r="E2416" s="346"/>
      <c r="F2416" s="268"/>
      <c r="G2416" s="269"/>
      <c r="H2416" s="269"/>
      <c r="I2416" s="270"/>
      <c r="J2416" s="347"/>
      <c r="K2416" s="270"/>
      <c r="L2416" s="270"/>
      <c r="M2416" s="348"/>
      <c r="N2416" s="348"/>
      <c r="O2416" s="349"/>
      <c r="P2416" s="350"/>
      <c r="Q2416" s="276"/>
      <c r="R2416" s="277"/>
      <c r="S2416" s="277"/>
      <c r="T2416" s="351"/>
      <c r="U2416" s="278"/>
      <c r="V2416" s="269"/>
      <c r="W2416" s="269"/>
      <c r="X2416" s="275"/>
      <c r="Y2416" s="269"/>
      <c r="Z2416" s="350"/>
      <c r="AA2416" s="207"/>
      <c r="AB2416" s="352"/>
      <c r="AC2416" s="353"/>
      <c r="AD2416" s="54"/>
      <c r="AE2416" s="354"/>
      <c r="AF2416" s="355"/>
      <c r="AG2416" s="349"/>
      <c r="AH2416" s="30"/>
      <c r="AI2416" s="30"/>
      <c r="AJ2416" s="30"/>
      <c r="AK2416" s="30"/>
      <c r="AL2416" s="13"/>
      <c r="AM2416" s="13"/>
      <c r="AN2416" s="13"/>
      <c r="AO2416" s="13"/>
      <c r="AP2416" s="13"/>
      <c r="AQ2416" s="14"/>
      <c r="AR2416" s="15"/>
    </row>
    <row r="2417" spans="1:44" s="17" customFormat="1" ht="30.95" customHeight="1" x14ac:dyDescent="0.2">
      <c r="A2417" s="343"/>
      <c r="B2417" s="344"/>
      <c r="C2417" s="345"/>
      <c r="D2417" s="346"/>
      <c r="E2417" s="346"/>
      <c r="F2417" s="268"/>
      <c r="G2417" s="269"/>
      <c r="H2417" s="269"/>
      <c r="I2417" s="270"/>
      <c r="J2417" s="347"/>
      <c r="K2417" s="270"/>
      <c r="L2417" s="270"/>
      <c r="M2417" s="348"/>
      <c r="N2417" s="348"/>
      <c r="O2417" s="349"/>
      <c r="P2417" s="350"/>
      <c r="Q2417" s="276"/>
      <c r="R2417" s="277"/>
      <c r="S2417" s="277"/>
      <c r="T2417" s="351"/>
      <c r="U2417" s="278"/>
      <c r="V2417" s="269"/>
      <c r="W2417" s="269"/>
      <c r="X2417" s="275"/>
      <c r="Y2417" s="269"/>
      <c r="Z2417" s="350"/>
      <c r="AA2417" s="207"/>
      <c r="AB2417" s="352"/>
      <c r="AC2417" s="353"/>
      <c r="AD2417" s="54"/>
      <c r="AE2417" s="354"/>
      <c r="AF2417" s="355"/>
      <c r="AG2417" s="349"/>
      <c r="AH2417" s="30"/>
      <c r="AI2417" s="30"/>
      <c r="AJ2417" s="30"/>
      <c r="AK2417" s="30"/>
      <c r="AL2417" s="13"/>
      <c r="AM2417" s="13"/>
      <c r="AN2417" s="13"/>
      <c r="AO2417" s="13"/>
      <c r="AP2417" s="13"/>
      <c r="AQ2417" s="14"/>
      <c r="AR2417" s="15"/>
    </row>
    <row r="2418" spans="1:44" s="17" customFormat="1" ht="30.95" customHeight="1" x14ac:dyDescent="0.2">
      <c r="A2418" s="343"/>
      <c r="B2418" s="344"/>
      <c r="C2418" s="345"/>
      <c r="D2418" s="346"/>
      <c r="E2418" s="346"/>
      <c r="F2418" s="268"/>
      <c r="G2418" s="269"/>
      <c r="H2418" s="269"/>
      <c r="I2418" s="270"/>
      <c r="J2418" s="347"/>
      <c r="K2418" s="270"/>
      <c r="L2418" s="270"/>
      <c r="M2418" s="348"/>
      <c r="N2418" s="348"/>
      <c r="O2418" s="349"/>
      <c r="P2418" s="350"/>
      <c r="Q2418" s="276"/>
      <c r="R2418" s="277"/>
      <c r="S2418" s="277"/>
      <c r="T2418" s="351"/>
      <c r="U2418" s="278"/>
      <c r="V2418" s="269"/>
      <c r="W2418" s="269"/>
      <c r="X2418" s="275"/>
      <c r="Y2418" s="269"/>
      <c r="Z2418" s="350"/>
      <c r="AA2418" s="207"/>
      <c r="AB2418" s="352"/>
      <c r="AC2418" s="353"/>
      <c r="AD2418" s="54"/>
      <c r="AE2418" s="354"/>
      <c r="AF2418" s="355"/>
      <c r="AG2418" s="349"/>
      <c r="AH2418" s="30"/>
      <c r="AI2418" s="30"/>
      <c r="AJ2418" s="30"/>
      <c r="AK2418" s="30"/>
      <c r="AL2418" s="13"/>
      <c r="AM2418" s="13"/>
      <c r="AN2418" s="13"/>
      <c r="AO2418" s="13"/>
      <c r="AP2418" s="13"/>
      <c r="AQ2418" s="14"/>
      <c r="AR2418" s="15"/>
    </row>
    <row r="2419" spans="1:44" s="17" customFormat="1" ht="30.95" customHeight="1" x14ac:dyDescent="0.2">
      <c r="A2419" s="343"/>
      <c r="B2419" s="344"/>
      <c r="C2419" s="345"/>
      <c r="D2419" s="346"/>
      <c r="E2419" s="346"/>
      <c r="F2419" s="268"/>
      <c r="G2419" s="269"/>
      <c r="H2419" s="269"/>
      <c r="I2419" s="270"/>
      <c r="J2419" s="347"/>
      <c r="K2419" s="270"/>
      <c r="L2419" s="270"/>
      <c r="M2419" s="348"/>
      <c r="N2419" s="348"/>
      <c r="O2419" s="349"/>
      <c r="P2419" s="350"/>
      <c r="Q2419" s="276"/>
      <c r="R2419" s="277"/>
      <c r="S2419" s="277"/>
      <c r="T2419" s="351"/>
      <c r="U2419" s="278"/>
      <c r="V2419" s="269"/>
      <c r="W2419" s="269"/>
      <c r="X2419" s="275"/>
      <c r="Y2419" s="269"/>
      <c r="Z2419" s="350"/>
      <c r="AA2419" s="207"/>
      <c r="AB2419" s="352"/>
      <c r="AC2419" s="353"/>
      <c r="AD2419" s="54"/>
      <c r="AE2419" s="354"/>
      <c r="AF2419" s="355"/>
      <c r="AG2419" s="349"/>
      <c r="AH2419" s="30"/>
      <c r="AI2419" s="30"/>
      <c r="AJ2419" s="30"/>
      <c r="AK2419" s="30"/>
      <c r="AL2419" s="13"/>
      <c r="AM2419" s="13"/>
      <c r="AN2419" s="13"/>
      <c r="AO2419" s="13"/>
      <c r="AP2419" s="13"/>
      <c r="AQ2419" s="14"/>
      <c r="AR2419" s="15"/>
    </row>
    <row r="2420" spans="1:44" s="17" customFormat="1" ht="30.95" customHeight="1" x14ac:dyDescent="0.2">
      <c r="A2420" s="343"/>
      <c r="B2420" s="344"/>
      <c r="C2420" s="345"/>
      <c r="D2420" s="346"/>
      <c r="E2420" s="346"/>
      <c r="F2420" s="268"/>
      <c r="G2420" s="269"/>
      <c r="H2420" s="269"/>
      <c r="I2420" s="270"/>
      <c r="J2420" s="347"/>
      <c r="K2420" s="270"/>
      <c r="L2420" s="270"/>
      <c r="M2420" s="348"/>
      <c r="N2420" s="348"/>
      <c r="O2420" s="349"/>
      <c r="P2420" s="350"/>
      <c r="Q2420" s="276"/>
      <c r="R2420" s="277"/>
      <c r="S2420" s="277"/>
      <c r="T2420" s="351"/>
      <c r="U2420" s="278"/>
      <c r="V2420" s="269"/>
      <c r="W2420" s="269"/>
      <c r="X2420" s="275"/>
      <c r="Y2420" s="269"/>
      <c r="Z2420" s="350"/>
      <c r="AA2420" s="207"/>
      <c r="AB2420" s="352"/>
      <c r="AC2420" s="353"/>
      <c r="AD2420" s="54"/>
      <c r="AE2420" s="354"/>
      <c r="AF2420" s="355"/>
      <c r="AG2420" s="349"/>
      <c r="AH2420" s="30"/>
      <c r="AI2420" s="30"/>
      <c r="AJ2420" s="30"/>
      <c r="AK2420" s="30"/>
      <c r="AL2420" s="13"/>
      <c r="AM2420" s="13"/>
      <c r="AN2420" s="13"/>
      <c r="AO2420" s="13"/>
      <c r="AP2420" s="13"/>
      <c r="AQ2420" s="14"/>
      <c r="AR2420" s="15"/>
    </row>
    <row r="2421" spans="1:44" s="17" customFormat="1" ht="30.95" customHeight="1" x14ac:dyDescent="0.2">
      <c r="A2421" s="343"/>
      <c r="B2421" s="344"/>
      <c r="C2421" s="345"/>
      <c r="D2421" s="346"/>
      <c r="E2421" s="346"/>
      <c r="F2421" s="268"/>
      <c r="G2421" s="269"/>
      <c r="H2421" s="269"/>
      <c r="I2421" s="270"/>
      <c r="J2421" s="347"/>
      <c r="K2421" s="270"/>
      <c r="L2421" s="270"/>
      <c r="M2421" s="348"/>
      <c r="N2421" s="348"/>
      <c r="O2421" s="349"/>
      <c r="P2421" s="350"/>
      <c r="Q2421" s="276"/>
      <c r="R2421" s="277"/>
      <c r="S2421" s="277"/>
      <c r="T2421" s="351"/>
      <c r="U2421" s="278"/>
      <c r="V2421" s="269"/>
      <c r="W2421" s="269"/>
      <c r="X2421" s="275"/>
      <c r="Y2421" s="269"/>
      <c r="Z2421" s="350"/>
      <c r="AA2421" s="207"/>
      <c r="AB2421" s="352"/>
      <c r="AC2421" s="353"/>
      <c r="AD2421" s="54"/>
      <c r="AE2421" s="354"/>
      <c r="AF2421" s="355"/>
      <c r="AG2421" s="349"/>
      <c r="AH2421" s="30"/>
      <c r="AI2421" s="30"/>
      <c r="AJ2421" s="30"/>
      <c r="AK2421" s="30"/>
      <c r="AL2421" s="13"/>
      <c r="AM2421" s="13"/>
      <c r="AN2421" s="13"/>
      <c r="AO2421" s="13"/>
      <c r="AP2421" s="13"/>
      <c r="AQ2421" s="14"/>
      <c r="AR2421" s="15"/>
    </row>
    <row r="2422" spans="1:44" s="17" customFormat="1" ht="30.95" customHeight="1" x14ac:dyDescent="0.2">
      <c r="A2422" s="343"/>
      <c r="B2422" s="344"/>
      <c r="C2422" s="345"/>
      <c r="D2422" s="346"/>
      <c r="E2422" s="346"/>
      <c r="F2422" s="268"/>
      <c r="G2422" s="269"/>
      <c r="H2422" s="269"/>
      <c r="I2422" s="270"/>
      <c r="J2422" s="347"/>
      <c r="K2422" s="270"/>
      <c r="L2422" s="270"/>
      <c r="M2422" s="348"/>
      <c r="N2422" s="348"/>
      <c r="O2422" s="349"/>
      <c r="P2422" s="350"/>
      <c r="Q2422" s="276"/>
      <c r="R2422" s="277"/>
      <c r="S2422" s="277"/>
      <c r="T2422" s="351"/>
      <c r="U2422" s="278"/>
      <c r="V2422" s="269"/>
      <c r="W2422" s="269"/>
      <c r="X2422" s="275"/>
      <c r="Y2422" s="269"/>
      <c r="Z2422" s="350"/>
      <c r="AA2422" s="207"/>
      <c r="AB2422" s="352"/>
      <c r="AC2422" s="353"/>
      <c r="AD2422" s="54"/>
      <c r="AE2422" s="354"/>
      <c r="AF2422" s="355"/>
      <c r="AG2422" s="349"/>
      <c r="AH2422" s="30"/>
      <c r="AI2422" s="30"/>
      <c r="AJ2422" s="30"/>
      <c r="AK2422" s="30"/>
      <c r="AL2422" s="13"/>
      <c r="AM2422" s="13"/>
      <c r="AN2422" s="13"/>
      <c r="AO2422" s="13"/>
      <c r="AP2422" s="13"/>
      <c r="AQ2422" s="14"/>
      <c r="AR2422" s="15"/>
    </row>
    <row r="2423" spans="1:44" s="17" customFormat="1" ht="30.95" customHeight="1" thickBot="1" x14ac:dyDescent="0.25">
      <c r="A2423" s="41"/>
      <c r="B2423" s="42"/>
      <c r="C2423" s="46"/>
      <c r="D2423" s="34"/>
      <c r="E2423" s="34"/>
      <c r="F2423" s="268" t="str">
        <f>IF(D2423="","",VLOOKUP(D2423,契約台帳!$A$3:$K$4986,6,FALSE)&amp;VLOOKUP(D2423,契約台帳!$A$3:$K$4986,7,FALSE)&amp;VLOOKUP(D2423,契約台帳!$A$3:$K$4986,8,FALSE)&amp;VLOOKUP(D2423,契約台帳!$A$3:$K$4986,9,FALSE)&amp;VLOOKUP(D2423,契約台帳!$A$3:$K$4986,11,FALSE))</f>
        <v/>
      </c>
      <c r="G2423" s="269" t="str">
        <f>IF(D2423="","",VLOOKUP(F2423,製品マスタ!$G$5:$H$5002,2,FALSE))</f>
        <v/>
      </c>
      <c r="H2423" s="269" t="str">
        <f>IF(D2423="","",VLOOKUP(F2423,製品マスタ!$G$5:$K$5002,5,FALSE))</f>
        <v/>
      </c>
      <c r="I2423" s="270" t="str">
        <f>IF(D2423="","",VLOOKUP(F2423,製品マスタ!$G$5:$L$5002,6,FALSE))</f>
        <v/>
      </c>
      <c r="J2423" s="35"/>
      <c r="K2423" s="270" t="str">
        <f>IF(D2423="","",VLOOKUP(D2423,契約台帳!$A$3:$L$4986,12,FALSE))</f>
        <v/>
      </c>
      <c r="L2423" s="270" t="str">
        <f>IF(D2423="","",INDEX(製品マスタ!$Q$5:$Q$5002,MATCH(F2423&amp;K2423,製品マスタ!$AO$5:$AO$5002,0)))</f>
        <v/>
      </c>
      <c r="M2423" s="48"/>
      <c r="N2423" s="48"/>
      <c r="O2423" s="49"/>
      <c r="P2423" s="58"/>
      <c r="Q2423" s="276" t="str">
        <f>IF(D2423="","",IF(J2423="リード付け",M2423,VLOOKUP(D2423,契約台帳!$A$3:$N$4986,14,FALSE)))</f>
        <v/>
      </c>
      <c r="R2423" s="277" t="str">
        <f>IF(D2423="","",IF(J2423="リード付け",M2423,VLOOKUP(D2423,契約台帳!$A$3:$O$4986,15,FALSE)))</f>
        <v/>
      </c>
      <c r="S2423" s="277" t="str">
        <f>IF(D2423="","",IF(J2423="リード付け",N2423,VLOOKUP(D2423,契約台帳!$A$3:$P$4986,16,FALSE)))</f>
        <v/>
      </c>
      <c r="T2423" s="50"/>
      <c r="U2423" s="278" t="str">
        <f ca="1">IF(D2423="","",IF(OFFSET(D2423,-2,0)=D2423,"",VLOOKUP(D2423,契約台帳!$A$3:$R$4986,18,FALSE)))</f>
        <v/>
      </c>
      <c r="V2423" s="269" t="str">
        <f>IF(J2423="巻返し",VLOOKUP(F2423&amp;K2423&amp;M2423,製品マスタ!$M$5:$AD$5002,18,FALSE),IF(J2423="リード付け","原反コア",IF(J2423="スリット",VLOOKUP(F2423&amp;K2423&amp;Q2423,製品マスタ!$N$5:$AD$5002,17,FALSE),"")))</f>
        <v/>
      </c>
      <c r="W2423" s="269" t="str">
        <f>IF(J2423="巻返し",VLOOKUP(F2423&amp;K2423&amp;M2423,製品マスタ!$M$5:$AE$5002,19,FALSE),IF(J2423="リード付け","-",IF(J2423="スリット",VLOOKUP(F2423&amp;K2423&amp;Q2423,製品マスタ!$N$5:$AE$5002,18,FALSE),"")))</f>
        <v/>
      </c>
      <c r="X2423" s="275" t="str">
        <f>IF(D2423="","",VLOOKUP(D2423,契約台帳!$A$3:$Q$4986,17,FALSE))</f>
        <v/>
      </c>
      <c r="Y2423" s="269" t="str">
        <f>IF(D2423="","",VLOOKUP(D2423,契約台帳!$A$3:$E$4986,5,FALSE))</f>
        <v/>
      </c>
      <c r="Z2423" s="58"/>
      <c r="AA2423" s="207" t="str">
        <f>IFERROR(VLOOKUP(F2423&amp;K2423&amp;M2423,製品マスタ!$M$5:$AM$5002,27,FALSE),"")</f>
        <v/>
      </c>
      <c r="AB2423" s="36"/>
      <c r="AC2423" s="190"/>
      <c r="AD2423" s="54"/>
      <c r="AE2423" s="56"/>
      <c r="AF2423" s="212"/>
      <c r="AG2423" s="49"/>
      <c r="AH2423" s="30"/>
      <c r="AI2423" s="30"/>
      <c r="AJ2423" s="30"/>
      <c r="AK2423" s="30"/>
      <c r="AL2423" s="13"/>
      <c r="AM2423" s="13"/>
      <c r="AN2423" s="13"/>
      <c r="AO2423" s="13"/>
      <c r="AP2423" s="13"/>
      <c r="AQ2423" s="14"/>
      <c r="AR2423" s="15"/>
    </row>
    <row r="2424" spans="1:44" x14ac:dyDescent="0.2">
      <c r="A2424" s="191"/>
      <c r="B2424" s="191"/>
      <c r="C2424" s="192"/>
      <c r="D2424" s="191"/>
      <c r="E2424" s="191"/>
      <c r="F2424" s="193"/>
      <c r="G2424" s="194"/>
      <c r="H2424" s="194"/>
      <c r="I2424" s="191"/>
      <c r="J2424" s="191"/>
      <c r="K2424" s="191"/>
      <c r="L2424" s="191"/>
      <c r="M2424" s="195"/>
      <c r="N2424" s="195"/>
      <c r="O2424" s="191"/>
      <c r="P2424" s="196"/>
      <c r="Q2424" s="197"/>
      <c r="R2424" s="198"/>
      <c r="S2424" s="198"/>
      <c r="T2424" s="199"/>
      <c r="U2424" s="199"/>
      <c r="V2424" s="200"/>
      <c r="W2424" s="200"/>
      <c r="X2424" s="199"/>
      <c r="Y2424" s="200"/>
      <c r="Z2424" s="196"/>
      <c r="AA2424" s="196"/>
      <c r="AB2424" s="196"/>
      <c r="AC2424" s="196"/>
    </row>
  </sheetData>
  <mergeCells count="1">
    <mergeCell ref="J2:Y2"/>
  </mergeCells>
  <phoneticPr fontId="17"/>
  <printOptions horizontalCentered="1"/>
  <pageMargins left="0" right="0" top="0.27559055118110237" bottom="0" header="0" footer="0"/>
  <pageSetup paperSize="8" scale="37" orientation="portrait" r:id="rId1"/>
  <headerFooter alignWithMargins="0">
    <oddHeader>&amp;L品質記録-PM-10-03-(PM)&amp;R&amp;D  &amp;T</oddHeader>
    <oddFooter>&amp;C&amp;P/&amp;N</oddFooter>
  </headerFooter>
  <rowBreaks count="7" manualBreakCount="7">
    <brk id="191" max="28" man="1"/>
    <brk id="345" max="28" man="1"/>
    <brk id="440" max="28" man="1"/>
    <brk id="537" max="28" man="1"/>
    <brk id="629" max="28" man="1"/>
    <brk id="727" max="28" man="1"/>
    <brk id="745" max="2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J2380"/>
  <sheetViews>
    <sheetView workbookViewId="0">
      <selection activeCell="B3" sqref="B3:AJ1033"/>
    </sheetView>
  </sheetViews>
  <sheetFormatPr defaultColWidth="9" defaultRowHeight="13.5" x14ac:dyDescent="0.15"/>
  <cols>
    <col min="1" max="1" width="19.75" style="252" bestFit="1" customWidth="1"/>
    <col min="2" max="2" width="5.375" style="252" customWidth="1"/>
    <col min="3" max="3" width="4.75" style="252" customWidth="1"/>
    <col min="4" max="6" width="9" style="252"/>
    <col min="7" max="8" width="6" style="252" customWidth="1"/>
    <col min="9" max="9" width="5.875" style="252" customWidth="1"/>
    <col min="10" max="10" width="9" style="252"/>
    <col min="11" max="11" width="10.5" style="252" bestFit="1" customWidth="1"/>
    <col min="12" max="16384" width="9" style="252"/>
  </cols>
  <sheetData>
    <row r="1" spans="1:36" x14ac:dyDescent="0.15">
      <c r="A1" s="252">
        <v>1</v>
      </c>
      <c r="B1" s="252">
        <v>2</v>
      </c>
      <c r="C1" s="252">
        <v>3</v>
      </c>
      <c r="D1" s="252">
        <v>4</v>
      </c>
      <c r="E1" s="252">
        <v>5</v>
      </c>
      <c r="F1" s="252">
        <v>6</v>
      </c>
      <c r="G1" s="252">
        <v>7</v>
      </c>
      <c r="H1" s="252">
        <v>8</v>
      </c>
      <c r="I1" s="252">
        <v>9</v>
      </c>
      <c r="J1" s="252">
        <v>10</v>
      </c>
      <c r="K1" s="252">
        <v>11</v>
      </c>
      <c r="L1" s="252">
        <v>12</v>
      </c>
      <c r="M1" s="252">
        <v>13</v>
      </c>
      <c r="N1" s="252">
        <v>14</v>
      </c>
      <c r="O1" s="252">
        <v>15</v>
      </c>
      <c r="P1" s="252">
        <v>16</v>
      </c>
      <c r="Q1" s="252">
        <v>17</v>
      </c>
      <c r="R1" s="252">
        <v>18</v>
      </c>
      <c r="S1" s="252">
        <v>19</v>
      </c>
      <c r="T1" s="252">
        <v>20</v>
      </c>
      <c r="U1" s="252">
        <v>21</v>
      </c>
      <c r="V1" s="252">
        <v>22</v>
      </c>
      <c r="W1" s="252">
        <v>23</v>
      </c>
      <c r="X1" s="252">
        <v>24</v>
      </c>
      <c r="Y1" s="252">
        <v>25</v>
      </c>
      <c r="Z1" s="252">
        <v>26</v>
      </c>
      <c r="AA1" s="252">
        <v>27</v>
      </c>
      <c r="AB1" s="252">
        <v>28</v>
      </c>
      <c r="AC1" s="252">
        <v>29</v>
      </c>
      <c r="AD1" s="252">
        <v>30</v>
      </c>
      <c r="AE1" s="252">
        <v>31</v>
      </c>
      <c r="AF1" s="252">
        <v>32</v>
      </c>
      <c r="AG1" s="252">
        <v>33</v>
      </c>
      <c r="AH1" s="252">
        <v>34</v>
      </c>
      <c r="AI1" s="252">
        <v>35</v>
      </c>
    </row>
    <row r="2" spans="1:36" x14ac:dyDescent="0.2">
      <c r="A2" s="253" t="s">
        <v>689</v>
      </c>
      <c r="B2" s="252" t="s">
        <v>334</v>
      </c>
      <c r="C2" s="252" t="s">
        <v>335</v>
      </c>
      <c r="D2" s="252" t="s">
        <v>336</v>
      </c>
      <c r="E2" s="252" t="s">
        <v>690</v>
      </c>
      <c r="F2" s="252" t="s">
        <v>338</v>
      </c>
      <c r="G2" s="252" t="s">
        <v>7</v>
      </c>
      <c r="H2" s="252" t="s">
        <v>691</v>
      </c>
      <c r="I2" s="252" t="s">
        <v>333</v>
      </c>
      <c r="J2" s="252" t="s">
        <v>337</v>
      </c>
      <c r="K2" s="252" t="s">
        <v>692</v>
      </c>
      <c r="L2" s="252" t="s">
        <v>693</v>
      </c>
      <c r="M2" s="252" t="s">
        <v>694</v>
      </c>
      <c r="N2" s="252" t="s">
        <v>695</v>
      </c>
      <c r="O2" s="252" t="s">
        <v>696</v>
      </c>
      <c r="P2" s="252" t="s">
        <v>697</v>
      </c>
      <c r="Q2" s="252" t="s">
        <v>698</v>
      </c>
      <c r="R2" s="252" t="s">
        <v>699</v>
      </c>
      <c r="S2" s="252" t="s">
        <v>700</v>
      </c>
      <c r="T2" s="252" t="s">
        <v>701</v>
      </c>
      <c r="U2" s="252" t="s">
        <v>702</v>
      </c>
      <c r="V2" s="252" t="s">
        <v>703</v>
      </c>
      <c r="W2" s="252" t="s">
        <v>704</v>
      </c>
      <c r="X2" s="252" t="s">
        <v>705</v>
      </c>
      <c r="Y2" s="252" t="s">
        <v>706</v>
      </c>
      <c r="Z2" s="252" t="s">
        <v>707</v>
      </c>
      <c r="AA2" s="252" t="s">
        <v>708</v>
      </c>
      <c r="AB2" s="252" t="s">
        <v>709</v>
      </c>
      <c r="AC2" s="252" t="s">
        <v>710</v>
      </c>
      <c r="AD2" s="252" t="s">
        <v>711</v>
      </c>
      <c r="AE2" s="254" t="s">
        <v>712</v>
      </c>
      <c r="AF2" s="254" t="s">
        <v>713</v>
      </c>
      <c r="AG2" s="255" t="s">
        <v>714</v>
      </c>
      <c r="AH2" s="255" t="s">
        <v>715</v>
      </c>
      <c r="AI2" s="256" t="s">
        <v>716</v>
      </c>
      <c r="AJ2" s="257" t="s">
        <v>717</v>
      </c>
    </row>
    <row r="3" spans="1:36" x14ac:dyDescent="0.2">
      <c r="A3" s="253" t="str">
        <f>TRIM(I3&amp;B3&amp;C3&amp;D3&amp;F3&amp;G3)</f>
        <v>3CSNA131HG12</v>
      </c>
      <c r="B3" s="252" t="s">
        <v>19</v>
      </c>
      <c r="C3" s="252" t="s">
        <v>20</v>
      </c>
      <c r="D3" s="252" t="s">
        <v>2388</v>
      </c>
      <c r="E3" s="252" t="s">
        <v>2389</v>
      </c>
      <c r="F3" s="252" t="s">
        <v>2390</v>
      </c>
      <c r="G3" s="252">
        <v>12</v>
      </c>
      <c r="H3" s="252" t="s">
        <v>928</v>
      </c>
      <c r="I3" s="252" t="s">
        <v>2391</v>
      </c>
      <c r="J3" s="252" t="s">
        <v>928</v>
      </c>
      <c r="K3" s="252" t="s">
        <v>3236</v>
      </c>
      <c r="L3" s="252">
        <v>4639.8116300000002</v>
      </c>
      <c r="M3" s="252">
        <v>91.7</v>
      </c>
      <c r="N3" s="252">
        <v>0</v>
      </c>
      <c r="O3" s="252">
        <v>3244.2748099999999</v>
      </c>
      <c r="P3" s="252">
        <v>0</v>
      </c>
      <c r="Q3" s="252">
        <v>0</v>
      </c>
      <c r="R3" s="252">
        <v>0</v>
      </c>
      <c r="S3" s="252">
        <v>0</v>
      </c>
      <c r="T3" s="252">
        <v>18.007480000000001</v>
      </c>
      <c r="U3" s="252">
        <v>240.37286</v>
      </c>
      <c r="V3" s="252">
        <v>89.005709999999993</v>
      </c>
      <c r="W3" s="252">
        <v>129.23324</v>
      </c>
      <c r="X3" s="252">
        <v>0</v>
      </c>
      <c r="Y3" s="252">
        <v>0</v>
      </c>
      <c r="Z3" s="252">
        <v>670.89469999999994</v>
      </c>
      <c r="AA3" s="252">
        <v>248.02283</v>
      </c>
      <c r="AB3" s="252">
        <v>0</v>
      </c>
      <c r="AC3" s="252">
        <v>0</v>
      </c>
      <c r="AD3" s="252">
        <v>1</v>
      </c>
      <c r="AE3" s="252" t="s">
        <v>19</v>
      </c>
      <c r="AF3" s="252" t="s">
        <v>718</v>
      </c>
      <c r="AG3" s="252">
        <f>+O3*M3/100</f>
        <v>2975.00000077</v>
      </c>
      <c r="AH3" s="252">
        <f>+P3*M3/100</f>
        <v>0</v>
      </c>
      <c r="AI3" s="252">
        <f>+AB3*M3/100</f>
        <v>0</v>
      </c>
      <c r="AJ3" s="252">
        <f>+AG3+AH3+AI3</f>
        <v>2975.00000077</v>
      </c>
    </row>
    <row r="4" spans="1:36" x14ac:dyDescent="0.2">
      <c r="A4" s="253" t="str">
        <f t="shared" ref="A4:A67" si="0">TRIM(I4&amp;B4&amp;C4&amp;D4&amp;F4&amp;G4)</f>
        <v>SNA131HG12</v>
      </c>
      <c r="B4" s="252" t="s">
        <v>19</v>
      </c>
      <c r="C4" s="252" t="s">
        <v>20</v>
      </c>
      <c r="D4" s="252" t="s">
        <v>2388</v>
      </c>
      <c r="E4" s="252" t="s">
        <v>2389</v>
      </c>
      <c r="F4" s="252" t="s">
        <v>2390</v>
      </c>
      <c r="G4" s="252">
        <v>12</v>
      </c>
      <c r="H4" s="252" t="s">
        <v>928</v>
      </c>
      <c r="I4" s="252" t="s">
        <v>928</v>
      </c>
      <c r="J4" s="252" t="s">
        <v>928</v>
      </c>
      <c r="K4" s="252" t="s">
        <v>3236</v>
      </c>
      <c r="L4" s="252">
        <v>4639.8129200000003</v>
      </c>
      <c r="M4" s="252">
        <v>91.7</v>
      </c>
      <c r="N4" s="252">
        <v>0</v>
      </c>
      <c r="O4" s="252">
        <v>3244.27502</v>
      </c>
      <c r="P4" s="252">
        <v>0</v>
      </c>
      <c r="Q4" s="252">
        <v>0</v>
      </c>
      <c r="R4" s="252">
        <v>0</v>
      </c>
      <c r="S4" s="252">
        <v>0</v>
      </c>
      <c r="T4" s="252">
        <v>18.00787</v>
      </c>
      <c r="U4" s="252">
        <v>240.37334000000001</v>
      </c>
      <c r="V4" s="252">
        <v>89.006129999999999</v>
      </c>
      <c r="W4" s="252">
        <v>129.23309</v>
      </c>
      <c r="X4" s="252">
        <v>0</v>
      </c>
      <c r="Y4" s="252">
        <v>0</v>
      </c>
      <c r="Z4" s="252">
        <v>670.89449000000002</v>
      </c>
      <c r="AA4" s="252">
        <v>248.02297999999999</v>
      </c>
      <c r="AB4" s="252">
        <v>0</v>
      </c>
      <c r="AC4" s="252">
        <v>0</v>
      </c>
      <c r="AD4" s="252">
        <v>1</v>
      </c>
      <c r="AE4" s="252" t="s">
        <v>19</v>
      </c>
      <c r="AF4" s="252" t="s">
        <v>718</v>
      </c>
      <c r="AG4" s="252">
        <f t="shared" ref="AG4:AG67" si="1">+O4*M4/100</f>
        <v>2975.0001933399999</v>
      </c>
      <c r="AH4" s="252">
        <f t="shared" ref="AH4:AH67" si="2">+P4*M4/100</f>
        <v>0</v>
      </c>
      <c r="AI4" s="252">
        <f t="shared" ref="AI4:AI67" si="3">+AB4*M4/100</f>
        <v>0</v>
      </c>
      <c r="AJ4" s="252">
        <f t="shared" ref="AJ4:AJ67" si="4">+AG4+AH4+AI4</f>
        <v>2975.0001933399999</v>
      </c>
    </row>
    <row r="5" spans="1:36" x14ac:dyDescent="0.2">
      <c r="A5" s="253" t="str">
        <f t="shared" si="0"/>
        <v>3CSNA131HGM12</v>
      </c>
      <c r="B5" s="252" t="s">
        <v>19</v>
      </c>
      <c r="C5" s="252" t="s">
        <v>20</v>
      </c>
      <c r="D5" s="252" t="s">
        <v>2388</v>
      </c>
      <c r="E5" s="252" t="s">
        <v>2389</v>
      </c>
      <c r="F5" s="252" t="s">
        <v>2393</v>
      </c>
      <c r="G5" s="252">
        <v>12</v>
      </c>
      <c r="H5" s="252" t="s">
        <v>928</v>
      </c>
      <c r="I5" s="252" t="s">
        <v>2391</v>
      </c>
      <c r="J5" s="252" t="s">
        <v>928</v>
      </c>
      <c r="K5" s="252" t="s">
        <v>3236</v>
      </c>
      <c r="L5" s="252">
        <v>4639.8116300000002</v>
      </c>
      <c r="M5" s="252">
        <v>91.7</v>
      </c>
      <c r="N5" s="252">
        <v>0</v>
      </c>
      <c r="O5" s="252">
        <v>3244.2748099999999</v>
      </c>
      <c r="P5" s="252">
        <v>0</v>
      </c>
      <c r="Q5" s="252">
        <v>0</v>
      </c>
      <c r="R5" s="252">
        <v>0</v>
      </c>
      <c r="S5" s="252">
        <v>0</v>
      </c>
      <c r="T5" s="252">
        <v>18.007480000000001</v>
      </c>
      <c r="U5" s="252">
        <v>240.37286</v>
      </c>
      <c r="V5" s="252">
        <v>89.005709999999993</v>
      </c>
      <c r="W5" s="252">
        <v>129.23324</v>
      </c>
      <c r="X5" s="252">
        <v>0</v>
      </c>
      <c r="Y5" s="252">
        <v>0</v>
      </c>
      <c r="Z5" s="252">
        <v>670.89469999999994</v>
      </c>
      <c r="AA5" s="252">
        <v>248.02283</v>
      </c>
      <c r="AB5" s="252">
        <v>0</v>
      </c>
      <c r="AC5" s="252">
        <v>0</v>
      </c>
      <c r="AD5" s="252">
        <v>1</v>
      </c>
      <c r="AE5" s="252" t="s">
        <v>19</v>
      </c>
      <c r="AF5" s="252" t="s">
        <v>718</v>
      </c>
      <c r="AG5" s="252">
        <f t="shared" si="1"/>
        <v>2975.00000077</v>
      </c>
      <c r="AH5" s="252">
        <f t="shared" si="2"/>
        <v>0</v>
      </c>
      <c r="AI5" s="252">
        <f t="shared" si="3"/>
        <v>0</v>
      </c>
      <c r="AJ5" s="252">
        <f t="shared" si="4"/>
        <v>2975.00000077</v>
      </c>
    </row>
    <row r="6" spans="1:36" x14ac:dyDescent="0.2">
      <c r="A6" s="253" t="str">
        <f t="shared" si="0"/>
        <v>SNA131HGM12</v>
      </c>
      <c r="B6" s="252" t="s">
        <v>19</v>
      </c>
      <c r="C6" s="252" t="s">
        <v>20</v>
      </c>
      <c r="D6" s="252" t="s">
        <v>2388</v>
      </c>
      <c r="E6" s="252" t="s">
        <v>2389</v>
      </c>
      <c r="F6" s="252" t="s">
        <v>2393</v>
      </c>
      <c r="G6" s="252">
        <v>12</v>
      </c>
      <c r="H6" s="252" t="s">
        <v>928</v>
      </c>
      <c r="I6" s="252" t="s">
        <v>928</v>
      </c>
      <c r="J6" s="252" t="s">
        <v>928</v>
      </c>
      <c r="K6" s="252" t="s">
        <v>3236</v>
      </c>
      <c r="L6" s="252">
        <v>4639.8037400000003</v>
      </c>
      <c r="M6" s="252">
        <v>91.7</v>
      </c>
      <c r="N6" s="252">
        <v>0</v>
      </c>
      <c r="O6" s="252">
        <v>3244.2745100000002</v>
      </c>
      <c r="P6" s="252">
        <v>0</v>
      </c>
      <c r="Q6" s="252">
        <v>0</v>
      </c>
      <c r="R6" s="252">
        <v>0</v>
      </c>
      <c r="S6" s="252">
        <v>0</v>
      </c>
      <c r="T6" s="252">
        <v>18.00592</v>
      </c>
      <c r="U6" s="252">
        <v>240.37363999999999</v>
      </c>
      <c r="V6" s="252">
        <v>89.004019999999997</v>
      </c>
      <c r="W6" s="252">
        <v>129.22972999999999</v>
      </c>
      <c r="X6" s="252">
        <v>0</v>
      </c>
      <c r="Y6" s="252">
        <v>0</v>
      </c>
      <c r="Z6" s="252">
        <v>670.89112</v>
      </c>
      <c r="AA6" s="252">
        <v>248.0248</v>
      </c>
      <c r="AB6" s="252">
        <v>0</v>
      </c>
      <c r="AC6" s="252">
        <v>0</v>
      </c>
      <c r="AD6" s="252">
        <v>1</v>
      </c>
      <c r="AE6" s="252" t="s">
        <v>19</v>
      </c>
      <c r="AF6" s="252" t="s">
        <v>718</v>
      </c>
      <c r="AG6" s="252">
        <f t="shared" si="1"/>
        <v>2974.9997256700003</v>
      </c>
      <c r="AH6" s="252">
        <f t="shared" si="2"/>
        <v>0</v>
      </c>
      <c r="AI6" s="252">
        <f t="shared" si="3"/>
        <v>0</v>
      </c>
      <c r="AJ6" s="252">
        <f t="shared" si="4"/>
        <v>2974.9997256700003</v>
      </c>
    </row>
    <row r="7" spans="1:36" x14ac:dyDescent="0.2">
      <c r="A7" s="253" t="str">
        <f t="shared" si="0"/>
        <v>3ASNA1HG12</v>
      </c>
      <c r="B7" s="252" t="s">
        <v>19</v>
      </c>
      <c r="C7" s="252" t="s">
        <v>20</v>
      </c>
      <c r="D7" s="252" t="s">
        <v>2388</v>
      </c>
      <c r="E7" s="252" t="s">
        <v>2389</v>
      </c>
      <c r="F7" s="252" t="s">
        <v>2394</v>
      </c>
      <c r="G7" s="252">
        <v>12</v>
      </c>
      <c r="H7" s="252" t="s">
        <v>928</v>
      </c>
      <c r="I7" s="252" t="s">
        <v>2395</v>
      </c>
      <c r="J7" s="252" t="s">
        <v>928</v>
      </c>
      <c r="K7" s="252" t="s">
        <v>3236</v>
      </c>
      <c r="L7" s="252">
        <v>4642.9525400000002</v>
      </c>
      <c r="M7" s="252">
        <v>91.7</v>
      </c>
      <c r="N7" s="252">
        <v>0</v>
      </c>
      <c r="O7" s="252">
        <v>3244.2748099999999</v>
      </c>
      <c r="P7" s="252">
        <v>0</v>
      </c>
      <c r="Q7" s="252">
        <v>0</v>
      </c>
      <c r="R7" s="252">
        <v>0</v>
      </c>
      <c r="S7" s="252">
        <v>0</v>
      </c>
      <c r="T7" s="252">
        <v>18.007480000000001</v>
      </c>
      <c r="U7" s="252">
        <v>240.37286</v>
      </c>
      <c r="V7" s="252">
        <v>91.005840000000006</v>
      </c>
      <c r="W7" s="252">
        <v>130.37402</v>
      </c>
      <c r="X7" s="252">
        <v>0</v>
      </c>
      <c r="Y7" s="252">
        <v>0</v>
      </c>
      <c r="Z7" s="252">
        <v>670.89469999999994</v>
      </c>
      <c r="AA7" s="252">
        <v>248.02283</v>
      </c>
      <c r="AB7" s="252">
        <v>0</v>
      </c>
      <c r="AC7" s="252">
        <v>0</v>
      </c>
      <c r="AD7" s="252">
        <v>1</v>
      </c>
      <c r="AE7" s="252" t="s">
        <v>19</v>
      </c>
      <c r="AF7" s="252" t="s">
        <v>718</v>
      </c>
      <c r="AG7" s="252">
        <f t="shared" si="1"/>
        <v>2975.00000077</v>
      </c>
      <c r="AH7" s="252">
        <f t="shared" si="2"/>
        <v>0</v>
      </c>
      <c r="AI7" s="252">
        <f t="shared" si="3"/>
        <v>0</v>
      </c>
      <c r="AJ7" s="252">
        <f t="shared" si="4"/>
        <v>2975.00000077</v>
      </c>
    </row>
    <row r="8" spans="1:36" x14ac:dyDescent="0.2">
      <c r="A8" s="253" t="str">
        <f t="shared" si="0"/>
        <v>3GSNA1HG12</v>
      </c>
      <c r="B8" s="252" t="s">
        <v>19</v>
      </c>
      <c r="C8" s="252" t="s">
        <v>20</v>
      </c>
      <c r="D8" s="252" t="s">
        <v>2388</v>
      </c>
      <c r="E8" s="252" t="s">
        <v>2389</v>
      </c>
      <c r="F8" s="252" t="s">
        <v>2394</v>
      </c>
      <c r="G8" s="252">
        <v>12</v>
      </c>
      <c r="H8" s="252" t="s">
        <v>928</v>
      </c>
      <c r="I8" s="252" t="s">
        <v>2396</v>
      </c>
      <c r="J8" s="252" t="s">
        <v>928</v>
      </c>
      <c r="K8" s="252" t="s">
        <v>3236</v>
      </c>
      <c r="L8" s="252">
        <v>5480.5097400000004</v>
      </c>
      <c r="M8" s="252">
        <v>91.7</v>
      </c>
      <c r="N8" s="252">
        <v>0</v>
      </c>
      <c r="O8" s="252">
        <v>4147.4154900000003</v>
      </c>
      <c r="P8" s="252">
        <v>0</v>
      </c>
      <c r="Q8" s="252">
        <v>0</v>
      </c>
      <c r="R8" s="252">
        <v>0</v>
      </c>
      <c r="S8" s="252">
        <v>0</v>
      </c>
      <c r="T8" s="252">
        <v>17.007069999999999</v>
      </c>
      <c r="U8" s="252">
        <v>236.24628999999999</v>
      </c>
      <c r="V8" s="252">
        <v>86.005520000000004</v>
      </c>
      <c r="W8" s="252">
        <v>127.20528</v>
      </c>
      <c r="X8" s="252">
        <v>0</v>
      </c>
      <c r="Y8" s="252">
        <v>0</v>
      </c>
      <c r="Z8" s="252">
        <v>631.66108999999994</v>
      </c>
      <c r="AA8" s="252">
        <v>234.96899999999999</v>
      </c>
      <c r="AB8" s="252">
        <v>0</v>
      </c>
      <c r="AC8" s="252">
        <v>0</v>
      </c>
      <c r="AD8" s="252">
        <v>1</v>
      </c>
      <c r="AE8" s="252" t="s">
        <v>19</v>
      </c>
      <c r="AF8" s="252" t="s">
        <v>718</v>
      </c>
      <c r="AG8" s="252">
        <f t="shared" si="1"/>
        <v>3803.1800043300004</v>
      </c>
      <c r="AH8" s="252">
        <f t="shared" si="2"/>
        <v>0</v>
      </c>
      <c r="AI8" s="252">
        <f t="shared" si="3"/>
        <v>0</v>
      </c>
      <c r="AJ8" s="252">
        <f t="shared" si="4"/>
        <v>3803.1800043300004</v>
      </c>
    </row>
    <row r="9" spans="1:36" x14ac:dyDescent="0.2">
      <c r="A9" s="253" t="str">
        <f t="shared" si="0"/>
        <v>SNA1HG12</v>
      </c>
      <c r="B9" s="252" t="s">
        <v>19</v>
      </c>
      <c r="C9" s="252" t="s">
        <v>20</v>
      </c>
      <c r="D9" s="252" t="s">
        <v>2388</v>
      </c>
      <c r="E9" s="252" t="s">
        <v>2389</v>
      </c>
      <c r="F9" s="252" t="s">
        <v>2394</v>
      </c>
      <c r="G9" s="252">
        <v>12</v>
      </c>
      <c r="H9" s="252" t="s">
        <v>928</v>
      </c>
      <c r="I9" s="252" t="s">
        <v>928</v>
      </c>
      <c r="J9" s="252" t="s">
        <v>928</v>
      </c>
      <c r="K9" s="252" t="s">
        <v>3236</v>
      </c>
      <c r="L9" s="252">
        <v>5037.8152200000004</v>
      </c>
      <c r="M9" s="252">
        <v>91.7</v>
      </c>
      <c r="N9" s="252">
        <v>0</v>
      </c>
      <c r="O9" s="252">
        <v>3670.0564199999999</v>
      </c>
      <c r="P9" s="252">
        <v>0</v>
      </c>
      <c r="Q9" s="252">
        <v>0</v>
      </c>
      <c r="R9" s="252">
        <v>0</v>
      </c>
      <c r="S9" s="252">
        <v>0</v>
      </c>
      <c r="T9" s="252">
        <v>17.535879999999999</v>
      </c>
      <c r="U9" s="252">
        <v>238.42750000000001</v>
      </c>
      <c r="V9" s="252">
        <v>88.648420000000002</v>
      </c>
      <c r="W9" s="252">
        <v>128.88012000000001</v>
      </c>
      <c r="X9" s="252">
        <v>0</v>
      </c>
      <c r="Y9" s="252">
        <v>0</v>
      </c>
      <c r="Z9" s="252">
        <v>652.39823000000001</v>
      </c>
      <c r="AA9" s="252">
        <v>241.86865</v>
      </c>
      <c r="AB9" s="252">
        <v>0</v>
      </c>
      <c r="AC9" s="252">
        <v>0</v>
      </c>
      <c r="AD9" s="252">
        <v>1</v>
      </c>
      <c r="AE9" s="252" t="s">
        <v>19</v>
      </c>
      <c r="AF9" s="252" t="s">
        <v>718</v>
      </c>
      <c r="AG9" s="252">
        <f t="shared" si="1"/>
        <v>3365.4417371399995</v>
      </c>
      <c r="AH9" s="252">
        <f t="shared" si="2"/>
        <v>0</v>
      </c>
      <c r="AI9" s="252">
        <f t="shared" si="3"/>
        <v>0</v>
      </c>
      <c r="AJ9" s="252">
        <f t="shared" si="4"/>
        <v>3365.4417371399995</v>
      </c>
    </row>
    <row r="10" spans="1:36" x14ac:dyDescent="0.2">
      <c r="A10" s="253" t="str">
        <f t="shared" si="0"/>
        <v>3ASNA1HGM12</v>
      </c>
      <c r="B10" s="252" t="s">
        <v>19</v>
      </c>
      <c r="C10" s="252" t="s">
        <v>20</v>
      </c>
      <c r="D10" s="252" t="s">
        <v>2388</v>
      </c>
      <c r="E10" s="252" t="s">
        <v>2389</v>
      </c>
      <c r="F10" s="252" t="s">
        <v>2397</v>
      </c>
      <c r="G10" s="252">
        <v>12</v>
      </c>
      <c r="H10" s="252" t="s">
        <v>928</v>
      </c>
      <c r="I10" s="252" t="s">
        <v>2395</v>
      </c>
      <c r="J10" s="252" t="s">
        <v>928</v>
      </c>
      <c r="K10" s="252" t="s">
        <v>3236</v>
      </c>
      <c r="L10" s="252">
        <v>4642.9525400000002</v>
      </c>
      <c r="M10" s="252">
        <v>91.7</v>
      </c>
      <c r="N10" s="252">
        <v>0</v>
      </c>
      <c r="O10" s="252">
        <v>3244.2748099999999</v>
      </c>
      <c r="P10" s="252">
        <v>0</v>
      </c>
      <c r="Q10" s="252">
        <v>0</v>
      </c>
      <c r="R10" s="252">
        <v>0</v>
      </c>
      <c r="S10" s="252">
        <v>0</v>
      </c>
      <c r="T10" s="252">
        <v>18.007480000000001</v>
      </c>
      <c r="U10" s="252">
        <v>240.37286</v>
      </c>
      <c r="V10" s="252">
        <v>91.005840000000006</v>
      </c>
      <c r="W10" s="252">
        <v>130.37402</v>
      </c>
      <c r="X10" s="252">
        <v>0</v>
      </c>
      <c r="Y10" s="252">
        <v>0</v>
      </c>
      <c r="Z10" s="252">
        <v>670.89469999999994</v>
      </c>
      <c r="AA10" s="252">
        <v>248.02283</v>
      </c>
      <c r="AB10" s="252">
        <v>0</v>
      </c>
      <c r="AC10" s="252">
        <v>0</v>
      </c>
      <c r="AD10" s="252">
        <v>1</v>
      </c>
      <c r="AE10" s="252" t="s">
        <v>19</v>
      </c>
      <c r="AF10" s="252" t="s">
        <v>718</v>
      </c>
      <c r="AG10" s="252">
        <f t="shared" si="1"/>
        <v>2975.00000077</v>
      </c>
      <c r="AH10" s="252">
        <f t="shared" si="2"/>
        <v>0</v>
      </c>
      <c r="AI10" s="252">
        <f t="shared" si="3"/>
        <v>0</v>
      </c>
      <c r="AJ10" s="252">
        <f t="shared" si="4"/>
        <v>2975.00000077</v>
      </c>
    </row>
    <row r="11" spans="1:36" x14ac:dyDescent="0.2">
      <c r="A11" s="253" t="str">
        <f t="shared" si="0"/>
        <v>3GSNA1HGM12</v>
      </c>
      <c r="B11" s="252" t="s">
        <v>19</v>
      </c>
      <c r="C11" s="252" t="s">
        <v>20</v>
      </c>
      <c r="D11" s="252" t="s">
        <v>2388</v>
      </c>
      <c r="E11" s="252" t="s">
        <v>2389</v>
      </c>
      <c r="F11" s="252" t="s">
        <v>2397</v>
      </c>
      <c r="G11" s="252">
        <v>12</v>
      </c>
      <c r="H11" s="252" t="s">
        <v>928</v>
      </c>
      <c r="I11" s="252" t="s">
        <v>2396</v>
      </c>
      <c r="J11" s="252" t="s">
        <v>928</v>
      </c>
      <c r="K11" s="252" t="s">
        <v>3236</v>
      </c>
      <c r="L11" s="252">
        <v>5480.5097400000004</v>
      </c>
      <c r="M11" s="252">
        <v>91.7</v>
      </c>
      <c r="N11" s="252">
        <v>0</v>
      </c>
      <c r="O11" s="252">
        <v>4147.4154900000003</v>
      </c>
      <c r="P11" s="252">
        <v>0</v>
      </c>
      <c r="Q11" s="252">
        <v>0</v>
      </c>
      <c r="R11" s="252">
        <v>0</v>
      </c>
      <c r="S11" s="252">
        <v>0</v>
      </c>
      <c r="T11" s="252">
        <v>17.007069999999999</v>
      </c>
      <c r="U11" s="252">
        <v>236.24628999999999</v>
      </c>
      <c r="V11" s="252">
        <v>86.005520000000004</v>
      </c>
      <c r="W11" s="252">
        <v>127.20528</v>
      </c>
      <c r="X11" s="252">
        <v>0</v>
      </c>
      <c r="Y11" s="252">
        <v>0</v>
      </c>
      <c r="Z11" s="252">
        <v>631.66108999999994</v>
      </c>
      <c r="AA11" s="252">
        <v>234.96899999999999</v>
      </c>
      <c r="AB11" s="252">
        <v>0</v>
      </c>
      <c r="AC11" s="252">
        <v>0</v>
      </c>
      <c r="AD11" s="252">
        <v>1</v>
      </c>
      <c r="AE11" s="252" t="s">
        <v>19</v>
      </c>
      <c r="AF11" s="252" t="s">
        <v>718</v>
      </c>
      <c r="AG11" s="252">
        <f t="shared" si="1"/>
        <v>3803.1800043300004</v>
      </c>
      <c r="AH11" s="252">
        <f t="shared" si="2"/>
        <v>0</v>
      </c>
      <c r="AI11" s="252">
        <f t="shared" si="3"/>
        <v>0</v>
      </c>
      <c r="AJ11" s="252">
        <f t="shared" si="4"/>
        <v>3803.1800043300004</v>
      </c>
    </row>
    <row r="12" spans="1:36" x14ac:dyDescent="0.2">
      <c r="A12" s="253" t="str">
        <f t="shared" si="0"/>
        <v>SNA1HGM12</v>
      </c>
      <c r="B12" s="252" t="s">
        <v>19</v>
      </c>
      <c r="C12" s="252" t="s">
        <v>20</v>
      </c>
      <c r="D12" s="252" t="s">
        <v>2388</v>
      </c>
      <c r="E12" s="252" t="s">
        <v>2389</v>
      </c>
      <c r="F12" s="252" t="s">
        <v>2397</v>
      </c>
      <c r="G12" s="252">
        <v>12</v>
      </c>
      <c r="H12" s="252" t="s">
        <v>928</v>
      </c>
      <c r="I12" s="252" t="s">
        <v>928</v>
      </c>
      <c r="J12" s="252" t="s">
        <v>928</v>
      </c>
      <c r="K12" s="252" t="s">
        <v>3236</v>
      </c>
      <c r="L12" s="252">
        <v>4803.4834799999999</v>
      </c>
      <c r="M12" s="252">
        <v>91.7</v>
      </c>
      <c r="N12" s="252">
        <v>0</v>
      </c>
      <c r="O12" s="252">
        <v>3417.3759399999999</v>
      </c>
      <c r="P12" s="252">
        <v>0</v>
      </c>
      <c r="Q12" s="252">
        <v>0</v>
      </c>
      <c r="R12" s="252">
        <v>0</v>
      </c>
      <c r="S12" s="252">
        <v>0</v>
      </c>
      <c r="T12" s="252">
        <v>17.816179999999999</v>
      </c>
      <c r="U12" s="252">
        <v>239.5823</v>
      </c>
      <c r="V12" s="252">
        <v>90.046559999999999</v>
      </c>
      <c r="W12" s="252">
        <v>129.76730000000001</v>
      </c>
      <c r="X12" s="252">
        <v>0</v>
      </c>
      <c r="Y12" s="252">
        <v>0</v>
      </c>
      <c r="Z12" s="252">
        <v>663.37446999999997</v>
      </c>
      <c r="AA12" s="252">
        <v>245.52072999999999</v>
      </c>
      <c r="AB12" s="252">
        <v>0</v>
      </c>
      <c r="AC12" s="252">
        <v>0</v>
      </c>
      <c r="AD12" s="252">
        <v>1</v>
      </c>
      <c r="AE12" s="252" t="s">
        <v>19</v>
      </c>
      <c r="AF12" s="252" t="s">
        <v>718</v>
      </c>
      <c r="AG12" s="252">
        <f t="shared" si="1"/>
        <v>3133.7337369799998</v>
      </c>
      <c r="AH12" s="252">
        <f t="shared" si="2"/>
        <v>0</v>
      </c>
      <c r="AI12" s="252">
        <f t="shared" si="3"/>
        <v>0</v>
      </c>
      <c r="AJ12" s="252">
        <f t="shared" si="4"/>
        <v>3133.7337369799998</v>
      </c>
    </row>
    <row r="13" spans="1:36" x14ac:dyDescent="0.2">
      <c r="A13" s="253" t="str">
        <f t="shared" si="0"/>
        <v>3M5SNA1SBJ212</v>
      </c>
      <c r="B13" s="252" t="s">
        <v>19</v>
      </c>
      <c r="C13" s="252" t="s">
        <v>20</v>
      </c>
      <c r="D13" s="252" t="s">
        <v>2388</v>
      </c>
      <c r="E13" s="252" t="s">
        <v>2389</v>
      </c>
      <c r="F13" s="252" t="s">
        <v>2398</v>
      </c>
      <c r="G13" s="252">
        <v>12</v>
      </c>
      <c r="H13" s="252" t="s">
        <v>928</v>
      </c>
      <c r="I13" s="252" t="s">
        <v>2399</v>
      </c>
      <c r="J13" s="252" t="s">
        <v>928</v>
      </c>
      <c r="K13" s="252" t="s">
        <v>3236</v>
      </c>
      <c r="L13" s="252">
        <v>3800.41797</v>
      </c>
      <c r="M13" s="252">
        <v>94</v>
      </c>
      <c r="N13" s="252">
        <v>0</v>
      </c>
      <c r="O13" s="252">
        <v>2714.8936199999998</v>
      </c>
      <c r="P13" s="252">
        <v>0</v>
      </c>
      <c r="Q13" s="252">
        <v>0</v>
      </c>
      <c r="R13" s="252">
        <v>0</v>
      </c>
      <c r="S13" s="252">
        <v>0</v>
      </c>
      <c r="T13" s="252">
        <v>28.01164</v>
      </c>
      <c r="U13" s="252">
        <v>0</v>
      </c>
      <c r="V13" s="252">
        <v>196.01257000000001</v>
      </c>
      <c r="W13" s="252">
        <v>156.72757999999999</v>
      </c>
      <c r="X13" s="252">
        <v>0</v>
      </c>
      <c r="Y13" s="252">
        <v>0</v>
      </c>
      <c r="Z13" s="252">
        <v>555.15554999999995</v>
      </c>
      <c r="AA13" s="252">
        <v>149.61700999999999</v>
      </c>
      <c r="AB13" s="252">
        <v>0</v>
      </c>
      <c r="AC13" s="252">
        <v>0</v>
      </c>
      <c r="AD13" s="252">
        <v>1</v>
      </c>
      <c r="AE13" s="252" t="s">
        <v>19</v>
      </c>
      <c r="AF13" s="252" t="s">
        <v>718</v>
      </c>
      <c r="AG13" s="252">
        <f t="shared" si="1"/>
        <v>2552.0000027999999</v>
      </c>
      <c r="AH13" s="252">
        <f t="shared" si="2"/>
        <v>0</v>
      </c>
      <c r="AI13" s="252">
        <f t="shared" si="3"/>
        <v>0</v>
      </c>
      <c r="AJ13" s="252">
        <f t="shared" si="4"/>
        <v>2552.0000027999999</v>
      </c>
    </row>
    <row r="14" spans="1:36" x14ac:dyDescent="0.2">
      <c r="A14" s="253" t="str">
        <f t="shared" si="0"/>
        <v>SNA1SBJ212</v>
      </c>
      <c r="B14" s="252" t="s">
        <v>19</v>
      </c>
      <c r="C14" s="252" t="s">
        <v>20</v>
      </c>
      <c r="D14" s="252" t="s">
        <v>2388</v>
      </c>
      <c r="E14" s="252" t="s">
        <v>2389</v>
      </c>
      <c r="F14" s="252" t="s">
        <v>2398</v>
      </c>
      <c r="G14" s="252">
        <v>12</v>
      </c>
      <c r="H14" s="252" t="s">
        <v>928</v>
      </c>
      <c r="I14" s="252" t="s">
        <v>928</v>
      </c>
      <c r="J14" s="252" t="s">
        <v>928</v>
      </c>
      <c r="K14" s="252" t="s">
        <v>3236</v>
      </c>
      <c r="L14" s="252">
        <v>3800.41795</v>
      </c>
      <c r="M14" s="252">
        <v>94</v>
      </c>
      <c r="N14" s="252">
        <v>0</v>
      </c>
      <c r="O14" s="252">
        <v>2714.8936100000001</v>
      </c>
      <c r="P14" s="252">
        <v>0</v>
      </c>
      <c r="Q14" s="252">
        <v>0</v>
      </c>
      <c r="R14" s="252">
        <v>0</v>
      </c>
      <c r="S14" s="252">
        <v>0</v>
      </c>
      <c r="T14" s="252">
        <v>28.01164</v>
      </c>
      <c r="U14" s="252">
        <v>0</v>
      </c>
      <c r="V14" s="252">
        <v>196.01256000000001</v>
      </c>
      <c r="W14" s="252">
        <v>156.72757999999999</v>
      </c>
      <c r="X14" s="252">
        <v>0</v>
      </c>
      <c r="Y14" s="252">
        <v>0</v>
      </c>
      <c r="Z14" s="252">
        <v>555.15557000000001</v>
      </c>
      <c r="AA14" s="252">
        <v>149.61698999999999</v>
      </c>
      <c r="AB14" s="252">
        <v>0</v>
      </c>
      <c r="AC14" s="252">
        <v>0</v>
      </c>
      <c r="AD14" s="252">
        <v>1</v>
      </c>
      <c r="AE14" s="252" t="s">
        <v>19</v>
      </c>
      <c r="AF14" s="252" t="s">
        <v>718</v>
      </c>
      <c r="AG14" s="252">
        <f t="shared" si="1"/>
        <v>2551.9999934000002</v>
      </c>
      <c r="AH14" s="252">
        <f t="shared" si="2"/>
        <v>0</v>
      </c>
      <c r="AI14" s="252">
        <f t="shared" si="3"/>
        <v>0</v>
      </c>
      <c r="AJ14" s="252">
        <f t="shared" si="4"/>
        <v>2551.9999934000002</v>
      </c>
    </row>
    <row r="15" spans="1:36" x14ac:dyDescent="0.2">
      <c r="A15" s="253" t="str">
        <f t="shared" si="0"/>
        <v>3ASNA1C14HGCW12</v>
      </c>
      <c r="B15" s="252" t="s">
        <v>19</v>
      </c>
      <c r="C15" s="252" t="s">
        <v>20</v>
      </c>
      <c r="D15" s="252" t="s">
        <v>2400</v>
      </c>
      <c r="E15" s="252" t="s">
        <v>2401</v>
      </c>
      <c r="F15" s="252" t="s">
        <v>2402</v>
      </c>
      <c r="G15" s="252">
        <v>12</v>
      </c>
      <c r="H15" s="252" t="s">
        <v>928</v>
      </c>
      <c r="I15" s="252" t="s">
        <v>2395</v>
      </c>
      <c r="J15" s="252" t="s">
        <v>928</v>
      </c>
      <c r="K15" s="252" t="s">
        <v>3236</v>
      </c>
      <c r="L15" s="252">
        <v>11644.34402</v>
      </c>
      <c r="M15" s="252">
        <v>83</v>
      </c>
      <c r="N15" s="252">
        <v>0</v>
      </c>
      <c r="O15" s="252">
        <v>8132.5301200000004</v>
      </c>
      <c r="P15" s="252">
        <v>0</v>
      </c>
      <c r="Q15" s="252">
        <v>0</v>
      </c>
      <c r="R15" s="252">
        <v>0</v>
      </c>
      <c r="S15" s="252">
        <v>0</v>
      </c>
      <c r="T15" s="252">
        <v>895.41463999999996</v>
      </c>
      <c r="U15" s="252">
        <v>237.28523999999999</v>
      </c>
      <c r="V15" s="252">
        <v>109.65711</v>
      </c>
      <c r="W15" s="252">
        <v>459.77667000000002</v>
      </c>
      <c r="X15" s="252">
        <v>0</v>
      </c>
      <c r="Y15" s="252">
        <v>0</v>
      </c>
      <c r="Z15" s="252">
        <v>1297.5863400000001</v>
      </c>
      <c r="AA15" s="252">
        <v>512.09389999999996</v>
      </c>
      <c r="AB15" s="252">
        <v>0</v>
      </c>
      <c r="AC15" s="252">
        <v>0</v>
      </c>
      <c r="AD15" s="252">
        <v>1</v>
      </c>
      <c r="AE15" s="252" t="s">
        <v>19</v>
      </c>
      <c r="AF15" s="252" t="s">
        <v>718</v>
      </c>
      <c r="AG15" s="252">
        <f t="shared" si="1"/>
        <v>6749.9999996000006</v>
      </c>
      <c r="AH15" s="252">
        <f t="shared" si="2"/>
        <v>0</v>
      </c>
      <c r="AI15" s="252">
        <f t="shared" si="3"/>
        <v>0</v>
      </c>
      <c r="AJ15" s="252">
        <f t="shared" si="4"/>
        <v>6749.9999996000006</v>
      </c>
    </row>
    <row r="16" spans="1:36" x14ac:dyDescent="0.2">
      <c r="A16" s="253" t="str">
        <f t="shared" si="0"/>
        <v>SNA1C14HGCW12</v>
      </c>
      <c r="B16" s="252" t="s">
        <v>19</v>
      </c>
      <c r="C16" s="252" t="s">
        <v>20</v>
      </c>
      <c r="D16" s="252" t="s">
        <v>2400</v>
      </c>
      <c r="E16" s="252" t="s">
        <v>2401</v>
      </c>
      <c r="F16" s="252" t="s">
        <v>2402</v>
      </c>
      <c r="G16" s="252">
        <v>12</v>
      </c>
      <c r="H16" s="252" t="s">
        <v>928</v>
      </c>
      <c r="I16" s="252" t="s">
        <v>928</v>
      </c>
      <c r="J16" s="252" t="s">
        <v>928</v>
      </c>
      <c r="K16" s="252" t="s">
        <v>3236</v>
      </c>
      <c r="L16" s="252">
        <v>11644.33841</v>
      </c>
      <c r="M16" s="252">
        <v>83</v>
      </c>
      <c r="N16" s="252">
        <v>0</v>
      </c>
      <c r="O16" s="252">
        <v>8132.5274900000004</v>
      </c>
      <c r="P16" s="252">
        <v>0</v>
      </c>
      <c r="Q16" s="252">
        <v>0</v>
      </c>
      <c r="R16" s="252">
        <v>0</v>
      </c>
      <c r="S16" s="252">
        <v>0</v>
      </c>
      <c r="T16" s="252">
        <v>895.41503999999998</v>
      </c>
      <c r="U16" s="252">
        <v>237.28272000000001</v>
      </c>
      <c r="V16" s="252">
        <v>109.65768</v>
      </c>
      <c r="W16" s="252">
        <v>459.77652</v>
      </c>
      <c r="X16" s="252">
        <v>0</v>
      </c>
      <c r="Y16" s="252">
        <v>0</v>
      </c>
      <c r="Z16" s="252">
        <v>1297.5842500000001</v>
      </c>
      <c r="AA16" s="252">
        <v>512.09470999999996</v>
      </c>
      <c r="AB16" s="252">
        <v>0</v>
      </c>
      <c r="AC16" s="252">
        <v>0</v>
      </c>
      <c r="AD16" s="252">
        <v>1</v>
      </c>
      <c r="AE16" s="252" t="s">
        <v>19</v>
      </c>
      <c r="AF16" s="252" t="s">
        <v>718</v>
      </c>
      <c r="AG16" s="252">
        <f t="shared" si="1"/>
        <v>6749.9978167000008</v>
      </c>
      <c r="AH16" s="252">
        <f t="shared" si="2"/>
        <v>0</v>
      </c>
      <c r="AI16" s="252">
        <f t="shared" si="3"/>
        <v>0</v>
      </c>
      <c r="AJ16" s="252">
        <f t="shared" si="4"/>
        <v>6749.9978167000008</v>
      </c>
    </row>
    <row r="17" spans="1:36" x14ac:dyDescent="0.2">
      <c r="A17" s="253" t="str">
        <f t="shared" si="0"/>
        <v>3ASNA1C31HGCR12</v>
      </c>
      <c r="B17" s="252" t="s">
        <v>19</v>
      </c>
      <c r="C17" s="252" t="s">
        <v>20</v>
      </c>
      <c r="D17" s="252" t="s">
        <v>2400</v>
      </c>
      <c r="E17" s="252" t="s">
        <v>2401</v>
      </c>
      <c r="F17" s="252" t="s">
        <v>2403</v>
      </c>
      <c r="G17" s="252">
        <v>12</v>
      </c>
      <c r="H17" s="252" t="s">
        <v>928</v>
      </c>
      <c r="I17" s="252" t="s">
        <v>2395</v>
      </c>
      <c r="J17" s="252" t="s">
        <v>928</v>
      </c>
      <c r="K17" s="252" t="s">
        <v>3236</v>
      </c>
      <c r="L17" s="252">
        <v>6008.1103400000002</v>
      </c>
      <c r="M17" s="252">
        <v>90.5</v>
      </c>
      <c r="N17" s="252">
        <v>0</v>
      </c>
      <c r="O17" s="252">
        <v>3287.2928200000001</v>
      </c>
      <c r="P17" s="252">
        <v>0</v>
      </c>
      <c r="Q17" s="252">
        <v>0</v>
      </c>
      <c r="R17" s="252">
        <v>0</v>
      </c>
      <c r="S17" s="252">
        <v>0</v>
      </c>
      <c r="T17" s="252">
        <v>755.76325999999995</v>
      </c>
      <c r="U17" s="252">
        <v>236.25355999999999</v>
      </c>
      <c r="V17" s="252">
        <v>102.65683</v>
      </c>
      <c r="W17" s="252">
        <v>296.79739999999998</v>
      </c>
      <c r="X17" s="252">
        <v>0</v>
      </c>
      <c r="Y17" s="252">
        <v>0</v>
      </c>
      <c r="Z17" s="252">
        <v>962.12786000000006</v>
      </c>
      <c r="AA17" s="252">
        <v>367.21861000000001</v>
      </c>
      <c r="AB17" s="252">
        <v>0</v>
      </c>
      <c r="AC17" s="252">
        <v>0</v>
      </c>
      <c r="AD17" s="252">
        <v>1</v>
      </c>
      <c r="AE17" s="252" t="s">
        <v>19</v>
      </c>
      <c r="AF17" s="252" t="s">
        <v>718</v>
      </c>
      <c r="AG17" s="252">
        <f t="shared" si="1"/>
        <v>2975.0000021000001</v>
      </c>
      <c r="AH17" s="252">
        <f t="shared" si="2"/>
        <v>0</v>
      </c>
      <c r="AI17" s="252">
        <f t="shared" si="3"/>
        <v>0</v>
      </c>
      <c r="AJ17" s="252">
        <f t="shared" si="4"/>
        <v>2975.0000021000001</v>
      </c>
    </row>
    <row r="18" spans="1:36" x14ac:dyDescent="0.2">
      <c r="A18" s="253" t="str">
        <f t="shared" si="0"/>
        <v>SNA1C31HGCR12</v>
      </c>
      <c r="B18" s="252" t="s">
        <v>19</v>
      </c>
      <c r="C18" s="252" t="s">
        <v>20</v>
      </c>
      <c r="D18" s="252" t="s">
        <v>2400</v>
      </c>
      <c r="E18" s="252" t="s">
        <v>2401</v>
      </c>
      <c r="F18" s="252" t="s">
        <v>2403</v>
      </c>
      <c r="G18" s="252">
        <v>12</v>
      </c>
      <c r="H18" s="252" t="s">
        <v>928</v>
      </c>
      <c r="I18" s="252" t="s">
        <v>928</v>
      </c>
      <c r="J18" s="252" t="s">
        <v>928</v>
      </c>
      <c r="K18" s="252" t="s">
        <v>3236</v>
      </c>
      <c r="L18" s="252">
        <v>6008.1088900000004</v>
      </c>
      <c r="M18" s="252">
        <v>90.5</v>
      </c>
      <c r="N18" s="252">
        <v>0</v>
      </c>
      <c r="O18" s="252">
        <v>3287.2928700000002</v>
      </c>
      <c r="P18" s="252">
        <v>0</v>
      </c>
      <c r="Q18" s="252">
        <v>0</v>
      </c>
      <c r="R18" s="252">
        <v>0</v>
      </c>
      <c r="S18" s="252">
        <v>0</v>
      </c>
      <c r="T18" s="252">
        <v>755.76288</v>
      </c>
      <c r="U18" s="252">
        <v>236.25348</v>
      </c>
      <c r="V18" s="252">
        <v>102.65649999999999</v>
      </c>
      <c r="W18" s="252">
        <v>296.79703000000001</v>
      </c>
      <c r="X18" s="252">
        <v>0</v>
      </c>
      <c r="Y18" s="252">
        <v>0</v>
      </c>
      <c r="Z18" s="252">
        <v>962.12711000000002</v>
      </c>
      <c r="AA18" s="252">
        <v>367.21902</v>
      </c>
      <c r="AB18" s="252">
        <v>0</v>
      </c>
      <c r="AC18" s="252">
        <v>0</v>
      </c>
      <c r="AD18" s="252">
        <v>1</v>
      </c>
      <c r="AE18" s="252" t="s">
        <v>19</v>
      </c>
      <c r="AF18" s="252" t="s">
        <v>718</v>
      </c>
      <c r="AG18" s="252">
        <f t="shared" si="1"/>
        <v>2975.0000473500004</v>
      </c>
      <c r="AH18" s="252">
        <f t="shared" si="2"/>
        <v>0</v>
      </c>
      <c r="AI18" s="252">
        <f t="shared" si="3"/>
        <v>0</v>
      </c>
      <c r="AJ18" s="252">
        <f t="shared" si="4"/>
        <v>2975.0000473500004</v>
      </c>
    </row>
    <row r="19" spans="1:36" x14ac:dyDescent="0.2">
      <c r="A19" s="253" t="str">
        <f t="shared" si="0"/>
        <v>3ASNA1C31HGMCR12</v>
      </c>
      <c r="B19" s="252" t="s">
        <v>19</v>
      </c>
      <c r="C19" s="252" t="s">
        <v>20</v>
      </c>
      <c r="D19" s="252" t="s">
        <v>2400</v>
      </c>
      <c r="E19" s="252" t="s">
        <v>2401</v>
      </c>
      <c r="F19" s="252" t="s">
        <v>2404</v>
      </c>
      <c r="G19" s="252">
        <v>12</v>
      </c>
      <c r="H19" s="252" t="s">
        <v>928</v>
      </c>
      <c r="I19" s="252" t="s">
        <v>2395</v>
      </c>
      <c r="J19" s="252" t="s">
        <v>928</v>
      </c>
      <c r="K19" s="252" t="s">
        <v>3236</v>
      </c>
      <c r="L19" s="252">
        <v>6008.1103400000002</v>
      </c>
      <c r="M19" s="252">
        <v>90.5</v>
      </c>
      <c r="N19" s="252">
        <v>0</v>
      </c>
      <c r="O19" s="252">
        <v>3287.2928200000001</v>
      </c>
      <c r="P19" s="252">
        <v>0</v>
      </c>
      <c r="Q19" s="252">
        <v>0</v>
      </c>
      <c r="R19" s="252">
        <v>0</v>
      </c>
      <c r="S19" s="252">
        <v>0</v>
      </c>
      <c r="T19" s="252">
        <v>755.76325999999995</v>
      </c>
      <c r="U19" s="252">
        <v>236.25355999999999</v>
      </c>
      <c r="V19" s="252">
        <v>102.65683</v>
      </c>
      <c r="W19" s="252">
        <v>296.79739999999998</v>
      </c>
      <c r="X19" s="252">
        <v>0</v>
      </c>
      <c r="Y19" s="252">
        <v>0</v>
      </c>
      <c r="Z19" s="252">
        <v>962.12786000000006</v>
      </c>
      <c r="AA19" s="252">
        <v>367.21861000000001</v>
      </c>
      <c r="AB19" s="252">
        <v>0</v>
      </c>
      <c r="AC19" s="252">
        <v>0</v>
      </c>
      <c r="AD19" s="252">
        <v>1</v>
      </c>
      <c r="AE19" s="252" t="s">
        <v>19</v>
      </c>
      <c r="AF19" s="252" t="s">
        <v>718</v>
      </c>
      <c r="AG19" s="252">
        <f t="shared" si="1"/>
        <v>2975.0000021000001</v>
      </c>
      <c r="AH19" s="252">
        <f t="shared" si="2"/>
        <v>0</v>
      </c>
      <c r="AI19" s="252">
        <f t="shared" si="3"/>
        <v>0</v>
      </c>
      <c r="AJ19" s="252">
        <f t="shared" si="4"/>
        <v>2975.0000021000001</v>
      </c>
    </row>
    <row r="20" spans="1:36" x14ac:dyDescent="0.2">
      <c r="A20" s="253" t="str">
        <f t="shared" si="0"/>
        <v>SNA1C31HGMCR12</v>
      </c>
      <c r="B20" s="252" t="s">
        <v>19</v>
      </c>
      <c r="C20" s="252" t="s">
        <v>20</v>
      </c>
      <c r="D20" s="252" t="s">
        <v>2400</v>
      </c>
      <c r="E20" s="252" t="s">
        <v>2401</v>
      </c>
      <c r="F20" s="252" t="s">
        <v>2404</v>
      </c>
      <c r="G20" s="252">
        <v>12</v>
      </c>
      <c r="H20" s="252" t="s">
        <v>928</v>
      </c>
      <c r="I20" s="252" t="s">
        <v>928</v>
      </c>
      <c r="J20" s="252" t="s">
        <v>928</v>
      </c>
      <c r="K20" s="252" t="s">
        <v>3236</v>
      </c>
      <c r="L20" s="252">
        <v>6008.0729199999996</v>
      </c>
      <c r="M20" s="252">
        <v>90.5</v>
      </c>
      <c r="N20" s="252">
        <v>0</v>
      </c>
      <c r="O20" s="252">
        <v>3287.2916700000001</v>
      </c>
      <c r="P20" s="252">
        <v>0</v>
      </c>
      <c r="Q20" s="252">
        <v>0</v>
      </c>
      <c r="R20" s="252">
        <v>0</v>
      </c>
      <c r="S20" s="252">
        <v>0</v>
      </c>
      <c r="T20" s="252">
        <v>755.72916999999995</v>
      </c>
      <c r="U20" s="252">
        <v>236.25</v>
      </c>
      <c r="V20" s="252">
        <v>102.65625</v>
      </c>
      <c r="W20" s="252">
        <v>296.77082999999999</v>
      </c>
      <c r="X20" s="252">
        <v>0</v>
      </c>
      <c r="Y20" s="252">
        <v>0</v>
      </c>
      <c r="Z20" s="252">
        <v>962.13541999999995</v>
      </c>
      <c r="AA20" s="252">
        <v>367.23957999999999</v>
      </c>
      <c r="AB20" s="252">
        <v>0</v>
      </c>
      <c r="AC20" s="252">
        <v>0</v>
      </c>
      <c r="AD20" s="252">
        <v>1</v>
      </c>
      <c r="AE20" s="252" t="s">
        <v>19</v>
      </c>
      <c r="AF20" s="252" t="s">
        <v>718</v>
      </c>
      <c r="AG20" s="252">
        <f t="shared" si="1"/>
        <v>2974.9989613499997</v>
      </c>
      <c r="AH20" s="252">
        <f t="shared" si="2"/>
        <v>0</v>
      </c>
      <c r="AI20" s="252">
        <f t="shared" si="3"/>
        <v>0</v>
      </c>
      <c r="AJ20" s="252">
        <f t="shared" si="4"/>
        <v>2974.9989613499997</v>
      </c>
    </row>
    <row r="21" spans="1:36" x14ac:dyDescent="0.2">
      <c r="A21" s="253" t="str">
        <f t="shared" si="0"/>
        <v>33SNA1CCXR12</v>
      </c>
      <c r="B21" s="252" t="s">
        <v>19</v>
      </c>
      <c r="C21" s="252" t="s">
        <v>20</v>
      </c>
      <c r="D21" s="252" t="s">
        <v>2400</v>
      </c>
      <c r="E21" s="252" t="s">
        <v>2401</v>
      </c>
      <c r="F21" s="252" t="s">
        <v>2405</v>
      </c>
      <c r="G21" s="252">
        <v>12</v>
      </c>
      <c r="H21" s="252" t="s">
        <v>928</v>
      </c>
      <c r="I21" s="252" t="s">
        <v>2406</v>
      </c>
      <c r="J21" s="252" t="s">
        <v>928</v>
      </c>
      <c r="K21" s="252" t="s">
        <v>3236</v>
      </c>
      <c r="L21" s="252">
        <v>2532.8017199999999</v>
      </c>
      <c r="M21" s="252">
        <v>100</v>
      </c>
      <c r="N21" s="252">
        <v>0</v>
      </c>
      <c r="O21" s="252">
        <v>0</v>
      </c>
      <c r="P21" s="252">
        <v>0</v>
      </c>
      <c r="Q21" s="252">
        <v>0</v>
      </c>
      <c r="R21" s="252">
        <v>0</v>
      </c>
      <c r="S21" s="252">
        <v>0</v>
      </c>
      <c r="T21" s="252">
        <v>1015.00099</v>
      </c>
      <c r="U21" s="252">
        <v>0</v>
      </c>
      <c r="V21" s="252">
        <v>15.50187</v>
      </c>
      <c r="W21" s="252">
        <v>344.50153</v>
      </c>
      <c r="X21" s="252">
        <v>0</v>
      </c>
      <c r="Y21" s="252">
        <v>0</v>
      </c>
      <c r="Z21" s="252">
        <v>740.07919000000004</v>
      </c>
      <c r="AA21" s="252">
        <v>417.71814000000001</v>
      </c>
      <c r="AB21" s="252">
        <v>0</v>
      </c>
      <c r="AC21" s="252">
        <v>0</v>
      </c>
      <c r="AD21" s="252">
        <v>1</v>
      </c>
      <c r="AE21" s="252" t="s">
        <v>19</v>
      </c>
      <c r="AF21" s="252" t="s">
        <v>718</v>
      </c>
      <c r="AG21" s="252">
        <f t="shared" si="1"/>
        <v>0</v>
      </c>
      <c r="AH21" s="252">
        <f t="shared" si="2"/>
        <v>0</v>
      </c>
      <c r="AI21" s="252">
        <f t="shared" si="3"/>
        <v>0</v>
      </c>
      <c r="AJ21" s="252">
        <f t="shared" si="4"/>
        <v>0</v>
      </c>
    </row>
    <row r="22" spans="1:36" x14ac:dyDescent="0.2">
      <c r="A22" s="253" t="str">
        <f t="shared" si="0"/>
        <v>3M35SNA1CCXR12</v>
      </c>
      <c r="B22" s="252" t="s">
        <v>19</v>
      </c>
      <c r="C22" s="252" t="s">
        <v>20</v>
      </c>
      <c r="D22" s="252" t="s">
        <v>2400</v>
      </c>
      <c r="E22" s="252" t="s">
        <v>2401</v>
      </c>
      <c r="F22" s="252" t="s">
        <v>2405</v>
      </c>
      <c r="G22" s="252">
        <v>12</v>
      </c>
      <c r="H22" s="252" t="s">
        <v>928</v>
      </c>
      <c r="I22" s="252" t="s">
        <v>2407</v>
      </c>
      <c r="J22" s="252" t="s">
        <v>928</v>
      </c>
      <c r="K22" s="252" t="s">
        <v>3236</v>
      </c>
      <c r="L22" s="252">
        <v>7094.4251400000003</v>
      </c>
      <c r="M22" s="252">
        <v>88</v>
      </c>
      <c r="N22" s="252">
        <v>0</v>
      </c>
      <c r="O22" s="252">
        <v>2900</v>
      </c>
      <c r="P22" s="252">
        <v>1562.5049899999999</v>
      </c>
      <c r="Q22" s="252">
        <v>0</v>
      </c>
      <c r="R22" s="252">
        <v>0</v>
      </c>
      <c r="S22" s="252">
        <v>0</v>
      </c>
      <c r="T22" s="252">
        <v>19.000150000000001</v>
      </c>
      <c r="U22" s="252">
        <v>229.03183999999999</v>
      </c>
      <c r="V22" s="252">
        <v>89.003630000000001</v>
      </c>
      <c r="W22" s="252">
        <v>128.47905</v>
      </c>
      <c r="X22" s="252">
        <v>0</v>
      </c>
      <c r="Y22" s="252">
        <v>0</v>
      </c>
      <c r="Z22" s="252">
        <v>613.29219999999998</v>
      </c>
      <c r="AA22" s="252">
        <v>237.43450000000001</v>
      </c>
      <c r="AB22" s="252">
        <v>1315.67878</v>
      </c>
      <c r="AC22" s="252">
        <v>0</v>
      </c>
      <c r="AD22" s="252">
        <v>1</v>
      </c>
      <c r="AE22" s="252" t="s">
        <v>19</v>
      </c>
      <c r="AF22" s="252" t="s">
        <v>718</v>
      </c>
      <c r="AG22" s="252">
        <f t="shared" si="1"/>
        <v>2552</v>
      </c>
      <c r="AH22" s="252">
        <f t="shared" si="2"/>
        <v>1375.0043911999999</v>
      </c>
      <c r="AI22" s="252">
        <f t="shared" si="3"/>
        <v>1157.7973264</v>
      </c>
      <c r="AJ22" s="252">
        <f t="shared" si="4"/>
        <v>5084.8017176000003</v>
      </c>
    </row>
    <row r="23" spans="1:36" x14ac:dyDescent="0.2">
      <c r="A23" s="253" t="str">
        <f t="shared" si="0"/>
        <v>3M55SNA1CCXR12</v>
      </c>
      <c r="B23" s="252" t="s">
        <v>19</v>
      </c>
      <c r="C23" s="252" t="s">
        <v>20</v>
      </c>
      <c r="D23" s="252" t="s">
        <v>2400</v>
      </c>
      <c r="E23" s="252" t="s">
        <v>2401</v>
      </c>
      <c r="F23" s="252" t="s">
        <v>2405</v>
      </c>
      <c r="G23" s="252">
        <v>12</v>
      </c>
      <c r="H23" s="252" t="s">
        <v>928</v>
      </c>
      <c r="I23" s="252" t="s">
        <v>2408</v>
      </c>
      <c r="J23" s="252" t="s">
        <v>928</v>
      </c>
      <c r="K23" s="252" t="s">
        <v>3236</v>
      </c>
      <c r="L23" s="252">
        <v>7615.7607699999999</v>
      </c>
      <c r="M23" s="252">
        <v>88</v>
      </c>
      <c r="N23" s="252">
        <v>0</v>
      </c>
      <c r="O23" s="252">
        <v>2900</v>
      </c>
      <c r="P23" s="252">
        <v>1562.5049899999999</v>
      </c>
      <c r="Q23" s="252">
        <v>0</v>
      </c>
      <c r="R23" s="252">
        <v>0</v>
      </c>
      <c r="S23" s="252">
        <v>0</v>
      </c>
      <c r="T23" s="252">
        <v>30.000229999999998</v>
      </c>
      <c r="U23" s="252">
        <v>231.09519</v>
      </c>
      <c r="V23" s="252">
        <v>210.00855999999999</v>
      </c>
      <c r="W23" s="252">
        <v>196.6634</v>
      </c>
      <c r="X23" s="252">
        <v>0</v>
      </c>
      <c r="Y23" s="252">
        <v>0</v>
      </c>
      <c r="Z23" s="252">
        <v>891.12590999999998</v>
      </c>
      <c r="AA23" s="252">
        <v>278.68371000000002</v>
      </c>
      <c r="AB23" s="252">
        <v>1315.67878</v>
      </c>
      <c r="AC23" s="252">
        <v>0</v>
      </c>
      <c r="AD23" s="252">
        <v>1</v>
      </c>
      <c r="AE23" s="252" t="s">
        <v>19</v>
      </c>
      <c r="AF23" s="252" t="s">
        <v>718</v>
      </c>
      <c r="AG23" s="252">
        <f t="shared" si="1"/>
        <v>2552</v>
      </c>
      <c r="AH23" s="252">
        <f t="shared" si="2"/>
        <v>1375.0043911999999</v>
      </c>
      <c r="AI23" s="252">
        <f t="shared" si="3"/>
        <v>1157.7973264</v>
      </c>
      <c r="AJ23" s="252">
        <f t="shared" si="4"/>
        <v>5084.8017176000003</v>
      </c>
    </row>
    <row r="24" spans="1:36" x14ac:dyDescent="0.2">
      <c r="A24" s="253" t="str">
        <f t="shared" si="0"/>
        <v>SNA1CCXR12</v>
      </c>
      <c r="B24" s="252" t="s">
        <v>19</v>
      </c>
      <c r="C24" s="252" t="s">
        <v>20</v>
      </c>
      <c r="D24" s="252" t="s">
        <v>2400</v>
      </c>
      <c r="E24" s="252" t="s">
        <v>2401</v>
      </c>
      <c r="F24" s="252" t="s">
        <v>2405</v>
      </c>
      <c r="G24" s="252">
        <v>12</v>
      </c>
      <c r="H24" s="252" t="s">
        <v>928</v>
      </c>
      <c r="I24" s="252" t="s">
        <v>928</v>
      </c>
      <c r="J24" s="252" t="s">
        <v>928</v>
      </c>
      <c r="K24" s="252" t="s">
        <v>3236</v>
      </c>
      <c r="L24" s="252">
        <v>7094.4250400000001</v>
      </c>
      <c r="M24" s="252">
        <v>88</v>
      </c>
      <c r="N24" s="252">
        <v>0</v>
      </c>
      <c r="O24" s="252">
        <v>2900</v>
      </c>
      <c r="P24" s="252">
        <v>1562.50485</v>
      </c>
      <c r="Q24" s="252">
        <v>0</v>
      </c>
      <c r="R24" s="252">
        <v>0</v>
      </c>
      <c r="S24" s="252">
        <v>0</v>
      </c>
      <c r="T24" s="252">
        <v>19.000109999999999</v>
      </c>
      <c r="U24" s="252">
        <v>229.03193999999999</v>
      </c>
      <c r="V24" s="252">
        <v>89.003559999999993</v>
      </c>
      <c r="W24" s="252">
        <v>128.47895</v>
      </c>
      <c r="X24" s="252">
        <v>0</v>
      </c>
      <c r="Y24" s="252">
        <v>0</v>
      </c>
      <c r="Z24" s="252">
        <v>613.29229999999995</v>
      </c>
      <c r="AA24" s="252">
        <v>237.43458999999999</v>
      </c>
      <c r="AB24" s="252">
        <v>1315.6787400000001</v>
      </c>
      <c r="AC24" s="252">
        <v>0</v>
      </c>
      <c r="AD24" s="252">
        <v>1</v>
      </c>
      <c r="AE24" s="252" t="s">
        <v>19</v>
      </c>
      <c r="AF24" s="252" t="s">
        <v>718</v>
      </c>
      <c r="AG24" s="252">
        <f t="shared" si="1"/>
        <v>2552</v>
      </c>
      <c r="AH24" s="252">
        <f t="shared" si="2"/>
        <v>1375.0042680000001</v>
      </c>
      <c r="AI24" s="252">
        <f t="shared" si="3"/>
        <v>1157.7972912</v>
      </c>
      <c r="AJ24" s="252">
        <f t="shared" si="4"/>
        <v>5084.8015592000002</v>
      </c>
    </row>
    <row r="25" spans="1:36" x14ac:dyDescent="0.2">
      <c r="A25" s="253" t="str">
        <f t="shared" si="0"/>
        <v>3FSNA1CEGC112</v>
      </c>
      <c r="B25" s="252" t="s">
        <v>19</v>
      </c>
      <c r="C25" s="252" t="s">
        <v>20</v>
      </c>
      <c r="D25" s="252" t="s">
        <v>2400</v>
      </c>
      <c r="E25" s="252" t="s">
        <v>2401</v>
      </c>
      <c r="F25" s="252" t="s">
        <v>2409</v>
      </c>
      <c r="G25" s="252">
        <v>12</v>
      </c>
      <c r="H25" s="252" t="s">
        <v>928</v>
      </c>
      <c r="I25" s="252" t="s">
        <v>2410</v>
      </c>
      <c r="J25" s="252" t="s">
        <v>928</v>
      </c>
      <c r="K25" s="252" t="s">
        <v>3236</v>
      </c>
      <c r="L25" s="252">
        <v>8058.6748500000003</v>
      </c>
      <c r="M25" s="252">
        <v>88</v>
      </c>
      <c r="N25" s="252">
        <v>0</v>
      </c>
      <c r="O25" s="252">
        <v>4318.1818199999998</v>
      </c>
      <c r="P25" s="252">
        <v>0</v>
      </c>
      <c r="Q25" s="252">
        <v>0</v>
      </c>
      <c r="R25" s="252">
        <v>0</v>
      </c>
      <c r="S25" s="252">
        <v>0</v>
      </c>
      <c r="T25" s="252">
        <v>1577.40536</v>
      </c>
      <c r="U25" s="252">
        <v>236.25355999999999</v>
      </c>
      <c r="V25" s="252">
        <v>101.65678</v>
      </c>
      <c r="W25" s="252">
        <v>302.67750999999998</v>
      </c>
      <c r="X25" s="252">
        <v>0</v>
      </c>
      <c r="Y25" s="252">
        <v>0</v>
      </c>
      <c r="Z25" s="252">
        <v>1096.92866</v>
      </c>
      <c r="AA25" s="252">
        <v>425.57116000000002</v>
      </c>
      <c r="AB25" s="252">
        <v>0</v>
      </c>
      <c r="AC25" s="252">
        <v>0</v>
      </c>
      <c r="AD25" s="252">
        <v>1</v>
      </c>
      <c r="AE25" s="252" t="s">
        <v>19</v>
      </c>
      <c r="AF25" s="252" t="s">
        <v>718</v>
      </c>
      <c r="AG25" s="252">
        <f t="shared" si="1"/>
        <v>3800.0000015999999</v>
      </c>
      <c r="AH25" s="252">
        <f t="shared" si="2"/>
        <v>0</v>
      </c>
      <c r="AI25" s="252">
        <f t="shared" si="3"/>
        <v>0</v>
      </c>
      <c r="AJ25" s="252">
        <f t="shared" si="4"/>
        <v>3800.0000015999999</v>
      </c>
    </row>
    <row r="26" spans="1:36" x14ac:dyDescent="0.2">
      <c r="A26" s="253" t="str">
        <f t="shared" si="0"/>
        <v>3MSNA1CEGC112</v>
      </c>
      <c r="B26" s="252" t="s">
        <v>19</v>
      </c>
      <c r="C26" s="252" t="s">
        <v>20</v>
      </c>
      <c r="D26" s="252" t="s">
        <v>2400</v>
      </c>
      <c r="E26" s="252" t="s">
        <v>2401</v>
      </c>
      <c r="F26" s="252" t="s">
        <v>2409</v>
      </c>
      <c r="G26" s="252">
        <v>12</v>
      </c>
      <c r="H26" s="252" t="s">
        <v>928</v>
      </c>
      <c r="I26" s="252" t="s">
        <v>2411</v>
      </c>
      <c r="J26" s="252" t="s">
        <v>928</v>
      </c>
      <c r="K26" s="252" t="s">
        <v>3236</v>
      </c>
      <c r="L26" s="252">
        <v>6474.9183800000001</v>
      </c>
      <c r="M26" s="252">
        <v>88</v>
      </c>
      <c r="N26" s="252">
        <v>0</v>
      </c>
      <c r="O26" s="252">
        <v>2900</v>
      </c>
      <c r="P26" s="252">
        <v>0</v>
      </c>
      <c r="Q26" s="252">
        <v>0</v>
      </c>
      <c r="R26" s="252">
        <v>0</v>
      </c>
      <c r="S26" s="252">
        <v>0</v>
      </c>
      <c r="T26" s="252">
        <v>1567.7657899999999</v>
      </c>
      <c r="U26" s="252">
        <v>235.22189</v>
      </c>
      <c r="V26" s="252">
        <v>102.65683</v>
      </c>
      <c r="W26" s="252">
        <v>284.72762</v>
      </c>
      <c r="X26" s="252">
        <v>0</v>
      </c>
      <c r="Y26" s="252">
        <v>0</v>
      </c>
      <c r="Z26" s="252">
        <v>1001.23038</v>
      </c>
      <c r="AA26" s="252">
        <v>383.31587000000002</v>
      </c>
      <c r="AB26" s="252">
        <v>0</v>
      </c>
      <c r="AC26" s="252">
        <v>0</v>
      </c>
      <c r="AD26" s="252">
        <v>1</v>
      </c>
      <c r="AE26" s="252" t="s">
        <v>19</v>
      </c>
      <c r="AF26" s="252" t="s">
        <v>718</v>
      </c>
      <c r="AG26" s="252">
        <f t="shared" si="1"/>
        <v>2552</v>
      </c>
      <c r="AH26" s="252">
        <f t="shared" si="2"/>
        <v>0</v>
      </c>
      <c r="AI26" s="252">
        <f t="shared" si="3"/>
        <v>0</v>
      </c>
      <c r="AJ26" s="252">
        <f t="shared" si="4"/>
        <v>2552</v>
      </c>
    </row>
    <row r="27" spans="1:36" x14ac:dyDescent="0.2">
      <c r="A27" s="253" t="str">
        <f t="shared" si="0"/>
        <v>SNA1CEGC112</v>
      </c>
      <c r="B27" s="252" t="s">
        <v>19</v>
      </c>
      <c r="C27" s="252" t="s">
        <v>20</v>
      </c>
      <c r="D27" s="252" t="s">
        <v>2400</v>
      </c>
      <c r="E27" s="252" t="s">
        <v>2401</v>
      </c>
      <c r="F27" s="252" t="s">
        <v>2409</v>
      </c>
      <c r="G27" s="252">
        <v>12</v>
      </c>
      <c r="H27" s="252" t="s">
        <v>928</v>
      </c>
      <c r="I27" s="252" t="s">
        <v>928</v>
      </c>
      <c r="J27" s="252" t="s">
        <v>928</v>
      </c>
      <c r="K27" s="252" t="s">
        <v>3236</v>
      </c>
      <c r="L27" s="252">
        <v>7773.5708800000002</v>
      </c>
      <c r="M27" s="252">
        <v>88</v>
      </c>
      <c r="N27" s="252">
        <v>0</v>
      </c>
      <c r="O27" s="252">
        <v>4062.8836099999999</v>
      </c>
      <c r="P27" s="252">
        <v>0</v>
      </c>
      <c r="Q27" s="252">
        <v>0</v>
      </c>
      <c r="R27" s="252">
        <v>0</v>
      </c>
      <c r="S27" s="252">
        <v>0</v>
      </c>
      <c r="T27" s="252">
        <v>1575.67037</v>
      </c>
      <c r="U27" s="252">
        <v>236.06827000000001</v>
      </c>
      <c r="V27" s="252">
        <v>101.83663</v>
      </c>
      <c r="W27" s="252">
        <v>299.44639999999998</v>
      </c>
      <c r="X27" s="252">
        <v>0</v>
      </c>
      <c r="Y27" s="252">
        <v>0</v>
      </c>
      <c r="Z27" s="252">
        <v>1079.7014300000001</v>
      </c>
      <c r="AA27" s="252">
        <v>417.96417000000002</v>
      </c>
      <c r="AB27" s="252">
        <v>0</v>
      </c>
      <c r="AC27" s="252">
        <v>0</v>
      </c>
      <c r="AD27" s="252">
        <v>1</v>
      </c>
      <c r="AE27" s="252" t="s">
        <v>19</v>
      </c>
      <c r="AF27" s="252" t="s">
        <v>718</v>
      </c>
      <c r="AG27" s="252">
        <f t="shared" si="1"/>
        <v>3575.3375767999996</v>
      </c>
      <c r="AH27" s="252">
        <f t="shared" si="2"/>
        <v>0</v>
      </c>
      <c r="AI27" s="252">
        <f t="shared" si="3"/>
        <v>0</v>
      </c>
      <c r="AJ27" s="252">
        <f t="shared" si="4"/>
        <v>3575.3375767999996</v>
      </c>
    </row>
    <row r="28" spans="1:36" x14ac:dyDescent="0.2">
      <c r="A28" s="253" t="str">
        <f t="shared" si="0"/>
        <v>3ASNA1CHGAS12</v>
      </c>
      <c r="B28" s="252" t="s">
        <v>19</v>
      </c>
      <c r="C28" s="252" t="s">
        <v>20</v>
      </c>
      <c r="D28" s="252" t="s">
        <v>2400</v>
      </c>
      <c r="E28" s="252" t="s">
        <v>2401</v>
      </c>
      <c r="F28" s="252" t="s">
        <v>2412</v>
      </c>
      <c r="G28" s="252">
        <v>12</v>
      </c>
      <c r="H28" s="252" t="s">
        <v>928</v>
      </c>
      <c r="I28" s="252" t="s">
        <v>2395</v>
      </c>
      <c r="J28" s="252" t="s">
        <v>928</v>
      </c>
      <c r="K28" s="252" t="s">
        <v>3236</v>
      </c>
      <c r="L28" s="252">
        <v>8743.2774900000004</v>
      </c>
      <c r="M28" s="252">
        <v>87.5</v>
      </c>
      <c r="N28" s="252">
        <v>0</v>
      </c>
      <c r="O28" s="252">
        <v>3400</v>
      </c>
      <c r="P28" s="252">
        <v>0</v>
      </c>
      <c r="Q28" s="252">
        <v>0</v>
      </c>
      <c r="R28" s="252">
        <v>0</v>
      </c>
      <c r="S28" s="252">
        <v>0</v>
      </c>
      <c r="T28" s="252">
        <v>2100.2059899999999</v>
      </c>
      <c r="U28" s="252">
        <v>237.28523999999999</v>
      </c>
      <c r="V28" s="252">
        <v>122.31027</v>
      </c>
      <c r="W28" s="252">
        <v>608.57609000000002</v>
      </c>
      <c r="X28" s="252">
        <v>0</v>
      </c>
      <c r="Y28" s="252">
        <v>0</v>
      </c>
      <c r="Z28" s="252">
        <v>1632.0158100000001</v>
      </c>
      <c r="AA28" s="252">
        <v>642.88409000000001</v>
      </c>
      <c r="AB28" s="252">
        <v>0</v>
      </c>
      <c r="AC28" s="252">
        <v>0</v>
      </c>
      <c r="AD28" s="252">
        <v>1</v>
      </c>
      <c r="AE28" s="252" t="s">
        <v>19</v>
      </c>
      <c r="AF28" s="252" t="s">
        <v>718</v>
      </c>
      <c r="AG28" s="252">
        <f t="shared" si="1"/>
        <v>2975</v>
      </c>
      <c r="AH28" s="252">
        <f t="shared" si="2"/>
        <v>0</v>
      </c>
      <c r="AI28" s="252">
        <f t="shared" si="3"/>
        <v>0</v>
      </c>
      <c r="AJ28" s="252">
        <f t="shared" si="4"/>
        <v>2975</v>
      </c>
    </row>
    <row r="29" spans="1:36" x14ac:dyDescent="0.2">
      <c r="A29" s="253" t="str">
        <f t="shared" si="0"/>
        <v>SNA1CHGAS12</v>
      </c>
      <c r="B29" s="252" t="s">
        <v>19</v>
      </c>
      <c r="C29" s="252" t="s">
        <v>20</v>
      </c>
      <c r="D29" s="252" t="s">
        <v>2400</v>
      </c>
      <c r="E29" s="252" t="s">
        <v>2401</v>
      </c>
      <c r="F29" s="252" t="s">
        <v>2412</v>
      </c>
      <c r="G29" s="252">
        <v>12</v>
      </c>
      <c r="H29" s="252" t="s">
        <v>928</v>
      </c>
      <c r="I29" s="252" t="s">
        <v>928</v>
      </c>
      <c r="J29" s="252" t="s">
        <v>928</v>
      </c>
      <c r="K29" s="252" t="s">
        <v>3236</v>
      </c>
      <c r="L29" s="252">
        <v>8743.2740799999992</v>
      </c>
      <c r="M29" s="252">
        <v>87.5</v>
      </c>
      <c r="N29" s="252">
        <v>0</v>
      </c>
      <c r="O29" s="252">
        <v>3400</v>
      </c>
      <c r="P29" s="252">
        <v>0</v>
      </c>
      <c r="Q29" s="252">
        <v>0</v>
      </c>
      <c r="R29" s="252">
        <v>0</v>
      </c>
      <c r="S29" s="252">
        <v>0</v>
      </c>
      <c r="T29" s="252">
        <v>2100.2043899999999</v>
      </c>
      <c r="U29" s="252">
        <v>237.28258</v>
      </c>
      <c r="V29" s="252">
        <v>122.31084</v>
      </c>
      <c r="W29" s="252">
        <v>608.57546000000002</v>
      </c>
      <c r="X29" s="252">
        <v>0</v>
      </c>
      <c r="Y29" s="252">
        <v>0</v>
      </c>
      <c r="Z29" s="252">
        <v>1632.0154700000001</v>
      </c>
      <c r="AA29" s="252">
        <v>642.88534000000004</v>
      </c>
      <c r="AB29" s="252">
        <v>0</v>
      </c>
      <c r="AC29" s="252">
        <v>0</v>
      </c>
      <c r="AD29" s="252">
        <v>1</v>
      </c>
      <c r="AE29" s="252" t="s">
        <v>19</v>
      </c>
      <c r="AF29" s="252" t="s">
        <v>718</v>
      </c>
      <c r="AG29" s="252">
        <f t="shared" si="1"/>
        <v>2975</v>
      </c>
      <c r="AH29" s="252">
        <f t="shared" si="2"/>
        <v>0</v>
      </c>
      <c r="AI29" s="252">
        <f t="shared" si="3"/>
        <v>0</v>
      </c>
      <c r="AJ29" s="252">
        <f t="shared" si="4"/>
        <v>2975</v>
      </c>
    </row>
    <row r="30" spans="1:36" x14ac:dyDescent="0.2">
      <c r="A30" s="253" t="str">
        <f t="shared" si="0"/>
        <v>3ASNA1CHGCA12</v>
      </c>
      <c r="B30" s="252" t="s">
        <v>19</v>
      </c>
      <c r="C30" s="252" t="s">
        <v>20</v>
      </c>
      <c r="D30" s="252" t="s">
        <v>2400</v>
      </c>
      <c r="E30" s="252" t="s">
        <v>2401</v>
      </c>
      <c r="F30" s="252" t="s">
        <v>2413</v>
      </c>
      <c r="G30" s="252">
        <v>12</v>
      </c>
      <c r="H30" s="252" t="s">
        <v>928</v>
      </c>
      <c r="I30" s="252" t="s">
        <v>2395</v>
      </c>
      <c r="J30" s="252" t="s">
        <v>928</v>
      </c>
      <c r="K30" s="252" t="s">
        <v>3236</v>
      </c>
      <c r="L30" s="252">
        <v>6381.3136299999996</v>
      </c>
      <c r="M30" s="252">
        <v>86</v>
      </c>
      <c r="N30" s="252">
        <v>0</v>
      </c>
      <c r="O30" s="252">
        <v>3459.30233</v>
      </c>
      <c r="P30" s="252">
        <v>0</v>
      </c>
      <c r="Q30" s="252">
        <v>0</v>
      </c>
      <c r="R30" s="252">
        <v>0</v>
      </c>
      <c r="S30" s="252">
        <v>0</v>
      </c>
      <c r="T30" s="252">
        <v>758.21681999999998</v>
      </c>
      <c r="U30" s="252">
        <v>233.15853999999999</v>
      </c>
      <c r="V30" s="252">
        <v>103.65687</v>
      </c>
      <c r="W30" s="252">
        <v>342.30047000000002</v>
      </c>
      <c r="X30" s="252">
        <v>0</v>
      </c>
      <c r="Y30" s="252">
        <v>0</v>
      </c>
      <c r="Z30" s="252">
        <v>1070.1742999999999</v>
      </c>
      <c r="AA30" s="252">
        <v>414.5043</v>
      </c>
      <c r="AB30" s="252">
        <v>0</v>
      </c>
      <c r="AC30" s="252">
        <v>0</v>
      </c>
      <c r="AD30" s="252">
        <v>1</v>
      </c>
      <c r="AE30" s="252" t="s">
        <v>19</v>
      </c>
      <c r="AF30" s="252" t="s">
        <v>718</v>
      </c>
      <c r="AG30" s="252">
        <f t="shared" si="1"/>
        <v>2975.0000037999998</v>
      </c>
      <c r="AH30" s="252">
        <f t="shared" si="2"/>
        <v>0</v>
      </c>
      <c r="AI30" s="252">
        <f t="shared" si="3"/>
        <v>0</v>
      </c>
      <c r="AJ30" s="252">
        <f t="shared" si="4"/>
        <v>2975.0000037999998</v>
      </c>
    </row>
    <row r="31" spans="1:36" x14ac:dyDescent="0.2">
      <c r="A31" s="253" t="str">
        <f t="shared" si="0"/>
        <v>SNA1CHGCA12</v>
      </c>
      <c r="B31" s="252" t="s">
        <v>19</v>
      </c>
      <c r="C31" s="252" t="s">
        <v>20</v>
      </c>
      <c r="D31" s="252" t="s">
        <v>2400</v>
      </c>
      <c r="E31" s="252" t="s">
        <v>2401</v>
      </c>
      <c r="F31" s="252" t="s">
        <v>2413</v>
      </c>
      <c r="G31" s="252">
        <v>12</v>
      </c>
      <c r="H31" s="252" t="s">
        <v>928</v>
      </c>
      <c r="I31" s="252" t="s">
        <v>928</v>
      </c>
      <c r="J31" s="252" t="s">
        <v>928</v>
      </c>
      <c r="K31" s="252" t="s">
        <v>3236</v>
      </c>
      <c r="L31" s="252">
        <v>6381.3153000000002</v>
      </c>
      <c r="M31" s="252">
        <v>86</v>
      </c>
      <c r="N31" s="252">
        <v>0</v>
      </c>
      <c r="O31" s="252">
        <v>3459.3028199999999</v>
      </c>
      <c r="P31" s="252">
        <v>0</v>
      </c>
      <c r="Q31" s="252">
        <v>0</v>
      </c>
      <c r="R31" s="252">
        <v>0</v>
      </c>
      <c r="S31" s="252">
        <v>0</v>
      </c>
      <c r="T31" s="252">
        <v>758.21736999999996</v>
      </c>
      <c r="U31" s="252">
        <v>233.15902</v>
      </c>
      <c r="V31" s="252">
        <v>103.65684</v>
      </c>
      <c r="W31" s="252">
        <v>342.30047999999999</v>
      </c>
      <c r="X31" s="252">
        <v>0</v>
      </c>
      <c r="Y31" s="252">
        <v>0</v>
      </c>
      <c r="Z31" s="252">
        <v>1070.1738499999999</v>
      </c>
      <c r="AA31" s="252">
        <v>414.50492000000003</v>
      </c>
      <c r="AB31" s="252">
        <v>0</v>
      </c>
      <c r="AC31" s="252">
        <v>0</v>
      </c>
      <c r="AD31" s="252">
        <v>1</v>
      </c>
      <c r="AE31" s="252" t="s">
        <v>19</v>
      </c>
      <c r="AF31" s="252" t="s">
        <v>718</v>
      </c>
      <c r="AG31" s="252">
        <f t="shared" si="1"/>
        <v>2975.0004252000003</v>
      </c>
      <c r="AH31" s="252">
        <f t="shared" si="2"/>
        <v>0</v>
      </c>
      <c r="AI31" s="252">
        <f t="shared" si="3"/>
        <v>0</v>
      </c>
      <c r="AJ31" s="252">
        <f t="shared" si="4"/>
        <v>2975.0004252000003</v>
      </c>
    </row>
    <row r="32" spans="1:36" x14ac:dyDescent="0.2">
      <c r="A32" s="253" t="str">
        <f t="shared" si="0"/>
        <v>3ASNA1CHGCH9</v>
      </c>
      <c r="B32" s="252" t="s">
        <v>19</v>
      </c>
      <c r="C32" s="252" t="s">
        <v>20</v>
      </c>
      <c r="D32" s="252" t="s">
        <v>2400</v>
      </c>
      <c r="E32" s="252" t="s">
        <v>2401</v>
      </c>
      <c r="F32" s="252" t="s">
        <v>2414</v>
      </c>
      <c r="G32" s="252">
        <v>9</v>
      </c>
      <c r="H32" s="252" t="s">
        <v>928</v>
      </c>
      <c r="I32" s="252" t="s">
        <v>2395</v>
      </c>
      <c r="J32" s="252" t="s">
        <v>928</v>
      </c>
      <c r="K32" s="252" t="s">
        <v>3236</v>
      </c>
      <c r="L32" s="252">
        <v>7266.9161599999998</v>
      </c>
      <c r="M32" s="252">
        <v>87.6</v>
      </c>
      <c r="N32" s="252">
        <v>0</v>
      </c>
      <c r="O32" s="252">
        <v>3418.9497700000002</v>
      </c>
      <c r="P32" s="252">
        <v>0</v>
      </c>
      <c r="Q32" s="252">
        <v>0</v>
      </c>
      <c r="R32" s="252">
        <v>0</v>
      </c>
      <c r="S32" s="252">
        <v>0</v>
      </c>
      <c r="T32" s="252">
        <v>1089.6675</v>
      </c>
      <c r="U32" s="252">
        <v>127.92769</v>
      </c>
      <c r="V32" s="252">
        <v>107.65703000000001</v>
      </c>
      <c r="W32" s="252">
        <v>435.86534999999998</v>
      </c>
      <c r="X32" s="252">
        <v>0</v>
      </c>
      <c r="Y32" s="252">
        <v>0</v>
      </c>
      <c r="Z32" s="252">
        <v>1545.5786499999999</v>
      </c>
      <c r="AA32" s="252">
        <v>541.27017000000001</v>
      </c>
      <c r="AB32" s="252">
        <v>0</v>
      </c>
      <c r="AC32" s="252">
        <v>0</v>
      </c>
      <c r="AD32" s="252">
        <v>1</v>
      </c>
      <c r="AE32" s="252" t="s">
        <v>19</v>
      </c>
      <c r="AF32" s="252" t="s">
        <v>718</v>
      </c>
      <c r="AG32" s="252">
        <f t="shared" si="1"/>
        <v>2994.9999985199997</v>
      </c>
      <c r="AH32" s="252">
        <f t="shared" si="2"/>
        <v>0</v>
      </c>
      <c r="AI32" s="252">
        <f t="shared" si="3"/>
        <v>0</v>
      </c>
      <c r="AJ32" s="252">
        <f t="shared" si="4"/>
        <v>2994.9999985199997</v>
      </c>
    </row>
    <row r="33" spans="1:36" x14ac:dyDescent="0.2">
      <c r="A33" s="253" t="str">
        <f t="shared" si="0"/>
        <v>SNA1CHGCH9</v>
      </c>
      <c r="B33" s="252" t="s">
        <v>19</v>
      </c>
      <c r="C33" s="252" t="s">
        <v>20</v>
      </c>
      <c r="D33" s="252" t="s">
        <v>2400</v>
      </c>
      <c r="E33" s="252" t="s">
        <v>2401</v>
      </c>
      <c r="F33" s="252" t="s">
        <v>2414</v>
      </c>
      <c r="G33" s="252">
        <v>9</v>
      </c>
      <c r="H33" s="252" t="s">
        <v>928</v>
      </c>
      <c r="I33" s="252" t="s">
        <v>928</v>
      </c>
      <c r="J33" s="252" t="s">
        <v>928</v>
      </c>
      <c r="K33" s="252" t="s">
        <v>3236</v>
      </c>
      <c r="L33" s="252">
        <v>7266.9162999999999</v>
      </c>
      <c r="M33" s="252">
        <v>87.6</v>
      </c>
      <c r="N33" s="252">
        <v>0</v>
      </c>
      <c r="O33" s="252">
        <v>3418.9498899999999</v>
      </c>
      <c r="P33" s="252">
        <v>0</v>
      </c>
      <c r="Q33" s="252">
        <v>0</v>
      </c>
      <c r="R33" s="252">
        <v>0</v>
      </c>
      <c r="S33" s="252">
        <v>0</v>
      </c>
      <c r="T33" s="252">
        <v>1089.6675399999999</v>
      </c>
      <c r="U33" s="252">
        <v>127.92767000000001</v>
      </c>
      <c r="V33" s="252">
        <v>107.65709</v>
      </c>
      <c r="W33" s="252">
        <v>435.86527999999998</v>
      </c>
      <c r="X33" s="252">
        <v>0</v>
      </c>
      <c r="Y33" s="252">
        <v>0</v>
      </c>
      <c r="Z33" s="252">
        <v>1545.57873</v>
      </c>
      <c r="AA33" s="252">
        <v>541.27009999999996</v>
      </c>
      <c r="AB33" s="252">
        <v>0</v>
      </c>
      <c r="AC33" s="252">
        <v>0</v>
      </c>
      <c r="AD33" s="252">
        <v>1</v>
      </c>
      <c r="AE33" s="252" t="s">
        <v>19</v>
      </c>
      <c r="AF33" s="252" t="s">
        <v>718</v>
      </c>
      <c r="AG33" s="252">
        <f t="shared" si="1"/>
        <v>2995.0001036399999</v>
      </c>
      <c r="AH33" s="252">
        <f t="shared" si="2"/>
        <v>0</v>
      </c>
      <c r="AI33" s="252">
        <f t="shared" si="3"/>
        <v>0</v>
      </c>
      <c r="AJ33" s="252">
        <f t="shared" si="4"/>
        <v>2995.0001036399999</v>
      </c>
    </row>
    <row r="34" spans="1:36" x14ac:dyDescent="0.2">
      <c r="A34" s="253" t="str">
        <f t="shared" si="0"/>
        <v>3ASNA1CHGCR12</v>
      </c>
      <c r="B34" s="252" t="s">
        <v>19</v>
      </c>
      <c r="C34" s="252" t="s">
        <v>20</v>
      </c>
      <c r="D34" s="252" t="s">
        <v>2400</v>
      </c>
      <c r="E34" s="252" t="s">
        <v>2401</v>
      </c>
      <c r="F34" s="252" t="s">
        <v>2415</v>
      </c>
      <c r="G34" s="252">
        <v>12</v>
      </c>
      <c r="H34" s="252" t="s">
        <v>928</v>
      </c>
      <c r="I34" s="252" t="s">
        <v>2395</v>
      </c>
      <c r="J34" s="252" t="s">
        <v>928</v>
      </c>
      <c r="K34" s="252" t="s">
        <v>3236</v>
      </c>
      <c r="L34" s="252">
        <v>5992.5932599999996</v>
      </c>
      <c r="M34" s="252">
        <v>90.5</v>
      </c>
      <c r="N34" s="252">
        <v>0</v>
      </c>
      <c r="O34" s="252">
        <v>3287.2928200000001</v>
      </c>
      <c r="P34" s="252">
        <v>0</v>
      </c>
      <c r="Q34" s="252">
        <v>0</v>
      </c>
      <c r="R34" s="252">
        <v>0</v>
      </c>
      <c r="S34" s="252">
        <v>0</v>
      </c>
      <c r="T34" s="252">
        <v>755.71843999999999</v>
      </c>
      <c r="U34" s="252">
        <v>236.25355999999999</v>
      </c>
      <c r="V34" s="252">
        <v>100.65674</v>
      </c>
      <c r="W34" s="252">
        <v>294.57557000000003</v>
      </c>
      <c r="X34" s="252">
        <v>0</v>
      </c>
      <c r="Y34" s="252">
        <v>0</v>
      </c>
      <c r="Z34" s="252">
        <v>953.89575000000002</v>
      </c>
      <c r="AA34" s="252">
        <v>364.20038</v>
      </c>
      <c r="AB34" s="252">
        <v>0</v>
      </c>
      <c r="AC34" s="252">
        <v>0</v>
      </c>
      <c r="AD34" s="252">
        <v>1</v>
      </c>
      <c r="AE34" s="252" t="s">
        <v>19</v>
      </c>
      <c r="AF34" s="252" t="s">
        <v>718</v>
      </c>
      <c r="AG34" s="252">
        <f t="shared" si="1"/>
        <v>2975.0000021000001</v>
      </c>
      <c r="AH34" s="252">
        <f t="shared" si="2"/>
        <v>0</v>
      </c>
      <c r="AI34" s="252">
        <f t="shared" si="3"/>
        <v>0</v>
      </c>
      <c r="AJ34" s="252">
        <f t="shared" si="4"/>
        <v>2975.0000021000001</v>
      </c>
    </row>
    <row r="35" spans="1:36" x14ac:dyDescent="0.2">
      <c r="A35" s="253" t="str">
        <f t="shared" si="0"/>
        <v>3BSNA1CHGCR12</v>
      </c>
      <c r="B35" s="252" t="s">
        <v>19</v>
      </c>
      <c r="C35" s="252" t="s">
        <v>20</v>
      </c>
      <c r="D35" s="252" t="s">
        <v>2400</v>
      </c>
      <c r="E35" s="252" t="s">
        <v>2401</v>
      </c>
      <c r="F35" s="252" t="s">
        <v>2415</v>
      </c>
      <c r="G35" s="252">
        <v>12</v>
      </c>
      <c r="H35" s="252" t="s">
        <v>928</v>
      </c>
      <c r="I35" s="252" t="s">
        <v>2416</v>
      </c>
      <c r="J35" s="252" t="s">
        <v>928</v>
      </c>
      <c r="K35" s="252" t="s">
        <v>3236</v>
      </c>
      <c r="L35" s="252">
        <v>5469.9507599999997</v>
      </c>
      <c r="M35" s="252">
        <v>90.5</v>
      </c>
      <c r="N35" s="252">
        <v>0</v>
      </c>
      <c r="O35" s="252">
        <v>2784.5303899999999</v>
      </c>
      <c r="P35" s="252">
        <v>0</v>
      </c>
      <c r="Q35" s="252">
        <v>0</v>
      </c>
      <c r="R35" s="252">
        <v>0</v>
      </c>
      <c r="S35" s="252">
        <v>0</v>
      </c>
      <c r="T35" s="252">
        <v>755.72280000000001</v>
      </c>
      <c r="U35" s="252">
        <v>234.19021000000001</v>
      </c>
      <c r="V35" s="252">
        <v>100.65674</v>
      </c>
      <c r="W35" s="252">
        <v>292.07501999999999</v>
      </c>
      <c r="X35" s="252">
        <v>0</v>
      </c>
      <c r="Y35" s="252">
        <v>0</v>
      </c>
      <c r="Z35" s="252">
        <v>943.60560999999996</v>
      </c>
      <c r="AA35" s="252">
        <v>359.16998999999998</v>
      </c>
      <c r="AB35" s="252">
        <v>0</v>
      </c>
      <c r="AC35" s="252">
        <v>0</v>
      </c>
      <c r="AD35" s="252">
        <v>1</v>
      </c>
      <c r="AE35" s="252" t="s">
        <v>19</v>
      </c>
      <c r="AF35" s="252" t="s">
        <v>718</v>
      </c>
      <c r="AG35" s="252">
        <f t="shared" si="1"/>
        <v>2520.0000029499997</v>
      </c>
      <c r="AH35" s="252">
        <f t="shared" si="2"/>
        <v>0</v>
      </c>
      <c r="AI35" s="252">
        <f t="shared" si="3"/>
        <v>0</v>
      </c>
      <c r="AJ35" s="252">
        <f t="shared" si="4"/>
        <v>2520.0000029499997</v>
      </c>
    </row>
    <row r="36" spans="1:36" x14ac:dyDescent="0.2">
      <c r="A36" s="253" t="str">
        <f t="shared" si="0"/>
        <v>3GSNA1CHGCR12</v>
      </c>
      <c r="B36" s="252" t="s">
        <v>19</v>
      </c>
      <c r="C36" s="252" t="s">
        <v>20</v>
      </c>
      <c r="D36" s="252" t="s">
        <v>2400</v>
      </c>
      <c r="E36" s="252" t="s">
        <v>2401</v>
      </c>
      <c r="F36" s="252" t="s">
        <v>2415</v>
      </c>
      <c r="G36" s="252">
        <v>12</v>
      </c>
      <c r="H36" s="252" t="s">
        <v>928</v>
      </c>
      <c r="I36" s="252" t="s">
        <v>2396</v>
      </c>
      <c r="J36" s="252" t="s">
        <v>928</v>
      </c>
      <c r="K36" s="252" t="s">
        <v>3236</v>
      </c>
      <c r="L36" s="252">
        <v>6878.4134299999996</v>
      </c>
      <c r="M36" s="252">
        <v>90.5</v>
      </c>
      <c r="N36" s="252">
        <v>0</v>
      </c>
      <c r="O36" s="252">
        <v>4202.4088400000001</v>
      </c>
      <c r="P36" s="252">
        <v>0</v>
      </c>
      <c r="Q36" s="252">
        <v>0</v>
      </c>
      <c r="R36" s="252">
        <v>0</v>
      </c>
      <c r="S36" s="252">
        <v>0</v>
      </c>
      <c r="T36" s="252">
        <v>755.68772000000001</v>
      </c>
      <c r="U36" s="252">
        <v>234.19021000000001</v>
      </c>
      <c r="V36" s="252">
        <v>100.65674</v>
      </c>
      <c r="W36" s="252">
        <v>290.88056</v>
      </c>
      <c r="X36" s="252">
        <v>0</v>
      </c>
      <c r="Y36" s="252">
        <v>0</v>
      </c>
      <c r="Z36" s="252">
        <v>937.43152999999995</v>
      </c>
      <c r="AA36" s="252">
        <v>357.15782999999999</v>
      </c>
      <c r="AB36" s="252">
        <v>0</v>
      </c>
      <c r="AC36" s="252">
        <v>0</v>
      </c>
      <c r="AD36" s="252">
        <v>1</v>
      </c>
      <c r="AE36" s="252" t="s">
        <v>19</v>
      </c>
      <c r="AF36" s="252" t="s">
        <v>718</v>
      </c>
      <c r="AG36" s="252">
        <f t="shared" si="1"/>
        <v>3803.1800002</v>
      </c>
      <c r="AH36" s="252">
        <f t="shared" si="2"/>
        <v>0</v>
      </c>
      <c r="AI36" s="252">
        <f t="shared" si="3"/>
        <v>0</v>
      </c>
      <c r="AJ36" s="252">
        <f t="shared" si="4"/>
        <v>3803.1800002</v>
      </c>
    </row>
    <row r="37" spans="1:36" x14ac:dyDescent="0.2">
      <c r="A37" s="253" t="str">
        <f t="shared" si="0"/>
        <v>SNA1CHGCR12</v>
      </c>
      <c r="B37" s="252" t="s">
        <v>19</v>
      </c>
      <c r="C37" s="252" t="s">
        <v>20</v>
      </c>
      <c r="D37" s="252" t="s">
        <v>2400</v>
      </c>
      <c r="E37" s="252" t="s">
        <v>2401</v>
      </c>
      <c r="F37" s="252" t="s">
        <v>2415</v>
      </c>
      <c r="G37" s="252">
        <v>12</v>
      </c>
      <c r="H37" s="252" t="s">
        <v>928</v>
      </c>
      <c r="I37" s="252" t="s">
        <v>928</v>
      </c>
      <c r="J37" s="252" t="s">
        <v>928</v>
      </c>
      <c r="K37" s="252" t="s">
        <v>3236</v>
      </c>
      <c r="L37" s="252">
        <v>5784.3680400000003</v>
      </c>
      <c r="M37" s="252">
        <v>90.5</v>
      </c>
      <c r="N37" s="252">
        <v>0</v>
      </c>
      <c r="O37" s="252">
        <v>3096.5666799999999</v>
      </c>
      <c r="P37" s="252">
        <v>0</v>
      </c>
      <c r="Q37" s="252">
        <v>0</v>
      </c>
      <c r="R37" s="252">
        <v>0</v>
      </c>
      <c r="S37" s="252">
        <v>0</v>
      </c>
      <c r="T37" s="252">
        <v>755.71609000000001</v>
      </c>
      <c r="U37" s="252">
        <v>234.58582000000001</v>
      </c>
      <c r="V37" s="252">
        <v>100.65658000000001</v>
      </c>
      <c r="W37" s="252">
        <v>292.37351000000001</v>
      </c>
      <c r="X37" s="252">
        <v>0</v>
      </c>
      <c r="Y37" s="252">
        <v>0</v>
      </c>
      <c r="Z37" s="252">
        <v>944.64104999999995</v>
      </c>
      <c r="AA37" s="252">
        <v>359.82830999999999</v>
      </c>
      <c r="AB37" s="252">
        <v>0</v>
      </c>
      <c r="AC37" s="252">
        <v>0</v>
      </c>
      <c r="AD37" s="252">
        <v>1</v>
      </c>
      <c r="AE37" s="252" t="s">
        <v>19</v>
      </c>
      <c r="AF37" s="252" t="s">
        <v>718</v>
      </c>
      <c r="AG37" s="252">
        <f t="shared" si="1"/>
        <v>2802.3928453999997</v>
      </c>
      <c r="AH37" s="252">
        <f t="shared" si="2"/>
        <v>0</v>
      </c>
      <c r="AI37" s="252">
        <f t="shared" si="3"/>
        <v>0</v>
      </c>
      <c r="AJ37" s="252">
        <f t="shared" si="4"/>
        <v>2802.3928453999997</v>
      </c>
    </row>
    <row r="38" spans="1:36" x14ac:dyDescent="0.2">
      <c r="A38" s="253" t="str">
        <f t="shared" si="0"/>
        <v>3ASNA1CHGCW12</v>
      </c>
      <c r="B38" s="252" t="s">
        <v>19</v>
      </c>
      <c r="C38" s="252" t="s">
        <v>20</v>
      </c>
      <c r="D38" s="252" t="s">
        <v>2400</v>
      </c>
      <c r="E38" s="252" t="s">
        <v>2401</v>
      </c>
      <c r="F38" s="252" t="s">
        <v>2417</v>
      </c>
      <c r="G38" s="252">
        <v>12</v>
      </c>
      <c r="H38" s="252" t="s">
        <v>928</v>
      </c>
      <c r="I38" s="252" t="s">
        <v>2395</v>
      </c>
      <c r="J38" s="252" t="s">
        <v>928</v>
      </c>
      <c r="K38" s="252" t="s">
        <v>3236</v>
      </c>
      <c r="L38" s="252">
        <v>6140.8209399999996</v>
      </c>
      <c r="M38" s="252">
        <v>90.5</v>
      </c>
      <c r="N38" s="252">
        <v>0</v>
      </c>
      <c r="O38" s="252">
        <v>3287.2928200000001</v>
      </c>
      <c r="P38" s="252">
        <v>0</v>
      </c>
      <c r="Q38" s="252">
        <v>0</v>
      </c>
      <c r="R38" s="252">
        <v>0</v>
      </c>
      <c r="S38" s="252">
        <v>0</v>
      </c>
      <c r="T38" s="252">
        <v>748.81377999999995</v>
      </c>
      <c r="U38" s="252">
        <v>237.28523999999999</v>
      </c>
      <c r="V38" s="252">
        <v>104.65691</v>
      </c>
      <c r="W38" s="252">
        <v>384.35415999999998</v>
      </c>
      <c r="X38" s="252">
        <v>0</v>
      </c>
      <c r="Y38" s="252">
        <v>0</v>
      </c>
      <c r="Z38" s="252">
        <v>997.11432000000002</v>
      </c>
      <c r="AA38" s="252">
        <v>381.30371000000002</v>
      </c>
      <c r="AB38" s="252">
        <v>0</v>
      </c>
      <c r="AC38" s="252">
        <v>0</v>
      </c>
      <c r="AD38" s="252">
        <v>1</v>
      </c>
      <c r="AE38" s="252" t="s">
        <v>19</v>
      </c>
      <c r="AF38" s="252" t="s">
        <v>718</v>
      </c>
      <c r="AG38" s="252">
        <f t="shared" si="1"/>
        <v>2975.0000021000001</v>
      </c>
      <c r="AH38" s="252">
        <f t="shared" si="2"/>
        <v>0</v>
      </c>
      <c r="AI38" s="252">
        <f t="shared" si="3"/>
        <v>0</v>
      </c>
      <c r="AJ38" s="252">
        <f t="shared" si="4"/>
        <v>2975.0000021000001</v>
      </c>
    </row>
    <row r="39" spans="1:36" x14ac:dyDescent="0.2">
      <c r="A39" s="253" t="str">
        <f t="shared" si="0"/>
        <v>3GSNA1CHGCW12</v>
      </c>
      <c r="B39" s="252" t="s">
        <v>19</v>
      </c>
      <c r="C39" s="252" t="s">
        <v>20</v>
      </c>
      <c r="D39" s="252" t="s">
        <v>2400</v>
      </c>
      <c r="E39" s="252" t="s">
        <v>2401</v>
      </c>
      <c r="F39" s="252" t="s">
        <v>2417</v>
      </c>
      <c r="G39" s="252">
        <v>12</v>
      </c>
      <c r="H39" s="252" t="s">
        <v>928</v>
      </c>
      <c r="I39" s="252" t="s">
        <v>2396</v>
      </c>
      <c r="J39" s="252" t="s">
        <v>928</v>
      </c>
      <c r="K39" s="252" t="s">
        <v>3236</v>
      </c>
      <c r="L39" s="252">
        <v>6995.5230799999999</v>
      </c>
      <c r="M39" s="252">
        <v>90.5</v>
      </c>
      <c r="N39" s="252">
        <v>0</v>
      </c>
      <c r="O39" s="252">
        <v>4202.4088400000001</v>
      </c>
      <c r="P39" s="252">
        <v>0</v>
      </c>
      <c r="Q39" s="252">
        <v>0</v>
      </c>
      <c r="R39" s="252">
        <v>0</v>
      </c>
      <c r="S39" s="252">
        <v>0</v>
      </c>
      <c r="T39" s="252">
        <v>747.58464000000004</v>
      </c>
      <c r="U39" s="252">
        <v>235.22189</v>
      </c>
      <c r="V39" s="252">
        <v>101.65678</v>
      </c>
      <c r="W39" s="252">
        <v>375.21134000000001</v>
      </c>
      <c r="X39" s="252">
        <v>0</v>
      </c>
      <c r="Y39" s="252">
        <v>0</v>
      </c>
      <c r="Z39" s="252">
        <v>965.21489999999994</v>
      </c>
      <c r="AA39" s="252">
        <v>368.22469000000001</v>
      </c>
      <c r="AB39" s="252">
        <v>0</v>
      </c>
      <c r="AC39" s="252">
        <v>0</v>
      </c>
      <c r="AD39" s="252">
        <v>1</v>
      </c>
      <c r="AE39" s="252" t="s">
        <v>19</v>
      </c>
      <c r="AF39" s="252" t="s">
        <v>718</v>
      </c>
      <c r="AG39" s="252">
        <f t="shared" si="1"/>
        <v>3803.1800002</v>
      </c>
      <c r="AH39" s="252">
        <f t="shared" si="2"/>
        <v>0</v>
      </c>
      <c r="AI39" s="252">
        <f t="shared" si="3"/>
        <v>0</v>
      </c>
      <c r="AJ39" s="252">
        <f t="shared" si="4"/>
        <v>3803.1800002</v>
      </c>
    </row>
    <row r="40" spans="1:36" x14ac:dyDescent="0.2">
      <c r="A40" s="253" t="str">
        <f t="shared" si="0"/>
        <v>3MSNA1CHGCW12</v>
      </c>
      <c r="B40" s="252" t="s">
        <v>19</v>
      </c>
      <c r="C40" s="252" t="s">
        <v>20</v>
      </c>
      <c r="D40" s="252" t="s">
        <v>2400</v>
      </c>
      <c r="E40" s="252" t="s">
        <v>2401</v>
      </c>
      <c r="F40" s="252" t="s">
        <v>2417</v>
      </c>
      <c r="G40" s="252">
        <v>12</v>
      </c>
      <c r="H40" s="252" t="s">
        <v>928</v>
      </c>
      <c r="I40" s="252" t="s">
        <v>2411</v>
      </c>
      <c r="J40" s="252" t="s">
        <v>928</v>
      </c>
      <c r="K40" s="252" t="s">
        <v>3236</v>
      </c>
      <c r="L40" s="252">
        <v>5839.8611700000001</v>
      </c>
      <c r="M40" s="252">
        <v>88</v>
      </c>
      <c r="N40" s="252">
        <v>0</v>
      </c>
      <c r="O40" s="252">
        <v>2900</v>
      </c>
      <c r="P40" s="252">
        <v>0</v>
      </c>
      <c r="Q40" s="252">
        <v>0</v>
      </c>
      <c r="R40" s="252">
        <v>0</v>
      </c>
      <c r="S40" s="252">
        <v>0</v>
      </c>
      <c r="T40" s="252">
        <v>826.62586999999996</v>
      </c>
      <c r="U40" s="252">
        <v>235.22189</v>
      </c>
      <c r="V40" s="252">
        <v>102.65683</v>
      </c>
      <c r="W40" s="252">
        <v>389.78131999999999</v>
      </c>
      <c r="X40" s="252">
        <v>0</v>
      </c>
      <c r="Y40" s="252">
        <v>0</v>
      </c>
      <c r="Z40" s="252">
        <v>1002.2593900000001</v>
      </c>
      <c r="AA40" s="252">
        <v>383.31587000000002</v>
      </c>
      <c r="AB40" s="252">
        <v>0</v>
      </c>
      <c r="AC40" s="252">
        <v>0</v>
      </c>
      <c r="AD40" s="252">
        <v>1</v>
      </c>
      <c r="AE40" s="252" t="s">
        <v>19</v>
      </c>
      <c r="AF40" s="252" t="s">
        <v>718</v>
      </c>
      <c r="AG40" s="252">
        <f t="shared" si="1"/>
        <v>2552</v>
      </c>
      <c r="AH40" s="252">
        <f t="shared" si="2"/>
        <v>0</v>
      </c>
      <c r="AI40" s="252">
        <f t="shared" si="3"/>
        <v>0</v>
      </c>
      <c r="AJ40" s="252">
        <f t="shared" si="4"/>
        <v>2552</v>
      </c>
    </row>
    <row r="41" spans="1:36" x14ac:dyDescent="0.2">
      <c r="A41" s="253" t="str">
        <f t="shared" si="0"/>
        <v>SNA1CHGCW12</v>
      </c>
      <c r="B41" s="252" t="s">
        <v>19</v>
      </c>
      <c r="C41" s="252" t="s">
        <v>20</v>
      </c>
      <c r="D41" s="252" t="s">
        <v>2400</v>
      </c>
      <c r="E41" s="252" t="s">
        <v>2401</v>
      </c>
      <c r="F41" s="252" t="s">
        <v>2417</v>
      </c>
      <c r="G41" s="252">
        <v>12</v>
      </c>
      <c r="H41" s="252" t="s">
        <v>928</v>
      </c>
      <c r="I41" s="252" t="s">
        <v>928</v>
      </c>
      <c r="J41" s="252" t="s">
        <v>928</v>
      </c>
      <c r="K41" s="252" t="s">
        <v>3236</v>
      </c>
      <c r="L41" s="252">
        <v>6323.0088500000002</v>
      </c>
      <c r="M41" s="252">
        <v>89.230999999999995</v>
      </c>
      <c r="N41" s="252">
        <v>0</v>
      </c>
      <c r="O41" s="252">
        <v>3477.5531099999998</v>
      </c>
      <c r="P41" s="252">
        <v>0</v>
      </c>
      <c r="Q41" s="252">
        <v>0</v>
      </c>
      <c r="R41" s="252">
        <v>0</v>
      </c>
      <c r="S41" s="252">
        <v>0</v>
      </c>
      <c r="T41" s="252">
        <v>754.26667999999995</v>
      </c>
      <c r="U41" s="252">
        <v>236.63956999999999</v>
      </c>
      <c r="V41" s="252">
        <v>103.7916</v>
      </c>
      <c r="W41" s="252">
        <v>382.56808000000001</v>
      </c>
      <c r="X41" s="252">
        <v>0</v>
      </c>
      <c r="Y41" s="252">
        <v>0</v>
      </c>
      <c r="Z41" s="252">
        <v>989.86509999999998</v>
      </c>
      <c r="AA41" s="252">
        <v>378.32470999999998</v>
      </c>
      <c r="AB41" s="252">
        <v>0</v>
      </c>
      <c r="AC41" s="252">
        <v>0</v>
      </c>
      <c r="AD41" s="252">
        <v>1</v>
      </c>
      <c r="AE41" s="252" t="s">
        <v>19</v>
      </c>
      <c r="AF41" s="252" t="s">
        <v>718</v>
      </c>
      <c r="AG41" s="252">
        <f t="shared" si="1"/>
        <v>3103.0554155841</v>
      </c>
      <c r="AH41" s="252">
        <f t="shared" si="2"/>
        <v>0</v>
      </c>
      <c r="AI41" s="252">
        <f t="shared" si="3"/>
        <v>0</v>
      </c>
      <c r="AJ41" s="252">
        <f t="shared" si="4"/>
        <v>3103.0554155841</v>
      </c>
    </row>
    <row r="42" spans="1:36" x14ac:dyDescent="0.2">
      <c r="A42" s="253" t="str">
        <f t="shared" si="0"/>
        <v>3MSNA1CHGCX12</v>
      </c>
      <c r="B42" s="252" t="s">
        <v>19</v>
      </c>
      <c r="C42" s="252" t="s">
        <v>20</v>
      </c>
      <c r="D42" s="252" t="s">
        <v>2400</v>
      </c>
      <c r="E42" s="252" t="s">
        <v>2401</v>
      </c>
      <c r="F42" s="252" t="s">
        <v>2418</v>
      </c>
      <c r="G42" s="252">
        <v>12</v>
      </c>
      <c r="H42" s="252" t="s">
        <v>928</v>
      </c>
      <c r="I42" s="252" t="s">
        <v>2411</v>
      </c>
      <c r="J42" s="252" t="s">
        <v>928</v>
      </c>
      <c r="K42" s="252" t="s">
        <v>3236</v>
      </c>
      <c r="L42" s="252">
        <v>5701.3615099999997</v>
      </c>
      <c r="M42" s="252">
        <v>89.5</v>
      </c>
      <c r="N42" s="252">
        <v>0</v>
      </c>
      <c r="O42" s="252">
        <v>2851.3966500000001</v>
      </c>
      <c r="P42" s="252">
        <v>0</v>
      </c>
      <c r="Q42" s="252">
        <v>0</v>
      </c>
      <c r="R42" s="252">
        <v>0</v>
      </c>
      <c r="S42" s="252">
        <v>0</v>
      </c>
      <c r="T42" s="252">
        <v>821.08153000000004</v>
      </c>
      <c r="U42" s="252">
        <v>237.28523999999999</v>
      </c>
      <c r="V42" s="252">
        <v>105.65694999999999</v>
      </c>
      <c r="W42" s="252">
        <v>286.02850000000001</v>
      </c>
      <c r="X42" s="252">
        <v>0</v>
      </c>
      <c r="Y42" s="252">
        <v>0</v>
      </c>
      <c r="Z42" s="252">
        <v>1013.57854</v>
      </c>
      <c r="AA42" s="252">
        <v>386.33409999999998</v>
      </c>
      <c r="AB42" s="252">
        <v>0</v>
      </c>
      <c r="AC42" s="252">
        <v>0</v>
      </c>
      <c r="AD42" s="252">
        <v>1</v>
      </c>
      <c r="AE42" s="252" t="s">
        <v>19</v>
      </c>
      <c r="AF42" s="252" t="s">
        <v>718</v>
      </c>
      <c r="AG42" s="252">
        <f t="shared" si="1"/>
        <v>2552.0000017500001</v>
      </c>
      <c r="AH42" s="252">
        <f t="shared" si="2"/>
        <v>0</v>
      </c>
      <c r="AI42" s="252">
        <f t="shared" si="3"/>
        <v>0</v>
      </c>
      <c r="AJ42" s="252">
        <f t="shared" si="4"/>
        <v>2552.0000017500001</v>
      </c>
    </row>
    <row r="43" spans="1:36" x14ac:dyDescent="0.2">
      <c r="A43" s="253" t="str">
        <f t="shared" si="0"/>
        <v>SNA1CHGCX12</v>
      </c>
      <c r="B43" s="252" t="s">
        <v>19</v>
      </c>
      <c r="C43" s="252" t="s">
        <v>20</v>
      </c>
      <c r="D43" s="252" t="s">
        <v>2400</v>
      </c>
      <c r="E43" s="252" t="s">
        <v>2401</v>
      </c>
      <c r="F43" s="252" t="s">
        <v>2418</v>
      </c>
      <c r="G43" s="252">
        <v>12</v>
      </c>
      <c r="H43" s="252" t="s">
        <v>928</v>
      </c>
      <c r="I43" s="252" t="s">
        <v>928</v>
      </c>
      <c r="J43" s="252" t="s">
        <v>928</v>
      </c>
      <c r="K43" s="252" t="s">
        <v>3236</v>
      </c>
      <c r="L43" s="252">
        <v>5701.38094</v>
      </c>
      <c r="M43" s="252">
        <v>89.5</v>
      </c>
      <c r="N43" s="252">
        <v>0</v>
      </c>
      <c r="O43" s="252">
        <v>2851.3928599999999</v>
      </c>
      <c r="P43" s="252">
        <v>0</v>
      </c>
      <c r="Q43" s="252">
        <v>0</v>
      </c>
      <c r="R43" s="252">
        <v>0</v>
      </c>
      <c r="S43" s="252">
        <v>0</v>
      </c>
      <c r="T43" s="252">
        <v>821.09523999999999</v>
      </c>
      <c r="U43" s="252">
        <v>237.28570999999999</v>
      </c>
      <c r="V43" s="252">
        <v>105.65476</v>
      </c>
      <c r="W43" s="252">
        <v>286.03570999999999</v>
      </c>
      <c r="X43" s="252">
        <v>0</v>
      </c>
      <c r="Y43" s="252">
        <v>0</v>
      </c>
      <c r="Z43" s="252">
        <v>1013.58333</v>
      </c>
      <c r="AA43" s="252">
        <v>386.33332999999999</v>
      </c>
      <c r="AB43" s="252">
        <v>0</v>
      </c>
      <c r="AC43" s="252">
        <v>0</v>
      </c>
      <c r="AD43" s="252">
        <v>1</v>
      </c>
      <c r="AE43" s="252" t="s">
        <v>19</v>
      </c>
      <c r="AF43" s="252" t="s">
        <v>718</v>
      </c>
      <c r="AG43" s="252">
        <f t="shared" si="1"/>
        <v>2551.9966097000001</v>
      </c>
      <c r="AH43" s="252">
        <f t="shared" si="2"/>
        <v>0</v>
      </c>
      <c r="AI43" s="252">
        <f t="shared" si="3"/>
        <v>0</v>
      </c>
      <c r="AJ43" s="252">
        <f t="shared" si="4"/>
        <v>2551.9966097000001</v>
      </c>
    </row>
    <row r="44" spans="1:36" x14ac:dyDescent="0.2">
      <c r="A44" s="253" t="str">
        <f t="shared" si="0"/>
        <v>3ASNA1CHGMAS12</v>
      </c>
      <c r="B44" s="252" t="s">
        <v>19</v>
      </c>
      <c r="C44" s="252" t="s">
        <v>20</v>
      </c>
      <c r="D44" s="252" t="s">
        <v>2400</v>
      </c>
      <c r="E44" s="252" t="s">
        <v>2401</v>
      </c>
      <c r="F44" s="252" t="s">
        <v>2419</v>
      </c>
      <c r="G44" s="252">
        <v>12</v>
      </c>
      <c r="H44" s="252" t="s">
        <v>928</v>
      </c>
      <c r="I44" s="252" t="s">
        <v>2395</v>
      </c>
      <c r="J44" s="252" t="s">
        <v>928</v>
      </c>
      <c r="K44" s="252" t="s">
        <v>3236</v>
      </c>
      <c r="L44" s="252">
        <v>8743.2774900000004</v>
      </c>
      <c r="M44" s="252">
        <v>87.5</v>
      </c>
      <c r="N44" s="252">
        <v>0</v>
      </c>
      <c r="O44" s="252">
        <v>3400</v>
      </c>
      <c r="P44" s="252">
        <v>0</v>
      </c>
      <c r="Q44" s="252">
        <v>0</v>
      </c>
      <c r="R44" s="252">
        <v>0</v>
      </c>
      <c r="S44" s="252">
        <v>0</v>
      </c>
      <c r="T44" s="252">
        <v>2100.2059899999999</v>
      </c>
      <c r="U44" s="252">
        <v>237.28523999999999</v>
      </c>
      <c r="V44" s="252">
        <v>122.31027</v>
      </c>
      <c r="W44" s="252">
        <v>608.57609000000002</v>
      </c>
      <c r="X44" s="252">
        <v>0</v>
      </c>
      <c r="Y44" s="252">
        <v>0</v>
      </c>
      <c r="Z44" s="252">
        <v>1632.0158100000001</v>
      </c>
      <c r="AA44" s="252">
        <v>642.88409000000001</v>
      </c>
      <c r="AB44" s="252">
        <v>0</v>
      </c>
      <c r="AC44" s="252">
        <v>0</v>
      </c>
      <c r="AD44" s="252">
        <v>1</v>
      </c>
      <c r="AE44" s="252" t="s">
        <v>19</v>
      </c>
      <c r="AF44" s="252" t="s">
        <v>718</v>
      </c>
      <c r="AG44" s="252">
        <f t="shared" si="1"/>
        <v>2975</v>
      </c>
      <c r="AH44" s="252">
        <f t="shared" si="2"/>
        <v>0</v>
      </c>
      <c r="AI44" s="252">
        <f t="shared" si="3"/>
        <v>0</v>
      </c>
      <c r="AJ44" s="252">
        <f t="shared" si="4"/>
        <v>2975</v>
      </c>
    </row>
    <row r="45" spans="1:36" x14ac:dyDescent="0.2">
      <c r="A45" s="253" t="str">
        <f t="shared" si="0"/>
        <v>SNA1CHGMAS12</v>
      </c>
      <c r="B45" s="252" t="s">
        <v>19</v>
      </c>
      <c r="C45" s="252" t="s">
        <v>20</v>
      </c>
      <c r="D45" s="252" t="s">
        <v>2400</v>
      </c>
      <c r="E45" s="252" t="s">
        <v>2401</v>
      </c>
      <c r="F45" s="252" t="s">
        <v>2419</v>
      </c>
      <c r="G45" s="252">
        <v>12</v>
      </c>
      <c r="H45" s="252" t="s">
        <v>928</v>
      </c>
      <c r="I45" s="252" t="s">
        <v>928</v>
      </c>
      <c r="J45" s="252" t="s">
        <v>928</v>
      </c>
      <c r="K45" s="252" t="s">
        <v>3236</v>
      </c>
      <c r="L45" s="252">
        <v>8743.2765899999995</v>
      </c>
      <c r="M45" s="252">
        <v>87.5</v>
      </c>
      <c r="N45" s="252">
        <v>0</v>
      </c>
      <c r="O45" s="252">
        <v>3400</v>
      </c>
      <c r="P45" s="252">
        <v>0</v>
      </c>
      <c r="Q45" s="252">
        <v>0</v>
      </c>
      <c r="R45" s="252">
        <v>0</v>
      </c>
      <c r="S45" s="252">
        <v>0</v>
      </c>
      <c r="T45" s="252">
        <v>2100.2062299999998</v>
      </c>
      <c r="U45" s="252">
        <v>237.28406000000001</v>
      </c>
      <c r="V45" s="252">
        <v>122.31001999999999</v>
      </c>
      <c r="W45" s="252">
        <v>608.57614000000001</v>
      </c>
      <c r="X45" s="252">
        <v>0</v>
      </c>
      <c r="Y45" s="252">
        <v>0</v>
      </c>
      <c r="Z45" s="252">
        <v>1632.0159000000001</v>
      </c>
      <c r="AA45" s="252">
        <v>642.88423999999998</v>
      </c>
      <c r="AB45" s="252">
        <v>0</v>
      </c>
      <c r="AC45" s="252">
        <v>0</v>
      </c>
      <c r="AD45" s="252">
        <v>1</v>
      </c>
      <c r="AE45" s="252" t="s">
        <v>19</v>
      </c>
      <c r="AF45" s="252" t="s">
        <v>718</v>
      </c>
      <c r="AG45" s="252">
        <f t="shared" si="1"/>
        <v>2975</v>
      </c>
      <c r="AH45" s="252">
        <f t="shared" si="2"/>
        <v>0</v>
      </c>
      <c r="AI45" s="252">
        <f t="shared" si="3"/>
        <v>0</v>
      </c>
      <c r="AJ45" s="252">
        <f t="shared" si="4"/>
        <v>2975</v>
      </c>
    </row>
    <row r="46" spans="1:36" x14ac:dyDescent="0.2">
      <c r="A46" s="253" t="str">
        <f t="shared" si="0"/>
        <v>3ASNA1CHGMCR12</v>
      </c>
      <c r="B46" s="252" t="s">
        <v>19</v>
      </c>
      <c r="C46" s="252" t="s">
        <v>20</v>
      </c>
      <c r="D46" s="252" t="s">
        <v>2400</v>
      </c>
      <c r="E46" s="252" t="s">
        <v>2401</v>
      </c>
      <c r="F46" s="252" t="s">
        <v>2420</v>
      </c>
      <c r="G46" s="252">
        <v>12</v>
      </c>
      <c r="H46" s="252" t="s">
        <v>928</v>
      </c>
      <c r="I46" s="252" t="s">
        <v>2395</v>
      </c>
      <c r="J46" s="252" t="s">
        <v>928</v>
      </c>
      <c r="K46" s="252" t="s">
        <v>3236</v>
      </c>
      <c r="L46" s="252">
        <v>5992.5932599999996</v>
      </c>
      <c r="M46" s="252">
        <v>90.5</v>
      </c>
      <c r="N46" s="252">
        <v>0</v>
      </c>
      <c r="O46" s="252">
        <v>3287.2928200000001</v>
      </c>
      <c r="P46" s="252">
        <v>0</v>
      </c>
      <c r="Q46" s="252">
        <v>0</v>
      </c>
      <c r="R46" s="252">
        <v>0</v>
      </c>
      <c r="S46" s="252">
        <v>0</v>
      </c>
      <c r="T46" s="252">
        <v>755.71843999999999</v>
      </c>
      <c r="U46" s="252">
        <v>236.25355999999999</v>
      </c>
      <c r="V46" s="252">
        <v>100.65674</v>
      </c>
      <c r="W46" s="252">
        <v>294.57557000000003</v>
      </c>
      <c r="X46" s="252">
        <v>0</v>
      </c>
      <c r="Y46" s="252">
        <v>0</v>
      </c>
      <c r="Z46" s="252">
        <v>953.89575000000002</v>
      </c>
      <c r="AA46" s="252">
        <v>364.20038</v>
      </c>
      <c r="AB46" s="252">
        <v>0</v>
      </c>
      <c r="AC46" s="252">
        <v>0</v>
      </c>
      <c r="AD46" s="252">
        <v>1</v>
      </c>
      <c r="AE46" s="252" t="s">
        <v>19</v>
      </c>
      <c r="AF46" s="252" t="s">
        <v>718</v>
      </c>
      <c r="AG46" s="252">
        <f t="shared" si="1"/>
        <v>2975.0000021000001</v>
      </c>
      <c r="AH46" s="252">
        <f t="shared" si="2"/>
        <v>0</v>
      </c>
      <c r="AI46" s="252">
        <f t="shared" si="3"/>
        <v>0</v>
      </c>
      <c r="AJ46" s="252">
        <f t="shared" si="4"/>
        <v>2975.0000021000001</v>
      </c>
    </row>
    <row r="47" spans="1:36" x14ac:dyDescent="0.2">
      <c r="A47" s="253" t="str">
        <f t="shared" si="0"/>
        <v>3GSNA1CHGMCR12</v>
      </c>
      <c r="B47" s="252" t="s">
        <v>19</v>
      </c>
      <c r="C47" s="252" t="s">
        <v>20</v>
      </c>
      <c r="D47" s="252" t="s">
        <v>2400</v>
      </c>
      <c r="E47" s="252" t="s">
        <v>2401</v>
      </c>
      <c r="F47" s="252" t="s">
        <v>2420</v>
      </c>
      <c r="G47" s="252">
        <v>12</v>
      </c>
      <c r="H47" s="252" t="s">
        <v>928</v>
      </c>
      <c r="I47" s="252" t="s">
        <v>2396</v>
      </c>
      <c r="J47" s="252" t="s">
        <v>928</v>
      </c>
      <c r="K47" s="252" t="s">
        <v>3236</v>
      </c>
      <c r="L47" s="252">
        <v>6878.4134299999996</v>
      </c>
      <c r="M47" s="252">
        <v>90.5</v>
      </c>
      <c r="N47" s="252">
        <v>0</v>
      </c>
      <c r="O47" s="252">
        <v>4202.4088400000001</v>
      </c>
      <c r="P47" s="252">
        <v>0</v>
      </c>
      <c r="Q47" s="252">
        <v>0</v>
      </c>
      <c r="R47" s="252">
        <v>0</v>
      </c>
      <c r="S47" s="252">
        <v>0</v>
      </c>
      <c r="T47" s="252">
        <v>755.68772000000001</v>
      </c>
      <c r="U47" s="252">
        <v>234.19021000000001</v>
      </c>
      <c r="V47" s="252">
        <v>100.65674</v>
      </c>
      <c r="W47" s="252">
        <v>290.88056</v>
      </c>
      <c r="X47" s="252">
        <v>0</v>
      </c>
      <c r="Y47" s="252">
        <v>0</v>
      </c>
      <c r="Z47" s="252">
        <v>937.43152999999995</v>
      </c>
      <c r="AA47" s="252">
        <v>357.15782999999999</v>
      </c>
      <c r="AB47" s="252">
        <v>0</v>
      </c>
      <c r="AC47" s="252">
        <v>0</v>
      </c>
      <c r="AD47" s="252">
        <v>1</v>
      </c>
      <c r="AE47" s="252" t="s">
        <v>19</v>
      </c>
      <c r="AF47" s="252" t="s">
        <v>718</v>
      </c>
      <c r="AG47" s="252">
        <f t="shared" si="1"/>
        <v>3803.1800002</v>
      </c>
      <c r="AH47" s="252">
        <f t="shared" si="2"/>
        <v>0</v>
      </c>
      <c r="AI47" s="252">
        <f t="shared" si="3"/>
        <v>0</v>
      </c>
      <c r="AJ47" s="252">
        <f t="shared" si="4"/>
        <v>3803.1800002</v>
      </c>
    </row>
    <row r="48" spans="1:36" x14ac:dyDescent="0.2">
      <c r="A48" s="253" t="str">
        <f t="shared" si="0"/>
        <v>3MSNA1CHGMCR12</v>
      </c>
      <c r="B48" s="252" t="s">
        <v>19</v>
      </c>
      <c r="C48" s="252" t="s">
        <v>20</v>
      </c>
      <c r="D48" s="252" t="s">
        <v>2400</v>
      </c>
      <c r="E48" s="252" t="s">
        <v>2401</v>
      </c>
      <c r="F48" s="252" t="s">
        <v>2420</v>
      </c>
      <c r="G48" s="252">
        <v>12</v>
      </c>
      <c r="H48" s="252" t="s">
        <v>928</v>
      </c>
      <c r="I48" s="252" t="s">
        <v>2411</v>
      </c>
      <c r="J48" s="252" t="s">
        <v>928</v>
      </c>
      <c r="K48" s="252" t="s">
        <v>3236</v>
      </c>
      <c r="L48" s="252">
        <v>5495.8940899999998</v>
      </c>
      <c r="M48" s="252">
        <v>90.5</v>
      </c>
      <c r="N48" s="252">
        <v>0</v>
      </c>
      <c r="O48" s="252">
        <v>2819.8895000000002</v>
      </c>
      <c r="P48" s="252">
        <v>0</v>
      </c>
      <c r="Q48" s="252">
        <v>0</v>
      </c>
      <c r="R48" s="252">
        <v>0</v>
      </c>
      <c r="S48" s="252">
        <v>0</v>
      </c>
      <c r="T48" s="252">
        <v>755.68772000000001</v>
      </c>
      <c r="U48" s="252">
        <v>234.19021000000001</v>
      </c>
      <c r="V48" s="252">
        <v>100.65674</v>
      </c>
      <c r="W48" s="252">
        <v>290.88056</v>
      </c>
      <c r="X48" s="252">
        <v>0</v>
      </c>
      <c r="Y48" s="252">
        <v>0</v>
      </c>
      <c r="Z48" s="252">
        <v>937.43152999999995</v>
      </c>
      <c r="AA48" s="252">
        <v>357.15782999999999</v>
      </c>
      <c r="AB48" s="252">
        <v>0</v>
      </c>
      <c r="AC48" s="252">
        <v>0</v>
      </c>
      <c r="AD48" s="252">
        <v>1</v>
      </c>
      <c r="AE48" s="252" t="s">
        <v>19</v>
      </c>
      <c r="AF48" s="252" t="s">
        <v>718</v>
      </c>
      <c r="AG48" s="252">
        <f t="shared" si="1"/>
        <v>2551.9999975000001</v>
      </c>
      <c r="AH48" s="252">
        <f t="shared" si="2"/>
        <v>0</v>
      </c>
      <c r="AI48" s="252">
        <f t="shared" si="3"/>
        <v>0</v>
      </c>
      <c r="AJ48" s="252">
        <f t="shared" si="4"/>
        <v>2551.9999975000001</v>
      </c>
    </row>
    <row r="49" spans="1:36" x14ac:dyDescent="0.2">
      <c r="A49" s="253" t="str">
        <f t="shared" si="0"/>
        <v>SNA1CHGMCR12</v>
      </c>
      <c r="B49" s="252" t="s">
        <v>19</v>
      </c>
      <c r="C49" s="252" t="s">
        <v>20</v>
      </c>
      <c r="D49" s="252" t="s">
        <v>2400</v>
      </c>
      <c r="E49" s="252" t="s">
        <v>2401</v>
      </c>
      <c r="F49" s="252" t="s">
        <v>2420</v>
      </c>
      <c r="G49" s="252">
        <v>12</v>
      </c>
      <c r="H49" s="252" t="s">
        <v>928</v>
      </c>
      <c r="I49" s="252" t="s">
        <v>928</v>
      </c>
      <c r="J49" s="252" t="s">
        <v>928</v>
      </c>
      <c r="K49" s="252" t="s">
        <v>3236</v>
      </c>
      <c r="L49" s="252">
        <v>5821.8888900000002</v>
      </c>
      <c r="M49" s="252">
        <v>90.5</v>
      </c>
      <c r="N49" s="252">
        <v>0</v>
      </c>
      <c r="O49" s="252">
        <v>3140.4249199999999</v>
      </c>
      <c r="P49" s="252">
        <v>0</v>
      </c>
      <c r="Q49" s="252">
        <v>0</v>
      </c>
      <c r="R49" s="252">
        <v>0</v>
      </c>
      <c r="S49" s="252">
        <v>0</v>
      </c>
      <c r="T49" s="252">
        <v>755.69348000000002</v>
      </c>
      <c r="U49" s="252">
        <v>234.57473999999999</v>
      </c>
      <c r="V49" s="252">
        <v>100.65651</v>
      </c>
      <c r="W49" s="252">
        <v>291.56918999999999</v>
      </c>
      <c r="X49" s="252">
        <v>0</v>
      </c>
      <c r="Y49" s="252">
        <v>0</v>
      </c>
      <c r="Z49" s="252">
        <v>940.49976000000004</v>
      </c>
      <c r="AA49" s="252">
        <v>358.47028999999998</v>
      </c>
      <c r="AB49" s="252">
        <v>0</v>
      </c>
      <c r="AC49" s="252">
        <v>0</v>
      </c>
      <c r="AD49" s="252">
        <v>1</v>
      </c>
      <c r="AE49" s="252" t="s">
        <v>19</v>
      </c>
      <c r="AF49" s="252" t="s">
        <v>718</v>
      </c>
      <c r="AG49" s="252">
        <f t="shared" si="1"/>
        <v>2842.0845526000003</v>
      </c>
      <c r="AH49" s="252">
        <f t="shared" si="2"/>
        <v>0</v>
      </c>
      <c r="AI49" s="252">
        <f t="shared" si="3"/>
        <v>0</v>
      </c>
      <c r="AJ49" s="252">
        <f t="shared" si="4"/>
        <v>2842.0845526000003</v>
      </c>
    </row>
    <row r="50" spans="1:36" x14ac:dyDescent="0.2">
      <c r="A50" s="253" t="str">
        <f t="shared" si="0"/>
        <v>3MSNA1CHGMCW12</v>
      </c>
      <c r="B50" s="252" t="s">
        <v>19</v>
      </c>
      <c r="C50" s="252" t="s">
        <v>20</v>
      </c>
      <c r="D50" s="252" t="s">
        <v>2400</v>
      </c>
      <c r="E50" s="252" t="s">
        <v>2401</v>
      </c>
      <c r="F50" s="252" t="s">
        <v>2421</v>
      </c>
      <c r="G50" s="252">
        <v>12</v>
      </c>
      <c r="H50" s="252" t="s">
        <v>928</v>
      </c>
      <c r="I50" s="252" t="s">
        <v>2411</v>
      </c>
      <c r="J50" s="252" t="s">
        <v>928</v>
      </c>
      <c r="K50" s="252" t="s">
        <v>3236</v>
      </c>
      <c r="L50" s="252">
        <v>5839.8611700000001</v>
      </c>
      <c r="M50" s="252">
        <v>88</v>
      </c>
      <c r="N50" s="252">
        <v>0</v>
      </c>
      <c r="O50" s="252">
        <v>2900</v>
      </c>
      <c r="P50" s="252">
        <v>0</v>
      </c>
      <c r="Q50" s="252">
        <v>0</v>
      </c>
      <c r="R50" s="252">
        <v>0</v>
      </c>
      <c r="S50" s="252">
        <v>0</v>
      </c>
      <c r="T50" s="252">
        <v>826.62586999999996</v>
      </c>
      <c r="U50" s="252">
        <v>235.22189</v>
      </c>
      <c r="V50" s="252">
        <v>102.65683</v>
      </c>
      <c r="W50" s="252">
        <v>389.78131999999999</v>
      </c>
      <c r="X50" s="252">
        <v>0</v>
      </c>
      <c r="Y50" s="252">
        <v>0</v>
      </c>
      <c r="Z50" s="252">
        <v>1002.2593900000001</v>
      </c>
      <c r="AA50" s="252">
        <v>383.31587000000002</v>
      </c>
      <c r="AB50" s="252">
        <v>0</v>
      </c>
      <c r="AC50" s="252">
        <v>0</v>
      </c>
      <c r="AD50" s="252">
        <v>1</v>
      </c>
      <c r="AE50" s="252" t="s">
        <v>19</v>
      </c>
      <c r="AF50" s="252" t="s">
        <v>718</v>
      </c>
      <c r="AG50" s="252">
        <f t="shared" si="1"/>
        <v>2552</v>
      </c>
      <c r="AH50" s="252">
        <f t="shared" si="2"/>
        <v>0</v>
      </c>
      <c r="AI50" s="252">
        <f t="shared" si="3"/>
        <v>0</v>
      </c>
      <c r="AJ50" s="252">
        <f t="shared" si="4"/>
        <v>2552</v>
      </c>
    </row>
    <row r="51" spans="1:36" x14ac:dyDescent="0.2">
      <c r="A51" s="253" t="str">
        <f t="shared" si="0"/>
        <v>SNA1CHGMCW12</v>
      </c>
      <c r="B51" s="252" t="s">
        <v>19</v>
      </c>
      <c r="C51" s="252" t="s">
        <v>20</v>
      </c>
      <c r="D51" s="252" t="s">
        <v>2400</v>
      </c>
      <c r="E51" s="252" t="s">
        <v>2401</v>
      </c>
      <c r="F51" s="252" t="s">
        <v>2421</v>
      </c>
      <c r="G51" s="252">
        <v>12</v>
      </c>
      <c r="H51" s="252" t="s">
        <v>928</v>
      </c>
      <c r="I51" s="252" t="s">
        <v>928</v>
      </c>
      <c r="J51" s="252" t="s">
        <v>928</v>
      </c>
      <c r="K51" s="252" t="s">
        <v>3236</v>
      </c>
      <c r="L51" s="252">
        <v>5839.8561300000001</v>
      </c>
      <c r="M51" s="252">
        <v>88</v>
      </c>
      <c r="N51" s="252">
        <v>0</v>
      </c>
      <c r="O51" s="252">
        <v>2900</v>
      </c>
      <c r="P51" s="252">
        <v>0</v>
      </c>
      <c r="Q51" s="252">
        <v>0</v>
      </c>
      <c r="R51" s="252">
        <v>0</v>
      </c>
      <c r="S51" s="252">
        <v>0</v>
      </c>
      <c r="T51" s="252">
        <v>826.62476000000004</v>
      </c>
      <c r="U51" s="252">
        <v>235.22139000000001</v>
      </c>
      <c r="V51" s="252">
        <v>102.65573000000001</v>
      </c>
      <c r="W51" s="252">
        <v>389.78249</v>
      </c>
      <c r="X51" s="252">
        <v>0</v>
      </c>
      <c r="Y51" s="252">
        <v>0</v>
      </c>
      <c r="Z51" s="252">
        <v>1002.25729</v>
      </c>
      <c r="AA51" s="252">
        <v>383.31446999999997</v>
      </c>
      <c r="AB51" s="252">
        <v>0</v>
      </c>
      <c r="AC51" s="252">
        <v>0</v>
      </c>
      <c r="AD51" s="252">
        <v>1</v>
      </c>
      <c r="AE51" s="252" t="s">
        <v>19</v>
      </c>
      <c r="AF51" s="252" t="s">
        <v>718</v>
      </c>
      <c r="AG51" s="252">
        <f t="shared" si="1"/>
        <v>2552</v>
      </c>
      <c r="AH51" s="252">
        <f t="shared" si="2"/>
        <v>0</v>
      </c>
      <c r="AI51" s="252">
        <f t="shared" si="3"/>
        <v>0</v>
      </c>
      <c r="AJ51" s="252">
        <f t="shared" si="4"/>
        <v>2552</v>
      </c>
    </row>
    <row r="52" spans="1:36" x14ac:dyDescent="0.2">
      <c r="A52" s="253" t="str">
        <f t="shared" si="0"/>
        <v>3BSNA1CRGCR12</v>
      </c>
      <c r="B52" s="252" t="s">
        <v>19</v>
      </c>
      <c r="C52" s="252" t="s">
        <v>20</v>
      </c>
      <c r="D52" s="252" t="s">
        <v>2400</v>
      </c>
      <c r="E52" s="252" t="s">
        <v>2401</v>
      </c>
      <c r="F52" s="252" t="s">
        <v>2422</v>
      </c>
      <c r="G52" s="252">
        <v>12</v>
      </c>
      <c r="H52" s="252" t="s">
        <v>928</v>
      </c>
      <c r="I52" s="252" t="s">
        <v>2416</v>
      </c>
      <c r="J52" s="252" t="s">
        <v>928</v>
      </c>
      <c r="K52" s="252" t="s">
        <v>3236</v>
      </c>
      <c r="L52" s="252">
        <v>5469.9507599999997</v>
      </c>
      <c r="M52" s="252">
        <v>90.5</v>
      </c>
      <c r="N52" s="252">
        <v>0</v>
      </c>
      <c r="O52" s="252">
        <v>2784.5303899999999</v>
      </c>
      <c r="P52" s="252">
        <v>0</v>
      </c>
      <c r="Q52" s="252">
        <v>0</v>
      </c>
      <c r="R52" s="252">
        <v>0</v>
      </c>
      <c r="S52" s="252">
        <v>0</v>
      </c>
      <c r="T52" s="252">
        <v>755.72280000000001</v>
      </c>
      <c r="U52" s="252">
        <v>234.19021000000001</v>
      </c>
      <c r="V52" s="252">
        <v>100.65674</v>
      </c>
      <c r="W52" s="252">
        <v>292.07501999999999</v>
      </c>
      <c r="X52" s="252">
        <v>0</v>
      </c>
      <c r="Y52" s="252">
        <v>0</v>
      </c>
      <c r="Z52" s="252">
        <v>943.60560999999996</v>
      </c>
      <c r="AA52" s="252">
        <v>359.16998999999998</v>
      </c>
      <c r="AB52" s="252">
        <v>0</v>
      </c>
      <c r="AC52" s="252">
        <v>0</v>
      </c>
      <c r="AD52" s="252">
        <v>1</v>
      </c>
      <c r="AE52" s="252" t="s">
        <v>19</v>
      </c>
      <c r="AF52" s="252" t="s">
        <v>718</v>
      </c>
      <c r="AG52" s="252">
        <f t="shared" si="1"/>
        <v>2520.0000029499997</v>
      </c>
      <c r="AH52" s="252">
        <f t="shared" si="2"/>
        <v>0</v>
      </c>
      <c r="AI52" s="252">
        <f t="shared" si="3"/>
        <v>0</v>
      </c>
      <c r="AJ52" s="252">
        <f t="shared" si="4"/>
        <v>2520.0000029499997</v>
      </c>
    </row>
    <row r="53" spans="1:36" x14ac:dyDescent="0.2">
      <c r="A53" s="253" t="str">
        <f t="shared" si="0"/>
        <v>SNA1CRGCR12</v>
      </c>
      <c r="B53" s="252" t="s">
        <v>19</v>
      </c>
      <c r="C53" s="252" t="s">
        <v>20</v>
      </c>
      <c r="D53" s="252" t="s">
        <v>2400</v>
      </c>
      <c r="E53" s="252" t="s">
        <v>2401</v>
      </c>
      <c r="F53" s="252" t="s">
        <v>2422</v>
      </c>
      <c r="G53" s="252">
        <v>12</v>
      </c>
      <c r="H53" s="252" t="s">
        <v>928</v>
      </c>
      <c r="I53" s="252" t="s">
        <v>928</v>
      </c>
      <c r="J53" s="252" t="s">
        <v>928</v>
      </c>
      <c r="K53" s="252" t="s">
        <v>3236</v>
      </c>
      <c r="L53" s="252">
        <v>5469.9496399999998</v>
      </c>
      <c r="M53" s="252">
        <v>90.5</v>
      </c>
      <c r="N53" s="252">
        <v>0</v>
      </c>
      <c r="O53" s="252">
        <v>2784.5302299999998</v>
      </c>
      <c r="P53" s="252">
        <v>0</v>
      </c>
      <c r="Q53" s="252">
        <v>0</v>
      </c>
      <c r="R53" s="252">
        <v>0</v>
      </c>
      <c r="S53" s="252">
        <v>0</v>
      </c>
      <c r="T53" s="252">
        <v>755.72257999999999</v>
      </c>
      <c r="U53" s="252">
        <v>234.19005999999999</v>
      </c>
      <c r="V53" s="252">
        <v>100.65652</v>
      </c>
      <c r="W53" s="252">
        <v>292.07504999999998</v>
      </c>
      <c r="X53" s="252">
        <v>0</v>
      </c>
      <c r="Y53" s="252">
        <v>0</v>
      </c>
      <c r="Z53" s="252">
        <v>943.60563999999999</v>
      </c>
      <c r="AA53" s="252">
        <v>359.16955999999999</v>
      </c>
      <c r="AB53" s="252">
        <v>0</v>
      </c>
      <c r="AC53" s="252">
        <v>0</v>
      </c>
      <c r="AD53" s="252">
        <v>1</v>
      </c>
      <c r="AE53" s="252" t="s">
        <v>19</v>
      </c>
      <c r="AF53" s="252" t="s">
        <v>718</v>
      </c>
      <c r="AG53" s="252">
        <f t="shared" si="1"/>
        <v>2519.9998581499999</v>
      </c>
      <c r="AH53" s="252">
        <f t="shared" si="2"/>
        <v>0</v>
      </c>
      <c r="AI53" s="252">
        <f t="shared" si="3"/>
        <v>0</v>
      </c>
      <c r="AJ53" s="252">
        <f t="shared" si="4"/>
        <v>2519.9998581499999</v>
      </c>
    </row>
    <row r="54" spans="1:36" x14ac:dyDescent="0.2">
      <c r="A54" s="253" t="str">
        <f t="shared" si="0"/>
        <v>3BSNA1CRGCW12</v>
      </c>
      <c r="B54" s="252" t="s">
        <v>19</v>
      </c>
      <c r="C54" s="252" t="s">
        <v>20</v>
      </c>
      <c r="D54" s="252" t="s">
        <v>2400</v>
      </c>
      <c r="E54" s="252" t="s">
        <v>2401</v>
      </c>
      <c r="F54" s="252" t="s">
        <v>2423</v>
      </c>
      <c r="G54" s="252">
        <v>12</v>
      </c>
      <c r="H54" s="252" t="s">
        <v>928</v>
      </c>
      <c r="I54" s="252" t="s">
        <v>2416</v>
      </c>
      <c r="J54" s="252" t="s">
        <v>928</v>
      </c>
      <c r="K54" s="252" t="s">
        <v>3236</v>
      </c>
      <c r="L54" s="252">
        <v>5483.61697</v>
      </c>
      <c r="M54" s="252">
        <v>90</v>
      </c>
      <c r="N54" s="252">
        <v>0</v>
      </c>
      <c r="O54" s="252">
        <v>2800</v>
      </c>
      <c r="P54" s="252">
        <v>0</v>
      </c>
      <c r="Q54" s="252">
        <v>0</v>
      </c>
      <c r="R54" s="252">
        <v>0</v>
      </c>
      <c r="S54" s="252">
        <v>0</v>
      </c>
      <c r="T54" s="252">
        <v>528.84826999999996</v>
      </c>
      <c r="U54" s="252">
        <v>238.31691000000001</v>
      </c>
      <c r="V54" s="252">
        <v>104.65691</v>
      </c>
      <c r="W54" s="252">
        <v>395.55563000000001</v>
      </c>
      <c r="X54" s="252">
        <v>0</v>
      </c>
      <c r="Y54" s="252">
        <v>0</v>
      </c>
      <c r="Z54" s="252">
        <v>1023.86868</v>
      </c>
      <c r="AA54" s="252">
        <v>392.37056999999999</v>
      </c>
      <c r="AB54" s="252">
        <v>0</v>
      </c>
      <c r="AC54" s="252">
        <v>0</v>
      </c>
      <c r="AD54" s="252">
        <v>1</v>
      </c>
      <c r="AE54" s="252" t="s">
        <v>19</v>
      </c>
      <c r="AF54" s="252" t="s">
        <v>718</v>
      </c>
      <c r="AG54" s="252">
        <f t="shared" si="1"/>
        <v>2520</v>
      </c>
      <c r="AH54" s="252">
        <f t="shared" si="2"/>
        <v>0</v>
      </c>
      <c r="AI54" s="252">
        <f t="shared" si="3"/>
        <v>0</v>
      </c>
      <c r="AJ54" s="252">
        <f t="shared" si="4"/>
        <v>2520</v>
      </c>
    </row>
    <row r="55" spans="1:36" x14ac:dyDescent="0.2">
      <c r="A55" s="253" t="str">
        <f t="shared" si="0"/>
        <v>SNA1CRGCW12</v>
      </c>
      <c r="B55" s="252" t="s">
        <v>19</v>
      </c>
      <c r="C55" s="252" t="s">
        <v>20</v>
      </c>
      <c r="D55" s="252" t="s">
        <v>2400</v>
      </c>
      <c r="E55" s="252" t="s">
        <v>2401</v>
      </c>
      <c r="F55" s="252" t="s">
        <v>2423</v>
      </c>
      <c r="G55" s="252">
        <v>12</v>
      </c>
      <c r="H55" s="252" t="s">
        <v>928</v>
      </c>
      <c r="I55" s="252" t="s">
        <v>928</v>
      </c>
      <c r="J55" s="252" t="s">
        <v>928</v>
      </c>
      <c r="K55" s="252" t="s">
        <v>3236</v>
      </c>
      <c r="L55" s="252">
        <v>5483.61589</v>
      </c>
      <c r="M55" s="252">
        <v>90</v>
      </c>
      <c r="N55" s="252">
        <v>0</v>
      </c>
      <c r="O55" s="252">
        <v>2800</v>
      </c>
      <c r="P55" s="252">
        <v>0</v>
      </c>
      <c r="Q55" s="252">
        <v>0</v>
      </c>
      <c r="R55" s="252">
        <v>0</v>
      </c>
      <c r="S55" s="252">
        <v>0</v>
      </c>
      <c r="T55" s="252">
        <v>528.84784000000002</v>
      </c>
      <c r="U55" s="252">
        <v>238.31744</v>
      </c>
      <c r="V55" s="252">
        <v>104.65672000000001</v>
      </c>
      <c r="W55" s="252">
        <v>395.55502000000001</v>
      </c>
      <c r="X55" s="252">
        <v>0</v>
      </c>
      <c r="Y55" s="252">
        <v>0</v>
      </c>
      <c r="Z55" s="252">
        <v>1023.86824</v>
      </c>
      <c r="AA55" s="252">
        <v>392.37063000000001</v>
      </c>
      <c r="AB55" s="252">
        <v>0</v>
      </c>
      <c r="AC55" s="252">
        <v>0</v>
      </c>
      <c r="AD55" s="252">
        <v>1</v>
      </c>
      <c r="AE55" s="252" t="s">
        <v>19</v>
      </c>
      <c r="AF55" s="252" t="s">
        <v>718</v>
      </c>
      <c r="AG55" s="252">
        <f t="shared" si="1"/>
        <v>2520</v>
      </c>
      <c r="AH55" s="252">
        <f t="shared" si="2"/>
        <v>0</v>
      </c>
      <c r="AI55" s="252">
        <f t="shared" si="3"/>
        <v>0</v>
      </c>
      <c r="AJ55" s="252">
        <f t="shared" si="4"/>
        <v>2520</v>
      </c>
    </row>
    <row r="56" spans="1:36" x14ac:dyDescent="0.2">
      <c r="A56" s="253" t="str">
        <f t="shared" si="0"/>
        <v>3IFSNA1CSBMR212</v>
      </c>
      <c r="B56" s="252" t="s">
        <v>19</v>
      </c>
      <c r="C56" s="252" t="s">
        <v>20</v>
      </c>
      <c r="D56" s="252" t="s">
        <v>2400</v>
      </c>
      <c r="E56" s="252" t="s">
        <v>2401</v>
      </c>
      <c r="F56" s="252" t="s">
        <v>2424</v>
      </c>
      <c r="G56" s="252">
        <v>12</v>
      </c>
      <c r="H56" s="252" t="s">
        <v>928</v>
      </c>
      <c r="I56" s="252" t="s">
        <v>2425</v>
      </c>
      <c r="J56" s="252" t="s">
        <v>928</v>
      </c>
      <c r="K56" s="252" t="s">
        <v>3236</v>
      </c>
      <c r="L56" s="252">
        <v>8811.6357000000007</v>
      </c>
      <c r="M56" s="252">
        <v>88</v>
      </c>
      <c r="N56" s="252">
        <v>0</v>
      </c>
      <c r="O56" s="252">
        <v>0</v>
      </c>
      <c r="P56" s="252">
        <v>3517.7788700000001</v>
      </c>
      <c r="Q56" s="252">
        <v>3863.63636</v>
      </c>
      <c r="R56" s="252">
        <v>0</v>
      </c>
      <c r="S56" s="252">
        <v>0</v>
      </c>
      <c r="T56" s="252">
        <v>0</v>
      </c>
      <c r="U56" s="252">
        <v>233.15853999999999</v>
      </c>
      <c r="V56" s="252">
        <v>0</v>
      </c>
      <c r="W56" s="252">
        <v>26.295680000000001</v>
      </c>
      <c r="X56" s="252">
        <v>0</v>
      </c>
      <c r="Y56" s="252">
        <v>0</v>
      </c>
      <c r="Z56" s="252">
        <v>255.19541000000001</v>
      </c>
      <c r="AA56" s="252">
        <v>114.69293999999999</v>
      </c>
      <c r="AB56" s="252">
        <v>800.87789999999995</v>
      </c>
      <c r="AC56" s="252">
        <v>0</v>
      </c>
      <c r="AD56" s="252">
        <v>1</v>
      </c>
      <c r="AE56" s="252" t="s">
        <v>19</v>
      </c>
      <c r="AF56" s="252" t="s">
        <v>718</v>
      </c>
      <c r="AG56" s="252">
        <f t="shared" si="1"/>
        <v>0</v>
      </c>
      <c r="AH56" s="252">
        <f t="shared" si="2"/>
        <v>3095.6454055999998</v>
      </c>
      <c r="AI56" s="252">
        <f t="shared" si="3"/>
        <v>704.77255200000002</v>
      </c>
      <c r="AJ56" s="252">
        <f t="shared" si="4"/>
        <v>3800.4179575999997</v>
      </c>
    </row>
    <row r="57" spans="1:36" x14ac:dyDescent="0.2">
      <c r="A57" s="253" t="str">
        <f t="shared" si="0"/>
        <v>SNA1CSBMR212</v>
      </c>
      <c r="B57" s="252" t="s">
        <v>19</v>
      </c>
      <c r="C57" s="252" t="s">
        <v>20</v>
      </c>
      <c r="D57" s="252" t="s">
        <v>2400</v>
      </c>
      <c r="E57" s="252" t="s">
        <v>2401</v>
      </c>
      <c r="F57" s="252" t="s">
        <v>2424</v>
      </c>
      <c r="G57" s="252">
        <v>12</v>
      </c>
      <c r="H57" s="252" t="s">
        <v>928</v>
      </c>
      <c r="I57" s="252" t="s">
        <v>928</v>
      </c>
      <c r="J57" s="252" t="s">
        <v>928</v>
      </c>
      <c r="K57" s="252" t="s">
        <v>3236</v>
      </c>
      <c r="L57" s="252">
        <v>8811.6358500000006</v>
      </c>
      <c r="M57" s="252">
        <v>88</v>
      </c>
      <c r="N57" s="252">
        <v>0</v>
      </c>
      <c r="O57" s="252">
        <v>0</v>
      </c>
      <c r="P57" s="252">
        <v>3517.7790199999999</v>
      </c>
      <c r="Q57" s="252">
        <v>3863.6365799999999</v>
      </c>
      <c r="R57" s="252">
        <v>0</v>
      </c>
      <c r="S57" s="252">
        <v>0</v>
      </c>
      <c r="T57" s="252">
        <v>0</v>
      </c>
      <c r="U57" s="252">
        <v>233.15860000000001</v>
      </c>
      <c r="V57" s="252">
        <v>0</v>
      </c>
      <c r="W57" s="252">
        <v>26.29543</v>
      </c>
      <c r="X57" s="252">
        <v>0</v>
      </c>
      <c r="Y57" s="252">
        <v>0</v>
      </c>
      <c r="Z57" s="252">
        <v>255.19562999999999</v>
      </c>
      <c r="AA57" s="252">
        <v>114.69293999999999</v>
      </c>
      <c r="AB57" s="252">
        <v>800.87765000000002</v>
      </c>
      <c r="AC57" s="252">
        <v>0</v>
      </c>
      <c r="AD57" s="252">
        <v>1</v>
      </c>
      <c r="AE57" s="252" t="s">
        <v>19</v>
      </c>
      <c r="AF57" s="252" t="s">
        <v>718</v>
      </c>
      <c r="AG57" s="252">
        <f t="shared" si="1"/>
        <v>0</v>
      </c>
      <c r="AH57" s="252">
        <f t="shared" si="2"/>
        <v>3095.6455375999999</v>
      </c>
      <c r="AI57" s="252">
        <f t="shared" si="3"/>
        <v>704.77233200000001</v>
      </c>
      <c r="AJ57" s="252">
        <f t="shared" si="4"/>
        <v>3800.4178695999999</v>
      </c>
    </row>
    <row r="58" spans="1:36" x14ac:dyDescent="0.2">
      <c r="A58" s="253" t="str">
        <f t="shared" si="0"/>
        <v>33SNA1CSBR212</v>
      </c>
      <c r="B58" s="252" t="s">
        <v>19</v>
      </c>
      <c r="C58" s="252" t="s">
        <v>20</v>
      </c>
      <c r="D58" s="252" t="s">
        <v>2400</v>
      </c>
      <c r="E58" s="252" t="s">
        <v>2401</v>
      </c>
      <c r="F58" s="252" t="s">
        <v>2426</v>
      </c>
      <c r="G58" s="252">
        <v>12</v>
      </c>
      <c r="H58" s="252" t="s">
        <v>928</v>
      </c>
      <c r="I58" s="252" t="s">
        <v>2406</v>
      </c>
      <c r="J58" s="252" t="s">
        <v>928</v>
      </c>
      <c r="K58" s="252" t="s">
        <v>3236</v>
      </c>
      <c r="L58" s="252">
        <v>2855.9647100000002</v>
      </c>
      <c r="M58" s="252">
        <v>100</v>
      </c>
      <c r="N58" s="252">
        <v>0</v>
      </c>
      <c r="O58" s="252">
        <v>0</v>
      </c>
      <c r="P58" s="252">
        <v>0</v>
      </c>
      <c r="Q58" s="252">
        <v>0</v>
      </c>
      <c r="R58" s="252">
        <v>0</v>
      </c>
      <c r="S58" s="252">
        <v>0</v>
      </c>
      <c r="T58" s="252">
        <v>1280.00125</v>
      </c>
      <c r="U58" s="252">
        <v>0</v>
      </c>
      <c r="V58" s="252">
        <v>16.001930000000002</v>
      </c>
      <c r="W58" s="252">
        <v>358.00159000000002</v>
      </c>
      <c r="X58" s="252">
        <v>0</v>
      </c>
      <c r="Y58" s="252">
        <v>0</v>
      </c>
      <c r="Z58" s="252">
        <v>768.28403000000003</v>
      </c>
      <c r="AA58" s="252">
        <v>433.67590999999999</v>
      </c>
      <c r="AB58" s="252">
        <v>0</v>
      </c>
      <c r="AC58" s="252">
        <v>0</v>
      </c>
      <c r="AD58" s="252">
        <v>1</v>
      </c>
      <c r="AE58" s="252" t="s">
        <v>19</v>
      </c>
      <c r="AF58" s="252" t="s">
        <v>718</v>
      </c>
      <c r="AG58" s="252">
        <f t="shared" si="1"/>
        <v>0</v>
      </c>
      <c r="AH58" s="252">
        <f t="shared" si="2"/>
        <v>0</v>
      </c>
      <c r="AI58" s="252">
        <f t="shared" si="3"/>
        <v>0</v>
      </c>
      <c r="AJ58" s="252">
        <f t="shared" si="4"/>
        <v>0</v>
      </c>
    </row>
    <row r="59" spans="1:36" x14ac:dyDescent="0.2">
      <c r="A59" s="253" t="str">
        <f t="shared" si="0"/>
        <v>3ISNA1CSBR212</v>
      </c>
      <c r="B59" s="252" t="s">
        <v>19</v>
      </c>
      <c r="C59" s="252" t="s">
        <v>20</v>
      </c>
      <c r="D59" s="252" t="s">
        <v>2400</v>
      </c>
      <c r="E59" s="252" t="s">
        <v>2401</v>
      </c>
      <c r="F59" s="252" t="s">
        <v>2426</v>
      </c>
      <c r="G59" s="252">
        <v>12</v>
      </c>
      <c r="H59" s="252" t="s">
        <v>928</v>
      </c>
      <c r="I59" s="252" t="s">
        <v>2427</v>
      </c>
      <c r="J59" s="252" t="s">
        <v>928</v>
      </c>
      <c r="K59" s="252" t="s">
        <v>3236</v>
      </c>
      <c r="L59" s="252">
        <v>8811.6357000000007</v>
      </c>
      <c r="M59" s="252">
        <v>88</v>
      </c>
      <c r="N59" s="252">
        <v>0</v>
      </c>
      <c r="O59" s="252">
        <v>0</v>
      </c>
      <c r="P59" s="252">
        <v>3517.7788700000001</v>
      </c>
      <c r="Q59" s="252">
        <v>3863.63636</v>
      </c>
      <c r="R59" s="252">
        <v>0</v>
      </c>
      <c r="S59" s="252">
        <v>0</v>
      </c>
      <c r="T59" s="252">
        <v>0</v>
      </c>
      <c r="U59" s="252">
        <v>233.15853999999999</v>
      </c>
      <c r="V59" s="252">
        <v>0</v>
      </c>
      <c r="W59" s="252">
        <v>26.295680000000001</v>
      </c>
      <c r="X59" s="252">
        <v>0</v>
      </c>
      <c r="Y59" s="252">
        <v>0</v>
      </c>
      <c r="Z59" s="252">
        <v>255.19541000000001</v>
      </c>
      <c r="AA59" s="252">
        <v>114.69293999999999</v>
      </c>
      <c r="AB59" s="252">
        <v>800.87789999999995</v>
      </c>
      <c r="AC59" s="252">
        <v>0</v>
      </c>
      <c r="AD59" s="252">
        <v>1</v>
      </c>
      <c r="AE59" s="252" t="s">
        <v>19</v>
      </c>
      <c r="AF59" s="252" t="s">
        <v>718</v>
      </c>
      <c r="AG59" s="252">
        <f t="shared" si="1"/>
        <v>0</v>
      </c>
      <c r="AH59" s="252">
        <f t="shared" si="2"/>
        <v>3095.6454055999998</v>
      </c>
      <c r="AI59" s="252">
        <f t="shared" si="3"/>
        <v>704.77255200000002</v>
      </c>
      <c r="AJ59" s="252">
        <f t="shared" si="4"/>
        <v>3800.4179575999997</v>
      </c>
    </row>
    <row r="60" spans="1:36" x14ac:dyDescent="0.2">
      <c r="A60" s="253" t="str">
        <f t="shared" si="0"/>
        <v>3IFSNA1CSBR212</v>
      </c>
      <c r="B60" s="252" t="s">
        <v>19</v>
      </c>
      <c r="C60" s="252" t="s">
        <v>20</v>
      </c>
      <c r="D60" s="252" t="s">
        <v>2400</v>
      </c>
      <c r="E60" s="252" t="s">
        <v>2401</v>
      </c>
      <c r="F60" s="252" t="s">
        <v>2426</v>
      </c>
      <c r="G60" s="252">
        <v>12</v>
      </c>
      <c r="H60" s="252" t="s">
        <v>928</v>
      </c>
      <c r="I60" s="252" t="s">
        <v>2425</v>
      </c>
      <c r="J60" s="252" t="s">
        <v>928</v>
      </c>
      <c r="K60" s="252" t="s">
        <v>3236</v>
      </c>
      <c r="L60" s="252">
        <v>8811.6357000000007</v>
      </c>
      <c r="M60" s="252">
        <v>88</v>
      </c>
      <c r="N60" s="252">
        <v>0</v>
      </c>
      <c r="O60" s="252">
        <v>0</v>
      </c>
      <c r="P60" s="252">
        <v>3517.7788700000001</v>
      </c>
      <c r="Q60" s="252">
        <v>3863.63636</v>
      </c>
      <c r="R60" s="252">
        <v>0</v>
      </c>
      <c r="S60" s="252">
        <v>0</v>
      </c>
      <c r="T60" s="252">
        <v>0</v>
      </c>
      <c r="U60" s="252">
        <v>233.15853999999999</v>
      </c>
      <c r="V60" s="252">
        <v>0</v>
      </c>
      <c r="W60" s="252">
        <v>26.295680000000001</v>
      </c>
      <c r="X60" s="252">
        <v>0</v>
      </c>
      <c r="Y60" s="252">
        <v>0</v>
      </c>
      <c r="Z60" s="252">
        <v>255.19541000000001</v>
      </c>
      <c r="AA60" s="252">
        <v>114.69293999999999</v>
      </c>
      <c r="AB60" s="252">
        <v>800.87789999999995</v>
      </c>
      <c r="AC60" s="252">
        <v>0</v>
      </c>
      <c r="AD60" s="252">
        <v>1</v>
      </c>
      <c r="AE60" s="252" t="s">
        <v>19</v>
      </c>
      <c r="AF60" s="252" t="s">
        <v>718</v>
      </c>
      <c r="AG60" s="252">
        <f t="shared" si="1"/>
        <v>0</v>
      </c>
      <c r="AH60" s="252">
        <f t="shared" si="2"/>
        <v>3095.6454055999998</v>
      </c>
      <c r="AI60" s="252">
        <f t="shared" si="3"/>
        <v>704.77255200000002</v>
      </c>
      <c r="AJ60" s="252">
        <f t="shared" si="4"/>
        <v>3800.4179575999997</v>
      </c>
    </row>
    <row r="61" spans="1:36" x14ac:dyDescent="0.2">
      <c r="A61" s="253" t="str">
        <f t="shared" si="0"/>
        <v>3M55SNA1CSBR212</v>
      </c>
      <c r="B61" s="252" t="s">
        <v>19</v>
      </c>
      <c r="C61" s="252" t="s">
        <v>20</v>
      </c>
      <c r="D61" s="252" t="s">
        <v>2400</v>
      </c>
      <c r="E61" s="252" t="s">
        <v>2401</v>
      </c>
      <c r="F61" s="252" t="s">
        <v>2426</v>
      </c>
      <c r="G61" s="252">
        <v>12</v>
      </c>
      <c r="H61" s="252" t="s">
        <v>928</v>
      </c>
      <c r="I61" s="252" t="s">
        <v>2408</v>
      </c>
      <c r="J61" s="252" t="s">
        <v>928</v>
      </c>
      <c r="K61" s="252" t="s">
        <v>3236</v>
      </c>
      <c r="L61" s="252">
        <v>7955.9991799999998</v>
      </c>
      <c r="M61" s="252">
        <v>88</v>
      </c>
      <c r="N61" s="252">
        <v>0</v>
      </c>
      <c r="O61" s="252">
        <v>2900</v>
      </c>
      <c r="P61" s="252">
        <v>1879.55087</v>
      </c>
      <c r="Q61" s="252">
        <v>0</v>
      </c>
      <c r="R61" s="252">
        <v>0</v>
      </c>
      <c r="S61" s="252">
        <v>0</v>
      </c>
      <c r="T61" s="252">
        <v>30.000229999999998</v>
      </c>
      <c r="U61" s="252">
        <v>231.09519</v>
      </c>
      <c r="V61" s="252">
        <v>210.00855999999999</v>
      </c>
      <c r="W61" s="252">
        <v>192.21770000000001</v>
      </c>
      <c r="X61" s="252">
        <v>0</v>
      </c>
      <c r="Y61" s="252">
        <v>0</v>
      </c>
      <c r="Z61" s="252">
        <v>872.60365999999999</v>
      </c>
      <c r="AA61" s="252">
        <v>274.65940000000001</v>
      </c>
      <c r="AB61" s="252">
        <v>1365.86357</v>
      </c>
      <c r="AC61" s="252">
        <v>0</v>
      </c>
      <c r="AD61" s="252">
        <v>1</v>
      </c>
      <c r="AE61" s="252" t="s">
        <v>19</v>
      </c>
      <c r="AF61" s="252" t="s">
        <v>718</v>
      </c>
      <c r="AG61" s="252">
        <f t="shared" si="1"/>
        <v>2552</v>
      </c>
      <c r="AH61" s="252">
        <f t="shared" si="2"/>
        <v>1654.0047656000002</v>
      </c>
      <c r="AI61" s="252">
        <f t="shared" si="3"/>
        <v>1201.9599416000001</v>
      </c>
      <c r="AJ61" s="252">
        <f t="shared" si="4"/>
        <v>5407.9647072000007</v>
      </c>
    </row>
    <row r="62" spans="1:36" x14ac:dyDescent="0.2">
      <c r="A62" s="253" t="str">
        <f t="shared" si="0"/>
        <v>SNA1CSBR212</v>
      </c>
      <c r="B62" s="252" t="s">
        <v>19</v>
      </c>
      <c r="C62" s="252" t="s">
        <v>20</v>
      </c>
      <c r="D62" s="252" t="s">
        <v>2400</v>
      </c>
      <c r="E62" s="252" t="s">
        <v>2401</v>
      </c>
      <c r="F62" s="252" t="s">
        <v>2426</v>
      </c>
      <c r="G62" s="252">
        <v>12</v>
      </c>
      <c r="H62" s="252" t="s">
        <v>928</v>
      </c>
      <c r="I62" s="252" t="s">
        <v>928</v>
      </c>
      <c r="J62" s="252" t="s">
        <v>928</v>
      </c>
      <c r="K62" s="252" t="s">
        <v>3236</v>
      </c>
      <c r="L62" s="252">
        <v>8274.7528299999994</v>
      </c>
      <c r="M62" s="252">
        <v>88</v>
      </c>
      <c r="N62" s="252">
        <v>0</v>
      </c>
      <c r="O62" s="252">
        <v>1819.65363</v>
      </c>
      <c r="P62" s="252">
        <v>2489.8454400000001</v>
      </c>
      <c r="Q62" s="252">
        <v>1439.3329799999999</v>
      </c>
      <c r="R62" s="252">
        <v>0</v>
      </c>
      <c r="S62" s="252">
        <v>0</v>
      </c>
      <c r="T62" s="252">
        <v>18.824480000000001</v>
      </c>
      <c r="U62" s="252">
        <v>231.86413999999999</v>
      </c>
      <c r="V62" s="252">
        <v>131.77355</v>
      </c>
      <c r="W62" s="252">
        <v>130.40619000000001</v>
      </c>
      <c r="X62" s="252">
        <v>0</v>
      </c>
      <c r="Y62" s="252">
        <v>0</v>
      </c>
      <c r="Z62" s="252">
        <v>642.59861999999998</v>
      </c>
      <c r="AA62" s="252">
        <v>215.06648000000001</v>
      </c>
      <c r="AB62" s="252">
        <v>1155.38732</v>
      </c>
      <c r="AC62" s="252">
        <v>0</v>
      </c>
      <c r="AD62" s="252">
        <v>1</v>
      </c>
      <c r="AE62" s="252" t="s">
        <v>19</v>
      </c>
      <c r="AF62" s="252" t="s">
        <v>718</v>
      </c>
      <c r="AG62" s="252">
        <f t="shared" si="1"/>
        <v>1601.2951944000001</v>
      </c>
      <c r="AH62" s="252">
        <f t="shared" si="2"/>
        <v>2191.0639872000002</v>
      </c>
      <c r="AI62" s="252">
        <f t="shared" si="3"/>
        <v>1016.7408416</v>
      </c>
      <c r="AJ62" s="252">
        <f t="shared" si="4"/>
        <v>4809.1000232000006</v>
      </c>
    </row>
    <row r="63" spans="1:36" x14ac:dyDescent="0.2">
      <c r="A63" s="253" t="str">
        <f t="shared" si="0"/>
        <v>33SNA1CSBR2A12</v>
      </c>
      <c r="B63" s="252" t="s">
        <v>19</v>
      </c>
      <c r="C63" s="252" t="s">
        <v>20</v>
      </c>
      <c r="D63" s="252" t="s">
        <v>2400</v>
      </c>
      <c r="E63" s="252" t="s">
        <v>2401</v>
      </c>
      <c r="F63" s="252" t="s">
        <v>2428</v>
      </c>
      <c r="G63" s="252">
        <v>12</v>
      </c>
      <c r="H63" s="252" t="s">
        <v>928</v>
      </c>
      <c r="I63" s="252" t="s">
        <v>2406</v>
      </c>
      <c r="J63" s="252" t="s">
        <v>928</v>
      </c>
      <c r="K63" s="252" t="s">
        <v>3236</v>
      </c>
      <c r="L63" s="252">
        <v>2855.9647100000002</v>
      </c>
      <c r="M63" s="252">
        <v>100</v>
      </c>
      <c r="N63" s="252">
        <v>0</v>
      </c>
      <c r="O63" s="252">
        <v>0</v>
      </c>
      <c r="P63" s="252">
        <v>0</v>
      </c>
      <c r="Q63" s="252">
        <v>0</v>
      </c>
      <c r="R63" s="252">
        <v>0</v>
      </c>
      <c r="S63" s="252">
        <v>0</v>
      </c>
      <c r="T63" s="252">
        <v>1280.00125</v>
      </c>
      <c r="U63" s="252">
        <v>0</v>
      </c>
      <c r="V63" s="252">
        <v>16.001930000000002</v>
      </c>
      <c r="W63" s="252">
        <v>358.00159000000002</v>
      </c>
      <c r="X63" s="252">
        <v>0</v>
      </c>
      <c r="Y63" s="252">
        <v>0</v>
      </c>
      <c r="Z63" s="252">
        <v>768.28403000000003</v>
      </c>
      <c r="AA63" s="252">
        <v>433.67590999999999</v>
      </c>
      <c r="AB63" s="252">
        <v>0</v>
      </c>
      <c r="AC63" s="252">
        <v>0</v>
      </c>
      <c r="AD63" s="252">
        <v>1</v>
      </c>
      <c r="AE63" s="252" t="s">
        <v>19</v>
      </c>
      <c r="AF63" s="252" t="s">
        <v>718</v>
      </c>
      <c r="AG63" s="252">
        <f t="shared" si="1"/>
        <v>0</v>
      </c>
      <c r="AH63" s="252">
        <f t="shared" si="2"/>
        <v>0</v>
      </c>
      <c r="AI63" s="252">
        <f t="shared" si="3"/>
        <v>0</v>
      </c>
      <c r="AJ63" s="252">
        <f t="shared" si="4"/>
        <v>0</v>
      </c>
    </row>
    <row r="64" spans="1:36" x14ac:dyDescent="0.2">
      <c r="A64" s="253" t="str">
        <f t="shared" si="0"/>
        <v>3M55SNA1CSBR2A12</v>
      </c>
      <c r="B64" s="252" t="s">
        <v>19</v>
      </c>
      <c r="C64" s="252" t="s">
        <v>20</v>
      </c>
      <c r="D64" s="252" t="s">
        <v>2400</v>
      </c>
      <c r="E64" s="252" t="s">
        <v>2401</v>
      </c>
      <c r="F64" s="252" t="s">
        <v>2428</v>
      </c>
      <c r="G64" s="252">
        <v>12</v>
      </c>
      <c r="H64" s="252" t="s">
        <v>928</v>
      </c>
      <c r="I64" s="252" t="s">
        <v>2408</v>
      </c>
      <c r="J64" s="252" t="s">
        <v>928</v>
      </c>
      <c r="K64" s="252" t="s">
        <v>3236</v>
      </c>
      <c r="L64" s="252">
        <v>7955.9991799999998</v>
      </c>
      <c r="M64" s="252">
        <v>88</v>
      </c>
      <c r="N64" s="252">
        <v>0</v>
      </c>
      <c r="O64" s="252">
        <v>2900</v>
      </c>
      <c r="P64" s="252">
        <v>1879.55087</v>
      </c>
      <c r="Q64" s="252">
        <v>0</v>
      </c>
      <c r="R64" s="252">
        <v>0</v>
      </c>
      <c r="S64" s="252">
        <v>0</v>
      </c>
      <c r="T64" s="252">
        <v>30.000229999999998</v>
      </c>
      <c r="U64" s="252">
        <v>231.09519</v>
      </c>
      <c r="V64" s="252">
        <v>210.00855999999999</v>
      </c>
      <c r="W64" s="252">
        <v>192.21770000000001</v>
      </c>
      <c r="X64" s="252">
        <v>0</v>
      </c>
      <c r="Y64" s="252">
        <v>0</v>
      </c>
      <c r="Z64" s="252">
        <v>872.60365999999999</v>
      </c>
      <c r="AA64" s="252">
        <v>274.65940000000001</v>
      </c>
      <c r="AB64" s="252">
        <v>1365.86357</v>
      </c>
      <c r="AC64" s="252">
        <v>0</v>
      </c>
      <c r="AD64" s="252">
        <v>1</v>
      </c>
      <c r="AE64" s="252" t="s">
        <v>19</v>
      </c>
      <c r="AF64" s="252" t="s">
        <v>718</v>
      </c>
      <c r="AG64" s="252">
        <f t="shared" si="1"/>
        <v>2552</v>
      </c>
      <c r="AH64" s="252">
        <f t="shared" si="2"/>
        <v>1654.0047656000002</v>
      </c>
      <c r="AI64" s="252">
        <f t="shared" si="3"/>
        <v>1201.9599416000001</v>
      </c>
      <c r="AJ64" s="252">
        <f t="shared" si="4"/>
        <v>5407.9647072000007</v>
      </c>
    </row>
    <row r="65" spans="1:36" x14ac:dyDescent="0.2">
      <c r="A65" s="253" t="str">
        <f t="shared" si="0"/>
        <v>SNA1CSBR2A12</v>
      </c>
      <c r="B65" s="252" t="s">
        <v>19</v>
      </c>
      <c r="C65" s="252" t="s">
        <v>20</v>
      </c>
      <c r="D65" s="252" t="s">
        <v>2400</v>
      </c>
      <c r="E65" s="252" t="s">
        <v>2401</v>
      </c>
      <c r="F65" s="252" t="s">
        <v>2428</v>
      </c>
      <c r="G65" s="252">
        <v>12</v>
      </c>
      <c r="H65" s="252" t="s">
        <v>928</v>
      </c>
      <c r="I65" s="252" t="s">
        <v>928</v>
      </c>
      <c r="J65" s="252" t="s">
        <v>928</v>
      </c>
      <c r="K65" s="252" t="s">
        <v>3236</v>
      </c>
      <c r="L65" s="252">
        <v>7956.0001099999999</v>
      </c>
      <c r="M65" s="252">
        <v>88</v>
      </c>
      <c r="N65" s="252">
        <v>0</v>
      </c>
      <c r="O65" s="252">
        <v>2900</v>
      </c>
      <c r="P65" s="252">
        <v>1879.5513100000001</v>
      </c>
      <c r="Q65" s="252">
        <v>0</v>
      </c>
      <c r="R65" s="252">
        <v>0</v>
      </c>
      <c r="S65" s="252">
        <v>0</v>
      </c>
      <c r="T65" s="252">
        <v>30.001159999999999</v>
      </c>
      <c r="U65" s="252">
        <v>231.09459000000001</v>
      </c>
      <c r="V65" s="252">
        <v>210.00848999999999</v>
      </c>
      <c r="W65" s="252">
        <v>192.21772999999999</v>
      </c>
      <c r="X65" s="252">
        <v>0</v>
      </c>
      <c r="Y65" s="252">
        <v>0</v>
      </c>
      <c r="Z65" s="252">
        <v>872.60404000000005</v>
      </c>
      <c r="AA65" s="252">
        <v>274.65956</v>
      </c>
      <c r="AB65" s="252">
        <v>1365.8632299999999</v>
      </c>
      <c r="AC65" s="252">
        <v>0</v>
      </c>
      <c r="AD65" s="252">
        <v>1</v>
      </c>
      <c r="AE65" s="252" t="s">
        <v>19</v>
      </c>
      <c r="AF65" s="252" t="s">
        <v>718</v>
      </c>
      <c r="AG65" s="252">
        <f t="shared" si="1"/>
        <v>2552</v>
      </c>
      <c r="AH65" s="252">
        <f t="shared" si="2"/>
        <v>1654.0051527999999</v>
      </c>
      <c r="AI65" s="252">
        <f t="shared" si="3"/>
        <v>1201.9596424000001</v>
      </c>
      <c r="AJ65" s="252">
        <f t="shared" si="4"/>
        <v>5407.9647952000005</v>
      </c>
    </row>
    <row r="66" spans="1:36" x14ac:dyDescent="0.2">
      <c r="A66" s="253" t="str">
        <f t="shared" si="0"/>
        <v>33SNA1CSBR2AK12</v>
      </c>
      <c r="B66" s="252" t="s">
        <v>19</v>
      </c>
      <c r="C66" s="252" t="s">
        <v>20</v>
      </c>
      <c r="D66" s="252" t="s">
        <v>2400</v>
      </c>
      <c r="E66" s="252" t="s">
        <v>2401</v>
      </c>
      <c r="F66" s="252" t="s">
        <v>2429</v>
      </c>
      <c r="G66" s="252">
        <v>12</v>
      </c>
      <c r="H66" s="252" t="s">
        <v>928</v>
      </c>
      <c r="I66" s="252" t="s">
        <v>2406</v>
      </c>
      <c r="J66" s="252" t="s">
        <v>928</v>
      </c>
      <c r="K66" s="252" t="s">
        <v>3236</v>
      </c>
      <c r="L66" s="252">
        <v>2855.9647100000002</v>
      </c>
      <c r="M66" s="252">
        <v>100</v>
      </c>
      <c r="N66" s="252">
        <v>0</v>
      </c>
      <c r="O66" s="252">
        <v>0</v>
      </c>
      <c r="P66" s="252">
        <v>0</v>
      </c>
      <c r="Q66" s="252">
        <v>0</v>
      </c>
      <c r="R66" s="252">
        <v>0</v>
      </c>
      <c r="S66" s="252">
        <v>0</v>
      </c>
      <c r="T66" s="252">
        <v>1280.00125</v>
      </c>
      <c r="U66" s="252">
        <v>0</v>
      </c>
      <c r="V66" s="252">
        <v>16.001930000000002</v>
      </c>
      <c r="W66" s="252">
        <v>358.00159000000002</v>
      </c>
      <c r="X66" s="252">
        <v>0</v>
      </c>
      <c r="Y66" s="252">
        <v>0</v>
      </c>
      <c r="Z66" s="252">
        <v>768.28403000000003</v>
      </c>
      <c r="AA66" s="252">
        <v>433.67590999999999</v>
      </c>
      <c r="AB66" s="252">
        <v>0</v>
      </c>
      <c r="AC66" s="252">
        <v>0</v>
      </c>
      <c r="AD66" s="252">
        <v>1</v>
      </c>
      <c r="AE66" s="252" t="s">
        <v>19</v>
      </c>
      <c r="AF66" s="252" t="s">
        <v>718</v>
      </c>
      <c r="AG66" s="252">
        <f t="shared" si="1"/>
        <v>0</v>
      </c>
      <c r="AH66" s="252">
        <f t="shared" si="2"/>
        <v>0</v>
      </c>
      <c r="AI66" s="252">
        <f t="shared" si="3"/>
        <v>0</v>
      </c>
      <c r="AJ66" s="252">
        <f t="shared" si="4"/>
        <v>0</v>
      </c>
    </row>
    <row r="67" spans="1:36" x14ac:dyDescent="0.2">
      <c r="A67" s="253" t="str">
        <f t="shared" si="0"/>
        <v>3M55SNA1CSBR2AK12</v>
      </c>
      <c r="B67" s="252" t="s">
        <v>19</v>
      </c>
      <c r="C67" s="252" t="s">
        <v>20</v>
      </c>
      <c r="D67" s="252" t="s">
        <v>2400</v>
      </c>
      <c r="E67" s="252" t="s">
        <v>2401</v>
      </c>
      <c r="F67" s="252" t="s">
        <v>2429</v>
      </c>
      <c r="G67" s="252">
        <v>12</v>
      </c>
      <c r="H67" s="252" t="s">
        <v>928</v>
      </c>
      <c r="I67" s="252" t="s">
        <v>2408</v>
      </c>
      <c r="J67" s="252" t="s">
        <v>928</v>
      </c>
      <c r="K67" s="252" t="s">
        <v>3236</v>
      </c>
      <c r="L67" s="252">
        <v>7955.9991799999998</v>
      </c>
      <c r="M67" s="252">
        <v>88</v>
      </c>
      <c r="N67" s="252">
        <v>0</v>
      </c>
      <c r="O67" s="252">
        <v>2900</v>
      </c>
      <c r="P67" s="252">
        <v>1879.55087</v>
      </c>
      <c r="Q67" s="252">
        <v>0</v>
      </c>
      <c r="R67" s="252">
        <v>0</v>
      </c>
      <c r="S67" s="252">
        <v>0</v>
      </c>
      <c r="T67" s="252">
        <v>30.000229999999998</v>
      </c>
      <c r="U67" s="252">
        <v>231.09519</v>
      </c>
      <c r="V67" s="252">
        <v>210.00855999999999</v>
      </c>
      <c r="W67" s="252">
        <v>192.21770000000001</v>
      </c>
      <c r="X67" s="252">
        <v>0</v>
      </c>
      <c r="Y67" s="252">
        <v>0</v>
      </c>
      <c r="Z67" s="252">
        <v>872.60365999999999</v>
      </c>
      <c r="AA67" s="252">
        <v>274.65940000000001</v>
      </c>
      <c r="AB67" s="252">
        <v>1365.86357</v>
      </c>
      <c r="AC67" s="252">
        <v>0</v>
      </c>
      <c r="AD67" s="252">
        <v>1</v>
      </c>
      <c r="AE67" s="252" t="s">
        <v>19</v>
      </c>
      <c r="AF67" s="252" t="s">
        <v>718</v>
      </c>
      <c r="AG67" s="252">
        <f t="shared" si="1"/>
        <v>2552</v>
      </c>
      <c r="AH67" s="252">
        <f t="shared" si="2"/>
        <v>1654.0047656000002</v>
      </c>
      <c r="AI67" s="252">
        <f t="shared" si="3"/>
        <v>1201.9599416000001</v>
      </c>
      <c r="AJ67" s="252">
        <f t="shared" si="4"/>
        <v>5407.9647072000007</v>
      </c>
    </row>
    <row r="68" spans="1:36" x14ac:dyDescent="0.2">
      <c r="A68" s="253" t="str">
        <f t="shared" ref="A68:A131" si="5">TRIM(I68&amp;B68&amp;C68&amp;D68&amp;F68&amp;G68)</f>
        <v>SNA1CSBR2AK12</v>
      </c>
      <c r="B68" s="252" t="s">
        <v>19</v>
      </c>
      <c r="C68" s="252" t="s">
        <v>20</v>
      </c>
      <c r="D68" s="252" t="s">
        <v>2400</v>
      </c>
      <c r="E68" s="252" t="s">
        <v>2401</v>
      </c>
      <c r="F68" s="252" t="s">
        <v>2429</v>
      </c>
      <c r="G68" s="252">
        <v>12</v>
      </c>
      <c r="H68" s="252" t="s">
        <v>928</v>
      </c>
      <c r="I68" s="252" t="s">
        <v>928</v>
      </c>
      <c r="J68" s="252" t="s">
        <v>928</v>
      </c>
      <c r="K68" s="252" t="s">
        <v>3236</v>
      </c>
      <c r="L68" s="252">
        <v>7955.9989400000004</v>
      </c>
      <c r="M68" s="252">
        <v>88</v>
      </c>
      <c r="N68" s="252">
        <v>0</v>
      </c>
      <c r="O68" s="252">
        <v>2900</v>
      </c>
      <c r="P68" s="252">
        <v>1879.5509300000001</v>
      </c>
      <c r="Q68" s="252">
        <v>0</v>
      </c>
      <c r="R68" s="252">
        <v>0</v>
      </c>
      <c r="S68" s="252">
        <v>0</v>
      </c>
      <c r="T68" s="252">
        <v>30.00038</v>
      </c>
      <c r="U68" s="252">
        <v>231.09485000000001</v>
      </c>
      <c r="V68" s="252">
        <v>210.00827000000001</v>
      </c>
      <c r="W68" s="252">
        <v>192.21829</v>
      </c>
      <c r="X68" s="252">
        <v>0</v>
      </c>
      <c r="Y68" s="252">
        <v>0</v>
      </c>
      <c r="Z68" s="252">
        <v>872.60418000000004</v>
      </c>
      <c r="AA68" s="252">
        <v>274.65868</v>
      </c>
      <c r="AB68" s="252">
        <v>1365.8633600000001</v>
      </c>
      <c r="AC68" s="252">
        <v>0</v>
      </c>
      <c r="AD68" s="252">
        <v>1</v>
      </c>
      <c r="AE68" s="252" t="s">
        <v>19</v>
      </c>
      <c r="AF68" s="252" t="s">
        <v>718</v>
      </c>
      <c r="AG68" s="252">
        <f t="shared" ref="AG68:AG132" si="6">+O68*M68/100</f>
        <v>2552</v>
      </c>
      <c r="AH68" s="252">
        <f t="shared" ref="AH68:AH132" si="7">+P68*M68/100</f>
        <v>1654.0048184000002</v>
      </c>
      <c r="AI68" s="252">
        <f t="shared" ref="AI68:AI132" si="8">+AB68*M68/100</f>
        <v>1201.9597567999999</v>
      </c>
      <c r="AJ68" s="252">
        <f t="shared" ref="AJ68:AJ132" si="9">+AG68+AH68+AI68</f>
        <v>5407.9645752000006</v>
      </c>
    </row>
    <row r="69" spans="1:36" x14ac:dyDescent="0.2">
      <c r="A69" s="253" t="str">
        <f t="shared" si="5"/>
        <v>33SNA1CSBR2E12</v>
      </c>
      <c r="B69" s="252" t="s">
        <v>19</v>
      </c>
      <c r="C69" s="252" t="s">
        <v>20</v>
      </c>
      <c r="D69" s="252" t="s">
        <v>2400</v>
      </c>
      <c r="E69" s="252" t="s">
        <v>2401</v>
      </c>
      <c r="F69" s="252" t="s">
        <v>2430</v>
      </c>
      <c r="G69" s="252">
        <v>12</v>
      </c>
      <c r="H69" s="252" t="s">
        <v>928</v>
      </c>
      <c r="I69" s="252" t="s">
        <v>2406</v>
      </c>
      <c r="J69" s="252" t="s">
        <v>928</v>
      </c>
      <c r="K69" s="252" t="s">
        <v>3236</v>
      </c>
      <c r="L69" s="252">
        <v>2855.9647100000002</v>
      </c>
      <c r="M69" s="252">
        <v>100</v>
      </c>
      <c r="N69" s="252">
        <v>0</v>
      </c>
      <c r="O69" s="252">
        <v>0</v>
      </c>
      <c r="P69" s="252">
        <v>0</v>
      </c>
      <c r="Q69" s="252">
        <v>0</v>
      </c>
      <c r="R69" s="252">
        <v>0</v>
      </c>
      <c r="S69" s="252">
        <v>0</v>
      </c>
      <c r="T69" s="252">
        <v>1280.00125</v>
      </c>
      <c r="U69" s="252">
        <v>0</v>
      </c>
      <c r="V69" s="252">
        <v>16.001930000000002</v>
      </c>
      <c r="W69" s="252">
        <v>358.00159000000002</v>
      </c>
      <c r="X69" s="252">
        <v>0</v>
      </c>
      <c r="Y69" s="252">
        <v>0</v>
      </c>
      <c r="Z69" s="252">
        <v>768.28403000000003</v>
      </c>
      <c r="AA69" s="252">
        <v>433.67590999999999</v>
      </c>
      <c r="AB69" s="252">
        <v>0</v>
      </c>
      <c r="AC69" s="252">
        <v>0</v>
      </c>
      <c r="AD69" s="252">
        <v>1</v>
      </c>
      <c r="AE69" s="252" t="s">
        <v>19</v>
      </c>
      <c r="AF69" s="252" t="s">
        <v>718</v>
      </c>
      <c r="AG69" s="252">
        <f t="shared" si="6"/>
        <v>0</v>
      </c>
      <c r="AH69" s="252">
        <f t="shared" si="7"/>
        <v>0</v>
      </c>
      <c r="AI69" s="252">
        <f t="shared" si="8"/>
        <v>0</v>
      </c>
      <c r="AJ69" s="252">
        <f t="shared" si="9"/>
        <v>0</v>
      </c>
    </row>
    <row r="70" spans="1:36" x14ac:dyDescent="0.2">
      <c r="A70" s="253" t="str">
        <f t="shared" si="5"/>
        <v>3M55SNA1CSBR2E12</v>
      </c>
      <c r="B70" s="252" t="s">
        <v>19</v>
      </c>
      <c r="C70" s="252" t="s">
        <v>20</v>
      </c>
      <c r="D70" s="252" t="s">
        <v>2400</v>
      </c>
      <c r="E70" s="252" t="s">
        <v>2401</v>
      </c>
      <c r="F70" s="252" t="s">
        <v>2430</v>
      </c>
      <c r="G70" s="252">
        <v>12</v>
      </c>
      <c r="H70" s="252" t="s">
        <v>928</v>
      </c>
      <c r="I70" s="252" t="s">
        <v>2408</v>
      </c>
      <c r="J70" s="252" t="s">
        <v>928</v>
      </c>
      <c r="K70" s="252" t="s">
        <v>3236</v>
      </c>
      <c r="L70" s="252">
        <v>7955.9991799999998</v>
      </c>
      <c r="M70" s="252">
        <v>88</v>
      </c>
      <c r="N70" s="252">
        <v>0</v>
      </c>
      <c r="O70" s="252">
        <v>2900</v>
      </c>
      <c r="P70" s="252">
        <v>1879.55087</v>
      </c>
      <c r="Q70" s="252">
        <v>0</v>
      </c>
      <c r="R70" s="252">
        <v>0</v>
      </c>
      <c r="S70" s="252">
        <v>0</v>
      </c>
      <c r="T70" s="252">
        <v>30.000229999999998</v>
      </c>
      <c r="U70" s="252">
        <v>231.09519</v>
      </c>
      <c r="V70" s="252">
        <v>210.00855999999999</v>
      </c>
      <c r="W70" s="252">
        <v>192.21770000000001</v>
      </c>
      <c r="X70" s="252">
        <v>0</v>
      </c>
      <c r="Y70" s="252">
        <v>0</v>
      </c>
      <c r="Z70" s="252">
        <v>872.60365999999999</v>
      </c>
      <c r="AA70" s="252">
        <v>274.65940000000001</v>
      </c>
      <c r="AB70" s="252">
        <v>1365.86357</v>
      </c>
      <c r="AC70" s="252">
        <v>0</v>
      </c>
      <c r="AD70" s="252">
        <v>1</v>
      </c>
      <c r="AE70" s="252" t="s">
        <v>19</v>
      </c>
      <c r="AF70" s="252" t="s">
        <v>718</v>
      </c>
      <c r="AG70" s="252">
        <f t="shared" si="6"/>
        <v>2552</v>
      </c>
      <c r="AH70" s="252">
        <f t="shared" si="7"/>
        <v>1654.0047656000002</v>
      </c>
      <c r="AI70" s="252">
        <f t="shared" si="8"/>
        <v>1201.9599416000001</v>
      </c>
      <c r="AJ70" s="252">
        <f t="shared" si="9"/>
        <v>5407.9647072000007</v>
      </c>
    </row>
    <row r="71" spans="1:36" x14ac:dyDescent="0.2">
      <c r="A71" s="253" t="str">
        <f t="shared" si="5"/>
        <v>SNA1CSBR2E12</v>
      </c>
      <c r="B71" s="252" t="s">
        <v>19</v>
      </c>
      <c r="C71" s="252" t="s">
        <v>20</v>
      </c>
      <c r="D71" s="252" t="s">
        <v>2400</v>
      </c>
      <c r="E71" s="252" t="s">
        <v>2401</v>
      </c>
      <c r="F71" s="252" t="s">
        <v>2430</v>
      </c>
      <c r="G71" s="252">
        <v>12</v>
      </c>
      <c r="H71" s="252" t="s">
        <v>928</v>
      </c>
      <c r="I71" s="252" t="s">
        <v>928</v>
      </c>
      <c r="J71" s="252" t="s">
        <v>928</v>
      </c>
      <c r="K71" s="252" t="s">
        <v>3236</v>
      </c>
      <c r="L71" s="252">
        <v>7956.0008500000004</v>
      </c>
      <c r="M71" s="252">
        <v>88</v>
      </c>
      <c r="N71" s="252">
        <v>0</v>
      </c>
      <c r="O71" s="252">
        <v>2900</v>
      </c>
      <c r="P71" s="252">
        <v>1879.55124</v>
      </c>
      <c r="Q71" s="252">
        <v>0</v>
      </c>
      <c r="R71" s="252">
        <v>0</v>
      </c>
      <c r="S71" s="252">
        <v>0</v>
      </c>
      <c r="T71" s="252">
        <v>30.000389999999999</v>
      </c>
      <c r="U71" s="252">
        <v>231.09530000000001</v>
      </c>
      <c r="V71" s="252">
        <v>210.00847999999999</v>
      </c>
      <c r="W71" s="252">
        <v>192.21798000000001</v>
      </c>
      <c r="X71" s="252">
        <v>0</v>
      </c>
      <c r="Y71" s="252">
        <v>0</v>
      </c>
      <c r="Z71" s="252">
        <v>872.60389999999995</v>
      </c>
      <c r="AA71" s="252">
        <v>274.65976999999998</v>
      </c>
      <c r="AB71" s="252">
        <v>1365.8637900000001</v>
      </c>
      <c r="AC71" s="252">
        <v>0</v>
      </c>
      <c r="AD71" s="252">
        <v>1</v>
      </c>
      <c r="AE71" s="252" t="s">
        <v>19</v>
      </c>
      <c r="AF71" s="252" t="s">
        <v>718</v>
      </c>
      <c r="AG71" s="252">
        <f t="shared" si="6"/>
        <v>2552</v>
      </c>
      <c r="AH71" s="252">
        <f t="shared" si="7"/>
        <v>1654.0050911999999</v>
      </c>
      <c r="AI71" s="252">
        <f t="shared" si="8"/>
        <v>1201.9601352</v>
      </c>
      <c r="AJ71" s="252">
        <f t="shared" si="9"/>
        <v>5407.9652263999997</v>
      </c>
    </row>
    <row r="72" spans="1:36" x14ac:dyDescent="0.2">
      <c r="A72" s="253" t="str">
        <f t="shared" si="5"/>
        <v>3ISNA1CSBR2I12</v>
      </c>
      <c r="B72" s="252" t="s">
        <v>19</v>
      </c>
      <c r="C72" s="252" t="s">
        <v>20</v>
      </c>
      <c r="D72" s="252" t="s">
        <v>2400</v>
      </c>
      <c r="E72" s="252" t="s">
        <v>2401</v>
      </c>
      <c r="F72" s="252" t="s">
        <v>2431</v>
      </c>
      <c r="G72" s="252">
        <v>12</v>
      </c>
      <c r="H72" s="252" t="s">
        <v>928</v>
      </c>
      <c r="I72" s="252" t="s">
        <v>2427</v>
      </c>
      <c r="J72" s="252" t="s">
        <v>928</v>
      </c>
      <c r="K72" s="252" t="s">
        <v>3236</v>
      </c>
      <c r="L72" s="252">
        <v>8811.6357000000007</v>
      </c>
      <c r="M72" s="252">
        <v>88</v>
      </c>
      <c r="N72" s="252">
        <v>0</v>
      </c>
      <c r="O72" s="252">
        <v>0</v>
      </c>
      <c r="P72" s="252">
        <v>3517.7788700000001</v>
      </c>
      <c r="Q72" s="252">
        <v>3863.63636</v>
      </c>
      <c r="R72" s="252">
        <v>0</v>
      </c>
      <c r="S72" s="252">
        <v>0</v>
      </c>
      <c r="T72" s="252">
        <v>0</v>
      </c>
      <c r="U72" s="252">
        <v>233.15853999999999</v>
      </c>
      <c r="V72" s="252">
        <v>0</v>
      </c>
      <c r="W72" s="252">
        <v>26.295680000000001</v>
      </c>
      <c r="X72" s="252">
        <v>0</v>
      </c>
      <c r="Y72" s="252">
        <v>0</v>
      </c>
      <c r="Z72" s="252">
        <v>255.19541000000001</v>
      </c>
      <c r="AA72" s="252">
        <v>114.69293999999999</v>
      </c>
      <c r="AB72" s="252">
        <v>800.87789999999995</v>
      </c>
      <c r="AC72" s="252">
        <v>0</v>
      </c>
      <c r="AD72" s="252">
        <v>1</v>
      </c>
      <c r="AE72" s="252" t="s">
        <v>19</v>
      </c>
      <c r="AF72" s="252" t="s">
        <v>718</v>
      </c>
      <c r="AG72" s="252">
        <f t="shared" si="6"/>
        <v>0</v>
      </c>
      <c r="AH72" s="252">
        <f t="shared" si="7"/>
        <v>3095.6454055999998</v>
      </c>
      <c r="AI72" s="252">
        <f t="shared" si="8"/>
        <v>704.77255200000002</v>
      </c>
      <c r="AJ72" s="252">
        <f t="shared" si="9"/>
        <v>3800.4179575999997</v>
      </c>
    </row>
    <row r="73" spans="1:36" x14ac:dyDescent="0.2">
      <c r="A73" s="253" t="str">
        <f t="shared" si="5"/>
        <v>SNA1CSBR2I12</v>
      </c>
      <c r="B73" s="252" t="s">
        <v>19</v>
      </c>
      <c r="C73" s="252" t="s">
        <v>20</v>
      </c>
      <c r="D73" s="252" t="s">
        <v>2400</v>
      </c>
      <c r="E73" s="252" t="s">
        <v>2401</v>
      </c>
      <c r="F73" s="252" t="s">
        <v>2431</v>
      </c>
      <c r="G73" s="252">
        <v>12</v>
      </c>
      <c r="H73" s="252" t="s">
        <v>928</v>
      </c>
      <c r="I73" s="252" t="s">
        <v>928</v>
      </c>
      <c r="J73" s="252" t="s">
        <v>928</v>
      </c>
      <c r="K73" s="252" t="s">
        <v>3236</v>
      </c>
      <c r="L73" s="252">
        <v>8811.6364200000007</v>
      </c>
      <c r="M73" s="252">
        <v>88</v>
      </c>
      <c r="N73" s="252">
        <v>0</v>
      </c>
      <c r="O73" s="252">
        <v>0</v>
      </c>
      <c r="P73" s="252">
        <v>3517.7790799999998</v>
      </c>
      <c r="Q73" s="252">
        <v>3863.63681</v>
      </c>
      <c r="R73" s="252">
        <v>0</v>
      </c>
      <c r="S73" s="252">
        <v>0</v>
      </c>
      <c r="T73" s="252">
        <v>0</v>
      </c>
      <c r="U73" s="252">
        <v>233.15867</v>
      </c>
      <c r="V73" s="252">
        <v>0</v>
      </c>
      <c r="W73" s="252">
        <v>26.295860000000001</v>
      </c>
      <c r="X73" s="252">
        <v>0</v>
      </c>
      <c r="Y73" s="252">
        <v>0</v>
      </c>
      <c r="Z73" s="252">
        <v>255.19515999999999</v>
      </c>
      <c r="AA73" s="252">
        <v>114.69262000000001</v>
      </c>
      <c r="AB73" s="252">
        <v>800.87822000000006</v>
      </c>
      <c r="AC73" s="252">
        <v>0</v>
      </c>
      <c r="AD73" s="252">
        <v>1</v>
      </c>
      <c r="AE73" s="252" t="s">
        <v>19</v>
      </c>
      <c r="AF73" s="252" t="s">
        <v>718</v>
      </c>
      <c r="AG73" s="252">
        <f t="shared" si="6"/>
        <v>0</v>
      </c>
      <c r="AH73" s="252">
        <f t="shared" si="7"/>
        <v>3095.6455903999995</v>
      </c>
      <c r="AI73" s="252">
        <f t="shared" si="8"/>
        <v>704.77283360000001</v>
      </c>
      <c r="AJ73" s="252">
        <f t="shared" si="9"/>
        <v>3800.4184239999995</v>
      </c>
    </row>
    <row r="74" spans="1:36" x14ac:dyDescent="0.2">
      <c r="A74" s="253" t="str">
        <f t="shared" si="5"/>
        <v>3BSNA1CSBR2K12</v>
      </c>
      <c r="B74" s="252" t="s">
        <v>19</v>
      </c>
      <c r="C74" s="252" t="s">
        <v>20</v>
      </c>
      <c r="D74" s="252" t="s">
        <v>2400</v>
      </c>
      <c r="E74" s="252" t="s">
        <v>2401</v>
      </c>
      <c r="F74" s="252" t="s">
        <v>2432</v>
      </c>
      <c r="G74" s="252">
        <v>12</v>
      </c>
      <c r="H74" s="252" t="s">
        <v>928</v>
      </c>
      <c r="I74" s="252" t="s">
        <v>2416</v>
      </c>
      <c r="J74" s="252" t="s">
        <v>928</v>
      </c>
      <c r="K74" s="252" t="s">
        <v>3236</v>
      </c>
      <c r="L74" s="252">
        <v>4140</v>
      </c>
      <c r="M74" s="252">
        <v>100</v>
      </c>
      <c r="N74" s="252">
        <v>0</v>
      </c>
      <c r="O74" s="252">
        <v>4140</v>
      </c>
      <c r="P74" s="252">
        <v>0</v>
      </c>
      <c r="Q74" s="252">
        <v>0</v>
      </c>
      <c r="R74" s="252">
        <v>0</v>
      </c>
      <c r="S74" s="252">
        <v>0</v>
      </c>
      <c r="T74" s="252">
        <v>0</v>
      </c>
      <c r="U74" s="252">
        <v>0</v>
      </c>
      <c r="V74" s="252">
        <v>0</v>
      </c>
      <c r="W74" s="252">
        <v>0</v>
      </c>
      <c r="X74" s="252">
        <v>0</v>
      </c>
      <c r="Y74" s="252">
        <v>0</v>
      </c>
      <c r="Z74" s="252">
        <v>0</v>
      </c>
      <c r="AA74" s="252">
        <v>0</v>
      </c>
      <c r="AB74" s="252">
        <v>0</v>
      </c>
      <c r="AC74" s="252">
        <v>0</v>
      </c>
      <c r="AD74" s="252">
        <v>1</v>
      </c>
      <c r="AE74" s="252" t="s">
        <v>19</v>
      </c>
      <c r="AF74" s="252" t="s">
        <v>718</v>
      </c>
      <c r="AG74" s="252">
        <f t="shared" si="6"/>
        <v>4140</v>
      </c>
      <c r="AH74" s="252">
        <f t="shared" si="7"/>
        <v>0</v>
      </c>
      <c r="AI74" s="252">
        <f t="shared" si="8"/>
        <v>0</v>
      </c>
      <c r="AJ74" s="252">
        <f t="shared" si="9"/>
        <v>4140</v>
      </c>
    </row>
    <row r="75" spans="1:36" x14ac:dyDescent="0.2">
      <c r="A75" s="253" t="str">
        <f t="shared" si="5"/>
        <v>SNA1CSBR2K12</v>
      </c>
      <c r="B75" s="252" t="s">
        <v>19</v>
      </c>
      <c r="C75" s="252" t="s">
        <v>20</v>
      </c>
      <c r="D75" s="252" t="s">
        <v>2400</v>
      </c>
      <c r="E75" s="252" t="s">
        <v>2401</v>
      </c>
      <c r="F75" s="252" t="s">
        <v>2432</v>
      </c>
      <c r="G75" s="252">
        <v>12</v>
      </c>
      <c r="H75" s="252" t="s">
        <v>928</v>
      </c>
      <c r="I75" s="252" t="s">
        <v>928</v>
      </c>
      <c r="J75" s="252" t="s">
        <v>928</v>
      </c>
      <c r="K75" s="252" t="s">
        <v>3236</v>
      </c>
      <c r="L75" s="252">
        <v>4139.9996899999996</v>
      </c>
      <c r="M75" s="252">
        <v>100</v>
      </c>
      <c r="N75" s="252">
        <v>0</v>
      </c>
      <c r="O75" s="252">
        <v>4139.9996899999996</v>
      </c>
      <c r="P75" s="252">
        <v>0</v>
      </c>
      <c r="Q75" s="252">
        <v>0</v>
      </c>
      <c r="R75" s="252">
        <v>0</v>
      </c>
      <c r="S75" s="252">
        <v>0</v>
      </c>
      <c r="T75" s="252">
        <v>0</v>
      </c>
      <c r="U75" s="252">
        <v>0</v>
      </c>
      <c r="V75" s="252">
        <v>0</v>
      </c>
      <c r="W75" s="252">
        <v>0</v>
      </c>
      <c r="X75" s="252">
        <v>0</v>
      </c>
      <c r="Y75" s="252">
        <v>0</v>
      </c>
      <c r="Z75" s="252">
        <v>0</v>
      </c>
      <c r="AA75" s="252">
        <v>0</v>
      </c>
      <c r="AB75" s="252">
        <v>0</v>
      </c>
      <c r="AC75" s="252">
        <v>0</v>
      </c>
      <c r="AD75" s="252">
        <v>1</v>
      </c>
      <c r="AE75" s="252" t="s">
        <v>19</v>
      </c>
      <c r="AF75" s="252" t="s">
        <v>718</v>
      </c>
      <c r="AG75" s="252">
        <f t="shared" si="6"/>
        <v>4139.9996899999996</v>
      </c>
      <c r="AH75" s="252">
        <f t="shared" si="7"/>
        <v>0</v>
      </c>
      <c r="AI75" s="252">
        <f t="shared" si="8"/>
        <v>0</v>
      </c>
      <c r="AJ75" s="252">
        <f t="shared" si="9"/>
        <v>4139.9996899999996</v>
      </c>
    </row>
    <row r="76" spans="1:36" x14ac:dyDescent="0.2">
      <c r="A76" s="253" t="str">
        <f t="shared" si="5"/>
        <v>3ASNBR100512</v>
      </c>
      <c r="B76" s="252" t="s">
        <v>19</v>
      </c>
      <c r="C76" s="252" t="s">
        <v>20</v>
      </c>
      <c r="D76" s="252" t="s">
        <v>2433</v>
      </c>
      <c r="E76" s="252" t="s">
        <v>2434</v>
      </c>
      <c r="F76" s="252" t="s">
        <v>2435</v>
      </c>
      <c r="G76" s="252">
        <v>12</v>
      </c>
      <c r="H76" s="252" t="s">
        <v>928</v>
      </c>
      <c r="I76" s="252" t="s">
        <v>2395</v>
      </c>
      <c r="J76" s="252" t="s">
        <v>928</v>
      </c>
      <c r="K76" s="252" t="s">
        <v>3236</v>
      </c>
      <c r="L76" s="252">
        <v>6981.9237899999998</v>
      </c>
      <c r="M76" s="252">
        <v>87</v>
      </c>
      <c r="N76" s="252">
        <v>0</v>
      </c>
      <c r="O76" s="252">
        <v>4712.6436800000001</v>
      </c>
      <c r="P76" s="252">
        <v>0</v>
      </c>
      <c r="Q76" s="252">
        <v>0</v>
      </c>
      <c r="R76" s="252">
        <v>0</v>
      </c>
      <c r="S76" s="252">
        <v>0</v>
      </c>
      <c r="T76" s="252">
        <v>160.00727000000001</v>
      </c>
      <c r="U76" s="252">
        <v>232.1241</v>
      </c>
      <c r="V76" s="252">
        <v>208.00506999999999</v>
      </c>
      <c r="W76" s="252">
        <v>332.59771000000001</v>
      </c>
      <c r="X76" s="252">
        <v>0</v>
      </c>
      <c r="Y76" s="252">
        <v>0</v>
      </c>
      <c r="Z76" s="252">
        <v>952.70889</v>
      </c>
      <c r="AA76" s="252">
        <v>383.83706999999998</v>
      </c>
      <c r="AB76" s="252">
        <v>0</v>
      </c>
      <c r="AC76" s="252">
        <v>0</v>
      </c>
      <c r="AD76" s="252">
        <v>1</v>
      </c>
      <c r="AE76" s="252" t="s">
        <v>19</v>
      </c>
      <c r="AF76" s="252" t="s">
        <v>718</v>
      </c>
      <c r="AG76" s="252">
        <f t="shared" si="6"/>
        <v>4100.0000016000004</v>
      </c>
      <c r="AH76" s="252">
        <f t="shared" si="7"/>
        <v>0</v>
      </c>
      <c r="AI76" s="252">
        <f t="shared" si="8"/>
        <v>0</v>
      </c>
      <c r="AJ76" s="252">
        <f t="shared" si="9"/>
        <v>4100.0000016000004</v>
      </c>
    </row>
    <row r="77" spans="1:36" x14ac:dyDescent="0.2">
      <c r="A77" s="253" t="str">
        <f t="shared" si="5"/>
        <v>SNBR100512</v>
      </c>
      <c r="B77" s="252" t="s">
        <v>19</v>
      </c>
      <c r="C77" s="252" t="s">
        <v>20</v>
      </c>
      <c r="D77" s="252" t="s">
        <v>2433</v>
      </c>
      <c r="E77" s="252" t="s">
        <v>2434</v>
      </c>
      <c r="F77" s="252" t="s">
        <v>2435</v>
      </c>
      <c r="G77" s="252">
        <v>12</v>
      </c>
      <c r="H77" s="252" t="s">
        <v>928</v>
      </c>
      <c r="I77" s="252" t="s">
        <v>928</v>
      </c>
      <c r="J77" s="252" t="s">
        <v>928</v>
      </c>
      <c r="K77" s="252" t="s">
        <v>3236</v>
      </c>
      <c r="L77" s="252">
        <v>6981.9267200000004</v>
      </c>
      <c r="M77" s="252">
        <v>87</v>
      </c>
      <c r="N77" s="252">
        <v>0</v>
      </c>
      <c r="O77" s="252">
        <v>4712.6435300000003</v>
      </c>
      <c r="P77" s="252">
        <v>0</v>
      </c>
      <c r="Q77" s="252">
        <v>0</v>
      </c>
      <c r="R77" s="252">
        <v>0</v>
      </c>
      <c r="S77" s="252">
        <v>0</v>
      </c>
      <c r="T77" s="252">
        <v>160.00792999999999</v>
      </c>
      <c r="U77" s="252">
        <v>232.12297000000001</v>
      </c>
      <c r="V77" s="252">
        <v>208.00664</v>
      </c>
      <c r="W77" s="252">
        <v>332.59723000000002</v>
      </c>
      <c r="X77" s="252">
        <v>0</v>
      </c>
      <c r="Y77" s="252">
        <v>0</v>
      </c>
      <c r="Z77" s="252">
        <v>952.71145999999999</v>
      </c>
      <c r="AA77" s="252">
        <v>383.83695999999998</v>
      </c>
      <c r="AB77" s="252">
        <v>0</v>
      </c>
      <c r="AC77" s="252">
        <v>0</v>
      </c>
      <c r="AD77" s="252">
        <v>1</v>
      </c>
      <c r="AE77" s="252" t="s">
        <v>19</v>
      </c>
      <c r="AF77" s="252" t="s">
        <v>718</v>
      </c>
      <c r="AG77" s="252">
        <f t="shared" si="6"/>
        <v>4099.9998711000007</v>
      </c>
      <c r="AH77" s="252">
        <f t="shared" si="7"/>
        <v>0</v>
      </c>
      <c r="AI77" s="252">
        <f t="shared" si="8"/>
        <v>0</v>
      </c>
      <c r="AJ77" s="252">
        <f t="shared" si="9"/>
        <v>4099.9998711000007</v>
      </c>
    </row>
    <row r="78" spans="1:36" x14ac:dyDescent="0.2">
      <c r="A78" s="253" t="str">
        <f t="shared" si="5"/>
        <v>3CSNBR1005CR12</v>
      </c>
      <c r="B78" s="252" t="s">
        <v>19</v>
      </c>
      <c r="C78" s="252" t="s">
        <v>20</v>
      </c>
      <c r="D78" s="252" t="s">
        <v>2433</v>
      </c>
      <c r="E78" s="252" t="s">
        <v>2434</v>
      </c>
      <c r="F78" s="252" t="s">
        <v>2436</v>
      </c>
      <c r="G78" s="252">
        <v>12</v>
      </c>
      <c r="H78" s="252" t="s">
        <v>928</v>
      </c>
      <c r="I78" s="252" t="s">
        <v>2391</v>
      </c>
      <c r="J78" s="252" t="s">
        <v>928</v>
      </c>
      <c r="K78" s="252" t="s">
        <v>3236</v>
      </c>
      <c r="L78" s="252">
        <v>8472.3642400000008</v>
      </c>
      <c r="M78" s="252">
        <v>87</v>
      </c>
      <c r="N78" s="252">
        <v>0</v>
      </c>
      <c r="O78" s="252">
        <v>4712.6436800000001</v>
      </c>
      <c r="P78" s="252">
        <v>0</v>
      </c>
      <c r="Q78" s="252">
        <v>0</v>
      </c>
      <c r="R78" s="252">
        <v>0</v>
      </c>
      <c r="S78" s="252">
        <v>0</v>
      </c>
      <c r="T78" s="252">
        <v>1031.38501</v>
      </c>
      <c r="U78" s="252">
        <v>232.1241</v>
      </c>
      <c r="V78" s="252">
        <v>224.65810999999999</v>
      </c>
      <c r="W78" s="252">
        <v>512.09874000000002</v>
      </c>
      <c r="X78" s="252">
        <v>0</v>
      </c>
      <c r="Y78" s="252">
        <v>0</v>
      </c>
      <c r="Z78" s="252">
        <v>1244.45712</v>
      </c>
      <c r="AA78" s="252">
        <v>514.99748</v>
      </c>
      <c r="AB78" s="252">
        <v>0</v>
      </c>
      <c r="AC78" s="252">
        <v>0</v>
      </c>
      <c r="AD78" s="252">
        <v>1</v>
      </c>
      <c r="AE78" s="252" t="s">
        <v>19</v>
      </c>
      <c r="AF78" s="252" t="s">
        <v>718</v>
      </c>
      <c r="AG78" s="252">
        <f t="shared" si="6"/>
        <v>4100.0000016000004</v>
      </c>
      <c r="AH78" s="252">
        <f t="shared" si="7"/>
        <v>0</v>
      </c>
      <c r="AI78" s="252">
        <f t="shared" si="8"/>
        <v>0</v>
      </c>
      <c r="AJ78" s="252">
        <f t="shared" si="9"/>
        <v>4100.0000016000004</v>
      </c>
    </row>
    <row r="79" spans="1:36" x14ac:dyDescent="0.2">
      <c r="A79" s="253" t="str">
        <f t="shared" si="5"/>
        <v>SNBR1005CR12</v>
      </c>
      <c r="B79" s="252" t="s">
        <v>19</v>
      </c>
      <c r="C79" s="252" t="s">
        <v>20</v>
      </c>
      <c r="D79" s="252" t="s">
        <v>2433</v>
      </c>
      <c r="E79" s="252" t="s">
        <v>2434</v>
      </c>
      <c r="F79" s="252" t="s">
        <v>2436</v>
      </c>
      <c r="G79" s="252">
        <v>12</v>
      </c>
      <c r="H79" s="252" t="s">
        <v>928</v>
      </c>
      <c r="I79" s="252" t="s">
        <v>928</v>
      </c>
      <c r="J79" s="252" t="s">
        <v>928</v>
      </c>
      <c r="K79" s="252" t="s">
        <v>3236</v>
      </c>
      <c r="L79" s="252">
        <v>8472.3664900000003</v>
      </c>
      <c r="M79" s="252">
        <v>87</v>
      </c>
      <c r="N79" s="252">
        <v>0</v>
      </c>
      <c r="O79" s="252">
        <v>4712.6443799999997</v>
      </c>
      <c r="P79" s="252">
        <v>0</v>
      </c>
      <c r="Q79" s="252">
        <v>0</v>
      </c>
      <c r="R79" s="252">
        <v>0</v>
      </c>
      <c r="S79" s="252">
        <v>0</v>
      </c>
      <c r="T79" s="252">
        <v>1031.3851500000001</v>
      </c>
      <c r="U79" s="252">
        <v>232.12456</v>
      </c>
      <c r="V79" s="252">
        <v>224.65852000000001</v>
      </c>
      <c r="W79" s="252">
        <v>512.09851000000003</v>
      </c>
      <c r="X79" s="252">
        <v>0</v>
      </c>
      <c r="Y79" s="252">
        <v>0</v>
      </c>
      <c r="Z79" s="252">
        <v>1244.4587799999999</v>
      </c>
      <c r="AA79" s="252">
        <v>514.99658999999997</v>
      </c>
      <c r="AB79" s="252">
        <v>0</v>
      </c>
      <c r="AC79" s="252">
        <v>0</v>
      </c>
      <c r="AD79" s="252">
        <v>1</v>
      </c>
      <c r="AE79" s="252" t="s">
        <v>19</v>
      </c>
      <c r="AF79" s="252" t="s">
        <v>718</v>
      </c>
      <c r="AG79" s="252">
        <f t="shared" si="6"/>
        <v>4100.0006106000001</v>
      </c>
      <c r="AH79" s="252">
        <f t="shared" si="7"/>
        <v>0</v>
      </c>
      <c r="AI79" s="252">
        <f t="shared" si="8"/>
        <v>0</v>
      </c>
      <c r="AJ79" s="252">
        <f t="shared" si="9"/>
        <v>4100.0006106000001</v>
      </c>
    </row>
    <row r="80" spans="1:36" x14ac:dyDescent="0.2">
      <c r="A80" s="253" t="str">
        <f t="shared" si="5"/>
        <v>3B7SNBR101212</v>
      </c>
      <c r="B80" s="252" t="s">
        <v>19</v>
      </c>
      <c r="C80" s="252" t="s">
        <v>20</v>
      </c>
      <c r="D80" s="252" t="s">
        <v>2433</v>
      </c>
      <c r="E80" s="252" t="s">
        <v>2434</v>
      </c>
      <c r="F80" s="252" t="s">
        <v>2437</v>
      </c>
      <c r="G80" s="252">
        <v>12</v>
      </c>
      <c r="H80" s="252" t="s">
        <v>928</v>
      </c>
      <c r="I80" s="252" t="s">
        <v>2438</v>
      </c>
      <c r="J80" s="252" t="s">
        <v>928</v>
      </c>
      <c r="K80" s="252" t="s">
        <v>3236</v>
      </c>
      <c r="L80" s="252">
        <v>4416.8986000000004</v>
      </c>
      <c r="M80" s="252">
        <v>92.5</v>
      </c>
      <c r="N80" s="252">
        <v>0</v>
      </c>
      <c r="O80" s="252">
        <v>2724.3243200000002</v>
      </c>
      <c r="P80" s="252">
        <v>0</v>
      </c>
      <c r="Q80" s="252">
        <v>0</v>
      </c>
      <c r="R80" s="252">
        <v>0</v>
      </c>
      <c r="S80" s="252">
        <v>0</v>
      </c>
      <c r="T80" s="252">
        <v>91.004130000000004</v>
      </c>
      <c r="U80" s="252">
        <v>238.31407999999999</v>
      </c>
      <c r="V80" s="252">
        <v>166.00404</v>
      </c>
      <c r="W80" s="252">
        <v>222.92009999999999</v>
      </c>
      <c r="X80" s="252">
        <v>0</v>
      </c>
      <c r="Y80" s="252">
        <v>0</v>
      </c>
      <c r="Z80" s="252">
        <v>729.37058000000002</v>
      </c>
      <c r="AA80" s="252">
        <v>244.96135000000001</v>
      </c>
      <c r="AB80" s="252">
        <v>0</v>
      </c>
      <c r="AC80" s="252">
        <v>0</v>
      </c>
      <c r="AD80" s="252">
        <v>1</v>
      </c>
      <c r="AE80" s="252" t="s">
        <v>19</v>
      </c>
      <c r="AF80" s="252" t="s">
        <v>718</v>
      </c>
      <c r="AG80" s="252">
        <f t="shared" si="6"/>
        <v>2519.999996</v>
      </c>
      <c r="AH80" s="252">
        <f t="shared" si="7"/>
        <v>0</v>
      </c>
      <c r="AI80" s="252">
        <f t="shared" si="8"/>
        <v>0</v>
      </c>
      <c r="AJ80" s="252">
        <f t="shared" si="9"/>
        <v>2519.999996</v>
      </c>
    </row>
    <row r="81" spans="1:36" x14ac:dyDescent="0.2">
      <c r="A81" s="253" t="str">
        <f t="shared" si="5"/>
        <v>3CSNBR101212</v>
      </c>
      <c r="B81" s="252" t="s">
        <v>19</v>
      </c>
      <c r="C81" s="252" t="s">
        <v>20</v>
      </c>
      <c r="D81" s="252" t="s">
        <v>2433</v>
      </c>
      <c r="E81" s="252" t="s">
        <v>2434</v>
      </c>
      <c r="F81" s="252" t="s">
        <v>2437</v>
      </c>
      <c r="G81" s="252">
        <v>12</v>
      </c>
      <c r="H81" s="252" t="s">
        <v>928</v>
      </c>
      <c r="I81" s="252" t="s">
        <v>2391</v>
      </c>
      <c r="J81" s="252" t="s">
        <v>928</v>
      </c>
      <c r="K81" s="252" t="s">
        <v>3236</v>
      </c>
      <c r="L81" s="252">
        <v>4680.0381699999998</v>
      </c>
      <c r="M81" s="252">
        <v>92.5</v>
      </c>
      <c r="N81" s="252">
        <v>0</v>
      </c>
      <c r="O81" s="252">
        <v>2724.3243200000002</v>
      </c>
      <c r="P81" s="252">
        <v>0</v>
      </c>
      <c r="Q81" s="252">
        <v>0</v>
      </c>
      <c r="R81" s="252">
        <v>0</v>
      </c>
      <c r="S81" s="252">
        <v>0</v>
      </c>
      <c r="T81" s="252">
        <v>144.00654</v>
      </c>
      <c r="U81" s="252">
        <v>233.15575999999999</v>
      </c>
      <c r="V81" s="252">
        <v>245.00596999999999</v>
      </c>
      <c r="W81" s="252">
        <v>282.73358999999999</v>
      </c>
      <c r="X81" s="252">
        <v>0</v>
      </c>
      <c r="Y81" s="252">
        <v>0</v>
      </c>
      <c r="Z81" s="252">
        <v>736.41278</v>
      </c>
      <c r="AA81" s="252">
        <v>314.39920999999998</v>
      </c>
      <c r="AB81" s="252">
        <v>0</v>
      </c>
      <c r="AC81" s="252">
        <v>0</v>
      </c>
      <c r="AD81" s="252">
        <v>1</v>
      </c>
      <c r="AE81" s="252" t="s">
        <v>19</v>
      </c>
      <c r="AF81" s="252" t="s">
        <v>718</v>
      </c>
      <c r="AG81" s="252">
        <f t="shared" si="6"/>
        <v>2519.999996</v>
      </c>
      <c r="AH81" s="252">
        <f t="shared" si="7"/>
        <v>0</v>
      </c>
      <c r="AI81" s="252">
        <f t="shared" si="8"/>
        <v>0</v>
      </c>
      <c r="AJ81" s="252">
        <f t="shared" si="9"/>
        <v>2519.999996</v>
      </c>
    </row>
    <row r="82" spans="1:36" x14ac:dyDescent="0.2">
      <c r="A82" s="253" t="str">
        <f t="shared" si="5"/>
        <v>3C7SNBR101212</v>
      </c>
      <c r="B82" s="252" t="s">
        <v>19</v>
      </c>
      <c r="C82" s="252" t="s">
        <v>20</v>
      </c>
      <c r="D82" s="252" t="s">
        <v>2433</v>
      </c>
      <c r="E82" s="252" t="s">
        <v>2434</v>
      </c>
      <c r="F82" s="252" t="s">
        <v>2437</v>
      </c>
      <c r="G82" s="252">
        <v>12</v>
      </c>
      <c r="H82" s="252" t="s">
        <v>928</v>
      </c>
      <c r="I82" s="252" t="s">
        <v>2439</v>
      </c>
      <c r="J82" s="252" t="s">
        <v>928</v>
      </c>
      <c r="K82" s="252" t="s">
        <v>3236</v>
      </c>
      <c r="L82" s="252">
        <v>4301.0518499999998</v>
      </c>
      <c r="M82" s="252">
        <v>92.5</v>
      </c>
      <c r="N82" s="252">
        <v>0</v>
      </c>
      <c r="O82" s="252">
        <v>2724.3243200000002</v>
      </c>
      <c r="P82" s="252">
        <v>0</v>
      </c>
      <c r="Q82" s="252">
        <v>0</v>
      </c>
      <c r="R82" s="252">
        <v>0</v>
      </c>
      <c r="S82" s="252">
        <v>0</v>
      </c>
      <c r="T82" s="252">
        <v>91.004130000000004</v>
      </c>
      <c r="U82" s="252">
        <v>229.02911</v>
      </c>
      <c r="V82" s="252">
        <v>166.00404</v>
      </c>
      <c r="W82" s="252">
        <v>220.40268</v>
      </c>
      <c r="X82" s="252">
        <v>0</v>
      </c>
      <c r="Y82" s="252">
        <v>0</v>
      </c>
      <c r="Z82" s="252">
        <v>638.82803000000001</v>
      </c>
      <c r="AA82" s="252">
        <v>231.45954</v>
      </c>
      <c r="AB82" s="252">
        <v>0</v>
      </c>
      <c r="AC82" s="252">
        <v>0</v>
      </c>
      <c r="AD82" s="252">
        <v>1</v>
      </c>
      <c r="AE82" s="252" t="s">
        <v>19</v>
      </c>
      <c r="AF82" s="252" t="s">
        <v>718</v>
      </c>
      <c r="AG82" s="252">
        <f t="shared" si="6"/>
        <v>2519.999996</v>
      </c>
      <c r="AH82" s="252">
        <f t="shared" si="7"/>
        <v>0</v>
      </c>
      <c r="AI82" s="252">
        <f t="shared" si="8"/>
        <v>0</v>
      </c>
      <c r="AJ82" s="252">
        <f t="shared" si="9"/>
        <v>2519.999996</v>
      </c>
    </row>
    <row r="83" spans="1:36" x14ac:dyDescent="0.2">
      <c r="A83" s="253" t="str">
        <f t="shared" si="5"/>
        <v>3L5SNBR101212</v>
      </c>
      <c r="B83" s="252" t="s">
        <v>19</v>
      </c>
      <c r="C83" s="252" t="s">
        <v>20</v>
      </c>
      <c r="D83" s="252" t="s">
        <v>2433</v>
      </c>
      <c r="E83" s="252" t="s">
        <v>2434</v>
      </c>
      <c r="F83" s="252" t="s">
        <v>2437</v>
      </c>
      <c r="G83" s="252">
        <v>12</v>
      </c>
      <c r="H83" s="252" t="s">
        <v>928</v>
      </c>
      <c r="I83" s="252" t="s">
        <v>2440</v>
      </c>
      <c r="J83" s="252" t="s">
        <v>928</v>
      </c>
      <c r="K83" s="252" t="s">
        <v>3236</v>
      </c>
      <c r="L83" s="252">
        <v>4480.9627399999999</v>
      </c>
      <c r="M83" s="252">
        <v>93</v>
      </c>
      <c r="N83" s="252">
        <v>0</v>
      </c>
      <c r="O83" s="252">
        <v>2744.0860200000002</v>
      </c>
      <c r="P83" s="252">
        <v>0</v>
      </c>
      <c r="Q83" s="252">
        <v>0</v>
      </c>
      <c r="R83" s="252">
        <v>0</v>
      </c>
      <c r="S83" s="252">
        <v>0</v>
      </c>
      <c r="T83" s="252">
        <v>93.004220000000004</v>
      </c>
      <c r="U83" s="252">
        <v>233.15575999999999</v>
      </c>
      <c r="V83" s="252">
        <v>191.00465</v>
      </c>
      <c r="W83" s="252">
        <v>179.73863</v>
      </c>
      <c r="X83" s="252">
        <v>0</v>
      </c>
      <c r="Y83" s="252">
        <v>0</v>
      </c>
      <c r="Z83" s="252">
        <v>800.79859999999996</v>
      </c>
      <c r="AA83" s="252">
        <v>239.17486</v>
      </c>
      <c r="AB83" s="252">
        <v>0</v>
      </c>
      <c r="AC83" s="252">
        <v>0</v>
      </c>
      <c r="AD83" s="252">
        <v>1</v>
      </c>
      <c r="AE83" s="252" t="s">
        <v>19</v>
      </c>
      <c r="AF83" s="252" t="s">
        <v>718</v>
      </c>
      <c r="AG83" s="252">
        <f t="shared" si="6"/>
        <v>2551.9999986000003</v>
      </c>
      <c r="AH83" s="252">
        <f t="shared" si="7"/>
        <v>0</v>
      </c>
      <c r="AI83" s="252">
        <f t="shared" si="8"/>
        <v>0</v>
      </c>
      <c r="AJ83" s="252">
        <f t="shared" si="9"/>
        <v>2551.9999986000003</v>
      </c>
    </row>
    <row r="84" spans="1:36" x14ac:dyDescent="0.2">
      <c r="A84" s="253" t="str">
        <f t="shared" si="5"/>
        <v>3M5SNBR101212</v>
      </c>
      <c r="B84" s="252" t="s">
        <v>19</v>
      </c>
      <c r="C84" s="252" t="s">
        <v>20</v>
      </c>
      <c r="D84" s="252" t="s">
        <v>2433</v>
      </c>
      <c r="E84" s="252" t="s">
        <v>2434</v>
      </c>
      <c r="F84" s="252" t="s">
        <v>2437</v>
      </c>
      <c r="G84" s="252">
        <v>12</v>
      </c>
      <c r="H84" s="252" t="s">
        <v>928</v>
      </c>
      <c r="I84" s="252" t="s">
        <v>2399</v>
      </c>
      <c r="J84" s="252" t="s">
        <v>928</v>
      </c>
      <c r="K84" s="252" t="s">
        <v>3236</v>
      </c>
      <c r="L84" s="252">
        <v>4593.7636499999999</v>
      </c>
      <c r="M84" s="252">
        <v>93</v>
      </c>
      <c r="N84" s="252">
        <v>0</v>
      </c>
      <c r="O84" s="252">
        <v>2744.0860200000002</v>
      </c>
      <c r="P84" s="252">
        <v>0</v>
      </c>
      <c r="Q84" s="252">
        <v>0</v>
      </c>
      <c r="R84" s="252">
        <v>0</v>
      </c>
      <c r="S84" s="252">
        <v>0</v>
      </c>
      <c r="T84" s="252">
        <v>93.004220000000004</v>
      </c>
      <c r="U84" s="252">
        <v>239.34574000000001</v>
      </c>
      <c r="V84" s="252">
        <v>191.00465</v>
      </c>
      <c r="W84" s="252">
        <v>182.26358999999999</v>
      </c>
      <c r="X84" s="252">
        <v>0</v>
      </c>
      <c r="Y84" s="252">
        <v>0</v>
      </c>
      <c r="Z84" s="252">
        <v>892.34717999999998</v>
      </c>
      <c r="AA84" s="252">
        <v>251.71225000000001</v>
      </c>
      <c r="AB84" s="252">
        <v>0</v>
      </c>
      <c r="AC84" s="252">
        <v>0</v>
      </c>
      <c r="AD84" s="252">
        <v>1</v>
      </c>
      <c r="AE84" s="252" t="s">
        <v>19</v>
      </c>
      <c r="AF84" s="252" t="s">
        <v>718</v>
      </c>
      <c r="AG84" s="252">
        <f t="shared" si="6"/>
        <v>2551.9999986000003</v>
      </c>
      <c r="AH84" s="252">
        <f t="shared" si="7"/>
        <v>0</v>
      </c>
      <c r="AI84" s="252">
        <f t="shared" si="8"/>
        <v>0</v>
      </c>
      <c r="AJ84" s="252">
        <f t="shared" si="9"/>
        <v>2551.9999986000003</v>
      </c>
    </row>
    <row r="85" spans="1:36" x14ac:dyDescent="0.2">
      <c r="A85" s="253" t="str">
        <f t="shared" si="5"/>
        <v>SNBR101212</v>
      </c>
      <c r="B85" s="252" t="s">
        <v>19</v>
      </c>
      <c r="C85" s="252" t="s">
        <v>20</v>
      </c>
      <c r="D85" s="252" t="s">
        <v>2433</v>
      </c>
      <c r="E85" s="252" t="s">
        <v>2434</v>
      </c>
      <c r="F85" s="252" t="s">
        <v>2437</v>
      </c>
      <c r="G85" s="252">
        <v>12</v>
      </c>
      <c r="H85" s="252" t="s">
        <v>928</v>
      </c>
      <c r="I85" s="252" t="s">
        <v>928</v>
      </c>
      <c r="J85" s="252" t="s">
        <v>928</v>
      </c>
      <c r="K85" s="252" t="s">
        <v>3236</v>
      </c>
      <c r="L85" s="252">
        <v>4483.3812600000001</v>
      </c>
      <c r="M85" s="252">
        <v>92.882760000000005</v>
      </c>
      <c r="N85" s="252">
        <v>0</v>
      </c>
      <c r="O85" s="252">
        <v>2729.1213600000001</v>
      </c>
      <c r="P85" s="252">
        <v>0</v>
      </c>
      <c r="Q85" s="252">
        <v>0</v>
      </c>
      <c r="R85" s="252">
        <v>0</v>
      </c>
      <c r="S85" s="252">
        <v>0</v>
      </c>
      <c r="T85" s="252">
        <v>100.73426000000001</v>
      </c>
      <c r="U85" s="252">
        <v>236.04743999999999</v>
      </c>
      <c r="V85" s="252">
        <v>185.85229000000001</v>
      </c>
      <c r="W85" s="252">
        <v>222.99341000000001</v>
      </c>
      <c r="X85" s="252">
        <v>0</v>
      </c>
      <c r="Y85" s="252">
        <v>0</v>
      </c>
      <c r="Z85" s="252">
        <v>752.48828000000003</v>
      </c>
      <c r="AA85" s="252">
        <v>256.14422000000002</v>
      </c>
      <c r="AB85" s="252">
        <v>0</v>
      </c>
      <c r="AC85" s="252">
        <v>0</v>
      </c>
      <c r="AD85" s="252">
        <v>1</v>
      </c>
      <c r="AE85" s="252" t="s">
        <v>19</v>
      </c>
      <c r="AF85" s="252" t="s">
        <v>718</v>
      </c>
      <c r="AG85" s="252">
        <f t="shared" si="6"/>
        <v>2534.8832429175363</v>
      </c>
      <c r="AH85" s="252">
        <f t="shared" si="7"/>
        <v>0</v>
      </c>
      <c r="AI85" s="252">
        <f t="shared" si="8"/>
        <v>0</v>
      </c>
      <c r="AJ85" s="252">
        <f t="shared" si="9"/>
        <v>2534.8832429175363</v>
      </c>
    </row>
    <row r="86" spans="1:36" x14ac:dyDescent="0.2">
      <c r="A86" s="253" t="str">
        <f t="shared" si="5"/>
        <v>7FSNBR1012A12</v>
      </c>
      <c r="B86" s="252" t="s">
        <v>19</v>
      </c>
      <c r="C86" s="252" t="s">
        <v>20</v>
      </c>
      <c r="D86" s="252" t="s">
        <v>2433</v>
      </c>
      <c r="E86" s="252" t="s">
        <v>2434</v>
      </c>
      <c r="F86" s="252" t="s">
        <v>2441</v>
      </c>
      <c r="G86" s="252">
        <v>12</v>
      </c>
      <c r="H86" s="252" t="s">
        <v>928</v>
      </c>
      <c r="I86" s="252" t="s">
        <v>2442</v>
      </c>
      <c r="J86" s="252" t="s">
        <v>928</v>
      </c>
      <c r="K86" s="252" t="s">
        <v>3236</v>
      </c>
      <c r="L86" s="252">
        <v>4838.2</v>
      </c>
      <c r="M86" s="252">
        <v>100</v>
      </c>
      <c r="N86" s="252">
        <v>0</v>
      </c>
      <c r="O86" s="252">
        <v>4838.2</v>
      </c>
      <c r="P86" s="252">
        <v>0</v>
      </c>
      <c r="Q86" s="252">
        <v>0</v>
      </c>
      <c r="R86" s="252">
        <v>0</v>
      </c>
      <c r="S86" s="252">
        <v>0</v>
      </c>
      <c r="T86" s="252">
        <v>0</v>
      </c>
      <c r="U86" s="252">
        <v>0</v>
      </c>
      <c r="V86" s="252">
        <v>0</v>
      </c>
      <c r="W86" s="252">
        <v>0</v>
      </c>
      <c r="X86" s="252">
        <v>0</v>
      </c>
      <c r="Y86" s="252">
        <v>0</v>
      </c>
      <c r="Z86" s="252">
        <v>0</v>
      </c>
      <c r="AA86" s="252">
        <v>0</v>
      </c>
      <c r="AB86" s="252">
        <v>0</v>
      </c>
      <c r="AC86" s="252">
        <v>0</v>
      </c>
      <c r="AD86" s="252">
        <v>1</v>
      </c>
      <c r="AE86" s="252" t="s">
        <v>19</v>
      </c>
      <c r="AF86" s="252" t="s">
        <v>718</v>
      </c>
      <c r="AG86" s="252">
        <f t="shared" si="6"/>
        <v>4838.2</v>
      </c>
      <c r="AH86" s="252">
        <f t="shared" si="7"/>
        <v>0</v>
      </c>
      <c r="AI86" s="252">
        <f t="shared" si="8"/>
        <v>0</v>
      </c>
      <c r="AJ86" s="252">
        <f t="shared" si="9"/>
        <v>4838.2</v>
      </c>
    </row>
    <row r="87" spans="1:36" x14ac:dyDescent="0.2">
      <c r="A87" s="253" t="str">
        <f t="shared" si="5"/>
        <v>SNBR1012A12</v>
      </c>
      <c r="B87" s="252" t="s">
        <v>19</v>
      </c>
      <c r="C87" s="252" t="s">
        <v>20</v>
      </c>
      <c r="D87" s="252" t="s">
        <v>2433</v>
      </c>
      <c r="E87" s="252" t="s">
        <v>2434</v>
      </c>
      <c r="F87" s="252" t="s">
        <v>2441</v>
      </c>
      <c r="G87" s="252">
        <v>12</v>
      </c>
      <c r="H87" s="252" t="s">
        <v>928</v>
      </c>
      <c r="I87" s="252" t="s">
        <v>928</v>
      </c>
      <c r="J87" s="252" t="s">
        <v>928</v>
      </c>
      <c r="K87" s="252" t="s">
        <v>3236</v>
      </c>
      <c r="L87" s="252">
        <v>4838.2001700000001</v>
      </c>
      <c r="M87" s="252">
        <v>100</v>
      </c>
      <c r="N87" s="252">
        <v>0</v>
      </c>
      <c r="O87" s="252">
        <v>4838.2001700000001</v>
      </c>
      <c r="P87" s="252">
        <v>0</v>
      </c>
      <c r="Q87" s="252">
        <v>0</v>
      </c>
      <c r="R87" s="252">
        <v>0</v>
      </c>
      <c r="S87" s="252">
        <v>0</v>
      </c>
      <c r="T87" s="252">
        <v>0</v>
      </c>
      <c r="U87" s="252">
        <v>0</v>
      </c>
      <c r="V87" s="252">
        <v>0</v>
      </c>
      <c r="W87" s="252">
        <v>0</v>
      </c>
      <c r="X87" s="252">
        <v>0</v>
      </c>
      <c r="Y87" s="252">
        <v>0</v>
      </c>
      <c r="Z87" s="252">
        <v>0</v>
      </c>
      <c r="AA87" s="252">
        <v>0</v>
      </c>
      <c r="AB87" s="252">
        <v>0</v>
      </c>
      <c r="AC87" s="252">
        <v>0</v>
      </c>
      <c r="AD87" s="252">
        <v>1</v>
      </c>
      <c r="AE87" s="252" t="s">
        <v>19</v>
      </c>
      <c r="AF87" s="252" t="s">
        <v>718</v>
      </c>
      <c r="AG87" s="252">
        <f t="shared" si="6"/>
        <v>4838.2001700000001</v>
      </c>
      <c r="AH87" s="252">
        <f t="shared" si="7"/>
        <v>0</v>
      </c>
      <c r="AI87" s="252">
        <f t="shared" si="8"/>
        <v>0</v>
      </c>
      <c r="AJ87" s="252">
        <f t="shared" si="9"/>
        <v>4838.2001700000001</v>
      </c>
    </row>
    <row r="88" spans="1:36" x14ac:dyDescent="0.2">
      <c r="A88" s="253" t="str">
        <f t="shared" si="5"/>
        <v>7FTSNBR1012ED12</v>
      </c>
      <c r="B88" s="252" t="s">
        <v>19</v>
      </c>
      <c r="C88" s="252" t="s">
        <v>20</v>
      </c>
      <c r="D88" s="252" t="s">
        <v>2433</v>
      </c>
      <c r="E88" s="252" t="s">
        <v>2434</v>
      </c>
      <c r="F88" s="252" t="s">
        <v>2443</v>
      </c>
      <c r="G88" s="252">
        <v>12</v>
      </c>
      <c r="H88" s="252" t="s">
        <v>928</v>
      </c>
      <c r="I88" s="252" t="s">
        <v>2444</v>
      </c>
      <c r="J88" s="252" t="s">
        <v>928</v>
      </c>
      <c r="K88" s="252" t="s">
        <v>3236</v>
      </c>
      <c r="L88" s="252">
        <v>3855.4</v>
      </c>
      <c r="M88" s="252">
        <v>100</v>
      </c>
      <c r="N88" s="252">
        <v>0</v>
      </c>
      <c r="O88" s="252">
        <v>3855.4</v>
      </c>
      <c r="P88" s="252">
        <v>0</v>
      </c>
      <c r="Q88" s="252">
        <v>0</v>
      </c>
      <c r="R88" s="252">
        <v>0</v>
      </c>
      <c r="S88" s="252">
        <v>0</v>
      </c>
      <c r="T88" s="252">
        <v>0</v>
      </c>
      <c r="U88" s="252">
        <v>0</v>
      </c>
      <c r="V88" s="252">
        <v>0</v>
      </c>
      <c r="W88" s="252">
        <v>0</v>
      </c>
      <c r="X88" s="252">
        <v>0</v>
      </c>
      <c r="Y88" s="252">
        <v>0</v>
      </c>
      <c r="Z88" s="252">
        <v>0</v>
      </c>
      <c r="AA88" s="252">
        <v>0</v>
      </c>
      <c r="AB88" s="252">
        <v>0</v>
      </c>
      <c r="AC88" s="252">
        <v>0</v>
      </c>
      <c r="AD88" s="252">
        <v>1</v>
      </c>
      <c r="AE88" s="252" t="s">
        <v>19</v>
      </c>
      <c r="AF88" s="252" t="s">
        <v>718</v>
      </c>
      <c r="AG88" s="252">
        <f t="shared" si="6"/>
        <v>3855.4</v>
      </c>
      <c r="AH88" s="252">
        <f t="shared" si="7"/>
        <v>0</v>
      </c>
      <c r="AI88" s="252">
        <f t="shared" si="8"/>
        <v>0</v>
      </c>
      <c r="AJ88" s="252">
        <f t="shared" si="9"/>
        <v>3855.4</v>
      </c>
    </row>
    <row r="89" spans="1:36" x14ac:dyDescent="0.2">
      <c r="A89" s="253" t="str">
        <f t="shared" si="5"/>
        <v>SNBR1012ED12</v>
      </c>
      <c r="B89" s="252" t="s">
        <v>19</v>
      </c>
      <c r="C89" s="252" t="s">
        <v>20</v>
      </c>
      <c r="D89" s="252" t="s">
        <v>2433</v>
      </c>
      <c r="E89" s="252" t="s">
        <v>2434</v>
      </c>
      <c r="F89" s="252" t="s">
        <v>2443</v>
      </c>
      <c r="G89" s="252">
        <v>12</v>
      </c>
      <c r="H89" s="252" t="s">
        <v>928</v>
      </c>
      <c r="I89" s="252" t="s">
        <v>928</v>
      </c>
      <c r="J89" s="252" t="s">
        <v>928</v>
      </c>
      <c r="K89" s="252" t="s">
        <v>3236</v>
      </c>
      <c r="L89" s="252">
        <v>3855.3999800000001</v>
      </c>
      <c r="M89" s="252">
        <v>100</v>
      </c>
      <c r="N89" s="252">
        <v>0</v>
      </c>
      <c r="O89" s="252">
        <v>3855.3999800000001</v>
      </c>
      <c r="P89" s="252">
        <v>0</v>
      </c>
      <c r="Q89" s="252">
        <v>0</v>
      </c>
      <c r="R89" s="252">
        <v>0</v>
      </c>
      <c r="S89" s="252">
        <v>0</v>
      </c>
      <c r="T89" s="252">
        <v>0</v>
      </c>
      <c r="U89" s="252">
        <v>0</v>
      </c>
      <c r="V89" s="252">
        <v>0</v>
      </c>
      <c r="W89" s="252">
        <v>0</v>
      </c>
      <c r="X89" s="252">
        <v>0</v>
      </c>
      <c r="Y89" s="252">
        <v>0</v>
      </c>
      <c r="Z89" s="252">
        <v>0</v>
      </c>
      <c r="AA89" s="252">
        <v>0</v>
      </c>
      <c r="AB89" s="252">
        <v>0</v>
      </c>
      <c r="AC89" s="252">
        <v>0</v>
      </c>
      <c r="AD89" s="252">
        <v>1</v>
      </c>
      <c r="AE89" s="252" t="s">
        <v>19</v>
      </c>
      <c r="AF89" s="252" t="s">
        <v>718</v>
      </c>
      <c r="AG89" s="252">
        <f t="shared" si="6"/>
        <v>3855.3999800000001</v>
      </c>
      <c r="AH89" s="252">
        <f t="shared" si="7"/>
        <v>0</v>
      </c>
      <c r="AI89" s="252">
        <f t="shared" si="8"/>
        <v>0</v>
      </c>
      <c r="AJ89" s="252">
        <f t="shared" si="9"/>
        <v>3855.3999800000001</v>
      </c>
    </row>
    <row r="90" spans="1:36" x14ac:dyDescent="0.2">
      <c r="A90" s="253" t="str">
        <f t="shared" si="5"/>
        <v>7FSNBR1012J12</v>
      </c>
      <c r="B90" s="252" t="s">
        <v>19</v>
      </c>
      <c r="C90" s="252" t="s">
        <v>20</v>
      </c>
      <c r="D90" s="252" t="s">
        <v>2433</v>
      </c>
      <c r="E90" s="252" t="s">
        <v>2434</v>
      </c>
      <c r="F90" s="252" t="s">
        <v>2445</v>
      </c>
      <c r="G90" s="252">
        <v>12</v>
      </c>
      <c r="H90" s="252" t="s">
        <v>928</v>
      </c>
      <c r="I90" s="252" t="s">
        <v>2442</v>
      </c>
      <c r="J90" s="252" t="s">
        <v>928</v>
      </c>
      <c r="K90" s="252" t="s">
        <v>3236</v>
      </c>
      <c r="L90" s="252">
        <v>4511.66</v>
      </c>
      <c r="M90" s="252">
        <v>100</v>
      </c>
      <c r="N90" s="252">
        <v>0</v>
      </c>
      <c r="O90" s="252">
        <v>4511.66</v>
      </c>
      <c r="P90" s="252">
        <v>0</v>
      </c>
      <c r="Q90" s="252">
        <v>0</v>
      </c>
      <c r="R90" s="252">
        <v>0</v>
      </c>
      <c r="S90" s="252">
        <v>0</v>
      </c>
      <c r="T90" s="252">
        <v>0</v>
      </c>
      <c r="U90" s="252">
        <v>0</v>
      </c>
      <c r="V90" s="252">
        <v>0</v>
      </c>
      <c r="W90" s="252">
        <v>0</v>
      </c>
      <c r="X90" s="252">
        <v>0</v>
      </c>
      <c r="Y90" s="252">
        <v>0</v>
      </c>
      <c r="Z90" s="252">
        <v>0</v>
      </c>
      <c r="AA90" s="252">
        <v>0</v>
      </c>
      <c r="AB90" s="252">
        <v>0</v>
      </c>
      <c r="AC90" s="252">
        <v>0</v>
      </c>
      <c r="AD90" s="252">
        <v>1</v>
      </c>
      <c r="AE90" s="252" t="s">
        <v>19</v>
      </c>
      <c r="AF90" s="252" t="s">
        <v>718</v>
      </c>
      <c r="AG90" s="252">
        <f t="shared" si="6"/>
        <v>4511.66</v>
      </c>
      <c r="AH90" s="252">
        <f t="shared" si="7"/>
        <v>0</v>
      </c>
      <c r="AI90" s="252">
        <f t="shared" si="8"/>
        <v>0</v>
      </c>
      <c r="AJ90" s="252">
        <f t="shared" si="9"/>
        <v>4511.66</v>
      </c>
    </row>
    <row r="91" spans="1:36" x14ac:dyDescent="0.2">
      <c r="A91" s="253" t="str">
        <f t="shared" si="5"/>
        <v>SNBR1012J12</v>
      </c>
      <c r="B91" s="252" t="s">
        <v>19</v>
      </c>
      <c r="C91" s="252" t="s">
        <v>20</v>
      </c>
      <c r="D91" s="252" t="s">
        <v>2433</v>
      </c>
      <c r="E91" s="252" t="s">
        <v>2434</v>
      </c>
      <c r="F91" s="252" t="s">
        <v>2445</v>
      </c>
      <c r="G91" s="252">
        <v>12</v>
      </c>
      <c r="H91" s="252" t="s">
        <v>928</v>
      </c>
      <c r="I91" s="252" t="s">
        <v>928</v>
      </c>
      <c r="J91" s="252" t="s">
        <v>928</v>
      </c>
      <c r="K91" s="252" t="s">
        <v>3236</v>
      </c>
      <c r="L91" s="252">
        <v>4511.6600900000003</v>
      </c>
      <c r="M91" s="252">
        <v>100</v>
      </c>
      <c r="N91" s="252">
        <v>0</v>
      </c>
      <c r="O91" s="252">
        <v>4511.6600900000003</v>
      </c>
      <c r="P91" s="252">
        <v>0</v>
      </c>
      <c r="Q91" s="252">
        <v>0</v>
      </c>
      <c r="R91" s="252">
        <v>0</v>
      </c>
      <c r="S91" s="252">
        <v>0</v>
      </c>
      <c r="T91" s="252">
        <v>0</v>
      </c>
      <c r="U91" s="252">
        <v>0</v>
      </c>
      <c r="V91" s="252">
        <v>0</v>
      </c>
      <c r="W91" s="252">
        <v>0</v>
      </c>
      <c r="X91" s="252">
        <v>0</v>
      </c>
      <c r="Y91" s="252">
        <v>0</v>
      </c>
      <c r="Z91" s="252">
        <v>0</v>
      </c>
      <c r="AA91" s="252">
        <v>0</v>
      </c>
      <c r="AB91" s="252">
        <v>0</v>
      </c>
      <c r="AC91" s="252">
        <v>0</v>
      </c>
      <c r="AD91" s="252">
        <v>1</v>
      </c>
      <c r="AE91" s="252" t="s">
        <v>19</v>
      </c>
      <c r="AF91" s="252" t="s">
        <v>718</v>
      </c>
      <c r="AG91" s="252">
        <f t="shared" si="6"/>
        <v>4511.6600900000003</v>
      </c>
      <c r="AH91" s="252">
        <f t="shared" si="7"/>
        <v>0</v>
      </c>
      <c r="AI91" s="252">
        <f t="shared" si="8"/>
        <v>0</v>
      </c>
      <c r="AJ91" s="252">
        <f t="shared" si="9"/>
        <v>4511.6600900000003</v>
      </c>
    </row>
    <row r="92" spans="1:36" x14ac:dyDescent="0.2">
      <c r="A92" s="253" t="str">
        <f t="shared" si="5"/>
        <v>7FSNBR1012JD12</v>
      </c>
      <c r="B92" s="252" t="s">
        <v>19</v>
      </c>
      <c r="C92" s="252" t="s">
        <v>20</v>
      </c>
      <c r="D92" s="252" t="s">
        <v>2433</v>
      </c>
      <c r="E92" s="252" t="s">
        <v>2434</v>
      </c>
      <c r="F92" s="252" t="s">
        <v>2446</v>
      </c>
      <c r="G92" s="252">
        <v>12</v>
      </c>
      <c r="H92" s="252" t="s">
        <v>928</v>
      </c>
      <c r="I92" s="252" t="s">
        <v>2442</v>
      </c>
      <c r="J92" s="252" t="s">
        <v>928</v>
      </c>
      <c r="K92" s="252" t="s">
        <v>3236</v>
      </c>
      <c r="L92" s="252">
        <v>4156.96</v>
      </c>
      <c r="M92" s="252">
        <v>100</v>
      </c>
      <c r="N92" s="252">
        <v>0</v>
      </c>
      <c r="O92" s="252">
        <v>4156.96</v>
      </c>
      <c r="P92" s="252">
        <v>0</v>
      </c>
      <c r="Q92" s="252">
        <v>0</v>
      </c>
      <c r="R92" s="252">
        <v>0</v>
      </c>
      <c r="S92" s="252">
        <v>0</v>
      </c>
      <c r="T92" s="252">
        <v>0</v>
      </c>
      <c r="U92" s="252">
        <v>0</v>
      </c>
      <c r="V92" s="252">
        <v>0</v>
      </c>
      <c r="W92" s="252">
        <v>0</v>
      </c>
      <c r="X92" s="252">
        <v>0</v>
      </c>
      <c r="Y92" s="252">
        <v>0</v>
      </c>
      <c r="Z92" s="252">
        <v>0</v>
      </c>
      <c r="AA92" s="252">
        <v>0</v>
      </c>
      <c r="AB92" s="252">
        <v>0</v>
      </c>
      <c r="AC92" s="252">
        <v>0</v>
      </c>
      <c r="AD92" s="252">
        <v>1</v>
      </c>
      <c r="AE92" s="252" t="s">
        <v>19</v>
      </c>
      <c r="AF92" s="252" t="s">
        <v>718</v>
      </c>
      <c r="AG92" s="252">
        <f t="shared" si="6"/>
        <v>4156.96</v>
      </c>
      <c r="AH92" s="252">
        <f t="shared" si="7"/>
        <v>0</v>
      </c>
      <c r="AI92" s="252">
        <f t="shared" si="8"/>
        <v>0</v>
      </c>
      <c r="AJ92" s="252">
        <f t="shared" si="9"/>
        <v>4156.96</v>
      </c>
    </row>
    <row r="93" spans="1:36" x14ac:dyDescent="0.2">
      <c r="A93" s="253" t="str">
        <f t="shared" si="5"/>
        <v>SNBR1012JD12</v>
      </c>
      <c r="B93" s="252" t="s">
        <v>19</v>
      </c>
      <c r="C93" s="252" t="s">
        <v>20</v>
      </c>
      <c r="D93" s="252" t="s">
        <v>2433</v>
      </c>
      <c r="E93" s="252" t="s">
        <v>2434</v>
      </c>
      <c r="F93" s="252" t="s">
        <v>2446</v>
      </c>
      <c r="G93" s="252">
        <v>12</v>
      </c>
      <c r="H93" s="252" t="s">
        <v>928</v>
      </c>
      <c r="I93" s="252" t="s">
        <v>928</v>
      </c>
      <c r="J93" s="252" t="s">
        <v>928</v>
      </c>
      <c r="K93" s="252" t="s">
        <v>3236</v>
      </c>
      <c r="L93" s="252">
        <v>4156.96011</v>
      </c>
      <c r="M93" s="252">
        <v>100</v>
      </c>
      <c r="N93" s="252">
        <v>0</v>
      </c>
      <c r="O93" s="252">
        <v>4156.96011</v>
      </c>
      <c r="P93" s="252">
        <v>0</v>
      </c>
      <c r="Q93" s="252">
        <v>0</v>
      </c>
      <c r="R93" s="252">
        <v>0</v>
      </c>
      <c r="S93" s="252">
        <v>0</v>
      </c>
      <c r="T93" s="252">
        <v>0</v>
      </c>
      <c r="U93" s="252">
        <v>0</v>
      </c>
      <c r="V93" s="252">
        <v>0</v>
      </c>
      <c r="W93" s="252">
        <v>0</v>
      </c>
      <c r="X93" s="252">
        <v>0</v>
      </c>
      <c r="Y93" s="252">
        <v>0</v>
      </c>
      <c r="Z93" s="252">
        <v>0</v>
      </c>
      <c r="AA93" s="252">
        <v>0</v>
      </c>
      <c r="AB93" s="252">
        <v>0</v>
      </c>
      <c r="AC93" s="252">
        <v>0</v>
      </c>
      <c r="AD93" s="252">
        <v>1</v>
      </c>
      <c r="AE93" s="252" t="s">
        <v>19</v>
      </c>
      <c r="AF93" s="252" t="s">
        <v>718</v>
      </c>
      <c r="AG93" s="252">
        <f t="shared" si="6"/>
        <v>4156.96011</v>
      </c>
      <c r="AH93" s="252">
        <f t="shared" si="7"/>
        <v>0</v>
      </c>
      <c r="AI93" s="252">
        <f t="shared" si="8"/>
        <v>0</v>
      </c>
      <c r="AJ93" s="252">
        <f t="shared" si="9"/>
        <v>4156.96011</v>
      </c>
    </row>
    <row r="94" spans="1:36" x14ac:dyDescent="0.2">
      <c r="A94" s="253" t="str">
        <f t="shared" si="5"/>
        <v>3M5SNBR1012M12</v>
      </c>
      <c r="B94" s="252" t="s">
        <v>19</v>
      </c>
      <c r="C94" s="252" t="s">
        <v>20</v>
      </c>
      <c r="D94" s="252" t="s">
        <v>2433</v>
      </c>
      <c r="E94" s="252" t="s">
        <v>2434</v>
      </c>
      <c r="F94" s="252" t="s">
        <v>2447</v>
      </c>
      <c r="G94" s="252">
        <v>12</v>
      </c>
      <c r="H94" s="252" t="s">
        <v>928</v>
      </c>
      <c r="I94" s="252" t="s">
        <v>2399</v>
      </c>
      <c r="J94" s="252" t="s">
        <v>928</v>
      </c>
      <c r="K94" s="252" t="s">
        <v>3236</v>
      </c>
      <c r="L94" s="252">
        <v>4593.7636499999999</v>
      </c>
      <c r="M94" s="252">
        <v>93</v>
      </c>
      <c r="N94" s="252">
        <v>0</v>
      </c>
      <c r="O94" s="252">
        <v>2744.0860200000002</v>
      </c>
      <c r="P94" s="252">
        <v>0</v>
      </c>
      <c r="Q94" s="252">
        <v>0</v>
      </c>
      <c r="R94" s="252">
        <v>0</v>
      </c>
      <c r="S94" s="252">
        <v>0</v>
      </c>
      <c r="T94" s="252">
        <v>93.004220000000004</v>
      </c>
      <c r="U94" s="252">
        <v>239.34574000000001</v>
      </c>
      <c r="V94" s="252">
        <v>191.00465</v>
      </c>
      <c r="W94" s="252">
        <v>182.26358999999999</v>
      </c>
      <c r="X94" s="252">
        <v>0</v>
      </c>
      <c r="Y94" s="252">
        <v>0</v>
      </c>
      <c r="Z94" s="252">
        <v>892.34717999999998</v>
      </c>
      <c r="AA94" s="252">
        <v>251.71225000000001</v>
      </c>
      <c r="AB94" s="252">
        <v>0</v>
      </c>
      <c r="AC94" s="252">
        <v>0</v>
      </c>
      <c r="AD94" s="252">
        <v>1</v>
      </c>
      <c r="AE94" s="252" t="s">
        <v>19</v>
      </c>
      <c r="AF94" s="252" t="s">
        <v>718</v>
      </c>
      <c r="AG94" s="252">
        <f t="shared" si="6"/>
        <v>2551.9999986000003</v>
      </c>
      <c r="AH94" s="252">
        <f t="shared" si="7"/>
        <v>0</v>
      </c>
      <c r="AI94" s="252">
        <f t="shared" si="8"/>
        <v>0</v>
      </c>
      <c r="AJ94" s="252">
        <f t="shared" si="9"/>
        <v>2551.9999986000003</v>
      </c>
    </row>
    <row r="95" spans="1:36" x14ac:dyDescent="0.2">
      <c r="A95" s="253" t="str">
        <f t="shared" si="5"/>
        <v>SNBR1012M12</v>
      </c>
      <c r="B95" s="252" t="s">
        <v>19</v>
      </c>
      <c r="C95" s="252" t="s">
        <v>20</v>
      </c>
      <c r="D95" s="252" t="s">
        <v>2433</v>
      </c>
      <c r="E95" s="252" t="s">
        <v>2434</v>
      </c>
      <c r="F95" s="252" t="s">
        <v>2447</v>
      </c>
      <c r="G95" s="252">
        <v>12</v>
      </c>
      <c r="H95" s="252" t="s">
        <v>928</v>
      </c>
      <c r="I95" s="252" t="s">
        <v>928</v>
      </c>
      <c r="J95" s="252" t="s">
        <v>928</v>
      </c>
      <c r="K95" s="252" t="s">
        <v>3236</v>
      </c>
      <c r="L95" s="252">
        <v>4593.7638999999999</v>
      </c>
      <c r="M95" s="252">
        <v>93</v>
      </c>
      <c r="N95" s="252">
        <v>0</v>
      </c>
      <c r="O95" s="252">
        <v>2744.0868399999999</v>
      </c>
      <c r="P95" s="252">
        <v>0</v>
      </c>
      <c r="Q95" s="252">
        <v>0</v>
      </c>
      <c r="R95" s="252">
        <v>0</v>
      </c>
      <c r="S95" s="252">
        <v>0</v>
      </c>
      <c r="T95" s="252">
        <v>93.004469999999998</v>
      </c>
      <c r="U95" s="252">
        <v>239.34549999999999</v>
      </c>
      <c r="V95" s="252">
        <v>191.00475</v>
      </c>
      <c r="W95" s="252">
        <v>182.26251999999999</v>
      </c>
      <c r="X95" s="252">
        <v>0</v>
      </c>
      <c r="Y95" s="252">
        <v>0</v>
      </c>
      <c r="Z95" s="252">
        <v>892.34762999999998</v>
      </c>
      <c r="AA95" s="252">
        <v>251.71218999999999</v>
      </c>
      <c r="AB95" s="252">
        <v>0</v>
      </c>
      <c r="AC95" s="252">
        <v>0</v>
      </c>
      <c r="AD95" s="252">
        <v>1</v>
      </c>
      <c r="AE95" s="252" t="s">
        <v>19</v>
      </c>
      <c r="AF95" s="252" t="s">
        <v>718</v>
      </c>
      <c r="AG95" s="252">
        <f t="shared" si="6"/>
        <v>2552.0007611999999</v>
      </c>
      <c r="AH95" s="252">
        <f t="shared" si="7"/>
        <v>0</v>
      </c>
      <c r="AI95" s="252">
        <f t="shared" si="8"/>
        <v>0</v>
      </c>
      <c r="AJ95" s="252">
        <f t="shared" si="9"/>
        <v>2552.0007611999999</v>
      </c>
    </row>
    <row r="96" spans="1:36" x14ac:dyDescent="0.2">
      <c r="A96" s="253" t="str">
        <f t="shared" si="5"/>
        <v>7FTSNBR1012TJ12</v>
      </c>
      <c r="B96" s="252" t="s">
        <v>19</v>
      </c>
      <c r="C96" s="252" t="s">
        <v>20</v>
      </c>
      <c r="D96" s="252" t="s">
        <v>2433</v>
      </c>
      <c r="E96" s="252" t="s">
        <v>2434</v>
      </c>
      <c r="F96" s="252" t="s">
        <v>2448</v>
      </c>
      <c r="G96" s="252">
        <v>12</v>
      </c>
      <c r="H96" s="252" t="s">
        <v>928</v>
      </c>
      <c r="I96" s="252" t="s">
        <v>2444</v>
      </c>
      <c r="J96" s="252" t="s">
        <v>928</v>
      </c>
      <c r="K96" s="252" t="s">
        <v>3236</v>
      </c>
      <c r="L96" s="252">
        <v>4215.76</v>
      </c>
      <c r="M96" s="252">
        <v>100</v>
      </c>
      <c r="N96" s="252">
        <v>0</v>
      </c>
      <c r="O96" s="252">
        <v>4215.76</v>
      </c>
      <c r="P96" s="252">
        <v>0</v>
      </c>
      <c r="Q96" s="252">
        <v>0</v>
      </c>
      <c r="R96" s="252">
        <v>0</v>
      </c>
      <c r="S96" s="252">
        <v>0</v>
      </c>
      <c r="T96" s="252">
        <v>0</v>
      </c>
      <c r="U96" s="252">
        <v>0</v>
      </c>
      <c r="V96" s="252">
        <v>0</v>
      </c>
      <c r="W96" s="252">
        <v>0</v>
      </c>
      <c r="X96" s="252">
        <v>0</v>
      </c>
      <c r="Y96" s="252">
        <v>0</v>
      </c>
      <c r="Z96" s="252">
        <v>0</v>
      </c>
      <c r="AA96" s="252">
        <v>0</v>
      </c>
      <c r="AB96" s="252">
        <v>0</v>
      </c>
      <c r="AC96" s="252">
        <v>0</v>
      </c>
      <c r="AD96" s="252">
        <v>1</v>
      </c>
      <c r="AE96" s="252" t="s">
        <v>19</v>
      </c>
      <c r="AF96" s="252" t="s">
        <v>718</v>
      </c>
      <c r="AG96" s="252">
        <f t="shared" si="6"/>
        <v>4215.76</v>
      </c>
      <c r="AH96" s="252">
        <f t="shared" si="7"/>
        <v>0</v>
      </c>
      <c r="AI96" s="252">
        <f t="shared" si="8"/>
        <v>0</v>
      </c>
      <c r="AJ96" s="252">
        <f t="shared" si="9"/>
        <v>4215.76</v>
      </c>
    </row>
    <row r="97" spans="1:36" x14ac:dyDescent="0.2">
      <c r="A97" s="253" t="str">
        <f t="shared" si="5"/>
        <v>SNBR1012TJ12</v>
      </c>
      <c r="B97" s="252" t="s">
        <v>19</v>
      </c>
      <c r="C97" s="252" t="s">
        <v>20</v>
      </c>
      <c r="D97" s="252" t="s">
        <v>2433</v>
      </c>
      <c r="E97" s="252" t="s">
        <v>2434</v>
      </c>
      <c r="F97" s="252" t="s">
        <v>2448</v>
      </c>
      <c r="G97" s="252">
        <v>12</v>
      </c>
      <c r="H97" s="252" t="s">
        <v>928</v>
      </c>
      <c r="I97" s="252" t="s">
        <v>928</v>
      </c>
      <c r="J97" s="252" t="s">
        <v>928</v>
      </c>
      <c r="K97" s="252" t="s">
        <v>3236</v>
      </c>
      <c r="L97" s="252">
        <v>4215.7599600000003</v>
      </c>
      <c r="M97" s="252">
        <v>100</v>
      </c>
      <c r="N97" s="252">
        <v>0</v>
      </c>
      <c r="O97" s="252">
        <v>4215.7599600000003</v>
      </c>
      <c r="P97" s="252">
        <v>0</v>
      </c>
      <c r="Q97" s="252">
        <v>0</v>
      </c>
      <c r="R97" s="252">
        <v>0</v>
      </c>
      <c r="S97" s="252">
        <v>0</v>
      </c>
      <c r="T97" s="252">
        <v>0</v>
      </c>
      <c r="U97" s="252">
        <v>0</v>
      </c>
      <c r="V97" s="252">
        <v>0</v>
      </c>
      <c r="W97" s="252">
        <v>0</v>
      </c>
      <c r="X97" s="252">
        <v>0</v>
      </c>
      <c r="Y97" s="252">
        <v>0</v>
      </c>
      <c r="Z97" s="252">
        <v>0</v>
      </c>
      <c r="AA97" s="252">
        <v>0</v>
      </c>
      <c r="AB97" s="252">
        <v>0</v>
      </c>
      <c r="AC97" s="252">
        <v>0</v>
      </c>
      <c r="AD97" s="252">
        <v>1</v>
      </c>
      <c r="AE97" s="252" t="s">
        <v>19</v>
      </c>
      <c r="AF97" s="252" t="s">
        <v>718</v>
      </c>
      <c r="AG97" s="252">
        <f t="shared" si="6"/>
        <v>4215.7599600000003</v>
      </c>
      <c r="AH97" s="252">
        <f t="shared" si="7"/>
        <v>0</v>
      </c>
      <c r="AI97" s="252">
        <f t="shared" si="8"/>
        <v>0</v>
      </c>
      <c r="AJ97" s="252">
        <f t="shared" si="9"/>
        <v>4215.7599600000003</v>
      </c>
    </row>
    <row r="98" spans="1:36" x14ac:dyDescent="0.2">
      <c r="A98" s="253" t="str">
        <f t="shared" si="5"/>
        <v>3A5SNBR101912</v>
      </c>
      <c r="B98" s="252" t="s">
        <v>19</v>
      </c>
      <c r="C98" s="252" t="s">
        <v>20</v>
      </c>
      <c r="D98" s="252" t="s">
        <v>2433</v>
      </c>
      <c r="E98" s="252" t="s">
        <v>2434</v>
      </c>
      <c r="F98" s="252" t="s">
        <v>2449</v>
      </c>
      <c r="G98" s="252">
        <v>12</v>
      </c>
      <c r="H98" s="252" t="s">
        <v>928</v>
      </c>
      <c r="I98" s="252" t="s">
        <v>2450</v>
      </c>
      <c r="J98" s="252" t="s">
        <v>928</v>
      </c>
      <c r="K98" s="252" t="s">
        <v>3236</v>
      </c>
      <c r="L98" s="252">
        <v>5880.6666400000004</v>
      </c>
      <c r="M98" s="252">
        <v>90</v>
      </c>
      <c r="N98" s="252">
        <v>0</v>
      </c>
      <c r="O98" s="252">
        <v>2835.5555599999998</v>
      </c>
      <c r="P98" s="252">
        <v>0</v>
      </c>
      <c r="Q98" s="252">
        <v>0</v>
      </c>
      <c r="R98" s="252">
        <v>0</v>
      </c>
      <c r="S98" s="252">
        <v>0</v>
      </c>
      <c r="T98" s="252">
        <v>93.004220000000004</v>
      </c>
      <c r="U98" s="252">
        <v>681.92902000000004</v>
      </c>
      <c r="V98" s="252">
        <v>197.00479999999999</v>
      </c>
      <c r="W98" s="252">
        <v>309.30739999999997</v>
      </c>
      <c r="X98" s="252">
        <v>0</v>
      </c>
      <c r="Y98" s="252">
        <v>0</v>
      </c>
      <c r="Z98" s="252">
        <v>1351.0961299999999</v>
      </c>
      <c r="AA98" s="252">
        <v>412.76951000000003</v>
      </c>
      <c r="AB98" s="252">
        <v>0</v>
      </c>
      <c r="AC98" s="252">
        <v>0</v>
      </c>
      <c r="AD98" s="252">
        <v>1</v>
      </c>
      <c r="AE98" s="252" t="s">
        <v>19</v>
      </c>
      <c r="AF98" s="252" t="s">
        <v>718</v>
      </c>
      <c r="AG98" s="252">
        <f t="shared" si="6"/>
        <v>2552.000004</v>
      </c>
      <c r="AH98" s="252">
        <f t="shared" si="7"/>
        <v>0</v>
      </c>
      <c r="AI98" s="252">
        <f t="shared" si="8"/>
        <v>0</v>
      </c>
      <c r="AJ98" s="252">
        <f t="shared" si="9"/>
        <v>2552.000004</v>
      </c>
    </row>
    <row r="99" spans="1:36" x14ac:dyDescent="0.2">
      <c r="A99" s="253" t="str">
        <f t="shared" si="5"/>
        <v>SNBR101912</v>
      </c>
      <c r="B99" s="252" t="s">
        <v>19</v>
      </c>
      <c r="C99" s="252" t="s">
        <v>20</v>
      </c>
      <c r="D99" s="252" t="s">
        <v>2433</v>
      </c>
      <c r="E99" s="252" t="s">
        <v>2434</v>
      </c>
      <c r="F99" s="252" t="s">
        <v>2449</v>
      </c>
      <c r="G99" s="252">
        <v>12</v>
      </c>
      <c r="H99" s="252" t="s">
        <v>928</v>
      </c>
      <c r="I99" s="252" t="s">
        <v>928</v>
      </c>
      <c r="J99" s="252" t="s">
        <v>928</v>
      </c>
      <c r="K99" s="252" t="s">
        <v>3236</v>
      </c>
      <c r="L99" s="252">
        <v>5880.6667699999998</v>
      </c>
      <c r="M99" s="252">
        <v>90</v>
      </c>
      <c r="N99" s="252">
        <v>0</v>
      </c>
      <c r="O99" s="252">
        <v>2835.5555300000001</v>
      </c>
      <c r="P99" s="252">
        <v>0</v>
      </c>
      <c r="Q99" s="252">
        <v>0</v>
      </c>
      <c r="R99" s="252">
        <v>0</v>
      </c>
      <c r="S99" s="252">
        <v>0</v>
      </c>
      <c r="T99" s="252">
        <v>93.004230000000007</v>
      </c>
      <c r="U99" s="252">
        <v>681.92911000000004</v>
      </c>
      <c r="V99" s="252">
        <v>197.00487000000001</v>
      </c>
      <c r="W99" s="252">
        <v>309.30752000000001</v>
      </c>
      <c r="X99" s="252">
        <v>0</v>
      </c>
      <c r="Y99" s="252">
        <v>0</v>
      </c>
      <c r="Z99" s="252">
        <v>1351.0960500000001</v>
      </c>
      <c r="AA99" s="252">
        <v>412.76945999999998</v>
      </c>
      <c r="AB99" s="252">
        <v>0</v>
      </c>
      <c r="AC99" s="252">
        <v>0</v>
      </c>
      <c r="AD99" s="252">
        <v>1</v>
      </c>
      <c r="AE99" s="252" t="s">
        <v>19</v>
      </c>
      <c r="AF99" s="252" t="s">
        <v>718</v>
      </c>
      <c r="AG99" s="252">
        <f t="shared" si="6"/>
        <v>2551.9999769999999</v>
      </c>
      <c r="AH99" s="252">
        <f t="shared" si="7"/>
        <v>0</v>
      </c>
      <c r="AI99" s="252">
        <f t="shared" si="8"/>
        <v>0</v>
      </c>
      <c r="AJ99" s="252">
        <f t="shared" si="9"/>
        <v>2551.9999769999999</v>
      </c>
    </row>
    <row r="100" spans="1:36" x14ac:dyDescent="0.2">
      <c r="A100" s="253" t="str">
        <f t="shared" si="5"/>
        <v>3B7SNBR106212</v>
      </c>
      <c r="B100" s="252" t="s">
        <v>19</v>
      </c>
      <c r="C100" s="252" t="s">
        <v>20</v>
      </c>
      <c r="D100" s="252" t="s">
        <v>2433</v>
      </c>
      <c r="E100" s="252" t="s">
        <v>2434</v>
      </c>
      <c r="F100" s="252" t="s">
        <v>2451</v>
      </c>
      <c r="G100" s="252">
        <v>12</v>
      </c>
      <c r="H100" s="252" t="s">
        <v>928</v>
      </c>
      <c r="I100" s="252" t="s">
        <v>2438</v>
      </c>
      <c r="J100" s="252" t="s">
        <v>928</v>
      </c>
      <c r="K100" s="252" t="s">
        <v>3236</v>
      </c>
      <c r="L100" s="252">
        <v>4416.8986000000004</v>
      </c>
      <c r="M100" s="252">
        <v>92.5</v>
      </c>
      <c r="N100" s="252">
        <v>0</v>
      </c>
      <c r="O100" s="252">
        <v>2724.3243200000002</v>
      </c>
      <c r="P100" s="252">
        <v>0</v>
      </c>
      <c r="Q100" s="252">
        <v>0</v>
      </c>
      <c r="R100" s="252">
        <v>0</v>
      </c>
      <c r="S100" s="252">
        <v>0</v>
      </c>
      <c r="T100" s="252">
        <v>91.004130000000004</v>
      </c>
      <c r="U100" s="252">
        <v>238.31407999999999</v>
      </c>
      <c r="V100" s="252">
        <v>166.00404</v>
      </c>
      <c r="W100" s="252">
        <v>222.92009999999999</v>
      </c>
      <c r="X100" s="252">
        <v>0</v>
      </c>
      <c r="Y100" s="252">
        <v>0</v>
      </c>
      <c r="Z100" s="252">
        <v>729.37058000000002</v>
      </c>
      <c r="AA100" s="252">
        <v>244.96135000000001</v>
      </c>
      <c r="AB100" s="252">
        <v>0</v>
      </c>
      <c r="AC100" s="252">
        <v>0</v>
      </c>
      <c r="AD100" s="252">
        <v>1</v>
      </c>
      <c r="AE100" s="252" t="s">
        <v>19</v>
      </c>
      <c r="AF100" s="252" t="s">
        <v>718</v>
      </c>
      <c r="AG100" s="252">
        <f t="shared" si="6"/>
        <v>2519.999996</v>
      </c>
      <c r="AH100" s="252">
        <f t="shared" si="7"/>
        <v>0</v>
      </c>
      <c r="AI100" s="252">
        <f t="shared" si="8"/>
        <v>0</v>
      </c>
      <c r="AJ100" s="252">
        <f t="shared" si="9"/>
        <v>2519.999996</v>
      </c>
    </row>
    <row r="101" spans="1:36" x14ac:dyDescent="0.2">
      <c r="A101" s="253" t="str">
        <f t="shared" si="5"/>
        <v>SNBR106212</v>
      </c>
      <c r="B101" s="252" t="s">
        <v>19</v>
      </c>
      <c r="C101" s="252" t="s">
        <v>20</v>
      </c>
      <c r="D101" s="252" t="s">
        <v>2433</v>
      </c>
      <c r="E101" s="252" t="s">
        <v>2434</v>
      </c>
      <c r="F101" s="252" t="s">
        <v>2451</v>
      </c>
      <c r="G101" s="252">
        <v>12</v>
      </c>
      <c r="H101" s="252" t="s">
        <v>928</v>
      </c>
      <c r="I101" s="252" t="s">
        <v>928</v>
      </c>
      <c r="J101" s="252" t="s">
        <v>928</v>
      </c>
      <c r="K101" s="252" t="s">
        <v>3236</v>
      </c>
      <c r="L101" s="252">
        <v>4416.89822</v>
      </c>
      <c r="M101" s="252">
        <v>92.5</v>
      </c>
      <c r="N101" s="252">
        <v>0</v>
      </c>
      <c r="O101" s="252">
        <v>2724.3243200000002</v>
      </c>
      <c r="P101" s="252">
        <v>0</v>
      </c>
      <c r="Q101" s="252">
        <v>0</v>
      </c>
      <c r="R101" s="252">
        <v>0</v>
      </c>
      <c r="S101" s="252">
        <v>0</v>
      </c>
      <c r="T101" s="252">
        <v>91.007829999999998</v>
      </c>
      <c r="U101" s="252">
        <v>238.31775999999999</v>
      </c>
      <c r="V101" s="252">
        <v>166.00152</v>
      </c>
      <c r="W101" s="252">
        <v>222.91825</v>
      </c>
      <c r="X101" s="252">
        <v>0</v>
      </c>
      <c r="Y101" s="252">
        <v>0</v>
      </c>
      <c r="Z101" s="252">
        <v>729.36769000000004</v>
      </c>
      <c r="AA101" s="252">
        <v>244.96084999999999</v>
      </c>
      <c r="AB101" s="252">
        <v>0</v>
      </c>
      <c r="AC101" s="252">
        <v>0</v>
      </c>
      <c r="AD101" s="252">
        <v>1</v>
      </c>
      <c r="AE101" s="252" t="s">
        <v>19</v>
      </c>
      <c r="AF101" s="252" t="s">
        <v>718</v>
      </c>
      <c r="AG101" s="252">
        <f t="shared" si="6"/>
        <v>2519.999996</v>
      </c>
      <c r="AH101" s="252">
        <f t="shared" si="7"/>
        <v>0</v>
      </c>
      <c r="AI101" s="252">
        <f t="shared" si="8"/>
        <v>0</v>
      </c>
      <c r="AJ101" s="252">
        <f t="shared" si="9"/>
        <v>2519.999996</v>
      </c>
    </row>
    <row r="102" spans="1:36" x14ac:dyDescent="0.2">
      <c r="A102" s="253" t="str">
        <f t="shared" si="5"/>
        <v>3ASNBR107525</v>
      </c>
      <c r="B102" s="252" t="s">
        <v>19</v>
      </c>
      <c r="C102" s="252" t="s">
        <v>20</v>
      </c>
      <c r="D102" s="252" t="s">
        <v>2433</v>
      </c>
      <c r="E102" s="252" t="s">
        <v>2434</v>
      </c>
      <c r="F102" s="252" t="s">
        <v>2452</v>
      </c>
      <c r="G102" s="252">
        <v>25</v>
      </c>
      <c r="H102" s="252" t="s">
        <v>928</v>
      </c>
      <c r="I102" s="252" t="s">
        <v>2395</v>
      </c>
      <c r="J102" s="252" t="s">
        <v>928</v>
      </c>
      <c r="K102" s="252" t="s">
        <v>3236</v>
      </c>
      <c r="L102" s="252">
        <v>14318.117130000001</v>
      </c>
      <c r="M102" s="252">
        <v>91.5</v>
      </c>
      <c r="N102" s="252">
        <v>0</v>
      </c>
      <c r="O102" s="252">
        <v>8472.6776000000009</v>
      </c>
      <c r="P102" s="252">
        <v>0</v>
      </c>
      <c r="Q102" s="252">
        <v>0</v>
      </c>
      <c r="R102" s="252">
        <v>0</v>
      </c>
      <c r="S102" s="252">
        <v>0</v>
      </c>
      <c r="T102" s="252">
        <v>259.01177000000001</v>
      </c>
      <c r="U102" s="252">
        <v>646.85248999999999</v>
      </c>
      <c r="V102" s="252">
        <v>548.01334999999995</v>
      </c>
      <c r="W102" s="252">
        <v>898.68462999999997</v>
      </c>
      <c r="X102" s="252">
        <v>0</v>
      </c>
      <c r="Y102" s="252">
        <v>0</v>
      </c>
      <c r="Z102" s="252">
        <v>2465.77558</v>
      </c>
      <c r="AA102" s="252">
        <v>1027.1017099999999</v>
      </c>
      <c r="AB102" s="252">
        <v>0</v>
      </c>
      <c r="AC102" s="252">
        <v>0</v>
      </c>
      <c r="AD102" s="252">
        <v>1</v>
      </c>
      <c r="AE102" s="252" t="s">
        <v>19</v>
      </c>
      <c r="AF102" s="252" t="s">
        <v>718</v>
      </c>
      <c r="AG102" s="252">
        <f t="shared" si="6"/>
        <v>7752.5000040000014</v>
      </c>
      <c r="AH102" s="252">
        <f t="shared" si="7"/>
        <v>0</v>
      </c>
      <c r="AI102" s="252">
        <f t="shared" si="8"/>
        <v>0</v>
      </c>
      <c r="AJ102" s="252">
        <f t="shared" si="9"/>
        <v>7752.5000040000014</v>
      </c>
    </row>
    <row r="103" spans="1:36" x14ac:dyDescent="0.2">
      <c r="A103" s="253" t="str">
        <f t="shared" si="5"/>
        <v>SNBR107525</v>
      </c>
      <c r="B103" s="252" t="s">
        <v>19</v>
      </c>
      <c r="C103" s="252" t="s">
        <v>20</v>
      </c>
      <c r="D103" s="252" t="s">
        <v>2433</v>
      </c>
      <c r="E103" s="252" t="s">
        <v>2434</v>
      </c>
      <c r="F103" s="252" t="s">
        <v>2452</v>
      </c>
      <c r="G103" s="252">
        <v>25</v>
      </c>
      <c r="H103" s="252" t="s">
        <v>928</v>
      </c>
      <c r="I103" s="252" t="s">
        <v>928</v>
      </c>
      <c r="J103" s="252" t="s">
        <v>928</v>
      </c>
      <c r="K103" s="252" t="s">
        <v>3236</v>
      </c>
      <c r="L103" s="252">
        <v>14318.11767</v>
      </c>
      <c r="M103" s="252">
        <v>91.5</v>
      </c>
      <c r="N103" s="252">
        <v>0</v>
      </c>
      <c r="O103" s="252">
        <v>8472.6783500000001</v>
      </c>
      <c r="P103" s="252">
        <v>0</v>
      </c>
      <c r="Q103" s="252">
        <v>0</v>
      </c>
      <c r="R103" s="252">
        <v>0</v>
      </c>
      <c r="S103" s="252">
        <v>0</v>
      </c>
      <c r="T103" s="252">
        <v>259.01292999999998</v>
      </c>
      <c r="U103" s="252">
        <v>646.85185000000001</v>
      </c>
      <c r="V103" s="252">
        <v>548.01364000000001</v>
      </c>
      <c r="W103" s="252">
        <v>898.68493999999998</v>
      </c>
      <c r="X103" s="252">
        <v>0</v>
      </c>
      <c r="Y103" s="252">
        <v>0</v>
      </c>
      <c r="Z103" s="252">
        <v>2465.77466</v>
      </c>
      <c r="AA103" s="252">
        <v>1027.1013</v>
      </c>
      <c r="AB103" s="252">
        <v>0</v>
      </c>
      <c r="AC103" s="252">
        <v>0</v>
      </c>
      <c r="AD103" s="252">
        <v>1</v>
      </c>
      <c r="AE103" s="252" t="s">
        <v>19</v>
      </c>
      <c r="AF103" s="252" t="s">
        <v>718</v>
      </c>
      <c r="AG103" s="252">
        <f t="shared" si="6"/>
        <v>7752.5006902499999</v>
      </c>
      <c r="AH103" s="252">
        <f t="shared" si="7"/>
        <v>0</v>
      </c>
      <c r="AI103" s="252">
        <f t="shared" si="8"/>
        <v>0</v>
      </c>
      <c r="AJ103" s="252">
        <f t="shared" si="9"/>
        <v>7752.5006902499999</v>
      </c>
    </row>
    <row r="104" spans="1:36" x14ac:dyDescent="0.2">
      <c r="A104" s="253" t="str">
        <f t="shared" si="5"/>
        <v>3ASNBR1075N25</v>
      </c>
      <c r="B104" s="252" t="s">
        <v>19</v>
      </c>
      <c r="C104" s="252" t="s">
        <v>20</v>
      </c>
      <c r="D104" s="252" t="s">
        <v>2433</v>
      </c>
      <c r="E104" s="252" t="s">
        <v>2434</v>
      </c>
      <c r="F104" s="252" t="s">
        <v>2453</v>
      </c>
      <c r="G104" s="252">
        <v>25</v>
      </c>
      <c r="H104" s="252" t="s">
        <v>928</v>
      </c>
      <c r="I104" s="252" t="s">
        <v>2395</v>
      </c>
      <c r="J104" s="252" t="s">
        <v>928</v>
      </c>
      <c r="K104" s="252" t="s">
        <v>3236</v>
      </c>
      <c r="L104" s="252">
        <v>14318.117130000001</v>
      </c>
      <c r="M104" s="252">
        <v>91.5</v>
      </c>
      <c r="N104" s="252">
        <v>0</v>
      </c>
      <c r="O104" s="252">
        <v>8472.6776000000009</v>
      </c>
      <c r="P104" s="252">
        <v>0</v>
      </c>
      <c r="Q104" s="252">
        <v>0</v>
      </c>
      <c r="R104" s="252">
        <v>0</v>
      </c>
      <c r="S104" s="252">
        <v>0</v>
      </c>
      <c r="T104" s="252">
        <v>259.01177000000001</v>
      </c>
      <c r="U104" s="252">
        <v>646.85248999999999</v>
      </c>
      <c r="V104" s="252">
        <v>548.01334999999995</v>
      </c>
      <c r="W104" s="252">
        <v>898.68462999999997</v>
      </c>
      <c r="X104" s="252">
        <v>0</v>
      </c>
      <c r="Y104" s="252">
        <v>0</v>
      </c>
      <c r="Z104" s="252">
        <v>2465.77558</v>
      </c>
      <c r="AA104" s="252">
        <v>1027.1017099999999</v>
      </c>
      <c r="AB104" s="252">
        <v>0</v>
      </c>
      <c r="AC104" s="252">
        <v>0</v>
      </c>
      <c r="AD104" s="252">
        <v>1</v>
      </c>
      <c r="AE104" s="252" t="s">
        <v>19</v>
      </c>
      <c r="AF104" s="252" t="s">
        <v>718</v>
      </c>
      <c r="AG104" s="252">
        <f t="shared" si="6"/>
        <v>7752.5000040000014</v>
      </c>
      <c r="AH104" s="252">
        <f t="shared" si="7"/>
        <v>0</v>
      </c>
      <c r="AI104" s="252">
        <f t="shared" si="8"/>
        <v>0</v>
      </c>
      <c r="AJ104" s="252">
        <f t="shared" si="9"/>
        <v>7752.5000040000014</v>
      </c>
    </row>
    <row r="105" spans="1:36" x14ac:dyDescent="0.2">
      <c r="A105" s="253" t="str">
        <f t="shared" si="5"/>
        <v>SNBR1075N25</v>
      </c>
      <c r="B105" s="252" t="s">
        <v>19</v>
      </c>
      <c r="C105" s="252" t="s">
        <v>20</v>
      </c>
      <c r="D105" s="252" t="s">
        <v>2433</v>
      </c>
      <c r="E105" s="252" t="s">
        <v>2434</v>
      </c>
      <c r="F105" s="252" t="s">
        <v>2453</v>
      </c>
      <c r="G105" s="252">
        <v>25</v>
      </c>
      <c r="H105" s="252" t="s">
        <v>928</v>
      </c>
      <c r="I105" s="252" t="s">
        <v>928</v>
      </c>
      <c r="J105" s="252" t="s">
        <v>928</v>
      </c>
      <c r="K105" s="252" t="s">
        <v>3236</v>
      </c>
      <c r="L105" s="252">
        <v>14318.116679999999</v>
      </c>
      <c r="M105" s="252">
        <v>91.5</v>
      </c>
      <c r="N105" s="252">
        <v>0</v>
      </c>
      <c r="O105" s="252">
        <v>8472.6722800000007</v>
      </c>
      <c r="P105" s="252">
        <v>0</v>
      </c>
      <c r="Q105" s="252">
        <v>0</v>
      </c>
      <c r="R105" s="252">
        <v>0</v>
      </c>
      <c r="S105" s="252">
        <v>0</v>
      </c>
      <c r="T105" s="252">
        <v>259.00990000000002</v>
      </c>
      <c r="U105" s="252">
        <v>646.85379999999998</v>
      </c>
      <c r="V105" s="252">
        <v>548.01361999999995</v>
      </c>
      <c r="W105" s="252">
        <v>898.68456000000003</v>
      </c>
      <c r="X105" s="252">
        <v>0</v>
      </c>
      <c r="Y105" s="252">
        <v>0</v>
      </c>
      <c r="Z105" s="252">
        <v>2465.7809000000002</v>
      </c>
      <c r="AA105" s="252">
        <v>1027.1016199999999</v>
      </c>
      <c r="AB105" s="252">
        <v>0</v>
      </c>
      <c r="AC105" s="252">
        <v>0</v>
      </c>
      <c r="AD105" s="252">
        <v>1</v>
      </c>
      <c r="AE105" s="252" t="s">
        <v>19</v>
      </c>
      <c r="AF105" s="252" t="s">
        <v>718</v>
      </c>
      <c r="AG105" s="252">
        <f t="shared" si="6"/>
        <v>7752.4951362000011</v>
      </c>
      <c r="AH105" s="252">
        <f t="shared" si="7"/>
        <v>0</v>
      </c>
      <c r="AI105" s="252">
        <f t="shared" si="8"/>
        <v>0</v>
      </c>
      <c r="AJ105" s="252">
        <f t="shared" si="9"/>
        <v>7752.4951362000011</v>
      </c>
    </row>
    <row r="106" spans="1:36" x14ac:dyDescent="0.2">
      <c r="A106" s="253" t="str">
        <f t="shared" si="5"/>
        <v>3A5SNBR131212</v>
      </c>
      <c r="B106" s="252" t="s">
        <v>19</v>
      </c>
      <c r="C106" s="252" t="s">
        <v>20</v>
      </c>
      <c r="D106" s="252" t="s">
        <v>2433</v>
      </c>
      <c r="E106" s="252" t="s">
        <v>2434</v>
      </c>
      <c r="F106" s="252" t="s">
        <v>2454</v>
      </c>
      <c r="G106" s="252">
        <v>12</v>
      </c>
      <c r="H106" s="252" t="s">
        <v>928</v>
      </c>
      <c r="I106" s="252" t="s">
        <v>2450</v>
      </c>
      <c r="J106" s="252" t="s">
        <v>928</v>
      </c>
      <c r="K106" s="252" t="s">
        <v>3236</v>
      </c>
      <c r="L106" s="252">
        <v>6165.5512200000003</v>
      </c>
      <c r="M106" s="252">
        <v>93</v>
      </c>
      <c r="N106" s="252">
        <v>0</v>
      </c>
      <c r="O106" s="252">
        <v>4059.13978</v>
      </c>
      <c r="P106" s="252">
        <v>0</v>
      </c>
      <c r="Q106" s="252">
        <v>0</v>
      </c>
      <c r="R106" s="252">
        <v>0</v>
      </c>
      <c r="S106" s="252">
        <v>0</v>
      </c>
      <c r="T106" s="252">
        <v>88.004000000000005</v>
      </c>
      <c r="U106" s="252">
        <v>236.25075000000001</v>
      </c>
      <c r="V106" s="252">
        <v>280.00682</v>
      </c>
      <c r="W106" s="252">
        <v>214.76204999999999</v>
      </c>
      <c r="X106" s="252">
        <v>0</v>
      </c>
      <c r="Y106" s="252">
        <v>0</v>
      </c>
      <c r="Z106" s="252">
        <v>999.99221999999997</v>
      </c>
      <c r="AA106" s="252">
        <v>287.3956</v>
      </c>
      <c r="AB106" s="252">
        <v>0</v>
      </c>
      <c r="AC106" s="252">
        <v>0</v>
      </c>
      <c r="AD106" s="252">
        <v>1</v>
      </c>
      <c r="AE106" s="252" t="s">
        <v>19</v>
      </c>
      <c r="AF106" s="252" t="s">
        <v>718</v>
      </c>
      <c r="AG106" s="252">
        <f t="shared" si="6"/>
        <v>3774.9999954</v>
      </c>
      <c r="AH106" s="252">
        <f t="shared" si="7"/>
        <v>0</v>
      </c>
      <c r="AI106" s="252">
        <f t="shared" si="8"/>
        <v>0</v>
      </c>
      <c r="AJ106" s="252">
        <f t="shared" si="9"/>
        <v>3774.9999954</v>
      </c>
    </row>
    <row r="107" spans="1:36" x14ac:dyDescent="0.2">
      <c r="A107" s="253" t="str">
        <f t="shared" si="5"/>
        <v>3C5SNBR131212</v>
      </c>
      <c r="B107" s="252" t="s">
        <v>19</v>
      </c>
      <c r="C107" s="252" t="s">
        <v>20</v>
      </c>
      <c r="D107" s="252" t="s">
        <v>2433</v>
      </c>
      <c r="E107" s="252" t="s">
        <v>2434</v>
      </c>
      <c r="F107" s="252" t="s">
        <v>2454</v>
      </c>
      <c r="G107" s="252">
        <v>12</v>
      </c>
      <c r="H107" s="252" t="s">
        <v>928</v>
      </c>
      <c r="I107" s="252" t="s">
        <v>2455</v>
      </c>
      <c r="J107" s="252" t="s">
        <v>928</v>
      </c>
      <c r="K107" s="252" t="s">
        <v>3236</v>
      </c>
      <c r="L107" s="252">
        <v>6050.6229199999998</v>
      </c>
      <c r="M107" s="252">
        <v>93</v>
      </c>
      <c r="N107" s="252">
        <v>0</v>
      </c>
      <c r="O107" s="252">
        <v>4059.13978</v>
      </c>
      <c r="P107" s="252">
        <v>0</v>
      </c>
      <c r="Q107" s="252">
        <v>0</v>
      </c>
      <c r="R107" s="252">
        <v>0</v>
      </c>
      <c r="S107" s="252">
        <v>0</v>
      </c>
      <c r="T107" s="252">
        <v>88.004000000000005</v>
      </c>
      <c r="U107" s="252">
        <v>223.8708</v>
      </c>
      <c r="V107" s="252">
        <v>280.00682</v>
      </c>
      <c r="W107" s="252">
        <v>211.26954000000001</v>
      </c>
      <c r="X107" s="252">
        <v>0</v>
      </c>
      <c r="Y107" s="252">
        <v>0</v>
      </c>
      <c r="Z107" s="252">
        <v>913.47378000000003</v>
      </c>
      <c r="AA107" s="252">
        <v>274.85820000000001</v>
      </c>
      <c r="AB107" s="252">
        <v>0</v>
      </c>
      <c r="AC107" s="252">
        <v>0</v>
      </c>
      <c r="AD107" s="252">
        <v>1</v>
      </c>
      <c r="AE107" s="252" t="s">
        <v>19</v>
      </c>
      <c r="AF107" s="252" t="s">
        <v>718</v>
      </c>
      <c r="AG107" s="252">
        <f t="shared" si="6"/>
        <v>3774.9999954</v>
      </c>
      <c r="AH107" s="252">
        <f t="shared" si="7"/>
        <v>0</v>
      </c>
      <c r="AI107" s="252">
        <f t="shared" si="8"/>
        <v>0</v>
      </c>
      <c r="AJ107" s="252">
        <f t="shared" si="9"/>
        <v>3774.9999954</v>
      </c>
    </row>
    <row r="108" spans="1:36" x14ac:dyDescent="0.2">
      <c r="A108" s="253" t="str">
        <f t="shared" si="5"/>
        <v>SNBR131212</v>
      </c>
      <c r="B108" s="252" t="s">
        <v>19</v>
      </c>
      <c r="C108" s="252" t="s">
        <v>20</v>
      </c>
      <c r="D108" s="252" t="s">
        <v>2433</v>
      </c>
      <c r="E108" s="252" t="s">
        <v>2434</v>
      </c>
      <c r="F108" s="252" t="s">
        <v>2454</v>
      </c>
      <c r="G108" s="252">
        <v>12</v>
      </c>
      <c r="H108" s="252" t="s">
        <v>928</v>
      </c>
      <c r="I108" s="252" t="s">
        <v>928</v>
      </c>
      <c r="J108" s="252" t="s">
        <v>928</v>
      </c>
      <c r="K108" s="252" t="s">
        <v>3236</v>
      </c>
      <c r="L108" s="252">
        <v>6061.0239300000003</v>
      </c>
      <c r="M108" s="252">
        <v>93</v>
      </c>
      <c r="N108" s="252">
        <v>0</v>
      </c>
      <c r="O108" s="252">
        <v>4059.1398399999998</v>
      </c>
      <c r="P108" s="252">
        <v>0</v>
      </c>
      <c r="Q108" s="252">
        <v>0</v>
      </c>
      <c r="R108" s="252">
        <v>0</v>
      </c>
      <c r="S108" s="252">
        <v>0</v>
      </c>
      <c r="T108" s="252">
        <v>88.004009999999994</v>
      </c>
      <c r="U108" s="252">
        <v>224.9913</v>
      </c>
      <c r="V108" s="252">
        <v>280.00677999999999</v>
      </c>
      <c r="W108" s="252">
        <v>211.58577</v>
      </c>
      <c r="X108" s="252">
        <v>0</v>
      </c>
      <c r="Y108" s="252">
        <v>0</v>
      </c>
      <c r="Z108" s="252">
        <v>921.30341999999996</v>
      </c>
      <c r="AA108" s="252">
        <v>275.99281000000002</v>
      </c>
      <c r="AB108" s="252">
        <v>0</v>
      </c>
      <c r="AC108" s="252">
        <v>0</v>
      </c>
      <c r="AD108" s="252">
        <v>1</v>
      </c>
      <c r="AE108" s="252" t="s">
        <v>19</v>
      </c>
      <c r="AF108" s="252" t="s">
        <v>718</v>
      </c>
      <c r="AG108" s="252">
        <f t="shared" si="6"/>
        <v>3775.0000511999997</v>
      </c>
      <c r="AH108" s="252">
        <f t="shared" si="7"/>
        <v>0</v>
      </c>
      <c r="AI108" s="252">
        <f t="shared" si="8"/>
        <v>0</v>
      </c>
      <c r="AJ108" s="252">
        <f t="shared" si="9"/>
        <v>3775.0000511999997</v>
      </c>
    </row>
    <row r="109" spans="1:36" x14ac:dyDescent="0.2">
      <c r="A109" s="253" t="str">
        <f t="shared" si="5"/>
        <v>3A5SNBR131216</v>
      </c>
      <c r="B109" s="252" t="s">
        <v>19</v>
      </c>
      <c r="C109" s="252" t="s">
        <v>20</v>
      </c>
      <c r="D109" s="252" t="s">
        <v>2433</v>
      </c>
      <c r="E109" s="252" t="s">
        <v>2434</v>
      </c>
      <c r="F109" s="252" t="s">
        <v>2454</v>
      </c>
      <c r="G109" s="252">
        <v>16</v>
      </c>
      <c r="H109" s="252" t="s">
        <v>928</v>
      </c>
      <c r="I109" s="252" t="s">
        <v>2450</v>
      </c>
      <c r="J109" s="252" t="s">
        <v>928</v>
      </c>
      <c r="K109" s="252" t="s">
        <v>3236</v>
      </c>
      <c r="L109" s="252">
        <v>10852.1513</v>
      </c>
      <c r="M109" s="252">
        <v>93</v>
      </c>
      <c r="N109" s="252">
        <v>0</v>
      </c>
      <c r="O109" s="252">
        <v>8344.0860200000006</v>
      </c>
      <c r="P109" s="252">
        <v>0</v>
      </c>
      <c r="Q109" s="252">
        <v>0</v>
      </c>
      <c r="R109" s="252">
        <v>0</v>
      </c>
      <c r="S109" s="252">
        <v>0</v>
      </c>
      <c r="T109" s="252">
        <v>99.004499999999993</v>
      </c>
      <c r="U109" s="252">
        <v>245.53572</v>
      </c>
      <c r="V109" s="252">
        <v>313.00761999999997</v>
      </c>
      <c r="W109" s="252">
        <v>283.80635000000001</v>
      </c>
      <c r="X109" s="252">
        <v>0</v>
      </c>
      <c r="Y109" s="252">
        <v>0</v>
      </c>
      <c r="Z109" s="252">
        <v>1201.1978999999999</v>
      </c>
      <c r="AA109" s="252">
        <v>365.51319000000001</v>
      </c>
      <c r="AB109" s="252">
        <v>0</v>
      </c>
      <c r="AC109" s="252">
        <v>0</v>
      </c>
      <c r="AD109" s="252">
        <v>1</v>
      </c>
      <c r="AE109" s="252" t="s">
        <v>20</v>
      </c>
      <c r="AF109" s="252" t="s">
        <v>718</v>
      </c>
      <c r="AG109" s="252">
        <f t="shared" si="6"/>
        <v>7759.9999986000012</v>
      </c>
      <c r="AH109" s="252">
        <f t="shared" si="7"/>
        <v>0</v>
      </c>
      <c r="AI109" s="252">
        <f t="shared" si="8"/>
        <v>0</v>
      </c>
      <c r="AJ109" s="252">
        <f t="shared" si="9"/>
        <v>7759.9999986000012</v>
      </c>
    </row>
    <row r="110" spans="1:36" x14ac:dyDescent="0.2">
      <c r="A110" s="253" t="str">
        <f t="shared" si="5"/>
        <v>SNBR131216</v>
      </c>
      <c r="B110" s="252" t="s">
        <v>19</v>
      </c>
      <c r="C110" s="252" t="s">
        <v>20</v>
      </c>
      <c r="D110" s="252" t="s">
        <v>2433</v>
      </c>
      <c r="E110" s="252" t="s">
        <v>2434</v>
      </c>
      <c r="F110" s="252" t="s">
        <v>2454</v>
      </c>
      <c r="G110" s="252">
        <v>16</v>
      </c>
      <c r="H110" s="252" t="s">
        <v>928</v>
      </c>
      <c r="I110" s="252" t="s">
        <v>928</v>
      </c>
      <c r="J110" s="252" t="s">
        <v>928</v>
      </c>
      <c r="K110" s="252" t="s">
        <v>3236</v>
      </c>
      <c r="L110" s="252">
        <v>10852.151819999999</v>
      </c>
      <c r="M110" s="252">
        <v>93</v>
      </c>
      <c r="N110" s="252">
        <v>0</v>
      </c>
      <c r="O110" s="252">
        <v>8344.0861199999999</v>
      </c>
      <c r="P110" s="252">
        <v>0</v>
      </c>
      <c r="Q110" s="252">
        <v>0</v>
      </c>
      <c r="R110" s="252">
        <v>0</v>
      </c>
      <c r="S110" s="252">
        <v>0</v>
      </c>
      <c r="T110" s="252">
        <v>99.004480000000001</v>
      </c>
      <c r="U110" s="252">
        <v>245.53602000000001</v>
      </c>
      <c r="V110" s="252">
        <v>313.00754000000001</v>
      </c>
      <c r="W110" s="252">
        <v>283.80642</v>
      </c>
      <c r="X110" s="252">
        <v>0</v>
      </c>
      <c r="Y110" s="252">
        <v>0</v>
      </c>
      <c r="Z110" s="252">
        <v>1201.19812</v>
      </c>
      <c r="AA110" s="252">
        <v>365.51312000000001</v>
      </c>
      <c r="AB110" s="252">
        <v>0</v>
      </c>
      <c r="AC110" s="252">
        <v>0</v>
      </c>
      <c r="AD110" s="252">
        <v>1</v>
      </c>
      <c r="AE110" s="252" t="s">
        <v>20</v>
      </c>
      <c r="AF110" s="252" t="s">
        <v>718</v>
      </c>
      <c r="AG110" s="252">
        <f t="shared" si="6"/>
        <v>7760.0000915999999</v>
      </c>
      <c r="AH110" s="252">
        <f t="shared" si="7"/>
        <v>0</v>
      </c>
      <c r="AI110" s="252">
        <f t="shared" si="8"/>
        <v>0</v>
      </c>
      <c r="AJ110" s="252">
        <f t="shared" si="9"/>
        <v>7760.0000915999999</v>
      </c>
    </row>
    <row r="111" spans="1:36" x14ac:dyDescent="0.2">
      <c r="A111" s="253" t="str">
        <f t="shared" si="5"/>
        <v>3C5SNBR1312M12</v>
      </c>
      <c r="B111" s="252" t="s">
        <v>19</v>
      </c>
      <c r="C111" s="252" t="s">
        <v>20</v>
      </c>
      <c r="D111" s="252" t="s">
        <v>2433</v>
      </c>
      <c r="E111" s="252" t="s">
        <v>2434</v>
      </c>
      <c r="F111" s="252" t="s">
        <v>2456</v>
      </c>
      <c r="G111" s="252">
        <v>12</v>
      </c>
      <c r="H111" s="252" t="s">
        <v>928</v>
      </c>
      <c r="I111" s="252" t="s">
        <v>2455</v>
      </c>
      <c r="J111" s="252" t="s">
        <v>928</v>
      </c>
      <c r="K111" s="252" t="s">
        <v>3236</v>
      </c>
      <c r="L111" s="252">
        <v>6050.6229199999998</v>
      </c>
      <c r="M111" s="252">
        <v>93</v>
      </c>
      <c r="N111" s="252">
        <v>0</v>
      </c>
      <c r="O111" s="252">
        <v>4059.13978</v>
      </c>
      <c r="P111" s="252">
        <v>0</v>
      </c>
      <c r="Q111" s="252">
        <v>0</v>
      </c>
      <c r="R111" s="252">
        <v>0</v>
      </c>
      <c r="S111" s="252">
        <v>0</v>
      </c>
      <c r="T111" s="252">
        <v>88.004000000000005</v>
      </c>
      <c r="U111" s="252">
        <v>223.8708</v>
      </c>
      <c r="V111" s="252">
        <v>280.00682</v>
      </c>
      <c r="W111" s="252">
        <v>211.26954000000001</v>
      </c>
      <c r="X111" s="252">
        <v>0</v>
      </c>
      <c r="Y111" s="252">
        <v>0</v>
      </c>
      <c r="Z111" s="252">
        <v>913.47378000000003</v>
      </c>
      <c r="AA111" s="252">
        <v>274.85820000000001</v>
      </c>
      <c r="AB111" s="252">
        <v>0</v>
      </c>
      <c r="AC111" s="252">
        <v>0</v>
      </c>
      <c r="AD111" s="252">
        <v>1</v>
      </c>
      <c r="AE111" s="252" t="s">
        <v>20</v>
      </c>
      <c r="AF111" s="252" t="s">
        <v>718</v>
      </c>
      <c r="AG111" s="252">
        <f t="shared" si="6"/>
        <v>3774.9999954</v>
      </c>
      <c r="AH111" s="252">
        <f t="shared" si="7"/>
        <v>0</v>
      </c>
      <c r="AI111" s="252">
        <f t="shared" si="8"/>
        <v>0</v>
      </c>
      <c r="AJ111" s="252">
        <f t="shared" si="9"/>
        <v>3774.9999954</v>
      </c>
    </row>
    <row r="112" spans="1:36" x14ac:dyDescent="0.2">
      <c r="A112" s="253" t="str">
        <f t="shared" si="5"/>
        <v>SNBR1312M12</v>
      </c>
      <c r="B112" s="252" t="s">
        <v>19</v>
      </c>
      <c r="C112" s="252" t="s">
        <v>20</v>
      </c>
      <c r="D112" s="252" t="s">
        <v>2433</v>
      </c>
      <c r="E112" s="252" t="s">
        <v>2434</v>
      </c>
      <c r="F112" s="252" t="s">
        <v>2456</v>
      </c>
      <c r="G112" s="252">
        <v>12</v>
      </c>
      <c r="H112" s="252" t="s">
        <v>928</v>
      </c>
      <c r="I112" s="252" t="s">
        <v>928</v>
      </c>
      <c r="J112" s="252" t="s">
        <v>928</v>
      </c>
      <c r="K112" s="252" t="s">
        <v>3236</v>
      </c>
      <c r="L112" s="252">
        <v>6050.6230800000003</v>
      </c>
      <c r="M112" s="252">
        <v>93</v>
      </c>
      <c r="N112" s="252">
        <v>0</v>
      </c>
      <c r="O112" s="252">
        <v>4059.1399200000001</v>
      </c>
      <c r="P112" s="252">
        <v>0</v>
      </c>
      <c r="Q112" s="252">
        <v>0</v>
      </c>
      <c r="R112" s="252">
        <v>0</v>
      </c>
      <c r="S112" s="252">
        <v>0</v>
      </c>
      <c r="T112" s="252">
        <v>88.004080000000002</v>
      </c>
      <c r="U112" s="252">
        <v>223.87091000000001</v>
      </c>
      <c r="V112" s="252">
        <v>280.00664</v>
      </c>
      <c r="W112" s="252">
        <v>211.26938000000001</v>
      </c>
      <c r="X112" s="252">
        <v>0</v>
      </c>
      <c r="Y112" s="252">
        <v>0</v>
      </c>
      <c r="Z112" s="252">
        <v>913.47388000000001</v>
      </c>
      <c r="AA112" s="252">
        <v>274.85827</v>
      </c>
      <c r="AB112" s="252">
        <v>0</v>
      </c>
      <c r="AC112" s="252">
        <v>0</v>
      </c>
      <c r="AD112" s="252">
        <v>1</v>
      </c>
      <c r="AE112" s="252" t="s">
        <v>20</v>
      </c>
      <c r="AF112" s="252" t="s">
        <v>718</v>
      </c>
      <c r="AG112" s="252">
        <f t="shared" si="6"/>
        <v>3775.0001256</v>
      </c>
      <c r="AH112" s="252">
        <f t="shared" si="7"/>
        <v>0</v>
      </c>
      <c r="AI112" s="252">
        <f t="shared" si="8"/>
        <v>0</v>
      </c>
      <c r="AJ112" s="252">
        <f t="shared" si="9"/>
        <v>3775.0001256</v>
      </c>
    </row>
    <row r="113" spans="1:36" x14ac:dyDescent="0.2">
      <c r="A113" s="253" t="str">
        <f t="shared" si="5"/>
        <v>3A5SNBR141212</v>
      </c>
      <c r="B113" s="252" t="s">
        <v>19</v>
      </c>
      <c r="C113" s="252" t="s">
        <v>20</v>
      </c>
      <c r="D113" s="252" t="s">
        <v>2433</v>
      </c>
      <c r="E113" s="252" t="s">
        <v>2434</v>
      </c>
      <c r="F113" s="252" t="s">
        <v>2457</v>
      </c>
      <c r="G113" s="252">
        <v>12</v>
      </c>
      <c r="H113" s="252" t="s">
        <v>928</v>
      </c>
      <c r="I113" s="252" t="s">
        <v>2450</v>
      </c>
      <c r="J113" s="252" t="s">
        <v>928</v>
      </c>
      <c r="K113" s="252" t="s">
        <v>3236</v>
      </c>
      <c r="L113" s="252">
        <v>9493.9589199999991</v>
      </c>
      <c r="M113" s="252">
        <v>92</v>
      </c>
      <c r="N113" s="252">
        <v>0</v>
      </c>
      <c r="O113" s="252">
        <v>7336.9565199999997</v>
      </c>
      <c r="P113" s="252">
        <v>0</v>
      </c>
      <c r="Q113" s="252">
        <v>0</v>
      </c>
      <c r="R113" s="252">
        <v>0</v>
      </c>
      <c r="S113" s="252">
        <v>0</v>
      </c>
      <c r="T113" s="252">
        <v>90.004090000000005</v>
      </c>
      <c r="U113" s="252">
        <v>236.25075000000001</v>
      </c>
      <c r="V113" s="252">
        <v>287.00698999999997</v>
      </c>
      <c r="W113" s="252">
        <v>220.51025000000001</v>
      </c>
      <c r="X113" s="252">
        <v>0</v>
      </c>
      <c r="Y113" s="252">
        <v>0</v>
      </c>
      <c r="Z113" s="252">
        <v>1027.15499</v>
      </c>
      <c r="AA113" s="252">
        <v>296.07533000000001</v>
      </c>
      <c r="AB113" s="252">
        <v>0</v>
      </c>
      <c r="AC113" s="252">
        <v>0</v>
      </c>
      <c r="AD113" s="252">
        <v>1</v>
      </c>
      <c r="AE113" s="252" t="s">
        <v>20</v>
      </c>
      <c r="AF113" s="252" t="s">
        <v>718</v>
      </c>
      <c r="AG113" s="252">
        <f t="shared" si="6"/>
        <v>6749.9999983999996</v>
      </c>
      <c r="AH113" s="252">
        <f t="shared" si="7"/>
        <v>0</v>
      </c>
      <c r="AI113" s="252">
        <f t="shared" si="8"/>
        <v>0</v>
      </c>
      <c r="AJ113" s="252">
        <f t="shared" si="9"/>
        <v>6749.9999983999996</v>
      </c>
    </row>
    <row r="114" spans="1:36" x14ac:dyDescent="0.2">
      <c r="A114" s="253" t="str">
        <f t="shared" si="5"/>
        <v>SNBR141212</v>
      </c>
      <c r="B114" s="252" t="s">
        <v>19</v>
      </c>
      <c r="C114" s="252" t="s">
        <v>20</v>
      </c>
      <c r="D114" s="252" t="s">
        <v>2433</v>
      </c>
      <c r="E114" s="252" t="s">
        <v>2434</v>
      </c>
      <c r="F114" s="252" t="s">
        <v>2457</v>
      </c>
      <c r="G114" s="252">
        <v>12</v>
      </c>
      <c r="H114" s="252" t="s">
        <v>928</v>
      </c>
      <c r="I114" s="252" t="s">
        <v>928</v>
      </c>
      <c r="J114" s="252" t="s">
        <v>928</v>
      </c>
      <c r="K114" s="252" t="s">
        <v>3236</v>
      </c>
      <c r="L114" s="252">
        <v>9493.9585999999999</v>
      </c>
      <c r="M114" s="252">
        <v>92</v>
      </c>
      <c r="N114" s="252">
        <v>0</v>
      </c>
      <c r="O114" s="252">
        <v>7336.9553999999998</v>
      </c>
      <c r="P114" s="252">
        <v>0</v>
      </c>
      <c r="Q114" s="252">
        <v>0</v>
      </c>
      <c r="R114" s="252">
        <v>0</v>
      </c>
      <c r="S114" s="252">
        <v>0</v>
      </c>
      <c r="T114" s="252">
        <v>90.000169999999997</v>
      </c>
      <c r="U114" s="252">
        <v>236.25002000000001</v>
      </c>
      <c r="V114" s="252">
        <v>287.00934000000001</v>
      </c>
      <c r="W114" s="252">
        <v>220.51086000000001</v>
      </c>
      <c r="X114" s="252">
        <v>0</v>
      </c>
      <c r="Y114" s="252">
        <v>0</v>
      </c>
      <c r="Z114" s="252">
        <v>1027.1564000000001</v>
      </c>
      <c r="AA114" s="252">
        <v>296.07641000000001</v>
      </c>
      <c r="AB114" s="252">
        <v>0</v>
      </c>
      <c r="AC114" s="252">
        <v>0</v>
      </c>
      <c r="AD114" s="252">
        <v>1</v>
      </c>
      <c r="AE114" s="252" t="s">
        <v>20</v>
      </c>
      <c r="AF114" s="252" t="s">
        <v>718</v>
      </c>
      <c r="AG114" s="252">
        <f t="shared" si="6"/>
        <v>6749.9989679999999</v>
      </c>
      <c r="AH114" s="252">
        <f t="shared" si="7"/>
        <v>0</v>
      </c>
      <c r="AI114" s="252">
        <f t="shared" si="8"/>
        <v>0</v>
      </c>
      <c r="AJ114" s="252">
        <f t="shared" si="9"/>
        <v>6749.9989679999999</v>
      </c>
    </row>
    <row r="115" spans="1:36" x14ac:dyDescent="0.2">
      <c r="A115" s="253" t="str">
        <f t="shared" si="5"/>
        <v>3A5SNBR151212</v>
      </c>
      <c r="B115" s="252" t="s">
        <v>19</v>
      </c>
      <c r="C115" s="252" t="s">
        <v>20</v>
      </c>
      <c r="D115" s="252" t="s">
        <v>2433</v>
      </c>
      <c r="E115" s="252" t="s">
        <v>2434</v>
      </c>
      <c r="F115" s="252" t="s">
        <v>2458</v>
      </c>
      <c r="G115" s="252">
        <v>12</v>
      </c>
      <c r="H115" s="252" t="s">
        <v>928</v>
      </c>
      <c r="I115" s="252" t="s">
        <v>2450</v>
      </c>
      <c r="J115" s="252" t="s">
        <v>928</v>
      </c>
      <c r="K115" s="252" t="s">
        <v>3236</v>
      </c>
      <c r="L115" s="252">
        <v>5556.7486699999999</v>
      </c>
      <c r="M115" s="252">
        <v>93</v>
      </c>
      <c r="N115" s="252">
        <v>0</v>
      </c>
      <c r="O115" s="252">
        <v>3600.2580600000001</v>
      </c>
      <c r="P115" s="252">
        <v>0</v>
      </c>
      <c r="Q115" s="252">
        <v>0</v>
      </c>
      <c r="R115" s="252">
        <v>0</v>
      </c>
      <c r="S115" s="252">
        <v>0</v>
      </c>
      <c r="T115" s="252">
        <v>84.003820000000005</v>
      </c>
      <c r="U115" s="252">
        <v>232.1241</v>
      </c>
      <c r="V115" s="252">
        <v>265.00646</v>
      </c>
      <c r="W115" s="252">
        <v>195.53753</v>
      </c>
      <c r="X115" s="252">
        <v>0</v>
      </c>
      <c r="Y115" s="252">
        <v>0</v>
      </c>
      <c r="Z115" s="252">
        <v>917.49788999999998</v>
      </c>
      <c r="AA115" s="252">
        <v>262.32080999999999</v>
      </c>
      <c r="AB115" s="252">
        <v>0</v>
      </c>
      <c r="AC115" s="252">
        <v>0</v>
      </c>
      <c r="AD115" s="252">
        <v>1</v>
      </c>
      <c r="AE115" s="252" t="s">
        <v>20</v>
      </c>
      <c r="AF115" s="252" t="s">
        <v>718</v>
      </c>
      <c r="AG115" s="252">
        <f t="shared" si="6"/>
        <v>3348.2399958000001</v>
      </c>
      <c r="AH115" s="252">
        <f t="shared" si="7"/>
        <v>0</v>
      </c>
      <c r="AI115" s="252">
        <f t="shared" si="8"/>
        <v>0</v>
      </c>
      <c r="AJ115" s="252">
        <f t="shared" si="9"/>
        <v>3348.2399958000001</v>
      </c>
    </row>
    <row r="116" spans="1:36" x14ac:dyDescent="0.2">
      <c r="A116" s="253" t="str">
        <f t="shared" si="5"/>
        <v>SNBR151212</v>
      </c>
      <c r="B116" s="252" t="s">
        <v>19</v>
      </c>
      <c r="C116" s="252" t="s">
        <v>20</v>
      </c>
      <c r="D116" s="252" t="s">
        <v>2433</v>
      </c>
      <c r="E116" s="252" t="s">
        <v>2434</v>
      </c>
      <c r="F116" s="252" t="s">
        <v>2458</v>
      </c>
      <c r="G116" s="252">
        <v>12</v>
      </c>
      <c r="H116" s="252" t="s">
        <v>928</v>
      </c>
      <c r="I116" s="252" t="s">
        <v>928</v>
      </c>
      <c r="J116" s="252" t="s">
        <v>928</v>
      </c>
      <c r="K116" s="252" t="s">
        <v>3236</v>
      </c>
      <c r="L116" s="252">
        <v>5556.7472799999996</v>
      </c>
      <c r="M116" s="252">
        <v>93</v>
      </c>
      <c r="N116" s="252">
        <v>0</v>
      </c>
      <c r="O116" s="252">
        <v>3600.2582699999998</v>
      </c>
      <c r="P116" s="252">
        <v>0</v>
      </c>
      <c r="Q116" s="252">
        <v>0</v>
      </c>
      <c r="R116" s="252">
        <v>0</v>
      </c>
      <c r="S116" s="252">
        <v>0</v>
      </c>
      <c r="T116" s="252">
        <v>84.003910000000005</v>
      </c>
      <c r="U116" s="252">
        <v>232.12316000000001</v>
      </c>
      <c r="V116" s="252">
        <v>265.00635999999997</v>
      </c>
      <c r="W116" s="252">
        <v>195.53747999999999</v>
      </c>
      <c r="X116" s="252">
        <v>0</v>
      </c>
      <c r="Y116" s="252">
        <v>0</v>
      </c>
      <c r="Z116" s="252">
        <v>917.49774000000002</v>
      </c>
      <c r="AA116" s="252">
        <v>262.32035999999999</v>
      </c>
      <c r="AB116" s="252">
        <v>0</v>
      </c>
      <c r="AC116" s="252">
        <v>0</v>
      </c>
      <c r="AD116" s="252">
        <v>1</v>
      </c>
      <c r="AE116" s="252" t="s">
        <v>20</v>
      </c>
      <c r="AF116" s="252" t="s">
        <v>718</v>
      </c>
      <c r="AG116" s="252">
        <f t="shared" si="6"/>
        <v>3348.2401910999997</v>
      </c>
      <c r="AH116" s="252">
        <f t="shared" si="7"/>
        <v>0</v>
      </c>
      <c r="AI116" s="252">
        <f t="shared" si="8"/>
        <v>0</v>
      </c>
      <c r="AJ116" s="252">
        <f t="shared" si="9"/>
        <v>3348.2401910999997</v>
      </c>
    </row>
    <row r="117" spans="1:36" x14ac:dyDescent="0.2">
      <c r="A117" s="253" t="str">
        <f t="shared" si="5"/>
        <v>3A5SNBR151712</v>
      </c>
      <c r="B117" s="252" t="s">
        <v>19</v>
      </c>
      <c r="C117" s="252" t="s">
        <v>20</v>
      </c>
      <c r="D117" s="252" t="s">
        <v>2433</v>
      </c>
      <c r="E117" s="252" t="s">
        <v>2434</v>
      </c>
      <c r="F117" s="252" t="s">
        <v>2459</v>
      </c>
      <c r="G117" s="252">
        <v>12</v>
      </c>
      <c r="H117" s="252" t="s">
        <v>928</v>
      </c>
      <c r="I117" s="252" t="s">
        <v>2450</v>
      </c>
      <c r="J117" s="252" t="s">
        <v>928</v>
      </c>
      <c r="K117" s="252" t="s">
        <v>3236</v>
      </c>
      <c r="L117" s="252">
        <v>5556.7486699999999</v>
      </c>
      <c r="M117" s="252">
        <v>93</v>
      </c>
      <c r="N117" s="252">
        <v>0</v>
      </c>
      <c r="O117" s="252">
        <v>3600.2580600000001</v>
      </c>
      <c r="P117" s="252">
        <v>0</v>
      </c>
      <c r="Q117" s="252">
        <v>0</v>
      </c>
      <c r="R117" s="252">
        <v>0</v>
      </c>
      <c r="S117" s="252">
        <v>0</v>
      </c>
      <c r="T117" s="252">
        <v>84.003820000000005</v>
      </c>
      <c r="U117" s="252">
        <v>232.1241</v>
      </c>
      <c r="V117" s="252">
        <v>265.00646</v>
      </c>
      <c r="W117" s="252">
        <v>195.53753</v>
      </c>
      <c r="X117" s="252">
        <v>0</v>
      </c>
      <c r="Y117" s="252">
        <v>0</v>
      </c>
      <c r="Z117" s="252">
        <v>917.49788999999998</v>
      </c>
      <c r="AA117" s="252">
        <v>262.32080999999999</v>
      </c>
      <c r="AB117" s="252">
        <v>0</v>
      </c>
      <c r="AC117" s="252">
        <v>0</v>
      </c>
      <c r="AD117" s="252">
        <v>1</v>
      </c>
      <c r="AE117" s="252" t="s">
        <v>20</v>
      </c>
      <c r="AF117" s="252" t="s">
        <v>718</v>
      </c>
      <c r="AG117" s="252">
        <f t="shared" si="6"/>
        <v>3348.2399958000001</v>
      </c>
      <c r="AH117" s="252">
        <f t="shared" si="7"/>
        <v>0</v>
      </c>
      <c r="AI117" s="252">
        <f t="shared" si="8"/>
        <v>0</v>
      </c>
      <c r="AJ117" s="252">
        <f t="shared" si="9"/>
        <v>3348.2399958000001</v>
      </c>
    </row>
    <row r="118" spans="1:36" x14ac:dyDescent="0.2">
      <c r="A118" s="253" t="str">
        <f t="shared" si="5"/>
        <v>SNBR151712</v>
      </c>
      <c r="B118" s="252" t="s">
        <v>19</v>
      </c>
      <c r="C118" s="252" t="s">
        <v>20</v>
      </c>
      <c r="D118" s="252" t="s">
        <v>2433</v>
      </c>
      <c r="E118" s="252" t="s">
        <v>2434</v>
      </c>
      <c r="F118" s="252" t="s">
        <v>2459</v>
      </c>
      <c r="G118" s="252">
        <v>12</v>
      </c>
      <c r="H118" s="252" t="s">
        <v>928</v>
      </c>
      <c r="I118" s="252" t="s">
        <v>928</v>
      </c>
      <c r="J118" s="252" t="s">
        <v>928</v>
      </c>
      <c r="K118" s="252" t="s">
        <v>3236</v>
      </c>
      <c r="L118" s="252">
        <v>5556.7476800000004</v>
      </c>
      <c r="M118" s="252">
        <v>93</v>
      </c>
      <c r="N118" s="252">
        <v>0</v>
      </c>
      <c r="O118" s="252">
        <v>3600.2571800000001</v>
      </c>
      <c r="P118" s="252">
        <v>0</v>
      </c>
      <c r="Q118" s="252">
        <v>0</v>
      </c>
      <c r="R118" s="252">
        <v>0</v>
      </c>
      <c r="S118" s="252">
        <v>0</v>
      </c>
      <c r="T118" s="252">
        <v>84.003609999999995</v>
      </c>
      <c r="U118" s="252">
        <v>232.12414999999999</v>
      </c>
      <c r="V118" s="252">
        <v>265.00671</v>
      </c>
      <c r="W118" s="252">
        <v>195.53701000000001</v>
      </c>
      <c r="X118" s="252">
        <v>0</v>
      </c>
      <c r="Y118" s="252">
        <v>0</v>
      </c>
      <c r="Z118" s="252">
        <v>917.49829</v>
      </c>
      <c r="AA118" s="252">
        <v>262.32073000000003</v>
      </c>
      <c r="AB118" s="252">
        <v>0</v>
      </c>
      <c r="AC118" s="252">
        <v>0</v>
      </c>
      <c r="AD118" s="252">
        <v>1</v>
      </c>
      <c r="AE118" s="252" t="s">
        <v>20</v>
      </c>
      <c r="AF118" s="252" t="s">
        <v>718</v>
      </c>
      <c r="AG118" s="252">
        <f t="shared" si="6"/>
        <v>3348.2391774000002</v>
      </c>
      <c r="AH118" s="252">
        <f t="shared" si="7"/>
        <v>0</v>
      </c>
      <c r="AI118" s="252">
        <f t="shared" si="8"/>
        <v>0</v>
      </c>
      <c r="AJ118" s="252">
        <f t="shared" si="9"/>
        <v>3348.2391774000002</v>
      </c>
    </row>
    <row r="119" spans="1:36" x14ac:dyDescent="0.2">
      <c r="A119" s="253" t="str">
        <f t="shared" si="5"/>
        <v>33SNBR1712TTB10</v>
      </c>
      <c r="B119" s="252" t="s">
        <v>19</v>
      </c>
      <c r="C119" s="252" t="s">
        <v>20</v>
      </c>
      <c r="D119" s="252" t="s">
        <v>2433</v>
      </c>
      <c r="E119" s="252" t="s">
        <v>2434</v>
      </c>
      <c r="F119" s="252" t="s">
        <v>2460</v>
      </c>
      <c r="G119" s="252">
        <v>10</v>
      </c>
      <c r="H119" s="252" t="s">
        <v>928</v>
      </c>
      <c r="I119" s="252" t="s">
        <v>2406</v>
      </c>
      <c r="J119" s="252" t="s">
        <v>928</v>
      </c>
      <c r="K119" s="252" t="s">
        <v>3236</v>
      </c>
      <c r="L119" s="252">
        <v>2494.1958100000002</v>
      </c>
      <c r="M119" s="252">
        <v>100</v>
      </c>
      <c r="N119" s="252">
        <v>0</v>
      </c>
      <c r="O119" s="252">
        <v>0</v>
      </c>
      <c r="P119" s="252">
        <v>0</v>
      </c>
      <c r="Q119" s="252">
        <v>0</v>
      </c>
      <c r="R119" s="252">
        <v>0</v>
      </c>
      <c r="S119" s="252">
        <v>0</v>
      </c>
      <c r="T119" s="252">
        <v>1014.99852</v>
      </c>
      <c r="U119" s="252">
        <v>0</v>
      </c>
      <c r="V119" s="252">
        <v>15.553940000000001</v>
      </c>
      <c r="W119" s="252">
        <v>337.50833999999998</v>
      </c>
      <c r="X119" s="252">
        <v>0</v>
      </c>
      <c r="Y119" s="252">
        <v>0</v>
      </c>
      <c r="Z119" s="252">
        <v>719.83794999999998</v>
      </c>
      <c r="AA119" s="252">
        <v>406.29705999999999</v>
      </c>
      <c r="AB119" s="252">
        <v>0</v>
      </c>
      <c r="AC119" s="252">
        <v>0</v>
      </c>
      <c r="AD119" s="252">
        <v>1</v>
      </c>
      <c r="AE119" s="252" t="s">
        <v>20</v>
      </c>
      <c r="AF119" s="252" t="s">
        <v>718</v>
      </c>
      <c r="AG119" s="252">
        <f t="shared" si="6"/>
        <v>0</v>
      </c>
      <c r="AH119" s="252">
        <f t="shared" si="7"/>
        <v>0</v>
      </c>
      <c r="AI119" s="252">
        <f t="shared" si="8"/>
        <v>0</v>
      </c>
      <c r="AJ119" s="252">
        <f t="shared" si="9"/>
        <v>0</v>
      </c>
    </row>
    <row r="120" spans="1:36" x14ac:dyDescent="0.2">
      <c r="A120" s="253" t="str">
        <f t="shared" si="5"/>
        <v>3A5SNBR1712TTB10</v>
      </c>
      <c r="B120" s="252" t="s">
        <v>19</v>
      </c>
      <c r="C120" s="252" t="s">
        <v>20</v>
      </c>
      <c r="D120" s="252" t="s">
        <v>2433</v>
      </c>
      <c r="E120" s="252" t="s">
        <v>2434</v>
      </c>
      <c r="F120" s="252" t="s">
        <v>2460</v>
      </c>
      <c r="G120" s="252">
        <v>10</v>
      </c>
      <c r="H120" s="252" t="s">
        <v>928</v>
      </c>
      <c r="I120" s="252" t="s">
        <v>2450</v>
      </c>
      <c r="J120" s="252" t="s">
        <v>928</v>
      </c>
      <c r="K120" s="252" t="s">
        <v>3236</v>
      </c>
      <c r="L120" s="252">
        <v>6796.5528999999997</v>
      </c>
      <c r="M120" s="252">
        <v>88</v>
      </c>
      <c r="N120" s="252">
        <v>0</v>
      </c>
      <c r="O120" s="252">
        <v>2068.1818199999998</v>
      </c>
      <c r="P120" s="252">
        <v>1554.61454</v>
      </c>
      <c r="Q120" s="252">
        <v>0</v>
      </c>
      <c r="R120" s="252">
        <v>0</v>
      </c>
      <c r="S120" s="252">
        <v>0</v>
      </c>
      <c r="T120" s="252">
        <v>95.004320000000007</v>
      </c>
      <c r="U120" s="252">
        <v>237.28241</v>
      </c>
      <c r="V120" s="252">
        <v>203.00495000000001</v>
      </c>
      <c r="W120" s="252">
        <v>186.78743</v>
      </c>
      <c r="X120" s="252">
        <v>0</v>
      </c>
      <c r="Y120" s="252">
        <v>0</v>
      </c>
      <c r="Z120" s="252">
        <v>914.47981000000004</v>
      </c>
      <c r="AA120" s="252">
        <v>257.49874</v>
      </c>
      <c r="AB120" s="252">
        <v>1279.6988799999999</v>
      </c>
      <c r="AC120" s="252">
        <v>0</v>
      </c>
      <c r="AD120" s="252">
        <v>1</v>
      </c>
      <c r="AE120" s="252" t="s">
        <v>20</v>
      </c>
      <c r="AF120" s="252" t="s">
        <v>718</v>
      </c>
      <c r="AG120" s="252">
        <f t="shared" si="6"/>
        <v>1820.0000015999999</v>
      </c>
      <c r="AH120" s="252">
        <f t="shared" si="7"/>
        <v>1368.0607952</v>
      </c>
      <c r="AI120" s="252">
        <f t="shared" si="8"/>
        <v>1126.1350143999998</v>
      </c>
      <c r="AJ120" s="252">
        <f t="shared" si="9"/>
        <v>4314.1958111999993</v>
      </c>
    </row>
    <row r="121" spans="1:36" x14ac:dyDescent="0.2">
      <c r="A121" s="253" t="str">
        <f t="shared" si="5"/>
        <v>SNBR1712TTB10</v>
      </c>
      <c r="B121" s="252" t="s">
        <v>19</v>
      </c>
      <c r="C121" s="252" t="s">
        <v>20</v>
      </c>
      <c r="D121" s="252" t="s">
        <v>2433</v>
      </c>
      <c r="E121" s="252" t="s">
        <v>2434</v>
      </c>
      <c r="F121" s="252" t="s">
        <v>2460</v>
      </c>
      <c r="G121" s="252">
        <v>10</v>
      </c>
      <c r="H121" s="252" t="s">
        <v>928</v>
      </c>
      <c r="I121" s="252" t="s">
        <v>928</v>
      </c>
      <c r="J121" s="252" t="s">
        <v>928</v>
      </c>
      <c r="K121" s="252" t="s">
        <v>3236</v>
      </c>
      <c r="L121" s="252">
        <v>6796.5528199999999</v>
      </c>
      <c r="M121" s="252">
        <v>88</v>
      </c>
      <c r="N121" s="252">
        <v>0</v>
      </c>
      <c r="O121" s="252">
        <v>2068.1818499999999</v>
      </c>
      <c r="P121" s="252">
        <v>1554.61448</v>
      </c>
      <c r="Q121" s="252">
        <v>0</v>
      </c>
      <c r="R121" s="252">
        <v>0</v>
      </c>
      <c r="S121" s="252">
        <v>0</v>
      </c>
      <c r="T121" s="252">
        <v>95.004369999999994</v>
      </c>
      <c r="U121" s="252">
        <v>237.28238999999999</v>
      </c>
      <c r="V121" s="252">
        <v>203.00493</v>
      </c>
      <c r="W121" s="252">
        <v>186.78739999999999</v>
      </c>
      <c r="X121" s="252">
        <v>0</v>
      </c>
      <c r="Y121" s="252">
        <v>0</v>
      </c>
      <c r="Z121" s="252">
        <v>914.47982999999999</v>
      </c>
      <c r="AA121" s="252">
        <v>257.49867</v>
      </c>
      <c r="AB121" s="252">
        <v>1279.6989000000001</v>
      </c>
      <c r="AC121" s="252">
        <v>0</v>
      </c>
      <c r="AD121" s="252">
        <v>1</v>
      </c>
      <c r="AE121" s="252" t="s">
        <v>20</v>
      </c>
      <c r="AF121" s="252" t="s">
        <v>718</v>
      </c>
      <c r="AG121" s="252">
        <f t="shared" si="6"/>
        <v>1820.0000279999999</v>
      </c>
      <c r="AH121" s="252">
        <f t="shared" si="7"/>
        <v>1368.0607424</v>
      </c>
      <c r="AI121" s="252">
        <f t="shared" si="8"/>
        <v>1126.1350320000001</v>
      </c>
      <c r="AJ121" s="252">
        <f t="shared" si="9"/>
        <v>4314.1958023999996</v>
      </c>
    </row>
    <row r="122" spans="1:36" x14ac:dyDescent="0.2">
      <c r="A122" s="253" t="str">
        <f t="shared" si="5"/>
        <v>33SNBR1712TTB12</v>
      </c>
      <c r="B122" s="252" t="s">
        <v>19</v>
      </c>
      <c r="C122" s="252" t="s">
        <v>20</v>
      </c>
      <c r="D122" s="252" t="s">
        <v>2433</v>
      </c>
      <c r="E122" s="252" t="s">
        <v>2434</v>
      </c>
      <c r="F122" s="252" t="s">
        <v>2460</v>
      </c>
      <c r="G122" s="252">
        <v>12</v>
      </c>
      <c r="H122" s="252" t="s">
        <v>928</v>
      </c>
      <c r="I122" s="252" t="s">
        <v>2406</v>
      </c>
      <c r="J122" s="252" t="s">
        <v>928</v>
      </c>
      <c r="K122" s="252" t="s">
        <v>3236</v>
      </c>
      <c r="L122" s="252">
        <v>2494.1958100000002</v>
      </c>
      <c r="M122" s="252">
        <v>100</v>
      </c>
      <c r="N122" s="252">
        <v>0</v>
      </c>
      <c r="O122" s="252">
        <v>0</v>
      </c>
      <c r="P122" s="252">
        <v>0</v>
      </c>
      <c r="Q122" s="252">
        <v>0</v>
      </c>
      <c r="R122" s="252">
        <v>0</v>
      </c>
      <c r="S122" s="252">
        <v>0</v>
      </c>
      <c r="T122" s="252">
        <v>1014.99852</v>
      </c>
      <c r="U122" s="252">
        <v>0</v>
      </c>
      <c r="V122" s="252">
        <v>15.553940000000001</v>
      </c>
      <c r="W122" s="252">
        <v>337.50833999999998</v>
      </c>
      <c r="X122" s="252">
        <v>0</v>
      </c>
      <c r="Y122" s="252">
        <v>0</v>
      </c>
      <c r="Z122" s="252">
        <v>719.83794999999998</v>
      </c>
      <c r="AA122" s="252">
        <v>406.29705999999999</v>
      </c>
      <c r="AB122" s="252">
        <v>0</v>
      </c>
      <c r="AC122" s="252">
        <v>0</v>
      </c>
      <c r="AD122" s="252">
        <v>1</v>
      </c>
      <c r="AE122" s="252" t="s">
        <v>20</v>
      </c>
      <c r="AF122" s="252" t="s">
        <v>718</v>
      </c>
      <c r="AG122" s="252">
        <f t="shared" si="6"/>
        <v>0</v>
      </c>
      <c r="AH122" s="252">
        <f t="shared" si="7"/>
        <v>0</v>
      </c>
      <c r="AI122" s="252">
        <f t="shared" si="8"/>
        <v>0</v>
      </c>
      <c r="AJ122" s="252">
        <f t="shared" si="9"/>
        <v>0</v>
      </c>
    </row>
    <row r="123" spans="1:36" x14ac:dyDescent="0.2">
      <c r="A123" s="253" t="str">
        <f t="shared" si="5"/>
        <v>3A5SNBR1712TTB12</v>
      </c>
      <c r="B123" s="252" t="s">
        <v>19</v>
      </c>
      <c r="C123" s="252" t="s">
        <v>20</v>
      </c>
      <c r="D123" s="252" t="s">
        <v>2433</v>
      </c>
      <c r="E123" s="252" t="s">
        <v>2434</v>
      </c>
      <c r="F123" s="252" t="s">
        <v>2460</v>
      </c>
      <c r="G123" s="252">
        <v>12</v>
      </c>
      <c r="H123" s="252" t="s">
        <v>928</v>
      </c>
      <c r="I123" s="252" t="s">
        <v>2450</v>
      </c>
      <c r="J123" s="252" t="s">
        <v>928</v>
      </c>
      <c r="K123" s="252" t="s">
        <v>3236</v>
      </c>
      <c r="L123" s="252">
        <v>7464.52772</v>
      </c>
      <c r="M123" s="252">
        <v>90</v>
      </c>
      <c r="N123" s="252">
        <v>0</v>
      </c>
      <c r="O123" s="252">
        <v>2835.5555599999998</v>
      </c>
      <c r="P123" s="252">
        <v>1520.06756</v>
      </c>
      <c r="Q123" s="252">
        <v>0</v>
      </c>
      <c r="R123" s="252">
        <v>0</v>
      </c>
      <c r="S123" s="252">
        <v>0</v>
      </c>
      <c r="T123" s="252">
        <v>93.004220000000004</v>
      </c>
      <c r="U123" s="252">
        <v>237.28241</v>
      </c>
      <c r="V123" s="252">
        <v>199.00485</v>
      </c>
      <c r="W123" s="252">
        <v>182.28050999999999</v>
      </c>
      <c r="X123" s="252">
        <v>0</v>
      </c>
      <c r="Y123" s="252">
        <v>0</v>
      </c>
      <c r="Z123" s="252">
        <v>894.35924</v>
      </c>
      <c r="AA123" s="252">
        <v>251.71225000000001</v>
      </c>
      <c r="AB123" s="252">
        <v>1251.2611199999999</v>
      </c>
      <c r="AC123" s="252">
        <v>0</v>
      </c>
      <c r="AD123" s="252">
        <v>1</v>
      </c>
      <c r="AE123" s="252" t="s">
        <v>20</v>
      </c>
      <c r="AF123" s="252" t="s">
        <v>718</v>
      </c>
      <c r="AG123" s="252">
        <f t="shared" si="6"/>
        <v>2552.000004</v>
      </c>
      <c r="AH123" s="252">
        <f t="shared" si="7"/>
        <v>1368.060804</v>
      </c>
      <c r="AI123" s="252">
        <f t="shared" si="8"/>
        <v>1126.135008</v>
      </c>
      <c r="AJ123" s="252">
        <f t="shared" si="9"/>
        <v>5046.1958160000004</v>
      </c>
    </row>
    <row r="124" spans="1:36" x14ac:dyDescent="0.2">
      <c r="A124" s="253" t="str">
        <f t="shared" si="5"/>
        <v>SNBR1712TTB12</v>
      </c>
      <c r="B124" s="252" t="s">
        <v>19</v>
      </c>
      <c r="C124" s="252" t="s">
        <v>20</v>
      </c>
      <c r="D124" s="252" t="s">
        <v>2433</v>
      </c>
      <c r="E124" s="252" t="s">
        <v>2434</v>
      </c>
      <c r="F124" s="252" t="s">
        <v>2460</v>
      </c>
      <c r="G124" s="252">
        <v>12</v>
      </c>
      <c r="H124" s="252" t="s">
        <v>928</v>
      </c>
      <c r="I124" s="252" t="s">
        <v>928</v>
      </c>
      <c r="J124" s="252" t="s">
        <v>928</v>
      </c>
      <c r="K124" s="252" t="s">
        <v>3236</v>
      </c>
      <c r="L124" s="252">
        <v>7464.5277999999998</v>
      </c>
      <c r="M124" s="252">
        <v>90</v>
      </c>
      <c r="N124" s="252">
        <v>0</v>
      </c>
      <c r="O124" s="252">
        <v>2835.5561600000001</v>
      </c>
      <c r="P124" s="252">
        <v>1520.0672999999999</v>
      </c>
      <c r="Q124" s="252">
        <v>0</v>
      </c>
      <c r="R124" s="252">
        <v>0</v>
      </c>
      <c r="S124" s="252">
        <v>0</v>
      </c>
      <c r="T124" s="252">
        <v>93.003979999999999</v>
      </c>
      <c r="U124" s="252">
        <v>237.28258</v>
      </c>
      <c r="V124" s="252">
        <v>199.00504000000001</v>
      </c>
      <c r="W124" s="252">
        <v>182.28005999999999</v>
      </c>
      <c r="X124" s="252">
        <v>0</v>
      </c>
      <c r="Y124" s="252">
        <v>0</v>
      </c>
      <c r="Z124" s="252">
        <v>894.35918000000004</v>
      </c>
      <c r="AA124" s="252">
        <v>251.71244999999999</v>
      </c>
      <c r="AB124" s="252">
        <v>1251.2610500000001</v>
      </c>
      <c r="AC124" s="252">
        <v>0</v>
      </c>
      <c r="AD124" s="252">
        <v>1</v>
      </c>
      <c r="AE124" s="252" t="s">
        <v>20</v>
      </c>
      <c r="AF124" s="252" t="s">
        <v>718</v>
      </c>
      <c r="AG124" s="252">
        <f t="shared" si="6"/>
        <v>2552.0005440000004</v>
      </c>
      <c r="AH124" s="252">
        <f t="shared" si="7"/>
        <v>1368.0605700000001</v>
      </c>
      <c r="AI124" s="252">
        <f t="shared" si="8"/>
        <v>1126.134945</v>
      </c>
      <c r="AJ124" s="252">
        <f t="shared" si="9"/>
        <v>5046.1960590000008</v>
      </c>
    </row>
    <row r="125" spans="1:36" x14ac:dyDescent="0.2">
      <c r="A125" s="253" t="str">
        <f t="shared" si="5"/>
        <v>3C5SNBR18129</v>
      </c>
      <c r="B125" s="252" t="s">
        <v>19</v>
      </c>
      <c r="C125" s="252" t="s">
        <v>20</v>
      </c>
      <c r="D125" s="252" t="s">
        <v>2433</v>
      </c>
      <c r="E125" s="252" t="s">
        <v>2434</v>
      </c>
      <c r="F125" s="252" t="s">
        <v>2461</v>
      </c>
      <c r="G125" s="252">
        <v>9</v>
      </c>
      <c r="H125" s="252" t="s">
        <v>928</v>
      </c>
      <c r="I125" s="252" t="s">
        <v>2455</v>
      </c>
      <c r="J125" s="252" t="s">
        <v>928</v>
      </c>
      <c r="K125" s="252" t="s">
        <v>3236</v>
      </c>
      <c r="L125" s="252">
        <v>4981.2741599999999</v>
      </c>
      <c r="M125" s="252">
        <v>93</v>
      </c>
      <c r="N125" s="252">
        <v>0</v>
      </c>
      <c r="O125" s="252">
        <v>3209.6129000000001</v>
      </c>
      <c r="P125" s="252">
        <v>0</v>
      </c>
      <c r="Q125" s="252">
        <v>0</v>
      </c>
      <c r="R125" s="252">
        <v>0</v>
      </c>
      <c r="S125" s="252">
        <v>0</v>
      </c>
      <c r="T125" s="252">
        <v>84.003820000000005</v>
      </c>
      <c r="U125" s="252">
        <v>120.70453000000001</v>
      </c>
      <c r="V125" s="252">
        <v>265.00646</v>
      </c>
      <c r="W125" s="252">
        <v>193.18124</v>
      </c>
      <c r="X125" s="252">
        <v>0</v>
      </c>
      <c r="Y125" s="252">
        <v>0</v>
      </c>
      <c r="Z125" s="252">
        <v>855.12413000000004</v>
      </c>
      <c r="AA125" s="252">
        <v>253.64107999999999</v>
      </c>
      <c r="AB125" s="252">
        <v>0</v>
      </c>
      <c r="AC125" s="252">
        <v>0</v>
      </c>
      <c r="AD125" s="252">
        <v>1</v>
      </c>
      <c r="AE125" s="252" t="s">
        <v>20</v>
      </c>
      <c r="AF125" s="252" t="s">
        <v>718</v>
      </c>
      <c r="AG125" s="252">
        <f t="shared" si="6"/>
        <v>2984.9399969999999</v>
      </c>
      <c r="AH125" s="252">
        <f t="shared" si="7"/>
        <v>0</v>
      </c>
      <c r="AI125" s="252">
        <f t="shared" si="8"/>
        <v>0</v>
      </c>
      <c r="AJ125" s="252">
        <f t="shared" si="9"/>
        <v>2984.9399969999999</v>
      </c>
    </row>
    <row r="126" spans="1:36" x14ac:dyDescent="0.2">
      <c r="A126" s="253" t="str">
        <f t="shared" si="5"/>
        <v>SNBR18129</v>
      </c>
      <c r="B126" s="252" t="s">
        <v>19</v>
      </c>
      <c r="C126" s="252" t="s">
        <v>20</v>
      </c>
      <c r="D126" s="252" t="s">
        <v>2433</v>
      </c>
      <c r="E126" s="252" t="s">
        <v>2434</v>
      </c>
      <c r="F126" s="252" t="s">
        <v>2461</v>
      </c>
      <c r="G126" s="252">
        <v>9</v>
      </c>
      <c r="H126" s="252" t="s">
        <v>928</v>
      </c>
      <c r="I126" s="252" t="s">
        <v>928</v>
      </c>
      <c r="J126" s="252" t="s">
        <v>928</v>
      </c>
      <c r="K126" s="252" t="s">
        <v>3236</v>
      </c>
      <c r="L126" s="252">
        <v>4981.2707899999996</v>
      </c>
      <c r="M126" s="252">
        <v>93</v>
      </c>
      <c r="N126" s="252">
        <v>0</v>
      </c>
      <c r="O126" s="252">
        <v>3209.61265</v>
      </c>
      <c r="P126" s="252">
        <v>0</v>
      </c>
      <c r="Q126" s="252">
        <v>0</v>
      </c>
      <c r="R126" s="252">
        <v>0</v>
      </c>
      <c r="S126" s="252">
        <v>0</v>
      </c>
      <c r="T126" s="252">
        <v>84.004199999999997</v>
      </c>
      <c r="U126" s="252">
        <v>120.70388</v>
      </c>
      <c r="V126" s="252">
        <v>265.00652000000002</v>
      </c>
      <c r="W126" s="252">
        <v>193.18107000000001</v>
      </c>
      <c r="X126" s="252">
        <v>0</v>
      </c>
      <c r="Y126" s="252">
        <v>0</v>
      </c>
      <c r="Z126" s="252">
        <v>855.12343999999996</v>
      </c>
      <c r="AA126" s="252">
        <v>253.63902999999999</v>
      </c>
      <c r="AB126" s="252">
        <v>0</v>
      </c>
      <c r="AC126" s="252">
        <v>0</v>
      </c>
      <c r="AD126" s="252">
        <v>1</v>
      </c>
      <c r="AE126" s="252" t="s">
        <v>20</v>
      </c>
      <c r="AF126" s="252" t="s">
        <v>718</v>
      </c>
      <c r="AG126" s="252">
        <f t="shared" si="6"/>
        <v>2984.9397645000004</v>
      </c>
      <c r="AH126" s="252">
        <f t="shared" si="7"/>
        <v>0</v>
      </c>
      <c r="AI126" s="252">
        <f t="shared" si="8"/>
        <v>0</v>
      </c>
      <c r="AJ126" s="252">
        <f t="shared" si="9"/>
        <v>2984.9397645000004</v>
      </c>
    </row>
    <row r="127" spans="1:36" x14ac:dyDescent="0.2">
      <c r="A127" s="253" t="str">
        <f t="shared" si="5"/>
        <v>3ASNBRON701215</v>
      </c>
      <c r="B127" s="252" t="s">
        <v>19</v>
      </c>
      <c r="C127" s="252" t="s">
        <v>20</v>
      </c>
      <c r="D127" s="252" t="s">
        <v>2462</v>
      </c>
      <c r="E127" s="252" t="s">
        <v>2463</v>
      </c>
      <c r="F127" s="252" t="s">
        <v>2464</v>
      </c>
      <c r="G127" s="252">
        <v>15</v>
      </c>
      <c r="H127" s="252" t="s">
        <v>928</v>
      </c>
      <c r="I127" s="252" t="s">
        <v>2395</v>
      </c>
      <c r="J127" s="252" t="s">
        <v>928</v>
      </c>
      <c r="K127" s="252" t="s">
        <v>3236</v>
      </c>
      <c r="L127" s="252">
        <v>12877.262199999999</v>
      </c>
      <c r="M127" s="252">
        <v>90</v>
      </c>
      <c r="N127" s="252">
        <v>0</v>
      </c>
      <c r="O127" s="252">
        <v>9333.3333299999995</v>
      </c>
      <c r="P127" s="252">
        <v>0</v>
      </c>
      <c r="Q127" s="252">
        <v>0</v>
      </c>
      <c r="R127" s="252">
        <v>0</v>
      </c>
      <c r="S127" s="252">
        <v>0</v>
      </c>
      <c r="T127" s="252">
        <v>176.00800000000001</v>
      </c>
      <c r="U127" s="252">
        <v>285.77055999999999</v>
      </c>
      <c r="V127" s="252">
        <v>233.00568000000001</v>
      </c>
      <c r="W127" s="252">
        <v>628.32964000000004</v>
      </c>
      <c r="X127" s="252">
        <v>0</v>
      </c>
      <c r="Y127" s="252">
        <v>0</v>
      </c>
      <c r="Z127" s="252">
        <v>1533.1872699999999</v>
      </c>
      <c r="AA127" s="252">
        <v>687.62771999999995</v>
      </c>
      <c r="AB127" s="252">
        <v>0</v>
      </c>
      <c r="AC127" s="252">
        <v>0</v>
      </c>
      <c r="AD127" s="252">
        <v>1</v>
      </c>
      <c r="AE127" s="252" t="s">
        <v>20</v>
      </c>
      <c r="AF127" s="252" t="s">
        <v>718</v>
      </c>
      <c r="AG127" s="252">
        <f t="shared" si="6"/>
        <v>8399.999996999999</v>
      </c>
      <c r="AH127" s="252">
        <f t="shared" si="7"/>
        <v>0</v>
      </c>
      <c r="AI127" s="252">
        <f t="shared" si="8"/>
        <v>0</v>
      </c>
      <c r="AJ127" s="252">
        <f t="shared" si="9"/>
        <v>8399.999996999999</v>
      </c>
    </row>
    <row r="128" spans="1:36" x14ac:dyDescent="0.2">
      <c r="A128" s="253" t="str">
        <f t="shared" si="5"/>
        <v>SNBRON701215</v>
      </c>
      <c r="B128" s="252" t="s">
        <v>19</v>
      </c>
      <c r="C128" s="252" t="s">
        <v>20</v>
      </c>
      <c r="D128" s="252" t="s">
        <v>2462</v>
      </c>
      <c r="E128" s="252" t="s">
        <v>2463</v>
      </c>
      <c r="F128" s="252" t="s">
        <v>2464</v>
      </c>
      <c r="G128" s="252">
        <v>15</v>
      </c>
      <c r="H128" s="252" t="s">
        <v>928</v>
      </c>
      <c r="I128" s="252" t="s">
        <v>928</v>
      </c>
      <c r="J128" s="252" t="s">
        <v>928</v>
      </c>
      <c r="K128" s="252" t="s">
        <v>3236</v>
      </c>
      <c r="L128" s="252">
        <v>12877.263269999999</v>
      </c>
      <c r="M128" s="252">
        <v>90</v>
      </c>
      <c r="N128" s="252">
        <v>0</v>
      </c>
      <c r="O128" s="252">
        <v>9333.3333299999995</v>
      </c>
      <c r="P128" s="252">
        <v>0</v>
      </c>
      <c r="Q128" s="252">
        <v>0</v>
      </c>
      <c r="R128" s="252">
        <v>0</v>
      </c>
      <c r="S128" s="252">
        <v>0</v>
      </c>
      <c r="T128" s="252">
        <v>176.00479000000001</v>
      </c>
      <c r="U128" s="252">
        <v>285.76978000000003</v>
      </c>
      <c r="V128" s="252">
        <v>233.00837999999999</v>
      </c>
      <c r="W128" s="252">
        <v>628.32898</v>
      </c>
      <c r="X128" s="252">
        <v>0</v>
      </c>
      <c r="Y128" s="252">
        <v>0</v>
      </c>
      <c r="Z128" s="252">
        <v>1533.1900599999999</v>
      </c>
      <c r="AA128" s="252">
        <v>687.62795000000006</v>
      </c>
      <c r="AB128" s="252">
        <v>0</v>
      </c>
      <c r="AC128" s="252">
        <v>0</v>
      </c>
      <c r="AD128" s="252">
        <v>1</v>
      </c>
      <c r="AE128" s="252" t="s">
        <v>20</v>
      </c>
      <c r="AF128" s="252" t="s">
        <v>718</v>
      </c>
      <c r="AG128" s="252">
        <f t="shared" si="6"/>
        <v>8399.999996999999</v>
      </c>
      <c r="AH128" s="252">
        <f t="shared" si="7"/>
        <v>0</v>
      </c>
      <c r="AI128" s="252">
        <f t="shared" si="8"/>
        <v>0</v>
      </c>
      <c r="AJ128" s="252">
        <f t="shared" si="9"/>
        <v>8399.999996999999</v>
      </c>
    </row>
    <row r="129" spans="1:36" x14ac:dyDescent="0.2">
      <c r="A129" s="253" t="str">
        <f t="shared" si="5"/>
        <v>3SNCERABKE0938</v>
      </c>
      <c r="B129" s="252" t="s">
        <v>19</v>
      </c>
      <c r="C129" s="252" t="s">
        <v>20</v>
      </c>
      <c r="D129" s="252" t="s">
        <v>21</v>
      </c>
      <c r="E129" s="252" t="s">
        <v>719</v>
      </c>
      <c r="F129" s="252" t="s">
        <v>22</v>
      </c>
      <c r="G129" s="252">
        <v>38</v>
      </c>
      <c r="H129" s="252" t="s">
        <v>928</v>
      </c>
      <c r="I129" s="252" t="s">
        <v>2465</v>
      </c>
      <c r="J129" s="252" t="s">
        <v>928</v>
      </c>
      <c r="K129" s="252" t="s">
        <v>3236</v>
      </c>
      <c r="L129" s="252">
        <v>11.103</v>
      </c>
      <c r="M129" s="252">
        <v>98.2</v>
      </c>
      <c r="N129" s="252">
        <v>0</v>
      </c>
      <c r="O129" s="252">
        <v>0</v>
      </c>
      <c r="P129" s="252">
        <v>0</v>
      </c>
      <c r="Q129" s="252">
        <v>0</v>
      </c>
      <c r="R129" s="252">
        <v>0</v>
      </c>
      <c r="S129" s="252">
        <v>0</v>
      </c>
      <c r="T129" s="252">
        <v>3.7300300000000002</v>
      </c>
      <c r="U129" s="252">
        <v>0.84802</v>
      </c>
      <c r="V129" s="252">
        <v>0.35196</v>
      </c>
      <c r="W129" s="252">
        <v>1.3599399999999999</v>
      </c>
      <c r="X129" s="252">
        <v>0</v>
      </c>
      <c r="Y129" s="252">
        <v>0</v>
      </c>
      <c r="Z129" s="252">
        <v>2.9693800000000001</v>
      </c>
      <c r="AA129" s="252">
        <v>1.8436699999999999</v>
      </c>
      <c r="AB129" s="252">
        <v>0</v>
      </c>
      <c r="AC129" s="252">
        <v>0</v>
      </c>
      <c r="AD129" s="252">
        <v>1</v>
      </c>
      <c r="AE129" s="252" t="s">
        <v>20</v>
      </c>
      <c r="AF129" s="252" t="s">
        <v>718</v>
      </c>
      <c r="AG129" s="252">
        <f t="shared" si="6"/>
        <v>0</v>
      </c>
      <c r="AH129" s="252">
        <f t="shared" si="7"/>
        <v>0</v>
      </c>
      <c r="AI129" s="252">
        <f t="shared" si="8"/>
        <v>0</v>
      </c>
      <c r="AJ129" s="252">
        <f t="shared" si="9"/>
        <v>0</v>
      </c>
    </row>
    <row r="130" spans="1:36" x14ac:dyDescent="0.2">
      <c r="A130" s="253" t="str">
        <f t="shared" si="5"/>
        <v>331SNCERABKE0938</v>
      </c>
      <c r="B130" s="252" t="s">
        <v>19</v>
      </c>
      <c r="C130" s="252" t="s">
        <v>20</v>
      </c>
      <c r="D130" s="252" t="s">
        <v>21</v>
      </c>
      <c r="E130" s="252" t="s">
        <v>719</v>
      </c>
      <c r="F130" s="252" t="s">
        <v>22</v>
      </c>
      <c r="G130" s="252">
        <v>38</v>
      </c>
      <c r="H130" s="252" t="s">
        <v>928</v>
      </c>
      <c r="I130" s="252" t="s">
        <v>2466</v>
      </c>
      <c r="J130" s="252" t="s">
        <v>928</v>
      </c>
      <c r="K130" s="252" t="s">
        <v>3236</v>
      </c>
      <c r="L130" s="252">
        <v>9.4047199999999993</v>
      </c>
      <c r="M130" s="252">
        <v>96.8</v>
      </c>
      <c r="N130" s="252">
        <v>0</v>
      </c>
      <c r="O130" s="252">
        <v>0</v>
      </c>
      <c r="P130" s="252">
        <v>0</v>
      </c>
      <c r="Q130" s="252">
        <v>0</v>
      </c>
      <c r="R130" s="252">
        <v>0</v>
      </c>
      <c r="S130" s="252">
        <v>0</v>
      </c>
      <c r="T130" s="252">
        <v>3.7300300000000002</v>
      </c>
      <c r="U130" s="252">
        <v>0.73602000000000001</v>
      </c>
      <c r="V130" s="252">
        <v>0.26396999999999998</v>
      </c>
      <c r="W130" s="252">
        <v>1.0219499999999999</v>
      </c>
      <c r="X130" s="252">
        <v>0</v>
      </c>
      <c r="Y130" s="252">
        <v>0</v>
      </c>
      <c r="Z130" s="252">
        <v>2.2631999999999999</v>
      </c>
      <c r="AA130" s="252">
        <v>1.3895500000000001</v>
      </c>
      <c r="AB130" s="252">
        <v>0</v>
      </c>
      <c r="AC130" s="252">
        <v>0</v>
      </c>
      <c r="AD130" s="252">
        <v>1</v>
      </c>
      <c r="AE130" s="252" t="s">
        <v>20</v>
      </c>
      <c r="AF130" s="252" t="s">
        <v>718</v>
      </c>
      <c r="AG130" s="252">
        <f t="shared" si="6"/>
        <v>0</v>
      </c>
      <c r="AH130" s="252">
        <f t="shared" si="7"/>
        <v>0</v>
      </c>
      <c r="AI130" s="252">
        <f t="shared" si="8"/>
        <v>0</v>
      </c>
      <c r="AJ130" s="252">
        <f t="shared" si="9"/>
        <v>0</v>
      </c>
    </row>
    <row r="131" spans="1:36" x14ac:dyDescent="0.2">
      <c r="A131" s="253" t="str">
        <f t="shared" si="5"/>
        <v>331SNCERABKERXT25</v>
      </c>
      <c r="B131" s="252" t="s">
        <v>19</v>
      </c>
      <c r="C131" s="252" t="s">
        <v>20</v>
      </c>
      <c r="D131" s="252" t="s">
        <v>21</v>
      </c>
      <c r="E131" s="252" t="s">
        <v>719</v>
      </c>
      <c r="F131" s="252" t="s">
        <v>33</v>
      </c>
      <c r="G131" s="252">
        <v>25</v>
      </c>
      <c r="H131" s="252" t="s">
        <v>928</v>
      </c>
      <c r="I131" s="252" t="s">
        <v>2466</v>
      </c>
      <c r="J131" s="252" t="s">
        <v>928</v>
      </c>
      <c r="K131" s="252" t="s">
        <v>3236</v>
      </c>
      <c r="L131" s="252">
        <v>11.023479999999999</v>
      </c>
      <c r="M131" s="252">
        <v>97</v>
      </c>
      <c r="N131" s="252">
        <v>0</v>
      </c>
      <c r="O131" s="252">
        <v>0</v>
      </c>
      <c r="P131" s="252">
        <v>0</v>
      </c>
      <c r="Q131" s="252">
        <v>0</v>
      </c>
      <c r="R131" s="252">
        <v>0</v>
      </c>
      <c r="S131" s="252">
        <v>0</v>
      </c>
      <c r="T131" s="252">
        <v>3.7300300000000002</v>
      </c>
      <c r="U131" s="252">
        <v>0.59601000000000004</v>
      </c>
      <c r="V131" s="252">
        <v>0.28897</v>
      </c>
      <c r="W131" s="252">
        <v>1.1829499999999999</v>
      </c>
      <c r="X131" s="252">
        <v>0</v>
      </c>
      <c r="Y131" s="252">
        <v>0</v>
      </c>
      <c r="Z131" s="252">
        <v>3.5720999999999998</v>
      </c>
      <c r="AA131" s="252">
        <v>1.6534199999999999</v>
      </c>
      <c r="AB131" s="252">
        <v>0</v>
      </c>
      <c r="AC131" s="252">
        <v>0</v>
      </c>
      <c r="AD131" s="252">
        <v>1</v>
      </c>
      <c r="AE131" s="252" t="s">
        <v>20</v>
      </c>
      <c r="AF131" s="252" t="s">
        <v>718</v>
      </c>
      <c r="AG131" s="252">
        <f t="shared" si="6"/>
        <v>0</v>
      </c>
      <c r="AH131" s="252">
        <f t="shared" si="7"/>
        <v>0</v>
      </c>
      <c r="AI131" s="252">
        <f t="shared" si="8"/>
        <v>0</v>
      </c>
      <c r="AJ131" s="252">
        <f t="shared" si="9"/>
        <v>0</v>
      </c>
    </row>
    <row r="132" spans="1:36" x14ac:dyDescent="0.2">
      <c r="A132" s="253" t="str">
        <f t="shared" ref="A132:A195" si="10">TRIM(I132&amp;B132&amp;C132&amp;D132&amp;F132&amp;G132)</f>
        <v>330SNCERABKERXT38</v>
      </c>
      <c r="B132" s="252" t="s">
        <v>19</v>
      </c>
      <c r="C132" s="252" t="s">
        <v>20</v>
      </c>
      <c r="D132" s="252" t="s">
        <v>21</v>
      </c>
      <c r="E132" s="252" t="s">
        <v>719</v>
      </c>
      <c r="F132" s="252" t="s">
        <v>33</v>
      </c>
      <c r="G132" s="252">
        <v>38</v>
      </c>
      <c r="H132" s="252" t="s">
        <v>928</v>
      </c>
      <c r="I132" s="252" t="s">
        <v>2467</v>
      </c>
      <c r="J132" s="252" t="s">
        <v>928</v>
      </c>
      <c r="K132" s="252" t="s">
        <v>3236</v>
      </c>
      <c r="L132" s="252">
        <v>11.62552</v>
      </c>
      <c r="M132" s="252">
        <v>94.5</v>
      </c>
      <c r="N132" s="252">
        <v>0</v>
      </c>
      <c r="O132" s="252">
        <v>0</v>
      </c>
      <c r="P132" s="252">
        <v>0</v>
      </c>
      <c r="Q132" s="252">
        <v>0</v>
      </c>
      <c r="R132" s="252">
        <v>0</v>
      </c>
      <c r="S132" s="252">
        <v>0</v>
      </c>
      <c r="T132" s="252">
        <v>3.7300300000000002</v>
      </c>
      <c r="U132" s="252">
        <v>0.91801999999999995</v>
      </c>
      <c r="V132" s="252">
        <v>0.29697000000000001</v>
      </c>
      <c r="W132" s="252">
        <v>1.22194</v>
      </c>
      <c r="X132" s="252">
        <v>0</v>
      </c>
      <c r="Y132" s="252">
        <v>0</v>
      </c>
      <c r="Z132" s="252">
        <v>3.7428599999999999</v>
      </c>
      <c r="AA132" s="252">
        <v>1.7157</v>
      </c>
      <c r="AB132" s="252">
        <v>0</v>
      </c>
      <c r="AC132" s="252">
        <v>0</v>
      </c>
      <c r="AD132" s="252">
        <v>1</v>
      </c>
      <c r="AE132" s="252" t="s">
        <v>20</v>
      </c>
      <c r="AF132" s="252" t="s">
        <v>718</v>
      </c>
      <c r="AG132" s="252">
        <f t="shared" si="6"/>
        <v>0</v>
      </c>
      <c r="AH132" s="252">
        <f t="shared" si="7"/>
        <v>0</v>
      </c>
      <c r="AI132" s="252">
        <f t="shared" si="8"/>
        <v>0</v>
      </c>
      <c r="AJ132" s="252">
        <f t="shared" si="9"/>
        <v>0</v>
      </c>
    </row>
    <row r="133" spans="1:36" x14ac:dyDescent="0.2">
      <c r="A133" s="253" t="str">
        <f t="shared" si="10"/>
        <v>331SNCERABKERXT38</v>
      </c>
      <c r="B133" s="252" t="s">
        <v>19</v>
      </c>
      <c r="C133" s="252" t="s">
        <v>20</v>
      </c>
      <c r="D133" s="252" t="s">
        <v>21</v>
      </c>
      <c r="E133" s="252" t="s">
        <v>719</v>
      </c>
      <c r="F133" s="252" t="s">
        <v>33</v>
      </c>
      <c r="G133" s="252">
        <v>38</v>
      </c>
      <c r="H133" s="252" t="s">
        <v>928</v>
      </c>
      <c r="I133" s="252" t="s">
        <v>2466</v>
      </c>
      <c r="J133" s="252" t="s">
        <v>928</v>
      </c>
      <c r="K133" s="252" t="s">
        <v>3236</v>
      </c>
      <c r="L133" s="252">
        <v>11.033759999999999</v>
      </c>
      <c r="M133" s="252">
        <v>97.1</v>
      </c>
      <c r="N133" s="252">
        <v>0</v>
      </c>
      <c r="O133" s="252">
        <v>0</v>
      </c>
      <c r="P133" s="252">
        <v>0</v>
      </c>
      <c r="Q133" s="252">
        <v>0</v>
      </c>
      <c r="R133" s="252">
        <v>0</v>
      </c>
      <c r="S133" s="252">
        <v>0</v>
      </c>
      <c r="T133" s="252">
        <v>3.7300300000000002</v>
      </c>
      <c r="U133" s="252">
        <v>0.59601000000000004</v>
      </c>
      <c r="V133" s="252">
        <v>0.28897</v>
      </c>
      <c r="W133" s="252">
        <v>1.1849499999999999</v>
      </c>
      <c r="X133" s="252">
        <v>0</v>
      </c>
      <c r="Y133" s="252">
        <v>0</v>
      </c>
      <c r="Z133" s="252">
        <v>3.5781200000000002</v>
      </c>
      <c r="AA133" s="252">
        <v>1.65568</v>
      </c>
      <c r="AB133" s="252">
        <v>0</v>
      </c>
      <c r="AC133" s="252">
        <v>0</v>
      </c>
      <c r="AD133" s="252">
        <v>1</v>
      </c>
      <c r="AE133" s="252" t="s">
        <v>20</v>
      </c>
      <c r="AF133" s="252" t="s">
        <v>718</v>
      </c>
      <c r="AG133" s="252">
        <f t="shared" ref="AG133:AG197" si="11">+O133*M133/100</f>
        <v>0</v>
      </c>
      <c r="AH133" s="252">
        <f t="shared" ref="AH133:AH197" si="12">+P133*M133/100</f>
        <v>0</v>
      </c>
      <c r="AI133" s="252">
        <f t="shared" ref="AI133:AI197" si="13">+AB133*M133/100</f>
        <v>0</v>
      </c>
      <c r="AJ133" s="252">
        <f t="shared" ref="AJ133:AJ197" si="14">+AG133+AH133+AI133</f>
        <v>0</v>
      </c>
    </row>
    <row r="134" spans="1:36" x14ac:dyDescent="0.2">
      <c r="A134" s="253" t="str">
        <f t="shared" si="10"/>
        <v>3SNCERABKU25</v>
      </c>
      <c r="B134" s="252" t="s">
        <v>19</v>
      </c>
      <c r="C134" s="252" t="s">
        <v>20</v>
      </c>
      <c r="D134" s="252" t="s">
        <v>21</v>
      </c>
      <c r="E134" s="252" t="s">
        <v>719</v>
      </c>
      <c r="F134" s="252" t="s">
        <v>36</v>
      </c>
      <c r="G134" s="252">
        <v>25</v>
      </c>
      <c r="H134" s="252" t="s">
        <v>928</v>
      </c>
      <c r="I134" s="252" t="s">
        <v>2465</v>
      </c>
      <c r="J134" s="252" t="s">
        <v>928</v>
      </c>
      <c r="K134" s="252" t="s">
        <v>3236</v>
      </c>
      <c r="L134" s="252">
        <v>34.18045</v>
      </c>
      <c r="M134" s="252">
        <v>90</v>
      </c>
      <c r="N134" s="252">
        <v>0</v>
      </c>
      <c r="O134" s="252">
        <v>17.88889</v>
      </c>
      <c r="P134" s="252">
        <v>0</v>
      </c>
      <c r="Q134" s="252">
        <v>0</v>
      </c>
      <c r="R134" s="252">
        <v>0</v>
      </c>
      <c r="S134" s="252">
        <v>0</v>
      </c>
      <c r="T134" s="252">
        <v>2.1600199999999998</v>
      </c>
      <c r="U134" s="252">
        <v>1.66303</v>
      </c>
      <c r="V134" s="252">
        <v>0.48393999999999998</v>
      </c>
      <c r="W134" s="252">
        <v>2.0439099999999999</v>
      </c>
      <c r="X134" s="252">
        <v>0</v>
      </c>
      <c r="Y134" s="252">
        <v>0</v>
      </c>
      <c r="Z134" s="252">
        <v>7.0256600000000002</v>
      </c>
      <c r="AA134" s="252">
        <v>2.915</v>
      </c>
      <c r="AB134" s="252">
        <v>0</v>
      </c>
      <c r="AC134" s="252">
        <v>0</v>
      </c>
      <c r="AD134" s="252">
        <v>1</v>
      </c>
      <c r="AE134" s="252" t="s">
        <v>20</v>
      </c>
      <c r="AF134" s="252" t="s">
        <v>718</v>
      </c>
      <c r="AG134" s="252">
        <f t="shared" si="11"/>
        <v>16.100000999999999</v>
      </c>
      <c r="AH134" s="252">
        <f t="shared" si="12"/>
        <v>0</v>
      </c>
      <c r="AI134" s="252">
        <f t="shared" si="13"/>
        <v>0</v>
      </c>
      <c r="AJ134" s="252">
        <f t="shared" si="14"/>
        <v>16.100000999999999</v>
      </c>
    </row>
    <row r="135" spans="1:36" x14ac:dyDescent="0.2">
      <c r="A135" s="253" t="str">
        <f t="shared" si="10"/>
        <v>3SNCERABKUK25</v>
      </c>
      <c r="B135" s="252" t="s">
        <v>19</v>
      </c>
      <c r="C135" s="252" t="s">
        <v>20</v>
      </c>
      <c r="D135" s="252" t="s">
        <v>21</v>
      </c>
      <c r="E135" s="252" t="s">
        <v>719</v>
      </c>
      <c r="F135" s="252" t="s">
        <v>42</v>
      </c>
      <c r="G135" s="252">
        <v>25</v>
      </c>
      <c r="H135" s="252" t="s">
        <v>928</v>
      </c>
      <c r="I135" s="252" t="s">
        <v>2465</v>
      </c>
      <c r="J135" s="252" t="s">
        <v>928</v>
      </c>
      <c r="K135" s="252" t="s">
        <v>3236</v>
      </c>
      <c r="L135" s="252">
        <v>27.130549999999999</v>
      </c>
      <c r="M135" s="252">
        <v>95</v>
      </c>
      <c r="N135" s="252">
        <v>0</v>
      </c>
      <c r="O135" s="252">
        <v>16.44211</v>
      </c>
      <c r="P135" s="252">
        <v>0</v>
      </c>
      <c r="Q135" s="252">
        <v>0</v>
      </c>
      <c r="R135" s="252">
        <v>0</v>
      </c>
      <c r="S135" s="252">
        <v>0</v>
      </c>
      <c r="T135" s="252">
        <v>2.1600199999999998</v>
      </c>
      <c r="U135" s="252">
        <v>1.3720300000000001</v>
      </c>
      <c r="V135" s="252">
        <v>0.37796000000000002</v>
      </c>
      <c r="W135" s="252">
        <v>1.46993</v>
      </c>
      <c r="X135" s="252">
        <v>0</v>
      </c>
      <c r="Y135" s="252">
        <v>0</v>
      </c>
      <c r="Z135" s="252">
        <v>3.30288</v>
      </c>
      <c r="AA135" s="252">
        <v>2.00562</v>
      </c>
      <c r="AB135" s="252">
        <v>0</v>
      </c>
      <c r="AC135" s="252">
        <v>0</v>
      </c>
      <c r="AD135" s="252">
        <v>1</v>
      </c>
      <c r="AE135" s="252" t="s">
        <v>20</v>
      </c>
      <c r="AF135" s="252" t="s">
        <v>718</v>
      </c>
      <c r="AG135" s="252">
        <f t="shared" si="11"/>
        <v>15.6200045</v>
      </c>
      <c r="AH135" s="252">
        <f t="shared" si="12"/>
        <v>0</v>
      </c>
      <c r="AI135" s="252">
        <f t="shared" si="13"/>
        <v>0</v>
      </c>
      <c r="AJ135" s="252">
        <f t="shared" si="14"/>
        <v>15.6200045</v>
      </c>
    </row>
    <row r="136" spans="1:36" x14ac:dyDescent="0.2">
      <c r="A136" s="253" t="str">
        <f t="shared" si="10"/>
        <v>9SNCERABKUN25</v>
      </c>
      <c r="B136" s="252" t="s">
        <v>19</v>
      </c>
      <c r="C136" s="252" t="s">
        <v>20</v>
      </c>
      <c r="D136" s="252" t="s">
        <v>21</v>
      </c>
      <c r="E136" s="252" t="s">
        <v>719</v>
      </c>
      <c r="F136" s="252" t="s">
        <v>2468</v>
      </c>
      <c r="G136" s="252">
        <v>25</v>
      </c>
      <c r="H136" s="252" t="s">
        <v>928</v>
      </c>
      <c r="I136" s="252" t="s">
        <v>2469</v>
      </c>
      <c r="J136" s="252" t="s">
        <v>928</v>
      </c>
      <c r="K136" s="252" t="s">
        <v>3236</v>
      </c>
      <c r="L136" s="252">
        <v>40.947369999999999</v>
      </c>
      <c r="M136" s="252">
        <v>95</v>
      </c>
      <c r="N136" s="252">
        <v>0</v>
      </c>
      <c r="O136" s="252">
        <v>16.947369999999999</v>
      </c>
      <c r="P136" s="252">
        <v>0</v>
      </c>
      <c r="Q136" s="252">
        <v>24</v>
      </c>
      <c r="R136" s="252">
        <v>0</v>
      </c>
      <c r="S136" s="252">
        <v>0</v>
      </c>
      <c r="T136" s="252">
        <v>0</v>
      </c>
      <c r="U136" s="252">
        <v>0</v>
      </c>
      <c r="V136" s="252">
        <v>0</v>
      </c>
      <c r="W136" s="252">
        <v>0</v>
      </c>
      <c r="X136" s="252">
        <v>0</v>
      </c>
      <c r="Y136" s="252">
        <v>0</v>
      </c>
      <c r="Z136" s="252">
        <v>0</v>
      </c>
      <c r="AA136" s="252">
        <v>0</v>
      </c>
      <c r="AB136" s="252">
        <v>0</v>
      </c>
      <c r="AC136" s="252">
        <v>0</v>
      </c>
      <c r="AD136" s="252">
        <v>1</v>
      </c>
      <c r="AE136" s="252" t="s">
        <v>20</v>
      </c>
      <c r="AF136" s="252" t="s">
        <v>718</v>
      </c>
      <c r="AG136" s="252">
        <f t="shared" si="11"/>
        <v>16.100001499999998</v>
      </c>
      <c r="AH136" s="252">
        <f t="shared" si="12"/>
        <v>0</v>
      </c>
      <c r="AI136" s="252">
        <f t="shared" si="13"/>
        <v>0</v>
      </c>
      <c r="AJ136" s="252">
        <f t="shared" si="14"/>
        <v>16.100001499999998</v>
      </c>
    </row>
    <row r="137" spans="1:36" x14ac:dyDescent="0.2">
      <c r="A137" s="253" t="str">
        <f t="shared" si="10"/>
        <v>3SNCERABX8A1475</v>
      </c>
      <c r="B137" s="252" t="s">
        <v>19</v>
      </c>
      <c r="C137" s="252" t="s">
        <v>20</v>
      </c>
      <c r="D137" s="252" t="s">
        <v>21</v>
      </c>
      <c r="E137" s="252" t="s">
        <v>719</v>
      </c>
      <c r="F137" s="252" t="s">
        <v>632</v>
      </c>
      <c r="G137" s="252">
        <v>75</v>
      </c>
      <c r="H137" s="252" t="s">
        <v>928</v>
      </c>
      <c r="I137" s="252" t="s">
        <v>2465</v>
      </c>
      <c r="J137" s="252" t="s">
        <v>928</v>
      </c>
      <c r="K137" s="252" t="s">
        <v>3236</v>
      </c>
      <c r="L137" s="252">
        <v>17.538119999999999</v>
      </c>
      <c r="M137" s="252">
        <v>93.3</v>
      </c>
      <c r="N137" s="252">
        <v>0</v>
      </c>
      <c r="O137" s="252">
        <v>0</v>
      </c>
      <c r="P137" s="252">
        <v>0</v>
      </c>
      <c r="Q137" s="252">
        <v>0</v>
      </c>
      <c r="R137" s="252">
        <v>0</v>
      </c>
      <c r="S137" s="252">
        <v>0</v>
      </c>
      <c r="T137" s="252">
        <v>5.2700500000000003</v>
      </c>
      <c r="U137" s="252">
        <v>1.96404</v>
      </c>
      <c r="V137" s="252">
        <v>0.54793999999999998</v>
      </c>
      <c r="W137" s="252">
        <v>2.1288999999999998</v>
      </c>
      <c r="X137" s="252">
        <v>0</v>
      </c>
      <c r="Y137" s="252">
        <v>0</v>
      </c>
      <c r="Z137" s="252">
        <v>4.7303100000000002</v>
      </c>
      <c r="AA137" s="252">
        <v>2.8968799999999999</v>
      </c>
      <c r="AB137" s="252">
        <v>0</v>
      </c>
      <c r="AC137" s="252">
        <v>0</v>
      </c>
      <c r="AD137" s="252">
        <v>1</v>
      </c>
      <c r="AE137" s="252" t="s">
        <v>20</v>
      </c>
      <c r="AF137" s="252" t="s">
        <v>718</v>
      </c>
      <c r="AG137" s="252">
        <f t="shared" si="11"/>
        <v>0</v>
      </c>
      <c r="AH137" s="252">
        <f t="shared" si="12"/>
        <v>0</v>
      </c>
      <c r="AI137" s="252">
        <f t="shared" si="13"/>
        <v>0</v>
      </c>
      <c r="AJ137" s="252">
        <f t="shared" si="14"/>
        <v>0</v>
      </c>
    </row>
    <row r="138" spans="1:36" x14ac:dyDescent="0.2">
      <c r="A138" s="253" t="str">
        <f t="shared" si="10"/>
        <v>3SNCERABX8ARX25</v>
      </c>
      <c r="B138" s="252" t="s">
        <v>19</v>
      </c>
      <c r="C138" s="252" t="s">
        <v>20</v>
      </c>
      <c r="D138" s="252" t="s">
        <v>21</v>
      </c>
      <c r="E138" s="252" t="s">
        <v>719</v>
      </c>
      <c r="F138" s="252" t="s">
        <v>47</v>
      </c>
      <c r="G138" s="252">
        <v>25</v>
      </c>
      <c r="H138" s="252" t="s">
        <v>928</v>
      </c>
      <c r="I138" s="252" t="s">
        <v>2465</v>
      </c>
      <c r="J138" s="252" t="s">
        <v>928</v>
      </c>
      <c r="K138" s="252" t="s">
        <v>3236</v>
      </c>
      <c r="L138" s="252">
        <v>16.99691</v>
      </c>
      <c r="M138" s="252">
        <v>92.8</v>
      </c>
      <c r="N138" s="252">
        <v>0</v>
      </c>
      <c r="O138" s="252">
        <v>0</v>
      </c>
      <c r="P138" s="252">
        <v>0</v>
      </c>
      <c r="Q138" s="252">
        <v>0</v>
      </c>
      <c r="R138" s="252">
        <v>0</v>
      </c>
      <c r="S138" s="252">
        <v>0</v>
      </c>
      <c r="T138" s="252">
        <v>5.2700500000000003</v>
      </c>
      <c r="U138" s="252">
        <v>2.07904</v>
      </c>
      <c r="V138" s="252">
        <v>0.35596</v>
      </c>
      <c r="W138" s="252">
        <v>1.53193</v>
      </c>
      <c r="X138" s="252">
        <v>0</v>
      </c>
      <c r="Y138" s="252">
        <v>0</v>
      </c>
      <c r="Z138" s="252">
        <v>5.5108300000000003</v>
      </c>
      <c r="AA138" s="252">
        <v>2.2490999999999999</v>
      </c>
      <c r="AB138" s="252">
        <v>0</v>
      </c>
      <c r="AC138" s="252">
        <v>0</v>
      </c>
      <c r="AD138" s="252">
        <v>1</v>
      </c>
      <c r="AE138" s="252" t="s">
        <v>20</v>
      </c>
      <c r="AF138" s="252" t="s">
        <v>718</v>
      </c>
      <c r="AG138" s="252">
        <f t="shared" si="11"/>
        <v>0</v>
      </c>
      <c r="AH138" s="252">
        <f t="shared" si="12"/>
        <v>0</v>
      </c>
      <c r="AI138" s="252">
        <f t="shared" si="13"/>
        <v>0</v>
      </c>
      <c r="AJ138" s="252">
        <f t="shared" si="14"/>
        <v>0</v>
      </c>
    </row>
    <row r="139" spans="1:36" x14ac:dyDescent="0.2">
      <c r="A139" s="253" t="str">
        <f t="shared" si="10"/>
        <v>3SNCERABX8ARX38</v>
      </c>
      <c r="B139" s="252" t="s">
        <v>19</v>
      </c>
      <c r="C139" s="252" t="s">
        <v>20</v>
      </c>
      <c r="D139" s="252" t="s">
        <v>21</v>
      </c>
      <c r="E139" s="252" t="s">
        <v>719</v>
      </c>
      <c r="F139" s="252" t="s">
        <v>47</v>
      </c>
      <c r="G139" s="252">
        <v>38</v>
      </c>
      <c r="H139" s="252" t="s">
        <v>928</v>
      </c>
      <c r="I139" s="252" t="s">
        <v>2465</v>
      </c>
      <c r="J139" s="252" t="s">
        <v>928</v>
      </c>
      <c r="K139" s="252" t="s">
        <v>3236</v>
      </c>
      <c r="L139" s="252">
        <v>18.682680000000001</v>
      </c>
      <c r="M139" s="252">
        <v>91</v>
      </c>
      <c r="N139" s="252">
        <v>0</v>
      </c>
      <c r="O139" s="252">
        <v>0</v>
      </c>
      <c r="P139" s="252">
        <v>0</v>
      </c>
      <c r="Q139" s="252">
        <v>0</v>
      </c>
      <c r="R139" s="252">
        <v>0</v>
      </c>
      <c r="S139" s="252">
        <v>0</v>
      </c>
      <c r="T139" s="252">
        <v>5.2700500000000003</v>
      </c>
      <c r="U139" s="252">
        <v>1.93604</v>
      </c>
      <c r="V139" s="252">
        <v>0.43495</v>
      </c>
      <c r="W139" s="252">
        <v>1.8499099999999999</v>
      </c>
      <c r="X139" s="252">
        <v>0</v>
      </c>
      <c r="Y139" s="252">
        <v>0</v>
      </c>
      <c r="Z139" s="252">
        <v>6.5394699999999997</v>
      </c>
      <c r="AA139" s="252">
        <v>2.6522600000000001</v>
      </c>
      <c r="AB139" s="252">
        <v>0</v>
      </c>
      <c r="AC139" s="252">
        <v>0</v>
      </c>
      <c r="AD139" s="252">
        <v>1</v>
      </c>
      <c r="AE139" s="252" t="s">
        <v>20</v>
      </c>
      <c r="AF139" s="252" t="s">
        <v>718</v>
      </c>
      <c r="AG139" s="252">
        <f t="shared" si="11"/>
        <v>0</v>
      </c>
      <c r="AH139" s="252">
        <f t="shared" si="12"/>
        <v>0</v>
      </c>
      <c r="AI139" s="252">
        <f t="shared" si="13"/>
        <v>0</v>
      </c>
      <c r="AJ139" s="252">
        <f t="shared" si="14"/>
        <v>0</v>
      </c>
    </row>
    <row r="140" spans="1:36" x14ac:dyDescent="0.2">
      <c r="A140" s="253" t="str">
        <f t="shared" si="10"/>
        <v>331SNCERABX8ARXA38</v>
      </c>
      <c r="B140" s="252" t="s">
        <v>19</v>
      </c>
      <c r="C140" s="252" t="s">
        <v>20</v>
      </c>
      <c r="D140" s="252" t="s">
        <v>21</v>
      </c>
      <c r="E140" s="252" t="s">
        <v>719</v>
      </c>
      <c r="F140" s="252" t="s">
        <v>52</v>
      </c>
      <c r="G140" s="252">
        <v>38</v>
      </c>
      <c r="H140" s="252" t="s">
        <v>928</v>
      </c>
      <c r="I140" s="252" t="s">
        <v>2466</v>
      </c>
      <c r="J140" s="252" t="s">
        <v>928</v>
      </c>
      <c r="K140" s="252" t="s">
        <v>3236</v>
      </c>
      <c r="L140" s="252">
        <v>13.064629999999999</v>
      </c>
      <c r="M140" s="252">
        <v>97.2</v>
      </c>
      <c r="N140" s="252">
        <v>0</v>
      </c>
      <c r="O140" s="252">
        <v>0</v>
      </c>
      <c r="P140" s="252">
        <v>0</v>
      </c>
      <c r="Q140" s="252">
        <v>0</v>
      </c>
      <c r="R140" s="252">
        <v>0</v>
      </c>
      <c r="S140" s="252">
        <v>0</v>
      </c>
      <c r="T140" s="252">
        <v>5.2700500000000003</v>
      </c>
      <c r="U140" s="252">
        <v>0.59601000000000004</v>
      </c>
      <c r="V140" s="252">
        <v>0.38795000000000002</v>
      </c>
      <c r="W140" s="252">
        <v>1.49993</v>
      </c>
      <c r="X140" s="252">
        <v>0</v>
      </c>
      <c r="Y140" s="252">
        <v>0</v>
      </c>
      <c r="Z140" s="252">
        <v>3.2767599999999999</v>
      </c>
      <c r="AA140" s="252">
        <v>2.0339299999999998</v>
      </c>
      <c r="AB140" s="252">
        <v>0</v>
      </c>
      <c r="AC140" s="252">
        <v>0</v>
      </c>
      <c r="AD140" s="252">
        <v>1</v>
      </c>
      <c r="AE140" s="252" t="s">
        <v>20</v>
      </c>
      <c r="AF140" s="252" t="s">
        <v>718</v>
      </c>
      <c r="AG140" s="252">
        <f t="shared" si="11"/>
        <v>0</v>
      </c>
      <c r="AH140" s="252">
        <f t="shared" si="12"/>
        <v>0</v>
      </c>
      <c r="AI140" s="252">
        <f t="shared" si="13"/>
        <v>0</v>
      </c>
      <c r="AJ140" s="252">
        <f t="shared" si="14"/>
        <v>0</v>
      </c>
    </row>
    <row r="141" spans="1:36" x14ac:dyDescent="0.2">
      <c r="A141" s="253" t="str">
        <f t="shared" si="10"/>
        <v>331SNCERABX8ARXT38</v>
      </c>
      <c r="B141" s="252" t="s">
        <v>19</v>
      </c>
      <c r="C141" s="252" t="s">
        <v>20</v>
      </c>
      <c r="D141" s="252" t="s">
        <v>21</v>
      </c>
      <c r="E141" s="252" t="s">
        <v>719</v>
      </c>
      <c r="F141" s="252" t="s">
        <v>54</v>
      </c>
      <c r="G141" s="252">
        <v>38</v>
      </c>
      <c r="H141" s="252" t="s">
        <v>928</v>
      </c>
      <c r="I141" s="252" t="s">
        <v>2466</v>
      </c>
      <c r="J141" s="252" t="s">
        <v>928</v>
      </c>
      <c r="K141" s="252" t="s">
        <v>3236</v>
      </c>
      <c r="L141" s="252">
        <v>14.46669</v>
      </c>
      <c r="M141" s="252">
        <v>97.2</v>
      </c>
      <c r="N141" s="252">
        <v>0</v>
      </c>
      <c r="O141" s="252">
        <v>0</v>
      </c>
      <c r="P141" s="252">
        <v>0</v>
      </c>
      <c r="Q141" s="252">
        <v>0</v>
      </c>
      <c r="R141" s="252">
        <v>0</v>
      </c>
      <c r="S141" s="252">
        <v>0</v>
      </c>
      <c r="T141" s="252">
        <v>5.2700500000000003</v>
      </c>
      <c r="U141" s="252">
        <v>0.59601000000000004</v>
      </c>
      <c r="V141" s="252">
        <v>0.38795000000000002</v>
      </c>
      <c r="W141" s="252">
        <v>1.56793</v>
      </c>
      <c r="X141" s="252">
        <v>0</v>
      </c>
      <c r="Y141" s="252">
        <v>0</v>
      </c>
      <c r="Z141" s="252">
        <v>4.4681300000000004</v>
      </c>
      <c r="AA141" s="252">
        <v>2.1766200000000002</v>
      </c>
      <c r="AB141" s="252">
        <v>0</v>
      </c>
      <c r="AC141" s="252">
        <v>0</v>
      </c>
      <c r="AD141" s="252">
        <v>1</v>
      </c>
      <c r="AE141" s="252" t="s">
        <v>20</v>
      </c>
      <c r="AF141" s="252" t="s">
        <v>718</v>
      </c>
      <c r="AG141" s="252">
        <f t="shared" si="11"/>
        <v>0</v>
      </c>
      <c r="AH141" s="252">
        <f t="shared" si="12"/>
        <v>0</v>
      </c>
      <c r="AI141" s="252">
        <f t="shared" si="13"/>
        <v>0</v>
      </c>
      <c r="AJ141" s="252">
        <f t="shared" si="14"/>
        <v>0</v>
      </c>
    </row>
    <row r="142" spans="1:36" x14ac:dyDescent="0.2">
      <c r="A142" s="253" t="str">
        <f t="shared" si="10"/>
        <v>3SNCERABX8AS75</v>
      </c>
      <c r="B142" s="252" t="s">
        <v>19</v>
      </c>
      <c r="C142" s="252" t="s">
        <v>20</v>
      </c>
      <c r="D142" s="252" t="s">
        <v>21</v>
      </c>
      <c r="E142" s="252" t="s">
        <v>719</v>
      </c>
      <c r="F142" s="252" t="s">
        <v>465</v>
      </c>
      <c r="G142" s="252">
        <v>75</v>
      </c>
      <c r="H142" s="252" t="s">
        <v>928</v>
      </c>
      <c r="I142" s="252" t="s">
        <v>2465</v>
      </c>
      <c r="J142" s="252" t="s">
        <v>928</v>
      </c>
      <c r="K142" s="252" t="s">
        <v>3236</v>
      </c>
      <c r="L142" s="252">
        <v>23.597439999999999</v>
      </c>
      <c r="M142" s="252">
        <v>96</v>
      </c>
      <c r="N142" s="252">
        <v>0</v>
      </c>
      <c r="O142" s="252">
        <v>0</v>
      </c>
      <c r="P142" s="252">
        <v>0</v>
      </c>
      <c r="Q142" s="252">
        <v>0</v>
      </c>
      <c r="R142" s="252">
        <v>0</v>
      </c>
      <c r="S142" s="252">
        <v>0</v>
      </c>
      <c r="T142" s="252">
        <v>5.2700500000000003</v>
      </c>
      <c r="U142" s="252">
        <v>5.6321199999999996</v>
      </c>
      <c r="V142" s="252">
        <v>0.67391999999999996</v>
      </c>
      <c r="W142" s="252">
        <v>2.61788</v>
      </c>
      <c r="X142" s="252">
        <v>0</v>
      </c>
      <c r="Y142" s="252">
        <v>0</v>
      </c>
      <c r="Z142" s="252">
        <v>5.8372999999999999</v>
      </c>
      <c r="AA142" s="252">
        <v>3.5661700000000001</v>
      </c>
      <c r="AB142" s="252">
        <v>0</v>
      </c>
      <c r="AC142" s="252">
        <v>0</v>
      </c>
      <c r="AD142" s="252">
        <v>1</v>
      </c>
      <c r="AE142" s="252" t="s">
        <v>20</v>
      </c>
      <c r="AF142" s="252" t="s">
        <v>718</v>
      </c>
      <c r="AG142" s="252">
        <f t="shared" si="11"/>
        <v>0</v>
      </c>
      <c r="AH142" s="252">
        <f t="shared" si="12"/>
        <v>0</v>
      </c>
      <c r="AI142" s="252">
        <f t="shared" si="13"/>
        <v>0</v>
      </c>
      <c r="AJ142" s="252">
        <f t="shared" si="14"/>
        <v>0</v>
      </c>
    </row>
    <row r="143" spans="1:36" x14ac:dyDescent="0.2">
      <c r="A143" s="253" t="str">
        <f t="shared" si="10"/>
        <v>3SNCERABX8AX75</v>
      </c>
      <c r="B143" s="252" t="s">
        <v>19</v>
      </c>
      <c r="C143" s="252" t="s">
        <v>20</v>
      </c>
      <c r="D143" s="252" t="s">
        <v>21</v>
      </c>
      <c r="E143" s="252" t="s">
        <v>719</v>
      </c>
      <c r="F143" s="252" t="s">
        <v>56</v>
      </c>
      <c r="G143" s="252">
        <v>75</v>
      </c>
      <c r="H143" s="252" t="s">
        <v>928</v>
      </c>
      <c r="I143" s="252" t="s">
        <v>2465</v>
      </c>
      <c r="J143" s="252" t="s">
        <v>928</v>
      </c>
      <c r="K143" s="252" t="s">
        <v>3236</v>
      </c>
      <c r="L143" s="252">
        <v>16.45459</v>
      </c>
      <c r="M143" s="252">
        <v>91.5</v>
      </c>
      <c r="N143" s="252">
        <v>0</v>
      </c>
      <c r="O143" s="252">
        <v>0</v>
      </c>
      <c r="P143" s="252">
        <v>0</v>
      </c>
      <c r="Q143" s="252">
        <v>0</v>
      </c>
      <c r="R143" s="252">
        <v>0</v>
      </c>
      <c r="S143" s="252">
        <v>0</v>
      </c>
      <c r="T143" s="252">
        <v>5.2700500000000003</v>
      </c>
      <c r="U143" s="252">
        <v>0.90002000000000004</v>
      </c>
      <c r="V143" s="252">
        <v>0.55193999999999999</v>
      </c>
      <c r="W143" s="252">
        <v>2.1379000000000001</v>
      </c>
      <c r="X143" s="252">
        <v>0</v>
      </c>
      <c r="Y143" s="252">
        <v>0</v>
      </c>
      <c r="Z143" s="252">
        <v>4.6921400000000002</v>
      </c>
      <c r="AA143" s="252">
        <v>2.9025400000000001</v>
      </c>
      <c r="AB143" s="252">
        <v>0</v>
      </c>
      <c r="AC143" s="252">
        <v>0</v>
      </c>
      <c r="AD143" s="252">
        <v>1</v>
      </c>
      <c r="AE143" s="252" t="s">
        <v>20</v>
      </c>
      <c r="AF143" s="252" t="s">
        <v>718</v>
      </c>
      <c r="AG143" s="252">
        <f t="shared" si="11"/>
        <v>0</v>
      </c>
      <c r="AH143" s="252">
        <f t="shared" si="12"/>
        <v>0</v>
      </c>
      <c r="AI143" s="252">
        <f t="shared" si="13"/>
        <v>0</v>
      </c>
      <c r="AJ143" s="252">
        <f t="shared" si="14"/>
        <v>0</v>
      </c>
    </row>
    <row r="144" spans="1:36" x14ac:dyDescent="0.2">
      <c r="A144" s="253" t="str">
        <f t="shared" si="10"/>
        <v>330SNCERABX8AX75</v>
      </c>
      <c r="B144" s="252" t="s">
        <v>19</v>
      </c>
      <c r="C144" s="252" t="s">
        <v>20</v>
      </c>
      <c r="D144" s="252" t="s">
        <v>21</v>
      </c>
      <c r="E144" s="252" t="s">
        <v>719</v>
      </c>
      <c r="F144" s="252" t="s">
        <v>56</v>
      </c>
      <c r="G144" s="252">
        <v>75</v>
      </c>
      <c r="H144" s="252" t="s">
        <v>928</v>
      </c>
      <c r="I144" s="252" t="s">
        <v>2467</v>
      </c>
      <c r="J144" s="252" t="s">
        <v>928</v>
      </c>
      <c r="K144" s="252" t="s">
        <v>3236</v>
      </c>
      <c r="L144" s="252">
        <v>19.662019999999998</v>
      </c>
      <c r="M144" s="252">
        <v>93.4</v>
      </c>
      <c r="N144" s="252">
        <v>0</v>
      </c>
      <c r="O144" s="252">
        <v>0</v>
      </c>
      <c r="P144" s="252">
        <v>0</v>
      </c>
      <c r="Q144" s="252">
        <v>0</v>
      </c>
      <c r="R144" s="252">
        <v>0</v>
      </c>
      <c r="S144" s="252">
        <v>0</v>
      </c>
      <c r="T144" s="252">
        <v>5.2700500000000003</v>
      </c>
      <c r="U144" s="252">
        <v>2.13104</v>
      </c>
      <c r="V144" s="252">
        <v>0.65391999999999995</v>
      </c>
      <c r="W144" s="252">
        <v>2.5278800000000001</v>
      </c>
      <c r="X144" s="252">
        <v>0</v>
      </c>
      <c r="Y144" s="252">
        <v>0</v>
      </c>
      <c r="Z144" s="252">
        <v>5.6364000000000001</v>
      </c>
      <c r="AA144" s="252">
        <v>3.4427300000000001</v>
      </c>
      <c r="AB144" s="252">
        <v>0</v>
      </c>
      <c r="AC144" s="252">
        <v>0</v>
      </c>
      <c r="AD144" s="252">
        <v>1</v>
      </c>
      <c r="AE144" s="252" t="s">
        <v>20</v>
      </c>
      <c r="AF144" s="252" t="s">
        <v>718</v>
      </c>
      <c r="AG144" s="252">
        <f t="shared" si="11"/>
        <v>0</v>
      </c>
      <c r="AH144" s="252">
        <f t="shared" si="12"/>
        <v>0</v>
      </c>
      <c r="AI144" s="252">
        <f t="shared" si="13"/>
        <v>0</v>
      </c>
      <c r="AJ144" s="252">
        <f t="shared" si="14"/>
        <v>0</v>
      </c>
    </row>
    <row r="145" spans="1:36" x14ac:dyDescent="0.2">
      <c r="A145" s="253" t="str">
        <f t="shared" si="10"/>
        <v>3SNCERABX9AS75</v>
      </c>
      <c r="B145" s="252" t="s">
        <v>19</v>
      </c>
      <c r="C145" s="252" t="s">
        <v>20</v>
      </c>
      <c r="D145" s="252" t="s">
        <v>21</v>
      </c>
      <c r="E145" s="252" t="s">
        <v>719</v>
      </c>
      <c r="F145" s="252" t="s">
        <v>60</v>
      </c>
      <c r="G145" s="252">
        <v>75</v>
      </c>
      <c r="H145" s="252" t="s">
        <v>928</v>
      </c>
      <c r="I145" s="252" t="s">
        <v>2465</v>
      </c>
      <c r="J145" s="252" t="s">
        <v>928</v>
      </c>
      <c r="K145" s="252" t="s">
        <v>3236</v>
      </c>
      <c r="L145" s="252">
        <v>35.737549999999999</v>
      </c>
      <c r="M145" s="252">
        <v>96</v>
      </c>
      <c r="N145" s="252">
        <v>0</v>
      </c>
      <c r="O145" s="252">
        <v>0</v>
      </c>
      <c r="P145" s="252">
        <v>0</v>
      </c>
      <c r="Q145" s="252">
        <v>0</v>
      </c>
      <c r="R145" s="252">
        <v>0</v>
      </c>
      <c r="S145" s="252">
        <v>0</v>
      </c>
      <c r="T145" s="252">
        <v>17.410160000000001</v>
      </c>
      <c r="U145" s="252">
        <v>5.6321199999999996</v>
      </c>
      <c r="V145" s="252">
        <v>0.67391999999999996</v>
      </c>
      <c r="W145" s="252">
        <v>2.61788</v>
      </c>
      <c r="X145" s="252">
        <v>0</v>
      </c>
      <c r="Y145" s="252">
        <v>0</v>
      </c>
      <c r="Z145" s="252">
        <v>5.8372999999999999</v>
      </c>
      <c r="AA145" s="252">
        <v>3.5661700000000001</v>
      </c>
      <c r="AB145" s="252">
        <v>0</v>
      </c>
      <c r="AC145" s="252">
        <v>0</v>
      </c>
      <c r="AD145" s="252">
        <v>1</v>
      </c>
      <c r="AE145" s="252" t="s">
        <v>20</v>
      </c>
      <c r="AF145" s="252" t="s">
        <v>718</v>
      </c>
      <c r="AG145" s="252">
        <f t="shared" si="11"/>
        <v>0</v>
      </c>
      <c r="AH145" s="252">
        <f t="shared" si="12"/>
        <v>0</v>
      </c>
      <c r="AI145" s="252">
        <f t="shared" si="13"/>
        <v>0</v>
      </c>
      <c r="AJ145" s="252">
        <f t="shared" si="14"/>
        <v>0</v>
      </c>
    </row>
    <row r="146" spans="1:36" x14ac:dyDescent="0.2">
      <c r="A146" s="253" t="str">
        <f t="shared" si="10"/>
        <v>3SNCERAJWZB38</v>
      </c>
      <c r="B146" s="252" t="s">
        <v>19</v>
      </c>
      <c r="C146" s="252" t="s">
        <v>20</v>
      </c>
      <c r="D146" s="252" t="s">
        <v>21</v>
      </c>
      <c r="E146" s="252" t="s">
        <v>719</v>
      </c>
      <c r="F146" s="252" t="s">
        <v>296</v>
      </c>
      <c r="G146" s="252">
        <v>38</v>
      </c>
      <c r="H146" s="252" t="s">
        <v>928</v>
      </c>
      <c r="I146" s="252" t="s">
        <v>2465</v>
      </c>
      <c r="J146" s="252" t="s">
        <v>928</v>
      </c>
      <c r="K146" s="252" t="s">
        <v>3236</v>
      </c>
      <c r="L146" s="252">
        <v>8.2934400000000004</v>
      </c>
      <c r="M146" s="252">
        <v>95.5</v>
      </c>
      <c r="N146" s="252">
        <v>0</v>
      </c>
      <c r="O146" s="252">
        <v>0</v>
      </c>
      <c r="P146" s="252">
        <v>0</v>
      </c>
      <c r="Q146" s="252">
        <v>0</v>
      </c>
      <c r="R146" s="252">
        <v>0</v>
      </c>
      <c r="S146" s="252">
        <v>0</v>
      </c>
      <c r="T146" s="252">
        <v>2.4500199999999999</v>
      </c>
      <c r="U146" s="252">
        <v>0.98202</v>
      </c>
      <c r="V146" s="252">
        <v>0.25696999999999998</v>
      </c>
      <c r="W146" s="252">
        <v>0.99895</v>
      </c>
      <c r="X146" s="252">
        <v>0</v>
      </c>
      <c r="Y146" s="252">
        <v>0</v>
      </c>
      <c r="Z146" s="252">
        <v>2.2431100000000002</v>
      </c>
      <c r="AA146" s="252">
        <v>1.3623700000000001</v>
      </c>
      <c r="AB146" s="252">
        <v>0</v>
      </c>
      <c r="AC146" s="252">
        <v>0</v>
      </c>
      <c r="AD146" s="252">
        <v>1</v>
      </c>
      <c r="AE146" s="252" t="s">
        <v>20</v>
      </c>
      <c r="AF146" s="252" t="s">
        <v>718</v>
      </c>
      <c r="AG146" s="252">
        <f t="shared" si="11"/>
        <v>0</v>
      </c>
      <c r="AH146" s="252">
        <f t="shared" si="12"/>
        <v>0</v>
      </c>
      <c r="AI146" s="252">
        <f t="shared" si="13"/>
        <v>0</v>
      </c>
      <c r="AJ146" s="252">
        <f t="shared" si="14"/>
        <v>0</v>
      </c>
    </row>
    <row r="147" spans="1:36" x14ac:dyDescent="0.2">
      <c r="A147" s="253" t="str">
        <f t="shared" si="10"/>
        <v>331SNCERAMD(A)R38</v>
      </c>
      <c r="B147" s="252" t="s">
        <v>19</v>
      </c>
      <c r="C147" s="252" t="s">
        <v>20</v>
      </c>
      <c r="D147" s="252" t="s">
        <v>21</v>
      </c>
      <c r="E147" s="252" t="s">
        <v>719</v>
      </c>
      <c r="F147" s="252" t="s">
        <v>62</v>
      </c>
      <c r="G147" s="252">
        <v>38</v>
      </c>
      <c r="H147" s="252" t="s">
        <v>928</v>
      </c>
      <c r="I147" s="252" t="s">
        <v>2466</v>
      </c>
      <c r="J147" s="252" t="s">
        <v>928</v>
      </c>
      <c r="K147" s="252" t="s">
        <v>3236</v>
      </c>
      <c r="L147" s="252">
        <v>15.521459999999999</v>
      </c>
      <c r="M147" s="252">
        <v>97.7</v>
      </c>
      <c r="N147" s="252">
        <v>0</v>
      </c>
      <c r="O147" s="252">
        <v>0</v>
      </c>
      <c r="P147" s="252">
        <v>0</v>
      </c>
      <c r="Q147" s="252">
        <v>0</v>
      </c>
      <c r="R147" s="252">
        <v>0</v>
      </c>
      <c r="S147" s="252">
        <v>0</v>
      </c>
      <c r="T147" s="252">
        <v>4.43004</v>
      </c>
      <c r="U147" s="252">
        <v>1.19702</v>
      </c>
      <c r="V147" s="252">
        <v>0.42695</v>
      </c>
      <c r="W147" s="252">
        <v>1.74692</v>
      </c>
      <c r="X147" s="252">
        <v>0</v>
      </c>
      <c r="Y147" s="252">
        <v>0</v>
      </c>
      <c r="Z147" s="252">
        <v>5.2777799999999999</v>
      </c>
      <c r="AA147" s="252">
        <v>2.4427500000000002</v>
      </c>
      <c r="AB147" s="252">
        <v>0</v>
      </c>
      <c r="AC147" s="252">
        <v>0</v>
      </c>
      <c r="AD147" s="252">
        <v>1</v>
      </c>
      <c r="AE147" s="252" t="s">
        <v>20</v>
      </c>
      <c r="AF147" s="252" t="s">
        <v>718</v>
      </c>
      <c r="AG147" s="252">
        <f t="shared" si="11"/>
        <v>0</v>
      </c>
      <c r="AH147" s="252">
        <f t="shared" si="12"/>
        <v>0</v>
      </c>
      <c r="AI147" s="252">
        <f t="shared" si="13"/>
        <v>0</v>
      </c>
      <c r="AJ147" s="252">
        <f t="shared" si="14"/>
        <v>0</v>
      </c>
    </row>
    <row r="148" spans="1:36" x14ac:dyDescent="0.2">
      <c r="A148" s="253" t="str">
        <f t="shared" si="10"/>
        <v>3313SNCERAMD(A)R38</v>
      </c>
      <c r="B148" s="252" t="s">
        <v>19</v>
      </c>
      <c r="C148" s="252" t="s">
        <v>20</v>
      </c>
      <c r="D148" s="252" t="s">
        <v>21</v>
      </c>
      <c r="E148" s="252" t="s">
        <v>719</v>
      </c>
      <c r="F148" s="252" t="s">
        <v>62</v>
      </c>
      <c r="G148" s="252">
        <v>38</v>
      </c>
      <c r="H148" s="252" t="s">
        <v>928</v>
      </c>
      <c r="I148" s="252" t="s">
        <v>2470</v>
      </c>
      <c r="J148" s="252" t="s">
        <v>928</v>
      </c>
      <c r="K148" s="252" t="s">
        <v>3236</v>
      </c>
      <c r="L148" s="252">
        <v>15.26315</v>
      </c>
      <c r="M148" s="252">
        <v>94.8</v>
      </c>
      <c r="N148" s="252">
        <v>0</v>
      </c>
      <c r="O148" s="252">
        <v>0</v>
      </c>
      <c r="P148" s="252">
        <v>0</v>
      </c>
      <c r="Q148" s="252">
        <v>0</v>
      </c>
      <c r="R148" s="252">
        <v>0</v>
      </c>
      <c r="S148" s="252">
        <v>0</v>
      </c>
      <c r="T148" s="252">
        <v>4.43004</v>
      </c>
      <c r="U148" s="252">
        <v>2.3610500000000001</v>
      </c>
      <c r="V148" s="252">
        <v>0.35596</v>
      </c>
      <c r="W148" s="252">
        <v>1.46993</v>
      </c>
      <c r="X148" s="252">
        <v>0</v>
      </c>
      <c r="Y148" s="252">
        <v>0</v>
      </c>
      <c r="Z148" s="252">
        <v>4.5726000000000004</v>
      </c>
      <c r="AA148" s="252">
        <v>2.0735700000000001</v>
      </c>
      <c r="AB148" s="252">
        <v>0</v>
      </c>
      <c r="AC148" s="252">
        <v>0</v>
      </c>
      <c r="AD148" s="252">
        <v>1</v>
      </c>
      <c r="AE148" s="252" t="s">
        <v>20</v>
      </c>
      <c r="AF148" s="252" t="s">
        <v>718</v>
      </c>
      <c r="AG148" s="252">
        <f t="shared" si="11"/>
        <v>0</v>
      </c>
      <c r="AH148" s="252">
        <f t="shared" si="12"/>
        <v>0</v>
      </c>
      <c r="AI148" s="252">
        <f t="shared" si="13"/>
        <v>0</v>
      </c>
      <c r="AJ148" s="252">
        <f t="shared" si="14"/>
        <v>0</v>
      </c>
    </row>
    <row r="149" spans="1:36" x14ac:dyDescent="0.2">
      <c r="A149" s="253" t="str">
        <f t="shared" si="10"/>
        <v>3SNCERAMDACPFL38</v>
      </c>
      <c r="B149" s="252" t="s">
        <v>19</v>
      </c>
      <c r="C149" s="252" t="s">
        <v>20</v>
      </c>
      <c r="D149" s="252" t="s">
        <v>21</v>
      </c>
      <c r="E149" s="252" t="s">
        <v>719</v>
      </c>
      <c r="F149" s="252" t="s">
        <v>67</v>
      </c>
      <c r="G149" s="252">
        <v>38</v>
      </c>
      <c r="H149" s="252" t="s">
        <v>928</v>
      </c>
      <c r="I149" s="252" t="s">
        <v>2465</v>
      </c>
      <c r="J149" s="252" t="s">
        <v>928</v>
      </c>
      <c r="K149" s="252" t="s">
        <v>3236</v>
      </c>
      <c r="L149" s="252">
        <v>8.9804200000000005</v>
      </c>
      <c r="M149" s="252">
        <v>98.5</v>
      </c>
      <c r="N149" s="252">
        <v>0</v>
      </c>
      <c r="O149" s="252">
        <v>0</v>
      </c>
      <c r="P149" s="252">
        <v>0</v>
      </c>
      <c r="Q149" s="252">
        <v>0</v>
      </c>
      <c r="R149" s="252">
        <v>0</v>
      </c>
      <c r="S149" s="252">
        <v>0</v>
      </c>
      <c r="T149" s="252">
        <v>3.3700299999999999</v>
      </c>
      <c r="U149" s="252">
        <v>0.53900999999999999</v>
      </c>
      <c r="V149" s="252">
        <v>0.27496999999999999</v>
      </c>
      <c r="W149" s="252">
        <v>1.0619499999999999</v>
      </c>
      <c r="X149" s="252">
        <v>0</v>
      </c>
      <c r="Y149" s="252">
        <v>0</v>
      </c>
      <c r="Z149" s="252">
        <v>2.2973499999999998</v>
      </c>
      <c r="AA149" s="252">
        <v>1.4371100000000001</v>
      </c>
      <c r="AB149" s="252">
        <v>0</v>
      </c>
      <c r="AC149" s="252">
        <v>0</v>
      </c>
      <c r="AD149" s="252">
        <v>1</v>
      </c>
      <c r="AE149" s="252" t="s">
        <v>20</v>
      </c>
      <c r="AF149" s="252" t="s">
        <v>718</v>
      </c>
      <c r="AG149" s="252">
        <f t="shared" si="11"/>
        <v>0</v>
      </c>
      <c r="AH149" s="252">
        <f t="shared" si="12"/>
        <v>0</v>
      </c>
      <c r="AI149" s="252">
        <f t="shared" si="13"/>
        <v>0</v>
      </c>
      <c r="AJ149" s="252">
        <f t="shared" si="14"/>
        <v>0</v>
      </c>
    </row>
    <row r="150" spans="1:36" x14ac:dyDescent="0.2">
      <c r="A150" s="253" t="str">
        <f t="shared" si="10"/>
        <v>3321SNCERAMDACPFL38</v>
      </c>
      <c r="B150" s="252" t="s">
        <v>19</v>
      </c>
      <c r="C150" s="252" t="s">
        <v>20</v>
      </c>
      <c r="D150" s="252" t="s">
        <v>21</v>
      </c>
      <c r="E150" s="252" t="s">
        <v>719</v>
      </c>
      <c r="F150" s="252" t="s">
        <v>67</v>
      </c>
      <c r="G150" s="252">
        <v>38</v>
      </c>
      <c r="H150" s="252" t="s">
        <v>928</v>
      </c>
      <c r="I150" s="252" t="s">
        <v>2471</v>
      </c>
      <c r="J150" s="252" t="s">
        <v>928</v>
      </c>
      <c r="K150" s="252" t="s">
        <v>3236</v>
      </c>
      <c r="L150" s="252">
        <v>8.9854299999999991</v>
      </c>
      <c r="M150" s="252">
        <v>98.5</v>
      </c>
      <c r="N150" s="252">
        <v>0</v>
      </c>
      <c r="O150" s="252">
        <v>0</v>
      </c>
      <c r="P150" s="252">
        <v>0</v>
      </c>
      <c r="Q150" s="252">
        <v>0</v>
      </c>
      <c r="R150" s="252">
        <v>0</v>
      </c>
      <c r="S150" s="252">
        <v>0</v>
      </c>
      <c r="T150" s="252">
        <v>3.3700299999999999</v>
      </c>
      <c r="U150" s="252">
        <v>0.54300999999999999</v>
      </c>
      <c r="V150" s="252">
        <v>0.27496999999999999</v>
      </c>
      <c r="W150" s="252">
        <v>1.0619499999999999</v>
      </c>
      <c r="X150" s="252">
        <v>0</v>
      </c>
      <c r="Y150" s="252">
        <v>0</v>
      </c>
      <c r="Z150" s="252">
        <v>2.2983600000000002</v>
      </c>
      <c r="AA150" s="252">
        <v>1.4371100000000001</v>
      </c>
      <c r="AB150" s="252">
        <v>0</v>
      </c>
      <c r="AC150" s="252">
        <v>0</v>
      </c>
      <c r="AD150" s="252">
        <v>1</v>
      </c>
      <c r="AE150" s="252" t="s">
        <v>20</v>
      </c>
      <c r="AF150" s="252" t="s">
        <v>718</v>
      </c>
      <c r="AG150" s="252">
        <f t="shared" si="11"/>
        <v>0</v>
      </c>
      <c r="AH150" s="252">
        <f t="shared" si="12"/>
        <v>0</v>
      </c>
      <c r="AI150" s="252">
        <f t="shared" si="13"/>
        <v>0</v>
      </c>
      <c r="AJ150" s="252">
        <f t="shared" si="14"/>
        <v>0</v>
      </c>
    </row>
    <row r="151" spans="1:36" x14ac:dyDescent="0.2">
      <c r="A151" s="253" t="str">
        <f t="shared" si="10"/>
        <v>3SNCERAMDAPFL38</v>
      </c>
      <c r="B151" s="252" t="s">
        <v>19</v>
      </c>
      <c r="C151" s="252" t="s">
        <v>20</v>
      </c>
      <c r="D151" s="252" t="s">
        <v>21</v>
      </c>
      <c r="E151" s="252" t="s">
        <v>719</v>
      </c>
      <c r="F151" s="252" t="s">
        <v>70</v>
      </c>
      <c r="G151" s="252">
        <v>38</v>
      </c>
      <c r="H151" s="252" t="s">
        <v>928</v>
      </c>
      <c r="I151" s="252" t="s">
        <v>2465</v>
      </c>
      <c r="J151" s="252" t="s">
        <v>928</v>
      </c>
      <c r="K151" s="252" t="s">
        <v>3236</v>
      </c>
      <c r="L151" s="252">
        <v>8.9804200000000005</v>
      </c>
      <c r="M151" s="252">
        <v>98.5</v>
      </c>
      <c r="N151" s="252">
        <v>0</v>
      </c>
      <c r="O151" s="252">
        <v>0</v>
      </c>
      <c r="P151" s="252">
        <v>0</v>
      </c>
      <c r="Q151" s="252">
        <v>0</v>
      </c>
      <c r="R151" s="252">
        <v>0</v>
      </c>
      <c r="S151" s="252">
        <v>0</v>
      </c>
      <c r="T151" s="252">
        <v>3.3700299999999999</v>
      </c>
      <c r="U151" s="252">
        <v>0.53900999999999999</v>
      </c>
      <c r="V151" s="252">
        <v>0.27496999999999999</v>
      </c>
      <c r="W151" s="252">
        <v>1.0619499999999999</v>
      </c>
      <c r="X151" s="252">
        <v>0</v>
      </c>
      <c r="Y151" s="252">
        <v>0</v>
      </c>
      <c r="Z151" s="252">
        <v>2.2973499999999998</v>
      </c>
      <c r="AA151" s="252">
        <v>1.4371100000000001</v>
      </c>
      <c r="AB151" s="252">
        <v>0</v>
      </c>
      <c r="AC151" s="252">
        <v>0</v>
      </c>
      <c r="AD151" s="252">
        <v>1</v>
      </c>
      <c r="AE151" s="252" t="s">
        <v>20</v>
      </c>
      <c r="AF151" s="252" t="s">
        <v>718</v>
      </c>
      <c r="AG151" s="252">
        <f t="shared" si="11"/>
        <v>0</v>
      </c>
      <c r="AH151" s="252">
        <f t="shared" si="12"/>
        <v>0</v>
      </c>
      <c r="AI151" s="252">
        <f t="shared" si="13"/>
        <v>0</v>
      </c>
      <c r="AJ151" s="252">
        <f t="shared" si="14"/>
        <v>0</v>
      </c>
    </row>
    <row r="152" spans="1:36" x14ac:dyDescent="0.2">
      <c r="A152" s="253" t="str">
        <f t="shared" si="10"/>
        <v>3321SNCERAMDAPFL38</v>
      </c>
      <c r="B152" s="252" t="s">
        <v>19</v>
      </c>
      <c r="C152" s="252" t="s">
        <v>20</v>
      </c>
      <c r="D152" s="252" t="s">
        <v>21</v>
      </c>
      <c r="E152" s="252" t="s">
        <v>719</v>
      </c>
      <c r="F152" s="252" t="s">
        <v>70</v>
      </c>
      <c r="G152" s="252">
        <v>38</v>
      </c>
      <c r="H152" s="252" t="s">
        <v>928</v>
      </c>
      <c r="I152" s="252" t="s">
        <v>2471</v>
      </c>
      <c r="J152" s="252" t="s">
        <v>928</v>
      </c>
      <c r="K152" s="252" t="s">
        <v>3236</v>
      </c>
      <c r="L152" s="252">
        <v>8.9854299999999991</v>
      </c>
      <c r="M152" s="252">
        <v>98.5</v>
      </c>
      <c r="N152" s="252">
        <v>0</v>
      </c>
      <c r="O152" s="252">
        <v>0</v>
      </c>
      <c r="P152" s="252">
        <v>0</v>
      </c>
      <c r="Q152" s="252">
        <v>0</v>
      </c>
      <c r="R152" s="252">
        <v>0</v>
      </c>
      <c r="S152" s="252">
        <v>0</v>
      </c>
      <c r="T152" s="252">
        <v>3.3700299999999999</v>
      </c>
      <c r="U152" s="252">
        <v>0.54300999999999999</v>
      </c>
      <c r="V152" s="252">
        <v>0.27496999999999999</v>
      </c>
      <c r="W152" s="252">
        <v>1.0619499999999999</v>
      </c>
      <c r="X152" s="252">
        <v>0</v>
      </c>
      <c r="Y152" s="252">
        <v>0</v>
      </c>
      <c r="Z152" s="252">
        <v>2.2983600000000002</v>
      </c>
      <c r="AA152" s="252">
        <v>1.4371100000000001</v>
      </c>
      <c r="AB152" s="252">
        <v>0</v>
      </c>
      <c r="AC152" s="252">
        <v>0</v>
      </c>
      <c r="AD152" s="252">
        <v>1</v>
      </c>
      <c r="AE152" s="252" t="s">
        <v>20</v>
      </c>
      <c r="AF152" s="252" t="s">
        <v>718</v>
      </c>
      <c r="AG152" s="252">
        <f t="shared" si="11"/>
        <v>0</v>
      </c>
      <c r="AH152" s="252">
        <f t="shared" si="12"/>
        <v>0</v>
      </c>
      <c r="AI152" s="252">
        <f t="shared" si="13"/>
        <v>0</v>
      </c>
      <c r="AJ152" s="252">
        <f t="shared" si="14"/>
        <v>0</v>
      </c>
    </row>
    <row r="153" spans="1:36" x14ac:dyDescent="0.2">
      <c r="A153" s="253" t="str">
        <f t="shared" si="10"/>
        <v>331SNCERAMDARX38</v>
      </c>
      <c r="B153" s="252" t="s">
        <v>19</v>
      </c>
      <c r="C153" s="252" t="s">
        <v>20</v>
      </c>
      <c r="D153" s="252" t="s">
        <v>21</v>
      </c>
      <c r="E153" s="252" t="s">
        <v>719</v>
      </c>
      <c r="F153" s="252" t="s">
        <v>74</v>
      </c>
      <c r="G153" s="252">
        <v>38</v>
      </c>
      <c r="H153" s="252" t="s">
        <v>928</v>
      </c>
      <c r="I153" s="252" t="s">
        <v>2466</v>
      </c>
      <c r="J153" s="252" t="s">
        <v>928</v>
      </c>
      <c r="K153" s="252" t="s">
        <v>3236</v>
      </c>
      <c r="L153" s="252">
        <v>21.169889999999999</v>
      </c>
      <c r="M153" s="252">
        <v>91</v>
      </c>
      <c r="N153" s="252">
        <v>0</v>
      </c>
      <c r="O153" s="252">
        <v>0</v>
      </c>
      <c r="P153" s="252">
        <v>0</v>
      </c>
      <c r="Q153" s="252">
        <v>0</v>
      </c>
      <c r="R153" s="252">
        <v>0</v>
      </c>
      <c r="S153" s="252">
        <v>0</v>
      </c>
      <c r="T153" s="252">
        <v>4.43004</v>
      </c>
      <c r="U153" s="252">
        <v>4.7891000000000004</v>
      </c>
      <c r="V153" s="252">
        <v>0.48893999999999999</v>
      </c>
      <c r="W153" s="252">
        <v>2.0339100000000001</v>
      </c>
      <c r="X153" s="252">
        <v>0</v>
      </c>
      <c r="Y153" s="252">
        <v>0</v>
      </c>
      <c r="Z153" s="252">
        <v>6.5434799999999997</v>
      </c>
      <c r="AA153" s="252">
        <v>2.88442</v>
      </c>
      <c r="AB153" s="252">
        <v>0</v>
      </c>
      <c r="AC153" s="252">
        <v>0</v>
      </c>
      <c r="AD153" s="252">
        <v>1</v>
      </c>
      <c r="AE153" s="252" t="s">
        <v>20</v>
      </c>
      <c r="AF153" s="252" t="s">
        <v>718</v>
      </c>
      <c r="AG153" s="252">
        <f t="shared" si="11"/>
        <v>0</v>
      </c>
      <c r="AH153" s="252">
        <f t="shared" si="12"/>
        <v>0</v>
      </c>
      <c r="AI153" s="252">
        <f t="shared" si="13"/>
        <v>0</v>
      </c>
      <c r="AJ153" s="252">
        <f t="shared" si="14"/>
        <v>0</v>
      </c>
    </row>
    <row r="154" spans="1:36" x14ac:dyDescent="0.2">
      <c r="A154" s="253" t="str">
        <f t="shared" si="10"/>
        <v>3SNCERAMFACR31</v>
      </c>
      <c r="B154" s="252" t="s">
        <v>19</v>
      </c>
      <c r="C154" s="252" t="s">
        <v>20</v>
      </c>
      <c r="D154" s="252" t="s">
        <v>21</v>
      </c>
      <c r="E154" s="252" t="s">
        <v>719</v>
      </c>
      <c r="F154" s="252" t="s">
        <v>80</v>
      </c>
      <c r="G154" s="252">
        <v>31</v>
      </c>
      <c r="H154" s="252" t="s">
        <v>928</v>
      </c>
      <c r="I154" s="252" t="s">
        <v>2465</v>
      </c>
      <c r="J154" s="252" t="s">
        <v>928</v>
      </c>
      <c r="K154" s="252" t="s">
        <v>3236</v>
      </c>
      <c r="L154" s="252">
        <v>18.557539999999999</v>
      </c>
      <c r="M154" s="252">
        <v>92.9</v>
      </c>
      <c r="N154" s="252">
        <v>0</v>
      </c>
      <c r="O154" s="252">
        <v>0</v>
      </c>
      <c r="P154" s="252">
        <v>0</v>
      </c>
      <c r="Q154" s="252">
        <v>0</v>
      </c>
      <c r="R154" s="252">
        <v>0</v>
      </c>
      <c r="S154" s="252">
        <v>0</v>
      </c>
      <c r="T154" s="252">
        <v>4.7400399999999996</v>
      </c>
      <c r="U154" s="252">
        <v>2.8970600000000002</v>
      </c>
      <c r="V154" s="252">
        <v>0.44895000000000002</v>
      </c>
      <c r="W154" s="252">
        <v>1.86591</v>
      </c>
      <c r="X154" s="252">
        <v>0</v>
      </c>
      <c r="Y154" s="252">
        <v>0</v>
      </c>
      <c r="Z154" s="252">
        <v>5.9578499999999996</v>
      </c>
      <c r="AA154" s="252">
        <v>2.6477300000000001</v>
      </c>
      <c r="AB154" s="252">
        <v>0</v>
      </c>
      <c r="AC154" s="252">
        <v>0</v>
      </c>
      <c r="AD154" s="252">
        <v>1</v>
      </c>
      <c r="AE154" s="252" t="s">
        <v>20</v>
      </c>
      <c r="AF154" s="252" t="s">
        <v>718</v>
      </c>
      <c r="AG154" s="252">
        <f t="shared" si="11"/>
        <v>0</v>
      </c>
      <c r="AH154" s="252">
        <f t="shared" si="12"/>
        <v>0</v>
      </c>
      <c r="AI154" s="252">
        <f t="shared" si="13"/>
        <v>0</v>
      </c>
      <c r="AJ154" s="252">
        <f t="shared" si="14"/>
        <v>0</v>
      </c>
    </row>
    <row r="155" spans="1:36" x14ac:dyDescent="0.2">
      <c r="A155" s="253" t="str">
        <f t="shared" si="10"/>
        <v>3RSNCERAMFARX38</v>
      </c>
      <c r="B155" s="252" t="s">
        <v>19</v>
      </c>
      <c r="C155" s="252" t="s">
        <v>20</v>
      </c>
      <c r="D155" s="252" t="s">
        <v>21</v>
      </c>
      <c r="E155" s="252" t="s">
        <v>719</v>
      </c>
      <c r="F155" s="252" t="s">
        <v>84</v>
      </c>
      <c r="G155" s="252">
        <v>38</v>
      </c>
      <c r="H155" s="252" t="s">
        <v>928</v>
      </c>
      <c r="I155" s="252" t="s">
        <v>86</v>
      </c>
      <c r="J155" s="252" t="s">
        <v>928</v>
      </c>
      <c r="K155" s="252" t="s">
        <v>3236</v>
      </c>
      <c r="L155" s="252">
        <v>18.633900000000001</v>
      </c>
      <c r="M155" s="252">
        <v>96.5</v>
      </c>
      <c r="N155" s="252">
        <v>0</v>
      </c>
      <c r="O155" s="252">
        <v>0</v>
      </c>
      <c r="P155" s="252">
        <v>0</v>
      </c>
      <c r="Q155" s="252">
        <v>0</v>
      </c>
      <c r="R155" s="252">
        <v>0</v>
      </c>
      <c r="S155" s="252">
        <v>0</v>
      </c>
      <c r="T155" s="252">
        <v>4.7400399999999996</v>
      </c>
      <c r="U155" s="252">
        <v>3.1180599999999998</v>
      </c>
      <c r="V155" s="252">
        <v>0.46794999999999998</v>
      </c>
      <c r="W155" s="252">
        <v>1.9129100000000001</v>
      </c>
      <c r="X155" s="252">
        <v>0</v>
      </c>
      <c r="Y155" s="252">
        <v>0</v>
      </c>
      <c r="Z155" s="252">
        <v>5.7177600000000002</v>
      </c>
      <c r="AA155" s="252">
        <v>2.6771799999999999</v>
      </c>
      <c r="AB155" s="252">
        <v>0</v>
      </c>
      <c r="AC155" s="252">
        <v>0</v>
      </c>
      <c r="AD155" s="252">
        <v>1</v>
      </c>
      <c r="AE155" s="252" t="s">
        <v>20</v>
      </c>
      <c r="AF155" s="252" t="s">
        <v>718</v>
      </c>
      <c r="AG155" s="252">
        <f t="shared" si="11"/>
        <v>0</v>
      </c>
      <c r="AH155" s="252">
        <f t="shared" si="12"/>
        <v>0</v>
      </c>
      <c r="AI155" s="252">
        <f t="shared" si="13"/>
        <v>0</v>
      </c>
      <c r="AJ155" s="252">
        <f t="shared" si="14"/>
        <v>0</v>
      </c>
    </row>
    <row r="156" spans="1:36" x14ac:dyDescent="0.2">
      <c r="A156" s="253" t="str">
        <f t="shared" si="10"/>
        <v>3SNCERAMFAS75</v>
      </c>
      <c r="B156" s="252" t="s">
        <v>19</v>
      </c>
      <c r="C156" s="252" t="s">
        <v>20</v>
      </c>
      <c r="D156" s="252" t="s">
        <v>21</v>
      </c>
      <c r="E156" s="252" t="s">
        <v>719</v>
      </c>
      <c r="F156" s="252" t="s">
        <v>88</v>
      </c>
      <c r="G156" s="252">
        <v>75</v>
      </c>
      <c r="H156" s="252" t="s">
        <v>928</v>
      </c>
      <c r="I156" s="252" t="s">
        <v>2465</v>
      </c>
      <c r="J156" s="252" t="s">
        <v>928</v>
      </c>
      <c r="K156" s="252" t="s">
        <v>3236</v>
      </c>
      <c r="L156" s="252">
        <v>39.703980000000001</v>
      </c>
      <c r="M156" s="252">
        <v>75.5</v>
      </c>
      <c r="N156" s="252">
        <v>0</v>
      </c>
      <c r="O156" s="252">
        <v>0</v>
      </c>
      <c r="P156" s="252">
        <v>0</v>
      </c>
      <c r="Q156" s="252">
        <v>0</v>
      </c>
      <c r="R156" s="252">
        <v>0</v>
      </c>
      <c r="S156" s="252">
        <v>0</v>
      </c>
      <c r="T156" s="252">
        <v>5.1400499999999996</v>
      </c>
      <c r="U156" s="252">
        <v>8.9061800000000009</v>
      </c>
      <c r="V156" s="252">
        <v>0.71392</v>
      </c>
      <c r="W156" s="252">
        <v>3.42184</v>
      </c>
      <c r="X156" s="252">
        <v>0</v>
      </c>
      <c r="Y156" s="252">
        <v>0</v>
      </c>
      <c r="Z156" s="252">
        <v>15.973979999999999</v>
      </c>
      <c r="AA156" s="252">
        <v>5.5480099999999997</v>
      </c>
      <c r="AB156" s="252">
        <v>0</v>
      </c>
      <c r="AC156" s="252">
        <v>0</v>
      </c>
      <c r="AD156" s="252">
        <v>1</v>
      </c>
      <c r="AE156" s="252" t="s">
        <v>20</v>
      </c>
      <c r="AF156" s="252" t="s">
        <v>718</v>
      </c>
      <c r="AG156" s="252">
        <f t="shared" si="11"/>
        <v>0</v>
      </c>
      <c r="AH156" s="252">
        <f t="shared" si="12"/>
        <v>0</v>
      </c>
      <c r="AI156" s="252">
        <f t="shared" si="13"/>
        <v>0</v>
      </c>
      <c r="AJ156" s="252">
        <f t="shared" si="14"/>
        <v>0</v>
      </c>
    </row>
    <row r="157" spans="1:36" x14ac:dyDescent="0.2">
      <c r="A157" s="253" t="str">
        <f t="shared" si="10"/>
        <v>3SNCERAMFAS100</v>
      </c>
      <c r="B157" s="252" t="s">
        <v>19</v>
      </c>
      <c r="C157" s="252" t="s">
        <v>20</v>
      </c>
      <c r="D157" s="252" t="s">
        <v>21</v>
      </c>
      <c r="E157" s="252" t="s">
        <v>719</v>
      </c>
      <c r="F157" s="252" t="s">
        <v>88</v>
      </c>
      <c r="G157" s="252">
        <v>100</v>
      </c>
      <c r="H157" s="252" t="s">
        <v>928</v>
      </c>
      <c r="I157" s="252" t="s">
        <v>2465</v>
      </c>
      <c r="J157" s="252" t="s">
        <v>928</v>
      </c>
      <c r="K157" s="252" t="s">
        <v>3236</v>
      </c>
      <c r="L157" s="252">
        <v>55.40992</v>
      </c>
      <c r="M157" s="252">
        <v>88.7</v>
      </c>
      <c r="N157" s="252">
        <v>0</v>
      </c>
      <c r="O157" s="252">
        <v>0</v>
      </c>
      <c r="P157" s="252">
        <v>0</v>
      </c>
      <c r="Q157" s="252">
        <v>0</v>
      </c>
      <c r="R157" s="252">
        <v>0</v>
      </c>
      <c r="S157" s="252">
        <v>0</v>
      </c>
      <c r="T157" s="252">
        <v>5.1400499999999996</v>
      </c>
      <c r="U157" s="252">
        <v>14.203290000000001</v>
      </c>
      <c r="V157" s="252">
        <v>1.11287</v>
      </c>
      <c r="W157" s="252">
        <v>5.1247600000000002</v>
      </c>
      <c r="X157" s="252">
        <v>0</v>
      </c>
      <c r="Y157" s="252">
        <v>0</v>
      </c>
      <c r="Z157" s="252">
        <v>21.76005</v>
      </c>
      <c r="AA157" s="252">
        <v>8.0688999999999993</v>
      </c>
      <c r="AB157" s="252">
        <v>0</v>
      </c>
      <c r="AC157" s="252">
        <v>0</v>
      </c>
      <c r="AD157" s="252">
        <v>1</v>
      </c>
      <c r="AE157" s="252" t="s">
        <v>20</v>
      </c>
      <c r="AF157" s="252" t="s">
        <v>718</v>
      </c>
      <c r="AG157" s="252">
        <f t="shared" si="11"/>
        <v>0</v>
      </c>
      <c r="AH157" s="252">
        <f t="shared" si="12"/>
        <v>0</v>
      </c>
      <c r="AI157" s="252">
        <f t="shared" si="13"/>
        <v>0</v>
      </c>
      <c r="AJ157" s="252">
        <f t="shared" si="14"/>
        <v>0</v>
      </c>
    </row>
    <row r="158" spans="1:36" x14ac:dyDescent="0.2">
      <c r="A158" s="253" t="str">
        <f t="shared" si="10"/>
        <v>331SNCERAMFAS100</v>
      </c>
      <c r="B158" s="252" t="s">
        <v>19</v>
      </c>
      <c r="C158" s="252" t="s">
        <v>20</v>
      </c>
      <c r="D158" s="252" t="s">
        <v>21</v>
      </c>
      <c r="E158" s="252" t="s">
        <v>719</v>
      </c>
      <c r="F158" s="252" t="s">
        <v>88</v>
      </c>
      <c r="G158" s="252">
        <v>100</v>
      </c>
      <c r="H158" s="252" t="s">
        <v>928</v>
      </c>
      <c r="I158" s="252" t="s">
        <v>2466</v>
      </c>
      <c r="J158" s="252" t="s">
        <v>928</v>
      </c>
      <c r="K158" s="252" t="s">
        <v>3236</v>
      </c>
      <c r="L158" s="252">
        <v>55.943600000000004</v>
      </c>
      <c r="M158" s="252">
        <v>80.8</v>
      </c>
      <c r="N158" s="252">
        <v>0</v>
      </c>
      <c r="O158" s="252">
        <v>0</v>
      </c>
      <c r="P158" s="252">
        <v>0</v>
      </c>
      <c r="Q158" s="252">
        <v>0</v>
      </c>
      <c r="R158" s="252">
        <v>0</v>
      </c>
      <c r="S158" s="252">
        <v>0</v>
      </c>
      <c r="T158" s="252">
        <v>5.1400499999999996</v>
      </c>
      <c r="U158" s="252">
        <v>17.250350000000001</v>
      </c>
      <c r="V158" s="252">
        <v>1.2218599999999999</v>
      </c>
      <c r="W158" s="252">
        <v>5.29176</v>
      </c>
      <c r="X158" s="252">
        <v>0</v>
      </c>
      <c r="Y158" s="252">
        <v>0</v>
      </c>
      <c r="Z158" s="252">
        <v>19.173390000000001</v>
      </c>
      <c r="AA158" s="252">
        <v>7.8661899999999996</v>
      </c>
      <c r="AB158" s="252">
        <v>0</v>
      </c>
      <c r="AC158" s="252">
        <v>0</v>
      </c>
      <c r="AD158" s="252">
        <v>1</v>
      </c>
      <c r="AE158" s="252" t="s">
        <v>20</v>
      </c>
      <c r="AF158" s="252" t="s">
        <v>718</v>
      </c>
      <c r="AG158" s="252">
        <f t="shared" si="11"/>
        <v>0</v>
      </c>
      <c r="AH158" s="252">
        <f t="shared" si="12"/>
        <v>0</v>
      </c>
      <c r="AI158" s="252">
        <f t="shared" si="13"/>
        <v>0</v>
      </c>
      <c r="AJ158" s="252">
        <f t="shared" si="14"/>
        <v>0</v>
      </c>
    </row>
    <row r="159" spans="1:36" x14ac:dyDescent="0.2">
      <c r="A159" s="253" t="str">
        <f t="shared" si="10"/>
        <v>3SNCERAMFAS125</v>
      </c>
      <c r="B159" s="252" t="s">
        <v>19</v>
      </c>
      <c r="C159" s="252" t="s">
        <v>20</v>
      </c>
      <c r="D159" s="252" t="s">
        <v>21</v>
      </c>
      <c r="E159" s="252" t="s">
        <v>719</v>
      </c>
      <c r="F159" s="252" t="s">
        <v>88</v>
      </c>
      <c r="G159" s="252">
        <v>125</v>
      </c>
      <c r="H159" s="252" t="s">
        <v>928</v>
      </c>
      <c r="I159" s="252" t="s">
        <v>2465</v>
      </c>
      <c r="J159" s="252" t="s">
        <v>928</v>
      </c>
      <c r="K159" s="252" t="s">
        <v>3236</v>
      </c>
      <c r="L159" s="252">
        <v>165.77850000000001</v>
      </c>
      <c r="M159" s="252">
        <v>76</v>
      </c>
      <c r="N159" s="252">
        <v>0</v>
      </c>
      <c r="O159" s="252">
        <v>0</v>
      </c>
      <c r="P159" s="252">
        <v>0</v>
      </c>
      <c r="Q159" s="252">
        <v>0</v>
      </c>
      <c r="R159" s="252">
        <v>0</v>
      </c>
      <c r="S159" s="252">
        <v>0</v>
      </c>
      <c r="T159" s="252">
        <v>5.1400499999999996</v>
      </c>
      <c r="U159" s="252">
        <v>57.748179999999998</v>
      </c>
      <c r="V159" s="252">
        <v>1.08487</v>
      </c>
      <c r="W159" s="252">
        <v>8.7286000000000001</v>
      </c>
      <c r="X159" s="252">
        <v>0</v>
      </c>
      <c r="Y159" s="252">
        <v>0</v>
      </c>
      <c r="Z159" s="252">
        <v>74.099879999999999</v>
      </c>
      <c r="AA159" s="252">
        <v>18.97692</v>
      </c>
      <c r="AB159" s="252">
        <v>0</v>
      </c>
      <c r="AC159" s="252">
        <v>0</v>
      </c>
      <c r="AD159" s="252">
        <v>1</v>
      </c>
      <c r="AE159" s="252" t="s">
        <v>720</v>
      </c>
      <c r="AF159" s="252" t="s">
        <v>721</v>
      </c>
      <c r="AG159" s="252">
        <f t="shared" si="11"/>
        <v>0</v>
      </c>
      <c r="AH159" s="252">
        <f t="shared" si="12"/>
        <v>0</v>
      </c>
      <c r="AI159" s="252">
        <f t="shared" si="13"/>
        <v>0</v>
      </c>
      <c r="AJ159" s="252">
        <f t="shared" si="14"/>
        <v>0</v>
      </c>
    </row>
    <row r="160" spans="1:36" x14ac:dyDescent="0.2">
      <c r="A160" s="253" t="str">
        <f t="shared" si="10"/>
        <v>3SNCERAMFAS188</v>
      </c>
      <c r="B160" s="252" t="s">
        <v>19</v>
      </c>
      <c r="C160" s="252" t="s">
        <v>20</v>
      </c>
      <c r="D160" s="252" t="s">
        <v>21</v>
      </c>
      <c r="E160" s="252" t="s">
        <v>719</v>
      </c>
      <c r="F160" s="252" t="s">
        <v>88</v>
      </c>
      <c r="G160" s="252">
        <v>188</v>
      </c>
      <c r="H160" s="252" t="s">
        <v>928</v>
      </c>
      <c r="I160" s="252" t="s">
        <v>2465</v>
      </c>
      <c r="J160" s="252" t="s">
        <v>928</v>
      </c>
      <c r="K160" s="252" t="s">
        <v>3236</v>
      </c>
      <c r="L160" s="252">
        <v>33.236780000000003</v>
      </c>
      <c r="M160" s="252">
        <v>89</v>
      </c>
      <c r="N160" s="252">
        <v>0</v>
      </c>
      <c r="O160" s="252">
        <v>0</v>
      </c>
      <c r="P160" s="252">
        <v>0</v>
      </c>
      <c r="Q160" s="252">
        <v>0</v>
      </c>
      <c r="R160" s="252">
        <v>0</v>
      </c>
      <c r="S160" s="252">
        <v>0</v>
      </c>
      <c r="T160" s="252">
        <v>5.1400499999999996</v>
      </c>
      <c r="U160" s="252">
        <v>4.8041</v>
      </c>
      <c r="V160" s="252">
        <v>1.2248600000000001</v>
      </c>
      <c r="W160" s="252">
        <v>4.7737800000000004</v>
      </c>
      <c r="X160" s="252">
        <v>0</v>
      </c>
      <c r="Y160" s="252">
        <v>0</v>
      </c>
      <c r="Z160" s="252">
        <v>10.767519999999999</v>
      </c>
      <c r="AA160" s="252">
        <v>6.5264699999999998</v>
      </c>
      <c r="AB160" s="252">
        <v>0</v>
      </c>
      <c r="AC160" s="252">
        <v>0</v>
      </c>
      <c r="AD160" s="252">
        <v>1</v>
      </c>
      <c r="AE160" s="252" t="s">
        <v>720</v>
      </c>
      <c r="AF160" s="252" t="s">
        <v>721</v>
      </c>
      <c r="AG160" s="252">
        <f t="shared" si="11"/>
        <v>0</v>
      </c>
      <c r="AH160" s="252">
        <f t="shared" si="12"/>
        <v>0</v>
      </c>
      <c r="AI160" s="252">
        <f t="shared" si="13"/>
        <v>0</v>
      </c>
      <c r="AJ160" s="252">
        <f t="shared" si="14"/>
        <v>0</v>
      </c>
    </row>
    <row r="161" spans="1:36" x14ac:dyDescent="0.2">
      <c r="A161" s="253" t="str">
        <f t="shared" si="10"/>
        <v>3HSNCERAMFAS188</v>
      </c>
      <c r="B161" s="252" t="s">
        <v>19</v>
      </c>
      <c r="C161" s="252" t="s">
        <v>20</v>
      </c>
      <c r="D161" s="252" t="s">
        <v>21</v>
      </c>
      <c r="E161" s="252" t="s">
        <v>719</v>
      </c>
      <c r="F161" s="252" t="s">
        <v>88</v>
      </c>
      <c r="G161" s="252">
        <v>188</v>
      </c>
      <c r="H161" s="252" t="s">
        <v>928</v>
      </c>
      <c r="I161" s="252" t="s">
        <v>96</v>
      </c>
      <c r="J161" s="252" t="s">
        <v>928</v>
      </c>
      <c r="K161" s="252" t="s">
        <v>3236</v>
      </c>
      <c r="L161" s="252">
        <v>90.508769999999998</v>
      </c>
      <c r="M161" s="252">
        <v>75</v>
      </c>
      <c r="N161" s="252">
        <v>0</v>
      </c>
      <c r="O161" s="252">
        <v>0</v>
      </c>
      <c r="P161" s="252">
        <v>0</v>
      </c>
      <c r="Q161" s="252">
        <v>0</v>
      </c>
      <c r="R161" s="252">
        <v>0</v>
      </c>
      <c r="S161" s="252">
        <v>0</v>
      </c>
      <c r="T161" s="252">
        <v>5.1400499999999996</v>
      </c>
      <c r="U161" s="252">
        <v>29.343599999999999</v>
      </c>
      <c r="V161" s="252">
        <v>1.34084</v>
      </c>
      <c r="W161" s="252">
        <v>6.8686800000000003</v>
      </c>
      <c r="X161" s="252">
        <v>0</v>
      </c>
      <c r="Y161" s="252">
        <v>0</v>
      </c>
      <c r="Z161" s="252">
        <v>35.998199999999997</v>
      </c>
      <c r="AA161" s="252">
        <v>11.817399999999999</v>
      </c>
      <c r="AB161" s="252">
        <v>0</v>
      </c>
      <c r="AC161" s="252">
        <v>0</v>
      </c>
      <c r="AD161" s="252">
        <v>1</v>
      </c>
      <c r="AE161" s="252" t="s">
        <v>720</v>
      </c>
      <c r="AF161" s="252" t="s">
        <v>721</v>
      </c>
      <c r="AG161" s="252">
        <f t="shared" si="11"/>
        <v>0</v>
      </c>
      <c r="AH161" s="252">
        <f t="shared" si="12"/>
        <v>0</v>
      </c>
      <c r="AI161" s="252">
        <f t="shared" si="13"/>
        <v>0</v>
      </c>
      <c r="AJ161" s="252">
        <f t="shared" si="14"/>
        <v>0</v>
      </c>
    </row>
    <row r="162" spans="1:36" x14ac:dyDescent="0.2">
      <c r="A162" s="253" t="str">
        <f t="shared" si="10"/>
        <v>9SNCERAMFSBS188</v>
      </c>
      <c r="B162" s="252" t="s">
        <v>19</v>
      </c>
      <c r="C162" s="252" t="s">
        <v>20</v>
      </c>
      <c r="D162" s="252" t="s">
        <v>21</v>
      </c>
      <c r="E162" s="252" t="s">
        <v>719</v>
      </c>
      <c r="F162" s="252" t="s">
        <v>2472</v>
      </c>
      <c r="G162" s="252">
        <v>188</v>
      </c>
      <c r="H162" s="252" t="s">
        <v>928</v>
      </c>
      <c r="I162" s="252" t="s">
        <v>2469</v>
      </c>
      <c r="J162" s="252" t="s">
        <v>928</v>
      </c>
      <c r="K162" s="252" t="s">
        <v>3236</v>
      </c>
      <c r="L162" s="252">
        <v>384.54</v>
      </c>
      <c r="M162" s="252">
        <v>70</v>
      </c>
      <c r="N162" s="252">
        <v>0</v>
      </c>
      <c r="O162" s="252">
        <v>0</v>
      </c>
      <c r="P162" s="252">
        <v>0</v>
      </c>
      <c r="Q162" s="252">
        <v>384.54</v>
      </c>
      <c r="R162" s="252">
        <v>0</v>
      </c>
      <c r="S162" s="252">
        <v>0</v>
      </c>
      <c r="T162" s="252">
        <v>0</v>
      </c>
      <c r="U162" s="252">
        <v>0</v>
      </c>
      <c r="V162" s="252">
        <v>0</v>
      </c>
      <c r="W162" s="252">
        <v>0</v>
      </c>
      <c r="X162" s="252">
        <v>0</v>
      </c>
      <c r="Y162" s="252">
        <v>0</v>
      </c>
      <c r="Z162" s="252">
        <v>0</v>
      </c>
      <c r="AA162" s="252">
        <v>0</v>
      </c>
      <c r="AB162" s="252">
        <v>0</v>
      </c>
      <c r="AC162" s="252">
        <v>0</v>
      </c>
      <c r="AD162" s="252">
        <v>1</v>
      </c>
      <c r="AE162" s="252" t="s">
        <v>720</v>
      </c>
      <c r="AF162" s="252" t="s">
        <v>721</v>
      </c>
      <c r="AG162" s="252">
        <f t="shared" si="11"/>
        <v>0</v>
      </c>
      <c r="AH162" s="252">
        <f t="shared" si="12"/>
        <v>0</v>
      </c>
      <c r="AI162" s="252">
        <f t="shared" si="13"/>
        <v>0</v>
      </c>
      <c r="AJ162" s="252">
        <f t="shared" si="14"/>
        <v>0</v>
      </c>
    </row>
    <row r="163" spans="1:36" x14ac:dyDescent="0.2">
      <c r="A163" s="253" t="str">
        <f t="shared" si="10"/>
        <v>3SNCERASY0825</v>
      </c>
      <c r="B163" s="252" t="s">
        <v>19</v>
      </c>
      <c r="C163" s="252" t="s">
        <v>20</v>
      </c>
      <c r="D163" s="252" t="s">
        <v>21</v>
      </c>
      <c r="E163" s="252" t="s">
        <v>719</v>
      </c>
      <c r="F163" s="252" t="s">
        <v>99</v>
      </c>
      <c r="G163" s="252">
        <v>25</v>
      </c>
      <c r="H163" s="252" t="s">
        <v>928</v>
      </c>
      <c r="I163" s="252" t="s">
        <v>2465</v>
      </c>
      <c r="J163" s="252" t="s">
        <v>928</v>
      </c>
      <c r="K163" s="252" t="s">
        <v>3236</v>
      </c>
      <c r="L163" s="252">
        <v>57.244210000000002</v>
      </c>
      <c r="M163" s="252">
        <v>91.6</v>
      </c>
      <c r="N163" s="252">
        <v>0</v>
      </c>
      <c r="O163" s="252">
        <v>17.576419999999999</v>
      </c>
      <c r="P163" s="252">
        <v>0</v>
      </c>
      <c r="Q163" s="252">
        <v>0</v>
      </c>
      <c r="R163" s="252">
        <v>0</v>
      </c>
      <c r="S163" s="252">
        <v>0</v>
      </c>
      <c r="T163" s="252">
        <v>19.52017</v>
      </c>
      <c r="U163" s="252">
        <v>2.7850600000000001</v>
      </c>
      <c r="V163" s="252">
        <v>0.75390999999999997</v>
      </c>
      <c r="W163" s="252">
        <v>3.08386</v>
      </c>
      <c r="X163" s="252">
        <v>0</v>
      </c>
      <c r="Y163" s="252">
        <v>0</v>
      </c>
      <c r="Z163" s="252">
        <v>9.1874000000000002</v>
      </c>
      <c r="AA163" s="252">
        <v>4.3373900000000001</v>
      </c>
      <c r="AB163" s="252">
        <v>0</v>
      </c>
      <c r="AC163" s="252">
        <v>0</v>
      </c>
      <c r="AD163" s="252">
        <v>1</v>
      </c>
      <c r="AE163" s="252" t="s">
        <v>720</v>
      </c>
      <c r="AF163" s="252" t="s">
        <v>721</v>
      </c>
      <c r="AG163" s="252">
        <f t="shared" si="11"/>
        <v>16.100000719999997</v>
      </c>
      <c r="AH163" s="252">
        <f t="shared" si="12"/>
        <v>0</v>
      </c>
      <c r="AI163" s="252">
        <f t="shared" si="13"/>
        <v>0</v>
      </c>
      <c r="AJ163" s="252">
        <f t="shared" si="14"/>
        <v>16.100000719999997</v>
      </c>
    </row>
    <row r="164" spans="1:36" x14ac:dyDescent="0.2">
      <c r="A164" s="253" t="str">
        <f t="shared" si="10"/>
        <v>9SNCERAWDS50</v>
      </c>
      <c r="B164" s="252" t="s">
        <v>19</v>
      </c>
      <c r="C164" s="252" t="s">
        <v>20</v>
      </c>
      <c r="D164" s="252" t="s">
        <v>21</v>
      </c>
      <c r="E164" s="252" t="s">
        <v>719</v>
      </c>
      <c r="F164" s="252" t="s">
        <v>2473</v>
      </c>
      <c r="G164" s="252">
        <v>50</v>
      </c>
      <c r="H164" s="252" t="s">
        <v>928</v>
      </c>
      <c r="I164" s="252" t="s">
        <v>2469</v>
      </c>
      <c r="J164" s="252" t="s">
        <v>928</v>
      </c>
      <c r="K164" s="252" t="s">
        <v>3236</v>
      </c>
      <c r="L164" s="252">
        <v>34</v>
      </c>
      <c r="M164" s="252">
        <v>95</v>
      </c>
      <c r="N164" s="252">
        <v>0</v>
      </c>
      <c r="O164" s="252">
        <v>0</v>
      </c>
      <c r="P164" s="252">
        <v>0</v>
      </c>
      <c r="Q164" s="252">
        <v>34</v>
      </c>
      <c r="R164" s="252">
        <v>0</v>
      </c>
      <c r="S164" s="252">
        <v>0</v>
      </c>
      <c r="T164" s="252">
        <v>0</v>
      </c>
      <c r="U164" s="252">
        <v>0</v>
      </c>
      <c r="V164" s="252">
        <v>0</v>
      </c>
      <c r="W164" s="252">
        <v>0</v>
      </c>
      <c r="X164" s="252">
        <v>0</v>
      </c>
      <c r="Y164" s="252">
        <v>0</v>
      </c>
      <c r="Z164" s="252">
        <v>0</v>
      </c>
      <c r="AA164" s="252">
        <v>0</v>
      </c>
      <c r="AB164" s="252">
        <v>0</v>
      </c>
      <c r="AC164" s="252">
        <v>0</v>
      </c>
      <c r="AD164" s="252">
        <v>1</v>
      </c>
      <c r="AE164" s="252" t="s">
        <v>720</v>
      </c>
      <c r="AF164" s="252" t="s">
        <v>721</v>
      </c>
      <c r="AG164" s="252">
        <f t="shared" si="11"/>
        <v>0</v>
      </c>
      <c r="AH164" s="252">
        <f t="shared" si="12"/>
        <v>0</v>
      </c>
      <c r="AI164" s="252">
        <f t="shared" si="13"/>
        <v>0</v>
      </c>
      <c r="AJ164" s="252">
        <f t="shared" si="14"/>
        <v>0</v>
      </c>
    </row>
    <row r="165" spans="1:36" x14ac:dyDescent="0.2">
      <c r="A165" s="253" t="str">
        <f t="shared" si="10"/>
        <v>9SNCERAWDS75</v>
      </c>
      <c r="B165" s="252" t="s">
        <v>19</v>
      </c>
      <c r="C165" s="252" t="s">
        <v>20</v>
      </c>
      <c r="D165" s="252" t="s">
        <v>21</v>
      </c>
      <c r="E165" s="252" t="s">
        <v>719</v>
      </c>
      <c r="F165" s="252" t="s">
        <v>2473</v>
      </c>
      <c r="G165" s="252">
        <v>75</v>
      </c>
      <c r="H165" s="252" t="s">
        <v>928</v>
      </c>
      <c r="I165" s="252" t="s">
        <v>2469</v>
      </c>
      <c r="J165" s="252" t="s">
        <v>928</v>
      </c>
      <c r="K165" s="252" t="s">
        <v>3236</v>
      </c>
      <c r="L165" s="252">
        <v>36.450000000000003</v>
      </c>
      <c r="M165" s="252">
        <v>95</v>
      </c>
      <c r="N165" s="252">
        <v>0</v>
      </c>
      <c r="O165" s="252">
        <v>0</v>
      </c>
      <c r="P165" s="252">
        <v>0</v>
      </c>
      <c r="Q165" s="252">
        <v>36.450000000000003</v>
      </c>
      <c r="R165" s="252">
        <v>0</v>
      </c>
      <c r="S165" s="252">
        <v>0</v>
      </c>
      <c r="T165" s="252">
        <v>0</v>
      </c>
      <c r="U165" s="252">
        <v>0</v>
      </c>
      <c r="V165" s="252">
        <v>0</v>
      </c>
      <c r="W165" s="252">
        <v>0</v>
      </c>
      <c r="X165" s="252">
        <v>0</v>
      </c>
      <c r="Y165" s="252">
        <v>0</v>
      </c>
      <c r="Z165" s="252">
        <v>0</v>
      </c>
      <c r="AA165" s="252">
        <v>0</v>
      </c>
      <c r="AB165" s="252">
        <v>0</v>
      </c>
      <c r="AC165" s="252">
        <v>0</v>
      </c>
      <c r="AD165" s="252">
        <v>1</v>
      </c>
      <c r="AE165" s="252" t="s">
        <v>720</v>
      </c>
      <c r="AF165" s="252" t="s">
        <v>721</v>
      </c>
      <c r="AG165" s="252">
        <f t="shared" si="11"/>
        <v>0</v>
      </c>
      <c r="AH165" s="252">
        <f t="shared" si="12"/>
        <v>0</v>
      </c>
      <c r="AI165" s="252">
        <f t="shared" si="13"/>
        <v>0</v>
      </c>
      <c r="AJ165" s="252">
        <f t="shared" si="14"/>
        <v>0</v>
      </c>
    </row>
    <row r="166" spans="1:36" x14ac:dyDescent="0.2">
      <c r="A166" s="253" t="str">
        <f t="shared" si="10"/>
        <v>9SNCERAWDS125</v>
      </c>
      <c r="B166" s="252" t="s">
        <v>19</v>
      </c>
      <c r="C166" s="252" t="s">
        <v>20</v>
      </c>
      <c r="D166" s="252" t="s">
        <v>21</v>
      </c>
      <c r="E166" s="252" t="s">
        <v>719</v>
      </c>
      <c r="F166" s="252" t="s">
        <v>2473</v>
      </c>
      <c r="G166" s="252">
        <v>125</v>
      </c>
      <c r="H166" s="252" t="s">
        <v>928</v>
      </c>
      <c r="I166" s="252" t="s">
        <v>2469</v>
      </c>
      <c r="J166" s="252" t="s">
        <v>928</v>
      </c>
      <c r="K166" s="252" t="s">
        <v>3236</v>
      </c>
      <c r="L166" s="252">
        <v>43.06</v>
      </c>
      <c r="M166" s="252">
        <v>95</v>
      </c>
      <c r="N166" s="252">
        <v>0</v>
      </c>
      <c r="O166" s="252">
        <v>0</v>
      </c>
      <c r="P166" s="252">
        <v>0</v>
      </c>
      <c r="Q166" s="252">
        <v>43.06</v>
      </c>
      <c r="R166" s="252">
        <v>0</v>
      </c>
      <c r="S166" s="252">
        <v>0</v>
      </c>
      <c r="T166" s="252">
        <v>0</v>
      </c>
      <c r="U166" s="252">
        <v>0</v>
      </c>
      <c r="V166" s="252">
        <v>0</v>
      </c>
      <c r="W166" s="252">
        <v>0</v>
      </c>
      <c r="X166" s="252">
        <v>0</v>
      </c>
      <c r="Y166" s="252">
        <v>0</v>
      </c>
      <c r="Z166" s="252">
        <v>0</v>
      </c>
      <c r="AA166" s="252">
        <v>0</v>
      </c>
      <c r="AB166" s="252">
        <v>0</v>
      </c>
      <c r="AC166" s="252">
        <v>0</v>
      </c>
      <c r="AD166" s="252">
        <v>1</v>
      </c>
      <c r="AE166" s="252" t="s">
        <v>720</v>
      </c>
      <c r="AF166" s="252" t="s">
        <v>721</v>
      </c>
      <c r="AG166" s="252">
        <f t="shared" si="11"/>
        <v>0</v>
      </c>
      <c r="AH166" s="252">
        <f t="shared" si="12"/>
        <v>0</v>
      </c>
      <c r="AI166" s="252">
        <f t="shared" si="13"/>
        <v>0</v>
      </c>
      <c r="AJ166" s="252">
        <f t="shared" si="14"/>
        <v>0</v>
      </c>
    </row>
    <row r="167" spans="1:36" x14ac:dyDescent="0.2">
      <c r="A167" s="253" t="str">
        <f t="shared" si="10"/>
        <v>9SNCERAWDS188</v>
      </c>
      <c r="B167" s="252" t="s">
        <v>19</v>
      </c>
      <c r="C167" s="252" t="s">
        <v>20</v>
      </c>
      <c r="D167" s="252" t="s">
        <v>21</v>
      </c>
      <c r="E167" s="252" t="s">
        <v>719</v>
      </c>
      <c r="F167" s="252" t="s">
        <v>2473</v>
      </c>
      <c r="G167" s="252">
        <v>188</v>
      </c>
      <c r="H167" s="252" t="s">
        <v>928</v>
      </c>
      <c r="I167" s="252" t="s">
        <v>2469</v>
      </c>
      <c r="J167" s="252" t="s">
        <v>928</v>
      </c>
      <c r="K167" s="252" t="s">
        <v>3236</v>
      </c>
      <c r="L167" s="252">
        <v>53.6</v>
      </c>
      <c r="M167" s="252">
        <v>92</v>
      </c>
      <c r="N167" s="252">
        <v>0</v>
      </c>
      <c r="O167" s="252">
        <v>0</v>
      </c>
      <c r="P167" s="252">
        <v>0</v>
      </c>
      <c r="Q167" s="252">
        <v>53.6</v>
      </c>
      <c r="R167" s="252">
        <v>0</v>
      </c>
      <c r="S167" s="252">
        <v>0</v>
      </c>
      <c r="T167" s="252">
        <v>0</v>
      </c>
      <c r="U167" s="252">
        <v>0</v>
      </c>
      <c r="V167" s="252">
        <v>0</v>
      </c>
      <c r="W167" s="252">
        <v>0</v>
      </c>
      <c r="X167" s="252">
        <v>0</v>
      </c>
      <c r="Y167" s="252">
        <v>0</v>
      </c>
      <c r="Z167" s="252">
        <v>0</v>
      </c>
      <c r="AA167" s="252">
        <v>0</v>
      </c>
      <c r="AB167" s="252">
        <v>0</v>
      </c>
      <c r="AC167" s="252">
        <v>0</v>
      </c>
      <c r="AD167" s="252">
        <v>1</v>
      </c>
      <c r="AE167" s="252" t="s">
        <v>720</v>
      </c>
      <c r="AF167" s="252" t="s">
        <v>721</v>
      </c>
      <c r="AG167" s="252">
        <f t="shared" si="11"/>
        <v>0</v>
      </c>
      <c r="AH167" s="252">
        <f t="shared" si="12"/>
        <v>0</v>
      </c>
      <c r="AI167" s="252">
        <f t="shared" si="13"/>
        <v>0</v>
      </c>
      <c r="AJ167" s="252">
        <f t="shared" si="14"/>
        <v>0</v>
      </c>
    </row>
    <row r="168" spans="1:36" x14ac:dyDescent="0.2">
      <c r="A168" s="253" t="str">
        <f t="shared" si="10"/>
        <v>9SNCERAWDS350</v>
      </c>
      <c r="B168" s="252" t="s">
        <v>19</v>
      </c>
      <c r="C168" s="252" t="s">
        <v>20</v>
      </c>
      <c r="D168" s="252" t="s">
        <v>21</v>
      </c>
      <c r="E168" s="252" t="s">
        <v>719</v>
      </c>
      <c r="F168" s="252" t="s">
        <v>2473</v>
      </c>
      <c r="G168" s="252">
        <v>350</v>
      </c>
      <c r="H168" s="252" t="s">
        <v>928</v>
      </c>
      <c r="I168" s="252" t="s">
        <v>2469</v>
      </c>
      <c r="J168" s="252" t="s">
        <v>928</v>
      </c>
      <c r="K168" s="252" t="s">
        <v>3236</v>
      </c>
      <c r="L168" s="252">
        <v>115</v>
      </c>
      <c r="M168" s="252">
        <v>90</v>
      </c>
      <c r="N168" s="252">
        <v>0</v>
      </c>
      <c r="O168" s="252">
        <v>0</v>
      </c>
      <c r="P168" s="252">
        <v>0</v>
      </c>
      <c r="Q168" s="252">
        <v>115</v>
      </c>
      <c r="R168" s="252">
        <v>0</v>
      </c>
      <c r="S168" s="252">
        <v>0</v>
      </c>
      <c r="T168" s="252">
        <v>0</v>
      </c>
      <c r="U168" s="252">
        <v>0</v>
      </c>
      <c r="V168" s="252">
        <v>0</v>
      </c>
      <c r="W168" s="252">
        <v>0</v>
      </c>
      <c r="X168" s="252">
        <v>0</v>
      </c>
      <c r="Y168" s="252">
        <v>0</v>
      </c>
      <c r="Z168" s="252">
        <v>0</v>
      </c>
      <c r="AA168" s="252">
        <v>0</v>
      </c>
      <c r="AB168" s="252">
        <v>0</v>
      </c>
      <c r="AC168" s="252">
        <v>0</v>
      </c>
      <c r="AD168" s="252">
        <v>1</v>
      </c>
      <c r="AE168" s="252" t="s">
        <v>720</v>
      </c>
      <c r="AF168" s="252" t="s">
        <v>721</v>
      </c>
      <c r="AG168" s="252">
        <f t="shared" si="11"/>
        <v>0</v>
      </c>
      <c r="AH168" s="252">
        <f t="shared" si="12"/>
        <v>0</v>
      </c>
      <c r="AI168" s="252">
        <f t="shared" si="13"/>
        <v>0</v>
      </c>
      <c r="AJ168" s="252">
        <f t="shared" si="14"/>
        <v>0</v>
      </c>
    </row>
    <row r="169" spans="1:36" x14ac:dyDescent="0.2">
      <c r="A169" s="253" t="str">
        <f t="shared" si="10"/>
        <v>3SNCERAWZ25</v>
      </c>
      <c r="B169" s="252" t="s">
        <v>19</v>
      </c>
      <c r="C169" s="252" t="s">
        <v>20</v>
      </c>
      <c r="D169" s="252" t="s">
        <v>21</v>
      </c>
      <c r="E169" s="252" t="s">
        <v>719</v>
      </c>
      <c r="F169" s="252" t="s">
        <v>104</v>
      </c>
      <c r="G169" s="252">
        <v>25</v>
      </c>
      <c r="H169" s="252" t="s">
        <v>928</v>
      </c>
      <c r="I169" s="252" t="s">
        <v>2465</v>
      </c>
      <c r="J169" s="252" t="s">
        <v>928</v>
      </c>
      <c r="K169" s="252" t="s">
        <v>3236</v>
      </c>
      <c r="L169" s="252">
        <v>9.2627900000000007</v>
      </c>
      <c r="M169" s="252">
        <v>96.6</v>
      </c>
      <c r="N169" s="252">
        <v>0</v>
      </c>
      <c r="O169" s="252">
        <v>0</v>
      </c>
      <c r="P169" s="252">
        <v>0</v>
      </c>
      <c r="Q169" s="252">
        <v>0</v>
      </c>
      <c r="R169" s="252">
        <v>0</v>
      </c>
      <c r="S169" s="252">
        <v>0</v>
      </c>
      <c r="T169" s="252">
        <v>2.4500199999999999</v>
      </c>
      <c r="U169" s="252">
        <v>0.62100999999999995</v>
      </c>
      <c r="V169" s="252">
        <v>0.33495999999999998</v>
      </c>
      <c r="W169" s="252">
        <v>1.2959400000000001</v>
      </c>
      <c r="X169" s="252">
        <v>0</v>
      </c>
      <c r="Y169" s="252">
        <v>0</v>
      </c>
      <c r="Z169" s="252">
        <v>2.8066499999999999</v>
      </c>
      <c r="AA169" s="252">
        <v>1.75421</v>
      </c>
      <c r="AB169" s="252">
        <v>0</v>
      </c>
      <c r="AC169" s="252">
        <v>0</v>
      </c>
      <c r="AD169" s="252">
        <v>1</v>
      </c>
      <c r="AE169" s="252" t="s">
        <v>720</v>
      </c>
      <c r="AF169" s="252" t="s">
        <v>721</v>
      </c>
      <c r="AG169" s="252">
        <f t="shared" si="11"/>
        <v>0</v>
      </c>
      <c r="AH169" s="252">
        <f t="shared" si="12"/>
        <v>0</v>
      </c>
      <c r="AI169" s="252">
        <f t="shared" si="13"/>
        <v>0</v>
      </c>
      <c r="AJ169" s="252">
        <f t="shared" si="14"/>
        <v>0</v>
      </c>
    </row>
    <row r="170" spans="1:36" x14ac:dyDescent="0.2">
      <c r="A170" s="253" t="str">
        <f t="shared" si="10"/>
        <v>3SNCERAWZ2638</v>
      </c>
      <c r="B170" s="252" t="s">
        <v>19</v>
      </c>
      <c r="C170" s="252" t="s">
        <v>20</v>
      </c>
      <c r="D170" s="252" t="s">
        <v>21</v>
      </c>
      <c r="E170" s="252" t="s">
        <v>719</v>
      </c>
      <c r="F170" s="252" t="s">
        <v>429</v>
      </c>
      <c r="G170" s="252">
        <v>38</v>
      </c>
      <c r="H170" s="252" t="s">
        <v>928</v>
      </c>
      <c r="I170" s="252" t="s">
        <v>2465</v>
      </c>
      <c r="J170" s="252" t="s">
        <v>928</v>
      </c>
      <c r="K170" s="252" t="s">
        <v>3236</v>
      </c>
      <c r="L170" s="252">
        <v>10.15765</v>
      </c>
      <c r="M170" s="252">
        <v>96.9</v>
      </c>
      <c r="N170" s="252">
        <v>0</v>
      </c>
      <c r="O170" s="252">
        <v>0</v>
      </c>
      <c r="P170" s="252">
        <v>0</v>
      </c>
      <c r="Q170" s="252">
        <v>0</v>
      </c>
      <c r="R170" s="252">
        <v>0</v>
      </c>
      <c r="S170" s="252">
        <v>0</v>
      </c>
      <c r="T170" s="252">
        <v>2.4500199999999999</v>
      </c>
      <c r="U170" s="252">
        <v>1.95204</v>
      </c>
      <c r="V170" s="252">
        <v>0.29996</v>
      </c>
      <c r="W170" s="252">
        <v>1.16995</v>
      </c>
      <c r="X170" s="252">
        <v>0</v>
      </c>
      <c r="Y170" s="252">
        <v>0</v>
      </c>
      <c r="Z170" s="252">
        <v>2.6820900000000001</v>
      </c>
      <c r="AA170" s="252">
        <v>1.6035900000000001</v>
      </c>
      <c r="AB170" s="252">
        <v>0</v>
      </c>
      <c r="AC170" s="252">
        <v>0</v>
      </c>
      <c r="AD170" s="252">
        <v>1</v>
      </c>
      <c r="AE170" s="252" t="s">
        <v>720</v>
      </c>
      <c r="AF170" s="252" t="s">
        <v>721</v>
      </c>
      <c r="AG170" s="252">
        <f t="shared" si="11"/>
        <v>0</v>
      </c>
      <c r="AH170" s="252">
        <f t="shared" si="12"/>
        <v>0</v>
      </c>
      <c r="AI170" s="252">
        <f t="shared" si="13"/>
        <v>0</v>
      </c>
      <c r="AJ170" s="252">
        <f t="shared" si="14"/>
        <v>0</v>
      </c>
    </row>
    <row r="171" spans="1:36" x14ac:dyDescent="0.2">
      <c r="A171" s="253" t="str">
        <f t="shared" si="10"/>
        <v>3SNCERAWZE25</v>
      </c>
      <c r="B171" s="252" t="s">
        <v>19</v>
      </c>
      <c r="C171" s="252" t="s">
        <v>20</v>
      </c>
      <c r="D171" s="252" t="s">
        <v>21</v>
      </c>
      <c r="E171" s="252" t="s">
        <v>719</v>
      </c>
      <c r="F171" s="252" t="s">
        <v>107</v>
      </c>
      <c r="G171" s="252">
        <v>25</v>
      </c>
      <c r="H171" s="252" t="s">
        <v>928</v>
      </c>
      <c r="I171" s="252" t="s">
        <v>2465</v>
      </c>
      <c r="J171" s="252" t="s">
        <v>928</v>
      </c>
      <c r="K171" s="252" t="s">
        <v>3236</v>
      </c>
      <c r="L171" s="252">
        <v>26.059830000000002</v>
      </c>
      <c r="M171" s="252">
        <v>96.7</v>
      </c>
      <c r="N171" s="252">
        <v>0</v>
      </c>
      <c r="O171" s="252">
        <v>16.47363</v>
      </c>
      <c r="P171" s="252">
        <v>0</v>
      </c>
      <c r="Q171" s="252">
        <v>0</v>
      </c>
      <c r="R171" s="252">
        <v>0</v>
      </c>
      <c r="S171" s="252">
        <v>0</v>
      </c>
      <c r="T171" s="252">
        <v>2.4500199999999999</v>
      </c>
      <c r="U171" s="252">
        <v>1.4160299999999999</v>
      </c>
      <c r="V171" s="252">
        <v>0.30096000000000001</v>
      </c>
      <c r="W171" s="252">
        <v>1.1729499999999999</v>
      </c>
      <c r="X171" s="252">
        <v>0</v>
      </c>
      <c r="Y171" s="252">
        <v>0</v>
      </c>
      <c r="Z171" s="252">
        <v>2.6449199999999999</v>
      </c>
      <c r="AA171" s="252">
        <v>1.6013200000000001</v>
      </c>
      <c r="AB171" s="252">
        <v>0</v>
      </c>
      <c r="AC171" s="252">
        <v>0</v>
      </c>
      <c r="AD171" s="252">
        <v>1</v>
      </c>
      <c r="AE171" s="252" t="s">
        <v>720</v>
      </c>
      <c r="AF171" s="252" t="s">
        <v>721</v>
      </c>
      <c r="AG171" s="252">
        <f t="shared" si="11"/>
        <v>15.930000210000001</v>
      </c>
      <c r="AH171" s="252">
        <f t="shared" si="12"/>
        <v>0</v>
      </c>
      <c r="AI171" s="252">
        <f t="shared" si="13"/>
        <v>0</v>
      </c>
      <c r="AJ171" s="252">
        <f t="shared" si="14"/>
        <v>15.930000210000001</v>
      </c>
    </row>
    <row r="172" spans="1:36" x14ac:dyDescent="0.2">
      <c r="A172" s="253" t="str">
        <f t="shared" si="10"/>
        <v>3SNCERAWZE38</v>
      </c>
      <c r="B172" s="252" t="s">
        <v>19</v>
      </c>
      <c r="C172" s="252" t="s">
        <v>20</v>
      </c>
      <c r="D172" s="252" t="s">
        <v>21</v>
      </c>
      <c r="E172" s="252" t="s">
        <v>719</v>
      </c>
      <c r="F172" s="252" t="s">
        <v>107</v>
      </c>
      <c r="G172" s="252">
        <v>38</v>
      </c>
      <c r="H172" s="252" t="s">
        <v>928</v>
      </c>
      <c r="I172" s="252" t="s">
        <v>2465</v>
      </c>
      <c r="J172" s="252" t="s">
        <v>928</v>
      </c>
      <c r="K172" s="252" t="s">
        <v>3236</v>
      </c>
      <c r="L172" s="252">
        <v>35.171869999999998</v>
      </c>
      <c r="M172" s="252">
        <v>96</v>
      </c>
      <c r="N172" s="252">
        <v>0</v>
      </c>
      <c r="O172" s="252">
        <v>25.21875</v>
      </c>
      <c r="P172" s="252">
        <v>0</v>
      </c>
      <c r="Q172" s="252">
        <v>0</v>
      </c>
      <c r="R172" s="252">
        <v>0</v>
      </c>
      <c r="S172" s="252">
        <v>0</v>
      </c>
      <c r="T172" s="252">
        <v>2.4500199999999999</v>
      </c>
      <c r="U172" s="252">
        <v>1.4160299999999999</v>
      </c>
      <c r="V172" s="252">
        <v>0.32096000000000002</v>
      </c>
      <c r="W172" s="252">
        <v>1.2499400000000001</v>
      </c>
      <c r="X172" s="252">
        <v>0</v>
      </c>
      <c r="Y172" s="252">
        <v>0</v>
      </c>
      <c r="Z172" s="252">
        <v>2.8106599999999999</v>
      </c>
      <c r="AA172" s="252">
        <v>1.7055100000000001</v>
      </c>
      <c r="AB172" s="252">
        <v>0</v>
      </c>
      <c r="AC172" s="252">
        <v>0</v>
      </c>
      <c r="AD172" s="252">
        <v>1</v>
      </c>
      <c r="AE172" s="252" t="s">
        <v>720</v>
      </c>
      <c r="AF172" s="252" t="s">
        <v>721</v>
      </c>
      <c r="AG172" s="252">
        <f t="shared" si="11"/>
        <v>24.21</v>
      </c>
      <c r="AH172" s="252">
        <f t="shared" si="12"/>
        <v>0</v>
      </c>
      <c r="AI172" s="252">
        <f t="shared" si="13"/>
        <v>0</v>
      </c>
      <c r="AJ172" s="252">
        <f t="shared" si="14"/>
        <v>24.21</v>
      </c>
    </row>
    <row r="173" spans="1:36" x14ac:dyDescent="0.2">
      <c r="A173" s="253" t="str">
        <f t="shared" si="10"/>
        <v>3SNCERAWZRX38</v>
      </c>
      <c r="B173" s="252" t="s">
        <v>19</v>
      </c>
      <c r="C173" s="252" t="s">
        <v>20</v>
      </c>
      <c r="D173" s="252" t="s">
        <v>21</v>
      </c>
      <c r="E173" s="252" t="s">
        <v>719</v>
      </c>
      <c r="F173" s="252" t="s">
        <v>112</v>
      </c>
      <c r="G173" s="252">
        <v>38</v>
      </c>
      <c r="H173" s="252" t="s">
        <v>928</v>
      </c>
      <c r="I173" s="252" t="s">
        <v>2465</v>
      </c>
      <c r="J173" s="252" t="s">
        <v>928</v>
      </c>
      <c r="K173" s="252" t="s">
        <v>3236</v>
      </c>
      <c r="L173" s="252">
        <v>10.322150000000001</v>
      </c>
      <c r="M173" s="252">
        <v>97</v>
      </c>
      <c r="N173" s="252">
        <v>0</v>
      </c>
      <c r="O173" s="252">
        <v>0</v>
      </c>
      <c r="P173" s="252">
        <v>0</v>
      </c>
      <c r="Q173" s="252">
        <v>0</v>
      </c>
      <c r="R173" s="252">
        <v>0</v>
      </c>
      <c r="S173" s="252">
        <v>0</v>
      </c>
      <c r="T173" s="252">
        <v>2.4500199999999999</v>
      </c>
      <c r="U173" s="252">
        <v>1.4950300000000001</v>
      </c>
      <c r="V173" s="252">
        <v>0.33595999999999998</v>
      </c>
      <c r="W173" s="252">
        <v>1.3079400000000001</v>
      </c>
      <c r="X173" s="252">
        <v>0</v>
      </c>
      <c r="Y173" s="252">
        <v>0</v>
      </c>
      <c r="Z173" s="252">
        <v>2.9472800000000001</v>
      </c>
      <c r="AA173" s="252">
        <v>1.78592</v>
      </c>
      <c r="AB173" s="252">
        <v>0</v>
      </c>
      <c r="AC173" s="252">
        <v>0</v>
      </c>
      <c r="AD173" s="252">
        <v>1</v>
      </c>
      <c r="AE173" s="252" t="s">
        <v>720</v>
      </c>
      <c r="AF173" s="252" t="s">
        <v>721</v>
      </c>
      <c r="AG173" s="252">
        <f t="shared" si="11"/>
        <v>0</v>
      </c>
      <c r="AH173" s="252">
        <f t="shared" si="12"/>
        <v>0</v>
      </c>
      <c r="AI173" s="252">
        <f t="shared" si="13"/>
        <v>0</v>
      </c>
      <c r="AJ173" s="252">
        <f t="shared" si="14"/>
        <v>0</v>
      </c>
    </row>
    <row r="174" spans="1:36" x14ac:dyDescent="0.2">
      <c r="A174" s="253" t="str">
        <f t="shared" si="10"/>
        <v>3SNCERAWZS25</v>
      </c>
      <c r="B174" s="252" t="s">
        <v>19</v>
      </c>
      <c r="C174" s="252" t="s">
        <v>20</v>
      </c>
      <c r="D174" s="252" t="s">
        <v>21</v>
      </c>
      <c r="E174" s="252" t="s">
        <v>719</v>
      </c>
      <c r="F174" s="252" t="s">
        <v>118</v>
      </c>
      <c r="G174" s="252">
        <v>25</v>
      </c>
      <c r="H174" s="252" t="s">
        <v>928</v>
      </c>
      <c r="I174" s="252" t="s">
        <v>2465</v>
      </c>
      <c r="J174" s="252" t="s">
        <v>928</v>
      </c>
      <c r="K174" s="252" t="s">
        <v>3236</v>
      </c>
      <c r="L174" s="252">
        <v>9.1356800000000007</v>
      </c>
      <c r="M174" s="252">
        <v>97.3</v>
      </c>
      <c r="N174" s="252">
        <v>0</v>
      </c>
      <c r="O174" s="252">
        <v>0</v>
      </c>
      <c r="P174" s="252">
        <v>0</v>
      </c>
      <c r="Q174" s="252">
        <v>0</v>
      </c>
      <c r="R174" s="252">
        <v>0</v>
      </c>
      <c r="S174" s="252">
        <v>0</v>
      </c>
      <c r="T174" s="252">
        <v>2.4500199999999999</v>
      </c>
      <c r="U174" s="252">
        <v>0.81001999999999996</v>
      </c>
      <c r="V174" s="252">
        <v>0.31796000000000002</v>
      </c>
      <c r="W174" s="252">
        <v>1.22994</v>
      </c>
      <c r="X174" s="252">
        <v>0</v>
      </c>
      <c r="Y174" s="252">
        <v>0</v>
      </c>
      <c r="Z174" s="252">
        <v>2.6629999999999998</v>
      </c>
      <c r="AA174" s="252">
        <v>1.6647400000000001</v>
      </c>
      <c r="AB174" s="252">
        <v>0</v>
      </c>
      <c r="AC174" s="252">
        <v>0</v>
      </c>
      <c r="AD174" s="252">
        <v>1</v>
      </c>
      <c r="AE174" s="252" t="s">
        <v>720</v>
      </c>
      <c r="AF174" s="252" t="s">
        <v>721</v>
      </c>
      <c r="AG174" s="252">
        <f t="shared" si="11"/>
        <v>0</v>
      </c>
      <c r="AH174" s="252">
        <f t="shared" si="12"/>
        <v>0</v>
      </c>
      <c r="AI174" s="252">
        <f t="shared" si="13"/>
        <v>0</v>
      </c>
      <c r="AJ174" s="252">
        <f t="shared" si="14"/>
        <v>0</v>
      </c>
    </row>
    <row r="175" spans="1:36" x14ac:dyDescent="0.2">
      <c r="A175" s="253" t="str">
        <f t="shared" si="10"/>
        <v>331SNCERAWZS25</v>
      </c>
      <c r="B175" s="252" t="s">
        <v>19</v>
      </c>
      <c r="C175" s="252" t="s">
        <v>20</v>
      </c>
      <c r="D175" s="252" t="s">
        <v>21</v>
      </c>
      <c r="E175" s="252" t="s">
        <v>719</v>
      </c>
      <c r="F175" s="252" t="s">
        <v>118</v>
      </c>
      <c r="G175" s="252">
        <v>25</v>
      </c>
      <c r="H175" s="252" t="s">
        <v>928</v>
      </c>
      <c r="I175" s="252" t="s">
        <v>2466</v>
      </c>
      <c r="J175" s="252" t="s">
        <v>928</v>
      </c>
      <c r="K175" s="252" t="s">
        <v>3236</v>
      </c>
      <c r="L175" s="252">
        <v>9.57822</v>
      </c>
      <c r="M175" s="252">
        <v>97.6</v>
      </c>
      <c r="N175" s="252">
        <v>0</v>
      </c>
      <c r="O175" s="252">
        <v>0</v>
      </c>
      <c r="P175" s="252">
        <v>0</v>
      </c>
      <c r="Q175" s="252">
        <v>0</v>
      </c>
      <c r="R175" s="252">
        <v>0</v>
      </c>
      <c r="S175" s="252">
        <v>0</v>
      </c>
      <c r="T175" s="252">
        <v>2.4500199999999999</v>
      </c>
      <c r="U175" s="252">
        <v>0.53300999999999998</v>
      </c>
      <c r="V175" s="252">
        <v>0.24596999999999999</v>
      </c>
      <c r="W175" s="252">
        <v>1.0509500000000001</v>
      </c>
      <c r="X175" s="252">
        <v>0</v>
      </c>
      <c r="Y175" s="252">
        <v>0</v>
      </c>
      <c r="Z175" s="252">
        <v>3.8011300000000001</v>
      </c>
      <c r="AA175" s="252">
        <v>1.4971399999999999</v>
      </c>
      <c r="AB175" s="252">
        <v>0</v>
      </c>
      <c r="AC175" s="252">
        <v>0</v>
      </c>
      <c r="AD175" s="252">
        <v>1</v>
      </c>
      <c r="AE175" s="252" t="s">
        <v>720</v>
      </c>
      <c r="AF175" s="252" t="s">
        <v>721</v>
      </c>
      <c r="AG175" s="252">
        <f t="shared" si="11"/>
        <v>0</v>
      </c>
      <c r="AH175" s="252">
        <f t="shared" si="12"/>
        <v>0</v>
      </c>
      <c r="AI175" s="252">
        <f t="shared" si="13"/>
        <v>0</v>
      </c>
      <c r="AJ175" s="252">
        <f t="shared" si="14"/>
        <v>0</v>
      </c>
    </row>
    <row r="176" spans="1:36" x14ac:dyDescent="0.2">
      <c r="A176" s="253" t="str">
        <f t="shared" si="10"/>
        <v>3313SNCERAWZS25</v>
      </c>
      <c r="B176" s="252" t="s">
        <v>19</v>
      </c>
      <c r="C176" s="252" t="s">
        <v>20</v>
      </c>
      <c r="D176" s="252" t="s">
        <v>21</v>
      </c>
      <c r="E176" s="252" t="s">
        <v>719</v>
      </c>
      <c r="F176" s="252" t="s">
        <v>118</v>
      </c>
      <c r="G176" s="252">
        <v>25</v>
      </c>
      <c r="H176" s="252" t="s">
        <v>928</v>
      </c>
      <c r="I176" s="252" t="s">
        <v>2470</v>
      </c>
      <c r="J176" s="252" t="s">
        <v>928</v>
      </c>
      <c r="K176" s="252" t="s">
        <v>3236</v>
      </c>
      <c r="L176" s="252">
        <v>7.9187700000000003</v>
      </c>
      <c r="M176" s="252">
        <v>91.8</v>
      </c>
      <c r="N176" s="252">
        <v>0</v>
      </c>
      <c r="O176" s="252">
        <v>0</v>
      </c>
      <c r="P176" s="252">
        <v>0</v>
      </c>
      <c r="Q176" s="252">
        <v>0</v>
      </c>
      <c r="R176" s="252">
        <v>0</v>
      </c>
      <c r="S176" s="252">
        <v>0</v>
      </c>
      <c r="T176" s="252">
        <v>2.4500199999999999</v>
      </c>
      <c r="U176" s="252">
        <v>0.57001000000000002</v>
      </c>
      <c r="V176" s="252">
        <v>0.26296999999999998</v>
      </c>
      <c r="W176" s="252">
        <v>1.01895</v>
      </c>
      <c r="X176" s="252">
        <v>0</v>
      </c>
      <c r="Y176" s="252">
        <v>0</v>
      </c>
      <c r="Z176" s="252">
        <v>2.23407</v>
      </c>
      <c r="AA176" s="252">
        <v>1.3827499999999999</v>
      </c>
      <c r="AB176" s="252">
        <v>0</v>
      </c>
      <c r="AC176" s="252">
        <v>0</v>
      </c>
      <c r="AD176" s="252">
        <v>1</v>
      </c>
      <c r="AE176" s="252" t="s">
        <v>720</v>
      </c>
      <c r="AF176" s="252" t="s">
        <v>721</v>
      </c>
      <c r="AG176" s="252">
        <f t="shared" si="11"/>
        <v>0</v>
      </c>
      <c r="AH176" s="252">
        <f t="shared" si="12"/>
        <v>0</v>
      </c>
      <c r="AI176" s="252">
        <f t="shared" si="13"/>
        <v>0</v>
      </c>
      <c r="AJ176" s="252">
        <f t="shared" si="14"/>
        <v>0</v>
      </c>
    </row>
    <row r="177" spans="1:36" x14ac:dyDescent="0.2">
      <c r="A177" s="253" t="str">
        <f t="shared" si="10"/>
        <v>3SNCERAWZS38</v>
      </c>
      <c r="B177" s="252" t="s">
        <v>19</v>
      </c>
      <c r="C177" s="252" t="s">
        <v>20</v>
      </c>
      <c r="D177" s="252" t="s">
        <v>21</v>
      </c>
      <c r="E177" s="252" t="s">
        <v>719</v>
      </c>
      <c r="F177" s="252" t="s">
        <v>118</v>
      </c>
      <c r="G177" s="252">
        <v>38</v>
      </c>
      <c r="H177" s="252" t="s">
        <v>928</v>
      </c>
      <c r="I177" s="252" t="s">
        <v>2465</v>
      </c>
      <c r="J177" s="252" t="s">
        <v>928</v>
      </c>
      <c r="K177" s="252" t="s">
        <v>3236</v>
      </c>
      <c r="L177" s="252">
        <v>7.9895399999999999</v>
      </c>
      <c r="M177" s="252">
        <v>99</v>
      </c>
      <c r="N177" s="252">
        <v>0</v>
      </c>
      <c r="O177" s="252">
        <v>0</v>
      </c>
      <c r="P177" s="252">
        <v>0</v>
      </c>
      <c r="Q177" s="252">
        <v>0</v>
      </c>
      <c r="R177" s="252">
        <v>0</v>
      </c>
      <c r="S177" s="252">
        <v>0</v>
      </c>
      <c r="T177" s="252">
        <v>2.4500199999999999</v>
      </c>
      <c r="U177" s="252">
        <v>0.77502000000000004</v>
      </c>
      <c r="V177" s="252">
        <v>0.25296999999999997</v>
      </c>
      <c r="W177" s="252">
        <v>0.98394999999999999</v>
      </c>
      <c r="X177" s="252">
        <v>0</v>
      </c>
      <c r="Y177" s="252">
        <v>0</v>
      </c>
      <c r="Z177" s="252">
        <v>2.1878600000000001</v>
      </c>
      <c r="AA177" s="252">
        <v>1.33972</v>
      </c>
      <c r="AB177" s="252">
        <v>0</v>
      </c>
      <c r="AC177" s="252">
        <v>0</v>
      </c>
      <c r="AD177" s="252">
        <v>1</v>
      </c>
      <c r="AE177" s="252" t="s">
        <v>720</v>
      </c>
      <c r="AF177" s="252" t="s">
        <v>721</v>
      </c>
      <c r="AG177" s="252">
        <f t="shared" si="11"/>
        <v>0</v>
      </c>
      <c r="AH177" s="252">
        <f t="shared" si="12"/>
        <v>0</v>
      </c>
      <c r="AI177" s="252">
        <f t="shared" si="13"/>
        <v>0</v>
      </c>
      <c r="AJ177" s="252">
        <f t="shared" si="14"/>
        <v>0</v>
      </c>
    </row>
    <row r="178" spans="1:36" x14ac:dyDescent="0.2">
      <c r="A178" s="253" t="str">
        <f t="shared" si="10"/>
        <v>3SNCERAWZS125</v>
      </c>
      <c r="B178" s="252" t="s">
        <v>19</v>
      </c>
      <c r="C178" s="252" t="s">
        <v>20</v>
      </c>
      <c r="D178" s="252" t="s">
        <v>21</v>
      </c>
      <c r="E178" s="252" t="s">
        <v>719</v>
      </c>
      <c r="F178" s="252" t="s">
        <v>118</v>
      </c>
      <c r="G178" s="252">
        <v>125</v>
      </c>
      <c r="H178" s="252" t="s">
        <v>928</v>
      </c>
      <c r="I178" s="252" t="s">
        <v>2465</v>
      </c>
      <c r="J178" s="252" t="s">
        <v>928</v>
      </c>
      <c r="K178" s="252" t="s">
        <v>3236</v>
      </c>
      <c r="L178" s="252">
        <v>33.313160000000003</v>
      </c>
      <c r="M178" s="252">
        <v>89.2</v>
      </c>
      <c r="N178" s="252">
        <v>0</v>
      </c>
      <c r="O178" s="252">
        <v>0</v>
      </c>
      <c r="P178" s="252">
        <v>0</v>
      </c>
      <c r="Q178" s="252">
        <v>0</v>
      </c>
      <c r="R178" s="252">
        <v>0</v>
      </c>
      <c r="S178" s="252">
        <v>0</v>
      </c>
      <c r="T178" s="252">
        <v>2.4500199999999999</v>
      </c>
      <c r="U178" s="252">
        <v>4.8491</v>
      </c>
      <c r="V178" s="252">
        <v>2.5807000000000002</v>
      </c>
      <c r="W178" s="252">
        <v>5.6527399999999997</v>
      </c>
      <c r="X178" s="252">
        <v>0</v>
      </c>
      <c r="Y178" s="252">
        <v>0</v>
      </c>
      <c r="Z178" s="252">
        <v>12.1839</v>
      </c>
      <c r="AA178" s="252">
        <v>5.5967000000000002</v>
      </c>
      <c r="AB178" s="252">
        <v>0</v>
      </c>
      <c r="AC178" s="252">
        <v>0</v>
      </c>
      <c r="AD178" s="252">
        <v>1</v>
      </c>
      <c r="AE178" s="252" t="s">
        <v>720</v>
      </c>
      <c r="AF178" s="252" t="s">
        <v>721</v>
      </c>
      <c r="AG178" s="252">
        <f t="shared" si="11"/>
        <v>0</v>
      </c>
      <c r="AH178" s="252">
        <f t="shared" si="12"/>
        <v>0</v>
      </c>
      <c r="AI178" s="252">
        <f t="shared" si="13"/>
        <v>0</v>
      </c>
      <c r="AJ178" s="252">
        <f t="shared" si="14"/>
        <v>0</v>
      </c>
    </row>
    <row r="179" spans="1:36" x14ac:dyDescent="0.2">
      <c r="A179" s="253" t="str">
        <f t="shared" si="10"/>
        <v>3SNCERAWZU25</v>
      </c>
      <c r="B179" s="252" t="s">
        <v>19</v>
      </c>
      <c r="C179" s="252" t="s">
        <v>20</v>
      </c>
      <c r="D179" s="252" t="s">
        <v>21</v>
      </c>
      <c r="E179" s="252" t="s">
        <v>719</v>
      </c>
      <c r="F179" s="252" t="s">
        <v>128</v>
      </c>
      <c r="G179" s="252">
        <v>25</v>
      </c>
      <c r="H179" s="252" t="s">
        <v>928</v>
      </c>
      <c r="I179" s="252" t="s">
        <v>2465</v>
      </c>
      <c r="J179" s="252" t="s">
        <v>928</v>
      </c>
      <c r="K179" s="252" t="s">
        <v>3236</v>
      </c>
      <c r="L179" s="252">
        <v>30.33907</v>
      </c>
      <c r="M179" s="252">
        <v>96.9</v>
      </c>
      <c r="N179" s="252">
        <v>0</v>
      </c>
      <c r="O179" s="252">
        <v>19.752320000000001</v>
      </c>
      <c r="P179" s="252">
        <v>0</v>
      </c>
      <c r="Q179" s="252">
        <v>0</v>
      </c>
      <c r="R179" s="252">
        <v>0</v>
      </c>
      <c r="S179" s="252">
        <v>0</v>
      </c>
      <c r="T179" s="252">
        <v>2.4500199999999999</v>
      </c>
      <c r="U179" s="252">
        <v>0.66100999999999999</v>
      </c>
      <c r="V179" s="252">
        <v>0.30596000000000001</v>
      </c>
      <c r="W179" s="252">
        <v>1.2719400000000001</v>
      </c>
      <c r="X179" s="252">
        <v>0</v>
      </c>
      <c r="Y179" s="252">
        <v>0</v>
      </c>
      <c r="Z179" s="252">
        <v>4.1085099999999999</v>
      </c>
      <c r="AA179" s="252">
        <v>1.78931</v>
      </c>
      <c r="AB179" s="252">
        <v>0</v>
      </c>
      <c r="AC179" s="252">
        <v>0</v>
      </c>
      <c r="AD179" s="252">
        <v>1</v>
      </c>
      <c r="AE179" s="252" t="s">
        <v>720</v>
      </c>
      <c r="AF179" s="252" t="s">
        <v>721</v>
      </c>
      <c r="AG179" s="252">
        <f t="shared" si="11"/>
        <v>19.139998080000002</v>
      </c>
      <c r="AH179" s="252">
        <f t="shared" si="12"/>
        <v>0</v>
      </c>
      <c r="AI179" s="252">
        <f t="shared" si="13"/>
        <v>0</v>
      </c>
      <c r="AJ179" s="252">
        <f t="shared" si="14"/>
        <v>19.139998080000002</v>
      </c>
    </row>
    <row r="180" spans="1:36" x14ac:dyDescent="0.2">
      <c r="A180" s="253" t="str">
        <f t="shared" si="10"/>
        <v>2SNCF10711150</v>
      </c>
      <c r="B180" s="252" t="s">
        <v>19</v>
      </c>
      <c r="C180" s="252" t="s">
        <v>20</v>
      </c>
      <c r="D180" s="252" t="s">
        <v>2474</v>
      </c>
      <c r="E180" s="252" t="s">
        <v>2475</v>
      </c>
      <c r="F180" s="252" t="s">
        <v>2476</v>
      </c>
      <c r="G180" s="252">
        <v>50</v>
      </c>
      <c r="H180" s="252" t="s">
        <v>928</v>
      </c>
      <c r="I180" s="252" t="s">
        <v>2477</v>
      </c>
      <c r="J180" s="252" t="s">
        <v>928</v>
      </c>
      <c r="K180" s="252" t="s">
        <v>3236</v>
      </c>
      <c r="L180" s="252">
        <v>428.58</v>
      </c>
      <c r="M180" s="252">
        <v>0</v>
      </c>
      <c r="N180" s="252">
        <v>0</v>
      </c>
      <c r="O180" s="252">
        <v>0</v>
      </c>
      <c r="P180" s="252">
        <v>0</v>
      </c>
      <c r="Q180" s="252">
        <v>0</v>
      </c>
      <c r="R180" s="252">
        <v>0</v>
      </c>
      <c r="S180" s="252">
        <v>0</v>
      </c>
      <c r="T180" s="252">
        <v>0</v>
      </c>
      <c r="U180" s="252">
        <v>0</v>
      </c>
      <c r="V180" s="252">
        <v>0</v>
      </c>
      <c r="W180" s="252">
        <v>0</v>
      </c>
      <c r="X180" s="252">
        <v>0</v>
      </c>
      <c r="Y180" s="252">
        <v>335.7</v>
      </c>
      <c r="Z180" s="252">
        <v>0</v>
      </c>
      <c r="AA180" s="252">
        <v>0</v>
      </c>
      <c r="AB180" s="252">
        <v>92.88</v>
      </c>
      <c r="AC180" s="252">
        <v>0</v>
      </c>
      <c r="AD180" s="252">
        <v>0</v>
      </c>
      <c r="AE180" s="252" t="s">
        <v>720</v>
      </c>
      <c r="AF180" s="252" t="s">
        <v>721</v>
      </c>
      <c r="AG180" s="252">
        <f t="shared" si="11"/>
        <v>0</v>
      </c>
      <c r="AH180" s="252">
        <f t="shared" si="12"/>
        <v>0</v>
      </c>
      <c r="AI180" s="252">
        <f t="shared" si="13"/>
        <v>0</v>
      </c>
      <c r="AJ180" s="252">
        <f t="shared" si="14"/>
        <v>0</v>
      </c>
    </row>
    <row r="181" spans="1:36" x14ac:dyDescent="0.2">
      <c r="A181" s="253" t="str">
        <f t="shared" si="10"/>
        <v>SNCF10711150</v>
      </c>
      <c r="B181" s="252" t="s">
        <v>19</v>
      </c>
      <c r="C181" s="252" t="s">
        <v>20</v>
      </c>
      <c r="D181" s="252" t="s">
        <v>2474</v>
      </c>
      <c r="E181" s="252" t="s">
        <v>2475</v>
      </c>
      <c r="F181" s="252" t="s">
        <v>2476</v>
      </c>
      <c r="G181" s="252">
        <v>50</v>
      </c>
      <c r="H181" s="252" t="s">
        <v>928</v>
      </c>
      <c r="I181" s="252" t="s">
        <v>928</v>
      </c>
      <c r="J181" s="252" t="s">
        <v>928</v>
      </c>
      <c r="K181" s="252" t="s">
        <v>3236</v>
      </c>
      <c r="L181" s="252">
        <v>428.58</v>
      </c>
      <c r="M181" s="252">
        <v>0</v>
      </c>
      <c r="N181" s="252">
        <v>0</v>
      </c>
      <c r="O181" s="252">
        <v>0</v>
      </c>
      <c r="P181" s="252">
        <v>0</v>
      </c>
      <c r="Q181" s="252">
        <v>0</v>
      </c>
      <c r="R181" s="252">
        <v>0</v>
      </c>
      <c r="S181" s="252">
        <v>0</v>
      </c>
      <c r="T181" s="252">
        <v>0</v>
      </c>
      <c r="U181" s="252">
        <v>0</v>
      </c>
      <c r="V181" s="252">
        <v>0</v>
      </c>
      <c r="W181" s="252">
        <v>0</v>
      </c>
      <c r="X181" s="252">
        <v>0</v>
      </c>
      <c r="Y181" s="252">
        <v>335.7</v>
      </c>
      <c r="Z181" s="252">
        <v>0</v>
      </c>
      <c r="AA181" s="252">
        <v>0</v>
      </c>
      <c r="AB181" s="252">
        <v>92.88</v>
      </c>
      <c r="AC181" s="252">
        <v>0</v>
      </c>
      <c r="AD181" s="252">
        <v>0</v>
      </c>
      <c r="AE181" s="252" t="s">
        <v>720</v>
      </c>
      <c r="AF181" s="252" t="s">
        <v>721</v>
      </c>
      <c r="AG181" s="252">
        <f t="shared" si="11"/>
        <v>0</v>
      </c>
      <c r="AH181" s="252">
        <f t="shared" si="12"/>
        <v>0</v>
      </c>
      <c r="AI181" s="252">
        <f t="shared" si="13"/>
        <v>0</v>
      </c>
      <c r="AJ181" s="252">
        <f t="shared" si="14"/>
        <v>0</v>
      </c>
    </row>
    <row r="182" spans="1:36" x14ac:dyDescent="0.2">
      <c r="A182" s="253" t="str">
        <f t="shared" si="10"/>
        <v>2SNCF107111D50</v>
      </c>
      <c r="B182" s="252" t="s">
        <v>19</v>
      </c>
      <c r="C182" s="252" t="s">
        <v>20</v>
      </c>
      <c r="D182" s="252" t="s">
        <v>2474</v>
      </c>
      <c r="E182" s="252" t="s">
        <v>2475</v>
      </c>
      <c r="F182" s="252" t="s">
        <v>2478</v>
      </c>
      <c r="G182" s="252">
        <v>50</v>
      </c>
      <c r="H182" s="252" t="s">
        <v>928</v>
      </c>
      <c r="I182" s="252" t="s">
        <v>2477</v>
      </c>
      <c r="J182" s="252" t="s">
        <v>928</v>
      </c>
      <c r="K182" s="252" t="s">
        <v>3236</v>
      </c>
      <c r="L182" s="252">
        <v>461.46</v>
      </c>
      <c r="M182" s="252">
        <v>0</v>
      </c>
      <c r="N182" s="252">
        <v>0</v>
      </c>
      <c r="O182" s="252">
        <v>0</v>
      </c>
      <c r="P182" s="252">
        <v>0</v>
      </c>
      <c r="Q182" s="252">
        <v>0</v>
      </c>
      <c r="R182" s="252">
        <v>0</v>
      </c>
      <c r="S182" s="252">
        <v>0</v>
      </c>
      <c r="T182" s="252">
        <v>0</v>
      </c>
      <c r="U182" s="252">
        <v>0</v>
      </c>
      <c r="V182" s="252">
        <v>0</v>
      </c>
      <c r="W182" s="252">
        <v>0</v>
      </c>
      <c r="X182" s="252">
        <v>0</v>
      </c>
      <c r="Y182" s="252">
        <v>344.94</v>
      </c>
      <c r="Z182" s="252">
        <v>0</v>
      </c>
      <c r="AA182" s="252">
        <v>0</v>
      </c>
      <c r="AB182" s="252">
        <v>116.52</v>
      </c>
      <c r="AC182" s="252">
        <v>0</v>
      </c>
      <c r="AD182" s="252">
        <v>0</v>
      </c>
      <c r="AE182" s="252" t="s">
        <v>720</v>
      </c>
      <c r="AF182" s="252" t="s">
        <v>721</v>
      </c>
      <c r="AG182" s="252">
        <f t="shared" si="11"/>
        <v>0</v>
      </c>
      <c r="AH182" s="252">
        <f t="shared" si="12"/>
        <v>0</v>
      </c>
      <c r="AI182" s="252">
        <f t="shared" si="13"/>
        <v>0</v>
      </c>
      <c r="AJ182" s="252">
        <f t="shared" si="14"/>
        <v>0</v>
      </c>
    </row>
    <row r="183" spans="1:36" x14ac:dyDescent="0.2">
      <c r="A183" s="253" t="str">
        <f t="shared" si="10"/>
        <v>SNCF107111D50</v>
      </c>
      <c r="B183" s="252" t="s">
        <v>19</v>
      </c>
      <c r="C183" s="252" t="s">
        <v>20</v>
      </c>
      <c r="D183" s="252" t="s">
        <v>2474</v>
      </c>
      <c r="E183" s="252" t="s">
        <v>2475</v>
      </c>
      <c r="F183" s="252" t="s">
        <v>2478</v>
      </c>
      <c r="G183" s="252">
        <v>50</v>
      </c>
      <c r="H183" s="252" t="s">
        <v>928</v>
      </c>
      <c r="I183" s="252" t="s">
        <v>928</v>
      </c>
      <c r="J183" s="252" t="s">
        <v>928</v>
      </c>
      <c r="K183" s="252" t="s">
        <v>3236</v>
      </c>
      <c r="L183" s="252">
        <v>461.46</v>
      </c>
      <c r="M183" s="252">
        <v>0</v>
      </c>
      <c r="N183" s="252">
        <v>0</v>
      </c>
      <c r="O183" s="252">
        <v>0</v>
      </c>
      <c r="P183" s="252">
        <v>0</v>
      </c>
      <c r="Q183" s="252">
        <v>0</v>
      </c>
      <c r="R183" s="252">
        <v>0</v>
      </c>
      <c r="S183" s="252">
        <v>0</v>
      </c>
      <c r="T183" s="252">
        <v>0</v>
      </c>
      <c r="U183" s="252">
        <v>0</v>
      </c>
      <c r="V183" s="252">
        <v>0</v>
      </c>
      <c r="W183" s="252">
        <v>0</v>
      </c>
      <c r="X183" s="252">
        <v>0</v>
      </c>
      <c r="Y183" s="252">
        <v>344.94</v>
      </c>
      <c r="Z183" s="252">
        <v>0</v>
      </c>
      <c r="AA183" s="252">
        <v>0</v>
      </c>
      <c r="AB183" s="252">
        <v>116.52</v>
      </c>
      <c r="AC183" s="252">
        <v>0</v>
      </c>
      <c r="AD183" s="252">
        <v>0</v>
      </c>
      <c r="AE183" s="252" t="s">
        <v>720</v>
      </c>
      <c r="AF183" s="252" t="s">
        <v>721</v>
      </c>
      <c r="AG183" s="252">
        <f t="shared" si="11"/>
        <v>0</v>
      </c>
      <c r="AH183" s="252">
        <f t="shared" si="12"/>
        <v>0</v>
      </c>
      <c r="AI183" s="252">
        <f t="shared" si="13"/>
        <v>0</v>
      </c>
      <c r="AJ183" s="252">
        <f t="shared" si="14"/>
        <v>0</v>
      </c>
    </row>
    <row r="184" spans="1:36" x14ac:dyDescent="0.2">
      <c r="A184" s="253" t="str">
        <f t="shared" si="10"/>
        <v>2SNCF107116B50</v>
      </c>
      <c r="B184" s="252" t="s">
        <v>19</v>
      </c>
      <c r="C184" s="252" t="s">
        <v>20</v>
      </c>
      <c r="D184" s="252" t="s">
        <v>2474</v>
      </c>
      <c r="E184" s="252" t="s">
        <v>2475</v>
      </c>
      <c r="F184" s="252" t="s">
        <v>2479</v>
      </c>
      <c r="G184" s="252">
        <v>50</v>
      </c>
      <c r="H184" s="252" t="s">
        <v>928</v>
      </c>
      <c r="I184" s="252" t="s">
        <v>2477</v>
      </c>
      <c r="J184" s="252" t="s">
        <v>928</v>
      </c>
      <c r="K184" s="252" t="s">
        <v>3236</v>
      </c>
      <c r="L184" s="252">
        <v>486.22</v>
      </c>
      <c r="M184" s="252">
        <v>0</v>
      </c>
      <c r="N184" s="252">
        <v>0</v>
      </c>
      <c r="O184" s="252">
        <v>0</v>
      </c>
      <c r="P184" s="252">
        <v>0</v>
      </c>
      <c r="Q184" s="252">
        <v>0</v>
      </c>
      <c r="R184" s="252">
        <v>0</v>
      </c>
      <c r="S184" s="252">
        <v>0</v>
      </c>
      <c r="T184" s="252">
        <v>0</v>
      </c>
      <c r="U184" s="252">
        <v>0</v>
      </c>
      <c r="V184" s="252">
        <v>0</v>
      </c>
      <c r="W184" s="252">
        <v>0</v>
      </c>
      <c r="X184" s="252">
        <v>0</v>
      </c>
      <c r="Y184" s="252">
        <v>382.23</v>
      </c>
      <c r="Z184" s="252">
        <v>0</v>
      </c>
      <c r="AA184" s="252">
        <v>0</v>
      </c>
      <c r="AB184" s="252">
        <v>103.99</v>
      </c>
      <c r="AC184" s="252">
        <v>0</v>
      </c>
      <c r="AD184" s="252">
        <v>0</v>
      </c>
      <c r="AE184" s="252" t="s">
        <v>720</v>
      </c>
      <c r="AF184" s="252" t="s">
        <v>721</v>
      </c>
      <c r="AG184" s="252">
        <f t="shared" si="11"/>
        <v>0</v>
      </c>
      <c r="AH184" s="252">
        <f t="shared" si="12"/>
        <v>0</v>
      </c>
      <c r="AI184" s="252">
        <f t="shared" si="13"/>
        <v>0</v>
      </c>
      <c r="AJ184" s="252">
        <f t="shared" si="14"/>
        <v>0</v>
      </c>
    </row>
    <row r="185" spans="1:36" x14ac:dyDescent="0.2">
      <c r="A185" s="253" t="str">
        <f t="shared" si="10"/>
        <v>SNCF107116B50</v>
      </c>
      <c r="B185" s="252" t="s">
        <v>19</v>
      </c>
      <c r="C185" s="252" t="s">
        <v>20</v>
      </c>
      <c r="D185" s="252" t="s">
        <v>2474</v>
      </c>
      <c r="E185" s="252" t="s">
        <v>2475</v>
      </c>
      <c r="F185" s="252" t="s">
        <v>2479</v>
      </c>
      <c r="G185" s="252">
        <v>50</v>
      </c>
      <c r="H185" s="252" t="s">
        <v>928</v>
      </c>
      <c r="I185" s="252" t="s">
        <v>928</v>
      </c>
      <c r="J185" s="252" t="s">
        <v>928</v>
      </c>
      <c r="K185" s="252" t="s">
        <v>3236</v>
      </c>
      <c r="L185" s="252">
        <v>486.22</v>
      </c>
      <c r="M185" s="252">
        <v>0</v>
      </c>
      <c r="N185" s="252">
        <v>0</v>
      </c>
      <c r="O185" s="252">
        <v>0</v>
      </c>
      <c r="P185" s="252">
        <v>0</v>
      </c>
      <c r="Q185" s="252">
        <v>0</v>
      </c>
      <c r="R185" s="252">
        <v>0</v>
      </c>
      <c r="S185" s="252">
        <v>0</v>
      </c>
      <c r="T185" s="252">
        <v>0</v>
      </c>
      <c r="U185" s="252">
        <v>0</v>
      </c>
      <c r="V185" s="252">
        <v>0</v>
      </c>
      <c r="W185" s="252">
        <v>0</v>
      </c>
      <c r="X185" s="252">
        <v>0</v>
      </c>
      <c r="Y185" s="252">
        <v>382.23</v>
      </c>
      <c r="Z185" s="252">
        <v>0</v>
      </c>
      <c r="AA185" s="252">
        <v>0</v>
      </c>
      <c r="AB185" s="252">
        <v>103.99</v>
      </c>
      <c r="AC185" s="252">
        <v>0</v>
      </c>
      <c r="AD185" s="252">
        <v>0</v>
      </c>
      <c r="AE185" s="252" t="s">
        <v>720</v>
      </c>
      <c r="AF185" s="252" t="s">
        <v>721</v>
      </c>
      <c r="AG185" s="252">
        <f t="shared" si="11"/>
        <v>0</v>
      </c>
      <c r="AH185" s="252">
        <f t="shared" si="12"/>
        <v>0</v>
      </c>
      <c r="AI185" s="252">
        <f t="shared" si="13"/>
        <v>0</v>
      </c>
      <c r="AJ185" s="252">
        <f t="shared" si="14"/>
        <v>0</v>
      </c>
    </row>
    <row r="186" spans="1:36" x14ac:dyDescent="0.2">
      <c r="A186" s="253" t="str">
        <f t="shared" si="10"/>
        <v>2SNCF107116DB50</v>
      </c>
      <c r="B186" s="252" t="s">
        <v>19</v>
      </c>
      <c r="C186" s="252" t="s">
        <v>20</v>
      </c>
      <c r="D186" s="252" t="s">
        <v>2474</v>
      </c>
      <c r="E186" s="252" t="s">
        <v>2475</v>
      </c>
      <c r="F186" s="252" t="s">
        <v>2480</v>
      </c>
      <c r="G186" s="252">
        <v>50</v>
      </c>
      <c r="H186" s="252" t="s">
        <v>928</v>
      </c>
      <c r="I186" s="252" t="s">
        <v>2477</v>
      </c>
      <c r="J186" s="252" t="s">
        <v>928</v>
      </c>
      <c r="K186" s="252" t="s">
        <v>3236</v>
      </c>
      <c r="L186" s="252">
        <v>474.78</v>
      </c>
      <c r="M186" s="252">
        <v>0</v>
      </c>
      <c r="N186" s="252">
        <v>0</v>
      </c>
      <c r="O186" s="252">
        <v>0</v>
      </c>
      <c r="P186" s="252">
        <v>0</v>
      </c>
      <c r="Q186" s="252">
        <v>0</v>
      </c>
      <c r="R186" s="252">
        <v>0</v>
      </c>
      <c r="S186" s="252">
        <v>0</v>
      </c>
      <c r="T186" s="252">
        <v>0</v>
      </c>
      <c r="U186" s="252">
        <v>0</v>
      </c>
      <c r="V186" s="252">
        <v>0</v>
      </c>
      <c r="W186" s="252">
        <v>0</v>
      </c>
      <c r="X186" s="252">
        <v>0</v>
      </c>
      <c r="Y186" s="252">
        <v>387.89</v>
      </c>
      <c r="Z186" s="252">
        <v>0</v>
      </c>
      <c r="AA186" s="252">
        <v>0</v>
      </c>
      <c r="AB186" s="252">
        <v>86.89</v>
      </c>
      <c r="AC186" s="252">
        <v>0</v>
      </c>
      <c r="AD186" s="252">
        <v>0</v>
      </c>
      <c r="AE186" s="252" t="s">
        <v>720</v>
      </c>
      <c r="AF186" s="252" t="s">
        <v>721</v>
      </c>
      <c r="AG186" s="252">
        <f t="shared" si="11"/>
        <v>0</v>
      </c>
      <c r="AH186" s="252">
        <f t="shared" si="12"/>
        <v>0</v>
      </c>
      <c r="AI186" s="252">
        <f t="shared" si="13"/>
        <v>0</v>
      </c>
      <c r="AJ186" s="252">
        <f t="shared" si="14"/>
        <v>0</v>
      </c>
    </row>
    <row r="187" spans="1:36" x14ac:dyDescent="0.2">
      <c r="A187" s="253" t="str">
        <f t="shared" si="10"/>
        <v>SNCF107116DB50</v>
      </c>
      <c r="B187" s="252" t="s">
        <v>19</v>
      </c>
      <c r="C187" s="252" t="s">
        <v>20</v>
      </c>
      <c r="D187" s="252" t="s">
        <v>2474</v>
      </c>
      <c r="E187" s="252" t="s">
        <v>2475</v>
      </c>
      <c r="F187" s="252" t="s">
        <v>2480</v>
      </c>
      <c r="G187" s="252">
        <v>50</v>
      </c>
      <c r="H187" s="252" t="s">
        <v>928</v>
      </c>
      <c r="I187" s="252" t="s">
        <v>928</v>
      </c>
      <c r="J187" s="252" t="s">
        <v>928</v>
      </c>
      <c r="K187" s="252" t="s">
        <v>3236</v>
      </c>
      <c r="L187" s="252">
        <v>474.78</v>
      </c>
      <c r="M187" s="252">
        <v>0</v>
      </c>
      <c r="N187" s="252">
        <v>0</v>
      </c>
      <c r="O187" s="252">
        <v>0</v>
      </c>
      <c r="P187" s="252">
        <v>0</v>
      </c>
      <c r="Q187" s="252">
        <v>0</v>
      </c>
      <c r="R187" s="252">
        <v>0</v>
      </c>
      <c r="S187" s="252">
        <v>0</v>
      </c>
      <c r="T187" s="252">
        <v>0</v>
      </c>
      <c r="U187" s="252">
        <v>0</v>
      </c>
      <c r="V187" s="252">
        <v>0</v>
      </c>
      <c r="W187" s="252">
        <v>0</v>
      </c>
      <c r="X187" s="252">
        <v>0</v>
      </c>
      <c r="Y187" s="252">
        <v>387.89</v>
      </c>
      <c r="Z187" s="252">
        <v>0</v>
      </c>
      <c r="AA187" s="252">
        <v>0</v>
      </c>
      <c r="AB187" s="252">
        <v>86.89</v>
      </c>
      <c r="AC187" s="252">
        <v>0</v>
      </c>
      <c r="AD187" s="252">
        <v>0</v>
      </c>
      <c r="AE187" s="252" t="s">
        <v>720</v>
      </c>
      <c r="AF187" s="252" t="s">
        <v>721</v>
      </c>
      <c r="AG187" s="252">
        <f t="shared" si="11"/>
        <v>0</v>
      </c>
      <c r="AH187" s="252">
        <f t="shared" si="12"/>
        <v>0</v>
      </c>
      <c r="AI187" s="252">
        <f t="shared" si="13"/>
        <v>0</v>
      </c>
      <c r="AJ187" s="252">
        <f t="shared" si="14"/>
        <v>0</v>
      </c>
    </row>
    <row r="188" spans="1:36" x14ac:dyDescent="0.2">
      <c r="A188" s="253" t="str">
        <f t="shared" si="10"/>
        <v>2SNCF10712150</v>
      </c>
      <c r="B188" s="252" t="s">
        <v>19</v>
      </c>
      <c r="C188" s="252" t="s">
        <v>20</v>
      </c>
      <c r="D188" s="252" t="s">
        <v>2474</v>
      </c>
      <c r="E188" s="252" t="s">
        <v>2475</v>
      </c>
      <c r="F188" s="252" t="s">
        <v>2481</v>
      </c>
      <c r="G188" s="252">
        <v>50</v>
      </c>
      <c r="H188" s="252" t="s">
        <v>928</v>
      </c>
      <c r="I188" s="252" t="s">
        <v>2477</v>
      </c>
      <c r="J188" s="252" t="s">
        <v>928</v>
      </c>
      <c r="K188" s="252" t="s">
        <v>3236</v>
      </c>
      <c r="L188" s="252">
        <v>429.2</v>
      </c>
      <c r="M188" s="252">
        <v>0</v>
      </c>
      <c r="N188" s="252">
        <v>0</v>
      </c>
      <c r="O188" s="252">
        <v>0</v>
      </c>
      <c r="P188" s="252">
        <v>0</v>
      </c>
      <c r="Q188" s="252">
        <v>0</v>
      </c>
      <c r="R188" s="252">
        <v>0</v>
      </c>
      <c r="S188" s="252">
        <v>0</v>
      </c>
      <c r="T188" s="252">
        <v>0</v>
      </c>
      <c r="U188" s="252">
        <v>0</v>
      </c>
      <c r="V188" s="252">
        <v>0</v>
      </c>
      <c r="W188" s="252">
        <v>0</v>
      </c>
      <c r="X188" s="252">
        <v>0</v>
      </c>
      <c r="Y188" s="252">
        <v>357.98</v>
      </c>
      <c r="Z188" s="252">
        <v>0</v>
      </c>
      <c r="AA188" s="252">
        <v>0</v>
      </c>
      <c r="AB188" s="252">
        <v>71.22</v>
      </c>
      <c r="AC188" s="252">
        <v>0</v>
      </c>
      <c r="AD188" s="252">
        <v>0</v>
      </c>
      <c r="AE188" s="252" t="s">
        <v>720</v>
      </c>
      <c r="AF188" s="252" t="s">
        <v>721</v>
      </c>
      <c r="AG188" s="252">
        <f t="shared" si="11"/>
        <v>0</v>
      </c>
      <c r="AH188" s="252">
        <f t="shared" si="12"/>
        <v>0</v>
      </c>
      <c r="AI188" s="252">
        <f t="shared" si="13"/>
        <v>0</v>
      </c>
      <c r="AJ188" s="252">
        <f t="shared" si="14"/>
        <v>0</v>
      </c>
    </row>
    <row r="189" spans="1:36" x14ac:dyDescent="0.2">
      <c r="A189" s="253" t="str">
        <f t="shared" si="10"/>
        <v>SNCF10712150</v>
      </c>
      <c r="B189" s="252" t="s">
        <v>19</v>
      </c>
      <c r="C189" s="252" t="s">
        <v>20</v>
      </c>
      <c r="D189" s="252" t="s">
        <v>2474</v>
      </c>
      <c r="E189" s="252" t="s">
        <v>2475</v>
      </c>
      <c r="F189" s="252" t="s">
        <v>2481</v>
      </c>
      <c r="G189" s="252">
        <v>50</v>
      </c>
      <c r="H189" s="252" t="s">
        <v>928</v>
      </c>
      <c r="I189" s="252" t="s">
        <v>928</v>
      </c>
      <c r="J189" s="252" t="s">
        <v>928</v>
      </c>
      <c r="K189" s="252" t="s">
        <v>3236</v>
      </c>
      <c r="L189" s="252">
        <v>429.2</v>
      </c>
      <c r="M189" s="252">
        <v>0</v>
      </c>
      <c r="N189" s="252">
        <v>0</v>
      </c>
      <c r="O189" s="252">
        <v>0</v>
      </c>
      <c r="P189" s="252">
        <v>0</v>
      </c>
      <c r="Q189" s="252">
        <v>0</v>
      </c>
      <c r="R189" s="252">
        <v>0</v>
      </c>
      <c r="S189" s="252">
        <v>0</v>
      </c>
      <c r="T189" s="252">
        <v>0</v>
      </c>
      <c r="U189" s="252">
        <v>0</v>
      </c>
      <c r="V189" s="252">
        <v>0</v>
      </c>
      <c r="W189" s="252">
        <v>0</v>
      </c>
      <c r="X189" s="252">
        <v>0</v>
      </c>
      <c r="Y189" s="252">
        <v>357.98</v>
      </c>
      <c r="Z189" s="252">
        <v>0</v>
      </c>
      <c r="AA189" s="252">
        <v>0</v>
      </c>
      <c r="AB189" s="252">
        <v>71.22</v>
      </c>
      <c r="AC189" s="252">
        <v>0</v>
      </c>
      <c r="AD189" s="252">
        <v>0</v>
      </c>
      <c r="AE189" s="252" t="s">
        <v>720</v>
      </c>
      <c r="AF189" s="252" t="s">
        <v>721</v>
      </c>
      <c r="AG189" s="252">
        <f t="shared" si="11"/>
        <v>0</v>
      </c>
      <c r="AH189" s="252">
        <f t="shared" si="12"/>
        <v>0</v>
      </c>
      <c r="AI189" s="252">
        <f t="shared" si="13"/>
        <v>0</v>
      </c>
      <c r="AJ189" s="252">
        <f t="shared" si="14"/>
        <v>0</v>
      </c>
    </row>
    <row r="190" spans="1:36" x14ac:dyDescent="0.2">
      <c r="A190" s="253" t="str">
        <f t="shared" si="10"/>
        <v>2SNCF107121D50</v>
      </c>
      <c r="B190" s="252" t="s">
        <v>19</v>
      </c>
      <c r="C190" s="252" t="s">
        <v>20</v>
      </c>
      <c r="D190" s="252" t="s">
        <v>2474</v>
      </c>
      <c r="E190" s="252" t="s">
        <v>2475</v>
      </c>
      <c r="F190" s="252" t="s">
        <v>2482</v>
      </c>
      <c r="G190" s="252">
        <v>50</v>
      </c>
      <c r="H190" s="252" t="s">
        <v>928</v>
      </c>
      <c r="I190" s="252" t="s">
        <v>2477</v>
      </c>
      <c r="J190" s="252" t="s">
        <v>928</v>
      </c>
      <c r="K190" s="252" t="s">
        <v>3236</v>
      </c>
      <c r="L190" s="252">
        <v>427.12</v>
      </c>
      <c r="M190" s="252">
        <v>0</v>
      </c>
      <c r="N190" s="252">
        <v>0</v>
      </c>
      <c r="O190" s="252">
        <v>0</v>
      </c>
      <c r="P190" s="252">
        <v>0</v>
      </c>
      <c r="Q190" s="252">
        <v>0</v>
      </c>
      <c r="R190" s="252">
        <v>0</v>
      </c>
      <c r="S190" s="252">
        <v>0</v>
      </c>
      <c r="T190" s="252">
        <v>0</v>
      </c>
      <c r="U190" s="252">
        <v>0</v>
      </c>
      <c r="V190" s="252">
        <v>0</v>
      </c>
      <c r="W190" s="252">
        <v>0</v>
      </c>
      <c r="X190" s="252">
        <v>0</v>
      </c>
      <c r="Y190" s="252">
        <v>353.27</v>
      </c>
      <c r="Z190" s="252">
        <v>0</v>
      </c>
      <c r="AA190" s="252">
        <v>0</v>
      </c>
      <c r="AB190" s="252">
        <v>73.849999999999994</v>
      </c>
      <c r="AC190" s="252">
        <v>0</v>
      </c>
      <c r="AD190" s="252">
        <v>0</v>
      </c>
      <c r="AE190" s="252" t="s">
        <v>720</v>
      </c>
      <c r="AF190" s="252" t="s">
        <v>721</v>
      </c>
      <c r="AG190" s="252">
        <f t="shared" si="11"/>
        <v>0</v>
      </c>
      <c r="AH190" s="252">
        <f t="shared" si="12"/>
        <v>0</v>
      </c>
      <c r="AI190" s="252">
        <f t="shared" si="13"/>
        <v>0</v>
      </c>
      <c r="AJ190" s="252">
        <f t="shared" si="14"/>
        <v>0</v>
      </c>
    </row>
    <row r="191" spans="1:36" x14ac:dyDescent="0.2">
      <c r="A191" s="253" t="str">
        <f t="shared" si="10"/>
        <v>SNCF107121D50</v>
      </c>
      <c r="B191" s="252" t="s">
        <v>19</v>
      </c>
      <c r="C191" s="252" t="s">
        <v>20</v>
      </c>
      <c r="D191" s="252" t="s">
        <v>2474</v>
      </c>
      <c r="E191" s="252" t="s">
        <v>2475</v>
      </c>
      <c r="F191" s="252" t="s">
        <v>2482</v>
      </c>
      <c r="G191" s="252">
        <v>50</v>
      </c>
      <c r="H191" s="252" t="s">
        <v>928</v>
      </c>
      <c r="I191" s="252" t="s">
        <v>928</v>
      </c>
      <c r="J191" s="252" t="s">
        <v>928</v>
      </c>
      <c r="K191" s="252" t="s">
        <v>3236</v>
      </c>
      <c r="L191" s="252">
        <v>427.12</v>
      </c>
      <c r="M191" s="252">
        <v>0</v>
      </c>
      <c r="N191" s="252">
        <v>0</v>
      </c>
      <c r="O191" s="252">
        <v>0</v>
      </c>
      <c r="P191" s="252">
        <v>0</v>
      </c>
      <c r="Q191" s="252">
        <v>0</v>
      </c>
      <c r="R191" s="252">
        <v>0</v>
      </c>
      <c r="S191" s="252">
        <v>0</v>
      </c>
      <c r="T191" s="252">
        <v>0</v>
      </c>
      <c r="U191" s="252">
        <v>0</v>
      </c>
      <c r="V191" s="252">
        <v>0</v>
      </c>
      <c r="W191" s="252">
        <v>0</v>
      </c>
      <c r="X191" s="252">
        <v>0</v>
      </c>
      <c r="Y191" s="252">
        <v>353.27</v>
      </c>
      <c r="Z191" s="252">
        <v>0</v>
      </c>
      <c r="AA191" s="252">
        <v>0</v>
      </c>
      <c r="AB191" s="252">
        <v>73.849999999999994</v>
      </c>
      <c r="AC191" s="252">
        <v>0</v>
      </c>
      <c r="AD191" s="252">
        <v>0</v>
      </c>
      <c r="AE191" s="252" t="s">
        <v>720</v>
      </c>
      <c r="AF191" s="252" t="s">
        <v>721</v>
      </c>
      <c r="AG191" s="252">
        <f t="shared" si="11"/>
        <v>0</v>
      </c>
      <c r="AH191" s="252">
        <f t="shared" si="12"/>
        <v>0</v>
      </c>
      <c r="AI191" s="252">
        <f t="shared" si="13"/>
        <v>0</v>
      </c>
      <c r="AJ191" s="252">
        <f t="shared" si="14"/>
        <v>0</v>
      </c>
    </row>
    <row r="192" spans="1:36" x14ac:dyDescent="0.2">
      <c r="A192" s="253" t="str">
        <f t="shared" si="10"/>
        <v>2SNCF107121D90</v>
      </c>
      <c r="B192" s="252" t="s">
        <v>19</v>
      </c>
      <c r="C192" s="252" t="s">
        <v>20</v>
      </c>
      <c r="D192" s="252" t="s">
        <v>2474</v>
      </c>
      <c r="E192" s="252" t="s">
        <v>2475</v>
      </c>
      <c r="F192" s="252" t="s">
        <v>2482</v>
      </c>
      <c r="G192" s="252">
        <v>90</v>
      </c>
      <c r="H192" s="252" t="s">
        <v>928</v>
      </c>
      <c r="I192" s="252" t="s">
        <v>2477</v>
      </c>
      <c r="J192" s="252" t="s">
        <v>928</v>
      </c>
      <c r="K192" s="252" t="s">
        <v>3236</v>
      </c>
      <c r="L192" s="252">
        <v>485.57</v>
      </c>
      <c r="M192" s="252">
        <v>0</v>
      </c>
      <c r="N192" s="252">
        <v>0</v>
      </c>
      <c r="O192" s="252">
        <v>0</v>
      </c>
      <c r="P192" s="252">
        <v>0</v>
      </c>
      <c r="Q192" s="252">
        <v>0</v>
      </c>
      <c r="R192" s="252">
        <v>0</v>
      </c>
      <c r="S192" s="252">
        <v>0</v>
      </c>
      <c r="T192" s="252">
        <v>0</v>
      </c>
      <c r="U192" s="252">
        <v>0</v>
      </c>
      <c r="V192" s="252">
        <v>0</v>
      </c>
      <c r="W192" s="252">
        <v>0</v>
      </c>
      <c r="X192" s="252">
        <v>0</v>
      </c>
      <c r="Y192" s="252">
        <v>398.68</v>
      </c>
      <c r="Z192" s="252">
        <v>0</v>
      </c>
      <c r="AA192" s="252">
        <v>0</v>
      </c>
      <c r="AB192" s="252">
        <v>86.89</v>
      </c>
      <c r="AC192" s="252">
        <v>0</v>
      </c>
      <c r="AD192" s="252">
        <v>0</v>
      </c>
      <c r="AE192" s="252" t="s">
        <v>720</v>
      </c>
      <c r="AF192" s="252" t="s">
        <v>721</v>
      </c>
      <c r="AG192" s="252">
        <f t="shared" si="11"/>
        <v>0</v>
      </c>
      <c r="AH192" s="252">
        <f t="shared" si="12"/>
        <v>0</v>
      </c>
      <c r="AI192" s="252">
        <f t="shared" si="13"/>
        <v>0</v>
      </c>
      <c r="AJ192" s="252">
        <f t="shared" si="14"/>
        <v>0</v>
      </c>
    </row>
    <row r="193" spans="1:36" x14ac:dyDescent="0.2">
      <c r="A193" s="253" t="str">
        <f t="shared" si="10"/>
        <v>SNCF107121D90</v>
      </c>
      <c r="B193" s="252" t="s">
        <v>19</v>
      </c>
      <c r="C193" s="252" t="s">
        <v>20</v>
      </c>
      <c r="D193" s="252" t="s">
        <v>2474</v>
      </c>
      <c r="E193" s="252" t="s">
        <v>2475</v>
      </c>
      <c r="F193" s="252" t="s">
        <v>2482</v>
      </c>
      <c r="G193" s="252">
        <v>90</v>
      </c>
      <c r="H193" s="252" t="s">
        <v>928</v>
      </c>
      <c r="I193" s="252" t="s">
        <v>928</v>
      </c>
      <c r="J193" s="252" t="s">
        <v>928</v>
      </c>
      <c r="K193" s="252" t="s">
        <v>3236</v>
      </c>
      <c r="L193" s="252">
        <v>485.57</v>
      </c>
      <c r="M193" s="252">
        <v>0</v>
      </c>
      <c r="N193" s="252">
        <v>0</v>
      </c>
      <c r="O193" s="252">
        <v>0</v>
      </c>
      <c r="P193" s="252">
        <v>0</v>
      </c>
      <c r="Q193" s="252">
        <v>0</v>
      </c>
      <c r="R193" s="252">
        <v>0</v>
      </c>
      <c r="S193" s="252">
        <v>0</v>
      </c>
      <c r="T193" s="252">
        <v>0</v>
      </c>
      <c r="U193" s="252">
        <v>0</v>
      </c>
      <c r="V193" s="252">
        <v>0</v>
      </c>
      <c r="W193" s="252">
        <v>0</v>
      </c>
      <c r="X193" s="252">
        <v>0</v>
      </c>
      <c r="Y193" s="252">
        <v>398.68</v>
      </c>
      <c r="Z193" s="252">
        <v>0</v>
      </c>
      <c r="AA193" s="252">
        <v>0</v>
      </c>
      <c r="AB193" s="252">
        <v>86.89</v>
      </c>
      <c r="AC193" s="252">
        <v>0</v>
      </c>
      <c r="AD193" s="252">
        <v>0</v>
      </c>
      <c r="AE193" s="252" t="s">
        <v>720</v>
      </c>
      <c r="AF193" s="252" t="s">
        <v>721</v>
      </c>
      <c r="AG193" s="252">
        <f t="shared" si="11"/>
        <v>0</v>
      </c>
      <c r="AH193" s="252">
        <f t="shared" si="12"/>
        <v>0</v>
      </c>
      <c r="AI193" s="252">
        <f t="shared" si="13"/>
        <v>0</v>
      </c>
      <c r="AJ193" s="252">
        <f t="shared" si="14"/>
        <v>0</v>
      </c>
    </row>
    <row r="194" spans="1:36" x14ac:dyDescent="0.2">
      <c r="A194" s="253" t="str">
        <f t="shared" si="10"/>
        <v>2SNCF10723280</v>
      </c>
      <c r="B194" s="252" t="s">
        <v>19</v>
      </c>
      <c r="C194" s="252" t="s">
        <v>20</v>
      </c>
      <c r="D194" s="252" t="s">
        <v>2474</v>
      </c>
      <c r="E194" s="252" t="s">
        <v>2475</v>
      </c>
      <c r="F194" s="252" t="s">
        <v>2483</v>
      </c>
      <c r="G194" s="252">
        <v>80</v>
      </c>
      <c r="H194" s="252" t="s">
        <v>928</v>
      </c>
      <c r="I194" s="252" t="s">
        <v>2477</v>
      </c>
      <c r="J194" s="252" t="s">
        <v>928</v>
      </c>
      <c r="K194" s="252" t="s">
        <v>3236</v>
      </c>
      <c r="L194" s="252">
        <v>536.58000000000004</v>
      </c>
      <c r="M194" s="252">
        <v>0</v>
      </c>
      <c r="N194" s="252">
        <v>0</v>
      </c>
      <c r="O194" s="252">
        <v>0</v>
      </c>
      <c r="P194" s="252">
        <v>0</v>
      </c>
      <c r="Q194" s="252">
        <v>0</v>
      </c>
      <c r="R194" s="252">
        <v>0</v>
      </c>
      <c r="S194" s="252">
        <v>0</v>
      </c>
      <c r="T194" s="252">
        <v>0</v>
      </c>
      <c r="U194" s="252">
        <v>0</v>
      </c>
      <c r="V194" s="252">
        <v>0</v>
      </c>
      <c r="W194" s="252">
        <v>0</v>
      </c>
      <c r="X194" s="252">
        <v>0</v>
      </c>
      <c r="Y194" s="252">
        <v>443.99</v>
      </c>
      <c r="Z194" s="252">
        <v>0</v>
      </c>
      <c r="AA194" s="252">
        <v>0</v>
      </c>
      <c r="AB194" s="252">
        <v>92.59</v>
      </c>
      <c r="AC194" s="252">
        <v>0</v>
      </c>
      <c r="AD194" s="252">
        <v>0</v>
      </c>
      <c r="AE194" s="252" t="s">
        <v>720</v>
      </c>
      <c r="AF194" s="252" t="s">
        <v>721</v>
      </c>
      <c r="AG194" s="252">
        <f t="shared" si="11"/>
        <v>0</v>
      </c>
      <c r="AH194" s="252">
        <f t="shared" si="12"/>
        <v>0</v>
      </c>
      <c r="AI194" s="252">
        <f t="shared" si="13"/>
        <v>0</v>
      </c>
      <c r="AJ194" s="252">
        <f t="shared" si="14"/>
        <v>0</v>
      </c>
    </row>
    <row r="195" spans="1:36" x14ac:dyDescent="0.2">
      <c r="A195" s="253" t="str">
        <f t="shared" si="10"/>
        <v>SNCF10723280</v>
      </c>
      <c r="B195" s="252" t="s">
        <v>19</v>
      </c>
      <c r="C195" s="252" t="s">
        <v>20</v>
      </c>
      <c r="D195" s="252" t="s">
        <v>2474</v>
      </c>
      <c r="E195" s="252" t="s">
        <v>2475</v>
      </c>
      <c r="F195" s="252" t="s">
        <v>2483</v>
      </c>
      <c r="G195" s="252">
        <v>80</v>
      </c>
      <c r="H195" s="252" t="s">
        <v>928</v>
      </c>
      <c r="I195" s="252" t="s">
        <v>928</v>
      </c>
      <c r="J195" s="252" t="s">
        <v>928</v>
      </c>
      <c r="K195" s="252" t="s">
        <v>3236</v>
      </c>
      <c r="L195" s="252">
        <v>536.58000000000004</v>
      </c>
      <c r="M195" s="252">
        <v>0</v>
      </c>
      <c r="N195" s="252">
        <v>0</v>
      </c>
      <c r="O195" s="252">
        <v>0</v>
      </c>
      <c r="P195" s="252">
        <v>0</v>
      </c>
      <c r="Q195" s="252">
        <v>0</v>
      </c>
      <c r="R195" s="252">
        <v>0</v>
      </c>
      <c r="S195" s="252">
        <v>0</v>
      </c>
      <c r="T195" s="252">
        <v>0</v>
      </c>
      <c r="U195" s="252">
        <v>0</v>
      </c>
      <c r="V195" s="252">
        <v>0</v>
      </c>
      <c r="W195" s="252">
        <v>0</v>
      </c>
      <c r="X195" s="252">
        <v>0</v>
      </c>
      <c r="Y195" s="252">
        <v>443.99</v>
      </c>
      <c r="Z195" s="252">
        <v>0</v>
      </c>
      <c r="AA195" s="252">
        <v>0</v>
      </c>
      <c r="AB195" s="252">
        <v>92.59</v>
      </c>
      <c r="AC195" s="252">
        <v>0</v>
      </c>
      <c r="AD195" s="252">
        <v>0</v>
      </c>
      <c r="AE195" s="252" t="s">
        <v>720</v>
      </c>
      <c r="AF195" s="252" t="s">
        <v>721</v>
      </c>
      <c r="AG195" s="252">
        <f t="shared" si="11"/>
        <v>0</v>
      </c>
      <c r="AH195" s="252">
        <f t="shared" si="12"/>
        <v>0</v>
      </c>
      <c r="AI195" s="252">
        <f t="shared" si="13"/>
        <v>0</v>
      </c>
      <c r="AJ195" s="252">
        <f t="shared" si="14"/>
        <v>0</v>
      </c>
    </row>
    <row r="196" spans="1:36" x14ac:dyDescent="0.2">
      <c r="A196" s="253" t="str">
        <f t="shared" ref="A196:A259" si="15">TRIM(I196&amp;B196&amp;C196&amp;D196&amp;F196&amp;G196)</f>
        <v>2SNCF107232D50</v>
      </c>
      <c r="B196" s="252" t="s">
        <v>19</v>
      </c>
      <c r="C196" s="252" t="s">
        <v>20</v>
      </c>
      <c r="D196" s="252" t="s">
        <v>2474</v>
      </c>
      <c r="E196" s="252" t="s">
        <v>2475</v>
      </c>
      <c r="F196" s="252" t="s">
        <v>2484</v>
      </c>
      <c r="G196" s="252">
        <v>50</v>
      </c>
      <c r="H196" s="252" t="s">
        <v>928</v>
      </c>
      <c r="I196" s="252" t="s">
        <v>2477</v>
      </c>
      <c r="J196" s="252" t="s">
        <v>928</v>
      </c>
      <c r="K196" s="252" t="s">
        <v>3236</v>
      </c>
      <c r="L196" s="252">
        <v>425.34</v>
      </c>
      <c r="M196" s="252">
        <v>0</v>
      </c>
      <c r="N196" s="252">
        <v>0</v>
      </c>
      <c r="O196" s="252">
        <v>0</v>
      </c>
      <c r="P196" s="252">
        <v>0</v>
      </c>
      <c r="Q196" s="252">
        <v>0</v>
      </c>
      <c r="R196" s="252">
        <v>0</v>
      </c>
      <c r="S196" s="252">
        <v>0</v>
      </c>
      <c r="T196" s="252">
        <v>0</v>
      </c>
      <c r="U196" s="252">
        <v>0</v>
      </c>
      <c r="V196" s="252">
        <v>0</v>
      </c>
      <c r="W196" s="252">
        <v>0</v>
      </c>
      <c r="X196" s="252">
        <v>0</v>
      </c>
      <c r="Y196" s="252">
        <v>336.17</v>
      </c>
      <c r="Z196" s="252">
        <v>0</v>
      </c>
      <c r="AA196" s="252">
        <v>0</v>
      </c>
      <c r="AB196" s="252">
        <v>89.17</v>
      </c>
      <c r="AC196" s="252">
        <v>0</v>
      </c>
      <c r="AD196" s="252">
        <v>0</v>
      </c>
      <c r="AE196" s="252" t="s">
        <v>720</v>
      </c>
      <c r="AF196" s="252" t="s">
        <v>721</v>
      </c>
      <c r="AG196" s="252">
        <f t="shared" si="11"/>
        <v>0</v>
      </c>
      <c r="AH196" s="252">
        <f t="shared" si="12"/>
        <v>0</v>
      </c>
      <c r="AI196" s="252">
        <f t="shared" si="13"/>
        <v>0</v>
      </c>
      <c r="AJ196" s="252">
        <f t="shared" si="14"/>
        <v>0</v>
      </c>
    </row>
    <row r="197" spans="1:36" x14ac:dyDescent="0.2">
      <c r="A197" s="253" t="str">
        <f t="shared" si="15"/>
        <v>SNCF107232D50</v>
      </c>
      <c r="B197" s="252" t="s">
        <v>19</v>
      </c>
      <c r="C197" s="252" t="s">
        <v>20</v>
      </c>
      <c r="D197" s="252" t="s">
        <v>2474</v>
      </c>
      <c r="E197" s="252" t="s">
        <v>2475</v>
      </c>
      <c r="F197" s="252" t="s">
        <v>2484</v>
      </c>
      <c r="G197" s="252">
        <v>50</v>
      </c>
      <c r="H197" s="252" t="s">
        <v>928</v>
      </c>
      <c r="I197" s="252" t="s">
        <v>928</v>
      </c>
      <c r="J197" s="252" t="s">
        <v>928</v>
      </c>
      <c r="K197" s="252" t="s">
        <v>3236</v>
      </c>
      <c r="L197" s="252">
        <v>425.34</v>
      </c>
      <c r="M197" s="252">
        <v>0</v>
      </c>
      <c r="N197" s="252">
        <v>0</v>
      </c>
      <c r="O197" s="252">
        <v>0</v>
      </c>
      <c r="P197" s="252">
        <v>0</v>
      </c>
      <c r="Q197" s="252">
        <v>0</v>
      </c>
      <c r="R197" s="252">
        <v>0</v>
      </c>
      <c r="S197" s="252">
        <v>0</v>
      </c>
      <c r="T197" s="252">
        <v>0</v>
      </c>
      <c r="U197" s="252">
        <v>0</v>
      </c>
      <c r="V197" s="252">
        <v>0</v>
      </c>
      <c r="W197" s="252">
        <v>0</v>
      </c>
      <c r="X197" s="252">
        <v>0</v>
      </c>
      <c r="Y197" s="252">
        <v>336.17</v>
      </c>
      <c r="Z197" s="252">
        <v>0</v>
      </c>
      <c r="AA197" s="252">
        <v>0</v>
      </c>
      <c r="AB197" s="252">
        <v>89.17</v>
      </c>
      <c r="AC197" s="252">
        <v>0</v>
      </c>
      <c r="AD197" s="252">
        <v>0</v>
      </c>
      <c r="AE197" s="252" t="s">
        <v>720</v>
      </c>
      <c r="AF197" s="252" t="s">
        <v>721</v>
      </c>
      <c r="AG197" s="252">
        <f t="shared" si="11"/>
        <v>0</v>
      </c>
      <c r="AH197" s="252">
        <f t="shared" si="12"/>
        <v>0</v>
      </c>
      <c r="AI197" s="252">
        <f t="shared" si="13"/>
        <v>0</v>
      </c>
      <c r="AJ197" s="252">
        <f t="shared" si="14"/>
        <v>0</v>
      </c>
    </row>
    <row r="198" spans="1:36" x14ac:dyDescent="0.2">
      <c r="A198" s="253" t="str">
        <f t="shared" si="15"/>
        <v>2SNCF107232D80</v>
      </c>
      <c r="B198" s="252" t="s">
        <v>19</v>
      </c>
      <c r="C198" s="252" t="s">
        <v>20</v>
      </c>
      <c r="D198" s="252" t="s">
        <v>2474</v>
      </c>
      <c r="E198" s="252" t="s">
        <v>2475</v>
      </c>
      <c r="F198" s="252" t="s">
        <v>2484</v>
      </c>
      <c r="G198" s="252">
        <v>80</v>
      </c>
      <c r="H198" s="252" t="s">
        <v>928</v>
      </c>
      <c r="I198" s="252" t="s">
        <v>2477</v>
      </c>
      <c r="J198" s="252" t="s">
        <v>928</v>
      </c>
      <c r="K198" s="252" t="s">
        <v>3236</v>
      </c>
      <c r="L198" s="252">
        <v>557.29</v>
      </c>
      <c r="M198" s="252">
        <v>0</v>
      </c>
      <c r="N198" s="252">
        <v>0</v>
      </c>
      <c r="O198" s="252">
        <v>0</v>
      </c>
      <c r="P198" s="252">
        <v>0</v>
      </c>
      <c r="Q198" s="252">
        <v>0</v>
      </c>
      <c r="R198" s="252">
        <v>0</v>
      </c>
      <c r="S198" s="252">
        <v>0</v>
      </c>
      <c r="T198" s="252">
        <v>0</v>
      </c>
      <c r="U198" s="252">
        <v>0</v>
      </c>
      <c r="V198" s="252">
        <v>0</v>
      </c>
      <c r="W198" s="252">
        <v>0</v>
      </c>
      <c r="X198" s="252">
        <v>0</v>
      </c>
      <c r="Y198" s="252">
        <v>446.59</v>
      </c>
      <c r="Z198" s="252">
        <v>0</v>
      </c>
      <c r="AA198" s="252">
        <v>0</v>
      </c>
      <c r="AB198" s="252">
        <v>110.7</v>
      </c>
      <c r="AC198" s="252">
        <v>0</v>
      </c>
      <c r="AD198" s="252">
        <v>0</v>
      </c>
      <c r="AE198" s="252" t="s">
        <v>720</v>
      </c>
      <c r="AF198" s="252" t="s">
        <v>721</v>
      </c>
      <c r="AG198" s="252">
        <f t="shared" ref="AG198:AG261" si="16">+O198*M198/100</f>
        <v>0</v>
      </c>
      <c r="AH198" s="252">
        <f t="shared" ref="AH198:AH261" si="17">+P198*M198/100</f>
        <v>0</v>
      </c>
      <c r="AI198" s="252">
        <f t="shared" ref="AI198:AI261" si="18">+AB198*M198/100</f>
        <v>0</v>
      </c>
      <c r="AJ198" s="252">
        <f t="shared" ref="AJ198:AJ261" si="19">+AG198+AH198+AI198</f>
        <v>0</v>
      </c>
    </row>
    <row r="199" spans="1:36" x14ac:dyDescent="0.2">
      <c r="A199" s="253" t="str">
        <f t="shared" si="15"/>
        <v>SNCF107232D80</v>
      </c>
      <c r="B199" s="252" t="s">
        <v>19</v>
      </c>
      <c r="C199" s="252" t="s">
        <v>20</v>
      </c>
      <c r="D199" s="252" t="s">
        <v>2474</v>
      </c>
      <c r="E199" s="252" t="s">
        <v>2475</v>
      </c>
      <c r="F199" s="252" t="s">
        <v>2484</v>
      </c>
      <c r="G199" s="252">
        <v>80</v>
      </c>
      <c r="H199" s="252" t="s">
        <v>928</v>
      </c>
      <c r="I199" s="252" t="s">
        <v>928</v>
      </c>
      <c r="J199" s="252" t="s">
        <v>928</v>
      </c>
      <c r="K199" s="252" t="s">
        <v>3236</v>
      </c>
      <c r="L199" s="252">
        <v>557.29</v>
      </c>
      <c r="M199" s="252">
        <v>0</v>
      </c>
      <c r="N199" s="252">
        <v>0</v>
      </c>
      <c r="O199" s="252">
        <v>0</v>
      </c>
      <c r="P199" s="252">
        <v>0</v>
      </c>
      <c r="Q199" s="252">
        <v>0</v>
      </c>
      <c r="R199" s="252">
        <v>0</v>
      </c>
      <c r="S199" s="252">
        <v>0</v>
      </c>
      <c r="T199" s="252">
        <v>0</v>
      </c>
      <c r="U199" s="252">
        <v>0</v>
      </c>
      <c r="V199" s="252">
        <v>0</v>
      </c>
      <c r="W199" s="252">
        <v>0</v>
      </c>
      <c r="X199" s="252">
        <v>0</v>
      </c>
      <c r="Y199" s="252">
        <v>446.59</v>
      </c>
      <c r="Z199" s="252">
        <v>0</v>
      </c>
      <c r="AA199" s="252">
        <v>0</v>
      </c>
      <c r="AB199" s="252">
        <v>110.7</v>
      </c>
      <c r="AC199" s="252">
        <v>0</v>
      </c>
      <c r="AD199" s="252">
        <v>0</v>
      </c>
      <c r="AE199" s="252" t="s">
        <v>720</v>
      </c>
      <c r="AF199" s="252" t="s">
        <v>721</v>
      </c>
      <c r="AG199" s="252">
        <f t="shared" si="16"/>
        <v>0</v>
      </c>
      <c r="AH199" s="252">
        <f t="shared" si="17"/>
        <v>0</v>
      </c>
      <c r="AI199" s="252">
        <f t="shared" si="18"/>
        <v>0</v>
      </c>
      <c r="AJ199" s="252">
        <f t="shared" si="19"/>
        <v>0</v>
      </c>
    </row>
    <row r="200" spans="1:36" x14ac:dyDescent="0.2">
      <c r="A200" s="253" t="str">
        <f t="shared" si="15"/>
        <v>2SNCF107234D50</v>
      </c>
      <c r="B200" s="252" t="s">
        <v>19</v>
      </c>
      <c r="C200" s="252" t="s">
        <v>20</v>
      </c>
      <c r="D200" s="252" t="s">
        <v>2474</v>
      </c>
      <c r="E200" s="252" t="s">
        <v>2475</v>
      </c>
      <c r="F200" s="252" t="s">
        <v>2485</v>
      </c>
      <c r="G200" s="252">
        <v>50</v>
      </c>
      <c r="H200" s="252" t="s">
        <v>928</v>
      </c>
      <c r="I200" s="252" t="s">
        <v>2477</v>
      </c>
      <c r="J200" s="252" t="s">
        <v>928</v>
      </c>
      <c r="K200" s="252" t="s">
        <v>3236</v>
      </c>
      <c r="L200" s="252">
        <v>452.18</v>
      </c>
      <c r="M200" s="252">
        <v>0</v>
      </c>
      <c r="N200" s="252">
        <v>0</v>
      </c>
      <c r="O200" s="252">
        <v>0</v>
      </c>
      <c r="P200" s="252">
        <v>0</v>
      </c>
      <c r="Q200" s="252">
        <v>0</v>
      </c>
      <c r="R200" s="252">
        <v>0</v>
      </c>
      <c r="S200" s="252">
        <v>0</v>
      </c>
      <c r="T200" s="252">
        <v>0</v>
      </c>
      <c r="U200" s="252">
        <v>0</v>
      </c>
      <c r="V200" s="252">
        <v>0</v>
      </c>
      <c r="W200" s="252">
        <v>0</v>
      </c>
      <c r="X200" s="252">
        <v>0</v>
      </c>
      <c r="Y200" s="252">
        <v>353.89</v>
      </c>
      <c r="Z200" s="252">
        <v>0</v>
      </c>
      <c r="AA200" s="252">
        <v>0</v>
      </c>
      <c r="AB200" s="252">
        <v>98.29</v>
      </c>
      <c r="AC200" s="252">
        <v>0</v>
      </c>
      <c r="AD200" s="252">
        <v>0</v>
      </c>
      <c r="AE200" s="252" t="s">
        <v>720</v>
      </c>
      <c r="AF200" s="252" t="s">
        <v>721</v>
      </c>
      <c r="AG200" s="252">
        <f t="shared" si="16"/>
        <v>0</v>
      </c>
      <c r="AH200" s="252">
        <f t="shared" si="17"/>
        <v>0</v>
      </c>
      <c r="AI200" s="252">
        <f t="shared" si="18"/>
        <v>0</v>
      </c>
      <c r="AJ200" s="252">
        <f t="shared" si="19"/>
        <v>0</v>
      </c>
    </row>
    <row r="201" spans="1:36" x14ac:dyDescent="0.2">
      <c r="A201" s="253" t="str">
        <f t="shared" si="15"/>
        <v>SNCF107234D50</v>
      </c>
      <c r="B201" s="252" t="s">
        <v>19</v>
      </c>
      <c r="C201" s="252" t="s">
        <v>20</v>
      </c>
      <c r="D201" s="252" t="s">
        <v>2474</v>
      </c>
      <c r="E201" s="252" t="s">
        <v>2475</v>
      </c>
      <c r="F201" s="252" t="s">
        <v>2485</v>
      </c>
      <c r="G201" s="252">
        <v>50</v>
      </c>
      <c r="H201" s="252" t="s">
        <v>928</v>
      </c>
      <c r="I201" s="252" t="s">
        <v>928</v>
      </c>
      <c r="J201" s="252" t="s">
        <v>928</v>
      </c>
      <c r="K201" s="252" t="s">
        <v>3236</v>
      </c>
      <c r="L201" s="252">
        <v>452.18</v>
      </c>
      <c r="M201" s="252">
        <v>0</v>
      </c>
      <c r="N201" s="252">
        <v>0</v>
      </c>
      <c r="O201" s="252">
        <v>0</v>
      </c>
      <c r="P201" s="252">
        <v>0</v>
      </c>
      <c r="Q201" s="252">
        <v>0</v>
      </c>
      <c r="R201" s="252">
        <v>0</v>
      </c>
      <c r="S201" s="252">
        <v>0</v>
      </c>
      <c r="T201" s="252">
        <v>0</v>
      </c>
      <c r="U201" s="252">
        <v>0</v>
      </c>
      <c r="V201" s="252">
        <v>0</v>
      </c>
      <c r="W201" s="252">
        <v>0</v>
      </c>
      <c r="X201" s="252">
        <v>0</v>
      </c>
      <c r="Y201" s="252">
        <v>353.89</v>
      </c>
      <c r="Z201" s="252">
        <v>0</v>
      </c>
      <c r="AA201" s="252">
        <v>0</v>
      </c>
      <c r="AB201" s="252">
        <v>98.29</v>
      </c>
      <c r="AC201" s="252">
        <v>0</v>
      </c>
      <c r="AD201" s="252">
        <v>0</v>
      </c>
      <c r="AE201" s="252" t="s">
        <v>720</v>
      </c>
      <c r="AF201" s="252" t="s">
        <v>721</v>
      </c>
      <c r="AG201" s="252">
        <f t="shared" si="16"/>
        <v>0</v>
      </c>
      <c r="AH201" s="252">
        <f t="shared" si="17"/>
        <v>0</v>
      </c>
      <c r="AI201" s="252">
        <f t="shared" si="18"/>
        <v>0</v>
      </c>
      <c r="AJ201" s="252">
        <f t="shared" si="19"/>
        <v>0</v>
      </c>
    </row>
    <row r="202" spans="1:36" x14ac:dyDescent="0.2">
      <c r="A202" s="253" t="str">
        <f t="shared" si="15"/>
        <v>2SNCF10733230</v>
      </c>
      <c r="B202" s="252" t="s">
        <v>19</v>
      </c>
      <c r="C202" s="252" t="s">
        <v>20</v>
      </c>
      <c r="D202" s="252" t="s">
        <v>2474</v>
      </c>
      <c r="E202" s="252" t="s">
        <v>2475</v>
      </c>
      <c r="F202" s="252" t="s">
        <v>2486</v>
      </c>
      <c r="G202" s="252">
        <v>30</v>
      </c>
      <c r="H202" s="252" t="s">
        <v>928</v>
      </c>
      <c r="I202" s="252" t="s">
        <v>2477</v>
      </c>
      <c r="J202" s="252" t="s">
        <v>928</v>
      </c>
      <c r="K202" s="252" t="s">
        <v>3236</v>
      </c>
      <c r="L202" s="252">
        <v>470.65</v>
      </c>
      <c r="M202" s="252">
        <v>0</v>
      </c>
      <c r="N202" s="252">
        <v>0</v>
      </c>
      <c r="O202" s="252">
        <v>0</v>
      </c>
      <c r="P202" s="252">
        <v>0</v>
      </c>
      <c r="Q202" s="252">
        <v>0</v>
      </c>
      <c r="R202" s="252">
        <v>0</v>
      </c>
      <c r="S202" s="252">
        <v>0</v>
      </c>
      <c r="T202" s="252">
        <v>0</v>
      </c>
      <c r="U202" s="252">
        <v>0</v>
      </c>
      <c r="V202" s="252">
        <v>0</v>
      </c>
      <c r="W202" s="252">
        <v>0</v>
      </c>
      <c r="X202" s="252">
        <v>0</v>
      </c>
      <c r="Y202" s="252">
        <v>348.84</v>
      </c>
      <c r="Z202" s="252">
        <v>0</v>
      </c>
      <c r="AA202" s="252">
        <v>0</v>
      </c>
      <c r="AB202" s="252">
        <v>121.82</v>
      </c>
      <c r="AC202" s="252">
        <v>0</v>
      </c>
      <c r="AD202" s="252">
        <v>0</v>
      </c>
      <c r="AE202" s="252" t="s">
        <v>720</v>
      </c>
      <c r="AF202" s="252" t="s">
        <v>721</v>
      </c>
      <c r="AG202" s="252">
        <f t="shared" si="16"/>
        <v>0</v>
      </c>
      <c r="AH202" s="252">
        <f t="shared" si="17"/>
        <v>0</v>
      </c>
      <c r="AI202" s="252">
        <f t="shared" si="18"/>
        <v>0</v>
      </c>
      <c r="AJ202" s="252">
        <f t="shared" si="19"/>
        <v>0</v>
      </c>
    </row>
    <row r="203" spans="1:36" x14ac:dyDescent="0.2">
      <c r="A203" s="253" t="str">
        <f t="shared" si="15"/>
        <v>8SNCF10733230</v>
      </c>
      <c r="B203" s="252" t="s">
        <v>19</v>
      </c>
      <c r="C203" s="252" t="s">
        <v>20</v>
      </c>
      <c r="D203" s="252" t="s">
        <v>2474</v>
      </c>
      <c r="E203" s="252" t="s">
        <v>2475</v>
      </c>
      <c r="F203" s="252" t="s">
        <v>2486</v>
      </c>
      <c r="G203" s="252">
        <v>30</v>
      </c>
      <c r="H203" s="252" t="s">
        <v>928</v>
      </c>
      <c r="I203" s="252" t="s">
        <v>2487</v>
      </c>
      <c r="J203" s="252" t="s">
        <v>928</v>
      </c>
      <c r="K203" s="252" t="s">
        <v>3236</v>
      </c>
      <c r="L203" s="252">
        <v>852.77</v>
      </c>
      <c r="M203" s="252">
        <v>0</v>
      </c>
      <c r="N203" s="252">
        <v>0</v>
      </c>
      <c r="O203" s="252">
        <v>0</v>
      </c>
      <c r="P203" s="252">
        <v>0</v>
      </c>
      <c r="Q203" s="252">
        <v>317.11</v>
      </c>
      <c r="R203" s="252">
        <v>0</v>
      </c>
      <c r="S203" s="252">
        <v>0</v>
      </c>
      <c r="T203" s="252">
        <v>0</v>
      </c>
      <c r="U203" s="252">
        <v>71.75</v>
      </c>
      <c r="V203" s="252">
        <v>0</v>
      </c>
      <c r="W203" s="252">
        <v>0</v>
      </c>
      <c r="X203" s="252">
        <v>0</v>
      </c>
      <c r="Y203" s="252">
        <v>342.08947000000001</v>
      </c>
      <c r="Z203" s="252">
        <v>0</v>
      </c>
      <c r="AA203" s="252">
        <v>0</v>
      </c>
      <c r="AB203" s="252">
        <v>121.82053000000001</v>
      </c>
      <c r="AC203" s="252">
        <v>0</v>
      </c>
      <c r="AD203" s="252">
        <v>0</v>
      </c>
      <c r="AE203" s="252" t="s">
        <v>720</v>
      </c>
      <c r="AF203" s="252" t="s">
        <v>721</v>
      </c>
      <c r="AG203" s="252">
        <f t="shared" si="16"/>
        <v>0</v>
      </c>
      <c r="AH203" s="252">
        <f t="shared" si="17"/>
        <v>0</v>
      </c>
      <c r="AI203" s="252">
        <f t="shared" si="18"/>
        <v>0</v>
      </c>
      <c r="AJ203" s="252">
        <f t="shared" si="19"/>
        <v>0</v>
      </c>
    </row>
    <row r="204" spans="1:36" x14ac:dyDescent="0.2">
      <c r="A204" s="253" t="str">
        <f t="shared" si="15"/>
        <v>SNCF10733230</v>
      </c>
      <c r="B204" s="252" t="s">
        <v>19</v>
      </c>
      <c r="C204" s="252" t="s">
        <v>20</v>
      </c>
      <c r="D204" s="252" t="s">
        <v>2474</v>
      </c>
      <c r="E204" s="252" t="s">
        <v>2475</v>
      </c>
      <c r="F204" s="252" t="s">
        <v>2486</v>
      </c>
      <c r="G204" s="252">
        <v>30</v>
      </c>
      <c r="H204" s="252" t="s">
        <v>928</v>
      </c>
      <c r="I204" s="252" t="s">
        <v>928</v>
      </c>
      <c r="J204" s="252" t="s">
        <v>928</v>
      </c>
      <c r="K204" s="252" t="s">
        <v>3236</v>
      </c>
      <c r="L204" s="252">
        <v>470.65</v>
      </c>
      <c r="M204" s="252">
        <v>0</v>
      </c>
      <c r="N204" s="252">
        <v>0</v>
      </c>
      <c r="O204" s="252">
        <v>0</v>
      </c>
      <c r="P204" s="252">
        <v>0</v>
      </c>
      <c r="Q204" s="252">
        <v>0</v>
      </c>
      <c r="R204" s="252">
        <v>0</v>
      </c>
      <c r="S204" s="252">
        <v>0</v>
      </c>
      <c r="T204" s="252">
        <v>0</v>
      </c>
      <c r="U204" s="252">
        <v>0</v>
      </c>
      <c r="V204" s="252">
        <v>0</v>
      </c>
      <c r="W204" s="252">
        <v>0</v>
      </c>
      <c r="X204" s="252">
        <v>0</v>
      </c>
      <c r="Y204" s="252">
        <v>348.84</v>
      </c>
      <c r="Z204" s="252">
        <v>0</v>
      </c>
      <c r="AA204" s="252">
        <v>0</v>
      </c>
      <c r="AB204" s="252">
        <v>121.82</v>
      </c>
      <c r="AC204" s="252">
        <v>0</v>
      </c>
      <c r="AD204" s="252">
        <v>0</v>
      </c>
      <c r="AE204" s="252" t="s">
        <v>720</v>
      </c>
      <c r="AF204" s="252" t="s">
        <v>721</v>
      </c>
      <c r="AG204" s="252">
        <f t="shared" si="16"/>
        <v>0</v>
      </c>
      <c r="AH204" s="252">
        <f t="shared" si="17"/>
        <v>0</v>
      </c>
      <c r="AI204" s="252">
        <f t="shared" si="18"/>
        <v>0</v>
      </c>
      <c r="AJ204" s="252">
        <f t="shared" si="19"/>
        <v>0</v>
      </c>
    </row>
    <row r="205" spans="1:36" x14ac:dyDescent="0.2">
      <c r="A205" s="253" t="str">
        <f t="shared" si="15"/>
        <v>2SNCF10733250</v>
      </c>
      <c r="B205" s="252" t="s">
        <v>19</v>
      </c>
      <c r="C205" s="252" t="s">
        <v>20</v>
      </c>
      <c r="D205" s="252" t="s">
        <v>2474</v>
      </c>
      <c r="E205" s="252" t="s">
        <v>2475</v>
      </c>
      <c r="F205" s="252" t="s">
        <v>2486</v>
      </c>
      <c r="G205" s="252">
        <v>50</v>
      </c>
      <c r="H205" s="252" t="s">
        <v>928</v>
      </c>
      <c r="I205" s="252" t="s">
        <v>2477</v>
      </c>
      <c r="J205" s="252" t="s">
        <v>928</v>
      </c>
      <c r="K205" s="252" t="s">
        <v>3236</v>
      </c>
      <c r="L205" s="252">
        <v>646.15</v>
      </c>
      <c r="M205" s="252">
        <v>0</v>
      </c>
      <c r="N205" s="252">
        <v>0</v>
      </c>
      <c r="O205" s="252">
        <v>0</v>
      </c>
      <c r="P205" s="252">
        <v>0</v>
      </c>
      <c r="Q205" s="252">
        <v>0</v>
      </c>
      <c r="R205" s="252">
        <v>0</v>
      </c>
      <c r="S205" s="252">
        <v>0</v>
      </c>
      <c r="T205" s="252">
        <v>0</v>
      </c>
      <c r="U205" s="252">
        <v>0</v>
      </c>
      <c r="V205" s="252">
        <v>0</v>
      </c>
      <c r="W205" s="252">
        <v>0</v>
      </c>
      <c r="X205" s="252">
        <v>0</v>
      </c>
      <c r="Y205" s="252">
        <v>492.7</v>
      </c>
      <c r="Z205" s="252">
        <v>0</v>
      </c>
      <c r="AA205" s="252">
        <v>0</v>
      </c>
      <c r="AB205" s="252">
        <v>153.44999999999999</v>
      </c>
      <c r="AC205" s="252">
        <v>0</v>
      </c>
      <c r="AD205" s="252">
        <v>0</v>
      </c>
      <c r="AE205" s="252" t="s">
        <v>720</v>
      </c>
      <c r="AF205" s="252" t="s">
        <v>721</v>
      </c>
      <c r="AG205" s="252">
        <f t="shared" si="16"/>
        <v>0</v>
      </c>
      <c r="AH205" s="252">
        <f t="shared" si="17"/>
        <v>0</v>
      </c>
      <c r="AI205" s="252">
        <f t="shared" si="18"/>
        <v>0</v>
      </c>
      <c r="AJ205" s="252">
        <f t="shared" si="19"/>
        <v>0</v>
      </c>
    </row>
    <row r="206" spans="1:36" x14ac:dyDescent="0.2">
      <c r="A206" s="253" t="str">
        <f t="shared" si="15"/>
        <v>SNCF10733250</v>
      </c>
      <c r="B206" s="252" t="s">
        <v>19</v>
      </c>
      <c r="C206" s="252" t="s">
        <v>20</v>
      </c>
      <c r="D206" s="252" t="s">
        <v>2474</v>
      </c>
      <c r="E206" s="252" t="s">
        <v>2475</v>
      </c>
      <c r="F206" s="252" t="s">
        <v>2486</v>
      </c>
      <c r="G206" s="252">
        <v>50</v>
      </c>
      <c r="H206" s="252" t="s">
        <v>928</v>
      </c>
      <c r="I206" s="252" t="s">
        <v>928</v>
      </c>
      <c r="J206" s="252" t="s">
        <v>928</v>
      </c>
      <c r="K206" s="252" t="s">
        <v>3236</v>
      </c>
      <c r="L206" s="252">
        <v>646.15</v>
      </c>
      <c r="M206" s="252">
        <v>0</v>
      </c>
      <c r="N206" s="252">
        <v>0</v>
      </c>
      <c r="O206" s="252">
        <v>0</v>
      </c>
      <c r="P206" s="252">
        <v>0</v>
      </c>
      <c r="Q206" s="252">
        <v>0</v>
      </c>
      <c r="R206" s="252">
        <v>0</v>
      </c>
      <c r="S206" s="252">
        <v>0</v>
      </c>
      <c r="T206" s="252">
        <v>0</v>
      </c>
      <c r="U206" s="252">
        <v>0</v>
      </c>
      <c r="V206" s="252">
        <v>0</v>
      </c>
      <c r="W206" s="252">
        <v>0</v>
      </c>
      <c r="X206" s="252">
        <v>0</v>
      </c>
      <c r="Y206" s="252">
        <v>492.7</v>
      </c>
      <c r="Z206" s="252">
        <v>0</v>
      </c>
      <c r="AA206" s="252">
        <v>0</v>
      </c>
      <c r="AB206" s="252">
        <v>153.44999999999999</v>
      </c>
      <c r="AC206" s="252">
        <v>0</v>
      </c>
      <c r="AD206" s="252">
        <v>0</v>
      </c>
      <c r="AE206" s="252" t="s">
        <v>720</v>
      </c>
      <c r="AF206" s="252" t="s">
        <v>721</v>
      </c>
      <c r="AG206" s="252">
        <f t="shared" si="16"/>
        <v>0</v>
      </c>
      <c r="AH206" s="252">
        <f t="shared" si="17"/>
        <v>0</v>
      </c>
      <c r="AI206" s="252">
        <f t="shared" si="18"/>
        <v>0</v>
      </c>
      <c r="AJ206" s="252">
        <f t="shared" si="19"/>
        <v>0</v>
      </c>
    </row>
    <row r="207" spans="1:36" x14ac:dyDescent="0.2">
      <c r="A207" s="253" t="str">
        <f t="shared" si="15"/>
        <v>2SNCF107332D30</v>
      </c>
      <c r="B207" s="252" t="s">
        <v>19</v>
      </c>
      <c r="C207" s="252" t="s">
        <v>20</v>
      </c>
      <c r="D207" s="252" t="s">
        <v>2474</v>
      </c>
      <c r="E207" s="252" t="s">
        <v>2475</v>
      </c>
      <c r="F207" s="252" t="s">
        <v>2488</v>
      </c>
      <c r="G207" s="252">
        <v>30</v>
      </c>
      <c r="H207" s="252" t="s">
        <v>928</v>
      </c>
      <c r="I207" s="252" t="s">
        <v>2477</v>
      </c>
      <c r="J207" s="252" t="s">
        <v>928</v>
      </c>
      <c r="K207" s="252" t="s">
        <v>3236</v>
      </c>
      <c r="L207" s="252">
        <v>444.08</v>
      </c>
      <c r="M207" s="252">
        <v>0</v>
      </c>
      <c r="N207" s="252">
        <v>0</v>
      </c>
      <c r="O207" s="252">
        <v>0</v>
      </c>
      <c r="P207" s="252">
        <v>0</v>
      </c>
      <c r="Q207" s="252">
        <v>0</v>
      </c>
      <c r="R207" s="252">
        <v>0</v>
      </c>
      <c r="S207" s="252">
        <v>0</v>
      </c>
      <c r="T207" s="252">
        <v>0</v>
      </c>
      <c r="U207" s="252">
        <v>0</v>
      </c>
      <c r="V207" s="252">
        <v>0</v>
      </c>
      <c r="W207" s="252">
        <v>0</v>
      </c>
      <c r="X207" s="252">
        <v>0</v>
      </c>
      <c r="Y207" s="252">
        <v>354.79</v>
      </c>
      <c r="Z207" s="252">
        <v>0</v>
      </c>
      <c r="AA207" s="252">
        <v>0</v>
      </c>
      <c r="AB207" s="252">
        <v>89.29</v>
      </c>
      <c r="AC207" s="252">
        <v>0</v>
      </c>
      <c r="AD207" s="252">
        <v>0</v>
      </c>
      <c r="AE207" s="252" t="s">
        <v>720</v>
      </c>
      <c r="AF207" s="252" t="s">
        <v>721</v>
      </c>
      <c r="AG207" s="252">
        <f t="shared" si="16"/>
        <v>0</v>
      </c>
      <c r="AH207" s="252">
        <f t="shared" si="17"/>
        <v>0</v>
      </c>
      <c r="AI207" s="252">
        <f t="shared" si="18"/>
        <v>0</v>
      </c>
      <c r="AJ207" s="252">
        <f t="shared" si="19"/>
        <v>0</v>
      </c>
    </row>
    <row r="208" spans="1:36" x14ac:dyDescent="0.2">
      <c r="A208" s="253" t="str">
        <f t="shared" si="15"/>
        <v>SNCF107332D30</v>
      </c>
      <c r="B208" s="252" t="s">
        <v>19</v>
      </c>
      <c r="C208" s="252" t="s">
        <v>20</v>
      </c>
      <c r="D208" s="252" t="s">
        <v>2474</v>
      </c>
      <c r="E208" s="252" t="s">
        <v>2475</v>
      </c>
      <c r="F208" s="252" t="s">
        <v>2488</v>
      </c>
      <c r="G208" s="252">
        <v>30</v>
      </c>
      <c r="H208" s="252" t="s">
        <v>928</v>
      </c>
      <c r="I208" s="252" t="s">
        <v>928</v>
      </c>
      <c r="J208" s="252" t="s">
        <v>928</v>
      </c>
      <c r="K208" s="252" t="s">
        <v>3236</v>
      </c>
      <c r="L208" s="252">
        <v>444.08</v>
      </c>
      <c r="M208" s="252">
        <v>0</v>
      </c>
      <c r="N208" s="252">
        <v>0</v>
      </c>
      <c r="O208" s="252">
        <v>0</v>
      </c>
      <c r="P208" s="252">
        <v>0</v>
      </c>
      <c r="Q208" s="252">
        <v>0</v>
      </c>
      <c r="R208" s="252">
        <v>0</v>
      </c>
      <c r="S208" s="252">
        <v>0</v>
      </c>
      <c r="T208" s="252">
        <v>0</v>
      </c>
      <c r="U208" s="252">
        <v>0</v>
      </c>
      <c r="V208" s="252">
        <v>0</v>
      </c>
      <c r="W208" s="252">
        <v>0</v>
      </c>
      <c r="X208" s="252">
        <v>0</v>
      </c>
      <c r="Y208" s="252">
        <v>354.79</v>
      </c>
      <c r="Z208" s="252">
        <v>0</v>
      </c>
      <c r="AA208" s="252">
        <v>0</v>
      </c>
      <c r="AB208" s="252">
        <v>89.29</v>
      </c>
      <c r="AC208" s="252">
        <v>0</v>
      </c>
      <c r="AD208" s="252">
        <v>0</v>
      </c>
      <c r="AE208" s="252" t="s">
        <v>720</v>
      </c>
      <c r="AF208" s="252" t="s">
        <v>721</v>
      </c>
      <c r="AG208" s="252">
        <f t="shared" si="16"/>
        <v>0</v>
      </c>
      <c r="AH208" s="252">
        <f t="shared" si="17"/>
        <v>0</v>
      </c>
      <c r="AI208" s="252">
        <f t="shared" si="18"/>
        <v>0</v>
      </c>
      <c r="AJ208" s="252">
        <f t="shared" si="19"/>
        <v>0</v>
      </c>
    </row>
    <row r="209" spans="1:36" x14ac:dyDescent="0.2">
      <c r="A209" s="253" t="str">
        <f t="shared" si="15"/>
        <v>2SNCF107332K30</v>
      </c>
      <c r="B209" s="252" t="s">
        <v>19</v>
      </c>
      <c r="C209" s="252" t="s">
        <v>20</v>
      </c>
      <c r="D209" s="252" t="s">
        <v>2474</v>
      </c>
      <c r="E209" s="252" t="s">
        <v>2475</v>
      </c>
      <c r="F209" s="252" t="s">
        <v>2489</v>
      </c>
      <c r="G209" s="252">
        <v>30</v>
      </c>
      <c r="H209" s="252" t="s">
        <v>928</v>
      </c>
      <c r="I209" s="252" t="s">
        <v>2477</v>
      </c>
      <c r="J209" s="252" t="s">
        <v>928</v>
      </c>
      <c r="K209" s="252" t="s">
        <v>3236</v>
      </c>
      <c r="L209" s="252">
        <v>624.85</v>
      </c>
      <c r="M209" s="252">
        <v>0</v>
      </c>
      <c r="N209" s="252">
        <v>0</v>
      </c>
      <c r="O209" s="252">
        <v>0</v>
      </c>
      <c r="P209" s="252">
        <v>0</v>
      </c>
      <c r="Q209" s="252">
        <v>0</v>
      </c>
      <c r="R209" s="252">
        <v>0</v>
      </c>
      <c r="S209" s="252">
        <v>0</v>
      </c>
      <c r="T209" s="252">
        <v>0</v>
      </c>
      <c r="U209" s="252">
        <v>0</v>
      </c>
      <c r="V209" s="252">
        <v>0</v>
      </c>
      <c r="W209" s="252">
        <v>0</v>
      </c>
      <c r="X209" s="252">
        <v>0</v>
      </c>
      <c r="Y209" s="252">
        <v>501.61</v>
      </c>
      <c r="Z209" s="252">
        <v>0</v>
      </c>
      <c r="AA209" s="252">
        <v>0</v>
      </c>
      <c r="AB209" s="252">
        <v>123.25</v>
      </c>
      <c r="AC209" s="252">
        <v>0</v>
      </c>
      <c r="AD209" s="252">
        <v>0</v>
      </c>
      <c r="AE209" s="252" t="s">
        <v>720</v>
      </c>
      <c r="AF209" s="252" t="s">
        <v>721</v>
      </c>
      <c r="AG209" s="252">
        <f t="shared" si="16"/>
        <v>0</v>
      </c>
      <c r="AH209" s="252">
        <f t="shared" si="17"/>
        <v>0</v>
      </c>
      <c r="AI209" s="252">
        <f t="shared" si="18"/>
        <v>0</v>
      </c>
      <c r="AJ209" s="252">
        <f t="shared" si="19"/>
        <v>0</v>
      </c>
    </row>
    <row r="210" spans="1:36" x14ac:dyDescent="0.2">
      <c r="A210" s="253" t="str">
        <f t="shared" si="15"/>
        <v>SNCF107332K30</v>
      </c>
      <c r="B210" s="252" t="s">
        <v>19</v>
      </c>
      <c r="C210" s="252" t="s">
        <v>20</v>
      </c>
      <c r="D210" s="252" t="s">
        <v>2474</v>
      </c>
      <c r="E210" s="252" t="s">
        <v>2475</v>
      </c>
      <c r="F210" s="252" t="s">
        <v>2489</v>
      </c>
      <c r="G210" s="252">
        <v>30</v>
      </c>
      <c r="H210" s="252" t="s">
        <v>928</v>
      </c>
      <c r="I210" s="252" t="s">
        <v>928</v>
      </c>
      <c r="J210" s="252" t="s">
        <v>928</v>
      </c>
      <c r="K210" s="252" t="s">
        <v>3236</v>
      </c>
      <c r="L210" s="252">
        <v>624.85</v>
      </c>
      <c r="M210" s="252">
        <v>0</v>
      </c>
      <c r="N210" s="252">
        <v>0</v>
      </c>
      <c r="O210" s="252">
        <v>0</v>
      </c>
      <c r="P210" s="252">
        <v>0</v>
      </c>
      <c r="Q210" s="252">
        <v>0</v>
      </c>
      <c r="R210" s="252">
        <v>0</v>
      </c>
      <c r="S210" s="252">
        <v>0</v>
      </c>
      <c r="T210" s="252">
        <v>0</v>
      </c>
      <c r="U210" s="252">
        <v>0</v>
      </c>
      <c r="V210" s="252">
        <v>0</v>
      </c>
      <c r="W210" s="252">
        <v>0</v>
      </c>
      <c r="X210" s="252">
        <v>0</v>
      </c>
      <c r="Y210" s="252">
        <v>501.61</v>
      </c>
      <c r="Z210" s="252">
        <v>0</v>
      </c>
      <c r="AA210" s="252">
        <v>0</v>
      </c>
      <c r="AB210" s="252">
        <v>123.25</v>
      </c>
      <c r="AC210" s="252">
        <v>0</v>
      </c>
      <c r="AD210" s="252">
        <v>0</v>
      </c>
      <c r="AE210" s="252" t="s">
        <v>720</v>
      </c>
      <c r="AF210" s="252" t="s">
        <v>721</v>
      </c>
      <c r="AG210" s="252">
        <f t="shared" si="16"/>
        <v>0</v>
      </c>
      <c r="AH210" s="252">
        <f t="shared" si="17"/>
        <v>0</v>
      </c>
      <c r="AI210" s="252">
        <f t="shared" si="18"/>
        <v>0</v>
      </c>
      <c r="AJ210" s="252">
        <f t="shared" si="19"/>
        <v>0</v>
      </c>
    </row>
    <row r="211" spans="1:36" x14ac:dyDescent="0.2">
      <c r="A211" s="253" t="str">
        <f t="shared" si="15"/>
        <v>2SNCF107332N30</v>
      </c>
      <c r="B211" s="252" t="s">
        <v>19</v>
      </c>
      <c r="C211" s="252" t="s">
        <v>20</v>
      </c>
      <c r="D211" s="252" t="s">
        <v>2474</v>
      </c>
      <c r="E211" s="252" t="s">
        <v>2475</v>
      </c>
      <c r="F211" s="252" t="s">
        <v>2490</v>
      </c>
      <c r="G211" s="252">
        <v>30</v>
      </c>
      <c r="H211" s="252" t="s">
        <v>928</v>
      </c>
      <c r="I211" s="252" t="s">
        <v>2477</v>
      </c>
      <c r="J211" s="252" t="s">
        <v>928</v>
      </c>
      <c r="K211" s="252" t="s">
        <v>3236</v>
      </c>
      <c r="L211" s="252">
        <v>537.01</v>
      </c>
      <c r="M211" s="252">
        <v>0</v>
      </c>
      <c r="N211" s="252">
        <v>0</v>
      </c>
      <c r="O211" s="252">
        <v>0</v>
      </c>
      <c r="P211" s="252">
        <v>0</v>
      </c>
      <c r="Q211" s="252">
        <v>0</v>
      </c>
      <c r="R211" s="252">
        <v>0</v>
      </c>
      <c r="S211" s="252">
        <v>0</v>
      </c>
      <c r="T211" s="252">
        <v>0</v>
      </c>
      <c r="U211" s="252">
        <v>0</v>
      </c>
      <c r="V211" s="252">
        <v>0</v>
      </c>
      <c r="W211" s="252">
        <v>0</v>
      </c>
      <c r="X211" s="252">
        <v>0</v>
      </c>
      <c r="Y211" s="252">
        <v>362.39</v>
      </c>
      <c r="Z211" s="252">
        <v>0</v>
      </c>
      <c r="AA211" s="252">
        <v>0</v>
      </c>
      <c r="AB211" s="252">
        <v>174.62</v>
      </c>
      <c r="AC211" s="252">
        <v>0</v>
      </c>
      <c r="AD211" s="252">
        <v>0</v>
      </c>
      <c r="AE211" s="252" t="s">
        <v>720</v>
      </c>
      <c r="AF211" s="252" t="s">
        <v>721</v>
      </c>
      <c r="AG211" s="252">
        <f t="shared" si="16"/>
        <v>0</v>
      </c>
      <c r="AH211" s="252">
        <f t="shared" si="17"/>
        <v>0</v>
      </c>
      <c r="AI211" s="252">
        <f t="shared" si="18"/>
        <v>0</v>
      </c>
      <c r="AJ211" s="252">
        <f t="shared" si="19"/>
        <v>0</v>
      </c>
    </row>
    <row r="212" spans="1:36" x14ac:dyDescent="0.2">
      <c r="A212" s="253" t="str">
        <f t="shared" si="15"/>
        <v>SNCF107332N30</v>
      </c>
      <c r="B212" s="252" t="s">
        <v>19</v>
      </c>
      <c r="C212" s="252" t="s">
        <v>20</v>
      </c>
      <c r="D212" s="252" t="s">
        <v>2474</v>
      </c>
      <c r="E212" s="252" t="s">
        <v>2475</v>
      </c>
      <c r="F212" s="252" t="s">
        <v>2490</v>
      </c>
      <c r="G212" s="252">
        <v>30</v>
      </c>
      <c r="H212" s="252" t="s">
        <v>928</v>
      </c>
      <c r="I212" s="252" t="s">
        <v>928</v>
      </c>
      <c r="J212" s="252" t="s">
        <v>928</v>
      </c>
      <c r="K212" s="252" t="s">
        <v>3236</v>
      </c>
      <c r="L212" s="252">
        <v>537.01</v>
      </c>
      <c r="M212" s="252">
        <v>0</v>
      </c>
      <c r="N212" s="252">
        <v>0</v>
      </c>
      <c r="O212" s="252">
        <v>0</v>
      </c>
      <c r="P212" s="252">
        <v>0</v>
      </c>
      <c r="Q212" s="252">
        <v>0</v>
      </c>
      <c r="R212" s="252">
        <v>0</v>
      </c>
      <c r="S212" s="252">
        <v>0</v>
      </c>
      <c r="T212" s="252">
        <v>0</v>
      </c>
      <c r="U212" s="252">
        <v>0</v>
      </c>
      <c r="V212" s="252">
        <v>0</v>
      </c>
      <c r="W212" s="252">
        <v>0</v>
      </c>
      <c r="X212" s="252">
        <v>0</v>
      </c>
      <c r="Y212" s="252">
        <v>362.39</v>
      </c>
      <c r="Z212" s="252">
        <v>0</v>
      </c>
      <c r="AA212" s="252">
        <v>0</v>
      </c>
      <c r="AB212" s="252">
        <v>174.62</v>
      </c>
      <c r="AC212" s="252">
        <v>0</v>
      </c>
      <c r="AD212" s="252">
        <v>0</v>
      </c>
      <c r="AE212" s="252" t="s">
        <v>720</v>
      </c>
      <c r="AF212" s="252" t="s">
        <v>721</v>
      </c>
      <c r="AG212" s="252">
        <f t="shared" si="16"/>
        <v>0</v>
      </c>
      <c r="AH212" s="252">
        <f t="shared" si="17"/>
        <v>0</v>
      </c>
      <c r="AI212" s="252">
        <f t="shared" si="18"/>
        <v>0</v>
      </c>
      <c r="AJ212" s="252">
        <f t="shared" si="19"/>
        <v>0</v>
      </c>
    </row>
    <row r="213" spans="1:36" x14ac:dyDescent="0.2">
      <c r="A213" s="253" t="str">
        <f t="shared" si="15"/>
        <v>2SNCF10746170</v>
      </c>
      <c r="B213" s="252" t="s">
        <v>19</v>
      </c>
      <c r="C213" s="252" t="s">
        <v>20</v>
      </c>
      <c r="D213" s="252" t="s">
        <v>2474</v>
      </c>
      <c r="E213" s="252" t="s">
        <v>2475</v>
      </c>
      <c r="F213" s="252" t="s">
        <v>2491</v>
      </c>
      <c r="G213" s="252">
        <v>70</v>
      </c>
      <c r="H213" s="252" t="s">
        <v>928</v>
      </c>
      <c r="I213" s="252" t="s">
        <v>2477</v>
      </c>
      <c r="J213" s="252" t="s">
        <v>928</v>
      </c>
      <c r="K213" s="252" t="s">
        <v>3236</v>
      </c>
      <c r="L213" s="252">
        <v>495.51</v>
      </c>
      <c r="M213" s="252">
        <v>0</v>
      </c>
      <c r="N213" s="252">
        <v>0</v>
      </c>
      <c r="O213" s="252">
        <v>0</v>
      </c>
      <c r="P213" s="252">
        <v>0</v>
      </c>
      <c r="Q213" s="252">
        <v>0</v>
      </c>
      <c r="R213" s="252">
        <v>0</v>
      </c>
      <c r="S213" s="252">
        <v>0</v>
      </c>
      <c r="T213" s="252">
        <v>0</v>
      </c>
      <c r="U213" s="252">
        <v>0</v>
      </c>
      <c r="V213" s="252">
        <v>0</v>
      </c>
      <c r="W213" s="252">
        <v>0</v>
      </c>
      <c r="X213" s="252">
        <v>0</v>
      </c>
      <c r="Y213" s="252">
        <v>399.22</v>
      </c>
      <c r="Z213" s="252">
        <v>0</v>
      </c>
      <c r="AA213" s="252">
        <v>0</v>
      </c>
      <c r="AB213" s="252">
        <v>96.3</v>
      </c>
      <c r="AC213" s="252">
        <v>0</v>
      </c>
      <c r="AD213" s="252">
        <v>0</v>
      </c>
      <c r="AE213" s="252" t="s">
        <v>720</v>
      </c>
      <c r="AF213" s="252" t="s">
        <v>721</v>
      </c>
      <c r="AG213" s="252">
        <f t="shared" si="16"/>
        <v>0</v>
      </c>
      <c r="AH213" s="252">
        <f t="shared" si="17"/>
        <v>0</v>
      </c>
      <c r="AI213" s="252">
        <f t="shared" si="18"/>
        <v>0</v>
      </c>
      <c r="AJ213" s="252">
        <f t="shared" si="19"/>
        <v>0</v>
      </c>
    </row>
    <row r="214" spans="1:36" x14ac:dyDescent="0.2">
      <c r="A214" s="253" t="str">
        <f t="shared" si="15"/>
        <v>SNCF10746170</v>
      </c>
      <c r="B214" s="252" t="s">
        <v>19</v>
      </c>
      <c r="C214" s="252" t="s">
        <v>20</v>
      </c>
      <c r="D214" s="252" t="s">
        <v>2474</v>
      </c>
      <c r="E214" s="252" t="s">
        <v>2475</v>
      </c>
      <c r="F214" s="252" t="s">
        <v>2491</v>
      </c>
      <c r="G214" s="252">
        <v>70</v>
      </c>
      <c r="H214" s="252" t="s">
        <v>928</v>
      </c>
      <c r="I214" s="252" t="s">
        <v>928</v>
      </c>
      <c r="J214" s="252" t="s">
        <v>928</v>
      </c>
      <c r="K214" s="252" t="s">
        <v>3236</v>
      </c>
      <c r="L214" s="252">
        <v>495.51</v>
      </c>
      <c r="M214" s="252">
        <v>0</v>
      </c>
      <c r="N214" s="252">
        <v>0</v>
      </c>
      <c r="O214" s="252">
        <v>0</v>
      </c>
      <c r="P214" s="252">
        <v>0</v>
      </c>
      <c r="Q214" s="252">
        <v>0</v>
      </c>
      <c r="R214" s="252">
        <v>0</v>
      </c>
      <c r="S214" s="252">
        <v>0</v>
      </c>
      <c r="T214" s="252">
        <v>0</v>
      </c>
      <c r="U214" s="252">
        <v>0</v>
      </c>
      <c r="V214" s="252">
        <v>0</v>
      </c>
      <c r="W214" s="252">
        <v>0</v>
      </c>
      <c r="X214" s="252">
        <v>0</v>
      </c>
      <c r="Y214" s="252">
        <v>399.22</v>
      </c>
      <c r="Z214" s="252">
        <v>0</v>
      </c>
      <c r="AA214" s="252">
        <v>0</v>
      </c>
      <c r="AB214" s="252">
        <v>96.3</v>
      </c>
      <c r="AC214" s="252">
        <v>0</v>
      </c>
      <c r="AD214" s="252">
        <v>0</v>
      </c>
      <c r="AE214" s="252" t="s">
        <v>720</v>
      </c>
      <c r="AF214" s="252" t="s">
        <v>721</v>
      </c>
      <c r="AG214" s="252">
        <f t="shared" si="16"/>
        <v>0</v>
      </c>
      <c r="AH214" s="252">
        <f t="shared" si="17"/>
        <v>0</v>
      </c>
      <c r="AI214" s="252">
        <f t="shared" si="18"/>
        <v>0</v>
      </c>
      <c r="AJ214" s="252">
        <f t="shared" si="19"/>
        <v>0</v>
      </c>
    </row>
    <row r="215" spans="1:36" x14ac:dyDescent="0.2">
      <c r="A215" s="253" t="str">
        <f t="shared" si="15"/>
        <v>2SNCF10753130</v>
      </c>
      <c r="B215" s="252" t="s">
        <v>19</v>
      </c>
      <c r="C215" s="252" t="s">
        <v>20</v>
      </c>
      <c r="D215" s="252" t="s">
        <v>2474</v>
      </c>
      <c r="E215" s="252" t="s">
        <v>2475</v>
      </c>
      <c r="F215" s="252" t="s">
        <v>2492</v>
      </c>
      <c r="G215" s="252">
        <v>30</v>
      </c>
      <c r="H215" s="252" t="s">
        <v>928</v>
      </c>
      <c r="I215" s="252" t="s">
        <v>2477</v>
      </c>
      <c r="J215" s="252" t="s">
        <v>928</v>
      </c>
      <c r="K215" s="252" t="s">
        <v>3236</v>
      </c>
      <c r="L215" s="252">
        <v>440.91</v>
      </c>
      <c r="M215" s="252">
        <v>0</v>
      </c>
      <c r="N215" s="252">
        <v>0</v>
      </c>
      <c r="O215" s="252">
        <v>0</v>
      </c>
      <c r="P215" s="252">
        <v>0</v>
      </c>
      <c r="Q215" s="252">
        <v>0</v>
      </c>
      <c r="R215" s="252">
        <v>0</v>
      </c>
      <c r="S215" s="252">
        <v>0</v>
      </c>
      <c r="T215" s="252">
        <v>0</v>
      </c>
      <c r="U215" s="252">
        <v>0</v>
      </c>
      <c r="V215" s="252">
        <v>0</v>
      </c>
      <c r="W215" s="252">
        <v>0</v>
      </c>
      <c r="X215" s="252">
        <v>0</v>
      </c>
      <c r="Y215" s="252">
        <v>339.06</v>
      </c>
      <c r="Z215" s="252">
        <v>0</v>
      </c>
      <c r="AA215" s="252">
        <v>0</v>
      </c>
      <c r="AB215" s="252">
        <v>101.85</v>
      </c>
      <c r="AC215" s="252">
        <v>0</v>
      </c>
      <c r="AD215" s="252">
        <v>0</v>
      </c>
      <c r="AE215" s="252" t="s">
        <v>720</v>
      </c>
      <c r="AF215" s="252" t="s">
        <v>721</v>
      </c>
      <c r="AG215" s="252">
        <f t="shared" si="16"/>
        <v>0</v>
      </c>
      <c r="AH215" s="252">
        <f t="shared" si="17"/>
        <v>0</v>
      </c>
      <c r="AI215" s="252">
        <f t="shared" si="18"/>
        <v>0</v>
      </c>
      <c r="AJ215" s="252">
        <f t="shared" si="19"/>
        <v>0</v>
      </c>
    </row>
    <row r="216" spans="1:36" x14ac:dyDescent="0.2">
      <c r="A216" s="253" t="str">
        <f t="shared" si="15"/>
        <v>SNCF10753130</v>
      </c>
      <c r="B216" s="252" t="s">
        <v>19</v>
      </c>
      <c r="C216" s="252" t="s">
        <v>20</v>
      </c>
      <c r="D216" s="252" t="s">
        <v>2474</v>
      </c>
      <c r="E216" s="252" t="s">
        <v>2475</v>
      </c>
      <c r="F216" s="252" t="s">
        <v>2492</v>
      </c>
      <c r="G216" s="252">
        <v>30</v>
      </c>
      <c r="H216" s="252" t="s">
        <v>928</v>
      </c>
      <c r="I216" s="252" t="s">
        <v>928</v>
      </c>
      <c r="J216" s="252" t="s">
        <v>928</v>
      </c>
      <c r="K216" s="252" t="s">
        <v>3236</v>
      </c>
      <c r="L216" s="252">
        <v>440.91</v>
      </c>
      <c r="M216" s="252">
        <v>0</v>
      </c>
      <c r="N216" s="252">
        <v>0</v>
      </c>
      <c r="O216" s="252">
        <v>0</v>
      </c>
      <c r="P216" s="252">
        <v>0</v>
      </c>
      <c r="Q216" s="252">
        <v>0</v>
      </c>
      <c r="R216" s="252">
        <v>0</v>
      </c>
      <c r="S216" s="252">
        <v>0</v>
      </c>
      <c r="T216" s="252">
        <v>0</v>
      </c>
      <c r="U216" s="252">
        <v>0</v>
      </c>
      <c r="V216" s="252">
        <v>0</v>
      </c>
      <c r="W216" s="252">
        <v>0</v>
      </c>
      <c r="X216" s="252">
        <v>0</v>
      </c>
      <c r="Y216" s="252">
        <v>339.06</v>
      </c>
      <c r="Z216" s="252">
        <v>0</v>
      </c>
      <c r="AA216" s="252">
        <v>0</v>
      </c>
      <c r="AB216" s="252">
        <v>101.85</v>
      </c>
      <c r="AC216" s="252">
        <v>0</v>
      </c>
      <c r="AD216" s="252">
        <v>0</v>
      </c>
      <c r="AE216" s="252" t="s">
        <v>720</v>
      </c>
      <c r="AF216" s="252" t="s">
        <v>721</v>
      </c>
      <c r="AG216" s="252">
        <f t="shared" si="16"/>
        <v>0</v>
      </c>
      <c r="AH216" s="252">
        <f t="shared" si="17"/>
        <v>0</v>
      </c>
      <c r="AI216" s="252">
        <f t="shared" si="18"/>
        <v>0</v>
      </c>
      <c r="AJ216" s="252">
        <f t="shared" si="19"/>
        <v>0</v>
      </c>
    </row>
    <row r="217" spans="1:36" x14ac:dyDescent="0.2">
      <c r="A217" s="253" t="str">
        <f t="shared" si="15"/>
        <v>2SNCF10753150</v>
      </c>
      <c r="B217" s="252" t="s">
        <v>19</v>
      </c>
      <c r="C217" s="252" t="s">
        <v>20</v>
      </c>
      <c r="D217" s="252" t="s">
        <v>2474</v>
      </c>
      <c r="E217" s="252" t="s">
        <v>2475</v>
      </c>
      <c r="F217" s="252" t="s">
        <v>2492</v>
      </c>
      <c r="G217" s="252">
        <v>50</v>
      </c>
      <c r="H217" s="252" t="s">
        <v>928</v>
      </c>
      <c r="I217" s="252" t="s">
        <v>2477</v>
      </c>
      <c r="J217" s="252" t="s">
        <v>928</v>
      </c>
      <c r="K217" s="252" t="s">
        <v>3236</v>
      </c>
      <c r="L217" s="252">
        <v>497.76</v>
      </c>
      <c r="M217" s="252">
        <v>0</v>
      </c>
      <c r="N217" s="252">
        <v>0</v>
      </c>
      <c r="O217" s="252">
        <v>0</v>
      </c>
      <c r="P217" s="252">
        <v>0</v>
      </c>
      <c r="Q217" s="252">
        <v>0</v>
      </c>
      <c r="R217" s="252">
        <v>0</v>
      </c>
      <c r="S217" s="252">
        <v>0</v>
      </c>
      <c r="T217" s="252">
        <v>0</v>
      </c>
      <c r="U217" s="252">
        <v>0</v>
      </c>
      <c r="V217" s="252">
        <v>0</v>
      </c>
      <c r="W217" s="252">
        <v>0</v>
      </c>
      <c r="X217" s="252">
        <v>0</v>
      </c>
      <c r="Y217" s="252">
        <v>393.77</v>
      </c>
      <c r="Z217" s="252">
        <v>0</v>
      </c>
      <c r="AA217" s="252">
        <v>0</v>
      </c>
      <c r="AB217" s="252">
        <v>103.99</v>
      </c>
      <c r="AC217" s="252">
        <v>0</v>
      </c>
      <c r="AD217" s="252">
        <v>0</v>
      </c>
      <c r="AE217" s="252" t="s">
        <v>720</v>
      </c>
      <c r="AF217" s="252" t="s">
        <v>721</v>
      </c>
      <c r="AG217" s="252">
        <f t="shared" si="16"/>
        <v>0</v>
      </c>
      <c r="AH217" s="252">
        <f t="shared" si="17"/>
        <v>0</v>
      </c>
      <c r="AI217" s="252">
        <f t="shared" si="18"/>
        <v>0</v>
      </c>
      <c r="AJ217" s="252">
        <f t="shared" si="19"/>
        <v>0</v>
      </c>
    </row>
    <row r="218" spans="1:36" x14ac:dyDescent="0.2">
      <c r="A218" s="253" t="str">
        <f t="shared" si="15"/>
        <v>SNCF10753150</v>
      </c>
      <c r="B218" s="252" t="s">
        <v>19</v>
      </c>
      <c r="C218" s="252" t="s">
        <v>20</v>
      </c>
      <c r="D218" s="252" t="s">
        <v>2474</v>
      </c>
      <c r="E218" s="252" t="s">
        <v>2475</v>
      </c>
      <c r="F218" s="252" t="s">
        <v>2492</v>
      </c>
      <c r="G218" s="252">
        <v>50</v>
      </c>
      <c r="H218" s="252" t="s">
        <v>928</v>
      </c>
      <c r="I218" s="252" t="s">
        <v>928</v>
      </c>
      <c r="J218" s="252" t="s">
        <v>928</v>
      </c>
      <c r="K218" s="252" t="s">
        <v>3236</v>
      </c>
      <c r="L218" s="252">
        <v>497.76</v>
      </c>
      <c r="M218" s="252">
        <v>0</v>
      </c>
      <c r="N218" s="252">
        <v>0</v>
      </c>
      <c r="O218" s="252">
        <v>0</v>
      </c>
      <c r="P218" s="252">
        <v>0</v>
      </c>
      <c r="Q218" s="252">
        <v>0</v>
      </c>
      <c r="R218" s="252">
        <v>0</v>
      </c>
      <c r="S218" s="252">
        <v>0</v>
      </c>
      <c r="T218" s="252">
        <v>0</v>
      </c>
      <c r="U218" s="252">
        <v>0</v>
      </c>
      <c r="V218" s="252">
        <v>0</v>
      </c>
      <c r="W218" s="252">
        <v>0</v>
      </c>
      <c r="X218" s="252">
        <v>0</v>
      </c>
      <c r="Y218" s="252">
        <v>393.77</v>
      </c>
      <c r="Z218" s="252">
        <v>0</v>
      </c>
      <c r="AA218" s="252">
        <v>0</v>
      </c>
      <c r="AB218" s="252">
        <v>103.99</v>
      </c>
      <c r="AC218" s="252">
        <v>0</v>
      </c>
      <c r="AD218" s="252">
        <v>0</v>
      </c>
      <c r="AE218" s="252" t="s">
        <v>720</v>
      </c>
      <c r="AF218" s="252" t="s">
        <v>721</v>
      </c>
      <c r="AG218" s="252">
        <f t="shared" si="16"/>
        <v>0</v>
      </c>
      <c r="AH218" s="252">
        <f t="shared" si="17"/>
        <v>0</v>
      </c>
      <c r="AI218" s="252">
        <f t="shared" si="18"/>
        <v>0</v>
      </c>
      <c r="AJ218" s="252">
        <f t="shared" si="19"/>
        <v>0</v>
      </c>
    </row>
    <row r="219" spans="1:36" x14ac:dyDescent="0.2">
      <c r="A219" s="253" t="str">
        <f t="shared" si="15"/>
        <v>2SNCF107531D30</v>
      </c>
      <c r="B219" s="252" t="s">
        <v>19</v>
      </c>
      <c r="C219" s="252" t="s">
        <v>20</v>
      </c>
      <c r="D219" s="252" t="s">
        <v>2474</v>
      </c>
      <c r="E219" s="252" t="s">
        <v>2475</v>
      </c>
      <c r="F219" s="252" t="s">
        <v>2493</v>
      </c>
      <c r="G219" s="252">
        <v>30</v>
      </c>
      <c r="H219" s="252" t="s">
        <v>928</v>
      </c>
      <c r="I219" s="252" t="s">
        <v>2477</v>
      </c>
      <c r="J219" s="252" t="s">
        <v>928</v>
      </c>
      <c r="K219" s="252" t="s">
        <v>3236</v>
      </c>
      <c r="L219" s="252">
        <v>440.66</v>
      </c>
      <c r="M219" s="252">
        <v>0</v>
      </c>
      <c r="N219" s="252">
        <v>0</v>
      </c>
      <c r="O219" s="252">
        <v>0</v>
      </c>
      <c r="P219" s="252">
        <v>0</v>
      </c>
      <c r="Q219" s="252">
        <v>0</v>
      </c>
      <c r="R219" s="252">
        <v>0</v>
      </c>
      <c r="S219" s="252">
        <v>0</v>
      </c>
      <c r="T219" s="252">
        <v>0</v>
      </c>
      <c r="U219" s="252">
        <v>0</v>
      </c>
      <c r="V219" s="252">
        <v>0</v>
      </c>
      <c r="W219" s="252">
        <v>0</v>
      </c>
      <c r="X219" s="252">
        <v>0</v>
      </c>
      <c r="Y219" s="252">
        <v>327.36</v>
      </c>
      <c r="Z219" s="252">
        <v>0</v>
      </c>
      <c r="AA219" s="252">
        <v>0</v>
      </c>
      <c r="AB219" s="252">
        <v>113.3</v>
      </c>
      <c r="AC219" s="252">
        <v>0</v>
      </c>
      <c r="AD219" s="252">
        <v>0</v>
      </c>
      <c r="AE219" s="252" t="s">
        <v>720</v>
      </c>
      <c r="AF219" s="252" t="s">
        <v>721</v>
      </c>
      <c r="AG219" s="252">
        <f t="shared" si="16"/>
        <v>0</v>
      </c>
      <c r="AH219" s="252">
        <f t="shared" si="17"/>
        <v>0</v>
      </c>
      <c r="AI219" s="252">
        <f t="shared" si="18"/>
        <v>0</v>
      </c>
      <c r="AJ219" s="252">
        <f t="shared" si="19"/>
        <v>0</v>
      </c>
    </row>
    <row r="220" spans="1:36" x14ac:dyDescent="0.2">
      <c r="A220" s="253" t="str">
        <f t="shared" si="15"/>
        <v>SNCF107531D30</v>
      </c>
      <c r="B220" s="252" t="s">
        <v>19</v>
      </c>
      <c r="C220" s="252" t="s">
        <v>20</v>
      </c>
      <c r="D220" s="252" t="s">
        <v>2474</v>
      </c>
      <c r="E220" s="252" t="s">
        <v>2475</v>
      </c>
      <c r="F220" s="252" t="s">
        <v>2493</v>
      </c>
      <c r="G220" s="252">
        <v>30</v>
      </c>
      <c r="H220" s="252" t="s">
        <v>928</v>
      </c>
      <c r="I220" s="252" t="s">
        <v>928</v>
      </c>
      <c r="J220" s="252" t="s">
        <v>928</v>
      </c>
      <c r="K220" s="252" t="s">
        <v>3236</v>
      </c>
      <c r="L220" s="252">
        <v>440.66</v>
      </c>
      <c r="M220" s="252">
        <v>0</v>
      </c>
      <c r="N220" s="252">
        <v>0</v>
      </c>
      <c r="O220" s="252">
        <v>0</v>
      </c>
      <c r="P220" s="252">
        <v>0</v>
      </c>
      <c r="Q220" s="252">
        <v>0</v>
      </c>
      <c r="R220" s="252">
        <v>0</v>
      </c>
      <c r="S220" s="252">
        <v>0</v>
      </c>
      <c r="T220" s="252">
        <v>0</v>
      </c>
      <c r="U220" s="252">
        <v>0</v>
      </c>
      <c r="V220" s="252">
        <v>0</v>
      </c>
      <c r="W220" s="252">
        <v>0</v>
      </c>
      <c r="X220" s="252">
        <v>0</v>
      </c>
      <c r="Y220" s="252">
        <v>327.36</v>
      </c>
      <c r="Z220" s="252">
        <v>0</v>
      </c>
      <c r="AA220" s="252">
        <v>0</v>
      </c>
      <c r="AB220" s="252">
        <v>113.3</v>
      </c>
      <c r="AC220" s="252">
        <v>0</v>
      </c>
      <c r="AD220" s="252">
        <v>0</v>
      </c>
      <c r="AE220" s="252" t="s">
        <v>720</v>
      </c>
      <c r="AF220" s="252" t="s">
        <v>721</v>
      </c>
      <c r="AG220" s="252">
        <f t="shared" si="16"/>
        <v>0</v>
      </c>
      <c r="AH220" s="252">
        <f t="shared" si="17"/>
        <v>0</v>
      </c>
      <c r="AI220" s="252">
        <f t="shared" si="18"/>
        <v>0</v>
      </c>
      <c r="AJ220" s="252">
        <f t="shared" si="19"/>
        <v>0</v>
      </c>
    </row>
    <row r="221" spans="1:36" x14ac:dyDescent="0.2">
      <c r="A221" s="253" t="str">
        <f t="shared" si="15"/>
        <v>2SNCF107531D40</v>
      </c>
      <c r="B221" s="252" t="s">
        <v>19</v>
      </c>
      <c r="C221" s="252" t="s">
        <v>20</v>
      </c>
      <c r="D221" s="252" t="s">
        <v>2474</v>
      </c>
      <c r="E221" s="252" t="s">
        <v>2475</v>
      </c>
      <c r="F221" s="252" t="s">
        <v>2493</v>
      </c>
      <c r="G221" s="252">
        <v>40</v>
      </c>
      <c r="H221" s="252" t="s">
        <v>928</v>
      </c>
      <c r="I221" s="252" t="s">
        <v>2477</v>
      </c>
      <c r="J221" s="252" t="s">
        <v>928</v>
      </c>
      <c r="K221" s="252" t="s">
        <v>3236</v>
      </c>
      <c r="L221" s="252">
        <v>408.45</v>
      </c>
      <c r="M221" s="252">
        <v>0</v>
      </c>
      <c r="N221" s="252">
        <v>0</v>
      </c>
      <c r="O221" s="252">
        <v>0</v>
      </c>
      <c r="P221" s="252">
        <v>0</v>
      </c>
      <c r="Q221" s="252">
        <v>0</v>
      </c>
      <c r="R221" s="252">
        <v>0</v>
      </c>
      <c r="S221" s="252">
        <v>0</v>
      </c>
      <c r="T221" s="252">
        <v>0</v>
      </c>
      <c r="U221" s="252">
        <v>0</v>
      </c>
      <c r="V221" s="252">
        <v>0</v>
      </c>
      <c r="W221" s="252">
        <v>0</v>
      </c>
      <c r="X221" s="252">
        <v>0</v>
      </c>
      <c r="Y221" s="252">
        <v>312.58</v>
      </c>
      <c r="Z221" s="252">
        <v>0</v>
      </c>
      <c r="AA221" s="252">
        <v>0</v>
      </c>
      <c r="AB221" s="252">
        <v>95.87</v>
      </c>
      <c r="AC221" s="252">
        <v>0</v>
      </c>
      <c r="AD221" s="252">
        <v>0</v>
      </c>
      <c r="AE221" s="252" t="s">
        <v>720</v>
      </c>
      <c r="AF221" s="252" t="s">
        <v>721</v>
      </c>
      <c r="AG221" s="252">
        <f t="shared" si="16"/>
        <v>0</v>
      </c>
      <c r="AH221" s="252">
        <f t="shared" si="17"/>
        <v>0</v>
      </c>
      <c r="AI221" s="252">
        <f t="shared" si="18"/>
        <v>0</v>
      </c>
      <c r="AJ221" s="252">
        <f t="shared" si="19"/>
        <v>0</v>
      </c>
    </row>
    <row r="222" spans="1:36" x14ac:dyDescent="0.2">
      <c r="A222" s="253" t="str">
        <f t="shared" si="15"/>
        <v>SNCF107531D40</v>
      </c>
      <c r="B222" s="252" t="s">
        <v>19</v>
      </c>
      <c r="C222" s="252" t="s">
        <v>20</v>
      </c>
      <c r="D222" s="252" t="s">
        <v>2474</v>
      </c>
      <c r="E222" s="252" t="s">
        <v>2475</v>
      </c>
      <c r="F222" s="252" t="s">
        <v>2493</v>
      </c>
      <c r="G222" s="252">
        <v>40</v>
      </c>
      <c r="H222" s="252" t="s">
        <v>928</v>
      </c>
      <c r="I222" s="252" t="s">
        <v>928</v>
      </c>
      <c r="J222" s="252" t="s">
        <v>928</v>
      </c>
      <c r="K222" s="252" t="s">
        <v>3236</v>
      </c>
      <c r="L222" s="252">
        <v>408.45</v>
      </c>
      <c r="M222" s="252">
        <v>0</v>
      </c>
      <c r="N222" s="252">
        <v>0</v>
      </c>
      <c r="O222" s="252">
        <v>0</v>
      </c>
      <c r="P222" s="252">
        <v>0</v>
      </c>
      <c r="Q222" s="252">
        <v>0</v>
      </c>
      <c r="R222" s="252">
        <v>0</v>
      </c>
      <c r="S222" s="252">
        <v>0</v>
      </c>
      <c r="T222" s="252">
        <v>0</v>
      </c>
      <c r="U222" s="252">
        <v>0</v>
      </c>
      <c r="V222" s="252">
        <v>0</v>
      </c>
      <c r="W222" s="252">
        <v>0</v>
      </c>
      <c r="X222" s="252">
        <v>0</v>
      </c>
      <c r="Y222" s="252">
        <v>312.58</v>
      </c>
      <c r="Z222" s="252">
        <v>0</v>
      </c>
      <c r="AA222" s="252">
        <v>0</v>
      </c>
      <c r="AB222" s="252">
        <v>95.87</v>
      </c>
      <c r="AC222" s="252">
        <v>0</v>
      </c>
      <c r="AD222" s="252">
        <v>0</v>
      </c>
      <c r="AE222" s="252" t="s">
        <v>720</v>
      </c>
      <c r="AF222" s="252" t="s">
        <v>721</v>
      </c>
      <c r="AG222" s="252">
        <f t="shared" si="16"/>
        <v>0</v>
      </c>
      <c r="AH222" s="252">
        <f t="shared" si="17"/>
        <v>0</v>
      </c>
      <c r="AI222" s="252">
        <f t="shared" si="18"/>
        <v>0</v>
      </c>
      <c r="AJ222" s="252">
        <f t="shared" si="19"/>
        <v>0</v>
      </c>
    </row>
    <row r="223" spans="1:36" x14ac:dyDescent="0.2">
      <c r="A223" s="253" t="str">
        <f t="shared" si="15"/>
        <v>2SNCF107536DG30</v>
      </c>
      <c r="B223" s="252" t="s">
        <v>19</v>
      </c>
      <c r="C223" s="252" t="s">
        <v>20</v>
      </c>
      <c r="D223" s="252" t="s">
        <v>2474</v>
      </c>
      <c r="E223" s="252" t="s">
        <v>2475</v>
      </c>
      <c r="F223" s="252" t="s">
        <v>2494</v>
      </c>
      <c r="G223" s="252">
        <v>30</v>
      </c>
      <c r="H223" s="252" t="s">
        <v>928</v>
      </c>
      <c r="I223" s="252" t="s">
        <v>2477</v>
      </c>
      <c r="J223" s="252" t="s">
        <v>928</v>
      </c>
      <c r="K223" s="252" t="s">
        <v>3236</v>
      </c>
      <c r="L223" s="252">
        <v>494.12</v>
      </c>
      <c r="M223" s="252">
        <v>0</v>
      </c>
      <c r="N223" s="252">
        <v>0</v>
      </c>
      <c r="O223" s="252">
        <v>0</v>
      </c>
      <c r="P223" s="252">
        <v>0</v>
      </c>
      <c r="Q223" s="252">
        <v>0</v>
      </c>
      <c r="R223" s="252">
        <v>0</v>
      </c>
      <c r="S223" s="252">
        <v>0</v>
      </c>
      <c r="T223" s="252">
        <v>0</v>
      </c>
      <c r="U223" s="252">
        <v>0</v>
      </c>
      <c r="V223" s="252">
        <v>0</v>
      </c>
      <c r="W223" s="252">
        <v>0</v>
      </c>
      <c r="X223" s="252">
        <v>0</v>
      </c>
      <c r="Y223" s="252">
        <v>366.08</v>
      </c>
      <c r="Z223" s="252">
        <v>0</v>
      </c>
      <c r="AA223" s="252">
        <v>0</v>
      </c>
      <c r="AB223" s="252">
        <v>128.04</v>
      </c>
      <c r="AC223" s="252">
        <v>0</v>
      </c>
      <c r="AD223" s="252">
        <v>0</v>
      </c>
      <c r="AE223" s="252" t="s">
        <v>720</v>
      </c>
      <c r="AF223" s="252" t="s">
        <v>721</v>
      </c>
      <c r="AG223" s="252">
        <f t="shared" si="16"/>
        <v>0</v>
      </c>
      <c r="AH223" s="252">
        <f t="shared" si="17"/>
        <v>0</v>
      </c>
      <c r="AI223" s="252">
        <f t="shared" si="18"/>
        <v>0</v>
      </c>
      <c r="AJ223" s="252">
        <f t="shared" si="19"/>
        <v>0</v>
      </c>
    </row>
    <row r="224" spans="1:36" x14ac:dyDescent="0.2">
      <c r="A224" s="253" t="str">
        <f t="shared" si="15"/>
        <v>SNCF107536DG30</v>
      </c>
      <c r="B224" s="252" t="s">
        <v>19</v>
      </c>
      <c r="C224" s="252" t="s">
        <v>20</v>
      </c>
      <c r="D224" s="252" t="s">
        <v>2474</v>
      </c>
      <c r="E224" s="252" t="s">
        <v>2475</v>
      </c>
      <c r="F224" s="252" t="s">
        <v>2494</v>
      </c>
      <c r="G224" s="252">
        <v>30</v>
      </c>
      <c r="H224" s="252" t="s">
        <v>928</v>
      </c>
      <c r="I224" s="252" t="s">
        <v>928</v>
      </c>
      <c r="J224" s="252" t="s">
        <v>928</v>
      </c>
      <c r="K224" s="252" t="s">
        <v>3236</v>
      </c>
      <c r="L224" s="252">
        <v>494.12</v>
      </c>
      <c r="M224" s="252">
        <v>0</v>
      </c>
      <c r="N224" s="252">
        <v>0</v>
      </c>
      <c r="O224" s="252">
        <v>0</v>
      </c>
      <c r="P224" s="252">
        <v>0</v>
      </c>
      <c r="Q224" s="252">
        <v>0</v>
      </c>
      <c r="R224" s="252">
        <v>0</v>
      </c>
      <c r="S224" s="252">
        <v>0</v>
      </c>
      <c r="T224" s="252">
        <v>0</v>
      </c>
      <c r="U224" s="252">
        <v>0</v>
      </c>
      <c r="V224" s="252">
        <v>0</v>
      </c>
      <c r="W224" s="252">
        <v>0</v>
      </c>
      <c r="X224" s="252">
        <v>0</v>
      </c>
      <c r="Y224" s="252">
        <v>366.08</v>
      </c>
      <c r="Z224" s="252">
        <v>0</v>
      </c>
      <c r="AA224" s="252">
        <v>0</v>
      </c>
      <c r="AB224" s="252">
        <v>128.04</v>
      </c>
      <c r="AC224" s="252">
        <v>0</v>
      </c>
      <c r="AD224" s="252">
        <v>0</v>
      </c>
      <c r="AE224" s="252" t="s">
        <v>720</v>
      </c>
      <c r="AF224" s="252" t="s">
        <v>721</v>
      </c>
      <c r="AG224" s="252">
        <f t="shared" si="16"/>
        <v>0</v>
      </c>
      <c r="AH224" s="252">
        <f t="shared" si="17"/>
        <v>0</v>
      </c>
      <c r="AI224" s="252">
        <f t="shared" si="18"/>
        <v>0</v>
      </c>
      <c r="AJ224" s="252">
        <f t="shared" si="19"/>
        <v>0</v>
      </c>
    </row>
    <row r="225" spans="1:36" x14ac:dyDescent="0.2">
      <c r="A225" s="253" t="str">
        <f t="shared" si="15"/>
        <v>2SNCF107536G30</v>
      </c>
      <c r="B225" s="252" t="s">
        <v>19</v>
      </c>
      <c r="C225" s="252" t="s">
        <v>20</v>
      </c>
      <c r="D225" s="252" t="s">
        <v>2474</v>
      </c>
      <c r="E225" s="252" t="s">
        <v>2475</v>
      </c>
      <c r="F225" s="252" t="s">
        <v>2495</v>
      </c>
      <c r="G225" s="252">
        <v>30</v>
      </c>
      <c r="H225" s="252" t="s">
        <v>928</v>
      </c>
      <c r="I225" s="252" t="s">
        <v>2477</v>
      </c>
      <c r="J225" s="252" t="s">
        <v>928</v>
      </c>
      <c r="K225" s="252" t="s">
        <v>3236</v>
      </c>
      <c r="L225" s="252">
        <v>482.67</v>
      </c>
      <c r="M225" s="252">
        <v>0</v>
      </c>
      <c r="N225" s="252">
        <v>0</v>
      </c>
      <c r="O225" s="252">
        <v>0</v>
      </c>
      <c r="P225" s="252">
        <v>0</v>
      </c>
      <c r="Q225" s="252">
        <v>0</v>
      </c>
      <c r="R225" s="252">
        <v>0</v>
      </c>
      <c r="S225" s="252">
        <v>0</v>
      </c>
      <c r="T225" s="252">
        <v>0</v>
      </c>
      <c r="U225" s="252">
        <v>0</v>
      </c>
      <c r="V225" s="252">
        <v>0</v>
      </c>
      <c r="W225" s="252">
        <v>0</v>
      </c>
      <c r="X225" s="252">
        <v>0</v>
      </c>
      <c r="Y225" s="252">
        <v>374.4</v>
      </c>
      <c r="Z225" s="252">
        <v>0</v>
      </c>
      <c r="AA225" s="252">
        <v>0</v>
      </c>
      <c r="AB225" s="252">
        <v>108.26</v>
      </c>
      <c r="AC225" s="252">
        <v>0</v>
      </c>
      <c r="AD225" s="252">
        <v>0</v>
      </c>
      <c r="AE225" s="252" t="s">
        <v>720</v>
      </c>
      <c r="AF225" s="252" t="s">
        <v>721</v>
      </c>
      <c r="AG225" s="252">
        <f t="shared" si="16"/>
        <v>0</v>
      </c>
      <c r="AH225" s="252">
        <f t="shared" si="17"/>
        <v>0</v>
      </c>
      <c r="AI225" s="252">
        <f t="shared" si="18"/>
        <v>0</v>
      </c>
      <c r="AJ225" s="252">
        <f t="shared" si="19"/>
        <v>0</v>
      </c>
    </row>
    <row r="226" spans="1:36" x14ac:dyDescent="0.2">
      <c r="A226" s="253" t="str">
        <f t="shared" si="15"/>
        <v>SNCF107536G30</v>
      </c>
      <c r="B226" s="252" t="s">
        <v>19</v>
      </c>
      <c r="C226" s="252" t="s">
        <v>20</v>
      </c>
      <c r="D226" s="252" t="s">
        <v>2474</v>
      </c>
      <c r="E226" s="252" t="s">
        <v>2475</v>
      </c>
      <c r="F226" s="252" t="s">
        <v>2495</v>
      </c>
      <c r="G226" s="252">
        <v>30</v>
      </c>
      <c r="H226" s="252" t="s">
        <v>928</v>
      </c>
      <c r="I226" s="252" t="s">
        <v>928</v>
      </c>
      <c r="J226" s="252" t="s">
        <v>928</v>
      </c>
      <c r="K226" s="252" t="s">
        <v>3236</v>
      </c>
      <c r="L226" s="252">
        <v>482.67</v>
      </c>
      <c r="M226" s="252">
        <v>0</v>
      </c>
      <c r="N226" s="252">
        <v>0</v>
      </c>
      <c r="O226" s="252">
        <v>0</v>
      </c>
      <c r="P226" s="252">
        <v>0</v>
      </c>
      <c r="Q226" s="252">
        <v>0</v>
      </c>
      <c r="R226" s="252">
        <v>0</v>
      </c>
      <c r="S226" s="252">
        <v>0</v>
      </c>
      <c r="T226" s="252">
        <v>0</v>
      </c>
      <c r="U226" s="252">
        <v>0</v>
      </c>
      <c r="V226" s="252">
        <v>0</v>
      </c>
      <c r="W226" s="252">
        <v>0</v>
      </c>
      <c r="X226" s="252">
        <v>0</v>
      </c>
      <c r="Y226" s="252">
        <v>374.4</v>
      </c>
      <c r="Z226" s="252">
        <v>0</v>
      </c>
      <c r="AA226" s="252">
        <v>0</v>
      </c>
      <c r="AB226" s="252">
        <v>108.26</v>
      </c>
      <c r="AC226" s="252">
        <v>0</v>
      </c>
      <c r="AD226" s="252">
        <v>0</v>
      </c>
      <c r="AE226" s="252" t="s">
        <v>720</v>
      </c>
      <c r="AF226" s="252" t="s">
        <v>721</v>
      </c>
      <c r="AG226" s="252">
        <f t="shared" si="16"/>
        <v>0</v>
      </c>
      <c r="AH226" s="252">
        <f t="shared" si="17"/>
        <v>0</v>
      </c>
      <c r="AI226" s="252">
        <f t="shared" si="18"/>
        <v>0</v>
      </c>
      <c r="AJ226" s="252">
        <f t="shared" si="19"/>
        <v>0</v>
      </c>
    </row>
    <row r="227" spans="1:36" x14ac:dyDescent="0.2">
      <c r="A227" s="253" t="str">
        <f t="shared" si="15"/>
        <v>2SNCF10757150</v>
      </c>
      <c r="B227" s="252" t="s">
        <v>19</v>
      </c>
      <c r="C227" s="252" t="s">
        <v>20</v>
      </c>
      <c r="D227" s="252" t="s">
        <v>2474</v>
      </c>
      <c r="E227" s="252" t="s">
        <v>2475</v>
      </c>
      <c r="F227" s="252" t="s">
        <v>2496</v>
      </c>
      <c r="G227" s="252">
        <v>50</v>
      </c>
      <c r="H227" s="252" t="s">
        <v>928</v>
      </c>
      <c r="I227" s="252" t="s">
        <v>2477</v>
      </c>
      <c r="J227" s="252" t="s">
        <v>928</v>
      </c>
      <c r="K227" s="252" t="s">
        <v>3236</v>
      </c>
      <c r="L227" s="252">
        <v>469.11</v>
      </c>
      <c r="M227" s="252">
        <v>0</v>
      </c>
      <c r="N227" s="252">
        <v>0</v>
      </c>
      <c r="O227" s="252">
        <v>0</v>
      </c>
      <c r="P227" s="252">
        <v>0</v>
      </c>
      <c r="Q227" s="252">
        <v>0</v>
      </c>
      <c r="R227" s="252">
        <v>0</v>
      </c>
      <c r="S227" s="252">
        <v>0</v>
      </c>
      <c r="T227" s="252">
        <v>0</v>
      </c>
      <c r="U227" s="252">
        <v>0</v>
      </c>
      <c r="V227" s="252">
        <v>0</v>
      </c>
      <c r="W227" s="252">
        <v>0</v>
      </c>
      <c r="X227" s="252">
        <v>0</v>
      </c>
      <c r="Y227" s="252">
        <v>351.45</v>
      </c>
      <c r="Z227" s="252">
        <v>0</v>
      </c>
      <c r="AA227" s="252">
        <v>0</v>
      </c>
      <c r="AB227" s="252">
        <v>117.66</v>
      </c>
      <c r="AC227" s="252">
        <v>0</v>
      </c>
      <c r="AD227" s="252">
        <v>0</v>
      </c>
      <c r="AE227" s="252" t="s">
        <v>720</v>
      </c>
      <c r="AF227" s="252" t="s">
        <v>721</v>
      </c>
      <c r="AG227" s="252">
        <f t="shared" si="16"/>
        <v>0</v>
      </c>
      <c r="AH227" s="252">
        <f t="shared" si="17"/>
        <v>0</v>
      </c>
      <c r="AI227" s="252">
        <f t="shared" si="18"/>
        <v>0</v>
      </c>
      <c r="AJ227" s="252">
        <f t="shared" si="19"/>
        <v>0</v>
      </c>
    </row>
    <row r="228" spans="1:36" x14ac:dyDescent="0.2">
      <c r="A228" s="253" t="str">
        <f t="shared" si="15"/>
        <v>SNCF10757150</v>
      </c>
      <c r="B228" s="252" t="s">
        <v>19</v>
      </c>
      <c r="C228" s="252" t="s">
        <v>20</v>
      </c>
      <c r="D228" s="252" t="s">
        <v>2474</v>
      </c>
      <c r="E228" s="252" t="s">
        <v>2475</v>
      </c>
      <c r="F228" s="252" t="s">
        <v>2496</v>
      </c>
      <c r="G228" s="252">
        <v>50</v>
      </c>
      <c r="H228" s="252" t="s">
        <v>928</v>
      </c>
      <c r="I228" s="252" t="s">
        <v>928</v>
      </c>
      <c r="J228" s="252" t="s">
        <v>928</v>
      </c>
      <c r="K228" s="252" t="s">
        <v>3236</v>
      </c>
      <c r="L228" s="252">
        <v>469.11</v>
      </c>
      <c r="M228" s="252">
        <v>0</v>
      </c>
      <c r="N228" s="252">
        <v>0</v>
      </c>
      <c r="O228" s="252">
        <v>0</v>
      </c>
      <c r="P228" s="252">
        <v>0</v>
      </c>
      <c r="Q228" s="252">
        <v>0</v>
      </c>
      <c r="R228" s="252">
        <v>0</v>
      </c>
      <c r="S228" s="252">
        <v>0</v>
      </c>
      <c r="T228" s="252">
        <v>0</v>
      </c>
      <c r="U228" s="252">
        <v>0</v>
      </c>
      <c r="V228" s="252">
        <v>0</v>
      </c>
      <c r="W228" s="252">
        <v>0</v>
      </c>
      <c r="X228" s="252">
        <v>0</v>
      </c>
      <c r="Y228" s="252">
        <v>351.45</v>
      </c>
      <c r="Z228" s="252">
        <v>0</v>
      </c>
      <c r="AA228" s="252">
        <v>0</v>
      </c>
      <c r="AB228" s="252">
        <v>117.66</v>
      </c>
      <c r="AC228" s="252">
        <v>0</v>
      </c>
      <c r="AD228" s="252">
        <v>0</v>
      </c>
      <c r="AE228" s="252" t="s">
        <v>720</v>
      </c>
      <c r="AF228" s="252" t="s">
        <v>721</v>
      </c>
      <c r="AG228" s="252">
        <f t="shared" si="16"/>
        <v>0</v>
      </c>
      <c r="AH228" s="252">
        <f t="shared" si="17"/>
        <v>0</v>
      </c>
      <c r="AI228" s="252">
        <f t="shared" si="18"/>
        <v>0</v>
      </c>
      <c r="AJ228" s="252">
        <f t="shared" si="19"/>
        <v>0</v>
      </c>
    </row>
    <row r="229" spans="1:36" x14ac:dyDescent="0.2">
      <c r="A229" s="253" t="str">
        <f t="shared" si="15"/>
        <v>2SNCF107571D50</v>
      </c>
      <c r="B229" s="252" t="s">
        <v>19</v>
      </c>
      <c r="C229" s="252" t="s">
        <v>20</v>
      </c>
      <c r="D229" s="252" t="s">
        <v>2474</v>
      </c>
      <c r="E229" s="252" t="s">
        <v>2475</v>
      </c>
      <c r="F229" s="252" t="s">
        <v>2497</v>
      </c>
      <c r="G229" s="252">
        <v>50</v>
      </c>
      <c r="H229" s="252" t="s">
        <v>928</v>
      </c>
      <c r="I229" s="252" t="s">
        <v>2477</v>
      </c>
      <c r="J229" s="252" t="s">
        <v>928</v>
      </c>
      <c r="K229" s="252" t="s">
        <v>3236</v>
      </c>
      <c r="L229" s="252">
        <v>454.38</v>
      </c>
      <c r="M229" s="252">
        <v>0</v>
      </c>
      <c r="N229" s="252">
        <v>0</v>
      </c>
      <c r="O229" s="252">
        <v>0</v>
      </c>
      <c r="P229" s="252">
        <v>0</v>
      </c>
      <c r="Q229" s="252">
        <v>0</v>
      </c>
      <c r="R229" s="252">
        <v>0</v>
      </c>
      <c r="S229" s="252">
        <v>0</v>
      </c>
      <c r="T229" s="252">
        <v>0</v>
      </c>
      <c r="U229" s="252">
        <v>0</v>
      </c>
      <c r="V229" s="252">
        <v>0</v>
      </c>
      <c r="W229" s="252">
        <v>0</v>
      </c>
      <c r="X229" s="252">
        <v>0</v>
      </c>
      <c r="Y229" s="252">
        <v>352.39</v>
      </c>
      <c r="Z229" s="252">
        <v>0</v>
      </c>
      <c r="AA229" s="252">
        <v>0</v>
      </c>
      <c r="AB229" s="252">
        <v>101.99</v>
      </c>
      <c r="AC229" s="252">
        <v>0</v>
      </c>
      <c r="AD229" s="252">
        <v>0</v>
      </c>
      <c r="AE229" s="252" t="s">
        <v>720</v>
      </c>
      <c r="AF229" s="252" t="s">
        <v>721</v>
      </c>
      <c r="AG229" s="252">
        <f t="shared" si="16"/>
        <v>0</v>
      </c>
      <c r="AH229" s="252">
        <f t="shared" si="17"/>
        <v>0</v>
      </c>
      <c r="AI229" s="252">
        <f t="shared" si="18"/>
        <v>0</v>
      </c>
      <c r="AJ229" s="252">
        <f t="shared" si="19"/>
        <v>0</v>
      </c>
    </row>
    <row r="230" spans="1:36" x14ac:dyDescent="0.2">
      <c r="A230" s="253" t="str">
        <f t="shared" si="15"/>
        <v>SNCF107571D50</v>
      </c>
      <c r="B230" s="252" t="s">
        <v>19</v>
      </c>
      <c r="C230" s="252" t="s">
        <v>20</v>
      </c>
      <c r="D230" s="252" t="s">
        <v>2474</v>
      </c>
      <c r="E230" s="252" t="s">
        <v>2475</v>
      </c>
      <c r="F230" s="252" t="s">
        <v>2497</v>
      </c>
      <c r="G230" s="252">
        <v>50</v>
      </c>
      <c r="H230" s="252" t="s">
        <v>928</v>
      </c>
      <c r="I230" s="252" t="s">
        <v>928</v>
      </c>
      <c r="J230" s="252" t="s">
        <v>928</v>
      </c>
      <c r="K230" s="252" t="s">
        <v>3236</v>
      </c>
      <c r="L230" s="252">
        <v>454.38</v>
      </c>
      <c r="M230" s="252">
        <v>0</v>
      </c>
      <c r="N230" s="252">
        <v>0</v>
      </c>
      <c r="O230" s="252">
        <v>0</v>
      </c>
      <c r="P230" s="252">
        <v>0</v>
      </c>
      <c r="Q230" s="252">
        <v>0</v>
      </c>
      <c r="R230" s="252">
        <v>0</v>
      </c>
      <c r="S230" s="252">
        <v>0</v>
      </c>
      <c r="T230" s="252">
        <v>0</v>
      </c>
      <c r="U230" s="252">
        <v>0</v>
      </c>
      <c r="V230" s="252">
        <v>0</v>
      </c>
      <c r="W230" s="252">
        <v>0</v>
      </c>
      <c r="X230" s="252">
        <v>0</v>
      </c>
      <c r="Y230" s="252">
        <v>352.39</v>
      </c>
      <c r="Z230" s="252">
        <v>0</v>
      </c>
      <c r="AA230" s="252">
        <v>0</v>
      </c>
      <c r="AB230" s="252">
        <v>101.99</v>
      </c>
      <c r="AC230" s="252">
        <v>0</v>
      </c>
      <c r="AD230" s="252">
        <v>0</v>
      </c>
      <c r="AE230" s="252" t="s">
        <v>720</v>
      </c>
      <c r="AF230" s="252" t="s">
        <v>721</v>
      </c>
      <c r="AG230" s="252">
        <f t="shared" si="16"/>
        <v>0</v>
      </c>
      <c r="AH230" s="252">
        <f t="shared" si="17"/>
        <v>0</v>
      </c>
      <c r="AI230" s="252">
        <f t="shared" si="18"/>
        <v>0</v>
      </c>
      <c r="AJ230" s="252">
        <f t="shared" si="19"/>
        <v>0</v>
      </c>
    </row>
    <row r="231" spans="1:36" x14ac:dyDescent="0.2">
      <c r="A231" s="253" t="str">
        <f t="shared" si="15"/>
        <v>2SNCF10772150</v>
      </c>
      <c r="B231" s="252" t="s">
        <v>19</v>
      </c>
      <c r="C231" s="252" t="s">
        <v>20</v>
      </c>
      <c r="D231" s="252" t="s">
        <v>2474</v>
      </c>
      <c r="E231" s="252" t="s">
        <v>2475</v>
      </c>
      <c r="F231" s="252" t="s">
        <v>2498</v>
      </c>
      <c r="G231" s="252">
        <v>50</v>
      </c>
      <c r="H231" s="252" t="s">
        <v>928</v>
      </c>
      <c r="I231" s="252" t="s">
        <v>2477</v>
      </c>
      <c r="J231" s="252" t="s">
        <v>928</v>
      </c>
      <c r="K231" s="252" t="s">
        <v>3236</v>
      </c>
      <c r="L231" s="252">
        <v>546.16999999999996</v>
      </c>
      <c r="M231" s="252">
        <v>0</v>
      </c>
      <c r="N231" s="252">
        <v>0</v>
      </c>
      <c r="O231" s="252">
        <v>0</v>
      </c>
      <c r="P231" s="252">
        <v>0</v>
      </c>
      <c r="Q231" s="252">
        <v>0</v>
      </c>
      <c r="R231" s="252">
        <v>0</v>
      </c>
      <c r="S231" s="252">
        <v>0</v>
      </c>
      <c r="T231" s="252">
        <v>0</v>
      </c>
      <c r="U231" s="252">
        <v>0</v>
      </c>
      <c r="V231" s="252">
        <v>0</v>
      </c>
      <c r="W231" s="252">
        <v>0</v>
      </c>
      <c r="X231" s="252">
        <v>0</v>
      </c>
      <c r="Y231" s="252">
        <v>389.48</v>
      </c>
      <c r="Z231" s="252">
        <v>0</v>
      </c>
      <c r="AA231" s="252">
        <v>0</v>
      </c>
      <c r="AB231" s="252">
        <v>156.69</v>
      </c>
      <c r="AC231" s="252">
        <v>0</v>
      </c>
      <c r="AD231" s="252">
        <v>0</v>
      </c>
      <c r="AE231" s="252" t="s">
        <v>720</v>
      </c>
      <c r="AF231" s="252" t="s">
        <v>721</v>
      </c>
      <c r="AG231" s="252">
        <f t="shared" si="16"/>
        <v>0</v>
      </c>
      <c r="AH231" s="252">
        <f t="shared" si="17"/>
        <v>0</v>
      </c>
      <c r="AI231" s="252">
        <f t="shared" si="18"/>
        <v>0</v>
      </c>
      <c r="AJ231" s="252">
        <f t="shared" si="19"/>
        <v>0</v>
      </c>
    </row>
    <row r="232" spans="1:36" x14ac:dyDescent="0.2">
      <c r="A232" s="253" t="str">
        <f t="shared" si="15"/>
        <v>SNCF10772150</v>
      </c>
      <c r="B232" s="252" t="s">
        <v>19</v>
      </c>
      <c r="C232" s="252" t="s">
        <v>20</v>
      </c>
      <c r="D232" s="252" t="s">
        <v>2474</v>
      </c>
      <c r="E232" s="252" t="s">
        <v>2475</v>
      </c>
      <c r="F232" s="252" t="s">
        <v>2498</v>
      </c>
      <c r="G232" s="252">
        <v>50</v>
      </c>
      <c r="H232" s="252" t="s">
        <v>928</v>
      </c>
      <c r="I232" s="252" t="s">
        <v>928</v>
      </c>
      <c r="J232" s="252" t="s">
        <v>928</v>
      </c>
      <c r="K232" s="252" t="s">
        <v>3236</v>
      </c>
      <c r="L232" s="252">
        <v>546.16999999999996</v>
      </c>
      <c r="M232" s="252">
        <v>0</v>
      </c>
      <c r="N232" s="252">
        <v>0</v>
      </c>
      <c r="O232" s="252">
        <v>0</v>
      </c>
      <c r="P232" s="252">
        <v>0</v>
      </c>
      <c r="Q232" s="252">
        <v>0</v>
      </c>
      <c r="R232" s="252">
        <v>0</v>
      </c>
      <c r="S232" s="252">
        <v>0</v>
      </c>
      <c r="T232" s="252">
        <v>0</v>
      </c>
      <c r="U232" s="252">
        <v>0</v>
      </c>
      <c r="V232" s="252">
        <v>0</v>
      </c>
      <c r="W232" s="252">
        <v>0</v>
      </c>
      <c r="X232" s="252">
        <v>0</v>
      </c>
      <c r="Y232" s="252">
        <v>389.48</v>
      </c>
      <c r="Z232" s="252">
        <v>0</v>
      </c>
      <c r="AA232" s="252">
        <v>0</v>
      </c>
      <c r="AB232" s="252">
        <v>156.69</v>
      </c>
      <c r="AC232" s="252">
        <v>0</v>
      </c>
      <c r="AD232" s="252">
        <v>0</v>
      </c>
      <c r="AE232" s="252" t="s">
        <v>720</v>
      </c>
      <c r="AF232" s="252" t="s">
        <v>721</v>
      </c>
      <c r="AG232" s="252">
        <f t="shared" si="16"/>
        <v>0</v>
      </c>
      <c r="AH232" s="252">
        <f t="shared" si="17"/>
        <v>0</v>
      </c>
      <c r="AI232" s="252">
        <f t="shared" si="18"/>
        <v>0</v>
      </c>
      <c r="AJ232" s="252">
        <f t="shared" si="19"/>
        <v>0</v>
      </c>
    </row>
    <row r="233" spans="1:36" x14ac:dyDescent="0.2">
      <c r="A233" s="253" t="str">
        <f t="shared" si="15"/>
        <v>2SNCF107721D50</v>
      </c>
      <c r="B233" s="252" t="s">
        <v>19</v>
      </c>
      <c r="C233" s="252" t="s">
        <v>20</v>
      </c>
      <c r="D233" s="252" t="s">
        <v>2474</v>
      </c>
      <c r="E233" s="252" t="s">
        <v>2475</v>
      </c>
      <c r="F233" s="252" t="s">
        <v>2499</v>
      </c>
      <c r="G233" s="252">
        <v>50</v>
      </c>
      <c r="H233" s="252" t="s">
        <v>928</v>
      </c>
      <c r="I233" s="252" t="s">
        <v>2477</v>
      </c>
      <c r="J233" s="252" t="s">
        <v>928</v>
      </c>
      <c r="K233" s="252" t="s">
        <v>3236</v>
      </c>
      <c r="L233" s="252">
        <v>487.99</v>
      </c>
      <c r="M233" s="252">
        <v>0</v>
      </c>
      <c r="N233" s="252">
        <v>0</v>
      </c>
      <c r="O233" s="252">
        <v>0</v>
      </c>
      <c r="P233" s="252">
        <v>0</v>
      </c>
      <c r="Q233" s="252">
        <v>0</v>
      </c>
      <c r="R233" s="252">
        <v>0</v>
      </c>
      <c r="S233" s="252">
        <v>0</v>
      </c>
      <c r="T233" s="252">
        <v>0</v>
      </c>
      <c r="U233" s="252">
        <v>0</v>
      </c>
      <c r="V233" s="252">
        <v>0</v>
      </c>
      <c r="W233" s="252">
        <v>0</v>
      </c>
      <c r="X233" s="252">
        <v>0</v>
      </c>
      <c r="Y233" s="252">
        <v>371.18</v>
      </c>
      <c r="Z233" s="252">
        <v>0</v>
      </c>
      <c r="AA233" s="252">
        <v>0</v>
      </c>
      <c r="AB233" s="252">
        <v>116.81</v>
      </c>
      <c r="AC233" s="252">
        <v>0</v>
      </c>
      <c r="AD233" s="252">
        <v>0</v>
      </c>
      <c r="AE233" s="252" t="s">
        <v>720</v>
      </c>
      <c r="AF233" s="252" t="s">
        <v>721</v>
      </c>
      <c r="AG233" s="252">
        <f t="shared" si="16"/>
        <v>0</v>
      </c>
      <c r="AH233" s="252">
        <f t="shared" si="17"/>
        <v>0</v>
      </c>
      <c r="AI233" s="252">
        <f t="shared" si="18"/>
        <v>0</v>
      </c>
      <c r="AJ233" s="252">
        <f t="shared" si="19"/>
        <v>0</v>
      </c>
    </row>
    <row r="234" spans="1:36" x14ac:dyDescent="0.2">
      <c r="A234" s="253" t="str">
        <f t="shared" si="15"/>
        <v>SNCF107721D50</v>
      </c>
      <c r="B234" s="252" t="s">
        <v>19</v>
      </c>
      <c r="C234" s="252" t="s">
        <v>20</v>
      </c>
      <c r="D234" s="252" t="s">
        <v>2474</v>
      </c>
      <c r="E234" s="252" t="s">
        <v>2475</v>
      </c>
      <c r="F234" s="252" t="s">
        <v>2499</v>
      </c>
      <c r="G234" s="252">
        <v>50</v>
      </c>
      <c r="H234" s="252" t="s">
        <v>928</v>
      </c>
      <c r="I234" s="252" t="s">
        <v>928</v>
      </c>
      <c r="J234" s="252" t="s">
        <v>928</v>
      </c>
      <c r="K234" s="252" t="s">
        <v>3236</v>
      </c>
      <c r="L234" s="252">
        <v>487.99</v>
      </c>
      <c r="M234" s="252">
        <v>0</v>
      </c>
      <c r="N234" s="252">
        <v>0</v>
      </c>
      <c r="O234" s="252">
        <v>0</v>
      </c>
      <c r="P234" s="252">
        <v>0</v>
      </c>
      <c r="Q234" s="252">
        <v>0</v>
      </c>
      <c r="R234" s="252">
        <v>0</v>
      </c>
      <c r="S234" s="252">
        <v>0</v>
      </c>
      <c r="T234" s="252">
        <v>0</v>
      </c>
      <c r="U234" s="252">
        <v>0</v>
      </c>
      <c r="V234" s="252">
        <v>0</v>
      </c>
      <c r="W234" s="252">
        <v>0</v>
      </c>
      <c r="X234" s="252">
        <v>0</v>
      </c>
      <c r="Y234" s="252">
        <v>371.18</v>
      </c>
      <c r="Z234" s="252">
        <v>0</v>
      </c>
      <c r="AA234" s="252">
        <v>0</v>
      </c>
      <c r="AB234" s="252">
        <v>116.81</v>
      </c>
      <c r="AC234" s="252">
        <v>0</v>
      </c>
      <c r="AD234" s="252">
        <v>0</v>
      </c>
      <c r="AE234" s="252" t="s">
        <v>720</v>
      </c>
      <c r="AF234" s="252" t="s">
        <v>721</v>
      </c>
      <c r="AG234" s="252">
        <f t="shared" si="16"/>
        <v>0</v>
      </c>
      <c r="AH234" s="252">
        <f t="shared" si="17"/>
        <v>0</v>
      </c>
      <c r="AI234" s="252">
        <f t="shared" si="18"/>
        <v>0</v>
      </c>
      <c r="AJ234" s="252">
        <f t="shared" si="19"/>
        <v>0</v>
      </c>
    </row>
    <row r="235" spans="1:36" x14ac:dyDescent="0.2">
      <c r="A235" s="253" t="str">
        <f t="shared" si="15"/>
        <v>2SNCF107726DP50</v>
      </c>
      <c r="B235" s="252" t="s">
        <v>19</v>
      </c>
      <c r="C235" s="252" t="s">
        <v>20</v>
      </c>
      <c r="D235" s="252" t="s">
        <v>2474</v>
      </c>
      <c r="E235" s="252" t="s">
        <v>2475</v>
      </c>
      <c r="F235" s="252" t="s">
        <v>2500</v>
      </c>
      <c r="G235" s="252">
        <v>50</v>
      </c>
      <c r="H235" s="252" t="s">
        <v>928</v>
      </c>
      <c r="I235" s="252" t="s">
        <v>2477</v>
      </c>
      <c r="J235" s="252" t="s">
        <v>928</v>
      </c>
      <c r="K235" s="252" t="s">
        <v>3236</v>
      </c>
      <c r="L235" s="252">
        <v>511.63</v>
      </c>
      <c r="M235" s="252">
        <v>0</v>
      </c>
      <c r="N235" s="252">
        <v>0</v>
      </c>
      <c r="O235" s="252">
        <v>0</v>
      </c>
      <c r="P235" s="252">
        <v>0</v>
      </c>
      <c r="Q235" s="252">
        <v>0</v>
      </c>
      <c r="R235" s="252">
        <v>0</v>
      </c>
      <c r="S235" s="252">
        <v>0</v>
      </c>
      <c r="T235" s="252">
        <v>0</v>
      </c>
      <c r="U235" s="252">
        <v>0</v>
      </c>
      <c r="V235" s="252">
        <v>0</v>
      </c>
      <c r="W235" s="252">
        <v>0</v>
      </c>
      <c r="X235" s="252">
        <v>0</v>
      </c>
      <c r="Y235" s="252">
        <v>423.31</v>
      </c>
      <c r="Z235" s="252">
        <v>0</v>
      </c>
      <c r="AA235" s="252">
        <v>0</v>
      </c>
      <c r="AB235" s="252">
        <v>88.32</v>
      </c>
      <c r="AC235" s="252">
        <v>0</v>
      </c>
      <c r="AD235" s="252">
        <v>0</v>
      </c>
      <c r="AE235" s="252" t="s">
        <v>720</v>
      </c>
      <c r="AF235" s="252" t="s">
        <v>721</v>
      </c>
      <c r="AG235" s="252">
        <f t="shared" si="16"/>
        <v>0</v>
      </c>
      <c r="AH235" s="252">
        <f t="shared" si="17"/>
        <v>0</v>
      </c>
      <c r="AI235" s="252">
        <f t="shared" si="18"/>
        <v>0</v>
      </c>
      <c r="AJ235" s="252">
        <f t="shared" si="19"/>
        <v>0</v>
      </c>
    </row>
    <row r="236" spans="1:36" x14ac:dyDescent="0.2">
      <c r="A236" s="253" t="str">
        <f t="shared" si="15"/>
        <v>SNCF107726DP50</v>
      </c>
      <c r="B236" s="252" t="s">
        <v>19</v>
      </c>
      <c r="C236" s="252" t="s">
        <v>20</v>
      </c>
      <c r="D236" s="252" t="s">
        <v>2474</v>
      </c>
      <c r="E236" s="252" t="s">
        <v>2475</v>
      </c>
      <c r="F236" s="252" t="s">
        <v>2500</v>
      </c>
      <c r="G236" s="252">
        <v>50</v>
      </c>
      <c r="H236" s="252" t="s">
        <v>928</v>
      </c>
      <c r="I236" s="252" t="s">
        <v>928</v>
      </c>
      <c r="J236" s="252" t="s">
        <v>928</v>
      </c>
      <c r="K236" s="252" t="s">
        <v>3236</v>
      </c>
      <c r="L236" s="252">
        <v>511.63</v>
      </c>
      <c r="M236" s="252">
        <v>0</v>
      </c>
      <c r="N236" s="252">
        <v>0</v>
      </c>
      <c r="O236" s="252">
        <v>0</v>
      </c>
      <c r="P236" s="252">
        <v>0</v>
      </c>
      <c r="Q236" s="252">
        <v>0</v>
      </c>
      <c r="R236" s="252">
        <v>0</v>
      </c>
      <c r="S236" s="252">
        <v>0</v>
      </c>
      <c r="T236" s="252">
        <v>0</v>
      </c>
      <c r="U236" s="252">
        <v>0</v>
      </c>
      <c r="V236" s="252">
        <v>0</v>
      </c>
      <c r="W236" s="252">
        <v>0</v>
      </c>
      <c r="X236" s="252">
        <v>0</v>
      </c>
      <c r="Y236" s="252">
        <v>423.31</v>
      </c>
      <c r="Z236" s="252">
        <v>0</v>
      </c>
      <c r="AA236" s="252">
        <v>0</v>
      </c>
      <c r="AB236" s="252">
        <v>88.32</v>
      </c>
      <c r="AC236" s="252">
        <v>0</v>
      </c>
      <c r="AD236" s="252">
        <v>0</v>
      </c>
      <c r="AE236" s="252" t="s">
        <v>720</v>
      </c>
      <c r="AF236" s="252" t="s">
        <v>721</v>
      </c>
      <c r="AG236" s="252">
        <f t="shared" si="16"/>
        <v>0</v>
      </c>
      <c r="AH236" s="252">
        <f t="shared" si="17"/>
        <v>0</v>
      </c>
      <c r="AI236" s="252">
        <f t="shared" si="18"/>
        <v>0</v>
      </c>
      <c r="AJ236" s="252">
        <f t="shared" si="19"/>
        <v>0</v>
      </c>
    </row>
    <row r="237" spans="1:36" x14ac:dyDescent="0.2">
      <c r="A237" s="253" t="str">
        <f t="shared" si="15"/>
        <v>2SNCF107726DY50</v>
      </c>
      <c r="B237" s="252" t="s">
        <v>19</v>
      </c>
      <c r="C237" s="252" t="s">
        <v>20</v>
      </c>
      <c r="D237" s="252" t="s">
        <v>2474</v>
      </c>
      <c r="E237" s="252" t="s">
        <v>2475</v>
      </c>
      <c r="F237" s="252" t="s">
        <v>2501</v>
      </c>
      <c r="G237" s="252">
        <v>50</v>
      </c>
      <c r="H237" s="252" t="s">
        <v>928</v>
      </c>
      <c r="I237" s="252" t="s">
        <v>2477</v>
      </c>
      <c r="J237" s="252" t="s">
        <v>928</v>
      </c>
      <c r="K237" s="252" t="s">
        <v>3236</v>
      </c>
      <c r="L237" s="252">
        <v>485.88</v>
      </c>
      <c r="M237" s="252">
        <v>0</v>
      </c>
      <c r="N237" s="252">
        <v>0</v>
      </c>
      <c r="O237" s="252">
        <v>0</v>
      </c>
      <c r="P237" s="252">
        <v>0</v>
      </c>
      <c r="Q237" s="252">
        <v>0</v>
      </c>
      <c r="R237" s="252">
        <v>0</v>
      </c>
      <c r="S237" s="252">
        <v>0</v>
      </c>
      <c r="T237" s="252">
        <v>0</v>
      </c>
      <c r="U237" s="252">
        <v>0</v>
      </c>
      <c r="V237" s="252">
        <v>0</v>
      </c>
      <c r="W237" s="252">
        <v>0</v>
      </c>
      <c r="X237" s="252">
        <v>0</v>
      </c>
      <c r="Y237" s="252">
        <v>389.02</v>
      </c>
      <c r="Z237" s="252">
        <v>0</v>
      </c>
      <c r="AA237" s="252">
        <v>0</v>
      </c>
      <c r="AB237" s="252">
        <v>96.87</v>
      </c>
      <c r="AC237" s="252">
        <v>0</v>
      </c>
      <c r="AD237" s="252">
        <v>0</v>
      </c>
      <c r="AE237" s="252" t="s">
        <v>720</v>
      </c>
      <c r="AF237" s="252" t="s">
        <v>721</v>
      </c>
      <c r="AG237" s="252">
        <f t="shared" si="16"/>
        <v>0</v>
      </c>
      <c r="AH237" s="252">
        <f t="shared" si="17"/>
        <v>0</v>
      </c>
      <c r="AI237" s="252">
        <f t="shared" si="18"/>
        <v>0</v>
      </c>
      <c r="AJ237" s="252">
        <f t="shared" si="19"/>
        <v>0</v>
      </c>
    </row>
    <row r="238" spans="1:36" x14ac:dyDescent="0.2">
      <c r="A238" s="253" t="str">
        <f t="shared" si="15"/>
        <v>SNCF107726DY50</v>
      </c>
      <c r="B238" s="252" t="s">
        <v>19</v>
      </c>
      <c r="C238" s="252" t="s">
        <v>20</v>
      </c>
      <c r="D238" s="252" t="s">
        <v>2474</v>
      </c>
      <c r="E238" s="252" t="s">
        <v>2475</v>
      </c>
      <c r="F238" s="252" t="s">
        <v>2501</v>
      </c>
      <c r="G238" s="252">
        <v>50</v>
      </c>
      <c r="H238" s="252" t="s">
        <v>928</v>
      </c>
      <c r="I238" s="252" t="s">
        <v>928</v>
      </c>
      <c r="J238" s="252" t="s">
        <v>928</v>
      </c>
      <c r="K238" s="252" t="s">
        <v>3236</v>
      </c>
      <c r="L238" s="252">
        <v>485.88</v>
      </c>
      <c r="M238" s="252">
        <v>0</v>
      </c>
      <c r="N238" s="252">
        <v>0</v>
      </c>
      <c r="O238" s="252">
        <v>0</v>
      </c>
      <c r="P238" s="252">
        <v>0</v>
      </c>
      <c r="Q238" s="252">
        <v>0</v>
      </c>
      <c r="R238" s="252">
        <v>0</v>
      </c>
      <c r="S238" s="252">
        <v>0</v>
      </c>
      <c r="T238" s="252">
        <v>0</v>
      </c>
      <c r="U238" s="252">
        <v>0</v>
      </c>
      <c r="V238" s="252">
        <v>0</v>
      </c>
      <c r="W238" s="252">
        <v>0</v>
      </c>
      <c r="X238" s="252">
        <v>0</v>
      </c>
      <c r="Y238" s="252">
        <v>389.02</v>
      </c>
      <c r="Z238" s="252">
        <v>0</v>
      </c>
      <c r="AA238" s="252">
        <v>0</v>
      </c>
      <c r="AB238" s="252">
        <v>96.87</v>
      </c>
      <c r="AC238" s="252">
        <v>0</v>
      </c>
      <c r="AD238" s="252">
        <v>0</v>
      </c>
      <c r="AE238" s="252" t="s">
        <v>720</v>
      </c>
      <c r="AF238" s="252" t="s">
        <v>721</v>
      </c>
      <c r="AG238" s="252">
        <f t="shared" si="16"/>
        <v>0</v>
      </c>
      <c r="AH238" s="252">
        <f t="shared" si="17"/>
        <v>0</v>
      </c>
      <c r="AI238" s="252">
        <f t="shared" si="18"/>
        <v>0</v>
      </c>
      <c r="AJ238" s="252">
        <f t="shared" si="19"/>
        <v>0</v>
      </c>
    </row>
    <row r="239" spans="1:36" x14ac:dyDescent="0.2">
      <c r="A239" s="253" t="str">
        <f t="shared" si="15"/>
        <v>2SNCF107726P50</v>
      </c>
      <c r="B239" s="252" t="s">
        <v>19</v>
      </c>
      <c r="C239" s="252" t="s">
        <v>20</v>
      </c>
      <c r="D239" s="252" t="s">
        <v>2474</v>
      </c>
      <c r="E239" s="252" t="s">
        <v>2475</v>
      </c>
      <c r="F239" s="252" t="s">
        <v>2502</v>
      </c>
      <c r="G239" s="252">
        <v>50</v>
      </c>
      <c r="H239" s="252" t="s">
        <v>928</v>
      </c>
      <c r="I239" s="252" t="s">
        <v>2477</v>
      </c>
      <c r="J239" s="252" t="s">
        <v>928</v>
      </c>
      <c r="K239" s="252" t="s">
        <v>3236</v>
      </c>
      <c r="L239" s="252">
        <v>526.39</v>
      </c>
      <c r="M239" s="252">
        <v>0</v>
      </c>
      <c r="N239" s="252">
        <v>0</v>
      </c>
      <c r="O239" s="252">
        <v>0</v>
      </c>
      <c r="P239" s="252">
        <v>0</v>
      </c>
      <c r="Q239" s="252">
        <v>0</v>
      </c>
      <c r="R239" s="252">
        <v>0</v>
      </c>
      <c r="S239" s="252">
        <v>0</v>
      </c>
      <c r="T239" s="252">
        <v>0</v>
      </c>
      <c r="U239" s="252">
        <v>0</v>
      </c>
      <c r="V239" s="252">
        <v>0</v>
      </c>
      <c r="W239" s="252">
        <v>0</v>
      </c>
      <c r="X239" s="252">
        <v>0</v>
      </c>
      <c r="Y239" s="252">
        <v>424.4</v>
      </c>
      <c r="Z239" s="252">
        <v>0</v>
      </c>
      <c r="AA239" s="252">
        <v>0</v>
      </c>
      <c r="AB239" s="252">
        <v>101.99</v>
      </c>
      <c r="AC239" s="252">
        <v>0</v>
      </c>
      <c r="AD239" s="252">
        <v>0</v>
      </c>
      <c r="AE239" s="252" t="s">
        <v>720</v>
      </c>
      <c r="AF239" s="252" t="s">
        <v>721</v>
      </c>
      <c r="AG239" s="252">
        <f t="shared" si="16"/>
        <v>0</v>
      </c>
      <c r="AH239" s="252">
        <f t="shared" si="17"/>
        <v>0</v>
      </c>
      <c r="AI239" s="252">
        <f t="shared" si="18"/>
        <v>0</v>
      </c>
      <c r="AJ239" s="252">
        <f t="shared" si="19"/>
        <v>0</v>
      </c>
    </row>
    <row r="240" spans="1:36" x14ac:dyDescent="0.2">
      <c r="A240" s="253" t="str">
        <f t="shared" si="15"/>
        <v>SNCF107726P50</v>
      </c>
      <c r="B240" s="252" t="s">
        <v>19</v>
      </c>
      <c r="C240" s="252" t="s">
        <v>20</v>
      </c>
      <c r="D240" s="252" t="s">
        <v>2474</v>
      </c>
      <c r="E240" s="252" t="s">
        <v>2475</v>
      </c>
      <c r="F240" s="252" t="s">
        <v>2502</v>
      </c>
      <c r="G240" s="252">
        <v>50</v>
      </c>
      <c r="H240" s="252" t="s">
        <v>928</v>
      </c>
      <c r="I240" s="252" t="s">
        <v>928</v>
      </c>
      <c r="J240" s="252" t="s">
        <v>928</v>
      </c>
      <c r="K240" s="252" t="s">
        <v>3236</v>
      </c>
      <c r="L240" s="252">
        <v>526.39</v>
      </c>
      <c r="M240" s="252">
        <v>0</v>
      </c>
      <c r="N240" s="252">
        <v>0</v>
      </c>
      <c r="O240" s="252">
        <v>0</v>
      </c>
      <c r="P240" s="252">
        <v>0</v>
      </c>
      <c r="Q240" s="252">
        <v>0</v>
      </c>
      <c r="R240" s="252">
        <v>0</v>
      </c>
      <c r="S240" s="252">
        <v>0</v>
      </c>
      <c r="T240" s="252">
        <v>0</v>
      </c>
      <c r="U240" s="252">
        <v>0</v>
      </c>
      <c r="V240" s="252">
        <v>0</v>
      </c>
      <c r="W240" s="252">
        <v>0</v>
      </c>
      <c r="X240" s="252">
        <v>0</v>
      </c>
      <c r="Y240" s="252">
        <v>424.4</v>
      </c>
      <c r="Z240" s="252">
        <v>0</v>
      </c>
      <c r="AA240" s="252">
        <v>0</v>
      </c>
      <c r="AB240" s="252">
        <v>101.99</v>
      </c>
      <c r="AC240" s="252">
        <v>0</v>
      </c>
      <c r="AD240" s="252">
        <v>0</v>
      </c>
      <c r="AE240" s="252" t="s">
        <v>720</v>
      </c>
      <c r="AF240" s="252" t="s">
        <v>721</v>
      </c>
      <c r="AG240" s="252">
        <f t="shared" si="16"/>
        <v>0</v>
      </c>
      <c r="AH240" s="252">
        <f t="shared" si="17"/>
        <v>0</v>
      </c>
      <c r="AI240" s="252">
        <f t="shared" si="18"/>
        <v>0</v>
      </c>
      <c r="AJ240" s="252">
        <f t="shared" si="19"/>
        <v>0</v>
      </c>
    </row>
    <row r="241" spans="1:36" x14ac:dyDescent="0.2">
      <c r="A241" s="253" t="str">
        <f t="shared" si="15"/>
        <v>2SNCF107726Y50</v>
      </c>
      <c r="B241" s="252" t="s">
        <v>19</v>
      </c>
      <c r="C241" s="252" t="s">
        <v>20</v>
      </c>
      <c r="D241" s="252" t="s">
        <v>2474</v>
      </c>
      <c r="E241" s="252" t="s">
        <v>2475</v>
      </c>
      <c r="F241" s="252" t="s">
        <v>2503</v>
      </c>
      <c r="G241" s="252">
        <v>50</v>
      </c>
      <c r="H241" s="252" t="s">
        <v>928</v>
      </c>
      <c r="I241" s="252" t="s">
        <v>2477</v>
      </c>
      <c r="J241" s="252" t="s">
        <v>928</v>
      </c>
      <c r="K241" s="252" t="s">
        <v>3236</v>
      </c>
      <c r="L241" s="252">
        <v>530.41999999999996</v>
      </c>
      <c r="M241" s="252">
        <v>0</v>
      </c>
      <c r="N241" s="252">
        <v>0</v>
      </c>
      <c r="O241" s="252">
        <v>0</v>
      </c>
      <c r="P241" s="252">
        <v>0</v>
      </c>
      <c r="Q241" s="252">
        <v>0</v>
      </c>
      <c r="R241" s="252">
        <v>0</v>
      </c>
      <c r="S241" s="252">
        <v>0</v>
      </c>
      <c r="T241" s="252">
        <v>0</v>
      </c>
      <c r="U241" s="252">
        <v>0</v>
      </c>
      <c r="V241" s="252">
        <v>0</v>
      </c>
      <c r="W241" s="252">
        <v>0</v>
      </c>
      <c r="X241" s="252">
        <v>0</v>
      </c>
      <c r="Y241" s="252">
        <v>417.88</v>
      </c>
      <c r="Z241" s="252">
        <v>0</v>
      </c>
      <c r="AA241" s="252">
        <v>0</v>
      </c>
      <c r="AB241" s="252">
        <v>112.53</v>
      </c>
      <c r="AC241" s="252">
        <v>0</v>
      </c>
      <c r="AD241" s="252">
        <v>0</v>
      </c>
      <c r="AE241" s="252" t="s">
        <v>720</v>
      </c>
      <c r="AF241" s="252" t="s">
        <v>721</v>
      </c>
      <c r="AG241" s="252">
        <f t="shared" si="16"/>
        <v>0</v>
      </c>
      <c r="AH241" s="252">
        <f t="shared" si="17"/>
        <v>0</v>
      </c>
      <c r="AI241" s="252">
        <f t="shared" si="18"/>
        <v>0</v>
      </c>
      <c r="AJ241" s="252">
        <f t="shared" si="19"/>
        <v>0</v>
      </c>
    </row>
    <row r="242" spans="1:36" x14ac:dyDescent="0.2">
      <c r="A242" s="253" t="str">
        <f t="shared" si="15"/>
        <v>SNCF107726Y50</v>
      </c>
      <c r="B242" s="252" t="s">
        <v>19</v>
      </c>
      <c r="C242" s="252" t="s">
        <v>20</v>
      </c>
      <c r="D242" s="252" t="s">
        <v>2474</v>
      </c>
      <c r="E242" s="252" t="s">
        <v>2475</v>
      </c>
      <c r="F242" s="252" t="s">
        <v>2503</v>
      </c>
      <c r="G242" s="252">
        <v>50</v>
      </c>
      <c r="H242" s="252" t="s">
        <v>928</v>
      </c>
      <c r="I242" s="252" t="s">
        <v>928</v>
      </c>
      <c r="J242" s="252" t="s">
        <v>928</v>
      </c>
      <c r="K242" s="252" t="s">
        <v>3236</v>
      </c>
      <c r="L242" s="252">
        <v>530.41999999999996</v>
      </c>
      <c r="M242" s="252">
        <v>0</v>
      </c>
      <c r="N242" s="252">
        <v>0</v>
      </c>
      <c r="O242" s="252">
        <v>0</v>
      </c>
      <c r="P242" s="252">
        <v>0</v>
      </c>
      <c r="Q242" s="252">
        <v>0</v>
      </c>
      <c r="R242" s="252">
        <v>0</v>
      </c>
      <c r="S242" s="252">
        <v>0</v>
      </c>
      <c r="T242" s="252">
        <v>0</v>
      </c>
      <c r="U242" s="252">
        <v>0</v>
      </c>
      <c r="V242" s="252">
        <v>0</v>
      </c>
      <c r="W242" s="252">
        <v>0</v>
      </c>
      <c r="X242" s="252">
        <v>0</v>
      </c>
      <c r="Y242" s="252">
        <v>417.88</v>
      </c>
      <c r="Z242" s="252">
        <v>0</v>
      </c>
      <c r="AA242" s="252">
        <v>0</v>
      </c>
      <c r="AB242" s="252">
        <v>112.53</v>
      </c>
      <c r="AC242" s="252">
        <v>0</v>
      </c>
      <c r="AD242" s="252">
        <v>0</v>
      </c>
      <c r="AE242" s="252" t="s">
        <v>720</v>
      </c>
      <c r="AF242" s="252" t="s">
        <v>721</v>
      </c>
      <c r="AG242" s="252">
        <f t="shared" si="16"/>
        <v>0</v>
      </c>
      <c r="AH242" s="252">
        <f t="shared" si="17"/>
        <v>0</v>
      </c>
      <c r="AI242" s="252">
        <f t="shared" si="18"/>
        <v>0</v>
      </c>
      <c r="AJ242" s="252">
        <f t="shared" si="19"/>
        <v>0</v>
      </c>
    </row>
    <row r="243" spans="1:36" x14ac:dyDescent="0.2">
      <c r="A243" s="253" t="str">
        <f t="shared" si="15"/>
        <v>2SNCF10783230</v>
      </c>
      <c r="B243" s="252" t="s">
        <v>19</v>
      </c>
      <c r="C243" s="252" t="s">
        <v>20</v>
      </c>
      <c r="D243" s="252" t="s">
        <v>2474</v>
      </c>
      <c r="E243" s="252" t="s">
        <v>2475</v>
      </c>
      <c r="F243" s="252" t="s">
        <v>2504</v>
      </c>
      <c r="G243" s="252">
        <v>30</v>
      </c>
      <c r="H243" s="252" t="s">
        <v>928</v>
      </c>
      <c r="I243" s="252" t="s">
        <v>2477</v>
      </c>
      <c r="J243" s="252" t="s">
        <v>928</v>
      </c>
      <c r="K243" s="252" t="s">
        <v>3236</v>
      </c>
      <c r="L243" s="252">
        <v>1306.8</v>
      </c>
      <c r="M243" s="252">
        <v>0</v>
      </c>
      <c r="N243" s="252">
        <v>0</v>
      </c>
      <c r="O243" s="252">
        <v>0</v>
      </c>
      <c r="P243" s="252">
        <v>0</v>
      </c>
      <c r="Q243" s="252">
        <v>0</v>
      </c>
      <c r="R243" s="252">
        <v>0</v>
      </c>
      <c r="S243" s="252">
        <v>0</v>
      </c>
      <c r="T243" s="252">
        <v>0</v>
      </c>
      <c r="U243" s="252">
        <v>0</v>
      </c>
      <c r="V243" s="252">
        <v>0</v>
      </c>
      <c r="W243" s="252">
        <v>0</v>
      </c>
      <c r="X243" s="252">
        <v>0</v>
      </c>
      <c r="Y243" s="252">
        <v>952.24</v>
      </c>
      <c r="Z243" s="252">
        <v>0</v>
      </c>
      <c r="AA243" s="252">
        <v>0</v>
      </c>
      <c r="AB243" s="252">
        <v>354.55</v>
      </c>
      <c r="AC243" s="252">
        <v>0</v>
      </c>
      <c r="AD243" s="252">
        <v>0</v>
      </c>
      <c r="AE243" s="252" t="s">
        <v>720</v>
      </c>
      <c r="AF243" s="252" t="s">
        <v>721</v>
      </c>
      <c r="AG243" s="252">
        <f t="shared" si="16"/>
        <v>0</v>
      </c>
      <c r="AH243" s="252">
        <f t="shared" si="17"/>
        <v>0</v>
      </c>
      <c r="AI243" s="252">
        <f t="shared" si="18"/>
        <v>0</v>
      </c>
      <c r="AJ243" s="252">
        <f t="shared" si="19"/>
        <v>0</v>
      </c>
    </row>
    <row r="244" spans="1:36" x14ac:dyDescent="0.2">
      <c r="A244" s="253" t="str">
        <f t="shared" si="15"/>
        <v>SNCF10783230</v>
      </c>
      <c r="B244" s="252" t="s">
        <v>19</v>
      </c>
      <c r="C244" s="252" t="s">
        <v>20</v>
      </c>
      <c r="D244" s="252" t="s">
        <v>2474</v>
      </c>
      <c r="E244" s="252" t="s">
        <v>2475</v>
      </c>
      <c r="F244" s="252" t="s">
        <v>2504</v>
      </c>
      <c r="G244" s="252">
        <v>30</v>
      </c>
      <c r="H244" s="252" t="s">
        <v>928</v>
      </c>
      <c r="I244" s="252" t="s">
        <v>928</v>
      </c>
      <c r="J244" s="252" t="s">
        <v>928</v>
      </c>
      <c r="K244" s="252" t="s">
        <v>3236</v>
      </c>
      <c r="L244" s="252">
        <v>1306.8</v>
      </c>
      <c r="M244" s="252">
        <v>0</v>
      </c>
      <c r="N244" s="252">
        <v>0</v>
      </c>
      <c r="O244" s="252">
        <v>0</v>
      </c>
      <c r="P244" s="252">
        <v>0</v>
      </c>
      <c r="Q244" s="252">
        <v>0</v>
      </c>
      <c r="R244" s="252">
        <v>0</v>
      </c>
      <c r="S244" s="252">
        <v>0</v>
      </c>
      <c r="T244" s="252">
        <v>0</v>
      </c>
      <c r="U244" s="252">
        <v>0</v>
      </c>
      <c r="V244" s="252">
        <v>0</v>
      </c>
      <c r="W244" s="252">
        <v>0</v>
      </c>
      <c r="X244" s="252">
        <v>0</v>
      </c>
      <c r="Y244" s="252">
        <v>952.24</v>
      </c>
      <c r="Z244" s="252">
        <v>0</v>
      </c>
      <c r="AA244" s="252">
        <v>0</v>
      </c>
      <c r="AB244" s="252">
        <v>354.55</v>
      </c>
      <c r="AC244" s="252">
        <v>0</v>
      </c>
      <c r="AD244" s="252">
        <v>0</v>
      </c>
      <c r="AE244" s="252" t="s">
        <v>720</v>
      </c>
      <c r="AF244" s="252" t="s">
        <v>721</v>
      </c>
      <c r="AG244" s="252">
        <f t="shared" si="16"/>
        <v>0</v>
      </c>
      <c r="AH244" s="252">
        <f t="shared" si="17"/>
        <v>0</v>
      </c>
      <c r="AI244" s="252">
        <f t="shared" si="18"/>
        <v>0</v>
      </c>
      <c r="AJ244" s="252">
        <f t="shared" si="19"/>
        <v>0</v>
      </c>
    </row>
    <row r="245" spans="1:36" x14ac:dyDescent="0.2">
      <c r="A245" s="253" t="str">
        <f t="shared" si="15"/>
        <v>2SNCF107832C30</v>
      </c>
      <c r="B245" s="252" t="s">
        <v>19</v>
      </c>
      <c r="C245" s="252" t="s">
        <v>20</v>
      </c>
      <c r="D245" s="252" t="s">
        <v>2474</v>
      </c>
      <c r="E245" s="252" t="s">
        <v>2475</v>
      </c>
      <c r="F245" s="252" t="s">
        <v>2505</v>
      </c>
      <c r="G245" s="252">
        <v>30</v>
      </c>
      <c r="H245" s="252" t="s">
        <v>928</v>
      </c>
      <c r="I245" s="252" t="s">
        <v>2477</v>
      </c>
      <c r="J245" s="252" t="s">
        <v>928</v>
      </c>
      <c r="K245" s="252" t="s">
        <v>3236</v>
      </c>
      <c r="L245" s="252">
        <v>599.07000000000005</v>
      </c>
      <c r="M245" s="252">
        <v>0</v>
      </c>
      <c r="N245" s="252">
        <v>0</v>
      </c>
      <c r="O245" s="252">
        <v>0</v>
      </c>
      <c r="P245" s="252">
        <v>0</v>
      </c>
      <c r="Q245" s="252">
        <v>0</v>
      </c>
      <c r="R245" s="252">
        <v>0</v>
      </c>
      <c r="S245" s="252">
        <v>0</v>
      </c>
      <c r="T245" s="252">
        <v>0</v>
      </c>
      <c r="U245" s="252">
        <v>0</v>
      </c>
      <c r="V245" s="252">
        <v>0</v>
      </c>
      <c r="W245" s="252">
        <v>0</v>
      </c>
      <c r="X245" s="252">
        <v>0</v>
      </c>
      <c r="Y245" s="252">
        <v>480.89</v>
      </c>
      <c r="Z245" s="252">
        <v>0</v>
      </c>
      <c r="AA245" s="252">
        <v>0</v>
      </c>
      <c r="AB245" s="252">
        <v>118.18</v>
      </c>
      <c r="AC245" s="252">
        <v>0</v>
      </c>
      <c r="AD245" s="252">
        <v>0</v>
      </c>
      <c r="AE245" s="252" t="s">
        <v>720</v>
      </c>
      <c r="AF245" s="252" t="s">
        <v>721</v>
      </c>
      <c r="AG245" s="252">
        <f t="shared" si="16"/>
        <v>0</v>
      </c>
      <c r="AH245" s="252">
        <f t="shared" si="17"/>
        <v>0</v>
      </c>
      <c r="AI245" s="252">
        <f t="shared" si="18"/>
        <v>0</v>
      </c>
      <c r="AJ245" s="252">
        <f t="shared" si="19"/>
        <v>0</v>
      </c>
    </row>
    <row r="246" spans="1:36" x14ac:dyDescent="0.2">
      <c r="A246" s="253" t="str">
        <f t="shared" si="15"/>
        <v>SNCF107832C30</v>
      </c>
      <c r="B246" s="252" t="s">
        <v>19</v>
      </c>
      <c r="C246" s="252" t="s">
        <v>20</v>
      </c>
      <c r="D246" s="252" t="s">
        <v>2474</v>
      </c>
      <c r="E246" s="252" t="s">
        <v>2475</v>
      </c>
      <c r="F246" s="252" t="s">
        <v>2505</v>
      </c>
      <c r="G246" s="252">
        <v>30</v>
      </c>
      <c r="H246" s="252" t="s">
        <v>928</v>
      </c>
      <c r="I246" s="252" t="s">
        <v>928</v>
      </c>
      <c r="J246" s="252" t="s">
        <v>928</v>
      </c>
      <c r="K246" s="252" t="s">
        <v>3236</v>
      </c>
      <c r="L246" s="252">
        <v>599.07000000000005</v>
      </c>
      <c r="M246" s="252">
        <v>0</v>
      </c>
      <c r="N246" s="252">
        <v>0</v>
      </c>
      <c r="O246" s="252">
        <v>0</v>
      </c>
      <c r="P246" s="252">
        <v>0</v>
      </c>
      <c r="Q246" s="252">
        <v>0</v>
      </c>
      <c r="R246" s="252">
        <v>0</v>
      </c>
      <c r="S246" s="252">
        <v>0</v>
      </c>
      <c r="T246" s="252">
        <v>0</v>
      </c>
      <c r="U246" s="252">
        <v>0</v>
      </c>
      <c r="V246" s="252">
        <v>0</v>
      </c>
      <c r="W246" s="252">
        <v>0</v>
      </c>
      <c r="X246" s="252">
        <v>0</v>
      </c>
      <c r="Y246" s="252">
        <v>480.89</v>
      </c>
      <c r="Z246" s="252">
        <v>0</v>
      </c>
      <c r="AA246" s="252">
        <v>0</v>
      </c>
      <c r="AB246" s="252">
        <v>118.18</v>
      </c>
      <c r="AC246" s="252">
        <v>0</v>
      </c>
      <c r="AD246" s="252">
        <v>0</v>
      </c>
      <c r="AE246" s="252" t="s">
        <v>720</v>
      </c>
      <c r="AF246" s="252" t="s">
        <v>721</v>
      </c>
      <c r="AG246" s="252">
        <f t="shared" si="16"/>
        <v>0</v>
      </c>
      <c r="AH246" s="252">
        <f t="shared" si="17"/>
        <v>0</v>
      </c>
      <c r="AI246" s="252">
        <f t="shared" si="18"/>
        <v>0</v>
      </c>
      <c r="AJ246" s="252">
        <f t="shared" si="19"/>
        <v>0</v>
      </c>
    </row>
    <row r="247" spans="1:36" x14ac:dyDescent="0.2">
      <c r="A247" s="253" t="str">
        <f t="shared" si="15"/>
        <v>2SNCF107832C_30</v>
      </c>
      <c r="B247" s="252" t="s">
        <v>19</v>
      </c>
      <c r="C247" s="252" t="s">
        <v>20</v>
      </c>
      <c r="D247" s="252" t="s">
        <v>2474</v>
      </c>
      <c r="E247" s="252" t="s">
        <v>2475</v>
      </c>
      <c r="F247" s="252" t="s">
        <v>2506</v>
      </c>
      <c r="G247" s="252">
        <v>30</v>
      </c>
      <c r="H247" s="252" t="s">
        <v>928</v>
      </c>
      <c r="I247" s="252" t="s">
        <v>2477</v>
      </c>
      <c r="J247" s="252" t="s">
        <v>928</v>
      </c>
      <c r="K247" s="252" t="s">
        <v>3236</v>
      </c>
      <c r="L247" s="252">
        <v>484.18</v>
      </c>
      <c r="M247" s="252">
        <v>0</v>
      </c>
      <c r="N247" s="252">
        <v>0</v>
      </c>
      <c r="O247" s="252">
        <v>0</v>
      </c>
      <c r="P247" s="252">
        <v>0</v>
      </c>
      <c r="Q247" s="252">
        <v>0</v>
      </c>
      <c r="R247" s="252">
        <v>0</v>
      </c>
      <c r="S247" s="252">
        <v>0</v>
      </c>
      <c r="T247" s="252">
        <v>0</v>
      </c>
      <c r="U247" s="252">
        <v>0</v>
      </c>
      <c r="V247" s="252">
        <v>0</v>
      </c>
      <c r="W247" s="252">
        <v>0</v>
      </c>
      <c r="X247" s="252">
        <v>0</v>
      </c>
      <c r="Y247" s="252">
        <v>415.58</v>
      </c>
      <c r="Z247" s="252">
        <v>0</v>
      </c>
      <c r="AA247" s="252">
        <v>0</v>
      </c>
      <c r="AB247" s="252">
        <v>68.61</v>
      </c>
      <c r="AC247" s="252">
        <v>0</v>
      </c>
      <c r="AD247" s="252">
        <v>0</v>
      </c>
      <c r="AE247" s="252" t="s">
        <v>720</v>
      </c>
      <c r="AF247" s="252" t="s">
        <v>721</v>
      </c>
      <c r="AG247" s="252">
        <f t="shared" si="16"/>
        <v>0</v>
      </c>
      <c r="AH247" s="252">
        <f t="shared" si="17"/>
        <v>0</v>
      </c>
      <c r="AI247" s="252">
        <f t="shared" si="18"/>
        <v>0</v>
      </c>
      <c r="AJ247" s="252">
        <f t="shared" si="19"/>
        <v>0</v>
      </c>
    </row>
    <row r="248" spans="1:36" x14ac:dyDescent="0.2">
      <c r="A248" s="253" t="str">
        <f t="shared" si="15"/>
        <v>SNCF107832C_30</v>
      </c>
      <c r="B248" s="252" t="s">
        <v>19</v>
      </c>
      <c r="C248" s="252" t="s">
        <v>20</v>
      </c>
      <c r="D248" s="252" t="s">
        <v>2474</v>
      </c>
      <c r="E248" s="252" t="s">
        <v>2475</v>
      </c>
      <c r="F248" s="252" t="s">
        <v>2506</v>
      </c>
      <c r="G248" s="252">
        <v>30</v>
      </c>
      <c r="H248" s="252" t="s">
        <v>928</v>
      </c>
      <c r="I248" s="252" t="s">
        <v>928</v>
      </c>
      <c r="J248" s="252" t="s">
        <v>928</v>
      </c>
      <c r="K248" s="252" t="s">
        <v>3236</v>
      </c>
      <c r="L248" s="252">
        <v>484.18</v>
      </c>
      <c r="M248" s="252">
        <v>0</v>
      </c>
      <c r="N248" s="252">
        <v>0</v>
      </c>
      <c r="O248" s="252">
        <v>0</v>
      </c>
      <c r="P248" s="252">
        <v>0</v>
      </c>
      <c r="Q248" s="252">
        <v>0</v>
      </c>
      <c r="R248" s="252">
        <v>0</v>
      </c>
      <c r="S248" s="252">
        <v>0</v>
      </c>
      <c r="T248" s="252">
        <v>0</v>
      </c>
      <c r="U248" s="252">
        <v>0</v>
      </c>
      <c r="V248" s="252">
        <v>0</v>
      </c>
      <c r="W248" s="252">
        <v>0</v>
      </c>
      <c r="X248" s="252">
        <v>0</v>
      </c>
      <c r="Y248" s="252">
        <v>415.58</v>
      </c>
      <c r="Z248" s="252">
        <v>0</v>
      </c>
      <c r="AA248" s="252">
        <v>0</v>
      </c>
      <c r="AB248" s="252">
        <v>68.61</v>
      </c>
      <c r="AC248" s="252">
        <v>0</v>
      </c>
      <c r="AD248" s="252">
        <v>0</v>
      </c>
      <c r="AE248" s="252" t="s">
        <v>720</v>
      </c>
      <c r="AF248" s="252" t="s">
        <v>721</v>
      </c>
      <c r="AG248" s="252">
        <f t="shared" si="16"/>
        <v>0</v>
      </c>
      <c r="AH248" s="252">
        <f t="shared" si="17"/>
        <v>0</v>
      </c>
      <c r="AI248" s="252">
        <f t="shared" si="18"/>
        <v>0</v>
      </c>
      <c r="AJ248" s="252">
        <f t="shared" si="19"/>
        <v>0</v>
      </c>
    </row>
    <row r="249" spans="1:36" x14ac:dyDescent="0.2">
      <c r="A249" s="253" t="str">
        <f t="shared" si="15"/>
        <v>2SNCF107832C_50</v>
      </c>
      <c r="B249" s="252" t="s">
        <v>19</v>
      </c>
      <c r="C249" s="252" t="s">
        <v>20</v>
      </c>
      <c r="D249" s="252" t="s">
        <v>2474</v>
      </c>
      <c r="E249" s="252" t="s">
        <v>2475</v>
      </c>
      <c r="F249" s="252" t="s">
        <v>2506</v>
      </c>
      <c r="G249" s="252">
        <v>50</v>
      </c>
      <c r="H249" s="252" t="s">
        <v>928</v>
      </c>
      <c r="I249" s="252" t="s">
        <v>2477</v>
      </c>
      <c r="J249" s="252" t="s">
        <v>928</v>
      </c>
      <c r="K249" s="252" t="s">
        <v>3236</v>
      </c>
      <c r="L249" s="252">
        <v>505.76</v>
      </c>
      <c r="M249" s="252">
        <v>0</v>
      </c>
      <c r="N249" s="252">
        <v>0</v>
      </c>
      <c r="O249" s="252">
        <v>0</v>
      </c>
      <c r="P249" s="252">
        <v>0</v>
      </c>
      <c r="Q249" s="252">
        <v>0</v>
      </c>
      <c r="R249" s="252">
        <v>0</v>
      </c>
      <c r="S249" s="252">
        <v>0</v>
      </c>
      <c r="T249" s="252">
        <v>0</v>
      </c>
      <c r="U249" s="252">
        <v>0</v>
      </c>
      <c r="V249" s="252">
        <v>0</v>
      </c>
      <c r="W249" s="252">
        <v>0</v>
      </c>
      <c r="X249" s="252">
        <v>0</v>
      </c>
      <c r="Y249" s="252">
        <v>426.66</v>
      </c>
      <c r="Z249" s="252">
        <v>0</v>
      </c>
      <c r="AA249" s="252">
        <v>0</v>
      </c>
      <c r="AB249" s="252">
        <v>79.11</v>
      </c>
      <c r="AC249" s="252">
        <v>0</v>
      </c>
      <c r="AD249" s="252">
        <v>0</v>
      </c>
      <c r="AE249" s="252" t="s">
        <v>720</v>
      </c>
      <c r="AF249" s="252" t="s">
        <v>721</v>
      </c>
      <c r="AG249" s="252">
        <f t="shared" si="16"/>
        <v>0</v>
      </c>
      <c r="AH249" s="252">
        <f t="shared" si="17"/>
        <v>0</v>
      </c>
      <c r="AI249" s="252">
        <f t="shared" si="18"/>
        <v>0</v>
      </c>
      <c r="AJ249" s="252">
        <f t="shared" si="19"/>
        <v>0</v>
      </c>
    </row>
    <row r="250" spans="1:36" x14ac:dyDescent="0.2">
      <c r="A250" s="253" t="str">
        <f t="shared" si="15"/>
        <v>SNCF107832C_50</v>
      </c>
      <c r="B250" s="252" t="s">
        <v>19</v>
      </c>
      <c r="C250" s="252" t="s">
        <v>20</v>
      </c>
      <c r="D250" s="252" t="s">
        <v>2474</v>
      </c>
      <c r="E250" s="252" t="s">
        <v>2475</v>
      </c>
      <c r="F250" s="252" t="s">
        <v>2506</v>
      </c>
      <c r="G250" s="252">
        <v>50</v>
      </c>
      <c r="H250" s="252" t="s">
        <v>928</v>
      </c>
      <c r="I250" s="252" t="s">
        <v>928</v>
      </c>
      <c r="J250" s="252" t="s">
        <v>928</v>
      </c>
      <c r="K250" s="252" t="s">
        <v>3236</v>
      </c>
      <c r="L250" s="252">
        <v>505.76</v>
      </c>
      <c r="M250" s="252">
        <v>0</v>
      </c>
      <c r="N250" s="252">
        <v>0</v>
      </c>
      <c r="O250" s="252">
        <v>0</v>
      </c>
      <c r="P250" s="252">
        <v>0</v>
      </c>
      <c r="Q250" s="252">
        <v>0</v>
      </c>
      <c r="R250" s="252">
        <v>0</v>
      </c>
      <c r="S250" s="252">
        <v>0</v>
      </c>
      <c r="T250" s="252">
        <v>0</v>
      </c>
      <c r="U250" s="252">
        <v>0</v>
      </c>
      <c r="V250" s="252">
        <v>0</v>
      </c>
      <c r="W250" s="252">
        <v>0</v>
      </c>
      <c r="X250" s="252">
        <v>0</v>
      </c>
      <c r="Y250" s="252">
        <v>426.66</v>
      </c>
      <c r="Z250" s="252">
        <v>0</v>
      </c>
      <c r="AA250" s="252">
        <v>0</v>
      </c>
      <c r="AB250" s="252">
        <v>79.11</v>
      </c>
      <c r="AC250" s="252">
        <v>0</v>
      </c>
      <c r="AD250" s="252">
        <v>0</v>
      </c>
      <c r="AE250" s="252" t="s">
        <v>720</v>
      </c>
      <c r="AF250" s="252" t="s">
        <v>721</v>
      </c>
      <c r="AG250" s="252">
        <f t="shared" si="16"/>
        <v>0</v>
      </c>
      <c r="AH250" s="252">
        <f t="shared" si="17"/>
        <v>0</v>
      </c>
      <c r="AI250" s="252">
        <f t="shared" si="18"/>
        <v>0</v>
      </c>
      <c r="AJ250" s="252">
        <f t="shared" si="19"/>
        <v>0</v>
      </c>
    </row>
    <row r="251" spans="1:36" x14ac:dyDescent="0.2">
      <c r="A251" s="253" t="str">
        <f t="shared" si="15"/>
        <v>2SNCF107A6230</v>
      </c>
      <c r="B251" s="252" t="s">
        <v>19</v>
      </c>
      <c r="C251" s="252" t="s">
        <v>20</v>
      </c>
      <c r="D251" s="252" t="s">
        <v>2474</v>
      </c>
      <c r="E251" s="252" t="s">
        <v>2475</v>
      </c>
      <c r="F251" s="252" t="s">
        <v>2507</v>
      </c>
      <c r="G251" s="252">
        <v>30</v>
      </c>
      <c r="H251" s="252" t="s">
        <v>928</v>
      </c>
      <c r="I251" s="252" t="s">
        <v>2477</v>
      </c>
      <c r="J251" s="252" t="s">
        <v>928</v>
      </c>
      <c r="K251" s="252" t="s">
        <v>3236</v>
      </c>
      <c r="L251" s="252">
        <v>520.9</v>
      </c>
      <c r="M251" s="252">
        <v>0</v>
      </c>
      <c r="N251" s="252">
        <v>0</v>
      </c>
      <c r="O251" s="252">
        <v>0</v>
      </c>
      <c r="P251" s="252">
        <v>0</v>
      </c>
      <c r="Q251" s="252">
        <v>0</v>
      </c>
      <c r="R251" s="252">
        <v>0</v>
      </c>
      <c r="S251" s="252">
        <v>0</v>
      </c>
      <c r="T251" s="252">
        <v>0</v>
      </c>
      <c r="U251" s="252">
        <v>0</v>
      </c>
      <c r="V251" s="252">
        <v>0</v>
      </c>
      <c r="W251" s="252">
        <v>0</v>
      </c>
      <c r="X251" s="252">
        <v>0</v>
      </c>
      <c r="Y251" s="252">
        <v>385.86</v>
      </c>
      <c r="Z251" s="252">
        <v>0</v>
      </c>
      <c r="AA251" s="252">
        <v>0</v>
      </c>
      <c r="AB251" s="252">
        <v>135.04</v>
      </c>
      <c r="AC251" s="252">
        <v>0</v>
      </c>
      <c r="AD251" s="252">
        <v>0</v>
      </c>
      <c r="AE251" s="252" t="s">
        <v>720</v>
      </c>
      <c r="AF251" s="252" t="s">
        <v>721</v>
      </c>
      <c r="AG251" s="252">
        <f t="shared" si="16"/>
        <v>0</v>
      </c>
      <c r="AH251" s="252">
        <f t="shared" si="17"/>
        <v>0</v>
      </c>
      <c r="AI251" s="252">
        <f t="shared" si="18"/>
        <v>0</v>
      </c>
      <c r="AJ251" s="252">
        <f t="shared" si="19"/>
        <v>0</v>
      </c>
    </row>
    <row r="252" spans="1:36" x14ac:dyDescent="0.2">
      <c r="A252" s="253" t="str">
        <f t="shared" si="15"/>
        <v>SNCF107A6230</v>
      </c>
      <c r="B252" s="252" t="s">
        <v>19</v>
      </c>
      <c r="C252" s="252" t="s">
        <v>20</v>
      </c>
      <c r="D252" s="252" t="s">
        <v>2474</v>
      </c>
      <c r="E252" s="252" t="s">
        <v>2475</v>
      </c>
      <c r="F252" s="252" t="s">
        <v>2507</v>
      </c>
      <c r="G252" s="252">
        <v>30</v>
      </c>
      <c r="H252" s="252" t="s">
        <v>928</v>
      </c>
      <c r="I252" s="252" t="s">
        <v>928</v>
      </c>
      <c r="J252" s="252" t="s">
        <v>928</v>
      </c>
      <c r="K252" s="252" t="s">
        <v>3236</v>
      </c>
      <c r="L252" s="252">
        <v>520.9</v>
      </c>
      <c r="M252" s="252">
        <v>0</v>
      </c>
      <c r="N252" s="252">
        <v>0</v>
      </c>
      <c r="O252" s="252">
        <v>0</v>
      </c>
      <c r="P252" s="252">
        <v>0</v>
      </c>
      <c r="Q252" s="252">
        <v>0</v>
      </c>
      <c r="R252" s="252">
        <v>0</v>
      </c>
      <c r="S252" s="252">
        <v>0</v>
      </c>
      <c r="T252" s="252">
        <v>0</v>
      </c>
      <c r="U252" s="252">
        <v>0</v>
      </c>
      <c r="V252" s="252">
        <v>0</v>
      </c>
      <c r="W252" s="252">
        <v>0</v>
      </c>
      <c r="X252" s="252">
        <v>0</v>
      </c>
      <c r="Y252" s="252">
        <v>385.86</v>
      </c>
      <c r="Z252" s="252">
        <v>0</v>
      </c>
      <c r="AA252" s="252">
        <v>0</v>
      </c>
      <c r="AB252" s="252">
        <v>135.04</v>
      </c>
      <c r="AC252" s="252">
        <v>0</v>
      </c>
      <c r="AD252" s="252">
        <v>0</v>
      </c>
      <c r="AE252" s="252" t="s">
        <v>720</v>
      </c>
      <c r="AF252" s="252" t="s">
        <v>721</v>
      </c>
      <c r="AG252" s="252">
        <f t="shared" si="16"/>
        <v>0</v>
      </c>
      <c r="AH252" s="252">
        <f t="shared" si="17"/>
        <v>0</v>
      </c>
      <c r="AI252" s="252">
        <f t="shared" si="18"/>
        <v>0</v>
      </c>
      <c r="AJ252" s="252">
        <f t="shared" si="19"/>
        <v>0</v>
      </c>
    </row>
    <row r="253" spans="1:36" x14ac:dyDescent="0.2">
      <c r="A253" s="253" t="str">
        <f t="shared" si="15"/>
        <v>2SNCF107A6250</v>
      </c>
      <c r="B253" s="252" t="s">
        <v>19</v>
      </c>
      <c r="C253" s="252" t="s">
        <v>20</v>
      </c>
      <c r="D253" s="252" t="s">
        <v>2474</v>
      </c>
      <c r="E253" s="252" t="s">
        <v>2475</v>
      </c>
      <c r="F253" s="252" t="s">
        <v>2507</v>
      </c>
      <c r="G253" s="252">
        <v>50</v>
      </c>
      <c r="H253" s="252" t="s">
        <v>928</v>
      </c>
      <c r="I253" s="252" t="s">
        <v>2477</v>
      </c>
      <c r="J253" s="252" t="s">
        <v>928</v>
      </c>
      <c r="K253" s="252" t="s">
        <v>3236</v>
      </c>
      <c r="L253" s="252">
        <v>634.36</v>
      </c>
      <c r="M253" s="252">
        <v>0</v>
      </c>
      <c r="N253" s="252">
        <v>0</v>
      </c>
      <c r="O253" s="252">
        <v>0</v>
      </c>
      <c r="P253" s="252">
        <v>0</v>
      </c>
      <c r="Q253" s="252">
        <v>0</v>
      </c>
      <c r="R253" s="252">
        <v>0</v>
      </c>
      <c r="S253" s="252">
        <v>0</v>
      </c>
      <c r="T253" s="252">
        <v>0</v>
      </c>
      <c r="U253" s="252">
        <v>0</v>
      </c>
      <c r="V253" s="252">
        <v>0</v>
      </c>
      <c r="W253" s="252">
        <v>0</v>
      </c>
      <c r="X253" s="252">
        <v>0</v>
      </c>
      <c r="Y253" s="252">
        <v>460.21</v>
      </c>
      <c r="Z253" s="252">
        <v>0</v>
      </c>
      <c r="AA253" s="252">
        <v>0</v>
      </c>
      <c r="AB253" s="252">
        <v>174.14</v>
      </c>
      <c r="AC253" s="252">
        <v>0</v>
      </c>
      <c r="AD253" s="252">
        <v>0</v>
      </c>
      <c r="AE253" s="252" t="s">
        <v>720</v>
      </c>
      <c r="AF253" s="252" t="s">
        <v>721</v>
      </c>
      <c r="AG253" s="252">
        <f t="shared" si="16"/>
        <v>0</v>
      </c>
      <c r="AH253" s="252">
        <f t="shared" si="17"/>
        <v>0</v>
      </c>
      <c r="AI253" s="252">
        <f t="shared" si="18"/>
        <v>0</v>
      </c>
      <c r="AJ253" s="252">
        <f t="shared" si="19"/>
        <v>0</v>
      </c>
    </row>
    <row r="254" spans="1:36" x14ac:dyDescent="0.2">
      <c r="A254" s="253" t="str">
        <f t="shared" si="15"/>
        <v>SNCF107A6250</v>
      </c>
      <c r="B254" s="252" t="s">
        <v>19</v>
      </c>
      <c r="C254" s="252" t="s">
        <v>20</v>
      </c>
      <c r="D254" s="252" t="s">
        <v>2474</v>
      </c>
      <c r="E254" s="252" t="s">
        <v>2475</v>
      </c>
      <c r="F254" s="252" t="s">
        <v>2507</v>
      </c>
      <c r="G254" s="252">
        <v>50</v>
      </c>
      <c r="H254" s="252" t="s">
        <v>928</v>
      </c>
      <c r="I254" s="252" t="s">
        <v>928</v>
      </c>
      <c r="J254" s="252" t="s">
        <v>928</v>
      </c>
      <c r="K254" s="252" t="s">
        <v>3236</v>
      </c>
      <c r="L254" s="252">
        <v>634.36</v>
      </c>
      <c r="M254" s="252">
        <v>0</v>
      </c>
      <c r="N254" s="252">
        <v>0</v>
      </c>
      <c r="O254" s="252">
        <v>0</v>
      </c>
      <c r="P254" s="252">
        <v>0</v>
      </c>
      <c r="Q254" s="252">
        <v>0</v>
      </c>
      <c r="R254" s="252">
        <v>0</v>
      </c>
      <c r="S254" s="252">
        <v>0</v>
      </c>
      <c r="T254" s="252">
        <v>0</v>
      </c>
      <c r="U254" s="252">
        <v>0</v>
      </c>
      <c r="V254" s="252">
        <v>0</v>
      </c>
      <c r="W254" s="252">
        <v>0</v>
      </c>
      <c r="X254" s="252">
        <v>0</v>
      </c>
      <c r="Y254" s="252">
        <v>460.21</v>
      </c>
      <c r="Z254" s="252">
        <v>0</v>
      </c>
      <c r="AA254" s="252">
        <v>0</v>
      </c>
      <c r="AB254" s="252">
        <v>174.14</v>
      </c>
      <c r="AC254" s="252">
        <v>0</v>
      </c>
      <c r="AD254" s="252">
        <v>0</v>
      </c>
      <c r="AE254" s="252" t="s">
        <v>720</v>
      </c>
      <c r="AF254" s="252" t="s">
        <v>721</v>
      </c>
      <c r="AG254" s="252">
        <f t="shared" si="16"/>
        <v>0</v>
      </c>
      <c r="AH254" s="252">
        <f t="shared" si="17"/>
        <v>0</v>
      </c>
      <c r="AI254" s="252">
        <f t="shared" si="18"/>
        <v>0</v>
      </c>
      <c r="AJ254" s="252">
        <f t="shared" si="19"/>
        <v>0</v>
      </c>
    </row>
    <row r="255" spans="1:36" x14ac:dyDescent="0.2">
      <c r="A255" s="253" t="str">
        <f t="shared" si="15"/>
        <v>2SNCF107E4275</v>
      </c>
      <c r="B255" s="252" t="s">
        <v>19</v>
      </c>
      <c r="C255" s="252" t="s">
        <v>20</v>
      </c>
      <c r="D255" s="252" t="s">
        <v>2474</v>
      </c>
      <c r="E255" s="252" t="s">
        <v>2475</v>
      </c>
      <c r="F255" s="252" t="s">
        <v>2508</v>
      </c>
      <c r="G255" s="252">
        <v>75</v>
      </c>
      <c r="H255" s="252" t="s">
        <v>928</v>
      </c>
      <c r="I255" s="252" t="s">
        <v>2477</v>
      </c>
      <c r="J255" s="252" t="s">
        <v>928</v>
      </c>
      <c r="K255" s="252" t="s">
        <v>3236</v>
      </c>
      <c r="L255" s="252">
        <v>621.83000000000004</v>
      </c>
      <c r="M255" s="252">
        <v>0</v>
      </c>
      <c r="N255" s="252">
        <v>0</v>
      </c>
      <c r="O255" s="252">
        <v>0</v>
      </c>
      <c r="P255" s="252">
        <v>0</v>
      </c>
      <c r="Q255" s="252">
        <v>0</v>
      </c>
      <c r="R255" s="252">
        <v>0</v>
      </c>
      <c r="S255" s="252">
        <v>0</v>
      </c>
      <c r="T255" s="252">
        <v>0</v>
      </c>
      <c r="U255" s="252">
        <v>0</v>
      </c>
      <c r="V255" s="252">
        <v>0</v>
      </c>
      <c r="W255" s="252">
        <v>0</v>
      </c>
      <c r="X255" s="252">
        <v>0</v>
      </c>
      <c r="Y255" s="252">
        <v>469.12</v>
      </c>
      <c r="Z255" s="252">
        <v>0</v>
      </c>
      <c r="AA255" s="252">
        <v>0</v>
      </c>
      <c r="AB255" s="252">
        <v>152.71</v>
      </c>
      <c r="AC255" s="252">
        <v>0</v>
      </c>
      <c r="AD255" s="252">
        <v>0</v>
      </c>
      <c r="AE255" s="252" t="s">
        <v>720</v>
      </c>
      <c r="AF255" s="252" t="s">
        <v>721</v>
      </c>
      <c r="AG255" s="252">
        <f t="shared" si="16"/>
        <v>0</v>
      </c>
      <c r="AH255" s="252">
        <f t="shared" si="17"/>
        <v>0</v>
      </c>
      <c r="AI255" s="252">
        <f t="shared" si="18"/>
        <v>0</v>
      </c>
      <c r="AJ255" s="252">
        <f t="shared" si="19"/>
        <v>0</v>
      </c>
    </row>
    <row r="256" spans="1:36" x14ac:dyDescent="0.2">
      <c r="A256" s="253" t="str">
        <f t="shared" si="15"/>
        <v>SNCF107E4275</v>
      </c>
      <c r="B256" s="252" t="s">
        <v>19</v>
      </c>
      <c r="C256" s="252" t="s">
        <v>20</v>
      </c>
      <c r="D256" s="252" t="s">
        <v>2474</v>
      </c>
      <c r="E256" s="252" t="s">
        <v>2475</v>
      </c>
      <c r="F256" s="252" t="s">
        <v>2508</v>
      </c>
      <c r="G256" s="252">
        <v>75</v>
      </c>
      <c r="H256" s="252" t="s">
        <v>928</v>
      </c>
      <c r="I256" s="252" t="s">
        <v>928</v>
      </c>
      <c r="J256" s="252" t="s">
        <v>928</v>
      </c>
      <c r="K256" s="252" t="s">
        <v>3236</v>
      </c>
      <c r="L256" s="252">
        <v>621.83000000000004</v>
      </c>
      <c r="M256" s="252">
        <v>0</v>
      </c>
      <c r="N256" s="252">
        <v>0</v>
      </c>
      <c r="O256" s="252">
        <v>0</v>
      </c>
      <c r="P256" s="252">
        <v>0</v>
      </c>
      <c r="Q256" s="252">
        <v>0</v>
      </c>
      <c r="R256" s="252">
        <v>0</v>
      </c>
      <c r="S256" s="252">
        <v>0</v>
      </c>
      <c r="T256" s="252">
        <v>0</v>
      </c>
      <c r="U256" s="252">
        <v>0</v>
      </c>
      <c r="V256" s="252">
        <v>0</v>
      </c>
      <c r="W256" s="252">
        <v>0</v>
      </c>
      <c r="X256" s="252">
        <v>0</v>
      </c>
      <c r="Y256" s="252">
        <v>469.12</v>
      </c>
      <c r="Z256" s="252">
        <v>0</v>
      </c>
      <c r="AA256" s="252">
        <v>0</v>
      </c>
      <c r="AB256" s="252">
        <v>152.71</v>
      </c>
      <c r="AC256" s="252">
        <v>0</v>
      </c>
      <c r="AD256" s="252">
        <v>0</v>
      </c>
      <c r="AE256" s="252" t="s">
        <v>720</v>
      </c>
      <c r="AF256" s="252" t="s">
        <v>721</v>
      </c>
      <c r="AG256" s="252">
        <f t="shared" si="16"/>
        <v>0</v>
      </c>
      <c r="AH256" s="252">
        <f t="shared" si="17"/>
        <v>0</v>
      </c>
      <c r="AI256" s="252">
        <f t="shared" si="18"/>
        <v>0</v>
      </c>
      <c r="AJ256" s="252">
        <f t="shared" si="19"/>
        <v>0</v>
      </c>
    </row>
    <row r="257" spans="1:36" x14ac:dyDescent="0.2">
      <c r="A257" s="253" t="str">
        <f t="shared" si="15"/>
        <v>2SNCF107H5230</v>
      </c>
      <c r="B257" s="252" t="s">
        <v>19</v>
      </c>
      <c r="C257" s="252" t="s">
        <v>20</v>
      </c>
      <c r="D257" s="252" t="s">
        <v>2474</v>
      </c>
      <c r="E257" s="252" t="s">
        <v>2475</v>
      </c>
      <c r="F257" s="252" t="s">
        <v>2509</v>
      </c>
      <c r="G257" s="252">
        <v>30</v>
      </c>
      <c r="H257" s="252" t="s">
        <v>928</v>
      </c>
      <c r="I257" s="252" t="s">
        <v>2477</v>
      </c>
      <c r="J257" s="252" t="s">
        <v>928</v>
      </c>
      <c r="K257" s="252" t="s">
        <v>3236</v>
      </c>
      <c r="L257" s="252">
        <v>484.12</v>
      </c>
      <c r="M257" s="252">
        <v>0</v>
      </c>
      <c r="N257" s="252">
        <v>0</v>
      </c>
      <c r="O257" s="252">
        <v>0</v>
      </c>
      <c r="P257" s="252">
        <v>0</v>
      </c>
      <c r="Q257" s="252">
        <v>0</v>
      </c>
      <c r="R257" s="252">
        <v>0</v>
      </c>
      <c r="S257" s="252">
        <v>0</v>
      </c>
      <c r="T257" s="252">
        <v>0</v>
      </c>
      <c r="U257" s="252">
        <v>0</v>
      </c>
      <c r="V257" s="252">
        <v>0</v>
      </c>
      <c r="W257" s="252">
        <v>0</v>
      </c>
      <c r="X257" s="252">
        <v>0</v>
      </c>
      <c r="Y257" s="252">
        <v>346.09</v>
      </c>
      <c r="Z257" s="252">
        <v>0</v>
      </c>
      <c r="AA257" s="252">
        <v>0</v>
      </c>
      <c r="AB257" s="252">
        <v>138.03</v>
      </c>
      <c r="AC257" s="252">
        <v>0</v>
      </c>
      <c r="AD257" s="252">
        <v>0</v>
      </c>
      <c r="AE257" s="252" t="s">
        <v>720</v>
      </c>
      <c r="AF257" s="252" t="s">
        <v>721</v>
      </c>
      <c r="AG257" s="252">
        <f t="shared" si="16"/>
        <v>0</v>
      </c>
      <c r="AH257" s="252">
        <f t="shared" si="17"/>
        <v>0</v>
      </c>
      <c r="AI257" s="252">
        <f t="shared" si="18"/>
        <v>0</v>
      </c>
      <c r="AJ257" s="252">
        <f t="shared" si="19"/>
        <v>0</v>
      </c>
    </row>
    <row r="258" spans="1:36" x14ac:dyDescent="0.2">
      <c r="A258" s="253" t="str">
        <f t="shared" si="15"/>
        <v>8SNCF107H5230</v>
      </c>
      <c r="B258" s="252" t="s">
        <v>19</v>
      </c>
      <c r="C258" s="252" t="s">
        <v>20</v>
      </c>
      <c r="D258" s="252" t="s">
        <v>2474</v>
      </c>
      <c r="E258" s="252" t="s">
        <v>2475</v>
      </c>
      <c r="F258" s="252" t="s">
        <v>2509</v>
      </c>
      <c r="G258" s="252">
        <v>30</v>
      </c>
      <c r="H258" s="252" t="s">
        <v>928</v>
      </c>
      <c r="I258" s="252" t="s">
        <v>2487</v>
      </c>
      <c r="J258" s="252" t="s">
        <v>928</v>
      </c>
      <c r="K258" s="252" t="s">
        <v>3236</v>
      </c>
      <c r="L258" s="252">
        <v>872.4</v>
      </c>
      <c r="M258" s="252">
        <v>0</v>
      </c>
      <c r="N258" s="252">
        <v>0</v>
      </c>
      <c r="O258" s="252">
        <v>0</v>
      </c>
      <c r="P258" s="252">
        <v>0</v>
      </c>
      <c r="Q258" s="252">
        <v>317.43</v>
      </c>
      <c r="R258" s="252">
        <v>0</v>
      </c>
      <c r="S258" s="252">
        <v>0</v>
      </c>
      <c r="T258" s="252">
        <v>0</v>
      </c>
      <c r="U258" s="252">
        <v>77.599999999999994</v>
      </c>
      <c r="V258" s="252">
        <v>0</v>
      </c>
      <c r="W258" s="252">
        <v>0</v>
      </c>
      <c r="X258" s="252">
        <v>0</v>
      </c>
      <c r="Y258" s="252">
        <v>339.34280000000001</v>
      </c>
      <c r="Z258" s="252">
        <v>0</v>
      </c>
      <c r="AA258" s="252">
        <v>0</v>
      </c>
      <c r="AB258" s="252">
        <v>138.02719999999999</v>
      </c>
      <c r="AC258" s="252">
        <v>0</v>
      </c>
      <c r="AD258" s="252">
        <v>0</v>
      </c>
      <c r="AE258" s="252" t="s">
        <v>720</v>
      </c>
      <c r="AF258" s="252" t="s">
        <v>721</v>
      </c>
      <c r="AG258" s="252">
        <f t="shared" si="16"/>
        <v>0</v>
      </c>
      <c r="AH258" s="252">
        <f t="shared" si="17"/>
        <v>0</v>
      </c>
      <c r="AI258" s="252">
        <f t="shared" si="18"/>
        <v>0</v>
      </c>
      <c r="AJ258" s="252">
        <f t="shared" si="19"/>
        <v>0</v>
      </c>
    </row>
    <row r="259" spans="1:36" x14ac:dyDescent="0.2">
      <c r="A259" s="253" t="str">
        <f t="shared" si="15"/>
        <v>SNCF107H5230</v>
      </c>
      <c r="B259" s="252" t="s">
        <v>19</v>
      </c>
      <c r="C259" s="252" t="s">
        <v>20</v>
      </c>
      <c r="D259" s="252" t="s">
        <v>2474</v>
      </c>
      <c r="E259" s="252" t="s">
        <v>2475</v>
      </c>
      <c r="F259" s="252" t="s">
        <v>2509</v>
      </c>
      <c r="G259" s="252">
        <v>30</v>
      </c>
      <c r="H259" s="252" t="s">
        <v>928</v>
      </c>
      <c r="I259" s="252" t="s">
        <v>928</v>
      </c>
      <c r="J259" s="252" t="s">
        <v>928</v>
      </c>
      <c r="K259" s="252" t="s">
        <v>3236</v>
      </c>
      <c r="L259" s="252">
        <v>484.12</v>
      </c>
      <c r="M259" s="252">
        <v>0</v>
      </c>
      <c r="N259" s="252">
        <v>0</v>
      </c>
      <c r="O259" s="252">
        <v>0</v>
      </c>
      <c r="P259" s="252">
        <v>0</v>
      </c>
      <c r="Q259" s="252">
        <v>0</v>
      </c>
      <c r="R259" s="252">
        <v>0</v>
      </c>
      <c r="S259" s="252">
        <v>0</v>
      </c>
      <c r="T259" s="252">
        <v>0</v>
      </c>
      <c r="U259" s="252">
        <v>0</v>
      </c>
      <c r="V259" s="252">
        <v>0</v>
      </c>
      <c r="W259" s="252">
        <v>0</v>
      </c>
      <c r="X259" s="252">
        <v>0</v>
      </c>
      <c r="Y259" s="252">
        <v>346.09</v>
      </c>
      <c r="Z259" s="252">
        <v>0</v>
      </c>
      <c r="AA259" s="252">
        <v>0</v>
      </c>
      <c r="AB259" s="252">
        <v>138.03</v>
      </c>
      <c r="AC259" s="252">
        <v>0</v>
      </c>
      <c r="AD259" s="252">
        <v>0</v>
      </c>
      <c r="AE259" s="252" t="s">
        <v>720</v>
      </c>
      <c r="AF259" s="252" t="s">
        <v>721</v>
      </c>
      <c r="AG259" s="252">
        <f t="shared" si="16"/>
        <v>0</v>
      </c>
      <c r="AH259" s="252">
        <f t="shared" si="17"/>
        <v>0</v>
      </c>
      <c r="AI259" s="252">
        <f t="shared" si="18"/>
        <v>0</v>
      </c>
      <c r="AJ259" s="252">
        <f t="shared" si="19"/>
        <v>0</v>
      </c>
    </row>
    <row r="260" spans="1:36" x14ac:dyDescent="0.2">
      <c r="A260" s="253" t="str">
        <f t="shared" ref="A260:A323" si="20">TRIM(I260&amp;B260&amp;C260&amp;D260&amp;F260&amp;G260)</f>
        <v>2SNCF107H5250</v>
      </c>
      <c r="B260" s="252" t="s">
        <v>19</v>
      </c>
      <c r="C260" s="252" t="s">
        <v>20</v>
      </c>
      <c r="D260" s="252" t="s">
        <v>2474</v>
      </c>
      <c r="E260" s="252" t="s">
        <v>2475</v>
      </c>
      <c r="F260" s="252" t="s">
        <v>2509</v>
      </c>
      <c r="G260" s="252">
        <v>50</v>
      </c>
      <c r="H260" s="252" t="s">
        <v>928</v>
      </c>
      <c r="I260" s="252" t="s">
        <v>2477</v>
      </c>
      <c r="J260" s="252" t="s">
        <v>928</v>
      </c>
      <c r="K260" s="252" t="s">
        <v>3236</v>
      </c>
      <c r="L260" s="252">
        <v>519.03</v>
      </c>
      <c r="M260" s="252">
        <v>0</v>
      </c>
      <c r="N260" s="252">
        <v>0</v>
      </c>
      <c r="O260" s="252">
        <v>0</v>
      </c>
      <c r="P260" s="252">
        <v>0</v>
      </c>
      <c r="Q260" s="252">
        <v>0</v>
      </c>
      <c r="R260" s="252">
        <v>0</v>
      </c>
      <c r="S260" s="252">
        <v>0</v>
      </c>
      <c r="T260" s="252">
        <v>0</v>
      </c>
      <c r="U260" s="252">
        <v>0</v>
      </c>
      <c r="V260" s="252">
        <v>0</v>
      </c>
      <c r="W260" s="252">
        <v>0</v>
      </c>
      <c r="X260" s="252">
        <v>0</v>
      </c>
      <c r="Y260" s="252">
        <v>404.5</v>
      </c>
      <c r="Z260" s="252">
        <v>0</v>
      </c>
      <c r="AA260" s="252">
        <v>0</v>
      </c>
      <c r="AB260" s="252">
        <v>114.53</v>
      </c>
      <c r="AC260" s="252">
        <v>0</v>
      </c>
      <c r="AD260" s="252">
        <v>0</v>
      </c>
      <c r="AE260" s="252" t="s">
        <v>720</v>
      </c>
      <c r="AF260" s="252" t="s">
        <v>721</v>
      </c>
      <c r="AG260" s="252">
        <f t="shared" si="16"/>
        <v>0</v>
      </c>
      <c r="AH260" s="252">
        <f t="shared" si="17"/>
        <v>0</v>
      </c>
      <c r="AI260" s="252">
        <f t="shared" si="18"/>
        <v>0</v>
      </c>
      <c r="AJ260" s="252">
        <f t="shared" si="19"/>
        <v>0</v>
      </c>
    </row>
    <row r="261" spans="1:36" x14ac:dyDescent="0.2">
      <c r="A261" s="253" t="str">
        <f t="shared" si="20"/>
        <v>SNCF107H5250</v>
      </c>
      <c r="B261" s="252" t="s">
        <v>19</v>
      </c>
      <c r="C261" s="252" t="s">
        <v>20</v>
      </c>
      <c r="D261" s="252" t="s">
        <v>2474</v>
      </c>
      <c r="E261" s="252" t="s">
        <v>2475</v>
      </c>
      <c r="F261" s="252" t="s">
        <v>2509</v>
      </c>
      <c r="G261" s="252">
        <v>50</v>
      </c>
      <c r="H261" s="252" t="s">
        <v>928</v>
      </c>
      <c r="I261" s="252" t="s">
        <v>928</v>
      </c>
      <c r="J261" s="252" t="s">
        <v>928</v>
      </c>
      <c r="K261" s="252" t="s">
        <v>3236</v>
      </c>
      <c r="L261" s="252">
        <v>519.03</v>
      </c>
      <c r="M261" s="252">
        <v>0</v>
      </c>
      <c r="N261" s="252">
        <v>0</v>
      </c>
      <c r="O261" s="252">
        <v>0</v>
      </c>
      <c r="P261" s="252">
        <v>0</v>
      </c>
      <c r="Q261" s="252">
        <v>0</v>
      </c>
      <c r="R261" s="252">
        <v>0</v>
      </c>
      <c r="S261" s="252">
        <v>0</v>
      </c>
      <c r="T261" s="252">
        <v>0</v>
      </c>
      <c r="U261" s="252">
        <v>0</v>
      </c>
      <c r="V261" s="252">
        <v>0</v>
      </c>
      <c r="W261" s="252">
        <v>0</v>
      </c>
      <c r="X261" s="252">
        <v>0</v>
      </c>
      <c r="Y261" s="252">
        <v>404.5</v>
      </c>
      <c r="Z261" s="252">
        <v>0</v>
      </c>
      <c r="AA261" s="252">
        <v>0</v>
      </c>
      <c r="AB261" s="252">
        <v>114.53</v>
      </c>
      <c r="AC261" s="252">
        <v>0</v>
      </c>
      <c r="AD261" s="252">
        <v>0</v>
      </c>
      <c r="AE261" s="252" t="s">
        <v>720</v>
      </c>
      <c r="AF261" s="252" t="s">
        <v>721</v>
      </c>
      <c r="AG261" s="252">
        <f t="shared" si="16"/>
        <v>0</v>
      </c>
      <c r="AH261" s="252">
        <f t="shared" si="17"/>
        <v>0</v>
      </c>
      <c r="AI261" s="252">
        <f t="shared" si="18"/>
        <v>0</v>
      </c>
      <c r="AJ261" s="252">
        <f t="shared" si="19"/>
        <v>0</v>
      </c>
    </row>
    <row r="262" spans="1:36" x14ac:dyDescent="0.2">
      <c r="A262" s="253" t="str">
        <f t="shared" si="20"/>
        <v>2SNCF107H5275</v>
      </c>
      <c r="B262" s="252" t="s">
        <v>19</v>
      </c>
      <c r="C262" s="252" t="s">
        <v>20</v>
      </c>
      <c r="D262" s="252" t="s">
        <v>2474</v>
      </c>
      <c r="E262" s="252" t="s">
        <v>2475</v>
      </c>
      <c r="F262" s="252" t="s">
        <v>2509</v>
      </c>
      <c r="G262" s="252">
        <v>75</v>
      </c>
      <c r="H262" s="252" t="s">
        <v>928</v>
      </c>
      <c r="I262" s="252" t="s">
        <v>2477</v>
      </c>
      <c r="J262" s="252" t="s">
        <v>928</v>
      </c>
      <c r="K262" s="252" t="s">
        <v>3236</v>
      </c>
      <c r="L262" s="252">
        <v>499.98</v>
      </c>
      <c r="M262" s="252">
        <v>0</v>
      </c>
      <c r="N262" s="252">
        <v>0</v>
      </c>
      <c r="O262" s="252">
        <v>0</v>
      </c>
      <c r="P262" s="252">
        <v>0</v>
      </c>
      <c r="Q262" s="252">
        <v>0</v>
      </c>
      <c r="R262" s="252">
        <v>0</v>
      </c>
      <c r="S262" s="252">
        <v>0</v>
      </c>
      <c r="T262" s="252">
        <v>0</v>
      </c>
      <c r="U262" s="252">
        <v>0</v>
      </c>
      <c r="V262" s="252">
        <v>0</v>
      </c>
      <c r="W262" s="252">
        <v>0</v>
      </c>
      <c r="X262" s="252">
        <v>0</v>
      </c>
      <c r="Y262" s="252">
        <v>365.78</v>
      </c>
      <c r="Z262" s="252">
        <v>0</v>
      </c>
      <c r="AA262" s="252">
        <v>0</v>
      </c>
      <c r="AB262" s="252">
        <v>134.19999999999999</v>
      </c>
      <c r="AC262" s="252">
        <v>0</v>
      </c>
      <c r="AD262" s="252">
        <v>0</v>
      </c>
      <c r="AE262" s="252" t="s">
        <v>720</v>
      </c>
      <c r="AF262" s="252" t="s">
        <v>721</v>
      </c>
      <c r="AG262" s="252">
        <f t="shared" ref="AG262:AG325" si="21">+O262*M262/100</f>
        <v>0</v>
      </c>
      <c r="AH262" s="252">
        <f t="shared" ref="AH262:AH325" si="22">+P262*M262/100</f>
        <v>0</v>
      </c>
      <c r="AI262" s="252">
        <f t="shared" ref="AI262:AI325" si="23">+AB262*M262/100</f>
        <v>0</v>
      </c>
      <c r="AJ262" s="252">
        <f t="shared" ref="AJ262:AJ325" si="24">+AG262+AH262+AI262</f>
        <v>0</v>
      </c>
    </row>
    <row r="263" spans="1:36" x14ac:dyDescent="0.2">
      <c r="A263" s="253" t="str">
        <f t="shared" si="20"/>
        <v>SNCF107H5275</v>
      </c>
      <c r="B263" s="252" t="s">
        <v>19</v>
      </c>
      <c r="C263" s="252" t="s">
        <v>20</v>
      </c>
      <c r="D263" s="252" t="s">
        <v>2474</v>
      </c>
      <c r="E263" s="252" t="s">
        <v>2475</v>
      </c>
      <c r="F263" s="252" t="s">
        <v>2509</v>
      </c>
      <c r="G263" s="252">
        <v>75</v>
      </c>
      <c r="H263" s="252" t="s">
        <v>928</v>
      </c>
      <c r="I263" s="252" t="s">
        <v>928</v>
      </c>
      <c r="J263" s="252" t="s">
        <v>928</v>
      </c>
      <c r="K263" s="252" t="s">
        <v>3236</v>
      </c>
      <c r="L263" s="252">
        <v>499.98</v>
      </c>
      <c r="M263" s="252">
        <v>0</v>
      </c>
      <c r="N263" s="252">
        <v>0</v>
      </c>
      <c r="O263" s="252">
        <v>0</v>
      </c>
      <c r="P263" s="252">
        <v>0</v>
      </c>
      <c r="Q263" s="252">
        <v>0</v>
      </c>
      <c r="R263" s="252">
        <v>0</v>
      </c>
      <c r="S263" s="252">
        <v>0</v>
      </c>
      <c r="T263" s="252">
        <v>0</v>
      </c>
      <c r="U263" s="252">
        <v>0</v>
      </c>
      <c r="V263" s="252">
        <v>0</v>
      </c>
      <c r="W263" s="252">
        <v>0</v>
      </c>
      <c r="X263" s="252">
        <v>0</v>
      </c>
      <c r="Y263" s="252">
        <v>365.78</v>
      </c>
      <c r="Z263" s="252">
        <v>0</v>
      </c>
      <c r="AA263" s="252">
        <v>0</v>
      </c>
      <c r="AB263" s="252">
        <v>134.19999999999999</v>
      </c>
      <c r="AC263" s="252">
        <v>0</v>
      </c>
      <c r="AD263" s="252">
        <v>0</v>
      </c>
      <c r="AE263" s="252" t="s">
        <v>720</v>
      </c>
      <c r="AF263" s="252" t="s">
        <v>721</v>
      </c>
      <c r="AG263" s="252">
        <f t="shared" si="21"/>
        <v>0</v>
      </c>
      <c r="AH263" s="252">
        <f t="shared" si="22"/>
        <v>0</v>
      </c>
      <c r="AI263" s="252">
        <f t="shared" si="23"/>
        <v>0</v>
      </c>
      <c r="AJ263" s="252">
        <f t="shared" si="24"/>
        <v>0</v>
      </c>
    </row>
    <row r="264" spans="1:36" x14ac:dyDescent="0.2">
      <c r="A264" s="253" t="str">
        <f t="shared" si="20"/>
        <v>2SNCF107H52100</v>
      </c>
      <c r="B264" s="252" t="s">
        <v>19</v>
      </c>
      <c r="C264" s="252" t="s">
        <v>20</v>
      </c>
      <c r="D264" s="252" t="s">
        <v>2474</v>
      </c>
      <c r="E264" s="252" t="s">
        <v>2475</v>
      </c>
      <c r="F264" s="252" t="s">
        <v>2509</v>
      </c>
      <c r="G264" s="252">
        <v>100</v>
      </c>
      <c r="H264" s="252" t="s">
        <v>928</v>
      </c>
      <c r="I264" s="252" t="s">
        <v>2477</v>
      </c>
      <c r="J264" s="252" t="s">
        <v>928</v>
      </c>
      <c r="K264" s="252" t="s">
        <v>3236</v>
      </c>
      <c r="L264" s="252">
        <v>509.27</v>
      </c>
      <c r="M264" s="252">
        <v>0</v>
      </c>
      <c r="N264" s="252">
        <v>0</v>
      </c>
      <c r="O264" s="252">
        <v>0</v>
      </c>
      <c r="P264" s="252">
        <v>0</v>
      </c>
      <c r="Q264" s="252">
        <v>0</v>
      </c>
      <c r="R264" s="252">
        <v>0</v>
      </c>
      <c r="S264" s="252">
        <v>0</v>
      </c>
      <c r="T264" s="252">
        <v>0</v>
      </c>
      <c r="U264" s="252">
        <v>0</v>
      </c>
      <c r="V264" s="252">
        <v>0</v>
      </c>
      <c r="W264" s="252">
        <v>0</v>
      </c>
      <c r="X264" s="252">
        <v>0</v>
      </c>
      <c r="Y264" s="252">
        <v>367.56</v>
      </c>
      <c r="Z264" s="252">
        <v>0</v>
      </c>
      <c r="AA264" s="252">
        <v>0</v>
      </c>
      <c r="AB264" s="252">
        <v>141.71</v>
      </c>
      <c r="AC264" s="252">
        <v>0</v>
      </c>
      <c r="AD264" s="252">
        <v>0</v>
      </c>
      <c r="AE264" s="252" t="s">
        <v>720</v>
      </c>
      <c r="AF264" s="252" t="s">
        <v>721</v>
      </c>
      <c r="AG264" s="252">
        <f t="shared" si="21"/>
        <v>0</v>
      </c>
      <c r="AH264" s="252">
        <f t="shared" si="22"/>
        <v>0</v>
      </c>
      <c r="AI264" s="252">
        <f t="shared" si="23"/>
        <v>0</v>
      </c>
      <c r="AJ264" s="252">
        <f t="shared" si="24"/>
        <v>0</v>
      </c>
    </row>
    <row r="265" spans="1:36" x14ac:dyDescent="0.2">
      <c r="A265" s="253" t="str">
        <f t="shared" si="20"/>
        <v>8SNCF107H52100</v>
      </c>
      <c r="B265" s="252" t="s">
        <v>19</v>
      </c>
      <c r="C265" s="252" t="s">
        <v>20</v>
      </c>
      <c r="D265" s="252" t="s">
        <v>2474</v>
      </c>
      <c r="E265" s="252" t="s">
        <v>2475</v>
      </c>
      <c r="F265" s="252" t="s">
        <v>2509</v>
      </c>
      <c r="G265" s="252">
        <v>100</v>
      </c>
      <c r="H265" s="252" t="s">
        <v>928</v>
      </c>
      <c r="I265" s="252" t="s">
        <v>2487</v>
      </c>
      <c r="J265" s="252" t="s">
        <v>928</v>
      </c>
      <c r="K265" s="252" t="s">
        <v>3236</v>
      </c>
      <c r="L265" s="252">
        <v>758.35</v>
      </c>
      <c r="M265" s="252">
        <v>0</v>
      </c>
      <c r="N265" s="252">
        <v>0</v>
      </c>
      <c r="O265" s="252">
        <v>0</v>
      </c>
      <c r="P265" s="252">
        <v>0</v>
      </c>
      <c r="Q265" s="252">
        <v>194.71</v>
      </c>
      <c r="R265" s="252">
        <v>0</v>
      </c>
      <c r="S265" s="252">
        <v>0</v>
      </c>
      <c r="T265" s="252">
        <v>0</v>
      </c>
      <c r="U265" s="252">
        <v>54.37</v>
      </c>
      <c r="V265" s="252">
        <v>0</v>
      </c>
      <c r="W265" s="252">
        <v>0</v>
      </c>
      <c r="X265" s="252">
        <v>0</v>
      </c>
      <c r="Y265" s="252">
        <v>367.56049999999999</v>
      </c>
      <c r="Z265" s="252">
        <v>0</v>
      </c>
      <c r="AA265" s="252">
        <v>0</v>
      </c>
      <c r="AB265" s="252">
        <v>141.70949999999999</v>
      </c>
      <c r="AC265" s="252">
        <v>0</v>
      </c>
      <c r="AD265" s="252">
        <v>0</v>
      </c>
      <c r="AE265" s="252" t="s">
        <v>720</v>
      </c>
      <c r="AF265" s="252" t="s">
        <v>721</v>
      </c>
      <c r="AG265" s="252">
        <f t="shared" si="21"/>
        <v>0</v>
      </c>
      <c r="AH265" s="252">
        <f t="shared" si="22"/>
        <v>0</v>
      </c>
      <c r="AI265" s="252">
        <f t="shared" si="23"/>
        <v>0</v>
      </c>
      <c r="AJ265" s="252">
        <f t="shared" si="24"/>
        <v>0</v>
      </c>
    </row>
    <row r="266" spans="1:36" x14ac:dyDescent="0.2">
      <c r="A266" s="253" t="str">
        <f t="shared" si="20"/>
        <v>SNCF107H52100</v>
      </c>
      <c r="B266" s="252" t="s">
        <v>19</v>
      </c>
      <c r="C266" s="252" t="s">
        <v>20</v>
      </c>
      <c r="D266" s="252" t="s">
        <v>2474</v>
      </c>
      <c r="E266" s="252" t="s">
        <v>2475</v>
      </c>
      <c r="F266" s="252" t="s">
        <v>2509</v>
      </c>
      <c r="G266" s="252">
        <v>100</v>
      </c>
      <c r="H266" s="252" t="s">
        <v>928</v>
      </c>
      <c r="I266" s="252" t="s">
        <v>928</v>
      </c>
      <c r="J266" s="252" t="s">
        <v>928</v>
      </c>
      <c r="K266" s="252" t="s">
        <v>3236</v>
      </c>
      <c r="L266" s="252">
        <v>509.27</v>
      </c>
      <c r="M266" s="252">
        <v>0</v>
      </c>
      <c r="N266" s="252">
        <v>0</v>
      </c>
      <c r="O266" s="252">
        <v>0</v>
      </c>
      <c r="P266" s="252">
        <v>0</v>
      </c>
      <c r="Q266" s="252">
        <v>0</v>
      </c>
      <c r="R266" s="252">
        <v>0</v>
      </c>
      <c r="S266" s="252">
        <v>0</v>
      </c>
      <c r="T266" s="252">
        <v>0</v>
      </c>
      <c r="U266" s="252">
        <v>0</v>
      </c>
      <c r="V266" s="252">
        <v>0</v>
      </c>
      <c r="W266" s="252">
        <v>0</v>
      </c>
      <c r="X266" s="252">
        <v>0</v>
      </c>
      <c r="Y266" s="252">
        <v>367.56</v>
      </c>
      <c r="Z266" s="252">
        <v>0</v>
      </c>
      <c r="AA266" s="252">
        <v>0</v>
      </c>
      <c r="AB266" s="252">
        <v>141.71</v>
      </c>
      <c r="AC266" s="252">
        <v>0</v>
      </c>
      <c r="AD266" s="252">
        <v>0</v>
      </c>
      <c r="AE266" s="252" t="s">
        <v>720</v>
      </c>
      <c r="AF266" s="252" t="s">
        <v>721</v>
      </c>
      <c r="AG266" s="252">
        <f t="shared" si="21"/>
        <v>0</v>
      </c>
      <c r="AH266" s="252">
        <f t="shared" si="22"/>
        <v>0</v>
      </c>
      <c r="AI266" s="252">
        <f t="shared" si="23"/>
        <v>0</v>
      </c>
      <c r="AJ266" s="252">
        <f t="shared" si="24"/>
        <v>0</v>
      </c>
    </row>
    <row r="267" spans="1:36" x14ac:dyDescent="0.2">
      <c r="A267" s="253" t="str">
        <f t="shared" si="20"/>
        <v>2SNCF107H52D30</v>
      </c>
      <c r="B267" s="252" t="s">
        <v>19</v>
      </c>
      <c r="C267" s="252" t="s">
        <v>20</v>
      </c>
      <c r="D267" s="252" t="s">
        <v>2474</v>
      </c>
      <c r="E267" s="252" t="s">
        <v>2475</v>
      </c>
      <c r="F267" s="252" t="s">
        <v>2510</v>
      </c>
      <c r="G267" s="252">
        <v>30</v>
      </c>
      <c r="H267" s="252" t="s">
        <v>928</v>
      </c>
      <c r="I267" s="252" t="s">
        <v>2477</v>
      </c>
      <c r="J267" s="252" t="s">
        <v>928</v>
      </c>
      <c r="K267" s="252" t="s">
        <v>3236</v>
      </c>
      <c r="L267" s="252">
        <v>487.25</v>
      </c>
      <c r="M267" s="252">
        <v>0</v>
      </c>
      <c r="N267" s="252">
        <v>0</v>
      </c>
      <c r="O267" s="252">
        <v>0</v>
      </c>
      <c r="P267" s="252">
        <v>0</v>
      </c>
      <c r="Q267" s="252">
        <v>0</v>
      </c>
      <c r="R267" s="252">
        <v>0</v>
      </c>
      <c r="S267" s="252">
        <v>0</v>
      </c>
      <c r="T267" s="252">
        <v>0</v>
      </c>
      <c r="U267" s="252">
        <v>0</v>
      </c>
      <c r="V267" s="252">
        <v>0</v>
      </c>
      <c r="W267" s="252">
        <v>0</v>
      </c>
      <c r="X267" s="252">
        <v>0</v>
      </c>
      <c r="Y267" s="252">
        <v>357.36</v>
      </c>
      <c r="Z267" s="252">
        <v>0</v>
      </c>
      <c r="AA267" s="252">
        <v>0</v>
      </c>
      <c r="AB267" s="252">
        <v>129.88999999999999</v>
      </c>
      <c r="AC267" s="252">
        <v>0</v>
      </c>
      <c r="AD267" s="252">
        <v>0</v>
      </c>
      <c r="AE267" s="252" t="s">
        <v>720</v>
      </c>
      <c r="AF267" s="252" t="s">
        <v>721</v>
      </c>
      <c r="AG267" s="252">
        <f t="shared" si="21"/>
        <v>0</v>
      </c>
      <c r="AH267" s="252">
        <f t="shared" si="22"/>
        <v>0</v>
      </c>
      <c r="AI267" s="252">
        <f t="shared" si="23"/>
        <v>0</v>
      </c>
      <c r="AJ267" s="252">
        <f t="shared" si="24"/>
        <v>0</v>
      </c>
    </row>
    <row r="268" spans="1:36" x14ac:dyDescent="0.2">
      <c r="A268" s="253" t="str">
        <f t="shared" si="20"/>
        <v>SNCF107H52D30</v>
      </c>
      <c r="B268" s="252" t="s">
        <v>19</v>
      </c>
      <c r="C268" s="252" t="s">
        <v>20</v>
      </c>
      <c r="D268" s="252" t="s">
        <v>2474</v>
      </c>
      <c r="E268" s="252" t="s">
        <v>2475</v>
      </c>
      <c r="F268" s="252" t="s">
        <v>2510</v>
      </c>
      <c r="G268" s="252">
        <v>30</v>
      </c>
      <c r="H268" s="252" t="s">
        <v>928</v>
      </c>
      <c r="I268" s="252" t="s">
        <v>928</v>
      </c>
      <c r="J268" s="252" t="s">
        <v>928</v>
      </c>
      <c r="K268" s="252" t="s">
        <v>3236</v>
      </c>
      <c r="L268" s="252">
        <v>487.25</v>
      </c>
      <c r="M268" s="252">
        <v>0</v>
      </c>
      <c r="N268" s="252">
        <v>0</v>
      </c>
      <c r="O268" s="252">
        <v>0</v>
      </c>
      <c r="P268" s="252">
        <v>0</v>
      </c>
      <c r="Q268" s="252">
        <v>0</v>
      </c>
      <c r="R268" s="252">
        <v>0</v>
      </c>
      <c r="S268" s="252">
        <v>0</v>
      </c>
      <c r="T268" s="252">
        <v>0</v>
      </c>
      <c r="U268" s="252">
        <v>0</v>
      </c>
      <c r="V268" s="252">
        <v>0</v>
      </c>
      <c r="W268" s="252">
        <v>0</v>
      </c>
      <c r="X268" s="252">
        <v>0</v>
      </c>
      <c r="Y268" s="252">
        <v>357.36</v>
      </c>
      <c r="Z268" s="252">
        <v>0</v>
      </c>
      <c r="AA268" s="252">
        <v>0</v>
      </c>
      <c r="AB268" s="252">
        <v>129.88999999999999</v>
      </c>
      <c r="AC268" s="252">
        <v>0</v>
      </c>
      <c r="AD268" s="252">
        <v>0</v>
      </c>
      <c r="AE268" s="252" t="s">
        <v>720</v>
      </c>
      <c r="AF268" s="252" t="s">
        <v>721</v>
      </c>
      <c r="AG268" s="252">
        <f t="shared" si="21"/>
        <v>0</v>
      </c>
      <c r="AH268" s="252">
        <f t="shared" si="22"/>
        <v>0</v>
      </c>
      <c r="AI268" s="252">
        <f t="shared" si="23"/>
        <v>0</v>
      </c>
      <c r="AJ268" s="252">
        <f t="shared" si="24"/>
        <v>0</v>
      </c>
    </row>
    <row r="269" spans="1:36" x14ac:dyDescent="0.2">
      <c r="A269" s="253" t="str">
        <f t="shared" si="20"/>
        <v>2SNCF107H56G30</v>
      </c>
      <c r="B269" s="252" t="s">
        <v>19</v>
      </c>
      <c r="C269" s="252" t="s">
        <v>20</v>
      </c>
      <c r="D269" s="252" t="s">
        <v>2474</v>
      </c>
      <c r="E269" s="252" t="s">
        <v>2475</v>
      </c>
      <c r="F269" s="252" t="s">
        <v>2511</v>
      </c>
      <c r="G269" s="252">
        <v>30</v>
      </c>
      <c r="H269" s="252" t="s">
        <v>928</v>
      </c>
      <c r="I269" s="252" t="s">
        <v>2477</v>
      </c>
      <c r="J269" s="252" t="s">
        <v>928</v>
      </c>
      <c r="K269" s="252" t="s">
        <v>3236</v>
      </c>
      <c r="L269" s="252">
        <v>594</v>
      </c>
      <c r="M269" s="252">
        <v>0</v>
      </c>
      <c r="N269" s="252">
        <v>0</v>
      </c>
      <c r="O269" s="252">
        <v>0</v>
      </c>
      <c r="P269" s="252">
        <v>0</v>
      </c>
      <c r="Q269" s="252">
        <v>0</v>
      </c>
      <c r="R269" s="252">
        <v>0</v>
      </c>
      <c r="S269" s="252">
        <v>0</v>
      </c>
      <c r="T269" s="252">
        <v>0</v>
      </c>
      <c r="U269" s="252">
        <v>0</v>
      </c>
      <c r="V269" s="252">
        <v>0</v>
      </c>
      <c r="W269" s="252">
        <v>0</v>
      </c>
      <c r="X269" s="252">
        <v>0</v>
      </c>
      <c r="Y269" s="252">
        <v>418.48</v>
      </c>
      <c r="Z269" s="252">
        <v>0</v>
      </c>
      <c r="AA269" s="252">
        <v>0</v>
      </c>
      <c r="AB269" s="252">
        <v>175.52</v>
      </c>
      <c r="AC269" s="252">
        <v>0</v>
      </c>
      <c r="AD269" s="252">
        <v>0</v>
      </c>
      <c r="AE269" s="252" t="s">
        <v>720</v>
      </c>
      <c r="AF269" s="252" t="s">
        <v>721</v>
      </c>
      <c r="AG269" s="252">
        <f t="shared" si="21"/>
        <v>0</v>
      </c>
      <c r="AH269" s="252">
        <f t="shared" si="22"/>
        <v>0</v>
      </c>
      <c r="AI269" s="252">
        <f t="shared" si="23"/>
        <v>0</v>
      </c>
      <c r="AJ269" s="252">
        <f t="shared" si="24"/>
        <v>0</v>
      </c>
    </row>
    <row r="270" spans="1:36" x14ac:dyDescent="0.2">
      <c r="A270" s="253" t="str">
        <f t="shared" si="20"/>
        <v>SNCF107H56G30</v>
      </c>
      <c r="B270" s="252" t="s">
        <v>19</v>
      </c>
      <c r="C270" s="252" t="s">
        <v>20</v>
      </c>
      <c r="D270" s="252" t="s">
        <v>2474</v>
      </c>
      <c r="E270" s="252" t="s">
        <v>2475</v>
      </c>
      <c r="F270" s="252" t="s">
        <v>2511</v>
      </c>
      <c r="G270" s="252">
        <v>30</v>
      </c>
      <c r="H270" s="252" t="s">
        <v>928</v>
      </c>
      <c r="I270" s="252" t="s">
        <v>928</v>
      </c>
      <c r="J270" s="252" t="s">
        <v>928</v>
      </c>
      <c r="K270" s="252" t="s">
        <v>3236</v>
      </c>
      <c r="L270" s="252">
        <v>594</v>
      </c>
      <c r="M270" s="252">
        <v>0</v>
      </c>
      <c r="N270" s="252">
        <v>0</v>
      </c>
      <c r="O270" s="252">
        <v>0</v>
      </c>
      <c r="P270" s="252">
        <v>0</v>
      </c>
      <c r="Q270" s="252">
        <v>0</v>
      </c>
      <c r="R270" s="252">
        <v>0</v>
      </c>
      <c r="S270" s="252">
        <v>0</v>
      </c>
      <c r="T270" s="252">
        <v>0</v>
      </c>
      <c r="U270" s="252">
        <v>0</v>
      </c>
      <c r="V270" s="252">
        <v>0</v>
      </c>
      <c r="W270" s="252">
        <v>0</v>
      </c>
      <c r="X270" s="252">
        <v>0</v>
      </c>
      <c r="Y270" s="252">
        <v>418.48</v>
      </c>
      <c r="Z270" s="252">
        <v>0</v>
      </c>
      <c r="AA270" s="252">
        <v>0</v>
      </c>
      <c r="AB270" s="252">
        <v>175.52</v>
      </c>
      <c r="AC270" s="252">
        <v>0</v>
      </c>
      <c r="AD270" s="252">
        <v>0</v>
      </c>
      <c r="AE270" s="252" t="s">
        <v>720</v>
      </c>
      <c r="AF270" s="252" t="s">
        <v>721</v>
      </c>
      <c r="AG270" s="252">
        <f t="shared" si="21"/>
        <v>0</v>
      </c>
      <c r="AH270" s="252">
        <f t="shared" si="22"/>
        <v>0</v>
      </c>
      <c r="AI270" s="252">
        <f t="shared" si="23"/>
        <v>0</v>
      </c>
      <c r="AJ270" s="252">
        <f t="shared" si="24"/>
        <v>0</v>
      </c>
    </row>
    <row r="271" spans="1:36" x14ac:dyDescent="0.2">
      <c r="A271" s="253" t="str">
        <f t="shared" si="20"/>
        <v>2SNCF107H56G50</v>
      </c>
      <c r="B271" s="252" t="s">
        <v>19</v>
      </c>
      <c r="C271" s="252" t="s">
        <v>20</v>
      </c>
      <c r="D271" s="252" t="s">
        <v>2474</v>
      </c>
      <c r="E271" s="252" t="s">
        <v>2475</v>
      </c>
      <c r="F271" s="252" t="s">
        <v>2511</v>
      </c>
      <c r="G271" s="252">
        <v>50</v>
      </c>
      <c r="H271" s="252" t="s">
        <v>928</v>
      </c>
      <c r="I271" s="252" t="s">
        <v>2477</v>
      </c>
      <c r="J271" s="252" t="s">
        <v>928</v>
      </c>
      <c r="K271" s="252" t="s">
        <v>3236</v>
      </c>
      <c r="L271" s="252">
        <v>683.56</v>
      </c>
      <c r="M271" s="252">
        <v>0</v>
      </c>
      <c r="N271" s="252">
        <v>0</v>
      </c>
      <c r="O271" s="252">
        <v>0</v>
      </c>
      <c r="P271" s="252">
        <v>0</v>
      </c>
      <c r="Q271" s="252">
        <v>0</v>
      </c>
      <c r="R271" s="252">
        <v>0</v>
      </c>
      <c r="S271" s="252">
        <v>0</v>
      </c>
      <c r="T271" s="252">
        <v>0</v>
      </c>
      <c r="U271" s="252">
        <v>0</v>
      </c>
      <c r="V271" s="252">
        <v>0</v>
      </c>
      <c r="W271" s="252">
        <v>0</v>
      </c>
      <c r="X271" s="252">
        <v>0</v>
      </c>
      <c r="Y271" s="252">
        <v>493.98</v>
      </c>
      <c r="Z271" s="252">
        <v>0</v>
      </c>
      <c r="AA271" s="252">
        <v>0</v>
      </c>
      <c r="AB271" s="252">
        <v>189.57</v>
      </c>
      <c r="AC271" s="252">
        <v>0</v>
      </c>
      <c r="AD271" s="252">
        <v>0</v>
      </c>
      <c r="AE271" s="252" t="s">
        <v>720</v>
      </c>
      <c r="AF271" s="252" t="s">
        <v>721</v>
      </c>
      <c r="AG271" s="252">
        <f t="shared" si="21"/>
        <v>0</v>
      </c>
      <c r="AH271" s="252">
        <f t="shared" si="22"/>
        <v>0</v>
      </c>
      <c r="AI271" s="252">
        <f t="shared" si="23"/>
        <v>0</v>
      </c>
      <c r="AJ271" s="252">
        <f t="shared" si="24"/>
        <v>0</v>
      </c>
    </row>
    <row r="272" spans="1:36" x14ac:dyDescent="0.2">
      <c r="A272" s="253" t="str">
        <f t="shared" si="20"/>
        <v>SNCF107H56G50</v>
      </c>
      <c r="B272" s="252" t="s">
        <v>19</v>
      </c>
      <c r="C272" s="252" t="s">
        <v>20</v>
      </c>
      <c r="D272" s="252" t="s">
        <v>2474</v>
      </c>
      <c r="E272" s="252" t="s">
        <v>2475</v>
      </c>
      <c r="F272" s="252" t="s">
        <v>2511</v>
      </c>
      <c r="G272" s="252">
        <v>50</v>
      </c>
      <c r="H272" s="252" t="s">
        <v>928</v>
      </c>
      <c r="I272" s="252" t="s">
        <v>928</v>
      </c>
      <c r="J272" s="252" t="s">
        <v>928</v>
      </c>
      <c r="K272" s="252" t="s">
        <v>3236</v>
      </c>
      <c r="L272" s="252">
        <v>683.56</v>
      </c>
      <c r="M272" s="252">
        <v>0</v>
      </c>
      <c r="N272" s="252">
        <v>0</v>
      </c>
      <c r="O272" s="252">
        <v>0</v>
      </c>
      <c r="P272" s="252">
        <v>0</v>
      </c>
      <c r="Q272" s="252">
        <v>0</v>
      </c>
      <c r="R272" s="252">
        <v>0</v>
      </c>
      <c r="S272" s="252">
        <v>0</v>
      </c>
      <c r="T272" s="252">
        <v>0</v>
      </c>
      <c r="U272" s="252">
        <v>0</v>
      </c>
      <c r="V272" s="252">
        <v>0</v>
      </c>
      <c r="W272" s="252">
        <v>0</v>
      </c>
      <c r="X272" s="252">
        <v>0</v>
      </c>
      <c r="Y272" s="252">
        <v>493.98</v>
      </c>
      <c r="Z272" s="252">
        <v>0</v>
      </c>
      <c r="AA272" s="252">
        <v>0</v>
      </c>
      <c r="AB272" s="252">
        <v>189.57</v>
      </c>
      <c r="AC272" s="252">
        <v>0</v>
      </c>
      <c r="AD272" s="252">
        <v>0</v>
      </c>
      <c r="AE272" s="252" t="s">
        <v>720</v>
      </c>
      <c r="AF272" s="252" t="s">
        <v>721</v>
      </c>
      <c r="AG272" s="252">
        <f t="shared" si="21"/>
        <v>0</v>
      </c>
      <c r="AH272" s="252">
        <f t="shared" si="22"/>
        <v>0</v>
      </c>
      <c r="AI272" s="252">
        <f t="shared" si="23"/>
        <v>0</v>
      </c>
      <c r="AJ272" s="252">
        <f t="shared" si="24"/>
        <v>0</v>
      </c>
    </row>
    <row r="273" spans="1:36" x14ac:dyDescent="0.2">
      <c r="A273" s="253" t="str">
        <f t="shared" si="20"/>
        <v>2SNCF10A52130</v>
      </c>
      <c r="B273" s="252" t="s">
        <v>19</v>
      </c>
      <c r="C273" s="252" t="s">
        <v>20</v>
      </c>
      <c r="D273" s="252" t="s">
        <v>2474</v>
      </c>
      <c r="E273" s="252" t="s">
        <v>2475</v>
      </c>
      <c r="F273" s="252" t="s">
        <v>2512</v>
      </c>
      <c r="G273" s="252">
        <v>30</v>
      </c>
      <c r="H273" s="252" t="s">
        <v>928</v>
      </c>
      <c r="I273" s="252" t="s">
        <v>2477</v>
      </c>
      <c r="J273" s="252" t="s">
        <v>928</v>
      </c>
      <c r="K273" s="252" t="s">
        <v>3236</v>
      </c>
      <c r="L273" s="252">
        <v>892.94</v>
      </c>
      <c r="M273" s="252">
        <v>0</v>
      </c>
      <c r="N273" s="252">
        <v>0</v>
      </c>
      <c r="O273" s="252">
        <v>0</v>
      </c>
      <c r="P273" s="252">
        <v>0</v>
      </c>
      <c r="Q273" s="252">
        <v>0</v>
      </c>
      <c r="R273" s="252">
        <v>0</v>
      </c>
      <c r="S273" s="252">
        <v>0</v>
      </c>
      <c r="T273" s="252">
        <v>0</v>
      </c>
      <c r="U273" s="252">
        <v>0</v>
      </c>
      <c r="V273" s="252">
        <v>0</v>
      </c>
      <c r="W273" s="252">
        <v>0</v>
      </c>
      <c r="X273" s="252">
        <v>0</v>
      </c>
      <c r="Y273" s="252">
        <v>549.05999999999995</v>
      </c>
      <c r="Z273" s="252">
        <v>0</v>
      </c>
      <c r="AA273" s="252">
        <v>0</v>
      </c>
      <c r="AB273" s="252">
        <v>343.88</v>
      </c>
      <c r="AC273" s="252">
        <v>0</v>
      </c>
      <c r="AD273" s="252">
        <v>0</v>
      </c>
      <c r="AE273" s="252" t="s">
        <v>720</v>
      </c>
      <c r="AF273" s="252" t="s">
        <v>721</v>
      </c>
      <c r="AG273" s="252">
        <f t="shared" si="21"/>
        <v>0</v>
      </c>
      <c r="AH273" s="252">
        <f t="shared" si="22"/>
        <v>0</v>
      </c>
      <c r="AI273" s="252">
        <f t="shared" si="23"/>
        <v>0</v>
      </c>
      <c r="AJ273" s="252">
        <f t="shared" si="24"/>
        <v>0</v>
      </c>
    </row>
    <row r="274" spans="1:36" x14ac:dyDescent="0.2">
      <c r="A274" s="253" t="str">
        <f t="shared" si="20"/>
        <v>SNCF10A52130</v>
      </c>
      <c r="B274" s="252" t="s">
        <v>19</v>
      </c>
      <c r="C274" s="252" t="s">
        <v>20</v>
      </c>
      <c r="D274" s="252" t="s">
        <v>2474</v>
      </c>
      <c r="E274" s="252" t="s">
        <v>2475</v>
      </c>
      <c r="F274" s="252" t="s">
        <v>2512</v>
      </c>
      <c r="G274" s="252">
        <v>30</v>
      </c>
      <c r="H274" s="252" t="s">
        <v>928</v>
      </c>
      <c r="I274" s="252" t="s">
        <v>928</v>
      </c>
      <c r="J274" s="252" t="s">
        <v>928</v>
      </c>
      <c r="K274" s="252" t="s">
        <v>3236</v>
      </c>
      <c r="L274" s="252">
        <v>892.94</v>
      </c>
      <c r="M274" s="252">
        <v>0</v>
      </c>
      <c r="N274" s="252">
        <v>0</v>
      </c>
      <c r="O274" s="252">
        <v>0</v>
      </c>
      <c r="P274" s="252">
        <v>0</v>
      </c>
      <c r="Q274" s="252">
        <v>0</v>
      </c>
      <c r="R274" s="252">
        <v>0</v>
      </c>
      <c r="S274" s="252">
        <v>0</v>
      </c>
      <c r="T274" s="252">
        <v>0</v>
      </c>
      <c r="U274" s="252">
        <v>0</v>
      </c>
      <c r="V274" s="252">
        <v>0</v>
      </c>
      <c r="W274" s="252">
        <v>0</v>
      </c>
      <c r="X274" s="252">
        <v>0</v>
      </c>
      <c r="Y274" s="252">
        <v>549.05999999999995</v>
      </c>
      <c r="Z274" s="252">
        <v>0</v>
      </c>
      <c r="AA274" s="252">
        <v>0</v>
      </c>
      <c r="AB274" s="252">
        <v>343.88</v>
      </c>
      <c r="AC274" s="252">
        <v>0</v>
      </c>
      <c r="AD274" s="252">
        <v>0</v>
      </c>
      <c r="AE274" s="252" t="s">
        <v>720</v>
      </c>
      <c r="AF274" s="252" t="s">
        <v>721</v>
      </c>
      <c r="AG274" s="252">
        <f t="shared" si="21"/>
        <v>0</v>
      </c>
      <c r="AH274" s="252">
        <f t="shared" si="22"/>
        <v>0</v>
      </c>
      <c r="AI274" s="252">
        <f t="shared" si="23"/>
        <v>0</v>
      </c>
      <c r="AJ274" s="252">
        <f t="shared" si="24"/>
        <v>0</v>
      </c>
    </row>
    <row r="275" spans="1:36" x14ac:dyDescent="0.2">
      <c r="A275" s="253" t="str">
        <f t="shared" si="20"/>
        <v>2SNCF10A521U25</v>
      </c>
      <c r="B275" s="252" t="s">
        <v>19</v>
      </c>
      <c r="C275" s="252" t="s">
        <v>20</v>
      </c>
      <c r="D275" s="252" t="s">
        <v>2474</v>
      </c>
      <c r="E275" s="252" t="s">
        <v>2475</v>
      </c>
      <c r="F275" s="252" t="s">
        <v>2667</v>
      </c>
      <c r="G275" s="252">
        <v>25</v>
      </c>
      <c r="H275" s="252" t="s">
        <v>928</v>
      </c>
      <c r="I275" s="252" t="s">
        <v>2477</v>
      </c>
      <c r="J275" s="252" t="s">
        <v>928</v>
      </c>
      <c r="K275" s="252" t="s">
        <v>3236</v>
      </c>
      <c r="L275" s="252">
        <v>1043.0999999999999</v>
      </c>
      <c r="M275" s="252">
        <v>0</v>
      </c>
      <c r="N275" s="252">
        <v>0</v>
      </c>
      <c r="O275" s="252">
        <v>0</v>
      </c>
      <c r="P275" s="252">
        <v>0</v>
      </c>
      <c r="Q275" s="252">
        <v>0</v>
      </c>
      <c r="R275" s="252">
        <v>0</v>
      </c>
      <c r="S275" s="252">
        <v>0</v>
      </c>
      <c r="T275" s="252">
        <v>0</v>
      </c>
      <c r="U275" s="252">
        <v>0</v>
      </c>
      <c r="V275" s="252">
        <v>0</v>
      </c>
      <c r="W275" s="252">
        <v>0</v>
      </c>
      <c r="X275" s="252">
        <v>0</v>
      </c>
      <c r="Y275" s="252">
        <v>619.64</v>
      </c>
      <c r="Z275" s="252">
        <v>0</v>
      </c>
      <c r="AA275" s="252">
        <v>0</v>
      </c>
      <c r="AB275" s="252">
        <v>423.47</v>
      </c>
      <c r="AC275" s="252">
        <v>0</v>
      </c>
      <c r="AD275" s="252">
        <v>0</v>
      </c>
      <c r="AE275" s="252" t="s">
        <v>720</v>
      </c>
      <c r="AF275" s="252" t="s">
        <v>721</v>
      </c>
      <c r="AG275" s="252">
        <f t="shared" si="21"/>
        <v>0</v>
      </c>
      <c r="AH275" s="252">
        <f t="shared" si="22"/>
        <v>0</v>
      </c>
      <c r="AI275" s="252">
        <f t="shared" si="23"/>
        <v>0</v>
      </c>
      <c r="AJ275" s="252">
        <f t="shared" si="24"/>
        <v>0</v>
      </c>
    </row>
    <row r="276" spans="1:36" x14ac:dyDescent="0.2">
      <c r="A276" s="253" t="str">
        <f t="shared" si="20"/>
        <v>SNCF10A521U25</v>
      </c>
      <c r="B276" s="252" t="s">
        <v>19</v>
      </c>
      <c r="C276" s="252" t="s">
        <v>20</v>
      </c>
      <c r="D276" s="252" t="s">
        <v>2474</v>
      </c>
      <c r="E276" s="252" t="s">
        <v>2475</v>
      </c>
      <c r="F276" s="252" t="s">
        <v>2667</v>
      </c>
      <c r="G276" s="252">
        <v>25</v>
      </c>
      <c r="H276" s="252" t="s">
        <v>928</v>
      </c>
      <c r="I276" s="252" t="s">
        <v>928</v>
      </c>
      <c r="J276" s="252" t="s">
        <v>928</v>
      </c>
      <c r="K276" s="252" t="s">
        <v>3236</v>
      </c>
      <c r="L276" s="252">
        <v>1043.0999999999999</v>
      </c>
      <c r="M276" s="252">
        <v>0</v>
      </c>
      <c r="N276" s="252">
        <v>0</v>
      </c>
      <c r="O276" s="252">
        <v>0</v>
      </c>
      <c r="P276" s="252">
        <v>0</v>
      </c>
      <c r="Q276" s="252">
        <v>0</v>
      </c>
      <c r="R276" s="252">
        <v>0</v>
      </c>
      <c r="S276" s="252">
        <v>0</v>
      </c>
      <c r="T276" s="252">
        <v>0</v>
      </c>
      <c r="U276" s="252">
        <v>0</v>
      </c>
      <c r="V276" s="252">
        <v>0</v>
      </c>
      <c r="W276" s="252">
        <v>0</v>
      </c>
      <c r="X276" s="252">
        <v>0</v>
      </c>
      <c r="Y276" s="252">
        <v>619.64</v>
      </c>
      <c r="Z276" s="252">
        <v>0</v>
      </c>
      <c r="AA276" s="252">
        <v>0</v>
      </c>
      <c r="AB276" s="252">
        <v>423.47</v>
      </c>
      <c r="AC276" s="252">
        <v>0</v>
      </c>
      <c r="AD276" s="252">
        <v>0</v>
      </c>
      <c r="AE276" s="252" t="s">
        <v>720</v>
      </c>
      <c r="AF276" s="252" t="s">
        <v>721</v>
      </c>
      <c r="AG276" s="252">
        <f t="shared" si="21"/>
        <v>0</v>
      </c>
      <c r="AH276" s="252">
        <f t="shared" si="22"/>
        <v>0</v>
      </c>
      <c r="AI276" s="252">
        <f t="shared" si="23"/>
        <v>0</v>
      </c>
      <c r="AJ276" s="252">
        <f t="shared" si="24"/>
        <v>0</v>
      </c>
    </row>
    <row r="277" spans="1:36" x14ac:dyDescent="0.2">
      <c r="A277" s="253" t="str">
        <f t="shared" si="20"/>
        <v>2SNCF10CF47040</v>
      </c>
      <c r="B277" s="252" t="s">
        <v>19</v>
      </c>
      <c r="C277" s="252" t="s">
        <v>20</v>
      </c>
      <c r="D277" s="252" t="s">
        <v>2474</v>
      </c>
      <c r="E277" s="252" t="s">
        <v>2475</v>
      </c>
      <c r="F277" s="252" t="s">
        <v>2513</v>
      </c>
      <c r="G277" s="252">
        <v>40</v>
      </c>
      <c r="H277" s="252" t="s">
        <v>928</v>
      </c>
      <c r="I277" s="252" t="s">
        <v>2477</v>
      </c>
      <c r="J277" s="252" t="s">
        <v>928</v>
      </c>
      <c r="K277" s="252" t="s">
        <v>3236</v>
      </c>
      <c r="L277" s="252">
        <v>206.14</v>
      </c>
      <c r="M277" s="252">
        <v>0</v>
      </c>
      <c r="N277" s="252">
        <v>0</v>
      </c>
      <c r="O277" s="252">
        <v>0</v>
      </c>
      <c r="P277" s="252">
        <v>0</v>
      </c>
      <c r="Q277" s="252">
        <v>0</v>
      </c>
      <c r="R277" s="252">
        <v>0</v>
      </c>
      <c r="S277" s="252">
        <v>0</v>
      </c>
      <c r="T277" s="252">
        <v>0</v>
      </c>
      <c r="U277" s="252">
        <v>0</v>
      </c>
      <c r="V277" s="252">
        <v>0</v>
      </c>
      <c r="W277" s="252">
        <v>0</v>
      </c>
      <c r="X277" s="252">
        <v>0</v>
      </c>
      <c r="Y277" s="252">
        <v>118.93</v>
      </c>
      <c r="Z277" s="252">
        <v>0</v>
      </c>
      <c r="AA277" s="252">
        <v>0</v>
      </c>
      <c r="AB277" s="252">
        <v>87.21</v>
      </c>
      <c r="AC277" s="252">
        <v>0</v>
      </c>
      <c r="AD277" s="252">
        <v>0</v>
      </c>
      <c r="AE277" s="252" t="s">
        <v>720</v>
      </c>
      <c r="AF277" s="252" t="s">
        <v>721</v>
      </c>
      <c r="AG277" s="252">
        <f t="shared" si="21"/>
        <v>0</v>
      </c>
      <c r="AH277" s="252">
        <f t="shared" si="22"/>
        <v>0</v>
      </c>
      <c r="AI277" s="252">
        <f t="shared" si="23"/>
        <v>0</v>
      </c>
      <c r="AJ277" s="252">
        <f t="shared" si="24"/>
        <v>0</v>
      </c>
    </row>
    <row r="278" spans="1:36" x14ac:dyDescent="0.2">
      <c r="A278" s="253" t="str">
        <f t="shared" si="20"/>
        <v>SNCF10CF47040</v>
      </c>
      <c r="B278" s="252" t="s">
        <v>19</v>
      </c>
      <c r="C278" s="252" t="s">
        <v>20</v>
      </c>
      <c r="D278" s="252" t="s">
        <v>2474</v>
      </c>
      <c r="E278" s="252" t="s">
        <v>2475</v>
      </c>
      <c r="F278" s="252" t="s">
        <v>2513</v>
      </c>
      <c r="G278" s="252">
        <v>40</v>
      </c>
      <c r="H278" s="252" t="s">
        <v>928</v>
      </c>
      <c r="I278" s="252" t="s">
        <v>928</v>
      </c>
      <c r="J278" s="252" t="s">
        <v>928</v>
      </c>
      <c r="K278" s="252" t="s">
        <v>3236</v>
      </c>
      <c r="L278" s="252">
        <v>206.14</v>
      </c>
      <c r="M278" s="252">
        <v>0</v>
      </c>
      <c r="N278" s="252">
        <v>0</v>
      </c>
      <c r="O278" s="252">
        <v>0</v>
      </c>
      <c r="P278" s="252">
        <v>0</v>
      </c>
      <c r="Q278" s="252">
        <v>0</v>
      </c>
      <c r="R278" s="252">
        <v>0</v>
      </c>
      <c r="S278" s="252">
        <v>0</v>
      </c>
      <c r="T278" s="252">
        <v>0</v>
      </c>
      <c r="U278" s="252">
        <v>0</v>
      </c>
      <c r="V278" s="252">
        <v>0</v>
      </c>
      <c r="W278" s="252">
        <v>0</v>
      </c>
      <c r="X278" s="252">
        <v>0</v>
      </c>
      <c r="Y278" s="252">
        <v>118.93</v>
      </c>
      <c r="Z278" s="252">
        <v>0</v>
      </c>
      <c r="AA278" s="252">
        <v>0</v>
      </c>
      <c r="AB278" s="252">
        <v>87.21</v>
      </c>
      <c r="AC278" s="252">
        <v>0</v>
      </c>
      <c r="AD278" s="252">
        <v>0</v>
      </c>
      <c r="AE278" s="252" t="s">
        <v>720</v>
      </c>
      <c r="AF278" s="252" t="s">
        <v>721</v>
      </c>
      <c r="AG278" s="252">
        <f t="shared" si="21"/>
        <v>0</v>
      </c>
      <c r="AH278" s="252">
        <f t="shared" si="22"/>
        <v>0</v>
      </c>
      <c r="AI278" s="252">
        <f t="shared" si="23"/>
        <v>0</v>
      </c>
      <c r="AJ278" s="252">
        <f t="shared" si="24"/>
        <v>0</v>
      </c>
    </row>
    <row r="279" spans="1:36" x14ac:dyDescent="0.2">
      <c r="A279" s="253" t="str">
        <f t="shared" si="20"/>
        <v>2SNCF10CF47050</v>
      </c>
      <c r="B279" s="252" t="s">
        <v>19</v>
      </c>
      <c r="C279" s="252" t="s">
        <v>20</v>
      </c>
      <c r="D279" s="252" t="s">
        <v>2474</v>
      </c>
      <c r="E279" s="252" t="s">
        <v>2475</v>
      </c>
      <c r="F279" s="252" t="s">
        <v>2513</v>
      </c>
      <c r="G279" s="252">
        <v>50</v>
      </c>
      <c r="H279" s="252" t="s">
        <v>928</v>
      </c>
      <c r="I279" s="252" t="s">
        <v>2477</v>
      </c>
      <c r="J279" s="252" t="s">
        <v>928</v>
      </c>
      <c r="K279" s="252" t="s">
        <v>3236</v>
      </c>
      <c r="L279" s="252">
        <v>197.46</v>
      </c>
      <c r="M279" s="252">
        <v>0</v>
      </c>
      <c r="N279" s="252">
        <v>0</v>
      </c>
      <c r="O279" s="252">
        <v>0</v>
      </c>
      <c r="P279" s="252">
        <v>0</v>
      </c>
      <c r="Q279" s="252">
        <v>0</v>
      </c>
      <c r="R279" s="252">
        <v>0</v>
      </c>
      <c r="S279" s="252">
        <v>0</v>
      </c>
      <c r="T279" s="252">
        <v>0</v>
      </c>
      <c r="U279" s="252">
        <v>0</v>
      </c>
      <c r="V279" s="252">
        <v>0</v>
      </c>
      <c r="W279" s="252">
        <v>0</v>
      </c>
      <c r="X279" s="252">
        <v>0</v>
      </c>
      <c r="Y279" s="252">
        <v>116.85</v>
      </c>
      <c r="Z279" s="252">
        <v>0</v>
      </c>
      <c r="AA279" s="252">
        <v>0</v>
      </c>
      <c r="AB279" s="252">
        <v>80.599999999999994</v>
      </c>
      <c r="AC279" s="252">
        <v>0</v>
      </c>
      <c r="AD279" s="252">
        <v>0</v>
      </c>
      <c r="AE279" s="252" t="s">
        <v>720</v>
      </c>
      <c r="AF279" s="252" t="s">
        <v>721</v>
      </c>
      <c r="AG279" s="252">
        <f t="shared" si="21"/>
        <v>0</v>
      </c>
      <c r="AH279" s="252">
        <f t="shared" si="22"/>
        <v>0</v>
      </c>
      <c r="AI279" s="252">
        <f t="shared" si="23"/>
        <v>0</v>
      </c>
      <c r="AJ279" s="252">
        <f t="shared" si="24"/>
        <v>0</v>
      </c>
    </row>
    <row r="280" spans="1:36" x14ac:dyDescent="0.2">
      <c r="A280" s="253" t="str">
        <f t="shared" si="20"/>
        <v>SNCF10CF47050</v>
      </c>
      <c r="B280" s="252" t="s">
        <v>19</v>
      </c>
      <c r="C280" s="252" t="s">
        <v>20</v>
      </c>
      <c r="D280" s="252" t="s">
        <v>2474</v>
      </c>
      <c r="E280" s="252" t="s">
        <v>2475</v>
      </c>
      <c r="F280" s="252" t="s">
        <v>2513</v>
      </c>
      <c r="G280" s="252">
        <v>50</v>
      </c>
      <c r="H280" s="252" t="s">
        <v>928</v>
      </c>
      <c r="I280" s="252" t="s">
        <v>928</v>
      </c>
      <c r="J280" s="252" t="s">
        <v>928</v>
      </c>
      <c r="K280" s="252" t="s">
        <v>3236</v>
      </c>
      <c r="L280" s="252">
        <v>197.46</v>
      </c>
      <c r="M280" s="252">
        <v>0</v>
      </c>
      <c r="N280" s="252">
        <v>0</v>
      </c>
      <c r="O280" s="252">
        <v>0</v>
      </c>
      <c r="P280" s="252">
        <v>0</v>
      </c>
      <c r="Q280" s="252">
        <v>0</v>
      </c>
      <c r="R280" s="252">
        <v>0</v>
      </c>
      <c r="S280" s="252">
        <v>0</v>
      </c>
      <c r="T280" s="252">
        <v>0</v>
      </c>
      <c r="U280" s="252">
        <v>0</v>
      </c>
      <c r="V280" s="252">
        <v>0</v>
      </c>
      <c r="W280" s="252">
        <v>0</v>
      </c>
      <c r="X280" s="252">
        <v>0</v>
      </c>
      <c r="Y280" s="252">
        <v>116.85</v>
      </c>
      <c r="Z280" s="252">
        <v>0</v>
      </c>
      <c r="AA280" s="252">
        <v>0</v>
      </c>
      <c r="AB280" s="252">
        <v>80.599999999999994</v>
      </c>
      <c r="AC280" s="252">
        <v>0</v>
      </c>
      <c r="AD280" s="252">
        <v>0</v>
      </c>
      <c r="AE280" s="252" t="s">
        <v>720</v>
      </c>
      <c r="AF280" s="252" t="s">
        <v>721</v>
      </c>
      <c r="AG280" s="252">
        <f t="shared" si="21"/>
        <v>0</v>
      </c>
      <c r="AH280" s="252">
        <f t="shared" si="22"/>
        <v>0</v>
      </c>
      <c r="AI280" s="252">
        <f t="shared" si="23"/>
        <v>0</v>
      </c>
      <c r="AJ280" s="252">
        <f t="shared" si="24"/>
        <v>0</v>
      </c>
    </row>
    <row r="281" spans="1:36" x14ac:dyDescent="0.2">
      <c r="A281" s="253" t="str">
        <f t="shared" si="20"/>
        <v>2SNCF10CF47060</v>
      </c>
      <c r="B281" s="252" t="s">
        <v>19</v>
      </c>
      <c r="C281" s="252" t="s">
        <v>20</v>
      </c>
      <c r="D281" s="252" t="s">
        <v>2474</v>
      </c>
      <c r="E281" s="252" t="s">
        <v>2475</v>
      </c>
      <c r="F281" s="252" t="s">
        <v>2513</v>
      </c>
      <c r="G281" s="252">
        <v>60</v>
      </c>
      <c r="H281" s="252" t="s">
        <v>928</v>
      </c>
      <c r="I281" s="252" t="s">
        <v>2477</v>
      </c>
      <c r="J281" s="252" t="s">
        <v>928</v>
      </c>
      <c r="K281" s="252" t="s">
        <v>3236</v>
      </c>
      <c r="L281" s="252">
        <v>218.14</v>
      </c>
      <c r="M281" s="252">
        <v>0</v>
      </c>
      <c r="N281" s="252">
        <v>0</v>
      </c>
      <c r="O281" s="252">
        <v>0</v>
      </c>
      <c r="P281" s="252">
        <v>0</v>
      </c>
      <c r="Q281" s="252">
        <v>0</v>
      </c>
      <c r="R281" s="252">
        <v>0</v>
      </c>
      <c r="S281" s="252">
        <v>0</v>
      </c>
      <c r="T281" s="252">
        <v>0</v>
      </c>
      <c r="U281" s="252">
        <v>0</v>
      </c>
      <c r="V281" s="252">
        <v>0</v>
      </c>
      <c r="W281" s="252">
        <v>0</v>
      </c>
      <c r="X281" s="252">
        <v>0</v>
      </c>
      <c r="Y281" s="252">
        <v>127.92</v>
      </c>
      <c r="Z281" s="252">
        <v>0</v>
      </c>
      <c r="AA281" s="252">
        <v>0</v>
      </c>
      <c r="AB281" s="252">
        <v>90.22</v>
      </c>
      <c r="AC281" s="252">
        <v>0</v>
      </c>
      <c r="AD281" s="252">
        <v>0</v>
      </c>
      <c r="AE281" s="252" t="s">
        <v>720</v>
      </c>
      <c r="AF281" s="252" t="s">
        <v>721</v>
      </c>
      <c r="AG281" s="252">
        <f t="shared" si="21"/>
        <v>0</v>
      </c>
      <c r="AH281" s="252">
        <f t="shared" si="22"/>
        <v>0</v>
      </c>
      <c r="AI281" s="252">
        <f t="shared" si="23"/>
        <v>0</v>
      </c>
      <c r="AJ281" s="252">
        <f t="shared" si="24"/>
        <v>0</v>
      </c>
    </row>
    <row r="282" spans="1:36" x14ac:dyDescent="0.2">
      <c r="A282" s="253" t="str">
        <f t="shared" si="20"/>
        <v>SNCF10CF47060</v>
      </c>
      <c r="B282" s="252" t="s">
        <v>19</v>
      </c>
      <c r="C282" s="252" t="s">
        <v>20</v>
      </c>
      <c r="D282" s="252" t="s">
        <v>2474</v>
      </c>
      <c r="E282" s="252" t="s">
        <v>2475</v>
      </c>
      <c r="F282" s="252" t="s">
        <v>2513</v>
      </c>
      <c r="G282" s="252">
        <v>60</v>
      </c>
      <c r="H282" s="252" t="s">
        <v>928</v>
      </c>
      <c r="I282" s="252" t="s">
        <v>928</v>
      </c>
      <c r="J282" s="252" t="s">
        <v>928</v>
      </c>
      <c r="K282" s="252" t="s">
        <v>3236</v>
      </c>
      <c r="L282" s="252">
        <v>218.14</v>
      </c>
      <c r="M282" s="252">
        <v>0</v>
      </c>
      <c r="N282" s="252">
        <v>0</v>
      </c>
      <c r="O282" s="252">
        <v>0</v>
      </c>
      <c r="P282" s="252">
        <v>0</v>
      </c>
      <c r="Q282" s="252">
        <v>0</v>
      </c>
      <c r="R282" s="252">
        <v>0</v>
      </c>
      <c r="S282" s="252">
        <v>0</v>
      </c>
      <c r="T282" s="252">
        <v>0</v>
      </c>
      <c r="U282" s="252">
        <v>0</v>
      </c>
      <c r="V282" s="252">
        <v>0</v>
      </c>
      <c r="W282" s="252">
        <v>0</v>
      </c>
      <c r="X282" s="252">
        <v>0</v>
      </c>
      <c r="Y282" s="252">
        <v>127.92</v>
      </c>
      <c r="Z282" s="252">
        <v>0</v>
      </c>
      <c r="AA282" s="252">
        <v>0</v>
      </c>
      <c r="AB282" s="252">
        <v>90.22</v>
      </c>
      <c r="AC282" s="252">
        <v>0</v>
      </c>
      <c r="AD282" s="252">
        <v>0</v>
      </c>
      <c r="AE282" s="252" t="s">
        <v>720</v>
      </c>
      <c r="AF282" s="252" t="s">
        <v>721</v>
      </c>
      <c r="AG282" s="252">
        <f t="shared" si="21"/>
        <v>0</v>
      </c>
      <c r="AH282" s="252">
        <f t="shared" si="22"/>
        <v>0</v>
      </c>
      <c r="AI282" s="252">
        <f t="shared" si="23"/>
        <v>0</v>
      </c>
      <c r="AJ282" s="252">
        <f t="shared" si="24"/>
        <v>0</v>
      </c>
    </row>
    <row r="283" spans="1:36" x14ac:dyDescent="0.2">
      <c r="A283" s="253" t="str">
        <f t="shared" si="20"/>
        <v>2SNCF10CF47080</v>
      </c>
      <c r="B283" s="252" t="s">
        <v>19</v>
      </c>
      <c r="C283" s="252" t="s">
        <v>20</v>
      </c>
      <c r="D283" s="252" t="s">
        <v>2474</v>
      </c>
      <c r="E283" s="252" t="s">
        <v>2475</v>
      </c>
      <c r="F283" s="252" t="s">
        <v>2513</v>
      </c>
      <c r="G283" s="252">
        <v>80</v>
      </c>
      <c r="H283" s="252" t="s">
        <v>928</v>
      </c>
      <c r="I283" s="252" t="s">
        <v>2477</v>
      </c>
      <c r="J283" s="252" t="s">
        <v>928</v>
      </c>
      <c r="K283" s="252" t="s">
        <v>3236</v>
      </c>
      <c r="L283" s="252">
        <v>243.89</v>
      </c>
      <c r="M283" s="252">
        <v>0</v>
      </c>
      <c r="N283" s="252">
        <v>0</v>
      </c>
      <c r="O283" s="252">
        <v>0</v>
      </c>
      <c r="P283" s="252">
        <v>0</v>
      </c>
      <c r="Q283" s="252">
        <v>0</v>
      </c>
      <c r="R283" s="252">
        <v>0</v>
      </c>
      <c r="S283" s="252">
        <v>0</v>
      </c>
      <c r="T283" s="252">
        <v>0</v>
      </c>
      <c r="U283" s="252">
        <v>0</v>
      </c>
      <c r="V283" s="252">
        <v>0</v>
      </c>
      <c r="W283" s="252">
        <v>0</v>
      </c>
      <c r="X283" s="252">
        <v>0</v>
      </c>
      <c r="Y283" s="252">
        <v>134.5</v>
      </c>
      <c r="Z283" s="252">
        <v>0</v>
      </c>
      <c r="AA283" s="252">
        <v>0</v>
      </c>
      <c r="AB283" s="252">
        <v>109.39</v>
      </c>
      <c r="AC283" s="252">
        <v>0</v>
      </c>
      <c r="AD283" s="252">
        <v>0</v>
      </c>
      <c r="AE283" s="252" t="s">
        <v>720</v>
      </c>
      <c r="AF283" s="252" t="s">
        <v>721</v>
      </c>
      <c r="AG283" s="252">
        <f t="shared" si="21"/>
        <v>0</v>
      </c>
      <c r="AH283" s="252">
        <f t="shared" si="22"/>
        <v>0</v>
      </c>
      <c r="AI283" s="252">
        <f t="shared" si="23"/>
        <v>0</v>
      </c>
      <c r="AJ283" s="252">
        <f t="shared" si="24"/>
        <v>0</v>
      </c>
    </row>
    <row r="284" spans="1:36" x14ac:dyDescent="0.2">
      <c r="A284" s="253" t="str">
        <f t="shared" si="20"/>
        <v>SNCF10CF47080</v>
      </c>
      <c r="B284" s="252" t="s">
        <v>19</v>
      </c>
      <c r="C284" s="252" t="s">
        <v>20</v>
      </c>
      <c r="D284" s="252" t="s">
        <v>2474</v>
      </c>
      <c r="E284" s="252" t="s">
        <v>2475</v>
      </c>
      <c r="F284" s="252" t="s">
        <v>2513</v>
      </c>
      <c r="G284" s="252">
        <v>80</v>
      </c>
      <c r="H284" s="252" t="s">
        <v>928</v>
      </c>
      <c r="I284" s="252" t="s">
        <v>928</v>
      </c>
      <c r="J284" s="252" t="s">
        <v>928</v>
      </c>
      <c r="K284" s="252" t="s">
        <v>3236</v>
      </c>
      <c r="L284" s="252">
        <v>243.89</v>
      </c>
      <c r="M284" s="252">
        <v>0</v>
      </c>
      <c r="N284" s="252">
        <v>0</v>
      </c>
      <c r="O284" s="252">
        <v>0</v>
      </c>
      <c r="P284" s="252">
        <v>0</v>
      </c>
      <c r="Q284" s="252">
        <v>0</v>
      </c>
      <c r="R284" s="252">
        <v>0</v>
      </c>
      <c r="S284" s="252">
        <v>0</v>
      </c>
      <c r="T284" s="252">
        <v>0</v>
      </c>
      <c r="U284" s="252">
        <v>0</v>
      </c>
      <c r="V284" s="252">
        <v>0</v>
      </c>
      <c r="W284" s="252">
        <v>0</v>
      </c>
      <c r="X284" s="252">
        <v>0</v>
      </c>
      <c r="Y284" s="252">
        <v>134.5</v>
      </c>
      <c r="Z284" s="252">
        <v>0</v>
      </c>
      <c r="AA284" s="252">
        <v>0</v>
      </c>
      <c r="AB284" s="252">
        <v>109.39</v>
      </c>
      <c r="AC284" s="252">
        <v>0</v>
      </c>
      <c r="AD284" s="252">
        <v>0</v>
      </c>
      <c r="AE284" s="252" t="s">
        <v>720</v>
      </c>
      <c r="AF284" s="252" t="s">
        <v>721</v>
      </c>
      <c r="AG284" s="252">
        <f t="shared" si="21"/>
        <v>0</v>
      </c>
      <c r="AH284" s="252">
        <f t="shared" si="22"/>
        <v>0</v>
      </c>
      <c r="AI284" s="252">
        <f t="shared" si="23"/>
        <v>0</v>
      </c>
      <c r="AJ284" s="252">
        <f t="shared" si="24"/>
        <v>0</v>
      </c>
    </row>
    <row r="285" spans="1:36" x14ac:dyDescent="0.2">
      <c r="A285" s="253" t="str">
        <f t="shared" si="20"/>
        <v>2SNCF10CF470SB40</v>
      </c>
      <c r="B285" s="252" t="s">
        <v>19</v>
      </c>
      <c r="C285" s="252" t="s">
        <v>20</v>
      </c>
      <c r="D285" s="252" t="s">
        <v>2474</v>
      </c>
      <c r="E285" s="252" t="s">
        <v>2475</v>
      </c>
      <c r="F285" s="252" t="s">
        <v>2514</v>
      </c>
      <c r="G285" s="252">
        <v>40</v>
      </c>
      <c r="H285" s="252" t="s">
        <v>928</v>
      </c>
      <c r="I285" s="252" t="s">
        <v>2477</v>
      </c>
      <c r="J285" s="252" t="s">
        <v>928</v>
      </c>
      <c r="K285" s="252" t="s">
        <v>3236</v>
      </c>
      <c r="L285" s="252">
        <v>216.48</v>
      </c>
      <c r="M285" s="252">
        <v>0</v>
      </c>
      <c r="N285" s="252">
        <v>0</v>
      </c>
      <c r="O285" s="252">
        <v>0</v>
      </c>
      <c r="P285" s="252">
        <v>0</v>
      </c>
      <c r="Q285" s="252">
        <v>0</v>
      </c>
      <c r="R285" s="252">
        <v>0</v>
      </c>
      <c r="S285" s="252">
        <v>0</v>
      </c>
      <c r="T285" s="252">
        <v>0</v>
      </c>
      <c r="U285" s="252">
        <v>0</v>
      </c>
      <c r="V285" s="252">
        <v>0</v>
      </c>
      <c r="W285" s="252">
        <v>0</v>
      </c>
      <c r="X285" s="252">
        <v>0</v>
      </c>
      <c r="Y285" s="252">
        <v>135.24</v>
      </c>
      <c r="Z285" s="252">
        <v>0</v>
      </c>
      <c r="AA285" s="252">
        <v>0</v>
      </c>
      <c r="AB285" s="252">
        <v>81.239999999999995</v>
      </c>
      <c r="AC285" s="252">
        <v>0</v>
      </c>
      <c r="AD285" s="252">
        <v>0</v>
      </c>
      <c r="AE285" s="252" t="s">
        <v>720</v>
      </c>
      <c r="AF285" s="252" t="s">
        <v>721</v>
      </c>
      <c r="AG285" s="252">
        <f t="shared" si="21"/>
        <v>0</v>
      </c>
      <c r="AH285" s="252">
        <f t="shared" si="22"/>
        <v>0</v>
      </c>
      <c r="AI285" s="252">
        <f t="shared" si="23"/>
        <v>0</v>
      </c>
      <c r="AJ285" s="252">
        <f t="shared" si="24"/>
        <v>0</v>
      </c>
    </row>
    <row r="286" spans="1:36" x14ac:dyDescent="0.2">
      <c r="A286" s="253" t="str">
        <f t="shared" si="20"/>
        <v>SNCF10CF470SB40</v>
      </c>
      <c r="B286" s="252" t="s">
        <v>19</v>
      </c>
      <c r="C286" s="252" t="s">
        <v>20</v>
      </c>
      <c r="D286" s="252" t="s">
        <v>2474</v>
      </c>
      <c r="E286" s="252" t="s">
        <v>2475</v>
      </c>
      <c r="F286" s="252" t="s">
        <v>2514</v>
      </c>
      <c r="G286" s="252">
        <v>40</v>
      </c>
      <c r="H286" s="252" t="s">
        <v>928</v>
      </c>
      <c r="I286" s="252" t="s">
        <v>928</v>
      </c>
      <c r="J286" s="252" t="s">
        <v>928</v>
      </c>
      <c r="K286" s="252" t="s">
        <v>3236</v>
      </c>
      <c r="L286" s="252">
        <v>216.48</v>
      </c>
      <c r="M286" s="252">
        <v>0</v>
      </c>
      <c r="N286" s="252">
        <v>0</v>
      </c>
      <c r="O286" s="252">
        <v>0</v>
      </c>
      <c r="P286" s="252">
        <v>0</v>
      </c>
      <c r="Q286" s="252">
        <v>0</v>
      </c>
      <c r="R286" s="252">
        <v>0</v>
      </c>
      <c r="S286" s="252">
        <v>0</v>
      </c>
      <c r="T286" s="252">
        <v>0</v>
      </c>
      <c r="U286" s="252">
        <v>0</v>
      </c>
      <c r="V286" s="252">
        <v>0</v>
      </c>
      <c r="W286" s="252">
        <v>0</v>
      </c>
      <c r="X286" s="252">
        <v>0</v>
      </c>
      <c r="Y286" s="252">
        <v>135.24</v>
      </c>
      <c r="Z286" s="252">
        <v>0</v>
      </c>
      <c r="AA286" s="252">
        <v>0</v>
      </c>
      <c r="AB286" s="252">
        <v>81.239999999999995</v>
      </c>
      <c r="AC286" s="252">
        <v>0</v>
      </c>
      <c r="AD286" s="252">
        <v>0</v>
      </c>
      <c r="AE286" s="252" t="s">
        <v>720</v>
      </c>
      <c r="AF286" s="252" t="s">
        <v>721</v>
      </c>
      <c r="AG286" s="252">
        <f t="shared" si="21"/>
        <v>0</v>
      </c>
      <c r="AH286" s="252">
        <f t="shared" si="22"/>
        <v>0</v>
      </c>
      <c r="AI286" s="252">
        <f t="shared" si="23"/>
        <v>0</v>
      </c>
      <c r="AJ286" s="252">
        <f t="shared" si="24"/>
        <v>0</v>
      </c>
    </row>
    <row r="287" spans="1:36" x14ac:dyDescent="0.2">
      <c r="A287" s="253" t="str">
        <f t="shared" si="20"/>
        <v>2SNCF10CF470SB50</v>
      </c>
      <c r="B287" s="252" t="s">
        <v>19</v>
      </c>
      <c r="C287" s="252" t="s">
        <v>20</v>
      </c>
      <c r="D287" s="252" t="s">
        <v>2474</v>
      </c>
      <c r="E287" s="252" t="s">
        <v>2475</v>
      </c>
      <c r="F287" s="252" t="s">
        <v>2514</v>
      </c>
      <c r="G287" s="252">
        <v>50</v>
      </c>
      <c r="H287" s="252" t="s">
        <v>928</v>
      </c>
      <c r="I287" s="252" t="s">
        <v>2477</v>
      </c>
      <c r="J287" s="252" t="s">
        <v>928</v>
      </c>
      <c r="K287" s="252" t="s">
        <v>3236</v>
      </c>
      <c r="L287" s="252">
        <v>243.09</v>
      </c>
      <c r="M287" s="252">
        <v>0</v>
      </c>
      <c r="N287" s="252">
        <v>0</v>
      </c>
      <c r="O287" s="252">
        <v>0</v>
      </c>
      <c r="P287" s="252">
        <v>0</v>
      </c>
      <c r="Q287" s="252">
        <v>0</v>
      </c>
      <c r="R287" s="252">
        <v>0</v>
      </c>
      <c r="S287" s="252">
        <v>0</v>
      </c>
      <c r="T287" s="252">
        <v>0</v>
      </c>
      <c r="U287" s="252">
        <v>0</v>
      </c>
      <c r="V287" s="252">
        <v>0</v>
      </c>
      <c r="W287" s="252">
        <v>0</v>
      </c>
      <c r="X287" s="252">
        <v>0</v>
      </c>
      <c r="Y287" s="252">
        <v>145.06</v>
      </c>
      <c r="Z287" s="252">
        <v>0</v>
      </c>
      <c r="AA287" s="252">
        <v>0</v>
      </c>
      <c r="AB287" s="252">
        <v>98.03</v>
      </c>
      <c r="AC287" s="252">
        <v>0</v>
      </c>
      <c r="AD287" s="252">
        <v>0</v>
      </c>
      <c r="AE287" s="252" t="s">
        <v>720</v>
      </c>
      <c r="AF287" s="252" t="s">
        <v>721</v>
      </c>
      <c r="AG287" s="252">
        <f t="shared" si="21"/>
        <v>0</v>
      </c>
      <c r="AH287" s="252">
        <f t="shared" si="22"/>
        <v>0</v>
      </c>
      <c r="AI287" s="252">
        <f t="shared" si="23"/>
        <v>0</v>
      </c>
      <c r="AJ287" s="252">
        <f t="shared" si="24"/>
        <v>0</v>
      </c>
    </row>
    <row r="288" spans="1:36" x14ac:dyDescent="0.2">
      <c r="A288" s="253" t="str">
        <f t="shared" si="20"/>
        <v>SNCF10CF470SB50</v>
      </c>
      <c r="B288" s="252" t="s">
        <v>19</v>
      </c>
      <c r="C288" s="252" t="s">
        <v>20</v>
      </c>
      <c r="D288" s="252" t="s">
        <v>2474</v>
      </c>
      <c r="E288" s="252" t="s">
        <v>2475</v>
      </c>
      <c r="F288" s="252" t="s">
        <v>2514</v>
      </c>
      <c r="G288" s="252">
        <v>50</v>
      </c>
      <c r="H288" s="252" t="s">
        <v>928</v>
      </c>
      <c r="I288" s="252" t="s">
        <v>928</v>
      </c>
      <c r="J288" s="252" t="s">
        <v>928</v>
      </c>
      <c r="K288" s="252" t="s">
        <v>3236</v>
      </c>
      <c r="L288" s="252">
        <v>243.09</v>
      </c>
      <c r="M288" s="252">
        <v>0</v>
      </c>
      <c r="N288" s="252">
        <v>0</v>
      </c>
      <c r="O288" s="252">
        <v>0</v>
      </c>
      <c r="P288" s="252">
        <v>0</v>
      </c>
      <c r="Q288" s="252">
        <v>0</v>
      </c>
      <c r="R288" s="252">
        <v>0</v>
      </c>
      <c r="S288" s="252">
        <v>0</v>
      </c>
      <c r="T288" s="252">
        <v>0</v>
      </c>
      <c r="U288" s="252">
        <v>0</v>
      </c>
      <c r="V288" s="252">
        <v>0</v>
      </c>
      <c r="W288" s="252">
        <v>0</v>
      </c>
      <c r="X288" s="252">
        <v>0</v>
      </c>
      <c r="Y288" s="252">
        <v>145.06</v>
      </c>
      <c r="Z288" s="252">
        <v>0</v>
      </c>
      <c r="AA288" s="252">
        <v>0</v>
      </c>
      <c r="AB288" s="252">
        <v>98.03</v>
      </c>
      <c r="AC288" s="252">
        <v>0</v>
      </c>
      <c r="AD288" s="252">
        <v>0</v>
      </c>
      <c r="AE288" s="252" t="s">
        <v>720</v>
      </c>
      <c r="AF288" s="252" t="s">
        <v>721</v>
      </c>
      <c r="AG288" s="252">
        <f t="shared" si="21"/>
        <v>0</v>
      </c>
      <c r="AH288" s="252">
        <f t="shared" si="22"/>
        <v>0</v>
      </c>
      <c r="AI288" s="252">
        <f t="shared" si="23"/>
        <v>0</v>
      </c>
      <c r="AJ288" s="252">
        <f t="shared" si="24"/>
        <v>0</v>
      </c>
    </row>
    <row r="289" spans="1:36" x14ac:dyDescent="0.2">
      <c r="A289" s="253" t="str">
        <f t="shared" si="20"/>
        <v>2SNCF10CF47W50</v>
      </c>
      <c r="B289" s="252" t="s">
        <v>19</v>
      </c>
      <c r="C289" s="252" t="s">
        <v>20</v>
      </c>
      <c r="D289" s="252" t="s">
        <v>2474</v>
      </c>
      <c r="E289" s="252" t="s">
        <v>2475</v>
      </c>
      <c r="F289" s="252" t="s">
        <v>2515</v>
      </c>
      <c r="G289" s="252">
        <v>50</v>
      </c>
      <c r="H289" s="252" t="s">
        <v>928</v>
      </c>
      <c r="I289" s="252" t="s">
        <v>2477</v>
      </c>
      <c r="J289" s="252" t="s">
        <v>928</v>
      </c>
      <c r="K289" s="252" t="s">
        <v>3236</v>
      </c>
      <c r="L289" s="252">
        <v>207.71</v>
      </c>
      <c r="M289" s="252">
        <v>0</v>
      </c>
      <c r="N289" s="252">
        <v>0</v>
      </c>
      <c r="O289" s="252">
        <v>0</v>
      </c>
      <c r="P289" s="252">
        <v>0</v>
      </c>
      <c r="Q289" s="252">
        <v>0</v>
      </c>
      <c r="R289" s="252">
        <v>0</v>
      </c>
      <c r="S289" s="252">
        <v>0</v>
      </c>
      <c r="T289" s="252">
        <v>0</v>
      </c>
      <c r="U289" s="252">
        <v>0</v>
      </c>
      <c r="V289" s="252">
        <v>0</v>
      </c>
      <c r="W289" s="252">
        <v>0</v>
      </c>
      <c r="X289" s="252">
        <v>0</v>
      </c>
      <c r="Y289" s="252">
        <v>122</v>
      </c>
      <c r="Z289" s="252">
        <v>0</v>
      </c>
      <c r="AA289" s="252">
        <v>0</v>
      </c>
      <c r="AB289" s="252">
        <v>85.71</v>
      </c>
      <c r="AC289" s="252">
        <v>0</v>
      </c>
      <c r="AD289" s="252">
        <v>0</v>
      </c>
      <c r="AE289" s="252" t="s">
        <v>720</v>
      </c>
      <c r="AF289" s="252" t="s">
        <v>721</v>
      </c>
      <c r="AG289" s="252">
        <f t="shared" si="21"/>
        <v>0</v>
      </c>
      <c r="AH289" s="252">
        <f t="shared" si="22"/>
        <v>0</v>
      </c>
      <c r="AI289" s="252">
        <f t="shared" si="23"/>
        <v>0</v>
      </c>
      <c r="AJ289" s="252">
        <f t="shared" si="24"/>
        <v>0</v>
      </c>
    </row>
    <row r="290" spans="1:36" x14ac:dyDescent="0.2">
      <c r="A290" s="253" t="str">
        <f t="shared" si="20"/>
        <v>SNCF10CF47W50</v>
      </c>
      <c r="B290" s="252" t="s">
        <v>19</v>
      </c>
      <c r="C290" s="252" t="s">
        <v>20</v>
      </c>
      <c r="D290" s="252" t="s">
        <v>2474</v>
      </c>
      <c r="E290" s="252" t="s">
        <v>2475</v>
      </c>
      <c r="F290" s="252" t="s">
        <v>2515</v>
      </c>
      <c r="G290" s="252">
        <v>50</v>
      </c>
      <c r="H290" s="252" t="s">
        <v>928</v>
      </c>
      <c r="I290" s="252" t="s">
        <v>928</v>
      </c>
      <c r="J290" s="252" t="s">
        <v>928</v>
      </c>
      <c r="K290" s="252" t="s">
        <v>3236</v>
      </c>
      <c r="L290" s="252">
        <v>207.71</v>
      </c>
      <c r="M290" s="252">
        <v>0</v>
      </c>
      <c r="N290" s="252">
        <v>0</v>
      </c>
      <c r="O290" s="252">
        <v>0</v>
      </c>
      <c r="P290" s="252">
        <v>0</v>
      </c>
      <c r="Q290" s="252">
        <v>0</v>
      </c>
      <c r="R290" s="252">
        <v>0</v>
      </c>
      <c r="S290" s="252">
        <v>0</v>
      </c>
      <c r="T290" s="252">
        <v>0</v>
      </c>
      <c r="U290" s="252">
        <v>0</v>
      </c>
      <c r="V290" s="252">
        <v>0</v>
      </c>
      <c r="W290" s="252">
        <v>0</v>
      </c>
      <c r="X290" s="252">
        <v>0</v>
      </c>
      <c r="Y290" s="252">
        <v>122</v>
      </c>
      <c r="Z290" s="252">
        <v>0</v>
      </c>
      <c r="AA290" s="252">
        <v>0</v>
      </c>
      <c r="AB290" s="252">
        <v>85.71</v>
      </c>
      <c r="AC290" s="252">
        <v>0</v>
      </c>
      <c r="AD290" s="252">
        <v>0</v>
      </c>
      <c r="AE290" s="252" t="s">
        <v>720</v>
      </c>
      <c r="AF290" s="252" t="s">
        <v>721</v>
      </c>
      <c r="AG290" s="252">
        <f t="shared" si="21"/>
        <v>0</v>
      </c>
      <c r="AH290" s="252">
        <f t="shared" si="22"/>
        <v>0</v>
      </c>
      <c r="AI290" s="252">
        <f t="shared" si="23"/>
        <v>0</v>
      </c>
      <c r="AJ290" s="252">
        <f t="shared" si="24"/>
        <v>0</v>
      </c>
    </row>
    <row r="291" spans="1:36" x14ac:dyDescent="0.2">
      <c r="A291" s="253" t="str">
        <f t="shared" si="20"/>
        <v>72CSNCF10L25270</v>
      </c>
      <c r="B291" s="252" t="s">
        <v>19</v>
      </c>
      <c r="C291" s="252" t="s">
        <v>20</v>
      </c>
      <c r="D291" s="252" t="s">
        <v>2474</v>
      </c>
      <c r="E291" s="252" t="s">
        <v>2475</v>
      </c>
      <c r="F291" s="252" t="s">
        <v>2516</v>
      </c>
      <c r="G291" s="252">
        <v>70</v>
      </c>
      <c r="H291" s="252" t="s">
        <v>928</v>
      </c>
      <c r="I291" s="252" t="s">
        <v>2517</v>
      </c>
      <c r="J291" s="252" t="s">
        <v>928</v>
      </c>
      <c r="K291" s="252" t="s">
        <v>3236</v>
      </c>
      <c r="L291" s="252">
        <v>717.47</v>
      </c>
      <c r="M291" s="252">
        <v>100</v>
      </c>
      <c r="N291" s="252">
        <v>0</v>
      </c>
      <c r="O291" s="252">
        <v>717.47</v>
      </c>
      <c r="P291" s="252">
        <v>0</v>
      </c>
      <c r="Q291" s="252">
        <v>0</v>
      </c>
      <c r="R291" s="252">
        <v>0</v>
      </c>
      <c r="S291" s="252">
        <v>0</v>
      </c>
      <c r="T291" s="252">
        <v>0</v>
      </c>
      <c r="U291" s="252">
        <v>0</v>
      </c>
      <c r="V291" s="252">
        <v>0</v>
      </c>
      <c r="W291" s="252">
        <v>0</v>
      </c>
      <c r="X291" s="252">
        <v>0</v>
      </c>
      <c r="Y291" s="252">
        <v>0</v>
      </c>
      <c r="Z291" s="252">
        <v>0</v>
      </c>
      <c r="AA291" s="252">
        <v>0</v>
      </c>
      <c r="AB291" s="252">
        <v>0</v>
      </c>
      <c r="AC291" s="252">
        <v>0</v>
      </c>
      <c r="AD291" s="252">
        <v>0</v>
      </c>
      <c r="AE291" s="252" t="s">
        <v>720</v>
      </c>
      <c r="AF291" s="252" t="s">
        <v>721</v>
      </c>
      <c r="AG291" s="252">
        <f t="shared" si="21"/>
        <v>717.47</v>
      </c>
      <c r="AH291" s="252">
        <f t="shared" si="22"/>
        <v>0</v>
      </c>
      <c r="AI291" s="252">
        <f t="shared" si="23"/>
        <v>0</v>
      </c>
      <c r="AJ291" s="252">
        <f t="shared" si="24"/>
        <v>717.47</v>
      </c>
    </row>
    <row r="292" spans="1:36" x14ac:dyDescent="0.2">
      <c r="A292" s="253" t="str">
        <f t="shared" si="20"/>
        <v>SNCF10L25270</v>
      </c>
      <c r="B292" s="252" t="s">
        <v>19</v>
      </c>
      <c r="C292" s="252" t="s">
        <v>20</v>
      </c>
      <c r="D292" s="252" t="s">
        <v>2474</v>
      </c>
      <c r="E292" s="252" t="s">
        <v>2475</v>
      </c>
      <c r="F292" s="252" t="s">
        <v>2516</v>
      </c>
      <c r="G292" s="252">
        <v>70</v>
      </c>
      <c r="H292" s="252" t="s">
        <v>928</v>
      </c>
      <c r="I292" s="252" t="s">
        <v>928</v>
      </c>
      <c r="J292" s="252" t="s">
        <v>928</v>
      </c>
      <c r="K292" s="252" t="s">
        <v>3236</v>
      </c>
      <c r="L292" s="252">
        <v>717.47</v>
      </c>
      <c r="M292" s="252">
        <v>100</v>
      </c>
      <c r="N292" s="252">
        <v>0</v>
      </c>
      <c r="O292" s="252">
        <v>717.47</v>
      </c>
      <c r="P292" s="252">
        <v>0</v>
      </c>
      <c r="Q292" s="252">
        <v>0</v>
      </c>
      <c r="R292" s="252">
        <v>0</v>
      </c>
      <c r="S292" s="252">
        <v>0</v>
      </c>
      <c r="T292" s="252">
        <v>0</v>
      </c>
      <c r="U292" s="252">
        <v>0</v>
      </c>
      <c r="V292" s="252">
        <v>0</v>
      </c>
      <c r="W292" s="252">
        <v>0</v>
      </c>
      <c r="X292" s="252">
        <v>0</v>
      </c>
      <c r="Y292" s="252">
        <v>0</v>
      </c>
      <c r="Z292" s="252">
        <v>0</v>
      </c>
      <c r="AA292" s="252">
        <v>0</v>
      </c>
      <c r="AB292" s="252">
        <v>0</v>
      </c>
      <c r="AC292" s="252">
        <v>0</v>
      </c>
      <c r="AD292" s="252">
        <v>0</v>
      </c>
      <c r="AE292" s="252" t="s">
        <v>720</v>
      </c>
      <c r="AF292" s="252" t="s">
        <v>721</v>
      </c>
      <c r="AG292" s="252">
        <f t="shared" si="21"/>
        <v>717.47</v>
      </c>
      <c r="AH292" s="252">
        <f t="shared" si="22"/>
        <v>0</v>
      </c>
      <c r="AI292" s="252">
        <f t="shared" si="23"/>
        <v>0</v>
      </c>
      <c r="AJ292" s="252">
        <f t="shared" si="24"/>
        <v>717.47</v>
      </c>
    </row>
    <row r="293" spans="1:36" x14ac:dyDescent="0.2">
      <c r="A293" s="253" t="str">
        <f t="shared" si="20"/>
        <v>2SNCF10R03445</v>
      </c>
      <c r="B293" s="252" t="s">
        <v>19</v>
      </c>
      <c r="C293" s="252" t="s">
        <v>20</v>
      </c>
      <c r="D293" s="252" t="s">
        <v>2474</v>
      </c>
      <c r="E293" s="252" t="s">
        <v>2475</v>
      </c>
      <c r="F293" s="252" t="s">
        <v>2518</v>
      </c>
      <c r="G293" s="252">
        <v>45</v>
      </c>
      <c r="H293" s="252" t="s">
        <v>928</v>
      </c>
      <c r="I293" s="252" t="s">
        <v>2477</v>
      </c>
      <c r="J293" s="252" t="s">
        <v>928</v>
      </c>
      <c r="K293" s="252" t="s">
        <v>3236</v>
      </c>
      <c r="L293" s="252">
        <v>765.82</v>
      </c>
      <c r="M293" s="252">
        <v>0</v>
      </c>
      <c r="N293" s="252">
        <v>0</v>
      </c>
      <c r="O293" s="252">
        <v>0</v>
      </c>
      <c r="P293" s="252">
        <v>0</v>
      </c>
      <c r="Q293" s="252">
        <v>0</v>
      </c>
      <c r="R293" s="252">
        <v>0</v>
      </c>
      <c r="S293" s="252">
        <v>0</v>
      </c>
      <c r="T293" s="252">
        <v>0</v>
      </c>
      <c r="U293" s="252">
        <v>0</v>
      </c>
      <c r="V293" s="252">
        <v>0</v>
      </c>
      <c r="W293" s="252">
        <v>0</v>
      </c>
      <c r="X293" s="252">
        <v>0</v>
      </c>
      <c r="Y293" s="252">
        <v>612.23</v>
      </c>
      <c r="Z293" s="252">
        <v>0</v>
      </c>
      <c r="AA293" s="252">
        <v>0</v>
      </c>
      <c r="AB293" s="252">
        <v>153.59</v>
      </c>
      <c r="AC293" s="252">
        <v>0</v>
      </c>
      <c r="AD293" s="252">
        <v>0</v>
      </c>
      <c r="AE293" s="252" t="s">
        <v>720</v>
      </c>
      <c r="AF293" s="252" t="s">
        <v>721</v>
      </c>
      <c r="AG293" s="252">
        <f t="shared" si="21"/>
        <v>0</v>
      </c>
      <c r="AH293" s="252">
        <f t="shared" si="22"/>
        <v>0</v>
      </c>
      <c r="AI293" s="252">
        <f t="shared" si="23"/>
        <v>0</v>
      </c>
      <c r="AJ293" s="252">
        <f t="shared" si="24"/>
        <v>0</v>
      </c>
    </row>
    <row r="294" spans="1:36" x14ac:dyDescent="0.2">
      <c r="A294" s="253" t="str">
        <f t="shared" si="20"/>
        <v>SNCF10R03445</v>
      </c>
      <c r="B294" s="252" t="s">
        <v>19</v>
      </c>
      <c r="C294" s="252" t="s">
        <v>20</v>
      </c>
      <c r="D294" s="252" t="s">
        <v>2474</v>
      </c>
      <c r="E294" s="252" t="s">
        <v>2475</v>
      </c>
      <c r="F294" s="252" t="s">
        <v>2518</v>
      </c>
      <c r="G294" s="252">
        <v>45</v>
      </c>
      <c r="H294" s="252" t="s">
        <v>928</v>
      </c>
      <c r="I294" s="252" t="s">
        <v>928</v>
      </c>
      <c r="J294" s="252" t="s">
        <v>928</v>
      </c>
      <c r="K294" s="252" t="s">
        <v>3236</v>
      </c>
      <c r="L294" s="252">
        <v>765.82</v>
      </c>
      <c r="M294" s="252">
        <v>0</v>
      </c>
      <c r="N294" s="252">
        <v>0</v>
      </c>
      <c r="O294" s="252">
        <v>0</v>
      </c>
      <c r="P294" s="252">
        <v>0</v>
      </c>
      <c r="Q294" s="252">
        <v>0</v>
      </c>
      <c r="R294" s="252">
        <v>0</v>
      </c>
      <c r="S294" s="252">
        <v>0</v>
      </c>
      <c r="T294" s="252">
        <v>0</v>
      </c>
      <c r="U294" s="252">
        <v>0</v>
      </c>
      <c r="V294" s="252">
        <v>0</v>
      </c>
      <c r="W294" s="252">
        <v>0</v>
      </c>
      <c r="X294" s="252">
        <v>0</v>
      </c>
      <c r="Y294" s="252">
        <v>612.23</v>
      </c>
      <c r="Z294" s="252">
        <v>0</v>
      </c>
      <c r="AA294" s="252">
        <v>0</v>
      </c>
      <c r="AB294" s="252">
        <v>153.59</v>
      </c>
      <c r="AC294" s="252">
        <v>0</v>
      </c>
      <c r="AD294" s="252">
        <v>0</v>
      </c>
      <c r="AE294" s="252" t="s">
        <v>720</v>
      </c>
      <c r="AF294" s="252" t="s">
        <v>721</v>
      </c>
      <c r="AG294" s="252">
        <f t="shared" si="21"/>
        <v>0</v>
      </c>
      <c r="AH294" s="252">
        <f t="shared" si="22"/>
        <v>0</v>
      </c>
      <c r="AI294" s="252">
        <f t="shared" si="23"/>
        <v>0</v>
      </c>
      <c r="AJ294" s="252">
        <f t="shared" si="24"/>
        <v>0</v>
      </c>
    </row>
    <row r="295" spans="1:36" x14ac:dyDescent="0.2">
      <c r="A295" s="253" t="str">
        <f t="shared" si="20"/>
        <v>2SNCF10R307K40</v>
      </c>
      <c r="B295" s="252" t="s">
        <v>19</v>
      </c>
      <c r="C295" s="252" t="s">
        <v>20</v>
      </c>
      <c r="D295" s="252" t="s">
        <v>2474</v>
      </c>
      <c r="E295" s="252" t="s">
        <v>2475</v>
      </c>
      <c r="F295" s="252" t="s">
        <v>2519</v>
      </c>
      <c r="G295" s="252">
        <v>40</v>
      </c>
      <c r="H295" s="252" t="s">
        <v>928</v>
      </c>
      <c r="I295" s="252" t="s">
        <v>2477</v>
      </c>
      <c r="J295" s="252" t="s">
        <v>928</v>
      </c>
      <c r="K295" s="252" t="s">
        <v>3236</v>
      </c>
      <c r="L295" s="252">
        <v>1008.86</v>
      </c>
      <c r="M295" s="252">
        <v>0</v>
      </c>
      <c r="N295" s="252">
        <v>0</v>
      </c>
      <c r="O295" s="252">
        <v>0</v>
      </c>
      <c r="P295" s="252">
        <v>0</v>
      </c>
      <c r="Q295" s="252">
        <v>0</v>
      </c>
      <c r="R295" s="252">
        <v>0</v>
      </c>
      <c r="S295" s="252">
        <v>0</v>
      </c>
      <c r="T295" s="252">
        <v>0</v>
      </c>
      <c r="U295" s="252">
        <v>0</v>
      </c>
      <c r="V295" s="252">
        <v>0</v>
      </c>
      <c r="W295" s="252">
        <v>0</v>
      </c>
      <c r="X295" s="252">
        <v>0</v>
      </c>
      <c r="Y295" s="252">
        <v>863.46</v>
      </c>
      <c r="Z295" s="252">
        <v>0</v>
      </c>
      <c r="AA295" s="252">
        <v>0</v>
      </c>
      <c r="AB295" s="252">
        <v>145.4</v>
      </c>
      <c r="AC295" s="252">
        <v>0</v>
      </c>
      <c r="AD295" s="252">
        <v>0</v>
      </c>
      <c r="AE295" s="252" t="s">
        <v>720</v>
      </c>
      <c r="AF295" s="252" t="s">
        <v>721</v>
      </c>
      <c r="AG295" s="252">
        <f t="shared" si="21"/>
        <v>0</v>
      </c>
      <c r="AH295" s="252">
        <f t="shared" si="22"/>
        <v>0</v>
      </c>
      <c r="AI295" s="252">
        <f t="shared" si="23"/>
        <v>0</v>
      </c>
      <c r="AJ295" s="252">
        <f t="shared" si="24"/>
        <v>0</v>
      </c>
    </row>
    <row r="296" spans="1:36" x14ac:dyDescent="0.2">
      <c r="A296" s="253" t="str">
        <f t="shared" si="20"/>
        <v>SNCF10R307K40</v>
      </c>
      <c r="B296" s="252" t="s">
        <v>19</v>
      </c>
      <c r="C296" s="252" t="s">
        <v>20</v>
      </c>
      <c r="D296" s="252" t="s">
        <v>2474</v>
      </c>
      <c r="E296" s="252" t="s">
        <v>2475</v>
      </c>
      <c r="F296" s="252" t="s">
        <v>2519</v>
      </c>
      <c r="G296" s="252">
        <v>40</v>
      </c>
      <c r="H296" s="252" t="s">
        <v>928</v>
      </c>
      <c r="I296" s="252" t="s">
        <v>928</v>
      </c>
      <c r="J296" s="252" t="s">
        <v>928</v>
      </c>
      <c r="K296" s="252" t="s">
        <v>3236</v>
      </c>
      <c r="L296" s="252">
        <v>1008.86</v>
      </c>
      <c r="M296" s="252">
        <v>0</v>
      </c>
      <c r="N296" s="252">
        <v>0</v>
      </c>
      <c r="O296" s="252">
        <v>0</v>
      </c>
      <c r="P296" s="252">
        <v>0</v>
      </c>
      <c r="Q296" s="252">
        <v>0</v>
      </c>
      <c r="R296" s="252">
        <v>0</v>
      </c>
      <c r="S296" s="252">
        <v>0</v>
      </c>
      <c r="T296" s="252">
        <v>0</v>
      </c>
      <c r="U296" s="252">
        <v>0</v>
      </c>
      <c r="V296" s="252">
        <v>0</v>
      </c>
      <c r="W296" s="252">
        <v>0</v>
      </c>
      <c r="X296" s="252">
        <v>0</v>
      </c>
      <c r="Y296" s="252">
        <v>863.46</v>
      </c>
      <c r="Z296" s="252">
        <v>0</v>
      </c>
      <c r="AA296" s="252">
        <v>0</v>
      </c>
      <c r="AB296" s="252">
        <v>145.4</v>
      </c>
      <c r="AC296" s="252">
        <v>0</v>
      </c>
      <c r="AD296" s="252">
        <v>0</v>
      </c>
      <c r="AE296" s="252" t="s">
        <v>720</v>
      </c>
      <c r="AF296" s="252" t="s">
        <v>721</v>
      </c>
      <c r="AG296" s="252">
        <f t="shared" si="21"/>
        <v>0</v>
      </c>
      <c r="AH296" s="252">
        <f t="shared" si="22"/>
        <v>0</v>
      </c>
      <c r="AI296" s="252">
        <f t="shared" si="23"/>
        <v>0</v>
      </c>
      <c r="AJ296" s="252">
        <f t="shared" si="24"/>
        <v>0</v>
      </c>
    </row>
    <row r="297" spans="1:36" x14ac:dyDescent="0.2">
      <c r="A297" s="253" t="str">
        <f t="shared" si="20"/>
        <v>2SNCF10R405CZ30</v>
      </c>
      <c r="B297" s="252" t="s">
        <v>19</v>
      </c>
      <c r="C297" s="252" t="s">
        <v>20</v>
      </c>
      <c r="D297" s="252" t="s">
        <v>2474</v>
      </c>
      <c r="E297" s="252" t="s">
        <v>2475</v>
      </c>
      <c r="F297" s="252" t="s">
        <v>2658</v>
      </c>
      <c r="G297" s="252">
        <v>30</v>
      </c>
      <c r="H297" s="252" t="s">
        <v>928</v>
      </c>
      <c r="I297" s="252" t="s">
        <v>2477</v>
      </c>
      <c r="J297" s="252" t="s">
        <v>928</v>
      </c>
      <c r="K297" s="252" t="s">
        <v>3236</v>
      </c>
      <c r="L297" s="252">
        <v>774.99</v>
      </c>
      <c r="M297" s="252">
        <v>0</v>
      </c>
      <c r="N297" s="252">
        <v>0</v>
      </c>
      <c r="O297" s="252">
        <v>0</v>
      </c>
      <c r="P297" s="252">
        <v>0</v>
      </c>
      <c r="Q297" s="252">
        <v>0</v>
      </c>
      <c r="R297" s="252">
        <v>0</v>
      </c>
      <c r="S297" s="252">
        <v>0</v>
      </c>
      <c r="T297" s="252">
        <v>0</v>
      </c>
      <c r="U297" s="252">
        <v>0</v>
      </c>
      <c r="V297" s="252">
        <v>0</v>
      </c>
      <c r="W297" s="252">
        <v>0</v>
      </c>
      <c r="X297" s="252">
        <v>0</v>
      </c>
      <c r="Y297" s="252">
        <v>636.32000000000005</v>
      </c>
      <c r="Z297" s="252">
        <v>0</v>
      </c>
      <c r="AA297" s="252">
        <v>0</v>
      </c>
      <c r="AB297" s="252">
        <v>138.66999999999999</v>
      </c>
      <c r="AC297" s="252">
        <v>0</v>
      </c>
      <c r="AD297" s="252">
        <v>0</v>
      </c>
      <c r="AE297" s="252" t="s">
        <v>720</v>
      </c>
      <c r="AF297" s="252" t="s">
        <v>721</v>
      </c>
      <c r="AG297" s="252">
        <f t="shared" si="21"/>
        <v>0</v>
      </c>
      <c r="AH297" s="252">
        <f t="shared" si="22"/>
        <v>0</v>
      </c>
      <c r="AI297" s="252">
        <f t="shared" si="23"/>
        <v>0</v>
      </c>
      <c r="AJ297" s="252">
        <f t="shared" si="24"/>
        <v>0</v>
      </c>
    </row>
    <row r="298" spans="1:36" x14ac:dyDescent="0.2">
      <c r="A298" s="253" t="str">
        <f t="shared" si="20"/>
        <v>2SNCF10S500A35</v>
      </c>
      <c r="B298" s="252" t="s">
        <v>19</v>
      </c>
      <c r="C298" s="252" t="s">
        <v>20</v>
      </c>
      <c r="D298" s="252" t="s">
        <v>2474</v>
      </c>
      <c r="E298" s="252" t="s">
        <v>2475</v>
      </c>
      <c r="F298" s="252" t="s">
        <v>2520</v>
      </c>
      <c r="G298" s="252">
        <v>35</v>
      </c>
      <c r="H298" s="252" t="s">
        <v>928</v>
      </c>
      <c r="I298" s="252" t="s">
        <v>2477</v>
      </c>
      <c r="J298" s="252" t="s">
        <v>928</v>
      </c>
      <c r="K298" s="252" t="s">
        <v>3236</v>
      </c>
      <c r="L298" s="252">
        <v>496.9</v>
      </c>
      <c r="M298" s="252">
        <v>0</v>
      </c>
      <c r="N298" s="252">
        <v>0</v>
      </c>
      <c r="O298" s="252">
        <v>0</v>
      </c>
      <c r="P298" s="252">
        <v>0</v>
      </c>
      <c r="Q298" s="252">
        <v>0</v>
      </c>
      <c r="R298" s="252">
        <v>0</v>
      </c>
      <c r="S298" s="252">
        <v>0</v>
      </c>
      <c r="T298" s="252">
        <v>0</v>
      </c>
      <c r="U298" s="252">
        <v>0</v>
      </c>
      <c r="V298" s="252">
        <v>0</v>
      </c>
      <c r="W298" s="252">
        <v>0</v>
      </c>
      <c r="X298" s="252">
        <v>0</v>
      </c>
      <c r="Y298" s="252">
        <v>406.88</v>
      </c>
      <c r="Z298" s="252">
        <v>0</v>
      </c>
      <c r="AA298" s="252">
        <v>0</v>
      </c>
      <c r="AB298" s="252">
        <v>90.03</v>
      </c>
      <c r="AC298" s="252">
        <v>0</v>
      </c>
      <c r="AD298" s="252">
        <v>0</v>
      </c>
      <c r="AE298" s="252" t="s">
        <v>720</v>
      </c>
      <c r="AF298" s="252" t="s">
        <v>721</v>
      </c>
      <c r="AG298" s="252">
        <f t="shared" si="21"/>
        <v>0</v>
      </c>
      <c r="AH298" s="252">
        <f t="shared" si="22"/>
        <v>0</v>
      </c>
      <c r="AI298" s="252">
        <f t="shared" si="23"/>
        <v>0</v>
      </c>
      <c r="AJ298" s="252">
        <f t="shared" si="24"/>
        <v>0</v>
      </c>
    </row>
    <row r="299" spans="1:36" x14ac:dyDescent="0.2">
      <c r="A299" s="253" t="str">
        <f t="shared" si="20"/>
        <v>SNCF10S500A35</v>
      </c>
      <c r="B299" s="252" t="s">
        <v>19</v>
      </c>
      <c r="C299" s="252" t="s">
        <v>20</v>
      </c>
      <c r="D299" s="252" t="s">
        <v>2474</v>
      </c>
      <c r="E299" s="252" t="s">
        <v>2475</v>
      </c>
      <c r="F299" s="252" t="s">
        <v>2520</v>
      </c>
      <c r="G299" s="252">
        <v>35</v>
      </c>
      <c r="H299" s="252" t="s">
        <v>928</v>
      </c>
      <c r="I299" s="252" t="s">
        <v>928</v>
      </c>
      <c r="J299" s="252" t="s">
        <v>928</v>
      </c>
      <c r="K299" s="252" t="s">
        <v>3236</v>
      </c>
      <c r="L299" s="252">
        <v>496.9</v>
      </c>
      <c r="M299" s="252">
        <v>0</v>
      </c>
      <c r="N299" s="252">
        <v>0</v>
      </c>
      <c r="O299" s="252">
        <v>0</v>
      </c>
      <c r="P299" s="252">
        <v>0</v>
      </c>
      <c r="Q299" s="252">
        <v>0</v>
      </c>
      <c r="R299" s="252">
        <v>0</v>
      </c>
      <c r="S299" s="252">
        <v>0</v>
      </c>
      <c r="T299" s="252">
        <v>0</v>
      </c>
      <c r="U299" s="252">
        <v>0</v>
      </c>
      <c r="V299" s="252">
        <v>0</v>
      </c>
      <c r="W299" s="252">
        <v>0</v>
      </c>
      <c r="X299" s="252">
        <v>0</v>
      </c>
      <c r="Y299" s="252">
        <v>406.88</v>
      </c>
      <c r="Z299" s="252">
        <v>0</v>
      </c>
      <c r="AA299" s="252">
        <v>0</v>
      </c>
      <c r="AB299" s="252">
        <v>90.03</v>
      </c>
      <c r="AC299" s="252">
        <v>0</v>
      </c>
      <c r="AD299" s="252">
        <v>0</v>
      </c>
      <c r="AE299" s="252" t="s">
        <v>720</v>
      </c>
      <c r="AF299" s="252" t="s">
        <v>721</v>
      </c>
      <c r="AG299" s="252">
        <f t="shared" si="21"/>
        <v>0</v>
      </c>
      <c r="AH299" s="252">
        <f t="shared" si="22"/>
        <v>0</v>
      </c>
      <c r="AI299" s="252">
        <f t="shared" si="23"/>
        <v>0</v>
      </c>
      <c r="AJ299" s="252">
        <f t="shared" si="24"/>
        <v>0</v>
      </c>
    </row>
    <row r="300" spans="1:36" x14ac:dyDescent="0.2">
      <c r="A300" s="253" t="str">
        <f t="shared" si="20"/>
        <v>2SNCF10S500A40</v>
      </c>
      <c r="B300" s="252" t="s">
        <v>19</v>
      </c>
      <c r="C300" s="252" t="s">
        <v>20</v>
      </c>
      <c r="D300" s="252" t="s">
        <v>2474</v>
      </c>
      <c r="E300" s="252" t="s">
        <v>2475</v>
      </c>
      <c r="F300" s="252" t="s">
        <v>2520</v>
      </c>
      <c r="G300" s="252">
        <v>40</v>
      </c>
      <c r="H300" s="252" t="s">
        <v>928</v>
      </c>
      <c r="I300" s="252" t="s">
        <v>2477</v>
      </c>
      <c r="J300" s="252" t="s">
        <v>928</v>
      </c>
      <c r="K300" s="252" t="s">
        <v>3236</v>
      </c>
      <c r="L300" s="252">
        <v>547.30999999999995</v>
      </c>
      <c r="M300" s="252">
        <v>0</v>
      </c>
      <c r="N300" s="252">
        <v>0</v>
      </c>
      <c r="O300" s="252">
        <v>0</v>
      </c>
      <c r="P300" s="252">
        <v>0</v>
      </c>
      <c r="Q300" s="252">
        <v>0</v>
      </c>
      <c r="R300" s="252">
        <v>0</v>
      </c>
      <c r="S300" s="252">
        <v>0</v>
      </c>
      <c r="T300" s="252">
        <v>0</v>
      </c>
      <c r="U300" s="252">
        <v>0</v>
      </c>
      <c r="V300" s="252">
        <v>0</v>
      </c>
      <c r="W300" s="252">
        <v>0</v>
      </c>
      <c r="X300" s="252">
        <v>0</v>
      </c>
      <c r="Y300" s="252">
        <v>440.07</v>
      </c>
      <c r="Z300" s="252">
        <v>0</v>
      </c>
      <c r="AA300" s="252">
        <v>0</v>
      </c>
      <c r="AB300" s="252">
        <v>107.24</v>
      </c>
      <c r="AC300" s="252">
        <v>0</v>
      </c>
      <c r="AD300" s="252">
        <v>0</v>
      </c>
      <c r="AE300" s="252" t="s">
        <v>720</v>
      </c>
      <c r="AF300" s="252" t="s">
        <v>721</v>
      </c>
      <c r="AG300" s="252">
        <f t="shared" si="21"/>
        <v>0</v>
      </c>
      <c r="AH300" s="252">
        <f t="shared" si="22"/>
        <v>0</v>
      </c>
      <c r="AI300" s="252">
        <f t="shared" si="23"/>
        <v>0</v>
      </c>
      <c r="AJ300" s="252">
        <f t="shared" si="24"/>
        <v>0</v>
      </c>
    </row>
    <row r="301" spans="1:36" x14ac:dyDescent="0.2">
      <c r="A301" s="253" t="str">
        <f t="shared" si="20"/>
        <v>SNCF10S500A40</v>
      </c>
      <c r="B301" s="252" t="s">
        <v>19</v>
      </c>
      <c r="C301" s="252" t="s">
        <v>20</v>
      </c>
      <c r="D301" s="252" t="s">
        <v>2474</v>
      </c>
      <c r="E301" s="252" t="s">
        <v>2475</v>
      </c>
      <c r="F301" s="252" t="s">
        <v>2520</v>
      </c>
      <c r="G301" s="252">
        <v>40</v>
      </c>
      <c r="H301" s="252" t="s">
        <v>928</v>
      </c>
      <c r="I301" s="252" t="s">
        <v>928</v>
      </c>
      <c r="J301" s="252" t="s">
        <v>928</v>
      </c>
      <c r="K301" s="252" t="s">
        <v>3236</v>
      </c>
      <c r="L301" s="252">
        <v>547.30999999999995</v>
      </c>
      <c r="M301" s="252">
        <v>0</v>
      </c>
      <c r="N301" s="252">
        <v>0</v>
      </c>
      <c r="O301" s="252">
        <v>0</v>
      </c>
      <c r="P301" s="252">
        <v>0</v>
      </c>
      <c r="Q301" s="252">
        <v>0</v>
      </c>
      <c r="R301" s="252">
        <v>0</v>
      </c>
      <c r="S301" s="252">
        <v>0</v>
      </c>
      <c r="T301" s="252">
        <v>0</v>
      </c>
      <c r="U301" s="252">
        <v>0</v>
      </c>
      <c r="V301" s="252">
        <v>0</v>
      </c>
      <c r="W301" s="252">
        <v>0</v>
      </c>
      <c r="X301" s="252">
        <v>0</v>
      </c>
      <c r="Y301" s="252">
        <v>440.07</v>
      </c>
      <c r="Z301" s="252">
        <v>0</v>
      </c>
      <c r="AA301" s="252">
        <v>0</v>
      </c>
      <c r="AB301" s="252">
        <v>107.24</v>
      </c>
      <c r="AC301" s="252">
        <v>0</v>
      </c>
      <c r="AD301" s="252">
        <v>0</v>
      </c>
      <c r="AE301" s="252" t="s">
        <v>720</v>
      </c>
      <c r="AF301" s="252" t="s">
        <v>721</v>
      </c>
      <c r="AG301" s="252">
        <f t="shared" si="21"/>
        <v>0</v>
      </c>
      <c r="AH301" s="252">
        <f t="shared" si="22"/>
        <v>0</v>
      </c>
      <c r="AI301" s="252">
        <f t="shared" si="23"/>
        <v>0</v>
      </c>
      <c r="AJ301" s="252">
        <f t="shared" si="24"/>
        <v>0</v>
      </c>
    </row>
    <row r="302" spans="1:36" x14ac:dyDescent="0.2">
      <c r="A302" s="253" t="str">
        <f t="shared" si="20"/>
        <v>2SNCF1009021T20</v>
      </c>
      <c r="B302" s="252" t="s">
        <v>19</v>
      </c>
      <c r="C302" s="252" t="s">
        <v>20</v>
      </c>
      <c r="D302" s="252" t="s">
        <v>2521</v>
      </c>
      <c r="E302" s="252" t="s">
        <v>2522</v>
      </c>
      <c r="F302" s="252" t="s">
        <v>2523</v>
      </c>
      <c r="G302" s="252">
        <v>20</v>
      </c>
      <c r="H302" s="252" t="s">
        <v>928</v>
      </c>
      <c r="I302" s="252" t="s">
        <v>2477</v>
      </c>
      <c r="J302" s="252" t="s">
        <v>928</v>
      </c>
      <c r="K302" s="252" t="s">
        <v>3236</v>
      </c>
      <c r="L302" s="252">
        <v>339.42</v>
      </c>
      <c r="M302" s="252">
        <v>0</v>
      </c>
      <c r="N302" s="252">
        <v>0</v>
      </c>
      <c r="O302" s="252">
        <v>0</v>
      </c>
      <c r="P302" s="252">
        <v>0</v>
      </c>
      <c r="Q302" s="252">
        <v>0</v>
      </c>
      <c r="R302" s="252">
        <v>0</v>
      </c>
      <c r="S302" s="252">
        <v>0</v>
      </c>
      <c r="T302" s="252">
        <v>0</v>
      </c>
      <c r="U302" s="252">
        <v>0</v>
      </c>
      <c r="V302" s="252">
        <v>0</v>
      </c>
      <c r="W302" s="252">
        <v>0</v>
      </c>
      <c r="X302" s="252">
        <v>0</v>
      </c>
      <c r="Y302" s="252">
        <v>275.01</v>
      </c>
      <c r="Z302" s="252">
        <v>0</v>
      </c>
      <c r="AA302" s="252">
        <v>0</v>
      </c>
      <c r="AB302" s="252">
        <v>64.41</v>
      </c>
      <c r="AC302" s="252">
        <v>0</v>
      </c>
      <c r="AD302" s="252">
        <v>0</v>
      </c>
      <c r="AE302" s="252" t="s">
        <v>720</v>
      </c>
      <c r="AF302" s="252" t="s">
        <v>721</v>
      </c>
      <c r="AG302" s="252">
        <f t="shared" si="21"/>
        <v>0</v>
      </c>
      <c r="AH302" s="252">
        <f t="shared" si="22"/>
        <v>0</v>
      </c>
      <c r="AI302" s="252">
        <f t="shared" si="23"/>
        <v>0</v>
      </c>
      <c r="AJ302" s="252">
        <f t="shared" si="24"/>
        <v>0</v>
      </c>
    </row>
    <row r="303" spans="1:36" x14ac:dyDescent="0.2">
      <c r="A303" s="253" t="str">
        <f t="shared" si="20"/>
        <v>SNCF1009021T20</v>
      </c>
      <c r="B303" s="252" t="s">
        <v>19</v>
      </c>
      <c r="C303" s="252" t="s">
        <v>20</v>
      </c>
      <c r="D303" s="252" t="s">
        <v>2521</v>
      </c>
      <c r="E303" s="252" t="s">
        <v>2522</v>
      </c>
      <c r="F303" s="252" t="s">
        <v>2523</v>
      </c>
      <c r="G303" s="252">
        <v>20</v>
      </c>
      <c r="H303" s="252" t="s">
        <v>928</v>
      </c>
      <c r="I303" s="252" t="s">
        <v>928</v>
      </c>
      <c r="J303" s="252" t="s">
        <v>928</v>
      </c>
      <c r="K303" s="252" t="s">
        <v>3236</v>
      </c>
      <c r="L303" s="252">
        <v>339.42</v>
      </c>
      <c r="M303" s="252">
        <v>0</v>
      </c>
      <c r="N303" s="252">
        <v>0</v>
      </c>
      <c r="O303" s="252">
        <v>0</v>
      </c>
      <c r="P303" s="252">
        <v>0</v>
      </c>
      <c r="Q303" s="252">
        <v>0</v>
      </c>
      <c r="R303" s="252">
        <v>0</v>
      </c>
      <c r="S303" s="252">
        <v>0</v>
      </c>
      <c r="T303" s="252">
        <v>0</v>
      </c>
      <c r="U303" s="252">
        <v>0</v>
      </c>
      <c r="V303" s="252">
        <v>0</v>
      </c>
      <c r="W303" s="252">
        <v>0</v>
      </c>
      <c r="X303" s="252">
        <v>0</v>
      </c>
      <c r="Y303" s="252">
        <v>275.01</v>
      </c>
      <c r="Z303" s="252">
        <v>0</v>
      </c>
      <c r="AA303" s="252">
        <v>0</v>
      </c>
      <c r="AB303" s="252">
        <v>64.41</v>
      </c>
      <c r="AC303" s="252">
        <v>0</v>
      </c>
      <c r="AD303" s="252">
        <v>0</v>
      </c>
      <c r="AE303" s="252" t="s">
        <v>720</v>
      </c>
      <c r="AF303" s="252" t="s">
        <v>721</v>
      </c>
      <c r="AG303" s="252">
        <f t="shared" si="21"/>
        <v>0</v>
      </c>
      <c r="AH303" s="252">
        <f t="shared" si="22"/>
        <v>0</v>
      </c>
      <c r="AI303" s="252">
        <f t="shared" si="23"/>
        <v>0</v>
      </c>
      <c r="AJ303" s="252">
        <f t="shared" si="24"/>
        <v>0</v>
      </c>
    </row>
    <row r="304" spans="1:36" x14ac:dyDescent="0.2">
      <c r="A304" s="253" t="str">
        <f t="shared" si="20"/>
        <v>2SNCF1009021T25</v>
      </c>
      <c r="B304" s="252" t="s">
        <v>19</v>
      </c>
      <c r="C304" s="252" t="s">
        <v>20</v>
      </c>
      <c r="D304" s="252" t="s">
        <v>2521</v>
      </c>
      <c r="E304" s="252" t="s">
        <v>2522</v>
      </c>
      <c r="F304" s="252" t="s">
        <v>2523</v>
      </c>
      <c r="G304" s="252">
        <v>25</v>
      </c>
      <c r="H304" s="252" t="s">
        <v>928</v>
      </c>
      <c r="I304" s="252" t="s">
        <v>2477</v>
      </c>
      <c r="J304" s="252" t="s">
        <v>928</v>
      </c>
      <c r="K304" s="252" t="s">
        <v>3236</v>
      </c>
      <c r="L304" s="252">
        <v>291.08</v>
      </c>
      <c r="M304" s="252">
        <v>0</v>
      </c>
      <c r="N304" s="252">
        <v>0</v>
      </c>
      <c r="O304" s="252">
        <v>0</v>
      </c>
      <c r="P304" s="252">
        <v>0</v>
      </c>
      <c r="Q304" s="252">
        <v>0</v>
      </c>
      <c r="R304" s="252">
        <v>0</v>
      </c>
      <c r="S304" s="252">
        <v>0</v>
      </c>
      <c r="T304" s="252">
        <v>0</v>
      </c>
      <c r="U304" s="252">
        <v>0</v>
      </c>
      <c r="V304" s="252">
        <v>0</v>
      </c>
      <c r="W304" s="252">
        <v>0</v>
      </c>
      <c r="X304" s="252">
        <v>0</v>
      </c>
      <c r="Y304" s="252">
        <v>244.42</v>
      </c>
      <c r="Z304" s="252">
        <v>0</v>
      </c>
      <c r="AA304" s="252">
        <v>0</v>
      </c>
      <c r="AB304" s="252">
        <v>46.66</v>
      </c>
      <c r="AC304" s="252">
        <v>0</v>
      </c>
      <c r="AD304" s="252">
        <v>0</v>
      </c>
      <c r="AE304" s="252" t="s">
        <v>720</v>
      </c>
      <c r="AF304" s="252" t="s">
        <v>721</v>
      </c>
      <c r="AG304" s="252">
        <f t="shared" si="21"/>
        <v>0</v>
      </c>
      <c r="AH304" s="252">
        <f t="shared" si="22"/>
        <v>0</v>
      </c>
      <c r="AI304" s="252">
        <f t="shared" si="23"/>
        <v>0</v>
      </c>
      <c r="AJ304" s="252">
        <f t="shared" si="24"/>
        <v>0</v>
      </c>
    </row>
    <row r="305" spans="1:36" x14ac:dyDescent="0.2">
      <c r="A305" s="253" t="str">
        <f t="shared" si="20"/>
        <v>SNCF1009021T25</v>
      </c>
      <c r="B305" s="252" t="s">
        <v>19</v>
      </c>
      <c r="C305" s="252" t="s">
        <v>20</v>
      </c>
      <c r="D305" s="252" t="s">
        <v>2521</v>
      </c>
      <c r="E305" s="252" t="s">
        <v>2522</v>
      </c>
      <c r="F305" s="252" t="s">
        <v>2523</v>
      </c>
      <c r="G305" s="252">
        <v>25</v>
      </c>
      <c r="H305" s="252" t="s">
        <v>928</v>
      </c>
      <c r="I305" s="252" t="s">
        <v>928</v>
      </c>
      <c r="J305" s="252" t="s">
        <v>928</v>
      </c>
      <c r="K305" s="252" t="s">
        <v>3236</v>
      </c>
      <c r="L305" s="252">
        <v>291.08</v>
      </c>
      <c r="M305" s="252">
        <v>0</v>
      </c>
      <c r="N305" s="252">
        <v>0</v>
      </c>
      <c r="O305" s="252">
        <v>0</v>
      </c>
      <c r="P305" s="252">
        <v>0</v>
      </c>
      <c r="Q305" s="252">
        <v>0</v>
      </c>
      <c r="R305" s="252">
        <v>0</v>
      </c>
      <c r="S305" s="252">
        <v>0</v>
      </c>
      <c r="T305" s="252">
        <v>0</v>
      </c>
      <c r="U305" s="252">
        <v>0</v>
      </c>
      <c r="V305" s="252">
        <v>0</v>
      </c>
      <c r="W305" s="252">
        <v>0</v>
      </c>
      <c r="X305" s="252">
        <v>0</v>
      </c>
      <c r="Y305" s="252">
        <v>244.42</v>
      </c>
      <c r="Z305" s="252">
        <v>0</v>
      </c>
      <c r="AA305" s="252">
        <v>0</v>
      </c>
      <c r="AB305" s="252">
        <v>46.66</v>
      </c>
      <c r="AC305" s="252">
        <v>0</v>
      </c>
      <c r="AD305" s="252">
        <v>0</v>
      </c>
      <c r="AE305" s="252" t="s">
        <v>720</v>
      </c>
      <c r="AF305" s="252" t="s">
        <v>721</v>
      </c>
      <c r="AG305" s="252">
        <f t="shared" si="21"/>
        <v>0</v>
      </c>
      <c r="AH305" s="252">
        <f t="shared" si="22"/>
        <v>0</v>
      </c>
      <c r="AI305" s="252">
        <f t="shared" si="23"/>
        <v>0</v>
      </c>
      <c r="AJ305" s="252">
        <f t="shared" si="24"/>
        <v>0</v>
      </c>
    </row>
    <row r="306" spans="1:36" x14ac:dyDescent="0.2">
      <c r="A306" s="253" t="str">
        <f t="shared" si="20"/>
        <v>2SNCF100904120</v>
      </c>
      <c r="B306" s="252" t="s">
        <v>19</v>
      </c>
      <c r="C306" s="252" t="s">
        <v>20</v>
      </c>
      <c r="D306" s="252" t="s">
        <v>2521</v>
      </c>
      <c r="E306" s="252" t="s">
        <v>2522</v>
      </c>
      <c r="F306" s="252" t="s">
        <v>2524</v>
      </c>
      <c r="G306" s="252">
        <v>20</v>
      </c>
      <c r="H306" s="252" t="s">
        <v>928</v>
      </c>
      <c r="I306" s="252" t="s">
        <v>2477</v>
      </c>
      <c r="J306" s="252" t="s">
        <v>928</v>
      </c>
      <c r="K306" s="252" t="s">
        <v>3236</v>
      </c>
      <c r="L306" s="252">
        <v>299.24</v>
      </c>
      <c r="M306" s="252">
        <v>0</v>
      </c>
      <c r="N306" s="252">
        <v>0</v>
      </c>
      <c r="O306" s="252">
        <v>0</v>
      </c>
      <c r="P306" s="252">
        <v>0</v>
      </c>
      <c r="Q306" s="252">
        <v>0</v>
      </c>
      <c r="R306" s="252">
        <v>0</v>
      </c>
      <c r="S306" s="252">
        <v>0</v>
      </c>
      <c r="T306" s="252">
        <v>0</v>
      </c>
      <c r="U306" s="252">
        <v>0</v>
      </c>
      <c r="V306" s="252">
        <v>0</v>
      </c>
      <c r="W306" s="252">
        <v>0</v>
      </c>
      <c r="X306" s="252">
        <v>0</v>
      </c>
      <c r="Y306" s="252">
        <v>248.15</v>
      </c>
      <c r="Z306" s="252">
        <v>0</v>
      </c>
      <c r="AA306" s="252">
        <v>0</v>
      </c>
      <c r="AB306" s="252">
        <v>51.09</v>
      </c>
      <c r="AC306" s="252">
        <v>0</v>
      </c>
      <c r="AD306" s="252">
        <v>0</v>
      </c>
      <c r="AE306" s="252" t="s">
        <v>720</v>
      </c>
      <c r="AF306" s="252" t="s">
        <v>721</v>
      </c>
      <c r="AG306" s="252">
        <f t="shared" si="21"/>
        <v>0</v>
      </c>
      <c r="AH306" s="252">
        <f t="shared" si="22"/>
        <v>0</v>
      </c>
      <c r="AI306" s="252">
        <f t="shared" si="23"/>
        <v>0</v>
      </c>
      <c r="AJ306" s="252">
        <f t="shared" si="24"/>
        <v>0</v>
      </c>
    </row>
    <row r="307" spans="1:36" x14ac:dyDescent="0.2">
      <c r="A307" s="253" t="str">
        <f t="shared" si="20"/>
        <v>SNCF100904120</v>
      </c>
      <c r="B307" s="252" t="s">
        <v>19</v>
      </c>
      <c r="C307" s="252" t="s">
        <v>20</v>
      </c>
      <c r="D307" s="252" t="s">
        <v>2521</v>
      </c>
      <c r="E307" s="252" t="s">
        <v>2522</v>
      </c>
      <c r="F307" s="252" t="s">
        <v>2524</v>
      </c>
      <c r="G307" s="252">
        <v>20</v>
      </c>
      <c r="H307" s="252" t="s">
        <v>928</v>
      </c>
      <c r="I307" s="252" t="s">
        <v>928</v>
      </c>
      <c r="J307" s="252" t="s">
        <v>928</v>
      </c>
      <c r="K307" s="252" t="s">
        <v>3236</v>
      </c>
      <c r="L307" s="252">
        <v>299.24</v>
      </c>
      <c r="M307" s="252">
        <v>0</v>
      </c>
      <c r="N307" s="252">
        <v>0</v>
      </c>
      <c r="O307" s="252">
        <v>0</v>
      </c>
      <c r="P307" s="252">
        <v>0</v>
      </c>
      <c r="Q307" s="252">
        <v>0</v>
      </c>
      <c r="R307" s="252">
        <v>0</v>
      </c>
      <c r="S307" s="252">
        <v>0</v>
      </c>
      <c r="T307" s="252">
        <v>0</v>
      </c>
      <c r="U307" s="252">
        <v>0</v>
      </c>
      <c r="V307" s="252">
        <v>0</v>
      </c>
      <c r="W307" s="252">
        <v>0</v>
      </c>
      <c r="X307" s="252">
        <v>0</v>
      </c>
      <c r="Y307" s="252">
        <v>248.15</v>
      </c>
      <c r="Z307" s="252">
        <v>0</v>
      </c>
      <c r="AA307" s="252">
        <v>0</v>
      </c>
      <c r="AB307" s="252">
        <v>51.09</v>
      </c>
      <c r="AC307" s="252">
        <v>0</v>
      </c>
      <c r="AD307" s="252">
        <v>0</v>
      </c>
      <c r="AE307" s="252" t="s">
        <v>720</v>
      </c>
      <c r="AF307" s="252" t="s">
        <v>721</v>
      </c>
      <c r="AG307" s="252">
        <f t="shared" si="21"/>
        <v>0</v>
      </c>
      <c r="AH307" s="252">
        <f t="shared" si="22"/>
        <v>0</v>
      </c>
      <c r="AI307" s="252">
        <f t="shared" si="23"/>
        <v>0</v>
      </c>
      <c r="AJ307" s="252">
        <f t="shared" si="24"/>
        <v>0</v>
      </c>
    </row>
    <row r="308" spans="1:36" x14ac:dyDescent="0.2">
      <c r="A308" s="253" t="str">
        <f t="shared" si="20"/>
        <v>2SNCF100904125</v>
      </c>
      <c r="B308" s="252" t="s">
        <v>19</v>
      </c>
      <c r="C308" s="252" t="s">
        <v>20</v>
      </c>
      <c r="D308" s="252" t="s">
        <v>2521</v>
      </c>
      <c r="E308" s="252" t="s">
        <v>2522</v>
      </c>
      <c r="F308" s="252" t="s">
        <v>2524</v>
      </c>
      <c r="G308" s="252">
        <v>25</v>
      </c>
      <c r="H308" s="252" t="s">
        <v>928</v>
      </c>
      <c r="I308" s="252" t="s">
        <v>2477</v>
      </c>
      <c r="J308" s="252" t="s">
        <v>928</v>
      </c>
      <c r="K308" s="252" t="s">
        <v>3236</v>
      </c>
      <c r="L308" s="252">
        <v>277.52</v>
      </c>
      <c r="M308" s="252">
        <v>0</v>
      </c>
      <c r="N308" s="252">
        <v>0</v>
      </c>
      <c r="O308" s="252">
        <v>0</v>
      </c>
      <c r="P308" s="252">
        <v>0</v>
      </c>
      <c r="Q308" s="252">
        <v>0</v>
      </c>
      <c r="R308" s="252">
        <v>0</v>
      </c>
      <c r="S308" s="252">
        <v>0</v>
      </c>
      <c r="T308" s="252">
        <v>0</v>
      </c>
      <c r="U308" s="252">
        <v>0</v>
      </c>
      <c r="V308" s="252">
        <v>0</v>
      </c>
      <c r="W308" s="252">
        <v>0</v>
      </c>
      <c r="X308" s="252">
        <v>0</v>
      </c>
      <c r="Y308" s="252">
        <v>240.11</v>
      </c>
      <c r="Z308" s="252">
        <v>0</v>
      </c>
      <c r="AA308" s="252">
        <v>0</v>
      </c>
      <c r="AB308" s="252">
        <v>37.409999999999997</v>
      </c>
      <c r="AC308" s="252">
        <v>0</v>
      </c>
      <c r="AD308" s="252">
        <v>0</v>
      </c>
      <c r="AE308" s="252" t="s">
        <v>720</v>
      </c>
      <c r="AF308" s="252" t="s">
        <v>721</v>
      </c>
      <c r="AG308" s="252">
        <f t="shared" si="21"/>
        <v>0</v>
      </c>
      <c r="AH308" s="252">
        <f t="shared" si="22"/>
        <v>0</v>
      </c>
      <c r="AI308" s="252">
        <f t="shared" si="23"/>
        <v>0</v>
      </c>
      <c r="AJ308" s="252">
        <f t="shared" si="24"/>
        <v>0</v>
      </c>
    </row>
    <row r="309" spans="1:36" x14ac:dyDescent="0.2">
      <c r="A309" s="253" t="str">
        <f t="shared" si="20"/>
        <v>SNCF100904125</v>
      </c>
      <c r="B309" s="252" t="s">
        <v>19</v>
      </c>
      <c r="C309" s="252" t="s">
        <v>20</v>
      </c>
      <c r="D309" s="252" t="s">
        <v>2521</v>
      </c>
      <c r="E309" s="252" t="s">
        <v>2522</v>
      </c>
      <c r="F309" s="252" t="s">
        <v>2524</v>
      </c>
      <c r="G309" s="252">
        <v>25</v>
      </c>
      <c r="H309" s="252" t="s">
        <v>928</v>
      </c>
      <c r="I309" s="252" t="s">
        <v>928</v>
      </c>
      <c r="J309" s="252" t="s">
        <v>928</v>
      </c>
      <c r="K309" s="252" t="s">
        <v>3236</v>
      </c>
      <c r="L309" s="252">
        <v>277.52</v>
      </c>
      <c r="M309" s="252">
        <v>0</v>
      </c>
      <c r="N309" s="252">
        <v>0</v>
      </c>
      <c r="O309" s="252">
        <v>0</v>
      </c>
      <c r="P309" s="252">
        <v>0</v>
      </c>
      <c r="Q309" s="252">
        <v>0</v>
      </c>
      <c r="R309" s="252">
        <v>0</v>
      </c>
      <c r="S309" s="252">
        <v>0</v>
      </c>
      <c r="T309" s="252">
        <v>0</v>
      </c>
      <c r="U309" s="252">
        <v>0</v>
      </c>
      <c r="V309" s="252">
        <v>0</v>
      </c>
      <c r="W309" s="252">
        <v>0</v>
      </c>
      <c r="X309" s="252">
        <v>0</v>
      </c>
      <c r="Y309" s="252">
        <v>240.11</v>
      </c>
      <c r="Z309" s="252">
        <v>0</v>
      </c>
      <c r="AA309" s="252">
        <v>0</v>
      </c>
      <c r="AB309" s="252">
        <v>37.409999999999997</v>
      </c>
      <c r="AC309" s="252">
        <v>0</v>
      </c>
      <c r="AD309" s="252">
        <v>0</v>
      </c>
      <c r="AE309" s="252" t="s">
        <v>720</v>
      </c>
      <c r="AF309" s="252" t="s">
        <v>721</v>
      </c>
      <c r="AG309" s="252">
        <f t="shared" si="21"/>
        <v>0</v>
      </c>
      <c r="AH309" s="252">
        <f t="shared" si="22"/>
        <v>0</v>
      </c>
      <c r="AI309" s="252">
        <f t="shared" si="23"/>
        <v>0</v>
      </c>
      <c r="AJ309" s="252">
        <f t="shared" si="24"/>
        <v>0</v>
      </c>
    </row>
    <row r="310" spans="1:36" x14ac:dyDescent="0.2">
      <c r="A310" s="253" t="str">
        <f t="shared" si="20"/>
        <v>2SNCF100904130</v>
      </c>
      <c r="B310" s="252" t="s">
        <v>19</v>
      </c>
      <c r="C310" s="252" t="s">
        <v>20</v>
      </c>
      <c r="D310" s="252" t="s">
        <v>2521</v>
      </c>
      <c r="E310" s="252" t="s">
        <v>2522</v>
      </c>
      <c r="F310" s="252" t="s">
        <v>2524</v>
      </c>
      <c r="G310" s="252">
        <v>30</v>
      </c>
      <c r="H310" s="252" t="s">
        <v>928</v>
      </c>
      <c r="I310" s="252" t="s">
        <v>2477</v>
      </c>
      <c r="J310" s="252" t="s">
        <v>928</v>
      </c>
      <c r="K310" s="252" t="s">
        <v>3236</v>
      </c>
      <c r="L310" s="252">
        <v>322.93</v>
      </c>
      <c r="M310" s="252">
        <v>0</v>
      </c>
      <c r="N310" s="252">
        <v>0</v>
      </c>
      <c r="O310" s="252">
        <v>0</v>
      </c>
      <c r="P310" s="252">
        <v>0</v>
      </c>
      <c r="Q310" s="252">
        <v>0</v>
      </c>
      <c r="R310" s="252">
        <v>0</v>
      </c>
      <c r="S310" s="252">
        <v>0</v>
      </c>
      <c r="T310" s="252">
        <v>0</v>
      </c>
      <c r="U310" s="252">
        <v>0</v>
      </c>
      <c r="V310" s="252">
        <v>0</v>
      </c>
      <c r="W310" s="252">
        <v>0</v>
      </c>
      <c r="X310" s="252">
        <v>0</v>
      </c>
      <c r="Y310" s="252">
        <v>276.72000000000003</v>
      </c>
      <c r="Z310" s="252">
        <v>0</v>
      </c>
      <c r="AA310" s="252">
        <v>0</v>
      </c>
      <c r="AB310" s="252">
        <v>46.21</v>
      </c>
      <c r="AC310" s="252">
        <v>0</v>
      </c>
      <c r="AD310" s="252">
        <v>0</v>
      </c>
      <c r="AE310" s="252" t="s">
        <v>720</v>
      </c>
      <c r="AF310" s="252" t="s">
        <v>721</v>
      </c>
      <c r="AG310" s="252">
        <f t="shared" si="21"/>
        <v>0</v>
      </c>
      <c r="AH310" s="252">
        <f t="shared" si="22"/>
        <v>0</v>
      </c>
      <c r="AI310" s="252">
        <f t="shared" si="23"/>
        <v>0</v>
      </c>
      <c r="AJ310" s="252">
        <f t="shared" si="24"/>
        <v>0</v>
      </c>
    </row>
    <row r="311" spans="1:36" x14ac:dyDescent="0.2">
      <c r="A311" s="253" t="str">
        <f t="shared" si="20"/>
        <v>SNCF100904130</v>
      </c>
      <c r="B311" s="252" t="s">
        <v>19</v>
      </c>
      <c r="C311" s="252" t="s">
        <v>20</v>
      </c>
      <c r="D311" s="252" t="s">
        <v>2521</v>
      </c>
      <c r="E311" s="252" t="s">
        <v>2522</v>
      </c>
      <c r="F311" s="252" t="s">
        <v>2524</v>
      </c>
      <c r="G311" s="252">
        <v>30</v>
      </c>
      <c r="H311" s="252" t="s">
        <v>928</v>
      </c>
      <c r="I311" s="252" t="s">
        <v>928</v>
      </c>
      <c r="J311" s="252" t="s">
        <v>928</v>
      </c>
      <c r="K311" s="252" t="s">
        <v>3236</v>
      </c>
      <c r="L311" s="252">
        <v>322.93</v>
      </c>
      <c r="M311" s="252">
        <v>0</v>
      </c>
      <c r="N311" s="252">
        <v>0</v>
      </c>
      <c r="O311" s="252">
        <v>0</v>
      </c>
      <c r="P311" s="252">
        <v>0</v>
      </c>
      <c r="Q311" s="252">
        <v>0</v>
      </c>
      <c r="R311" s="252">
        <v>0</v>
      </c>
      <c r="S311" s="252">
        <v>0</v>
      </c>
      <c r="T311" s="252">
        <v>0</v>
      </c>
      <c r="U311" s="252">
        <v>0</v>
      </c>
      <c r="V311" s="252">
        <v>0</v>
      </c>
      <c r="W311" s="252">
        <v>0</v>
      </c>
      <c r="X311" s="252">
        <v>0</v>
      </c>
      <c r="Y311" s="252">
        <v>276.72000000000003</v>
      </c>
      <c r="Z311" s="252">
        <v>0</v>
      </c>
      <c r="AA311" s="252">
        <v>0</v>
      </c>
      <c r="AB311" s="252">
        <v>46.21</v>
      </c>
      <c r="AC311" s="252">
        <v>0</v>
      </c>
      <c r="AD311" s="252">
        <v>0</v>
      </c>
      <c r="AE311" s="252" t="s">
        <v>720</v>
      </c>
      <c r="AF311" s="252" t="s">
        <v>721</v>
      </c>
      <c r="AG311" s="252">
        <f t="shared" si="21"/>
        <v>0</v>
      </c>
      <c r="AH311" s="252">
        <f t="shared" si="22"/>
        <v>0</v>
      </c>
      <c r="AI311" s="252">
        <f t="shared" si="23"/>
        <v>0</v>
      </c>
      <c r="AJ311" s="252">
        <f t="shared" si="24"/>
        <v>0</v>
      </c>
    </row>
    <row r="312" spans="1:36" x14ac:dyDescent="0.2">
      <c r="A312" s="253" t="str">
        <f t="shared" si="20"/>
        <v>2SNCF100904140</v>
      </c>
      <c r="B312" s="252" t="s">
        <v>19</v>
      </c>
      <c r="C312" s="252" t="s">
        <v>20</v>
      </c>
      <c r="D312" s="252" t="s">
        <v>2521</v>
      </c>
      <c r="E312" s="252" t="s">
        <v>2522</v>
      </c>
      <c r="F312" s="252" t="s">
        <v>2524</v>
      </c>
      <c r="G312" s="252">
        <v>40</v>
      </c>
      <c r="H312" s="252" t="s">
        <v>928</v>
      </c>
      <c r="I312" s="252" t="s">
        <v>2477</v>
      </c>
      <c r="J312" s="252" t="s">
        <v>928</v>
      </c>
      <c r="K312" s="252" t="s">
        <v>3236</v>
      </c>
      <c r="L312" s="252">
        <v>315.58999999999997</v>
      </c>
      <c r="M312" s="252">
        <v>0</v>
      </c>
      <c r="N312" s="252">
        <v>0</v>
      </c>
      <c r="O312" s="252">
        <v>0</v>
      </c>
      <c r="P312" s="252">
        <v>0</v>
      </c>
      <c r="Q312" s="252">
        <v>0</v>
      </c>
      <c r="R312" s="252">
        <v>0</v>
      </c>
      <c r="S312" s="252">
        <v>0</v>
      </c>
      <c r="T312" s="252">
        <v>0</v>
      </c>
      <c r="U312" s="252">
        <v>0</v>
      </c>
      <c r="V312" s="252">
        <v>0</v>
      </c>
      <c r="W312" s="252">
        <v>0</v>
      </c>
      <c r="X312" s="252">
        <v>0</v>
      </c>
      <c r="Y312" s="252">
        <v>263.94</v>
      </c>
      <c r="Z312" s="252">
        <v>0</v>
      </c>
      <c r="AA312" s="252">
        <v>0</v>
      </c>
      <c r="AB312" s="252">
        <v>51.65</v>
      </c>
      <c r="AC312" s="252">
        <v>0</v>
      </c>
      <c r="AD312" s="252">
        <v>0</v>
      </c>
      <c r="AE312" s="252" t="s">
        <v>720</v>
      </c>
      <c r="AF312" s="252" t="s">
        <v>721</v>
      </c>
      <c r="AG312" s="252">
        <f t="shared" si="21"/>
        <v>0</v>
      </c>
      <c r="AH312" s="252">
        <f t="shared" si="22"/>
        <v>0</v>
      </c>
      <c r="AI312" s="252">
        <f t="shared" si="23"/>
        <v>0</v>
      </c>
      <c r="AJ312" s="252">
        <f t="shared" si="24"/>
        <v>0</v>
      </c>
    </row>
    <row r="313" spans="1:36" x14ac:dyDescent="0.2">
      <c r="A313" s="253" t="str">
        <f t="shared" si="20"/>
        <v>SNCF100904140</v>
      </c>
      <c r="B313" s="252" t="s">
        <v>19</v>
      </c>
      <c r="C313" s="252" t="s">
        <v>20</v>
      </c>
      <c r="D313" s="252" t="s">
        <v>2521</v>
      </c>
      <c r="E313" s="252" t="s">
        <v>2522</v>
      </c>
      <c r="F313" s="252" t="s">
        <v>2524</v>
      </c>
      <c r="G313" s="252">
        <v>40</v>
      </c>
      <c r="H313" s="252" t="s">
        <v>928</v>
      </c>
      <c r="I313" s="252" t="s">
        <v>928</v>
      </c>
      <c r="J313" s="252" t="s">
        <v>928</v>
      </c>
      <c r="K313" s="252" t="s">
        <v>3236</v>
      </c>
      <c r="L313" s="252">
        <v>315.58999999999997</v>
      </c>
      <c r="M313" s="252">
        <v>0</v>
      </c>
      <c r="N313" s="252">
        <v>0</v>
      </c>
      <c r="O313" s="252">
        <v>0</v>
      </c>
      <c r="P313" s="252">
        <v>0</v>
      </c>
      <c r="Q313" s="252">
        <v>0</v>
      </c>
      <c r="R313" s="252">
        <v>0</v>
      </c>
      <c r="S313" s="252">
        <v>0</v>
      </c>
      <c r="T313" s="252">
        <v>0</v>
      </c>
      <c r="U313" s="252">
        <v>0</v>
      </c>
      <c r="V313" s="252">
        <v>0</v>
      </c>
      <c r="W313" s="252">
        <v>0</v>
      </c>
      <c r="X313" s="252">
        <v>0</v>
      </c>
      <c r="Y313" s="252">
        <v>263.94</v>
      </c>
      <c r="Z313" s="252">
        <v>0</v>
      </c>
      <c r="AA313" s="252">
        <v>0</v>
      </c>
      <c r="AB313" s="252">
        <v>51.65</v>
      </c>
      <c r="AC313" s="252">
        <v>0</v>
      </c>
      <c r="AD313" s="252">
        <v>0</v>
      </c>
      <c r="AE313" s="252" t="s">
        <v>720</v>
      </c>
      <c r="AF313" s="252" t="s">
        <v>721</v>
      </c>
      <c r="AG313" s="252">
        <f t="shared" si="21"/>
        <v>0</v>
      </c>
      <c r="AH313" s="252">
        <f t="shared" si="22"/>
        <v>0</v>
      </c>
      <c r="AI313" s="252">
        <f t="shared" si="23"/>
        <v>0</v>
      </c>
      <c r="AJ313" s="252">
        <f t="shared" si="24"/>
        <v>0</v>
      </c>
    </row>
    <row r="314" spans="1:36" x14ac:dyDescent="0.2">
      <c r="A314" s="253" t="str">
        <f t="shared" si="20"/>
        <v>2SNCF1009405S25</v>
      </c>
      <c r="B314" s="252" t="s">
        <v>19</v>
      </c>
      <c r="C314" s="252" t="s">
        <v>20</v>
      </c>
      <c r="D314" s="252" t="s">
        <v>2521</v>
      </c>
      <c r="E314" s="252" t="s">
        <v>2522</v>
      </c>
      <c r="F314" s="252" t="s">
        <v>2525</v>
      </c>
      <c r="G314" s="252">
        <v>25</v>
      </c>
      <c r="H314" s="252" t="s">
        <v>928</v>
      </c>
      <c r="I314" s="252" t="s">
        <v>2477</v>
      </c>
      <c r="J314" s="252" t="s">
        <v>928</v>
      </c>
      <c r="K314" s="252" t="s">
        <v>3236</v>
      </c>
      <c r="L314" s="252">
        <v>477.76</v>
      </c>
      <c r="M314" s="252">
        <v>0</v>
      </c>
      <c r="N314" s="252">
        <v>0</v>
      </c>
      <c r="O314" s="252">
        <v>0</v>
      </c>
      <c r="P314" s="252">
        <v>0</v>
      </c>
      <c r="Q314" s="252">
        <v>0</v>
      </c>
      <c r="R314" s="252">
        <v>0</v>
      </c>
      <c r="S314" s="252">
        <v>0</v>
      </c>
      <c r="T314" s="252">
        <v>0</v>
      </c>
      <c r="U314" s="252">
        <v>0</v>
      </c>
      <c r="V314" s="252">
        <v>0</v>
      </c>
      <c r="W314" s="252">
        <v>0</v>
      </c>
      <c r="X314" s="252">
        <v>0</v>
      </c>
      <c r="Y314" s="252">
        <v>318.02999999999997</v>
      </c>
      <c r="Z314" s="252">
        <v>0</v>
      </c>
      <c r="AA314" s="252">
        <v>0</v>
      </c>
      <c r="AB314" s="252">
        <v>159.72</v>
      </c>
      <c r="AC314" s="252">
        <v>0</v>
      </c>
      <c r="AD314" s="252">
        <v>0</v>
      </c>
      <c r="AE314" s="252" t="s">
        <v>720</v>
      </c>
      <c r="AF314" s="252" t="s">
        <v>721</v>
      </c>
      <c r="AG314" s="252">
        <f t="shared" si="21"/>
        <v>0</v>
      </c>
      <c r="AH314" s="252">
        <f t="shared" si="22"/>
        <v>0</v>
      </c>
      <c r="AI314" s="252">
        <f t="shared" si="23"/>
        <v>0</v>
      </c>
      <c r="AJ314" s="252">
        <f t="shared" si="24"/>
        <v>0</v>
      </c>
    </row>
    <row r="315" spans="1:36" x14ac:dyDescent="0.2">
      <c r="A315" s="253" t="str">
        <f t="shared" si="20"/>
        <v>SNCF1009405S25</v>
      </c>
      <c r="B315" s="252" t="s">
        <v>19</v>
      </c>
      <c r="C315" s="252" t="s">
        <v>20</v>
      </c>
      <c r="D315" s="252" t="s">
        <v>2521</v>
      </c>
      <c r="E315" s="252" t="s">
        <v>2522</v>
      </c>
      <c r="F315" s="252" t="s">
        <v>2525</v>
      </c>
      <c r="G315" s="252">
        <v>25</v>
      </c>
      <c r="H315" s="252" t="s">
        <v>928</v>
      </c>
      <c r="I315" s="252" t="s">
        <v>928</v>
      </c>
      <c r="J315" s="252" t="s">
        <v>928</v>
      </c>
      <c r="K315" s="252" t="s">
        <v>3236</v>
      </c>
      <c r="L315" s="252">
        <v>477.76</v>
      </c>
      <c r="M315" s="252">
        <v>0</v>
      </c>
      <c r="N315" s="252">
        <v>0</v>
      </c>
      <c r="O315" s="252">
        <v>0</v>
      </c>
      <c r="P315" s="252">
        <v>0</v>
      </c>
      <c r="Q315" s="252">
        <v>0</v>
      </c>
      <c r="R315" s="252">
        <v>0</v>
      </c>
      <c r="S315" s="252">
        <v>0</v>
      </c>
      <c r="T315" s="252">
        <v>0</v>
      </c>
      <c r="U315" s="252">
        <v>0</v>
      </c>
      <c r="V315" s="252">
        <v>0</v>
      </c>
      <c r="W315" s="252">
        <v>0</v>
      </c>
      <c r="X315" s="252">
        <v>0</v>
      </c>
      <c r="Y315" s="252">
        <v>318.02999999999997</v>
      </c>
      <c r="Z315" s="252">
        <v>0</v>
      </c>
      <c r="AA315" s="252">
        <v>0</v>
      </c>
      <c r="AB315" s="252">
        <v>159.72</v>
      </c>
      <c r="AC315" s="252">
        <v>0</v>
      </c>
      <c r="AD315" s="252">
        <v>0</v>
      </c>
      <c r="AE315" s="252" t="s">
        <v>720</v>
      </c>
      <c r="AF315" s="252" t="s">
        <v>721</v>
      </c>
      <c r="AG315" s="252">
        <f t="shared" si="21"/>
        <v>0</v>
      </c>
      <c r="AH315" s="252">
        <f t="shared" si="22"/>
        <v>0</v>
      </c>
      <c r="AI315" s="252">
        <f t="shared" si="23"/>
        <v>0</v>
      </c>
      <c r="AJ315" s="252">
        <f t="shared" si="24"/>
        <v>0</v>
      </c>
    </row>
    <row r="316" spans="1:36" x14ac:dyDescent="0.2">
      <c r="A316" s="253" t="str">
        <f t="shared" si="20"/>
        <v>2SNCF1009405S30</v>
      </c>
      <c r="B316" s="252" t="s">
        <v>19</v>
      </c>
      <c r="C316" s="252" t="s">
        <v>20</v>
      </c>
      <c r="D316" s="252" t="s">
        <v>2521</v>
      </c>
      <c r="E316" s="252" t="s">
        <v>2522</v>
      </c>
      <c r="F316" s="252" t="s">
        <v>2525</v>
      </c>
      <c r="G316" s="252">
        <v>30</v>
      </c>
      <c r="H316" s="252" t="s">
        <v>928</v>
      </c>
      <c r="I316" s="252" t="s">
        <v>2477</v>
      </c>
      <c r="J316" s="252" t="s">
        <v>928</v>
      </c>
      <c r="K316" s="252" t="s">
        <v>3236</v>
      </c>
      <c r="L316" s="252">
        <v>425.11</v>
      </c>
      <c r="M316" s="252">
        <v>0</v>
      </c>
      <c r="N316" s="252">
        <v>0</v>
      </c>
      <c r="O316" s="252">
        <v>0</v>
      </c>
      <c r="P316" s="252">
        <v>0</v>
      </c>
      <c r="Q316" s="252">
        <v>0</v>
      </c>
      <c r="R316" s="252">
        <v>0</v>
      </c>
      <c r="S316" s="252">
        <v>0</v>
      </c>
      <c r="T316" s="252">
        <v>0</v>
      </c>
      <c r="U316" s="252">
        <v>0</v>
      </c>
      <c r="V316" s="252">
        <v>0</v>
      </c>
      <c r="W316" s="252">
        <v>0</v>
      </c>
      <c r="X316" s="252">
        <v>0</v>
      </c>
      <c r="Y316" s="252">
        <v>298.43</v>
      </c>
      <c r="Z316" s="252">
        <v>0</v>
      </c>
      <c r="AA316" s="252">
        <v>0</v>
      </c>
      <c r="AB316" s="252">
        <v>126.67</v>
      </c>
      <c r="AC316" s="252">
        <v>0</v>
      </c>
      <c r="AD316" s="252">
        <v>0</v>
      </c>
      <c r="AE316" s="252" t="s">
        <v>720</v>
      </c>
      <c r="AF316" s="252" t="s">
        <v>721</v>
      </c>
      <c r="AG316" s="252">
        <f t="shared" si="21"/>
        <v>0</v>
      </c>
      <c r="AH316" s="252">
        <f t="shared" si="22"/>
        <v>0</v>
      </c>
      <c r="AI316" s="252">
        <f t="shared" si="23"/>
        <v>0</v>
      </c>
      <c r="AJ316" s="252">
        <f t="shared" si="24"/>
        <v>0</v>
      </c>
    </row>
    <row r="317" spans="1:36" x14ac:dyDescent="0.2">
      <c r="A317" s="253" t="str">
        <f t="shared" si="20"/>
        <v>SNCF1009405S30</v>
      </c>
      <c r="B317" s="252" t="s">
        <v>19</v>
      </c>
      <c r="C317" s="252" t="s">
        <v>20</v>
      </c>
      <c r="D317" s="252" t="s">
        <v>2521</v>
      </c>
      <c r="E317" s="252" t="s">
        <v>2522</v>
      </c>
      <c r="F317" s="252" t="s">
        <v>2525</v>
      </c>
      <c r="G317" s="252">
        <v>30</v>
      </c>
      <c r="H317" s="252" t="s">
        <v>928</v>
      </c>
      <c r="I317" s="252" t="s">
        <v>928</v>
      </c>
      <c r="J317" s="252" t="s">
        <v>928</v>
      </c>
      <c r="K317" s="252" t="s">
        <v>3236</v>
      </c>
      <c r="L317" s="252">
        <v>425.11</v>
      </c>
      <c r="M317" s="252">
        <v>0</v>
      </c>
      <c r="N317" s="252">
        <v>0</v>
      </c>
      <c r="O317" s="252">
        <v>0</v>
      </c>
      <c r="P317" s="252">
        <v>0</v>
      </c>
      <c r="Q317" s="252">
        <v>0</v>
      </c>
      <c r="R317" s="252">
        <v>0</v>
      </c>
      <c r="S317" s="252">
        <v>0</v>
      </c>
      <c r="T317" s="252">
        <v>0</v>
      </c>
      <c r="U317" s="252">
        <v>0</v>
      </c>
      <c r="V317" s="252">
        <v>0</v>
      </c>
      <c r="W317" s="252">
        <v>0</v>
      </c>
      <c r="X317" s="252">
        <v>0</v>
      </c>
      <c r="Y317" s="252">
        <v>298.43</v>
      </c>
      <c r="Z317" s="252">
        <v>0</v>
      </c>
      <c r="AA317" s="252">
        <v>0</v>
      </c>
      <c r="AB317" s="252">
        <v>126.67</v>
      </c>
      <c r="AC317" s="252">
        <v>0</v>
      </c>
      <c r="AD317" s="252">
        <v>0</v>
      </c>
      <c r="AE317" s="252" t="s">
        <v>720</v>
      </c>
      <c r="AF317" s="252" t="s">
        <v>721</v>
      </c>
      <c r="AG317" s="252">
        <f t="shared" si="21"/>
        <v>0</v>
      </c>
      <c r="AH317" s="252">
        <f t="shared" si="22"/>
        <v>0</v>
      </c>
      <c r="AI317" s="252">
        <f t="shared" si="23"/>
        <v>0</v>
      </c>
      <c r="AJ317" s="252">
        <f t="shared" si="24"/>
        <v>0</v>
      </c>
    </row>
    <row r="318" spans="1:36" x14ac:dyDescent="0.2">
      <c r="A318" s="253" t="str">
        <f t="shared" si="20"/>
        <v>2SNCF1009405S40</v>
      </c>
      <c r="B318" s="252" t="s">
        <v>19</v>
      </c>
      <c r="C318" s="252" t="s">
        <v>20</v>
      </c>
      <c r="D318" s="252" t="s">
        <v>2521</v>
      </c>
      <c r="E318" s="252" t="s">
        <v>2522</v>
      </c>
      <c r="F318" s="252" t="s">
        <v>2525</v>
      </c>
      <c r="G318" s="252">
        <v>40</v>
      </c>
      <c r="H318" s="252" t="s">
        <v>928</v>
      </c>
      <c r="I318" s="252" t="s">
        <v>2477</v>
      </c>
      <c r="J318" s="252" t="s">
        <v>928</v>
      </c>
      <c r="K318" s="252" t="s">
        <v>3236</v>
      </c>
      <c r="L318" s="252">
        <v>412.15</v>
      </c>
      <c r="M318" s="252">
        <v>0</v>
      </c>
      <c r="N318" s="252">
        <v>0</v>
      </c>
      <c r="O318" s="252">
        <v>0</v>
      </c>
      <c r="P318" s="252">
        <v>0</v>
      </c>
      <c r="Q318" s="252">
        <v>0</v>
      </c>
      <c r="R318" s="252">
        <v>0</v>
      </c>
      <c r="S318" s="252">
        <v>0</v>
      </c>
      <c r="T318" s="252">
        <v>0</v>
      </c>
      <c r="U318" s="252">
        <v>0</v>
      </c>
      <c r="V318" s="252">
        <v>0</v>
      </c>
      <c r="W318" s="252">
        <v>0</v>
      </c>
      <c r="X318" s="252">
        <v>0</v>
      </c>
      <c r="Y318" s="252">
        <v>296.72000000000003</v>
      </c>
      <c r="Z318" s="252">
        <v>0</v>
      </c>
      <c r="AA318" s="252">
        <v>0</v>
      </c>
      <c r="AB318" s="252">
        <v>115.42</v>
      </c>
      <c r="AC318" s="252">
        <v>0</v>
      </c>
      <c r="AD318" s="252">
        <v>0</v>
      </c>
      <c r="AE318" s="252" t="s">
        <v>720</v>
      </c>
      <c r="AF318" s="252" t="s">
        <v>721</v>
      </c>
      <c r="AG318" s="252">
        <f t="shared" si="21"/>
        <v>0</v>
      </c>
      <c r="AH318" s="252">
        <f t="shared" si="22"/>
        <v>0</v>
      </c>
      <c r="AI318" s="252">
        <f t="shared" si="23"/>
        <v>0</v>
      </c>
      <c r="AJ318" s="252">
        <f t="shared" si="24"/>
        <v>0</v>
      </c>
    </row>
    <row r="319" spans="1:36" x14ac:dyDescent="0.2">
      <c r="A319" s="253" t="str">
        <f t="shared" si="20"/>
        <v>SNCF1009405S40</v>
      </c>
      <c r="B319" s="252" t="s">
        <v>19</v>
      </c>
      <c r="C319" s="252" t="s">
        <v>20</v>
      </c>
      <c r="D319" s="252" t="s">
        <v>2521</v>
      </c>
      <c r="E319" s="252" t="s">
        <v>2522</v>
      </c>
      <c r="F319" s="252" t="s">
        <v>2525</v>
      </c>
      <c r="G319" s="252">
        <v>40</v>
      </c>
      <c r="H319" s="252" t="s">
        <v>928</v>
      </c>
      <c r="I319" s="252" t="s">
        <v>928</v>
      </c>
      <c r="J319" s="252" t="s">
        <v>928</v>
      </c>
      <c r="K319" s="252" t="s">
        <v>3236</v>
      </c>
      <c r="L319" s="252">
        <v>412.15</v>
      </c>
      <c r="M319" s="252">
        <v>0</v>
      </c>
      <c r="N319" s="252">
        <v>0</v>
      </c>
      <c r="O319" s="252">
        <v>0</v>
      </c>
      <c r="P319" s="252">
        <v>0</v>
      </c>
      <c r="Q319" s="252">
        <v>0</v>
      </c>
      <c r="R319" s="252">
        <v>0</v>
      </c>
      <c r="S319" s="252">
        <v>0</v>
      </c>
      <c r="T319" s="252">
        <v>0</v>
      </c>
      <c r="U319" s="252">
        <v>0</v>
      </c>
      <c r="V319" s="252">
        <v>0</v>
      </c>
      <c r="W319" s="252">
        <v>0</v>
      </c>
      <c r="X319" s="252">
        <v>0</v>
      </c>
      <c r="Y319" s="252">
        <v>296.72000000000003</v>
      </c>
      <c r="Z319" s="252">
        <v>0</v>
      </c>
      <c r="AA319" s="252">
        <v>0</v>
      </c>
      <c r="AB319" s="252">
        <v>115.42</v>
      </c>
      <c r="AC319" s="252">
        <v>0</v>
      </c>
      <c r="AD319" s="252">
        <v>0</v>
      </c>
      <c r="AE319" s="252" t="s">
        <v>720</v>
      </c>
      <c r="AF319" s="252" t="s">
        <v>721</v>
      </c>
      <c r="AG319" s="252">
        <f t="shared" si="21"/>
        <v>0</v>
      </c>
      <c r="AH319" s="252">
        <f t="shared" si="22"/>
        <v>0</v>
      </c>
      <c r="AI319" s="252">
        <f t="shared" si="23"/>
        <v>0</v>
      </c>
      <c r="AJ319" s="252">
        <f t="shared" si="24"/>
        <v>0</v>
      </c>
    </row>
    <row r="320" spans="1:36" x14ac:dyDescent="0.2">
      <c r="A320" s="253" t="str">
        <f t="shared" si="20"/>
        <v>2SNCF1009405S50</v>
      </c>
      <c r="B320" s="252" t="s">
        <v>19</v>
      </c>
      <c r="C320" s="252" t="s">
        <v>20</v>
      </c>
      <c r="D320" s="252" t="s">
        <v>2521</v>
      </c>
      <c r="E320" s="252" t="s">
        <v>2522</v>
      </c>
      <c r="F320" s="252" t="s">
        <v>2525</v>
      </c>
      <c r="G320" s="252">
        <v>50</v>
      </c>
      <c r="H320" s="252" t="s">
        <v>928</v>
      </c>
      <c r="I320" s="252" t="s">
        <v>2477</v>
      </c>
      <c r="J320" s="252" t="s">
        <v>928</v>
      </c>
      <c r="K320" s="252" t="s">
        <v>3236</v>
      </c>
      <c r="L320" s="252">
        <v>440.49</v>
      </c>
      <c r="M320" s="252">
        <v>0</v>
      </c>
      <c r="N320" s="252">
        <v>0</v>
      </c>
      <c r="O320" s="252">
        <v>0</v>
      </c>
      <c r="P320" s="252">
        <v>0</v>
      </c>
      <c r="Q320" s="252">
        <v>0</v>
      </c>
      <c r="R320" s="252">
        <v>0</v>
      </c>
      <c r="S320" s="252">
        <v>0</v>
      </c>
      <c r="T320" s="252">
        <v>0</v>
      </c>
      <c r="U320" s="252">
        <v>0</v>
      </c>
      <c r="V320" s="252">
        <v>0</v>
      </c>
      <c r="W320" s="252">
        <v>0</v>
      </c>
      <c r="X320" s="252">
        <v>0</v>
      </c>
      <c r="Y320" s="252">
        <v>322.08999999999997</v>
      </c>
      <c r="Z320" s="252">
        <v>0</v>
      </c>
      <c r="AA320" s="252">
        <v>0</v>
      </c>
      <c r="AB320" s="252">
        <v>118.4</v>
      </c>
      <c r="AC320" s="252">
        <v>0</v>
      </c>
      <c r="AD320" s="252">
        <v>0</v>
      </c>
      <c r="AE320" s="252" t="s">
        <v>720</v>
      </c>
      <c r="AF320" s="252" t="s">
        <v>721</v>
      </c>
      <c r="AG320" s="252">
        <f t="shared" si="21"/>
        <v>0</v>
      </c>
      <c r="AH320" s="252">
        <f t="shared" si="22"/>
        <v>0</v>
      </c>
      <c r="AI320" s="252">
        <f t="shared" si="23"/>
        <v>0</v>
      </c>
      <c r="AJ320" s="252">
        <f t="shared" si="24"/>
        <v>0</v>
      </c>
    </row>
    <row r="321" spans="1:36" x14ac:dyDescent="0.2">
      <c r="A321" s="253" t="str">
        <f t="shared" si="20"/>
        <v>SNCF1009405S50</v>
      </c>
      <c r="B321" s="252" t="s">
        <v>19</v>
      </c>
      <c r="C321" s="252" t="s">
        <v>20</v>
      </c>
      <c r="D321" s="252" t="s">
        <v>2521</v>
      </c>
      <c r="E321" s="252" t="s">
        <v>2522</v>
      </c>
      <c r="F321" s="252" t="s">
        <v>2525</v>
      </c>
      <c r="G321" s="252">
        <v>50</v>
      </c>
      <c r="H321" s="252" t="s">
        <v>928</v>
      </c>
      <c r="I321" s="252" t="s">
        <v>928</v>
      </c>
      <c r="J321" s="252" t="s">
        <v>928</v>
      </c>
      <c r="K321" s="252" t="s">
        <v>3236</v>
      </c>
      <c r="L321" s="252">
        <v>440.49</v>
      </c>
      <c r="M321" s="252">
        <v>0</v>
      </c>
      <c r="N321" s="252">
        <v>0</v>
      </c>
      <c r="O321" s="252">
        <v>0</v>
      </c>
      <c r="P321" s="252">
        <v>0</v>
      </c>
      <c r="Q321" s="252">
        <v>0</v>
      </c>
      <c r="R321" s="252">
        <v>0</v>
      </c>
      <c r="S321" s="252">
        <v>0</v>
      </c>
      <c r="T321" s="252">
        <v>0</v>
      </c>
      <c r="U321" s="252">
        <v>0</v>
      </c>
      <c r="V321" s="252">
        <v>0</v>
      </c>
      <c r="W321" s="252">
        <v>0</v>
      </c>
      <c r="X321" s="252">
        <v>0</v>
      </c>
      <c r="Y321" s="252">
        <v>322.08999999999997</v>
      </c>
      <c r="Z321" s="252">
        <v>0</v>
      </c>
      <c r="AA321" s="252">
        <v>0</v>
      </c>
      <c r="AB321" s="252">
        <v>118.4</v>
      </c>
      <c r="AC321" s="252">
        <v>0</v>
      </c>
      <c r="AD321" s="252">
        <v>0</v>
      </c>
      <c r="AE321" s="252" t="s">
        <v>720</v>
      </c>
      <c r="AF321" s="252" t="s">
        <v>721</v>
      </c>
      <c r="AG321" s="252">
        <f t="shared" si="21"/>
        <v>0</v>
      </c>
      <c r="AH321" s="252">
        <f t="shared" si="22"/>
        <v>0</v>
      </c>
      <c r="AI321" s="252">
        <f t="shared" si="23"/>
        <v>0</v>
      </c>
      <c r="AJ321" s="252">
        <f t="shared" si="24"/>
        <v>0</v>
      </c>
    </row>
    <row r="322" spans="1:36" x14ac:dyDescent="0.2">
      <c r="A322" s="253" t="str">
        <f t="shared" si="20"/>
        <v>2SNCF100940725</v>
      </c>
      <c r="B322" s="252" t="s">
        <v>19</v>
      </c>
      <c r="C322" s="252" t="s">
        <v>20</v>
      </c>
      <c r="D322" s="252" t="s">
        <v>2521</v>
      </c>
      <c r="E322" s="252" t="s">
        <v>2522</v>
      </c>
      <c r="F322" s="252" t="s">
        <v>2526</v>
      </c>
      <c r="G322" s="252">
        <v>25</v>
      </c>
      <c r="H322" s="252" t="s">
        <v>928</v>
      </c>
      <c r="I322" s="252" t="s">
        <v>2477</v>
      </c>
      <c r="J322" s="252" t="s">
        <v>928</v>
      </c>
      <c r="K322" s="252" t="s">
        <v>3236</v>
      </c>
      <c r="L322" s="252">
        <v>608.52</v>
      </c>
      <c r="M322" s="252">
        <v>0</v>
      </c>
      <c r="N322" s="252">
        <v>0</v>
      </c>
      <c r="O322" s="252">
        <v>0</v>
      </c>
      <c r="P322" s="252">
        <v>0</v>
      </c>
      <c r="Q322" s="252">
        <v>0</v>
      </c>
      <c r="R322" s="252">
        <v>0</v>
      </c>
      <c r="S322" s="252">
        <v>0</v>
      </c>
      <c r="T322" s="252">
        <v>0</v>
      </c>
      <c r="U322" s="252">
        <v>0</v>
      </c>
      <c r="V322" s="252">
        <v>0</v>
      </c>
      <c r="W322" s="252">
        <v>0</v>
      </c>
      <c r="X322" s="252">
        <v>0</v>
      </c>
      <c r="Y322" s="252">
        <v>393.59</v>
      </c>
      <c r="Z322" s="252">
        <v>0</v>
      </c>
      <c r="AA322" s="252">
        <v>0</v>
      </c>
      <c r="AB322" s="252">
        <v>214.93</v>
      </c>
      <c r="AC322" s="252">
        <v>0</v>
      </c>
      <c r="AD322" s="252">
        <v>0</v>
      </c>
      <c r="AE322" s="252" t="s">
        <v>720</v>
      </c>
      <c r="AF322" s="252" t="s">
        <v>721</v>
      </c>
      <c r="AG322" s="252">
        <f t="shared" si="21"/>
        <v>0</v>
      </c>
      <c r="AH322" s="252">
        <f t="shared" si="22"/>
        <v>0</v>
      </c>
      <c r="AI322" s="252">
        <f t="shared" si="23"/>
        <v>0</v>
      </c>
      <c r="AJ322" s="252">
        <f t="shared" si="24"/>
        <v>0</v>
      </c>
    </row>
    <row r="323" spans="1:36" x14ac:dyDescent="0.2">
      <c r="A323" s="253" t="str">
        <f t="shared" si="20"/>
        <v>SNCF100940725</v>
      </c>
      <c r="B323" s="252" t="s">
        <v>19</v>
      </c>
      <c r="C323" s="252" t="s">
        <v>20</v>
      </c>
      <c r="D323" s="252" t="s">
        <v>2521</v>
      </c>
      <c r="E323" s="252" t="s">
        <v>2522</v>
      </c>
      <c r="F323" s="252" t="s">
        <v>2526</v>
      </c>
      <c r="G323" s="252">
        <v>25</v>
      </c>
      <c r="H323" s="252" t="s">
        <v>928</v>
      </c>
      <c r="I323" s="252" t="s">
        <v>928</v>
      </c>
      <c r="J323" s="252" t="s">
        <v>928</v>
      </c>
      <c r="K323" s="252" t="s">
        <v>3236</v>
      </c>
      <c r="L323" s="252">
        <v>608.52</v>
      </c>
      <c r="M323" s="252">
        <v>0</v>
      </c>
      <c r="N323" s="252">
        <v>0</v>
      </c>
      <c r="O323" s="252">
        <v>0</v>
      </c>
      <c r="P323" s="252">
        <v>0</v>
      </c>
      <c r="Q323" s="252">
        <v>0</v>
      </c>
      <c r="R323" s="252">
        <v>0</v>
      </c>
      <c r="S323" s="252">
        <v>0</v>
      </c>
      <c r="T323" s="252">
        <v>0</v>
      </c>
      <c r="U323" s="252">
        <v>0</v>
      </c>
      <c r="V323" s="252">
        <v>0</v>
      </c>
      <c r="W323" s="252">
        <v>0</v>
      </c>
      <c r="X323" s="252">
        <v>0</v>
      </c>
      <c r="Y323" s="252">
        <v>393.59</v>
      </c>
      <c r="Z323" s="252">
        <v>0</v>
      </c>
      <c r="AA323" s="252">
        <v>0</v>
      </c>
      <c r="AB323" s="252">
        <v>214.93</v>
      </c>
      <c r="AC323" s="252">
        <v>0</v>
      </c>
      <c r="AD323" s="252">
        <v>0</v>
      </c>
      <c r="AE323" s="252" t="s">
        <v>720</v>
      </c>
      <c r="AF323" s="252" t="s">
        <v>721</v>
      </c>
      <c r="AG323" s="252">
        <f t="shared" si="21"/>
        <v>0</v>
      </c>
      <c r="AH323" s="252">
        <f t="shared" si="22"/>
        <v>0</v>
      </c>
      <c r="AI323" s="252">
        <f t="shared" si="23"/>
        <v>0</v>
      </c>
      <c r="AJ323" s="252">
        <f t="shared" si="24"/>
        <v>0</v>
      </c>
    </row>
    <row r="324" spans="1:36" x14ac:dyDescent="0.2">
      <c r="A324" s="253" t="str">
        <f t="shared" ref="A324:A387" si="25">TRIM(I324&amp;B324&amp;C324&amp;D324&amp;F324&amp;G324)</f>
        <v>2SNCF100940730</v>
      </c>
      <c r="B324" s="252" t="s">
        <v>19</v>
      </c>
      <c r="C324" s="252" t="s">
        <v>20</v>
      </c>
      <c r="D324" s="252" t="s">
        <v>2521</v>
      </c>
      <c r="E324" s="252" t="s">
        <v>2522</v>
      </c>
      <c r="F324" s="252" t="s">
        <v>2526</v>
      </c>
      <c r="G324" s="252">
        <v>30</v>
      </c>
      <c r="H324" s="252" t="s">
        <v>928</v>
      </c>
      <c r="I324" s="252" t="s">
        <v>2477</v>
      </c>
      <c r="J324" s="252" t="s">
        <v>928</v>
      </c>
      <c r="K324" s="252" t="s">
        <v>3236</v>
      </c>
      <c r="L324" s="252">
        <v>545.02</v>
      </c>
      <c r="M324" s="252">
        <v>0</v>
      </c>
      <c r="N324" s="252">
        <v>0</v>
      </c>
      <c r="O324" s="252">
        <v>0</v>
      </c>
      <c r="P324" s="252">
        <v>0</v>
      </c>
      <c r="Q324" s="252">
        <v>0</v>
      </c>
      <c r="R324" s="252">
        <v>0</v>
      </c>
      <c r="S324" s="252">
        <v>0</v>
      </c>
      <c r="T324" s="252">
        <v>0</v>
      </c>
      <c r="U324" s="252">
        <v>0</v>
      </c>
      <c r="V324" s="252">
        <v>0</v>
      </c>
      <c r="W324" s="252">
        <v>0</v>
      </c>
      <c r="X324" s="252">
        <v>0</v>
      </c>
      <c r="Y324" s="252">
        <v>356.37</v>
      </c>
      <c r="Z324" s="252">
        <v>0</v>
      </c>
      <c r="AA324" s="252">
        <v>0</v>
      </c>
      <c r="AB324" s="252">
        <v>188.65</v>
      </c>
      <c r="AC324" s="252">
        <v>0</v>
      </c>
      <c r="AD324" s="252">
        <v>0</v>
      </c>
      <c r="AE324" s="252" t="s">
        <v>720</v>
      </c>
      <c r="AF324" s="252" t="s">
        <v>721</v>
      </c>
      <c r="AG324" s="252">
        <f t="shared" si="21"/>
        <v>0</v>
      </c>
      <c r="AH324" s="252">
        <f t="shared" si="22"/>
        <v>0</v>
      </c>
      <c r="AI324" s="252">
        <f t="shared" si="23"/>
        <v>0</v>
      </c>
      <c r="AJ324" s="252">
        <f t="shared" si="24"/>
        <v>0</v>
      </c>
    </row>
    <row r="325" spans="1:36" x14ac:dyDescent="0.2">
      <c r="A325" s="253" t="str">
        <f t="shared" si="25"/>
        <v>SNCF100940730</v>
      </c>
      <c r="B325" s="252" t="s">
        <v>19</v>
      </c>
      <c r="C325" s="252" t="s">
        <v>20</v>
      </c>
      <c r="D325" s="252" t="s">
        <v>2521</v>
      </c>
      <c r="E325" s="252" t="s">
        <v>2522</v>
      </c>
      <c r="F325" s="252" t="s">
        <v>2526</v>
      </c>
      <c r="G325" s="252">
        <v>30</v>
      </c>
      <c r="H325" s="252" t="s">
        <v>928</v>
      </c>
      <c r="I325" s="252" t="s">
        <v>928</v>
      </c>
      <c r="J325" s="252" t="s">
        <v>928</v>
      </c>
      <c r="K325" s="252" t="s">
        <v>3236</v>
      </c>
      <c r="L325" s="252">
        <v>545.02</v>
      </c>
      <c r="M325" s="252">
        <v>0</v>
      </c>
      <c r="N325" s="252">
        <v>0</v>
      </c>
      <c r="O325" s="252">
        <v>0</v>
      </c>
      <c r="P325" s="252">
        <v>0</v>
      </c>
      <c r="Q325" s="252">
        <v>0</v>
      </c>
      <c r="R325" s="252">
        <v>0</v>
      </c>
      <c r="S325" s="252">
        <v>0</v>
      </c>
      <c r="T325" s="252">
        <v>0</v>
      </c>
      <c r="U325" s="252">
        <v>0</v>
      </c>
      <c r="V325" s="252">
        <v>0</v>
      </c>
      <c r="W325" s="252">
        <v>0</v>
      </c>
      <c r="X325" s="252">
        <v>0</v>
      </c>
      <c r="Y325" s="252">
        <v>356.37</v>
      </c>
      <c r="Z325" s="252">
        <v>0</v>
      </c>
      <c r="AA325" s="252">
        <v>0</v>
      </c>
      <c r="AB325" s="252">
        <v>188.65</v>
      </c>
      <c r="AC325" s="252">
        <v>0</v>
      </c>
      <c r="AD325" s="252">
        <v>0</v>
      </c>
      <c r="AE325" s="252" t="s">
        <v>720</v>
      </c>
      <c r="AF325" s="252" t="s">
        <v>721</v>
      </c>
      <c r="AG325" s="252">
        <f t="shared" si="21"/>
        <v>0</v>
      </c>
      <c r="AH325" s="252">
        <f t="shared" si="22"/>
        <v>0</v>
      </c>
      <c r="AI325" s="252">
        <f t="shared" si="23"/>
        <v>0</v>
      </c>
      <c r="AJ325" s="252">
        <f t="shared" si="24"/>
        <v>0</v>
      </c>
    </row>
    <row r="326" spans="1:36" x14ac:dyDescent="0.2">
      <c r="A326" s="253" t="str">
        <f t="shared" si="25"/>
        <v>2SNCF100940740</v>
      </c>
      <c r="B326" s="252" t="s">
        <v>19</v>
      </c>
      <c r="C326" s="252" t="s">
        <v>20</v>
      </c>
      <c r="D326" s="252" t="s">
        <v>2521</v>
      </c>
      <c r="E326" s="252" t="s">
        <v>2522</v>
      </c>
      <c r="F326" s="252" t="s">
        <v>2526</v>
      </c>
      <c r="G326" s="252">
        <v>40</v>
      </c>
      <c r="H326" s="252" t="s">
        <v>928</v>
      </c>
      <c r="I326" s="252" t="s">
        <v>2477</v>
      </c>
      <c r="J326" s="252" t="s">
        <v>928</v>
      </c>
      <c r="K326" s="252" t="s">
        <v>3236</v>
      </c>
      <c r="L326" s="252">
        <v>512.57000000000005</v>
      </c>
      <c r="M326" s="252">
        <v>0</v>
      </c>
      <c r="N326" s="252">
        <v>0</v>
      </c>
      <c r="O326" s="252">
        <v>0</v>
      </c>
      <c r="P326" s="252">
        <v>0</v>
      </c>
      <c r="Q326" s="252">
        <v>0</v>
      </c>
      <c r="R326" s="252">
        <v>0</v>
      </c>
      <c r="S326" s="252">
        <v>0</v>
      </c>
      <c r="T326" s="252">
        <v>0</v>
      </c>
      <c r="U326" s="252">
        <v>0</v>
      </c>
      <c r="V326" s="252">
        <v>0</v>
      </c>
      <c r="W326" s="252">
        <v>0</v>
      </c>
      <c r="X326" s="252">
        <v>0</v>
      </c>
      <c r="Y326" s="252">
        <v>347.53</v>
      </c>
      <c r="Z326" s="252">
        <v>0</v>
      </c>
      <c r="AA326" s="252">
        <v>0</v>
      </c>
      <c r="AB326" s="252">
        <v>165.04</v>
      </c>
      <c r="AC326" s="252">
        <v>0</v>
      </c>
      <c r="AD326" s="252">
        <v>0</v>
      </c>
      <c r="AE326" s="252" t="s">
        <v>720</v>
      </c>
      <c r="AF326" s="252" t="s">
        <v>721</v>
      </c>
      <c r="AG326" s="252">
        <f t="shared" ref="AG326:AG389" si="26">+O326*M326/100</f>
        <v>0</v>
      </c>
      <c r="AH326" s="252">
        <f t="shared" ref="AH326:AH389" si="27">+P326*M326/100</f>
        <v>0</v>
      </c>
      <c r="AI326" s="252">
        <f t="shared" ref="AI326:AI389" si="28">+AB326*M326/100</f>
        <v>0</v>
      </c>
      <c r="AJ326" s="252">
        <f t="shared" ref="AJ326:AJ389" si="29">+AG326+AH326+AI326</f>
        <v>0</v>
      </c>
    </row>
    <row r="327" spans="1:36" x14ac:dyDescent="0.2">
      <c r="A327" s="253" t="str">
        <f t="shared" si="25"/>
        <v>SNCF100940740</v>
      </c>
      <c r="B327" s="252" t="s">
        <v>19</v>
      </c>
      <c r="C327" s="252" t="s">
        <v>20</v>
      </c>
      <c r="D327" s="252" t="s">
        <v>2521</v>
      </c>
      <c r="E327" s="252" t="s">
        <v>2522</v>
      </c>
      <c r="F327" s="252" t="s">
        <v>2526</v>
      </c>
      <c r="G327" s="252">
        <v>40</v>
      </c>
      <c r="H327" s="252" t="s">
        <v>928</v>
      </c>
      <c r="I327" s="252" t="s">
        <v>928</v>
      </c>
      <c r="J327" s="252" t="s">
        <v>928</v>
      </c>
      <c r="K327" s="252" t="s">
        <v>3236</v>
      </c>
      <c r="L327" s="252">
        <v>512.57000000000005</v>
      </c>
      <c r="M327" s="252">
        <v>0</v>
      </c>
      <c r="N327" s="252">
        <v>0</v>
      </c>
      <c r="O327" s="252">
        <v>0</v>
      </c>
      <c r="P327" s="252">
        <v>0</v>
      </c>
      <c r="Q327" s="252">
        <v>0</v>
      </c>
      <c r="R327" s="252">
        <v>0</v>
      </c>
      <c r="S327" s="252">
        <v>0</v>
      </c>
      <c r="T327" s="252">
        <v>0</v>
      </c>
      <c r="U327" s="252">
        <v>0</v>
      </c>
      <c r="V327" s="252">
        <v>0</v>
      </c>
      <c r="W327" s="252">
        <v>0</v>
      </c>
      <c r="X327" s="252">
        <v>0</v>
      </c>
      <c r="Y327" s="252">
        <v>347.53</v>
      </c>
      <c r="Z327" s="252">
        <v>0</v>
      </c>
      <c r="AA327" s="252">
        <v>0</v>
      </c>
      <c r="AB327" s="252">
        <v>165.04</v>
      </c>
      <c r="AC327" s="252">
        <v>0</v>
      </c>
      <c r="AD327" s="252">
        <v>0</v>
      </c>
      <c r="AE327" s="252" t="s">
        <v>720</v>
      </c>
      <c r="AF327" s="252" t="s">
        <v>721</v>
      </c>
      <c r="AG327" s="252">
        <f t="shared" si="26"/>
        <v>0</v>
      </c>
      <c r="AH327" s="252">
        <f t="shared" si="27"/>
        <v>0</v>
      </c>
      <c r="AI327" s="252">
        <f t="shared" si="28"/>
        <v>0</v>
      </c>
      <c r="AJ327" s="252">
        <f t="shared" si="29"/>
        <v>0</v>
      </c>
    </row>
    <row r="328" spans="1:36" x14ac:dyDescent="0.2">
      <c r="A328" s="253" t="str">
        <f t="shared" si="25"/>
        <v>2SNCF100940750</v>
      </c>
      <c r="B328" s="252" t="s">
        <v>19</v>
      </c>
      <c r="C328" s="252" t="s">
        <v>20</v>
      </c>
      <c r="D328" s="252" t="s">
        <v>2521</v>
      </c>
      <c r="E328" s="252" t="s">
        <v>2522</v>
      </c>
      <c r="F328" s="252" t="s">
        <v>2526</v>
      </c>
      <c r="G328" s="252">
        <v>50</v>
      </c>
      <c r="H328" s="252" t="s">
        <v>928</v>
      </c>
      <c r="I328" s="252" t="s">
        <v>2477</v>
      </c>
      <c r="J328" s="252" t="s">
        <v>928</v>
      </c>
      <c r="K328" s="252" t="s">
        <v>3236</v>
      </c>
      <c r="L328" s="252">
        <v>481.07</v>
      </c>
      <c r="M328" s="252">
        <v>0</v>
      </c>
      <c r="N328" s="252">
        <v>0</v>
      </c>
      <c r="O328" s="252">
        <v>0</v>
      </c>
      <c r="P328" s="252">
        <v>0</v>
      </c>
      <c r="Q328" s="252">
        <v>0</v>
      </c>
      <c r="R328" s="252">
        <v>0</v>
      </c>
      <c r="S328" s="252">
        <v>0</v>
      </c>
      <c r="T328" s="252">
        <v>0</v>
      </c>
      <c r="U328" s="252">
        <v>0</v>
      </c>
      <c r="V328" s="252">
        <v>0</v>
      </c>
      <c r="W328" s="252">
        <v>0</v>
      </c>
      <c r="X328" s="252">
        <v>0</v>
      </c>
      <c r="Y328" s="252">
        <v>334.17</v>
      </c>
      <c r="Z328" s="252">
        <v>0</v>
      </c>
      <c r="AA328" s="252">
        <v>0</v>
      </c>
      <c r="AB328" s="252">
        <v>146.9</v>
      </c>
      <c r="AC328" s="252">
        <v>0</v>
      </c>
      <c r="AD328" s="252">
        <v>0</v>
      </c>
      <c r="AE328" s="252" t="s">
        <v>720</v>
      </c>
      <c r="AF328" s="252" t="s">
        <v>721</v>
      </c>
      <c r="AG328" s="252">
        <f t="shared" si="26"/>
        <v>0</v>
      </c>
      <c r="AH328" s="252">
        <f t="shared" si="27"/>
        <v>0</v>
      </c>
      <c r="AI328" s="252">
        <f t="shared" si="28"/>
        <v>0</v>
      </c>
      <c r="AJ328" s="252">
        <f t="shared" si="29"/>
        <v>0</v>
      </c>
    </row>
    <row r="329" spans="1:36" x14ac:dyDescent="0.2">
      <c r="A329" s="253" t="str">
        <f t="shared" si="25"/>
        <v>SNCF100940750</v>
      </c>
      <c r="B329" s="252" t="s">
        <v>19</v>
      </c>
      <c r="C329" s="252" t="s">
        <v>20</v>
      </c>
      <c r="D329" s="252" t="s">
        <v>2521</v>
      </c>
      <c r="E329" s="252" t="s">
        <v>2522</v>
      </c>
      <c r="F329" s="252" t="s">
        <v>2526</v>
      </c>
      <c r="G329" s="252">
        <v>50</v>
      </c>
      <c r="H329" s="252" t="s">
        <v>928</v>
      </c>
      <c r="I329" s="252" t="s">
        <v>928</v>
      </c>
      <c r="J329" s="252" t="s">
        <v>928</v>
      </c>
      <c r="K329" s="252" t="s">
        <v>3236</v>
      </c>
      <c r="L329" s="252">
        <v>481.07</v>
      </c>
      <c r="M329" s="252">
        <v>0</v>
      </c>
      <c r="N329" s="252">
        <v>0</v>
      </c>
      <c r="O329" s="252">
        <v>0</v>
      </c>
      <c r="P329" s="252">
        <v>0</v>
      </c>
      <c r="Q329" s="252">
        <v>0</v>
      </c>
      <c r="R329" s="252">
        <v>0</v>
      </c>
      <c r="S329" s="252">
        <v>0</v>
      </c>
      <c r="T329" s="252">
        <v>0</v>
      </c>
      <c r="U329" s="252">
        <v>0</v>
      </c>
      <c r="V329" s="252">
        <v>0</v>
      </c>
      <c r="W329" s="252">
        <v>0</v>
      </c>
      <c r="X329" s="252">
        <v>0</v>
      </c>
      <c r="Y329" s="252">
        <v>334.17</v>
      </c>
      <c r="Z329" s="252">
        <v>0</v>
      </c>
      <c r="AA329" s="252">
        <v>0</v>
      </c>
      <c r="AB329" s="252">
        <v>146.9</v>
      </c>
      <c r="AC329" s="252">
        <v>0</v>
      </c>
      <c r="AD329" s="252">
        <v>0</v>
      </c>
      <c r="AE329" s="252" t="s">
        <v>720</v>
      </c>
      <c r="AF329" s="252" t="s">
        <v>721</v>
      </c>
      <c r="AG329" s="252">
        <f t="shared" si="26"/>
        <v>0</v>
      </c>
      <c r="AH329" s="252">
        <f t="shared" si="27"/>
        <v>0</v>
      </c>
      <c r="AI329" s="252">
        <f t="shared" si="28"/>
        <v>0</v>
      </c>
      <c r="AJ329" s="252">
        <f t="shared" si="29"/>
        <v>0</v>
      </c>
    </row>
    <row r="330" spans="1:36" x14ac:dyDescent="0.2">
      <c r="A330" s="253" t="str">
        <f t="shared" si="25"/>
        <v>2SNCF1009710B450</v>
      </c>
      <c r="B330" s="252" t="s">
        <v>19</v>
      </c>
      <c r="C330" s="252" t="s">
        <v>20</v>
      </c>
      <c r="D330" s="252" t="s">
        <v>2521</v>
      </c>
      <c r="E330" s="252" t="s">
        <v>2522</v>
      </c>
      <c r="F330" s="252" t="s">
        <v>2527</v>
      </c>
      <c r="G330" s="252">
        <v>50</v>
      </c>
      <c r="H330" s="252" t="s">
        <v>928</v>
      </c>
      <c r="I330" s="252" t="s">
        <v>2477</v>
      </c>
      <c r="J330" s="252" t="s">
        <v>928</v>
      </c>
      <c r="K330" s="252" t="s">
        <v>3236</v>
      </c>
      <c r="L330" s="252">
        <v>707.5</v>
      </c>
      <c r="M330" s="252">
        <v>0</v>
      </c>
      <c r="N330" s="252">
        <v>0</v>
      </c>
      <c r="O330" s="252">
        <v>0</v>
      </c>
      <c r="P330" s="252">
        <v>0</v>
      </c>
      <c r="Q330" s="252">
        <v>0</v>
      </c>
      <c r="R330" s="252">
        <v>0</v>
      </c>
      <c r="S330" s="252">
        <v>0</v>
      </c>
      <c r="T330" s="252">
        <v>0</v>
      </c>
      <c r="U330" s="252">
        <v>0</v>
      </c>
      <c r="V330" s="252">
        <v>0</v>
      </c>
      <c r="W330" s="252">
        <v>0</v>
      </c>
      <c r="X330" s="252">
        <v>0</v>
      </c>
      <c r="Y330" s="252">
        <v>517.74</v>
      </c>
      <c r="Z330" s="252">
        <v>0</v>
      </c>
      <c r="AA330" s="252">
        <v>0</v>
      </c>
      <c r="AB330" s="252">
        <v>189.76</v>
      </c>
      <c r="AC330" s="252">
        <v>0</v>
      </c>
      <c r="AD330" s="252">
        <v>0</v>
      </c>
      <c r="AE330" s="252" t="s">
        <v>720</v>
      </c>
      <c r="AF330" s="252" t="s">
        <v>721</v>
      </c>
      <c r="AG330" s="252">
        <f t="shared" si="26"/>
        <v>0</v>
      </c>
      <c r="AH330" s="252">
        <f t="shared" si="27"/>
        <v>0</v>
      </c>
      <c r="AI330" s="252">
        <f t="shared" si="28"/>
        <v>0</v>
      </c>
      <c r="AJ330" s="252">
        <f t="shared" si="29"/>
        <v>0</v>
      </c>
    </row>
    <row r="331" spans="1:36" x14ac:dyDescent="0.2">
      <c r="A331" s="253" t="str">
        <f t="shared" si="25"/>
        <v>SNCF1009710B450</v>
      </c>
      <c r="B331" s="252" t="s">
        <v>19</v>
      </c>
      <c r="C331" s="252" t="s">
        <v>20</v>
      </c>
      <c r="D331" s="252" t="s">
        <v>2521</v>
      </c>
      <c r="E331" s="252" t="s">
        <v>2522</v>
      </c>
      <c r="F331" s="252" t="s">
        <v>2527</v>
      </c>
      <c r="G331" s="252">
        <v>50</v>
      </c>
      <c r="H331" s="252" t="s">
        <v>928</v>
      </c>
      <c r="I331" s="252" t="s">
        <v>928</v>
      </c>
      <c r="J331" s="252" t="s">
        <v>928</v>
      </c>
      <c r="K331" s="252" t="s">
        <v>3236</v>
      </c>
      <c r="L331" s="252">
        <v>707.5</v>
      </c>
      <c r="M331" s="252">
        <v>0</v>
      </c>
      <c r="N331" s="252">
        <v>0</v>
      </c>
      <c r="O331" s="252">
        <v>0</v>
      </c>
      <c r="P331" s="252">
        <v>0</v>
      </c>
      <c r="Q331" s="252">
        <v>0</v>
      </c>
      <c r="R331" s="252">
        <v>0</v>
      </c>
      <c r="S331" s="252">
        <v>0</v>
      </c>
      <c r="T331" s="252">
        <v>0</v>
      </c>
      <c r="U331" s="252">
        <v>0</v>
      </c>
      <c r="V331" s="252">
        <v>0</v>
      </c>
      <c r="W331" s="252">
        <v>0</v>
      </c>
      <c r="X331" s="252">
        <v>0</v>
      </c>
      <c r="Y331" s="252">
        <v>517.74</v>
      </c>
      <c r="Z331" s="252">
        <v>0</v>
      </c>
      <c r="AA331" s="252">
        <v>0</v>
      </c>
      <c r="AB331" s="252">
        <v>189.76</v>
      </c>
      <c r="AC331" s="252">
        <v>0</v>
      </c>
      <c r="AD331" s="252">
        <v>0</v>
      </c>
      <c r="AE331" s="252" t="s">
        <v>720</v>
      </c>
      <c r="AF331" s="252" t="s">
        <v>721</v>
      </c>
      <c r="AG331" s="252">
        <f t="shared" si="26"/>
        <v>0</v>
      </c>
      <c r="AH331" s="252">
        <f t="shared" si="27"/>
        <v>0</v>
      </c>
      <c r="AI331" s="252">
        <f t="shared" si="28"/>
        <v>0</v>
      </c>
      <c r="AJ331" s="252">
        <f t="shared" si="29"/>
        <v>0</v>
      </c>
    </row>
    <row r="332" spans="1:36" x14ac:dyDescent="0.2">
      <c r="A332" s="253" t="str">
        <f t="shared" si="25"/>
        <v>2SNCF1009710B470</v>
      </c>
      <c r="B332" s="252" t="s">
        <v>19</v>
      </c>
      <c r="C332" s="252" t="s">
        <v>20</v>
      </c>
      <c r="D332" s="252" t="s">
        <v>2521</v>
      </c>
      <c r="E332" s="252" t="s">
        <v>2522</v>
      </c>
      <c r="F332" s="252" t="s">
        <v>2527</v>
      </c>
      <c r="G332" s="252">
        <v>70</v>
      </c>
      <c r="H332" s="252" t="s">
        <v>928</v>
      </c>
      <c r="I332" s="252" t="s">
        <v>2477</v>
      </c>
      <c r="J332" s="252" t="s">
        <v>928</v>
      </c>
      <c r="K332" s="252" t="s">
        <v>3236</v>
      </c>
      <c r="L332" s="252">
        <v>789.38</v>
      </c>
      <c r="M332" s="252">
        <v>0</v>
      </c>
      <c r="N332" s="252">
        <v>0</v>
      </c>
      <c r="O332" s="252">
        <v>0</v>
      </c>
      <c r="P332" s="252">
        <v>0</v>
      </c>
      <c r="Q332" s="252">
        <v>0</v>
      </c>
      <c r="R332" s="252">
        <v>0</v>
      </c>
      <c r="S332" s="252">
        <v>0</v>
      </c>
      <c r="T332" s="252">
        <v>0</v>
      </c>
      <c r="U332" s="252">
        <v>0</v>
      </c>
      <c r="V332" s="252">
        <v>0</v>
      </c>
      <c r="W332" s="252">
        <v>0</v>
      </c>
      <c r="X332" s="252">
        <v>0</v>
      </c>
      <c r="Y332" s="252">
        <v>548.5</v>
      </c>
      <c r="Z332" s="252">
        <v>0</v>
      </c>
      <c r="AA332" s="252">
        <v>0</v>
      </c>
      <c r="AB332" s="252">
        <v>240.87</v>
      </c>
      <c r="AC332" s="252">
        <v>0</v>
      </c>
      <c r="AD332" s="252">
        <v>0</v>
      </c>
      <c r="AE332" s="252" t="s">
        <v>720</v>
      </c>
      <c r="AF332" s="252" t="s">
        <v>721</v>
      </c>
      <c r="AG332" s="252">
        <f t="shared" si="26"/>
        <v>0</v>
      </c>
      <c r="AH332" s="252">
        <f t="shared" si="27"/>
        <v>0</v>
      </c>
      <c r="AI332" s="252">
        <f t="shared" si="28"/>
        <v>0</v>
      </c>
      <c r="AJ332" s="252">
        <f t="shared" si="29"/>
        <v>0</v>
      </c>
    </row>
    <row r="333" spans="1:36" x14ac:dyDescent="0.2">
      <c r="A333" s="253" t="str">
        <f t="shared" si="25"/>
        <v>SNCF1009710B470</v>
      </c>
      <c r="B333" s="252" t="s">
        <v>19</v>
      </c>
      <c r="C333" s="252" t="s">
        <v>20</v>
      </c>
      <c r="D333" s="252" t="s">
        <v>2521</v>
      </c>
      <c r="E333" s="252" t="s">
        <v>2522</v>
      </c>
      <c r="F333" s="252" t="s">
        <v>2527</v>
      </c>
      <c r="G333" s="252">
        <v>70</v>
      </c>
      <c r="H333" s="252" t="s">
        <v>928</v>
      </c>
      <c r="I333" s="252" t="s">
        <v>928</v>
      </c>
      <c r="J333" s="252" t="s">
        <v>928</v>
      </c>
      <c r="K333" s="252" t="s">
        <v>3236</v>
      </c>
      <c r="L333" s="252">
        <v>789.38</v>
      </c>
      <c r="M333" s="252">
        <v>0</v>
      </c>
      <c r="N333" s="252">
        <v>0</v>
      </c>
      <c r="O333" s="252">
        <v>0</v>
      </c>
      <c r="P333" s="252">
        <v>0</v>
      </c>
      <c r="Q333" s="252">
        <v>0</v>
      </c>
      <c r="R333" s="252">
        <v>0</v>
      </c>
      <c r="S333" s="252">
        <v>0</v>
      </c>
      <c r="T333" s="252">
        <v>0</v>
      </c>
      <c r="U333" s="252">
        <v>0</v>
      </c>
      <c r="V333" s="252">
        <v>0</v>
      </c>
      <c r="W333" s="252">
        <v>0</v>
      </c>
      <c r="X333" s="252">
        <v>0</v>
      </c>
      <c r="Y333" s="252">
        <v>548.5</v>
      </c>
      <c r="Z333" s="252">
        <v>0</v>
      </c>
      <c r="AA333" s="252">
        <v>0</v>
      </c>
      <c r="AB333" s="252">
        <v>240.87</v>
      </c>
      <c r="AC333" s="252">
        <v>0</v>
      </c>
      <c r="AD333" s="252">
        <v>0</v>
      </c>
      <c r="AE333" s="252" t="s">
        <v>720</v>
      </c>
      <c r="AF333" s="252" t="s">
        <v>721</v>
      </c>
      <c r="AG333" s="252">
        <f t="shared" si="26"/>
        <v>0</v>
      </c>
      <c r="AH333" s="252">
        <f t="shared" si="27"/>
        <v>0</v>
      </c>
      <c r="AI333" s="252">
        <f t="shared" si="28"/>
        <v>0</v>
      </c>
      <c r="AJ333" s="252">
        <f t="shared" si="29"/>
        <v>0</v>
      </c>
    </row>
    <row r="334" spans="1:36" x14ac:dyDescent="0.2">
      <c r="A334" s="253" t="str">
        <f t="shared" si="25"/>
        <v>2SNCF100972020</v>
      </c>
      <c r="B334" s="252" t="s">
        <v>19</v>
      </c>
      <c r="C334" s="252" t="s">
        <v>20</v>
      </c>
      <c r="D334" s="252" t="s">
        <v>2521</v>
      </c>
      <c r="E334" s="252" t="s">
        <v>2522</v>
      </c>
      <c r="F334" s="252" t="s">
        <v>2528</v>
      </c>
      <c r="G334" s="252">
        <v>20</v>
      </c>
      <c r="H334" s="252" t="s">
        <v>928</v>
      </c>
      <c r="I334" s="252" t="s">
        <v>2477</v>
      </c>
      <c r="J334" s="252" t="s">
        <v>928</v>
      </c>
      <c r="K334" s="252" t="s">
        <v>3236</v>
      </c>
      <c r="L334" s="252">
        <v>779.93</v>
      </c>
      <c r="M334" s="252">
        <v>0</v>
      </c>
      <c r="N334" s="252">
        <v>0</v>
      </c>
      <c r="O334" s="252">
        <v>0</v>
      </c>
      <c r="P334" s="252">
        <v>0</v>
      </c>
      <c r="Q334" s="252">
        <v>0</v>
      </c>
      <c r="R334" s="252">
        <v>0</v>
      </c>
      <c r="S334" s="252">
        <v>0</v>
      </c>
      <c r="T334" s="252">
        <v>0</v>
      </c>
      <c r="U334" s="252">
        <v>0</v>
      </c>
      <c r="V334" s="252">
        <v>0</v>
      </c>
      <c r="W334" s="252">
        <v>0</v>
      </c>
      <c r="X334" s="252">
        <v>0</v>
      </c>
      <c r="Y334" s="252">
        <v>526.66</v>
      </c>
      <c r="Z334" s="252">
        <v>0</v>
      </c>
      <c r="AA334" s="252">
        <v>0</v>
      </c>
      <c r="AB334" s="252">
        <v>253.27</v>
      </c>
      <c r="AC334" s="252">
        <v>0</v>
      </c>
      <c r="AD334" s="252">
        <v>0</v>
      </c>
      <c r="AE334" s="252" t="s">
        <v>720</v>
      </c>
      <c r="AF334" s="252" t="s">
        <v>721</v>
      </c>
      <c r="AG334" s="252">
        <f t="shared" si="26"/>
        <v>0</v>
      </c>
      <c r="AH334" s="252">
        <f t="shared" si="27"/>
        <v>0</v>
      </c>
      <c r="AI334" s="252">
        <f t="shared" si="28"/>
        <v>0</v>
      </c>
      <c r="AJ334" s="252">
        <f t="shared" si="29"/>
        <v>0</v>
      </c>
    </row>
    <row r="335" spans="1:36" x14ac:dyDescent="0.2">
      <c r="A335" s="253" t="str">
        <f t="shared" si="25"/>
        <v>SNCF100972020</v>
      </c>
      <c r="B335" s="252" t="s">
        <v>19</v>
      </c>
      <c r="C335" s="252" t="s">
        <v>20</v>
      </c>
      <c r="D335" s="252" t="s">
        <v>2521</v>
      </c>
      <c r="E335" s="252" t="s">
        <v>2522</v>
      </c>
      <c r="F335" s="252" t="s">
        <v>2528</v>
      </c>
      <c r="G335" s="252">
        <v>20</v>
      </c>
      <c r="H335" s="252" t="s">
        <v>928</v>
      </c>
      <c r="I335" s="252" t="s">
        <v>928</v>
      </c>
      <c r="J335" s="252" t="s">
        <v>928</v>
      </c>
      <c r="K335" s="252" t="s">
        <v>3236</v>
      </c>
      <c r="L335" s="252">
        <v>779.93</v>
      </c>
      <c r="M335" s="252">
        <v>0</v>
      </c>
      <c r="N335" s="252">
        <v>0</v>
      </c>
      <c r="O335" s="252">
        <v>0</v>
      </c>
      <c r="P335" s="252">
        <v>0</v>
      </c>
      <c r="Q335" s="252">
        <v>0</v>
      </c>
      <c r="R335" s="252">
        <v>0</v>
      </c>
      <c r="S335" s="252">
        <v>0</v>
      </c>
      <c r="T335" s="252">
        <v>0</v>
      </c>
      <c r="U335" s="252">
        <v>0</v>
      </c>
      <c r="V335" s="252">
        <v>0</v>
      </c>
      <c r="W335" s="252">
        <v>0</v>
      </c>
      <c r="X335" s="252">
        <v>0</v>
      </c>
      <c r="Y335" s="252">
        <v>526.66</v>
      </c>
      <c r="Z335" s="252">
        <v>0</v>
      </c>
      <c r="AA335" s="252">
        <v>0</v>
      </c>
      <c r="AB335" s="252">
        <v>253.27</v>
      </c>
      <c r="AC335" s="252">
        <v>0</v>
      </c>
      <c r="AD335" s="252">
        <v>0</v>
      </c>
      <c r="AE335" s="252" t="s">
        <v>720</v>
      </c>
      <c r="AF335" s="252" t="s">
        <v>721</v>
      </c>
      <c r="AG335" s="252">
        <f t="shared" si="26"/>
        <v>0</v>
      </c>
      <c r="AH335" s="252">
        <f t="shared" si="27"/>
        <v>0</v>
      </c>
      <c r="AI335" s="252">
        <f t="shared" si="28"/>
        <v>0</v>
      </c>
      <c r="AJ335" s="252">
        <f t="shared" si="29"/>
        <v>0</v>
      </c>
    </row>
    <row r="336" spans="1:36" x14ac:dyDescent="0.2">
      <c r="A336" s="253" t="str">
        <f t="shared" si="25"/>
        <v>2SNCF1009720NK20</v>
      </c>
      <c r="B336" s="252" t="s">
        <v>19</v>
      </c>
      <c r="C336" s="252" t="s">
        <v>20</v>
      </c>
      <c r="D336" s="252" t="s">
        <v>2521</v>
      </c>
      <c r="E336" s="252" t="s">
        <v>2522</v>
      </c>
      <c r="F336" s="252" t="s">
        <v>2529</v>
      </c>
      <c r="G336" s="252">
        <v>20</v>
      </c>
      <c r="H336" s="252" t="s">
        <v>928</v>
      </c>
      <c r="I336" s="252" t="s">
        <v>2477</v>
      </c>
      <c r="J336" s="252" t="s">
        <v>928</v>
      </c>
      <c r="K336" s="252" t="s">
        <v>3236</v>
      </c>
      <c r="L336" s="252">
        <v>7462.61</v>
      </c>
      <c r="M336" s="252">
        <v>0</v>
      </c>
      <c r="N336" s="252">
        <v>0</v>
      </c>
      <c r="O336" s="252">
        <v>0</v>
      </c>
      <c r="P336" s="252">
        <v>0</v>
      </c>
      <c r="Q336" s="252">
        <v>0</v>
      </c>
      <c r="R336" s="252">
        <v>0</v>
      </c>
      <c r="S336" s="252">
        <v>0</v>
      </c>
      <c r="T336" s="252">
        <v>0</v>
      </c>
      <c r="U336" s="252">
        <v>0</v>
      </c>
      <c r="V336" s="252">
        <v>0</v>
      </c>
      <c r="W336" s="252">
        <v>0</v>
      </c>
      <c r="X336" s="252">
        <v>0</v>
      </c>
      <c r="Y336" s="252">
        <v>7209.56</v>
      </c>
      <c r="Z336" s="252">
        <v>0</v>
      </c>
      <c r="AA336" s="252">
        <v>0</v>
      </c>
      <c r="AB336" s="252">
        <v>253.05</v>
      </c>
      <c r="AC336" s="252">
        <v>0</v>
      </c>
      <c r="AD336" s="252">
        <v>0</v>
      </c>
      <c r="AE336" s="252" t="s">
        <v>720</v>
      </c>
      <c r="AF336" s="252" t="s">
        <v>721</v>
      </c>
      <c r="AG336" s="252">
        <f t="shared" si="26"/>
        <v>0</v>
      </c>
      <c r="AH336" s="252">
        <f t="shared" si="27"/>
        <v>0</v>
      </c>
      <c r="AI336" s="252">
        <f t="shared" si="28"/>
        <v>0</v>
      </c>
      <c r="AJ336" s="252">
        <f t="shared" si="29"/>
        <v>0</v>
      </c>
    </row>
    <row r="337" spans="1:36" x14ac:dyDescent="0.2">
      <c r="A337" s="253" t="str">
        <f t="shared" si="25"/>
        <v>SNCF1009720NK20</v>
      </c>
      <c r="B337" s="252" t="s">
        <v>19</v>
      </c>
      <c r="C337" s="252" t="s">
        <v>20</v>
      </c>
      <c r="D337" s="252" t="s">
        <v>2521</v>
      </c>
      <c r="E337" s="252" t="s">
        <v>2522</v>
      </c>
      <c r="F337" s="252" t="s">
        <v>2529</v>
      </c>
      <c r="G337" s="252">
        <v>20</v>
      </c>
      <c r="H337" s="252" t="s">
        <v>928</v>
      </c>
      <c r="I337" s="252" t="s">
        <v>928</v>
      </c>
      <c r="J337" s="252" t="s">
        <v>928</v>
      </c>
      <c r="K337" s="252" t="s">
        <v>3236</v>
      </c>
      <c r="L337" s="252">
        <v>7462.61</v>
      </c>
      <c r="M337" s="252">
        <v>0</v>
      </c>
      <c r="N337" s="252">
        <v>0</v>
      </c>
      <c r="O337" s="252">
        <v>0</v>
      </c>
      <c r="P337" s="252">
        <v>0</v>
      </c>
      <c r="Q337" s="252">
        <v>0</v>
      </c>
      <c r="R337" s="252">
        <v>0</v>
      </c>
      <c r="S337" s="252">
        <v>0</v>
      </c>
      <c r="T337" s="252">
        <v>0</v>
      </c>
      <c r="U337" s="252">
        <v>0</v>
      </c>
      <c r="V337" s="252">
        <v>0</v>
      </c>
      <c r="W337" s="252">
        <v>0</v>
      </c>
      <c r="X337" s="252">
        <v>0</v>
      </c>
      <c r="Y337" s="252">
        <v>7209.56</v>
      </c>
      <c r="Z337" s="252">
        <v>0</v>
      </c>
      <c r="AA337" s="252">
        <v>0</v>
      </c>
      <c r="AB337" s="252">
        <v>253.05</v>
      </c>
      <c r="AC337" s="252">
        <v>0</v>
      </c>
      <c r="AD337" s="252">
        <v>0</v>
      </c>
      <c r="AE337" s="252" t="s">
        <v>720</v>
      </c>
      <c r="AF337" s="252" t="s">
        <v>721</v>
      </c>
      <c r="AG337" s="252">
        <f t="shared" si="26"/>
        <v>0</v>
      </c>
      <c r="AH337" s="252">
        <f t="shared" si="27"/>
        <v>0</v>
      </c>
      <c r="AI337" s="252">
        <f t="shared" si="28"/>
        <v>0</v>
      </c>
      <c r="AJ337" s="252">
        <f t="shared" si="29"/>
        <v>0</v>
      </c>
    </row>
    <row r="338" spans="1:36" x14ac:dyDescent="0.2">
      <c r="A338" s="253" t="str">
        <f t="shared" si="25"/>
        <v>2SNCF100P9500SE50</v>
      </c>
      <c r="B338" s="252" t="s">
        <v>19</v>
      </c>
      <c r="C338" s="252" t="s">
        <v>20</v>
      </c>
      <c r="D338" s="252" t="s">
        <v>2530</v>
      </c>
      <c r="E338" s="252" t="s">
        <v>2531</v>
      </c>
      <c r="F338" s="252" t="s">
        <v>2688</v>
      </c>
      <c r="G338" s="252">
        <v>50</v>
      </c>
      <c r="H338" s="252" t="s">
        <v>928</v>
      </c>
      <c r="I338" s="252" t="s">
        <v>2477</v>
      </c>
      <c r="J338" s="252" t="s">
        <v>928</v>
      </c>
      <c r="K338" s="252" t="s">
        <v>3236</v>
      </c>
      <c r="L338" s="252">
        <v>649.08000000000004</v>
      </c>
      <c r="M338" s="252">
        <v>0</v>
      </c>
      <c r="N338" s="252">
        <v>0</v>
      </c>
      <c r="O338" s="252">
        <v>0</v>
      </c>
      <c r="P338" s="252">
        <v>0</v>
      </c>
      <c r="Q338" s="252">
        <v>0</v>
      </c>
      <c r="R338" s="252">
        <v>0</v>
      </c>
      <c r="S338" s="252">
        <v>0</v>
      </c>
      <c r="T338" s="252">
        <v>0</v>
      </c>
      <c r="U338" s="252">
        <v>0</v>
      </c>
      <c r="V338" s="252">
        <v>0</v>
      </c>
      <c r="W338" s="252">
        <v>0</v>
      </c>
      <c r="X338" s="252">
        <v>0</v>
      </c>
      <c r="Y338" s="252">
        <v>504.09</v>
      </c>
      <c r="Z338" s="252">
        <v>0</v>
      </c>
      <c r="AA338" s="252">
        <v>0</v>
      </c>
      <c r="AB338" s="252">
        <v>144.99</v>
      </c>
      <c r="AC338" s="252">
        <v>0</v>
      </c>
      <c r="AD338" s="252">
        <v>0</v>
      </c>
      <c r="AE338" s="252" t="s">
        <v>720</v>
      </c>
      <c r="AF338" s="252" t="s">
        <v>721</v>
      </c>
      <c r="AG338" s="252">
        <f t="shared" si="26"/>
        <v>0</v>
      </c>
      <c r="AH338" s="252">
        <f t="shared" si="27"/>
        <v>0</v>
      </c>
      <c r="AI338" s="252">
        <f t="shared" si="28"/>
        <v>0</v>
      </c>
      <c r="AJ338" s="252">
        <f t="shared" si="29"/>
        <v>0</v>
      </c>
    </row>
    <row r="339" spans="1:36" x14ac:dyDescent="0.2">
      <c r="A339" s="253" t="str">
        <f t="shared" si="25"/>
        <v>SNCF100P9500SE50</v>
      </c>
      <c r="B339" s="252" t="s">
        <v>19</v>
      </c>
      <c r="C339" s="252" t="s">
        <v>20</v>
      </c>
      <c r="D339" s="252" t="s">
        <v>2530</v>
      </c>
      <c r="E339" s="252" t="s">
        <v>2531</v>
      </c>
      <c r="F339" s="252" t="s">
        <v>2688</v>
      </c>
      <c r="G339" s="252">
        <v>50</v>
      </c>
      <c r="H339" s="252" t="s">
        <v>928</v>
      </c>
      <c r="I339" s="252" t="s">
        <v>928</v>
      </c>
      <c r="J339" s="252" t="s">
        <v>928</v>
      </c>
      <c r="K339" s="252" t="s">
        <v>3236</v>
      </c>
      <c r="L339" s="252">
        <v>649.08000000000004</v>
      </c>
      <c r="M339" s="252">
        <v>0</v>
      </c>
      <c r="N339" s="252">
        <v>0</v>
      </c>
      <c r="O339" s="252">
        <v>0</v>
      </c>
      <c r="P339" s="252">
        <v>0</v>
      </c>
      <c r="Q339" s="252">
        <v>0</v>
      </c>
      <c r="R339" s="252">
        <v>0</v>
      </c>
      <c r="S339" s="252">
        <v>0</v>
      </c>
      <c r="T339" s="252">
        <v>0</v>
      </c>
      <c r="U339" s="252">
        <v>0</v>
      </c>
      <c r="V339" s="252">
        <v>0</v>
      </c>
      <c r="W339" s="252">
        <v>0</v>
      </c>
      <c r="X339" s="252">
        <v>0</v>
      </c>
      <c r="Y339" s="252">
        <v>504.09</v>
      </c>
      <c r="Z339" s="252">
        <v>0</v>
      </c>
      <c r="AA339" s="252">
        <v>0</v>
      </c>
      <c r="AB339" s="252">
        <v>144.99</v>
      </c>
      <c r="AC339" s="252">
        <v>0</v>
      </c>
      <c r="AD339" s="252">
        <v>0</v>
      </c>
      <c r="AE339" s="252" t="s">
        <v>720</v>
      </c>
      <c r="AF339" s="252" t="s">
        <v>721</v>
      </c>
      <c r="AG339" s="252">
        <f t="shared" si="26"/>
        <v>0</v>
      </c>
      <c r="AH339" s="252">
        <f t="shared" si="27"/>
        <v>0</v>
      </c>
      <c r="AI339" s="252">
        <f t="shared" si="28"/>
        <v>0</v>
      </c>
      <c r="AJ339" s="252">
        <f t="shared" si="29"/>
        <v>0</v>
      </c>
    </row>
    <row r="340" spans="1:36" x14ac:dyDescent="0.2">
      <c r="A340" s="253" t="str">
        <f t="shared" si="25"/>
        <v>2SNCF100P9501A30</v>
      </c>
      <c r="B340" s="252" t="s">
        <v>19</v>
      </c>
      <c r="C340" s="252" t="s">
        <v>20</v>
      </c>
      <c r="D340" s="252" t="s">
        <v>2530</v>
      </c>
      <c r="E340" s="252" t="s">
        <v>2531</v>
      </c>
      <c r="F340" s="252" t="s">
        <v>2532</v>
      </c>
      <c r="G340" s="252">
        <v>30</v>
      </c>
      <c r="H340" s="252" t="s">
        <v>928</v>
      </c>
      <c r="I340" s="252" t="s">
        <v>2477</v>
      </c>
      <c r="J340" s="252" t="s">
        <v>928</v>
      </c>
      <c r="K340" s="252" t="s">
        <v>3236</v>
      </c>
      <c r="L340" s="252">
        <v>207.35</v>
      </c>
      <c r="M340" s="252">
        <v>0</v>
      </c>
      <c r="N340" s="252">
        <v>0</v>
      </c>
      <c r="O340" s="252">
        <v>0</v>
      </c>
      <c r="P340" s="252">
        <v>0</v>
      </c>
      <c r="Q340" s="252">
        <v>0</v>
      </c>
      <c r="R340" s="252">
        <v>0</v>
      </c>
      <c r="S340" s="252">
        <v>0</v>
      </c>
      <c r="T340" s="252">
        <v>0</v>
      </c>
      <c r="U340" s="252">
        <v>0</v>
      </c>
      <c r="V340" s="252">
        <v>0</v>
      </c>
      <c r="W340" s="252">
        <v>0</v>
      </c>
      <c r="X340" s="252">
        <v>0</v>
      </c>
      <c r="Y340" s="252">
        <v>49.18</v>
      </c>
      <c r="Z340" s="252">
        <v>0</v>
      </c>
      <c r="AA340" s="252">
        <v>0</v>
      </c>
      <c r="AB340" s="252">
        <v>158.16999999999999</v>
      </c>
      <c r="AC340" s="252">
        <v>0</v>
      </c>
      <c r="AD340" s="252">
        <v>0</v>
      </c>
      <c r="AE340" s="252" t="s">
        <v>720</v>
      </c>
      <c r="AF340" s="252" t="s">
        <v>721</v>
      </c>
      <c r="AG340" s="252">
        <f t="shared" si="26"/>
        <v>0</v>
      </c>
      <c r="AH340" s="252">
        <f t="shared" si="27"/>
        <v>0</v>
      </c>
      <c r="AI340" s="252">
        <f t="shared" si="28"/>
        <v>0</v>
      </c>
      <c r="AJ340" s="252">
        <f t="shared" si="29"/>
        <v>0</v>
      </c>
    </row>
    <row r="341" spans="1:36" x14ac:dyDescent="0.2">
      <c r="A341" s="253" t="str">
        <f t="shared" si="25"/>
        <v>SNCF100P9501A30</v>
      </c>
      <c r="B341" s="252" t="s">
        <v>19</v>
      </c>
      <c r="C341" s="252" t="s">
        <v>20</v>
      </c>
      <c r="D341" s="252" t="s">
        <v>2530</v>
      </c>
      <c r="E341" s="252" t="s">
        <v>2531</v>
      </c>
      <c r="F341" s="252" t="s">
        <v>2532</v>
      </c>
      <c r="G341" s="252">
        <v>30</v>
      </c>
      <c r="H341" s="252" t="s">
        <v>928</v>
      </c>
      <c r="I341" s="252" t="s">
        <v>928</v>
      </c>
      <c r="J341" s="252" t="s">
        <v>928</v>
      </c>
      <c r="K341" s="252" t="s">
        <v>3236</v>
      </c>
      <c r="L341" s="252">
        <v>207.35</v>
      </c>
      <c r="M341" s="252">
        <v>0</v>
      </c>
      <c r="N341" s="252">
        <v>0</v>
      </c>
      <c r="O341" s="252">
        <v>0</v>
      </c>
      <c r="P341" s="252">
        <v>0</v>
      </c>
      <c r="Q341" s="252">
        <v>0</v>
      </c>
      <c r="R341" s="252">
        <v>0</v>
      </c>
      <c r="S341" s="252">
        <v>0</v>
      </c>
      <c r="T341" s="252">
        <v>0</v>
      </c>
      <c r="U341" s="252">
        <v>0</v>
      </c>
      <c r="V341" s="252">
        <v>0</v>
      </c>
      <c r="W341" s="252">
        <v>0</v>
      </c>
      <c r="X341" s="252">
        <v>0</v>
      </c>
      <c r="Y341" s="252">
        <v>49.18</v>
      </c>
      <c r="Z341" s="252">
        <v>0</v>
      </c>
      <c r="AA341" s="252">
        <v>0</v>
      </c>
      <c r="AB341" s="252">
        <v>158.16999999999999</v>
      </c>
      <c r="AC341" s="252">
        <v>0</v>
      </c>
      <c r="AD341" s="252">
        <v>0</v>
      </c>
      <c r="AE341" s="252" t="s">
        <v>720</v>
      </c>
      <c r="AF341" s="252" t="s">
        <v>721</v>
      </c>
      <c r="AG341" s="252">
        <f t="shared" si="26"/>
        <v>0</v>
      </c>
      <c r="AH341" s="252">
        <f t="shared" si="27"/>
        <v>0</v>
      </c>
      <c r="AI341" s="252">
        <f t="shared" si="28"/>
        <v>0</v>
      </c>
      <c r="AJ341" s="252">
        <f t="shared" si="29"/>
        <v>0</v>
      </c>
    </row>
    <row r="342" spans="1:36" x14ac:dyDescent="0.2">
      <c r="A342" s="253" t="str">
        <f t="shared" si="25"/>
        <v>2SNCF100P9501A50</v>
      </c>
      <c r="B342" s="252" t="s">
        <v>19</v>
      </c>
      <c r="C342" s="252" t="s">
        <v>20</v>
      </c>
      <c r="D342" s="252" t="s">
        <v>2530</v>
      </c>
      <c r="E342" s="252" t="s">
        <v>2531</v>
      </c>
      <c r="F342" s="252" t="s">
        <v>2532</v>
      </c>
      <c r="G342" s="252">
        <v>50</v>
      </c>
      <c r="H342" s="252" t="s">
        <v>928</v>
      </c>
      <c r="I342" s="252" t="s">
        <v>2477</v>
      </c>
      <c r="J342" s="252" t="s">
        <v>928</v>
      </c>
      <c r="K342" s="252" t="s">
        <v>3236</v>
      </c>
      <c r="L342" s="252">
        <v>411.01</v>
      </c>
      <c r="M342" s="252">
        <v>0</v>
      </c>
      <c r="N342" s="252">
        <v>0</v>
      </c>
      <c r="O342" s="252">
        <v>0</v>
      </c>
      <c r="P342" s="252">
        <v>0</v>
      </c>
      <c r="Q342" s="252">
        <v>0</v>
      </c>
      <c r="R342" s="252">
        <v>0</v>
      </c>
      <c r="S342" s="252">
        <v>0</v>
      </c>
      <c r="T342" s="252">
        <v>0</v>
      </c>
      <c r="U342" s="252">
        <v>0</v>
      </c>
      <c r="V342" s="252">
        <v>0</v>
      </c>
      <c r="W342" s="252">
        <v>0</v>
      </c>
      <c r="X342" s="252">
        <v>0</v>
      </c>
      <c r="Y342" s="252">
        <v>333.64</v>
      </c>
      <c r="Z342" s="252">
        <v>0</v>
      </c>
      <c r="AA342" s="252">
        <v>0</v>
      </c>
      <c r="AB342" s="252">
        <v>77.37</v>
      </c>
      <c r="AC342" s="252">
        <v>0</v>
      </c>
      <c r="AD342" s="252">
        <v>0</v>
      </c>
      <c r="AE342" s="252" t="s">
        <v>720</v>
      </c>
      <c r="AF342" s="252" t="s">
        <v>721</v>
      </c>
      <c r="AG342" s="252">
        <f t="shared" si="26"/>
        <v>0</v>
      </c>
      <c r="AH342" s="252">
        <f t="shared" si="27"/>
        <v>0</v>
      </c>
      <c r="AI342" s="252">
        <f t="shared" si="28"/>
        <v>0</v>
      </c>
      <c r="AJ342" s="252">
        <f t="shared" si="29"/>
        <v>0</v>
      </c>
    </row>
    <row r="343" spans="1:36" x14ac:dyDescent="0.2">
      <c r="A343" s="253" t="str">
        <f t="shared" si="25"/>
        <v>SNCF100P9501A50</v>
      </c>
      <c r="B343" s="252" t="s">
        <v>19</v>
      </c>
      <c r="C343" s="252" t="s">
        <v>20</v>
      </c>
      <c r="D343" s="252" t="s">
        <v>2530</v>
      </c>
      <c r="E343" s="252" t="s">
        <v>2531</v>
      </c>
      <c r="F343" s="252" t="s">
        <v>2532</v>
      </c>
      <c r="G343" s="252">
        <v>50</v>
      </c>
      <c r="H343" s="252" t="s">
        <v>928</v>
      </c>
      <c r="I343" s="252" t="s">
        <v>928</v>
      </c>
      <c r="J343" s="252" t="s">
        <v>928</v>
      </c>
      <c r="K343" s="252" t="s">
        <v>3236</v>
      </c>
      <c r="L343" s="252">
        <v>411.01</v>
      </c>
      <c r="M343" s="252">
        <v>0</v>
      </c>
      <c r="N343" s="252">
        <v>0</v>
      </c>
      <c r="O343" s="252">
        <v>0</v>
      </c>
      <c r="P343" s="252">
        <v>0</v>
      </c>
      <c r="Q343" s="252">
        <v>0</v>
      </c>
      <c r="R343" s="252">
        <v>0</v>
      </c>
      <c r="S343" s="252">
        <v>0</v>
      </c>
      <c r="T343" s="252">
        <v>0</v>
      </c>
      <c r="U343" s="252">
        <v>0</v>
      </c>
      <c r="V343" s="252">
        <v>0</v>
      </c>
      <c r="W343" s="252">
        <v>0</v>
      </c>
      <c r="X343" s="252">
        <v>0</v>
      </c>
      <c r="Y343" s="252">
        <v>333.64</v>
      </c>
      <c r="Z343" s="252">
        <v>0</v>
      </c>
      <c r="AA343" s="252">
        <v>0</v>
      </c>
      <c r="AB343" s="252">
        <v>77.37</v>
      </c>
      <c r="AC343" s="252">
        <v>0</v>
      </c>
      <c r="AD343" s="252">
        <v>0</v>
      </c>
      <c r="AE343" s="252" t="s">
        <v>720</v>
      </c>
      <c r="AF343" s="252" t="s">
        <v>721</v>
      </c>
      <c r="AG343" s="252">
        <f t="shared" si="26"/>
        <v>0</v>
      </c>
      <c r="AH343" s="252">
        <f t="shared" si="27"/>
        <v>0</v>
      </c>
      <c r="AI343" s="252">
        <f t="shared" si="28"/>
        <v>0</v>
      </c>
      <c r="AJ343" s="252">
        <f t="shared" si="29"/>
        <v>0</v>
      </c>
    </row>
    <row r="344" spans="1:36" x14ac:dyDescent="0.2">
      <c r="A344" s="253" t="str">
        <f t="shared" si="25"/>
        <v>2SNCF100P9501C30</v>
      </c>
      <c r="B344" s="252" t="s">
        <v>19</v>
      </c>
      <c r="C344" s="252" t="s">
        <v>20</v>
      </c>
      <c r="D344" s="252" t="s">
        <v>2530</v>
      </c>
      <c r="E344" s="252" t="s">
        <v>2531</v>
      </c>
      <c r="F344" s="252" t="s">
        <v>2533</v>
      </c>
      <c r="G344" s="252">
        <v>30</v>
      </c>
      <c r="H344" s="252" t="s">
        <v>928</v>
      </c>
      <c r="I344" s="252" t="s">
        <v>2477</v>
      </c>
      <c r="J344" s="252" t="s">
        <v>928</v>
      </c>
      <c r="K344" s="252" t="s">
        <v>3236</v>
      </c>
      <c r="L344" s="252">
        <v>742.87</v>
      </c>
      <c r="M344" s="252">
        <v>0</v>
      </c>
      <c r="N344" s="252">
        <v>0</v>
      </c>
      <c r="O344" s="252">
        <v>0</v>
      </c>
      <c r="P344" s="252">
        <v>0</v>
      </c>
      <c r="Q344" s="252">
        <v>0</v>
      </c>
      <c r="R344" s="252">
        <v>0</v>
      </c>
      <c r="S344" s="252">
        <v>0</v>
      </c>
      <c r="T344" s="252">
        <v>0</v>
      </c>
      <c r="U344" s="252">
        <v>0</v>
      </c>
      <c r="V344" s="252">
        <v>0</v>
      </c>
      <c r="W344" s="252">
        <v>0</v>
      </c>
      <c r="X344" s="252">
        <v>0</v>
      </c>
      <c r="Y344" s="252">
        <v>553.29999999999995</v>
      </c>
      <c r="Z344" s="252">
        <v>0</v>
      </c>
      <c r="AA344" s="252">
        <v>0</v>
      </c>
      <c r="AB344" s="252">
        <v>189.57</v>
      </c>
      <c r="AC344" s="252">
        <v>0</v>
      </c>
      <c r="AD344" s="252">
        <v>0</v>
      </c>
      <c r="AE344" s="252" t="s">
        <v>720</v>
      </c>
      <c r="AF344" s="252" t="s">
        <v>721</v>
      </c>
      <c r="AG344" s="252">
        <f t="shared" si="26"/>
        <v>0</v>
      </c>
      <c r="AH344" s="252">
        <f t="shared" si="27"/>
        <v>0</v>
      </c>
      <c r="AI344" s="252">
        <f t="shared" si="28"/>
        <v>0</v>
      </c>
      <c r="AJ344" s="252">
        <f t="shared" si="29"/>
        <v>0</v>
      </c>
    </row>
    <row r="345" spans="1:36" x14ac:dyDescent="0.2">
      <c r="A345" s="253" t="str">
        <f t="shared" si="25"/>
        <v>SNCF100P9501C30</v>
      </c>
      <c r="B345" s="252" t="s">
        <v>19</v>
      </c>
      <c r="C345" s="252" t="s">
        <v>20</v>
      </c>
      <c r="D345" s="252" t="s">
        <v>2530</v>
      </c>
      <c r="E345" s="252" t="s">
        <v>2531</v>
      </c>
      <c r="F345" s="252" t="s">
        <v>2533</v>
      </c>
      <c r="G345" s="252">
        <v>30</v>
      </c>
      <c r="H345" s="252" t="s">
        <v>928</v>
      </c>
      <c r="I345" s="252" t="s">
        <v>928</v>
      </c>
      <c r="J345" s="252" t="s">
        <v>928</v>
      </c>
      <c r="K345" s="252" t="s">
        <v>3236</v>
      </c>
      <c r="L345" s="252">
        <v>742.87</v>
      </c>
      <c r="M345" s="252">
        <v>0</v>
      </c>
      <c r="N345" s="252">
        <v>0</v>
      </c>
      <c r="O345" s="252">
        <v>0</v>
      </c>
      <c r="P345" s="252">
        <v>0</v>
      </c>
      <c r="Q345" s="252">
        <v>0</v>
      </c>
      <c r="R345" s="252">
        <v>0</v>
      </c>
      <c r="S345" s="252">
        <v>0</v>
      </c>
      <c r="T345" s="252">
        <v>0</v>
      </c>
      <c r="U345" s="252">
        <v>0</v>
      </c>
      <c r="V345" s="252">
        <v>0</v>
      </c>
      <c r="W345" s="252">
        <v>0</v>
      </c>
      <c r="X345" s="252">
        <v>0</v>
      </c>
      <c r="Y345" s="252">
        <v>553.29999999999995</v>
      </c>
      <c r="Z345" s="252">
        <v>0</v>
      </c>
      <c r="AA345" s="252">
        <v>0</v>
      </c>
      <c r="AB345" s="252">
        <v>189.57</v>
      </c>
      <c r="AC345" s="252">
        <v>0</v>
      </c>
      <c r="AD345" s="252">
        <v>0</v>
      </c>
      <c r="AE345" s="252" t="s">
        <v>720</v>
      </c>
      <c r="AF345" s="252" t="s">
        <v>721</v>
      </c>
      <c r="AG345" s="252">
        <f t="shared" si="26"/>
        <v>0</v>
      </c>
      <c r="AH345" s="252">
        <f t="shared" si="27"/>
        <v>0</v>
      </c>
      <c r="AI345" s="252">
        <f t="shared" si="28"/>
        <v>0</v>
      </c>
      <c r="AJ345" s="252">
        <f t="shared" si="29"/>
        <v>0</v>
      </c>
    </row>
    <row r="346" spans="1:36" x14ac:dyDescent="0.2">
      <c r="A346" s="253" t="str">
        <f t="shared" si="25"/>
        <v>2SNCF100P9501C40</v>
      </c>
      <c r="B346" s="252" t="s">
        <v>19</v>
      </c>
      <c r="C346" s="252" t="s">
        <v>20</v>
      </c>
      <c r="D346" s="252" t="s">
        <v>2530</v>
      </c>
      <c r="E346" s="252" t="s">
        <v>2531</v>
      </c>
      <c r="F346" s="252" t="s">
        <v>2533</v>
      </c>
      <c r="G346" s="252">
        <v>40</v>
      </c>
      <c r="H346" s="252" t="s">
        <v>928</v>
      </c>
      <c r="I346" s="252" t="s">
        <v>2477</v>
      </c>
      <c r="J346" s="252" t="s">
        <v>928</v>
      </c>
      <c r="K346" s="252" t="s">
        <v>3236</v>
      </c>
      <c r="L346" s="252">
        <v>597.82000000000005</v>
      </c>
      <c r="M346" s="252">
        <v>0</v>
      </c>
      <c r="N346" s="252">
        <v>0</v>
      </c>
      <c r="O346" s="252">
        <v>0</v>
      </c>
      <c r="P346" s="252">
        <v>0</v>
      </c>
      <c r="Q346" s="252">
        <v>0</v>
      </c>
      <c r="R346" s="252">
        <v>0</v>
      </c>
      <c r="S346" s="252">
        <v>0</v>
      </c>
      <c r="T346" s="252">
        <v>0</v>
      </c>
      <c r="U346" s="252">
        <v>0</v>
      </c>
      <c r="V346" s="252">
        <v>0</v>
      </c>
      <c r="W346" s="252">
        <v>0</v>
      </c>
      <c r="X346" s="252">
        <v>0</v>
      </c>
      <c r="Y346" s="252">
        <v>451.31</v>
      </c>
      <c r="Z346" s="252">
        <v>0</v>
      </c>
      <c r="AA346" s="252">
        <v>0</v>
      </c>
      <c r="AB346" s="252">
        <v>146.51</v>
      </c>
      <c r="AC346" s="252">
        <v>0</v>
      </c>
      <c r="AD346" s="252">
        <v>0</v>
      </c>
      <c r="AE346" s="252" t="s">
        <v>720</v>
      </c>
      <c r="AF346" s="252" t="s">
        <v>721</v>
      </c>
      <c r="AG346" s="252">
        <f t="shared" si="26"/>
        <v>0</v>
      </c>
      <c r="AH346" s="252">
        <f t="shared" si="27"/>
        <v>0</v>
      </c>
      <c r="AI346" s="252">
        <f t="shared" si="28"/>
        <v>0</v>
      </c>
      <c r="AJ346" s="252">
        <f t="shared" si="29"/>
        <v>0</v>
      </c>
    </row>
    <row r="347" spans="1:36" x14ac:dyDescent="0.2">
      <c r="A347" s="253" t="str">
        <f t="shared" si="25"/>
        <v>SNCF100P9501C40</v>
      </c>
      <c r="B347" s="252" t="s">
        <v>19</v>
      </c>
      <c r="C347" s="252" t="s">
        <v>20</v>
      </c>
      <c r="D347" s="252" t="s">
        <v>2530</v>
      </c>
      <c r="E347" s="252" t="s">
        <v>2531</v>
      </c>
      <c r="F347" s="252" t="s">
        <v>2533</v>
      </c>
      <c r="G347" s="252">
        <v>40</v>
      </c>
      <c r="H347" s="252" t="s">
        <v>928</v>
      </c>
      <c r="I347" s="252" t="s">
        <v>928</v>
      </c>
      <c r="J347" s="252" t="s">
        <v>928</v>
      </c>
      <c r="K347" s="252" t="s">
        <v>3236</v>
      </c>
      <c r="L347" s="252">
        <v>597.82000000000005</v>
      </c>
      <c r="M347" s="252">
        <v>0</v>
      </c>
      <c r="N347" s="252">
        <v>0</v>
      </c>
      <c r="O347" s="252">
        <v>0</v>
      </c>
      <c r="P347" s="252">
        <v>0</v>
      </c>
      <c r="Q347" s="252">
        <v>0</v>
      </c>
      <c r="R347" s="252">
        <v>0</v>
      </c>
      <c r="S347" s="252">
        <v>0</v>
      </c>
      <c r="T347" s="252">
        <v>0</v>
      </c>
      <c r="U347" s="252">
        <v>0</v>
      </c>
      <c r="V347" s="252">
        <v>0</v>
      </c>
      <c r="W347" s="252">
        <v>0</v>
      </c>
      <c r="X347" s="252">
        <v>0</v>
      </c>
      <c r="Y347" s="252">
        <v>451.31</v>
      </c>
      <c r="Z347" s="252">
        <v>0</v>
      </c>
      <c r="AA347" s="252">
        <v>0</v>
      </c>
      <c r="AB347" s="252">
        <v>146.51</v>
      </c>
      <c r="AC347" s="252">
        <v>0</v>
      </c>
      <c r="AD347" s="252">
        <v>0</v>
      </c>
      <c r="AE347" s="252" t="s">
        <v>720</v>
      </c>
      <c r="AF347" s="252" t="s">
        <v>721</v>
      </c>
      <c r="AG347" s="252">
        <f t="shared" si="26"/>
        <v>0</v>
      </c>
      <c r="AH347" s="252">
        <f t="shared" si="27"/>
        <v>0</v>
      </c>
      <c r="AI347" s="252">
        <f t="shared" si="28"/>
        <v>0</v>
      </c>
      <c r="AJ347" s="252">
        <f t="shared" si="29"/>
        <v>0</v>
      </c>
    </row>
    <row r="348" spans="1:36" x14ac:dyDescent="0.2">
      <c r="A348" s="253" t="str">
        <f t="shared" si="25"/>
        <v>2SNCF100P9501C50</v>
      </c>
      <c r="B348" s="252" t="s">
        <v>19</v>
      </c>
      <c r="C348" s="252" t="s">
        <v>20</v>
      </c>
      <c r="D348" s="252" t="s">
        <v>2530</v>
      </c>
      <c r="E348" s="252" t="s">
        <v>2531</v>
      </c>
      <c r="F348" s="252" t="s">
        <v>2533</v>
      </c>
      <c r="G348" s="252">
        <v>50</v>
      </c>
      <c r="H348" s="252" t="s">
        <v>928</v>
      </c>
      <c r="I348" s="252" t="s">
        <v>2477</v>
      </c>
      <c r="J348" s="252" t="s">
        <v>928</v>
      </c>
      <c r="K348" s="252" t="s">
        <v>3236</v>
      </c>
      <c r="L348" s="252">
        <v>556.03</v>
      </c>
      <c r="M348" s="252">
        <v>0</v>
      </c>
      <c r="N348" s="252">
        <v>0</v>
      </c>
      <c r="O348" s="252">
        <v>0</v>
      </c>
      <c r="P348" s="252">
        <v>0</v>
      </c>
      <c r="Q348" s="252">
        <v>0</v>
      </c>
      <c r="R348" s="252">
        <v>0</v>
      </c>
      <c r="S348" s="252">
        <v>0</v>
      </c>
      <c r="T348" s="252">
        <v>0</v>
      </c>
      <c r="U348" s="252">
        <v>0</v>
      </c>
      <c r="V348" s="252">
        <v>0</v>
      </c>
      <c r="W348" s="252">
        <v>0</v>
      </c>
      <c r="X348" s="252">
        <v>0</v>
      </c>
      <c r="Y348" s="252">
        <v>416.56</v>
      </c>
      <c r="Z348" s="252">
        <v>0</v>
      </c>
      <c r="AA348" s="252">
        <v>0</v>
      </c>
      <c r="AB348" s="252">
        <v>139.47</v>
      </c>
      <c r="AC348" s="252">
        <v>0</v>
      </c>
      <c r="AD348" s="252">
        <v>0</v>
      </c>
      <c r="AE348" s="252" t="s">
        <v>720</v>
      </c>
      <c r="AF348" s="252" t="s">
        <v>721</v>
      </c>
      <c r="AG348" s="252">
        <f t="shared" si="26"/>
        <v>0</v>
      </c>
      <c r="AH348" s="252">
        <f t="shared" si="27"/>
        <v>0</v>
      </c>
      <c r="AI348" s="252">
        <f t="shared" si="28"/>
        <v>0</v>
      </c>
      <c r="AJ348" s="252">
        <f t="shared" si="29"/>
        <v>0</v>
      </c>
    </row>
    <row r="349" spans="1:36" x14ac:dyDescent="0.2">
      <c r="A349" s="253" t="str">
        <f t="shared" si="25"/>
        <v>SNCF100P9501C50</v>
      </c>
      <c r="B349" s="252" t="s">
        <v>19</v>
      </c>
      <c r="C349" s="252" t="s">
        <v>20</v>
      </c>
      <c r="D349" s="252" t="s">
        <v>2530</v>
      </c>
      <c r="E349" s="252" t="s">
        <v>2531</v>
      </c>
      <c r="F349" s="252" t="s">
        <v>2533</v>
      </c>
      <c r="G349" s="252">
        <v>50</v>
      </c>
      <c r="H349" s="252" t="s">
        <v>928</v>
      </c>
      <c r="I349" s="252" t="s">
        <v>928</v>
      </c>
      <c r="J349" s="252" t="s">
        <v>928</v>
      </c>
      <c r="K349" s="252" t="s">
        <v>3236</v>
      </c>
      <c r="L349" s="252">
        <v>556.03</v>
      </c>
      <c r="M349" s="252">
        <v>0</v>
      </c>
      <c r="N349" s="252">
        <v>0</v>
      </c>
      <c r="O349" s="252">
        <v>0</v>
      </c>
      <c r="P349" s="252">
        <v>0</v>
      </c>
      <c r="Q349" s="252">
        <v>0</v>
      </c>
      <c r="R349" s="252">
        <v>0</v>
      </c>
      <c r="S349" s="252">
        <v>0</v>
      </c>
      <c r="T349" s="252">
        <v>0</v>
      </c>
      <c r="U349" s="252">
        <v>0</v>
      </c>
      <c r="V349" s="252">
        <v>0</v>
      </c>
      <c r="W349" s="252">
        <v>0</v>
      </c>
      <c r="X349" s="252">
        <v>0</v>
      </c>
      <c r="Y349" s="252">
        <v>416.56</v>
      </c>
      <c r="Z349" s="252">
        <v>0</v>
      </c>
      <c r="AA349" s="252">
        <v>0</v>
      </c>
      <c r="AB349" s="252">
        <v>139.47</v>
      </c>
      <c r="AC349" s="252">
        <v>0</v>
      </c>
      <c r="AD349" s="252">
        <v>0</v>
      </c>
      <c r="AE349" s="252" t="s">
        <v>720</v>
      </c>
      <c r="AF349" s="252" t="s">
        <v>721</v>
      </c>
      <c r="AG349" s="252">
        <f t="shared" si="26"/>
        <v>0</v>
      </c>
      <c r="AH349" s="252">
        <f t="shared" si="27"/>
        <v>0</v>
      </c>
      <c r="AI349" s="252">
        <f t="shared" si="28"/>
        <v>0</v>
      </c>
      <c r="AJ349" s="252">
        <f t="shared" si="29"/>
        <v>0</v>
      </c>
    </row>
    <row r="350" spans="1:36" x14ac:dyDescent="0.2">
      <c r="A350" s="253" t="str">
        <f t="shared" si="25"/>
        <v>2SNCF100P9501E30</v>
      </c>
      <c r="B350" s="252" t="s">
        <v>19</v>
      </c>
      <c r="C350" s="252" t="s">
        <v>20</v>
      </c>
      <c r="D350" s="252" t="s">
        <v>2530</v>
      </c>
      <c r="E350" s="252" t="s">
        <v>2531</v>
      </c>
      <c r="F350" s="252" t="s">
        <v>2534</v>
      </c>
      <c r="G350" s="252">
        <v>30</v>
      </c>
      <c r="H350" s="252" t="s">
        <v>928</v>
      </c>
      <c r="I350" s="252" t="s">
        <v>2477</v>
      </c>
      <c r="J350" s="252" t="s">
        <v>928</v>
      </c>
      <c r="K350" s="252" t="s">
        <v>3236</v>
      </c>
      <c r="L350" s="252">
        <v>405.39</v>
      </c>
      <c r="M350" s="252">
        <v>0</v>
      </c>
      <c r="N350" s="252">
        <v>0</v>
      </c>
      <c r="O350" s="252">
        <v>0</v>
      </c>
      <c r="P350" s="252">
        <v>0</v>
      </c>
      <c r="Q350" s="252">
        <v>0</v>
      </c>
      <c r="R350" s="252">
        <v>0</v>
      </c>
      <c r="S350" s="252">
        <v>0</v>
      </c>
      <c r="T350" s="252">
        <v>0</v>
      </c>
      <c r="U350" s="252">
        <v>0</v>
      </c>
      <c r="V350" s="252">
        <v>0</v>
      </c>
      <c r="W350" s="252">
        <v>0</v>
      </c>
      <c r="X350" s="252">
        <v>0</v>
      </c>
      <c r="Y350" s="252">
        <v>302.01</v>
      </c>
      <c r="Z350" s="252">
        <v>0</v>
      </c>
      <c r="AA350" s="252">
        <v>0</v>
      </c>
      <c r="AB350" s="252">
        <v>103.38</v>
      </c>
      <c r="AC350" s="252">
        <v>0</v>
      </c>
      <c r="AD350" s="252">
        <v>0</v>
      </c>
      <c r="AE350" s="252" t="s">
        <v>720</v>
      </c>
      <c r="AF350" s="252" t="s">
        <v>721</v>
      </c>
      <c r="AG350" s="252">
        <f t="shared" si="26"/>
        <v>0</v>
      </c>
      <c r="AH350" s="252">
        <f t="shared" si="27"/>
        <v>0</v>
      </c>
      <c r="AI350" s="252">
        <f t="shared" si="28"/>
        <v>0</v>
      </c>
      <c r="AJ350" s="252">
        <f t="shared" si="29"/>
        <v>0</v>
      </c>
    </row>
    <row r="351" spans="1:36" x14ac:dyDescent="0.2">
      <c r="A351" s="253" t="str">
        <f t="shared" si="25"/>
        <v>SNCF100P9501E30</v>
      </c>
      <c r="B351" s="252" t="s">
        <v>19</v>
      </c>
      <c r="C351" s="252" t="s">
        <v>20</v>
      </c>
      <c r="D351" s="252" t="s">
        <v>2530</v>
      </c>
      <c r="E351" s="252" t="s">
        <v>2531</v>
      </c>
      <c r="F351" s="252" t="s">
        <v>2534</v>
      </c>
      <c r="G351" s="252">
        <v>30</v>
      </c>
      <c r="H351" s="252" t="s">
        <v>928</v>
      </c>
      <c r="I351" s="252" t="s">
        <v>928</v>
      </c>
      <c r="J351" s="252" t="s">
        <v>928</v>
      </c>
      <c r="K351" s="252" t="s">
        <v>3236</v>
      </c>
      <c r="L351" s="252">
        <v>405.39</v>
      </c>
      <c r="M351" s="252">
        <v>0</v>
      </c>
      <c r="N351" s="252">
        <v>0</v>
      </c>
      <c r="O351" s="252">
        <v>0</v>
      </c>
      <c r="P351" s="252">
        <v>0</v>
      </c>
      <c r="Q351" s="252">
        <v>0</v>
      </c>
      <c r="R351" s="252">
        <v>0</v>
      </c>
      <c r="S351" s="252">
        <v>0</v>
      </c>
      <c r="T351" s="252">
        <v>0</v>
      </c>
      <c r="U351" s="252">
        <v>0</v>
      </c>
      <c r="V351" s="252">
        <v>0</v>
      </c>
      <c r="W351" s="252">
        <v>0</v>
      </c>
      <c r="X351" s="252">
        <v>0</v>
      </c>
      <c r="Y351" s="252">
        <v>302.01</v>
      </c>
      <c r="Z351" s="252">
        <v>0</v>
      </c>
      <c r="AA351" s="252">
        <v>0</v>
      </c>
      <c r="AB351" s="252">
        <v>103.38</v>
      </c>
      <c r="AC351" s="252">
        <v>0</v>
      </c>
      <c r="AD351" s="252">
        <v>0</v>
      </c>
      <c r="AE351" s="252" t="s">
        <v>720</v>
      </c>
      <c r="AF351" s="252" t="s">
        <v>721</v>
      </c>
      <c r="AG351" s="252">
        <f t="shared" si="26"/>
        <v>0</v>
      </c>
      <c r="AH351" s="252">
        <f t="shared" si="27"/>
        <v>0</v>
      </c>
      <c r="AI351" s="252">
        <f t="shared" si="28"/>
        <v>0</v>
      </c>
      <c r="AJ351" s="252">
        <f t="shared" si="29"/>
        <v>0</v>
      </c>
    </row>
    <row r="352" spans="1:36" x14ac:dyDescent="0.2">
      <c r="A352" s="253" t="str">
        <f t="shared" si="25"/>
        <v>2SNCF100P9501E40</v>
      </c>
      <c r="B352" s="252" t="s">
        <v>19</v>
      </c>
      <c r="C352" s="252" t="s">
        <v>20</v>
      </c>
      <c r="D352" s="252" t="s">
        <v>2530</v>
      </c>
      <c r="E352" s="252" t="s">
        <v>2531</v>
      </c>
      <c r="F352" s="252" t="s">
        <v>2534</v>
      </c>
      <c r="G352" s="252">
        <v>40</v>
      </c>
      <c r="H352" s="252" t="s">
        <v>928</v>
      </c>
      <c r="I352" s="252" t="s">
        <v>2477</v>
      </c>
      <c r="J352" s="252" t="s">
        <v>928</v>
      </c>
      <c r="K352" s="252" t="s">
        <v>3236</v>
      </c>
      <c r="L352" s="252">
        <v>420.09</v>
      </c>
      <c r="M352" s="252">
        <v>0</v>
      </c>
      <c r="N352" s="252">
        <v>0</v>
      </c>
      <c r="O352" s="252">
        <v>0</v>
      </c>
      <c r="P352" s="252">
        <v>0</v>
      </c>
      <c r="Q352" s="252">
        <v>0</v>
      </c>
      <c r="R352" s="252">
        <v>0</v>
      </c>
      <c r="S352" s="252">
        <v>0</v>
      </c>
      <c r="T352" s="252">
        <v>0</v>
      </c>
      <c r="U352" s="252">
        <v>0</v>
      </c>
      <c r="V352" s="252">
        <v>0</v>
      </c>
      <c r="W352" s="252">
        <v>0</v>
      </c>
      <c r="X352" s="252">
        <v>0</v>
      </c>
      <c r="Y352" s="252">
        <v>325.33999999999997</v>
      </c>
      <c r="Z352" s="252">
        <v>0</v>
      </c>
      <c r="AA352" s="252">
        <v>0</v>
      </c>
      <c r="AB352" s="252">
        <v>94.75</v>
      </c>
      <c r="AC352" s="252">
        <v>0</v>
      </c>
      <c r="AD352" s="252">
        <v>0</v>
      </c>
      <c r="AE352" s="252" t="s">
        <v>720</v>
      </c>
      <c r="AF352" s="252" t="s">
        <v>721</v>
      </c>
      <c r="AG352" s="252">
        <f t="shared" si="26"/>
        <v>0</v>
      </c>
      <c r="AH352" s="252">
        <f t="shared" si="27"/>
        <v>0</v>
      </c>
      <c r="AI352" s="252">
        <f t="shared" si="28"/>
        <v>0</v>
      </c>
      <c r="AJ352" s="252">
        <f t="shared" si="29"/>
        <v>0</v>
      </c>
    </row>
    <row r="353" spans="1:36" x14ac:dyDescent="0.2">
      <c r="A353" s="253" t="str">
        <f t="shared" si="25"/>
        <v>SNCF100P9501E40</v>
      </c>
      <c r="B353" s="252" t="s">
        <v>19</v>
      </c>
      <c r="C353" s="252" t="s">
        <v>20</v>
      </c>
      <c r="D353" s="252" t="s">
        <v>2530</v>
      </c>
      <c r="E353" s="252" t="s">
        <v>2531</v>
      </c>
      <c r="F353" s="252" t="s">
        <v>2534</v>
      </c>
      <c r="G353" s="252">
        <v>40</v>
      </c>
      <c r="H353" s="252" t="s">
        <v>928</v>
      </c>
      <c r="I353" s="252" t="s">
        <v>928</v>
      </c>
      <c r="J353" s="252" t="s">
        <v>928</v>
      </c>
      <c r="K353" s="252" t="s">
        <v>3236</v>
      </c>
      <c r="L353" s="252">
        <v>420.09</v>
      </c>
      <c r="M353" s="252">
        <v>0</v>
      </c>
      <c r="N353" s="252">
        <v>0</v>
      </c>
      <c r="O353" s="252">
        <v>0</v>
      </c>
      <c r="P353" s="252">
        <v>0</v>
      </c>
      <c r="Q353" s="252">
        <v>0</v>
      </c>
      <c r="R353" s="252">
        <v>0</v>
      </c>
      <c r="S353" s="252">
        <v>0</v>
      </c>
      <c r="T353" s="252">
        <v>0</v>
      </c>
      <c r="U353" s="252">
        <v>0</v>
      </c>
      <c r="V353" s="252">
        <v>0</v>
      </c>
      <c r="W353" s="252">
        <v>0</v>
      </c>
      <c r="X353" s="252">
        <v>0</v>
      </c>
      <c r="Y353" s="252">
        <v>325.33999999999997</v>
      </c>
      <c r="Z353" s="252">
        <v>0</v>
      </c>
      <c r="AA353" s="252">
        <v>0</v>
      </c>
      <c r="AB353" s="252">
        <v>94.75</v>
      </c>
      <c r="AC353" s="252">
        <v>0</v>
      </c>
      <c r="AD353" s="252">
        <v>0</v>
      </c>
      <c r="AE353" s="252" t="s">
        <v>720</v>
      </c>
      <c r="AF353" s="252" t="s">
        <v>721</v>
      </c>
      <c r="AG353" s="252">
        <f t="shared" si="26"/>
        <v>0</v>
      </c>
      <c r="AH353" s="252">
        <f t="shared" si="27"/>
        <v>0</v>
      </c>
      <c r="AI353" s="252">
        <f t="shared" si="28"/>
        <v>0</v>
      </c>
      <c r="AJ353" s="252">
        <f t="shared" si="29"/>
        <v>0</v>
      </c>
    </row>
    <row r="354" spans="1:36" x14ac:dyDescent="0.2">
      <c r="A354" s="253" t="str">
        <f t="shared" si="25"/>
        <v>2SNCF100P9501E50</v>
      </c>
      <c r="B354" s="252" t="s">
        <v>19</v>
      </c>
      <c r="C354" s="252" t="s">
        <v>20</v>
      </c>
      <c r="D354" s="252" t="s">
        <v>2530</v>
      </c>
      <c r="E354" s="252" t="s">
        <v>2531</v>
      </c>
      <c r="F354" s="252" t="s">
        <v>2534</v>
      </c>
      <c r="G354" s="252">
        <v>50</v>
      </c>
      <c r="H354" s="252" t="s">
        <v>928</v>
      </c>
      <c r="I354" s="252" t="s">
        <v>2477</v>
      </c>
      <c r="J354" s="252" t="s">
        <v>928</v>
      </c>
      <c r="K354" s="252" t="s">
        <v>3236</v>
      </c>
      <c r="L354" s="252">
        <v>372.7</v>
      </c>
      <c r="M354" s="252">
        <v>0</v>
      </c>
      <c r="N354" s="252">
        <v>0</v>
      </c>
      <c r="O354" s="252">
        <v>0</v>
      </c>
      <c r="P354" s="252">
        <v>0</v>
      </c>
      <c r="Q354" s="252">
        <v>0</v>
      </c>
      <c r="R354" s="252">
        <v>0</v>
      </c>
      <c r="S354" s="252">
        <v>0</v>
      </c>
      <c r="T354" s="252">
        <v>0</v>
      </c>
      <c r="U354" s="252">
        <v>0</v>
      </c>
      <c r="V354" s="252">
        <v>0</v>
      </c>
      <c r="W354" s="252">
        <v>0</v>
      </c>
      <c r="X354" s="252">
        <v>0</v>
      </c>
      <c r="Y354" s="252">
        <v>292.55</v>
      </c>
      <c r="Z354" s="252">
        <v>0</v>
      </c>
      <c r="AA354" s="252">
        <v>0</v>
      </c>
      <c r="AB354" s="252">
        <v>80.16</v>
      </c>
      <c r="AC354" s="252">
        <v>0</v>
      </c>
      <c r="AD354" s="252">
        <v>0</v>
      </c>
      <c r="AE354" s="252" t="s">
        <v>720</v>
      </c>
      <c r="AF354" s="252" t="s">
        <v>721</v>
      </c>
      <c r="AG354" s="252">
        <f t="shared" si="26"/>
        <v>0</v>
      </c>
      <c r="AH354" s="252">
        <f t="shared" si="27"/>
        <v>0</v>
      </c>
      <c r="AI354" s="252">
        <f t="shared" si="28"/>
        <v>0</v>
      </c>
      <c r="AJ354" s="252">
        <f t="shared" si="29"/>
        <v>0</v>
      </c>
    </row>
    <row r="355" spans="1:36" x14ac:dyDescent="0.2">
      <c r="A355" s="253" t="str">
        <f t="shared" si="25"/>
        <v>SNCF100P9501E50</v>
      </c>
      <c r="B355" s="252" t="s">
        <v>19</v>
      </c>
      <c r="C355" s="252" t="s">
        <v>20</v>
      </c>
      <c r="D355" s="252" t="s">
        <v>2530</v>
      </c>
      <c r="E355" s="252" t="s">
        <v>2531</v>
      </c>
      <c r="F355" s="252" t="s">
        <v>2534</v>
      </c>
      <c r="G355" s="252">
        <v>50</v>
      </c>
      <c r="H355" s="252" t="s">
        <v>928</v>
      </c>
      <c r="I355" s="252" t="s">
        <v>928</v>
      </c>
      <c r="J355" s="252" t="s">
        <v>928</v>
      </c>
      <c r="K355" s="252" t="s">
        <v>3236</v>
      </c>
      <c r="L355" s="252">
        <v>372.7</v>
      </c>
      <c r="M355" s="252">
        <v>0</v>
      </c>
      <c r="N355" s="252">
        <v>0</v>
      </c>
      <c r="O355" s="252">
        <v>0</v>
      </c>
      <c r="P355" s="252">
        <v>0</v>
      </c>
      <c r="Q355" s="252">
        <v>0</v>
      </c>
      <c r="R355" s="252">
        <v>0</v>
      </c>
      <c r="S355" s="252">
        <v>0</v>
      </c>
      <c r="T355" s="252">
        <v>0</v>
      </c>
      <c r="U355" s="252">
        <v>0</v>
      </c>
      <c r="V355" s="252">
        <v>0</v>
      </c>
      <c r="W355" s="252">
        <v>0</v>
      </c>
      <c r="X355" s="252">
        <v>0</v>
      </c>
      <c r="Y355" s="252">
        <v>292.55</v>
      </c>
      <c r="Z355" s="252">
        <v>0</v>
      </c>
      <c r="AA355" s="252">
        <v>0</v>
      </c>
      <c r="AB355" s="252">
        <v>80.16</v>
      </c>
      <c r="AC355" s="252">
        <v>0</v>
      </c>
      <c r="AD355" s="252">
        <v>0</v>
      </c>
      <c r="AE355" s="252" t="s">
        <v>720</v>
      </c>
      <c r="AF355" s="252" t="s">
        <v>721</v>
      </c>
      <c r="AG355" s="252">
        <f t="shared" si="26"/>
        <v>0</v>
      </c>
      <c r="AH355" s="252">
        <f t="shared" si="27"/>
        <v>0</v>
      </c>
      <c r="AI355" s="252">
        <f t="shared" si="28"/>
        <v>0</v>
      </c>
      <c r="AJ355" s="252">
        <f t="shared" si="29"/>
        <v>0</v>
      </c>
    </row>
    <row r="356" spans="1:36" x14ac:dyDescent="0.2">
      <c r="A356" s="253" t="str">
        <f t="shared" si="25"/>
        <v>2SNCF100P9501F30</v>
      </c>
      <c r="B356" s="252" t="s">
        <v>19</v>
      </c>
      <c r="C356" s="252" t="s">
        <v>20</v>
      </c>
      <c r="D356" s="252" t="s">
        <v>2530</v>
      </c>
      <c r="E356" s="252" t="s">
        <v>2531</v>
      </c>
      <c r="F356" s="252" t="s">
        <v>2535</v>
      </c>
      <c r="G356" s="252">
        <v>30</v>
      </c>
      <c r="H356" s="252" t="s">
        <v>928</v>
      </c>
      <c r="I356" s="252" t="s">
        <v>2477</v>
      </c>
      <c r="J356" s="252" t="s">
        <v>928</v>
      </c>
      <c r="K356" s="252" t="s">
        <v>3236</v>
      </c>
      <c r="L356" s="252">
        <v>539.69000000000005</v>
      </c>
      <c r="M356" s="252">
        <v>0</v>
      </c>
      <c r="N356" s="252">
        <v>0</v>
      </c>
      <c r="O356" s="252">
        <v>0</v>
      </c>
      <c r="P356" s="252">
        <v>0</v>
      </c>
      <c r="Q356" s="252">
        <v>0</v>
      </c>
      <c r="R356" s="252">
        <v>0</v>
      </c>
      <c r="S356" s="252">
        <v>0</v>
      </c>
      <c r="T356" s="252">
        <v>0</v>
      </c>
      <c r="U356" s="252">
        <v>0</v>
      </c>
      <c r="V356" s="252">
        <v>0</v>
      </c>
      <c r="W356" s="252">
        <v>0</v>
      </c>
      <c r="X356" s="252">
        <v>0</v>
      </c>
      <c r="Y356" s="252">
        <v>338.54</v>
      </c>
      <c r="Z356" s="252">
        <v>0</v>
      </c>
      <c r="AA356" s="252">
        <v>0</v>
      </c>
      <c r="AB356" s="252">
        <v>201.16</v>
      </c>
      <c r="AC356" s="252">
        <v>0</v>
      </c>
      <c r="AD356" s="252">
        <v>0</v>
      </c>
      <c r="AE356" s="252" t="s">
        <v>720</v>
      </c>
      <c r="AF356" s="252" t="s">
        <v>721</v>
      </c>
      <c r="AG356" s="252">
        <f t="shared" si="26"/>
        <v>0</v>
      </c>
      <c r="AH356" s="252">
        <f t="shared" si="27"/>
        <v>0</v>
      </c>
      <c r="AI356" s="252">
        <f t="shared" si="28"/>
        <v>0</v>
      </c>
      <c r="AJ356" s="252">
        <f t="shared" si="29"/>
        <v>0</v>
      </c>
    </row>
    <row r="357" spans="1:36" x14ac:dyDescent="0.2">
      <c r="A357" s="253" t="str">
        <f t="shared" si="25"/>
        <v>SNCF100P9501F30</v>
      </c>
      <c r="B357" s="252" t="s">
        <v>19</v>
      </c>
      <c r="C357" s="252" t="s">
        <v>20</v>
      </c>
      <c r="D357" s="252" t="s">
        <v>2530</v>
      </c>
      <c r="E357" s="252" t="s">
        <v>2531</v>
      </c>
      <c r="F357" s="252" t="s">
        <v>2535</v>
      </c>
      <c r="G357" s="252">
        <v>30</v>
      </c>
      <c r="H357" s="252" t="s">
        <v>928</v>
      </c>
      <c r="I357" s="252" t="s">
        <v>928</v>
      </c>
      <c r="J357" s="252" t="s">
        <v>928</v>
      </c>
      <c r="K357" s="252" t="s">
        <v>3236</v>
      </c>
      <c r="L357" s="252">
        <v>539.69000000000005</v>
      </c>
      <c r="M357" s="252">
        <v>0</v>
      </c>
      <c r="N357" s="252">
        <v>0</v>
      </c>
      <c r="O357" s="252">
        <v>0</v>
      </c>
      <c r="P357" s="252">
        <v>0</v>
      </c>
      <c r="Q357" s="252">
        <v>0</v>
      </c>
      <c r="R357" s="252">
        <v>0</v>
      </c>
      <c r="S357" s="252">
        <v>0</v>
      </c>
      <c r="T357" s="252">
        <v>0</v>
      </c>
      <c r="U357" s="252">
        <v>0</v>
      </c>
      <c r="V357" s="252">
        <v>0</v>
      </c>
      <c r="W357" s="252">
        <v>0</v>
      </c>
      <c r="X357" s="252">
        <v>0</v>
      </c>
      <c r="Y357" s="252">
        <v>338.54</v>
      </c>
      <c r="Z357" s="252">
        <v>0</v>
      </c>
      <c r="AA357" s="252">
        <v>0</v>
      </c>
      <c r="AB357" s="252">
        <v>201.16</v>
      </c>
      <c r="AC357" s="252">
        <v>0</v>
      </c>
      <c r="AD357" s="252">
        <v>0</v>
      </c>
      <c r="AE357" s="252" t="s">
        <v>720</v>
      </c>
      <c r="AF357" s="252" t="s">
        <v>721</v>
      </c>
      <c r="AG357" s="252">
        <f t="shared" si="26"/>
        <v>0</v>
      </c>
      <c r="AH357" s="252">
        <f t="shared" si="27"/>
        <v>0</v>
      </c>
      <c r="AI357" s="252">
        <f t="shared" si="28"/>
        <v>0</v>
      </c>
      <c r="AJ357" s="252">
        <f t="shared" si="29"/>
        <v>0</v>
      </c>
    </row>
    <row r="358" spans="1:36" x14ac:dyDescent="0.2">
      <c r="A358" s="253" t="str">
        <f t="shared" si="25"/>
        <v>2SNCF100P9501G50</v>
      </c>
      <c r="B358" s="252" t="s">
        <v>19</v>
      </c>
      <c r="C358" s="252" t="s">
        <v>20</v>
      </c>
      <c r="D358" s="252" t="s">
        <v>2530</v>
      </c>
      <c r="E358" s="252" t="s">
        <v>2531</v>
      </c>
      <c r="F358" s="252" t="s">
        <v>2536</v>
      </c>
      <c r="G358" s="252">
        <v>50</v>
      </c>
      <c r="H358" s="252" t="s">
        <v>928</v>
      </c>
      <c r="I358" s="252" t="s">
        <v>2477</v>
      </c>
      <c r="J358" s="252" t="s">
        <v>928</v>
      </c>
      <c r="K358" s="252" t="s">
        <v>3236</v>
      </c>
      <c r="L358" s="252">
        <v>472.78</v>
      </c>
      <c r="M358" s="252">
        <v>0</v>
      </c>
      <c r="N358" s="252">
        <v>0</v>
      </c>
      <c r="O358" s="252">
        <v>0</v>
      </c>
      <c r="P358" s="252">
        <v>0</v>
      </c>
      <c r="Q358" s="252">
        <v>0</v>
      </c>
      <c r="R358" s="252">
        <v>0</v>
      </c>
      <c r="S358" s="252">
        <v>0</v>
      </c>
      <c r="T358" s="252">
        <v>0</v>
      </c>
      <c r="U358" s="252">
        <v>0</v>
      </c>
      <c r="V358" s="252">
        <v>0</v>
      </c>
      <c r="W358" s="252">
        <v>0</v>
      </c>
      <c r="X358" s="252">
        <v>0</v>
      </c>
      <c r="Y358" s="252">
        <v>330.54</v>
      </c>
      <c r="Z358" s="252">
        <v>0</v>
      </c>
      <c r="AA358" s="252">
        <v>0</v>
      </c>
      <c r="AB358" s="252">
        <v>142.24</v>
      </c>
      <c r="AC358" s="252">
        <v>0</v>
      </c>
      <c r="AD358" s="252">
        <v>0</v>
      </c>
      <c r="AE358" s="252" t="s">
        <v>720</v>
      </c>
      <c r="AF358" s="252" t="s">
        <v>721</v>
      </c>
      <c r="AG358" s="252">
        <f t="shared" si="26"/>
        <v>0</v>
      </c>
      <c r="AH358" s="252">
        <f t="shared" si="27"/>
        <v>0</v>
      </c>
      <c r="AI358" s="252">
        <f t="shared" si="28"/>
        <v>0</v>
      </c>
      <c r="AJ358" s="252">
        <f t="shared" si="29"/>
        <v>0</v>
      </c>
    </row>
    <row r="359" spans="1:36" x14ac:dyDescent="0.2">
      <c r="A359" s="253" t="str">
        <f t="shared" si="25"/>
        <v>SNCF100P9501G50</v>
      </c>
      <c r="B359" s="252" t="s">
        <v>19</v>
      </c>
      <c r="C359" s="252" t="s">
        <v>20</v>
      </c>
      <c r="D359" s="252" t="s">
        <v>2530</v>
      </c>
      <c r="E359" s="252" t="s">
        <v>2531</v>
      </c>
      <c r="F359" s="252" t="s">
        <v>2536</v>
      </c>
      <c r="G359" s="252">
        <v>50</v>
      </c>
      <c r="H359" s="252" t="s">
        <v>928</v>
      </c>
      <c r="I359" s="252" t="s">
        <v>928</v>
      </c>
      <c r="J359" s="252" t="s">
        <v>928</v>
      </c>
      <c r="K359" s="252" t="s">
        <v>3236</v>
      </c>
      <c r="L359" s="252">
        <v>472.78</v>
      </c>
      <c r="M359" s="252">
        <v>0</v>
      </c>
      <c r="N359" s="252">
        <v>0</v>
      </c>
      <c r="O359" s="252">
        <v>0</v>
      </c>
      <c r="P359" s="252">
        <v>0</v>
      </c>
      <c r="Q359" s="252">
        <v>0</v>
      </c>
      <c r="R359" s="252">
        <v>0</v>
      </c>
      <c r="S359" s="252">
        <v>0</v>
      </c>
      <c r="T359" s="252">
        <v>0</v>
      </c>
      <c r="U359" s="252">
        <v>0</v>
      </c>
      <c r="V359" s="252">
        <v>0</v>
      </c>
      <c r="W359" s="252">
        <v>0</v>
      </c>
      <c r="X359" s="252">
        <v>0</v>
      </c>
      <c r="Y359" s="252">
        <v>330.54</v>
      </c>
      <c r="Z359" s="252">
        <v>0</v>
      </c>
      <c r="AA359" s="252">
        <v>0</v>
      </c>
      <c r="AB359" s="252">
        <v>142.24</v>
      </c>
      <c r="AC359" s="252">
        <v>0</v>
      </c>
      <c r="AD359" s="252">
        <v>0</v>
      </c>
      <c r="AE359" s="252" t="s">
        <v>720</v>
      </c>
      <c r="AF359" s="252" t="s">
        <v>721</v>
      </c>
      <c r="AG359" s="252">
        <f t="shared" si="26"/>
        <v>0</v>
      </c>
      <c r="AH359" s="252">
        <f t="shared" si="27"/>
        <v>0</v>
      </c>
      <c r="AI359" s="252">
        <f t="shared" si="28"/>
        <v>0</v>
      </c>
      <c r="AJ359" s="252">
        <f t="shared" si="29"/>
        <v>0</v>
      </c>
    </row>
    <row r="360" spans="1:36" x14ac:dyDescent="0.2">
      <c r="A360" s="253" t="str">
        <f t="shared" si="25"/>
        <v>2SNCF100P9501H30</v>
      </c>
      <c r="B360" s="252" t="s">
        <v>19</v>
      </c>
      <c r="C360" s="252" t="s">
        <v>20</v>
      </c>
      <c r="D360" s="252" t="s">
        <v>2530</v>
      </c>
      <c r="E360" s="252" t="s">
        <v>2531</v>
      </c>
      <c r="F360" s="252" t="s">
        <v>2537</v>
      </c>
      <c r="G360" s="252">
        <v>30</v>
      </c>
      <c r="H360" s="252" t="s">
        <v>928</v>
      </c>
      <c r="I360" s="252" t="s">
        <v>2477</v>
      </c>
      <c r="J360" s="252" t="s">
        <v>928</v>
      </c>
      <c r="K360" s="252" t="s">
        <v>3236</v>
      </c>
      <c r="L360" s="252">
        <v>386.16</v>
      </c>
      <c r="M360" s="252">
        <v>0</v>
      </c>
      <c r="N360" s="252">
        <v>0</v>
      </c>
      <c r="O360" s="252">
        <v>0</v>
      </c>
      <c r="P360" s="252">
        <v>0</v>
      </c>
      <c r="Q360" s="252">
        <v>0</v>
      </c>
      <c r="R360" s="252">
        <v>0</v>
      </c>
      <c r="S360" s="252">
        <v>0</v>
      </c>
      <c r="T360" s="252">
        <v>0</v>
      </c>
      <c r="U360" s="252">
        <v>0</v>
      </c>
      <c r="V360" s="252">
        <v>0</v>
      </c>
      <c r="W360" s="252">
        <v>0</v>
      </c>
      <c r="X360" s="252">
        <v>0</v>
      </c>
      <c r="Y360" s="252">
        <v>292.06</v>
      </c>
      <c r="Z360" s="252">
        <v>0</v>
      </c>
      <c r="AA360" s="252">
        <v>0</v>
      </c>
      <c r="AB360" s="252">
        <v>94.11</v>
      </c>
      <c r="AC360" s="252">
        <v>0</v>
      </c>
      <c r="AD360" s="252">
        <v>0</v>
      </c>
      <c r="AE360" s="252" t="s">
        <v>720</v>
      </c>
      <c r="AF360" s="252" t="s">
        <v>721</v>
      </c>
      <c r="AG360" s="252">
        <f t="shared" si="26"/>
        <v>0</v>
      </c>
      <c r="AH360" s="252">
        <f t="shared" si="27"/>
        <v>0</v>
      </c>
      <c r="AI360" s="252">
        <f t="shared" si="28"/>
        <v>0</v>
      </c>
      <c r="AJ360" s="252">
        <f t="shared" si="29"/>
        <v>0</v>
      </c>
    </row>
    <row r="361" spans="1:36" x14ac:dyDescent="0.2">
      <c r="A361" s="253" t="str">
        <f t="shared" si="25"/>
        <v>SNCF100P9501H30</v>
      </c>
      <c r="B361" s="252" t="s">
        <v>19</v>
      </c>
      <c r="C361" s="252" t="s">
        <v>20</v>
      </c>
      <c r="D361" s="252" t="s">
        <v>2530</v>
      </c>
      <c r="E361" s="252" t="s">
        <v>2531</v>
      </c>
      <c r="F361" s="252" t="s">
        <v>2537</v>
      </c>
      <c r="G361" s="252">
        <v>30</v>
      </c>
      <c r="H361" s="252" t="s">
        <v>928</v>
      </c>
      <c r="I361" s="252" t="s">
        <v>928</v>
      </c>
      <c r="J361" s="252" t="s">
        <v>928</v>
      </c>
      <c r="K361" s="252" t="s">
        <v>3236</v>
      </c>
      <c r="L361" s="252">
        <v>386.16</v>
      </c>
      <c r="M361" s="252">
        <v>0</v>
      </c>
      <c r="N361" s="252">
        <v>0</v>
      </c>
      <c r="O361" s="252">
        <v>0</v>
      </c>
      <c r="P361" s="252">
        <v>0</v>
      </c>
      <c r="Q361" s="252">
        <v>0</v>
      </c>
      <c r="R361" s="252">
        <v>0</v>
      </c>
      <c r="S361" s="252">
        <v>0</v>
      </c>
      <c r="T361" s="252">
        <v>0</v>
      </c>
      <c r="U361" s="252">
        <v>0</v>
      </c>
      <c r="V361" s="252">
        <v>0</v>
      </c>
      <c r="W361" s="252">
        <v>0</v>
      </c>
      <c r="X361" s="252">
        <v>0</v>
      </c>
      <c r="Y361" s="252">
        <v>292.06</v>
      </c>
      <c r="Z361" s="252">
        <v>0</v>
      </c>
      <c r="AA361" s="252">
        <v>0</v>
      </c>
      <c r="AB361" s="252">
        <v>94.11</v>
      </c>
      <c r="AC361" s="252">
        <v>0</v>
      </c>
      <c r="AD361" s="252">
        <v>0</v>
      </c>
      <c r="AE361" s="252" t="s">
        <v>720</v>
      </c>
      <c r="AF361" s="252" t="s">
        <v>721</v>
      </c>
      <c r="AG361" s="252">
        <f t="shared" si="26"/>
        <v>0</v>
      </c>
      <c r="AH361" s="252">
        <f t="shared" si="27"/>
        <v>0</v>
      </c>
      <c r="AI361" s="252">
        <f t="shared" si="28"/>
        <v>0</v>
      </c>
      <c r="AJ361" s="252">
        <f t="shared" si="29"/>
        <v>0</v>
      </c>
    </row>
    <row r="362" spans="1:36" x14ac:dyDescent="0.2">
      <c r="A362" s="253" t="str">
        <f t="shared" si="25"/>
        <v>2SNCF100P9501H50</v>
      </c>
      <c r="B362" s="252" t="s">
        <v>19</v>
      </c>
      <c r="C362" s="252" t="s">
        <v>20</v>
      </c>
      <c r="D362" s="252" t="s">
        <v>2530</v>
      </c>
      <c r="E362" s="252" t="s">
        <v>2531</v>
      </c>
      <c r="F362" s="252" t="s">
        <v>2537</v>
      </c>
      <c r="G362" s="252">
        <v>50</v>
      </c>
      <c r="H362" s="252" t="s">
        <v>928</v>
      </c>
      <c r="I362" s="252" t="s">
        <v>2477</v>
      </c>
      <c r="J362" s="252" t="s">
        <v>928</v>
      </c>
      <c r="K362" s="252" t="s">
        <v>3236</v>
      </c>
      <c r="L362" s="252">
        <v>407.49</v>
      </c>
      <c r="M362" s="252">
        <v>0</v>
      </c>
      <c r="N362" s="252">
        <v>0</v>
      </c>
      <c r="O362" s="252">
        <v>0</v>
      </c>
      <c r="P362" s="252">
        <v>0</v>
      </c>
      <c r="Q362" s="252">
        <v>0</v>
      </c>
      <c r="R362" s="252">
        <v>0</v>
      </c>
      <c r="S362" s="252">
        <v>0</v>
      </c>
      <c r="T362" s="252">
        <v>0</v>
      </c>
      <c r="U362" s="252">
        <v>0</v>
      </c>
      <c r="V362" s="252">
        <v>0</v>
      </c>
      <c r="W362" s="252">
        <v>0</v>
      </c>
      <c r="X362" s="252">
        <v>0</v>
      </c>
      <c r="Y362" s="252">
        <v>314.74</v>
      </c>
      <c r="Z362" s="252">
        <v>0</v>
      </c>
      <c r="AA362" s="252">
        <v>0</v>
      </c>
      <c r="AB362" s="252">
        <v>92.75</v>
      </c>
      <c r="AC362" s="252">
        <v>0</v>
      </c>
      <c r="AD362" s="252">
        <v>0</v>
      </c>
      <c r="AE362" s="252" t="s">
        <v>720</v>
      </c>
      <c r="AF362" s="252" t="s">
        <v>721</v>
      </c>
      <c r="AG362" s="252">
        <f t="shared" si="26"/>
        <v>0</v>
      </c>
      <c r="AH362" s="252">
        <f t="shared" si="27"/>
        <v>0</v>
      </c>
      <c r="AI362" s="252">
        <f t="shared" si="28"/>
        <v>0</v>
      </c>
      <c r="AJ362" s="252">
        <f t="shared" si="29"/>
        <v>0</v>
      </c>
    </row>
    <row r="363" spans="1:36" x14ac:dyDescent="0.2">
      <c r="A363" s="253" t="str">
        <f t="shared" si="25"/>
        <v>SNCF100P9501H50</v>
      </c>
      <c r="B363" s="252" t="s">
        <v>19</v>
      </c>
      <c r="C363" s="252" t="s">
        <v>20</v>
      </c>
      <c r="D363" s="252" t="s">
        <v>2530</v>
      </c>
      <c r="E363" s="252" t="s">
        <v>2531</v>
      </c>
      <c r="F363" s="252" t="s">
        <v>2537</v>
      </c>
      <c r="G363" s="252">
        <v>50</v>
      </c>
      <c r="H363" s="252" t="s">
        <v>928</v>
      </c>
      <c r="I363" s="252" t="s">
        <v>928</v>
      </c>
      <c r="J363" s="252" t="s">
        <v>928</v>
      </c>
      <c r="K363" s="252" t="s">
        <v>3236</v>
      </c>
      <c r="L363" s="252">
        <v>407.49</v>
      </c>
      <c r="M363" s="252">
        <v>0</v>
      </c>
      <c r="N363" s="252">
        <v>0</v>
      </c>
      <c r="O363" s="252">
        <v>0</v>
      </c>
      <c r="P363" s="252">
        <v>0</v>
      </c>
      <c r="Q363" s="252">
        <v>0</v>
      </c>
      <c r="R363" s="252">
        <v>0</v>
      </c>
      <c r="S363" s="252">
        <v>0</v>
      </c>
      <c r="T363" s="252">
        <v>0</v>
      </c>
      <c r="U363" s="252">
        <v>0</v>
      </c>
      <c r="V363" s="252">
        <v>0</v>
      </c>
      <c r="W363" s="252">
        <v>0</v>
      </c>
      <c r="X363" s="252">
        <v>0</v>
      </c>
      <c r="Y363" s="252">
        <v>314.74</v>
      </c>
      <c r="Z363" s="252">
        <v>0</v>
      </c>
      <c r="AA363" s="252">
        <v>0</v>
      </c>
      <c r="AB363" s="252">
        <v>92.75</v>
      </c>
      <c r="AC363" s="252">
        <v>0</v>
      </c>
      <c r="AD363" s="252">
        <v>0</v>
      </c>
      <c r="AE363" s="252" t="s">
        <v>720</v>
      </c>
      <c r="AF363" s="252" t="s">
        <v>721</v>
      </c>
      <c r="AG363" s="252">
        <f t="shared" si="26"/>
        <v>0</v>
      </c>
      <c r="AH363" s="252">
        <f t="shared" si="27"/>
        <v>0</v>
      </c>
      <c r="AI363" s="252">
        <f t="shared" si="28"/>
        <v>0</v>
      </c>
      <c r="AJ363" s="252">
        <f t="shared" si="29"/>
        <v>0</v>
      </c>
    </row>
    <row r="364" spans="1:36" x14ac:dyDescent="0.2">
      <c r="A364" s="253" t="str">
        <f t="shared" si="25"/>
        <v>2SNCF100P9501HG30</v>
      </c>
      <c r="B364" s="252" t="s">
        <v>19</v>
      </c>
      <c r="C364" s="252" t="s">
        <v>20</v>
      </c>
      <c r="D364" s="252" t="s">
        <v>2530</v>
      </c>
      <c r="E364" s="252" t="s">
        <v>2531</v>
      </c>
      <c r="F364" s="252" t="s">
        <v>2538</v>
      </c>
      <c r="G364" s="252">
        <v>30</v>
      </c>
      <c r="H364" s="252" t="s">
        <v>928</v>
      </c>
      <c r="I364" s="252" t="s">
        <v>2477</v>
      </c>
      <c r="J364" s="252" t="s">
        <v>928</v>
      </c>
      <c r="K364" s="252" t="s">
        <v>3236</v>
      </c>
      <c r="L364" s="252">
        <v>739.24</v>
      </c>
      <c r="M364" s="252">
        <v>0</v>
      </c>
      <c r="N364" s="252">
        <v>0</v>
      </c>
      <c r="O364" s="252">
        <v>0</v>
      </c>
      <c r="P364" s="252">
        <v>0</v>
      </c>
      <c r="Q364" s="252">
        <v>0</v>
      </c>
      <c r="R364" s="252">
        <v>0</v>
      </c>
      <c r="S364" s="252">
        <v>0</v>
      </c>
      <c r="T364" s="252">
        <v>0</v>
      </c>
      <c r="U364" s="252">
        <v>0</v>
      </c>
      <c r="V364" s="252">
        <v>0</v>
      </c>
      <c r="W364" s="252">
        <v>0</v>
      </c>
      <c r="X364" s="252">
        <v>0</v>
      </c>
      <c r="Y364" s="252">
        <v>549.66999999999996</v>
      </c>
      <c r="Z364" s="252">
        <v>0</v>
      </c>
      <c r="AA364" s="252">
        <v>0</v>
      </c>
      <c r="AB364" s="252">
        <v>189.57</v>
      </c>
      <c r="AC364" s="252">
        <v>0</v>
      </c>
      <c r="AD364" s="252">
        <v>0</v>
      </c>
      <c r="AE364" s="252" t="s">
        <v>720</v>
      </c>
      <c r="AF364" s="252" t="s">
        <v>721</v>
      </c>
      <c r="AG364" s="252">
        <f t="shared" si="26"/>
        <v>0</v>
      </c>
      <c r="AH364" s="252">
        <f t="shared" si="27"/>
        <v>0</v>
      </c>
      <c r="AI364" s="252">
        <f t="shared" si="28"/>
        <v>0</v>
      </c>
      <c r="AJ364" s="252">
        <f t="shared" si="29"/>
        <v>0</v>
      </c>
    </row>
    <row r="365" spans="1:36" x14ac:dyDescent="0.2">
      <c r="A365" s="253" t="str">
        <f t="shared" si="25"/>
        <v>SNCF100P9501HG30</v>
      </c>
      <c r="B365" s="252" t="s">
        <v>19</v>
      </c>
      <c r="C365" s="252" t="s">
        <v>20</v>
      </c>
      <c r="D365" s="252" t="s">
        <v>2530</v>
      </c>
      <c r="E365" s="252" t="s">
        <v>2531</v>
      </c>
      <c r="F365" s="252" t="s">
        <v>2538</v>
      </c>
      <c r="G365" s="252">
        <v>30</v>
      </c>
      <c r="H365" s="252" t="s">
        <v>928</v>
      </c>
      <c r="I365" s="252" t="s">
        <v>928</v>
      </c>
      <c r="J365" s="252" t="s">
        <v>928</v>
      </c>
      <c r="K365" s="252" t="s">
        <v>3236</v>
      </c>
      <c r="L365" s="252">
        <v>739.24</v>
      </c>
      <c r="M365" s="252">
        <v>0</v>
      </c>
      <c r="N365" s="252">
        <v>0</v>
      </c>
      <c r="O365" s="252">
        <v>0</v>
      </c>
      <c r="P365" s="252">
        <v>0</v>
      </c>
      <c r="Q365" s="252">
        <v>0</v>
      </c>
      <c r="R365" s="252">
        <v>0</v>
      </c>
      <c r="S365" s="252">
        <v>0</v>
      </c>
      <c r="T365" s="252">
        <v>0</v>
      </c>
      <c r="U365" s="252">
        <v>0</v>
      </c>
      <c r="V365" s="252">
        <v>0</v>
      </c>
      <c r="W365" s="252">
        <v>0</v>
      </c>
      <c r="X365" s="252">
        <v>0</v>
      </c>
      <c r="Y365" s="252">
        <v>549.66999999999996</v>
      </c>
      <c r="Z365" s="252">
        <v>0</v>
      </c>
      <c r="AA365" s="252">
        <v>0</v>
      </c>
      <c r="AB365" s="252">
        <v>189.57</v>
      </c>
      <c r="AC365" s="252">
        <v>0</v>
      </c>
      <c r="AD365" s="252">
        <v>0</v>
      </c>
      <c r="AE365" s="252" t="s">
        <v>720</v>
      </c>
      <c r="AF365" s="252" t="s">
        <v>721</v>
      </c>
      <c r="AG365" s="252">
        <f t="shared" si="26"/>
        <v>0</v>
      </c>
      <c r="AH365" s="252">
        <f t="shared" si="27"/>
        <v>0</v>
      </c>
      <c r="AI365" s="252">
        <f t="shared" si="28"/>
        <v>0</v>
      </c>
      <c r="AJ365" s="252">
        <f t="shared" si="29"/>
        <v>0</v>
      </c>
    </row>
    <row r="366" spans="1:36" x14ac:dyDescent="0.2">
      <c r="A366" s="253" t="str">
        <f t="shared" si="25"/>
        <v>2SNCF100P9501K230</v>
      </c>
      <c r="B366" s="252" t="s">
        <v>19</v>
      </c>
      <c r="C366" s="252" t="s">
        <v>20</v>
      </c>
      <c r="D366" s="252" t="s">
        <v>2530</v>
      </c>
      <c r="E366" s="252" t="s">
        <v>2531</v>
      </c>
      <c r="F366" s="252" t="s">
        <v>2539</v>
      </c>
      <c r="G366" s="252">
        <v>30</v>
      </c>
      <c r="H366" s="252" t="s">
        <v>928</v>
      </c>
      <c r="I366" s="252" t="s">
        <v>2477</v>
      </c>
      <c r="J366" s="252" t="s">
        <v>928</v>
      </c>
      <c r="K366" s="252" t="s">
        <v>3236</v>
      </c>
      <c r="L366" s="252">
        <v>419.45</v>
      </c>
      <c r="M366" s="252">
        <v>0</v>
      </c>
      <c r="N366" s="252">
        <v>0</v>
      </c>
      <c r="O366" s="252">
        <v>0</v>
      </c>
      <c r="P366" s="252">
        <v>0</v>
      </c>
      <c r="Q366" s="252">
        <v>0</v>
      </c>
      <c r="R366" s="252">
        <v>0</v>
      </c>
      <c r="S366" s="252">
        <v>0</v>
      </c>
      <c r="T366" s="252">
        <v>0</v>
      </c>
      <c r="U366" s="252">
        <v>0</v>
      </c>
      <c r="V366" s="252">
        <v>0</v>
      </c>
      <c r="W366" s="252">
        <v>0</v>
      </c>
      <c r="X366" s="252">
        <v>0</v>
      </c>
      <c r="Y366" s="252">
        <v>309.61</v>
      </c>
      <c r="Z366" s="252">
        <v>0</v>
      </c>
      <c r="AA366" s="252">
        <v>0</v>
      </c>
      <c r="AB366" s="252">
        <v>109.84</v>
      </c>
      <c r="AC366" s="252">
        <v>0</v>
      </c>
      <c r="AD366" s="252">
        <v>0</v>
      </c>
      <c r="AE366" s="252" t="s">
        <v>720</v>
      </c>
      <c r="AF366" s="252" t="s">
        <v>721</v>
      </c>
      <c r="AG366" s="252">
        <f t="shared" si="26"/>
        <v>0</v>
      </c>
      <c r="AH366" s="252">
        <f t="shared" si="27"/>
        <v>0</v>
      </c>
      <c r="AI366" s="252">
        <f t="shared" si="28"/>
        <v>0</v>
      </c>
      <c r="AJ366" s="252">
        <f t="shared" si="29"/>
        <v>0</v>
      </c>
    </row>
    <row r="367" spans="1:36" x14ac:dyDescent="0.2">
      <c r="A367" s="253" t="str">
        <f t="shared" si="25"/>
        <v>SNCF100P9501K230</v>
      </c>
      <c r="B367" s="252" t="s">
        <v>19</v>
      </c>
      <c r="C367" s="252" t="s">
        <v>20</v>
      </c>
      <c r="D367" s="252" t="s">
        <v>2530</v>
      </c>
      <c r="E367" s="252" t="s">
        <v>2531</v>
      </c>
      <c r="F367" s="252" t="s">
        <v>2539</v>
      </c>
      <c r="G367" s="252">
        <v>30</v>
      </c>
      <c r="H367" s="252" t="s">
        <v>928</v>
      </c>
      <c r="I367" s="252" t="s">
        <v>928</v>
      </c>
      <c r="J367" s="252" t="s">
        <v>928</v>
      </c>
      <c r="K367" s="252" t="s">
        <v>3236</v>
      </c>
      <c r="L367" s="252">
        <v>419.45</v>
      </c>
      <c r="M367" s="252">
        <v>0</v>
      </c>
      <c r="N367" s="252">
        <v>0</v>
      </c>
      <c r="O367" s="252">
        <v>0</v>
      </c>
      <c r="P367" s="252">
        <v>0</v>
      </c>
      <c r="Q367" s="252">
        <v>0</v>
      </c>
      <c r="R367" s="252">
        <v>0</v>
      </c>
      <c r="S367" s="252">
        <v>0</v>
      </c>
      <c r="T367" s="252">
        <v>0</v>
      </c>
      <c r="U367" s="252">
        <v>0</v>
      </c>
      <c r="V367" s="252">
        <v>0</v>
      </c>
      <c r="W367" s="252">
        <v>0</v>
      </c>
      <c r="X367" s="252">
        <v>0</v>
      </c>
      <c r="Y367" s="252">
        <v>309.61</v>
      </c>
      <c r="Z367" s="252">
        <v>0</v>
      </c>
      <c r="AA367" s="252">
        <v>0</v>
      </c>
      <c r="AB367" s="252">
        <v>109.84</v>
      </c>
      <c r="AC367" s="252">
        <v>0</v>
      </c>
      <c r="AD367" s="252">
        <v>0</v>
      </c>
      <c r="AE367" s="252" t="s">
        <v>720</v>
      </c>
      <c r="AF367" s="252" t="s">
        <v>721</v>
      </c>
      <c r="AG367" s="252">
        <f t="shared" si="26"/>
        <v>0</v>
      </c>
      <c r="AH367" s="252">
        <f t="shared" si="27"/>
        <v>0</v>
      </c>
      <c r="AI367" s="252">
        <f t="shared" si="28"/>
        <v>0</v>
      </c>
      <c r="AJ367" s="252">
        <f t="shared" si="29"/>
        <v>0</v>
      </c>
    </row>
    <row r="368" spans="1:36" x14ac:dyDescent="0.2">
      <c r="A368" s="253" t="str">
        <f t="shared" si="25"/>
        <v>2SNCF100P9501K250</v>
      </c>
      <c r="B368" s="252" t="s">
        <v>19</v>
      </c>
      <c r="C368" s="252" t="s">
        <v>20</v>
      </c>
      <c r="D368" s="252" t="s">
        <v>2530</v>
      </c>
      <c r="E368" s="252" t="s">
        <v>2531</v>
      </c>
      <c r="F368" s="252" t="s">
        <v>2539</v>
      </c>
      <c r="G368" s="252">
        <v>50</v>
      </c>
      <c r="H368" s="252" t="s">
        <v>928</v>
      </c>
      <c r="I368" s="252" t="s">
        <v>2477</v>
      </c>
      <c r="J368" s="252" t="s">
        <v>928</v>
      </c>
      <c r="K368" s="252" t="s">
        <v>3236</v>
      </c>
      <c r="L368" s="252">
        <v>440.72</v>
      </c>
      <c r="M368" s="252">
        <v>0</v>
      </c>
      <c r="N368" s="252">
        <v>0</v>
      </c>
      <c r="O368" s="252">
        <v>0</v>
      </c>
      <c r="P368" s="252">
        <v>0</v>
      </c>
      <c r="Q368" s="252">
        <v>0</v>
      </c>
      <c r="R368" s="252">
        <v>0</v>
      </c>
      <c r="S368" s="252">
        <v>0</v>
      </c>
      <c r="T368" s="252">
        <v>0</v>
      </c>
      <c r="U368" s="252">
        <v>0</v>
      </c>
      <c r="V368" s="252">
        <v>0</v>
      </c>
      <c r="W368" s="252">
        <v>0</v>
      </c>
      <c r="X368" s="252">
        <v>0</v>
      </c>
      <c r="Y368" s="252">
        <v>338.11</v>
      </c>
      <c r="Z368" s="252">
        <v>0</v>
      </c>
      <c r="AA368" s="252">
        <v>0</v>
      </c>
      <c r="AB368" s="252">
        <v>102.61</v>
      </c>
      <c r="AC368" s="252">
        <v>0</v>
      </c>
      <c r="AD368" s="252">
        <v>0</v>
      </c>
      <c r="AE368" s="252" t="s">
        <v>720</v>
      </c>
      <c r="AF368" s="252" t="s">
        <v>721</v>
      </c>
      <c r="AG368" s="252">
        <f t="shared" si="26"/>
        <v>0</v>
      </c>
      <c r="AH368" s="252">
        <f t="shared" si="27"/>
        <v>0</v>
      </c>
      <c r="AI368" s="252">
        <f t="shared" si="28"/>
        <v>0</v>
      </c>
      <c r="AJ368" s="252">
        <f t="shared" si="29"/>
        <v>0</v>
      </c>
    </row>
    <row r="369" spans="1:36" x14ac:dyDescent="0.2">
      <c r="A369" s="253" t="str">
        <f t="shared" si="25"/>
        <v>SNCF100P9501K250</v>
      </c>
      <c r="B369" s="252" t="s">
        <v>19</v>
      </c>
      <c r="C369" s="252" t="s">
        <v>20</v>
      </c>
      <c r="D369" s="252" t="s">
        <v>2530</v>
      </c>
      <c r="E369" s="252" t="s">
        <v>2531</v>
      </c>
      <c r="F369" s="252" t="s">
        <v>2539</v>
      </c>
      <c r="G369" s="252">
        <v>50</v>
      </c>
      <c r="H369" s="252" t="s">
        <v>928</v>
      </c>
      <c r="I369" s="252" t="s">
        <v>928</v>
      </c>
      <c r="J369" s="252" t="s">
        <v>928</v>
      </c>
      <c r="K369" s="252" t="s">
        <v>3236</v>
      </c>
      <c r="L369" s="252">
        <v>440.72</v>
      </c>
      <c r="M369" s="252">
        <v>0</v>
      </c>
      <c r="N369" s="252">
        <v>0</v>
      </c>
      <c r="O369" s="252">
        <v>0</v>
      </c>
      <c r="P369" s="252">
        <v>0</v>
      </c>
      <c r="Q369" s="252">
        <v>0</v>
      </c>
      <c r="R369" s="252">
        <v>0</v>
      </c>
      <c r="S369" s="252">
        <v>0</v>
      </c>
      <c r="T369" s="252">
        <v>0</v>
      </c>
      <c r="U369" s="252">
        <v>0</v>
      </c>
      <c r="V369" s="252">
        <v>0</v>
      </c>
      <c r="W369" s="252">
        <v>0</v>
      </c>
      <c r="X369" s="252">
        <v>0</v>
      </c>
      <c r="Y369" s="252">
        <v>338.11</v>
      </c>
      <c r="Z369" s="252">
        <v>0</v>
      </c>
      <c r="AA369" s="252">
        <v>0</v>
      </c>
      <c r="AB369" s="252">
        <v>102.61</v>
      </c>
      <c r="AC369" s="252">
        <v>0</v>
      </c>
      <c r="AD369" s="252">
        <v>0</v>
      </c>
      <c r="AE369" s="252" t="s">
        <v>720</v>
      </c>
      <c r="AF369" s="252" t="s">
        <v>721</v>
      </c>
      <c r="AG369" s="252">
        <f t="shared" si="26"/>
        <v>0</v>
      </c>
      <c r="AH369" s="252">
        <f t="shared" si="27"/>
        <v>0</v>
      </c>
      <c r="AI369" s="252">
        <f t="shared" si="28"/>
        <v>0</v>
      </c>
      <c r="AJ369" s="252">
        <f t="shared" si="29"/>
        <v>0</v>
      </c>
    </row>
    <row r="370" spans="1:36" x14ac:dyDescent="0.2">
      <c r="A370" s="253" t="str">
        <f t="shared" si="25"/>
        <v>2SNCF100P9501KF30</v>
      </c>
      <c r="B370" s="252" t="s">
        <v>19</v>
      </c>
      <c r="C370" s="252" t="s">
        <v>20</v>
      </c>
      <c r="D370" s="252" t="s">
        <v>2530</v>
      </c>
      <c r="E370" s="252" t="s">
        <v>2531</v>
      </c>
      <c r="F370" s="252" t="s">
        <v>2540</v>
      </c>
      <c r="G370" s="252">
        <v>30</v>
      </c>
      <c r="H370" s="252" t="s">
        <v>928</v>
      </c>
      <c r="I370" s="252" t="s">
        <v>2477</v>
      </c>
      <c r="J370" s="252" t="s">
        <v>928</v>
      </c>
      <c r="K370" s="252" t="s">
        <v>3236</v>
      </c>
      <c r="L370" s="252">
        <v>518.21</v>
      </c>
      <c r="M370" s="252">
        <v>0</v>
      </c>
      <c r="N370" s="252">
        <v>0</v>
      </c>
      <c r="O370" s="252">
        <v>0</v>
      </c>
      <c r="P370" s="252">
        <v>0</v>
      </c>
      <c r="Q370" s="252">
        <v>0</v>
      </c>
      <c r="R370" s="252">
        <v>0</v>
      </c>
      <c r="S370" s="252">
        <v>0</v>
      </c>
      <c r="T370" s="252">
        <v>0</v>
      </c>
      <c r="U370" s="252">
        <v>0</v>
      </c>
      <c r="V370" s="252">
        <v>0</v>
      </c>
      <c r="W370" s="252">
        <v>0</v>
      </c>
      <c r="X370" s="252">
        <v>0</v>
      </c>
      <c r="Y370" s="252">
        <v>384.59</v>
      </c>
      <c r="Z370" s="252">
        <v>0</v>
      </c>
      <c r="AA370" s="252">
        <v>0</v>
      </c>
      <c r="AB370" s="252">
        <v>133.63</v>
      </c>
      <c r="AC370" s="252">
        <v>0</v>
      </c>
      <c r="AD370" s="252">
        <v>0</v>
      </c>
      <c r="AE370" s="252" t="s">
        <v>720</v>
      </c>
      <c r="AF370" s="252" t="s">
        <v>721</v>
      </c>
      <c r="AG370" s="252">
        <f t="shared" si="26"/>
        <v>0</v>
      </c>
      <c r="AH370" s="252">
        <f t="shared" si="27"/>
        <v>0</v>
      </c>
      <c r="AI370" s="252">
        <f t="shared" si="28"/>
        <v>0</v>
      </c>
      <c r="AJ370" s="252">
        <f t="shared" si="29"/>
        <v>0</v>
      </c>
    </row>
    <row r="371" spans="1:36" x14ac:dyDescent="0.2">
      <c r="A371" s="253" t="str">
        <f t="shared" si="25"/>
        <v>SNCF100P9501KF30</v>
      </c>
      <c r="B371" s="252" t="s">
        <v>19</v>
      </c>
      <c r="C371" s="252" t="s">
        <v>20</v>
      </c>
      <c r="D371" s="252" t="s">
        <v>2530</v>
      </c>
      <c r="E371" s="252" t="s">
        <v>2531</v>
      </c>
      <c r="F371" s="252" t="s">
        <v>2540</v>
      </c>
      <c r="G371" s="252">
        <v>30</v>
      </c>
      <c r="H371" s="252" t="s">
        <v>928</v>
      </c>
      <c r="I371" s="252" t="s">
        <v>928</v>
      </c>
      <c r="J371" s="252" t="s">
        <v>928</v>
      </c>
      <c r="K371" s="252" t="s">
        <v>3236</v>
      </c>
      <c r="L371" s="252">
        <v>518.21</v>
      </c>
      <c r="M371" s="252">
        <v>0</v>
      </c>
      <c r="N371" s="252">
        <v>0</v>
      </c>
      <c r="O371" s="252">
        <v>0</v>
      </c>
      <c r="P371" s="252">
        <v>0</v>
      </c>
      <c r="Q371" s="252">
        <v>0</v>
      </c>
      <c r="R371" s="252">
        <v>0</v>
      </c>
      <c r="S371" s="252">
        <v>0</v>
      </c>
      <c r="T371" s="252">
        <v>0</v>
      </c>
      <c r="U371" s="252">
        <v>0</v>
      </c>
      <c r="V371" s="252">
        <v>0</v>
      </c>
      <c r="W371" s="252">
        <v>0</v>
      </c>
      <c r="X371" s="252">
        <v>0</v>
      </c>
      <c r="Y371" s="252">
        <v>384.59</v>
      </c>
      <c r="Z371" s="252">
        <v>0</v>
      </c>
      <c r="AA371" s="252">
        <v>0</v>
      </c>
      <c r="AB371" s="252">
        <v>133.63</v>
      </c>
      <c r="AC371" s="252">
        <v>0</v>
      </c>
      <c r="AD371" s="252">
        <v>0</v>
      </c>
      <c r="AE371" s="252" t="s">
        <v>720</v>
      </c>
      <c r="AF371" s="252" t="s">
        <v>721</v>
      </c>
      <c r="AG371" s="252">
        <f t="shared" si="26"/>
        <v>0</v>
      </c>
      <c r="AH371" s="252">
        <f t="shared" si="27"/>
        <v>0</v>
      </c>
      <c r="AI371" s="252">
        <f t="shared" si="28"/>
        <v>0</v>
      </c>
      <c r="AJ371" s="252">
        <f t="shared" si="29"/>
        <v>0</v>
      </c>
    </row>
    <row r="372" spans="1:36" x14ac:dyDescent="0.2">
      <c r="A372" s="253" t="str">
        <f t="shared" si="25"/>
        <v>2SNCF100P9521T50</v>
      </c>
      <c r="B372" s="252" t="s">
        <v>19</v>
      </c>
      <c r="C372" s="252" t="s">
        <v>20</v>
      </c>
      <c r="D372" s="252" t="s">
        <v>2530</v>
      </c>
      <c r="E372" s="252" t="s">
        <v>2531</v>
      </c>
      <c r="F372" s="252" t="s">
        <v>2541</v>
      </c>
      <c r="G372" s="252">
        <v>50</v>
      </c>
      <c r="H372" s="252" t="s">
        <v>928</v>
      </c>
      <c r="I372" s="252" t="s">
        <v>2477</v>
      </c>
      <c r="J372" s="252" t="s">
        <v>928</v>
      </c>
      <c r="K372" s="252" t="s">
        <v>3236</v>
      </c>
      <c r="L372" s="252">
        <v>506.44</v>
      </c>
      <c r="M372" s="252">
        <v>0</v>
      </c>
      <c r="N372" s="252">
        <v>0</v>
      </c>
      <c r="O372" s="252">
        <v>0</v>
      </c>
      <c r="P372" s="252">
        <v>0</v>
      </c>
      <c r="Q372" s="252">
        <v>0</v>
      </c>
      <c r="R372" s="252">
        <v>0</v>
      </c>
      <c r="S372" s="252">
        <v>0</v>
      </c>
      <c r="T372" s="252">
        <v>0</v>
      </c>
      <c r="U372" s="252">
        <v>0</v>
      </c>
      <c r="V372" s="252">
        <v>0</v>
      </c>
      <c r="W372" s="252">
        <v>0</v>
      </c>
      <c r="X372" s="252">
        <v>0</v>
      </c>
      <c r="Y372" s="252">
        <v>359.78</v>
      </c>
      <c r="Z372" s="252">
        <v>0</v>
      </c>
      <c r="AA372" s="252">
        <v>0</v>
      </c>
      <c r="AB372" s="252">
        <v>146.65</v>
      </c>
      <c r="AC372" s="252">
        <v>0</v>
      </c>
      <c r="AD372" s="252">
        <v>0</v>
      </c>
      <c r="AE372" s="252" t="s">
        <v>720</v>
      </c>
      <c r="AF372" s="252" t="s">
        <v>721</v>
      </c>
      <c r="AG372" s="252">
        <f t="shared" si="26"/>
        <v>0</v>
      </c>
      <c r="AH372" s="252">
        <f t="shared" si="27"/>
        <v>0</v>
      </c>
      <c r="AI372" s="252">
        <f t="shared" si="28"/>
        <v>0</v>
      </c>
      <c r="AJ372" s="252">
        <f t="shared" si="29"/>
        <v>0</v>
      </c>
    </row>
    <row r="373" spans="1:36" x14ac:dyDescent="0.2">
      <c r="A373" s="253" t="str">
        <f t="shared" si="25"/>
        <v>SNCF100P9521T50</v>
      </c>
      <c r="B373" s="252" t="s">
        <v>19</v>
      </c>
      <c r="C373" s="252" t="s">
        <v>20</v>
      </c>
      <c r="D373" s="252" t="s">
        <v>2530</v>
      </c>
      <c r="E373" s="252" t="s">
        <v>2531</v>
      </c>
      <c r="F373" s="252" t="s">
        <v>2541</v>
      </c>
      <c r="G373" s="252">
        <v>50</v>
      </c>
      <c r="H373" s="252" t="s">
        <v>928</v>
      </c>
      <c r="I373" s="252" t="s">
        <v>928</v>
      </c>
      <c r="J373" s="252" t="s">
        <v>928</v>
      </c>
      <c r="K373" s="252" t="s">
        <v>3236</v>
      </c>
      <c r="L373" s="252">
        <v>506.44</v>
      </c>
      <c r="M373" s="252">
        <v>0</v>
      </c>
      <c r="N373" s="252">
        <v>0</v>
      </c>
      <c r="O373" s="252">
        <v>0</v>
      </c>
      <c r="P373" s="252">
        <v>0</v>
      </c>
      <c r="Q373" s="252">
        <v>0</v>
      </c>
      <c r="R373" s="252">
        <v>0</v>
      </c>
      <c r="S373" s="252">
        <v>0</v>
      </c>
      <c r="T373" s="252">
        <v>0</v>
      </c>
      <c r="U373" s="252">
        <v>0</v>
      </c>
      <c r="V373" s="252">
        <v>0</v>
      </c>
      <c r="W373" s="252">
        <v>0</v>
      </c>
      <c r="X373" s="252">
        <v>0</v>
      </c>
      <c r="Y373" s="252">
        <v>359.78</v>
      </c>
      <c r="Z373" s="252">
        <v>0</v>
      </c>
      <c r="AA373" s="252">
        <v>0</v>
      </c>
      <c r="AB373" s="252">
        <v>146.65</v>
      </c>
      <c r="AC373" s="252">
        <v>0</v>
      </c>
      <c r="AD373" s="252">
        <v>0</v>
      </c>
      <c r="AE373" s="252" t="s">
        <v>720</v>
      </c>
      <c r="AF373" s="252" t="s">
        <v>721</v>
      </c>
      <c r="AG373" s="252">
        <f t="shared" si="26"/>
        <v>0</v>
      </c>
      <c r="AH373" s="252">
        <f t="shared" si="27"/>
        <v>0</v>
      </c>
      <c r="AI373" s="252">
        <f t="shared" si="28"/>
        <v>0</v>
      </c>
      <c r="AJ373" s="252">
        <f t="shared" si="29"/>
        <v>0</v>
      </c>
    </row>
    <row r="374" spans="1:36" x14ac:dyDescent="0.2">
      <c r="A374" s="253" t="str">
        <f t="shared" si="25"/>
        <v>2SNCF100PCX830</v>
      </c>
      <c r="B374" s="252" t="s">
        <v>19</v>
      </c>
      <c r="C374" s="252" t="s">
        <v>20</v>
      </c>
      <c r="D374" s="252" t="s">
        <v>2530</v>
      </c>
      <c r="E374" s="252" t="s">
        <v>2531</v>
      </c>
      <c r="F374" s="252" t="s">
        <v>2542</v>
      </c>
      <c r="G374" s="252">
        <v>30</v>
      </c>
      <c r="H374" s="252" t="s">
        <v>928</v>
      </c>
      <c r="I374" s="252" t="s">
        <v>2477</v>
      </c>
      <c r="J374" s="252" t="s">
        <v>928</v>
      </c>
      <c r="K374" s="252" t="s">
        <v>3236</v>
      </c>
      <c r="L374" s="252">
        <v>478.86</v>
      </c>
      <c r="M374" s="252">
        <v>0</v>
      </c>
      <c r="N374" s="252">
        <v>0</v>
      </c>
      <c r="O374" s="252">
        <v>0</v>
      </c>
      <c r="P374" s="252">
        <v>0</v>
      </c>
      <c r="Q374" s="252">
        <v>0</v>
      </c>
      <c r="R374" s="252">
        <v>0</v>
      </c>
      <c r="S374" s="252">
        <v>0</v>
      </c>
      <c r="T374" s="252">
        <v>0</v>
      </c>
      <c r="U374" s="252">
        <v>0</v>
      </c>
      <c r="V374" s="252">
        <v>0</v>
      </c>
      <c r="W374" s="252">
        <v>0</v>
      </c>
      <c r="X374" s="252">
        <v>0</v>
      </c>
      <c r="Y374" s="252">
        <v>331</v>
      </c>
      <c r="Z374" s="252">
        <v>0</v>
      </c>
      <c r="AA374" s="252">
        <v>0</v>
      </c>
      <c r="AB374" s="252">
        <v>147.86000000000001</v>
      </c>
      <c r="AC374" s="252">
        <v>0</v>
      </c>
      <c r="AD374" s="252">
        <v>0</v>
      </c>
      <c r="AE374" s="252" t="s">
        <v>720</v>
      </c>
      <c r="AF374" s="252" t="s">
        <v>721</v>
      </c>
      <c r="AG374" s="252">
        <f t="shared" si="26"/>
        <v>0</v>
      </c>
      <c r="AH374" s="252">
        <f t="shared" si="27"/>
        <v>0</v>
      </c>
      <c r="AI374" s="252">
        <f t="shared" si="28"/>
        <v>0</v>
      </c>
      <c r="AJ374" s="252">
        <f t="shared" si="29"/>
        <v>0</v>
      </c>
    </row>
    <row r="375" spans="1:36" x14ac:dyDescent="0.2">
      <c r="A375" s="253" t="str">
        <f t="shared" si="25"/>
        <v>SNCF100PCX830</v>
      </c>
      <c r="B375" s="252" t="s">
        <v>19</v>
      </c>
      <c r="C375" s="252" t="s">
        <v>20</v>
      </c>
      <c r="D375" s="252" t="s">
        <v>2530</v>
      </c>
      <c r="E375" s="252" t="s">
        <v>2531</v>
      </c>
      <c r="F375" s="252" t="s">
        <v>2542</v>
      </c>
      <c r="G375" s="252">
        <v>30</v>
      </c>
      <c r="H375" s="252" t="s">
        <v>928</v>
      </c>
      <c r="I375" s="252" t="s">
        <v>928</v>
      </c>
      <c r="J375" s="252" t="s">
        <v>928</v>
      </c>
      <c r="K375" s="252" t="s">
        <v>3236</v>
      </c>
      <c r="L375" s="252">
        <v>478.86</v>
      </c>
      <c r="M375" s="252">
        <v>0</v>
      </c>
      <c r="N375" s="252">
        <v>0</v>
      </c>
      <c r="O375" s="252">
        <v>0</v>
      </c>
      <c r="P375" s="252">
        <v>0</v>
      </c>
      <c r="Q375" s="252">
        <v>0</v>
      </c>
      <c r="R375" s="252">
        <v>0</v>
      </c>
      <c r="S375" s="252">
        <v>0</v>
      </c>
      <c r="T375" s="252">
        <v>0</v>
      </c>
      <c r="U375" s="252">
        <v>0</v>
      </c>
      <c r="V375" s="252">
        <v>0</v>
      </c>
      <c r="W375" s="252">
        <v>0</v>
      </c>
      <c r="X375" s="252">
        <v>0</v>
      </c>
      <c r="Y375" s="252">
        <v>331</v>
      </c>
      <c r="Z375" s="252">
        <v>0</v>
      </c>
      <c r="AA375" s="252">
        <v>0</v>
      </c>
      <c r="AB375" s="252">
        <v>147.86000000000001</v>
      </c>
      <c r="AC375" s="252">
        <v>0</v>
      </c>
      <c r="AD375" s="252">
        <v>0</v>
      </c>
      <c r="AE375" s="252" t="s">
        <v>720</v>
      </c>
      <c r="AF375" s="252" t="s">
        <v>721</v>
      </c>
      <c r="AG375" s="252">
        <f t="shared" si="26"/>
        <v>0</v>
      </c>
      <c r="AH375" s="252">
        <f t="shared" si="27"/>
        <v>0</v>
      </c>
      <c r="AI375" s="252">
        <f t="shared" si="28"/>
        <v>0</v>
      </c>
      <c r="AJ375" s="252">
        <f t="shared" si="29"/>
        <v>0</v>
      </c>
    </row>
    <row r="376" spans="1:36" x14ac:dyDescent="0.2">
      <c r="A376" s="253" t="str">
        <f t="shared" si="25"/>
        <v>2SNCF100PCX850</v>
      </c>
      <c r="B376" s="252" t="s">
        <v>19</v>
      </c>
      <c r="C376" s="252" t="s">
        <v>20</v>
      </c>
      <c r="D376" s="252" t="s">
        <v>2530</v>
      </c>
      <c r="E376" s="252" t="s">
        <v>2531</v>
      </c>
      <c r="F376" s="252" t="s">
        <v>2542</v>
      </c>
      <c r="G376" s="252">
        <v>50</v>
      </c>
      <c r="H376" s="252" t="s">
        <v>928</v>
      </c>
      <c r="I376" s="252" t="s">
        <v>2477</v>
      </c>
      <c r="J376" s="252" t="s">
        <v>928</v>
      </c>
      <c r="K376" s="252" t="s">
        <v>3236</v>
      </c>
      <c r="L376" s="252">
        <v>479.37</v>
      </c>
      <c r="M376" s="252">
        <v>0</v>
      </c>
      <c r="N376" s="252">
        <v>0</v>
      </c>
      <c r="O376" s="252">
        <v>0</v>
      </c>
      <c r="P376" s="252">
        <v>0</v>
      </c>
      <c r="Q376" s="252">
        <v>0</v>
      </c>
      <c r="R376" s="252">
        <v>0</v>
      </c>
      <c r="S376" s="252">
        <v>0</v>
      </c>
      <c r="T376" s="252">
        <v>0</v>
      </c>
      <c r="U376" s="252">
        <v>0</v>
      </c>
      <c r="V376" s="252">
        <v>0</v>
      </c>
      <c r="W376" s="252">
        <v>0</v>
      </c>
      <c r="X376" s="252">
        <v>0</v>
      </c>
      <c r="Y376" s="252">
        <v>341.43</v>
      </c>
      <c r="Z376" s="252">
        <v>0</v>
      </c>
      <c r="AA376" s="252">
        <v>0</v>
      </c>
      <c r="AB376" s="252">
        <v>137.94</v>
      </c>
      <c r="AC376" s="252">
        <v>0</v>
      </c>
      <c r="AD376" s="252">
        <v>0</v>
      </c>
      <c r="AE376" s="252" t="s">
        <v>720</v>
      </c>
      <c r="AF376" s="252" t="s">
        <v>721</v>
      </c>
      <c r="AG376" s="252">
        <f t="shared" si="26"/>
        <v>0</v>
      </c>
      <c r="AH376" s="252">
        <f t="shared" si="27"/>
        <v>0</v>
      </c>
      <c r="AI376" s="252">
        <f t="shared" si="28"/>
        <v>0</v>
      </c>
      <c r="AJ376" s="252">
        <f t="shared" si="29"/>
        <v>0</v>
      </c>
    </row>
    <row r="377" spans="1:36" x14ac:dyDescent="0.2">
      <c r="A377" s="253" t="str">
        <f t="shared" si="25"/>
        <v>SNCF100PCX850</v>
      </c>
      <c r="B377" s="252" t="s">
        <v>19</v>
      </c>
      <c r="C377" s="252" t="s">
        <v>20</v>
      </c>
      <c r="D377" s="252" t="s">
        <v>2530</v>
      </c>
      <c r="E377" s="252" t="s">
        <v>2531</v>
      </c>
      <c r="F377" s="252" t="s">
        <v>2542</v>
      </c>
      <c r="G377" s="252">
        <v>50</v>
      </c>
      <c r="H377" s="252" t="s">
        <v>928</v>
      </c>
      <c r="I377" s="252" t="s">
        <v>928</v>
      </c>
      <c r="J377" s="252" t="s">
        <v>928</v>
      </c>
      <c r="K377" s="252" t="s">
        <v>3236</v>
      </c>
      <c r="L377" s="252">
        <v>479.37</v>
      </c>
      <c r="M377" s="252">
        <v>0</v>
      </c>
      <c r="N377" s="252">
        <v>0</v>
      </c>
      <c r="O377" s="252">
        <v>0</v>
      </c>
      <c r="P377" s="252">
        <v>0</v>
      </c>
      <c r="Q377" s="252">
        <v>0</v>
      </c>
      <c r="R377" s="252">
        <v>0</v>
      </c>
      <c r="S377" s="252">
        <v>0</v>
      </c>
      <c r="T377" s="252">
        <v>0</v>
      </c>
      <c r="U377" s="252">
        <v>0</v>
      </c>
      <c r="V377" s="252">
        <v>0</v>
      </c>
      <c r="W377" s="252">
        <v>0</v>
      </c>
      <c r="X377" s="252">
        <v>0</v>
      </c>
      <c r="Y377" s="252">
        <v>341.43</v>
      </c>
      <c r="Z377" s="252">
        <v>0</v>
      </c>
      <c r="AA377" s="252">
        <v>0</v>
      </c>
      <c r="AB377" s="252">
        <v>137.94</v>
      </c>
      <c r="AC377" s="252">
        <v>0</v>
      </c>
      <c r="AD377" s="252">
        <v>0</v>
      </c>
      <c r="AE377" s="252" t="s">
        <v>720</v>
      </c>
      <c r="AF377" s="252" t="s">
        <v>721</v>
      </c>
      <c r="AG377" s="252">
        <f t="shared" si="26"/>
        <v>0</v>
      </c>
      <c r="AH377" s="252">
        <f t="shared" si="27"/>
        <v>0</v>
      </c>
      <c r="AI377" s="252">
        <f t="shared" si="28"/>
        <v>0</v>
      </c>
      <c r="AJ377" s="252">
        <f t="shared" si="29"/>
        <v>0</v>
      </c>
    </row>
    <row r="378" spans="1:36" x14ac:dyDescent="0.2">
      <c r="A378" s="253" t="str">
        <f t="shared" si="25"/>
        <v>2SNCF10P7601A30</v>
      </c>
      <c r="B378" s="252" t="s">
        <v>19</v>
      </c>
      <c r="C378" s="252" t="s">
        <v>20</v>
      </c>
      <c r="D378" s="252" t="s">
        <v>2543</v>
      </c>
      <c r="E378" s="252" t="s">
        <v>2531</v>
      </c>
      <c r="F378" s="252" t="s">
        <v>2544</v>
      </c>
      <c r="G378" s="252">
        <v>30</v>
      </c>
      <c r="H378" s="252" t="s">
        <v>928</v>
      </c>
      <c r="I378" s="252" t="s">
        <v>2477</v>
      </c>
      <c r="J378" s="252" t="s">
        <v>928</v>
      </c>
      <c r="K378" s="252" t="s">
        <v>3236</v>
      </c>
      <c r="L378" s="252">
        <v>444.74</v>
      </c>
      <c r="M378" s="252">
        <v>0</v>
      </c>
      <c r="N378" s="252">
        <v>0</v>
      </c>
      <c r="O378" s="252">
        <v>0</v>
      </c>
      <c r="P378" s="252">
        <v>0</v>
      </c>
      <c r="Q378" s="252">
        <v>0</v>
      </c>
      <c r="R378" s="252">
        <v>0</v>
      </c>
      <c r="S378" s="252">
        <v>0</v>
      </c>
      <c r="T378" s="252">
        <v>0</v>
      </c>
      <c r="U378" s="252">
        <v>0</v>
      </c>
      <c r="V378" s="252">
        <v>0</v>
      </c>
      <c r="W378" s="252">
        <v>0</v>
      </c>
      <c r="X378" s="252">
        <v>0</v>
      </c>
      <c r="Y378" s="252">
        <v>316.48</v>
      </c>
      <c r="Z378" s="252">
        <v>0</v>
      </c>
      <c r="AA378" s="252">
        <v>0</v>
      </c>
      <c r="AB378" s="252">
        <v>128.27000000000001</v>
      </c>
      <c r="AC378" s="252">
        <v>0</v>
      </c>
      <c r="AD378" s="252">
        <v>0</v>
      </c>
      <c r="AE378" s="252" t="s">
        <v>720</v>
      </c>
      <c r="AF378" s="252" t="s">
        <v>721</v>
      </c>
      <c r="AG378" s="252">
        <f t="shared" si="26"/>
        <v>0</v>
      </c>
      <c r="AH378" s="252">
        <f t="shared" si="27"/>
        <v>0</v>
      </c>
      <c r="AI378" s="252">
        <f t="shared" si="28"/>
        <v>0</v>
      </c>
      <c r="AJ378" s="252">
        <f t="shared" si="29"/>
        <v>0</v>
      </c>
    </row>
    <row r="379" spans="1:36" x14ac:dyDescent="0.2">
      <c r="A379" s="253" t="str">
        <f t="shared" si="25"/>
        <v>SNCF10P7601A30</v>
      </c>
      <c r="B379" s="252" t="s">
        <v>19</v>
      </c>
      <c r="C379" s="252" t="s">
        <v>20</v>
      </c>
      <c r="D379" s="252" t="s">
        <v>2543</v>
      </c>
      <c r="E379" s="252" t="s">
        <v>2531</v>
      </c>
      <c r="F379" s="252" t="s">
        <v>2544</v>
      </c>
      <c r="G379" s="252">
        <v>30</v>
      </c>
      <c r="H379" s="252" t="s">
        <v>928</v>
      </c>
      <c r="I379" s="252" t="s">
        <v>928</v>
      </c>
      <c r="J379" s="252" t="s">
        <v>928</v>
      </c>
      <c r="K379" s="252" t="s">
        <v>3236</v>
      </c>
      <c r="L379" s="252">
        <v>444.74</v>
      </c>
      <c r="M379" s="252">
        <v>0</v>
      </c>
      <c r="N379" s="252">
        <v>0</v>
      </c>
      <c r="O379" s="252">
        <v>0</v>
      </c>
      <c r="P379" s="252">
        <v>0</v>
      </c>
      <c r="Q379" s="252">
        <v>0</v>
      </c>
      <c r="R379" s="252">
        <v>0</v>
      </c>
      <c r="S379" s="252">
        <v>0</v>
      </c>
      <c r="T379" s="252">
        <v>0</v>
      </c>
      <c r="U379" s="252">
        <v>0</v>
      </c>
      <c r="V379" s="252">
        <v>0</v>
      </c>
      <c r="W379" s="252">
        <v>0</v>
      </c>
      <c r="X379" s="252">
        <v>0</v>
      </c>
      <c r="Y379" s="252">
        <v>316.48</v>
      </c>
      <c r="Z379" s="252">
        <v>0</v>
      </c>
      <c r="AA379" s="252">
        <v>0</v>
      </c>
      <c r="AB379" s="252">
        <v>128.27000000000001</v>
      </c>
      <c r="AC379" s="252">
        <v>0</v>
      </c>
      <c r="AD379" s="252">
        <v>0</v>
      </c>
      <c r="AE379" s="252" t="s">
        <v>720</v>
      </c>
      <c r="AF379" s="252" t="s">
        <v>721</v>
      </c>
      <c r="AG379" s="252">
        <f t="shared" si="26"/>
        <v>0</v>
      </c>
      <c r="AH379" s="252">
        <f t="shared" si="27"/>
        <v>0</v>
      </c>
      <c r="AI379" s="252">
        <f t="shared" si="28"/>
        <v>0</v>
      </c>
      <c r="AJ379" s="252">
        <f t="shared" si="29"/>
        <v>0</v>
      </c>
    </row>
    <row r="380" spans="1:36" x14ac:dyDescent="0.2">
      <c r="A380" s="253" t="str">
        <f t="shared" si="25"/>
        <v>2SNCF10P7601A50</v>
      </c>
      <c r="B380" s="252" t="s">
        <v>19</v>
      </c>
      <c r="C380" s="252" t="s">
        <v>20</v>
      </c>
      <c r="D380" s="252" t="s">
        <v>2543</v>
      </c>
      <c r="E380" s="252" t="s">
        <v>2531</v>
      </c>
      <c r="F380" s="252" t="s">
        <v>2544</v>
      </c>
      <c r="G380" s="252">
        <v>50</v>
      </c>
      <c r="H380" s="252" t="s">
        <v>928</v>
      </c>
      <c r="I380" s="252" t="s">
        <v>2477</v>
      </c>
      <c r="J380" s="252" t="s">
        <v>928</v>
      </c>
      <c r="K380" s="252" t="s">
        <v>3236</v>
      </c>
      <c r="L380" s="252">
        <v>633.98</v>
      </c>
      <c r="M380" s="252">
        <v>0</v>
      </c>
      <c r="N380" s="252">
        <v>0</v>
      </c>
      <c r="O380" s="252">
        <v>0</v>
      </c>
      <c r="P380" s="252">
        <v>0</v>
      </c>
      <c r="Q380" s="252">
        <v>0</v>
      </c>
      <c r="R380" s="252">
        <v>0</v>
      </c>
      <c r="S380" s="252">
        <v>0</v>
      </c>
      <c r="T380" s="252">
        <v>0</v>
      </c>
      <c r="U380" s="252">
        <v>0</v>
      </c>
      <c r="V380" s="252">
        <v>0</v>
      </c>
      <c r="W380" s="252">
        <v>0</v>
      </c>
      <c r="X380" s="252">
        <v>0</v>
      </c>
      <c r="Y380" s="252">
        <v>413.13</v>
      </c>
      <c r="Z380" s="252">
        <v>0</v>
      </c>
      <c r="AA380" s="252">
        <v>0</v>
      </c>
      <c r="AB380" s="252">
        <v>220.86</v>
      </c>
      <c r="AC380" s="252">
        <v>0</v>
      </c>
      <c r="AD380" s="252">
        <v>0</v>
      </c>
      <c r="AE380" s="252" t="s">
        <v>720</v>
      </c>
      <c r="AF380" s="252" t="s">
        <v>721</v>
      </c>
      <c r="AG380" s="252">
        <f t="shared" si="26"/>
        <v>0</v>
      </c>
      <c r="AH380" s="252">
        <f t="shared" si="27"/>
        <v>0</v>
      </c>
      <c r="AI380" s="252">
        <f t="shared" si="28"/>
        <v>0</v>
      </c>
      <c r="AJ380" s="252">
        <f t="shared" si="29"/>
        <v>0</v>
      </c>
    </row>
    <row r="381" spans="1:36" x14ac:dyDescent="0.2">
      <c r="A381" s="253" t="str">
        <f t="shared" si="25"/>
        <v>SNCF10P7601A50</v>
      </c>
      <c r="B381" s="252" t="s">
        <v>19</v>
      </c>
      <c r="C381" s="252" t="s">
        <v>20</v>
      </c>
      <c r="D381" s="252" t="s">
        <v>2543</v>
      </c>
      <c r="E381" s="252" t="s">
        <v>2531</v>
      </c>
      <c r="F381" s="252" t="s">
        <v>2544</v>
      </c>
      <c r="G381" s="252">
        <v>50</v>
      </c>
      <c r="H381" s="252" t="s">
        <v>928</v>
      </c>
      <c r="I381" s="252" t="s">
        <v>928</v>
      </c>
      <c r="J381" s="252" t="s">
        <v>928</v>
      </c>
      <c r="K381" s="252" t="s">
        <v>3236</v>
      </c>
      <c r="L381" s="252">
        <v>633.98</v>
      </c>
      <c r="M381" s="252">
        <v>0</v>
      </c>
      <c r="N381" s="252">
        <v>0</v>
      </c>
      <c r="O381" s="252">
        <v>0</v>
      </c>
      <c r="P381" s="252">
        <v>0</v>
      </c>
      <c r="Q381" s="252">
        <v>0</v>
      </c>
      <c r="R381" s="252">
        <v>0</v>
      </c>
      <c r="S381" s="252">
        <v>0</v>
      </c>
      <c r="T381" s="252">
        <v>0</v>
      </c>
      <c r="U381" s="252">
        <v>0</v>
      </c>
      <c r="V381" s="252">
        <v>0</v>
      </c>
      <c r="W381" s="252">
        <v>0</v>
      </c>
      <c r="X381" s="252">
        <v>0</v>
      </c>
      <c r="Y381" s="252">
        <v>413.13</v>
      </c>
      <c r="Z381" s="252">
        <v>0</v>
      </c>
      <c r="AA381" s="252">
        <v>0</v>
      </c>
      <c r="AB381" s="252">
        <v>220.86</v>
      </c>
      <c r="AC381" s="252">
        <v>0</v>
      </c>
      <c r="AD381" s="252">
        <v>0</v>
      </c>
      <c r="AE381" s="252" t="s">
        <v>720</v>
      </c>
      <c r="AF381" s="252" t="s">
        <v>721</v>
      </c>
      <c r="AG381" s="252">
        <f t="shared" si="26"/>
        <v>0</v>
      </c>
      <c r="AH381" s="252">
        <f t="shared" si="27"/>
        <v>0</v>
      </c>
      <c r="AI381" s="252">
        <f t="shared" si="28"/>
        <v>0</v>
      </c>
      <c r="AJ381" s="252">
        <f t="shared" si="29"/>
        <v>0</v>
      </c>
    </row>
    <row r="382" spans="1:36" x14ac:dyDescent="0.2">
      <c r="A382" s="253" t="str">
        <f t="shared" si="25"/>
        <v>2SNCF10P7601AA30</v>
      </c>
      <c r="B382" s="252" t="s">
        <v>19</v>
      </c>
      <c r="C382" s="252" t="s">
        <v>20</v>
      </c>
      <c r="D382" s="252" t="s">
        <v>2543</v>
      </c>
      <c r="E382" s="252" t="s">
        <v>2531</v>
      </c>
      <c r="F382" s="252" t="s">
        <v>2545</v>
      </c>
      <c r="G382" s="252">
        <v>30</v>
      </c>
      <c r="H382" s="252" t="s">
        <v>928</v>
      </c>
      <c r="I382" s="252" t="s">
        <v>2477</v>
      </c>
      <c r="J382" s="252" t="s">
        <v>928</v>
      </c>
      <c r="K382" s="252" t="s">
        <v>3236</v>
      </c>
      <c r="L382" s="252">
        <v>560.98</v>
      </c>
      <c r="M382" s="252">
        <v>0</v>
      </c>
      <c r="N382" s="252">
        <v>0</v>
      </c>
      <c r="O382" s="252">
        <v>0</v>
      </c>
      <c r="P382" s="252">
        <v>0</v>
      </c>
      <c r="Q382" s="252">
        <v>0</v>
      </c>
      <c r="R382" s="252">
        <v>0</v>
      </c>
      <c r="S382" s="252">
        <v>0</v>
      </c>
      <c r="T382" s="252">
        <v>0</v>
      </c>
      <c r="U382" s="252">
        <v>0</v>
      </c>
      <c r="V382" s="252">
        <v>0</v>
      </c>
      <c r="W382" s="252">
        <v>0</v>
      </c>
      <c r="X382" s="252">
        <v>0</v>
      </c>
      <c r="Y382" s="252">
        <v>418.39</v>
      </c>
      <c r="Z382" s="252">
        <v>0</v>
      </c>
      <c r="AA382" s="252">
        <v>0</v>
      </c>
      <c r="AB382" s="252">
        <v>142.59</v>
      </c>
      <c r="AC382" s="252">
        <v>0</v>
      </c>
      <c r="AD382" s="252">
        <v>0</v>
      </c>
      <c r="AE382" s="252" t="s">
        <v>720</v>
      </c>
      <c r="AF382" s="252" t="s">
        <v>721</v>
      </c>
      <c r="AG382" s="252">
        <f t="shared" si="26"/>
        <v>0</v>
      </c>
      <c r="AH382" s="252">
        <f t="shared" si="27"/>
        <v>0</v>
      </c>
      <c r="AI382" s="252">
        <f t="shared" si="28"/>
        <v>0</v>
      </c>
      <c r="AJ382" s="252">
        <f t="shared" si="29"/>
        <v>0</v>
      </c>
    </row>
    <row r="383" spans="1:36" x14ac:dyDescent="0.2">
      <c r="A383" s="253" t="str">
        <f t="shared" si="25"/>
        <v>SNCF10P7601AA30</v>
      </c>
      <c r="B383" s="252" t="s">
        <v>19</v>
      </c>
      <c r="C383" s="252" t="s">
        <v>20</v>
      </c>
      <c r="D383" s="252" t="s">
        <v>2543</v>
      </c>
      <c r="E383" s="252" t="s">
        <v>2531</v>
      </c>
      <c r="F383" s="252" t="s">
        <v>2545</v>
      </c>
      <c r="G383" s="252">
        <v>30</v>
      </c>
      <c r="H383" s="252" t="s">
        <v>928</v>
      </c>
      <c r="I383" s="252" t="s">
        <v>928</v>
      </c>
      <c r="J383" s="252" t="s">
        <v>928</v>
      </c>
      <c r="K383" s="252" t="s">
        <v>3236</v>
      </c>
      <c r="L383" s="252">
        <v>560.98</v>
      </c>
      <c r="M383" s="252">
        <v>0</v>
      </c>
      <c r="N383" s="252">
        <v>0</v>
      </c>
      <c r="O383" s="252">
        <v>0</v>
      </c>
      <c r="P383" s="252">
        <v>0</v>
      </c>
      <c r="Q383" s="252">
        <v>0</v>
      </c>
      <c r="R383" s="252">
        <v>0</v>
      </c>
      <c r="S383" s="252">
        <v>0</v>
      </c>
      <c r="T383" s="252">
        <v>0</v>
      </c>
      <c r="U383" s="252">
        <v>0</v>
      </c>
      <c r="V383" s="252">
        <v>0</v>
      </c>
      <c r="W383" s="252">
        <v>0</v>
      </c>
      <c r="X383" s="252">
        <v>0</v>
      </c>
      <c r="Y383" s="252">
        <v>418.39</v>
      </c>
      <c r="Z383" s="252">
        <v>0</v>
      </c>
      <c r="AA383" s="252">
        <v>0</v>
      </c>
      <c r="AB383" s="252">
        <v>142.59</v>
      </c>
      <c r="AC383" s="252">
        <v>0</v>
      </c>
      <c r="AD383" s="252">
        <v>0</v>
      </c>
      <c r="AE383" s="252" t="s">
        <v>720</v>
      </c>
      <c r="AF383" s="252" t="s">
        <v>721</v>
      </c>
      <c r="AG383" s="252">
        <f t="shared" si="26"/>
        <v>0</v>
      </c>
      <c r="AH383" s="252">
        <f t="shared" si="27"/>
        <v>0</v>
      </c>
      <c r="AI383" s="252">
        <f t="shared" si="28"/>
        <v>0</v>
      </c>
      <c r="AJ383" s="252">
        <f t="shared" si="29"/>
        <v>0</v>
      </c>
    </row>
    <row r="384" spans="1:36" x14ac:dyDescent="0.2">
      <c r="A384" s="253" t="str">
        <f t="shared" si="25"/>
        <v>2SNCF10P7601C30</v>
      </c>
      <c r="B384" s="252" t="s">
        <v>19</v>
      </c>
      <c r="C384" s="252" t="s">
        <v>20</v>
      </c>
      <c r="D384" s="252" t="s">
        <v>2543</v>
      </c>
      <c r="E384" s="252" t="s">
        <v>2531</v>
      </c>
      <c r="F384" s="252" t="s">
        <v>2546</v>
      </c>
      <c r="G384" s="252">
        <v>30</v>
      </c>
      <c r="H384" s="252" t="s">
        <v>928</v>
      </c>
      <c r="I384" s="252" t="s">
        <v>2477</v>
      </c>
      <c r="J384" s="252" t="s">
        <v>928</v>
      </c>
      <c r="K384" s="252" t="s">
        <v>3236</v>
      </c>
      <c r="L384" s="252">
        <v>560.98</v>
      </c>
      <c r="M384" s="252">
        <v>0</v>
      </c>
      <c r="N384" s="252">
        <v>0</v>
      </c>
      <c r="O384" s="252">
        <v>0</v>
      </c>
      <c r="P384" s="252">
        <v>0</v>
      </c>
      <c r="Q384" s="252">
        <v>0</v>
      </c>
      <c r="R384" s="252">
        <v>0</v>
      </c>
      <c r="S384" s="252">
        <v>0</v>
      </c>
      <c r="T384" s="252">
        <v>0</v>
      </c>
      <c r="U384" s="252">
        <v>0</v>
      </c>
      <c r="V384" s="252">
        <v>0</v>
      </c>
      <c r="W384" s="252">
        <v>0</v>
      </c>
      <c r="X384" s="252">
        <v>0</v>
      </c>
      <c r="Y384" s="252">
        <v>418.39</v>
      </c>
      <c r="Z384" s="252">
        <v>0</v>
      </c>
      <c r="AA384" s="252">
        <v>0</v>
      </c>
      <c r="AB384" s="252">
        <v>142.59</v>
      </c>
      <c r="AC384" s="252">
        <v>0</v>
      </c>
      <c r="AD384" s="252">
        <v>0</v>
      </c>
      <c r="AE384" s="252" t="s">
        <v>720</v>
      </c>
      <c r="AF384" s="252" t="s">
        <v>721</v>
      </c>
      <c r="AG384" s="252">
        <f t="shared" si="26"/>
        <v>0</v>
      </c>
      <c r="AH384" s="252">
        <f t="shared" si="27"/>
        <v>0</v>
      </c>
      <c r="AI384" s="252">
        <f t="shared" si="28"/>
        <v>0</v>
      </c>
      <c r="AJ384" s="252">
        <f t="shared" si="29"/>
        <v>0</v>
      </c>
    </row>
    <row r="385" spans="1:36" x14ac:dyDescent="0.2">
      <c r="A385" s="253" t="str">
        <f t="shared" si="25"/>
        <v>SNCF10P7601C30</v>
      </c>
      <c r="B385" s="252" t="s">
        <v>19</v>
      </c>
      <c r="C385" s="252" t="s">
        <v>20</v>
      </c>
      <c r="D385" s="252" t="s">
        <v>2543</v>
      </c>
      <c r="E385" s="252" t="s">
        <v>2531</v>
      </c>
      <c r="F385" s="252" t="s">
        <v>2546</v>
      </c>
      <c r="G385" s="252">
        <v>30</v>
      </c>
      <c r="H385" s="252" t="s">
        <v>928</v>
      </c>
      <c r="I385" s="252" t="s">
        <v>928</v>
      </c>
      <c r="J385" s="252" t="s">
        <v>928</v>
      </c>
      <c r="K385" s="252" t="s">
        <v>3236</v>
      </c>
      <c r="L385" s="252">
        <v>560.98</v>
      </c>
      <c r="M385" s="252">
        <v>0</v>
      </c>
      <c r="N385" s="252">
        <v>0</v>
      </c>
      <c r="O385" s="252">
        <v>0</v>
      </c>
      <c r="P385" s="252">
        <v>0</v>
      </c>
      <c r="Q385" s="252">
        <v>0</v>
      </c>
      <c r="R385" s="252">
        <v>0</v>
      </c>
      <c r="S385" s="252">
        <v>0</v>
      </c>
      <c r="T385" s="252">
        <v>0</v>
      </c>
      <c r="U385" s="252">
        <v>0</v>
      </c>
      <c r="V385" s="252">
        <v>0</v>
      </c>
      <c r="W385" s="252">
        <v>0</v>
      </c>
      <c r="X385" s="252">
        <v>0</v>
      </c>
      <c r="Y385" s="252">
        <v>418.39</v>
      </c>
      <c r="Z385" s="252">
        <v>0</v>
      </c>
      <c r="AA385" s="252">
        <v>0</v>
      </c>
      <c r="AB385" s="252">
        <v>142.59</v>
      </c>
      <c r="AC385" s="252">
        <v>0</v>
      </c>
      <c r="AD385" s="252">
        <v>0</v>
      </c>
      <c r="AE385" s="252" t="s">
        <v>720</v>
      </c>
      <c r="AF385" s="252" t="s">
        <v>721</v>
      </c>
      <c r="AG385" s="252">
        <f t="shared" si="26"/>
        <v>0</v>
      </c>
      <c r="AH385" s="252">
        <f t="shared" si="27"/>
        <v>0</v>
      </c>
      <c r="AI385" s="252">
        <f t="shared" si="28"/>
        <v>0</v>
      </c>
      <c r="AJ385" s="252">
        <f t="shared" si="29"/>
        <v>0</v>
      </c>
    </row>
    <row r="386" spans="1:36" x14ac:dyDescent="0.2">
      <c r="A386" s="253" t="str">
        <f t="shared" si="25"/>
        <v>2SNCF10P7601C40</v>
      </c>
      <c r="B386" s="252" t="s">
        <v>19</v>
      </c>
      <c r="C386" s="252" t="s">
        <v>20</v>
      </c>
      <c r="D386" s="252" t="s">
        <v>2543</v>
      </c>
      <c r="E386" s="252" t="s">
        <v>2531</v>
      </c>
      <c r="F386" s="252" t="s">
        <v>2546</v>
      </c>
      <c r="G386" s="252">
        <v>40</v>
      </c>
      <c r="H386" s="252" t="s">
        <v>928</v>
      </c>
      <c r="I386" s="252" t="s">
        <v>2477</v>
      </c>
      <c r="J386" s="252" t="s">
        <v>928</v>
      </c>
      <c r="K386" s="252" t="s">
        <v>3236</v>
      </c>
      <c r="L386" s="252">
        <v>782.51</v>
      </c>
      <c r="M386" s="252">
        <v>0</v>
      </c>
      <c r="N386" s="252">
        <v>0</v>
      </c>
      <c r="O386" s="252">
        <v>0</v>
      </c>
      <c r="P386" s="252">
        <v>0</v>
      </c>
      <c r="Q386" s="252">
        <v>0</v>
      </c>
      <c r="R386" s="252">
        <v>0</v>
      </c>
      <c r="S386" s="252">
        <v>0</v>
      </c>
      <c r="T386" s="252">
        <v>0</v>
      </c>
      <c r="U386" s="252">
        <v>0</v>
      </c>
      <c r="V386" s="252">
        <v>0</v>
      </c>
      <c r="W386" s="252">
        <v>0</v>
      </c>
      <c r="X386" s="252">
        <v>0</v>
      </c>
      <c r="Y386" s="252">
        <v>528.07000000000005</v>
      </c>
      <c r="Z386" s="252">
        <v>0</v>
      </c>
      <c r="AA386" s="252">
        <v>0</v>
      </c>
      <c r="AB386" s="252">
        <v>254.44</v>
      </c>
      <c r="AC386" s="252">
        <v>0</v>
      </c>
      <c r="AD386" s="252">
        <v>0</v>
      </c>
      <c r="AE386" s="252" t="s">
        <v>720</v>
      </c>
      <c r="AF386" s="252" t="s">
        <v>721</v>
      </c>
      <c r="AG386" s="252">
        <f t="shared" si="26"/>
        <v>0</v>
      </c>
      <c r="AH386" s="252">
        <f t="shared" si="27"/>
        <v>0</v>
      </c>
      <c r="AI386" s="252">
        <f t="shared" si="28"/>
        <v>0</v>
      </c>
      <c r="AJ386" s="252">
        <f t="shared" si="29"/>
        <v>0</v>
      </c>
    </row>
    <row r="387" spans="1:36" x14ac:dyDescent="0.2">
      <c r="A387" s="253" t="str">
        <f t="shared" si="25"/>
        <v>SNCF10P7601C40</v>
      </c>
      <c r="B387" s="252" t="s">
        <v>19</v>
      </c>
      <c r="C387" s="252" t="s">
        <v>20</v>
      </c>
      <c r="D387" s="252" t="s">
        <v>2543</v>
      </c>
      <c r="E387" s="252" t="s">
        <v>2531</v>
      </c>
      <c r="F387" s="252" t="s">
        <v>2546</v>
      </c>
      <c r="G387" s="252">
        <v>40</v>
      </c>
      <c r="H387" s="252" t="s">
        <v>928</v>
      </c>
      <c r="I387" s="252" t="s">
        <v>928</v>
      </c>
      <c r="J387" s="252" t="s">
        <v>928</v>
      </c>
      <c r="K387" s="252" t="s">
        <v>3236</v>
      </c>
      <c r="L387" s="252">
        <v>782.51</v>
      </c>
      <c r="M387" s="252">
        <v>0</v>
      </c>
      <c r="N387" s="252">
        <v>0</v>
      </c>
      <c r="O387" s="252">
        <v>0</v>
      </c>
      <c r="P387" s="252">
        <v>0</v>
      </c>
      <c r="Q387" s="252">
        <v>0</v>
      </c>
      <c r="R387" s="252">
        <v>0</v>
      </c>
      <c r="S387" s="252">
        <v>0</v>
      </c>
      <c r="T387" s="252">
        <v>0</v>
      </c>
      <c r="U387" s="252">
        <v>0</v>
      </c>
      <c r="V387" s="252">
        <v>0</v>
      </c>
      <c r="W387" s="252">
        <v>0</v>
      </c>
      <c r="X387" s="252">
        <v>0</v>
      </c>
      <c r="Y387" s="252">
        <v>528.07000000000005</v>
      </c>
      <c r="Z387" s="252">
        <v>0</v>
      </c>
      <c r="AA387" s="252">
        <v>0</v>
      </c>
      <c r="AB387" s="252">
        <v>254.44</v>
      </c>
      <c r="AC387" s="252">
        <v>0</v>
      </c>
      <c r="AD387" s="252">
        <v>0</v>
      </c>
      <c r="AE387" s="252" t="s">
        <v>720</v>
      </c>
      <c r="AF387" s="252" t="s">
        <v>721</v>
      </c>
      <c r="AG387" s="252">
        <f t="shared" si="26"/>
        <v>0</v>
      </c>
      <c r="AH387" s="252">
        <f t="shared" si="27"/>
        <v>0</v>
      </c>
      <c r="AI387" s="252">
        <f t="shared" si="28"/>
        <v>0</v>
      </c>
      <c r="AJ387" s="252">
        <f t="shared" si="29"/>
        <v>0</v>
      </c>
    </row>
    <row r="388" spans="1:36" x14ac:dyDescent="0.2">
      <c r="A388" s="253" t="str">
        <f t="shared" ref="A388:A451" si="30">TRIM(I388&amp;B388&amp;C388&amp;D388&amp;F388&amp;G388)</f>
        <v>2SNCF10P7601EA30</v>
      </c>
      <c r="B388" s="252" t="s">
        <v>19</v>
      </c>
      <c r="C388" s="252" t="s">
        <v>20</v>
      </c>
      <c r="D388" s="252" t="s">
        <v>2543</v>
      </c>
      <c r="E388" s="252" t="s">
        <v>2531</v>
      </c>
      <c r="F388" s="252" t="s">
        <v>2547</v>
      </c>
      <c r="G388" s="252">
        <v>30</v>
      </c>
      <c r="H388" s="252" t="s">
        <v>928</v>
      </c>
      <c r="I388" s="252" t="s">
        <v>2477</v>
      </c>
      <c r="J388" s="252" t="s">
        <v>928</v>
      </c>
      <c r="K388" s="252" t="s">
        <v>3236</v>
      </c>
      <c r="L388" s="252">
        <v>433.39</v>
      </c>
      <c r="M388" s="252">
        <v>0</v>
      </c>
      <c r="N388" s="252">
        <v>0</v>
      </c>
      <c r="O388" s="252">
        <v>0</v>
      </c>
      <c r="P388" s="252">
        <v>0</v>
      </c>
      <c r="Q388" s="252">
        <v>0</v>
      </c>
      <c r="R388" s="252">
        <v>0</v>
      </c>
      <c r="S388" s="252">
        <v>0</v>
      </c>
      <c r="T388" s="252">
        <v>0</v>
      </c>
      <c r="U388" s="252">
        <v>0</v>
      </c>
      <c r="V388" s="252">
        <v>0</v>
      </c>
      <c r="W388" s="252">
        <v>0</v>
      </c>
      <c r="X388" s="252">
        <v>0</v>
      </c>
      <c r="Y388" s="252">
        <v>303.02</v>
      </c>
      <c r="Z388" s="252">
        <v>0</v>
      </c>
      <c r="AA388" s="252">
        <v>0</v>
      </c>
      <c r="AB388" s="252">
        <v>130.37</v>
      </c>
      <c r="AC388" s="252">
        <v>0</v>
      </c>
      <c r="AD388" s="252">
        <v>0</v>
      </c>
      <c r="AE388" s="252" t="s">
        <v>720</v>
      </c>
      <c r="AF388" s="252" t="s">
        <v>721</v>
      </c>
      <c r="AG388" s="252">
        <f t="shared" si="26"/>
        <v>0</v>
      </c>
      <c r="AH388" s="252">
        <f t="shared" si="27"/>
        <v>0</v>
      </c>
      <c r="AI388" s="252">
        <f t="shared" si="28"/>
        <v>0</v>
      </c>
      <c r="AJ388" s="252">
        <f t="shared" si="29"/>
        <v>0</v>
      </c>
    </row>
    <row r="389" spans="1:36" x14ac:dyDescent="0.2">
      <c r="A389" s="253" t="str">
        <f t="shared" si="30"/>
        <v>SNCF10P7601EA30</v>
      </c>
      <c r="B389" s="252" t="s">
        <v>19</v>
      </c>
      <c r="C389" s="252" t="s">
        <v>20</v>
      </c>
      <c r="D389" s="252" t="s">
        <v>2543</v>
      </c>
      <c r="E389" s="252" t="s">
        <v>2531</v>
      </c>
      <c r="F389" s="252" t="s">
        <v>2547</v>
      </c>
      <c r="G389" s="252">
        <v>30</v>
      </c>
      <c r="H389" s="252" t="s">
        <v>928</v>
      </c>
      <c r="I389" s="252" t="s">
        <v>928</v>
      </c>
      <c r="J389" s="252" t="s">
        <v>928</v>
      </c>
      <c r="K389" s="252" t="s">
        <v>3236</v>
      </c>
      <c r="L389" s="252">
        <v>433.39</v>
      </c>
      <c r="M389" s="252">
        <v>0</v>
      </c>
      <c r="N389" s="252">
        <v>0</v>
      </c>
      <c r="O389" s="252">
        <v>0</v>
      </c>
      <c r="P389" s="252">
        <v>0</v>
      </c>
      <c r="Q389" s="252">
        <v>0</v>
      </c>
      <c r="R389" s="252">
        <v>0</v>
      </c>
      <c r="S389" s="252">
        <v>0</v>
      </c>
      <c r="T389" s="252">
        <v>0</v>
      </c>
      <c r="U389" s="252">
        <v>0</v>
      </c>
      <c r="V389" s="252">
        <v>0</v>
      </c>
      <c r="W389" s="252">
        <v>0</v>
      </c>
      <c r="X389" s="252">
        <v>0</v>
      </c>
      <c r="Y389" s="252">
        <v>303.02</v>
      </c>
      <c r="Z389" s="252">
        <v>0</v>
      </c>
      <c r="AA389" s="252">
        <v>0</v>
      </c>
      <c r="AB389" s="252">
        <v>130.37</v>
      </c>
      <c r="AC389" s="252">
        <v>0</v>
      </c>
      <c r="AD389" s="252">
        <v>0</v>
      </c>
      <c r="AE389" s="252" t="s">
        <v>720</v>
      </c>
      <c r="AF389" s="252" t="s">
        <v>721</v>
      </c>
      <c r="AG389" s="252">
        <f t="shared" si="26"/>
        <v>0</v>
      </c>
      <c r="AH389" s="252">
        <f t="shared" si="27"/>
        <v>0</v>
      </c>
      <c r="AI389" s="252">
        <f t="shared" si="28"/>
        <v>0</v>
      </c>
      <c r="AJ389" s="252">
        <f t="shared" si="29"/>
        <v>0</v>
      </c>
    </row>
    <row r="390" spans="1:36" x14ac:dyDescent="0.2">
      <c r="A390" s="253" t="str">
        <f t="shared" si="30"/>
        <v>2SNCF10P7601EA40</v>
      </c>
      <c r="B390" s="252" t="s">
        <v>19</v>
      </c>
      <c r="C390" s="252" t="s">
        <v>20</v>
      </c>
      <c r="D390" s="252" t="s">
        <v>2543</v>
      </c>
      <c r="E390" s="252" t="s">
        <v>2531</v>
      </c>
      <c r="F390" s="252" t="s">
        <v>2547</v>
      </c>
      <c r="G390" s="252">
        <v>40</v>
      </c>
      <c r="H390" s="252" t="s">
        <v>928</v>
      </c>
      <c r="I390" s="252" t="s">
        <v>2477</v>
      </c>
      <c r="J390" s="252" t="s">
        <v>928</v>
      </c>
      <c r="K390" s="252" t="s">
        <v>3236</v>
      </c>
      <c r="L390" s="252">
        <v>502</v>
      </c>
      <c r="M390" s="252">
        <v>0</v>
      </c>
      <c r="N390" s="252">
        <v>0</v>
      </c>
      <c r="O390" s="252">
        <v>0</v>
      </c>
      <c r="P390" s="252">
        <v>0</v>
      </c>
      <c r="Q390" s="252">
        <v>0</v>
      </c>
      <c r="R390" s="252">
        <v>0</v>
      </c>
      <c r="S390" s="252">
        <v>0</v>
      </c>
      <c r="T390" s="252">
        <v>0</v>
      </c>
      <c r="U390" s="252">
        <v>0</v>
      </c>
      <c r="V390" s="252">
        <v>0</v>
      </c>
      <c r="W390" s="252">
        <v>0</v>
      </c>
      <c r="X390" s="252">
        <v>0</v>
      </c>
      <c r="Y390" s="252">
        <v>340.94</v>
      </c>
      <c r="Z390" s="252">
        <v>0</v>
      </c>
      <c r="AA390" s="252">
        <v>0</v>
      </c>
      <c r="AB390" s="252">
        <v>161.06</v>
      </c>
      <c r="AC390" s="252">
        <v>0</v>
      </c>
      <c r="AD390" s="252">
        <v>0</v>
      </c>
      <c r="AE390" s="252" t="s">
        <v>720</v>
      </c>
      <c r="AF390" s="252" t="s">
        <v>721</v>
      </c>
      <c r="AG390" s="252">
        <f t="shared" ref="AG390:AG453" si="31">+O390*M390/100</f>
        <v>0</v>
      </c>
      <c r="AH390" s="252">
        <f t="shared" ref="AH390:AH453" si="32">+P390*M390/100</f>
        <v>0</v>
      </c>
      <c r="AI390" s="252">
        <f t="shared" ref="AI390:AI453" si="33">+AB390*M390/100</f>
        <v>0</v>
      </c>
      <c r="AJ390" s="252">
        <f t="shared" ref="AJ390:AJ453" si="34">+AG390+AH390+AI390</f>
        <v>0</v>
      </c>
    </row>
    <row r="391" spans="1:36" x14ac:dyDescent="0.2">
      <c r="A391" s="253" t="str">
        <f t="shared" si="30"/>
        <v>SNCF10P7601EA40</v>
      </c>
      <c r="B391" s="252" t="s">
        <v>19</v>
      </c>
      <c r="C391" s="252" t="s">
        <v>20</v>
      </c>
      <c r="D391" s="252" t="s">
        <v>2543</v>
      </c>
      <c r="E391" s="252" t="s">
        <v>2531</v>
      </c>
      <c r="F391" s="252" t="s">
        <v>2547</v>
      </c>
      <c r="G391" s="252">
        <v>40</v>
      </c>
      <c r="H391" s="252" t="s">
        <v>928</v>
      </c>
      <c r="I391" s="252" t="s">
        <v>928</v>
      </c>
      <c r="J391" s="252" t="s">
        <v>928</v>
      </c>
      <c r="K391" s="252" t="s">
        <v>3236</v>
      </c>
      <c r="L391" s="252">
        <v>502</v>
      </c>
      <c r="M391" s="252">
        <v>0</v>
      </c>
      <c r="N391" s="252">
        <v>0</v>
      </c>
      <c r="O391" s="252">
        <v>0</v>
      </c>
      <c r="P391" s="252">
        <v>0</v>
      </c>
      <c r="Q391" s="252">
        <v>0</v>
      </c>
      <c r="R391" s="252">
        <v>0</v>
      </c>
      <c r="S391" s="252">
        <v>0</v>
      </c>
      <c r="T391" s="252">
        <v>0</v>
      </c>
      <c r="U391" s="252">
        <v>0</v>
      </c>
      <c r="V391" s="252">
        <v>0</v>
      </c>
      <c r="W391" s="252">
        <v>0</v>
      </c>
      <c r="X391" s="252">
        <v>0</v>
      </c>
      <c r="Y391" s="252">
        <v>340.94</v>
      </c>
      <c r="Z391" s="252">
        <v>0</v>
      </c>
      <c r="AA391" s="252">
        <v>0</v>
      </c>
      <c r="AB391" s="252">
        <v>161.06</v>
      </c>
      <c r="AC391" s="252">
        <v>0</v>
      </c>
      <c r="AD391" s="252">
        <v>0</v>
      </c>
      <c r="AE391" s="252" t="s">
        <v>720</v>
      </c>
      <c r="AF391" s="252" t="s">
        <v>721</v>
      </c>
      <c r="AG391" s="252">
        <f t="shared" si="31"/>
        <v>0</v>
      </c>
      <c r="AH391" s="252">
        <f t="shared" si="32"/>
        <v>0</v>
      </c>
      <c r="AI391" s="252">
        <f t="shared" si="33"/>
        <v>0</v>
      </c>
      <c r="AJ391" s="252">
        <f t="shared" si="34"/>
        <v>0</v>
      </c>
    </row>
    <row r="392" spans="1:36" x14ac:dyDescent="0.2">
      <c r="A392" s="253" t="str">
        <f t="shared" si="30"/>
        <v>2SNCF10P7601EA50</v>
      </c>
      <c r="B392" s="252" t="s">
        <v>19</v>
      </c>
      <c r="C392" s="252" t="s">
        <v>20</v>
      </c>
      <c r="D392" s="252" t="s">
        <v>2543</v>
      </c>
      <c r="E392" s="252" t="s">
        <v>2531</v>
      </c>
      <c r="F392" s="252" t="s">
        <v>2547</v>
      </c>
      <c r="G392" s="252">
        <v>50</v>
      </c>
      <c r="H392" s="252" t="s">
        <v>928</v>
      </c>
      <c r="I392" s="252" t="s">
        <v>2477</v>
      </c>
      <c r="J392" s="252" t="s">
        <v>928</v>
      </c>
      <c r="K392" s="252" t="s">
        <v>3236</v>
      </c>
      <c r="L392" s="252">
        <v>698</v>
      </c>
      <c r="M392" s="252">
        <v>0</v>
      </c>
      <c r="N392" s="252">
        <v>0</v>
      </c>
      <c r="O392" s="252">
        <v>0</v>
      </c>
      <c r="P392" s="252">
        <v>0</v>
      </c>
      <c r="Q392" s="252">
        <v>0</v>
      </c>
      <c r="R392" s="252">
        <v>0</v>
      </c>
      <c r="S392" s="252">
        <v>0</v>
      </c>
      <c r="T392" s="252">
        <v>0</v>
      </c>
      <c r="U392" s="252">
        <v>0</v>
      </c>
      <c r="V392" s="252">
        <v>0</v>
      </c>
      <c r="W392" s="252">
        <v>0</v>
      </c>
      <c r="X392" s="252">
        <v>0</v>
      </c>
      <c r="Y392" s="252">
        <v>456.4</v>
      </c>
      <c r="Z392" s="252">
        <v>0</v>
      </c>
      <c r="AA392" s="252">
        <v>0</v>
      </c>
      <c r="AB392" s="252">
        <v>241.6</v>
      </c>
      <c r="AC392" s="252">
        <v>0</v>
      </c>
      <c r="AD392" s="252">
        <v>0</v>
      </c>
      <c r="AE392" s="252" t="s">
        <v>720</v>
      </c>
      <c r="AF392" s="252" t="s">
        <v>721</v>
      </c>
      <c r="AG392" s="252">
        <f t="shared" si="31"/>
        <v>0</v>
      </c>
      <c r="AH392" s="252">
        <f t="shared" si="32"/>
        <v>0</v>
      </c>
      <c r="AI392" s="252">
        <f t="shared" si="33"/>
        <v>0</v>
      </c>
      <c r="AJ392" s="252">
        <f t="shared" si="34"/>
        <v>0</v>
      </c>
    </row>
    <row r="393" spans="1:36" x14ac:dyDescent="0.2">
      <c r="A393" s="253" t="str">
        <f t="shared" si="30"/>
        <v>SNCF10P7601EA50</v>
      </c>
      <c r="B393" s="252" t="s">
        <v>19</v>
      </c>
      <c r="C393" s="252" t="s">
        <v>20</v>
      </c>
      <c r="D393" s="252" t="s">
        <v>2543</v>
      </c>
      <c r="E393" s="252" t="s">
        <v>2531</v>
      </c>
      <c r="F393" s="252" t="s">
        <v>2547</v>
      </c>
      <c r="G393" s="252">
        <v>50</v>
      </c>
      <c r="H393" s="252" t="s">
        <v>928</v>
      </c>
      <c r="I393" s="252" t="s">
        <v>928</v>
      </c>
      <c r="J393" s="252" t="s">
        <v>928</v>
      </c>
      <c r="K393" s="252" t="s">
        <v>3236</v>
      </c>
      <c r="L393" s="252">
        <v>698</v>
      </c>
      <c r="M393" s="252">
        <v>0</v>
      </c>
      <c r="N393" s="252">
        <v>0</v>
      </c>
      <c r="O393" s="252">
        <v>0</v>
      </c>
      <c r="P393" s="252">
        <v>0</v>
      </c>
      <c r="Q393" s="252">
        <v>0</v>
      </c>
      <c r="R393" s="252">
        <v>0</v>
      </c>
      <c r="S393" s="252">
        <v>0</v>
      </c>
      <c r="T393" s="252">
        <v>0</v>
      </c>
      <c r="U393" s="252">
        <v>0</v>
      </c>
      <c r="V393" s="252">
        <v>0</v>
      </c>
      <c r="W393" s="252">
        <v>0</v>
      </c>
      <c r="X393" s="252">
        <v>0</v>
      </c>
      <c r="Y393" s="252">
        <v>456.4</v>
      </c>
      <c r="Z393" s="252">
        <v>0</v>
      </c>
      <c r="AA393" s="252">
        <v>0</v>
      </c>
      <c r="AB393" s="252">
        <v>241.6</v>
      </c>
      <c r="AC393" s="252">
        <v>0</v>
      </c>
      <c r="AD393" s="252">
        <v>0</v>
      </c>
      <c r="AE393" s="252" t="s">
        <v>720</v>
      </c>
      <c r="AF393" s="252" t="s">
        <v>721</v>
      </c>
      <c r="AG393" s="252">
        <f t="shared" si="31"/>
        <v>0</v>
      </c>
      <c r="AH393" s="252">
        <f t="shared" si="32"/>
        <v>0</v>
      </c>
      <c r="AI393" s="252">
        <f t="shared" si="33"/>
        <v>0</v>
      </c>
      <c r="AJ393" s="252">
        <f t="shared" si="34"/>
        <v>0</v>
      </c>
    </row>
    <row r="394" spans="1:36" x14ac:dyDescent="0.2">
      <c r="A394" s="253" t="str">
        <f t="shared" si="30"/>
        <v>2SNCF10P7601EB30</v>
      </c>
      <c r="B394" s="252" t="s">
        <v>19</v>
      </c>
      <c r="C394" s="252" t="s">
        <v>20</v>
      </c>
      <c r="D394" s="252" t="s">
        <v>2543</v>
      </c>
      <c r="E394" s="252" t="s">
        <v>2531</v>
      </c>
      <c r="F394" s="252" t="s">
        <v>2548</v>
      </c>
      <c r="G394" s="252">
        <v>30</v>
      </c>
      <c r="H394" s="252" t="s">
        <v>928</v>
      </c>
      <c r="I394" s="252" t="s">
        <v>2477</v>
      </c>
      <c r="J394" s="252" t="s">
        <v>928</v>
      </c>
      <c r="K394" s="252" t="s">
        <v>3236</v>
      </c>
      <c r="L394" s="252">
        <v>450.72</v>
      </c>
      <c r="M394" s="252">
        <v>0</v>
      </c>
      <c r="N394" s="252">
        <v>0</v>
      </c>
      <c r="O394" s="252">
        <v>0</v>
      </c>
      <c r="P394" s="252">
        <v>0</v>
      </c>
      <c r="Q394" s="252">
        <v>0</v>
      </c>
      <c r="R394" s="252">
        <v>0</v>
      </c>
      <c r="S394" s="252">
        <v>0</v>
      </c>
      <c r="T394" s="252">
        <v>0</v>
      </c>
      <c r="U394" s="252">
        <v>0</v>
      </c>
      <c r="V394" s="252">
        <v>0</v>
      </c>
      <c r="W394" s="252">
        <v>0</v>
      </c>
      <c r="X394" s="252">
        <v>0</v>
      </c>
      <c r="Y394" s="252">
        <v>306.63</v>
      </c>
      <c r="Z394" s="252">
        <v>0</v>
      </c>
      <c r="AA394" s="252">
        <v>0</v>
      </c>
      <c r="AB394" s="252">
        <v>144.08000000000001</v>
      </c>
      <c r="AC394" s="252">
        <v>0</v>
      </c>
      <c r="AD394" s="252">
        <v>0</v>
      </c>
      <c r="AE394" s="252" t="s">
        <v>720</v>
      </c>
      <c r="AF394" s="252" t="s">
        <v>721</v>
      </c>
      <c r="AG394" s="252">
        <f t="shared" si="31"/>
        <v>0</v>
      </c>
      <c r="AH394" s="252">
        <f t="shared" si="32"/>
        <v>0</v>
      </c>
      <c r="AI394" s="252">
        <f t="shared" si="33"/>
        <v>0</v>
      </c>
      <c r="AJ394" s="252">
        <f t="shared" si="34"/>
        <v>0</v>
      </c>
    </row>
    <row r="395" spans="1:36" x14ac:dyDescent="0.2">
      <c r="A395" s="253" t="str">
        <f t="shared" si="30"/>
        <v>SNCF10P7601EB30</v>
      </c>
      <c r="B395" s="252" t="s">
        <v>19</v>
      </c>
      <c r="C395" s="252" t="s">
        <v>20</v>
      </c>
      <c r="D395" s="252" t="s">
        <v>2543</v>
      </c>
      <c r="E395" s="252" t="s">
        <v>2531</v>
      </c>
      <c r="F395" s="252" t="s">
        <v>2548</v>
      </c>
      <c r="G395" s="252">
        <v>30</v>
      </c>
      <c r="H395" s="252" t="s">
        <v>928</v>
      </c>
      <c r="I395" s="252" t="s">
        <v>928</v>
      </c>
      <c r="J395" s="252" t="s">
        <v>928</v>
      </c>
      <c r="K395" s="252" t="s">
        <v>3236</v>
      </c>
      <c r="L395" s="252">
        <v>450.72</v>
      </c>
      <c r="M395" s="252">
        <v>0</v>
      </c>
      <c r="N395" s="252">
        <v>0</v>
      </c>
      <c r="O395" s="252">
        <v>0</v>
      </c>
      <c r="P395" s="252">
        <v>0</v>
      </c>
      <c r="Q395" s="252">
        <v>0</v>
      </c>
      <c r="R395" s="252">
        <v>0</v>
      </c>
      <c r="S395" s="252">
        <v>0</v>
      </c>
      <c r="T395" s="252">
        <v>0</v>
      </c>
      <c r="U395" s="252">
        <v>0</v>
      </c>
      <c r="V395" s="252">
        <v>0</v>
      </c>
      <c r="W395" s="252">
        <v>0</v>
      </c>
      <c r="X395" s="252">
        <v>0</v>
      </c>
      <c r="Y395" s="252">
        <v>306.63</v>
      </c>
      <c r="Z395" s="252">
        <v>0</v>
      </c>
      <c r="AA395" s="252">
        <v>0</v>
      </c>
      <c r="AB395" s="252">
        <v>144.08000000000001</v>
      </c>
      <c r="AC395" s="252">
        <v>0</v>
      </c>
      <c r="AD395" s="252">
        <v>0</v>
      </c>
      <c r="AE395" s="252" t="s">
        <v>720</v>
      </c>
      <c r="AF395" s="252" t="s">
        <v>721</v>
      </c>
      <c r="AG395" s="252">
        <f t="shared" si="31"/>
        <v>0</v>
      </c>
      <c r="AH395" s="252">
        <f t="shared" si="32"/>
        <v>0</v>
      </c>
      <c r="AI395" s="252">
        <f t="shared" si="33"/>
        <v>0</v>
      </c>
      <c r="AJ395" s="252">
        <f t="shared" si="34"/>
        <v>0</v>
      </c>
    </row>
    <row r="396" spans="1:36" x14ac:dyDescent="0.2">
      <c r="A396" s="253" t="str">
        <f t="shared" si="30"/>
        <v>2SNCF10P7601EB50</v>
      </c>
      <c r="B396" s="252" t="s">
        <v>19</v>
      </c>
      <c r="C396" s="252" t="s">
        <v>20</v>
      </c>
      <c r="D396" s="252" t="s">
        <v>2543</v>
      </c>
      <c r="E396" s="252" t="s">
        <v>2531</v>
      </c>
      <c r="F396" s="252" t="s">
        <v>2548</v>
      </c>
      <c r="G396" s="252">
        <v>50</v>
      </c>
      <c r="H396" s="252" t="s">
        <v>928</v>
      </c>
      <c r="I396" s="252" t="s">
        <v>2477</v>
      </c>
      <c r="J396" s="252" t="s">
        <v>928</v>
      </c>
      <c r="K396" s="252" t="s">
        <v>3236</v>
      </c>
      <c r="L396" s="252">
        <v>490.91</v>
      </c>
      <c r="M396" s="252">
        <v>0</v>
      </c>
      <c r="N396" s="252">
        <v>0</v>
      </c>
      <c r="O396" s="252">
        <v>0</v>
      </c>
      <c r="P396" s="252">
        <v>0</v>
      </c>
      <c r="Q396" s="252">
        <v>0</v>
      </c>
      <c r="R396" s="252">
        <v>0</v>
      </c>
      <c r="S396" s="252">
        <v>0</v>
      </c>
      <c r="T396" s="252">
        <v>0</v>
      </c>
      <c r="U396" s="252">
        <v>0</v>
      </c>
      <c r="V396" s="252">
        <v>0</v>
      </c>
      <c r="W396" s="252">
        <v>0</v>
      </c>
      <c r="X396" s="252">
        <v>0</v>
      </c>
      <c r="Y396" s="252">
        <v>349.98</v>
      </c>
      <c r="Z396" s="252">
        <v>0</v>
      </c>
      <c r="AA396" s="252">
        <v>0</v>
      </c>
      <c r="AB396" s="252">
        <v>140.93</v>
      </c>
      <c r="AC396" s="252">
        <v>0</v>
      </c>
      <c r="AD396" s="252">
        <v>0</v>
      </c>
      <c r="AE396" s="252" t="s">
        <v>720</v>
      </c>
      <c r="AF396" s="252" t="s">
        <v>721</v>
      </c>
      <c r="AG396" s="252">
        <f t="shared" si="31"/>
        <v>0</v>
      </c>
      <c r="AH396" s="252">
        <f t="shared" si="32"/>
        <v>0</v>
      </c>
      <c r="AI396" s="252">
        <f t="shared" si="33"/>
        <v>0</v>
      </c>
      <c r="AJ396" s="252">
        <f t="shared" si="34"/>
        <v>0</v>
      </c>
    </row>
    <row r="397" spans="1:36" x14ac:dyDescent="0.2">
      <c r="A397" s="253" t="str">
        <f t="shared" si="30"/>
        <v>SNCF10P7601EB50</v>
      </c>
      <c r="B397" s="252" t="s">
        <v>19</v>
      </c>
      <c r="C397" s="252" t="s">
        <v>20</v>
      </c>
      <c r="D397" s="252" t="s">
        <v>2543</v>
      </c>
      <c r="E397" s="252" t="s">
        <v>2531</v>
      </c>
      <c r="F397" s="252" t="s">
        <v>2548</v>
      </c>
      <c r="G397" s="252">
        <v>50</v>
      </c>
      <c r="H397" s="252" t="s">
        <v>928</v>
      </c>
      <c r="I397" s="252" t="s">
        <v>928</v>
      </c>
      <c r="J397" s="252" t="s">
        <v>928</v>
      </c>
      <c r="K397" s="252" t="s">
        <v>3236</v>
      </c>
      <c r="L397" s="252">
        <v>490.91</v>
      </c>
      <c r="M397" s="252">
        <v>0</v>
      </c>
      <c r="N397" s="252">
        <v>0</v>
      </c>
      <c r="O397" s="252">
        <v>0</v>
      </c>
      <c r="P397" s="252">
        <v>0</v>
      </c>
      <c r="Q397" s="252">
        <v>0</v>
      </c>
      <c r="R397" s="252">
        <v>0</v>
      </c>
      <c r="S397" s="252">
        <v>0</v>
      </c>
      <c r="T397" s="252">
        <v>0</v>
      </c>
      <c r="U397" s="252">
        <v>0</v>
      </c>
      <c r="V397" s="252">
        <v>0</v>
      </c>
      <c r="W397" s="252">
        <v>0</v>
      </c>
      <c r="X397" s="252">
        <v>0</v>
      </c>
      <c r="Y397" s="252">
        <v>349.98</v>
      </c>
      <c r="Z397" s="252">
        <v>0</v>
      </c>
      <c r="AA397" s="252">
        <v>0</v>
      </c>
      <c r="AB397" s="252">
        <v>140.93</v>
      </c>
      <c r="AC397" s="252">
        <v>0</v>
      </c>
      <c r="AD397" s="252">
        <v>0</v>
      </c>
      <c r="AE397" s="252" t="s">
        <v>720</v>
      </c>
      <c r="AF397" s="252" t="s">
        <v>721</v>
      </c>
      <c r="AG397" s="252">
        <f t="shared" si="31"/>
        <v>0</v>
      </c>
      <c r="AH397" s="252">
        <f t="shared" si="32"/>
        <v>0</v>
      </c>
      <c r="AI397" s="252">
        <f t="shared" si="33"/>
        <v>0</v>
      </c>
      <c r="AJ397" s="252">
        <f t="shared" si="34"/>
        <v>0</v>
      </c>
    </row>
    <row r="398" spans="1:36" x14ac:dyDescent="0.2">
      <c r="A398" s="253" t="str">
        <f t="shared" si="30"/>
        <v>2SNCF10P7601ED30</v>
      </c>
      <c r="B398" s="252" t="s">
        <v>19</v>
      </c>
      <c r="C398" s="252" t="s">
        <v>20</v>
      </c>
      <c r="D398" s="252" t="s">
        <v>2543</v>
      </c>
      <c r="E398" s="252" t="s">
        <v>2531</v>
      </c>
      <c r="F398" s="252" t="s">
        <v>2549</v>
      </c>
      <c r="G398" s="252">
        <v>30</v>
      </c>
      <c r="H398" s="252" t="s">
        <v>928</v>
      </c>
      <c r="I398" s="252" t="s">
        <v>2477</v>
      </c>
      <c r="J398" s="252" t="s">
        <v>928</v>
      </c>
      <c r="K398" s="252" t="s">
        <v>3236</v>
      </c>
      <c r="L398" s="252">
        <v>505.03</v>
      </c>
      <c r="M398" s="252">
        <v>0</v>
      </c>
      <c r="N398" s="252">
        <v>0</v>
      </c>
      <c r="O398" s="252">
        <v>0</v>
      </c>
      <c r="P398" s="252">
        <v>0</v>
      </c>
      <c r="Q398" s="252">
        <v>0</v>
      </c>
      <c r="R398" s="252">
        <v>0</v>
      </c>
      <c r="S398" s="252">
        <v>0</v>
      </c>
      <c r="T398" s="252">
        <v>0</v>
      </c>
      <c r="U398" s="252">
        <v>0</v>
      </c>
      <c r="V398" s="252">
        <v>0</v>
      </c>
      <c r="W398" s="252">
        <v>0</v>
      </c>
      <c r="X398" s="252">
        <v>0</v>
      </c>
      <c r="Y398" s="252">
        <v>338.53</v>
      </c>
      <c r="Z398" s="252">
        <v>0</v>
      </c>
      <c r="AA398" s="252">
        <v>0</v>
      </c>
      <c r="AB398" s="252">
        <v>166.51</v>
      </c>
      <c r="AC398" s="252">
        <v>0</v>
      </c>
      <c r="AD398" s="252">
        <v>0</v>
      </c>
      <c r="AE398" s="252" t="s">
        <v>720</v>
      </c>
      <c r="AF398" s="252" t="s">
        <v>721</v>
      </c>
      <c r="AG398" s="252">
        <f t="shared" si="31"/>
        <v>0</v>
      </c>
      <c r="AH398" s="252">
        <f t="shared" si="32"/>
        <v>0</v>
      </c>
      <c r="AI398" s="252">
        <f t="shared" si="33"/>
        <v>0</v>
      </c>
      <c r="AJ398" s="252">
        <f t="shared" si="34"/>
        <v>0</v>
      </c>
    </row>
    <row r="399" spans="1:36" x14ac:dyDescent="0.2">
      <c r="A399" s="253" t="str">
        <f t="shared" si="30"/>
        <v>SNCF10P7601ED30</v>
      </c>
      <c r="B399" s="252" t="s">
        <v>19</v>
      </c>
      <c r="C399" s="252" t="s">
        <v>20</v>
      </c>
      <c r="D399" s="252" t="s">
        <v>2543</v>
      </c>
      <c r="E399" s="252" t="s">
        <v>2531</v>
      </c>
      <c r="F399" s="252" t="s">
        <v>2549</v>
      </c>
      <c r="G399" s="252">
        <v>30</v>
      </c>
      <c r="H399" s="252" t="s">
        <v>928</v>
      </c>
      <c r="I399" s="252" t="s">
        <v>928</v>
      </c>
      <c r="J399" s="252" t="s">
        <v>928</v>
      </c>
      <c r="K399" s="252" t="s">
        <v>3236</v>
      </c>
      <c r="L399" s="252">
        <v>505.03</v>
      </c>
      <c r="M399" s="252">
        <v>0</v>
      </c>
      <c r="N399" s="252">
        <v>0</v>
      </c>
      <c r="O399" s="252">
        <v>0</v>
      </c>
      <c r="P399" s="252">
        <v>0</v>
      </c>
      <c r="Q399" s="252">
        <v>0</v>
      </c>
      <c r="R399" s="252">
        <v>0</v>
      </c>
      <c r="S399" s="252">
        <v>0</v>
      </c>
      <c r="T399" s="252">
        <v>0</v>
      </c>
      <c r="U399" s="252">
        <v>0</v>
      </c>
      <c r="V399" s="252">
        <v>0</v>
      </c>
      <c r="W399" s="252">
        <v>0</v>
      </c>
      <c r="X399" s="252">
        <v>0</v>
      </c>
      <c r="Y399" s="252">
        <v>338.53</v>
      </c>
      <c r="Z399" s="252">
        <v>0</v>
      </c>
      <c r="AA399" s="252">
        <v>0</v>
      </c>
      <c r="AB399" s="252">
        <v>166.51</v>
      </c>
      <c r="AC399" s="252">
        <v>0</v>
      </c>
      <c r="AD399" s="252">
        <v>0</v>
      </c>
      <c r="AE399" s="252" t="s">
        <v>20</v>
      </c>
      <c r="AF399" s="252" t="s">
        <v>718</v>
      </c>
      <c r="AG399" s="252">
        <f t="shared" si="31"/>
        <v>0</v>
      </c>
      <c r="AH399" s="252">
        <f t="shared" si="32"/>
        <v>0</v>
      </c>
      <c r="AI399" s="252">
        <f t="shared" si="33"/>
        <v>0</v>
      </c>
      <c r="AJ399" s="252">
        <f t="shared" si="34"/>
        <v>0</v>
      </c>
    </row>
    <row r="400" spans="1:36" x14ac:dyDescent="0.2">
      <c r="A400" s="253" t="str">
        <f t="shared" si="30"/>
        <v>2SNCF10P7601ED50</v>
      </c>
      <c r="B400" s="252" t="s">
        <v>19</v>
      </c>
      <c r="C400" s="252" t="s">
        <v>20</v>
      </c>
      <c r="D400" s="252" t="s">
        <v>2543</v>
      </c>
      <c r="E400" s="252" t="s">
        <v>2531</v>
      </c>
      <c r="F400" s="252" t="s">
        <v>2549</v>
      </c>
      <c r="G400" s="252">
        <v>50</v>
      </c>
      <c r="H400" s="252" t="s">
        <v>928</v>
      </c>
      <c r="I400" s="252" t="s">
        <v>2477</v>
      </c>
      <c r="J400" s="252" t="s">
        <v>928</v>
      </c>
      <c r="K400" s="252" t="s">
        <v>3236</v>
      </c>
      <c r="L400" s="252">
        <v>575.73</v>
      </c>
      <c r="M400" s="252">
        <v>0</v>
      </c>
      <c r="N400" s="252">
        <v>0</v>
      </c>
      <c r="O400" s="252">
        <v>0</v>
      </c>
      <c r="P400" s="252">
        <v>0</v>
      </c>
      <c r="Q400" s="252">
        <v>0</v>
      </c>
      <c r="R400" s="252">
        <v>0</v>
      </c>
      <c r="S400" s="252">
        <v>0</v>
      </c>
      <c r="T400" s="252">
        <v>0</v>
      </c>
      <c r="U400" s="252">
        <v>0</v>
      </c>
      <c r="V400" s="252">
        <v>0</v>
      </c>
      <c r="W400" s="252">
        <v>0</v>
      </c>
      <c r="X400" s="252">
        <v>0</v>
      </c>
      <c r="Y400" s="252">
        <v>388.09</v>
      </c>
      <c r="Z400" s="252">
        <v>0</v>
      </c>
      <c r="AA400" s="252">
        <v>0</v>
      </c>
      <c r="AB400" s="252">
        <v>187.64</v>
      </c>
      <c r="AC400" s="252">
        <v>0</v>
      </c>
      <c r="AD400" s="252">
        <v>0</v>
      </c>
      <c r="AE400" s="252" t="s">
        <v>20</v>
      </c>
      <c r="AF400" s="252" t="s">
        <v>718</v>
      </c>
      <c r="AG400" s="252">
        <f t="shared" si="31"/>
        <v>0</v>
      </c>
      <c r="AH400" s="252">
        <f t="shared" si="32"/>
        <v>0</v>
      </c>
      <c r="AI400" s="252">
        <f t="shared" si="33"/>
        <v>0</v>
      </c>
      <c r="AJ400" s="252">
        <f t="shared" si="34"/>
        <v>0</v>
      </c>
    </row>
    <row r="401" spans="1:36" x14ac:dyDescent="0.2">
      <c r="A401" s="253" t="str">
        <f t="shared" si="30"/>
        <v>SNCF10P7601ED50</v>
      </c>
      <c r="B401" s="252" t="s">
        <v>19</v>
      </c>
      <c r="C401" s="252" t="s">
        <v>20</v>
      </c>
      <c r="D401" s="252" t="s">
        <v>2543</v>
      </c>
      <c r="E401" s="252" t="s">
        <v>2531</v>
      </c>
      <c r="F401" s="252" t="s">
        <v>2549</v>
      </c>
      <c r="G401" s="252">
        <v>50</v>
      </c>
      <c r="H401" s="252" t="s">
        <v>928</v>
      </c>
      <c r="I401" s="252" t="s">
        <v>928</v>
      </c>
      <c r="J401" s="252" t="s">
        <v>928</v>
      </c>
      <c r="K401" s="252" t="s">
        <v>3236</v>
      </c>
      <c r="L401" s="252">
        <v>575.73</v>
      </c>
      <c r="M401" s="252">
        <v>0</v>
      </c>
      <c r="N401" s="252">
        <v>0</v>
      </c>
      <c r="O401" s="252">
        <v>0</v>
      </c>
      <c r="P401" s="252">
        <v>0</v>
      </c>
      <c r="Q401" s="252">
        <v>0</v>
      </c>
      <c r="R401" s="252">
        <v>0</v>
      </c>
      <c r="S401" s="252">
        <v>0</v>
      </c>
      <c r="T401" s="252">
        <v>0</v>
      </c>
      <c r="U401" s="252">
        <v>0</v>
      </c>
      <c r="V401" s="252">
        <v>0</v>
      </c>
      <c r="W401" s="252">
        <v>0</v>
      </c>
      <c r="X401" s="252">
        <v>0</v>
      </c>
      <c r="Y401" s="252">
        <v>388.09</v>
      </c>
      <c r="Z401" s="252">
        <v>0</v>
      </c>
      <c r="AA401" s="252">
        <v>0</v>
      </c>
      <c r="AB401" s="252">
        <v>187.64</v>
      </c>
      <c r="AC401" s="252">
        <v>0</v>
      </c>
      <c r="AD401" s="252">
        <v>0</v>
      </c>
      <c r="AE401" s="252" t="s">
        <v>20</v>
      </c>
      <c r="AF401" s="252" t="s">
        <v>718</v>
      </c>
      <c r="AG401" s="252">
        <f t="shared" si="31"/>
        <v>0</v>
      </c>
      <c r="AH401" s="252">
        <f t="shared" si="32"/>
        <v>0</v>
      </c>
      <c r="AI401" s="252">
        <f t="shared" si="33"/>
        <v>0</v>
      </c>
      <c r="AJ401" s="252">
        <f t="shared" si="34"/>
        <v>0</v>
      </c>
    </row>
    <row r="402" spans="1:36" x14ac:dyDescent="0.2">
      <c r="A402" s="253" t="str">
        <f t="shared" si="30"/>
        <v>2SNCF10P7601EK50</v>
      </c>
      <c r="B402" s="252" t="s">
        <v>19</v>
      </c>
      <c r="C402" s="252" t="s">
        <v>20</v>
      </c>
      <c r="D402" s="252" t="s">
        <v>2543</v>
      </c>
      <c r="E402" s="252" t="s">
        <v>2531</v>
      </c>
      <c r="F402" s="252" t="s">
        <v>2550</v>
      </c>
      <c r="G402" s="252">
        <v>50</v>
      </c>
      <c r="H402" s="252" t="s">
        <v>928</v>
      </c>
      <c r="I402" s="252" t="s">
        <v>2477</v>
      </c>
      <c r="J402" s="252" t="s">
        <v>928</v>
      </c>
      <c r="K402" s="252" t="s">
        <v>3236</v>
      </c>
      <c r="L402" s="252">
        <v>433.75</v>
      </c>
      <c r="M402" s="252">
        <v>0</v>
      </c>
      <c r="N402" s="252">
        <v>0</v>
      </c>
      <c r="O402" s="252">
        <v>0</v>
      </c>
      <c r="P402" s="252">
        <v>0</v>
      </c>
      <c r="Q402" s="252">
        <v>0</v>
      </c>
      <c r="R402" s="252">
        <v>0</v>
      </c>
      <c r="S402" s="252">
        <v>0</v>
      </c>
      <c r="T402" s="252">
        <v>0</v>
      </c>
      <c r="U402" s="252">
        <v>0</v>
      </c>
      <c r="V402" s="252">
        <v>0</v>
      </c>
      <c r="W402" s="252">
        <v>0</v>
      </c>
      <c r="X402" s="252">
        <v>0</v>
      </c>
      <c r="Y402" s="252">
        <v>306.08999999999997</v>
      </c>
      <c r="Z402" s="252">
        <v>0</v>
      </c>
      <c r="AA402" s="252">
        <v>0</v>
      </c>
      <c r="AB402" s="252">
        <v>127.66</v>
      </c>
      <c r="AC402" s="252">
        <v>0</v>
      </c>
      <c r="AD402" s="252">
        <v>0</v>
      </c>
      <c r="AE402" s="252" t="s">
        <v>20</v>
      </c>
      <c r="AF402" s="252" t="s">
        <v>718</v>
      </c>
      <c r="AG402" s="252">
        <f t="shared" si="31"/>
        <v>0</v>
      </c>
      <c r="AH402" s="252">
        <f t="shared" si="32"/>
        <v>0</v>
      </c>
      <c r="AI402" s="252">
        <f t="shared" si="33"/>
        <v>0</v>
      </c>
      <c r="AJ402" s="252">
        <f t="shared" si="34"/>
        <v>0</v>
      </c>
    </row>
    <row r="403" spans="1:36" x14ac:dyDescent="0.2">
      <c r="A403" s="253" t="str">
        <f t="shared" si="30"/>
        <v>SNCF10P7601EK50</v>
      </c>
      <c r="B403" s="252" t="s">
        <v>19</v>
      </c>
      <c r="C403" s="252" t="s">
        <v>20</v>
      </c>
      <c r="D403" s="252" t="s">
        <v>2543</v>
      </c>
      <c r="E403" s="252" t="s">
        <v>2531</v>
      </c>
      <c r="F403" s="252" t="s">
        <v>2550</v>
      </c>
      <c r="G403" s="252">
        <v>50</v>
      </c>
      <c r="H403" s="252" t="s">
        <v>928</v>
      </c>
      <c r="I403" s="252" t="s">
        <v>928</v>
      </c>
      <c r="J403" s="252" t="s">
        <v>928</v>
      </c>
      <c r="K403" s="252" t="s">
        <v>3236</v>
      </c>
      <c r="L403" s="252">
        <v>433.75</v>
      </c>
      <c r="M403" s="252">
        <v>0</v>
      </c>
      <c r="N403" s="252">
        <v>0</v>
      </c>
      <c r="O403" s="252">
        <v>0</v>
      </c>
      <c r="P403" s="252">
        <v>0</v>
      </c>
      <c r="Q403" s="252">
        <v>0</v>
      </c>
      <c r="R403" s="252">
        <v>0</v>
      </c>
      <c r="S403" s="252">
        <v>0</v>
      </c>
      <c r="T403" s="252">
        <v>0</v>
      </c>
      <c r="U403" s="252">
        <v>0</v>
      </c>
      <c r="V403" s="252">
        <v>0</v>
      </c>
      <c r="W403" s="252">
        <v>0</v>
      </c>
      <c r="X403" s="252">
        <v>0</v>
      </c>
      <c r="Y403" s="252">
        <v>306.08999999999997</v>
      </c>
      <c r="Z403" s="252">
        <v>0</v>
      </c>
      <c r="AA403" s="252">
        <v>0</v>
      </c>
      <c r="AB403" s="252">
        <v>127.66</v>
      </c>
      <c r="AC403" s="252">
        <v>0</v>
      </c>
      <c r="AD403" s="252">
        <v>0</v>
      </c>
      <c r="AE403" s="252" t="s">
        <v>20</v>
      </c>
      <c r="AF403" s="252" t="s">
        <v>718</v>
      </c>
      <c r="AG403" s="252">
        <f t="shared" si="31"/>
        <v>0</v>
      </c>
      <c r="AH403" s="252">
        <f t="shared" si="32"/>
        <v>0</v>
      </c>
      <c r="AI403" s="252">
        <f t="shared" si="33"/>
        <v>0</v>
      </c>
      <c r="AJ403" s="252">
        <f t="shared" si="34"/>
        <v>0</v>
      </c>
    </row>
    <row r="404" spans="1:36" x14ac:dyDescent="0.2">
      <c r="A404" s="253" t="str">
        <f t="shared" si="30"/>
        <v>2SNCF10P7601TA30</v>
      </c>
      <c r="B404" s="252" t="s">
        <v>19</v>
      </c>
      <c r="C404" s="252" t="s">
        <v>20</v>
      </c>
      <c r="D404" s="252" t="s">
        <v>2543</v>
      </c>
      <c r="E404" s="252" t="s">
        <v>2531</v>
      </c>
      <c r="F404" s="252" t="s">
        <v>2551</v>
      </c>
      <c r="G404" s="252">
        <v>30</v>
      </c>
      <c r="H404" s="252" t="s">
        <v>928</v>
      </c>
      <c r="I404" s="252" t="s">
        <v>2477</v>
      </c>
      <c r="J404" s="252" t="s">
        <v>928</v>
      </c>
      <c r="K404" s="252" t="s">
        <v>3236</v>
      </c>
      <c r="L404" s="252">
        <v>443.71</v>
      </c>
      <c r="M404" s="252">
        <v>0</v>
      </c>
      <c r="N404" s="252">
        <v>0</v>
      </c>
      <c r="O404" s="252">
        <v>0</v>
      </c>
      <c r="P404" s="252">
        <v>0</v>
      </c>
      <c r="Q404" s="252">
        <v>0</v>
      </c>
      <c r="R404" s="252">
        <v>0</v>
      </c>
      <c r="S404" s="252">
        <v>0</v>
      </c>
      <c r="T404" s="252">
        <v>0</v>
      </c>
      <c r="U404" s="252">
        <v>0</v>
      </c>
      <c r="V404" s="252">
        <v>0</v>
      </c>
      <c r="W404" s="252">
        <v>0</v>
      </c>
      <c r="X404" s="252">
        <v>0</v>
      </c>
      <c r="Y404" s="252">
        <v>310.83</v>
      </c>
      <c r="Z404" s="252">
        <v>0</v>
      </c>
      <c r="AA404" s="252">
        <v>0</v>
      </c>
      <c r="AB404" s="252">
        <v>132.88</v>
      </c>
      <c r="AC404" s="252">
        <v>0</v>
      </c>
      <c r="AD404" s="252">
        <v>0</v>
      </c>
      <c r="AE404" s="252" t="s">
        <v>20</v>
      </c>
      <c r="AF404" s="252" t="s">
        <v>718</v>
      </c>
      <c r="AG404" s="252">
        <f t="shared" si="31"/>
        <v>0</v>
      </c>
      <c r="AH404" s="252">
        <f t="shared" si="32"/>
        <v>0</v>
      </c>
      <c r="AI404" s="252">
        <f t="shared" si="33"/>
        <v>0</v>
      </c>
      <c r="AJ404" s="252">
        <f t="shared" si="34"/>
        <v>0</v>
      </c>
    </row>
    <row r="405" spans="1:36" x14ac:dyDescent="0.2">
      <c r="A405" s="253" t="str">
        <f t="shared" si="30"/>
        <v>SNCF10P7601TA30</v>
      </c>
      <c r="B405" s="252" t="s">
        <v>19</v>
      </c>
      <c r="C405" s="252" t="s">
        <v>20</v>
      </c>
      <c r="D405" s="252" t="s">
        <v>2543</v>
      </c>
      <c r="E405" s="252" t="s">
        <v>2531</v>
      </c>
      <c r="F405" s="252" t="s">
        <v>2551</v>
      </c>
      <c r="G405" s="252">
        <v>30</v>
      </c>
      <c r="H405" s="252" t="s">
        <v>928</v>
      </c>
      <c r="I405" s="252" t="s">
        <v>928</v>
      </c>
      <c r="J405" s="252" t="s">
        <v>928</v>
      </c>
      <c r="K405" s="252" t="s">
        <v>3236</v>
      </c>
      <c r="L405" s="252">
        <v>443.71</v>
      </c>
      <c r="M405" s="252">
        <v>0</v>
      </c>
      <c r="N405" s="252">
        <v>0</v>
      </c>
      <c r="O405" s="252">
        <v>0</v>
      </c>
      <c r="P405" s="252">
        <v>0</v>
      </c>
      <c r="Q405" s="252">
        <v>0</v>
      </c>
      <c r="R405" s="252">
        <v>0</v>
      </c>
      <c r="S405" s="252">
        <v>0</v>
      </c>
      <c r="T405" s="252">
        <v>0</v>
      </c>
      <c r="U405" s="252">
        <v>0</v>
      </c>
      <c r="V405" s="252">
        <v>0</v>
      </c>
      <c r="W405" s="252">
        <v>0</v>
      </c>
      <c r="X405" s="252">
        <v>0</v>
      </c>
      <c r="Y405" s="252">
        <v>310.83</v>
      </c>
      <c r="Z405" s="252">
        <v>0</v>
      </c>
      <c r="AA405" s="252">
        <v>0</v>
      </c>
      <c r="AB405" s="252">
        <v>132.88</v>
      </c>
      <c r="AC405" s="252">
        <v>0</v>
      </c>
      <c r="AD405" s="252">
        <v>0</v>
      </c>
      <c r="AE405" s="252" t="s">
        <v>20</v>
      </c>
      <c r="AF405" s="252" t="s">
        <v>718</v>
      </c>
      <c r="AG405" s="252">
        <f t="shared" si="31"/>
        <v>0</v>
      </c>
      <c r="AH405" s="252">
        <f t="shared" si="32"/>
        <v>0</v>
      </c>
      <c r="AI405" s="252">
        <f t="shared" si="33"/>
        <v>0</v>
      </c>
      <c r="AJ405" s="252">
        <f t="shared" si="34"/>
        <v>0</v>
      </c>
    </row>
    <row r="406" spans="1:36" x14ac:dyDescent="0.2">
      <c r="A406" s="253" t="str">
        <f t="shared" si="30"/>
        <v>2SNCF10P7603B30</v>
      </c>
      <c r="B406" s="252" t="s">
        <v>19</v>
      </c>
      <c r="C406" s="252" t="s">
        <v>20</v>
      </c>
      <c r="D406" s="252" t="s">
        <v>2543</v>
      </c>
      <c r="E406" s="252" t="s">
        <v>2531</v>
      </c>
      <c r="F406" s="252" t="s">
        <v>2552</v>
      </c>
      <c r="G406" s="252">
        <v>30</v>
      </c>
      <c r="H406" s="252" t="s">
        <v>928</v>
      </c>
      <c r="I406" s="252" t="s">
        <v>2477</v>
      </c>
      <c r="J406" s="252" t="s">
        <v>928</v>
      </c>
      <c r="K406" s="252" t="s">
        <v>3236</v>
      </c>
      <c r="L406" s="252">
        <v>885.59</v>
      </c>
      <c r="M406" s="252">
        <v>0</v>
      </c>
      <c r="N406" s="252">
        <v>0</v>
      </c>
      <c r="O406" s="252">
        <v>0</v>
      </c>
      <c r="P406" s="252">
        <v>0</v>
      </c>
      <c r="Q406" s="252">
        <v>0</v>
      </c>
      <c r="R406" s="252">
        <v>0</v>
      </c>
      <c r="S406" s="252">
        <v>0</v>
      </c>
      <c r="T406" s="252">
        <v>0</v>
      </c>
      <c r="U406" s="252">
        <v>0</v>
      </c>
      <c r="V406" s="252">
        <v>0</v>
      </c>
      <c r="W406" s="252">
        <v>0</v>
      </c>
      <c r="X406" s="252">
        <v>0</v>
      </c>
      <c r="Y406" s="252">
        <v>656.62</v>
      </c>
      <c r="Z406" s="252">
        <v>0</v>
      </c>
      <c r="AA406" s="252">
        <v>0</v>
      </c>
      <c r="AB406" s="252">
        <v>228.97</v>
      </c>
      <c r="AC406" s="252">
        <v>0</v>
      </c>
      <c r="AD406" s="252">
        <v>0</v>
      </c>
      <c r="AE406" s="252" t="s">
        <v>20</v>
      </c>
      <c r="AF406" s="252" t="s">
        <v>718</v>
      </c>
      <c r="AG406" s="252">
        <f t="shared" si="31"/>
        <v>0</v>
      </c>
      <c r="AH406" s="252">
        <f t="shared" si="32"/>
        <v>0</v>
      </c>
      <c r="AI406" s="252">
        <f t="shared" si="33"/>
        <v>0</v>
      </c>
      <c r="AJ406" s="252">
        <f t="shared" si="34"/>
        <v>0</v>
      </c>
    </row>
    <row r="407" spans="1:36" x14ac:dyDescent="0.2">
      <c r="A407" s="253" t="str">
        <f t="shared" si="30"/>
        <v>SNCF10P7603B30</v>
      </c>
      <c r="B407" s="252" t="s">
        <v>19</v>
      </c>
      <c r="C407" s="252" t="s">
        <v>20</v>
      </c>
      <c r="D407" s="252" t="s">
        <v>2543</v>
      </c>
      <c r="E407" s="252" t="s">
        <v>2531</v>
      </c>
      <c r="F407" s="252" t="s">
        <v>2552</v>
      </c>
      <c r="G407" s="252">
        <v>30</v>
      </c>
      <c r="H407" s="252" t="s">
        <v>928</v>
      </c>
      <c r="I407" s="252" t="s">
        <v>928</v>
      </c>
      <c r="J407" s="252" t="s">
        <v>928</v>
      </c>
      <c r="K407" s="252" t="s">
        <v>3236</v>
      </c>
      <c r="L407" s="252">
        <v>885.59</v>
      </c>
      <c r="M407" s="252">
        <v>0</v>
      </c>
      <c r="N407" s="252">
        <v>0</v>
      </c>
      <c r="O407" s="252">
        <v>0</v>
      </c>
      <c r="P407" s="252">
        <v>0</v>
      </c>
      <c r="Q407" s="252">
        <v>0</v>
      </c>
      <c r="R407" s="252">
        <v>0</v>
      </c>
      <c r="S407" s="252">
        <v>0</v>
      </c>
      <c r="T407" s="252">
        <v>0</v>
      </c>
      <c r="U407" s="252">
        <v>0</v>
      </c>
      <c r="V407" s="252">
        <v>0</v>
      </c>
      <c r="W407" s="252">
        <v>0</v>
      </c>
      <c r="X407" s="252">
        <v>0</v>
      </c>
      <c r="Y407" s="252">
        <v>656.62</v>
      </c>
      <c r="Z407" s="252">
        <v>0</v>
      </c>
      <c r="AA407" s="252">
        <v>0</v>
      </c>
      <c r="AB407" s="252">
        <v>228.97</v>
      </c>
      <c r="AC407" s="252">
        <v>0</v>
      </c>
      <c r="AD407" s="252">
        <v>0</v>
      </c>
      <c r="AE407" s="252" t="s">
        <v>20</v>
      </c>
      <c r="AF407" s="252" t="s">
        <v>718</v>
      </c>
      <c r="AG407" s="252">
        <f t="shared" si="31"/>
        <v>0</v>
      </c>
      <c r="AH407" s="252">
        <f t="shared" si="32"/>
        <v>0</v>
      </c>
      <c r="AI407" s="252">
        <f t="shared" si="33"/>
        <v>0</v>
      </c>
      <c r="AJ407" s="252">
        <f t="shared" si="34"/>
        <v>0</v>
      </c>
    </row>
    <row r="408" spans="1:36" x14ac:dyDescent="0.2">
      <c r="A408" s="253" t="str">
        <f t="shared" si="30"/>
        <v>2SNCF10P7603B40</v>
      </c>
      <c r="B408" s="252" t="s">
        <v>19</v>
      </c>
      <c r="C408" s="252" t="s">
        <v>20</v>
      </c>
      <c r="D408" s="252" t="s">
        <v>2543</v>
      </c>
      <c r="E408" s="252" t="s">
        <v>2531</v>
      </c>
      <c r="F408" s="252" t="s">
        <v>2552</v>
      </c>
      <c r="G408" s="252">
        <v>40</v>
      </c>
      <c r="H408" s="252" t="s">
        <v>928</v>
      </c>
      <c r="I408" s="252" t="s">
        <v>2477</v>
      </c>
      <c r="J408" s="252" t="s">
        <v>928</v>
      </c>
      <c r="K408" s="252" t="s">
        <v>3236</v>
      </c>
      <c r="L408" s="252">
        <v>1174.1600000000001</v>
      </c>
      <c r="M408" s="252">
        <v>0</v>
      </c>
      <c r="N408" s="252">
        <v>0</v>
      </c>
      <c r="O408" s="252">
        <v>0</v>
      </c>
      <c r="P408" s="252">
        <v>0</v>
      </c>
      <c r="Q408" s="252">
        <v>0</v>
      </c>
      <c r="R408" s="252">
        <v>0</v>
      </c>
      <c r="S408" s="252">
        <v>0</v>
      </c>
      <c r="T408" s="252">
        <v>0</v>
      </c>
      <c r="U408" s="252">
        <v>0</v>
      </c>
      <c r="V408" s="252">
        <v>0</v>
      </c>
      <c r="W408" s="252">
        <v>0</v>
      </c>
      <c r="X408" s="252">
        <v>0</v>
      </c>
      <c r="Y408" s="252">
        <v>850.62</v>
      </c>
      <c r="Z408" s="252">
        <v>0</v>
      </c>
      <c r="AA408" s="252">
        <v>0</v>
      </c>
      <c r="AB408" s="252">
        <v>323.54000000000002</v>
      </c>
      <c r="AC408" s="252">
        <v>0</v>
      </c>
      <c r="AD408" s="252">
        <v>0</v>
      </c>
      <c r="AE408" s="252" t="s">
        <v>20</v>
      </c>
      <c r="AF408" s="252" t="s">
        <v>718</v>
      </c>
      <c r="AG408" s="252">
        <f t="shared" si="31"/>
        <v>0</v>
      </c>
      <c r="AH408" s="252">
        <f t="shared" si="32"/>
        <v>0</v>
      </c>
      <c r="AI408" s="252">
        <f t="shared" si="33"/>
        <v>0</v>
      </c>
      <c r="AJ408" s="252">
        <f t="shared" si="34"/>
        <v>0</v>
      </c>
    </row>
    <row r="409" spans="1:36" x14ac:dyDescent="0.2">
      <c r="A409" s="253" t="str">
        <f t="shared" si="30"/>
        <v>SNCF10P7603B40</v>
      </c>
      <c r="B409" s="252" t="s">
        <v>19</v>
      </c>
      <c r="C409" s="252" t="s">
        <v>20</v>
      </c>
      <c r="D409" s="252" t="s">
        <v>2543</v>
      </c>
      <c r="E409" s="252" t="s">
        <v>2531</v>
      </c>
      <c r="F409" s="252" t="s">
        <v>2552</v>
      </c>
      <c r="G409" s="252">
        <v>40</v>
      </c>
      <c r="H409" s="252" t="s">
        <v>928</v>
      </c>
      <c r="I409" s="252" t="s">
        <v>928</v>
      </c>
      <c r="J409" s="252" t="s">
        <v>928</v>
      </c>
      <c r="K409" s="252" t="s">
        <v>3236</v>
      </c>
      <c r="L409" s="252">
        <v>1174.1600000000001</v>
      </c>
      <c r="M409" s="252">
        <v>0</v>
      </c>
      <c r="N409" s="252">
        <v>0</v>
      </c>
      <c r="O409" s="252">
        <v>0</v>
      </c>
      <c r="P409" s="252">
        <v>0</v>
      </c>
      <c r="Q409" s="252">
        <v>0</v>
      </c>
      <c r="R409" s="252">
        <v>0</v>
      </c>
      <c r="S409" s="252">
        <v>0</v>
      </c>
      <c r="T409" s="252">
        <v>0</v>
      </c>
      <c r="U409" s="252">
        <v>0</v>
      </c>
      <c r="V409" s="252">
        <v>0</v>
      </c>
      <c r="W409" s="252">
        <v>0</v>
      </c>
      <c r="X409" s="252">
        <v>0</v>
      </c>
      <c r="Y409" s="252">
        <v>850.62</v>
      </c>
      <c r="Z409" s="252">
        <v>0</v>
      </c>
      <c r="AA409" s="252">
        <v>0</v>
      </c>
      <c r="AB409" s="252">
        <v>323.54000000000002</v>
      </c>
      <c r="AC409" s="252">
        <v>0</v>
      </c>
      <c r="AD409" s="252">
        <v>0</v>
      </c>
      <c r="AE409" s="252" t="s">
        <v>20</v>
      </c>
      <c r="AF409" s="252" t="s">
        <v>718</v>
      </c>
      <c r="AG409" s="252">
        <f t="shared" si="31"/>
        <v>0</v>
      </c>
      <c r="AH409" s="252">
        <f t="shared" si="32"/>
        <v>0</v>
      </c>
      <c r="AI409" s="252">
        <f t="shared" si="33"/>
        <v>0</v>
      </c>
      <c r="AJ409" s="252">
        <f t="shared" si="34"/>
        <v>0</v>
      </c>
    </row>
    <row r="410" spans="1:36" x14ac:dyDescent="0.2">
      <c r="A410" s="253" t="str">
        <f t="shared" si="30"/>
        <v>2SNCF10P7603C30</v>
      </c>
      <c r="B410" s="252" t="s">
        <v>19</v>
      </c>
      <c r="C410" s="252" t="s">
        <v>20</v>
      </c>
      <c r="D410" s="252" t="s">
        <v>2543</v>
      </c>
      <c r="E410" s="252" t="s">
        <v>2531</v>
      </c>
      <c r="F410" s="252" t="s">
        <v>2553</v>
      </c>
      <c r="G410" s="252">
        <v>30</v>
      </c>
      <c r="H410" s="252" t="s">
        <v>928</v>
      </c>
      <c r="I410" s="252" t="s">
        <v>2477</v>
      </c>
      <c r="J410" s="252" t="s">
        <v>928</v>
      </c>
      <c r="K410" s="252" t="s">
        <v>3236</v>
      </c>
      <c r="L410" s="252">
        <v>538.61</v>
      </c>
      <c r="M410" s="252">
        <v>0</v>
      </c>
      <c r="N410" s="252">
        <v>0</v>
      </c>
      <c r="O410" s="252">
        <v>0</v>
      </c>
      <c r="P410" s="252">
        <v>0</v>
      </c>
      <c r="Q410" s="252">
        <v>0</v>
      </c>
      <c r="R410" s="252">
        <v>0</v>
      </c>
      <c r="S410" s="252">
        <v>0</v>
      </c>
      <c r="T410" s="252">
        <v>0</v>
      </c>
      <c r="U410" s="252">
        <v>0</v>
      </c>
      <c r="V410" s="252">
        <v>0</v>
      </c>
      <c r="W410" s="252">
        <v>0</v>
      </c>
      <c r="X410" s="252">
        <v>0</v>
      </c>
      <c r="Y410" s="252">
        <v>413.61</v>
      </c>
      <c r="Z410" s="252">
        <v>0</v>
      </c>
      <c r="AA410" s="252">
        <v>0</v>
      </c>
      <c r="AB410" s="252">
        <v>125.01</v>
      </c>
      <c r="AC410" s="252">
        <v>0</v>
      </c>
      <c r="AD410" s="252">
        <v>0</v>
      </c>
      <c r="AE410" s="252" t="s">
        <v>20</v>
      </c>
      <c r="AF410" s="252" t="s">
        <v>718</v>
      </c>
      <c r="AG410" s="252">
        <f t="shared" si="31"/>
        <v>0</v>
      </c>
      <c r="AH410" s="252">
        <f t="shared" si="32"/>
        <v>0</v>
      </c>
      <c r="AI410" s="252">
        <f t="shared" si="33"/>
        <v>0</v>
      </c>
      <c r="AJ410" s="252">
        <f t="shared" si="34"/>
        <v>0</v>
      </c>
    </row>
    <row r="411" spans="1:36" x14ac:dyDescent="0.2">
      <c r="A411" s="253" t="str">
        <f t="shared" si="30"/>
        <v>SNCF10P7603C30</v>
      </c>
      <c r="B411" s="252" t="s">
        <v>19</v>
      </c>
      <c r="C411" s="252" t="s">
        <v>20</v>
      </c>
      <c r="D411" s="252" t="s">
        <v>2543</v>
      </c>
      <c r="E411" s="252" t="s">
        <v>2531</v>
      </c>
      <c r="F411" s="252" t="s">
        <v>2553</v>
      </c>
      <c r="G411" s="252">
        <v>30</v>
      </c>
      <c r="H411" s="252" t="s">
        <v>928</v>
      </c>
      <c r="I411" s="252" t="s">
        <v>928</v>
      </c>
      <c r="J411" s="252" t="s">
        <v>928</v>
      </c>
      <c r="K411" s="252" t="s">
        <v>3236</v>
      </c>
      <c r="L411" s="252">
        <v>538.61</v>
      </c>
      <c r="M411" s="252">
        <v>0</v>
      </c>
      <c r="N411" s="252">
        <v>0</v>
      </c>
      <c r="O411" s="252">
        <v>0</v>
      </c>
      <c r="P411" s="252">
        <v>0</v>
      </c>
      <c r="Q411" s="252">
        <v>0</v>
      </c>
      <c r="R411" s="252">
        <v>0</v>
      </c>
      <c r="S411" s="252">
        <v>0</v>
      </c>
      <c r="T411" s="252">
        <v>0</v>
      </c>
      <c r="U411" s="252">
        <v>0</v>
      </c>
      <c r="V411" s="252">
        <v>0</v>
      </c>
      <c r="W411" s="252">
        <v>0</v>
      </c>
      <c r="X411" s="252">
        <v>0</v>
      </c>
      <c r="Y411" s="252">
        <v>413.61</v>
      </c>
      <c r="Z411" s="252">
        <v>0</v>
      </c>
      <c r="AA411" s="252">
        <v>0</v>
      </c>
      <c r="AB411" s="252">
        <v>125.01</v>
      </c>
      <c r="AC411" s="252">
        <v>0</v>
      </c>
      <c r="AD411" s="252">
        <v>0</v>
      </c>
      <c r="AE411" s="252" t="s">
        <v>20</v>
      </c>
      <c r="AF411" s="252" t="s">
        <v>718</v>
      </c>
      <c r="AG411" s="252">
        <f t="shared" si="31"/>
        <v>0</v>
      </c>
      <c r="AH411" s="252">
        <f t="shared" si="32"/>
        <v>0</v>
      </c>
      <c r="AI411" s="252">
        <f t="shared" si="33"/>
        <v>0</v>
      </c>
      <c r="AJ411" s="252">
        <f t="shared" si="34"/>
        <v>0</v>
      </c>
    </row>
    <row r="412" spans="1:36" x14ac:dyDescent="0.2">
      <c r="A412" s="253" t="str">
        <f t="shared" si="30"/>
        <v>2SNCF10P7603MS30</v>
      </c>
      <c r="B412" s="252" t="s">
        <v>19</v>
      </c>
      <c r="C412" s="252" t="s">
        <v>20</v>
      </c>
      <c r="D412" s="252" t="s">
        <v>2543</v>
      </c>
      <c r="E412" s="252" t="s">
        <v>2531</v>
      </c>
      <c r="F412" s="252" t="s">
        <v>2554</v>
      </c>
      <c r="G412" s="252">
        <v>30</v>
      </c>
      <c r="H412" s="252" t="s">
        <v>928</v>
      </c>
      <c r="I412" s="252" t="s">
        <v>2477</v>
      </c>
      <c r="J412" s="252" t="s">
        <v>928</v>
      </c>
      <c r="K412" s="252" t="s">
        <v>3236</v>
      </c>
      <c r="L412" s="252">
        <v>756.46</v>
      </c>
      <c r="M412" s="252">
        <v>0</v>
      </c>
      <c r="N412" s="252">
        <v>0</v>
      </c>
      <c r="O412" s="252">
        <v>0</v>
      </c>
      <c r="P412" s="252">
        <v>0</v>
      </c>
      <c r="Q412" s="252">
        <v>0</v>
      </c>
      <c r="R412" s="252">
        <v>0</v>
      </c>
      <c r="S412" s="252">
        <v>0</v>
      </c>
      <c r="T412" s="252">
        <v>0</v>
      </c>
      <c r="U412" s="252">
        <v>0</v>
      </c>
      <c r="V412" s="252">
        <v>0</v>
      </c>
      <c r="W412" s="252">
        <v>0</v>
      </c>
      <c r="X412" s="252">
        <v>0</v>
      </c>
      <c r="Y412" s="252">
        <v>568.71</v>
      </c>
      <c r="Z412" s="252">
        <v>0</v>
      </c>
      <c r="AA412" s="252">
        <v>0</v>
      </c>
      <c r="AB412" s="252">
        <v>187.74</v>
      </c>
      <c r="AC412" s="252">
        <v>0</v>
      </c>
      <c r="AD412" s="252">
        <v>0</v>
      </c>
      <c r="AE412" s="252" t="s">
        <v>20</v>
      </c>
      <c r="AF412" s="252" t="s">
        <v>718</v>
      </c>
      <c r="AG412" s="252">
        <f t="shared" si="31"/>
        <v>0</v>
      </c>
      <c r="AH412" s="252">
        <f t="shared" si="32"/>
        <v>0</v>
      </c>
      <c r="AI412" s="252">
        <f t="shared" si="33"/>
        <v>0</v>
      </c>
      <c r="AJ412" s="252">
        <f t="shared" si="34"/>
        <v>0</v>
      </c>
    </row>
    <row r="413" spans="1:36" x14ac:dyDescent="0.2">
      <c r="A413" s="253" t="str">
        <f t="shared" si="30"/>
        <v>SNCF10P7603MS30</v>
      </c>
      <c r="B413" s="252" t="s">
        <v>19</v>
      </c>
      <c r="C413" s="252" t="s">
        <v>20</v>
      </c>
      <c r="D413" s="252" t="s">
        <v>2543</v>
      </c>
      <c r="E413" s="252" t="s">
        <v>2531</v>
      </c>
      <c r="F413" s="252" t="s">
        <v>2554</v>
      </c>
      <c r="G413" s="252">
        <v>30</v>
      </c>
      <c r="H413" s="252" t="s">
        <v>928</v>
      </c>
      <c r="I413" s="252" t="s">
        <v>928</v>
      </c>
      <c r="J413" s="252" t="s">
        <v>928</v>
      </c>
      <c r="K413" s="252" t="s">
        <v>3236</v>
      </c>
      <c r="L413" s="252">
        <v>756.46</v>
      </c>
      <c r="M413" s="252">
        <v>0</v>
      </c>
      <c r="N413" s="252">
        <v>0</v>
      </c>
      <c r="O413" s="252">
        <v>0</v>
      </c>
      <c r="P413" s="252">
        <v>0</v>
      </c>
      <c r="Q413" s="252">
        <v>0</v>
      </c>
      <c r="R413" s="252">
        <v>0</v>
      </c>
      <c r="S413" s="252">
        <v>0</v>
      </c>
      <c r="T413" s="252">
        <v>0</v>
      </c>
      <c r="U413" s="252">
        <v>0</v>
      </c>
      <c r="V413" s="252">
        <v>0</v>
      </c>
      <c r="W413" s="252">
        <v>0</v>
      </c>
      <c r="X413" s="252">
        <v>0</v>
      </c>
      <c r="Y413" s="252">
        <v>568.71</v>
      </c>
      <c r="Z413" s="252">
        <v>0</v>
      </c>
      <c r="AA413" s="252">
        <v>0</v>
      </c>
      <c r="AB413" s="252">
        <v>187.74</v>
      </c>
      <c r="AC413" s="252">
        <v>0</v>
      </c>
      <c r="AD413" s="252">
        <v>0</v>
      </c>
      <c r="AE413" s="252" t="s">
        <v>720</v>
      </c>
      <c r="AF413" s="252" t="s">
        <v>721</v>
      </c>
      <c r="AG413" s="252">
        <f t="shared" si="31"/>
        <v>0</v>
      </c>
      <c r="AH413" s="252">
        <f t="shared" si="32"/>
        <v>0</v>
      </c>
      <c r="AI413" s="252">
        <f t="shared" si="33"/>
        <v>0</v>
      </c>
      <c r="AJ413" s="252">
        <f t="shared" si="34"/>
        <v>0</v>
      </c>
    </row>
    <row r="414" spans="1:36" x14ac:dyDescent="0.2">
      <c r="A414" s="253" t="str">
        <f t="shared" si="30"/>
        <v>2SNCF10P761HF450</v>
      </c>
      <c r="B414" s="252" t="s">
        <v>19</v>
      </c>
      <c r="C414" s="252" t="s">
        <v>20</v>
      </c>
      <c r="D414" s="252" t="s">
        <v>2543</v>
      </c>
      <c r="E414" s="252" t="s">
        <v>2531</v>
      </c>
      <c r="F414" s="252" t="s">
        <v>2555</v>
      </c>
      <c r="G414" s="252">
        <v>50</v>
      </c>
      <c r="H414" s="252" t="s">
        <v>928</v>
      </c>
      <c r="I414" s="252" t="s">
        <v>2477</v>
      </c>
      <c r="J414" s="252" t="s">
        <v>928</v>
      </c>
      <c r="K414" s="252" t="s">
        <v>3236</v>
      </c>
      <c r="L414" s="252">
        <v>668.43</v>
      </c>
      <c r="M414" s="252">
        <v>0</v>
      </c>
      <c r="N414" s="252">
        <v>0</v>
      </c>
      <c r="O414" s="252">
        <v>0</v>
      </c>
      <c r="P414" s="252">
        <v>0</v>
      </c>
      <c r="Q414" s="252">
        <v>0</v>
      </c>
      <c r="R414" s="252">
        <v>0</v>
      </c>
      <c r="S414" s="252">
        <v>0</v>
      </c>
      <c r="T414" s="252">
        <v>0</v>
      </c>
      <c r="U414" s="252">
        <v>0</v>
      </c>
      <c r="V414" s="252">
        <v>0</v>
      </c>
      <c r="W414" s="252">
        <v>0</v>
      </c>
      <c r="X414" s="252">
        <v>0</v>
      </c>
      <c r="Y414" s="252">
        <v>500.37</v>
      </c>
      <c r="Z414" s="252">
        <v>0</v>
      </c>
      <c r="AA414" s="252">
        <v>0</v>
      </c>
      <c r="AB414" s="252">
        <v>168.06</v>
      </c>
      <c r="AC414" s="252">
        <v>0</v>
      </c>
      <c r="AD414" s="252">
        <v>0</v>
      </c>
      <c r="AE414" s="252" t="s">
        <v>720</v>
      </c>
      <c r="AF414" s="252" t="s">
        <v>721</v>
      </c>
      <c r="AG414" s="252">
        <f t="shared" si="31"/>
        <v>0</v>
      </c>
      <c r="AH414" s="252">
        <f t="shared" si="32"/>
        <v>0</v>
      </c>
      <c r="AI414" s="252">
        <f t="shared" si="33"/>
        <v>0</v>
      </c>
      <c r="AJ414" s="252">
        <f t="shared" si="34"/>
        <v>0</v>
      </c>
    </row>
    <row r="415" spans="1:36" x14ac:dyDescent="0.2">
      <c r="A415" s="253" t="str">
        <f t="shared" si="30"/>
        <v>SNCF10P761HF450</v>
      </c>
      <c r="B415" s="252" t="s">
        <v>19</v>
      </c>
      <c r="C415" s="252" t="s">
        <v>20</v>
      </c>
      <c r="D415" s="252" t="s">
        <v>2543</v>
      </c>
      <c r="E415" s="252" t="s">
        <v>2531</v>
      </c>
      <c r="F415" s="252" t="s">
        <v>2555</v>
      </c>
      <c r="G415" s="252">
        <v>50</v>
      </c>
      <c r="H415" s="252" t="s">
        <v>928</v>
      </c>
      <c r="I415" s="252" t="s">
        <v>928</v>
      </c>
      <c r="J415" s="252" t="s">
        <v>928</v>
      </c>
      <c r="K415" s="252" t="s">
        <v>3236</v>
      </c>
      <c r="L415" s="252">
        <v>668.43</v>
      </c>
      <c r="M415" s="252">
        <v>0</v>
      </c>
      <c r="N415" s="252">
        <v>0</v>
      </c>
      <c r="O415" s="252">
        <v>0</v>
      </c>
      <c r="P415" s="252">
        <v>0</v>
      </c>
      <c r="Q415" s="252">
        <v>0</v>
      </c>
      <c r="R415" s="252">
        <v>0</v>
      </c>
      <c r="S415" s="252">
        <v>0</v>
      </c>
      <c r="T415" s="252">
        <v>0</v>
      </c>
      <c r="U415" s="252">
        <v>0</v>
      </c>
      <c r="V415" s="252">
        <v>0</v>
      </c>
      <c r="W415" s="252">
        <v>0</v>
      </c>
      <c r="X415" s="252">
        <v>0</v>
      </c>
      <c r="Y415" s="252">
        <v>500.37</v>
      </c>
      <c r="Z415" s="252">
        <v>0</v>
      </c>
      <c r="AA415" s="252">
        <v>0</v>
      </c>
      <c r="AB415" s="252">
        <v>168.06</v>
      </c>
      <c r="AC415" s="252">
        <v>0</v>
      </c>
      <c r="AD415" s="252">
        <v>0</v>
      </c>
      <c r="AE415" s="252" t="s">
        <v>720</v>
      </c>
      <c r="AF415" s="252" t="s">
        <v>721</v>
      </c>
      <c r="AG415" s="252">
        <f t="shared" si="31"/>
        <v>0</v>
      </c>
      <c r="AH415" s="252">
        <f t="shared" si="32"/>
        <v>0</v>
      </c>
      <c r="AI415" s="252">
        <f t="shared" si="33"/>
        <v>0</v>
      </c>
      <c r="AJ415" s="252">
        <f t="shared" si="34"/>
        <v>0</v>
      </c>
    </row>
    <row r="416" spans="1:36" x14ac:dyDescent="0.2">
      <c r="A416" s="253" t="str">
        <f t="shared" si="30"/>
        <v>2SNCF10PGR0150</v>
      </c>
      <c r="B416" s="252" t="s">
        <v>19</v>
      </c>
      <c r="C416" s="252" t="s">
        <v>20</v>
      </c>
      <c r="D416" s="252" t="s">
        <v>2543</v>
      </c>
      <c r="E416" s="252" t="s">
        <v>2531</v>
      </c>
      <c r="F416" s="252" t="s">
        <v>2556</v>
      </c>
      <c r="G416" s="252">
        <v>50</v>
      </c>
      <c r="H416" s="252" t="s">
        <v>928</v>
      </c>
      <c r="I416" s="252" t="s">
        <v>2477</v>
      </c>
      <c r="J416" s="252" t="s">
        <v>928</v>
      </c>
      <c r="K416" s="252" t="s">
        <v>3236</v>
      </c>
      <c r="L416" s="252">
        <v>613.66</v>
      </c>
      <c r="M416" s="252">
        <v>0</v>
      </c>
      <c r="N416" s="252">
        <v>0</v>
      </c>
      <c r="O416" s="252">
        <v>0</v>
      </c>
      <c r="P416" s="252">
        <v>0</v>
      </c>
      <c r="Q416" s="252">
        <v>0</v>
      </c>
      <c r="R416" s="252">
        <v>0</v>
      </c>
      <c r="S416" s="252">
        <v>0</v>
      </c>
      <c r="T416" s="252">
        <v>0</v>
      </c>
      <c r="U416" s="252">
        <v>0</v>
      </c>
      <c r="V416" s="252">
        <v>0</v>
      </c>
      <c r="W416" s="252">
        <v>0</v>
      </c>
      <c r="X416" s="252">
        <v>0</v>
      </c>
      <c r="Y416" s="252">
        <v>449.76</v>
      </c>
      <c r="Z416" s="252">
        <v>0</v>
      </c>
      <c r="AA416" s="252">
        <v>0</v>
      </c>
      <c r="AB416" s="252">
        <v>163.89</v>
      </c>
      <c r="AC416" s="252">
        <v>0</v>
      </c>
      <c r="AD416" s="252">
        <v>0</v>
      </c>
      <c r="AE416" s="252" t="s">
        <v>720</v>
      </c>
      <c r="AF416" s="252" t="s">
        <v>721</v>
      </c>
      <c r="AG416" s="252">
        <f t="shared" si="31"/>
        <v>0</v>
      </c>
      <c r="AH416" s="252">
        <f t="shared" si="32"/>
        <v>0</v>
      </c>
      <c r="AI416" s="252">
        <f t="shared" si="33"/>
        <v>0</v>
      </c>
      <c r="AJ416" s="252">
        <f t="shared" si="34"/>
        <v>0</v>
      </c>
    </row>
    <row r="417" spans="1:36" x14ac:dyDescent="0.2">
      <c r="A417" s="253" t="str">
        <f t="shared" si="30"/>
        <v>SNCF10PGR0150</v>
      </c>
      <c r="B417" s="252" t="s">
        <v>19</v>
      </c>
      <c r="C417" s="252" t="s">
        <v>20</v>
      </c>
      <c r="D417" s="252" t="s">
        <v>2543</v>
      </c>
      <c r="E417" s="252" t="s">
        <v>2531</v>
      </c>
      <c r="F417" s="252" t="s">
        <v>2556</v>
      </c>
      <c r="G417" s="252">
        <v>50</v>
      </c>
      <c r="H417" s="252" t="s">
        <v>928</v>
      </c>
      <c r="I417" s="252" t="s">
        <v>928</v>
      </c>
      <c r="J417" s="252" t="s">
        <v>928</v>
      </c>
      <c r="K417" s="252" t="s">
        <v>3236</v>
      </c>
      <c r="L417" s="252">
        <v>613.66</v>
      </c>
      <c r="M417" s="252">
        <v>0</v>
      </c>
      <c r="N417" s="252">
        <v>0</v>
      </c>
      <c r="O417" s="252">
        <v>0</v>
      </c>
      <c r="P417" s="252">
        <v>0</v>
      </c>
      <c r="Q417" s="252">
        <v>0</v>
      </c>
      <c r="R417" s="252">
        <v>0</v>
      </c>
      <c r="S417" s="252">
        <v>0</v>
      </c>
      <c r="T417" s="252">
        <v>0</v>
      </c>
      <c r="U417" s="252">
        <v>0</v>
      </c>
      <c r="V417" s="252">
        <v>0</v>
      </c>
      <c r="W417" s="252">
        <v>0</v>
      </c>
      <c r="X417" s="252">
        <v>0</v>
      </c>
      <c r="Y417" s="252">
        <v>449.76</v>
      </c>
      <c r="Z417" s="252">
        <v>0</v>
      </c>
      <c r="AA417" s="252">
        <v>0</v>
      </c>
      <c r="AB417" s="252">
        <v>163.89</v>
      </c>
      <c r="AC417" s="252">
        <v>0</v>
      </c>
      <c r="AD417" s="252">
        <v>0</v>
      </c>
      <c r="AE417" s="252" t="s">
        <v>720</v>
      </c>
      <c r="AF417" s="252" t="s">
        <v>721</v>
      </c>
      <c r="AG417" s="252">
        <f t="shared" si="31"/>
        <v>0</v>
      </c>
      <c r="AH417" s="252">
        <f t="shared" si="32"/>
        <v>0</v>
      </c>
      <c r="AI417" s="252">
        <f t="shared" si="33"/>
        <v>0</v>
      </c>
      <c r="AJ417" s="252">
        <f t="shared" si="34"/>
        <v>0</v>
      </c>
    </row>
    <row r="418" spans="1:36" x14ac:dyDescent="0.2">
      <c r="A418" s="253" t="str">
        <f t="shared" si="30"/>
        <v>2SNCF10PGR0230</v>
      </c>
      <c r="B418" s="252" t="s">
        <v>19</v>
      </c>
      <c r="C418" s="252" t="s">
        <v>20</v>
      </c>
      <c r="D418" s="252" t="s">
        <v>2543</v>
      </c>
      <c r="E418" s="252" t="s">
        <v>2531</v>
      </c>
      <c r="F418" s="252" t="s">
        <v>2557</v>
      </c>
      <c r="G418" s="252">
        <v>30</v>
      </c>
      <c r="H418" s="252" t="s">
        <v>928</v>
      </c>
      <c r="I418" s="252" t="s">
        <v>2477</v>
      </c>
      <c r="J418" s="252" t="s">
        <v>928</v>
      </c>
      <c r="K418" s="252" t="s">
        <v>3236</v>
      </c>
      <c r="L418" s="252">
        <v>516.86</v>
      </c>
      <c r="M418" s="252">
        <v>0</v>
      </c>
      <c r="N418" s="252">
        <v>0</v>
      </c>
      <c r="O418" s="252">
        <v>0</v>
      </c>
      <c r="P418" s="252">
        <v>0</v>
      </c>
      <c r="Q418" s="252">
        <v>0</v>
      </c>
      <c r="R418" s="252">
        <v>0</v>
      </c>
      <c r="S418" s="252">
        <v>0</v>
      </c>
      <c r="T418" s="252">
        <v>0</v>
      </c>
      <c r="U418" s="252">
        <v>0</v>
      </c>
      <c r="V418" s="252">
        <v>0</v>
      </c>
      <c r="W418" s="252">
        <v>0</v>
      </c>
      <c r="X418" s="252">
        <v>0</v>
      </c>
      <c r="Y418" s="252">
        <v>357.03</v>
      </c>
      <c r="Z418" s="252">
        <v>0</v>
      </c>
      <c r="AA418" s="252">
        <v>0</v>
      </c>
      <c r="AB418" s="252">
        <v>159.83000000000001</v>
      </c>
      <c r="AC418" s="252">
        <v>0</v>
      </c>
      <c r="AD418" s="252">
        <v>0</v>
      </c>
      <c r="AE418" s="252" t="s">
        <v>720</v>
      </c>
      <c r="AF418" s="252" t="s">
        <v>721</v>
      </c>
      <c r="AG418" s="252">
        <f t="shared" si="31"/>
        <v>0</v>
      </c>
      <c r="AH418" s="252">
        <f t="shared" si="32"/>
        <v>0</v>
      </c>
      <c r="AI418" s="252">
        <f t="shared" si="33"/>
        <v>0</v>
      </c>
      <c r="AJ418" s="252">
        <f t="shared" si="34"/>
        <v>0</v>
      </c>
    </row>
    <row r="419" spans="1:36" x14ac:dyDescent="0.2">
      <c r="A419" s="253" t="str">
        <f t="shared" si="30"/>
        <v>SNCF10PGR0230</v>
      </c>
      <c r="B419" s="252" t="s">
        <v>19</v>
      </c>
      <c r="C419" s="252" t="s">
        <v>20</v>
      </c>
      <c r="D419" s="252" t="s">
        <v>2543</v>
      </c>
      <c r="E419" s="252" t="s">
        <v>2531</v>
      </c>
      <c r="F419" s="252" t="s">
        <v>2557</v>
      </c>
      <c r="G419" s="252">
        <v>30</v>
      </c>
      <c r="H419" s="252" t="s">
        <v>928</v>
      </c>
      <c r="I419" s="252" t="s">
        <v>928</v>
      </c>
      <c r="J419" s="252" t="s">
        <v>928</v>
      </c>
      <c r="K419" s="252" t="s">
        <v>3236</v>
      </c>
      <c r="L419" s="252">
        <v>516.86</v>
      </c>
      <c r="M419" s="252">
        <v>0</v>
      </c>
      <c r="N419" s="252">
        <v>0</v>
      </c>
      <c r="O419" s="252">
        <v>0</v>
      </c>
      <c r="P419" s="252">
        <v>0</v>
      </c>
      <c r="Q419" s="252">
        <v>0</v>
      </c>
      <c r="R419" s="252">
        <v>0</v>
      </c>
      <c r="S419" s="252">
        <v>0</v>
      </c>
      <c r="T419" s="252">
        <v>0</v>
      </c>
      <c r="U419" s="252">
        <v>0</v>
      </c>
      <c r="V419" s="252">
        <v>0</v>
      </c>
      <c r="W419" s="252">
        <v>0</v>
      </c>
      <c r="X419" s="252">
        <v>0</v>
      </c>
      <c r="Y419" s="252">
        <v>357.03</v>
      </c>
      <c r="Z419" s="252">
        <v>0</v>
      </c>
      <c r="AA419" s="252">
        <v>0</v>
      </c>
      <c r="AB419" s="252">
        <v>159.83000000000001</v>
      </c>
      <c r="AC419" s="252">
        <v>0</v>
      </c>
      <c r="AD419" s="252">
        <v>0</v>
      </c>
      <c r="AE419" s="252" t="s">
        <v>720</v>
      </c>
      <c r="AF419" s="252" t="s">
        <v>721</v>
      </c>
      <c r="AG419" s="252">
        <f t="shared" si="31"/>
        <v>0</v>
      </c>
      <c r="AH419" s="252">
        <f t="shared" si="32"/>
        <v>0</v>
      </c>
      <c r="AI419" s="252">
        <f t="shared" si="33"/>
        <v>0</v>
      </c>
      <c r="AJ419" s="252">
        <f t="shared" si="34"/>
        <v>0</v>
      </c>
    </row>
    <row r="420" spans="1:36" x14ac:dyDescent="0.2">
      <c r="A420" s="253" t="str">
        <f t="shared" si="30"/>
        <v>2SNCF10PGR0250</v>
      </c>
      <c r="B420" s="252" t="s">
        <v>19</v>
      </c>
      <c r="C420" s="252" t="s">
        <v>20</v>
      </c>
      <c r="D420" s="252" t="s">
        <v>2543</v>
      </c>
      <c r="E420" s="252" t="s">
        <v>2531</v>
      </c>
      <c r="F420" s="252" t="s">
        <v>2557</v>
      </c>
      <c r="G420" s="252">
        <v>50</v>
      </c>
      <c r="H420" s="252" t="s">
        <v>928</v>
      </c>
      <c r="I420" s="252" t="s">
        <v>2477</v>
      </c>
      <c r="J420" s="252" t="s">
        <v>928</v>
      </c>
      <c r="K420" s="252" t="s">
        <v>3236</v>
      </c>
      <c r="L420" s="252">
        <v>521.49</v>
      </c>
      <c r="M420" s="252">
        <v>0</v>
      </c>
      <c r="N420" s="252">
        <v>0</v>
      </c>
      <c r="O420" s="252">
        <v>0</v>
      </c>
      <c r="P420" s="252">
        <v>0</v>
      </c>
      <c r="Q420" s="252">
        <v>0</v>
      </c>
      <c r="R420" s="252">
        <v>0</v>
      </c>
      <c r="S420" s="252">
        <v>0</v>
      </c>
      <c r="T420" s="252">
        <v>0</v>
      </c>
      <c r="U420" s="252">
        <v>0</v>
      </c>
      <c r="V420" s="252">
        <v>0</v>
      </c>
      <c r="W420" s="252">
        <v>0</v>
      </c>
      <c r="X420" s="252">
        <v>0</v>
      </c>
      <c r="Y420" s="252">
        <v>383.42</v>
      </c>
      <c r="Z420" s="252">
        <v>0</v>
      </c>
      <c r="AA420" s="252">
        <v>0</v>
      </c>
      <c r="AB420" s="252">
        <v>138.07</v>
      </c>
      <c r="AC420" s="252">
        <v>0</v>
      </c>
      <c r="AD420" s="252">
        <v>0</v>
      </c>
      <c r="AE420" s="252" t="s">
        <v>720</v>
      </c>
      <c r="AF420" s="252" t="s">
        <v>721</v>
      </c>
      <c r="AG420" s="252">
        <f t="shared" si="31"/>
        <v>0</v>
      </c>
      <c r="AH420" s="252">
        <f t="shared" si="32"/>
        <v>0</v>
      </c>
      <c r="AI420" s="252">
        <f t="shared" si="33"/>
        <v>0</v>
      </c>
      <c r="AJ420" s="252">
        <f t="shared" si="34"/>
        <v>0</v>
      </c>
    </row>
    <row r="421" spans="1:36" x14ac:dyDescent="0.2">
      <c r="A421" s="253" t="str">
        <f t="shared" si="30"/>
        <v>SNCF10PGR0250</v>
      </c>
      <c r="B421" s="252" t="s">
        <v>19</v>
      </c>
      <c r="C421" s="252" t="s">
        <v>20</v>
      </c>
      <c r="D421" s="252" t="s">
        <v>2543</v>
      </c>
      <c r="E421" s="252" t="s">
        <v>2531</v>
      </c>
      <c r="F421" s="252" t="s">
        <v>2557</v>
      </c>
      <c r="G421" s="252">
        <v>50</v>
      </c>
      <c r="H421" s="252" t="s">
        <v>928</v>
      </c>
      <c r="I421" s="252" t="s">
        <v>928</v>
      </c>
      <c r="J421" s="252" t="s">
        <v>928</v>
      </c>
      <c r="K421" s="252" t="s">
        <v>3236</v>
      </c>
      <c r="L421" s="252">
        <v>521.49</v>
      </c>
      <c r="M421" s="252">
        <v>0</v>
      </c>
      <c r="N421" s="252">
        <v>0</v>
      </c>
      <c r="O421" s="252">
        <v>0</v>
      </c>
      <c r="P421" s="252">
        <v>0</v>
      </c>
      <c r="Q421" s="252">
        <v>0</v>
      </c>
      <c r="R421" s="252">
        <v>0</v>
      </c>
      <c r="S421" s="252">
        <v>0</v>
      </c>
      <c r="T421" s="252">
        <v>0</v>
      </c>
      <c r="U421" s="252">
        <v>0</v>
      </c>
      <c r="V421" s="252">
        <v>0</v>
      </c>
      <c r="W421" s="252">
        <v>0</v>
      </c>
      <c r="X421" s="252">
        <v>0</v>
      </c>
      <c r="Y421" s="252">
        <v>383.42</v>
      </c>
      <c r="Z421" s="252">
        <v>0</v>
      </c>
      <c r="AA421" s="252">
        <v>0</v>
      </c>
      <c r="AB421" s="252">
        <v>138.07</v>
      </c>
      <c r="AC421" s="252">
        <v>0</v>
      </c>
      <c r="AD421" s="252">
        <v>0</v>
      </c>
      <c r="AE421" s="252" t="s">
        <v>720</v>
      </c>
      <c r="AF421" s="252" t="s">
        <v>721</v>
      </c>
      <c r="AG421" s="252">
        <f t="shared" si="31"/>
        <v>0</v>
      </c>
      <c r="AH421" s="252">
        <f t="shared" si="32"/>
        <v>0</v>
      </c>
      <c r="AI421" s="252">
        <f t="shared" si="33"/>
        <v>0</v>
      </c>
      <c r="AJ421" s="252">
        <f t="shared" si="34"/>
        <v>0</v>
      </c>
    </row>
    <row r="422" spans="1:36" x14ac:dyDescent="0.2">
      <c r="A422" s="253" t="str">
        <f t="shared" si="30"/>
        <v>33SSNCLBLTL25</v>
      </c>
      <c r="B422" s="252" t="s">
        <v>19</v>
      </c>
      <c r="C422" s="252" t="s">
        <v>20</v>
      </c>
      <c r="D422" s="252" t="s">
        <v>143</v>
      </c>
      <c r="E422" s="252" t="s">
        <v>722</v>
      </c>
      <c r="F422" s="252" t="s">
        <v>156</v>
      </c>
      <c r="G422" s="252">
        <v>25</v>
      </c>
      <c r="H422" s="252" t="s">
        <v>928</v>
      </c>
      <c r="I422" s="252" t="s">
        <v>158</v>
      </c>
      <c r="J422" s="252" t="s">
        <v>928</v>
      </c>
      <c r="K422" s="252" t="s">
        <v>3236</v>
      </c>
      <c r="L422" s="252">
        <v>55.86871</v>
      </c>
      <c r="M422" s="252">
        <v>98</v>
      </c>
      <c r="N422" s="252">
        <v>0</v>
      </c>
      <c r="O422" s="252">
        <v>0</v>
      </c>
      <c r="P422" s="252">
        <v>0</v>
      </c>
      <c r="Q422" s="252">
        <v>0</v>
      </c>
      <c r="R422" s="252">
        <v>0</v>
      </c>
      <c r="S422" s="252">
        <v>0</v>
      </c>
      <c r="T422" s="252">
        <v>2.9908399999999999</v>
      </c>
      <c r="U422" s="252">
        <v>0.47937999999999997</v>
      </c>
      <c r="V422" s="252">
        <v>0.69984999999999997</v>
      </c>
      <c r="W422" s="252">
        <v>11.873900000000001</v>
      </c>
      <c r="X422" s="252">
        <v>0</v>
      </c>
      <c r="Y422" s="252">
        <v>0</v>
      </c>
      <c r="Z422" s="252">
        <v>19.5197</v>
      </c>
      <c r="AA422" s="252">
        <v>20.305040000000002</v>
      </c>
      <c r="AB422" s="252">
        <v>0</v>
      </c>
      <c r="AC422" s="252">
        <v>0</v>
      </c>
      <c r="AD422" s="252">
        <v>1</v>
      </c>
      <c r="AE422" s="252" t="s">
        <v>720</v>
      </c>
      <c r="AF422" s="252" t="s">
        <v>721</v>
      </c>
      <c r="AG422" s="252">
        <f t="shared" si="31"/>
        <v>0</v>
      </c>
      <c r="AH422" s="252">
        <f t="shared" si="32"/>
        <v>0</v>
      </c>
      <c r="AI422" s="252">
        <f t="shared" si="33"/>
        <v>0</v>
      </c>
      <c r="AJ422" s="252">
        <f t="shared" si="34"/>
        <v>0</v>
      </c>
    </row>
    <row r="423" spans="1:36" x14ac:dyDescent="0.2">
      <c r="A423" s="253" t="str">
        <f t="shared" si="30"/>
        <v>3SNCLBPETTL50</v>
      </c>
      <c r="B423" s="252" t="s">
        <v>19</v>
      </c>
      <c r="C423" s="252" t="s">
        <v>20</v>
      </c>
      <c r="D423" s="252" t="s">
        <v>143</v>
      </c>
      <c r="E423" s="252" t="s">
        <v>722</v>
      </c>
      <c r="F423" s="252" t="s">
        <v>163</v>
      </c>
      <c r="G423" s="252">
        <v>50</v>
      </c>
      <c r="H423" s="252" t="s">
        <v>928</v>
      </c>
      <c r="I423" s="252" t="s">
        <v>2465</v>
      </c>
      <c r="J423" s="252" t="s">
        <v>928</v>
      </c>
      <c r="K423" s="252" t="s">
        <v>3236</v>
      </c>
      <c r="L423" s="252">
        <v>95.641769999999994</v>
      </c>
      <c r="M423" s="252">
        <v>91</v>
      </c>
      <c r="N423" s="252">
        <v>0</v>
      </c>
      <c r="O423" s="252">
        <v>35</v>
      </c>
      <c r="P423" s="252">
        <v>0</v>
      </c>
      <c r="Q423" s="252">
        <v>0</v>
      </c>
      <c r="R423" s="252">
        <v>0</v>
      </c>
      <c r="S423" s="252">
        <v>0</v>
      </c>
      <c r="T423" s="252">
        <v>3.2109000000000001</v>
      </c>
      <c r="U423" s="252">
        <v>1.4751700000000001</v>
      </c>
      <c r="V423" s="252">
        <v>0.74583999999999995</v>
      </c>
      <c r="W423" s="252">
        <v>12.649089999999999</v>
      </c>
      <c r="X423" s="252">
        <v>0</v>
      </c>
      <c r="Y423" s="252">
        <v>0</v>
      </c>
      <c r="Z423" s="252">
        <v>20.912849999999999</v>
      </c>
      <c r="AA423" s="252">
        <v>21.647919999999999</v>
      </c>
      <c r="AB423" s="252">
        <v>0</v>
      </c>
      <c r="AC423" s="252">
        <v>0</v>
      </c>
      <c r="AD423" s="252">
        <v>1</v>
      </c>
      <c r="AE423" s="252" t="s">
        <v>720</v>
      </c>
      <c r="AF423" s="252" t="s">
        <v>721</v>
      </c>
      <c r="AG423" s="252">
        <f t="shared" si="31"/>
        <v>31.85</v>
      </c>
      <c r="AH423" s="252">
        <f t="shared" si="32"/>
        <v>0</v>
      </c>
      <c r="AI423" s="252">
        <f t="shared" si="33"/>
        <v>0</v>
      </c>
      <c r="AJ423" s="252">
        <f t="shared" si="34"/>
        <v>31.85</v>
      </c>
    </row>
    <row r="424" spans="1:36" x14ac:dyDescent="0.2">
      <c r="A424" s="253" t="str">
        <f t="shared" si="30"/>
        <v>2SNCPP341940</v>
      </c>
      <c r="B424" s="252" t="s">
        <v>19</v>
      </c>
      <c r="C424" s="252" t="s">
        <v>20</v>
      </c>
      <c r="D424" s="252" t="s">
        <v>2558</v>
      </c>
      <c r="E424" s="252" t="s">
        <v>2522</v>
      </c>
      <c r="F424" s="252" t="s">
        <v>2559</v>
      </c>
      <c r="G424" s="252">
        <v>40</v>
      </c>
      <c r="H424" s="252" t="s">
        <v>928</v>
      </c>
      <c r="I424" s="252" t="s">
        <v>2477</v>
      </c>
      <c r="J424" s="252" t="s">
        <v>928</v>
      </c>
      <c r="K424" s="252" t="s">
        <v>3236</v>
      </c>
      <c r="L424" s="252">
        <v>367.89</v>
      </c>
      <c r="M424" s="252">
        <v>0</v>
      </c>
      <c r="N424" s="252">
        <v>0</v>
      </c>
      <c r="O424" s="252">
        <v>0</v>
      </c>
      <c r="P424" s="252">
        <v>0</v>
      </c>
      <c r="Q424" s="252">
        <v>0</v>
      </c>
      <c r="R424" s="252">
        <v>0</v>
      </c>
      <c r="S424" s="252">
        <v>0</v>
      </c>
      <c r="T424" s="252">
        <v>0</v>
      </c>
      <c r="U424" s="252">
        <v>0</v>
      </c>
      <c r="V424" s="252">
        <v>0</v>
      </c>
      <c r="W424" s="252">
        <v>0</v>
      </c>
      <c r="X424" s="252">
        <v>0</v>
      </c>
      <c r="Y424" s="252">
        <v>281.56</v>
      </c>
      <c r="Z424" s="252">
        <v>0</v>
      </c>
      <c r="AA424" s="252">
        <v>0</v>
      </c>
      <c r="AB424" s="252">
        <v>86.33</v>
      </c>
      <c r="AC424" s="252">
        <v>0</v>
      </c>
      <c r="AD424" s="252">
        <v>0</v>
      </c>
      <c r="AE424" s="252" t="s">
        <v>720</v>
      </c>
      <c r="AF424" s="252" t="s">
        <v>721</v>
      </c>
      <c r="AG424" s="252">
        <f t="shared" si="31"/>
        <v>0</v>
      </c>
      <c r="AH424" s="252">
        <f t="shared" si="32"/>
        <v>0</v>
      </c>
      <c r="AI424" s="252">
        <f t="shared" si="33"/>
        <v>0</v>
      </c>
      <c r="AJ424" s="252">
        <f t="shared" si="34"/>
        <v>0</v>
      </c>
    </row>
    <row r="425" spans="1:36" x14ac:dyDescent="0.2">
      <c r="A425" s="253" t="str">
        <f t="shared" si="30"/>
        <v>SNCPP341940</v>
      </c>
      <c r="B425" s="252" t="s">
        <v>19</v>
      </c>
      <c r="C425" s="252" t="s">
        <v>20</v>
      </c>
      <c r="D425" s="252" t="s">
        <v>2558</v>
      </c>
      <c r="E425" s="252" t="s">
        <v>2522</v>
      </c>
      <c r="F425" s="252" t="s">
        <v>2559</v>
      </c>
      <c r="G425" s="252">
        <v>40</v>
      </c>
      <c r="H425" s="252" t="s">
        <v>928</v>
      </c>
      <c r="I425" s="252" t="s">
        <v>928</v>
      </c>
      <c r="J425" s="252" t="s">
        <v>928</v>
      </c>
      <c r="K425" s="252" t="s">
        <v>3236</v>
      </c>
      <c r="L425" s="252">
        <v>367.89</v>
      </c>
      <c r="M425" s="252">
        <v>0</v>
      </c>
      <c r="N425" s="252">
        <v>0</v>
      </c>
      <c r="O425" s="252">
        <v>0</v>
      </c>
      <c r="P425" s="252">
        <v>0</v>
      </c>
      <c r="Q425" s="252">
        <v>0</v>
      </c>
      <c r="R425" s="252">
        <v>0</v>
      </c>
      <c r="S425" s="252">
        <v>0</v>
      </c>
      <c r="T425" s="252">
        <v>0</v>
      </c>
      <c r="U425" s="252">
        <v>0</v>
      </c>
      <c r="V425" s="252">
        <v>0</v>
      </c>
      <c r="W425" s="252">
        <v>0</v>
      </c>
      <c r="X425" s="252">
        <v>0</v>
      </c>
      <c r="Y425" s="252">
        <v>281.56</v>
      </c>
      <c r="Z425" s="252">
        <v>0</v>
      </c>
      <c r="AA425" s="252">
        <v>0</v>
      </c>
      <c r="AB425" s="252">
        <v>86.33</v>
      </c>
      <c r="AC425" s="252">
        <v>0</v>
      </c>
      <c r="AD425" s="252">
        <v>0</v>
      </c>
      <c r="AE425" s="252" t="s">
        <v>720</v>
      </c>
      <c r="AF425" s="252" t="s">
        <v>721</v>
      </c>
      <c r="AG425" s="252">
        <f t="shared" si="31"/>
        <v>0</v>
      </c>
      <c r="AH425" s="252">
        <f t="shared" si="32"/>
        <v>0</v>
      </c>
      <c r="AI425" s="252">
        <f t="shared" si="33"/>
        <v>0</v>
      </c>
      <c r="AJ425" s="252">
        <f t="shared" si="34"/>
        <v>0</v>
      </c>
    </row>
    <row r="426" spans="1:36" x14ac:dyDescent="0.2">
      <c r="A426" s="253" t="str">
        <f t="shared" si="30"/>
        <v>2SNCPP3429K60</v>
      </c>
      <c r="B426" s="252" t="s">
        <v>19</v>
      </c>
      <c r="C426" s="252" t="s">
        <v>20</v>
      </c>
      <c r="D426" s="252" t="s">
        <v>2558</v>
      </c>
      <c r="E426" s="252" t="s">
        <v>2522</v>
      </c>
      <c r="F426" s="252" t="s">
        <v>2560</v>
      </c>
      <c r="G426" s="252">
        <v>60</v>
      </c>
      <c r="H426" s="252" t="s">
        <v>928</v>
      </c>
      <c r="I426" s="252" t="s">
        <v>2477</v>
      </c>
      <c r="J426" s="252" t="s">
        <v>928</v>
      </c>
      <c r="K426" s="252" t="s">
        <v>3236</v>
      </c>
      <c r="L426" s="252">
        <v>374.08</v>
      </c>
      <c r="M426" s="252">
        <v>0</v>
      </c>
      <c r="N426" s="252">
        <v>0</v>
      </c>
      <c r="O426" s="252">
        <v>0</v>
      </c>
      <c r="P426" s="252">
        <v>0</v>
      </c>
      <c r="Q426" s="252">
        <v>0</v>
      </c>
      <c r="R426" s="252">
        <v>0</v>
      </c>
      <c r="S426" s="252">
        <v>0</v>
      </c>
      <c r="T426" s="252">
        <v>0</v>
      </c>
      <c r="U426" s="252">
        <v>0</v>
      </c>
      <c r="V426" s="252">
        <v>0</v>
      </c>
      <c r="W426" s="252">
        <v>0</v>
      </c>
      <c r="X426" s="252">
        <v>0</v>
      </c>
      <c r="Y426" s="252">
        <v>286.02</v>
      </c>
      <c r="Z426" s="252">
        <v>0</v>
      </c>
      <c r="AA426" s="252">
        <v>0</v>
      </c>
      <c r="AB426" s="252">
        <v>88.06</v>
      </c>
      <c r="AC426" s="252">
        <v>0</v>
      </c>
      <c r="AD426" s="252">
        <v>0</v>
      </c>
      <c r="AE426" s="252" t="s">
        <v>720</v>
      </c>
      <c r="AF426" s="252" t="s">
        <v>721</v>
      </c>
      <c r="AG426" s="252">
        <f t="shared" si="31"/>
        <v>0</v>
      </c>
      <c r="AH426" s="252">
        <f t="shared" si="32"/>
        <v>0</v>
      </c>
      <c r="AI426" s="252">
        <f t="shared" si="33"/>
        <v>0</v>
      </c>
      <c r="AJ426" s="252">
        <f t="shared" si="34"/>
        <v>0</v>
      </c>
    </row>
    <row r="427" spans="1:36" x14ac:dyDescent="0.2">
      <c r="A427" s="253" t="str">
        <f t="shared" si="30"/>
        <v>SNCPP3429K60</v>
      </c>
      <c r="B427" s="252" t="s">
        <v>19</v>
      </c>
      <c r="C427" s="252" t="s">
        <v>20</v>
      </c>
      <c r="D427" s="252" t="s">
        <v>2558</v>
      </c>
      <c r="E427" s="252" t="s">
        <v>2522</v>
      </c>
      <c r="F427" s="252" t="s">
        <v>2560</v>
      </c>
      <c r="G427" s="252">
        <v>60</v>
      </c>
      <c r="H427" s="252" t="s">
        <v>928</v>
      </c>
      <c r="I427" s="252" t="s">
        <v>928</v>
      </c>
      <c r="J427" s="252" t="s">
        <v>928</v>
      </c>
      <c r="K427" s="252" t="s">
        <v>3236</v>
      </c>
      <c r="L427" s="252">
        <v>374.08</v>
      </c>
      <c r="M427" s="252">
        <v>0</v>
      </c>
      <c r="N427" s="252">
        <v>0</v>
      </c>
      <c r="O427" s="252">
        <v>0</v>
      </c>
      <c r="P427" s="252">
        <v>0</v>
      </c>
      <c r="Q427" s="252">
        <v>0</v>
      </c>
      <c r="R427" s="252">
        <v>0</v>
      </c>
      <c r="S427" s="252">
        <v>0</v>
      </c>
      <c r="T427" s="252">
        <v>0</v>
      </c>
      <c r="U427" s="252">
        <v>0</v>
      </c>
      <c r="V427" s="252">
        <v>0</v>
      </c>
      <c r="W427" s="252">
        <v>0</v>
      </c>
      <c r="X427" s="252">
        <v>0</v>
      </c>
      <c r="Y427" s="252">
        <v>286.02</v>
      </c>
      <c r="Z427" s="252">
        <v>0</v>
      </c>
      <c r="AA427" s="252">
        <v>0</v>
      </c>
      <c r="AB427" s="252">
        <v>88.06</v>
      </c>
      <c r="AC427" s="252">
        <v>0</v>
      </c>
      <c r="AD427" s="252">
        <v>0</v>
      </c>
      <c r="AE427" s="252" t="s">
        <v>720</v>
      </c>
      <c r="AF427" s="252" t="s">
        <v>721</v>
      </c>
      <c r="AG427" s="252">
        <f t="shared" si="31"/>
        <v>0</v>
      </c>
      <c r="AH427" s="252">
        <f t="shared" si="32"/>
        <v>0</v>
      </c>
      <c r="AI427" s="252">
        <f t="shared" si="33"/>
        <v>0</v>
      </c>
      <c r="AJ427" s="252">
        <f t="shared" si="34"/>
        <v>0</v>
      </c>
    </row>
    <row r="428" spans="1:36" x14ac:dyDescent="0.2">
      <c r="A428" s="253" t="str">
        <f t="shared" si="30"/>
        <v>2SNCPP3429K100</v>
      </c>
      <c r="B428" s="252" t="s">
        <v>19</v>
      </c>
      <c r="C428" s="252" t="s">
        <v>20</v>
      </c>
      <c r="D428" s="252" t="s">
        <v>2558</v>
      </c>
      <c r="E428" s="252" t="s">
        <v>2522</v>
      </c>
      <c r="F428" s="252" t="s">
        <v>2560</v>
      </c>
      <c r="G428" s="252">
        <v>100</v>
      </c>
      <c r="H428" s="252" t="s">
        <v>928</v>
      </c>
      <c r="I428" s="252" t="s">
        <v>2477</v>
      </c>
      <c r="J428" s="252" t="s">
        <v>928</v>
      </c>
      <c r="K428" s="252" t="s">
        <v>3236</v>
      </c>
      <c r="L428" s="252">
        <v>367.09</v>
      </c>
      <c r="M428" s="252">
        <v>0</v>
      </c>
      <c r="N428" s="252">
        <v>0</v>
      </c>
      <c r="O428" s="252">
        <v>0</v>
      </c>
      <c r="P428" s="252">
        <v>0</v>
      </c>
      <c r="Q428" s="252">
        <v>0</v>
      </c>
      <c r="R428" s="252">
        <v>0</v>
      </c>
      <c r="S428" s="252">
        <v>0</v>
      </c>
      <c r="T428" s="252">
        <v>0</v>
      </c>
      <c r="U428" s="252">
        <v>0</v>
      </c>
      <c r="V428" s="252">
        <v>0</v>
      </c>
      <c r="W428" s="252">
        <v>0</v>
      </c>
      <c r="X428" s="252">
        <v>0</v>
      </c>
      <c r="Y428" s="252">
        <v>292.55</v>
      </c>
      <c r="Z428" s="252">
        <v>0</v>
      </c>
      <c r="AA428" s="252">
        <v>0</v>
      </c>
      <c r="AB428" s="252">
        <v>74.540000000000006</v>
      </c>
      <c r="AC428" s="252">
        <v>0</v>
      </c>
      <c r="AD428" s="252">
        <v>0</v>
      </c>
      <c r="AE428" s="252" t="s">
        <v>720</v>
      </c>
      <c r="AF428" s="252" t="s">
        <v>721</v>
      </c>
      <c r="AG428" s="252">
        <f t="shared" si="31"/>
        <v>0</v>
      </c>
      <c r="AH428" s="252">
        <f t="shared" si="32"/>
        <v>0</v>
      </c>
      <c r="AI428" s="252">
        <f t="shared" si="33"/>
        <v>0</v>
      </c>
      <c r="AJ428" s="252">
        <f t="shared" si="34"/>
        <v>0</v>
      </c>
    </row>
    <row r="429" spans="1:36" x14ac:dyDescent="0.2">
      <c r="A429" s="253" t="str">
        <f t="shared" si="30"/>
        <v>SNCPP3429K100</v>
      </c>
      <c r="B429" s="252" t="s">
        <v>19</v>
      </c>
      <c r="C429" s="252" t="s">
        <v>20</v>
      </c>
      <c r="D429" s="252" t="s">
        <v>2558</v>
      </c>
      <c r="E429" s="252" t="s">
        <v>2522</v>
      </c>
      <c r="F429" s="252" t="s">
        <v>2560</v>
      </c>
      <c r="G429" s="252">
        <v>100</v>
      </c>
      <c r="H429" s="252" t="s">
        <v>928</v>
      </c>
      <c r="I429" s="252" t="s">
        <v>928</v>
      </c>
      <c r="J429" s="252" t="s">
        <v>928</v>
      </c>
      <c r="K429" s="252" t="s">
        <v>3236</v>
      </c>
      <c r="L429" s="252">
        <v>367.09</v>
      </c>
      <c r="M429" s="252">
        <v>0</v>
      </c>
      <c r="N429" s="252">
        <v>0</v>
      </c>
      <c r="O429" s="252">
        <v>0</v>
      </c>
      <c r="P429" s="252">
        <v>0</v>
      </c>
      <c r="Q429" s="252">
        <v>0</v>
      </c>
      <c r="R429" s="252">
        <v>0</v>
      </c>
      <c r="S429" s="252">
        <v>0</v>
      </c>
      <c r="T429" s="252">
        <v>0</v>
      </c>
      <c r="U429" s="252">
        <v>0</v>
      </c>
      <c r="V429" s="252">
        <v>0</v>
      </c>
      <c r="W429" s="252">
        <v>0</v>
      </c>
      <c r="X429" s="252">
        <v>0</v>
      </c>
      <c r="Y429" s="252">
        <v>292.55</v>
      </c>
      <c r="Z429" s="252">
        <v>0</v>
      </c>
      <c r="AA429" s="252">
        <v>0</v>
      </c>
      <c r="AB429" s="252">
        <v>74.540000000000006</v>
      </c>
      <c r="AC429" s="252">
        <v>0</v>
      </c>
      <c r="AD429" s="252">
        <v>0</v>
      </c>
      <c r="AE429" s="252" t="s">
        <v>720</v>
      </c>
      <c r="AF429" s="252" t="s">
        <v>721</v>
      </c>
      <c r="AG429" s="252">
        <f t="shared" si="31"/>
        <v>0</v>
      </c>
      <c r="AH429" s="252">
        <f t="shared" si="32"/>
        <v>0</v>
      </c>
      <c r="AI429" s="252">
        <f t="shared" si="33"/>
        <v>0</v>
      </c>
      <c r="AJ429" s="252">
        <f t="shared" si="34"/>
        <v>0</v>
      </c>
    </row>
    <row r="430" spans="1:36" x14ac:dyDescent="0.2">
      <c r="A430" s="253" t="str">
        <f t="shared" si="30"/>
        <v>2SNCPP350120</v>
      </c>
      <c r="B430" s="252" t="s">
        <v>19</v>
      </c>
      <c r="C430" s="252" t="s">
        <v>20</v>
      </c>
      <c r="D430" s="252" t="s">
        <v>2558</v>
      </c>
      <c r="E430" s="252" t="s">
        <v>2522</v>
      </c>
      <c r="F430" s="252" t="s">
        <v>2561</v>
      </c>
      <c r="G430" s="252">
        <v>20</v>
      </c>
      <c r="H430" s="252" t="s">
        <v>928</v>
      </c>
      <c r="I430" s="252" t="s">
        <v>2477</v>
      </c>
      <c r="J430" s="252" t="s">
        <v>928</v>
      </c>
      <c r="K430" s="252" t="s">
        <v>3236</v>
      </c>
      <c r="L430" s="252">
        <v>448.44</v>
      </c>
      <c r="M430" s="252">
        <v>0</v>
      </c>
      <c r="N430" s="252">
        <v>0</v>
      </c>
      <c r="O430" s="252">
        <v>0</v>
      </c>
      <c r="P430" s="252">
        <v>0</v>
      </c>
      <c r="Q430" s="252">
        <v>0</v>
      </c>
      <c r="R430" s="252">
        <v>0</v>
      </c>
      <c r="S430" s="252">
        <v>0</v>
      </c>
      <c r="T430" s="252">
        <v>0</v>
      </c>
      <c r="U430" s="252">
        <v>0</v>
      </c>
      <c r="V430" s="252">
        <v>0</v>
      </c>
      <c r="W430" s="252">
        <v>0</v>
      </c>
      <c r="X430" s="252">
        <v>0</v>
      </c>
      <c r="Y430" s="252">
        <v>318.06</v>
      </c>
      <c r="Z430" s="252">
        <v>0</v>
      </c>
      <c r="AA430" s="252">
        <v>0</v>
      </c>
      <c r="AB430" s="252">
        <v>130.38</v>
      </c>
      <c r="AC430" s="252">
        <v>0</v>
      </c>
      <c r="AD430" s="252">
        <v>0</v>
      </c>
      <c r="AE430" s="252" t="s">
        <v>720</v>
      </c>
      <c r="AF430" s="252" t="s">
        <v>721</v>
      </c>
      <c r="AG430" s="252">
        <f t="shared" si="31"/>
        <v>0</v>
      </c>
      <c r="AH430" s="252">
        <f t="shared" si="32"/>
        <v>0</v>
      </c>
      <c r="AI430" s="252">
        <f t="shared" si="33"/>
        <v>0</v>
      </c>
      <c r="AJ430" s="252">
        <f t="shared" si="34"/>
        <v>0</v>
      </c>
    </row>
    <row r="431" spans="1:36" x14ac:dyDescent="0.2">
      <c r="A431" s="253" t="str">
        <f t="shared" si="30"/>
        <v>SNCPP350120</v>
      </c>
      <c r="B431" s="252" t="s">
        <v>19</v>
      </c>
      <c r="C431" s="252" t="s">
        <v>20</v>
      </c>
      <c r="D431" s="252" t="s">
        <v>2558</v>
      </c>
      <c r="E431" s="252" t="s">
        <v>2522</v>
      </c>
      <c r="F431" s="252" t="s">
        <v>2561</v>
      </c>
      <c r="G431" s="252">
        <v>20</v>
      </c>
      <c r="H431" s="252" t="s">
        <v>928</v>
      </c>
      <c r="I431" s="252" t="s">
        <v>928</v>
      </c>
      <c r="J431" s="252" t="s">
        <v>928</v>
      </c>
      <c r="K431" s="252" t="s">
        <v>3236</v>
      </c>
      <c r="L431" s="252">
        <v>448.44</v>
      </c>
      <c r="M431" s="252">
        <v>0</v>
      </c>
      <c r="N431" s="252">
        <v>0</v>
      </c>
      <c r="O431" s="252">
        <v>0</v>
      </c>
      <c r="P431" s="252">
        <v>0</v>
      </c>
      <c r="Q431" s="252">
        <v>0</v>
      </c>
      <c r="R431" s="252">
        <v>0</v>
      </c>
      <c r="S431" s="252">
        <v>0</v>
      </c>
      <c r="T431" s="252">
        <v>0</v>
      </c>
      <c r="U431" s="252">
        <v>0</v>
      </c>
      <c r="V431" s="252">
        <v>0</v>
      </c>
      <c r="W431" s="252">
        <v>0</v>
      </c>
      <c r="X431" s="252">
        <v>0</v>
      </c>
      <c r="Y431" s="252">
        <v>318.06</v>
      </c>
      <c r="Z431" s="252">
        <v>0</v>
      </c>
      <c r="AA431" s="252">
        <v>0</v>
      </c>
      <c r="AB431" s="252">
        <v>130.38</v>
      </c>
      <c r="AC431" s="252">
        <v>0</v>
      </c>
      <c r="AD431" s="252">
        <v>0</v>
      </c>
      <c r="AE431" s="252" t="s">
        <v>720</v>
      </c>
      <c r="AF431" s="252" t="s">
        <v>721</v>
      </c>
      <c r="AG431" s="252">
        <f t="shared" si="31"/>
        <v>0</v>
      </c>
      <c r="AH431" s="252">
        <f t="shared" si="32"/>
        <v>0</v>
      </c>
      <c r="AI431" s="252">
        <f t="shared" si="33"/>
        <v>0</v>
      </c>
      <c r="AJ431" s="252">
        <f t="shared" si="34"/>
        <v>0</v>
      </c>
    </row>
    <row r="432" spans="1:36" x14ac:dyDescent="0.2">
      <c r="A432" s="253" t="str">
        <f t="shared" si="30"/>
        <v>2SNCPP350125</v>
      </c>
      <c r="B432" s="252" t="s">
        <v>19</v>
      </c>
      <c r="C432" s="252" t="s">
        <v>20</v>
      </c>
      <c r="D432" s="252" t="s">
        <v>2558</v>
      </c>
      <c r="E432" s="252" t="s">
        <v>2522</v>
      </c>
      <c r="F432" s="252" t="s">
        <v>2561</v>
      </c>
      <c r="G432" s="252">
        <v>25</v>
      </c>
      <c r="H432" s="252" t="s">
        <v>928</v>
      </c>
      <c r="I432" s="252" t="s">
        <v>2477</v>
      </c>
      <c r="J432" s="252" t="s">
        <v>928</v>
      </c>
      <c r="K432" s="252" t="s">
        <v>3236</v>
      </c>
      <c r="L432" s="252">
        <v>477.25</v>
      </c>
      <c r="M432" s="252">
        <v>0</v>
      </c>
      <c r="N432" s="252">
        <v>0</v>
      </c>
      <c r="O432" s="252">
        <v>0</v>
      </c>
      <c r="P432" s="252">
        <v>0</v>
      </c>
      <c r="Q432" s="252">
        <v>0</v>
      </c>
      <c r="R432" s="252">
        <v>0</v>
      </c>
      <c r="S432" s="252">
        <v>0</v>
      </c>
      <c r="T432" s="252">
        <v>0</v>
      </c>
      <c r="U432" s="252">
        <v>0</v>
      </c>
      <c r="V432" s="252">
        <v>0</v>
      </c>
      <c r="W432" s="252">
        <v>0</v>
      </c>
      <c r="X432" s="252">
        <v>0</v>
      </c>
      <c r="Y432" s="252">
        <v>351.3</v>
      </c>
      <c r="Z432" s="252">
        <v>0</v>
      </c>
      <c r="AA432" s="252">
        <v>0</v>
      </c>
      <c r="AB432" s="252">
        <v>125.95</v>
      </c>
      <c r="AC432" s="252">
        <v>0</v>
      </c>
      <c r="AD432" s="252">
        <v>0</v>
      </c>
      <c r="AE432" s="252" t="s">
        <v>720</v>
      </c>
      <c r="AF432" s="252" t="s">
        <v>721</v>
      </c>
      <c r="AG432" s="252">
        <f t="shared" si="31"/>
        <v>0</v>
      </c>
      <c r="AH432" s="252">
        <f t="shared" si="32"/>
        <v>0</v>
      </c>
      <c r="AI432" s="252">
        <f t="shared" si="33"/>
        <v>0</v>
      </c>
      <c r="AJ432" s="252">
        <f t="shared" si="34"/>
        <v>0</v>
      </c>
    </row>
    <row r="433" spans="1:36" x14ac:dyDescent="0.2">
      <c r="A433" s="253" t="str">
        <f t="shared" si="30"/>
        <v>SNCPP350125</v>
      </c>
      <c r="B433" s="252" t="s">
        <v>19</v>
      </c>
      <c r="C433" s="252" t="s">
        <v>20</v>
      </c>
      <c r="D433" s="252" t="s">
        <v>2558</v>
      </c>
      <c r="E433" s="252" t="s">
        <v>2522</v>
      </c>
      <c r="F433" s="252" t="s">
        <v>2561</v>
      </c>
      <c r="G433" s="252">
        <v>25</v>
      </c>
      <c r="H433" s="252" t="s">
        <v>928</v>
      </c>
      <c r="I433" s="252" t="s">
        <v>928</v>
      </c>
      <c r="J433" s="252" t="s">
        <v>928</v>
      </c>
      <c r="K433" s="252" t="s">
        <v>3236</v>
      </c>
      <c r="L433" s="252">
        <v>477.25</v>
      </c>
      <c r="M433" s="252">
        <v>0</v>
      </c>
      <c r="N433" s="252">
        <v>0</v>
      </c>
      <c r="O433" s="252">
        <v>0</v>
      </c>
      <c r="P433" s="252">
        <v>0</v>
      </c>
      <c r="Q433" s="252">
        <v>0</v>
      </c>
      <c r="R433" s="252">
        <v>0</v>
      </c>
      <c r="S433" s="252">
        <v>0</v>
      </c>
      <c r="T433" s="252">
        <v>0</v>
      </c>
      <c r="U433" s="252">
        <v>0</v>
      </c>
      <c r="V433" s="252">
        <v>0</v>
      </c>
      <c r="W433" s="252">
        <v>0</v>
      </c>
      <c r="X433" s="252">
        <v>0</v>
      </c>
      <c r="Y433" s="252">
        <v>351.3</v>
      </c>
      <c r="Z433" s="252">
        <v>0</v>
      </c>
      <c r="AA433" s="252">
        <v>0</v>
      </c>
      <c r="AB433" s="252">
        <v>125.95</v>
      </c>
      <c r="AC433" s="252">
        <v>0</v>
      </c>
      <c r="AD433" s="252">
        <v>0</v>
      </c>
      <c r="AE433" s="252" t="s">
        <v>720</v>
      </c>
      <c r="AF433" s="252" t="s">
        <v>721</v>
      </c>
      <c r="AG433" s="252">
        <f t="shared" si="31"/>
        <v>0</v>
      </c>
      <c r="AH433" s="252">
        <f t="shared" si="32"/>
        <v>0</v>
      </c>
      <c r="AI433" s="252">
        <f t="shared" si="33"/>
        <v>0</v>
      </c>
      <c r="AJ433" s="252">
        <f t="shared" si="34"/>
        <v>0</v>
      </c>
    </row>
    <row r="434" spans="1:36" x14ac:dyDescent="0.2">
      <c r="A434" s="253" t="str">
        <f t="shared" si="30"/>
        <v>2SNCPP350130</v>
      </c>
      <c r="B434" s="252" t="s">
        <v>19</v>
      </c>
      <c r="C434" s="252" t="s">
        <v>20</v>
      </c>
      <c r="D434" s="252" t="s">
        <v>2558</v>
      </c>
      <c r="E434" s="252" t="s">
        <v>2522</v>
      </c>
      <c r="F434" s="252" t="s">
        <v>2561</v>
      </c>
      <c r="G434" s="252">
        <v>30</v>
      </c>
      <c r="H434" s="252" t="s">
        <v>928</v>
      </c>
      <c r="I434" s="252" t="s">
        <v>2477</v>
      </c>
      <c r="J434" s="252" t="s">
        <v>928</v>
      </c>
      <c r="K434" s="252" t="s">
        <v>3236</v>
      </c>
      <c r="L434" s="252">
        <v>354.35</v>
      </c>
      <c r="M434" s="252">
        <v>0</v>
      </c>
      <c r="N434" s="252">
        <v>0</v>
      </c>
      <c r="O434" s="252">
        <v>0</v>
      </c>
      <c r="P434" s="252">
        <v>0</v>
      </c>
      <c r="Q434" s="252">
        <v>0</v>
      </c>
      <c r="R434" s="252">
        <v>0</v>
      </c>
      <c r="S434" s="252">
        <v>0</v>
      </c>
      <c r="T434" s="252">
        <v>0</v>
      </c>
      <c r="U434" s="252">
        <v>0</v>
      </c>
      <c r="V434" s="252">
        <v>0</v>
      </c>
      <c r="W434" s="252">
        <v>0</v>
      </c>
      <c r="X434" s="252">
        <v>0</v>
      </c>
      <c r="Y434" s="252">
        <v>278.66000000000003</v>
      </c>
      <c r="Z434" s="252">
        <v>0</v>
      </c>
      <c r="AA434" s="252">
        <v>0</v>
      </c>
      <c r="AB434" s="252">
        <v>75.69</v>
      </c>
      <c r="AC434" s="252">
        <v>0</v>
      </c>
      <c r="AD434" s="252">
        <v>0</v>
      </c>
      <c r="AE434" s="252" t="s">
        <v>720</v>
      </c>
      <c r="AF434" s="252" t="s">
        <v>721</v>
      </c>
      <c r="AG434" s="252">
        <f t="shared" si="31"/>
        <v>0</v>
      </c>
      <c r="AH434" s="252">
        <f t="shared" si="32"/>
        <v>0</v>
      </c>
      <c r="AI434" s="252">
        <f t="shared" si="33"/>
        <v>0</v>
      </c>
      <c r="AJ434" s="252">
        <f t="shared" si="34"/>
        <v>0</v>
      </c>
    </row>
    <row r="435" spans="1:36" x14ac:dyDescent="0.2">
      <c r="A435" s="253" t="str">
        <f t="shared" si="30"/>
        <v>SNCPP350130</v>
      </c>
      <c r="B435" s="252" t="s">
        <v>19</v>
      </c>
      <c r="C435" s="252" t="s">
        <v>20</v>
      </c>
      <c r="D435" s="252" t="s">
        <v>2558</v>
      </c>
      <c r="E435" s="252" t="s">
        <v>2522</v>
      </c>
      <c r="F435" s="252" t="s">
        <v>2561</v>
      </c>
      <c r="G435" s="252">
        <v>30</v>
      </c>
      <c r="H435" s="252" t="s">
        <v>928</v>
      </c>
      <c r="I435" s="252" t="s">
        <v>928</v>
      </c>
      <c r="J435" s="252" t="s">
        <v>928</v>
      </c>
      <c r="K435" s="252" t="s">
        <v>3236</v>
      </c>
      <c r="L435" s="252">
        <v>354.35</v>
      </c>
      <c r="M435" s="252">
        <v>0</v>
      </c>
      <c r="N435" s="252">
        <v>0</v>
      </c>
      <c r="O435" s="252">
        <v>0</v>
      </c>
      <c r="P435" s="252">
        <v>0</v>
      </c>
      <c r="Q435" s="252">
        <v>0</v>
      </c>
      <c r="R435" s="252">
        <v>0</v>
      </c>
      <c r="S435" s="252">
        <v>0</v>
      </c>
      <c r="T435" s="252">
        <v>0</v>
      </c>
      <c r="U435" s="252">
        <v>0</v>
      </c>
      <c r="V435" s="252">
        <v>0</v>
      </c>
      <c r="W435" s="252">
        <v>0</v>
      </c>
      <c r="X435" s="252">
        <v>0</v>
      </c>
      <c r="Y435" s="252">
        <v>278.66000000000003</v>
      </c>
      <c r="Z435" s="252">
        <v>0</v>
      </c>
      <c r="AA435" s="252">
        <v>0</v>
      </c>
      <c r="AB435" s="252">
        <v>75.69</v>
      </c>
      <c r="AC435" s="252">
        <v>0</v>
      </c>
      <c r="AD435" s="252">
        <v>0</v>
      </c>
      <c r="AE435" s="252" t="s">
        <v>720</v>
      </c>
      <c r="AF435" s="252" t="s">
        <v>721</v>
      </c>
      <c r="AG435" s="252">
        <f t="shared" si="31"/>
        <v>0</v>
      </c>
      <c r="AH435" s="252">
        <f t="shared" si="32"/>
        <v>0</v>
      </c>
      <c r="AI435" s="252">
        <f t="shared" si="33"/>
        <v>0</v>
      </c>
      <c r="AJ435" s="252">
        <f t="shared" si="34"/>
        <v>0</v>
      </c>
    </row>
    <row r="436" spans="1:36" x14ac:dyDescent="0.2">
      <c r="A436" s="253" t="str">
        <f t="shared" si="30"/>
        <v>2SNCPP350140</v>
      </c>
      <c r="B436" s="252" t="s">
        <v>19</v>
      </c>
      <c r="C436" s="252" t="s">
        <v>20</v>
      </c>
      <c r="D436" s="252" t="s">
        <v>2558</v>
      </c>
      <c r="E436" s="252" t="s">
        <v>2522</v>
      </c>
      <c r="F436" s="252" t="s">
        <v>2561</v>
      </c>
      <c r="G436" s="252">
        <v>40</v>
      </c>
      <c r="H436" s="252" t="s">
        <v>928</v>
      </c>
      <c r="I436" s="252" t="s">
        <v>2477</v>
      </c>
      <c r="J436" s="252" t="s">
        <v>928</v>
      </c>
      <c r="K436" s="252" t="s">
        <v>3236</v>
      </c>
      <c r="L436" s="252">
        <v>442.42</v>
      </c>
      <c r="M436" s="252">
        <v>0</v>
      </c>
      <c r="N436" s="252">
        <v>0</v>
      </c>
      <c r="O436" s="252">
        <v>0</v>
      </c>
      <c r="P436" s="252">
        <v>0</v>
      </c>
      <c r="Q436" s="252">
        <v>0</v>
      </c>
      <c r="R436" s="252">
        <v>0</v>
      </c>
      <c r="S436" s="252">
        <v>0</v>
      </c>
      <c r="T436" s="252">
        <v>0</v>
      </c>
      <c r="U436" s="252">
        <v>0</v>
      </c>
      <c r="V436" s="252">
        <v>0</v>
      </c>
      <c r="W436" s="252">
        <v>0</v>
      </c>
      <c r="X436" s="252">
        <v>0</v>
      </c>
      <c r="Y436" s="252">
        <v>313.54000000000002</v>
      </c>
      <c r="Z436" s="252">
        <v>0</v>
      </c>
      <c r="AA436" s="252">
        <v>0</v>
      </c>
      <c r="AB436" s="252">
        <v>128.88</v>
      </c>
      <c r="AC436" s="252">
        <v>0</v>
      </c>
      <c r="AD436" s="252">
        <v>0</v>
      </c>
      <c r="AE436" s="252" t="s">
        <v>720</v>
      </c>
      <c r="AF436" s="252" t="s">
        <v>721</v>
      </c>
      <c r="AG436" s="252">
        <f t="shared" si="31"/>
        <v>0</v>
      </c>
      <c r="AH436" s="252">
        <f t="shared" si="32"/>
        <v>0</v>
      </c>
      <c r="AI436" s="252">
        <f t="shared" si="33"/>
        <v>0</v>
      </c>
      <c r="AJ436" s="252">
        <f t="shared" si="34"/>
        <v>0</v>
      </c>
    </row>
    <row r="437" spans="1:36" x14ac:dyDescent="0.2">
      <c r="A437" s="253" t="str">
        <f t="shared" si="30"/>
        <v>SNCPP350140</v>
      </c>
      <c r="B437" s="252" t="s">
        <v>19</v>
      </c>
      <c r="C437" s="252" t="s">
        <v>20</v>
      </c>
      <c r="D437" s="252" t="s">
        <v>2558</v>
      </c>
      <c r="E437" s="252" t="s">
        <v>2522</v>
      </c>
      <c r="F437" s="252" t="s">
        <v>2561</v>
      </c>
      <c r="G437" s="252">
        <v>40</v>
      </c>
      <c r="H437" s="252" t="s">
        <v>928</v>
      </c>
      <c r="I437" s="252" t="s">
        <v>928</v>
      </c>
      <c r="J437" s="252" t="s">
        <v>928</v>
      </c>
      <c r="K437" s="252" t="s">
        <v>3236</v>
      </c>
      <c r="L437" s="252">
        <v>442.42</v>
      </c>
      <c r="M437" s="252">
        <v>0</v>
      </c>
      <c r="N437" s="252">
        <v>0</v>
      </c>
      <c r="O437" s="252">
        <v>0</v>
      </c>
      <c r="P437" s="252">
        <v>0</v>
      </c>
      <c r="Q437" s="252">
        <v>0</v>
      </c>
      <c r="R437" s="252">
        <v>0</v>
      </c>
      <c r="S437" s="252">
        <v>0</v>
      </c>
      <c r="T437" s="252">
        <v>0</v>
      </c>
      <c r="U437" s="252">
        <v>0</v>
      </c>
      <c r="V437" s="252">
        <v>0</v>
      </c>
      <c r="W437" s="252">
        <v>0</v>
      </c>
      <c r="X437" s="252">
        <v>0</v>
      </c>
      <c r="Y437" s="252">
        <v>313.54000000000002</v>
      </c>
      <c r="Z437" s="252">
        <v>0</v>
      </c>
      <c r="AA437" s="252">
        <v>0</v>
      </c>
      <c r="AB437" s="252">
        <v>128.88</v>
      </c>
      <c r="AC437" s="252">
        <v>0</v>
      </c>
      <c r="AD437" s="252">
        <v>0</v>
      </c>
      <c r="AE437" s="252" t="s">
        <v>720</v>
      </c>
      <c r="AF437" s="252" t="s">
        <v>721</v>
      </c>
      <c r="AG437" s="252">
        <f t="shared" si="31"/>
        <v>0</v>
      </c>
      <c r="AH437" s="252">
        <f t="shared" si="32"/>
        <v>0</v>
      </c>
      <c r="AI437" s="252">
        <f t="shared" si="33"/>
        <v>0</v>
      </c>
      <c r="AJ437" s="252">
        <f t="shared" si="34"/>
        <v>0</v>
      </c>
    </row>
    <row r="438" spans="1:36" x14ac:dyDescent="0.2">
      <c r="A438" s="253" t="str">
        <f t="shared" si="30"/>
        <v>2SNCPP350150</v>
      </c>
      <c r="B438" s="252" t="s">
        <v>19</v>
      </c>
      <c r="C438" s="252" t="s">
        <v>20</v>
      </c>
      <c r="D438" s="252" t="s">
        <v>2558</v>
      </c>
      <c r="E438" s="252" t="s">
        <v>2522</v>
      </c>
      <c r="F438" s="252" t="s">
        <v>2561</v>
      </c>
      <c r="G438" s="252">
        <v>50</v>
      </c>
      <c r="H438" s="252" t="s">
        <v>928</v>
      </c>
      <c r="I438" s="252" t="s">
        <v>2477</v>
      </c>
      <c r="J438" s="252" t="s">
        <v>928</v>
      </c>
      <c r="K438" s="252" t="s">
        <v>3236</v>
      </c>
      <c r="L438" s="252">
        <v>699.46</v>
      </c>
      <c r="M438" s="252">
        <v>0</v>
      </c>
      <c r="N438" s="252">
        <v>0</v>
      </c>
      <c r="O438" s="252">
        <v>0</v>
      </c>
      <c r="P438" s="252">
        <v>0</v>
      </c>
      <c r="Q438" s="252">
        <v>0</v>
      </c>
      <c r="R438" s="252">
        <v>0</v>
      </c>
      <c r="S438" s="252">
        <v>0</v>
      </c>
      <c r="T438" s="252">
        <v>0</v>
      </c>
      <c r="U438" s="252">
        <v>0</v>
      </c>
      <c r="V438" s="252">
        <v>0</v>
      </c>
      <c r="W438" s="252">
        <v>0</v>
      </c>
      <c r="X438" s="252">
        <v>0</v>
      </c>
      <c r="Y438" s="252">
        <v>473.36</v>
      </c>
      <c r="Z438" s="252">
        <v>0</v>
      </c>
      <c r="AA438" s="252">
        <v>0</v>
      </c>
      <c r="AB438" s="252">
        <v>226.1</v>
      </c>
      <c r="AC438" s="252">
        <v>0</v>
      </c>
      <c r="AD438" s="252">
        <v>0</v>
      </c>
      <c r="AE438" s="252" t="s">
        <v>720</v>
      </c>
      <c r="AF438" s="252" t="s">
        <v>721</v>
      </c>
      <c r="AG438" s="252">
        <f t="shared" si="31"/>
        <v>0</v>
      </c>
      <c r="AH438" s="252">
        <f t="shared" si="32"/>
        <v>0</v>
      </c>
      <c r="AI438" s="252">
        <f t="shared" si="33"/>
        <v>0</v>
      </c>
      <c r="AJ438" s="252">
        <f t="shared" si="34"/>
        <v>0</v>
      </c>
    </row>
    <row r="439" spans="1:36" x14ac:dyDescent="0.2">
      <c r="A439" s="253" t="str">
        <f t="shared" si="30"/>
        <v>SNCPP350150</v>
      </c>
      <c r="B439" s="252" t="s">
        <v>19</v>
      </c>
      <c r="C439" s="252" t="s">
        <v>20</v>
      </c>
      <c r="D439" s="252" t="s">
        <v>2558</v>
      </c>
      <c r="E439" s="252" t="s">
        <v>2522</v>
      </c>
      <c r="F439" s="252" t="s">
        <v>2561</v>
      </c>
      <c r="G439" s="252">
        <v>50</v>
      </c>
      <c r="H439" s="252" t="s">
        <v>928</v>
      </c>
      <c r="I439" s="252" t="s">
        <v>928</v>
      </c>
      <c r="J439" s="252" t="s">
        <v>928</v>
      </c>
      <c r="K439" s="252" t="s">
        <v>3236</v>
      </c>
      <c r="L439" s="252">
        <v>699.46</v>
      </c>
      <c r="M439" s="252">
        <v>0</v>
      </c>
      <c r="N439" s="252">
        <v>0</v>
      </c>
      <c r="O439" s="252">
        <v>0</v>
      </c>
      <c r="P439" s="252">
        <v>0</v>
      </c>
      <c r="Q439" s="252">
        <v>0</v>
      </c>
      <c r="R439" s="252">
        <v>0</v>
      </c>
      <c r="S439" s="252">
        <v>0</v>
      </c>
      <c r="T439" s="252">
        <v>0</v>
      </c>
      <c r="U439" s="252">
        <v>0</v>
      </c>
      <c r="V439" s="252">
        <v>0</v>
      </c>
      <c r="W439" s="252">
        <v>0</v>
      </c>
      <c r="X439" s="252">
        <v>0</v>
      </c>
      <c r="Y439" s="252">
        <v>473.36</v>
      </c>
      <c r="Z439" s="252">
        <v>0</v>
      </c>
      <c r="AA439" s="252">
        <v>0</v>
      </c>
      <c r="AB439" s="252">
        <v>226.1</v>
      </c>
      <c r="AC439" s="252">
        <v>0</v>
      </c>
      <c r="AD439" s="252">
        <v>0</v>
      </c>
      <c r="AE439" s="252" t="s">
        <v>720</v>
      </c>
      <c r="AF439" s="252" t="s">
        <v>721</v>
      </c>
      <c r="AG439" s="252">
        <f t="shared" si="31"/>
        <v>0</v>
      </c>
      <c r="AH439" s="252">
        <f t="shared" si="32"/>
        <v>0</v>
      </c>
      <c r="AI439" s="252">
        <f t="shared" si="33"/>
        <v>0</v>
      </c>
      <c r="AJ439" s="252">
        <f t="shared" si="34"/>
        <v>0</v>
      </c>
    </row>
    <row r="440" spans="1:36" x14ac:dyDescent="0.2">
      <c r="A440" s="253" t="str">
        <f t="shared" si="30"/>
        <v>2SNCPP3701J40</v>
      </c>
      <c r="B440" s="252" t="s">
        <v>19</v>
      </c>
      <c r="C440" s="252" t="s">
        <v>20</v>
      </c>
      <c r="D440" s="252" t="s">
        <v>2558</v>
      </c>
      <c r="E440" s="252" t="s">
        <v>2522</v>
      </c>
      <c r="F440" s="252" t="s">
        <v>2562</v>
      </c>
      <c r="G440" s="252">
        <v>40</v>
      </c>
      <c r="H440" s="252" t="s">
        <v>928</v>
      </c>
      <c r="I440" s="252" t="s">
        <v>2477</v>
      </c>
      <c r="J440" s="252" t="s">
        <v>928</v>
      </c>
      <c r="K440" s="252" t="s">
        <v>3236</v>
      </c>
      <c r="L440" s="252">
        <v>475.05</v>
      </c>
      <c r="M440" s="252">
        <v>0</v>
      </c>
      <c r="N440" s="252">
        <v>0</v>
      </c>
      <c r="O440" s="252">
        <v>0</v>
      </c>
      <c r="P440" s="252">
        <v>0</v>
      </c>
      <c r="Q440" s="252">
        <v>0</v>
      </c>
      <c r="R440" s="252">
        <v>0</v>
      </c>
      <c r="S440" s="252">
        <v>0</v>
      </c>
      <c r="T440" s="252">
        <v>0</v>
      </c>
      <c r="U440" s="252">
        <v>0</v>
      </c>
      <c r="V440" s="252">
        <v>0</v>
      </c>
      <c r="W440" s="252">
        <v>0</v>
      </c>
      <c r="X440" s="252">
        <v>0</v>
      </c>
      <c r="Y440" s="252">
        <v>326.35000000000002</v>
      </c>
      <c r="Z440" s="252">
        <v>0</v>
      </c>
      <c r="AA440" s="252">
        <v>0</v>
      </c>
      <c r="AB440" s="252">
        <v>148.69999999999999</v>
      </c>
      <c r="AC440" s="252">
        <v>0</v>
      </c>
      <c r="AD440" s="252">
        <v>0</v>
      </c>
      <c r="AE440" s="252" t="s">
        <v>720</v>
      </c>
      <c r="AF440" s="252" t="s">
        <v>721</v>
      </c>
      <c r="AG440" s="252">
        <f t="shared" si="31"/>
        <v>0</v>
      </c>
      <c r="AH440" s="252">
        <f t="shared" si="32"/>
        <v>0</v>
      </c>
      <c r="AI440" s="252">
        <f t="shared" si="33"/>
        <v>0</v>
      </c>
      <c r="AJ440" s="252">
        <f t="shared" si="34"/>
        <v>0</v>
      </c>
    </row>
    <row r="441" spans="1:36" x14ac:dyDescent="0.2">
      <c r="A441" s="253" t="str">
        <f t="shared" si="30"/>
        <v>SNCPP3701J40</v>
      </c>
      <c r="B441" s="252" t="s">
        <v>19</v>
      </c>
      <c r="C441" s="252" t="s">
        <v>20</v>
      </c>
      <c r="D441" s="252" t="s">
        <v>2558</v>
      </c>
      <c r="E441" s="252" t="s">
        <v>2522</v>
      </c>
      <c r="F441" s="252" t="s">
        <v>2562</v>
      </c>
      <c r="G441" s="252">
        <v>40</v>
      </c>
      <c r="H441" s="252" t="s">
        <v>928</v>
      </c>
      <c r="I441" s="252" t="s">
        <v>928</v>
      </c>
      <c r="J441" s="252" t="s">
        <v>928</v>
      </c>
      <c r="K441" s="252" t="s">
        <v>3236</v>
      </c>
      <c r="L441" s="252">
        <v>475.05</v>
      </c>
      <c r="M441" s="252">
        <v>0</v>
      </c>
      <c r="N441" s="252">
        <v>0</v>
      </c>
      <c r="O441" s="252">
        <v>0</v>
      </c>
      <c r="P441" s="252">
        <v>0</v>
      </c>
      <c r="Q441" s="252">
        <v>0</v>
      </c>
      <c r="R441" s="252">
        <v>0</v>
      </c>
      <c r="S441" s="252">
        <v>0</v>
      </c>
      <c r="T441" s="252">
        <v>0</v>
      </c>
      <c r="U441" s="252">
        <v>0</v>
      </c>
      <c r="V441" s="252">
        <v>0</v>
      </c>
      <c r="W441" s="252">
        <v>0</v>
      </c>
      <c r="X441" s="252">
        <v>0</v>
      </c>
      <c r="Y441" s="252">
        <v>326.35000000000002</v>
      </c>
      <c r="Z441" s="252">
        <v>0</v>
      </c>
      <c r="AA441" s="252">
        <v>0</v>
      </c>
      <c r="AB441" s="252">
        <v>148.69999999999999</v>
      </c>
      <c r="AC441" s="252">
        <v>0</v>
      </c>
      <c r="AD441" s="252">
        <v>0</v>
      </c>
      <c r="AE441" s="252" t="s">
        <v>720</v>
      </c>
      <c r="AF441" s="252" t="s">
        <v>721</v>
      </c>
      <c r="AG441" s="252">
        <f t="shared" si="31"/>
        <v>0</v>
      </c>
      <c r="AH441" s="252">
        <f t="shared" si="32"/>
        <v>0</v>
      </c>
      <c r="AI441" s="252">
        <f t="shared" si="33"/>
        <v>0</v>
      </c>
      <c r="AJ441" s="252">
        <f t="shared" si="34"/>
        <v>0</v>
      </c>
    </row>
    <row r="442" spans="1:36" x14ac:dyDescent="0.2">
      <c r="A442" s="253" t="str">
        <f t="shared" si="30"/>
        <v>2SNCPP372170</v>
      </c>
      <c r="B442" s="252" t="s">
        <v>19</v>
      </c>
      <c r="C442" s="252" t="s">
        <v>20</v>
      </c>
      <c r="D442" s="252" t="s">
        <v>2558</v>
      </c>
      <c r="E442" s="252" t="s">
        <v>2522</v>
      </c>
      <c r="F442" s="252" t="s">
        <v>2563</v>
      </c>
      <c r="G442" s="252">
        <v>70</v>
      </c>
      <c r="H442" s="252" t="s">
        <v>928</v>
      </c>
      <c r="I442" s="252" t="s">
        <v>2477</v>
      </c>
      <c r="J442" s="252" t="s">
        <v>928</v>
      </c>
      <c r="K442" s="252" t="s">
        <v>3236</v>
      </c>
      <c r="L442" s="252">
        <v>529.4</v>
      </c>
      <c r="M442" s="252">
        <v>0</v>
      </c>
      <c r="N442" s="252">
        <v>0</v>
      </c>
      <c r="O442" s="252">
        <v>0</v>
      </c>
      <c r="P442" s="252">
        <v>0</v>
      </c>
      <c r="Q442" s="252">
        <v>0</v>
      </c>
      <c r="R442" s="252">
        <v>0</v>
      </c>
      <c r="S442" s="252">
        <v>0</v>
      </c>
      <c r="T442" s="252">
        <v>0</v>
      </c>
      <c r="U442" s="252">
        <v>0</v>
      </c>
      <c r="V442" s="252">
        <v>0</v>
      </c>
      <c r="W442" s="252">
        <v>0</v>
      </c>
      <c r="X442" s="252">
        <v>0</v>
      </c>
      <c r="Y442" s="252">
        <v>367.74</v>
      </c>
      <c r="Z442" s="252">
        <v>0</v>
      </c>
      <c r="AA442" s="252">
        <v>0</v>
      </c>
      <c r="AB442" s="252">
        <v>161.66</v>
      </c>
      <c r="AC442" s="252">
        <v>0</v>
      </c>
      <c r="AD442" s="252">
        <v>0</v>
      </c>
      <c r="AE442" s="252" t="s">
        <v>720</v>
      </c>
      <c r="AF442" s="252" t="s">
        <v>721</v>
      </c>
      <c r="AG442" s="252">
        <f t="shared" si="31"/>
        <v>0</v>
      </c>
      <c r="AH442" s="252">
        <f t="shared" si="32"/>
        <v>0</v>
      </c>
      <c r="AI442" s="252">
        <f t="shared" si="33"/>
        <v>0</v>
      </c>
      <c r="AJ442" s="252">
        <f t="shared" si="34"/>
        <v>0</v>
      </c>
    </row>
    <row r="443" spans="1:36" x14ac:dyDescent="0.2">
      <c r="A443" s="253" t="str">
        <f t="shared" si="30"/>
        <v>SNCPP372170</v>
      </c>
      <c r="B443" s="252" t="s">
        <v>19</v>
      </c>
      <c r="C443" s="252" t="s">
        <v>20</v>
      </c>
      <c r="D443" s="252" t="s">
        <v>2558</v>
      </c>
      <c r="E443" s="252" t="s">
        <v>2522</v>
      </c>
      <c r="F443" s="252" t="s">
        <v>2563</v>
      </c>
      <c r="G443" s="252">
        <v>70</v>
      </c>
      <c r="H443" s="252" t="s">
        <v>928</v>
      </c>
      <c r="I443" s="252" t="s">
        <v>928</v>
      </c>
      <c r="J443" s="252" t="s">
        <v>928</v>
      </c>
      <c r="K443" s="252" t="s">
        <v>3236</v>
      </c>
      <c r="L443" s="252">
        <v>529.4</v>
      </c>
      <c r="M443" s="252">
        <v>0</v>
      </c>
      <c r="N443" s="252">
        <v>0</v>
      </c>
      <c r="O443" s="252">
        <v>0</v>
      </c>
      <c r="P443" s="252">
        <v>0</v>
      </c>
      <c r="Q443" s="252">
        <v>0</v>
      </c>
      <c r="R443" s="252">
        <v>0</v>
      </c>
      <c r="S443" s="252">
        <v>0</v>
      </c>
      <c r="T443" s="252">
        <v>0</v>
      </c>
      <c r="U443" s="252">
        <v>0</v>
      </c>
      <c r="V443" s="252">
        <v>0</v>
      </c>
      <c r="W443" s="252">
        <v>0</v>
      </c>
      <c r="X443" s="252">
        <v>0</v>
      </c>
      <c r="Y443" s="252">
        <v>367.74</v>
      </c>
      <c r="Z443" s="252">
        <v>0</v>
      </c>
      <c r="AA443" s="252">
        <v>0</v>
      </c>
      <c r="AB443" s="252">
        <v>161.66</v>
      </c>
      <c r="AC443" s="252">
        <v>0</v>
      </c>
      <c r="AD443" s="252">
        <v>0</v>
      </c>
      <c r="AE443" s="252" t="s">
        <v>720</v>
      </c>
      <c r="AF443" s="252" t="s">
        <v>721</v>
      </c>
      <c r="AG443" s="252">
        <f t="shared" si="31"/>
        <v>0</v>
      </c>
      <c r="AH443" s="252">
        <f t="shared" si="32"/>
        <v>0</v>
      </c>
      <c r="AI443" s="252">
        <f t="shared" si="33"/>
        <v>0</v>
      </c>
      <c r="AJ443" s="252">
        <f t="shared" si="34"/>
        <v>0</v>
      </c>
    </row>
    <row r="444" spans="1:36" x14ac:dyDescent="0.2">
      <c r="A444" s="253" t="str">
        <f t="shared" si="30"/>
        <v>2SNCPP395130</v>
      </c>
      <c r="B444" s="252" t="s">
        <v>19</v>
      </c>
      <c r="C444" s="252" t="s">
        <v>20</v>
      </c>
      <c r="D444" s="252" t="s">
        <v>2558</v>
      </c>
      <c r="E444" s="252" t="s">
        <v>2522</v>
      </c>
      <c r="F444" s="252" t="s">
        <v>2564</v>
      </c>
      <c r="G444" s="252">
        <v>30</v>
      </c>
      <c r="H444" s="252" t="s">
        <v>928</v>
      </c>
      <c r="I444" s="252" t="s">
        <v>2477</v>
      </c>
      <c r="J444" s="252" t="s">
        <v>928</v>
      </c>
      <c r="K444" s="252" t="s">
        <v>3236</v>
      </c>
      <c r="L444" s="252">
        <v>508.43</v>
      </c>
      <c r="M444" s="252">
        <v>0</v>
      </c>
      <c r="N444" s="252">
        <v>0</v>
      </c>
      <c r="O444" s="252">
        <v>0</v>
      </c>
      <c r="P444" s="252">
        <v>0</v>
      </c>
      <c r="Q444" s="252">
        <v>0</v>
      </c>
      <c r="R444" s="252">
        <v>0</v>
      </c>
      <c r="S444" s="252">
        <v>0</v>
      </c>
      <c r="T444" s="252">
        <v>0</v>
      </c>
      <c r="U444" s="252">
        <v>0</v>
      </c>
      <c r="V444" s="252">
        <v>0</v>
      </c>
      <c r="W444" s="252">
        <v>0</v>
      </c>
      <c r="X444" s="252">
        <v>0</v>
      </c>
      <c r="Y444" s="252">
        <v>362.88</v>
      </c>
      <c r="Z444" s="252">
        <v>0</v>
      </c>
      <c r="AA444" s="252">
        <v>0</v>
      </c>
      <c r="AB444" s="252">
        <v>145.55000000000001</v>
      </c>
      <c r="AC444" s="252">
        <v>0</v>
      </c>
      <c r="AD444" s="252">
        <v>0</v>
      </c>
      <c r="AE444" s="252" t="s">
        <v>720</v>
      </c>
      <c r="AF444" s="252" t="s">
        <v>721</v>
      </c>
      <c r="AG444" s="252">
        <f t="shared" si="31"/>
        <v>0</v>
      </c>
      <c r="AH444" s="252">
        <f t="shared" si="32"/>
        <v>0</v>
      </c>
      <c r="AI444" s="252">
        <f t="shared" si="33"/>
        <v>0</v>
      </c>
      <c r="AJ444" s="252">
        <f t="shared" si="34"/>
        <v>0</v>
      </c>
    </row>
    <row r="445" spans="1:36" x14ac:dyDescent="0.2">
      <c r="A445" s="253" t="str">
        <f t="shared" si="30"/>
        <v>SNCPP395130</v>
      </c>
      <c r="B445" s="252" t="s">
        <v>19</v>
      </c>
      <c r="C445" s="252" t="s">
        <v>20</v>
      </c>
      <c r="D445" s="252" t="s">
        <v>2558</v>
      </c>
      <c r="E445" s="252" t="s">
        <v>2522</v>
      </c>
      <c r="F445" s="252" t="s">
        <v>2564</v>
      </c>
      <c r="G445" s="252">
        <v>30</v>
      </c>
      <c r="H445" s="252" t="s">
        <v>928</v>
      </c>
      <c r="I445" s="252" t="s">
        <v>928</v>
      </c>
      <c r="J445" s="252" t="s">
        <v>928</v>
      </c>
      <c r="K445" s="252" t="s">
        <v>3236</v>
      </c>
      <c r="L445" s="252">
        <v>508.43</v>
      </c>
      <c r="M445" s="252">
        <v>0</v>
      </c>
      <c r="N445" s="252">
        <v>0</v>
      </c>
      <c r="O445" s="252">
        <v>0</v>
      </c>
      <c r="P445" s="252">
        <v>0</v>
      </c>
      <c r="Q445" s="252">
        <v>0</v>
      </c>
      <c r="R445" s="252">
        <v>0</v>
      </c>
      <c r="S445" s="252">
        <v>0</v>
      </c>
      <c r="T445" s="252">
        <v>0</v>
      </c>
      <c r="U445" s="252">
        <v>0</v>
      </c>
      <c r="V445" s="252">
        <v>0</v>
      </c>
      <c r="W445" s="252">
        <v>0</v>
      </c>
      <c r="X445" s="252">
        <v>0</v>
      </c>
      <c r="Y445" s="252">
        <v>362.88</v>
      </c>
      <c r="Z445" s="252">
        <v>0</v>
      </c>
      <c r="AA445" s="252">
        <v>0</v>
      </c>
      <c r="AB445" s="252">
        <v>145.55000000000001</v>
      </c>
      <c r="AC445" s="252">
        <v>0</v>
      </c>
      <c r="AD445" s="252">
        <v>0</v>
      </c>
      <c r="AE445" s="252" t="s">
        <v>720</v>
      </c>
      <c r="AF445" s="252" t="s">
        <v>721</v>
      </c>
      <c r="AG445" s="252">
        <f t="shared" si="31"/>
        <v>0</v>
      </c>
      <c r="AH445" s="252">
        <f t="shared" si="32"/>
        <v>0</v>
      </c>
      <c r="AI445" s="252">
        <f t="shared" si="33"/>
        <v>0</v>
      </c>
      <c r="AJ445" s="252">
        <f t="shared" si="34"/>
        <v>0</v>
      </c>
    </row>
    <row r="446" spans="1:36" x14ac:dyDescent="0.2">
      <c r="A446" s="253" t="str">
        <f t="shared" si="30"/>
        <v>2SNCPP395140</v>
      </c>
      <c r="B446" s="252" t="s">
        <v>19</v>
      </c>
      <c r="C446" s="252" t="s">
        <v>20</v>
      </c>
      <c r="D446" s="252" t="s">
        <v>2558</v>
      </c>
      <c r="E446" s="252" t="s">
        <v>2522</v>
      </c>
      <c r="F446" s="252" t="s">
        <v>2564</v>
      </c>
      <c r="G446" s="252">
        <v>40</v>
      </c>
      <c r="H446" s="252" t="s">
        <v>928</v>
      </c>
      <c r="I446" s="252" t="s">
        <v>2477</v>
      </c>
      <c r="J446" s="252" t="s">
        <v>928</v>
      </c>
      <c r="K446" s="252" t="s">
        <v>3236</v>
      </c>
      <c r="L446" s="252">
        <v>380.9</v>
      </c>
      <c r="M446" s="252">
        <v>0</v>
      </c>
      <c r="N446" s="252">
        <v>0</v>
      </c>
      <c r="O446" s="252">
        <v>0</v>
      </c>
      <c r="P446" s="252">
        <v>0</v>
      </c>
      <c r="Q446" s="252">
        <v>0</v>
      </c>
      <c r="R446" s="252">
        <v>0</v>
      </c>
      <c r="S446" s="252">
        <v>0</v>
      </c>
      <c r="T446" s="252">
        <v>0</v>
      </c>
      <c r="U446" s="252">
        <v>0</v>
      </c>
      <c r="V446" s="252">
        <v>0</v>
      </c>
      <c r="W446" s="252">
        <v>0</v>
      </c>
      <c r="X446" s="252">
        <v>0</v>
      </c>
      <c r="Y446" s="252">
        <v>292.76</v>
      </c>
      <c r="Z446" s="252">
        <v>0</v>
      </c>
      <c r="AA446" s="252">
        <v>0</v>
      </c>
      <c r="AB446" s="252">
        <v>88.14</v>
      </c>
      <c r="AC446" s="252">
        <v>0</v>
      </c>
      <c r="AD446" s="252">
        <v>0</v>
      </c>
      <c r="AE446" s="252" t="s">
        <v>720</v>
      </c>
      <c r="AF446" s="252" t="s">
        <v>721</v>
      </c>
      <c r="AG446" s="252">
        <f t="shared" si="31"/>
        <v>0</v>
      </c>
      <c r="AH446" s="252">
        <f t="shared" si="32"/>
        <v>0</v>
      </c>
      <c r="AI446" s="252">
        <f t="shared" si="33"/>
        <v>0</v>
      </c>
      <c r="AJ446" s="252">
        <f t="shared" si="34"/>
        <v>0</v>
      </c>
    </row>
    <row r="447" spans="1:36" x14ac:dyDescent="0.2">
      <c r="A447" s="253" t="str">
        <f t="shared" si="30"/>
        <v>SNCPP395140</v>
      </c>
      <c r="B447" s="252" t="s">
        <v>19</v>
      </c>
      <c r="C447" s="252" t="s">
        <v>20</v>
      </c>
      <c r="D447" s="252" t="s">
        <v>2558</v>
      </c>
      <c r="E447" s="252" t="s">
        <v>2522</v>
      </c>
      <c r="F447" s="252" t="s">
        <v>2564</v>
      </c>
      <c r="G447" s="252">
        <v>40</v>
      </c>
      <c r="H447" s="252" t="s">
        <v>928</v>
      </c>
      <c r="I447" s="252" t="s">
        <v>928</v>
      </c>
      <c r="J447" s="252" t="s">
        <v>928</v>
      </c>
      <c r="K447" s="252" t="s">
        <v>3236</v>
      </c>
      <c r="L447" s="252">
        <v>380.9</v>
      </c>
      <c r="M447" s="252">
        <v>0</v>
      </c>
      <c r="N447" s="252">
        <v>0</v>
      </c>
      <c r="O447" s="252">
        <v>0</v>
      </c>
      <c r="P447" s="252">
        <v>0</v>
      </c>
      <c r="Q447" s="252">
        <v>0</v>
      </c>
      <c r="R447" s="252">
        <v>0</v>
      </c>
      <c r="S447" s="252">
        <v>0</v>
      </c>
      <c r="T447" s="252">
        <v>0</v>
      </c>
      <c r="U447" s="252">
        <v>0</v>
      </c>
      <c r="V447" s="252">
        <v>0</v>
      </c>
      <c r="W447" s="252">
        <v>0</v>
      </c>
      <c r="X447" s="252">
        <v>0</v>
      </c>
      <c r="Y447" s="252">
        <v>292.76</v>
      </c>
      <c r="Z447" s="252">
        <v>0</v>
      </c>
      <c r="AA447" s="252">
        <v>0</v>
      </c>
      <c r="AB447" s="252">
        <v>88.14</v>
      </c>
      <c r="AC447" s="252">
        <v>0</v>
      </c>
      <c r="AD447" s="252">
        <v>0</v>
      </c>
      <c r="AE447" s="252" t="s">
        <v>720</v>
      </c>
      <c r="AF447" s="252" t="s">
        <v>721</v>
      </c>
      <c r="AG447" s="252">
        <f t="shared" si="31"/>
        <v>0</v>
      </c>
      <c r="AH447" s="252">
        <f t="shared" si="32"/>
        <v>0</v>
      </c>
      <c r="AI447" s="252">
        <f t="shared" si="33"/>
        <v>0</v>
      </c>
      <c r="AJ447" s="252">
        <f t="shared" si="34"/>
        <v>0</v>
      </c>
    </row>
    <row r="448" spans="1:36" x14ac:dyDescent="0.2">
      <c r="A448" s="253" t="str">
        <f t="shared" si="30"/>
        <v>2SNCPP395150</v>
      </c>
      <c r="B448" s="252" t="s">
        <v>19</v>
      </c>
      <c r="C448" s="252" t="s">
        <v>20</v>
      </c>
      <c r="D448" s="252" t="s">
        <v>2558</v>
      </c>
      <c r="E448" s="252" t="s">
        <v>2522</v>
      </c>
      <c r="F448" s="252" t="s">
        <v>2564</v>
      </c>
      <c r="G448" s="252">
        <v>50</v>
      </c>
      <c r="H448" s="252" t="s">
        <v>928</v>
      </c>
      <c r="I448" s="252" t="s">
        <v>2477</v>
      </c>
      <c r="J448" s="252" t="s">
        <v>928</v>
      </c>
      <c r="K448" s="252" t="s">
        <v>3236</v>
      </c>
      <c r="L448" s="252">
        <v>345.96</v>
      </c>
      <c r="M448" s="252">
        <v>0</v>
      </c>
      <c r="N448" s="252">
        <v>0</v>
      </c>
      <c r="O448" s="252">
        <v>0</v>
      </c>
      <c r="P448" s="252">
        <v>0</v>
      </c>
      <c r="Q448" s="252">
        <v>0</v>
      </c>
      <c r="R448" s="252">
        <v>0</v>
      </c>
      <c r="S448" s="252">
        <v>0</v>
      </c>
      <c r="T448" s="252">
        <v>0</v>
      </c>
      <c r="U448" s="252">
        <v>0</v>
      </c>
      <c r="V448" s="252">
        <v>0</v>
      </c>
      <c r="W448" s="252">
        <v>0</v>
      </c>
      <c r="X448" s="252">
        <v>0</v>
      </c>
      <c r="Y448" s="252">
        <v>284.26</v>
      </c>
      <c r="Z448" s="252">
        <v>0</v>
      </c>
      <c r="AA448" s="252">
        <v>0</v>
      </c>
      <c r="AB448" s="252">
        <v>61.71</v>
      </c>
      <c r="AC448" s="252">
        <v>0</v>
      </c>
      <c r="AD448" s="252">
        <v>0</v>
      </c>
      <c r="AE448" s="252" t="s">
        <v>720</v>
      </c>
      <c r="AF448" s="252" t="s">
        <v>721</v>
      </c>
      <c r="AG448" s="252">
        <f t="shared" si="31"/>
        <v>0</v>
      </c>
      <c r="AH448" s="252">
        <f t="shared" si="32"/>
        <v>0</v>
      </c>
      <c r="AI448" s="252">
        <f t="shared" si="33"/>
        <v>0</v>
      </c>
      <c r="AJ448" s="252">
        <f t="shared" si="34"/>
        <v>0</v>
      </c>
    </row>
    <row r="449" spans="1:36" x14ac:dyDescent="0.2">
      <c r="A449" s="253" t="str">
        <f t="shared" si="30"/>
        <v>SNCPP395150</v>
      </c>
      <c r="B449" s="252" t="s">
        <v>19</v>
      </c>
      <c r="C449" s="252" t="s">
        <v>20</v>
      </c>
      <c r="D449" s="252" t="s">
        <v>2558</v>
      </c>
      <c r="E449" s="252" t="s">
        <v>2522</v>
      </c>
      <c r="F449" s="252" t="s">
        <v>2564</v>
      </c>
      <c r="G449" s="252">
        <v>50</v>
      </c>
      <c r="H449" s="252" t="s">
        <v>928</v>
      </c>
      <c r="I449" s="252" t="s">
        <v>928</v>
      </c>
      <c r="J449" s="252" t="s">
        <v>928</v>
      </c>
      <c r="K449" s="252" t="s">
        <v>3236</v>
      </c>
      <c r="L449" s="252">
        <v>345.96</v>
      </c>
      <c r="M449" s="252">
        <v>0</v>
      </c>
      <c r="N449" s="252">
        <v>0</v>
      </c>
      <c r="O449" s="252">
        <v>0</v>
      </c>
      <c r="P449" s="252">
        <v>0</v>
      </c>
      <c r="Q449" s="252">
        <v>0</v>
      </c>
      <c r="R449" s="252">
        <v>0</v>
      </c>
      <c r="S449" s="252">
        <v>0</v>
      </c>
      <c r="T449" s="252">
        <v>0</v>
      </c>
      <c r="U449" s="252">
        <v>0</v>
      </c>
      <c r="V449" s="252">
        <v>0</v>
      </c>
      <c r="W449" s="252">
        <v>0</v>
      </c>
      <c r="X449" s="252">
        <v>0</v>
      </c>
      <c r="Y449" s="252">
        <v>284.26</v>
      </c>
      <c r="Z449" s="252">
        <v>0</v>
      </c>
      <c r="AA449" s="252">
        <v>0</v>
      </c>
      <c r="AB449" s="252">
        <v>61.71</v>
      </c>
      <c r="AC449" s="252">
        <v>0</v>
      </c>
      <c r="AD449" s="252">
        <v>0</v>
      </c>
      <c r="AE449" s="252" t="s">
        <v>720</v>
      </c>
      <c r="AF449" s="252" t="s">
        <v>721</v>
      </c>
      <c r="AG449" s="252">
        <f t="shared" si="31"/>
        <v>0</v>
      </c>
      <c r="AH449" s="252">
        <f t="shared" si="32"/>
        <v>0</v>
      </c>
      <c r="AI449" s="252">
        <f t="shared" si="33"/>
        <v>0</v>
      </c>
      <c r="AJ449" s="252">
        <f t="shared" si="34"/>
        <v>0</v>
      </c>
    </row>
    <row r="450" spans="1:36" x14ac:dyDescent="0.2">
      <c r="A450" s="253" t="str">
        <f t="shared" si="30"/>
        <v>2SNCPP395160</v>
      </c>
      <c r="B450" s="252" t="s">
        <v>19</v>
      </c>
      <c r="C450" s="252" t="s">
        <v>20</v>
      </c>
      <c r="D450" s="252" t="s">
        <v>2558</v>
      </c>
      <c r="E450" s="252" t="s">
        <v>2522</v>
      </c>
      <c r="F450" s="252" t="s">
        <v>2564</v>
      </c>
      <c r="G450" s="252">
        <v>60</v>
      </c>
      <c r="H450" s="252" t="s">
        <v>928</v>
      </c>
      <c r="I450" s="252" t="s">
        <v>2477</v>
      </c>
      <c r="J450" s="252" t="s">
        <v>928</v>
      </c>
      <c r="K450" s="252" t="s">
        <v>3236</v>
      </c>
      <c r="L450" s="252">
        <v>341.87</v>
      </c>
      <c r="M450" s="252">
        <v>0</v>
      </c>
      <c r="N450" s="252">
        <v>0</v>
      </c>
      <c r="O450" s="252">
        <v>0</v>
      </c>
      <c r="P450" s="252">
        <v>0</v>
      </c>
      <c r="Q450" s="252">
        <v>0</v>
      </c>
      <c r="R450" s="252">
        <v>0</v>
      </c>
      <c r="S450" s="252">
        <v>0</v>
      </c>
      <c r="T450" s="252">
        <v>0</v>
      </c>
      <c r="U450" s="252">
        <v>0</v>
      </c>
      <c r="V450" s="252">
        <v>0</v>
      </c>
      <c r="W450" s="252">
        <v>0</v>
      </c>
      <c r="X450" s="252">
        <v>0</v>
      </c>
      <c r="Y450" s="252">
        <v>276.85000000000002</v>
      </c>
      <c r="Z450" s="252">
        <v>0</v>
      </c>
      <c r="AA450" s="252">
        <v>0</v>
      </c>
      <c r="AB450" s="252">
        <v>65.02</v>
      </c>
      <c r="AC450" s="252">
        <v>0</v>
      </c>
      <c r="AD450" s="252">
        <v>0</v>
      </c>
      <c r="AE450" s="252" t="s">
        <v>720</v>
      </c>
      <c r="AF450" s="252" t="s">
        <v>721</v>
      </c>
      <c r="AG450" s="252">
        <f t="shared" si="31"/>
        <v>0</v>
      </c>
      <c r="AH450" s="252">
        <f t="shared" si="32"/>
        <v>0</v>
      </c>
      <c r="AI450" s="252">
        <f t="shared" si="33"/>
        <v>0</v>
      </c>
      <c r="AJ450" s="252">
        <f t="shared" si="34"/>
        <v>0</v>
      </c>
    </row>
    <row r="451" spans="1:36" x14ac:dyDescent="0.2">
      <c r="A451" s="253" t="str">
        <f t="shared" si="30"/>
        <v>SNCPP395160</v>
      </c>
      <c r="B451" s="252" t="s">
        <v>19</v>
      </c>
      <c r="C451" s="252" t="s">
        <v>20</v>
      </c>
      <c r="D451" s="252" t="s">
        <v>2558</v>
      </c>
      <c r="E451" s="252" t="s">
        <v>2522</v>
      </c>
      <c r="F451" s="252" t="s">
        <v>2564</v>
      </c>
      <c r="G451" s="252">
        <v>60</v>
      </c>
      <c r="H451" s="252" t="s">
        <v>928</v>
      </c>
      <c r="I451" s="252" t="s">
        <v>928</v>
      </c>
      <c r="J451" s="252" t="s">
        <v>928</v>
      </c>
      <c r="K451" s="252" t="s">
        <v>3236</v>
      </c>
      <c r="L451" s="252">
        <v>341.87</v>
      </c>
      <c r="M451" s="252">
        <v>0</v>
      </c>
      <c r="N451" s="252">
        <v>0</v>
      </c>
      <c r="O451" s="252">
        <v>0</v>
      </c>
      <c r="P451" s="252">
        <v>0</v>
      </c>
      <c r="Q451" s="252">
        <v>0</v>
      </c>
      <c r="R451" s="252">
        <v>0</v>
      </c>
      <c r="S451" s="252">
        <v>0</v>
      </c>
      <c r="T451" s="252">
        <v>0</v>
      </c>
      <c r="U451" s="252">
        <v>0</v>
      </c>
      <c r="V451" s="252">
        <v>0</v>
      </c>
      <c r="W451" s="252">
        <v>0</v>
      </c>
      <c r="X451" s="252">
        <v>0</v>
      </c>
      <c r="Y451" s="252">
        <v>276.85000000000002</v>
      </c>
      <c r="Z451" s="252">
        <v>0</v>
      </c>
      <c r="AA451" s="252">
        <v>0</v>
      </c>
      <c r="AB451" s="252">
        <v>65.02</v>
      </c>
      <c r="AC451" s="252">
        <v>0</v>
      </c>
      <c r="AD451" s="252">
        <v>0</v>
      </c>
      <c r="AE451" s="252" t="s">
        <v>720</v>
      </c>
      <c r="AF451" s="252" t="s">
        <v>721</v>
      </c>
      <c r="AG451" s="252">
        <f t="shared" si="31"/>
        <v>0</v>
      </c>
      <c r="AH451" s="252">
        <f t="shared" si="32"/>
        <v>0</v>
      </c>
      <c r="AI451" s="252">
        <f t="shared" si="33"/>
        <v>0</v>
      </c>
      <c r="AJ451" s="252">
        <f t="shared" si="34"/>
        <v>0</v>
      </c>
    </row>
    <row r="452" spans="1:36" x14ac:dyDescent="0.2">
      <c r="A452" s="253" t="str">
        <f t="shared" ref="A452:A515" si="35">TRIM(I452&amp;B452&amp;C452&amp;D452&amp;F452&amp;G452)</f>
        <v>2SNCPP395170</v>
      </c>
      <c r="B452" s="252" t="s">
        <v>19</v>
      </c>
      <c r="C452" s="252" t="s">
        <v>20</v>
      </c>
      <c r="D452" s="252" t="s">
        <v>2558</v>
      </c>
      <c r="E452" s="252" t="s">
        <v>2522</v>
      </c>
      <c r="F452" s="252" t="s">
        <v>2564</v>
      </c>
      <c r="G452" s="252">
        <v>70</v>
      </c>
      <c r="H452" s="252" t="s">
        <v>928</v>
      </c>
      <c r="I452" s="252" t="s">
        <v>2477</v>
      </c>
      <c r="J452" s="252" t="s">
        <v>928</v>
      </c>
      <c r="K452" s="252" t="s">
        <v>3236</v>
      </c>
      <c r="L452" s="252">
        <v>371.77</v>
      </c>
      <c r="M452" s="252">
        <v>0</v>
      </c>
      <c r="N452" s="252">
        <v>0</v>
      </c>
      <c r="O452" s="252">
        <v>0</v>
      </c>
      <c r="P452" s="252">
        <v>0</v>
      </c>
      <c r="Q452" s="252">
        <v>0</v>
      </c>
      <c r="R452" s="252">
        <v>0</v>
      </c>
      <c r="S452" s="252">
        <v>0</v>
      </c>
      <c r="T452" s="252">
        <v>0</v>
      </c>
      <c r="U452" s="252">
        <v>0</v>
      </c>
      <c r="V452" s="252">
        <v>0</v>
      </c>
      <c r="W452" s="252">
        <v>0</v>
      </c>
      <c r="X452" s="252">
        <v>0</v>
      </c>
      <c r="Y452" s="252">
        <v>291.2</v>
      </c>
      <c r="Z452" s="252">
        <v>0</v>
      </c>
      <c r="AA452" s="252">
        <v>0</v>
      </c>
      <c r="AB452" s="252">
        <v>80.58</v>
      </c>
      <c r="AC452" s="252">
        <v>0</v>
      </c>
      <c r="AD452" s="252">
        <v>0</v>
      </c>
      <c r="AE452" s="252" t="s">
        <v>720</v>
      </c>
      <c r="AF452" s="252" t="s">
        <v>721</v>
      </c>
      <c r="AG452" s="252">
        <f t="shared" si="31"/>
        <v>0</v>
      </c>
      <c r="AH452" s="252">
        <f t="shared" si="32"/>
        <v>0</v>
      </c>
      <c r="AI452" s="252">
        <f t="shared" si="33"/>
        <v>0</v>
      </c>
      <c r="AJ452" s="252">
        <f t="shared" si="34"/>
        <v>0</v>
      </c>
    </row>
    <row r="453" spans="1:36" x14ac:dyDescent="0.2">
      <c r="A453" s="253" t="str">
        <f t="shared" si="35"/>
        <v>SNCPP395170</v>
      </c>
      <c r="B453" s="252" t="s">
        <v>19</v>
      </c>
      <c r="C453" s="252" t="s">
        <v>20</v>
      </c>
      <c r="D453" s="252" t="s">
        <v>2558</v>
      </c>
      <c r="E453" s="252" t="s">
        <v>2522</v>
      </c>
      <c r="F453" s="252" t="s">
        <v>2564</v>
      </c>
      <c r="G453" s="252">
        <v>70</v>
      </c>
      <c r="H453" s="252" t="s">
        <v>928</v>
      </c>
      <c r="I453" s="252" t="s">
        <v>928</v>
      </c>
      <c r="J453" s="252" t="s">
        <v>928</v>
      </c>
      <c r="K453" s="252" t="s">
        <v>3236</v>
      </c>
      <c r="L453" s="252">
        <v>371.77</v>
      </c>
      <c r="M453" s="252">
        <v>0</v>
      </c>
      <c r="N453" s="252">
        <v>0</v>
      </c>
      <c r="O453" s="252">
        <v>0</v>
      </c>
      <c r="P453" s="252">
        <v>0</v>
      </c>
      <c r="Q453" s="252">
        <v>0</v>
      </c>
      <c r="R453" s="252">
        <v>0</v>
      </c>
      <c r="S453" s="252">
        <v>0</v>
      </c>
      <c r="T453" s="252">
        <v>0</v>
      </c>
      <c r="U453" s="252">
        <v>0</v>
      </c>
      <c r="V453" s="252">
        <v>0</v>
      </c>
      <c r="W453" s="252">
        <v>0</v>
      </c>
      <c r="X453" s="252">
        <v>0</v>
      </c>
      <c r="Y453" s="252">
        <v>291.2</v>
      </c>
      <c r="Z453" s="252">
        <v>0</v>
      </c>
      <c r="AA453" s="252">
        <v>0</v>
      </c>
      <c r="AB453" s="252">
        <v>80.58</v>
      </c>
      <c r="AC453" s="252">
        <v>0</v>
      </c>
      <c r="AD453" s="252">
        <v>0</v>
      </c>
      <c r="AE453" s="252" t="s">
        <v>720</v>
      </c>
      <c r="AF453" s="252" t="s">
        <v>721</v>
      </c>
      <c r="AG453" s="252">
        <f t="shared" si="31"/>
        <v>0</v>
      </c>
      <c r="AH453" s="252">
        <f t="shared" si="32"/>
        <v>0</v>
      </c>
      <c r="AI453" s="252">
        <f t="shared" si="33"/>
        <v>0</v>
      </c>
      <c r="AJ453" s="252">
        <f t="shared" si="34"/>
        <v>0</v>
      </c>
    </row>
    <row r="454" spans="1:36" x14ac:dyDescent="0.2">
      <c r="A454" s="253" t="str">
        <f t="shared" si="35"/>
        <v>2SNCPP395180</v>
      </c>
      <c r="B454" s="252" t="s">
        <v>19</v>
      </c>
      <c r="C454" s="252" t="s">
        <v>20</v>
      </c>
      <c r="D454" s="252" t="s">
        <v>2558</v>
      </c>
      <c r="E454" s="252" t="s">
        <v>2522</v>
      </c>
      <c r="F454" s="252" t="s">
        <v>2564</v>
      </c>
      <c r="G454" s="252">
        <v>80</v>
      </c>
      <c r="H454" s="252" t="s">
        <v>928</v>
      </c>
      <c r="I454" s="252" t="s">
        <v>2477</v>
      </c>
      <c r="J454" s="252" t="s">
        <v>928</v>
      </c>
      <c r="K454" s="252" t="s">
        <v>3236</v>
      </c>
      <c r="L454" s="252">
        <v>353.45</v>
      </c>
      <c r="M454" s="252">
        <v>0</v>
      </c>
      <c r="N454" s="252">
        <v>0</v>
      </c>
      <c r="O454" s="252">
        <v>0</v>
      </c>
      <c r="P454" s="252">
        <v>0</v>
      </c>
      <c r="Q454" s="252">
        <v>0</v>
      </c>
      <c r="R454" s="252">
        <v>0</v>
      </c>
      <c r="S454" s="252">
        <v>0</v>
      </c>
      <c r="T454" s="252">
        <v>0</v>
      </c>
      <c r="U454" s="252">
        <v>0</v>
      </c>
      <c r="V454" s="252">
        <v>0</v>
      </c>
      <c r="W454" s="252">
        <v>0</v>
      </c>
      <c r="X454" s="252">
        <v>0</v>
      </c>
      <c r="Y454" s="252">
        <v>286.5</v>
      </c>
      <c r="Z454" s="252">
        <v>0</v>
      </c>
      <c r="AA454" s="252">
        <v>0</v>
      </c>
      <c r="AB454" s="252">
        <v>66.959999999999994</v>
      </c>
      <c r="AC454" s="252">
        <v>0</v>
      </c>
      <c r="AD454" s="252">
        <v>0</v>
      </c>
      <c r="AE454" s="252" t="s">
        <v>720</v>
      </c>
      <c r="AF454" s="252" t="s">
        <v>721</v>
      </c>
      <c r="AG454" s="252">
        <f t="shared" ref="AG454:AG517" si="36">+O454*M454/100</f>
        <v>0</v>
      </c>
      <c r="AH454" s="252">
        <f t="shared" ref="AH454:AH517" si="37">+P454*M454/100</f>
        <v>0</v>
      </c>
      <c r="AI454" s="252">
        <f t="shared" ref="AI454:AI517" si="38">+AB454*M454/100</f>
        <v>0</v>
      </c>
      <c r="AJ454" s="252">
        <f t="shared" ref="AJ454:AJ517" si="39">+AG454+AH454+AI454</f>
        <v>0</v>
      </c>
    </row>
    <row r="455" spans="1:36" x14ac:dyDescent="0.2">
      <c r="A455" s="253" t="str">
        <f t="shared" si="35"/>
        <v>SNCPP395180</v>
      </c>
      <c r="B455" s="252" t="s">
        <v>19</v>
      </c>
      <c r="C455" s="252" t="s">
        <v>20</v>
      </c>
      <c r="D455" s="252" t="s">
        <v>2558</v>
      </c>
      <c r="E455" s="252" t="s">
        <v>2522</v>
      </c>
      <c r="F455" s="252" t="s">
        <v>2564</v>
      </c>
      <c r="G455" s="252">
        <v>80</v>
      </c>
      <c r="H455" s="252" t="s">
        <v>928</v>
      </c>
      <c r="I455" s="252" t="s">
        <v>928</v>
      </c>
      <c r="J455" s="252" t="s">
        <v>928</v>
      </c>
      <c r="K455" s="252" t="s">
        <v>3236</v>
      </c>
      <c r="L455" s="252">
        <v>353.45</v>
      </c>
      <c r="M455" s="252">
        <v>0</v>
      </c>
      <c r="N455" s="252">
        <v>0</v>
      </c>
      <c r="O455" s="252">
        <v>0</v>
      </c>
      <c r="P455" s="252">
        <v>0</v>
      </c>
      <c r="Q455" s="252">
        <v>0</v>
      </c>
      <c r="R455" s="252">
        <v>0</v>
      </c>
      <c r="S455" s="252">
        <v>0</v>
      </c>
      <c r="T455" s="252">
        <v>0</v>
      </c>
      <c r="U455" s="252">
        <v>0</v>
      </c>
      <c r="V455" s="252">
        <v>0</v>
      </c>
      <c r="W455" s="252">
        <v>0</v>
      </c>
      <c r="X455" s="252">
        <v>0</v>
      </c>
      <c r="Y455" s="252">
        <v>286.5</v>
      </c>
      <c r="Z455" s="252">
        <v>0</v>
      </c>
      <c r="AA455" s="252">
        <v>0</v>
      </c>
      <c r="AB455" s="252">
        <v>66.959999999999994</v>
      </c>
      <c r="AC455" s="252">
        <v>0</v>
      </c>
      <c r="AD455" s="252">
        <v>0</v>
      </c>
      <c r="AE455" s="252" t="s">
        <v>720</v>
      </c>
      <c r="AF455" s="252" t="s">
        <v>721</v>
      </c>
      <c r="AG455" s="252">
        <f t="shared" si="36"/>
        <v>0</v>
      </c>
      <c r="AH455" s="252">
        <f t="shared" si="37"/>
        <v>0</v>
      </c>
      <c r="AI455" s="252">
        <f t="shared" si="38"/>
        <v>0</v>
      </c>
      <c r="AJ455" s="252">
        <f t="shared" si="39"/>
        <v>0</v>
      </c>
    </row>
    <row r="456" spans="1:36" x14ac:dyDescent="0.2">
      <c r="A456" s="253" t="str">
        <f t="shared" si="35"/>
        <v>2SNCPP3951100</v>
      </c>
      <c r="B456" s="252" t="s">
        <v>19</v>
      </c>
      <c r="C456" s="252" t="s">
        <v>20</v>
      </c>
      <c r="D456" s="252" t="s">
        <v>2558</v>
      </c>
      <c r="E456" s="252" t="s">
        <v>2522</v>
      </c>
      <c r="F456" s="252" t="s">
        <v>2564</v>
      </c>
      <c r="G456" s="252">
        <v>100</v>
      </c>
      <c r="H456" s="252" t="s">
        <v>928</v>
      </c>
      <c r="I456" s="252" t="s">
        <v>2477</v>
      </c>
      <c r="J456" s="252" t="s">
        <v>928</v>
      </c>
      <c r="K456" s="252" t="s">
        <v>3236</v>
      </c>
      <c r="L456" s="252">
        <v>454.55</v>
      </c>
      <c r="M456" s="252">
        <v>0</v>
      </c>
      <c r="N456" s="252">
        <v>0</v>
      </c>
      <c r="O456" s="252">
        <v>0</v>
      </c>
      <c r="P456" s="252">
        <v>0</v>
      </c>
      <c r="Q456" s="252">
        <v>0</v>
      </c>
      <c r="R456" s="252">
        <v>0</v>
      </c>
      <c r="S456" s="252">
        <v>0</v>
      </c>
      <c r="T456" s="252">
        <v>0</v>
      </c>
      <c r="U456" s="252">
        <v>0</v>
      </c>
      <c r="V456" s="252">
        <v>0</v>
      </c>
      <c r="W456" s="252">
        <v>0</v>
      </c>
      <c r="X456" s="252">
        <v>0</v>
      </c>
      <c r="Y456" s="252">
        <v>345.52</v>
      </c>
      <c r="Z456" s="252">
        <v>0</v>
      </c>
      <c r="AA456" s="252">
        <v>0</v>
      </c>
      <c r="AB456" s="252">
        <v>109.03</v>
      </c>
      <c r="AC456" s="252">
        <v>0</v>
      </c>
      <c r="AD456" s="252">
        <v>0</v>
      </c>
      <c r="AE456" s="252" t="s">
        <v>720</v>
      </c>
      <c r="AF456" s="252" t="s">
        <v>721</v>
      </c>
      <c r="AG456" s="252">
        <f t="shared" si="36"/>
        <v>0</v>
      </c>
      <c r="AH456" s="252">
        <f t="shared" si="37"/>
        <v>0</v>
      </c>
      <c r="AI456" s="252">
        <f t="shared" si="38"/>
        <v>0</v>
      </c>
      <c r="AJ456" s="252">
        <f t="shared" si="39"/>
        <v>0</v>
      </c>
    </row>
    <row r="457" spans="1:36" x14ac:dyDescent="0.2">
      <c r="A457" s="253" t="str">
        <f t="shared" si="35"/>
        <v>SNCPP3951100</v>
      </c>
      <c r="B457" s="252" t="s">
        <v>19</v>
      </c>
      <c r="C457" s="252" t="s">
        <v>20</v>
      </c>
      <c r="D457" s="252" t="s">
        <v>2558</v>
      </c>
      <c r="E457" s="252" t="s">
        <v>2522</v>
      </c>
      <c r="F457" s="252" t="s">
        <v>2564</v>
      </c>
      <c r="G457" s="252">
        <v>100</v>
      </c>
      <c r="H457" s="252" t="s">
        <v>928</v>
      </c>
      <c r="I457" s="252" t="s">
        <v>928</v>
      </c>
      <c r="J457" s="252" t="s">
        <v>928</v>
      </c>
      <c r="K457" s="252" t="s">
        <v>3236</v>
      </c>
      <c r="L457" s="252">
        <v>454.55</v>
      </c>
      <c r="M457" s="252">
        <v>0</v>
      </c>
      <c r="N457" s="252">
        <v>0</v>
      </c>
      <c r="O457" s="252">
        <v>0</v>
      </c>
      <c r="P457" s="252">
        <v>0</v>
      </c>
      <c r="Q457" s="252">
        <v>0</v>
      </c>
      <c r="R457" s="252">
        <v>0</v>
      </c>
      <c r="S457" s="252">
        <v>0</v>
      </c>
      <c r="T457" s="252">
        <v>0</v>
      </c>
      <c r="U457" s="252">
        <v>0</v>
      </c>
      <c r="V457" s="252">
        <v>0</v>
      </c>
      <c r="W457" s="252">
        <v>0</v>
      </c>
      <c r="X457" s="252">
        <v>0</v>
      </c>
      <c r="Y457" s="252">
        <v>345.52</v>
      </c>
      <c r="Z457" s="252">
        <v>0</v>
      </c>
      <c r="AA457" s="252">
        <v>0</v>
      </c>
      <c r="AB457" s="252">
        <v>109.03</v>
      </c>
      <c r="AC457" s="252">
        <v>0</v>
      </c>
      <c r="AD457" s="252">
        <v>0</v>
      </c>
      <c r="AE457" s="252" t="s">
        <v>720</v>
      </c>
      <c r="AF457" s="252" t="s">
        <v>721</v>
      </c>
      <c r="AG457" s="252">
        <f t="shared" si="36"/>
        <v>0</v>
      </c>
      <c r="AH457" s="252">
        <f t="shared" si="37"/>
        <v>0</v>
      </c>
      <c r="AI457" s="252">
        <f t="shared" si="38"/>
        <v>0</v>
      </c>
      <c r="AJ457" s="252">
        <f t="shared" si="39"/>
        <v>0</v>
      </c>
    </row>
    <row r="458" spans="1:36" x14ac:dyDescent="0.2">
      <c r="A458" s="253" t="str">
        <f t="shared" si="35"/>
        <v>2SNCPP9801TS80</v>
      </c>
      <c r="B458" s="252" t="s">
        <v>19</v>
      </c>
      <c r="C458" s="252" t="s">
        <v>20</v>
      </c>
      <c r="D458" s="252" t="s">
        <v>2558</v>
      </c>
      <c r="E458" s="252" t="s">
        <v>2522</v>
      </c>
      <c r="F458" s="252" t="s">
        <v>2565</v>
      </c>
      <c r="G458" s="252">
        <v>80</v>
      </c>
      <c r="H458" s="252" t="s">
        <v>928</v>
      </c>
      <c r="I458" s="252" t="s">
        <v>2477</v>
      </c>
      <c r="J458" s="252" t="s">
        <v>928</v>
      </c>
      <c r="K458" s="252" t="s">
        <v>3236</v>
      </c>
      <c r="L458" s="252">
        <v>511.24</v>
      </c>
      <c r="M458" s="252">
        <v>0</v>
      </c>
      <c r="N458" s="252">
        <v>0</v>
      </c>
      <c r="O458" s="252">
        <v>0</v>
      </c>
      <c r="P458" s="252">
        <v>0</v>
      </c>
      <c r="Q458" s="252">
        <v>0</v>
      </c>
      <c r="R458" s="252">
        <v>0</v>
      </c>
      <c r="S458" s="252">
        <v>0</v>
      </c>
      <c r="T458" s="252">
        <v>0</v>
      </c>
      <c r="U458" s="252">
        <v>0</v>
      </c>
      <c r="V458" s="252">
        <v>0</v>
      </c>
      <c r="W458" s="252">
        <v>0</v>
      </c>
      <c r="X458" s="252">
        <v>0</v>
      </c>
      <c r="Y458" s="252">
        <v>347.44</v>
      </c>
      <c r="Z458" s="252">
        <v>0</v>
      </c>
      <c r="AA458" s="252">
        <v>0</v>
      </c>
      <c r="AB458" s="252">
        <v>163.81</v>
      </c>
      <c r="AC458" s="252">
        <v>0</v>
      </c>
      <c r="AD458" s="252">
        <v>0</v>
      </c>
      <c r="AE458" s="252" t="s">
        <v>720</v>
      </c>
      <c r="AF458" s="252" t="s">
        <v>721</v>
      </c>
      <c r="AG458" s="252">
        <f t="shared" si="36"/>
        <v>0</v>
      </c>
      <c r="AH458" s="252">
        <f t="shared" si="37"/>
        <v>0</v>
      </c>
      <c r="AI458" s="252">
        <f t="shared" si="38"/>
        <v>0</v>
      </c>
      <c r="AJ458" s="252">
        <f t="shared" si="39"/>
        <v>0</v>
      </c>
    </row>
    <row r="459" spans="1:36" x14ac:dyDescent="0.2">
      <c r="A459" s="253" t="str">
        <f t="shared" si="35"/>
        <v>SNCPP9801TS80</v>
      </c>
      <c r="B459" s="252" t="s">
        <v>19</v>
      </c>
      <c r="C459" s="252" t="s">
        <v>20</v>
      </c>
      <c r="D459" s="252" t="s">
        <v>2558</v>
      </c>
      <c r="E459" s="252" t="s">
        <v>2522</v>
      </c>
      <c r="F459" s="252" t="s">
        <v>2565</v>
      </c>
      <c r="G459" s="252">
        <v>80</v>
      </c>
      <c r="H459" s="252" t="s">
        <v>928</v>
      </c>
      <c r="I459" s="252" t="s">
        <v>928</v>
      </c>
      <c r="J459" s="252" t="s">
        <v>928</v>
      </c>
      <c r="K459" s="252" t="s">
        <v>3236</v>
      </c>
      <c r="L459" s="252">
        <v>511.24</v>
      </c>
      <c r="M459" s="252">
        <v>0</v>
      </c>
      <c r="N459" s="252">
        <v>0</v>
      </c>
      <c r="O459" s="252">
        <v>0</v>
      </c>
      <c r="P459" s="252">
        <v>0</v>
      </c>
      <c r="Q459" s="252">
        <v>0</v>
      </c>
      <c r="R459" s="252">
        <v>0</v>
      </c>
      <c r="S459" s="252">
        <v>0</v>
      </c>
      <c r="T459" s="252">
        <v>0</v>
      </c>
      <c r="U459" s="252">
        <v>0</v>
      </c>
      <c r="V459" s="252">
        <v>0</v>
      </c>
      <c r="W459" s="252">
        <v>0</v>
      </c>
      <c r="X459" s="252">
        <v>0</v>
      </c>
      <c r="Y459" s="252">
        <v>347.44</v>
      </c>
      <c r="Z459" s="252">
        <v>0</v>
      </c>
      <c r="AA459" s="252">
        <v>0</v>
      </c>
      <c r="AB459" s="252">
        <v>163.81</v>
      </c>
      <c r="AC459" s="252">
        <v>0</v>
      </c>
      <c r="AD459" s="252">
        <v>0</v>
      </c>
      <c r="AE459" s="252" t="s">
        <v>720</v>
      </c>
      <c r="AF459" s="252" t="s">
        <v>721</v>
      </c>
      <c r="AG459" s="252">
        <f t="shared" si="36"/>
        <v>0</v>
      </c>
      <c r="AH459" s="252">
        <f t="shared" si="37"/>
        <v>0</v>
      </c>
      <c r="AI459" s="252">
        <f t="shared" si="38"/>
        <v>0</v>
      </c>
      <c r="AJ459" s="252">
        <f t="shared" si="39"/>
        <v>0</v>
      </c>
    </row>
    <row r="460" spans="1:36" x14ac:dyDescent="0.2">
      <c r="A460" s="253" t="str">
        <f t="shared" si="35"/>
        <v>2SNCPPZK10050</v>
      </c>
      <c r="B460" s="252" t="s">
        <v>19</v>
      </c>
      <c r="C460" s="252" t="s">
        <v>20</v>
      </c>
      <c r="D460" s="252" t="s">
        <v>2558</v>
      </c>
      <c r="E460" s="252" t="s">
        <v>2522</v>
      </c>
      <c r="F460" s="252" t="s">
        <v>2566</v>
      </c>
      <c r="G460" s="252">
        <v>50</v>
      </c>
      <c r="H460" s="252" t="s">
        <v>928</v>
      </c>
      <c r="I460" s="252" t="s">
        <v>2477</v>
      </c>
      <c r="J460" s="252" t="s">
        <v>928</v>
      </c>
      <c r="K460" s="252" t="s">
        <v>3236</v>
      </c>
      <c r="L460" s="252">
        <v>364.2</v>
      </c>
      <c r="M460" s="252">
        <v>0</v>
      </c>
      <c r="N460" s="252">
        <v>0</v>
      </c>
      <c r="O460" s="252">
        <v>0</v>
      </c>
      <c r="P460" s="252">
        <v>0</v>
      </c>
      <c r="Q460" s="252">
        <v>0</v>
      </c>
      <c r="R460" s="252">
        <v>0</v>
      </c>
      <c r="S460" s="252">
        <v>0</v>
      </c>
      <c r="T460" s="252">
        <v>0</v>
      </c>
      <c r="U460" s="252">
        <v>0</v>
      </c>
      <c r="V460" s="252">
        <v>0</v>
      </c>
      <c r="W460" s="252">
        <v>0</v>
      </c>
      <c r="X460" s="252">
        <v>0</v>
      </c>
      <c r="Y460" s="252">
        <v>296.62</v>
      </c>
      <c r="Z460" s="252">
        <v>0</v>
      </c>
      <c r="AA460" s="252">
        <v>0</v>
      </c>
      <c r="AB460" s="252">
        <v>67.59</v>
      </c>
      <c r="AC460" s="252">
        <v>0</v>
      </c>
      <c r="AD460" s="252">
        <v>0</v>
      </c>
      <c r="AE460" s="252" t="s">
        <v>720</v>
      </c>
      <c r="AF460" s="252" t="s">
        <v>721</v>
      </c>
      <c r="AG460" s="252">
        <f t="shared" si="36"/>
        <v>0</v>
      </c>
      <c r="AH460" s="252">
        <f t="shared" si="37"/>
        <v>0</v>
      </c>
      <c r="AI460" s="252">
        <f t="shared" si="38"/>
        <v>0</v>
      </c>
      <c r="AJ460" s="252">
        <f t="shared" si="39"/>
        <v>0</v>
      </c>
    </row>
    <row r="461" spans="1:36" x14ac:dyDescent="0.2">
      <c r="A461" s="253" t="str">
        <f t="shared" si="35"/>
        <v>SNCPPZK10050</v>
      </c>
      <c r="B461" s="252" t="s">
        <v>19</v>
      </c>
      <c r="C461" s="252" t="s">
        <v>20</v>
      </c>
      <c r="D461" s="252" t="s">
        <v>2558</v>
      </c>
      <c r="E461" s="252" t="s">
        <v>2522</v>
      </c>
      <c r="F461" s="252" t="s">
        <v>2566</v>
      </c>
      <c r="G461" s="252">
        <v>50</v>
      </c>
      <c r="H461" s="252" t="s">
        <v>928</v>
      </c>
      <c r="I461" s="252" t="s">
        <v>928</v>
      </c>
      <c r="J461" s="252" t="s">
        <v>928</v>
      </c>
      <c r="K461" s="252" t="s">
        <v>3236</v>
      </c>
      <c r="L461" s="252">
        <v>364.2</v>
      </c>
      <c r="M461" s="252">
        <v>0</v>
      </c>
      <c r="N461" s="252">
        <v>0</v>
      </c>
      <c r="O461" s="252">
        <v>0</v>
      </c>
      <c r="P461" s="252">
        <v>0</v>
      </c>
      <c r="Q461" s="252">
        <v>0</v>
      </c>
      <c r="R461" s="252">
        <v>0</v>
      </c>
      <c r="S461" s="252">
        <v>0</v>
      </c>
      <c r="T461" s="252">
        <v>0</v>
      </c>
      <c r="U461" s="252">
        <v>0</v>
      </c>
      <c r="V461" s="252">
        <v>0</v>
      </c>
      <c r="W461" s="252">
        <v>0</v>
      </c>
      <c r="X461" s="252">
        <v>0</v>
      </c>
      <c r="Y461" s="252">
        <v>296.62</v>
      </c>
      <c r="Z461" s="252">
        <v>0</v>
      </c>
      <c r="AA461" s="252">
        <v>0</v>
      </c>
      <c r="AB461" s="252">
        <v>67.59</v>
      </c>
      <c r="AC461" s="252">
        <v>0</v>
      </c>
      <c r="AD461" s="252">
        <v>0</v>
      </c>
      <c r="AE461" s="252" t="s">
        <v>720</v>
      </c>
      <c r="AF461" s="252" t="s">
        <v>721</v>
      </c>
      <c r="AG461" s="252">
        <f t="shared" si="36"/>
        <v>0</v>
      </c>
      <c r="AH461" s="252">
        <f t="shared" si="37"/>
        <v>0</v>
      </c>
      <c r="AI461" s="252">
        <f t="shared" si="38"/>
        <v>0</v>
      </c>
      <c r="AJ461" s="252">
        <f t="shared" si="39"/>
        <v>0</v>
      </c>
    </row>
    <row r="462" spans="1:36" x14ac:dyDescent="0.2">
      <c r="A462" s="253" t="str">
        <f t="shared" si="35"/>
        <v>2SNCPPZK10060</v>
      </c>
      <c r="B462" s="252" t="s">
        <v>19</v>
      </c>
      <c r="C462" s="252" t="s">
        <v>20</v>
      </c>
      <c r="D462" s="252" t="s">
        <v>2558</v>
      </c>
      <c r="E462" s="252" t="s">
        <v>2522</v>
      </c>
      <c r="F462" s="252" t="s">
        <v>2566</v>
      </c>
      <c r="G462" s="252">
        <v>60</v>
      </c>
      <c r="H462" s="252" t="s">
        <v>928</v>
      </c>
      <c r="I462" s="252" t="s">
        <v>2477</v>
      </c>
      <c r="J462" s="252" t="s">
        <v>928</v>
      </c>
      <c r="K462" s="252" t="s">
        <v>3236</v>
      </c>
      <c r="L462" s="252">
        <v>357.98</v>
      </c>
      <c r="M462" s="252">
        <v>0</v>
      </c>
      <c r="N462" s="252">
        <v>0</v>
      </c>
      <c r="O462" s="252">
        <v>0</v>
      </c>
      <c r="P462" s="252">
        <v>0</v>
      </c>
      <c r="Q462" s="252">
        <v>0</v>
      </c>
      <c r="R462" s="252">
        <v>0</v>
      </c>
      <c r="S462" s="252">
        <v>0</v>
      </c>
      <c r="T462" s="252">
        <v>0</v>
      </c>
      <c r="U462" s="252">
        <v>0</v>
      </c>
      <c r="V462" s="252">
        <v>0</v>
      </c>
      <c r="W462" s="252">
        <v>0</v>
      </c>
      <c r="X462" s="252">
        <v>0</v>
      </c>
      <c r="Y462" s="252">
        <v>296.83999999999997</v>
      </c>
      <c r="Z462" s="252">
        <v>0</v>
      </c>
      <c r="AA462" s="252">
        <v>0</v>
      </c>
      <c r="AB462" s="252">
        <v>61.14</v>
      </c>
      <c r="AC462" s="252">
        <v>0</v>
      </c>
      <c r="AD462" s="252">
        <v>0</v>
      </c>
      <c r="AE462" s="252" t="s">
        <v>720</v>
      </c>
      <c r="AF462" s="252" t="s">
        <v>721</v>
      </c>
      <c r="AG462" s="252">
        <f t="shared" si="36"/>
        <v>0</v>
      </c>
      <c r="AH462" s="252">
        <f t="shared" si="37"/>
        <v>0</v>
      </c>
      <c r="AI462" s="252">
        <f t="shared" si="38"/>
        <v>0</v>
      </c>
      <c r="AJ462" s="252">
        <f t="shared" si="39"/>
        <v>0</v>
      </c>
    </row>
    <row r="463" spans="1:36" x14ac:dyDescent="0.2">
      <c r="A463" s="253" t="str">
        <f t="shared" si="35"/>
        <v>SNCPPZK10060</v>
      </c>
      <c r="B463" s="252" t="s">
        <v>19</v>
      </c>
      <c r="C463" s="252" t="s">
        <v>20</v>
      </c>
      <c r="D463" s="252" t="s">
        <v>2558</v>
      </c>
      <c r="E463" s="252" t="s">
        <v>2522</v>
      </c>
      <c r="F463" s="252" t="s">
        <v>2566</v>
      </c>
      <c r="G463" s="252">
        <v>60</v>
      </c>
      <c r="H463" s="252" t="s">
        <v>928</v>
      </c>
      <c r="I463" s="252" t="s">
        <v>928</v>
      </c>
      <c r="J463" s="252" t="s">
        <v>928</v>
      </c>
      <c r="K463" s="252" t="s">
        <v>3236</v>
      </c>
      <c r="L463" s="252">
        <v>357.98</v>
      </c>
      <c r="M463" s="252">
        <v>0</v>
      </c>
      <c r="N463" s="252">
        <v>0</v>
      </c>
      <c r="O463" s="252">
        <v>0</v>
      </c>
      <c r="P463" s="252">
        <v>0</v>
      </c>
      <c r="Q463" s="252">
        <v>0</v>
      </c>
      <c r="R463" s="252">
        <v>0</v>
      </c>
      <c r="S463" s="252">
        <v>0</v>
      </c>
      <c r="T463" s="252">
        <v>0</v>
      </c>
      <c r="U463" s="252">
        <v>0</v>
      </c>
      <c r="V463" s="252">
        <v>0</v>
      </c>
      <c r="W463" s="252">
        <v>0</v>
      </c>
      <c r="X463" s="252">
        <v>0</v>
      </c>
      <c r="Y463" s="252">
        <v>296.83999999999997</v>
      </c>
      <c r="Z463" s="252">
        <v>0</v>
      </c>
      <c r="AA463" s="252">
        <v>0</v>
      </c>
      <c r="AB463" s="252">
        <v>61.14</v>
      </c>
      <c r="AC463" s="252">
        <v>0</v>
      </c>
      <c r="AD463" s="252">
        <v>0</v>
      </c>
      <c r="AE463" s="252" t="s">
        <v>720</v>
      </c>
      <c r="AF463" s="252" t="s">
        <v>721</v>
      </c>
      <c r="AG463" s="252">
        <f t="shared" si="36"/>
        <v>0</v>
      </c>
      <c r="AH463" s="252">
        <f t="shared" si="37"/>
        <v>0</v>
      </c>
      <c r="AI463" s="252">
        <f t="shared" si="38"/>
        <v>0</v>
      </c>
      <c r="AJ463" s="252">
        <f t="shared" si="39"/>
        <v>0</v>
      </c>
    </row>
    <row r="464" spans="1:36" x14ac:dyDescent="0.2">
      <c r="A464" s="253" t="str">
        <f t="shared" si="35"/>
        <v>2SNCPPZK10070</v>
      </c>
      <c r="B464" s="252" t="s">
        <v>19</v>
      </c>
      <c r="C464" s="252" t="s">
        <v>20</v>
      </c>
      <c r="D464" s="252" t="s">
        <v>2558</v>
      </c>
      <c r="E464" s="252" t="s">
        <v>2522</v>
      </c>
      <c r="F464" s="252" t="s">
        <v>2566</v>
      </c>
      <c r="G464" s="252">
        <v>70</v>
      </c>
      <c r="H464" s="252" t="s">
        <v>928</v>
      </c>
      <c r="I464" s="252" t="s">
        <v>2477</v>
      </c>
      <c r="J464" s="252" t="s">
        <v>928</v>
      </c>
      <c r="K464" s="252" t="s">
        <v>3236</v>
      </c>
      <c r="L464" s="252">
        <v>348.77</v>
      </c>
      <c r="M464" s="252">
        <v>0</v>
      </c>
      <c r="N464" s="252">
        <v>0</v>
      </c>
      <c r="O464" s="252">
        <v>0</v>
      </c>
      <c r="P464" s="252">
        <v>0</v>
      </c>
      <c r="Q464" s="252">
        <v>0</v>
      </c>
      <c r="R464" s="252">
        <v>0</v>
      </c>
      <c r="S464" s="252">
        <v>0</v>
      </c>
      <c r="T464" s="252">
        <v>0</v>
      </c>
      <c r="U464" s="252">
        <v>0</v>
      </c>
      <c r="V464" s="252">
        <v>0</v>
      </c>
      <c r="W464" s="252">
        <v>0</v>
      </c>
      <c r="X464" s="252">
        <v>0</v>
      </c>
      <c r="Y464" s="252">
        <v>292.27</v>
      </c>
      <c r="Z464" s="252">
        <v>0</v>
      </c>
      <c r="AA464" s="252">
        <v>0</v>
      </c>
      <c r="AB464" s="252">
        <v>56.5</v>
      </c>
      <c r="AC464" s="252">
        <v>0</v>
      </c>
      <c r="AD464" s="252">
        <v>0</v>
      </c>
      <c r="AE464" s="252" t="s">
        <v>720</v>
      </c>
      <c r="AF464" s="252" t="s">
        <v>721</v>
      </c>
      <c r="AG464" s="252">
        <f t="shared" si="36"/>
        <v>0</v>
      </c>
      <c r="AH464" s="252">
        <f t="shared" si="37"/>
        <v>0</v>
      </c>
      <c r="AI464" s="252">
        <f t="shared" si="38"/>
        <v>0</v>
      </c>
      <c r="AJ464" s="252">
        <f t="shared" si="39"/>
        <v>0</v>
      </c>
    </row>
    <row r="465" spans="1:36" x14ac:dyDescent="0.2">
      <c r="A465" s="253" t="str">
        <f t="shared" si="35"/>
        <v>SNCPPZK10070</v>
      </c>
      <c r="B465" s="252" t="s">
        <v>19</v>
      </c>
      <c r="C465" s="252" t="s">
        <v>20</v>
      </c>
      <c r="D465" s="252" t="s">
        <v>2558</v>
      </c>
      <c r="E465" s="252" t="s">
        <v>2522</v>
      </c>
      <c r="F465" s="252" t="s">
        <v>2566</v>
      </c>
      <c r="G465" s="252">
        <v>70</v>
      </c>
      <c r="H465" s="252" t="s">
        <v>928</v>
      </c>
      <c r="I465" s="252" t="s">
        <v>928</v>
      </c>
      <c r="J465" s="252" t="s">
        <v>928</v>
      </c>
      <c r="K465" s="252" t="s">
        <v>3236</v>
      </c>
      <c r="L465" s="252">
        <v>348.77</v>
      </c>
      <c r="M465" s="252">
        <v>0</v>
      </c>
      <c r="N465" s="252">
        <v>0</v>
      </c>
      <c r="O465" s="252">
        <v>0</v>
      </c>
      <c r="P465" s="252">
        <v>0</v>
      </c>
      <c r="Q465" s="252">
        <v>0</v>
      </c>
      <c r="R465" s="252">
        <v>0</v>
      </c>
      <c r="S465" s="252">
        <v>0</v>
      </c>
      <c r="T465" s="252">
        <v>0</v>
      </c>
      <c r="U465" s="252">
        <v>0</v>
      </c>
      <c r="V465" s="252">
        <v>0</v>
      </c>
      <c r="W465" s="252">
        <v>0</v>
      </c>
      <c r="X465" s="252">
        <v>0</v>
      </c>
      <c r="Y465" s="252">
        <v>292.27</v>
      </c>
      <c r="Z465" s="252">
        <v>0</v>
      </c>
      <c r="AA465" s="252">
        <v>0</v>
      </c>
      <c r="AB465" s="252">
        <v>56.5</v>
      </c>
      <c r="AC465" s="252">
        <v>0</v>
      </c>
      <c r="AD465" s="252">
        <v>0</v>
      </c>
      <c r="AE465" s="252" t="s">
        <v>720</v>
      </c>
      <c r="AF465" s="252" t="s">
        <v>721</v>
      </c>
      <c r="AG465" s="252">
        <f t="shared" si="36"/>
        <v>0</v>
      </c>
      <c r="AH465" s="252">
        <f t="shared" si="37"/>
        <v>0</v>
      </c>
      <c r="AI465" s="252">
        <f t="shared" si="38"/>
        <v>0</v>
      </c>
      <c r="AJ465" s="252">
        <f t="shared" si="39"/>
        <v>0</v>
      </c>
    </row>
    <row r="466" spans="1:36" x14ac:dyDescent="0.2">
      <c r="A466" s="253" t="str">
        <f t="shared" si="35"/>
        <v>2SNCPPZK10080</v>
      </c>
      <c r="B466" s="252" t="s">
        <v>19</v>
      </c>
      <c r="C466" s="252" t="s">
        <v>20</v>
      </c>
      <c r="D466" s="252" t="s">
        <v>2558</v>
      </c>
      <c r="E466" s="252" t="s">
        <v>2522</v>
      </c>
      <c r="F466" s="252" t="s">
        <v>2566</v>
      </c>
      <c r="G466" s="252">
        <v>80</v>
      </c>
      <c r="H466" s="252" t="s">
        <v>928</v>
      </c>
      <c r="I466" s="252" t="s">
        <v>2477</v>
      </c>
      <c r="J466" s="252" t="s">
        <v>928</v>
      </c>
      <c r="K466" s="252" t="s">
        <v>3236</v>
      </c>
      <c r="L466" s="252">
        <v>409.85</v>
      </c>
      <c r="M466" s="252">
        <v>0</v>
      </c>
      <c r="N466" s="252">
        <v>0</v>
      </c>
      <c r="O466" s="252">
        <v>0</v>
      </c>
      <c r="P466" s="252">
        <v>0</v>
      </c>
      <c r="Q466" s="252">
        <v>0</v>
      </c>
      <c r="R466" s="252">
        <v>0</v>
      </c>
      <c r="S466" s="252">
        <v>0</v>
      </c>
      <c r="T466" s="252">
        <v>0</v>
      </c>
      <c r="U466" s="252">
        <v>0</v>
      </c>
      <c r="V466" s="252">
        <v>0</v>
      </c>
      <c r="W466" s="252">
        <v>0</v>
      </c>
      <c r="X466" s="252">
        <v>0</v>
      </c>
      <c r="Y466" s="252">
        <v>318.05</v>
      </c>
      <c r="Z466" s="252">
        <v>0</v>
      </c>
      <c r="AA466" s="252">
        <v>0</v>
      </c>
      <c r="AB466" s="252">
        <v>91.8</v>
      </c>
      <c r="AC466" s="252">
        <v>0</v>
      </c>
      <c r="AD466" s="252">
        <v>0</v>
      </c>
      <c r="AE466" s="252" t="s">
        <v>720</v>
      </c>
      <c r="AF466" s="252" t="s">
        <v>721</v>
      </c>
      <c r="AG466" s="252">
        <f t="shared" si="36"/>
        <v>0</v>
      </c>
      <c r="AH466" s="252">
        <f t="shared" si="37"/>
        <v>0</v>
      </c>
      <c r="AI466" s="252">
        <f t="shared" si="38"/>
        <v>0</v>
      </c>
      <c r="AJ466" s="252">
        <f t="shared" si="39"/>
        <v>0</v>
      </c>
    </row>
    <row r="467" spans="1:36" x14ac:dyDescent="0.2">
      <c r="A467" s="253" t="str">
        <f t="shared" si="35"/>
        <v>SNCPPZK10080</v>
      </c>
      <c r="B467" s="252" t="s">
        <v>19</v>
      </c>
      <c r="C467" s="252" t="s">
        <v>20</v>
      </c>
      <c r="D467" s="252" t="s">
        <v>2558</v>
      </c>
      <c r="E467" s="252" t="s">
        <v>2522</v>
      </c>
      <c r="F467" s="252" t="s">
        <v>2566</v>
      </c>
      <c r="G467" s="252">
        <v>80</v>
      </c>
      <c r="H467" s="252" t="s">
        <v>928</v>
      </c>
      <c r="I467" s="252" t="s">
        <v>928</v>
      </c>
      <c r="J467" s="252" t="s">
        <v>928</v>
      </c>
      <c r="K467" s="252" t="s">
        <v>3236</v>
      </c>
      <c r="L467" s="252">
        <v>409.85</v>
      </c>
      <c r="M467" s="252">
        <v>0</v>
      </c>
      <c r="N467" s="252">
        <v>0</v>
      </c>
      <c r="O467" s="252">
        <v>0</v>
      </c>
      <c r="P467" s="252">
        <v>0</v>
      </c>
      <c r="Q467" s="252">
        <v>0</v>
      </c>
      <c r="R467" s="252">
        <v>0</v>
      </c>
      <c r="S467" s="252">
        <v>0</v>
      </c>
      <c r="T467" s="252">
        <v>0</v>
      </c>
      <c r="U467" s="252">
        <v>0</v>
      </c>
      <c r="V467" s="252">
        <v>0</v>
      </c>
      <c r="W467" s="252">
        <v>0</v>
      </c>
      <c r="X467" s="252">
        <v>0</v>
      </c>
      <c r="Y467" s="252">
        <v>318.05</v>
      </c>
      <c r="Z467" s="252">
        <v>0</v>
      </c>
      <c r="AA467" s="252">
        <v>0</v>
      </c>
      <c r="AB467" s="252">
        <v>91.8</v>
      </c>
      <c r="AC467" s="252">
        <v>0</v>
      </c>
      <c r="AD467" s="252">
        <v>0</v>
      </c>
      <c r="AE467" s="252" t="s">
        <v>720</v>
      </c>
      <c r="AF467" s="252" t="s">
        <v>721</v>
      </c>
      <c r="AG467" s="252">
        <f t="shared" si="36"/>
        <v>0</v>
      </c>
      <c r="AH467" s="252">
        <f t="shared" si="37"/>
        <v>0</v>
      </c>
      <c r="AI467" s="252">
        <f t="shared" si="38"/>
        <v>0</v>
      </c>
      <c r="AJ467" s="252">
        <f t="shared" si="39"/>
        <v>0</v>
      </c>
    </row>
    <row r="468" spans="1:36" x14ac:dyDescent="0.2">
      <c r="A468" s="253" t="str">
        <f t="shared" si="35"/>
        <v>2SNCPPZK100100</v>
      </c>
      <c r="B468" s="252" t="s">
        <v>19</v>
      </c>
      <c r="C468" s="252" t="s">
        <v>20</v>
      </c>
      <c r="D468" s="252" t="s">
        <v>2558</v>
      </c>
      <c r="E468" s="252" t="s">
        <v>2522</v>
      </c>
      <c r="F468" s="252" t="s">
        <v>2566</v>
      </c>
      <c r="G468" s="252">
        <v>100</v>
      </c>
      <c r="H468" s="252" t="s">
        <v>928</v>
      </c>
      <c r="I468" s="252" t="s">
        <v>2477</v>
      </c>
      <c r="J468" s="252" t="s">
        <v>928</v>
      </c>
      <c r="K468" s="252" t="s">
        <v>3236</v>
      </c>
      <c r="L468" s="252">
        <v>369.24</v>
      </c>
      <c r="M468" s="252">
        <v>0</v>
      </c>
      <c r="N468" s="252">
        <v>0</v>
      </c>
      <c r="O468" s="252">
        <v>0</v>
      </c>
      <c r="P468" s="252">
        <v>0</v>
      </c>
      <c r="Q468" s="252">
        <v>0</v>
      </c>
      <c r="R468" s="252">
        <v>0</v>
      </c>
      <c r="S468" s="252">
        <v>0</v>
      </c>
      <c r="T468" s="252">
        <v>0</v>
      </c>
      <c r="U468" s="252">
        <v>0</v>
      </c>
      <c r="V468" s="252">
        <v>0</v>
      </c>
      <c r="W468" s="252">
        <v>0</v>
      </c>
      <c r="X468" s="252">
        <v>0</v>
      </c>
      <c r="Y468" s="252">
        <v>302.14999999999998</v>
      </c>
      <c r="Z468" s="252">
        <v>0</v>
      </c>
      <c r="AA468" s="252">
        <v>0</v>
      </c>
      <c r="AB468" s="252">
        <v>67.09</v>
      </c>
      <c r="AC468" s="252">
        <v>0</v>
      </c>
      <c r="AD468" s="252">
        <v>0</v>
      </c>
      <c r="AE468" s="252" t="s">
        <v>720</v>
      </c>
      <c r="AF468" s="252" t="s">
        <v>721</v>
      </c>
      <c r="AG468" s="252">
        <f t="shared" si="36"/>
        <v>0</v>
      </c>
      <c r="AH468" s="252">
        <f t="shared" si="37"/>
        <v>0</v>
      </c>
      <c r="AI468" s="252">
        <f t="shared" si="38"/>
        <v>0</v>
      </c>
      <c r="AJ468" s="252">
        <f t="shared" si="39"/>
        <v>0</v>
      </c>
    </row>
    <row r="469" spans="1:36" x14ac:dyDescent="0.2">
      <c r="A469" s="253" t="str">
        <f t="shared" si="35"/>
        <v>SNCPPZK100100</v>
      </c>
      <c r="B469" s="252" t="s">
        <v>19</v>
      </c>
      <c r="C469" s="252" t="s">
        <v>20</v>
      </c>
      <c r="D469" s="252" t="s">
        <v>2558</v>
      </c>
      <c r="E469" s="252" t="s">
        <v>2522</v>
      </c>
      <c r="F469" s="252" t="s">
        <v>2566</v>
      </c>
      <c r="G469" s="252">
        <v>100</v>
      </c>
      <c r="H469" s="252" t="s">
        <v>928</v>
      </c>
      <c r="I469" s="252" t="s">
        <v>928</v>
      </c>
      <c r="J469" s="252" t="s">
        <v>928</v>
      </c>
      <c r="K469" s="252" t="s">
        <v>3236</v>
      </c>
      <c r="L469" s="252">
        <v>369.24</v>
      </c>
      <c r="M469" s="252">
        <v>0</v>
      </c>
      <c r="N469" s="252">
        <v>0</v>
      </c>
      <c r="O469" s="252">
        <v>0</v>
      </c>
      <c r="P469" s="252">
        <v>0</v>
      </c>
      <c r="Q469" s="252">
        <v>0</v>
      </c>
      <c r="R469" s="252">
        <v>0</v>
      </c>
      <c r="S469" s="252">
        <v>0</v>
      </c>
      <c r="T469" s="252">
        <v>0</v>
      </c>
      <c r="U469" s="252">
        <v>0</v>
      </c>
      <c r="V469" s="252">
        <v>0</v>
      </c>
      <c r="W469" s="252">
        <v>0</v>
      </c>
      <c r="X469" s="252">
        <v>0</v>
      </c>
      <c r="Y469" s="252">
        <v>302.14999999999998</v>
      </c>
      <c r="Z469" s="252">
        <v>0</v>
      </c>
      <c r="AA469" s="252">
        <v>0</v>
      </c>
      <c r="AB469" s="252">
        <v>67.09</v>
      </c>
      <c r="AC469" s="252">
        <v>0</v>
      </c>
      <c r="AD469" s="252">
        <v>0</v>
      </c>
      <c r="AE469" s="252" t="s">
        <v>720</v>
      </c>
      <c r="AF469" s="252" t="s">
        <v>721</v>
      </c>
      <c r="AG469" s="252">
        <f t="shared" si="36"/>
        <v>0</v>
      </c>
      <c r="AH469" s="252">
        <f t="shared" si="37"/>
        <v>0</v>
      </c>
      <c r="AI469" s="252">
        <f t="shared" si="38"/>
        <v>0</v>
      </c>
      <c r="AJ469" s="252">
        <f t="shared" si="39"/>
        <v>0</v>
      </c>
    </row>
    <row r="470" spans="1:36" x14ac:dyDescent="0.2">
      <c r="A470" s="253" t="str">
        <f t="shared" si="35"/>
        <v>2SNCPPZK20550</v>
      </c>
      <c r="B470" s="252" t="s">
        <v>19</v>
      </c>
      <c r="C470" s="252" t="s">
        <v>20</v>
      </c>
      <c r="D470" s="252" t="s">
        <v>2558</v>
      </c>
      <c r="E470" s="252" t="s">
        <v>2522</v>
      </c>
      <c r="F470" s="252" t="s">
        <v>2567</v>
      </c>
      <c r="G470" s="252">
        <v>50</v>
      </c>
      <c r="H470" s="252" t="s">
        <v>928</v>
      </c>
      <c r="I470" s="252" t="s">
        <v>2477</v>
      </c>
      <c r="J470" s="252" t="s">
        <v>928</v>
      </c>
      <c r="K470" s="252" t="s">
        <v>3236</v>
      </c>
      <c r="L470" s="252">
        <v>432.87</v>
      </c>
      <c r="M470" s="252">
        <v>0</v>
      </c>
      <c r="N470" s="252">
        <v>0</v>
      </c>
      <c r="O470" s="252">
        <v>0</v>
      </c>
      <c r="P470" s="252">
        <v>0</v>
      </c>
      <c r="Q470" s="252">
        <v>0</v>
      </c>
      <c r="R470" s="252">
        <v>0</v>
      </c>
      <c r="S470" s="252">
        <v>0</v>
      </c>
      <c r="T470" s="252">
        <v>0</v>
      </c>
      <c r="U470" s="252">
        <v>0</v>
      </c>
      <c r="V470" s="252">
        <v>0</v>
      </c>
      <c r="W470" s="252">
        <v>0</v>
      </c>
      <c r="X470" s="252">
        <v>0</v>
      </c>
      <c r="Y470" s="252">
        <v>329.44</v>
      </c>
      <c r="Z470" s="252">
        <v>0</v>
      </c>
      <c r="AA470" s="252">
        <v>0</v>
      </c>
      <c r="AB470" s="252">
        <v>103.42</v>
      </c>
      <c r="AC470" s="252">
        <v>0</v>
      </c>
      <c r="AD470" s="252">
        <v>0</v>
      </c>
      <c r="AE470" s="252" t="s">
        <v>720</v>
      </c>
      <c r="AF470" s="252" t="s">
        <v>721</v>
      </c>
      <c r="AG470" s="252">
        <f t="shared" si="36"/>
        <v>0</v>
      </c>
      <c r="AH470" s="252">
        <f t="shared" si="37"/>
        <v>0</v>
      </c>
      <c r="AI470" s="252">
        <f t="shared" si="38"/>
        <v>0</v>
      </c>
      <c r="AJ470" s="252">
        <f t="shared" si="39"/>
        <v>0</v>
      </c>
    </row>
    <row r="471" spans="1:36" x14ac:dyDescent="0.2">
      <c r="A471" s="253" t="str">
        <f t="shared" si="35"/>
        <v>SNCPPZK20550</v>
      </c>
      <c r="B471" s="252" t="s">
        <v>19</v>
      </c>
      <c r="C471" s="252" t="s">
        <v>20</v>
      </c>
      <c r="D471" s="252" t="s">
        <v>2558</v>
      </c>
      <c r="E471" s="252" t="s">
        <v>2522</v>
      </c>
      <c r="F471" s="252" t="s">
        <v>2567</v>
      </c>
      <c r="G471" s="252">
        <v>50</v>
      </c>
      <c r="H471" s="252" t="s">
        <v>928</v>
      </c>
      <c r="I471" s="252" t="s">
        <v>928</v>
      </c>
      <c r="J471" s="252" t="s">
        <v>928</v>
      </c>
      <c r="K471" s="252" t="s">
        <v>3236</v>
      </c>
      <c r="L471" s="252">
        <v>432.87</v>
      </c>
      <c r="M471" s="252">
        <v>0</v>
      </c>
      <c r="N471" s="252">
        <v>0</v>
      </c>
      <c r="O471" s="252">
        <v>0</v>
      </c>
      <c r="P471" s="252">
        <v>0</v>
      </c>
      <c r="Q471" s="252">
        <v>0</v>
      </c>
      <c r="R471" s="252">
        <v>0</v>
      </c>
      <c r="S471" s="252">
        <v>0</v>
      </c>
      <c r="T471" s="252">
        <v>0</v>
      </c>
      <c r="U471" s="252">
        <v>0</v>
      </c>
      <c r="V471" s="252">
        <v>0</v>
      </c>
      <c r="W471" s="252">
        <v>0</v>
      </c>
      <c r="X471" s="252">
        <v>0</v>
      </c>
      <c r="Y471" s="252">
        <v>329.44</v>
      </c>
      <c r="Z471" s="252">
        <v>0</v>
      </c>
      <c r="AA471" s="252">
        <v>0</v>
      </c>
      <c r="AB471" s="252">
        <v>103.42</v>
      </c>
      <c r="AC471" s="252">
        <v>0</v>
      </c>
      <c r="AD471" s="252">
        <v>0</v>
      </c>
      <c r="AE471" s="252" t="s">
        <v>720</v>
      </c>
      <c r="AF471" s="252" t="s">
        <v>721</v>
      </c>
      <c r="AG471" s="252">
        <f t="shared" si="36"/>
        <v>0</v>
      </c>
      <c r="AH471" s="252">
        <f t="shared" si="37"/>
        <v>0</v>
      </c>
      <c r="AI471" s="252">
        <f t="shared" si="38"/>
        <v>0</v>
      </c>
      <c r="AJ471" s="252">
        <f t="shared" si="39"/>
        <v>0</v>
      </c>
    </row>
    <row r="472" spans="1:36" x14ac:dyDescent="0.2">
      <c r="A472" s="253" t="str">
        <f t="shared" si="35"/>
        <v>2SNCPPZK20560</v>
      </c>
      <c r="B472" s="252" t="s">
        <v>19</v>
      </c>
      <c r="C472" s="252" t="s">
        <v>20</v>
      </c>
      <c r="D472" s="252" t="s">
        <v>2558</v>
      </c>
      <c r="E472" s="252" t="s">
        <v>2522</v>
      </c>
      <c r="F472" s="252" t="s">
        <v>2567</v>
      </c>
      <c r="G472" s="252">
        <v>60</v>
      </c>
      <c r="H472" s="252" t="s">
        <v>928</v>
      </c>
      <c r="I472" s="252" t="s">
        <v>2477</v>
      </c>
      <c r="J472" s="252" t="s">
        <v>928</v>
      </c>
      <c r="K472" s="252" t="s">
        <v>3236</v>
      </c>
      <c r="L472" s="252">
        <v>360.17</v>
      </c>
      <c r="M472" s="252">
        <v>0</v>
      </c>
      <c r="N472" s="252">
        <v>0</v>
      </c>
      <c r="O472" s="252">
        <v>0</v>
      </c>
      <c r="P472" s="252">
        <v>0</v>
      </c>
      <c r="Q472" s="252">
        <v>0</v>
      </c>
      <c r="R472" s="252">
        <v>0</v>
      </c>
      <c r="S472" s="252">
        <v>0</v>
      </c>
      <c r="T472" s="252">
        <v>0</v>
      </c>
      <c r="U472" s="252">
        <v>0</v>
      </c>
      <c r="V472" s="252">
        <v>0</v>
      </c>
      <c r="W472" s="252">
        <v>0</v>
      </c>
      <c r="X472" s="252">
        <v>0</v>
      </c>
      <c r="Y472" s="252">
        <v>296.74</v>
      </c>
      <c r="Z472" s="252">
        <v>0</v>
      </c>
      <c r="AA472" s="252">
        <v>0</v>
      </c>
      <c r="AB472" s="252">
        <v>63.42</v>
      </c>
      <c r="AC472" s="252">
        <v>0</v>
      </c>
      <c r="AD472" s="252">
        <v>0</v>
      </c>
      <c r="AE472" s="252" t="s">
        <v>720</v>
      </c>
      <c r="AF472" s="252" t="s">
        <v>721</v>
      </c>
      <c r="AG472" s="252">
        <f t="shared" si="36"/>
        <v>0</v>
      </c>
      <c r="AH472" s="252">
        <f t="shared" si="37"/>
        <v>0</v>
      </c>
      <c r="AI472" s="252">
        <f t="shared" si="38"/>
        <v>0</v>
      </c>
      <c r="AJ472" s="252">
        <f t="shared" si="39"/>
        <v>0</v>
      </c>
    </row>
    <row r="473" spans="1:36" x14ac:dyDescent="0.2">
      <c r="A473" s="253" t="str">
        <f t="shared" si="35"/>
        <v>SNCPPZK20560</v>
      </c>
      <c r="B473" s="252" t="s">
        <v>19</v>
      </c>
      <c r="C473" s="252" t="s">
        <v>20</v>
      </c>
      <c r="D473" s="252" t="s">
        <v>2558</v>
      </c>
      <c r="E473" s="252" t="s">
        <v>2522</v>
      </c>
      <c r="F473" s="252" t="s">
        <v>2567</v>
      </c>
      <c r="G473" s="252">
        <v>60</v>
      </c>
      <c r="H473" s="252" t="s">
        <v>928</v>
      </c>
      <c r="I473" s="252" t="s">
        <v>928</v>
      </c>
      <c r="J473" s="252" t="s">
        <v>928</v>
      </c>
      <c r="K473" s="252" t="s">
        <v>3236</v>
      </c>
      <c r="L473" s="252">
        <v>360.17</v>
      </c>
      <c r="M473" s="252">
        <v>0</v>
      </c>
      <c r="N473" s="252">
        <v>0</v>
      </c>
      <c r="O473" s="252">
        <v>0</v>
      </c>
      <c r="P473" s="252">
        <v>0</v>
      </c>
      <c r="Q473" s="252">
        <v>0</v>
      </c>
      <c r="R473" s="252">
        <v>0</v>
      </c>
      <c r="S473" s="252">
        <v>0</v>
      </c>
      <c r="T473" s="252">
        <v>0</v>
      </c>
      <c r="U473" s="252">
        <v>0</v>
      </c>
      <c r="V473" s="252">
        <v>0</v>
      </c>
      <c r="W473" s="252">
        <v>0</v>
      </c>
      <c r="X473" s="252">
        <v>0</v>
      </c>
      <c r="Y473" s="252">
        <v>296.74</v>
      </c>
      <c r="Z473" s="252">
        <v>0</v>
      </c>
      <c r="AA473" s="252">
        <v>0</v>
      </c>
      <c r="AB473" s="252">
        <v>63.42</v>
      </c>
      <c r="AC473" s="252">
        <v>0</v>
      </c>
      <c r="AD473" s="252">
        <v>0</v>
      </c>
      <c r="AE473" s="252" t="s">
        <v>720</v>
      </c>
      <c r="AF473" s="252" t="s">
        <v>721</v>
      </c>
      <c r="AG473" s="252">
        <f t="shared" si="36"/>
        <v>0</v>
      </c>
      <c r="AH473" s="252">
        <f t="shared" si="37"/>
        <v>0</v>
      </c>
      <c r="AI473" s="252">
        <f t="shared" si="38"/>
        <v>0</v>
      </c>
      <c r="AJ473" s="252">
        <f t="shared" si="39"/>
        <v>0</v>
      </c>
    </row>
    <row r="474" spans="1:36" x14ac:dyDescent="0.2">
      <c r="A474" s="253" t="str">
        <f t="shared" si="35"/>
        <v>2SNCPPZK20570</v>
      </c>
      <c r="B474" s="252" t="s">
        <v>19</v>
      </c>
      <c r="C474" s="252" t="s">
        <v>20</v>
      </c>
      <c r="D474" s="252" t="s">
        <v>2558</v>
      </c>
      <c r="E474" s="252" t="s">
        <v>2522</v>
      </c>
      <c r="F474" s="252" t="s">
        <v>2567</v>
      </c>
      <c r="G474" s="252">
        <v>70</v>
      </c>
      <c r="H474" s="252" t="s">
        <v>928</v>
      </c>
      <c r="I474" s="252" t="s">
        <v>2477</v>
      </c>
      <c r="J474" s="252" t="s">
        <v>928</v>
      </c>
      <c r="K474" s="252" t="s">
        <v>3236</v>
      </c>
      <c r="L474" s="252">
        <v>356.37</v>
      </c>
      <c r="M474" s="252">
        <v>0</v>
      </c>
      <c r="N474" s="252">
        <v>0</v>
      </c>
      <c r="O474" s="252">
        <v>0</v>
      </c>
      <c r="P474" s="252">
        <v>0</v>
      </c>
      <c r="Q474" s="252">
        <v>0</v>
      </c>
      <c r="R474" s="252">
        <v>0</v>
      </c>
      <c r="S474" s="252">
        <v>0</v>
      </c>
      <c r="T474" s="252">
        <v>0</v>
      </c>
      <c r="U474" s="252">
        <v>0</v>
      </c>
      <c r="V474" s="252">
        <v>0</v>
      </c>
      <c r="W474" s="252">
        <v>0</v>
      </c>
      <c r="X474" s="252">
        <v>0</v>
      </c>
      <c r="Y474" s="252">
        <v>297.12</v>
      </c>
      <c r="Z474" s="252">
        <v>0</v>
      </c>
      <c r="AA474" s="252">
        <v>0</v>
      </c>
      <c r="AB474" s="252">
        <v>59.24</v>
      </c>
      <c r="AC474" s="252">
        <v>0</v>
      </c>
      <c r="AD474" s="252">
        <v>0</v>
      </c>
      <c r="AE474" s="252" t="s">
        <v>720</v>
      </c>
      <c r="AF474" s="252" t="s">
        <v>721</v>
      </c>
      <c r="AG474" s="252">
        <f t="shared" si="36"/>
        <v>0</v>
      </c>
      <c r="AH474" s="252">
        <f t="shared" si="37"/>
        <v>0</v>
      </c>
      <c r="AI474" s="252">
        <f t="shared" si="38"/>
        <v>0</v>
      </c>
      <c r="AJ474" s="252">
        <f t="shared" si="39"/>
        <v>0</v>
      </c>
    </row>
    <row r="475" spans="1:36" x14ac:dyDescent="0.2">
      <c r="A475" s="253" t="str">
        <f t="shared" si="35"/>
        <v>SNCPPZK20570</v>
      </c>
      <c r="B475" s="252" t="s">
        <v>19</v>
      </c>
      <c r="C475" s="252" t="s">
        <v>20</v>
      </c>
      <c r="D475" s="252" t="s">
        <v>2558</v>
      </c>
      <c r="E475" s="252" t="s">
        <v>2522</v>
      </c>
      <c r="F475" s="252" t="s">
        <v>2567</v>
      </c>
      <c r="G475" s="252">
        <v>70</v>
      </c>
      <c r="H475" s="252" t="s">
        <v>928</v>
      </c>
      <c r="I475" s="252" t="s">
        <v>928</v>
      </c>
      <c r="J475" s="252" t="s">
        <v>928</v>
      </c>
      <c r="K475" s="252" t="s">
        <v>3236</v>
      </c>
      <c r="L475" s="252">
        <v>356.37</v>
      </c>
      <c r="M475" s="252">
        <v>0</v>
      </c>
      <c r="N475" s="252">
        <v>0</v>
      </c>
      <c r="O475" s="252">
        <v>0</v>
      </c>
      <c r="P475" s="252">
        <v>0</v>
      </c>
      <c r="Q475" s="252">
        <v>0</v>
      </c>
      <c r="R475" s="252">
        <v>0</v>
      </c>
      <c r="S475" s="252">
        <v>0</v>
      </c>
      <c r="T475" s="252">
        <v>0</v>
      </c>
      <c r="U475" s="252">
        <v>0</v>
      </c>
      <c r="V475" s="252">
        <v>0</v>
      </c>
      <c r="W475" s="252">
        <v>0</v>
      </c>
      <c r="X475" s="252">
        <v>0</v>
      </c>
      <c r="Y475" s="252">
        <v>297.12</v>
      </c>
      <c r="Z475" s="252">
        <v>0</v>
      </c>
      <c r="AA475" s="252">
        <v>0</v>
      </c>
      <c r="AB475" s="252">
        <v>59.24</v>
      </c>
      <c r="AC475" s="252">
        <v>0</v>
      </c>
      <c r="AD475" s="252">
        <v>0</v>
      </c>
      <c r="AE475" s="252" t="s">
        <v>720</v>
      </c>
      <c r="AF475" s="252" t="s">
        <v>721</v>
      </c>
      <c r="AG475" s="252">
        <f t="shared" si="36"/>
        <v>0</v>
      </c>
      <c r="AH475" s="252">
        <f t="shared" si="37"/>
        <v>0</v>
      </c>
      <c r="AI475" s="252">
        <f t="shared" si="38"/>
        <v>0</v>
      </c>
      <c r="AJ475" s="252">
        <f t="shared" si="39"/>
        <v>0</v>
      </c>
    </row>
    <row r="476" spans="1:36" x14ac:dyDescent="0.2">
      <c r="A476" s="253" t="str">
        <f t="shared" si="35"/>
        <v>2SNCPPZK20580</v>
      </c>
      <c r="B476" s="252" t="s">
        <v>19</v>
      </c>
      <c r="C476" s="252" t="s">
        <v>20</v>
      </c>
      <c r="D476" s="252" t="s">
        <v>2558</v>
      </c>
      <c r="E476" s="252" t="s">
        <v>2522</v>
      </c>
      <c r="F476" s="252" t="s">
        <v>2567</v>
      </c>
      <c r="G476" s="252">
        <v>80</v>
      </c>
      <c r="H476" s="252" t="s">
        <v>928</v>
      </c>
      <c r="I476" s="252" t="s">
        <v>2477</v>
      </c>
      <c r="J476" s="252" t="s">
        <v>928</v>
      </c>
      <c r="K476" s="252" t="s">
        <v>3236</v>
      </c>
      <c r="L476" s="252">
        <v>437.75</v>
      </c>
      <c r="M476" s="252">
        <v>0</v>
      </c>
      <c r="N476" s="252">
        <v>0</v>
      </c>
      <c r="O476" s="252">
        <v>0</v>
      </c>
      <c r="P476" s="252">
        <v>0</v>
      </c>
      <c r="Q476" s="252">
        <v>0</v>
      </c>
      <c r="R476" s="252">
        <v>0</v>
      </c>
      <c r="S476" s="252">
        <v>0</v>
      </c>
      <c r="T476" s="252">
        <v>0</v>
      </c>
      <c r="U476" s="252">
        <v>0</v>
      </c>
      <c r="V476" s="252">
        <v>0</v>
      </c>
      <c r="W476" s="252">
        <v>0</v>
      </c>
      <c r="X476" s="252">
        <v>0</v>
      </c>
      <c r="Y476" s="252">
        <v>318.41000000000003</v>
      </c>
      <c r="Z476" s="252">
        <v>0</v>
      </c>
      <c r="AA476" s="252">
        <v>0</v>
      </c>
      <c r="AB476" s="252">
        <v>119.33</v>
      </c>
      <c r="AC476" s="252">
        <v>0</v>
      </c>
      <c r="AD476" s="252">
        <v>0</v>
      </c>
      <c r="AE476" s="252" t="s">
        <v>720</v>
      </c>
      <c r="AF476" s="252" t="s">
        <v>721</v>
      </c>
      <c r="AG476" s="252">
        <f t="shared" si="36"/>
        <v>0</v>
      </c>
      <c r="AH476" s="252">
        <f t="shared" si="37"/>
        <v>0</v>
      </c>
      <c r="AI476" s="252">
        <f t="shared" si="38"/>
        <v>0</v>
      </c>
      <c r="AJ476" s="252">
        <f t="shared" si="39"/>
        <v>0</v>
      </c>
    </row>
    <row r="477" spans="1:36" x14ac:dyDescent="0.2">
      <c r="A477" s="253" t="str">
        <f t="shared" si="35"/>
        <v>SNCPPZK20580</v>
      </c>
      <c r="B477" s="252" t="s">
        <v>19</v>
      </c>
      <c r="C477" s="252" t="s">
        <v>20</v>
      </c>
      <c r="D477" s="252" t="s">
        <v>2558</v>
      </c>
      <c r="E477" s="252" t="s">
        <v>2522</v>
      </c>
      <c r="F477" s="252" t="s">
        <v>2567</v>
      </c>
      <c r="G477" s="252">
        <v>80</v>
      </c>
      <c r="H477" s="252" t="s">
        <v>928</v>
      </c>
      <c r="I477" s="252" t="s">
        <v>928</v>
      </c>
      <c r="J477" s="252" t="s">
        <v>928</v>
      </c>
      <c r="K477" s="252" t="s">
        <v>3236</v>
      </c>
      <c r="L477" s="252">
        <v>437.75</v>
      </c>
      <c r="M477" s="252">
        <v>0</v>
      </c>
      <c r="N477" s="252">
        <v>0</v>
      </c>
      <c r="O477" s="252">
        <v>0</v>
      </c>
      <c r="P477" s="252">
        <v>0</v>
      </c>
      <c r="Q477" s="252">
        <v>0</v>
      </c>
      <c r="R477" s="252">
        <v>0</v>
      </c>
      <c r="S477" s="252">
        <v>0</v>
      </c>
      <c r="T477" s="252">
        <v>0</v>
      </c>
      <c r="U477" s="252">
        <v>0</v>
      </c>
      <c r="V477" s="252">
        <v>0</v>
      </c>
      <c r="W477" s="252">
        <v>0</v>
      </c>
      <c r="X477" s="252">
        <v>0</v>
      </c>
      <c r="Y477" s="252">
        <v>318.41000000000003</v>
      </c>
      <c r="Z477" s="252">
        <v>0</v>
      </c>
      <c r="AA477" s="252">
        <v>0</v>
      </c>
      <c r="AB477" s="252">
        <v>119.33</v>
      </c>
      <c r="AC477" s="252">
        <v>0</v>
      </c>
      <c r="AD477" s="252">
        <v>0</v>
      </c>
      <c r="AE477" s="252" t="s">
        <v>720</v>
      </c>
      <c r="AF477" s="252" t="s">
        <v>721</v>
      </c>
      <c r="AG477" s="252">
        <f t="shared" si="36"/>
        <v>0</v>
      </c>
      <c r="AH477" s="252">
        <f t="shared" si="37"/>
        <v>0</v>
      </c>
      <c r="AI477" s="252">
        <f t="shared" si="38"/>
        <v>0</v>
      </c>
      <c r="AJ477" s="252">
        <f t="shared" si="39"/>
        <v>0</v>
      </c>
    </row>
    <row r="478" spans="1:36" x14ac:dyDescent="0.2">
      <c r="A478" s="253" t="str">
        <f t="shared" si="35"/>
        <v>2SNCPPZK20750</v>
      </c>
      <c r="B478" s="252" t="s">
        <v>19</v>
      </c>
      <c r="C478" s="252" t="s">
        <v>20</v>
      </c>
      <c r="D478" s="252" t="s">
        <v>2558</v>
      </c>
      <c r="E478" s="252" t="s">
        <v>2522</v>
      </c>
      <c r="F478" s="252" t="s">
        <v>2568</v>
      </c>
      <c r="G478" s="252">
        <v>50</v>
      </c>
      <c r="H478" s="252" t="s">
        <v>928</v>
      </c>
      <c r="I478" s="252" t="s">
        <v>2477</v>
      </c>
      <c r="J478" s="252" t="s">
        <v>928</v>
      </c>
      <c r="K478" s="252" t="s">
        <v>3236</v>
      </c>
      <c r="L478" s="252">
        <v>299.85000000000002</v>
      </c>
      <c r="M478" s="252">
        <v>0</v>
      </c>
      <c r="N478" s="252">
        <v>0</v>
      </c>
      <c r="O478" s="252">
        <v>0</v>
      </c>
      <c r="P478" s="252">
        <v>0</v>
      </c>
      <c r="Q478" s="252">
        <v>0</v>
      </c>
      <c r="R478" s="252">
        <v>0</v>
      </c>
      <c r="S478" s="252">
        <v>0</v>
      </c>
      <c r="T478" s="252">
        <v>0</v>
      </c>
      <c r="U478" s="252">
        <v>0</v>
      </c>
      <c r="V478" s="252">
        <v>0</v>
      </c>
      <c r="W478" s="252">
        <v>0</v>
      </c>
      <c r="X478" s="252">
        <v>0</v>
      </c>
      <c r="Y478" s="252">
        <v>254.3</v>
      </c>
      <c r="Z478" s="252">
        <v>0</v>
      </c>
      <c r="AA478" s="252">
        <v>0</v>
      </c>
      <c r="AB478" s="252">
        <v>45.55</v>
      </c>
      <c r="AC478" s="252">
        <v>0</v>
      </c>
      <c r="AD478" s="252">
        <v>0</v>
      </c>
      <c r="AE478" s="252" t="s">
        <v>720</v>
      </c>
      <c r="AF478" s="252" t="s">
        <v>721</v>
      </c>
      <c r="AG478" s="252">
        <f t="shared" si="36"/>
        <v>0</v>
      </c>
      <c r="AH478" s="252">
        <f t="shared" si="37"/>
        <v>0</v>
      </c>
      <c r="AI478" s="252">
        <f t="shared" si="38"/>
        <v>0</v>
      </c>
      <c r="AJ478" s="252">
        <f t="shared" si="39"/>
        <v>0</v>
      </c>
    </row>
    <row r="479" spans="1:36" x14ac:dyDescent="0.2">
      <c r="A479" s="253" t="str">
        <f t="shared" si="35"/>
        <v>SNCPPZK20750</v>
      </c>
      <c r="B479" s="252" t="s">
        <v>19</v>
      </c>
      <c r="C479" s="252" t="s">
        <v>20</v>
      </c>
      <c r="D479" s="252" t="s">
        <v>2558</v>
      </c>
      <c r="E479" s="252" t="s">
        <v>2522</v>
      </c>
      <c r="F479" s="252" t="s">
        <v>2568</v>
      </c>
      <c r="G479" s="252">
        <v>50</v>
      </c>
      <c r="H479" s="252" t="s">
        <v>928</v>
      </c>
      <c r="I479" s="252" t="s">
        <v>928</v>
      </c>
      <c r="J479" s="252" t="s">
        <v>928</v>
      </c>
      <c r="K479" s="252" t="s">
        <v>3236</v>
      </c>
      <c r="L479" s="252">
        <v>299.85000000000002</v>
      </c>
      <c r="M479" s="252">
        <v>0</v>
      </c>
      <c r="N479" s="252">
        <v>0</v>
      </c>
      <c r="O479" s="252">
        <v>0</v>
      </c>
      <c r="P479" s="252">
        <v>0</v>
      </c>
      <c r="Q479" s="252">
        <v>0</v>
      </c>
      <c r="R479" s="252">
        <v>0</v>
      </c>
      <c r="S479" s="252">
        <v>0</v>
      </c>
      <c r="T479" s="252">
        <v>0</v>
      </c>
      <c r="U479" s="252">
        <v>0</v>
      </c>
      <c r="V479" s="252">
        <v>0</v>
      </c>
      <c r="W479" s="252">
        <v>0</v>
      </c>
      <c r="X479" s="252">
        <v>0</v>
      </c>
      <c r="Y479" s="252">
        <v>254.3</v>
      </c>
      <c r="Z479" s="252">
        <v>0</v>
      </c>
      <c r="AA479" s="252">
        <v>0</v>
      </c>
      <c r="AB479" s="252">
        <v>45.55</v>
      </c>
      <c r="AC479" s="252">
        <v>0</v>
      </c>
      <c r="AD479" s="252">
        <v>0</v>
      </c>
      <c r="AE479" s="252" t="s">
        <v>720</v>
      </c>
      <c r="AF479" s="252" t="s">
        <v>721</v>
      </c>
      <c r="AG479" s="252">
        <f t="shared" si="36"/>
        <v>0</v>
      </c>
      <c r="AH479" s="252">
        <f t="shared" si="37"/>
        <v>0</v>
      </c>
      <c r="AI479" s="252">
        <f t="shared" si="38"/>
        <v>0</v>
      </c>
      <c r="AJ479" s="252">
        <f t="shared" si="39"/>
        <v>0</v>
      </c>
    </row>
    <row r="480" spans="1:36" x14ac:dyDescent="0.2">
      <c r="A480" s="253" t="str">
        <f t="shared" si="35"/>
        <v>2SNCPPZK20760</v>
      </c>
      <c r="B480" s="252" t="s">
        <v>19</v>
      </c>
      <c r="C480" s="252" t="s">
        <v>20</v>
      </c>
      <c r="D480" s="252" t="s">
        <v>2558</v>
      </c>
      <c r="E480" s="252" t="s">
        <v>2522</v>
      </c>
      <c r="F480" s="252" t="s">
        <v>2568</v>
      </c>
      <c r="G480" s="252">
        <v>60</v>
      </c>
      <c r="H480" s="252" t="s">
        <v>928</v>
      </c>
      <c r="I480" s="252" t="s">
        <v>2477</v>
      </c>
      <c r="J480" s="252" t="s">
        <v>928</v>
      </c>
      <c r="K480" s="252" t="s">
        <v>3236</v>
      </c>
      <c r="L480" s="252">
        <v>301.05</v>
      </c>
      <c r="M480" s="252">
        <v>0</v>
      </c>
      <c r="N480" s="252">
        <v>0</v>
      </c>
      <c r="O480" s="252">
        <v>0</v>
      </c>
      <c r="P480" s="252">
        <v>0</v>
      </c>
      <c r="Q480" s="252">
        <v>0</v>
      </c>
      <c r="R480" s="252">
        <v>0</v>
      </c>
      <c r="S480" s="252">
        <v>0</v>
      </c>
      <c r="T480" s="252">
        <v>0</v>
      </c>
      <c r="U480" s="252">
        <v>0</v>
      </c>
      <c r="V480" s="252">
        <v>0</v>
      </c>
      <c r="W480" s="252">
        <v>0</v>
      </c>
      <c r="X480" s="252">
        <v>0</v>
      </c>
      <c r="Y480" s="252">
        <v>256.08</v>
      </c>
      <c r="Z480" s="252">
        <v>0</v>
      </c>
      <c r="AA480" s="252">
        <v>0</v>
      </c>
      <c r="AB480" s="252">
        <v>44.98</v>
      </c>
      <c r="AC480" s="252">
        <v>0</v>
      </c>
      <c r="AD480" s="252">
        <v>0</v>
      </c>
      <c r="AE480" s="252" t="s">
        <v>720</v>
      </c>
      <c r="AF480" s="252" t="s">
        <v>721</v>
      </c>
      <c r="AG480" s="252">
        <f t="shared" si="36"/>
        <v>0</v>
      </c>
      <c r="AH480" s="252">
        <f t="shared" si="37"/>
        <v>0</v>
      </c>
      <c r="AI480" s="252">
        <f t="shared" si="38"/>
        <v>0</v>
      </c>
      <c r="AJ480" s="252">
        <f t="shared" si="39"/>
        <v>0</v>
      </c>
    </row>
    <row r="481" spans="1:36" x14ac:dyDescent="0.2">
      <c r="A481" s="253" t="str">
        <f t="shared" si="35"/>
        <v>SNCPPZK20760</v>
      </c>
      <c r="B481" s="252" t="s">
        <v>19</v>
      </c>
      <c r="C481" s="252" t="s">
        <v>20</v>
      </c>
      <c r="D481" s="252" t="s">
        <v>2558</v>
      </c>
      <c r="E481" s="252" t="s">
        <v>2522</v>
      </c>
      <c r="F481" s="252" t="s">
        <v>2568</v>
      </c>
      <c r="G481" s="252">
        <v>60</v>
      </c>
      <c r="H481" s="252" t="s">
        <v>928</v>
      </c>
      <c r="I481" s="252" t="s">
        <v>928</v>
      </c>
      <c r="J481" s="252" t="s">
        <v>928</v>
      </c>
      <c r="K481" s="252" t="s">
        <v>3236</v>
      </c>
      <c r="L481" s="252">
        <v>301.05</v>
      </c>
      <c r="M481" s="252">
        <v>0</v>
      </c>
      <c r="N481" s="252">
        <v>0</v>
      </c>
      <c r="O481" s="252">
        <v>0</v>
      </c>
      <c r="P481" s="252">
        <v>0</v>
      </c>
      <c r="Q481" s="252">
        <v>0</v>
      </c>
      <c r="R481" s="252">
        <v>0</v>
      </c>
      <c r="S481" s="252">
        <v>0</v>
      </c>
      <c r="T481" s="252">
        <v>0</v>
      </c>
      <c r="U481" s="252">
        <v>0</v>
      </c>
      <c r="V481" s="252">
        <v>0</v>
      </c>
      <c r="W481" s="252">
        <v>0</v>
      </c>
      <c r="X481" s="252">
        <v>0</v>
      </c>
      <c r="Y481" s="252">
        <v>256.08</v>
      </c>
      <c r="Z481" s="252">
        <v>0</v>
      </c>
      <c r="AA481" s="252">
        <v>0</v>
      </c>
      <c r="AB481" s="252">
        <v>44.98</v>
      </c>
      <c r="AC481" s="252">
        <v>0</v>
      </c>
      <c r="AD481" s="252">
        <v>0</v>
      </c>
      <c r="AE481" s="252" t="s">
        <v>720</v>
      </c>
      <c r="AF481" s="252" t="s">
        <v>721</v>
      </c>
      <c r="AG481" s="252">
        <f t="shared" si="36"/>
        <v>0</v>
      </c>
      <c r="AH481" s="252">
        <f t="shared" si="37"/>
        <v>0</v>
      </c>
      <c r="AI481" s="252">
        <f t="shared" si="38"/>
        <v>0</v>
      </c>
      <c r="AJ481" s="252">
        <f t="shared" si="39"/>
        <v>0</v>
      </c>
    </row>
    <row r="482" spans="1:36" x14ac:dyDescent="0.2">
      <c r="A482" s="253" t="str">
        <f t="shared" si="35"/>
        <v>2SNCPPZK20770</v>
      </c>
      <c r="B482" s="252" t="s">
        <v>19</v>
      </c>
      <c r="C482" s="252" t="s">
        <v>20</v>
      </c>
      <c r="D482" s="252" t="s">
        <v>2558</v>
      </c>
      <c r="E482" s="252" t="s">
        <v>2522</v>
      </c>
      <c r="F482" s="252" t="s">
        <v>2568</v>
      </c>
      <c r="G482" s="252">
        <v>70</v>
      </c>
      <c r="H482" s="252" t="s">
        <v>928</v>
      </c>
      <c r="I482" s="252" t="s">
        <v>2477</v>
      </c>
      <c r="J482" s="252" t="s">
        <v>928</v>
      </c>
      <c r="K482" s="252" t="s">
        <v>3236</v>
      </c>
      <c r="L482" s="252">
        <v>310.86</v>
      </c>
      <c r="M482" s="252">
        <v>0</v>
      </c>
      <c r="N482" s="252">
        <v>0</v>
      </c>
      <c r="O482" s="252">
        <v>0</v>
      </c>
      <c r="P482" s="252">
        <v>0</v>
      </c>
      <c r="Q482" s="252">
        <v>0</v>
      </c>
      <c r="R482" s="252">
        <v>0</v>
      </c>
      <c r="S482" s="252">
        <v>0</v>
      </c>
      <c r="T482" s="252">
        <v>0</v>
      </c>
      <c r="U482" s="252">
        <v>0</v>
      </c>
      <c r="V482" s="252">
        <v>0</v>
      </c>
      <c r="W482" s="252">
        <v>0</v>
      </c>
      <c r="X482" s="252">
        <v>0</v>
      </c>
      <c r="Y482" s="252">
        <v>262.70999999999998</v>
      </c>
      <c r="Z482" s="252">
        <v>0</v>
      </c>
      <c r="AA482" s="252">
        <v>0</v>
      </c>
      <c r="AB482" s="252">
        <v>48.15</v>
      </c>
      <c r="AC482" s="252">
        <v>0</v>
      </c>
      <c r="AD482" s="252">
        <v>0</v>
      </c>
      <c r="AE482" s="252" t="s">
        <v>720</v>
      </c>
      <c r="AF482" s="252" t="s">
        <v>721</v>
      </c>
      <c r="AG482" s="252">
        <f t="shared" si="36"/>
        <v>0</v>
      </c>
      <c r="AH482" s="252">
        <f t="shared" si="37"/>
        <v>0</v>
      </c>
      <c r="AI482" s="252">
        <f t="shared" si="38"/>
        <v>0</v>
      </c>
      <c r="AJ482" s="252">
        <f t="shared" si="39"/>
        <v>0</v>
      </c>
    </row>
    <row r="483" spans="1:36" x14ac:dyDescent="0.2">
      <c r="A483" s="253" t="str">
        <f t="shared" si="35"/>
        <v>SNCPPZK20770</v>
      </c>
      <c r="B483" s="252" t="s">
        <v>19</v>
      </c>
      <c r="C483" s="252" t="s">
        <v>20</v>
      </c>
      <c r="D483" s="252" t="s">
        <v>2558</v>
      </c>
      <c r="E483" s="252" t="s">
        <v>2522</v>
      </c>
      <c r="F483" s="252" t="s">
        <v>2568</v>
      </c>
      <c r="G483" s="252">
        <v>70</v>
      </c>
      <c r="H483" s="252" t="s">
        <v>928</v>
      </c>
      <c r="I483" s="252" t="s">
        <v>928</v>
      </c>
      <c r="J483" s="252" t="s">
        <v>928</v>
      </c>
      <c r="K483" s="252" t="s">
        <v>3236</v>
      </c>
      <c r="L483" s="252">
        <v>310.86</v>
      </c>
      <c r="M483" s="252">
        <v>0</v>
      </c>
      <c r="N483" s="252">
        <v>0</v>
      </c>
      <c r="O483" s="252">
        <v>0</v>
      </c>
      <c r="P483" s="252">
        <v>0</v>
      </c>
      <c r="Q483" s="252">
        <v>0</v>
      </c>
      <c r="R483" s="252">
        <v>0</v>
      </c>
      <c r="S483" s="252">
        <v>0</v>
      </c>
      <c r="T483" s="252">
        <v>0</v>
      </c>
      <c r="U483" s="252">
        <v>0</v>
      </c>
      <c r="V483" s="252">
        <v>0</v>
      </c>
      <c r="W483" s="252">
        <v>0</v>
      </c>
      <c r="X483" s="252">
        <v>0</v>
      </c>
      <c r="Y483" s="252">
        <v>262.70999999999998</v>
      </c>
      <c r="Z483" s="252">
        <v>0</v>
      </c>
      <c r="AA483" s="252">
        <v>0</v>
      </c>
      <c r="AB483" s="252">
        <v>48.15</v>
      </c>
      <c r="AC483" s="252">
        <v>0</v>
      </c>
      <c r="AD483" s="252">
        <v>0</v>
      </c>
      <c r="AE483" s="252" t="s">
        <v>720</v>
      </c>
      <c r="AF483" s="252" t="s">
        <v>721</v>
      </c>
      <c r="AG483" s="252">
        <f t="shared" si="36"/>
        <v>0</v>
      </c>
      <c r="AH483" s="252">
        <f t="shared" si="37"/>
        <v>0</v>
      </c>
      <c r="AI483" s="252">
        <f t="shared" si="38"/>
        <v>0</v>
      </c>
      <c r="AJ483" s="252">
        <f t="shared" si="39"/>
        <v>0</v>
      </c>
    </row>
    <row r="484" spans="1:36" x14ac:dyDescent="0.2">
      <c r="A484" s="253" t="str">
        <f t="shared" si="35"/>
        <v>2SNCPPZK20780</v>
      </c>
      <c r="B484" s="252" t="s">
        <v>19</v>
      </c>
      <c r="C484" s="252" t="s">
        <v>20</v>
      </c>
      <c r="D484" s="252" t="s">
        <v>2558</v>
      </c>
      <c r="E484" s="252" t="s">
        <v>2522</v>
      </c>
      <c r="F484" s="252" t="s">
        <v>2568</v>
      </c>
      <c r="G484" s="252">
        <v>80</v>
      </c>
      <c r="H484" s="252" t="s">
        <v>928</v>
      </c>
      <c r="I484" s="252" t="s">
        <v>2477</v>
      </c>
      <c r="J484" s="252" t="s">
        <v>928</v>
      </c>
      <c r="K484" s="252" t="s">
        <v>3236</v>
      </c>
      <c r="L484" s="252">
        <v>304.52999999999997</v>
      </c>
      <c r="M484" s="252">
        <v>0</v>
      </c>
      <c r="N484" s="252">
        <v>0</v>
      </c>
      <c r="O484" s="252">
        <v>0</v>
      </c>
      <c r="P484" s="252">
        <v>0</v>
      </c>
      <c r="Q484" s="252">
        <v>0</v>
      </c>
      <c r="R484" s="252">
        <v>0</v>
      </c>
      <c r="S484" s="252">
        <v>0</v>
      </c>
      <c r="T484" s="252">
        <v>0</v>
      </c>
      <c r="U484" s="252">
        <v>0</v>
      </c>
      <c r="V484" s="252">
        <v>0</v>
      </c>
      <c r="W484" s="252">
        <v>0</v>
      </c>
      <c r="X484" s="252">
        <v>0</v>
      </c>
      <c r="Y484" s="252">
        <v>257.52</v>
      </c>
      <c r="Z484" s="252">
        <v>0</v>
      </c>
      <c r="AA484" s="252">
        <v>0</v>
      </c>
      <c r="AB484" s="252">
        <v>47.01</v>
      </c>
      <c r="AC484" s="252">
        <v>0</v>
      </c>
      <c r="AD484" s="252">
        <v>0</v>
      </c>
      <c r="AE484" s="252" t="s">
        <v>720</v>
      </c>
      <c r="AF484" s="252" t="s">
        <v>721</v>
      </c>
      <c r="AG484" s="252">
        <f t="shared" si="36"/>
        <v>0</v>
      </c>
      <c r="AH484" s="252">
        <f t="shared" si="37"/>
        <v>0</v>
      </c>
      <c r="AI484" s="252">
        <f t="shared" si="38"/>
        <v>0</v>
      </c>
      <c r="AJ484" s="252">
        <f t="shared" si="39"/>
        <v>0</v>
      </c>
    </row>
    <row r="485" spans="1:36" x14ac:dyDescent="0.2">
      <c r="A485" s="253" t="str">
        <f t="shared" si="35"/>
        <v>SNCPPZK20780</v>
      </c>
      <c r="B485" s="252" t="s">
        <v>19</v>
      </c>
      <c r="C485" s="252" t="s">
        <v>20</v>
      </c>
      <c r="D485" s="252" t="s">
        <v>2558</v>
      </c>
      <c r="E485" s="252" t="s">
        <v>2522</v>
      </c>
      <c r="F485" s="252" t="s">
        <v>2568</v>
      </c>
      <c r="G485" s="252">
        <v>80</v>
      </c>
      <c r="H485" s="252" t="s">
        <v>928</v>
      </c>
      <c r="I485" s="252" t="s">
        <v>928</v>
      </c>
      <c r="J485" s="252" t="s">
        <v>928</v>
      </c>
      <c r="K485" s="252" t="s">
        <v>3236</v>
      </c>
      <c r="L485" s="252">
        <v>304.52999999999997</v>
      </c>
      <c r="M485" s="252">
        <v>0</v>
      </c>
      <c r="N485" s="252">
        <v>0</v>
      </c>
      <c r="O485" s="252">
        <v>0</v>
      </c>
      <c r="P485" s="252">
        <v>0</v>
      </c>
      <c r="Q485" s="252">
        <v>0</v>
      </c>
      <c r="R485" s="252">
        <v>0</v>
      </c>
      <c r="S485" s="252">
        <v>0</v>
      </c>
      <c r="T485" s="252">
        <v>0</v>
      </c>
      <c r="U485" s="252">
        <v>0</v>
      </c>
      <c r="V485" s="252">
        <v>0</v>
      </c>
      <c r="W485" s="252">
        <v>0</v>
      </c>
      <c r="X485" s="252">
        <v>0</v>
      </c>
      <c r="Y485" s="252">
        <v>257.52</v>
      </c>
      <c r="Z485" s="252">
        <v>0</v>
      </c>
      <c r="AA485" s="252">
        <v>0</v>
      </c>
      <c r="AB485" s="252">
        <v>47.01</v>
      </c>
      <c r="AC485" s="252">
        <v>0</v>
      </c>
      <c r="AD485" s="252">
        <v>0</v>
      </c>
      <c r="AE485" s="252" t="s">
        <v>720</v>
      </c>
      <c r="AF485" s="252" t="s">
        <v>721</v>
      </c>
      <c r="AG485" s="252">
        <f t="shared" si="36"/>
        <v>0</v>
      </c>
      <c r="AH485" s="252">
        <f t="shared" si="37"/>
        <v>0</v>
      </c>
      <c r="AI485" s="252">
        <f t="shared" si="38"/>
        <v>0</v>
      </c>
      <c r="AJ485" s="252">
        <f t="shared" si="39"/>
        <v>0</v>
      </c>
    </row>
    <row r="486" spans="1:36" x14ac:dyDescent="0.2">
      <c r="A486" s="253" t="str">
        <f t="shared" si="35"/>
        <v>2SNCPPZK207100</v>
      </c>
      <c r="B486" s="252" t="s">
        <v>19</v>
      </c>
      <c r="C486" s="252" t="s">
        <v>20</v>
      </c>
      <c r="D486" s="252" t="s">
        <v>2558</v>
      </c>
      <c r="E486" s="252" t="s">
        <v>2522</v>
      </c>
      <c r="F486" s="252" t="s">
        <v>2568</v>
      </c>
      <c r="G486" s="252">
        <v>100</v>
      </c>
      <c r="H486" s="252" t="s">
        <v>928</v>
      </c>
      <c r="I486" s="252" t="s">
        <v>2477</v>
      </c>
      <c r="J486" s="252" t="s">
        <v>928</v>
      </c>
      <c r="K486" s="252" t="s">
        <v>3236</v>
      </c>
      <c r="L486" s="252">
        <v>308.08999999999997</v>
      </c>
      <c r="M486" s="252">
        <v>0</v>
      </c>
      <c r="N486" s="252">
        <v>0</v>
      </c>
      <c r="O486" s="252">
        <v>0</v>
      </c>
      <c r="P486" s="252">
        <v>0</v>
      </c>
      <c r="Q486" s="252">
        <v>0</v>
      </c>
      <c r="R486" s="252">
        <v>0</v>
      </c>
      <c r="S486" s="252">
        <v>0</v>
      </c>
      <c r="T486" s="252">
        <v>0</v>
      </c>
      <c r="U486" s="252">
        <v>0</v>
      </c>
      <c r="V486" s="252">
        <v>0</v>
      </c>
      <c r="W486" s="252">
        <v>0</v>
      </c>
      <c r="X486" s="252">
        <v>0</v>
      </c>
      <c r="Y486" s="252">
        <v>258.89</v>
      </c>
      <c r="Z486" s="252">
        <v>0</v>
      </c>
      <c r="AA486" s="252">
        <v>0</v>
      </c>
      <c r="AB486" s="252">
        <v>49.2</v>
      </c>
      <c r="AC486" s="252">
        <v>0</v>
      </c>
      <c r="AD486" s="252">
        <v>0</v>
      </c>
      <c r="AE486" s="252" t="s">
        <v>720</v>
      </c>
      <c r="AF486" s="252" t="s">
        <v>721</v>
      </c>
      <c r="AG486" s="252">
        <f t="shared" si="36"/>
        <v>0</v>
      </c>
      <c r="AH486" s="252">
        <f t="shared" si="37"/>
        <v>0</v>
      </c>
      <c r="AI486" s="252">
        <f t="shared" si="38"/>
        <v>0</v>
      </c>
      <c r="AJ486" s="252">
        <f t="shared" si="39"/>
        <v>0</v>
      </c>
    </row>
    <row r="487" spans="1:36" x14ac:dyDescent="0.2">
      <c r="A487" s="253" t="str">
        <f t="shared" si="35"/>
        <v>SNCPPZK207100</v>
      </c>
      <c r="B487" s="252" t="s">
        <v>19</v>
      </c>
      <c r="C487" s="252" t="s">
        <v>20</v>
      </c>
      <c r="D487" s="252" t="s">
        <v>2558</v>
      </c>
      <c r="E487" s="252" t="s">
        <v>2522</v>
      </c>
      <c r="F487" s="252" t="s">
        <v>2568</v>
      </c>
      <c r="G487" s="252">
        <v>100</v>
      </c>
      <c r="H487" s="252" t="s">
        <v>928</v>
      </c>
      <c r="I487" s="252" t="s">
        <v>928</v>
      </c>
      <c r="J487" s="252" t="s">
        <v>928</v>
      </c>
      <c r="K487" s="252" t="s">
        <v>3236</v>
      </c>
      <c r="L487" s="252">
        <v>308.08999999999997</v>
      </c>
      <c r="M487" s="252">
        <v>0</v>
      </c>
      <c r="N487" s="252">
        <v>0</v>
      </c>
      <c r="O487" s="252">
        <v>0</v>
      </c>
      <c r="P487" s="252">
        <v>0</v>
      </c>
      <c r="Q487" s="252">
        <v>0</v>
      </c>
      <c r="R487" s="252">
        <v>0</v>
      </c>
      <c r="S487" s="252">
        <v>0</v>
      </c>
      <c r="T487" s="252">
        <v>0</v>
      </c>
      <c r="U487" s="252">
        <v>0</v>
      </c>
      <c r="V487" s="252">
        <v>0</v>
      </c>
      <c r="W487" s="252">
        <v>0</v>
      </c>
      <c r="X487" s="252">
        <v>0</v>
      </c>
      <c r="Y487" s="252">
        <v>258.89</v>
      </c>
      <c r="Z487" s="252">
        <v>0</v>
      </c>
      <c r="AA487" s="252">
        <v>0</v>
      </c>
      <c r="AB487" s="252">
        <v>49.2</v>
      </c>
      <c r="AC487" s="252">
        <v>0</v>
      </c>
      <c r="AD487" s="252">
        <v>0</v>
      </c>
      <c r="AE487" s="252" t="s">
        <v>720</v>
      </c>
      <c r="AF487" s="252" t="s">
        <v>721</v>
      </c>
      <c r="AG487" s="252">
        <f t="shared" si="36"/>
        <v>0</v>
      </c>
      <c r="AH487" s="252">
        <f t="shared" si="37"/>
        <v>0</v>
      </c>
      <c r="AI487" s="252">
        <f t="shared" si="38"/>
        <v>0</v>
      </c>
      <c r="AJ487" s="252">
        <f t="shared" si="39"/>
        <v>0</v>
      </c>
    </row>
    <row r="488" spans="1:36" x14ac:dyDescent="0.2">
      <c r="A488" s="253" t="str">
        <f t="shared" si="35"/>
        <v>2SNCPPZK20950</v>
      </c>
      <c r="B488" s="252" t="s">
        <v>19</v>
      </c>
      <c r="C488" s="252" t="s">
        <v>20</v>
      </c>
      <c r="D488" s="252" t="s">
        <v>2558</v>
      </c>
      <c r="E488" s="252" t="s">
        <v>2522</v>
      </c>
      <c r="F488" s="252" t="s">
        <v>2569</v>
      </c>
      <c r="G488" s="252">
        <v>50</v>
      </c>
      <c r="H488" s="252" t="s">
        <v>928</v>
      </c>
      <c r="I488" s="252" t="s">
        <v>2477</v>
      </c>
      <c r="J488" s="252" t="s">
        <v>928</v>
      </c>
      <c r="K488" s="252" t="s">
        <v>3236</v>
      </c>
      <c r="L488" s="252">
        <v>396.7</v>
      </c>
      <c r="M488" s="252">
        <v>0</v>
      </c>
      <c r="N488" s="252">
        <v>0</v>
      </c>
      <c r="O488" s="252">
        <v>0</v>
      </c>
      <c r="P488" s="252">
        <v>0</v>
      </c>
      <c r="Q488" s="252">
        <v>0</v>
      </c>
      <c r="R488" s="252">
        <v>0</v>
      </c>
      <c r="S488" s="252">
        <v>0</v>
      </c>
      <c r="T488" s="252">
        <v>0</v>
      </c>
      <c r="U488" s="252">
        <v>0</v>
      </c>
      <c r="V488" s="252">
        <v>0</v>
      </c>
      <c r="W488" s="252">
        <v>0</v>
      </c>
      <c r="X488" s="252">
        <v>0</v>
      </c>
      <c r="Y488" s="252">
        <v>322.33</v>
      </c>
      <c r="Z488" s="252">
        <v>0</v>
      </c>
      <c r="AA488" s="252">
        <v>0</v>
      </c>
      <c r="AB488" s="252">
        <v>74.37</v>
      </c>
      <c r="AC488" s="252">
        <v>0</v>
      </c>
      <c r="AD488" s="252">
        <v>0</v>
      </c>
      <c r="AE488" s="252" t="s">
        <v>720</v>
      </c>
      <c r="AF488" s="252" t="s">
        <v>721</v>
      </c>
      <c r="AG488" s="252">
        <f t="shared" si="36"/>
        <v>0</v>
      </c>
      <c r="AH488" s="252">
        <f t="shared" si="37"/>
        <v>0</v>
      </c>
      <c r="AI488" s="252">
        <f t="shared" si="38"/>
        <v>0</v>
      </c>
      <c r="AJ488" s="252">
        <f t="shared" si="39"/>
        <v>0</v>
      </c>
    </row>
    <row r="489" spans="1:36" x14ac:dyDescent="0.2">
      <c r="A489" s="253" t="str">
        <f t="shared" si="35"/>
        <v>SNCPPZK20950</v>
      </c>
      <c r="B489" s="252" t="s">
        <v>19</v>
      </c>
      <c r="C489" s="252" t="s">
        <v>20</v>
      </c>
      <c r="D489" s="252" t="s">
        <v>2558</v>
      </c>
      <c r="E489" s="252" t="s">
        <v>2522</v>
      </c>
      <c r="F489" s="252" t="s">
        <v>2569</v>
      </c>
      <c r="G489" s="252">
        <v>50</v>
      </c>
      <c r="H489" s="252" t="s">
        <v>928</v>
      </c>
      <c r="I489" s="252" t="s">
        <v>928</v>
      </c>
      <c r="J489" s="252" t="s">
        <v>928</v>
      </c>
      <c r="K489" s="252" t="s">
        <v>3236</v>
      </c>
      <c r="L489" s="252">
        <v>396.7</v>
      </c>
      <c r="M489" s="252">
        <v>0</v>
      </c>
      <c r="N489" s="252">
        <v>0</v>
      </c>
      <c r="O489" s="252">
        <v>0</v>
      </c>
      <c r="P489" s="252">
        <v>0</v>
      </c>
      <c r="Q489" s="252">
        <v>0</v>
      </c>
      <c r="R489" s="252">
        <v>0</v>
      </c>
      <c r="S489" s="252">
        <v>0</v>
      </c>
      <c r="T489" s="252">
        <v>0</v>
      </c>
      <c r="U489" s="252">
        <v>0</v>
      </c>
      <c r="V489" s="252">
        <v>0</v>
      </c>
      <c r="W489" s="252">
        <v>0</v>
      </c>
      <c r="X489" s="252">
        <v>0</v>
      </c>
      <c r="Y489" s="252">
        <v>322.33</v>
      </c>
      <c r="Z489" s="252">
        <v>0</v>
      </c>
      <c r="AA489" s="252">
        <v>0</v>
      </c>
      <c r="AB489" s="252">
        <v>74.37</v>
      </c>
      <c r="AC489" s="252">
        <v>0</v>
      </c>
      <c r="AD489" s="252">
        <v>0</v>
      </c>
      <c r="AE489" s="252" t="s">
        <v>720</v>
      </c>
      <c r="AF489" s="252" t="s">
        <v>721</v>
      </c>
      <c r="AG489" s="252">
        <f t="shared" si="36"/>
        <v>0</v>
      </c>
      <c r="AH489" s="252">
        <f t="shared" si="37"/>
        <v>0</v>
      </c>
      <c r="AI489" s="252">
        <f t="shared" si="38"/>
        <v>0</v>
      </c>
      <c r="AJ489" s="252">
        <f t="shared" si="39"/>
        <v>0</v>
      </c>
    </row>
    <row r="490" spans="1:36" x14ac:dyDescent="0.2">
      <c r="A490" s="253" t="str">
        <f t="shared" si="35"/>
        <v>2SNCPPZK20960</v>
      </c>
      <c r="B490" s="252" t="s">
        <v>19</v>
      </c>
      <c r="C490" s="252" t="s">
        <v>20</v>
      </c>
      <c r="D490" s="252" t="s">
        <v>2558</v>
      </c>
      <c r="E490" s="252" t="s">
        <v>2522</v>
      </c>
      <c r="F490" s="252" t="s">
        <v>2569</v>
      </c>
      <c r="G490" s="252">
        <v>60</v>
      </c>
      <c r="H490" s="252" t="s">
        <v>928</v>
      </c>
      <c r="I490" s="252" t="s">
        <v>2477</v>
      </c>
      <c r="J490" s="252" t="s">
        <v>928</v>
      </c>
      <c r="K490" s="252" t="s">
        <v>3236</v>
      </c>
      <c r="L490" s="252">
        <v>360.9</v>
      </c>
      <c r="M490" s="252">
        <v>0</v>
      </c>
      <c r="N490" s="252">
        <v>0</v>
      </c>
      <c r="O490" s="252">
        <v>0</v>
      </c>
      <c r="P490" s="252">
        <v>0</v>
      </c>
      <c r="Q490" s="252">
        <v>0</v>
      </c>
      <c r="R490" s="252">
        <v>0</v>
      </c>
      <c r="S490" s="252">
        <v>0</v>
      </c>
      <c r="T490" s="252">
        <v>0</v>
      </c>
      <c r="U490" s="252">
        <v>0</v>
      </c>
      <c r="V490" s="252">
        <v>0</v>
      </c>
      <c r="W490" s="252">
        <v>0</v>
      </c>
      <c r="X490" s="252">
        <v>0</v>
      </c>
      <c r="Y490" s="252">
        <v>291.49</v>
      </c>
      <c r="Z490" s="252">
        <v>0</v>
      </c>
      <c r="AA490" s="252">
        <v>0</v>
      </c>
      <c r="AB490" s="252">
        <v>69.41</v>
      </c>
      <c r="AC490" s="252">
        <v>0</v>
      </c>
      <c r="AD490" s="252">
        <v>0</v>
      </c>
      <c r="AE490" s="252" t="s">
        <v>720</v>
      </c>
      <c r="AF490" s="252" t="s">
        <v>721</v>
      </c>
      <c r="AG490" s="252">
        <f t="shared" si="36"/>
        <v>0</v>
      </c>
      <c r="AH490" s="252">
        <f t="shared" si="37"/>
        <v>0</v>
      </c>
      <c r="AI490" s="252">
        <f t="shared" si="38"/>
        <v>0</v>
      </c>
      <c r="AJ490" s="252">
        <f t="shared" si="39"/>
        <v>0</v>
      </c>
    </row>
    <row r="491" spans="1:36" x14ac:dyDescent="0.2">
      <c r="A491" s="253" t="str">
        <f t="shared" si="35"/>
        <v>SNCPPZK20960</v>
      </c>
      <c r="B491" s="252" t="s">
        <v>19</v>
      </c>
      <c r="C491" s="252" t="s">
        <v>20</v>
      </c>
      <c r="D491" s="252" t="s">
        <v>2558</v>
      </c>
      <c r="E491" s="252" t="s">
        <v>2522</v>
      </c>
      <c r="F491" s="252" t="s">
        <v>2569</v>
      </c>
      <c r="G491" s="252">
        <v>60</v>
      </c>
      <c r="H491" s="252" t="s">
        <v>928</v>
      </c>
      <c r="I491" s="252" t="s">
        <v>928</v>
      </c>
      <c r="J491" s="252" t="s">
        <v>928</v>
      </c>
      <c r="K491" s="252" t="s">
        <v>3236</v>
      </c>
      <c r="L491" s="252">
        <v>360.9</v>
      </c>
      <c r="M491" s="252">
        <v>0</v>
      </c>
      <c r="N491" s="252">
        <v>0</v>
      </c>
      <c r="O491" s="252">
        <v>0</v>
      </c>
      <c r="P491" s="252">
        <v>0</v>
      </c>
      <c r="Q491" s="252">
        <v>0</v>
      </c>
      <c r="R491" s="252">
        <v>0</v>
      </c>
      <c r="S491" s="252">
        <v>0</v>
      </c>
      <c r="T491" s="252">
        <v>0</v>
      </c>
      <c r="U491" s="252">
        <v>0</v>
      </c>
      <c r="V491" s="252">
        <v>0</v>
      </c>
      <c r="W491" s="252">
        <v>0</v>
      </c>
      <c r="X491" s="252">
        <v>0</v>
      </c>
      <c r="Y491" s="252">
        <v>291.49</v>
      </c>
      <c r="Z491" s="252">
        <v>0</v>
      </c>
      <c r="AA491" s="252">
        <v>0</v>
      </c>
      <c r="AB491" s="252">
        <v>69.41</v>
      </c>
      <c r="AC491" s="252">
        <v>0</v>
      </c>
      <c r="AD491" s="252">
        <v>0</v>
      </c>
      <c r="AE491" s="252" t="s">
        <v>720</v>
      </c>
      <c r="AF491" s="252" t="s">
        <v>721</v>
      </c>
      <c r="AG491" s="252">
        <f t="shared" si="36"/>
        <v>0</v>
      </c>
      <c r="AH491" s="252">
        <f t="shared" si="37"/>
        <v>0</v>
      </c>
      <c r="AI491" s="252">
        <f t="shared" si="38"/>
        <v>0</v>
      </c>
      <c r="AJ491" s="252">
        <f t="shared" si="39"/>
        <v>0</v>
      </c>
    </row>
    <row r="492" spans="1:36" x14ac:dyDescent="0.2">
      <c r="A492" s="253" t="str">
        <f t="shared" si="35"/>
        <v>2SNCPPZK20970</v>
      </c>
      <c r="B492" s="252" t="s">
        <v>19</v>
      </c>
      <c r="C492" s="252" t="s">
        <v>20</v>
      </c>
      <c r="D492" s="252" t="s">
        <v>2558</v>
      </c>
      <c r="E492" s="252" t="s">
        <v>2522</v>
      </c>
      <c r="F492" s="252" t="s">
        <v>2569</v>
      </c>
      <c r="G492" s="252">
        <v>70</v>
      </c>
      <c r="H492" s="252" t="s">
        <v>928</v>
      </c>
      <c r="I492" s="252" t="s">
        <v>2477</v>
      </c>
      <c r="J492" s="252" t="s">
        <v>928</v>
      </c>
      <c r="K492" s="252" t="s">
        <v>3236</v>
      </c>
      <c r="L492" s="252">
        <v>401.24</v>
      </c>
      <c r="M492" s="252">
        <v>0</v>
      </c>
      <c r="N492" s="252">
        <v>0</v>
      </c>
      <c r="O492" s="252">
        <v>0</v>
      </c>
      <c r="P492" s="252">
        <v>0</v>
      </c>
      <c r="Q492" s="252">
        <v>0</v>
      </c>
      <c r="R492" s="252">
        <v>0</v>
      </c>
      <c r="S492" s="252">
        <v>0</v>
      </c>
      <c r="T492" s="252">
        <v>0</v>
      </c>
      <c r="U492" s="252">
        <v>0</v>
      </c>
      <c r="V492" s="252">
        <v>0</v>
      </c>
      <c r="W492" s="252">
        <v>0</v>
      </c>
      <c r="X492" s="252">
        <v>0</v>
      </c>
      <c r="Y492" s="252">
        <v>311.73</v>
      </c>
      <c r="Z492" s="252">
        <v>0</v>
      </c>
      <c r="AA492" s="252">
        <v>0</v>
      </c>
      <c r="AB492" s="252">
        <v>89.51</v>
      </c>
      <c r="AC492" s="252">
        <v>0</v>
      </c>
      <c r="AD492" s="252">
        <v>0</v>
      </c>
      <c r="AE492" s="252" t="s">
        <v>720</v>
      </c>
      <c r="AF492" s="252" t="s">
        <v>721</v>
      </c>
      <c r="AG492" s="252">
        <f t="shared" si="36"/>
        <v>0</v>
      </c>
      <c r="AH492" s="252">
        <f t="shared" si="37"/>
        <v>0</v>
      </c>
      <c r="AI492" s="252">
        <f t="shared" si="38"/>
        <v>0</v>
      </c>
      <c r="AJ492" s="252">
        <f t="shared" si="39"/>
        <v>0</v>
      </c>
    </row>
    <row r="493" spans="1:36" x14ac:dyDescent="0.2">
      <c r="A493" s="253" t="str">
        <f t="shared" si="35"/>
        <v>SNCPPZK20970</v>
      </c>
      <c r="B493" s="252" t="s">
        <v>19</v>
      </c>
      <c r="C493" s="252" t="s">
        <v>20</v>
      </c>
      <c r="D493" s="252" t="s">
        <v>2558</v>
      </c>
      <c r="E493" s="252" t="s">
        <v>2522</v>
      </c>
      <c r="F493" s="252" t="s">
        <v>2569</v>
      </c>
      <c r="G493" s="252">
        <v>70</v>
      </c>
      <c r="H493" s="252" t="s">
        <v>928</v>
      </c>
      <c r="I493" s="252" t="s">
        <v>928</v>
      </c>
      <c r="J493" s="252" t="s">
        <v>928</v>
      </c>
      <c r="K493" s="252" t="s">
        <v>3236</v>
      </c>
      <c r="L493" s="252">
        <v>401.24</v>
      </c>
      <c r="M493" s="252">
        <v>0</v>
      </c>
      <c r="N493" s="252">
        <v>0</v>
      </c>
      <c r="O493" s="252">
        <v>0</v>
      </c>
      <c r="P493" s="252">
        <v>0</v>
      </c>
      <c r="Q493" s="252">
        <v>0</v>
      </c>
      <c r="R493" s="252">
        <v>0</v>
      </c>
      <c r="S493" s="252">
        <v>0</v>
      </c>
      <c r="T493" s="252">
        <v>0</v>
      </c>
      <c r="U493" s="252">
        <v>0</v>
      </c>
      <c r="V493" s="252">
        <v>0</v>
      </c>
      <c r="W493" s="252">
        <v>0</v>
      </c>
      <c r="X493" s="252">
        <v>0</v>
      </c>
      <c r="Y493" s="252">
        <v>311.73</v>
      </c>
      <c r="Z493" s="252">
        <v>0</v>
      </c>
      <c r="AA493" s="252">
        <v>0</v>
      </c>
      <c r="AB493" s="252">
        <v>89.51</v>
      </c>
      <c r="AC493" s="252">
        <v>0</v>
      </c>
      <c r="AD493" s="252">
        <v>0</v>
      </c>
      <c r="AE493" s="252" t="s">
        <v>720</v>
      </c>
      <c r="AF493" s="252" t="s">
        <v>721</v>
      </c>
      <c r="AG493" s="252">
        <f t="shared" si="36"/>
        <v>0</v>
      </c>
      <c r="AH493" s="252">
        <f t="shared" si="37"/>
        <v>0</v>
      </c>
      <c r="AI493" s="252">
        <f t="shared" si="38"/>
        <v>0</v>
      </c>
      <c r="AJ493" s="252">
        <f t="shared" si="39"/>
        <v>0</v>
      </c>
    </row>
    <row r="494" spans="1:36" x14ac:dyDescent="0.2">
      <c r="A494" s="253" t="str">
        <f t="shared" si="35"/>
        <v>2SNCPPZK20980</v>
      </c>
      <c r="B494" s="252" t="s">
        <v>19</v>
      </c>
      <c r="C494" s="252" t="s">
        <v>20</v>
      </c>
      <c r="D494" s="252" t="s">
        <v>2558</v>
      </c>
      <c r="E494" s="252" t="s">
        <v>2522</v>
      </c>
      <c r="F494" s="252" t="s">
        <v>2569</v>
      </c>
      <c r="G494" s="252">
        <v>80</v>
      </c>
      <c r="H494" s="252" t="s">
        <v>928</v>
      </c>
      <c r="I494" s="252" t="s">
        <v>2477</v>
      </c>
      <c r="J494" s="252" t="s">
        <v>928</v>
      </c>
      <c r="K494" s="252" t="s">
        <v>3236</v>
      </c>
      <c r="L494" s="252">
        <v>345.48</v>
      </c>
      <c r="M494" s="252">
        <v>0</v>
      </c>
      <c r="N494" s="252">
        <v>0</v>
      </c>
      <c r="O494" s="252">
        <v>0</v>
      </c>
      <c r="P494" s="252">
        <v>0</v>
      </c>
      <c r="Q494" s="252">
        <v>0</v>
      </c>
      <c r="R494" s="252">
        <v>0</v>
      </c>
      <c r="S494" s="252">
        <v>0</v>
      </c>
      <c r="T494" s="252">
        <v>0</v>
      </c>
      <c r="U494" s="252">
        <v>0</v>
      </c>
      <c r="V494" s="252">
        <v>0</v>
      </c>
      <c r="W494" s="252">
        <v>0</v>
      </c>
      <c r="X494" s="252">
        <v>0</v>
      </c>
      <c r="Y494" s="252">
        <v>282.7</v>
      </c>
      <c r="Z494" s="252">
        <v>0</v>
      </c>
      <c r="AA494" s="252">
        <v>0</v>
      </c>
      <c r="AB494" s="252">
        <v>62.78</v>
      </c>
      <c r="AC494" s="252">
        <v>0</v>
      </c>
      <c r="AD494" s="252">
        <v>0</v>
      </c>
      <c r="AE494" s="252" t="s">
        <v>720</v>
      </c>
      <c r="AF494" s="252" t="s">
        <v>721</v>
      </c>
      <c r="AG494" s="252">
        <f t="shared" si="36"/>
        <v>0</v>
      </c>
      <c r="AH494" s="252">
        <f t="shared" si="37"/>
        <v>0</v>
      </c>
      <c r="AI494" s="252">
        <f t="shared" si="38"/>
        <v>0</v>
      </c>
      <c r="AJ494" s="252">
        <f t="shared" si="39"/>
        <v>0</v>
      </c>
    </row>
    <row r="495" spans="1:36" x14ac:dyDescent="0.2">
      <c r="A495" s="253" t="str">
        <f t="shared" si="35"/>
        <v>SNCPPZK20980</v>
      </c>
      <c r="B495" s="252" t="s">
        <v>19</v>
      </c>
      <c r="C495" s="252" t="s">
        <v>20</v>
      </c>
      <c r="D495" s="252" t="s">
        <v>2558</v>
      </c>
      <c r="E495" s="252" t="s">
        <v>2522</v>
      </c>
      <c r="F495" s="252" t="s">
        <v>2569</v>
      </c>
      <c r="G495" s="252">
        <v>80</v>
      </c>
      <c r="H495" s="252" t="s">
        <v>928</v>
      </c>
      <c r="I495" s="252" t="s">
        <v>928</v>
      </c>
      <c r="J495" s="252" t="s">
        <v>928</v>
      </c>
      <c r="K495" s="252" t="s">
        <v>3236</v>
      </c>
      <c r="L495" s="252">
        <v>345.48</v>
      </c>
      <c r="M495" s="252">
        <v>0</v>
      </c>
      <c r="N495" s="252">
        <v>0</v>
      </c>
      <c r="O495" s="252">
        <v>0</v>
      </c>
      <c r="P495" s="252">
        <v>0</v>
      </c>
      <c r="Q495" s="252">
        <v>0</v>
      </c>
      <c r="R495" s="252">
        <v>0</v>
      </c>
      <c r="S495" s="252">
        <v>0</v>
      </c>
      <c r="T495" s="252">
        <v>0</v>
      </c>
      <c r="U495" s="252">
        <v>0</v>
      </c>
      <c r="V495" s="252">
        <v>0</v>
      </c>
      <c r="W495" s="252">
        <v>0</v>
      </c>
      <c r="X495" s="252">
        <v>0</v>
      </c>
      <c r="Y495" s="252">
        <v>282.7</v>
      </c>
      <c r="Z495" s="252">
        <v>0</v>
      </c>
      <c r="AA495" s="252">
        <v>0</v>
      </c>
      <c r="AB495" s="252">
        <v>62.78</v>
      </c>
      <c r="AC495" s="252">
        <v>0</v>
      </c>
      <c r="AD495" s="252">
        <v>0</v>
      </c>
      <c r="AE495" s="252" t="s">
        <v>720</v>
      </c>
      <c r="AF495" s="252" t="s">
        <v>721</v>
      </c>
      <c r="AG495" s="252">
        <f t="shared" si="36"/>
        <v>0</v>
      </c>
      <c r="AH495" s="252">
        <f t="shared" si="37"/>
        <v>0</v>
      </c>
      <c r="AI495" s="252">
        <f t="shared" si="38"/>
        <v>0</v>
      </c>
      <c r="AJ495" s="252">
        <f t="shared" si="39"/>
        <v>0</v>
      </c>
    </row>
    <row r="496" spans="1:36" x14ac:dyDescent="0.2">
      <c r="A496" s="253" t="str">
        <f t="shared" si="35"/>
        <v>2SNCPPZK209100</v>
      </c>
      <c r="B496" s="252" t="s">
        <v>19</v>
      </c>
      <c r="C496" s="252" t="s">
        <v>20</v>
      </c>
      <c r="D496" s="252" t="s">
        <v>2558</v>
      </c>
      <c r="E496" s="252" t="s">
        <v>2522</v>
      </c>
      <c r="F496" s="252" t="s">
        <v>2569</v>
      </c>
      <c r="G496" s="252">
        <v>100</v>
      </c>
      <c r="H496" s="252" t="s">
        <v>928</v>
      </c>
      <c r="I496" s="252" t="s">
        <v>2477</v>
      </c>
      <c r="J496" s="252" t="s">
        <v>928</v>
      </c>
      <c r="K496" s="252" t="s">
        <v>3236</v>
      </c>
      <c r="L496" s="252">
        <v>374.35</v>
      </c>
      <c r="M496" s="252">
        <v>0</v>
      </c>
      <c r="N496" s="252">
        <v>0</v>
      </c>
      <c r="O496" s="252">
        <v>0</v>
      </c>
      <c r="P496" s="252">
        <v>0</v>
      </c>
      <c r="Q496" s="252">
        <v>0</v>
      </c>
      <c r="R496" s="252">
        <v>0</v>
      </c>
      <c r="S496" s="252">
        <v>0</v>
      </c>
      <c r="T496" s="252">
        <v>0</v>
      </c>
      <c r="U496" s="252">
        <v>0</v>
      </c>
      <c r="V496" s="252">
        <v>0</v>
      </c>
      <c r="W496" s="252">
        <v>0</v>
      </c>
      <c r="X496" s="252">
        <v>0</v>
      </c>
      <c r="Y496" s="252">
        <v>294.08</v>
      </c>
      <c r="Z496" s="252">
        <v>0</v>
      </c>
      <c r="AA496" s="252">
        <v>0</v>
      </c>
      <c r="AB496" s="252">
        <v>80.27</v>
      </c>
      <c r="AC496" s="252">
        <v>0</v>
      </c>
      <c r="AD496" s="252">
        <v>0</v>
      </c>
      <c r="AE496" s="252" t="s">
        <v>720</v>
      </c>
      <c r="AF496" s="252" t="s">
        <v>721</v>
      </c>
      <c r="AG496" s="252">
        <f t="shared" si="36"/>
        <v>0</v>
      </c>
      <c r="AH496" s="252">
        <f t="shared" si="37"/>
        <v>0</v>
      </c>
      <c r="AI496" s="252">
        <f t="shared" si="38"/>
        <v>0</v>
      </c>
      <c r="AJ496" s="252">
        <f t="shared" si="39"/>
        <v>0</v>
      </c>
    </row>
    <row r="497" spans="1:36" x14ac:dyDescent="0.2">
      <c r="A497" s="253" t="str">
        <f t="shared" si="35"/>
        <v>SNCPPZK209100</v>
      </c>
      <c r="B497" s="252" t="s">
        <v>19</v>
      </c>
      <c r="C497" s="252" t="s">
        <v>20</v>
      </c>
      <c r="D497" s="252" t="s">
        <v>2558</v>
      </c>
      <c r="E497" s="252" t="s">
        <v>2522</v>
      </c>
      <c r="F497" s="252" t="s">
        <v>2569</v>
      </c>
      <c r="G497" s="252">
        <v>100</v>
      </c>
      <c r="H497" s="252" t="s">
        <v>928</v>
      </c>
      <c r="I497" s="252" t="s">
        <v>928</v>
      </c>
      <c r="J497" s="252" t="s">
        <v>928</v>
      </c>
      <c r="K497" s="252" t="s">
        <v>3236</v>
      </c>
      <c r="L497" s="252">
        <v>374.35</v>
      </c>
      <c r="M497" s="252">
        <v>0</v>
      </c>
      <c r="N497" s="252">
        <v>0</v>
      </c>
      <c r="O497" s="252">
        <v>0</v>
      </c>
      <c r="P497" s="252">
        <v>0</v>
      </c>
      <c r="Q497" s="252">
        <v>0</v>
      </c>
      <c r="R497" s="252">
        <v>0</v>
      </c>
      <c r="S497" s="252">
        <v>0</v>
      </c>
      <c r="T497" s="252">
        <v>0</v>
      </c>
      <c r="U497" s="252">
        <v>0</v>
      </c>
      <c r="V497" s="252">
        <v>0</v>
      </c>
      <c r="W497" s="252">
        <v>0</v>
      </c>
      <c r="X497" s="252">
        <v>0</v>
      </c>
      <c r="Y497" s="252">
        <v>294.08</v>
      </c>
      <c r="Z497" s="252">
        <v>0</v>
      </c>
      <c r="AA497" s="252">
        <v>0</v>
      </c>
      <c r="AB497" s="252">
        <v>80.27</v>
      </c>
      <c r="AC497" s="252">
        <v>0</v>
      </c>
      <c r="AD497" s="252">
        <v>0</v>
      </c>
      <c r="AE497" s="252" t="s">
        <v>720</v>
      </c>
      <c r="AF497" s="252" t="s">
        <v>721</v>
      </c>
      <c r="AG497" s="252">
        <f t="shared" si="36"/>
        <v>0</v>
      </c>
      <c r="AH497" s="252">
        <f t="shared" si="37"/>
        <v>0</v>
      </c>
      <c r="AI497" s="252">
        <f t="shared" si="38"/>
        <v>0</v>
      </c>
      <c r="AJ497" s="252">
        <f t="shared" si="39"/>
        <v>0</v>
      </c>
    </row>
    <row r="498" spans="1:36" x14ac:dyDescent="0.2">
      <c r="A498" s="253" t="str">
        <f t="shared" si="35"/>
        <v>2SNCPPZK40150</v>
      </c>
      <c r="B498" s="252" t="s">
        <v>19</v>
      </c>
      <c r="C498" s="252" t="s">
        <v>20</v>
      </c>
      <c r="D498" s="252" t="s">
        <v>2558</v>
      </c>
      <c r="E498" s="252" t="s">
        <v>2522</v>
      </c>
      <c r="F498" s="252" t="s">
        <v>2570</v>
      </c>
      <c r="G498" s="252">
        <v>50</v>
      </c>
      <c r="H498" s="252" t="s">
        <v>928</v>
      </c>
      <c r="I498" s="252" t="s">
        <v>2477</v>
      </c>
      <c r="J498" s="252" t="s">
        <v>928</v>
      </c>
      <c r="K498" s="252" t="s">
        <v>3236</v>
      </c>
      <c r="L498" s="252">
        <v>326.33</v>
      </c>
      <c r="M498" s="252">
        <v>0</v>
      </c>
      <c r="N498" s="252">
        <v>0</v>
      </c>
      <c r="O498" s="252">
        <v>0</v>
      </c>
      <c r="P498" s="252">
        <v>0</v>
      </c>
      <c r="Q498" s="252">
        <v>0</v>
      </c>
      <c r="R498" s="252">
        <v>0</v>
      </c>
      <c r="S498" s="252">
        <v>0</v>
      </c>
      <c r="T498" s="252">
        <v>0</v>
      </c>
      <c r="U498" s="252">
        <v>0</v>
      </c>
      <c r="V498" s="252">
        <v>0</v>
      </c>
      <c r="W498" s="252">
        <v>0</v>
      </c>
      <c r="X498" s="252">
        <v>0</v>
      </c>
      <c r="Y498" s="252">
        <v>275.94</v>
      </c>
      <c r="Z498" s="252">
        <v>0</v>
      </c>
      <c r="AA498" s="252">
        <v>0</v>
      </c>
      <c r="AB498" s="252">
        <v>50.4</v>
      </c>
      <c r="AC498" s="252">
        <v>0</v>
      </c>
      <c r="AD498" s="252">
        <v>0</v>
      </c>
      <c r="AE498" s="252" t="s">
        <v>720</v>
      </c>
      <c r="AF498" s="252" t="s">
        <v>721</v>
      </c>
      <c r="AG498" s="252">
        <f t="shared" si="36"/>
        <v>0</v>
      </c>
      <c r="AH498" s="252">
        <f t="shared" si="37"/>
        <v>0</v>
      </c>
      <c r="AI498" s="252">
        <f t="shared" si="38"/>
        <v>0</v>
      </c>
      <c r="AJ498" s="252">
        <f t="shared" si="39"/>
        <v>0</v>
      </c>
    </row>
    <row r="499" spans="1:36" x14ac:dyDescent="0.2">
      <c r="A499" s="253" t="str">
        <f t="shared" si="35"/>
        <v>SNCPPZK40150</v>
      </c>
      <c r="B499" s="252" t="s">
        <v>19</v>
      </c>
      <c r="C499" s="252" t="s">
        <v>20</v>
      </c>
      <c r="D499" s="252" t="s">
        <v>2558</v>
      </c>
      <c r="E499" s="252" t="s">
        <v>2522</v>
      </c>
      <c r="F499" s="252" t="s">
        <v>2570</v>
      </c>
      <c r="G499" s="252">
        <v>50</v>
      </c>
      <c r="H499" s="252" t="s">
        <v>928</v>
      </c>
      <c r="I499" s="252" t="s">
        <v>928</v>
      </c>
      <c r="J499" s="252" t="s">
        <v>928</v>
      </c>
      <c r="K499" s="252" t="s">
        <v>3236</v>
      </c>
      <c r="L499" s="252">
        <v>326.33</v>
      </c>
      <c r="M499" s="252">
        <v>0</v>
      </c>
      <c r="N499" s="252">
        <v>0</v>
      </c>
      <c r="O499" s="252">
        <v>0</v>
      </c>
      <c r="P499" s="252">
        <v>0</v>
      </c>
      <c r="Q499" s="252">
        <v>0</v>
      </c>
      <c r="R499" s="252">
        <v>0</v>
      </c>
      <c r="S499" s="252">
        <v>0</v>
      </c>
      <c r="T499" s="252">
        <v>0</v>
      </c>
      <c r="U499" s="252">
        <v>0</v>
      </c>
      <c r="V499" s="252">
        <v>0</v>
      </c>
      <c r="W499" s="252">
        <v>0</v>
      </c>
      <c r="X499" s="252">
        <v>0</v>
      </c>
      <c r="Y499" s="252">
        <v>275.94</v>
      </c>
      <c r="Z499" s="252">
        <v>0</v>
      </c>
      <c r="AA499" s="252">
        <v>0</v>
      </c>
      <c r="AB499" s="252">
        <v>50.4</v>
      </c>
      <c r="AC499" s="252">
        <v>0</v>
      </c>
      <c r="AD499" s="252">
        <v>0</v>
      </c>
      <c r="AE499" s="252" t="s">
        <v>720</v>
      </c>
      <c r="AF499" s="252" t="s">
        <v>721</v>
      </c>
      <c r="AG499" s="252">
        <f t="shared" si="36"/>
        <v>0</v>
      </c>
      <c r="AH499" s="252">
        <f t="shared" si="37"/>
        <v>0</v>
      </c>
      <c r="AI499" s="252">
        <f t="shared" si="38"/>
        <v>0</v>
      </c>
      <c r="AJ499" s="252">
        <f t="shared" si="39"/>
        <v>0</v>
      </c>
    </row>
    <row r="500" spans="1:36" x14ac:dyDescent="0.2">
      <c r="A500" s="253" t="str">
        <f t="shared" si="35"/>
        <v>2SNCPPZK40160</v>
      </c>
      <c r="B500" s="252" t="s">
        <v>19</v>
      </c>
      <c r="C500" s="252" t="s">
        <v>20</v>
      </c>
      <c r="D500" s="252" t="s">
        <v>2558</v>
      </c>
      <c r="E500" s="252" t="s">
        <v>2522</v>
      </c>
      <c r="F500" s="252" t="s">
        <v>2570</v>
      </c>
      <c r="G500" s="252">
        <v>60</v>
      </c>
      <c r="H500" s="252" t="s">
        <v>928</v>
      </c>
      <c r="I500" s="252" t="s">
        <v>2477</v>
      </c>
      <c r="J500" s="252" t="s">
        <v>928</v>
      </c>
      <c r="K500" s="252" t="s">
        <v>3236</v>
      </c>
      <c r="L500" s="252">
        <v>323.98</v>
      </c>
      <c r="M500" s="252">
        <v>0</v>
      </c>
      <c r="N500" s="252">
        <v>0</v>
      </c>
      <c r="O500" s="252">
        <v>0</v>
      </c>
      <c r="P500" s="252">
        <v>0</v>
      </c>
      <c r="Q500" s="252">
        <v>0</v>
      </c>
      <c r="R500" s="252">
        <v>0</v>
      </c>
      <c r="S500" s="252">
        <v>0</v>
      </c>
      <c r="T500" s="252">
        <v>0</v>
      </c>
      <c r="U500" s="252">
        <v>0</v>
      </c>
      <c r="V500" s="252">
        <v>0</v>
      </c>
      <c r="W500" s="252">
        <v>0</v>
      </c>
      <c r="X500" s="252">
        <v>0</v>
      </c>
      <c r="Y500" s="252">
        <v>279.31</v>
      </c>
      <c r="Z500" s="252">
        <v>0</v>
      </c>
      <c r="AA500" s="252">
        <v>0</v>
      </c>
      <c r="AB500" s="252">
        <v>44.67</v>
      </c>
      <c r="AC500" s="252">
        <v>0</v>
      </c>
      <c r="AD500" s="252">
        <v>0</v>
      </c>
      <c r="AE500" s="252" t="s">
        <v>720</v>
      </c>
      <c r="AF500" s="252" t="s">
        <v>721</v>
      </c>
      <c r="AG500" s="252">
        <f t="shared" si="36"/>
        <v>0</v>
      </c>
      <c r="AH500" s="252">
        <f t="shared" si="37"/>
        <v>0</v>
      </c>
      <c r="AI500" s="252">
        <f t="shared" si="38"/>
        <v>0</v>
      </c>
      <c r="AJ500" s="252">
        <f t="shared" si="39"/>
        <v>0</v>
      </c>
    </row>
    <row r="501" spans="1:36" x14ac:dyDescent="0.2">
      <c r="A501" s="253" t="str">
        <f t="shared" si="35"/>
        <v>SNCPPZK40160</v>
      </c>
      <c r="B501" s="252" t="s">
        <v>19</v>
      </c>
      <c r="C501" s="252" t="s">
        <v>20</v>
      </c>
      <c r="D501" s="252" t="s">
        <v>2558</v>
      </c>
      <c r="E501" s="252" t="s">
        <v>2522</v>
      </c>
      <c r="F501" s="252" t="s">
        <v>2570</v>
      </c>
      <c r="G501" s="252">
        <v>60</v>
      </c>
      <c r="H501" s="252" t="s">
        <v>928</v>
      </c>
      <c r="I501" s="252" t="s">
        <v>928</v>
      </c>
      <c r="J501" s="252" t="s">
        <v>928</v>
      </c>
      <c r="K501" s="252" t="s">
        <v>3236</v>
      </c>
      <c r="L501" s="252">
        <v>323.98</v>
      </c>
      <c r="M501" s="252">
        <v>0</v>
      </c>
      <c r="N501" s="252">
        <v>0</v>
      </c>
      <c r="O501" s="252">
        <v>0</v>
      </c>
      <c r="P501" s="252">
        <v>0</v>
      </c>
      <c r="Q501" s="252">
        <v>0</v>
      </c>
      <c r="R501" s="252">
        <v>0</v>
      </c>
      <c r="S501" s="252">
        <v>0</v>
      </c>
      <c r="T501" s="252">
        <v>0</v>
      </c>
      <c r="U501" s="252">
        <v>0</v>
      </c>
      <c r="V501" s="252">
        <v>0</v>
      </c>
      <c r="W501" s="252">
        <v>0</v>
      </c>
      <c r="X501" s="252">
        <v>0</v>
      </c>
      <c r="Y501" s="252">
        <v>279.31</v>
      </c>
      <c r="Z501" s="252">
        <v>0</v>
      </c>
      <c r="AA501" s="252">
        <v>0</v>
      </c>
      <c r="AB501" s="252">
        <v>44.67</v>
      </c>
      <c r="AC501" s="252">
        <v>0</v>
      </c>
      <c r="AD501" s="252">
        <v>0</v>
      </c>
      <c r="AE501" s="252" t="s">
        <v>720</v>
      </c>
      <c r="AF501" s="252" t="s">
        <v>721</v>
      </c>
      <c r="AG501" s="252">
        <f t="shared" si="36"/>
        <v>0</v>
      </c>
      <c r="AH501" s="252">
        <f t="shared" si="37"/>
        <v>0</v>
      </c>
      <c r="AI501" s="252">
        <f t="shared" si="38"/>
        <v>0</v>
      </c>
      <c r="AJ501" s="252">
        <f t="shared" si="39"/>
        <v>0</v>
      </c>
    </row>
    <row r="502" spans="1:36" x14ac:dyDescent="0.2">
      <c r="A502" s="253" t="str">
        <f t="shared" si="35"/>
        <v>2SNCPPZK40170</v>
      </c>
      <c r="B502" s="252" t="s">
        <v>19</v>
      </c>
      <c r="C502" s="252" t="s">
        <v>20</v>
      </c>
      <c r="D502" s="252" t="s">
        <v>2558</v>
      </c>
      <c r="E502" s="252" t="s">
        <v>2522</v>
      </c>
      <c r="F502" s="252" t="s">
        <v>2570</v>
      </c>
      <c r="G502" s="252">
        <v>70</v>
      </c>
      <c r="H502" s="252" t="s">
        <v>928</v>
      </c>
      <c r="I502" s="252" t="s">
        <v>2477</v>
      </c>
      <c r="J502" s="252" t="s">
        <v>928</v>
      </c>
      <c r="K502" s="252" t="s">
        <v>3236</v>
      </c>
      <c r="L502" s="252">
        <v>327.84</v>
      </c>
      <c r="M502" s="252">
        <v>0</v>
      </c>
      <c r="N502" s="252">
        <v>0</v>
      </c>
      <c r="O502" s="252">
        <v>0</v>
      </c>
      <c r="P502" s="252">
        <v>0</v>
      </c>
      <c r="Q502" s="252">
        <v>0</v>
      </c>
      <c r="R502" s="252">
        <v>0</v>
      </c>
      <c r="S502" s="252">
        <v>0</v>
      </c>
      <c r="T502" s="252">
        <v>0</v>
      </c>
      <c r="U502" s="252">
        <v>0</v>
      </c>
      <c r="V502" s="252">
        <v>0</v>
      </c>
      <c r="W502" s="252">
        <v>0</v>
      </c>
      <c r="X502" s="252">
        <v>0</v>
      </c>
      <c r="Y502" s="252">
        <v>276.13</v>
      </c>
      <c r="Z502" s="252">
        <v>0</v>
      </c>
      <c r="AA502" s="252">
        <v>0</v>
      </c>
      <c r="AB502" s="252">
        <v>51.71</v>
      </c>
      <c r="AC502" s="252">
        <v>0</v>
      </c>
      <c r="AD502" s="252">
        <v>0</v>
      </c>
      <c r="AE502" s="252" t="s">
        <v>720</v>
      </c>
      <c r="AF502" s="252" t="s">
        <v>721</v>
      </c>
      <c r="AG502" s="252">
        <f t="shared" si="36"/>
        <v>0</v>
      </c>
      <c r="AH502" s="252">
        <f t="shared" si="37"/>
        <v>0</v>
      </c>
      <c r="AI502" s="252">
        <f t="shared" si="38"/>
        <v>0</v>
      </c>
      <c r="AJ502" s="252">
        <f t="shared" si="39"/>
        <v>0</v>
      </c>
    </row>
    <row r="503" spans="1:36" x14ac:dyDescent="0.2">
      <c r="A503" s="253" t="str">
        <f t="shared" si="35"/>
        <v>SNCPPZK40170</v>
      </c>
      <c r="B503" s="252" t="s">
        <v>19</v>
      </c>
      <c r="C503" s="252" t="s">
        <v>20</v>
      </c>
      <c r="D503" s="252" t="s">
        <v>2558</v>
      </c>
      <c r="E503" s="252" t="s">
        <v>2522</v>
      </c>
      <c r="F503" s="252" t="s">
        <v>2570</v>
      </c>
      <c r="G503" s="252">
        <v>70</v>
      </c>
      <c r="H503" s="252" t="s">
        <v>928</v>
      </c>
      <c r="I503" s="252" t="s">
        <v>928</v>
      </c>
      <c r="J503" s="252" t="s">
        <v>928</v>
      </c>
      <c r="K503" s="252" t="s">
        <v>3236</v>
      </c>
      <c r="L503" s="252">
        <v>327.84</v>
      </c>
      <c r="M503" s="252">
        <v>0</v>
      </c>
      <c r="N503" s="252">
        <v>0</v>
      </c>
      <c r="O503" s="252">
        <v>0</v>
      </c>
      <c r="P503" s="252">
        <v>0</v>
      </c>
      <c r="Q503" s="252">
        <v>0</v>
      </c>
      <c r="R503" s="252">
        <v>0</v>
      </c>
      <c r="S503" s="252">
        <v>0</v>
      </c>
      <c r="T503" s="252">
        <v>0</v>
      </c>
      <c r="U503" s="252">
        <v>0</v>
      </c>
      <c r="V503" s="252">
        <v>0</v>
      </c>
      <c r="W503" s="252">
        <v>0</v>
      </c>
      <c r="X503" s="252">
        <v>0</v>
      </c>
      <c r="Y503" s="252">
        <v>276.13</v>
      </c>
      <c r="Z503" s="252">
        <v>0</v>
      </c>
      <c r="AA503" s="252">
        <v>0</v>
      </c>
      <c r="AB503" s="252">
        <v>51.71</v>
      </c>
      <c r="AC503" s="252">
        <v>0</v>
      </c>
      <c r="AD503" s="252">
        <v>0</v>
      </c>
      <c r="AE503" s="252" t="s">
        <v>720</v>
      </c>
      <c r="AF503" s="252" t="s">
        <v>721</v>
      </c>
      <c r="AG503" s="252">
        <f t="shared" si="36"/>
        <v>0</v>
      </c>
      <c r="AH503" s="252">
        <f t="shared" si="37"/>
        <v>0</v>
      </c>
      <c r="AI503" s="252">
        <f t="shared" si="38"/>
        <v>0</v>
      </c>
      <c r="AJ503" s="252">
        <f t="shared" si="39"/>
        <v>0</v>
      </c>
    </row>
    <row r="504" spans="1:36" x14ac:dyDescent="0.2">
      <c r="A504" s="253" t="str">
        <f t="shared" si="35"/>
        <v>2SNCPPZK40180</v>
      </c>
      <c r="B504" s="252" t="s">
        <v>19</v>
      </c>
      <c r="C504" s="252" t="s">
        <v>20</v>
      </c>
      <c r="D504" s="252" t="s">
        <v>2558</v>
      </c>
      <c r="E504" s="252" t="s">
        <v>2522</v>
      </c>
      <c r="F504" s="252" t="s">
        <v>2570</v>
      </c>
      <c r="G504" s="252">
        <v>80</v>
      </c>
      <c r="H504" s="252" t="s">
        <v>928</v>
      </c>
      <c r="I504" s="252" t="s">
        <v>2477</v>
      </c>
      <c r="J504" s="252" t="s">
        <v>928</v>
      </c>
      <c r="K504" s="252" t="s">
        <v>3236</v>
      </c>
      <c r="L504" s="252">
        <v>356.47</v>
      </c>
      <c r="M504" s="252">
        <v>0</v>
      </c>
      <c r="N504" s="252">
        <v>0</v>
      </c>
      <c r="O504" s="252">
        <v>0</v>
      </c>
      <c r="P504" s="252">
        <v>0</v>
      </c>
      <c r="Q504" s="252">
        <v>0</v>
      </c>
      <c r="R504" s="252">
        <v>0</v>
      </c>
      <c r="S504" s="252">
        <v>0</v>
      </c>
      <c r="T504" s="252">
        <v>0</v>
      </c>
      <c r="U504" s="252">
        <v>0</v>
      </c>
      <c r="V504" s="252">
        <v>0</v>
      </c>
      <c r="W504" s="252">
        <v>0</v>
      </c>
      <c r="X504" s="252">
        <v>0</v>
      </c>
      <c r="Y504" s="252">
        <v>292.22000000000003</v>
      </c>
      <c r="Z504" s="252">
        <v>0</v>
      </c>
      <c r="AA504" s="252">
        <v>0</v>
      </c>
      <c r="AB504" s="252">
        <v>64.25</v>
      </c>
      <c r="AC504" s="252">
        <v>0</v>
      </c>
      <c r="AD504" s="252">
        <v>0</v>
      </c>
      <c r="AE504" s="252" t="s">
        <v>720</v>
      </c>
      <c r="AF504" s="252" t="s">
        <v>721</v>
      </c>
      <c r="AG504" s="252">
        <f t="shared" si="36"/>
        <v>0</v>
      </c>
      <c r="AH504" s="252">
        <f t="shared" si="37"/>
        <v>0</v>
      </c>
      <c r="AI504" s="252">
        <f t="shared" si="38"/>
        <v>0</v>
      </c>
      <c r="AJ504" s="252">
        <f t="shared" si="39"/>
        <v>0</v>
      </c>
    </row>
    <row r="505" spans="1:36" x14ac:dyDescent="0.2">
      <c r="A505" s="253" t="str">
        <f t="shared" si="35"/>
        <v>SNCPPZK40180</v>
      </c>
      <c r="B505" s="252" t="s">
        <v>19</v>
      </c>
      <c r="C505" s="252" t="s">
        <v>20</v>
      </c>
      <c r="D505" s="252" t="s">
        <v>2558</v>
      </c>
      <c r="E505" s="252" t="s">
        <v>2522</v>
      </c>
      <c r="F505" s="252" t="s">
        <v>2570</v>
      </c>
      <c r="G505" s="252">
        <v>80</v>
      </c>
      <c r="H505" s="252" t="s">
        <v>928</v>
      </c>
      <c r="I505" s="252" t="s">
        <v>928</v>
      </c>
      <c r="J505" s="252" t="s">
        <v>928</v>
      </c>
      <c r="K505" s="252" t="s">
        <v>3236</v>
      </c>
      <c r="L505" s="252">
        <v>356.47</v>
      </c>
      <c r="M505" s="252">
        <v>0</v>
      </c>
      <c r="N505" s="252">
        <v>0</v>
      </c>
      <c r="O505" s="252">
        <v>0</v>
      </c>
      <c r="P505" s="252">
        <v>0</v>
      </c>
      <c r="Q505" s="252">
        <v>0</v>
      </c>
      <c r="R505" s="252">
        <v>0</v>
      </c>
      <c r="S505" s="252">
        <v>0</v>
      </c>
      <c r="T505" s="252">
        <v>0</v>
      </c>
      <c r="U505" s="252">
        <v>0</v>
      </c>
      <c r="V505" s="252">
        <v>0</v>
      </c>
      <c r="W505" s="252">
        <v>0</v>
      </c>
      <c r="X505" s="252">
        <v>0</v>
      </c>
      <c r="Y505" s="252">
        <v>292.22000000000003</v>
      </c>
      <c r="Z505" s="252">
        <v>0</v>
      </c>
      <c r="AA505" s="252">
        <v>0</v>
      </c>
      <c r="AB505" s="252">
        <v>64.25</v>
      </c>
      <c r="AC505" s="252">
        <v>0</v>
      </c>
      <c r="AD505" s="252">
        <v>0</v>
      </c>
      <c r="AE505" s="252" t="s">
        <v>720</v>
      </c>
      <c r="AF505" s="252" t="s">
        <v>721</v>
      </c>
      <c r="AG505" s="252">
        <f t="shared" si="36"/>
        <v>0</v>
      </c>
      <c r="AH505" s="252">
        <f t="shared" si="37"/>
        <v>0</v>
      </c>
      <c r="AI505" s="252">
        <f t="shared" si="38"/>
        <v>0</v>
      </c>
      <c r="AJ505" s="252">
        <f t="shared" si="39"/>
        <v>0</v>
      </c>
    </row>
    <row r="506" spans="1:36" x14ac:dyDescent="0.2">
      <c r="A506" s="253" t="str">
        <f t="shared" si="35"/>
        <v>2SNCPPZK401100</v>
      </c>
      <c r="B506" s="252" t="s">
        <v>19</v>
      </c>
      <c r="C506" s="252" t="s">
        <v>20</v>
      </c>
      <c r="D506" s="252" t="s">
        <v>2558</v>
      </c>
      <c r="E506" s="252" t="s">
        <v>2522</v>
      </c>
      <c r="F506" s="252" t="s">
        <v>2570</v>
      </c>
      <c r="G506" s="252">
        <v>100</v>
      </c>
      <c r="H506" s="252" t="s">
        <v>928</v>
      </c>
      <c r="I506" s="252" t="s">
        <v>2477</v>
      </c>
      <c r="J506" s="252" t="s">
        <v>928</v>
      </c>
      <c r="K506" s="252" t="s">
        <v>3236</v>
      </c>
      <c r="L506" s="252">
        <v>332</v>
      </c>
      <c r="M506" s="252">
        <v>0</v>
      </c>
      <c r="N506" s="252">
        <v>0</v>
      </c>
      <c r="O506" s="252">
        <v>0</v>
      </c>
      <c r="P506" s="252">
        <v>0</v>
      </c>
      <c r="Q506" s="252">
        <v>0</v>
      </c>
      <c r="R506" s="252">
        <v>0</v>
      </c>
      <c r="S506" s="252">
        <v>0</v>
      </c>
      <c r="T506" s="252">
        <v>0</v>
      </c>
      <c r="U506" s="252">
        <v>0</v>
      </c>
      <c r="V506" s="252">
        <v>0</v>
      </c>
      <c r="W506" s="252">
        <v>0</v>
      </c>
      <c r="X506" s="252">
        <v>0</v>
      </c>
      <c r="Y506" s="252">
        <v>283.19</v>
      </c>
      <c r="Z506" s="252">
        <v>0</v>
      </c>
      <c r="AA506" s="252">
        <v>0</v>
      </c>
      <c r="AB506" s="252">
        <v>48.81</v>
      </c>
      <c r="AC506" s="252">
        <v>0</v>
      </c>
      <c r="AD506" s="252">
        <v>0</v>
      </c>
      <c r="AE506" s="252" t="s">
        <v>720</v>
      </c>
      <c r="AF506" s="252" t="s">
        <v>721</v>
      </c>
      <c r="AG506" s="252">
        <f t="shared" si="36"/>
        <v>0</v>
      </c>
      <c r="AH506" s="252">
        <f t="shared" si="37"/>
        <v>0</v>
      </c>
      <c r="AI506" s="252">
        <f t="shared" si="38"/>
        <v>0</v>
      </c>
      <c r="AJ506" s="252">
        <f t="shared" si="39"/>
        <v>0</v>
      </c>
    </row>
    <row r="507" spans="1:36" x14ac:dyDescent="0.2">
      <c r="A507" s="253" t="str">
        <f t="shared" si="35"/>
        <v>SNCPPZK401100</v>
      </c>
      <c r="B507" s="252" t="s">
        <v>19</v>
      </c>
      <c r="C507" s="252" t="s">
        <v>20</v>
      </c>
      <c r="D507" s="252" t="s">
        <v>2558</v>
      </c>
      <c r="E507" s="252" t="s">
        <v>2522</v>
      </c>
      <c r="F507" s="252" t="s">
        <v>2570</v>
      </c>
      <c r="G507" s="252">
        <v>100</v>
      </c>
      <c r="H507" s="252" t="s">
        <v>928</v>
      </c>
      <c r="I507" s="252" t="s">
        <v>928</v>
      </c>
      <c r="J507" s="252" t="s">
        <v>928</v>
      </c>
      <c r="K507" s="252" t="s">
        <v>3236</v>
      </c>
      <c r="L507" s="252">
        <v>332</v>
      </c>
      <c r="M507" s="252">
        <v>0</v>
      </c>
      <c r="N507" s="252">
        <v>0</v>
      </c>
      <c r="O507" s="252">
        <v>0</v>
      </c>
      <c r="P507" s="252">
        <v>0</v>
      </c>
      <c r="Q507" s="252">
        <v>0</v>
      </c>
      <c r="R507" s="252">
        <v>0</v>
      </c>
      <c r="S507" s="252">
        <v>0</v>
      </c>
      <c r="T507" s="252">
        <v>0</v>
      </c>
      <c r="U507" s="252">
        <v>0</v>
      </c>
      <c r="V507" s="252">
        <v>0</v>
      </c>
      <c r="W507" s="252">
        <v>0</v>
      </c>
      <c r="X507" s="252">
        <v>0</v>
      </c>
      <c r="Y507" s="252">
        <v>283.19</v>
      </c>
      <c r="Z507" s="252">
        <v>0</v>
      </c>
      <c r="AA507" s="252">
        <v>0</v>
      </c>
      <c r="AB507" s="252">
        <v>48.81</v>
      </c>
      <c r="AC507" s="252">
        <v>0</v>
      </c>
      <c r="AD507" s="252">
        <v>0</v>
      </c>
      <c r="AE507" s="252" t="s">
        <v>720</v>
      </c>
      <c r="AF507" s="252" t="s">
        <v>721</v>
      </c>
      <c r="AG507" s="252">
        <f t="shared" si="36"/>
        <v>0</v>
      </c>
      <c r="AH507" s="252">
        <f t="shared" si="37"/>
        <v>0</v>
      </c>
      <c r="AI507" s="252">
        <f t="shared" si="38"/>
        <v>0</v>
      </c>
      <c r="AJ507" s="252">
        <f t="shared" si="39"/>
        <v>0</v>
      </c>
    </row>
    <row r="508" spans="1:36" x14ac:dyDescent="0.2">
      <c r="A508" s="253" t="str">
        <f t="shared" si="35"/>
        <v>2SNCPPZK50050</v>
      </c>
      <c r="B508" s="252" t="s">
        <v>19</v>
      </c>
      <c r="C508" s="252" t="s">
        <v>20</v>
      </c>
      <c r="D508" s="252" t="s">
        <v>2558</v>
      </c>
      <c r="E508" s="252" t="s">
        <v>2522</v>
      </c>
      <c r="F508" s="252" t="s">
        <v>2571</v>
      </c>
      <c r="G508" s="252">
        <v>50</v>
      </c>
      <c r="H508" s="252" t="s">
        <v>928</v>
      </c>
      <c r="I508" s="252" t="s">
        <v>2477</v>
      </c>
      <c r="J508" s="252" t="s">
        <v>928</v>
      </c>
      <c r="K508" s="252" t="s">
        <v>3236</v>
      </c>
      <c r="L508" s="252">
        <v>391.04</v>
      </c>
      <c r="M508" s="252">
        <v>0</v>
      </c>
      <c r="N508" s="252">
        <v>0</v>
      </c>
      <c r="O508" s="252">
        <v>0</v>
      </c>
      <c r="P508" s="252">
        <v>0</v>
      </c>
      <c r="Q508" s="252">
        <v>0</v>
      </c>
      <c r="R508" s="252">
        <v>0</v>
      </c>
      <c r="S508" s="252">
        <v>0</v>
      </c>
      <c r="T508" s="252">
        <v>0</v>
      </c>
      <c r="U508" s="252">
        <v>0</v>
      </c>
      <c r="V508" s="252">
        <v>0</v>
      </c>
      <c r="W508" s="252">
        <v>0</v>
      </c>
      <c r="X508" s="252">
        <v>0</v>
      </c>
      <c r="Y508" s="252">
        <v>306.42</v>
      </c>
      <c r="Z508" s="252">
        <v>0</v>
      </c>
      <c r="AA508" s="252">
        <v>0</v>
      </c>
      <c r="AB508" s="252">
        <v>84.63</v>
      </c>
      <c r="AC508" s="252">
        <v>0</v>
      </c>
      <c r="AD508" s="252">
        <v>0</v>
      </c>
      <c r="AE508" s="252" t="s">
        <v>720</v>
      </c>
      <c r="AF508" s="252" t="s">
        <v>721</v>
      </c>
      <c r="AG508" s="252">
        <f t="shared" si="36"/>
        <v>0</v>
      </c>
      <c r="AH508" s="252">
        <f t="shared" si="37"/>
        <v>0</v>
      </c>
      <c r="AI508" s="252">
        <f t="shared" si="38"/>
        <v>0</v>
      </c>
      <c r="AJ508" s="252">
        <f t="shared" si="39"/>
        <v>0</v>
      </c>
    </row>
    <row r="509" spans="1:36" x14ac:dyDescent="0.2">
      <c r="A509" s="253" t="str">
        <f t="shared" si="35"/>
        <v>SNCPPZK50050</v>
      </c>
      <c r="B509" s="252" t="s">
        <v>19</v>
      </c>
      <c r="C509" s="252" t="s">
        <v>20</v>
      </c>
      <c r="D509" s="252" t="s">
        <v>2558</v>
      </c>
      <c r="E509" s="252" t="s">
        <v>2522</v>
      </c>
      <c r="F509" s="252" t="s">
        <v>2571</v>
      </c>
      <c r="G509" s="252">
        <v>50</v>
      </c>
      <c r="H509" s="252" t="s">
        <v>928</v>
      </c>
      <c r="I509" s="252" t="s">
        <v>928</v>
      </c>
      <c r="J509" s="252" t="s">
        <v>928</v>
      </c>
      <c r="K509" s="252" t="s">
        <v>3236</v>
      </c>
      <c r="L509" s="252">
        <v>391.04</v>
      </c>
      <c r="M509" s="252">
        <v>0</v>
      </c>
      <c r="N509" s="252">
        <v>0</v>
      </c>
      <c r="O509" s="252">
        <v>0</v>
      </c>
      <c r="P509" s="252">
        <v>0</v>
      </c>
      <c r="Q509" s="252">
        <v>0</v>
      </c>
      <c r="R509" s="252">
        <v>0</v>
      </c>
      <c r="S509" s="252">
        <v>0</v>
      </c>
      <c r="T509" s="252">
        <v>0</v>
      </c>
      <c r="U509" s="252">
        <v>0</v>
      </c>
      <c r="V509" s="252">
        <v>0</v>
      </c>
      <c r="W509" s="252">
        <v>0</v>
      </c>
      <c r="X509" s="252">
        <v>0</v>
      </c>
      <c r="Y509" s="252">
        <v>306.42</v>
      </c>
      <c r="Z509" s="252">
        <v>0</v>
      </c>
      <c r="AA509" s="252">
        <v>0</v>
      </c>
      <c r="AB509" s="252">
        <v>84.63</v>
      </c>
      <c r="AC509" s="252">
        <v>0</v>
      </c>
      <c r="AD509" s="252">
        <v>0</v>
      </c>
      <c r="AE509" s="252" t="s">
        <v>720</v>
      </c>
      <c r="AF509" s="252" t="s">
        <v>721</v>
      </c>
      <c r="AG509" s="252">
        <f t="shared" si="36"/>
        <v>0</v>
      </c>
      <c r="AH509" s="252">
        <f t="shared" si="37"/>
        <v>0</v>
      </c>
      <c r="AI509" s="252">
        <f t="shared" si="38"/>
        <v>0</v>
      </c>
      <c r="AJ509" s="252">
        <f t="shared" si="39"/>
        <v>0</v>
      </c>
    </row>
    <row r="510" spans="1:36" x14ac:dyDescent="0.2">
      <c r="A510" s="253" t="str">
        <f t="shared" si="35"/>
        <v>2SNCPPZK50060</v>
      </c>
      <c r="B510" s="252" t="s">
        <v>19</v>
      </c>
      <c r="C510" s="252" t="s">
        <v>20</v>
      </c>
      <c r="D510" s="252" t="s">
        <v>2558</v>
      </c>
      <c r="E510" s="252" t="s">
        <v>2522</v>
      </c>
      <c r="F510" s="252" t="s">
        <v>2571</v>
      </c>
      <c r="G510" s="252">
        <v>60</v>
      </c>
      <c r="H510" s="252" t="s">
        <v>928</v>
      </c>
      <c r="I510" s="252" t="s">
        <v>2477</v>
      </c>
      <c r="J510" s="252" t="s">
        <v>928</v>
      </c>
      <c r="K510" s="252" t="s">
        <v>3236</v>
      </c>
      <c r="L510" s="252">
        <v>338.32</v>
      </c>
      <c r="M510" s="252">
        <v>0</v>
      </c>
      <c r="N510" s="252">
        <v>0</v>
      </c>
      <c r="O510" s="252">
        <v>0</v>
      </c>
      <c r="P510" s="252">
        <v>0</v>
      </c>
      <c r="Q510" s="252">
        <v>0</v>
      </c>
      <c r="R510" s="252">
        <v>0</v>
      </c>
      <c r="S510" s="252">
        <v>0</v>
      </c>
      <c r="T510" s="252">
        <v>0</v>
      </c>
      <c r="U510" s="252">
        <v>0</v>
      </c>
      <c r="V510" s="252">
        <v>0</v>
      </c>
      <c r="W510" s="252">
        <v>0</v>
      </c>
      <c r="X510" s="252">
        <v>0</v>
      </c>
      <c r="Y510" s="252">
        <v>279.79000000000002</v>
      </c>
      <c r="Z510" s="252">
        <v>0</v>
      </c>
      <c r="AA510" s="252">
        <v>0</v>
      </c>
      <c r="AB510" s="252">
        <v>58.52</v>
      </c>
      <c r="AC510" s="252">
        <v>0</v>
      </c>
      <c r="AD510" s="252">
        <v>0</v>
      </c>
      <c r="AE510" s="252" t="s">
        <v>720</v>
      </c>
      <c r="AF510" s="252" t="s">
        <v>721</v>
      </c>
      <c r="AG510" s="252">
        <f t="shared" si="36"/>
        <v>0</v>
      </c>
      <c r="AH510" s="252">
        <f t="shared" si="37"/>
        <v>0</v>
      </c>
      <c r="AI510" s="252">
        <f t="shared" si="38"/>
        <v>0</v>
      </c>
      <c r="AJ510" s="252">
        <f t="shared" si="39"/>
        <v>0</v>
      </c>
    </row>
    <row r="511" spans="1:36" x14ac:dyDescent="0.2">
      <c r="A511" s="253" t="str">
        <f t="shared" si="35"/>
        <v>SNCPPZK50060</v>
      </c>
      <c r="B511" s="252" t="s">
        <v>19</v>
      </c>
      <c r="C511" s="252" t="s">
        <v>20</v>
      </c>
      <c r="D511" s="252" t="s">
        <v>2558</v>
      </c>
      <c r="E511" s="252" t="s">
        <v>2522</v>
      </c>
      <c r="F511" s="252" t="s">
        <v>2571</v>
      </c>
      <c r="G511" s="252">
        <v>60</v>
      </c>
      <c r="H511" s="252" t="s">
        <v>928</v>
      </c>
      <c r="I511" s="252" t="s">
        <v>928</v>
      </c>
      <c r="J511" s="252" t="s">
        <v>928</v>
      </c>
      <c r="K511" s="252" t="s">
        <v>3236</v>
      </c>
      <c r="L511" s="252">
        <v>338.32</v>
      </c>
      <c r="M511" s="252">
        <v>0</v>
      </c>
      <c r="N511" s="252">
        <v>0</v>
      </c>
      <c r="O511" s="252">
        <v>0</v>
      </c>
      <c r="P511" s="252">
        <v>0</v>
      </c>
      <c r="Q511" s="252">
        <v>0</v>
      </c>
      <c r="R511" s="252">
        <v>0</v>
      </c>
      <c r="S511" s="252">
        <v>0</v>
      </c>
      <c r="T511" s="252">
        <v>0</v>
      </c>
      <c r="U511" s="252">
        <v>0</v>
      </c>
      <c r="V511" s="252">
        <v>0</v>
      </c>
      <c r="W511" s="252">
        <v>0</v>
      </c>
      <c r="X511" s="252">
        <v>0</v>
      </c>
      <c r="Y511" s="252">
        <v>279.79000000000002</v>
      </c>
      <c r="Z511" s="252">
        <v>0</v>
      </c>
      <c r="AA511" s="252">
        <v>0</v>
      </c>
      <c r="AB511" s="252">
        <v>58.52</v>
      </c>
      <c r="AC511" s="252">
        <v>0</v>
      </c>
      <c r="AD511" s="252">
        <v>0</v>
      </c>
      <c r="AE511" s="252" t="s">
        <v>720</v>
      </c>
      <c r="AF511" s="252" t="s">
        <v>721</v>
      </c>
      <c r="AG511" s="252">
        <f t="shared" si="36"/>
        <v>0</v>
      </c>
      <c r="AH511" s="252">
        <f t="shared" si="37"/>
        <v>0</v>
      </c>
      <c r="AI511" s="252">
        <f t="shared" si="38"/>
        <v>0</v>
      </c>
      <c r="AJ511" s="252">
        <f t="shared" si="39"/>
        <v>0</v>
      </c>
    </row>
    <row r="512" spans="1:36" x14ac:dyDescent="0.2">
      <c r="A512" s="253" t="str">
        <f t="shared" si="35"/>
        <v>2SNCPPZK50070</v>
      </c>
      <c r="B512" s="252" t="s">
        <v>19</v>
      </c>
      <c r="C512" s="252" t="s">
        <v>20</v>
      </c>
      <c r="D512" s="252" t="s">
        <v>2558</v>
      </c>
      <c r="E512" s="252" t="s">
        <v>2522</v>
      </c>
      <c r="F512" s="252" t="s">
        <v>2571</v>
      </c>
      <c r="G512" s="252">
        <v>70</v>
      </c>
      <c r="H512" s="252" t="s">
        <v>928</v>
      </c>
      <c r="I512" s="252" t="s">
        <v>2477</v>
      </c>
      <c r="J512" s="252" t="s">
        <v>928</v>
      </c>
      <c r="K512" s="252" t="s">
        <v>3236</v>
      </c>
      <c r="L512" s="252">
        <v>326.24</v>
      </c>
      <c r="M512" s="252">
        <v>0</v>
      </c>
      <c r="N512" s="252">
        <v>0</v>
      </c>
      <c r="O512" s="252">
        <v>0</v>
      </c>
      <c r="P512" s="252">
        <v>0</v>
      </c>
      <c r="Q512" s="252">
        <v>0</v>
      </c>
      <c r="R512" s="252">
        <v>0</v>
      </c>
      <c r="S512" s="252">
        <v>0</v>
      </c>
      <c r="T512" s="252">
        <v>0</v>
      </c>
      <c r="U512" s="252">
        <v>0</v>
      </c>
      <c r="V512" s="252">
        <v>0</v>
      </c>
      <c r="W512" s="252">
        <v>0</v>
      </c>
      <c r="X512" s="252">
        <v>0</v>
      </c>
      <c r="Y512" s="252">
        <v>269.16000000000003</v>
      </c>
      <c r="Z512" s="252">
        <v>0</v>
      </c>
      <c r="AA512" s="252">
        <v>0</v>
      </c>
      <c r="AB512" s="252">
        <v>57.08</v>
      </c>
      <c r="AC512" s="252">
        <v>0</v>
      </c>
      <c r="AD512" s="252">
        <v>0</v>
      </c>
      <c r="AE512" s="252" t="s">
        <v>720</v>
      </c>
      <c r="AF512" s="252" t="s">
        <v>721</v>
      </c>
      <c r="AG512" s="252">
        <f t="shared" si="36"/>
        <v>0</v>
      </c>
      <c r="AH512" s="252">
        <f t="shared" si="37"/>
        <v>0</v>
      </c>
      <c r="AI512" s="252">
        <f t="shared" si="38"/>
        <v>0</v>
      </c>
      <c r="AJ512" s="252">
        <f t="shared" si="39"/>
        <v>0</v>
      </c>
    </row>
    <row r="513" spans="1:36" x14ac:dyDescent="0.2">
      <c r="A513" s="253" t="str">
        <f t="shared" si="35"/>
        <v>SNCPPZK50070</v>
      </c>
      <c r="B513" s="252" t="s">
        <v>19</v>
      </c>
      <c r="C513" s="252" t="s">
        <v>20</v>
      </c>
      <c r="D513" s="252" t="s">
        <v>2558</v>
      </c>
      <c r="E513" s="252" t="s">
        <v>2522</v>
      </c>
      <c r="F513" s="252" t="s">
        <v>2571</v>
      </c>
      <c r="G513" s="252">
        <v>70</v>
      </c>
      <c r="H513" s="252" t="s">
        <v>928</v>
      </c>
      <c r="I513" s="252" t="s">
        <v>928</v>
      </c>
      <c r="J513" s="252" t="s">
        <v>928</v>
      </c>
      <c r="K513" s="252" t="s">
        <v>3236</v>
      </c>
      <c r="L513" s="252">
        <v>326.24</v>
      </c>
      <c r="M513" s="252">
        <v>0</v>
      </c>
      <c r="N513" s="252">
        <v>0</v>
      </c>
      <c r="O513" s="252">
        <v>0</v>
      </c>
      <c r="P513" s="252">
        <v>0</v>
      </c>
      <c r="Q513" s="252">
        <v>0</v>
      </c>
      <c r="R513" s="252">
        <v>0</v>
      </c>
      <c r="S513" s="252">
        <v>0</v>
      </c>
      <c r="T513" s="252">
        <v>0</v>
      </c>
      <c r="U513" s="252">
        <v>0</v>
      </c>
      <c r="V513" s="252">
        <v>0</v>
      </c>
      <c r="W513" s="252">
        <v>0</v>
      </c>
      <c r="X513" s="252">
        <v>0</v>
      </c>
      <c r="Y513" s="252">
        <v>269.16000000000003</v>
      </c>
      <c r="Z513" s="252">
        <v>0</v>
      </c>
      <c r="AA513" s="252">
        <v>0</v>
      </c>
      <c r="AB513" s="252">
        <v>57.08</v>
      </c>
      <c r="AC513" s="252">
        <v>0</v>
      </c>
      <c r="AD513" s="252">
        <v>0</v>
      </c>
      <c r="AE513" s="252" t="s">
        <v>720</v>
      </c>
      <c r="AF513" s="252" t="s">
        <v>721</v>
      </c>
      <c r="AG513" s="252">
        <f t="shared" si="36"/>
        <v>0</v>
      </c>
      <c r="AH513" s="252">
        <f t="shared" si="37"/>
        <v>0</v>
      </c>
      <c r="AI513" s="252">
        <f t="shared" si="38"/>
        <v>0</v>
      </c>
      <c r="AJ513" s="252">
        <f t="shared" si="39"/>
        <v>0</v>
      </c>
    </row>
    <row r="514" spans="1:36" x14ac:dyDescent="0.2">
      <c r="A514" s="253" t="str">
        <f t="shared" si="35"/>
        <v>2SNCPPZK50080</v>
      </c>
      <c r="B514" s="252" t="s">
        <v>19</v>
      </c>
      <c r="C514" s="252" t="s">
        <v>20</v>
      </c>
      <c r="D514" s="252" t="s">
        <v>2558</v>
      </c>
      <c r="E514" s="252" t="s">
        <v>2522</v>
      </c>
      <c r="F514" s="252" t="s">
        <v>2571</v>
      </c>
      <c r="G514" s="252">
        <v>80</v>
      </c>
      <c r="H514" s="252" t="s">
        <v>928</v>
      </c>
      <c r="I514" s="252" t="s">
        <v>2477</v>
      </c>
      <c r="J514" s="252" t="s">
        <v>928</v>
      </c>
      <c r="K514" s="252" t="s">
        <v>3236</v>
      </c>
      <c r="L514" s="252">
        <v>357.77</v>
      </c>
      <c r="M514" s="252">
        <v>0</v>
      </c>
      <c r="N514" s="252">
        <v>0</v>
      </c>
      <c r="O514" s="252">
        <v>0</v>
      </c>
      <c r="P514" s="252">
        <v>0</v>
      </c>
      <c r="Q514" s="252">
        <v>0</v>
      </c>
      <c r="R514" s="252">
        <v>0</v>
      </c>
      <c r="S514" s="252">
        <v>0</v>
      </c>
      <c r="T514" s="252">
        <v>0</v>
      </c>
      <c r="U514" s="252">
        <v>0</v>
      </c>
      <c r="V514" s="252">
        <v>0</v>
      </c>
      <c r="W514" s="252">
        <v>0</v>
      </c>
      <c r="X514" s="252">
        <v>0</v>
      </c>
      <c r="Y514" s="252">
        <v>280.73</v>
      </c>
      <c r="Z514" s="252">
        <v>0</v>
      </c>
      <c r="AA514" s="252">
        <v>0</v>
      </c>
      <c r="AB514" s="252">
        <v>77.03</v>
      </c>
      <c r="AC514" s="252">
        <v>0</v>
      </c>
      <c r="AD514" s="252">
        <v>0</v>
      </c>
      <c r="AE514" s="252" t="s">
        <v>720</v>
      </c>
      <c r="AF514" s="252" t="s">
        <v>721</v>
      </c>
      <c r="AG514" s="252">
        <f t="shared" si="36"/>
        <v>0</v>
      </c>
      <c r="AH514" s="252">
        <f t="shared" si="37"/>
        <v>0</v>
      </c>
      <c r="AI514" s="252">
        <f t="shared" si="38"/>
        <v>0</v>
      </c>
      <c r="AJ514" s="252">
        <f t="shared" si="39"/>
        <v>0</v>
      </c>
    </row>
    <row r="515" spans="1:36" x14ac:dyDescent="0.2">
      <c r="A515" s="253" t="str">
        <f t="shared" si="35"/>
        <v>SNCPPZK50080</v>
      </c>
      <c r="B515" s="252" t="s">
        <v>19</v>
      </c>
      <c r="C515" s="252" t="s">
        <v>20</v>
      </c>
      <c r="D515" s="252" t="s">
        <v>2558</v>
      </c>
      <c r="E515" s="252" t="s">
        <v>2522</v>
      </c>
      <c r="F515" s="252" t="s">
        <v>2571</v>
      </c>
      <c r="G515" s="252">
        <v>80</v>
      </c>
      <c r="H515" s="252" t="s">
        <v>928</v>
      </c>
      <c r="I515" s="252" t="s">
        <v>928</v>
      </c>
      <c r="J515" s="252" t="s">
        <v>928</v>
      </c>
      <c r="K515" s="252" t="s">
        <v>3236</v>
      </c>
      <c r="L515" s="252">
        <v>357.77</v>
      </c>
      <c r="M515" s="252">
        <v>0</v>
      </c>
      <c r="N515" s="252">
        <v>0</v>
      </c>
      <c r="O515" s="252">
        <v>0</v>
      </c>
      <c r="P515" s="252">
        <v>0</v>
      </c>
      <c r="Q515" s="252">
        <v>0</v>
      </c>
      <c r="R515" s="252">
        <v>0</v>
      </c>
      <c r="S515" s="252">
        <v>0</v>
      </c>
      <c r="T515" s="252">
        <v>0</v>
      </c>
      <c r="U515" s="252">
        <v>0</v>
      </c>
      <c r="V515" s="252">
        <v>0</v>
      </c>
      <c r="W515" s="252">
        <v>0</v>
      </c>
      <c r="X515" s="252">
        <v>0</v>
      </c>
      <c r="Y515" s="252">
        <v>280.73</v>
      </c>
      <c r="Z515" s="252">
        <v>0</v>
      </c>
      <c r="AA515" s="252">
        <v>0</v>
      </c>
      <c r="AB515" s="252">
        <v>77.03</v>
      </c>
      <c r="AC515" s="252">
        <v>0</v>
      </c>
      <c r="AD515" s="252">
        <v>0</v>
      </c>
      <c r="AE515" s="252" t="s">
        <v>720</v>
      </c>
      <c r="AF515" s="252" t="s">
        <v>721</v>
      </c>
      <c r="AG515" s="252">
        <f t="shared" si="36"/>
        <v>0</v>
      </c>
      <c r="AH515" s="252">
        <f t="shared" si="37"/>
        <v>0</v>
      </c>
      <c r="AI515" s="252">
        <f t="shared" si="38"/>
        <v>0</v>
      </c>
      <c r="AJ515" s="252">
        <f t="shared" si="39"/>
        <v>0</v>
      </c>
    </row>
    <row r="516" spans="1:36" x14ac:dyDescent="0.2">
      <c r="A516" s="253" t="str">
        <f t="shared" ref="A516:A579" si="40">TRIM(I516&amp;B516&amp;C516&amp;D516&amp;F516&amp;G516)</f>
        <v>2SNCPPZK500100</v>
      </c>
      <c r="B516" s="252" t="s">
        <v>19</v>
      </c>
      <c r="C516" s="252" t="s">
        <v>20</v>
      </c>
      <c r="D516" s="252" t="s">
        <v>2558</v>
      </c>
      <c r="E516" s="252" t="s">
        <v>2522</v>
      </c>
      <c r="F516" s="252" t="s">
        <v>2571</v>
      </c>
      <c r="G516" s="252">
        <v>100</v>
      </c>
      <c r="H516" s="252" t="s">
        <v>928</v>
      </c>
      <c r="I516" s="252" t="s">
        <v>2477</v>
      </c>
      <c r="J516" s="252" t="s">
        <v>928</v>
      </c>
      <c r="K516" s="252" t="s">
        <v>3236</v>
      </c>
      <c r="L516" s="252">
        <v>329.89</v>
      </c>
      <c r="M516" s="252">
        <v>0</v>
      </c>
      <c r="N516" s="252">
        <v>0</v>
      </c>
      <c r="O516" s="252">
        <v>0</v>
      </c>
      <c r="P516" s="252">
        <v>0</v>
      </c>
      <c r="Q516" s="252">
        <v>0</v>
      </c>
      <c r="R516" s="252">
        <v>0</v>
      </c>
      <c r="S516" s="252">
        <v>0</v>
      </c>
      <c r="T516" s="252">
        <v>0</v>
      </c>
      <c r="U516" s="252">
        <v>0</v>
      </c>
      <c r="V516" s="252">
        <v>0</v>
      </c>
      <c r="W516" s="252">
        <v>0</v>
      </c>
      <c r="X516" s="252">
        <v>0</v>
      </c>
      <c r="Y516" s="252">
        <v>270.83</v>
      </c>
      <c r="Z516" s="252">
        <v>0</v>
      </c>
      <c r="AA516" s="252">
        <v>0</v>
      </c>
      <c r="AB516" s="252">
        <v>59.06</v>
      </c>
      <c r="AC516" s="252">
        <v>0</v>
      </c>
      <c r="AD516" s="252">
        <v>0</v>
      </c>
      <c r="AE516" s="252" t="s">
        <v>720</v>
      </c>
      <c r="AF516" s="252" t="s">
        <v>721</v>
      </c>
      <c r="AG516" s="252">
        <f t="shared" si="36"/>
        <v>0</v>
      </c>
      <c r="AH516" s="252">
        <f t="shared" si="37"/>
        <v>0</v>
      </c>
      <c r="AI516" s="252">
        <f t="shared" si="38"/>
        <v>0</v>
      </c>
      <c r="AJ516" s="252">
        <f t="shared" si="39"/>
        <v>0</v>
      </c>
    </row>
    <row r="517" spans="1:36" x14ac:dyDescent="0.2">
      <c r="A517" s="253" t="str">
        <f t="shared" si="40"/>
        <v>SNCPPZK500100</v>
      </c>
      <c r="B517" s="252" t="s">
        <v>19</v>
      </c>
      <c r="C517" s="252" t="s">
        <v>20</v>
      </c>
      <c r="D517" s="252" t="s">
        <v>2558</v>
      </c>
      <c r="E517" s="252" t="s">
        <v>2522</v>
      </c>
      <c r="F517" s="252" t="s">
        <v>2571</v>
      </c>
      <c r="G517" s="252">
        <v>100</v>
      </c>
      <c r="H517" s="252" t="s">
        <v>928</v>
      </c>
      <c r="I517" s="252" t="s">
        <v>928</v>
      </c>
      <c r="J517" s="252" t="s">
        <v>928</v>
      </c>
      <c r="K517" s="252" t="s">
        <v>3236</v>
      </c>
      <c r="L517" s="252">
        <v>329.89</v>
      </c>
      <c r="M517" s="252">
        <v>0</v>
      </c>
      <c r="N517" s="252">
        <v>0</v>
      </c>
      <c r="O517" s="252">
        <v>0</v>
      </c>
      <c r="P517" s="252">
        <v>0</v>
      </c>
      <c r="Q517" s="252">
        <v>0</v>
      </c>
      <c r="R517" s="252">
        <v>0</v>
      </c>
      <c r="S517" s="252">
        <v>0</v>
      </c>
      <c r="T517" s="252">
        <v>0</v>
      </c>
      <c r="U517" s="252">
        <v>0</v>
      </c>
      <c r="V517" s="252">
        <v>0</v>
      </c>
      <c r="W517" s="252">
        <v>0</v>
      </c>
      <c r="X517" s="252">
        <v>0</v>
      </c>
      <c r="Y517" s="252">
        <v>270.83</v>
      </c>
      <c r="Z517" s="252">
        <v>0</v>
      </c>
      <c r="AA517" s="252">
        <v>0</v>
      </c>
      <c r="AB517" s="252">
        <v>59.06</v>
      </c>
      <c r="AC517" s="252">
        <v>0</v>
      </c>
      <c r="AD517" s="252">
        <v>0</v>
      </c>
      <c r="AE517" s="252" t="s">
        <v>720</v>
      </c>
      <c r="AF517" s="252" t="s">
        <v>721</v>
      </c>
      <c r="AG517" s="252">
        <f t="shared" si="36"/>
        <v>0</v>
      </c>
      <c r="AH517" s="252">
        <f t="shared" si="37"/>
        <v>0</v>
      </c>
      <c r="AI517" s="252">
        <f t="shared" si="38"/>
        <v>0</v>
      </c>
      <c r="AJ517" s="252">
        <f t="shared" si="39"/>
        <v>0</v>
      </c>
    </row>
    <row r="518" spans="1:36" x14ac:dyDescent="0.2">
      <c r="A518" s="253" t="str">
        <f t="shared" si="40"/>
        <v>2SNCPPZK500R60</v>
      </c>
      <c r="B518" s="252" t="s">
        <v>19</v>
      </c>
      <c r="C518" s="252" t="s">
        <v>20</v>
      </c>
      <c r="D518" s="252" t="s">
        <v>2558</v>
      </c>
      <c r="E518" s="252" t="s">
        <v>2522</v>
      </c>
      <c r="F518" s="252" t="s">
        <v>2572</v>
      </c>
      <c r="G518" s="252">
        <v>60</v>
      </c>
      <c r="H518" s="252" t="s">
        <v>928</v>
      </c>
      <c r="I518" s="252" t="s">
        <v>2477</v>
      </c>
      <c r="J518" s="252" t="s">
        <v>928</v>
      </c>
      <c r="K518" s="252" t="s">
        <v>3236</v>
      </c>
      <c r="L518" s="252">
        <v>512.48</v>
      </c>
      <c r="M518" s="252">
        <v>0</v>
      </c>
      <c r="N518" s="252">
        <v>0</v>
      </c>
      <c r="O518" s="252">
        <v>0</v>
      </c>
      <c r="P518" s="252">
        <v>0</v>
      </c>
      <c r="Q518" s="252">
        <v>0</v>
      </c>
      <c r="R518" s="252">
        <v>0</v>
      </c>
      <c r="S518" s="252">
        <v>0</v>
      </c>
      <c r="T518" s="252">
        <v>0</v>
      </c>
      <c r="U518" s="252">
        <v>0</v>
      </c>
      <c r="V518" s="252">
        <v>0</v>
      </c>
      <c r="W518" s="252">
        <v>0</v>
      </c>
      <c r="X518" s="252">
        <v>0</v>
      </c>
      <c r="Y518" s="252">
        <v>427.58</v>
      </c>
      <c r="Z518" s="252">
        <v>0</v>
      </c>
      <c r="AA518" s="252">
        <v>0</v>
      </c>
      <c r="AB518" s="252">
        <v>84.9</v>
      </c>
      <c r="AC518" s="252">
        <v>0</v>
      </c>
      <c r="AD518" s="252">
        <v>0</v>
      </c>
      <c r="AE518" s="252" t="s">
        <v>720</v>
      </c>
      <c r="AF518" s="252" t="s">
        <v>721</v>
      </c>
      <c r="AG518" s="252">
        <f t="shared" ref="AG518:AG581" si="41">+O518*M518/100</f>
        <v>0</v>
      </c>
      <c r="AH518" s="252">
        <f t="shared" ref="AH518:AH581" si="42">+P518*M518/100</f>
        <v>0</v>
      </c>
      <c r="AI518" s="252">
        <f t="shared" ref="AI518:AI581" si="43">+AB518*M518/100</f>
        <v>0</v>
      </c>
      <c r="AJ518" s="252">
        <f t="shared" ref="AJ518:AJ581" si="44">+AG518+AH518+AI518</f>
        <v>0</v>
      </c>
    </row>
    <row r="519" spans="1:36" x14ac:dyDescent="0.2">
      <c r="A519" s="253" t="str">
        <f t="shared" si="40"/>
        <v>SNCPPZK500R60</v>
      </c>
      <c r="B519" s="252" t="s">
        <v>19</v>
      </c>
      <c r="C519" s="252" t="s">
        <v>20</v>
      </c>
      <c r="D519" s="252" t="s">
        <v>2558</v>
      </c>
      <c r="E519" s="252" t="s">
        <v>2522</v>
      </c>
      <c r="F519" s="252" t="s">
        <v>2572</v>
      </c>
      <c r="G519" s="252">
        <v>60</v>
      </c>
      <c r="H519" s="252" t="s">
        <v>928</v>
      </c>
      <c r="I519" s="252" t="s">
        <v>928</v>
      </c>
      <c r="J519" s="252" t="s">
        <v>928</v>
      </c>
      <c r="K519" s="252" t="s">
        <v>3236</v>
      </c>
      <c r="L519" s="252">
        <v>512.48</v>
      </c>
      <c r="M519" s="252">
        <v>0</v>
      </c>
      <c r="N519" s="252">
        <v>0</v>
      </c>
      <c r="O519" s="252">
        <v>0</v>
      </c>
      <c r="P519" s="252">
        <v>0</v>
      </c>
      <c r="Q519" s="252">
        <v>0</v>
      </c>
      <c r="R519" s="252">
        <v>0</v>
      </c>
      <c r="S519" s="252">
        <v>0</v>
      </c>
      <c r="T519" s="252">
        <v>0</v>
      </c>
      <c r="U519" s="252">
        <v>0</v>
      </c>
      <c r="V519" s="252">
        <v>0</v>
      </c>
      <c r="W519" s="252">
        <v>0</v>
      </c>
      <c r="X519" s="252">
        <v>0</v>
      </c>
      <c r="Y519" s="252">
        <v>427.58</v>
      </c>
      <c r="Z519" s="252">
        <v>0</v>
      </c>
      <c r="AA519" s="252">
        <v>0</v>
      </c>
      <c r="AB519" s="252">
        <v>84.9</v>
      </c>
      <c r="AC519" s="252">
        <v>0</v>
      </c>
      <c r="AD519" s="252">
        <v>0</v>
      </c>
      <c r="AE519" s="252" t="s">
        <v>720</v>
      </c>
      <c r="AF519" s="252" t="s">
        <v>721</v>
      </c>
      <c r="AG519" s="252">
        <f t="shared" si="41"/>
        <v>0</v>
      </c>
      <c r="AH519" s="252">
        <f t="shared" si="42"/>
        <v>0</v>
      </c>
      <c r="AI519" s="252">
        <f t="shared" si="43"/>
        <v>0</v>
      </c>
      <c r="AJ519" s="252">
        <f t="shared" si="44"/>
        <v>0</v>
      </c>
    </row>
    <row r="520" spans="1:36" x14ac:dyDescent="0.2">
      <c r="A520" s="253" t="str">
        <f t="shared" si="40"/>
        <v>2SNCPPZK500X60</v>
      </c>
      <c r="B520" s="252" t="s">
        <v>19</v>
      </c>
      <c r="C520" s="252" t="s">
        <v>20</v>
      </c>
      <c r="D520" s="252" t="s">
        <v>2558</v>
      </c>
      <c r="E520" s="252" t="s">
        <v>2522</v>
      </c>
      <c r="F520" s="252" t="s">
        <v>2693</v>
      </c>
      <c r="G520" s="252">
        <v>60</v>
      </c>
      <c r="H520" s="252" t="s">
        <v>928</v>
      </c>
      <c r="I520" s="252" t="s">
        <v>2477</v>
      </c>
      <c r="J520" s="252" t="s">
        <v>928</v>
      </c>
      <c r="K520" s="252" t="s">
        <v>3236</v>
      </c>
      <c r="L520" s="252">
        <v>436.23</v>
      </c>
      <c r="M520" s="252">
        <v>0</v>
      </c>
      <c r="N520" s="252">
        <v>0</v>
      </c>
      <c r="O520" s="252">
        <v>0</v>
      </c>
      <c r="P520" s="252">
        <v>0</v>
      </c>
      <c r="Q520" s="252">
        <v>0</v>
      </c>
      <c r="R520" s="252">
        <v>0</v>
      </c>
      <c r="S520" s="252">
        <v>0</v>
      </c>
      <c r="T520" s="252">
        <v>0</v>
      </c>
      <c r="U520" s="252">
        <v>0</v>
      </c>
      <c r="V520" s="252">
        <v>0</v>
      </c>
      <c r="W520" s="252">
        <v>0</v>
      </c>
      <c r="X520" s="252">
        <v>0</v>
      </c>
      <c r="Y520" s="252">
        <v>354.72</v>
      </c>
      <c r="Z520" s="252">
        <v>0</v>
      </c>
      <c r="AA520" s="252">
        <v>0</v>
      </c>
      <c r="AB520" s="252">
        <v>81.52</v>
      </c>
      <c r="AC520" s="252">
        <v>0</v>
      </c>
      <c r="AD520" s="252">
        <v>0</v>
      </c>
      <c r="AE520" s="252" t="s">
        <v>720</v>
      </c>
      <c r="AF520" s="252" t="s">
        <v>721</v>
      </c>
      <c r="AG520" s="252">
        <f t="shared" si="41"/>
        <v>0</v>
      </c>
      <c r="AH520" s="252">
        <f t="shared" si="42"/>
        <v>0</v>
      </c>
      <c r="AI520" s="252">
        <f t="shared" si="43"/>
        <v>0</v>
      </c>
      <c r="AJ520" s="252">
        <f t="shared" si="44"/>
        <v>0</v>
      </c>
    </row>
    <row r="521" spans="1:36" x14ac:dyDescent="0.2">
      <c r="A521" s="253" t="str">
        <f t="shared" si="40"/>
        <v>SNCPPZK500X60</v>
      </c>
      <c r="B521" s="252" t="s">
        <v>19</v>
      </c>
      <c r="C521" s="252" t="s">
        <v>20</v>
      </c>
      <c r="D521" s="252" t="s">
        <v>2558</v>
      </c>
      <c r="E521" s="252" t="s">
        <v>2522</v>
      </c>
      <c r="F521" s="252" t="s">
        <v>2693</v>
      </c>
      <c r="G521" s="252">
        <v>60</v>
      </c>
      <c r="H521" s="252" t="s">
        <v>928</v>
      </c>
      <c r="I521" s="252" t="s">
        <v>928</v>
      </c>
      <c r="J521" s="252" t="s">
        <v>928</v>
      </c>
      <c r="K521" s="252" t="s">
        <v>3236</v>
      </c>
      <c r="L521" s="252">
        <v>436.23</v>
      </c>
      <c r="M521" s="252">
        <v>0</v>
      </c>
      <c r="N521" s="252">
        <v>0</v>
      </c>
      <c r="O521" s="252">
        <v>0</v>
      </c>
      <c r="P521" s="252">
        <v>0</v>
      </c>
      <c r="Q521" s="252">
        <v>0</v>
      </c>
      <c r="R521" s="252">
        <v>0</v>
      </c>
      <c r="S521" s="252">
        <v>0</v>
      </c>
      <c r="T521" s="252">
        <v>0</v>
      </c>
      <c r="U521" s="252">
        <v>0</v>
      </c>
      <c r="V521" s="252">
        <v>0</v>
      </c>
      <c r="W521" s="252">
        <v>0</v>
      </c>
      <c r="X521" s="252">
        <v>0</v>
      </c>
      <c r="Y521" s="252">
        <v>354.72</v>
      </c>
      <c r="Z521" s="252">
        <v>0</v>
      </c>
      <c r="AA521" s="252">
        <v>0</v>
      </c>
      <c r="AB521" s="252">
        <v>81.52</v>
      </c>
      <c r="AC521" s="252">
        <v>0</v>
      </c>
      <c r="AD521" s="252">
        <v>0</v>
      </c>
      <c r="AE521" s="252" t="s">
        <v>720</v>
      </c>
      <c r="AF521" s="252" t="s">
        <v>721</v>
      </c>
      <c r="AG521" s="252">
        <f t="shared" si="41"/>
        <v>0</v>
      </c>
      <c r="AH521" s="252">
        <f t="shared" si="42"/>
        <v>0</v>
      </c>
      <c r="AI521" s="252">
        <f t="shared" si="43"/>
        <v>0</v>
      </c>
      <c r="AJ521" s="252">
        <f t="shared" si="44"/>
        <v>0</v>
      </c>
    </row>
    <row r="522" spans="1:36" x14ac:dyDescent="0.2">
      <c r="A522" s="253" t="str">
        <f t="shared" si="40"/>
        <v>2SNCPPZK59H960</v>
      </c>
      <c r="B522" s="252" t="s">
        <v>19</v>
      </c>
      <c r="C522" s="252" t="s">
        <v>20</v>
      </c>
      <c r="D522" s="252" t="s">
        <v>2558</v>
      </c>
      <c r="E522" s="252" t="s">
        <v>2522</v>
      </c>
      <c r="F522" s="252" t="s">
        <v>2573</v>
      </c>
      <c r="G522" s="252">
        <v>60</v>
      </c>
      <c r="H522" s="252" t="s">
        <v>928</v>
      </c>
      <c r="I522" s="252" t="s">
        <v>2477</v>
      </c>
      <c r="J522" s="252" t="s">
        <v>928</v>
      </c>
      <c r="K522" s="252" t="s">
        <v>3236</v>
      </c>
      <c r="L522" s="252">
        <v>396.46</v>
      </c>
      <c r="M522" s="252">
        <v>0</v>
      </c>
      <c r="N522" s="252">
        <v>0</v>
      </c>
      <c r="O522" s="252">
        <v>0</v>
      </c>
      <c r="P522" s="252">
        <v>0</v>
      </c>
      <c r="Q522" s="252">
        <v>0</v>
      </c>
      <c r="R522" s="252">
        <v>0</v>
      </c>
      <c r="S522" s="252">
        <v>0</v>
      </c>
      <c r="T522" s="252">
        <v>0</v>
      </c>
      <c r="U522" s="252">
        <v>0</v>
      </c>
      <c r="V522" s="252">
        <v>0</v>
      </c>
      <c r="W522" s="252">
        <v>0</v>
      </c>
      <c r="X522" s="252">
        <v>0</v>
      </c>
      <c r="Y522" s="252">
        <v>301.56</v>
      </c>
      <c r="Z522" s="252">
        <v>0</v>
      </c>
      <c r="AA522" s="252">
        <v>0</v>
      </c>
      <c r="AB522" s="252">
        <v>94.9</v>
      </c>
      <c r="AC522" s="252">
        <v>0</v>
      </c>
      <c r="AD522" s="252">
        <v>0</v>
      </c>
      <c r="AE522" s="252" t="s">
        <v>720</v>
      </c>
      <c r="AF522" s="252" t="s">
        <v>721</v>
      </c>
      <c r="AG522" s="252">
        <f t="shared" si="41"/>
        <v>0</v>
      </c>
      <c r="AH522" s="252">
        <f t="shared" si="42"/>
        <v>0</v>
      </c>
      <c r="AI522" s="252">
        <f t="shared" si="43"/>
        <v>0</v>
      </c>
      <c r="AJ522" s="252">
        <f t="shared" si="44"/>
        <v>0</v>
      </c>
    </row>
    <row r="523" spans="1:36" x14ac:dyDescent="0.2">
      <c r="A523" s="253" t="str">
        <f t="shared" si="40"/>
        <v>SNCPPZK59H960</v>
      </c>
      <c r="B523" s="252" t="s">
        <v>19</v>
      </c>
      <c r="C523" s="252" t="s">
        <v>20</v>
      </c>
      <c r="D523" s="252" t="s">
        <v>2558</v>
      </c>
      <c r="E523" s="252" t="s">
        <v>2522</v>
      </c>
      <c r="F523" s="252" t="s">
        <v>2573</v>
      </c>
      <c r="G523" s="252">
        <v>60</v>
      </c>
      <c r="H523" s="252" t="s">
        <v>928</v>
      </c>
      <c r="I523" s="252" t="s">
        <v>928</v>
      </c>
      <c r="J523" s="252" t="s">
        <v>928</v>
      </c>
      <c r="K523" s="252" t="s">
        <v>3236</v>
      </c>
      <c r="L523" s="252">
        <v>396.46</v>
      </c>
      <c r="M523" s="252">
        <v>0</v>
      </c>
      <c r="N523" s="252">
        <v>0</v>
      </c>
      <c r="O523" s="252">
        <v>0</v>
      </c>
      <c r="P523" s="252">
        <v>0</v>
      </c>
      <c r="Q523" s="252">
        <v>0</v>
      </c>
      <c r="R523" s="252">
        <v>0</v>
      </c>
      <c r="S523" s="252">
        <v>0</v>
      </c>
      <c r="T523" s="252">
        <v>0</v>
      </c>
      <c r="U523" s="252">
        <v>0</v>
      </c>
      <c r="V523" s="252">
        <v>0</v>
      </c>
      <c r="W523" s="252">
        <v>0</v>
      </c>
      <c r="X523" s="252">
        <v>0</v>
      </c>
      <c r="Y523" s="252">
        <v>301.56</v>
      </c>
      <c r="Z523" s="252">
        <v>0</v>
      </c>
      <c r="AA523" s="252">
        <v>0</v>
      </c>
      <c r="AB523" s="252">
        <v>94.9</v>
      </c>
      <c r="AC523" s="252">
        <v>0</v>
      </c>
      <c r="AD523" s="252">
        <v>0</v>
      </c>
      <c r="AE523" s="252" t="s">
        <v>720</v>
      </c>
      <c r="AF523" s="252" t="s">
        <v>721</v>
      </c>
      <c r="AG523" s="252">
        <f t="shared" si="41"/>
        <v>0</v>
      </c>
      <c r="AH523" s="252">
        <f t="shared" si="42"/>
        <v>0</v>
      </c>
      <c r="AI523" s="252">
        <f t="shared" si="43"/>
        <v>0</v>
      </c>
      <c r="AJ523" s="252">
        <f t="shared" si="44"/>
        <v>0</v>
      </c>
    </row>
    <row r="524" spans="1:36" x14ac:dyDescent="0.2">
      <c r="A524" s="253" t="str">
        <f t="shared" si="40"/>
        <v>2SNCPPZK93FM70</v>
      </c>
      <c r="B524" s="252" t="s">
        <v>19</v>
      </c>
      <c r="C524" s="252" t="s">
        <v>20</v>
      </c>
      <c r="D524" s="252" t="s">
        <v>2558</v>
      </c>
      <c r="E524" s="252" t="s">
        <v>2522</v>
      </c>
      <c r="F524" s="252" t="s">
        <v>2574</v>
      </c>
      <c r="G524" s="252">
        <v>70</v>
      </c>
      <c r="H524" s="252" t="s">
        <v>928</v>
      </c>
      <c r="I524" s="252" t="s">
        <v>2477</v>
      </c>
      <c r="J524" s="252" t="s">
        <v>928</v>
      </c>
      <c r="K524" s="252" t="s">
        <v>3236</v>
      </c>
      <c r="L524" s="252">
        <v>349.47</v>
      </c>
      <c r="M524" s="252">
        <v>0</v>
      </c>
      <c r="N524" s="252">
        <v>0</v>
      </c>
      <c r="O524" s="252">
        <v>0</v>
      </c>
      <c r="P524" s="252">
        <v>0</v>
      </c>
      <c r="Q524" s="252">
        <v>0</v>
      </c>
      <c r="R524" s="252">
        <v>0</v>
      </c>
      <c r="S524" s="252">
        <v>0</v>
      </c>
      <c r="T524" s="252">
        <v>0</v>
      </c>
      <c r="U524" s="252">
        <v>0</v>
      </c>
      <c r="V524" s="252">
        <v>0</v>
      </c>
      <c r="W524" s="252">
        <v>0</v>
      </c>
      <c r="X524" s="252">
        <v>0</v>
      </c>
      <c r="Y524" s="252">
        <v>283.43</v>
      </c>
      <c r="Z524" s="252">
        <v>0</v>
      </c>
      <c r="AA524" s="252">
        <v>0</v>
      </c>
      <c r="AB524" s="252">
        <v>66.040000000000006</v>
      </c>
      <c r="AC524" s="252">
        <v>0</v>
      </c>
      <c r="AD524" s="252">
        <v>0</v>
      </c>
      <c r="AE524" s="252" t="s">
        <v>720</v>
      </c>
      <c r="AF524" s="252" t="s">
        <v>721</v>
      </c>
      <c r="AG524" s="252">
        <f t="shared" si="41"/>
        <v>0</v>
      </c>
      <c r="AH524" s="252">
        <f t="shared" si="42"/>
        <v>0</v>
      </c>
      <c r="AI524" s="252">
        <f t="shared" si="43"/>
        <v>0</v>
      </c>
      <c r="AJ524" s="252">
        <f t="shared" si="44"/>
        <v>0</v>
      </c>
    </row>
    <row r="525" spans="1:36" x14ac:dyDescent="0.2">
      <c r="A525" s="253" t="str">
        <f t="shared" si="40"/>
        <v>SNCPPZK93FM70</v>
      </c>
      <c r="B525" s="252" t="s">
        <v>19</v>
      </c>
      <c r="C525" s="252" t="s">
        <v>20</v>
      </c>
      <c r="D525" s="252" t="s">
        <v>2558</v>
      </c>
      <c r="E525" s="252" t="s">
        <v>2522</v>
      </c>
      <c r="F525" s="252" t="s">
        <v>2574</v>
      </c>
      <c r="G525" s="252">
        <v>70</v>
      </c>
      <c r="H525" s="252" t="s">
        <v>928</v>
      </c>
      <c r="I525" s="252" t="s">
        <v>928</v>
      </c>
      <c r="J525" s="252" t="s">
        <v>928</v>
      </c>
      <c r="K525" s="252" t="s">
        <v>3236</v>
      </c>
      <c r="L525" s="252">
        <v>349.47</v>
      </c>
      <c r="M525" s="252">
        <v>0</v>
      </c>
      <c r="N525" s="252">
        <v>0</v>
      </c>
      <c r="O525" s="252">
        <v>0</v>
      </c>
      <c r="P525" s="252">
        <v>0</v>
      </c>
      <c r="Q525" s="252">
        <v>0</v>
      </c>
      <c r="R525" s="252">
        <v>0</v>
      </c>
      <c r="S525" s="252">
        <v>0</v>
      </c>
      <c r="T525" s="252">
        <v>0</v>
      </c>
      <c r="U525" s="252">
        <v>0</v>
      </c>
      <c r="V525" s="252">
        <v>0</v>
      </c>
      <c r="W525" s="252">
        <v>0</v>
      </c>
      <c r="X525" s="252">
        <v>0</v>
      </c>
      <c r="Y525" s="252">
        <v>283.43</v>
      </c>
      <c r="Z525" s="252">
        <v>0</v>
      </c>
      <c r="AA525" s="252">
        <v>0</v>
      </c>
      <c r="AB525" s="252">
        <v>66.040000000000006</v>
      </c>
      <c r="AC525" s="252">
        <v>0</v>
      </c>
      <c r="AD525" s="252">
        <v>0</v>
      </c>
      <c r="AE525" s="252" t="s">
        <v>720</v>
      </c>
      <c r="AF525" s="252" t="s">
        <v>721</v>
      </c>
      <c r="AG525" s="252">
        <f t="shared" si="41"/>
        <v>0</v>
      </c>
      <c r="AH525" s="252">
        <f t="shared" si="42"/>
        <v>0</v>
      </c>
      <c r="AI525" s="252">
        <f t="shared" si="43"/>
        <v>0</v>
      </c>
      <c r="AJ525" s="252">
        <f t="shared" si="44"/>
        <v>0</v>
      </c>
    </row>
    <row r="526" spans="1:36" x14ac:dyDescent="0.2">
      <c r="A526" s="253" t="str">
        <f t="shared" si="40"/>
        <v>2SNCPPZK99S50</v>
      </c>
      <c r="B526" s="252" t="s">
        <v>19</v>
      </c>
      <c r="C526" s="252" t="s">
        <v>20</v>
      </c>
      <c r="D526" s="252" t="s">
        <v>2558</v>
      </c>
      <c r="E526" s="252" t="s">
        <v>2522</v>
      </c>
      <c r="F526" s="252" t="s">
        <v>2575</v>
      </c>
      <c r="G526" s="252">
        <v>50</v>
      </c>
      <c r="H526" s="252" t="s">
        <v>928</v>
      </c>
      <c r="I526" s="252" t="s">
        <v>2477</v>
      </c>
      <c r="J526" s="252" t="s">
        <v>928</v>
      </c>
      <c r="K526" s="252" t="s">
        <v>3236</v>
      </c>
      <c r="L526" s="252">
        <v>315.83999999999997</v>
      </c>
      <c r="M526" s="252">
        <v>0</v>
      </c>
      <c r="N526" s="252">
        <v>0</v>
      </c>
      <c r="O526" s="252">
        <v>0</v>
      </c>
      <c r="P526" s="252">
        <v>0</v>
      </c>
      <c r="Q526" s="252">
        <v>0</v>
      </c>
      <c r="R526" s="252">
        <v>0</v>
      </c>
      <c r="S526" s="252">
        <v>0</v>
      </c>
      <c r="T526" s="252">
        <v>0</v>
      </c>
      <c r="U526" s="252">
        <v>0</v>
      </c>
      <c r="V526" s="252">
        <v>0</v>
      </c>
      <c r="W526" s="252">
        <v>0</v>
      </c>
      <c r="X526" s="252">
        <v>0</v>
      </c>
      <c r="Y526" s="252">
        <v>258.33999999999997</v>
      </c>
      <c r="Z526" s="252">
        <v>0</v>
      </c>
      <c r="AA526" s="252">
        <v>0</v>
      </c>
      <c r="AB526" s="252">
        <v>57.5</v>
      </c>
      <c r="AC526" s="252">
        <v>0</v>
      </c>
      <c r="AD526" s="252">
        <v>0</v>
      </c>
      <c r="AE526" s="252" t="s">
        <v>720</v>
      </c>
      <c r="AF526" s="252" t="s">
        <v>721</v>
      </c>
      <c r="AG526" s="252">
        <f t="shared" si="41"/>
        <v>0</v>
      </c>
      <c r="AH526" s="252">
        <f t="shared" si="42"/>
        <v>0</v>
      </c>
      <c r="AI526" s="252">
        <f t="shared" si="43"/>
        <v>0</v>
      </c>
      <c r="AJ526" s="252">
        <f t="shared" si="44"/>
        <v>0</v>
      </c>
    </row>
    <row r="527" spans="1:36" x14ac:dyDescent="0.2">
      <c r="A527" s="253" t="str">
        <f t="shared" si="40"/>
        <v>SNCPPZK99S50</v>
      </c>
      <c r="B527" s="252" t="s">
        <v>19</v>
      </c>
      <c r="C527" s="252" t="s">
        <v>20</v>
      </c>
      <c r="D527" s="252" t="s">
        <v>2558</v>
      </c>
      <c r="E527" s="252" t="s">
        <v>2522</v>
      </c>
      <c r="F527" s="252" t="s">
        <v>2575</v>
      </c>
      <c r="G527" s="252">
        <v>50</v>
      </c>
      <c r="H527" s="252" t="s">
        <v>928</v>
      </c>
      <c r="I527" s="252" t="s">
        <v>928</v>
      </c>
      <c r="J527" s="252" t="s">
        <v>928</v>
      </c>
      <c r="K527" s="252" t="s">
        <v>3236</v>
      </c>
      <c r="L527" s="252">
        <v>315.83999999999997</v>
      </c>
      <c r="M527" s="252">
        <v>0</v>
      </c>
      <c r="N527" s="252">
        <v>0</v>
      </c>
      <c r="O527" s="252">
        <v>0</v>
      </c>
      <c r="P527" s="252">
        <v>0</v>
      </c>
      <c r="Q527" s="252">
        <v>0</v>
      </c>
      <c r="R527" s="252">
        <v>0</v>
      </c>
      <c r="S527" s="252">
        <v>0</v>
      </c>
      <c r="T527" s="252">
        <v>0</v>
      </c>
      <c r="U527" s="252">
        <v>0</v>
      </c>
      <c r="V527" s="252">
        <v>0</v>
      </c>
      <c r="W527" s="252">
        <v>0</v>
      </c>
      <c r="X527" s="252">
        <v>0</v>
      </c>
      <c r="Y527" s="252">
        <v>258.33999999999997</v>
      </c>
      <c r="Z527" s="252">
        <v>0</v>
      </c>
      <c r="AA527" s="252">
        <v>0</v>
      </c>
      <c r="AB527" s="252">
        <v>57.5</v>
      </c>
      <c r="AC527" s="252">
        <v>0</v>
      </c>
      <c r="AD527" s="252">
        <v>0</v>
      </c>
      <c r="AE527" s="252" t="s">
        <v>720</v>
      </c>
      <c r="AF527" s="252" t="s">
        <v>721</v>
      </c>
      <c r="AG527" s="252">
        <f t="shared" si="41"/>
        <v>0</v>
      </c>
      <c r="AH527" s="252">
        <f t="shared" si="42"/>
        <v>0</v>
      </c>
      <c r="AI527" s="252">
        <f t="shared" si="43"/>
        <v>0</v>
      </c>
      <c r="AJ527" s="252">
        <f t="shared" si="44"/>
        <v>0</v>
      </c>
    </row>
    <row r="528" spans="1:36" x14ac:dyDescent="0.2">
      <c r="A528" s="253" t="str">
        <f t="shared" si="40"/>
        <v>2SNCPPZK99S60</v>
      </c>
      <c r="B528" s="252" t="s">
        <v>19</v>
      </c>
      <c r="C528" s="252" t="s">
        <v>20</v>
      </c>
      <c r="D528" s="252" t="s">
        <v>2558</v>
      </c>
      <c r="E528" s="252" t="s">
        <v>2522</v>
      </c>
      <c r="F528" s="252" t="s">
        <v>2575</v>
      </c>
      <c r="G528" s="252">
        <v>60</v>
      </c>
      <c r="H528" s="252" t="s">
        <v>928</v>
      </c>
      <c r="I528" s="252" t="s">
        <v>2477</v>
      </c>
      <c r="J528" s="252" t="s">
        <v>928</v>
      </c>
      <c r="K528" s="252" t="s">
        <v>3236</v>
      </c>
      <c r="L528" s="252">
        <v>322.64</v>
      </c>
      <c r="M528" s="252">
        <v>0</v>
      </c>
      <c r="N528" s="252">
        <v>0</v>
      </c>
      <c r="O528" s="252">
        <v>0</v>
      </c>
      <c r="P528" s="252">
        <v>0</v>
      </c>
      <c r="Q528" s="252">
        <v>0</v>
      </c>
      <c r="R528" s="252">
        <v>0</v>
      </c>
      <c r="S528" s="252">
        <v>0</v>
      </c>
      <c r="T528" s="252">
        <v>0</v>
      </c>
      <c r="U528" s="252">
        <v>0</v>
      </c>
      <c r="V528" s="252">
        <v>0</v>
      </c>
      <c r="W528" s="252">
        <v>0</v>
      </c>
      <c r="X528" s="252">
        <v>0</v>
      </c>
      <c r="Y528" s="252">
        <v>261.18</v>
      </c>
      <c r="Z528" s="252">
        <v>0</v>
      </c>
      <c r="AA528" s="252">
        <v>0</v>
      </c>
      <c r="AB528" s="252">
        <v>61.46</v>
      </c>
      <c r="AC528" s="252">
        <v>0</v>
      </c>
      <c r="AD528" s="252">
        <v>0</v>
      </c>
      <c r="AE528" s="252" t="s">
        <v>720</v>
      </c>
      <c r="AF528" s="252" t="s">
        <v>721</v>
      </c>
      <c r="AG528" s="252">
        <f t="shared" si="41"/>
        <v>0</v>
      </c>
      <c r="AH528" s="252">
        <f t="shared" si="42"/>
        <v>0</v>
      </c>
      <c r="AI528" s="252">
        <f t="shared" si="43"/>
        <v>0</v>
      </c>
      <c r="AJ528" s="252">
        <f t="shared" si="44"/>
        <v>0</v>
      </c>
    </row>
    <row r="529" spans="1:36" x14ac:dyDescent="0.2">
      <c r="A529" s="253" t="str">
        <f t="shared" si="40"/>
        <v>SNCPPZK99S60</v>
      </c>
      <c r="B529" s="252" t="s">
        <v>19</v>
      </c>
      <c r="C529" s="252" t="s">
        <v>20</v>
      </c>
      <c r="D529" s="252" t="s">
        <v>2558</v>
      </c>
      <c r="E529" s="252" t="s">
        <v>2522</v>
      </c>
      <c r="F529" s="252" t="s">
        <v>2575</v>
      </c>
      <c r="G529" s="252">
        <v>60</v>
      </c>
      <c r="H529" s="252" t="s">
        <v>928</v>
      </c>
      <c r="I529" s="252" t="s">
        <v>928</v>
      </c>
      <c r="J529" s="252" t="s">
        <v>928</v>
      </c>
      <c r="K529" s="252" t="s">
        <v>3236</v>
      </c>
      <c r="L529" s="252">
        <v>322.64</v>
      </c>
      <c r="M529" s="252">
        <v>0</v>
      </c>
      <c r="N529" s="252">
        <v>0</v>
      </c>
      <c r="O529" s="252">
        <v>0</v>
      </c>
      <c r="P529" s="252">
        <v>0</v>
      </c>
      <c r="Q529" s="252">
        <v>0</v>
      </c>
      <c r="R529" s="252">
        <v>0</v>
      </c>
      <c r="S529" s="252">
        <v>0</v>
      </c>
      <c r="T529" s="252">
        <v>0</v>
      </c>
      <c r="U529" s="252">
        <v>0</v>
      </c>
      <c r="V529" s="252">
        <v>0</v>
      </c>
      <c r="W529" s="252">
        <v>0</v>
      </c>
      <c r="X529" s="252">
        <v>0</v>
      </c>
      <c r="Y529" s="252">
        <v>261.18</v>
      </c>
      <c r="Z529" s="252">
        <v>0</v>
      </c>
      <c r="AA529" s="252">
        <v>0</v>
      </c>
      <c r="AB529" s="252">
        <v>61.46</v>
      </c>
      <c r="AC529" s="252">
        <v>0</v>
      </c>
      <c r="AD529" s="252">
        <v>0</v>
      </c>
      <c r="AE529" s="252" t="s">
        <v>720</v>
      </c>
      <c r="AF529" s="252" t="s">
        <v>721</v>
      </c>
      <c r="AG529" s="252">
        <f t="shared" si="41"/>
        <v>0</v>
      </c>
      <c r="AH529" s="252">
        <f t="shared" si="42"/>
        <v>0</v>
      </c>
      <c r="AI529" s="252">
        <f t="shared" si="43"/>
        <v>0</v>
      </c>
      <c r="AJ529" s="252">
        <f t="shared" si="44"/>
        <v>0</v>
      </c>
    </row>
    <row r="530" spans="1:36" x14ac:dyDescent="0.2">
      <c r="A530" s="253" t="str">
        <f t="shared" si="40"/>
        <v>2SNCPPZK99S70</v>
      </c>
      <c r="B530" s="252" t="s">
        <v>19</v>
      </c>
      <c r="C530" s="252" t="s">
        <v>20</v>
      </c>
      <c r="D530" s="252" t="s">
        <v>2558</v>
      </c>
      <c r="E530" s="252" t="s">
        <v>2522</v>
      </c>
      <c r="F530" s="252" t="s">
        <v>2575</v>
      </c>
      <c r="G530" s="252">
        <v>70</v>
      </c>
      <c r="H530" s="252" t="s">
        <v>928</v>
      </c>
      <c r="I530" s="252" t="s">
        <v>2477</v>
      </c>
      <c r="J530" s="252" t="s">
        <v>928</v>
      </c>
      <c r="K530" s="252" t="s">
        <v>3236</v>
      </c>
      <c r="L530" s="252">
        <v>331.86</v>
      </c>
      <c r="M530" s="252">
        <v>0</v>
      </c>
      <c r="N530" s="252">
        <v>0</v>
      </c>
      <c r="O530" s="252">
        <v>0</v>
      </c>
      <c r="P530" s="252">
        <v>0</v>
      </c>
      <c r="Q530" s="252">
        <v>0</v>
      </c>
      <c r="R530" s="252">
        <v>0</v>
      </c>
      <c r="S530" s="252">
        <v>0</v>
      </c>
      <c r="T530" s="252">
        <v>0</v>
      </c>
      <c r="U530" s="252">
        <v>0</v>
      </c>
      <c r="V530" s="252">
        <v>0</v>
      </c>
      <c r="W530" s="252">
        <v>0</v>
      </c>
      <c r="X530" s="252">
        <v>0</v>
      </c>
      <c r="Y530" s="252">
        <v>265.56</v>
      </c>
      <c r="Z530" s="252">
        <v>0</v>
      </c>
      <c r="AA530" s="252">
        <v>0</v>
      </c>
      <c r="AB530" s="252">
        <v>66.3</v>
      </c>
      <c r="AC530" s="252">
        <v>0</v>
      </c>
      <c r="AD530" s="252">
        <v>0</v>
      </c>
      <c r="AE530" s="252" t="s">
        <v>720</v>
      </c>
      <c r="AF530" s="252" t="s">
        <v>721</v>
      </c>
      <c r="AG530" s="252">
        <f t="shared" si="41"/>
        <v>0</v>
      </c>
      <c r="AH530" s="252">
        <f t="shared" si="42"/>
        <v>0</v>
      </c>
      <c r="AI530" s="252">
        <f t="shared" si="43"/>
        <v>0</v>
      </c>
      <c r="AJ530" s="252">
        <f t="shared" si="44"/>
        <v>0</v>
      </c>
    </row>
    <row r="531" spans="1:36" x14ac:dyDescent="0.2">
      <c r="A531" s="253" t="str">
        <f t="shared" si="40"/>
        <v>SNCPPZK99S70</v>
      </c>
      <c r="B531" s="252" t="s">
        <v>19</v>
      </c>
      <c r="C531" s="252" t="s">
        <v>20</v>
      </c>
      <c r="D531" s="252" t="s">
        <v>2558</v>
      </c>
      <c r="E531" s="252" t="s">
        <v>2522</v>
      </c>
      <c r="F531" s="252" t="s">
        <v>2575</v>
      </c>
      <c r="G531" s="252">
        <v>70</v>
      </c>
      <c r="H531" s="252" t="s">
        <v>928</v>
      </c>
      <c r="I531" s="252" t="s">
        <v>928</v>
      </c>
      <c r="J531" s="252" t="s">
        <v>928</v>
      </c>
      <c r="K531" s="252" t="s">
        <v>3236</v>
      </c>
      <c r="L531" s="252">
        <v>331.86</v>
      </c>
      <c r="M531" s="252">
        <v>0</v>
      </c>
      <c r="N531" s="252">
        <v>0</v>
      </c>
      <c r="O531" s="252">
        <v>0</v>
      </c>
      <c r="P531" s="252">
        <v>0</v>
      </c>
      <c r="Q531" s="252">
        <v>0</v>
      </c>
      <c r="R531" s="252">
        <v>0</v>
      </c>
      <c r="S531" s="252">
        <v>0</v>
      </c>
      <c r="T531" s="252">
        <v>0</v>
      </c>
      <c r="U531" s="252">
        <v>0</v>
      </c>
      <c r="V531" s="252">
        <v>0</v>
      </c>
      <c r="W531" s="252">
        <v>0</v>
      </c>
      <c r="X531" s="252">
        <v>0</v>
      </c>
      <c r="Y531" s="252">
        <v>265.56</v>
      </c>
      <c r="Z531" s="252">
        <v>0</v>
      </c>
      <c r="AA531" s="252">
        <v>0</v>
      </c>
      <c r="AB531" s="252">
        <v>66.3</v>
      </c>
      <c r="AC531" s="252">
        <v>0</v>
      </c>
      <c r="AD531" s="252">
        <v>0</v>
      </c>
      <c r="AE531" s="252" t="s">
        <v>20</v>
      </c>
      <c r="AF531" s="252" t="s">
        <v>718</v>
      </c>
      <c r="AG531" s="252">
        <f t="shared" si="41"/>
        <v>0</v>
      </c>
      <c r="AH531" s="252">
        <f t="shared" si="42"/>
        <v>0</v>
      </c>
      <c r="AI531" s="252">
        <f t="shared" si="43"/>
        <v>0</v>
      </c>
      <c r="AJ531" s="252">
        <f t="shared" si="44"/>
        <v>0</v>
      </c>
    </row>
    <row r="532" spans="1:36" x14ac:dyDescent="0.2">
      <c r="A532" s="253" t="str">
        <f t="shared" si="40"/>
        <v>2SNCPPZK99S80</v>
      </c>
      <c r="B532" s="252" t="s">
        <v>19</v>
      </c>
      <c r="C532" s="252" t="s">
        <v>20</v>
      </c>
      <c r="D532" s="252" t="s">
        <v>2558</v>
      </c>
      <c r="E532" s="252" t="s">
        <v>2522</v>
      </c>
      <c r="F532" s="252" t="s">
        <v>2575</v>
      </c>
      <c r="G532" s="252">
        <v>80</v>
      </c>
      <c r="H532" s="252" t="s">
        <v>928</v>
      </c>
      <c r="I532" s="252" t="s">
        <v>2477</v>
      </c>
      <c r="J532" s="252" t="s">
        <v>928</v>
      </c>
      <c r="K532" s="252" t="s">
        <v>3236</v>
      </c>
      <c r="L532" s="252">
        <v>328.19</v>
      </c>
      <c r="M532" s="252">
        <v>0</v>
      </c>
      <c r="N532" s="252">
        <v>0</v>
      </c>
      <c r="O532" s="252">
        <v>0</v>
      </c>
      <c r="P532" s="252">
        <v>0</v>
      </c>
      <c r="Q532" s="252">
        <v>0</v>
      </c>
      <c r="R532" s="252">
        <v>0</v>
      </c>
      <c r="S532" s="252">
        <v>0</v>
      </c>
      <c r="T532" s="252">
        <v>0</v>
      </c>
      <c r="U532" s="252">
        <v>0</v>
      </c>
      <c r="V532" s="252">
        <v>0</v>
      </c>
      <c r="W532" s="252">
        <v>0</v>
      </c>
      <c r="X532" s="252">
        <v>0</v>
      </c>
      <c r="Y532" s="252">
        <v>265.16000000000003</v>
      </c>
      <c r="Z532" s="252">
        <v>0</v>
      </c>
      <c r="AA532" s="252">
        <v>0</v>
      </c>
      <c r="AB532" s="252">
        <v>63.03</v>
      </c>
      <c r="AC532" s="252">
        <v>0</v>
      </c>
      <c r="AD532" s="252">
        <v>0</v>
      </c>
      <c r="AE532" s="252" t="s">
        <v>20</v>
      </c>
      <c r="AF532" s="252" t="s">
        <v>718</v>
      </c>
      <c r="AG532" s="252">
        <f t="shared" si="41"/>
        <v>0</v>
      </c>
      <c r="AH532" s="252">
        <f t="shared" si="42"/>
        <v>0</v>
      </c>
      <c r="AI532" s="252">
        <f t="shared" si="43"/>
        <v>0</v>
      </c>
      <c r="AJ532" s="252">
        <f t="shared" si="44"/>
        <v>0</v>
      </c>
    </row>
    <row r="533" spans="1:36" x14ac:dyDescent="0.2">
      <c r="A533" s="253" t="str">
        <f t="shared" si="40"/>
        <v>SNCPPZK99S80</v>
      </c>
      <c r="B533" s="252" t="s">
        <v>19</v>
      </c>
      <c r="C533" s="252" t="s">
        <v>20</v>
      </c>
      <c r="D533" s="252" t="s">
        <v>2558</v>
      </c>
      <c r="E533" s="252" t="s">
        <v>2522</v>
      </c>
      <c r="F533" s="252" t="s">
        <v>2575</v>
      </c>
      <c r="G533" s="252">
        <v>80</v>
      </c>
      <c r="H533" s="252" t="s">
        <v>928</v>
      </c>
      <c r="I533" s="252" t="s">
        <v>928</v>
      </c>
      <c r="J533" s="252" t="s">
        <v>928</v>
      </c>
      <c r="K533" s="252" t="s">
        <v>3236</v>
      </c>
      <c r="L533" s="252">
        <v>328.19</v>
      </c>
      <c r="M533" s="252">
        <v>0</v>
      </c>
      <c r="N533" s="252">
        <v>0</v>
      </c>
      <c r="O533" s="252">
        <v>0</v>
      </c>
      <c r="P533" s="252">
        <v>0</v>
      </c>
      <c r="Q533" s="252">
        <v>0</v>
      </c>
      <c r="R533" s="252">
        <v>0</v>
      </c>
      <c r="S533" s="252">
        <v>0</v>
      </c>
      <c r="T533" s="252">
        <v>0</v>
      </c>
      <c r="U533" s="252">
        <v>0</v>
      </c>
      <c r="V533" s="252">
        <v>0</v>
      </c>
      <c r="W533" s="252">
        <v>0</v>
      </c>
      <c r="X533" s="252">
        <v>0</v>
      </c>
      <c r="Y533" s="252">
        <v>265.16000000000003</v>
      </c>
      <c r="Z533" s="252">
        <v>0</v>
      </c>
      <c r="AA533" s="252">
        <v>0</v>
      </c>
      <c r="AB533" s="252">
        <v>63.03</v>
      </c>
      <c r="AC533" s="252">
        <v>0</v>
      </c>
      <c r="AD533" s="252">
        <v>0</v>
      </c>
      <c r="AE533" s="252" t="s">
        <v>20</v>
      </c>
      <c r="AF533" s="252" t="s">
        <v>718</v>
      </c>
      <c r="AG533" s="252">
        <f t="shared" si="41"/>
        <v>0</v>
      </c>
      <c r="AH533" s="252">
        <f t="shared" si="42"/>
        <v>0</v>
      </c>
      <c r="AI533" s="252">
        <f t="shared" si="43"/>
        <v>0</v>
      </c>
      <c r="AJ533" s="252">
        <f t="shared" si="44"/>
        <v>0</v>
      </c>
    </row>
    <row r="534" spans="1:36" x14ac:dyDescent="0.2">
      <c r="A534" s="253" t="str">
        <f t="shared" si="40"/>
        <v>2SNCPPZK99S100</v>
      </c>
      <c r="B534" s="252" t="s">
        <v>19</v>
      </c>
      <c r="C534" s="252" t="s">
        <v>20</v>
      </c>
      <c r="D534" s="252" t="s">
        <v>2558</v>
      </c>
      <c r="E534" s="252" t="s">
        <v>2522</v>
      </c>
      <c r="F534" s="252" t="s">
        <v>2575</v>
      </c>
      <c r="G534" s="252">
        <v>100</v>
      </c>
      <c r="H534" s="252" t="s">
        <v>928</v>
      </c>
      <c r="I534" s="252" t="s">
        <v>2477</v>
      </c>
      <c r="J534" s="252" t="s">
        <v>928</v>
      </c>
      <c r="K534" s="252" t="s">
        <v>3236</v>
      </c>
      <c r="L534" s="252">
        <v>391.14</v>
      </c>
      <c r="M534" s="252">
        <v>0</v>
      </c>
      <c r="N534" s="252">
        <v>0</v>
      </c>
      <c r="O534" s="252">
        <v>0</v>
      </c>
      <c r="P534" s="252">
        <v>0</v>
      </c>
      <c r="Q534" s="252">
        <v>0</v>
      </c>
      <c r="R534" s="252">
        <v>0</v>
      </c>
      <c r="S534" s="252">
        <v>0</v>
      </c>
      <c r="T534" s="252">
        <v>0</v>
      </c>
      <c r="U534" s="252">
        <v>0</v>
      </c>
      <c r="V534" s="252">
        <v>0</v>
      </c>
      <c r="W534" s="252">
        <v>0</v>
      </c>
      <c r="X534" s="252">
        <v>0</v>
      </c>
      <c r="Y534" s="252">
        <v>309.29000000000002</v>
      </c>
      <c r="Z534" s="252">
        <v>0</v>
      </c>
      <c r="AA534" s="252">
        <v>0</v>
      </c>
      <c r="AB534" s="252">
        <v>81.849999999999994</v>
      </c>
      <c r="AC534" s="252">
        <v>0</v>
      </c>
      <c r="AD534" s="252">
        <v>0</v>
      </c>
      <c r="AE534" s="252" t="s">
        <v>20</v>
      </c>
      <c r="AF534" s="252" t="s">
        <v>718</v>
      </c>
      <c r="AG534" s="252">
        <f t="shared" si="41"/>
        <v>0</v>
      </c>
      <c r="AH534" s="252">
        <f t="shared" si="42"/>
        <v>0</v>
      </c>
      <c r="AI534" s="252">
        <f t="shared" si="43"/>
        <v>0</v>
      </c>
      <c r="AJ534" s="252">
        <f t="shared" si="44"/>
        <v>0</v>
      </c>
    </row>
    <row r="535" spans="1:36" x14ac:dyDescent="0.2">
      <c r="A535" s="253" t="str">
        <f t="shared" si="40"/>
        <v>SNCPPZK99S100</v>
      </c>
      <c r="B535" s="252" t="s">
        <v>19</v>
      </c>
      <c r="C535" s="252" t="s">
        <v>20</v>
      </c>
      <c r="D535" s="252" t="s">
        <v>2558</v>
      </c>
      <c r="E535" s="252" t="s">
        <v>2522</v>
      </c>
      <c r="F535" s="252" t="s">
        <v>2575</v>
      </c>
      <c r="G535" s="252">
        <v>100</v>
      </c>
      <c r="H535" s="252" t="s">
        <v>928</v>
      </c>
      <c r="I535" s="252" t="s">
        <v>928</v>
      </c>
      <c r="J535" s="252" t="s">
        <v>928</v>
      </c>
      <c r="K535" s="252" t="s">
        <v>3236</v>
      </c>
      <c r="L535" s="252">
        <v>391.14</v>
      </c>
      <c r="M535" s="252">
        <v>0</v>
      </c>
      <c r="N535" s="252">
        <v>0</v>
      </c>
      <c r="O535" s="252">
        <v>0</v>
      </c>
      <c r="P535" s="252">
        <v>0</v>
      </c>
      <c r="Q535" s="252">
        <v>0</v>
      </c>
      <c r="R535" s="252">
        <v>0</v>
      </c>
      <c r="S535" s="252">
        <v>0</v>
      </c>
      <c r="T535" s="252">
        <v>0</v>
      </c>
      <c r="U535" s="252">
        <v>0</v>
      </c>
      <c r="V535" s="252">
        <v>0</v>
      </c>
      <c r="W535" s="252">
        <v>0</v>
      </c>
      <c r="X535" s="252">
        <v>0</v>
      </c>
      <c r="Y535" s="252">
        <v>309.29000000000002</v>
      </c>
      <c r="Z535" s="252">
        <v>0</v>
      </c>
      <c r="AA535" s="252">
        <v>0</v>
      </c>
      <c r="AB535" s="252">
        <v>81.849999999999994</v>
      </c>
      <c r="AC535" s="252">
        <v>0</v>
      </c>
      <c r="AD535" s="252">
        <v>0</v>
      </c>
      <c r="AE535" s="252" t="s">
        <v>720</v>
      </c>
      <c r="AF535" s="252" t="s">
        <v>721</v>
      </c>
      <c r="AG535" s="252">
        <f t="shared" si="41"/>
        <v>0</v>
      </c>
      <c r="AH535" s="252">
        <f t="shared" si="42"/>
        <v>0</v>
      </c>
      <c r="AI535" s="252">
        <f t="shared" si="43"/>
        <v>0</v>
      </c>
      <c r="AJ535" s="252">
        <f t="shared" si="44"/>
        <v>0</v>
      </c>
    </row>
    <row r="536" spans="1:36" x14ac:dyDescent="0.2">
      <c r="A536" s="253" t="str">
        <f t="shared" si="40"/>
        <v>2SNF-FILME12</v>
      </c>
      <c r="B536" s="252" t="s">
        <v>19</v>
      </c>
      <c r="C536" s="252" t="s">
        <v>20</v>
      </c>
      <c r="D536" s="252" t="s">
        <v>2576</v>
      </c>
      <c r="E536" s="252" t="s">
        <v>2577</v>
      </c>
      <c r="F536" s="252" t="s">
        <v>2578</v>
      </c>
      <c r="G536" s="252">
        <v>12</v>
      </c>
      <c r="H536" s="252" t="s">
        <v>928</v>
      </c>
      <c r="I536" s="252" t="s">
        <v>2477</v>
      </c>
      <c r="J536" s="252" t="s">
        <v>928</v>
      </c>
      <c r="K536" s="252" t="s">
        <v>3236</v>
      </c>
      <c r="L536" s="252">
        <v>6613.99</v>
      </c>
      <c r="M536" s="252">
        <v>0</v>
      </c>
      <c r="N536" s="252">
        <v>0</v>
      </c>
      <c r="O536" s="252">
        <v>0</v>
      </c>
      <c r="P536" s="252">
        <v>0</v>
      </c>
      <c r="Q536" s="252">
        <v>0</v>
      </c>
      <c r="R536" s="252">
        <v>0</v>
      </c>
      <c r="S536" s="252">
        <v>0</v>
      </c>
      <c r="T536" s="252">
        <v>0</v>
      </c>
      <c r="U536" s="252">
        <v>0</v>
      </c>
      <c r="V536" s="252">
        <v>0</v>
      </c>
      <c r="W536" s="252">
        <v>0</v>
      </c>
      <c r="X536" s="252">
        <v>0</v>
      </c>
      <c r="Y536" s="252">
        <v>5570.16</v>
      </c>
      <c r="Z536" s="252">
        <v>0</v>
      </c>
      <c r="AA536" s="252">
        <v>0</v>
      </c>
      <c r="AB536" s="252">
        <v>1043.83</v>
      </c>
      <c r="AC536" s="252">
        <v>0</v>
      </c>
      <c r="AD536" s="252">
        <v>0</v>
      </c>
      <c r="AE536" s="252" t="s">
        <v>720</v>
      </c>
      <c r="AF536" s="252" t="s">
        <v>721</v>
      </c>
      <c r="AG536" s="252">
        <f t="shared" si="41"/>
        <v>0</v>
      </c>
      <c r="AH536" s="252">
        <f t="shared" si="42"/>
        <v>0</v>
      </c>
      <c r="AI536" s="252">
        <f t="shared" si="43"/>
        <v>0</v>
      </c>
      <c r="AJ536" s="252">
        <f t="shared" si="44"/>
        <v>0</v>
      </c>
    </row>
    <row r="537" spans="1:36" x14ac:dyDescent="0.2">
      <c r="A537" s="253" t="str">
        <f t="shared" si="40"/>
        <v>SNF-FILME12</v>
      </c>
      <c r="B537" s="252" t="s">
        <v>19</v>
      </c>
      <c r="C537" s="252" t="s">
        <v>20</v>
      </c>
      <c r="D537" s="252" t="s">
        <v>2576</v>
      </c>
      <c r="E537" s="252" t="s">
        <v>2577</v>
      </c>
      <c r="F537" s="252" t="s">
        <v>2578</v>
      </c>
      <c r="G537" s="252">
        <v>12</v>
      </c>
      <c r="H537" s="252" t="s">
        <v>928</v>
      </c>
      <c r="I537" s="252" t="s">
        <v>928</v>
      </c>
      <c r="J537" s="252" t="s">
        <v>928</v>
      </c>
      <c r="K537" s="252" t="s">
        <v>3236</v>
      </c>
      <c r="L537" s="252">
        <v>6613.99</v>
      </c>
      <c r="M537" s="252">
        <v>0</v>
      </c>
      <c r="N537" s="252">
        <v>0</v>
      </c>
      <c r="O537" s="252">
        <v>0</v>
      </c>
      <c r="P537" s="252">
        <v>0</v>
      </c>
      <c r="Q537" s="252">
        <v>0</v>
      </c>
      <c r="R537" s="252">
        <v>0</v>
      </c>
      <c r="S537" s="252">
        <v>0</v>
      </c>
      <c r="T537" s="252">
        <v>0</v>
      </c>
      <c r="U537" s="252">
        <v>0</v>
      </c>
      <c r="V537" s="252">
        <v>0</v>
      </c>
      <c r="W537" s="252">
        <v>0</v>
      </c>
      <c r="X537" s="252">
        <v>0</v>
      </c>
      <c r="Y537" s="252">
        <v>5570.16</v>
      </c>
      <c r="Z537" s="252">
        <v>0</v>
      </c>
      <c r="AA537" s="252">
        <v>0</v>
      </c>
      <c r="AB537" s="252">
        <v>1043.83</v>
      </c>
      <c r="AC537" s="252">
        <v>0</v>
      </c>
      <c r="AD537" s="252">
        <v>0</v>
      </c>
      <c r="AE537" s="252" t="s">
        <v>720</v>
      </c>
      <c r="AF537" s="252" t="s">
        <v>721</v>
      </c>
      <c r="AG537" s="252">
        <f t="shared" si="41"/>
        <v>0</v>
      </c>
      <c r="AH537" s="252">
        <f t="shared" si="42"/>
        <v>0</v>
      </c>
      <c r="AI537" s="252">
        <f t="shared" si="43"/>
        <v>0</v>
      </c>
      <c r="AJ537" s="252">
        <f t="shared" si="44"/>
        <v>0</v>
      </c>
    </row>
    <row r="538" spans="1:36" x14ac:dyDescent="0.2">
      <c r="A538" s="253" t="str">
        <f t="shared" si="40"/>
        <v>2SNF-FILME25</v>
      </c>
      <c r="B538" s="252" t="s">
        <v>19</v>
      </c>
      <c r="C538" s="252" t="s">
        <v>20</v>
      </c>
      <c r="D538" s="252" t="s">
        <v>2576</v>
      </c>
      <c r="E538" s="252" t="s">
        <v>2577</v>
      </c>
      <c r="F538" s="252" t="s">
        <v>2578</v>
      </c>
      <c r="G538" s="252">
        <v>25</v>
      </c>
      <c r="H538" s="252" t="s">
        <v>928</v>
      </c>
      <c r="I538" s="252" t="s">
        <v>2477</v>
      </c>
      <c r="J538" s="252" t="s">
        <v>928</v>
      </c>
      <c r="K538" s="252" t="s">
        <v>3236</v>
      </c>
      <c r="L538" s="252">
        <v>4225.1000000000004</v>
      </c>
      <c r="M538" s="252">
        <v>0</v>
      </c>
      <c r="N538" s="252">
        <v>0</v>
      </c>
      <c r="O538" s="252">
        <v>0</v>
      </c>
      <c r="P538" s="252">
        <v>0</v>
      </c>
      <c r="Q538" s="252">
        <v>0</v>
      </c>
      <c r="R538" s="252">
        <v>0</v>
      </c>
      <c r="S538" s="252">
        <v>0</v>
      </c>
      <c r="T538" s="252">
        <v>0</v>
      </c>
      <c r="U538" s="252">
        <v>0</v>
      </c>
      <c r="V538" s="252">
        <v>0</v>
      </c>
      <c r="W538" s="252">
        <v>0</v>
      </c>
      <c r="X538" s="252">
        <v>0</v>
      </c>
      <c r="Y538" s="252">
        <v>3539.45</v>
      </c>
      <c r="Z538" s="252">
        <v>0</v>
      </c>
      <c r="AA538" s="252">
        <v>0</v>
      </c>
      <c r="AB538" s="252">
        <v>685.66</v>
      </c>
      <c r="AC538" s="252">
        <v>0</v>
      </c>
      <c r="AD538" s="252">
        <v>0</v>
      </c>
      <c r="AE538" s="252" t="s">
        <v>720</v>
      </c>
      <c r="AF538" s="252" t="s">
        <v>721</v>
      </c>
      <c r="AG538" s="252">
        <f t="shared" si="41"/>
        <v>0</v>
      </c>
      <c r="AH538" s="252">
        <f t="shared" si="42"/>
        <v>0</v>
      </c>
      <c r="AI538" s="252">
        <f t="shared" si="43"/>
        <v>0</v>
      </c>
      <c r="AJ538" s="252">
        <f t="shared" si="44"/>
        <v>0</v>
      </c>
    </row>
    <row r="539" spans="1:36" x14ac:dyDescent="0.2">
      <c r="A539" s="253" t="str">
        <f t="shared" si="40"/>
        <v>SNF-FILME25</v>
      </c>
      <c r="B539" s="252" t="s">
        <v>19</v>
      </c>
      <c r="C539" s="252" t="s">
        <v>20</v>
      </c>
      <c r="D539" s="252" t="s">
        <v>2576</v>
      </c>
      <c r="E539" s="252" t="s">
        <v>2577</v>
      </c>
      <c r="F539" s="252" t="s">
        <v>2578</v>
      </c>
      <c r="G539" s="252">
        <v>25</v>
      </c>
      <c r="H539" s="252" t="s">
        <v>928</v>
      </c>
      <c r="I539" s="252" t="s">
        <v>928</v>
      </c>
      <c r="J539" s="252" t="s">
        <v>928</v>
      </c>
      <c r="K539" s="252" t="s">
        <v>3236</v>
      </c>
      <c r="L539" s="252">
        <v>4225.1000000000004</v>
      </c>
      <c r="M539" s="252">
        <v>0</v>
      </c>
      <c r="N539" s="252">
        <v>0</v>
      </c>
      <c r="O539" s="252">
        <v>0</v>
      </c>
      <c r="P539" s="252">
        <v>0</v>
      </c>
      <c r="Q539" s="252">
        <v>0</v>
      </c>
      <c r="R539" s="252">
        <v>0</v>
      </c>
      <c r="S539" s="252">
        <v>0</v>
      </c>
      <c r="T539" s="252">
        <v>0</v>
      </c>
      <c r="U539" s="252">
        <v>0</v>
      </c>
      <c r="V539" s="252">
        <v>0</v>
      </c>
      <c r="W539" s="252">
        <v>0</v>
      </c>
      <c r="X539" s="252">
        <v>0</v>
      </c>
      <c r="Y539" s="252">
        <v>3539.45</v>
      </c>
      <c r="Z539" s="252">
        <v>0</v>
      </c>
      <c r="AA539" s="252">
        <v>0</v>
      </c>
      <c r="AB539" s="252">
        <v>685.66</v>
      </c>
      <c r="AC539" s="252">
        <v>0</v>
      </c>
      <c r="AD539" s="252">
        <v>0</v>
      </c>
      <c r="AE539" s="252" t="s">
        <v>720</v>
      </c>
      <c r="AF539" s="252" t="s">
        <v>721</v>
      </c>
      <c r="AG539" s="252">
        <f t="shared" si="41"/>
        <v>0</v>
      </c>
      <c r="AH539" s="252">
        <f t="shared" si="42"/>
        <v>0</v>
      </c>
      <c r="AI539" s="252">
        <f t="shared" si="43"/>
        <v>0</v>
      </c>
      <c r="AJ539" s="252">
        <f t="shared" si="44"/>
        <v>0</v>
      </c>
    </row>
    <row r="540" spans="1:36" x14ac:dyDescent="0.2">
      <c r="A540" s="253" t="str">
        <f t="shared" si="40"/>
        <v>2SNF-FILME50</v>
      </c>
      <c r="B540" s="252" t="s">
        <v>19</v>
      </c>
      <c r="C540" s="252" t="s">
        <v>20</v>
      </c>
      <c r="D540" s="252" t="s">
        <v>2576</v>
      </c>
      <c r="E540" s="252" t="s">
        <v>2577</v>
      </c>
      <c r="F540" s="252" t="s">
        <v>2578</v>
      </c>
      <c r="G540" s="252">
        <v>50</v>
      </c>
      <c r="H540" s="252" t="s">
        <v>928</v>
      </c>
      <c r="I540" s="252" t="s">
        <v>2477</v>
      </c>
      <c r="J540" s="252" t="s">
        <v>928</v>
      </c>
      <c r="K540" s="252" t="s">
        <v>3236</v>
      </c>
      <c r="L540" s="252">
        <v>4597</v>
      </c>
      <c r="M540" s="252">
        <v>0</v>
      </c>
      <c r="N540" s="252">
        <v>0</v>
      </c>
      <c r="O540" s="252">
        <v>0</v>
      </c>
      <c r="P540" s="252">
        <v>0</v>
      </c>
      <c r="Q540" s="252">
        <v>0</v>
      </c>
      <c r="R540" s="252">
        <v>0</v>
      </c>
      <c r="S540" s="252">
        <v>0</v>
      </c>
      <c r="T540" s="252">
        <v>0</v>
      </c>
      <c r="U540" s="252">
        <v>0</v>
      </c>
      <c r="V540" s="252">
        <v>0</v>
      </c>
      <c r="W540" s="252">
        <v>0</v>
      </c>
      <c r="X540" s="252">
        <v>0</v>
      </c>
      <c r="Y540" s="252">
        <v>3956.67</v>
      </c>
      <c r="Z540" s="252">
        <v>0</v>
      </c>
      <c r="AA540" s="252">
        <v>0</v>
      </c>
      <c r="AB540" s="252">
        <v>640.33000000000004</v>
      </c>
      <c r="AC540" s="252">
        <v>0</v>
      </c>
      <c r="AD540" s="252">
        <v>0</v>
      </c>
      <c r="AE540" s="252" t="s">
        <v>720</v>
      </c>
      <c r="AF540" s="252" t="s">
        <v>721</v>
      </c>
      <c r="AG540" s="252">
        <f t="shared" si="41"/>
        <v>0</v>
      </c>
      <c r="AH540" s="252">
        <f t="shared" si="42"/>
        <v>0</v>
      </c>
      <c r="AI540" s="252">
        <f t="shared" si="43"/>
        <v>0</v>
      </c>
      <c r="AJ540" s="252">
        <f t="shared" si="44"/>
        <v>0</v>
      </c>
    </row>
    <row r="541" spans="1:36" x14ac:dyDescent="0.2">
      <c r="A541" s="253" t="str">
        <f t="shared" si="40"/>
        <v>SNF-FILME50</v>
      </c>
      <c r="B541" s="252" t="s">
        <v>19</v>
      </c>
      <c r="C541" s="252" t="s">
        <v>20</v>
      </c>
      <c r="D541" s="252" t="s">
        <v>2576</v>
      </c>
      <c r="E541" s="252" t="s">
        <v>2577</v>
      </c>
      <c r="F541" s="252" t="s">
        <v>2578</v>
      </c>
      <c r="G541" s="252">
        <v>50</v>
      </c>
      <c r="H541" s="252" t="s">
        <v>928</v>
      </c>
      <c r="I541" s="252" t="s">
        <v>928</v>
      </c>
      <c r="J541" s="252" t="s">
        <v>928</v>
      </c>
      <c r="K541" s="252" t="s">
        <v>3236</v>
      </c>
      <c r="L541" s="252">
        <v>4597</v>
      </c>
      <c r="M541" s="252">
        <v>0</v>
      </c>
      <c r="N541" s="252">
        <v>0</v>
      </c>
      <c r="O541" s="252">
        <v>0</v>
      </c>
      <c r="P541" s="252">
        <v>0</v>
      </c>
      <c r="Q541" s="252">
        <v>0</v>
      </c>
      <c r="R541" s="252">
        <v>0</v>
      </c>
      <c r="S541" s="252">
        <v>0</v>
      </c>
      <c r="T541" s="252">
        <v>0</v>
      </c>
      <c r="U541" s="252">
        <v>0</v>
      </c>
      <c r="V541" s="252">
        <v>0</v>
      </c>
      <c r="W541" s="252">
        <v>0</v>
      </c>
      <c r="X541" s="252">
        <v>0</v>
      </c>
      <c r="Y541" s="252">
        <v>3956.67</v>
      </c>
      <c r="Z541" s="252">
        <v>0</v>
      </c>
      <c r="AA541" s="252">
        <v>0</v>
      </c>
      <c r="AB541" s="252">
        <v>640.33000000000004</v>
      </c>
      <c r="AC541" s="252">
        <v>0</v>
      </c>
      <c r="AD541" s="252">
        <v>0</v>
      </c>
      <c r="AE541" s="252" t="s">
        <v>720</v>
      </c>
      <c r="AF541" s="252" t="s">
        <v>721</v>
      </c>
      <c r="AG541" s="252">
        <f t="shared" si="41"/>
        <v>0</v>
      </c>
      <c r="AH541" s="252">
        <f t="shared" si="42"/>
        <v>0</v>
      </c>
      <c r="AI541" s="252">
        <f t="shared" si="43"/>
        <v>0</v>
      </c>
      <c r="AJ541" s="252">
        <f t="shared" si="44"/>
        <v>0</v>
      </c>
    </row>
    <row r="542" spans="1:36" x14ac:dyDescent="0.2">
      <c r="A542" s="253" t="str">
        <f t="shared" si="40"/>
        <v>2SNF-FILME100</v>
      </c>
      <c r="B542" s="252" t="s">
        <v>19</v>
      </c>
      <c r="C542" s="252" t="s">
        <v>20</v>
      </c>
      <c r="D542" s="252" t="s">
        <v>2576</v>
      </c>
      <c r="E542" s="252" t="s">
        <v>2577</v>
      </c>
      <c r="F542" s="252" t="s">
        <v>2578</v>
      </c>
      <c r="G542" s="252">
        <v>100</v>
      </c>
      <c r="H542" s="252" t="s">
        <v>928</v>
      </c>
      <c r="I542" s="252" t="s">
        <v>2477</v>
      </c>
      <c r="J542" s="252" t="s">
        <v>928</v>
      </c>
      <c r="K542" s="252" t="s">
        <v>3236</v>
      </c>
      <c r="L542" s="252">
        <v>7051.76</v>
      </c>
      <c r="M542" s="252">
        <v>0</v>
      </c>
      <c r="N542" s="252">
        <v>0</v>
      </c>
      <c r="O542" s="252">
        <v>0</v>
      </c>
      <c r="P542" s="252">
        <v>0</v>
      </c>
      <c r="Q542" s="252">
        <v>0</v>
      </c>
      <c r="R542" s="252">
        <v>0</v>
      </c>
      <c r="S542" s="252">
        <v>0</v>
      </c>
      <c r="T542" s="252">
        <v>0</v>
      </c>
      <c r="U542" s="252">
        <v>0</v>
      </c>
      <c r="V542" s="252">
        <v>0</v>
      </c>
      <c r="W542" s="252">
        <v>0</v>
      </c>
      <c r="X542" s="252">
        <v>0</v>
      </c>
      <c r="Y542" s="252">
        <v>5639.45</v>
      </c>
      <c r="Z542" s="252">
        <v>0</v>
      </c>
      <c r="AA542" s="252">
        <v>0</v>
      </c>
      <c r="AB542" s="252">
        <v>1412.31</v>
      </c>
      <c r="AC542" s="252">
        <v>0</v>
      </c>
      <c r="AD542" s="252">
        <v>0</v>
      </c>
      <c r="AE542" s="252" t="s">
        <v>720</v>
      </c>
      <c r="AF542" s="252" t="s">
        <v>721</v>
      </c>
      <c r="AG542" s="252">
        <f t="shared" si="41"/>
        <v>0</v>
      </c>
      <c r="AH542" s="252">
        <f t="shared" si="42"/>
        <v>0</v>
      </c>
      <c r="AI542" s="252">
        <f t="shared" si="43"/>
        <v>0</v>
      </c>
      <c r="AJ542" s="252">
        <f t="shared" si="44"/>
        <v>0</v>
      </c>
    </row>
    <row r="543" spans="1:36" x14ac:dyDescent="0.2">
      <c r="A543" s="253" t="str">
        <f t="shared" si="40"/>
        <v>SNF-FILME100</v>
      </c>
      <c r="B543" s="252" t="s">
        <v>19</v>
      </c>
      <c r="C543" s="252" t="s">
        <v>20</v>
      </c>
      <c r="D543" s="252" t="s">
        <v>2576</v>
      </c>
      <c r="E543" s="252" t="s">
        <v>2577</v>
      </c>
      <c r="F543" s="252" t="s">
        <v>2578</v>
      </c>
      <c r="G543" s="252">
        <v>100</v>
      </c>
      <c r="H543" s="252" t="s">
        <v>928</v>
      </c>
      <c r="I543" s="252" t="s">
        <v>928</v>
      </c>
      <c r="J543" s="252" t="s">
        <v>928</v>
      </c>
      <c r="K543" s="252" t="s">
        <v>3236</v>
      </c>
      <c r="L543" s="252">
        <v>7051.76</v>
      </c>
      <c r="M543" s="252">
        <v>0</v>
      </c>
      <c r="N543" s="252">
        <v>0</v>
      </c>
      <c r="O543" s="252">
        <v>0</v>
      </c>
      <c r="P543" s="252">
        <v>0</v>
      </c>
      <c r="Q543" s="252">
        <v>0</v>
      </c>
      <c r="R543" s="252">
        <v>0</v>
      </c>
      <c r="S543" s="252">
        <v>0</v>
      </c>
      <c r="T543" s="252">
        <v>0</v>
      </c>
      <c r="U543" s="252">
        <v>0</v>
      </c>
      <c r="V543" s="252">
        <v>0</v>
      </c>
      <c r="W543" s="252">
        <v>0</v>
      </c>
      <c r="X543" s="252">
        <v>0</v>
      </c>
      <c r="Y543" s="252">
        <v>5639.45</v>
      </c>
      <c r="Z543" s="252">
        <v>0</v>
      </c>
      <c r="AA543" s="252">
        <v>0</v>
      </c>
      <c r="AB543" s="252">
        <v>1412.31</v>
      </c>
      <c r="AC543" s="252">
        <v>0</v>
      </c>
      <c r="AD543" s="252">
        <v>0</v>
      </c>
      <c r="AE543" s="252" t="s">
        <v>720</v>
      </c>
      <c r="AF543" s="252" t="s">
        <v>721</v>
      </c>
      <c r="AG543" s="252">
        <f t="shared" si="41"/>
        <v>0</v>
      </c>
      <c r="AH543" s="252">
        <f t="shared" si="42"/>
        <v>0</v>
      </c>
      <c r="AI543" s="252">
        <f t="shared" si="43"/>
        <v>0</v>
      </c>
      <c r="AJ543" s="252">
        <f t="shared" si="44"/>
        <v>0</v>
      </c>
    </row>
    <row r="544" spans="1:36" x14ac:dyDescent="0.2">
      <c r="A544" s="253" t="str">
        <f t="shared" si="40"/>
        <v>2SNF-FILMEAM25</v>
      </c>
      <c r="B544" s="252" t="s">
        <v>19</v>
      </c>
      <c r="C544" s="252" t="s">
        <v>20</v>
      </c>
      <c r="D544" s="252" t="s">
        <v>2576</v>
      </c>
      <c r="E544" s="252" t="s">
        <v>2577</v>
      </c>
      <c r="F544" s="252" t="s">
        <v>2579</v>
      </c>
      <c r="G544" s="252">
        <v>25</v>
      </c>
      <c r="H544" s="252" t="s">
        <v>928</v>
      </c>
      <c r="I544" s="252" t="s">
        <v>2477</v>
      </c>
      <c r="J544" s="252" t="s">
        <v>928</v>
      </c>
      <c r="K544" s="252" t="s">
        <v>3236</v>
      </c>
      <c r="L544" s="252">
        <v>6179.69</v>
      </c>
      <c r="M544" s="252">
        <v>0</v>
      </c>
      <c r="N544" s="252">
        <v>0</v>
      </c>
      <c r="O544" s="252">
        <v>0</v>
      </c>
      <c r="P544" s="252">
        <v>0</v>
      </c>
      <c r="Q544" s="252">
        <v>0</v>
      </c>
      <c r="R544" s="252">
        <v>0</v>
      </c>
      <c r="S544" s="252">
        <v>0</v>
      </c>
      <c r="T544" s="252">
        <v>0</v>
      </c>
      <c r="U544" s="252">
        <v>0</v>
      </c>
      <c r="V544" s="252">
        <v>0</v>
      </c>
      <c r="W544" s="252">
        <v>0</v>
      </c>
      <c r="X544" s="252">
        <v>0</v>
      </c>
      <c r="Y544" s="252">
        <v>5366.11</v>
      </c>
      <c r="Z544" s="252">
        <v>0</v>
      </c>
      <c r="AA544" s="252">
        <v>0</v>
      </c>
      <c r="AB544" s="252">
        <v>813.58</v>
      </c>
      <c r="AC544" s="252">
        <v>0</v>
      </c>
      <c r="AD544" s="252">
        <v>0</v>
      </c>
      <c r="AE544" s="252" t="s">
        <v>720</v>
      </c>
      <c r="AF544" s="252" t="s">
        <v>721</v>
      </c>
      <c r="AG544" s="252">
        <f t="shared" si="41"/>
        <v>0</v>
      </c>
      <c r="AH544" s="252">
        <f t="shared" si="42"/>
        <v>0</v>
      </c>
      <c r="AI544" s="252">
        <f t="shared" si="43"/>
        <v>0</v>
      </c>
      <c r="AJ544" s="252">
        <f t="shared" si="44"/>
        <v>0</v>
      </c>
    </row>
    <row r="545" spans="1:36" x14ac:dyDescent="0.2">
      <c r="A545" s="253" t="str">
        <f t="shared" si="40"/>
        <v>SNF-FILMEAM25</v>
      </c>
      <c r="B545" s="252" t="s">
        <v>19</v>
      </c>
      <c r="C545" s="252" t="s">
        <v>20</v>
      </c>
      <c r="D545" s="252" t="s">
        <v>2576</v>
      </c>
      <c r="E545" s="252" t="s">
        <v>2577</v>
      </c>
      <c r="F545" s="252" t="s">
        <v>2579</v>
      </c>
      <c r="G545" s="252">
        <v>25</v>
      </c>
      <c r="H545" s="252" t="s">
        <v>928</v>
      </c>
      <c r="I545" s="252" t="s">
        <v>928</v>
      </c>
      <c r="J545" s="252" t="s">
        <v>928</v>
      </c>
      <c r="K545" s="252" t="s">
        <v>3236</v>
      </c>
      <c r="L545" s="252">
        <v>6179.69</v>
      </c>
      <c r="M545" s="252">
        <v>0</v>
      </c>
      <c r="N545" s="252">
        <v>0</v>
      </c>
      <c r="O545" s="252">
        <v>0</v>
      </c>
      <c r="P545" s="252">
        <v>0</v>
      </c>
      <c r="Q545" s="252">
        <v>0</v>
      </c>
      <c r="R545" s="252">
        <v>0</v>
      </c>
      <c r="S545" s="252">
        <v>0</v>
      </c>
      <c r="T545" s="252">
        <v>0</v>
      </c>
      <c r="U545" s="252">
        <v>0</v>
      </c>
      <c r="V545" s="252">
        <v>0</v>
      </c>
      <c r="W545" s="252">
        <v>0</v>
      </c>
      <c r="X545" s="252">
        <v>0</v>
      </c>
      <c r="Y545" s="252">
        <v>5366.11</v>
      </c>
      <c r="Z545" s="252">
        <v>0</v>
      </c>
      <c r="AA545" s="252">
        <v>0</v>
      </c>
      <c r="AB545" s="252">
        <v>813.58</v>
      </c>
      <c r="AC545" s="252">
        <v>0</v>
      </c>
      <c r="AD545" s="252">
        <v>0</v>
      </c>
      <c r="AE545" s="252" t="s">
        <v>720</v>
      </c>
      <c r="AF545" s="252" t="s">
        <v>721</v>
      </c>
      <c r="AG545" s="252">
        <f t="shared" si="41"/>
        <v>0</v>
      </c>
      <c r="AH545" s="252">
        <f t="shared" si="42"/>
        <v>0</v>
      </c>
      <c r="AI545" s="252">
        <f t="shared" si="43"/>
        <v>0</v>
      </c>
      <c r="AJ545" s="252">
        <f t="shared" si="44"/>
        <v>0</v>
      </c>
    </row>
    <row r="546" spans="1:36" x14ac:dyDescent="0.2">
      <c r="A546" s="253" t="str">
        <f t="shared" si="40"/>
        <v>2SNF-FILMEAM100</v>
      </c>
      <c r="B546" s="252" t="s">
        <v>19</v>
      </c>
      <c r="C546" s="252" t="s">
        <v>20</v>
      </c>
      <c r="D546" s="252" t="s">
        <v>2576</v>
      </c>
      <c r="E546" s="252" t="s">
        <v>2577</v>
      </c>
      <c r="F546" s="252" t="s">
        <v>2579</v>
      </c>
      <c r="G546" s="252">
        <v>100</v>
      </c>
      <c r="H546" s="252" t="s">
        <v>928</v>
      </c>
      <c r="I546" s="252" t="s">
        <v>2477</v>
      </c>
      <c r="J546" s="252" t="s">
        <v>928</v>
      </c>
      <c r="K546" s="252" t="s">
        <v>3236</v>
      </c>
      <c r="L546" s="252">
        <v>10319.73</v>
      </c>
      <c r="M546" s="252">
        <v>0</v>
      </c>
      <c r="N546" s="252">
        <v>0</v>
      </c>
      <c r="O546" s="252">
        <v>0</v>
      </c>
      <c r="P546" s="252">
        <v>0</v>
      </c>
      <c r="Q546" s="252">
        <v>0</v>
      </c>
      <c r="R546" s="252">
        <v>0</v>
      </c>
      <c r="S546" s="252">
        <v>0</v>
      </c>
      <c r="T546" s="252">
        <v>0</v>
      </c>
      <c r="U546" s="252">
        <v>0</v>
      </c>
      <c r="V546" s="252">
        <v>0</v>
      </c>
      <c r="W546" s="252">
        <v>0</v>
      </c>
      <c r="X546" s="252">
        <v>0</v>
      </c>
      <c r="Y546" s="252">
        <v>8646.5300000000007</v>
      </c>
      <c r="Z546" s="252">
        <v>0</v>
      </c>
      <c r="AA546" s="252">
        <v>0</v>
      </c>
      <c r="AB546" s="252">
        <v>1673.2</v>
      </c>
      <c r="AC546" s="252">
        <v>0</v>
      </c>
      <c r="AD546" s="252">
        <v>0</v>
      </c>
      <c r="AE546" s="252" t="s">
        <v>720</v>
      </c>
      <c r="AF546" s="252" t="s">
        <v>721</v>
      </c>
      <c r="AG546" s="252">
        <f t="shared" si="41"/>
        <v>0</v>
      </c>
      <c r="AH546" s="252">
        <f t="shared" si="42"/>
        <v>0</v>
      </c>
      <c r="AI546" s="252">
        <f t="shared" si="43"/>
        <v>0</v>
      </c>
      <c r="AJ546" s="252">
        <f t="shared" si="44"/>
        <v>0</v>
      </c>
    </row>
    <row r="547" spans="1:36" x14ac:dyDescent="0.2">
      <c r="A547" s="253" t="str">
        <f t="shared" si="40"/>
        <v>SNF-FILMEAM100</v>
      </c>
      <c r="B547" s="252" t="s">
        <v>19</v>
      </c>
      <c r="C547" s="252" t="s">
        <v>20</v>
      </c>
      <c r="D547" s="252" t="s">
        <v>2576</v>
      </c>
      <c r="E547" s="252" t="s">
        <v>2577</v>
      </c>
      <c r="F547" s="252" t="s">
        <v>2579</v>
      </c>
      <c r="G547" s="252">
        <v>100</v>
      </c>
      <c r="H547" s="252" t="s">
        <v>928</v>
      </c>
      <c r="I547" s="252" t="s">
        <v>928</v>
      </c>
      <c r="J547" s="252" t="s">
        <v>928</v>
      </c>
      <c r="K547" s="252" t="s">
        <v>3236</v>
      </c>
      <c r="L547" s="252">
        <v>10319.73</v>
      </c>
      <c r="M547" s="252">
        <v>0</v>
      </c>
      <c r="N547" s="252">
        <v>0</v>
      </c>
      <c r="O547" s="252">
        <v>0</v>
      </c>
      <c r="P547" s="252">
        <v>0</v>
      </c>
      <c r="Q547" s="252">
        <v>0</v>
      </c>
      <c r="R547" s="252">
        <v>0</v>
      </c>
      <c r="S547" s="252">
        <v>0</v>
      </c>
      <c r="T547" s="252">
        <v>0</v>
      </c>
      <c r="U547" s="252">
        <v>0</v>
      </c>
      <c r="V547" s="252">
        <v>0</v>
      </c>
      <c r="W547" s="252">
        <v>0</v>
      </c>
      <c r="X547" s="252">
        <v>0</v>
      </c>
      <c r="Y547" s="252">
        <v>8646.5300000000007</v>
      </c>
      <c r="Z547" s="252">
        <v>0</v>
      </c>
      <c r="AA547" s="252">
        <v>0</v>
      </c>
      <c r="AB547" s="252">
        <v>1673.2</v>
      </c>
      <c r="AC547" s="252">
        <v>0</v>
      </c>
      <c r="AD547" s="252">
        <v>0</v>
      </c>
      <c r="AE547" s="252" t="s">
        <v>720</v>
      </c>
      <c r="AF547" s="252" t="s">
        <v>721</v>
      </c>
      <c r="AG547" s="252">
        <f t="shared" si="41"/>
        <v>0</v>
      </c>
      <c r="AH547" s="252">
        <f t="shared" si="42"/>
        <v>0</v>
      </c>
      <c r="AI547" s="252">
        <f t="shared" si="43"/>
        <v>0</v>
      </c>
      <c r="AJ547" s="252">
        <f t="shared" si="44"/>
        <v>0</v>
      </c>
    </row>
    <row r="548" spans="1:36" x14ac:dyDescent="0.2">
      <c r="A548" s="253" t="str">
        <f t="shared" si="40"/>
        <v>2SNF-FILMER20</v>
      </c>
      <c r="B548" s="252" t="s">
        <v>19</v>
      </c>
      <c r="C548" s="252" t="s">
        <v>20</v>
      </c>
      <c r="D548" s="252" t="s">
        <v>2576</v>
      </c>
      <c r="E548" s="252" t="s">
        <v>2577</v>
      </c>
      <c r="F548" s="252" t="s">
        <v>2580</v>
      </c>
      <c r="G548" s="252">
        <v>20</v>
      </c>
      <c r="H548" s="252" t="s">
        <v>928</v>
      </c>
      <c r="I548" s="252" t="s">
        <v>2477</v>
      </c>
      <c r="J548" s="252" t="s">
        <v>928</v>
      </c>
      <c r="K548" s="252" t="s">
        <v>3236</v>
      </c>
      <c r="L548" s="252">
        <v>4712.5200000000004</v>
      </c>
      <c r="M548" s="252">
        <v>0</v>
      </c>
      <c r="N548" s="252">
        <v>0</v>
      </c>
      <c r="O548" s="252">
        <v>0</v>
      </c>
      <c r="P548" s="252">
        <v>0</v>
      </c>
      <c r="Q548" s="252">
        <v>0</v>
      </c>
      <c r="R548" s="252">
        <v>0</v>
      </c>
      <c r="S548" s="252">
        <v>0</v>
      </c>
      <c r="T548" s="252">
        <v>0</v>
      </c>
      <c r="U548" s="252">
        <v>0</v>
      </c>
      <c r="V548" s="252">
        <v>0</v>
      </c>
      <c r="W548" s="252">
        <v>0</v>
      </c>
      <c r="X548" s="252">
        <v>0</v>
      </c>
      <c r="Y548" s="252">
        <v>3766.27</v>
      </c>
      <c r="Z548" s="252">
        <v>0</v>
      </c>
      <c r="AA548" s="252">
        <v>0</v>
      </c>
      <c r="AB548" s="252">
        <v>946.25</v>
      </c>
      <c r="AC548" s="252">
        <v>0</v>
      </c>
      <c r="AD548" s="252">
        <v>0</v>
      </c>
      <c r="AE548" s="252" t="s">
        <v>720</v>
      </c>
      <c r="AF548" s="252" t="s">
        <v>721</v>
      </c>
      <c r="AG548" s="252">
        <f t="shared" si="41"/>
        <v>0</v>
      </c>
      <c r="AH548" s="252">
        <f t="shared" si="42"/>
        <v>0</v>
      </c>
      <c r="AI548" s="252">
        <f t="shared" si="43"/>
        <v>0</v>
      </c>
      <c r="AJ548" s="252">
        <f t="shared" si="44"/>
        <v>0</v>
      </c>
    </row>
    <row r="549" spans="1:36" x14ac:dyDescent="0.2">
      <c r="A549" s="253" t="str">
        <f t="shared" si="40"/>
        <v>SNF-FILMER20</v>
      </c>
      <c r="B549" s="252" t="s">
        <v>19</v>
      </c>
      <c r="C549" s="252" t="s">
        <v>20</v>
      </c>
      <c r="D549" s="252" t="s">
        <v>2576</v>
      </c>
      <c r="E549" s="252" t="s">
        <v>2577</v>
      </c>
      <c r="F549" s="252" t="s">
        <v>2580</v>
      </c>
      <c r="G549" s="252">
        <v>20</v>
      </c>
      <c r="H549" s="252" t="s">
        <v>928</v>
      </c>
      <c r="I549" s="252" t="s">
        <v>928</v>
      </c>
      <c r="J549" s="252" t="s">
        <v>928</v>
      </c>
      <c r="K549" s="252" t="s">
        <v>3236</v>
      </c>
      <c r="L549" s="252">
        <v>4712.5200000000004</v>
      </c>
      <c r="M549" s="252">
        <v>0</v>
      </c>
      <c r="N549" s="252">
        <v>0</v>
      </c>
      <c r="O549" s="252">
        <v>0</v>
      </c>
      <c r="P549" s="252">
        <v>0</v>
      </c>
      <c r="Q549" s="252">
        <v>0</v>
      </c>
      <c r="R549" s="252">
        <v>0</v>
      </c>
      <c r="S549" s="252">
        <v>0</v>
      </c>
      <c r="T549" s="252">
        <v>0</v>
      </c>
      <c r="U549" s="252">
        <v>0</v>
      </c>
      <c r="V549" s="252">
        <v>0</v>
      </c>
      <c r="W549" s="252">
        <v>0</v>
      </c>
      <c r="X549" s="252">
        <v>0</v>
      </c>
      <c r="Y549" s="252">
        <v>3766.27</v>
      </c>
      <c r="Z549" s="252">
        <v>0</v>
      </c>
      <c r="AA549" s="252">
        <v>0</v>
      </c>
      <c r="AB549" s="252">
        <v>946.25</v>
      </c>
      <c r="AC549" s="252">
        <v>0</v>
      </c>
      <c r="AD549" s="252">
        <v>0</v>
      </c>
      <c r="AE549" s="252" t="s">
        <v>720</v>
      </c>
      <c r="AF549" s="252" t="s">
        <v>721</v>
      </c>
      <c r="AG549" s="252">
        <f t="shared" si="41"/>
        <v>0</v>
      </c>
      <c r="AH549" s="252">
        <f t="shared" si="42"/>
        <v>0</v>
      </c>
      <c r="AI549" s="252">
        <f t="shared" si="43"/>
        <v>0</v>
      </c>
      <c r="AJ549" s="252">
        <f t="shared" si="44"/>
        <v>0</v>
      </c>
    </row>
    <row r="550" spans="1:36" x14ac:dyDescent="0.2">
      <c r="A550" s="253" t="str">
        <f t="shared" si="40"/>
        <v>2SNF-FILMEV225</v>
      </c>
      <c r="B550" s="252" t="s">
        <v>19</v>
      </c>
      <c r="C550" s="252" t="s">
        <v>20</v>
      </c>
      <c r="D550" s="252" t="s">
        <v>2576</v>
      </c>
      <c r="E550" s="252" t="s">
        <v>2577</v>
      </c>
      <c r="F550" s="252" t="s">
        <v>2581</v>
      </c>
      <c r="G550" s="252">
        <v>25</v>
      </c>
      <c r="H550" s="252" t="s">
        <v>928</v>
      </c>
      <c r="I550" s="252" t="s">
        <v>2477</v>
      </c>
      <c r="J550" s="252" t="s">
        <v>928</v>
      </c>
      <c r="K550" s="252" t="s">
        <v>3236</v>
      </c>
      <c r="L550" s="252">
        <v>4824.4799999999996</v>
      </c>
      <c r="M550" s="252">
        <v>0</v>
      </c>
      <c r="N550" s="252">
        <v>0</v>
      </c>
      <c r="O550" s="252">
        <v>0</v>
      </c>
      <c r="P550" s="252">
        <v>0</v>
      </c>
      <c r="Q550" s="252">
        <v>0</v>
      </c>
      <c r="R550" s="252">
        <v>0</v>
      </c>
      <c r="S550" s="252">
        <v>0</v>
      </c>
      <c r="T550" s="252">
        <v>0</v>
      </c>
      <c r="U550" s="252">
        <v>0</v>
      </c>
      <c r="V550" s="252">
        <v>0</v>
      </c>
      <c r="W550" s="252">
        <v>0</v>
      </c>
      <c r="X550" s="252">
        <v>0</v>
      </c>
      <c r="Y550" s="252">
        <v>4246.28</v>
      </c>
      <c r="Z550" s="252">
        <v>0</v>
      </c>
      <c r="AA550" s="252">
        <v>0</v>
      </c>
      <c r="AB550" s="252">
        <v>578.20000000000005</v>
      </c>
      <c r="AC550" s="252">
        <v>0</v>
      </c>
      <c r="AD550" s="252">
        <v>0</v>
      </c>
      <c r="AE550" s="252" t="s">
        <v>720</v>
      </c>
      <c r="AF550" s="252" t="s">
        <v>721</v>
      </c>
      <c r="AG550" s="252">
        <f t="shared" si="41"/>
        <v>0</v>
      </c>
      <c r="AH550" s="252">
        <f t="shared" si="42"/>
        <v>0</v>
      </c>
      <c r="AI550" s="252">
        <f t="shared" si="43"/>
        <v>0</v>
      </c>
      <c r="AJ550" s="252">
        <f t="shared" si="44"/>
        <v>0</v>
      </c>
    </row>
    <row r="551" spans="1:36" x14ac:dyDescent="0.2">
      <c r="A551" s="253" t="str">
        <f t="shared" si="40"/>
        <v>SNF-FILMEV225</v>
      </c>
      <c r="B551" s="252" t="s">
        <v>19</v>
      </c>
      <c r="C551" s="252" t="s">
        <v>20</v>
      </c>
      <c r="D551" s="252" t="s">
        <v>2576</v>
      </c>
      <c r="E551" s="252" t="s">
        <v>2577</v>
      </c>
      <c r="F551" s="252" t="s">
        <v>2581</v>
      </c>
      <c r="G551" s="252">
        <v>25</v>
      </c>
      <c r="H551" s="252" t="s">
        <v>928</v>
      </c>
      <c r="I551" s="252" t="s">
        <v>928</v>
      </c>
      <c r="J551" s="252" t="s">
        <v>928</v>
      </c>
      <c r="K551" s="252" t="s">
        <v>3236</v>
      </c>
      <c r="L551" s="252">
        <v>4824.4799999999996</v>
      </c>
      <c r="M551" s="252">
        <v>0</v>
      </c>
      <c r="N551" s="252">
        <v>0</v>
      </c>
      <c r="O551" s="252">
        <v>0</v>
      </c>
      <c r="P551" s="252">
        <v>0</v>
      </c>
      <c r="Q551" s="252">
        <v>0</v>
      </c>
      <c r="R551" s="252">
        <v>0</v>
      </c>
      <c r="S551" s="252">
        <v>0</v>
      </c>
      <c r="T551" s="252">
        <v>0</v>
      </c>
      <c r="U551" s="252">
        <v>0</v>
      </c>
      <c r="V551" s="252">
        <v>0</v>
      </c>
      <c r="W551" s="252">
        <v>0</v>
      </c>
      <c r="X551" s="252">
        <v>0</v>
      </c>
      <c r="Y551" s="252">
        <v>4246.28</v>
      </c>
      <c r="Z551" s="252">
        <v>0</v>
      </c>
      <c r="AA551" s="252">
        <v>0</v>
      </c>
      <c r="AB551" s="252">
        <v>578.20000000000005</v>
      </c>
      <c r="AC551" s="252">
        <v>0</v>
      </c>
      <c r="AD551" s="252">
        <v>0</v>
      </c>
      <c r="AE551" s="252" t="s">
        <v>720</v>
      </c>
      <c r="AF551" s="252" t="s">
        <v>721</v>
      </c>
      <c r="AG551" s="252">
        <f t="shared" si="41"/>
        <v>0</v>
      </c>
      <c r="AH551" s="252">
        <f t="shared" si="42"/>
        <v>0</v>
      </c>
      <c r="AI551" s="252">
        <f t="shared" si="43"/>
        <v>0</v>
      </c>
      <c r="AJ551" s="252">
        <f t="shared" si="44"/>
        <v>0</v>
      </c>
    </row>
    <row r="552" spans="1:36" x14ac:dyDescent="0.2">
      <c r="A552" s="253" t="str">
        <f t="shared" si="40"/>
        <v>2SNF-FILMEV250</v>
      </c>
      <c r="B552" s="252" t="s">
        <v>19</v>
      </c>
      <c r="C552" s="252" t="s">
        <v>20</v>
      </c>
      <c r="D552" s="252" t="s">
        <v>2576</v>
      </c>
      <c r="E552" s="252" t="s">
        <v>2577</v>
      </c>
      <c r="F552" s="252" t="s">
        <v>2581</v>
      </c>
      <c r="G552" s="252">
        <v>50</v>
      </c>
      <c r="H552" s="252" t="s">
        <v>928</v>
      </c>
      <c r="I552" s="252" t="s">
        <v>2477</v>
      </c>
      <c r="J552" s="252" t="s">
        <v>928</v>
      </c>
      <c r="K552" s="252" t="s">
        <v>3236</v>
      </c>
      <c r="L552" s="252">
        <v>5120.07</v>
      </c>
      <c r="M552" s="252">
        <v>0</v>
      </c>
      <c r="N552" s="252">
        <v>0</v>
      </c>
      <c r="O552" s="252">
        <v>0</v>
      </c>
      <c r="P552" s="252">
        <v>0</v>
      </c>
      <c r="Q552" s="252">
        <v>0</v>
      </c>
      <c r="R552" s="252">
        <v>0</v>
      </c>
      <c r="S552" s="252">
        <v>0</v>
      </c>
      <c r="T552" s="252">
        <v>0</v>
      </c>
      <c r="U552" s="252">
        <v>0</v>
      </c>
      <c r="V552" s="252">
        <v>0</v>
      </c>
      <c r="W552" s="252">
        <v>0</v>
      </c>
      <c r="X552" s="252">
        <v>0</v>
      </c>
      <c r="Y552" s="252">
        <v>3792.46</v>
      </c>
      <c r="Z552" s="252">
        <v>0</v>
      </c>
      <c r="AA552" s="252">
        <v>0</v>
      </c>
      <c r="AB552" s="252">
        <v>1327.61</v>
      </c>
      <c r="AC552" s="252">
        <v>0</v>
      </c>
      <c r="AD552" s="252">
        <v>0</v>
      </c>
      <c r="AE552" s="252" t="s">
        <v>720</v>
      </c>
      <c r="AF552" s="252" t="s">
        <v>721</v>
      </c>
      <c r="AG552" s="252">
        <f t="shared" si="41"/>
        <v>0</v>
      </c>
      <c r="AH552" s="252">
        <f t="shared" si="42"/>
        <v>0</v>
      </c>
      <c r="AI552" s="252">
        <f t="shared" si="43"/>
        <v>0</v>
      </c>
      <c r="AJ552" s="252">
        <f t="shared" si="44"/>
        <v>0</v>
      </c>
    </row>
    <row r="553" spans="1:36" x14ac:dyDescent="0.2">
      <c r="A553" s="253" t="str">
        <f t="shared" si="40"/>
        <v>SNF-FILMEV250</v>
      </c>
      <c r="B553" s="252" t="s">
        <v>19</v>
      </c>
      <c r="C553" s="252" t="s">
        <v>20</v>
      </c>
      <c r="D553" s="252" t="s">
        <v>2576</v>
      </c>
      <c r="E553" s="252" t="s">
        <v>2577</v>
      </c>
      <c r="F553" s="252" t="s">
        <v>2581</v>
      </c>
      <c r="G553" s="252">
        <v>50</v>
      </c>
      <c r="H553" s="252" t="s">
        <v>928</v>
      </c>
      <c r="I553" s="252" t="s">
        <v>928</v>
      </c>
      <c r="J553" s="252" t="s">
        <v>928</v>
      </c>
      <c r="K553" s="252" t="s">
        <v>3236</v>
      </c>
      <c r="L553" s="252">
        <v>5120.07</v>
      </c>
      <c r="M553" s="252">
        <v>0</v>
      </c>
      <c r="N553" s="252">
        <v>0</v>
      </c>
      <c r="O553" s="252">
        <v>0</v>
      </c>
      <c r="P553" s="252">
        <v>0</v>
      </c>
      <c r="Q553" s="252">
        <v>0</v>
      </c>
      <c r="R553" s="252">
        <v>0</v>
      </c>
      <c r="S553" s="252">
        <v>0</v>
      </c>
      <c r="T553" s="252">
        <v>0</v>
      </c>
      <c r="U553" s="252">
        <v>0</v>
      </c>
      <c r="V553" s="252">
        <v>0</v>
      </c>
      <c r="W553" s="252">
        <v>0</v>
      </c>
      <c r="X553" s="252">
        <v>0</v>
      </c>
      <c r="Y553" s="252">
        <v>3792.46</v>
      </c>
      <c r="Z553" s="252">
        <v>0</v>
      </c>
      <c r="AA553" s="252">
        <v>0</v>
      </c>
      <c r="AB553" s="252">
        <v>1327.61</v>
      </c>
      <c r="AC553" s="252">
        <v>0</v>
      </c>
      <c r="AD553" s="252">
        <v>0</v>
      </c>
      <c r="AE553" s="252" t="s">
        <v>720</v>
      </c>
      <c r="AF553" s="252" t="s">
        <v>721</v>
      </c>
      <c r="AG553" s="252">
        <f t="shared" si="41"/>
        <v>0</v>
      </c>
      <c r="AH553" s="252">
        <f t="shared" si="42"/>
        <v>0</v>
      </c>
      <c r="AI553" s="252">
        <f t="shared" si="43"/>
        <v>0</v>
      </c>
      <c r="AJ553" s="252">
        <f t="shared" si="44"/>
        <v>0</v>
      </c>
    </row>
    <row r="554" spans="1:36" x14ac:dyDescent="0.2">
      <c r="A554" s="253" t="str">
        <f t="shared" si="40"/>
        <v>2SNF-FILMF12</v>
      </c>
      <c r="B554" s="252" t="s">
        <v>19</v>
      </c>
      <c r="C554" s="252" t="s">
        <v>20</v>
      </c>
      <c r="D554" s="252" t="s">
        <v>2576</v>
      </c>
      <c r="E554" s="252" t="s">
        <v>2577</v>
      </c>
      <c r="F554" s="252" t="s">
        <v>2582</v>
      </c>
      <c r="G554" s="252">
        <v>12</v>
      </c>
      <c r="H554" s="252" t="s">
        <v>928</v>
      </c>
      <c r="I554" s="252" t="s">
        <v>2477</v>
      </c>
      <c r="J554" s="252" t="s">
        <v>928</v>
      </c>
      <c r="K554" s="252" t="s">
        <v>3236</v>
      </c>
      <c r="L554" s="252">
        <v>10452.26</v>
      </c>
      <c r="M554" s="252">
        <v>0</v>
      </c>
      <c r="N554" s="252">
        <v>0</v>
      </c>
      <c r="O554" s="252">
        <v>0</v>
      </c>
      <c r="P554" s="252">
        <v>0</v>
      </c>
      <c r="Q554" s="252">
        <v>0</v>
      </c>
      <c r="R554" s="252">
        <v>0</v>
      </c>
      <c r="S554" s="252">
        <v>0</v>
      </c>
      <c r="T554" s="252">
        <v>0</v>
      </c>
      <c r="U554" s="252">
        <v>0</v>
      </c>
      <c r="V554" s="252">
        <v>0</v>
      </c>
      <c r="W554" s="252">
        <v>0</v>
      </c>
      <c r="X554" s="252">
        <v>0</v>
      </c>
      <c r="Y554" s="252">
        <v>7310.53</v>
      </c>
      <c r="Z554" s="252">
        <v>0</v>
      </c>
      <c r="AA554" s="252">
        <v>0</v>
      </c>
      <c r="AB554" s="252">
        <v>3141.73</v>
      </c>
      <c r="AC554" s="252">
        <v>0</v>
      </c>
      <c r="AD554" s="252">
        <v>0</v>
      </c>
      <c r="AE554" s="252" t="s">
        <v>720</v>
      </c>
      <c r="AF554" s="252" t="s">
        <v>721</v>
      </c>
      <c r="AG554" s="252">
        <f t="shared" si="41"/>
        <v>0</v>
      </c>
      <c r="AH554" s="252">
        <f t="shared" si="42"/>
        <v>0</v>
      </c>
      <c r="AI554" s="252">
        <f t="shared" si="43"/>
        <v>0</v>
      </c>
      <c r="AJ554" s="252">
        <f t="shared" si="44"/>
        <v>0</v>
      </c>
    </row>
    <row r="555" spans="1:36" x14ac:dyDescent="0.2">
      <c r="A555" s="253" t="str">
        <f t="shared" si="40"/>
        <v>SNF-FILMF12</v>
      </c>
      <c r="B555" s="252" t="s">
        <v>19</v>
      </c>
      <c r="C555" s="252" t="s">
        <v>20</v>
      </c>
      <c r="D555" s="252" t="s">
        <v>2576</v>
      </c>
      <c r="E555" s="252" t="s">
        <v>2577</v>
      </c>
      <c r="F555" s="252" t="s">
        <v>2582</v>
      </c>
      <c r="G555" s="252">
        <v>12</v>
      </c>
      <c r="H555" s="252" t="s">
        <v>928</v>
      </c>
      <c r="I555" s="252" t="s">
        <v>928</v>
      </c>
      <c r="J555" s="252" t="s">
        <v>928</v>
      </c>
      <c r="K555" s="252" t="s">
        <v>3236</v>
      </c>
      <c r="L555" s="252">
        <v>10452.26</v>
      </c>
      <c r="M555" s="252">
        <v>0</v>
      </c>
      <c r="N555" s="252">
        <v>0</v>
      </c>
      <c r="O555" s="252">
        <v>0</v>
      </c>
      <c r="P555" s="252">
        <v>0</v>
      </c>
      <c r="Q555" s="252">
        <v>0</v>
      </c>
      <c r="R555" s="252">
        <v>0</v>
      </c>
      <c r="S555" s="252">
        <v>0</v>
      </c>
      <c r="T555" s="252">
        <v>0</v>
      </c>
      <c r="U555" s="252">
        <v>0</v>
      </c>
      <c r="V555" s="252">
        <v>0</v>
      </c>
      <c r="W555" s="252">
        <v>0</v>
      </c>
      <c r="X555" s="252">
        <v>0</v>
      </c>
      <c r="Y555" s="252">
        <v>7310.53</v>
      </c>
      <c r="Z555" s="252">
        <v>0</v>
      </c>
      <c r="AA555" s="252">
        <v>0</v>
      </c>
      <c r="AB555" s="252">
        <v>3141.73</v>
      </c>
      <c r="AC555" s="252">
        <v>0</v>
      </c>
      <c r="AD555" s="252">
        <v>0</v>
      </c>
      <c r="AE555" s="252" t="s">
        <v>720</v>
      </c>
      <c r="AF555" s="252" t="s">
        <v>721</v>
      </c>
      <c r="AG555" s="252">
        <f t="shared" si="41"/>
        <v>0</v>
      </c>
      <c r="AH555" s="252">
        <f t="shared" si="42"/>
        <v>0</v>
      </c>
      <c r="AI555" s="252">
        <f t="shared" si="43"/>
        <v>0</v>
      </c>
      <c r="AJ555" s="252">
        <f t="shared" si="44"/>
        <v>0</v>
      </c>
    </row>
    <row r="556" spans="1:36" x14ac:dyDescent="0.2">
      <c r="A556" s="253" t="str">
        <f t="shared" si="40"/>
        <v>2SNF-FILMF25</v>
      </c>
      <c r="B556" s="252" t="s">
        <v>19</v>
      </c>
      <c r="C556" s="252" t="s">
        <v>20</v>
      </c>
      <c r="D556" s="252" t="s">
        <v>2576</v>
      </c>
      <c r="E556" s="252" t="s">
        <v>2577</v>
      </c>
      <c r="F556" s="252" t="s">
        <v>2582</v>
      </c>
      <c r="G556" s="252">
        <v>25</v>
      </c>
      <c r="H556" s="252" t="s">
        <v>928</v>
      </c>
      <c r="I556" s="252" t="s">
        <v>2477</v>
      </c>
      <c r="J556" s="252" t="s">
        <v>928</v>
      </c>
      <c r="K556" s="252" t="s">
        <v>3236</v>
      </c>
      <c r="L556" s="252">
        <v>6151.37</v>
      </c>
      <c r="M556" s="252">
        <v>0</v>
      </c>
      <c r="N556" s="252">
        <v>0</v>
      </c>
      <c r="O556" s="252">
        <v>0</v>
      </c>
      <c r="P556" s="252">
        <v>0</v>
      </c>
      <c r="Q556" s="252">
        <v>0</v>
      </c>
      <c r="R556" s="252">
        <v>0</v>
      </c>
      <c r="S556" s="252">
        <v>0</v>
      </c>
      <c r="T556" s="252">
        <v>0</v>
      </c>
      <c r="U556" s="252">
        <v>0</v>
      </c>
      <c r="V556" s="252">
        <v>0</v>
      </c>
      <c r="W556" s="252">
        <v>0</v>
      </c>
      <c r="X556" s="252">
        <v>0</v>
      </c>
      <c r="Y556" s="252">
        <v>4914.12</v>
      </c>
      <c r="Z556" s="252">
        <v>0</v>
      </c>
      <c r="AA556" s="252">
        <v>0</v>
      </c>
      <c r="AB556" s="252">
        <v>1237.25</v>
      </c>
      <c r="AC556" s="252">
        <v>0</v>
      </c>
      <c r="AD556" s="252">
        <v>0</v>
      </c>
      <c r="AE556" s="252" t="s">
        <v>720</v>
      </c>
      <c r="AF556" s="252" t="s">
        <v>721</v>
      </c>
      <c r="AG556" s="252">
        <f t="shared" si="41"/>
        <v>0</v>
      </c>
      <c r="AH556" s="252">
        <f t="shared" si="42"/>
        <v>0</v>
      </c>
      <c r="AI556" s="252">
        <f t="shared" si="43"/>
        <v>0</v>
      </c>
      <c r="AJ556" s="252">
        <f t="shared" si="44"/>
        <v>0</v>
      </c>
    </row>
    <row r="557" spans="1:36" x14ac:dyDescent="0.2">
      <c r="A557" s="253" t="str">
        <f t="shared" si="40"/>
        <v>SNF-FILMF25</v>
      </c>
      <c r="B557" s="252" t="s">
        <v>19</v>
      </c>
      <c r="C557" s="252" t="s">
        <v>20</v>
      </c>
      <c r="D557" s="252" t="s">
        <v>2576</v>
      </c>
      <c r="E557" s="252" t="s">
        <v>2577</v>
      </c>
      <c r="F557" s="252" t="s">
        <v>2582</v>
      </c>
      <c r="G557" s="252">
        <v>25</v>
      </c>
      <c r="H557" s="252" t="s">
        <v>928</v>
      </c>
      <c r="I557" s="252" t="s">
        <v>928</v>
      </c>
      <c r="J557" s="252" t="s">
        <v>928</v>
      </c>
      <c r="K557" s="252" t="s">
        <v>3236</v>
      </c>
      <c r="L557" s="252">
        <v>6151.37</v>
      </c>
      <c r="M557" s="252">
        <v>0</v>
      </c>
      <c r="N557" s="252">
        <v>0</v>
      </c>
      <c r="O557" s="252">
        <v>0</v>
      </c>
      <c r="P557" s="252">
        <v>0</v>
      </c>
      <c r="Q557" s="252">
        <v>0</v>
      </c>
      <c r="R557" s="252">
        <v>0</v>
      </c>
      <c r="S557" s="252">
        <v>0</v>
      </c>
      <c r="T557" s="252">
        <v>0</v>
      </c>
      <c r="U557" s="252">
        <v>0</v>
      </c>
      <c r="V557" s="252">
        <v>0</v>
      </c>
      <c r="W557" s="252">
        <v>0</v>
      </c>
      <c r="X557" s="252">
        <v>0</v>
      </c>
      <c r="Y557" s="252">
        <v>4914.12</v>
      </c>
      <c r="Z557" s="252">
        <v>0</v>
      </c>
      <c r="AA557" s="252">
        <v>0</v>
      </c>
      <c r="AB557" s="252">
        <v>1237.25</v>
      </c>
      <c r="AC557" s="252">
        <v>0</v>
      </c>
      <c r="AD557" s="252">
        <v>0</v>
      </c>
      <c r="AE557" s="252" t="s">
        <v>720</v>
      </c>
      <c r="AF557" s="252" t="s">
        <v>721</v>
      </c>
      <c r="AG557" s="252">
        <f t="shared" si="41"/>
        <v>0</v>
      </c>
      <c r="AH557" s="252">
        <f t="shared" si="42"/>
        <v>0</v>
      </c>
      <c r="AI557" s="252">
        <f t="shared" si="43"/>
        <v>0</v>
      </c>
      <c r="AJ557" s="252">
        <f t="shared" si="44"/>
        <v>0</v>
      </c>
    </row>
    <row r="558" spans="1:36" x14ac:dyDescent="0.2">
      <c r="A558" s="253" t="str">
        <f t="shared" si="40"/>
        <v>2SNF-FILMF50</v>
      </c>
      <c r="B558" s="252" t="s">
        <v>19</v>
      </c>
      <c r="C558" s="252" t="s">
        <v>20</v>
      </c>
      <c r="D558" s="252" t="s">
        <v>2576</v>
      </c>
      <c r="E558" s="252" t="s">
        <v>2577</v>
      </c>
      <c r="F558" s="252" t="s">
        <v>2582</v>
      </c>
      <c r="G558" s="252">
        <v>50</v>
      </c>
      <c r="H558" s="252" t="s">
        <v>928</v>
      </c>
      <c r="I558" s="252" t="s">
        <v>2477</v>
      </c>
      <c r="J558" s="252" t="s">
        <v>928</v>
      </c>
      <c r="K558" s="252" t="s">
        <v>3236</v>
      </c>
      <c r="L558" s="252">
        <v>5365.29</v>
      </c>
      <c r="M558" s="252">
        <v>0</v>
      </c>
      <c r="N558" s="252">
        <v>0</v>
      </c>
      <c r="O558" s="252">
        <v>0</v>
      </c>
      <c r="P558" s="252">
        <v>0</v>
      </c>
      <c r="Q558" s="252">
        <v>0</v>
      </c>
      <c r="R558" s="252">
        <v>0</v>
      </c>
      <c r="S558" s="252">
        <v>0</v>
      </c>
      <c r="T558" s="252">
        <v>0</v>
      </c>
      <c r="U558" s="252">
        <v>0</v>
      </c>
      <c r="V558" s="252">
        <v>0</v>
      </c>
      <c r="W558" s="252">
        <v>0</v>
      </c>
      <c r="X558" s="252">
        <v>0</v>
      </c>
      <c r="Y558" s="252">
        <v>4080.97</v>
      </c>
      <c r="Z558" s="252">
        <v>0</v>
      </c>
      <c r="AA558" s="252">
        <v>0</v>
      </c>
      <c r="AB558" s="252">
        <v>1284.32</v>
      </c>
      <c r="AC558" s="252">
        <v>0</v>
      </c>
      <c r="AD558" s="252">
        <v>0</v>
      </c>
      <c r="AE558" s="252" t="s">
        <v>720</v>
      </c>
      <c r="AF558" s="252" t="s">
        <v>721</v>
      </c>
      <c r="AG558" s="252">
        <f t="shared" si="41"/>
        <v>0</v>
      </c>
      <c r="AH558" s="252">
        <f t="shared" si="42"/>
        <v>0</v>
      </c>
      <c r="AI558" s="252">
        <f t="shared" si="43"/>
        <v>0</v>
      </c>
      <c r="AJ558" s="252">
        <f t="shared" si="44"/>
        <v>0</v>
      </c>
    </row>
    <row r="559" spans="1:36" x14ac:dyDescent="0.2">
      <c r="A559" s="253" t="str">
        <f t="shared" si="40"/>
        <v>SNF-FILMF50</v>
      </c>
      <c r="B559" s="252" t="s">
        <v>19</v>
      </c>
      <c r="C559" s="252" t="s">
        <v>20</v>
      </c>
      <c r="D559" s="252" t="s">
        <v>2576</v>
      </c>
      <c r="E559" s="252" t="s">
        <v>2577</v>
      </c>
      <c r="F559" s="252" t="s">
        <v>2582</v>
      </c>
      <c r="G559" s="252">
        <v>50</v>
      </c>
      <c r="H559" s="252" t="s">
        <v>928</v>
      </c>
      <c r="I559" s="252" t="s">
        <v>928</v>
      </c>
      <c r="J559" s="252" t="s">
        <v>928</v>
      </c>
      <c r="K559" s="252" t="s">
        <v>3236</v>
      </c>
      <c r="L559" s="252">
        <v>5365.29</v>
      </c>
      <c r="M559" s="252">
        <v>0</v>
      </c>
      <c r="N559" s="252">
        <v>0</v>
      </c>
      <c r="O559" s="252">
        <v>0</v>
      </c>
      <c r="P559" s="252">
        <v>0</v>
      </c>
      <c r="Q559" s="252">
        <v>0</v>
      </c>
      <c r="R559" s="252">
        <v>0</v>
      </c>
      <c r="S559" s="252">
        <v>0</v>
      </c>
      <c r="T559" s="252">
        <v>0</v>
      </c>
      <c r="U559" s="252">
        <v>0</v>
      </c>
      <c r="V559" s="252">
        <v>0</v>
      </c>
      <c r="W559" s="252">
        <v>0</v>
      </c>
      <c r="X559" s="252">
        <v>0</v>
      </c>
      <c r="Y559" s="252">
        <v>4080.97</v>
      </c>
      <c r="Z559" s="252">
        <v>0</v>
      </c>
      <c r="AA559" s="252">
        <v>0</v>
      </c>
      <c r="AB559" s="252">
        <v>1284.32</v>
      </c>
      <c r="AC559" s="252">
        <v>0</v>
      </c>
      <c r="AD559" s="252">
        <v>0</v>
      </c>
      <c r="AE559" s="252" t="s">
        <v>720</v>
      </c>
      <c r="AF559" s="252" t="s">
        <v>721</v>
      </c>
      <c r="AG559" s="252">
        <f t="shared" si="41"/>
        <v>0</v>
      </c>
      <c r="AH559" s="252">
        <f t="shared" si="42"/>
        <v>0</v>
      </c>
      <c r="AI559" s="252">
        <f t="shared" si="43"/>
        <v>0</v>
      </c>
      <c r="AJ559" s="252">
        <f t="shared" si="44"/>
        <v>0</v>
      </c>
    </row>
    <row r="560" spans="1:36" x14ac:dyDescent="0.2">
      <c r="A560" s="253" t="str">
        <f t="shared" si="40"/>
        <v>2SNF-FILMF100</v>
      </c>
      <c r="B560" s="252" t="s">
        <v>19</v>
      </c>
      <c r="C560" s="252" t="s">
        <v>20</v>
      </c>
      <c r="D560" s="252" t="s">
        <v>2576</v>
      </c>
      <c r="E560" s="252" t="s">
        <v>2577</v>
      </c>
      <c r="F560" s="252" t="s">
        <v>2582</v>
      </c>
      <c r="G560" s="252">
        <v>100</v>
      </c>
      <c r="H560" s="252" t="s">
        <v>928</v>
      </c>
      <c r="I560" s="252" t="s">
        <v>2477</v>
      </c>
      <c r="J560" s="252" t="s">
        <v>928</v>
      </c>
      <c r="K560" s="252" t="s">
        <v>3236</v>
      </c>
      <c r="L560" s="252">
        <v>9521.9599999999991</v>
      </c>
      <c r="M560" s="252">
        <v>0</v>
      </c>
      <c r="N560" s="252">
        <v>0</v>
      </c>
      <c r="O560" s="252">
        <v>0</v>
      </c>
      <c r="P560" s="252">
        <v>0</v>
      </c>
      <c r="Q560" s="252">
        <v>0</v>
      </c>
      <c r="R560" s="252">
        <v>0</v>
      </c>
      <c r="S560" s="252">
        <v>0</v>
      </c>
      <c r="T560" s="252">
        <v>0</v>
      </c>
      <c r="U560" s="252">
        <v>0</v>
      </c>
      <c r="V560" s="252">
        <v>0</v>
      </c>
      <c r="W560" s="252">
        <v>0</v>
      </c>
      <c r="X560" s="252">
        <v>0</v>
      </c>
      <c r="Y560" s="252">
        <v>7064.54</v>
      </c>
      <c r="Z560" s="252">
        <v>0</v>
      </c>
      <c r="AA560" s="252">
        <v>0</v>
      </c>
      <c r="AB560" s="252">
        <v>2457.42</v>
      </c>
      <c r="AC560" s="252">
        <v>0</v>
      </c>
      <c r="AD560" s="252">
        <v>0</v>
      </c>
      <c r="AE560" s="252" t="s">
        <v>720</v>
      </c>
      <c r="AF560" s="252" t="s">
        <v>721</v>
      </c>
      <c r="AG560" s="252">
        <f t="shared" si="41"/>
        <v>0</v>
      </c>
      <c r="AH560" s="252">
        <f t="shared" si="42"/>
        <v>0</v>
      </c>
      <c r="AI560" s="252">
        <f t="shared" si="43"/>
        <v>0</v>
      </c>
      <c r="AJ560" s="252">
        <f t="shared" si="44"/>
        <v>0</v>
      </c>
    </row>
    <row r="561" spans="1:36" x14ac:dyDescent="0.2">
      <c r="A561" s="253" t="str">
        <f t="shared" si="40"/>
        <v>SNF-FILMF100</v>
      </c>
      <c r="B561" s="252" t="s">
        <v>19</v>
      </c>
      <c r="C561" s="252" t="s">
        <v>20</v>
      </c>
      <c r="D561" s="252" t="s">
        <v>2576</v>
      </c>
      <c r="E561" s="252" t="s">
        <v>2577</v>
      </c>
      <c r="F561" s="252" t="s">
        <v>2582</v>
      </c>
      <c r="G561" s="252">
        <v>100</v>
      </c>
      <c r="H561" s="252" t="s">
        <v>928</v>
      </c>
      <c r="I561" s="252" t="s">
        <v>928</v>
      </c>
      <c r="J561" s="252" t="s">
        <v>928</v>
      </c>
      <c r="K561" s="252" t="s">
        <v>3236</v>
      </c>
      <c r="L561" s="252">
        <v>9521.9599999999991</v>
      </c>
      <c r="M561" s="252">
        <v>0</v>
      </c>
      <c r="N561" s="252">
        <v>0</v>
      </c>
      <c r="O561" s="252">
        <v>0</v>
      </c>
      <c r="P561" s="252">
        <v>0</v>
      </c>
      <c r="Q561" s="252">
        <v>0</v>
      </c>
      <c r="R561" s="252">
        <v>0</v>
      </c>
      <c r="S561" s="252">
        <v>0</v>
      </c>
      <c r="T561" s="252">
        <v>0</v>
      </c>
      <c r="U561" s="252">
        <v>0</v>
      </c>
      <c r="V561" s="252">
        <v>0</v>
      </c>
      <c r="W561" s="252">
        <v>0</v>
      </c>
      <c r="X561" s="252">
        <v>0</v>
      </c>
      <c r="Y561" s="252">
        <v>7064.54</v>
      </c>
      <c r="Z561" s="252">
        <v>0</v>
      </c>
      <c r="AA561" s="252">
        <v>0</v>
      </c>
      <c r="AB561" s="252">
        <v>2457.42</v>
      </c>
      <c r="AC561" s="252">
        <v>0</v>
      </c>
      <c r="AD561" s="252">
        <v>0</v>
      </c>
      <c r="AE561" s="252" t="s">
        <v>720</v>
      </c>
      <c r="AF561" s="252" t="s">
        <v>721</v>
      </c>
      <c r="AG561" s="252">
        <f t="shared" si="41"/>
        <v>0</v>
      </c>
      <c r="AH561" s="252">
        <f t="shared" si="42"/>
        <v>0</v>
      </c>
      <c r="AI561" s="252">
        <f t="shared" si="43"/>
        <v>0</v>
      </c>
      <c r="AJ561" s="252">
        <f t="shared" si="44"/>
        <v>0</v>
      </c>
    </row>
    <row r="562" spans="1:36" x14ac:dyDescent="0.2">
      <c r="A562" s="253" t="str">
        <f t="shared" si="40"/>
        <v>2SNF-FILMFR20</v>
      </c>
      <c r="B562" s="252" t="s">
        <v>19</v>
      </c>
      <c r="C562" s="252" t="s">
        <v>20</v>
      </c>
      <c r="D562" s="252" t="s">
        <v>2576</v>
      </c>
      <c r="E562" s="252" t="s">
        <v>2577</v>
      </c>
      <c r="F562" s="252" t="s">
        <v>2583</v>
      </c>
      <c r="G562" s="252">
        <v>20</v>
      </c>
      <c r="H562" s="252" t="s">
        <v>928</v>
      </c>
      <c r="I562" s="252" t="s">
        <v>2477</v>
      </c>
      <c r="J562" s="252" t="s">
        <v>928</v>
      </c>
      <c r="K562" s="252" t="s">
        <v>3236</v>
      </c>
      <c r="L562" s="252">
        <v>6050.04</v>
      </c>
      <c r="M562" s="252">
        <v>0</v>
      </c>
      <c r="N562" s="252">
        <v>0</v>
      </c>
      <c r="O562" s="252">
        <v>0</v>
      </c>
      <c r="P562" s="252">
        <v>0</v>
      </c>
      <c r="Q562" s="252">
        <v>0</v>
      </c>
      <c r="R562" s="252">
        <v>0</v>
      </c>
      <c r="S562" s="252">
        <v>0</v>
      </c>
      <c r="T562" s="252">
        <v>0</v>
      </c>
      <c r="U562" s="252">
        <v>0</v>
      </c>
      <c r="V562" s="252">
        <v>0</v>
      </c>
      <c r="W562" s="252">
        <v>0</v>
      </c>
      <c r="X562" s="252">
        <v>0</v>
      </c>
      <c r="Y562" s="252">
        <v>4397.3100000000004</v>
      </c>
      <c r="Z562" s="252">
        <v>0</v>
      </c>
      <c r="AA562" s="252">
        <v>0</v>
      </c>
      <c r="AB562" s="252">
        <v>1652.74</v>
      </c>
      <c r="AC562" s="252">
        <v>0</v>
      </c>
      <c r="AD562" s="252">
        <v>0</v>
      </c>
      <c r="AE562" s="252" t="s">
        <v>720</v>
      </c>
      <c r="AF562" s="252" t="s">
        <v>721</v>
      </c>
      <c r="AG562" s="252">
        <f t="shared" si="41"/>
        <v>0</v>
      </c>
      <c r="AH562" s="252">
        <f t="shared" si="42"/>
        <v>0</v>
      </c>
      <c r="AI562" s="252">
        <f t="shared" si="43"/>
        <v>0</v>
      </c>
      <c r="AJ562" s="252">
        <f t="shared" si="44"/>
        <v>0</v>
      </c>
    </row>
    <row r="563" spans="1:36" x14ac:dyDescent="0.2">
      <c r="A563" s="253" t="str">
        <f t="shared" si="40"/>
        <v>SNF-FILMFR20</v>
      </c>
      <c r="B563" s="252" t="s">
        <v>19</v>
      </c>
      <c r="C563" s="252" t="s">
        <v>20</v>
      </c>
      <c r="D563" s="252" t="s">
        <v>2576</v>
      </c>
      <c r="E563" s="252" t="s">
        <v>2577</v>
      </c>
      <c r="F563" s="252" t="s">
        <v>2583</v>
      </c>
      <c r="G563" s="252">
        <v>20</v>
      </c>
      <c r="H563" s="252" t="s">
        <v>928</v>
      </c>
      <c r="I563" s="252" t="s">
        <v>928</v>
      </c>
      <c r="J563" s="252" t="s">
        <v>928</v>
      </c>
      <c r="K563" s="252" t="s">
        <v>3236</v>
      </c>
      <c r="L563" s="252">
        <v>6050.04</v>
      </c>
      <c r="M563" s="252">
        <v>0</v>
      </c>
      <c r="N563" s="252">
        <v>0</v>
      </c>
      <c r="O563" s="252">
        <v>0</v>
      </c>
      <c r="P563" s="252">
        <v>0</v>
      </c>
      <c r="Q563" s="252">
        <v>0</v>
      </c>
      <c r="R563" s="252">
        <v>0</v>
      </c>
      <c r="S563" s="252">
        <v>0</v>
      </c>
      <c r="T563" s="252">
        <v>0</v>
      </c>
      <c r="U563" s="252">
        <v>0</v>
      </c>
      <c r="V563" s="252">
        <v>0</v>
      </c>
      <c r="W563" s="252">
        <v>0</v>
      </c>
      <c r="X563" s="252">
        <v>0</v>
      </c>
      <c r="Y563" s="252">
        <v>4397.3100000000004</v>
      </c>
      <c r="Z563" s="252">
        <v>0</v>
      </c>
      <c r="AA563" s="252">
        <v>0</v>
      </c>
      <c r="AB563" s="252">
        <v>1652.74</v>
      </c>
      <c r="AC563" s="252">
        <v>0</v>
      </c>
      <c r="AD563" s="252">
        <v>0</v>
      </c>
      <c r="AE563" s="252" t="s">
        <v>720</v>
      </c>
      <c r="AF563" s="252" t="s">
        <v>721</v>
      </c>
      <c r="AG563" s="252">
        <f t="shared" si="41"/>
        <v>0</v>
      </c>
      <c r="AH563" s="252">
        <f t="shared" si="42"/>
        <v>0</v>
      </c>
      <c r="AI563" s="252">
        <f t="shared" si="43"/>
        <v>0</v>
      </c>
      <c r="AJ563" s="252">
        <f t="shared" si="44"/>
        <v>0</v>
      </c>
    </row>
    <row r="564" spans="1:36" x14ac:dyDescent="0.2">
      <c r="A564" s="253" t="str">
        <f t="shared" si="40"/>
        <v>2SNF-FILMFR25</v>
      </c>
      <c r="B564" s="252" t="s">
        <v>19</v>
      </c>
      <c r="C564" s="252" t="s">
        <v>20</v>
      </c>
      <c r="D564" s="252" t="s">
        <v>2576</v>
      </c>
      <c r="E564" s="252" t="s">
        <v>2577</v>
      </c>
      <c r="F564" s="252" t="s">
        <v>2583</v>
      </c>
      <c r="G564" s="252">
        <v>25</v>
      </c>
      <c r="H564" s="252" t="s">
        <v>928</v>
      </c>
      <c r="I564" s="252" t="s">
        <v>2477</v>
      </c>
      <c r="J564" s="252" t="s">
        <v>928</v>
      </c>
      <c r="K564" s="252" t="s">
        <v>3236</v>
      </c>
      <c r="L564" s="252">
        <v>5522.52</v>
      </c>
      <c r="M564" s="252">
        <v>0</v>
      </c>
      <c r="N564" s="252">
        <v>0</v>
      </c>
      <c r="O564" s="252">
        <v>0</v>
      </c>
      <c r="P564" s="252">
        <v>0</v>
      </c>
      <c r="Q564" s="252">
        <v>0</v>
      </c>
      <c r="R564" s="252">
        <v>0</v>
      </c>
      <c r="S564" s="252">
        <v>0</v>
      </c>
      <c r="T564" s="252">
        <v>0</v>
      </c>
      <c r="U564" s="252">
        <v>0</v>
      </c>
      <c r="V564" s="252">
        <v>0</v>
      </c>
      <c r="W564" s="252">
        <v>0</v>
      </c>
      <c r="X564" s="252">
        <v>0</v>
      </c>
      <c r="Y564" s="252">
        <v>4202.38</v>
      </c>
      <c r="Z564" s="252">
        <v>0</v>
      </c>
      <c r="AA564" s="252">
        <v>0</v>
      </c>
      <c r="AB564" s="252">
        <v>1320.14</v>
      </c>
      <c r="AC564" s="252">
        <v>0</v>
      </c>
      <c r="AD564" s="252">
        <v>0</v>
      </c>
      <c r="AE564" s="252" t="s">
        <v>720</v>
      </c>
      <c r="AF564" s="252" t="s">
        <v>721</v>
      </c>
      <c r="AG564" s="252">
        <f t="shared" si="41"/>
        <v>0</v>
      </c>
      <c r="AH564" s="252">
        <f t="shared" si="42"/>
        <v>0</v>
      </c>
      <c r="AI564" s="252">
        <f t="shared" si="43"/>
        <v>0</v>
      </c>
      <c r="AJ564" s="252">
        <f t="shared" si="44"/>
        <v>0</v>
      </c>
    </row>
    <row r="565" spans="1:36" x14ac:dyDescent="0.2">
      <c r="A565" s="253" t="str">
        <f t="shared" si="40"/>
        <v>8SNF-FILMFR25</v>
      </c>
      <c r="B565" s="252" t="s">
        <v>19</v>
      </c>
      <c r="C565" s="252" t="s">
        <v>20</v>
      </c>
      <c r="D565" s="252" t="s">
        <v>2576</v>
      </c>
      <c r="E565" s="252" t="s">
        <v>2577</v>
      </c>
      <c r="F565" s="252" t="s">
        <v>2583</v>
      </c>
      <c r="G565" s="252">
        <v>25</v>
      </c>
      <c r="H565" s="252" t="s">
        <v>928</v>
      </c>
      <c r="I565" s="252" t="s">
        <v>2487</v>
      </c>
      <c r="J565" s="252" t="s">
        <v>928</v>
      </c>
      <c r="K565" s="252" t="s">
        <v>3236</v>
      </c>
      <c r="L565" s="252">
        <v>6227.99</v>
      </c>
      <c r="M565" s="252">
        <v>0</v>
      </c>
      <c r="N565" s="252">
        <v>0</v>
      </c>
      <c r="O565" s="252">
        <v>0</v>
      </c>
      <c r="P565" s="252">
        <v>0</v>
      </c>
      <c r="Q565" s="252">
        <v>0</v>
      </c>
      <c r="R565" s="252">
        <v>0</v>
      </c>
      <c r="S565" s="252">
        <v>0</v>
      </c>
      <c r="T565" s="252">
        <v>0</v>
      </c>
      <c r="U565" s="252">
        <v>0</v>
      </c>
      <c r="V565" s="252">
        <v>0</v>
      </c>
      <c r="W565" s="252">
        <v>0</v>
      </c>
      <c r="X565" s="252">
        <v>0</v>
      </c>
      <c r="Y565" s="252">
        <v>4907.8500000000004</v>
      </c>
      <c r="Z565" s="252">
        <v>0</v>
      </c>
      <c r="AA565" s="252">
        <v>0</v>
      </c>
      <c r="AB565" s="252">
        <v>1320.14</v>
      </c>
      <c r="AC565" s="252">
        <v>0</v>
      </c>
      <c r="AD565" s="252">
        <v>0</v>
      </c>
      <c r="AE565" s="252" t="s">
        <v>720</v>
      </c>
      <c r="AF565" s="252" t="s">
        <v>721</v>
      </c>
      <c r="AG565" s="252">
        <f t="shared" si="41"/>
        <v>0</v>
      </c>
      <c r="AH565" s="252">
        <f t="shared" si="42"/>
        <v>0</v>
      </c>
      <c r="AI565" s="252">
        <f t="shared" si="43"/>
        <v>0</v>
      </c>
      <c r="AJ565" s="252">
        <f t="shared" si="44"/>
        <v>0</v>
      </c>
    </row>
    <row r="566" spans="1:36" x14ac:dyDescent="0.2">
      <c r="A566" s="253" t="str">
        <f t="shared" si="40"/>
        <v>SNF-FILMFR25</v>
      </c>
      <c r="B566" s="252" t="s">
        <v>19</v>
      </c>
      <c r="C566" s="252" t="s">
        <v>20</v>
      </c>
      <c r="D566" s="252" t="s">
        <v>2576</v>
      </c>
      <c r="E566" s="252" t="s">
        <v>2577</v>
      </c>
      <c r="F566" s="252" t="s">
        <v>2583</v>
      </c>
      <c r="G566" s="252">
        <v>25</v>
      </c>
      <c r="H566" s="252" t="s">
        <v>928</v>
      </c>
      <c r="I566" s="252" t="s">
        <v>928</v>
      </c>
      <c r="J566" s="252" t="s">
        <v>928</v>
      </c>
      <c r="K566" s="252" t="s">
        <v>3236</v>
      </c>
      <c r="L566" s="252">
        <v>6227.99</v>
      </c>
      <c r="M566" s="252">
        <v>0</v>
      </c>
      <c r="N566" s="252">
        <v>0</v>
      </c>
      <c r="O566" s="252">
        <v>0</v>
      </c>
      <c r="P566" s="252">
        <v>0</v>
      </c>
      <c r="Q566" s="252">
        <v>0</v>
      </c>
      <c r="R566" s="252">
        <v>0</v>
      </c>
      <c r="S566" s="252">
        <v>0</v>
      </c>
      <c r="T566" s="252">
        <v>0</v>
      </c>
      <c r="U566" s="252">
        <v>0</v>
      </c>
      <c r="V566" s="252">
        <v>0</v>
      </c>
      <c r="W566" s="252">
        <v>0</v>
      </c>
      <c r="X566" s="252">
        <v>0</v>
      </c>
      <c r="Y566" s="252">
        <v>4907.8500000000004</v>
      </c>
      <c r="Z566" s="252">
        <v>0</v>
      </c>
      <c r="AA566" s="252">
        <v>0</v>
      </c>
      <c r="AB566" s="252">
        <v>1320.14</v>
      </c>
      <c r="AC566" s="252">
        <v>0</v>
      </c>
      <c r="AD566" s="252">
        <v>0</v>
      </c>
      <c r="AE566" s="252" t="s">
        <v>720</v>
      </c>
      <c r="AF566" s="252" t="s">
        <v>721</v>
      </c>
      <c r="AG566" s="252">
        <f t="shared" si="41"/>
        <v>0</v>
      </c>
      <c r="AH566" s="252">
        <f t="shared" si="42"/>
        <v>0</v>
      </c>
      <c r="AI566" s="252">
        <f t="shared" si="43"/>
        <v>0</v>
      </c>
      <c r="AJ566" s="252">
        <f t="shared" si="44"/>
        <v>0</v>
      </c>
    </row>
    <row r="567" spans="1:36" x14ac:dyDescent="0.2">
      <c r="A567" s="253" t="str">
        <f t="shared" si="40"/>
        <v>2SNF-FILMFR40</v>
      </c>
      <c r="B567" s="252" t="s">
        <v>19</v>
      </c>
      <c r="C567" s="252" t="s">
        <v>20</v>
      </c>
      <c r="D567" s="252" t="s">
        <v>2576</v>
      </c>
      <c r="E567" s="252" t="s">
        <v>2577</v>
      </c>
      <c r="F567" s="252" t="s">
        <v>2583</v>
      </c>
      <c r="G567" s="252">
        <v>40</v>
      </c>
      <c r="H567" s="252" t="s">
        <v>928</v>
      </c>
      <c r="I567" s="252" t="s">
        <v>2477</v>
      </c>
      <c r="J567" s="252" t="s">
        <v>928</v>
      </c>
      <c r="K567" s="252" t="s">
        <v>3236</v>
      </c>
      <c r="L567" s="252">
        <v>5903.95</v>
      </c>
      <c r="M567" s="252">
        <v>0</v>
      </c>
      <c r="N567" s="252">
        <v>0</v>
      </c>
      <c r="O567" s="252">
        <v>0</v>
      </c>
      <c r="P567" s="252">
        <v>0</v>
      </c>
      <c r="Q567" s="252">
        <v>0</v>
      </c>
      <c r="R567" s="252">
        <v>0</v>
      </c>
      <c r="S567" s="252">
        <v>0</v>
      </c>
      <c r="T567" s="252">
        <v>0</v>
      </c>
      <c r="U567" s="252">
        <v>0</v>
      </c>
      <c r="V567" s="252">
        <v>0</v>
      </c>
      <c r="W567" s="252">
        <v>0</v>
      </c>
      <c r="X567" s="252">
        <v>0</v>
      </c>
      <c r="Y567" s="252">
        <v>4338.2</v>
      </c>
      <c r="Z567" s="252">
        <v>0</v>
      </c>
      <c r="AA567" s="252">
        <v>0</v>
      </c>
      <c r="AB567" s="252">
        <v>1565.75</v>
      </c>
      <c r="AC567" s="252">
        <v>0</v>
      </c>
      <c r="AD567" s="252">
        <v>0</v>
      </c>
      <c r="AE567" s="252" t="s">
        <v>720</v>
      </c>
      <c r="AF567" s="252" t="s">
        <v>721</v>
      </c>
      <c r="AG567" s="252">
        <f t="shared" si="41"/>
        <v>0</v>
      </c>
      <c r="AH567" s="252">
        <f t="shared" si="42"/>
        <v>0</v>
      </c>
      <c r="AI567" s="252">
        <f t="shared" si="43"/>
        <v>0</v>
      </c>
      <c r="AJ567" s="252">
        <f t="shared" si="44"/>
        <v>0</v>
      </c>
    </row>
    <row r="568" spans="1:36" x14ac:dyDescent="0.2">
      <c r="A568" s="253" t="str">
        <f t="shared" si="40"/>
        <v>SNF-FILMFR40</v>
      </c>
      <c r="B568" s="252" t="s">
        <v>19</v>
      </c>
      <c r="C568" s="252" t="s">
        <v>20</v>
      </c>
      <c r="D568" s="252" t="s">
        <v>2576</v>
      </c>
      <c r="E568" s="252" t="s">
        <v>2577</v>
      </c>
      <c r="F568" s="252" t="s">
        <v>2583</v>
      </c>
      <c r="G568" s="252">
        <v>40</v>
      </c>
      <c r="H568" s="252" t="s">
        <v>928</v>
      </c>
      <c r="I568" s="252" t="s">
        <v>928</v>
      </c>
      <c r="J568" s="252" t="s">
        <v>928</v>
      </c>
      <c r="K568" s="252" t="s">
        <v>3236</v>
      </c>
      <c r="L568" s="252">
        <v>5903.95</v>
      </c>
      <c r="M568" s="252">
        <v>0</v>
      </c>
      <c r="N568" s="252">
        <v>0</v>
      </c>
      <c r="O568" s="252">
        <v>0</v>
      </c>
      <c r="P568" s="252">
        <v>0</v>
      </c>
      <c r="Q568" s="252">
        <v>0</v>
      </c>
      <c r="R568" s="252">
        <v>0</v>
      </c>
      <c r="S568" s="252">
        <v>0</v>
      </c>
      <c r="T568" s="252">
        <v>0</v>
      </c>
      <c r="U568" s="252">
        <v>0</v>
      </c>
      <c r="V568" s="252">
        <v>0</v>
      </c>
      <c r="W568" s="252">
        <v>0</v>
      </c>
      <c r="X568" s="252">
        <v>0</v>
      </c>
      <c r="Y568" s="252">
        <v>4338.2</v>
      </c>
      <c r="Z568" s="252">
        <v>0</v>
      </c>
      <c r="AA568" s="252">
        <v>0</v>
      </c>
      <c r="AB568" s="252">
        <v>1565.75</v>
      </c>
      <c r="AC568" s="252">
        <v>0</v>
      </c>
      <c r="AD568" s="252">
        <v>0</v>
      </c>
      <c r="AE568" s="252" t="s">
        <v>720</v>
      </c>
      <c r="AF568" s="252" t="s">
        <v>721</v>
      </c>
      <c r="AG568" s="252">
        <f t="shared" si="41"/>
        <v>0</v>
      </c>
      <c r="AH568" s="252">
        <f t="shared" si="42"/>
        <v>0</v>
      </c>
      <c r="AI568" s="252">
        <f t="shared" si="43"/>
        <v>0</v>
      </c>
      <c r="AJ568" s="252">
        <f t="shared" si="44"/>
        <v>0</v>
      </c>
    </row>
    <row r="569" spans="1:36" x14ac:dyDescent="0.2">
      <c r="A569" s="253" t="str">
        <f t="shared" si="40"/>
        <v>2SNF-FILMFV25</v>
      </c>
      <c r="B569" s="252" t="s">
        <v>19</v>
      </c>
      <c r="C569" s="252" t="s">
        <v>20</v>
      </c>
      <c r="D569" s="252" t="s">
        <v>2576</v>
      </c>
      <c r="E569" s="252" t="s">
        <v>2577</v>
      </c>
      <c r="F569" s="252" t="s">
        <v>2584</v>
      </c>
      <c r="G569" s="252">
        <v>25</v>
      </c>
      <c r="H569" s="252" t="s">
        <v>928</v>
      </c>
      <c r="I569" s="252" t="s">
        <v>2477</v>
      </c>
      <c r="J569" s="252" t="s">
        <v>928</v>
      </c>
      <c r="K569" s="252" t="s">
        <v>3236</v>
      </c>
      <c r="L569" s="252">
        <v>6134.94</v>
      </c>
      <c r="M569" s="252">
        <v>0</v>
      </c>
      <c r="N569" s="252">
        <v>0</v>
      </c>
      <c r="O569" s="252">
        <v>0</v>
      </c>
      <c r="P569" s="252">
        <v>0</v>
      </c>
      <c r="Q569" s="252">
        <v>0</v>
      </c>
      <c r="R569" s="252">
        <v>0</v>
      </c>
      <c r="S569" s="252">
        <v>0</v>
      </c>
      <c r="T569" s="252">
        <v>0</v>
      </c>
      <c r="U569" s="252">
        <v>0</v>
      </c>
      <c r="V569" s="252">
        <v>0</v>
      </c>
      <c r="W569" s="252">
        <v>0</v>
      </c>
      <c r="X569" s="252">
        <v>0</v>
      </c>
      <c r="Y569" s="252">
        <v>4599.8900000000003</v>
      </c>
      <c r="Z569" s="252">
        <v>0</v>
      </c>
      <c r="AA569" s="252">
        <v>0</v>
      </c>
      <c r="AB569" s="252">
        <v>1535.05</v>
      </c>
      <c r="AC569" s="252">
        <v>0</v>
      </c>
      <c r="AD569" s="252">
        <v>0</v>
      </c>
      <c r="AE569" s="252" t="s">
        <v>720</v>
      </c>
      <c r="AF569" s="252" t="s">
        <v>721</v>
      </c>
      <c r="AG569" s="252">
        <f t="shared" si="41"/>
        <v>0</v>
      </c>
      <c r="AH569" s="252">
        <f t="shared" si="42"/>
        <v>0</v>
      </c>
      <c r="AI569" s="252">
        <f t="shared" si="43"/>
        <v>0</v>
      </c>
      <c r="AJ569" s="252">
        <f t="shared" si="44"/>
        <v>0</v>
      </c>
    </row>
    <row r="570" spans="1:36" x14ac:dyDescent="0.2">
      <c r="A570" s="253" t="str">
        <f t="shared" si="40"/>
        <v>SNF-FILMFV25</v>
      </c>
      <c r="B570" s="252" t="s">
        <v>19</v>
      </c>
      <c r="C570" s="252" t="s">
        <v>20</v>
      </c>
      <c r="D570" s="252" t="s">
        <v>2576</v>
      </c>
      <c r="E570" s="252" t="s">
        <v>2577</v>
      </c>
      <c r="F570" s="252" t="s">
        <v>2584</v>
      </c>
      <c r="G570" s="252">
        <v>25</v>
      </c>
      <c r="H570" s="252" t="s">
        <v>928</v>
      </c>
      <c r="I570" s="252" t="s">
        <v>928</v>
      </c>
      <c r="J570" s="252" t="s">
        <v>928</v>
      </c>
      <c r="K570" s="252" t="s">
        <v>3236</v>
      </c>
      <c r="L570" s="252">
        <v>6134.94</v>
      </c>
      <c r="M570" s="252">
        <v>0</v>
      </c>
      <c r="N570" s="252">
        <v>0</v>
      </c>
      <c r="O570" s="252">
        <v>0</v>
      </c>
      <c r="P570" s="252">
        <v>0</v>
      </c>
      <c r="Q570" s="252">
        <v>0</v>
      </c>
      <c r="R570" s="252">
        <v>0</v>
      </c>
      <c r="S570" s="252">
        <v>0</v>
      </c>
      <c r="T570" s="252">
        <v>0</v>
      </c>
      <c r="U570" s="252">
        <v>0</v>
      </c>
      <c r="V570" s="252">
        <v>0</v>
      </c>
      <c r="W570" s="252">
        <v>0</v>
      </c>
      <c r="X570" s="252">
        <v>0</v>
      </c>
      <c r="Y570" s="252">
        <v>4599.8900000000003</v>
      </c>
      <c r="Z570" s="252">
        <v>0</v>
      </c>
      <c r="AA570" s="252">
        <v>0</v>
      </c>
      <c r="AB570" s="252">
        <v>1535.05</v>
      </c>
      <c r="AC570" s="252">
        <v>0</v>
      </c>
      <c r="AD570" s="252">
        <v>0</v>
      </c>
      <c r="AE570" s="252" t="s">
        <v>20</v>
      </c>
      <c r="AF570" s="252" t="s">
        <v>718</v>
      </c>
      <c r="AG570" s="252">
        <f t="shared" si="41"/>
        <v>0</v>
      </c>
      <c r="AH570" s="252">
        <f t="shared" si="42"/>
        <v>0</v>
      </c>
      <c r="AI570" s="252">
        <f t="shared" si="43"/>
        <v>0</v>
      </c>
      <c r="AJ570" s="252">
        <f t="shared" si="44"/>
        <v>0</v>
      </c>
    </row>
    <row r="571" spans="1:36" x14ac:dyDescent="0.2">
      <c r="A571" s="253" t="str">
        <f t="shared" si="40"/>
        <v>2SNF-FILMFV50</v>
      </c>
      <c r="B571" s="252" t="s">
        <v>19</v>
      </c>
      <c r="C571" s="252" t="s">
        <v>20</v>
      </c>
      <c r="D571" s="252" t="s">
        <v>2576</v>
      </c>
      <c r="E571" s="252" t="s">
        <v>2577</v>
      </c>
      <c r="F571" s="252" t="s">
        <v>2584</v>
      </c>
      <c r="G571" s="252">
        <v>50</v>
      </c>
      <c r="H571" s="252" t="s">
        <v>928</v>
      </c>
      <c r="I571" s="252" t="s">
        <v>2477</v>
      </c>
      <c r="J571" s="252" t="s">
        <v>928</v>
      </c>
      <c r="K571" s="252" t="s">
        <v>3236</v>
      </c>
      <c r="L571" s="252">
        <v>6335.02</v>
      </c>
      <c r="M571" s="252">
        <v>0</v>
      </c>
      <c r="N571" s="252">
        <v>0</v>
      </c>
      <c r="O571" s="252">
        <v>0</v>
      </c>
      <c r="P571" s="252">
        <v>0</v>
      </c>
      <c r="Q571" s="252">
        <v>0</v>
      </c>
      <c r="R571" s="252">
        <v>0</v>
      </c>
      <c r="S571" s="252">
        <v>0</v>
      </c>
      <c r="T571" s="252">
        <v>0</v>
      </c>
      <c r="U571" s="252">
        <v>0</v>
      </c>
      <c r="V571" s="252">
        <v>0</v>
      </c>
      <c r="W571" s="252">
        <v>0</v>
      </c>
      <c r="X571" s="252">
        <v>0</v>
      </c>
      <c r="Y571" s="252">
        <v>4662.84</v>
      </c>
      <c r="Z571" s="252">
        <v>0</v>
      </c>
      <c r="AA571" s="252">
        <v>0</v>
      </c>
      <c r="AB571" s="252">
        <v>1672.18</v>
      </c>
      <c r="AC571" s="252">
        <v>0</v>
      </c>
      <c r="AD571" s="252">
        <v>0</v>
      </c>
      <c r="AE571" s="252" t="s">
        <v>20</v>
      </c>
      <c r="AF571" s="252" t="s">
        <v>718</v>
      </c>
      <c r="AG571" s="252">
        <f t="shared" si="41"/>
        <v>0</v>
      </c>
      <c r="AH571" s="252">
        <f t="shared" si="42"/>
        <v>0</v>
      </c>
      <c r="AI571" s="252">
        <f t="shared" si="43"/>
        <v>0</v>
      </c>
      <c r="AJ571" s="252">
        <f t="shared" si="44"/>
        <v>0</v>
      </c>
    </row>
    <row r="572" spans="1:36" x14ac:dyDescent="0.2">
      <c r="A572" s="253" t="str">
        <f t="shared" si="40"/>
        <v>SNF-FILMFV50</v>
      </c>
      <c r="B572" s="252" t="s">
        <v>19</v>
      </c>
      <c r="C572" s="252" t="s">
        <v>20</v>
      </c>
      <c r="D572" s="252" t="s">
        <v>2576</v>
      </c>
      <c r="E572" s="252" t="s">
        <v>2577</v>
      </c>
      <c r="F572" s="252" t="s">
        <v>2584</v>
      </c>
      <c r="G572" s="252">
        <v>50</v>
      </c>
      <c r="H572" s="252" t="s">
        <v>928</v>
      </c>
      <c r="I572" s="252" t="s">
        <v>928</v>
      </c>
      <c r="J572" s="252" t="s">
        <v>928</v>
      </c>
      <c r="K572" s="252" t="s">
        <v>3236</v>
      </c>
      <c r="L572" s="252">
        <v>6335.02</v>
      </c>
      <c r="M572" s="252">
        <v>0</v>
      </c>
      <c r="N572" s="252">
        <v>0</v>
      </c>
      <c r="O572" s="252">
        <v>0</v>
      </c>
      <c r="P572" s="252">
        <v>0</v>
      </c>
      <c r="Q572" s="252">
        <v>0</v>
      </c>
      <c r="R572" s="252">
        <v>0</v>
      </c>
      <c r="S572" s="252">
        <v>0</v>
      </c>
      <c r="T572" s="252">
        <v>0</v>
      </c>
      <c r="U572" s="252">
        <v>0</v>
      </c>
      <c r="V572" s="252">
        <v>0</v>
      </c>
      <c r="W572" s="252">
        <v>0</v>
      </c>
      <c r="X572" s="252">
        <v>0</v>
      </c>
      <c r="Y572" s="252">
        <v>4662.84</v>
      </c>
      <c r="Z572" s="252">
        <v>0</v>
      </c>
      <c r="AA572" s="252">
        <v>0</v>
      </c>
      <c r="AB572" s="252">
        <v>1672.18</v>
      </c>
      <c r="AC572" s="252">
        <v>0</v>
      </c>
      <c r="AD572" s="252">
        <v>0</v>
      </c>
      <c r="AE572" s="252" t="s">
        <v>20</v>
      </c>
      <c r="AF572" s="252" t="s">
        <v>718</v>
      </c>
      <c r="AG572" s="252">
        <f t="shared" si="41"/>
        <v>0</v>
      </c>
      <c r="AH572" s="252">
        <f t="shared" si="42"/>
        <v>0</v>
      </c>
      <c r="AI572" s="252">
        <f t="shared" si="43"/>
        <v>0</v>
      </c>
      <c r="AJ572" s="252">
        <f t="shared" si="44"/>
        <v>0</v>
      </c>
    </row>
    <row r="573" spans="1:36" x14ac:dyDescent="0.2">
      <c r="A573" s="253" t="str">
        <f t="shared" si="40"/>
        <v>2SNF-LHFL25</v>
      </c>
      <c r="B573" s="252" t="s">
        <v>19</v>
      </c>
      <c r="C573" s="252" t="s">
        <v>20</v>
      </c>
      <c r="D573" s="252" t="s">
        <v>2585</v>
      </c>
      <c r="E573" s="252" t="s">
        <v>2577</v>
      </c>
      <c r="F573" s="252" t="s">
        <v>2586</v>
      </c>
      <c r="G573" s="252">
        <v>25</v>
      </c>
      <c r="H573" s="252" t="s">
        <v>928</v>
      </c>
      <c r="I573" s="252" t="s">
        <v>2477</v>
      </c>
      <c r="J573" s="252" t="s">
        <v>928</v>
      </c>
      <c r="K573" s="252" t="s">
        <v>3236</v>
      </c>
      <c r="L573" s="252">
        <v>6212.06</v>
      </c>
      <c r="M573" s="252">
        <v>0</v>
      </c>
      <c r="N573" s="252">
        <v>0</v>
      </c>
      <c r="O573" s="252">
        <v>0</v>
      </c>
      <c r="P573" s="252">
        <v>0</v>
      </c>
      <c r="Q573" s="252">
        <v>0</v>
      </c>
      <c r="R573" s="252">
        <v>0</v>
      </c>
      <c r="S573" s="252">
        <v>0</v>
      </c>
      <c r="T573" s="252">
        <v>0</v>
      </c>
      <c r="U573" s="252">
        <v>0</v>
      </c>
      <c r="V573" s="252">
        <v>0</v>
      </c>
      <c r="W573" s="252">
        <v>0</v>
      </c>
      <c r="X573" s="252">
        <v>0</v>
      </c>
      <c r="Y573" s="252">
        <v>4683.96</v>
      </c>
      <c r="Z573" s="252">
        <v>0</v>
      </c>
      <c r="AA573" s="252">
        <v>0</v>
      </c>
      <c r="AB573" s="252">
        <v>1528.11</v>
      </c>
      <c r="AC573" s="252">
        <v>0</v>
      </c>
      <c r="AD573" s="252">
        <v>0</v>
      </c>
      <c r="AE573" s="252" t="s">
        <v>20</v>
      </c>
      <c r="AF573" s="252" t="s">
        <v>718</v>
      </c>
      <c r="AG573" s="252">
        <f t="shared" si="41"/>
        <v>0</v>
      </c>
      <c r="AH573" s="252">
        <f t="shared" si="42"/>
        <v>0</v>
      </c>
      <c r="AI573" s="252">
        <f t="shared" si="43"/>
        <v>0</v>
      </c>
      <c r="AJ573" s="252">
        <f t="shared" si="44"/>
        <v>0</v>
      </c>
    </row>
    <row r="574" spans="1:36" x14ac:dyDescent="0.2">
      <c r="A574" s="253" t="str">
        <f t="shared" si="40"/>
        <v>SNF-LHFL25</v>
      </c>
      <c r="B574" s="252" t="s">
        <v>19</v>
      </c>
      <c r="C574" s="252" t="s">
        <v>20</v>
      </c>
      <c r="D574" s="252" t="s">
        <v>2585</v>
      </c>
      <c r="E574" s="252" t="s">
        <v>2577</v>
      </c>
      <c r="F574" s="252" t="s">
        <v>2586</v>
      </c>
      <c r="G574" s="252">
        <v>25</v>
      </c>
      <c r="H574" s="252" t="s">
        <v>928</v>
      </c>
      <c r="I574" s="252" t="s">
        <v>928</v>
      </c>
      <c r="J574" s="252" t="s">
        <v>928</v>
      </c>
      <c r="K574" s="252" t="s">
        <v>3236</v>
      </c>
      <c r="L574" s="252">
        <v>6212.06</v>
      </c>
      <c r="M574" s="252">
        <v>0</v>
      </c>
      <c r="N574" s="252">
        <v>0</v>
      </c>
      <c r="O574" s="252">
        <v>0</v>
      </c>
      <c r="P574" s="252">
        <v>0</v>
      </c>
      <c r="Q574" s="252">
        <v>0</v>
      </c>
      <c r="R574" s="252">
        <v>0</v>
      </c>
      <c r="S574" s="252">
        <v>0</v>
      </c>
      <c r="T574" s="252">
        <v>0</v>
      </c>
      <c r="U574" s="252">
        <v>0</v>
      </c>
      <c r="V574" s="252">
        <v>0</v>
      </c>
      <c r="W574" s="252">
        <v>0</v>
      </c>
      <c r="X574" s="252">
        <v>0</v>
      </c>
      <c r="Y574" s="252">
        <v>4683.96</v>
      </c>
      <c r="Z574" s="252">
        <v>0</v>
      </c>
      <c r="AA574" s="252">
        <v>0</v>
      </c>
      <c r="AB574" s="252">
        <v>1528.11</v>
      </c>
      <c r="AC574" s="252">
        <v>0</v>
      </c>
      <c r="AD574" s="252">
        <v>0</v>
      </c>
      <c r="AE574" s="252" t="s">
        <v>20</v>
      </c>
      <c r="AF574" s="252" t="s">
        <v>718</v>
      </c>
      <c r="AG574" s="252">
        <f t="shared" si="41"/>
        <v>0</v>
      </c>
      <c r="AH574" s="252">
        <f t="shared" si="42"/>
        <v>0</v>
      </c>
      <c r="AI574" s="252">
        <f t="shared" si="43"/>
        <v>0</v>
      </c>
      <c r="AJ574" s="252">
        <f t="shared" si="44"/>
        <v>0</v>
      </c>
    </row>
    <row r="575" spans="1:36" x14ac:dyDescent="0.2">
      <c r="A575" s="253" t="str">
        <f t="shared" si="40"/>
        <v>8SNF-PCFRP25</v>
      </c>
      <c r="B575" s="252" t="s">
        <v>19</v>
      </c>
      <c r="C575" s="252" t="s">
        <v>20</v>
      </c>
      <c r="D575" s="252" t="s">
        <v>2587</v>
      </c>
      <c r="E575" s="252" t="s">
        <v>2577</v>
      </c>
      <c r="F575" s="252" t="s">
        <v>2588</v>
      </c>
      <c r="G575" s="252">
        <v>25</v>
      </c>
      <c r="H575" s="252" t="s">
        <v>928</v>
      </c>
      <c r="I575" s="252" t="s">
        <v>2487</v>
      </c>
      <c r="J575" s="252" t="s">
        <v>928</v>
      </c>
      <c r="K575" s="252" t="s">
        <v>3236</v>
      </c>
      <c r="L575" s="252">
        <v>7071.94</v>
      </c>
      <c r="M575" s="252">
        <v>0</v>
      </c>
      <c r="N575" s="252">
        <v>0</v>
      </c>
      <c r="O575" s="252">
        <v>0</v>
      </c>
      <c r="P575" s="252">
        <v>0</v>
      </c>
      <c r="Q575" s="252">
        <v>0</v>
      </c>
      <c r="R575" s="252">
        <v>0</v>
      </c>
      <c r="S575" s="252">
        <v>0</v>
      </c>
      <c r="T575" s="252">
        <v>0</v>
      </c>
      <c r="U575" s="252">
        <v>0</v>
      </c>
      <c r="V575" s="252">
        <v>0</v>
      </c>
      <c r="W575" s="252">
        <v>0</v>
      </c>
      <c r="X575" s="252">
        <v>0</v>
      </c>
      <c r="Y575" s="252">
        <v>5751.8</v>
      </c>
      <c r="Z575" s="252">
        <v>0</v>
      </c>
      <c r="AA575" s="252">
        <v>0</v>
      </c>
      <c r="AB575" s="252">
        <v>1320.14</v>
      </c>
      <c r="AC575" s="252">
        <v>0</v>
      </c>
      <c r="AD575" s="252">
        <v>0</v>
      </c>
      <c r="AE575" s="252" t="s">
        <v>20</v>
      </c>
      <c r="AF575" s="252" t="s">
        <v>718</v>
      </c>
      <c r="AG575" s="252">
        <f t="shared" si="41"/>
        <v>0</v>
      </c>
      <c r="AH575" s="252">
        <f t="shared" si="42"/>
        <v>0</v>
      </c>
      <c r="AI575" s="252">
        <f t="shared" si="43"/>
        <v>0</v>
      </c>
      <c r="AJ575" s="252">
        <f t="shared" si="44"/>
        <v>0</v>
      </c>
    </row>
    <row r="576" spans="1:36" x14ac:dyDescent="0.2">
      <c r="A576" s="253" t="str">
        <f t="shared" si="40"/>
        <v>SNF-PCFRP25</v>
      </c>
      <c r="B576" s="252" t="s">
        <v>19</v>
      </c>
      <c r="C576" s="252" t="s">
        <v>20</v>
      </c>
      <c r="D576" s="252" t="s">
        <v>2587</v>
      </c>
      <c r="E576" s="252" t="s">
        <v>2577</v>
      </c>
      <c r="F576" s="252" t="s">
        <v>2588</v>
      </c>
      <c r="G576" s="252">
        <v>25</v>
      </c>
      <c r="H576" s="252" t="s">
        <v>928</v>
      </c>
      <c r="I576" s="252" t="s">
        <v>928</v>
      </c>
      <c r="J576" s="252" t="s">
        <v>928</v>
      </c>
      <c r="K576" s="252" t="s">
        <v>3236</v>
      </c>
      <c r="L576" s="252">
        <v>7071.94</v>
      </c>
      <c r="M576" s="252">
        <v>0</v>
      </c>
      <c r="N576" s="252">
        <v>0</v>
      </c>
      <c r="O576" s="252">
        <v>0</v>
      </c>
      <c r="P576" s="252">
        <v>0</v>
      </c>
      <c r="Q576" s="252">
        <v>0</v>
      </c>
      <c r="R576" s="252">
        <v>0</v>
      </c>
      <c r="S576" s="252">
        <v>0</v>
      </c>
      <c r="T576" s="252">
        <v>0</v>
      </c>
      <c r="U576" s="252">
        <v>0</v>
      </c>
      <c r="V576" s="252">
        <v>0</v>
      </c>
      <c r="W576" s="252">
        <v>0</v>
      </c>
      <c r="X576" s="252">
        <v>0</v>
      </c>
      <c r="Y576" s="252">
        <v>5751.8</v>
      </c>
      <c r="Z576" s="252">
        <v>0</v>
      </c>
      <c r="AA576" s="252">
        <v>0</v>
      </c>
      <c r="AB576" s="252">
        <v>1320.14</v>
      </c>
      <c r="AC576" s="252">
        <v>0</v>
      </c>
      <c r="AD576" s="252">
        <v>0</v>
      </c>
      <c r="AE576" s="252" t="s">
        <v>20</v>
      </c>
      <c r="AF576" s="252" t="s">
        <v>718</v>
      </c>
      <c r="AG576" s="252">
        <f t="shared" si="41"/>
        <v>0</v>
      </c>
      <c r="AH576" s="252">
        <f t="shared" si="42"/>
        <v>0</v>
      </c>
      <c r="AI576" s="252">
        <f t="shared" si="43"/>
        <v>0</v>
      </c>
      <c r="AJ576" s="252">
        <f t="shared" si="44"/>
        <v>0</v>
      </c>
    </row>
    <row r="577" spans="1:36" x14ac:dyDescent="0.2">
      <c r="A577" s="253" t="str">
        <f t="shared" si="40"/>
        <v>9SNMCLMCPET12</v>
      </c>
      <c r="B577" s="252" t="s">
        <v>19</v>
      </c>
      <c r="C577" s="252" t="s">
        <v>20</v>
      </c>
      <c r="D577" s="252" t="s">
        <v>2589</v>
      </c>
      <c r="E577" s="252" t="s">
        <v>2590</v>
      </c>
      <c r="F577" s="252" t="s">
        <v>2591</v>
      </c>
      <c r="G577" s="252">
        <v>12</v>
      </c>
      <c r="H577" s="252" t="s">
        <v>928</v>
      </c>
      <c r="I577" s="252" t="s">
        <v>2469</v>
      </c>
      <c r="J577" s="252" t="s">
        <v>928</v>
      </c>
      <c r="K577" s="252" t="s">
        <v>3236</v>
      </c>
      <c r="L577" s="252">
        <v>15</v>
      </c>
      <c r="M577" s="252">
        <v>98</v>
      </c>
      <c r="N577" s="252">
        <v>0</v>
      </c>
      <c r="O577" s="252">
        <v>0</v>
      </c>
      <c r="P577" s="252">
        <v>0</v>
      </c>
      <c r="Q577" s="252">
        <v>15</v>
      </c>
      <c r="R577" s="252">
        <v>0</v>
      </c>
      <c r="S577" s="252">
        <v>0</v>
      </c>
      <c r="T577" s="252">
        <v>0</v>
      </c>
      <c r="U577" s="252">
        <v>0</v>
      </c>
      <c r="V577" s="252">
        <v>0</v>
      </c>
      <c r="W577" s="252">
        <v>0</v>
      </c>
      <c r="X577" s="252">
        <v>0</v>
      </c>
      <c r="Y577" s="252">
        <v>0</v>
      </c>
      <c r="Z577" s="252">
        <v>0</v>
      </c>
      <c r="AA577" s="252">
        <v>0</v>
      </c>
      <c r="AB577" s="252">
        <v>0</v>
      </c>
      <c r="AC577" s="252">
        <v>0</v>
      </c>
      <c r="AD577" s="252">
        <v>1</v>
      </c>
      <c r="AE577" s="252" t="s">
        <v>20</v>
      </c>
      <c r="AF577" s="252" t="s">
        <v>718</v>
      </c>
      <c r="AG577" s="252">
        <f t="shared" si="41"/>
        <v>0</v>
      </c>
      <c r="AH577" s="252">
        <f t="shared" si="42"/>
        <v>0</v>
      </c>
      <c r="AI577" s="252">
        <f t="shared" si="43"/>
        <v>0</v>
      </c>
      <c r="AJ577" s="252">
        <f t="shared" si="44"/>
        <v>0</v>
      </c>
    </row>
    <row r="578" spans="1:36" x14ac:dyDescent="0.2">
      <c r="A578" s="253" t="str">
        <f t="shared" si="40"/>
        <v>SNMCLMCPET12</v>
      </c>
      <c r="B578" s="252" t="s">
        <v>19</v>
      </c>
      <c r="C578" s="252" t="s">
        <v>20</v>
      </c>
      <c r="D578" s="252" t="s">
        <v>2589</v>
      </c>
      <c r="E578" s="252" t="s">
        <v>2590</v>
      </c>
      <c r="F578" s="252" t="s">
        <v>2591</v>
      </c>
      <c r="G578" s="252">
        <v>12</v>
      </c>
      <c r="H578" s="252" t="s">
        <v>928</v>
      </c>
      <c r="I578" s="252" t="s">
        <v>928</v>
      </c>
      <c r="J578" s="252" t="s">
        <v>928</v>
      </c>
      <c r="K578" s="252" t="s">
        <v>3236</v>
      </c>
      <c r="L578" s="252">
        <v>15</v>
      </c>
      <c r="M578" s="252">
        <v>98</v>
      </c>
      <c r="N578" s="252">
        <v>0</v>
      </c>
      <c r="O578" s="252">
        <v>0</v>
      </c>
      <c r="P578" s="252">
        <v>0</v>
      </c>
      <c r="Q578" s="252">
        <v>15</v>
      </c>
      <c r="R578" s="252">
        <v>0</v>
      </c>
      <c r="S578" s="252">
        <v>0</v>
      </c>
      <c r="T578" s="252">
        <v>0</v>
      </c>
      <c r="U578" s="252">
        <v>0</v>
      </c>
      <c r="V578" s="252">
        <v>0</v>
      </c>
      <c r="W578" s="252">
        <v>0</v>
      </c>
      <c r="X578" s="252">
        <v>0</v>
      </c>
      <c r="Y578" s="252">
        <v>0</v>
      </c>
      <c r="Z578" s="252">
        <v>0</v>
      </c>
      <c r="AA578" s="252">
        <v>0</v>
      </c>
      <c r="AB578" s="252">
        <v>0</v>
      </c>
      <c r="AC578" s="252">
        <v>0</v>
      </c>
      <c r="AD578" s="252">
        <v>1</v>
      </c>
      <c r="AE578" s="252" t="s">
        <v>20</v>
      </c>
      <c r="AF578" s="252" t="s">
        <v>718</v>
      </c>
      <c r="AG578" s="252">
        <f t="shared" si="41"/>
        <v>0</v>
      </c>
      <c r="AH578" s="252">
        <f t="shared" si="42"/>
        <v>0</v>
      </c>
      <c r="AI578" s="252">
        <f t="shared" si="43"/>
        <v>0</v>
      </c>
      <c r="AJ578" s="252">
        <f t="shared" si="44"/>
        <v>0</v>
      </c>
    </row>
    <row r="579" spans="1:36" x14ac:dyDescent="0.2">
      <c r="A579" s="253" t="str">
        <f t="shared" si="40"/>
        <v>3SNMCLBDMSV50</v>
      </c>
      <c r="B579" s="252" t="s">
        <v>19</v>
      </c>
      <c r="C579" s="252" t="s">
        <v>20</v>
      </c>
      <c r="D579" s="252" t="s">
        <v>165</v>
      </c>
      <c r="E579" s="252" t="s">
        <v>723</v>
      </c>
      <c r="F579" s="252" t="s">
        <v>166</v>
      </c>
      <c r="G579" s="252">
        <v>50</v>
      </c>
      <c r="H579" s="252" t="s">
        <v>928</v>
      </c>
      <c r="I579" s="252" t="s">
        <v>2465</v>
      </c>
      <c r="J579" s="252" t="s">
        <v>928</v>
      </c>
      <c r="K579" s="252" t="s">
        <v>3236</v>
      </c>
      <c r="L579" s="252">
        <v>93.825720000000004</v>
      </c>
      <c r="M579" s="252">
        <v>97.3</v>
      </c>
      <c r="N579" s="252">
        <v>0</v>
      </c>
      <c r="O579" s="252">
        <v>0</v>
      </c>
      <c r="P579" s="252">
        <v>5.5765700000000002</v>
      </c>
      <c r="Q579" s="252">
        <v>0</v>
      </c>
      <c r="R579" s="252">
        <v>0</v>
      </c>
      <c r="S579" s="252">
        <v>0</v>
      </c>
      <c r="T579" s="252">
        <v>5.6415800000000003</v>
      </c>
      <c r="U579" s="252">
        <v>3.3866900000000002</v>
      </c>
      <c r="V579" s="252">
        <v>1.1157600000000001</v>
      </c>
      <c r="W579" s="252">
        <v>14.086449999999999</v>
      </c>
      <c r="X579" s="252">
        <v>0</v>
      </c>
      <c r="Y579" s="252">
        <v>0</v>
      </c>
      <c r="Z579" s="252">
        <v>27.769729999999999</v>
      </c>
      <c r="AA579" s="252">
        <v>24.54937</v>
      </c>
      <c r="AB579" s="252">
        <v>11.69957</v>
      </c>
      <c r="AC579" s="252">
        <v>0</v>
      </c>
      <c r="AD579" s="252">
        <v>1</v>
      </c>
      <c r="AE579" s="252" t="s">
        <v>20</v>
      </c>
      <c r="AF579" s="252" t="s">
        <v>718</v>
      </c>
      <c r="AG579" s="252">
        <f t="shared" si="41"/>
        <v>0</v>
      </c>
      <c r="AH579" s="252">
        <f t="shared" si="42"/>
        <v>5.4260026100000003</v>
      </c>
      <c r="AI579" s="252">
        <f t="shared" si="43"/>
        <v>11.383681609999998</v>
      </c>
      <c r="AJ579" s="252">
        <f t="shared" si="44"/>
        <v>16.809684219999998</v>
      </c>
    </row>
    <row r="580" spans="1:36" x14ac:dyDescent="0.2">
      <c r="A580" s="253" t="str">
        <f t="shared" ref="A580:A644" si="45">TRIM(I580&amp;B580&amp;C580&amp;D580&amp;F580&amp;G580)</f>
        <v>32SNMCLBDMSV50</v>
      </c>
      <c r="B580" s="252" t="s">
        <v>19</v>
      </c>
      <c r="C580" s="252" t="s">
        <v>20</v>
      </c>
      <c r="D580" s="252" t="s">
        <v>165</v>
      </c>
      <c r="E580" s="252" t="s">
        <v>723</v>
      </c>
      <c r="F580" s="252" t="s">
        <v>166</v>
      </c>
      <c r="G580" s="252">
        <v>50</v>
      </c>
      <c r="H580" s="252" t="s">
        <v>928</v>
      </c>
      <c r="I580" s="252" t="s">
        <v>2592</v>
      </c>
      <c r="J580" s="252" t="s">
        <v>928</v>
      </c>
      <c r="K580" s="252" t="s">
        <v>3236</v>
      </c>
      <c r="L580" s="252">
        <v>16.80968</v>
      </c>
      <c r="M580" s="252">
        <v>100</v>
      </c>
      <c r="N580" s="252">
        <v>0</v>
      </c>
      <c r="O580" s="252">
        <v>0</v>
      </c>
      <c r="P580" s="252">
        <v>0</v>
      </c>
      <c r="Q580" s="252">
        <v>0</v>
      </c>
      <c r="R580" s="252">
        <v>0</v>
      </c>
      <c r="S580" s="252">
        <v>0</v>
      </c>
      <c r="T580" s="252">
        <v>0.62122999999999995</v>
      </c>
      <c r="U580" s="252">
        <v>0</v>
      </c>
      <c r="V580" s="252">
        <v>1.66012</v>
      </c>
      <c r="W580" s="252">
        <v>3.1446499999999999</v>
      </c>
      <c r="X580" s="252">
        <v>0</v>
      </c>
      <c r="Y580" s="252">
        <v>0</v>
      </c>
      <c r="Z580" s="252">
        <v>8.1598000000000006</v>
      </c>
      <c r="AA580" s="252">
        <v>3.2238799999999999</v>
      </c>
      <c r="AB580" s="252">
        <v>0</v>
      </c>
      <c r="AC580" s="252">
        <v>0</v>
      </c>
      <c r="AD580" s="252">
        <v>1</v>
      </c>
      <c r="AE580" s="252" t="s">
        <v>20</v>
      </c>
      <c r="AF580" s="252" t="s">
        <v>718</v>
      </c>
      <c r="AG580" s="252">
        <f t="shared" si="41"/>
        <v>0</v>
      </c>
      <c r="AH580" s="252">
        <f t="shared" si="42"/>
        <v>0</v>
      </c>
      <c r="AI580" s="252">
        <f t="shared" si="43"/>
        <v>0</v>
      </c>
      <c r="AJ580" s="252">
        <f t="shared" si="44"/>
        <v>0</v>
      </c>
    </row>
    <row r="581" spans="1:36" x14ac:dyDescent="0.2">
      <c r="A581" s="253" t="str">
        <f t="shared" si="45"/>
        <v>32SNMCLBEYK50</v>
      </c>
      <c r="B581" s="252" t="s">
        <v>19</v>
      </c>
      <c r="C581" s="252" t="s">
        <v>20</v>
      </c>
      <c r="D581" s="252" t="s">
        <v>165</v>
      </c>
      <c r="E581" s="252" t="s">
        <v>723</v>
      </c>
      <c r="F581" s="252" t="s">
        <v>169</v>
      </c>
      <c r="G581" s="252">
        <v>50</v>
      </c>
      <c r="H581" s="252" t="s">
        <v>928</v>
      </c>
      <c r="I581" s="252" t="s">
        <v>2592</v>
      </c>
      <c r="J581" s="252" t="s">
        <v>928</v>
      </c>
      <c r="K581" s="252" t="s">
        <v>3236</v>
      </c>
      <c r="L581" s="252">
        <v>11.25417</v>
      </c>
      <c r="M581" s="252">
        <v>100</v>
      </c>
      <c r="N581" s="252">
        <v>0</v>
      </c>
      <c r="O581" s="252">
        <v>0</v>
      </c>
      <c r="P581" s="252">
        <v>0</v>
      </c>
      <c r="Q581" s="252">
        <v>0</v>
      </c>
      <c r="R581" s="252">
        <v>0</v>
      </c>
      <c r="S581" s="252">
        <v>0</v>
      </c>
      <c r="T581" s="252">
        <v>0.42024</v>
      </c>
      <c r="U581" s="252">
        <v>0</v>
      </c>
      <c r="V581" s="252">
        <v>0.97206999999999999</v>
      </c>
      <c r="W581" s="252">
        <v>2.14717</v>
      </c>
      <c r="X581" s="252">
        <v>0</v>
      </c>
      <c r="Y581" s="252">
        <v>0</v>
      </c>
      <c r="Z581" s="252">
        <v>5.5293999999999999</v>
      </c>
      <c r="AA581" s="252">
        <v>2.1852900000000002</v>
      </c>
      <c r="AB581" s="252">
        <v>0</v>
      </c>
      <c r="AC581" s="252">
        <v>0</v>
      </c>
      <c r="AD581" s="252">
        <v>1</v>
      </c>
      <c r="AE581" s="252" t="s">
        <v>20</v>
      </c>
      <c r="AF581" s="252" t="s">
        <v>718</v>
      </c>
      <c r="AG581" s="252">
        <f t="shared" si="41"/>
        <v>0</v>
      </c>
      <c r="AH581" s="252">
        <f t="shared" si="42"/>
        <v>0</v>
      </c>
      <c r="AI581" s="252">
        <f t="shared" si="43"/>
        <v>0</v>
      </c>
      <c r="AJ581" s="252">
        <f t="shared" si="44"/>
        <v>0</v>
      </c>
    </row>
    <row r="582" spans="1:36" x14ac:dyDescent="0.2">
      <c r="A582" s="253" t="str">
        <f t="shared" si="45"/>
        <v>33SSNMCLBEYK50</v>
      </c>
      <c r="B582" s="252" t="s">
        <v>19</v>
      </c>
      <c r="C582" s="252" t="s">
        <v>20</v>
      </c>
      <c r="D582" s="252" t="s">
        <v>165</v>
      </c>
      <c r="E582" s="252" t="s">
        <v>723</v>
      </c>
      <c r="F582" s="252" t="s">
        <v>169</v>
      </c>
      <c r="G582" s="252">
        <v>50</v>
      </c>
      <c r="H582" s="252" t="s">
        <v>928</v>
      </c>
      <c r="I582" s="252" t="s">
        <v>158</v>
      </c>
      <c r="J582" s="252" t="s">
        <v>928</v>
      </c>
      <c r="K582" s="252" t="s">
        <v>3236</v>
      </c>
      <c r="L582" s="252">
        <v>75.644970000000001</v>
      </c>
      <c r="M582" s="252">
        <v>97</v>
      </c>
      <c r="N582" s="252">
        <v>0</v>
      </c>
      <c r="O582" s="252">
        <v>0</v>
      </c>
      <c r="P582" s="252">
        <v>3.6489500000000001</v>
      </c>
      <c r="Q582" s="252">
        <v>0</v>
      </c>
      <c r="R582" s="252">
        <v>0</v>
      </c>
      <c r="S582" s="252">
        <v>0</v>
      </c>
      <c r="T582" s="252">
        <v>4.4112400000000003</v>
      </c>
      <c r="U582" s="252">
        <v>0.94774999999999998</v>
      </c>
      <c r="V582" s="252">
        <v>1.05877</v>
      </c>
      <c r="W582" s="252">
        <v>12.90216</v>
      </c>
      <c r="X582" s="252">
        <v>0</v>
      </c>
      <c r="Y582" s="252">
        <v>0</v>
      </c>
      <c r="Z582" s="252">
        <v>22.537389999999998</v>
      </c>
      <c r="AA582" s="252">
        <v>22.185420000000001</v>
      </c>
      <c r="AB582" s="252">
        <v>7.95329</v>
      </c>
      <c r="AC582" s="252">
        <v>0</v>
      </c>
      <c r="AD582" s="252">
        <v>1</v>
      </c>
      <c r="AE582" s="252" t="s">
        <v>20</v>
      </c>
      <c r="AF582" s="252" t="s">
        <v>718</v>
      </c>
      <c r="AG582" s="252">
        <f t="shared" ref="AG582:AG645" si="46">+O582*M582/100</f>
        <v>0</v>
      </c>
      <c r="AH582" s="252">
        <f t="shared" ref="AH582:AH645" si="47">+P582*M582/100</f>
        <v>3.5394814999999999</v>
      </c>
      <c r="AI582" s="252">
        <f t="shared" ref="AI582:AI645" si="48">+AB582*M582/100</f>
        <v>7.7146912999999993</v>
      </c>
      <c r="AJ582" s="252">
        <f t="shared" ref="AJ582:AJ645" si="49">+AG582+AH582+AI582</f>
        <v>11.254172799999999</v>
      </c>
    </row>
    <row r="583" spans="1:36" x14ac:dyDescent="0.2">
      <c r="A583" s="253" t="str">
        <f t="shared" si="45"/>
        <v>32SNMCLBHLGKJV50</v>
      </c>
      <c r="B583" s="252" t="s">
        <v>19</v>
      </c>
      <c r="C583" s="252" t="s">
        <v>20</v>
      </c>
      <c r="D583" s="252" t="s">
        <v>165</v>
      </c>
      <c r="E583" s="252" t="s">
        <v>723</v>
      </c>
      <c r="F583" s="252" t="s">
        <v>172</v>
      </c>
      <c r="G583" s="252">
        <v>50</v>
      </c>
      <c r="H583" s="252" t="s">
        <v>928</v>
      </c>
      <c r="I583" s="252" t="s">
        <v>2592</v>
      </c>
      <c r="J583" s="252" t="s">
        <v>928</v>
      </c>
      <c r="K583" s="252" t="s">
        <v>3236</v>
      </c>
      <c r="L583" s="252">
        <v>12.734159999999999</v>
      </c>
      <c r="M583" s="252">
        <v>100</v>
      </c>
      <c r="N583" s="252">
        <v>0</v>
      </c>
      <c r="O583" s="252">
        <v>0</v>
      </c>
      <c r="P583" s="252">
        <v>0</v>
      </c>
      <c r="Q583" s="252">
        <v>0</v>
      </c>
      <c r="R583" s="252">
        <v>0</v>
      </c>
      <c r="S583" s="252">
        <v>0</v>
      </c>
      <c r="T583" s="252">
        <v>0.47871000000000002</v>
      </c>
      <c r="U583" s="252">
        <v>0</v>
      </c>
      <c r="V583" s="252">
        <v>1.10608</v>
      </c>
      <c r="W583" s="252">
        <v>2.4280499999999998</v>
      </c>
      <c r="X583" s="252">
        <v>0</v>
      </c>
      <c r="Y583" s="252">
        <v>0</v>
      </c>
      <c r="Z583" s="252">
        <v>6.2520100000000003</v>
      </c>
      <c r="AA583" s="252">
        <v>2.4693100000000001</v>
      </c>
      <c r="AB583" s="252">
        <v>0</v>
      </c>
      <c r="AC583" s="252">
        <v>0</v>
      </c>
      <c r="AD583" s="252">
        <v>1</v>
      </c>
      <c r="AE583" s="252" t="s">
        <v>20</v>
      </c>
      <c r="AF583" s="252" t="s">
        <v>718</v>
      </c>
      <c r="AG583" s="252">
        <f t="shared" si="46"/>
        <v>0</v>
      </c>
      <c r="AH583" s="252">
        <f t="shared" si="47"/>
        <v>0</v>
      </c>
      <c r="AI583" s="252">
        <f t="shared" si="48"/>
        <v>0</v>
      </c>
      <c r="AJ583" s="252">
        <f t="shared" si="49"/>
        <v>0</v>
      </c>
    </row>
    <row r="584" spans="1:36" x14ac:dyDescent="0.2">
      <c r="A584" s="253" t="str">
        <f t="shared" si="45"/>
        <v>39HSNMCLBHLGKJV50</v>
      </c>
      <c r="B584" s="252" t="s">
        <v>19</v>
      </c>
      <c r="C584" s="252" t="s">
        <v>20</v>
      </c>
      <c r="D584" s="252" t="s">
        <v>165</v>
      </c>
      <c r="E584" s="252" t="s">
        <v>723</v>
      </c>
      <c r="F584" s="252" t="s">
        <v>172</v>
      </c>
      <c r="G584" s="252">
        <v>50</v>
      </c>
      <c r="H584" s="252" t="s">
        <v>928</v>
      </c>
      <c r="I584" s="252" t="s">
        <v>2698</v>
      </c>
      <c r="J584" s="252" t="s">
        <v>928</v>
      </c>
      <c r="K584" s="252" t="s">
        <v>3236</v>
      </c>
      <c r="L584" s="252">
        <v>156.75483</v>
      </c>
      <c r="M584" s="252">
        <v>95</v>
      </c>
      <c r="N584" s="252">
        <v>0</v>
      </c>
      <c r="O584" s="252">
        <v>52.63158</v>
      </c>
      <c r="P584" s="252">
        <v>4.2240399999999996</v>
      </c>
      <c r="Q584" s="252">
        <v>0</v>
      </c>
      <c r="R584" s="252">
        <v>0</v>
      </c>
      <c r="S584" s="252">
        <v>0</v>
      </c>
      <c r="T584" s="252">
        <v>5.7215999999999996</v>
      </c>
      <c r="U584" s="252">
        <v>3.3866900000000002</v>
      </c>
      <c r="V584" s="252">
        <v>1.26172</v>
      </c>
      <c r="W584" s="252">
        <v>16.70909</v>
      </c>
      <c r="X584" s="252">
        <v>0</v>
      </c>
      <c r="Y584" s="252">
        <v>0</v>
      </c>
      <c r="Z584" s="252">
        <v>34.3962</v>
      </c>
      <c r="AA584" s="252">
        <v>29.243569999999998</v>
      </c>
      <c r="AB584" s="252">
        <v>9.1803399999999993</v>
      </c>
      <c r="AC584" s="252">
        <v>0</v>
      </c>
      <c r="AD584" s="252">
        <v>1</v>
      </c>
      <c r="AE584" s="252" t="s">
        <v>20</v>
      </c>
      <c r="AF584" s="252" t="s">
        <v>718</v>
      </c>
      <c r="AG584" s="252">
        <f t="shared" si="46"/>
        <v>50.000001000000005</v>
      </c>
      <c r="AH584" s="252">
        <f t="shared" si="47"/>
        <v>4.0128379999999995</v>
      </c>
      <c r="AI584" s="252">
        <f t="shared" si="48"/>
        <v>8.7213229999999999</v>
      </c>
      <c r="AJ584" s="252">
        <f t="shared" si="49"/>
        <v>62.734162000000005</v>
      </c>
    </row>
    <row r="585" spans="1:36" x14ac:dyDescent="0.2">
      <c r="A585" s="253" t="str">
        <f t="shared" si="45"/>
        <v>32SNMCLBHLGTV25</v>
      </c>
      <c r="B585" s="252" t="s">
        <v>19</v>
      </c>
      <c r="C585" s="252" t="s">
        <v>20</v>
      </c>
      <c r="D585" s="252" t="s">
        <v>165</v>
      </c>
      <c r="E585" s="252" t="s">
        <v>723</v>
      </c>
      <c r="F585" s="252" t="s">
        <v>176</v>
      </c>
      <c r="G585" s="252">
        <v>25</v>
      </c>
      <c r="H585" s="252" t="s">
        <v>928</v>
      </c>
      <c r="I585" s="252" t="s">
        <v>2592</v>
      </c>
      <c r="J585" s="252" t="s">
        <v>928</v>
      </c>
      <c r="K585" s="252" t="s">
        <v>3236</v>
      </c>
      <c r="L585" s="252">
        <v>9.8129200000000001</v>
      </c>
      <c r="M585" s="252">
        <v>100</v>
      </c>
      <c r="N585" s="252">
        <v>0</v>
      </c>
      <c r="O585" s="252">
        <v>0</v>
      </c>
      <c r="P585" s="252">
        <v>0</v>
      </c>
      <c r="Q585" s="252">
        <v>0</v>
      </c>
      <c r="R585" s="252">
        <v>0</v>
      </c>
      <c r="S585" s="252">
        <v>0</v>
      </c>
      <c r="T585" s="252">
        <v>0.34898000000000001</v>
      </c>
      <c r="U585" s="252">
        <v>0</v>
      </c>
      <c r="V585" s="252">
        <v>0.71404999999999996</v>
      </c>
      <c r="W585" s="252">
        <v>1.9184000000000001</v>
      </c>
      <c r="X585" s="252">
        <v>0</v>
      </c>
      <c r="Y585" s="252">
        <v>0</v>
      </c>
      <c r="Z585" s="252">
        <v>4.8963099999999997</v>
      </c>
      <c r="AA585" s="252">
        <v>1.9351799999999999</v>
      </c>
      <c r="AB585" s="252">
        <v>0</v>
      </c>
      <c r="AC585" s="252">
        <v>0</v>
      </c>
      <c r="AD585" s="252">
        <v>1</v>
      </c>
      <c r="AE585" s="252" t="s">
        <v>20</v>
      </c>
      <c r="AF585" s="252" t="s">
        <v>718</v>
      </c>
      <c r="AG585" s="252">
        <f t="shared" si="46"/>
        <v>0</v>
      </c>
      <c r="AH585" s="252">
        <f t="shared" si="47"/>
        <v>0</v>
      </c>
      <c r="AI585" s="252">
        <f t="shared" si="48"/>
        <v>0</v>
      </c>
      <c r="AJ585" s="252">
        <f t="shared" si="49"/>
        <v>0</v>
      </c>
    </row>
    <row r="586" spans="1:36" x14ac:dyDescent="0.2">
      <c r="A586" s="253" t="str">
        <f t="shared" si="45"/>
        <v>39HSNMCLBHLGTV25</v>
      </c>
      <c r="B586" s="252" t="s">
        <v>19</v>
      </c>
      <c r="C586" s="252" t="s">
        <v>20</v>
      </c>
      <c r="D586" s="252" t="s">
        <v>165</v>
      </c>
      <c r="E586" s="252" t="s">
        <v>723</v>
      </c>
      <c r="F586" s="252" t="s">
        <v>176</v>
      </c>
      <c r="G586" s="252">
        <v>25</v>
      </c>
      <c r="H586" s="252" t="s">
        <v>928</v>
      </c>
      <c r="I586" s="252" t="s">
        <v>2698</v>
      </c>
      <c r="J586" s="252" t="s">
        <v>928</v>
      </c>
      <c r="K586" s="252" t="s">
        <v>3236</v>
      </c>
      <c r="L586" s="252">
        <v>135.83318</v>
      </c>
      <c r="M586" s="252">
        <v>95</v>
      </c>
      <c r="N586" s="252">
        <v>0</v>
      </c>
      <c r="O586" s="252">
        <v>47.36842</v>
      </c>
      <c r="P586" s="252">
        <v>3.13835</v>
      </c>
      <c r="Q586" s="252">
        <v>0</v>
      </c>
      <c r="R586" s="252">
        <v>0</v>
      </c>
      <c r="S586" s="252">
        <v>0</v>
      </c>
      <c r="T586" s="252">
        <v>5.6916000000000002</v>
      </c>
      <c r="U586" s="252">
        <v>3.6328900000000002</v>
      </c>
      <c r="V586" s="252">
        <v>1.1307499999999999</v>
      </c>
      <c r="W586" s="252">
        <v>14.355510000000001</v>
      </c>
      <c r="X586" s="252">
        <v>0</v>
      </c>
      <c r="Y586" s="252">
        <v>0</v>
      </c>
      <c r="Z586" s="252">
        <v>28.303470000000001</v>
      </c>
      <c r="AA586" s="252">
        <v>25.021149999999999</v>
      </c>
      <c r="AB586" s="252">
        <v>7.1910400000000001</v>
      </c>
      <c r="AC586" s="252">
        <v>0</v>
      </c>
      <c r="AD586" s="252">
        <v>1</v>
      </c>
      <c r="AE586" s="252" t="s">
        <v>20</v>
      </c>
      <c r="AF586" s="252" t="s">
        <v>718</v>
      </c>
      <c r="AG586" s="252">
        <f t="shared" si="46"/>
        <v>44.999998999999995</v>
      </c>
      <c r="AH586" s="252">
        <f t="shared" si="47"/>
        <v>2.9814325000000004</v>
      </c>
      <c r="AI586" s="252">
        <f t="shared" si="48"/>
        <v>6.8314880000000002</v>
      </c>
      <c r="AJ586" s="252">
        <f t="shared" si="49"/>
        <v>54.8129195</v>
      </c>
    </row>
    <row r="587" spans="1:36" x14ac:dyDescent="0.2">
      <c r="A587" s="253" t="str">
        <f t="shared" si="45"/>
        <v>32SNMCLBHLGTV50</v>
      </c>
      <c r="B587" s="252" t="s">
        <v>19</v>
      </c>
      <c r="C587" s="252" t="s">
        <v>20</v>
      </c>
      <c r="D587" s="252" t="s">
        <v>165</v>
      </c>
      <c r="E587" s="252" t="s">
        <v>723</v>
      </c>
      <c r="F587" s="252" t="s">
        <v>176</v>
      </c>
      <c r="G587" s="252">
        <v>50</v>
      </c>
      <c r="H587" s="252" t="s">
        <v>928</v>
      </c>
      <c r="I587" s="252" t="s">
        <v>2592</v>
      </c>
      <c r="J587" s="252" t="s">
        <v>928</v>
      </c>
      <c r="K587" s="252" t="s">
        <v>3236</v>
      </c>
      <c r="L587" s="252">
        <v>12.5314</v>
      </c>
      <c r="M587" s="252">
        <v>100</v>
      </c>
      <c r="N587" s="252">
        <v>0</v>
      </c>
      <c r="O587" s="252">
        <v>0</v>
      </c>
      <c r="P587" s="252">
        <v>0</v>
      </c>
      <c r="Q587" s="252">
        <v>0</v>
      </c>
      <c r="R587" s="252">
        <v>0</v>
      </c>
      <c r="S587" s="252">
        <v>0</v>
      </c>
      <c r="T587" s="252">
        <v>0.46592</v>
      </c>
      <c r="U587" s="252">
        <v>0</v>
      </c>
      <c r="V587" s="252">
        <v>1.0800799999999999</v>
      </c>
      <c r="W587" s="252">
        <v>2.3938999999999999</v>
      </c>
      <c r="X587" s="252">
        <v>0</v>
      </c>
      <c r="Y587" s="252">
        <v>0</v>
      </c>
      <c r="Z587" s="252">
        <v>6.15822</v>
      </c>
      <c r="AA587" s="252">
        <v>2.4332799999999999</v>
      </c>
      <c r="AB587" s="252">
        <v>0</v>
      </c>
      <c r="AC587" s="252">
        <v>0</v>
      </c>
      <c r="AD587" s="252">
        <v>1</v>
      </c>
      <c r="AE587" s="252" t="s">
        <v>20</v>
      </c>
      <c r="AF587" s="252" t="s">
        <v>718</v>
      </c>
      <c r="AG587" s="252">
        <f t="shared" si="46"/>
        <v>0</v>
      </c>
      <c r="AH587" s="252">
        <f t="shared" si="47"/>
        <v>0</v>
      </c>
      <c r="AI587" s="252">
        <f t="shared" si="48"/>
        <v>0</v>
      </c>
      <c r="AJ587" s="252">
        <f t="shared" si="49"/>
        <v>0</v>
      </c>
    </row>
    <row r="588" spans="1:36" x14ac:dyDescent="0.2">
      <c r="A588" s="253" t="str">
        <f t="shared" si="45"/>
        <v>39HSNMCLBHLGTV50</v>
      </c>
      <c r="B588" s="252" t="s">
        <v>19</v>
      </c>
      <c r="C588" s="252" t="s">
        <v>20</v>
      </c>
      <c r="D588" s="252" t="s">
        <v>165</v>
      </c>
      <c r="E588" s="252" t="s">
        <v>723</v>
      </c>
      <c r="F588" s="252" t="s">
        <v>176</v>
      </c>
      <c r="G588" s="252">
        <v>50</v>
      </c>
      <c r="H588" s="252" t="s">
        <v>928</v>
      </c>
      <c r="I588" s="252" t="s">
        <v>2698</v>
      </c>
      <c r="J588" s="252" t="s">
        <v>928</v>
      </c>
      <c r="K588" s="252" t="s">
        <v>3236</v>
      </c>
      <c r="L588" s="252">
        <v>157.49290999999999</v>
      </c>
      <c r="M588" s="252">
        <v>93</v>
      </c>
      <c r="N588" s="252">
        <v>0</v>
      </c>
      <c r="O588" s="252">
        <v>53.763440000000003</v>
      </c>
      <c r="P588" s="252">
        <v>4.2364499999999996</v>
      </c>
      <c r="Q588" s="252">
        <v>0</v>
      </c>
      <c r="R588" s="252">
        <v>0</v>
      </c>
      <c r="S588" s="252">
        <v>0</v>
      </c>
      <c r="T588" s="252">
        <v>5.6916000000000002</v>
      </c>
      <c r="U588" s="252">
        <v>1.81745</v>
      </c>
      <c r="V588" s="252">
        <v>1.27572</v>
      </c>
      <c r="W588" s="252">
        <v>16.95215</v>
      </c>
      <c r="X588" s="252">
        <v>0</v>
      </c>
      <c r="Y588" s="252">
        <v>0</v>
      </c>
      <c r="Z588" s="252">
        <v>34.85313</v>
      </c>
      <c r="AA588" s="252">
        <v>29.6648</v>
      </c>
      <c r="AB588" s="252">
        <v>9.2381700000000002</v>
      </c>
      <c r="AC588" s="252">
        <v>0</v>
      </c>
      <c r="AD588" s="252">
        <v>1</v>
      </c>
      <c r="AE588" s="252" t="s">
        <v>20</v>
      </c>
      <c r="AF588" s="252" t="s">
        <v>718</v>
      </c>
      <c r="AG588" s="252">
        <f t="shared" si="46"/>
        <v>49.999999200000005</v>
      </c>
      <c r="AH588" s="252">
        <f t="shared" si="47"/>
        <v>3.9398985</v>
      </c>
      <c r="AI588" s="252">
        <f t="shared" si="48"/>
        <v>8.5914981000000008</v>
      </c>
      <c r="AJ588" s="252">
        <f t="shared" si="49"/>
        <v>62.531395800000006</v>
      </c>
    </row>
    <row r="589" spans="1:36" x14ac:dyDescent="0.2">
      <c r="A589" s="253" t="str">
        <f t="shared" si="45"/>
        <v>3SNMCLBMSNEYK25</v>
      </c>
      <c r="B589" s="252" t="s">
        <v>19</v>
      </c>
      <c r="C589" s="252" t="s">
        <v>20</v>
      </c>
      <c r="D589" s="252" t="s">
        <v>165</v>
      </c>
      <c r="E589" s="252" t="s">
        <v>723</v>
      </c>
      <c r="F589" s="252" t="s">
        <v>180</v>
      </c>
      <c r="G589" s="252">
        <v>25</v>
      </c>
      <c r="H589" s="252" t="s">
        <v>928</v>
      </c>
      <c r="I589" s="252" t="s">
        <v>2465</v>
      </c>
      <c r="J589" s="252" t="s">
        <v>928</v>
      </c>
      <c r="K589" s="252" t="s">
        <v>3236</v>
      </c>
      <c r="L589" s="252">
        <v>147.65968000000001</v>
      </c>
      <c r="M589" s="252">
        <v>93.5</v>
      </c>
      <c r="N589" s="252">
        <v>0</v>
      </c>
      <c r="O589" s="252">
        <v>64.331549999999993</v>
      </c>
      <c r="P589" s="252">
        <v>3.8508100000000001</v>
      </c>
      <c r="Q589" s="252">
        <v>0</v>
      </c>
      <c r="R589" s="252">
        <v>0</v>
      </c>
      <c r="S589" s="252">
        <v>0</v>
      </c>
      <c r="T589" s="252">
        <v>4.5712799999999998</v>
      </c>
      <c r="U589" s="252">
        <v>1.7664</v>
      </c>
      <c r="V589" s="252">
        <v>1.0917600000000001</v>
      </c>
      <c r="W589" s="252">
        <v>13.635339999999999</v>
      </c>
      <c r="X589" s="252">
        <v>0</v>
      </c>
      <c r="Y589" s="252">
        <v>0</v>
      </c>
      <c r="Z589" s="252">
        <v>26.354220000000002</v>
      </c>
      <c r="AA589" s="252">
        <v>23.686679999999999</v>
      </c>
      <c r="AB589" s="252">
        <v>8.3716399999999993</v>
      </c>
      <c r="AC589" s="252">
        <v>0</v>
      </c>
      <c r="AD589" s="252">
        <v>1</v>
      </c>
      <c r="AE589" s="252" t="s">
        <v>20</v>
      </c>
      <c r="AF589" s="252" t="s">
        <v>718</v>
      </c>
      <c r="AG589" s="252">
        <f t="shared" si="46"/>
        <v>60.149999249999993</v>
      </c>
      <c r="AH589" s="252">
        <f t="shared" si="47"/>
        <v>3.6005073500000004</v>
      </c>
      <c r="AI589" s="252">
        <f t="shared" si="48"/>
        <v>7.8274834000000002</v>
      </c>
      <c r="AJ589" s="252">
        <f t="shared" si="49"/>
        <v>71.57799</v>
      </c>
    </row>
    <row r="590" spans="1:36" x14ac:dyDescent="0.2">
      <c r="A590" s="253" t="str">
        <f t="shared" si="45"/>
        <v>32SNMCLBMSNEYK25</v>
      </c>
      <c r="B590" s="252" t="s">
        <v>19</v>
      </c>
      <c r="C590" s="252" t="s">
        <v>20</v>
      </c>
      <c r="D590" s="252" t="s">
        <v>165</v>
      </c>
      <c r="E590" s="252" t="s">
        <v>723</v>
      </c>
      <c r="F590" s="252" t="s">
        <v>180</v>
      </c>
      <c r="G590" s="252">
        <v>25</v>
      </c>
      <c r="H590" s="252" t="s">
        <v>928</v>
      </c>
      <c r="I590" s="252" t="s">
        <v>2592</v>
      </c>
      <c r="J590" s="252" t="s">
        <v>928</v>
      </c>
      <c r="K590" s="252" t="s">
        <v>3236</v>
      </c>
      <c r="L590" s="252">
        <v>11.427989999999999</v>
      </c>
      <c r="M590" s="252">
        <v>100</v>
      </c>
      <c r="N590" s="252">
        <v>0</v>
      </c>
      <c r="O590" s="252">
        <v>0</v>
      </c>
      <c r="P590" s="252">
        <v>0</v>
      </c>
      <c r="Q590" s="252">
        <v>0</v>
      </c>
      <c r="R590" s="252">
        <v>0</v>
      </c>
      <c r="S590" s="252">
        <v>0</v>
      </c>
      <c r="T590" s="252">
        <v>0.42937999999999998</v>
      </c>
      <c r="U590" s="252">
        <v>0</v>
      </c>
      <c r="V590" s="252">
        <v>0.99407000000000001</v>
      </c>
      <c r="W590" s="252">
        <v>2.17706</v>
      </c>
      <c r="X590" s="252">
        <v>0</v>
      </c>
      <c r="Y590" s="252">
        <v>0</v>
      </c>
      <c r="Z590" s="252">
        <v>5.6104000000000003</v>
      </c>
      <c r="AA590" s="252">
        <v>2.2170800000000002</v>
      </c>
      <c r="AB590" s="252">
        <v>0</v>
      </c>
      <c r="AC590" s="252">
        <v>0</v>
      </c>
      <c r="AD590" s="252">
        <v>1</v>
      </c>
      <c r="AE590" s="252" t="s">
        <v>20</v>
      </c>
      <c r="AF590" s="252" t="s">
        <v>718</v>
      </c>
      <c r="AG590" s="252">
        <f t="shared" si="46"/>
        <v>0</v>
      </c>
      <c r="AH590" s="252">
        <f t="shared" si="47"/>
        <v>0</v>
      </c>
      <c r="AI590" s="252">
        <f t="shared" si="48"/>
        <v>0</v>
      </c>
      <c r="AJ590" s="252">
        <f t="shared" si="49"/>
        <v>0</v>
      </c>
    </row>
    <row r="591" spans="1:36" x14ac:dyDescent="0.2">
      <c r="A591" s="253" t="str">
        <f t="shared" si="45"/>
        <v>32SNMCLBMSNEYK50</v>
      </c>
      <c r="B591" s="252" t="s">
        <v>19</v>
      </c>
      <c r="C591" s="252" t="s">
        <v>20</v>
      </c>
      <c r="D591" s="252" t="s">
        <v>165</v>
      </c>
      <c r="E591" s="252" t="s">
        <v>723</v>
      </c>
      <c r="F591" s="252" t="s">
        <v>180</v>
      </c>
      <c r="G591" s="252">
        <v>50</v>
      </c>
      <c r="H591" s="252" t="s">
        <v>928</v>
      </c>
      <c r="I591" s="252" t="s">
        <v>2592</v>
      </c>
      <c r="J591" s="252" t="s">
        <v>928</v>
      </c>
      <c r="K591" s="252" t="s">
        <v>3236</v>
      </c>
      <c r="L591" s="252">
        <v>11.506600000000001</v>
      </c>
      <c r="M591" s="252">
        <v>100</v>
      </c>
      <c r="N591" s="252">
        <v>0</v>
      </c>
      <c r="O591" s="252">
        <v>0</v>
      </c>
      <c r="P591" s="252">
        <v>0</v>
      </c>
      <c r="Q591" s="252">
        <v>0</v>
      </c>
      <c r="R591" s="252">
        <v>0</v>
      </c>
      <c r="S591" s="252">
        <v>0</v>
      </c>
      <c r="T591" s="252">
        <v>0.42937999999999998</v>
      </c>
      <c r="U591" s="252">
        <v>0</v>
      </c>
      <c r="V591" s="252">
        <v>0.99407000000000001</v>
      </c>
      <c r="W591" s="252">
        <v>2.1960799999999998</v>
      </c>
      <c r="X591" s="252">
        <v>0</v>
      </c>
      <c r="Y591" s="252">
        <v>0</v>
      </c>
      <c r="Z591" s="252">
        <v>5.6530300000000002</v>
      </c>
      <c r="AA591" s="252">
        <v>2.2340399999999998</v>
      </c>
      <c r="AB591" s="252">
        <v>0</v>
      </c>
      <c r="AC591" s="252">
        <v>0</v>
      </c>
      <c r="AD591" s="252">
        <v>1</v>
      </c>
      <c r="AE591" s="252" t="s">
        <v>20</v>
      </c>
      <c r="AF591" s="252" t="s">
        <v>718</v>
      </c>
      <c r="AG591" s="252">
        <f t="shared" si="46"/>
        <v>0</v>
      </c>
      <c r="AH591" s="252">
        <f t="shared" si="47"/>
        <v>0</v>
      </c>
      <c r="AI591" s="252">
        <f t="shared" si="48"/>
        <v>0</v>
      </c>
      <c r="AJ591" s="252">
        <f t="shared" si="49"/>
        <v>0</v>
      </c>
    </row>
    <row r="592" spans="1:36" x14ac:dyDescent="0.2">
      <c r="A592" s="253" t="str">
        <f t="shared" si="45"/>
        <v>33SSNMCLBMSNEYK50</v>
      </c>
      <c r="B592" s="252" t="s">
        <v>19</v>
      </c>
      <c r="C592" s="252" t="s">
        <v>20</v>
      </c>
      <c r="D592" s="252" t="s">
        <v>165</v>
      </c>
      <c r="E592" s="252" t="s">
        <v>723</v>
      </c>
      <c r="F592" s="252" t="s">
        <v>180</v>
      </c>
      <c r="G592" s="252">
        <v>50</v>
      </c>
      <c r="H592" s="252" t="s">
        <v>928</v>
      </c>
      <c r="I592" s="252" t="s">
        <v>158</v>
      </c>
      <c r="J592" s="252" t="s">
        <v>928</v>
      </c>
      <c r="K592" s="252" t="s">
        <v>3236</v>
      </c>
      <c r="L592" s="252">
        <v>175.59478999999999</v>
      </c>
      <c r="M592" s="252">
        <v>97</v>
      </c>
      <c r="N592" s="252">
        <v>0</v>
      </c>
      <c r="O592" s="252">
        <v>98.278350000000003</v>
      </c>
      <c r="P592" s="252">
        <v>3.7314699999999998</v>
      </c>
      <c r="Q592" s="252">
        <v>0</v>
      </c>
      <c r="R592" s="252">
        <v>0</v>
      </c>
      <c r="S592" s="252">
        <v>0</v>
      </c>
      <c r="T592" s="252">
        <v>4.4112400000000003</v>
      </c>
      <c r="U592" s="252">
        <v>1.4221299999999999</v>
      </c>
      <c r="V592" s="252">
        <v>1.0637700000000001</v>
      </c>
      <c r="W592" s="252">
        <v>13.009180000000001</v>
      </c>
      <c r="X592" s="252">
        <v>0</v>
      </c>
      <c r="Y592" s="252">
        <v>0</v>
      </c>
      <c r="Z592" s="252">
        <v>23.131399999999999</v>
      </c>
      <c r="AA592" s="252">
        <v>22.416250000000002</v>
      </c>
      <c r="AB592" s="252">
        <v>8.1310000000000002</v>
      </c>
      <c r="AC592" s="252">
        <v>0</v>
      </c>
      <c r="AD592" s="252">
        <v>1</v>
      </c>
      <c r="AE592" s="252" t="s">
        <v>20</v>
      </c>
      <c r="AF592" s="252" t="s">
        <v>718</v>
      </c>
      <c r="AG592" s="252">
        <f t="shared" si="46"/>
        <v>95.3299995</v>
      </c>
      <c r="AH592" s="252">
        <f t="shared" si="47"/>
        <v>3.6195258999999997</v>
      </c>
      <c r="AI592" s="252">
        <f t="shared" si="48"/>
        <v>7.8870699999999996</v>
      </c>
      <c r="AJ592" s="252">
        <f t="shared" si="49"/>
        <v>106.83659539999999</v>
      </c>
    </row>
    <row r="593" spans="1:36" x14ac:dyDescent="0.2">
      <c r="A593" s="253" t="str">
        <f t="shared" si="45"/>
        <v>3SNMCLBNGKVB50</v>
      </c>
      <c r="B593" s="252" t="s">
        <v>19</v>
      </c>
      <c r="C593" s="252" t="s">
        <v>20</v>
      </c>
      <c r="D593" s="252" t="s">
        <v>165</v>
      </c>
      <c r="E593" s="252" t="s">
        <v>723</v>
      </c>
      <c r="F593" s="252" t="s">
        <v>185</v>
      </c>
      <c r="G593" s="252">
        <v>50</v>
      </c>
      <c r="H593" s="252" t="s">
        <v>928</v>
      </c>
      <c r="I593" s="252" t="s">
        <v>2465</v>
      </c>
      <c r="J593" s="252" t="s">
        <v>928</v>
      </c>
      <c r="K593" s="252" t="s">
        <v>3236</v>
      </c>
      <c r="L593" s="252">
        <v>185.93790999999999</v>
      </c>
      <c r="M593" s="252">
        <v>96.5</v>
      </c>
      <c r="N593" s="252">
        <v>0</v>
      </c>
      <c r="O593" s="252">
        <v>101.34715</v>
      </c>
      <c r="P593" s="252">
        <v>4.0827999999999998</v>
      </c>
      <c r="Q593" s="252">
        <v>0</v>
      </c>
      <c r="R593" s="252">
        <v>0</v>
      </c>
      <c r="S593" s="252">
        <v>0</v>
      </c>
      <c r="T593" s="252">
        <v>5.6916000000000002</v>
      </c>
      <c r="U593" s="252">
        <v>1.9985900000000001</v>
      </c>
      <c r="V593" s="252">
        <v>1.07376</v>
      </c>
      <c r="W593" s="252">
        <v>13.34826</v>
      </c>
      <c r="X593" s="252">
        <v>0</v>
      </c>
      <c r="Y593" s="252">
        <v>0</v>
      </c>
      <c r="Z593" s="252">
        <v>26.26089</v>
      </c>
      <c r="AA593" s="252">
        <v>23.231750000000002</v>
      </c>
      <c r="AB593" s="252">
        <v>8.9031099999999999</v>
      </c>
      <c r="AC593" s="252">
        <v>0</v>
      </c>
      <c r="AD593" s="252">
        <v>1</v>
      </c>
      <c r="AE593" s="252" t="s">
        <v>20</v>
      </c>
      <c r="AF593" s="252" t="s">
        <v>718</v>
      </c>
      <c r="AG593" s="252">
        <f t="shared" si="46"/>
        <v>97.799999750000012</v>
      </c>
      <c r="AH593" s="252">
        <f t="shared" si="47"/>
        <v>3.9399019999999996</v>
      </c>
      <c r="AI593" s="252">
        <f t="shared" si="48"/>
        <v>8.5915011500000009</v>
      </c>
      <c r="AJ593" s="252">
        <f t="shared" si="49"/>
        <v>110.33140290000001</v>
      </c>
    </row>
    <row r="594" spans="1:36" x14ac:dyDescent="0.2">
      <c r="A594" s="253" t="str">
        <f t="shared" si="45"/>
        <v>32SNMCLBNGKVB50</v>
      </c>
      <c r="B594" s="252" t="s">
        <v>19</v>
      </c>
      <c r="C594" s="252" t="s">
        <v>20</v>
      </c>
      <c r="D594" s="252" t="s">
        <v>165</v>
      </c>
      <c r="E594" s="252" t="s">
        <v>723</v>
      </c>
      <c r="F594" s="252" t="s">
        <v>185</v>
      </c>
      <c r="G594" s="252">
        <v>50</v>
      </c>
      <c r="H594" s="252" t="s">
        <v>928</v>
      </c>
      <c r="I594" s="252" t="s">
        <v>2592</v>
      </c>
      <c r="J594" s="252" t="s">
        <v>928</v>
      </c>
      <c r="K594" s="252" t="s">
        <v>3236</v>
      </c>
      <c r="L594" s="252">
        <v>12.5314</v>
      </c>
      <c r="M594" s="252">
        <v>100</v>
      </c>
      <c r="N594" s="252">
        <v>0</v>
      </c>
      <c r="O594" s="252">
        <v>0</v>
      </c>
      <c r="P594" s="252">
        <v>0</v>
      </c>
      <c r="Q594" s="252">
        <v>0</v>
      </c>
      <c r="R594" s="252">
        <v>0</v>
      </c>
      <c r="S594" s="252">
        <v>0</v>
      </c>
      <c r="T594" s="252">
        <v>0.46592</v>
      </c>
      <c r="U594" s="252">
        <v>0</v>
      </c>
      <c r="V594" s="252">
        <v>1.0800799999999999</v>
      </c>
      <c r="W594" s="252">
        <v>2.3938999999999999</v>
      </c>
      <c r="X594" s="252">
        <v>0</v>
      </c>
      <c r="Y594" s="252">
        <v>0</v>
      </c>
      <c r="Z594" s="252">
        <v>6.15822</v>
      </c>
      <c r="AA594" s="252">
        <v>2.4332799999999999</v>
      </c>
      <c r="AB594" s="252">
        <v>0</v>
      </c>
      <c r="AC594" s="252">
        <v>0</v>
      </c>
      <c r="AD594" s="252">
        <v>1</v>
      </c>
      <c r="AE594" s="252" t="s">
        <v>20</v>
      </c>
      <c r="AF594" s="252" t="s">
        <v>718</v>
      </c>
      <c r="AG594" s="252">
        <f t="shared" si="46"/>
        <v>0</v>
      </c>
      <c r="AH594" s="252">
        <f t="shared" si="47"/>
        <v>0</v>
      </c>
      <c r="AI594" s="252">
        <f t="shared" si="48"/>
        <v>0</v>
      </c>
      <c r="AJ594" s="252">
        <f t="shared" si="49"/>
        <v>0</v>
      </c>
    </row>
    <row r="595" spans="1:36" x14ac:dyDescent="0.2">
      <c r="A595" s="253" t="str">
        <f t="shared" si="45"/>
        <v>32SNMCLBTEKKFV50</v>
      </c>
      <c r="B595" s="252" t="s">
        <v>19</v>
      </c>
      <c r="C595" s="252" t="s">
        <v>20</v>
      </c>
      <c r="D595" s="252" t="s">
        <v>165</v>
      </c>
      <c r="E595" s="252" t="s">
        <v>723</v>
      </c>
      <c r="F595" s="252" t="s">
        <v>192</v>
      </c>
      <c r="G595" s="252">
        <v>50</v>
      </c>
      <c r="H595" s="252" t="s">
        <v>928</v>
      </c>
      <c r="I595" s="252" t="s">
        <v>2592</v>
      </c>
      <c r="J595" s="252" t="s">
        <v>928</v>
      </c>
      <c r="K595" s="252" t="s">
        <v>3236</v>
      </c>
      <c r="L595" s="252">
        <v>12.734159999999999</v>
      </c>
      <c r="M595" s="252">
        <v>100</v>
      </c>
      <c r="N595" s="252">
        <v>0</v>
      </c>
      <c r="O595" s="252">
        <v>0</v>
      </c>
      <c r="P595" s="252">
        <v>0</v>
      </c>
      <c r="Q595" s="252">
        <v>0</v>
      </c>
      <c r="R595" s="252">
        <v>0</v>
      </c>
      <c r="S595" s="252">
        <v>0</v>
      </c>
      <c r="T595" s="252">
        <v>0.47871000000000002</v>
      </c>
      <c r="U595" s="252">
        <v>0</v>
      </c>
      <c r="V595" s="252">
        <v>1.10608</v>
      </c>
      <c r="W595" s="252">
        <v>2.4280499999999998</v>
      </c>
      <c r="X595" s="252">
        <v>0</v>
      </c>
      <c r="Y595" s="252">
        <v>0</v>
      </c>
      <c r="Z595" s="252">
        <v>6.2520100000000003</v>
      </c>
      <c r="AA595" s="252">
        <v>2.4693100000000001</v>
      </c>
      <c r="AB595" s="252">
        <v>0</v>
      </c>
      <c r="AC595" s="252">
        <v>0</v>
      </c>
      <c r="AD595" s="252">
        <v>1</v>
      </c>
      <c r="AE595" s="252" t="s">
        <v>20</v>
      </c>
      <c r="AF595" s="252" t="s">
        <v>718</v>
      </c>
      <c r="AG595" s="252">
        <f t="shared" si="46"/>
        <v>0</v>
      </c>
      <c r="AH595" s="252">
        <f t="shared" si="47"/>
        <v>0</v>
      </c>
      <c r="AI595" s="252">
        <f t="shared" si="48"/>
        <v>0</v>
      </c>
      <c r="AJ595" s="252">
        <f t="shared" si="49"/>
        <v>0</v>
      </c>
    </row>
    <row r="596" spans="1:36" x14ac:dyDescent="0.2">
      <c r="A596" s="253" t="str">
        <f t="shared" si="45"/>
        <v>33SSNMCLBTEKKFV50</v>
      </c>
      <c r="B596" s="252" t="s">
        <v>19</v>
      </c>
      <c r="C596" s="252" t="s">
        <v>20</v>
      </c>
      <c r="D596" s="252" t="s">
        <v>165</v>
      </c>
      <c r="E596" s="252" t="s">
        <v>723</v>
      </c>
      <c r="F596" s="252" t="s">
        <v>192</v>
      </c>
      <c r="G596" s="252">
        <v>50</v>
      </c>
      <c r="H596" s="252" t="s">
        <v>928</v>
      </c>
      <c r="I596" s="252" t="s">
        <v>158</v>
      </c>
      <c r="J596" s="252" t="s">
        <v>928</v>
      </c>
      <c r="K596" s="252" t="s">
        <v>3236</v>
      </c>
      <c r="L596" s="252">
        <v>204.15253000000001</v>
      </c>
      <c r="M596" s="252">
        <v>98</v>
      </c>
      <c r="N596" s="252">
        <v>0</v>
      </c>
      <c r="O596" s="252">
        <v>120.61224</v>
      </c>
      <c r="P596" s="252">
        <v>4.0947300000000002</v>
      </c>
      <c r="Q596" s="252">
        <v>0</v>
      </c>
      <c r="R596" s="252">
        <v>0</v>
      </c>
      <c r="S596" s="252">
        <v>0</v>
      </c>
      <c r="T596" s="252">
        <v>5.6015699999999997</v>
      </c>
      <c r="U596" s="252">
        <v>1.81745</v>
      </c>
      <c r="V596" s="252">
        <v>1.0637700000000001</v>
      </c>
      <c r="W596" s="252">
        <v>13.18022</v>
      </c>
      <c r="X596" s="252">
        <v>0</v>
      </c>
      <c r="Y596" s="252">
        <v>0</v>
      </c>
      <c r="Z596" s="252">
        <v>25.942979999999999</v>
      </c>
      <c r="AA596" s="252">
        <v>22.940259999999999</v>
      </c>
      <c r="AB596" s="252">
        <v>8.8993099999999998</v>
      </c>
      <c r="AC596" s="252">
        <v>0</v>
      </c>
      <c r="AD596" s="252">
        <v>1</v>
      </c>
      <c r="AE596" s="252" t="s">
        <v>20</v>
      </c>
      <c r="AF596" s="252" t="s">
        <v>718</v>
      </c>
      <c r="AG596" s="252">
        <f t="shared" si="46"/>
        <v>118.19999519999999</v>
      </c>
      <c r="AH596" s="252">
        <f t="shared" si="47"/>
        <v>4.0128354000000002</v>
      </c>
      <c r="AI596" s="252">
        <f t="shared" si="48"/>
        <v>8.7213238000000004</v>
      </c>
      <c r="AJ596" s="252">
        <f t="shared" si="49"/>
        <v>130.93415439999998</v>
      </c>
    </row>
    <row r="597" spans="1:36" x14ac:dyDescent="0.2">
      <c r="A597" s="253" t="str">
        <f t="shared" si="45"/>
        <v>32SNMCLBTEKV0V50</v>
      </c>
      <c r="B597" s="252" t="s">
        <v>19</v>
      </c>
      <c r="C597" s="252" t="s">
        <v>20</v>
      </c>
      <c r="D597" s="252" t="s">
        <v>165</v>
      </c>
      <c r="E597" s="252" t="s">
        <v>723</v>
      </c>
      <c r="F597" s="252" t="s">
        <v>195</v>
      </c>
      <c r="G597" s="252">
        <v>50</v>
      </c>
      <c r="H597" s="252" t="s">
        <v>928</v>
      </c>
      <c r="I597" s="252" t="s">
        <v>2592</v>
      </c>
      <c r="J597" s="252" t="s">
        <v>928</v>
      </c>
      <c r="K597" s="252" t="s">
        <v>3236</v>
      </c>
      <c r="L597" s="252">
        <v>12.734159999999999</v>
      </c>
      <c r="M597" s="252">
        <v>100</v>
      </c>
      <c r="N597" s="252">
        <v>0</v>
      </c>
      <c r="O597" s="252">
        <v>0</v>
      </c>
      <c r="P597" s="252">
        <v>0</v>
      </c>
      <c r="Q597" s="252">
        <v>0</v>
      </c>
      <c r="R597" s="252">
        <v>0</v>
      </c>
      <c r="S597" s="252">
        <v>0</v>
      </c>
      <c r="T597" s="252">
        <v>0.47871000000000002</v>
      </c>
      <c r="U597" s="252">
        <v>0</v>
      </c>
      <c r="V597" s="252">
        <v>1.10608</v>
      </c>
      <c r="W597" s="252">
        <v>2.4280499999999998</v>
      </c>
      <c r="X597" s="252">
        <v>0</v>
      </c>
      <c r="Y597" s="252">
        <v>0</v>
      </c>
      <c r="Z597" s="252">
        <v>6.2520100000000003</v>
      </c>
      <c r="AA597" s="252">
        <v>2.4693100000000001</v>
      </c>
      <c r="AB597" s="252">
        <v>0</v>
      </c>
      <c r="AC597" s="252">
        <v>0</v>
      </c>
      <c r="AD597" s="252">
        <v>1</v>
      </c>
      <c r="AE597" s="252" t="s">
        <v>20</v>
      </c>
      <c r="AF597" s="252" t="s">
        <v>718</v>
      </c>
      <c r="AG597" s="252">
        <f t="shared" si="46"/>
        <v>0</v>
      </c>
      <c r="AH597" s="252">
        <f t="shared" si="47"/>
        <v>0</v>
      </c>
      <c r="AI597" s="252">
        <f t="shared" si="48"/>
        <v>0</v>
      </c>
      <c r="AJ597" s="252">
        <f t="shared" si="49"/>
        <v>0</v>
      </c>
    </row>
    <row r="598" spans="1:36" x14ac:dyDescent="0.2">
      <c r="A598" s="253" t="str">
        <f t="shared" si="45"/>
        <v>33SSNMCLBTEKV0V50</v>
      </c>
      <c r="B598" s="252" t="s">
        <v>19</v>
      </c>
      <c r="C598" s="252" t="s">
        <v>20</v>
      </c>
      <c r="D598" s="252" t="s">
        <v>165</v>
      </c>
      <c r="E598" s="252" t="s">
        <v>723</v>
      </c>
      <c r="F598" s="252" t="s">
        <v>195</v>
      </c>
      <c r="G598" s="252">
        <v>50</v>
      </c>
      <c r="H598" s="252" t="s">
        <v>928</v>
      </c>
      <c r="I598" s="252" t="s">
        <v>158</v>
      </c>
      <c r="J598" s="252" t="s">
        <v>928</v>
      </c>
      <c r="K598" s="252" t="s">
        <v>3236</v>
      </c>
      <c r="L598" s="252">
        <v>204.15253000000001</v>
      </c>
      <c r="M598" s="252">
        <v>98</v>
      </c>
      <c r="N598" s="252">
        <v>0</v>
      </c>
      <c r="O598" s="252">
        <v>120.61224</v>
      </c>
      <c r="P598" s="252">
        <v>4.0947300000000002</v>
      </c>
      <c r="Q598" s="252">
        <v>0</v>
      </c>
      <c r="R598" s="252">
        <v>0</v>
      </c>
      <c r="S598" s="252">
        <v>0</v>
      </c>
      <c r="T598" s="252">
        <v>5.6015699999999997</v>
      </c>
      <c r="U598" s="252">
        <v>1.81745</v>
      </c>
      <c r="V598" s="252">
        <v>1.0637700000000001</v>
      </c>
      <c r="W598" s="252">
        <v>13.18022</v>
      </c>
      <c r="X598" s="252">
        <v>0</v>
      </c>
      <c r="Y598" s="252">
        <v>0</v>
      </c>
      <c r="Z598" s="252">
        <v>25.942979999999999</v>
      </c>
      <c r="AA598" s="252">
        <v>22.940259999999999</v>
      </c>
      <c r="AB598" s="252">
        <v>8.8993099999999998</v>
      </c>
      <c r="AC598" s="252">
        <v>0</v>
      </c>
      <c r="AD598" s="252">
        <v>1</v>
      </c>
      <c r="AE598" s="252" t="s">
        <v>20</v>
      </c>
      <c r="AF598" s="252" t="s">
        <v>718</v>
      </c>
      <c r="AG598" s="252">
        <f t="shared" si="46"/>
        <v>118.19999519999999</v>
      </c>
      <c r="AH598" s="252">
        <f t="shared" si="47"/>
        <v>4.0128354000000002</v>
      </c>
      <c r="AI598" s="252">
        <f t="shared" si="48"/>
        <v>8.7213238000000004</v>
      </c>
      <c r="AJ598" s="252">
        <f t="shared" si="49"/>
        <v>130.93415439999998</v>
      </c>
    </row>
    <row r="599" spans="1:36" x14ac:dyDescent="0.2">
      <c r="A599" s="253" t="str">
        <f t="shared" si="45"/>
        <v>32SNMCLBTETKFV50</v>
      </c>
      <c r="B599" s="252" t="s">
        <v>19</v>
      </c>
      <c r="C599" s="252" t="s">
        <v>20</v>
      </c>
      <c r="D599" s="252" t="s">
        <v>165</v>
      </c>
      <c r="E599" s="252" t="s">
        <v>723</v>
      </c>
      <c r="F599" s="252" t="s">
        <v>197</v>
      </c>
      <c r="G599" s="252">
        <v>50</v>
      </c>
      <c r="H599" s="252" t="s">
        <v>928</v>
      </c>
      <c r="I599" s="252" t="s">
        <v>2592</v>
      </c>
      <c r="J599" s="252" t="s">
        <v>928</v>
      </c>
      <c r="K599" s="252" t="s">
        <v>3236</v>
      </c>
      <c r="L599" s="252">
        <v>12.5314</v>
      </c>
      <c r="M599" s="252">
        <v>100</v>
      </c>
      <c r="N599" s="252">
        <v>0</v>
      </c>
      <c r="O599" s="252">
        <v>0</v>
      </c>
      <c r="P599" s="252">
        <v>0</v>
      </c>
      <c r="Q599" s="252">
        <v>0</v>
      </c>
      <c r="R599" s="252">
        <v>0</v>
      </c>
      <c r="S599" s="252">
        <v>0</v>
      </c>
      <c r="T599" s="252">
        <v>0.46592</v>
      </c>
      <c r="U599" s="252">
        <v>0</v>
      </c>
      <c r="V599" s="252">
        <v>1.0800799999999999</v>
      </c>
      <c r="W599" s="252">
        <v>2.3938999999999999</v>
      </c>
      <c r="X599" s="252">
        <v>0</v>
      </c>
      <c r="Y599" s="252">
        <v>0</v>
      </c>
      <c r="Z599" s="252">
        <v>6.15822</v>
      </c>
      <c r="AA599" s="252">
        <v>2.4332799999999999</v>
      </c>
      <c r="AB599" s="252">
        <v>0</v>
      </c>
      <c r="AC599" s="252">
        <v>0</v>
      </c>
      <c r="AD599" s="252">
        <v>1</v>
      </c>
      <c r="AE599" s="252" t="s">
        <v>20</v>
      </c>
      <c r="AF599" s="252" t="s">
        <v>718</v>
      </c>
      <c r="AG599" s="252">
        <f t="shared" si="46"/>
        <v>0</v>
      </c>
      <c r="AH599" s="252">
        <f t="shared" si="47"/>
        <v>0</v>
      </c>
      <c r="AI599" s="252">
        <f t="shared" si="48"/>
        <v>0</v>
      </c>
      <c r="AJ599" s="252">
        <f t="shared" si="49"/>
        <v>0</v>
      </c>
    </row>
    <row r="600" spans="1:36" x14ac:dyDescent="0.2">
      <c r="A600" s="253" t="str">
        <f t="shared" si="45"/>
        <v>33SSNMCLBTETKFV50</v>
      </c>
      <c r="B600" s="252" t="s">
        <v>19</v>
      </c>
      <c r="C600" s="252" t="s">
        <v>20</v>
      </c>
      <c r="D600" s="252" t="s">
        <v>165</v>
      </c>
      <c r="E600" s="252" t="s">
        <v>723</v>
      </c>
      <c r="F600" s="252" t="s">
        <v>197</v>
      </c>
      <c r="G600" s="252">
        <v>50</v>
      </c>
      <c r="H600" s="252" t="s">
        <v>928</v>
      </c>
      <c r="I600" s="252" t="s">
        <v>158</v>
      </c>
      <c r="J600" s="252" t="s">
        <v>928</v>
      </c>
      <c r="K600" s="252" t="s">
        <v>3236</v>
      </c>
      <c r="L600" s="252">
        <v>173.84575000000001</v>
      </c>
      <c r="M600" s="252">
        <v>97</v>
      </c>
      <c r="N600" s="252">
        <v>0</v>
      </c>
      <c r="O600" s="252">
        <v>90.175259999999994</v>
      </c>
      <c r="P600" s="252">
        <v>4.06175</v>
      </c>
      <c r="Q600" s="252">
        <v>0</v>
      </c>
      <c r="R600" s="252">
        <v>0</v>
      </c>
      <c r="S600" s="252">
        <v>0</v>
      </c>
      <c r="T600" s="252">
        <v>5.6715900000000001</v>
      </c>
      <c r="U600" s="252">
        <v>1.81745</v>
      </c>
      <c r="V600" s="252">
        <v>1.0697700000000001</v>
      </c>
      <c r="W600" s="252">
        <v>13.264239999999999</v>
      </c>
      <c r="X600" s="252">
        <v>0</v>
      </c>
      <c r="Y600" s="252">
        <v>0</v>
      </c>
      <c r="Z600" s="252">
        <v>25.865210000000001</v>
      </c>
      <c r="AA600" s="252">
        <v>23.06326</v>
      </c>
      <c r="AB600" s="252">
        <v>8.8572199999999999</v>
      </c>
      <c r="AC600" s="252">
        <v>0</v>
      </c>
      <c r="AD600" s="252">
        <v>1</v>
      </c>
      <c r="AE600" s="252" t="s">
        <v>20</v>
      </c>
      <c r="AF600" s="252" t="s">
        <v>718</v>
      </c>
      <c r="AG600" s="252">
        <f t="shared" si="46"/>
        <v>87.470002199999996</v>
      </c>
      <c r="AH600" s="252">
        <f t="shared" si="47"/>
        <v>3.9398975000000003</v>
      </c>
      <c r="AI600" s="252">
        <f t="shared" si="48"/>
        <v>8.5915034000000006</v>
      </c>
      <c r="AJ600" s="252">
        <f t="shared" si="49"/>
        <v>100.0014031</v>
      </c>
    </row>
    <row r="601" spans="1:36" x14ac:dyDescent="0.2">
      <c r="A601" s="253" t="str">
        <f t="shared" si="45"/>
        <v>3SNMCLBTETV0V50</v>
      </c>
      <c r="B601" s="252" t="s">
        <v>19</v>
      </c>
      <c r="C601" s="252" t="s">
        <v>20</v>
      </c>
      <c r="D601" s="252" t="s">
        <v>165</v>
      </c>
      <c r="E601" s="252" t="s">
        <v>723</v>
      </c>
      <c r="F601" s="252" t="s">
        <v>200</v>
      </c>
      <c r="G601" s="252">
        <v>50</v>
      </c>
      <c r="H601" s="252" t="s">
        <v>928</v>
      </c>
      <c r="I601" s="252" t="s">
        <v>2465</v>
      </c>
      <c r="J601" s="252" t="s">
        <v>928</v>
      </c>
      <c r="K601" s="252" t="s">
        <v>3236</v>
      </c>
      <c r="L601" s="252">
        <v>173.84575000000001</v>
      </c>
      <c r="M601" s="252">
        <v>97</v>
      </c>
      <c r="N601" s="252">
        <v>0</v>
      </c>
      <c r="O601" s="252">
        <v>90.175259999999994</v>
      </c>
      <c r="P601" s="252">
        <v>4.06175</v>
      </c>
      <c r="Q601" s="252">
        <v>0</v>
      </c>
      <c r="R601" s="252">
        <v>0</v>
      </c>
      <c r="S601" s="252">
        <v>0</v>
      </c>
      <c r="T601" s="252">
        <v>5.6715900000000001</v>
      </c>
      <c r="U601" s="252">
        <v>1.81745</v>
      </c>
      <c r="V601" s="252">
        <v>1.0697700000000001</v>
      </c>
      <c r="W601" s="252">
        <v>13.264239999999999</v>
      </c>
      <c r="X601" s="252">
        <v>0</v>
      </c>
      <c r="Y601" s="252">
        <v>0</v>
      </c>
      <c r="Z601" s="252">
        <v>25.865210000000001</v>
      </c>
      <c r="AA601" s="252">
        <v>23.06326</v>
      </c>
      <c r="AB601" s="252">
        <v>8.8572199999999999</v>
      </c>
      <c r="AC601" s="252">
        <v>0</v>
      </c>
      <c r="AD601" s="252">
        <v>1</v>
      </c>
      <c r="AE601" s="252" t="s">
        <v>20</v>
      </c>
      <c r="AF601" s="252" t="s">
        <v>718</v>
      </c>
      <c r="AG601" s="252">
        <f t="shared" si="46"/>
        <v>87.470002199999996</v>
      </c>
      <c r="AH601" s="252">
        <f t="shared" si="47"/>
        <v>3.9398975000000003</v>
      </c>
      <c r="AI601" s="252">
        <f t="shared" si="48"/>
        <v>8.5915034000000006</v>
      </c>
      <c r="AJ601" s="252">
        <f t="shared" si="49"/>
        <v>100.0014031</v>
      </c>
    </row>
    <row r="602" spans="1:36" x14ac:dyDescent="0.2">
      <c r="A602" s="253" t="str">
        <f t="shared" si="45"/>
        <v>32SNMCLBTETV0V50</v>
      </c>
      <c r="B602" s="252" t="s">
        <v>19</v>
      </c>
      <c r="C602" s="252" t="s">
        <v>20</v>
      </c>
      <c r="D602" s="252" t="s">
        <v>165</v>
      </c>
      <c r="E602" s="252" t="s">
        <v>723</v>
      </c>
      <c r="F602" s="252" t="s">
        <v>200</v>
      </c>
      <c r="G602" s="252">
        <v>50</v>
      </c>
      <c r="H602" s="252" t="s">
        <v>928</v>
      </c>
      <c r="I602" s="252" t="s">
        <v>2592</v>
      </c>
      <c r="J602" s="252" t="s">
        <v>928</v>
      </c>
      <c r="K602" s="252" t="s">
        <v>3236</v>
      </c>
      <c r="L602" s="252">
        <v>12.5314</v>
      </c>
      <c r="M602" s="252">
        <v>100</v>
      </c>
      <c r="N602" s="252">
        <v>0</v>
      </c>
      <c r="O602" s="252">
        <v>0</v>
      </c>
      <c r="P602" s="252">
        <v>0</v>
      </c>
      <c r="Q602" s="252">
        <v>0</v>
      </c>
      <c r="R602" s="252">
        <v>0</v>
      </c>
      <c r="S602" s="252">
        <v>0</v>
      </c>
      <c r="T602" s="252">
        <v>0.46592</v>
      </c>
      <c r="U602" s="252">
        <v>0</v>
      </c>
      <c r="V602" s="252">
        <v>1.0800799999999999</v>
      </c>
      <c r="W602" s="252">
        <v>2.3938999999999999</v>
      </c>
      <c r="X602" s="252">
        <v>0</v>
      </c>
      <c r="Y602" s="252">
        <v>0</v>
      </c>
      <c r="Z602" s="252">
        <v>6.15822</v>
      </c>
      <c r="AA602" s="252">
        <v>2.4332799999999999</v>
      </c>
      <c r="AB602" s="252">
        <v>0</v>
      </c>
      <c r="AC602" s="252">
        <v>0</v>
      </c>
      <c r="AD602" s="252">
        <v>1</v>
      </c>
      <c r="AE602" s="252" t="s">
        <v>20</v>
      </c>
      <c r="AF602" s="252" t="s">
        <v>718</v>
      </c>
      <c r="AG602" s="252">
        <f t="shared" si="46"/>
        <v>0</v>
      </c>
      <c r="AH602" s="252">
        <f t="shared" si="47"/>
        <v>0</v>
      </c>
      <c r="AI602" s="252">
        <f t="shared" si="48"/>
        <v>0</v>
      </c>
      <c r="AJ602" s="252">
        <f t="shared" si="49"/>
        <v>0</v>
      </c>
    </row>
    <row r="603" spans="1:36" x14ac:dyDescent="0.2">
      <c r="A603" s="253" t="str">
        <f t="shared" si="45"/>
        <v>3MSNMCP220320</v>
      </c>
      <c r="B603" s="252" t="s">
        <v>19</v>
      </c>
      <c r="C603" s="252" t="s">
        <v>20</v>
      </c>
      <c r="D603" s="252" t="s">
        <v>2593</v>
      </c>
      <c r="E603" s="252" t="s">
        <v>2594</v>
      </c>
      <c r="F603" s="252" t="s">
        <v>2595</v>
      </c>
      <c r="G603" s="252">
        <v>20</v>
      </c>
      <c r="H603" s="252" t="s">
        <v>928</v>
      </c>
      <c r="I603" s="252" t="s">
        <v>2411</v>
      </c>
      <c r="J603" s="252" t="s">
        <v>928</v>
      </c>
      <c r="K603" s="252" t="s">
        <v>3236</v>
      </c>
      <c r="L603" s="252">
        <v>4628.4714800000002</v>
      </c>
      <c r="M603" s="252">
        <v>91</v>
      </c>
      <c r="N603" s="252">
        <v>0</v>
      </c>
      <c r="O603" s="252">
        <v>2719.9054900000001</v>
      </c>
      <c r="P603" s="252">
        <v>0</v>
      </c>
      <c r="Q603" s="252">
        <v>0</v>
      </c>
      <c r="R603" s="252">
        <v>0</v>
      </c>
      <c r="S603" s="252">
        <v>0</v>
      </c>
      <c r="T603" s="252">
        <v>103.6155</v>
      </c>
      <c r="U603" s="252">
        <v>84.59666</v>
      </c>
      <c r="V603" s="252">
        <v>126.00227</v>
      </c>
      <c r="W603" s="252">
        <v>162.00124</v>
      </c>
      <c r="X603" s="252">
        <v>88.133030000000005</v>
      </c>
      <c r="Y603" s="252">
        <v>0</v>
      </c>
      <c r="Z603" s="252">
        <v>478.10534999999999</v>
      </c>
      <c r="AA603" s="252">
        <v>229.08995999999999</v>
      </c>
      <c r="AB603" s="252">
        <v>0</v>
      </c>
      <c r="AC603" s="252">
        <v>637.02197999999999</v>
      </c>
      <c r="AD603" s="252">
        <v>1</v>
      </c>
      <c r="AE603" s="252" t="s">
        <v>20</v>
      </c>
      <c r="AF603" s="252" t="s">
        <v>718</v>
      </c>
      <c r="AG603" s="252">
        <f t="shared" si="46"/>
        <v>2475.1139959000002</v>
      </c>
      <c r="AH603" s="252">
        <f t="shared" si="47"/>
        <v>0</v>
      </c>
      <c r="AI603" s="252">
        <f t="shared" si="48"/>
        <v>0</v>
      </c>
      <c r="AJ603" s="252">
        <f t="shared" si="49"/>
        <v>2475.1139959000002</v>
      </c>
    </row>
    <row r="604" spans="1:36" x14ac:dyDescent="0.2">
      <c r="A604" s="253" t="str">
        <f t="shared" si="45"/>
        <v>SNMCP220320</v>
      </c>
      <c r="B604" s="252" t="s">
        <v>19</v>
      </c>
      <c r="C604" s="252" t="s">
        <v>20</v>
      </c>
      <c r="D604" s="252" t="s">
        <v>2593</v>
      </c>
      <c r="E604" s="252" t="s">
        <v>2594</v>
      </c>
      <c r="F604" s="252" t="s">
        <v>2595</v>
      </c>
      <c r="G604" s="252">
        <v>20</v>
      </c>
      <c r="H604" s="252" t="s">
        <v>928</v>
      </c>
      <c r="I604" s="252" t="s">
        <v>928</v>
      </c>
      <c r="J604" s="252" t="s">
        <v>928</v>
      </c>
      <c r="K604" s="252" t="s">
        <v>3236</v>
      </c>
      <c r="L604" s="252">
        <v>4628.4721499999996</v>
      </c>
      <c r="M604" s="252">
        <v>91</v>
      </c>
      <c r="N604" s="252">
        <v>0</v>
      </c>
      <c r="O604" s="252">
        <v>2719.9053800000002</v>
      </c>
      <c r="P604" s="252">
        <v>0</v>
      </c>
      <c r="Q604" s="252">
        <v>0</v>
      </c>
      <c r="R604" s="252">
        <v>0</v>
      </c>
      <c r="S604" s="252">
        <v>0</v>
      </c>
      <c r="T604" s="252">
        <v>103.61587</v>
      </c>
      <c r="U604" s="252">
        <v>84.59648</v>
      </c>
      <c r="V604" s="252">
        <v>126.00230999999999</v>
      </c>
      <c r="W604" s="252">
        <v>162.00152</v>
      </c>
      <c r="X604" s="252">
        <v>88.133099999999999</v>
      </c>
      <c r="Y604" s="252">
        <v>0</v>
      </c>
      <c r="Z604" s="252">
        <v>478.10518999999999</v>
      </c>
      <c r="AA604" s="252">
        <v>229.08989</v>
      </c>
      <c r="AB604" s="252">
        <v>0</v>
      </c>
      <c r="AC604" s="252">
        <v>637.02241000000004</v>
      </c>
      <c r="AD604" s="252">
        <v>1</v>
      </c>
      <c r="AE604" s="252" t="s">
        <v>20</v>
      </c>
      <c r="AF604" s="252" t="s">
        <v>718</v>
      </c>
      <c r="AG604" s="252">
        <f t="shared" si="46"/>
        <v>2475.1138958000001</v>
      </c>
      <c r="AH604" s="252">
        <f t="shared" si="47"/>
        <v>0</v>
      </c>
      <c r="AI604" s="252">
        <f t="shared" si="48"/>
        <v>0</v>
      </c>
      <c r="AJ604" s="252">
        <f t="shared" si="49"/>
        <v>2475.1138958000001</v>
      </c>
    </row>
    <row r="605" spans="1:36" x14ac:dyDescent="0.2">
      <c r="A605" s="253" t="str">
        <f t="shared" si="45"/>
        <v>3MSNMCP220325</v>
      </c>
      <c r="B605" s="252" t="s">
        <v>19</v>
      </c>
      <c r="C605" s="252" t="s">
        <v>20</v>
      </c>
      <c r="D605" s="252" t="s">
        <v>2593</v>
      </c>
      <c r="E605" s="252" t="s">
        <v>2594</v>
      </c>
      <c r="F605" s="252" t="s">
        <v>2595</v>
      </c>
      <c r="G605" s="252">
        <v>25</v>
      </c>
      <c r="H605" s="252" t="s">
        <v>928</v>
      </c>
      <c r="I605" s="252" t="s">
        <v>2411</v>
      </c>
      <c r="J605" s="252" t="s">
        <v>928</v>
      </c>
      <c r="K605" s="252" t="s">
        <v>3236</v>
      </c>
      <c r="L605" s="252">
        <v>4997.7754199999999</v>
      </c>
      <c r="M605" s="252">
        <v>91</v>
      </c>
      <c r="N605" s="252">
        <v>0</v>
      </c>
      <c r="O605" s="252">
        <v>3021.6780199999998</v>
      </c>
      <c r="P605" s="252">
        <v>0</v>
      </c>
      <c r="Q605" s="252">
        <v>0</v>
      </c>
      <c r="R605" s="252">
        <v>0</v>
      </c>
      <c r="S605" s="252">
        <v>0</v>
      </c>
      <c r="T605" s="252">
        <v>101.66049</v>
      </c>
      <c r="U605" s="252">
        <v>144.43333000000001</v>
      </c>
      <c r="V605" s="252">
        <v>122.0022</v>
      </c>
      <c r="W605" s="252">
        <v>165.91239999999999</v>
      </c>
      <c r="X605" s="252">
        <v>111.86960000000001</v>
      </c>
      <c r="Y605" s="252">
        <v>0</v>
      </c>
      <c r="Z605" s="252">
        <v>514.95929999999998</v>
      </c>
      <c r="AA605" s="252">
        <v>238.41942</v>
      </c>
      <c r="AB605" s="252">
        <v>0</v>
      </c>
      <c r="AC605" s="252">
        <v>576.84065999999996</v>
      </c>
      <c r="AD605" s="252">
        <v>1</v>
      </c>
      <c r="AE605" s="252" t="s">
        <v>20</v>
      </c>
      <c r="AF605" s="252" t="s">
        <v>718</v>
      </c>
      <c r="AG605" s="252">
        <f t="shared" si="46"/>
        <v>2749.7269981999998</v>
      </c>
      <c r="AH605" s="252">
        <f t="shared" si="47"/>
        <v>0</v>
      </c>
      <c r="AI605" s="252">
        <f t="shared" si="48"/>
        <v>0</v>
      </c>
      <c r="AJ605" s="252">
        <f t="shared" si="49"/>
        <v>2749.7269981999998</v>
      </c>
    </row>
    <row r="606" spans="1:36" x14ac:dyDescent="0.2">
      <c r="A606" s="253" t="str">
        <f t="shared" si="45"/>
        <v>3RSNMCP220325</v>
      </c>
      <c r="B606" s="252" t="s">
        <v>19</v>
      </c>
      <c r="C606" s="252" t="s">
        <v>20</v>
      </c>
      <c r="D606" s="252" t="s">
        <v>2593</v>
      </c>
      <c r="E606" s="252" t="s">
        <v>2594</v>
      </c>
      <c r="F606" s="252" t="s">
        <v>2595</v>
      </c>
      <c r="G606" s="252">
        <v>25</v>
      </c>
      <c r="H606" s="252" t="s">
        <v>928</v>
      </c>
      <c r="I606" s="252" t="s">
        <v>86</v>
      </c>
      <c r="J606" s="252" t="s">
        <v>928</v>
      </c>
      <c r="K606" s="252" t="s">
        <v>3236</v>
      </c>
      <c r="L606" s="252">
        <v>5112.0089399999997</v>
      </c>
      <c r="M606" s="252">
        <v>91</v>
      </c>
      <c r="N606" s="252">
        <v>0</v>
      </c>
      <c r="O606" s="252">
        <v>3021.6780199999998</v>
      </c>
      <c r="P606" s="252">
        <v>0</v>
      </c>
      <c r="Q606" s="252">
        <v>0</v>
      </c>
      <c r="R606" s="252">
        <v>0</v>
      </c>
      <c r="S606" s="252">
        <v>0</v>
      </c>
      <c r="T606" s="252">
        <v>100.68298</v>
      </c>
      <c r="U606" s="252">
        <v>142.36999</v>
      </c>
      <c r="V606" s="252">
        <v>118.00212999999999</v>
      </c>
      <c r="W606" s="252">
        <v>150.54262</v>
      </c>
      <c r="X606" s="252">
        <v>111.86960000000001</v>
      </c>
      <c r="Y606" s="252">
        <v>0</v>
      </c>
      <c r="Z606" s="252">
        <v>672.33564999999999</v>
      </c>
      <c r="AA606" s="252">
        <v>217.68728999999999</v>
      </c>
      <c r="AB606" s="252">
        <v>0</v>
      </c>
      <c r="AC606" s="252">
        <v>576.84065999999996</v>
      </c>
      <c r="AD606" s="252">
        <v>1</v>
      </c>
      <c r="AE606" s="252" t="s">
        <v>20</v>
      </c>
      <c r="AF606" s="252" t="s">
        <v>718</v>
      </c>
      <c r="AG606" s="252">
        <f t="shared" si="46"/>
        <v>2749.7269981999998</v>
      </c>
      <c r="AH606" s="252">
        <f t="shared" si="47"/>
        <v>0</v>
      </c>
      <c r="AI606" s="252">
        <f t="shared" si="48"/>
        <v>0</v>
      </c>
      <c r="AJ606" s="252">
        <f t="shared" si="49"/>
        <v>2749.7269981999998</v>
      </c>
    </row>
    <row r="607" spans="1:36" x14ac:dyDescent="0.2">
      <c r="A607" s="253" t="str">
        <f t="shared" si="45"/>
        <v>SNMCP220325</v>
      </c>
      <c r="B607" s="252" t="s">
        <v>19</v>
      </c>
      <c r="C607" s="252" t="s">
        <v>20</v>
      </c>
      <c r="D607" s="252" t="s">
        <v>2593</v>
      </c>
      <c r="E607" s="252" t="s">
        <v>2594</v>
      </c>
      <c r="F607" s="252" t="s">
        <v>2595</v>
      </c>
      <c r="G607" s="252">
        <v>25</v>
      </c>
      <c r="H607" s="252" t="s">
        <v>928</v>
      </c>
      <c r="I607" s="252" t="s">
        <v>928</v>
      </c>
      <c r="J607" s="252" t="s">
        <v>928</v>
      </c>
      <c r="K607" s="252" t="s">
        <v>3236</v>
      </c>
      <c r="L607" s="252">
        <v>5055.23974</v>
      </c>
      <c r="M607" s="252">
        <v>91</v>
      </c>
      <c r="N607" s="252">
        <v>0</v>
      </c>
      <c r="O607" s="252">
        <v>3021.6778399999998</v>
      </c>
      <c r="P607" s="252">
        <v>0</v>
      </c>
      <c r="Q607" s="252">
        <v>0</v>
      </c>
      <c r="R607" s="252">
        <v>0</v>
      </c>
      <c r="S607" s="252">
        <v>0</v>
      </c>
      <c r="T607" s="252">
        <v>101.16878</v>
      </c>
      <c r="U607" s="252">
        <v>143.39521999999999</v>
      </c>
      <c r="V607" s="252">
        <v>119.98976</v>
      </c>
      <c r="W607" s="252">
        <v>158.18047999999999</v>
      </c>
      <c r="X607" s="252">
        <v>111.86953</v>
      </c>
      <c r="Y607" s="252">
        <v>0</v>
      </c>
      <c r="Z607" s="252">
        <v>594.12733000000003</v>
      </c>
      <c r="AA607" s="252">
        <v>227.99010000000001</v>
      </c>
      <c r="AB607" s="252">
        <v>0</v>
      </c>
      <c r="AC607" s="252">
        <v>576.84069999999997</v>
      </c>
      <c r="AD607" s="252">
        <v>1</v>
      </c>
      <c r="AE607" s="252" t="s">
        <v>20</v>
      </c>
      <c r="AF607" s="252" t="s">
        <v>718</v>
      </c>
      <c r="AG607" s="252">
        <f t="shared" si="46"/>
        <v>2749.7268343999999</v>
      </c>
      <c r="AH607" s="252">
        <f t="shared" si="47"/>
        <v>0</v>
      </c>
      <c r="AI607" s="252">
        <f t="shared" si="48"/>
        <v>0</v>
      </c>
      <c r="AJ607" s="252">
        <f t="shared" si="49"/>
        <v>2749.7268343999999</v>
      </c>
    </row>
    <row r="608" spans="1:36" x14ac:dyDescent="0.2">
      <c r="A608" s="253" t="str">
        <f t="shared" si="45"/>
        <v>3MSNMCP270320</v>
      </c>
      <c r="B608" s="252" t="s">
        <v>19</v>
      </c>
      <c r="C608" s="252" t="s">
        <v>20</v>
      </c>
      <c r="D608" s="252" t="s">
        <v>2593</v>
      </c>
      <c r="E608" s="252" t="s">
        <v>2594</v>
      </c>
      <c r="F608" s="252" t="s">
        <v>2596</v>
      </c>
      <c r="G608" s="252">
        <v>20</v>
      </c>
      <c r="H608" s="252" t="s">
        <v>928</v>
      </c>
      <c r="I608" s="252" t="s">
        <v>2411</v>
      </c>
      <c r="J608" s="252" t="s">
        <v>928</v>
      </c>
      <c r="K608" s="252" t="s">
        <v>3236</v>
      </c>
      <c r="L608" s="252">
        <v>4196.7570999999998</v>
      </c>
      <c r="M608" s="252">
        <v>92</v>
      </c>
      <c r="N608" s="252">
        <v>0</v>
      </c>
      <c r="O608" s="252">
        <v>2427.57935</v>
      </c>
      <c r="P608" s="252">
        <v>0</v>
      </c>
      <c r="Q608" s="252">
        <v>0</v>
      </c>
      <c r="R608" s="252">
        <v>0</v>
      </c>
      <c r="S608" s="252">
        <v>0</v>
      </c>
      <c r="T608" s="252">
        <v>95.795460000000006</v>
      </c>
      <c r="U608" s="252">
        <v>138.24332999999999</v>
      </c>
      <c r="V608" s="252">
        <v>116.00209</v>
      </c>
      <c r="W608" s="252">
        <v>139.80993000000001</v>
      </c>
      <c r="X608" s="252">
        <v>87.175060000000002</v>
      </c>
      <c r="Y608" s="252">
        <v>0</v>
      </c>
      <c r="Z608" s="252">
        <v>486.07377000000002</v>
      </c>
      <c r="AA608" s="252">
        <v>206.28462999999999</v>
      </c>
      <c r="AB608" s="252">
        <v>0</v>
      </c>
      <c r="AC608" s="252">
        <v>499.79347999999999</v>
      </c>
      <c r="AD608" s="252">
        <v>1</v>
      </c>
      <c r="AE608" s="252" t="s">
        <v>20</v>
      </c>
      <c r="AF608" s="252" t="s">
        <v>718</v>
      </c>
      <c r="AG608" s="252">
        <f t="shared" si="46"/>
        <v>2233.3730019999998</v>
      </c>
      <c r="AH608" s="252">
        <f t="shared" si="47"/>
        <v>0</v>
      </c>
      <c r="AI608" s="252">
        <f t="shared" si="48"/>
        <v>0</v>
      </c>
      <c r="AJ608" s="252">
        <f t="shared" si="49"/>
        <v>2233.3730019999998</v>
      </c>
    </row>
    <row r="609" spans="1:36" x14ac:dyDescent="0.2">
      <c r="A609" s="253" t="str">
        <f t="shared" si="45"/>
        <v>SNMCP270320</v>
      </c>
      <c r="B609" s="252" t="s">
        <v>19</v>
      </c>
      <c r="C609" s="252" t="s">
        <v>20</v>
      </c>
      <c r="D609" s="252" t="s">
        <v>2593</v>
      </c>
      <c r="E609" s="252" t="s">
        <v>2594</v>
      </c>
      <c r="F609" s="252" t="s">
        <v>2596</v>
      </c>
      <c r="G609" s="252">
        <v>20</v>
      </c>
      <c r="H609" s="252" t="s">
        <v>928</v>
      </c>
      <c r="I609" s="252" t="s">
        <v>928</v>
      </c>
      <c r="J609" s="252" t="s">
        <v>928</v>
      </c>
      <c r="K609" s="252" t="s">
        <v>3236</v>
      </c>
      <c r="L609" s="252">
        <v>4196.7569599999997</v>
      </c>
      <c r="M609" s="252">
        <v>92</v>
      </c>
      <c r="N609" s="252">
        <v>0</v>
      </c>
      <c r="O609" s="252">
        <v>2427.5794900000001</v>
      </c>
      <c r="P609" s="252">
        <v>0</v>
      </c>
      <c r="Q609" s="252">
        <v>0</v>
      </c>
      <c r="R609" s="252">
        <v>0</v>
      </c>
      <c r="S609" s="252">
        <v>0</v>
      </c>
      <c r="T609" s="252">
        <v>95.795419999999993</v>
      </c>
      <c r="U609" s="252">
        <v>138.24332000000001</v>
      </c>
      <c r="V609" s="252">
        <v>116.00214</v>
      </c>
      <c r="W609" s="252">
        <v>139.80978999999999</v>
      </c>
      <c r="X609" s="252">
        <v>87.174959999999999</v>
      </c>
      <c r="Y609" s="252">
        <v>0</v>
      </c>
      <c r="Z609" s="252">
        <v>486.07384999999999</v>
      </c>
      <c r="AA609" s="252">
        <v>206.28452999999999</v>
      </c>
      <c r="AB609" s="252">
        <v>0</v>
      </c>
      <c r="AC609" s="252">
        <v>499.79345999999998</v>
      </c>
      <c r="AD609" s="252">
        <v>1</v>
      </c>
      <c r="AE609" s="252" t="s">
        <v>20</v>
      </c>
      <c r="AF609" s="252" t="s">
        <v>718</v>
      </c>
      <c r="AG609" s="252">
        <f t="shared" si="46"/>
        <v>2233.3731308000001</v>
      </c>
      <c r="AH609" s="252">
        <f t="shared" si="47"/>
        <v>0</v>
      </c>
      <c r="AI609" s="252">
        <f t="shared" si="48"/>
        <v>0</v>
      </c>
      <c r="AJ609" s="252">
        <f t="shared" si="49"/>
        <v>2233.3731308000001</v>
      </c>
    </row>
    <row r="610" spans="1:36" x14ac:dyDescent="0.2">
      <c r="A610" s="253" t="str">
        <f t="shared" si="45"/>
        <v>3KSNMCP270325</v>
      </c>
      <c r="B610" s="252" t="s">
        <v>19</v>
      </c>
      <c r="C610" s="252" t="s">
        <v>20</v>
      </c>
      <c r="D610" s="252" t="s">
        <v>2593</v>
      </c>
      <c r="E610" s="252" t="s">
        <v>2594</v>
      </c>
      <c r="F610" s="252" t="s">
        <v>2596</v>
      </c>
      <c r="G610" s="252">
        <v>25</v>
      </c>
      <c r="H610" s="252" t="s">
        <v>928</v>
      </c>
      <c r="I610" s="252" t="s">
        <v>2597</v>
      </c>
      <c r="J610" s="252" t="s">
        <v>928</v>
      </c>
      <c r="K610" s="252" t="s">
        <v>3236</v>
      </c>
      <c r="L610" s="252">
        <v>6880.8279599999996</v>
      </c>
      <c r="M610" s="252">
        <v>93.2</v>
      </c>
      <c r="N610" s="252">
        <v>0</v>
      </c>
      <c r="O610" s="252">
        <v>5003.3583699999999</v>
      </c>
      <c r="P610" s="252">
        <v>0</v>
      </c>
      <c r="Q610" s="252">
        <v>0</v>
      </c>
      <c r="R610" s="252">
        <v>0</v>
      </c>
      <c r="S610" s="252">
        <v>0</v>
      </c>
      <c r="T610" s="252">
        <v>94.817959999999999</v>
      </c>
      <c r="U610" s="252">
        <v>141.33833000000001</v>
      </c>
      <c r="V610" s="252">
        <v>116.00209</v>
      </c>
      <c r="W610" s="252">
        <v>174.35209</v>
      </c>
      <c r="X610" s="252">
        <v>443.23277000000002</v>
      </c>
      <c r="Y610" s="252">
        <v>0</v>
      </c>
      <c r="Z610" s="252">
        <v>670.34353999999996</v>
      </c>
      <c r="AA610" s="252">
        <v>237.38281000000001</v>
      </c>
      <c r="AB610" s="252">
        <v>0</v>
      </c>
      <c r="AC610" s="252">
        <v>0</v>
      </c>
      <c r="AD610" s="252">
        <v>1</v>
      </c>
      <c r="AE610" s="252" t="s">
        <v>20</v>
      </c>
      <c r="AF610" s="252" t="s">
        <v>718</v>
      </c>
      <c r="AG610" s="252">
        <f t="shared" si="46"/>
        <v>4663.1300008400003</v>
      </c>
      <c r="AH610" s="252">
        <f t="shared" si="47"/>
        <v>0</v>
      </c>
      <c r="AI610" s="252">
        <f t="shared" si="48"/>
        <v>0</v>
      </c>
      <c r="AJ610" s="252">
        <f t="shared" si="49"/>
        <v>4663.1300008400003</v>
      </c>
    </row>
    <row r="611" spans="1:36" x14ac:dyDescent="0.2">
      <c r="A611" s="253" t="str">
        <f t="shared" si="45"/>
        <v>3MSNMCP270325</v>
      </c>
      <c r="B611" s="252" t="s">
        <v>19</v>
      </c>
      <c r="C611" s="252" t="s">
        <v>20</v>
      </c>
      <c r="D611" s="252" t="s">
        <v>2593</v>
      </c>
      <c r="E611" s="252" t="s">
        <v>2594</v>
      </c>
      <c r="F611" s="252" t="s">
        <v>2596</v>
      </c>
      <c r="G611" s="252">
        <v>25</v>
      </c>
      <c r="H611" s="252" t="s">
        <v>928</v>
      </c>
      <c r="I611" s="252" t="s">
        <v>2411</v>
      </c>
      <c r="J611" s="252" t="s">
        <v>928</v>
      </c>
      <c r="K611" s="252" t="s">
        <v>3236</v>
      </c>
      <c r="L611" s="252">
        <v>4647.3996500000003</v>
      </c>
      <c r="M611" s="252">
        <v>93.2</v>
      </c>
      <c r="N611" s="252">
        <v>0</v>
      </c>
      <c r="O611" s="252">
        <v>2898.31223</v>
      </c>
      <c r="P611" s="252">
        <v>0</v>
      </c>
      <c r="Q611" s="252">
        <v>0</v>
      </c>
      <c r="R611" s="252">
        <v>0</v>
      </c>
      <c r="S611" s="252">
        <v>0</v>
      </c>
      <c r="T611" s="252">
        <v>94.817959999999999</v>
      </c>
      <c r="U611" s="252">
        <v>141.33833000000001</v>
      </c>
      <c r="V611" s="252">
        <v>114.00206</v>
      </c>
      <c r="W611" s="252">
        <v>147.44023000000001</v>
      </c>
      <c r="X611" s="252">
        <v>109.22891</v>
      </c>
      <c r="Y611" s="252">
        <v>0</v>
      </c>
      <c r="Z611" s="252">
        <v>476.11324000000002</v>
      </c>
      <c r="AA611" s="252">
        <v>214.57748000000001</v>
      </c>
      <c r="AB611" s="252">
        <v>0</v>
      </c>
      <c r="AC611" s="252">
        <v>451.56921</v>
      </c>
      <c r="AD611" s="252">
        <v>1</v>
      </c>
      <c r="AE611" s="252" t="s">
        <v>20</v>
      </c>
      <c r="AF611" s="252" t="s">
        <v>718</v>
      </c>
      <c r="AG611" s="252">
        <f t="shared" si="46"/>
        <v>2701.2269983599999</v>
      </c>
      <c r="AH611" s="252">
        <f t="shared" si="47"/>
        <v>0</v>
      </c>
      <c r="AI611" s="252">
        <f t="shared" si="48"/>
        <v>0</v>
      </c>
      <c r="AJ611" s="252">
        <f t="shared" si="49"/>
        <v>2701.2269983599999</v>
      </c>
    </row>
    <row r="612" spans="1:36" x14ac:dyDescent="0.2">
      <c r="A612" s="253" t="str">
        <f t="shared" si="45"/>
        <v>3RSNMCP270325</v>
      </c>
      <c r="B612" s="252" t="s">
        <v>19</v>
      </c>
      <c r="C612" s="252" t="s">
        <v>20</v>
      </c>
      <c r="D612" s="252" t="s">
        <v>2593</v>
      </c>
      <c r="E612" s="252" t="s">
        <v>2594</v>
      </c>
      <c r="F612" s="252" t="s">
        <v>2596</v>
      </c>
      <c r="G612" s="252">
        <v>25</v>
      </c>
      <c r="H612" s="252" t="s">
        <v>928</v>
      </c>
      <c r="I612" s="252" t="s">
        <v>86</v>
      </c>
      <c r="J612" s="252" t="s">
        <v>928</v>
      </c>
      <c r="K612" s="252" t="s">
        <v>3236</v>
      </c>
      <c r="L612" s="252">
        <v>4789.9421000000002</v>
      </c>
      <c r="M612" s="252">
        <v>93.2</v>
      </c>
      <c r="N612" s="252">
        <v>0</v>
      </c>
      <c r="O612" s="252">
        <v>2898.31223</v>
      </c>
      <c r="P612" s="252">
        <v>0</v>
      </c>
      <c r="Q612" s="252">
        <v>0</v>
      </c>
      <c r="R612" s="252">
        <v>0</v>
      </c>
      <c r="S612" s="252">
        <v>0</v>
      </c>
      <c r="T612" s="252">
        <v>94.817959999999999</v>
      </c>
      <c r="U612" s="252">
        <v>141.33833000000001</v>
      </c>
      <c r="V612" s="252">
        <v>114.00206</v>
      </c>
      <c r="W612" s="252">
        <v>140.9803</v>
      </c>
      <c r="X612" s="252">
        <v>109.22891</v>
      </c>
      <c r="Y612" s="252">
        <v>0</v>
      </c>
      <c r="Z612" s="252">
        <v>635.48168999999996</v>
      </c>
      <c r="AA612" s="252">
        <v>204.21141</v>
      </c>
      <c r="AB612" s="252">
        <v>0</v>
      </c>
      <c r="AC612" s="252">
        <v>451.56921</v>
      </c>
      <c r="AD612" s="252">
        <v>1</v>
      </c>
      <c r="AE612" s="252" t="s">
        <v>20</v>
      </c>
      <c r="AF612" s="252" t="s">
        <v>718</v>
      </c>
      <c r="AG612" s="252">
        <f t="shared" si="46"/>
        <v>2701.2269983599999</v>
      </c>
      <c r="AH612" s="252">
        <f t="shared" si="47"/>
        <v>0</v>
      </c>
      <c r="AI612" s="252">
        <f t="shared" si="48"/>
        <v>0</v>
      </c>
      <c r="AJ612" s="252">
        <f t="shared" si="49"/>
        <v>2701.2269983599999</v>
      </c>
    </row>
    <row r="613" spans="1:36" x14ac:dyDescent="0.2">
      <c r="A613" s="253" t="str">
        <f t="shared" si="45"/>
        <v>3SSNMCP270325</v>
      </c>
      <c r="B613" s="252" t="s">
        <v>19</v>
      </c>
      <c r="C613" s="252" t="s">
        <v>20</v>
      </c>
      <c r="D613" s="252" t="s">
        <v>2593</v>
      </c>
      <c r="E613" s="252" t="s">
        <v>2594</v>
      </c>
      <c r="F613" s="252" t="s">
        <v>2596</v>
      </c>
      <c r="G613" s="252">
        <v>25</v>
      </c>
      <c r="H613" s="252" t="s">
        <v>928</v>
      </c>
      <c r="I613" s="252" t="s">
        <v>2598</v>
      </c>
      <c r="J613" s="252" t="s">
        <v>928</v>
      </c>
      <c r="K613" s="252" t="s">
        <v>3236</v>
      </c>
      <c r="L613" s="252">
        <v>4901.0316999999995</v>
      </c>
      <c r="M613" s="252">
        <v>93.2</v>
      </c>
      <c r="N613" s="252">
        <v>0</v>
      </c>
      <c r="O613" s="252">
        <v>2898.31223</v>
      </c>
      <c r="P613" s="252">
        <v>0</v>
      </c>
      <c r="Q613" s="252">
        <v>0</v>
      </c>
      <c r="R613" s="252">
        <v>0</v>
      </c>
      <c r="S613" s="252">
        <v>0</v>
      </c>
      <c r="T613" s="252">
        <v>94.817959999999999</v>
      </c>
      <c r="U613" s="252">
        <v>141.33833000000001</v>
      </c>
      <c r="V613" s="252">
        <v>116.00209</v>
      </c>
      <c r="W613" s="252">
        <v>175.97919999999999</v>
      </c>
      <c r="X613" s="252">
        <v>109.22891</v>
      </c>
      <c r="Y613" s="252">
        <v>0</v>
      </c>
      <c r="Z613" s="252">
        <v>674.32775000000004</v>
      </c>
      <c r="AA613" s="252">
        <v>239.45602</v>
      </c>
      <c r="AB613" s="252">
        <v>0</v>
      </c>
      <c r="AC613" s="252">
        <v>451.56921</v>
      </c>
      <c r="AD613" s="252">
        <v>1</v>
      </c>
      <c r="AE613" s="252" t="s">
        <v>20</v>
      </c>
      <c r="AF613" s="252" t="s">
        <v>718</v>
      </c>
      <c r="AG613" s="252">
        <f t="shared" si="46"/>
        <v>2701.2269983599999</v>
      </c>
      <c r="AH613" s="252">
        <f t="shared" si="47"/>
        <v>0</v>
      </c>
      <c r="AI613" s="252">
        <f t="shared" si="48"/>
        <v>0</v>
      </c>
      <c r="AJ613" s="252">
        <f t="shared" si="49"/>
        <v>2701.2269983599999</v>
      </c>
    </row>
    <row r="614" spans="1:36" x14ac:dyDescent="0.2">
      <c r="A614" s="253" t="str">
        <f t="shared" si="45"/>
        <v>SNMCP270325</v>
      </c>
      <c r="B614" s="252" t="s">
        <v>19</v>
      </c>
      <c r="C614" s="252" t="s">
        <v>20</v>
      </c>
      <c r="D614" s="252" t="s">
        <v>2593</v>
      </c>
      <c r="E614" s="252" t="s">
        <v>2594</v>
      </c>
      <c r="F614" s="252" t="s">
        <v>2596</v>
      </c>
      <c r="G614" s="252">
        <v>25</v>
      </c>
      <c r="H614" s="252" t="s">
        <v>928</v>
      </c>
      <c r="I614" s="252" t="s">
        <v>928</v>
      </c>
      <c r="J614" s="252" t="s">
        <v>928</v>
      </c>
      <c r="K614" s="252" t="s">
        <v>3236</v>
      </c>
      <c r="L614" s="252">
        <v>5104.1034200000004</v>
      </c>
      <c r="M614" s="252">
        <v>93.2</v>
      </c>
      <c r="N614" s="252">
        <v>0</v>
      </c>
      <c r="O614" s="252">
        <v>3250.1766899999998</v>
      </c>
      <c r="P614" s="252">
        <v>0</v>
      </c>
      <c r="Q614" s="252">
        <v>0</v>
      </c>
      <c r="R614" s="252">
        <v>0</v>
      </c>
      <c r="S614" s="252">
        <v>0</v>
      </c>
      <c r="T614" s="252">
        <v>94.817939999999993</v>
      </c>
      <c r="U614" s="252">
        <v>141.33835999999999</v>
      </c>
      <c r="V614" s="252">
        <v>114.51818</v>
      </c>
      <c r="W614" s="252">
        <v>151.79886999999999</v>
      </c>
      <c r="X614" s="252">
        <v>165.05857</v>
      </c>
      <c r="Y614" s="252">
        <v>0</v>
      </c>
      <c r="Z614" s="252">
        <v>594.04283999999996</v>
      </c>
      <c r="AA614" s="252">
        <v>216.26381000000001</v>
      </c>
      <c r="AB614" s="252">
        <v>0</v>
      </c>
      <c r="AC614" s="252">
        <v>376.08816000000002</v>
      </c>
      <c r="AD614" s="252">
        <v>1</v>
      </c>
      <c r="AE614" s="252" t="s">
        <v>20</v>
      </c>
      <c r="AF614" s="252" t="s">
        <v>718</v>
      </c>
      <c r="AG614" s="252">
        <f t="shared" si="46"/>
        <v>3029.1646750799996</v>
      </c>
      <c r="AH614" s="252">
        <f t="shared" si="47"/>
        <v>0</v>
      </c>
      <c r="AI614" s="252">
        <f t="shared" si="48"/>
        <v>0</v>
      </c>
      <c r="AJ614" s="252">
        <f t="shared" si="49"/>
        <v>3029.1646750799996</v>
      </c>
    </row>
    <row r="615" spans="1:36" x14ac:dyDescent="0.2">
      <c r="A615" s="253" t="str">
        <f t="shared" si="45"/>
        <v>3ASNMCP270330</v>
      </c>
      <c r="B615" s="252" t="s">
        <v>19</v>
      </c>
      <c r="C615" s="252" t="s">
        <v>20</v>
      </c>
      <c r="D615" s="252" t="s">
        <v>2593</v>
      </c>
      <c r="E615" s="252" t="s">
        <v>2594</v>
      </c>
      <c r="F615" s="252" t="s">
        <v>2596</v>
      </c>
      <c r="G615" s="252">
        <v>30</v>
      </c>
      <c r="H615" s="252" t="s">
        <v>928</v>
      </c>
      <c r="I615" s="252" t="s">
        <v>2395</v>
      </c>
      <c r="J615" s="252" t="s">
        <v>928</v>
      </c>
      <c r="K615" s="252" t="s">
        <v>3236</v>
      </c>
      <c r="L615" s="252">
        <v>6636.2958099999996</v>
      </c>
      <c r="M615" s="252">
        <v>93</v>
      </c>
      <c r="N615" s="252">
        <v>0</v>
      </c>
      <c r="O615" s="252">
        <v>4016.9580599999999</v>
      </c>
      <c r="P615" s="252">
        <v>0</v>
      </c>
      <c r="Q615" s="252">
        <v>0</v>
      </c>
      <c r="R615" s="252">
        <v>0</v>
      </c>
      <c r="S615" s="252">
        <v>0</v>
      </c>
      <c r="T615" s="252">
        <v>155.42325</v>
      </c>
      <c r="U615" s="252">
        <v>148.55999</v>
      </c>
      <c r="V615" s="252">
        <v>130.00235000000001</v>
      </c>
      <c r="W615" s="252">
        <v>266.18328000000002</v>
      </c>
      <c r="X615" s="252">
        <v>132.68992</v>
      </c>
      <c r="Y615" s="252">
        <v>0</v>
      </c>
      <c r="Z615" s="252">
        <v>781.90146000000004</v>
      </c>
      <c r="AA615" s="252">
        <v>333.78717999999998</v>
      </c>
      <c r="AB615" s="252">
        <v>0</v>
      </c>
      <c r="AC615" s="252">
        <v>670.79031999999995</v>
      </c>
      <c r="AD615" s="252">
        <v>1</v>
      </c>
      <c r="AE615" s="252" t="s">
        <v>19</v>
      </c>
      <c r="AF615" s="252" t="s">
        <v>718</v>
      </c>
      <c r="AG615" s="252">
        <f t="shared" si="46"/>
        <v>3735.7709957999996</v>
      </c>
      <c r="AH615" s="252">
        <f t="shared" si="47"/>
        <v>0</v>
      </c>
      <c r="AI615" s="252">
        <f t="shared" si="48"/>
        <v>0</v>
      </c>
      <c r="AJ615" s="252">
        <f t="shared" si="49"/>
        <v>3735.7709957999996</v>
      </c>
    </row>
    <row r="616" spans="1:36" x14ac:dyDescent="0.2">
      <c r="A616" s="253" t="str">
        <f t="shared" si="45"/>
        <v>3SSNMCP270330</v>
      </c>
      <c r="B616" s="252" t="s">
        <v>19</v>
      </c>
      <c r="C616" s="252" t="s">
        <v>20</v>
      </c>
      <c r="D616" s="252" t="s">
        <v>2593</v>
      </c>
      <c r="E616" s="252" t="s">
        <v>2594</v>
      </c>
      <c r="F616" s="252" t="s">
        <v>2596</v>
      </c>
      <c r="G616" s="252">
        <v>30</v>
      </c>
      <c r="H616" s="252" t="s">
        <v>928</v>
      </c>
      <c r="I616" s="252" t="s">
        <v>2598</v>
      </c>
      <c r="J616" s="252" t="s">
        <v>928</v>
      </c>
      <c r="K616" s="252" t="s">
        <v>3236</v>
      </c>
      <c r="L616" s="252">
        <v>6752.61103</v>
      </c>
      <c r="M616" s="252">
        <v>90</v>
      </c>
      <c r="N616" s="252">
        <v>0</v>
      </c>
      <c r="O616" s="252">
        <v>4150.8566700000001</v>
      </c>
      <c r="P616" s="252">
        <v>0</v>
      </c>
      <c r="Q616" s="252">
        <v>0</v>
      </c>
      <c r="R616" s="252">
        <v>0</v>
      </c>
      <c r="S616" s="252">
        <v>0</v>
      </c>
      <c r="T616" s="252">
        <v>97.750470000000007</v>
      </c>
      <c r="U616" s="252">
        <v>148.55999</v>
      </c>
      <c r="V616" s="252">
        <v>120.00216</v>
      </c>
      <c r="W616" s="252">
        <v>240.29584</v>
      </c>
      <c r="X616" s="252">
        <v>137.11292</v>
      </c>
      <c r="Y616" s="252">
        <v>0</v>
      </c>
      <c r="Z616" s="252">
        <v>846.64489000000003</v>
      </c>
      <c r="AA616" s="252">
        <v>318.23809</v>
      </c>
      <c r="AB616" s="252">
        <v>0</v>
      </c>
      <c r="AC616" s="252">
        <v>693.15</v>
      </c>
      <c r="AD616" s="252">
        <v>1</v>
      </c>
      <c r="AE616" s="252" t="s">
        <v>19</v>
      </c>
      <c r="AF616" s="252" t="s">
        <v>718</v>
      </c>
      <c r="AG616" s="252">
        <f t="shared" si="46"/>
        <v>3735.7710029999998</v>
      </c>
      <c r="AH616" s="252">
        <f t="shared" si="47"/>
        <v>0</v>
      </c>
      <c r="AI616" s="252">
        <f t="shared" si="48"/>
        <v>0</v>
      </c>
      <c r="AJ616" s="252">
        <f t="shared" si="49"/>
        <v>3735.7710029999998</v>
      </c>
    </row>
    <row r="617" spans="1:36" x14ac:dyDescent="0.2">
      <c r="A617" s="253" t="str">
        <f t="shared" si="45"/>
        <v>SNMCP270330</v>
      </c>
      <c r="B617" s="252" t="s">
        <v>19</v>
      </c>
      <c r="C617" s="252" t="s">
        <v>20</v>
      </c>
      <c r="D617" s="252" t="s">
        <v>2593</v>
      </c>
      <c r="E617" s="252" t="s">
        <v>2594</v>
      </c>
      <c r="F617" s="252" t="s">
        <v>2596</v>
      </c>
      <c r="G617" s="252">
        <v>30</v>
      </c>
      <c r="H617" s="252" t="s">
        <v>928</v>
      </c>
      <c r="I617" s="252" t="s">
        <v>928</v>
      </c>
      <c r="J617" s="252" t="s">
        <v>928</v>
      </c>
      <c r="K617" s="252" t="s">
        <v>3236</v>
      </c>
      <c r="L617" s="252">
        <v>6646.8834399999996</v>
      </c>
      <c r="M617" s="252">
        <v>92.63158</v>
      </c>
      <c r="N617" s="252">
        <v>0</v>
      </c>
      <c r="O617" s="252">
        <v>4029.1457599999999</v>
      </c>
      <c r="P617" s="252">
        <v>0</v>
      </c>
      <c r="Q617" s="252">
        <v>0</v>
      </c>
      <c r="R617" s="252">
        <v>0</v>
      </c>
      <c r="S617" s="252">
        <v>0</v>
      </c>
      <c r="T617" s="252">
        <v>150.17389</v>
      </c>
      <c r="U617" s="252">
        <v>148.55994000000001</v>
      </c>
      <c r="V617" s="252">
        <v>129.09211999999999</v>
      </c>
      <c r="W617" s="252">
        <v>263.82686999999999</v>
      </c>
      <c r="X617" s="252">
        <v>133.09261000000001</v>
      </c>
      <c r="Y617" s="252">
        <v>0</v>
      </c>
      <c r="Z617" s="252">
        <v>787.79465000000005</v>
      </c>
      <c r="AA617" s="252">
        <v>332.37212</v>
      </c>
      <c r="AB617" s="252">
        <v>0</v>
      </c>
      <c r="AC617" s="252">
        <v>672.82547999999997</v>
      </c>
      <c r="AD617" s="252">
        <v>1</v>
      </c>
      <c r="AE617" s="252" t="s">
        <v>19</v>
      </c>
      <c r="AF617" s="252" t="s">
        <v>718</v>
      </c>
      <c r="AG617" s="252">
        <f t="shared" si="46"/>
        <v>3732.261377991008</v>
      </c>
      <c r="AH617" s="252">
        <f t="shared" si="47"/>
        <v>0</v>
      </c>
      <c r="AI617" s="252">
        <f t="shared" si="48"/>
        <v>0</v>
      </c>
      <c r="AJ617" s="252">
        <f t="shared" si="49"/>
        <v>3732.261377991008</v>
      </c>
    </row>
    <row r="618" spans="1:36" x14ac:dyDescent="0.2">
      <c r="A618" s="253" t="str">
        <f t="shared" si="45"/>
        <v>3RSNMCP270340</v>
      </c>
      <c r="B618" s="252" t="s">
        <v>19</v>
      </c>
      <c r="C618" s="252" t="s">
        <v>20</v>
      </c>
      <c r="D618" s="252" t="s">
        <v>2593</v>
      </c>
      <c r="E618" s="252" t="s">
        <v>2594</v>
      </c>
      <c r="F618" s="252" t="s">
        <v>2596</v>
      </c>
      <c r="G618" s="252">
        <v>40</v>
      </c>
      <c r="H618" s="252" t="s">
        <v>928</v>
      </c>
      <c r="I618" s="252" t="s">
        <v>86</v>
      </c>
      <c r="J618" s="252" t="s">
        <v>928</v>
      </c>
      <c r="K618" s="252" t="s">
        <v>3236</v>
      </c>
      <c r="L618" s="252">
        <v>8509.0865799999992</v>
      </c>
      <c r="M618" s="252">
        <v>90</v>
      </c>
      <c r="N618" s="252">
        <v>0</v>
      </c>
      <c r="O618" s="252">
        <v>5278.7855600000003</v>
      </c>
      <c r="P618" s="252">
        <v>0</v>
      </c>
      <c r="Q618" s="252">
        <v>0</v>
      </c>
      <c r="R618" s="252">
        <v>0</v>
      </c>
      <c r="S618" s="252">
        <v>0</v>
      </c>
      <c r="T618" s="252">
        <v>105.57051</v>
      </c>
      <c r="U618" s="252">
        <v>167.12998999999999</v>
      </c>
      <c r="V618" s="252">
        <v>251.00452999999999</v>
      </c>
      <c r="W618" s="252">
        <v>231.80037999999999</v>
      </c>
      <c r="X618" s="252">
        <v>185.11355</v>
      </c>
      <c r="Y618" s="252">
        <v>0</v>
      </c>
      <c r="Z618" s="252">
        <v>934.29754000000003</v>
      </c>
      <c r="AA618" s="252">
        <v>322.38452000000001</v>
      </c>
      <c r="AB618" s="252">
        <v>0</v>
      </c>
      <c r="AC618" s="252">
        <v>1033</v>
      </c>
      <c r="AD618" s="252">
        <v>1</v>
      </c>
      <c r="AE618" s="252" t="s">
        <v>19</v>
      </c>
      <c r="AF618" s="252" t="s">
        <v>718</v>
      </c>
      <c r="AG618" s="252">
        <f t="shared" si="46"/>
        <v>4750.9070040000006</v>
      </c>
      <c r="AH618" s="252">
        <f t="shared" si="47"/>
        <v>0</v>
      </c>
      <c r="AI618" s="252">
        <f t="shared" si="48"/>
        <v>0</v>
      </c>
      <c r="AJ618" s="252">
        <f t="shared" si="49"/>
        <v>4750.9070040000006</v>
      </c>
    </row>
    <row r="619" spans="1:36" x14ac:dyDescent="0.2">
      <c r="A619" s="253" t="str">
        <f t="shared" si="45"/>
        <v>SNMCP270340</v>
      </c>
      <c r="B619" s="252" t="s">
        <v>19</v>
      </c>
      <c r="C619" s="252" t="s">
        <v>20</v>
      </c>
      <c r="D619" s="252" t="s">
        <v>2593</v>
      </c>
      <c r="E619" s="252" t="s">
        <v>2594</v>
      </c>
      <c r="F619" s="252" t="s">
        <v>2596</v>
      </c>
      <c r="G619" s="252">
        <v>40</v>
      </c>
      <c r="H619" s="252" t="s">
        <v>928</v>
      </c>
      <c r="I619" s="252" t="s">
        <v>928</v>
      </c>
      <c r="J619" s="252" t="s">
        <v>928</v>
      </c>
      <c r="K619" s="252" t="s">
        <v>3236</v>
      </c>
      <c r="L619" s="252">
        <v>8509.0869500000008</v>
      </c>
      <c r="M619" s="252">
        <v>90</v>
      </c>
      <c r="N619" s="252">
        <v>0</v>
      </c>
      <c r="O619" s="252">
        <v>5278.7853500000001</v>
      </c>
      <c r="P619" s="252">
        <v>0</v>
      </c>
      <c r="Q619" s="252">
        <v>0</v>
      </c>
      <c r="R619" s="252">
        <v>0</v>
      </c>
      <c r="S619" s="252">
        <v>0</v>
      </c>
      <c r="T619" s="252">
        <v>105.57042</v>
      </c>
      <c r="U619" s="252">
        <v>167.13019</v>
      </c>
      <c r="V619" s="252">
        <v>251.00353999999999</v>
      </c>
      <c r="W619" s="252">
        <v>231.80180999999999</v>
      </c>
      <c r="X619" s="252">
        <v>185.11332999999999</v>
      </c>
      <c r="Y619" s="252">
        <v>0</v>
      </c>
      <c r="Z619" s="252">
        <v>934.29746999999998</v>
      </c>
      <c r="AA619" s="252">
        <v>322.38467000000003</v>
      </c>
      <c r="AB619" s="252">
        <v>0</v>
      </c>
      <c r="AC619" s="252">
        <v>1033.00017</v>
      </c>
      <c r="AD619" s="252">
        <v>1</v>
      </c>
      <c r="AE619" s="252" t="s">
        <v>19</v>
      </c>
      <c r="AF619" s="252" t="s">
        <v>718</v>
      </c>
      <c r="AG619" s="252">
        <f t="shared" si="46"/>
        <v>4750.9068150000003</v>
      </c>
      <c r="AH619" s="252">
        <f t="shared" si="47"/>
        <v>0</v>
      </c>
      <c r="AI619" s="252">
        <f t="shared" si="48"/>
        <v>0</v>
      </c>
      <c r="AJ619" s="252">
        <f t="shared" si="49"/>
        <v>4750.9068150000003</v>
      </c>
    </row>
    <row r="620" spans="1:36" x14ac:dyDescent="0.2">
      <c r="A620" s="253" t="str">
        <f t="shared" si="45"/>
        <v>3SSNMCP270440</v>
      </c>
      <c r="B620" s="252" t="s">
        <v>19</v>
      </c>
      <c r="C620" s="252" t="s">
        <v>20</v>
      </c>
      <c r="D620" s="252" t="s">
        <v>2593</v>
      </c>
      <c r="E620" s="252" t="s">
        <v>2594</v>
      </c>
      <c r="F620" s="252" t="s">
        <v>2699</v>
      </c>
      <c r="G620" s="252">
        <v>40</v>
      </c>
      <c r="H620" s="252" t="s">
        <v>928</v>
      </c>
      <c r="I620" s="252" t="s">
        <v>2598</v>
      </c>
      <c r="J620" s="252" t="s">
        <v>928</v>
      </c>
      <c r="K620" s="252" t="s">
        <v>3236</v>
      </c>
      <c r="L620" s="252">
        <v>10225.87283</v>
      </c>
      <c r="M620" s="252">
        <v>85</v>
      </c>
      <c r="N620" s="252">
        <v>0</v>
      </c>
      <c r="O620" s="252">
        <v>5589.3023499999999</v>
      </c>
      <c r="P620" s="252">
        <v>0</v>
      </c>
      <c r="Q620" s="252">
        <v>0</v>
      </c>
      <c r="R620" s="252">
        <v>0</v>
      </c>
      <c r="S620" s="252">
        <v>0</v>
      </c>
      <c r="T620" s="252">
        <v>124.1431</v>
      </c>
      <c r="U620" s="252">
        <v>182.60498999999999</v>
      </c>
      <c r="V620" s="252">
        <v>313.00565</v>
      </c>
      <c r="W620" s="252">
        <v>506.60597999999999</v>
      </c>
      <c r="X620" s="252">
        <v>196.00257999999999</v>
      </c>
      <c r="Y620" s="252">
        <v>0</v>
      </c>
      <c r="Z620" s="252">
        <v>1577.74765</v>
      </c>
      <c r="AA620" s="252">
        <v>642.69582000000003</v>
      </c>
      <c r="AB620" s="252">
        <v>0</v>
      </c>
      <c r="AC620" s="252">
        <v>1093.7647099999999</v>
      </c>
      <c r="AD620" s="252">
        <v>1</v>
      </c>
      <c r="AE620" s="252" t="s">
        <v>19</v>
      </c>
      <c r="AF620" s="252" t="s">
        <v>718</v>
      </c>
      <c r="AG620" s="252">
        <f t="shared" si="46"/>
        <v>4750.9069974999993</v>
      </c>
      <c r="AH620" s="252">
        <f t="shared" si="47"/>
        <v>0</v>
      </c>
      <c r="AI620" s="252">
        <f t="shared" si="48"/>
        <v>0</v>
      </c>
      <c r="AJ620" s="252">
        <f t="shared" si="49"/>
        <v>4750.9069974999993</v>
      </c>
    </row>
    <row r="621" spans="1:36" x14ac:dyDescent="0.2">
      <c r="A621" s="253" t="str">
        <f t="shared" si="45"/>
        <v>SNMCP270440</v>
      </c>
      <c r="B621" s="252" t="s">
        <v>19</v>
      </c>
      <c r="C621" s="252" t="s">
        <v>20</v>
      </c>
      <c r="D621" s="252" t="s">
        <v>2593</v>
      </c>
      <c r="E621" s="252" t="s">
        <v>2594</v>
      </c>
      <c r="F621" s="252" t="s">
        <v>2699</v>
      </c>
      <c r="G621" s="252">
        <v>40</v>
      </c>
      <c r="H621" s="252" t="s">
        <v>928</v>
      </c>
      <c r="I621" s="252" t="s">
        <v>928</v>
      </c>
      <c r="J621" s="252" t="s">
        <v>928</v>
      </c>
      <c r="K621" s="252" t="s">
        <v>3236</v>
      </c>
      <c r="L621" s="252">
        <v>10225.82994</v>
      </c>
      <c r="M621" s="252">
        <v>85</v>
      </c>
      <c r="N621" s="252">
        <v>0</v>
      </c>
      <c r="O621" s="252">
        <v>5589.3117400000001</v>
      </c>
      <c r="P621" s="252">
        <v>0</v>
      </c>
      <c r="Q621" s="252">
        <v>0</v>
      </c>
      <c r="R621" s="252">
        <v>0</v>
      </c>
      <c r="S621" s="252">
        <v>0</v>
      </c>
      <c r="T621" s="252">
        <v>124.12954999999999</v>
      </c>
      <c r="U621" s="252">
        <v>182.59109000000001</v>
      </c>
      <c r="V621" s="252">
        <v>312.99594999999999</v>
      </c>
      <c r="W621" s="252">
        <v>506.59919000000002</v>
      </c>
      <c r="X621" s="252">
        <v>195.99189999999999</v>
      </c>
      <c r="Y621" s="252">
        <v>0</v>
      </c>
      <c r="Z621" s="252">
        <v>1577.73279</v>
      </c>
      <c r="AA621" s="252">
        <v>642.71254999999996</v>
      </c>
      <c r="AB621" s="252">
        <v>0</v>
      </c>
      <c r="AC621" s="252">
        <v>1093.7651800000001</v>
      </c>
      <c r="AD621" s="252">
        <v>1</v>
      </c>
      <c r="AE621" s="252" t="s">
        <v>19</v>
      </c>
      <c r="AF621" s="252" t="s">
        <v>718</v>
      </c>
      <c r="AG621" s="252">
        <f t="shared" si="46"/>
        <v>4750.9149790000001</v>
      </c>
      <c r="AH621" s="252">
        <f t="shared" si="47"/>
        <v>0</v>
      </c>
      <c r="AI621" s="252">
        <f t="shared" si="48"/>
        <v>0</v>
      </c>
      <c r="AJ621" s="252">
        <f t="shared" si="49"/>
        <v>4750.9149790000001</v>
      </c>
    </row>
    <row r="622" spans="1:36" x14ac:dyDescent="0.2">
      <c r="A622" s="253" t="str">
        <f t="shared" si="45"/>
        <v>33SNMCP275525</v>
      </c>
      <c r="B622" s="252" t="s">
        <v>19</v>
      </c>
      <c r="C622" s="252" t="s">
        <v>20</v>
      </c>
      <c r="D622" s="252" t="s">
        <v>2593</v>
      </c>
      <c r="E622" s="252" t="s">
        <v>2594</v>
      </c>
      <c r="F622" s="252" t="s">
        <v>2700</v>
      </c>
      <c r="G622" s="252">
        <v>25</v>
      </c>
      <c r="H622" s="252" t="s">
        <v>928</v>
      </c>
      <c r="I622" s="252" t="s">
        <v>2406</v>
      </c>
      <c r="J622" s="252" t="s">
        <v>928</v>
      </c>
      <c r="K622" s="252" t="s">
        <v>3236</v>
      </c>
      <c r="L622" s="252">
        <v>4360.8252000000002</v>
      </c>
      <c r="M622" s="252">
        <v>100</v>
      </c>
      <c r="N622" s="252">
        <v>0</v>
      </c>
      <c r="O622" s="252">
        <v>0</v>
      </c>
      <c r="P622" s="252">
        <v>0</v>
      </c>
      <c r="Q622" s="252">
        <v>0</v>
      </c>
      <c r="R622" s="252">
        <v>0</v>
      </c>
      <c r="S622" s="252">
        <v>0</v>
      </c>
      <c r="T622" s="252">
        <v>1016.03282</v>
      </c>
      <c r="U622" s="252">
        <v>0</v>
      </c>
      <c r="V622" s="252">
        <v>33.590260000000001</v>
      </c>
      <c r="W622" s="252">
        <v>769.72239999999999</v>
      </c>
      <c r="X622" s="252">
        <v>0</v>
      </c>
      <c r="Y622" s="252">
        <v>0</v>
      </c>
      <c r="Z622" s="252">
        <v>1623.4102600000001</v>
      </c>
      <c r="AA622" s="252">
        <v>918.06946000000005</v>
      </c>
      <c r="AB622" s="252">
        <v>0</v>
      </c>
      <c r="AC622" s="252">
        <v>0</v>
      </c>
      <c r="AD622" s="252">
        <v>1</v>
      </c>
      <c r="AE622" s="252" t="s">
        <v>19</v>
      </c>
      <c r="AF622" s="252" t="s">
        <v>718</v>
      </c>
      <c r="AG622" s="252">
        <f t="shared" si="46"/>
        <v>0</v>
      </c>
      <c r="AH622" s="252">
        <f t="shared" si="47"/>
        <v>0</v>
      </c>
      <c r="AI622" s="252">
        <f t="shared" si="48"/>
        <v>0</v>
      </c>
      <c r="AJ622" s="252">
        <f t="shared" si="49"/>
        <v>0</v>
      </c>
    </row>
    <row r="623" spans="1:36" x14ac:dyDescent="0.2">
      <c r="A623" s="253" t="str">
        <f t="shared" si="45"/>
        <v>3RSNMCP275525</v>
      </c>
      <c r="B623" s="252" t="s">
        <v>19</v>
      </c>
      <c r="C623" s="252" t="s">
        <v>20</v>
      </c>
      <c r="D623" s="252" t="s">
        <v>2593</v>
      </c>
      <c r="E623" s="252" t="s">
        <v>2594</v>
      </c>
      <c r="F623" s="252" t="s">
        <v>2700</v>
      </c>
      <c r="G623" s="252">
        <v>25</v>
      </c>
      <c r="H623" s="252" t="s">
        <v>928</v>
      </c>
      <c r="I623" s="252" t="s">
        <v>86</v>
      </c>
      <c r="J623" s="252" t="s">
        <v>928</v>
      </c>
      <c r="K623" s="252" t="s">
        <v>3236</v>
      </c>
      <c r="L623" s="252">
        <v>10203.81035</v>
      </c>
      <c r="M623" s="252">
        <v>88</v>
      </c>
      <c r="N623" s="252">
        <v>0</v>
      </c>
      <c r="O623" s="252">
        <v>3069.5761400000001</v>
      </c>
      <c r="P623" s="252">
        <v>2067.43804</v>
      </c>
      <c r="Q623" s="252">
        <v>0</v>
      </c>
      <c r="R623" s="252">
        <v>0</v>
      </c>
      <c r="S623" s="252">
        <v>0</v>
      </c>
      <c r="T623" s="252">
        <v>99.705479999999994</v>
      </c>
      <c r="U623" s="252">
        <v>141.33833000000001</v>
      </c>
      <c r="V623" s="252">
        <v>119.00215</v>
      </c>
      <c r="W623" s="252">
        <v>187.57844</v>
      </c>
      <c r="X623" s="252">
        <v>115.68334</v>
      </c>
      <c r="Y623" s="252">
        <v>0</v>
      </c>
      <c r="Z623" s="252">
        <v>774.92908999999997</v>
      </c>
      <c r="AA623" s="252">
        <v>262.26136000000002</v>
      </c>
      <c r="AB623" s="252">
        <v>2888.0451400000002</v>
      </c>
      <c r="AC623" s="252">
        <v>478.25283999999999</v>
      </c>
      <c r="AD623" s="252">
        <v>1</v>
      </c>
      <c r="AE623" s="252" t="s">
        <v>19</v>
      </c>
      <c r="AF623" s="252" t="s">
        <v>718</v>
      </c>
      <c r="AG623" s="252">
        <f t="shared" si="46"/>
        <v>2701.2270032000001</v>
      </c>
      <c r="AH623" s="252">
        <f t="shared" si="47"/>
        <v>1819.3454752</v>
      </c>
      <c r="AI623" s="252">
        <f t="shared" si="48"/>
        <v>2541.4797232000001</v>
      </c>
      <c r="AJ623" s="252">
        <f t="shared" si="49"/>
        <v>7062.0522016000004</v>
      </c>
    </row>
    <row r="624" spans="1:36" x14ac:dyDescent="0.2">
      <c r="A624" s="253" t="str">
        <f t="shared" si="45"/>
        <v>SNMCP275525</v>
      </c>
      <c r="B624" s="252" t="s">
        <v>19</v>
      </c>
      <c r="C624" s="252" t="s">
        <v>20</v>
      </c>
      <c r="D624" s="252" t="s">
        <v>2593</v>
      </c>
      <c r="E624" s="252" t="s">
        <v>2594</v>
      </c>
      <c r="F624" s="252" t="s">
        <v>2700</v>
      </c>
      <c r="G624" s="252">
        <v>25</v>
      </c>
      <c r="H624" s="252" t="s">
        <v>928</v>
      </c>
      <c r="I624" s="252" t="s">
        <v>928</v>
      </c>
      <c r="J624" s="252" t="s">
        <v>928</v>
      </c>
      <c r="K624" s="252" t="s">
        <v>3236</v>
      </c>
      <c r="L624" s="252">
        <v>10203.813620000001</v>
      </c>
      <c r="M624" s="252">
        <v>88</v>
      </c>
      <c r="N624" s="252">
        <v>0</v>
      </c>
      <c r="O624" s="252">
        <v>3069.5769700000001</v>
      </c>
      <c r="P624" s="252">
        <v>2067.43957</v>
      </c>
      <c r="Q624" s="252">
        <v>0</v>
      </c>
      <c r="R624" s="252">
        <v>0</v>
      </c>
      <c r="S624" s="252">
        <v>0</v>
      </c>
      <c r="T624" s="252">
        <v>99.7042</v>
      </c>
      <c r="U624" s="252">
        <v>141.33905999999999</v>
      </c>
      <c r="V624" s="252">
        <v>119.00127000000001</v>
      </c>
      <c r="W624" s="252">
        <v>187.57952</v>
      </c>
      <c r="X624" s="252">
        <v>115.68384</v>
      </c>
      <c r="Y624" s="252">
        <v>0</v>
      </c>
      <c r="Z624" s="252">
        <v>774.93002999999999</v>
      </c>
      <c r="AA624" s="252">
        <v>262.26145000000002</v>
      </c>
      <c r="AB624" s="252">
        <v>2888.0438899999999</v>
      </c>
      <c r="AC624" s="252">
        <v>478.25382000000002</v>
      </c>
      <c r="AD624" s="252">
        <v>1</v>
      </c>
      <c r="AE624" s="252" t="s">
        <v>19</v>
      </c>
      <c r="AF624" s="252" t="s">
        <v>718</v>
      </c>
      <c r="AG624" s="252">
        <f t="shared" si="46"/>
        <v>2701.2277335999997</v>
      </c>
      <c r="AH624" s="252">
        <f t="shared" si="47"/>
        <v>1819.3468215999999</v>
      </c>
      <c r="AI624" s="252">
        <f t="shared" si="48"/>
        <v>2541.4786231999997</v>
      </c>
      <c r="AJ624" s="252">
        <f t="shared" si="49"/>
        <v>7062.0531783999995</v>
      </c>
    </row>
    <row r="625" spans="1:36" x14ac:dyDescent="0.2">
      <c r="A625" s="253" t="str">
        <f t="shared" si="45"/>
        <v>3RSNMCP2803EZ25</v>
      </c>
      <c r="B625" s="252" t="s">
        <v>19</v>
      </c>
      <c r="C625" s="252" t="s">
        <v>20</v>
      </c>
      <c r="D625" s="252" t="s">
        <v>2593</v>
      </c>
      <c r="E625" s="252" t="s">
        <v>2594</v>
      </c>
      <c r="F625" s="252" t="s">
        <v>2599</v>
      </c>
      <c r="G625" s="252">
        <v>25</v>
      </c>
      <c r="H625" s="252" t="s">
        <v>928</v>
      </c>
      <c r="I625" s="252" t="s">
        <v>86</v>
      </c>
      <c r="J625" s="252" t="s">
        <v>928</v>
      </c>
      <c r="K625" s="252" t="s">
        <v>3236</v>
      </c>
      <c r="L625" s="252">
        <v>5251.5839800000003</v>
      </c>
      <c r="M625" s="252">
        <v>92</v>
      </c>
      <c r="N625" s="252">
        <v>0</v>
      </c>
      <c r="O625" s="252">
        <v>3343.9880400000002</v>
      </c>
      <c r="P625" s="252">
        <v>0</v>
      </c>
      <c r="Q625" s="252">
        <v>0</v>
      </c>
      <c r="R625" s="252">
        <v>0</v>
      </c>
      <c r="S625" s="252">
        <v>0</v>
      </c>
      <c r="T625" s="252">
        <v>96.772970000000001</v>
      </c>
      <c r="U625" s="252">
        <v>141.33833000000001</v>
      </c>
      <c r="V625" s="252">
        <v>115.00207</v>
      </c>
      <c r="W625" s="252">
        <v>142.30610999999999</v>
      </c>
      <c r="X625" s="252">
        <v>110.65363000000001</v>
      </c>
      <c r="Y625" s="252">
        <v>0</v>
      </c>
      <c r="Z625" s="252">
        <v>644.44617000000005</v>
      </c>
      <c r="AA625" s="252">
        <v>207.32123000000001</v>
      </c>
      <c r="AB625" s="252">
        <v>0</v>
      </c>
      <c r="AC625" s="252">
        <v>449.75542999999999</v>
      </c>
      <c r="AD625" s="252">
        <v>1</v>
      </c>
      <c r="AE625" s="252" t="s">
        <v>19</v>
      </c>
      <c r="AF625" s="252" t="s">
        <v>718</v>
      </c>
      <c r="AG625" s="252">
        <f t="shared" si="46"/>
        <v>3076.4689968000002</v>
      </c>
      <c r="AH625" s="252">
        <f t="shared" si="47"/>
        <v>0</v>
      </c>
      <c r="AI625" s="252">
        <f t="shared" si="48"/>
        <v>0</v>
      </c>
      <c r="AJ625" s="252">
        <f t="shared" si="49"/>
        <v>3076.4689968000002</v>
      </c>
    </row>
    <row r="626" spans="1:36" x14ac:dyDescent="0.2">
      <c r="A626" s="253" t="str">
        <f t="shared" si="45"/>
        <v>SNMCP2803EZ25</v>
      </c>
      <c r="B626" s="252" t="s">
        <v>19</v>
      </c>
      <c r="C626" s="252" t="s">
        <v>20</v>
      </c>
      <c r="D626" s="252" t="s">
        <v>2593</v>
      </c>
      <c r="E626" s="252" t="s">
        <v>2594</v>
      </c>
      <c r="F626" s="252" t="s">
        <v>2599</v>
      </c>
      <c r="G626" s="252">
        <v>25</v>
      </c>
      <c r="H626" s="252" t="s">
        <v>928</v>
      </c>
      <c r="I626" s="252" t="s">
        <v>928</v>
      </c>
      <c r="J626" s="252" t="s">
        <v>928</v>
      </c>
      <c r="K626" s="252" t="s">
        <v>3236</v>
      </c>
      <c r="L626" s="252">
        <v>5251.5841799999998</v>
      </c>
      <c r="M626" s="252">
        <v>92</v>
      </c>
      <c r="N626" s="252">
        <v>0</v>
      </c>
      <c r="O626" s="252">
        <v>3343.9880400000002</v>
      </c>
      <c r="P626" s="252">
        <v>0</v>
      </c>
      <c r="Q626" s="252">
        <v>0</v>
      </c>
      <c r="R626" s="252">
        <v>0</v>
      </c>
      <c r="S626" s="252">
        <v>0</v>
      </c>
      <c r="T626" s="252">
        <v>96.773049999999998</v>
      </c>
      <c r="U626" s="252">
        <v>141.33842000000001</v>
      </c>
      <c r="V626" s="252">
        <v>115.00209</v>
      </c>
      <c r="W626" s="252">
        <v>142.30607000000001</v>
      </c>
      <c r="X626" s="252">
        <v>110.65362</v>
      </c>
      <c r="Y626" s="252">
        <v>0</v>
      </c>
      <c r="Z626" s="252">
        <v>644.44619999999998</v>
      </c>
      <c r="AA626" s="252">
        <v>207.32123999999999</v>
      </c>
      <c r="AB626" s="252">
        <v>0</v>
      </c>
      <c r="AC626" s="252">
        <v>449.75545</v>
      </c>
      <c r="AD626" s="252">
        <v>1</v>
      </c>
      <c r="AE626" s="252" t="s">
        <v>19</v>
      </c>
      <c r="AF626" s="252" t="s">
        <v>718</v>
      </c>
      <c r="AG626" s="252">
        <f t="shared" si="46"/>
        <v>3076.4689968000002</v>
      </c>
      <c r="AH626" s="252">
        <f t="shared" si="47"/>
        <v>0</v>
      </c>
      <c r="AI626" s="252">
        <f t="shared" si="48"/>
        <v>0</v>
      </c>
      <c r="AJ626" s="252">
        <f t="shared" si="49"/>
        <v>3076.4689968000002</v>
      </c>
    </row>
    <row r="627" spans="1:36" x14ac:dyDescent="0.2">
      <c r="A627" s="253" t="str">
        <f t="shared" si="45"/>
        <v>3RSNMCP2803EZ40</v>
      </c>
      <c r="B627" s="252" t="s">
        <v>19</v>
      </c>
      <c r="C627" s="252" t="s">
        <v>20</v>
      </c>
      <c r="D627" s="252" t="s">
        <v>2593</v>
      </c>
      <c r="E627" s="252" t="s">
        <v>2594</v>
      </c>
      <c r="F627" s="252" t="s">
        <v>2599</v>
      </c>
      <c r="G627" s="252">
        <v>40</v>
      </c>
      <c r="H627" s="252" t="s">
        <v>928</v>
      </c>
      <c r="I627" s="252" t="s">
        <v>86</v>
      </c>
      <c r="J627" s="252" t="s">
        <v>928</v>
      </c>
      <c r="K627" s="252" t="s">
        <v>3236</v>
      </c>
      <c r="L627" s="252">
        <v>11318.93865</v>
      </c>
      <c r="M627" s="252">
        <v>90</v>
      </c>
      <c r="N627" s="252">
        <v>0</v>
      </c>
      <c r="O627" s="252">
        <v>7111.5344400000004</v>
      </c>
      <c r="P627" s="252">
        <v>0</v>
      </c>
      <c r="Q627" s="252">
        <v>0</v>
      </c>
      <c r="R627" s="252">
        <v>0</v>
      </c>
      <c r="S627" s="252">
        <v>0</v>
      </c>
      <c r="T627" s="252">
        <v>104.593</v>
      </c>
      <c r="U627" s="252">
        <v>166.09833</v>
      </c>
      <c r="V627" s="252">
        <v>248.00447</v>
      </c>
      <c r="W627" s="252">
        <v>229.59499</v>
      </c>
      <c r="X627" s="252">
        <v>185.11355</v>
      </c>
      <c r="Y627" s="252">
        <v>0</v>
      </c>
      <c r="Z627" s="252">
        <v>927.32516999999996</v>
      </c>
      <c r="AA627" s="252">
        <v>319.2747</v>
      </c>
      <c r="AB627" s="252">
        <v>0</v>
      </c>
      <c r="AC627" s="252">
        <v>2027.4</v>
      </c>
      <c r="AD627" s="252">
        <v>1</v>
      </c>
      <c r="AE627" s="252" t="s">
        <v>19</v>
      </c>
      <c r="AF627" s="252" t="s">
        <v>718</v>
      </c>
      <c r="AG627" s="252">
        <f t="shared" si="46"/>
        <v>6400.3809960000008</v>
      </c>
      <c r="AH627" s="252">
        <f t="shared" si="47"/>
        <v>0</v>
      </c>
      <c r="AI627" s="252">
        <f t="shared" si="48"/>
        <v>0</v>
      </c>
      <c r="AJ627" s="252">
        <f t="shared" si="49"/>
        <v>6400.3809960000008</v>
      </c>
    </row>
    <row r="628" spans="1:36" x14ac:dyDescent="0.2">
      <c r="A628" s="253" t="str">
        <f t="shared" si="45"/>
        <v>SNMCP2803EZ40</v>
      </c>
      <c r="B628" s="252" t="s">
        <v>19</v>
      </c>
      <c r="C628" s="252" t="s">
        <v>20</v>
      </c>
      <c r="D628" s="252" t="s">
        <v>2593</v>
      </c>
      <c r="E628" s="252" t="s">
        <v>2594</v>
      </c>
      <c r="F628" s="252" t="s">
        <v>2599</v>
      </c>
      <c r="G628" s="252">
        <v>40</v>
      </c>
      <c r="H628" s="252" t="s">
        <v>928</v>
      </c>
      <c r="I628" s="252" t="s">
        <v>928</v>
      </c>
      <c r="J628" s="252" t="s">
        <v>928</v>
      </c>
      <c r="K628" s="252" t="s">
        <v>3236</v>
      </c>
      <c r="L628" s="252">
        <v>11318.91965</v>
      </c>
      <c r="M628" s="252">
        <v>90</v>
      </c>
      <c r="N628" s="252">
        <v>0</v>
      </c>
      <c r="O628" s="252">
        <v>7111.5220900000004</v>
      </c>
      <c r="P628" s="252">
        <v>0</v>
      </c>
      <c r="Q628" s="252">
        <v>0</v>
      </c>
      <c r="R628" s="252">
        <v>0</v>
      </c>
      <c r="S628" s="252">
        <v>0</v>
      </c>
      <c r="T628" s="252">
        <v>104.59021</v>
      </c>
      <c r="U628" s="252">
        <v>166.08568</v>
      </c>
      <c r="V628" s="252">
        <v>248.00425999999999</v>
      </c>
      <c r="W628" s="252">
        <v>229.59021000000001</v>
      </c>
      <c r="X628" s="252">
        <v>185.11176</v>
      </c>
      <c r="Y628" s="252">
        <v>0</v>
      </c>
      <c r="Z628" s="252">
        <v>927.32836999999995</v>
      </c>
      <c r="AA628" s="252">
        <v>319.27886999999998</v>
      </c>
      <c r="AB628" s="252">
        <v>0</v>
      </c>
      <c r="AC628" s="252">
        <v>2027.4082000000001</v>
      </c>
      <c r="AD628" s="252">
        <v>1</v>
      </c>
      <c r="AE628" s="252" t="s">
        <v>19</v>
      </c>
      <c r="AF628" s="252" t="s">
        <v>718</v>
      </c>
      <c r="AG628" s="252">
        <f t="shared" si="46"/>
        <v>6400.3698810000005</v>
      </c>
      <c r="AH628" s="252">
        <f t="shared" si="47"/>
        <v>0</v>
      </c>
      <c r="AI628" s="252">
        <f t="shared" si="48"/>
        <v>0</v>
      </c>
      <c r="AJ628" s="252">
        <f t="shared" si="49"/>
        <v>6400.3698810000005</v>
      </c>
    </row>
    <row r="629" spans="1:36" x14ac:dyDescent="0.2">
      <c r="A629" s="253" t="str">
        <f t="shared" si="45"/>
        <v>3SNMLBMNGKBF38</v>
      </c>
      <c r="B629" s="252" t="s">
        <v>19</v>
      </c>
      <c r="C629" s="252" t="s">
        <v>20</v>
      </c>
      <c r="D629" s="252" t="s">
        <v>205</v>
      </c>
      <c r="E629" s="252" t="s">
        <v>724</v>
      </c>
      <c r="F629" s="252" t="s">
        <v>211</v>
      </c>
      <c r="G629" s="252">
        <v>38</v>
      </c>
      <c r="H629" s="252" t="s">
        <v>928</v>
      </c>
      <c r="I629" s="252" t="s">
        <v>2465</v>
      </c>
      <c r="J629" s="252" t="s">
        <v>928</v>
      </c>
      <c r="K629" s="252" t="s">
        <v>3236</v>
      </c>
      <c r="L629" s="252">
        <v>112.63273</v>
      </c>
      <c r="M629" s="252">
        <v>97.2</v>
      </c>
      <c r="N629" s="252">
        <v>0</v>
      </c>
      <c r="O629" s="252">
        <v>88.683130000000006</v>
      </c>
      <c r="P629" s="252">
        <v>4.1233199999999997</v>
      </c>
      <c r="Q629" s="252">
        <v>0</v>
      </c>
      <c r="R629" s="252">
        <v>0</v>
      </c>
      <c r="S629" s="252">
        <v>0</v>
      </c>
      <c r="T629" s="252">
        <v>0</v>
      </c>
      <c r="U629" s="252">
        <v>1.77241</v>
      </c>
      <c r="V629" s="252">
        <v>0.30292999999999998</v>
      </c>
      <c r="W629" s="252">
        <v>0.41510000000000002</v>
      </c>
      <c r="X629" s="252">
        <v>0</v>
      </c>
      <c r="Y629" s="252">
        <v>0</v>
      </c>
      <c r="Z629" s="252">
        <v>6.91716</v>
      </c>
      <c r="AA629" s="252">
        <v>1.33446</v>
      </c>
      <c r="AB629" s="252">
        <v>9.0842200000000002</v>
      </c>
      <c r="AC629" s="252">
        <v>0</v>
      </c>
      <c r="AD629" s="252">
        <v>1</v>
      </c>
      <c r="AE629" s="252" t="s">
        <v>19</v>
      </c>
      <c r="AF629" s="252" t="s">
        <v>718</v>
      </c>
      <c r="AG629" s="252">
        <f t="shared" si="46"/>
        <v>86.200002360000013</v>
      </c>
      <c r="AH629" s="252">
        <f t="shared" si="47"/>
        <v>4.0078670399999998</v>
      </c>
      <c r="AI629" s="252">
        <f t="shared" si="48"/>
        <v>8.8298618400000013</v>
      </c>
      <c r="AJ629" s="252">
        <f t="shared" si="49"/>
        <v>99.037731240000014</v>
      </c>
    </row>
    <row r="630" spans="1:36" x14ac:dyDescent="0.2">
      <c r="A630" s="253" t="str">
        <f t="shared" si="45"/>
        <v>32SNMLBMNGKBF38</v>
      </c>
      <c r="B630" s="252" t="s">
        <v>19</v>
      </c>
      <c r="C630" s="252" t="s">
        <v>20</v>
      </c>
      <c r="D630" s="252" t="s">
        <v>205</v>
      </c>
      <c r="E630" s="252" t="s">
        <v>724</v>
      </c>
      <c r="F630" s="252" t="s">
        <v>211</v>
      </c>
      <c r="G630" s="252">
        <v>38</v>
      </c>
      <c r="H630" s="252" t="s">
        <v>928</v>
      </c>
      <c r="I630" s="252" t="s">
        <v>2592</v>
      </c>
      <c r="J630" s="252" t="s">
        <v>928</v>
      </c>
      <c r="K630" s="252" t="s">
        <v>3236</v>
      </c>
      <c r="L630" s="252">
        <v>12.837730000000001</v>
      </c>
      <c r="M630" s="252">
        <v>100</v>
      </c>
      <c r="N630" s="252">
        <v>0</v>
      </c>
      <c r="O630" s="252">
        <v>0</v>
      </c>
      <c r="P630" s="252">
        <v>0</v>
      </c>
      <c r="Q630" s="252">
        <v>0</v>
      </c>
      <c r="R630" s="252">
        <v>0</v>
      </c>
      <c r="S630" s="252">
        <v>0</v>
      </c>
      <c r="T630" s="252">
        <v>0.46592</v>
      </c>
      <c r="U630" s="252">
        <v>0</v>
      </c>
      <c r="V630" s="252">
        <v>1.0800799999999999</v>
      </c>
      <c r="W630" s="252">
        <v>2.4618699999999998</v>
      </c>
      <c r="X630" s="252">
        <v>0</v>
      </c>
      <c r="Y630" s="252">
        <v>0</v>
      </c>
      <c r="Z630" s="252">
        <v>6.3287500000000003</v>
      </c>
      <c r="AA630" s="252">
        <v>2.5011100000000002</v>
      </c>
      <c r="AB630" s="252">
        <v>0</v>
      </c>
      <c r="AC630" s="252">
        <v>0</v>
      </c>
      <c r="AD630" s="252">
        <v>1</v>
      </c>
      <c r="AE630" s="252" t="s">
        <v>19</v>
      </c>
      <c r="AF630" s="252" t="s">
        <v>718</v>
      </c>
      <c r="AG630" s="252">
        <f t="shared" si="46"/>
        <v>0</v>
      </c>
      <c r="AH630" s="252">
        <f t="shared" si="47"/>
        <v>0</v>
      </c>
      <c r="AI630" s="252">
        <f t="shared" si="48"/>
        <v>0</v>
      </c>
      <c r="AJ630" s="252">
        <f t="shared" si="49"/>
        <v>0</v>
      </c>
    </row>
    <row r="631" spans="1:36" x14ac:dyDescent="0.2">
      <c r="A631" s="253" t="str">
        <f t="shared" si="45"/>
        <v>3SNMLBMNGKBF50</v>
      </c>
      <c r="B631" s="252" t="s">
        <v>19</v>
      </c>
      <c r="C631" s="252" t="s">
        <v>20</v>
      </c>
      <c r="D631" s="252" t="s">
        <v>205</v>
      </c>
      <c r="E631" s="252" t="s">
        <v>724</v>
      </c>
      <c r="F631" s="252" t="s">
        <v>211</v>
      </c>
      <c r="G631" s="252">
        <v>50</v>
      </c>
      <c r="H631" s="252" t="s">
        <v>928</v>
      </c>
      <c r="I631" s="252" t="s">
        <v>2465</v>
      </c>
      <c r="J631" s="252" t="s">
        <v>928</v>
      </c>
      <c r="K631" s="252" t="s">
        <v>3236</v>
      </c>
      <c r="L631" s="252">
        <v>103.7722</v>
      </c>
      <c r="M631" s="252">
        <v>98</v>
      </c>
      <c r="N631" s="252">
        <v>0</v>
      </c>
      <c r="O631" s="252">
        <v>82.653059999999996</v>
      </c>
      <c r="P631" s="252">
        <v>3.4528699999999999</v>
      </c>
      <c r="Q631" s="252">
        <v>0</v>
      </c>
      <c r="R631" s="252">
        <v>0</v>
      </c>
      <c r="S631" s="252">
        <v>0</v>
      </c>
      <c r="T631" s="252">
        <v>0</v>
      </c>
      <c r="U631" s="252">
        <v>1.61328</v>
      </c>
      <c r="V631" s="252">
        <v>0.30292999999999998</v>
      </c>
      <c r="W631" s="252">
        <v>0.39410000000000001</v>
      </c>
      <c r="X631" s="252">
        <v>0</v>
      </c>
      <c r="Y631" s="252">
        <v>0</v>
      </c>
      <c r="Z631" s="252">
        <v>6.5593899999999996</v>
      </c>
      <c r="AA631" s="252">
        <v>1.2653799999999999</v>
      </c>
      <c r="AB631" s="252">
        <v>7.5311899999999996</v>
      </c>
      <c r="AC631" s="252">
        <v>0</v>
      </c>
      <c r="AD631" s="252">
        <v>1</v>
      </c>
      <c r="AE631" s="252" t="s">
        <v>19</v>
      </c>
      <c r="AF631" s="252" t="s">
        <v>718</v>
      </c>
      <c r="AG631" s="252">
        <f t="shared" si="46"/>
        <v>80.9999988</v>
      </c>
      <c r="AH631" s="252">
        <f t="shared" si="47"/>
        <v>3.3838126000000002</v>
      </c>
      <c r="AI631" s="252">
        <f t="shared" si="48"/>
        <v>7.3805661999999996</v>
      </c>
      <c r="AJ631" s="252">
        <f t="shared" si="49"/>
        <v>91.764377600000003</v>
      </c>
    </row>
    <row r="632" spans="1:36" x14ac:dyDescent="0.2">
      <c r="A632" s="253" t="str">
        <f t="shared" si="45"/>
        <v>32SNMLBMNGKBF50</v>
      </c>
      <c r="B632" s="252" t="s">
        <v>19</v>
      </c>
      <c r="C632" s="252" t="s">
        <v>20</v>
      </c>
      <c r="D632" s="252" t="s">
        <v>205</v>
      </c>
      <c r="E632" s="252" t="s">
        <v>724</v>
      </c>
      <c r="F632" s="252" t="s">
        <v>211</v>
      </c>
      <c r="G632" s="252">
        <v>50</v>
      </c>
      <c r="H632" s="252" t="s">
        <v>928</v>
      </c>
      <c r="I632" s="252" t="s">
        <v>2592</v>
      </c>
      <c r="J632" s="252" t="s">
        <v>928</v>
      </c>
      <c r="K632" s="252" t="s">
        <v>3236</v>
      </c>
      <c r="L632" s="252">
        <v>10.764379999999999</v>
      </c>
      <c r="M632" s="252">
        <v>100</v>
      </c>
      <c r="N632" s="252">
        <v>0</v>
      </c>
      <c r="O632" s="252">
        <v>0</v>
      </c>
      <c r="P632" s="252">
        <v>0</v>
      </c>
      <c r="Q632" s="252">
        <v>0</v>
      </c>
      <c r="R632" s="252">
        <v>0</v>
      </c>
      <c r="S632" s="252">
        <v>0</v>
      </c>
      <c r="T632" s="252">
        <v>0.40014</v>
      </c>
      <c r="U632" s="252">
        <v>0</v>
      </c>
      <c r="V632" s="252">
        <v>0.92806999999999995</v>
      </c>
      <c r="W632" s="252">
        <v>2.0556000000000001</v>
      </c>
      <c r="X632" s="252">
        <v>0</v>
      </c>
      <c r="Y632" s="252">
        <v>0</v>
      </c>
      <c r="Z632" s="252">
        <v>5.2906599999999999</v>
      </c>
      <c r="AA632" s="252">
        <v>2.0899100000000002</v>
      </c>
      <c r="AB632" s="252">
        <v>0</v>
      </c>
      <c r="AC632" s="252">
        <v>0</v>
      </c>
      <c r="AD632" s="252">
        <v>1</v>
      </c>
      <c r="AE632" s="252" t="s">
        <v>19</v>
      </c>
      <c r="AF632" s="252" t="s">
        <v>718</v>
      </c>
      <c r="AG632" s="252">
        <f t="shared" si="46"/>
        <v>0</v>
      </c>
      <c r="AH632" s="252">
        <f t="shared" si="47"/>
        <v>0</v>
      </c>
      <c r="AI632" s="252">
        <f t="shared" si="48"/>
        <v>0</v>
      </c>
      <c r="AJ632" s="252">
        <f t="shared" si="49"/>
        <v>0</v>
      </c>
    </row>
    <row r="633" spans="1:36" x14ac:dyDescent="0.2">
      <c r="A633" s="253" t="str">
        <f t="shared" si="45"/>
        <v>3SNMLBMNGKBF75</v>
      </c>
      <c r="B633" s="252" t="s">
        <v>19</v>
      </c>
      <c r="C633" s="252" t="s">
        <v>20</v>
      </c>
      <c r="D633" s="252" t="s">
        <v>205</v>
      </c>
      <c r="E633" s="252" t="s">
        <v>724</v>
      </c>
      <c r="F633" s="252" t="s">
        <v>211</v>
      </c>
      <c r="G633" s="252">
        <v>75</v>
      </c>
      <c r="H633" s="252" t="s">
        <v>928</v>
      </c>
      <c r="I633" s="252" t="s">
        <v>2465</v>
      </c>
      <c r="J633" s="252" t="s">
        <v>928</v>
      </c>
      <c r="K633" s="252" t="s">
        <v>3236</v>
      </c>
      <c r="L633" s="252">
        <v>162.25020000000001</v>
      </c>
      <c r="M633" s="252">
        <v>97</v>
      </c>
      <c r="N633" s="252">
        <v>0</v>
      </c>
      <c r="O633" s="252">
        <v>110.92784</v>
      </c>
      <c r="P633" s="252">
        <v>9.8006799999999998</v>
      </c>
      <c r="Q633" s="252">
        <v>0</v>
      </c>
      <c r="R633" s="252">
        <v>0</v>
      </c>
      <c r="S633" s="252">
        <v>0</v>
      </c>
      <c r="T633" s="252">
        <v>0</v>
      </c>
      <c r="U633" s="252">
        <v>3.37568</v>
      </c>
      <c r="V633" s="252">
        <v>0.30292999999999998</v>
      </c>
      <c r="W633" s="252">
        <v>0.87021000000000004</v>
      </c>
      <c r="X633" s="252">
        <v>0</v>
      </c>
      <c r="Y633" s="252">
        <v>0</v>
      </c>
      <c r="Z633" s="252">
        <v>14.45749</v>
      </c>
      <c r="AA633" s="252">
        <v>2.80877</v>
      </c>
      <c r="AB633" s="252">
        <v>19.706600000000002</v>
      </c>
      <c r="AC633" s="252">
        <v>0</v>
      </c>
      <c r="AD633" s="252">
        <v>1</v>
      </c>
      <c r="AE633" s="252" t="s">
        <v>19</v>
      </c>
      <c r="AF633" s="252" t="s">
        <v>718</v>
      </c>
      <c r="AG633" s="252">
        <f t="shared" si="46"/>
        <v>107.60000480000001</v>
      </c>
      <c r="AH633" s="252">
        <f t="shared" si="47"/>
        <v>9.5066596000000008</v>
      </c>
      <c r="AI633" s="252">
        <f t="shared" si="48"/>
        <v>19.115402000000003</v>
      </c>
      <c r="AJ633" s="252">
        <f t="shared" si="49"/>
        <v>136.22206640000002</v>
      </c>
    </row>
    <row r="634" spans="1:36" x14ac:dyDescent="0.2">
      <c r="A634" s="253" t="str">
        <f t="shared" si="45"/>
        <v>32SNMLBMNGKBF75</v>
      </c>
      <c r="B634" s="252" t="s">
        <v>19</v>
      </c>
      <c r="C634" s="252" t="s">
        <v>20</v>
      </c>
      <c r="D634" s="252" t="s">
        <v>205</v>
      </c>
      <c r="E634" s="252" t="s">
        <v>724</v>
      </c>
      <c r="F634" s="252" t="s">
        <v>211</v>
      </c>
      <c r="G634" s="252">
        <v>75</v>
      </c>
      <c r="H634" s="252" t="s">
        <v>928</v>
      </c>
      <c r="I634" s="252" t="s">
        <v>2592</v>
      </c>
      <c r="J634" s="252" t="s">
        <v>928</v>
      </c>
      <c r="K634" s="252" t="s">
        <v>3236</v>
      </c>
      <c r="L634" s="252">
        <v>28.622060000000001</v>
      </c>
      <c r="M634" s="252">
        <v>100</v>
      </c>
      <c r="N634" s="252">
        <v>0</v>
      </c>
      <c r="O634" s="252">
        <v>0</v>
      </c>
      <c r="P634" s="252">
        <v>0</v>
      </c>
      <c r="Q634" s="252">
        <v>0</v>
      </c>
      <c r="R634" s="252">
        <v>0</v>
      </c>
      <c r="S634" s="252">
        <v>0</v>
      </c>
      <c r="T634" s="252">
        <v>1.0962799999999999</v>
      </c>
      <c r="U634" s="252">
        <v>0</v>
      </c>
      <c r="V634" s="252">
        <v>3.1762299999999999</v>
      </c>
      <c r="W634" s="252">
        <v>5.2341499999999996</v>
      </c>
      <c r="X634" s="252">
        <v>0</v>
      </c>
      <c r="Y634" s="252">
        <v>0</v>
      </c>
      <c r="Z634" s="252">
        <v>13.70199</v>
      </c>
      <c r="AA634" s="252">
        <v>5.4134099999999998</v>
      </c>
      <c r="AB634" s="252">
        <v>0</v>
      </c>
      <c r="AC634" s="252">
        <v>0</v>
      </c>
      <c r="AD634" s="252">
        <v>1</v>
      </c>
      <c r="AE634" s="252" t="s">
        <v>19</v>
      </c>
      <c r="AF634" s="252" t="s">
        <v>718</v>
      </c>
      <c r="AG634" s="252">
        <f t="shared" si="46"/>
        <v>0</v>
      </c>
      <c r="AH634" s="252">
        <f t="shared" si="47"/>
        <v>0</v>
      </c>
      <c r="AI634" s="252">
        <f t="shared" si="48"/>
        <v>0</v>
      </c>
      <c r="AJ634" s="252">
        <f t="shared" si="49"/>
        <v>0</v>
      </c>
    </row>
    <row r="635" spans="1:36" x14ac:dyDescent="0.2">
      <c r="A635" s="253" t="str">
        <f t="shared" si="45"/>
        <v>3SNMLBMNGKKBF25</v>
      </c>
      <c r="B635" s="252" t="s">
        <v>19</v>
      </c>
      <c r="C635" s="252" t="s">
        <v>20</v>
      </c>
      <c r="D635" s="252" t="s">
        <v>205</v>
      </c>
      <c r="E635" s="252" t="s">
        <v>724</v>
      </c>
      <c r="F635" s="252" t="s">
        <v>212</v>
      </c>
      <c r="G635" s="252">
        <v>25</v>
      </c>
      <c r="H635" s="252" t="s">
        <v>928</v>
      </c>
      <c r="I635" s="252" t="s">
        <v>2465</v>
      </c>
      <c r="J635" s="252" t="s">
        <v>928</v>
      </c>
      <c r="K635" s="252" t="s">
        <v>3236</v>
      </c>
      <c r="L635" s="252">
        <v>93.632769999999994</v>
      </c>
      <c r="M635" s="252">
        <v>96</v>
      </c>
      <c r="N635" s="252">
        <v>0</v>
      </c>
      <c r="O635" s="252">
        <v>68.90625</v>
      </c>
      <c r="P635" s="252">
        <v>4.2722899999999999</v>
      </c>
      <c r="Q635" s="252">
        <v>0</v>
      </c>
      <c r="R635" s="252">
        <v>0</v>
      </c>
      <c r="S635" s="252">
        <v>0</v>
      </c>
      <c r="T635" s="252">
        <v>0</v>
      </c>
      <c r="U635" s="252">
        <v>1.59127</v>
      </c>
      <c r="V635" s="252">
        <v>0.30292999999999998</v>
      </c>
      <c r="W635" s="252">
        <v>0.44011</v>
      </c>
      <c r="X635" s="252">
        <v>0</v>
      </c>
      <c r="Y635" s="252">
        <v>0</v>
      </c>
      <c r="Z635" s="252">
        <v>7.3283899999999997</v>
      </c>
      <c r="AA635" s="252">
        <v>1.4119699999999999</v>
      </c>
      <c r="AB635" s="252">
        <v>9.3795599999999997</v>
      </c>
      <c r="AC635" s="252">
        <v>0</v>
      </c>
      <c r="AD635" s="252">
        <v>1</v>
      </c>
      <c r="AE635" s="252" t="s">
        <v>19</v>
      </c>
      <c r="AF635" s="252" t="s">
        <v>718</v>
      </c>
      <c r="AG635" s="252">
        <f t="shared" si="46"/>
        <v>66.150000000000006</v>
      </c>
      <c r="AH635" s="252">
        <f t="shared" si="47"/>
        <v>4.1013983999999999</v>
      </c>
      <c r="AI635" s="252">
        <f t="shared" si="48"/>
        <v>9.0043775999999998</v>
      </c>
      <c r="AJ635" s="252">
        <f t="shared" si="49"/>
        <v>79.255775999999997</v>
      </c>
    </row>
    <row r="636" spans="1:36" x14ac:dyDescent="0.2">
      <c r="A636" s="253" t="str">
        <f t="shared" si="45"/>
        <v>32SNMLBMNGKKBF25</v>
      </c>
      <c r="B636" s="252" t="s">
        <v>19</v>
      </c>
      <c r="C636" s="252" t="s">
        <v>20</v>
      </c>
      <c r="D636" s="252" t="s">
        <v>205</v>
      </c>
      <c r="E636" s="252" t="s">
        <v>724</v>
      </c>
      <c r="F636" s="252" t="s">
        <v>212</v>
      </c>
      <c r="G636" s="252">
        <v>25</v>
      </c>
      <c r="H636" s="252" t="s">
        <v>928</v>
      </c>
      <c r="I636" s="252" t="s">
        <v>2592</v>
      </c>
      <c r="J636" s="252" t="s">
        <v>928</v>
      </c>
      <c r="K636" s="252" t="s">
        <v>3236</v>
      </c>
      <c r="L636" s="252">
        <v>13.105779999999999</v>
      </c>
      <c r="M636" s="252">
        <v>100</v>
      </c>
      <c r="N636" s="252">
        <v>0</v>
      </c>
      <c r="O636" s="252">
        <v>0</v>
      </c>
      <c r="P636" s="252">
        <v>0</v>
      </c>
      <c r="Q636" s="252">
        <v>0</v>
      </c>
      <c r="R636" s="252">
        <v>0</v>
      </c>
      <c r="S636" s="252">
        <v>0</v>
      </c>
      <c r="T636" s="252">
        <v>0.48054000000000002</v>
      </c>
      <c r="U636" s="252">
        <v>0</v>
      </c>
      <c r="V636" s="252">
        <v>1.11208</v>
      </c>
      <c r="W636" s="252">
        <v>2.5087799999999998</v>
      </c>
      <c r="X636" s="252">
        <v>0</v>
      </c>
      <c r="Y636" s="252">
        <v>0</v>
      </c>
      <c r="Z636" s="252">
        <v>6.4545199999999996</v>
      </c>
      <c r="AA636" s="252">
        <v>2.5498599999999998</v>
      </c>
      <c r="AB636" s="252">
        <v>0</v>
      </c>
      <c r="AC636" s="252">
        <v>0</v>
      </c>
      <c r="AD636" s="252">
        <v>1</v>
      </c>
      <c r="AE636" s="252" t="s">
        <v>19</v>
      </c>
      <c r="AF636" s="252" t="s">
        <v>718</v>
      </c>
      <c r="AG636" s="252">
        <f t="shared" si="46"/>
        <v>0</v>
      </c>
      <c r="AH636" s="252">
        <f t="shared" si="47"/>
        <v>0</v>
      </c>
      <c r="AI636" s="252">
        <f t="shared" si="48"/>
        <v>0</v>
      </c>
      <c r="AJ636" s="252">
        <f t="shared" si="49"/>
        <v>0</v>
      </c>
    </row>
    <row r="637" spans="1:36" x14ac:dyDescent="0.2">
      <c r="A637" s="253" t="str">
        <f t="shared" si="45"/>
        <v>3SNMLBMNGKKBF50</v>
      </c>
      <c r="B637" s="252" t="s">
        <v>19</v>
      </c>
      <c r="C637" s="252" t="s">
        <v>20</v>
      </c>
      <c r="D637" s="252" t="s">
        <v>205</v>
      </c>
      <c r="E637" s="252" t="s">
        <v>724</v>
      </c>
      <c r="F637" s="252" t="s">
        <v>212</v>
      </c>
      <c r="G637" s="252">
        <v>50</v>
      </c>
      <c r="H637" s="252" t="s">
        <v>928</v>
      </c>
      <c r="I637" s="252" t="s">
        <v>2465</v>
      </c>
      <c r="J637" s="252" t="s">
        <v>928</v>
      </c>
      <c r="K637" s="252" t="s">
        <v>3236</v>
      </c>
      <c r="L637" s="252">
        <v>128.74914999999999</v>
      </c>
      <c r="M637" s="252">
        <v>99</v>
      </c>
      <c r="N637" s="252">
        <v>0</v>
      </c>
      <c r="O637" s="252">
        <v>106.42424</v>
      </c>
      <c r="P637" s="252">
        <v>3.63687</v>
      </c>
      <c r="Q637" s="252">
        <v>0</v>
      </c>
      <c r="R637" s="252">
        <v>0</v>
      </c>
      <c r="S637" s="252">
        <v>0</v>
      </c>
      <c r="T637" s="252">
        <v>0</v>
      </c>
      <c r="U637" s="252">
        <v>1.58826</v>
      </c>
      <c r="V637" s="252">
        <v>0.30292999999999998</v>
      </c>
      <c r="W637" s="252">
        <v>0.42609999999999998</v>
      </c>
      <c r="X637" s="252">
        <v>0</v>
      </c>
      <c r="Y637" s="252">
        <v>0</v>
      </c>
      <c r="Z637" s="252">
        <v>7.0960400000000003</v>
      </c>
      <c r="AA637" s="252">
        <v>1.36816</v>
      </c>
      <c r="AB637" s="252">
        <v>7.9065500000000002</v>
      </c>
      <c r="AC637" s="252">
        <v>0</v>
      </c>
      <c r="AD637" s="252">
        <v>1</v>
      </c>
      <c r="AE637" s="252" t="s">
        <v>19</v>
      </c>
      <c r="AF637" s="252" t="s">
        <v>718</v>
      </c>
      <c r="AG637" s="252">
        <f t="shared" si="46"/>
        <v>105.3599976</v>
      </c>
      <c r="AH637" s="252">
        <f t="shared" si="47"/>
        <v>3.6005013000000003</v>
      </c>
      <c r="AI637" s="252">
        <f t="shared" si="48"/>
        <v>7.8274845000000006</v>
      </c>
      <c r="AJ637" s="252">
        <f t="shared" si="49"/>
        <v>116.7879834</v>
      </c>
    </row>
    <row r="638" spans="1:36" x14ac:dyDescent="0.2">
      <c r="A638" s="253" t="str">
        <f t="shared" si="45"/>
        <v>32SNMLBMNGKKBF50</v>
      </c>
      <c r="B638" s="252" t="s">
        <v>19</v>
      </c>
      <c r="C638" s="252" t="s">
        <v>20</v>
      </c>
      <c r="D638" s="252" t="s">
        <v>205</v>
      </c>
      <c r="E638" s="252" t="s">
        <v>724</v>
      </c>
      <c r="F638" s="252" t="s">
        <v>212</v>
      </c>
      <c r="G638" s="252">
        <v>50</v>
      </c>
      <c r="H638" s="252" t="s">
        <v>928</v>
      </c>
      <c r="I638" s="252" t="s">
        <v>2592</v>
      </c>
      <c r="J638" s="252" t="s">
        <v>928</v>
      </c>
      <c r="K638" s="252" t="s">
        <v>3236</v>
      </c>
      <c r="L638" s="252">
        <v>11.427989999999999</v>
      </c>
      <c r="M638" s="252">
        <v>100</v>
      </c>
      <c r="N638" s="252">
        <v>0</v>
      </c>
      <c r="O638" s="252">
        <v>0</v>
      </c>
      <c r="P638" s="252">
        <v>0</v>
      </c>
      <c r="Q638" s="252">
        <v>0</v>
      </c>
      <c r="R638" s="252">
        <v>0</v>
      </c>
      <c r="S638" s="252">
        <v>0</v>
      </c>
      <c r="T638" s="252">
        <v>0.42937999999999998</v>
      </c>
      <c r="U638" s="252">
        <v>0</v>
      </c>
      <c r="V638" s="252">
        <v>0.99407000000000001</v>
      </c>
      <c r="W638" s="252">
        <v>2.17706</v>
      </c>
      <c r="X638" s="252">
        <v>0</v>
      </c>
      <c r="Y638" s="252">
        <v>0</v>
      </c>
      <c r="Z638" s="252">
        <v>5.6104000000000003</v>
      </c>
      <c r="AA638" s="252">
        <v>2.2170800000000002</v>
      </c>
      <c r="AB638" s="252">
        <v>0</v>
      </c>
      <c r="AC638" s="252">
        <v>0</v>
      </c>
      <c r="AD638" s="252">
        <v>1</v>
      </c>
      <c r="AE638" s="252" t="s">
        <v>19</v>
      </c>
      <c r="AF638" s="252" t="s">
        <v>718</v>
      </c>
      <c r="AG638" s="252">
        <f t="shared" si="46"/>
        <v>0</v>
      </c>
      <c r="AH638" s="252">
        <f t="shared" si="47"/>
        <v>0</v>
      </c>
      <c r="AI638" s="252">
        <f t="shared" si="48"/>
        <v>0</v>
      </c>
      <c r="AJ638" s="252">
        <f t="shared" si="49"/>
        <v>0</v>
      </c>
    </row>
    <row r="639" spans="1:36" x14ac:dyDescent="0.2">
      <c r="A639" s="253" t="str">
        <f t="shared" si="45"/>
        <v>3SNMLBMNGTBF25</v>
      </c>
      <c r="B639" s="252" t="s">
        <v>19</v>
      </c>
      <c r="C639" s="252" t="s">
        <v>20</v>
      </c>
      <c r="D639" s="252" t="s">
        <v>205</v>
      </c>
      <c r="E639" s="252" t="s">
        <v>724</v>
      </c>
      <c r="F639" s="252" t="s">
        <v>216</v>
      </c>
      <c r="G639" s="252">
        <v>25</v>
      </c>
      <c r="H639" s="252" t="s">
        <v>928</v>
      </c>
      <c r="I639" s="252" t="s">
        <v>2465</v>
      </c>
      <c r="J639" s="252" t="s">
        <v>928</v>
      </c>
      <c r="K639" s="252" t="s">
        <v>3236</v>
      </c>
      <c r="L639" s="252">
        <v>25.5748</v>
      </c>
      <c r="M639" s="252">
        <v>97.5</v>
      </c>
      <c r="N639" s="252">
        <v>0</v>
      </c>
      <c r="O639" s="252">
        <v>0</v>
      </c>
      <c r="P639" s="252">
        <v>4.1335699999999997</v>
      </c>
      <c r="Q639" s="252">
        <v>0</v>
      </c>
      <c r="R639" s="252">
        <v>0</v>
      </c>
      <c r="S639" s="252">
        <v>0</v>
      </c>
      <c r="T639" s="252">
        <v>0</v>
      </c>
      <c r="U639" s="252">
        <v>1.5832599999999999</v>
      </c>
      <c r="V639" s="252">
        <v>0.30292999999999998</v>
      </c>
      <c r="W639" s="252">
        <v>0.50012000000000001</v>
      </c>
      <c r="X639" s="252">
        <v>0</v>
      </c>
      <c r="Y639" s="252">
        <v>0</v>
      </c>
      <c r="Z639" s="252">
        <v>8.3559999999999999</v>
      </c>
      <c r="AA639" s="252">
        <v>1.5989899999999999</v>
      </c>
      <c r="AB639" s="252">
        <v>9.0999300000000005</v>
      </c>
      <c r="AC639" s="252">
        <v>0</v>
      </c>
      <c r="AD639" s="252">
        <v>1</v>
      </c>
      <c r="AE639" s="252" t="s">
        <v>19</v>
      </c>
      <c r="AF639" s="252" t="s">
        <v>718</v>
      </c>
      <c r="AG639" s="252">
        <f t="shared" si="46"/>
        <v>0</v>
      </c>
      <c r="AH639" s="252">
        <f t="shared" si="47"/>
        <v>4.0302307499999994</v>
      </c>
      <c r="AI639" s="252">
        <f t="shared" si="48"/>
        <v>8.8724317500000005</v>
      </c>
      <c r="AJ639" s="252">
        <f t="shared" si="49"/>
        <v>12.9026625</v>
      </c>
    </row>
    <row r="640" spans="1:36" x14ac:dyDescent="0.2">
      <c r="A640" s="253" t="str">
        <f>TRIM(I640&amp;B640&amp;C640&amp;D640&amp;F640&amp;G640)</f>
        <v>32SNMLBMNGTBF25</v>
      </c>
      <c r="B640" s="252" t="s">
        <v>19</v>
      </c>
      <c r="C640" s="252" t="s">
        <v>20</v>
      </c>
      <c r="D640" s="252" t="s">
        <v>205</v>
      </c>
      <c r="E640" s="252" t="s">
        <v>724</v>
      </c>
      <c r="F640" s="252" t="s">
        <v>216</v>
      </c>
      <c r="G640" s="252">
        <v>25</v>
      </c>
      <c r="H640" s="252" t="s">
        <v>928</v>
      </c>
      <c r="I640" s="252" t="s">
        <v>2592</v>
      </c>
      <c r="J640" s="252" t="s">
        <v>928</v>
      </c>
      <c r="K640" s="252" t="s">
        <v>3236</v>
      </c>
      <c r="L640" s="252">
        <v>12.902659999999999</v>
      </c>
      <c r="M640" s="252">
        <v>100</v>
      </c>
      <c r="N640" s="252">
        <v>0</v>
      </c>
      <c r="O640" s="252">
        <v>0</v>
      </c>
      <c r="P640" s="252">
        <v>0</v>
      </c>
      <c r="Q640" s="252">
        <v>0</v>
      </c>
      <c r="R640" s="252">
        <v>0</v>
      </c>
      <c r="S640" s="252">
        <v>0</v>
      </c>
      <c r="T640" s="252">
        <v>0.46956999999999999</v>
      </c>
      <c r="U640" s="252">
        <v>0</v>
      </c>
      <c r="V640" s="252">
        <v>1.0880799999999999</v>
      </c>
      <c r="W640" s="252">
        <v>2.4725799999999998</v>
      </c>
      <c r="X640" s="252">
        <v>0</v>
      </c>
      <c r="Y640" s="252">
        <v>0</v>
      </c>
      <c r="Z640" s="252">
        <v>6.3607300000000002</v>
      </c>
      <c r="AA640" s="252">
        <v>2.5116999999999998</v>
      </c>
      <c r="AB640" s="252">
        <v>0</v>
      </c>
      <c r="AC640" s="252">
        <v>0</v>
      </c>
      <c r="AD640" s="252">
        <v>1</v>
      </c>
      <c r="AE640" s="252" t="s">
        <v>19</v>
      </c>
      <c r="AF640" s="252" t="s">
        <v>718</v>
      </c>
      <c r="AG640" s="252">
        <f t="shared" si="46"/>
        <v>0</v>
      </c>
      <c r="AH640" s="252">
        <f t="shared" si="47"/>
        <v>0</v>
      </c>
      <c r="AI640" s="252">
        <f t="shared" si="48"/>
        <v>0</v>
      </c>
      <c r="AJ640" s="252">
        <f t="shared" si="49"/>
        <v>0</v>
      </c>
    </row>
    <row r="641" spans="1:36" x14ac:dyDescent="0.2">
      <c r="A641" s="253" t="str">
        <f t="shared" si="45"/>
        <v>3SNMLBMNGTBF50</v>
      </c>
      <c r="B641" s="252" t="s">
        <v>19</v>
      </c>
      <c r="C641" s="252" t="s">
        <v>20</v>
      </c>
      <c r="D641" s="252" t="s">
        <v>205</v>
      </c>
      <c r="E641" s="252" t="s">
        <v>724</v>
      </c>
      <c r="F641" s="252" t="s">
        <v>216</v>
      </c>
      <c r="G641" s="252">
        <v>50</v>
      </c>
      <c r="H641" s="252" t="s">
        <v>928</v>
      </c>
      <c r="I641" s="252" t="s">
        <v>2465</v>
      </c>
      <c r="J641" s="252" t="s">
        <v>928</v>
      </c>
      <c r="K641" s="252" t="s">
        <v>3236</v>
      </c>
      <c r="L641" s="252">
        <v>22.58034</v>
      </c>
      <c r="M641" s="252">
        <v>99</v>
      </c>
      <c r="N641" s="252">
        <v>0</v>
      </c>
      <c r="O641" s="252">
        <v>0</v>
      </c>
      <c r="P641" s="252">
        <v>4.18424</v>
      </c>
      <c r="Q641" s="252">
        <v>0</v>
      </c>
      <c r="R641" s="252">
        <v>0</v>
      </c>
      <c r="S641" s="252">
        <v>0</v>
      </c>
      <c r="T641" s="252">
        <v>0</v>
      </c>
      <c r="U641" s="252">
        <v>0.99178999999999995</v>
      </c>
      <c r="V641" s="252">
        <v>0.30292999999999998</v>
      </c>
      <c r="W641" s="252">
        <v>0.39410000000000001</v>
      </c>
      <c r="X641" s="252">
        <v>0</v>
      </c>
      <c r="Y641" s="252">
        <v>0</v>
      </c>
      <c r="Z641" s="252">
        <v>6.5739700000000001</v>
      </c>
      <c r="AA641" s="252">
        <v>1.26369</v>
      </c>
      <c r="AB641" s="252">
        <v>8.8696199999999994</v>
      </c>
      <c r="AC641" s="252">
        <v>0</v>
      </c>
      <c r="AD641" s="252">
        <v>1</v>
      </c>
      <c r="AE641" s="252" t="s">
        <v>20</v>
      </c>
      <c r="AF641" s="252" t="s">
        <v>718</v>
      </c>
      <c r="AG641" s="252">
        <f t="shared" si="46"/>
        <v>0</v>
      </c>
      <c r="AH641" s="252">
        <f t="shared" si="47"/>
        <v>4.1423975999999998</v>
      </c>
      <c r="AI641" s="252">
        <f t="shared" si="48"/>
        <v>8.7809238000000001</v>
      </c>
      <c r="AJ641" s="252">
        <f t="shared" si="49"/>
        <v>12.923321399999999</v>
      </c>
    </row>
    <row r="642" spans="1:36" x14ac:dyDescent="0.2">
      <c r="A642" s="253" t="str">
        <f t="shared" si="45"/>
        <v>32SNMLBMNGTBF50</v>
      </c>
      <c r="B642" s="252" t="s">
        <v>19</v>
      </c>
      <c r="C642" s="252" t="s">
        <v>20</v>
      </c>
      <c r="D642" s="252" t="s">
        <v>205</v>
      </c>
      <c r="E642" s="252" t="s">
        <v>724</v>
      </c>
      <c r="F642" s="252" t="s">
        <v>216</v>
      </c>
      <c r="G642" s="252">
        <v>50</v>
      </c>
      <c r="H642" s="252" t="s">
        <v>928</v>
      </c>
      <c r="I642" s="252" t="s">
        <v>2592</v>
      </c>
      <c r="J642" s="252" t="s">
        <v>928</v>
      </c>
      <c r="K642" s="252" t="s">
        <v>3236</v>
      </c>
      <c r="L642" s="252">
        <v>12.92332</v>
      </c>
      <c r="M642" s="252">
        <v>100</v>
      </c>
      <c r="N642" s="252">
        <v>0</v>
      </c>
      <c r="O642" s="252">
        <v>0</v>
      </c>
      <c r="P642" s="252">
        <v>0</v>
      </c>
      <c r="Q642" s="252">
        <v>0</v>
      </c>
      <c r="R642" s="252">
        <v>0</v>
      </c>
      <c r="S642" s="252">
        <v>0</v>
      </c>
      <c r="T642" s="252">
        <v>0.51524999999999999</v>
      </c>
      <c r="U642" s="252">
        <v>0</v>
      </c>
      <c r="V642" s="252">
        <v>1.1920900000000001</v>
      </c>
      <c r="W642" s="252">
        <v>2.43506</v>
      </c>
      <c r="X642" s="252">
        <v>0</v>
      </c>
      <c r="Y642" s="252">
        <v>0</v>
      </c>
      <c r="Z642" s="252">
        <v>6.2946499999999999</v>
      </c>
      <c r="AA642" s="252">
        <v>2.4862700000000002</v>
      </c>
      <c r="AB642" s="252">
        <v>0</v>
      </c>
      <c r="AC642" s="252">
        <v>0</v>
      </c>
      <c r="AD642" s="252">
        <v>1</v>
      </c>
      <c r="AE642" s="252" t="s">
        <v>20</v>
      </c>
      <c r="AF642" s="252" t="s">
        <v>718</v>
      </c>
      <c r="AG642" s="252">
        <f t="shared" si="46"/>
        <v>0</v>
      </c>
      <c r="AH642" s="252">
        <f t="shared" si="47"/>
        <v>0</v>
      </c>
      <c r="AI642" s="252">
        <f t="shared" si="48"/>
        <v>0</v>
      </c>
      <c r="AJ642" s="252">
        <f t="shared" si="49"/>
        <v>0</v>
      </c>
    </row>
    <row r="643" spans="1:36" x14ac:dyDescent="0.2">
      <c r="A643" s="253" t="str">
        <f t="shared" si="45"/>
        <v>32SNMLBMNKKCT25</v>
      </c>
      <c r="B643" s="252" t="s">
        <v>19</v>
      </c>
      <c r="C643" s="252" t="s">
        <v>20</v>
      </c>
      <c r="D643" s="252" t="s">
        <v>205</v>
      </c>
      <c r="E643" s="252" t="s">
        <v>724</v>
      </c>
      <c r="F643" s="252" t="s">
        <v>2701</v>
      </c>
      <c r="G643" s="252">
        <v>25</v>
      </c>
      <c r="H643" s="252" t="s">
        <v>928</v>
      </c>
      <c r="I643" s="252" t="s">
        <v>2592</v>
      </c>
      <c r="J643" s="252" t="s">
        <v>928</v>
      </c>
      <c r="K643" s="252" t="s">
        <v>3236</v>
      </c>
      <c r="L643" s="252">
        <v>20.676559999999998</v>
      </c>
      <c r="M643" s="252">
        <v>100</v>
      </c>
      <c r="N643" s="252">
        <v>0</v>
      </c>
      <c r="O643" s="252">
        <v>0</v>
      </c>
      <c r="P643" s="252">
        <v>0</v>
      </c>
      <c r="Q643" s="252">
        <v>0</v>
      </c>
      <c r="R643" s="252">
        <v>0</v>
      </c>
      <c r="S643" s="252">
        <v>0</v>
      </c>
      <c r="T643" s="252">
        <v>0.74546999999999997</v>
      </c>
      <c r="U643" s="252">
        <v>0</v>
      </c>
      <c r="V643" s="252">
        <v>2.1601599999999999</v>
      </c>
      <c r="W643" s="252">
        <v>3.8334100000000002</v>
      </c>
      <c r="X643" s="252">
        <v>0</v>
      </c>
      <c r="Y643" s="252">
        <v>0</v>
      </c>
      <c r="Z643" s="252">
        <v>9.9908599999999996</v>
      </c>
      <c r="AA643" s="252">
        <v>3.9466600000000001</v>
      </c>
      <c r="AB643" s="252">
        <v>0</v>
      </c>
      <c r="AC643" s="252">
        <v>0</v>
      </c>
      <c r="AD643" s="252">
        <v>1</v>
      </c>
      <c r="AE643" s="252" t="s">
        <v>20</v>
      </c>
      <c r="AF643" s="252" t="s">
        <v>718</v>
      </c>
      <c r="AG643" s="252">
        <f t="shared" si="46"/>
        <v>0</v>
      </c>
      <c r="AH643" s="252">
        <f t="shared" si="47"/>
        <v>0</v>
      </c>
      <c r="AI643" s="252">
        <f t="shared" si="48"/>
        <v>0</v>
      </c>
      <c r="AJ643" s="252">
        <f t="shared" si="49"/>
        <v>0</v>
      </c>
    </row>
    <row r="644" spans="1:36" x14ac:dyDescent="0.2">
      <c r="A644" s="253" t="str">
        <f t="shared" si="45"/>
        <v>39CSNMLBMNKKCT25</v>
      </c>
      <c r="B644" s="252" t="s">
        <v>19</v>
      </c>
      <c r="C644" s="252" t="s">
        <v>20</v>
      </c>
      <c r="D644" s="252" t="s">
        <v>205</v>
      </c>
      <c r="E644" s="252" t="s">
        <v>724</v>
      </c>
      <c r="F644" s="252" t="s">
        <v>2701</v>
      </c>
      <c r="G644" s="252">
        <v>25</v>
      </c>
      <c r="H644" s="252" t="s">
        <v>928</v>
      </c>
      <c r="I644" s="252" t="s">
        <v>2702</v>
      </c>
      <c r="J644" s="252" t="s">
        <v>928</v>
      </c>
      <c r="K644" s="252" t="s">
        <v>3236</v>
      </c>
      <c r="L644" s="252">
        <v>161.5025</v>
      </c>
      <c r="M644" s="252">
        <v>90</v>
      </c>
      <c r="N644" s="252">
        <v>0</v>
      </c>
      <c r="O644" s="252">
        <v>115</v>
      </c>
      <c r="P644" s="252">
        <v>7.4878299999999998</v>
      </c>
      <c r="Q644" s="252">
        <v>0</v>
      </c>
      <c r="R644" s="252">
        <v>0</v>
      </c>
      <c r="S644" s="252">
        <v>0</v>
      </c>
      <c r="T644" s="252">
        <v>0</v>
      </c>
      <c r="U644" s="252">
        <v>3.3866900000000002</v>
      </c>
      <c r="V644" s="252">
        <v>0.30292999999999998</v>
      </c>
      <c r="W644" s="252">
        <v>0.95023000000000002</v>
      </c>
      <c r="X644" s="252">
        <v>0</v>
      </c>
      <c r="Y644" s="252">
        <v>0</v>
      </c>
      <c r="Z644" s="252">
        <v>15.83897</v>
      </c>
      <c r="AA644" s="252">
        <v>3.0497200000000002</v>
      </c>
      <c r="AB644" s="252">
        <v>15.486129999999999</v>
      </c>
      <c r="AC644" s="252">
        <v>0</v>
      </c>
      <c r="AD644" s="252">
        <v>1</v>
      </c>
      <c r="AE644" s="252" t="s">
        <v>20</v>
      </c>
      <c r="AF644" s="252" t="s">
        <v>718</v>
      </c>
      <c r="AG644" s="252">
        <f t="shared" si="46"/>
        <v>103.5</v>
      </c>
      <c r="AH644" s="252">
        <f t="shared" si="47"/>
        <v>6.7390469999999993</v>
      </c>
      <c r="AI644" s="252">
        <f t="shared" si="48"/>
        <v>13.937517</v>
      </c>
      <c r="AJ644" s="252">
        <f t="shared" si="49"/>
        <v>124.176564</v>
      </c>
    </row>
    <row r="645" spans="1:36" x14ac:dyDescent="0.2">
      <c r="A645" s="253" t="str">
        <f t="shared" ref="A645:A710" si="50">TRIM(I645&amp;B645&amp;C645&amp;D645&amp;F645&amp;G645)</f>
        <v>32SNMLBMNKKCT50</v>
      </c>
      <c r="B645" s="252" t="s">
        <v>19</v>
      </c>
      <c r="C645" s="252" t="s">
        <v>20</v>
      </c>
      <c r="D645" s="252" t="s">
        <v>205</v>
      </c>
      <c r="E645" s="252" t="s">
        <v>724</v>
      </c>
      <c r="F645" s="252" t="s">
        <v>2701</v>
      </c>
      <c r="G645" s="252">
        <v>50</v>
      </c>
      <c r="H645" s="252" t="s">
        <v>928</v>
      </c>
      <c r="I645" s="252" t="s">
        <v>2592</v>
      </c>
      <c r="J645" s="252" t="s">
        <v>928</v>
      </c>
      <c r="K645" s="252" t="s">
        <v>3236</v>
      </c>
      <c r="L645" s="252">
        <v>20.212710000000001</v>
      </c>
      <c r="M645" s="252">
        <v>100</v>
      </c>
      <c r="N645" s="252">
        <v>0</v>
      </c>
      <c r="O645" s="252">
        <v>0</v>
      </c>
      <c r="P645" s="252">
        <v>0</v>
      </c>
      <c r="Q645" s="252">
        <v>0</v>
      </c>
      <c r="R645" s="252">
        <v>0</v>
      </c>
      <c r="S645" s="252">
        <v>0</v>
      </c>
      <c r="T645" s="252">
        <v>0.72719999999999996</v>
      </c>
      <c r="U645" s="252">
        <v>0</v>
      </c>
      <c r="V645" s="252">
        <v>2.10215</v>
      </c>
      <c r="W645" s="252">
        <v>3.7523</v>
      </c>
      <c r="X645" s="252">
        <v>0</v>
      </c>
      <c r="Y645" s="252">
        <v>0</v>
      </c>
      <c r="Z645" s="252">
        <v>9.7713000000000001</v>
      </c>
      <c r="AA645" s="252">
        <v>3.8597600000000001</v>
      </c>
      <c r="AB645" s="252">
        <v>0</v>
      </c>
      <c r="AC645" s="252">
        <v>0</v>
      </c>
      <c r="AD645" s="252">
        <v>1</v>
      </c>
      <c r="AE645" s="252" t="s">
        <v>20</v>
      </c>
      <c r="AF645" s="252" t="s">
        <v>718</v>
      </c>
      <c r="AG645" s="252">
        <f t="shared" si="46"/>
        <v>0</v>
      </c>
      <c r="AH645" s="252">
        <f t="shared" si="47"/>
        <v>0</v>
      </c>
      <c r="AI645" s="252">
        <f t="shared" si="48"/>
        <v>0</v>
      </c>
      <c r="AJ645" s="252">
        <f t="shared" si="49"/>
        <v>0</v>
      </c>
    </row>
    <row r="646" spans="1:36" x14ac:dyDescent="0.2">
      <c r="A646" s="253" t="str">
        <f t="shared" si="50"/>
        <v>39CSNMLBMNKKCT50</v>
      </c>
      <c r="B646" s="252" t="s">
        <v>19</v>
      </c>
      <c r="C646" s="252" t="s">
        <v>20</v>
      </c>
      <c r="D646" s="252" t="s">
        <v>205</v>
      </c>
      <c r="E646" s="252" t="s">
        <v>724</v>
      </c>
      <c r="F646" s="252" t="s">
        <v>2701</v>
      </c>
      <c r="G646" s="252">
        <v>50</v>
      </c>
      <c r="H646" s="252" t="s">
        <v>928</v>
      </c>
      <c r="I646" s="252" t="s">
        <v>2702</v>
      </c>
      <c r="J646" s="252" t="s">
        <v>928</v>
      </c>
      <c r="K646" s="252" t="s">
        <v>3236</v>
      </c>
      <c r="L646" s="252">
        <v>197.03495000000001</v>
      </c>
      <c r="M646" s="252">
        <v>90</v>
      </c>
      <c r="N646" s="252">
        <v>0</v>
      </c>
      <c r="O646" s="252">
        <v>151.36667</v>
      </c>
      <c r="P646" s="252">
        <v>7.3129499999999998</v>
      </c>
      <c r="Q646" s="252">
        <v>0</v>
      </c>
      <c r="R646" s="252">
        <v>0</v>
      </c>
      <c r="S646" s="252">
        <v>0</v>
      </c>
      <c r="T646" s="252">
        <v>0</v>
      </c>
      <c r="U646" s="252">
        <v>3.3866900000000002</v>
      </c>
      <c r="V646" s="252">
        <v>0.30292999999999998</v>
      </c>
      <c r="W646" s="252">
        <v>0.93523000000000001</v>
      </c>
      <c r="X646" s="252">
        <v>0</v>
      </c>
      <c r="Y646" s="252">
        <v>0</v>
      </c>
      <c r="Z646" s="252">
        <v>15.582319999999999</v>
      </c>
      <c r="AA646" s="252">
        <v>3.0025400000000002</v>
      </c>
      <c r="AB646" s="252">
        <v>15.145619999999999</v>
      </c>
      <c r="AC646" s="252">
        <v>0</v>
      </c>
      <c r="AD646" s="252">
        <v>1</v>
      </c>
      <c r="AE646" s="252" t="s">
        <v>20</v>
      </c>
      <c r="AF646" s="252" t="s">
        <v>718</v>
      </c>
      <c r="AG646" s="252">
        <f t="shared" ref="AG646:AG709" si="51">+O646*M646/100</f>
        <v>136.23000300000001</v>
      </c>
      <c r="AH646" s="252">
        <f t="shared" ref="AH646:AH709" si="52">+P646*M646/100</f>
        <v>6.5816549999999996</v>
      </c>
      <c r="AI646" s="252">
        <f t="shared" ref="AI646:AI709" si="53">+AB646*M646/100</f>
        <v>13.631057999999998</v>
      </c>
      <c r="AJ646" s="252">
        <f t="shared" ref="AJ646:AJ709" si="54">+AG646+AH646+AI646</f>
        <v>156.44271600000002</v>
      </c>
    </row>
    <row r="647" spans="1:36" x14ac:dyDescent="0.2">
      <c r="A647" s="253" t="str">
        <f t="shared" si="50"/>
        <v>32SNMLBMNMKTT25</v>
      </c>
      <c r="B647" s="252" t="s">
        <v>19</v>
      </c>
      <c r="C647" s="252" t="s">
        <v>20</v>
      </c>
      <c r="D647" s="252" t="s">
        <v>205</v>
      </c>
      <c r="E647" s="252" t="s">
        <v>724</v>
      </c>
      <c r="F647" s="252" t="s">
        <v>2703</v>
      </c>
      <c r="G647" s="252">
        <v>25</v>
      </c>
      <c r="H647" s="252" t="s">
        <v>928</v>
      </c>
      <c r="I647" s="252" t="s">
        <v>2592</v>
      </c>
      <c r="J647" s="252" t="s">
        <v>928</v>
      </c>
      <c r="K647" s="252" t="s">
        <v>3236</v>
      </c>
      <c r="L647" s="252">
        <v>16.406559999999999</v>
      </c>
      <c r="M647" s="252">
        <v>100</v>
      </c>
      <c r="N647" s="252">
        <v>0</v>
      </c>
      <c r="O647" s="252">
        <v>0</v>
      </c>
      <c r="P647" s="252">
        <v>0</v>
      </c>
      <c r="Q647" s="252">
        <v>0</v>
      </c>
      <c r="R647" s="252">
        <v>0</v>
      </c>
      <c r="S647" s="252">
        <v>0</v>
      </c>
      <c r="T647" s="252">
        <v>0.59199000000000002</v>
      </c>
      <c r="U647" s="252">
        <v>0</v>
      </c>
      <c r="V647" s="252">
        <v>1.5801099999999999</v>
      </c>
      <c r="W647" s="252">
        <v>3.0827399999999998</v>
      </c>
      <c r="X647" s="252">
        <v>0</v>
      </c>
      <c r="Y647" s="252">
        <v>0</v>
      </c>
      <c r="Z647" s="252">
        <v>7.9935400000000003</v>
      </c>
      <c r="AA647" s="252">
        <v>3.1581800000000002</v>
      </c>
      <c r="AB647" s="252">
        <v>0</v>
      </c>
      <c r="AC647" s="252">
        <v>0</v>
      </c>
      <c r="AD647" s="252">
        <v>1</v>
      </c>
      <c r="AE647" s="252" t="s">
        <v>20</v>
      </c>
      <c r="AF647" s="252" t="s">
        <v>718</v>
      </c>
      <c r="AG647" s="252">
        <f t="shared" si="51"/>
        <v>0</v>
      </c>
      <c r="AH647" s="252">
        <f t="shared" si="52"/>
        <v>0</v>
      </c>
      <c r="AI647" s="252">
        <f t="shared" si="53"/>
        <v>0</v>
      </c>
      <c r="AJ647" s="252">
        <f t="shared" si="54"/>
        <v>0</v>
      </c>
    </row>
    <row r="648" spans="1:36" x14ac:dyDescent="0.2">
      <c r="A648" s="253" t="str">
        <f t="shared" si="50"/>
        <v>39CSNMLBMNMKTT25</v>
      </c>
      <c r="B648" s="252" t="s">
        <v>19</v>
      </c>
      <c r="C648" s="252" t="s">
        <v>20</v>
      </c>
      <c r="D648" s="252" t="s">
        <v>205</v>
      </c>
      <c r="E648" s="252" t="s">
        <v>724</v>
      </c>
      <c r="F648" s="252" t="s">
        <v>2703</v>
      </c>
      <c r="G648" s="252">
        <v>25</v>
      </c>
      <c r="H648" s="252" t="s">
        <v>928</v>
      </c>
      <c r="I648" s="252" t="s">
        <v>2702</v>
      </c>
      <c r="J648" s="252" t="s">
        <v>928</v>
      </c>
      <c r="K648" s="252" t="s">
        <v>3236</v>
      </c>
      <c r="L648" s="252">
        <v>72.896770000000004</v>
      </c>
      <c r="M648" s="252">
        <v>90</v>
      </c>
      <c r="N648" s="252">
        <v>0</v>
      </c>
      <c r="O648" s="252">
        <v>33.333329999999997</v>
      </c>
      <c r="P648" s="252">
        <v>5.8387099999999998</v>
      </c>
      <c r="Q648" s="252">
        <v>0</v>
      </c>
      <c r="R648" s="252">
        <v>0</v>
      </c>
      <c r="S648" s="252">
        <v>0</v>
      </c>
      <c r="T648" s="252">
        <v>0</v>
      </c>
      <c r="U648" s="252">
        <v>3.3866900000000002</v>
      </c>
      <c r="V648" s="252">
        <v>0.30292999999999998</v>
      </c>
      <c r="W648" s="252">
        <v>0.84521000000000002</v>
      </c>
      <c r="X648" s="252">
        <v>0</v>
      </c>
      <c r="Y648" s="252">
        <v>0</v>
      </c>
      <c r="Z648" s="252">
        <v>14.088050000000001</v>
      </c>
      <c r="AA648" s="252">
        <v>2.7110500000000002</v>
      </c>
      <c r="AB648" s="252">
        <v>12.3908</v>
      </c>
      <c r="AC648" s="252">
        <v>0</v>
      </c>
      <c r="AD648" s="252">
        <v>1</v>
      </c>
      <c r="AE648" s="252" t="s">
        <v>20</v>
      </c>
      <c r="AF648" s="252" t="s">
        <v>718</v>
      </c>
      <c r="AG648" s="252">
        <f t="shared" si="51"/>
        <v>29.999996999999997</v>
      </c>
      <c r="AH648" s="252">
        <f t="shared" si="52"/>
        <v>5.2548389999999996</v>
      </c>
      <c r="AI648" s="252">
        <f t="shared" si="53"/>
        <v>11.151720000000001</v>
      </c>
      <c r="AJ648" s="252">
        <f t="shared" si="54"/>
        <v>46.406555999999995</v>
      </c>
    </row>
    <row r="649" spans="1:36" x14ac:dyDescent="0.2">
      <c r="A649" s="253" t="str">
        <f t="shared" si="50"/>
        <v>32SNMLBMNMKTT50</v>
      </c>
      <c r="B649" s="252" t="s">
        <v>19</v>
      </c>
      <c r="C649" s="252" t="s">
        <v>20</v>
      </c>
      <c r="D649" s="252" t="s">
        <v>205</v>
      </c>
      <c r="E649" s="252" t="s">
        <v>724</v>
      </c>
      <c r="F649" s="252" t="s">
        <v>2703</v>
      </c>
      <c r="G649" s="252">
        <v>50</v>
      </c>
      <c r="H649" s="252" t="s">
        <v>928</v>
      </c>
      <c r="I649" s="252" t="s">
        <v>2592</v>
      </c>
      <c r="J649" s="252" t="s">
        <v>928</v>
      </c>
      <c r="K649" s="252" t="s">
        <v>3236</v>
      </c>
      <c r="L649" s="252">
        <v>20.474920000000001</v>
      </c>
      <c r="M649" s="252">
        <v>100</v>
      </c>
      <c r="N649" s="252">
        <v>0</v>
      </c>
      <c r="O649" s="252">
        <v>0</v>
      </c>
      <c r="P649" s="252">
        <v>0</v>
      </c>
      <c r="Q649" s="252">
        <v>0</v>
      </c>
      <c r="R649" s="252">
        <v>0</v>
      </c>
      <c r="S649" s="252">
        <v>0</v>
      </c>
      <c r="T649" s="252">
        <v>0.73816000000000004</v>
      </c>
      <c r="U649" s="252">
        <v>0</v>
      </c>
      <c r="V649" s="252">
        <v>2.13815</v>
      </c>
      <c r="W649" s="252">
        <v>3.7951600000000001</v>
      </c>
      <c r="X649" s="252">
        <v>0</v>
      </c>
      <c r="Y649" s="252">
        <v>0</v>
      </c>
      <c r="Z649" s="252">
        <v>9.8949400000000001</v>
      </c>
      <c r="AA649" s="252">
        <v>3.9085100000000002</v>
      </c>
      <c r="AB649" s="252">
        <v>0</v>
      </c>
      <c r="AC649" s="252">
        <v>0</v>
      </c>
      <c r="AD649" s="252">
        <v>1</v>
      </c>
      <c r="AE649" s="252" t="s">
        <v>20</v>
      </c>
      <c r="AF649" s="252" t="s">
        <v>718</v>
      </c>
      <c r="AG649" s="252">
        <f t="shared" si="51"/>
        <v>0</v>
      </c>
      <c r="AH649" s="252">
        <f t="shared" si="52"/>
        <v>0</v>
      </c>
      <c r="AI649" s="252">
        <f t="shared" si="53"/>
        <v>0</v>
      </c>
      <c r="AJ649" s="252">
        <f t="shared" si="54"/>
        <v>0</v>
      </c>
    </row>
    <row r="650" spans="1:36" x14ac:dyDescent="0.2">
      <c r="A650" s="253" t="str">
        <f t="shared" si="50"/>
        <v>39CSNMLBMNMKTT50</v>
      </c>
      <c r="B650" s="252" t="s">
        <v>19</v>
      </c>
      <c r="C650" s="252" t="s">
        <v>20</v>
      </c>
      <c r="D650" s="252" t="s">
        <v>205</v>
      </c>
      <c r="E650" s="252" t="s">
        <v>724</v>
      </c>
      <c r="F650" s="252" t="s">
        <v>2703</v>
      </c>
      <c r="G650" s="252">
        <v>50</v>
      </c>
      <c r="H650" s="252" t="s">
        <v>928</v>
      </c>
      <c r="I650" s="252" t="s">
        <v>2702</v>
      </c>
      <c r="J650" s="252" t="s">
        <v>928</v>
      </c>
      <c r="K650" s="252" t="s">
        <v>3236</v>
      </c>
      <c r="L650" s="252">
        <v>78.204939999999993</v>
      </c>
      <c r="M650" s="252">
        <v>90</v>
      </c>
      <c r="N650" s="252">
        <v>0</v>
      </c>
      <c r="O650" s="252">
        <v>33.333329999999997</v>
      </c>
      <c r="P650" s="252">
        <v>7.4127400000000003</v>
      </c>
      <c r="Q650" s="252">
        <v>0</v>
      </c>
      <c r="R650" s="252">
        <v>0</v>
      </c>
      <c r="S650" s="252">
        <v>0</v>
      </c>
      <c r="T650" s="252">
        <v>0</v>
      </c>
      <c r="U650" s="252">
        <v>2.42293</v>
      </c>
      <c r="V650" s="252">
        <v>0.30292999999999998</v>
      </c>
      <c r="W650" s="252">
        <v>0.92823</v>
      </c>
      <c r="X650" s="252">
        <v>0</v>
      </c>
      <c r="Y650" s="252">
        <v>0</v>
      </c>
      <c r="Z650" s="252">
        <v>15.505509999999999</v>
      </c>
      <c r="AA650" s="252">
        <v>2.9621</v>
      </c>
      <c r="AB650" s="252">
        <v>15.33717</v>
      </c>
      <c r="AC650" s="252">
        <v>0</v>
      </c>
      <c r="AD650" s="252">
        <v>1</v>
      </c>
      <c r="AE650" s="252" t="s">
        <v>20</v>
      </c>
      <c r="AF650" s="252" t="s">
        <v>718</v>
      </c>
      <c r="AG650" s="252">
        <f t="shared" si="51"/>
        <v>29.999996999999997</v>
      </c>
      <c r="AH650" s="252">
        <f t="shared" si="52"/>
        <v>6.6714660000000006</v>
      </c>
      <c r="AI650" s="252">
        <f t="shared" si="53"/>
        <v>13.803452999999999</v>
      </c>
      <c r="AJ650" s="252">
        <f t="shared" si="54"/>
        <v>50.474915999999993</v>
      </c>
    </row>
    <row r="651" spans="1:36" x14ac:dyDescent="0.2">
      <c r="A651" s="253" t="str">
        <f t="shared" si="50"/>
        <v>3SNMLBMNNGKBF25</v>
      </c>
      <c r="B651" s="252" t="s">
        <v>19</v>
      </c>
      <c r="C651" s="252" t="s">
        <v>20</v>
      </c>
      <c r="D651" s="252" t="s">
        <v>205</v>
      </c>
      <c r="E651" s="252" t="s">
        <v>724</v>
      </c>
      <c r="F651" s="252" t="s">
        <v>218</v>
      </c>
      <c r="G651" s="252">
        <v>25</v>
      </c>
      <c r="H651" s="252" t="s">
        <v>928</v>
      </c>
      <c r="I651" s="252" t="s">
        <v>2465</v>
      </c>
      <c r="J651" s="252" t="s">
        <v>928</v>
      </c>
      <c r="K651" s="252" t="s">
        <v>3236</v>
      </c>
      <c r="L651" s="252">
        <v>21.016380000000002</v>
      </c>
      <c r="M651" s="252">
        <v>98.3</v>
      </c>
      <c r="N651" s="252">
        <v>0</v>
      </c>
      <c r="O651" s="252">
        <v>0</v>
      </c>
      <c r="P651" s="252">
        <v>3.4336099999999998</v>
      </c>
      <c r="Q651" s="252">
        <v>0</v>
      </c>
      <c r="R651" s="252">
        <v>0</v>
      </c>
      <c r="S651" s="252">
        <v>0</v>
      </c>
      <c r="T651" s="252">
        <v>0</v>
      </c>
      <c r="U651" s="252">
        <v>1.69435</v>
      </c>
      <c r="V651" s="252">
        <v>0.30292999999999998</v>
      </c>
      <c r="W651" s="252">
        <v>0.37508999999999998</v>
      </c>
      <c r="X651" s="252">
        <v>0</v>
      </c>
      <c r="Y651" s="252">
        <v>0</v>
      </c>
      <c r="Z651" s="252">
        <v>6.24634</v>
      </c>
      <c r="AA651" s="252">
        <v>1.20472</v>
      </c>
      <c r="AB651" s="252">
        <v>7.7593399999999999</v>
      </c>
      <c r="AC651" s="252">
        <v>0</v>
      </c>
      <c r="AD651" s="252">
        <v>1</v>
      </c>
      <c r="AE651" s="252" t="s">
        <v>20</v>
      </c>
      <c r="AF651" s="252" t="s">
        <v>718</v>
      </c>
      <c r="AG651" s="252">
        <f t="shared" si="51"/>
        <v>0</v>
      </c>
      <c r="AH651" s="252">
        <f t="shared" si="52"/>
        <v>3.3752386299999997</v>
      </c>
      <c r="AI651" s="252">
        <f t="shared" si="53"/>
        <v>7.6274312200000001</v>
      </c>
      <c r="AJ651" s="252">
        <f t="shared" si="54"/>
        <v>11.00266985</v>
      </c>
    </row>
    <row r="652" spans="1:36" x14ac:dyDescent="0.2">
      <c r="A652" s="253" t="str">
        <f t="shared" si="50"/>
        <v>32SNMLBMNNGKBF25</v>
      </c>
      <c r="B652" s="252" t="s">
        <v>19</v>
      </c>
      <c r="C652" s="252" t="s">
        <v>20</v>
      </c>
      <c r="D652" s="252" t="s">
        <v>205</v>
      </c>
      <c r="E652" s="252" t="s">
        <v>724</v>
      </c>
      <c r="F652" s="252" t="s">
        <v>218</v>
      </c>
      <c r="G652" s="252">
        <v>25</v>
      </c>
      <c r="H652" s="252" t="s">
        <v>928</v>
      </c>
      <c r="I652" s="252" t="s">
        <v>2592</v>
      </c>
      <c r="J652" s="252" t="s">
        <v>928</v>
      </c>
      <c r="K652" s="252" t="s">
        <v>3236</v>
      </c>
      <c r="L652" s="252">
        <v>11.00267</v>
      </c>
      <c r="M652" s="252">
        <v>100</v>
      </c>
      <c r="N652" s="252">
        <v>0</v>
      </c>
      <c r="O652" s="252">
        <v>0</v>
      </c>
      <c r="P652" s="252">
        <v>0</v>
      </c>
      <c r="Q652" s="252">
        <v>0</v>
      </c>
      <c r="R652" s="252">
        <v>0</v>
      </c>
      <c r="S652" s="252">
        <v>0</v>
      </c>
      <c r="T652" s="252">
        <v>0.40744999999999998</v>
      </c>
      <c r="U652" s="252">
        <v>0</v>
      </c>
      <c r="V652" s="252">
        <v>0.83006000000000002</v>
      </c>
      <c r="W652" s="252">
        <v>2.1377299999999999</v>
      </c>
      <c r="X652" s="252">
        <v>0</v>
      </c>
      <c r="Y652" s="252">
        <v>0</v>
      </c>
      <c r="Z652" s="252">
        <v>5.4675799999999999</v>
      </c>
      <c r="AA652" s="252">
        <v>2.15985</v>
      </c>
      <c r="AB652" s="252">
        <v>0</v>
      </c>
      <c r="AC652" s="252">
        <v>0</v>
      </c>
      <c r="AD652" s="252">
        <v>1</v>
      </c>
      <c r="AE652" s="252" t="s">
        <v>20</v>
      </c>
      <c r="AF652" s="252" t="s">
        <v>718</v>
      </c>
      <c r="AG652" s="252">
        <f t="shared" si="51"/>
        <v>0</v>
      </c>
      <c r="AH652" s="252">
        <f t="shared" si="52"/>
        <v>0</v>
      </c>
      <c r="AI652" s="252">
        <f t="shared" si="53"/>
        <v>0</v>
      </c>
      <c r="AJ652" s="252">
        <f t="shared" si="54"/>
        <v>0</v>
      </c>
    </row>
    <row r="653" spans="1:36" x14ac:dyDescent="0.2">
      <c r="A653" s="253" t="str">
        <f t="shared" si="50"/>
        <v>3SNMLBMNNGKBF50</v>
      </c>
      <c r="B653" s="252" t="s">
        <v>19</v>
      </c>
      <c r="C653" s="252" t="s">
        <v>20</v>
      </c>
      <c r="D653" s="252" t="s">
        <v>205</v>
      </c>
      <c r="E653" s="252" t="s">
        <v>724</v>
      </c>
      <c r="F653" s="252" t="s">
        <v>218</v>
      </c>
      <c r="G653" s="252">
        <v>50</v>
      </c>
      <c r="H653" s="252" t="s">
        <v>928</v>
      </c>
      <c r="I653" s="252" t="s">
        <v>2465</v>
      </c>
      <c r="J653" s="252" t="s">
        <v>928</v>
      </c>
      <c r="K653" s="252" t="s">
        <v>3236</v>
      </c>
      <c r="L653" s="252">
        <v>23.913350000000001</v>
      </c>
      <c r="M653" s="252">
        <v>99</v>
      </c>
      <c r="N653" s="252">
        <v>0</v>
      </c>
      <c r="O653" s="252">
        <v>0</v>
      </c>
      <c r="P653" s="252">
        <v>4.0721299999999996</v>
      </c>
      <c r="Q653" s="252">
        <v>0</v>
      </c>
      <c r="R653" s="252">
        <v>0</v>
      </c>
      <c r="S653" s="252">
        <v>0</v>
      </c>
      <c r="T653" s="252">
        <v>0</v>
      </c>
      <c r="U653" s="252">
        <v>1.81745</v>
      </c>
      <c r="V653" s="252">
        <v>0.30292999999999998</v>
      </c>
      <c r="W653" s="252">
        <v>0.42509999999999998</v>
      </c>
      <c r="X653" s="252">
        <v>0</v>
      </c>
      <c r="Y653" s="252">
        <v>0</v>
      </c>
      <c r="Z653" s="252">
        <v>7.0785400000000003</v>
      </c>
      <c r="AA653" s="252">
        <v>1.3647899999999999</v>
      </c>
      <c r="AB653" s="252">
        <v>8.8524100000000008</v>
      </c>
      <c r="AC653" s="252">
        <v>0</v>
      </c>
      <c r="AD653" s="252">
        <v>1</v>
      </c>
      <c r="AE653" s="252" t="s">
        <v>20</v>
      </c>
      <c r="AF653" s="252" t="s">
        <v>718</v>
      </c>
      <c r="AG653" s="252">
        <f t="shared" si="51"/>
        <v>0</v>
      </c>
      <c r="AH653" s="252">
        <f t="shared" si="52"/>
        <v>4.0314086999999992</v>
      </c>
      <c r="AI653" s="252">
        <f t="shared" si="53"/>
        <v>8.7638859</v>
      </c>
      <c r="AJ653" s="252">
        <f t="shared" si="54"/>
        <v>12.795294599999998</v>
      </c>
    </row>
    <row r="654" spans="1:36" x14ac:dyDescent="0.2">
      <c r="A654" s="253" t="str">
        <f t="shared" si="50"/>
        <v>32SNMLBMNNGKBF50</v>
      </c>
      <c r="B654" s="252" t="s">
        <v>19</v>
      </c>
      <c r="C654" s="252" t="s">
        <v>20</v>
      </c>
      <c r="D654" s="252" t="s">
        <v>205</v>
      </c>
      <c r="E654" s="252" t="s">
        <v>724</v>
      </c>
      <c r="F654" s="252" t="s">
        <v>218</v>
      </c>
      <c r="G654" s="252">
        <v>50</v>
      </c>
      <c r="H654" s="252" t="s">
        <v>928</v>
      </c>
      <c r="I654" s="252" t="s">
        <v>2592</v>
      </c>
      <c r="J654" s="252" t="s">
        <v>928</v>
      </c>
      <c r="K654" s="252" t="s">
        <v>3236</v>
      </c>
      <c r="L654" s="252">
        <v>12.79529</v>
      </c>
      <c r="M654" s="252">
        <v>100</v>
      </c>
      <c r="N654" s="252">
        <v>0</v>
      </c>
      <c r="O654" s="252">
        <v>0</v>
      </c>
      <c r="P654" s="252">
        <v>0</v>
      </c>
      <c r="Q654" s="252">
        <v>0</v>
      </c>
      <c r="R654" s="252">
        <v>0</v>
      </c>
      <c r="S654" s="252">
        <v>0</v>
      </c>
      <c r="T654" s="252">
        <v>0.48054000000000002</v>
      </c>
      <c r="U654" s="252">
        <v>0</v>
      </c>
      <c r="V654" s="252">
        <v>1.11208</v>
      </c>
      <c r="W654" s="252">
        <v>2.4387799999999999</v>
      </c>
      <c r="X654" s="252">
        <v>0</v>
      </c>
      <c r="Y654" s="252">
        <v>0</v>
      </c>
      <c r="Z654" s="252">
        <v>6.28186</v>
      </c>
      <c r="AA654" s="252">
        <v>2.48203</v>
      </c>
      <c r="AB654" s="252">
        <v>0</v>
      </c>
      <c r="AC654" s="252">
        <v>0</v>
      </c>
      <c r="AD654" s="252">
        <v>1</v>
      </c>
      <c r="AE654" s="252" t="s">
        <v>20</v>
      </c>
      <c r="AF654" s="252" t="s">
        <v>718</v>
      </c>
      <c r="AG654" s="252">
        <f t="shared" si="51"/>
        <v>0</v>
      </c>
      <c r="AH654" s="252">
        <f t="shared" si="52"/>
        <v>0</v>
      </c>
      <c r="AI654" s="252">
        <f t="shared" si="53"/>
        <v>0</v>
      </c>
      <c r="AJ654" s="252">
        <f t="shared" si="54"/>
        <v>0</v>
      </c>
    </row>
    <row r="655" spans="1:36" x14ac:dyDescent="0.2">
      <c r="A655" s="253" t="str">
        <f t="shared" si="50"/>
        <v>3SNMLBMNQR66F25</v>
      </c>
      <c r="B655" s="252" t="s">
        <v>19</v>
      </c>
      <c r="C655" s="252" t="s">
        <v>20</v>
      </c>
      <c r="D655" s="252" t="s">
        <v>205</v>
      </c>
      <c r="E655" s="252" t="s">
        <v>724</v>
      </c>
      <c r="F655" s="252" t="s">
        <v>221</v>
      </c>
      <c r="G655" s="252">
        <v>25</v>
      </c>
      <c r="H655" s="252" t="s">
        <v>928</v>
      </c>
      <c r="I655" s="252" t="s">
        <v>2465</v>
      </c>
      <c r="J655" s="252" t="s">
        <v>928</v>
      </c>
      <c r="K655" s="252" t="s">
        <v>3236</v>
      </c>
      <c r="L655" s="252">
        <v>15.650499999999999</v>
      </c>
      <c r="M655" s="252">
        <v>98</v>
      </c>
      <c r="N655" s="252">
        <v>0</v>
      </c>
      <c r="O655" s="252">
        <v>0</v>
      </c>
      <c r="P655" s="252">
        <v>2.3961399999999999</v>
      </c>
      <c r="Q655" s="252">
        <v>0</v>
      </c>
      <c r="R655" s="252">
        <v>0</v>
      </c>
      <c r="S655" s="252">
        <v>0</v>
      </c>
      <c r="T655" s="252">
        <v>0</v>
      </c>
      <c r="U655" s="252">
        <v>0.98177999999999999</v>
      </c>
      <c r="V655" s="252">
        <v>0.30292999999999998</v>
      </c>
      <c r="W655" s="252">
        <v>0.30908000000000002</v>
      </c>
      <c r="X655" s="252">
        <v>0</v>
      </c>
      <c r="Y655" s="252">
        <v>0</v>
      </c>
      <c r="Z655" s="252">
        <v>5.1633199999999997</v>
      </c>
      <c r="AA655" s="252">
        <v>0.98568</v>
      </c>
      <c r="AB655" s="252">
        <v>5.5115699999999999</v>
      </c>
      <c r="AC655" s="252">
        <v>0</v>
      </c>
      <c r="AD655" s="252">
        <v>1</v>
      </c>
      <c r="AE655" s="252" t="s">
        <v>20</v>
      </c>
      <c r="AF655" s="252" t="s">
        <v>718</v>
      </c>
      <c r="AG655" s="252">
        <f t="shared" si="51"/>
        <v>0</v>
      </c>
      <c r="AH655" s="252">
        <f t="shared" si="52"/>
        <v>2.3482172000000001</v>
      </c>
      <c r="AI655" s="252">
        <f t="shared" si="53"/>
        <v>5.4013385999999999</v>
      </c>
      <c r="AJ655" s="252">
        <f t="shared" si="54"/>
        <v>7.7495557999999996</v>
      </c>
    </row>
    <row r="656" spans="1:36" x14ac:dyDescent="0.2">
      <c r="A656" s="253" t="str">
        <f t="shared" si="50"/>
        <v>32SNMLBMNQR66F25</v>
      </c>
      <c r="B656" s="252" t="s">
        <v>19</v>
      </c>
      <c r="C656" s="252" t="s">
        <v>20</v>
      </c>
      <c r="D656" s="252" t="s">
        <v>205</v>
      </c>
      <c r="E656" s="252" t="s">
        <v>724</v>
      </c>
      <c r="F656" s="252" t="s">
        <v>221</v>
      </c>
      <c r="G656" s="252">
        <v>25</v>
      </c>
      <c r="H656" s="252" t="s">
        <v>928</v>
      </c>
      <c r="I656" s="252" t="s">
        <v>2592</v>
      </c>
      <c r="J656" s="252" t="s">
        <v>928</v>
      </c>
      <c r="K656" s="252" t="s">
        <v>3236</v>
      </c>
      <c r="L656" s="252">
        <v>7.7495599999999998</v>
      </c>
      <c r="M656" s="252">
        <v>100</v>
      </c>
      <c r="N656" s="252">
        <v>0</v>
      </c>
      <c r="O656" s="252">
        <v>0</v>
      </c>
      <c r="P656" s="252">
        <v>0</v>
      </c>
      <c r="Q656" s="252">
        <v>0</v>
      </c>
      <c r="R656" s="252">
        <v>0</v>
      </c>
      <c r="S656" s="252">
        <v>0</v>
      </c>
      <c r="T656" s="252">
        <v>0.31974999999999998</v>
      </c>
      <c r="U656" s="252">
        <v>0</v>
      </c>
      <c r="V656" s="252">
        <v>0.50604000000000005</v>
      </c>
      <c r="W656" s="252">
        <v>1.5224299999999999</v>
      </c>
      <c r="X656" s="252">
        <v>0</v>
      </c>
      <c r="Y656" s="252">
        <v>0</v>
      </c>
      <c r="Z656" s="252">
        <v>3.871</v>
      </c>
      <c r="AA656" s="252">
        <v>1.53034</v>
      </c>
      <c r="AB656" s="252">
        <v>0</v>
      </c>
      <c r="AC656" s="252">
        <v>0</v>
      </c>
      <c r="AD656" s="252">
        <v>1</v>
      </c>
      <c r="AE656" s="252" t="s">
        <v>20</v>
      </c>
      <c r="AF656" s="252" t="s">
        <v>718</v>
      </c>
      <c r="AG656" s="252">
        <f t="shared" si="51"/>
        <v>0</v>
      </c>
      <c r="AH656" s="252">
        <f t="shared" si="52"/>
        <v>0</v>
      </c>
      <c r="AI656" s="252">
        <f t="shared" si="53"/>
        <v>0</v>
      </c>
      <c r="AJ656" s="252">
        <f t="shared" si="54"/>
        <v>0</v>
      </c>
    </row>
    <row r="657" spans="1:36" x14ac:dyDescent="0.2">
      <c r="A657" s="253" t="str">
        <f t="shared" si="50"/>
        <v>3SNMLBMSF25</v>
      </c>
      <c r="B657" s="252" t="s">
        <v>19</v>
      </c>
      <c r="C657" s="252" t="s">
        <v>20</v>
      </c>
      <c r="D657" s="252" t="s">
        <v>205</v>
      </c>
      <c r="E657" s="252" t="s">
        <v>724</v>
      </c>
      <c r="F657" s="252" t="s">
        <v>230</v>
      </c>
      <c r="G657" s="252">
        <v>25</v>
      </c>
      <c r="H657" s="252" t="s">
        <v>928</v>
      </c>
      <c r="I657" s="252" t="s">
        <v>2465</v>
      </c>
      <c r="J657" s="252" t="s">
        <v>928</v>
      </c>
      <c r="K657" s="252" t="s">
        <v>3236</v>
      </c>
      <c r="L657" s="252">
        <v>30.236699999999999</v>
      </c>
      <c r="M657" s="252">
        <v>97</v>
      </c>
      <c r="N657" s="252">
        <v>0</v>
      </c>
      <c r="O657" s="252">
        <v>0</v>
      </c>
      <c r="P657" s="252">
        <v>4.12263</v>
      </c>
      <c r="Q657" s="252">
        <v>0</v>
      </c>
      <c r="R657" s="252">
        <v>0</v>
      </c>
      <c r="S657" s="252">
        <v>0</v>
      </c>
      <c r="T657" s="252">
        <v>0</v>
      </c>
      <c r="U657" s="252">
        <v>3.0334099999999999</v>
      </c>
      <c r="V657" s="252">
        <v>0.30292999999999998</v>
      </c>
      <c r="W657" s="252">
        <v>0.65715999999999997</v>
      </c>
      <c r="X657" s="252">
        <v>0</v>
      </c>
      <c r="Y657" s="252">
        <v>0</v>
      </c>
      <c r="Z657" s="252">
        <v>10.95079</v>
      </c>
      <c r="AA657" s="252">
        <v>2.1128999999999998</v>
      </c>
      <c r="AB657" s="252">
        <v>9.0568799999999996</v>
      </c>
      <c r="AC657" s="252">
        <v>0</v>
      </c>
      <c r="AD657" s="252">
        <v>1</v>
      </c>
      <c r="AE657" s="252" t="s">
        <v>20</v>
      </c>
      <c r="AF657" s="252" t="s">
        <v>718</v>
      </c>
      <c r="AG657" s="252">
        <f t="shared" si="51"/>
        <v>0</v>
      </c>
      <c r="AH657" s="252">
        <f t="shared" si="52"/>
        <v>3.9989510999999998</v>
      </c>
      <c r="AI657" s="252">
        <f t="shared" si="53"/>
        <v>8.7851736000000002</v>
      </c>
      <c r="AJ657" s="252">
        <f t="shared" si="54"/>
        <v>12.7841247</v>
      </c>
    </row>
    <row r="658" spans="1:36" x14ac:dyDescent="0.2">
      <c r="A658" s="253" t="str">
        <f t="shared" si="50"/>
        <v>32SNMLBMSF25</v>
      </c>
      <c r="B658" s="252" t="s">
        <v>19</v>
      </c>
      <c r="C658" s="252" t="s">
        <v>20</v>
      </c>
      <c r="D658" s="252" t="s">
        <v>205</v>
      </c>
      <c r="E658" s="252" t="s">
        <v>724</v>
      </c>
      <c r="F658" s="252" t="s">
        <v>230</v>
      </c>
      <c r="G658" s="252">
        <v>25</v>
      </c>
      <c r="H658" s="252" t="s">
        <v>928</v>
      </c>
      <c r="I658" s="252" t="s">
        <v>2592</v>
      </c>
      <c r="J658" s="252" t="s">
        <v>928</v>
      </c>
      <c r="K658" s="252" t="s">
        <v>3236</v>
      </c>
      <c r="L658" s="252">
        <v>12.78412</v>
      </c>
      <c r="M658" s="252">
        <v>100</v>
      </c>
      <c r="N658" s="252">
        <v>0</v>
      </c>
      <c r="O658" s="252">
        <v>0</v>
      </c>
      <c r="P658" s="252">
        <v>0</v>
      </c>
      <c r="Q658" s="252">
        <v>0</v>
      </c>
      <c r="R658" s="252">
        <v>0</v>
      </c>
      <c r="S658" s="252">
        <v>0</v>
      </c>
      <c r="T658" s="252">
        <v>0.46775</v>
      </c>
      <c r="U658" s="252">
        <v>0</v>
      </c>
      <c r="V658" s="252">
        <v>1.0820799999999999</v>
      </c>
      <c r="W658" s="252">
        <v>2.4491200000000002</v>
      </c>
      <c r="X658" s="252">
        <v>0</v>
      </c>
      <c r="Y658" s="252">
        <v>0</v>
      </c>
      <c r="Z658" s="252">
        <v>6.29678</v>
      </c>
      <c r="AA658" s="252">
        <v>2.4883899999999999</v>
      </c>
      <c r="AB658" s="252">
        <v>0</v>
      </c>
      <c r="AC658" s="252">
        <v>0</v>
      </c>
      <c r="AD658" s="252">
        <v>1</v>
      </c>
      <c r="AE658" s="252" t="s">
        <v>20</v>
      </c>
      <c r="AF658" s="252" t="s">
        <v>718</v>
      </c>
      <c r="AG658" s="252">
        <f t="shared" si="51"/>
        <v>0</v>
      </c>
      <c r="AH658" s="252">
        <f t="shared" si="52"/>
        <v>0</v>
      </c>
      <c r="AI658" s="252">
        <f t="shared" si="53"/>
        <v>0</v>
      </c>
      <c r="AJ658" s="252">
        <f t="shared" si="54"/>
        <v>0</v>
      </c>
    </row>
    <row r="659" spans="1:36" x14ac:dyDescent="0.2">
      <c r="A659" s="253" t="str">
        <f t="shared" si="50"/>
        <v>3HSNMLBMSF25</v>
      </c>
      <c r="B659" s="252" t="s">
        <v>19</v>
      </c>
      <c r="C659" s="252" t="s">
        <v>20</v>
      </c>
      <c r="D659" s="252" t="s">
        <v>205</v>
      </c>
      <c r="E659" s="252" t="s">
        <v>724</v>
      </c>
      <c r="F659" s="252" t="s">
        <v>230</v>
      </c>
      <c r="G659" s="252">
        <v>25</v>
      </c>
      <c r="H659" s="252" t="s">
        <v>928</v>
      </c>
      <c r="I659" s="252" t="s">
        <v>96</v>
      </c>
      <c r="J659" s="252" t="s">
        <v>928</v>
      </c>
      <c r="K659" s="252" t="s">
        <v>3236</v>
      </c>
      <c r="L659" s="252">
        <v>38.765500000000003</v>
      </c>
      <c r="M659" s="252">
        <v>81</v>
      </c>
      <c r="N659" s="252">
        <v>0</v>
      </c>
      <c r="O659" s="252">
        <v>0</v>
      </c>
      <c r="P659" s="252">
        <v>4.9369699999999996</v>
      </c>
      <c r="Q659" s="252">
        <v>0</v>
      </c>
      <c r="R659" s="252">
        <v>0</v>
      </c>
      <c r="S659" s="252">
        <v>0</v>
      </c>
      <c r="T659" s="252">
        <v>0</v>
      </c>
      <c r="U659" s="252">
        <v>5.6364799999999997</v>
      </c>
      <c r="V659" s="252">
        <v>0.30292999999999998</v>
      </c>
      <c r="W659" s="252">
        <v>0.82220000000000004</v>
      </c>
      <c r="X659" s="252">
        <v>0</v>
      </c>
      <c r="Y659" s="252">
        <v>0</v>
      </c>
      <c r="Z659" s="252">
        <v>13.499879999999999</v>
      </c>
      <c r="AA659" s="252">
        <v>2.7211500000000002</v>
      </c>
      <c r="AB659" s="252">
        <v>10.845890000000001</v>
      </c>
      <c r="AC659" s="252">
        <v>0</v>
      </c>
      <c r="AD659" s="252">
        <v>1</v>
      </c>
      <c r="AE659" s="252" t="s">
        <v>20</v>
      </c>
      <c r="AF659" s="252" t="s">
        <v>718</v>
      </c>
      <c r="AG659" s="252">
        <f t="shared" si="51"/>
        <v>0</v>
      </c>
      <c r="AH659" s="252">
        <f t="shared" si="52"/>
        <v>3.9989456999999997</v>
      </c>
      <c r="AI659" s="252">
        <f t="shared" si="53"/>
        <v>8.7851709000000007</v>
      </c>
      <c r="AJ659" s="252">
        <f t="shared" si="54"/>
        <v>12.784116600000001</v>
      </c>
    </row>
    <row r="660" spans="1:36" x14ac:dyDescent="0.2">
      <c r="A660" s="253" t="str">
        <f t="shared" si="50"/>
        <v>3SNMLBMSF38</v>
      </c>
      <c r="B660" s="252" t="s">
        <v>19</v>
      </c>
      <c r="C660" s="252" t="s">
        <v>20</v>
      </c>
      <c r="D660" s="252" t="s">
        <v>205</v>
      </c>
      <c r="E660" s="252" t="s">
        <v>724</v>
      </c>
      <c r="F660" s="252" t="s">
        <v>230</v>
      </c>
      <c r="G660" s="252">
        <v>38</v>
      </c>
      <c r="H660" s="252" t="s">
        <v>928</v>
      </c>
      <c r="I660" s="252" t="s">
        <v>2465</v>
      </c>
      <c r="J660" s="252" t="s">
        <v>928</v>
      </c>
      <c r="K660" s="252" t="s">
        <v>3236</v>
      </c>
      <c r="L660" s="252">
        <v>36.6584</v>
      </c>
      <c r="M660" s="252">
        <v>80</v>
      </c>
      <c r="N660" s="252">
        <v>0</v>
      </c>
      <c r="O660" s="252">
        <v>0</v>
      </c>
      <c r="P660" s="252">
        <v>5.1267500000000004</v>
      </c>
      <c r="Q660" s="252">
        <v>0</v>
      </c>
      <c r="R660" s="252">
        <v>0</v>
      </c>
      <c r="S660" s="252">
        <v>0</v>
      </c>
      <c r="T660" s="252">
        <v>0</v>
      </c>
      <c r="U660" s="252">
        <v>2.4979900000000002</v>
      </c>
      <c r="V660" s="252">
        <v>0.30292999999999998</v>
      </c>
      <c r="W660" s="252">
        <v>0.83720000000000006</v>
      </c>
      <c r="X660" s="252">
        <v>0</v>
      </c>
      <c r="Y660" s="252">
        <v>0</v>
      </c>
      <c r="Z660" s="252">
        <v>13.960699999999999</v>
      </c>
      <c r="AA660" s="252">
        <v>2.6773500000000001</v>
      </c>
      <c r="AB660" s="252">
        <v>11.25548</v>
      </c>
      <c r="AC660" s="252">
        <v>0</v>
      </c>
      <c r="AD660" s="252">
        <v>1</v>
      </c>
      <c r="AE660" s="252" t="s">
        <v>20</v>
      </c>
      <c r="AF660" s="252" t="s">
        <v>718</v>
      </c>
      <c r="AG660" s="252">
        <f t="shared" si="51"/>
        <v>0</v>
      </c>
      <c r="AH660" s="252">
        <f t="shared" si="52"/>
        <v>4.1014000000000008</v>
      </c>
      <c r="AI660" s="252">
        <f t="shared" si="53"/>
        <v>9.0043839999999999</v>
      </c>
      <c r="AJ660" s="252">
        <f t="shared" si="54"/>
        <v>13.105784</v>
      </c>
    </row>
    <row r="661" spans="1:36" x14ac:dyDescent="0.2">
      <c r="A661" s="253" t="str">
        <f t="shared" si="50"/>
        <v>32SNMLBMSF38</v>
      </c>
      <c r="B661" s="252" t="s">
        <v>19</v>
      </c>
      <c r="C661" s="252" t="s">
        <v>20</v>
      </c>
      <c r="D661" s="252" t="s">
        <v>205</v>
      </c>
      <c r="E661" s="252" t="s">
        <v>724</v>
      </c>
      <c r="F661" s="252" t="s">
        <v>230</v>
      </c>
      <c r="G661" s="252">
        <v>38</v>
      </c>
      <c r="H661" s="252" t="s">
        <v>928</v>
      </c>
      <c r="I661" s="252" t="s">
        <v>2592</v>
      </c>
      <c r="J661" s="252" t="s">
        <v>928</v>
      </c>
      <c r="K661" s="252" t="s">
        <v>3236</v>
      </c>
      <c r="L661" s="252">
        <v>13.105779999999999</v>
      </c>
      <c r="M661" s="252">
        <v>100</v>
      </c>
      <c r="N661" s="252">
        <v>0</v>
      </c>
      <c r="O661" s="252">
        <v>0</v>
      </c>
      <c r="P661" s="252">
        <v>0</v>
      </c>
      <c r="Q661" s="252">
        <v>0</v>
      </c>
      <c r="R661" s="252">
        <v>0</v>
      </c>
      <c r="S661" s="252">
        <v>0</v>
      </c>
      <c r="T661" s="252">
        <v>0.48054000000000002</v>
      </c>
      <c r="U661" s="252">
        <v>0</v>
      </c>
      <c r="V661" s="252">
        <v>1.11208</v>
      </c>
      <c r="W661" s="252">
        <v>2.5087799999999998</v>
      </c>
      <c r="X661" s="252">
        <v>0</v>
      </c>
      <c r="Y661" s="252">
        <v>0</v>
      </c>
      <c r="Z661" s="252">
        <v>6.4545199999999996</v>
      </c>
      <c r="AA661" s="252">
        <v>2.5498599999999998</v>
      </c>
      <c r="AB661" s="252">
        <v>0</v>
      </c>
      <c r="AC661" s="252">
        <v>0</v>
      </c>
      <c r="AD661" s="252">
        <v>1</v>
      </c>
      <c r="AE661" s="252" t="s">
        <v>20</v>
      </c>
      <c r="AF661" s="252" t="s">
        <v>718</v>
      </c>
      <c r="AG661" s="252">
        <f t="shared" si="51"/>
        <v>0</v>
      </c>
      <c r="AH661" s="252">
        <f t="shared" si="52"/>
        <v>0</v>
      </c>
      <c r="AI661" s="252">
        <f t="shared" si="53"/>
        <v>0</v>
      </c>
      <c r="AJ661" s="252">
        <f t="shared" si="54"/>
        <v>0</v>
      </c>
    </row>
    <row r="662" spans="1:36" x14ac:dyDescent="0.2">
      <c r="A662" s="253" t="str">
        <f t="shared" si="50"/>
        <v>3SNMLBMTSF50</v>
      </c>
      <c r="B662" s="252" t="s">
        <v>19</v>
      </c>
      <c r="C662" s="252" t="s">
        <v>20</v>
      </c>
      <c r="D662" s="252" t="s">
        <v>205</v>
      </c>
      <c r="E662" s="252" t="s">
        <v>724</v>
      </c>
      <c r="F662" s="252" t="s">
        <v>242</v>
      </c>
      <c r="G662" s="252">
        <v>50</v>
      </c>
      <c r="H662" s="252" t="s">
        <v>928</v>
      </c>
      <c r="I662" s="252" t="s">
        <v>2465</v>
      </c>
      <c r="J662" s="252" t="s">
        <v>928</v>
      </c>
      <c r="K662" s="252" t="s">
        <v>3236</v>
      </c>
      <c r="L662" s="252">
        <v>35.40363</v>
      </c>
      <c r="M662" s="252">
        <v>95</v>
      </c>
      <c r="N662" s="252">
        <v>0</v>
      </c>
      <c r="O662" s="252">
        <v>0</v>
      </c>
      <c r="P662" s="252">
        <v>6.9967800000000002</v>
      </c>
      <c r="Q662" s="252">
        <v>0</v>
      </c>
      <c r="R662" s="252">
        <v>0</v>
      </c>
      <c r="S662" s="252">
        <v>0</v>
      </c>
      <c r="T662" s="252">
        <v>0</v>
      </c>
      <c r="U662" s="252">
        <v>1.7103600000000001</v>
      </c>
      <c r="V662" s="252">
        <v>0.30292999999999998</v>
      </c>
      <c r="W662" s="252">
        <v>0.57413999999999998</v>
      </c>
      <c r="X662" s="252">
        <v>0</v>
      </c>
      <c r="Y662" s="252">
        <v>0</v>
      </c>
      <c r="Z662" s="252">
        <v>9.6013800000000007</v>
      </c>
      <c r="AA662" s="252">
        <v>1.82477</v>
      </c>
      <c r="AB662" s="252">
        <v>14.393269999999999</v>
      </c>
      <c r="AC662" s="252">
        <v>0</v>
      </c>
      <c r="AD662" s="252">
        <v>1</v>
      </c>
      <c r="AE662" s="252" t="s">
        <v>20</v>
      </c>
      <c r="AF662" s="252" t="s">
        <v>718</v>
      </c>
      <c r="AG662" s="252">
        <f t="shared" si="51"/>
        <v>0</v>
      </c>
      <c r="AH662" s="252">
        <f t="shared" si="52"/>
        <v>6.6469410000000009</v>
      </c>
      <c r="AI662" s="252">
        <f t="shared" si="53"/>
        <v>13.673606499999998</v>
      </c>
      <c r="AJ662" s="252">
        <f t="shared" si="54"/>
        <v>20.3205475</v>
      </c>
    </row>
    <row r="663" spans="1:36" x14ac:dyDescent="0.2">
      <c r="A663" s="253" t="str">
        <f t="shared" si="50"/>
        <v>32SNMLBMTSF50</v>
      </c>
      <c r="B663" s="252" t="s">
        <v>19</v>
      </c>
      <c r="C663" s="252" t="s">
        <v>20</v>
      </c>
      <c r="D663" s="252" t="s">
        <v>205</v>
      </c>
      <c r="E663" s="252" t="s">
        <v>724</v>
      </c>
      <c r="F663" s="252" t="s">
        <v>242</v>
      </c>
      <c r="G663" s="252">
        <v>50</v>
      </c>
      <c r="H663" s="252" t="s">
        <v>928</v>
      </c>
      <c r="I663" s="252" t="s">
        <v>2592</v>
      </c>
      <c r="J663" s="252" t="s">
        <v>928</v>
      </c>
      <c r="K663" s="252" t="s">
        <v>3236</v>
      </c>
      <c r="L663" s="252">
        <v>20.320550000000001</v>
      </c>
      <c r="M663" s="252">
        <v>100</v>
      </c>
      <c r="N663" s="252">
        <v>0</v>
      </c>
      <c r="O663" s="252">
        <v>0</v>
      </c>
      <c r="P663" s="252">
        <v>0</v>
      </c>
      <c r="Q663" s="252">
        <v>0</v>
      </c>
      <c r="R663" s="252">
        <v>0</v>
      </c>
      <c r="S663" s="252">
        <v>0</v>
      </c>
      <c r="T663" s="252">
        <v>0.74182000000000003</v>
      </c>
      <c r="U663" s="252">
        <v>0</v>
      </c>
      <c r="V663" s="252">
        <v>2.14615</v>
      </c>
      <c r="W663" s="252">
        <v>3.7589700000000001</v>
      </c>
      <c r="X663" s="252">
        <v>0</v>
      </c>
      <c r="Y663" s="252">
        <v>0</v>
      </c>
      <c r="Z663" s="252">
        <v>9.8011400000000002</v>
      </c>
      <c r="AA663" s="252">
        <v>3.8724699999999999</v>
      </c>
      <c r="AB663" s="252">
        <v>0</v>
      </c>
      <c r="AC663" s="252">
        <v>0</v>
      </c>
      <c r="AD663" s="252">
        <v>1</v>
      </c>
      <c r="AE663" s="252" t="s">
        <v>20</v>
      </c>
      <c r="AF663" s="252" t="s">
        <v>718</v>
      </c>
      <c r="AG663" s="252">
        <f t="shared" si="51"/>
        <v>0</v>
      </c>
      <c r="AH663" s="252">
        <f t="shared" si="52"/>
        <v>0</v>
      </c>
      <c r="AI663" s="252">
        <f t="shared" si="53"/>
        <v>0</v>
      </c>
      <c r="AJ663" s="252">
        <f t="shared" si="54"/>
        <v>0</v>
      </c>
    </row>
    <row r="664" spans="1:36" x14ac:dyDescent="0.2">
      <c r="A664" s="253" t="str">
        <f t="shared" si="50"/>
        <v>3SNMLBMTSF75</v>
      </c>
      <c r="B664" s="252" t="s">
        <v>19</v>
      </c>
      <c r="C664" s="252" t="s">
        <v>20</v>
      </c>
      <c r="D664" s="252" t="s">
        <v>205</v>
      </c>
      <c r="E664" s="252" t="s">
        <v>724</v>
      </c>
      <c r="F664" s="252" t="s">
        <v>242</v>
      </c>
      <c r="G664" s="252">
        <v>75</v>
      </c>
      <c r="H664" s="252" t="s">
        <v>928</v>
      </c>
      <c r="I664" s="252" t="s">
        <v>2465</v>
      </c>
      <c r="J664" s="252" t="s">
        <v>928</v>
      </c>
      <c r="K664" s="252" t="s">
        <v>3236</v>
      </c>
      <c r="L664" s="252">
        <v>100.16121</v>
      </c>
      <c r="M664" s="252">
        <v>86</v>
      </c>
      <c r="N664" s="252">
        <v>0</v>
      </c>
      <c r="O664" s="252">
        <v>0</v>
      </c>
      <c r="P664" s="252">
        <v>19.255600000000001</v>
      </c>
      <c r="Q664" s="252">
        <v>0</v>
      </c>
      <c r="R664" s="252">
        <v>0</v>
      </c>
      <c r="S664" s="252">
        <v>0</v>
      </c>
      <c r="T664" s="252">
        <v>0</v>
      </c>
      <c r="U664" s="252">
        <v>6.2910000000000004</v>
      </c>
      <c r="V664" s="252">
        <v>0.30292999999999998</v>
      </c>
      <c r="W664" s="252">
        <v>1.7364200000000001</v>
      </c>
      <c r="X664" s="252">
        <v>0</v>
      </c>
      <c r="Y664" s="252">
        <v>0</v>
      </c>
      <c r="Z664" s="252">
        <v>28.742899999999999</v>
      </c>
      <c r="AA664" s="252">
        <v>5.6461899999999998</v>
      </c>
      <c r="AB664" s="252">
        <v>38.186169999999997</v>
      </c>
      <c r="AC664" s="252">
        <v>0</v>
      </c>
      <c r="AD664" s="252">
        <v>1</v>
      </c>
      <c r="AE664" s="252" t="s">
        <v>20</v>
      </c>
      <c r="AF664" s="252" t="s">
        <v>718</v>
      </c>
      <c r="AG664" s="252">
        <f t="shared" si="51"/>
        <v>0</v>
      </c>
      <c r="AH664" s="252">
        <f t="shared" si="52"/>
        <v>16.559816000000001</v>
      </c>
      <c r="AI664" s="252">
        <f t="shared" si="53"/>
        <v>32.840106199999994</v>
      </c>
      <c r="AJ664" s="252">
        <f t="shared" si="54"/>
        <v>49.399922199999992</v>
      </c>
    </row>
    <row r="665" spans="1:36" x14ac:dyDescent="0.2">
      <c r="A665" s="253" t="str">
        <f t="shared" si="50"/>
        <v>32SNMLBMTSF75</v>
      </c>
      <c r="B665" s="252" t="s">
        <v>19</v>
      </c>
      <c r="C665" s="252" t="s">
        <v>20</v>
      </c>
      <c r="D665" s="252" t="s">
        <v>205</v>
      </c>
      <c r="E665" s="252" t="s">
        <v>724</v>
      </c>
      <c r="F665" s="252" t="s">
        <v>242</v>
      </c>
      <c r="G665" s="252">
        <v>75</v>
      </c>
      <c r="H665" s="252" t="s">
        <v>928</v>
      </c>
      <c r="I665" s="252" t="s">
        <v>2592</v>
      </c>
      <c r="J665" s="252" t="s">
        <v>928</v>
      </c>
      <c r="K665" s="252" t="s">
        <v>3236</v>
      </c>
      <c r="L665" s="252">
        <v>49.399920000000002</v>
      </c>
      <c r="M665" s="252">
        <v>100</v>
      </c>
      <c r="N665" s="252">
        <v>0</v>
      </c>
      <c r="O665" s="252">
        <v>0</v>
      </c>
      <c r="P665" s="252">
        <v>0</v>
      </c>
      <c r="Q665" s="252">
        <v>0</v>
      </c>
      <c r="R665" s="252">
        <v>0</v>
      </c>
      <c r="S665" s="252">
        <v>0</v>
      </c>
      <c r="T665" s="252">
        <v>1.5713299999999999</v>
      </c>
      <c r="U665" s="252">
        <v>0</v>
      </c>
      <c r="V665" s="252">
        <v>6.0644400000000003</v>
      </c>
      <c r="W665" s="252">
        <v>8.9240399999999998</v>
      </c>
      <c r="X665" s="252">
        <v>0</v>
      </c>
      <c r="Y665" s="252">
        <v>0</v>
      </c>
      <c r="Z665" s="252">
        <v>23.541509999999999</v>
      </c>
      <c r="AA665" s="252">
        <v>9.2986000000000004</v>
      </c>
      <c r="AB665" s="252">
        <v>0</v>
      </c>
      <c r="AC665" s="252">
        <v>0</v>
      </c>
      <c r="AD665" s="252">
        <v>1</v>
      </c>
      <c r="AE665" s="252" t="s">
        <v>20</v>
      </c>
      <c r="AF665" s="252" t="s">
        <v>718</v>
      </c>
      <c r="AG665" s="252">
        <f t="shared" si="51"/>
        <v>0</v>
      </c>
      <c r="AH665" s="252">
        <f t="shared" si="52"/>
        <v>0</v>
      </c>
      <c r="AI665" s="252">
        <f t="shared" si="53"/>
        <v>0</v>
      </c>
      <c r="AJ665" s="252">
        <f t="shared" si="54"/>
        <v>0</v>
      </c>
    </row>
    <row r="666" spans="1:36" x14ac:dyDescent="0.2">
      <c r="A666" s="253" t="str">
        <f t="shared" si="50"/>
        <v>7CSNMOPMS3315</v>
      </c>
      <c r="B666" s="252" t="s">
        <v>19</v>
      </c>
      <c r="C666" s="252" t="s">
        <v>20</v>
      </c>
      <c r="D666" s="252" t="s">
        <v>2600</v>
      </c>
      <c r="E666" s="252" t="s">
        <v>2601</v>
      </c>
      <c r="F666" s="252" t="s">
        <v>2602</v>
      </c>
      <c r="G666" s="252">
        <v>15</v>
      </c>
      <c r="H666" s="252" t="s">
        <v>928</v>
      </c>
      <c r="I666" s="252" t="s">
        <v>2603</v>
      </c>
      <c r="J666" s="252" t="s">
        <v>928</v>
      </c>
      <c r="K666" s="252" t="s">
        <v>3236</v>
      </c>
      <c r="L666" s="252">
        <v>7795</v>
      </c>
      <c r="M666" s="252">
        <v>100</v>
      </c>
      <c r="N666" s="252">
        <v>0</v>
      </c>
      <c r="O666" s="252">
        <v>7795</v>
      </c>
      <c r="P666" s="252">
        <v>0</v>
      </c>
      <c r="Q666" s="252">
        <v>0</v>
      </c>
      <c r="R666" s="252">
        <v>0</v>
      </c>
      <c r="S666" s="252">
        <v>0</v>
      </c>
      <c r="T666" s="252">
        <v>0</v>
      </c>
      <c r="U666" s="252">
        <v>0</v>
      </c>
      <c r="V666" s="252">
        <v>0</v>
      </c>
      <c r="W666" s="252">
        <v>0</v>
      </c>
      <c r="X666" s="252">
        <v>0</v>
      </c>
      <c r="Y666" s="252">
        <v>0</v>
      </c>
      <c r="Z666" s="252">
        <v>0</v>
      </c>
      <c r="AA666" s="252">
        <v>0</v>
      </c>
      <c r="AB666" s="252">
        <v>0</v>
      </c>
      <c r="AC666" s="252">
        <v>0</v>
      </c>
      <c r="AD666" s="252">
        <v>1</v>
      </c>
      <c r="AE666" s="252" t="s">
        <v>20</v>
      </c>
      <c r="AF666" s="252" t="s">
        <v>718</v>
      </c>
      <c r="AG666" s="252">
        <f t="shared" si="51"/>
        <v>7795</v>
      </c>
      <c r="AH666" s="252">
        <f t="shared" si="52"/>
        <v>0</v>
      </c>
      <c r="AI666" s="252">
        <f t="shared" si="53"/>
        <v>0</v>
      </c>
      <c r="AJ666" s="252">
        <f t="shared" si="54"/>
        <v>7795</v>
      </c>
    </row>
    <row r="667" spans="1:36" x14ac:dyDescent="0.2">
      <c r="A667" s="253" t="str">
        <f t="shared" si="50"/>
        <v>SNMOPMS3315</v>
      </c>
      <c r="B667" s="252" t="s">
        <v>19</v>
      </c>
      <c r="C667" s="252" t="s">
        <v>20</v>
      </c>
      <c r="D667" s="252" t="s">
        <v>2600</v>
      </c>
      <c r="E667" s="252" t="s">
        <v>2601</v>
      </c>
      <c r="F667" s="252" t="s">
        <v>2602</v>
      </c>
      <c r="G667" s="252">
        <v>15</v>
      </c>
      <c r="H667" s="252" t="s">
        <v>928</v>
      </c>
      <c r="I667" s="252" t="s">
        <v>928</v>
      </c>
      <c r="J667" s="252" t="s">
        <v>928</v>
      </c>
      <c r="K667" s="252" t="s">
        <v>3236</v>
      </c>
      <c r="L667" s="252">
        <v>7795.0000300000002</v>
      </c>
      <c r="M667" s="252">
        <v>100</v>
      </c>
      <c r="N667" s="252">
        <v>0</v>
      </c>
      <c r="O667" s="252">
        <v>7795.0000300000002</v>
      </c>
      <c r="P667" s="252">
        <v>0</v>
      </c>
      <c r="Q667" s="252">
        <v>0</v>
      </c>
      <c r="R667" s="252">
        <v>0</v>
      </c>
      <c r="S667" s="252">
        <v>0</v>
      </c>
      <c r="T667" s="252">
        <v>0</v>
      </c>
      <c r="U667" s="252">
        <v>0</v>
      </c>
      <c r="V667" s="252">
        <v>0</v>
      </c>
      <c r="W667" s="252">
        <v>0</v>
      </c>
      <c r="X667" s="252">
        <v>0</v>
      </c>
      <c r="Y667" s="252">
        <v>0</v>
      </c>
      <c r="Z667" s="252">
        <v>0</v>
      </c>
      <c r="AA667" s="252">
        <v>0</v>
      </c>
      <c r="AB667" s="252">
        <v>0</v>
      </c>
      <c r="AC667" s="252">
        <v>0</v>
      </c>
      <c r="AD667" s="252">
        <v>1</v>
      </c>
      <c r="AE667" s="252" t="s">
        <v>20</v>
      </c>
      <c r="AF667" s="252" t="s">
        <v>718</v>
      </c>
      <c r="AG667" s="252">
        <f t="shared" si="51"/>
        <v>7795.0000300000002</v>
      </c>
      <c r="AH667" s="252">
        <f t="shared" si="52"/>
        <v>0</v>
      </c>
      <c r="AI667" s="252">
        <f t="shared" si="53"/>
        <v>0</v>
      </c>
      <c r="AJ667" s="252">
        <f t="shared" si="54"/>
        <v>7795.0000300000002</v>
      </c>
    </row>
    <row r="668" spans="1:36" x14ac:dyDescent="0.2">
      <c r="A668" s="253" t="str">
        <f t="shared" si="50"/>
        <v>8ASNMPET101812</v>
      </c>
      <c r="B668" s="252" t="s">
        <v>19</v>
      </c>
      <c r="C668" s="252" t="s">
        <v>20</v>
      </c>
      <c r="D668" s="252" t="s">
        <v>2604</v>
      </c>
      <c r="E668" s="252" t="s">
        <v>2605</v>
      </c>
      <c r="F668" s="252" t="s">
        <v>2606</v>
      </c>
      <c r="G668" s="252">
        <v>12</v>
      </c>
      <c r="H668" s="252" t="s">
        <v>928</v>
      </c>
      <c r="I668" s="252" t="s">
        <v>2607</v>
      </c>
      <c r="J668" s="252" t="s">
        <v>928</v>
      </c>
      <c r="K668" s="252" t="s">
        <v>3236</v>
      </c>
      <c r="L668" s="252">
        <v>5084.58</v>
      </c>
      <c r="M668" s="252">
        <v>100</v>
      </c>
      <c r="N668" s="252">
        <v>0</v>
      </c>
      <c r="O668" s="252">
        <v>4877.88</v>
      </c>
      <c r="P668" s="252">
        <v>0</v>
      </c>
      <c r="Q668" s="252">
        <v>206.7</v>
      </c>
      <c r="R668" s="252">
        <v>0</v>
      </c>
      <c r="S668" s="252">
        <v>0</v>
      </c>
      <c r="T668" s="252">
        <v>0</v>
      </c>
      <c r="U668" s="252">
        <v>0</v>
      </c>
      <c r="V668" s="252">
        <v>0</v>
      </c>
      <c r="W668" s="252">
        <v>0</v>
      </c>
      <c r="X668" s="252">
        <v>0</v>
      </c>
      <c r="Y668" s="252">
        <v>0</v>
      </c>
      <c r="Z668" s="252">
        <v>0</v>
      </c>
      <c r="AA668" s="252">
        <v>0</v>
      </c>
      <c r="AB668" s="252">
        <v>0</v>
      </c>
      <c r="AC668" s="252">
        <v>0</v>
      </c>
      <c r="AD668" s="252">
        <v>1</v>
      </c>
      <c r="AE668" s="252" t="s">
        <v>20</v>
      </c>
      <c r="AF668" s="252" t="s">
        <v>718</v>
      </c>
      <c r="AG668" s="252">
        <f t="shared" si="51"/>
        <v>4877.88</v>
      </c>
      <c r="AH668" s="252">
        <f t="shared" si="52"/>
        <v>0</v>
      </c>
      <c r="AI668" s="252">
        <f t="shared" si="53"/>
        <v>0</v>
      </c>
      <c r="AJ668" s="252">
        <f t="shared" si="54"/>
        <v>4877.88</v>
      </c>
    </row>
    <row r="669" spans="1:36" x14ac:dyDescent="0.2">
      <c r="A669" s="253" t="str">
        <f t="shared" si="50"/>
        <v>SNMPET101812</v>
      </c>
      <c r="B669" s="252" t="s">
        <v>19</v>
      </c>
      <c r="C669" s="252" t="s">
        <v>20</v>
      </c>
      <c r="D669" s="252" t="s">
        <v>2604</v>
      </c>
      <c r="E669" s="252" t="s">
        <v>2605</v>
      </c>
      <c r="F669" s="252" t="s">
        <v>2606</v>
      </c>
      <c r="G669" s="252">
        <v>12</v>
      </c>
      <c r="H669" s="252" t="s">
        <v>928</v>
      </c>
      <c r="I669" s="252" t="s">
        <v>928</v>
      </c>
      <c r="J669" s="252" t="s">
        <v>928</v>
      </c>
      <c r="K669" s="252" t="s">
        <v>3236</v>
      </c>
      <c r="L669" s="252">
        <v>5084.58</v>
      </c>
      <c r="M669" s="252">
        <v>100</v>
      </c>
      <c r="N669" s="252">
        <v>0</v>
      </c>
      <c r="O669" s="252">
        <v>4877.88</v>
      </c>
      <c r="P669" s="252">
        <v>0</v>
      </c>
      <c r="Q669" s="252">
        <v>206.7</v>
      </c>
      <c r="R669" s="252">
        <v>0</v>
      </c>
      <c r="S669" s="252">
        <v>0</v>
      </c>
      <c r="T669" s="252">
        <v>0</v>
      </c>
      <c r="U669" s="252">
        <v>0</v>
      </c>
      <c r="V669" s="252">
        <v>0</v>
      </c>
      <c r="W669" s="252">
        <v>0</v>
      </c>
      <c r="X669" s="252">
        <v>0</v>
      </c>
      <c r="Y669" s="252">
        <v>0</v>
      </c>
      <c r="Z669" s="252">
        <v>0</v>
      </c>
      <c r="AA669" s="252">
        <v>0</v>
      </c>
      <c r="AB669" s="252">
        <v>0</v>
      </c>
      <c r="AC669" s="252">
        <v>0</v>
      </c>
      <c r="AD669" s="252">
        <v>1</v>
      </c>
      <c r="AE669" s="252" t="s">
        <v>20</v>
      </c>
      <c r="AF669" s="252" t="s">
        <v>718</v>
      </c>
      <c r="AG669" s="252">
        <f t="shared" si="51"/>
        <v>4877.88</v>
      </c>
      <c r="AH669" s="252">
        <f t="shared" si="52"/>
        <v>0</v>
      </c>
      <c r="AI669" s="252">
        <f t="shared" si="53"/>
        <v>0</v>
      </c>
      <c r="AJ669" s="252">
        <f t="shared" si="54"/>
        <v>4877.88</v>
      </c>
    </row>
    <row r="670" spans="1:36" x14ac:dyDescent="0.2">
      <c r="A670" s="253" t="str">
        <f t="shared" si="50"/>
        <v>3A5SNMPET120012</v>
      </c>
      <c r="B670" s="252" t="s">
        <v>19</v>
      </c>
      <c r="C670" s="252" t="s">
        <v>20</v>
      </c>
      <c r="D670" s="252" t="s">
        <v>2604</v>
      </c>
      <c r="E670" s="252" t="s">
        <v>2605</v>
      </c>
      <c r="F670" s="252" t="s">
        <v>2608</v>
      </c>
      <c r="G670" s="252">
        <v>12</v>
      </c>
      <c r="H670" s="252" t="s">
        <v>928</v>
      </c>
      <c r="I670" s="252" t="s">
        <v>2450</v>
      </c>
      <c r="J670" s="252" t="s">
        <v>928</v>
      </c>
      <c r="K670" s="252" t="s">
        <v>3236</v>
      </c>
      <c r="L670" s="252">
        <v>8819.8223699999999</v>
      </c>
      <c r="M670" s="252">
        <v>84.95</v>
      </c>
      <c r="N670" s="252">
        <v>0</v>
      </c>
      <c r="O670" s="252">
        <v>6886.4037699999999</v>
      </c>
      <c r="P670" s="252">
        <v>0</v>
      </c>
      <c r="Q670" s="252">
        <v>0</v>
      </c>
      <c r="R670" s="252">
        <v>0</v>
      </c>
      <c r="S670" s="252">
        <v>0</v>
      </c>
      <c r="T670" s="252">
        <v>90.983339999999998</v>
      </c>
      <c r="U670" s="252">
        <v>243.46991</v>
      </c>
      <c r="V670" s="252">
        <v>225.02735999999999</v>
      </c>
      <c r="W670" s="252">
        <v>221.43925999999999</v>
      </c>
      <c r="X670" s="252">
        <v>0</v>
      </c>
      <c r="Y670" s="252">
        <v>0</v>
      </c>
      <c r="Z670" s="252">
        <v>896.24199999999996</v>
      </c>
      <c r="AA670" s="252">
        <v>256.25673</v>
      </c>
      <c r="AB670" s="252">
        <v>0</v>
      </c>
      <c r="AC670" s="252">
        <v>0</v>
      </c>
      <c r="AD670" s="252">
        <v>1</v>
      </c>
      <c r="AE670" s="252" t="s">
        <v>20</v>
      </c>
      <c r="AF670" s="252" t="s">
        <v>718</v>
      </c>
      <c r="AG670" s="252">
        <f t="shared" si="51"/>
        <v>5850.0000026150001</v>
      </c>
      <c r="AH670" s="252">
        <f t="shared" si="52"/>
        <v>0</v>
      </c>
      <c r="AI670" s="252">
        <f t="shared" si="53"/>
        <v>0</v>
      </c>
      <c r="AJ670" s="252">
        <f t="shared" si="54"/>
        <v>5850.0000026150001</v>
      </c>
    </row>
    <row r="671" spans="1:36" x14ac:dyDescent="0.2">
      <c r="A671" s="253" t="str">
        <f t="shared" si="50"/>
        <v>SNMPET120012</v>
      </c>
      <c r="B671" s="252" t="s">
        <v>19</v>
      </c>
      <c r="C671" s="252" t="s">
        <v>20</v>
      </c>
      <c r="D671" s="252" t="s">
        <v>2604</v>
      </c>
      <c r="E671" s="252" t="s">
        <v>2605</v>
      </c>
      <c r="F671" s="252" t="s">
        <v>2608</v>
      </c>
      <c r="G671" s="252">
        <v>12</v>
      </c>
      <c r="H671" s="252" t="s">
        <v>928</v>
      </c>
      <c r="I671" s="252" t="s">
        <v>928</v>
      </c>
      <c r="J671" s="252" t="s">
        <v>928</v>
      </c>
      <c r="K671" s="252" t="s">
        <v>3236</v>
      </c>
      <c r="L671" s="252">
        <v>8819.8290400000005</v>
      </c>
      <c r="M671" s="252">
        <v>84.95</v>
      </c>
      <c r="N671" s="252">
        <v>0</v>
      </c>
      <c r="O671" s="252">
        <v>6886.4061300000003</v>
      </c>
      <c r="P671" s="252">
        <v>0</v>
      </c>
      <c r="Q671" s="252">
        <v>0</v>
      </c>
      <c r="R671" s="252">
        <v>0</v>
      </c>
      <c r="S671" s="252">
        <v>0</v>
      </c>
      <c r="T671" s="252">
        <v>90.983750000000001</v>
      </c>
      <c r="U671" s="252">
        <v>243.47121000000001</v>
      </c>
      <c r="V671" s="252">
        <v>225.02635000000001</v>
      </c>
      <c r="W671" s="252">
        <v>221.44139999999999</v>
      </c>
      <c r="X671" s="252">
        <v>0</v>
      </c>
      <c r="Y671" s="252">
        <v>0</v>
      </c>
      <c r="Z671" s="252">
        <v>896.24130000000002</v>
      </c>
      <c r="AA671" s="252">
        <v>256.25889999999998</v>
      </c>
      <c r="AB671" s="252">
        <v>0</v>
      </c>
      <c r="AC671" s="252">
        <v>0</v>
      </c>
      <c r="AD671" s="252">
        <v>1</v>
      </c>
      <c r="AE671" s="252" t="s">
        <v>20</v>
      </c>
      <c r="AF671" s="252" t="s">
        <v>718</v>
      </c>
      <c r="AG671" s="252">
        <f t="shared" si="51"/>
        <v>5850.0020074350005</v>
      </c>
      <c r="AH671" s="252">
        <f t="shared" si="52"/>
        <v>0</v>
      </c>
      <c r="AI671" s="252">
        <f t="shared" si="53"/>
        <v>0</v>
      </c>
      <c r="AJ671" s="252">
        <f t="shared" si="54"/>
        <v>5850.0020074350005</v>
      </c>
    </row>
    <row r="672" spans="1:36" x14ac:dyDescent="0.2">
      <c r="A672" s="253" t="str">
        <f t="shared" si="50"/>
        <v>3A5SNMPET130012</v>
      </c>
      <c r="B672" s="252" t="s">
        <v>19</v>
      </c>
      <c r="C672" s="252" t="s">
        <v>20</v>
      </c>
      <c r="D672" s="252" t="s">
        <v>2604</v>
      </c>
      <c r="E672" s="252" t="s">
        <v>2605</v>
      </c>
      <c r="F672" s="252" t="s">
        <v>2609</v>
      </c>
      <c r="G672" s="252">
        <v>12</v>
      </c>
      <c r="H672" s="252" t="s">
        <v>928</v>
      </c>
      <c r="I672" s="252" t="s">
        <v>2450</v>
      </c>
      <c r="J672" s="252" t="s">
        <v>928</v>
      </c>
      <c r="K672" s="252" t="s">
        <v>3236</v>
      </c>
      <c r="L672" s="252">
        <v>6039.9985200000001</v>
      </c>
      <c r="M672" s="252">
        <v>93.5</v>
      </c>
      <c r="N672" s="252">
        <v>0</v>
      </c>
      <c r="O672" s="252">
        <v>4064.17112</v>
      </c>
      <c r="P672" s="252">
        <v>0</v>
      </c>
      <c r="Q672" s="252">
        <v>0</v>
      </c>
      <c r="R672" s="252">
        <v>0</v>
      </c>
      <c r="S672" s="252">
        <v>0</v>
      </c>
      <c r="T672" s="252">
        <v>90.983339999999998</v>
      </c>
      <c r="U672" s="252">
        <v>231.09008</v>
      </c>
      <c r="V672" s="252">
        <v>224.02724000000001</v>
      </c>
      <c r="W672" s="252">
        <v>220.79442</v>
      </c>
      <c r="X672" s="252">
        <v>0</v>
      </c>
      <c r="Y672" s="252">
        <v>0</v>
      </c>
      <c r="Z672" s="252">
        <v>952.67559000000006</v>
      </c>
      <c r="AA672" s="252">
        <v>256.25673</v>
      </c>
      <c r="AB672" s="252">
        <v>0</v>
      </c>
      <c r="AC672" s="252">
        <v>0</v>
      </c>
      <c r="AD672" s="252">
        <v>1</v>
      </c>
      <c r="AE672" s="252" t="s">
        <v>20</v>
      </c>
      <c r="AF672" s="252" t="s">
        <v>718</v>
      </c>
      <c r="AG672" s="252">
        <f t="shared" si="51"/>
        <v>3799.9999972000001</v>
      </c>
      <c r="AH672" s="252">
        <f t="shared" si="52"/>
        <v>0</v>
      </c>
      <c r="AI672" s="252">
        <f t="shared" si="53"/>
        <v>0</v>
      </c>
      <c r="AJ672" s="252">
        <f t="shared" si="54"/>
        <v>3799.9999972000001</v>
      </c>
    </row>
    <row r="673" spans="1:36" x14ac:dyDescent="0.2">
      <c r="A673" s="253" t="str">
        <f t="shared" si="50"/>
        <v>SNMPET130012</v>
      </c>
      <c r="B673" s="252" t="s">
        <v>19</v>
      </c>
      <c r="C673" s="252" t="s">
        <v>20</v>
      </c>
      <c r="D673" s="252" t="s">
        <v>2604</v>
      </c>
      <c r="E673" s="252" t="s">
        <v>2605</v>
      </c>
      <c r="F673" s="252" t="s">
        <v>2609</v>
      </c>
      <c r="G673" s="252">
        <v>12</v>
      </c>
      <c r="H673" s="252" t="s">
        <v>928</v>
      </c>
      <c r="I673" s="252" t="s">
        <v>928</v>
      </c>
      <c r="J673" s="252" t="s">
        <v>928</v>
      </c>
      <c r="K673" s="252" t="s">
        <v>3236</v>
      </c>
      <c r="L673" s="252">
        <v>6040.0005700000002</v>
      </c>
      <c r="M673" s="252">
        <v>93.5</v>
      </c>
      <c r="N673" s="252">
        <v>0</v>
      </c>
      <c r="O673" s="252">
        <v>4064.1734099999999</v>
      </c>
      <c r="P673" s="252">
        <v>0</v>
      </c>
      <c r="Q673" s="252">
        <v>0</v>
      </c>
      <c r="R673" s="252">
        <v>0</v>
      </c>
      <c r="S673" s="252">
        <v>0</v>
      </c>
      <c r="T673" s="252">
        <v>90.987499999999997</v>
      </c>
      <c r="U673" s="252">
        <v>231.08704</v>
      </c>
      <c r="V673" s="252">
        <v>224.02861999999999</v>
      </c>
      <c r="W673" s="252">
        <v>220.79633999999999</v>
      </c>
      <c r="X673" s="252">
        <v>0</v>
      </c>
      <c r="Y673" s="252">
        <v>0</v>
      </c>
      <c r="Z673" s="252">
        <v>952.67519000000004</v>
      </c>
      <c r="AA673" s="252">
        <v>256.25247000000002</v>
      </c>
      <c r="AB673" s="252">
        <v>0</v>
      </c>
      <c r="AC673" s="252">
        <v>0</v>
      </c>
      <c r="AD673" s="252">
        <v>1</v>
      </c>
      <c r="AE673" s="252" t="s">
        <v>20</v>
      </c>
      <c r="AF673" s="252" t="s">
        <v>718</v>
      </c>
      <c r="AG673" s="252">
        <f t="shared" si="51"/>
        <v>3800.0021383500002</v>
      </c>
      <c r="AH673" s="252">
        <f t="shared" si="52"/>
        <v>0</v>
      </c>
      <c r="AI673" s="252">
        <f t="shared" si="53"/>
        <v>0</v>
      </c>
      <c r="AJ673" s="252">
        <f t="shared" si="54"/>
        <v>3800.0021383500002</v>
      </c>
    </row>
    <row r="674" spans="1:36" x14ac:dyDescent="0.2">
      <c r="A674" s="253" t="str">
        <f t="shared" si="50"/>
        <v>3A5SNMPET131012</v>
      </c>
      <c r="B674" s="252" t="s">
        <v>19</v>
      </c>
      <c r="C674" s="252" t="s">
        <v>20</v>
      </c>
      <c r="D674" s="252" t="s">
        <v>2604</v>
      </c>
      <c r="E674" s="252" t="s">
        <v>2605</v>
      </c>
      <c r="F674" s="252" t="s">
        <v>2610</v>
      </c>
      <c r="G674" s="252">
        <v>12</v>
      </c>
      <c r="H674" s="252" t="s">
        <v>928</v>
      </c>
      <c r="I674" s="252" t="s">
        <v>2450</v>
      </c>
      <c r="J674" s="252" t="s">
        <v>928</v>
      </c>
      <c r="K674" s="252" t="s">
        <v>3236</v>
      </c>
      <c r="L674" s="252">
        <v>6027.5354299999999</v>
      </c>
      <c r="M674" s="252">
        <v>93.5</v>
      </c>
      <c r="N674" s="252">
        <v>0</v>
      </c>
      <c r="O674" s="252">
        <v>4037.43316</v>
      </c>
      <c r="P674" s="252">
        <v>0</v>
      </c>
      <c r="Q674" s="252">
        <v>0</v>
      </c>
      <c r="R674" s="252">
        <v>0</v>
      </c>
      <c r="S674" s="252">
        <v>0</v>
      </c>
      <c r="T674" s="252">
        <v>88.983710000000002</v>
      </c>
      <c r="U674" s="252">
        <v>237.27999</v>
      </c>
      <c r="V674" s="252">
        <v>219.02663000000001</v>
      </c>
      <c r="W674" s="252">
        <v>218.17451</v>
      </c>
      <c r="X674" s="252">
        <v>0</v>
      </c>
      <c r="Y674" s="252">
        <v>0</v>
      </c>
      <c r="Z674" s="252">
        <v>966.06661999999994</v>
      </c>
      <c r="AA674" s="252">
        <v>260.57080999999999</v>
      </c>
      <c r="AB674" s="252">
        <v>0</v>
      </c>
      <c r="AC674" s="252">
        <v>0</v>
      </c>
      <c r="AD674" s="252">
        <v>1</v>
      </c>
      <c r="AE674" s="252" t="s">
        <v>20</v>
      </c>
      <c r="AF674" s="252" t="s">
        <v>718</v>
      </c>
      <c r="AG674" s="252">
        <f t="shared" si="51"/>
        <v>3775.0000046</v>
      </c>
      <c r="AH674" s="252">
        <f t="shared" si="52"/>
        <v>0</v>
      </c>
      <c r="AI674" s="252">
        <f t="shared" si="53"/>
        <v>0</v>
      </c>
      <c r="AJ674" s="252">
        <f t="shared" si="54"/>
        <v>3775.0000046</v>
      </c>
    </row>
    <row r="675" spans="1:36" x14ac:dyDescent="0.2">
      <c r="A675" s="253" t="str">
        <f t="shared" si="50"/>
        <v>3C5SNMPET131012</v>
      </c>
      <c r="B675" s="252" t="s">
        <v>19</v>
      </c>
      <c r="C675" s="252" t="s">
        <v>20</v>
      </c>
      <c r="D675" s="252" t="s">
        <v>2604</v>
      </c>
      <c r="E675" s="252" t="s">
        <v>2605</v>
      </c>
      <c r="F675" s="252" t="s">
        <v>2610</v>
      </c>
      <c r="G675" s="252">
        <v>12</v>
      </c>
      <c r="H675" s="252" t="s">
        <v>928</v>
      </c>
      <c r="I675" s="252" t="s">
        <v>2455</v>
      </c>
      <c r="J675" s="252" t="s">
        <v>928</v>
      </c>
      <c r="K675" s="252" t="s">
        <v>3236</v>
      </c>
      <c r="L675" s="252">
        <v>5918.3284100000001</v>
      </c>
      <c r="M675" s="252">
        <v>93.5</v>
      </c>
      <c r="N675" s="252">
        <v>0</v>
      </c>
      <c r="O675" s="252">
        <v>4037.43316</v>
      </c>
      <c r="P675" s="252">
        <v>0</v>
      </c>
      <c r="Q675" s="252">
        <v>0</v>
      </c>
      <c r="R675" s="252">
        <v>0</v>
      </c>
      <c r="S675" s="252">
        <v>0</v>
      </c>
      <c r="T675" s="252">
        <v>88.983710000000002</v>
      </c>
      <c r="U675" s="252">
        <v>226.96347</v>
      </c>
      <c r="V675" s="252">
        <v>219.02663000000001</v>
      </c>
      <c r="W675" s="252">
        <v>214.67277000000001</v>
      </c>
      <c r="X675" s="252">
        <v>0</v>
      </c>
      <c r="Y675" s="252">
        <v>0</v>
      </c>
      <c r="Z675" s="252">
        <v>881.89448000000004</v>
      </c>
      <c r="AA675" s="252">
        <v>249.35418999999999</v>
      </c>
      <c r="AB675" s="252">
        <v>0</v>
      </c>
      <c r="AC675" s="252">
        <v>0</v>
      </c>
      <c r="AD675" s="252">
        <v>1</v>
      </c>
      <c r="AE675" s="252" t="s">
        <v>19</v>
      </c>
      <c r="AF675" s="252" t="s">
        <v>718</v>
      </c>
      <c r="AG675" s="252">
        <f t="shared" si="51"/>
        <v>3775.0000046</v>
      </c>
      <c r="AH675" s="252">
        <f t="shared" si="52"/>
        <v>0</v>
      </c>
      <c r="AI675" s="252">
        <f t="shared" si="53"/>
        <v>0</v>
      </c>
      <c r="AJ675" s="252">
        <f t="shared" si="54"/>
        <v>3775.0000046</v>
      </c>
    </row>
    <row r="676" spans="1:36" x14ac:dyDescent="0.2">
      <c r="A676" s="253" t="str">
        <f t="shared" si="50"/>
        <v>7ASNMPET131012</v>
      </c>
      <c r="B676" s="252" t="s">
        <v>19</v>
      </c>
      <c r="C676" s="252" t="s">
        <v>20</v>
      </c>
      <c r="D676" s="252" t="s">
        <v>2604</v>
      </c>
      <c r="E676" s="252" t="s">
        <v>2605</v>
      </c>
      <c r="F676" s="252" t="s">
        <v>2610</v>
      </c>
      <c r="G676" s="252">
        <v>12</v>
      </c>
      <c r="H676" s="252" t="s">
        <v>928</v>
      </c>
      <c r="I676" s="252" t="s">
        <v>2611</v>
      </c>
      <c r="J676" s="252" t="s">
        <v>928</v>
      </c>
      <c r="K676" s="252" t="s">
        <v>3236</v>
      </c>
      <c r="L676" s="252">
        <v>4877.88</v>
      </c>
      <c r="M676" s="252">
        <v>100</v>
      </c>
      <c r="N676" s="252">
        <v>0</v>
      </c>
      <c r="O676" s="252">
        <v>4877.88</v>
      </c>
      <c r="P676" s="252">
        <v>0</v>
      </c>
      <c r="Q676" s="252">
        <v>0</v>
      </c>
      <c r="R676" s="252">
        <v>0</v>
      </c>
      <c r="S676" s="252">
        <v>0</v>
      </c>
      <c r="T676" s="252">
        <v>0</v>
      </c>
      <c r="U676" s="252">
        <v>0</v>
      </c>
      <c r="V676" s="252">
        <v>0</v>
      </c>
      <c r="W676" s="252">
        <v>0</v>
      </c>
      <c r="X676" s="252">
        <v>0</v>
      </c>
      <c r="Y676" s="252">
        <v>0</v>
      </c>
      <c r="Z676" s="252">
        <v>0</v>
      </c>
      <c r="AA676" s="252">
        <v>0</v>
      </c>
      <c r="AB676" s="252">
        <v>0</v>
      </c>
      <c r="AC676" s="252">
        <v>0</v>
      </c>
      <c r="AD676" s="252">
        <v>1</v>
      </c>
      <c r="AE676" s="252" t="s">
        <v>19</v>
      </c>
      <c r="AF676" s="252" t="s">
        <v>718</v>
      </c>
      <c r="AG676" s="252">
        <f t="shared" si="51"/>
        <v>4877.88</v>
      </c>
      <c r="AH676" s="252">
        <f t="shared" si="52"/>
        <v>0</v>
      </c>
      <c r="AI676" s="252">
        <f t="shared" si="53"/>
        <v>0</v>
      </c>
      <c r="AJ676" s="252">
        <f t="shared" si="54"/>
        <v>4877.88</v>
      </c>
    </row>
    <row r="677" spans="1:36" x14ac:dyDescent="0.2">
      <c r="A677" s="253" t="str">
        <f t="shared" si="50"/>
        <v>SNMPET131012</v>
      </c>
      <c r="B677" s="252" t="s">
        <v>19</v>
      </c>
      <c r="C677" s="252" t="s">
        <v>20</v>
      </c>
      <c r="D677" s="252" t="s">
        <v>2604</v>
      </c>
      <c r="E677" s="252" t="s">
        <v>2605</v>
      </c>
      <c r="F677" s="252" t="s">
        <v>2610</v>
      </c>
      <c r="G677" s="252">
        <v>12</v>
      </c>
      <c r="H677" s="252" t="s">
        <v>928</v>
      </c>
      <c r="I677" s="252" t="s">
        <v>928</v>
      </c>
      <c r="J677" s="252" t="s">
        <v>928</v>
      </c>
      <c r="K677" s="252" t="s">
        <v>3236</v>
      </c>
      <c r="L677" s="252">
        <v>5059.6305400000001</v>
      </c>
      <c r="M677" s="252">
        <v>93.565659999999994</v>
      </c>
      <c r="N677" s="252">
        <v>0</v>
      </c>
      <c r="O677" s="252">
        <v>4740.1773899999998</v>
      </c>
      <c r="P677" s="252">
        <v>0</v>
      </c>
      <c r="Q677" s="252">
        <v>0</v>
      </c>
      <c r="R677" s="252">
        <v>0</v>
      </c>
      <c r="S677" s="252">
        <v>0</v>
      </c>
      <c r="T677" s="252">
        <v>14.579459999999999</v>
      </c>
      <c r="U677" s="252">
        <v>38.252330000000001</v>
      </c>
      <c r="V677" s="252">
        <v>35.886319999999998</v>
      </c>
      <c r="W677" s="252">
        <v>35.534460000000003</v>
      </c>
      <c r="X677" s="252">
        <v>0</v>
      </c>
      <c r="Y677" s="252">
        <v>0</v>
      </c>
      <c r="Z677" s="252">
        <v>153.18681000000001</v>
      </c>
      <c r="AA677" s="252">
        <v>42.013770000000001</v>
      </c>
      <c r="AB677" s="252">
        <v>0</v>
      </c>
      <c r="AC677" s="252">
        <v>0</v>
      </c>
      <c r="AD677" s="252">
        <v>1</v>
      </c>
      <c r="AE677" s="252" t="s">
        <v>19</v>
      </c>
      <c r="AF677" s="252" t="s">
        <v>718</v>
      </c>
      <c r="AG677" s="252">
        <f t="shared" si="51"/>
        <v>4435.178260124273</v>
      </c>
      <c r="AH677" s="252">
        <f t="shared" si="52"/>
        <v>0</v>
      </c>
      <c r="AI677" s="252">
        <f t="shared" si="53"/>
        <v>0</v>
      </c>
      <c r="AJ677" s="252">
        <f t="shared" si="54"/>
        <v>4435.178260124273</v>
      </c>
    </row>
    <row r="678" spans="1:36" x14ac:dyDescent="0.2">
      <c r="A678" s="253" t="str">
        <f t="shared" si="50"/>
        <v>3A5SNMPET1310F12</v>
      </c>
      <c r="B678" s="252" t="s">
        <v>19</v>
      </c>
      <c r="C678" s="252" t="s">
        <v>20</v>
      </c>
      <c r="D678" s="252" t="s">
        <v>2604</v>
      </c>
      <c r="E678" s="252" t="s">
        <v>2605</v>
      </c>
      <c r="F678" s="252" t="s">
        <v>2612</v>
      </c>
      <c r="G678" s="252">
        <v>12</v>
      </c>
      <c r="H678" s="252" t="s">
        <v>928</v>
      </c>
      <c r="I678" s="252" t="s">
        <v>2450</v>
      </c>
      <c r="J678" s="252" t="s">
        <v>928</v>
      </c>
      <c r="K678" s="252" t="s">
        <v>3236</v>
      </c>
      <c r="L678" s="252">
        <v>6027.5354299999999</v>
      </c>
      <c r="M678" s="252">
        <v>93.5</v>
      </c>
      <c r="N678" s="252">
        <v>0</v>
      </c>
      <c r="O678" s="252">
        <v>4037.43316</v>
      </c>
      <c r="P678" s="252">
        <v>0</v>
      </c>
      <c r="Q678" s="252">
        <v>0</v>
      </c>
      <c r="R678" s="252">
        <v>0</v>
      </c>
      <c r="S678" s="252">
        <v>0</v>
      </c>
      <c r="T678" s="252">
        <v>88.983710000000002</v>
      </c>
      <c r="U678" s="252">
        <v>237.27999</v>
      </c>
      <c r="V678" s="252">
        <v>219.02663000000001</v>
      </c>
      <c r="W678" s="252">
        <v>218.17451</v>
      </c>
      <c r="X678" s="252">
        <v>0</v>
      </c>
      <c r="Y678" s="252">
        <v>0</v>
      </c>
      <c r="Z678" s="252">
        <v>966.06661999999994</v>
      </c>
      <c r="AA678" s="252">
        <v>260.57080999999999</v>
      </c>
      <c r="AB678" s="252">
        <v>0</v>
      </c>
      <c r="AC678" s="252">
        <v>0</v>
      </c>
      <c r="AD678" s="252">
        <v>1</v>
      </c>
      <c r="AE678" s="252" t="s">
        <v>19</v>
      </c>
      <c r="AF678" s="252" t="s">
        <v>718</v>
      </c>
      <c r="AG678" s="252">
        <f t="shared" si="51"/>
        <v>3775.0000046</v>
      </c>
      <c r="AH678" s="252">
        <f t="shared" si="52"/>
        <v>0</v>
      </c>
      <c r="AI678" s="252">
        <f t="shared" si="53"/>
        <v>0</v>
      </c>
      <c r="AJ678" s="252">
        <f t="shared" si="54"/>
        <v>3775.0000046</v>
      </c>
    </row>
    <row r="679" spans="1:36" x14ac:dyDescent="0.2">
      <c r="A679" s="253" t="str">
        <f t="shared" si="50"/>
        <v>SNMPET1310F12</v>
      </c>
      <c r="B679" s="252" t="s">
        <v>19</v>
      </c>
      <c r="C679" s="252" t="s">
        <v>20</v>
      </c>
      <c r="D679" s="252" t="s">
        <v>2604</v>
      </c>
      <c r="E679" s="252" t="s">
        <v>2605</v>
      </c>
      <c r="F679" s="252" t="s">
        <v>2612</v>
      </c>
      <c r="G679" s="252">
        <v>12</v>
      </c>
      <c r="H679" s="252" t="s">
        <v>928</v>
      </c>
      <c r="I679" s="252" t="s">
        <v>928</v>
      </c>
      <c r="J679" s="252" t="s">
        <v>928</v>
      </c>
      <c r="K679" s="252" t="s">
        <v>3236</v>
      </c>
      <c r="L679" s="252">
        <v>6027.5353599999999</v>
      </c>
      <c r="M679" s="252">
        <v>93.5</v>
      </c>
      <c r="N679" s="252">
        <v>0</v>
      </c>
      <c r="O679" s="252">
        <v>4037.4332100000001</v>
      </c>
      <c r="P679" s="252">
        <v>0</v>
      </c>
      <c r="Q679" s="252">
        <v>0</v>
      </c>
      <c r="R679" s="252">
        <v>0</v>
      </c>
      <c r="S679" s="252">
        <v>0</v>
      </c>
      <c r="T679" s="252">
        <v>88.983819999999994</v>
      </c>
      <c r="U679" s="252">
        <v>237.27988999999999</v>
      </c>
      <c r="V679" s="252">
        <v>219.02669</v>
      </c>
      <c r="W679" s="252">
        <v>218.17430999999999</v>
      </c>
      <c r="X679" s="252">
        <v>0</v>
      </c>
      <c r="Y679" s="252">
        <v>0</v>
      </c>
      <c r="Z679" s="252">
        <v>966.06655999999998</v>
      </c>
      <c r="AA679" s="252">
        <v>260.57087999999999</v>
      </c>
      <c r="AB679" s="252">
        <v>0</v>
      </c>
      <c r="AC679" s="252">
        <v>0</v>
      </c>
      <c r="AD679" s="252">
        <v>1</v>
      </c>
      <c r="AE679" s="252" t="s">
        <v>19</v>
      </c>
      <c r="AF679" s="252" t="s">
        <v>718</v>
      </c>
      <c r="AG679" s="252">
        <f t="shared" si="51"/>
        <v>3775.0000513499999</v>
      </c>
      <c r="AH679" s="252">
        <f t="shared" si="52"/>
        <v>0</v>
      </c>
      <c r="AI679" s="252">
        <f t="shared" si="53"/>
        <v>0</v>
      </c>
      <c r="AJ679" s="252">
        <f t="shared" si="54"/>
        <v>3775.0000513499999</v>
      </c>
    </row>
    <row r="680" spans="1:36" x14ac:dyDescent="0.2">
      <c r="A680" s="253" t="str">
        <f t="shared" si="50"/>
        <v>3A5SNMPET1310M12</v>
      </c>
      <c r="B680" s="252" t="s">
        <v>19</v>
      </c>
      <c r="C680" s="252" t="s">
        <v>20</v>
      </c>
      <c r="D680" s="252" t="s">
        <v>2604</v>
      </c>
      <c r="E680" s="252" t="s">
        <v>2605</v>
      </c>
      <c r="F680" s="252" t="s">
        <v>2613</v>
      </c>
      <c r="G680" s="252">
        <v>12</v>
      </c>
      <c r="H680" s="252" t="s">
        <v>928</v>
      </c>
      <c r="I680" s="252" t="s">
        <v>2450</v>
      </c>
      <c r="J680" s="252" t="s">
        <v>928</v>
      </c>
      <c r="K680" s="252" t="s">
        <v>3236</v>
      </c>
      <c r="L680" s="252">
        <v>6027.5354299999999</v>
      </c>
      <c r="M680" s="252">
        <v>93.5</v>
      </c>
      <c r="N680" s="252">
        <v>0</v>
      </c>
      <c r="O680" s="252">
        <v>4037.43316</v>
      </c>
      <c r="P680" s="252">
        <v>0</v>
      </c>
      <c r="Q680" s="252">
        <v>0</v>
      </c>
      <c r="R680" s="252">
        <v>0</v>
      </c>
      <c r="S680" s="252">
        <v>0</v>
      </c>
      <c r="T680" s="252">
        <v>88.983710000000002</v>
      </c>
      <c r="U680" s="252">
        <v>237.27999</v>
      </c>
      <c r="V680" s="252">
        <v>219.02663000000001</v>
      </c>
      <c r="W680" s="252">
        <v>218.17451</v>
      </c>
      <c r="X680" s="252">
        <v>0</v>
      </c>
      <c r="Y680" s="252">
        <v>0</v>
      </c>
      <c r="Z680" s="252">
        <v>966.06661999999994</v>
      </c>
      <c r="AA680" s="252">
        <v>260.57080999999999</v>
      </c>
      <c r="AB680" s="252">
        <v>0</v>
      </c>
      <c r="AC680" s="252">
        <v>0</v>
      </c>
      <c r="AD680" s="252">
        <v>1</v>
      </c>
      <c r="AE680" s="252" t="s">
        <v>19</v>
      </c>
      <c r="AF680" s="252" t="s">
        <v>718</v>
      </c>
      <c r="AG680" s="252">
        <f t="shared" si="51"/>
        <v>3775.0000046</v>
      </c>
      <c r="AH680" s="252">
        <f t="shared" si="52"/>
        <v>0</v>
      </c>
      <c r="AI680" s="252">
        <f t="shared" si="53"/>
        <v>0</v>
      </c>
      <c r="AJ680" s="252">
        <f t="shared" si="54"/>
        <v>3775.0000046</v>
      </c>
    </row>
    <row r="681" spans="1:36" x14ac:dyDescent="0.2">
      <c r="A681" s="253" t="str">
        <f t="shared" si="50"/>
        <v>3C5SNMPET1310M12</v>
      </c>
      <c r="B681" s="252" t="s">
        <v>19</v>
      </c>
      <c r="C681" s="252" t="s">
        <v>20</v>
      </c>
      <c r="D681" s="252" t="s">
        <v>2604</v>
      </c>
      <c r="E681" s="252" t="s">
        <v>2605</v>
      </c>
      <c r="F681" s="252" t="s">
        <v>2613</v>
      </c>
      <c r="G681" s="252">
        <v>12</v>
      </c>
      <c r="H681" s="252" t="s">
        <v>928</v>
      </c>
      <c r="I681" s="252" t="s">
        <v>2455</v>
      </c>
      <c r="J681" s="252" t="s">
        <v>928</v>
      </c>
      <c r="K681" s="252" t="s">
        <v>3236</v>
      </c>
      <c r="L681" s="252">
        <v>5918.3284100000001</v>
      </c>
      <c r="M681" s="252">
        <v>93.5</v>
      </c>
      <c r="N681" s="252">
        <v>0</v>
      </c>
      <c r="O681" s="252">
        <v>4037.43316</v>
      </c>
      <c r="P681" s="252">
        <v>0</v>
      </c>
      <c r="Q681" s="252">
        <v>0</v>
      </c>
      <c r="R681" s="252">
        <v>0</v>
      </c>
      <c r="S681" s="252">
        <v>0</v>
      </c>
      <c r="T681" s="252">
        <v>88.983710000000002</v>
      </c>
      <c r="U681" s="252">
        <v>226.96347</v>
      </c>
      <c r="V681" s="252">
        <v>219.02663000000001</v>
      </c>
      <c r="W681" s="252">
        <v>214.67277000000001</v>
      </c>
      <c r="X681" s="252">
        <v>0</v>
      </c>
      <c r="Y681" s="252">
        <v>0</v>
      </c>
      <c r="Z681" s="252">
        <v>881.89448000000004</v>
      </c>
      <c r="AA681" s="252">
        <v>249.35418999999999</v>
      </c>
      <c r="AB681" s="252">
        <v>0</v>
      </c>
      <c r="AC681" s="252">
        <v>0</v>
      </c>
      <c r="AD681" s="252">
        <v>1</v>
      </c>
      <c r="AE681" s="252" t="s">
        <v>19</v>
      </c>
      <c r="AF681" s="252" t="s">
        <v>718</v>
      </c>
      <c r="AG681" s="252">
        <f t="shared" si="51"/>
        <v>3775.0000046</v>
      </c>
      <c r="AH681" s="252">
        <f t="shared" si="52"/>
        <v>0</v>
      </c>
      <c r="AI681" s="252">
        <f t="shared" si="53"/>
        <v>0</v>
      </c>
      <c r="AJ681" s="252">
        <f t="shared" si="54"/>
        <v>3775.0000046</v>
      </c>
    </row>
    <row r="682" spans="1:36" x14ac:dyDescent="0.2">
      <c r="A682" s="253" t="str">
        <f t="shared" si="50"/>
        <v>SNMPET1310M12</v>
      </c>
      <c r="B682" s="252" t="s">
        <v>19</v>
      </c>
      <c r="C682" s="252" t="s">
        <v>20</v>
      </c>
      <c r="D682" s="252" t="s">
        <v>2604</v>
      </c>
      <c r="E682" s="252" t="s">
        <v>2605</v>
      </c>
      <c r="F682" s="252" t="s">
        <v>2613</v>
      </c>
      <c r="G682" s="252">
        <v>12</v>
      </c>
      <c r="H682" s="252" t="s">
        <v>928</v>
      </c>
      <c r="I682" s="252" t="s">
        <v>928</v>
      </c>
      <c r="J682" s="252" t="s">
        <v>928</v>
      </c>
      <c r="K682" s="252" t="s">
        <v>3236</v>
      </c>
      <c r="L682" s="252">
        <v>5991.6005299999997</v>
      </c>
      <c r="M682" s="252">
        <v>93.5</v>
      </c>
      <c r="N682" s="252">
        <v>0</v>
      </c>
      <c r="O682" s="252">
        <v>4037.4332899999999</v>
      </c>
      <c r="P682" s="252">
        <v>0</v>
      </c>
      <c r="Q682" s="252">
        <v>0</v>
      </c>
      <c r="R682" s="252">
        <v>0</v>
      </c>
      <c r="S682" s="252">
        <v>0</v>
      </c>
      <c r="T682" s="252">
        <v>88.983329999999995</v>
      </c>
      <c r="U682" s="252">
        <v>233.88488000000001</v>
      </c>
      <c r="V682" s="252">
        <v>219.02671000000001</v>
      </c>
      <c r="W682" s="252">
        <v>217.02209999999999</v>
      </c>
      <c r="X682" s="252">
        <v>0</v>
      </c>
      <c r="Y682" s="252">
        <v>0</v>
      </c>
      <c r="Z682" s="252">
        <v>938.37001999999995</v>
      </c>
      <c r="AA682" s="252">
        <v>256.8802</v>
      </c>
      <c r="AB682" s="252">
        <v>0</v>
      </c>
      <c r="AC682" s="252">
        <v>0</v>
      </c>
      <c r="AD682" s="252">
        <v>1</v>
      </c>
      <c r="AE682" s="252" t="s">
        <v>19</v>
      </c>
      <c r="AF682" s="252" t="s">
        <v>718</v>
      </c>
      <c r="AG682" s="252">
        <f t="shared" si="51"/>
        <v>3775.0001261500001</v>
      </c>
      <c r="AH682" s="252">
        <f t="shared" si="52"/>
        <v>0</v>
      </c>
      <c r="AI682" s="252">
        <f t="shared" si="53"/>
        <v>0</v>
      </c>
      <c r="AJ682" s="252">
        <f t="shared" si="54"/>
        <v>3775.0001261500001</v>
      </c>
    </row>
    <row r="683" spans="1:36" x14ac:dyDescent="0.2">
      <c r="A683" s="253" t="str">
        <f t="shared" si="50"/>
        <v>3A5SNMPET136012</v>
      </c>
      <c r="B683" s="252" t="s">
        <v>19</v>
      </c>
      <c r="C683" s="252" t="s">
        <v>20</v>
      </c>
      <c r="D683" s="252" t="s">
        <v>2604</v>
      </c>
      <c r="E683" s="252" t="s">
        <v>2605</v>
      </c>
      <c r="F683" s="252" t="s">
        <v>2614</v>
      </c>
      <c r="G683" s="252">
        <v>12</v>
      </c>
      <c r="H683" s="252" t="s">
        <v>928</v>
      </c>
      <c r="I683" s="252" t="s">
        <v>2450</v>
      </c>
      <c r="J683" s="252" t="s">
        <v>928</v>
      </c>
      <c r="K683" s="252" t="s">
        <v>3236</v>
      </c>
      <c r="L683" s="252">
        <v>6027.5354299999999</v>
      </c>
      <c r="M683" s="252">
        <v>93.5</v>
      </c>
      <c r="N683" s="252">
        <v>0</v>
      </c>
      <c r="O683" s="252">
        <v>4037.43316</v>
      </c>
      <c r="P683" s="252">
        <v>0</v>
      </c>
      <c r="Q683" s="252">
        <v>0</v>
      </c>
      <c r="R683" s="252">
        <v>0</v>
      </c>
      <c r="S683" s="252">
        <v>0</v>
      </c>
      <c r="T683" s="252">
        <v>88.983710000000002</v>
      </c>
      <c r="U683" s="252">
        <v>237.27999</v>
      </c>
      <c r="V683" s="252">
        <v>219.02663000000001</v>
      </c>
      <c r="W683" s="252">
        <v>218.17451</v>
      </c>
      <c r="X683" s="252">
        <v>0</v>
      </c>
      <c r="Y683" s="252">
        <v>0</v>
      </c>
      <c r="Z683" s="252">
        <v>966.06661999999994</v>
      </c>
      <c r="AA683" s="252">
        <v>260.57080999999999</v>
      </c>
      <c r="AB683" s="252">
        <v>0</v>
      </c>
      <c r="AC683" s="252">
        <v>0</v>
      </c>
      <c r="AD683" s="252">
        <v>1</v>
      </c>
      <c r="AE683" s="252" t="s">
        <v>19</v>
      </c>
      <c r="AF683" s="252" t="s">
        <v>718</v>
      </c>
      <c r="AG683" s="252">
        <f t="shared" si="51"/>
        <v>3775.0000046</v>
      </c>
      <c r="AH683" s="252">
        <f t="shared" si="52"/>
        <v>0</v>
      </c>
      <c r="AI683" s="252">
        <f t="shared" si="53"/>
        <v>0</v>
      </c>
      <c r="AJ683" s="252">
        <f t="shared" si="54"/>
        <v>3775.0000046</v>
      </c>
    </row>
    <row r="684" spans="1:36" x14ac:dyDescent="0.2">
      <c r="A684" s="253" t="str">
        <f t="shared" si="50"/>
        <v>3C5SNMPET136012</v>
      </c>
      <c r="B684" s="252" t="s">
        <v>19</v>
      </c>
      <c r="C684" s="252" t="s">
        <v>20</v>
      </c>
      <c r="D684" s="252" t="s">
        <v>2604</v>
      </c>
      <c r="E684" s="252" t="s">
        <v>2605</v>
      </c>
      <c r="F684" s="252" t="s">
        <v>2614</v>
      </c>
      <c r="G684" s="252">
        <v>12</v>
      </c>
      <c r="H684" s="252" t="s">
        <v>928</v>
      </c>
      <c r="I684" s="252" t="s">
        <v>2455</v>
      </c>
      <c r="J684" s="252" t="s">
        <v>928</v>
      </c>
      <c r="K684" s="252" t="s">
        <v>3236</v>
      </c>
      <c r="L684" s="252">
        <v>5918.3284100000001</v>
      </c>
      <c r="M684" s="252">
        <v>93.5</v>
      </c>
      <c r="N684" s="252">
        <v>0</v>
      </c>
      <c r="O684" s="252">
        <v>4037.43316</v>
      </c>
      <c r="P684" s="252">
        <v>0</v>
      </c>
      <c r="Q684" s="252">
        <v>0</v>
      </c>
      <c r="R684" s="252">
        <v>0</v>
      </c>
      <c r="S684" s="252">
        <v>0</v>
      </c>
      <c r="T684" s="252">
        <v>88.983710000000002</v>
      </c>
      <c r="U684" s="252">
        <v>226.96347</v>
      </c>
      <c r="V684" s="252">
        <v>219.02663000000001</v>
      </c>
      <c r="W684" s="252">
        <v>214.67277000000001</v>
      </c>
      <c r="X684" s="252">
        <v>0</v>
      </c>
      <c r="Y684" s="252">
        <v>0</v>
      </c>
      <c r="Z684" s="252">
        <v>881.89448000000004</v>
      </c>
      <c r="AA684" s="252">
        <v>249.35418999999999</v>
      </c>
      <c r="AB684" s="252">
        <v>0</v>
      </c>
      <c r="AC684" s="252">
        <v>0</v>
      </c>
      <c r="AD684" s="252">
        <v>1</v>
      </c>
      <c r="AE684" s="252" t="s">
        <v>19</v>
      </c>
      <c r="AF684" s="252" t="s">
        <v>718</v>
      </c>
      <c r="AG684" s="252">
        <f t="shared" si="51"/>
        <v>3775.0000046</v>
      </c>
      <c r="AH684" s="252">
        <f t="shared" si="52"/>
        <v>0</v>
      </c>
      <c r="AI684" s="252">
        <f t="shared" si="53"/>
        <v>0</v>
      </c>
      <c r="AJ684" s="252">
        <f t="shared" si="54"/>
        <v>3775.0000046</v>
      </c>
    </row>
    <row r="685" spans="1:36" x14ac:dyDescent="0.2">
      <c r="A685" s="253" t="str">
        <f t="shared" si="50"/>
        <v>SNMPET136012</v>
      </c>
      <c r="B685" s="252" t="s">
        <v>19</v>
      </c>
      <c r="C685" s="252" t="s">
        <v>20</v>
      </c>
      <c r="D685" s="252" t="s">
        <v>2604</v>
      </c>
      <c r="E685" s="252" t="s">
        <v>2605</v>
      </c>
      <c r="F685" s="252" t="s">
        <v>2614</v>
      </c>
      <c r="G685" s="252">
        <v>12</v>
      </c>
      <c r="H685" s="252" t="s">
        <v>928</v>
      </c>
      <c r="I685" s="252" t="s">
        <v>928</v>
      </c>
      <c r="J685" s="252" t="s">
        <v>928</v>
      </c>
      <c r="K685" s="252" t="s">
        <v>3236</v>
      </c>
      <c r="L685" s="252">
        <v>5943.7078300000003</v>
      </c>
      <c r="M685" s="252">
        <v>93.5</v>
      </c>
      <c r="N685" s="252">
        <v>0</v>
      </c>
      <c r="O685" s="252">
        <v>4037.4330300000001</v>
      </c>
      <c r="P685" s="252">
        <v>0</v>
      </c>
      <c r="Q685" s="252">
        <v>0</v>
      </c>
      <c r="R685" s="252">
        <v>0</v>
      </c>
      <c r="S685" s="252">
        <v>0</v>
      </c>
      <c r="T685" s="252">
        <v>88.983519999999999</v>
      </c>
      <c r="U685" s="252">
        <v>229.36095</v>
      </c>
      <c r="V685" s="252">
        <v>219.02695</v>
      </c>
      <c r="W685" s="252">
        <v>215.48652000000001</v>
      </c>
      <c r="X685" s="252">
        <v>0</v>
      </c>
      <c r="Y685" s="252">
        <v>0</v>
      </c>
      <c r="Z685" s="252">
        <v>901.45619999999997</v>
      </c>
      <c r="AA685" s="252">
        <v>251.96065999999999</v>
      </c>
      <c r="AB685" s="252">
        <v>0</v>
      </c>
      <c r="AC685" s="252">
        <v>0</v>
      </c>
      <c r="AD685" s="252">
        <v>1</v>
      </c>
      <c r="AE685" s="252" t="s">
        <v>19</v>
      </c>
      <c r="AF685" s="252" t="s">
        <v>718</v>
      </c>
      <c r="AG685" s="252">
        <f t="shared" si="51"/>
        <v>3774.9998830499999</v>
      </c>
      <c r="AH685" s="252">
        <f t="shared" si="52"/>
        <v>0</v>
      </c>
      <c r="AI685" s="252">
        <f t="shared" si="53"/>
        <v>0</v>
      </c>
      <c r="AJ685" s="252">
        <f t="shared" si="54"/>
        <v>3774.9998830499999</v>
      </c>
    </row>
    <row r="686" spans="1:36" x14ac:dyDescent="0.2">
      <c r="A686" s="253" t="str">
        <f t="shared" si="50"/>
        <v>7ASNMPET151012</v>
      </c>
      <c r="B686" s="252" t="s">
        <v>19</v>
      </c>
      <c r="C686" s="252" t="s">
        <v>20</v>
      </c>
      <c r="D686" s="252" t="s">
        <v>2604</v>
      </c>
      <c r="E686" s="252" t="s">
        <v>2605</v>
      </c>
      <c r="F686" s="252" t="s">
        <v>2615</v>
      </c>
      <c r="G686" s="252">
        <v>12</v>
      </c>
      <c r="H686" s="252" t="s">
        <v>928</v>
      </c>
      <c r="I686" s="252" t="s">
        <v>2611</v>
      </c>
      <c r="J686" s="252" t="s">
        <v>928</v>
      </c>
      <c r="K686" s="252" t="s">
        <v>3236</v>
      </c>
      <c r="L686" s="252">
        <v>4877.88</v>
      </c>
      <c r="M686" s="252">
        <v>100</v>
      </c>
      <c r="N686" s="252">
        <v>0</v>
      </c>
      <c r="O686" s="252">
        <v>4877.88</v>
      </c>
      <c r="P686" s="252">
        <v>0</v>
      </c>
      <c r="Q686" s="252">
        <v>0</v>
      </c>
      <c r="R686" s="252">
        <v>0</v>
      </c>
      <c r="S686" s="252">
        <v>0</v>
      </c>
      <c r="T686" s="252">
        <v>0</v>
      </c>
      <c r="U686" s="252">
        <v>0</v>
      </c>
      <c r="V686" s="252">
        <v>0</v>
      </c>
      <c r="W686" s="252">
        <v>0</v>
      </c>
      <c r="X686" s="252">
        <v>0</v>
      </c>
      <c r="Y686" s="252">
        <v>0</v>
      </c>
      <c r="Z686" s="252">
        <v>0</v>
      </c>
      <c r="AA686" s="252">
        <v>0</v>
      </c>
      <c r="AB686" s="252">
        <v>0</v>
      </c>
      <c r="AC686" s="252">
        <v>0</v>
      </c>
      <c r="AD686" s="252">
        <v>1</v>
      </c>
      <c r="AE686" s="252" t="s">
        <v>19</v>
      </c>
      <c r="AF686" s="252" t="s">
        <v>718</v>
      </c>
      <c r="AG686" s="252">
        <f t="shared" si="51"/>
        <v>4877.88</v>
      </c>
      <c r="AH686" s="252">
        <f t="shared" si="52"/>
        <v>0</v>
      </c>
      <c r="AI686" s="252">
        <f t="shared" si="53"/>
        <v>0</v>
      </c>
      <c r="AJ686" s="252">
        <f t="shared" si="54"/>
        <v>4877.88</v>
      </c>
    </row>
    <row r="687" spans="1:36" x14ac:dyDescent="0.2">
      <c r="A687" s="253" t="str">
        <f t="shared" si="50"/>
        <v>SNMPET151012</v>
      </c>
      <c r="B687" s="252" t="s">
        <v>19</v>
      </c>
      <c r="C687" s="252" t="s">
        <v>20</v>
      </c>
      <c r="D687" s="252" t="s">
        <v>2604</v>
      </c>
      <c r="E687" s="252" t="s">
        <v>2605</v>
      </c>
      <c r="F687" s="252" t="s">
        <v>2615</v>
      </c>
      <c r="G687" s="252">
        <v>12</v>
      </c>
      <c r="H687" s="252" t="s">
        <v>928</v>
      </c>
      <c r="I687" s="252" t="s">
        <v>928</v>
      </c>
      <c r="J687" s="252" t="s">
        <v>928</v>
      </c>
      <c r="K687" s="252" t="s">
        <v>3236</v>
      </c>
      <c r="L687" s="252">
        <v>4877.8801000000003</v>
      </c>
      <c r="M687" s="252">
        <v>100</v>
      </c>
      <c r="N687" s="252">
        <v>0</v>
      </c>
      <c r="O687" s="252">
        <v>4877.8801000000003</v>
      </c>
      <c r="P687" s="252">
        <v>0</v>
      </c>
      <c r="Q687" s="252">
        <v>0</v>
      </c>
      <c r="R687" s="252">
        <v>0</v>
      </c>
      <c r="S687" s="252">
        <v>0</v>
      </c>
      <c r="T687" s="252">
        <v>0</v>
      </c>
      <c r="U687" s="252">
        <v>0</v>
      </c>
      <c r="V687" s="252">
        <v>0</v>
      </c>
      <c r="W687" s="252">
        <v>0</v>
      </c>
      <c r="X687" s="252">
        <v>0</v>
      </c>
      <c r="Y687" s="252">
        <v>0</v>
      </c>
      <c r="Z687" s="252">
        <v>0</v>
      </c>
      <c r="AA687" s="252">
        <v>0</v>
      </c>
      <c r="AB687" s="252">
        <v>0</v>
      </c>
      <c r="AC687" s="252">
        <v>0</v>
      </c>
      <c r="AD687" s="252">
        <v>1</v>
      </c>
      <c r="AE687" s="252" t="s">
        <v>19</v>
      </c>
      <c r="AF687" s="252" t="s">
        <v>718</v>
      </c>
      <c r="AG687" s="252">
        <f t="shared" si="51"/>
        <v>4877.8801000000003</v>
      </c>
      <c r="AH687" s="252">
        <f t="shared" si="52"/>
        <v>0</v>
      </c>
      <c r="AI687" s="252">
        <f t="shared" si="53"/>
        <v>0</v>
      </c>
      <c r="AJ687" s="252">
        <f t="shared" si="54"/>
        <v>4877.8801000000003</v>
      </c>
    </row>
    <row r="688" spans="1:36" x14ac:dyDescent="0.2">
      <c r="A688" s="253" t="str">
        <f>TRIM(I688&amp;B688&amp;C688&amp;D688&amp;F688&amp;G688)</f>
        <v>3A5SNMPET151912</v>
      </c>
      <c r="B688" s="252" t="s">
        <v>19</v>
      </c>
      <c r="C688" s="252" t="s">
        <v>20</v>
      </c>
      <c r="D688" s="252" t="s">
        <v>2604</v>
      </c>
      <c r="E688" s="252" t="s">
        <v>2605</v>
      </c>
      <c r="F688" s="252" t="s">
        <v>2616</v>
      </c>
      <c r="G688" s="252">
        <v>12</v>
      </c>
      <c r="H688" s="252" t="s">
        <v>928</v>
      </c>
      <c r="I688" s="252" t="s">
        <v>2450</v>
      </c>
      <c r="J688" s="252" t="s">
        <v>928</v>
      </c>
      <c r="K688" s="252" t="s">
        <v>3236</v>
      </c>
      <c r="L688" s="252">
        <v>5289.0821699999997</v>
      </c>
      <c r="M688" s="252">
        <v>93.5</v>
      </c>
      <c r="N688" s="252">
        <v>0</v>
      </c>
      <c r="O688" s="252">
        <v>3581.0053499999999</v>
      </c>
      <c r="P688" s="252">
        <v>0</v>
      </c>
      <c r="Q688" s="252">
        <v>0</v>
      </c>
      <c r="R688" s="252">
        <v>0</v>
      </c>
      <c r="S688" s="252">
        <v>0</v>
      </c>
      <c r="T688" s="252">
        <v>82.984809999999996</v>
      </c>
      <c r="U688" s="252">
        <v>215.61529999999999</v>
      </c>
      <c r="V688" s="252">
        <v>203.02467999999999</v>
      </c>
      <c r="W688" s="252">
        <v>191.95554000000001</v>
      </c>
      <c r="X688" s="252">
        <v>0</v>
      </c>
      <c r="Y688" s="252">
        <v>0</v>
      </c>
      <c r="Z688" s="252">
        <v>791.02682000000004</v>
      </c>
      <c r="AA688" s="252">
        <v>223.46967000000001</v>
      </c>
      <c r="AB688" s="252">
        <v>0</v>
      </c>
      <c r="AC688" s="252">
        <v>0</v>
      </c>
      <c r="AD688" s="252">
        <v>1</v>
      </c>
      <c r="AE688" s="252" t="s">
        <v>19</v>
      </c>
      <c r="AF688" s="252" t="s">
        <v>718</v>
      </c>
      <c r="AG688" s="252">
        <f t="shared" si="51"/>
        <v>3348.2400022499996</v>
      </c>
      <c r="AH688" s="252">
        <f t="shared" si="52"/>
        <v>0</v>
      </c>
      <c r="AI688" s="252">
        <f t="shared" si="53"/>
        <v>0</v>
      </c>
      <c r="AJ688" s="252">
        <f t="shared" si="54"/>
        <v>3348.2400022499996</v>
      </c>
    </row>
    <row r="689" spans="1:36" x14ac:dyDescent="0.2">
      <c r="A689" s="253" t="str">
        <f t="shared" si="50"/>
        <v>SNMPET151912</v>
      </c>
      <c r="B689" s="252" t="s">
        <v>19</v>
      </c>
      <c r="C689" s="252" t="s">
        <v>20</v>
      </c>
      <c r="D689" s="252" t="s">
        <v>2604</v>
      </c>
      <c r="E689" s="252" t="s">
        <v>2605</v>
      </c>
      <c r="F689" s="252" t="s">
        <v>2616</v>
      </c>
      <c r="G689" s="252">
        <v>12</v>
      </c>
      <c r="H689" s="252" t="s">
        <v>928</v>
      </c>
      <c r="I689" s="252" t="s">
        <v>928</v>
      </c>
      <c r="J689" s="252" t="s">
        <v>928</v>
      </c>
      <c r="K689" s="252" t="s">
        <v>3236</v>
      </c>
      <c r="L689" s="252">
        <v>5289.08421</v>
      </c>
      <c r="M689" s="252">
        <v>93.5</v>
      </c>
      <c r="N689" s="252">
        <v>0</v>
      </c>
      <c r="O689" s="252">
        <v>3581.0051600000002</v>
      </c>
      <c r="P689" s="252">
        <v>0</v>
      </c>
      <c r="Q689" s="252">
        <v>0</v>
      </c>
      <c r="R689" s="252">
        <v>0</v>
      </c>
      <c r="S689" s="252">
        <v>0</v>
      </c>
      <c r="T689" s="252">
        <v>82.986840000000001</v>
      </c>
      <c r="U689" s="252">
        <v>215.61680000000001</v>
      </c>
      <c r="V689" s="252">
        <v>203.02758</v>
      </c>
      <c r="W689" s="252">
        <v>191.94847999999999</v>
      </c>
      <c r="X689" s="252">
        <v>0</v>
      </c>
      <c r="Y689" s="252">
        <v>0</v>
      </c>
      <c r="Z689" s="252">
        <v>791.02736000000004</v>
      </c>
      <c r="AA689" s="252">
        <v>223.47199000000001</v>
      </c>
      <c r="AB689" s="252">
        <v>0</v>
      </c>
      <c r="AC689" s="252">
        <v>0</v>
      </c>
      <c r="AD689" s="252">
        <v>1</v>
      </c>
      <c r="AE689" s="252" t="s">
        <v>19</v>
      </c>
      <c r="AF689" s="252" t="s">
        <v>718</v>
      </c>
      <c r="AG689" s="252">
        <f t="shared" si="51"/>
        <v>3348.2398246000002</v>
      </c>
      <c r="AH689" s="252">
        <f t="shared" si="52"/>
        <v>0</v>
      </c>
      <c r="AI689" s="252">
        <f t="shared" si="53"/>
        <v>0</v>
      </c>
      <c r="AJ689" s="252">
        <f t="shared" si="54"/>
        <v>3348.2398246000002</v>
      </c>
    </row>
    <row r="690" spans="1:36" x14ac:dyDescent="0.2">
      <c r="A690" s="253" t="str">
        <f t="shared" si="50"/>
        <v>7FSNMPETPFR101012</v>
      </c>
      <c r="B690" s="252" t="s">
        <v>19</v>
      </c>
      <c r="C690" s="252" t="s">
        <v>20</v>
      </c>
      <c r="D690" s="252" t="s">
        <v>2604</v>
      </c>
      <c r="E690" s="252" t="s">
        <v>2605</v>
      </c>
      <c r="F690" s="252" t="s">
        <v>2617</v>
      </c>
      <c r="G690" s="252">
        <v>12</v>
      </c>
      <c r="H690" s="252" t="s">
        <v>928</v>
      </c>
      <c r="I690" s="252" t="s">
        <v>2442</v>
      </c>
      <c r="J690" s="252" t="s">
        <v>928</v>
      </c>
      <c r="K690" s="252" t="s">
        <v>3236</v>
      </c>
      <c r="L690" s="252">
        <v>3715.12</v>
      </c>
      <c r="M690" s="252">
        <v>100</v>
      </c>
      <c r="N690" s="252">
        <v>0</v>
      </c>
      <c r="O690" s="252">
        <v>3715.12</v>
      </c>
      <c r="P690" s="252">
        <v>0</v>
      </c>
      <c r="Q690" s="252">
        <v>0</v>
      </c>
      <c r="R690" s="252">
        <v>0</v>
      </c>
      <c r="S690" s="252">
        <v>0</v>
      </c>
      <c r="T690" s="252">
        <v>0</v>
      </c>
      <c r="U690" s="252">
        <v>0</v>
      </c>
      <c r="V690" s="252">
        <v>0</v>
      </c>
      <c r="W690" s="252">
        <v>0</v>
      </c>
      <c r="X690" s="252">
        <v>0</v>
      </c>
      <c r="Y690" s="252">
        <v>0</v>
      </c>
      <c r="Z690" s="252">
        <v>0</v>
      </c>
      <c r="AA690" s="252">
        <v>0</v>
      </c>
      <c r="AB690" s="252">
        <v>0</v>
      </c>
      <c r="AC690" s="252">
        <v>0</v>
      </c>
      <c r="AD690" s="252">
        <v>1</v>
      </c>
      <c r="AE690" s="252" t="s">
        <v>19</v>
      </c>
      <c r="AF690" s="252" t="s">
        <v>718</v>
      </c>
      <c r="AG690" s="252">
        <f t="shared" si="51"/>
        <v>3715.12</v>
      </c>
      <c r="AH690" s="252">
        <f t="shared" si="52"/>
        <v>0</v>
      </c>
      <c r="AI690" s="252">
        <f t="shared" si="53"/>
        <v>0</v>
      </c>
      <c r="AJ690" s="252">
        <f t="shared" si="54"/>
        <v>3715.12</v>
      </c>
    </row>
    <row r="691" spans="1:36" x14ac:dyDescent="0.2">
      <c r="A691" s="253" t="str">
        <f t="shared" si="50"/>
        <v>SNMPETPFR101012</v>
      </c>
      <c r="B691" s="252" t="s">
        <v>19</v>
      </c>
      <c r="C691" s="252" t="s">
        <v>20</v>
      </c>
      <c r="D691" s="252" t="s">
        <v>2604</v>
      </c>
      <c r="E691" s="252" t="s">
        <v>2605</v>
      </c>
      <c r="F691" s="252" t="s">
        <v>2617</v>
      </c>
      <c r="G691" s="252">
        <v>12</v>
      </c>
      <c r="H691" s="252" t="s">
        <v>928</v>
      </c>
      <c r="I691" s="252" t="s">
        <v>928</v>
      </c>
      <c r="J691" s="252" t="s">
        <v>928</v>
      </c>
      <c r="K691" s="252" t="s">
        <v>3236</v>
      </c>
      <c r="L691" s="252">
        <v>3715.12003</v>
      </c>
      <c r="M691" s="252">
        <v>100</v>
      </c>
      <c r="N691" s="252">
        <v>0</v>
      </c>
      <c r="O691" s="252">
        <v>3715.12003</v>
      </c>
      <c r="P691" s="252">
        <v>0</v>
      </c>
      <c r="Q691" s="252">
        <v>0</v>
      </c>
      <c r="R691" s="252">
        <v>0</v>
      </c>
      <c r="S691" s="252">
        <v>0</v>
      </c>
      <c r="T691" s="252">
        <v>0</v>
      </c>
      <c r="U691" s="252">
        <v>0</v>
      </c>
      <c r="V691" s="252">
        <v>0</v>
      </c>
      <c r="W691" s="252">
        <v>0</v>
      </c>
      <c r="X691" s="252">
        <v>0</v>
      </c>
      <c r="Y691" s="252">
        <v>0</v>
      </c>
      <c r="Z691" s="252">
        <v>0</v>
      </c>
      <c r="AA691" s="252">
        <v>0</v>
      </c>
      <c r="AB691" s="252">
        <v>0</v>
      </c>
      <c r="AC691" s="252">
        <v>0</v>
      </c>
      <c r="AD691" s="252">
        <v>1</v>
      </c>
      <c r="AE691" s="252" t="s">
        <v>19</v>
      </c>
      <c r="AF691" s="252" t="s">
        <v>718</v>
      </c>
      <c r="AG691" s="252">
        <f t="shared" si="51"/>
        <v>3715.12003</v>
      </c>
      <c r="AH691" s="252">
        <f t="shared" si="52"/>
        <v>0</v>
      </c>
      <c r="AI691" s="252">
        <f t="shared" si="53"/>
        <v>0</v>
      </c>
      <c r="AJ691" s="252">
        <f t="shared" si="54"/>
        <v>3715.12003</v>
      </c>
    </row>
    <row r="692" spans="1:36" x14ac:dyDescent="0.2">
      <c r="A692" s="253" t="str">
        <f t="shared" si="50"/>
        <v>3ASNMPETVM101025</v>
      </c>
      <c r="B692" s="252" t="s">
        <v>19</v>
      </c>
      <c r="C692" s="252" t="s">
        <v>20</v>
      </c>
      <c r="D692" s="252" t="s">
        <v>2604</v>
      </c>
      <c r="E692" s="252" t="s">
        <v>2605</v>
      </c>
      <c r="F692" s="252" t="s">
        <v>2618</v>
      </c>
      <c r="G692" s="252">
        <v>25</v>
      </c>
      <c r="H692" s="252" t="s">
        <v>928</v>
      </c>
      <c r="I692" s="252" t="s">
        <v>2395</v>
      </c>
      <c r="J692" s="252" t="s">
        <v>928</v>
      </c>
      <c r="K692" s="252" t="s">
        <v>3236</v>
      </c>
      <c r="L692" s="252">
        <v>13406.90857</v>
      </c>
      <c r="M692" s="252">
        <v>92</v>
      </c>
      <c r="N692" s="252">
        <v>0</v>
      </c>
      <c r="O692" s="252">
        <v>8426.6304299999993</v>
      </c>
      <c r="P692" s="252">
        <v>0</v>
      </c>
      <c r="Q692" s="252">
        <v>0</v>
      </c>
      <c r="R692" s="252">
        <v>0</v>
      </c>
      <c r="S692" s="252">
        <v>0</v>
      </c>
      <c r="T692" s="252">
        <v>271.95021000000003</v>
      </c>
      <c r="U692" s="252">
        <v>237.27999</v>
      </c>
      <c r="V692" s="252">
        <v>385.04682000000003</v>
      </c>
      <c r="W692" s="252">
        <v>934.11827000000005</v>
      </c>
      <c r="X692" s="252">
        <v>0</v>
      </c>
      <c r="Y692" s="252">
        <v>0</v>
      </c>
      <c r="Z692" s="252">
        <v>2220.0402100000001</v>
      </c>
      <c r="AA692" s="252">
        <v>931.84263999999996</v>
      </c>
      <c r="AB692" s="252">
        <v>0</v>
      </c>
      <c r="AC692" s="252">
        <v>0</v>
      </c>
      <c r="AD692" s="252">
        <v>1</v>
      </c>
      <c r="AE692" s="252" t="s">
        <v>19</v>
      </c>
      <c r="AF692" s="252" t="s">
        <v>718</v>
      </c>
      <c r="AG692" s="252">
        <f t="shared" si="51"/>
        <v>7752.4999955999992</v>
      </c>
      <c r="AH692" s="252">
        <f t="shared" si="52"/>
        <v>0</v>
      </c>
      <c r="AI692" s="252">
        <f t="shared" si="53"/>
        <v>0</v>
      </c>
      <c r="AJ692" s="252">
        <f t="shared" si="54"/>
        <v>7752.4999955999992</v>
      </c>
    </row>
    <row r="693" spans="1:36" x14ac:dyDescent="0.2">
      <c r="A693" s="253" t="str">
        <f t="shared" si="50"/>
        <v>SNMPETVM101025</v>
      </c>
      <c r="B693" s="252" t="s">
        <v>19</v>
      </c>
      <c r="C693" s="252" t="s">
        <v>20</v>
      </c>
      <c r="D693" s="252" t="s">
        <v>2604</v>
      </c>
      <c r="E693" s="252" t="s">
        <v>2605</v>
      </c>
      <c r="F693" s="252" t="s">
        <v>2618</v>
      </c>
      <c r="G693" s="252">
        <v>25</v>
      </c>
      <c r="H693" s="252" t="s">
        <v>928</v>
      </c>
      <c r="I693" s="252" t="s">
        <v>928</v>
      </c>
      <c r="J693" s="252" t="s">
        <v>928</v>
      </c>
      <c r="K693" s="252" t="s">
        <v>3236</v>
      </c>
      <c r="L693" s="252">
        <v>13406.909320000001</v>
      </c>
      <c r="M693" s="252">
        <v>92</v>
      </c>
      <c r="N693" s="252">
        <v>0</v>
      </c>
      <c r="O693" s="252">
        <v>8426.6309700000002</v>
      </c>
      <c r="P693" s="252">
        <v>0</v>
      </c>
      <c r="Q693" s="252">
        <v>0</v>
      </c>
      <c r="R693" s="252">
        <v>0</v>
      </c>
      <c r="S693" s="252">
        <v>0</v>
      </c>
      <c r="T693" s="252">
        <v>271.94959</v>
      </c>
      <c r="U693" s="252">
        <v>237.28022000000001</v>
      </c>
      <c r="V693" s="252">
        <v>385.04628000000002</v>
      </c>
      <c r="W693" s="252">
        <v>934.11868000000004</v>
      </c>
      <c r="X693" s="252">
        <v>0</v>
      </c>
      <c r="Y693" s="252">
        <v>0</v>
      </c>
      <c r="Z693" s="252">
        <v>2220.04108</v>
      </c>
      <c r="AA693" s="252">
        <v>931.84249999999997</v>
      </c>
      <c r="AB693" s="252">
        <v>0</v>
      </c>
      <c r="AC693" s="252">
        <v>0</v>
      </c>
      <c r="AD693" s="252">
        <v>1</v>
      </c>
      <c r="AE693" s="252" t="s">
        <v>19</v>
      </c>
      <c r="AF693" s="252" t="s">
        <v>718</v>
      </c>
      <c r="AG693" s="252">
        <f t="shared" si="51"/>
        <v>7752.5004923999995</v>
      </c>
      <c r="AH693" s="252">
        <f t="shared" si="52"/>
        <v>0</v>
      </c>
      <c r="AI693" s="252">
        <f t="shared" si="53"/>
        <v>0</v>
      </c>
      <c r="AJ693" s="252">
        <f t="shared" si="54"/>
        <v>7752.5004923999995</v>
      </c>
    </row>
    <row r="694" spans="1:36" x14ac:dyDescent="0.2">
      <c r="A694" s="253" t="str">
        <f t="shared" si="50"/>
        <v>6603SNOPPY33315</v>
      </c>
      <c r="B694" s="252" t="s">
        <v>19</v>
      </c>
      <c r="C694" s="252" t="s">
        <v>20</v>
      </c>
      <c r="D694" s="252" t="s">
        <v>2619</v>
      </c>
      <c r="E694" s="252" t="s">
        <v>2620</v>
      </c>
      <c r="F694" s="252" t="s">
        <v>2621</v>
      </c>
      <c r="G694" s="252">
        <v>15</v>
      </c>
      <c r="H694" s="252" t="s">
        <v>928</v>
      </c>
      <c r="I694" s="252" t="s">
        <v>2622</v>
      </c>
      <c r="J694" s="252" t="s">
        <v>928</v>
      </c>
      <c r="K694" s="252" t="s">
        <v>3236</v>
      </c>
      <c r="L694" s="252">
        <v>4160.24</v>
      </c>
      <c r="M694" s="252">
        <v>100</v>
      </c>
      <c r="N694" s="252">
        <v>0</v>
      </c>
      <c r="O694" s="252">
        <v>4160.24</v>
      </c>
      <c r="P694" s="252">
        <v>0</v>
      </c>
      <c r="Q694" s="252">
        <v>0</v>
      </c>
      <c r="R694" s="252">
        <v>0</v>
      </c>
      <c r="S694" s="252">
        <v>0</v>
      </c>
      <c r="T694" s="252">
        <v>0</v>
      </c>
      <c r="U694" s="252">
        <v>0</v>
      </c>
      <c r="V694" s="252">
        <v>0</v>
      </c>
      <c r="W694" s="252">
        <v>0</v>
      </c>
      <c r="X694" s="252">
        <v>0</v>
      </c>
      <c r="Y694" s="252">
        <v>0</v>
      </c>
      <c r="Z694" s="252">
        <v>0</v>
      </c>
      <c r="AA694" s="252">
        <v>0</v>
      </c>
      <c r="AB694" s="252">
        <v>0</v>
      </c>
      <c r="AC694" s="252">
        <v>0</v>
      </c>
      <c r="AD694" s="252">
        <v>0</v>
      </c>
      <c r="AE694" s="252" t="s">
        <v>19</v>
      </c>
      <c r="AF694" s="252" t="s">
        <v>718</v>
      </c>
      <c r="AG694" s="252">
        <f t="shared" si="51"/>
        <v>4160.24</v>
      </c>
      <c r="AH694" s="252">
        <f t="shared" si="52"/>
        <v>0</v>
      </c>
      <c r="AI694" s="252">
        <f t="shared" si="53"/>
        <v>0</v>
      </c>
      <c r="AJ694" s="252">
        <f t="shared" si="54"/>
        <v>4160.24</v>
      </c>
    </row>
    <row r="695" spans="1:36" x14ac:dyDescent="0.2">
      <c r="A695" s="253" t="str">
        <f t="shared" si="50"/>
        <v>SNOPPY33315</v>
      </c>
      <c r="B695" s="252" t="s">
        <v>19</v>
      </c>
      <c r="C695" s="252" t="s">
        <v>20</v>
      </c>
      <c r="D695" s="252" t="s">
        <v>2619</v>
      </c>
      <c r="E695" s="252" t="s">
        <v>2620</v>
      </c>
      <c r="F695" s="252" t="s">
        <v>2621</v>
      </c>
      <c r="G695" s="252">
        <v>15</v>
      </c>
      <c r="H695" s="252" t="s">
        <v>928</v>
      </c>
      <c r="I695" s="252" t="s">
        <v>928</v>
      </c>
      <c r="J695" s="252" t="s">
        <v>928</v>
      </c>
      <c r="K695" s="252" t="s">
        <v>3236</v>
      </c>
      <c r="L695" s="252">
        <v>4160.24</v>
      </c>
      <c r="M695" s="252">
        <v>100</v>
      </c>
      <c r="N695" s="252">
        <v>0</v>
      </c>
      <c r="O695" s="252">
        <v>4160.24</v>
      </c>
      <c r="P695" s="252">
        <v>0</v>
      </c>
      <c r="Q695" s="252">
        <v>0</v>
      </c>
      <c r="R695" s="252">
        <v>0</v>
      </c>
      <c r="S695" s="252">
        <v>0</v>
      </c>
      <c r="T695" s="252">
        <v>0</v>
      </c>
      <c r="U695" s="252">
        <v>0</v>
      </c>
      <c r="V695" s="252">
        <v>0</v>
      </c>
      <c r="W695" s="252">
        <v>0</v>
      </c>
      <c r="X695" s="252">
        <v>0</v>
      </c>
      <c r="Y695" s="252">
        <v>0</v>
      </c>
      <c r="Z695" s="252">
        <v>0</v>
      </c>
      <c r="AA695" s="252">
        <v>0</v>
      </c>
      <c r="AB695" s="252">
        <v>0</v>
      </c>
      <c r="AC695" s="252">
        <v>0</v>
      </c>
      <c r="AD695" s="252">
        <v>0</v>
      </c>
      <c r="AE695" s="252" t="s">
        <v>19</v>
      </c>
      <c r="AF695" s="252" t="s">
        <v>718</v>
      </c>
      <c r="AG695" s="252">
        <f t="shared" si="51"/>
        <v>4160.24</v>
      </c>
      <c r="AH695" s="252">
        <f t="shared" si="52"/>
        <v>0</v>
      </c>
      <c r="AI695" s="252">
        <f t="shared" si="53"/>
        <v>0</v>
      </c>
      <c r="AJ695" s="252">
        <f t="shared" si="54"/>
        <v>4160.24</v>
      </c>
    </row>
    <row r="696" spans="1:36" x14ac:dyDescent="0.2">
      <c r="A696" s="253" t="str">
        <f t="shared" si="50"/>
        <v>6603SNOPPYT4925</v>
      </c>
      <c r="B696" s="252" t="s">
        <v>19</v>
      </c>
      <c r="C696" s="252" t="s">
        <v>20</v>
      </c>
      <c r="D696" s="252" t="s">
        <v>2619</v>
      </c>
      <c r="E696" s="252" t="s">
        <v>2620</v>
      </c>
      <c r="F696" s="252" t="s">
        <v>2623</v>
      </c>
      <c r="G696" s="252">
        <v>25</v>
      </c>
      <c r="H696" s="252" t="s">
        <v>928</v>
      </c>
      <c r="I696" s="252" t="s">
        <v>2622</v>
      </c>
      <c r="J696" s="252" t="s">
        <v>928</v>
      </c>
      <c r="K696" s="252" t="s">
        <v>3236</v>
      </c>
      <c r="L696" s="252">
        <v>6716.73</v>
      </c>
      <c r="M696" s="252">
        <v>100</v>
      </c>
      <c r="N696" s="252">
        <v>0</v>
      </c>
      <c r="O696" s="252">
        <v>6716.73</v>
      </c>
      <c r="P696" s="252">
        <v>0</v>
      </c>
      <c r="Q696" s="252">
        <v>0</v>
      </c>
      <c r="R696" s="252">
        <v>0</v>
      </c>
      <c r="S696" s="252">
        <v>0</v>
      </c>
      <c r="T696" s="252">
        <v>0</v>
      </c>
      <c r="U696" s="252">
        <v>0</v>
      </c>
      <c r="V696" s="252">
        <v>0</v>
      </c>
      <c r="W696" s="252">
        <v>0</v>
      </c>
      <c r="X696" s="252">
        <v>0</v>
      </c>
      <c r="Y696" s="252">
        <v>0</v>
      </c>
      <c r="Z696" s="252">
        <v>0</v>
      </c>
      <c r="AA696" s="252">
        <v>0</v>
      </c>
      <c r="AB696" s="252">
        <v>0</v>
      </c>
      <c r="AC696" s="252">
        <v>0</v>
      </c>
      <c r="AD696" s="252">
        <v>0</v>
      </c>
      <c r="AE696" s="252" t="s">
        <v>19</v>
      </c>
      <c r="AF696" s="252" t="s">
        <v>718</v>
      </c>
      <c r="AG696" s="252">
        <f t="shared" si="51"/>
        <v>6716.73</v>
      </c>
      <c r="AH696" s="252">
        <f t="shared" si="52"/>
        <v>0</v>
      </c>
      <c r="AI696" s="252">
        <f t="shared" si="53"/>
        <v>0</v>
      </c>
      <c r="AJ696" s="252">
        <f t="shared" si="54"/>
        <v>6716.73</v>
      </c>
    </row>
    <row r="697" spans="1:36" x14ac:dyDescent="0.2">
      <c r="A697" s="253" t="str">
        <f t="shared" si="50"/>
        <v>SNOPPYT4925</v>
      </c>
      <c r="B697" s="252" t="s">
        <v>19</v>
      </c>
      <c r="C697" s="252" t="s">
        <v>20</v>
      </c>
      <c r="D697" s="252" t="s">
        <v>2619</v>
      </c>
      <c r="E697" s="252" t="s">
        <v>2620</v>
      </c>
      <c r="F697" s="252" t="s">
        <v>2623</v>
      </c>
      <c r="G697" s="252">
        <v>25</v>
      </c>
      <c r="H697" s="252" t="s">
        <v>928</v>
      </c>
      <c r="I697" s="252" t="s">
        <v>928</v>
      </c>
      <c r="J697" s="252" t="s">
        <v>928</v>
      </c>
      <c r="K697" s="252" t="s">
        <v>3236</v>
      </c>
      <c r="L697" s="252">
        <v>6716.73</v>
      </c>
      <c r="M697" s="252">
        <v>100</v>
      </c>
      <c r="N697" s="252">
        <v>0</v>
      </c>
      <c r="O697" s="252">
        <v>6716.73</v>
      </c>
      <c r="P697" s="252">
        <v>0</v>
      </c>
      <c r="Q697" s="252">
        <v>0</v>
      </c>
      <c r="R697" s="252">
        <v>0</v>
      </c>
      <c r="S697" s="252">
        <v>0</v>
      </c>
      <c r="T697" s="252">
        <v>0</v>
      </c>
      <c r="U697" s="252">
        <v>0</v>
      </c>
      <c r="V697" s="252">
        <v>0</v>
      </c>
      <c r="W697" s="252">
        <v>0</v>
      </c>
      <c r="X697" s="252">
        <v>0</v>
      </c>
      <c r="Y697" s="252">
        <v>0</v>
      </c>
      <c r="Z697" s="252">
        <v>0</v>
      </c>
      <c r="AA697" s="252">
        <v>0</v>
      </c>
      <c r="AB697" s="252">
        <v>0</v>
      </c>
      <c r="AC697" s="252">
        <v>0</v>
      </c>
      <c r="AD697" s="252">
        <v>0</v>
      </c>
      <c r="AE697" s="252" t="s">
        <v>19</v>
      </c>
      <c r="AF697" s="252" t="s">
        <v>718</v>
      </c>
      <c r="AG697" s="252">
        <f t="shared" si="51"/>
        <v>6716.73</v>
      </c>
      <c r="AH697" s="252">
        <f t="shared" si="52"/>
        <v>0</v>
      </c>
      <c r="AI697" s="252">
        <f t="shared" si="53"/>
        <v>0</v>
      </c>
      <c r="AJ697" s="252">
        <f t="shared" si="54"/>
        <v>6716.73</v>
      </c>
    </row>
    <row r="698" spans="1:36" x14ac:dyDescent="0.2">
      <c r="A698" s="253" t="str">
        <f t="shared" si="50"/>
        <v>6360SNPETF86516</v>
      </c>
      <c r="B698" s="252" t="s">
        <v>19</v>
      </c>
      <c r="C698" s="252" t="s">
        <v>20</v>
      </c>
      <c r="D698" s="252" t="s">
        <v>2624</v>
      </c>
      <c r="E698" s="252" t="s">
        <v>2625</v>
      </c>
      <c r="F698" s="252" t="s">
        <v>2626</v>
      </c>
      <c r="G698" s="252">
        <v>16</v>
      </c>
      <c r="H698" s="252" t="s">
        <v>928</v>
      </c>
      <c r="I698" s="252" t="s">
        <v>2627</v>
      </c>
      <c r="J698" s="252" t="s">
        <v>928</v>
      </c>
      <c r="K698" s="252" t="s">
        <v>3236</v>
      </c>
      <c r="L698" s="252">
        <v>12543.55</v>
      </c>
      <c r="M698" s="252">
        <v>100</v>
      </c>
      <c r="N698" s="252">
        <v>0</v>
      </c>
      <c r="O698" s="252">
        <v>12543.55</v>
      </c>
      <c r="P698" s="252">
        <v>0</v>
      </c>
      <c r="Q698" s="252">
        <v>0</v>
      </c>
      <c r="R698" s="252">
        <v>0</v>
      </c>
      <c r="S698" s="252">
        <v>0</v>
      </c>
      <c r="T698" s="252">
        <v>0</v>
      </c>
      <c r="U698" s="252">
        <v>0</v>
      </c>
      <c r="V698" s="252">
        <v>0</v>
      </c>
      <c r="W698" s="252">
        <v>0</v>
      </c>
      <c r="X698" s="252">
        <v>0</v>
      </c>
      <c r="Y698" s="252">
        <v>0</v>
      </c>
      <c r="Z698" s="252">
        <v>0</v>
      </c>
      <c r="AA698" s="252">
        <v>0</v>
      </c>
      <c r="AB698" s="252">
        <v>0</v>
      </c>
      <c r="AC698" s="252">
        <v>0</v>
      </c>
      <c r="AD698" s="252">
        <v>0</v>
      </c>
      <c r="AE698" s="252" t="s">
        <v>19</v>
      </c>
      <c r="AF698" s="252" t="s">
        <v>718</v>
      </c>
      <c r="AG698" s="252">
        <f t="shared" si="51"/>
        <v>12543.55</v>
      </c>
      <c r="AH698" s="252">
        <f t="shared" si="52"/>
        <v>0</v>
      </c>
      <c r="AI698" s="252">
        <f t="shared" si="53"/>
        <v>0</v>
      </c>
      <c r="AJ698" s="252">
        <f t="shared" si="54"/>
        <v>12543.55</v>
      </c>
    </row>
    <row r="699" spans="1:36" x14ac:dyDescent="0.2">
      <c r="A699" s="253" t="str">
        <f t="shared" si="50"/>
        <v>SNPETF86516</v>
      </c>
      <c r="B699" s="252" t="s">
        <v>19</v>
      </c>
      <c r="C699" s="252" t="s">
        <v>20</v>
      </c>
      <c r="D699" s="252" t="s">
        <v>2624</v>
      </c>
      <c r="E699" s="252" t="s">
        <v>2625</v>
      </c>
      <c r="F699" s="252" t="s">
        <v>2626</v>
      </c>
      <c r="G699" s="252">
        <v>16</v>
      </c>
      <c r="H699" s="252" t="s">
        <v>928</v>
      </c>
      <c r="I699" s="252" t="s">
        <v>928</v>
      </c>
      <c r="J699" s="252" t="s">
        <v>928</v>
      </c>
      <c r="K699" s="252" t="s">
        <v>3236</v>
      </c>
      <c r="L699" s="252">
        <v>12543.55</v>
      </c>
      <c r="M699" s="252">
        <v>100</v>
      </c>
      <c r="N699" s="252">
        <v>0</v>
      </c>
      <c r="O699" s="252">
        <v>12543.55</v>
      </c>
      <c r="P699" s="252">
        <v>0</v>
      </c>
      <c r="Q699" s="252">
        <v>0</v>
      </c>
      <c r="R699" s="252">
        <v>0</v>
      </c>
      <c r="S699" s="252">
        <v>0</v>
      </c>
      <c r="T699" s="252">
        <v>0</v>
      </c>
      <c r="U699" s="252">
        <v>0</v>
      </c>
      <c r="V699" s="252">
        <v>0</v>
      </c>
      <c r="W699" s="252">
        <v>0</v>
      </c>
      <c r="X699" s="252">
        <v>0</v>
      </c>
      <c r="Y699" s="252">
        <v>0</v>
      </c>
      <c r="Z699" s="252">
        <v>0</v>
      </c>
      <c r="AA699" s="252">
        <v>0</v>
      </c>
      <c r="AB699" s="252">
        <v>0</v>
      </c>
      <c r="AC699" s="252">
        <v>0</v>
      </c>
      <c r="AD699" s="252">
        <v>0</v>
      </c>
      <c r="AE699" s="252" t="s">
        <v>19</v>
      </c>
      <c r="AF699" s="252" t="s">
        <v>718</v>
      </c>
      <c r="AG699" s="252">
        <f t="shared" si="51"/>
        <v>12543.55</v>
      </c>
      <c r="AH699" s="252">
        <f t="shared" si="52"/>
        <v>0</v>
      </c>
      <c r="AI699" s="252">
        <f t="shared" si="53"/>
        <v>0</v>
      </c>
      <c r="AJ699" s="252">
        <f t="shared" si="54"/>
        <v>12543.55</v>
      </c>
    </row>
    <row r="700" spans="1:36" x14ac:dyDescent="0.2">
      <c r="A700" s="253" t="str">
        <f t="shared" si="50"/>
        <v>6370SNPETP6012</v>
      </c>
      <c r="B700" s="252" t="s">
        <v>19</v>
      </c>
      <c r="C700" s="252" t="s">
        <v>20</v>
      </c>
      <c r="D700" s="252" t="s">
        <v>2624</v>
      </c>
      <c r="E700" s="252" t="s">
        <v>2625</v>
      </c>
      <c r="F700" s="252" t="s">
        <v>2628</v>
      </c>
      <c r="G700" s="252">
        <v>12</v>
      </c>
      <c r="H700" s="252" t="s">
        <v>928</v>
      </c>
      <c r="I700" s="252" t="s">
        <v>2629</v>
      </c>
      <c r="J700" s="252" t="s">
        <v>928</v>
      </c>
      <c r="K700" s="252" t="s">
        <v>3236</v>
      </c>
      <c r="L700" s="252">
        <v>3138.07</v>
      </c>
      <c r="M700" s="252">
        <v>100</v>
      </c>
      <c r="N700" s="252">
        <v>0</v>
      </c>
      <c r="O700" s="252">
        <v>3138.07</v>
      </c>
      <c r="P700" s="252">
        <v>0</v>
      </c>
      <c r="Q700" s="252">
        <v>0</v>
      </c>
      <c r="R700" s="252">
        <v>0</v>
      </c>
      <c r="S700" s="252">
        <v>0</v>
      </c>
      <c r="T700" s="252">
        <v>0</v>
      </c>
      <c r="U700" s="252">
        <v>0</v>
      </c>
      <c r="V700" s="252">
        <v>0</v>
      </c>
      <c r="W700" s="252">
        <v>0</v>
      </c>
      <c r="X700" s="252">
        <v>0</v>
      </c>
      <c r="Y700" s="252">
        <v>0</v>
      </c>
      <c r="Z700" s="252">
        <v>0</v>
      </c>
      <c r="AA700" s="252">
        <v>0</v>
      </c>
      <c r="AB700" s="252">
        <v>0</v>
      </c>
      <c r="AC700" s="252">
        <v>0</v>
      </c>
      <c r="AD700" s="252">
        <v>0</v>
      </c>
      <c r="AE700" s="252" t="s">
        <v>19</v>
      </c>
      <c r="AF700" s="252" t="s">
        <v>718</v>
      </c>
      <c r="AG700" s="252">
        <f t="shared" si="51"/>
        <v>3138.07</v>
      </c>
      <c r="AH700" s="252">
        <f t="shared" si="52"/>
        <v>0</v>
      </c>
      <c r="AI700" s="252">
        <f t="shared" si="53"/>
        <v>0</v>
      </c>
      <c r="AJ700" s="252">
        <f t="shared" si="54"/>
        <v>3138.07</v>
      </c>
    </row>
    <row r="701" spans="1:36" x14ac:dyDescent="0.2">
      <c r="A701" s="253" t="str">
        <f t="shared" si="50"/>
        <v>6371SNPETP6012</v>
      </c>
      <c r="B701" s="252" t="s">
        <v>19</v>
      </c>
      <c r="C701" s="252" t="s">
        <v>20</v>
      </c>
      <c r="D701" s="252" t="s">
        <v>2624</v>
      </c>
      <c r="E701" s="252" t="s">
        <v>2625</v>
      </c>
      <c r="F701" s="252" t="s">
        <v>2628</v>
      </c>
      <c r="G701" s="252">
        <v>12</v>
      </c>
      <c r="H701" s="252" t="s">
        <v>928</v>
      </c>
      <c r="I701" s="252" t="s">
        <v>2630</v>
      </c>
      <c r="J701" s="252" t="s">
        <v>928</v>
      </c>
      <c r="K701" s="252" t="s">
        <v>3236</v>
      </c>
      <c r="L701" s="252">
        <v>3440.44</v>
      </c>
      <c r="M701" s="252">
        <v>100</v>
      </c>
      <c r="N701" s="252">
        <v>0</v>
      </c>
      <c r="O701" s="252">
        <v>3440.44</v>
      </c>
      <c r="P701" s="252">
        <v>0</v>
      </c>
      <c r="Q701" s="252">
        <v>0</v>
      </c>
      <c r="R701" s="252">
        <v>0</v>
      </c>
      <c r="S701" s="252">
        <v>0</v>
      </c>
      <c r="T701" s="252">
        <v>0</v>
      </c>
      <c r="U701" s="252">
        <v>0</v>
      </c>
      <c r="V701" s="252">
        <v>0</v>
      </c>
      <c r="W701" s="252">
        <v>0</v>
      </c>
      <c r="X701" s="252">
        <v>0</v>
      </c>
      <c r="Y701" s="252">
        <v>0</v>
      </c>
      <c r="Z701" s="252">
        <v>0</v>
      </c>
      <c r="AA701" s="252">
        <v>0</v>
      </c>
      <c r="AB701" s="252">
        <v>0</v>
      </c>
      <c r="AC701" s="252">
        <v>0</v>
      </c>
      <c r="AD701" s="252">
        <v>0</v>
      </c>
      <c r="AE701" s="252" t="s">
        <v>720</v>
      </c>
      <c r="AF701" s="252" t="s">
        <v>721</v>
      </c>
      <c r="AG701" s="252">
        <f t="shared" si="51"/>
        <v>3440.44</v>
      </c>
      <c r="AH701" s="252">
        <f t="shared" si="52"/>
        <v>0</v>
      </c>
      <c r="AI701" s="252">
        <f t="shared" si="53"/>
        <v>0</v>
      </c>
      <c r="AJ701" s="252">
        <f t="shared" si="54"/>
        <v>3440.44</v>
      </c>
    </row>
    <row r="702" spans="1:36" x14ac:dyDescent="0.2">
      <c r="A702" s="253" t="str">
        <f t="shared" si="50"/>
        <v>6372SNPETP6012</v>
      </c>
      <c r="B702" s="252" t="s">
        <v>19</v>
      </c>
      <c r="C702" s="252" t="s">
        <v>20</v>
      </c>
      <c r="D702" s="252" t="s">
        <v>2624</v>
      </c>
      <c r="E702" s="252" t="s">
        <v>2625</v>
      </c>
      <c r="F702" s="252" t="s">
        <v>2628</v>
      </c>
      <c r="G702" s="252">
        <v>12</v>
      </c>
      <c r="H702" s="252" t="s">
        <v>928</v>
      </c>
      <c r="I702" s="252" t="s">
        <v>2631</v>
      </c>
      <c r="J702" s="252" t="s">
        <v>928</v>
      </c>
      <c r="K702" s="252" t="s">
        <v>3236</v>
      </c>
      <c r="L702" s="252">
        <v>3440.44</v>
      </c>
      <c r="M702" s="252">
        <v>100</v>
      </c>
      <c r="N702" s="252">
        <v>0</v>
      </c>
      <c r="O702" s="252">
        <v>3440.44</v>
      </c>
      <c r="P702" s="252">
        <v>0</v>
      </c>
      <c r="Q702" s="252">
        <v>0</v>
      </c>
      <c r="R702" s="252">
        <v>0</v>
      </c>
      <c r="S702" s="252">
        <v>0</v>
      </c>
      <c r="T702" s="252">
        <v>0</v>
      </c>
      <c r="U702" s="252">
        <v>0</v>
      </c>
      <c r="V702" s="252">
        <v>0</v>
      </c>
      <c r="W702" s="252">
        <v>0</v>
      </c>
      <c r="X702" s="252">
        <v>0</v>
      </c>
      <c r="Y702" s="252">
        <v>0</v>
      </c>
      <c r="Z702" s="252">
        <v>0</v>
      </c>
      <c r="AA702" s="252">
        <v>0</v>
      </c>
      <c r="AB702" s="252">
        <v>0</v>
      </c>
      <c r="AC702" s="252">
        <v>0</v>
      </c>
      <c r="AD702" s="252">
        <v>0</v>
      </c>
      <c r="AE702" s="252" t="s">
        <v>720</v>
      </c>
      <c r="AF702" s="252" t="s">
        <v>721</v>
      </c>
      <c r="AG702" s="252">
        <f t="shared" si="51"/>
        <v>3440.44</v>
      </c>
      <c r="AH702" s="252">
        <f t="shared" si="52"/>
        <v>0</v>
      </c>
      <c r="AI702" s="252">
        <f t="shared" si="53"/>
        <v>0</v>
      </c>
      <c r="AJ702" s="252">
        <f t="shared" si="54"/>
        <v>3440.44</v>
      </c>
    </row>
    <row r="703" spans="1:36" x14ac:dyDescent="0.2">
      <c r="A703" s="253" t="str">
        <f t="shared" si="50"/>
        <v>6376SNPETP6012</v>
      </c>
      <c r="B703" s="252" t="s">
        <v>19</v>
      </c>
      <c r="C703" s="252" t="s">
        <v>20</v>
      </c>
      <c r="D703" s="252" t="s">
        <v>2624</v>
      </c>
      <c r="E703" s="252" t="s">
        <v>2625</v>
      </c>
      <c r="F703" s="252" t="s">
        <v>2628</v>
      </c>
      <c r="G703" s="252">
        <v>12</v>
      </c>
      <c r="H703" s="252" t="s">
        <v>928</v>
      </c>
      <c r="I703" s="252" t="s">
        <v>2632</v>
      </c>
      <c r="J703" s="252" t="s">
        <v>928</v>
      </c>
      <c r="K703" s="252" t="s">
        <v>3236</v>
      </c>
      <c r="L703" s="252">
        <v>3028</v>
      </c>
      <c r="M703" s="252">
        <v>100</v>
      </c>
      <c r="N703" s="252">
        <v>0</v>
      </c>
      <c r="O703" s="252">
        <v>3028</v>
      </c>
      <c r="P703" s="252">
        <v>0</v>
      </c>
      <c r="Q703" s="252">
        <v>0</v>
      </c>
      <c r="R703" s="252">
        <v>0</v>
      </c>
      <c r="S703" s="252">
        <v>0</v>
      </c>
      <c r="T703" s="252">
        <v>0</v>
      </c>
      <c r="U703" s="252">
        <v>0</v>
      </c>
      <c r="V703" s="252">
        <v>0</v>
      </c>
      <c r="W703" s="252">
        <v>0</v>
      </c>
      <c r="X703" s="252">
        <v>0</v>
      </c>
      <c r="Y703" s="252">
        <v>0</v>
      </c>
      <c r="Z703" s="252">
        <v>0</v>
      </c>
      <c r="AA703" s="252">
        <v>0</v>
      </c>
      <c r="AB703" s="252">
        <v>0</v>
      </c>
      <c r="AC703" s="252">
        <v>0</v>
      </c>
      <c r="AD703" s="252">
        <v>0</v>
      </c>
      <c r="AE703" s="252" t="s">
        <v>720</v>
      </c>
      <c r="AF703" s="252" t="s">
        <v>721</v>
      </c>
      <c r="AG703" s="252">
        <f t="shared" si="51"/>
        <v>3028</v>
      </c>
      <c r="AH703" s="252">
        <f t="shared" si="52"/>
        <v>0</v>
      </c>
      <c r="AI703" s="252">
        <f t="shared" si="53"/>
        <v>0</v>
      </c>
      <c r="AJ703" s="252">
        <f t="shared" si="54"/>
        <v>3028</v>
      </c>
    </row>
    <row r="704" spans="1:36" x14ac:dyDescent="0.2">
      <c r="A704" s="253" t="str">
        <f t="shared" si="50"/>
        <v>6377SNPETP6012</v>
      </c>
      <c r="B704" s="252" t="s">
        <v>19</v>
      </c>
      <c r="C704" s="252" t="s">
        <v>20</v>
      </c>
      <c r="D704" s="252" t="s">
        <v>2624</v>
      </c>
      <c r="E704" s="252" t="s">
        <v>2625</v>
      </c>
      <c r="F704" s="252" t="s">
        <v>2628</v>
      </c>
      <c r="G704" s="252">
        <v>12</v>
      </c>
      <c r="H704" s="252" t="s">
        <v>928</v>
      </c>
      <c r="I704" s="252" t="s">
        <v>2633</v>
      </c>
      <c r="J704" s="252" t="s">
        <v>928</v>
      </c>
      <c r="K704" s="252" t="s">
        <v>3236</v>
      </c>
      <c r="L704" s="252">
        <v>3028</v>
      </c>
      <c r="M704" s="252">
        <v>100</v>
      </c>
      <c r="N704" s="252">
        <v>0</v>
      </c>
      <c r="O704" s="252">
        <v>3028</v>
      </c>
      <c r="P704" s="252">
        <v>0</v>
      </c>
      <c r="Q704" s="252">
        <v>0</v>
      </c>
      <c r="R704" s="252">
        <v>0</v>
      </c>
      <c r="S704" s="252">
        <v>0</v>
      </c>
      <c r="T704" s="252">
        <v>0</v>
      </c>
      <c r="U704" s="252">
        <v>0</v>
      </c>
      <c r="V704" s="252">
        <v>0</v>
      </c>
      <c r="W704" s="252">
        <v>0</v>
      </c>
      <c r="X704" s="252">
        <v>0</v>
      </c>
      <c r="Y704" s="252">
        <v>0</v>
      </c>
      <c r="Z704" s="252">
        <v>0</v>
      </c>
      <c r="AA704" s="252">
        <v>0</v>
      </c>
      <c r="AB704" s="252">
        <v>0</v>
      </c>
      <c r="AC704" s="252">
        <v>0</v>
      </c>
      <c r="AD704" s="252">
        <v>0</v>
      </c>
      <c r="AE704" s="252" t="s">
        <v>720</v>
      </c>
      <c r="AF704" s="252" t="s">
        <v>721</v>
      </c>
      <c r="AG704" s="252">
        <f t="shared" si="51"/>
        <v>3028</v>
      </c>
      <c r="AH704" s="252">
        <f t="shared" si="52"/>
        <v>0</v>
      </c>
      <c r="AI704" s="252">
        <f t="shared" si="53"/>
        <v>0</v>
      </c>
      <c r="AJ704" s="252">
        <f t="shared" si="54"/>
        <v>3028</v>
      </c>
    </row>
    <row r="705" spans="1:36" x14ac:dyDescent="0.2">
      <c r="A705" s="253" t="str">
        <f t="shared" si="50"/>
        <v>6378SNPETP6012</v>
      </c>
      <c r="B705" s="252" t="s">
        <v>19</v>
      </c>
      <c r="C705" s="252" t="s">
        <v>20</v>
      </c>
      <c r="D705" s="252" t="s">
        <v>2624</v>
      </c>
      <c r="E705" s="252" t="s">
        <v>2625</v>
      </c>
      <c r="F705" s="252" t="s">
        <v>2628</v>
      </c>
      <c r="G705" s="252">
        <v>12</v>
      </c>
      <c r="H705" s="252" t="s">
        <v>928</v>
      </c>
      <c r="I705" s="252" t="s">
        <v>2634</v>
      </c>
      <c r="J705" s="252" t="s">
        <v>928</v>
      </c>
      <c r="K705" s="252" t="s">
        <v>3236</v>
      </c>
      <c r="L705" s="252">
        <v>3120.4</v>
      </c>
      <c r="M705" s="252">
        <v>100</v>
      </c>
      <c r="N705" s="252">
        <v>0</v>
      </c>
      <c r="O705" s="252">
        <v>3120.4</v>
      </c>
      <c r="P705" s="252">
        <v>0</v>
      </c>
      <c r="Q705" s="252">
        <v>0</v>
      </c>
      <c r="R705" s="252">
        <v>0</v>
      </c>
      <c r="S705" s="252">
        <v>0</v>
      </c>
      <c r="T705" s="252">
        <v>0</v>
      </c>
      <c r="U705" s="252">
        <v>0</v>
      </c>
      <c r="V705" s="252">
        <v>0</v>
      </c>
      <c r="W705" s="252">
        <v>0</v>
      </c>
      <c r="X705" s="252">
        <v>0</v>
      </c>
      <c r="Y705" s="252">
        <v>0</v>
      </c>
      <c r="Z705" s="252">
        <v>0</v>
      </c>
      <c r="AA705" s="252">
        <v>0</v>
      </c>
      <c r="AB705" s="252">
        <v>0</v>
      </c>
      <c r="AC705" s="252">
        <v>0</v>
      </c>
      <c r="AD705" s="252">
        <v>0</v>
      </c>
      <c r="AE705" s="252" t="s">
        <v>720</v>
      </c>
      <c r="AF705" s="252" t="s">
        <v>721</v>
      </c>
      <c r="AG705" s="252">
        <f t="shared" si="51"/>
        <v>3120.4</v>
      </c>
      <c r="AH705" s="252">
        <f t="shared" si="52"/>
        <v>0</v>
      </c>
      <c r="AI705" s="252">
        <f t="shared" si="53"/>
        <v>0</v>
      </c>
      <c r="AJ705" s="252">
        <f t="shared" si="54"/>
        <v>3120.4</v>
      </c>
    </row>
    <row r="706" spans="1:36" x14ac:dyDescent="0.2">
      <c r="A706" s="253" t="str">
        <f t="shared" si="50"/>
        <v>SNPETP6012</v>
      </c>
      <c r="B706" s="252" t="s">
        <v>19</v>
      </c>
      <c r="C706" s="252" t="s">
        <v>20</v>
      </c>
      <c r="D706" s="252" t="s">
        <v>2624</v>
      </c>
      <c r="E706" s="252" t="s">
        <v>2625</v>
      </c>
      <c r="F706" s="252" t="s">
        <v>2628</v>
      </c>
      <c r="G706" s="252">
        <v>12</v>
      </c>
      <c r="H706" s="252" t="s">
        <v>928</v>
      </c>
      <c r="I706" s="252" t="s">
        <v>928</v>
      </c>
      <c r="J706" s="252" t="s">
        <v>928</v>
      </c>
      <c r="K706" s="252" t="s">
        <v>3236</v>
      </c>
      <c r="L706" s="252">
        <v>3121.61</v>
      </c>
      <c r="M706" s="252">
        <v>100</v>
      </c>
      <c r="N706" s="252">
        <v>0</v>
      </c>
      <c r="O706" s="252">
        <v>3121.61</v>
      </c>
      <c r="P706" s="252">
        <v>0</v>
      </c>
      <c r="Q706" s="252">
        <v>0</v>
      </c>
      <c r="R706" s="252">
        <v>0</v>
      </c>
      <c r="S706" s="252">
        <v>0</v>
      </c>
      <c r="T706" s="252">
        <v>0</v>
      </c>
      <c r="U706" s="252">
        <v>0</v>
      </c>
      <c r="V706" s="252">
        <v>0</v>
      </c>
      <c r="W706" s="252">
        <v>0</v>
      </c>
      <c r="X706" s="252">
        <v>0</v>
      </c>
      <c r="Y706" s="252">
        <v>0</v>
      </c>
      <c r="Z706" s="252">
        <v>0</v>
      </c>
      <c r="AA706" s="252">
        <v>0</v>
      </c>
      <c r="AB706" s="252">
        <v>0</v>
      </c>
      <c r="AC706" s="252">
        <v>0</v>
      </c>
      <c r="AD706" s="252">
        <v>0</v>
      </c>
      <c r="AE706" s="252" t="s">
        <v>720</v>
      </c>
      <c r="AF706" s="252" t="s">
        <v>721</v>
      </c>
      <c r="AG706" s="252">
        <f t="shared" si="51"/>
        <v>3121.61</v>
      </c>
      <c r="AH706" s="252">
        <f t="shared" si="52"/>
        <v>0</v>
      </c>
      <c r="AI706" s="252">
        <f t="shared" si="53"/>
        <v>0</v>
      </c>
      <c r="AJ706" s="252">
        <f t="shared" si="54"/>
        <v>3121.61</v>
      </c>
    </row>
    <row r="707" spans="1:36" x14ac:dyDescent="0.2">
      <c r="A707" s="253" t="str">
        <f t="shared" si="50"/>
        <v>6360SNPETP6016</v>
      </c>
      <c r="B707" s="252" t="s">
        <v>19</v>
      </c>
      <c r="C707" s="252" t="s">
        <v>20</v>
      </c>
      <c r="D707" s="252" t="s">
        <v>2624</v>
      </c>
      <c r="E707" s="252" t="s">
        <v>2625</v>
      </c>
      <c r="F707" s="252" t="s">
        <v>2628</v>
      </c>
      <c r="G707" s="252">
        <v>16</v>
      </c>
      <c r="H707" s="252" t="s">
        <v>928</v>
      </c>
      <c r="I707" s="252" t="s">
        <v>2627</v>
      </c>
      <c r="J707" s="252" t="s">
        <v>928</v>
      </c>
      <c r="K707" s="252" t="s">
        <v>3236</v>
      </c>
      <c r="L707" s="252">
        <v>4882.6400000000003</v>
      </c>
      <c r="M707" s="252">
        <v>100</v>
      </c>
      <c r="N707" s="252">
        <v>0</v>
      </c>
      <c r="O707" s="252">
        <v>4882.6400000000003</v>
      </c>
      <c r="P707" s="252">
        <v>0</v>
      </c>
      <c r="Q707" s="252">
        <v>0</v>
      </c>
      <c r="R707" s="252">
        <v>0</v>
      </c>
      <c r="S707" s="252">
        <v>0</v>
      </c>
      <c r="T707" s="252">
        <v>0</v>
      </c>
      <c r="U707" s="252">
        <v>0</v>
      </c>
      <c r="V707" s="252">
        <v>0</v>
      </c>
      <c r="W707" s="252">
        <v>0</v>
      </c>
      <c r="X707" s="252">
        <v>0</v>
      </c>
      <c r="Y707" s="252">
        <v>0</v>
      </c>
      <c r="Z707" s="252">
        <v>0</v>
      </c>
      <c r="AA707" s="252">
        <v>0</v>
      </c>
      <c r="AB707" s="252">
        <v>0</v>
      </c>
      <c r="AC707" s="252">
        <v>0</v>
      </c>
      <c r="AD707" s="252">
        <v>0</v>
      </c>
      <c r="AE707" s="252" t="s">
        <v>720</v>
      </c>
      <c r="AF707" s="252" t="s">
        <v>721</v>
      </c>
      <c r="AG707" s="252">
        <f t="shared" si="51"/>
        <v>4882.6400000000003</v>
      </c>
      <c r="AH707" s="252">
        <f t="shared" si="52"/>
        <v>0</v>
      </c>
      <c r="AI707" s="252">
        <f t="shared" si="53"/>
        <v>0</v>
      </c>
      <c r="AJ707" s="252">
        <f t="shared" si="54"/>
        <v>4882.6400000000003</v>
      </c>
    </row>
    <row r="708" spans="1:36" x14ac:dyDescent="0.2">
      <c r="A708" s="253" t="str">
        <f>TRIM(I708&amp;B708&amp;C708&amp;D708&amp;F708&amp;G708)</f>
        <v>SNPETP6016</v>
      </c>
      <c r="B708" s="252" t="s">
        <v>19</v>
      </c>
      <c r="C708" s="252" t="s">
        <v>20</v>
      </c>
      <c r="D708" s="252" t="s">
        <v>2624</v>
      </c>
      <c r="E708" s="252" t="s">
        <v>2625</v>
      </c>
      <c r="F708" s="252" t="s">
        <v>2628</v>
      </c>
      <c r="G708" s="252">
        <v>16</v>
      </c>
      <c r="H708" s="252" t="s">
        <v>928</v>
      </c>
      <c r="I708" s="252" t="s">
        <v>928</v>
      </c>
      <c r="J708" s="252" t="s">
        <v>928</v>
      </c>
      <c r="K708" s="252" t="s">
        <v>3236</v>
      </c>
      <c r="L708" s="252">
        <v>4882.6400000000003</v>
      </c>
      <c r="M708" s="252">
        <v>100</v>
      </c>
      <c r="N708" s="252">
        <v>0</v>
      </c>
      <c r="O708" s="252">
        <v>4882.6400000000003</v>
      </c>
      <c r="P708" s="252">
        <v>0</v>
      </c>
      <c r="Q708" s="252">
        <v>0</v>
      </c>
      <c r="R708" s="252">
        <v>0</v>
      </c>
      <c r="S708" s="252">
        <v>0</v>
      </c>
      <c r="T708" s="252">
        <v>0</v>
      </c>
      <c r="U708" s="252">
        <v>0</v>
      </c>
      <c r="V708" s="252">
        <v>0</v>
      </c>
      <c r="W708" s="252">
        <v>0</v>
      </c>
      <c r="X708" s="252">
        <v>0</v>
      </c>
      <c r="Y708" s="252">
        <v>0</v>
      </c>
      <c r="Z708" s="252">
        <v>0</v>
      </c>
      <c r="AA708" s="252">
        <v>0</v>
      </c>
      <c r="AB708" s="252">
        <v>0</v>
      </c>
      <c r="AC708" s="252">
        <v>0</v>
      </c>
      <c r="AD708" s="252">
        <v>0</v>
      </c>
      <c r="AE708" s="252" t="s">
        <v>720</v>
      </c>
      <c r="AF708" s="252" t="s">
        <v>721</v>
      </c>
      <c r="AG708" s="252">
        <f t="shared" si="51"/>
        <v>4882.6400000000003</v>
      </c>
      <c r="AH708" s="252">
        <f t="shared" si="52"/>
        <v>0</v>
      </c>
      <c r="AI708" s="252">
        <f t="shared" si="53"/>
        <v>0</v>
      </c>
      <c r="AJ708" s="252">
        <f t="shared" si="54"/>
        <v>4882.6400000000003</v>
      </c>
    </row>
    <row r="709" spans="1:36" x14ac:dyDescent="0.2">
      <c r="A709" s="253" t="str">
        <f t="shared" si="50"/>
        <v>6371SNPETP60C12</v>
      </c>
      <c r="B709" s="252" t="s">
        <v>19</v>
      </c>
      <c r="C709" s="252" t="s">
        <v>20</v>
      </c>
      <c r="D709" s="252" t="s">
        <v>2624</v>
      </c>
      <c r="E709" s="252" t="s">
        <v>2625</v>
      </c>
      <c r="F709" s="252" t="s">
        <v>2635</v>
      </c>
      <c r="G709" s="252">
        <v>12</v>
      </c>
      <c r="H709" s="252" t="s">
        <v>928</v>
      </c>
      <c r="I709" s="252" t="s">
        <v>2630</v>
      </c>
      <c r="J709" s="252" t="s">
        <v>928</v>
      </c>
      <c r="K709" s="252" t="s">
        <v>3236</v>
      </c>
      <c r="L709" s="252">
        <v>3440.44</v>
      </c>
      <c r="M709" s="252">
        <v>100</v>
      </c>
      <c r="N709" s="252">
        <v>0</v>
      </c>
      <c r="O709" s="252">
        <v>3440.44</v>
      </c>
      <c r="P709" s="252">
        <v>0</v>
      </c>
      <c r="Q709" s="252">
        <v>0</v>
      </c>
      <c r="R709" s="252">
        <v>0</v>
      </c>
      <c r="S709" s="252">
        <v>0</v>
      </c>
      <c r="T709" s="252">
        <v>0</v>
      </c>
      <c r="U709" s="252">
        <v>0</v>
      </c>
      <c r="V709" s="252">
        <v>0</v>
      </c>
      <c r="W709" s="252">
        <v>0</v>
      </c>
      <c r="X709" s="252">
        <v>0</v>
      </c>
      <c r="Y709" s="252">
        <v>0</v>
      </c>
      <c r="Z709" s="252">
        <v>0</v>
      </c>
      <c r="AA709" s="252">
        <v>0</v>
      </c>
      <c r="AB709" s="252">
        <v>0</v>
      </c>
      <c r="AC709" s="252">
        <v>0</v>
      </c>
      <c r="AD709" s="252">
        <v>0</v>
      </c>
      <c r="AE709" s="252" t="s">
        <v>720</v>
      </c>
      <c r="AF709" s="252" t="s">
        <v>721</v>
      </c>
      <c r="AG709" s="252">
        <f t="shared" si="51"/>
        <v>3440.44</v>
      </c>
      <c r="AH709" s="252">
        <f t="shared" si="52"/>
        <v>0</v>
      </c>
      <c r="AI709" s="252">
        <f t="shared" si="53"/>
        <v>0</v>
      </c>
      <c r="AJ709" s="252">
        <f t="shared" si="54"/>
        <v>3440.44</v>
      </c>
    </row>
    <row r="710" spans="1:36" x14ac:dyDescent="0.2">
      <c r="A710" s="253" t="str">
        <f t="shared" si="50"/>
        <v>SNPETP60C12</v>
      </c>
      <c r="B710" s="252" t="s">
        <v>19</v>
      </c>
      <c r="C710" s="252" t="s">
        <v>20</v>
      </c>
      <c r="D710" s="252" t="s">
        <v>2624</v>
      </c>
      <c r="E710" s="252" t="s">
        <v>2625</v>
      </c>
      <c r="F710" s="252" t="s">
        <v>2635</v>
      </c>
      <c r="G710" s="252">
        <v>12</v>
      </c>
      <c r="H710" s="252" t="s">
        <v>928</v>
      </c>
      <c r="I710" s="252" t="s">
        <v>928</v>
      </c>
      <c r="J710" s="252" t="s">
        <v>928</v>
      </c>
      <c r="K710" s="252" t="s">
        <v>3236</v>
      </c>
      <c r="L710" s="252">
        <v>3440.44</v>
      </c>
      <c r="M710" s="252">
        <v>100</v>
      </c>
      <c r="N710" s="252">
        <v>0</v>
      </c>
      <c r="O710" s="252">
        <v>3440.44</v>
      </c>
      <c r="P710" s="252">
        <v>0</v>
      </c>
      <c r="Q710" s="252">
        <v>0</v>
      </c>
      <c r="R710" s="252">
        <v>0</v>
      </c>
      <c r="S710" s="252">
        <v>0</v>
      </c>
      <c r="T710" s="252">
        <v>0</v>
      </c>
      <c r="U710" s="252">
        <v>0</v>
      </c>
      <c r="V710" s="252">
        <v>0</v>
      </c>
      <c r="W710" s="252">
        <v>0</v>
      </c>
      <c r="X710" s="252">
        <v>0</v>
      </c>
      <c r="Y710" s="252">
        <v>0</v>
      </c>
      <c r="Z710" s="252">
        <v>0</v>
      </c>
      <c r="AA710" s="252">
        <v>0</v>
      </c>
      <c r="AB710" s="252">
        <v>0</v>
      </c>
      <c r="AC710" s="252">
        <v>0</v>
      </c>
      <c r="AD710" s="252">
        <v>0</v>
      </c>
      <c r="AE710" s="252" t="s">
        <v>720</v>
      </c>
      <c r="AF710" s="252" t="s">
        <v>721</v>
      </c>
      <c r="AG710" s="252">
        <f t="shared" ref="AG710:AG773" si="55">+O710*M710/100</f>
        <v>3440.44</v>
      </c>
      <c r="AH710" s="252">
        <f t="shared" ref="AH710:AH773" si="56">+P710*M710/100</f>
        <v>0</v>
      </c>
      <c r="AI710" s="252">
        <f t="shared" ref="AI710:AI773" si="57">+AB710*M710/100</f>
        <v>0</v>
      </c>
      <c r="AJ710" s="252">
        <f t="shared" ref="AJ710:AJ773" si="58">+AG710+AH710+AI710</f>
        <v>3440.44</v>
      </c>
    </row>
    <row r="711" spans="1:36" x14ac:dyDescent="0.2">
      <c r="A711" s="253" t="str">
        <f t="shared" ref="A711:A774" si="59">TRIM(I711&amp;B711&amp;C711&amp;D711&amp;F711&amp;G711)</f>
        <v>6370SNPETP60D12</v>
      </c>
      <c r="B711" s="252" t="s">
        <v>19</v>
      </c>
      <c r="C711" s="252" t="s">
        <v>20</v>
      </c>
      <c r="D711" s="252" t="s">
        <v>2624</v>
      </c>
      <c r="E711" s="252" t="s">
        <v>2625</v>
      </c>
      <c r="F711" s="252" t="s">
        <v>2636</v>
      </c>
      <c r="G711" s="252">
        <v>12</v>
      </c>
      <c r="H711" s="252" t="s">
        <v>928</v>
      </c>
      <c r="I711" s="252" t="s">
        <v>2629</v>
      </c>
      <c r="J711" s="252" t="s">
        <v>928</v>
      </c>
      <c r="K711" s="252" t="s">
        <v>3236</v>
      </c>
      <c r="L711" s="252">
        <v>3112</v>
      </c>
      <c r="M711" s="252">
        <v>100</v>
      </c>
      <c r="N711" s="252">
        <v>0</v>
      </c>
      <c r="O711" s="252">
        <v>3112</v>
      </c>
      <c r="P711" s="252">
        <v>0</v>
      </c>
      <c r="Q711" s="252">
        <v>0</v>
      </c>
      <c r="R711" s="252">
        <v>0</v>
      </c>
      <c r="S711" s="252">
        <v>0</v>
      </c>
      <c r="T711" s="252">
        <v>0</v>
      </c>
      <c r="U711" s="252">
        <v>0</v>
      </c>
      <c r="V711" s="252">
        <v>0</v>
      </c>
      <c r="W711" s="252">
        <v>0</v>
      </c>
      <c r="X711" s="252">
        <v>0</v>
      </c>
      <c r="Y711" s="252">
        <v>0</v>
      </c>
      <c r="Z711" s="252">
        <v>0</v>
      </c>
      <c r="AA711" s="252">
        <v>0</v>
      </c>
      <c r="AB711" s="252">
        <v>0</v>
      </c>
      <c r="AC711" s="252">
        <v>0</v>
      </c>
      <c r="AD711" s="252">
        <v>0</v>
      </c>
      <c r="AE711" s="252" t="s">
        <v>720</v>
      </c>
      <c r="AF711" s="252" t="s">
        <v>721</v>
      </c>
      <c r="AG711" s="252">
        <f t="shared" si="55"/>
        <v>3112</v>
      </c>
      <c r="AH711" s="252">
        <f t="shared" si="56"/>
        <v>0</v>
      </c>
      <c r="AI711" s="252">
        <f t="shared" si="57"/>
        <v>0</v>
      </c>
      <c r="AJ711" s="252">
        <f t="shared" si="58"/>
        <v>3112</v>
      </c>
    </row>
    <row r="712" spans="1:36" x14ac:dyDescent="0.2">
      <c r="A712" s="253" t="str">
        <f t="shared" si="59"/>
        <v>SNPETP60D12</v>
      </c>
      <c r="B712" s="252" t="s">
        <v>19</v>
      </c>
      <c r="C712" s="252" t="s">
        <v>20</v>
      </c>
      <c r="D712" s="252" t="s">
        <v>2624</v>
      </c>
      <c r="E712" s="252" t="s">
        <v>2625</v>
      </c>
      <c r="F712" s="252" t="s">
        <v>2636</v>
      </c>
      <c r="G712" s="252">
        <v>12</v>
      </c>
      <c r="H712" s="252" t="s">
        <v>928</v>
      </c>
      <c r="I712" s="252" t="s">
        <v>928</v>
      </c>
      <c r="J712" s="252" t="s">
        <v>928</v>
      </c>
      <c r="K712" s="252" t="s">
        <v>3236</v>
      </c>
      <c r="L712" s="252">
        <v>3112</v>
      </c>
      <c r="M712" s="252">
        <v>100</v>
      </c>
      <c r="N712" s="252">
        <v>0</v>
      </c>
      <c r="O712" s="252">
        <v>3112</v>
      </c>
      <c r="P712" s="252">
        <v>0</v>
      </c>
      <c r="Q712" s="252">
        <v>0</v>
      </c>
      <c r="R712" s="252">
        <v>0</v>
      </c>
      <c r="S712" s="252">
        <v>0</v>
      </c>
      <c r="T712" s="252">
        <v>0</v>
      </c>
      <c r="U712" s="252">
        <v>0</v>
      </c>
      <c r="V712" s="252">
        <v>0</v>
      </c>
      <c r="W712" s="252">
        <v>0</v>
      </c>
      <c r="X712" s="252">
        <v>0</v>
      </c>
      <c r="Y712" s="252">
        <v>0</v>
      </c>
      <c r="Z712" s="252">
        <v>0</v>
      </c>
      <c r="AA712" s="252">
        <v>0</v>
      </c>
      <c r="AB712" s="252">
        <v>0</v>
      </c>
      <c r="AC712" s="252">
        <v>0</v>
      </c>
      <c r="AD712" s="252">
        <v>0</v>
      </c>
      <c r="AE712" s="252" t="s">
        <v>720</v>
      </c>
      <c r="AF712" s="252" t="s">
        <v>721</v>
      </c>
      <c r="AG712" s="252">
        <f t="shared" si="55"/>
        <v>3112</v>
      </c>
      <c r="AH712" s="252">
        <f t="shared" si="56"/>
        <v>0</v>
      </c>
      <c r="AI712" s="252">
        <f t="shared" si="57"/>
        <v>0</v>
      </c>
      <c r="AJ712" s="252">
        <f t="shared" si="58"/>
        <v>3112</v>
      </c>
    </row>
    <row r="713" spans="1:36" x14ac:dyDescent="0.2">
      <c r="A713" s="253" t="str">
        <f t="shared" si="59"/>
        <v>6260SNPETP60K12</v>
      </c>
      <c r="B713" s="252" t="s">
        <v>19</v>
      </c>
      <c r="C713" s="252" t="s">
        <v>20</v>
      </c>
      <c r="D713" s="252" t="s">
        <v>2624</v>
      </c>
      <c r="E713" s="252" t="s">
        <v>2625</v>
      </c>
      <c r="F713" s="252" t="s">
        <v>2637</v>
      </c>
      <c r="G713" s="252">
        <v>12</v>
      </c>
      <c r="H713" s="252" t="s">
        <v>928</v>
      </c>
      <c r="I713" s="252" t="s">
        <v>2638</v>
      </c>
      <c r="J713" s="252" t="s">
        <v>928</v>
      </c>
      <c r="K713" s="252" t="s">
        <v>3236</v>
      </c>
      <c r="L713" s="252">
        <v>3213.84</v>
      </c>
      <c r="M713" s="252">
        <v>100</v>
      </c>
      <c r="N713" s="252">
        <v>0</v>
      </c>
      <c r="O713" s="252">
        <v>3213.84</v>
      </c>
      <c r="P713" s="252">
        <v>0</v>
      </c>
      <c r="Q713" s="252">
        <v>0</v>
      </c>
      <c r="R713" s="252">
        <v>0</v>
      </c>
      <c r="S713" s="252">
        <v>0</v>
      </c>
      <c r="T713" s="252">
        <v>0</v>
      </c>
      <c r="U713" s="252">
        <v>0</v>
      </c>
      <c r="V713" s="252">
        <v>0</v>
      </c>
      <c r="W713" s="252">
        <v>0</v>
      </c>
      <c r="X713" s="252">
        <v>0</v>
      </c>
      <c r="Y713" s="252">
        <v>0</v>
      </c>
      <c r="Z713" s="252">
        <v>0</v>
      </c>
      <c r="AA713" s="252">
        <v>0</v>
      </c>
      <c r="AB713" s="252">
        <v>0</v>
      </c>
      <c r="AC713" s="252">
        <v>0</v>
      </c>
      <c r="AD713" s="252">
        <v>0</v>
      </c>
      <c r="AE713" s="252" t="s">
        <v>720</v>
      </c>
      <c r="AF713" s="252" t="s">
        <v>721</v>
      </c>
      <c r="AG713" s="252">
        <f t="shared" si="55"/>
        <v>3213.84</v>
      </c>
      <c r="AH713" s="252">
        <f t="shared" si="56"/>
        <v>0</v>
      </c>
      <c r="AI713" s="252">
        <f t="shared" si="57"/>
        <v>0</v>
      </c>
      <c r="AJ713" s="252">
        <f t="shared" si="58"/>
        <v>3213.84</v>
      </c>
    </row>
    <row r="714" spans="1:36" x14ac:dyDescent="0.2">
      <c r="A714" s="253" t="str">
        <f t="shared" si="59"/>
        <v>SNPETP60K12</v>
      </c>
      <c r="B714" s="252" t="s">
        <v>19</v>
      </c>
      <c r="C714" s="252" t="s">
        <v>20</v>
      </c>
      <c r="D714" s="252" t="s">
        <v>2624</v>
      </c>
      <c r="E714" s="252" t="s">
        <v>2625</v>
      </c>
      <c r="F714" s="252" t="s">
        <v>2637</v>
      </c>
      <c r="G714" s="252">
        <v>12</v>
      </c>
      <c r="H714" s="252" t="s">
        <v>928</v>
      </c>
      <c r="I714" s="252" t="s">
        <v>928</v>
      </c>
      <c r="J714" s="252" t="s">
        <v>928</v>
      </c>
      <c r="K714" s="252" t="s">
        <v>3236</v>
      </c>
      <c r="L714" s="252">
        <v>3213.84</v>
      </c>
      <c r="M714" s="252">
        <v>100</v>
      </c>
      <c r="N714" s="252">
        <v>0</v>
      </c>
      <c r="O714" s="252">
        <v>3213.84</v>
      </c>
      <c r="P714" s="252">
        <v>0</v>
      </c>
      <c r="Q714" s="252">
        <v>0</v>
      </c>
      <c r="R714" s="252">
        <v>0</v>
      </c>
      <c r="S714" s="252">
        <v>0</v>
      </c>
      <c r="T714" s="252">
        <v>0</v>
      </c>
      <c r="U714" s="252">
        <v>0</v>
      </c>
      <c r="V714" s="252">
        <v>0</v>
      </c>
      <c r="W714" s="252">
        <v>0</v>
      </c>
      <c r="X714" s="252">
        <v>0</v>
      </c>
      <c r="Y714" s="252">
        <v>0</v>
      </c>
      <c r="Z714" s="252">
        <v>0</v>
      </c>
      <c r="AA714" s="252">
        <v>0</v>
      </c>
      <c r="AB714" s="252">
        <v>0</v>
      </c>
      <c r="AC714" s="252">
        <v>0</v>
      </c>
      <c r="AD714" s="252">
        <v>0</v>
      </c>
      <c r="AE714" s="252" t="s">
        <v>720</v>
      </c>
      <c r="AF714" s="252" t="s">
        <v>721</v>
      </c>
      <c r="AG714" s="252">
        <f t="shared" si="55"/>
        <v>3213.84</v>
      </c>
      <c r="AH714" s="252">
        <f t="shared" si="56"/>
        <v>0</v>
      </c>
      <c r="AI714" s="252">
        <f t="shared" si="57"/>
        <v>0</v>
      </c>
      <c r="AJ714" s="252">
        <f t="shared" si="58"/>
        <v>3213.84</v>
      </c>
    </row>
    <row r="715" spans="1:36" x14ac:dyDescent="0.2">
      <c r="A715" s="253" t="str">
        <f t="shared" si="59"/>
        <v>6371SNPETP60M12</v>
      </c>
      <c r="B715" s="252" t="s">
        <v>19</v>
      </c>
      <c r="C715" s="252" t="s">
        <v>20</v>
      </c>
      <c r="D715" s="252" t="s">
        <v>2624</v>
      </c>
      <c r="E715" s="252" t="s">
        <v>2625</v>
      </c>
      <c r="F715" s="252" t="s">
        <v>2639</v>
      </c>
      <c r="G715" s="252">
        <v>12</v>
      </c>
      <c r="H715" s="252" t="s">
        <v>928</v>
      </c>
      <c r="I715" s="252" t="s">
        <v>2630</v>
      </c>
      <c r="J715" s="252" t="s">
        <v>928</v>
      </c>
      <c r="K715" s="252" t="s">
        <v>3236</v>
      </c>
      <c r="L715" s="252">
        <v>2744.08</v>
      </c>
      <c r="M715" s="252">
        <v>100</v>
      </c>
      <c r="N715" s="252">
        <v>0</v>
      </c>
      <c r="O715" s="252">
        <v>2744.08</v>
      </c>
      <c r="P715" s="252">
        <v>0</v>
      </c>
      <c r="Q715" s="252">
        <v>0</v>
      </c>
      <c r="R715" s="252">
        <v>0</v>
      </c>
      <c r="S715" s="252">
        <v>0</v>
      </c>
      <c r="T715" s="252">
        <v>0</v>
      </c>
      <c r="U715" s="252">
        <v>0</v>
      </c>
      <c r="V715" s="252">
        <v>0</v>
      </c>
      <c r="W715" s="252">
        <v>0</v>
      </c>
      <c r="X715" s="252">
        <v>0</v>
      </c>
      <c r="Y715" s="252">
        <v>0</v>
      </c>
      <c r="Z715" s="252">
        <v>0</v>
      </c>
      <c r="AA715" s="252">
        <v>0</v>
      </c>
      <c r="AB715" s="252">
        <v>0</v>
      </c>
      <c r="AC715" s="252">
        <v>0</v>
      </c>
      <c r="AD715" s="252">
        <v>0</v>
      </c>
      <c r="AE715" s="252" t="s">
        <v>720</v>
      </c>
      <c r="AF715" s="252" t="s">
        <v>721</v>
      </c>
      <c r="AG715" s="252">
        <f t="shared" si="55"/>
        <v>2744.08</v>
      </c>
      <c r="AH715" s="252">
        <f t="shared" si="56"/>
        <v>0</v>
      </c>
      <c r="AI715" s="252">
        <f t="shared" si="57"/>
        <v>0</v>
      </c>
      <c r="AJ715" s="252">
        <f t="shared" si="58"/>
        <v>2744.08</v>
      </c>
    </row>
    <row r="716" spans="1:36" x14ac:dyDescent="0.2">
      <c r="A716" s="253" t="str">
        <f t="shared" si="59"/>
        <v>SNPETP60M12</v>
      </c>
      <c r="B716" s="252" t="s">
        <v>19</v>
      </c>
      <c r="C716" s="252" t="s">
        <v>20</v>
      </c>
      <c r="D716" s="252" t="s">
        <v>2624</v>
      </c>
      <c r="E716" s="252" t="s">
        <v>2625</v>
      </c>
      <c r="F716" s="252" t="s">
        <v>2639</v>
      </c>
      <c r="G716" s="252">
        <v>12</v>
      </c>
      <c r="H716" s="252" t="s">
        <v>928</v>
      </c>
      <c r="I716" s="252" t="s">
        <v>928</v>
      </c>
      <c r="J716" s="252" t="s">
        <v>928</v>
      </c>
      <c r="K716" s="252" t="s">
        <v>3236</v>
      </c>
      <c r="L716" s="252">
        <v>2744.08</v>
      </c>
      <c r="M716" s="252">
        <v>100</v>
      </c>
      <c r="N716" s="252">
        <v>0</v>
      </c>
      <c r="O716" s="252">
        <v>2744.08</v>
      </c>
      <c r="P716" s="252">
        <v>0</v>
      </c>
      <c r="Q716" s="252">
        <v>0</v>
      </c>
      <c r="R716" s="252">
        <v>0</v>
      </c>
      <c r="S716" s="252">
        <v>0</v>
      </c>
      <c r="T716" s="252">
        <v>0</v>
      </c>
      <c r="U716" s="252">
        <v>0</v>
      </c>
      <c r="V716" s="252">
        <v>0</v>
      </c>
      <c r="W716" s="252">
        <v>0</v>
      </c>
      <c r="X716" s="252">
        <v>0</v>
      </c>
      <c r="Y716" s="252">
        <v>0</v>
      </c>
      <c r="Z716" s="252">
        <v>0</v>
      </c>
      <c r="AA716" s="252">
        <v>0</v>
      </c>
      <c r="AB716" s="252">
        <v>0</v>
      </c>
      <c r="AC716" s="252">
        <v>0</v>
      </c>
      <c r="AD716" s="252">
        <v>0</v>
      </c>
      <c r="AE716" s="252" t="s">
        <v>720</v>
      </c>
      <c r="AF716" s="252" t="s">
        <v>721</v>
      </c>
      <c r="AG716" s="252">
        <f t="shared" si="55"/>
        <v>2744.08</v>
      </c>
      <c r="AH716" s="252">
        <f t="shared" si="56"/>
        <v>0</v>
      </c>
      <c r="AI716" s="252">
        <f t="shared" si="57"/>
        <v>0</v>
      </c>
      <c r="AJ716" s="252">
        <f t="shared" si="58"/>
        <v>2744.08</v>
      </c>
    </row>
    <row r="717" spans="1:36" x14ac:dyDescent="0.2">
      <c r="A717" s="253" t="str">
        <f t="shared" si="59"/>
        <v>6370SNPETP60P12</v>
      </c>
      <c r="B717" s="252" t="s">
        <v>19</v>
      </c>
      <c r="C717" s="252" t="s">
        <v>20</v>
      </c>
      <c r="D717" s="252" t="s">
        <v>2624</v>
      </c>
      <c r="E717" s="252" t="s">
        <v>2625</v>
      </c>
      <c r="F717" s="252" t="s">
        <v>2640</v>
      </c>
      <c r="G717" s="252">
        <v>12</v>
      </c>
      <c r="H717" s="252" t="s">
        <v>928</v>
      </c>
      <c r="I717" s="252" t="s">
        <v>2629</v>
      </c>
      <c r="J717" s="252" t="s">
        <v>928</v>
      </c>
      <c r="K717" s="252" t="s">
        <v>3236</v>
      </c>
      <c r="L717" s="252">
        <v>3154</v>
      </c>
      <c r="M717" s="252">
        <v>100</v>
      </c>
      <c r="N717" s="252">
        <v>0</v>
      </c>
      <c r="O717" s="252">
        <v>3154</v>
      </c>
      <c r="P717" s="252">
        <v>0</v>
      </c>
      <c r="Q717" s="252">
        <v>0</v>
      </c>
      <c r="R717" s="252">
        <v>0</v>
      </c>
      <c r="S717" s="252">
        <v>0</v>
      </c>
      <c r="T717" s="252">
        <v>0</v>
      </c>
      <c r="U717" s="252">
        <v>0</v>
      </c>
      <c r="V717" s="252">
        <v>0</v>
      </c>
      <c r="W717" s="252">
        <v>0</v>
      </c>
      <c r="X717" s="252">
        <v>0</v>
      </c>
      <c r="Y717" s="252">
        <v>0</v>
      </c>
      <c r="Z717" s="252">
        <v>0</v>
      </c>
      <c r="AA717" s="252">
        <v>0</v>
      </c>
      <c r="AB717" s="252">
        <v>0</v>
      </c>
      <c r="AC717" s="252">
        <v>0</v>
      </c>
      <c r="AD717" s="252">
        <v>0</v>
      </c>
      <c r="AE717" s="252" t="s">
        <v>720</v>
      </c>
      <c r="AF717" s="252" t="s">
        <v>721</v>
      </c>
      <c r="AG717" s="252">
        <f t="shared" si="55"/>
        <v>3154</v>
      </c>
      <c r="AH717" s="252">
        <f t="shared" si="56"/>
        <v>0</v>
      </c>
      <c r="AI717" s="252">
        <f t="shared" si="57"/>
        <v>0</v>
      </c>
      <c r="AJ717" s="252">
        <f t="shared" si="58"/>
        <v>3154</v>
      </c>
    </row>
    <row r="718" spans="1:36" x14ac:dyDescent="0.2">
      <c r="A718" s="253" t="str">
        <f t="shared" si="59"/>
        <v>6372SNPETP60P12</v>
      </c>
      <c r="B718" s="252" t="s">
        <v>19</v>
      </c>
      <c r="C718" s="252" t="s">
        <v>20</v>
      </c>
      <c r="D718" s="252" t="s">
        <v>2624</v>
      </c>
      <c r="E718" s="252" t="s">
        <v>2625</v>
      </c>
      <c r="F718" s="252" t="s">
        <v>2640</v>
      </c>
      <c r="G718" s="252">
        <v>12</v>
      </c>
      <c r="H718" s="252" t="s">
        <v>928</v>
      </c>
      <c r="I718" s="252" t="s">
        <v>2631</v>
      </c>
      <c r="J718" s="252" t="s">
        <v>928</v>
      </c>
      <c r="K718" s="252" t="s">
        <v>3236</v>
      </c>
      <c r="L718" s="252">
        <v>3154</v>
      </c>
      <c r="M718" s="252">
        <v>100</v>
      </c>
      <c r="N718" s="252">
        <v>0</v>
      </c>
      <c r="O718" s="252">
        <v>3154</v>
      </c>
      <c r="P718" s="252">
        <v>0</v>
      </c>
      <c r="Q718" s="252">
        <v>0</v>
      </c>
      <c r="R718" s="252">
        <v>0</v>
      </c>
      <c r="S718" s="252">
        <v>0</v>
      </c>
      <c r="T718" s="252">
        <v>0</v>
      </c>
      <c r="U718" s="252">
        <v>0</v>
      </c>
      <c r="V718" s="252">
        <v>0</v>
      </c>
      <c r="W718" s="252">
        <v>0</v>
      </c>
      <c r="X718" s="252">
        <v>0</v>
      </c>
      <c r="Y718" s="252">
        <v>0</v>
      </c>
      <c r="Z718" s="252">
        <v>0</v>
      </c>
      <c r="AA718" s="252">
        <v>0</v>
      </c>
      <c r="AB718" s="252">
        <v>0</v>
      </c>
      <c r="AC718" s="252">
        <v>0</v>
      </c>
      <c r="AD718" s="252">
        <v>0</v>
      </c>
      <c r="AE718" s="252" t="s">
        <v>720</v>
      </c>
      <c r="AF718" s="252" t="s">
        <v>721</v>
      </c>
      <c r="AG718" s="252">
        <f t="shared" si="55"/>
        <v>3154</v>
      </c>
      <c r="AH718" s="252">
        <f t="shared" si="56"/>
        <v>0</v>
      </c>
      <c r="AI718" s="252">
        <f t="shared" si="57"/>
        <v>0</v>
      </c>
      <c r="AJ718" s="252">
        <f t="shared" si="58"/>
        <v>3154</v>
      </c>
    </row>
    <row r="719" spans="1:36" x14ac:dyDescent="0.2">
      <c r="A719" s="253" t="str">
        <f t="shared" si="59"/>
        <v>SNPETP60P12</v>
      </c>
      <c r="B719" s="252" t="s">
        <v>19</v>
      </c>
      <c r="C719" s="252" t="s">
        <v>20</v>
      </c>
      <c r="D719" s="252" t="s">
        <v>2624</v>
      </c>
      <c r="E719" s="252" t="s">
        <v>2625</v>
      </c>
      <c r="F719" s="252" t="s">
        <v>2640</v>
      </c>
      <c r="G719" s="252">
        <v>12</v>
      </c>
      <c r="H719" s="252" t="s">
        <v>928</v>
      </c>
      <c r="I719" s="252" t="s">
        <v>928</v>
      </c>
      <c r="J719" s="252" t="s">
        <v>928</v>
      </c>
      <c r="K719" s="252" t="s">
        <v>3236</v>
      </c>
      <c r="L719" s="252">
        <v>3154</v>
      </c>
      <c r="M719" s="252">
        <v>100</v>
      </c>
      <c r="N719" s="252">
        <v>0</v>
      </c>
      <c r="O719" s="252">
        <v>3154</v>
      </c>
      <c r="P719" s="252">
        <v>0</v>
      </c>
      <c r="Q719" s="252">
        <v>0</v>
      </c>
      <c r="R719" s="252">
        <v>0</v>
      </c>
      <c r="S719" s="252">
        <v>0</v>
      </c>
      <c r="T719" s="252">
        <v>0</v>
      </c>
      <c r="U719" s="252">
        <v>0</v>
      </c>
      <c r="V719" s="252">
        <v>0</v>
      </c>
      <c r="W719" s="252">
        <v>0</v>
      </c>
      <c r="X719" s="252">
        <v>0</v>
      </c>
      <c r="Y719" s="252">
        <v>0</v>
      </c>
      <c r="Z719" s="252">
        <v>0</v>
      </c>
      <c r="AA719" s="252">
        <v>0</v>
      </c>
      <c r="AB719" s="252">
        <v>0</v>
      </c>
      <c r="AC719" s="252">
        <v>0</v>
      </c>
      <c r="AD719" s="252">
        <v>0</v>
      </c>
      <c r="AE719" s="252" t="s">
        <v>19</v>
      </c>
      <c r="AF719" s="252" t="s">
        <v>725</v>
      </c>
      <c r="AG719" s="252">
        <f t="shared" si="55"/>
        <v>3154</v>
      </c>
      <c r="AH719" s="252">
        <f t="shared" si="56"/>
        <v>0</v>
      </c>
      <c r="AI719" s="252">
        <f t="shared" si="57"/>
        <v>0</v>
      </c>
      <c r="AJ719" s="252">
        <f t="shared" si="58"/>
        <v>3154</v>
      </c>
    </row>
    <row r="720" spans="1:36" x14ac:dyDescent="0.2">
      <c r="A720" s="253" t="str">
        <f t="shared" si="59"/>
        <v>6260SNPETP60T12</v>
      </c>
      <c r="B720" s="252" t="s">
        <v>19</v>
      </c>
      <c r="C720" s="252" t="s">
        <v>20</v>
      </c>
      <c r="D720" s="252" t="s">
        <v>2624</v>
      </c>
      <c r="E720" s="252" t="s">
        <v>2625</v>
      </c>
      <c r="F720" s="252" t="s">
        <v>2641</v>
      </c>
      <c r="G720" s="252">
        <v>12</v>
      </c>
      <c r="H720" s="252" t="s">
        <v>928</v>
      </c>
      <c r="I720" s="252" t="s">
        <v>2638</v>
      </c>
      <c r="J720" s="252" t="s">
        <v>928</v>
      </c>
      <c r="K720" s="252" t="s">
        <v>3236</v>
      </c>
      <c r="L720" s="252">
        <v>3213.84</v>
      </c>
      <c r="M720" s="252">
        <v>100</v>
      </c>
      <c r="N720" s="252">
        <v>0</v>
      </c>
      <c r="O720" s="252">
        <v>3213.84</v>
      </c>
      <c r="P720" s="252">
        <v>0</v>
      </c>
      <c r="Q720" s="252">
        <v>0</v>
      </c>
      <c r="R720" s="252">
        <v>0</v>
      </c>
      <c r="S720" s="252">
        <v>0</v>
      </c>
      <c r="T720" s="252">
        <v>0</v>
      </c>
      <c r="U720" s="252">
        <v>0</v>
      </c>
      <c r="V720" s="252">
        <v>0</v>
      </c>
      <c r="W720" s="252">
        <v>0</v>
      </c>
      <c r="X720" s="252">
        <v>0</v>
      </c>
      <c r="Y720" s="252">
        <v>0</v>
      </c>
      <c r="Z720" s="252">
        <v>0</v>
      </c>
      <c r="AA720" s="252">
        <v>0</v>
      </c>
      <c r="AB720" s="252">
        <v>0</v>
      </c>
      <c r="AC720" s="252">
        <v>0</v>
      </c>
      <c r="AD720" s="252">
        <v>0</v>
      </c>
      <c r="AE720" s="252" t="s">
        <v>19</v>
      </c>
      <c r="AF720" s="252" t="s">
        <v>725</v>
      </c>
      <c r="AG720" s="252">
        <f t="shared" si="55"/>
        <v>3213.84</v>
      </c>
      <c r="AH720" s="252">
        <f t="shared" si="56"/>
        <v>0</v>
      </c>
      <c r="AI720" s="252">
        <f t="shared" si="57"/>
        <v>0</v>
      </c>
      <c r="AJ720" s="252">
        <f t="shared" si="58"/>
        <v>3213.84</v>
      </c>
    </row>
    <row r="721" spans="1:36" x14ac:dyDescent="0.2">
      <c r="A721" s="253" t="str">
        <f t="shared" si="59"/>
        <v>SNPETP60T12</v>
      </c>
      <c r="B721" s="252" t="s">
        <v>19</v>
      </c>
      <c r="C721" s="252" t="s">
        <v>20</v>
      </c>
      <c r="D721" s="252" t="s">
        <v>2624</v>
      </c>
      <c r="E721" s="252" t="s">
        <v>2625</v>
      </c>
      <c r="F721" s="252" t="s">
        <v>2641</v>
      </c>
      <c r="G721" s="252">
        <v>12</v>
      </c>
      <c r="H721" s="252" t="s">
        <v>928</v>
      </c>
      <c r="I721" s="252" t="s">
        <v>928</v>
      </c>
      <c r="J721" s="252" t="s">
        <v>928</v>
      </c>
      <c r="K721" s="252" t="s">
        <v>3236</v>
      </c>
      <c r="L721" s="252">
        <v>3213.84</v>
      </c>
      <c r="M721" s="252">
        <v>100</v>
      </c>
      <c r="N721" s="252">
        <v>0</v>
      </c>
      <c r="O721" s="252">
        <v>3213.84</v>
      </c>
      <c r="P721" s="252">
        <v>0</v>
      </c>
      <c r="Q721" s="252">
        <v>0</v>
      </c>
      <c r="R721" s="252">
        <v>0</v>
      </c>
      <c r="S721" s="252">
        <v>0</v>
      </c>
      <c r="T721" s="252">
        <v>0</v>
      </c>
      <c r="U721" s="252">
        <v>0</v>
      </c>
      <c r="V721" s="252">
        <v>0</v>
      </c>
      <c r="W721" s="252">
        <v>0</v>
      </c>
      <c r="X721" s="252">
        <v>0</v>
      </c>
      <c r="Y721" s="252">
        <v>0</v>
      </c>
      <c r="Z721" s="252">
        <v>0</v>
      </c>
      <c r="AA721" s="252">
        <v>0</v>
      </c>
      <c r="AB721" s="252">
        <v>0</v>
      </c>
      <c r="AC721" s="252">
        <v>0</v>
      </c>
      <c r="AD721" s="252">
        <v>0</v>
      </c>
      <c r="AE721" s="252" t="s">
        <v>19</v>
      </c>
      <c r="AF721" s="252" t="s">
        <v>725</v>
      </c>
      <c r="AG721" s="252">
        <f t="shared" si="55"/>
        <v>3213.84</v>
      </c>
      <c r="AH721" s="252">
        <f t="shared" si="56"/>
        <v>0</v>
      </c>
      <c r="AI721" s="252">
        <f t="shared" si="57"/>
        <v>0</v>
      </c>
      <c r="AJ721" s="252">
        <f t="shared" si="58"/>
        <v>3213.84</v>
      </c>
    </row>
    <row r="722" spans="1:36" x14ac:dyDescent="0.2">
      <c r="A722" s="253" t="str">
        <f t="shared" si="59"/>
        <v>6370SNPETP60W12</v>
      </c>
      <c r="B722" s="252" t="s">
        <v>19</v>
      </c>
      <c r="C722" s="252" t="s">
        <v>20</v>
      </c>
      <c r="D722" s="252" t="s">
        <v>2624</v>
      </c>
      <c r="E722" s="252" t="s">
        <v>2625</v>
      </c>
      <c r="F722" s="252" t="s">
        <v>2642</v>
      </c>
      <c r="G722" s="252">
        <v>12</v>
      </c>
      <c r="H722" s="252" t="s">
        <v>928</v>
      </c>
      <c r="I722" s="252" t="s">
        <v>2629</v>
      </c>
      <c r="J722" s="252" t="s">
        <v>928</v>
      </c>
      <c r="K722" s="252" t="s">
        <v>3236</v>
      </c>
      <c r="L722" s="252">
        <v>3400.12</v>
      </c>
      <c r="M722" s="252">
        <v>100</v>
      </c>
      <c r="N722" s="252">
        <v>0</v>
      </c>
      <c r="O722" s="252">
        <v>3400.12</v>
      </c>
      <c r="P722" s="252">
        <v>0</v>
      </c>
      <c r="Q722" s="252">
        <v>0</v>
      </c>
      <c r="R722" s="252">
        <v>0</v>
      </c>
      <c r="S722" s="252">
        <v>0</v>
      </c>
      <c r="T722" s="252">
        <v>0</v>
      </c>
      <c r="U722" s="252">
        <v>0</v>
      </c>
      <c r="V722" s="252">
        <v>0</v>
      </c>
      <c r="W722" s="252">
        <v>0</v>
      </c>
      <c r="X722" s="252">
        <v>0</v>
      </c>
      <c r="Y722" s="252">
        <v>0</v>
      </c>
      <c r="Z722" s="252">
        <v>0</v>
      </c>
      <c r="AA722" s="252">
        <v>0</v>
      </c>
      <c r="AB722" s="252">
        <v>0</v>
      </c>
      <c r="AC722" s="252">
        <v>0</v>
      </c>
      <c r="AD722" s="252">
        <v>0</v>
      </c>
      <c r="AE722" s="252" t="s">
        <v>19</v>
      </c>
      <c r="AF722" s="252" t="s">
        <v>725</v>
      </c>
      <c r="AG722" s="252">
        <f t="shared" si="55"/>
        <v>3400.12</v>
      </c>
      <c r="AH722" s="252">
        <f t="shared" si="56"/>
        <v>0</v>
      </c>
      <c r="AI722" s="252">
        <f t="shared" si="57"/>
        <v>0</v>
      </c>
      <c r="AJ722" s="252">
        <f t="shared" si="58"/>
        <v>3400.12</v>
      </c>
    </row>
    <row r="723" spans="1:36" x14ac:dyDescent="0.2">
      <c r="A723" s="253" t="str">
        <f t="shared" si="59"/>
        <v>SNPETP60W12</v>
      </c>
      <c r="B723" s="252" t="s">
        <v>19</v>
      </c>
      <c r="C723" s="252" t="s">
        <v>20</v>
      </c>
      <c r="D723" s="252" t="s">
        <v>2624</v>
      </c>
      <c r="E723" s="252" t="s">
        <v>2625</v>
      </c>
      <c r="F723" s="252" t="s">
        <v>2642</v>
      </c>
      <c r="G723" s="252">
        <v>12</v>
      </c>
      <c r="H723" s="252" t="s">
        <v>928</v>
      </c>
      <c r="I723" s="252" t="s">
        <v>928</v>
      </c>
      <c r="J723" s="252" t="s">
        <v>928</v>
      </c>
      <c r="K723" s="252" t="s">
        <v>3236</v>
      </c>
      <c r="L723" s="252">
        <v>3400.12</v>
      </c>
      <c r="M723" s="252">
        <v>100</v>
      </c>
      <c r="N723" s="252">
        <v>0</v>
      </c>
      <c r="O723" s="252">
        <v>3400.12</v>
      </c>
      <c r="P723" s="252">
        <v>0</v>
      </c>
      <c r="Q723" s="252">
        <v>0</v>
      </c>
      <c r="R723" s="252">
        <v>0</v>
      </c>
      <c r="S723" s="252">
        <v>0</v>
      </c>
      <c r="T723" s="252">
        <v>0</v>
      </c>
      <c r="U723" s="252">
        <v>0</v>
      </c>
      <c r="V723" s="252">
        <v>0</v>
      </c>
      <c r="W723" s="252">
        <v>0</v>
      </c>
      <c r="X723" s="252">
        <v>0</v>
      </c>
      <c r="Y723" s="252">
        <v>0</v>
      </c>
      <c r="Z723" s="252">
        <v>0</v>
      </c>
      <c r="AA723" s="252">
        <v>0</v>
      </c>
      <c r="AB723" s="252">
        <v>0</v>
      </c>
      <c r="AC723" s="252">
        <v>0</v>
      </c>
      <c r="AD723" s="252">
        <v>0</v>
      </c>
      <c r="AE723" s="252" t="s">
        <v>19</v>
      </c>
      <c r="AF723" s="252" t="s">
        <v>725</v>
      </c>
      <c r="AG723" s="252">
        <f t="shared" si="55"/>
        <v>3400.12</v>
      </c>
      <c r="AH723" s="252">
        <f t="shared" si="56"/>
        <v>0</v>
      </c>
      <c r="AI723" s="252">
        <f t="shared" si="57"/>
        <v>0</v>
      </c>
      <c r="AJ723" s="252">
        <f t="shared" si="58"/>
        <v>3400.12</v>
      </c>
    </row>
    <row r="724" spans="1:36" x14ac:dyDescent="0.2">
      <c r="A724" s="253" t="str">
        <f t="shared" si="59"/>
        <v>3SNTTPB2T0100</v>
      </c>
      <c r="B724" s="252" t="s">
        <v>19</v>
      </c>
      <c r="C724" s="252" t="s">
        <v>20</v>
      </c>
      <c r="D724" s="252" t="s">
        <v>256</v>
      </c>
      <c r="E724" s="252" t="s">
        <v>2643</v>
      </c>
      <c r="F724" s="252" t="s">
        <v>257</v>
      </c>
      <c r="G724" s="252">
        <v>100</v>
      </c>
      <c r="H724" s="252" t="s">
        <v>928</v>
      </c>
      <c r="I724" s="252" t="s">
        <v>2465</v>
      </c>
      <c r="J724" s="252" t="s">
        <v>928</v>
      </c>
      <c r="K724" s="252" t="s">
        <v>3236</v>
      </c>
      <c r="L724" s="252">
        <v>393.32208000000003</v>
      </c>
      <c r="M724" s="252">
        <v>82</v>
      </c>
      <c r="N724" s="252">
        <v>0</v>
      </c>
      <c r="O724" s="252">
        <v>120.53659</v>
      </c>
      <c r="P724" s="252">
        <v>0</v>
      </c>
      <c r="Q724" s="252">
        <v>0</v>
      </c>
      <c r="R724" s="252">
        <v>0</v>
      </c>
      <c r="S724" s="252">
        <v>0</v>
      </c>
      <c r="T724" s="252">
        <v>35.051900000000003</v>
      </c>
      <c r="U724" s="252">
        <v>12.381</v>
      </c>
      <c r="V724" s="252">
        <v>3.2820900000000002</v>
      </c>
      <c r="W724" s="252">
        <v>57.152589999999996</v>
      </c>
      <c r="X724" s="252">
        <v>0</v>
      </c>
      <c r="Y724" s="252">
        <v>0</v>
      </c>
      <c r="Z724" s="252">
        <v>105.15306</v>
      </c>
      <c r="AA724" s="252">
        <v>59.764850000000003</v>
      </c>
      <c r="AB724" s="252">
        <v>0</v>
      </c>
      <c r="AC724" s="252">
        <v>0</v>
      </c>
      <c r="AD724" s="252">
        <v>1</v>
      </c>
      <c r="AE724" s="252" t="s">
        <v>19</v>
      </c>
      <c r="AF724" s="252" t="s">
        <v>725</v>
      </c>
      <c r="AG724" s="252">
        <f t="shared" si="55"/>
        <v>98.840003799999991</v>
      </c>
      <c r="AH724" s="252">
        <f t="shared" si="56"/>
        <v>0</v>
      </c>
      <c r="AI724" s="252">
        <f t="shared" si="57"/>
        <v>0</v>
      </c>
      <c r="AJ724" s="252">
        <f t="shared" si="58"/>
        <v>98.840003799999991</v>
      </c>
    </row>
    <row r="725" spans="1:36" x14ac:dyDescent="0.2">
      <c r="A725" s="253" t="str">
        <f t="shared" si="59"/>
        <v>3SNTTPB2T0125</v>
      </c>
      <c r="B725" s="252" t="s">
        <v>19</v>
      </c>
      <c r="C725" s="252" t="s">
        <v>20</v>
      </c>
      <c r="D725" s="252" t="s">
        <v>256</v>
      </c>
      <c r="E725" s="252" t="s">
        <v>2643</v>
      </c>
      <c r="F725" s="252" t="s">
        <v>257</v>
      </c>
      <c r="G725" s="252">
        <v>125</v>
      </c>
      <c r="H725" s="252" t="s">
        <v>928</v>
      </c>
      <c r="I725" s="252" t="s">
        <v>2465</v>
      </c>
      <c r="J725" s="252" t="s">
        <v>928</v>
      </c>
      <c r="K725" s="252" t="s">
        <v>3236</v>
      </c>
      <c r="L725" s="252">
        <v>394.61550999999997</v>
      </c>
      <c r="M725" s="252">
        <v>83.7</v>
      </c>
      <c r="N725" s="252">
        <v>0</v>
      </c>
      <c r="O725" s="252">
        <v>147.61051</v>
      </c>
      <c r="P725" s="252">
        <v>0</v>
      </c>
      <c r="Q725" s="252">
        <v>0</v>
      </c>
      <c r="R725" s="252">
        <v>0</v>
      </c>
      <c r="S725" s="252">
        <v>0</v>
      </c>
      <c r="T725" s="252">
        <v>32.027769999999997</v>
      </c>
      <c r="U725" s="252">
        <v>12.381</v>
      </c>
      <c r="V725" s="252">
        <v>2.9338799999999998</v>
      </c>
      <c r="W725" s="252">
        <v>51.146450000000002</v>
      </c>
      <c r="X725" s="252">
        <v>0</v>
      </c>
      <c r="Y725" s="252">
        <v>0</v>
      </c>
      <c r="Z725" s="252">
        <v>94.982240000000004</v>
      </c>
      <c r="AA725" s="252">
        <v>53.533659999999998</v>
      </c>
      <c r="AB725" s="252">
        <v>0</v>
      </c>
      <c r="AC725" s="252">
        <v>0</v>
      </c>
      <c r="AD725" s="252">
        <v>1</v>
      </c>
      <c r="AE725" s="252" t="s">
        <v>19</v>
      </c>
      <c r="AF725" s="252" t="s">
        <v>725</v>
      </c>
      <c r="AG725" s="252">
        <f t="shared" si="55"/>
        <v>123.54999687000002</v>
      </c>
      <c r="AH725" s="252">
        <f t="shared" si="56"/>
        <v>0</v>
      </c>
      <c r="AI725" s="252">
        <f t="shared" si="57"/>
        <v>0</v>
      </c>
      <c r="AJ725" s="252">
        <f t="shared" si="58"/>
        <v>123.54999687000002</v>
      </c>
    </row>
    <row r="726" spans="1:36" x14ac:dyDescent="0.2">
      <c r="A726" s="253" t="str">
        <f t="shared" si="59"/>
        <v>3SNTTPB2T0188</v>
      </c>
      <c r="B726" s="252" t="s">
        <v>19</v>
      </c>
      <c r="C726" s="252" t="s">
        <v>20</v>
      </c>
      <c r="D726" s="252" t="s">
        <v>256</v>
      </c>
      <c r="E726" s="252" t="s">
        <v>2643</v>
      </c>
      <c r="F726" s="252" t="s">
        <v>257</v>
      </c>
      <c r="G726" s="252">
        <v>188</v>
      </c>
      <c r="H726" s="252" t="s">
        <v>928</v>
      </c>
      <c r="I726" s="252" t="s">
        <v>2465</v>
      </c>
      <c r="J726" s="252" t="s">
        <v>928</v>
      </c>
      <c r="K726" s="252" t="s">
        <v>3236</v>
      </c>
      <c r="L726" s="252">
        <v>532.44754999999998</v>
      </c>
      <c r="M726" s="252">
        <v>82</v>
      </c>
      <c r="N726" s="252">
        <v>0</v>
      </c>
      <c r="O726" s="252">
        <v>226.60975999999999</v>
      </c>
      <c r="P726" s="252">
        <v>0</v>
      </c>
      <c r="Q726" s="252">
        <v>0</v>
      </c>
      <c r="R726" s="252">
        <v>0</v>
      </c>
      <c r="S726" s="252">
        <v>0</v>
      </c>
      <c r="T726" s="252">
        <v>33.564790000000002</v>
      </c>
      <c r="U726" s="252">
        <v>12.381</v>
      </c>
      <c r="V726" s="252">
        <v>3.7648899999999998</v>
      </c>
      <c r="W726" s="252">
        <v>65.633240000000001</v>
      </c>
      <c r="X726" s="252">
        <v>0</v>
      </c>
      <c r="Y726" s="252">
        <v>0</v>
      </c>
      <c r="Z726" s="252">
        <v>121.79719</v>
      </c>
      <c r="AA726" s="252">
        <v>68.696680000000001</v>
      </c>
      <c r="AB726" s="252">
        <v>0</v>
      </c>
      <c r="AC726" s="252">
        <v>0</v>
      </c>
      <c r="AD726" s="252">
        <v>1</v>
      </c>
      <c r="AE726" s="252" t="s">
        <v>19</v>
      </c>
      <c r="AF726" s="252" t="s">
        <v>725</v>
      </c>
      <c r="AG726" s="252">
        <f t="shared" si="55"/>
        <v>185.8200032</v>
      </c>
      <c r="AH726" s="252">
        <f t="shared" si="56"/>
        <v>0</v>
      </c>
      <c r="AI726" s="252">
        <f t="shared" si="57"/>
        <v>0</v>
      </c>
      <c r="AJ726" s="252">
        <f t="shared" si="58"/>
        <v>185.8200032</v>
      </c>
    </row>
    <row r="727" spans="1:36" x14ac:dyDescent="0.2">
      <c r="A727" s="253" t="str">
        <f t="shared" si="59"/>
        <v>6240SNXLXP35P12</v>
      </c>
      <c r="B727" s="252" t="s">
        <v>19</v>
      </c>
      <c r="C727" s="252" t="s">
        <v>20</v>
      </c>
      <c r="D727" s="252" t="s">
        <v>2644</v>
      </c>
      <c r="E727" s="252" t="s">
        <v>2645</v>
      </c>
      <c r="F727" s="252" t="s">
        <v>2646</v>
      </c>
      <c r="G727" s="252">
        <v>12</v>
      </c>
      <c r="H727" s="252" t="s">
        <v>928</v>
      </c>
      <c r="I727" s="252" t="s">
        <v>2647</v>
      </c>
      <c r="J727" s="252" t="s">
        <v>928</v>
      </c>
      <c r="K727" s="252" t="s">
        <v>3236</v>
      </c>
      <c r="L727" s="252">
        <v>2774.52</v>
      </c>
      <c r="M727" s="252">
        <v>100</v>
      </c>
      <c r="N727" s="252">
        <v>0</v>
      </c>
      <c r="O727" s="252">
        <v>2774.52</v>
      </c>
      <c r="P727" s="252">
        <v>0</v>
      </c>
      <c r="Q727" s="252">
        <v>0</v>
      </c>
      <c r="R727" s="252">
        <v>0</v>
      </c>
      <c r="S727" s="252">
        <v>0</v>
      </c>
      <c r="T727" s="252">
        <v>0</v>
      </c>
      <c r="U727" s="252">
        <v>0</v>
      </c>
      <c r="V727" s="252">
        <v>0</v>
      </c>
      <c r="W727" s="252">
        <v>0</v>
      </c>
      <c r="X727" s="252">
        <v>0</v>
      </c>
      <c r="Y727" s="252">
        <v>0</v>
      </c>
      <c r="Z727" s="252">
        <v>0</v>
      </c>
      <c r="AA727" s="252">
        <v>0</v>
      </c>
      <c r="AB727" s="252">
        <v>0</v>
      </c>
      <c r="AC727" s="252">
        <v>0</v>
      </c>
      <c r="AD727" s="252">
        <v>0</v>
      </c>
      <c r="AE727" s="252" t="s">
        <v>19</v>
      </c>
      <c r="AF727" s="252" t="s">
        <v>725</v>
      </c>
      <c r="AG727" s="252">
        <f t="shared" si="55"/>
        <v>2774.52</v>
      </c>
      <c r="AH727" s="252">
        <f t="shared" si="56"/>
        <v>0</v>
      </c>
      <c r="AI727" s="252">
        <f t="shared" si="57"/>
        <v>0</v>
      </c>
      <c r="AJ727" s="252">
        <f t="shared" si="58"/>
        <v>2774.52</v>
      </c>
    </row>
    <row r="728" spans="1:36" x14ac:dyDescent="0.2">
      <c r="A728" s="253" t="str">
        <f t="shared" si="59"/>
        <v>SNXLXP35P12</v>
      </c>
      <c r="B728" s="252" t="s">
        <v>19</v>
      </c>
      <c r="C728" s="252" t="s">
        <v>20</v>
      </c>
      <c r="D728" s="252" t="s">
        <v>2644</v>
      </c>
      <c r="E728" s="252" t="s">
        <v>2645</v>
      </c>
      <c r="F728" s="252" t="s">
        <v>2646</v>
      </c>
      <c r="G728" s="252">
        <v>12</v>
      </c>
      <c r="H728" s="252" t="s">
        <v>928</v>
      </c>
      <c r="I728" s="252" t="s">
        <v>928</v>
      </c>
      <c r="J728" s="252" t="s">
        <v>928</v>
      </c>
      <c r="K728" s="252" t="s">
        <v>3236</v>
      </c>
      <c r="L728" s="252">
        <v>2774.52</v>
      </c>
      <c r="M728" s="252">
        <v>100</v>
      </c>
      <c r="N728" s="252">
        <v>0</v>
      </c>
      <c r="O728" s="252">
        <v>2774.52</v>
      </c>
      <c r="P728" s="252">
        <v>0</v>
      </c>
      <c r="Q728" s="252">
        <v>0</v>
      </c>
      <c r="R728" s="252">
        <v>0</v>
      </c>
      <c r="S728" s="252">
        <v>0</v>
      </c>
      <c r="T728" s="252">
        <v>0</v>
      </c>
      <c r="U728" s="252">
        <v>0</v>
      </c>
      <c r="V728" s="252">
        <v>0</v>
      </c>
      <c r="W728" s="252">
        <v>0</v>
      </c>
      <c r="X728" s="252">
        <v>0</v>
      </c>
      <c r="Y728" s="252">
        <v>0</v>
      </c>
      <c r="Z728" s="252">
        <v>0</v>
      </c>
      <c r="AA728" s="252">
        <v>0</v>
      </c>
      <c r="AB728" s="252">
        <v>0</v>
      </c>
      <c r="AC728" s="252">
        <v>0</v>
      </c>
      <c r="AD728" s="252">
        <v>0</v>
      </c>
      <c r="AE728" s="252" t="s">
        <v>19</v>
      </c>
      <c r="AF728" s="252" t="s">
        <v>725</v>
      </c>
      <c r="AG728" s="252">
        <f t="shared" si="55"/>
        <v>2774.52</v>
      </c>
      <c r="AH728" s="252">
        <f t="shared" si="56"/>
        <v>0</v>
      </c>
      <c r="AI728" s="252">
        <f t="shared" si="57"/>
        <v>0</v>
      </c>
      <c r="AJ728" s="252">
        <f t="shared" si="58"/>
        <v>2774.52</v>
      </c>
    </row>
    <row r="729" spans="1:36" x14ac:dyDescent="0.2">
      <c r="A729" s="253" t="str">
        <f t="shared" si="59"/>
        <v>6240SNXLXP3716</v>
      </c>
      <c r="B729" s="252" t="s">
        <v>19</v>
      </c>
      <c r="C729" s="252" t="s">
        <v>20</v>
      </c>
      <c r="D729" s="252" t="s">
        <v>2644</v>
      </c>
      <c r="E729" s="252" t="s">
        <v>2645</v>
      </c>
      <c r="F729" s="252" t="s">
        <v>2648</v>
      </c>
      <c r="G729" s="252">
        <v>16</v>
      </c>
      <c r="H729" s="252" t="s">
        <v>928</v>
      </c>
      <c r="I729" s="252" t="s">
        <v>2647</v>
      </c>
      <c r="J729" s="252" t="s">
        <v>928</v>
      </c>
      <c r="K729" s="252" t="s">
        <v>3236</v>
      </c>
      <c r="L729" s="252">
        <v>4261.6000000000004</v>
      </c>
      <c r="M729" s="252">
        <v>100</v>
      </c>
      <c r="N729" s="252">
        <v>0</v>
      </c>
      <c r="O729" s="252">
        <v>4261.6000000000004</v>
      </c>
      <c r="P729" s="252">
        <v>0</v>
      </c>
      <c r="Q729" s="252">
        <v>0</v>
      </c>
      <c r="R729" s="252">
        <v>0</v>
      </c>
      <c r="S729" s="252">
        <v>0</v>
      </c>
      <c r="T729" s="252">
        <v>0</v>
      </c>
      <c r="U729" s="252">
        <v>0</v>
      </c>
      <c r="V729" s="252">
        <v>0</v>
      </c>
      <c r="W729" s="252">
        <v>0</v>
      </c>
      <c r="X729" s="252">
        <v>0</v>
      </c>
      <c r="Y729" s="252">
        <v>0</v>
      </c>
      <c r="Z729" s="252">
        <v>0</v>
      </c>
      <c r="AA729" s="252">
        <v>0</v>
      </c>
      <c r="AB729" s="252">
        <v>0</v>
      </c>
      <c r="AC729" s="252">
        <v>0</v>
      </c>
      <c r="AD729" s="252">
        <v>0</v>
      </c>
      <c r="AE729" s="252" t="s">
        <v>19</v>
      </c>
      <c r="AF729" s="252" t="s">
        <v>725</v>
      </c>
      <c r="AG729" s="252">
        <f t="shared" si="55"/>
        <v>4261.6000000000004</v>
      </c>
      <c r="AH729" s="252">
        <f t="shared" si="56"/>
        <v>0</v>
      </c>
      <c r="AI729" s="252">
        <f t="shared" si="57"/>
        <v>0</v>
      </c>
      <c r="AJ729" s="252">
        <f t="shared" si="58"/>
        <v>4261.6000000000004</v>
      </c>
    </row>
    <row r="730" spans="1:36" x14ac:dyDescent="0.2">
      <c r="A730" s="253" t="str">
        <f t="shared" si="59"/>
        <v>SNXLXP3716</v>
      </c>
      <c r="B730" s="252" t="s">
        <v>19</v>
      </c>
      <c r="C730" s="252" t="s">
        <v>20</v>
      </c>
      <c r="D730" s="252" t="s">
        <v>2644</v>
      </c>
      <c r="E730" s="252" t="s">
        <v>2645</v>
      </c>
      <c r="F730" s="252" t="s">
        <v>2648</v>
      </c>
      <c r="G730" s="252">
        <v>16</v>
      </c>
      <c r="H730" s="252" t="s">
        <v>928</v>
      </c>
      <c r="I730" s="252" t="s">
        <v>928</v>
      </c>
      <c r="J730" s="252" t="s">
        <v>928</v>
      </c>
      <c r="K730" s="252" t="s">
        <v>3236</v>
      </c>
      <c r="L730" s="252">
        <v>4261.6000000000004</v>
      </c>
      <c r="M730" s="252">
        <v>100</v>
      </c>
      <c r="N730" s="252">
        <v>0</v>
      </c>
      <c r="O730" s="252">
        <v>4261.6000000000004</v>
      </c>
      <c r="P730" s="252">
        <v>0</v>
      </c>
      <c r="Q730" s="252">
        <v>0</v>
      </c>
      <c r="R730" s="252">
        <v>0</v>
      </c>
      <c r="S730" s="252">
        <v>0</v>
      </c>
      <c r="T730" s="252">
        <v>0</v>
      </c>
      <c r="U730" s="252">
        <v>0</v>
      </c>
      <c r="V730" s="252">
        <v>0</v>
      </c>
      <c r="W730" s="252">
        <v>0</v>
      </c>
      <c r="X730" s="252">
        <v>0</v>
      </c>
      <c r="Y730" s="252">
        <v>0</v>
      </c>
      <c r="Z730" s="252">
        <v>0</v>
      </c>
      <c r="AA730" s="252">
        <v>0</v>
      </c>
      <c r="AB730" s="252">
        <v>0</v>
      </c>
      <c r="AC730" s="252">
        <v>0</v>
      </c>
      <c r="AD730" s="252">
        <v>0</v>
      </c>
      <c r="AE730" s="252" t="s">
        <v>19</v>
      </c>
      <c r="AF730" s="252" t="s">
        <v>725</v>
      </c>
      <c r="AG730" s="252">
        <f t="shared" si="55"/>
        <v>4261.6000000000004</v>
      </c>
      <c r="AH730" s="252">
        <f t="shared" si="56"/>
        <v>0</v>
      </c>
      <c r="AI730" s="252">
        <f t="shared" si="57"/>
        <v>0</v>
      </c>
      <c r="AJ730" s="252">
        <f t="shared" si="58"/>
        <v>4261.6000000000004</v>
      </c>
    </row>
    <row r="731" spans="1:36" x14ac:dyDescent="0.2">
      <c r="A731" s="253" t="str">
        <f t="shared" si="59"/>
        <v>6240SNXLXP37C16</v>
      </c>
      <c r="B731" s="252" t="s">
        <v>19</v>
      </c>
      <c r="C731" s="252" t="s">
        <v>20</v>
      </c>
      <c r="D731" s="252" t="s">
        <v>2644</v>
      </c>
      <c r="E731" s="252" t="s">
        <v>2645</v>
      </c>
      <c r="F731" s="252" t="s">
        <v>2649</v>
      </c>
      <c r="G731" s="252">
        <v>16</v>
      </c>
      <c r="H731" s="252" t="s">
        <v>928</v>
      </c>
      <c r="I731" s="252" t="s">
        <v>2647</v>
      </c>
      <c r="J731" s="252" t="s">
        <v>928</v>
      </c>
      <c r="K731" s="252" t="s">
        <v>3236</v>
      </c>
      <c r="L731" s="252">
        <v>4261.6000000000004</v>
      </c>
      <c r="M731" s="252">
        <v>100</v>
      </c>
      <c r="N731" s="252">
        <v>0</v>
      </c>
      <c r="O731" s="252">
        <v>4261.6000000000004</v>
      </c>
      <c r="P731" s="252">
        <v>0</v>
      </c>
      <c r="Q731" s="252">
        <v>0</v>
      </c>
      <c r="R731" s="252">
        <v>0</v>
      </c>
      <c r="S731" s="252">
        <v>0</v>
      </c>
      <c r="T731" s="252">
        <v>0</v>
      </c>
      <c r="U731" s="252">
        <v>0</v>
      </c>
      <c r="V731" s="252">
        <v>0</v>
      </c>
      <c r="W731" s="252">
        <v>0</v>
      </c>
      <c r="X731" s="252">
        <v>0</v>
      </c>
      <c r="Y731" s="252">
        <v>0</v>
      </c>
      <c r="Z731" s="252">
        <v>0</v>
      </c>
      <c r="AA731" s="252">
        <v>0</v>
      </c>
      <c r="AB731" s="252">
        <v>0</v>
      </c>
      <c r="AC731" s="252">
        <v>0</v>
      </c>
      <c r="AD731" s="252">
        <v>0</v>
      </c>
      <c r="AE731" s="252" t="s">
        <v>19</v>
      </c>
      <c r="AF731" s="252" t="s">
        <v>725</v>
      </c>
      <c r="AG731" s="252">
        <f t="shared" si="55"/>
        <v>4261.6000000000004</v>
      </c>
      <c r="AH731" s="252">
        <f t="shared" si="56"/>
        <v>0</v>
      </c>
      <c r="AI731" s="252">
        <f t="shared" si="57"/>
        <v>0</v>
      </c>
      <c r="AJ731" s="252">
        <f t="shared" si="58"/>
        <v>4261.6000000000004</v>
      </c>
    </row>
    <row r="732" spans="1:36" x14ac:dyDescent="0.2">
      <c r="A732" s="253" t="str">
        <f t="shared" si="59"/>
        <v>SNXLXP37C16</v>
      </c>
      <c r="B732" s="252" t="s">
        <v>19</v>
      </c>
      <c r="C732" s="252" t="s">
        <v>20</v>
      </c>
      <c r="D732" s="252" t="s">
        <v>2644</v>
      </c>
      <c r="E732" s="252" t="s">
        <v>2645</v>
      </c>
      <c r="F732" s="252" t="s">
        <v>2649</v>
      </c>
      <c r="G732" s="252">
        <v>16</v>
      </c>
      <c r="H732" s="252" t="s">
        <v>928</v>
      </c>
      <c r="I732" s="252" t="s">
        <v>928</v>
      </c>
      <c r="J732" s="252" t="s">
        <v>928</v>
      </c>
      <c r="K732" s="252" t="s">
        <v>3236</v>
      </c>
      <c r="L732" s="252">
        <v>4261.6000000000004</v>
      </c>
      <c r="M732" s="252">
        <v>100</v>
      </c>
      <c r="N732" s="252">
        <v>0</v>
      </c>
      <c r="O732" s="252">
        <v>4261.6000000000004</v>
      </c>
      <c r="P732" s="252">
        <v>0</v>
      </c>
      <c r="Q732" s="252">
        <v>0</v>
      </c>
      <c r="R732" s="252">
        <v>0</v>
      </c>
      <c r="S732" s="252">
        <v>0</v>
      </c>
      <c r="T732" s="252">
        <v>0</v>
      </c>
      <c r="U732" s="252">
        <v>0</v>
      </c>
      <c r="V732" s="252">
        <v>0</v>
      </c>
      <c r="W732" s="252">
        <v>0</v>
      </c>
      <c r="X732" s="252">
        <v>0</v>
      </c>
      <c r="Y732" s="252">
        <v>0</v>
      </c>
      <c r="Z732" s="252">
        <v>0</v>
      </c>
      <c r="AA732" s="252">
        <v>0</v>
      </c>
      <c r="AB732" s="252">
        <v>0</v>
      </c>
      <c r="AC732" s="252">
        <v>0</v>
      </c>
      <c r="AD732" s="252">
        <v>0</v>
      </c>
      <c r="AE732" s="252" t="s">
        <v>19</v>
      </c>
      <c r="AF732" s="252" t="s">
        <v>725</v>
      </c>
      <c r="AG732" s="252">
        <f t="shared" si="55"/>
        <v>4261.6000000000004</v>
      </c>
      <c r="AH732" s="252">
        <f t="shared" si="56"/>
        <v>0</v>
      </c>
      <c r="AI732" s="252">
        <f t="shared" si="57"/>
        <v>0</v>
      </c>
      <c r="AJ732" s="252">
        <f t="shared" si="58"/>
        <v>4261.6000000000004</v>
      </c>
    </row>
    <row r="733" spans="1:36" x14ac:dyDescent="0.2">
      <c r="A733" s="253" t="str">
        <f t="shared" si="59"/>
        <v>6240SNXLXP5516</v>
      </c>
      <c r="B733" s="252" t="s">
        <v>19</v>
      </c>
      <c r="C733" s="252" t="s">
        <v>20</v>
      </c>
      <c r="D733" s="252" t="s">
        <v>2644</v>
      </c>
      <c r="E733" s="252" t="s">
        <v>2645</v>
      </c>
      <c r="F733" s="252" t="s">
        <v>2650</v>
      </c>
      <c r="G733" s="252">
        <v>16</v>
      </c>
      <c r="H733" s="252" t="s">
        <v>928</v>
      </c>
      <c r="I733" s="252" t="s">
        <v>2647</v>
      </c>
      <c r="J733" s="252" t="s">
        <v>928</v>
      </c>
      <c r="K733" s="252" t="s">
        <v>3236</v>
      </c>
      <c r="L733" s="252">
        <v>4944.8</v>
      </c>
      <c r="M733" s="252">
        <v>100</v>
      </c>
      <c r="N733" s="252">
        <v>0</v>
      </c>
      <c r="O733" s="252">
        <v>4944.8</v>
      </c>
      <c r="P733" s="252">
        <v>0</v>
      </c>
      <c r="Q733" s="252">
        <v>0</v>
      </c>
      <c r="R733" s="252">
        <v>0</v>
      </c>
      <c r="S733" s="252">
        <v>0</v>
      </c>
      <c r="T733" s="252">
        <v>0</v>
      </c>
      <c r="U733" s="252">
        <v>0</v>
      </c>
      <c r="V733" s="252">
        <v>0</v>
      </c>
      <c r="W733" s="252">
        <v>0</v>
      </c>
      <c r="X733" s="252">
        <v>0</v>
      </c>
      <c r="Y733" s="252">
        <v>0</v>
      </c>
      <c r="Z733" s="252">
        <v>0</v>
      </c>
      <c r="AA733" s="252">
        <v>0</v>
      </c>
      <c r="AB733" s="252">
        <v>0</v>
      </c>
      <c r="AC733" s="252">
        <v>0</v>
      </c>
      <c r="AD733" s="252">
        <v>0</v>
      </c>
      <c r="AE733" s="252" t="s">
        <v>19</v>
      </c>
      <c r="AF733" s="252" t="s">
        <v>725</v>
      </c>
      <c r="AG733" s="252">
        <f t="shared" si="55"/>
        <v>4944.8</v>
      </c>
      <c r="AH733" s="252">
        <f t="shared" si="56"/>
        <v>0</v>
      </c>
      <c r="AI733" s="252">
        <f t="shared" si="57"/>
        <v>0</v>
      </c>
      <c r="AJ733" s="252">
        <f t="shared" si="58"/>
        <v>4944.8</v>
      </c>
    </row>
    <row r="734" spans="1:36" x14ac:dyDescent="0.2">
      <c r="A734" s="253" t="str">
        <f t="shared" si="59"/>
        <v>SNXLXP5516</v>
      </c>
      <c r="B734" s="252" t="s">
        <v>19</v>
      </c>
      <c r="C734" s="252" t="s">
        <v>20</v>
      </c>
      <c r="D734" s="252" t="s">
        <v>2644</v>
      </c>
      <c r="E734" s="252" t="s">
        <v>2645</v>
      </c>
      <c r="F734" s="252" t="s">
        <v>2650</v>
      </c>
      <c r="G734" s="252">
        <v>16</v>
      </c>
      <c r="H734" s="252" t="s">
        <v>928</v>
      </c>
      <c r="I734" s="252" t="s">
        <v>928</v>
      </c>
      <c r="J734" s="252" t="s">
        <v>928</v>
      </c>
      <c r="K734" s="252" t="s">
        <v>3236</v>
      </c>
      <c r="L734" s="252">
        <v>4944.8</v>
      </c>
      <c r="M734" s="252">
        <v>100</v>
      </c>
      <c r="N734" s="252">
        <v>0</v>
      </c>
      <c r="O734" s="252">
        <v>4944.8</v>
      </c>
      <c r="P734" s="252">
        <v>0</v>
      </c>
      <c r="Q734" s="252">
        <v>0</v>
      </c>
      <c r="R734" s="252">
        <v>0</v>
      </c>
      <c r="S734" s="252">
        <v>0</v>
      </c>
      <c r="T734" s="252">
        <v>0</v>
      </c>
      <c r="U734" s="252">
        <v>0</v>
      </c>
      <c r="V734" s="252">
        <v>0</v>
      </c>
      <c r="W734" s="252">
        <v>0</v>
      </c>
      <c r="X734" s="252">
        <v>0</v>
      </c>
      <c r="Y734" s="252">
        <v>0</v>
      </c>
      <c r="Z734" s="252">
        <v>0</v>
      </c>
      <c r="AA734" s="252">
        <v>0</v>
      </c>
      <c r="AB734" s="252">
        <v>0</v>
      </c>
      <c r="AC734" s="252">
        <v>0</v>
      </c>
      <c r="AD734" s="252">
        <v>0</v>
      </c>
      <c r="AE734" s="252" t="s">
        <v>19</v>
      </c>
      <c r="AF734" s="252" t="s">
        <v>725</v>
      </c>
      <c r="AG734" s="252">
        <f t="shared" si="55"/>
        <v>4944.8</v>
      </c>
      <c r="AH734" s="252">
        <f t="shared" si="56"/>
        <v>0</v>
      </c>
      <c r="AI734" s="252">
        <f t="shared" si="57"/>
        <v>0</v>
      </c>
      <c r="AJ734" s="252">
        <f t="shared" si="58"/>
        <v>4944.8</v>
      </c>
    </row>
    <row r="735" spans="1:36" x14ac:dyDescent="0.2">
      <c r="A735" s="253" t="str">
        <f t="shared" si="59"/>
        <v>3ASYA1HG612</v>
      </c>
      <c r="B735" s="252" t="s">
        <v>19</v>
      </c>
      <c r="C735" s="252" t="s">
        <v>28</v>
      </c>
      <c r="D735" s="252" t="s">
        <v>2388</v>
      </c>
      <c r="E735" s="252" t="s">
        <v>2389</v>
      </c>
      <c r="F735" s="252" t="s">
        <v>2651</v>
      </c>
      <c r="G735" s="252">
        <v>12</v>
      </c>
      <c r="H735" s="252" t="s">
        <v>928</v>
      </c>
      <c r="I735" s="252" t="s">
        <v>2395</v>
      </c>
      <c r="J735" s="252" t="s">
        <v>928</v>
      </c>
      <c r="K735" s="252" t="s">
        <v>3236</v>
      </c>
      <c r="L735" s="252">
        <v>4573.3291799999997</v>
      </c>
      <c r="M735" s="252">
        <v>91.7</v>
      </c>
      <c r="N735" s="252">
        <v>0</v>
      </c>
      <c r="O735" s="252">
        <v>3244.2748099999999</v>
      </c>
      <c r="P735" s="252">
        <v>0</v>
      </c>
      <c r="Q735" s="252">
        <v>0</v>
      </c>
      <c r="R735" s="252">
        <v>0</v>
      </c>
      <c r="S735" s="252">
        <v>0</v>
      </c>
      <c r="T735" s="252">
        <v>18.007480000000001</v>
      </c>
      <c r="U735" s="252">
        <v>278.54365999999999</v>
      </c>
      <c r="V735" s="252">
        <v>91.005840000000006</v>
      </c>
      <c r="W735" s="252">
        <v>128.83681000000001</v>
      </c>
      <c r="X735" s="252">
        <v>0</v>
      </c>
      <c r="Y735" s="252">
        <v>0</v>
      </c>
      <c r="Z735" s="252">
        <v>578.69572000000005</v>
      </c>
      <c r="AA735" s="252">
        <v>233.96485999999999</v>
      </c>
      <c r="AB735" s="252">
        <v>0</v>
      </c>
      <c r="AC735" s="252">
        <v>0</v>
      </c>
      <c r="AD735" s="252">
        <v>1</v>
      </c>
      <c r="AE735" s="252" t="s">
        <v>19</v>
      </c>
      <c r="AF735" s="252" t="s">
        <v>725</v>
      </c>
      <c r="AG735" s="252">
        <f t="shared" si="55"/>
        <v>2975.00000077</v>
      </c>
      <c r="AH735" s="252">
        <f t="shared" si="56"/>
        <v>0</v>
      </c>
      <c r="AI735" s="252">
        <f t="shared" si="57"/>
        <v>0</v>
      </c>
      <c r="AJ735" s="252">
        <f t="shared" si="58"/>
        <v>2975.00000077</v>
      </c>
    </row>
    <row r="736" spans="1:36" x14ac:dyDescent="0.2">
      <c r="A736" s="253" t="str">
        <f t="shared" si="59"/>
        <v>SYA1HG612</v>
      </c>
      <c r="B736" s="252" t="s">
        <v>19</v>
      </c>
      <c r="C736" s="252" t="s">
        <v>28</v>
      </c>
      <c r="D736" s="252" t="s">
        <v>2388</v>
      </c>
      <c r="E736" s="252" t="s">
        <v>2389</v>
      </c>
      <c r="F736" s="252" t="s">
        <v>2651</v>
      </c>
      <c r="G736" s="252">
        <v>12</v>
      </c>
      <c r="H736" s="252" t="s">
        <v>928</v>
      </c>
      <c r="I736" s="252" t="s">
        <v>928</v>
      </c>
      <c r="J736" s="252" t="s">
        <v>928</v>
      </c>
      <c r="K736" s="252" t="s">
        <v>3236</v>
      </c>
      <c r="L736" s="252">
        <v>4573.3291200000003</v>
      </c>
      <c r="M736" s="252">
        <v>91.7</v>
      </c>
      <c r="N736" s="252">
        <v>0</v>
      </c>
      <c r="O736" s="252">
        <v>3244.2746999999999</v>
      </c>
      <c r="P736" s="252">
        <v>0</v>
      </c>
      <c r="Q736" s="252">
        <v>0</v>
      </c>
      <c r="R736" s="252">
        <v>0</v>
      </c>
      <c r="S736" s="252">
        <v>0</v>
      </c>
      <c r="T736" s="252">
        <v>18.007529999999999</v>
      </c>
      <c r="U736" s="252">
        <v>278.54369000000003</v>
      </c>
      <c r="V736" s="252">
        <v>91.005809999999997</v>
      </c>
      <c r="W736" s="252">
        <v>128.83681999999999</v>
      </c>
      <c r="X736" s="252">
        <v>0</v>
      </c>
      <c r="Y736" s="252">
        <v>0</v>
      </c>
      <c r="Z736" s="252">
        <v>578.69573000000003</v>
      </c>
      <c r="AA736" s="252">
        <v>233.96484000000001</v>
      </c>
      <c r="AB736" s="252">
        <v>0</v>
      </c>
      <c r="AC736" s="252">
        <v>0</v>
      </c>
      <c r="AD736" s="252">
        <v>1</v>
      </c>
      <c r="AE736" s="252" t="s">
        <v>19</v>
      </c>
      <c r="AF736" s="252" t="s">
        <v>725</v>
      </c>
      <c r="AG736" s="252">
        <f t="shared" si="55"/>
        <v>2974.9998999000004</v>
      </c>
      <c r="AH736" s="252">
        <f t="shared" si="56"/>
        <v>0</v>
      </c>
      <c r="AI736" s="252">
        <f t="shared" si="57"/>
        <v>0</v>
      </c>
      <c r="AJ736" s="252">
        <f t="shared" si="58"/>
        <v>2974.9998999000004</v>
      </c>
    </row>
    <row r="737" spans="1:36" x14ac:dyDescent="0.2">
      <c r="A737" s="253" t="str">
        <f t="shared" si="59"/>
        <v>3ASYA1C31HGCX12</v>
      </c>
      <c r="B737" s="252" t="s">
        <v>19</v>
      </c>
      <c r="C737" s="252" t="s">
        <v>28</v>
      </c>
      <c r="D737" s="252" t="s">
        <v>2400</v>
      </c>
      <c r="E737" s="252" t="s">
        <v>2401</v>
      </c>
      <c r="F737" s="252" t="s">
        <v>2652</v>
      </c>
      <c r="G737" s="252">
        <v>12</v>
      </c>
      <c r="H737" s="252" t="s">
        <v>928</v>
      </c>
      <c r="I737" s="252" t="s">
        <v>2395</v>
      </c>
      <c r="J737" s="252" t="s">
        <v>928</v>
      </c>
      <c r="K737" s="252" t="s">
        <v>3236</v>
      </c>
      <c r="L737" s="252">
        <v>6265.8062799999998</v>
      </c>
      <c r="M737" s="252">
        <v>89.5</v>
      </c>
      <c r="N737" s="252">
        <v>0</v>
      </c>
      <c r="O737" s="252">
        <v>3324.0223500000002</v>
      </c>
      <c r="P737" s="252">
        <v>0</v>
      </c>
      <c r="Q737" s="252">
        <v>0</v>
      </c>
      <c r="R737" s="252">
        <v>0</v>
      </c>
      <c r="S737" s="252">
        <v>0</v>
      </c>
      <c r="T737" s="252">
        <v>821.08153000000004</v>
      </c>
      <c r="U737" s="252">
        <v>329.10431</v>
      </c>
      <c r="V737" s="252">
        <v>105.65694999999999</v>
      </c>
      <c r="W737" s="252">
        <v>286.02850000000001</v>
      </c>
      <c r="X737" s="252">
        <v>0</v>
      </c>
      <c r="Y737" s="252">
        <v>0</v>
      </c>
      <c r="Z737" s="252">
        <v>1013.57854</v>
      </c>
      <c r="AA737" s="252">
        <v>386.33409999999998</v>
      </c>
      <c r="AB737" s="252">
        <v>0</v>
      </c>
      <c r="AC737" s="252">
        <v>0</v>
      </c>
      <c r="AD737" s="252">
        <v>1</v>
      </c>
      <c r="AE737" s="252" t="s">
        <v>19</v>
      </c>
      <c r="AF737" s="252" t="s">
        <v>725</v>
      </c>
      <c r="AG737" s="252">
        <f t="shared" si="55"/>
        <v>2975.0000032500002</v>
      </c>
      <c r="AH737" s="252">
        <f t="shared" si="56"/>
        <v>0</v>
      </c>
      <c r="AI737" s="252">
        <f t="shared" si="57"/>
        <v>0</v>
      </c>
      <c r="AJ737" s="252">
        <f t="shared" si="58"/>
        <v>2975.0000032500002</v>
      </c>
    </row>
    <row r="738" spans="1:36" x14ac:dyDescent="0.2">
      <c r="A738" s="253" t="str">
        <f t="shared" si="59"/>
        <v>SYA1C31HGCX12</v>
      </c>
      <c r="B738" s="252" t="s">
        <v>19</v>
      </c>
      <c r="C738" s="252" t="s">
        <v>28</v>
      </c>
      <c r="D738" s="252" t="s">
        <v>2400</v>
      </c>
      <c r="E738" s="252" t="s">
        <v>2401</v>
      </c>
      <c r="F738" s="252" t="s">
        <v>2652</v>
      </c>
      <c r="G738" s="252">
        <v>12</v>
      </c>
      <c r="H738" s="252" t="s">
        <v>928</v>
      </c>
      <c r="I738" s="252" t="s">
        <v>928</v>
      </c>
      <c r="J738" s="252" t="s">
        <v>928</v>
      </c>
      <c r="K738" s="252" t="s">
        <v>3236</v>
      </c>
      <c r="L738" s="252">
        <v>6265.8082299999996</v>
      </c>
      <c r="M738" s="252">
        <v>89.5</v>
      </c>
      <c r="N738" s="252">
        <v>0</v>
      </c>
      <c r="O738" s="252">
        <v>3324.0227</v>
      </c>
      <c r="P738" s="252">
        <v>0</v>
      </c>
      <c r="Q738" s="252">
        <v>0</v>
      </c>
      <c r="R738" s="252">
        <v>0</v>
      </c>
      <c r="S738" s="252">
        <v>0</v>
      </c>
      <c r="T738" s="252">
        <v>821.08200999999997</v>
      </c>
      <c r="U738" s="252">
        <v>329.10442999999998</v>
      </c>
      <c r="V738" s="252">
        <v>105.6572</v>
      </c>
      <c r="W738" s="252">
        <v>286.02913000000001</v>
      </c>
      <c r="X738" s="252">
        <v>0</v>
      </c>
      <c r="Y738" s="252">
        <v>0</v>
      </c>
      <c r="Z738" s="252">
        <v>1013.5787800000001</v>
      </c>
      <c r="AA738" s="252">
        <v>386.33398</v>
      </c>
      <c r="AB738" s="252">
        <v>0</v>
      </c>
      <c r="AC738" s="252">
        <v>0</v>
      </c>
      <c r="AD738" s="252">
        <v>1</v>
      </c>
      <c r="AE738" s="252" t="s">
        <v>19</v>
      </c>
      <c r="AF738" s="252" t="s">
        <v>725</v>
      </c>
      <c r="AG738" s="252">
        <f t="shared" si="55"/>
        <v>2975.0003165000003</v>
      </c>
      <c r="AH738" s="252">
        <f t="shared" si="56"/>
        <v>0</v>
      </c>
      <c r="AI738" s="252">
        <f t="shared" si="57"/>
        <v>0</v>
      </c>
      <c r="AJ738" s="252">
        <f t="shared" si="58"/>
        <v>2975.0003165000003</v>
      </c>
    </row>
    <row r="739" spans="1:36" x14ac:dyDescent="0.2">
      <c r="A739" s="253" t="str">
        <f t="shared" si="59"/>
        <v>33SYA1CCXR12</v>
      </c>
      <c r="B739" s="252" t="s">
        <v>19</v>
      </c>
      <c r="C739" s="252" t="s">
        <v>28</v>
      </c>
      <c r="D739" s="252" t="s">
        <v>2400</v>
      </c>
      <c r="E739" s="252" t="s">
        <v>2401</v>
      </c>
      <c r="F739" s="252" t="s">
        <v>2405</v>
      </c>
      <c r="G739" s="252">
        <v>12</v>
      </c>
      <c r="H739" s="252" t="s">
        <v>928</v>
      </c>
      <c r="I739" s="252" t="s">
        <v>2406</v>
      </c>
      <c r="J739" s="252" t="s">
        <v>928</v>
      </c>
      <c r="K739" s="252" t="s">
        <v>3236</v>
      </c>
      <c r="L739" s="252">
        <v>2532.8017199999999</v>
      </c>
      <c r="M739" s="252">
        <v>100</v>
      </c>
      <c r="N739" s="252">
        <v>0</v>
      </c>
      <c r="O739" s="252">
        <v>0</v>
      </c>
      <c r="P739" s="252">
        <v>0</v>
      </c>
      <c r="Q739" s="252">
        <v>0</v>
      </c>
      <c r="R739" s="252">
        <v>0</v>
      </c>
      <c r="S739" s="252">
        <v>0</v>
      </c>
      <c r="T739" s="252">
        <v>1015.00099</v>
      </c>
      <c r="U739" s="252">
        <v>0</v>
      </c>
      <c r="V739" s="252">
        <v>15.50187</v>
      </c>
      <c r="W739" s="252">
        <v>344.50153</v>
      </c>
      <c r="X739" s="252">
        <v>0</v>
      </c>
      <c r="Y739" s="252">
        <v>0</v>
      </c>
      <c r="Z739" s="252">
        <v>740.07919000000004</v>
      </c>
      <c r="AA739" s="252">
        <v>417.71814000000001</v>
      </c>
      <c r="AB739" s="252">
        <v>0</v>
      </c>
      <c r="AC739" s="252">
        <v>0</v>
      </c>
      <c r="AD739" s="252">
        <v>1</v>
      </c>
      <c r="AE739" s="252" t="s">
        <v>19</v>
      </c>
      <c r="AF739" s="252" t="s">
        <v>725</v>
      </c>
      <c r="AG739" s="252">
        <f t="shared" si="55"/>
        <v>0</v>
      </c>
      <c r="AH739" s="252">
        <f t="shared" si="56"/>
        <v>0</v>
      </c>
      <c r="AI739" s="252">
        <f t="shared" si="57"/>
        <v>0</v>
      </c>
      <c r="AJ739" s="252">
        <f t="shared" si="58"/>
        <v>0</v>
      </c>
    </row>
    <row r="740" spans="1:36" x14ac:dyDescent="0.2">
      <c r="A740" s="253" t="str">
        <f t="shared" si="59"/>
        <v>3M35SYA1CCXR12</v>
      </c>
      <c r="B740" s="252" t="s">
        <v>19</v>
      </c>
      <c r="C740" s="252" t="s">
        <v>28</v>
      </c>
      <c r="D740" s="252" t="s">
        <v>2400</v>
      </c>
      <c r="E740" s="252" t="s">
        <v>2401</v>
      </c>
      <c r="F740" s="252" t="s">
        <v>2405</v>
      </c>
      <c r="G740" s="252">
        <v>12</v>
      </c>
      <c r="H740" s="252" t="s">
        <v>928</v>
      </c>
      <c r="I740" s="252" t="s">
        <v>2407</v>
      </c>
      <c r="J740" s="252" t="s">
        <v>928</v>
      </c>
      <c r="K740" s="252" t="s">
        <v>3236</v>
      </c>
      <c r="L740" s="252">
        <v>7094.4251400000003</v>
      </c>
      <c r="M740" s="252">
        <v>88</v>
      </c>
      <c r="N740" s="252">
        <v>0</v>
      </c>
      <c r="O740" s="252">
        <v>2900</v>
      </c>
      <c r="P740" s="252">
        <v>1562.5049899999999</v>
      </c>
      <c r="Q740" s="252">
        <v>0</v>
      </c>
      <c r="R740" s="252">
        <v>0</v>
      </c>
      <c r="S740" s="252">
        <v>0</v>
      </c>
      <c r="T740" s="252">
        <v>19.000150000000001</v>
      </c>
      <c r="U740" s="252">
        <v>229.03183999999999</v>
      </c>
      <c r="V740" s="252">
        <v>89.003630000000001</v>
      </c>
      <c r="W740" s="252">
        <v>128.47905</v>
      </c>
      <c r="X740" s="252">
        <v>0</v>
      </c>
      <c r="Y740" s="252">
        <v>0</v>
      </c>
      <c r="Z740" s="252">
        <v>613.29219999999998</v>
      </c>
      <c r="AA740" s="252">
        <v>237.43450000000001</v>
      </c>
      <c r="AB740" s="252">
        <v>1315.67878</v>
      </c>
      <c r="AC740" s="252">
        <v>0</v>
      </c>
      <c r="AD740" s="252">
        <v>1</v>
      </c>
      <c r="AE740" s="252" t="s">
        <v>19</v>
      </c>
      <c r="AF740" s="252" t="s">
        <v>725</v>
      </c>
      <c r="AG740" s="252">
        <f t="shared" si="55"/>
        <v>2552</v>
      </c>
      <c r="AH740" s="252">
        <f t="shared" si="56"/>
        <v>1375.0043911999999</v>
      </c>
      <c r="AI740" s="252">
        <f t="shared" si="57"/>
        <v>1157.7973264</v>
      </c>
      <c r="AJ740" s="252">
        <f t="shared" si="58"/>
        <v>5084.8017176000003</v>
      </c>
    </row>
    <row r="741" spans="1:36" x14ac:dyDescent="0.2">
      <c r="A741" s="253" t="str">
        <f t="shared" si="59"/>
        <v>SYA1CCXR12</v>
      </c>
      <c r="B741" s="252" t="s">
        <v>19</v>
      </c>
      <c r="C741" s="252" t="s">
        <v>28</v>
      </c>
      <c r="D741" s="252" t="s">
        <v>2400</v>
      </c>
      <c r="E741" s="252" t="s">
        <v>2401</v>
      </c>
      <c r="F741" s="252" t="s">
        <v>2405</v>
      </c>
      <c r="G741" s="252">
        <v>12</v>
      </c>
      <c r="H741" s="252" t="s">
        <v>928</v>
      </c>
      <c r="I741" s="252" t="s">
        <v>928</v>
      </c>
      <c r="J741" s="252" t="s">
        <v>928</v>
      </c>
      <c r="K741" s="252" t="s">
        <v>3236</v>
      </c>
      <c r="L741" s="252">
        <v>7094.4250099999999</v>
      </c>
      <c r="M741" s="252">
        <v>88</v>
      </c>
      <c r="N741" s="252">
        <v>0</v>
      </c>
      <c r="O741" s="252">
        <v>2900</v>
      </c>
      <c r="P741" s="252">
        <v>1562.5050000000001</v>
      </c>
      <c r="Q741" s="252">
        <v>0</v>
      </c>
      <c r="R741" s="252">
        <v>0</v>
      </c>
      <c r="S741" s="252">
        <v>0</v>
      </c>
      <c r="T741" s="252">
        <v>19</v>
      </c>
      <c r="U741" s="252">
        <v>229.03166999999999</v>
      </c>
      <c r="V741" s="252">
        <v>89.003330000000005</v>
      </c>
      <c r="W741" s="252">
        <v>128.47917000000001</v>
      </c>
      <c r="X741" s="252">
        <v>0</v>
      </c>
      <c r="Y741" s="252">
        <v>0</v>
      </c>
      <c r="Z741" s="252">
        <v>613.29250000000002</v>
      </c>
      <c r="AA741" s="252">
        <v>237.43416999999999</v>
      </c>
      <c r="AB741" s="252">
        <v>1315.6791700000001</v>
      </c>
      <c r="AC741" s="252">
        <v>0</v>
      </c>
      <c r="AD741" s="252">
        <v>1</v>
      </c>
      <c r="AE741" s="252" t="s">
        <v>19</v>
      </c>
      <c r="AF741" s="252" t="s">
        <v>725</v>
      </c>
      <c r="AG741" s="252">
        <f t="shared" si="55"/>
        <v>2552</v>
      </c>
      <c r="AH741" s="252">
        <f t="shared" si="56"/>
        <v>1375.0044</v>
      </c>
      <c r="AI741" s="252">
        <f t="shared" si="57"/>
        <v>1157.7976696000001</v>
      </c>
      <c r="AJ741" s="252">
        <f t="shared" si="58"/>
        <v>5084.8020696000003</v>
      </c>
    </row>
    <row r="742" spans="1:36" x14ac:dyDescent="0.2">
      <c r="A742" s="253" t="str">
        <f t="shared" si="59"/>
        <v>3FSYA1CEGC112</v>
      </c>
      <c r="B742" s="252" t="s">
        <v>19</v>
      </c>
      <c r="C742" s="252" t="s">
        <v>28</v>
      </c>
      <c r="D742" s="252" t="s">
        <v>2400</v>
      </c>
      <c r="E742" s="252" t="s">
        <v>2401</v>
      </c>
      <c r="F742" s="252" t="s">
        <v>2409</v>
      </c>
      <c r="G742" s="252">
        <v>12</v>
      </c>
      <c r="H742" s="252" t="s">
        <v>928</v>
      </c>
      <c r="I742" s="252" t="s">
        <v>2410</v>
      </c>
      <c r="J742" s="252" t="s">
        <v>928</v>
      </c>
      <c r="K742" s="252" t="s">
        <v>3236</v>
      </c>
      <c r="L742" s="252">
        <v>8148.4305700000004</v>
      </c>
      <c r="M742" s="252">
        <v>88</v>
      </c>
      <c r="N742" s="252">
        <v>0</v>
      </c>
      <c r="O742" s="252">
        <v>4318.1818199999998</v>
      </c>
      <c r="P742" s="252">
        <v>0</v>
      </c>
      <c r="Q742" s="252">
        <v>0</v>
      </c>
      <c r="R742" s="252">
        <v>0</v>
      </c>
      <c r="S742" s="252">
        <v>0</v>
      </c>
      <c r="T742" s="252">
        <v>1577.40536</v>
      </c>
      <c r="U742" s="252">
        <v>326.00927999999999</v>
      </c>
      <c r="V742" s="252">
        <v>101.65678</v>
      </c>
      <c r="W742" s="252">
        <v>302.67750999999998</v>
      </c>
      <c r="X742" s="252">
        <v>0</v>
      </c>
      <c r="Y742" s="252">
        <v>0</v>
      </c>
      <c r="Z742" s="252">
        <v>1096.92866</v>
      </c>
      <c r="AA742" s="252">
        <v>425.57116000000002</v>
      </c>
      <c r="AB742" s="252">
        <v>0</v>
      </c>
      <c r="AC742" s="252">
        <v>0</v>
      </c>
      <c r="AD742" s="252">
        <v>1</v>
      </c>
      <c r="AE742" s="252" t="s">
        <v>19</v>
      </c>
      <c r="AF742" s="252" t="s">
        <v>725</v>
      </c>
      <c r="AG742" s="252">
        <f t="shared" si="55"/>
        <v>3800.0000015999999</v>
      </c>
      <c r="AH742" s="252">
        <f t="shared" si="56"/>
        <v>0</v>
      </c>
      <c r="AI742" s="252">
        <f t="shared" si="57"/>
        <v>0</v>
      </c>
      <c r="AJ742" s="252">
        <f t="shared" si="58"/>
        <v>3800.0000015999999</v>
      </c>
    </row>
    <row r="743" spans="1:36" x14ac:dyDescent="0.2">
      <c r="A743" s="253" t="str">
        <f t="shared" si="59"/>
        <v>3MSYA1CEGC112</v>
      </c>
      <c r="B743" s="252" t="s">
        <v>19</v>
      </c>
      <c r="C743" s="252" t="s">
        <v>28</v>
      </c>
      <c r="D743" s="252" t="s">
        <v>2400</v>
      </c>
      <c r="E743" s="252" t="s">
        <v>2401</v>
      </c>
      <c r="F743" s="252" t="s">
        <v>2409</v>
      </c>
      <c r="G743" s="252">
        <v>12</v>
      </c>
      <c r="H743" s="252" t="s">
        <v>928</v>
      </c>
      <c r="I743" s="252" t="s">
        <v>2411</v>
      </c>
      <c r="J743" s="252" t="s">
        <v>928</v>
      </c>
      <c r="K743" s="252" t="s">
        <v>3236</v>
      </c>
      <c r="L743" s="252">
        <v>6564.7234500000004</v>
      </c>
      <c r="M743" s="252">
        <v>88</v>
      </c>
      <c r="N743" s="252">
        <v>0</v>
      </c>
      <c r="O743" s="252">
        <v>2900</v>
      </c>
      <c r="P743" s="252">
        <v>0</v>
      </c>
      <c r="Q743" s="252">
        <v>0</v>
      </c>
      <c r="R743" s="252">
        <v>0</v>
      </c>
      <c r="S743" s="252">
        <v>0</v>
      </c>
      <c r="T743" s="252">
        <v>1567.7657899999999</v>
      </c>
      <c r="U743" s="252">
        <v>323.94592999999998</v>
      </c>
      <c r="V743" s="252">
        <v>102.65683</v>
      </c>
      <c r="W743" s="252">
        <v>284.77963999999997</v>
      </c>
      <c r="X743" s="252">
        <v>0</v>
      </c>
      <c r="Y743" s="252">
        <v>0</v>
      </c>
      <c r="Z743" s="252">
        <v>1002.2593900000001</v>
      </c>
      <c r="AA743" s="252">
        <v>383.31587000000002</v>
      </c>
      <c r="AB743" s="252">
        <v>0</v>
      </c>
      <c r="AC743" s="252">
        <v>0</v>
      </c>
      <c r="AD743" s="252">
        <v>1</v>
      </c>
      <c r="AE743" s="252" t="s">
        <v>19</v>
      </c>
      <c r="AF743" s="252" t="s">
        <v>725</v>
      </c>
      <c r="AG743" s="252">
        <f t="shared" si="55"/>
        <v>2552</v>
      </c>
      <c r="AH743" s="252">
        <f t="shared" si="56"/>
        <v>0</v>
      </c>
      <c r="AI743" s="252">
        <f t="shared" si="57"/>
        <v>0</v>
      </c>
      <c r="AJ743" s="252">
        <f t="shared" si="58"/>
        <v>2552</v>
      </c>
    </row>
    <row r="744" spans="1:36" x14ac:dyDescent="0.2">
      <c r="A744" s="253" t="str">
        <f t="shared" si="59"/>
        <v>SYA1CEGC112</v>
      </c>
      <c r="B744" s="252" t="s">
        <v>19</v>
      </c>
      <c r="C744" s="252" t="s">
        <v>28</v>
      </c>
      <c r="D744" s="252" t="s">
        <v>2400</v>
      </c>
      <c r="E744" s="252" t="s">
        <v>2401</v>
      </c>
      <c r="F744" s="252" t="s">
        <v>2409</v>
      </c>
      <c r="G744" s="252">
        <v>12</v>
      </c>
      <c r="H744" s="252" t="s">
        <v>928</v>
      </c>
      <c r="I744" s="252" t="s">
        <v>928</v>
      </c>
      <c r="J744" s="252" t="s">
        <v>928</v>
      </c>
      <c r="K744" s="252" t="s">
        <v>3236</v>
      </c>
      <c r="L744" s="252">
        <v>7227.55015</v>
      </c>
      <c r="M744" s="252">
        <v>88</v>
      </c>
      <c r="N744" s="252">
        <v>0</v>
      </c>
      <c r="O744" s="252">
        <v>3493.5511999999999</v>
      </c>
      <c r="P744" s="252">
        <v>0</v>
      </c>
      <c r="Q744" s="252">
        <v>0</v>
      </c>
      <c r="R744" s="252">
        <v>0</v>
      </c>
      <c r="S744" s="252">
        <v>0</v>
      </c>
      <c r="T744" s="252">
        <v>1571.8008299999999</v>
      </c>
      <c r="U744" s="252">
        <v>324.80889000000002</v>
      </c>
      <c r="V744" s="252">
        <v>102.23738</v>
      </c>
      <c r="W744" s="252">
        <v>292.27042</v>
      </c>
      <c r="X744" s="252">
        <v>0</v>
      </c>
      <c r="Y744" s="252">
        <v>0</v>
      </c>
      <c r="Z744" s="252">
        <v>1041.88059</v>
      </c>
      <c r="AA744" s="252">
        <v>401.00083999999998</v>
      </c>
      <c r="AB744" s="252">
        <v>0</v>
      </c>
      <c r="AC744" s="252">
        <v>0</v>
      </c>
      <c r="AD744" s="252">
        <v>1</v>
      </c>
      <c r="AE744" s="252" t="s">
        <v>19</v>
      </c>
      <c r="AF744" s="252" t="s">
        <v>725</v>
      </c>
      <c r="AG744" s="252">
        <f t="shared" si="55"/>
        <v>3074.3250559999997</v>
      </c>
      <c r="AH744" s="252">
        <f t="shared" si="56"/>
        <v>0</v>
      </c>
      <c r="AI744" s="252">
        <f t="shared" si="57"/>
        <v>0</v>
      </c>
      <c r="AJ744" s="252">
        <f t="shared" si="58"/>
        <v>3074.3250559999997</v>
      </c>
    </row>
    <row r="745" spans="1:36" x14ac:dyDescent="0.2">
      <c r="A745" s="253" t="str">
        <f t="shared" si="59"/>
        <v>3ASYA1CHGCR12</v>
      </c>
      <c r="B745" s="252" t="s">
        <v>19</v>
      </c>
      <c r="C745" s="252" t="s">
        <v>28</v>
      </c>
      <c r="D745" s="252" t="s">
        <v>2400</v>
      </c>
      <c r="E745" s="252" t="s">
        <v>2401</v>
      </c>
      <c r="F745" s="252" t="s">
        <v>2415</v>
      </c>
      <c r="G745" s="252">
        <v>12</v>
      </c>
      <c r="H745" s="252" t="s">
        <v>928</v>
      </c>
      <c r="I745" s="252" t="s">
        <v>2395</v>
      </c>
      <c r="J745" s="252" t="s">
        <v>928</v>
      </c>
      <c r="K745" s="252" t="s">
        <v>3236</v>
      </c>
      <c r="L745" s="252">
        <v>6062.4689099999996</v>
      </c>
      <c r="M745" s="252">
        <v>90.5</v>
      </c>
      <c r="N745" s="252">
        <v>0</v>
      </c>
      <c r="O745" s="252">
        <v>3287.2928200000001</v>
      </c>
      <c r="P745" s="252">
        <v>0</v>
      </c>
      <c r="Q745" s="252">
        <v>0</v>
      </c>
      <c r="R745" s="252">
        <v>0</v>
      </c>
      <c r="S745" s="252">
        <v>0</v>
      </c>
      <c r="T745" s="252">
        <v>755.72280000000001</v>
      </c>
      <c r="U745" s="252">
        <v>323.94592999999998</v>
      </c>
      <c r="V745" s="252">
        <v>100.65674</v>
      </c>
      <c r="W745" s="252">
        <v>292.07501999999999</v>
      </c>
      <c r="X745" s="252">
        <v>0</v>
      </c>
      <c r="Y745" s="252">
        <v>0</v>
      </c>
      <c r="Z745" s="252">
        <v>943.60560999999996</v>
      </c>
      <c r="AA745" s="252">
        <v>359.16998999999998</v>
      </c>
      <c r="AB745" s="252">
        <v>0</v>
      </c>
      <c r="AC745" s="252">
        <v>0</v>
      </c>
      <c r="AD745" s="252">
        <v>1</v>
      </c>
      <c r="AE745" s="252" t="s">
        <v>19</v>
      </c>
      <c r="AF745" s="252" t="s">
        <v>725</v>
      </c>
      <c r="AG745" s="252">
        <f t="shared" si="55"/>
        <v>2975.0000021000001</v>
      </c>
      <c r="AH745" s="252">
        <f t="shared" si="56"/>
        <v>0</v>
      </c>
      <c r="AI745" s="252">
        <f t="shared" si="57"/>
        <v>0</v>
      </c>
      <c r="AJ745" s="252">
        <f t="shared" si="58"/>
        <v>2975.0000021000001</v>
      </c>
    </row>
    <row r="746" spans="1:36" x14ac:dyDescent="0.2">
      <c r="A746" s="253" t="str">
        <f t="shared" si="59"/>
        <v>3BSYA1CHGCR12</v>
      </c>
      <c r="B746" s="252" t="s">
        <v>19</v>
      </c>
      <c r="C746" s="252" t="s">
        <v>28</v>
      </c>
      <c r="D746" s="252" t="s">
        <v>2400</v>
      </c>
      <c r="E746" s="252" t="s">
        <v>2401</v>
      </c>
      <c r="F746" s="252" t="s">
        <v>2415</v>
      </c>
      <c r="G746" s="252">
        <v>12</v>
      </c>
      <c r="H746" s="252" t="s">
        <v>928</v>
      </c>
      <c r="I746" s="252" t="s">
        <v>2416</v>
      </c>
      <c r="J746" s="252" t="s">
        <v>928</v>
      </c>
      <c r="K746" s="252" t="s">
        <v>3236</v>
      </c>
      <c r="L746" s="252">
        <v>5469.9507599999997</v>
      </c>
      <c r="M746" s="252">
        <v>90.5</v>
      </c>
      <c r="N746" s="252">
        <v>0</v>
      </c>
      <c r="O746" s="252">
        <v>2784.5303899999999</v>
      </c>
      <c r="P746" s="252">
        <v>0</v>
      </c>
      <c r="Q746" s="252">
        <v>0</v>
      </c>
      <c r="R746" s="252">
        <v>0</v>
      </c>
      <c r="S746" s="252">
        <v>0</v>
      </c>
      <c r="T746" s="252">
        <v>755.72280000000001</v>
      </c>
      <c r="U746" s="252">
        <v>234.19021000000001</v>
      </c>
      <c r="V746" s="252">
        <v>100.65674</v>
      </c>
      <c r="W746" s="252">
        <v>292.07501999999999</v>
      </c>
      <c r="X746" s="252">
        <v>0</v>
      </c>
      <c r="Y746" s="252">
        <v>0</v>
      </c>
      <c r="Z746" s="252">
        <v>943.60560999999996</v>
      </c>
      <c r="AA746" s="252">
        <v>359.16998999999998</v>
      </c>
      <c r="AB746" s="252">
        <v>0</v>
      </c>
      <c r="AC746" s="252">
        <v>0</v>
      </c>
      <c r="AD746" s="252">
        <v>1</v>
      </c>
      <c r="AE746" s="252" t="s">
        <v>19</v>
      </c>
      <c r="AF746" s="252" t="s">
        <v>725</v>
      </c>
      <c r="AG746" s="252">
        <f t="shared" si="55"/>
        <v>2520.0000029499997</v>
      </c>
      <c r="AH746" s="252">
        <f t="shared" si="56"/>
        <v>0</v>
      </c>
      <c r="AI746" s="252">
        <f t="shared" si="57"/>
        <v>0</v>
      </c>
      <c r="AJ746" s="252">
        <f t="shared" si="58"/>
        <v>2520.0000029499997</v>
      </c>
    </row>
    <row r="747" spans="1:36" x14ac:dyDescent="0.2">
      <c r="A747" s="253" t="str">
        <f t="shared" si="59"/>
        <v>3GSYA1CHGCR12</v>
      </c>
      <c r="B747" s="252" t="s">
        <v>19</v>
      </c>
      <c r="C747" s="252" t="s">
        <v>28</v>
      </c>
      <c r="D747" s="252" t="s">
        <v>2400</v>
      </c>
      <c r="E747" s="252" t="s">
        <v>2401</v>
      </c>
      <c r="F747" s="252" t="s">
        <v>2415</v>
      </c>
      <c r="G747" s="252">
        <v>12</v>
      </c>
      <c r="H747" s="252" t="s">
        <v>928</v>
      </c>
      <c r="I747" s="252" t="s">
        <v>2396</v>
      </c>
      <c r="J747" s="252" t="s">
        <v>928</v>
      </c>
      <c r="K747" s="252" t="s">
        <v>3236</v>
      </c>
      <c r="L747" s="252">
        <v>6977.58493</v>
      </c>
      <c r="M747" s="252">
        <v>90.5</v>
      </c>
      <c r="N747" s="252">
        <v>0</v>
      </c>
      <c r="O747" s="252">
        <v>4202.4088400000001</v>
      </c>
      <c r="P747" s="252">
        <v>0</v>
      </c>
      <c r="Q747" s="252">
        <v>0</v>
      </c>
      <c r="R747" s="252">
        <v>0</v>
      </c>
      <c r="S747" s="252">
        <v>0</v>
      </c>
      <c r="T747" s="252">
        <v>755.72280000000001</v>
      </c>
      <c r="U747" s="252">
        <v>323.94592999999998</v>
      </c>
      <c r="V747" s="252">
        <v>100.65674</v>
      </c>
      <c r="W747" s="252">
        <v>292.07501999999999</v>
      </c>
      <c r="X747" s="252">
        <v>0</v>
      </c>
      <c r="Y747" s="252">
        <v>0</v>
      </c>
      <c r="Z747" s="252">
        <v>943.60560999999996</v>
      </c>
      <c r="AA747" s="252">
        <v>359.16998999999998</v>
      </c>
      <c r="AB747" s="252">
        <v>0</v>
      </c>
      <c r="AC747" s="252">
        <v>0</v>
      </c>
      <c r="AD747" s="252">
        <v>1</v>
      </c>
      <c r="AE747" s="252" t="s">
        <v>20</v>
      </c>
      <c r="AF747" s="252" t="s">
        <v>718</v>
      </c>
      <c r="AG747" s="252">
        <f t="shared" si="55"/>
        <v>3803.1800002</v>
      </c>
      <c r="AH747" s="252">
        <f t="shared" si="56"/>
        <v>0</v>
      </c>
      <c r="AI747" s="252">
        <f t="shared" si="57"/>
        <v>0</v>
      </c>
      <c r="AJ747" s="252">
        <f t="shared" si="58"/>
        <v>3803.1800002</v>
      </c>
    </row>
    <row r="748" spans="1:36" x14ac:dyDescent="0.2">
      <c r="A748" s="253" t="str">
        <f t="shared" si="59"/>
        <v>SYA1CHGCR12</v>
      </c>
      <c r="B748" s="252" t="s">
        <v>19</v>
      </c>
      <c r="C748" s="252" t="s">
        <v>28</v>
      </c>
      <c r="D748" s="252" t="s">
        <v>2400</v>
      </c>
      <c r="E748" s="252" t="s">
        <v>2401</v>
      </c>
      <c r="F748" s="252" t="s">
        <v>2415</v>
      </c>
      <c r="G748" s="252">
        <v>12</v>
      </c>
      <c r="H748" s="252" t="s">
        <v>928</v>
      </c>
      <c r="I748" s="252" t="s">
        <v>928</v>
      </c>
      <c r="J748" s="252" t="s">
        <v>928</v>
      </c>
      <c r="K748" s="252" t="s">
        <v>3236</v>
      </c>
      <c r="L748" s="252">
        <v>5572.0607600000003</v>
      </c>
      <c r="M748" s="252">
        <v>90.5</v>
      </c>
      <c r="N748" s="252">
        <v>0</v>
      </c>
      <c r="O748" s="252">
        <v>2876.2382600000001</v>
      </c>
      <c r="P748" s="252">
        <v>0</v>
      </c>
      <c r="Q748" s="252">
        <v>0</v>
      </c>
      <c r="R748" s="252">
        <v>0</v>
      </c>
      <c r="S748" s="252">
        <v>0</v>
      </c>
      <c r="T748" s="252">
        <v>755.72277999999994</v>
      </c>
      <c r="U748" s="252">
        <v>244.59215</v>
      </c>
      <c r="V748" s="252">
        <v>100.65689999999999</v>
      </c>
      <c r="W748" s="252">
        <v>292.07504</v>
      </c>
      <c r="X748" s="252">
        <v>0</v>
      </c>
      <c r="Y748" s="252">
        <v>0</v>
      </c>
      <c r="Z748" s="252">
        <v>943.60563000000002</v>
      </c>
      <c r="AA748" s="252">
        <v>359.17</v>
      </c>
      <c r="AB748" s="252">
        <v>0</v>
      </c>
      <c r="AC748" s="252">
        <v>0</v>
      </c>
      <c r="AD748" s="252">
        <v>1</v>
      </c>
      <c r="AE748" s="252" t="s">
        <v>20</v>
      </c>
      <c r="AF748" s="252" t="s">
        <v>718</v>
      </c>
      <c r="AG748" s="252">
        <f t="shared" si="55"/>
        <v>2602.9956253</v>
      </c>
      <c r="AH748" s="252">
        <f t="shared" si="56"/>
        <v>0</v>
      </c>
      <c r="AI748" s="252">
        <f t="shared" si="57"/>
        <v>0</v>
      </c>
      <c r="AJ748" s="252">
        <f t="shared" si="58"/>
        <v>2602.9956253</v>
      </c>
    </row>
    <row r="749" spans="1:36" x14ac:dyDescent="0.2">
      <c r="A749" s="253" t="str">
        <f t="shared" si="59"/>
        <v>3MSYA1CHGCX12</v>
      </c>
      <c r="B749" s="252" t="s">
        <v>19</v>
      </c>
      <c r="C749" s="252" t="s">
        <v>28</v>
      </c>
      <c r="D749" s="252" t="s">
        <v>2400</v>
      </c>
      <c r="E749" s="252" t="s">
        <v>2401</v>
      </c>
      <c r="F749" s="252" t="s">
        <v>2418</v>
      </c>
      <c r="G749" s="252">
        <v>12</v>
      </c>
      <c r="H749" s="252" t="s">
        <v>928</v>
      </c>
      <c r="I749" s="252" t="s">
        <v>2411</v>
      </c>
      <c r="J749" s="252" t="s">
        <v>928</v>
      </c>
      <c r="K749" s="252" t="s">
        <v>3236</v>
      </c>
      <c r="L749" s="252">
        <v>5793.1805800000002</v>
      </c>
      <c r="M749" s="252">
        <v>89.5</v>
      </c>
      <c r="N749" s="252">
        <v>0</v>
      </c>
      <c r="O749" s="252">
        <v>2851.3966500000001</v>
      </c>
      <c r="P749" s="252">
        <v>0</v>
      </c>
      <c r="Q749" s="252">
        <v>0</v>
      </c>
      <c r="R749" s="252">
        <v>0</v>
      </c>
      <c r="S749" s="252">
        <v>0</v>
      </c>
      <c r="T749" s="252">
        <v>821.08153000000004</v>
      </c>
      <c r="U749" s="252">
        <v>329.10431</v>
      </c>
      <c r="V749" s="252">
        <v>105.65694999999999</v>
      </c>
      <c r="W749" s="252">
        <v>286.02850000000001</v>
      </c>
      <c r="X749" s="252">
        <v>0</v>
      </c>
      <c r="Y749" s="252">
        <v>0</v>
      </c>
      <c r="Z749" s="252">
        <v>1013.57854</v>
      </c>
      <c r="AA749" s="252">
        <v>386.33409999999998</v>
      </c>
      <c r="AB749" s="252">
        <v>0</v>
      </c>
      <c r="AC749" s="252">
        <v>0</v>
      </c>
      <c r="AD749" s="252">
        <v>1</v>
      </c>
      <c r="AE749" s="252" t="s">
        <v>20</v>
      </c>
      <c r="AF749" s="252" t="s">
        <v>718</v>
      </c>
      <c r="AG749" s="252">
        <f t="shared" si="55"/>
        <v>2552.0000017500001</v>
      </c>
      <c r="AH749" s="252">
        <f t="shared" si="56"/>
        <v>0</v>
      </c>
      <c r="AI749" s="252">
        <f t="shared" si="57"/>
        <v>0</v>
      </c>
      <c r="AJ749" s="252">
        <f t="shared" si="58"/>
        <v>2552.0000017500001</v>
      </c>
    </row>
    <row r="750" spans="1:36" x14ac:dyDescent="0.2">
      <c r="A750" s="253" t="str">
        <f t="shared" si="59"/>
        <v>SYA1CHGCX12</v>
      </c>
      <c r="B750" s="252" t="s">
        <v>19</v>
      </c>
      <c r="C750" s="252" t="s">
        <v>28</v>
      </c>
      <c r="D750" s="252" t="s">
        <v>2400</v>
      </c>
      <c r="E750" s="252" t="s">
        <v>2401</v>
      </c>
      <c r="F750" s="252" t="s">
        <v>2418</v>
      </c>
      <c r="G750" s="252">
        <v>12</v>
      </c>
      <c r="H750" s="252" t="s">
        <v>928</v>
      </c>
      <c r="I750" s="252" t="s">
        <v>928</v>
      </c>
      <c r="J750" s="252" t="s">
        <v>928</v>
      </c>
      <c r="K750" s="252" t="s">
        <v>3236</v>
      </c>
      <c r="L750" s="252">
        <v>5793.18174</v>
      </c>
      <c r="M750" s="252">
        <v>89.5</v>
      </c>
      <c r="N750" s="252">
        <v>0</v>
      </c>
      <c r="O750" s="252">
        <v>2851.3971200000001</v>
      </c>
      <c r="P750" s="252">
        <v>0</v>
      </c>
      <c r="Q750" s="252">
        <v>0</v>
      </c>
      <c r="R750" s="252">
        <v>0</v>
      </c>
      <c r="S750" s="252">
        <v>0</v>
      </c>
      <c r="T750" s="252">
        <v>821.08163000000002</v>
      </c>
      <c r="U750" s="252">
        <v>329.10469999999998</v>
      </c>
      <c r="V750" s="252">
        <v>105.65739000000001</v>
      </c>
      <c r="W750" s="252">
        <v>286.02807999999999</v>
      </c>
      <c r="X750" s="252">
        <v>0</v>
      </c>
      <c r="Y750" s="252">
        <v>0</v>
      </c>
      <c r="Z750" s="252">
        <v>1013.5788700000001</v>
      </c>
      <c r="AA750" s="252">
        <v>386.33395000000002</v>
      </c>
      <c r="AB750" s="252">
        <v>0</v>
      </c>
      <c r="AC750" s="252">
        <v>0</v>
      </c>
      <c r="AD750" s="252">
        <v>1</v>
      </c>
      <c r="AE750" s="252" t="s">
        <v>20</v>
      </c>
      <c r="AF750" s="252" t="s">
        <v>718</v>
      </c>
      <c r="AG750" s="252">
        <f t="shared" si="55"/>
        <v>2552.0004223999999</v>
      </c>
      <c r="AH750" s="252">
        <f t="shared" si="56"/>
        <v>0</v>
      </c>
      <c r="AI750" s="252">
        <f t="shared" si="57"/>
        <v>0</v>
      </c>
      <c r="AJ750" s="252">
        <f t="shared" si="58"/>
        <v>2552.0004223999999</v>
      </c>
    </row>
    <row r="751" spans="1:36" x14ac:dyDescent="0.2">
      <c r="A751" s="253" t="str">
        <f t="shared" si="59"/>
        <v>3ASYA1CHGCX612</v>
      </c>
      <c r="B751" s="252" t="s">
        <v>19</v>
      </c>
      <c r="C751" s="252" t="s">
        <v>28</v>
      </c>
      <c r="D751" s="252" t="s">
        <v>2400</v>
      </c>
      <c r="E751" s="252" t="s">
        <v>2401</v>
      </c>
      <c r="F751" s="252" t="s">
        <v>2653</v>
      </c>
      <c r="G751" s="252">
        <v>12</v>
      </c>
      <c r="H751" s="252" t="s">
        <v>928</v>
      </c>
      <c r="I751" s="252" t="s">
        <v>2395</v>
      </c>
      <c r="J751" s="252" t="s">
        <v>928</v>
      </c>
      <c r="K751" s="252" t="s">
        <v>3236</v>
      </c>
      <c r="L751" s="252">
        <v>6096.6980400000002</v>
      </c>
      <c r="M751" s="252">
        <v>89.5</v>
      </c>
      <c r="N751" s="252">
        <v>0</v>
      </c>
      <c r="O751" s="252">
        <v>3324.0223500000002</v>
      </c>
      <c r="P751" s="252">
        <v>0</v>
      </c>
      <c r="Q751" s="252">
        <v>0</v>
      </c>
      <c r="R751" s="252">
        <v>0</v>
      </c>
      <c r="S751" s="252">
        <v>0</v>
      </c>
      <c r="T751" s="252">
        <v>821.08153000000004</v>
      </c>
      <c r="U751" s="252">
        <v>269.26715999999999</v>
      </c>
      <c r="V751" s="252">
        <v>105.65694999999999</v>
      </c>
      <c r="W751" s="252">
        <v>284.50569000000002</v>
      </c>
      <c r="X751" s="252">
        <v>0</v>
      </c>
      <c r="Y751" s="252">
        <v>0</v>
      </c>
      <c r="Z751" s="252">
        <v>918.90927999999997</v>
      </c>
      <c r="AA751" s="252">
        <v>373.25508000000002</v>
      </c>
      <c r="AB751" s="252">
        <v>0</v>
      </c>
      <c r="AC751" s="252">
        <v>0</v>
      </c>
      <c r="AD751" s="252">
        <v>1</v>
      </c>
      <c r="AE751" s="252" t="s">
        <v>19</v>
      </c>
      <c r="AF751" s="252" t="s">
        <v>725</v>
      </c>
      <c r="AG751" s="252">
        <f t="shared" si="55"/>
        <v>2975.0000032500002</v>
      </c>
      <c r="AH751" s="252">
        <f t="shared" si="56"/>
        <v>0</v>
      </c>
      <c r="AI751" s="252">
        <f t="shared" si="57"/>
        <v>0</v>
      </c>
      <c r="AJ751" s="252">
        <f t="shared" si="58"/>
        <v>2975.0000032500002</v>
      </c>
    </row>
    <row r="752" spans="1:36" x14ac:dyDescent="0.2">
      <c r="A752" s="253" t="str">
        <f t="shared" si="59"/>
        <v>3MSYA1CHGCX612</v>
      </c>
      <c r="B752" s="252" t="s">
        <v>19</v>
      </c>
      <c r="C752" s="252" t="s">
        <v>28</v>
      </c>
      <c r="D752" s="252" t="s">
        <v>2400</v>
      </c>
      <c r="E752" s="252" t="s">
        <v>2401</v>
      </c>
      <c r="F752" s="252" t="s">
        <v>2653</v>
      </c>
      <c r="G752" s="252">
        <v>12</v>
      </c>
      <c r="H752" s="252" t="s">
        <v>928</v>
      </c>
      <c r="I752" s="252" t="s">
        <v>2411</v>
      </c>
      <c r="J752" s="252" t="s">
        <v>928</v>
      </c>
      <c r="K752" s="252" t="s">
        <v>3236</v>
      </c>
      <c r="L752" s="252">
        <v>5624.0723399999997</v>
      </c>
      <c r="M752" s="252">
        <v>89.5</v>
      </c>
      <c r="N752" s="252">
        <v>0</v>
      </c>
      <c r="O752" s="252">
        <v>2851.3966500000001</v>
      </c>
      <c r="P752" s="252">
        <v>0</v>
      </c>
      <c r="Q752" s="252">
        <v>0</v>
      </c>
      <c r="R752" s="252">
        <v>0</v>
      </c>
      <c r="S752" s="252">
        <v>0</v>
      </c>
      <c r="T752" s="252">
        <v>821.08153000000004</v>
      </c>
      <c r="U752" s="252">
        <v>269.26715999999999</v>
      </c>
      <c r="V752" s="252">
        <v>105.65694999999999</v>
      </c>
      <c r="W752" s="252">
        <v>284.50569000000002</v>
      </c>
      <c r="X752" s="252">
        <v>0</v>
      </c>
      <c r="Y752" s="252">
        <v>0</v>
      </c>
      <c r="Z752" s="252">
        <v>918.90927999999997</v>
      </c>
      <c r="AA752" s="252">
        <v>373.25508000000002</v>
      </c>
      <c r="AB752" s="252">
        <v>0</v>
      </c>
      <c r="AC752" s="252">
        <v>0</v>
      </c>
      <c r="AD752" s="252">
        <v>1</v>
      </c>
      <c r="AE752" s="252" t="s">
        <v>19</v>
      </c>
      <c r="AF752" s="252" t="s">
        <v>725</v>
      </c>
      <c r="AG752" s="252">
        <f t="shared" si="55"/>
        <v>2552.0000017500001</v>
      </c>
      <c r="AH752" s="252">
        <f t="shared" si="56"/>
        <v>0</v>
      </c>
      <c r="AI752" s="252">
        <f t="shared" si="57"/>
        <v>0</v>
      </c>
      <c r="AJ752" s="252">
        <f t="shared" si="58"/>
        <v>2552.0000017500001</v>
      </c>
    </row>
    <row r="753" spans="1:36" x14ac:dyDescent="0.2">
      <c r="A753" s="253" t="str">
        <f t="shared" si="59"/>
        <v>SYA1CHGCX612</v>
      </c>
      <c r="B753" s="252" t="s">
        <v>19</v>
      </c>
      <c r="C753" s="252" t="s">
        <v>28</v>
      </c>
      <c r="D753" s="252" t="s">
        <v>2400</v>
      </c>
      <c r="E753" s="252" t="s">
        <v>2401</v>
      </c>
      <c r="F753" s="252" t="s">
        <v>2653</v>
      </c>
      <c r="G753" s="252">
        <v>12</v>
      </c>
      <c r="H753" s="252" t="s">
        <v>928</v>
      </c>
      <c r="I753" s="252" t="s">
        <v>928</v>
      </c>
      <c r="J753" s="252" t="s">
        <v>928</v>
      </c>
      <c r="K753" s="252" t="s">
        <v>3236</v>
      </c>
      <c r="L753" s="252">
        <v>6064.7481100000005</v>
      </c>
      <c r="M753" s="252">
        <v>89.5</v>
      </c>
      <c r="N753" s="252">
        <v>0</v>
      </c>
      <c r="O753" s="252">
        <v>3292.0726</v>
      </c>
      <c r="P753" s="252">
        <v>0</v>
      </c>
      <c r="Q753" s="252">
        <v>0</v>
      </c>
      <c r="R753" s="252">
        <v>0</v>
      </c>
      <c r="S753" s="252">
        <v>0</v>
      </c>
      <c r="T753" s="252">
        <v>821.08158000000003</v>
      </c>
      <c r="U753" s="252">
        <v>269.26711</v>
      </c>
      <c r="V753" s="252">
        <v>105.65689999999999</v>
      </c>
      <c r="W753" s="252">
        <v>284.50562000000002</v>
      </c>
      <c r="X753" s="252">
        <v>0</v>
      </c>
      <c r="Y753" s="252">
        <v>0</v>
      </c>
      <c r="Z753" s="252">
        <v>918.90926000000002</v>
      </c>
      <c r="AA753" s="252">
        <v>373.25504000000001</v>
      </c>
      <c r="AB753" s="252">
        <v>0</v>
      </c>
      <c r="AC753" s="252">
        <v>0</v>
      </c>
      <c r="AD753" s="252">
        <v>1</v>
      </c>
      <c r="AE753" s="252" t="s">
        <v>19</v>
      </c>
      <c r="AF753" s="252" t="s">
        <v>725</v>
      </c>
      <c r="AG753" s="252">
        <f t="shared" si="55"/>
        <v>2946.4049770000001</v>
      </c>
      <c r="AH753" s="252">
        <f t="shared" si="56"/>
        <v>0</v>
      </c>
      <c r="AI753" s="252">
        <f t="shared" si="57"/>
        <v>0</v>
      </c>
      <c r="AJ753" s="252">
        <f t="shared" si="58"/>
        <v>2946.4049770000001</v>
      </c>
    </row>
    <row r="754" spans="1:36" x14ac:dyDescent="0.2">
      <c r="A754" s="253" t="str">
        <f t="shared" si="59"/>
        <v>3ISYA1CSBR212</v>
      </c>
      <c r="B754" s="252" t="s">
        <v>19</v>
      </c>
      <c r="C754" s="252" t="s">
        <v>28</v>
      </c>
      <c r="D754" s="252" t="s">
        <v>2400</v>
      </c>
      <c r="E754" s="252" t="s">
        <v>2401</v>
      </c>
      <c r="F754" s="252" t="s">
        <v>2426</v>
      </c>
      <c r="G754" s="252">
        <v>12</v>
      </c>
      <c r="H754" s="252" t="s">
        <v>928</v>
      </c>
      <c r="I754" s="252" t="s">
        <v>2427</v>
      </c>
      <c r="J754" s="252" t="s">
        <v>928</v>
      </c>
      <c r="K754" s="252" t="s">
        <v>3236</v>
      </c>
      <c r="L754" s="252">
        <v>8811.6357000000007</v>
      </c>
      <c r="M754" s="252">
        <v>88</v>
      </c>
      <c r="N754" s="252">
        <v>0</v>
      </c>
      <c r="O754" s="252">
        <v>0</v>
      </c>
      <c r="P754" s="252">
        <v>3517.7788700000001</v>
      </c>
      <c r="Q754" s="252">
        <v>3863.63636</v>
      </c>
      <c r="R754" s="252">
        <v>0</v>
      </c>
      <c r="S754" s="252">
        <v>0</v>
      </c>
      <c r="T754" s="252">
        <v>0</v>
      </c>
      <c r="U754" s="252">
        <v>233.15853999999999</v>
      </c>
      <c r="V754" s="252">
        <v>0</v>
      </c>
      <c r="W754" s="252">
        <v>26.295680000000001</v>
      </c>
      <c r="X754" s="252">
        <v>0</v>
      </c>
      <c r="Y754" s="252">
        <v>0</v>
      </c>
      <c r="Z754" s="252">
        <v>255.19541000000001</v>
      </c>
      <c r="AA754" s="252">
        <v>114.69293999999999</v>
      </c>
      <c r="AB754" s="252">
        <v>800.87789999999995</v>
      </c>
      <c r="AC754" s="252">
        <v>0</v>
      </c>
      <c r="AD754" s="252">
        <v>1</v>
      </c>
      <c r="AE754" s="252" t="s">
        <v>19</v>
      </c>
      <c r="AF754" s="252" t="s">
        <v>725</v>
      </c>
      <c r="AG754" s="252">
        <f t="shared" si="55"/>
        <v>0</v>
      </c>
      <c r="AH754" s="252">
        <f t="shared" si="56"/>
        <v>3095.6454055999998</v>
      </c>
      <c r="AI754" s="252">
        <f t="shared" si="57"/>
        <v>704.77255200000002</v>
      </c>
      <c r="AJ754" s="252">
        <f t="shared" si="58"/>
        <v>3800.4179575999997</v>
      </c>
    </row>
    <row r="755" spans="1:36" x14ac:dyDescent="0.2">
      <c r="A755" s="253" t="str">
        <f t="shared" si="59"/>
        <v>SYA1CSBR212</v>
      </c>
      <c r="B755" s="252" t="s">
        <v>19</v>
      </c>
      <c r="C755" s="252" t="s">
        <v>28</v>
      </c>
      <c r="D755" s="252" t="s">
        <v>2400</v>
      </c>
      <c r="E755" s="252" t="s">
        <v>2401</v>
      </c>
      <c r="F755" s="252" t="s">
        <v>2426</v>
      </c>
      <c r="G755" s="252">
        <v>12</v>
      </c>
      <c r="H755" s="252" t="s">
        <v>928</v>
      </c>
      <c r="I755" s="252" t="s">
        <v>928</v>
      </c>
      <c r="J755" s="252" t="s">
        <v>928</v>
      </c>
      <c r="K755" s="252" t="s">
        <v>3236</v>
      </c>
      <c r="L755" s="252">
        <v>8811.6349699999992</v>
      </c>
      <c r="M755" s="252">
        <v>88</v>
      </c>
      <c r="N755" s="252">
        <v>0</v>
      </c>
      <c r="O755" s="252">
        <v>0</v>
      </c>
      <c r="P755" s="252">
        <v>3517.7808</v>
      </c>
      <c r="Q755" s="252">
        <v>3863.6367799999998</v>
      </c>
      <c r="R755" s="252">
        <v>0</v>
      </c>
      <c r="S755" s="252">
        <v>0</v>
      </c>
      <c r="T755" s="252">
        <v>0</v>
      </c>
      <c r="U755" s="252">
        <v>233.1567</v>
      </c>
      <c r="V755" s="252">
        <v>0</v>
      </c>
      <c r="W755" s="252">
        <v>26.295290000000001</v>
      </c>
      <c r="X755" s="252">
        <v>0</v>
      </c>
      <c r="Y755" s="252">
        <v>0</v>
      </c>
      <c r="Z755" s="252">
        <v>255.19475</v>
      </c>
      <c r="AA755" s="252">
        <v>114.69203</v>
      </c>
      <c r="AB755" s="252">
        <v>800.87861999999996</v>
      </c>
      <c r="AC755" s="252">
        <v>0</v>
      </c>
      <c r="AD755" s="252">
        <v>1</v>
      </c>
      <c r="AE755" s="252" t="s">
        <v>19</v>
      </c>
      <c r="AF755" s="252" t="s">
        <v>725</v>
      </c>
      <c r="AG755" s="252">
        <f t="shared" si="55"/>
        <v>0</v>
      </c>
      <c r="AH755" s="252">
        <f t="shared" si="56"/>
        <v>3095.6471039999997</v>
      </c>
      <c r="AI755" s="252">
        <f t="shared" si="57"/>
        <v>704.77318560000003</v>
      </c>
      <c r="AJ755" s="252">
        <f t="shared" si="58"/>
        <v>3800.4202895999997</v>
      </c>
    </row>
    <row r="756" spans="1:36" x14ac:dyDescent="0.2">
      <c r="A756" s="253" t="str">
        <f t="shared" si="59"/>
        <v>33SYA1CSBR2-T12</v>
      </c>
      <c r="B756" s="252" t="s">
        <v>19</v>
      </c>
      <c r="C756" s="252" t="s">
        <v>28</v>
      </c>
      <c r="D756" s="252" t="s">
        <v>2400</v>
      </c>
      <c r="E756" s="252" t="s">
        <v>2401</v>
      </c>
      <c r="F756" s="252" t="s">
        <v>2654</v>
      </c>
      <c r="G756" s="252">
        <v>12</v>
      </c>
      <c r="H756" s="252" t="s">
        <v>928</v>
      </c>
      <c r="I756" s="252" t="s">
        <v>2406</v>
      </c>
      <c r="J756" s="252" t="s">
        <v>928</v>
      </c>
      <c r="K756" s="252" t="s">
        <v>3236</v>
      </c>
      <c r="L756" s="252">
        <v>2855.9647100000002</v>
      </c>
      <c r="M756" s="252">
        <v>100</v>
      </c>
      <c r="N756" s="252">
        <v>0</v>
      </c>
      <c r="O756" s="252">
        <v>0</v>
      </c>
      <c r="P756" s="252">
        <v>0</v>
      </c>
      <c r="Q756" s="252">
        <v>0</v>
      </c>
      <c r="R756" s="252">
        <v>0</v>
      </c>
      <c r="S756" s="252">
        <v>0</v>
      </c>
      <c r="T756" s="252">
        <v>1280.00125</v>
      </c>
      <c r="U756" s="252">
        <v>0</v>
      </c>
      <c r="V756" s="252">
        <v>16.001930000000002</v>
      </c>
      <c r="W756" s="252">
        <v>358.00159000000002</v>
      </c>
      <c r="X756" s="252">
        <v>0</v>
      </c>
      <c r="Y756" s="252">
        <v>0</v>
      </c>
      <c r="Z756" s="252">
        <v>768.28403000000003</v>
      </c>
      <c r="AA756" s="252">
        <v>433.67590999999999</v>
      </c>
      <c r="AB756" s="252">
        <v>0</v>
      </c>
      <c r="AC756" s="252">
        <v>0</v>
      </c>
      <c r="AD756" s="252">
        <v>1</v>
      </c>
      <c r="AE756" s="252" t="s">
        <v>19</v>
      </c>
      <c r="AF756" s="252" t="s">
        <v>725</v>
      </c>
      <c r="AG756" s="252">
        <f t="shared" si="55"/>
        <v>0</v>
      </c>
      <c r="AH756" s="252">
        <f t="shared" si="56"/>
        <v>0</v>
      </c>
      <c r="AI756" s="252">
        <f t="shared" si="57"/>
        <v>0</v>
      </c>
      <c r="AJ756" s="252">
        <f t="shared" si="58"/>
        <v>0</v>
      </c>
    </row>
    <row r="757" spans="1:36" x14ac:dyDescent="0.2">
      <c r="A757" s="253" t="str">
        <f t="shared" si="59"/>
        <v>3M55SYA1CSBR2-T12</v>
      </c>
      <c r="B757" s="252" t="s">
        <v>19</v>
      </c>
      <c r="C757" s="252" t="s">
        <v>28</v>
      </c>
      <c r="D757" s="252" t="s">
        <v>2400</v>
      </c>
      <c r="E757" s="252" t="s">
        <v>2401</v>
      </c>
      <c r="F757" s="252" t="s">
        <v>2654</v>
      </c>
      <c r="G757" s="252">
        <v>12</v>
      </c>
      <c r="H757" s="252" t="s">
        <v>928</v>
      </c>
      <c r="I757" s="252" t="s">
        <v>2408</v>
      </c>
      <c r="J757" s="252" t="s">
        <v>928</v>
      </c>
      <c r="K757" s="252" t="s">
        <v>3236</v>
      </c>
      <c r="L757" s="252">
        <v>7955.9991799999998</v>
      </c>
      <c r="M757" s="252">
        <v>88</v>
      </c>
      <c r="N757" s="252">
        <v>0</v>
      </c>
      <c r="O757" s="252">
        <v>2900</v>
      </c>
      <c r="P757" s="252">
        <v>1879.55087</v>
      </c>
      <c r="Q757" s="252">
        <v>0</v>
      </c>
      <c r="R757" s="252">
        <v>0</v>
      </c>
      <c r="S757" s="252">
        <v>0</v>
      </c>
      <c r="T757" s="252">
        <v>30.000229999999998</v>
      </c>
      <c r="U757" s="252">
        <v>231.09519</v>
      </c>
      <c r="V757" s="252">
        <v>210.00855999999999</v>
      </c>
      <c r="W757" s="252">
        <v>192.21770000000001</v>
      </c>
      <c r="X757" s="252">
        <v>0</v>
      </c>
      <c r="Y757" s="252">
        <v>0</v>
      </c>
      <c r="Z757" s="252">
        <v>872.60365999999999</v>
      </c>
      <c r="AA757" s="252">
        <v>274.65940000000001</v>
      </c>
      <c r="AB757" s="252">
        <v>1365.86357</v>
      </c>
      <c r="AC757" s="252">
        <v>0</v>
      </c>
      <c r="AD757" s="252">
        <v>1</v>
      </c>
      <c r="AE757" s="252" t="s">
        <v>19</v>
      </c>
      <c r="AF757" s="252" t="s">
        <v>725</v>
      </c>
      <c r="AG757" s="252">
        <f t="shared" si="55"/>
        <v>2552</v>
      </c>
      <c r="AH757" s="252">
        <f t="shared" si="56"/>
        <v>1654.0047656000002</v>
      </c>
      <c r="AI757" s="252">
        <f t="shared" si="57"/>
        <v>1201.9599416000001</v>
      </c>
      <c r="AJ757" s="252">
        <f t="shared" si="58"/>
        <v>5407.9647072000007</v>
      </c>
    </row>
    <row r="758" spans="1:36" x14ac:dyDescent="0.2">
      <c r="A758" s="253" t="str">
        <f t="shared" si="59"/>
        <v>SYA1CSBR2-T12</v>
      </c>
      <c r="B758" s="252" t="s">
        <v>19</v>
      </c>
      <c r="C758" s="252" t="s">
        <v>28</v>
      </c>
      <c r="D758" s="252" t="s">
        <v>2400</v>
      </c>
      <c r="E758" s="252" t="s">
        <v>2401</v>
      </c>
      <c r="F758" s="252" t="s">
        <v>2654</v>
      </c>
      <c r="G758" s="252">
        <v>12</v>
      </c>
      <c r="H758" s="252" t="s">
        <v>928</v>
      </c>
      <c r="I758" s="252" t="s">
        <v>928</v>
      </c>
      <c r="J758" s="252" t="s">
        <v>928</v>
      </c>
      <c r="K758" s="252" t="s">
        <v>3236</v>
      </c>
      <c r="L758" s="252">
        <v>7955.99712</v>
      </c>
      <c r="M758" s="252">
        <v>88</v>
      </c>
      <c r="N758" s="252">
        <v>0</v>
      </c>
      <c r="O758" s="252">
        <v>2900</v>
      </c>
      <c r="P758" s="252">
        <v>1879.55033</v>
      </c>
      <c r="Q758" s="252">
        <v>0</v>
      </c>
      <c r="R758" s="252">
        <v>0</v>
      </c>
      <c r="S758" s="252">
        <v>0</v>
      </c>
      <c r="T758" s="252">
        <v>30.000399999999999</v>
      </c>
      <c r="U758" s="252">
        <v>231.09573</v>
      </c>
      <c r="V758" s="252">
        <v>210.00818000000001</v>
      </c>
      <c r="W758" s="252">
        <v>192.21735000000001</v>
      </c>
      <c r="X758" s="252">
        <v>0</v>
      </c>
      <c r="Y758" s="252">
        <v>0</v>
      </c>
      <c r="Z758" s="252">
        <v>872.60343</v>
      </c>
      <c r="AA758" s="252">
        <v>274.65859</v>
      </c>
      <c r="AB758" s="252">
        <v>1365.86311</v>
      </c>
      <c r="AC758" s="252">
        <v>0</v>
      </c>
      <c r="AD758" s="252">
        <v>1</v>
      </c>
      <c r="AE758" s="252" t="s">
        <v>19</v>
      </c>
      <c r="AF758" s="252" t="s">
        <v>725</v>
      </c>
      <c r="AG758" s="252">
        <f t="shared" si="55"/>
        <v>2552</v>
      </c>
      <c r="AH758" s="252">
        <f t="shared" si="56"/>
        <v>1654.0042904000002</v>
      </c>
      <c r="AI758" s="252">
        <f t="shared" si="57"/>
        <v>1201.9595368</v>
      </c>
      <c r="AJ758" s="252">
        <f t="shared" si="58"/>
        <v>5407.9638272000002</v>
      </c>
    </row>
    <row r="759" spans="1:36" x14ac:dyDescent="0.2">
      <c r="A759" s="253" t="str">
        <f t="shared" si="59"/>
        <v>33SYA1CSBR2A12</v>
      </c>
      <c r="B759" s="252" t="s">
        <v>19</v>
      </c>
      <c r="C759" s="252" t="s">
        <v>28</v>
      </c>
      <c r="D759" s="252" t="s">
        <v>2400</v>
      </c>
      <c r="E759" s="252" t="s">
        <v>2401</v>
      </c>
      <c r="F759" s="252" t="s">
        <v>2428</v>
      </c>
      <c r="G759" s="252">
        <v>12</v>
      </c>
      <c r="H759" s="252" t="s">
        <v>928</v>
      </c>
      <c r="I759" s="252" t="s">
        <v>2406</v>
      </c>
      <c r="J759" s="252" t="s">
        <v>928</v>
      </c>
      <c r="K759" s="252" t="s">
        <v>3236</v>
      </c>
      <c r="L759" s="252">
        <v>2855.9647100000002</v>
      </c>
      <c r="M759" s="252">
        <v>100</v>
      </c>
      <c r="N759" s="252">
        <v>0</v>
      </c>
      <c r="O759" s="252">
        <v>0</v>
      </c>
      <c r="P759" s="252">
        <v>0</v>
      </c>
      <c r="Q759" s="252">
        <v>0</v>
      </c>
      <c r="R759" s="252">
        <v>0</v>
      </c>
      <c r="S759" s="252">
        <v>0</v>
      </c>
      <c r="T759" s="252">
        <v>1280.00125</v>
      </c>
      <c r="U759" s="252">
        <v>0</v>
      </c>
      <c r="V759" s="252">
        <v>16.001930000000002</v>
      </c>
      <c r="W759" s="252">
        <v>358.00159000000002</v>
      </c>
      <c r="X759" s="252">
        <v>0</v>
      </c>
      <c r="Y759" s="252">
        <v>0</v>
      </c>
      <c r="Z759" s="252">
        <v>768.28403000000003</v>
      </c>
      <c r="AA759" s="252">
        <v>433.67590999999999</v>
      </c>
      <c r="AB759" s="252">
        <v>0</v>
      </c>
      <c r="AC759" s="252">
        <v>0</v>
      </c>
      <c r="AD759" s="252">
        <v>1</v>
      </c>
      <c r="AE759" s="252" t="s">
        <v>19</v>
      </c>
      <c r="AF759" s="252" t="s">
        <v>718</v>
      </c>
      <c r="AG759" s="252">
        <f t="shared" si="55"/>
        <v>0</v>
      </c>
      <c r="AH759" s="252">
        <f t="shared" si="56"/>
        <v>0</v>
      </c>
      <c r="AI759" s="252">
        <f t="shared" si="57"/>
        <v>0</v>
      </c>
      <c r="AJ759" s="252">
        <f t="shared" si="58"/>
        <v>0</v>
      </c>
    </row>
    <row r="760" spans="1:36" x14ac:dyDescent="0.2">
      <c r="A760" s="253" t="str">
        <f t="shared" si="59"/>
        <v>3M55SYA1CSBR2A12</v>
      </c>
      <c r="B760" s="252" t="s">
        <v>19</v>
      </c>
      <c r="C760" s="252" t="s">
        <v>28</v>
      </c>
      <c r="D760" s="252" t="s">
        <v>2400</v>
      </c>
      <c r="E760" s="252" t="s">
        <v>2401</v>
      </c>
      <c r="F760" s="252" t="s">
        <v>2428</v>
      </c>
      <c r="G760" s="252">
        <v>12</v>
      </c>
      <c r="H760" s="252" t="s">
        <v>928</v>
      </c>
      <c r="I760" s="252" t="s">
        <v>2408</v>
      </c>
      <c r="J760" s="252" t="s">
        <v>928</v>
      </c>
      <c r="K760" s="252" t="s">
        <v>3236</v>
      </c>
      <c r="L760" s="252">
        <v>7955.9991799999998</v>
      </c>
      <c r="M760" s="252">
        <v>88</v>
      </c>
      <c r="N760" s="252">
        <v>0</v>
      </c>
      <c r="O760" s="252">
        <v>2900</v>
      </c>
      <c r="P760" s="252">
        <v>1879.55087</v>
      </c>
      <c r="Q760" s="252">
        <v>0</v>
      </c>
      <c r="R760" s="252">
        <v>0</v>
      </c>
      <c r="S760" s="252">
        <v>0</v>
      </c>
      <c r="T760" s="252">
        <v>30.000229999999998</v>
      </c>
      <c r="U760" s="252">
        <v>231.09519</v>
      </c>
      <c r="V760" s="252">
        <v>210.00855999999999</v>
      </c>
      <c r="W760" s="252">
        <v>192.21770000000001</v>
      </c>
      <c r="X760" s="252">
        <v>0</v>
      </c>
      <c r="Y760" s="252">
        <v>0</v>
      </c>
      <c r="Z760" s="252">
        <v>872.60365999999999</v>
      </c>
      <c r="AA760" s="252">
        <v>274.65940000000001</v>
      </c>
      <c r="AB760" s="252">
        <v>1365.86357</v>
      </c>
      <c r="AC760" s="252">
        <v>0</v>
      </c>
      <c r="AD760" s="252">
        <v>1</v>
      </c>
      <c r="AE760" s="252" t="s">
        <v>19</v>
      </c>
      <c r="AF760" s="252" t="s">
        <v>718</v>
      </c>
      <c r="AG760" s="252">
        <f t="shared" si="55"/>
        <v>2552</v>
      </c>
      <c r="AH760" s="252">
        <f t="shared" si="56"/>
        <v>1654.0047656000002</v>
      </c>
      <c r="AI760" s="252">
        <f t="shared" si="57"/>
        <v>1201.9599416000001</v>
      </c>
      <c r="AJ760" s="252">
        <f t="shared" si="58"/>
        <v>5407.9647072000007</v>
      </c>
    </row>
    <row r="761" spans="1:36" x14ac:dyDescent="0.2">
      <c r="A761" s="253" t="str">
        <f t="shared" si="59"/>
        <v>SYA1CSBR2A12</v>
      </c>
      <c r="B761" s="252" t="s">
        <v>19</v>
      </c>
      <c r="C761" s="252" t="s">
        <v>28</v>
      </c>
      <c r="D761" s="252" t="s">
        <v>2400</v>
      </c>
      <c r="E761" s="252" t="s">
        <v>2401</v>
      </c>
      <c r="F761" s="252" t="s">
        <v>2428</v>
      </c>
      <c r="G761" s="252">
        <v>12</v>
      </c>
      <c r="H761" s="252" t="s">
        <v>928</v>
      </c>
      <c r="I761" s="252" t="s">
        <v>928</v>
      </c>
      <c r="J761" s="252" t="s">
        <v>928</v>
      </c>
      <c r="K761" s="252" t="s">
        <v>3236</v>
      </c>
      <c r="L761" s="252">
        <v>7955.9989999999998</v>
      </c>
      <c r="M761" s="252">
        <v>88</v>
      </c>
      <c r="N761" s="252">
        <v>0</v>
      </c>
      <c r="O761" s="252">
        <v>2900</v>
      </c>
      <c r="P761" s="252">
        <v>1879.5508600000001</v>
      </c>
      <c r="Q761" s="252">
        <v>0</v>
      </c>
      <c r="R761" s="252">
        <v>0</v>
      </c>
      <c r="S761" s="252">
        <v>0</v>
      </c>
      <c r="T761" s="252">
        <v>30.000209999999999</v>
      </c>
      <c r="U761" s="252">
        <v>231.09517</v>
      </c>
      <c r="V761" s="252">
        <v>210.00852</v>
      </c>
      <c r="W761" s="252">
        <v>192.21771000000001</v>
      </c>
      <c r="X761" s="252">
        <v>0</v>
      </c>
      <c r="Y761" s="252">
        <v>0</v>
      </c>
      <c r="Z761" s="252">
        <v>872.60360000000003</v>
      </c>
      <c r="AA761" s="252">
        <v>274.65938</v>
      </c>
      <c r="AB761" s="252">
        <v>1365.86355</v>
      </c>
      <c r="AC761" s="252">
        <v>0</v>
      </c>
      <c r="AD761" s="252">
        <v>1</v>
      </c>
      <c r="AE761" s="252" t="s">
        <v>19</v>
      </c>
      <c r="AF761" s="252" t="s">
        <v>718</v>
      </c>
      <c r="AG761" s="252">
        <f t="shared" si="55"/>
        <v>2552</v>
      </c>
      <c r="AH761" s="252">
        <f t="shared" si="56"/>
        <v>1654.0047568</v>
      </c>
      <c r="AI761" s="252">
        <f t="shared" si="57"/>
        <v>1201.959924</v>
      </c>
      <c r="AJ761" s="252">
        <f t="shared" si="58"/>
        <v>5407.9646807999998</v>
      </c>
    </row>
    <row r="762" spans="1:36" x14ac:dyDescent="0.2">
      <c r="A762" s="253" t="str">
        <f t="shared" si="59"/>
        <v>33SYA1CSBR2A612</v>
      </c>
      <c r="B762" s="252" t="s">
        <v>19</v>
      </c>
      <c r="C762" s="252" t="s">
        <v>28</v>
      </c>
      <c r="D762" s="252" t="s">
        <v>2400</v>
      </c>
      <c r="E762" s="252" t="s">
        <v>2401</v>
      </c>
      <c r="F762" s="252" t="s">
        <v>2655</v>
      </c>
      <c r="G762" s="252">
        <v>12</v>
      </c>
      <c r="H762" s="252" t="s">
        <v>928</v>
      </c>
      <c r="I762" s="252" t="s">
        <v>2406</v>
      </c>
      <c r="J762" s="252" t="s">
        <v>928</v>
      </c>
      <c r="K762" s="252" t="s">
        <v>3236</v>
      </c>
      <c r="L762" s="252">
        <v>2855.9647100000002</v>
      </c>
      <c r="M762" s="252">
        <v>100</v>
      </c>
      <c r="N762" s="252">
        <v>0</v>
      </c>
      <c r="O762" s="252">
        <v>0</v>
      </c>
      <c r="P762" s="252">
        <v>0</v>
      </c>
      <c r="Q762" s="252">
        <v>0</v>
      </c>
      <c r="R762" s="252">
        <v>0</v>
      </c>
      <c r="S762" s="252">
        <v>0</v>
      </c>
      <c r="T762" s="252">
        <v>1280.00125</v>
      </c>
      <c r="U762" s="252">
        <v>0</v>
      </c>
      <c r="V762" s="252">
        <v>16.001930000000002</v>
      </c>
      <c r="W762" s="252">
        <v>358.00159000000002</v>
      </c>
      <c r="X762" s="252">
        <v>0</v>
      </c>
      <c r="Y762" s="252">
        <v>0</v>
      </c>
      <c r="Z762" s="252">
        <v>768.28403000000003</v>
      </c>
      <c r="AA762" s="252">
        <v>433.67590999999999</v>
      </c>
      <c r="AB762" s="252">
        <v>0</v>
      </c>
      <c r="AC762" s="252">
        <v>0</v>
      </c>
      <c r="AD762" s="252">
        <v>1</v>
      </c>
      <c r="AE762" s="252" t="s">
        <v>19</v>
      </c>
      <c r="AF762" s="252" t="s">
        <v>718</v>
      </c>
      <c r="AG762" s="252">
        <f t="shared" si="55"/>
        <v>0</v>
      </c>
      <c r="AH762" s="252">
        <f t="shared" si="56"/>
        <v>0</v>
      </c>
      <c r="AI762" s="252">
        <f t="shared" si="57"/>
        <v>0</v>
      </c>
      <c r="AJ762" s="252">
        <f t="shared" si="58"/>
        <v>0</v>
      </c>
    </row>
    <row r="763" spans="1:36" x14ac:dyDescent="0.2">
      <c r="A763" s="253" t="str">
        <f t="shared" si="59"/>
        <v>3M55SYA1CSBR2A612</v>
      </c>
      <c r="B763" s="252" t="s">
        <v>19</v>
      </c>
      <c r="C763" s="252" t="s">
        <v>28</v>
      </c>
      <c r="D763" s="252" t="s">
        <v>2400</v>
      </c>
      <c r="E763" s="252" t="s">
        <v>2401</v>
      </c>
      <c r="F763" s="252" t="s">
        <v>2655</v>
      </c>
      <c r="G763" s="252">
        <v>12</v>
      </c>
      <c r="H763" s="252" t="s">
        <v>928</v>
      </c>
      <c r="I763" s="252" t="s">
        <v>2408</v>
      </c>
      <c r="J763" s="252" t="s">
        <v>928</v>
      </c>
      <c r="K763" s="252" t="s">
        <v>3236</v>
      </c>
      <c r="L763" s="252">
        <v>7998.2978499999999</v>
      </c>
      <c r="M763" s="252">
        <v>88</v>
      </c>
      <c r="N763" s="252">
        <v>0</v>
      </c>
      <c r="O763" s="252">
        <v>2900</v>
      </c>
      <c r="P763" s="252">
        <v>1879.55087</v>
      </c>
      <c r="Q763" s="252">
        <v>0</v>
      </c>
      <c r="R763" s="252">
        <v>0</v>
      </c>
      <c r="S763" s="252">
        <v>0</v>
      </c>
      <c r="T763" s="252">
        <v>30.000229999999998</v>
      </c>
      <c r="U763" s="252">
        <v>273.39386000000002</v>
      </c>
      <c r="V763" s="252">
        <v>210.00855999999999</v>
      </c>
      <c r="W763" s="252">
        <v>192.21770000000001</v>
      </c>
      <c r="X763" s="252">
        <v>0</v>
      </c>
      <c r="Y763" s="252">
        <v>0</v>
      </c>
      <c r="Z763" s="252">
        <v>872.60365999999999</v>
      </c>
      <c r="AA763" s="252">
        <v>274.65940000000001</v>
      </c>
      <c r="AB763" s="252">
        <v>1365.86357</v>
      </c>
      <c r="AC763" s="252">
        <v>0</v>
      </c>
      <c r="AD763" s="252">
        <v>1</v>
      </c>
      <c r="AE763" s="252" t="s">
        <v>19</v>
      </c>
      <c r="AF763" s="252" t="s">
        <v>718</v>
      </c>
      <c r="AG763" s="252">
        <f t="shared" si="55"/>
        <v>2552</v>
      </c>
      <c r="AH763" s="252">
        <f t="shared" si="56"/>
        <v>1654.0047656000002</v>
      </c>
      <c r="AI763" s="252">
        <f t="shared" si="57"/>
        <v>1201.9599416000001</v>
      </c>
      <c r="AJ763" s="252">
        <f t="shared" si="58"/>
        <v>5407.9647072000007</v>
      </c>
    </row>
    <row r="764" spans="1:36" x14ac:dyDescent="0.2">
      <c r="A764" s="253" t="str">
        <f t="shared" si="59"/>
        <v>SYA1CSBR2A612</v>
      </c>
      <c r="B764" s="252" t="s">
        <v>19</v>
      </c>
      <c r="C764" s="252" t="s">
        <v>28</v>
      </c>
      <c r="D764" s="252" t="s">
        <v>2400</v>
      </c>
      <c r="E764" s="252" t="s">
        <v>2401</v>
      </c>
      <c r="F764" s="252" t="s">
        <v>2655</v>
      </c>
      <c r="G764" s="252">
        <v>12</v>
      </c>
      <c r="H764" s="252" t="s">
        <v>928</v>
      </c>
      <c r="I764" s="252" t="s">
        <v>928</v>
      </c>
      <c r="J764" s="252" t="s">
        <v>928</v>
      </c>
      <c r="K764" s="252" t="s">
        <v>3236</v>
      </c>
      <c r="L764" s="252">
        <v>7998.29781</v>
      </c>
      <c r="M764" s="252">
        <v>88</v>
      </c>
      <c r="N764" s="252">
        <v>0</v>
      </c>
      <c r="O764" s="252">
        <v>2900</v>
      </c>
      <c r="P764" s="252">
        <v>1879.55087</v>
      </c>
      <c r="Q764" s="252">
        <v>0</v>
      </c>
      <c r="R764" s="252">
        <v>0</v>
      </c>
      <c r="S764" s="252">
        <v>0</v>
      </c>
      <c r="T764" s="252">
        <v>30.00018</v>
      </c>
      <c r="U764" s="252">
        <v>273.39395000000002</v>
      </c>
      <c r="V764" s="252">
        <v>210.00855000000001</v>
      </c>
      <c r="W764" s="252">
        <v>192.21769</v>
      </c>
      <c r="X764" s="252">
        <v>0</v>
      </c>
      <c r="Y764" s="252">
        <v>0</v>
      </c>
      <c r="Z764" s="252">
        <v>872.60351000000003</v>
      </c>
      <c r="AA764" s="252">
        <v>274.65942000000001</v>
      </c>
      <c r="AB764" s="252">
        <v>1365.86364</v>
      </c>
      <c r="AC764" s="252">
        <v>0</v>
      </c>
      <c r="AD764" s="252">
        <v>1</v>
      </c>
      <c r="AE764" s="252" t="s">
        <v>19</v>
      </c>
      <c r="AF764" s="252" t="s">
        <v>718</v>
      </c>
      <c r="AG764" s="252">
        <f t="shared" si="55"/>
        <v>2552</v>
      </c>
      <c r="AH764" s="252">
        <f t="shared" si="56"/>
        <v>1654.0047656000002</v>
      </c>
      <c r="AI764" s="252">
        <f t="shared" si="57"/>
        <v>1201.9600032000001</v>
      </c>
      <c r="AJ764" s="252">
        <f t="shared" si="58"/>
        <v>5407.9647688000005</v>
      </c>
    </row>
    <row r="765" spans="1:36" x14ac:dyDescent="0.2">
      <c r="A765" s="253" t="str">
        <f t="shared" si="59"/>
        <v>33SYA1CSBR2AT12</v>
      </c>
      <c r="B765" s="252" t="s">
        <v>19</v>
      </c>
      <c r="C765" s="252" t="s">
        <v>28</v>
      </c>
      <c r="D765" s="252" t="s">
        <v>2400</v>
      </c>
      <c r="E765" s="252" t="s">
        <v>2401</v>
      </c>
      <c r="F765" s="252" t="s">
        <v>2656</v>
      </c>
      <c r="G765" s="252">
        <v>12</v>
      </c>
      <c r="H765" s="252" t="s">
        <v>928</v>
      </c>
      <c r="I765" s="252" t="s">
        <v>2406</v>
      </c>
      <c r="J765" s="252" t="s">
        <v>928</v>
      </c>
      <c r="K765" s="252" t="s">
        <v>3236</v>
      </c>
      <c r="L765" s="252">
        <v>2855.9647100000002</v>
      </c>
      <c r="M765" s="252">
        <v>100</v>
      </c>
      <c r="N765" s="252">
        <v>0</v>
      </c>
      <c r="O765" s="252">
        <v>0</v>
      </c>
      <c r="P765" s="252">
        <v>0</v>
      </c>
      <c r="Q765" s="252">
        <v>0</v>
      </c>
      <c r="R765" s="252">
        <v>0</v>
      </c>
      <c r="S765" s="252">
        <v>0</v>
      </c>
      <c r="T765" s="252">
        <v>1280.00125</v>
      </c>
      <c r="U765" s="252">
        <v>0</v>
      </c>
      <c r="V765" s="252">
        <v>16.001930000000002</v>
      </c>
      <c r="W765" s="252">
        <v>358.00159000000002</v>
      </c>
      <c r="X765" s="252">
        <v>0</v>
      </c>
      <c r="Y765" s="252">
        <v>0</v>
      </c>
      <c r="Z765" s="252">
        <v>768.28403000000003</v>
      </c>
      <c r="AA765" s="252">
        <v>433.67590999999999</v>
      </c>
      <c r="AB765" s="252">
        <v>0</v>
      </c>
      <c r="AC765" s="252">
        <v>0</v>
      </c>
      <c r="AD765" s="252">
        <v>1</v>
      </c>
      <c r="AE765" s="252" t="s">
        <v>19</v>
      </c>
      <c r="AF765" s="252" t="s">
        <v>718</v>
      </c>
      <c r="AG765" s="252">
        <f t="shared" si="55"/>
        <v>0</v>
      </c>
      <c r="AH765" s="252">
        <f t="shared" si="56"/>
        <v>0</v>
      </c>
      <c r="AI765" s="252">
        <f t="shared" si="57"/>
        <v>0</v>
      </c>
      <c r="AJ765" s="252">
        <f t="shared" si="58"/>
        <v>0</v>
      </c>
    </row>
    <row r="766" spans="1:36" x14ac:dyDescent="0.2">
      <c r="A766" s="253" t="str">
        <f t="shared" si="59"/>
        <v>3M55SYA1CSBR2AT12</v>
      </c>
      <c r="B766" s="252" t="s">
        <v>19</v>
      </c>
      <c r="C766" s="252" t="s">
        <v>28</v>
      </c>
      <c r="D766" s="252" t="s">
        <v>2400</v>
      </c>
      <c r="E766" s="252" t="s">
        <v>2401</v>
      </c>
      <c r="F766" s="252" t="s">
        <v>2656</v>
      </c>
      <c r="G766" s="252">
        <v>12</v>
      </c>
      <c r="H766" s="252" t="s">
        <v>928</v>
      </c>
      <c r="I766" s="252" t="s">
        <v>2408</v>
      </c>
      <c r="J766" s="252" t="s">
        <v>928</v>
      </c>
      <c r="K766" s="252" t="s">
        <v>3236</v>
      </c>
      <c r="L766" s="252">
        <v>7955.9991799999998</v>
      </c>
      <c r="M766" s="252">
        <v>88</v>
      </c>
      <c r="N766" s="252">
        <v>0</v>
      </c>
      <c r="O766" s="252">
        <v>2900</v>
      </c>
      <c r="P766" s="252">
        <v>1879.55087</v>
      </c>
      <c r="Q766" s="252">
        <v>0</v>
      </c>
      <c r="R766" s="252">
        <v>0</v>
      </c>
      <c r="S766" s="252">
        <v>0</v>
      </c>
      <c r="T766" s="252">
        <v>30.000229999999998</v>
      </c>
      <c r="U766" s="252">
        <v>231.09519</v>
      </c>
      <c r="V766" s="252">
        <v>210.00855999999999</v>
      </c>
      <c r="W766" s="252">
        <v>192.21770000000001</v>
      </c>
      <c r="X766" s="252">
        <v>0</v>
      </c>
      <c r="Y766" s="252">
        <v>0</v>
      </c>
      <c r="Z766" s="252">
        <v>872.60365999999999</v>
      </c>
      <c r="AA766" s="252">
        <v>274.65940000000001</v>
      </c>
      <c r="AB766" s="252">
        <v>1365.86357</v>
      </c>
      <c r="AC766" s="252">
        <v>0</v>
      </c>
      <c r="AD766" s="252">
        <v>1</v>
      </c>
      <c r="AE766" s="252" t="s">
        <v>19</v>
      </c>
      <c r="AF766" s="252" t="s">
        <v>718</v>
      </c>
      <c r="AG766" s="252">
        <f t="shared" si="55"/>
        <v>2552</v>
      </c>
      <c r="AH766" s="252">
        <f t="shared" si="56"/>
        <v>1654.0047656000002</v>
      </c>
      <c r="AI766" s="252">
        <f t="shared" si="57"/>
        <v>1201.9599416000001</v>
      </c>
      <c r="AJ766" s="252">
        <f t="shared" si="58"/>
        <v>5407.9647072000007</v>
      </c>
    </row>
    <row r="767" spans="1:36" x14ac:dyDescent="0.2">
      <c r="A767" s="253" t="str">
        <f t="shared" si="59"/>
        <v>SYA1CSBR2AT12</v>
      </c>
      <c r="B767" s="252" t="s">
        <v>19</v>
      </c>
      <c r="C767" s="252" t="s">
        <v>28</v>
      </c>
      <c r="D767" s="252" t="s">
        <v>2400</v>
      </c>
      <c r="E767" s="252" t="s">
        <v>2401</v>
      </c>
      <c r="F767" s="252" t="s">
        <v>2656</v>
      </c>
      <c r="G767" s="252">
        <v>12</v>
      </c>
      <c r="H767" s="252" t="s">
        <v>928</v>
      </c>
      <c r="I767" s="252" t="s">
        <v>928</v>
      </c>
      <c r="J767" s="252" t="s">
        <v>928</v>
      </c>
      <c r="K767" s="252" t="s">
        <v>3236</v>
      </c>
      <c r="L767" s="252">
        <v>7955.99935</v>
      </c>
      <c r="M767" s="252">
        <v>88</v>
      </c>
      <c r="N767" s="252">
        <v>0</v>
      </c>
      <c r="O767" s="252">
        <v>2900</v>
      </c>
      <c r="P767" s="252">
        <v>1879.5509300000001</v>
      </c>
      <c r="Q767" s="252">
        <v>0</v>
      </c>
      <c r="R767" s="252">
        <v>0</v>
      </c>
      <c r="S767" s="252">
        <v>0</v>
      </c>
      <c r="T767" s="252">
        <v>30.000330000000002</v>
      </c>
      <c r="U767" s="252">
        <v>231.09517</v>
      </c>
      <c r="V767" s="252">
        <v>210.00864999999999</v>
      </c>
      <c r="W767" s="252">
        <v>192.2176</v>
      </c>
      <c r="X767" s="252">
        <v>0</v>
      </c>
      <c r="Y767" s="252">
        <v>0</v>
      </c>
      <c r="Z767" s="252">
        <v>872.60365999999999</v>
      </c>
      <c r="AA767" s="252">
        <v>274.65947999999997</v>
      </c>
      <c r="AB767" s="252">
        <v>1365.8635300000001</v>
      </c>
      <c r="AC767" s="252">
        <v>0</v>
      </c>
      <c r="AD767" s="252">
        <v>1</v>
      </c>
      <c r="AE767" s="252" t="s">
        <v>19</v>
      </c>
      <c r="AF767" s="252" t="s">
        <v>718</v>
      </c>
      <c r="AG767" s="252">
        <f t="shared" si="55"/>
        <v>2552</v>
      </c>
      <c r="AH767" s="252">
        <f t="shared" si="56"/>
        <v>1654.0048184000002</v>
      </c>
      <c r="AI767" s="252">
        <f t="shared" si="57"/>
        <v>1201.9599064000001</v>
      </c>
      <c r="AJ767" s="252">
        <f t="shared" si="58"/>
        <v>5407.964724800001</v>
      </c>
    </row>
    <row r="768" spans="1:36" x14ac:dyDescent="0.2">
      <c r="A768" s="253" t="str">
        <f t="shared" si="59"/>
        <v>3SYCERASY0950</v>
      </c>
      <c r="B768" s="252" t="s">
        <v>19</v>
      </c>
      <c r="C768" s="252" t="s">
        <v>28</v>
      </c>
      <c r="D768" s="252" t="s">
        <v>21</v>
      </c>
      <c r="E768" s="252" t="s">
        <v>719</v>
      </c>
      <c r="F768" s="252" t="s">
        <v>102</v>
      </c>
      <c r="G768" s="252">
        <v>50</v>
      </c>
      <c r="H768" s="252" t="s">
        <v>928</v>
      </c>
      <c r="I768" s="252" t="s">
        <v>2465</v>
      </c>
      <c r="J768" s="252" t="s">
        <v>928</v>
      </c>
      <c r="K768" s="252" t="s">
        <v>3236</v>
      </c>
      <c r="L768" s="252">
        <v>39.347990000000003</v>
      </c>
      <c r="M768" s="252">
        <v>94</v>
      </c>
      <c r="N768" s="252">
        <v>0</v>
      </c>
      <c r="O768" s="252">
        <v>0</v>
      </c>
      <c r="P768" s="252">
        <v>0</v>
      </c>
      <c r="Q768" s="252">
        <v>0</v>
      </c>
      <c r="R768" s="252">
        <v>0</v>
      </c>
      <c r="S768" s="252">
        <v>0</v>
      </c>
      <c r="T768" s="252">
        <v>19.52017</v>
      </c>
      <c r="U768" s="252">
        <v>4.7680999999999996</v>
      </c>
      <c r="V768" s="252">
        <v>0.80391000000000001</v>
      </c>
      <c r="W768" s="252">
        <v>3.1178599999999999</v>
      </c>
      <c r="X768" s="252">
        <v>0</v>
      </c>
      <c r="Y768" s="252">
        <v>0</v>
      </c>
      <c r="Z768" s="252">
        <v>6.8990900000000002</v>
      </c>
      <c r="AA768" s="252">
        <v>4.2388599999999999</v>
      </c>
      <c r="AB768" s="252">
        <v>0</v>
      </c>
      <c r="AC768" s="252">
        <v>0</v>
      </c>
      <c r="AD768" s="252">
        <v>1</v>
      </c>
      <c r="AE768" s="252" t="s">
        <v>19</v>
      </c>
      <c r="AF768" s="252" t="s">
        <v>718</v>
      </c>
      <c r="AG768" s="252">
        <f t="shared" si="55"/>
        <v>0</v>
      </c>
      <c r="AH768" s="252">
        <f t="shared" si="56"/>
        <v>0</v>
      </c>
      <c r="AI768" s="252">
        <f t="shared" si="57"/>
        <v>0</v>
      </c>
      <c r="AJ768" s="252">
        <f t="shared" si="58"/>
        <v>0</v>
      </c>
    </row>
    <row r="769" spans="1:36" x14ac:dyDescent="0.2">
      <c r="A769" s="253" t="str">
        <f t="shared" si="59"/>
        <v>2SYCF10746170</v>
      </c>
      <c r="B769" s="252" t="s">
        <v>19</v>
      </c>
      <c r="C769" s="252" t="s">
        <v>28</v>
      </c>
      <c r="D769" s="252" t="s">
        <v>2474</v>
      </c>
      <c r="E769" s="252" t="s">
        <v>2475</v>
      </c>
      <c r="F769" s="252" t="s">
        <v>2491</v>
      </c>
      <c r="G769" s="252">
        <v>70</v>
      </c>
      <c r="H769" s="252" t="s">
        <v>928</v>
      </c>
      <c r="I769" s="252" t="s">
        <v>2477</v>
      </c>
      <c r="J769" s="252" t="s">
        <v>928</v>
      </c>
      <c r="K769" s="252" t="s">
        <v>3236</v>
      </c>
      <c r="L769" s="252">
        <v>492.86</v>
      </c>
      <c r="M769" s="252">
        <v>0</v>
      </c>
      <c r="N769" s="252">
        <v>0</v>
      </c>
      <c r="O769" s="252">
        <v>0</v>
      </c>
      <c r="P769" s="252">
        <v>0</v>
      </c>
      <c r="Q769" s="252">
        <v>0</v>
      </c>
      <c r="R769" s="252">
        <v>0</v>
      </c>
      <c r="S769" s="252">
        <v>0</v>
      </c>
      <c r="T769" s="252">
        <v>0</v>
      </c>
      <c r="U769" s="252">
        <v>0</v>
      </c>
      <c r="V769" s="252">
        <v>0</v>
      </c>
      <c r="W769" s="252">
        <v>0</v>
      </c>
      <c r="X769" s="252">
        <v>0</v>
      </c>
      <c r="Y769" s="252">
        <v>396.57</v>
      </c>
      <c r="Z769" s="252">
        <v>0</v>
      </c>
      <c r="AA769" s="252">
        <v>0</v>
      </c>
      <c r="AB769" s="252">
        <v>96.3</v>
      </c>
      <c r="AC769" s="252">
        <v>0</v>
      </c>
      <c r="AD769" s="252">
        <v>0</v>
      </c>
      <c r="AE769" s="252" t="s">
        <v>19</v>
      </c>
      <c r="AF769" s="252" t="s">
        <v>718</v>
      </c>
      <c r="AG769" s="252">
        <f t="shared" si="55"/>
        <v>0</v>
      </c>
      <c r="AH769" s="252">
        <f t="shared" si="56"/>
        <v>0</v>
      </c>
      <c r="AI769" s="252">
        <f t="shared" si="57"/>
        <v>0</v>
      </c>
      <c r="AJ769" s="252">
        <f t="shared" si="58"/>
        <v>0</v>
      </c>
    </row>
    <row r="770" spans="1:36" x14ac:dyDescent="0.2">
      <c r="A770" s="253" t="str">
        <f t="shared" si="59"/>
        <v>SYCF10746170</v>
      </c>
      <c r="B770" s="252" t="s">
        <v>19</v>
      </c>
      <c r="C770" s="252" t="s">
        <v>28</v>
      </c>
      <c r="D770" s="252" t="s">
        <v>2474</v>
      </c>
      <c r="E770" s="252" t="s">
        <v>2475</v>
      </c>
      <c r="F770" s="252" t="s">
        <v>2491</v>
      </c>
      <c r="G770" s="252">
        <v>70</v>
      </c>
      <c r="H770" s="252" t="s">
        <v>928</v>
      </c>
      <c r="I770" s="252" t="s">
        <v>928</v>
      </c>
      <c r="J770" s="252" t="s">
        <v>928</v>
      </c>
      <c r="K770" s="252" t="s">
        <v>3236</v>
      </c>
      <c r="L770" s="252">
        <v>492.86</v>
      </c>
      <c r="M770" s="252">
        <v>0</v>
      </c>
      <c r="N770" s="252">
        <v>0</v>
      </c>
      <c r="O770" s="252">
        <v>0</v>
      </c>
      <c r="P770" s="252">
        <v>0</v>
      </c>
      <c r="Q770" s="252">
        <v>0</v>
      </c>
      <c r="R770" s="252">
        <v>0</v>
      </c>
      <c r="S770" s="252">
        <v>0</v>
      </c>
      <c r="T770" s="252">
        <v>0</v>
      </c>
      <c r="U770" s="252">
        <v>0</v>
      </c>
      <c r="V770" s="252">
        <v>0</v>
      </c>
      <c r="W770" s="252">
        <v>0</v>
      </c>
      <c r="X770" s="252">
        <v>0</v>
      </c>
      <c r="Y770" s="252">
        <v>396.57</v>
      </c>
      <c r="Z770" s="252">
        <v>0</v>
      </c>
      <c r="AA770" s="252">
        <v>0</v>
      </c>
      <c r="AB770" s="252">
        <v>96.3</v>
      </c>
      <c r="AC770" s="252">
        <v>0</v>
      </c>
      <c r="AD770" s="252">
        <v>0</v>
      </c>
      <c r="AE770" s="252" t="s">
        <v>19</v>
      </c>
      <c r="AF770" s="252" t="s">
        <v>718</v>
      </c>
      <c r="AG770" s="252">
        <f t="shared" si="55"/>
        <v>0</v>
      </c>
      <c r="AH770" s="252">
        <f t="shared" si="56"/>
        <v>0</v>
      </c>
      <c r="AI770" s="252">
        <f t="shared" si="57"/>
        <v>0</v>
      </c>
      <c r="AJ770" s="252">
        <f t="shared" si="58"/>
        <v>0</v>
      </c>
    </row>
    <row r="771" spans="1:36" x14ac:dyDescent="0.2">
      <c r="A771" s="253" t="str">
        <f t="shared" si="59"/>
        <v>2SYCF10757150</v>
      </c>
      <c r="B771" s="252" t="s">
        <v>19</v>
      </c>
      <c r="C771" s="252" t="s">
        <v>28</v>
      </c>
      <c r="D771" s="252" t="s">
        <v>2474</v>
      </c>
      <c r="E771" s="252" t="s">
        <v>2475</v>
      </c>
      <c r="F771" s="252" t="s">
        <v>2496</v>
      </c>
      <c r="G771" s="252">
        <v>50</v>
      </c>
      <c r="H771" s="252" t="s">
        <v>928</v>
      </c>
      <c r="I771" s="252" t="s">
        <v>2477</v>
      </c>
      <c r="J771" s="252" t="s">
        <v>928</v>
      </c>
      <c r="K771" s="252" t="s">
        <v>3236</v>
      </c>
      <c r="L771" s="252">
        <v>460.84</v>
      </c>
      <c r="M771" s="252">
        <v>0</v>
      </c>
      <c r="N771" s="252">
        <v>0</v>
      </c>
      <c r="O771" s="252">
        <v>0</v>
      </c>
      <c r="P771" s="252">
        <v>0</v>
      </c>
      <c r="Q771" s="252">
        <v>0</v>
      </c>
      <c r="R771" s="252">
        <v>0</v>
      </c>
      <c r="S771" s="252">
        <v>0</v>
      </c>
      <c r="T771" s="252">
        <v>0</v>
      </c>
      <c r="U771" s="252">
        <v>0</v>
      </c>
      <c r="V771" s="252">
        <v>0</v>
      </c>
      <c r="W771" s="252">
        <v>0</v>
      </c>
      <c r="X771" s="252">
        <v>0</v>
      </c>
      <c r="Y771" s="252">
        <v>343.18</v>
      </c>
      <c r="Z771" s="252">
        <v>0</v>
      </c>
      <c r="AA771" s="252">
        <v>0</v>
      </c>
      <c r="AB771" s="252">
        <v>117.66</v>
      </c>
      <c r="AC771" s="252">
        <v>0</v>
      </c>
      <c r="AD771" s="252">
        <v>0</v>
      </c>
      <c r="AE771" s="252" t="s">
        <v>19</v>
      </c>
      <c r="AF771" s="252" t="s">
        <v>718</v>
      </c>
      <c r="AG771" s="252">
        <f t="shared" si="55"/>
        <v>0</v>
      </c>
      <c r="AH771" s="252">
        <f t="shared" si="56"/>
        <v>0</v>
      </c>
      <c r="AI771" s="252">
        <f t="shared" si="57"/>
        <v>0</v>
      </c>
      <c r="AJ771" s="252">
        <f t="shared" si="58"/>
        <v>0</v>
      </c>
    </row>
    <row r="772" spans="1:36" x14ac:dyDescent="0.2">
      <c r="A772" s="253" t="str">
        <f t="shared" si="59"/>
        <v>SYCF10757150</v>
      </c>
      <c r="B772" s="252" t="s">
        <v>19</v>
      </c>
      <c r="C772" s="252" t="s">
        <v>28</v>
      </c>
      <c r="D772" s="252" t="s">
        <v>2474</v>
      </c>
      <c r="E772" s="252" t="s">
        <v>2475</v>
      </c>
      <c r="F772" s="252" t="s">
        <v>2496</v>
      </c>
      <c r="G772" s="252">
        <v>50</v>
      </c>
      <c r="H772" s="252" t="s">
        <v>928</v>
      </c>
      <c r="I772" s="252" t="s">
        <v>928</v>
      </c>
      <c r="J772" s="252" t="s">
        <v>928</v>
      </c>
      <c r="K772" s="252" t="s">
        <v>3236</v>
      </c>
      <c r="L772" s="252">
        <v>460.84</v>
      </c>
      <c r="M772" s="252">
        <v>0</v>
      </c>
      <c r="N772" s="252">
        <v>0</v>
      </c>
      <c r="O772" s="252">
        <v>0</v>
      </c>
      <c r="P772" s="252">
        <v>0</v>
      </c>
      <c r="Q772" s="252">
        <v>0</v>
      </c>
      <c r="R772" s="252">
        <v>0</v>
      </c>
      <c r="S772" s="252">
        <v>0</v>
      </c>
      <c r="T772" s="252">
        <v>0</v>
      </c>
      <c r="U772" s="252">
        <v>0</v>
      </c>
      <c r="V772" s="252">
        <v>0</v>
      </c>
      <c r="W772" s="252">
        <v>0</v>
      </c>
      <c r="X772" s="252">
        <v>0</v>
      </c>
      <c r="Y772" s="252">
        <v>343.18</v>
      </c>
      <c r="Z772" s="252">
        <v>0</v>
      </c>
      <c r="AA772" s="252">
        <v>0</v>
      </c>
      <c r="AB772" s="252">
        <v>117.66</v>
      </c>
      <c r="AC772" s="252">
        <v>0</v>
      </c>
      <c r="AD772" s="252">
        <v>0</v>
      </c>
      <c r="AE772" s="252" t="s">
        <v>19</v>
      </c>
      <c r="AF772" s="252" t="s">
        <v>718</v>
      </c>
      <c r="AG772" s="252">
        <f t="shared" si="55"/>
        <v>0</v>
      </c>
      <c r="AH772" s="252">
        <f t="shared" si="56"/>
        <v>0</v>
      </c>
      <c r="AI772" s="252">
        <f t="shared" si="57"/>
        <v>0</v>
      </c>
      <c r="AJ772" s="252">
        <f t="shared" si="58"/>
        <v>0</v>
      </c>
    </row>
    <row r="773" spans="1:36" x14ac:dyDescent="0.2">
      <c r="A773" s="253" t="str">
        <f t="shared" si="59"/>
        <v>2SYCF107832CH30</v>
      </c>
      <c r="B773" s="252" t="s">
        <v>19</v>
      </c>
      <c r="C773" s="252" t="s">
        <v>28</v>
      </c>
      <c r="D773" s="252" t="s">
        <v>2474</v>
      </c>
      <c r="E773" s="252" t="s">
        <v>2475</v>
      </c>
      <c r="F773" s="252" t="s">
        <v>2657</v>
      </c>
      <c r="G773" s="252">
        <v>30</v>
      </c>
      <c r="H773" s="252" t="s">
        <v>928</v>
      </c>
      <c r="I773" s="252" t="s">
        <v>2477</v>
      </c>
      <c r="J773" s="252" t="s">
        <v>928</v>
      </c>
      <c r="K773" s="252" t="s">
        <v>3236</v>
      </c>
      <c r="L773" s="252">
        <v>554.29999999999995</v>
      </c>
      <c r="M773" s="252">
        <v>0</v>
      </c>
      <c r="N773" s="252">
        <v>0</v>
      </c>
      <c r="O773" s="252">
        <v>0</v>
      </c>
      <c r="P773" s="252">
        <v>0</v>
      </c>
      <c r="Q773" s="252">
        <v>0</v>
      </c>
      <c r="R773" s="252">
        <v>0</v>
      </c>
      <c r="S773" s="252">
        <v>0</v>
      </c>
      <c r="T773" s="252">
        <v>0</v>
      </c>
      <c r="U773" s="252">
        <v>0</v>
      </c>
      <c r="V773" s="252">
        <v>0</v>
      </c>
      <c r="W773" s="252">
        <v>0</v>
      </c>
      <c r="X773" s="252">
        <v>0</v>
      </c>
      <c r="Y773" s="252">
        <v>469.04</v>
      </c>
      <c r="Z773" s="252">
        <v>0</v>
      </c>
      <c r="AA773" s="252">
        <v>0</v>
      </c>
      <c r="AB773" s="252">
        <v>85.25</v>
      </c>
      <c r="AC773" s="252">
        <v>0</v>
      </c>
      <c r="AD773" s="252">
        <v>0</v>
      </c>
      <c r="AE773" s="252" t="s">
        <v>19</v>
      </c>
      <c r="AF773" s="252" t="s">
        <v>718</v>
      </c>
      <c r="AG773" s="252">
        <f t="shared" si="55"/>
        <v>0</v>
      </c>
      <c r="AH773" s="252">
        <f t="shared" si="56"/>
        <v>0</v>
      </c>
      <c r="AI773" s="252">
        <f t="shared" si="57"/>
        <v>0</v>
      </c>
      <c r="AJ773" s="252">
        <f t="shared" si="58"/>
        <v>0</v>
      </c>
    </row>
    <row r="774" spans="1:36" x14ac:dyDescent="0.2">
      <c r="A774" s="253" t="str">
        <f t="shared" si="59"/>
        <v>SYCF107832CH30</v>
      </c>
      <c r="B774" s="252" t="s">
        <v>19</v>
      </c>
      <c r="C774" s="252" t="s">
        <v>28</v>
      </c>
      <c r="D774" s="252" t="s">
        <v>2474</v>
      </c>
      <c r="E774" s="252" t="s">
        <v>2475</v>
      </c>
      <c r="F774" s="252" t="s">
        <v>2657</v>
      </c>
      <c r="G774" s="252">
        <v>30</v>
      </c>
      <c r="H774" s="252" t="s">
        <v>928</v>
      </c>
      <c r="I774" s="252" t="s">
        <v>928</v>
      </c>
      <c r="J774" s="252" t="s">
        <v>928</v>
      </c>
      <c r="K774" s="252" t="s">
        <v>3236</v>
      </c>
      <c r="L774" s="252">
        <v>554.29999999999995</v>
      </c>
      <c r="M774" s="252">
        <v>0</v>
      </c>
      <c r="N774" s="252">
        <v>0</v>
      </c>
      <c r="O774" s="252">
        <v>0</v>
      </c>
      <c r="P774" s="252">
        <v>0</v>
      </c>
      <c r="Q774" s="252">
        <v>0</v>
      </c>
      <c r="R774" s="252">
        <v>0</v>
      </c>
      <c r="S774" s="252">
        <v>0</v>
      </c>
      <c r="T774" s="252">
        <v>0</v>
      </c>
      <c r="U774" s="252">
        <v>0</v>
      </c>
      <c r="V774" s="252">
        <v>0</v>
      </c>
      <c r="W774" s="252">
        <v>0</v>
      </c>
      <c r="X774" s="252">
        <v>0</v>
      </c>
      <c r="Y774" s="252">
        <v>469.04</v>
      </c>
      <c r="Z774" s="252">
        <v>0</v>
      </c>
      <c r="AA774" s="252">
        <v>0</v>
      </c>
      <c r="AB774" s="252">
        <v>85.25</v>
      </c>
      <c r="AC774" s="252">
        <v>0</v>
      </c>
      <c r="AD774" s="252">
        <v>0</v>
      </c>
      <c r="AE774" s="252" t="s">
        <v>19</v>
      </c>
      <c r="AF774" s="252" t="s">
        <v>718</v>
      </c>
      <c r="AG774" s="252">
        <f t="shared" ref="AG774:AG837" si="60">+O774*M774/100</f>
        <v>0</v>
      </c>
      <c r="AH774" s="252">
        <f t="shared" ref="AH774:AH837" si="61">+P774*M774/100</f>
        <v>0</v>
      </c>
      <c r="AI774" s="252">
        <f t="shared" ref="AI774:AI837" si="62">+AB774*M774/100</f>
        <v>0</v>
      </c>
      <c r="AJ774" s="252">
        <f t="shared" ref="AJ774:AJ837" si="63">+AG774+AH774+AI774</f>
        <v>0</v>
      </c>
    </row>
    <row r="775" spans="1:36" x14ac:dyDescent="0.2">
      <c r="A775" s="253" t="str">
        <f t="shared" ref="A775:A838" si="64">TRIM(I775&amp;B775&amp;C775&amp;D775&amp;F775&amp;G775)</f>
        <v>2SYCF107832C_30</v>
      </c>
      <c r="B775" s="252" t="s">
        <v>19</v>
      </c>
      <c r="C775" s="252" t="s">
        <v>28</v>
      </c>
      <c r="D775" s="252" t="s">
        <v>2474</v>
      </c>
      <c r="E775" s="252" t="s">
        <v>2475</v>
      </c>
      <c r="F775" s="252" t="s">
        <v>2506</v>
      </c>
      <c r="G775" s="252">
        <v>30</v>
      </c>
      <c r="H775" s="252" t="s">
        <v>928</v>
      </c>
      <c r="I775" s="252" t="s">
        <v>2477</v>
      </c>
      <c r="J775" s="252" t="s">
        <v>928</v>
      </c>
      <c r="K775" s="252" t="s">
        <v>3236</v>
      </c>
      <c r="L775" s="252">
        <v>504.59</v>
      </c>
      <c r="M775" s="252">
        <v>0</v>
      </c>
      <c r="N775" s="252">
        <v>0</v>
      </c>
      <c r="O775" s="252">
        <v>0</v>
      </c>
      <c r="P775" s="252">
        <v>0</v>
      </c>
      <c r="Q775" s="252">
        <v>0</v>
      </c>
      <c r="R775" s="252">
        <v>0</v>
      </c>
      <c r="S775" s="252">
        <v>0</v>
      </c>
      <c r="T775" s="252">
        <v>0</v>
      </c>
      <c r="U775" s="252">
        <v>0</v>
      </c>
      <c r="V775" s="252">
        <v>0</v>
      </c>
      <c r="W775" s="252">
        <v>0</v>
      </c>
      <c r="X775" s="252">
        <v>0</v>
      </c>
      <c r="Y775" s="252">
        <v>435.98</v>
      </c>
      <c r="Z775" s="252">
        <v>0</v>
      </c>
      <c r="AA775" s="252">
        <v>0</v>
      </c>
      <c r="AB775" s="252">
        <v>68.61</v>
      </c>
      <c r="AC775" s="252">
        <v>0</v>
      </c>
      <c r="AD775" s="252">
        <v>0</v>
      </c>
      <c r="AE775" s="252" t="s">
        <v>19</v>
      </c>
      <c r="AF775" s="252" t="s">
        <v>718</v>
      </c>
      <c r="AG775" s="252">
        <f t="shared" si="60"/>
        <v>0</v>
      </c>
      <c r="AH775" s="252">
        <f t="shared" si="61"/>
        <v>0</v>
      </c>
      <c r="AI775" s="252">
        <f t="shared" si="62"/>
        <v>0</v>
      </c>
      <c r="AJ775" s="252">
        <f t="shared" si="63"/>
        <v>0</v>
      </c>
    </row>
    <row r="776" spans="1:36" x14ac:dyDescent="0.2">
      <c r="A776" s="253" t="str">
        <f t="shared" si="64"/>
        <v>SYCF107832C_30</v>
      </c>
      <c r="B776" s="252" t="s">
        <v>19</v>
      </c>
      <c r="C776" s="252" t="s">
        <v>28</v>
      </c>
      <c r="D776" s="252" t="s">
        <v>2474</v>
      </c>
      <c r="E776" s="252" t="s">
        <v>2475</v>
      </c>
      <c r="F776" s="252" t="s">
        <v>2506</v>
      </c>
      <c r="G776" s="252">
        <v>30</v>
      </c>
      <c r="H776" s="252" t="s">
        <v>928</v>
      </c>
      <c r="I776" s="252" t="s">
        <v>928</v>
      </c>
      <c r="J776" s="252" t="s">
        <v>928</v>
      </c>
      <c r="K776" s="252" t="s">
        <v>3236</v>
      </c>
      <c r="L776" s="252">
        <v>504.59</v>
      </c>
      <c r="M776" s="252">
        <v>0</v>
      </c>
      <c r="N776" s="252">
        <v>0</v>
      </c>
      <c r="O776" s="252">
        <v>0</v>
      </c>
      <c r="P776" s="252">
        <v>0</v>
      </c>
      <c r="Q776" s="252">
        <v>0</v>
      </c>
      <c r="R776" s="252">
        <v>0</v>
      </c>
      <c r="S776" s="252">
        <v>0</v>
      </c>
      <c r="T776" s="252">
        <v>0</v>
      </c>
      <c r="U776" s="252">
        <v>0</v>
      </c>
      <c r="V776" s="252">
        <v>0</v>
      </c>
      <c r="W776" s="252">
        <v>0</v>
      </c>
      <c r="X776" s="252">
        <v>0</v>
      </c>
      <c r="Y776" s="252">
        <v>435.98</v>
      </c>
      <c r="Z776" s="252">
        <v>0</v>
      </c>
      <c r="AA776" s="252">
        <v>0</v>
      </c>
      <c r="AB776" s="252">
        <v>68.61</v>
      </c>
      <c r="AC776" s="252">
        <v>0</v>
      </c>
      <c r="AD776" s="252">
        <v>0</v>
      </c>
      <c r="AE776" s="252" t="s">
        <v>19</v>
      </c>
      <c r="AF776" s="252" t="s">
        <v>718</v>
      </c>
      <c r="AG776" s="252">
        <f t="shared" si="60"/>
        <v>0</v>
      </c>
      <c r="AH776" s="252">
        <f t="shared" si="61"/>
        <v>0</v>
      </c>
      <c r="AI776" s="252">
        <f t="shared" si="62"/>
        <v>0</v>
      </c>
      <c r="AJ776" s="252">
        <f t="shared" si="63"/>
        <v>0</v>
      </c>
    </row>
    <row r="777" spans="1:36" x14ac:dyDescent="0.2">
      <c r="A777" s="253" t="str">
        <f t="shared" si="64"/>
        <v>2SYCF107E4275</v>
      </c>
      <c r="B777" s="252" t="s">
        <v>19</v>
      </c>
      <c r="C777" s="252" t="s">
        <v>28</v>
      </c>
      <c r="D777" s="252" t="s">
        <v>2474</v>
      </c>
      <c r="E777" s="252" t="s">
        <v>2475</v>
      </c>
      <c r="F777" s="252" t="s">
        <v>2508</v>
      </c>
      <c r="G777" s="252">
        <v>75</v>
      </c>
      <c r="H777" s="252" t="s">
        <v>928</v>
      </c>
      <c r="I777" s="252" t="s">
        <v>2477</v>
      </c>
      <c r="J777" s="252" t="s">
        <v>928</v>
      </c>
      <c r="K777" s="252" t="s">
        <v>3236</v>
      </c>
      <c r="L777" s="252">
        <v>621.83000000000004</v>
      </c>
      <c r="M777" s="252">
        <v>0</v>
      </c>
      <c r="N777" s="252">
        <v>0</v>
      </c>
      <c r="O777" s="252">
        <v>0</v>
      </c>
      <c r="P777" s="252">
        <v>0</v>
      </c>
      <c r="Q777" s="252">
        <v>0</v>
      </c>
      <c r="R777" s="252">
        <v>0</v>
      </c>
      <c r="S777" s="252">
        <v>0</v>
      </c>
      <c r="T777" s="252">
        <v>0</v>
      </c>
      <c r="U777" s="252">
        <v>0</v>
      </c>
      <c r="V777" s="252">
        <v>0</v>
      </c>
      <c r="W777" s="252">
        <v>0</v>
      </c>
      <c r="X777" s="252">
        <v>0</v>
      </c>
      <c r="Y777" s="252">
        <v>469.12</v>
      </c>
      <c r="Z777" s="252">
        <v>0</v>
      </c>
      <c r="AA777" s="252">
        <v>0</v>
      </c>
      <c r="AB777" s="252">
        <v>152.71</v>
      </c>
      <c r="AC777" s="252">
        <v>0</v>
      </c>
      <c r="AD777" s="252">
        <v>0</v>
      </c>
      <c r="AE777" s="252" t="s">
        <v>19</v>
      </c>
      <c r="AF777" s="252" t="s">
        <v>718</v>
      </c>
      <c r="AG777" s="252">
        <f t="shared" si="60"/>
        <v>0</v>
      </c>
      <c r="AH777" s="252">
        <f t="shared" si="61"/>
        <v>0</v>
      </c>
      <c r="AI777" s="252">
        <f t="shared" si="62"/>
        <v>0</v>
      </c>
      <c r="AJ777" s="252">
        <f t="shared" si="63"/>
        <v>0</v>
      </c>
    </row>
    <row r="778" spans="1:36" x14ac:dyDescent="0.2">
      <c r="A778" s="253" t="str">
        <f t="shared" si="64"/>
        <v>SYCF107E4275</v>
      </c>
      <c r="B778" s="252" t="s">
        <v>19</v>
      </c>
      <c r="C778" s="252" t="s">
        <v>28</v>
      </c>
      <c r="D778" s="252" t="s">
        <v>2474</v>
      </c>
      <c r="E778" s="252" t="s">
        <v>2475</v>
      </c>
      <c r="F778" s="252" t="s">
        <v>2508</v>
      </c>
      <c r="G778" s="252">
        <v>75</v>
      </c>
      <c r="H778" s="252" t="s">
        <v>928</v>
      </c>
      <c r="I778" s="252" t="s">
        <v>928</v>
      </c>
      <c r="J778" s="252" t="s">
        <v>928</v>
      </c>
      <c r="K778" s="252" t="s">
        <v>3236</v>
      </c>
      <c r="L778" s="252">
        <v>621.83000000000004</v>
      </c>
      <c r="M778" s="252">
        <v>0</v>
      </c>
      <c r="N778" s="252">
        <v>0</v>
      </c>
      <c r="O778" s="252">
        <v>0</v>
      </c>
      <c r="P778" s="252">
        <v>0</v>
      </c>
      <c r="Q778" s="252">
        <v>0</v>
      </c>
      <c r="R778" s="252">
        <v>0</v>
      </c>
      <c r="S778" s="252">
        <v>0</v>
      </c>
      <c r="T778" s="252">
        <v>0</v>
      </c>
      <c r="U778" s="252">
        <v>0</v>
      </c>
      <c r="V778" s="252">
        <v>0</v>
      </c>
      <c r="W778" s="252">
        <v>0</v>
      </c>
      <c r="X778" s="252">
        <v>0</v>
      </c>
      <c r="Y778" s="252">
        <v>469.12</v>
      </c>
      <c r="Z778" s="252">
        <v>0</v>
      </c>
      <c r="AA778" s="252">
        <v>0</v>
      </c>
      <c r="AB778" s="252">
        <v>152.71</v>
      </c>
      <c r="AC778" s="252">
        <v>0</v>
      </c>
      <c r="AD778" s="252">
        <v>0</v>
      </c>
      <c r="AE778" s="252" t="s">
        <v>19</v>
      </c>
      <c r="AF778" s="252" t="s">
        <v>718</v>
      </c>
      <c r="AG778" s="252">
        <f t="shared" si="60"/>
        <v>0</v>
      </c>
      <c r="AH778" s="252">
        <f t="shared" si="61"/>
        <v>0</v>
      </c>
      <c r="AI778" s="252">
        <f t="shared" si="62"/>
        <v>0</v>
      </c>
      <c r="AJ778" s="252">
        <f t="shared" si="63"/>
        <v>0</v>
      </c>
    </row>
    <row r="779" spans="1:36" x14ac:dyDescent="0.2">
      <c r="A779" s="253" t="str">
        <f t="shared" si="64"/>
        <v>2SYCF107H5230</v>
      </c>
      <c r="B779" s="252" t="s">
        <v>19</v>
      </c>
      <c r="C779" s="252" t="s">
        <v>28</v>
      </c>
      <c r="D779" s="252" t="s">
        <v>2474</v>
      </c>
      <c r="E779" s="252" t="s">
        <v>2475</v>
      </c>
      <c r="F779" s="252" t="s">
        <v>2509</v>
      </c>
      <c r="G779" s="252">
        <v>30</v>
      </c>
      <c r="H779" s="252" t="s">
        <v>928</v>
      </c>
      <c r="I779" s="252" t="s">
        <v>2477</v>
      </c>
      <c r="J779" s="252" t="s">
        <v>928</v>
      </c>
      <c r="K779" s="252" t="s">
        <v>3236</v>
      </c>
      <c r="L779" s="252">
        <v>472.77</v>
      </c>
      <c r="M779" s="252">
        <v>0</v>
      </c>
      <c r="N779" s="252">
        <v>0</v>
      </c>
      <c r="O779" s="252">
        <v>0</v>
      </c>
      <c r="P779" s="252">
        <v>0</v>
      </c>
      <c r="Q779" s="252">
        <v>0</v>
      </c>
      <c r="R779" s="252">
        <v>0</v>
      </c>
      <c r="S779" s="252">
        <v>0</v>
      </c>
      <c r="T779" s="252">
        <v>0</v>
      </c>
      <c r="U779" s="252">
        <v>0</v>
      </c>
      <c r="V779" s="252">
        <v>0</v>
      </c>
      <c r="W779" s="252">
        <v>0</v>
      </c>
      <c r="X779" s="252">
        <v>0</v>
      </c>
      <c r="Y779" s="252">
        <v>334.74</v>
      </c>
      <c r="Z779" s="252">
        <v>0</v>
      </c>
      <c r="AA779" s="252">
        <v>0</v>
      </c>
      <c r="AB779" s="252">
        <v>138.03</v>
      </c>
      <c r="AC779" s="252">
        <v>0</v>
      </c>
      <c r="AD779" s="252">
        <v>0</v>
      </c>
      <c r="AE779" s="252" t="s">
        <v>19</v>
      </c>
      <c r="AF779" s="252" t="s">
        <v>718</v>
      </c>
      <c r="AG779" s="252">
        <f t="shared" si="60"/>
        <v>0</v>
      </c>
      <c r="AH779" s="252">
        <f t="shared" si="61"/>
        <v>0</v>
      </c>
      <c r="AI779" s="252">
        <f t="shared" si="62"/>
        <v>0</v>
      </c>
      <c r="AJ779" s="252">
        <f t="shared" si="63"/>
        <v>0</v>
      </c>
    </row>
    <row r="780" spans="1:36" x14ac:dyDescent="0.2">
      <c r="A780" s="253" t="str">
        <f t="shared" si="64"/>
        <v>8SYCF107H5230</v>
      </c>
      <c r="B780" s="252" t="s">
        <v>19</v>
      </c>
      <c r="C780" s="252" t="s">
        <v>28</v>
      </c>
      <c r="D780" s="252" t="s">
        <v>2474</v>
      </c>
      <c r="E780" s="252" t="s">
        <v>2475</v>
      </c>
      <c r="F780" s="252" t="s">
        <v>2509</v>
      </c>
      <c r="G780" s="252">
        <v>30</v>
      </c>
      <c r="H780" s="252" t="s">
        <v>928</v>
      </c>
      <c r="I780" s="252" t="s">
        <v>2487</v>
      </c>
      <c r="J780" s="252" t="s">
        <v>928</v>
      </c>
      <c r="K780" s="252" t="s">
        <v>3236</v>
      </c>
      <c r="L780" s="252">
        <v>869.95</v>
      </c>
      <c r="M780" s="252">
        <v>0</v>
      </c>
      <c r="N780" s="252">
        <v>0</v>
      </c>
      <c r="O780" s="252">
        <v>0</v>
      </c>
      <c r="P780" s="252">
        <v>0</v>
      </c>
      <c r="Q780" s="252">
        <v>318.33999999999997</v>
      </c>
      <c r="R780" s="252">
        <v>0</v>
      </c>
      <c r="S780" s="252">
        <v>0</v>
      </c>
      <c r="T780" s="252">
        <v>0</v>
      </c>
      <c r="U780" s="252">
        <v>79.48</v>
      </c>
      <c r="V780" s="252">
        <v>0</v>
      </c>
      <c r="W780" s="252">
        <v>0</v>
      </c>
      <c r="X780" s="252">
        <v>0</v>
      </c>
      <c r="Y780" s="252">
        <v>334.09924999999998</v>
      </c>
      <c r="Z780" s="252">
        <v>0</v>
      </c>
      <c r="AA780" s="252">
        <v>0</v>
      </c>
      <c r="AB780" s="252">
        <v>138.03075000000001</v>
      </c>
      <c r="AC780" s="252">
        <v>0</v>
      </c>
      <c r="AD780" s="252">
        <v>0</v>
      </c>
      <c r="AE780" s="252" t="s">
        <v>19</v>
      </c>
      <c r="AF780" s="252" t="s">
        <v>718</v>
      </c>
      <c r="AG780" s="252">
        <f t="shared" si="60"/>
        <v>0</v>
      </c>
      <c r="AH780" s="252">
        <f t="shared" si="61"/>
        <v>0</v>
      </c>
      <c r="AI780" s="252">
        <f t="shared" si="62"/>
        <v>0</v>
      </c>
      <c r="AJ780" s="252">
        <f t="shared" si="63"/>
        <v>0</v>
      </c>
    </row>
    <row r="781" spans="1:36" x14ac:dyDescent="0.2">
      <c r="A781" s="253" t="str">
        <f t="shared" si="64"/>
        <v>SYCF107H5230</v>
      </c>
      <c r="B781" s="252" t="s">
        <v>19</v>
      </c>
      <c r="C781" s="252" t="s">
        <v>28</v>
      </c>
      <c r="D781" s="252" t="s">
        <v>2474</v>
      </c>
      <c r="E781" s="252" t="s">
        <v>2475</v>
      </c>
      <c r="F781" s="252" t="s">
        <v>2509</v>
      </c>
      <c r="G781" s="252">
        <v>30</v>
      </c>
      <c r="H781" s="252" t="s">
        <v>928</v>
      </c>
      <c r="I781" s="252" t="s">
        <v>928</v>
      </c>
      <c r="J781" s="252" t="s">
        <v>928</v>
      </c>
      <c r="K781" s="252" t="s">
        <v>3236</v>
      </c>
      <c r="L781" s="252">
        <v>472.77</v>
      </c>
      <c r="M781" s="252">
        <v>0</v>
      </c>
      <c r="N781" s="252">
        <v>0</v>
      </c>
      <c r="O781" s="252">
        <v>0</v>
      </c>
      <c r="P781" s="252">
        <v>0</v>
      </c>
      <c r="Q781" s="252">
        <v>0</v>
      </c>
      <c r="R781" s="252">
        <v>0</v>
      </c>
      <c r="S781" s="252">
        <v>0</v>
      </c>
      <c r="T781" s="252">
        <v>0</v>
      </c>
      <c r="U781" s="252">
        <v>0</v>
      </c>
      <c r="V781" s="252">
        <v>0</v>
      </c>
      <c r="W781" s="252">
        <v>0</v>
      </c>
      <c r="X781" s="252">
        <v>0</v>
      </c>
      <c r="Y781" s="252">
        <v>334.74</v>
      </c>
      <c r="Z781" s="252">
        <v>0</v>
      </c>
      <c r="AA781" s="252">
        <v>0</v>
      </c>
      <c r="AB781" s="252">
        <v>138.03</v>
      </c>
      <c r="AC781" s="252">
        <v>0</v>
      </c>
      <c r="AD781" s="252">
        <v>0</v>
      </c>
      <c r="AE781" s="252" t="s">
        <v>19</v>
      </c>
      <c r="AF781" s="252" t="s">
        <v>718</v>
      </c>
      <c r="AG781" s="252">
        <f t="shared" si="60"/>
        <v>0</v>
      </c>
      <c r="AH781" s="252">
        <f t="shared" si="61"/>
        <v>0</v>
      </c>
      <c r="AI781" s="252">
        <f t="shared" si="62"/>
        <v>0</v>
      </c>
      <c r="AJ781" s="252">
        <f t="shared" si="63"/>
        <v>0</v>
      </c>
    </row>
    <row r="782" spans="1:36" x14ac:dyDescent="0.2">
      <c r="A782" s="253" t="str">
        <f t="shared" si="64"/>
        <v>2SYCF10R307K40</v>
      </c>
      <c r="B782" s="252" t="s">
        <v>19</v>
      </c>
      <c r="C782" s="252" t="s">
        <v>28</v>
      </c>
      <c r="D782" s="252" t="s">
        <v>2474</v>
      </c>
      <c r="E782" s="252" t="s">
        <v>2475</v>
      </c>
      <c r="F782" s="252" t="s">
        <v>2519</v>
      </c>
      <c r="G782" s="252">
        <v>40</v>
      </c>
      <c r="H782" s="252" t="s">
        <v>928</v>
      </c>
      <c r="I782" s="252" t="s">
        <v>2477</v>
      </c>
      <c r="J782" s="252" t="s">
        <v>928</v>
      </c>
      <c r="K782" s="252" t="s">
        <v>3236</v>
      </c>
      <c r="L782" s="252">
        <v>1008.86</v>
      </c>
      <c r="M782" s="252">
        <v>0</v>
      </c>
      <c r="N782" s="252">
        <v>0</v>
      </c>
      <c r="O782" s="252">
        <v>0</v>
      </c>
      <c r="P782" s="252">
        <v>0</v>
      </c>
      <c r="Q782" s="252">
        <v>0</v>
      </c>
      <c r="R782" s="252">
        <v>0</v>
      </c>
      <c r="S782" s="252">
        <v>0</v>
      </c>
      <c r="T782" s="252">
        <v>0</v>
      </c>
      <c r="U782" s="252">
        <v>0</v>
      </c>
      <c r="V782" s="252">
        <v>0</v>
      </c>
      <c r="W782" s="252">
        <v>0</v>
      </c>
      <c r="X782" s="252">
        <v>0</v>
      </c>
      <c r="Y782" s="252">
        <v>863.46</v>
      </c>
      <c r="Z782" s="252">
        <v>0</v>
      </c>
      <c r="AA782" s="252">
        <v>0</v>
      </c>
      <c r="AB782" s="252">
        <v>145.4</v>
      </c>
      <c r="AC782" s="252">
        <v>0</v>
      </c>
      <c r="AD782" s="252">
        <v>0</v>
      </c>
      <c r="AE782" s="252" t="s">
        <v>19</v>
      </c>
      <c r="AF782" s="252" t="s">
        <v>718</v>
      </c>
      <c r="AG782" s="252">
        <f t="shared" si="60"/>
        <v>0</v>
      </c>
      <c r="AH782" s="252">
        <f t="shared" si="61"/>
        <v>0</v>
      </c>
      <c r="AI782" s="252">
        <f t="shared" si="62"/>
        <v>0</v>
      </c>
      <c r="AJ782" s="252">
        <f t="shared" si="63"/>
        <v>0</v>
      </c>
    </row>
    <row r="783" spans="1:36" x14ac:dyDescent="0.2">
      <c r="A783" s="253" t="str">
        <f t="shared" si="64"/>
        <v>SYCF10R307K40</v>
      </c>
      <c r="B783" s="252" t="s">
        <v>19</v>
      </c>
      <c r="C783" s="252" t="s">
        <v>28</v>
      </c>
      <c r="D783" s="252" t="s">
        <v>2474</v>
      </c>
      <c r="E783" s="252" t="s">
        <v>2475</v>
      </c>
      <c r="F783" s="252" t="s">
        <v>2519</v>
      </c>
      <c r="G783" s="252">
        <v>40</v>
      </c>
      <c r="H783" s="252" t="s">
        <v>928</v>
      </c>
      <c r="I783" s="252" t="s">
        <v>928</v>
      </c>
      <c r="J783" s="252" t="s">
        <v>928</v>
      </c>
      <c r="K783" s="252" t="s">
        <v>3236</v>
      </c>
      <c r="L783" s="252">
        <v>1008.86</v>
      </c>
      <c r="M783" s="252">
        <v>0</v>
      </c>
      <c r="N783" s="252">
        <v>0</v>
      </c>
      <c r="O783" s="252">
        <v>0</v>
      </c>
      <c r="P783" s="252">
        <v>0</v>
      </c>
      <c r="Q783" s="252">
        <v>0</v>
      </c>
      <c r="R783" s="252">
        <v>0</v>
      </c>
      <c r="S783" s="252">
        <v>0</v>
      </c>
      <c r="T783" s="252">
        <v>0</v>
      </c>
      <c r="U783" s="252">
        <v>0</v>
      </c>
      <c r="V783" s="252">
        <v>0</v>
      </c>
      <c r="W783" s="252">
        <v>0</v>
      </c>
      <c r="X783" s="252">
        <v>0</v>
      </c>
      <c r="Y783" s="252">
        <v>863.46</v>
      </c>
      <c r="Z783" s="252">
        <v>0</v>
      </c>
      <c r="AA783" s="252">
        <v>0</v>
      </c>
      <c r="AB783" s="252">
        <v>145.4</v>
      </c>
      <c r="AC783" s="252">
        <v>0</v>
      </c>
      <c r="AD783" s="252">
        <v>0</v>
      </c>
      <c r="AE783" s="252" t="s">
        <v>19</v>
      </c>
      <c r="AF783" s="252" t="s">
        <v>718</v>
      </c>
      <c r="AG783" s="252">
        <f t="shared" si="60"/>
        <v>0</v>
      </c>
      <c r="AH783" s="252">
        <f t="shared" si="61"/>
        <v>0</v>
      </c>
      <c r="AI783" s="252">
        <f t="shared" si="62"/>
        <v>0</v>
      </c>
      <c r="AJ783" s="252">
        <f t="shared" si="63"/>
        <v>0</v>
      </c>
    </row>
    <row r="784" spans="1:36" x14ac:dyDescent="0.2">
      <c r="A784" s="253" t="str">
        <f t="shared" si="64"/>
        <v>2SYCF10R405CZ30</v>
      </c>
      <c r="B784" s="252" t="s">
        <v>19</v>
      </c>
      <c r="C784" s="252" t="s">
        <v>28</v>
      </c>
      <c r="D784" s="252" t="s">
        <v>2474</v>
      </c>
      <c r="E784" s="252" t="s">
        <v>2475</v>
      </c>
      <c r="F784" s="252" t="s">
        <v>2658</v>
      </c>
      <c r="G784" s="252">
        <v>30</v>
      </c>
      <c r="H784" s="252" t="s">
        <v>928</v>
      </c>
      <c r="I784" s="252" t="s">
        <v>2477</v>
      </c>
      <c r="J784" s="252" t="s">
        <v>928</v>
      </c>
      <c r="K784" s="252" t="s">
        <v>3236</v>
      </c>
      <c r="L784" s="252">
        <v>774.99</v>
      </c>
      <c r="M784" s="252">
        <v>0</v>
      </c>
      <c r="N784" s="252">
        <v>0</v>
      </c>
      <c r="O784" s="252">
        <v>0</v>
      </c>
      <c r="P784" s="252">
        <v>0</v>
      </c>
      <c r="Q784" s="252">
        <v>0</v>
      </c>
      <c r="R784" s="252">
        <v>0</v>
      </c>
      <c r="S784" s="252">
        <v>0</v>
      </c>
      <c r="T784" s="252">
        <v>0</v>
      </c>
      <c r="U784" s="252">
        <v>0</v>
      </c>
      <c r="V784" s="252">
        <v>0</v>
      </c>
      <c r="W784" s="252">
        <v>0</v>
      </c>
      <c r="X784" s="252">
        <v>0</v>
      </c>
      <c r="Y784" s="252">
        <v>636.32000000000005</v>
      </c>
      <c r="Z784" s="252">
        <v>0</v>
      </c>
      <c r="AA784" s="252">
        <v>0</v>
      </c>
      <c r="AB784" s="252">
        <v>138.66999999999999</v>
      </c>
      <c r="AC784" s="252">
        <v>0</v>
      </c>
      <c r="AD784" s="252">
        <v>0</v>
      </c>
      <c r="AE784" s="252" t="s">
        <v>19</v>
      </c>
      <c r="AF784" s="252" t="s">
        <v>718</v>
      </c>
      <c r="AG784" s="252">
        <f t="shared" si="60"/>
        <v>0</v>
      </c>
      <c r="AH784" s="252">
        <f t="shared" si="61"/>
        <v>0</v>
      </c>
      <c r="AI784" s="252">
        <f t="shared" si="62"/>
        <v>0</v>
      </c>
      <c r="AJ784" s="252">
        <f t="shared" si="63"/>
        <v>0</v>
      </c>
    </row>
    <row r="785" spans="1:36" x14ac:dyDescent="0.2">
      <c r="A785" s="253" t="str">
        <f t="shared" si="64"/>
        <v>SYCF10R405CZ30</v>
      </c>
      <c r="B785" s="252" t="s">
        <v>19</v>
      </c>
      <c r="C785" s="252" t="s">
        <v>28</v>
      </c>
      <c r="D785" s="252" t="s">
        <v>2474</v>
      </c>
      <c r="E785" s="252" t="s">
        <v>2475</v>
      </c>
      <c r="F785" s="252" t="s">
        <v>2658</v>
      </c>
      <c r="G785" s="252">
        <v>30</v>
      </c>
      <c r="H785" s="252" t="s">
        <v>928</v>
      </c>
      <c r="I785" s="252" t="s">
        <v>928</v>
      </c>
      <c r="J785" s="252" t="s">
        <v>928</v>
      </c>
      <c r="K785" s="252" t="s">
        <v>3236</v>
      </c>
      <c r="L785" s="252">
        <v>774.99</v>
      </c>
      <c r="M785" s="252">
        <v>0</v>
      </c>
      <c r="N785" s="252">
        <v>0</v>
      </c>
      <c r="O785" s="252">
        <v>0</v>
      </c>
      <c r="P785" s="252">
        <v>0</v>
      </c>
      <c r="Q785" s="252">
        <v>0</v>
      </c>
      <c r="R785" s="252">
        <v>0</v>
      </c>
      <c r="S785" s="252">
        <v>0</v>
      </c>
      <c r="T785" s="252">
        <v>0</v>
      </c>
      <c r="U785" s="252">
        <v>0</v>
      </c>
      <c r="V785" s="252">
        <v>0</v>
      </c>
      <c r="W785" s="252">
        <v>0</v>
      </c>
      <c r="X785" s="252">
        <v>0</v>
      </c>
      <c r="Y785" s="252">
        <v>636.32000000000005</v>
      </c>
      <c r="Z785" s="252">
        <v>0</v>
      </c>
      <c r="AA785" s="252">
        <v>0</v>
      </c>
      <c r="AB785" s="252">
        <v>138.66999999999999</v>
      </c>
      <c r="AC785" s="252">
        <v>0</v>
      </c>
      <c r="AD785" s="252">
        <v>0</v>
      </c>
      <c r="AE785" s="252" t="s">
        <v>20</v>
      </c>
      <c r="AF785" s="252" t="s">
        <v>718</v>
      </c>
      <c r="AG785" s="252">
        <f t="shared" si="60"/>
        <v>0</v>
      </c>
      <c r="AH785" s="252">
        <f t="shared" si="61"/>
        <v>0</v>
      </c>
      <c r="AI785" s="252">
        <f t="shared" si="62"/>
        <v>0</v>
      </c>
      <c r="AJ785" s="252">
        <f t="shared" si="63"/>
        <v>0</v>
      </c>
    </row>
    <row r="786" spans="1:36" x14ac:dyDescent="0.2">
      <c r="A786" s="253" t="str">
        <f t="shared" si="64"/>
        <v>2SYCF100P9501A30</v>
      </c>
      <c r="B786" s="252" t="s">
        <v>19</v>
      </c>
      <c r="C786" s="252" t="s">
        <v>28</v>
      </c>
      <c r="D786" s="252" t="s">
        <v>2530</v>
      </c>
      <c r="E786" s="252" t="s">
        <v>2531</v>
      </c>
      <c r="F786" s="252" t="s">
        <v>2532</v>
      </c>
      <c r="G786" s="252">
        <v>30</v>
      </c>
      <c r="H786" s="252" t="s">
        <v>928</v>
      </c>
      <c r="I786" s="252" t="s">
        <v>2477</v>
      </c>
      <c r="J786" s="252" t="s">
        <v>928</v>
      </c>
      <c r="K786" s="252" t="s">
        <v>3236</v>
      </c>
      <c r="L786" s="252">
        <v>555.4</v>
      </c>
      <c r="M786" s="252">
        <v>0</v>
      </c>
      <c r="N786" s="252">
        <v>0</v>
      </c>
      <c r="O786" s="252">
        <v>0</v>
      </c>
      <c r="P786" s="252">
        <v>0</v>
      </c>
      <c r="Q786" s="252">
        <v>0</v>
      </c>
      <c r="R786" s="252">
        <v>0</v>
      </c>
      <c r="S786" s="252">
        <v>0</v>
      </c>
      <c r="T786" s="252">
        <v>0</v>
      </c>
      <c r="U786" s="252">
        <v>0</v>
      </c>
      <c r="V786" s="252">
        <v>0</v>
      </c>
      <c r="W786" s="252">
        <v>0</v>
      </c>
      <c r="X786" s="252">
        <v>0</v>
      </c>
      <c r="Y786" s="252">
        <v>403.49</v>
      </c>
      <c r="Z786" s="252">
        <v>0</v>
      </c>
      <c r="AA786" s="252">
        <v>0</v>
      </c>
      <c r="AB786" s="252">
        <v>151.91999999999999</v>
      </c>
      <c r="AC786" s="252">
        <v>0</v>
      </c>
      <c r="AD786" s="252">
        <v>0</v>
      </c>
      <c r="AE786" s="252" t="s">
        <v>20</v>
      </c>
      <c r="AF786" s="252" t="s">
        <v>718</v>
      </c>
      <c r="AG786" s="252">
        <f t="shared" si="60"/>
        <v>0</v>
      </c>
      <c r="AH786" s="252">
        <f t="shared" si="61"/>
        <v>0</v>
      </c>
      <c r="AI786" s="252">
        <f t="shared" si="62"/>
        <v>0</v>
      </c>
      <c r="AJ786" s="252">
        <f t="shared" si="63"/>
        <v>0</v>
      </c>
    </row>
    <row r="787" spans="1:36" x14ac:dyDescent="0.2">
      <c r="A787" s="253" t="str">
        <f t="shared" si="64"/>
        <v>SYCF100P9501A30</v>
      </c>
      <c r="B787" s="252" t="s">
        <v>19</v>
      </c>
      <c r="C787" s="252" t="s">
        <v>28</v>
      </c>
      <c r="D787" s="252" t="s">
        <v>2530</v>
      </c>
      <c r="E787" s="252" t="s">
        <v>2531</v>
      </c>
      <c r="F787" s="252" t="s">
        <v>2532</v>
      </c>
      <c r="G787" s="252">
        <v>30</v>
      </c>
      <c r="H787" s="252" t="s">
        <v>928</v>
      </c>
      <c r="I787" s="252" t="s">
        <v>928</v>
      </c>
      <c r="J787" s="252" t="s">
        <v>928</v>
      </c>
      <c r="K787" s="252" t="s">
        <v>3236</v>
      </c>
      <c r="L787" s="252">
        <v>555.4</v>
      </c>
      <c r="M787" s="252">
        <v>0</v>
      </c>
      <c r="N787" s="252">
        <v>0</v>
      </c>
      <c r="O787" s="252">
        <v>0</v>
      </c>
      <c r="P787" s="252">
        <v>0</v>
      </c>
      <c r="Q787" s="252">
        <v>0</v>
      </c>
      <c r="R787" s="252">
        <v>0</v>
      </c>
      <c r="S787" s="252">
        <v>0</v>
      </c>
      <c r="T787" s="252">
        <v>0</v>
      </c>
      <c r="U787" s="252">
        <v>0</v>
      </c>
      <c r="V787" s="252">
        <v>0</v>
      </c>
      <c r="W787" s="252">
        <v>0</v>
      </c>
      <c r="X787" s="252">
        <v>0</v>
      </c>
      <c r="Y787" s="252">
        <v>403.49</v>
      </c>
      <c r="Z787" s="252">
        <v>0</v>
      </c>
      <c r="AA787" s="252">
        <v>0</v>
      </c>
      <c r="AB787" s="252">
        <v>151.91999999999999</v>
      </c>
      <c r="AC787" s="252">
        <v>0</v>
      </c>
      <c r="AD787" s="252">
        <v>0</v>
      </c>
      <c r="AE787" s="252" t="s">
        <v>20</v>
      </c>
      <c r="AF787" s="252" t="s">
        <v>718</v>
      </c>
      <c r="AG787" s="252">
        <f t="shared" si="60"/>
        <v>0</v>
      </c>
      <c r="AH787" s="252">
        <f t="shared" si="61"/>
        <v>0</v>
      </c>
      <c r="AI787" s="252">
        <f t="shared" si="62"/>
        <v>0</v>
      </c>
      <c r="AJ787" s="252">
        <f t="shared" si="63"/>
        <v>0</v>
      </c>
    </row>
    <row r="788" spans="1:36" x14ac:dyDescent="0.2">
      <c r="A788" s="253" t="str">
        <f t="shared" si="64"/>
        <v>2SYCF100P9501A50</v>
      </c>
      <c r="B788" s="252" t="s">
        <v>19</v>
      </c>
      <c r="C788" s="252" t="s">
        <v>28</v>
      </c>
      <c r="D788" s="252" t="s">
        <v>2530</v>
      </c>
      <c r="E788" s="252" t="s">
        <v>2531</v>
      </c>
      <c r="F788" s="252" t="s">
        <v>2532</v>
      </c>
      <c r="G788" s="252">
        <v>50</v>
      </c>
      <c r="H788" s="252" t="s">
        <v>928</v>
      </c>
      <c r="I788" s="252" t="s">
        <v>2477</v>
      </c>
      <c r="J788" s="252" t="s">
        <v>928</v>
      </c>
      <c r="K788" s="252" t="s">
        <v>3236</v>
      </c>
      <c r="L788" s="252">
        <v>412.41</v>
      </c>
      <c r="M788" s="252">
        <v>0</v>
      </c>
      <c r="N788" s="252">
        <v>0</v>
      </c>
      <c r="O788" s="252">
        <v>0</v>
      </c>
      <c r="P788" s="252">
        <v>0</v>
      </c>
      <c r="Q788" s="252">
        <v>0</v>
      </c>
      <c r="R788" s="252">
        <v>0</v>
      </c>
      <c r="S788" s="252">
        <v>0</v>
      </c>
      <c r="T788" s="252">
        <v>0</v>
      </c>
      <c r="U788" s="252">
        <v>0</v>
      </c>
      <c r="V788" s="252">
        <v>0</v>
      </c>
      <c r="W788" s="252">
        <v>0</v>
      </c>
      <c r="X788" s="252">
        <v>0</v>
      </c>
      <c r="Y788" s="252">
        <v>340.28</v>
      </c>
      <c r="Z788" s="252">
        <v>0</v>
      </c>
      <c r="AA788" s="252">
        <v>0</v>
      </c>
      <c r="AB788" s="252">
        <v>72.13</v>
      </c>
      <c r="AC788" s="252">
        <v>0</v>
      </c>
      <c r="AD788" s="252">
        <v>0</v>
      </c>
      <c r="AE788" s="252" t="s">
        <v>720</v>
      </c>
      <c r="AF788" s="252" t="s">
        <v>721</v>
      </c>
      <c r="AG788" s="252">
        <f t="shared" si="60"/>
        <v>0</v>
      </c>
      <c r="AH788" s="252">
        <f t="shared" si="61"/>
        <v>0</v>
      </c>
      <c r="AI788" s="252">
        <f t="shared" si="62"/>
        <v>0</v>
      </c>
      <c r="AJ788" s="252">
        <f t="shared" si="63"/>
        <v>0</v>
      </c>
    </row>
    <row r="789" spans="1:36" x14ac:dyDescent="0.2">
      <c r="A789" s="253" t="str">
        <f t="shared" si="64"/>
        <v>SYCF100P9501A50</v>
      </c>
      <c r="B789" s="252" t="s">
        <v>19</v>
      </c>
      <c r="C789" s="252" t="s">
        <v>28</v>
      </c>
      <c r="D789" s="252" t="s">
        <v>2530</v>
      </c>
      <c r="E789" s="252" t="s">
        <v>2531</v>
      </c>
      <c r="F789" s="252" t="s">
        <v>2532</v>
      </c>
      <c r="G789" s="252">
        <v>50</v>
      </c>
      <c r="H789" s="252" t="s">
        <v>928</v>
      </c>
      <c r="I789" s="252" t="s">
        <v>928</v>
      </c>
      <c r="J789" s="252" t="s">
        <v>928</v>
      </c>
      <c r="K789" s="252" t="s">
        <v>3236</v>
      </c>
      <c r="L789" s="252">
        <v>412.41</v>
      </c>
      <c r="M789" s="252">
        <v>0</v>
      </c>
      <c r="N789" s="252">
        <v>0</v>
      </c>
      <c r="O789" s="252">
        <v>0</v>
      </c>
      <c r="P789" s="252">
        <v>0</v>
      </c>
      <c r="Q789" s="252">
        <v>0</v>
      </c>
      <c r="R789" s="252">
        <v>0</v>
      </c>
      <c r="S789" s="252">
        <v>0</v>
      </c>
      <c r="T789" s="252">
        <v>0</v>
      </c>
      <c r="U789" s="252">
        <v>0</v>
      </c>
      <c r="V789" s="252">
        <v>0</v>
      </c>
      <c r="W789" s="252">
        <v>0</v>
      </c>
      <c r="X789" s="252">
        <v>0</v>
      </c>
      <c r="Y789" s="252">
        <v>340.28</v>
      </c>
      <c r="Z789" s="252">
        <v>0</v>
      </c>
      <c r="AA789" s="252">
        <v>0</v>
      </c>
      <c r="AB789" s="252">
        <v>72.13</v>
      </c>
      <c r="AC789" s="252">
        <v>0</v>
      </c>
      <c r="AD789" s="252">
        <v>0</v>
      </c>
      <c r="AE789" s="252" t="s">
        <v>720</v>
      </c>
      <c r="AF789" s="252" t="s">
        <v>721</v>
      </c>
      <c r="AG789" s="252">
        <f t="shared" si="60"/>
        <v>0</v>
      </c>
      <c r="AH789" s="252">
        <f t="shared" si="61"/>
        <v>0</v>
      </c>
      <c r="AI789" s="252">
        <f t="shared" si="62"/>
        <v>0</v>
      </c>
      <c r="AJ789" s="252">
        <f t="shared" si="63"/>
        <v>0</v>
      </c>
    </row>
    <row r="790" spans="1:36" x14ac:dyDescent="0.2">
      <c r="A790" s="253" t="str">
        <f t="shared" si="64"/>
        <v>2SYCF100P9501C50</v>
      </c>
      <c r="B790" s="252" t="s">
        <v>19</v>
      </c>
      <c r="C790" s="252" t="s">
        <v>28</v>
      </c>
      <c r="D790" s="252" t="s">
        <v>2530</v>
      </c>
      <c r="E790" s="252" t="s">
        <v>2531</v>
      </c>
      <c r="F790" s="252" t="s">
        <v>2533</v>
      </c>
      <c r="G790" s="252">
        <v>50</v>
      </c>
      <c r="H790" s="252" t="s">
        <v>928</v>
      </c>
      <c r="I790" s="252" t="s">
        <v>2477</v>
      </c>
      <c r="J790" s="252" t="s">
        <v>928</v>
      </c>
      <c r="K790" s="252" t="s">
        <v>3236</v>
      </c>
      <c r="L790" s="252">
        <v>546.78</v>
      </c>
      <c r="M790" s="252">
        <v>0</v>
      </c>
      <c r="N790" s="252">
        <v>0</v>
      </c>
      <c r="O790" s="252">
        <v>0</v>
      </c>
      <c r="P790" s="252">
        <v>0</v>
      </c>
      <c r="Q790" s="252">
        <v>0</v>
      </c>
      <c r="R790" s="252">
        <v>0</v>
      </c>
      <c r="S790" s="252">
        <v>0</v>
      </c>
      <c r="T790" s="252">
        <v>0</v>
      </c>
      <c r="U790" s="252">
        <v>0</v>
      </c>
      <c r="V790" s="252">
        <v>0</v>
      </c>
      <c r="W790" s="252">
        <v>0</v>
      </c>
      <c r="X790" s="252">
        <v>0</v>
      </c>
      <c r="Y790" s="252">
        <v>411.51</v>
      </c>
      <c r="Z790" s="252">
        <v>0</v>
      </c>
      <c r="AA790" s="252">
        <v>0</v>
      </c>
      <c r="AB790" s="252">
        <v>135.26</v>
      </c>
      <c r="AC790" s="252">
        <v>0</v>
      </c>
      <c r="AD790" s="252">
        <v>0</v>
      </c>
      <c r="AE790" s="252" t="s">
        <v>720</v>
      </c>
      <c r="AF790" s="252" t="s">
        <v>721</v>
      </c>
      <c r="AG790" s="252">
        <f t="shared" si="60"/>
        <v>0</v>
      </c>
      <c r="AH790" s="252">
        <f t="shared" si="61"/>
        <v>0</v>
      </c>
      <c r="AI790" s="252">
        <f t="shared" si="62"/>
        <v>0</v>
      </c>
      <c r="AJ790" s="252">
        <f t="shared" si="63"/>
        <v>0</v>
      </c>
    </row>
    <row r="791" spans="1:36" x14ac:dyDescent="0.2">
      <c r="A791" s="253" t="str">
        <f t="shared" si="64"/>
        <v>SYCF100P9501C50</v>
      </c>
      <c r="B791" s="252" t="s">
        <v>19</v>
      </c>
      <c r="C791" s="252" t="s">
        <v>28</v>
      </c>
      <c r="D791" s="252" t="s">
        <v>2530</v>
      </c>
      <c r="E791" s="252" t="s">
        <v>2531</v>
      </c>
      <c r="F791" s="252" t="s">
        <v>2533</v>
      </c>
      <c r="G791" s="252">
        <v>50</v>
      </c>
      <c r="H791" s="252" t="s">
        <v>928</v>
      </c>
      <c r="I791" s="252" t="s">
        <v>928</v>
      </c>
      <c r="J791" s="252" t="s">
        <v>928</v>
      </c>
      <c r="K791" s="252" t="s">
        <v>3236</v>
      </c>
      <c r="L791" s="252">
        <v>546.78</v>
      </c>
      <c r="M791" s="252">
        <v>0</v>
      </c>
      <c r="N791" s="252">
        <v>0</v>
      </c>
      <c r="O791" s="252">
        <v>0</v>
      </c>
      <c r="P791" s="252">
        <v>0</v>
      </c>
      <c r="Q791" s="252">
        <v>0</v>
      </c>
      <c r="R791" s="252">
        <v>0</v>
      </c>
      <c r="S791" s="252">
        <v>0</v>
      </c>
      <c r="T791" s="252">
        <v>0</v>
      </c>
      <c r="U791" s="252">
        <v>0</v>
      </c>
      <c r="V791" s="252">
        <v>0</v>
      </c>
      <c r="W791" s="252">
        <v>0</v>
      </c>
      <c r="X791" s="252">
        <v>0</v>
      </c>
      <c r="Y791" s="252">
        <v>411.51</v>
      </c>
      <c r="Z791" s="252">
        <v>0</v>
      </c>
      <c r="AA791" s="252">
        <v>0</v>
      </c>
      <c r="AB791" s="252">
        <v>135.26</v>
      </c>
      <c r="AC791" s="252">
        <v>0</v>
      </c>
      <c r="AD791" s="252">
        <v>0</v>
      </c>
      <c r="AE791" s="252" t="s">
        <v>720</v>
      </c>
      <c r="AF791" s="252" t="s">
        <v>721</v>
      </c>
      <c r="AG791" s="252">
        <f t="shared" si="60"/>
        <v>0</v>
      </c>
      <c r="AH791" s="252">
        <f t="shared" si="61"/>
        <v>0</v>
      </c>
      <c r="AI791" s="252">
        <f t="shared" si="62"/>
        <v>0</v>
      </c>
      <c r="AJ791" s="252">
        <f t="shared" si="63"/>
        <v>0</v>
      </c>
    </row>
    <row r="792" spans="1:36" x14ac:dyDescent="0.2">
      <c r="A792" s="253" t="str">
        <f t="shared" si="64"/>
        <v>2SYCF100P9501E30</v>
      </c>
      <c r="B792" s="252" t="s">
        <v>19</v>
      </c>
      <c r="C792" s="252" t="s">
        <v>28</v>
      </c>
      <c r="D792" s="252" t="s">
        <v>2530</v>
      </c>
      <c r="E792" s="252" t="s">
        <v>2531</v>
      </c>
      <c r="F792" s="252" t="s">
        <v>2534</v>
      </c>
      <c r="G792" s="252">
        <v>30</v>
      </c>
      <c r="H792" s="252" t="s">
        <v>928</v>
      </c>
      <c r="I792" s="252" t="s">
        <v>2477</v>
      </c>
      <c r="J792" s="252" t="s">
        <v>928</v>
      </c>
      <c r="K792" s="252" t="s">
        <v>3236</v>
      </c>
      <c r="L792" s="252">
        <v>400.93</v>
      </c>
      <c r="M792" s="252">
        <v>0</v>
      </c>
      <c r="N792" s="252">
        <v>0</v>
      </c>
      <c r="O792" s="252">
        <v>0</v>
      </c>
      <c r="P792" s="252">
        <v>0</v>
      </c>
      <c r="Q792" s="252">
        <v>0</v>
      </c>
      <c r="R792" s="252">
        <v>0</v>
      </c>
      <c r="S792" s="252">
        <v>0</v>
      </c>
      <c r="T792" s="252">
        <v>0</v>
      </c>
      <c r="U792" s="252">
        <v>0</v>
      </c>
      <c r="V792" s="252">
        <v>0</v>
      </c>
      <c r="W792" s="252">
        <v>0</v>
      </c>
      <c r="X792" s="252">
        <v>0</v>
      </c>
      <c r="Y792" s="252">
        <v>304.55</v>
      </c>
      <c r="Z792" s="252">
        <v>0</v>
      </c>
      <c r="AA792" s="252">
        <v>0</v>
      </c>
      <c r="AB792" s="252">
        <v>96.38</v>
      </c>
      <c r="AC792" s="252">
        <v>0</v>
      </c>
      <c r="AD792" s="252">
        <v>0</v>
      </c>
      <c r="AE792" s="252" t="s">
        <v>720</v>
      </c>
      <c r="AF792" s="252" t="s">
        <v>721</v>
      </c>
      <c r="AG792" s="252">
        <f t="shared" si="60"/>
        <v>0</v>
      </c>
      <c r="AH792" s="252">
        <f t="shared" si="61"/>
        <v>0</v>
      </c>
      <c r="AI792" s="252">
        <f t="shared" si="62"/>
        <v>0</v>
      </c>
      <c r="AJ792" s="252">
        <f t="shared" si="63"/>
        <v>0</v>
      </c>
    </row>
    <row r="793" spans="1:36" x14ac:dyDescent="0.2">
      <c r="A793" s="253" t="str">
        <f t="shared" si="64"/>
        <v>SYCF100P9501E30</v>
      </c>
      <c r="B793" s="252" t="s">
        <v>19</v>
      </c>
      <c r="C793" s="252" t="s">
        <v>28</v>
      </c>
      <c r="D793" s="252" t="s">
        <v>2530</v>
      </c>
      <c r="E793" s="252" t="s">
        <v>2531</v>
      </c>
      <c r="F793" s="252" t="s">
        <v>2534</v>
      </c>
      <c r="G793" s="252">
        <v>30</v>
      </c>
      <c r="H793" s="252" t="s">
        <v>928</v>
      </c>
      <c r="I793" s="252" t="s">
        <v>928</v>
      </c>
      <c r="J793" s="252" t="s">
        <v>928</v>
      </c>
      <c r="K793" s="252" t="s">
        <v>3236</v>
      </c>
      <c r="L793" s="252">
        <v>400.93</v>
      </c>
      <c r="M793" s="252">
        <v>0</v>
      </c>
      <c r="N793" s="252">
        <v>0</v>
      </c>
      <c r="O793" s="252">
        <v>0</v>
      </c>
      <c r="P793" s="252">
        <v>0</v>
      </c>
      <c r="Q793" s="252">
        <v>0</v>
      </c>
      <c r="R793" s="252">
        <v>0</v>
      </c>
      <c r="S793" s="252">
        <v>0</v>
      </c>
      <c r="T793" s="252">
        <v>0</v>
      </c>
      <c r="U793" s="252">
        <v>0</v>
      </c>
      <c r="V793" s="252">
        <v>0</v>
      </c>
      <c r="W793" s="252">
        <v>0</v>
      </c>
      <c r="X793" s="252">
        <v>0</v>
      </c>
      <c r="Y793" s="252">
        <v>304.55</v>
      </c>
      <c r="Z793" s="252">
        <v>0</v>
      </c>
      <c r="AA793" s="252">
        <v>0</v>
      </c>
      <c r="AB793" s="252">
        <v>96.38</v>
      </c>
      <c r="AC793" s="252">
        <v>0</v>
      </c>
      <c r="AD793" s="252">
        <v>0</v>
      </c>
      <c r="AE793" s="252" t="s">
        <v>720</v>
      </c>
      <c r="AF793" s="252" t="s">
        <v>721</v>
      </c>
      <c r="AG793" s="252">
        <f t="shared" si="60"/>
        <v>0</v>
      </c>
      <c r="AH793" s="252">
        <f t="shared" si="61"/>
        <v>0</v>
      </c>
      <c r="AI793" s="252">
        <f t="shared" si="62"/>
        <v>0</v>
      </c>
      <c r="AJ793" s="252">
        <f t="shared" si="63"/>
        <v>0</v>
      </c>
    </row>
    <row r="794" spans="1:36" x14ac:dyDescent="0.2">
      <c r="A794" s="253" t="str">
        <f t="shared" si="64"/>
        <v>2SYCF100P9501E50</v>
      </c>
      <c r="B794" s="252" t="s">
        <v>19</v>
      </c>
      <c r="C794" s="252" t="s">
        <v>28</v>
      </c>
      <c r="D794" s="252" t="s">
        <v>2530</v>
      </c>
      <c r="E794" s="252" t="s">
        <v>2531</v>
      </c>
      <c r="F794" s="252" t="s">
        <v>2534</v>
      </c>
      <c r="G794" s="252">
        <v>50</v>
      </c>
      <c r="H794" s="252" t="s">
        <v>928</v>
      </c>
      <c r="I794" s="252" t="s">
        <v>2477</v>
      </c>
      <c r="J794" s="252" t="s">
        <v>928</v>
      </c>
      <c r="K794" s="252" t="s">
        <v>3236</v>
      </c>
      <c r="L794" s="252">
        <v>366.8</v>
      </c>
      <c r="M794" s="252">
        <v>0</v>
      </c>
      <c r="N794" s="252">
        <v>0</v>
      </c>
      <c r="O794" s="252">
        <v>0</v>
      </c>
      <c r="P794" s="252">
        <v>0</v>
      </c>
      <c r="Q794" s="252">
        <v>0</v>
      </c>
      <c r="R794" s="252">
        <v>0</v>
      </c>
      <c r="S794" s="252">
        <v>0</v>
      </c>
      <c r="T794" s="252">
        <v>0</v>
      </c>
      <c r="U794" s="252">
        <v>0</v>
      </c>
      <c r="V794" s="252">
        <v>0</v>
      </c>
      <c r="W794" s="252">
        <v>0</v>
      </c>
      <c r="X794" s="252">
        <v>0</v>
      </c>
      <c r="Y794" s="252">
        <v>292.08</v>
      </c>
      <c r="Z794" s="252">
        <v>0</v>
      </c>
      <c r="AA794" s="252">
        <v>0</v>
      </c>
      <c r="AB794" s="252">
        <v>74.73</v>
      </c>
      <c r="AC794" s="252">
        <v>0</v>
      </c>
      <c r="AD794" s="252">
        <v>0</v>
      </c>
      <c r="AE794" s="252" t="s">
        <v>720</v>
      </c>
      <c r="AF794" s="252" t="s">
        <v>721</v>
      </c>
      <c r="AG794" s="252">
        <f t="shared" si="60"/>
        <v>0</v>
      </c>
      <c r="AH794" s="252">
        <f t="shared" si="61"/>
        <v>0</v>
      </c>
      <c r="AI794" s="252">
        <f t="shared" si="62"/>
        <v>0</v>
      </c>
      <c r="AJ794" s="252">
        <f t="shared" si="63"/>
        <v>0</v>
      </c>
    </row>
    <row r="795" spans="1:36" x14ac:dyDescent="0.2">
      <c r="A795" s="253" t="str">
        <f t="shared" si="64"/>
        <v>SYCF100P9501E50</v>
      </c>
      <c r="B795" s="252" t="s">
        <v>19</v>
      </c>
      <c r="C795" s="252" t="s">
        <v>28</v>
      </c>
      <c r="D795" s="252" t="s">
        <v>2530</v>
      </c>
      <c r="E795" s="252" t="s">
        <v>2531</v>
      </c>
      <c r="F795" s="252" t="s">
        <v>2534</v>
      </c>
      <c r="G795" s="252">
        <v>50</v>
      </c>
      <c r="H795" s="252" t="s">
        <v>928</v>
      </c>
      <c r="I795" s="252" t="s">
        <v>928</v>
      </c>
      <c r="J795" s="252" t="s">
        <v>928</v>
      </c>
      <c r="K795" s="252" t="s">
        <v>3236</v>
      </c>
      <c r="L795" s="252">
        <v>366.8</v>
      </c>
      <c r="M795" s="252">
        <v>0</v>
      </c>
      <c r="N795" s="252">
        <v>0</v>
      </c>
      <c r="O795" s="252">
        <v>0</v>
      </c>
      <c r="P795" s="252">
        <v>0</v>
      </c>
      <c r="Q795" s="252">
        <v>0</v>
      </c>
      <c r="R795" s="252">
        <v>0</v>
      </c>
      <c r="S795" s="252">
        <v>0</v>
      </c>
      <c r="T795" s="252">
        <v>0</v>
      </c>
      <c r="U795" s="252">
        <v>0</v>
      </c>
      <c r="V795" s="252">
        <v>0</v>
      </c>
      <c r="W795" s="252">
        <v>0</v>
      </c>
      <c r="X795" s="252">
        <v>0</v>
      </c>
      <c r="Y795" s="252">
        <v>292.08</v>
      </c>
      <c r="Z795" s="252">
        <v>0</v>
      </c>
      <c r="AA795" s="252">
        <v>0</v>
      </c>
      <c r="AB795" s="252">
        <v>74.73</v>
      </c>
      <c r="AC795" s="252">
        <v>0</v>
      </c>
      <c r="AD795" s="252">
        <v>0</v>
      </c>
      <c r="AE795" s="252" t="s">
        <v>720</v>
      </c>
      <c r="AF795" s="252" t="s">
        <v>721</v>
      </c>
      <c r="AG795" s="252">
        <f t="shared" si="60"/>
        <v>0</v>
      </c>
      <c r="AH795" s="252">
        <f t="shared" si="61"/>
        <v>0</v>
      </c>
      <c r="AI795" s="252">
        <f t="shared" si="62"/>
        <v>0</v>
      </c>
      <c r="AJ795" s="252">
        <f t="shared" si="63"/>
        <v>0</v>
      </c>
    </row>
    <row r="796" spans="1:36" x14ac:dyDescent="0.2">
      <c r="A796" s="253" t="str">
        <f t="shared" si="64"/>
        <v>2SYCF100P9501G50</v>
      </c>
      <c r="B796" s="252" t="s">
        <v>19</v>
      </c>
      <c r="C796" s="252" t="s">
        <v>28</v>
      </c>
      <c r="D796" s="252" t="s">
        <v>2530</v>
      </c>
      <c r="E796" s="252" t="s">
        <v>2531</v>
      </c>
      <c r="F796" s="252" t="s">
        <v>2536</v>
      </c>
      <c r="G796" s="252">
        <v>50</v>
      </c>
      <c r="H796" s="252" t="s">
        <v>928</v>
      </c>
      <c r="I796" s="252" t="s">
        <v>2477</v>
      </c>
      <c r="J796" s="252" t="s">
        <v>928</v>
      </c>
      <c r="K796" s="252" t="s">
        <v>3236</v>
      </c>
      <c r="L796" s="252">
        <v>474.13</v>
      </c>
      <c r="M796" s="252">
        <v>0</v>
      </c>
      <c r="N796" s="252">
        <v>0</v>
      </c>
      <c r="O796" s="252">
        <v>0</v>
      </c>
      <c r="P796" s="252">
        <v>0</v>
      </c>
      <c r="Q796" s="252">
        <v>0</v>
      </c>
      <c r="R796" s="252">
        <v>0</v>
      </c>
      <c r="S796" s="252">
        <v>0</v>
      </c>
      <c r="T796" s="252">
        <v>0</v>
      </c>
      <c r="U796" s="252">
        <v>0</v>
      </c>
      <c r="V796" s="252">
        <v>0</v>
      </c>
      <c r="W796" s="252">
        <v>0</v>
      </c>
      <c r="X796" s="252">
        <v>0</v>
      </c>
      <c r="Y796" s="252">
        <v>335.6</v>
      </c>
      <c r="Z796" s="252">
        <v>0</v>
      </c>
      <c r="AA796" s="252">
        <v>0</v>
      </c>
      <c r="AB796" s="252">
        <v>138.53</v>
      </c>
      <c r="AC796" s="252">
        <v>0</v>
      </c>
      <c r="AD796" s="252">
        <v>0</v>
      </c>
      <c r="AE796" s="252" t="s">
        <v>720</v>
      </c>
      <c r="AF796" s="252" t="s">
        <v>721</v>
      </c>
      <c r="AG796" s="252">
        <f t="shared" si="60"/>
        <v>0</v>
      </c>
      <c r="AH796" s="252">
        <f t="shared" si="61"/>
        <v>0</v>
      </c>
      <c r="AI796" s="252">
        <f t="shared" si="62"/>
        <v>0</v>
      </c>
      <c r="AJ796" s="252">
        <f t="shared" si="63"/>
        <v>0</v>
      </c>
    </row>
    <row r="797" spans="1:36" x14ac:dyDescent="0.2">
      <c r="A797" s="253" t="str">
        <f t="shared" si="64"/>
        <v>SYCF100P9501G50</v>
      </c>
      <c r="B797" s="252" t="s">
        <v>19</v>
      </c>
      <c r="C797" s="252" t="s">
        <v>28</v>
      </c>
      <c r="D797" s="252" t="s">
        <v>2530</v>
      </c>
      <c r="E797" s="252" t="s">
        <v>2531</v>
      </c>
      <c r="F797" s="252" t="s">
        <v>2536</v>
      </c>
      <c r="G797" s="252">
        <v>50</v>
      </c>
      <c r="H797" s="252" t="s">
        <v>928</v>
      </c>
      <c r="I797" s="252" t="s">
        <v>928</v>
      </c>
      <c r="J797" s="252" t="s">
        <v>928</v>
      </c>
      <c r="K797" s="252" t="s">
        <v>3236</v>
      </c>
      <c r="L797" s="252">
        <v>474.13</v>
      </c>
      <c r="M797" s="252">
        <v>0</v>
      </c>
      <c r="N797" s="252">
        <v>0</v>
      </c>
      <c r="O797" s="252">
        <v>0</v>
      </c>
      <c r="P797" s="252">
        <v>0</v>
      </c>
      <c r="Q797" s="252">
        <v>0</v>
      </c>
      <c r="R797" s="252">
        <v>0</v>
      </c>
      <c r="S797" s="252">
        <v>0</v>
      </c>
      <c r="T797" s="252">
        <v>0</v>
      </c>
      <c r="U797" s="252">
        <v>0</v>
      </c>
      <c r="V797" s="252">
        <v>0</v>
      </c>
      <c r="W797" s="252">
        <v>0</v>
      </c>
      <c r="X797" s="252">
        <v>0</v>
      </c>
      <c r="Y797" s="252">
        <v>335.6</v>
      </c>
      <c r="Z797" s="252">
        <v>0</v>
      </c>
      <c r="AA797" s="252">
        <v>0</v>
      </c>
      <c r="AB797" s="252">
        <v>138.53</v>
      </c>
      <c r="AC797" s="252">
        <v>0</v>
      </c>
      <c r="AD797" s="252">
        <v>0</v>
      </c>
      <c r="AE797" s="252" t="s">
        <v>720</v>
      </c>
      <c r="AF797" s="252" t="s">
        <v>721</v>
      </c>
      <c r="AG797" s="252">
        <f t="shared" si="60"/>
        <v>0</v>
      </c>
      <c r="AH797" s="252">
        <f t="shared" si="61"/>
        <v>0</v>
      </c>
      <c r="AI797" s="252">
        <f t="shared" si="62"/>
        <v>0</v>
      </c>
      <c r="AJ797" s="252">
        <f t="shared" si="63"/>
        <v>0</v>
      </c>
    </row>
    <row r="798" spans="1:36" x14ac:dyDescent="0.2">
      <c r="A798" s="253" t="str">
        <f t="shared" si="64"/>
        <v>2SYCF100P9501H30</v>
      </c>
      <c r="B798" s="252" t="s">
        <v>19</v>
      </c>
      <c r="C798" s="252" t="s">
        <v>28</v>
      </c>
      <c r="D798" s="252" t="s">
        <v>2530</v>
      </c>
      <c r="E798" s="252" t="s">
        <v>2531</v>
      </c>
      <c r="F798" s="252" t="s">
        <v>2537</v>
      </c>
      <c r="G798" s="252">
        <v>30</v>
      </c>
      <c r="H798" s="252" t="s">
        <v>928</v>
      </c>
      <c r="I798" s="252" t="s">
        <v>2477</v>
      </c>
      <c r="J798" s="252" t="s">
        <v>928</v>
      </c>
      <c r="K798" s="252" t="s">
        <v>3236</v>
      </c>
      <c r="L798" s="252">
        <v>387.15</v>
      </c>
      <c r="M798" s="252">
        <v>0</v>
      </c>
      <c r="N798" s="252">
        <v>0</v>
      </c>
      <c r="O798" s="252">
        <v>0</v>
      </c>
      <c r="P798" s="252">
        <v>0</v>
      </c>
      <c r="Q798" s="252">
        <v>0</v>
      </c>
      <c r="R798" s="252">
        <v>0</v>
      </c>
      <c r="S798" s="252">
        <v>0</v>
      </c>
      <c r="T798" s="252">
        <v>0</v>
      </c>
      <c r="U798" s="252">
        <v>0</v>
      </c>
      <c r="V798" s="252">
        <v>0</v>
      </c>
      <c r="W798" s="252">
        <v>0</v>
      </c>
      <c r="X798" s="252">
        <v>0</v>
      </c>
      <c r="Y798" s="252">
        <v>299.42</v>
      </c>
      <c r="Z798" s="252">
        <v>0</v>
      </c>
      <c r="AA798" s="252">
        <v>0</v>
      </c>
      <c r="AB798" s="252">
        <v>87.73</v>
      </c>
      <c r="AC798" s="252">
        <v>0</v>
      </c>
      <c r="AD798" s="252">
        <v>0</v>
      </c>
      <c r="AE798" s="252" t="s">
        <v>720</v>
      </c>
      <c r="AF798" s="252" t="s">
        <v>721</v>
      </c>
      <c r="AG798" s="252">
        <f t="shared" si="60"/>
        <v>0</v>
      </c>
      <c r="AH798" s="252">
        <f t="shared" si="61"/>
        <v>0</v>
      </c>
      <c r="AI798" s="252">
        <f t="shared" si="62"/>
        <v>0</v>
      </c>
      <c r="AJ798" s="252">
        <f t="shared" si="63"/>
        <v>0</v>
      </c>
    </row>
    <row r="799" spans="1:36" x14ac:dyDescent="0.2">
      <c r="A799" s="253" t="str">
        <f t="shared" si="64"/>
        <v>SYCF100P9501H30</v>
      </c>
      <c r="B799" s="252" t="s">
        <v>19</v>
      </c>
      <c r="C799" s="252" t="s">
        <v>28</v>
      </c>
      <c r="D799" s="252" t="s">
        <v>2530</v>
      </c>
      <c r="E799" s="252" t="s">
        <v>2531</v>
      </c>
      <c r="F799" s="252" t="s">
        <v>2537</v>
      </c>
      <c r="G799" s="252">
        <v>30</v>
      </c>
      <c r="H799" s="252" t="s">
        <v>928</v>
      </c>
      <c r="I799" s="252" t="s">
        <v>928</v>
      </c>
      <c r="J799" s="252" t="s">
        <v>928</v>
      </c>
      <c r="K799" s="252" t="s">
        <v>3236</v>
      </c>
      <c r="L799" s="252">
        <v>387.15</v>
      </c>
      <c r="M799" s="252">
        <v>0</v>
      </c>
      <c r="N799" s="252">
        <v>0</v>
      </c>
      <c r="O799" s="252">
        <v>0</v>
      </c>
      <c r="P799" s="252">
        <v>0</v>
      </c>
      <c r="Q799" s="252">
        <v>0</v>
      </c>
      <c r="R799" s="252">
        <v>0</v>
      </c>
      <c r="S799" s="252">
        <v>0</v>
      </c>
      <c r="T799" s="252">
        <v>0</v>
      </c>
      <c r="U799" s="252">
        <v>0</v>
      </c>
      <c r="V799" s="252">
        <v>0</v>
      </c>
      <c r="W799" s="252">
        <v>0</v>
      </c>
      <c r="X799" s="252">
        <v>0</v>
      </c>
      <c r="Y799" s="252">
        <v>299.42</v>
      </c>
      <c r="Z799" s="252">
        <v>0</v>
      </c>
      <c r="AA799" s="252">
        <v>0</v>
      </c>
      <c r="AB799" s="252">
        <v>87.73</v>
      </c>
      <c r="AC799" s="252">
        <v>0</v>
      </c>
      <c r="AD799" s="252">
        <v>0</v>
      </c>
      <c r="AE799" s="252" t="s">
        <v>720</v>
      </c>
      <c r="AF799" s="252" t="s">
        <v>721</v>
      </c>
      <c r="AG799" s="252">
        <f t="shared" si="60"/>
        <v>0</v>
      </c>
      <c r="AH799" s="252">
        <f t="shared" si="61"/>
        <v>0</v>
      </c>
      <c r="AI799" s="252">
        <f t="shared" si="62"/>
        <v>0</v>
      </c>
      <c r="AJ799" s="252">
        <f t="shared" si="63"/>
        <v>0</v>
      </c>
    </row>
    <row r="800" spans="1:36" x14ac:dyDescent="0.2">
      <c r="A800" s="253" t="str">
        <f t="shared" si="64"/>
        <v>2SYCF100P9501H50</v>
      </c>
      <c r="B800" s="252" t="s">
        <v>19</v>
      </c>
      <c r="C800" s="252" t="s">
        <v>28</v>
      </c>
      <c r="D800" s="252" t="s">
        <v>2530</v>
      </c>
      <c r="E800" s="252" t="s">
        <v>2531</v>
      </c>
      <c r="F800" s="252" t="s">
        <v>2537</v>
      </c>
      <c r="G800" s="252">
        <v>50</v>
      </c>
      <c r="H800" s="252" t="s">
        <v>928</v>
      </c>
      <c r="I800" s="252" t="s">
        <v>2477</v>
      </c>
      <c r="J800" s="252" t="s">
        <v>928</v>
      </c>
      <c r="K800" s="252" t="s">
        <v>3236</v>
      </c>
      <c r="L800" s="252">
        <v>407.24</v>
      </c>
      <c r="M800" s="252">
        <v>0</v>
      </c>
      <c r="N800" s="252">
        <v>0</v>
      </c>
      <c r="O800" s="252">
        <v>0</v>
      </c>
      <c r="P800" s="252">
        <v>0</v>
      </c>
      <c r="Q800" s="252">
        <v>0</v>
      </c>
      <c r="R800" s="252">
        <v>0</v>
      </c>
      <c r="S800" s="252">
        <v>0</v>
      </c>
      <c r="T800" s="252">
        <v>0</v>
      </c>
      <c r="U800" s="252">
        <v>0</v>
      </c>
      <c r="V800" s="252">
        <v>0</v>
      </c>
      <c r="W800" s="252">
        <v>0</v>
      </c>
      <c r="X800" s="252">
        <v>0</v>
      </c>
      <c r="Y800" s="252">
        <v>320.77999999999997</v>
      </c>
      <c r="Z800" s="252">
        <v>0</v>
      </c>
      <c r="AA800" s="252">
        <v>0</v>
      </c>
      <c r="AB800" s="252">
        <v>86.47</v>
      </c>
      <c r="AC800" s="252">
        <v>0</v>
      </c>
      <c r="AD800" s="252">
        <v>0</v>
      </c>
      <c r="AE800" s="252" t="s">
        <v>720</v>
      </c>
      <c r="AF800" s="252" t="s">
        <v>721</v>
      </c>
      <c r="AG800" s="252">
        <f t="shared" si="60"/>
        <v>0</v>
      </c>
      <c r="AH800" s="252">
        <f t="shared" si="61"/>
        <v>0</v>
      </c>
      <c r="AI800" s="252">
        <f t="shared" si="62"/>
        <v>0</v>
      </c>
      <c r="AJ800" s="252">
        <f t="shared" si="63"/>
        <v>0</v>
      </c>
    </row>
    <row r="801" spans="1:36" x14ac:dyDescent="0.2">
      <c r="A801" s="253" t="str">
        <f t="shared" si="64"/>
        <v>SYCF100P9501H50</v>
      </c>
      <c r="B801" s="252" t="s">
        <v>19</v>
      </c>
      <c r="C801" s="252" t="s">
        <v>28</v>
      </c>
      <c r="D801" s="252" t="s">
        <v>2530</v>
      </c>
      <c r="E801" s="252" t="s">
        <v>2531</v>
      </c>
      <c r="F801" s="252" t="s">
        <v>2537</v>
      </c>
      <c r="G801" s="252">
        <v>50</v>
      </c>
      <c r="H801" s="252" t="s">
        <v>928</v>
      </c>
      <c r="I801" s="252" t="s">
        <v>928</v>
      </c>
      <c r="J801" s="252" t="s">
        <v>928</v>
      </c>
      <c r="K801" s="252" t="s">
        <v>3236</v>
      </c>
      <c r="L801" s="252">
        <v>407.24</v>
      </c>
      <c r="M801" s="252">
        <v>0</v>
      </c>
      <c r="N801" s="252">
        <v>0</v>
      </c>
      <c r="O801" s="252">
        <v>0</v>
      </c>
      <c r="P801" s="252">
        <v>0</v>
      </c>
      <c r="Q801" s="252">
        <v>0</v>
      </c>
      <c r="R801" s="252">
        <v>0</v>
      </c>
      <c r="S801" s="252">
        <v>0</v>
      </c>
      <c r="T801" s="252">
        <v>0</v>
      </c>
      <c r="U801" s="252">
        <v>0</v>
      </c>
      <c r="V801" s="252">
        <v>0</v>
      </c>
      <c r="W801" s="252">
        <v>0</v>
      </c>
      <c r="X801" s="252">
        <v>0</v>
      </c>
      <c r="Y801" s="252">
        <v>320.77999999999997</v>
      </c>
      <c r="Z801" s="252">
        <v>0</v>
      </c>
      <c r="AA801" s="252">
        <v>0</v>
      </c>
      <c r="AB801" s="252">
        <v>86.47</v>
      </c>
      <c r="AC801" s="252">
        <v>0</v>
      </c>
      <c r="AD801" s="252">
        <v>0</v>
      </c>
      <c r="AE801" s="252" t="s">
        <v>720</v>
      </c>
      <c r="AF801" s="252" t="s">
        <v>721</v>
      </c>
      <c r="AG801" s="252">
        <f t="shared" si="60"/>
        <v>0</v>
      </c>
      <c r="AH801" s="252">
        <f t="shared" si="61"/>
        <v>0</v>
      </c>
      <c r="AI801" s="252">
        <f t="shared" si="62"/>
        <v>0</v>
      </c>
      <c r="AJ801" s="252">
        <f t="shared" si="63"/>
        <v>0</v>
      </c>
    </row>
    <row r="802" spans="1:36" x14ac:dyDescent="0.2">
      <c r="A802" s="253" t="str">
        <f t="shared" si="64"/>
        <v>2SYCF100P9501K230</v>
      </c>
      <c r="B802" s="252" t="s">
        <v>19</v>
      </c>
      <c r="C802" s="252" t="s">
        <v>28</v>
      </c>
      <c r="D802" s="252" t="s">
        <v>2530</v>
      </c>
      <c r="E802" s="252" t="s">
        <v>2531</v>
      </c>
      <c r="F802" s="252" t="s">
        <v>2539</v>
      </c>
      <c r="G802" s="252">
        <v>30</v>
      </c>
      <c r="H802" s="252" t="s">
        <v>928</v>
      </c>
      <c r="I802" s="252" t="s">
        <v>2477</v>
      </c>
      <c r="J802" s="252" t="s">
        <v>928</v>
      </c>
      <c r="K802" s="252" t="s">
        <v>3236</v>
      </c>
      <c r="L802" s="252">
        <v>415.43</v>
      </c>
      <c r="M802" s="252">
        <v>0</v>
      </c>
      <c r="N802" s="252">
        <v>0</v>
      </c>
      <c r="O802" s="252">
        <v>0</v>
      </c>
      <c r="P802" s="252">
        <v>0</v>
      </c>
      <c r="Q802" s="252">
        <v>0</v>
      </c>
      <c r="R802" s="252">
        <v>0</v>
      </c>
      <c r="S802" s="252">
        <v>0</v>
      </c>
      <c r="T802" s="252">
        <v>0</v>
      </c>
      <c r="U802" s="252">
        <v>0</v>
      </c>
      <c r="V802" s="252">
        <v>0</v>
      </c>
      <c r="W802" s="252">
        <v>0</v>
      </c>
      <c r="X802" s="252">
        <v>0</v>
      </c>
      <c r="Y802" s="252">
        <v>313.02999999999997</v>
      </c>
      <c r="Z802" s="252">
        <v>0</v>
      </c>
      <c r="AA802" s="252">
        <v>0</v>
      </c>
      <c r="AB802" s="252">
        <v>102.4</v>
      </c>
      <c r="AC802" s="252">
        <v>0</v>
      </c>
      <c r="AD802" s="252">
        <v>0</v>
      </c>
      <c r="AE802" s="252" t="s">
        <v>720</v>
      </c>
      <c r="AF802" s="252" t="s">
        <v>721</v>
      </c>
      <c r="AG802" s="252">
        <f t="shared" si="60"/>
        <v>0</v>
      </c>
      <c r="AH802" s="252">
        <f t="shared" si="61"/>
        <v>0</v>
      </c>
      <c r="AI802" s="252">
        <f t="shared" si="62"/>
        <v>0</v>
      </c>
      <c r="AJ802" s="252">
        <f t="shared" si="63"/>
        <v>0</v>
      </c>
    </row>
    <row r="803" spans="1:36" x14ac:dyDescent="0.2">
      <c r="A803" s="253" t="str">
        <f t="shared" si="64"/>
        <v>SYCF100P9501K230</v>
      </c>
      <c r="B803" s="252" t="s">
        <v>19</v>
      </c>
      <c r="C803" s="252" t="s">
        <v>28</v>
      </c>
      <c r="D803" s="252" t="s">
        <v>2530</v>
      </c>
      <c r="E803" s="252" t="s">
        <v>2531</v>
      </c>
      <c r="F803" s="252" t="s">
        <v>2539</v>
      </c>
      <c r="G803" s="252">
        <v>30</v>
      </c>
      <c r="H803" s="252" t="s">
        <v>928</v>
      </c>
      <c r="I803" s="252" t="s">
        <v>928</v>
      </c>
      <c r="J803" s="252" t="s">
        <v>928</v>
      </c>
      <c r="K803" s="252" t="s">
        <v>3236</v>
      </c>
      <c r="L803" s="252">
        <v>415.43</v>
      </c>
      <c r="M803" s="252">
        <v>0</v>
      </c>
      <c r="N803" s="252">
        <v>0</v>
      </c>
      <c r="O803" s="252">
        <v>0</v>
      </c>
      <c r="P803" s="252">
        <v>0</v>
      </c>
      <c r="Q803" s="252">
        <v>0</v>
      </c>
      <c r="R803" s="252">
        <v>0</v>
      </c>
      <c r="S803" s="252">
        <v>0</v>
      </c>
      <c r="T803" s="252">
        <v>0</v>
      </c>
      <c r="U803" s="252">
        <v>0</v>
      </c>
      <c r="V803" s="252">
        <v>0</v>
      </c>
      <c r="W803" s="252">
        <v>0</v>
      </c>
      <c r="X803" s="252">
        <v>0</v>
      </c>
      <c r="Y803" s="252">
        <v>313.02999999999997</v>
      </c>
      <c r="Z803" s="252">
        <v>0</v>
      </c>
      <c r="AA803" s="252">
        <v>0</v>
      </c>
      <c r="AB803" s="252">
        <v>102.4</v>
      </c>
      <c r="AC803" s="252">
        <v>0</v>
      </c>
      <c r="AD803" s="252">
        <v>0</v>
      </c>
      <c r="AE803" s="252" t="s">
        <v>720</v>
      </c>
      <c r="AF803" s="252" t="s">
        <v>721</v>
      </c>
      <c r="AG803" s="252">
        <f t="shared" si="60"/>
        <v>0</v>
      </c>
      <c r="AH803" s="252">
        <f t="shared" si="61"/>
        <v>0</v>
      </c>
      <c r="AI803" s="252">
        <f t="shared" si="62"/>
        <v>0</v>
      </c>
      <c r="AJ803" s="252">
        <f t="shared" si="63"/>
        <v>0</v>
      </c>
    </row>
    <row r="804" spans="1:36" x14ac:dyDescent="0.2">
      <c r="A804" s="253" t="str">
        <f t="shared" si="64"/>
        <v>2SYCF100PCX830</v>
      </c>
      <c r="B804" s="252" t="s">
        <v>19</v>
      </c>
      <c r="C804" s="252" t="s">
        <v>28</v>
      </c>
      <c r="D804" s="252" t="s">
        <v>2530</v>
      </c>
      <c r="E804" s="252" t="s">
        <v>2531</v>
      </c>
      <c r="F804" s="252" t="s">
        <v>2542</v>
      </c>
      <c r="G804" s="252">
        <v>30</v>
      </c>
      <c r="H804" s="252" t="s">
        <v>928</v>
      </c>
      <c r="I804" s="252" t="s">
        <v>2477</v>
      </c>
      <c r="J804" s="252" t="s">
        <v>928</v>
      </c>
      <c r="K804" s="252" t="s">
        <v>3236</v>
      </c>
      <c r="L804" s="252">
        <v>476.16</v>
      </c>
      <c r="M804" s="252">
        <v>0</v>
      </c>
      <c r="N804" s="252">
        <v>0</v>
      </c>
      <c r="O804" s="252">
        <v>0</v>
      </c>
      <c r="P804" s="252">
        <v>0</v>
      </c>
      <c r="Q804" s="252">
        <v>0</v>
      </c>
      <c r="R804" s="252">
        <v>0</v>
      </c>
      <c r="S804" s="252">
        <v>0</v>
      </c>
      <c r="T804" s="252">
        <v>0</v>
      </c>
      <c r="U804" s="252">
        <v>0</v>
      </c>
      <c r="V804" s="252">
        <v>0</v>
      </c>
      <c r="W804" s="252">
        <v>0</v>
      </c>
      <c r="X804" s="252">
        <v>0</v>
      </c>
      <c r="Y804" s="252">
        <v>332.77</v>
      </c>
      <c r="Z804" s="252">
        <v>0</v>
      </c>
      <c r="AA804" s="252">
        <v>0</v>
      </c>
      <c r="AB804" s="252">
        <v>143.4</v>
      </c>
      <c r="AC804" s="252">
        <v>0</v>
      </c>
      <c r="AD804" s="252">
        <v>0</v>
      </c>
      <c r="AE804" s="252" t="s">
        <v>720</v>
      </c>
      <c r="AF804" s="252" t="s">
        <v>721</v>
      </c>
      <c r="AG804" s="252">
        <f t="shared" si="60"/>
        <v>0</v>
      </c>
      <c r="AH804" s="252">
        <f t="shared" si="61"/>
        <v>0</v>
      </c>
      <c r="AI804" s="252">
        <f t="shared" si="62"/>
        <v>0</v>
      </c>
      <c r="AJ804" s="252">
        <f t="shared" si="63"/>
        <v>0</v>
      </c>
    </row>
    <row r="805" spans="1:36" x14ac:dyDescent="0.2">
      <c r="A805" s="253" t="str">
        <f t="shared" si="64"/>
        <v>SYCF100PCX830</v>
      </c>
      <c r="B805" s="252" t="s">
        <v>19</v>
      </c>
      <c r="C805" s="252" t="s">
        <v>28</v>
      </c>
      <c r="D805" s="252" t="s">
        <v>2530</v>
      </c>
      <c r="E805" s="252" t="s">
        <v>2531</v>
      </c>
      <c r="F805" s="252" t="s">
        <v>2542</v>
      </c>
      <c r="G805" s="252">
        <v>30</v>
      </c>
      <c r="H805" s="252" t="s">
        <v>928</v>
      </c>
      <c r="I805" s="252" t="s">
        <v>928</v>
      </c>
      <c r="J805" s="252" t="s">
        <v>928</v>
      </c>
      <c r="K805" s="252" t="s">
        <v>3236</v>
      </c>
      <c r="L805" s="252">
        <v>476.16</v>
      </c>
      <c r="M805" s="252">
        <v>0</v>
      </c>
      <c r="N805" s="252">
        <v>0</v>
      </c>
      <c r="O805" s="252">
        <v>0</v>
      </c>
      <c r="P805" s="252">
        <v>0</v>
      </c>
      <c r="Q805" s="252">
        <v>0</v>
      </c>
      <c r="R805" s="252">
        <v>0</v>
      </c>
      <c r="S805" s="252">
        <v>0</v>
      </c>
      <c r="T805" s="252">
        <v>0</v>
      </c>
      <c r="U805" s="252">
        <v>0</v>
      </c>
      <c r="V805" s="252">
        <v>0</v>
      </c>
      <c r="W805" s="252">
        <v>0</v>
      </c>
      <c r="X805" s="252">
        <v>0</v>
      </c>
      <c r="Y805" s="252">
        <v>332.77</v>
      </c>
      <c r="Z805" s="252">
        <v>0</v>
      </c>
      <c r="AA805" s="252">
        <v>0</v>
      </c>
      <c r="AB805" s="252">
        <v>143.4</v>
      </c>
      <c r="AC805" s="252">
        <v>0</v>
      </c>
      <c r="AD805" s="252">
        <v>0</v>
      </c>
      <c r="AE805" s="252" t="s">
        <v>720</v>
      </c>
      <c r="AF805" s="252" t="s">
        <v>721</v>
      </c>
      <c r="AG805" s="252">
        <f t="shared" si="60"/>
        <v>0</v>
      </c>
      <c r="AH805" s="252">
        <f t="shared" si="61"/>
        <v>0</v>
      </c>
      <c r="AI805" s="252">
        <f t="shared" si="62"/>
        <v>0</v>
      </c>
      <c r="AJ805" s="252">
        <f t="shared" si="63"/>
        <v>0</v>
      </c>
    </row>
    <row r="806" spans="1:36" x14ac:dyDescent="0.2">
      <c r="A806" s="253" t="str">
        <f t="shared" si="64"/>
        <v>2SYCF10P7601A30</v>
      </c>
      <c r="B806" s="252" t="s">
        <v>19</v>
      </c>
      <c r="C806" s="252" t="s">
        <v>28</v>
      </c>
      <c r="D806" s="252" t="s">
        <v>2543</v>
      </c>
      <c r="E806" s="252" t="s">
        <v>2531</v>
      </c>
      <c r="F806" s="252" t="s">
        <v>2544</v>
      </c>
      <c r="G806" s="252">
        <v>30</v>
      </c>
      <c r="H806" s="252" t="s">
        <v>928</v>
      </c>
      <c r="I806" s="252" t="s">
        <v>2477</v>
      </c>
      <c r="J806" s="252" t="s">
        <v>928</v>
      </c>
      <c r="K806" s="252" t="s">
        <v>3236</v>
      </c>
      <c r="L806" s="252">
        <v>451.85</v>
      </c>
      <c r="M806" s="252">
        <v>0</v>
      </c>
      <c r="N806" s="252">
        <v>0</v>
      </c>
      <c r="O806" s="252">
        <v>0</v>
      </c>
      <c r="P806" s="252">
        <v>0</v>
      </c>
      <c r="Q806" s="252">
        <v>0</v>
      </c>
      <c r="R806" s="252">
        <v>0</v>
      </c>
      <c r="S806" s="252">
        <v>0</v>
      </c>
      <c r="T806" s="252">
        <v>0</v>
      </c>
      <c r="U806" s="252">
        <v>0</v>
      </c>
      <c r="V806" s="252">
        <v>0</v>
      </c>
      <c r="W806" s="252">
        <v>0</v>
      </c>
      <c r="X806" s="252">
        <v>0</v>
      </c>
      <c r="Y806" s="252">
        <v>323.58999999999997</v>
      </c>
      <c r="Z806" s="252">
        <v>0</v>
      </c>
      <c r="AA806" s="252">
        <v>0</v>
      </c>
      <c r="AB806" s="252">
        <v>128.27000000000001</v>
      </c>
      <c r="AC806" s="252">
        <v>0</v>
      </c>
      <c r="AD806" s="252">
        <v>0</v>
      </c>
      <c r="AE806" s="252" t="s">
        <v>720</v>
      </c>
      <c r="AF806" s="252" t="s">
        <v>721</v>
      </c>
      <c r="AG806" s="252">
        <f t="shared" si="60"/>
        <v>0</v>
      </c>
      <c r="AH806" s="252">
        <f t="shared" si="61"/>
        <v>0</v>
      </c>
      <c r="AI806" s="252">
        <f t="shared" si="62"/>
        <v>0</v>
      </c>
      <c r="AJ806" s="252">
        <f t="shared" si="63"/>
        <v>0</v>
      </c>
    </row>
    <row r="807" spans="1:36" x14ac:dyDescent="0.2">
      <c r="A807" s="253" t="str">
        <f t="shared" si="64"/>
        <v>SYCF10P7601A30</v>
      </c>
      <c r="B807" s="252" t="s">
        <v>19</v>
      </c>
      <c r="C807" s="252" t="s">
        <v>28</v>
      </c>
      <c r="D807" s="252" t="s">
        <v>2543</v>
      </c>
      <c r="E807" s="252" t="s">
        <v>2531</v>
      </c>
      <c r="F807" s="252" t="s">
        <v>2544</v>
      </c>
      <c r="G807" s="252">
        <v>30</v>
      </c>
      <c r="H807" s="252" t="s">
        <v>928</v>
      </c>
      <c r="I807" s="252" t="s">
        <v>928</v>
      </c>
      <c r="J807" s="252" t="s">
        <v>928</v>
      </c>
      <c r="K807" s="252" t="s">
        <v>3236</v>
      </c>
      <c r="L807" s="252">
        <v>451.85</v>
      </c>
      <c r="M807" s="252">
        <v>0</v>
      </c>
      <c r="N807" s="252">
        <v>0</v>
      </c>
      <c r="O807" s="252">
        <v>0</v>
      </c>
      <c r="P807" s="252">
        <v>0</v>
      </c>
      <c r="Q807" s="252">
        <v>0</v>
      </c>
      <c r="R807" s="252">
        <v>0</v>
      </c>
      <c r="S807" s="252">
        <v>0</v>
      </c>
      <c r="T807" s="252">
        <v>0</v>
      </c>
      <c r="U807" s="252">
        <v>0</v>
      </c>
      <c r="V807" s="252">
        <v>0</v>
      </c>
      <c r="W807" s="252">
        <v>0</v>
      </c>
      <c r="X807" s="252">
        <v>0</v>
      </c>
      <c r="Y807" s="252">
        <v>323.58999999999997</v>
      </c>
      <c r="Z807" s="252">
        <v>0</v>
      </c>
      <c r="AA807" s="252">
        <v>0</v>
      </c>
      <c r="AB807" s="252">
        <v>128.27000000000001</v>
      </c>
      <c r="AC807" s="252">
        <v>0</v>
      </c>
      <c r="AD807" s="252">
        <v>0</v>
      </c>
      <c r="AE807" s="252" t="s">
        <v>720</v>
      </c>
      <c r="AF807" s="252" t="s">
        <v>721</v>
      </c>
      <c r="AG807" s="252">
        <f t="shared" si="60"/>
        <v>0</v>
      </c>
      <c r="AH807" s="252">
        <f t="shared" si="61"/>
        <v>0</v>
      </c>
      <c r="AI807" s="252">
        <f t="shared" si="62"/>
        <v>0</v>
      </c>
      <c r="AJ807" s="252">
        <f t="shared" si="63"/>
        <v>0</v>
      </c>
    </row>
    <row r="808" spans="1:36" x14ac:dyDescent="0.2">
      <c r="A808" s="253" t="str">
        <f t="shared" si="64"/>
        <v>2SYCF10P7601EA30</v>
      </c>
      <c r="B808" s="252" t="s">
        <v>19</v>
      </c>
      <c r="C808" s="252" t="s">
        <v>28</v>
      </c>
      <c r="D808" s="252" t="s">
        <v>2543</v>
      </c>
      <c r="E808" s="252" t="s">
        <v>2531</v>
      </c>
      <c r="F808" s="252" t="s">
        <v>2547</v>
      </c>
      <c r="G808" s="252">
        <v>30</v>
      </c>
      <c r="H808" s="252" t="s">
        <v>928</v>
      </c>
      <c r="I808" s="252" t="s">
        <v>2477</v>
      </c>
      <c r="J808" s="252" t="s">
        <v>928</v>
      </c>
      <c r="K808" s="252" t="s">
        <v>3236</v>
      </c>
      <c r="L808" s="252">
        <v>439.78</v>
      </c>
      <c r="M808" s="252">
        <v>0</v>
      </c>
      <c r="N808" s="252">
        <v>0</v>
      </c>
      <c r="O808" s="252">
        <v>0</v>
      </c>
      <c r="P808" s="252">
        <v>0</v>
      </c>
      <c r="Q808" s="252">
        <v>0</v>
      </c>
      <c r="R808" s="252">
        <v>0</v>
      </c>
      <c r="S808" s="252">
        <v>0</v>
      </c>
      <c r="T808" s="252">
        <v>0</v>
      </c>
      <c r="U808" s="252">
        <v>0</v>
      </c>
      <c r="V808" s="252">
        <v>0</v>
      </c>
      <c r="W808" s="252">
        <v>0</v>
      </c>
      <c r="X808" s="252">
        <v>0</v>
      </c>
      <c r="Y808" s="252">
        <v>309.41000000000003</v>
      </c>
      <c r="Z808" s="252">
        <v>0</v>
      </c>
      <c r="AA808" s="252">
        <v>0</v>
      </c>
      <c r="AB808" s="252">
        <v>130.37</v>
      </c>
      <c r="AC808" s="252">
        <v>0</v>
      </c>
      <c r="AD808" s="252">
        <v>0</v>
      </c>
      <c r="AE808" s="252" t="s">
        <v>720</v>
      </c>
      <c r="AF808" s="252" t="s">
        <v>721</v>
      </c>
      <c r="AG808" s="252">
        <f t="shared" si="60"/>
        <v>0</v>
      </c>
      <c r="AH808" s="252">
        <f t="shared" si="61"/>
        <v>0</v>
      </c>
      <c r="AI808" s="252">
        <f t="shared" si="62"/>
        <v>0</v>
      </c>
      <c r="AJ808" s="252">
        <f t="shared" si="63"/>
        <v>0</v>
      </c>
    </row>
    <row r="809" spans="1:36" x14ac:dyDescent="0.2">
      <c r="A809" s="253" t="str">
        <f t="shared" si="64"/>
        <v>2SYCF10P7601EB30</v>
      </c>
      <c r="B809" s="252" t="s">
        <v>19</v>
      </c>
      <c r="C809" s="252" t="s">
        <v>28</v>
      </c>
      <c r="D809" s="252" t="s">
        <v>2543</v>
      </c>
      <c r="E809" s="252" t="s">
        <v>2531</v>
      </c>
      <c r="F809" s="252" t="s">
        <v>2548</v>
      </c>
      <c r="G809" s="252">
        <v>30</v>
      </c>
      <c r="H809" s="252" t="s">
        <v>928</v>
      </c>
      <c r="I809" s="252" t="s">
        <v>2477</v>
      </c>
      <c r="J809" s="252" t="s">
        <v>928</v>
      </c>
      <c r="K809" s="252" t="s">
        <v>3236</v>
      </c>
      <c r="L809" s="252">
        <v>458.7</v>
      </c>
      <c r="M809" s="252">
        <v>0</v>
      </c>
      <c r="N809" s="252">
        <v>0</v>
      </c>
      <c r="O809" s="252">
        <v>0</v>
      </c>
      <c r="P809" s="252">
        <v>0</v>
      </c>
      <c r="Q809" s="252">
        <v>0</v>
      </c>
      <c r="R809" s="252">
        <v>0</v>
      </c>
      <c r="S809" s="252">
        <v>0</v>
      </c>
      <c r="T809" s="252">
        <v>0</v>
      </c>
      <c r="U809" s="252">
        <v>0</v>
      </c>
      <c r="V809" s="252">
        <v>0</v>
      </c>
      <c r="W809" s="252">
        <v>0</v>
      </c>
      <c r="X809" s="252">
        <v>0</v>
      </c>
      <c r="Y809" s="252">
        <v>314.61</v>
      </c>
      <c r="Z809" s="252">
        <v>0</v>
      </c>
      <c r="AA809" s="252">
        <v>0</v>
      </c>
      <c r="AB809" s="252">
        <v>144.08000000000001</v>
      </c>
      <c r="AC809" s="252">
        <v>0</v>
      </c>
      <c r="AD809" s="252">
        <v>0</v>
      </c>
      <c r="AE809" s="252" t="s">
        <v>720</v>
      </c>
      <c r="AF809" s="252" t="s">
        <v>721</v>
      </c>
      <c r="AG809" s="252">
        <f t="shared" si="60"/>
        <v>0</v>
      </c>
      <c r="AH809" s="252">
        <f t="shared" si="61"/>
        <v>0</v>
      </c>
      <c r="AI809" s="252">
        <f t="shared" si="62"/>
        <v>0</v>
      </c>
      <c r="AJ809" s="252">
        <f t="shared" si="63"/>
        <v>0</v>
      </c>
    </row>
    <row r="810" spans="1:36" x14ac:dyDescent="0.2">
      <c r="A810" s="253" t="str">
        <f t="shared" si="64"/>
        <v>SYCF10P7601EB30</v>
      </c>
      <c r="B810" s="252" t="s">
        <v>19</v>
      </c>
      <c r="C810" s="252" t="s">
        <v>28</v>
      </c>
      <c r="D810" s="252" t="s">
        <v>2543</v>
      </c>
      <c r="E810" s="252" t="s">
        <v>2531</v>
      </c>
      <c r="F810" s="252" t="s">
        <v>2548</v>
      </c>
      <c r="G810" s="252">
        <v>30</v>
      </c>
      <c r="H810" s="252" t="s">
        <v>928</v>
      </c>
      <c r="I810" s="252" t="s">
        <v>928</v>
      </c>
      <c r="J810" s="252" t="s">
        <v>928</v>
      </c>
      <c r="K810" s="252" t="s">
        <v>3236</v>
      </c>
      <c r="L810" s="252">
        <v>458.7</v>
      </c>
      <c r="M810" s="252">
        <v>0</v>
      </c>
      <c r="N810" s="252">
        <v>0</v>
      </c>
      <c r="O810" s="252">
        <v>0</v>
      </c>
      <c r="P810" s="252">
        <v>0</v>
      </c>
      <c r="Q810" s="252">
        <v>0</v>
      </c>
      <c r="R810" s="252">
        <v>0</v>
      </c>
      <c r="S810" s="252">
        <v>0</v>
      </c>
      <c r="T810" s="252">
        <v>0</v>
      </c>
      <c r="U810" s="252">
        <v>0</v>
      </c>
      <c r="V810" s="252">
        <v>0</v>
      </c>
      <c r="W810" s="252">
        <v>0</v>
      </c>
      <c r="X810" s="252">
        <v>0</v>
      </c>
      <c r="Y810" s="252">
        <v>314.61</v>
      </c>
      <c r="Z810" s="252">
        <v>0</v>
      </c>
      <c r="AA810" s="252">
        <v>0</v>
      </c>
      <c r="AB810" s="252">
        <v>144.08000000000001</v>
      </c>
      <c r="AC810" s="252">
        <v>0</v>
      </c>
      <c r="AD810" s="252">
        <v>0</v>
      </c>
      <c r="AE810" s="252" t="s">
        <v>720</v>
      </c>
      <c r="AF810" s="252" t="s">
        <v>721</v>
      </c>
      <c r="AG810" s="252">
        <f t="shared" si="60"/>
        <v>0</v>
      </c>
      <c r="AH810" s="252">
        <f t="shared" si="61"/>
        <v>0</v>
      </c>
      <c r="AI810" s="252">
        <f t="shared" si="62"/>
        <v>0</v>
      </c>
      <c r="AJ810" s="252">
        <f t="shared" si="63"/>
        <v>0</v>
      </c>
    </row>
    <row r="811" spans="1:36" x14ac:dyDescent="0.2">
      <c r="A811" s="253" t="str">
        <f t="shared" si="64"/>
        <v>2SYCF10P7601ED30</v>
      </c>
      <c r="B811" s="252" t="s">
        <v>19</v>
      </c>
      <c r="C811" s="252" t="s">
        <v>28</v>
      </c>
      <c r="D811" s="252" t="s">
        <v>2543</v>
      </c>
      <c r="E811" s="252" t="s">
        <v>2531</v>
      </c>
      <c r="F811" s="252" t="s">
        <v>2549</v>
      </c>
      <c r="G811" s="252">
        <v>30</v>
      </c>
      <c r="H811" s="252" t="s">
        <v>928</v>
      </c>
      <c r="I811" s="252" t="s">
        <v>2477</v>
      </c>
      <c r="J811" s="252" t="s">
        <v>928</v>
      </c>
      <c r="K811" s="252" t="s">
        <v>3236</v>
      </c>
      <c r="L811" s="252">
        <v>513.35</v>
      </c>
      <c r="M811" s="252">
        <v>0</v>
      </c>
      <c r="N811" s="252">
        <v>0</v>
      </c>
      <c r="O811" s="252">
        <v>0</v>
      </c>
      <c r="P811" s="252">
        <v>0</v>
      </c>
      <c r="Q811" s="252">
        <v>0</v>
      </c>
      <c r="R811" s="252">
        <v>0</v>
      </c>
      <c r="S811" s="252">
        <v>0</v>
      </c>
      <c r="T811" s="252">
        <v>0</v>
      </c>
      <c r="U811" s="252">
        <v>0</v>
      </c>
      <c r="V811" s="252">
        <v>0</v>
      </c>
      <c r="W811" s="252">
        <v>0</v>
      </c>
      <c r="X811" s="252">
        <v>0</v>
      </c>
      <c r="Y811" s="252">
        <v>346.85</v>
      </c>
      <c r="Z811" s="252">
        <v>0</v>
      </c>
      <c r="AA811" s="252">
        <v>0</v>
      </c>
      <c r="AB811" s="252">
        <v>166.51</v>
      </c>
      <c r="AC811" s="252">
        <v>0</v>
      </c>
      <c r="AD811" s="252">
        <v>0</v>
      </c>
      <c r="AE811" s="252" t="s">
        <v>720</v>
      </c>
      <c r="AF811" s="252" t="s">
        <v>721</v>
      </c>
      <c r="AG811" s="252">
        <f t="shared" si="60"/>
        <v>0</v>
      </c>
      <c r="AH811" s="252">
        <f t="shared" si="61"/>
        <v>0</v>
      </c>
      <c r="AI811" s="252">
        <f t="shared" si="62"/>
        <v>0</v>
      </c>
      <c r="AJ811" s="252">
        <f t="shared" si="63"/>
        <v>0</v>
      </c>
    </row>
    <row r="812" spans="1:36" x14ac:dyDescent="0.2">
      <c r="A812" s="253" t="str">
        <f t="shared" si="64"/>
        <v>SYCF10P7601ED30</v>
      </c>
      <c r="B812" s="252" t="s">
        <v>19</v>
      </c>
      <c r="C812" s="252" t="s">
        <v>28</v>
      </c>
      <c r="D812" s="252" t="s">
        <v>2543</v>
      </c>
      <c r="E812" s="252" t="s">
        <v>2531</v>
      </c>
      <c r="F812" s="252" t="s">
        <v>2549</v>
      </c>
      <c r="G812" s="252">
        <v>30</v>
      </c>
      <c r="H812" s="252" t="s">
        <v>928</v>
      </c>
      <c r="I812" s="252" t="s">
        <v>928</v>
      </c>
      <c r="J812" s="252" t="s">
        <v>928</v>
      </c>
      <c r="K812" s="252" t="s">
        <v>3236</v>
      </c>
      <c r="L812" s="252">
        <v>513.35</v>
      </c>
      <c r="M812" s="252">
        <v>0</v>
      </c>
      <c r="N812" s="252">
        <v>0</v>
      </c>
      <c r="O812" s="252">
        <v>0</v>
      </c>
      <c r="P812" s="252">
        <v>0</v>
      </c>
      <c r="Q812" s="252">
        <v>0</v>
      </c>
      <c r="R812" s="252">
        <v>0</v>
      </c>
      <c r="S812" s="252">
        <v>0</v>
      </c>
      <c r="T812" s="252">
        <v>0</v>
      </c>
      <c r="U812" s="252">
        <v>0</v>
      </c>
      <c r="V812" s="252">
        <v>0</v>
      </c>
      <c r="W812" s="252">
        <v>0</v>
      </c>
      <c r="X812" s="252">
        <v>0</v>
      </c>
      <c r="Y812" s="252">
        <v>346.85</v>
      </c>
      <c r="Z812" s="252">
        <v>0</v>
      </c>
      <c r="AA812" s="252">
        <v>0</v>
      </c>
      <c r="AB812" s="252">
        <v>166.51</v>
      </c>
      <c r="AC812" s="252">
        <v>0</v>
      </c>
      <c r="AD812" s="252">
        <v>0</v>
      </c>
      <c r="AE812" s="252" t="s">
        <v>720</v>
      </c>
      <c r="AF812" s="252" t="s">
        <v>721</v>
      </c>
      <c r="AG812" s="252">
        <f t="shared" si="60"/>
        <v>0</v>
      </c>
      <c r="AH812" s="252">
        <f t="shared" si="61"/>
        <v>0</v>
      </c>
      <c r="AI812" s="252">
        <f t="shared" si="62"/>
        <v>0</v>
      </c>
      <c r="AJ812" s="252">
        <f t="shared" si="63"/>
        <v>0</v>
      </c>
    </row>
    <row r="813" spans="1:36" x14ac:dyDescent="0.2">
      <c r="A813" s="253" t="str">
        <f t="shared" si="64"/>
        <v>2SYCF10P7603MS30</v>
      </c>
      <c r="B813" s="252" t="s">
        <v>19</v>
      </c>
      <c r="C813" s="252" t="s">
        <v>28</v>
      </c>
      <c r="D813" s="252" t="s">
        <v>2543</v>
      </c>
      <c r="E813" s="252" t="s">
        <v>2531</v>
      </c>
      <c r="F813" s="252" t="s">
        <v>2554</v>
      </c>
      <c r="G813" s="252">
        <v>30</v>
      </c>
      <c r="H813" s="252" t="s">
        <v>928</v>
      </c>
      <c r="I813" s="252" t="s">
        <v>2477</v>
      </c>
      <c r="J813" s="252" t="s">
        <v>928</v>
      </c>
      <c r="K813" s="252" t="s">
        <v>3236</v>
      </c>
      <c r="L813" s="252">
        <v>765.75</v>
      </c>
      <c r="M813" s="252">
        <v>0</v>
      </c>
      <c r="N813" s="252">
        <v>0</v>
      </c>
      <c r="O813" s="252">
        <v>0</v>
      </c>
      <c r="P813" s="252">
        <v>0</v>
      </c>
      <c r="Q813" s="252">
        <v>0</v>
      </c>
      <c r="R813" s="252">
        <v>0</v>
      </c>
      <c r="S813" s="252">
        <v>0</v>
      </c>
      <c r="T813" s="252">
        <v>0</v>
      </c>
      <c r="U813" s="252">
        <v>0</v>
      </c>
      <c r="V813" s="252">
        <v>0</v>
      </c>
      <c r="W813" s="252">
        <v>0</v>
      </c>
      <c r="X813" s="252">
        <v>0</v>
      </c>
      <c r="Y813" s="252">
        <v>578</v>
      </c>
      <c r="Z813" s="252">
        <v>0</v>
      </c>
      <c r="AA813" s="252">
        <v>0</v>
      </c>
      <c r="AB813" s="252">
        <v>187.74</v>
      </c>
      <c r="AC813" s="252">
        <v>0</v>
      </c>
      <c r="AD813" s="252">
        <v>0</v>
      </c>
      <c r="AE813" s="252" t="s">
        <v>720</v>
      </c>
      <c r="AF813" s="252" t="s">
        <v>721</v>
      </c>
      <c r="AG813" s="252">
        <f t="shared" si="60"/>
        <v>0</v>
      </c>
      <c r="AH813" s="252">
        <f t="shared" si="61"/>
        <v>0</v>
      </c>
      <c r="AI813" s="252">
        <f t="shared" si="62"/>
        <v>0</v>
      </c>
      <c r="AJ813" s="252">
        <f t="shared" si="63"/>
        <v>0</v>
      </c>
    </row>
    <row r="814" spans="1:36" x14ac:dyDescent="0.2">
      <c r="A814" s="253" t="str">
        <f t="shared" si="64"/>
        <v>2SYCPP395170</v>
      </c>
      <c r="B814" s="252" t="s">
        <v>19</v>
      </c>
      <c r="C814" s="252" t="s">
        <v>28</v>
      </c>
      <c r="D814" s="252" t="s">
        <v>2558</v>
      </c>
      <c r="E814" s="252" t="s">
        <v>2522</v>
      </c>
      <c r="F814" s="252" t="s">
        <v>2564</v>
      </c>
      <c r="G814" s="252">
        <v>70</v>
      </c>
      <c r="H814" s="252" t="s">
        <v>928</v>
      </c>
      <c r="I814" s="252" t="s">
        <v>2477</v>
      </c>
      <c r="J814" s="252" t="s">
        <v>928</v>
      </c>
      <c r="K814" s="252" t="s">
        <v>3236</v>
      </c>
      <c r="L814" s="252">
        <v>375.67</v>
      </c>
      <c r="M814" s="252">
        <v>0</v>
      </c>
      <c r="N814" s="252">
        <v>0</v>
      </c>
      <c r="O814" s="252">
        <v>0</v>
      </c>
      <c r="P814" s="252">
        <v>0</v>
      </c>
      <c r="Q814" s="252">
        <v>0</v>
      </c>
      <c r="R814" s="252">
        <v>0</v>
      </c>
      <c r="S814" s="252">
        <v>0</v>
      </c>
      <c r="T814" s="252">
        <v>0</v>
      </c>
      <c r="U814" s="252">
        <v>0</v>
      </c>
      <c r="V814" s="252">
        <v>0</v>
      </c>
      <c r="W814" s="252">
        <v>0</v>
      </c>
      <c r="X814" s="252">
        <v>0</v>
      </c>
      <c r="Y814" s="252">
        <v>295.10000000000002</v>
      </c>
      <c r="Z814" s="252">
        <v>0</v>
      </c>
      <c r="AA814" s="252">
        <v>0</v>
      </c>
      <c r="AB814" s="252">
        <v>80.58</v>
      </c>
      <c r="AC814" s="252">
        <v>0</v>
      </c>
      <c r="AD814" s="252">
        <v>0</v>
      </c>
      <c r="AE814" s="252" t="s">
        <v>720</v>
      </c>
      <c r="AF814" s="252" t="s">
        <v>721</v>
      </c>
      <c r="AG814" s="252">
        <f t="shared" si="60"/>
        <v>0</v>
      </c>
      <c r="AH814" s="252">
        <f t="shared" si="61"/>
        <v>0</v>
      </c>
      <c r="AI814" s="252">
        <f t="shared" si="62"/>
        <v>0</v>
      </c>
      <c r="AJ814" s="252">
        <f t="shared" si="63"/>
        <v>0</v>
      </c>
    </row>
    <row r="815" spans="1:36" x14ac:dyDescent="0.2">
      <c r="A815" s="253" t="str">
        <f t="shared" si="64"/>
        <v>SYCPP395170</v>
      </c>
      <c r="B815" s="252" t="s">
        <v>19</v>
      </c>
      <c r="C815" s="252" t="s">
        <v>28</v>
      </c>
      <c r="D815" s="252" t="s">
        <v>2558</v>
      </c>
      <c r="E815" s="252" t="s">
        <v>2522</v>
      </c>
      <c r="F815" s="252" t="s">
        <v>2564</v>
      </c>
      <c r="G815" s="252">
        <v>70</v>
      </c>
      <c r="H815" s="252" t="s">
        <v>928</v>
      </c>
      <c r="I815" s="252" t="s">
        <v>928</v>
      </c>
      <c r="J815" s="252" t="s">
        <v>928</v>
      </c>
      <c r="K815" s="252" t="s">
        <v>3236</v>
      </c>
      <c r="L815" s="252">
        <v>375.67</v>
      </c>
      <c r="M815" s="252">
        <v>0</v>
      </c>
      <c r="N815" s="252">
        <v>0</v>
      </c>
      <c r="O815" s="252">
        <v>0</v>
      </c>
      <c r="P815" s="252">
        <v>0</v>
      </c>
      <c r="Q815" s="252">
        <v>0</v>
      </c>
      <c r="R815" s="252">
        <v>0</v>
      </c>
      <c r="S815" s="252">
        <v>0</v>
      </c>
      <c r="T815" s="252">
        <v>0</v>
      </c>
      <c r="U815" s="252">
        <v>0</v>
      </c>
      <c r="V815" s="252">
        <v>0</v>
      </c>
      <c r="W815" s="252">
        <v>0</v>
      </c>
      <c r="X815" s="252">
        <v>0</v>
      </c>
      <c r="Y815" s="252">
        <v>295.10000000000002</v>
      </c>
      <c r="Z815" s="252">
        <v>0</v>
      </c>
      <c r="AA815" s="252">
        <v>0</v>
      </c>
      <c r="AB815" s="252">
        <v>80.58</v>
      </c>
      <c r="AC815" s="252">
        <v>0</v>
      </c>
      <c r="AD815" s="252">
        <v>0</v>
      </c>
      <c r="AE815" s="252" t="s">
        <v>720</v>
      </c>
      <c r="AF815" s="252" t="s">
        <v>721</v>
      </c>
      <c r="AG815" s="252">
        <f t="shared" si="60"/>
        <v>0</v>
      </c>
      <c r="AH815" s="252">
        <f t="shared" si="61"/>
        <v>0</v>
      </c>
      <c r="AI815" s="252">
        <f t="shared" si="62"/>
        <v>0</v>
      </c>
      <c r="AJ815" s="252">
        <f t="shared" si="63"/>
        <v>0</v>
      </c>
    </row>
    <row r="816" spans="1:36" x14ac:dyDescent="0.2">
      <c r="A816" s="253" t="str">
        <f t="shared" si="64"/>
        <v>2SYCPP395180</v>
      </c>
      <c r="B816" s="252" t="s">
        <v>19</v>
      </c>
      <c r="C816" s="252" t="s">
        <v>28</v>
      </c>
      <c r="D816" s="252" t="s">
        <v>2558</v>
      </c>
      <c r="E816" s="252" t="s">
        <v>2522</v>
      </c>
      <c r="F816" s="252" t="s">
        <v>2564</v>
      </c>
      <c r="G816" s="252">
        <v>80</v>
      </c>
      <c r="H816" s="252" t="s">
        <v>928</v>
      </c>
      <c r="I816" s="252" t="s">
        <v>2477</v>
      </c>
      <c r="J816" s="252" t="s">
        <v>928</v>
      </c>
      <c r="K816" s="252" t="s">
        <v>3236</v>
      </c>
      <c r="L816" s="252">
        <v>358.74</v>
      </c>
      <c r="M816" s="252">
        <v>0</v>
      </c>
      <c r="N816" s="252">
        <v>0</v>
      </c>
      <c r="O816" s="252">
        <v>0</v>
      </c>
      <c r="P816" s="252">
        <v>0</v>
      </c>
      <c r="Q816" s="252">
        <v>0</v>
      </c>
      <c r="R816" s="252">
        <v>0</v>
      </c>
      <c r="S816" s="252">
        <v>0</v>
      </c>
      <c r="T816" s="252">
        <v>0</v>
      </c>
      <c r="U816" s="252">
        <v>0</v>
      </c>
      <c r="V816" s="252">
        <v>0</v>
      </c>
      <c r="W816" s="252">
        <v>0</v>
      </c>
      <c r="X816" s="252">
        <v>0</v>
      </c>
      <c r="Y816" s="252">
        <v>291.79000000000002</v>
      </c>
      <c r="Z816" s="252">
        <v>0</v>
      </c>
      <c r="AA816" s="252">
        <v>0</v>
      </c>
      <c r="AB816" s="252">
        <v>66.959999999999994</v>
      </c>
      <c r="AC816" s="252">
        <v>0</v>
      </c>
      <c r="AD816" s="252">
        <v>0</v>
      </c>
      <c r="AE816" s="252" t="s">
        <v>720</v>
      </c>
      <c r="AF816" s="252" t="s">
        <v>721</v>
      </c>
      <c r="AG816" s="252">
        <f t="shared" si="60"/>
        <v>0</v>
      </c>
      <c r="AH816" s="252">
        <f t="shared" si="61"/>
        <v>0</v>
      </c>
      <c r="AI816" s="252">
        <f t="shared" si="62"/>
        <v>0</v>
      </c>
      <c r="AJ816" s="252">
        <f t="shared" si="63"/>
        <v>0</v>
      </c>
    </row>
    <row r="817" spans="1:36" x14ac:dyDescent="0.2">
      <c r="A817" s="253" t="str">
        <f t="shared" si="64"/>
        <v>SYCPP395180</v>
      </c>
      <c r="B817" s="252" t="s">
        <v>19</v>
      </c>
      <c r="C817" s="252" t="s">
        <v>28</v>
      </c>
      <c r="D817" s="252" t="s">
        <v>2558</v>
      </c>
      <c r="E817" s="252" t="s">
        <v>2522</v>
      </c>
      <c r="F817" s="252" t="s">
        <v>2564</v>
      </c>
      <c r="G817" s="252">
        <v>80</v>
      </c>
      <c r="H817" s="252" t="s">
        <v>928</v>
      </c>
      <c r="I817" s="252" t="s">
        <v>928</v>
      </c>
      <c r="J817" s="252" t="s">
        <v>928</v>
      </c>
      <c r="K817" s="252" t="s">
        <v>3236</v>
      </c>
      <c r="L817" s="252">
        <v>358.74</v>
      </c>
      <c r="M817" s="252">
        <v>0</v>
      </c>
      <c r="N817" s="252">
        <v>0</v>
      </c>
      <c r="O817" s="252">
        <v>0</v>
      </c>
      <c r="P817" s="252">
        <v>0</v>
      </c>
      <c r="Q817" s="252">
        <v>0</v>
      </c>
      <c r="R817" s="252">
        <v>0</v>
      </c>
      <c r="S817" s="252">
        <v>0</v>
      </c>
      <c r="T817" s="252">
        <v>0</v>
      </c>
      <c r="U817" s="252">
        <v>0</v>
      </c>
      <c r="V817" s="252">
        <v>0</v>
      </c>
      <c r="W817" s="252">
        <v>0</v>
      </c>
      <c r="X817" s="252">
        <v>0</v>
      </c>
      <c r="Y817" s="252">
        <v>291.79000000000002</v>
      </c>
      <c r="Z817" s="252">
        <v>0</v>
      </c>
      <c r="AA817" s="252">
        <v>0</v>
      </c>
      <c r="AB817" s="252">
        <v>66.959999999999994</v>
      </c>
      <c r="AC817" s="252">
        <v>0</v>
      </c>
      <c r="AD817" s="252">
        <v>0</v>
      </c>
      <c r="AE817" s="252" t="s">
        <v>720</v>
      </c>
      <c r="AF817" s="252" t="s">
        <v>721</v>
      </c>
      <c r="AG817" s="252">
        <f t="shared" si="60"/>
        <v>0</v>
      </c>
      <c r="AH817" s="252">
        <f t="shared" si="61"/>
        <v>0</v>
      </c>
      <c r="AI817" s="252">
        <f t="shared" si="62"/>
        <v>0</v>
      </c>
      <c r="AJ817" s="252">
        <f t="shared" si="63"/>
        <v>0</v>
      </c>
    </row>
    <row r="818" spans="1:36" x14ac:dyDescent="0.2">
      <c r="A818" s="253" t="str">
        <f t="shared" si="64"/>
        <v>2SYCPP3951100</v>
      </c>
      <c r="B818" s="252" t="s">
        <v>19</v>
      </c>
      <c r="C818" s="252" t="s">
        <v>28</v>
      </c>
      <c r="D818" s="252" t="s">
        <v>2558</v>
      </c>
      <c r="E818" s="252" t="s">
        <v>2522</v>
      </c>
      <c r="F818" s="252" t="s">
        <v>2564</v>
      </c>
      <c r="G818" s="252">
        <v>100</v>
      </c>
      <c r="H818" s="252" t="s">
        <v>928</v>
      </c>
      <c r="I818" s="252" t="s">
        <v>2477</v>
      </c>
      <c r="J818" s="252" t="s">
        <v>928</v>
      </c>
      <c r="K818" s="252" t="s">
        <v>3236</v>
      </c>
      <c r="L818" s="252">
        <v>456.8</v>
      </c>
      <c r="M818" s="252">
        <v>0</v>
      </c>
      <c r="N818" s="252">
        <v>0</v>
      </c>
      <c r="O818" s="252">
        <v>0</v>
      </c>
      <c r="P818" s="252">
        <v>0</v>
      </c>
      <c r="Q818" s="252">
        <v>0</v>
      </c>
      <c r="R818" s="252">
        <v>0</v>
      </c>
      <c r="S818" s="252">
        <v>0</v>
      </c>
      <c r="T818" s="252">
        <v>0</v>
      </c>
      <c r="U818" s="252">
        <v>0</v>
      </c>
      <c r="V818" s="252">
        <v>0</v>
      </c>
      <c r="W818" s="252">
        <v>0</v>
      </c>
      <c r="X818" s="252">
        <v>0</v>
      </c>
      <c r="Y818" s="252">
        <v>347.77</v>
      </c>
      <c r="Z818" s="252">
        <v>0</v>
      </c>
      <c r="AA818" s="252">
        <v>0</v>
      </c>
      <c r="AB818" s="252">
        <v>109.03</v>
      </c>
      <c r="AC818" s="252">
        <v>0</v>
      </c>
      <c r="AD818" s="252">
        <v>0</v>
      </c>
      <c r="AE818" s="252" t="s">
        <v>720</v>
      </c>
      <c r="AF818" s="252" t="s">
        <v>721</v>
      </c>
      <c r="AG818" s="252">
        <f t="shared" si="60"/>
        <v>0</v>
      </c>
      <c r="AH818" s="252">
        <f t="shared" si="61"/>
        <v>0</v>
      </c>
      <c r="AI818" s="252">
        <f t="shared" si="62"/>
        <v>0</v>
      </c>
      <c r="AJ818" s="252">
        <f t="shared" si="63"/>
        <v>0</v>
      </c>
    </row>
    <row r="819" spans="1:36" x14ac:dyDescent="0.2">
      <c r="A819" s="253" t="str">
        <f t="shared" si="64"/>
        <v>SYCPP3951100</v>
      </c>
      <c r="B819" s="252" t="s">
        <v>19</v>
      </c>
      <c r="C819" s="252" t="s">
        <v>28</v>
      </c>
      <c r="D819" s="252" t="s">
        <v>2558</v>
      </c>
      <c r="E819" s="252" t="s">
        <v>2522</v>
      </c>
      <c r="F819" s="252" t="s">
        <v>2564</v>
      </c>
      <c r="G819" s="252">
        <v>100</v>
      </c>
      <c r="H819" s="252" t="s">
        <v>928</v>
      </c>
      <c r="I819" s="252" t="s">
        <v>928</v>
      </c>
      <c r="J819" s="252" t="s">
        <v>928</v>
      </c>
      <c r="K819" s="252" t="s">
        <v>3236</v>
      </c>
      <c r="L819" s="252">
        <v>456.8</v>
      </c>
      <c r="M819" s="252">
        <v>0</v>
      </c>
      <c r="N819" s="252">
        <v>0</v>
      </c>
      <c r="O819" s="252">
        <v>0</v>
      </c>
      <c r="P819" s="252">
        <v>0</v>
      </c>
      <c r="Q819" s="252">
        <v>0</v>
      </c>
      <c r="R819" s="252">
        <v>0</v>
      </c>
      <c r="S819" s="252">
        <v>0</v>
      </c>
      <c r="T819" s="252">
        <v>0</v>
      </c>
      <c r="U819" s="252">
        <v>0</v>
      </c>
      <c r="V819" s="252">
        <v>0</v>
      </c>
      <c r="W819" s="252">
        <v>0</v>
      </c>
      <c r="X819" s="252">
        <v>0</v>
      </c>
      <c r="Y819" s="252">
        <v>347.77</v>
      </c>
      <c r="Z819" s="252">
        <v>0</v>
      </c>
      <c r="AA819" s="252">
        <v>0</v>
      </c>
      <c r="AB819" s="252">
        <v>109.03</v>
      </c>
      <c r="AC819" s="252">
        <v>0</v>
      </c>
      <c r="AD819" s="252">
        <v>0</v>
      </c>
      <c r="AE819" s="252" t="s">
        <v>720</v>
      </c>
      <c r="AF819" s="252" t="s">
        <v>721</v>
      </c>
      <c r="AG819" s="252">
        <f t="shared" si="60"/>
        <v>0</v>
      </c>
      <c r="AH819" s="252">
        <f t="shared" si="61"/>
        <v>0</v>
      </c>
      <c r="AI819" s="252">
        <f t="shared" si="62"/>
        <v>0</v>
      </c>
      <c r="AJ819" s="252">
        <f t="shared" si="63"/>
        <v>0</v>
      </c>
    </row>
    <row r="820" spans="1:36" x14ac:dyDescent="0.2">
      <c r="A820" s="253" t="str">
        <f t="shared" si="64"/>
        <v>2SYCPPFBC10180</v>
      </c>
      <c r="B820" s="252" t="s">
        <v>19</v>
      </c>
      <c r="C820" s="252" t="s">
        <v>28</v>
      </c>
      <c r="D820" s="252" t="s">
        <v>2558</v>
      </c>
      <c r="E820" s="252" t="s">
        <v>2522</v>
      </c>
      <c r="F820" s="252" t="s">
        <v>2711</v>
      </c>
      <c r="G820" s="252">
        <v>80</v>
      </c>
      <c r="H820" s="252" t="s">
        <v>928</v>
      </c>
      <c r="I820" s="252" t="s">
        <v>2477</v>
      </c>
      <c r="J820" s="252" t="s">
        <v>928</v>
      </c>
      <c r="K820" s="252" t="s">
        <v>3236</v>
      </c>
      <c r="L820" s="252">
        <v>600.37</v>
      </c>
      <c r="M820" s="252">
        <v>0</v>
      </c>
      <c r="N820" s="252">
        <v>0</v>
      </c>
      <c r="O820" s="252">
        <v>0</v>
      </c>
      <c r="P820" s="252">
        <v>0</v>
      </c>
      <c r="Q820" s="252">
        <v>0</v>
      </c>
      <c r="R820" s="252">
        <v>0</v>
      </c>
      <c r="S820" s="252">
        <v>0</v>
      </c>
      <c r="T820" s="252">
        <v>0</v>
      </c>
      <c r="U820" s="252">
        <v>0</v>
      </c>
      <c r="V820" s="252">
        <v>0</v>
      </c>
      <c r="W820" s="252">
        <v>0</v>
      </c>
      <c r="X820" s="252">
        <v>0</v>
      </c>
      <c r="Y820" s="252">
        <v>463.11</v>
      </c>
      <c r="Z820" s="252">
        <v>0</v>
      </c>
      <c r="AA820" s="252">
        <v>0</v>
      </c>
      <c r="AB820" s="252">
        <v>137.25</v>
      </c>
      <c r="AC820" s="252">
        <v>0</v>
      </c>
      <c r="AD820" s="252">
        <v>0</v>
      </c>
      <c r="AE820" s="252" t="s">
        <v>720</v>
      </c>
      <c r="AF820" s="252" t="s">
        <v>721</v>
      </c>
      <c r="AG820" s="252">
        <f t="shared" si="60"/>
        <v>0</v>
      </c>
      <c r="AH820" s="252">
        <f t="shared" si="61"/>
        <v>0</v>
      </c>
      <c r="AI820" s="252">
        <f t="shared" si="62"/>
        <v>0</v>
      </c>
      <c r="AJ820" s="252">
        <f t="shared" si="63"/>
        <v>0</v>
      </c>
    </row>
    <row r="821" spans="1:36" x14ac:dyDescent="0.2">
      <c r="A821" s="253" t="str">
        <f t="shared" si="64"/>
        <v>SYCPPFBC10180</v>
      </c>
      <c r="B821" s="252" t="s">
        <v>19</v>
      </c>
      <c r="C821" s="252" t="s">
        <v>28</v>
      </c>
      <c r="D821" s="252" t="s">
        <v>2558</v>
      </c>
      <c r="E821" s="252" t="s">
        <v>2522</v>
      </c>
      <c r="F821" s="252" t="s">
        <v>2711</v>
      </c>
      <c r="G821" s="252">
        <v>80</v>
      </c>
      <c r="H821" s="252" t="s">
        <v>928</v>
      </c>
      <c r="I821" s="252" t="s">
        <v>928</v>
      </c>
      <c r="J821" s="252" t="s">
        <v>928</v>
      </c>
      <c r="K821" s="252" t="s">
        <v>3236</v>
      </c>
      <c r="L821" s="252">
        <v>600.37</v>
      </c>
      <c r="M821" s="252">
        <v>0</v>
      </c>
      <c r="N821" s="252">
        <v>0</v>
      </c>
      <c r="O821" s="252">
        <v>0</v>
      </c>
      <c r="P821" s="252">
        <v>0</v>
      </c>
      <c r="Q821" s="252">
        <v>0</v>
      </c>
      <c r="R821" s="252">
        <v>0</v>
      </c>
      <c r="S821" s="252">
        <v>0</v>
      </c>
      <c r="T821" s="252">
        <v>0</v>
      </c>
      <c r="U821" s="252">
        <v>0</v>
      </c>
      <c r="V821" s="252">
        <v>0</v>
      </c>
      <c r="W821" s="252">
        <v>0</v>
      </c>
      <c r="X821" s="252">
        <v>0</v>
      </c>
      <c r="Y821" s="252">
        <v>463.11</v>
      </c>
      <c r="Z821" s="252">
        <v>0</v>
      </c>
      <c r="AA821" s="252">
        <v>0</v>
      </c>
      <c r="AB821" s="252">
        <v>137.25</v>
      </c>
      <c r="AC821" s="252">
        <v>0</v>
      </c>
      <c r="AD821" s="252">
        <v>0</v>
      </c>
      <c r="AE821" s="252" t="s">
        <v>720</v>
      </c>
      <c r="AF821" s="252" t="s">
        <v>721</v>
      </c>
      <c r="AG821" s="252">
        <f t="shared" si="60"/>
        <v>0</v>
      </c>
      <c r="AH821" s="252">
        <f t="shared" si="61"/>
        <v>0</v>
      </c>
      <c r="AI821" s="252">
        <f t="shared" si="62"/>
        <v>0</v>
      </c>
      <c r="AJ821" s="252">
        <f t="shared" si="63"/>
        <v>0</v>
      </c>
    </row>
    <row r="822" spans="1:36" x14ac:dyDescent="0.2">
      <c r="A822" s="253" t="str">
        <f t="shared" si="64"/>
        <v>2SYCPPZK10050</v>
      </c>
      <c r="B822" s="252" t="s">
        <v>19</v>
      </c>
      <c r="C822" s="252" t="s">
        <v>28</v>
      </c>
      <c r="D822" s="252" t="s">
        <v>2558</v>
      </c>
      <c r="E822" s="252" t="s">
        <v>2522</v>
      </c>
      <c r="F822" s="252" t="s">
        <v>2566</v>
      </c>
      <c r="G822" s="252">
        <v>50</v>
      </c>
      <c r="H822" s="252" t="s">
        <v>928</v>
      </c>
      <c r="I822" s="252" t="s">
        <v>2477</v>
      </c>
      <c r="J822" s="252" t="s">
        <v>928</v>
      </c>
      <c r="K822" s="252" t="s">
        <v>3236</v>
      </c>
      <c r="L822" s="252">
        <v>340.64</v>
      </c>
      <c r="M822" s="252">
        <v>0</v>
      </c>
      <c r="N822" s="252">
        <v>0</v>
      </c>
      <c r="O822" s="252">
        <v>0</v>
      </c>
      <c r="P822" s="252">
        <v>0</v>
      </c>
      <c r="Q822" s="252">
        <v>0</v>
      </c>
      <c r="R822" s="252">
        <v>0</v>
      </c>
      <c r="S822" s="252">
        <v>0</v>
      </c>
      <c r="T822" s="252">
        <v>0</v>
      </c>
      <c r="U822" s="252">
        <v>0</v>
      </c>
      <c r="V822" s="252">
        <v>0</v>
      </c>
      <c r="W822" s="252">
        <v>0</v>
      </c>
      <c r="X822" s="252">
        <v>0</v>
      </c>
      <c r="Y822" s="252">
        <v>279.85000000000002</v>
      </c>
      <c r="Z822" s="252">
        <v>0</v>
      </c>
      <c r="AA822" s="252">
        <v>0</v>
      </c>
      <c r="AB822" s="252">
        <v>60.79</v>
      </c>
      <c r="AC822" s="252">
        <v>0</v>
      </c>
      <c r="AD822" s="252">
        <v>0</v>
      </c>
      <c r="AE822" s="252" t="s">
        <v>720</v>
      </c>
      <c r="AF822" s="252" t="s">
        <v>721</v>
      </c>
      <c r="AG822" s="252">
        <f t="shared" si="60"/>
        <v>0</v>
      </c>
      <c r="AH822" s="252">
        <f t="shared" si="61"/>
        <v>0</v>
      </c>
      <c r="AI822" s="252">
        <f t="shared" si="62"/>
        <v>0</v>
      </c>
      <c r="AJ822" s="252">
        <f t="shared" si="63"/>
        <v>0</v>
      </c>
    </row>
    <row r="823" spans="1:36" x14ac:dyDescent="0.2">
      <c r="A823" s="253" t="str">
        <f t="shared" si="64"/>
        <v>SYCPPZK10050</v>
      </c>
      <c r="B823" s="252" t="s">
        <v>19</v>
      </c>
      <c r="C823" s="252" t="s">
        <v>28</v>
      </c>
      <c r="D823" s="252" t="s">
        <v>2558</v>
      </c>
      <c r="E823" s="252" t="s">
        <v>2522</v>
      </c>
      <c r="F823" s="252" t="s">
        <v>2566</v>
      </c>
      <c r="G823" s="252">
        <v>50</v>
      </c>
      <c r="H823" s="252" t="s">
        <v>928</v>
      </c>
      <c r="I823" s="252" t="s">
        <v>928</v>
      </c>
      <c r="J823" s="252" t="s">
        <v>928</v>
      </c>
      <c r="K823" s="252" t="s">
        <v>3236</v>
      </c>
      <c r="L823" s="252">
        <v>340.64</v>
      </c>
      <c r="M823" s="252">
        <v>0</v>
      </c>
      <c r="N823" s="252">
        <v>0</v>
      </c>
      <c r="O823" s="252">
        <v>0</v>
      </c>
      <c r="P823" s="252">
        <v>0</v>
      </c>
      <c r="Q823" s="252">
        <v>0</v>
      </c>
      <c r="R823" s="252">
        <v>0</v>
      </c>
      <c r="S823" s="252">
        <v>0</v>
      </c>
      <c r="T823" s="252">
        <v>0</v>
      </c>
      <c r="U823" s="252">
        <v>0</v>
      </c>
      <c r="V823" s="252">
        <v>0</v>
      </c>
      <c r="W823" s="252">
        <v>0</v>
      </c>
      <c r="X823" s="252">
        <v>0</v>
      </c>
      <c r="Y823" s="252">
        <v>279.85000000000002</v>
      </c>
      <c r="Z823" s="252">
        <v>0</v>
      </c>
      <c r="AA823" s="252">
        <v>0</v>
      </c>
      <c r="AB823" s="252">
        <v>60.79</v>
      </c>
      <c r="AC823" s="252">
        <v>0</v>
      </c>
      <c r="AD823" s="252">
        <v>0</v>
      </c>
      <c r="AE823" s="252" t="s">
        <v>720</v>
      </c>
      <c r="AF823" s="252" t="s">
        <v>721</v>
      </c>
      <c r="AG823" s="252">
        <f t="shared" si="60"/>
        <v>0</v>
      </c>
      <c r="AH823" s="252">
        <f t="shared" si="61"/>
        <v>0</v>
      </c>
      <c r="AI823" s="252">
        <f t="shared" si="62"/>
        <v>0</v>
      </c>
      <c r="AJ823" s="252">
        <f t="shared" si="63"/>
        <v>0</v>
      </c>
    </row>
    <row r="824" spans="1:36" x14ac:dyDescent="0.2">
      <c r="A824" s="253" t="str">
        <f t="shared" si="64"/>
        <v>2SYCPPZK10060</v>
      </c>
      <c r="B824" s="252" t="s">
        <v>19</v>
      </c>
      <c r="C824" s="252" t="s">
        <v>28</v>
      </c>
      <c r="D824" s="252" t="s">
        <v>2558</v>
      </c>
      <c r="E824" s="252" t="s">
        <v>2522</v>
      </c>
      <c r="F824" s="252" t="s">
        <v>2566</v>
      </c>
      <c r="G824" s="252">
        <v>60</v>
      </c>
      <c r="H824" s="252" t="s">
        <v>928</v>
      </c>
      <c r="I824" s="252" t="s">
        <v>2477</v>
      </c>
      <c r="J824" s="252" t="s">
        <v>928</v>
      </c>
      <c r="K824" s="252" t="s">
        <v>3236</v>
      </c>
      <c r="L824" s="252">
        <v>335.16</v>
      </c>
      <c r="M824" s="252">
        <v>0</v>
      </c>
      <c r="N824" s="252">
        <v>0</v>
      </c>
      <c r="O824" s="252">
        <v>0</v>
      </c>
      <c r="P824" s="252">
        <v>0</v>
      </c>
      <c r="Q824" s="252">
        <v>0</v>
      </c>
      <c r="R824" s="252">
        <v>0</v>
      </c>
      <c r="S824" s="252">
        <v>0</v>
      </c>
      <c r="T824" s="252">
        <v>0</v>
      </c>
      <c r="U824" s="252">
        <v>0</v>
      </c>
      <c r="V824" s="252">
        <v>0</v>
      </c>
      <c r="W824" s="252">
        <v>0</v>
      </c>
      <c r="X824" s="252">
        <v>0</v>
      </c>
      <c r="Y824" s="252">
        <v>280.17</v>
      </c>
      <c r="Z824" s="252">
        <v>0</v>
      </c>
      <c r="AA824" s="252">
        <v>0</v>
      </c>
      <c r="AB824" s="252">
        <v>54.99</v>
      </c>
      <c r="AC824" s="252">
        <v>0</v>
      </c>
      <c r="AD824" s="252">
        <v>0</v>
      </c>
      <c r="AE824" s="252" t="s">
        <v>720</v>
      </c>
      <c r="AF824" s="252" t="s">
        <v>721</v>
      </c>
      <c r="AG824" s="252">
        <f t="shared" si="60"/>
        <v>0</v>
      </c>
      <c r="AH824" s="252">
        <f t="shared" si="61"/>
        <v>0</v>
      </c>
      <c r="AI824" s="252">
        <f t="shared" si="62"/>
        <v>0</v>
      </c>
      <c r="AJ824" s="252">
        <f t="shared" si="63"/>
        <v>0</v>
      </c>
    </row>
    <row r="825" spans="1:36" x14ac:dyDescent="0.2">
      <c r="A825" s="253" t="str">
        <f t="shared" si="64"/>
        <v>SYCPPZK10060</v>
      </c>
      <c r="B825" s="252" t="s">
        <v>19</v>
      </c>
      <c r="C825" s="252" t="s">
        <v>28</v>
      </c>
      <c r="D825" s="252" t="s">
        <v>2558</v>
      </c>
      <c r="E825" s="252" t="s">
        <v>2522</v>
      </c>
      <c r="F825" s="252" t="s">
        <v>2566</v>
      </c>
      <c r="G825" s="252">
        <v>60</v>
      </c>
      <c r="H825" s="252" t="s">
        <v>928</v>
      </c>
      <c r="I825" s="252" t="s">
        <v>928</v>
      </c>
      <c r="J825" s="252" t="s">
        <v>928</v>
      </c>
      <c r="K825" s="252" t="s">
        <v>3236</v>
      </c>
      <c r="L825" s="252">
        <v>335.16</v>
      </c>
      <c r="M825" s="252">
        <v>0</v>
      </c>
      <c r="N825" s="252">
        <v>0</v>
      </c>
      <c r="O825" s="252">
        <v>0</v>
      </c>
      <c r="P825" s="252">
        <v>0</v>
      </c>
      <c r="Q825" s="252">
        <v>0</v>
      </c>
      <c r="R825" s="252">
        <v>0</v>
      </c>
      <c r="S825" s="252">
        <v>0</v>
      </c>
      <c r="T825" s="252">
        <v>0</v>
      </c>
      <c r="U825" s="252">
        <v>0</v>
      </c>
      <c r="V825" s="252">
        <v>0</v>
      </c>
      <c r="W825" s="252">
        <v>0</v>
      </c>
      <c r="X825" s="252">
        <v>0</v>
      </c>
      <c r="Y825" s="252">
        <v>280.17</v>
      </c>
      <c r="Z825" s="252">
        <v>0</v>
      </c>
      <c r="AA825" s="252">
        <v>0</v>
      </c>
      <c r="AB825" s="252">
        <v>54.99</v>
      </c>
      <c r="AC825" s="252">
        <v>0</v>
      </c>
      <c r="AD825" s="252">
        <v>0</v>
      </c>
      <c r="AE825" s="252" t="s">
        <v>720</v>
      </c>
      <c r="AF825" s="252" t="s">
        <v>721</v>
      </c>
      <c r="AG825" s="252">
        <f t="shared" si="60"/>
        <v>0</v>
      </c>
      <c r="AH825" s="252">
        <f t="shared" si="61"/>
        <v>0</v>
      </c>
      <c r="AI825" s="252">
        <f t="shared" si="62"/>
        <v>0</v>
      </c>
      <c r="AJ825" s="252">
        <f t="shared" si="63"/>
        <v>0</v>
      </c>
    </row>
    <row r="826" spans="1:36" x14ac:dyDescent="0.2">
      <c r="A826" s="253" t="str">
        <f t="shared" si="64"/>
        <v>2SYCPPZK10070</v>
      </c>
      <c r="B826" s="252" t="s">
        <v>19</v>
      </c>
      <c r="C826" s="252" t="s">
        <v>28</v>
      </c>
      <c r="D826" s="252" t="s">
        <v>2558</v>
      </c>
      <c r="E826" s="252" t="s">
        <v>2522</v>
      </c>
      <c r="F826" s="252" t="s">
        <v>2566</v>
      </c>
      <c r="G826" s="252">
        <v>70</v>
      </c>
      <c r="H826" s="252" t="s">
        <v>928</v>
      </c>
      <c r="I826" s="252" t="s">
        <v>2477</v>
      </c>
      <c r="J826" s="252" t="s">
        <v>928</v>
      </c>
      <c r="K826" s="252" t="s">
        <v>3236</v>
      </c>
      <c r="L826" s="252">
        <v>326.7</v>
      </c>
      <c r="M826" s="252">
        <v>0</v>
      </c>
      <c r="N826" s="252">
        <v>0</v>
      </c>
      <c r="O826" s="252">
        <v>0</v>
      </c>
      <c r="P826" s="252">
        <v>0</v>
      </c>
      <c r="Q826" s="252">
        <v>0</v>
      </c>
      <c r="R826" s="252">
        <v>0</v>
      </c>
      <c r="S826" s="252">
        <v>0</v>
      </c>
      <c r="T826" s="252">
        <v>0</v>
      </c>
      <c r="U826" s="252">
        <v>0</v>
      </c>
      <c r="V826" s="252">
        <v>0</v>
      </c>
      <c r="W826" s="252">
        <v>0</v>
      </c>
      <c r="X826" s="252">
        <v>0</v>
      </c>
      <c r="Y826" s="252">
        <v>275.88</v>
      </c>
      <c r="Z826" s="252">
        <v>0</v>
      </c>
      <c r="AA826" s="252">
        <v>0</v>
      </c>
      <c r="AB826" s="252">
        <v>50.82</v>
      </c>
      <c r="AC826" s="252">
        <v>0</v>
      </c>
      <c r="AD826" s="252">
        <v>0</v>
      </c>
      <c r="AE826" s="252" t="s">
        <v>720</v>
      </c>
      <c r="AF826" s="252" t="s">
        <v>721</v>
      </c>
      <c r="AG826" s="252">
        <f t="shared" si="60"/>
        <v>0</v>
      </c>
      <c r="AH826" s="252">
        <f t="shared" si="61"/>
        <v>0</v>
      </c>
      <c r="AI826" s="252">
        <f t="shared" si="62"/>
        <v>0</v>
      </c>
      <c r="AJ826" s="252">
        <f t="shared" si="63"/>
        <v>0</v>
      </c>
    </row>
    <row r="827" spans="1:36" x14ac:dyDescent="0.2">
      <c r="A827" s="253" t="str">
        <f t="shared" si="64"/>
        <v>SYCPPZK10070</v>
      </c>
      <c r="B827" s="252" t="s">
        <v>19</v>
      </c>
      <c r="C827" s="252" t="s">
        <v>28</v>
      </c>
      <c r="D827" s="252" t="s">
        <v>2558</v>
      </c>
      <c r="E827" s="252" t="s">
        <v>2522</v>
      </c>
      <c r="F827" s="252" t="s">
        <v>2566</v>
      </c>
      <c r="G827" s="252">
        <v>70</v>
      </c>
      <c r="H827" s="252" t="s">
        <v>928</v>
      </c>
      <c r="I827" s="252" t="s">
        <v>928</v>
      </c>
      <c r="J827" s="252" t="s">
        <v>928</v>
      </c>
      <c r="K827" s="252" t="s">
        <v>3236</v>
      </c>
      <c r="L827" s="252">
        <v>326.7</v>
      </c>
      <c r="M827" s="252">
        <v>0</v>
      </c>
      <c r="N827" s="252">
        <v>0</v>
      </c>
      <c r="O827" s="252">
        <v>0</v>
      </c>
      <c r="P827" s="252">
        <v>0</v>
      </c>
      <c r="Q827" s="252">
        <v>0</v>
      </c>
      <c r="R827" s="252">
        <v>0</v>
      </c>
      <c r="S827" s="252">
        <v>0</v>
      </c>
      <c r="T827" s="252">
        <v>0</v>
      </c>
      <c r="U827" s="252">
        <v>0</v>
      </c>
      <c r="V827" s="252">
        <v>0</v>
      </c>
      <c r="W827" s="252">
        <v>0</v>
      </c>
      <c r="X827" s="252">
        <v>0</v>
      </c>
      <c r="Y827" s="252">
        <v>275.88</v>
      </c>
      <c r="Z827" s="252">
        <v>0</v>
      </c>
      <c r="AA827" s="252">
        <v>0</v>
      </c>
      <c r="AB827" s="252">
        <v>50.82</v>
      </c>
      <c r="AC827" s="252">
        <v>0</v>
      </c>
      <c r="AD827" s="252">
        <v>0</v>
      </c>
      <c r="AE827" s="252" t="s">
        <v>720</v>
      </c>
      <c r="AF827" s="252" t="s">
        <v>721</v>
      </c>
      <c r="AG827" s="252">
        <f t="shared" si="60"/>
        <v>0</v>
      </c>
      <c r="AH827" s="252">
        <f t="shared" si="61"/>
        <v>0</v>
      </c>
      <c r="AI827" s="252">
        <f t="shared" si="62"/>
        <v>0</v>
      </c>
      <c r="AJ827" s="252">
        <f t="shared" si="63"/>
        <v>0</v>
      </c>
    </row>
    <row r="828" spans="1:36" x14ac:dyDescent="0.2">
      <c r="A828" s="253" t="str">
        <f t="shared" si="64"/>
        <v>2SYCPPZK20780</v>
      </c>
      <c r="B828" s="252" t="s">
        <v>19</v>
      </c>
      <c r="C828" s="252" t="s">
        <v>28</v>
      </c>
      <c r="D828" s="252" t="s">
        <v>2558</v>
      </c>
      <c r="E828" s="252" t="s">
        <v>2522</v>
      </c>
      <c r="F828" s="252" t="s">
        <v>2568</v>
      </c>
      <c r="G828" s="252">
        <v>80</v>
      </c>
      <c r="H828" s="252" t="s">
        <v>928</v>
      </c>
      <c r="I828" s="252" t="s">
        <v>2477</v>
      </c>
      <c r="J828" s="252" t="s">
        <v>928</v>
      </c>
      <c r="K828" s="252" t="s">
        <v>3236</v>
      </c>
      <c r="L828" s="252">
        <v>307.37</v>
      </c>
      <c r="M828" s="252">
        <v>0</v>
      </c>
      <c r="N828" s="252">
        <v>0</v>
      </c>
      <c r="O828" s="252">
        <v>0</v>
      </c>
      <c r="P828" s="252">
        <v>0</v>
      </c>
      <c r="Q828" s="252">
        <v>0</v>
      </c>
      <c r="R828" s="252">
        <v>0</v>
      </c>
      <c r="S828" s="252">
        <v>0</v>
      </c>
      <c r="T828" s="252">
        <v>0</v>
      </c>
      <c r="U828" s="252">
        <v>0</v>
      </c>
      <c r="V828" s="252">
        <v>0</v>
      </c>
      <c r="W828" s="252">
        <v>0</v>
      </c>
      <c r="X828" s="252">
        <v>0</v>
      </c>
      <c r="Y828" s="252">
        <v>260.36</v>
      </c>
      <c r="Z828" s="252">
        <v>0</v>
      </c>
      <c r="AA828" s="252">
        <v>0</v>
      </c>
      <c r="AB828" s="252">
        <v>47.01</v>
      </c>
      <c r="AC828" s="252">
        <v>0</v>
      </c>
      <c r="AD828" s="252">
        <v>0</v>
      </c>
      <c r="AE828" s="252" t="s">
        <v>720</v>
      </c>
      <c r="AF828" s="252" t="s">
        <v>721</v>
      </c>
      <c r="AG828" s="252">
        <f t="shared" si="60"/>
        <v>0</v>
      </c>
      <c r="AH828" s="252">
        <f t="shared" si="61"/>
        <v>0</v>
      </c>
      <c r="AI828" s="252">
        <f t="shared" si="62"/>
        <v>0</v>
      </c>
      <c r="AJ828" s="252">
        <f t="shared" si="63"/>
        <v>0</v>
      </c>
    </row>
    <row r="829" spans="1:36" x14ac:dyDescent="0.2">
      <c r="A829" s="253" t="str">
        <f t="shared" si="64"/>
        <v>2SYCPPZK207Y50</v>
      </c>
      <c r="B829" s="252" t="s">
        <v>19</v>
      </c>
      <c r="C829" s="252" t="s">
        <v>28</v>
      </c>
      <c r="D829" s="252" t="s">
        <v>2558</v>
      </c>
      <c r="E829" s="252" t="s">
        <v>2522</v>
      </c>
      <c r="F829" s="252" t="s">
        <v>2659</v>
      </c>
      <c r="G829" s="252">
        <v>50</v>
      </c>
      <c r="H829" s="252" t="s">
        <v>928</v>
      </c>
      <c r="I829" s="252" t="s">
        <v>2477</v>
      </c>
      <c r="J829" s="252" t="s">
        <v>928</v>
      </c>
      <c r="K829" s="252" t="s">
        <v>3236</v>
      </c>
      <c r="L829" s="252">
        <v>341.49</v>
      </c>
      <c r="M829" s="252">
        <v>0</v>
      </c>
      <c r="N829" s="252">
        <v>0</v>
      </c>
      <c r="O829" s="252">
        <v>0</v>
      </c>
      <c r="P829" s="252">
        <v>0</v>
      </c>
      <c r="Q829" s="252">
        <v>0</v>
      </c>
      <c r="R829" s="252">
        <v>0</v>
      </c>
      <c r="S829" s="252">
        <v>0</v>
      </c>
      <c r="T829" s="252">
        <v>0</v>
      </c>
      <c r="U829" s="252">
        <v>0</v>
      </c>
      <c r="V829" s="252">
        <v>0</v>
      </c>
      <c r="W829" s="252">
        <v>0</v>
      </c>
      <c r="X829" s="252">
        <v>0</v>
      </c>
      <c r="Y829" s="252">
        <v>278.58999999999997</v>
      </c>
      <c r="Z829" s="252">
        <v>0</v>
      </c>
      <c r="AA829" s="252">
        <v>0</v>
      </c>
      <c r="AB829" s="252">
        <v>62.89</v>
      </c>
      <c r="AC829" s="252">
        <v>0</v>
      </c>
      <c r="AD829" s="252">
        <v>0</v>
      </c>
      <c r="AE829" s="252" t="s">
        <v>720</v>
      </c>
      <c r="AF829" s="252" t="s">
        <v>721</v>
      </c>
      <c r="AG829" s="252">
        <f t="shared" si="60"/>
        <v>0</v>
      </c>
      <c r="AH829" s="252">
        <f t="shared" si="61"/>
        <v>0</v>
      </c>
      <c r="AI829" s="252">
        <f t="shared" si="62"/>
        <v>0</v>
      </c>
      <c r="AJ829" s="252">
        <f t="shared" si="63"/>
        <v>0</v>
      </c>
    </row>
    <row r="830" spans="1:36" x14ac:dyDescent="0.2">
      <c r="A830" s="253" t="str">
        <f t="shared" si="64"/>
        <v>SYCPPZK207Y50</v>
      </c>
      <c r="B830" s="252" t="s">
        <v>19</v>
      </c>
      <c r="C830" s="252" t="s">
        <v>28</v>
      </c>
      <c r="D830" s="252" t="s">
        <v>2558</v>
      </c>
      <c r="E830" s="252" t="s">
        <v>2522</v>
      </c>
      <c r="F830" s="252" t="s">
        <v>2659</v>
      </c>
      <c r="G830" s="252">
        <v>50</v>
      </c>
      <c r="H830" s="252" t="s">
        <v>928</v>
      </c>
      <c r="I830" s="252" t="s">
        <v>928</v>
      </c>
      <c r="J830" s="252" t="s">
        <v>928</v>
      </c>
      <c r="K830" s="252" t="s">
        <v>3236</v>
      </c>
      <c r="L830" s="252">
        <v>341.49</v>
      </c>
      <c r="M830" s="252">
        <v>0</v>
      </c>
      <c r="N830" s="252">
        <v>0</v>
      </c>
      <c r="O830" s="252">
        <v>0</v>
      </c>
      <c r="P830" s="252">
        <v>0</v>
      </c>
      <c r="Q830" s="252">
        <v>0</v>
      </c>
      <c r="R830" s="252">
        <v>0</v>
      </c>
      <c r="S830" s="252">
        <v>0</v>
      </c>
      <c r="T830" s="252">
        <v>0</v>
      </c>
      <c r="U830" s="252">
        <v>0</v>
      </c>
      <c r="V830" s="252">
        <v>0</v>
      </c>
      <c r="W830" s="252">
        <v>0</v>
      </c>
      <c r="X830" s="252">
        <v>0</v>
      </c>
      <c r="Y830" s="252">
        <v>278.58999999999997</v>
      </c>
      <c r="Z830" s="252">
        <v>0</v>
      </c>
      <c r="AA830" s="252">
        <v>0</v>
      </c>
      <c r="AB830" s="252">
        <v>62.89</v>
      </c>
      <c r="AC830" s="252">
        <v>0</v>
      </c>
      <c r="AD830" s="252">
        <v>0</v>
      </c>
      <c r="AE830" s="252" t="s">
        <v>720</v>
      </c>
      <c r="AF830" s="252" t="s">
        <v>721</v>
      </c>
      <c r="AG830" s="252">
        <f t="shared" si="60"/>
        <v>0</v>
      </c>
      <c r="AH830" s="252">
        <f t="shared" si="61"/>
        <v>0</v>
      </c>
      <c r="AI830" s="252">
        <f t="shared" si="62"/>
        <v>0</v>
      </c>
      <c r="AJ830" s="252">
        <f t="shared" si="63"/>
        <v>0</v>
      </c>
    </row>
    <row r="831" spans="1:36" x14ac:dyDescent="0.2">
      <c r="A831" s="253" t="str">
        <f t="shared" si="64"/>
        <v>2SYCPPZK207Y60</v>
      </c>
      <c r="B831" s="252" t="s">
        <v>19</v>
      </c>
      <c r="C831" s="252" t="s">
        <v>28</v>
      </c>
      <c r="D831" s="252" t="s">
        <v>2558</v>
      </c>
      <c r="E831" s="252" t="s">
        <v>2522</v>
      </c>
      <c r="F831" s="252" t="s">
        <v>2659</v>
      </c>
      <c r="G831" s="252">
        <v>60</v>
      </c>
      <c r="H831" s="252" t="s">
        <v>928</v>
      </c>
      <c r="I831" s="252" t="s">
        <v>2477</v>
      </c>
      <c r="J831" s="252" t="s">
        <v>928</v>
      </c>
      <c r="K831" s="252" t="s">
        <v>3236</v>
      </c>
      <c r="L831" s="252">
        <v>351.46</v>
      </c>
      <c r="M831" s="252">
        <v>0</v>
      </c>
      <c r="N831" s="252">
        <v>0</v>
      </c>
      <c r="O831" s="252">
        <v>0</v>
      </c>
      <c r="P831" s="252">
        <v>0</v>
      </c>
      <c r="Q831" s="252">
        <v>0</v>
      </c>
      <c r="R831" s="252">
        <v>0</v>
      </c>
      <c r="S831" s="252">
        <v>0</v>
      </c>
      <c r="T831" s="252">
        <v>0</v>
      </c>
      <c r="U831" s="252">
        <v>0</v>
      </c>
      <c r="V831" s="252">
        <v>0</v>
      </c>
      <c r="W831" s="252">
        <v>0</v>
      </c>
      <c r="X831" s="252">
        <v>0</v>
      </c>
      <c r="Y831" s="252">
        <v>288.57</v>
      </c>
      <c r="Z831" s="252">
        <v>0</v>
      </c>
      <c r="AA831" s="252">
        <v>0</v>
      </c>
      <c r="AB831" s="252">
        <v>62.89</v>
      </c>
      <c r="AC831" s="252">
        <v>0</v>
      </c>
      <c r="AD831" s="252">
        <v>0</v>
      </c>
      <c r="AE831" s="252" t="s">
        <v>720</v>
      </c>
      <c r="AF831" s="252" t="s">
        <v>721</v>
      </c>
      <c r="AG831" s="252">
        <f t="shared" si="60"/>
        <v>0</v>
      </c>
      <c r="AH831" s="252">
        <f t="shared" si="61"/>
        <v>0</v>
      </c>
      <c r="AI831" s="252">
        <f t="shared" si="62"/>
        <v>0</v>
      </c>
      <c r="AJ831" s="252">
        <f t="shared" si="63"/>
        <v>0</v>
      </c>
    </row>
    <row r="832" spans="1:36" x14ac:dyDescent="0.2">
      <c r="A832" s="253" t="str">
        <f t="shared" si="64"/>
        <v>SYCPPZK207Y60</v>
      </c>
      <c r="B832" s="252" t="s">
        <v>19</v>
      </c>
      <c r="C832" s="252" t="s">
        <v>28</v>
      </c>
      <c r="D832" s="252" t="s">
        <v>2558</v>
      </c>
      <c r="E832" s="252" t="s">
        <v>2522</v>
      </c>
      <c r="F832" s="252" t="s">
        <v>2659</v>
      </c>
      <c r="G832" s="252">
        <v>60</v>
      </c>
      <c r="H832" s="252" t="s">
        <v>928</v>
      </c>
      <c r="I832" s="252" t="s">
        <v>928</v>
      </c>
      <c r="J832" s="252" t="s">
        <v>928</v>
      </c>
      <c r="K832" s="252" t="s">
        <v>3236</v>
      </c>
      <c r="L832" s="252">
        <v>351.46</v>
      </c>
      <c r="M832" s="252">
        <v>0</v>
      </c>
      <c r="N832" s="252">
        <v>0</v>
      </c>
      <c r="O832" s="252">
        <v>0</v>
      </c>
      <c r="P832" s="252">
        <v>0</v>
      </c>
      <c r="Q832" s="252">
        <v>0</v>
      </c>
      <c r="R832" s="252">
        <v>0</v>
      </c>
      <c r="S832" s="252">
        <v>0</v>
      </c>
      <c r="T832" s="252">
        <v>0</v>
      </c>
      <c r="U832" s="252">
        <v>0</v>
      </c>
      <c r="V832" s="252">
        <v>0</v>
      </c>
      <c r="W832" s="252">
        <v>0</v>
      </c>
      <c r="X832" s="252">
        <v>0</v>
      </c>
      <c r="Y832" s="252">
        <v>288.57</v>
      </c>
      <c r="Z832" s="252">
        <v>0</v>
      </c>
      <c r="AA832" s="252">
        <v>0</v>
      </c>
      <c r="AB832" s="252">
        <v>62.89</v>
      </c>
      <c r="AC832" s="252">
        <v>0</v>
      </c>
      <c r="AD832" s="252">
        <v>0</v>
      </c>
      <c r="AE832" s="252" t="s">
        <v>20</v>
      </c>
      <c r="AF832" s="252" t="s">
        <v>718</v>
      </c>
      <c r="AG832" s="252">
        <f t="shared" si="60"/>
        <v>0</v>
      </c>
      <c r="AH832" s="252">
        <f t="shared" si="61"/>
        <v>0</v>
      </c>
      <c r="AI832" s="252">
        <f t="shared" si="62"/>
        <v>0</v>
      </c>
      <c r="AJ832" s="252">
        <f t="shared" si="63"/>
        <v>0</v>
      </c>
    </row>
    <row r="833" spans="1:36" x14ac:dyDescent="0.2">
      <c r="A833" s="253" t="str">
        <f t="shared" si="64"/>
        <v>2SYCPPZK207Y70</v>
      </c>
      <c r="B833" s="252" t="s">
        <v>19</v>
      </c>
      <c r="C833" s="252" t="s">
        <v>28</v>
      </c>
      <c r="D833" s="252" t="s">
        <v>2558</v>
      </c>
      <c r="E833" s="252" t="s">
        <v>2522</v>
      </c>
      <c r="F833" s="252" t="s">
        <v>2659</v>
      </c>
      <c r="G833" s="252">
        <v>70</v>
      </c>
      <c r="H833" s="252" t="s">
        <v>928</v>
      </c>
      <c r="I833" s="252" t="s">
        <v>2477</v>
      </c>
      <c r="J833" s="252" t="s">
        <v>928</v>
      </c>
      <c r="K833" s="252" t="s">
        <v>3236</v>
      </c>
      <c r="L833" s="252">
        <v>340.13</v>
      </c>
      <c r="M833" s="252">
        <v>0</v>
      </c>
      <c r="N833" s="252">
        <v>0</v>
      </c>
      <c r="O833" s="252">
        <v>0</v>
      </c>
      <c r="P833" s="252">
        <v>0</v>
      </c>
      <c r="Q833" s="252">
        <v>0</v>
      </c>
      <c r="R833" s="252">
        <v>0</v>
      </c>
      <c r="S833" s="252">
        <v>0</v>
      </c>
      <c r="T833" s="252">
        <v>0</v>
      </c>
      <c r="U833" s="252">
        <v>0</v>
      </c>
      <c r="V833" s="252">
        <v>0</v>
      </c>
      <c r="W833" s="252">
        <v>0</v>
      </c>
      <c r="X833" s="252">
        <v>0</v>
      </c>
      <c r="Y833" s="252">
        <v>269.01</v>
      </c>
      <c r="Z833" s="252">
        <v>0</v>
      </c>
      <c r="AA833" s="252">
        <v>0</v>
      </c>
      <c r="AB833" s="252">
        <v>71.12</v>
      </c>
      <c r="AC833" s="252">
        <v>0</v>
      </c>
      <c r="AD833" s="252">
        <v>0</v>
      </c>
      <c r="AE833" s="252" t="s">
        <v>720</v>
      </c>
      <c r="AF833" s="252" t="s">
        <v>721</v>
      </c>
      <c r="AG833" s="252">
        <f t="shared" si="60"/>
        <v>0</v>
      </c>
      <c r="AH833" s="252">
        <f t="shared" si="61"/>
        <v>0</v>
      </c>
      <c r="AI833" s="252">
        <f t="shared" si="62"/>
        <v>0</v>
      </c>
      <c r="AJ833" s="252">
        <f t="shared" si="63"/>
        <v>0</v>
      </c>
    </row>
    <row r="834" spans="1:36" x14ac:dyDescent="0.2">
      <c r="A834" s="253" t="str">
        <f t="shared" si="64"/>
        <v>SYCPPZK207Y70</v>
      </c>
      <c r="B834" s="252" t="s">
        <v>19</v>
      </c>
      <c r="C834" s="252" t="s">
        <v>28</v>
      </c>
      <c r="D834" s="252" t="s">
        <v>2558</v>
      </c>
      <c r="E834" s="252" t="s">
        <v>2522</v>
      </c>
      <c r="F834" s="252" t="s">
        <v>2659</v>
      </c>
      <c r="G834" s="252">
        <v>70</v>
      </c>
      <c r="H834" s="252" t="s">
        <v>928</v>
      </c>
      <c r="I834" s="252" t="s">
        <v>928</v>
      </c>
      <c r="J834" s="252" t="s">
        <v>928</v>
      </c>
      <c r="K834" s="252" t="s">
        <v>3236</v>
      </c>
      <c r="L834" s="252">
        <v>340.13</v>
      </c>
      <c r="M834" s="252">
        <v>0</v>
      </c>
      <c r="N834" s="252">
        <v>0</v>
      </c>
      <c r="O834" s="252">
        <v>0</v>
      </c>
      <c r="P834" s="252">
        <v>0</v>
      </c>
      <c r="Q834" s="252">
        <v>0</v>
      </c>
      <c r="R834" s="252">
        <v>0</v>
      </c>
      <c r="S834" s="252">
        <v>0</v>
      </c>
      <c r="T834" s="252">
        <v>0</v>
      </c>
      <c r="U834" s="252">
        <v>0</v>
      </c>
      <c r="V834" s="252">
        <v>0</v>
      </c>
      <c r="W834" s="252">
        <v>0</v>
      </c>
      <c r="X834" s="252">
        <v>0</v>
      </c>
      <c r="Y834" s="252">
        <v>269.01</v>
      </c>
      <c r="Z834" s="252">
        <v>0</v>
      </c>
      <c r="AA834" s="252">
        <v>0</v>
      </c>
      <c r="AB834" s="252">
        <v>71.12</v>
      </c>
      <c r="AC834" s="252">
        <v>0</v>
      </c>
      <c r="AD834" s="252">
        <v>0</v>
      </c>
      <c r="AE834" s="252" t="s">
        <v>720</v>
      </c>
      <c r="AF834" s="252" t="s">
        <v>721</v>
      </c>
      <c r="AG834" s="252">
        <f t="shared" si="60"/>
        <v>0</v>
      </c>
      <c r="AH834" s="252">
        <f t="shared" si="61"/>
        <v>0</v>
      </c>
      <c r="AI834" s="252">
        <f t="shared" si="62"/>
        <v>0</v>
      </c>
      <c r="AJ834" s="252">
        <f t="shared" si="63"/>
        <v>0</v>
      </c>
    </row>
    <row r="835" spans="1:36" x14ac:dyDescent="0.2">
      <c r="A835" s="253" t="str">
        <f t="shared" si="64"/>
        <v>2SYCPPZK207Y80</v>
      </c>
      <c r="B835" s="252" t="s">
        <v>19</v>
      </c>
      <c r="C835" s="252" t="s">
        <v>28</v>
      </c>
      <c r="D835" s="252" t="s">
        <v>2558</v>
      </c>
      <c r="E835" s="252" t="s">
        <v>2522</v>
      </c>
      <c r="F835" s="252" t="s">
        <v>2659</v>
      </c>
      <c r="G835" s="252">
        <v>80</v>
      </c>
      <c r="H835" s="252" t="s">
        <v>928</v>
      </c>
      <c r="I835" s="252" t="s">
        <v>2477</v>
      </c>
      <c r="J835" s="252" t="s">
        <v>928</v>
      </c>
      <c r="K835" s="252" t="s">
        <v>3236</v>
      </c>
      <c r="L835" s="252">
        <v>327.58</v>
      </c>
      <c r="M835" s="252">
        <v>0</v>
      </c>
      <c r="N835" s="252">
        <v>0</v>
      </c>
      <c r="O835" s="252">
        <v>0</v>
      </c>
      <c r="P835" s="252">
        <v>0</v>
      </c>
      <c r="Q835" s="252">
        <v>0</v>
      </c>
      <c r="R835" s="252">
        <v>0</v>
      </c>
      <c r="S835" s="252">
        <v>0</v>
      </c>
      <c r="T835" s="252">
        <v>0</v>
      </c>
      <c r="U835" s="252">
        <v>0</v>
      </c>
      <c r="V835" s="252">
        <v>0</v>
      </c>
      <c r="W835" s="252">
        <v>0</v>
      </c>
      <c r="X835" s="252">
        <v>0</v>
      </c>
      <c r="Y835" s="252">
        <v>275.61</v>
      </c>
      <c r="Z835" s="252">
        <v>0</v>
      </c>
      <c r="AA835" s="252">
        <v>0</v>
      </c>
      <c r="AB835" s="252">
        <v>51.97</v>
      </c>
      <c r="AC835" s="252">
        <v>0</v>
      </c>
      <c r="AD835" s="252">
        <v>0</v>
      </c>
      <c r="AE835" s="252" t="s">
        <v>720</v>
      </c>
      <c r="AF835" s="252" t="s">
        <v>721</v>
      </c>
      <c r="AG835" s="252">
        <f t="shared" si="60"/>
        <v>0</v>
      </c>
      <c r="AH835" s="252">
        <f t="shared" si="61"/>
        <v>0</v>
      </c>
      <c r="AI835" s="252">
        <f t="shared" si="62"/>
        <v>0</v>
      </c>
      <c r="AJ835" s="252">
        <f t="shared" si="63"/>
        <v>0</v>
      </c>
    </row>
    <row r="836" spans="1:36" x14ac:dyDescent="0.2">
      <c r="A836" s="253" t="str">
        <f t="shared" si="64"/>
        <v>SYCPPZK207Y80</v>
      </c>
      <c r="B836" s="252" t="s">
        <v>19</v>
      </c>
      <c r="C836" s="252" t="s">
        <v>28</v>
      </c>
      <c r="D836" s="252" t="s">
        <v>2558</v>
      </c>
      <c r="E836" s="252" t="s">
        <v>2522</v>
      </c>
      <c r="F836" s="252" t="s">
        <v>2659</v>
      </c>
      <c r="G836" s="252">
        <v>80</v>
      </c>
      <c r="H836" s="252" t="s">
        <v>928</v>
      </c>
      <c r="I836" s="252" t="s">
        <v>928</v>
      </c>
      <c r="J836" s="252" t="s">
        <v>928</v>
      </c>
      <c r="K836" s="252" t="s">
        <v>3236</v>
      </c>
      <c r="L836" s="252">
        <v>327.58</v>
      </c>
      <c r="M836" s="252">
        <v>0</v>
      </c>
      <c r="N836" s="252">
        <v>0</v>
      </c>
      <c r="O836" s="252">
        <v>0</v>
      </c>
      <c r="P836" s="252">
        <v>0</v>
      </c>
      <c r="Q836" s="252">
        <v>0</v>
      </c>
      <c r="R836" s="252">
        <v>0</v>
      </c>
      <c r="S836" s="252">
        <v>0</v>
      </c>
      <c r="T836" s="252">
        <v>0</v>
      </c>
      <c r="U836" s="252">
        <v>0</v>
      </c>
      <c r="V836" s="252">
        <v>0</v>
      </c>
      <c r="W836" s="252">
        <v>0</v>
      </c>
      <c r="X836" s="252">
        <v>0</v>
      </c>
      <c r="Y836" s="252">
        <v>275.61</v>
      </c>
      <c r="Z836" s="252">
        <v>0</v>
      </c>
      <c r="AA836" s="252">
        <v>0</v>
      </c>
      <c r="AB836" s="252">
        <v>51.97</v>
      </c>
      <c r="AC836" s="252">
        <v>0</v>
      </c>
      <c r="AD836" s="252">
        <v>0</v>
      </c>
      <c r="AE836" s="252" t="s">
        <v>720</v>
      </c>
      <c r="AF836" s="252" t="s">
        <v>721</v>
      </c>
      <c r="AG836" s="252">
        <f t="shared" si="60"/>
        <v>0</v>
      </c>
      <c r="AH836" s="252">
        <f t="shared" si="61"/>
        <v>0</v>
      </c>
      <c r="AI836" s="252">
        <f t="shared" si="62"/>
        <v>0</v>
      </c>
      <c r="AJ836" s="252">
        <f t="shared" si="63"/>
        <v>0</v>
      </c>
    </row>
    <row r="837" spans="1:36" x14ac:dyDescent="0.2">
      <c r="A837" s="253" t="str">
        <f t="shared" si="64"/>
        <v>2SYCPPZK207Y100</v>
      </c>
      <c r="B837" s="252" t="s">
        <v>19</v>
      </c>
      <c r="C837" s="252" t="s">
        <v>28</v>
      </c>
      <c r="D837" s="252" t="s">
        <v>2558</v>
      </c>
      <c r="E837" s="252" t="s">
        <v>2522</v>
      </c>
      <c r="F837" s="252" t="s">
        <v>2659</v>
      </c>
      <c r="G837" s="252">
        <v>100</v>
      </c>
      <c r="H837" s="252" t="s">
        <v>928</v>
      </c>
      <c r="I837" s="252" t="s">
        <v>2477</v>
      </c>
      <c r="J837" s="252" t="s">
        <v>928</v>
      </c>
      <c r="K837" s="252" t="s">
        <v>3236</v>
      </c>
      <c r="L837" s="252">
        <v>350.22</v>
      </c>
      <c r="M837" s="252">
        <v>0</v>
      </c>
      <c r="N837" s="252">
        <v>0</v>
      </c>
      <c r="O837" s="252">
        <v>0</v>
      </c>
      <c r="P837" s="252">
        <v>0</v>
      </c>
      <c r="Q837" s="252">
        <v>0</v>
      </c>
      <c r="R837" s="252">
        <v>0</v>
      </c>
      <c r="S837" s="252">
        <v>0</v>
      </c>
      <c r="T837" s="252">
        <v>0</v>
      </c>
      <c r="U837" s="252">
        <v>0</v>
      </c>
      <c r="V837" s="252">
        <v>0</v>
      </c>
      <c r="W837" s="252">
        <v>0</v>
      </c>
      <c r="X837" s="252">
        <v>0</v>
      </c>
      <c r="Y837" s="252">
        <v>280</v>
      </c>
      <c r="Z837" s="252">
        <v>0</v>
      </c>
      <c r="AA837" s="252">
        <v>0</v>
      </c>
      <c r="AB837" s="252">
        <v>70.22</v>
      </c>
      <c r="AC837" s="252">
        <v>0</v>
      </c>
      <c r="AD837" s="252">
        <v>0</v>
      </c>
      <c r="AE837" s="252" t="s">
        <v>720</v>
      </c>
      <c r="AF837" s="252" t="s">
        <v>721</v>
      </c>
      <c r="AG837" s="252">
        <f t="shared" si="60"/>
        <v>0</v>
      </c>
      <c r="AH837" s="252">
        <f t="shared" si="61"/>
        <v>0</v>
      </c>
      <c r="AI837" s="252">
        <f t="shared" si="62"/>
        <v>0</v>
      </c>
      <c r="AJ837" s="252">
        <f t="shared" si="63"/>
        <v>0</v>
      </c>
    </row>
    <row r="838" spans="1:36" x14ac:dyDescent="0.2">
      <c r="A838" s="253" t="str">
        <f t="shared" si="64"/>
        <v>SYCPPZK207Y100</v>
      </c>
      <c r="B838" s="252" t="s">
        <v>19</v>
      </c>
      <c r="C838" s="252" t="s">
        <v>28</v>
      </c>
      <c r="D838" s="252" t="s">
        <v>2558</v>
      </c>
      <c r="E838" s="252" t="s">
        <v>2522</v>
      </c>
      <c r="F838" s="252" t="s">
        <v>2659</v>
      </c>
      <c r="G838" s="252">
        <v>100</v>
      </c>
      <c r="H838" s="252" t="s">
        <v>928</v>
      </c>
      <c r="I838" s="252" t="s">
        <v>928</v>
      </c>
      <c r="J838" s="252" t="s">
        <v>928</v>
      </c>
      <c r="K838" s="252" t="s">
        <v>3236</v>
      </c>
      <c r="L838" s="252">
        <v>350.22</v>
      </c>
      <c r="M838" s="252">
        <v>0</v>
      </c>
      <c r="N838" s="252">
        <v>0</v>
      </c>
      <c r="O838" s="252">
        <v>0</v>
      </c>
      <c r="P838" s="252">
        <v>0</v>
      </c>
      <c r="Q838" s="252">
        <v>0</v>
      </c>
      <c r="R838" s="252">
        <v>0</v>
      </c>
      <c r="S838" s="252">
        <v>0</v>
      </c>
      <c r="T838" s="252">
        <v>0</v>
      </c>
      <c r="U838" s="252">
        <v>0</v>
      </c>
      <c r="V838" s="252">
        <v>0</v>
      </c>
      <c r="W838" s="252">
        <v>0</v>
      </c>
      <c r="X838" s="252">
        <v>0</v>
      </c>
      <c r="Y838" s="252">
        <v>280</v>
      </c>
      <c r="Z838" s="252">
        <v>0</v>
      </c>
      <c r="AA838" s="252">
        <v>0</v>
      </c>
      <c r="AB838" s="252">
        <v>70.22</v>
      </c>
      <c r="AC838" s="252">
        <v>0</v>
      </c>
      <c r="AD838" s="252">
        <v>0</v>
      </c>
      <c r="AE838" s="252" t="s">
        <v>720</v>
      </c>
      <c r="AF838" s="252" t="s">
        <v>721</v>
      </c>
      <c r="AG838" s="252">
        <f t="shared" ref="AG838:AG901" si="65">+O838*M838/100</f>
        <v>0</v>
      </c>
      <c r="AH838" s="252">
        <f t="shared" ref="AH838:AH901" si="66">+P838*M838/100</f>
        <v>0</v>
      </c>
      <c r="AI838" s="252">
        <f t="shared" ref="AI838:AI901" si="67">+AB838*M838/100</f>
        <v>0</v>
      </c>
      <c r="AJ838" s="252">
        <f t="shared" ref="AJ838:AJ901" si="68">+AG838+AH838+AI838</f>
        <v>0</v>
      </c>
    </row>
    <row r="839" spans="1:36" x14ac:dyDescent="0.2">
      <c r="A839" s="253" t="str">
        <f t="shared" ref="A839:A902" si="69">TRIM(I839&amp;B839&amp;C839&amp;D839&amp;F839&amp;G839)</f>
        <v>2SYCPPZK93FM70</v>
      </c>
      <c r="B839" s="252" t="s">
        <v>19</v>
      </c>
      <c r="C839" s="252" t="s">
        <v>28</v>
      </c>
      <c r="D839" s="252" t="s">
        <v>2558</v>
      </c>
      <c r="E839" s="252" t="s">
        <v>2522</v>
      </c>
      <c r="F839" s="252" t="s">
        <v>2574</v>
      </c>
      <c r="G839" s="252">
        <v>70</v>
      </c>
      <c r="H839" s="252" t="s">
        <v>928</v>
      </c>
      <c r="I839" s="252" t="s">
        <v>2477</v>
      </c>
      <c r="J839" s="252" t="s">
        <v>928</v>
      </c>
      <c r="K839" s="252" t="s">
        <v>3236</v>
      </c>
      <c r="L839" s="252">
        <v>324.82</v>
      </c>
      <c r="M839" s="252">
        <v>0</v>
      </c>
      <c r="N839" s="252">
        <v>0</v>
      </c>
      <c r="O839" s="252">
        <v>0</v>
      </c>
      <c r="P839" s="252">
        <v>0</v>
      </c>
      <c r="Q839" s="252">
        <v>0</v>
      </c>
      <c r="R839" s="252">
        <v>0</v>
      </c>
      <c r="S839" s="252">
        <v>0</v>
      </c>
      <c r="T839" s="252">
        <v>0</v>
      </c>
      <c r="U839" s="252">
        <v>0</v>
      </c>
      <c r="V839" s="252">
        <v>0</v>
      </c>
      <c r="W839" s="252">
        <v>0</v>
      </c>
      <c r="X839" s="252">
        <v>0</v>
      </c>
      <c r="Y839" s="252">
        <v>264.64</v>
      </c>
      <c r="Z839" s="252">
        <v>0</v>
      </c>
      <c r="AA839" s="252">
        <v>0</v>
      </c>
      <c r="AB839" s="252">
        <v>60.17</v>
      </c>
      <c r="AC839" s="252">
        <v>0</v>
      </c>
      <c r="AD839" s="252">
        <v>0</v>
      </c>
      <c r="AE839" s="252" t="s">
        <v>720</v>
      </c>
      <c r="AF839" s="252" t="s">
        <v>721</v>
      </c>
      <c r="AG839" s="252">
        <f t="shared" si="65"/>
        <v>0</v>
      </c>
      <c r="AH839" s="252">
        <f t="shared" si="66"/>
        <v>0</v>
      </c>
      <c r="AI839" s="252">
        <f t="shared" si="67"/>
        <v>0</v>
      </c>
      <c r="AJ839" s="252">
        <f t="shared" si="68"/>
        <v>0</v>
      </c>
    </row>
    <row r="840" spans="1:36" x14ac:dyDescent="0.2">
      <c r="A840" s="253" t="str">
        <f t="shared" si="69"/>
        <v>SYCPPZK93FM70</v>
      </c>
      <c r="B840" s="252" t="s">
        <v>19</v>
      </c>
      <c r="C840" s="252" t="s">
        <v>28</v>
      </c>
      <c r="D840" s="252" t="s">
        <v>2558</v>
      </c>
      <c r="E840" s="252" t="s">
        <v>2522</v>
      </c>
      <c r="F840" s="252" t="s">
        <v>2574</v>
      </c>
      <c r="G840" s="252">
        <v>70</v>
      </c>
      <c r="H840" s="252" t="s">
        <v>928</v>
      </c>
      <c r="I840" s="252" t="s">
        <v>928</v>
      </c>
      <c r="J840" s="252" t="s">
        <v>928</v>
      </c>
      <c r="K840" s="252" t="s">
        <v>3236</v>
      </c>
      <c r="L840" s="252">
        <v>324.82</v>
      </c>
      <c r="M840" s="252">
        <v>0</v>
      </c>
      <c r="N840" s="252">
        <v>0</v>
      </c>
      <c r="O840" s="252">
        <v>0</v>
      </c>
      <c r="P840" s="252">
        <v>0</v>
      </c>
      <c r="Q840" s="252">
        <v>0</v>
      </c>
      <c r="R840" s="252">
        <v>0</v>
      </c>
      <c r="S840" s="252">
        <v>0</v>
      </c>
      <c r="T840" s="252">
        <v>0</v>
      </c>
      <c r="U840" s="252">
        <v>0</v>
      </c>
      <c r="V840" s="252">
        <v>0</v>
      </c>
      <c r="W840" s="252">
        <v>0</v>
      </c>
      <c r="X840" s="252">
        <v>0</v>
      </c>
      <c r="Y840" s="252">
        <v>264.64</v>
      </c>
      <c r="Z840" s="252">
        <v>0</v>
      </c>
      <c r="AA840" s="252">
        <v>0</v>
      </c>
      <c r="AB840" s="252">
        <v>60.17</v>
      </c>
      <c r="AC840" s="252">
        <v>0</v>
      </c>
      <c r="AD840" s="252">
        <v>0</v>
      </c>
      <c r="AE840" s="252" t="s">
        <v>720</v>
      </c>
      <c r="AF840" s="252" t="s">
        <v>721</v>
      </c>
      <c r="AG840" s="252">
        <f t="shared" si="65"/>
        <v>0</v>
      </c>
      <c r="AH840" s="252">
        <f t="shared" si="66"/>
        <v>0</v>
      </c>
      <c r="AI840" s="252">
        <f t="shared" si="67"/>
        <v>0</v>
      </c>
      <c r="AJ840" s="252">
        <f t="shared" si="68"/>
        <v>0</v>
      </c>
    </row>
    <row r="841" spans="1:36" x14ac:dyDescent="0.2">
      <c r="A841" s="253" t="str">
        <f t="shared" si="69"/>
        <v>2SYCPPZK99S70</v>
      </c>
      <c r="B841" s="252" t="s">
        <v>19</v>
      </c>
      <c r="C841" s="252" t="s">
        <v>28</v>
      </c>
      <c r="D841" s="252" t="s">
        <v>2558</v>
      </c>
      <c r="E841" s="252" t="s">
        <v>2522</v>
      </c>
      <c r="F841" s="252" t="s">
        <v>2575</v>
      </c>
      <c r="G841" s="252">
        <v>70</v>
      </c>
      <c r="H841" s="252" t="s">
        <v>928</v>
      </c>
      <c r="I841" s="252" t="s">
        <v>2477</v>
      </c>
      <c r="J841" s="252" t="s">
        <v>928</v>
      </c>
      <c r="K841" s="252" t="s">
        <v>3236</v>
      </c>
      <c r="L841" s="252">
        <v>313.23</v>
      </c>
      <c r="M841" s="252">
        <v>0</v>
      </c>
      <c r="N841" s="252">
        <v>0</v>
      </c>
      <c r="O841" s="252">
        <v>0</v>
      </c>
      <c r="P841" s="252">
        <v>0</v>
      </c>
      <c r="Q841" s="252">
        <v>0</v>
      </c>
      <c r="R841" s="252">
        <v>0</v>
      </c>
      <c r="S841" s="252">
        <v>0</v>
      </c>
      <c r="T841" s="252">
        <v>0</v>
      </c>
      <c r="U841" s="252">
        <v>0</v>
      </c>
      <c r="V841" s="252">
        <v>0</v>
      </c>
      <c r="W841" s="252">
        <v>0</v>
      </c>
      <c r="X841" s="252">
        <v>0</v>
      </c>
      <c r="Y841" s="252">
        <v>246.93</v>
      </c>
      <c r="Z841" s="252">
        <v>0</v>
      </c>
      <c r="AA841" s="252">
        <v>0</v>
      </c>
      <c r="AB841" s="252">
        <v>66.3</v>
      </c>
      <c r="AC841" s="252">
        <v>0</v>
      </c>
      <c r="AD841" s="252">
        <v>0</v>
      </c>
      <c r="AE841" s="252" t="s">
        <v>720</v>
      </c>
      <c r="AF841" s="252" t="s">
        <v>721</v>
      </c>
      <c r="AG841" s="252">
        <f t="shared" si="65"/>
        <v>0</v>
      </c>
      <c r="AH841" s="252">
        <f t="shared" si="66"/>
        <v>0</v>
      </c>
      <c r="AI841" s="252">
        <f t="shared" si="67"/>
        <v>0</v>
      </c>
      <c r="AJ841" s="252">
        <f t="shared" si="68"/>
        <v>0</v>
      </c>
    </row>
    <row r="842" spans="1:36" x14ac:dyDescent="0.2">
      <c r="A842" s="253" t="str">
        <f t="shared" si="69"/>
        <v>SYCPPZK99S70</v>
      </c>
      <c r="B842" s="252" t="s">
        <v>19</v>
      </c>
      <c r="C842" s="252" t="s">
        <v>28</v>
      </c>
      <c r="D842" s="252" t="s">
        <v>2558</v>
      </c>
      <c r="E842" s="252" t="s">
        <v>2522</v>
      </c>
      <c r="F842" s="252" t="s">
        <v>2575</v>
      </c>
      <c r="G842" s="252">
        <v>70</v>
      </c>
      <c r="H842" s="252" t="s">
        <v>928</v>
      </c>
      <c r="I842" s="252" t="s">
        <v>928</v>
      </c>
      <c r="J842" s="252" t="s">
        <v>928</v>
      </c>
      <c r="K842" s="252" t="s">
        <v>3236</v>
      </c>
      <c r="L842" s="252">
        <v>313.23</v>
      </c>
      <c r="M842" s="252">
        <v>0</v>
      </c>
      <c r="N842" s="252">
        <v>0</v>
      </c>
      <c r="O842" s="252">
        <v>0</v>
      </c>
      <c r="P842" s="252">
        <v>0</v>
      </c>
      <c r="Q842" s="252">
        <v>0</v>
      </c>
      <c r="R842" s="252">
        <v>0</v>
      </c>
      <c r="S842" s="252">
        <v>0</v>
      </c>
      <c r="T842" s="252">
        <v>0</v>
      </c>
      <c r="U842" s="252">
        <v>0</v>
      </c>
      <c r="V842" s="252">
        <v>0</v>
      </c>
      <c r="W842" s="252">
        <v>0</v>
      </c>
      <c r="X842" s="252">
        <v>0</v>
      </c>
      <c r="Y842" s="252">
        <v>246.93</v>
      </c>
      <c r="Z842" s="252">
        <v>0</v>
      </c>
      <c r="AA842" s="252">
        <v>0</v>
      </c>
      <c r="AB842" s="252">
        <v>66.3</v>
      </c>
      <c r="AC842" s="252">
        <v>0</v>
      </c>
      <c r="AD842" s="252">
        <v>0</v>
      </c>
      <c r="AE842" s="252" t="s">
        <v>720</v>
      </c>
      <c r="AF842" s="252" t="s">
        <v>721</v>
      </c>
      <c r="AG842" s="252">
        <f t="shared" si="65"/>
        <v>0</v>
      </c>
      <c r="AH842" s="252">
        <f t="shared" si="66"/>
        <v>0</v>
      </c>
      <c r="AI842" s="252">
        <f t="shared" si="67"/>
        <v>0</v>
      </c>
      <c r="AJ842" s="252">
        <f t="shared" si="68"/>
        <v>0</v>
      </c>
    </row>
    <row r="843" spans="1:36" x14ac:dyDescent="0.2">
      <c r="A843" s="253" t="str">
        <f t="shared" si="69"/>
        <v>2SYCPPZK99S100</v>
      </c>
      <c r="B843" s="252" t="s">
        <v>19</v>
      </c>
      <c r="C843" s="252" t="s">
        <v>28</v>
      </c>
      <c r="D843" s="252" t="s">
        <v>2558</v>
      </c>
      <c r="E843" s="252" t="s">
        <v>2522</v>
      </c>
      <c r="F843" s="252" t="s">
        <v>2575</v>
      </c>
      <c r="G843" s="252">
        <v>100</v>
      </c>
      <c r="H843" s="252" t="s">
        <v>928</v>
      </c>
      <c r="I843" s="252" t="s">
        <v>2477</v>
      </c>
      <c r="J843" s="252" t="s">
        <v>928</v>
      </c>
      <c r="K843" s="252" t="s">
        <v>3236</v>
      </c>
      <c r="L843" s="252">
        <v>393.31</v>
      </c>
      <c r="M843" s="252">
        <v>0</v>
      </c>
      <c r="N843" s="252">
        <v>0</v>
      </c>
      <c r="O843" s="252">
        <v>0</v>
      </c>
      <c r="P843" s="252">
        <v>0</v>
      </c>
      <c r="Q843" s="252">
        <v>0</v>
      </c>
      <c r="R843" s="252">
        <v>0</v>
      </c>
      <c r="S843" s="252">
        <v>0</v>
      </c>
      <c r="T843" s="252">
        <v>0</v>
      </c>
      <c r="U843" s="252">
        <v>0</v>
      </c>
      <c r="V843" s="252">
        <v>0</v>
      </c>
      <c r="W843" s="252">
        <v>0</v>
      </c>
      <c r="X843" s="252">
        <v>0</v>
      </c>
      <c r="Y843" s="252">
        <v>311.45999999999998</v>
      </c>
      <c r="Z843" s="252">
        <v>0</v>
      </c>
      <c r="AA843" s="252">
        <v>0</v>
      </c>
      <c r="AB843" s="252">
        <v>81.849999999999994</v>
      </c>
      <c r="AC843" s="252">
        <v>0</v>
      </c>
      <c r="AD843" s="252">
        <v>0</v>
      </c>
      <c r="AE843" s="252" t="s">
        <v>720</v>
      </c>
      <c r="AF843" s="252" t="s">
        <v>721</v>
      </c>
      <c r="AG843" s="252">
        <f t="shared" si="65"/>
        <v>0</v>
      </c>
      <c r="AH843" s="252">
        <f t="shared" si="66"/>
        <v>0</v>
      </c>
      <c r="AI843" s="252">
        <f t="shared" si="67"/>
        <v>0</v>
      </c>
      <c r="AJ843" s="252">
        <f t="shared" si="68"/>
        <v>0</v>
      </c>
    </row>
    <row r="844" spans="1:36" x14ac:dyDescent="0.2">
      <c r="A844" s="253" t="str">
        <f t="shared" si="69"/>
        <v>2SYF-FILMEA20</v>
      </c>
      <c r="B844" s="252" t="s">
        <v>19</v>
      </c>
      <c r="C844" s="252" t="s">
        <v>28</v>
      </c>
      <c r="D844" s="252" t="s">
        <v>2576</v>
      </c>
      <c r="E844" s="252" t="s">
        <v>2577</v>
      </c>
      <c r="F844" s="252" t="s">
        <v>2660</v>
      </c>
      <c r="G844" s="252">
        <v>20</v>
      </c>
      <c r="H844" s="252" t="s">
        <v>928</v>
      </c>
      <c r="I844" s="252" t="s">
        <v>2477</v>
      </c>
      <c r="J844" s="252" t="s">
        <v>928</v>
      </c>
      <c r="K844" s="252" t="s">
        <v>3236</v>
      </c>
      <c r="L844" s="252">
        <v>4586.8599999999997</v>
      </c>
      <c r="M844" s="252">
        <v>0</v>
      </c>
      <c r="N844" s="252">
        <v>0</v>
      </c>
      <c r="O844" s="252">
        <v>0</v>
      </c>
      <c r="P844" s="252">
        <v>0</v>
      </c>
      <c r="Q844" s="252">
        <v>0</v>
      </c>
      <c r="R844" s="252">
        <v>0</v>
      </c>
      <c r="S844" s="252">
        <v>0</v>
      </c>
      <c r="T844" s="252">
        <v>0</v>
      </c>
      <c r="U844" s="252">
        <v>0</v>
      </c>
      <c r="V844" s="252">
        <v>0</v>
      </c>
      <c r="W844" s="252">
        <v>0</v>
      </c>
      <c r="X844" s="252">
        <v>0</v>
      </c>
      <c r="Y844" s="252">
        <v>3769.83</v>
      </c>
      <c r="Z844" s="252">
        <v>0</v>
      </c>
      <c r="AA844" s="252">
        <v>0</v>
      </c>
      <c r="AB844" s="252">
        <v>817.03</v>
      </c>
      <c r="AC844" s="252">
        <v>0</v>
      </c>
      <c r="AD844" s="252">
        <v>0</v>
      </c>
      <c r="AE844" s="252" t="s">
        <v>720</v>
      </c>
      <c r="AF844" s="252" t="s">
        <v>721</v>
      </c>
      <c r="AG844" s="252">
        <f t="shared" si="65"/>
        <v>0</v>
      </c>
      <c r="AH844" s="252">
        <f t="shared" si="66"/>
        <v>0</v>
      </c>
      <c r="AI844" s="252">
        <f t="shared" si="67"/>
        <v>0</v>
      </c>
      <c r="AJ844" s="252">
        <f t="shared" si="68"/>
        <v>0</v>
      </c>
    </row>
    <row r="845" spans="1:36" x14ac:dyDescent="0.2">
      <c r="A845" s="253" t="str">
        <f t="shared" si="69"/>
        <v>SYF-FILMEA20</v>
      </c>
      <c r="B845" s="252" t="s">
        <v>19</v>
      </c>
      <c r="C845" s="252" t="s">
        <v>28</v>
      </c>
      <c r="D845" s="252" t="s">
        <v>2576</v>
      </c>
      <c r="E845" s="252" t="s">
        <v>2577</v>
      </c>
      <c r="F845" s="252" t="s">
        <v>2660</v>
      </c>
      <c r="G845" s="252">
        <v>20</v>
      </c>
      <c r="H845" s="252" t="s">
        <v>928</v>
      </c>
      <c r="I845" s="252" t="s">
        <v>928</v>
      </c>
      <c r="J845" s="252" t="s">
        <v>928</v>
      </c>
      <c r="K845" s="252" t="s">
        <v>3236</v>
      </c>
      <c r="L845" s="252">
        <v>4586.8599999999997</v>
      </c>
      <c r="M845" s="252">
        <v>0</v>
      </c>
      <c r="N845" s="252">
        <v>0</v>
      </c>
      <c r="O845" s="252">
        <v>0</v>
      </c>
      <c r="P845" s="252">
        <v>0</v>
      </c>
      <c r="Q845" s="252">
        <v>0</v>
      </c>
      <c r="R845" s="252">
        <v>0</v>
      </c>
      <c r="S845" s="252">
        <v>0</v>
      </c>
      <c r="T845" s="252">
        <v>0</v>
      </c>
      <c r="U845" s="252">
        <v>0</v>
      </c>
      <c r="V845" s="252">
        <v>0</v>
      </c>
      <c r="W845" s="252">
        <v>0</v>
      </c>
      <c r="X845" s="252">
        <v>0</v>
      </c>
      <c r="Y845" s="252">
        <v>3769.83</v>
      </c>
      <c r="Z845" s="252">
        <v>0</v>
      </c>
      <c r="AA845" s="252">
        <v>0</v>
      </c>
      <c r="AB845" s="252">
        <v>817.03</v>
      </c>
      <c r="AC845" s="252">
        <v>0</v>
      </c>
      <c r="AD845" s="252">
        <v>0</v>
      </c>
      <c r="AE845" s="252" t="s">
        <v>720</v>
      </c>
      <c r="AF845" s="252" t="s">
        <v>721</v>
      </c>
      <c r="AG845" s="252">
        <f t="shared" si="65"/>
        <v>0</v>
      </c>
      <c r="AH845" s="252">
        <f t="shared" si="66"/>
        <v>0</v>
      </c>
      <c r="AI845" s="252">
        <f t="shared" si="67"/>
        <v>0</v>
      </c>
      <c r="AJ845" s="252">
        <f t="shared" si="68"/>
        <v>0</v>
      </c>
    </row>
    <row r="846" spans="1:36" x14ac:dyDescent="0.2">
      <c r="A846" s="253" t="str">
        <f t="shared" si="69"/>
        <v>2SYF-FILMF12</v>
      </c>
      <c r="B846" s="252" t="s">
        <v>19</v>
      </c>
      <c r="C846" s="252" t="s">
        <v>28</v>
      </c>
      <c r="D846" s="252" t="s">
        <v>2576</v>
      </c>
      <c r="E846" s="252" t="s">
        <v>2577</v>
      </c>
      <c r="F846" s="252" t="s">
        <v>2582</v>
      </c>
      <c r="G846" s="252">
        <v>12</v>
      </c>
      <c r="H846" s="252" t="s">
        <v>928</v>
      </c>
      <c r="I846" s="252" t="s">
        <v>2477</v>
      </c>
      <c r="J846" s="252" t="s">
        <v>928</v>
      </c>
      <c r="K846" s="252" t="s">
        <v>3236</v>
      </c>
      <c r="L846" s="252">
        <v>10504.1</v>
      </c>
      <c r="M846" s="252">
        <v>0</v>
      </c>
      <c r="N846" s="252">
        <v>0</v>
      </c>
      <c r="O846" s="252">
        <v>0</v>
      </c>
      <c r="P846" s="252">
        <v>0</v>
      </c>
      <c r="Q846" s="252">
        <v>0</v>
      </c>
      <c r="R846" s="252">
        <v>0</v>
      </c>
      <c r="S846" s="252">
        <v>0</v>
      </c>
      <c r="T846" s="252">
        <v>0</v>
      </c>
      <c r="U846" s="252">
        <v>0</v>
      </c>
      <c r="V846" s="252">
        <v>0</v>
      </c>
      <c r="W846" s="252">
        <v>0</v>
      </c>
      <c r="X846" s="252">
        <v>0</v>
      </c>
      <c r="Y846" s="252">
        <v>7383.39</v>
      </c>
      <c r="Z846" s="252">
        <v>0</v>
      </c>
      <c r="AA846" s="252">
        <v>0</v>
      </c>
      <c r="AB846" s="252">
        <v>3120.72</v>
      </c>
      <c r="AC846" s="252">
        <v>0</v>
      </c>
      <c r="AD846" s="252">
        <v>0</v>
      </c>
      <c r="AE846" s="252" t="s">
        <v>720</v>
      </c>
      <c r="AF846" s="252" t="s">
        <v>721</v>
      </c>
      <c r="AG846" s="252">
        <f t="shared" si="65"/>
        <v>0</v>
      </c>
      <c r="AH846" s="252">
        <f t="shared" si="66"/>
        <v>0</v>
      </c>
      <c r="AI846" s="252">
        <f t="shared" si="67"/>
        <v>0</v>
      </c>
      <c r="AJ846" s="252">
        <f t="shared" si="68"/>
        <v>0</v>
      </c>
    </row>
    <row r="847" spans="1:36" x14ac:dyDescent="0.2">
      <c r="A847" s="253" t="str">
        <f t="shared" si="69"/>
        <v>SYF-FILMF12</v>
      </c>
      <c r="B847" s="252" t="s">
        <v>19</v>
      </c>
      <c r="C847" s="252" t="s">
        <v>28</v>
      </c>
      <c r="D847" s="252" t="s">
        <v>2576</v>
      </c>
      <c r="E847" s="252" t="s">
        <v>2577</v>
      </c>
      <c r="F847" s="252" t="s">
        <v>2582</v>
      </c>
      <c r="G847" s="252">
        <v>12</v>
      </c>
      <c r="H847" s="252" t="s">
        <v>928</v>
      </c>
      <c r="I847" s="252" t="s">
        <v>928</v>
      </c>
      <c r="J847" s="252" t="s">
        <v>928</v>
      </c>
      <c r="K847" s="252" t="s">
        <v>3236</v>
      </c>
      <c r="L847" s="252">
        <v>10504.1</v>
      </c>
      <c r="M847" s="252">
        <v>0</v>
      </c>
      <c r="N847" s="252">
        <v>0</v>
      </c>
      <c r="O847" s="252">
        <v>0</v>
      </c>
      <c r="P847" s="252">
        <v>0</v>
      </c>
      <c r="Q847" s="252">
        <v>0</v>
      </c>
      <c r="R847" s="252">
        <v>0</v>
      </c>
      <c r="S847" s="252">
        <v>0</v>
      </c>
      <c r="T847" s="252">
        <v>0</v>
      </c>
      <c r="U847" s="252">
        <v>0</v>
      </c>
      <c r="V847" s="252">
        <v>0</v>
      </c>
      <c r="W847" s="252">
        <v>0</v>
      </c>
      <c r="X847" s="252">
        <v>0</v>
      </c>
      <c r="Y847" s="252">
        <v>7383.39</v>
      </c>
      <c r="Z847" s="252">
        <v>0</v>
      </c>
      <c r="AA847" s="252">
        <v>0</v>
      </c>
      <c r="AB847" s="252">
        <v>3120.72</v>
      </c>
      <c r="AC847" s="252">
        <v>0</v>
      </c>
      <c r="AD847" s="252">
        <v>0</v>
      </c>
      <c r="AE847" s="252" t="s">
        <v>720</v>
      </c>
      <c r="AF847" s="252" t="s">
        <v>721</v>
      </c>
      <c r="AG847" s="252">
        <f t="shared" si="65"/>
        <v>0</v>
      </c>
      <c r="AH847" s="252">
        <f t="shared" si="66"/>
        <v>0</v>
      </c>
      <c r="AI847" s="252">
        <f t="shared" si="67"/>
        <v>0</v>
      </c>
      <c r="AJ847" s="252">
        <f t="shared" si="68"/>
        <v>0</v>
      </c>
    </row>
    <row r="848" spans="1:36" x14ac:dyDescent="0.2">
      <c r="A848" s="253" t="str">
        <f t="shared" si="69"/>
        <v>3SYMLBMSBBF50</v>
      </c>
      <c r="B848" s="252" t="s">
        <v>19</v>
      </c>
      <c r="C848" s="252" t="s">
        <v>28</v>
      </c>
      <c r="D848" s="252" t="s">
        <v>205</v>
      </c>
      <c r="E848" s="252" t="s">
        <v>724</v>
      </c>
      <c r="F848" s="252" t="s">
        <v>224</v>
      </c>
      <c r="G848" s="252">
        <v>50</v>
      </c>
      <c r="H848" s="252" t="s">
        <v>928</v>
      </c>
      <c r="I848" s="252" t="s">
        <v>2465</v>
      </c>
      <c r="J848" s="252" t="s">
        <v>928</v>
      </c>
      <c r="K848" s="252" t="s">
        <v>3236</v>
      </c>
      <c r="L848" s="252">
        <v>21.885400000000001</v>
      </c>
      <c r="M848" s="252">
        <v>99</v>
      </c>
      <c r="N848" s="252">
        <v>0</v>
      </c>
      <c r="O848" s="252">
        <v>0</v>
      </c>
      <c r="P848" s="252">
        <v>4.18424</v>
      </c>
      <c r="Q848" s="252">
        <v>0</v>
      </c>
      <c r="R848" s="252">
        <v>0</v>
      </c>
      <c r="S848" s="252">
        <v>0</v>
      </c>
      <c r="T848" s="252">
        <v>0</v>
      </c>
      <c r="U848" s="252">
        <v>0.32525999999999999</v>
      </c>
      <c r="V848" s="252">
        <v>0.30292999999999998</v>
      </c>
      <c r="W848" s="252">
        <v>0.3931</v>
      </c>
      <c r="X848" s="252">
        <v>0</v>
      </c>
      <c r="Y848" s="252">
        <v>0</v>
      </c>
      <c r="Z848" s="252">
        <v>6.5516100000000002</v>
      </c>
      <c r="AA848" s="252">
        <v>1.25864</v>
      </c>
      <c r="AB848" s="252">
        <v>8.8696199999999994</v>
      </c>
      <c r="AC848" s="252">
        <v>0</v>
      </c>
      <c r="AD848" s="252">
        <v>1</v>
      </c>
      <c r="AE848" s="252" t="s">
        <v>720</v>
      </c>
      <c r="AF848" s="252" t="s">
        <v>721</v>
      </c>
      <c r="AG848" s="252">
        <f t="shared" si="65"/>
        <v>0</v>
      </c>
      <c r="AH848" s="252">
        <f t="shared" si="66"/>
        <v>4.1423975999999998</v>
      </c>
      <c r="AI848" s="252">
        <f t="shared" si="67"/>
        <v>8.7809238000000001</v>
      </c>
      <c r="AJ848" s="252">
        <f t="shared" si="68"/>
        <v>12.923321399999999</v>
      </c>
    </row>
    <row r="849" spans="1:36" x14ac:dyDescent="0.2">
      <c r="A849" s="253" t="str">
        <f t="shared" si="69"/>
        <v>32SYMLBMSBBF50</v>
      </c>
      <c r="B849" s="252" t="s">
        <v>19</v>
      </c>
      <c r="C849" s="252" t="s">
        <v>28</v>
      </c>
      <c r="D849" s="252" t="s">
        <v>205</v>
      </c>
      <c r="E849" s="252" t="s">
        <v>724</v>
      </c>
      <c r="F849" s="252" t="s">
        <v>224</v>
      </c>
      <c r="G849" s="252">
        <v>50</v>
      </c>
      <c r="H849" s="252" t="s">
        <v>928</v>
      </c>
      <c r="I849" s="252" t="s">
        <v>2592</v>
      </c>
      <c r="J849" s="252" t="s">
        <v>928</v>
      </c>
      <c r="K849" s="252" t="s">
        <v>3236</v>
      </c>
      <c r="L849" s="252">
        <v>12.92332</v>
      </c>
      <c r="M849" s="252">
        <v>100</v>
      </c>
      <c r="N849" s="252">
        <v>0</v>
      </c>
      <c r="O849" s="252">
        <v>0</v>
      </c>
      <c r="P849" s="252">
        <v>0</v>
      </c>
      <c r="Q849" s="252">
        <v>0</v>
      </c>
      <c r="R849" s="252">
        <v>0</v>
      </c>
      <c r="S849" s="252">
        <v>0</v>
      </c>
      <c r="T849" s="252">
        <v>0.51524999999999999</v>
      </c>
      <c r="U849" s="252">
        <v>0</v>
      </c>
      <c r="V849" s="252">
        <v>1.1920900000000001</v>
      </c>
      <c r="W849" s="252">
        <v>2.43506</v>
      </c>
      <c r="X849" s="252">
        <v>0</v>
      </c>
      <c r="Y849" s="252">
        <v>0</v>
      </c>
      <c r="Z849" s="252">
        <v>6.2946499999999999</v>
      </c>
      <c r="AA849" s="252">
        <v>2.4862700000000002</v>
      </c>
      <c r="AB849" s="252">
        <v>0</v>
      </c>
      <c r="AC849" s="252">
        <v>0</v>
      </c>
      <c r="AD849" s="252">
        <v>1</v>
      </c>
      <c r="AE849" s="252" t="s">
        <v>720</v>
      </c>
      <c r="AF849" s="252" t="s">
        <v>721</v>
      </c>
      <c r="AG849" s="252">
        <f t="shared" si="65"/>
        <v>0</v>
      </c>
      <c r="AH849" s="252">
        <f t="shared" si="66"/>
        <v>0</v>
      </c>
      <c r="AI849" s="252">
        <f t="shared" si="67"/>
        <v>0</v>
      </c>
      <c r="AJ849" s="252">
        <f t="shared" si="68"/>
        <v>0</v>
      </c>
    </row>
    <row r="850" spans="1:36" x14ac:dyDescent="0.2">
      <c r="A850" s="253" t="str">
        <f t="shared" si="69"/>
        <v>3SYMLBMSBBZF50</v>
      </c>
      <c r="B850" s="252" t="s">
        <v>19</v>
      </c>
      <c r="C850" s="252" t="s">
        <v>28</v>
      </c>
      <c r="D850" s="252" t="s">
        <v>205</v>
      </c>
      <c r="E850" s="252" t="s">
        <v>724</v>
      </c>
      <c r="F850" s="252" t="s">
        <v>226</v>
      </c>
      <c r="G850" s="252">
        <v>50</v>
      </c>
      <c r="H850" s="252" t="s">
        <v>928</v>
      </c>
      <c r="I850" s="252" t="s">
        <v>2465</v>
      </c>
      <c r="J850" s="252" t="s">
        <v>928</v>
      </c>
      <c r="K850" s="252" t="s">
        <v>3236</v>
      </c>
      <c r="L850" s="252">
        <v>21.885400000000001</v>
      </c>
      <c r="M850" s="252">
        <v>99</v>
      </c>
      <c r="N850" s="252">
        <v>0</v>
      </c>
      <c r="O850" s="252">
        <v>0</v>
      </c>
      <c r="P850" s="252">
        <v>4.18424</v>
      </c>
      <c r="Q850" s="252">
        <v>0</v>
      </c>
      <c r="R850" s="252">
        <v>0</v>
      </c>
      <c r="S850" s="252">
        <v>0</v>
      </c>
      <c r="T850" s="252">
        <v>0</v>
      </c>
      <c r="U850" s="252">
        <v>0.32525999999999999</v>
      </c>
      <c r="V850" s="252">
        <v>0.30292999999999998</v>
      </c>
      <c r="W850" s="252">
        <v>0.3931</v>
      </c>
      <c r="X850" s="252">
        <v>0</v>
      </c>
      <c r="Y850" s="252">
        <v>0</v>
      </c>
      <c r="Z850" s="252">
        <v>6.5516100000000002</v>
      </c>
      <c r="AA850" s="252">
        <v>1.25864</v>
      </c>
      <c r="AB850" s="252">
        <v>8.8696199999999994</v>
      </c>
      <c r="AC850" s="252">
        <v>0</v>
      </c>
      <c r="AD850" s="252">
        <v>1</v>
      </c>
      <c r="AE850" s="252" t="s">
        <v>720</v>
      </c>
      <c r="AF850" s="252" t="s">
        <v>721</v>
      </c>
      <c r="AG850" s="252">
        <f t="shared" si="65"/>
        <v>0</v>
      </c>
      <c r="AH850" s="252">
        <f t="shared" si="66"/>
        <v>4.1423975999999998</v>
      </c>
      <c r="AI850" s="252">
        <f t="shared" si="67"/>
        <v>8.7809238000000001</v>
      </c>
      <c r="AJ850" s="252">
        <f t="shared" si="68"/>
        <v>12.923321399999999</v>
      </c>
    </row>
    <row r="851" spans="1:36" x14ac:dyDescent="0.2">
      <c r="A851" s="253" t="str">
        <f t="shared" si="69"/>
        <v>32SYMLBMSBBZF50</v>
      </c>
      <c r="B851" s="252" t="s">
        <v>19</v>
      </c>
      <c r="C851" s="252" t="s">
        <v>28</v>
      </c>
      <c r="D851" s="252" t="s">
        <v>205</v>
      </c>
      <c r="E851" s="252" t="s">
        <v>724</v>
      </c>
      <c r="F851" s="252" t="s">
        <v>226</v>
      </c>
      <c r="G851" s="252">
        <v>50</v>
      </c>
      <c r="H851" s="252" t="s">
        <v>928</v>
      </c>
      <c r="I851" s="252" t="s">
        <v>2592</v>
      </c>
      <c r="J851" s="252" t="s">
        <v>928</v>
      </c>
      <c r="K851" s="252" t="s">
        <v>3236</v>
      </c>
      <c r="L851" s="252">
        <v>12.92332</v>
      </c>
      <c r="M851" s="252">
        <v>100</v>
      </c>
      <c r="N851" s="252">
        <v>0</v>
      </c>
      <c r="O851" s="252">
        <v>0</v>
      </c>
      <c r="P851" s="252">
        <v>0</v>
      </c>
      <c r="Q851" s="252">
        <v>0</v>
      </c>
      <c r="R851" s="252">
        <v>0</v>
      </c>
      <c r="S851" s="252">
        <v>0</v>
      </c>
      <c r="T851" s="252">
        <v>0.51524999999999999</v>
      </c>
      <c r="U851" s="252">
        <v>0</v>
      </c>
      <c r="V851" s="252">
        <v>1.1920900000000001</v>
      </c>
      <c r="W851" s="252">
        <v>2.43506</v>
      </c>
      <c r="X851" s="252">
        <v>0</v>
      </c>
      <c r="Y851" s="252">
        <v>0</v>
      </c>
      <c r="Z851" s="252">
        <v>6.2946499999999999</v>
      </c>
      <c r="AA851" s="252">
        <v>2.4862700000000002</v>
      </c>
      <c r="AB851" s="252">
        <v>0</v>
      </c>
      <c r="AC851" s="252">
        <v>0</v>
      </c>
      <c r="AD851" s="252">
        <v>1</v>
      </c>
      <c r="AE851" s="252" t="s">
        <v>720</v>
      </c>
      <c r="AF851" s="252" t="s">
        <v>721</v>
      </c>
      <c r="AG851" s="252">
        <f t="shared" si="65"/>
        <v>0</v>
      </c>
      <c r="AH851" s="252">
        <f t="shared" si="66"/>
        <v>0</v>
      </c>
      <c r="AI851" s="252">
        <f t="shared" si="67"/>
        <v>0</v>
      </c>
      <c r="AJ851" s="252">
        <f t="shared" si="68"/>
        <v>0</v>
      </c>
    </row>
    <row r="852" spans="1:36" x14ac:dyDescent="0.2">
      <c r="A852" s="253" t="str">
        <f t="shared" si="69"/>
        <v>3SYMLBMSNMBF50</v>
      </c>
      <c r="B852" s="252" t="s">
        <v>19</v>
      </c>
      <c r="C852" s="252" t="s">
        <v>28</v>
      </c>
      <c r="D852" s="252" t="s">
        <v>205</v>
      </c>
      <c r="E852" s="252" t="s">
        <v>724</v>
      </c>
      <c r="F852" s="252" t="s">
        <v>233</v>
      </c>
      <c r="G852" s="252">
        <v>50</v>
      </c>
      <c r="H852" s="252" t="s">
        <v>928</v>
      </c>
      <c r="I852" s="252" t="s">
        <v>2465</v>
      </c>
      <c r="J852" s="252" t="s">
        <v>928</v>
      </c>
      <c r="K852" s="252" t="s">
        <v>3236</v>
      </c>
      <c r="L852" s="252">
        <v>20.663930000000001</v>
      </c>
      <c r="M852" s="252">
        <v>98.8</v>
      </c>
      <c r="N852" s="252">
        <v>0</v>
      </c>
      <c r="O852" s="252">
        <v>0</v>
      </c>
      <c r="P852" s="252">
        <v>3.0045899999999999</v>
      </c>
      <c r="Q852" s="252">
        <v>0</v>
      </c>
      <c r="R852" s="252">
        <v>0</v>
      </c>
      <c r="S852" s="252">
        <v>0</v>
      </c>
      <c r="T852" s="252">
        <v>0</v>
      </c>
      <c r="U852" s="252">
        <v>2.7001499999999998</v>
      </c>
      <c r="V852" s="252">
        <v>0.30292999999999998</v>
      </c>
      <c r="W852" s="252">
        <v>0.38108999999999998</v>
      </c>
      <c r="X852" s="252">
        <v>0</v>
      </c>
      <c r="Y852" s="252">
        <v>0</v>
      </c>
      <c r="Z852" s="252">
        <v>6.3416199999999998</v>
      </c>
      <c r="AA852" s="252">
        <v>1.22157</v>
      </c>
      <c r="AB852" s="252">
        <v>6.7119799999999996</v>
      </c>
      <c r="AC852" s="252">
        <v>0</v>
      </c>
      <c r="AD852" s="252">
        <v>1</v>
      </c>
      <c r="AE852" s="252" t="s">
        <v>720</v>
      </c>
      <c r="AF852" s="252" t="s">
        <v>721</v>
      </c>
      <c r="AG852" s="252">
        <f t="shared" si="65"/>
        <v>0</v>
      </c>
      <c r="AH852" s="252">
        <f t="shared" si="66"/>
        <v>2.9685349199999997</v>
      </c>
      <c r="AI852" s="252">
        <f t="shared" si="67"/>
        <v>6.6314362399999993</v>
      </c>
      <c r="AJ852" s="252">
        <f t="shared" si="68"/>
        <v>9.5999711599999991</v>
      </c>
    </row>
    <row r="853" spans="1:36" x14ac:dyDescent="0.2">
      <c r="A853" s="253" t="str">
        <f t="shared" si="69"/>
        <v>32SYMLBMSNMBF50</v>
      </c>
      <c r="B853" s="252" t="s">
        <v>19</v>
      </c>
      <c r="C853" s="252" t="s">
        <v>28</v>
      </c>
      <c r="D853" s="252" t="s">
        <v>205</v>
      </c>
      <c r="E853" s="252" t="s">
        <v>724</v>
      </c>
      <c r="F853" s="252" t="s">
        <v>233</v>
      </c>
      <c r="G853" s="252">
        <v>50</v>
      </c>
      <c r="H853" s="252" t="s">
        <v>928</v>
      </c>
      <c r="I853" s="252" t="s">
        <v>2592</v>
      </c>
      <c r="J853" s="252" t="s">
        <v>928</v>
      </c>
      <c r="K853" s="252" t="s">
        <v>3236</v>
      </c>
      <c r="L853" s="252">
        <v>9.5999700000000008</v>
      </c>
      <c r="M853" s="252">
        <v>100</v>
      </c>
      <c r="N853" s="252">
        <v>0</v>
      </c>
      <c r="O853" s="252">
        <v>0</v>
      </c>
      <c r="P853" s="252">
        <v>0</v>
      </c>
      <c r="Q853" s="252">
        <v>0</v>
      </c>
      <c r="R853" s="252">
        <v>0</v>
      </c>
      <c r="S853" s="252">
        <v>0</v>
      </c>
      <c r="T853" s="252">
        <v>0.36542999999999998</v>
      </c>
      <c r="U853" s="252">
        <v>0</v>
      </c>
      <c r="V853" s="252">
        <v>0.74604999999999999</v>
      </c>
      <c r="W853" s="252">
        <v>1.8570500000000001</v>
      </c>
      <c r="X853" s="252">
        <v>0</v>
      </c>
      <c r="Y853" s="252">
        <v>0</v>
      </c>
      <c r="Z853" s="252">
        <v>4.7534900000000002</v>
      </c>
      <c r="AA853" s="252">
        <v>1.87795</v>
      </c>
      <c r="AB853" s="252">
        <v>0</v>
      </c>
      <c r="AC853" s="252">
        <v>0</v>
      </c>
      <c r="AD853" s="252">
        <v>1</v>
      </c>
      <c r="AE853" s="252" t="s">
        <v>720</v>
      </c>
      <c r="AF853" s="252" t="s">
        <v>721</v>
      </c>
      <c r="AG853" s="252">
        <f t="shared" si="65"/>
        <v>0</v>
      </c>
      <c r="AH853" s="252">
        <f t="shared" si="66"/>
        <v>0</v>
      </c>
      <c r="AI853" s="252">
        <f t="shared" si="67"/>
        <v>0</v>
      </c>
      <c r="AJ853" s="252">
        <f t="shared" si="68"/>
        <v>0</v>
      </c>
    </row>
    <row r="854" spans="1:36" x14ac:dyDescent="0.2">
      <c r="A854" s="253" t="str">
        <f t="shared" si="69"/>
        <v>3SYMLBMSNMBZF25</v>
      </c>
      <c r="B854" s="252" t="s">
        <v>19</v>
      </c>
      <c r="C854" s="252" t="s">
        <v>28</v>
      </c>
      <c r="D854" s="252" t="s">
        <v>205</v>
      </c>
      <c r="E854" s="252" t="s">
        <v>724</v>
      </c>
      <c r="F854" s="252" t="s">
        <v>235</v>
      </c>
      <c r="G854" s="252">
        <v>25</v>
      </c>
      <c r="H854" s="252" t="s">
        <v>928</v>
      </c>
      <c r="I854" s="252" t="s">
        <v>2465</v>
      </c>
      <c r="J854" s="252" t="s">
        <v>928</v>
      </c>
      <c r="K854" s="252" t="s">
        <v>3236</v>
      </c>
      <c r="L854" s="252">
        <v>17.932469999999999</v>
      </c>
      <c r="M854" s="252">
        <v>98.3</v>
      </c>
      <c r="N854" s="252">
        <v>0</v>
      </c>
      <c r="O854" s="252">
        <v>0</v>
      </c>
      <c r="P854" s="252">
        <v>3.0198700000000001</v>
      </c>
      <c r="Q854" s="252">
        <v>0</v>
      </c>
      <c r="R854" s="252">
        <v>0</v>
      </c>
      <c r="S854" s="252">
        <v>0</v>
      </c>
      <c r="T854" s="252">
        <v>0</v>
      </c>
      <c r="U854" s="252">
        <v>1.3500700000000001</v>
      </c>
      <c r="V854" s="252">
        <v>0.30292999999999998</v>
      </c>
      <c r="W854" s="252">
        <v>0.31108000000000002</v>
      </c>
      <c r="X854" s="252">
        <v>0</v>
      </c>
      <c r="Y854" s="252">
        <v>0</v>
      </c>
      <c r="Z854" s="252">
        <v>5.2099799999999998</v>
      </c>
      <c r="AA854" s="252">
        <v>0.99241999999999997</v>
      </c>
      <c r="AB854" s="252">
        <v>6.7461200000000003</v>
      </c>
      <c r="AC854" s="252">
        <v>0</v>
      </c>
      <c r="AD854" s="252">
        <v>1</v>
      </c>
      <c r="AE854" s="252" t="s">
        <v>720</v>
      </c>
      <c r="AF854" s="252" t="s">
        <v>721</v>
      </c>
      <c r="AG854" s="252">
        <f t="shared" si="65"/>
        <v>0</v>
      </c>
      <c r="AH854" s="252">
        <f t="shared" si="66"/>
        <v>2.9685322100000002</v>
      </c>
      <c r="AI854" s="252">
        <f t="shared" si="67"/>
        <v>6.6314359600000001</v>
      </c>
      <c r="AJ854" s="252">
        <f t="shared" si="68"/>
        <v>9.5999681700000004</v>
      </c>
    </row>
    <row r="855" spans="1:36" x14ac:dyDescent="0.2">
      <c r="A855" s="253" t="str">
        <f t="shared" si="69"/>
        <v>32SYMLBMSNMBZF25</v>
      </c>
      <c r="B855" s="252" t="s">
        <v>19</v>
      </c>
      <c r="C855" s="252" t="s">
        <v>28</v>
      </c>
      <c r="D855" s="252" t="s">
        <v>205</v>
      </c>
      <c r="E855" s="252" t="s">
        <v>724</v>
      </c>
      <c r="F855" s="252" t="s">
        <v>235</v>
      </c>
      <c r="G855" s="252">
        <v>25</v>
      </c>
      <c r="H855" s="252" t="s">
        <v>928</v>
      </c>
      <c r="I855" s="252" t="s">
        <v>2592</v>
      </c>
      <c r="J855" s="252" t="s">
        <v>928</v>
      </c>
      <c r="K855" s="252" t="s">
        <v>3236</v>
      </c>
      <c r="L855" s="252">
        <v>9.5999700000000008</v>
      </c>
      <c r="M855" s="252">
        <v>100</v>
      </c>
      <c r="N855" s="252">
        <v>0</v>
      </c>
      <c r="O855" s="252">
        <v>0</v>
      </c>
      <c r="P855" s="252">
        <v>0</v>
      </c>
      <c r="Q855" s="252">
        <v>0</v>
      </c>
      <c r="R855" s="252">
        <v>0</v>
      </c>
      <c r="S855" s="252">
        <v>0</v>
      </c>
      <c r="T855" s="252">
        <v>0.36542999999999998</v>
      </c>
      <c r="U855" s="252">
        <v>0</v>
      </c>
      <c r="V855" s="252">
        <v>0.74604999999999999</v>
      </c>
      <c r="W855" s="252">
        <v>1.8570500000000001</v>
      </c>
      <c r="X855" s="252">
        <v>0</v>
      </c>
      <c r="Y855" s="252">
        <v>0</v>
      </c>
      <c r="Z855" s="252">
        <v>4.7534900000000002</v>
      </c>
      <c r="AA855" s="252">
        <v>1.87795</v>
      </c>
      <c r="AB855" s="252">
        <v>0</v>
      </c>
      <c r="AC855" s="252">
        <v>0</v>
      </c>
      <c r="AD855" s="252">
        <v>1</v>
      </c>
      <c r="AE855" s="252" t="s">
        <v>720</v>
      </c>
      <c r="AF855" s="252" t="s">
        <v>721</v>
      </c>
      <c r="AG855" s="252">
        <f t="shared" si="65"/>
        <v>0</v>
      </c>
      <c r="AH855" s="252">
        <f t="shared" si="66"/>
        <v>0</v>
      </c>
      <c r="AI855" s="252">
        <f t="shared" si="67"/>
        <v>0</v>
      </c>
      <c r="AJ855" s="252">
        <f t="shared" si="68"/>
        <v>0</v>
      </c>
    </row>
    <row r="856" spans="1:36" x14ac:dyDescent="0.2">
      <c r="A856" s="253" t="str">
        <f t="shared" si="69"/>
        <v>3SYMLBMSNMBZF50</v>
      </c>
      <c r="B856" s="252" t="s">
        <v>19</v>
      </c>
      <c r="C856" s="252" t="s">
        <v>28</v>
      </c>
      <c r="D856" s="252" t="s">
        <v>205</v>
      </c>
      <c r="E856" s="252" t="s">
        <v>724</v>
      </c>
      <c r="F856" s="252" t="s">
        <v>235</v>
      </c>
      <c r="G856" s="252">
        <v>50</v>
      </c>
      <c r="H856" s="252" t="s">
        <v>928</v>
      </c>
      <c r="I856" s="252" t="s">
        <v>2465</v>
      </c>
      <c r="J856" s="252" t="s">
        <v>928</v>
      </c>
      <c r="K856" s="252" t="s">
        <v>3236</v>
      </c>
      <c r="L856" s="252">
        <v>22.48394</v>
      </c>
      <c r="M856" s="252">
        <v>99</v>
      </c>
      <c r="N856" s="252">
        <v>0</v>
      </c>
      <c r="O856" s="252">
        <v>0</v>
      </c>
      <c r="P856" s="252">
        <v>3.63687</v>
      </c>
      <c r="Q856" s="252">
        <v>0</v>
      </c>
      <c r="R856" s="252">
        <v>0</v>
      </c>
      <c r="S856" s="252">
        <v>0</v>
      </c>
      <c r="T856" s="252">
        <v>0</v>
      </c>
      <c r="U856" s="252">
        <v>2.7001499999999998</v>
      </c>
      <c r="V856" s="252">
        <v>0.30292999999999998</v>
      </c>
      <c r="W856" s="252">
        <v>0.38008999999999998</v>
      </c>
      <c r="X856" s="252">
        <v>0</v>
      </c>
      <c r="Y856" s="252">
        <v>0</v>
      </c>
      <c r="Z856" s="252">
        <v>6.3357799999999997</v>
      </c>
      <c r="AA856" s="252">
        <v>1.22157</v>
      </c>
      <c r="AB856" s="252">
        <v>7.9065500000000002</v>
      </c>
      <c r="AC856" s="252">
        <v>0</v>
      </c>
      <c r="AD856" s="252">
        <v>1</v>
      </c>
      <c r="AE856" s="252" t="s">
        <v>720</v>
      </c>
      <c r="AF856" s="252" t="s">
        <v>721</v>
      </c>
      <c r="AG856" s="252">
        <f t="shared" si="65"/>
        <v>0</v>
      </c>
      <c r="AH856" s="252">
        <f t="shared" si="66"/>
        <v>3.6005013000000003</v>
      </c>
      <c r="AI856" s="252">
        <f t="shared" si="67"/>
        <v>7.8274845000000006</v>
      </c>
      <c r="AJ856" s="252">
        <f t="shared" si="68"/>
        <v>11.427985800000002</v>
      </c>
    </row>
    <row r="857" spans="1:36" x14ac:dyDescent="0.2">
      <c r="A857" s="253" t="str">
        <f t="shared" si="69"/>
        <v>32SYMLBMSNMBZF50</v>
      </c>
      <c r="B857" s="252" t="s">
        <v>19</v>
      </c>
      <c r="C857" s="252" t="s">
        <v>28</v>
      </c>
      <c r="D857" s="252" t="s">
        <v>205</v>
      </c>
      <c r="E857" s="252" t="s">
        <v>724</v>
      </c>
      <c r="F857" s="252" t="s">
        <v>235</v>
      </c>
      <c r="G857" s="252">
        <v>50</v>
      </c>
      <c r="H857" s="252" t="s">
        <v>928</v>
      </c>
      <c r="I857" s="252" t="s">
        <v>2592</v>
      </c>
      <c r="J857" s="252" t="s">
        <v>928</v>
      </c>
      <c r="K857" s="252" t="s">
        <v>3236</v>
      </c>
      <c r="L857" s="252">
        <v>11.427989999999999</v>
      </c>
      <c r="M857" s="252">
        <v>100</v>
      </c>
      <c r="N857" s="252">
        <v>0</v>
      </c>
      <c r="O857" s="252">
        <v>0</v>
      </c>
      <c r="P857" s="252">
        <v>0</v>
      </c>
      <c r="Q857" s="252">
        <v>0</v>
      </c>
      <c r="R857" s="252">
        <v>0</v>
      </c>
      <c r="S857" s="252">
        <v>0</v>
      </c>
      <c r="T857" s="252">
        <v>0.42937999999999998</v>
      </c>
      <c r="U857" s="252">
        <v>0</v>
      </c>
      <c r="V857" s="252">
        <v>0.99407000000000001</v>
      </c>
      <c r="W857" s="252">
        <v>2.17706</v>
      </c>
      <c r="X857" s="252">
        <v>0</v>
      </c>
      <c r="Y857" s="252">
        <v>0</v>
      </c>
      <c r="Z857" s="252">
        <v>5.6104000000000003</v>
      </c>
      <c r="AA857" s="252">
        <v>2.2170800000000002</v>
      </c>
      <c r="AB857" s="252">
        <v>0</v>
      </c>
      <c r="AC857" s="252">
        <v>0</v>
      </c>
      <c r="AD857" s="252">
        <v>1</v>
      </c>
      <c r="AE857" s="252" t="s">
        <v>720</v>
      </c>
      <c r="AF857" s="252" t="s">
        <v>721</v>
      </c>
      <c r="AG857" s="252">
        <f t="shared" si="65"/>
        <v>0</v>
      </c>
      <c r="AH857" s="252">
        <f t="shared" si="66"/>
        <v>0</v>
      </c>
      <c r="AI857" s="252">
        <f t="shared" si="67"/>
        <v>0</v>
      </c>
      <c r="AJ857" s="252">
        <f t="shared" si="68"/>
        <v>0</v>
      </c>
    </row>
    <row r="858" spans="1:36" x14ac:dyDescent="0.2">
      <c r="A858" s="253" t="str">
        <f t="shared" si="69"/>
        <v>3SYMLBMSSMBF50</v>
      </c>
      <c r="B858" s="252" t="s">
        <v>19</v>
      </c>
      <c r="C858" s="252" t="s">
        <v>28</v>
      </c>
      <c r="D858" s="252" t="s">
        <v>205</v>
      </c>
      <c r="E858" s="252" t="s">
        <v>724</v>
      </c>
      <c r="F858" s="252" t="s">
        <v>237</v>
      </c>
      <c r="G858" s="252">
        <v>50</v>
      </c>
      <c r="H858" s="252" t="s">
        <v>928</v>
      </c>
      <c r="I858" s="252" t="s">
        <v>2465</v>
      </c>
      <c r="J858" s="252" t="s">
        <v>928</v>
      </c>
      <c r="K858" s="252" t="s">
        <v>3236</v>
      </c>
      <c r="L858" s="252">
        <v>79.691900000000004</v>
      </c>
      <c r="M858" s="252">
        <v>98</v>
      </c>
      <c r="N858" s="252">
        <v>0</v>
      </c>
      <c r="O858" s="252">
        <v>57.010199999999998</v>
      </c>
      <c r="P858" s="252">
        <v>3.6739899999999999</v>
      </c>
      <c r="Q858" s="252">
        <v>0</v>
      </c>
      <c r="R858" s="252">
        <v>0</v>
      </c>
      <c r="S858" s="252">
        <v>0</v>
      </c>
      <c r="T858" s="252">
        <v>0</v>
      </c>
      <c r="U858" s="252">
        <v>2.7001499999999998</v>
      </c>
      <c r="V858" s="252">
        <v>0.30292999999999998</v>
      </c>
      <c r="W858" s="252">
        <v>0.38408999999999999</v>
      </c>
      <c r="X858" s="252">
        <v>0</v>
      </c>
      <c r="Y858" s="252">
        <v>0</v>
      </c>
      <c r="Z858" s="252">
        <v>6.3999499999999996</v>
      </c>
      <c r="AA858" s="252">
        <v>1.2333700000000001</v>
      </c>
      <c r="AB858" s="252">
        <v>7.9872199999999998</v>
      </c>
      <c r="AC858" s="252">
        <v>0</v>
      </c>
      <c r="AD858" s="252">
        <v>1</v>
      </c>
      <c r="AE858" s="252" t="s">
        <v>720</v>
      </c>
      <c r="AF858" s="252" t="s">
        <v>721</v>
      </c>
      <c r="AG858" s="252">
        <f t="shared" si="65"/>
        <v>55.869996</v>
      </c>
      <c r="AH858" s="252">
        <f t="shared" si="66"/>
        <v>3.6005102</v>
      </c>
      <c r="AI858" s="252">
        <f t="shared" si="67"/>
        <v>7.8274756000000005</v>
      </c>
      <c r="AJ858" s="252">
        <f t="shared" si="68"/>
        <v>67.297981800000002</v>
      </c>
    </row>
    <row r="859" spans="1:36" x14ac:dyDescent="0.2">
      <c r="A859" s="253" t="str">
        <f t="shared" si="69"/>
        <v>32SYMLBMSSMBF50</v>
      </c>
      <c r="B859" s="252" t="s">
        <v>19</v>
      </c>
      <c r="C859" s="252" t="s">
        <v>28</v>
      </c>
      <c r="D859" s="252" t="s">
        <v>205</v>
      </c>
      <c r="E859" s="252" t="s">
        <v>724</v>
      </c>
      <c r="F859" s="252" t="s">
        <v>237</v>
      </c>
      <c r="G859" s="252">
        <v>50</v>
      </c>
      <c r="H859" s="252" t="s">
        <v>928</v>
      </c>
      <c r="I859" s="252" t="s">
        <v>2592</v>
      </c>
      <c r="J859" s="252" t="s">
        <v>928</v>
      </c>
      <c r="K859" s="252" t="s">
        <v>3236</v>
      </c>
      <c r="L859" s="252">
        <v>11.427989999999999</v>
      </c>
      <c r="M859" s="252">
        <v>100</v>
      </c>
      <c r="N859" s="252">
        <v>0</v>
      </c>
      <c r="O859" s="252">
        <v>0</v>
      </c>
      <c r="P859" s="252">
        <v>0</v>
      </c>
      <c r="Q859" s="252">
        <v>0</v>
      </c>
      <c r="R859" s="252">
        <v>0</v>
      </c>
      <c r="S859" s="252">
        <v>0</v>
      </c>
      <c r="T859" s="252">
        <v>0.42937999999999998</v>
      </c>
      <c r="U859" s="252">
        <v>0</v>
      </c>
      <c r="V859" s="252">
        <v>0.99407000000000001</v>
      </c>
      <c r="W859" s="252">
        <v>2.17706</v>
      </c>
      <c r="X859" s="252">
        <v>0</v>
      </c>
      <c r="Y859" s="252">
        <v>0</v>
      </c>
      <c r="Z859" s="252">
        <v>5.6104000000000003</v>
      </c>
      <c r="AA859" s="252">
        <v>2.2170800000000002</v>
      </c>
      <c r="AB859" s="252">
        <v>0</v>
      </c>
      <c r="AC859" s="252">
        <v>0</v>
      </c>
      <c r="AD859" s="252">
        <v>1</v>
      </c>
      <c r="AE859" s="252" t="s">
        <v>720</v>
      </c>
      <c r="AF859" s="252" t="s">
        <v>721</v>
      </c>
      <c r="AG859" s="252">
        <f t="shared" si="65"/>
        <v>0</v>
      </c>
      <c r="AH859" s="252">
        <f t="shared" si="66"/>
        <v>0</v>
      </c>
      <c r="AI859" s="252">
        <f t="shared" si="67"/>
        <v>0</v>
      </c>
      <c r="AJ859" s="252">
        <f t="shared" si="68"/>
        <v>0</v>
      </c>
    </row>
    <row r="860" spans="1:36" x14ac:dyDescent="0.2">
      <c r="A860" s="253" t="str">
        <f t="shared" si="69"/>
        <v>3SYMLBMSSMBZF50</v>
      </c>
      <c r="B860" s="252" t="s">
        <v>19</v>
      </c>
      <c r="C860" s="252" t="s">
        <v>28</v>
      </c>
      <c r="D860" s="252" t="s">
        <v>205</v>
      </c>
      <c r="E860" s="252" t="s">
        <v>724</v>
      </c>
      <c r="F860" s="252" t="s">
        <v>240</v>
      </c>
      <c r="G860" s="252">
        <v>50</v>
      </c>
      <c r="H860" s="252" t="s">
        <v>928</v>
      </c>
      <c r="I860" s="252" t="s">
        <v>2465</v>
      </c>
      <c r="J860" s="252" t="s">
        <v>928</v>
      </c>
      <c r="K860" s="252" t="s">
        <v>3236</v>
      </c>
      <c r="L860" s="252">
        <v>92.049049999999994</v>
      </c>
      <c r="M860" s="252">
        <v>98</v>
      </c>
      <c r="N860" s="252">
        <v>0</v>
      </c>
      <c r="O860" s="252">
        <v>69.367350000000002</v>
      </c>
      <c r="P860" s="252">
        <v>3.6739899999999999</v>
      </c>
      <c r="Q860" s="252">
        <v>0</v>
      </c>
      <c r="R860" s="252">
        <v>0</v>
      </c>
      <c r="S860" s="252">
        <v>0</v>
      </c>
      <c r="T860" s="252">
        <v>0</v>
      </c>
      <c r="U860" s="252">
        <v>2.7001499999999998</v>
      </c>
      <c r="V860" s="252">
        <v>0.30292999999999998</v>
      </c>
      <c r="W860" s="252">
        <v>0.38408999999999999</v>
      </c>
      <c r="X860" s="252">
        <v>0</v>
      </c>
      <c r="Y860" s="252">
        <v>0</v>
      </c>
      <c r="Z860" s="252">
        <v>6.3999499999999996</v>
      </c>
      <c r="AA860" s="252">
        <v>1.2333700000000001</v>
      </c>
      <c r="AB860" s="252">
        <v>7.9872199999999998</v>
      </c>
      <c r="AC860" s="252">
        <v>0</v>
      </c>
      <c r="AD860" s="252">
        <v>1</v>
      </c>
      <c r="AE860" s="252" t="s">
        <v>720</v>
      </c>
      <c r="AF860" s="252" t="s">
        <v>721</v>
      </c>
      <c r="AG860" s="252">
        <f t="shared" si="65"/>
        <v>67.980003000000011</v>
      </c>
      <c r="AH860" s="252">
        <f t="shared" si="66"/>
        <v>3.6005102</v>
      </c>
      <c r="AI860" s="252">
        <f t="shared" si="67"/>
        <v>7.8274756000000005</v>
      </c>
      <c r="AJ860" s="252">
        <f t="shared" si="68"/>
        <v>79.407988800000012</v>
      </c>
    </row>
    <row r="861" spans="1:36" x14ac:dyDescent="0.2">
      <c r="A861" s="253" t="str">
        <f t="shared" si="69"/>
        <v>32SYMLBMSSMBZF50</v>
      </c>
      <c r="B861" s="252" t="s">
        <v>19</v>
      </c>
      <c r="C861" s="252" t="s">
        <v>28</v>
      </c>
      <c r="D861" s="252" t="s">
        <v>205</v>
      </c>
      <c r="E861" s="252" t="s">
        <v>724</v>
      </c>
      <c r="F861" s="252" t="s">
        <v>240</v>
      </c>
      <c r="G861" s="252">
        <v>50</v>
      </c>
      <c r="H861" s="252" t="s">
        <v>928</v>
      </c>
      <c r="I861" s="252" t="s">
        <v>2592</v>
      </c>
      <c r="J861" s="252" t="s">
        <v>928</v>
      </c>
      <c r="K861" s="252" t="s">
        <v>3236</v>
      </c>
      <c r="L861" s="252">
        <v>11.427989999999999</v>
      </c>
      <c r="M861" s="252">
        <v>100</v>
      </c>
      <c r="N861" s="252">
        <v>0</v>
      </c>
      <c r="O861" s="252">
        <v>0</v>
      </c>
      <c r="P861" s="252">
        <v>0</v>
      </c>
      <c r="Q861" s="252">
        <v>0</v>
      </c>
      <c r="R861" s="252">
        <v>0</v>
      </c>
      <c r="S861" s="252">
        <v>0</v>
      </c>
      <c r="T861" s="252">
        <v>0.42937999999999998</v>
      </c>
      <c r="U861" s="252">
        <v>0</v>
      </c>
      <c r="V861" s="252">
        <v>0.99407000000000001</v>
      </c>
      <c r="W861" s="252">
        <v>2.17706</v>
      </c>
      <c r="X861" s="252">
        <v>0</v>
      </c>
      <c r="Y861" s="252">
        <v>0</v>
      </c>
      <c r="Z861" s="252">
        <v>5.6104000000000003</v>
      </c>
      <c r="AA861" s="252">
        <v>2.2170800000000002</v>
      </c>
      <c r="AB861" s="252">
        <v>0</v>
      </c>
      <c r="AC861" s="252">
        <v>0</v>
      </c>
      <c r="AD861" s="252">
        <v>1</v>
      </c>
      <c r="AE861" s="252" t="s">
        <v>720</v>
      </c>
      <c r="AF861" s="252" t="s">
        <v>721</v>
      </c>
      <c r="AG861" s="252">
        <f t="shared" si="65"/>
        <v>0</v>
      </c>
      <c r="AH861" s="252">
        <f t="shared" si="66"/>
        <v>0</v>
      </c>
      <c r="AI861" s="252">
        <f t="shared" si="67"/>
        <v>0</v>
      </c>
      <c r="AJ861" s="252">
        <f t="shared" si="68"/>
        <v>0</v>
      </c>
    </row>
    <row r="862" spans="1:36" x14ac:dyDescent="0.2">
      <c r="A862" s="253" t="str">
        <f t="shared" si="69"/>
        <v>3S5GTNBR101912</v>
      </c>
      <c r="B862" s="252" t="s">
        <v>265</v>
      </c>
      <c r="C862" s="252" t="s">
        <v>20</v>
      </c>
      <c r="D862" s="252" t="s">
        <v>2433</v>
      </c>
      <c r="E862" s="252" t="s">
        <v>2434</v>
      </c>
      <c r="F862" s="252" t="s">
        <v>2449</v>
      </c>
      <c r="G862" s="252">
        <v>12</v>
      </c>
      <c r="H862" s="252" t="s">
        <v>928</v>
      </c>
      <c r="I862" s="252" t="s">
        <v>2661</v>
      </c>
      <c r="J862" s="252" t="s">
        <v>928</v>
      </c>
      <c r="K862" s="252" t="s">
        <v>3236</v>
      </c>
      <c r="L862" s="252">
        <v>5660.7178800000002</v>
      </c>
      <c r="M862" s="252">
        <v>90</v>
      </c>
      <c r="N862" s="252">
        <v>0</v>
      </c>
      <c r="O862" s="252">
        <v>2835.5555599999998</v>
      </c>
      <c r="P862" s="252">
        <v>0</v>
      </c>
      <c r="Q862" s="252">
        <v>0</v>
      </c>
      <c r="R862" s="252">
        <v>0</v>
      </c>
      <c r="S862" s="252">
        <v>0</v>
      </c>
      <c r="T862" s="252">
        <v>97</v>
      </c>
      <c r="U862" s="252">
        <v>213</v>
      </c>
      <c r="V862" s="252">
        <v>361.56211000000002</v>
      </c>
      <c r="W862" s="252">
        <v>289.28442000000001</v>
      </c>
      <c r="X862" s="252">
        <v>0</v>
      </c>
      <c r="Y862" s="252">
        <v>0</v>
      </c>
      <c r="Z862" s="252">
        <v>1864.3157900000001</v>
      </c>
      <c r="AA862" s="252">
        <v>0</v>
      </c>
      <c r="AB862" s="252">
        <v>0</v>
      </c>
      <c r="AC862" s="252">
        <v>0</v>
      </c>
      <c r="AD862" s="252">
        <v>1</v>
      </c>
      <c r="AE862" s="252" t="s">
        <v>720</v>
      </c>
      <c r="AF862" s="252" t="s">
        <v>721</v>
      </c>
      <c r="AG862" s="252">
        <f t="shared" si="65"/>
        <v>2552.000004</v>
      </c>
      <c r="AH862" s="252">
        <f t="shared" si="66"/>
        <v>0</v>
      </c>
      <c r="AI862" s="252">
        <f t="shared" si="67"/>
        <v>0</v>
      </c>
      <c r="AJ862" s="252">
        <f t="shared" si="68"/>
        <v>2552.000004</v>
      </c>
    </row>
    <row r="863" spans="1:36" x14ac:dyDescent="0.2">
      <c r="A863" s="253" t="str">
        <f t="shared" si="69"/>
        <v>TNBR101912</v>
      </c>
      <c r="B863" s="252" t="s">
        <v>265</v>
      </c>
      <c r="C863" s="252" t="s">
        <v>20</v>
      </c>
      <c r="D863" s="252" t="s">
        <v>2433</v>
      </c>
      <c r="E863" s="252" t="s">
        <v>2434</v>
      </c>
      <c r="F863" s="252" t="s">
        <v>2449</v>
      </c>
      <c r="G863" s="252">
        <v>12</v>
      </c>
      <c r="H863" s="252" t="s">
        <v>928</v>
      </c>
      <c r="I863" s="252" t="s">
        <v>928</v>
      </c>
      <c r="J863" s="252" t="s">
        <v>928</v>
      </c>
      <c r="K863" s="252" t="s">
        <v>3236</v>
      </c>
      <c r="L863" s="252">
        <v>5660.7188299999998</v>
      </c>
      <c r="M863" s="252">
        <v>90</v>
      </c>
      <c r="N863" s="252">
        <v>0</v>
      </c>
      <c r="O863" s="252">
        <v>2835.5566199999998</v>
      </c>
      <c r="P863" s="252">
        <v>0</v>
      </c>
      <c r="Q863" s="252">
        <v>0</v>
      </c>
      <c r="R863" s="252">
        <v>0</v>
      </c>
      <c r="S863" s="252">
        <v>0</v>
      </c>
      <c r="T863" s="252">
        <v>97.000640000000004</v>
      </c>
      <c r="U863" s="252">
        <v>212.99936</v>
      </c>
      <c r="V863" s="252">
        <v>361.56169999999997</v>
      </c>
      <c r="W863" s="252">
        <v>289.28435000000002</v>
      </c>
      <c r="X863" s="252">
        <v>0</v>
      </c>
      <c r="Y863" s="252">
        <v>0</v>
      </c>
      <c r="Z863" s="252">
        <v>1864.3161600000001</v>
      </c>
      <c r="AA863" s="252">
        <v>0</v>
      </c>
      <c r="AB863" s="252">
        <v>0</v>
      </c>
      <c r="AC863" s="252">
        <v>0</v>
      </c>
      <c r="AD863" s="252">
        <v>1</v>
      </c>
      <c r="AE863" s="252" t="s">
        <v>720</v>
      </c>
      <c r="AF863" s="252" t="s">
        <v>721</v>
      </c>
      <c r="AG863" s="252">
        <f t="shared" si="65"/>
        <v>2552.0009579999996</v>
      </c>
      <c r="AH863" s="252">
        <f t="shared" si="66"/>
        <v>0</v>
      </c>
      <c r="AI863" s="252">
        <f t="shared" si="67"/>
        <v>0</v>
      </c>
      <c r="AJ863" s="252">
        <f t="shared" si="68"/>
        <v>2552.0009579999996</v>
      </c>
    </row>
    <row r="864" spans="1:36" x14ac:dyDescent="0.2">
      <c r="A864" s="253" t="str">
        <f t="shared" si="69"/>
        <v>3TNCERABX8A1425</v>
      </c>
      <c r="B864" s="252" t="s">
        <v>265</v>
      </c>
      <c r="C864" s="252" t="s">
        <v>20</v>
      </c>
      <c r="D864" s="252" t="s">
        <v>21</v>
      </c>
      <c r="E864" s="252" t="s">
        <v>719</v>
      </c>
      <c r="F864" s="252" t="s">
        <v>632</v>
      </c>
      <c r="G864" s="252">
        <v>25</v>
      </c>
      <c r="H864" s="252" t="s">
        <v>928</v>
      </c>
      <c r="I864" s="252" t="s">
        <v>2465</v>
      </c>
      <c r="J864" s="252" t="s">
        <v>928</v>
      </c>
      <c r="K864" s="252" t="s">
        <v>3236</v>
      </c>
      <c r="L864" s="252">
        <v>20.087160000000001</v>
      </c>
      <c r="M864" s="252">
        <v>95.8</v>
      </c>
      <c r="N864" s="252">
        <v>0</v>
      </c>
      <c r="O864" s="252">
        <v>0</v>
      </c>
      <c r="P864" s="252">
        <v>0</v>
      </c>
      <c r="Q864" s="252">
        <v>0</v>
      </c>
      <c r="R864" s="252">
        <v>0</v>
      </c>
      <c r="S864" s="252">
        <v>0</v>
      </c>
      <c r="T864" s="252">
        <v>6.85</v>
      </c>
      <c r="U864" s="252">
        <v>1.38811</v>
      </c>
      <c r="V864" s="252">
        <v>0.47959000000000002</v>
      </c>
      <c r="W864" s="252">
        <v>1.7097</v>
      </c>
      <c r="X864" s="252">
        <v>0</v>
      </c>
      <c r="Y864" s="252">
        <v>0</v>
      </c>
      <c r="Z864" s="252">
        <v>9.6597600000000003</v>
      </c>
      <c r="AA864" s="252">
        <v>0</v>
      </c>
      <c r="AB864" s="252">
        <v>0</v>
      </c>
      <c r="AC864" s="252">
        <v>0</v>
      </c>
      <c r="AD864" s="252">
        <v>1</v>
      </c>
      <c r="AE864" s="252" t="s">
        <v>720</v>
      </c>
      <c r="AF864" s="252" t="s">
        <v>721</v>
      </c>
      <c r="AG864" s="252">
        <f t="shared" si="65"/>
        <v>0</v>
      </c>
      <c r="AH864" s="252">
        <f t="shared" si="66"/>
        <v>0</v>
      </c>
      <c r="AI864" s="252">
        <f t="shared" si="67"/>
        <v>0</v>
      </c>
      <c r="AJ864" s="252">
        <f t="shared" si="68"/>
        <v>0</v>
      </c>
    </row>
    <row r="865" spans="1:36" x14ac:dyDescent="0.2">
      <c r="A865" s="253" t="str">
        <f t="shared" si="69"/>
        <v>3TNCERABX8A3775</v>
      </c>
      <c r="B865" s="252" t="s">
        <v>265</v>
      </c>
      <c r="C865" s="252" t="s">
        <v>20</v>
      </c>
      <c r="D865" s="252" t="s">
        <v>21</v>
      </c>
      <c r="E865" s="252" t="s">
        <v>719</v>
      </c>
      <c r="F865" s="252" t="s">
        <v>263</v>
      </c>
      <c r="G865" s="252">
        <v>75</v>
      </c>
      <c r="H865" s="252" t="s">
        <v>928</v>
      </c>
      <c r="I865" s="252" t="s">
        <v>2465</v>
      </c>
      <c r="J865" s="252" t="s">
        <v>928</v>
      </c>
      <c r="K865" s="252" t="s">
        <v>3236</v>
      </c>
      <c r="L865" s="252">
        <v>24.246639999999999</v>
      </c>
      <c r="M865" s="252">
        <v>94.8</v>
      </c>
      <c r="N865" s="252">
        <v>0</v>
      </c>
      <c r="O865" s="252">
        <v>0</v>
      </c>
      <c r="P865" s="252">
        <v>0</v>
      </c>
      <c r="Q865" s="252">
        <v>0</v>
      </c>
      <c r="R865" s="252">
        <v>0</v>
      </c>
      <c r="S865" s="252">
        <v>0</v>
      </c>
      <c r="T865" s="252">
        <v>6.93</v>
      </c>
      <c r="U865" s="252">
        <v>1.4657800000000001</v>
      </c>
      <c r="V865" s="252">
        <v>0.92015000000000002</v>
      </c>
      <c r="W865" s="252">
        <v>2.9525100000000002</v>
      </c>
      <c r="X865" s="252">
        <v>0</v>
      </c>
      <c r="Y865" s="252">
        <v>0</v>
      </c>
      <c r="Z865" s="252">
        <v>11.978199999999999</v>
      </c>
      <c r="AA865" s="252">
        <v>0</v>
      </c>
      <c r="AB865" s="252">
        <v>0</v>
      </c>
      <c r="AC865" s="252">
        <v>0</v>
      </c>
      <c r="AD865" s="252">
        <v>1</v>
      </c>
      <c r="AE865" s="252" t="s">
        <v>720</v>
      </c>
      <c r="AF865" s="252" t="s">
        <v>721</v>
      </c>
      <c r="AG865" s="252">
        <f t="shared" si="65"/>
        <v>0</v>
      </c>
      <c r="AH865" s="252">
        <f t="shared" si="66"/>
        <v>0</v>
      </c>
      <c r="AI865" s="252">
        <f t="shared" si="67"/>
        <v>0</v>
      </c>
      <c r="AJ865" s="252">
        <f t="shared" si="68"/>
        <v>0</v>
      </c>
    </row>
    <row r="866" spans="1:36" x14ac:dyDescent="0.2">
      <c r="A866" s="253" t="str">
        <f t="shared" si="69"/>
        <v>3TNCERAJMDAB38</v>
      </c>
      <c r="B866" s="252" t="s">
        <v>265</v>
      </c>
      <c r="C866" s="252" t="s">
        <v>20</v>
      </c>
      <c r="D866" s="252" t="s">
        <v>21</v>
      </c>
      <c r="E866" s="252" t="s">
        <v>719</v>
      </c>
      <c r="F866" s="252" t="s">
        <v>292</v>
      </c>
      <c r="G866" s="252">
        <v>38</v>
      </c>
      <c r="H866" s="252" t="s">
        <v>928</v>
      </c>
      <c r="I866" s="252" t="s">
        <v>2465</v>
      </c>
      <c r="J866" s="252" t="s">
        <v>928</v>
      </c>
      <c r="K866" s="252" t="s">
        <v>3236</v>
      </c>
      <c r="L866" s="252">
        <v>17.45458</v>
      </c>
      <c r="M866" s="252">
        <v>90.3</v>
      </c>
      <c r="N866" s="252">
        <v>0</v>
      </c>
      <c r="O866" s="252">
        <v>0</v>
      </c>
      <c r="P866" s="252">
        <v>0</v>
      </c>
      <c r="Q866" s="252">
        <v>0</v>
      </c>
      <c r="R866" s="252">
        <v>0</v>
      </c>
      <c r="S866" s="252">
        <v>0</v>
      </c>
      <c r="T866" s="252">
        <v>5.35</v>
      </c>
      <c r="U866" s="252">
        <v>2.36117</v>
      </c>
      <c r="V866" s="252">
        <v>0.38564999999999999</v>
      </c>
      <c r="W866" s="252">
        <v>1.37547</v>
      </c>
      <c r="X866" s="252">
        <v>0</v>
      </c>
      <c r="Y866" s="252">
        <v>0</v>
      </c>
      <c r="Z866" s="252">
        <v>7.9822899999999999</v>
      </c>
      <c r="AA866" s="252">
        <v>0</v>
      </c>
      <c r="AB866" s="252">
        <v>0</v>
      </c>
      <c r="AC866" s="252">
        <v>0</v>
      </c>
      <c r="AD866" s="252">
        <v>1</v>
      </c>
      <c r="AE866" s="252" t="s">
        <v>720</v>
      </c>
      <c r="AF866" s="252" t="s">
        <v>721</v>
      </c>
      <c r="AG866" s="252">
        <f t="shared" si="65"/>
        <v>0</v>
      </c>
      <c r="AH866" s="252">
        <f t="shared" si="66"/>
        <v>0</v>
      </c>
      <c r="AI866" s="252">
        <f t="shared" si="67"/>
        <v>0</v>
      </c>
      <c r="AJ866" s="252">
        <f t="shared" si="68"/>
        <v>0</v>
      </c>
    </row>
    <row r="867" spans="1:36" x14ac:dyDescent="0.2">
      <c r="A867" s="253" t="str">
        <f t="shared" si="69"/>
        <v>331TNCERAJMDAB38</v>
      </c>
      <c r="B867" s="252" t="s">
        <v>265</v>
      </c>
      <c r="C867" s="252" t="s">
        <v>20</v>
      </c>
      <c r="D867" s="252" t="s">
        <v>21</v>
      </c>
      <c r="E867" s="252" t="s">
        <v>719</v>
      </c>
      <c r="F867" s="252" t="s">
        <v>292</v>
      </c>
      <c r="G867" s="252">
        <v>38</v>
      </c>
      <c r="H867" s="252" t="s">
        <v>928</v>
      </c>
      <c r="I867" s="252" t="s">
        <v>2466</v>
      </c>
      <c r="J867" s="252" t="s">
        <v>928</v>
      </c>
      <c r="K867" s="252" t="s">
        <v>3236</v>
      </c>
      <c r="L867" s="252">
        <v>14.248900000000001</v>
      </c>
      <c r="M867" s="252">
        <v>95</v>
      </c>
      <c r="N867" s="252">
        <v>0</v>
      </c>
      <c r="O867" s="252">
        <v>0</v>
      </c>
      <c r="P867" s="252">
        <v>0</v>
      </c>
      <c r="Q867" s="252">
        <v>0</v>
      </c>
      <c r="R867" s="252">
        <v>0</v>
      </c>
      <c r="S867" s="252">
        <v>0</v>
      </c>
      <c r="T867" s="252">
        <v>5.04</v>
      </c>
      <c r="U867" s="252">
        <v>1.19658</v>
      </c>
      <c r="V867" s="252">
        <v>0.46372000000000002</v>
      </c>
      <c r="W867" s="252">
        <v>1.4688300000000001</v>
      </c>
      <c r="X867" s="252">
        <v>0</v>
      </c>
      <c r="Y867" s="252">
        <v>0</v>
      </c>
      <c r="Z867" s="252">
        <v>6.0797699999999999</v>
      </c>
      <c r="AA867" s="252">
        <v>0</v>
      </c>
      <c r="AB867" s="252">
        <v>0</v>
      </c>
      <c r="AC867" s="252">
        <v>0</v>
      </c>
      <c r="AD867" s="252">
        <v>1</v>
      </c>
      <c r="AE867" s="252" t="s">
        <v>720</v>
      </c>
      <c r="AF867" s="252" t="s">
        <v>721</v>
      </c>
      <c r="AG867" s="252">
        <f t="shared" si="65"/>
        <v>0</v>
      </c>
      <c r="AH867" s="252">
        <f t="shared" si="66"/>
        <v>0</v>
      </c>
      <c r="AI867" s="252">
        <f t="shared" si="67"/>
        <v>0</v>
      </c>
      <c r="AJ867" s="252">
        <f t="shared" si="68"/>
        <v>0</v>
      </c>
    </row>
    <row r="868" spans="1:36" x14ac:dyDescent="0.2">
      <c r="A868" s="253" t="str">
        <f t="shared" si="69"/>
        <v>3TNCERAJTKE14B25</v>
      </c>
      <c r="B868" s="252" t="s">
        <v>265</v>
      </c>
      <c r="C868" s="252" t="s">
        <v>20</v>
      </c>
      <c r="D868" s="252" t="s">
        <v>21</v>
      </c>
      <c r="E868" s="252" t="s">
        <v>719</v>
      </c>
      <c r="F868" s="252" t="s">
        <v>3237</v>
      </c>
      <c r="G868" s="252">
        <v>25</v>
      </c>
      <c r="H868" s="252" t="s">
        <v>928</v>
      </c>
      <c r="I868" s="252" t="s">
        <v>2465</v>
      </c>
      <c r="J868" s="252" t="s">
        <v>928</v>
      </c>
      <c r="K868" s="252" t="s">
        <v>3236</v>
      </c>
      <c r="L868" s="252">
        <v>19.960709999999999</v>
      </c>
      <c r="M868" s="252">
        <v>95.7</v>
      </c>
      <c r="N868" s="252">
        <v>0</v>
      </c>
      <c r="O868" s="252">
        <v>0</v>
      </c>
      <c r="P868" s="252">
        <v>0</v>
      </c>
      <c r="Q868" s="252">
        <v>0</v>
      </c>
      <c r="R868" s="252">
        <v>0</v>
      </c>
      <c r="S868" s="252">
        <v>0</v>
      </c>
      <c r="T868" s="252">
        <v>6.2</v>
      </c>
      <c r="U868" s="252">
        <v>0.80996000000000001</v>
      </c>
      <c r="V868" s="252">
        <v>0.76468000000000003</v>
      </c>
      <c r="W868" s="252">
        <v>2.41404</v>
      </c>
      <c r="X868" s="252">
        <v>0</v>
      </c>
      <c r="Y868" s="252">
        <v>0</v>
      </c>
      <c r="Z868" s="252">
        <v>9.7720300000000009</v>
      </c>
      <c r="AA868" s="252">
        <v>0</v>
      </c>
      <c r="AB868" s="252">
        <v>0</v>
      </c>
      <c r="AC868" s="252">
        <v>0</v>
      </c>
      <c r="AD868" s="252">
        <v>1</v>
      </c>
      <c r="AE868" s="252" t="s">
        <v>720</v>
      </c>
      <c r="AF868" s="252" t="s">
        <v>721</v>
      </c>
      <c r="AG868" s="252">
        <f t="shared" si="65"/>
        <v>0</v>
      </c>
      <c r="AH868" s="252">
        <f t="shared" si="66"/>
        <v>0</v>
      </c>
      <c r="AI868" s="252">
        <f t="shared" si="67"/>
        <v>0</v>
      </c>
      <c r="AJ868" s="252">
        <f t="shared" si="68"/>
        <v>0</v>
      </c>
    </row>
    <row r="869" spans="1:36" x14ac:dyDescent="0.2">
      <c r="A869" s="253" t="str">
        <f t="shared" si="69"/>
        <v>3TNCERAJWZB38</v>
      </c>
      <c r="B869" s="252" t="s">
        <v>265</v>
      </c>
      <c r="C869" s="252" t="s">
        <v>20</v>
      </c>
      <c r="D869" s="252" t="s">
        <v>21</v>
      </c>
      <c r="E869" s="252" t="s">
        <v>719</v>
      </c>
      <c r="F869" s="252" t="s">
        <v>296</v>
      </c>
      <c r="G869" s="252">
        <v>38</v>
      </c>
      <c r="H869" s="252" t="s">
        <v>928</v>
      </c>
      <c r="I869" s="252" t="s">
        <v>2465</v>
      </c>
      <c r="J869" s="252" t="s">
        <v>928</v>
      </c>
      <c r="K869" s="252" t="s">
        <v>3236</v>
      </c>
      <c r="L869" s="252">
        <v>9.1156199999999998</v>
      </c>
      <c r="M869" s="252">
        <v>92.2</v>
      </c>
      <c r="N869" s="252">
        <v>0</v>
      </c>
      <c r="O869" s="252">
        <v>0</v>
      </c>
      <c r="P869" s="252">
        <v>0</v>
      </c>
      <c r="Q869" s="252">
        <v>0</v>
      </c>
      <c r="R869" s="252">
        <v>0</v>
      </c>
      <c r="S869" s="252">
        <v>0</v>
      </c>
      <c r="T869" s="252">
        <v>2.8</v>
      </c>
      <c r="U869" s="252">
        <v>0.99844999999999995</v>
      </c>
      <c r="V869" s="252">
        <v>0.30114000000000002</v>
      </c>
      <c r="W869" s="252">
        <v>1.0051000000000001</v>
      </c>
      <c r="X869" s="252">
        <v>0</v>
      </c>
      <c r="Y869" s="252">
        <v>0</v>
      </c>
      <c r="Z869" s="252">
        <v>4.0109300000000001</v>
      </c>
      <c r="AA869" s="252">
        <v>0</v>
      </c>
      <c r="AB869" s="252">
        <v>0</v>
      </c>
      <c r="AC869" s="252">
        <v>0</v>
      </c>
      <c r="AD869" s="252">
        <v>1</v>
      </c>
      <c r="AE869" s="252" t="s">
        <v>720</v>
      </c>
      <c r="AF869" s="252" t="s">
        <v>721</v>
      </c>
      <c r="AG869" s="252">
        <f t="shared" si="65"/>
        <v>0</v>
      </c>
      <c r="AH869" s="252">
        <f t="shared" si="66"/>
        <v>0</v>
      </c>
      <c r="AI869" s="252">
        <f t="shared" si="67"/>
        <v>0</v>
      </c>
      <c r="AJ869" s="252">
        <f t="shared" si="68"/>
        <v>0</v>
      </c>
    </row>
    <row r="870" spans="1:36" x14ac:dyDescent="0.2">
      <c r="A870" s="253" t="str">
        <f t="shared" si="69"/>
        <v>3TNCERATKA12PF50</v>
      </c>
      <c r="B870" s="252" t="s">
        <v>265</v>
      </c>
      <c r="C870" s="252" t="s">
        <v>20</v>
      </c>
      <c r="D870" s="252" t="s">
        <v>21</v>
      </c>
      <c r="E870" s="252" t="s">
        <v>719</v>
      </c>
      <c r="F870" s="252" t="s">
        <v>2344</v>
      </c>
      <c r="G870" s="252">
        <v>50</v>
      </c>
      <c r="H870" s="252" t="s">
        <v>928</v>
      </c>
      <c r="I870" s="252" t="s">
        <v>2465</v>
      </c>
      <c r="J870" s="252" t="s">
        <v>928</v>
      </c>
      <c r="K870" s="252" t="s">
        <v>3236</v>
      </c>
      <c r="L870" s="252">
        <v>21.733730000000001</v>
      </c>
      <c r="M870" s="252">
        <v>92.5</v>
      </c>
      <c r="N870" s="252">
        <v>0</v>
      </c>
      <c r="O870" s="252">
        <v>0</v>
      </c>
      <c r="P870" s="252">
        <v>0</v>
      </c>
      <c r="Q870" s="252">
        <v>0</v>
      </c>
      <c r="R870" s="252">
        <v>0</v>
      </c>
      <c r="S870" s="252">
        <v>0</v>
      </c>
      <c r="T870" s="252">
        <v>10.96</v>
      </c>
      <c r="U870" s="252">
        <v>0.63815</v>
      </c>
      <c r="V870" s="252">
        <v>0.59760000000000002</v>
      </c>
      <c r="W870" s="252">
        <v>1.8818900000000001</v>
      </c>
      <c r="X870" s="252">
        <v>0</v>
      </c>
      <c r="Y870" s="252">
        <v>0</v>
      </c>
      <c r="Z870" s="252">
        <v>7.6560899999999998</v>
      </c>
      <c r="AA870" s="252">
        <v>0</v>
      </c>
      <c r="AB870" s="252">
        <v>0</v>
      </c>
      <c r="AC870" s="252">
        <v>0</v>
      </c>
      <c r="AD870" s="252">
        <v>1</v>
      </c>
      <c r="AE870" s="252" t="s">
        <v>720</v>
      </c>
      <c r="AF870" s="252" t="s">
        <v>721</v>
      </c>
      <c r="AG870" s="252">
        <f t="shared" si="65"/>
        <v>0</v>
      </c>
      <c r="AH870" s="252">
        <f t="shared" si="66"/>
        <v>0</v>
      </c>
      <c r="AI870" s="252">
        <f t="shared" si="67"/>
        <v>0</v>
      </c>
      <c r="AJ870" s="252">
        <f t="shared" si="68"/>
        <v>0</v>
      </c>
    </row>
    <row r="871" spans="1:36" x14ac:dyDescent="0.2">
      <c r="A871" s="253" t="str">
        <f t="shared" si="69"/>
        <v>3TNCERATKA154050</v>
      </c>
      <c r="B871" s="252" t="s">
        <v>265</v>
      </c>
      <c r="C871" s="252" t="s">
        <v>20</v>
      </c>
      <c r="D871" s="252" t="s">
        <v>21</v>
      </c>
      <c r="E871" s="252" t="s">
        <v>719</v>
      </c>
      <c r="F871" s="252" t="s">
        <v>3238</v>
      </c>
      <c r="G871" s="252">
        <v>50</v>
      </c>
      <c r="H871" s="252" t="s">
        <v>928</v>
      </c>
      <c r="I871" s="252" t="s">
        <v>2465</v>
      </c>
      <c r="J871" s="252" t="s">
        <v>928</v>
      </c>
      <c r="K871" s="252" t="s">
        <v>3236</v>
      </c>
      <c r="L871" s="252">
        <v>23.802350000000001</v>
      </c>
      <c r="M871" s="252">
        <v>95.4</v>
      </c>
      <c r="N871" s="252">
        <v>0</v>
      </c>
      <c r="O871" s="252">
        <v>0</v>
      </c>
      <c r="P871" s="252">
        <v>0</v>
      </c>
      <c r="Q871" s="252">
        <v>0</v>
      </c>
      <c r="R871" s="252">
        <v>0</v>
      </c>
      <c r="S871" s="252">
        <v>0</v>
      </c>
      <c r="T871" s="252">
        <v>9.6300000000000008</v>
      </c>
      <c r="U871" s="252">
        <v>1.48089</v>
      </c>
      <c r="V871" s="252">
        <v>0.74280999999999997</v>
      </c>
      <c r="W871" s="252">
        <v>2.3491399999999998</v>
      </c>
      <c r="X871" s="252">
        <v>0</v>
      </c>
      <c r="Y871" s="252">
        <v>0</v>
      </c>
      <c r="Z871" s="252">
        <v>9.5995100000000004</v>
      </c>
      <c r="AA871" s="252">
        <v>0</v>
      </c>
      <c r="AB871" s="252">
        <v>0</v>
      </c>
      <c r="AC871" s="252">
        <v>0</v>
      </c>
      <c r="AD871" s="252">
        <v>1</v>
      </c>
      <c r="AE871" s="252" t="s">
        <v>20</v>
      </c>
      <c r="AF871" s="252" t="s">
        <v>718</v>
      </c>
      <c r="AG871" s="252">
        <f t="shared" si="65"/>
        <v>0</v>
      </c>
      <c r="AH871" s="252">
        <f t="shared" si="66"/>
        <v>0</v>
      </c>
      <c r="AI871" s="252">
        <f t="shared" si="67"/>
        <v>0</v>
      </c>
      <c r="AJ871" s="252">
        <f t="shared" si="68"/>
        <v>0</v>
      </c>
    </row>
    <row r="872" spans="1:36" x14ac:dyDescent="0.2">
      <c r="A872" s="253" t="str">
        <f t="shared" si="69"/>
        <v>3TNCERAWZ1425</v>
      </c>
      <c r="B872" s="252" t="s">
        <v>265</v>
      </c>
      <c r="C872" s="252" t="s">
        <v>20</v>
      </c>
      <c r="D872" s="252" t="s">
        <v>21</v>
      </c>
      <c r="E872" s="252" t="s">
        <v>719</v>
      </c>
      <c r="F872" s="252" t="s">
        <v>2337</v>
      </c>
      <c r="G872" s="252">
        <v>25</v>
      </c>
      <c r="H872" s="252" t="s">
        <v>928</v>
      </c>
      <c r="I872" s="252" t="s">
        <v>2465</v>
      </c>
      <c r="J872" s="252" t="s">
        <v>928</v>
      </c>
      <c r="K872" s="252" t="s">
        <v>3236</v>
      </c>
      <c r="L872" s="252">
        <v>9.1775699999999993</v>
      </c>
      <c r="M872" s="252">
        <v>94</v>
      </c>
      <c r="N872" s="252">
        <v>0</v>
      </c>
      <c r="O872" s="252">
        <v>0</v>
      </c>
      <c r="P872" s="252">
        <v>0</v>
      </c>
      <c r="Q872" s="252">
        <v>0</v>
      </c>
      <c r="R872" s="252">
        <v>0</v>
      </c>
      <c r="S872" s="252">
        <v>0</v>
      </c>
      <c r="T872" s="252">
        <v>2.75</v>
      </c>
      <c r="U872" s="252">
        <v>0.99672000000000005</v>
      </c>
      <c r="V872" s="252">
        <v>0.29277999999999998</v>
      </c>
      <c r="W872" s="252">
        <v>1.06349</v>
      </c>
      <c r="X872" s="252">
        <v>0</v>
      </c>
      <c r="Y872" s="252">
        <v>0</v>
      </c>
      <c r="Z872" s="252">
        <v>4.0745800000000001</v>
      </c>
      <c r="AA872" s="252">
        <v>0</v>
      </c>
      <c r="AB872" s="252">
        <v>0</v>
      </c>
      <c r="AC872" s="252">
        <v>0</v>
      </c>
      <c r="AD872" s="252">
        <v>1</v>
      </c>
      <c r="AE872" s="252" t="s">
        <v>20</v>
      </c>
      <c r="AF872" s="252" t="s">
        <v>718</v>
      </c>
      <c r="AG872" s="252">
        <f t="shared" si="65"/>
        <v>0</v>
      </c>
      <c r="AH872" s="252">
        <f t="shared" si="66"/>
        <v>0</v>
      </c>
      <c r="AI872" s="252">
        <f t="shared" si="67"/>
        <v>0</v>
      </c>
      <c r="AJ872" s="252">
        <f t="shared" si="68"/>
        <v>0</v>
      </c>
    </row>
    <row r="873" spans="1:36" x14ac:dyDescent="0.2">
      <c r="A873" s="253" t="str">
        <f t="shared" si="69"/>
        <v>331TNCERAWZ1425</v>
      </c>
      <c r="B873" s="252" t="s">
        <v>265</v>
      </c>
      <c r="C873" s="252" t="s">
        <v>20</v>
      </c>
      <c r="D873" s="252" t="s">
        <v>21</v>
      </c>
      <c r="E873" s="252" t="s">
        <v>719</v>
      </c>
      <c r="F873" s="252" t="s">
        <v>2337</v>
      </c>
      <c r="G873" s="252">
        <v>25</v>
      </c>
      <c r="H873" s="252" t="s">
        <v>928</v>
      </c>
      <c r="I873" s="252" t="s">
        <v>2466</v>
      </c>
      <c r="J873" s="252" t="s">
        <v>928</v>
      </c>
      <c r="K873" s="252" t="s">
        <v>3236</v>
      </c>
      <c r="L873" s="252">
        <v>8.27407</v>
      </c>
      <c r="M873" s="252">
        <v>97.6</v>
      </c>
      <c r="N873" s="252">
        <v>0</v>
      </c>
      <c r="O873" s="252">
        <v>0</v>
      </c>
      <c r="P873" s="252">
        <v>0</v>
      </c>
      <c r="Q873" s="252">
        <v>0</v>
      </c>
      <c r="R873" s="252">
        <v>0</v>
      </c>
      <c r="S873" s="252">
        <v>0</v>
      </c>
      <c r="T873" s="252">
        <v>2.64</v>
      </c>
      <c r="U873" s="252">
        <v>0.49092999999999998</v>
      </c>
      <c r="V873" s="252">
        <v>0.29875000000000002</v>
      </c>
      <c r="W873" s="252">
        <v>0.97109999999999996</v>
      </c>
      <c r="X873" s="252">
        <v>0</v>
      </c>
      <c r="Y873" s="252">
        <v>0</v>
      </c>
      <c r="Z873" s="252">
        <v>3.8732899999999999</v>
      </c>
      <c r="AA873" s="252">
        <v>0</v>
      </c>
      <c r="AB873" s="252">
        <v>0</v>
      </c>
      <c r="AC873" s="252">
        <v>0</v>
      </c>
      <c r="AD873" s="252">
        <v>1</v>
      </c>
      <c r="AE873" s="252" t="s">
        <v>20</v>
      </c>
      <c r="AF873" s="252" t="s">
        <v>718</v>
      </c>
      <c r="AG873" s="252">
        <f t="shared" si="65"/>
        <v>0</v>
      </c>
      <c r="AH873" s="252">
        <f t="shared" si="66"/>
        <v>0</v>
      </c>
      <c r="AI873" s="252">
        <f t="shared" si="67"/>
        <v>0</v>
      </c>
      <c r="AJ873" s="252">
        <f t="shared" si="68"/>
        <v>0</v>
      </c>
    </row>
    <row r="874" spans="1:36" x14ac:dyDescent="0.2">
      <c r="A874" s="253" t="str">
        <f t="shared" si="69"/>
        <v>3TNCERANS2711450</v>
      </c>
      <c r="B874" s="252" t="s">
        <v>265</v>
      </c>
      <c r="C874" s="252" t="s">
        <v>20</v>
      </c>
      <c r="D874" s="252" t="s">
        <v>132</v>
      </c>
      <c r="E874" s="252" t="s">
        <v>719</v>
      </c>
      <c r="F874" s="252" t="s">
        <v>2662</v>
      </c>
      <c r="G874" s="252">
        <v>50</v>
      </c>
      <c r="H874" s="252" t="s">
        <v>928</v>
      </c>
      <c r="I874" s="252" t="s">
        <v>2465</v>
      </c>
      <c r="J874" s="252" t="s">
        <v>928</v>
      </c>
      <c r="K874" s="252" t="s">
        <v>3236</v>
      </c>
      <c r="L874" s="252">
        <v>105.64100000000001</v>
      </c>
      <c r="M874" s="252">
        <v>94</v>
      </c>
      <c r="N874" s="252">
        <v>0</v>
      </c>
      <c r="O874" s="252">
        <v>0</v>
      </c>
      <c r="P874" s="252">
        <v>0</v>
      </c>
      <c r="Q874" s="252">
        <v>0</v>
      </c>
      <c r="R874" s="252">
        <v>0</v>
      </c>
      <c r="S874" s="252">
        <v>0</v>
      </c>
      <c r="T874" s="252">
        <v>14.96</v>
      </c>
      <c r="U874" s="252">
        <v>1.46008</v>
      </c>
      <c r="V874" s="252">
        <v>5.1921999999999997</v>
      </c>
      <c r="W874" s="252">
        <v>16.274080000000001</v>
      </c>
      <c r="X874" s="252">
        <v>0</v>
      </c>
      <c r="Y874" s="252">
        <v>0</v>
      </c>
      <c r="Z874" s="252">
        <v>67.754639999999995</v>
      </c>
      <c r="AA874" s="252">
        <v>0</v>
      </c>
      <c r="AB874" s="252">
        <v>0</v>
      </c>
      <c r="AC874" s="252">
        <v>0</v>
      </c>
      <c r="AD874" s="252">
        <v>1</v>
      </c>
      <c r="AE874" s="252" t="s">
        <v>20</v>
      </c>
      <c r="AF874" s="252" t="s">
        <v>718</v>
      </c>
      <c r="AG874" s="252">
        <f t="shared" si="65"/>
        <v>0</v>
      </c>
      <c r="AH874" s="252">
        <f t="shared" si="66"/>
        <v>0</v>
      </c>
      <c r="AI874" s="252">
        <f t="shared" si="67"/>
        <v>0</v>
      </c>
      <c r="AJ874" s="252">
        <f t="shared" si="68"/>
        <v>0</v>
      </c>
    </row>
    <row r="875" spans="1:36" x14ac:dyDescent="0.2">
      <c r="A875" s="253" t="str">
        <f t="shared" si="69"/>
        <v>3TNCERANSHP2SDF75</v>
      </c>
      <c r="B875" s="252" t="s">
        <v>265</v>
      </c>
      <c r="C875" s="252" t="s">
        <v>20</v>
      </c>
      <c r="D875" s="252" t="s">
        <v>132</v>
      </c>
      <c r="E875" s="252" t="s">
        <v>719</v>
      </c>
      <c r="F875" s="252" t="s">
        <v>3239</v>
      </c>
      <c r="G875" s="252">
        <v>75</v>
      </c>
      <c r="H875" s="252" t="s">
        <v>928</v>
      </c>
      <c r="I875" s="252" t="s">
        <v>2465</v>
      </c>
      <c r="J875" s="252" t="s">
        <v>928</v>
      </c>
      <c r="K875" s="252" t="s">
        <v>3236</v>
      </c>
      <c r="L875" s="252">
        <v>176.17641</v>
      </c>
      <c r="M875" s="252">
        <v>84.5</v>
      </c>
      <c r="N875" s="252">
        <v>0</v>
      </c>
      <c r="O875" s="252">
        <v>0</v>
      </c>
      <c r="P875" s="252">
        <v>0</v>
      </c>
      <c r="Q875" s="252">
        <v>0</v>
      </c>
      <c r="R875" s="252">
        <v>0</v>
      </c>
      <c r="S875" s="252">
        <v>0</v>
      </c>
      <c r="T875" s="252">
        <v>5.76</v>
      </c>
      <c r="U875" s="252">
        <v>8.6432000000000002</v>
      </c>
      <c r="V875" s="252">
        <v>2.7183600000000001</v>
      </c>
      <c r="W875" s="252">
        <v>40.388179999999998</v>
      </c>
      <c r="X875" s="252">
        <v>0</v>
      </c>
      <c r="Y875" s="252">
        <v>0</v>
      </c>
      <c r="Z875" s="252">
        <v>118.66667</v>
      </c>
      <c r="AA875" s="252">
        <v>0</v>
      </c>
      <c r="AB875" s="252">
        <v>0</v>
      </c>
      <c r="AC875" s="252">
        <v>0</v>
      </c>
      <c r="AD875" s="252">
        <v>1</v>
      </c>
      <c r="AE875" s="252" t="s">
        <v>20</v>
      </c>
      <c r="AF875" s="252" t="s">
        <v>718</v>
      </c>
      <c r="AG875" s="252">
        <f t="shared" si="65"/>
        <v>0</v>
      </c>
      <c r="AH875" s="252">
        <f t="shared" si="66"/>
        <v>0</v>
      </c>
      <c r="AI875" s="252">
        <f t="shared" si="67"/>
        <v>0</v>
      </c>
      <c r="AJ875" s="252">
        <f t="shared" si="68"/>
        <v>0</v>
      </c>
    </row>
    <row r="876" spans="1:36" x14ac:dyDescent="0.2">
      <c r="A876" s="253" t="str">
        <f t="shared" si="69"/>
        <v>2TNCF107116DP50</v>
      </c>
      <c r="B876" s="252" t="s">
        <v>265</v>
      </c>
      <c r="C876" s="252" t="s">
        <v>20</v>
      </c>
      <c r="D876" s="252" t="s">
        <v>2474</v>
      </c>
      <c r="E876" s="252" t="s">
        <v>2475</v>
      </c>
      <c r="F876" s="252" t="s">
        <v>2663</v>
      </c>
      <c r="G876" s="252">
        <v>50</v>
      </c>
      <c r="H876" s="252" t="s">
        <v>928</v>
      </c>
      <c r="I876" s="252" t="s">
        <v>2477</v>
      </c>
      <c r="J876" s="252" t="s">
        <v>928</v>
      </c>
      <c r="K876" s="252" t="s">
        <v>3236</v>
      </c>
      <c r="L876" s="252">
        <v>539.17999999999995</v>
      </c>
      <c r="M876" s="252">
        <v>0</v>
      </c>
      <c r="N876" s="252">
        <v>0</v>
      </c>
      <c r="O876" s="252">
        <v>0</v>
      </c>
      <c r="P876" s="252">
        <v>0</v>
      </c>
      <c r="Q876" s="252">
        <v>0</v>
      </c>
      <c r="R876" s="252">
        <v>0</v>
      </c>
      <c r="S876" s="252">
        <v>0</v>
      </c>
      <c r="T876" s="252">
        <v>0</v>
      </c>
      <c r="U876" s="252">
        <v>0</v>
      </c>
      <c r="V876" s="252">
        <v>0</v>
      </c>
      <c r="W876" s="252">
        <v>0</v>
      </c>
      <c r="X876" s="252">
        <v>0</v>
      </c>
      <c r="Y876" s="252">
        <v>423.75</v>
      </c>
      <c r="Z876" s="252">
        <v>0</v>
      </c>
      <c r="AA876" s="252">
        <v>0</v>
      </c>
      <c r="AB876" s="252">
        <v>115.43</v>
      </c>
      <c r="AC876" s="252">
        <v>0</v>
      </c>
      <c r="AD876" s="252">
        <v>0</v>
      </c>
      <c r="AE876" s="252" t="s">
        <v>20</v>
      </c>
      <c r="AF876" s="252" t="s">
        <v>718</v>
      </c>
      <c r="AG876" s="252">
        <f t="shared" si="65"/>
        <v>0</v>
      </c>
      <c r="AH876" s="252">
        <f t="shared" si="66"/>
        <v>0</v>
      </c>
      <c r="AI876" s="252">
        <f t="shared" si="67"/>
        <v>0</v>
      </c>
      <c r="AJ876" s="252">
        <f t="shared" si="68"/>
        <v>0</v>
      </c>
    </row>
    <row r="877" spans="1:36" x14ac:dyDescent="0.2">
      <c r="A877" s="253" t="str">
        <f t="shared" si="69"/>
        <v>TNCF107116DP50</v>
      </c>
      <c r="B877" s="252" t="s">
        <v>265</v>
      </c>
      <c r="C877" s="252" t="s">
        <v>20</v>
      </c>
      <c r="D877" s="252" t="s">
        <v>2474</v>
      </c>
      <c r="E877" s="252" t="s">
        <v>2475</v>
      </c>
      <c r="F877" s="252" t="s">
        <v>2663</v>
      </c>
      <c r="G877" s="252">
        <v>50</v>
      </c>
      <c r="H877" s="252" t="s">
        <v>928</v>
      </c>
      <c r="I877" s="252" t="s">
        <v>928</v>
      </c>
      <c r="J877" s="252" t="s">
        <v>928</v>
      </c>
      <c r="K877" s="252" t="s">
        <v>3236</v>
      </c>
      <c r="L877" s="252">
        <v>539.17999999999995</v>
      </c>
      <c r="M877" s="252">
        <v>0</v>
      </c>
      <c r="N877" s="252">
        <v>0</v>
      </c>
      <c r="O877" s="252">
        <v>0</v>
      </c>
      <c r="P877" s="252">
        <v>0</v>
      </c>
      <c r="Q877" s="252">
        <v>0</v>
      </c>
      <c r="R877" s="252">
        <v>0</v>
      </c>
      <c r="S877" s="252">
        <v>0</v>
      </c>
      <c r="T877" s="252">
        <v>0</v>
      </c>
      <c r="U877" s="252">
        <v>0</v>
      </c>
      <c r="V877" s="252">
        <v>0</v>
      </c>
      <c r="W877" s="252">
        <v>0</v>
      </c>
      <c r="X877" s="252">
        <v>0</v>
      </c>
      <c r="Y877" s="252">
        <v>423.75</v>
      </c>
      <c r="Z877" s="252">
        <v>0</v>
      </c>
      <c r="AA877" s="252">
        <v>0</v>
      </c>
      <c r="AB877" s="252">
        <v>115.43</v>
      </c>
      <c r="AC877" s="252">
        <v>0</v>
      </c>
      <c r="AD877" s="252">
        <v>0</v>
      </c>
      <c r="AE877" s="252" t="s">
        <v>20</v>
      </c>
      <c r="AF877" s="252" t="s">
        <v>718</v>
      </c>
      <c r="AG877" s="252">
        <f t="shared" si="65"/>
        <v>0</v>
      </c>
      <c r="AH877" s="252">
        <f t="shared" si="66"/>
        <v>0</v>
      </c>
      <c r="AI877" s="252">
        <f t="shared" si="67"/>
        <v>0</v>
      </c>
      <c r="AJ877" s="252">
        <f t="shared" si="68"/>
        <v>0</v>
      </c>
    </row>
    <row r="878" spans="1:36" x14ac:dyDescent="0.2">
      <c r="A878" s="253" t="str">
        <f t="shared" si="69"/>
        <v>2TNCF107236CB80</v>
      </c>
      <c r="B878" s="252" t="s">
        <v>265</v>
      </c>
      <c r="C878" s="252" t="s">
        <v>20</v>
      </c>
      <c r="D878" s="252" t="s">
        <v>2474</v>
      </c>
      <c r="E878" s="252" t="s">
        <v>2475</v>
      </c>
      <c r="F878" s="252" t="s">
        <v>2664</v>
      </c>
      <c r="G878" s="252">
        <v>80</v>
      </c>
      <c r="H878" s="252" t="s">
        <v>928</v>
      </c>
      <c r="I878" s="252" t="s">
        <v>2477</v>
      </c>
      <c r="J878" s="252" t="s">
        <v>928</v>
      </c>
      <c r="K878" s="252" t="s">
        <v>3236</v>
      </c>
      <c r="L878" s="252">
        <v>608.92999999999995</v>
      </c>
      <c r="M878" s="252">
        <v>0</v>
      </c>
      <c r="N878" s="252">
        <v>0</v>
      </c>
      <c r="O878" s="252">
        <v>0</v>
      </c>
      <c r="P878" s="252">
        <v>0</v>
      </c>
      <c r="Q878" s="252">
        <v>0</v>
      </c>
      <c r="R878" s="252">
        <v>0</v>
      </c>
      <c r="S878" s="252">
        <v>0</v>
      </c>
      <c r="T878" s="252">
        <v>0</v>
      </c>
      <c r="U878" s="252">
        <v>0</v>
      </c>
      <c r="V878" s="252">
        <v>0</v>
      </c>
      <c r="W878" s="252">
        <v>0</v>
      </c>
      <c r="X878" s="252">
        <v>0</v>
      </c>
      <c r="Y878" s="252">
        <v>497.1</v>
      </c>
      <c r="Z878" s="252">
        <v>0</v>
      </c>
      <c r="AA878" s="252">
        <v>0</v>
      </c>
      <c r="AB878" s="252">
        <v>111.83</v>
      </c>
      <c r="AC878" s="252">
        <v>0</v>
      </c>
      <c r="AD878" s="252">
        <v>0</v>
      </c>
      <c r="AE878" s="252" t="s">
        <v>20</v>
      </c>
      <c r="AF878" s="252" t="s">
        <v>718</v>
      </c>
      <c r="AG878" s="252">
        <f t="shared" si="65"/>
        <v>0</v>
      </c>
      <c r="AH878" s="252">
        <f t="shared" si="66"/>
        <v>0</v>
      </c>
      <c r="AI878" s="252">
        <f t="shared" si="67"/>
        <v>0</v>
      </c>
      <c r="AJ878" s="252">
        <f t="shared" si="68"/>
        <v>0</v>
      </c>
    </row>
    <row r="879" spans="1:36" x14ac:dyDescent="0.2">
      <c r="A879" s="253" t="str">
        <f t="shared" si="69"/>
        <v>TNCF107236CB80</v>
      </c>
      <c r="B879" s="252" t="s">
        <v>265</v>
      </c>
      <c r="C879" s="252" t="s">
        <v>20</v>
      </c>
      <c r="D879" s="252" t="s">
        <v>2474</v>
      </c>
      <c r="E879" s="252" t="s">
        <v>2475</v>
      </c>
      <c r="F879" s="252" t="s">
        <v>2664</v>
      </c>
      <c r="G879" s="252">
        <v>80</v>
      </c>
      <c r="H879" s="252" t="s">
        <v>928</v>
      </c>
      <c r="I879" s="252" t="s">
        <v>928</v>
      </c>
      <c r="J879" s="252" t="s">
        <v>928</v>
      </c>
      <c r="K879" s="252" t="s">
        <v>3236</v>
      </c>
      <c r="L879" s="252">
        <v>608.92999999999995</v>
      </c>
      <c r="M879" s="252">
        <v>0</v>
      </c>
      <c r="N879" s="252">
        <v>0</v>
      </c>
      <c r="O879" s="252">
        <v>0</v>
      </c>
      <c r="P879" s="252">
        <v>0</v>
      </c>
      <c r="Q879" s="252">
        <v>0</v>
      </c>
      <c r="R879" s="252">
        <v>0</v>
      </c>
      <c r="S879" s="252">
        <v>0</v>
      </c>
      <c r="T879" s="252">
        <v>0</v>
      </c>
      <c r="U879" s="252">
        <v>0</v>
      </c>
      <c r="V879" s="252">
        <v>0</v>
      </c>
      <c r="W879" s="252">
        <v>0</v>
      </c>
      <c r="X879" s="252">
        <v>0</v>
      </c>
      <c r="Y879" s="252">
        <v>497.1</v>
      </c>
      <c r="Z879" s="252">
        <v>0</v>
      </c>
      <c r="AA879" s="252">
        <v>0</v>
      </c>
      <c r="AB879" s="252">
        <v>111.83</v>
      </c>
      <c r="AC879" s="252">
        <v>0</v>
      </c>
      <c r="AD879" s="252">
        <v>0</v>
      </c>
      <c r="AE879" s="252" t="s">
        <v>20</v>
      </c>
      <c r="AF879" s="252" t="s">
        <v>718</v>
      </c>
      <c r="AG879" s="252">
        <f t="shared" si="65"/>
        <v>0</v>
      </c>
      <c r="AH879" s="252">
        <f t="shared" si="66"/>
        <v>0</v>
      </c>
      <c r="AI879" s="252">
        <f t="shared" si="67"/>
        <v>0</v>
      </c>
      <c r="AJ879" s="252">
        <f t="shared" si="68"/>
        <v>0</v>
      </c>
    </row>
    <row r="880" spans="1:36" x14ac:dyDescent="0.2">
      <c r="A880" s="253" t="str">
        <f t="shared" si="69"/>
        <v>2TNCF107721HT50</v>
      </c>
      <c r="B880" s="252" t="s">
        <v>265</v>
      </c>
      <c r="C880" s="252" t="s">
        <v>20</v>
      </c>
      <c r="D880" s="252" t="s">
        <v>2474</v>
      </c>
      <c r="E880" s="252" t="s">
        <v>2475</v>
      </c>
      <c r="F880" s="252" t="s">
        <v>2665</v>
      </c>
      <c r="G880" s="252">
        <v>50</v>
      </c>
      <c r="H880" s="252" t="s">
        <v>928</v>
      </c>
      <c r="I880" s="252" t="s">
        <v>2477</v>
      </c>
      <c r="J880" s="252" t="s">
        <v>928</v>
      </c>
      <c r="K880" s="252" t="s">
        <v>3236</v>
      </c>
      <c r="L880" s="252">
        <v>536.34</v>
      </c>
      <c r="M880" s="252">
        <v>0</v>
      </c>
      <c r="N880" s="252">
        <v>0</v>
      </c>
      <c r="O880" s="252">
        <v>0</v>
      </c>
      <c r="P880" s="252">
        <v>0</v>
      </c>
      <c r="Q880" s="252">
        <v>0</v>
      </c>
      <c r="R880" s="252">
        <v>0</v>
      </c>
      <c r="S880" s="252">
        <v>0</v>
      </c>
      <c r="T880" s="252">
        <v>0</v>
      </c>
      <c r="U880" s="252">
        <v>0</v>
      </c>
      <c r="V880" s="252">
        <v>0</v>
      </c>
      <c r="W880" s="252">
        <v>0</v>
      </c>
      <c r="X880" s="252">
        <v>0</v>
      </c>
      <c r="Y880" s="252">
        <v>438.11</v>
      </c>
      <c r="Z880" s="252">
        <v>0</v>
      </c>
      <c r="AA880" s="252">
        <v>0</v>
      </c>
      <c r="AB880" s="252">
        <v>98.22</v>
      </c>
      <c r="AC880" s="252">
        <v>0</v>
      </c>
      <c r="AD880" s="252">
        <v>0</v>
      </c>
      <c r="AE880" s="252" t="s">
        <v>20</v>
      </c>
      <c r="AF880" s="252" t="s">
        <v>718</v>
      </c>
      <c r="AG880" s="252">
        <f t="shared" si="65"/>
        <v>0</v>
      </c>
      <c r="AH880" s="252">
        <f t="shared" si="66"/>
        <v>0</v>
      </c>
      <c r="AI880" s="252">
        <f t="shared" si="67"/>
        <v>0</v>
      </c>
      <c r="AJ880" s="252">
        <f t="shared" si="68"/>
        <v>0</v>
      </c>
    </row>
    <row r="881" spans="1:36" x14ac:dyDescent="0.2">
      <c r="A881" s="253" t="str">
        <f t="shared" si="69"/>
        <v>TNCF107721HT50</v>
      </c>
      <c r="B881" s="252" t="s">
        <v>265</v>
      </c>
      <c r="C881" s="252" t="s">
        <v>20</v>
      </c>
      <c r="D881" s="252" t="s">
        <v>2474</v>
      </c>
      <c r="E881" s="252" t="s">
        <v>2475</v>
      </c>
      <c r="F881" s="252" t="s">
        <v>2665</v>
      </c>
      <c r="G881" s="252">
        <v>50</v>
      </c>
      <c r="H881" s="252" t="s">
        <v>928</v>
      </c>
      <c r="I881" s="252" t="s">
        <v>928</v>
      </c>
      <c r="J881" s="252" t="s">
        <v>928</v>
      </c>
      <c r="K881" s="252" t="s">
        <v>3236</v>
      </c>
      <c r="L881" s="252">
        <v>536.34</v>
      </c>
      <c r="M881" s="252">
        <v>0</v>
      </c>
      <c r="N881" s="252">
        <v>0</v>
      </c>
      <c r="O881" s="252">
        <v>0</v>
      </c>
      <c r="P881" s="252">
        <v>0</v>
      </c>
      <c r="Q881" s="252">
        <v>0</v>
      </c>
      <c r="R881" s="252">
        <v>0</v>
      </c>
      <c r="S881" s="252">
        <v>0</v>
      </c>
      <c r="T881" s="252">
        <v>0</v>
      </c>
      <c r="U881" s="252">
        <v>0</v>
      </c>
      <c r="V881" s="252">
        <v>0</v>
      </c>
      <c r="W881" s="252">
        <v>0</v>
      </c>
      <c r="X881" s="252">
        <v>0</v>
      </c>
      <c r="Y881" s="252">
        <v>438.11</v>
      </c>
      <c r="Z881" s="252">
        <v>0</v>
      </c>
      <c r="AA881" s="252">
        <v>0</v>
      </c>
      <c r="AB881" s="252">
        <v>98.22</v>
      </c>
      <c r="AC881" s="252">
        <v>0</v>
      </c>
      <c r="AD881" s="252">
        <v>0</v>
      </c>
      <c r="AE881" s="252" t="s">
        <v>20</v>
      </c>
      <c r="AF881" s="252" t="s">
        <v>718</v>
      </c>
      <c r="AG881" s="252">
        <f t="shared" si="65"/>
        <v>0</v>
      </c>
      <c r="AH881" s="252">
        <f t="shared" si="66"/>
        <v>0</v>
      </c>
      <c r="AI881" s="252">
        <f t="shared" si="67"/>
        <v>0</v>
      </c>
      <c r="AJ881" s="252">
        <f t="shared" si="68"/>
        <v>0</v>
      </c>
    </row>
    <row r="882" spans="1:36" x14ac:dyDescent="0.2">
      <c r="A882" s="253" t="str">
        <f t="shared" si="69"/>
        <v>2TNCF107A6230</v>
      </c>
      <c r="B882" s="252" t="s">
        <v>265</v>
      </c>
      <c r="C882" s="252" t="s">
        <v>20</v>
      </c>
      <c r="D882" s="252" t="s">
        <v>2474</v>
      </c>
      <c r="E882" s="252" t="s">
        <v>2475</v>
      </c>
      <c r="F882" s="252" t="s">
        <v>2507</v>
      </c>
      <c r="G882" s="252">
        <v>30</v>
      </c>
      <c r="H882" s="252" t="s">
        <v>928</v>
      </c>
      <c r="I882" s="252" t="s">
        <v>2477</v>
      </c>
      <c r="J882" s="252" t="s">
        <v>928</v>
      </c>
      <c r="K882" s="252" t="s">
        <v>3236</v>
      </c>
      <c r="L882" s="252">
        <v>514.1</v>
      </c>
      <c r="M882" s="252">
        <v>0</v>
      </c>
      <c r="N882" s="252">
        <v>0</v>
      </c>
      <c r="O882" s="252">
        <v>0</v>
      </c>
      <c r="P882" s="252">
        <v>0</v>
      </c>
      <c r="Q882" s="252">
        <v>0</v>
      </c>
      <c r="R882" s="252">
        <v>0</v>
      </c>
      <c r="S882" s="252">
        <v>0</v>
      </c>
      <c r="T882" s="252">
        <v>0</v>
      </c>
      <c r="U882" s="252">
        <v>0</v>
      </c>
      <c r="V882" s="252">
        <v>0</v>
      </c>
      <c r="W882" s="252">
        <v>0</v>
      </c>
      <c r="X882" s="252">
        <v>0</v>
      </c>
      <c r="Y882" s="252">
        <v>407.59</v>
      </c>
      <c r="Z882" s="252">
        <v>0</v>
      </c>
      <c r="AA882" s="252">
        <v>0</v>
      </c>
      <c r="AB882" s="252">
        <v>106.51</v>
      </c>
      <c r="AC882" s="252">
        <v>0</v>
      </c>
      <c r="AD882" s="252">
        <v>0</v>
      </c>
      <c r="AE882" s="252" t="s">
        <v>20</v>
      </c>
      <c r="AF882" s="252" t="s">
        <v>718</v>
      </c>
      <c r="AG882" s="252">
        <f t="shared" si="65"/>
        <v>0</v>
      </c>
      <c r="AH882" s="252">
        <f t="shared" si="66"/>
        <v>0</v>
      </c>
      <c r="AI882" s="252">
        <f t="shared" si="67"/>
        <v>0</v>
      </c>
      <c r="AJ882" s="252">
        <f t="shared" si="68"/>
        <v>0</v>
      </c>
    </row>
    <row r="883" spans="1:36" x14ac:dyDescent="0.2">
      <c r="A883" s="253" t="str">
        <f t="shared" si="69"/>
        <v>TNCF107A6230</v>
      </c>
      <c r="B883" s="252" t="s">
        <v>265</v>
      </c>
      <c r="C883" s="252" t="s">
        <v>20</v>
      </c>
      <c r="D883" s="252" t="s">
        <v>2474</v>
      </c>
      <c r="E883" s="252" t="s">
        <v>2475</v>
      </c>
      <c r="F883" s="252" t="s">
        <v>2507</v>
      </c>
      <c r="G883" s="252">
        <v>30</v>
      </c>
      <c r="H883" s="252" t="s">
        <v>928</v>
      </c>
      <c r="I883" s="252" t="s">
        <v>928</v>
      </c>
      <c r="J883" s="252" t="s">
        <v>928</v>
      </c>
      <c r="K883" s="252" t="s">
        <v>3236</v>
      </c>
      <c r="L883" s="252">
        <v>514.1</v>
      </c>
      <c r="M883" s="252">
        <v>0</v>
      </c>
      <c r="N883" s="252">
        <v>0</v>
      </c>
      <c r="O883" s="252">
        <v>0</v>
      </c>
      <c r="P883" s="252">
        <v>0</v>
      </c>
      <c r="Q883" s="252">
        <v>0</v>
      </c>
      <c r="R883" s="252">
        <v>0</v>
      </c>
      <c r="S883" s="252">
        <v>0</v>
      </c>
      <c r="T883" s="252">
        <v>0</v>
      </c>
      <c r="U883" s="252">
        <v>0</v>
      </c>
      <c r="V883" s="252">
        <v>0</v>
      </c>
      <c r="W883" s="252">
        <v>0</v>
      </c>
      <c r="X883" s="252">
        <v>0</v>
      </c>
      <c r="Y883" s="252">
        <v>407.59</v>
      </c>
      <c r="Z883" s="252">
        <v>0</v>
      </c>
      <c r="AA883" s="252">
        <v>0</v>
      </c>
      <c r="AB883" s="252">
        <v>106.51</v>
      </c>
      <c r="AC883" s="252">
        <v>0</v>
      </c>
      <c r="AD883" s="252">
        <v>0</v>
      </c>
      <c r="AE883" s="252" t="s">
        <v>20</v>
      </c>
      <c r="AF883" s="252" t="s">
        <v>718</v>
      </c>
      <c r="AG883" s="252">
        <f t="shared" si="65"/>
        <v>0</v>
      </c>
      <c r="AH883" s="252">
        <f t="shared" si="66"/>
        <v>0</v>
      </c>
      <c r="AI883" s="252">
        <f t="shared" si="67"/>
        <v>0</v>
      </c>
      <c r="AJ883" s="252">
        <f t="shared" si="68"/>
        <v>0</v>
      </c>
    </row>
    <row r="884" spans="1:36" x14ac:dyDescent="0.2">
      <c r="A884" s="253" t="str">
        <f t="shared" si="69"/>
        <v>2TNCF107A8230</v>
      </c>
      <c r="B884" s="252" t="s">
        <v>265</v>
      </c>
      <c r="C884" s="252" t="s">
        <v>20</v>
      </c>
      <c r="D884" s="252" t="s">
        <v>2474</v>
      </c>
      <c r="E884" s="252" t="s">
        <v>2475</v>
      </c>
      <c r="F884" s="252" t="s">
        <v>2666</v>
      </c>
      <c r="G884" s="252">
        <v>30</v>
      </c>
      <c r="H884" s="252" t="s">
        <v>928</v>
      </c>
      <c r="I884" s="252" t="s">
        <v>2477</v>
      </c>
      <c r="J884" s="252" t="s">
        <v>928</v>
      </c>
      <c r="K884" s="252" t="s">
        <v>3236</v>
      </c>
      <c r="L884" s="252">
        <v>539.5</v>
      </c>
      <c r="M884" s="252">
        <v>0</v>
      </c>
      <c r="N884" s="252">
        <v>0</v>
      </c>
      <c r="O884" s="252">
        <v>0</v>
      </c>
      <c r="P884" s="252">
        <v>0</v>
      </c>
      <c r="Q884" s="252">
        <v>0</v>
      </c>
      <c r="R884" s="252">
        <v>0</v>
      </c>
      <c r="S884" s="252">
        <v>0</v>
      </c>
      <c r="T884" s="252">
        <v>0</v>
      </c>
      <c r="U884" s="252">
        <v>0</v>
      </c>
      <c r="V884" s="252">
        <v>0</v>
      </c>
      <c r="W884" s="252">
        <v>0</v>
      </c>
      <c r="X884" s="252">
        <v>0</v>
      </c>
      <c r="Y884" s="252">
        <v>423.6</v>
      </c>
      <c r="Z884" s="252">
        <v>0</v>
      </c>
      <c r="AA884" s="252">
        <v>0</v>
      </c>
      <c r="AB884" s="252">
        <v>115.9</v>
      </c>
      <c r="AC884" s="252">
        <v>0</v>
      </c>
      <c r="AD884" s="252">
        <v>0</v>
      </c>
      <c r="AE884" s="252" t="s">
        <v>20</v>
      </c>
      <c r="AF884" s="252" t="s">
        <v>718</v>
      </c>
      <c r="AG884" s="252">
        <f t="shared" si="65"/>
        <v>0</v>
      </c>
      <c r="AH884" s="252">
        <f t="shared" si="66"/>
        <v>0</v>
      </c>
      <c r="AI884" s="252">
        <f t="shared" si="67"/>
        <v>0</v>
      </c>
      <c r="AJ884" s="252">
        <f t="shared" si="68"/>
        <v>0</v>
      </c>
    </row>
    <row r="885" spans="1:36" x14ac:dyDescent="0.2">
      <c r="A885" s="253" t="str">
        <f t="shared" si="69"/>
        <v>TNCF107A8230</v>
      </c>
      <c r="B885" s="252" t="s">
        <v>265</v>
      </c>
      <c r="C885" s="252" t="s">
        <v>20</v>
      </c>
      <c r="D885" s="252" t="s">
        <v>2474</v>
      </c>
      <c r="E885" s="252" t="s">
        <v>2475</v>
      </c>
      <c r="F885" s="252" t="s">
        <v>2666</v>
      </c>
      <c r="G885" s="252">
        <v>30</v>
      </c>
      <c r="H885" s="252" t="s">
        <v>928</v>
      </c>
      <c r="I885" s="252" t="s">
        <v>928</v>
      </c>
      <c r="J885" s="252" t="s">
        <v>928</v>
      </c>
      <c r="K885" s="252" t="s">
        <v>3236</v>
      </c>
      <c r="L885" s="252">
        <v>539.5</v>
      </c>
      <c r="M885" s="252">
        <v>0</v>
      </c>
      <c r="N885" s="252">
        <v>0</v>
      </c>
      <c r="O885" s="252">
        <v>0</v>
      </c>
      <c r="P885" s="252">
        <v>0</v>
      </c>
      <c r="Q885" s="252">
        <v>0</v>
      </c>
      <c r="R885" s="252">
        <v>0</v>
      </c>
      <c r="S885" s="252">
        <v>0</v>
      </c>
      <c r="T885" s="252">
        <v>0</v>
      </c>
      <c r="U885" s="252">
        <v>0</v>
      </c>
      <c r="V885" s="252">
        <v>0</v>
      </c>
      <c r="W885" s="252">
        <v>0</v>
      </c>
      <c r="X885" s="252">
        <v>0</v>
      </c>
      <c r="Y885" s="252">
        <v>423.6</v>
      </c>
      <c r="Z885" s="252">
        <v>0</v>
      </c>
      <c r="AA885" s="252">
        <v>0</v>
      </c>
      <c r="AB885" s="252">
        <v>115.9</v>
      </c>
      <c r="AC885" s="252">
        <v>0</v>
      </c>
      <c r="AD885" s="252">
        <v>0</v>
      </c>
      <c r="AE885" s="252" t="s">
        <v>20</v>
      </c>
      <c r="AF885" s="252" t="s">
        <v>718</v>
      </c>
      <c r="AG885" s="252">
        <f t="shared" si="65"/>
        <v>0</v>
      </c>
      <c r="AH885" s="252">
        <f t="shared" si="66"/>
        <v>0</v>
      </c>
      <c r="AI885" s="252">
        <f t="shared" si="67"/>
        <v>0</v>
      </c>
      <c r="AJ885" s="252">
        <f t="shared" si="68"/>
        <v>0</v>
      </c>
    </row>
    <row r="886" spans="1:36" x14ac:dyDescent="0.2">
      <c r="A886" s="253" t="str">
        <f t="shared" si="69"/>
        <v>2TNCF107H56G30</v>
      </c>
      <c r="B886" s="252" t="s">
        <v>265</v>
      </c>
      <c r="C886" s="252" t="s">
        <v>20</v>
      </c>
      <c r="D886" s="252" t="s">
        <v>2474</v>
      </c>
      <c r="E886" s="252" t="s">
        <v>2475</v>
      </c>
      <c r="F886" s="252" t="s">
        <v>2511</v>
      </c>
      <c r="G886" s="252">
        <v>30</v>
      </c>
      <c r="H886" s="252" t="s">
        <v>928</v>
      </c>
      <c r="I886" s="252" t="s">
        <v>2477</v>
      </c>
      <c r="J886" s="252" t="s">
        <v>928</v>
      </c>
      <c r="K886" s="252" t="s">
        <v>3236</v>
      </c>
      <c r="L886" s="252">
        <v>518</v>
      </c>
      <c r="M886" s="252">
        <v>0</v>
      </c>
      <c r="N886" s="252">
        <v>0</v>
      </c>
      <c r="O886" s="252">
        <v>0</v>
      </c>
      <c r="P886" s="252">
        <v>0</v>
      </c>
      <c r="Q886" s="252">
        <v>0</v>
      </c>
      <c r="R886" s="252">
        <v>0</v>
      </c>
      <c r="S886" s="252">
        <v>0</v>
      </c>
      <c r="T886" s="252">
        <v>0</v>
      </c>
      <c r="U886" s="252">
        <v>0</v>
      </c>
      <c r="V886" s="252">
        <v>0</v>
      </c>
      <c r="W886" s="252">
        <v>0</v>
      </c>
      <c r="X886" s="252">
        <v>0</v>
      </c>
      <c r="Y886" s="252">
        <v>423.31</v>
      </c>
      <c r="Z886" s="252">
        <v>0</v>
      </c>
      <c r="AA886" s="252">
        <v>0</v>
      </c>
      <c r="AB886" s="252">
        <v>94.69</v>
      </c>
      <c r="AC886" s="252">
        <v>0</v>
      </c>
      <c r="AD886" s="252">
        <v>0</v>
      </c>
      <c r="AE886" s="252" t="s">
        <v>20</v>
      </c>
      <c r="AF886" s="252" t="s">
        <v>718</v>
      </c>
      <c r="AG886" s="252">
        <f t="shared" si="65"/>
        <v>0</v>
      </c>
      <c r="AH886" s="252">
        <f t="shared" si="66"/>
        <v>0</v>
      </c>
      <c r="AI886" s="252">
        <f t="shared" si="67"/>
        <v>0</v>
      </c>
      <c r="AJ886" s="252">
        <f t="shared" si="68"/>
        <v>0</v>
      </c>
    </row>
    <row r="887" spans="1:36" x14ac:dyDescent="0.2">
      <c r="A887" s="253" t="str">
        <f t="shared" si="69"/>
        <v>TNCF107H56G30</v>
      </c>
      <c r="B887" s="252" t="s">
        <v>265</v>
      </c>
      <c r="C887" s="252" t="s">
        <v>20</v>
      </c>
      <c r="D887" s="252" t="s">
        <v>2474</v>
      </c>
      <c r="E887" s="252" t="s">
        <v>2475</v>
      </c>
      <c r="F887" s="252" t="s">
        <v>2511</v>
      </c>
      <c r="G887" s="252">
        <v>30</v>
      </c>
      <c r="H887" s="252" t="s">
        <v>928</v>
      </c>
      <c r="I887" s="252" t="s">
        <v>928</v>
      </c>
      <c r="J887" s="252" t="s">
        <v>928</v>
      </c>
      <c r="K887" s="252" t="s">
        <v>3236</v>
      </c>
      <c r="L887" s="252">
        <v>518</v>
      </c>
      <c r="M887" s="252">
        <v>0</v>
      </c>
      <c r="N887" s="252">
        <v>0</v>
      </c>
      <c r="O887" s="252">
        <v>0</v>
      </c>
      <c r="P887" s="252">
        <v>0</v>
      </c>
      <c r="Q887" s="252">
        <v>0</v>
      </c>
      <c r="R887" s="252">
        <v>0</v>
      </c>
      <c r="S887" s="252">
        <v>0</v>
      </c>
      <c r="T887" s="252">
        <v>0</v>
      </c>
      <c r="U887" s="252">
        <v>0</v>
      </c>
      <c r="V887" s="252">
        <v>0</v>
      </c>
      <c r="W887" s="252">
        <v>0</v>
      </c>
      <c r="X887" s="252">
        <v>0</v>
      </c>
      <c r="Y887" s="252">
        <v>423.31</v>
      </c>
      <c r="Z887" s="252">
        <v>0</v>
      </c>
      <c r="AA887" s="252">
        <v>0</v>
      </c>
      <c r="AB887" s="252">
        <v>94.69</v>
      </c>
      <c r="AC887" s="252">
        <v>0</v>
      </c>
      <c r="AD887" s="252">
        <v>0</v>
      </c>
      <c r="AE887" s="252" t="s">
        <v>720</v>
      </c>
      <c r="AF887" s="252" t="s">
        <v>721</v>
      </c>
      <c r="AG887" s="252">
        <f t="shared" si="65"/>
        <v>0</v>
      </c>
      <c r="AH887" s="252">
        <f t="shared" si="66"/>
        <v>0</v>
      </c>
      <c r="AI887" s="252">
        <f t="shared" si="67"/>
        <v>0</v>
      </c>
      <c r="AJ887" s="252">
        <f t="shared" si="68"/>
        <v>0</v>
      </c>
    </row>
    <row r="888" spans="1:36" x14ac:dyDescent="0.2">
      <c r="A888" s="253" t="str">
        <f t="shared" si="69"/>
        <v>2TNCF10A52130</v>
      </c>
      <c r="B888" s="252" t="s">
        <v>265</v>
      </c>
      <c r="C888" s="252" t="s">
        <v>20</v>
      </c>
      <c r="D888" s="252" t="s">
        <v>2474</v>
      </c>
      <c r="E888" s="252" t="s">
        <v>2475</v>
      </c>
      <c r="F888" s="252" t="s">
        <v>2512</v>
      </c>
      <c r="G888" s="252">
        <v>30</v>
      </c>
      <c r="H888" s="252" t="s">
        <v>928</v>
      </c>
      <c r="I888" s="252" t="s">
        <v>2477</v>
      </c>
      <c r="J888" s="252" t="s">
        <v>928</v>
      </c>
      <c r="K888" s="252" t="s">
        <v>3236</v>
      </c>
      <c r="L888" s="252">
        <v>987.02</v>
      </c>
      <c r="M888" s="252">
        <v>0</v>
      </c>
      <c r="N888" s="252">
        <v>0</v>
      </c>
      <c r="O888" s="252">
        <v>0</v>
      </c>
      <c r="P888" s="252">
        <v>0</v>
      </c>
      <c r="Q888" s="252">
        <v>0</v>
      </c>
      <c r="R888" s="252">
        <v>0</v>
      </c>
      <c r="S888" s="252">
        <v>0</v>
      </c>
      <c r="T888" s="252">
        <v>0</v>
      </c>
      <c r="U888" s="252">
        <v>0</v>
      </c>
      <c r="V888" s="252">
        <v>0</v>
      </c>
      <c r="W888" s="252">
        <v>0</v>
      </c>
      <c r="X888" s="252">
        <v>0</v>
      </c>
      <c r="Y888" s="252">
        <v>676.45</v>
      </c>
      <c r="Z888" s="252">
        <v>0</v>
      </c>
      <c r="AA888" s="252">
        <v>0</v>
      </c>
      <c r="AB888" s="252">
        <v>310.58</v>
      </c>
      <c r="AC888" s="252">
        <v>0</v>
      </c>
      <c r="AD888" s="252">
        <v>0</v>
      </c>
      <c r="AE888" s="252" t="s">
        <v>720</v>
      </c>
      <c r="AF888" s="252" t="s">
        <v>721</v>
      </c>
      <c r="AG888" s="252">
        <f t="shared" si="65"/>
        <v>0</v>
      </c>
      <c r="AH888" s="252">
        <f t="shared" si="66"/>
        <v>0</v>
      </c>
      <c r="AI888" s="252">
        <f t="shared" si="67"/>
        <v>0</v>
      </c>
      <c r="AJ888" s="252">
        <f t="shared" si="68"/>
        <v>0</v>
      </c>
    </row>
    <row r="889" spans="1:36" x14ac:dyDescent="0.2">
      <c r="A889" s="253" t="str">
        <f t="shared" si="69"/>
        <v>TNCF10A52130</v>
      </c>
      <c r="B889" s="252" t="s">
        <v>265</v>
      </c>
      <c r="C889" s="252" t="s">
        <v>20</v>
      </c>
      <c r="D889" s="252" t="s">
        <v>2474</v>
      </c>
      <c r="E889" s="252" t="s">
        <v>2475</v>
      </c>
      <c r="F889" s="252" t="s">
        <v>2512</v>
      </c>
      <c r="G889" s="252">
        <v>30</v>
      </c>
      <c r="H889" s="252" t="s">
        <v>928</v>
      </c>
      <c r="I889" s="252" t="s">
        <v>928</v>
      </c>
      <c r="J889" s="252" t="s">
        <v>928</v>
      </c>
      <c r="K889" s="252" t="s">
        <v>3236</v>
      </c>
      <c r="L889" s="252">
        <v>987.02</v>
      </c>
      <c r="M889" s="252">
        <v>0</v>
      </c>
      <c r="N889" s="252">
        <v>0</v>
      </c>
      <c r="O889" s="252">
        <v>0</v>
      </c>
      <c r="P889" s="252">
        <v>0</v>
      </c>
      <c r="Q889" s="252">
        <v>0</v>
      </c>
      <c r="R889" s="252">
        <v>0</v>
      </c>
      <c r="S889" s="252">
        <v>0</v>
      </c>
      <c r="T889" s="252">
        <v>0</v>
      </c>
      <c r="U889" s="252">
        <v>0</v>
      </c>
      <c r="V889" s="252">
        <v>0</v>
      </c>
      <c r="W889" s="252">
        <v>0</v>
      </c>
      <c r="X889" s="252">
        <v>0</v>
      </c>
      <c r="Y889" s="252">
        <v>676.45</v>
      </c>
      <c r="Z889" s="252">
        <v>0</v>
      </c>
      <c r="AA889" s="252">
        <v>0</v>
      </c>
      <c r="AB889" s="252">
        <v>310.58</v>
      </c>
      <c r="AC889" s="252">
        <v>0</v>
      </c>
      <c r="AD889" s="252">
        <v>0</v>
      </c>
      <c r="AE889" s="252" t="s">
        <v>720</v>
      </c>
      <c r="AF889" s="252" t="s">
        <v>721</v>
      </c>
      <c r="AG889" s="252">
        <f t="shared" si="65"/>
        <v>0</v>
      </c>
      <c r="AH889" s="252">
        <f t="shared" si="66"/>
        <v>0</v>
      </c>
      <c r="AI889" s="252">
        <f t="shared" si="67"/>
        <v>0</v>
      </c>
      <c r="AJ889" s="252">
        <f t="shared" si="68"/>
        <v>0</v>
      </c>
    </row>
    <row r="890" spans="1:36" x14ac:dyDescent="0.2">
      <c r="A890" s="253" t="str">
        <f t="shared" si="69"/>
        <v>2TNCF10CF47020</v>
      </c>
      <c r="B890" s="252" t="s">
        <v>265</v>
      </c>
      <c r="C890" s="252" t="s">
        <v>20</v>
      </c>
      <c r="D890" s="252" t="s">
        <v>2474</v>
      </c>
      <c r="E890" s="252" t="s">
        <v>2475</v>
      </c>
      <c r="F890" s="252" t="s">
        <v>2513</v>
      </c>
      <c r="G890" s="252">
        <v>20</v>
      </c>
      <c r="H890" s="252" t="s">
        <v>928</v>
      </c>
      <c r="I890" s="252" t="s">
        <v>2477</v>
      </c>
      <c r="J890" s="252" t="s">
        <v>928</v>
      </c>
      <c r="K890" s="252" t="s">
        <v>3236</v>
      </c>
      <c r="L890" s="252">
        <v>369.05</v>
      </c>
      <c r="M890" s="252">
        <v>0</v>
      </c>
      <c r="N890" s="252">
        <v>0</v>
      </c>
      <c r="O890" s="252">
        <v>0</v>
      </c>
      <c r="P890" s="252">
        <v>0</v>
      </c>
      <c r="Q890" s="252">
        <v>0</v>
      </c>
      <c r="R890" s="252">
        <v>0</v>
      </c>
      <c r="S890" s="252">
        <v>0</v>
      </c>
      <c r="T890" s="252">
        <v>0</v>
      </c>
      <c r="U890" s="252">
        <v>0</v>
      </c>
      <c r="V890" s="252">
        <v>0</v>
      </c>
      <c r="W890" s="252">
        <v>0</v>
      </c>
      <c r="X890" s="252">
        <v>0</v>
      </c>
      <c r="Y890" s="252">
        <v>221.31</v>
      </c>
      <c r="Z890" s="252">
        <v>0</v>
      </c>
      <c r="AA890" s="252">
        <v>0</v>
      </c>
      <c r="AB890" s="252">
        <v>147.74</v>
      </c>
      <c r="AC890" s="252">
        <v>0</v>
      </c>
      <c r="AD890" s="252">
        <v>0</v>
      </c>
      <c r="AE890" s="252" t="s">
        <v>720</v>
      </c>
      <c r="AF890" s="252" t="s">
        <v>721</v>
      </c>
      <c r="AG890" s="252">
        <f t="shared" si="65"/>
        <v>0</v>
      </c>
      <c r="AH890" s="252">
        <f t="shared" si="66"/>
        <v>0</v>
      </c>
      <c r="AI890" s="252">
        <f t="shared" si="67"/>
        <v>0</v>
      </c>
      <c r="AJ890" s="252">
        <f t="shared" si="68"/>
        <v>0</v>
      </c>
    </row>
    <row r="891" spans="1:36" x14ac:dyDescent="0.2">
      <c r="A891" s="253" t="str">
        <f t="shared" si="69"/>
        <v>TNCF10CF47020</v>
      </c>
      <c r="B891" s="252" t="s">
        <v>265</v>
      </c>
      <c r="C891" s="252" t="s">
        <v>20</v>
      </c>
      <c r="D891" s="252" t="s">
        <v>2474</v>
      </c>
      <c r="E891" s="252" t="s">
        <v>2475</v>
      </c>
      <c r="F891" s="252" t="s">
        <v>2513</v>
      </c>
      <c r="G891" s="252">
        <v>20</v>
      </c>
      <c r="H891" s="252" t="s">
        <v>928</v>
      </c>
      <c r="I891" s="252" t="s">
        <v>928</v>
      </c>
      <c r="J891" s="252" t="s">
        <v>928</v>
      </c>
      <c r="K891" s="252" t="s">
        <v>3236</v>
      </c>
      <c r="L891" s="252">
        <v>369.05</v>
      </c>
      <c r="M891" s="252">
        <v>0</v>
      </c>
      <c r="N891" s="252">
        <v>0</v>
      </c>
      <c r="O891" s="252">
        <v>0</v>
      </c>
      <c r="P891" s="252">
        <v>0</v>
      </c>
      <c r="Q891" s="252">
        <v>0</v>
      </c>
      <c r="R891" s="252">
        <v>0</v>
      </c>
      <c r="S891" s="252">
        <v>0</v>
      </c>
      <c r="T891" s="252">
        <v>0</v>
      </c>
      <c r="U891" s="252">
        <v>0</v>
      </c>
      <c r="V891" s="252">
        <v>0</v>
      </c>
      <c r="W891" s="252">
        <v>0</v>
      </c>
      <c r="X891" s="252">
        <v>0</v>
      </c>
      <c r="Y891" s="252">
        <v>221.31</v>
      </c>
      <c r="Z891" s="252">
        <v>0</v>
      </c>
      <c r="AA891" s="252">
        <v>0</v>
      </c>
      <c r="AB891" s="252">
        <v>147.74</v>
      </c>
      <c r="AC891" s="252">
        <v>0</v>
      </c>
      <c r="AD891" s="252">
        <v>0</v>
      </c>
      <c r="AE891" s="252" t="s">
        <v>720</v>
      </c>
      <c r="AF891" s="252" t="s">
        <v>721</v>
      </c>
      <c r="AG891" s="252">
        <f t="shared" si="65"/>
        <v>0</v>
      </c>
      <c r="AH891" s="252">
        <f t="shared" si="66"/>
        <v>0</v>
      </c>
      <c r="AI891" s="252">
        <f t="shared" si="67"/>
        <v>0</v>
      </c>
      <c r="AJ891" s="252">
        <f t="shared" si="68"/>
        <v>0</v>
      </c>
    </row>
    <row r="892" spans="1:36" x14ac:dyDescent="0.2">
      <c r="A892" s="253" t="str">
        <f t="shared" si="69"/>
        <v>2TNCF10CF56780</v>
      </c>
      <c r="B892" s="252" t="s">
        <v>265</v>
      </c>
      <c r="C892" s="252" t="s">
        <v>20</v>
      </c>
      <c r="D892" s="252" t="s">
        <v>2474</v>
      </c>
      <c r="E892" s="252" t="s">
        <v>2475</v>
      </c>
      <c r="F892" s="252" t="s">
        <v>2668</v>
      </c>
      <c r="G892" s="252">
        <v>80</v>
      </c>
      <c r="H892" s="252" t="s">
        <v>928</v>
      </c>
      <c r="I892" s="252" t="s">
        <v>2477</v>
      </c>
      <c r="J892" s="252" t="s">
        <v>928</v>
      </c>
      <c r="K892" s="252" t="s">
        <v>3236</v>
      </c>
      <c r="L892" s="252">
        <v>1360.59</v>
      </c>
      <c r="M892" s="252">
        <v>0</v>
      </c>
      <c r="N892" s="252">
        <v>0</v>
      </c>
      <c r="O892" s="252">
        <v>0</v>
      </c>
      <c r="P892" s="252">
        <v>0</v>
      </c>
      <c r="Q892" s="252">
        <v>0</v>
      </c>
      <c r="R892" s="252">
        <v>0</v>
      </c>
      <c r="S892" s="252">
        <v>0</v>
      </c>
      <c r="T892" s="252">
        <v>0</v>
      </c>
      <c r="U892" s="252">
        <v>0</v>
      </c>
      <c r="V892" s="252">
        <v>0</v>
      </c>
      <c r="W892" s="252">
        <v>0</v>
      </c>
      <c r="X892" s="252">
        <v>0</v>
      </c>
      <c r="Y892" s="252">
        <v>1230.6199999999999</v>
      </c>
      <c r="Z892" s="252">
        <v>0</v>
      </c>
      <c r="AA892" s="252">
        <v>0</v>
      </c>
      <c r="AB892" s="252">
        <v>129.97</v>
      </c>
      <c r="AC892" s="252">
        <v>0</v>
      </c>
      <c r="AD892" s="252">
        <v>0</v>
      </c>
      <c r="AE892" s="252" t="s">
        <v>720</v>
      </c>
      <c r="AF892" s="252" t="s">
        <v>721</v>
      </c>
      <c r="AG892" s="252">
        <f t="shared" si="65"/>
        <v>0</v>
      </c>
      <c r="AH892" s="252">
        <f t="shared" si="66"/>
        <v>0</v>
      </c>
      <c r="AI892" s="252">
        <f t="shared" si="67"/>
        <v>0</v>
      </c>
      <c r="AJ892" s="252">
        <f t="shared" si="68"/>
        <v>0</v>
      </c>
    </row>
    <row r="893" spans="1:36" x14ac:dyDescent="0.2">
      <c r="A893" s="253" t="str">
        <f t="shared" si="69"/>
        <v>TNCF10CF56780</v>
      </c>
      <c r="B893" s="252" t="s">
        <v>265</v>
      </c>
      <c r="C893" s="252" t="s">
        <v>20</v>
      </c>
      <c r="D893" s="252" t="s">
        <v>2474</v>
      </c>
      <c r="E893" s="252" t="s">
        <v>2475</v>
      </c>
      <c r="F893" s="252" t="s">
        <v>2668</v>
      </c>
      <c r="G893" s="252">
        <v>80</v>
      </c>
      <c r="H893" s="252" t="s">
        <v>928</v>
      </c>
      <c r="I893" s="252" t="s">
        <v>928</v>
      </c>
      <c r="J893" s="252" t="s">
        <v>928</v>
      </c>
      <c r="K893" s="252" t="s">
        <v>3236</v>
      </c>
      <c r="L893" s="252">
        <v>1360.59</v>
      </c>
      <c r="M893" s="252">
        <v>0</v>
      </c>
      <c r="N893" s="252">
        <v>0</v>
      </c>
      <c r="O893" s="252">
        <v>0</v>
      </c>
      <c r="P893" s="252">
        <v>0</v>
      </c>
      <c r="Q893" s="252">
        <v>0</v>
      </c>
      <c r="R893" s="252">
        <v>0</v>
      </c>
      <c r="S893" s="252">
        <v>0</v>
      </c>
      <c r="T893" s="252">
        <v>0</v>
      </c>
      <c r="U893" s="252">
        <v>0</v>
      </c>
      <c r="V893" s="252">
        <v>0</v>
      </c>
      <c r="W893" s="252">
        <v>0</v>
      </c>
      <c r="X893" s="252">
        <v>0</v>
      </c>
      <c r="Y893" s="252">
        <v>1230.6199999999999</v>
      </c>
      <c r="Z893" s="252">
        <v>0</v>
      </c>
      <c r="AA893" s="252">
        <v>0</v>
      </c>
      <c r="AB893" s="252">
        <v>129.97</v>
      </c>
      <c r="AC893" s="252">
        <v>0</v>
      </c>
      <c r="AD893" s="252">
        <v>0</v>
      </c>
      <c r="AE893" s="252" t="s">
        <v>720</v>
      </c>
      <c r="AF893" s="252" t="s">
        <v>721</v>
      </c>
      <c r="AG893" s="252">
        <f t="shared" si="65"/>
        <v>0</v>
      </c>
      <c r="AH893" s="252">
        <f t="shared" si="66"/>
        <v>0</v>
      </c>
      <c r="AI893" s="252">
        <f t="shared" si="67"/>
        <v>0</v>
      </c>
      <c r="AJ893" s="252">
        <f t="shared" si="68"/>
        <v>0</v>
      </c>
    </row>
    <row r="894" spans="1:36" x14ac:dyDescent="0.2">
      <c r="A894" s="253" t="str">
        <f t="shared" si="69"/>
        <v>2TNCF10CF588140</v>
      </c>
      <c r="B894" s="252" t="s">
        <v>265</v>
      </c>
      <c r="C894" s="252" t="s">
        <v>20</v>
      </c>
      <c r="D894" s="252" t="s">
        <v>2474</v>
      </c>
      <c r="E894" s="252" t="s">
        <v>2475</v>
      </c>
      <c r="F894" s="252" t="s">
        <v>2669</v>
      </c>
      <c r="G894" s="252">
        <v>140</v>
      </c>
      <c r="H894" s="252" t="s">
        <v>928</v>
      </c>
      <c r="I894" s="252" t="s">
        <v>2477</v>
      </c>
      <c r="J894" s="252" t="s">
        <v>928</v>
      </c>
      <c r="K894" s="252" t="s">
        <v>3236</v>
      </c>
      <c r="L894" s="252">
        <v>710.37</v>
      </c>
      <c r="M894" s="252">
        <v>0</v>
      </c>
      <c r="N894" s="252">
        <v>0</v>
      </c>
      <c r="O894" s="252">
        <v>0</v>
      </c>
      <c r="P894" s="252">
        <v>0</v>
      </c>
      <c r="Q894" s="252">
        <v>0</v>
      </c>
      <c r="R894" s="252">
        <v>0</v>
      </c>
      <c r="S894" s="252">
        <v>0</v>
      </c>
      <c r="T894" s="252">
        <v>0</v>
      </c>
      <c r="U894" s="252">
        <v>0</v>
      </c>
      <c r="V894" s="252">
        <v>0</v>
      </c>
      <c r="W894" s="252">
        <v>0</v>
      </c>
      <c r="X894" s="252">
        <v>0</v>
      </c>
      <c r="Y894" s="252">
        <v>587.57000000000005</v>
      </c>
      <c r="Z894" s="252">
        <v>0</v>
      </c>
      <c r="AA894" s="252">
        <v>0</v>
      </c>
      <c r="AB894" s="252">
        <v>122.79</v>
      </c>
      <c r="AC894" s="252">
        <v>0</v>
      </c>
      <c r="AD894" s="252">
        <v>0</v>
      </c>
      <c r="AE894" s="252" t="s">
        <v>720</v>
      </c>
      <c r="AF894" s="252" t="s">
        <v>721</v>
      </c>
      <c r="AG894" s="252">
        <f t="shared" si="65"/>
        <v>0</v>
      </c>
      <c r="AH894" s="252">
        <f t="shared" si="66"/>
        <v>0</v>
      </c>
      <c r="AI894" s="252">
        <f t="shared" si="67"/>
        <v>0</v>
      </c>
      <c r="AJ894" s="252">
        <f t="shared" si="68"/>
        <v>0</v>
      </c>
    </row>
    <row r="895" spans="1:36" x14ac:dyDescent="0.2">
      <c r="A895" s="253" t="str">
        <f t="shared" si="69"/>
        <v>TNCF10CF588140</v>
      </c>
      <c r="B895" s="252" t="s">
        <v>265</v>
      </c>
      <c r="C895" s="252" t="s">
        <v>20</v>
      </c>
      <c r="D895" s="252" t="s">
        <v>2474</v>
      </c>
      <c r="E895" s="252" t="s">
        <v>2475</v>
      </c>
      <c r="F895" s="252" t="s">
        <v>2669</v>
      </c>
      <c r="G895" s="252">
        <v>140</v>
      </c>
      <c r="H895" s="252" t="s">
        <v>928</v>
      </c>
      <c r="I895" s="252" t="s">
        <v>928</v>
      </c>
      <c r="J895" s="252" t="s">
        <v>928</v>
      </c>
      <c r="K895" s="252" t="s">
        <v>3236</v>
      </c>
      <c r="L895" s="252">
        <v>710.37</v>
      </c>
      <c r="M895" s="252">
        <v>0</v>
      </c>
      <c r="N895" s="252">
        <v>0</v>
      </c>
      <c r="O895" s="252">
        <v>0</v>
      </c>
      <c r="P895" s="252">
        <v>0</v>
      </c>
      <c r="Q895" s="252">
        <v>0</v>
      </c>
      <c r="R895" s="252">
        <v>0</v>
      </c>
      <c r="S895" s="252">
        <v>0</v>
      </c>
      <c r="T895" s="252">
        <v>0</v>
      </c>
      <c r="U895" s="252">
        <v>0</v>
      </c>
      <c r="V895" s="252">
        <v>0</v>
      </c>
      <c r="W895" s="252">
        <v>0</v>
      </c>
      <c r="X895" s="252">
        <v>0</v>
      </c>
      <c r="Y895" s="252">
        <v>587.57000000000005</v>
      </c>
      <c r="Z895" s="252">
        <v>0</v>
      </c>
      <c r="AA895" s="252">
        <v>0</v>
      </c>
      <c r="AB895" s="252">
        <v>122.79</v>
      </c>
      <c r="AC895" s="252">
        <v>0</v>
      </c>
      <c r="AD895" s="252">
        <v>0</v>
      </c>
      <c r="AE895" s="252" t="s">
        <v>720</v>
      </c>
      <c r="AF895" s="252" t="s">
        <v>721</v>
      </c>
      <c r="AG895" s="252">
        <f t="shared" si="65"/>
        <v>0</v>
      </c>
      <c r="AH895" s="252">
        <f t="shared" si="66"/>
        <v>0</v>
      </c>
      <c r="AI895" s="252">
        <f t="shared" si="67"/>
        <v>0</v>
      </c>
      <c r="AJ895" s="252">
        <f t="shared" si="68"/>
        <v>0</v>
      </c>
    </row>
    <row r="896" spans="1:36" x14ac:dyDescent="0.2">
      <c r="A896" s="253" t="str">
        <f t="shared" si="69"/>
        <v>2TNCF10CF60437</v>
      </c>
      <c r="B896" s="252" t="s">
        <v>265</v>
      </c>
      <c r="C896" s="252" t="s">
        <v>20</v>
      </c>
      <c r="D896" s="252" t="s">
        <v>2474</v>
      </c>
      <c r="E896" s="252" t="s">
        <v>2475</v>
      </c>
      <c r="F896" s="252" t="s">
        <v>2670</v>
      </c>
      <c r="G896" s="252">
        <v>37</v>
      </c>
      <c r="H896" s="252" t="s">
        <v>928</v>
      </c>
      <c r="I896" s="252" t="s">
        <v>2477</v>
      </c>
      <c r="J896" s="252" t="s">
        <v>928</v>
      </c>
      <c r="K896" s="252" t="s">
        <v>3236</v>
      </c>
      <c r="L896" s="252">
        <v>848.63</v>
      </c>
      <c r="M896" s="252">
        <v>0</v>
      </c>
      <c r="N896" s="252">
        <v>0</v>
      </c>
      <c r="O896" s="252">
        <v>0</v>
      </c>
      <c r="P896" s="252">
        <v>0</v>
      </c>
      <c r="Q896" s="252">
        <v>0</v>
      </c>
      <c r="R896" s="252">
        <v>0</v>
      </c>
      <c r="S896" s="252">
        <v>0</v>
      </c>
      <c r="T896" s="252">
        <v>0</v>
      </c>
      <c r="U896" s="252">
        <v>0</v>
      </c>
      <c r="V896" s="252">
        <v>0</v>
      </c>
      <c r="W896" s="252">
        <v>0</v>
      </c>
      <c r="X896" s="252">
        <v>0</v>
      </c>
      <c r="Y896" s="252">
        <v>684.41</v>
      </c>
      <c r="Z896" s="252">
        <v>0</v>
      </c>
      <c r="AA896" s="252">
        <v>0</v>
      </c>
      <c r="AB896" s="252">
        <v>164.22</v>
      </c>
      <c r="AC896" s="252">
        <v>0</v>
      </c>
      <c r="AD896" s="252">
        <v>0</v>
      </c>
      <c r="AE896" s="252" t="s">
        <v>720</v>
      </c>
      <c r="AF896" s="252" t="s">
        <v>721</v>
      </c>
      <c r="AG896" s="252">
        <f t="shared" si="65"/>
        <v>0</v>
      </c>
      <c r="AH896" s="252">
        <f t="shared" si="66"/>
        <v>0</v>
      </c>
      <c r="AI896" s="252">
        <f t="shared" si="67"/>
        <v>0</v>
      </c>
      <c r="AJ896" s="252">
        <f t="shared" si="68"/>
        <v>0</v>
      </c>
    </row>
    <row r="897" spans="1:36" x14ac:dyDescent="0.2">
      <c r="A897" s="253" t="str">
        <f t="shared" si="69"/>
        <v>TNCF10CF60437</v>
      </c>
      <c r="B897" s="252" t="s">
        <v>265</v>
      </c>
      <c r="C897" s="252" t="s">
        <v>20</v>
      </c>
      <c r="D897" s="252" t="s">
        <v>2474</v>
      </c>
      <c r="E897" s="252" t="s">
        <v>2475</v>
      </c>
      <c r="F897" s="252" t="s">
        <v>2670</v>
      </c>
      <c r="G897" s="252">
        <v>37</v>
      </c>
      <c r="H897" s="252" t="s">
        <v>928</v>
      </c>
      <c r="I897" s="252" t="s">
        <v>928</v>
      </c>
      <c r="J897" s="252" t="s">
        <v>928</v>
      </c>
      <c r="K897" s="252" t="s">
        <v>3236</v>
      </c>
      <c r="L897" s="252">
        <v>848.63</v>
      </c>
      <c r="M897" s="252">
        <v>0</v>
      </c>
      <c r="N897" s="252">
        <v>0</v>
      </c>
      <c r="O897" s="252">
        <v>0</v>
      </c>
      <c r="P897" s="252">
        <v>0</v>
      </c>
      <c r="Q897" s="252">
        <v>0</v>
      </c>
      <c r="R897" s="252">
        <v>0</v>
      </c>
      <c r="S897" s="252">
        <v>0</v>
      </c>
      <c r="T897" s="252">
        <v>0</v>
      </c>
      <c r="U897" s="252">
        <v>0</v>
      </c>
      <c r="V897" s="252">
        <v>0</v>
      </c>
      <c r="W897" s="252">
        <v>0</v>
      </c>
      <c r="X897" s="252">
        <v>0</v>
      </c>
      <c r="Y897" s="252">
        <v>684.41</v>
      </c>
      <c r="Z897" s="252">
        <v>0</v>
      </c>
      <c r="AA897" s="252">
        <v>0</v>
      </c>
      <c r="AB897" s="252">
        <v>164.22</v>
      </c>
      <c r="AC897" s="252">
        <v>0</v>
      </c>
      <c r="AD897" s="252">
        <v>0</v>
      </c>
      <c r="AE897" s="252" t="s">
        <v>720</v>
      </c>
      <c r="AF897" s="252" t="s">
        <v>721</v>
      </c>
      <c r="AG897" s="252">
        <f t="shared" si="65"/>
        <v>0</v>
      </c>
      <c r="AH897" s="252">
        <f t="shared" si="66"/>
        <v>0</v>
      </c>
      <c r="AI897" s="252">
        <f t="shared" si="67"/>
        <v>0</v>
      </c>
      <c r="AJ897" s="252">
        <f t="shared" si="68"/>
        <v>0</v>
      </c>
    </row>
    <row r="898" spans="1:36" x14ac:dyDescent="0.2">
      <c r="A898" s="253" t="str">
        <f t="shared" si="69"/>
        <v>2TNCF10CF619E70</v>
      </c>
      <c r="B898" s="252" t="s">
        <v>265</v>
      </c>
      <c r="C898" s="252" t="s">
        <v>20</v>
      </c>
      <c r="D898" s="252" t="s">
        <v>2474</v>
      </c>
      <c r="E898" s="252" t="s">
        <v>2475</v>
      </c>
      <c r="F898" s="252" t="s">
        <v>2671</v>
      </c>
      <c r="G898" s="252">
        <v>70</v>
      </c>
      <c r="H898" s="252" t="s">
        <v>928</v>
      </c>
      <c r="I898" s="252" t="s">
        <v>2477</v>
      </c>
      <c r="J898" s="252" t="s">
        <v>928</v>
      </c>
      <c r="K898" s="252" t="s">
        <v>3236</v>
      </c>
      <c r="L898" s="252">
        <v>782.6</v>
      </c>
      <c r="M898" s="252">
        <v>0</v>
      </c>
      <c r="N898" s="252">
        <v>0</v>
      </c>
      <c r="O898" s="252">
        <v>0</v>
      </c>
      <c r="P898" s="252">
        <v>0</v>
      </c>
      <c r="Q898" s="252">
        <v>0</v>
      </c>
      <c r="R898" s="252">
        <v>0</v>
      </c>
      <c r="S898" s="252">
        <v>0</v>
      </c>
      <c r="T898" s="252">
        <v>0</v>
      </c>
      <c r="U898" s="252">
        <v>0</v>
      </c>
      <c r="V898" s="252">
        <v>0</v>
      </c>
      <c r="W898" s="252">
        <v>0</v>
      </c>
      <c r="X898" s="252">
        <v>0</v>
      </c>
      <c r="Y898" s="252">
        <v>651.85</v>
      </c>
      <c r="Z898" s="252">
        <v>0</v>
      </c>
      <c r="AA898" s="252">
        <v>0</v>
      </c>
      <c r="AB898" s="252">
        <v>130.75</v>
      </c>
      <c r="AC898" s="252">
        <v>0</v>
      </c>
      <c r="AD898" s="252">
        <v>0</v>
      </c>
      <c r="AE898" s="252" t="s">
        <v>720</v>
      </c>
      <c r="AF898" s="252" t="s">
        <v>721</v>
      </c>
      <c r="AG898" s="252">
        <f t="shared" si="65"/>
        <v>0</v>
      </c>
      <c r="AH898" s="252">
        <f t="shared" si="66"/>
        <v>0</v>
      </c>
      <c r="AI898" s="252">
        <f t="shared" si="67"/>
        <v>0</v>
      </c>
      <c r="AJ898" s="252">
        <f t="shared" si="68"/>
        <v>0</v>
      </c>
    </row>
    <row r="899" spans="1:36" x14ac:dyDescent="0.2">
      <c r="A899" s="253" t="str">
        <f t="shared" si="69"/>
        <v>TNCF10CF619E70</v>
      </c>
      <c r="B899" s="252" t="s">
        <v>265</v>
      </c>
      <c r="C899" s="252" t="s">
        <v>20</v>
      </c>
      <c r="D899" s="252" t="s">
        <v>2474</v>
      </c>
      <c r="E899" s="252" t="s">
        <v>2475</v>
      </c>
      <c r="F899" s="252" t="s">
        <v>2671</v>
      </c>
      <c r="G899" s="252">
        <v>70</v>
      </c>
      <c r="H899" s="252" t="s">
        <v>928</v>
      </c>
      <c r="I899" s="252" t="s">
        <v>928</v>
      </c>
      <c r="J899" s="252" t="s">
        <v>928</v>
      </c>
      <c r="K899" s="252" t="s">
        <v>3236</v>
      </c>
      <c r="L899" s="252">
        <v>782.6</v>
      </c>
      <c r="M899" s="252">
        <v>0</v>
      </c>
      <c r="N899" s="252">
        <v>0</v>
      </c>
      <c r="O899" s="252">
        <v>0</v>
      </c>
      <c r="P899" s="252">
        <v>0</v>
      </c>
      <c r="Q899" s="252">
        <v>0</v>
      </c>
      <c r="R899" s="252">
        <v>0</v>
      </c>
      <c r="S899" s="252">
        <v>0</v>
      </c>
      <c r="T899" s="252">
        <v>0</v>
      </c>
      <c r="U899" s="252">
        <v>0</v>
      </c>
      <c r="V899" s="252">
        <v>0</v>
      </c>
      <c r="W899" s="252">
        <v>0</v>
      </c>
      <c r="X899" s="252">
        <v>0</v>
      </c>
      <c r="Y899" s="252">
        <v>651.85</v>
      </c>
      <c r="Z899" s="252">
        <v>0</v>
      </c>
      <c r="AA899" s="252">
        <v>0</v>
      </c>
      <c r="AB899" s="252">
        <v>130.75</v>
      </c>
      <c r="AC899" s="252">
        <v>0</v>
      </c>
      <c r="AD899" s="252">
        <v>0</v>
      </c>
      <c r="AE899" s="252" t="s">
        <v>720</v>
      </c>
      <c r="AF899" s="252" t="s">
        <v>721</v>
      </c>
      <c r="AG899" s="252">
        <f t="shared" si="65"/>
        <v>0</v>
      </c>
      <c r="AH899" s="252">
        <f t="shared" si="66"/>
        <v>0</v>
      </c>
      <c r="AI899" s="252">
        <f t="shared" si="67"/>
        <v>0</v>
      </c>
      <c r="AJ899" s="252">
        <f t="shared" si="68"/>
        <v>0</v>
      </c>
    </row>
    <row r="900" spans="1:36" x14ac:dyDescent="0.2">
      <c r="A900" s="253" t="str">
        <f t="shared" si="69"/>
        <v>2TNCF10CF622E45</v>
      </c>
      <c r="B900" s="252" t="s">
        <v>265</v>
      </c>
      <c r="C900" s="252" t="s">
        <v>20</v>
      </c>
      <c r="D900" s="252" t="s">
        <v>2474</v>
      </c>
      <c r="E900" s="252" t="s">
        <v>2475</v>
      </c>
      <c r="F900" s="252" t="s">
        <v>2672</v>
      </c>
      <c r="G900" s="252">
        <v>45</v>
      </c>
      <c r="H900" s="252" t="s">
        <v>928</v>
      </c>
      <c r="I900" s="252" t="s">
        <v>2477</v>
      </c>
      <c r="J900" s="252" t="s">
        <v>928</v>
      </c>
      <c r="K900" s="252" t="s">
        <v>3236</v>
      </c>
      <c r="L900" s="252">
        <v>679.47</v>
      </c>
      <c r="M900" s="252">
        <v>0</v>
      </c>
      <c r="N900" s="252">
        <v>0</v>
      </c>
      <c r="O900" s="252">
        <v>0</v>
      </c>
      <c r="P900" s="252">
        <v>0</v>
      </c>
      <c r="Q900" s="252">
        <v>0</v>
      </c>
      <c r="R900" s="252">
        <v>0</v>
      </c>
      <c r="S900" s="252">
        <v>0</v>
      </c>
      <c r="T900" s="252">
        <v>0</v>
      </c>
      <c r="U900" s="252">
        <v>0</v>
      </c>
      <c r="V900" s="252">
        <v>0</v>
      </c>
      <c r="W900" s="252">
        <v>0</v>
      </c>
      <c r="X900" s="252">
        <v>0</v>
      </c>
      <c r="Y900" s="252">
        <v>566.29999999999995</v>
      </c>
      <c r="Z900" s="252">
        <v>0</v>
      </c>
      <c r="AA900" s="252">
        <v>0</v>
      </c>
      <c r="AB900" s="252">
        <v>113.17</v>
      </c>
      <c r="AC900" s="252">
        <v>0</v>
      </c>
      <c r="AD900" s="252">
        <v>0</v>
      </c>
      <c r="AE900" s="252" t="s">
        <v>720</v>
      </c>
      <c r="AF900" s="252" t="s">
        <v>721</v>
      </c>
      <c r="AG900" s="252">
        <f t="shared" si="65"/>
        <v>0</v>
      </c>
      <c r="AH900" s="252">
        <f t="shared" si="66"/>
        <v>0</v>
      </c>
      <c r="AI900" s="252">
        <f t="shared" si="67"/>
        <v>0</v>
      </c>
      <c r="AJ900" s="252">
        <f t="shared" si="68"/>
        <v>0</v>
      </c>
    </row>
    <row r="901" spans="1:36" x14ac:dyDescent="0.2">
      <c r="A901" s="253" t="str">
        <f t="shared" si="69"/>
        <v>TNCF10CF622E45</v>
      </c>
      <c r="B901" s="252" t="s">
        <v>265</v>
      </c>
      <c r="C901" s="252" t="s">
        <v>20</v>
      </c>
      <c r="D901" s="252" t="s">
        <v>2474</v>
      </c>
      <c r="E901" s="252" t="s">
        <v>2475</v>
      </c>
      <c r="F901" s="252" t="s">
        <v>2672</v>
      </c>
      <c r="G901" s="252">
        <v>45</v>
      </c>
      <c r="H901" s="252" t="s">
        <v>928</v>
      </c>
      <c r="I901" s="252" t="s">
        <v>928</v>
      </c>
      <c r="J901" s="252" t="s">
        <v>928</v>
      </c>
      <c r="K901" s="252" t="s">
        <v>3236</v>
      </c>
      <c r="L901" s="252">
        <v>679.47</v>
      </c>
      <c r="M901" s="252">
        <v>0</v>
      </c>
      <c r="N901" s="252">
        <v>0</v>
      </c>
      <c r="O901" s="252">
        <v>0</v>
      </c>
      <c r="P901" s="252">
        <v>0</v>
      </c>
      <c r="Q901" s="252">
        <v>0</v>
      </c>
      <c r="R901" s="252">
        <v>0</v>
      </c>
      <c r="S901" s="252">
        <v>0</v>
      </c>
      <c r="T901" s="252">
        <v>0</v>
      </c>
      <c r="U901" s="252">
        <v>0</v>
      </c>
      <c r="V901" s="252">
        <v>0</v>
      </c>
      <c r="W901" s="252">
        <v>0</v>
      </c>
      <c r="X901" s="252">
        <v>0</v>
      </c>
      <c r="Y901" s="252">
        <v>566.29999999999995</v>
      </c>
      <c r="Z901" s="252">
        <v>0</v>
      </c>
      <c r="AA901" s="252">
        <v>0</v>
      </c>
      <c r="AB901" s="252">
        <v>113.17</v>
      </c>
      <c r="AC901" s="252">
        <v>0</v>
      </c>
      <c r="AD901" s="252">
        <v>0</v>
      </c>
      <c r="AE901" s="252" t="s">
        <v>19</v>
      </c>
      <c r="AF901" s="252" t="s">
        <v>718</v>
      </c>
      <c r="AG901" s="252">
        <f t="shared" si="65"/>
        <v>0</v>
      </c>
      <c r="AH901" s="252">
        <f t="shared" si="66"/>
        <v>0</v>
      </c>
      <c r="AI901" s="252">
        <f t="shared" si="67"/>
        <v>0</v>
      </c>
      <c r="AJ901" s="252">
        <f t="shared" si="68"/>
        <v>0</v>
      </c>
    </row>
    <row r="902" spans="1:36" x14ac:dyDescent="0.2">
      <c r="A902" s="253" t="str">
        <f t="shared" si="69"/>
        <v>2TNCF10CF62580</v>
      </c>
      <c r="B902" s="252" t="s">
        <v>265</v>
      </c>
      <c r="C902" s="252" t="s">
        <v>20</v>
      </c>
      <c r="D902" s="252" t="s">
        <v>2474</v>
      </c>
      <c r="E902" s="252" t="s">
        <v>2475</v>
      </c>
      <c r="F902" s="252" t="s">
        <v>2673</v>
      </c>
      <c r="G902" s="252">
        <v>80</v>
      </c>
      <c r="H902" s="252" t="s">
        <v>928</v>
      </c>
      <c r="I902" s="252" t="s">
        <v>2477</v>
      </c>
      <c r="J902" s="252" t="s">
        <v>928</v>
      </c>
      <c r="K902" s="252" t="s">
        <v>3236</v>
      </c>
      <c r="L902" s="252">
        <v>1055.25</v>
      </c>
      <c r="M902" s="252">
        <v>0</v>
      </c>
      <c r="N902" s="252">
        <v>0</v>
      </c>
      <c r="O902" s="252">
        <v>0</v>
      </c>
      <c r="P902" s="252">
        <v>0</v>
      </c>
      <c r="Q902" s="252">
        <v>0</v>
      </c>
      <c r="R902" s="252">
        <v>0</v>
      </c>
      <c r="S902" s="252">
        <v>0</v>
      </c>
      <c r="T902" s="252">
        <v>0</v>
      </c>
      <c r="U902" s="252">
        <v>0</v>
      </c>
      <c r="V902" s="252">
        <v>0</v>
      </c>
      <c r="W902" s="252">
        <v>0</v>
      </c>
      <c r="X902" s="252">
        <v>0</v>
      </c>
      <c r="Y902" s="252">
        <v>901.19</v>
      </c>
      <c r="Z902" s="252">
        <v>0</v>
      </c>
      <c r="AA902" s="252">
        <v>0</v>
      </c>
      <c r="AB902" s="252">
        <v>154.06</v>
      </c>
      <c r="AC902" s="252">
        <v>0</v>
      </c>
      <c r="AD902" s="252">
        <v>0</v>
      </c>
      <c r="AE902" s="252" t="s">
        <v>19</v>
      </c>
      <c r="AF902" s="252" t="s">
        <v>718</v>
      </c>
      <c r="AG902" s="252">
        <f t="shared" ref="AG902:AG965" si="70">+O902*M902/100</f>
        <v>0</v>
      </c>
      <c r="AH902" s="252">
        <f t="shared" ref="AH902:AH965" si="71">+P902*M902/100</f>
        <v>0</v>
      </c>
      <c r="AI902" s="252">
        <f t="shared" ref="AI902:AI965" si="72">+AB902*M902/100</f>
        <v>0</v>
      </c>
      <c r="AJ902" s="252">
        <f t="shared" ref="AJ902:AJ965" si="73">+AG902+AH902+AI902</f>
        <v>0</v>
      </c>
    </row>
    <row r="903" spans="1:36" x14ac:dyDescent="0.2">
      <c r="A903" s="253" t="str">
        <f t="shared" ref="A903:A966" si="74">TRIM(I903&amp;B903&amp;C903&amp;D903&amp;F903&amp;G903)</f>
        <v>TNCF10CF62580</v>
      </c>
      <c r="B903" s="252" t="s">
        <v>265</v>
      </c>
      <c r="C903" s="252" t="s">
        <v>20</v>
      </c>
      <c r="D903" s="252" t="s">
        <v>2474</v>
      </c>
      <c r="E903" s="252" t="s">
        <v>2475</v>
      </c>
      <c r="F903" s="252" t="s">
        <v>2673</v>
      </c>
      <c r="G903" s="252">
        <v>80</v>
      </c>
      <c r="H903" s="252" t="s">
        <v>928</v>
      </c>
      <c r="I903" s="252" t="s">
        <v>928</v>
      </c>
      <c r="J903" s="252" t="s">
        <v>928</v>
      </c>
      <c r="K903" s="252" t="s">
        <v>3236</v>
      </c>
      <c r="L903" s="252">
        <v>1055.25</v>
      </c>
      <c r="M903" s="252">
        <v>0</v>
      </c>
      <c r="N903" s="252">
        <v>0</v>
      </c>
      <c r="O903" s="252">
        <v>0</v>
      </c>
      <c r="P903" s="252">
        <v>0</v>
      </c>
      <c r="Q903" s="252">
        <v>0</v>
      </c>
      <c r="R903" s="252">
        <v>0</v>
      </c>
      <c r="S903" s="252">
        <v>0</v>
      </c>
      <c r="T903" s="252">
        <v>0</v>
      </c>
      <c r="U903" s="252">
        <v>0</v>
      </c>
      <c r="V903" s="252">
        <v>0</v>
      </c>
      <c r="W903" s="252">
        <v>0</v>
      </c>
      <c r="X903" s="252">
        <v>0</v>
      </c>
      <c r="Y903" s="252">
        <v>901.19</v>
      </c>
      <c r="Z903" s="252">
        <v>0</v>
      </c>
      <c r="AA903" s="252">
        <v>0</v>
      </c>
      <c r="AB903" s="252">
        <v>154.06</v>
      </c>
      <c r="AC903" s="252">
        <v>0</v>
      </c>
      <c r="AD903" s="252">
        <v>0</v>
      </c>
      <c r="AE903" s="252" t="s">
        <v>19</v>
      </c>
      <c r="AF903" s="252" t="s">
        <v>718</v>
      </c>
      <c r="AG903" s="252">
        <f t="shared" si="70"/>
        <v>0</v>
      </c>
      <c r="AH903" s="252">
        <f t="shared" si="71"/>
        <v>0</v>
      </c>
      <c r="AI903" s="252">
        <f t="shared" si="72"/>
        <v>0</v>
      </c>
      <c r="AJ903" s="252">
        <f t="shared" si="73"/>
        <v>0</v>
      </c>
    </row>
    <row r="904" spans="1:36" x14ac:dyDescent="0.2">
      <c r="A904" s="253" t="str">
        <f t="shared" si="74"/>
        <v>2TNCF10CF62680</v>
      </c>
      <c r="B904" s="252" t="s">
        <v>265</v>
      </c>
      <c r="C904" s="252" t="s">
        <v>20</v>
      </c>
      <c r="D904" s="252" t="s">
        <v>2474</v>
      </c>
      <c r="E904" s="252" t="s">
        <v>2475</v>
      </c>
      <c r="F904" s="252" t="s">
        <v>2674</v>
      </c>
      <c r="G904" s="252">
        <v>80</v>
      </c>
      <c r="H904" s="252" t="s">
        <v>928</v>
      </c>
      <c r="I904" s="252" t="s">
        <v>2477</v>
      </c>
      <c r="J904" s="252" t="s">
        <v>928</v>
      </c>
      <c r="K904" s="252" t="s">
        <v>3236</v>
      </c>
      <c r="L904" s="252">
        <v>1244.98</v>
      </c>
      <c r="M904" s="252">
        <v>0</v>
      </c>
      <c r="N904" s="252">
        <v>0</v>
      </c>
      <c r="O904" s="252">
        <v>0</v>
      </c>
      <c r="P904" s="252">
        <v>0</v>
      </c>
      <c r="Q904" s="252">
        <v>0</v>
      </c>
      <c r="R904" s="252">
        <v>0</v>
      </c>
      <c r="S904" s="252">
        <v>0</v>
      </c>
      <c r="T904" s="252">
        <v>0</v>
      </c>
      <c r="U904" s="252">
        <v>0</v>
      </c>
      <c r="V904" s="252">
        <v>0</v>
      </c>
      <c r="W904" s="252">
        <v>0</v>
      </c>
      <c r="X904" s="252">
        <v>0</v>
      </c>
      <c r="Y904" s="252">
        <v>1121.04</v>
      </c>
      <c r="Z904" s="252">
        <v>0</v>
      </c>
      <c r="AA904" s="252">
        <v>0</v>
      </c>
      <c r="AB904" s="252">
        <v>123.94</v>
      </c>
      <c r="AC904" s="252">
        <v>0</v>
      </c>
      <c r="AD904" s="252">
        <v>0</v>
      </c>
      <c r="AE904" s="252" t="s">
        <v>19</v>
      </c>
      <c r="AF904" s="252" t="s">
        <v>718</v>
      </c>
      <c r="AG904" s="252">
        <f t="shared" si="70"/>
        <v>0</v>
      </c>
      <c r="AH904" s="252">
        <f t="shared" si="71"/>
        <v>0</v>
      </c>
      <c r="AI904" s="252">
        <f t="shared" si="72"/>
        <v>0</v>
      </c>
      <c r="AJ904" s="252">
        <f t="shared" si="73"/>
        <v>0</v>
      </c>
    </row>
    <row r="905" spans="1:36" x14ac:dyDescent="0.2">
      <c r="A905" s="253" t="str">
        <f t="shared" si="74"/>
        <v>TNCF10CF62680</v>
      </c>
      <c r="B905" s="252" t="s">
        <v>265</v>
      </c>
      <c r="C905" s="252" t="s">
        <v>20</v>
      </c>
      <c r="D905" s="252" t="s">
        <v>2474</v>
      </c>
      <c r="E905" s="252" t="s">
        <v>2475</v>
      </c>
      <c r="F905" s="252" t="s">
        <v>2674</v>
      </c>
      <c r="G905" s="252">
        <v>80</v>
      </c>
      <c r="H905" s="252" t="s">
        <v>928</v>
      </c>
      <c r="I905" s="252" t="s">
        <v>928</v>
      </c>
      <c r="J905" s="252" t="s">
        <v>928</v>
      </c>
      <c r="K905" s="252" t="s">
        <v>3236</v>
      </c>
      <c r="L905" s="252">
        <v>1244.98</v>
      </c>
      <c r="M905" s="252">
        <v>0</v>
      </c>
      <c r="N905" s="252">
        <v>0</v>
      </c>
      <c r="O905" s="252">
        <v>0</v>
      </c>
      <c r="P905" s="252">
        <v>0</v>
      </c>
      <c r="Q905" s="252">
        <v>0</v>
      </c>
      <c r="R905" s="252">
        <v>0</v>
      </c>
      <c r="S905" s="252">
        <v>0</v>
      </c>
      <c r="T905" s="252">
        <v>0</v>
      </c>
      <c r="U905" s="252">
        <v>0</v>
      </c>
      <c r="V905" s="252">
        <v>0</v>
      </c>
      <c r="W905" s="252">
        <v>0</v>
      </c>
      <c r="X905" s="252">
        <v>0</v>
      </c>
      <c r="Y905" s="252">
        <v>1121.04</v>
      </c>
      <c r="Z905" s="252">
        <v>0</v>
      </c>
      <c r="AA905" s="252">
        <v>0</v>
      </c>
      <c r="AB905" s="252">
        <v>123.94</v>
      </c>
      <c r="AC905" s="252">
        <v>0</v>
      </c>
      <c r="AD905" s="252">
        <v>0</v>
      </c>
      <c r="AE905" s="252" t="s">
        <v>19</v>
      </c>
      <c r="AF905" s="252" t="s">
        <v>718</v>
      </c>
      <c r="AG905" s="252">
        <f t="shared" si="70"/>
        <v>0</v>
      </c>
      <c r="AH905" s="252">
        <f t="shared" si="71"/>
        <v>0</v>
      </c>
      <c r="AI905" s="252">
        <f t="shared" si="72"/>
        <v>0</v>
      </c>
      <c r="AJ905" s="252">
        <f t="shared" si="73"/>
        <v>0</v>
      </c>
    </row>
    <row r="906" spans="1:36" x14ac:dyDescent="0.2">
      <c r="A906" s="253" t="str">
        <f t="shared" si="74"/>
        <v>2TNCF10CF626140</v>
      </c>
      <c r="B906" s="252" t="s">
        <v>265</v>
      </c>
      <c r="C906" s="252" t="s">
        <v>20</v>
      </c>
      <c r="D906" s="252" t="s">
        <v>2474</v>
      </c>
      <c r="E906" s="252" t="s">
        <v>2475</v>
      </c>
      <c r="F906" s="252" t="s">
        <v>2674</v>
      </c>
      <c r="G906" s="252">
        <v>140</v>
      </c>
      <c r="H906" s="252" t="s">
        <v>928</v>
      </c>
      <c r="I906" s="252" t="s">
        <v>2477</v>
      </c>
      <c r="J906" s="252" t="s">
        <v>928</v>
      </c>
      <c r="K906" s="252" t="s">
        <v>3236</v>
      </c>
      <c r="L906" s="252">
        <v>1207.74</v>
      </c>
      <c r="M906" s="252">
        <v>0</v>
      </c>
      <c r="N906" s="252">
        <v>0</v>
      </c>
      <c r="O906" s="252">
        <v>0</v>
      </c>
      <c r="P906" s="252">
        <v>0</v>
      </c>
      <c r="Q906" s="252">
        <v>0</v>
      </c>
      <c r="R906" s="252">
        <v>0</v>
      </c>
      <c r="S906" s="252">
        <v>0</v>
      </c>
      <c r="T906" s="252">
        <v>0</v>
      </c>
      <c r="U906" s="252">
        <v>0</v>
      </c>
      <c r="V906" s="252">
        <v>0</v>
      </c>
      <c r="W906" s="252">
        <v>0</v>
      </c>
      <c r="X906" s="252">
        <v>0</v>
      </c>
      <c r="Y906" s="252">
        <v>1071.48</v>
      </c>
      <c r="Z906" s="252">
        <v>0</v>
      </c>
      <c r="AA906" s="252">
        <v>0</v>
      </c>
      <c r="AB906" s="252">
        <v>136.26</v>
      </c>
      <c r="AC906" s="252">
        <v>0</v>
      </c>
      <c r="AD906" s="252">
        <v>0</v>
      </c>
      <c r="AE906" s="252" t="s">
        <v>19</v>
      </c>
      <c r="AF906" s="252" t="s">
        <v>718</v>
      </c>
      <c r="AG906" s="252">
        <f t="shared" si="70"/>
        <v>0</v>
      </c>
      <c r="AH906" s="252">
        <f t="shared" si="71"/>
        <v>0</v>
      </c>
      <c r="AI906" s="252">
        <f t="shared" si="72"/>
        <v>0</v>
      </c>
      <c r="AJ906" s="252">
        <f t="shared" si="73"/>
        <v>0</v>
      </c>
    </row>
    <row r="907" spans="1:36" x14ac:dyDescent="0.2">
      <c r="A907" s="253" t="str">
        <f t="shared" si="74"/>
        <v>TNCF10CF626140</v>
      </c>
      <c r="B907" s="252" t="s">
        <v>265</v>
      </c>
      <c r="C907" s="252" t="s">
        <v>20</v>
      </c>
      <c r="D907" s="252" t="s">
        <v>2474</v>
      </c>
      <c r="E907" s="252" t="s">
        <v>2475</v>
      </c>
      <c r="F907" s="252" t="s">
        <v>2674</v>
      </c>
      <c r="G907" s="252">
        <v>140</v>
      </c>
      <c r="H907" s="252" t="s">
        <v>928</v>
      </c>
      <c r="I907" s="252" t="s">
        <v>928</v>
      </c>
      <c r="J907" s="252" t="s">
        <v>928</v>
      </c>
      <c r="K907" s="252" t="s">
        <v>3236</v>
      </c>
      <c r="L907" s="252">
        <v>1207.74</v>
      </c>
      <c r="M907" s="252">
        <v>0</v>
      </c>
      <c r="N907" s="252">
        <v>0</v>
      </c>
      <c r="O907" s="252">
        <v>0</v>
      </c>
      <c r="P907" s="252">
        <v>0</v>
      </c>
      <c r="Q907" s="252">
        <v>0</v>
      </c>
      <c r="R907" s="252">
        <v>0</v>
      </c>
      <c r="S907" s="252">
        <v>0</v>
      </c>
      <c r="T907" s="252">
        <v>0</v>
      </c>
      <c r="U907" s="252">
        <v>0</v>
      </c>
      <c r="V907" s="252">
        <v>0</v>
      </c>
      <c r="W907" s="252">
        <v>0</v>
      </c>
      <c r="X907" s="252">
        <v>0</v>
      </c>
      <c r="Y907" s="252">
        <v>1071.48</v>
      </c>
      <c r="Z907" s="252">
        <v>0</v>
      </c>
      <c r="AA907" s="252">
        <v>0</v>
      </c>
      <c r="AB907" s="252">
        <v>136.26</v>
      </c>
      <c r="AC907" s="252">
        <v>0</v>
      </c>
      <c r="AD907" s="252">
        <v>0</v>
      </c>
      <c r="AE907" s="252" t="s">
        <v>19</v>
      </c>
      <c r="AF907" s="252" t="s">
        <v>718</v>
      </c>
      <c r="AG907" s="252">
        <f t="shared" si="70"/>
        <v>0</v>
      </c>
      <c r="AH907" s="252">
        <f t="shared" si="71"/>
        <v>0</v>
      </c>
      <c r="AI907" s="252">
        <f t="shared" si="72"/>
        <v>0</v>
      </c>
      <c r="AJ907" s="252">
        <f t="shared" si="73"/>
        <v>0</v>
      </c>
    </row>
    <row r="908" spans="1:36" x14ac:dyDescent="0.2">
      <c r="A908" s="253" t="str">
        <f t="shared" si="74"/>
        <v>2TNCF10CF65750</v>
      </c>
      <c r="B908" s="252" t="s">
        <v>265</v>
      </c>
      <c r="C908" s="252" t="s">
        <v>20</v>
      </c>
      <c r="D908" s="252" t="s">
        <v>2474</v>
      </c>
      <c r="E908" s="252" t="s">
        <v>2475</v>
      </c>
      <c r="F908" s="252" t="s">
        <v>2675</v>
      </c>
      <c r="G908" s="252">
        <v>50</v>
      </c>
      <c r="H908" s="252" t="s">
        <v>928</v>
      </c>
      <c r="I908" s="252" t="s">
        <v>2477</v>
      </c>
      <c r="J908" s="252" t="s">
        <v>928</v>
      </c>
      <c r="K908" s="252" t="s">
        <v>3236</v>
      </c>
      <c r="L908" s="252">
        <v>837.29</v>
      </c>
      <c r="M908" s="252">
        <v>0</v>
      </c>
      <c r="N908" s="252">
        <v>0</v>
      </c>
      <c r="O908" s="252">
        <v>0</v>
      </c>
      <c r="P908" s="252">
        <v>0</v>
      </c>
      <c r="Q908" s="252">
        <v>0</v>
      </c>
      <c r="R908" s="252">
        <v>0</v>
      </c>
      <c r="S908" s="252">
        <v>0</v>
      </c>
      <c r="T908" s="252">
        <v>0</v>
      </c>
      <c r="U908" s="252">
        <v>0</v>
      </c>
      <c r="V908" s="252">
        <v>0</v>
      </c>
      <c r="W908" s="252">
        <v>0</v>
      </c>
      <c r="X908" s="252">
        <v>0</v>
      </c>
      <c r="Y908" s="252">
        <v>603.15</v>
      </c>
      <c r="Z908" s="252">
        <v>0</v>
      </c>
      <c r="AA908" s="252">
        <v>0</v>
      </c>
      <c r="AB908" s="252">
        <v>234.14</v>
      </c>
      <c r="AC908" s="252">
        <v>0</v>
      </c>
      <c r="AD908" s="252">
        <v>0</v>
      </c>
      <c r="AE908" s="252" t="s">
        <v>19</v>
      </c>
      <c r="AF908" s="252" t="s">
        <v>718</v>
      </c>
      <c r="AG908" s="252">
        <f t="shared" si="70"/>
        <v>0</v>
      </c>
      <c r="AH908" s="252">
        <f t="shared" si="71"/>
        <v>0</v>
      </c>
      <c r="AI908" s="252">
        <f t="shared" si="72"/>
        <v>0</v>
      </c>
      <c r="AJ908" s="252">
        <f t="shared" si="73"/>
        <v>0</v>
      </c>
    </row>
    <row r="909" spans="1:36" x14ac:dyDescent="0.2">
      <c r="A909" s="253" t="str">
        <f t="shared" si="74"/>
        <v>TNCF10CF65750</v>
      </c>
      <c r="B909" s="252" t="s">
        <v>265</v>
      </c>
      <c r="C909" s="252" t="s">
        <v>20</v>
      </c>
      <c r="D909" s="252" t="s">
        <v>2474</v>
      </c>
      <c r="E909" s="252" t="s">
        <v>2475</v>
      </c>
      <c r="F909" s="252" t="s">
        <v>2675</v>
      </c>
      <c r="G909" s="252">
        <v>50</v>
      </c>
      <c r="H909" s="252" t="s">
        <v>928</v>
      </c>
      <c r="I909" s="252" t="s">
        <v>928</v>
      </c>
      <c r="J909" s="252" t="s">
        <v>928</v>
      </c>
      <c r="K909" s="252" t="s">
        <v>3236</v>
      </c>
      <c r="L909" s="252">
        <v>837.29</v>
      </c>
      <c r="M909" s="252">
        <v>0</v>
      </c>
      <c r="N909" s="252">
        <v>0</v>
      </c>
      <c r="O909" s="252">
        <v>0</v>
      </c>
      <c r="P909" s="252">
        <v>0</v>
      </c>
      <c r="Q909" s="252">
        <v>0</v>
      </c>
      <c r="R909" s="252">
        <v>0</v>
      </c>
      <c r="S909" s="252">
        <v>0</v>
      </c>
      <c r="T909" s="252">
        <v>0</v>
      </c>
      <c r="U909" s="252">
        <v>0</v>
      </c>
      <c r="V909" s="252">
        <v>0</v>
      </c>
      <c r="W909" s="252">
        <v>0</v>
      </c>
      <c r="X909" s="252">
        <v>0</v>
      </c>
      <c r="Y909" s="252">
        <v>603.15</v>
      </c>
      <c r="Z909" s="252">
        <v>0</v>
      </c>
      <c r="AA909" s="252">
        <v>0</v>
      </c>
      <c r="AB909" s="252">
        <v>234.14</v>
      </c>
      <c r="AC909" s="252">
        <v>0</v>
      </c>
      <c r="AD909" s="252">
        <v>0</v>
      </c>
      <c r="AE909" s="252" t="s">
        <v>20</v>
      </c>
      <c r="AF909" s="252" t="s">
        <v>718</v>
      </c>
      <c r="AG909" s="252">
        <f t="shared" si="70"/>
        <v>0</v>
      </c>
      <c r="AH909" s="252">
        <f t="shared" si="71"/>
        <v>0</v>
      </c>
      <c r="AI909" s="252">
        <f t="shared" si="72"/>
        <v>0</v>
      </c>
      <c r="AJ909" s="252">
        <f t="shared" si="73"/>
        <v>0</v>
      </c>
    </row>
    <row r="910" spans="1:36" x14ac:dyDescent="0.2">
      <c r="A910" s="253" t="str">
        <f t="shared" si="74"/>
        <v>2TNCF10L35250</v>
      </c>
      <c r="B910" s="252" t="s">
        <v>265</v>
      </c>
      <c r="C910" s="252" t="s">
        <v>20</v>
      </c>
      <c r="D910" s="252" t="s">
        <v>2474</v>
      </c>
      <c r="E910" s="252" t="s">
        <v>2475</v>
      </c>
      <c r="F910" s="252" t="s">
        <v>2676</v>
      </c>
      <c r="G910" s="252">
        <v>50</v>
      </c>
      <c r="H910" s="252" t="s">
        <v>928</v>
      </c>
      <c r="I910" s="252" t="s">
        <v>2477</v>
      </c>
      <c r="J910" s="252" t="s">
        <v>928</v>
      </c>
      <c r="K910" s="252" t="s">
        <v>3236</v>
      </c>
      <c r="L910" s="252">
        <v>669.65</v>
      </c>
      <c r="M910" s="252">
        <v>0</v>
      </c>
      <c r="N910" s="252">
        <v>0</v>
      </c>
      <c r="O910" s="252">
        <v>0</v>
      </c>
      <c r="P910" s="252">
        <v>0</v>
      </c>
      <c r="Q910" s="252">
        <v>0</v>
      </c>
      <c r="R910" s="252">
        <v>0</v>
      </c>
      <c r="S910" s="252">
        <v>0</v>
      </c>
      <c r="T910" s="252">
        <v>0</v>
      </c>
      <c r="U910" s="252">
        <v>0</v>
      </c>
      <c r="V910" s="252">
        <v>0</v>
      </c>
      <c r="W910" s="252">
        <v>0</v>
      </c>
      <c r="X910" s="252">
        <v>0</v>
      </c>
      <c r="Y910" s="252">
        <v>548.6</v>
      </c>
      <c r="Z910" s="252">
        <v>0</v>
      </c>
      <c r="AA910" s="252">
        <v>0</v>
      </c>
      <c r="AB910" s="252">
        <v>121.06</v>
      </c>
      <c r="AC910" s="252">
        <v>0</v>
      </c>
      <c r="AD910" s="252">
        <v>0</v>
      </c>
      <c r="AE910" s="252" t="s">
        <v>20</v>
      </c>
      <c r="AF910" s="252" t="s">
        <v>718</v>
      </c>
      <c r="AG910" s="252">
        <f t="shared" si="70"/>
        <v>0</v>
      </c>
      <c r="AH910" s="252">
        <f t="shared" si="71"/>
        <v>0</v>
      </c>
      <c r="AI910" s="252">
        <f t="shared" si="72"/>
        <v>0</v>
      </c>
      <c r="AJ910" s="252">
        <f t="shared" si="73"/>
        <v>0</v>
      </c>
    </row>
    <row r="911" spans="1:36" x14ac:dyDescent="0.2">
      <c r="A911" s="253" t="str">
        <f t="shared" si="74"/>
        <v>TNCF10L35250</v>
      </c>
      <c r="B911" s="252" t="s">
        <v>265</v>
      </c>
      <c r="C911" s="252" t="s">
        <v>20</v>
      </c>
      <c r="D911" s="252" t="s">
        <v>2474</v>
      </c>
      <c r="E911" s="252" t="s">
        <v>2475</v>
      </c>
      <c r="F911" s="252" t="s">
        <v>2676</v>
      </c>
      <c r="G911" s="252">
        <v>50</v>
      </c>
      <c r="H911" s="252" t="s">
        <v>928</v>
      </c>
      <c r="I911" s="252" t="s">
        <v>928</v>
      </c>
      <c r="J911" s="252" t="s">
        <v>928</v>
      </c>
      <c r="K911" s="252" t="s">
        <v>3236</v>
      </c>
      <c r="L911" s="252">
        <v>669.65</v>
      </c>
      <c r="M911" s="252">
        <v>0</v>
      </c>
      <c r="N911" s="252">
        <v>0</v>
      </c>
      <c r="O911" s="252">
        <v>0</v>
      </c>
      <c r="P911" s="252">
        <v>0</v>
      </c>
      <c r="Q911" s="252">
        <v>0</v>
      </c>
      <c r="R911" s="252">
        <v>0</v>
      </c>
      <c r="S911" s="252">
        <v>0</v>
      </c>
      <c r="T911" s="252">
        <v>0</v>
      </c>
      <c r="U911" s="252">
        <v>0</v>
      </c>
      <c r="V911" s="252">
        <v>0</v>
      </c>
      <c r="W911" s="252">
        <v>0</v>
      </c>
      <c r="X911" s="252">
        <v>0</v>
      </c>
      <c r="Y911" s="252">
        <v>548.6</v>
      </c>
      <c r="Z911" s="252">
        <v>0</v>
      </c>
      <c r="AA911" s="252">
        <v>0</v>
      </c>
      <c r="AB911" s="252">
        <v>121.06</v>
      </c>
      <c r="AC911" s="252">
        <v>0</v>
      </c>
      <c r="AD911" s="252">
        <v>0</v>
      </c>
      <c r="AE911" s="252" t="s">
        <v>20</v>
      </c>
      <c r="AF911" s="252" t="s">
        <v>718</v>
      </c>
      <c r="AG911" s="252">
        <f t="shared" si="70"/>
        <v>0</v>
      </c>
      <c r="AH911" s="252">
        <f t="shared" si="71"/>
        <v>0</v>
      </c>
      <c r="AI911" s="252">
        <f t="shared" si="72"/>
        <v>0</v>
      </c>
      <c r="AJ911" s="252">
        <f t="shared" si="73"/>
        <v>0</v>
      </c>
    </row>
    <row r="912" spans="1:36" x14ac:dyDescent="0.2">
      <c r="A912" s="253" t="str">
        <f t="shared" si="74"/>
        <v>2TNCF10L356OR50</v>
      </c>
      <c r="B912" s="252" t="s">
        <v>265</v>
      </c>
      <c r="C912" s="252" t="s">
        <v>20</v>
      </c>
      <c r="D912" s="252" t="s">
        <v>2474</v>
      </c>
      <c r="E912" s="252" t="s">
        <v>2475</v>
      </c>
      <c r="F912" s="252" t="s">
        <v>2677</v>
      </c>
      <c r="G912" s="252">
        <v>50</v>
      </c>
      <c r="H912" s="252" t="s">
        <v>928</v>
      </c>
      <c r="I912" s="252" t="s">
        <v>2477</v>
      </c>
      <c r="J912" s="252" t="s">
        <v>928</v>
      </c>
      <c r="K912" s="252" t="s">
        <v>3236</v>
      </c>
      <c r="L912" s="252">
        <v>666.99</v>
      </c>
      <c r="M912" s="252">
        <v>0</v>
      </c>
      <c r="N912" s="252">
        <v>0</v>
      </c>
      <c r="O912" s="252">
        <v>0</v>
      </c>
      <c r="P912" s="252">
        <v>0</v>
      </c>
      <c r="Q912" s="252">
        <v>0</v>
      </c>
      <c r="R912" s="252">
        <v>0</v>
      </c>
      <c r="S912" s="252">
        <v>0</v>
      </c>
      <c r="T912" s="252">
        <v>0</v>
      </c>
      <c r="U912" s="252">
        <v>0</v>
      </c>
      <c r="V912" s="252">
        <v>0</v>
      </c>
      <c r="W912" s="252">
        <v>0</v>
      </c>
      <c r="X912" s="252">
        <v>0</v>
      </c>
      <c r="Y912" s="252">
        <v>550.94000000000005</v>
      </c>
      <c r="Z912" s="252">
        <v>0</v>
      </c>
      <c r="AA912" s="252">
        <v>0</v>
      </c>
      <c r="AB912" s="252">
        <v>116.05</v>
      </c>
      <c r="AC912" s="252">
        <v>0</v>
      </c>
      <c r="AD912" s="252">
        <v>0</v>
      </c>
      <c r="AE912" s="252" t="s">
        <v>20</v>
      </c>
      <c r="AF912" s="252" t="s">
        <v>718</v>
      </c>
      <c r="AG912" s="252">
        <f t="shared" si="70"/>
        <v>0</v>
      </c>
      <c r="AH912" s="252">
        <f t="shared" si="71"/>
        <v>0</v>
      </c>
      <c r="AI912" s="252">
        <f t="shared" si="72"/>
        <v>0</v>
      </c>
      <c r="AJ912" s="252">
        <f t="shared" si="73"/>
        <v>0</v>
      </c>
    </row>
    <row r="913" spans="1:36" x14ac:dyDescent="0.2">
      <c r="A913" s="253" t="str">
        <f t="shared" si="74"/>
        <v>TNCF10L356OR50</v>
      </c>
      <c r="B913" s="252" t="s">
        <v>265</v>
      </c>
      <c r="C913" s="252" t="s">
        <v>20</v>
      </c>
      <c r="D913" s="252" t="s">
        <v>2474</v>
      </c>
      <c r="E913" s="252" t="s">
        <v>2475</v>
      </c>
      <c r="F913" s="252" t="s">
        <v>2677</v>
      </c>
      <c r="G913" s="252">
        <v>50</v>
      </c>
      <c r="H913" s="252" t="s">
        <v>928</v>
      </c>
      <c r="I913" s="252" t="s">
        <v>928</v>
      </c>
      <c r="J913" s="252" t="s">
        <v>928</v>
      </c>
      <c r="K913" s="252" t="s">
        <v>3236</v>
      </c>
      <c r="L913" s="252">
        <v>666.99</v>
      </c>
      <c r="M913" s="252">
        <v>0</v>
      </c>
      <c r="N913" s="252">
        <v>0</v>
      </c>
      <c r="O913" s="252">
        <v>0</v>
      </c>
      <c r="P913" s="252">
        <v>0</v>
      </c>
      <c r="Q913" s="252">
        <v>0</v>
      </c>
      <c r="R913" s="252">
        <v>0</v>
      </c>
      <c r="S913" s="252">
        <v>0</v>
      </c>
      <c r="T913" s="252">
        <v>0</v>
      </c>
      <c r="U913" s="252">
        <v>0</v>
      </c>
      <c r="V913" s="252">
        <v>0</v>
      </c>
      <c r="W913" s="252">
        <v>0</v>
      </c>
      <c r="X913" s="252">
        <v>0</v>
      </c>
      <c r="Y913" s="252">
        <v>550.94000000000005</v>
      </c>
      <c r="Z913" s="252">
        <v>0</v>
      </c>
      <c r="AA913" s="252">
        <v>0</v>
      </c>
      <c r="AB913" s="252">
        <v>116.05</v>
      </c>
      <c r="AC913" s="252">
        <v>0</v>
      </c>
      <c r="AD913" s="252">
        <v>0</v>
      </c>
      <c r="AE913" s="252" t="s">
        <v>20</v>
      </c>
      <c r="AF913" s="252" t="s">
        <v>718</v>
      </c>
      <c r="AG913" s="252">
        <f t="shared" si="70"/>
        <v>0</v>
      </c>
      <c r="AH913" s="252">
        <f t="shared" si="71"/>
        <v>0</v>
      </c>
      <c r="AI913" s="252">
        <f t="shared" si="72"/>
        <v>0</v>
      </c>
      <c r="AJ913" s="252">
        <f t="shared" si="73"/>
        <v>0</v>
      </c>
    </row>
    <row r="914" spans="1:36" x14ac:dyDescent="0.2">
      <c r="A914" s="253" t="str">
        <f t="shared" si="74"/>
        <v>2TNCF10R210H40</v>
      </c>
      <c r="B914" s="252" t="s">
        <v>265</v>
      </c>
      <c r="C914" s="252" t="s">
        <v>20</v>
      </c>
      <c r="D914" s="252" t="s">
        <v>2474</v>
      </c>
      <c r="E914" s="252" t="s">
        <v>2475</v>
      </c>
      <c r="F914" s="252" t="s">
        <v>2678</v>
      </c>
      <c r="G914" s="252">
        <v>40</v>
      </c>
      <c r="H914" s="252" t="s">
        <v>928</v>
      </c>
      <c r="I914" s="252" t="s">
        <v>2477</v>
      </c>
      <c r="J914" s="252" t="s">
        <v>928</v>
      </c>
      <c r="K914" s="252" t="s">
        <v>3236</v>
      </c>
      <c r="L914" s="252">
        <v>1009.21</v>
      </c>
      <c r="M914" s="252">
        <v>0</v>
      </c>
      <c r="N914" s="252">
        <v>0</v>
      </c>
      <c r="O914" s="252">
        <v>0</v>
      </c>
      <c r="P914" s="252">
        <v>0</v>
      </c>
      <c r="Q914" s="252">
        <v>0</v>
      </c>
      <c r="R914" s="252">
        <v>0</v>
      </c>
      <c r="S914" s="252">
        <v>0</v>
      </c>
      <c r="T914" s="252">
        <v>0</v>
      </c>
      <c r="U914" s="252">
        <v>0</v>
      </c>
      <c r="V914" s="252">
        <v>0</v>
      </c>
      <c r="W914" s="252">
        <v>0</v>
      </c>
      <c r="X914" s="252">
        <v>0</v>
      </c>
      <c r="Y914" s="252">
        <v>883.92</v>
      </c>
      <c r="Z914" s="252">
        <v>0</v>
      </c>
      <c r="AA914" s="252">
        <v>0</v>
      </c>
      <c r="AB914" s="252">
        <v>125.29</v>
      </c>
      <c r="AC914" s="252">
        <v>0</v>
      </c>
      <c r="AD914" s="252">
        <v>0</v>
      </c>
      <c r="AE914" s="252" t="s">
        <v>20</v>
      </c>
      <c r="AF914" s="252" t="s">
        <v>718</v>
      </c>
      <c r="AG914" s="252">
        <f t="shared" si="70"/>
        <v>0</v>
      </c>
      <c r="AH914" s="252">
        <f t="shared" si="71"/>
        <v>0</v>
      </c>
      <c r="AI914" s="252">
        <f t="shared" si="72"/>
        <v>0</v>
      </c>
      <c r="AJ914" s="252">
        <f t="shared" si="73"/>
        <v>0</v>
      </c>
    </row>
    <row r="915" spans="1:36" x14ac:dyDescent="0.2">
      <c r="A915" s="253" t="str">
        <f t="shared" si="74"/>
        <v>TNCF10R210H40</v>
      </c>
      <c r="B915" s="252" t="s">
        <v>265</v>
      </c>
      <c r="C915" s="252" t="s">
        <v>20</v>
      </c>
      <c r="D915" s="252" t="s">
        <v>2474</v>
      </c>
      <c r="E915" s="252" t="s">
        <v>2475</v>
      </c>
      <c r="F915" s="252" t="s">
        <v>2678</v>
      </c>
      <c r="G915" s="252">
        <v>40</v>
      </c>
      <c r="H915" s="252" t="s">
        <v>928</v>
      </c>
      <c r="I915" s="252" t="s">
        <v>928</v>
      </c>
      <c r="J915" s="252" t="s">
        <v>928</v>
      </c>
      <c r="K915" s="252" t="s">
        <v>3236</v>
      </c>
      <c r="L915" s="252">
        <v>1009.21</v>
      </c>
      <c r="M915" s="252">
        <v>0</v>
      </c>
      <c r="N915" s="252">
        <v>0</v>
      </c>
      <c r="O915" s="252">
        <v>0</v>
      </c>
      <c r="P915" s="252">
        <v>0</v>
      </c>
      <c r="Q915" s="252">
        <v>0</v>
      </c>
      <c r="R915" s="252">
        <v>0</v>
      </c>
      <c r="S915" s="252">
        <v>0</v>
      </c>
      <c r="T915" s="252">
        <v>0</v>
      </c>
      <c r="U915" s="252">
        <v>0</v>
      </c>
      <c r="V915" s="252">
        <v>0</v>
      </c>
      <c r="W915" s="252">
        <v>0</v>
      </c>
      <c r="X915" s="252">
        <v>0</v>
      </c>
      <c r="Y915" s="252">
        <v>883.92</v>
      </c>
      <c r="Z915" s="252">
        <v>0</v>
      </c>
      <c r="AA915" s="252">
        <v>0</v>
      </c>
      <c r="AB915" s="252">
        <v>125.29</v>
      </c>
      <c r="AC915" s="252">
        <v>0</v>
      </c>
      <c r="AD915" s="252">
        <v>0</v>
      </c>
      <c r="AE915" s="252" t="s">
        <v>20</v>
      </c>
      <c r="AF915" s="252" t="s">
        <v>718</v>
      </c>
      <c r="AG915" s="252">
        <f t="shared" si="70"/>
        <v>0</v>
      </c>
      <c r="AH915" s="252">
        <f t="shared" si="71"/>
        <v>0</v>
      </c>
      <c r="AI915" s="252">
        <f t="shared" si="72"/>
        <v>0</v>
      </c>
      <c r="AJ915" s="252">
        <f t="shared" si="73"/>
        <v>0</v>
      </c>
    </row>
    <row r="916" spans="1:36" x14ac:dyDescent="0.2">
      <c r="A916" s="253" t="str">
        <f t="shared" si="74"/>
        <v>2TNCF10R21360</v>
      </c>
      <c r="B916" s="252" t="s">
        <v>265</v>
      </c>
      <c r="C916" s="252" t="s">
        <v>20</v>
      </c>
      <c r="D916" s="252" t="s">
        <v>2474</v>
      </c>
      <c r="E916" s="252" t="s">
        <v>2475</v>
      </c>
      <c r="F916" s="252" t="s">
        <v>2679</v>
      </c>
      <c r="G916" s="252">
        <v>60</v>
      </c>
      <c r="H916" s="252" t="s">
        <v>928</v>
      </c>
      <c r="I916" s="252" t="s">
        <v>2477</v>
      </c>
      <c r="J916" s="252" t="s">
        <v>928</v>
      </c>
      <c r="K916" s="252" t="s">
        <v>3236</v>
      </c>
      <c r="L916" s="252">
        <v>1001.6</v>
      </c>
      <c r="M916" s="252">
        <v>0</v>
      </c>
      <c r="N916" s="252">
        <v>0</v>
      </c>
      <c r="O916" s="252">
        <v>0</v>
      </c>
      <c r="P916" s="252">
        <v>0</v>
      </c>
      <c r="Q916" s="252">
        <v>0</v>
      </c>
      <c r="R916" s="252">
        <v>0</v>
      </c>
      <c r="S916" s="252">
        <v>0</v>
      </c>
      <c r="T916" s="252">
        <v>0</v>
      </c>
      <c r="U916" s="252">
        <v>0</v>
      </c>
      <c r="V916" s="252">
        <v>0</v>
      </c>
      <c r="W916" s="252">
        <v>0</v>
      </c>
      <c r="X916" s="252">
        <v>0</v>
      </c>
      <c r="Y916" s="252">
        <v>885.85</v>
      </c>
      <c r="Z916" s="252">
        <v>0</v>
      </c>
      <c r="AA916" s="252">
        <v>0</v>
      </c>
      <c r="AB916" s="252">
        <v>115.75</v>
      </c>
      <c r="AC916" s="252">
        <v>0</v>
      </c>
      <c r="AD916" s="252">
        <v>0</v>
      </c>
      <c r="AE916" s="252" t="s">
        <v>20</v>
      </c>
      <c r="AF916" s="252" t="s">
        <v>718</v>
      </c>
      <c r="AG916" s="252">
        <f t="shared" si="70"/>
        <v>0</v>
      </c>
      <c r="AH916" s="252">
        <f t="shared" si="71"/>
        <v>0</v>
      </c>
      <c r="AI916" s="252">
        <f t="shared" si="72"/>
        <v>0</v>
      </c>
      <c r="AJ916" s="252">
        <f t="shared" si="73"/>
        <v>0</v>
      </c>
    </row>
    <row r="917" spans="1:36" x14ac:dyDescent="0.2">
      <c r="A917" s="253" t="str">
        <f t="shared" si="74"/>
        <v>TNCF10R21360</v>
      </c>
      <c r="B917" s="252" t="s">
        <v>265</v>
      </c>
      <c r="C917" s="252" t="s">
        <v>20</v>
      </c>
      <c r="D917" s="252" t="s">
        <v>2474</v>
      </c>
      <c r="E917" s="252" t="s">
        <v>2475</v>
      </c>
      <c r="F917" s="252" t="s">
        <v>2679</v>
      </c>
      <c r="G917" s="252">
        <v>60</v>
      </c>
      <c r="H917" s="252" t="s">
        <v>928</v>
      </c>
      <c r="I917" s="252" t="s">
        <v>928</v>
      </c>
      <c r="J917" s="252" t="s">
        <v>928</v>
      </c>
      <c r="K917" s="252" t="s">
        <v>3236</v>
      </c>
      <c r="L917" s="252">
        <v>1001.6</v>
      </c>
      <c r="M917" s="252">
        <v>0</v>
      </c>
      <c r="N917" s="252">
        <v>0</v>
      </c>
      <c r="O917" s="252">
        <v>0</v>
      </c>
      <c r="P917" s="252">
        <v>0</v>
      </c>
      <c r="Q917" s="252">
        <v>0</v>
      </c>
      <c r="R917" s="252">
        <v>0</v>
      </c>
      <c r="S917" s="252">
        <v>0</v>
      </c>
      <c r="T917" s="252">
        <v>0</v>
      </c>
      <c r="U917" s="252">
        <v>0</v>
      </c>
      <c r="V917" s="252">
        <v>0</v>
      </c>
      <c r="W917" s="252">
        <v>0</v>
      </c>
      <c r="X917" s="252">
        <v>0</v>
      </c>
      <c r="Y917" s="252">
        <v>885.85</v>
      </c>
      <c r="Z917" s="252">
        <v>0</v>
      </c>
      <c r="AA917" s="252">
        <v>0</v>
      </c>
      <c r="AB917" s="252">
        <v>115.75</v>
      </c>
      <c r="AC917" s="252">
        <v>0</v>
      </c>
      <c r="AD917" s="252">
        <v>0</v>
      </c>
      <c r="AE917" s="252" t="s">
        <v>20</v>
      </c>
      <c r="AF917" s="252" t="s">
        <v>718</v>
      </c>
      <c r="AG917" s="252">
        <f t="shared" si="70"/>
        <v>0</v>
      </c>
      <c r="AH917" s="252">
        <f t="shared" si="71"/>
        <v>0</v>
      </c>
      <c r="AI917" s="252">
        <f t="shared" si="72"/>
        <v>0</v>
      </c>
      <c r="AJ917" s="252">
        <f t="shared" si="73"/>
        <v>0</v>
      </c>
    </row>
    <row r="918" spans="1:36" x14ac:dyDescent="0.2">
      <c r="A918" s="253" t="str">
        <f t="shared" si="74"/>
        <v>72BTNCF10R587FB120</v>
      </c>
      <c r="B918" s="252" t="s">
        <v>265</v>
      </c>
      <c r="C918" s="252" t="s">
        <v>20</v>
      </c>
      <c r="D918" s="252" t="s">
        <v>2474</v>
      </c>
      <c r="E918" s="252" t="s">
        <v>2475</v>
      </c>
      <c r="F918" s="252" t="s">
        <v>2680</v>
      </c>
      <c r="G918" s="252">
        <v>120</v>
      </c>
      <c r="H918" s="252" t="s">
        <v>928</v>
      </c>
      <c r="I918" s="252" t="s">
        <v>2681</v>
      </c>
      <c r="J918" s="252" t="s">
        <v>928</v>
      </c>
      <c r="K918" s="252" t="s">
        <v>3236</v>
      </c>
      <c r="L918" s="252">
        <v>1016.6</v>
      </c>
      <c r="M918" s="252">
        <v>100</v>
      </c>
      <c r="N918" s="252">
        <v>0</v>
      </c>
      <c r="O918" s="252">
        <v>1016.6</v>
      </c>
      <c r="P918" s="252">
        <v>0</v>
      </c>
      <c r="Q918" s="252">
        <v>0</v>
      </c>
      <c r="R918" s="252">
        <v>0</v>
      </c>
      <c r="S918" s="252">
        <v>0</v>
      </c>
      <c r="T918" s="252">
        <v>0</v>
      </c>
      <c r="U918" s="252">
        <v>0</v>
      </c>
      <c r="V918" s="252">
        <v>0</v>
      </c>
      <c r="W918" s="252">
        <v>0</v>
      </c>
      <c r="X918" s="252">
        <v>0</v>
      </c>
      <c r="Y918" s="252">
        <v>0</v>
      </c>
      <c r="Z918" s="252">
        <v>0</v>
      </c>
      <c r="AA918" s="252">
        <v>0</v>
      </c>
      <c r="AB918" s="252">
        <v>0</v>
      </c>
      <c r="AC918" s="252">
        <v>0</v>
      </c>
      <c r="AD918" s="252">
        <v>0</v>
      </c>
      <c r="AE918" s="252" t="s">
        <v>20</v>
      </c>
      <c r="AF918" s="252" t="s">
        <v>718</v>
      </c>
      <c r="AG918" s="252">
        <f t="shared" si="70"/>
        <v>1016.6</v>
      </c>
      <c r="AH918" s="252">
        <f t="shared" si="71"/>
        <v>0</v>
      </c>
      <c r="AI918" s="252">
        <f t="shared" si="72"/>
        <v>0</v>
      </c>
      <c r="AJ918" s="252">
        <f t="shared" si="73"/>
        <v>1016.6</v>
      </c>
    </row>
    <row r="919" spans="1:36" x14ac:dyDescent="0.2">
      <c r="A919" s="253" t="str">
        <f t="shared" si="74"/>
        <v>TNCF10R587FB120</v>
      </c>
      <c r="B919" s="252" t="s">
        <v>265</v>
      </c>
      <c r="C919" s="252" t="s">
        <v>20</v>
      </c>
      <c r="D919" s="252" t="s">
        <v>2474</v>
      </c>
      <c r="E919" s="252" t="s">
        <v>2475</v>
      </c>
      <c r="F919" s="252" t="s">
        <v>2680</v>
      </c>
      <c r="G919" s="252">
        <v>120</v>
      </c>
      <c r="H919" s="252" t="s">
        <v>928</v>
      </c>
      <c r="I919" s="252" t="s">
        <v>928</v>
      </c>
      <c r="J919" s="252" t="s">
        <v>928</v>
      </c>
      <c r="K919" s="252" t="s">
        <v>3236</v>
      </c>
      <c r="L919" s="252">
        <v>1016.6</v>
      </c>
      <c r="M919" s="252">
        <v>100</v>
      </c>
      <c r="N919" s="252">
        <v>0</v>
      </c>
      <c r="O919" s="252">
        <v>1016.6</v>
      </c>
      <c r="P919" s="252">
        <v>0</v>
      </c>
      <c r="Q919" s="252">
        <v>0</v>
      </c>
      <c r="R919" s="252">
        <v>0</v>
      </c>
      <c r="S919" s="252">
        <v>0</v>
      </c>
      <c r="T919" s="252">
        <v>0</v>
      </c>
      <c r="U919" s="252">
        <v>0</v>
      </c>
      <c r="V919" s="252">
        <v>0</v>
      </c>
      <c r="W919" s="252">
        <v>0</v>
      </c>
      <c r="X919" s="252">
        <v>0</v>
      </c>
      <c r="Y919" s="252">
        <v>0</v>
      </c>
      <c r="Z919" s="252">
        <v>0</v>
      </c>
      <c r="AA919" s="252">
        <v>0</v>
      </c>
      <c r="AB919" s="252">
        <v>0</v>
      </c>
      <c r="AC919" s="252">
        <v>0</v>
      </c>
      <c r="AD919" s="252">
        <v>0</v>
      </c>
      <c r="AE919" s="252" t="s">
        <v>20</v>
      </c>
      <c r="AF919" s="252" t="s">
        <v>718</v>
      </c>
      <c r="AG919" s="252">
        <f t="shared" si="70"/>
        <v>1016.6</v>
      </c>
      <c r="AH919" s="252">
        <f t="shared" si="71"/>
        <v>0</v>
      </c>
      <c r="AI919" s="252">
        <f t="shared" si="72"/>
        <v>0</v>
      </c>
      <c r="AJ919" s="252">
        <f t="shared" si="73"/>
        <v>1016.6</v>
      </c>
    </row>
    <row r="920" spans="1:36" x14ac:dyDescent="0.2">
      <c r="A920" s="253" t="str">
        <f t="shared" si="74"/>
        <v>72BTNCF10R587KB120</v>
      </c>
      <c r="B920" s="252" t="s">
        <v>265</v>
      </c>
      <c r="C920" s="252" t="s">
        <v>20</v>
      </c>
      <c r="D920" s="252" t="s">
        <v>2474</v>
      </c>
      <c r="E920" s="252" t="s">
        <v>2475</v>
      </c>
      <c r="F920" s="252" t="s">
        <v>2682</v>
      </c>
      <c r="G920" s="252">
        <v>120</v>
      </c>
      <c r="H920" s="252" t="s">
        <v>928</v>
      </c>
      <c r="I920" s="252" t="s">
        <v>2681</v>
      </c>
      <c r="J920" s="252" t="s">
        <v>928</v>
      </c>
      <c r="K920" s="252" t="s">
        <v>3236</v>
      </c>
      <c r="L920" s="252">
        <v>1006.6</v>
      </c>
      <c r="M920" s="252">
        <v>100</v>
      </c>
      <c r="N920" s="252">
        <v>0</v>
      </c>
      <c r="O920" s="252">
        <v>1006.6</v>
      </c>
      <c r="P920" s="252">
        <v>0</v>
      </c>
      <c r="Q920" s="252">
        <v>0</v>
      </c>
      <c r="R920" s="252">
        <v>0</v>
      </c>
      <c r="S920" s="252">
        <v>0</v>
      </c>
      <c r="T920" s="252">
        <v>0</v>
      </c>
      <c r="U920" s="252">
        <v>0</v>
      </c>
      <c r="V920" s="252">
        <v>0</v>
      </c>
      <c r="W920" s="252">
        <v>0</v>
      </c>
      <c r="X920" s="252">
        <v>0</v>
      </c>
      <c r="Y920" s="252">
        <v>0</v>
      </c>
      <c r="Z920" s="252">
        <v>0</v>
      </c>
      <c r="AA920" s="252">
        <v>0</v>
      </c>
      <c r="AB920" s="252">
        <v>0</v>
      </c>
      <c r="AC920" s="252">
        <v>0</v>
      </c>
      <c r="AD920" s="252">
        <v>0</v>
      </c>
      <c r="AE920" s="252" t="s">
        <v>20</v>
      </c>
      <c r="AF920" s="252" t="s">
        <v>718</v>
      </c>
      <c r="AG920" s="252">
        <f t="shared" si="70"/>
        <v>1006.6</v>
      </c>
      <c r="AH920" s="252">
        <f t="shared" si="71"/>
        <v>0</v>
      </c>
      <c r="AI920" s="252">
        <f t="shared" si="72"/>
        <v>0</v>
      </c>
      <c r="AJ920" s="252">
        <f t="shared" si="73"/>
        <v>1006.6</v>
      </c>
    </row>
    <row r="921" spans="1:36" x14ac:dyDescent="0.2">
      <c r="A921" s="253" t="str">
        <f t="shared" si="74"/>
        <v>TNCF10R587KB120</v>
      </c>
      <c r="B921" s="252" t="s">
        <v>265</v>
      </c>
      <c r="C921" s="252" t="s">
        <v>20</v>
      </c>
      <c r="D921" s="252" t="s">
        <v>2474</v>
      </c>
      <c r="E921" s="252" t="s">
        <v>2475</v>
      </c>
      <c r="F921" s="252" t="s">
        <v>2682</v>
      </c>
      <c r="G921" s="252">
        <v>120</v>
      </c>
      <c r="H921" s="252" t="s">
        <v>928</v>
      </c>
      <c r="I921" s="252" t="s">
        <v>928</v>
      </c>
      <c r="J921" s="252" t="s">
        <v>928</v>
      </c>
      <c r="K921" s="252" t="s">
        <v>3236</v>
      </c>
      <c r="L921" s="252">
        <v>1006.6</v>
      </c>
      <c r="M921" s="252">
        <v>100</v>
      </c>
      <c r="N921" s="252">
        <v>0</v>
      </c>
      <c r="O921" s="252">
        <v>1006.6</v>
      </c>
      <c r="P921" s="252">
        <v>0</v>
      </c>
      <c r="Q921" s="252">
        <v>0</v>
      </c>
      <c r="R921" s="252">
        <v>0</v>
      </c>
      <c r="S921" s="252">
        <v>0</v>
      </c>
      <c r="T921" s="252">
        <v>0</v>
      </c>
      <c r="U921" s="252">
        <v>0</v>
      </c>
      <c r="V921" s="252">
        <v>0</v>
      </c>
      <c r="W921" s="252">
        <v>0</v>
      </c>
      <c r="X921" s="252">
        <v>0</v>
      </c>
      <c r="Y921" s="252">
        <v>0</v>
      </c>
      <c r="Z921" s="252">
        <v>0</v>
      </c>
      <c r="AA921" s="252">
        <v>0</v>
      </c>
      <c r="AB921" s="252">
        <v>0</v>
      </c>
      <c r="AC921" s="252">
        <v>0</v>
      </c>
      <c r="AD921" s="252">
        <v>0</v>
      </c>
      <c r="AE921" s="252" t="s">
        <v>20</v>
      </c>
      <c r="AF921" s="252" t="s">
        <v>718</v>
      </c>
      <c r="AG921" s="252">
        <f t="shared" si="70"/>
        <v>1006.6</v>
      </c>
      <c r="AH921" s="252">
        <f t="shared" si="71"/>
        <v>0</v>
      </c>
      <c r="AI921" s="252">
        <f t="shared" si="72"/>
        <v>0</v>
      </c>
      <c r="AJ921" s="252">
        <f t="shared" si="73"/>
        <v>1006.6</v>
      </c>
    </row>
    <row r="922" spans="1:36" x14ac:dyDescent="0.2">
      <c r="A922" s="253" t="str">
        <f t="shared" si="74"/>
        <v>2TNCF10R70140</v>
      </c>
      <c r="B922" s="252" t="s">
        <v>265</v>
      </c>
      <c r="C922" s="252" t="s">
        <v>20</v>
      </c>
      <c r="D922" s="252" t="s">
        <v>2474</v>
      </c>
      <c r="E922" s="252" t="s">
        <v>2475</v>
      </c>
      <c r="F922" s="252" t="s">
        <v>2683</v>
      </c>
      <c r="G922" s="252">
        <v>40</v>
      </c>
      <c r="H922" s="252" t="s">
        <v>928</v>
      </c>
      <c r="I922" s="252" t="s">
        <v>2477</v>
      </c>
      <c r="J922" s="252" t="s">
        <v>928</v>
      </c>
      <c r="K922" s="252" t="s">
        <v>3236</v>
      </c>
      <c r="L922" s="252">
        <v>671.31</v>
      </c>
      <c r="M922" s="252">
        <v>0</v>
      </c>
      <c r="N922" s="252">
        <v>0</v>
      </c>
      <c r="O922" s="252">
        <v>0</v>
      </c>
      <c r="P922" s="252">
        <v>0</v>
      </c>
      <c r="Q922" s="252">
        <v>0</v>
      </c>
      <c r="R922" s="252">
        <v>0</v>
      </c>
      <c r="S922" s="252">
        <v>0</v>
      </c>
      <c r="T922" s="252">
        <v>0</v>
      </c>
      <c r="U922" s="252">
        <v>0</v>
      </c>
      <c r="V922" s="252">
        <v>0</v>
      </c>
      <c r="W922" s="252">
        <v>0</v>
      </c>
      <c r="X922" s="252">
        <v>0</v>
      </c>
      <c r="Y922" s="252">
        <v>548.14</v>
      </c>
      <c r="Z922" s="252">
        <v>0</v>
      </c>
      <c r="AA922" s="252">
        <v>0</v>
      </c>
      <c r="AB922" s="252">
        <v>123.17</v>
      </c>
      <c r="AC922" s="252">
        <v>0</v>
      </c>
      <c r="AD922" s="252">
        <v>0</v>
      </c>
      <c r="AE922" s="252" t="s">
        <v>20</v>
      </c>
      <c r="AF922" s="252" t="s">
        <v>718</v>
      </c>
      <c r="AG922" s="252">
        <f t="shared" si="70"/>
        <v>0</v>
      </c>
      <c r="AH922" s="252">
        <f t="shared" si="71"/>
        <v>0</v>
      </c>
      <c r="AI922" s="252">
        <f t="shared" si="72"/>
        <v>0</v>
      </c>
      <c r="AJ922" s="252">
        <f t="shared" si="73"/>
        <v>0</v>
      </c>
    </row>
    <row r="923" spans="1:36" x14ac:dyDescent="0.2">
      <c r="A923" s="253" t="str">
        <f t="shared" si="74"/>
        <v>TNCF10R70140</v>
      </c>
      <c r="B923" s="252" t="s">
        <v>265</v>
      </c>
      <c r="C923" s="252" t="s">
        <v>20</v>
      </c>
      <c r="D923" s="252" t="s">
        <v>2474</v>
      </c>
      <c r="E923" s="252" t="s">
        <v>2475</v>
      </c>
      <c r="F923" s="252" t="s">
        <v>2683</v>
      </c>
      <c r="G923" s="252">
        <v>40</v>
      </c>
      <c r="H923" s="252" t="s">
        <v>928</v>
      </c>
      <c r="I923" s="252" t="s">
        <v>928</v>
      </c>
      <c r="J923" s="252" t="s">
        <v>928</v>
      </c>
      <c r="K923" s="252" t="s">
        <v>3236</v>
      </c>
      <c r="L923" s="252">
        <v>671.31</v>
      </c>
      <c r="M923" s="252">
        <v>0</v>
      </c>
      <c r="N923" s="252">
        <v>0</v>
      </c>
      <c r="O923" s="252">
        <v>0</v>
      </c>
      <c r="P923" s="252">
        <v>0</v>
      </c>
      <c r="Q923" s="252">
        <v>0</v>
      </c>
      <c r="R923" s="252">
        <v>0</v>
      </c>
      <c r="S923" s="252">
        <v>0</v>
      </c>
      <c r="T923" s="252">
        <v>0</v>
      </c>
      <c r="U923" s="252">
        <v>0</v>
      </c>
      <c r="V923" s="252">
        <v>0</v>
      </c>
      <c r="W923" s="252">
        <v>0</v>
      </c>
      <c r="X923" s="252">
        <v>0</v>
      </c>
      <c r="Y923" s="252">
        <v>548.14</v>
      </c>
      <c r="Z923" s="252">
        <v>0</v>
      </c>
      <c r="AA923" s="252">
        <v>0</v>
      </c>
      <c r="AB923" s="252">
        <v>123.17</v>
      </c>
      <c r="AC923" s="252">
        <v>0</v>
      </c>
      <c r="AD923" s="252">
        <v>0</v>
      </c>
      <c r="AE923" s="252" t="s">
        <v>20</v>
      </c>
      <c r="AF923" s="252" t="s">
        <v>718</v>
      </c>
      <c r="AG923" s="252">
        <f t="shared" si="70"/>
        <v>0</v>
      </c>
      <c r="AH923" s="252">
        <f t="shared" si="71"/>
        <v>0</v>
      </c>
      <c r="AI923" s="252">
        <f t="shared" si="72"/>
        <v>0</v>
      </c>
      <c r="AJ923" s="252">
        <f t="shared" si="73"/>
        <v>0</v>
      </c>
    </row>
    <row r="924" spans="1:36" x14ac:dyDescent="0.2">
      <c r="A924" s="253" t="str">
        <f t="shared" si="74"/>
        <v>2TNCF10R701CB40</v>
      </c>
      <c r="B924" s="252" t="s">
        <v>265</v>
      </c>
      <c r="C924" s="252" t="s">
        <v>20</v>
      </c>
      <c r="D924" s="252" t="s">
        <v>2474</v>
      </c>
      <c r="E924" s="252" t="s">
        <v>2475</v>
      </c>
      <c r="F924" s="252" t="s">
        <v>2684</v>
      </c>
      <c r="G924" s="252">
        <v>40</v>
      </c>
      <c r="H924" s="252" t="s">
        <v>928</v>
      </c>
      <c r="I924" s="252" t="s">
        <v>2477</v>
      </c>
      <c r="J924" s="252" t="s">
        <v>928</v>
      </c>
      <c r="K924" s="252" t="s">
        <v>3236</v>
      </c>
      <c r="L924" s="252">
        <v>2087.5700000000002</v>
      </c>
      <c r="M924" s="252">
        <v>0</v>
      </c>
      <c r="N924" s="252">
        <v>0</v>
      </c>
      <c r="O924" s="252">
        <v>0</v>
      </c>
      <c r="P924" s="252">
        <v>0</v>
      </c>
      <c r="Q924" s="252">
        <v>0</v>
      </c>
      <c r="R924" s="252">
        <v>0</v>
      </c>
      <c r="S924" s="252">
        <v>0</v>
      </c>
      <c r="T924" s="252">
        <v>0</v>
      </c>
      <c r="U924" s="252">
        <v>0</v>
      </c>
      <c r="V924" s="252">
        <v>0</v>
      </c>
      <c r="W924" s="252">
        <v>0</v>
      </c>
      <c r="X924" s="252">
        <v>0</v>
      </c>
      <c r="Y924" s="252">
        <v>1132.97</v>
      </c>
      <c r="Z924" s="252">
        <v>0</v>
      </c>
      <c r="AA924" s="252">
        <v>0</v>
      </c>
      <c r="AB924" s="252">
        <v>954.59</v>
      </c>
      <c r="AC924" s="252">
        <v>0</v>
      </c>
      <c r="AD924" s="252">
        <v>0</v>
      </c>
      <c r="AE924" s="252" t="s">
        <v>20</v>
      </c>
      <c r="AF924" s="252" t="s">
        <v>718</v>
      </c>
      <c r="AG924" s="252">
        <f t="shared" si="70"/>
        <v>0</v>
      </c>
      <c r="AH924" s="252">
        <f t="shared" si="71"/>
        <v>0</v>
      </c>
      <c r="AI924" s="252">
        <f t="shared" si="72"/>
        <v>0</v>
      </c>
      <c r="AJ924" s="252">
        <f t="shared" si="73"/>
        <v>0</v>
      </c>
    </row>
    <row r="925" spans="1:36" x14ac:dyDescent="0.2">
      <c r="A925" s="253" t="str">
        <f t="shared" si="74"/>
        <v>TNCF10R701CB40</v>
      </c>
      <c r="B925" s="252" t="s">
        <v>265</v>
      </c>
      <c r="C925" s="252" t="s">
        <v>20</v>
      </c>
      <c r="D925" s="252" t="s">
        <v>2474</v>
      </c>
      <c r="E925" s="252" t="s">
        <v>2475</v>
      </c>
      <c r="F925" s="252" t="s">
        <v>2684</v>
      </c>
      <c r="G925" s="252">
        <v>40</v>
      </c>
      <c r="H925" s="252" t="s">
        <v>928</v>
      </c>
      <c r="I925" s="252" t="s">
        <v>928</v>
      </c>
      <c r="J925" s="252" t="s">
        <v>928</v>
      </c>
      <c r="K925" s="252" t="s">
        <v>3236</v>
      </c>
      <c r="L925" s="252">
        <v>2087.5700000000002</v>
      </c>
      <c r="M925" s="252">
        <v>0</v>
      </c>
      <c r="N925" s="252">
        <v>0</v>
      </c>
      <c r="O925" s="252">
        <v>0</v>
      </c>
      <c r="P925" s="252">
        <v>0</v>
      </c>
      <c r="Q925" s="252">
        <v>0</v>
      </c>
      <c r="R925" s="252">
        <v>0</v>
      </c>
      <c r="S925" s="252">
        <v>0</v>
      </c>
      <c r="T925" s="252">
        <v>0</v>
      </c>
      <c r="U925" s="252">
        <v>0</v>
      </c>
      <c r="V925" s="252">
        <v>0</v>
      </c>
      <c r="W925" s="252">
        <v>0</v>
      </c>
      <c r="X925" s="252">
        <v>0</v>
      </c>
      <c r="Y925" s="252">
        <v>1132.97</v>
      </c>
      <c r="Z925" s="252">
        <v>0</v>
      </c>
      <c r="AA925" s="252">
        <v>0</v>
      </c>
      <c r="AB925" s="252">
        <v>954.59</v>
      </c>
      <c r="AC925" s="252">
        <v>0</v>
      </c>
      <c r="AD925" s="252">
        <v>0</v>
      </c>
      <c r="AE925" s="252" t="s">
        <v>20</v>
      </c>
      <c r="AF925" s="252" t="s">
        <v>718</v>
      </c>
      <c r="AG925" s="252">
        <f t="shared" si="70"/>
        <v>0</v>
      </c>
      <c r="AH925" s="252">
        <f t="shared" si="71"/>
        <v>0</v>
      </c>
      <c r="AI925" s="252">
        <f t="shared" si="72"/>
        <v>0</v>
      </c>
      <c r="AJ925" s="252">
        <f t="shared" si="73"/>
        <v>0</v>
      </c>
    </row>
    <row r="926" spans="1:36" x14ac:dyDescent="0.2">
      <c r="A926" s="253" t="str">
        <f t="shared" si="74"/>
        <v>2TNCF10R70245</v>
      </c>
      <c r="B926" s="252" t="s">
        <v>265</v>
      </c>
      <c r="C926" s="252" t="s">
        <v>20</v>
      </c>
      <c r="D926" s="252" t="s">
        <v>2474</v>
      </c>
      <c r="E926" s="252" t="s">
        <v>2475</v>
      </c>
      <c r="F926" s="252" t="s">
        <v>2685</v>
      </c>
      <c r="G926" s="252">
        <v>45</v>
      </c>
      <c r="H926" s="252" t="s">
        <v>928</v>
      </c>
      <c r="I926" s="252" t="s">
        <v>2477</v>
      </c>
      <c r="J926" s="252" t="s">
        <v>928</v>
      </c>
      <c r="K926" s="252" t="s">
        <v>3236</v>
      </c>
      <c r="L926" s="252">
        <v>560.76</v>
      </c>
      <c r="M926" s="252">
        <v>0</v>
      </c>
      <c r="N926" s="252">
        <v>0</v>
      </c>
      <c r="O926" s="252">
        <v>0</v>
      </c>
      <c r="P926" s="252">
        <v>0</v>
      </c>
      <c r="Q926" s="252">
        <v>0</v>
      </c>
      <c r="R926" s="252">
        <v>0</v>
      </c>
      <c r="S926" s="252">
        <v>0</v>
      </c>
      <c r="T926" s="252">
        <v>0</v>
      </c>
      <c r="U926" s="252">
        <v>0</v>
      </c>
      <c r="V926" s="252">
        <v>0</v>
      </c>
      <c r="W926" s="252">
        <v>0</v>
      </c>
      <c r="X926" s="252">
        <v>0</v>
      </c>
      <c r="Y926" s="252">
        <v>470.29</v>
      </c>
      <c r="Z926" s="252">
        <v>0</v>
      </c>
      <c r="AA926" s="252">
        <v>0</v>
      </c>
      <c r="AB926" s="252">
        <v>90.48</v>
      </c>
      <c r="AC926" s="252">
        <v>0</v>
      </c>
      <c r="AD926" s="252">
        <v>0</v>
      </c>
      <c r="AE926" s="252" t="s">
        <v>20</v>
      </c>
      <c r="AF926" s="252" t="s">
        <v>718</v>
      </c>
      <c r="AG926" s="252">
        <f t="shared" si="70"/>
        <v>0</v>
      </c>
      <c r="AH926" s="252">
        <f t="shared" si="71"/>
        <v>0</v>
      </c>
      <c r="AI926" s="252">
        <f t="shared" si="72"/>
        <v>0</v>
      </c>
      <c r="AJ926" s="252">
        <f t="shared" si="73"/>
        <v>0</v>
      </c>
    </row>
    <row r="927" spans="1:36" x14ac:dyDescent="0.2">
      <c r="A927" s="253" t="str">
        <f t="shared" si="74"/>
        <v>TNCF10R70245</v>
      </c>
      <c r="B927" s="252" t="s">
        <v>265</v>
      </c>
      <c r="C927" s="252" t="s">
        <v>20</v>
      </c>
      <c r="D927" s="252" t="s">
        <v>2474</v>
      </c>
      <c r="E927" s="252" t="s">
        <v>2475</v>
      </c>
      <c r="F927" s="252" t="s">
        <v>2685</v>
      </c>
      <c r="G927" s="252">
        <v>45</v>
      </c>
      <c r="H927" s="252" t="s">
        <v>928</v>
      </c>
      <c r="I927" s="252" t="s">
        <v>928</v>
      </c>
      <c r="J927" s="252" t="s">
        <v>928</v>
      </c>
      <c r="K927" s="252" t="s">
        <v>3236</v>
      </c>
      <c r="L927" s="252">
        <v>560.76</v>
      </c>
      <c r="M927" s="252">
        <v>0</v>
      </c>
      <c r="N927" s="252">
        <v>0</v>
      </c>
      <c r="O927" s="252">
        <v>0</v>
      </c>
      <c r="P927" s="252">
        <v>0</v>
      </c>
      <c r="Q927" s="252">
        <v>0</v>
      </c>
      <c r="R927" s="252">
        <v>0</v>
      </c>
      <c r="S927" s="252">
        <v>0</v>
      </c>
      <c r="T927" s="252">
        <v>0</v>
      </c>
      <c r="U927" s="252">
        <v>0</v>
      </c>
      <c r="V927" s="252">
        <v>0</v>
      </c>
      <c r="W927" s="252">
        <v>0</v>
      </c>
      <c r="X927" s="252">
        <v>0</v>
      </c>
      <c r="Y927" s="252">
        <v>470.29</v>
      </c>
      <c r="Z927" s="252">
        <v>0</v>
      </c>
      <c r="AA927" s="252">
        <v>0</v>
      </c>
      <c r="AB927" s="252">
        <v>90.48</v>
      </c>
      <c r="AC927" s="252">
        <v>0</v>
      </c>
      <c r="AD927" s="252">
        <v>0</v>
      </c>
      <c r="AE927" s="252" t="s">
        <v>20</v>
      </c>
      <c r="AF927" s="252" t="s">
        <v>718</v>
      </c>
      <c r="AG927" s="252">
        <f t="shared" si="70"/>
        <v>0</v>
      </c>
      <c r="AH927" s="252">
        <f t="shared" si="71"/>
        <v>0</v>
      </c>
      <c r="AI927" s="252">
        <f t="shared" si="72"/>
        <v>0</v>
      </c>
      <c r="AJ927" s="252">
        <f t="shared" si="73"/>
        <v>0</v>
      </c>
    </row>
    <row r="928" spans="1:36" x14ac:dyDescent="0.2">
      <c r="A928" s="253" t="str">
        <f t="shared" si="74"/>
        <v>2TNCF10SC47040</v>
      </c>
      <c r="B928" s="252" t="s">
        <v>265</v>
      </c>
      <c r="C928" s="252" t="s">
        <v>20</v>
      </c>
      <c r="D928" s="252" t="s">
        <v>2474</v>
      </c>
      <c r="E928" s="252" t="s">
        <v>2475</v>
      </c>
      <c r="F928" s="252" t="s">
        <v>2686</v>
      </c>
      <c r="G928" s="252">
        <v>40</v>
      </c>
      <c r="H928" s="252" t="s">
        <v>928</v>
      </c>
      <c r="I928" s="252" t="s">
        <v>2477</v>
      </c>
      <c r="J928" s="252" t="s">
        <v>928</v>
      </c>
      <c r="K928" s="252" t="s">
        <v>3236</v>
      </c>
      <c r="L928" s="252">
        <v>272.18</v>
      </c>
      <c r="M928" s="252">
        <v>0</v>
      </c>
      <c r="N928" s="252">
        <v>0</v>
      </c>
      <c r="O928" s="252">
        <v>0</v>
      </c>
      <c r="P928" s="252">
        <v>0</v>
      </c>
      <c r="Q928" s="252">
        <v>0</v>
      </c>
      <c r="R928" s="252">
        <v>0</v>
      </c>
      <c r="S928" s="252">
        <v>0</v>
      </c>
      <c r="T928" s="252">
        <v>0</v>
      </c>
      <c r="U928" s="252">
        <v>0</v>
      </c>
      <c r="V928" s="252">
        <v>0</v>
      </c>
      <c r="W928" s="252">
        <v>0</v>
      </c>
      <c r="X928" s="252">
        <v>0</v>
      </c>
      <c r="Y928" s="252">
        <v>150.58000000000001</v>
      </c>
      <c r="Z928" s="252">
        <v>0</v>
      </c>
      <c r="AA928" s="252">
        <v>0</v>
      </c>
      <c r="AB928" s="252">
        <v>121.6</v>
      </c>
      <c r="AC928" s="252">
        <v>0</v>
      </c>
      <c r="AD928" s="252">
        <v>0</v>
      </c>
      <c r="AE928" s="252" t="s">
        <v>20</v>
      </c>
      <c r="AF928" s="252" t="s">
        <v>718</v>
      </c>
      <c r="AG928" s="252">
        <f t="shared" si="70"/>
        <v>0</v>
      </c>
      <c r="AH928" s="252">
        <f t="shared" si="71"/>
        <v>0</v>
      </c>
      <c r="AI928" s="252">
        <f t="shared" si="72"/>
        <v>0</v>
      </c>
      <c r="AJ928" s="252">
        <f t="shared" si="73"/>
        <v>0</v>
      </c>
    </row>
    <row r="929" spans="1:36" x14ac:dyDescent="0.2">
      <c r="A929" s="253" t="str">
        <f t="shared" si="74"/>
        <v>TNCF10SC47040</v>
      </c>
      <c r="B929" s="252" t="s">
        <v>265</v>
      </c>
      <c r="C929" s="252" t="s">
        <v>20</v>
      </c>
      <c r="D929" s="252" t="s">
        <v>2474</v>
      </c>
      <c r="E929" s="252" t="s">
        <v>2475</v>
      </c>
      <c r="F929" s="252" t="s">
        <v>2686</v>
      </c>
      <c r="G929" s="252">
        <v>40</v>
      </c>
      <c r="H929" s="252" t="s">
        <v>928</v>
      </c>
      <c r="I929" s="252" t="s">
        <v>928</v>
      </c>
      <c r="J929" s="252" t="s">
        <v>928</v>
      </c>
      <c r="K929" s="252" t="s">
        <v>3236</v>
      </c>
      <c r="L929" s="252">
        <v>272.18</v>
      </c>
      <c r="M929" s="252">
        <v>0</v>
      </c>
      <c r="N929" s="252">
        <v>0</v>
      </c>
      <c r="O929" s="252">
        <v>0</v>
      </c>
      <c r="P929" s="252">
        <v>0</v>
      </c>
      <c r="Q929" s="252">
        <v>0</v>
      </c>
      <c r="R929" s="252">
        <v>0</v>
      </c>
      <c r="S929" s="252">
        <v>0</v>
      </c>
      <c r="T929" s="252">
        <v>0</v>
      </c>
      <c r="U929" s="252">
        <v>0</v>
      </c>
      <c r="V929" s="252">
        <v>0</v>
      </c>
      <c r="W929" s="252">
        <v>0</v>
      </c>
      <c r="X929" s="252">
        <v>0</v>
      </c>
      <c r="Y929" s="252">
        <v>150.58000000000001</v>
      </c>
      <c r="Z929" s="252">
        <v>0</v>
      </c>
      <c r="AA929" s="252">
        <v>0</v>
      </c>
      <c r="AB929" s="252">
        <v>121.6</v>
      </c>
      <c r="AC929" s="252">
        <v>0</v>
      </c>
      <c r="AD929" s="252">
        <v>0</v>
      </c>
      <c r="AE929" s="252" t="s">
        <v>20</v>
      </c>
      <c r="AF929" s="252" t="s">
        <v>718</v>
      </c>
      <c r="AG929" s="252">
        <f t="shared" si="70"/>
        <v>0</v>
      </c>
      <c r="AH929" s="252">
        <f t="shared" si="71"/>
        <v>0</v>
      </c>
      <c r="AI929" s="252">
        <f t="shared" si="72"/>
        <v>0</v>
      </c>
      <c r="AJ929" s="252">
        <f t="shared" si="73"/>
        <v>0</v>
      </c>
    </row>
    <row r="930" spans="1:36" x14ac:dyDescent="0.2">
      <c r="A930" s="253" t="str">
        <f t="shared" si="74"/>
        <v>2TNCF100906125</v>
      </c>
      <c r="B930" s="252" t="s">
        <v>265</v>
      </c>
      <c r="C930" s="252" t="s">
        <v>20</v>
      </c>
      <c r="D930" s="252" t="s">
        <v>2521</v>
      </c>
      <c r="E930" s="252" t="s">
        <v>2522</v>
      </c>
      <c r="F930" s="252" t="s">
        <v>2687</v>
      </c>
      <c r="G930" s="252">
        <v>25</v>
      </c>
      <c r="H930" s="252" t="s">
        <v>928</v>
      </c>
      <c r="I930" s="252" t="s">
        <v>2477</v>
      </c>
      <c r="J930" s="252" t="s">
        <v>928</v>
      </c>
      <c r="K930" s="252" t="s">
        <v>3236</v>
      </c>
      <c r="L930" s="252">
        <v>310.24</v>
      </c>
      <c r="M930" s="252">
        <v>0</v>
      </c>
      <c r="N930" s="252">
        <v>0</v>
      </c>
      <c r="O930" s="252">
        <v>0</v>
      </c>
      <c r="P930" s="252">
        <v>0</v>
      </c>
      <c r="Q930" s="252">
        <v>0</v>
      </c>
      <c r="R930" s="252">
        <v>0</v>
      </c>
      <c r="S930" s="252">
        <v>0</v>
      </c>
      <c r="T930" s="252">
        <v>0</v>
      </c>
      <c r="U930" s="252">
        <v>0</v>
      </c>
      <c r="V930" s="252">
        <v>0</v>
      </c>
      <c r="W930" s="252">
        <v>0</v>
      </c>
      <c r="X930" s="252">
        <v>0</v>
      </c>
      <c r="Y930" s="252">
        <v>273.45999999999998</v>
      </c>
      <c r="Z930" s="252">
        <v>0</v>
      </c>
      <c r="AA930" s="252">
        <v>0</v>
      </c>
      <c r="AB930" s="252">
        <v>36.78</v>
      </c>
      <c r="AC930" s="252">
        <v>0</v>
      </c>
      <c r="AD930" s="252">
        <v>0</v>
      </c>
      <c r="AE930" s="252" t="s">
        <v>20</v>
      </c>
      <c r="AF930" s="252" t="s">
        <v>718</v>
      </c>
      <c r="AG930" s="252">
        <f t="shared" si="70"/>
        <v>0</v>
      </c>
      <c r="AH930" s="252">
        <f t="shared" si="71"/>
        <v>0</v>
      </c>
      <c r="AI930" s="252">
        <f t="shared" si="72"/>
        <v>0</v>
      </c>
      <c r="AJ930" s="252">
        <f t="shared" si="73"/>
        <v>0</v>
      </c>
    </row>
    <row r="931" spans="1:36" x14ac:dyDescent="0.2">
      <c r="A931" s="253" t="str">
        <f t="shared" si="74"/>
        <v>TNCF100906125</v>
      </c>
      <c r="B931" s="252" t="s">
        <v>265</v>
      </c>
      <c r="C931" s="252" t="s">
        <v>20</v>
      </c>
      <c r="D931" s="252" t="s">
        <v>2521</v>
      </c>
      <c r="E931" s="252" t="s">
        <v>2522</v>
      </c>
      <c r="F931" s="252" t="s">
        <v>2687</v>
      </c>
      <c r="G931" s="252">
        <v>25</v>
      </c>
      <c r="H931" s="252" t="s">
        <v>928</v>
      </c>
      <c r="I931" s="252" t="s">
        <v>928</v>
      </c>
      <c r="J931" s="252" t="s">
        <v>928</v>
      </c>
      <c r="K931" s="252" t="s">
        <v>3236</v>
      </c>
      <c r="L931" s="252">
        <v>310.24</v>
      </c>
      <c r="M931" s="252">
        <v>0</v>
      </c>
      <c r="N931" s="252">
        <v>0</v>
      </c>
      <c r="O931" s="252">
        <v>0</v>
      </c>
      <c r="P931" s="252">
        <v>0</v>
      </c>
      <c r="Q931" s="252">
        <v>0</v>
      </c>
      <c r="R931" s="252">
        <v>0</v>
      </c>
      <c r="S931" s="252">
        <v>0</v>
      </c>
      <c r="T931" s="252">
        <v>0</v>
      </c>
      <c r="U931" s="252">
        <v>0</v>
      </c>
      <c r="V931" s="252">
        <v>0</v>
      </c>
      <c r="W931" s="252">
        <v>0</v>
      </c>
      <c r="X931" s="252">
        <v>0</v>
      </c>
      <c r="Y931" s="252">
        <v>273.45999999999998</v>
      </c>
      <c r="Z931" s="252">
        <v>0</v>
      </c>
      <c r="AA931" s="252">
        <v>0</v>
      </c>
      <c r="AB931" s="252">
        <v>36.78</v>
      </c>
      <c r="AC931" s="252">
        <v>0</v>
      </c>
      <c r="AD931" s="252">
        <v>0</v>
      </c>
      <c r="AE931" s="252" t="s">
        <v>20</v>
      </c>
      <c r="AF931" s="252" t="s">
        <v>718</v>
      </c>
      <c r="AG931" s="252">
        <f t="shared" si="70"/>
        <v>0</v>
      </c>
      <c r="AH931" s="252">
        <f t="shared" si="71"/>
        <v>0</v>
      </c>
      <c r="AI931" s="252">
        <f t="shared" si="72"/>
        <v>0</v>
      </c>
      <c r="AJ931" s="252">
        <f t="shared" si="73"/>
        <v>0</v>
      </c>
    </row>
    <row r="932" spans="1:36" x14ac:dyDescent="0.2">
      <c r="A932" s="253" t="str">
        <f t="shared" si="74"/>
        <v>2TNCF100906140</v>
      </c>
      <c r="B932" s="252" t="s">
        <v>265</v>
      </c>
      <c r="C932" s="252" t="s">
        <v>20</v>
      </c>
      <c r="D932" s="252" t="s">
        <v>2521</v>
      </c>
      <c r="E932" s="252" t="s">
        <v>2522</v>
      </c>
      <c r="F932" s="252" t="s">
        <v>2687</v>
      </c>
      <c r="G932" s="252">
        <v>40</v>
      </c>
      <c r="H932" s="252" t="s">
        <v>928</v>
      </c>
      <c r="I932" s="252" t="s">
        <v>2477</v>
      </c>
      <c r="J932" s="252" t="s">
        <v>928</v>
      </c>
      <c r="K932" s="252" t="s">
        <v>3236</v>
      </c>
      <c r="L932" s="252">
        <v>456.95</v>
      </c>
      <c r="M932" s="252">
        <v>0</v>
      </c>
      <c r="N932" s="252">
        <v>0</v>
      </c>
      <c r="O932" s="252">
        <v>0</v>
      </c>
      <c r="P932" s="252">
        <v>0</v>
      </c>
      <c r="Q932" s="252">
        <v>0</v>
      </c>
      <c r="R932" s="252">
        <v>0</v>
      </c>
      <c r="S932" s="252">
        <v>0</v>
      </c>
      <c r="T932" s="252">
        <v>0</v>
      </c>
      <c r="U932" s="252">
        <v>0</v>
      </c>
      <c r="V932" s="252">
        <v>0</v>
      </c>
      <c r="W932" s="252">
        <v>0</v>
      </c>
      <c r="X932" s="252">
        <v>0</v>
      </c>
      <c r="Y932" s="252">
        <v>355.58</v>
      </c>
      <c r="Z932" s="252">
        <v>0</v>
      </c>
      <c r="AA932" s="252">
        <v>0</v>
      </c>
      <c r="AB932" s="252">
        <v>101.37</v>
      </c>
      <c r="AC932" s="252">
        <v>0</v>
      </c>
      <c r="AD932" s="252">
        <v>0</v>
      </c>
      <c r="AE932" s="252" t="s">
        <v>20</v>
      </c>
      <c r="AF932" s="252" t="s">
        <v>718</v>
      </c>
      <c r="AG932" s="252">
        <f t="shared" si="70"/>
        <v>0</v>
      </c>
      <c r="AH932" s="252">
        <f t="shared" si="71"/>
        <v>0</v>
      </c>
      <c r="AI932" s="252">
        <f t="shared" si="72"/>
        <v>0</v>
      </c>
      <c r="AJ932" s="252">
        <f t="shared" si="73"/>
        <v>0</v>
      </c>
    </row>
    <row r="933" spans="1:36" x14ac:dyDescent="0.2">
      <c r="A933" s="253" t="str">
        <f t="shared" si="74"/>
        <v>TNCF100906140</v>
      </c>
      <c r="B933" s="252" t="s">
        <v>265</v>
      </c>
      <c r="C933" s="252" t="s">
        <v>20</v>
      </c>
      <c r="D933" s="252" t="s">
        <v>2521</v>
      </c>
      <c r="E933" s="252" t="s">
        <v>2522</v>
      </c>
      <c r="F933" s="252" t="s">
        <v>2687</v>
      </c>
      <c r="G933" s="252">
        <v>40</v>
      </c>
      <c r="H933" s="252" t="s">
        <v>928</v>
      </c>
      <c r="I933" s="252" t="s">
        <v>928</v>
      </c>
      <c r="J933" s="252" t="s">
        <v>928</v>
      </c>
      <c r="K933" s="252" t="s">
        <v>3236</v>
      </c>
      <c r="L933" s="252">
        <v>456.95</v>
      </c>
      <c r="M933" s="252">
        <v>0</v>
      </c>
      <c r="N933" s="252">
        <v>0</v>
      </c>
      <c r="O933" s="252">
        <v>0</v>
      </c>
      <c r="P933" s="252">
        <v>0</v>
      </c>
      <c r="Q933" s="252">
        <v>0</v>
      </c>
      <c r="R933" s="252">
        <v>0</v>
      </c>
      <c r="S933" s="252">
        <v>0</v>
      </c>
      <c r="T933" s="252">
        <v>0</v>
      </c>
      <c r="U933" s="252">
        <v>0</v>
      </c>
      <c r="V933" s="252">
        <v>0</v>
      </c>
      <c r="W933" s="252">
        <v>0</v>
      </c>
      <c r="X933" s="252">
        <v>0</v>
      </c>
      <c r="Y933" s="252">
        <v>355.58</v>
      </c>
      <c r="Z933" s="252">
        <v>0</v>
      </c>
      <c r="AA933" s="252">
        <v>0</v>
      </c>
      <c r="AB933" s="252">
        <v>101.37</v>
      </c>
      <c r="AC933" s="252">
        <v>0</v>
      </c>
      <c r="AD933" s="252">
        <v>0</v>
      </c>
      <c r="AE933" s="252" t="s">
        <v>20</v>
      </c>
      <c r="AF933" s="252" t="s">
        <v>718</v>
      </c>
      <c r="AG933" s="252">
        <f t="shared" si="70"/>
        <v>0</v>
      </c>
      <c r="AH933" s="252">
        <f t="shared" si="71"/>
        <v>0</v>
      </c>
      <c r="AI933" s="252">
        <f t="shared" si="72"/>
        <v>0</v>
      </c>
      <c r="AJ933" s="252">
        <f t="shared" si="73"/>
        <v>0</v>
      </c>
    </row>
    <row r="934" spans="1:36" x14ac:dyDescent="0.2">
      <c r="A934" s="253" t="str">
        <f t="shared" si="74"/>
        <v>2TNCF100916018</v>
      </c>
      <c r="B934" s="252" t="s">
        <v>265</v>
      </c>
      <c r="C934" s="252" t="s">
        <v>20</v>
      </c>
      <c r="D934" s="252" t="s">
        <v>2521</v>
      </c>
      <c r="E934" s="252" t="s">
        <v>2522</v>
      </c>
      <c r="F934" s="252" t="s">
        <v>3240</v>
      </c>
      <c r="G934" s="252">
        <v>18</v>
      </c>
      <c r="H934" s="252" t="s">
        <v>928</v>
      </c>
      <c r="I934" s="252" t="s">
        <v>2477</v>
      </c>
      <c r="J934" s="252" t="s">
        <v>928</v>
      </c>
      <c r="K934" s="252" t="s">
        <v>3236</v>
      </c>
      <c r="L934" s="252">
        <v>472.29</v>
      </c>
      <c r="M934" s="252">
        <v>0</v>
      </c>
      <c r="N934" s="252">
        <v>0</v>
      </c>
      <c r="O934" s="252">
        <v>0</v>
      </c>
      <c r="P934" s="252">
        <v>0</v>
      </c>
      <c r="Q934" s="252">
        <v>0</v>
      </c>
      <c r="R934" s="252">
        <v>0</v>
      </c>
      <c r="S934" s="252">
        <v>0</v>
      </c>
      <c r="T934" s="252">
        <v>0</v>
      </c>
      <c r="U934" s="252">
        <v>0</v>
      </c>
      <c r="V934" s="252">
        <v>0</v>
      </c>
      <c r="W934" s="252">
        <v>0</v>
      </c>
      <c r="X934" s="252">
        <v>0</v>
      </c>
      <c r="Y934" s="252">
        <v>365.76</v>
      </c>
      <c r="Z934" s="252">
        <v>0</v>
      </c>
      <c r="AA934" s="252">
        <v>0</v>
      </c>
      <c r="AB934" s="252">
        <v>106.53</v>
      </c>
      <c r="AC934" s="252">
        <v>0</v>
      </c>
      <c r="AD934" s="252">
        <v>0</v>
      </c>
      <c r="AE934" s="252" t="s">
        <v>20</v>
      </c>
      <c r="AF934" s="252" t="s">
        <v>718</v>
      </c>
      <c r="AG934" s="252">
        <f t="shared" si="70"/>
        <v>0</v>
      </c>
      <c r="AH934" s="252">
        <f t="shared" si="71"/>
        <v>0</v>
      </c>
      <c r="AI934" s="252">
        <f t="shared" si="72"/>
        <v>0</v>
      </c>
      <c r="AJ934" s="252">
        <f t="shared" si="73"/>
        <v>0</v>
      </c>
    </row>
    <row r="935" spans="1:36" x14ac:dyDescent="0.2">
      <c r="A935" s="253" t="str">
        <f t="shared" si="74"/>
        <v>TNCF100916018</v>
      </c>
      <c r="B935" s="252" t="s">
        <v>265</v>
      </c>
      <c r="C935" s="252" t="s">
        <v>20</v>
      </c>
      <c r="D935" s="252" t="s">
        <v>2521</v>
      </c>
      <c r="E935" s="252" t="s">
        <v>2522</v>
      </c>
      <c r="F935" s="252" t="s">
        <v>3240</v>
      </c>
      <c r="G935" s="252">
        <v>18</v>
      </c>
      <c r="H935" s="252" t="s">
        <v>928</v>
      </c>
      <c r="I935" s="252" t="s">
        <v>928</v>
      </c>
      <c r="J935" s="252" t="s">
        <v>928</v>
      </c>
      <c r="K935" s="252" t="s">
        <v>3236</v>
      </c>
      <c r="L935" s="252">
        <v>472.29</v>
      </c>
      <c r="M935" s="252">
        <v>0</v>
      </c>
      <c r="N935" s="252">
        <v>0</v>
      </c>
      <c r="O935" s="252">
        <v>0</v>
      </c>
      <c r="P935" s="252">
        <v>0</v>
      </c>
      <c r="Q935" s="252">
        <v>0</v>
      </c>
      <c r="R935" s="252">
        <v>0</v>
      </c>
      <c r="S935" s="252">
        <v>0</v>
      </c>
      <c r="T935" s="252">
        <v>0</v>
      </c>
      <c r="U935" s="252">
        <v>0</v>
      </c>
      <c r="V935" s="252">
        <v>0</v>
      </c>
      <c r="W935" s="252">
        <v>0</v>
      </c>
      <c r="X935" s="252">
        <v>0</v>
      </c>
      <c r="Y935" s="252">
        <v>365.76</v>
      </c>
      <c r="Z935" s="252">
        <v>0</v>
      </c>
      <c r="AA935" s="252">
        <v>0</v>
      </c>
      <c r="AB935" s="252">
        <v>106.53</v>
      </c>
      <c r="AC935" s="252">
        <v>0</v>
      </c>
      <c r="AD935" s="252">
        <v>0</v>
      </c>
      <c r="AE935" s="252" t="s">
        <v>20</v>
      </c>
      <c r="AF935" s="252" t="s">
        <v>718</v>
      </c>
      <c r="AG935" s="252">
        <f t="shared" si="70"/>
        <v>0</v>
      </c>
      <c r="AH935" s="252">
        <f t="shared" si="71"/>
        <v>0</v>
      </c>
      <c r="AI935" s="252">
        <f t="shared" si="72"/>
        <v>0</v>
      </c>
      <c r="AJ935" s="252">
        <f t="shared" si="73"/>
        <v>0</v>
      </c>
    </row>
    <row r="936" spans="1:36" x14ac:dyDescent="0.2">
      <c r="A936" s="253" t="str">
        <f t="shared" si="74"/>
        <v>2TNCF10P7601A50</v>
      </c>
      <c r="B936" s="252" t="s">
        <v>265</v>
      </c>
      <c r="C936" s="252" t="s">
        <v>20</v>
      </c>
      <c r="D936" s="252" t="s">
        <v>2543</v>
      </c>
      <c r="E936" s="252" t="s">
        <v>2531</v>
      </c>
      <c r="F936" s="252" t="s">
        <v>2544</v>
      </c>
      <c r="G936" s="252">
        <v>50</v>
      </c>
      <c r="H936" s="252" t="s">
        <v>928</v>
      </c>
      <c r="I936" s="252" t="s">
        <v>2477</v>
      </c>
      <c r="J936" s="252" t="s">
        <v>928</v>
      </c>
      <c r="K936" s="252" t="s">
        <v>3236</v>
      </c>
      <c r="L936" s="252">
        <v>633.98</v>
      </c>
      <c r="M936" s="252">
        <v>0</v>
      </c>
      <c r="N936" s="252">
        <v>0</v>
      </c>
      <c r="O936" s="252">
        <v>0</v>
      </c>
      <c r="P936" s="252">
        <v>0</v>
      </c>
      <c r="Q936" s="252">
        <v>0</v>
      </c>
      <c r="R936" s="252">
        <v>0</v>
      </c>
      <c r="S936" s="252">
        <v>0</v>
      </c>
      <c r="T936" s="252">
        <v>0</v>
      </c>
      <c r="U936" s="252">
        <v>0</v>
      </c>
      <c r="V936" s="252">
        <v>0</v>
      </c>
      <c r="W936" s="252">
        <v>0</v>
      </c>
      <c r="X936" s="252">
        <v>0</v>
      </c>
      <c r="Y936" s="252">
        <v>413.13</v>
      </c>
      <c r="Z936" s="252">
        <v>0</v>
      </c>
      <c r="AA936" s="252">
        <v>0</v>
      </c>
      <c r="AB936" s="252">
        <v>220.86</v>
      </c>
      <c r="AC936" s="252">
        <v>0</v>
      </c>
      <c r="AD936" s="252">
        <v>0</v>
      </c>
      <c r="AE936" s="252" t="s">
        <v>20</v>
      </c>
      <c r="AF936" s="252" t="s">
        <v>718</v>
      </c>
      <c r="AG936" s="252">
        <f t="shared" si="70"/>
        <v>0</v>
      </c>
      <c r="AH936" s="252">
        <f t="shared" si="71"/>
        <v>0</v>
      </c>
      <c r="AI936" s="252">
        <f t="shared" si="72"/>
        <v>0</v>
      </c>
      <c r="AJ936" s="252">
        <f t="shared" si="73"/>
        <v>0</v>
      </c>
    </row>
    <row r="937" spans="1:36" x14ac:dyDescent="0.2">
      <c r="A937" s="253" t="str">
        <f t="shared" si="74"/>
        <v>2TNCF10P7603B30</v>
      </c>
      <c r="B937" s="252" t="s">
        <v>265</v>
      </c>
      <c r="C937" s="252" t="s">
        <v>20</v>
      </c>
      <c r="D937" s="252" t="s">
        <v>2543</v>
      </c>
      <c r="E937" s="252" t="s">
        <v>2531</v>
      </c>
      <c r="F937" s="252" t="s">
        <v>2552</v>
      </c>
      <c r="G937" s="252">
        <v>30</v>
      </c>
      <c r="H937" s="252" t="s">
        <v>928</v>
      </c>
      <c r="I937" s="252" t="s">
        <v>2477</v>
      </c>
      <c r="J937" s="252" t="s">
        <v>928</v>
      </c>
      <c r="K937" s="252" t="s">
        <v>3236</v>
      </c>
      <c r="L937" s="252">
        <v>885.59</v>
      </c>
      <c r="M937" s="252">
        <v>0</v>
      </c>
      <c r="N937" s="252">
        <v>0</v>
      </c>
      <c r="O937" s="252">
        <v>0</v>
      </c>
      <c r="P937" s="252">
        <v>0</v>
      </c>
      <c r="Q937" s="252">
        <v>0</v>
      </c>
      <c r="R937" s="252">
        <v>0</v>
      </c>
      <c r="S937" s="252">
        <v>0</v>
      </c>
      <c r="T937" s="252">
        <v>0</v>
      </c>
      <c r="U937" s="252">
        <v>0</v>
      </c>
      <c r="V937" s="252">
        <v>0</v>
      </c>
      <c r="W937" s="252">
        <v>0</v>
      </c>
      <c r="X937" s="252">
        <v>0</v>
      </c>
      <c r="Y937" s="252">
        <v>656.62</v>
      </c>
      <c r="Z937" s="252">
        <v>0</v>
      </c>
      <c r="AA937" s="252">
        <v>0</v>
      </c>
      <c r="AB937" s="252">
        <v>228.97</v>
      </c>
      <c r="AC937" s="252">
        <v>0</v>
      </c>
      <c r="AD937" s="252">
        <v>0</v>
      </c>
      <c r="AE937" s="252" t="s">
        <v>20</v>
      </c>
      <c r="AF937" s="252" t="s">
        <v>718</v>
      </c>
      <c r="AG937" s="252">
        <f t="shared" si="70"/>
        <v>0</v>
      </c>
      <c r="AH937" s="252">
        <f t="shared" si="71"/>
        <v>0</v>
      </c>
      <c r="AI937" s="252">
        <f t="shared" si="72"/>
        <v>0</v>
      </c>
      <c r="AJ937" s="252">
        <f t="shared" si="73"/>
        <v>0</v>
      </c>
    </row>
    <row r="938" spans="1:36" x14ac:dyDescent="0.2">
      <c r="A938" s="253" t="str">
        <f t="shared" si="74"/>
        <v>2TNCPP3301S30</v>
      </c>
      <c r="B938" s="252" t="s">
        <v>265</v>
      </c>
      <c r="C938" s="252" t="s">
        <v>20</v>
      </c>
      <c r="D938" s="252" t="s">
        <v>2558</v>
      </c>
      <c r="E938" s="252" t="s">
        <v>2522</v>
      </c>
      <c r="F938" s="252" t="s">
        <v>2689</v>
      </c>
      <c r="G938" s="252">
        <v>30</v>
      </c>
      <c r="H938" s="252" t="s">
        <v>928</v>
      </c>
      <c r="I938" s="252" t="s">
        <v>2477</v>
      </c>
      <c r="J938" s="252" t="s">
        <v>928</v>
      </c>
      <c r="K938" s="252" t="s">
        <v>3236</v>
      </c>
      <c r="L938" s="252">
        <v>332.58</v>
      </c>
      <c r="M938" s="252">
        <v>0</v>
      </c>
      <c r="N938" s="252">
        <v>0</v>
      </c>
      <c r="O938" s="252">
        <v>0</v>
      </c>
      <c r="P938" s="252">
        <v>0</v>
      </c>
      <c r="Q938" s="252">
        <v>0</v>
      </c>
      <c r="R938" s="252">
        <v>0</v>
      </c>
      <c r="S938" s="252">
        <v>0</v>
      </c>
      <c r="T938" s="252">
        <v>0</v>
      </c>
      <c r="U938" s="252">
        <v>0</v>
      </c>
      <c r="V938" s="252">
        <v>0</v>
      </c>
      <c r="W938" s="252">
        <v>0</v>
      </c>
      <c r="X938" s="252">
        <v>0</v>
      </c>
      <c r="Y938" s="252">
        <v>273.83</v>
      </c>
      <c r="Z938" s="252">
        <v>0</v>
      </c>
      <c r="AA938" s="252">
        <v>0</v>
      </c>
      <c r="AB938" s="252">
        <v>58.75</v>
      </c>
      <c r="AC938" s="252">
        <v>0</v>
      </c>
      <c r="AD938" s="252">
        <v>0</v>
      </c>
      <c r="AE938" s="252" t="s">
        <v>20</v>
      </c>
      <c r="AF938" s="252" t="s">
        <v>718</v>
      </c>
      <c r="AG938" s="252">
        <f t="shared" si="70"/>
        <v>0</v>
      </c>
      <c r="AH938" s="252">
        <f t="shared" si="71"/>
        <v>0</v>
      </c>
      <c r="AI938" s="252">
        <f t="shared" si="72"/>
        <v>0</v>
      </c>
      <c r="AJ938" s="252">
        <f t="shared" si="73"/>
        <v>0</v>
      </c>
    </row>
    <row r="939" spans="1:36" x14ac:dyDescent="0.2">
      <c r="A939" s="253" t="str">
        <f t="shared" si="74"/>
        <v>TNCPP3301S30</v>
      </c>
      <c r="B939" s="252" t="s">
        <v>265</v>
      </c>
      <c r="C939" s="252" t="s">
        <v>20</v>
      </c>
      <c r="D939" s="252" t="s">
        <v>2558</v>
      </c>
      <c r="E939" s="252" t="s">
        <v>2522</v>
      </c>
      <c r="F939" s="252" t="s">
        <v>2689</v>
      </c>
      <c r="G939" s="252">
        <v>30</v>
      </c>
      <c r="H939" s="252" t="s">
        <v>928</v>
      </c>
      <c r="I939" s="252" t="s">
        <v>928</v>
      </c>
      <c r="J939" s="252" t="s">
        <v>928</v>
      </c>
      <c r="K939" s="252" t="s">
        <v>3236</v>
      </c>
      <c r="L939" s="252">
        <v>332.58</v>
      </c>
      <c r="M939" s="252">
        <v>0</v>
      </c>
      <c r="N939" s="252">
        <v>0</v>
      </c>
      <c r="O939" s="252">
        <v>0</v>
      </c>
      <c r="P939" s="252">
        <v>0</v>
      </c>
      <c r="Q939" s="252">
        <v>0</v>
      </c>
      <c r="R939" s="252">
        <v>0</v>
      </c>
      <c r="S939" s="252">
        <v>0</v>
      </c>
      <c r="T939" s="252">
        <v>0</v>
      </c>
      <c r="U939" s="252">
        <v>0</v>
      </c>
      <c r="V939" s="252">
        <v>0</v>
      </c>
      <c r="W939" s="252">
        <v>0</v>
      </c>
      <c r="X939" s="252">
        <v>0</v>
      </c>
      <c r="Y939" s="252">
        <v>273.83</v>
      </c>
      <c r="Z939" s="252">
        <v>0</v>
      </c>
      <c r="AA939" s="252">
        <v>0</v>
      </c>
      <c r="AB939" s="252">
        <v>58.75</v>
      </c>
      <c r="AC939" s="252">
        <v>0</v>
      </c>
      <c r="AD939" s="252">
        <v>0</v>
      </c>
      <c r="AE939" s="252" t="s">
        <v>20</v>
      </c>
      <c r="AF939" s="252" t="s">
        <v>718</v>
      </c>
      <c r="AG939" s="252">
        <f t="shared" si="70"/>
        <v>0</v>
      </c>
      <c r="AH939" s="252">
        <f t="shared" si="71"/>
        <v>0</v>
      </c>
      <c r="AI939" s="252">
        <f t="shared" si="72"/>
        <v>0</v>
      </c>
      <c r="AJ939" s="252">
        <f t="shared" si="73"/>
        <v>0</v>
      </c>
    </row>
    <row r="940" spans="1:36" x14ac:dyDescent="0.2">
      <c r="A940" s="253" t="str">
        <f t="shared" si="74"/>
        <v>2TNCPP3301S40</v>
      </c>
      <c r="B940" s="252" t="s">
        <v>265</v>
      </c>
      <c r="C940" s="252" t="s">
        <v>20</v>
      </c>
      <c r="D940" s="252" t="s">
        <v>2558</v>
      </c>
      <c r="E940" s="252" t="s">
        <v>2522</v>
      </c>
      <c r="F940" s="252" t="s">
        <v>2689</v>
      </c>
      <c r="G940" s="252">
        <v>40</v>
      </c>
      <c r="H940" s="252" t="s">
        <v>928</v>
      </c>
      <c r="I940" s="252" t="s">
        <v>2477</v>
      </c>
      <c r="J940" s="252" t="s">
        <v>928</v>
      </c>
      <c r="K940" s="252" t="s">
        <v>3236</v>
      </c>
      <c r="L940" s="252">
        <v>340.93</v>
      </c>
      <c r="M940" s="252">
        <v>0</v>
      </c>
      <c r="N940" s="252">
        <v>0</v>
      </c>
      <c r="O940" s="252">
        <v>0</v>
      </c>
      <c r="P940" s="252">
        <v>0</v>
      </c>
      <c r="Q940" s="252">
        <v>0</v>
      </c>
      <c r="R940" s="252">
        <v>0</v>
      </c>
      <c r="S940" s="252">
        <v>0</v>
      </c>
      <c r="T940" s="252">
        <v>0</v>
      </c>
      <c r="U940" s="252">
        <v>0</v>
      </c>
      <c r="V940" s="252">
        <v>0</v>
      </c>
      <c r="W940" s="252">
        <v>0</v>
      </c>
      <c r="X940" s="252">
        <v>0</v>
      </c>
      <c r="Y940" s="252">
        <v>275.44</v>
      </c>
      <c r="Z940" s="252">
        <v>0</v>
      </c>
      <c r="AA940" s="252">
        <v>0</v>
      </c>
      <c r="AB940" s="252">
        <v>65.489999999999995</v>
      </c>
      <c r="AC940" s="252">
        <v>0</v>
      </c>
      <c r="AD940" s="252">
        <v>0</v>
      </c>
      <c r="AE940" s="252" t="s">
        <v>20</v>
      </c>
      <c r="AF940" s="252" t="s">
        <v>718</v>
      </c>
      <c r="AG940" s="252">
        <f t="shared" si="70"/>
        <v>0</v>
      </c>
      <c r="AH940" s="252">
        <f t="shared" si="71"/>
        <v>0</v>
      </c>
      <c r="AI940" s="252">
        <f t="shared" si="72"/>
        <v>0</v>
      </c>
      <c r="AJ940" s="252">
        <f t="shared" si="73"/>
        <v>0</v>
      </c>
    </row>
    <row r="941" spans="1:36" x14ac:dyDescent="0.2">
      <c r="A941" s="253" t="str">
        <f t="shared" si="74"/>
        <v>TNCPP3301S40</v>
      </c>
      <c r="B941" s="252" t="s">
        <v>265</v>
      </c>
      <c r="C941" s="252" t="s">
        <v>20</v>
      </c>
      <c r="D941" s="252" t="s">
        <v>2558</v>
      </c>
      <c r="E941" s="252" t="s">
        <v>2522</v>
      </c>
      <c r="F941" s="252" t="s">
        <v>2689</v>
      </c>
      <c r="G941" s="252">
        <v>40</v>
      </c>
      <c r="H941" s="252" t="s">
        <v>928</v>
      </c>
      <c r="I941" s="252" t="s">
        <v>928</v>
      </c>
      <c r="J941" s="252" t="s">
        <v>928</v>
      </c>
      <c r="K941" s="252" t="s">
        <v>3236</v>
      </c>
      <c r="L941" s="252">
        <v>340.93</v>
      </c>
      <c r="M941" s="252">
        <v>0</v>
      </c>
      <c r="N941" s="252">
        <v>0</v>
      </c>
      <c r="O941" s="252">
        <v>0</v>
      </c>
      <c r="P941" s="252">
        <v>0</v>
      </c>
      <c r="Q941" s="252">
        <v>0</v>
      </c>
      <c r="R941" s="252">
        <v>0</v>
      </c>
      <c r="S941" s="252">
        <v>0</v>
      </c>
      <c r="T941" s="252">
        <v>0</v>
      </c>
      <c r="U941" s="252">
        <v>0</v>
      </c>
      <c r="V941" s="252">
        <v>0</v>
      </c>
      <c r="W941" s="252">
        <v>0</v>
      </c>
      <c r="X941" s="252">
        <v>0</v>
      </c>
      <c r="Y941" s="252">
        <v>275.44</v>
      </c>
      <c r="Z941" s="252">
        <v>0</v>
      </c>
      <c r="AA941" s="252">
        <v>0</v>
      </c>
      <c r="AB941" s="252">
        <v>65.489999999999995</v>
      </c>
      <c r="AC941" s="252">
        <v>0</v>
      </c>
      <c r="AD941" s="252">
        <v>0</v>
      </c>
      <c r="AE941" s="252" t="s">
        <v>20</v>
      </c>
      <c r="AF941" s="252" t="s">
        <v>718</v>
      </c>
      <c r="AG941" s="252">
        <f t="shared" si="70"/>
        <v>0</v>
      </c>
      <c r="AH941" s="252">
        <f t="shared" si="71"/>
        <v>0</v>
      </c>
      <c r="AI941" s="252">
        <f t="shared" si="72"/>
        <v>0</v>
      </c>
      <c r="AJ941" s="252">
        <f t="shared" si="73"/>
        <v>0</v>
      </c>
    </row>
    <row r="942" spans="1:36" x14ac:dyDescent="0.2">
      <c r="A942" s="253" t="str">
        <f t="shared" si="74"/>
        <v>2TNCPP3301S50</v>
      </c>
      <c r="B942" s="252" t="s">
        <v>265</v>
      </c>
      <c r="C942" s="252" t="s">
        <v>20</v>
      </c>
      <c r="D942" s="252" t="s">
        <v>2558</v>
      </c>
      <c r="E942" s="252" t="s">
        <v>2522</v>
      </c>
      <c r="F942" s="252" t="s">
        <v>2689</v>
      </c>
      <c r="G942" s="252">
        <v>50</v>
      </c>
      <c r="H942" s="252" t="s">
        <v>928</v>
      </c>
      <c r="I942" s="252" t="s">
        <v>2477</v>
      </c>
      <c r="J942" s="252" t="s">
        <v>928</v>
      </c>
      <c r="K942" s="252" t="s">
        <v>3236</v>
      </c>
      <c r="L942" s="252">
        <v>353.77</v>
      </c>
      <c r="M942" s="252">
        <v>0</v>
      </c>
      <c r="N942" s="252">
        <v>0</v>
      </c>
      <c r="O942" s="252">
        <v>0</v>
      </c>
      <c r="P942" s="252">
        <v>0</v>
      </c>
      <c r="Q942" s="252">
        <v>0</v>
      </c>
      <c r="R942" s="252">
        <v>0</v>
      </c>
      <c r="S942" s="252">
        <v>0</v>
      </c>
      <c r="T942" s="252">
        <v>0</v>
      </c>
      <c r="U942" s="252">
        <v>0</v>
      </c>
      <c r="V942" s="252">
        <v>0</v>
      </c>
      <c r="W942" s="252">
        <v>0</v>
      </c>
      <c r="X942" s="252">
        <v>0</v>
      </c>
      <c r="Y942" s="252">
        <v>295.33999999999997</v>
      </c>
      <c r="Z942" s="252">
        <v>0</v>
      </c>
      <c r="AA942" s="252">
        <v>0</v>
      </c>
      <c r="AB942" s="252">
        <v>58.43</v>
      </c>
      <c r="AC942" s="252">
        <v>0</v>
      </c>
      <c r="AD942" s="252">
        <v>0</v>
      </c>
      <c r="AE942" s="252" t="s">
        <v>20</v>
      </c>
      <c r="AF942" s="252" t="s">
        <v>718</v>
      </c>
      <c r="AG942" s="252">
        <f t="shared" si="70"/>
        <v>0</v>
      </c>
      <c r="AH942" s="252">
        <f t="shared" si="71"/>
        <v>0</v>
      </c>
      <c r="AI942" s="252">
        <f t="shared" si="72"/>
        <v>0</v>
      </c>
      <c r="AJ942" s="252">
        <f t="shared" si="73"/>
        <v>0</v>
      </c>
    </row>
    <row r="943" spans="1:36" x14ac:dyDescent="0.2">
      <c r="A943" s="253" t="str">
        <f t="shared" si="74"/>
        <v>TNCPP3301S50</v>
      </c>
      <c r="B943" s="252" t="s">
        <v>265</v>
      </c>
      <c r="C943" s="252" t="s">
        <v>20</v>
      </c>
      <c r="D943" s="252" t="s">
        <v>2558</v>
      </c>
      <c r="E943" s="252" t="s">
        <v>2522</v>
      </c>
      <c r="F943" s="252" t="s">
        <v>2689</v>
      </c>
      <c r="G943" s="252">
        <v>50</v>
      </c>
      <c r="H943" s="252" t="s">
        <v>928</v>
      </c>
      <c r="I943" s="252" t="s">
        <v>928</v>
      </c>
      <c r="J943" s="252" t="s">
        <v>928</v>
      </c>
      <c r="K943" s="252" t="s">
        <v>3236</v>
      </c>
      <c r="L943" s="252">
        <v>353.77</v>
      </c>
      <c r="M943" s="252">
        <v>0</v>
      </c>
      <c r="N943" s="252">
        <v>0</v>
      </c>
      <c r="O943" s="252">
        <v>0</v>
      </c>
      <c r="P943" s="252">
        <v>0</v>
      </c>
      <c r="Q943" s="252">
        <v>0</v>
      </c>
      <c r="R943" s="252">
        <v>0</v>
      </c>
      <c r="S943" s="252">
        <v>0</v>
      </c>
      <c r="T943" s="252">
        <v>0</v>
      </c>
      <c r="U943" s="252">
        <v>0</v>
      </c>
      <c r="V943" s="252">
        <v>0</v>
      </c>
      <c r="W943" s="252">
        <v>0</v>
      </c>
      <c r="X943" s="252">
        <v>0</v>
      </c>
      <c r="Y943" s="252">
        <v>295.33999999999997</v>
      </c>
      <c r="Z943" s="252">
        <v>0</v>
      </c>
      <c r="AA943" s="252">
        <v>0</v>
      </c>
      <c r="AB943" s="252">
        <v>58.43</v>
      </c>
      <c r="AC943" s="252">
        <v>0</v>
      </c>
      <c r="AD943" s="252">
        <v>0</v>
      </c>
      <c r="AE943" s="252" t="s">
        <v>20</v>
      </c>
      <c r="AF943" s="252" t="s">
        <v>718</v>
      </c>
      <c r="AG943" s="252">
        <f t="shared" si="70"/>
        <v>0</v>
      </c>
      <c r="AH943" s="252">
        <f t="shared" si="71"/>
        <v>0</v>
      </c>
      <c r="AI943" s="252">
        <f t="shared" si="72"/>
        <v>0</v>
      </c>
      <c r="AJ943" s="252">
        <f t="shared" si="73"/>
        <v>0</v>
      </c>
    </row>
    <row r="944" spans="1:36" x14ac:dyDescent="0.2">
      <c r="A944" s="253" t="str">
        <f t="shared" si="74"/>
        <v>2TNCPP3700J25</v>
      </c>
      <c r="B944" s="252" t="s">
        <v>265</v>
      </c>
      <c r="C944" s="252" t="s">
        <v>20</v>
      </c>
      <c r="D944" s="252" t="s">
        <v>2558</v>
      </c>
      <c r="E944" s="252" t="s">
        <v>2522</v>
      </c>
      <c r="F944" s="252" t="s">
        <v>2690</v>
      </c>
      <c r="G944" s="252">
        <v>25</v>
      </c>
      <c r="H944" s="252" t="s">
        <v>928</v>
      </c>
      <c r="I944" s="252" t="s">
        <v>2477</v>
      </c>
      <c r="J944" s="252" t="s">
        <v>928</v>
      </c>
      <c r="K944" s="252" t="s">
        <v>3236</v>
      </c>
      <c r="L944" s="252">
        <v>571.91999999999996</v>
      </c>
      <c r="M944" s="252">
        <v>0</v>
      </c>
      <c r="N944" s="252">
        <v>0</v>
      </c>
      <c r="O944" s="252">
        <v>0</v>
      </c>
      <c r="P944" s="252">
        <v>0</v>
      </c>
      <c r="Q944" s="252">
        <v>0</v>
      </c>
      <c r="R944" s="252">
        <v>0</v>
      </c>
      <c r="S944" s="252">
        <v>0</v>
      </c>
      <c r="T944" s="252">
        <v>0</v>
      </c>
      <c r="U944" s="252">
        <v>0</v>
      </c>
      <c r="V944" s="252">
        <v>0</v>
      </c>
      <c r="W944" s="252">
        <v>0</v>
      </c>
      <c r="X944" s="252">
        <v>0</v>
      </c>
      <c r="Y944" s="252">
        <v>445.81</v>
      </c>
      <c r="Z944" s="252">
        <v>0</v>
      </c>
      <c r="AA944" s="252">
        <v>0</v>
      </c>
      <c r="AB944" s="252">
        <v>126.11</v>
      </c>
      <c r="AC944" s="252">
        <v>0</v>
      </c>
      <c r="AD944" s="252">
        <v>0</v>
      </c>
      <c r="AE944" s="252" t="s">
        <v>720</v>
      </c>
      <c r="AF944" s="252" t="s">
        <v>721</v>
      </c>
      <c r="AG944" s="252">
        <f t="shared" si="70"/>
        <v>0</v>
      </c>
      <c r="AH944" s="252">
        <f t="shared" si="71"/>
        <v>0</v>
      </c>
      <c r="AI944" s="252">
        <f t="shared" si="72"/>
        <v>0</v>
      </c>
      <c r="AJ944" s="252">
        <f t="shared" si="73"/>
        <v>0</v>
      </c>
    </row>
    <row r="945" spans="1:36" x14ac:dyDescent="0.2">
      <c r="A945" s="253" t="str">
        <f t="shared" si="74"/>
        <v>TNCPP3700J25</v>
      </c>
      <c r="B945" s="252" t="s">
        <v>265</v>
      </c>
      <c r="C945" s="252" t="s">
        <v>20</v>
      </c>
      <c r="D945" s="252" t="s">
        <v>2558</v>
      </c>
      <c r="E945" s="252" t="s">
        <v>2522</v>
      </c>
      <c r="F945" s="252" t="s">
        <v>2690</v>
      </c>
      <c r="G945" s="252">
        <v>25</v>
      </c>
      <c r="H945" s="252" t="s">
        <v>928</v>
      </c>
      <c r="I945" s="252" t="s">
        <v>928</v>
      </c>
      <c r="J945" s="252" t="s">
        <v>928</v>
      </c>
      <c r="K945" s="252" t="s">
        <v>3236</v>
      </c>
      <c r="L945" s="252">
        <v>571.91999999999996</v>
      </c>
      <c r="M945" s="252">
        <v>0</v>
      </c>
      <c r="N945" s="252">
        <v>0</v>
      </c>
      <c r="O945" s="252">
        <v>0</v>
      </c>
      <c r="P945" s="252">
        <v>0</v>
      </c>
      <c r="Q945" s="252">
        <v>0</v>
      </c>
      <c r="R945" s="252">
        <v>0</v>
      </c>
      <c r="S945" s="252">
        <v>0</v>
      </c>
      <c r="T945" s="252">
        <v>0</v>
      </c>
      <c r="U945" s="252">
        <v>0</v>
      </c>
      <c r="V945" s="252">
        <v>0</v>
      </c>
      <c r="W945" s="252">
        <v>0</v>
      </c>
      <c r="X945" s="252">
        <v>0</v>
      </c>
      <c r="Y945" s="252">
        <v>445.81</v>
      </c>
      <c r="Z945" s="252">
        <v>0</v>
      </c>
      <c r="AA945" s="252">
        <v>0</v>
      </c>
      <c r="AB945" s="252">
        <v>126.11</v>
      </c>
      <c r="AC945" s="252">
        <v>0</v>
      </c>
      <c r="AD945" s="252">
        <v>0</v>
      </c>
      <c r="AE945" s="252" t="s">
        <v>720</v>
      </c>
      <c r="AF945" s="252" t="s">
        <v>721</v>
      </c>
      <c r="AG945" s="252">
        <f t="shared" si="70"/>
        <v>0</v>
      </c>
      <c r="AH945" s="252">
        <f t="shared" si="71"/>
        <v>0</v>
      </c>
      <c r="AI945" s="252">
        <f t="shared" si="72"/>
        <v>0</v>
      </c>
      <c r="AJ945" s="252">
        <f t="shared" si="73"/>
        <v>0</v>
      </c>
    </row>
    <row r="946" spans="1:36" x14ac:dyDescent="0.2">
      <c r="A946" s="253" t="str">
        <f t="shared" si="74"/>
        <v>2TNCPP3701JK40</v>
      </c>
      <c r="B946" s="252" t="s">
        <v>265</v>
      </c>
      <c r="C946" s="252" t="s">
        <v>20</v>
      </c>
      <c r="D946" s="252" t="s">
        <v>2558</v>
      </c>
      <c r="E946" s="252" t="s">
        <v>2522</v>
      </c>
      <c r="F946" s="252" t="s">
        <v>2691</v>
      </c>
      <c r="G946" s="252">
        <v>40</v>
      </c>
      <c r="H946" s="252" t="s">
        <v>928</v>
      </c>
      <c r="I946" s="252" t="s">
        <v>2477</v>
      </c>
      <c r="J946" s="252" t="s">
        <v>928</v>
      </c>
      <c r="K946" s="252" t="s">
        <v>3236</v>
      </c>
      <c r="L946" s="252">
        <v>459.89</v>
      </c>
      <c r="M946" s="252">
        <v>0</v>
      </c>
      <c r="N946" s="252">
        <v>0</v>
      </c>
      <c r="O946" s="252">
        <v>0</v>
      </c>
      <c r="P946" s="252">
        <v>0</v>
      </c>
      <c r="Q946" s="252">
        <v>0</v>
      </c>
      <c r="R946" s="252">
        <v>0</v>
      </c>
      <c r="S946" s="252">
        <v>0</v>
      </c>
      <c r="T946" s="252">
        <v>0</v>
      </c>
      <c r="U946" s="252">
        <v>0</v>
      </c>
      <c r="V946" s="252">
        <v>0</v>
      </c>
      <c r="W946" s="252">
        <v>0</v>
      </c>
      <c r="X946" s="252">
        <v>0</v>
      </c>
      <c r="Y946" s="252">
        <v>344.33</v>
      </c>
      <c r="Z946" s="252">
        <v>0</v>
      </c>
      <c r="AA946" s="252">
        <v>0</v>
      </c>
      <c r="AB946" s="252">
        <v>115.56</v>
      </c>
      <c r="AC946" s="252">
        <v>0</v>
      </c>
      <c r="AD946" s="252">
        <v>0</v>
      </c>
      <c r="AE946" s="252" t="s">
        <v>720</v>
      </c>
      <c r="AF946" s="252" t="s">
        <v>721</v>
      </c>
      <c r="AG946" s="252">
        <f t="shared" si="70"/>
        <v>0</v>
      </c>
      <c r="AH946" s="252">
        <f t="shared" si="71"/>
        <v>0</v>
      </c>
      <c r="AI946" s="252">
        <f t="shared" si="72"/>
        <v>0</v>
      </c>
      <c r="AJ946" s="252">
        <f t="shared" si="73"/>
        <v>0</v>
      </c>
    </row>
    <row r="947" spans="1:36" x14ac:dyDescent="0.2">
      <c r="A947" s="253" t="str">
        <f t="shared" si="74"/>
        <v>TNCPP3701JK40</v>
      </c>
      <c r="B947" s="252" t="s">
        <v>265</v>
      </c>
      <c r="C947" s="252" t="s">
        <v>20</v>
      </c>
      <c r="D947" s="252" t="s">
        <v>2558</v>
      </c>
      <c r="E947" s="252" t="s">
        <v>2522</v>
      </c>
      <c r="F947" s="252" t="s">
        <v>2691</v>
      </c>
      <c r="G947" s="252">
        <v>40</v>
      </c>
      <c r="H947" s="252" t="s">
        <v>928</v>
      </c>
      <c r="I947" s="252" t="s">
        <v>928</v>
      </c>
      <c r="J947" s="252" t="s">
        <v>928</v>
      </c>
      <c r="K947" s="252" t="s">
        <v>3236</v>
      </c>
      <c r="L947" s="252">
        <v>459.89</v>
      </c>
      <c r="M947" s="252">
        <v>0</v>
      </c>
      <c r="N947" s="252">
        <v>0</v>
      </c>
      <c r="O947" s="252">
        <v>0</v>
      </c>
      <c r="P947" s="252">
        <v>0</v>
      </c>
      <c r="Q947" s="252">
        <v>0</v>
      </c>
      <c r="R947" s="252">
        <v>0</v>
      </c>
      <c r="S947" s="252">
        <v>0</v>
      </c>
      <c r="T947" s="252">
        <v>0</v>
      </c>
      <c r="U947" s="252">
        <v>0</v>
      </c>
      <c r="V947" s="252">
        <v>0</v>
      </c>
      <c r="W947" s="252">
        <v>0</v>
      </c>
      <c r="X947" s="252">
        <v>0</v>
      </c>
      <c r="Y947" s="252">
        <v>344.33</v>
      </c>
      <c r="Z947" s="252">
        <v>0</v>
      </c>
      <c r="AA947" s="252">
        <v>0</v>
      </c>
      <c r="AB947" s="252">
        <v>115.56</v>
      </c>
      <c r="AC947" s="252">
        <v>0</v>
      </c>
      <c r="AD947" s="252">
        <v>0</v>
      </c>
      <c r="AE947" s="252" t="s">
        <v>720</v>
      </c>
      <c r="AF947" s="252" t="s">
        <v>721</v>
      </c>
      <c r="AG947" s="252">
        <f t="shared" si="70"/>
        <v>0</v>
      </c>
      <c r="AH947" s="252">
        <f t="shared" si="71"/>
        <v>0</v>
      </c>
      <c r="AI947" s="252">
        <f t="shared" si="72"/>
        <v>0</v>
      </c>
      <c r="AJ947" s="252">
        <f t="shared" si="73"/>
        <v>0</v>
      </c>
    </row>
    <row r="948" spans="1:36" x14ac:dyDescent="0.2">
      <c r="A948" s="253" t="str">
        <f t="shared" si="74"/>
        <v>2TNCPP372140</v>
      </c>
      <c r="B948" s="252" t="s">
        <v>265</v>
      </c>
      <c r="C948" s="252" t="s">
        <v>20</v>
      </c>
      <c r="D948" s="252" t="s">
        <v>2558</v>
      </c>
      <c r="E948" s="252" t="s">
        <v>2522</v>
      </c>
      <c r="F948" s="252" t="s">
        <v>2563</v>
      </c>
      <c r="G948" s="252">
        <v>40</v>
      </c>
      <c r="H948" s="252" t="s">
        <v>928</v>
      </c>
      <c r="I948" s="252" t="s">
        <v>2477</v>
      </c>
      <c r="J948" s="252" t="s">
        <v>928</v>
      </c>
      <c r="K948" s="252" t="s">
        <v>3236</v>
      </c>
      <c r="L948" s="252">
        <v>567.82000000000005</v>
      </c>
      <c r="M948" s="252">
        <v>0</v>
      </c>
      <c r="N948" s="252">
        <v>0</v>
      </c>
      <c r="O948" s="252">
        <v>0</v>
      </c>
      <c r="P948" s="252">
        <v>0</v>
      </c>
      <c r="Q948" s="252">
        <v>0</v>
      </c>
      <c r="R948" s="252">
        <v>0</v>
      </c>
      <c r="S948" s="252">
        <v>0</v>
      </c>
      <c r="T948" s="252">
        <v>0</v>
      </c>
      <c r="U948" s="252">
        <v>0</v>
      </c>
      <c r="V948" s="252">
        <v>0</v>
      </c>
      <c r="W948" s="252">
        <v>0</v>
      </c>
      <c r="X948" s="252">
        <v>0</v>
      </c>
      <c r="Y948" s="252">
        <v>416.09</v>
      </c>
      <c r="Z948" s="252">
        <v>0</v>
      </c>
      <c r="AA948" s="252">
        <v>0</v>
      </c>
      <c r="AB948" s="252">
        <v>151.72999999999999</v>
      </c>
      <c r="AC948" s="252">
        <v>0</v>
      </c>
      <c r="AD948" s="252">
        <v>0</v>
      </c>
      <c r="AE948" s="252" t="s">
        <v>720</v>
      </c>
      <c r="AF948" s="252" t="s">
        <v>721</v>
      </c>
      <c r="AG948" s="252">
        <f t="shared" si="70"/>
        <v>0</v>
      </c>
      <c r="AH948" s="252">
        <f t="shared" si="71"/>
        <v>0</v>
      </c>
      <c r="AI948" s="252">
        <f t="shared" si="72"/>
        <v>0</v>
      </c>
      <c r="AJ948" s="252">
        <f t="shared" si="73"/>
        <v>0</v>
      </c>
    </row>
    <row r="949" spans="1:36" x14ac:dyDescent="0.2">
      <c r="A949" s="253" t="str">
        <f t="shared" si="74"/>
        <v>TNCPP372140</v>
      </c>
      <c r="B949" s="252" t="s">
        <v>265</v>
      </c>
      <c r="C949" s="252" t="s">
        <v>20</v>
      </c>
      <c r="D949" s="252" t="s">
        <v>2558</v>
      </c>
      <c r="E949" s="252" t="s">
        <v>2522</v>
      </c>
      <c r="F949" s="252" t="s">
        <v>2563</v>
      </c>
      <c r="G949" s="252">
        <v>40</v>
      </c>
      <c r="H949" s="252" t="s">
        <v>928</v>
      </c>
      <c r="I949" s="252" t="s">
        <v>928</v>
      </c>
      <c r="J949" s="252" t="s">
        <v>928</v>
      </c>
      <c r="K949" s="252" t="s">
        <v>3236</v>
      </c>
      <c r="L949" s="252">
        <v>567.82000000000005</v>
      </c>
      <c r="M949" s="252">
        <v>0</v>
      </c>
      <c r="N949" s="252">
        <v>0</v>
      </c>
      <c r="O949" s="252">
        <v>0</v>
      </c>
      <c r="P949" s="252">
        <v>0</v>
      </c>
      <c r="Q949" s="252">
        <v>0</v>
      </c>
      <c r="R949" s="252">
        <v>0</v>
      </c>
      <c r="S949" s="252">
        <v>0</v>
      </c>
      <c r="T949" s="252">
        <v>0</v>
      </c>
      <c r="U949" s="252">
        <v>0</v>
      </c>
      <c r="V949" s="252">
        <v>0</v>
      </c>
      <c r="W949" s="252">
        <v>0</v>
      </c>
      <c r="X949" s="252">
        <v>0</v>
      </c>
      <c r="Y949" s="252">
        <v>416.09</v>
      </c>
      <c r="Z949" s="252">
        <v>0</v>
      </c>
      <c r="AA949" s="252">
        <v>0</v>
      </c>
      <c r="AB949" s="252">
        <v>151.72999999999999</v>
      </c>
      <c r="AC949" s="252">
        <v>0</v>
      </c>
      <c r="AD949" s="252">
        <v>0</v>
      </c>
      <c r="AE949" s="252" t="s">
        <v>720</v>
      </c>
      <c r="AF949" s="252" t="s">
        <v>721</v>
      </c>
      <c r="AG949" s="252">
        <f t="shared" si="70"/>
        <v>0</v>
      </c>
      <c r="AH949" s="252">
        <f t="shared" si="71"/>
        <v>0</v>
      </c>
      <c r="AI949" s="252">
        <f t="shared" si="72"/>
        <v>0</v>
      </c>
      <c r="AJ949" s="252">
        <f t="shared" si="73"/>
        <v>0</v>
      </c>
    </row>
    <row r="950" spans="1:36" x14ac:dyDescent="0.2">
      <c r="A950" s="253" t="str">
        <f t="shared" si="74"/>
        <v>2TNCPP372170</v>
      </c>
      <c r="B950" s="252" t="s">
        <v>265</v>
      </c>
      <c r="C950" s="252" t="s">
        <v>20</v>
      </c>
      <c r="D950" s="252" t="s">
        <v>2558</v>
      </c>
      <c r="E950" s="252" t="s">
        <v>2522</v>
      </c>
      <c r="F950" s="252" t="s">
        <v>2563</v>
      </c>
      <c r="G950" s="252">
        <v>70</v>
      </c>
      <c r="H950" s="252" t="s">
        <v>928</v>
      </c>
      <c r="I950" s="252" t="s">
        <v>2477</v>
      </c>
      <c r="J950" s="252" t="s">
        <v>928</v>
      </c>
      <c r="K950" s="252" t="s">
        <v>3236</v>
      </c>
      <c r="L950" s="252">
        <v>529.4</v>
      </c>
      <c r="M950" s="252">
        <v>0</v>
      </c>
      <c r="N950" s="252">
        <v>0</v>
      </c>
      <c r="O950" s="252">
        <v>0</v>
      </c>
      <c r="P950" s="252">
        <v>0</v>
      </c>
      <c r="Q950" s="252">
        <v>0</v>
      </c>
      <c r="R950" s="252">
        <v>0</v>
      </c>
      <c r="S950" s="252">
        <v>0</v>
      </c>
      <c r="T950" s="252">
        <v>0</v>
      </c>
      <c r="U950" s="252">
        <v>0</v>
      </c>
      <c r="V950" s="252">
        <v>0</v>
      </c>
      <c r="W950" s="252">
        <v>0</v>
      </c>
      <c r="X950" s="252">
        <v>0</v>
      </c>
      <c r="Y950" s="252">
        <v>367.74</v>
      </c>
      <c r="Z950" s="252">
        <v>0</v>
      </c>
      <c r="AA950" s="252">
        <v>0</v>
      </c>
      <c r="AB950" s="252">
        <v>161.66</v>
      </c>
      <c r="AC950" s="252">
        <v>0</v>
      </c>
      <c r="AD950" s="252">
        <v>0</v>
      </c>
      <c r="AE950" s="252" t="s">
        <v>720</v>
      </c>
      <c r="AF950" s="252" t="s">
        <v>721</v>
      </c>
      <c r="AG950" s="252">
        <f t="shared" si="70"/>
        <v>0</v>
      </c>
      <c r="AH950" s="252">
        <f t="shared" si="71"/>
        <v>0</v>
      </c>
      <c r="AI950" s="252">
        <f t="shared" si="72"/>
        <v>0</v>
      </c>
      <c r="AJ950" s="252">
        <f t="shared" si="73"/>
        <v>0</v>
      </c>
    </row>
    <row r="951" spans="1:36" x14ac:dyDescent="0.2">
      <c r="A951" s="253" t="str">
        <f t="shared" si="74"/>
        <v>2TNCPP9801RT80</v>
      </c>
      <c r="B951" s="252" t="s">
        <v>265</v>
      </c>
      <c r="C951" s="252" t="s">
        <v>20</v>
      </c>
      <c r="D951" s="252" t="s">
        <v>2558</v>
      </c>
      <c r="E951" s="252" t="s">
        <v>2522</v>
      </c>
      <c r="F951" s="252" t="s">
        <v>2692</v>
      </c>
      <c r="G951" s="252">
        <v>80</v>
      </c>
      <c r="H951" s="252" t="s">
        <v>928</v>
      </c>
      <c r="I951" s="252" t="s">
        <v>2477</v>
      </c>
      <c r="J951" s="252" t="s">
        <v>928</v>
      </c>
      <c r="K951" s="252" t="s">
        <v>3236</v>
      </c>
      <c r="L951" s="252">
        <v>449.25</v>
      </c>
      <c r="M951" s="252">
        <v>0</v>
      </c>
      <c r="N951" s="252">
        <v>0</v>
      </c>
      <c r="O951" s="252">
        <v>0</v>
      </c>
      <c r="P951" s="252">
        <v>0</v>
      </c>
      <c r="Q951" s="252">
        <v>0</v>
      </c>
      <c r="R951" s="252">
        <v>0</v>
      </c>
      <c r="S951" s="252">
        <v>0</v>
      </c>
      <c r="T951" s="252">
        <v>0</v>
      </c>
      <c r="U951" s="252">
        <v>0</v>
      </c>
      <c r="V951" s="252">
        <v>0</v>
      </c>
      <c r="W951" s="252">
        <v>0</v>
      </c>
      <c r="X951" s="252">
        <v>0</v>
      </c>
      <c r="Y951" s="252">
        <v>353.96</v>
      </c>
      <c r="Z951" s="252">
        <v>0</v>
      </c>
      <c r="AA951" s="252">
        <v>0</v>
      </c>
      <c r="AB951" s="252">
        <v>95.28</v>
      </c>
      <c r="AC951" s="252">
        <v>0</v>
      </c>
      <c r="AD951" s="252">
        <v>0</v>
      </c>
      <c r="AE951" s="252" t="s">
        <v>720</v>
      </c>
      <c r="AF951" s="252" t="s">
        <v>721</v>
      </c>
      <c r="AG951" s="252">
        <f t="shared" si="70"/>
        <v>0</v>
      </c>
      <c r="AH951" s="252">
        <f t="shared" si="71"/>
        <v>0</v>
      </c>
      <c r="AI951" s="252">
        <f t="shared" si="72"/>
        <v>0</v>
      </c>
      <c r="AJ951" s="252">
        <f t="shared" si="73"/>
        <v>0</v>
      </c>
    </row>
    <row r="952" spans="1:36" x14ac:dyDescent="0.2">
      <c r="A952" s="253" t="str">
        <f t="shared" si="74"/>
        <v>TNCPP9801RT80</v>
      </c>
      <c r="B952" s="252" t="s">
        <v>265</v>
      </c>
      <c r="C952" s="252" t="s">
        <v>20</v>
      </c>
      <c r="D952" s="252" t="s">
        <v>2558</v>
      </c>
      <c r="E952" s="252" t="s">
        <v>2522</v>
      </c>
      <c r="F952" s="252" t="s">
        <v>2692</v>
      </c>
      <c r="G952" s="252">
        <v>80</v>
      </c>
      <c r="H952" s="252" t="s">
        <v>928</v>
      </c>
      <c r="I952" s="252" t="s">
        <v>928</v>
      </c>
      <c r="J952" s="252" t="s">
        <v>928</v>
      </c>
      <c r="K952" s="252" t="s">
        <v>3236</v>
      </c>
      <c r="L952" s="252">
        <v>449.25</v>
      </c>
      <c r="M952" s="252">
        <v>0</v>
      </c>
      <c r="N952" s="252">
        <v>0</v>
      </c>
      <c r="O952" s="252">
        <v>0</v>
      </c>
      <c r="P952" s="252">
        <v>0</v>
      </c>
      <c r="Q952" s="252">
        <v>0</v>
      </c>
      <c r="R952" s="252">
        <v>0</v>
      </c>
      <c r="S952" s="252">
        <v>0</v>
      </c>
      <c r="T952" s="252">
        <v>0</v>
      </c>
      <c r="U952" s="252">
        <v>0</v>
      </c>
      <c r="V952" s="252">
        <v>0</v>
      </c>
      <c r="W952" s="252">
        <v>0</v>
      </c>
      <c r="X952" s="252">
        <v>0</v>
      </c>
      <c r="Y952" s="252">
        <v>353.96</v>
      </c>
      <c r="Z952" s="252">
        <v>0</v>
      </c>
      <c r="AA952" s="252">
        <v>0</v>
      </c>
      <c r="AB952" s="252">
        <v>95.28</v>
      </c>
      <c r="AC952" s="252">
        <v>0</v>
      </c>
      <c r="AD952" s="252">
        <v>0</v>
      </c>
      <c r="AE952" s="252" t="s">
        <v>720</v>
      </c>
      <c r="AF952" s="252" t="s">
        <v>721</v>
      </c>
      <c r="AG952" s="252">
        <f t="shared" si="70"/>
        <v>0</v>
      </c>
      <c r="AH952" s="252">
        <f t="shared" si="71"/>
        <v>0</v>
      </c>
      <c r="AI952" s="252">
        <f t="shared" si="72"/>
        <v>0</v>
      </c>
      <c r="AJ952" s="252">
        <f t="shared" si="73"/>
        <v>0</v>
      </c>
    </row>
    <row r="953" spans="1:36" x14ac:dyDescent="0.2">
      <c r="A953" s="253" t="str">
        <f t="shared" si="74"/>
        <v>2TNCPPFBJ10130</v>
      </c>
      <c r="B953" s="252" t="s">
        <v>265</v>
      </c>
      <c r="C953" s="252" t="s">
        <v>20</v>
      </c>
      <c r="D953" s="252" t="s">
        <v>2558</v>
      </c>
      <c r="E953" s="252" t="s">
        <v>2522</v>
      </c>
      <c r="F953" s="252" t="s">
        <v>3241</v>
      </c>
      <c r="G953" s="252">
        <v>30</v>
      </c>
      <c r="H953" s="252" t="s">
        <v>928</v>
      </c>
      <c r="I953" s="252" t="s">
        <v>2477</v>
      </c>
      <c r="J953" s="252" t="s">
        <v>928</v>
      </c>
      <c r="K953" s="252" t="s">
        <v>3236</v>
      </c>
      <c r="L953" s="252">
        <v>546.48</v>
      </c>
      <c r="M953" s="252">
        <v>0</v>
      </c>
      <c r="N953" s="252">
        <v>0</v>
      </c>
      <c r="O953" s="252">
        <v>0</v>
      </c>
      <c r="P953" s="252">
        <v>0</v>
      </c>
      <c r="Q953" s="252">
        <v>0</v>
      </c>
      <c r="R953" s="252">
        <v>0</v>
      </c>
      <c r="S953" s="252">
        <v>0</v>
      </c>
      <c r="T953" s="252">
        <v>0</v>
      </c>
      <c r="U953" s="252">
        <v>0</v>
      </c>
      <c r="V953" s="252">
        <v>0</v>
      </c>
      <c r="W953" s="252">
        <v>0</v>
      </c>
      <c r="X953" s="252">
        <v>0</v>
      </c>
      <c r="Y953" s="252">
        <v>427.11</v>
      </c>
      <c r="Z953" s="252">
        <v>0</v>
      </c>
      <c r="AA953" s="252">
        <v>0</v>
      </c>
      <c r="AB953" s="252">
        <v>119.37</v>
      </c>
      <c r="AC953" s="252">
        <v>0</v>
      </c>
      <c r="AD953" s="252">
        <v>0</v>
      </c>
      <c r="AE953" s="252" t="s">
        <v>720</v>
      </c>
      <c r="AF953" s="252" t="s">
        <v>721</v>
      </c>
      <c r="AG953" s="252">
        <f t="shared" si="70"/>
        <v>0</v>
      </c>
      <c r="AH953" s="252">
        <f t="shared" si="71"/>
        <v>0</v>
      </c>
      <c r="AI953" s="252">
        <f t="shared" si="72"/>
        <v>0</v>
      </c>
      <c r="AJ953" s="252">
        <f t="shared" si="73"/>
        <v>0</v>
      </c>
    </row>
    <row r="954" spans="1:36" x14ac:dyDescent="0.2">
      <c r="A954" s="253" t="str">
        <f t="shared" si="74"/>
        <v>TNCPPFBJ10130</v>
      </c>
      <c r="B954" s="252" t="s">
        <v>265</v>
      </c>
      <c r="C954" s="252" t="s">
        <v>20</v>
      </c>
      <c r="D954" s="252" t="s">
        <v>2558</v>
      </c>
      <c r="E954" s="252" t="s">
        <v>2522</v>
      </c>
      <c r="F954" s="252" t="s">
        <v>3241</v>
      </c>
      <c r="G954" s="252">
        <v>30</v>
      </c>
      <c r="H954" s="252" t="s">
        <v>928</v>
      </c>
      <c r="I954" s="252" t="s">
        <v>928</v>
      </c>
      <c r="J954" s="252" t="s">
        <v>928</v>
      </c>
      <c r="K954" s="252" t="s">
        <v>3236</v>
      </c>
      <c r="L954" s="252">
        <v>546.48</v>
      </c>
      <c r="M954" s="252">
        <v>0</v>
      </c>
      <c r="N954" s="252">
        <v>0</v>
      </c>
      <c r="O954" s="252">
        <v>0</v>
      </c>
      <c r="P954" s="252">
        <v>0</v>
      </c>
      <c r="Q954" s="252">
        <v>0</v>
      </c>
      <c r="R954" s="252">
        <v>0</v>
      </c>
      <c r="S954" s="252">
        <v>0</v>
      </c>
      <c r="T954" s="252">
        <v>0</v>
      </c>
      <c r="U954" s="252">
        <v>0</v>
      </c>
      <c r="V954" s="252">
        <v>0</v>
      </c>
      <c r="W954" s="252">
        <v>0</v>
      </c>
      <c r="X954" s="252">
        <v>0</v>
      </c>
      <c r="Y954" s="252">
        <v>427.11</v>
      </c>
      <c r="Z954" s="252">
        <v>0</v>
      </c>
      <c r="AA954" s="252">
        <v>0</v>
      </c>
      <c r="AB954" s="252">
        <v>119.37</v>
      </c>
      <c r="AC954" s="252">
        <v>0</v>
      </c>
      <c r="AD954" s="252">
        <v>0</v>
      </c>
      <c r="AE954" s="252" t="s">
        <v>720</v>
      </c>
      <c r="AF954" s="252" t="s">
        <v>721</v>
      </c>
      <c r="AG954" s="252">
        <f t="shared" si="70"/>
        <v>0</v>
      </c>
      <c r="AH954" s="252">
        <f t="shared" si="71"/>
        <v>0</v>
      </c>
      <c r="AI954" s="252">
        <f t="shared" si="72"/>
        <v>0</v>
      </c>
      <c r="AJ954" s="252">
        <f t="shared" si="73"/>
        <v>0</v>
      </c>
    </row>
    <row r="955" spans="1:36" x14ac:dyDescent="0.2">
      <c r="A955" s="253" t="str">
        <f t="shared" si="74"/>
        <v>3TNDMSX42GPC50</v>
      </c>
      <c r="B955" s="252" t="s">
        <v>265</v>
      </c>
      <c r="C955" s="252" t="s">
        <v>20</v>
      </c>
      <c r="D955" s="252" t="s">
        <v>312</v>
      </c>
      <c r="E955" s="252" t="s">
        <v>2694</v>
      </c>
      <c r="F955" s="252" t="s">
        <v>317</v>
      </c>
      <c r="G955" s="252">
        <v>50</v>
      </c>
      <c r="H955" s="252" t="s">
        <v>928</v>
      </c>
      <c r="I955" s="252" t="s">
        <v>2465</v>
      </c>
      <c r="J955" s="252" t="s">
        <v>928</v>
      </c>
      <c r="K955" s="252" t="s">
        <v>3236</v>
      </c>
      <c r="L955" s="252">
        <v>122.98903</v>
      </c>
      <c r="M955" s="252">
        <v>78</v>
      </c>
      <c r="N955" s="252">
        <v>0</v>
      </c>
      <c r="O955" s="252">
        <v>0</v>
      </c>
      <c r="P955" s="252">
        <v>0</v>
      </c>
      <c r="Q955" s="252">
        <v>0</v>
      </c>
      <c r="R955" s="252">
        <v>0</v>
      </c>
      <c r="S955" s="252">
        <v>0</v>
      </c>
      <c r="T955" s="252">
        <v>12.4214</v>
      </c>
      <c r="U955" s="252">
        <v>2.4550000000000001</v>
      </c>
      <c r="V955" s="252">
        <v>1.14093</v>
      </c>
      <c r="W955" s="252">
        <v>10.2508</v>
      </c>
      <c r="X955" s="252">
        <v>0</v>
      </c>
      <c r="Y955" s="252">
        <v>0</v>
      </c>
      <c r="Z955" s="252">
        <v>96.7209</v>
      </c>
      <c r="AA955" s="252">
        <v>0</v>
      </c>
      <c r="AB955" s="252">
        <v>0</v>
      </c>
      <c r="AC955" s="252">
        <v>0</v>
      </c>
      <c r="AD955" s="252">
        <v>1</v>
      </c>
      <c r="AE955" s="252" t="s">
        <v>720</v>
      </c>
      <c r="AF955" s="252" t="s">
        <v>721</v>
      </c>
      <c r="AG955" s="252">
        <f t="shared" si="70"/>
        <v>0</v>
      </c>
      <c r="AH955" s="252">
        <f t="shared" si="71"/>
        <v>0</v>
      </c>
      <c r="AI955" s="252">
        <f t="shared" si="72"/>
        <v>0</v>
      </c>
      <c r="AJ955" s="252">
        <f t="shared" si="73"/>
        <v>0</v>
      </c>
    </row>
    <row r="956" spans="1:36" x14ac:dyDescent="0.2">
      <c r="A956" s="253" t="str">
        <f t="shared" si="74"/>
        <v>2TNF-FILME12</v>
      </c>
      <c r="B956" s="252" t="s">
        <v>265</v>
      </c>
      <c r="C956" s="252" t="s">
        <v>20</v>
      </c>
      <c r="D956" s="252" t="s">
        <v>2576</v>
      </c>
      <c r="E956" s="252" t="s">
        <v>2577</v>
      </c>
      <c r="F956" s="252" t="s">
        <v>2578</v>
      </c>
      <c r="G956" s="252">
        <v>12</v>
      </c>
      <c r="H956" s="252" t="s">
        <v>928</v>
      </c>
      <c r="I956" s="252" t="s">
        <v>2477</v>
      </c>
      <c r="J956" s="252" t="s">
        <v>928</v>
      </c>
      <c r="K956" s="252" t="s">
        <v>3236</v>
      </c>
      <c r="L956" s="252">
        <v>6613.99</v>
      </c>
      <c r="M956" s="252">
        <v>0</v>
      </c>
      <c r="N956" s="252">
        <v>0</v>
      </c>
      <c r="O956" s="252">
        <v>0</v>
      </c>
      <c r="P956" s="252">
        <v>0</v>
      </c>
      <c r="Q956" s="252">
        <v>0</v>
      </c>
      <c r="R956" s="252">
        <v>0</v>
      </c>
      <c r="S956" s="252">
        <v>0</v>
      </c>
      <c r="T956" s="252">
        <v>0</v>
      </c>
      <c r="U956" s="252">
        <v>0</v>
      </c>
      <c r="V956" s="252">
        <v>0</v>
      </c>
      <c r="W956" s="252">
        <v>0</v>
      </c>
      <c r="X956" s="252">
        <v>0</v>
      </c>
      <c r="Y956" s="252">
        <v>5570.16</v>
      </c>
      <c r="Z956" s="252">
        <v>0</v>
      </c>
      <c r="AA956" s="252">
        <v>0</v>
      </c>
      <c r="AB956" s="252">
        <v>1043.83</v>
      </c>
      <c r="AC956" s="252">
        <v>0</v>
      </c>
      <c r="AD956" s="252">
        <v>0</v>
      </c>
      <c r="AE956" s="252" t="s">
        <v>720</v>
      </c>
      <c r="AF956" s="252" t="s">
        <v>721</v>
      </c>
      <c r="AG956" s="252">
        <f t="shared" si="70"/>
        <v>0</v>
      </c>
      <c r="AH956" s="252">
        <f t="shared" si="71"/>
        <v>0</v>
      </c>
      <c r="AI956" s="252">
        <f t="shared" si="72"/>
        <v>0</v>
      </c>
      <c r="AJ956" s="252">
        <f t="shared" si="73"/>
        <v>0</v>
      </c>
    </row>
    <row r="957" spans="1:36" x14ac:dyDescent="0.2">
      <c r="A957" s="253" t="str">
        <f t="shared" si="74"/>
        <v>2TNF-FILMF125</v>
      </c>
      <c r="B957" s="252" t="s">
        <v>265</v>
      </c>
      <c r="C957" s="252" t="s">
        <v>20</v>
      </c>
      <c r="D957" s="252" t="s">
        <v>2576</v>
      </c>
      <c r="E957" s="252" t="s">
        <v>2577</v>
      </c>
      <c r="F957" s="252" t="s">
        <v>2582</v>
      </c>
      <c r="G957" s="252">
        <v>125</v>
      </c>
      <c r="H957" s="252" t="s">
        <v>928</v>
      </c>
      <c r="I957" s="252" t="s">
        <v>2477</v>
      </c>
      <c r="J957" s="252" t="s">
        <v>928</v>
      </c>
      <c r="K957" s="252" t="s">
        <v>3236</v>
      </c>
      <c r="L957" s="252">
        <v>9521.9599999999991</v>
      </c>
      <c r="M957" s="252">
        <v>0</v>
      </c>
      <c r="N957" s="252">
        <v>0</v>
      </c>
      <c r="O957" s="252">
        <v>0</v>
      </c>
      <c r="P957" s="252">
        <v>0</v>
      </c>
      <c r="Q957" s="252">
        <v>0</v>
      </c>
      <c r="R957" s="252">
        <v>0</v>
      </c>
      <c r="S957" s="252">
        <v>0</v>
      </c>
      <c r="T957" s="252">
        <v>0</v>
      </c>
      <c r="U957" s="252">
        <v>0</v>
      </c>
      <c r="V957" s="252">
        <v>0</v>
      </c>
      <c r="W957" s="252">
        <v>0</v>
      </c>
      <c r="X957" s="252">
        <v>0</v>
      </c>
      <c r="Y957" s="252">
        <v>7064.54</v>
      </c>
      <c r="Z957" s="252">
        <v>0</v>
      </c>
      <c r="AA957" s="252">
        <v>0</v>
      </c>
      <c r="AB957" s="252">
        <v>2457.42</v>
      </c>
      <c r="AC957" s="252">
        <v>0</v>
      </c>
      <c r="AD957" s="252">
        <v>0</v>
      </c>
      <c r="AE957" s="252" t="s">
        <v>720</v>
      </c>
      <c r="AF957" s="252" t="s">
        <v>721</v>
      </c>
      <c r="AG957" s="252">
        <f t="shared" si="70"/>
        <v>0</v>
      </c>
      <c r="AH957" s="252">
        <f t="shared" si="71"/>
        <v>0</v>
      </c>
      <c r="AI957" s="252">
        <f t="shared" si="72"/>
        <v>0</v>
      </c>
      <c r="AJ957" s="252">
        <f t="shared" si="73"/>
        <v>0</v>
      </c>
    </row>
    <row r="958" spans="1:36" x14ac:dyDescent="0.2">
      <c r="A958" s="253" t="str">
        <f t="shared" si="74"/>
        <v>2TNF-FILMF150</v>
      </c>
      <c r="B958" s="252" t="s">
        <v>265</v>
      </c>
      <c r="C958" s="252" t="s">
        <v>20</v>
      </c>
      <c r="D958" s="252" t="s">
        <v>2576</v>
      </c>
      <c r="E958" s="252" t="s">
        <v>2577</v>
      </c>
      <c r="F958" s="252" t="s">
        <v>2582</v>
      </c>
      <c r="G958" s="252">
        <v>150</v>
      </c>
      <c r="H958" s="252" t="s">
        <v>928</v>
      </c>
      <c r="I958" s="252" t="s">
        <v>2477</v>
      </c>
      <c r="J958" s="252" t="s">
        <v>928</v>
      </c>
      <c r="K958" s="252" t="s">
        <v>3236</v>
      </c>
      <c r="L958" s="252">
        <v>6411.36</v>
      </c>
      <c r="M958" s="252">
        <v>0</v>
      </c>
      <c r="N958" s="252">
        <v>0</v>
      </c>
      <c r="O958" s="252">
        <v>0</v>
      </c>
      <c r="P958" s="252">
        <v>0</v>
      </c>
      <c r="Q958" s="252">
        <v>0</v>
      </c>
      <c r="R958" s="252">
        <v>0</v>
      </c>
      <c r="S958" s="252">
        <v>0</v>
      </c>
      <c r="T958" s="252">
        <v>0</v>
      </c>
      <c r="U958" s="252">
        <v>0</v>
      </c>
      <c r="V958" s="252">
        <v>0</v>
      </c>
      <c r="W958" s="252">
        <v>0</v>
      </c>
      <c r="X958" s="252">
        <v>0</v>
      </c>
      <c r="Y958" s="252">
        <v>5878.59</v>
      </c>
      <c r="Z958" s="252">
        <v>0</v>
      </c>
      <c r="AA958" s="252">
        <v>0</v>
      </c>
      <c r="AB958" s="252">
        <v>532.77</v>
      </c>
      <c r="AC958" s="252">
        <v>0</v>
      </c>
      <c r="AD958" s="252">
        <v>0</v>
      </c>
      <c r="AE958" s="252" t="s">
        <v>720</v>
      </c>
      <c r="AF958" s="252" t="s">
        <v>721</v>
      </c>
      <c r="AG958" s="252">
        <f t="shared" si="70"/>
        <v>0</v>
      </c>
      <c r="AH958" s="252">
        <f t="shared" si="71"/>
        <v>0</v>
      </c>
      <c r="AI958" s="252">
        <f t="shared" si="72"/>
        <v>0</v>
      </c>
      <c r="AJ958" s="252">
        <f t="shared" si="73"/>
        <v>0</v>
      </c>
    </row>
    <row r="959" spans="1:36" x14ac:dyDescent="0.2">
      <c r="A959" s="253" t="str">
        <f t="shared" si="74"/>
        <v>TNF-FILMF150</v>
      </c>
      <c r="B959" s="252" t="s">
        <v>265</v>
      </c>
      <c r="C959" s="252" t="s">
        <v>20</v>
      </c>
      <c r="D959" s="252" t="s">
        <v>2576</v>
      </c>
      <c r="E959" s="252" t="s">
        <v>2577</v>
      </c>
      <c r="F959" s="252" t="s">
        <v>2582</v>
      </c>
      <c r="G959" s="252">
        <v>150</v>
      </c>
      <c r="H959" s="252" t="s">
        <v>928</v>
      </c>
      <c r="I959" s="252" t="s">
        <v>928</v>
      </c>
      <c r="J959" s="252" t="s">
        <v>928</v>
      </c>
      <c r="K959" s="252" t="s">
        <v>3236</v>
      </c>
      <c r="L959" s="252">
        <v>6411.36</v>
      </c>
      <c r="M959" s="252">
        <v>0</v>
      </c>
      <c r="N959" s="252">
        <v>0</v>
      </c>
      <c r="O959" s="252">
        <v>0</v>
      </c>
      <c r="P959" s="252">
        <v>0</v>
      </c>
      <c r="Q959" s="252">
        <v>0</v>
      </c>
      <c r="R959" s="252">
        <v>0</v>
      </c>
      <c r="S959" s="252">
        <v>0</v>
      </c>
      <c r="T959" s="252">
        <v>0</v>
      </c>
      <c r="U959" s="252">
        <v>0</v>
      </c>
      <c r="V959" s="252">
        <v>0</v>
      </c>
      <c r="W959" s="252">
        <v>0</v>
      </c>
      <c r="X959" s="252">
        <v>0</v>
      </c>
      <c r="Y959" s="252">
        <v>5878.59</v>
      </c>
      <c r="Z959" s="252">
        <v>0</v>
      </c>
      <c r="AA959" s="252">
        <v>0</v>
      </c>
      <c r="AB959" s="252">
        <v>532.77</v>
      </c>
      <c r="AC959" s="252">
        <v>0</v>
      </c>
      <c r="AD959" s="252">
        <v>0</v>
      </c>
      <c r="AE959" s="252" t="s">
        <v>720</v>
      </c>
      <c r="AF959" s="252" t="s">
        <v>721</v>
      </c>
      <c r="AG959" s="252">
        <f t="shared" si="70"/>
        <v>0</v>
      </c>
      <c r="AH959" s="252">
        <f t="shared" si="71"/>
        <v>0</v>
      </c>
      <c r="AI959" s="252">
        <f t="shared" si="72"/>
        <v>0</v>
      </c>
      <c r="AJ959" s="252">
        <f t="shared" si="73"/>
        <v>0</v>
      </c>
    </row>
    <row r="960" spans="1:36" x14ac:dyDescent="0.2">
      <c r="A960" s="253" t="str">
        <f t="shared" si="74"/>
        <v>2TNF-FILMFR25</v>
      </c>
      <c r="B960" s="252" t="s">
        <v>265</v>
      </c>
      <c r="C960" s="252" t="s">
        <v>20</v>
      </c>
      <c r="D960" s="252" t="s">
        <v>2576</v>
      </c>
      <c r="E960" s="252" t="s">
        <v>2577</v>
      </c>
      <c r="F960" s="252" t="s">
        <v>2583</v>
      </c>
      <c r="G960" s="252">
        <v>25</v>
      </c>
      <c r="H960" s="252" t="s">
        <v>928</v>
      </c>
      <c r="I960" s="252" t="s">
        <v>2477</v>
      </c>
      <c r="J960" s="252" t="s">
        <v>928</v>
      </c>
      <c r="K960" s="252" t="s">
        <v>3236</v>
      </c>
      <c r="L960" s="252">
        <v>5522.52</v>
      </c>
      <c r="M960" s="252">
        <v>0</v>
      </c>
      <c r="N960" s="252">
        <v>0</v>
      </c>
      <c r="O960" s="252">
        <v>0</v>
      </c>
      <c r="P960" s="252">
        <v>0</v>
      </c>
      <c r="Q960" s="252">
        <v>0</v>
      </c>
      <c r="R960" s="252">
        <v>0</v>
      </c>
      <c r="S960" s="252">
        <v>0</v>
      </c>
      <c r="T960" s="252">
        <v>0</v>
      </c>
      <c r="U960" s="252">
        <v>0</v>
      </c>
      <c r="V960" s="252">
        <v>0</v>
      </c>
      <c r="W960" s="252">
        <v>0</v>
      </c>
      <c r="X960" s="252">
        <v>0</v>
      </c>
      <c r="Y960" s="252">
        <v>4202.38</v>
      </c>
      <c r="Z960" s="252">
        <v>0</v>
      </c>
      <c r="AA960" s="252">
        <v>0</v>
      </c>
      <c r="AB960" s="252">
        <v>1320.14</v>
      </c>
      <c r="AC960" s="252">
        <v>0</v>
      </c>
      <c r="AD960" s="252">
        <v>0</v>
      </c>
      <c r="AE960" s="252" t="s">
        <v>720</v>
      </c>
      <c r="AF960" s="252" t="s">
        <v>721</v>
      </c>
      <c r="AG960" s="252">
        <f t="shared" si="70"/>
        <v>0</v>
      </c>
      <c r="AH960" s="252">
        <f t="shared" si="71"/>
        <v>0</v>
      </c>
      <c r="AI960" s="252">
        <f t="shared" si="72"/>
        <v>0</v>
      </c>
      <c r="AJ960" s="252">
        <f t="shared" si="73"/>
        <v>0</v>
      </c>
    </row>
    <row r="961" spans="1:36" x14ac:dyDescent="0.2">
      <c r="A961" s="253" t="str">
        <f t="shared" si="74"/>
        <v>8TNF-PCFVF50</v>
      </c>
      <c r="B961" s="252" t="s">
        <v>265</v>
      </c>
      <c r="C961" s="252" t="s">
        <v>20</v>
      </c>
      <c r="D961" s="252" t="s">
        <v>2587</v>
      </c>
      <c r="E961" s="252" t="s">
        <v>2577</v>
      </c>
      <c r="F961" s="252" t="s">
        <v>2695</v>
      </c>
      <c r="G961" s="252">
        <v>50</v>
      </c>
      <c r="H961" s="252" t="s">
        <v>928</v>
      </c>
      <c r="I961" s="252" t="s">
        <v>2487</v>
      </c>
      <c r="J961" s="252" t="s">
        <v>928</v>
      </c>
      <c r="K961" s="252" t="s">
        <v>3236</v>
      </c>
      <c r="L961" s="252">
        <v>7178.97</v>
      </c>
      <c r="M961" s="252">
        <v>0</v>
      </c>
      <c r="N961" s="252">
        <v>0</v>
      </c>
      <c r="O961" s="252">
        <v>0</v>
      </c>
      <c r="P961" s="252">
        <v>0</v>
      </c>
      <c r="Q961" s="252">
        <v>0</v>
      </c>
      <c r="R961" s="252">
        <v>0</v>
      </c>
      <c r="S961" s="252">
        <v>0</v>
      </c>
      <c r="T961" s="252">
        <v>0</v>
      </c>
      <c r="U961" s="252">
        <v>0</v>
      </c>
      <c r="V961" s="252">
        <v>0</v>
      </c>
      <c r="W961" s="252">
        <v>0</v>
      </c>
      <c r="X961" s="252">
        <v>0</v>
      </c>
      <c r="Y961" s="252">
        <v>5506.79</v>
      </c>
      <c r="Z961" s="252">
        <v>0</v>
      </c>
      <c r="AA961" s="252">
        <v>0</v>
      </c>
      <c r="AB961" s="252">
        <v>1672.18</v>
      </c>
      <c r="AC961" s="252">
        <v>0</v>
      </c>
      <c r="AD961" s="252">
        <v>0</v>
      </c>
      <c r="AE961" s="252" t="s">
        <v>720</v>
      </c>
      <c r="AF961" s="252" t="s">
        <v>721</v>
      </c>
      <c r="AG961" s="252">
        <f t="shared" si="70"/>
        <v>0</v>
      </c>
      <c r="AH961" s="252">
        <f t="shared" si="71"/>
        <v>0</v>
      </c>
      <c r="AI961" s="252">
        <f t="shared" si="72"/>
        <v>0</v>
      </c>
      <c r="AJ961" s="252">
        <f t="shared" si="73"/>
        <v>0</v>
      </c>
    </row>
    <row r="962" spans="1:36" x14ac:dyDescent="0.2">
      <c r="A962" s="253" t="str">
        <f t="shared" si="74"/>
        <v>TNF-PCFVF50</v>
      </c>
      <c r="B962" s="252" t="s">
        <v>265</v>
      </c>
      <c r="C962" s="252" t="s">
        <v>20</v>
      </c>
      <c r="D962" s="252" t="s">
        <v>2587</v>
      </c>
      <c r="E962" s="252" t="s">
        <v>2577</v>
      </c>
      <c r="F962" s="252" t="s">
        <v>2695</v>
      </c>
      <c r="G962" s="252">
        <v>50</v>
      </c>
      <c r="H962" s="252" t="s">
        <v>928</v>
      </c>
      <c r="I962" s="252" t="s">
        <v>928</v>
      </c>
      <c r="J962" s="252" t="s">
        <v>928</v>
      </c>
      <c r="K962" s="252" t="s">
        <v>3236</v>
      </c>
      <c r="L962" s="252">
        <v>7178.97</v>
      </c>
      <c r="M962" s="252">
        <v>0</v>
      </c>
      <c r="N962" s="252">
        <v>0</v>
      </c>
      <c r="O962" s="252">
        <v>0</v>
      </c>
      <c r="P962" s="252">
        <v>0</v>
      </c>
      <c r="Q962" s="252">
        <v>0</v>
      </c>
      <c r="R962" s="252">
        <v>0</v>
      </c>
      <c r="S962" s="252">
        <v>0</v>
      </c>
      <c r="T962" s="252">
        <v>0</v>
      </c>
      <c r="U962" s="252">
        <v>0</v>
      </c>
      <c r="V962" s="252">
        <v>0</v>
      </c>
      <c r="W962" s="252">
        <v>0</v>
      </c>
      <c r="X962" s="252">
        <v>0</v>
      </c>
      <c r="Y962" s="252">
        <v>5506.79</v>
      </c>
      <c r="Z962" s="252">
        <v>0</v>
      </c>
      <c r="AA962" s="252">
        <v>0</v>
      </c>
      <c r="AB962" s="252">
        <v>1672.18</v>
      </c>
      <c r="AC962" s="252">
        <v>0</v>
      </c>
      <c r="AD962" s="252">
        <v>0</v>
      </c>
      <c r="AE962" s="252" t="s">
        <v>720</v>
      </c>
      <c r="AF962" s="252" t="s">
        <v>721</v>
      </c>
      <c r="AG962" s="252">
        <f t="shared" si="70"/>
        <v>0</v>
      </c>
      <c r="AH962" s="252">
        <f t="shared" si="71"/>
        <v>0</v>
      </c>
      <c r="AI962" s="252">
        <f t="shared" si="72"/>
        <v>0</v>
      </c>
      <c r="AJ962" s="252">
        <f t="shared" si="73"/>
        <v>0</v>
      </c>
    </row>
    <row r="963" spans="1:36" x14ac:dyDescent="0.2">
      <c r="A963" s="253" t="str">
        <f t="shared" si="74"/>
        <v>8TNF-PCFVF-250</v>
      </c>
      <c r="B963" s="252" t="s">
        <v>265</v>
      </c>
      <c r="C963" s="252" t="s">
        <v>20</v>
      </c>
      <c r="D963" s="252" t="s">
        <v>2587</v>
      </c>
      <c r="E963" s="252" t="s">
        <v>2577</v>
      </c>
      <c r="F963" s="252" t="s">
        <v>2696</v>
      </c>
      <c r="G963" s="252">
        <v>50</v>
      </c>
      <c r="H963" s="252" t="s">
        <v>928</v>
      </c>
      <c r="I963" s="252" t="s">
        <v>2487</v>
      </c>
      <c r="J963" s="252" t="s">
        <v>928</v>
      </c>
      <c r="K963" s="252" t="s">
        <v>3236</v>
      </c>
      <c r="L963" s="252">
        <v>7178.97</v>
      </c>
      <c r="M963" s="252">
        <v>0</v>
      </c>
      <c r="N963" s="252">
        <v>0</v>
      </c>
      <c r="O963" s="252">
        <v>0</v>
      </c>
      <c r="P963" s="252">
        <v>0</v>
      </c>
      <c r="Q963" s="252">
        <v>0</v>
      </c>
      <c r="R963" s="252">
        <v>0</v>
      </c>
      <c r="S963" s="252">
        <v>0</v>
      </c>
      <c r="T963" s="252">
        <v>0</v>
      </c>
      <c r="U963" s="252">
        <v>0</v>
      </c>
      <c r="V963" s="252">
        <v>0</v>
      </c>
      <c r="W963" s="252">
        <v>0</v>
      </c>
      <c r="X963" s="252">
        <v>0</v>
      </c>
      <c r="Y963" s="252">
        <v>5506.79</v>
      </c>
      <c r="Z963" s="252">
        <v>0</v>
      </c>
      <c r="AA963" s="252">
        <v>0</v>
      </c>
      <c r="AB963" s="252">
        <v>1672.18</v>
      </c>
      <c r="AC963" s="252">
        <v>0</v>
      </c>
      <c r="AD963" s="252">
        <v>0</v>
      </c>
      <c r="AE963" s="252" t="s">
        <v>720</v>
      </c>
      <c r="AF963" s="252" t="s">
        <v>721</v>
      </c>
      <c r="AG963" s="252">
        <f t="shared" si="70"/>
        <v>0</v>
      </c>
      <c r="AH963" s="252">
        <f t="shared" si="71"/>
        <v>0</v>
      </c>
      <c r="AI963" s="252">
        <f t="shared" si="72"/>
        <v>0</v>
      </c>
      <c r="AJ963" s="252">
        <f t="shared" si="73"/>
        <v>0</v>
      </c>
    </row>
    <row r="964" spans="1:36" x14ac:dyDescent="0.2">
      <c r="A964" s="253" t="str">
        <f t="shared" si="74"/>
        <v>TNF-PCFVF-250</v>
      </c>
      <c r="B964" s="252" t="s">
        <v>265</v>
      </c>
      <c r="C964" s="252" t="s">
        <v>20</v>
      </c>
      <c r="D964" s="252" t="s">
        <v>2587</v>
      </c>
      <c r="E964" s="252" t="s">
        <v>2577</v>
      </c>
      <c r="F964" s="252" t="s">
        <v>2696</v>
      </c>
      <c r="G964" s="252">
        <v>50</v>
      </c>
      <c r="H964" s="252" t="s">
        <v>928</v>
      </c>
      <c r="I964" s="252" t="s">
        <v>928</v>
      </c>
      <c r="J964" s="252" t="s">
        <v>928</v>
      </c>
      <c r="K964" s="252" t="s">
        <v>3236</v>
      </c>
      <c r="L964" s="252">
        <v>7178.97</v>
      </c>
      <c r="M964" s="252">
        <v>0</v>
      </c>
      <c r="N964" s="252">
        <v>0</v>
      </c>
      <c r="O964" s="252">
        <v>0</v>
      </c>
      <c r="P964" s="252">
        <v>0</v>
      </c>
      <c r="Q964" s="252">
        <v>0</v>
      </c>
      <c r="R964" s="252">
        <v>0</v>
      </c>
      <c r="S964" s="252">
        <v>0</v>
      </c>
      <c r="T964" s="252">
        <v>0</v>
      </c>
      <c r="U964" s="252">
        <v>0</v>
      </c>
      <c r="V964" s="252">
        <v>0</v>
      </c>
      <c r="W964" s="252">
        <v>0</v>
      </c>
      <c r="X964" s="252">
        <v>0</v>
      </c>
      <c r="Y964" s="252">
        <v>5506.79</v>
      </c>
      <c r="Z964" s="252">
        <v>0</v>
      </c>
      <c r="AA964" s="252">
        <v>0</v>
      </c>
      <c r="AB964" s="252">
        <v>1672.18</v>
      </c>
      <c r="AC964" s="252">
        <v>0</v>
      </c>
      <c r="AD964" s="252">
        <v>0</v>
      </c>
      <c r="AE964" s="252" t="s">
        <v>720</v>
      </c>
      <c r="AF964" s="252" t="s">
        <v>721</v>
      </c>
      <c r="AG964" s="252">
        <f t="shared" si="70"/>
        <v>0</v>
      </c>
      <c r="AH964" s="252">
        <f t="shared" si="71"/>
        <v>0</v>
      </c>
      <c r="AI964" s="252">
        <f t="shared" si="72"/>
        <v>0</v>
      </c>
      <c r="AJ964" s="252">
        <f t="shared" si="73"/>
        <v>0</v>
      </c>
    </row>
    <row r="965" spans="1:36" x14ac:dyDescent="0.2">
      <c r="A965" s="253" t="str">
        <f t="shared" si="74"/>
        <v>3TNKNZMCRALCB25</v>
      </c>
      <c r="B965" s="252" t="s">
        <v>265</v>
      </c>
      <c r="C965" s="252" t="s">
        <v>20</v>
      </c>
      <c r="D965" s="252" t="s">
        <v>1078</v>
      </c>
      <c r="E965" s="252" t="s">
        <v>2697</v>
      </c>
      <c r="F965" s="252" t="s">
        <v>1079</v>
      </c>
      <c r="G965" s="252">
        <v>25</v>
      </c>
      <c r="H965" s="252" t="s">
        <v>928</v>
      </c>
      <c r="I965" s="252" t="s">
        <v>2465</v>
      </c>
      <c r="J965" s="252" t="s">
        <v>928</v>
      </c>
      <c r="K965" s="252" t="s">
        <v>3236</v>
      </c>
      <c r="L965" s="252">
        <v>190.00662</v>
      </c>
      <c r="M965" s="252">
        <v>83.7</v>
      </c>
      <c r="N965" s="252">
        <v>0</v>
      </c>
      <c r="O965" s="252">
        <v>0</v>
      </c>
      <c r="P965" s="252">
        <v>0</v>
      </c>
      <c r="Q965" s="252">
        <v>0</v>
      </c>
      <c r="R965" s="252">
        <v>0</v>
      </c>
      <c r="S965" s="252">
        <v>0</v>
      </c>
      <c r="T965" s="252">
        <v>4.7846299999999999</v>
      </c>
      <c r="U965" s="252">
        <v>3.7160500000000001</v>
      </c>
      <c r="V965" s="252">
        <v>2.4832800000000002</v>
      </c>
      <c r="W965" s="252">
        <v>25.010660000000001</v>
      </c>
      <c r="X965" s="252">
        <v>0</v>
      </c>
      <c r="Y965" s="252">
        <v>0</v>
      </c>
      <c r="Z965" s="252">
        <v>154.012</v>
      </c>
      <c r="AA965" s="252">
        <v>0</v>
      </c>
      <c r="AB965" s="252">
        <v>0</v>
      </c>
      <c r="AC965" s="252">
        <v>0</v>
      </c>
      <c r="AD965" s="252">
        <v>1</v>
      </c>
      <c r="AE965" s="252" t="s">
        <v>720</v>
      </c>
      <c r="AF965" s="252" t="s">
        <v>721</v>
      </c>
      <c r="AG965" s="252">
        <f t="shared" si="70"/>
        <v>0</v>
      </c>
      <c r="AH965" s="252">
        <f t="shared" si="71"/>
        <v>0</v>
      </c>
      <c r="AI965" s="252">
        <f t="shared" si="72"/>
        <v>0</v>
      </c>
      <c r="AJ965" s="252">
        <f t="shared" si="73"/>
        <v>0</v>
      </c>
    </row>
    <row r="966" spans="1:36" x14ac:dyDescent="0.2">
      <c r="A966" s="253" t="str">
        <f t="shared" si="74"/>
        <v>39HTNMCLBHLGKJV50</v>
      </c>
      <c r="B966" s="252" t="s">
        <v>265</v>
      </c>
      <c r="C966" s="252" t="s">
        <v>20</v>
      </c>
      <c r="D966" s="252" t="s">
        <v>165</v>
      </c>
      <c r="E966" s="252" t="s">
        <v>723</v>
      </c>
      <c r="F966" s="252" t="s">
        <v>172</v>
      </c>
      <c r="G966" s="252">
        <v>50</v>
      </c>
      <c r="H966" s="252" t="s">
        <v>928</v>
      </c>
      <c r="I966" s="252" t="s">
        <v>2698</v>
      </c>
      <c r="J966" s="252" t="s">
        <v>928</v>
      </c>
      <c r="K966" s="252" t="s">
        <v>3236</v>
      </c>
      <c r="L966" s="252">
        <v>111.11147</v>
      </c>
      <c r="M966" s="252">
        <v>96</v>
      </c>
      <c r="N966" s="252">
        <v>0</v>
      </c>
      <c r="O966" s="252">
        <v>0</v>
      </c>
      <c r="P966" s="252">
        <v>0</v>
      </c>
      <c r="Q966" s="252">
        <v>0</v>
      </c>
      <c r="R966" s="252">
        <v>0</v>
      </c>
      <c r="S966" s="252">
        <v>0</v>
      </c>
      <c r="T966" s="252">
        <v>10.535</v>
      </c>
      <c r="U966" s="252">
        <v>1.7470000000000001</v>
      </c>
      <c r="V966" s="252">
        <v>0.91427000000000003</v>
      </c>
      <c r="W966" s="252">
        <v>13.209099999999999</v>
      </c>
      <c r="X966" s="252">
        <v>0</v>
      </c>
      <c r="Y966" s="252">
        <v>0</v>
      </c>
      <c r="Z966" s="252">
        <v>84.706100000000006</v>
      </c>
      <c r="AA966" s="252">
        <v>0</v>
      </c>
      <c r="AB966" s="252">
        <v>0</v>
      </c>
      <c r="AC966" s="252">
        <v>0</v>
      </c>
      <c r="AD966" s="252">
        <v>1</v>
      </c>
      <c r="AE966" s="252" t="s">
        <v>720</v>
      </c>
      <c r="AF966" s="252" t="s">
        <v>721</v>
      </c>
      <c r="AG966" s="252">
        <f t="shared" ref="AG966:AG978" si="75">+O966*M966/100</f>
        <v>0</v>
      </c>
      <c r="AH966" s="252">
        <f t="shared" ref="AH966:AH978" si="76">+P966*M966/100</f>
        <v>0</v>
      </c>
      <c r="AI966" s="252">
        <f t="shared" ref="AI966:AI978" si="77">+AB966*M966/100</f>
        <v>0</v>
      </c>
      <c r="AJ966" s="252">
        <f t="shared" ref="AJ966:AJ978" si="78">+AG966+AH966+AI966</f>
        <v>0</v>
      </c>
    </row>
    <row r="967" spans="1:36" x14ac:dyDescent="0.2">
      <c r="A967" s="253" t="str">
        <f t="shared" ref="A967:A978" si="79">TRIM(I967&amp;B967&amp;C967&amp;D967&amp;F967&amp;G967)</f>
        <v>39HTNMCLBHLGTV25</v>
      </c>
      <c r="B967" s="252" t="s">
        <v>265</v>
      </c>
      <c r="C967" s="252" t="s">
        <v>20</v>
      </c>
      <c r="D967" s="252" t="s">
        <v>165</v>
      </c>
      <c r="E967" s="252" t="s">
        <v>723</v>
      </c>
      <c r="F967" s="252" t="s">
        <v>176</v>
      </c>
      <c r="G967" s="252">
        <v>25</v>
      </c>
      <c r="H967" s="252" t="s">
        <v>928</v>
      </c>
      <c r="I967" s="252" t="s">
        <v>2698</v>
      </c>
      <c r="J967" s="252" t="s">
        <v>928</v>
      </c>
      <c r="K967" s="252" t="s">
        <v>3236</v>
      </c>
      <c r="L967" s="252">
        <v>113.32723</v>
      </c>
      <c r="M967" s="252">
        <v>96</v>
      </c>
      <c r="N967" s="252">
        <v>0</v>
      </c>
      <c r="O967" s="252">
        <v>0</v>
      </c>
      <c r="P967" s="252">
        <v>0</v>
      </c>
      <c r="Q967" s="252">
        <v>0</v>
      </c>
      <c r="R967" s="252">
        <v>0</v>
      </c>
      <c r="S967" s="252">
        <v>0</v>
      </c>
      <c r="T967" s="252">
        <v>10.535</v>
      </c>
      <c r="U967" s="252">
        <v>1.7470000000000001</v>
      </c>
      <c r="V967" s="252">
        <v>1.82853</v>
      </c>
      <c r="W967" s="252">
        <v>26.4833</v>
      </c>
      <c r="X967" s="252">
        <v>0</v>
      </c>
      <c r="Y967" s="252">
        <v>0</v>
      </c>
      <c r="Z967" s="252">
        <v>72.733400000000003</v>
      </c>
      <c r="AA967" s="252">
        <v>0</v>
      </c>
      <c r="AB967" s="252">
        <v>0</v>
      </c>
      <c r="AC967" s="252">
        <v>0</v>
      </c>
      <c r="AD967" s="252">
        <v>1</v>
      </c>
      <c r="AE967" s="252" t="s">
        <v>720</v>
      </c>
      <c r="AF967" s="252" t="s">
        <v>721</v>
      </c>
      <c r="AG967" s="252">
        <f t="shared" si="75"/>
        <v>0</v>
      </c>
      <c r="AH967" s="252">
        <f t="shared" si="76"/>
        <v>0</v>
      </c>
      <c r="AI967" s="252">
        <f t="shared" si="77"/>
        <v>0</v>
      </c>
      <c r="AJ967" s="252">
        <f t="shared" si="78"/>
        <v>0</v>
      </c>
    </row>
    <row r="968" spans="1:36" x14ac:dyDescent="0.2">
      <c r="A968" s="253" t="str">
        <f t="shared" si="79"/>
        <v>39HTNMCLBHLGTV50</v>
      </c>
      <c r="B968" s="252" t="s">
        <v>265</v>
      </c>
      <c r="C968" s="252" t="s">
        <v>20</v>
      </c>
      <c r="D968" s="252" t="s">
        <v>165</v>
      </c>
      <c r="E968" s="252" t="s">
        <v>723</v>
      </c>
      <c r="F968" s="252" t="s">
        <v>176</v>
      </c>
      <c r="G968" s="252">
        <v>50</v>
      </c>
      <c r="H968" s="252" t="s">
        <v>928</v>
      </c>
      <c r="I968" s="252" t="s">
        <v>2698</v>
      </c>
      <c r="J968" s="252" t="s">
        <v>928</v>
      </c>
      <c r="K968" s="252" t="s">
        <v>3236</v>
      </c>
      <c r="L968" s="252">
        <v>99.098730000000003</v>
      </c>
      <c r="M968" s="252">
        <v>93</v>
      </c>
      <c r="N968" s="252">
        <v>0</v>
      </c>
      <c r="O968" s="252">
        <v>0</v>
      </c>
      <c r="P968" s="252">
        <v>0</v>
      </c>
      <c r="Q968" s="252">
        <v>0</v>
      </c>
      <c r="R968" s="252">
        <v>0</v>
      </c>
      <c r="S968" s="252">
        <v>0</v>
      </c>
      <c r="T968" s="252">
        <v>7.8375000000000004</v>
      </c>
      <c r="U968" s="252">
        <v>0.996</v>
      </c>
      <c r="V968" s="252">
        <v>1.82853</v>
      </c>
      <c r="W968" s="252">
        <v>26.4833</v>
      </c>
      <c r="X968" s="252">
        <v>0</v>
      </c>
      <c r="Y968" s="252">
        <v>0</v>
      </c>
      <c r="Z968" s="252">
        <v>61.953400000000002</v>
      </c>
      <c r="AA968" s="252">
        <v>0</v>
      </c>
      <c r="AB968" s="252">
        <v>0</v>
      </c>
      <c r="AC968" s="252">
        <v>0</v>
      </c>
      <c r="AD968" s="252">
        <v>1</v>
      </c>
      <c r="AE968" s="252" t="s">
        <v>720</v>
      </c>
      <c r="AF968" s="252" t="s">
        <v>721</v>
      </c>
      <c r="AG968" s="252">
        <f t="shared" si="75"/>
        <v>0</v>
      </c>
      <c r="AH968" s="252">
        <f t="shared" si="76"/>
        <v>0</v>
      </c>
      <c r="AI968" s="252">
        <f t="shared" si="77"/>
        <v>0</v>
      </c>
      <c r="AJ968" s="252">
        <f t="shared" si="78"/>
        <v>0</v>
      </c>
    </row>
    <row r="969" spans="1:36" x14ac:dyDescent="0.2">
      <c r="A969" s="253" t="str">
        <f t="shared" si="79"/>
        <v>39CHTNMCLBHLKTV25</v>
      </c>
      <c r="B969" s="252" t="s">
        <v>265</v>
      </c>
      <c r="C969" s="252" t="s">
        <v>20</v>
      </c>
      <c r="D969" s="252" t="s">
        <v>165</v>
      </c>
      <c r="E969" s="252" t="s">
        <v>723</v>
      </c>
      <c r="F969" s="252" t="s">
        <v>319</v>
      </c>
      <c r="G969" s="252">
        <v>25</v>
      </c>
      <c r="H969" s="252" t="s">
        <v>928</v>
      </c>
      <c r="I969" s="252" t="s">
        <v>3242</v>
      </c>
      <c r="J969" s="252" t="s">
        <v>928</v>
      </c>
      <c r="K969" s="252" t="s">
        <v>3236</v>
      </c>
      <c r="L969" s="252">
        <v>56.37153</v>
      </c>
      <c r="M969" s="252">
        <v>90</v>
      </c>
      <c r="N969" s="252">
        <v>0</v>
      </c>
      <c r="O969" s="252">
        <v>0</v>
      </c>
      <c r="P969" s="252">
        <v>0</v>
      </c>
      <c r="Q969" s="252">
        <v>0</v>
      </c>
      <c r="R969" s="252">
        <v>0</v>
      </c>
      <c r="S969" s="252">
        <v>0</v>
      </c>
      <c r="T969" s="252">
        <v>10.535</v>
      </c>
      <c r="U969" s="252">
        <v>1.7470000000000001</v>
      </c>
      <c r="V969" s="252">
        <v>9.2130000000000004E-2</v>
      </c>
      <c r="W969" s="252">
        <v>4.2500000000000003E-2</v>
      </c>
      <c r="X969" s="252">
        <v>0</v>
      </c>
      <c r="Y969" s="252">
        <v>0</v>
      </c>
      <c r="Z969" s="252">
        <v>43.954900000000002</v>
      </c>
      <c r="AA969" s="252">
        <v>0</v>
      </c>
      <c r="AB969" s="252">
        <v>0</v>
      </c>
      <c r="AC969" s="252">
        <v>0</v>
      </c>
      <c r="AD969" s="252">
        <v>1</v>
      </c>
      <c r="AE969" s="252" t="s">
        <v>720</v>
      </c>
      <c r="AF969" s="252" t="s">
        <v>721</v>
      </c>
      <c r="AG969" s="252">
        <f t="shared" si="75"/>
        <v>0</v>
      </c>
      <c r="AH969" s="252">
        <f t="shared" si="76"/>
        <v>0</v>
      </c>
      <c r="AI969" s="252">
        <f t="shared" si="77"/>
        <v>0</v>
      </c>
      <c r="AJ969" s="252">
        <f t="shared" si="78"/>
        <v>0</v>
      </c>
    </row>
    <row r="970" spans="1:36" x14ac:dyDescent="0.2">
      <c r="A970" s="253" t="str">
        <f t="shared" si="79"/>
        <v>39CHTNMCLBHLKTV50</v>
      </c>
      <c r="B970" s="252" t="s">
        <v>265</v>
      </c>
      <c r="C970" s="252" t="s">
        <v>20</v>
      </c>
      <c r="D970" s="252" t="s">
        <v>165</v>
      </c>
      <c r="E970" s="252" t="s">
        <v>723</v>
      </c>
      <c r="F970" s="252" t="s">
        <v>319</v>
      </c>
      <c r="G970" s="252">
        <v>50</v>
      </c>
      <c r="H970" s="252" t="s">
        <v>928</v>
      </c>
      <c r="I970" s="252" t="s">
        <v>3242</v>
      </c>
      <c r="J970" s="252" t="s">
        <v>928</v>
      </c>
      <c r="K970" s="252" t="s">
        <v>3236</v>
      </c>
      <c r="L970" s="252">
        <v>57.182720000000003</v>
      </c>
      <c r="M970" s="252">
        <v>90</v>
      </c>
      <c r="N970" s="252">
        <v>0</v>
      </c>
      <c r="O970" s="252">
        <v>0</v>
      </c>
      <c r="P970" s="252">
        <v>0</v>
      </c>
      <c r="Q970" s="252">
        <v>0</v>
      </c>
      <c r="R970" s="252">
        <v>0</v>
      </c>
      <c r="S970" s="252">
        <v>0</v>
      </c>
      <c r="T970" s="252">
        <v>10.535</v>
      </c>
      <c r="U970" s="252">
        <v>1.7470000000000001</v>
      </c>
      <c r="V970" s="252">
        <v>9.2130000000000004E-2</v>
      </c>
      <c r="W970" s="252">
        <v>0.84369000000000005</v>
      </c>
      <c r="X970" s="252">
        <v>0</v>
      </c>
      <c r="Y970" s="252">
        <v>0</v>
      </c>
      <c r="Z970" s="252">
        <v>43.9649</v>
      </c>
      <c r="AA970" s="252">
        <v>0</v>
      </c>
      <c r="AB970" s="252">
        <v>0</v>
      </c>
      <c r="AC970" s="252">
        <v>0</v>
      </c>
      <c r="AD970" s="252">
        <v>1</v>
      </c>
      <c r="AE970" s="252" t="s">
        <v>720</v>
      </c>
      <c r="AF970" s="252" t="s">
        <v>721</v>
      </c>
      <c r="AG970" s="252">
        <f t="shared" si="75"/>
        <v>0</v>
      </c>
      <c r="AH970" s="252">
        <f t="shared" si="76"/>
        <v>0</v>
      </c>
      <c r="AI970" s="252">
        <f t="shared" si="77"/>
        <v>0</v>
      </c>
      <c r="AJ970" s="252">
        <f t="shared" si="78"/>
        <v>0</v>
      </c>
    </row>
    <row r="971" spans="1:36" x14ac:dyDescent="0.2">
      <c r="A971" s="253" t="str">
        <f t="shared" si="79"/>
        <v>3ATNMPET120012</v>
      </c>
      <c r="B971" s="252" t="s">
        <v>265</v>
      </c>
      <c r="C971" s="252" t="s">
        <v>20</v>
      </c>
      <c r="D971" s="252" t="s">
        <v>2604</v>
      </c>
      <c r="E971" s="252" t="s">
        <v>2605</v>
      </c>
      <c r="F971" s="252" t="s">
        <v>2608</v>
      </c>
      <c r="G971" s="252">
        <v>12</v>
      </c>
      <c r="H971" s="252" t="s">
        <v>928</v>
      </c>
      <c r="I971" s="252" t="s">
        <v>2395</v>
      </c>
      <c r="J971" s="252" t="s">
        <v>928</v>
      </c>
      <c r="K971" s="252" t="s">
        <v>3236</v>
      </c>
      <c r="L971" s="252">
        <v>9181.3277400000006</v>
      </c>
      <c r="M971" s="252">
        <v>84.95</v>
      </c>
      <c r="N971" s="252">
        <v>0</v>
      </c>
      <c r="O971" s="252">
        <v>6886.4037699999999</v>
      </c>
      <c r="P971" s="252">
        <v>0</v>
      </c>
      <c r="Q971" s="252">
        <v>0</v>
      </c>
      <c r="R971" s="252">
        <v>0</v>
      </c>
      <c r="S971" s="252">
        <v>0</v>
      </c>
      <c r="T971" s="252">
        <v>143</v>
      </c>
      <c r="U971" s="252">
        <v>285</v>
      </c>
      <c r="V971" s="252">
        <v>201.97130000000001</v>
      </c>
      <c r="W971" s="252">
        <v>268.74552</v>
      </c>
      <c r="X971" s="252">
        <v>0</v>
      </c>
      <c r="Y971" s="252">
        <v>0</v>
      </c>
      <c r="Z971" s="252">
        <v>1396.20715</v>
      </c>
      <c r="AA971" s="252">
        <v>0</v>
      </c>
      <c r="AB971" s="252">
        <v>0</v>
      </c>
      <c r="AC971" s="252">
        <v>0</v>
      </c>
      <c r="AD971" s="252">
        <v>1</v>
      </c>
      <c r="AE971" s="252" t="s">
        <v>720</v>
      </c>
      <c r="AF971" s="252" t="s">
        <v>721</v>
      </c>
      <c r="AG971" s="252">
        <f t="shared" si="75"/>
        <v>5850.0000026150001</v>
      </c>
      <c r="AH971" s="252">
        <f t="shared" si="76"/>
        <v>0</v>
      </c>
      <c r="AI971" s="252">
        <f t="shared" si="77"/>
        <v>0</v>
      </c>
      <c r="AJ971" s="252">
        <f t="shared" si="78"/>
        <v>5850.0000026150001</v>
      </c>
    </row>
    <row r="972" spans="1:36" x14ac:dyDescent="0.2">
      <c r="A972" s="253" t="str">
        <f t="shared" si="79"/>
        <v>TNMPET120012</v>
      </c>
      <c r="B972" s="252" t="s">
        <v>265</v>
      </c>
      <c r="C972" s="252" t="s">
        <v>20</v>
      </c>
      <c r="D972" s="252" t="s">
        <v>2604</v>
      </c>
      <c r="E972" s="252" t="s">
        <v>2605</v>
      </c>
      <c r="F972" s="252" t="s">
        <v>2608</v>
      </c>
      <c r="G972" s="252">
        <v>12</v>
      </c>
      <c r="H972" s="252" t="s">
        <v>928</v>
      </c>
      <c r="I972" s="252" t="s">
        <v>928</v>
      </c>
      <c r="J972" s="252" t="s">
        <v>928</v>
      </c>
      <c r="K972" s="252" t="s">
        <v>3236</v>
      </c>
      <c r="L972" s="252">
        <v>9181.3274399999991</v>
      </c>
      <c r="M972" s="252">
        <v>84.95</v>
      </c>
      <c r="N972" s="252">
        <v>0</v>
      </c>
      <c r="O972" s="252">
        <v>6886.4045599999999</v>
      </c>
      <c r="P972" s="252">
        <v>0</v>
      </c>
      <c r="Q972" s="252">
        <v>0</v>
      </c>
      <c r="R972" s="252">
        <v>0</v>
      </c>
      <c r="S972" s="252">
        <v>0</v>
      </c>
      <c r="T972" s="252">
        <v>143.00169</v>
      </c>
      <c r="U972" s="252">
        <v>285.00045</v>
      </c>
      <c r="V972" s="252">
        <v>201.97022000000001</v>
      </c>
      <c r="W972" s="252">
        <v>268.74387000000002</v>
      </c>
      <c r="X972" s="252">
        <v>0</v>
      </c>
      <c r="Y972" s="252">
        <v>0</v>
      </c>
      <c r="Z972" s="252">
        <v>1396.2066500000001</v>
      </c>
      <c r="AA972" s="252">
        <v>0</v>
      </c>
      <c r="AB972" s="252">
        <v>0</v>
      </c>
      <c r="AC972" s="252">
        <v>0</v>
      </c>
      <c r="AD972" s="252">
        <v>1</v>
      </c>
      <c r="AE972" s="252" t="s">
        <v>720</v>
      </c>
      <c r="AF972" s="252" t="s">
        <v>721</v>
      </c>
      <c r="AG972" s="252">
        <f t="shared" si="75"/>
        <v>5850.0006737199992</v>
      </c>
      <c r="AH972" s="252">
        <f t="shared" si="76"/>
        <v>0</v>
      </c>
      <c r="AI972" s="252">
        <f t="shared" si="77"/>
        <v>0</v>
      </c>
      <c r="AJ972" s="252">
        <f t="shared" si="78"/>
        <v>5850.0006737199992</v>
      </c>
    </row>
    <row r="973" spans="1:36" x14ac:dyDescent="0.2">
      <c r="A973" s="253" t="str">
        <f t="shared" si="79"/>
        <v>3TYCERASY1850</v>
      </c>
      <c r="B973" s="252" t="s">
        <v>265</v>
      </c>
      <c r="C973" s="252" t="s">
        <v>28</v>
      </c>
      <c r="D973" s="252" t="s">
        <v>21</v>
      </c>
      <c r="E973" s="252" t="s">
        <v>719</v>
      </c>
      <c r="F973" s="252" t="s">
        <v>3243</v>
      </c>
      <c r="G973" s="252">
        <v>50</v>
      </c>
      <c r="H973" s="252" t="s">
        <v>928</v>
      </c>
      <c r="I973" s="252" t="s">
        <v>2465</v>
      </c>
      <c r="J973" s="252" t="s">
        <v>928</v>
      </c>
      <c r="K973" s="252" t="s">
        <v>3236</v>
      </c>
      <c r="L973" s="252">
        <v>35.589860000000002</v>
      </c>
      <c r="M973" s="252">
        <v>91</v>
      </c>
      <c r="N973" s="252">
        <v>0</v>
      </c>
      <c r="O973" s="252">
        <v>0</v>
      </c>
      <c r="P973" s="252">
        <v>0</v>
      </c>
      <c r="Q973" s="252">
        <v>0</v>
      </c>
      <c r="R973" s="252">
        <v>0</v>
      </c>
      <c r="S973" s="252">
        <v>0</v>
      </c>
      <c r="T973" s="252">
        <v>15.62</v>
      </c>
      <c r="U973" s="252">
        <v>4.8898200000000003</v>
      </c>
      <c r="V973" s="252">
        <v>0.83650000000000002</v>
      </c>
      <c r="W973" s="252">
        <v>2.9135399999999998</v>
      </c>
      <c r="X973" s="252">
        <v>0</v>
      </c>
      <c r="Y973" s="252">
        <v>0</v>
      </c>
      <c r="Z973" s="252">
        <v>11.33</v>
      </c>
      <c r="AA973" s="252">
        <v>0</v>
      </c>
      <c r="AB973" s="252">
        <v>0</v>
      </c>
      <c r="AC973" s="252">
        <v>0</v>
      </c>
      <c r="AD973" s="252">
        <v>1</v>
      </c>
      <c r="AE973" s="252" t="s">
        <v>720</v>
      </c>
      <c r="AF973" s="252" t="s">
        <v>721</v>
      </c>
      <c r="AG973" s="252">
        <f t="shared" si="75"/>
        <v>0</v>
      </c>
      <c r="AH973" s="252">
        <f t="shared" si="76"/>
        <v>0</v>
      </c>
      <c r="AI973" s="252">
        <f t="shared" si="77"/>
        <v>0</v>
      </c>
      <c r="AJ973" s="252">
        <f t="shared" si="78"/>
        <v>0</v>
      </c>
    </row>
    <row r="974" spans="1:36" x14ac:dyDescent="0.2">
      <c r="A974" s="253" t="str">
        <f t="shared" si="79"/>
        <v>3TYCERANS2711150</v>
      </c>
      <c r="B974" s="252" t="s">
        <v>265</v>
      </c>
      <c r="C974" s="252" t="s">
        <v>28</v>
      </c>
      <c r="D974" s="252" t="s">
        <v>132</v>
      </c>
      <c r="E974" s="252" t="s">
        <v>719</v>
      </c>
      <c r="F974" s="252" t="s">
        <v>2704</v>
      </c>
      <c r="G974" s="252">
        <v>50</v>
      </c>
      <c r="H974" s="252" t="s">
        <v>928</v>
      </c>
      <c r="I974" s="252" t="s">
        <v>2465</v>
      </c>
      <c r="J974" s="252" t="s">
        <v>928</v>
      </c>
      <c r="K974" s="252" t="s">
        <v>3236</v>
      </c>
      <c r="L974" s="252">
        <v>159.47304</v>
      </c>
      <c r="M974" s="252">
        <v>75.8</v>
      </c>
      <c r="N974" s="252">
        <v>0</v>
      </c>
      <c r="O974" s="252">
        <v>0</v>
      </c>
      <c r="P974" s="252">
        <v>0</v>
      </c>
      <c r="Q974" s="252">
        <v>0</v>
      </c>
      <c r="R974" s="252">
        <v>0</v>
      </c>
      <c r="S974" s="252">
        <v>0</v>
      </c>
      <c r="T974" s="252">
        <v>18.78</v>
      </c>
      <c r="U974" s="252">
        <v>38.49841</v>
      </c>
      <c r="V974" s="252">
        <v>5.1416899999999996</v>
      </c>
      <c r="W974" s="252">
        <v>16.532060000000001</v>
      </c>
      <c r="X974" s="252">
        <v>0</v>
      </c>
      <c r="Y974" s="252">
        <v>0</v>
      </c>
      <c r="Z974" s="252">
        <v>80.520880000000005</v>
      </c>
      <c r="AA974" s="252">
        <v>0</v>
      </c>
      <c r="AB974" s="252">
        <v>0</v>
      </c>
      <c r="AC974" s="252">
        <v>0</v>
      </c>
      <c r="AD974" s="252">
        <v>1</v>
      </c>
      <c r="AE974" s="252" t="s">
        <v>720</v>
      </c>
      <c r="AF974" s="252" t="s">
        <v>721</v>
      </c>
      <c r="AG974" s="252">
        <f t="shared" si="75"/>
        <v>0</v>
      </c>
      <c r="AH974" s="252">
        <f t="shared" si="76"/>
        <v>0</v>
      </c>
      <c r="AI974" s="252">
        <f t="shared" si="77"/>
        <v>0</v>
      </c>
      <c r="AJ974" s="252">
        <f t="shared" si="78"/>
        <v>0</v>
      </c>
    </row>
    <row r="975" spans="1:36" x14ac:dyDescent="0.2">
      <c r="A975" s="253" t="str">
        <f t="shared" si="79"/>
        <v>331TYCERANS2711450</v>
      </c>
      <c r="B975" s="252" t="s">
        <v>265</v>
      </c>
      <c r="C975" s="252" t="s">
        <v>28</v>
      </c>
      <c r="D975" s="252" t="s">
        <v>132</v>
      </c>
      <c r="E975" s="252" t="s">
        <v>719</v>
      </c>
      <c r="F975" s="252" t="s">
        <v>2662</v>
      </c>
      <c r="G975" s="252">
        <v>50</v>
      </c>
      <c r="H975" s="252" t="s">
        <v>928</v>
      </c>
      <c r="I975" s="252" t="s">
        <v>2466</v>
      </c>
      <c r="J975" s="252" t="s">
        <v>928</v>
      </c>
      <c r="K975" s="252" t="s">
        <v>3236</v>
      </c>
      <c r="L975" s="252">
        <v>91.77234</v>
      </c>
      <c r="M975" s="252">
        <v>87.3</v>
      </c>
      <c r="N975" s="252">
        <v>0</v>
      </c>
      <c r="O975" s="252">
        <v>0</v>
      </c>
      <c r="P975" s="252">
        <v>0</v>
      </c>
      <c r="Q975" s="252">
        <v>0</v>
      </c>
      <c r="R975" s="252">
        <v>0</v>
      </c>
      <c r="S975" s="252">
        <v>0</v>
      </c>
      <c r="T975" s="252">
        <v>16.05</v>
      </c>
      <c r="U975" s="252">
        <v>4.6654900000000001</v>
      </c>
      <c r="V975" s="252">
        <v>4.9346100000000002</v>
      </c>
      <c r="W975" s="252">
        <v>12.748799999999999</v>
      </c>
      <c r="X975" s="252">
        <v>0</v>
      </c>
      <c r="Y975" s="252">
        <v>0</v>
      </c>
      <c r="Z975" s="252">
        <v>53.373440000000002</v>
      </c>
      <c r="AA975" s="252">
        <v>0</v>
      </c>
      <c r="AB975" s="252">
        <v>0</v>
      </c>
      <c r="AC975" s="252">
        <v>0</v>
      </c>
      <c r="AD975" s="252">
        <v>1</v>
      </c>
      <c r="AE975" s="252" t="s">
        <v>720</v>
      </c>
      <c r="AF975" s="252" t="s">
        <v>721</v>
      </c>
      <c r="AG975" s="252">
        <f t="shared" si="75"/>
        <v>0</v>
      </c>
      <c r="AH975" s="252">
        <f t="shared" si="76"/>
        <v>0</v>
      </c>
      <c r="AI975" s="252">
        <f t="shared" si="77"/>
        <v>0</v>
      </c>
      <c r="AJ975" s="252">
        <f t="shared" si="78"/>
        <v>0</v>
      </c>
    </row>
    <row r="976" spans="1:36" x14ac:dyDescent="0.2">
      <c r="A976" s="253" t="str">
        <f t="shared" si="79"/>
        <v>3TYCERANS2711475</v>
      </c>
      <c r="B976" s="252" t="s">
        <v>265</v>
      </c>
      <c r="C976" s="252" t="s">
        <v>28</v>
      </c>
      <c r="D976" s="252" t="s">
        <v>132</v>
      </c>
      <c r="E976" s="252" t="s">
        <v>719</v>
      </c>
      <c r="F976" s="252" t="s">
        <v>2662</v>
      </c>
      <c r="G976" s="252">
        <v>75</v>
      </c>
      <c r="H976" s="252" t="s">
        <v>928</v>
      </c>
      <c r="I976" s="252" t="s">
        <v>2465</v>
      </c>
      <c r="J976" s="252" t="s">
        <v>928</v>
      </c>
      <c r="K976" s="252" t="s">
        <v>3236</v>
      </c>
      <c r="L976" s="252">
        <v>91.944220000000001</v>
      </c>
      <c r="M976" s="252">
        <v>96</v>
      </c>
      <c r="N976" s="252">
        <v>0</v>
      </c>
      <c r="O976" s="252">
        <v>0</v>
      </c>
      <c r="P976" s="252">
        <v>0</v>
      </c>
      <c r="Q976" s="252">
        <v>0</v>
      </c>
      <c r="R976" s="252">
        <v>0</v>
      </c>
      <c r="S976" s="252">
        <v>0</v>
      </c>
      <c r="T976" s="252">
        <v>14.62</v>
      </c>
      <c r="U976" s="252">
        <v>4.2545599999999997</v>
      </c>
      <c r="V976" s="252">
        <v>4.9632300000000003</v>
      </c>
      <c r="W976" s="252">
        <v>13.13777</v>
      </c>
      <c r="X976" s="252">
        <v>0</v>
      </c>
      <c r="Y976" s="252">
        <v>0</v>
      </c>
      <c r="Z976" s="252">
        <v>54.96866</v>
      </c>
      <c r="AA976" s="252">
        <v>0</v>
      </c>
      <c r="AB976" s="252">
        <v>0</v>
      </c>
      <c r="AC976" s="252">
        <v>0</v>
      </c>
      <c r="AD976" s="252">
        <v>1</v>
      </c>
      <c r="AE976" s="252" t="s">
        <v>720</v>
      </c>
      <c r="AF976" s="252" t="s">
        <v>721</v>
      </c>
      <c r="AG976" s="252">
        <f t="shared" si="75"/>
        <v>0</v>
      </c>
      <c r="AH976" s="252">
        <f t="shared" si="76"/>
        <v>0</v>
      </c>
      <c r="AI976" s="252">
        <f t="shared" si="77"/>
        <v>0</v>
      </c>
      <c r="AJ976" s="252">
        <f t="shared" si="78"/>
        <v>0</v>
      </c>
    </row>
    <row r="977" spans="1:36" x14ac:dyDescent="0.2">
      <c r="A977" s="253" t="str">
        <f t="shared" si="79"/>
        <v>3TYCERANS27114MA75</v>
      </c>
      <c r="B977" s="252" t="s">
        <v>265</v>
      </c>
      <c r="C977" s="252" t="s">
        <v>28</v>
      </c>
      <c r="D977" s="252" t="s">
        <v>132</v>
      </c>
      <c r="E977" s="252" t="s">
        <v>719</v>
      </c>
      <c r="F977" s="252" t="s">
        <v>1437</v>
      </c>
      <c r="G977" s="252">
        <v>75</v>
      </c>
      <c r="H977" s="252" t="s">
        <v>928</v>
      </c>
      <c r="I977" s="252" t="s">
        <v>2465</v>
      </c>
      <c r="J977" s="252" t="s">
        <v>928</v>
      </c>
      <c r="K977" s="252" t="s">
        <v>3236</v>
      </c>
      <c r="L977" s="252">
        <v>93.708600000000004</v>
      </c>
      <c r="M977" s="252">
        <v>93.5</v>
      </c>
      <c r="N977" s="252">
        <v>0</v>
      </c>
      <c r="O977" s="252">
        <v>0</v>
      </c>
      <c r="P977" s="252">
        <v>0</v>
      </c>
      <c r="Q977" s="252">
        <v>0</v>
      </c>
      <c r="R977" s="252">
        <v>0</v>
      </c>
      <c r="S977" s="252">
        <v>0</v>
      </c>
      <c r="T977" s="252">
        <v>16.739999999999998</v>
      </c>
      <c r="U977" s="252">
        <v>5.7119200000000001</v>
      </c>
      <c r="V977" s="252">
        <v>4.9255199999999997</v>
      </c>
      <c r="W977" s="252">
        <v>12.670500000000001</v>
      </c>
      <c r="X977" s="252">
        <v>0</v>
      </c>
      <c r="Y977" s="252">
        <v>0</v>
      </c>
      <c r="Z977" s="252">
        <v>53.66066</v>
      </c>
      <c r="AA977" s="252">
        <v>0</v>
      </c>
      <c r="AB977" s="252">
        <v>0</v>
      </c>
      <c r="AC977" s="252">
        <v>0</v>
      </c>
      <c r="AD977" s="252">
        <v>1</v>
      </c>
      <c r="AE977" s="252" t="s">
        <v>720</v>
      </c>
      <c r="AF977" s="252" t="s">
        <v>721</v>
      </c>
      <c r="AG977" s="252">
        <f t="shared" si="75"/>
        <v>0</v>
      </c>
      <c r="AH977" s="252">
        <f t="shared" si="76"/>
        <v>0</v>
      </c>
      <c r="AI977" s="252">
        <f t="shared" si="77"/>
        <v>0</v>
      </c>
      <c r="AJ977" s="252">
        <f t="shared" si="78"/>
        <v>0</v>
      </c>
    </row>
    <row r="978" spans="1:36" x14ac:dyDescent="0.2">
      <c r="A978" s="253" t="str">
        <f t="shared" si="79"/>
        <v>3TYCERANS27114MB75</v>
      </c>
      <c r="B978" s="252" t="s">
        <v>265</v>
      </c>
      <c r="C978" s="252" t="s">
        <v>28</v>
      </c>
      <c r="D978" s="252" t="s">
        <v>132</v>
      </c>
      <c r="E978" s="252" t="s">
        <v>719</v>
      </c>
      <c r="F978" s="252" t="s">
        <v>1521</v>
      </c>
      <c r="G978" s="252">
        <v>75</v>
      </c>
      <c r="H978" s="252" t="s">
        <v>928</v>
      </c>
      <c r="I978" s="252" t="s">
        <v>2465</v>
      </c>
      <c r="J978" s="252" t="s">
        <v>928</v>
      </c>
      <c r="K978" s="252" t="s">
        <v>3236</v>
      </c>
      <c r="L978" s="252">
        <v>88.302440000000004</v>
      </c>
      <c r="M978" s="252">
        <v>95</v>
      </c>
      <c r="N978" s="252">
        <v>0</v>
      </c>
      <c r="O978" s="252">
        <v>0</v>
      </c>
      <c r="P978" s="252">
        <v>0</v>
      </c>
      <c r="Q978" s="252">
        <v>0</v>
      </c>
      <c r="R978" s="252">
        <v>0</v>
      </c>
      <c r="S978" s="252">
        <v>0</v>
      </c>
      <c r="T978" s="252">
        <v>14.76</v>
      </c>
      <c r="U978" s="252">
        <v>4.2544399999999998</v>
      </c>
      <c r="V978" s="252">
        <v>4.9093499999999999</v>
      </c>
      <c r="W978" s="252">
        <v>12.405150000000001</v>
      </c>
      <c r="X978" s="252">
        <v>0</v>
      </c>
      <c r="Y978" s="252">
        <v>0</v>
      </c>
      <c r="Z978" s="252">
        <v>51.973500000000001</v>
      </c>
      <c r="AA978" s="252">
        <v>0</v>
      </c>
      <c r="AB978" s="252">
        <v>0</v>
      </c>
      <c r="AC978" s="252">
        <v>0</v>
      </c>
      <c r="AD978" s="252">
        <v>1</v>
      </c>
      <c r="AE978" s="252" t="s">
        <v>720</v>
      </c>
      <c r="AF978" s="252" t="s">
        <v>721</v>
      </c>
      <c r="AG978" s="252">
        <f t="shared" si="75"/>
        <v>0</v>
      </c>
      <c r="AH978" s="252">
        <f t="shared" si="76"/>
        <v>0</v>
      </c>
      <c r="AI978" s="252">
        <f t="shared" si="77"/>
        <v>0</v>
      </c>
      <c r="AJ978" s="252">
        <f t="shared" si="78"/>
        <v>0</v>
      </c>
    </row>
    <row r="979" spans="1:36" x14ac:dyDescent="0.2">
      <c r="A979" s="253" t="str">
        <f t="shared" ref="A979:A1001" si="80">TRIM(I979&amp;B979&amp;C979&amp;D979&amp;F979&amp;G979)</f>
        <v>3TYCERANS2711875</v>
      </c>
      <c r="B979" s="252" t="s">
        <v>265</v>
      </c>
      <c r="C979" s="252" t="s">
        <v>28</v>
      </c>
      <c r="D979" s="252" t="s">
        <v>132</v>
      </c>
      <c r="E979" s="252" t="s">
        <v>719</v>
      </c>
      <c r="F979" s="252" t="s">
        <v>2705</v>
      </c>
      <c r="G979" s="252">
        <v>75</v>
      </c>
      <c r="H979" s="252" t="s">
        <v>928</v>
      </c>
      <c r="I979" s="252" t="s">
        <v>2465</v>
      </c>
      <c r="J979" s="252" t="s">
        <v>928</v>
      </c>
      <c r="K979" s="252" t="s">
        <v>3236</v>
      </c>
      <c r="L979" s="252">
        <v>98.113110000000006</v>
      </c>
      <c r="M979" s="252">
        <v>95</v>
      </c>
      <c r="N979" s="252">
        <v>0</v>
      </c>
      <c r="O979" s="252">
        <v>0</v>
      </c>
      <c r="P979" s="252">
        <v>0</v>
      </c>
      <c r="Q979" s="252">
        <v>0</v>
      </c>
      <c r="R979" s="252">
        <v>0</v>
      </c>
      <c r="S979" s="252">
        <v>0</v>
      </c>
      <c r="T979" s="252">
        <v>14.76</v>
      </c>
      <c r="U979" s="252">
        <v>6.10372</v>
      </c>
      <c r="V979" s="252">
        <v>5.0204700000000004</v>
      </c>
      <c r="W979" s="252">
        <v>13.924379999999999</v>
      </c>
      <c r="X979" s="252">
        <v>0</v>
      </c>
      <c r="Y979" s="252">
        <v>0</v>
      </c>
      <c r="Z979" s="252">
        <v>58.304540000000003</v>
      </c>
      <c r="AA979" s="252">
        <v>0</v>
      </c>
      <c r="AB979" s="252">
        <v>0</v>
      </c>
      <c r="AC979" s="252">
        <v>0</v>
      </c>
      <c r="AD979" s="252">
        <v>1</v>
      </c>
    </row>
    <row r="980" spans="1:36" x14ac:dyDescent="0.2">
      <c r="A980" s="253" t="str">
        <f t="shared" si="80"/>
        <v>331TYCERANS2711875</v>
      </c>
      <c r="B980" s="252" t="s">
        <v>265</v>
      </c>
      <c r="C980" s="252" t="s">
        <v>28</v>
      </c>
      <c r="D980" s="252" t="s">
        <v>132</v>
      </c>
      <c r="E980" s="252" t="s">
        <v>719</v>
      </c>
      <c r="F980" s="252" t="s">
        <v>2705</v>
      </c>
      <c r="G980" s="252">
        <v>75</v>
      </c>
      <c r="H980" s="252" t="s">
        <v>928</v>
      </c>
      <c r="I980" s="252" t="s">
        <v>2466</v>
      </c>
      <c r="J980" s="252" t="s">
        <v>928</v>
      </c>
      <c r="K980" s="252" t="s">
        <v>3236</v>
      </c>
      <c r="L980" s="252">
        <v>93.191609999999997</v>
      </c>
      <c r="M980" s="252">
        <v>95</v>
      </c>
      <c r="N980" s="252">
        <v>0</v>
      </c>
      <c r="O980" s="252">
        <v>0</v>
      </c>
      <c r="P980" s="252">
        <v>0</v>
      </c>
      <c r="Q980" s="252">
        <v>0</v>
      </c>
      <c r="R980" s="252">
        <v>0</v>
      </c>
      <c r="S980" s="252">
        <v>0</v>
      </c>
      <c r="T980" s="252">
        <v>14.76</v>
      </c>
      <c r="U980" s="252">
        <v>6.5332499999999998</v>
      </c>
      <c r="V980" s="252">
        <v>4.9457199999999997</v>
      </c>
      <c r="W980" s="252">
        <v>12.896000000000001</v>
      </c>
      <c r="X980" s="252">
        <v>0</v>
      </c>
      <c r="Y980" s="252">
        <v>0</v>
      </c>
      <c r="Z980" s="252">
        <v>54.056640000000002</v>
      </c>
      <c r="AA980" s="252">
        <v>0</v>
      </c>
      <c r="AB980" s="252">
        <v>0</v>
      </c>
      <c r="AC980" s="252">
        <v>0</v>
      </c>
      <c r="AD980" s="252">
        <v>1</v>
      </c>
    </row>
    <row r="981" spans="1:36" x14ac:dyDescent="0.2">
      <c r="A981" s="253" t="str">
        <f t="shared" si="80"/>
        <v>3TYCERANSPBPB1850</v>
      </c>
      <c r="B981" s="252" t="s">
        <v>265</v>
      </c>
      <c r="C981" s="252" t="s">
        <v>28</v>
      </c>
      <c r="D981" s="252" t="s">
        <v>132</v>
      </c>
      <c r="E981" s="252" t="s">
        <v>719</v>
      </c>
      <c r="F981" s="252" t="s">
        <v>3244</v>
      </c>
      <c r="G981" s="252">
        <v>50</v>
      </c>
      <c r="H981" s="252" t="s">
        <v>928</v>
      </c>
      <c r="I981" s="252" t="s">
        <v>2465</v>
      </c>
      <c r="J981" s="252" t="s">
        <v>928</v>
      </c>
      <c r="K981" s="252" t="s">
        <v>3236</v>
      </c>
      <c r="L981" s="252">
        <v>162.69306</v>
      </c>
      <c r="M981" s="252">
        <v>90.8</v>
      </c>
      <c r="N981" s="252">
        <v>0</v>
      </c>
      <c r="O981" s="252">
        <v>0</v>
      </c>
      <c r="P981" s="252">
        <v>0</v>
      </c>
      <c r="Q981" s="252">
        <v>0</v>
      </c>
      <c r="R981" s="252">
        <v>0</v>
      </c>
      <c r="S981" s="252">
        <v>0</v>
      </c>
      <c r="T981" s="252">
        <v>31.52</v>
      </c>
      <c r="U981" s="252">
        <v>4.4974999999999996</v>
      </c>
      <c r="V981" s="252">
        <v>6.0846999999999998</v>
      </c>
      <c r="W981" s="252">
        <v>31.086690000000001</v>
      </c>
      <c r="X981" s="252">
        <v>0</v>
      </c>
      <c r="Y981" s="252">
        <v>0</v>
      </c>
      <c r="Z981" s="252">
        <v>89.504170000000002</v>
      </c>
      <c r="AA981" s="252">
        <v>0</v>
      </c>
      <c r="AB981" s="252">
        <v>0</v>
      </c>
      <c r="AC981" s="252">
        <v>0</v>
      </c>
      <c r="AD981" s="252">
        <v>1</v>
      </c>
      <c r="AE981" s="259" t="s">
        <v>20</v>
      </c>
      <c r="AF981" s="259" t="s">
        <v>718</v>
      </c>
      <c r="AG981" s="259">
        <f>+O981*M981/100</f>
        <v>0</v>
      </c>
      <c r="AH981" s="259">
        <f>+P981*M981/100</f>
        <v>0</v>
      </c>
      <c r="AI981" s="259">
        <f>+AB981*M981/100</f>
        <v>0</v>
      </c>
      <c r="AJ981" s="259">
        <f>+AG981+AH981+AI981</f>
        <v>0</v>
      </c>
    </row>
    <row r="982" spans="1:36" x14ac:dyDescent="0.2">
      <c r="A982" s="253" t="str">
        <f t="shared" si="80"/>
        <v>3TYCERANSPBPG1850</v>
      </c>
      <c r="B982" s="252" t="s">
        <v>265</v>
      </c>
      <c r="C982" s="252" t="s">
        <v>28</v>
      </c>
      <c r="D982" s="252" t="s">
        <v>132</v>
      </c>
      <c r="E982" s="252" t="s">
        <v>719</v>
      </c>
      <c r="F982" s="252" t="s">
        <v>3245</v>
      </c>
      <c r="G982" s="252">
        <v>50</v>
      </c>
      <c r="H982" s="252" t="s">
        <v>928</v>
      </c>
      <c r="I982" s="252" t="s">
        <v>2465</v>
      </c>
      <c r="J982" s="252" t="s">
        <v>928</v>
      </c>
      <c r="K982" s="252" t="s">
        <v>3236</v>
      </c>
      <c r="L982" s="252">
        <v>162.69306</v>
      </c>
      <c r="M982" s="252">
        <v>90.8</v>
      </c>
      <c r="N982" s="252">
        <v>0</v>
      </c>
      <c r="O982" s="252">
        <v>0</v>
      </c>
      <c r="P982" s="252">
        <v>0</v>
      </c>
      <c r="Q982" s="252">
        <v>0</v>
      </c>
      <c r="R982" s="252">
        <v>0</v>
      </c>
      <c r="S982" s="252">
        <v>0</v>
      </c>
      <c r="T982" s="252">
        <v>31.52</v>
      </c>
      <c r="U982" s="252">
        <v>4.4974999999999996</v>
      </c>
      <c r="V982" s="252">
        <v>6.0846999999999998</v>
      </c>
      <c r="W982" s="252">
        <v>31.086690000000001</v>
      </c>
      <c r="X982" s="252">
        <v>0</v>
      </c>
      <c r="Y982" s="252">
        <v>0</v>
      </c>
      <c r="Z982" s="252">
        <v>89.504170000000002</v>
      </c>
      <c r="AA982" s="252">
        <v>0</v>
      </c>
      <c r="AB982" s="252">
        <v>0</v>
      </c>
      <c r="AC982" s="252">
        <v>0</v>
      </c>
      <c r="AD982" s="252">
        <v>1</v>
      </c>
      <c r="AE982" s="259" t="s">
        <v>20</v>
      </c>
      <c r="AF982" s="259" t="s">
        <v>718</v>
      </c>
      <c r="AG982" s="259">
        <f>+O982*M982/100</f>
        <v>0</v>
      </c>
      <c r="AH982" s="259">
        <f>+P982*M982/100</f>
        <v>0</v>
      </c>
      <c r="AI982" s="259">
        <f>+AB982*M982/100</f>
        <v>0</v>
      </c>
      <c r="AJ982" s="259">
        <f>+AG982+AH982+AI982</f>
        <v>0</v>
      </c>
    </row>
    <row r="983" spans="1:36" x14ac:dyDescent="0.2">
      <c r="A983" s="253" t="str">
        <f t="shared" si="80"/>
        <v>2TYCF107A6230</v>
      </c>
      <c r="B983" s="252" t="s">
        <v>265</v>
      </c>
      <c r="C983" s="252" t="s">
        <v>28</v>
      </c>
      <c r="D983" s="252" t="s">
        <v>2474</v>
      </c>
      <c r="E983" s="252" t="s">
        <v>2475</v>
      </c>
      <c r="F983" s="252" t="s">
        <v>2507</v>
      </c>
      <c r="G983" s="252">
        <v>30</v>
      </c>
      <c r="H983" s="252" t="s">
        <v>928</v>
      </c>
      <c r="I983" s="252" t="s">
        <v>2477</v>
      </c>
      <c r="J983" s="252" t="s">
        <v>928</v>
      </c>
      <c r="K983" s="252" t="s">
        <v>3236</v>
      </c>
      <c r="L983" s="252">
        <v>514.1</v>
      </c>
      <c r="M983" s="252">
        <v>0</v>
      </c>
      <c r="N983" s="252">
        <v>0</v>
      </c>
      <c r="O983" s="252">
        <v>0</v>
      </c>
      <c r="P983" s="252">
        <v>0</v>
      </c>
      <c r="Q983" s="252">
        <v>0</v>
      </c>
      <c r="R983" s="252">
        <v>0</v>
      </c>
      <c r="S983" s="252">
        <v>0</v>
      </c>
      <c r="T983" s="252">
        <v>0</v>
      </c>
      <c r="U983" s="252">
        <v>0</v>
      </c>
      <c r="V983" s="252">
        <v>0</v>
      </c>
      <c r="W983" s="252">
        <v>0</v>
      </c>
      <c r="X983" s="252">
        <v>0</v>
      </c>
      <c r="Y983" s="252">
        <v>407.59</v>
      </c>
      <c r="Z983" s="252">
        <v>0</v>
      </c>
      <c r="AA983" s="252">
        <v>0</v>
      </c>
      <c r="AB983" s="252">
        <v>106.51</v>
      </c>
      <c r="AC983" s="252">
        <v>0</v>
      </c>
      <c r="AD983" s="252">
        <v>0</v>
      </c>
      <c r="AE983" s="259" t="s">
        <v>20</v>
      </c>
      <c r="AF983" s="259" t="s">
        <v>718</v>
      </c>
      <c r="AG983" s="259">
        <f>+O983*M983/100</f>
        <v>0</v>
      </c>
      <c r="AH983" s="259">
        <f>+P983*M983/100</f>
        <v>0</v>
      </c>
      <c r="AI983" s="259">
        <f>+AB983*M983/100</f>
        <v>0</v>
      </c>
      <c r="AJ983" s="259">
        <f>+AG983+AH983+AI983</f>
        <v>0</v>
      </c>
    </row>
    <row r="984" spans="1:36" x14ac:dyDescent="0.2">
      <c r="A984" s="253" t="str">
        <f t="shared" si="80"/>
        <v>TYCF107A6230</v>
      </c>
      <c r="B984" s="252" t="s">
        <v>265</v>
      </c>
      <c r="C984" s="252" t="s">
        <v>28</v>
      </c>
      <c r="D984" s="252" t="s">
        <v>2474</v>
      </c>
      <c r="E984" s="252" t="s">
        <v>2475</v>
      </c>
      <c r="F984" s="252" t="s">
        <v>2507</v>
      </c>
      <c r="G984" s="252">
        <v>30</v>
      </c>
      <c r="H984" s="252" t="s">
        <v>928</v>
      </c>
      <c r="I984" s="252" t="s">
        <v>928</v>
      </c>
      <c r="J984" s="252" t="s">
        <v>928</v>
      </c>
      <c r="K984" s="252" t="s">
        <v>3236</v>
      </c>
      <c r="L984" s="252">
        <v>514.1</v>
      </c>
      <c r="M984" s="252">
        <v>0</v>
      </c>
      <c r="N984" s="252">
        <v>0</v>
      </c>
      <c r="O984" s="252">
        <v>0</v>
      </c>
      <c r="P984" s="252">
        <v>0</v>
      </c>
      <c r="Q984" s="252">
        <v>0</v>
      </c>
      <c r="R984" s="252">
        <v>0</v>
      </c>
      <c r="S984" s="252">
        <v>0</v>
      </c>
      <c r="T984" s="252">
        <v>0</v>
      </c>
      <c r="U984" s="252">
        <v>0</v>
      </c>
      <c r="V984" s="252">
        <v>0</v>
      </c>
      <c r="W984" s="252">
        <v>0</v>
      </c>
      <c r="X984" s="252">
        <v>0</v>
      </c>
      <c r="Y984" s="252">
        <v>407.59</v>
      </c>
      <c r="Z984" s="252">
        <v>0</v>
      </c>
      <c r="AA984" s="252">
        <v>0</v>
      </c>
      <c r="AB984" s="252">
        <v>106.51</v>
      </c>
      <c r="AC984" s="252">
        <v>0</v>
      </c>
      <c r="AD984" s="252">
        <v>0</v>
      </c>
      <c r="AE984" s="259" t="s">
        <v>20</v>
      </c>
      <c r="AF984" s="259" t="s">
        <v>718</v>
      </c>
      <c r="AG984" s="259">
        <f>+O984*M984/100</f>
        <v>0</v>
      </c>
      <c r="AH984" s="259">
        <f>+P984*M984/100</f>
        <v>0</v>
      </c>
      <c r="AI984" s="259">
        <f>+AB984*M984/100</f>
        <v>0</v>
      </c>
      <c r="AJ984" s="259">
        <f>+AG984+AH984+AI984</f>
        <v>0</v>
      </c>
    </row>
    <row r="985" spans="1:36" x14ac:dyDescent="0.2">
      <c r="A985" s="253" t="str">
        <f t="shared" si="80"/>
        <v>2TYCF107A8230</v>
      </c>
      <c r="B985" s="252" t="s">
        <v>265</v>
      </c>
      <c r="C985" s="252" t="s">
        <v>28</v>
      </c>
      <c r="D985" s="252" t="s">
        <v>2474</v>
      </c>
      <c r="E985" s="252" t="s">
        <v>2475</v>
      </c>
      <c r="F985" s="252" t="s">
        <v>2666</v>
      </c>
      <c r="G985" s="252">
        <v>30</v>
      </c>
      <c r="H985" s="252" t="s">
        <v>928</v>
      </c>
      <c r="I985" s="252" t="s">
        <v>2477</v>
      </c>
      <c r="J985" s="252" t="s">
        <v>928</v>
      </c>
      <c r="K985" s="252" t="s">
        <v>3236</v>
      </c>
      <c r="L985" s="252">
        <v>545.12</v>
      </c>
      <c r="M985" s="252">
        <v>0</v>
      </c>
      <c r="N985" s="252">
        <v>0</v>
      </c>
      <c r="O985" s="252">
        <v>0</v>
      </c>
      <c r="P985" s="252">
        <v>0</v>
      </c>
      <c r="Q985" s="252">
        <v>0</v>
      </c>
      <c r="R985" s="252">
        <v>0</v>
      </c>
      <c r="S985" s="252">
        <v>0</v>
      </c>
      <c r="T985" s="252">
        <v>0</v>
      </c>
      <c r="U985" s="252">
        <v>0</v>
      </c>
      <c r="V985" s="252">
        <v>0</v>
      </c>
      <c r="W985" s="252">
        <v>0</v>
      </c>
      <c r="X985" s="252">
        <v>0</v>
      </c>
      <c r="Y985" s="252">
        <v>429.22</v>
      </c>
      <c r="Z985" s="252">
        <v>0</v>
      </c>
      <c r="AA985" s="252">
        <v>0</v>
      </c>
      <c r="AB985" s="252">
        <v>115.9</v>
      </c>
      <c r="AC985" s="252">
        <v>0</v>
      </c>
      <c r="AD985" s="252">
        <v>0</v>
      </c>
      <c r="AE985" s="259" t="s">
        <v>20</v>
      </c>
      <c r="AF985" s="259" t="s">
        <v>718</v>
      </c>
      <c r="AG985" s="259">
        <f>+O985*M985/100</f>
        <v>0</v>
      </c>
      <c r="AH985" s="259">
        <f>+P985*M985/100</f>
        <v>0</v>
      </c>
      <c r="AI985" s="259">
        <f>+AB985*M985/100</f>
        <v>0</v>
      </c>
      <c r="AJ985" s="259">
        <f>+AG985+AH985+AI985</f>
        <v>0</v>
      </c>
    </row>
    <row r="986" spans="1:36" x14ac:dyDescent="0.2">
      <c r="A986" s="253" t="str">
        <f t="shared" si="80"/>
        <v>TYCF107A8230</v>
      </c>
      <c r="B986" s="252" t="s">
        <v>265</v>
      </c>
      <c r="C986" s="252" t="s">
        <v>28</v>
      </c>
      <c r="D986" s="252" t="s">
        <v>2474</v>
      </c>
      <c r="E986" s="252" t="s">
        <v>2475</v>
      </c>
      <c r="F986" s="252" t="s">
        <v>2666</v>
      </c>
      <c r="G986" s="252">
        <v>30</v>
      </c>
      <c r="H986" s="252" t="s">
        <v>928</v>
      </c>
      <c r="I986" s="252" t="s">
        <v>928</v>
      </c>
      <c r="J986" s="252" t="s">
        <v>928</v>
      </c>
      <c r="K986" s="252" t="s">
        <v>3236</v>
      </c>
      <c r="L986" s="252">
        <v>545.12</v>
      </c>
      <c r="M986" s="252">
        <v>0</v>
      </c>
      <c r="N986" s="252">
        <v>0</v>
      </c>
      <c r="O986" s="252">
        <v>0</v>
      </c>
      <c r="P986" s="252">
        <v>0</v>
      </c>
      <c r="Q986" s="252">
        <v>0</v>
      </c>
      <c r="R986" s="252">
        <v>0</v>
      </c>
      <c r="S986" s="252">
        <v>0</v>
      </c>
      <c r="T986" s="252">
        <v>0</v>
      </c>
      <c r="U986" s="252">
        <v>0</v>
      </c>
      <c r="V986" s="252">
        <v>0</v>
      </c>
      <c r="W986" s="252">
        <v>0</v>
      </c>
      <c r="X986" s="252">
        <v>0</v>
      </c>
      <c r="Y986" s="252">
        <v>429.22</v>
      </c>
      <c r="Z986" s="252">
        <v>0</v>
      </c>
      <c r="AA986" s="252">
        <v>0</v>
      </c>
      <c r="AB986" s="252">
        <v>115.9</v>
      </c>
      <c r="AC986" s="252">
        <v>0</v>
      </c>
      <c r="AD986" s="252">
        <v>0</v>
      </c>
      <c r="AE986" s="252" t="s">
        <v>20</v>
      </c>
      <c r="AF986" s="252" t="s">
        <v>718</v>
      </c>
      <c r="AG986" s="252">
        <f t="shared" ref="AG986:AG1002" si="81">+O986*M986/100</f>
        <v>0</v>
      </c>
      <c r="AH986" s="252">
        <f t="shared" ref="AH986:AH1002" si="82">+P986*M986/100</f>
        <v>0</v>
      </c>
      <c r="AI986" s="252">
        <f t="shared" ref="AI986:AI1002" si="83">+AB986*M986/100</f>
        <v>0</v>
      </c>
      <c r="AJ986" s="252">
        <f t="shared" ref="AJ986:AJ1002" si="84">+AG986+AH986+AI986</f>
        <v>0</v>
      </c>
    </row>
    <row r="987" spans="1:36" x14ac:dyDescent="0.2">
      <c r="A987" s="253" t="str">
        <f t="shared" si="80"/>
        <v>2TYCF10A52130</v>
      </c>
      <c r="B987" s="252" t="s">
        <v>265</v>
      </c>
      <c r="C987" s="252" t="s">
        <v>28</v>
      </c>
      <c r="D987" s="252" t="s">
        <v>2474</v>
      </c>
      <c r="E987" s="252" t="s">
        <v>2475</v>
      </c>
      <c r="F987" s="252" t="s">
        <v>2512</v>
      </c>
      <c r="G987" s="252">
        <v>30</v>
      </c>
      <c r="H987" s="252" t="s">
        <v>928</v>
      </c>
      <c r="I987" s="252" t="s">
        <v>2477</v>
      </c>
      <c r="J987" s="252" t="s">
        <v>928</v>
      </c>
      <c r="K987" s="252" t="s">
        <v>3236</v>
      </c>
      <c r="L987" s="252">
        <v>987.02</v>
      </c>
      <c r="M987" s="252">
        <v>0</v>
      </c>
      <c r="N987" s="252">
        <v>0</v>
      </c>
      <c r="O987" s="252">
        <v>0</v>
      </c>
      <c r="P987" s="252">
        <v>0</v>
      </c>
      <c r="Q987" s="252">
        <v>0</v>
      </c>
      <c r="R987" s="252">
        <v>0</v>
      </c>
      <c r="S987" s="252">
        <v>0</v>
      </c>
      <c r="T987" s="252">
        <v>0</v>
      </c>
      <c r="U987" s="252">
        <v>0</v>
      </c>
      <c r="V987" s="252">
        <v>0</v>
      </c>
      <c r="W987" s="252">
        <v>0</v>
      </c>
      <c r="X987" s="252">
        <v>0</v>
      </c>
      <c r="Y987" s="252">
        <v>676.45</v>
      </c>
      <c r="Z987" s="252">
        <v>0</v>
      </c>
      <c r="AA987" s="252">
        <v>0</v>
      </c>
      <c r="AB987" s="252">
        <v>310.58</v>
      </c>
      <c r="AC987" s="252">
        <v>0</v>
      </c>
      <c r="AD987" s="252">
        <v>0</v>
      </c>
      <c r="AE987" s="252" t="s">
        <v>20</v>
      </c>
      <c r="AF987" s="252" t="s">
        <v>718</v>
      </c>
      <c r="AG987" s="252">
        <f t="shared" si="81"/>
        <v>0</v>
      </c>
      <c r="AH987" s="252">
        <f t="shared" si="82"/>
        <v>0</v>
      </c>
      <c r="AI987" s="252">
        <f t="shared" si="83"/>
        <v>0</v>
      </c>
      <c r="AJ987" s="252">
        <f t="shared" si="84"/>
        <v>0</v>
      </c>
    </row>
    <row r="988" spans="1:36" x14ac:dyDescent="0.2">
      <c r="A988" s="253" t="str">
        <f t="shared" si="80"/>
        <v>TYCF10A52130</v>
      </c>
      <c r="B988" s="252" t="s">
        <v>265</v>
      </c>
      <c r="C988" s="252" t="s">
        <v>28</v>
      </c>
      <c r="D988" s="252" t="s">
        <v>2474</v>
      </c>
      <c r="E988" s="252" t="s">
        <v>2475</v>
      </c>
      <c r="F988" s="252" t="s">
        <v>2512</v>
      </c>
      <c r="G988" s="252">
        <v>30</v>
      </c>
      <c r="H988" s="252" t="s">
        <v>928</v>
      </c>
      <c r="I988" s="252" t="s">
        <v>928</v>
      </c>
      <c r="J988" s="252" t="s">
        <v>928</v>
      </c>
      <c r="K988" s="252" t="s">
        <v>3236</v>
      </c>
      <c r="L988" s="252">
        <v>987.02</v>
      </c>
      <c r="M988" s="252">
        <v>0</v>
      </c>
      <c r="N988" s="252">
        <v>0</v>
      </c>
      <c r="O988" s="252">
        <v>0</v>
      </c>
      <c r="P988" s="252">
        <v>0</v>
      </c>
      <c r="Q988" s="252">
        <v>0</v>
      </c>
      <c r="R988" s="252">
        <v>0</v>
      </c>
      <c r="S988" s="252">
        <v>0</v>
      </c>
      <c r="T988" s="252">
        <v>0</v>
      </c>
      <c r="U988" s="252">
        <v>0</v>
      </c>
      <c r="V988" s="252">
        <v>0</v>
      </c>
      <c r="W988" s="252">
        <v>0</v>
      </c>
      <c r="X988" s="252">
        <v>0</v>
      </c>
      <c r="Y988" s="252">
        <v>676.45</v>
      </c>
      <c r="Z988" s="252">
        <v>0</v>
      </c>
      <c r="AA988" s="252">
        <v>0</v>
      </c>
      <c r="AB988" s="252">
        <v>310.58</v>
      </c>
      <c r="AC988" s="252">
        <v>0</v>
      </c>
      <c r="AD988" s="252">
        <v>0</v>
      </c>
      <c r="AE988" s="252" t="s">
        <v>20</v>
      </c>
      <c r="AF988" s="252" t="s">
        <v>718</v>
      </c>
      <c r="AG988" s="252">
        <f t="shared" si="81"/>
        <v>0</v>
      </c>
      <c r="AH988" s="252">
        <f t="shared" si="82"/>
        <v>0</v>
      </c>
      <c r="AI988" s="252">
        <f t="shared" si="83"/>
        <v>0</v>
      </c>
      <c r="AJ988" s="252">
        <f t="shared" si="84"/>
        <v>0</v>
      </c>
    </row>
    <row r="989" spans="1:36" x14ac:dyDescent="0.2">
      <c r="A989" s="253" t="str">
        <f t="shared" si="80"/>
        <v>2TYCF10CF588140</v>
      </c>
      <c r="B989" s="252" t="s">
        <v>265</v>
      </c>
      <c r="C989" s="252" t="s">
        <v>28</v>
      </c>
      <c r="D989" s="252" t="s">
        <v>2474</v>
      </c>
      <c r="E989" s="252" t="s">
        <v>2475</v>
      </c>
      <c r="F989" s="252" t="s">
        <v>2669</v>
      </c>
      <c r="G989" s="252">
        <v>140</v>
      </c>
      <c r="H989" s="252" t="s">
        <v>928</v>
      </c>
      <c r="I989" s="252" t="s">
        <v>2477</v>
      </c>
      <c r="J989" s="252" t="s">
        <v>928</v>
      </c>
      <c r="K989" s="252" t="s">
        <v>3236</v>
      </c>
      <c r="L989" s="252">
        <v>720.37</v>
      </c>
      <c r="M989" s="252">
        <v>0</v>
      </c>
      <c r="N989" s="252">
        <v>0</v>
      </c>
      <c r="O989" s="252">
        <v>0</v>
      </c>
      <c r="P989" s="252">
        <v>0</v>
      </c>
      <c r="Q989" s="252">
        <v>0</v>
      </c>
      <c r="R989" s="252">
        <v>0</v>
      </c>
      <c r="S989" s="252">
        <v>0</v>
      </c>
      <c r="T989" s="252">
        <v>0</v>
      </c>
      <c r="U989" s="252">
        <v>0</v>
      </c>
      <c r="V989" s="252">
        <v>0</v>
      </c>
      <c r="W989" s="252">
        <v>0</v>
      </c>
      <c r="X989" s="252">
        <v>0</v>
      </c>
      <c r="Y989" s="252">
        <v>597.58000000000004</v>
      </c>
      <c r="Z989" s="252">
        <v>0</v>
      </c>
      <c r="AA989" s="252">
        <v>0</v>
      </c>
      <c r="AB989" s="252">
        <v>122.79</v>
      </c>
      <c r="AC989" s="252">
        <v>0</v>
      </c>
      <c r="AD989" s="252">
        <v>0</v>
      </c>
      <c r="AE989" s="252" t="s">
        <v>20</v>
      </c>
      <c r="AF989" s="252" t="s">
        <v>718</v>
      </c>
      <c r="AG989" s="252">
        <f t="shared" si="81"/>
        <v>0</v>
      </c>
      <c r="AH989" s="252">
        <f t="shared" si="82"/>
        <v>0</v>
      </c>
      <c r="AI989" s="252">
        <f t="shared" si="83"/>
        <v>0</v>
      </c>
      <c r="AJ989" s="252">
        <f t="shared" si="84"/>
        <v>0</v>
      </c>
    </row>
    <row r="990" spans="1:36" x14ac:dyDescent="0.2">
      <c r="A990" s="253" t="str">
        <f t="shared" si="80"/>
        <v>TYCF10CF588140</v>
      </c>
      <c r="B990" s="252" t="s">
        <v>265</v>
      </c>
      <c r="C990" s="252" t="s">
        <v>28</v>
      </c>
      <c r="D990" s="252" t="s">
        <v>2474</v>
      </c>
      <c r="E990" s="252" t="s">
        <v>2475</v>
      </c>
      <c r="F990" s="252" t="s">
        <v>2669</v>
      </c>
      <c r="G990" s="252">
        <v>140</v>
      </c>
      <c r="H990" s="252" t="s">
        <v>928</v>
      </c>
      <c r="I990" s="252" t="s">
        <v>928</v>
      </c>
      <c r="J990" s="252" t="s">
        <v>928</v>
      </c>
      <c r="K990" s="252" t="s">
        <v>3236</v>
      </c>
      <c r="L990" s="252">
        <v>720.37</v>
      </c>
      <c r="M990" s="252">
        <v>0</v>
      </c>
      <c r="N990" s="252">
        <v>0</v>
      </c>
      <c r="O990" s="252">
        <v>0</v>
      </c>
      <c r="P990" s="252">
        <v>0</v>
      </c>
      <c r="Q990" s="252">
        <v>0</v>
      </c>
      <c r="R990" s="252">
        <v>0</v>
      </c>
      <c r="S990" s="252">
        <v>0</v>
      </c>
      <c r="T990" s="252">
        <v>0</v>
      </c>
      <c r="U990" s="252">
        <v>0</v>
      </c>
      <c r="V990" s="252">
        <v>0</v>
      </c>
      <c r="W990" s="252">
        <v>0</v>
      </c>
      <c r="X990" s="252">
        <v>0</v>
      </c>
      <c r="Y990" s="252">
        <v>597.58000000000004</v>
      </c>
      <c r="Z990" s="252">
        <v>0</v>
      </c>
      <c r="AA990" s="252">
        <v>0</v>
      </c>
      <c r="AB990" s="252">
        <v>122.79</v>
      </c>
      <c r="AC990" s="252">
        <v>0</v>
      </c>
      <c r="AD990" s="252">
        <v>0</v>
      </c>
      <c r="AE990" s="252" t="s">
        <v>20</v>
      </c>
      <c r="AF990" s="252" t="s">
        <v>718</v>
      </c>
      <c r="AG990" s="252">
        <f t="shared" si="81"/>
        <v>0</v>
      </c>
      <c r="AH990" s="252">
        <f t="shared" si="82"/>
        <v>0</v>
      </c>
      <c r="AI990" s="252">
        <f t="shared" si="83"/>
        <v>0</v>
      </c>
      <c r="AJ990" s="252">
        <f t="shared" si="84"/>
        <v>0</v>
      </c>
    </row>
    <row r="991" spans="1:36" x14ac:dyDescent="0.2">
      <c r="A991" s="253" t="str">
        <f t="shared" si="80"/>
        <v>2TYCF10CF62580</v>
      </c>
      <c r="B991" s="252" t="s">
        <v>265</v>
      </c>
      <c r="C991" s="252" t="s">
        <v>28</v>
      </c>
      <c r="D991" s="252" t="s">
        <v>2474</v>
      </c>
      <c r="E991" s="252" t="s">
        <v>2475</v>
      </c>
      <c r="F991" s="252" t="s">
        <v>2673</v>
      </c>
      <c r="G991" s="252">
        <v>80</v>
      </c>
      <c r="H991" s="252" t="s">
        <v>928</v>
      </c>
      <c r="I991" s="252" t="s">
        <v>2477</v>
      </c>
      <c r="J991" s="252" t="s">
        <v>928</v>
      </c>
      <c r="K991" s="252" t="s">
        <v>3236</v>
      </c>
      <c r="L991" s="252">
        <v>1055.25</v>
      </c>
      <c r="M991" s="252">
        <v>0</v>
      </c>
      <c r="N991" s="252">
        <v>0</v>
      </c>
      <c r="O991" s="252">
        <v>0</v>
      </c>
      <c r="P991" s="252">
        <v>0</v>
      </c>
      <c r="Q991" s="252">
        <v>0</v>
      </c>
      <c r="R991" s="252">
        <v>0</v>
      </c>
      <c r="S991" s="252">
        <v>0</v>
      </c>
      <c r="T991" s="252">
        <v>0</v>
      </c>
      <c r="U991" s="252">
        <v>0</v>
      </c>
      <c r="V991" s="252">
        <v>0</v>
      </c>
      <c r="W991" s="252">
        <v>0</v>
      </c>
      <c r="X991" s="252">
        <v>0</v>
      </c>
      <c r="Y991" s="252">
        <v>901.19</v>
      </c>
      <c r="Z991" s="252">
        <v>0</v>
      </c>
      <c r="AA991" s="252">
        <v>0</v>
      </c>
      <c r="AB991" s="252">
        <v>154.06</v>
      </c>
      <c r="AC991" s="252">
        <v>0</v>
      </c>
      <c r="AD991" s="252">
        <v>0</v>
      </c>
      <c r="AE991" s="252" t="s">
        <v>20</v>
      </c>
      <c r="AF991" s="252" t="s">
        <v>718</v>
      </c>
      <c r="AG991" s="252">
        <f t="shared" si="81"/>
        <v>0</v>
      </c>
      <c r="AH991" s="252">
        <f t="shared" si="82"/>
        <v>0</v>
      </c>
      <c r="AI991" s="252">
        <f t="shared" si="83"/>
        <v>0</v>
      </c>
      <c r="AJ991" s="252">
        <f t="shared" si="84"/>
        <v>0</v>
      </c>
    </row>
    <row r="992" spans="1:36" x14ac:dyDescent="0.2">
      <c r="A992" s="253" t="str">
        <f>I992&amp;B992&amp;C992&amp;D992&amp;F992&amp;G992</f>
        <v>TYCF10CF62580</v>
      </c>
      <c r="B992" s="252" t="s">
        <v>265</v>
      </c>
      <c r="C992" s="252" t="s">
        <v>28</v>
      </c>
      <c r="D992" s="252" t="s">
        <v>2474</v>
      </c>
      <c r="E992" s="252" t="s">
        <v>2475</v>
      </c>
      <c r="F992" s="252" t="s">
        <v>2673</v>
      </c>
      <c r="G992" s="252">
        <v>80</v>
      </c>
      <c r="H992" s="252" t="s">
        <v>928</v>
      </c>
      <c r="I992" s="252" t="s">
        <v>928</v>
      </c>
      <c r="J992" s="252" t="s">
        <v>928</v>
      </c>
      <c r="K992" s="252" t="s">
        <v>3236</v>
      </c>
      <c r="L992" s="252">
        <v>1055.25</v>
      </c>
      <c r="M992" s="252">
        <v>0</v>
      </c>
      <c r="N992" s="252">
        <v>0</v>
      </c>
      <c r="O992" s="252">
        <v>0</v>
      </c>
      <c r="P992" s="252">
        <v>0</v>
      </c>
      <c r="Q992" s="252">
        <v>0</v>
      </c>
      <c r="R992" s="252">
        <v>0</v>
      </c>
      <c r="S992" s="252">
        <v>0</v>
      </c>
      <c r="T992" s="252">
        <v>0</v>
      </c>
      <c r="U992" s="252">
        <v>0</v>
      </c>
      <c r="V992" s="252">
        <v>0</v>
      </c>
      <c r="W992" s="252">
        <v>0</v>
      </c>
      <c r="X992" s="252">
        <v>0</v>
      </c>
      <c r="Y992" s="252">
        <v>901.19</v>
      </c>
      <c r="Z992" s="252">
        <v>0</v>
      </c>
      <c r="AA992" s="252">
        <v>0</v>
      </c>
      <c r="AB992" s="252">
        <v>154.06</v>
      </c>
      <c r="AC992" s="252">
        <v>0</v>
      </c>
      <c r="AD992" s="252">
        <v>0</v>
      </c>
      <c r="AE992" s="252" t="s">
        <v>20</v>
      </c>
      <c r="AF992" s="252" t="s">
        <v>718</v>
      </c>
      <c r="AG992" s="252">
        <f t="shared" si="81"/>
        <v>0</v>
      </c>
      <c r="AH992" s="252">
        <f t="shared" si="82"/>
        <v>0</v>
      </c>
      <c r="AI992" s="252">
        <f t="shared" si="83"/>
        <v>0</v>
      </c>
      <c r="AJ992" s="252">
        <f t="shared" si="84"/>
        <v>0</v>
      </c>
    </row>
    <row r="993" spans="1:36" x14ac:dyDescent="0.2">
      <c r="A993" s="253" t="str">
        <f t="shared" si="80"/>
        <v>2TYCF10CF62680</v>
      </c>
      <c r="B993" s="252" t="s">
        <v>265</v>
      </c>
      <c r="C993" s="252" t="s">
        <v>28</v>
      </c>
      <c r="D993" s="252" t="s">
        <v>2474</v>
      </c>
      <c r="E993" s="252" t="s">
        <v>2475</v>
      </c>
      <c r="F993" s="252" t="s">
        <v>2674</v>
      </c>
      <c r="G993" s="252">
        <v>80</v>
      </c>
      <c r="H993" s="252" t="s">
        <v>928</v>
      </c>
      <c r="I993" s="252" t="s">
        <v>2477</v>
      </c>
      <c r="J993" s="252" t="s">
        <v>928</v>
      </c>
      <c r="K993" s="252" t="s">
        <v>3236</v>
      </c>
      <c r="L993" s="252">
        <v>1244.98</v>
      </c>
      <c r="M993" s="252">
        <v>0</v>
      </c>
      <c r="N993" s="252">
        <v>0</v>
      </c>
      <c r="O993" s="252">
        <v>0</v>
      </c>
      <c r="P993" s="252">
        <v>0</v>
      </c>
      <c r="Q993" s="252">
        <v>0</v>
      </c>
      <c r="R993" s="252">
        <v>0</v>
      </c>
      <c r="S993" s="252">
        <v>0</v>
      </c>
      <c r="T993" s="252">
        <v>0</v>
      </c>
      <c r="U993" s="252">
        <v>0</v>
      </c>
      <c r="V993" s="252">
        <v>0</v>
      </c>
      <c r="W993" s="252">
        <v>0</v>
      </c>
      <c r="X993" s="252">
        <v>0</v>
      </c>
      <c r="Y993" s="252">
        <v>1121.04</v>
      </c>
      <c r="Z993" s="252">
        <v>0</v>
      </c>
      <c r="AA993" s="252">
        <v>0</v>
      </c>
      <c r="AB993" s="252">
        <v>123.94</v>
      </c>
      <c r="AC993" s="252">
        <v>0</v>
      </c>
      <c r="AD993" s="252">
        <v>0</v>
      </c>
      <c r="AE993" s="252" t="s">
        <v>720</v>
      </c>
      <c r="AF993" s="252" t="s">
        <v>721</v>
      </c>
      <c r="AG993" s="252">
        <f t="shared" si="81"/>
        <v>0</v>
      </c>
      <c r="AH993" s="252">
        <f t="shared" si="82"/>
        <v>0</v>
      </c>
      <c r="AI993" s="252">
        <f t="shared" si="83"/>
        <v>0</v>
      </c>
      <c r="AJ993" s="252">
        <f t="shared" si="84"/>
        <v>0</v>
      </c>
    </row>
    <row r="994" spans="1:36" x14ac:dyDescent="0.2">
      <c r="A994" s="253" t="str">
        <f t="shared" si="80"/>
        <v>TYCF10CF62680</v>
      </c>
      <c r="B994" s="252" t="s">
        <v>265</v>
      </c>
      <c r="C994" s="252" t="s">
        <v>28</v>
      </c>
      <c r="D994" s="252" t="s">
        <v>2474</v>
      </c>
      <c r="E994" s="252" t="s">
        <v>2475</v>
      </c>
      <c r="F994" s="252" t="s">
        <v>2674</v>
      </c>
      <c r="G994" s="252">
        <v>80</v>
      </c>
      <c r="H994" s="252" t="s">
        <v>928</v>
      </c>
      <c r="I994" s="252" t="s">
        <v>928</v>
      </c>
      <c r="J994" s="252" t="s">
        <v>928</v>
      </c>
      <c r="K994" s="252" t="s">
        <v>3236</v>
      </c>
      <c r="L994" s="252">
        <v>1244.98</v>
      </c>
      <c r="M994" s="252">
        <v>0</v>
      </c>
      <c r="N994" s="252">
        <v>0</v>
      </c>
      <c r="O994" s="252">
        <v>0</v>
      </c>
      <c r="P994" s="252">
        <v>0</v>
      </c>
      <c r="Q994" s="252">
        <v>0</v>
      </c>
      <c r="R994" s="252">
        <v>0</v>
      </c>
      <c r="S994" s="252">
        <v>0</v>
      </c>
      <c r="T994" s="252">
        <v>0</v>
      </c>
      <c r="U994" s="252">
        <v>0</v>
      </c>
      <c r="V994" s="252">
        <v>0</v>
      </c>
      <c r="W994" s="252">
        <v>0</v>
      </c>
      <c r="X994" s="252">
        <v>0</v>
      </c>
      <c r="Y994" s="252">
        <v>1121.04</v>
      </c>
      <c r="Z994" s="252">
        <v>0</v>
      </c>
      <c r="AA994" s="252">
        <v>0</v>
      </c>
      <c r="AB994" s="252">
        <v>123.94</v>
      </c>
      <c r="AC994" s="252">
        <v>0</v>
      </c>
      <c r="AD994" s="252">
        <v>0</v>
      </c>
      <c r="AE994" s="252" t="s">
        <v>720</v>
      </c>
      <c r="AF994" s="252" t="s">
        <v>721</v>
      </c>
      <c r="AG994" s="252">
        <f t="shared" si="81"/>
        <v>0</v>
      </c>
      <c r="AH994" s="252">
        <f t="shared" si="82"/>
        <v>0</v>
      </c>
      <c r="AI994" s="252">
        <f t="shared" si="83"/>
        <v>0</v>
      </c>
      <c r="AJ994" s="252">
        <f t="shared" si="84"/>
        <v>0</v>
      </c>
    </row>
    <row r="995" spans="1:36" x14ac:dyDescent="0.2">
      <c r="A995" s="253" t="str">
        <f t="shared" si="80"/>
        <v>2TYCF10CF633A25</v>
      </c>
      <c r="B995" s="252" t="s">
        <v>265</v>
      </c>
      <c r="C995" s="252" t="s">
        <v>28</v>
      </c>
      <c r="D995" s="252" t="s">
        <v>2474</v>
      </c>
      <c r="E995" s="252" t="s">
        <v>2475</v>
      </c>
      <c r="F995" s="252" t="s">
        <v>2706</v>
      </c>
      <c r="G995" s="252">
        <v>25</v>
      </c>
      <c r="H995" s="252" t="s">
        <v>928</v>
      </c>
      <c r="I995" s="252" t="s">
        <v>2477</v>
      </c>
      <c r="J995" s="252" t="s">
        <v>928</v>
      </c>
      <c r="K995" s="252" t="s">
        <v>3236</v>
      </c>
      <c r="L995" s="252">
        <v>841.79</v>
      </c>
      <c r="M995" s="252">
        <v>0</v>
      </c>
      <c r="N995" s="252">
        <v>0</v>
      </c>
      <c r="O995" s="252">
        <v>0</v>
      </c>
      <c r="P995" s="252">
        <v>0</v>
      </c>
      <c r="Q995" s="252">
        <v>0</v>
      </c>
      <c r="R995" s="252">
        <v>0</v>
      </c>
      <c r="S995" s="252">
        <v>0</v>
      </c>
      <c r="T995" s="252">
        <v>0</v>
      </c>
      <c r="U995" s="252">
        <v>0</v>
      </c>
      <c r="V995" s="252">
        <v>0</v>
      </c>
      <c r="W995" s="252">
        <v>0</v>
      </c>
      <c r="X995" s="252">
        <v>0</v>
      </c>
      <c r="Y995" s="252">
        <v>720.7</v>
      </c>
      <c r="Z995" s="252">
        <v>0</v>
      </c>
      <c r="AA995" s="252">
        <v>0</v>
      </c>
      <c r="AB995" s="252">
        <v>121.09</v>
      </c>
      <c r="AC995" s="252">
        <v>0</v>
      </c>
      <c r="AD995" s="252">
        <v>0</v>
      </c>
      <c r="AE995" s="252" t="s">
        <v>720</v>
      </c>
      <c r="AF995" s="252" t="s">
        <v>721</v>
      </c>
      <c r="AG995" s="252">
        <f t="shared" si="81"/>
        <v>0</v>
      </c>
      <c r="AH995" s="252">
        <f t="shared" si="82"/>
        <v>0</v>
      </c>
      <c r="AI995" s="252">
        <f t="shared" si="83"/>
        <v>0</v>
      </c>
      <c r="AJ995" s="252">
        <f t="shared" si="84"/>
        <v>0</v>
      </c>
    </row>
    <row r="996" spans="1:36" x14ac:dyDescent="0.2">
      <c r="A996" s="253" t="str">
        <f t="shared" si="80"/>
        <v>TYCF10CF633A25</v>
      </c>
      <c r="B996" s="252" t="s">
        <v>265</v>
      </c>
      <c r="C996" s="252" t="s">
        <v>28</v>
      </c>
      <c r="D996" s="252" t="s">
        <v>2474</v>
      </c>
      <c r="E996" s="252" t="s">
        <v>2475</v>
      </c>
      <c r="F996" s="252" t="s">
        <v>2706</v>
      </c>
      <c r="G996" s="252">
        <v>25</v>
      </c>
      <c r="H996" s="252" t="s">
        <v>928</v>
      </c>
      <c r="I996" s="252" t="s">
        <v>928</v>
      </c>
      <c r="J996" s="252" t="s">
        <v>928</v>
      </c>
      <c r="K996" s="252" t="s">
        <v>3236</v>
      </c>
      <c r="L996" s="252">
        <v>841.79</v>
      </c>
      <c r="M996" s="252">
        <v>0</v>
      </c>
      <c r="N996" s="252">
        <v>0</v>
      </c>
      <c r="O996" s="252">
        <v>0</v>
      </c>
      <c r="P996" s="252">
        <v>0</v>
      </c>
      <c r="Q996" s="252">
        <v>0</v>
      </c>
      <c r="R996" s="252">
        <v>0</v>
      </c>
      <c r="S996" s="252">
        <v>0</v>
      </c>
      <c r="T996" s="252">
        <v>0</v>
      </c>
      <c r="U996" s="252">
        <v>0</v>
      </c>
      <c r="V996" s="252">
        <v>0</v>
      </c>
      <c r="W996" s="252">
        <v>0</v>
      </c>
      <c r="X996" s="252">
        <v>0</v>
      </c>
      <c r="Y996" s="252">
        <v>720.7</v>
      </c>
      <c r="Z996" s="252">
        <v>0</v>
      </c>
      <c r="AA996" s="252">
        <v>0</v>
      </c>
      <c r="AB996" s="252">
        <v>121.09</v>
      </c>
      <c r="AC996" s="252">
        <v>0</v>
      </c>
      <c r="AD996" s="252">
        <v>0</v>
      </c>
      <c r="AE996" s="252" t="s">
        <v>720</v>
      </c>
      <c r="AF996" s="252" t="s">
        <v>721</v>
      </c>
      <c r="AG996" s="252">
        <f t="shared" si="81"/>
        <v>0</v>
      </c>
      <c r="AH996" s="252">
        <f t="shared" si="82"/>
        <v>0</v>
      </c>
      <c r="AI996" s="252">
        <f t="shared" si="83"/>
        <v>0</v>
      </c>
      <c r="AJ996" s="252">
        <f t="shared" si="84"/>
        <v>0</v>
      </c>
    </row>
    <row r="997" spans="1:36" x14ac:dyDescent="0.2">
      <c r="A997" s="253" t="str">
        <f t="shared" si="80"/>
        <v>2TYCF10CF633A45</v>
      </c>
      <c r="B997" s="252" t="s">
        <v>265</v>
      </c>
      <c r="C997" s="252" t="s">
        <v>28</v>
      </c>
      <c r="D997" s="252" t="s">
        <v>2474</v>
      </c>
      <c r="E997" s="252" t="s">
        <v>2475</v>
      </c>
      <c r="F997" s="252" t="s">
        <v>2706</v>
      </c>
      <c r="G997" s="252">
        <v>45</v>
      </c>
      <c r="H997" s="252" t="s">
        <v>928</v>
      </c>
      <c r="I997" s="252" t="s">
        <v>2477</v>
      </c>
      <c r="J997" s="252" t="s">
        <v>928</v>
      </c>
      <c r="K997" s="252" t="s">
        <v>3236</v>
      </c>
      <c r="L997" s="252">
        <v>744.66</v>
      </c>
      <c r="M997" s="252">
        <v>0</v>
      </c>
      <c r="N997" s="252">
        <v>0</v>
      </c>
      <c r="O997" s="252">
        <v>0</v>
      </c>
      <c r="P997" s="252">
        <v>0</v>
      </c>
      <c r="Q997" s="252">
        <v>0</v>
      </c>
      <c r="R997" s="252">
        <v>0</v>
      </c>
      <c r="S997" s="252">
        <v>0</v>
      </c>
      <c r="T997" s="252">
        <v>0</v>
      </c>
      <c r="U997" s="252">
        <v>0</v>
      </c>
      <c r="V997" s="252">
        <v>0</v>
      </c>
      <c r="W997" s="252">
        <v>0</v>
      </c>
      <c r="X997" s="252">
        <v>0</v>
      </c>
      <c r="Y997" s="252">
        <v>613.54</v>
      </c>
      <c r="Z997" s="252">
        <v>0</v>
      </c>
      <c r="AA997" s="252">
        <v>0</v>
      </c>
      <c r="AB997" s="252">
        <v>131.13</v>
      </c>
      <c r="AC997" s="252">
        <v>0</v>
      </c>
      <c r="AD997" s="252">
        <v>0</v>
      </c>
      <c r="AE997" s="252" t="s">
        <v>720</v>
      </c>
      <c r="AF997" s="252" t="s">
        <v>721</v>
      </c>
      <c r="AG997" s="252">
        <f t="shared" si="81"/>
        <v>0</v>
      </c>
      <c r="AH997" s="252">
        <f t="shared" si="82"/>
        <v>0</v>
      </c>
      <c r="AI997" s="252">
        <f t="shared" si="83"/>
        <v>0</v>
      </c>
      <c r="AJ997" s="252">
        <f t="shared" si="84"/>
        <v>0</v>
      </c>
    </row>
    <row r="998" spans="1:36" x14ac:dyDescent="0.2">
      <c r="A998" s="253" t="str">
        <f t="shared" si="80"/>
        <v>TYCF10CF633A45</v>
      </c>
      <c r="B998" s="252" t="s">
        <v>265</v>
      </c>
      <c r="C998" s="252" t="s">
        <v>28</v>
      </c>
      <c r="D998" s="252" t="s">
        <v>2474</v>
      </c>
      <c r="E998" s="252" t="s">
        <v>2475</v>
      </c>
      <c r="F998" s="252" t="s">
        <v>2706</v>
      </c>
      <c r="G998" s="252">
        <v>45</v>
      </c>
      <c r="H998" s="252" t="s">
        <v>928</v>
      </c>
      <c r="I998" s="252" t="s">
        <v>928</v>
      </c>
      <c r="J998" s="252" t="s">
        <v>928</v>
      </c>
      <c r="K998" s="252" t="s">
        <v>3236</v>
      </c>
      <c r="L998" s="252">
        <v>744.66</v>
      </c>
      <c r="M998" s="252">
        <v>0</v>
      </c>
      <c r="N998" s="252">
        <v>0</v>
      </c>
      <c r="O998" s="252">
        <v>0</v>
      </c>
      <c r="P998" s="252">
        <v>0</v>
      </c>
      <c r="Q998" s="252">
        <v>0</v>
      </c>
      <c r="R998" s="252">
        <v>0</v>
      </c>
      <c r="S998" s="252">
        <v>0</v>
      </c>
      <c r="T998" s="252">
        <v>0</v>
      </c>
      <c r="U998" s="252">
        <v>0</v>
      </c>
      <c r="V998" s="252">
        <v>0</v>
      </c>
      <c r="W998" s="252">
        <v>0</v>
      </c>
      <c r="X998" s="252">
        <v>0</v>
      </c>
      <c r="Y998" s="252">
        <v>613.54</v>
      </c>
      <c r="Z998" s="252">
        <v>0</v>
      </c>
      <c r="AA998" s="252">
        <v>0</v>
      </c>
      <c r="AB998" s="252">
        <v>131.13</v>
      </c>
      <c r="AC998" s="252">
        <v>0</v>
      </c>
      <c r="AD998" s="252">
        <v>0</v>
      </c>
      <c r="AE998" s="252" t="s">
        <v>720</v>
      </c>
      <c r="AF998" s="252" t="s">
        <v>721</v>
      </c>
      <c r="AG998" s="252">
        <f t="shared" si="81"/>
        <v>0</v>
      </c>
      <c r="AH998" s="252">
        <f t="shared" si="82"/>
        <v>0</v>
      </c>
      <c r="AI998" s="252">
        <f t="shared" si="83"/>
        <v>0</v>
      </c>
      <c r="AJ998" s="252">
        <f t="shared" si="84"/>
        <v>0</v>
      </c>
    </row>
    <row r="999" spans="1:36" x14ac:dyDescent="0.2">
      <c r="A999" s="253" t="str">
        <f t="shared" si="80"/>
        <v>2TYCF10CF634DB80</v>
      </c>
      <c r="B999" s="252" t="s">
        <v>265</v>
      </c>
      <c r="C999" s="252" t="s">
        <v>28</v>
      </c>
      <c r="D999" s="252" t="s">
        <v>2474</v>
      </c>
      <c r="E999" s="252" t="s">
        <v>2475</v>
      </c>
      <c r="F999" s="252" t="s">
        <v>3246</v>
      </c>
      <c r="G999" s="252">
        <v>80</v>
      </c>
      <c r="H999" s="252" t="s">
        <v>928</v>
      </c>
      <c r="I999" s="252" t="s">
        <v>2477</v>
      </c>
      <c r="J999" s="252" t="s">
        <v>928</v>
      </c>
      <c r="K999" s="252" t="s">
        <v>3236</v>
      </c>
      <c r="L999" s="252">
        <v>1215.83</v>
      </c>
      <c r="M999" s="252">
        <v>0</v>
      </c>
      <c r="N999" s="252">
        <v>0</v>
      </c>
      <c r="O999" s="252">
        <v>0</v>
      </c>
      <c r="P999" s="252">
        <v>0</v>
      </c>
      <c r="Q999" s="252">
        <v>0</v>
      </c>
      <c r="R999" s="252">
        <v>0</v>
      </c>
      <c r="S999" s="252">
        <v>0</v>
      </c>
      <c r="T999" s="252">
        <v>0</v>
      </c>
      <c r="U999" s="252">
        <v>0</v>
      </c>
      <c r="V999" s="252">
        <v>0</v>
      </c>
      <c r="W999" s="252">
        <v>0</v>
      </c>
      <c r="X999" s="252">
        <v>0</v>
      </c>
      <c r="Y999" s="252">
        <v>884.81</v>
      </c>
      <c r="Z999" s="252">
        <v>0</v>
      </c>
      <c r="AA999" s="252">
        <v>0</v>
      </c>
      <c r="AB999" s="252">
        <v>331.02</v>
      </c>
      <c r="AC999" s="252">
        <v>0</v>
      </c>
      <c r="AD999" s="252">
        <v>0</v>
      </c>
      <c r="AE999" s="252" t="s">
        <v>720</v>
      </c>
      <c r="AF999" s="252" t="s">
        <v>721</v>
      </c>
      <c r="AG999" s="252">
        <f t="shared" si="81"/>
        <v>0</v>
      </c>
      <c r="AH999" s="252">
        <f t="shared" si="82"/>
        <v>0</v>
      </c>
      <c r="AI999" s="252">
        <f t="shared" si="83"/>
        <v>0</v>
      </c>
      <c r="AJ999" s="252">
        <f t="shared" si="84"/>
        <v>0</v>
      </c>
    </row>
    <row r="1000" spans="1:36" x14ac:dyDescent="0.2">
      <c r="A1000" s="253" t="str">
        <f t="shared" si="80"/>
        <v>TYCF10CF634DB80</v>
      </c>
      <c r="B1000" s="252" t="s">
        <v>265</v>
      </c>
      <c r="C1000" s="252" t="s">
        <v>28</v>
      </c>
      <c r="D1000" s="252" t="s">
        <v>2474</v>
      </c>
      <c r="E1000" s="252" t="s">
        <v>2475</v>
      </c>
      <c r="F1000" s="252" t="s">
        <v>3246</v>
      </c>
      <c r="G1000" s="252">
        <v>80</v>
      </c>
      <c r="H1000" s="252" t="s">
        <v>928</v>
      </c>
      <c r="I1000" s="252" t="s">
        <v>928</v>
      </c>
      <c r="J1000" s="252" t="s">
        <v>928</v>
      </c>
      <c r="K1000" s="252" t="s">
        <v>3236</v>
      </c>
      <c r="L1000" s="252">
        <v>1215.83</v>
      </c>
      <c r="M1000" s="252">
        <v>0</v>
      </c>
      <c r="N1000" s="252">
        <v>0</v>
      </c>
      <c r="O1000" s="252">
        <v>0</v>
      </c>
      <c r="P1000" s="252">
        <v>0</v>
      </c>
      <c r="Q1000" s="252">
        <v>0</v>
      </c>
      <c r="R1000" s="252">
        <v>0</v>
      </c>
      <c r="S1000" s="252">
        <v>0</v>
      </c>
      <c r="T1000" s="252">
        <v>0</v>
      </c>
      <c r="U1000" s="252">
        <v>0</v>
      </c>
      <c r="V1000" s="252">
        <v>0</v>
      </c>
      <c r="W1000" s="252">
        <v>0</v>
      </c>
      <c r="X1000" s="252">
        <v>0</v>
      </c>
      <c r="Y1000" s="252">
        <v>884.81</v>
      </c>
      <c r="Z1000" s="252">
        <v>0</v>
      </c>
      <c r="AA1000" s="252">
        <v>0</v>
      </c>
      <c r="AB1000" s="252">
        <v>331.02</v>
      </c>
      <c r="AC1000" s="252">
        <v>0</v>
      </c>
      <c r="AD1000" s="252">
        <v>0</v>
      </c>
      <c r="AE1000" s="252" t="s">
        <v>720</v>
      </c>
      <c r="AF1000" s="252" t="s">
        <v>721</v>
      </c>
      <c r="AG1000" s="252">
        <f t="shared" si="81"/>
        <v>0</v>
      </c>
      <c r="AH1000" s="252">
        <f t="shared" si="82"/>
        <v>0</v>
      </c>
      <c r="AI1000" s="252">
        <f t="shared" si="83"/>
        <v>0</v>
      </c>
      <c r="AJ1000" s="252">
        <f t="shared" si="84"/>
        <v>0</v>
      </c>
    </row>
    <row r="1001" spans="1:36" x14ac:dyDescent="0.2">
      <c r="A1001" s="253" t="str">
        <f t="shared" si="80"/>
        <v>72BTYCF10CF634F80</v>
      </c>
      <c r="B1001" s="252" t="s">
        <v>265</v>
      </c>
      <c r="C1001" s="252" t="s">
        <v>28</v>
      </c>
      <c r="D1001" s="252" t="s">
        <v>2474</v>
      </c>
      <c r="E1001" s="252" t="s">
        <v>2475</v>
      </c>
      <c r="F1001" s="252" t="s">
        <v>2707</v>
      </c>
      <c r="G1001" s="252">
        <v>80</v>
      </c>
      <c r="H1001" s="252" t="s">
        <v>928</v>
      </c>
      <c r="I1001" s="252" t="s">
        <v>2681</v>
      </c>
      <c r="J1001" s="252" t="s">
        <v>928</v>
      </c>
      <c r="K1001" s="252" t="s">
        <v>3236</v>
      </c>
      <c r="L1001" s="252">
        <v>908.5</v>
      </c>
      <c r="M1001" s="252">
        <v>100</v>
      </c>
      <c r="N1001" s="252">
        <v>0</v>
      </c>
      <c r="O1001" s="252">
        <v>908.5</v>
      </c>
      <c r="P1001" s="252">
        <v>0</v>
      </c>
      <c r="Q1001" s="252">
        <v>0</v>
      </c>
      <c r="R1001" s="252">
        <v>0</v>
      </c>
      <c r="S1001" s="252">
        <v>0</v>
      </c>
      <c r="T1001" s="252">
        <v>0</v>
      </c>
      <c r="U1001" s="252">
        <v>0</v>
      </c>
      <c r="V1001" s="252">
        <v>0</v>
      </c>
      <c r="W1001" s="252">
        <v>0</v>
      </c>
      <c r="X1001" s="252">
        <v>0</v>
      </c>
      <c r="Y1001" s="252">
        <v>0</v>
      </c>
      <c r="Z1001" s="252">
        <v>0</v>
      </c>
      <c r="AA1001" s="252">
        <v>0</v>
      </c>
      <c r="AB1001" s="252">
        <v>0</v>
      </c>
      <c r="AC1001" s="252">
        <v>0</v>
      </c>
      <c r="AD1001" s="252">
        <v>0</v>
      </c>
      <c r="AE1001" s="252" t="s">
        <v>19</v>
      </c>
      <c r="AF1001" s="252" t="s">
        <v>718</v>
      </c>
      <c r="AG1001" s="252">
        <f t="shared" si="81"/>
        <v>908.5</v>
      </c>
      <c r="AH1001" s="252">
        <f t="shared" si="82"/>
        <v>0</v>
      </c>
      <c r="AI1001" s="252">
        <f t="shared" si="83"/>
        <v>0</v>
      </c>
      <c r="AJ1001" s="252">
        <f t="shared" si="84"/>
        <v>908.5</v>
      </c>
    </row>
    <row r="1002" spans="1:36" x14ac:dyDescent="0.2">
      <c r="A1002" s="253" t="str">
        <f>+TRIM(I1002&amp;B1002&amp;C1002&amp;D1002&amp;F1002&amp;G1002)</f>
        <v>TYCF10CF634F80</v>
      </c>
      <c r="B1002" s="252" t="s">
        <v>265</v>
      </c>
      <c r="C1002" s="252" t="s">
        <v>28</v>
      </c>
      <c r="D1002" s="252" t="s">
        <v>2474</v>
      </c>
      <c r="E1002" s="252" t="s">
        <v>2475</v>
      </c>
      <c r="F1002" s="252" t="s">
        <v>2707</v>
      </c>
      <c r="G1002" s="252">
        <v>80</v>
      </c>
      <c r="H1002" s="252" t="s">
        <v>928</v>
      </c>
      <c r="I1002" s="252" t="s">
        <v>928</v>
      </c>
      <c r="J1002" s="252" t="s">
        <v>928</v>
      </c>
      <c r="K1002" s="252" t="s">
        <v>3236</v>
      </c>
      <c r="L1002" s="252">
        <v>908.5</v>
      </c>
      <c r="M1002" s="252">
        <v>100</v>
      </c>
      <c r="N1002" s="252">
        <v>0</v>
      </c>
      <c r="O1002" s="252">
        <v>908.5</v>
      </c>
      <c r="P1002" s="252">
        <v>0</v>
      </c>
      <c r="Q1002" s="252">
        <v>0</v>
      </c>
      <c r="R1002" s="252">
        <v>0</v>
      </c>
      <c r="S1002" s="252">
        <v>0</v>
      </c>
      <c r="T1002" s="252">
        <v>0</v>
      </c>
      <c r="U1002" s="252">
        <v>0</v>
      </c>
      <c r="V1002" s="252">
        <v>0</v>
      </c>
      <c r="W1002" s="252">
        <v>0</v>
      </c>
      <c r="X1002" s="252">
        <v>0</v>
      </c>
      <c r="Y1002" s="252">
        <v>0</v>
      </c>
      <c r="Z1002" s="252">
        <v>0</v>
      </c>
      <c r="AA1002" s="252">
        <v>0</v>
      </c>
      <c r="AB1002" s="252">
        <v>0</v>
      </c>
      <c r="AC1002" s="252">
        <v>0</v>
      </c>
      <c r="AD1002" s="252">
        <v>0</v>
      </c>
      <c r="AE1002" s="252" t="s">
        <v>19</v>
      </c>
      <c r="AF1002" s="252" t="s">
        <v>718</v>
      </c>
      <c r="AG1002" s="252">
        <f t="shared" si="81"/>
        <v>908.5</v>
      </c>
      <c r="AH1002" s="252">
        <f t="shared" si="82"/>
        <v>0</v>
      </c>
      <c r="AI1002" s="252">
        <f t="shared" si="83"/>
        <v>0</v>
      </c>
      <c r="AJ1002" s="252">
        <f t="shared" si="84"/>
        <v>908.5</v>
      </c>
    </row>
    <row r="1003" spans="1:36" x14ac:dyDescent="0.2">
      <c r="A1003" s="253" t="str">
        <f>+TRIM(I1003&amp;B1003&amp;C1003&amp;D1003&amp;F1003&amp;G1003)</f>
        <v>2TYCF10CF63640</v>
      </c>
      <c r="B1003" s="252" t="s">
        <v>265</v>
      </c>
      <c r="C1003" s="252" t="s">
        <v>28</v>
      </c>
      <c r="D1003" s="252" t="s">
        <v>2474</v>
      </c>
      <c r="E1003" s="252" t="s">
        <v>2475</v>
      </c>
      <c r="F1003" s="252" t="s">
        <v>2708</v>
      </c>
      <c r="G1003" s="252">
        <v>40</v>
      </c>
      <c r="H1003" s="252" t="s">
        <v>928</v>
      </c>
      <c r="I1003" s="252" t="s">
        <v>2477</v>
      </c>
      <c r="J1003" s="252" t="s">
        <v>928</v>
      </c>
      <c r="K1003" s="252" t="s">
        <v>3236</v>
      </c>
      <c r="L1003" s="252">
        <v>707.23</v>
      </c>
      <c r="M1003" s="252">
        <v>0</v>
      </c>
      <c r="N1003" s="252">
        <v>0</v>
      </c>
      <c r="O1003" s="252">
        <v>0</v>
      </c>
      <c r="P1003" s="252">
        <v>0</v>
      </c>
      <c r="Q1003" s="252">
        <v>0</v>
      </c>
      <c r="R1003" s="252">
        <v>0</v>
      </c>
      <c r="S1003" s="252">
        <v>0</v>
      </c>
      <c r="T1003" s="252">
        <v>0</v>
      </c>
      <c r="U1003" s="252">
        <v>0</v>
      </c>
      <c r="V1003" s="252">
        <v>0</v>
      </c>
      <c r="W1003" s="252">
        <v>0</v>
      </c>
      <c r="X1003" s="252">
        <v>0</v>
      </c>
      <c r="Y1003" s="252">
        <v>602.02</v>
      </c>
      <c r="Z1003" s="252">
        <v>0</v>
      </c>
      <c r="AA1003" s="252">
        <v>0</v>
      </c>
      <c r="AB1003" s="252">
        <v>105.21</v>
      </c>
      <c r="AC1003" s="252">
        <v>0</v>
      </c>
      <c r="AD1003" s="252">
        <v>0</v>
      </c>
      <c r="AE1003" s="252" t="s">
        <v>20</v>
      </c>
      <c r="AF1003" s="252" t="s">
        <v>718</v>
      </c>
      <c r="AG1003" s="252">
        <f>+O1003*M1003/100</f>
        <v>0</v>
      </c>
      <c r="AH1003" s="252">
        <f>+P1003*M1003/100</f>
        <v>0</v>
      </c>
      <c r="AI1003" s="252">
        <f>+AB1003*M1003/100</f>
        <v>0</v>
      </c>
      <c r="AJ1003" s="252">
        <f>+AG1003+AH1003+AI1003</f>
        <v>0</v>
      </c>
    </row>
    <row r="1004" spans="1:36" x14ac:dyDescent="0.2">
      <c r="A1004" s="253" t="str">
        <f>TRIM(I1004&amp;B1004&amp;C1004&amp;D1004&amp;F1004&amp;G1004)</f>
        <v>TYCF10CF63640</v>
      </c>
      <c r="B1004" s="252" t="s">
        <v>265</v>
      </c>
      <c r="C1004" s="252" t="s">
        <v>28</v>
      </c>
      <c r="D1004" s="252" t="s">
        <v>2474</v>
      </c>
      <c r="E1004" s="252" t="s">
        <v>2475</v>
      </c>
      <c r="F1004" s="252" t="s">
        <v>2708</v>
      </c>
      <c r="G1004" s="252">
        <v>40</v>
      </c>
      <c r="H1004" s="252" t="s">
        <v>928</v>
      </c>
      <c r="I1004" s="252" t="s">
        <v>928</v>
      </c>
      <c r="J1004" s="252" t="s">
        <v>928</v>
      </c>
      <c r="K1004" s="252" t="s">
        <v>3236</v>
      </c>
      <c r="L1004" s="252">
        <v>707.23</v>
      </c>
      <c r="M1004" s="252">
        <v>0</v>
      </c>
      <c r="N1004" s="252">
        <v>0</v>
      </c>
      <c r="O1004" s="252">
        <v>0</v>
      </c>
      <c r="P1004" s="252">
        <v>0</v>
      </c>
      <c r="Q1004" s="252">
        <v>0</v>
      </c>
      <c r="R1004" s="252">
        <v>0</v>
      </c>
      <c r="S1004" s="252">
        <v>0</v>
      </c>
      <c r="T1004" s="252">
        <v>0</v>
      </c>
      <c r="U1004" s="252">
        <v>0</v>
      </c>
      <c r="V1004" s="252">
        <v>0</v>
      </c>
      <c r="W1004" s="252">
        <v>0</v>
      </c>
      <c r="X1004" s="252">
        <v>0</v>
      </c>
      <c r="Y1004" s="252">
        <v>602.02</v>
      </c>
      <c r="Z1004" s="252">
        <v>0</v>
      </c>
      <c r="AA1004" s="252">
        <v>0</v>
      </c>
      <c r="AB1004" s="252">
        <v>105.21</v>
      </c>
      <c r="AC1004" s="252">
        <v>0</v>
      </c>
      <c r="AD1004" s="252">
        <v>0</v>
      </c>
      <c r="AE1004" s="252" t="s">
        <v>19</v>
      </c>
      <c r="AF1004" s="252" t="s">
        <v>718</v>
      </c>
      <c r="AG1004" s="252">
        <f>+O1004*M1004/100</f>
        <v>0</v>
      </c>
      <c r="AH1004" s="252">
        <f>+P1004*M1004/100</f>
        <v>0</v>
      </c>
      <c r="AI1004" s="252">
        <f>+AB1004*M1004/100</f>
        <v>0</v>
      </c>
      <c r="AJ1004" s="252">
        <f>+AG1004+AH1004+AI1004</f>
        <v>0</v>
      </c>
    </row>
    <row r="1005" spans="1:36" x14ac:dyDescent="0.2">
      <c r="A1005" s="253" t="str">
        <f>TRIM(I1005&amp;B1005&amp;C1005&amp;D1005&amp;F1005&amp;G1005)</f>
        <v>2TYCF10R210H40</v>
      </c>
      <c r="B1005" s="252" t="s">
        <v>265</v>
      </c>
      <c r="C1005" s="252" t="s">
        <v>28</v>
      </c>
      <c r="D1005" s="252" t="s">
        <v>2474</v>
      </c>
      <c r="E1005" s="252" t="s">
        <v>2475</v>
      </c>
      <c r="F1005" s="252" t="s">
        <v>2678</v>
      </c>
      <c r="G1005" s="252">
        <v>40</v>
      </c>
      <c r="H1005" s="252" t="s">
        <v>928</v>
      </c>
      <c r="I1005" s="252" t="s">
        <v>2477</v>
      </c>
      <c r="J1005" s="252" t="s">
        <v>928</v>
      </c>
      <c r="K1005" s="252" t="s">
        <v>3236</v>
      </c>
      <c r="L1005" s="252">
        <v>1009.21</v>
      </c>
      <c r="M1005" s="252">
        <v>0</v>
      </c>
      <c r="N1005" s="252">
        <v>0</v>
      </c>
      <c r="O1005" s="252">
        <v>0</v>
      </c>
      <c r="P1005" s="252">
        <v>0</v>
      </c>
      <c r="Q1005" s="252">
        <v>0</v>
      </c>
      <c r="R1005" s="252">
        <v>0</v>
      </c>
      <c r="S1005" s="252">
        <v>0</v>
      </c>
      <c r="T1005" s="252">
        <v>0</v>
      </c>
      <c r="U1005" s="252">
        <v>0</v>
      </c>
      <c r="V1005" s="252">
        <v>0</v>
      </c>
      <c r="W1005" s="252">
        <v>0</v>
      </c>
      <c r="X1005" s="252">
        <v>0</v>
      </c>
      <c r="Y1005" s="252">
        <v>883.92</v>
      </c>
      <c r="Z1005" s="252">
        <v>0</v>
      </c>
      <c r="AA1005" s="252">
        <v>0</v>
      </c>
      <c r="AB1005" s="252">
        <v>125.29</v>
      </c>
      <c r="AC1005" s="252">
        <v>0</v>
      </c>
      <c r="AD1005" s="252">
        <v>0</v>
      </c>
      <c r="AE1005" s="252" t="s">
        <v>720</v>
      </c>
      <c r="AF1005" s="252" t="s">
        <v>721</v>
      </c>
      <c r="AG1005" s="252">
        <f t="shared" ref="AG1005" si="85">+O1005*M1005/100</f>
        <v>0</v>
      </c>
      <c r="AH1005" s="252">
        <f t="shared" ref="AH1005" si="86">+P1005*M1005/100</f>
        <v>0</v>
      </c>
      <c r="AI1005" s="252">
        <f t="shared" ref="AI1005" si="87">+AB1005*M1005/100</f>
        <v>0</v>
      </c>
      <c r="AJ1005" s="252">
        <f t="shared" ref="AJ1005" si="88">+AG1005+AH1005+AI1005</f>
        <v>0</v>
      </c>
    </row>
    <row r="1006" spans="1:36" x14ac:dyDescent="0.2">
      <c r="A1006" s="253" t="str">
        <f>TRIM(I1006&amp;B1006&amp;C1006&amp;D1006&amp;F1006&amp;G1006)</f>
        <v>TYCF10R210H40</v>
      </c>
      <c r="B1006" s="252" t="s">
        <v>265</v>
      </c>
      <c r="C1006" s="252" t="s">
        <v>28</v>
      </c>
      <c r="D1006" s="252" t="s">
        <v>2474</v>
      </c>
      <c r="E1006" s="252" t="s">
        <v>2475</v>
      </c>
      <c r="F1006" s="252" t="s">
        <v>2678</v>
      </c>
      <c r="G1006" s="252">
        <v>40</v>
      </c>
      <c r="H1006" s="252" t="s">
        <v>928</v>
      </c>
      <c r="I1006" s="252" t="s">
        <v>928</v>
      </c>
      <c r="J1006" s="252" t="s">
        <v>928</v>
      </c>
      <c r="K1006" s="252" t="s">
        <v>3236</v>
      </c>
      <c r="L1006" s="252">
        <v>1009.21</v>
      </c>
      <c r="M1006" s="252">
        <v>0</v>
      </c>
      <c r="N1006" s="252">
        <v>0</v>
      </c>
      <c r="O1006" s="252">
        <v>0</v>
      </c>
      <c r="P1006" s="252">
        <v>0</v>
      </c>
      <c r="Q1006" s="252">
        <v>0</v>
      </c>
      <c r="R1006" s="252">
        <v>0</v>
      </c>
      <c r="S1006" s="252">
        <v>0</v>
      </c>
      <c r="T1006" s="252">
        <v>0</v>
      </c>
      <c r="U1006" s="252">
        <v>0</v>
      </c>
      <c r="V1006" s="252">
        <v>0</v>
      </c>
      <c r="W1006" s="252">
        <v>0</v>
      </c>
      <c r="X1006" s="252">
        <v>0</v>
      </c>
      <c r="Y1006" s="252">
        <v>883.92</v>
      </c>
      <c r="Z1006" s="252">
        <v>0</v>
      </c>
      <c r="AA1006" s="252">
        <v>0</v>
      </c>
      <c r="AB1006" s="252">
        <v>125.29</v>
      </c>
      <c r="AC1006" s="252">
        <v>0</v>
      </c>
      <c r="AD1006" s="252">
        <v>0</v>
      </c>
      <c r="AG1006" s="253"/>
      <c r="AH1006" s="253"/>
      <c r="AI1006" s="253"/>
    </row>
    <row r="1007" spans="1:36" x14ac:dyDescent="0.2">
      <c r="A1007" s="253" t="str">
        <f>TRIM(I1007&amp;B1007&amp;C1007&amp;D1007&amp;F1007&amp;G1007)</f>
        <v>2TYCF10R304C40</v>
      </c>
      <c r="B1007" s="252" t="s">
        <v>265</v>
      </c>
      <c r="C1007" s="252" t="s">
        <v>28</v>
      </c>
      <c r="D1007" s="252" t="s">
        <v>2474</v>
      </c>
      <c r="E1007" s="252" t="s">
        <v>2475</v>
      </c>
      <c r="F1007" s="252" t="s">
        <v>2709</v>
      </c>
      <c r="G1007" s="252">
        <v>40</v>
      </c>
      <c r="H1007" s="252" t="s">
        <v>928</v>
      </c>
      <c r="I1007" s="252" t="s">
        <v>2477</v>
      </c>
      <c r="J1007" s="252" t="s">
        <v>928</v>
      </c>
      <c r="K1007" s="252" t="s">
        <v>3236</v>
      </c>
      <c r="L1007" s="252">
        <v>885.26</v>
      </c>
      <c r="M1007" s="252">
        <v>0</v>
      </c>
      <c r="N1007" s="252">
        <v>0</v>
      </c>
      <c r="O1007" s="252">
        <v>0</v>
      </c>
      <c r="P1007" s="252">
        <v>0</v>
      </c>
      <c r="Q1007" s="252">
        <v>0</v>
      </c>
      <c r="R1007" s="252">
        <v>0</v>
      </c>
      <c r="S1007" s="252">
        <v>0</v>
      </c>
      <c r="T1007" s="252">
        <v>0</v>
      </c>
      <c r="U1007" s="252">
        <v>0</v>
      </c>
      <c r="V1007" s="252">
        <v>0</v>
      </c>
      <c r="W1007" s="252">
        <v>0</v>
      </c>
      <c r="X1007" s="252">
        <v>0</v>
      </c>
      <c r="Y1007" s="252">
        <v>757.72</v>
      </c>
      <c r="Z1007" s="252">
        <v>0</v>
      </c>
      <c r="AA1007" s="252">
        <v>0</v>
      </c>
      <c r="AB1007" s="252">
        <v>127.54</v>
      </c>
      <c r="AC1007" s="252">
        <v>0</v>
      </c>
      <c r="AD1007" s="252">
        <v>0</v>
      </c>
      <c r="AG1007" s="253"/>
      <c r="AH1007" s="253"/>
      <c r="AI1007" s="253"/>
    </row>
    <row r="1008" spans="1:36" x14ac:dyDescent="0.2">
      <c r="A1008" s="253" t="str">
        <f>+TRIM(I1008&amp;B1008&amp;C1008&amp;D1008&amp;F1008&amp;G1008)</f>
        <v>TYCF10R304C40</v>
      </c>
      <c r="B1008" s="252" t="s">
        <v>265</v>
      </c>
      <c r="C1008" s="252" t="s">
        <v>28</v>
      </c>
      <c r="D1008" s="252" t="s">
        <v>2474</v>
      </c>
      <c r="E1008" s="252" t="s">
        <v>2475</v>
      </c>
      <c r="F1008" s="252" t="s">
        <v>2709</v>
      </c>
      <c r="G1008" s="252">
        <v>40</v>
      </c>
      <c r="H1008" s="252" t="s">
        <v>928</v>
      </c>
      <c r="I1008" s="252" t="s">
        <v>928</v>
      </c>
      <c r="J1008" s="252" t="s">
        <v>928</v>
      </c>
      <c r="K1008" s="252" t="s">
        <v>3236</v>
      </c>
      <c r="L1008" s="252">
        <v>885.26</v>
      </c>
      <c r="M1008" s="252">
        <v>0</v>
      </c>
      <c r="N1008" s="252">
        <v>0</v>
      </c>
      <c r="O1008" s="252">
        <v>0</v>
      </c>
      <c r="P1008" s="252">
        <v>0</v>
      </c>
      <c r="Q1008" s="252">
        <v>0</v>
      </c>
      <c r="R1008" s="252">
        <v>0</v>
      </c>
      <c r="S1008" s="252">
        <v>0</v>
      </c>
      <c r="T1008" s="252">
        <v>0</v>
      </c>
      <c r="U1008" s="252">
        <v>0</v>
      </c>
      <c r="V1008" s="252">
        <v>0</v>
      </c>
      <c r="W1008" s="252">
        <v>0</v>
      </c>
      <c r="X1008" s="252">
        <v>0</v>
      </c>
      <c r="Y1008" s="252">
        <v>757.72</v>
      </c>
      <c r="Z1008" s="252">
        <v>0</v>
      </c>
      <c r="AA1008" s="252">
        <v>0</v>
      </c>
      <c r="AB1008" s="252">
        <v>127.54</v>
      </c>
      <c r="AC1008" s="252">
        <v>0</v>
      </c>
      <c r="AD1008" s="252">
        <v>0</v>
      </c>
      <c r="AG1008" s="253"/>
      <c r="AH1008" s="253"/>
      <c r="AI1008" s="253"/>
    </row>
    <row r="1009" spans="1:36" x14ac:dyDescent="0.2">
      <c r="A1009" s="253" t="str">
        <f>TRIM(I1009&amp;B1009&amp;C1009&amp;D1009&amp;F1009&amp;G1009)</f>
        <v>2TYCF10R307CBK40</v>
      </c>
      <c r="B1009" s="252" t="s">
        <v>265</v>
      </c>
      <c r="C1009" s="252" t="s">
        <v>28</v>
      </c>
      <c r="D1009" s="252" t="s">
        <v>2474</v>
      </c>
      <c r="E1009" s="252" t="s">
        <v>2475</v>
      </c>
      <c r="F1009" s="252" t="s">
        <v>2710</v>
      </c>
      <c r="G1009" s="252">
        <v>40</v>
      </c>
      <c r="H1009" s="252" t="s">
        <v>928</v>
      </c>
      <c r="I1009" s="252" t="s">
        <v>2477</v>
      </c>
      <c r="J1009" s="252" t="s">
        <v>928</v>
      </c>
      <c r="K1009" s="252" t="s">
        <v>3236</v>
      </c>
      <c r="L1009" s="252">
        <v>966.52</v>
      </c>
      <c r="M1009" s="252">
        <v>0</v>
      </c>
      <c r="N1009" s="252">
        <v>0</v>
      </c>
      <c r="O1009" s="252">
        <v>0</v>
      </c>
      <c r="P1009" s="252">
        <v>0</v>
      </c>
      <c r="Q1009" s="252">
        <v>0</v>
      </c>
      <c r="R1009" s="252">
        <v>0</v>
      </c>
      <c r="S1009" s="252">
        <v>0</v>
      </c>
      <c r="T1009" s="252">
        <v>0</v>
      </c>
      <c r="U1009" s="252">
        <v>0</v>
      </c>
      <c r="V1009" s="252">
        <v>0</v>
      </c>
      <c r="W1009" s="252">
        <v>0</v>
      </c>
      <c r="X1009" s="252">
        <v>0</v>
      </c>
      <c r="Y1009" s="252">
        <v>874.25</v>
      </c>
      <c r="Z1009" s="252">
        <v>0</v>
      </c>
      <c r="AA1009" s="252">
        <v>0</v>
      </c>
      <c r="AB1009" s="252">
        <v>92.27</v>
      </c>
      <c r="AC1009" s="252">
        <v>0</v>
      </c>
      <c r="AD1009" s="252">
        <v>0</v>
      </c>
      <c r="AG1009" s="253"/>
      <c r="AH1009" s="253"/>
      <c r="AI1009" s="253"/>
    </row>
    <row r="1010" spans="1:36" x14ac:dyDescent="0.2">
      <c r="A1010" s="253" t="str">
        <f>TRIM(I1010&amp;B1010&amp;C1010&amp;D1010&amp;F1010&amp;G1010)</f>
        <v>TYCF10R307CBK40</v>
      </c>
      <c r="B1010" s="252" t="s">
        <v>265</v>
      </c>
      <c r="C1010" s="252" t="s">
        <v>28</v>
      </c>
      <c r="D1010" s="252" t="s">
        <v>2474</v>
      </c>
      <c r="E1010" s="252" t="s">
        <v>2475</v>
      </c>
      <c r="F1010" s="252" t="s">
        <v>2710</v>
      </c>
      <c r="G1010" s="252">
        <v>40</v>
      </c>
      <c r="H1010" s="252" t="s">
        <v>928</v>
      </c>
      <c r="I1010" s="252" t="s">
        <v>928</v>
      </c>
      <c r="J1010" s="252" t="s">
        <v>928</v>
      </c>
      <c r="K1010" s="252" t="s">
        <v>3236</v>
      </c>
      <c r="L1010" s="252">
        <v>966.52</v>
      </c>
      <c r="M1010" s="252">
        <v>0</v>
      </c>
      <c r="N1010" s="252">
        <v>0</v>
      </c>
      <c r="O1010" s="252">
        <v>0</v>
      </c>
      <c r="P1010" s="252">
        <v>0</v>
      </c>
      <c r="Q1010" s="252">
        <v>0</v>
      </c>
      <c r="R1010" s="252">
        <v>0</v>
      </c>
      <c r="S1010" s="252">
        <v>0</v>
      </c>
      <c r="T1010" s="252">
        <v>0</v>
      </c>
      <c r="U1010" s="252">
        <v>0</v>
      </c>
      <c r="V1010" s="252">
        <v>0</v>
      </c>
      <c r="W1010" s="252">
        <v>0</v>
      </c>
      <c r="X1010" s="252">
        <v>0</v>
      </c>
      <c r="Y1010" s="252">
        <v>874.25</v>
      </c>
      <c r="Z1010" s="252">
        <v>0</v>
      </c>
      <c r="AA1010" s="252">
        <v>0</v>
      </c>
      <c r="AB1010" s="252">
        <v>92.27</v>
      </c>
      <c r="AC1010" s="252">
        <v>0</v>
      </c>
      <c r="AD1010" s="252">
        <v>0</v>
      </c>
      <c r="AG1010" s="253"/>
      <c r="AH1010" s="253"/>
      <c r="AI1010" s="253"/>
    </row>
    <row r="1011" spans="1:36" x14ac:dyDescent="0.2">
      <c r="A1011" s="253" t="str">
        <f t="shared" ref="A1011:A1040" si="89">I1011&amp;B1011&amp;C1011&amp;D1011&amp;F1011&amp;G1011</f>
        <v>2TYCPP395160</v>
      </c>
      <c r="B1011" s="252" t="s">
        <v>265</v>
      </c>
      <c r="C1011" s="252" t="s">
        <v>28</v>
      </c>
      <c r="D1011" s="252" t="s">
        <v>2558</v>
      </c>
      <c r="E1011" s="252" t="s">
        <v>2522</v>
      </c>
      <c r="F1011" s="252" t="s">
        <v>2564</v>
      </c>
      <c r="G1011" s="252">
        <v>60</v>
      </c>
      <c r="H1011" s="252" t="s">
        <v>928</v>
      </c>
      <c r="I1011" s="252" t="s">
        <v>2477</v>
      </c>
      <c r="J1011" s="252" t="s">
        <v>928</v>
      </c>
      <c r="K1011" s="252" t="s">
        <v>3236</v>
      </c>
      <c r="L1011" s="252">
        <v>337.71</v>
      </c>
      <c r="M1011" s="252">
        <v>0</v>
      </c>
      <c r="N1011" s="252">
        <v>0</v>
      </c>
      <c r="O1011" s="252">
        <v>0</v>
      </c>
      <c r="P1011" s="252">
        <v>0</v>
      </c>
      <c r="Q1011" s="252">
        <v>0</v>
      </c>
      <c r="R1011" s="252">
        <v>0</v>
      </c>
      <c r="S1011" s="252">
        <v>0</v>
      </c>
      <c r="T1011" s="252">
        <v>0</v>
      </c>
      <c r="U1011" s="252">
        <v>0</v>
      </c>
      <c r="V1011" s="252">
        <v>0</v>
      </c>
      <c r="W1011" s="252">
        <v>0</v>
      </c>
      <c r="X1011" s="252">
        <v>0</v>
      </c>
      <c r="Y1011" s="252">
        <v>276.23</v>
      </c>
      <c r="Z1011" s="252">
        <v>0</v>
      </c>
      <c r="AA1011" s="252">
        <v>0</v>
      </c>
      <c r="AB1011" s="252">
        <v>61.49</v>
      </c>
      <c r="AC1011" s="252">
        <v>0</v>
      </c>
      <c r="AD1011" s="252">
        <v>0</v>
      </c>
      <c r="AG1011" s="253"/>
      <c r="AH1011" s="253"/>
      <c r="AI1011" s="253"/>
    </row>
    <row r="1012" spans="1:36" x14ac:dyDescent="0.2">
      <c r="A1012" s="253" t="str">
        <f t="shared" si="89"/>
        <v>2TYCPP395170</v>
      </c>
      <c r="B1012" s="252" t="s">
        <v>265</v>
      </c>
      <c r="C1012" s="252" t="s">
        <v>28</v>
      </c>
      <c r="D1012" s="252" t="s">
        <v>2558</v>
      </c>
      <c r="E1012" s="252" t="s">
        <v>2522</v>
      </c>
      <c r="F1012" s="252" t="s">
        <v>2564</v>
      </c>
      <c r="G1012" s="252">
        <v>70</v>
      </c>
      <c r="H1012" s="252" t="s">
        <v>928</v>
      </c>
      <c r="I1012" s="252" t="s">
        <v>2477</v>
      </c>
      <c r="J1012" s="252" t="s">
        <v>928</v>
      </c>
      <c r="K1012" s="252" t="s">
        <v>3236</v>
      </c>
      <c r="L1012" s="252">
        <v>375.67</v>
      </c>
      <c r="M1012" s="252">
        <v>0</v>
      </c>
      <c r="N1012" s="252">
        <v>0</v>
      </c>
      <c r="O1012" s="252">
        <v>0</v>
      </c>
      <c r="P1012" s="252">
        <v>0</v>
      </c>
      <c r="Q1012" s="252">
        <v>0</v>
      </c>
      <c r="R1012" s="252">
        <v>0</v>
      </c>
      <c r="S1012" s="252">
        <v>0</v>
      </c>
      <c r="T1012" s="252">
        <v>0</v>
      </c>
      <c r="U1012" s="252">
        <v>0</v>
      </c>
      <c r="V1012" s="252">
        <v>0</v>
      </c>
      <c r="W1012" s="252">
        <v>0</v>
      </c>
      <c r="X1012" s="252">
        <v>0</v>
      </c>
      <c r="Y1012" s="252">
        <v>295.10000000000002</v>
      </c>
      <c r="Z1012" s="252">
        <v>0</v>
      </c>
      <c r="AA1012" s="252">
        <v>0</v>
      </c>
      <c r="AB1012" s="252">
        <v>80.58</v>
      </c>
      <c r="AC1012" s="252">
        <v>0</v>
      </c>
      <c r="AD1012" s="252">
        <v>0</v>
      </c>
      <c r="AG1012" s="253"/>
      <c r="AH1012" s="253"/>
      <c r="AI1012" s="253"/>
    </row>
    <row r="1013" spans="1:36" x14ac:dyDescent="0.2">
      <c r="A1013" s="253" t="str">
        <f t="shared" si="89"/>
        <v>2TYCPP395180</v>
      </c>
      <c r="B1013" s="252" t="s">
        <v>265</v>
      </c>
      <c r="C1013" s="252" t="s">
        <v>28</v>
      </c>
      <c r="D1013" s="252" t="s">
        <v>2558</v>
      </c>
      <c r="E1013" s="252" t="s">
        <v>2522</v>
      </c>
      <c r="F1013" s="252" t="s">
        <v>2564</v>
      </c>
      <c r="G1013" s="252">
        <v>80</v>
      </c>
      <c r="H1013" s="252" t="s">
        <v>928</v>
      </c>
      <c r="I1013" s="252" t="s">
        <v>2477</v>
      </c>
      <c r="J1013" s="252" t="s">
        <v>928</v>
      </c>
      <c r="K1013" s="252" t="s">
        <v>3236</v>
      </c>
      <c r="L1013" s="252">
        <v>358.74</v>
      </c>
      <c r="M1013" s="252">
        <v>0</v>
      </c>
      <c r="N1013" s="252">
        <v>0</v>
      </c>
      <c r="O1013" s="252">
        <v>0</v>
      </c>
      <c r="P1013" s="252">
        <v>0</v>
      </c>
      <c r="Q1013" s="252">
        <v>0</v>
      </c>
      <c r="R1013" s="252">
        <v>0</v>
      </c>
      <c r="S1013" s="252">
        <v>0</v>
      </c>
      <c r="T1013" s="252">
        <v>0</v>
      </c>
      <c r="U1013" s="252">
        <v>0</v>
      </c>
      <c r="V1013" s="252">
        <v>0</v>
      </c>
      <c r="W1013" s="252">
        <v>0</v>
      </c>
      <c r="X1013" s="252">
        <v>0</v>
      </c>
      <c r="Y1013" s="252">
        <v>291.79000000000002</v>
      </c>
      <c r="Z1013" s="252">
        <v>0</v>
      </c>
      <c r="AA1013" s="252">
        <v>0</v>
      </c>
      <c r="AB1013" s="252">
        <v>66.959999999999994</v>
      </c>
      <c r="AC1013" s="252">
        <v>0</v>
      </c>
      <c r="AD1013" s="252">
        <v>0</v>
      </c>
      <c r="AG1013" s="253"/>
      <c r="AH1013" s="253"/>
      <c r="AI1013" s="253"/>
    </row>
    <row r="1014" spans="1:36" x14ac:dyDescent="0.2">
      <c r="A1014" s="253" t="str">
        <f t="shared" si="89"/>
        <v>3TYKNZSTHCE238</v>
      </c>
      <c r="B1014" s="252" t="s">
        <v>265</v>
      </c>
      <c r="C1014" s="252" t="s">
        <v>28</v>
      </c>
      <c r="D1014" s="252" t="s">
        <v>1078</v>
      </c>
      <c r="E1014" s="252" t="s">
        <v>2697</v>
      </c>
      <c r="F1014" s="252" t="s">
        <v>2712</v>
      </c>
      <c r="G1014" s="252">
        <v>38</v>
      </c>
      <c r="H1014" s="252" t="s">
        <v>928</v>
      </c>
      <c r="I1014" s="252" t="s">
        <v>2465</v>
      </c>
      <c r="J1014" s="252" t="s">
        <v>928</v>
      </c>
      <c r="K1014" s="252" t="s">
        <v>3236</v>
      </c>
      <c r="L1014" s="252">
        <v>353.70008999999999</v>
      </c>
      <c r="M1014" s="252">
        <v>84.6</v>
      </c>
      <c r="N1014" s="252">
        <v>0</v>
      </c>
      <c r="O1014" s="252">
        <v>0</v>
      </c>
      <c r="P1014" s="252">
        <v>0</v>
      </c>
      <c r="Q1014" s="252">
        <v>0</v>
      </c>
      <c r="R1014" s="252">
        <v>0</v>
      </c>
      <c r="S1014" s="252">
        <v>0</v>
      </c>
      <c r="T1014" s="252">
        <v>34.840359999999997</v>
      </c>
      <c r="U1014" s="252">
        <v>12.708930000000001</v>
      </c>
      <c r="V1014" s="252">
        <v>3.7534700000000001</v>
      </c>
      <c r="W1014" s="252">
        <v>41.267330000000001</v>
      </c>
      <c r="X1014" s="252">
        <v>0</v>
      </c>
      <c r="Y1014" s="252">
        <v>0</v>
      </c>
      <c r="Z1014" s="252">
        <v>261.13</v>
      </c>
      <c r="AA1014" s="252">
        <v>0</v>
      </c>
      <c r="AB1014" s="252">
        <v>0</v>
      </c>
      <c r="AC1014" s="252">
        <v>0</v>
      </c>
      <c r="AD1014" s="252">
        <v>1</v>
      </c>
      <c r="AG1014" s="253"/>
      <c r="AH1014" s="253"/>
      <c r="AI1014" s="253"/>
    </row>
    <row r="1015" spans="1:36" x14ac:dyDescent="0.2">
      <c r="A1015" s="253" t="str">
        <f t="shared" si="89"/>
        <v>3TNCERASY0825</v>
      </c>
      <c r="B1015" s="252" t="s">
        <v>265</v>
      </c>
      <c r="C1015" s="252" t="s">
        <v>20</v>
      </c>
      <c r="D1015" s="252" t="s">
        <v>21</v>
      </c>
      <c r="E1015" s="252" t="s">
        <v>719</v>
      </c>
      <c r="F1015" s="252" t="s">
        <v>99</v>
      </c>
      <c r="G1015" s="252">
        <v>25</v>
      </c>
      <c r="H1015" s="252" t="s">
        <v>928</v>
      </c>
      <c r="I1015" s="252" t="s">
        <v>2465</v>
      </c>
      <c r="J1015" s="252" t="s">
        <v>928</v>
      </c>
      <c r="K1015" s="252" t="s">
        <v>2392</v>
      </c>
      <c r="L1015" s="252">
        <v>56.595230000000001</v>
      </c>
      <c r="M1015" s="252">
        <v>91.6</v>
      </c>
      <c r="N1015" s="252">
        <v>0</v>
      </c>
      <c r="O1015" s="252">
        <v>17.576419999999999</v>
      </c>
      <c r="P1015" s="252">
        <v>0</v>
      </c>
      <c r="Q1015" s="252">
        <v>0</v>
      </c>
      <c r="R1015" s="252">
        <v>0</v>
      </c>
      <c r="S1015" s="252">
        <v>0</v>
      </c>
      <c r="T1015" s="252">
        <v>15.99</v>
      </c>
      <c r="U1015" s="252">
        <v>2.7851900000000001</v>
      </c>
      <c r="V1015" s="252">
        <v>0.80508000000000002</v>
      </c>
      <c r="W1015" s="252">
        <v>2.69232</v>
      </c>
      <c r="X1015" s="252">
        <v>0</v>
      </c>
      <c r="Y1015" s="252">
        <v>0</v>
      </c>
      <c r="Z1015" s="252">
        <v>16.746220000000001</v>
      </c>
      <c r="AA1015" s="252">
        <v>0</v>
      </c>
      <c r="AB1015" s="252">
        <v>0</v>
      </c>
      <c r="AC1015" s="252">
        <v>0</v>
      </c>
      <c r="AD1015" s="252">
        <v>1</v>
      </c>
      <c r="AE1015" s="252" t="s">
        <v>720</v>
      </c>
      <c r="AF1015" s="252" t="s">
        <v>721</v>
      </c>
      <c r="AG1015" s="252">
        <f t="shared" ref="AG1015:AG1019" si="90">+O1015*M1015/100</f>
        <v>16.100000719999997</v>
      </c>
      <c r="AH1015" s="252">
        <f t="shared" ref="AH1015:AH1019" si="91">+P1015*M1015/100</f>
        <v>0</v>
      </c>
      <c r="AI1015" s="252">
        <f t="shared" ref="AI1015:AI1019" si="92">+AB1015*M1015/100</f>
        <v>0</v>
      </c>
      <c r="AJ1015" s="252">
        <f t="shared" ref="AJ1015:AJ1019" si="93">+AG1015+AH1015+AI1015</f>
        <v>16.100000719999997</v>
      </c>
    </row>
    <row r="1016" spans="1:36" x14ac:dyDescent="0.2">
      <c r="A1016" s="253" t="str">
        <f t="shared" si="89"/>
        <v>3SYCERABX8AS75</v>
      </c>
      <c r="B1016" s="252" t="s">
        <v>19</v>
      </c>
      <c r="C1016" s="252" t="s">
        <v>1618</v>
      </c>
      <c r="D1016" s="252" t="s">
        <v>21</v>
      </c>
      <c r="E1016" s="252" t="s">
        <v>719</v>
      </c>
      <c r="F1016" s="252" t="s">
        <v>465</v>
      </c>
      <c r="G1016" s="252">
        <v>75</v>
      </c>
      <c r="H1016" s="252" t="s">
        <v>928</v>
      </c>
      <c r="I1016" s="252" t="s">
        <v>2465</v>
      </c>
      <c r="J1016" s="252" t="s">
        <v>928</v>
      </c>
      <c r="K1016" s="252" t="s">
        <v>2392</v>
      </c>
      <c r="L1016" s="252">
        <v>27.012219999999999</v>
      </c>
      <c r="M1016" s="252">
        <v>96</v>
      </c>
      <c r="N1016" s="252">
        <v>0</v>
      </c>
      <c r="O1016" s="252">
        <v>0</v>
      </c>
      <c r="P1016" s="252">
        <v>0</v>
      </c>
      <c r="Q1016" s="252">
        <v>0</v>
      </c>
      <c r="R1016" s="252">
        <v>0</v>
      </c>
      <c r="S1016" s="252">
        <v>0</v>
      </c>
      <c r="T1016" s="252">
        <v>5.3000699999999998</v>
      </c>
      <c r="U1016" s="252">
        <v>5.6315099999999996</v>
      </c>
      <c r="V1016" s="252">
        <v>0.70511000000000001</v>
      </c>
      <c r="W1016" s="252">
        <v>2.6918899999999999</v>
      </c>
      <c r="X1016" s="252">
        <v>0</v>
      </c>
      <c r="Y1016" s="252">
        <v>0</v>
      </c>
      <c r="Z1016" s="252">
        <v>8.86313</v>
      </c>
      <c r="AA1016" s="252">
        <v>3.8205100000000001</v>
      </c>
      <c r="AB1016" s="252">
        <v>0</v>
      </c>
      <c r="AC1016" s="252">
        <v>0</v>
      </c>
      <c r="AD1016" s="252">
        <v>1</v>
      </c>
      <c r="AE1016" s="252" t="s">
        <v>20</v>
      </c>
      <c r="AF1016" s="252" t="s">
        <v>718</v>
      </c>
      <c r="AG1016" s="252">
        <f t="shared" si="90"/>
        <v>0</v>
      </c>
      <c r="AH1016" s="252">
        <f t="shared" si="91"/>
        <v>0</v>
      </c>
      <c r="AI1016" s="252">
        <f t="shared" si="92"/>
        <v>0</v>
      </c>
      <c r="AJ1016" s="252">
        <f t="shared" si="93"/>
        <v>0</v>
      </c>
    </row>
    <row r="1017" spans="1:36" x14ac:dyDescent="0.2">
      <c r="A1017" s="253" t="str">
        <f t="shared" si="89"/>
        <v>3SYCERABX9AS75</v>
      </c>
      <c r="B1017" s="252" t="s">
        <v>19</v>
      </c>
      <c r="C1017" s="252" t="s">
        <v>1618</v>
      </c>
      <c r="D1017" s="252" t="s">
        <v>21</v>
      </c>
      <c r="E1017" s="252" t="s">
        <v>719</v>
      </c>
      <c r="F1017" s="252" t="s">
        <v>60</v>
      </c>
      <c r="G1017" s="252">
        <v>75</v>
      </c>
      <c r="H1017" s="252" t="s">
        <v>928</v>
      </c>
      <c r="I1017" s="252" t="s">
        <v>2465</v>
      </c>
      <c r="J1017" s="252" t="s">
        <v>928</v>
      </c>
      <c r="K1017" s="252" t="s">
        <v>2392</v>
      </c>
      <c r="L1017" s="252">
        <v>39.202379999999998</v>
      </c>
      <c r="M1017" s="252">
        <v>96</v>
      </c>
      <c r="N1017" s="252">
        <v>0</v>
      </c>
      <c r="O1017" s="252">
        <v>0</v>
      </c>
      <c r="P1017" s="252">
        <v>0</v>
      </c>
      <c r="Q1017" s="252">
        <v>0</v>
      </c>
      <c r="R1017" s="252">
        <v>0</v>
      </c>
      <c r="S1017" s="252">
        <v>0</v>
      </c>
      <c r="T1017" s="252">
        <v>17.49023</v>
      </c>
      <c r="U1017" s="252">
        <v>5.6315099999999996</v>
      </c>
      <c r="V1017" s="252">
        <v>0.70511000000000001</v>
      </c>
      <c r="W1017" s="252">
        <v>2.6918899999999999</v>
      </c>
      <c r="X1017" s="252">
        <v>0</v>
      </c>
      <c r="Y1017" s="252">
        <v>0</v>
      </c>
      <c r="Z1017" s="252">
        <v>8.86313</v>
      </c>
      <c r="AA1017" s="252">
        <v>3.8205100000000001</v>
      </c>
      <c r="AB1017" s="252">
        <v>0</v>
      </c>
      <c r="AC1017" s="252">
        <v>0</v>
      </c>
      <c r="AD1017" s="252">
        <v>1</v>
      </c>
      <c r="AE1017" s="252" t="s">
        <v>20</v>
      </c>
      <c r="AF1017" s="252" t="s">
        <v>718</v>
      </c>
      <c r="AG1017" s="252">
        <f t="shared" si="90"/>
        <v>0</v>
      </c>
      <c r="AH1017" s="252">
        <f t="shared" si="91"/>
        <v>0</v>
      </c>
      <c r="AI1017" s="252">
        <f t="shared" si="92"/>
        <v>0</v>
      </c>
      <c r="AJ1017" s="252">
        <f t="shared" si="93"/>
        <v>0</v>
      </c>
    </row>
    <row r="1018" spans="1:36" x14ac:dyDescent="0.2">
      <c r="A1018" s="253" t="str">
        <f t="shared" si="89"/>
        <v>330SNCERAWZ1425</v>
      </c>
      <c r="B1018" s="252" t="s">
        <v>450</v>
      </c>
      <c r="C1018" s="252" t="s">
        <v>20</v>
      </c>
      <c r="D1018" s="252" t="s">
        <v>21</v>
      </c>
      <c r="E1018" s="252" t="s">
        <v>719</v>
      </c>
      <c r="F1018" s="252" t="s">
        <v>2337</v>
      </c>
      <c r="G1018" s="252">
        <v>25</v>
      </c>
      <c r="H1018" s="252" t="s">
        <v>928</v>
      </c>
      <c r="I1018" s="252">
        <v>330</v>
      </c>
      <c r="J1018" s="252" t="s">
        <v>928</v>
      </c>
      <c r="K1018" s="252" t="s">
        <v>2392</v>
      </c>
      <c r="L1018" s="252">
        <v>10.01768</v>
      </c>
      <c r="M1018" s="252">
        <v>97.6</v>
      </c>
      <c r="N1018" s="252">
        <v>0</v>
      </c>
      <c r="O1018" s="252">
        <v>0</v>
      </c>
      <c r="P1018" s="252">
        <v>0</v>
      </c>
      <c r="Q1018" s="252">
        <v>0</v>
      </c>
      <c r="R1018" s="252">
        <v>0</v>
      </c>
      <c r="S1018" s="252">
        <v>0</v>
      </c>
      <c r="T1018" s="252">
        <v>2.64</v>
      </c>
      <c r="U1018" s="252">
        <v>0.49092999999999998</v>
      </c>
      <c r="V1018" s="252">
        <v>0.32335999999999998</v>
      </c>
      <c r="W1018" s="252">
        <v>1.06711</v>
      </c>
      <c r="X1018" s="252">
        <v>0</v>
      </c>
      <c r="Y1018" s="252">
        <v>0</v>
      </c>
      <c r="Z1018" s="252">
        <v>5.4962799999999996</v>
      </c>
      <c r="AA1018" s="252">
        <v>0</v>
      </c>
      <c r="AB1018" s="252">
        <v>0</v>
      </c>
      <c r="AC1018" s="252">
        <v>0</v>
      </c>
      <c r="AD1018" s="252">
        <v>1</v>
      </c>
      <c r="AE1018" s="252" t="s">
        <v>720</v>
      </c>
      <c r="AF1018" s="252" t="s">
        <v>721</v>
      </c>
      <c r="AG1018" s="252">
        <f t="shared" si="90"/>
        <v>0</v>
      </c>
      <c r="AH1018" s="252">
        <f t="shared" si="91"/>
        <v>0</v>
      </c>
      <c r="AI1018" s="252">
        <f t="shared" si="92"/>
        <v>0</v>
      </c>
      <c r="AJ1018" s="252">
        <f t="shared" si="93"/>
        <v>0</v>
      </c>
    </row>
    <row r="1019" spans="1:36" x14ac:dyDescent="0.2">
      <c r="A1019" s="253" t="str">
        <f t="shared" si="89"/>
        <v>331SNCERAWZRX25</v>
      </c>
      <c r="B1019" s="252" t="s">
        <v>19</v>
      </c>
      <c r="C1019" s="252" t="s">
        <v>20</v>
      </c>
      <c r="D1019" s="252" t="s">
        <v>21</v>
      </c>
      <c r="E1019" s="252" t="s">
        <v>719</v>
      </c>
      <c r="F1019" s="252" t="s">
        <v>112</v>
      </c>
      <c r="G1019" s="252">
        <v>25</v>
      </c>
      <c r="H1019" s="252" t="s">
        <v>928</v>
      </c>
      <c r="I1019" s="252">
        <v>331</v>
      </c>
      <c r="J1019" s="252" t="s">
        <v>928</v>
      </c>
      <c r="K1019" s="252" t="s">
        <v>2392</v>
      </c>
      <c r="L1019" s="252">
        <v>12.014810000000001</v>
      </c>
      <c r="M1019" s="252">
        <v>75</v>
      </c>
      <c r="N1019" s="252">
        <v>0</v>
      </c>
      <c r="O1019" s="252">
        <v>0</v>
      </c>
      <c r="P1019" s="252">
        <v>0</v>
      </c>
      <c r="Q1019" s="252">
        <v>0</v>
      </c>
      <c r="R1019" s="252">
        <v>0</v>
      </c>
      <c r="S1019" s="252">
        <v>0</v>
      </c>
      <c r="T1019" s="252">
        <v>2.4500299999999999</v>
      </c>
      <c r="U1019" s="252">
        <v>1.4948699999999999</v>
      </c>
      <c r="V1019" s="252">
        <v>0.35205999999999998</v>
      </c>
      <c r="W1019" s="252">
        <v>1.3439399999999999</v>
      </c>
      <c r="X1019" s="252">
        <v>0</v>
      </c>
      <c r="Y1019" s="252">
        <v>0</v>
      </c>
      <c r="Z1019" s="252">
        <v>4.4620199999999999</v>
      </c>
      <c r="AA1019" s="252">
        <v>1.9118900000000001</v>
      </c>
      <c r="AB1019" s="252">
        <v>0</v>
      </c>
      <c r="AC1019" s="252">
        <v>0</v>
      </c>
      <c r="AD1019" s="252">
        <v>1</v>
      </c>
      <c r="AE1019" s="252" t="s">
        <v>720</v>
      </c>
      <c r="AF1019" s="252" t="s">
        <v>721</v>
      </c>
      <c r="AG1019" s="252">
        <f t="shared" si="90"/>
        <v>0</v>
      </c>
      <c r="AH1019" s="252">
        <f t="shared" si="91"/>
        <v>0</v>
      </c>
      <c r="AI1019" s="252">
        <f t="shared" si="92"/>
        <v>0</v>
      </c>
      <c r="AJ1019" s="252">
        <f t="shared" si="93"/>
        <v>0</v>
      </c>
    </row>
    <row r="1020" spans="1:36" x14ac:dyDescent="0.2">
      <c r="A1020" s="253" t="str">
        <f t="shared" si="89"/>
        <v>331SNCERABKERXPT38</v>
      </c>
      <c r="B1020" s="259" t="s">
        <v>19</v>
      </c>
      <c r="C1020" s="259" t="s">
        <v>20</v>
      </c>
      <c r="D1020" s="259" t="s">
        <v>21</v>
      </c>
      <c r="E1020" s="259" t="s">
        <v>719</v>
      </c>
      <c r="F1020" s="259" t="s">
        <v>29</v>
      </c>
      <c r="G1020" s="259">
        <v>38</v>
      </c>
      <c r="H1020" s="259"/>
      <c r="I1020" s="259">
        <v>331</v>
      </c>
      <c r="J1020" s="259"/>
      <c r="K1020" s="260">
        <v>44835</v>
      </c>
      <c r="L1020" s="259">
        <v>25.564499999999999</v>
      </c>
      <c r="M1020" s="259">
        <v>97.1</v>
      </c>
      <c r="N1020" s="259">
        <v>0</v>
      </c>
      <c r="O1020" s="259">
        <v>19.104299999999999</v>
      </c>
      <c r="P1020" s="259">
        <v>0</v>
      </c>
      <c r="Q1020" s="259">
        <v>0</v>
      </c>
      <c r="R1020" s="259">
        <v>0</v>
      </c>
      <c r="S1020" s="259">
        <v>0</v>
      </c>
      <c r="T1020" s="259">
        <v>2.7989999999999999</v>
      </c>
      <c r="U1020" s="259">
        <v>0.44369999999999998</v>
      </c>
      <c r="V1020" s="259">
        <v>0.16830000000000001</v>
      </c>
      <c r="W1020" s="259">
        <v>0.69750000000000001</v>
      </c>
      <c r="X1020" s="259">
        <v>0</v>
      </c>
      <c r="Y1020" s="259">
        <v>0</v>
      </c>
      <c r="Z1020" s="259">
        <v>1.5371999999999999</v>
      </c>
      <c r="AA1020" s="259">
        <v>0.8145</v>
      </c>
      <c r="AB1020" s="259">
        <v>0</v>
      </c>
      <c r="AC1020" s="259">
        <v>0</v>
      </c>
      <c r="AD1020" s="259">
        <v>9</v>
      </c>
      <c r="AE1020" s="259" t="s">
        <v>20</v>
      </c>
      <c r="AF1020" s="259" t="s">
        <v>718</v>
      </c>
      <c r="AG1020" s="259">
        <f>+O1020*M1020/100</f>
        <v>18.550275299999999</v>
      </c>
      <c r="AH1020" s="259">
        <f>+P1020*M1020/100</f>
        <v>0</v>
      </c>
      <c r="AI1020" s="259">
        <f>+AB1020*M1020/100</f>
        <v>0</v>
      </c>
      <c r="AJ1020" s="259">
        <f>+AG1020+AH1020+AI1020</f>
        <v>18.550275299999999</v>
      </c>
    </row>
    <row r="1021" spans="1:36" x14ac:dyDescent="0.2">
      <c r="A1021" s="253" t="str">
        <f t="shared" si="89"/>
        <v>331SNCERABX8ARX38</v>
      </c>
      <c r="B1021" s="259" t="s">
        <v>19</v>
      </c>
      <c r="C1021" s="259" t="s">
        <v>20</v>
      </c>
      <c r="D1021" s="259" t="s">
        <v>21</v>
      </c>
      <c r="E1021" s="259" t="s">
        <v>719</v>
      </c>
      <c r="F1021" s="259" t="s">
        <v>47</v>
      </c>
      <c r="G1021" s="259">
        <v>38</v>
      </c>
      <c r="H1021" s="259"/>
      <c r="I1021" s="259">
        <v>331</v>
      </c>
      <c r="J1021" s="259"/>
      <c r="K1021" s="260">
        <v>44835</v>
      </c>
      <c r="L1021" s="259">
        <v>41.960949999999997</v>
      </c>
      <c r="M1021" s="259">
        <v>91</v>
      </c>
      <c r="N1021" s="259">
        <v>0</v>
      </c>
      <c r="O1021" s="259">
        <v>22.626370000000001</v>
      </c>
      <c r="P1021" s="259">
        <v>0</v>
      </c>
      <c r="Q1021" s="259">
        <v>0</v>
      </c>
      <c r="R1021" s="259">
        <v>0</v>
      </c>
      <c r="S1021" s="259">
        <v>0</v>
      </c>
      <c r="T1021" s="259">
        <v>4.6010099999999996</v>
      </c>
      <c r="U1021" s="259">
        <v>5.9139999999999997</v>
      </c>
      <c r="V1021" s="259">
        <v>0.27798</v>
      </c>
      <c r="W1021" s="259">
        <v>1.3620099999999999</v>
      </c>
      <c r="X1021" s="259">
        <v>0</v>
      </c>
      <c r="Y1021" s="259">
        <v>0</v>
      </c>
      <c r="Z1021" s="259">
        <v>5.4092799999999999</v>
      </c>
      <c r="AA1021" s="259">
        <v>1.7703</v>
      </c>
      <c r="AB1021" s="259">
        <v>0</v>
      </c>
      <c r="AC1021" s="259">
        <v>0</v>
      </c>
      <c r="AD1021" s="259">
        <v>1</v>
      </c>
      <c r="AE1021" s="259" t="s">
        <v>20</v>
      </c>
      <c r="AF1021" s="259" t="s">
        <v>718</v>
      </c>
      <c r="AG1021" s="259">
        <f>+O1021*M1021/100</f>
        <v>20.5899967</v>
      </c>
      <c r="AH1021" s="259">
        <f>+P1021*M1021/100</f>
        <v>0</v>
      </c>
      <c r="AI1021" s="259">
        <f>+AB1021*M1021/100</f>
        <v>0</v>
      </c>
      <c r="AJ1021" s="259">
        <f>+AG1021+AH1021+AI1021</f>
        <v>20.5899967</v>
      </c>
    </row>
    <row r="1022" spans="1:36" x14ac:dyDescent="0.2">
      <c r="A1022" s="253" t="str">
        <f t="shared" si="89"/>
        <v>3SNMCLBNGKEYKB16</v>
      </c>
      <c r="B1022" s="252" t="s">
        <v>450</v>
      </c>
      <c r="C1022" s="252" t="s">
        <v>470</v>
      </c>
      <c r="D1022" s="252" t="s">
        <v>451</v>
      </c>
      <c r="E1022" s="252" t="str">
        <f>"ＭＣラベル                    "</f>
        <v xml:space="preserve">ＭＣラベル                    </v>
      </c>
      <c r="F1022" s="252" t="str">
        <f>"NGKEYKB"</f>
        <v>NGKEYKB</v>
      </c>
      <c r="G1022" s="252">
        <v>16</v>
      </c>
      <c r="H1022" s="252" t="str">
        <f t="shared" ref="H1022:H1027" si="94">" "</f>
        <v xml:space="preserve"> </v>
      </c>
      <c r="I1022" s="252" t="str">
        <f t="shared" ref="I1022:I1027" si="95">"3"</f>
        <v>3</v>
      </c>
      <c r="J1022" s="252" t="str">
        <f t="shared" ref="J1022:J1027" si="96">"   "</f>
        <v xml:space="preserve">   </v>
      </c>
      <c r="K1022" s="397">
        <v>45200</v>
      </c>
      <c r="L1022" s="252">
        <v>173.45193</v>
      </c>
      <c r="M1022" s="252">
        <v>86</v>
      </c>
      <c r="N1022" s="252">
        <v>0</v>
      </c>
      <c r="O1022" s="252">
        <v>67.069770000000005</v>
      </c>
      <c r="P1022" s="252">
        <v>10.41916</v>
      </c>
      <c r="Q1022" s="252">
        <v>0</v>
      </c>
      <c r="R1022" s="252">
        <v>0</v>
      </c>
      <c r="S1022" s="252">
        <v>0</v>
      </c>
      <c r="T1022" s="252">
        <v>4.5500499999999997</v>
      </c>
      <c r="U1022" s="252">
        <v>2.3251200000000001</v>
      </c>
      <c r="V1022" s="252">
        <v>1.0388999999999999</v>
      </c>
      <c r="W1022" s="252">
        <v>21.158770000000001</v>
      </c>
      <c r="X1022" s="252">
        <v>0</v>
      </c>
      <c r="Y1022" s="252">
        <v>0</v>
      </c>
      <c r="Z1022" s="252">
        <v>30.883310000000002</v>
      </c>
      <c r="AA1022" s="252">
        <v>14.47922</v>
      </c>
      <c r="AB1022" s="252">
        <v>21.527629999999998</v>
      </c>
      <c r="AC1022" s="252">
        <v>0</v>
      </c>
      <c r="AD1022" s="252">
        <v>1</v>
      </c>
      <c r="AE1022" s="252" t="s">
        <v>19</v>
      </c>
      <c r="AF1022" s="252" t="s">
        <v>718</v>
      </c>
      <c r="AG1022" s="252">
        <f t="shared" ref="AG1022:AG1026" si="97">+O1022*M1022/100</f>
        <v>57.680002200000011</v>
      </c>
      <c r="AH1022" s="252">
        <f t="shared" ref="AH1022:AH1026" si="98">+P1022*M1022/100</f>
        <v>8.960477599999999</v>
      </c>
      <c r="AI1022" s="252">
        <f t="shared" ref="AI1022:AI1026" si="99">+AB1022*M1022/100</f>
        <v>18.513761800000001</v>
      </c>
      <c r="AJ1022" s="252">
        <f t="shared" ref="AJ1022:AJ1026" si="100">+AG1022+AH1022+AI1022</f>
        <v>85.154241600000006</v>
      </c>
    </row>
    <row r="1023" spans="1:36" x14ac:dyDescent="0.2">
      <c r="A1023" s="253" t="str">
        <f t="shared" si="89"/>
        <v>3SNCLBE20V38</v>
      </c>
      <c r="B1023" s="252" t="s">
        <v>450</v>
      </c>
      <c r="C1023" s="252" t="s">
        <v>470</v>
      </c>
      <c r="D1023" s="252" t="s">
        <v>772</v>
      </c>
      <c r="E1023" s="252" t="str">
        <f>"Ｃラベル                      "</f>
        <v xml:space="preserve">Ｃラベル                      </v>
      </c>
      <c r="F1023" s="252" t="str">
        <f>"E20V"</f>
        <v>E20V</v>
      </c>
      <c r="G1023" s="252">
        <v>38</v>
      </c>
      <c r="H1023" s="252" t="str">
        <f t="shared" si="94"/>
        <v xml:space="preserve"> </v>
      </c>
      <c r="I1023" s="252" t="str">
        <f t="shared" si="95"/>
        <v>3</v>
      </c>
      <c r="J1023" s="252" t="str">
        <f t="shared" si="96"/>
        <v xml:space="preserve">   </v>
      </c>
      <c r="K1023" s="397">
        <v>45200</v>
      </c>
      <c r="L1023" s="252">
        <v>50.539940000000001</v>
      </c>
      <c r="M1023" s="252">
        <v>97.2</v>
      </c>
      <c r="N1023" s="252">
        <v>0</v>
      </c>
      <c r="O1023" s="252">
        <v>0</v>
      </c>
      <c r="P1023" s="252">
        <v>0</v>
      </c>
      <c r="Q1023" s="252">
        <v>0</v>
      </c>
      <c r="R1023" s="252">
        <v>0</v>
      </c>
      <c r="S1023" s="252">
        <v>0</v>
      </c>
      <c r="T1023" s="252">
        <v>5.1100599999999998</v>
      </c>
      <c r="U1023" s="252">
        <v>1.39907</v>
      </c>
      <c r="V1023" s="252">
        <v>0.56194</v>
      </c>
      <c r="W1023" s="252">
        <v>15.75583</v>
      </c>
      <c r="X1023" s="252">
        <v>0</v>
      </c>
      <c r="Y1023" s="252">
        <v>0</v>
      </c>
      <c r="Z1023" s="252">
        <v>17.577490000000001</v>
      </c>
      <c r="AA1023" s="252">
        <v>10.13555</v>
      </c>
      <c r="AB1023" s="252">
        <v>0</v>
      </c>
      <c r="AC1023" s="252">
        <v>0</v>
      </c>
      <c r="AD1023" s="252">
        <v>1</v>
      </c>
      <c r="AE1023" s="252" t="s">
        <v>720</v>
      </c>
      <c r="AF1023" s="252" t="s">
        <v>721</v>
      </c>
      <c r="AG1023" s="252">
        <f t="shared" si="97"/>
        <v>0</v>
      </c>
      <c r="AH1023" s="252">
        <f t="shared" si="98"/>
        <v>0</v>
      </c>
      <c r="AI1023" s="252">
        <f t="shared" si="99"/>
        <v>0</v>
      </c>
      <c r="AJ1023" s="252">
        <f t="shared" si="100"/>
        <v>0</v>
      </c>
    </row>
    <row r="1024" spans="1:36" x14ac:dyDescent="0.2">
      <c r="A1024" s="253" t="str">
        <f t="shared" si="89"/>
        <v>3SNCLBE20V50</v>
      </c>
      <c r="B1024" s="252" t="s">
        <v>450</v>
      </c>
      <c r="C1024" s="252" t="s">
        <v>470</v>
      </c>
      <c r="D1024" s="252" t="s">
        <v>772</v>
      </c>
      <c r="E1024" s="252" t="str">
        <f>"Ｃラベル                      "</f>
        <v xml:space="preserve">Ｃラベル                      </v>
      </c>
      <c r="F1024" s="252" t="str">
        <f>"E20V"</f>
        <v>E20V</v>
      </c>
      <c r="G1024" s="252">
        <v>50</v>
      </c>
      <c r="H1024" s="252" t="str">
        <f t="shared" si="94"/>
        <v xml:space="preserve"> </v>
      </c>
      <c r="I1024" s="252" t="str">
        <f t="shared" si="95"/>
        <v>3</v>
      </c>
      <c r="J1024" s="252" t="str">
        <f t="shared" si="96"/>
        <v xml:space="preserve">   </v>
      </c>
      <c r="K1024" s="397">
        <v>45200</v>
      </c>
      <c r="L1024" s="252">
        <v>50.386110000000002</v>
      </c>
      <c r="M1024" s="252">
        <v>97.5</v>
      </c>
      <c r="N1024" s="252">
        <v>0</v>
      </c>
      <c r="O1024" s="252">
        <v>0</v>
      </c>
      <c r="P1024" s="252">
        <v>0</v>
      </c>
      <c r="Q1024" s="252">
        <v>0</v>
      </c>
      <c r="R1024" s="252">
        <v>0</v>
      </c>
      <c r="S1024" s="252">
        <v>0</v>
      </c>
      <c r="T1024" s="252">
        <v>5.0900600000000003</v>
      </c>
      <c r="U1024" s="252">
        <v>1.39907</v>
      </c>
      <c r="V1024" s="252">
        <v>0.56093999999999999</v>
      </c>
      <c r="W1024" s="252">
        <v>15.70783</v>
      </c>
      <c r="X1024" s="252">
        <v>0</v>
      </c>
      <c r="Y1024" s="252">
        <v>0</v>
      </c>
      <c r="Z1024" s="252">
        <v>17.52383</v>
      </c>
      <c r="AA1024" s="252">
        <v>10.104380000000001</v>
      </c>
      <c r="AB1024" s="252">
        <v>0</v>
      </c>
      <c r="AC1024" s="252">
        <v>0</v>
      </c>
      <c r="AD1024" s="252">
        <v>1</v>
      </c>
      <c r="AE1024" s="252" t="s">
        <v>720</v>
      </c>
      <c r="AF1024" s="252" t="s">
        <v>721</v>
      </c>
      <c r="AG1024" s="252">
        <f t="shared" si="97"/>
        <v>0</v>
      </c>
      <c r="AH1024" s="252">
        <f t="shared" si="98"/>
        <v>0</v>
      </c>
      <c r="AI1024" s="252">
        <f t="shared" si="99"/>
        <v>0</v>
      </c>
      <c r="AJ1024" s="252">
        <f t="shared" si="100"/>
        <v>0</v>
      </c>
    </row>
    <row r="1025" spans="1:36" x14ac:dyDescent="0.2">
      <c r="A1025" s="253" t="str">
        <f t="shared" si="89"/>
        <v>3SNCLBE20V75</v>
      </c>
      <c r="B1025" s="252" t="s">
        <v>450</v>
      </c>
      <c r="C1025" s="252" t="s">
        <v>470</v>
      </c>
      <c r="D1025" s="252" t="s">
        <v>772</v>
      </c>
      <c r="E1025" s="252" t="str">
        <f>"Ｃラベル                      "</f>
        <v xml:space="preserve">Ｃラベル                      </v>
      </c>
      <c r="F1025" s="252" t="str">
        <f>"E20V"</f>
        <v>E20V</v>
      </c>
      <c r="G1025" s="252">
        <v>75</v>
      </c>
      <c r="H1025" s="252" t="str">
        <f t="shared" si="94"/>
        <v xml:space="preserve"> </v>
      </c>
      <c r="I1025" s="252" t="str">
        <f t="shared" si="95"/>
        <v>3</v>
      </c>
      <c r="J1025" s="252" t="str">
        <f t="shared" si="96"/>
        <v xml:space="preserve">   </v>
      </c>
      <c r="K1025" s="397">
        <v>45200</v>
      </c>
      <c r="L1025" s="252">
        <v>55.613039999999998</v>
      </c>
      <c r="M1025" s="252">
        <v>96.2</v>
      </c>
      <c r="N1025" s="252">
        <v>0</v>
      </c>
      <c r="O1025" s="252">
        <v>0</v>
      </c>
      <c r="P1025" s="252">
        <v>0</v>
      </c>
      <c r="Q1025" s="252">
        <v>0</v>
      </c>
      <c r="R1025" s="252">
        <v>0</v>
      </c>
      <c r="S1025" s="252">
        <v>0</v>
      </c>
      <c r="T1025" s="252">
        <v>5.1600599999999996</v>
      </c>
      <c r="U1025" s="252">
        <v>1.86609</v>
      </c>
      <c r="V1025" s="252">
        <v>0.61994000000000005</v>
      </c>
      <c r="W1025" s="252">
        <v>17.366810000000001</v>
      </c>
      <c r="X1025" s="252">
        <v>0</v>
      </c>
      <c r="Y1025" s="252">
        <v>0</v>
      </c>
      <c r="Z1025" s="252">
        <v>19.42267</v>
      </c>
      <c r="AA1025" s="252">
        <v>11.17747</v>
      </c>
      <c r="AB1025" s="252">
        <v>0</v>
      </c>
      <c r="AC1025" s="252">
        <v>0</v>
      </c>
      <c r="AD1025" s="252">
        <v>1</v>
      </c>
      <c r="AE1025" s="252" t="s">
        <v>720</v>
      </c>
      <c r="AF1025" s="252" t="s">
        <v>721</v>
      </c>
      <c r="AG1025" s="252">
        <f t="shared" si="97"/>
        <v>0</v>
      </c>
      <c r="AH1025" s="252">
        <f t="shared" si="98"/>
        <v>0</v>
      </c>
      <c r="AI1025" s="252">
        <f t="shared" si="99"/>
        <v>0</v>
      </c>
      <c r="AJ1025" s="252">
        <f t="shared" si="100"/>
        <v>0</v>
      </c>
    </row>
    <row r="1026" spans="1:36" x14ac:dyDescent="0.2">
      <c r="A1026" s="253" t="str">
        <f t="shared" si="89"/>
        <v>3SNCLBE20V100</v>
      </c>
      <c r="B1026" s="252" t="s">
        <v>450</v>
      </c>
      <c r="C1026" s="252" t="s">
        <v>470</v>
      </c>
      <c r="D1026" s="252" t="s">
        <v>772</v>
      </c>
      <c r="E1026" s="252" t="str">
        <f>"Ｃラベル                      "</f>
        <v xml:space="preserve">Ｃラベル                      </v>
      </c>
      <c r="F1026" s="252" t="str">
        <f>"E20V"</f>
        <v>E20V</v>
      </c>
      <c r="G1026" s="252">
        <v>100</v>
      </c>
      <c r="H1026" s="252" t="str">
        <f t="shared" si="94"/>
        <v xml:space="preserve"> </v>
      </c>
      <c r="I1026" s="252" t="str">
        <f t="shared" si="95"/>
        <v>3</v>
      </c>
      <c r="J1026" s="252" t="str">
        <f t="shared" si="96"/>
        <v xml:space="preserve">   </v>
      </c>
      <c r="K1026" s="397">
        <v>45200</v>
      </c>
      <c r="L1026" s="252">
        <v>86.542879999999997</v>
      </c>
      <c r="M1026" s="252">
        <v>95.2</v>
      </c>
      <c r="N1026" s="252">
        <v>0</v>
      </c>
      <c r="O1026" s="252">
        <v>0</v>
      </c>
      <c r="P1026" s="252">
        <v>0</v>
      </c>
      <c r="Q1026" s="252">
        <v>0</v>
      </c>
      <c r="R1026" s="252">
        <v>0</v>
      </c>
      <c r="S1026" s="252">
        <v>0</v>
      </c>
      <c r="T1026" s="252">
        <v>5.2100600000000004</v>
      </c>
      <c r="U1026" s="252">
        <v>2.79914</v>
      </c>
      <c r="V1026" s="252">
        <v>0.96391000000000004</v>
      </c>
      <c r="W1026" s="252">
        <v>27.187709999999999</v>
      </c>
      <c r="X1026" s="252">
        <v>0</v>
      </c>
      <c r="Y1026" s="252">
        <v>0</v>
      </c>
      <c r="Z1026" s="252">
        <v>32.619199999999999</v>
      </c>
      <c r="AA1026" s="252">
        <v>17.76286</v>
      </c>
      <c r="AB1026" s="252">
        <v>0</v>
      </c>
      <c r="AC1026" s="252">
        <v>0</v>
      </c>
      <c r="AD1026" s="252">
        <v>1</v>
      </c>
      <c r="AE1026" s="252" t="s">
        <v>720</v>
      </c>
      <c r="AF1026" s="252" t="s">
        <v>721</v>
      </c>
      <c r="AG1026" s="252">
        <f t="shared" si="97"/>
        <v>0</v>
      </c>
      <c r="AH1026" s="252">
        <f t="shared" si="98"/>
        <v>0</v>
      </c>
      <c r="AI1026" s="252">
        <f t="shared" si="99"/>
        <v>0</v>
      </c>
      <c r="AJ1026" s="252">
        <f t="shared" si="100"/>
        <v>0</v>
      </c>
    </row>
    <row r="1027" spans="1:36" x14ac:dyDescent="0.2">
      <c r="A1027" s="253" t="str">
        <f t="shared" si="89"/>
        <v>3SNMCLBNGTVB50</v>
      </c>
      <c r="B1027" s="252" t="s">
        <v>450</v>
      </c>
      <c r="C1027" s="252" t="s">
        <v>470</v>
      </c>
      <c r="D1027" s="252" t="s">
        <v>451</v>
      </c>
      <c r="E1027" s="252" t="str">
        <f>"ＭＣラベル                    "</f>
        <v xml:space="preserve">ＭＣラベル                    </v>
      </c>
      <c r="F1027" s="252" t="str">
        <f>"NGTVB"</f>
        <v>NGTVB</v>
      </c>
      <c r="G1027" s="252">
        <v>50</v>
      </c>
      <c r="H1027" s="252" t="str">
        <f t="shared" si="94"/>
        <v xml:space="preserve"> </v>
      </c>
      <c r="I1027" s="252" t="str">
        <f t="shared" si="95"/>
        <v>3</v>
      </c>
      <c r="J1027" s="252" t="str">
        <f t="shared" si="96"/>
        <v xml:space="preserve">   </v>
      </c>
      <c r="K1027" s="397">
        <v>45200</v>
      </c>
      <c r="L1027" s="252">
        <v>62.000790000000002</v>
      </c>
      <c r="M1027" s="252">
        <v>95</v>
      </c>
      <c r="N1027" s="252">
        <v>0</v>
      </c>
      <c r="O1027" s="252">
        <v>0</v>
      </c>
      <c r="P1027" s="252">
        <v>4.0739299999999998</v>
      </c>
      <c r="Q1027" s="252">
        <v>0</v>
      </c>
      <c r="R1027" s="252">
        <v>0</v>
      </c>
      <c r="S1027" s="252">
        <v>0</v>
      </c>
      <c r="T1027" s="252">
        <v>5.2200600000000001</v>
      </c>
      <c r="U1027" s="252">
        <v>2.4891200000000002</v>
      </c>
      <c r="V1027" s="252">
        <v>0.76792000000000005</v>
      </c>
      <c r="W1027" s="252">
        <v>13.357860000000001</v>
      </c>
      <c r="X1027" s="252">
        <v>0</v>
      </c>
      <c r="Y1027" s="252">
        <v>0</v>
      </c>
      <c r="Z1027" s="252">
        <v>19.142469999999999</v>
      </c>
      <c r="AA1027" s="252">
        <v>9.1006800000000005</v>
      </c>
      <c r="AB1027" s="252">
        <v>7.8487499999999999</v>
      </c>
      <c r="AC1027" s="252">
        <v>0</v>
      </c>
      <c r="AD1027" s="252">
        <v>1</v>
      </c>
      <c r="AE1027" s="252" t="s">
        <v>19</v>
      </c>
      <c r="AF1027" s="252" t="s">
        <v>718</v>
      </c>
      <c r="AG1027" s="252">
        <f>+O1027*M1027/100</f>
        <v>0</v>
      </c>
      <c r="AH1027" s="252">
        <f>+P1027*M1027/100</f>
        <v>3.8702334999999999</v>
      </c>
      <c r="AI1027" s="252">
        <f>+AB1027*M1027/100</f>
        <v>7.4563125000000001</v>
      </c>
      <c r="AJ1027" s="252">
        <f>+AG1027+AH1027+AI1027</f>
        <v>11.326546</v>
      </c>
    </row>
    <row r="1028" spans="1:36" x14ac:dyDescent="0.2">
      <c r="A1028" s="253" t="str">
        <f t="shared" si="89"/>
        <v/>
      </c>
      <c r="K1028" s="258"/>
      <c r="AG1028" s="253"/>
    </row>
    <row r="1029" spans="1:36" x14ac:dyDescent="0.2">
      <c r="A1029" s="253" t="str">
        <f t="shared" si="89"/>
        <v/>
      </c>
      <c r="K1029" s="258"/>
      <c r="AG1029" s="253"/>
    </row>
    <row r="1030" spans="1:36" x14ac:dyDescent="0.2">
      <c r="A1030" s="253" t="str">
        <f t="shared" si="89"/>
        <v/>
      </c>
      <c r="K1030" s="258"/>
      <c r="AG1030" s="253"/>
    </row>
    <row r="1031" spans="1:36" x14ac:dyDescent="0.2">
      <c r="A1031" s="253" t="str">
        <f t="shared" si="89"/>
        <v/>
      </c>
      <c r="K1031" s="258"/>
      <c r="AG1031" s="253"/>
    </row>
    <row r="1032" spans="1:36" x14ac:dyDescent="0.2">
      <c r="A1032" s="253" t="str">
        <f t="shared" si="89"/>
        <v/>
      </c>
      <c r="K1032" s="258"/>
      <c r="AG1032" s="253"/>
    </row>
    <row r="1033" spans="1:36" x14ac:dyDescent="0.2">
      <c r="A1033" s="253" t="str">
        <f t="shared" si="89"/>
        <v/>
      </c>
      <c r="K1033" s="258"/>
      <c r="AG1033" s="253"/>
    </row>
    <row r="1034" spans="1:36" x14ac:dyDescent="0.2">
      <c r="A1034" s="253" t="str">
        <f t="shared" si="89"/>
        <v/>
      </c>
      <c r="K1034" s="258"/>
      <c r="AG1034" s="253"/>
    </row>
    <row r="1035" spans="1:36" x14ac:dyDescent="0.2">
      <c r="A1035" s="253" t="str">
        <f t="shared" si="89"/>
        <v/>
      </c>
      <c r="K1035" s="258"/>
      <c r="AG1035" s="253"/>
    </row>
    <row r="1036" spans="1:36" x14ac:dyDescent="0.2">
      <c r="A1036" s="253" t="str">
        <f t="shared" si="89"/>
        <v/>
      </c>
      <c r="K1036" s="258"/>
      <c r="AG1036" s="253"/>
    </row>
    <row r="1037" spans="1:36" x14ac:dyDescent="0.2">
      <c r="A1037" s="253" t="str">
        <f t="shared" si="89"/>
        <v/>
      </c>
      <c r="K1037" s="258"/>
      <c r="AG1037" s="253"/>
    </row>
    <row r="1038" spans="1:36" x14ac:dyDescent="0.2">
      <c r="A1038" s="253" t="str">
        <f t="shared" si="89"/>
        <v/>
      </c>
      <c r="K1038" s="258"/>
      <c r="AG1038" s="253"/>
    </row>
    <row r="1039" spans="1:36" x14ac:dyDescent="0.2">
      <c r="A1039" s="253" t="str">
        <f t="shared" si="89"/>
        <v/>
      </c>
      <c r="K1039" s="258"/>
      <c r="AG1039" s="253"/>
    </row>
    <row r="1040" spans="1:36" x14ac:dyDescent="0.2">
      <c r="A1040" s="253" t="str">
        <f t="shared" si="89"/>
        <v/>
      </c>
      <c r="K1040" s="258"/>
      <c r="AG1040" s="253"/>
    </row>
    <row r="1041" spans="1:35" x14ac:dyDescent="0.2">
      <c r="A1041" s="253" t="str">
        <f t="shared" ref="A1041:A1104" si="101">I1041&amp;B1041&amp;C1041&amp;D1041&amp;F1041&amp;G1041</f>
        <v/>
      </c>
      <c r="K1041" s="258"/>
      <c r="AG1041" s="253"/>
    </row>
    <row r="1042" spans="1:35" x14ac:dyDescent="0.2">
      <c r="A1042" s="253" t="str">
        <f t="shared" si="101"/>
        <v/>
      </c>
      <c r="K1042" s="258"/>
      <c r="AG1042" s="253"/>
    </row>
    <row r="1043" spans="1:35" x14ac:dyDescent="0.2">
      <c r="A1043" s="253" t="str">
        <f t="shared" si="101"/>
        <v/>
      </c>
      <c r="K1043" s="258"/>
      <c r="AG1043" s="253"/>
    </row>
    <row r="1044" spans="1:35" x14ac:dyDescent="0.2">
      <c r="A1044" s="253" t="str">
        <f t="shared" si="101"/>
        <v/>
      </c>
      <c r="K1044" s="258"/>
      <c r="AG1044" s="253"/>
    </row>
    <row r="1045" spans="1:35" x14ac:dyDescent="0.2">
      <c r="A1045" s="253" t="str">
        <f t="shared" si="101"/>
        <v/>
      </c>
      <c r="K1045" s="258"/>
      <c r="AG1045" s="253"/>
    </row>
    <row r="1046" spans="1:35" x14ac:dyDescent="0.2">
      <c r="A1046" s="253" t="str">
        <f t="shared" si="101"/>
        <v/>
      </c>
      <c r="K1046" s="258"/>
      <c r="AG1046" s="253"/>
      <c r="AH1046" s="253"/>
      <c r="AI1046" s="253"/>
    </row>
    <row r="1047" spans="1:35" x14ac:dyDescent="0.2">
      <c r="A1047" s="253" t="str">
        <f t="shared" si="101"/>
        <v/>
      </c>
      <c r="K1047" s="258"/>
      <c r="AG1047" s="253"/>
      <c r="AH1047" s="253"/>
      <c r="AI1047" s="253"/>
    </row>
    <row r="1048" spans="1:35" x14ac:dyDescent="0.2">
      <c r="A1048" s="253" t="str">
        <f t="shared" si="101"/>
        <v/>
      </c>
      <c r="K1048" s="258"/>
      <c r="AG1048" s="253"/>
    </row>
    <row r="1049" spans="1:35" x14ac:dyDescent="0.2">
      <c r="A1049" s="253" t="str">
        <f t="shared" si="101"/>
        <v/>
      </c>
      <c r="K1049" s="258"/>
      <c r="AG1049" s="253"/>
    </row>
    <row r="1050" spans="1:35" x14ac:dyDescent="0.2">
      <c r="A1050" s="253" t="str">
        <f t="shared" si="101"/>
        <v/>
      </c>
      <c r="K1050" s="258"/>
      <c r="AG1050" s="253"/>
    </row>
    <row r="1051" spans="1:35" x14ac:dyDescent="0.2">
      <c r="A1051" s="253" t="str">
        <f t="shared" si="101"/>
        <v/>
      </c>
      <c r="K1051" s="258"/>
      <c r="AG1051" s="253"/>
    </row>
    <row r="1052" spans="1:35" x14ac:dyDescent="0.2">
      <c r="A1052" s="253" t="str">
        <f t="shared" si="101"/>
        <v/>
      </c>
      <c r="K1052" s="258"/>
      <c r="AG1052" s="253"/>
    </row>
    <row r="1053" spans="1:35" x14ac:dyDescent="0.2">
      <c r="A1053" s="253" t="str">
        <f t="shared" si="101"/>
        <v/>
      </c>
      <c r="K1053" s="258"/>
      <c r="AG1053" s="253"/>
    </row>
    <row r="1054" spans="1:35" x14ac:dyDescent="0.2">
      <c r="A1054" s="253" t="str">
        <f t="shared" si="101"/>
        <v/>
      </c>
      <c r="K1054" s="258"/>
      <c r="AG1054" s="253"/>
    </row>
    <row r="1055" spans="1:35" x14ac:dyDescent="0.2">
      <c r="A1055" s="253" t="str">
        <f t="shared" si="101"/>
        <v/>
      </c>
      <c r="K1055" s="258"/>
      <c r="AG1055" s="253"/>
    </row>
    <row r="1056" spans="1:35" x14ac:dyDescent="0.2">
      <c r="A1056" s="253" t="str">
        <f t="shared" si="101"/>
        <v/>
      </c>
      <c r="K1056" s="258"/>
      <c r="AG1056" s="253"/>
    </row>
    <row r="1057" spans="1:33" x14ac:dyDescent="0.2">
      <c r="A1057" s="253" t="str">
        <f t="shared" si="101"/>
        <v/>
      </c>
      <c r="K1057" s="258"/>
      <c r="AG1057" s="253"/>
    </row>
    <row r="1058" spans="1:33" x14ac:dyDescent="0.2">
      <c r="A1058" s="253" t="str">
        <f t="shared" si="101"/>
        <v/>
      </c>
      <c r="K1058" s="258"/>
      <c r="AG1058" s="253"/>
    </row>
    <row r="1059" spans="1:33" x14ac:dyDescent="0.2">
      <c r="A1059" s="253" t="str">
        <f t="shared" si="101"/>
        <v/>
      </c>
      <c r="K1059" s="258"/>
      <c r="AG1059" s="253"/>
    </row>
    <row r="1060" spans="1:33" x14ac:dyDescent="0.2">
      <c r="A1060" s="253" t="str">
        <f t="shared" si="101"/>
        <v/>
      </c>
      <c r="K1060" s="258"/>
      <c r="AG1060" s="253"/>
    </row>
    <row r="1061" spans="1:33" x14ac:dyDescent="0.2">
      <c r="A1061" s="253" t="str">
        <f t="shared" si="101"/>
        <v/>
      </c>
      <c r="K1061" s="258"/>
      <c r="AG1061" s="253"/>
    </row>
    <row r="1062" spans="1:33" x14ac:dyDescent="0.2">
      <c r="A1062" s="253" t="str">
        <f t="shared" si="101"/>
        <v/>
      </c>
      <c r="K1062" s="258"/>
      <c r="AG1062" s="253"/>
    </row>
    <row r="1063" spans="1:33" x14ac:dyDescent="0.2">
      <c r="A1063" s="253" t="str">
        <f t="shared" si="101"/>
        <v/>
      </c>
      <c r="K1063" s="258"/>
      <c r="AG1063" s="253"/>
    </row>
    <row r="1064" spans="1:33" x14ac:dyDescent="0.2">
      <c r="A1064" s="253" t="str">
        <f t="shared" si="101"/>
        <v/>
      </c>
      <c r="K1064" s="258"/>
      <c r="AG1064" s="253"/>
    </row>
    <row r="1065" spans="1:33" x14ac:dyDescent="0.2">
      <c r="A1065" s="253" t="str">
        <f t="shared" si="101"/>
        <v/>
      </c>
      <c r="K1065" s="258"/>
      <c r="AG1065" s="253"/>
    </row>
    <row r="1066" spans="1:33" x14ac:dyDescent="0.2">
      <c r="A1066" s="253" t="str">
        <f t="shared" si="101"/>
        <v/>
      </c>
      <c r="K1066" s="258"/>
      <c r="AG1066" s="253"/>
    </row>
    <row r="1067" spans="1:33" x14ac:dyDescent="0.2">
      <c r="A1067" s="253" t="str">
        <f t="shared" si="101"/>
        <v/>
      </c>
      <c r="K1067" s="258"/>
      <c r="AG1067" s="253"/>
    </row>
    <row r="1068" spans="1:33" x14ac:dyDescent="0.2">
      <c r="A1068" s="253" t="str">
        <f t="shared" si="101"/>
        <v/>
      </c>
      <c r="K1068" s="258"/>
      <c r="AG1068" s="253"/>
    </row>
    <row r="1069" spans="1:33" x14ac:dyDescent="0.2">
      <c r="A1069" s="253" t="str">
        <f t="shared" si="101"/>
        <v/>
      </c>
      <c r="K1069" s="258"/>
      <c r="AG1069" s="253"/>
    </row>
    <row r="1070" spans="1:33" x14ac:dyDescent="0.2">
      <c r="A1070" s="253" t="str">
        <f t="shared" si="101"/>
        <v/>
      </c>
      <c r="K1070" s="258"/>
      <c r="AG1070" s="253"/>
    </row>
    <row r="1071" spans="1:33" x14ac:dyDescent="0.2">
      <c r="A1071" s="253" t="str">
        <f t="shared" si="101"/>
        <v/>
      </c>
      <c r="K1071" s="258"/>
      <c r="AG1071" s="253"/>
    </row>
    <row r="1072" spans="1:33" x14ac:dyDescent="0.2">
      <c r="A1072" s="253" t="str">
        <f t="shared" si="101"/>
        <v/>
      </c>
      <c r="K1072" s="258"/>
      <c r="AG1072" s="253"/>
    </row>
    <row r="1073" spans="1:33" x14ac:dyDescent="0.2">
      <c r="A1073" s="253" t="str">
        <f t="shared" si="101"/>
        <v/>
      </c>
      <c r="K1073" s="258"/>
      <c r="AG1073" s="253"/>
    </row>
    <row r="1074" spans="1:33" x14ac:dyDescent="0.2">
      <c r="A1074" s="253" t="str">
        <f t="shared" si="101"/>
        <v/>
      </c>
      <c r="K1074" s="258"/>
      <c r="AG1074" s="253"/>
    </row>
    <row r="1075" spans="1:33" x14ac:dyDescent="0.2">
      <c r="A1075" s="253" t="str">
        <f t="shared" si="101"/>
        <v/>
      </c>
      <c r="K1075" s="258"/>
      <c r="AG1075" s="253"/>
    </row>
    <row r="1076" spans="1:33" x14ac:dyDescent="0.2">
      <c r="A1076" s="253" t="str">
        <f t="shared" si="101"/>
        <v/>
      </c>
      <c r="K1076" s="258"/>
      <c r="AG1076" s="253"/>
    </row>
    <row r="1077" spans="1:33" x14ac:dyDescent="0.2">
      <c r="A1077" s="253" t="str">
        <f t="shared" si="101"/>
        <v/>
      </c>
      <c r="K1077" s="258"/>
      <c r="AG1077" s="253"/>
    </row>
    <row r="1078" spans="1:33" x14ac:dyDescent="0.2">
      <c r="A1078" s="253" t="str">
        <f t="shared" si="101"/>
        <v/>
      </c>
      <c r="K1078" s="258"/>
      <c r="AG1078" s="253"/>
    </row>
    <row r="1079" spans="1:33" x14ac:dyDescent="0.2">
      <c r="A1079" s="253" t="str">
        <f t="shared" si="101"/>
        <v/>
      </c>
      <c r="K1079" s="258"/>
      <c r="AG1079" s="253"/>
    </row>
    <row r="1080" spans="1:33" x14ac:dyDescent="0.2">
      <c r="A1080" s="253" t="str">
        <f t="shared" si="101"/>
        <v/>
      </c>
      <c r="K1080" s="258"/>
      <c r="AG1080" s="253"/>
    </row>
    <row r="1081" spans="1:33" x14ac:dyDescent="0.2">
      <c r="A1081" s="253" t="str">
        <f t="shared" si="101"/>
        <v/>
      </c>
      <c r="K1081" s="258"/>
      <c r="AG1081" s="253"/>
    </row>
    <row r="1082" spans="1:33" x14ac:dyDescent="0.2">
      <c r="A1082" s="253" t="str">
        <f t="shared" si="101"/>
        <v/>
      </c>
      <c r="K1082" s="258"/>
      <c r="AG1082" s="253"/>
    </row>
    <row r="1083" spans="1:33" x14ac:dyDescent="0.2">
      <c r="A1083" s="253" t="str">
        <f t="shared" si="101"/>
        <v/>
      </c>
      <c r="K1083" s="258"/>
      <c r="AG1083" s="253"/>
    </row>
    <row r="1084" spans="1:33" x14ac:dyDescent="0.2">
      <c r="A1084" s="253" t="str">
        <f t="shared" si="101"/>
        <v/>
      </c>
      <c r="K1084" s="258"/>
      <c r="AG1084" s="253"/>
    </row>
    <row r="1085" spans="1:33" x14ac:dyDescent="0.2">
      <c r="A1085" s="253" t="str">
        <f t="shared" si="101"/>
        <v/>
      </c>
      <c r="K1085" s="258"/>
      <c r="AG1085" s="253"/>
    </row>
    <row r="1086" spans="1:33" x14ac:dyDescent="0.2">
      <c r="A1086" s="253" t="str">
        <f t="shared" si="101"/>
        <v/>
      </c>
      <c r="K1086" s="258"/>
      <c r="AG1086" s="253"/>
    </row>
    <row r="1087" spans="1:33" x14ac:dyDescent="0.2">
      <c r="A1087" s="253" t="str">
        <f t="shared" si="101"/>
        <v/>
      </c>
      <c r="K1087" s="258"/>
      <c r="AG1087" s="253"/>
    </row>
    <row r="1088" spans="1:33" x14ac:dyDescent="0.2">
      <c r="A1088" s="253" t="str">
        <f t="shared" si="101"/>
        <v/>
      </c>
      <c r="K1088" s="258"/>
      <c r="AG1088" s="253"/>
    </row>
    <row r="1089" spans="1:33" x14ac:dyDescent="0.2">
      <c r="A1089" s="253" t="str">
        <f t="shared" si="101"/>
        <v/>
      </c>
      <c r="K1089" s="258"/>
      <c r="AG1089" s="253"/>
    </row>
    <row r="1090" spans="1:33" x14ac:dyDescent="0.2">
      <c r="A1090" s="253" t="str">
        <f t="shared" si="101"/>
        <v/>
      </c>
      <c r="K1090" s="258"/>
      <c r="AG1090" s="253"/>
    </row>
    <row r="1091" spans="1:33" x14ac:dyDescent="0.2">
      <c r="A1091" s="253" t="str">
        <f t="shared" si="101"/>
        <v/>
      </c>
      <c r="K1091" s="258"/>
      <c r="AG1091" s="253"/>
    </row>
    <row r="1092" spans="1:33" x14ac:dyDescent="0.2">
      <c r="A1092" s="253" t="str">
        <f t="shared" si="101"/>
        <v/>
      </c>
      <c r="K1092" s="258"/>
      <c r="AG1092" s="253"/>
    </row>
    <row r="1093" spans="1:33" x14ac:dyDescent="0.2">
      <c r="A1093" s="253" t="str">
        <f t="shared" si="101"/>
        <v/>
      </c>
      <c r="K1093" s="258"/>
      <c r="AG1093" s="253"/>
    </row>
    <row r="1094" spans="1:33" x14ac:dyDescent="0.2">
      <c r="A1094" s="253" t="str">
        <f t="shared" si="101"/>
        <v/>
      </c>
      <c r="K1094" s="258"/>
      <c r="AG1094" s="253"/>
    </row>
    <row r="1095" spans="1:33" x14ac:dyDescent="0.2">
      <c r="A1095" s="253" t="str">
        <f t="shared" si="101"/>
        <v/>
      </c>
      <c r="K1095" s="258"/>
      <c r="AG1095" s="253"/>
    </row>
    <row r="1096" spans="1:33" x14ac:dyDescent="0.2">
      <c r="A1096" s="253" t="str">
        <f t="shared" si="101"/>
        <v/>
      </c>
      <c r="K1096" s="258"/>
      <c r="AG1096" s="253"/>
    </row>
    <row r="1097" spans="1:33" x14ac:dyDescent="0.2">
      <c r="A1097" s="253" t="str">
        <f t="shared" si="101"/>
        <v/>
      </c>
      <c r="K1097" s="258"/>
      <c r="AG1097" s="253"/>
    </row>
    <row r="1098" spans="1:33" x14ac:dyDescent="0.2">
      <c r="A1098" s="253" t="str">
        <f t="shared" si="101"/>
        <v/>
      </c>
      <c r="K1098" s="258"/>
      <c r="AG1098" s="253"/>
    </row>
    <row r="1099" spans="1:33" x14ac:dyDescent="0.2">
      <c r="A1099" s="253" t="str">
        <f t="shared" si="101"/>
        <v/>
      </c>
      <c r="K1099" s="258"/>
      <c r="AG1099" s="253"/>
    </row>
    <row r="1100" spans="1:33" x14ac:dyDescent="0.2">
      <c r="A1100" s="253" t="str">
        <f t="shared" si="101"/>
        <v/>
      </c>
      <c r="K1100" s="258"/>
      <c r="AG1100" s="253"/>
    </row>
    <row r="1101" spans="1:33" x14ac:dyDescent="0.2">
      <c r="A1101" s="253" t="str">
        <f t="shared" si="101"/>
        <v/>
      </c>
      <c r="K1101" s="258"/>
      <c r="AG1101" s="253"/>
    </row>
    <row r="1102" spans="1:33" x14ac:dyDescent="0.2">
      <c r="A1102" s="253" t="str">
        <f t="shared" si="101"/>
        <v/>
      </c>
      <c r="K1102" s="258"/>
      <c r="AG1102" s="253"/>
    </row>
    <row r="1103" spans="1:33" x14ac:dyDescent="0.2">
      <c r="A1103" s="253" t="str">
        <f t="shared" si="101"/>
        <v/>
      </c>
      <c r="K1103" s="258"/>
      <c r="AG1103" s="253"/>
    </row>
    <row r="1104" spans="1:33" x14ac:dyDescent="0.2">
      <c r="A1104" s="253" t="str">
        <f t="shared" si="101"/>
        <v/>
      </c>
      <c r="K1104" s="258"/>
      <c r="AG1104" s="253"/>
    </row>
    <row r="1105" spans="1:35" x14ac:dyDescent="0.2">
      <c r="A1105" s="253" t="str">
        <f t="shared" ref="A1105:A1168" si="102">I1105&amp;B1105&amp;C1105&amp;D1105&amp;F1105&amp;G1105</f>
        <v/>
      </c>
      <c r="K1105" s="258"/>
      <c r="AG1105" s="253"/>
    </row>
    <row r="1106" spans="1:35" x14ac:dyDescent="0.2">
      <c r="A1106" s="253" t="str">
        <f t="shared" si="102"/>
        <v/>
      </c>
      <c r="K1106" s="258"/>
      <c r="AG1106" s="253"/>
      <c r="AH1106" s="253"/>
      <c r="AI1106" s="253"/>
    </row>
    <row r="1107" spans="1:35" x14ac:dyDescent="0.2">
      <c r="A1107" s="253" t="str">
        <f t="shared" si="102"/>
        <v/>
      </c>
      <c r="K1107" s="258"/>
      <c r="AG1107" s="253"/>
      <c r="AH1107" s="253"/>
      <c r="AI1107" s="253"/>
    </row>
    <row r="1108" spans="1:35" x14ac:dyDescent="0.2">
      <c r="A1108" s="253" t="str">
        <f t="shared" si="102"/>
        <v/>
      </c>
      <c r="K1108" s="258"/>
      <c r="AG1108" s="253"/>
    </row>
    <row r="1109" spans="1:35" x14ac:dyDescent="0.2">
      <c r="A1109" s="253" t="str">
        <f t="shared" si="102"/>
        <v/>
      </c>
      <c r="K1109" s="258"/>
      <c r="AG1109" s="253"/>
      <c r="AH1109" s="253"/>
      <c r="AI1109" s="253"/>
    </row>
    <row r="1110" spans="1:35" x14ac:dyDescent="0.2">
      <c r="A1110" s="253" t="str">
        <f t="shared" si="102"/>
        <v/>
      </c>
      <c r="K1110" s="258"/>
      <c r="AG1110" s="253"/>
    </row>
    <row r="1111" spans="1:35" x14ac:dyDescent="0.2">
      <c r="A1111" s="253" t="str">
        <f t="shared" si="102"/>
        <v/>
      </c>
      <c r="K1111" s="258"/>
      <c r="AG1111" s="253"/>
    </row>
    <row r="1112" spans="1:35" x14ac:dyDescent="0.2">
      <c r="A1112" s="253" t="str">
        <f t="shared" si="102"/>
        <v/>
      </c>
      <c r="K1112" s="258"/>
      <c r="AG1112" s="253"/>
      <c r="AH1112" s="253"/>
      <c r="AI1112" s="253"/>
    </row>
    <row r="1113" spans="1:35" x14ac:dyDescent="0.2">
      <c r="A1113" s="253" t="str">
        <f t="shared" si="102"/>
        <v/>
      </c>
      <c r="K1113" s="258"/>
      <c r="AG1113" s="253"/>
      <c r="AH1113" s="253"/>
      <c r="AI1113" s="253"/>
    </row>
    <row r="1114" spans="1:35" x14ac:dyDescent="0.2">
      <c r="A1114" s="253" t="str">
        <f t="shared" si="102"/>
        <v/>
      </c>
      <c r="K1114" s="258"/>
      <c r="AG1114" s="253"/>
      <c r="AH1114" s="253"/>
      <c r="AI1114" s="253"/>
    </row>
    <row r="1115" spans="1:35" x14ac:dyDescent="0.2">
      <c r="A1115" s="253" t="str">
        <f t="shared" si="102"/>
        <v/>
      </c>
      <c r="K1115" s="258"/>
      <c r="AG1115" s="253"/>
      <c r="AH1115" s="253"/>
      <c r="AI1115" s="253"/>
    </row>
    <row r="1116" spans="1:35" x14ac:dyDescent="0.2">
      <c r="A1116" s="253" t="str">
        <f t="shared" si="102"/>
        <v/>
      </c>
      <c r="K1116" s="258"/>
      <c r="AG1116" s="253"/>
      <c r="AH1116" s="253"/>
      <c r="AI1116" s="253"/>
    </row>
    <row r="1117" spans="1:35" x14ac:dyDescent="0.2">
      <c r="A1117" s="253" t="str">
        <f t="shared" si="102"/>
        <v/>
      </c>
      <c r="K1117" s="258"/>
      <c r="AG1117" s="253"/>
    </row>
    <row r="1118" spans="1:35" x14ac:dyDescent="0.2">
      <c r="A1118" s="253" t="str">
        <f t="shared" si="102"/>
        <v/>
      </c>
      <c r="K1118" s="258"/>
      <c r="AG1118" s="253"/>
    </row>
    <row r="1119" spans="1:35" x14ac:dyDescent="0.2">
      <c r="A1119" s="253" t="str">
        <f t="shared" si="102"/>
        <v/>
      </c>
      <c r="K1119" s="258"/>
      <c r="AG1119" s="253"/>
    </row>
    <row r="1120" spans="1:35" x14ac:dyDescent="0.2">
      <c r="A1120" s="253" t="str">
        <f t="shared" si="102"/>
        <v/>
      </c>
      <c r="K1120" s="258"/>
      <c r="AG1120" s="253"/>
    </row>
    <row r="1121" spans="1:35" x14ac:dyDescent="0.2">
      <c r="A1121" s="253" t="str">
        <f t="shared" si="102"/>
        <v/>
      </c>
      <c r="K1121" s="258"/>
      <c r="AG1121" s="253"/>
    </row>
    <row r="1122" spans="1:35" x14ac:dyDescent="0.2">
      <c r="A1122" s="253" t="str">
        <f t="shared" si="102"/>
        <v/>
      </c>
      <c r="K1122" s="258"/>
      <c r="AG1122" s="253"/>
    </row>
    <row r="1123" spans="1:35" x14ac:dyDescent="0.2">
      <c r="A1123" s="253" t="str">
        <f t="shared" si="102"/>
        <v/>
      </c>
      <c r="K1123" s="258"/>
      <c r="AG1123" s="253"/>
    </row>
    <row r="1124" spans="1:35" x14ac:dyDescent="0.2">
      <c r="A1124" s="253" t="str">
        <f t="shared" si="102"/>
        <v/>
      </c>
      <c r="K1124" s="258"/>
      <c r="AG1124" s="253"/>
    </row>
    <row r="1125" spans="1:35" x14ac:dyDescent="0.2">
      <c r="A1125" s="253" t="str">
        <f t="shared" si="102"/>
        <v/>
      </c>
      <c r="K1125" s="258"/>
      <c r="AG1125" s="253"/>
    </row>
    <row r="1126" spans="1:35" x14ac:dyDescent="0.2">
      <c r="A1126" s="253" t="str">
        <f t="shared" si="102"/>
        <v/>
      </c>
      <c r="K1126" s="258"/>
      <c r="AG1126" s="253"/>
    </row>
    <row r="1127" spans="1:35" x14ac:dyDescent="0.2">
      <c r="A1127" s="253" t="str">
        <f t="shared" si="102"/>
        <v/>
      </c>
      <c r="K1127" s="258"/>
      <c r="AG1127" s="253"/>
      <c r="AH1127" s="253"/>
      <c r="AI1127" s="253"/>
    </row>
    <row r="1128" spans="1:35" x14ac:dyDescent="0.2">
      <c r="A1128" s="253" t="str">
        <f t="shared" si="102"/>
        <v/>
      </c>
      <c r="K1128" s="258"/>
      <c r="AG1128" s="253"/>
    </row>
    <row r="1129" spans="1:35" x14ac:dyDescent="0.2">
      <c r="A1129" s="253" t="str">
        <f t="shared" si="102"/>
        <v/>
      </c>
      <c r="K1129" s="258"/>
      <c r="AG1129" s="253"/>
    </row>
    <row r="1130" spans="1:35" x14ac:dyDescent="0.2">
      <c r="A1130" s="253" t="str">
        <f t="shared" si="102"/>
        <v/>
      </c>
      <c r="K1130" s="258"/>
      <c r="AG1130" s="253"/>
    </row>
    <row r="1131" spans="1:35" x14ac:dyDescent="0.2">
      <c r="A1131" s="253" t="str">
        <f t="shared" si="102"/>
        <v/>
      </c>
      <c r="K1131" s="258"/>
      <c r="AG1131" s="253"/>
    </row>
    <row r="1132" spans="1:35" x14ac:dyDescent="0.2">
      <c r="A1132" s="253" t="str">
        <f t="shared" si="102"/>
        <v/>
      </c>
      <c r="K1132" s="258"/>
      <c r="AG1132" s="253"/>
    </row>
    <row r="1133" spans="1:35" x14ac:dyDescent="0.2">
      <c r="A1133" s="253" t="str">
        <f t="shared" si="102"/>
        <v/>
      </c>
      <c r="K1133" s="258"/>
      <c r="AG1133" s="253"/>
    </row>
    <row r="1134" spans="1:35" x14ac:dyDescent="0.2">
      <c r="A1134" s="253" t="str">
        <f t="shared" si="102"/>
        <v/>
      </c>
      <c r="K1134" s="258"/>
      <c r="AG1134" s="253"/>
    </row>
    <row r="1135" spans="1:35" x14ac:dyDescent="0.2">
      <c r="A1135" s="253" t="str">
        <f t="shared" si="102"/>
        <v/>
      </c>
      <c r="K1135" s="258"/>
      <c r="AG1135" s="253"/>
    </row>
    <row r="1136" spans="1:35" x14ac:dyDescent="0.2">
      <c r="A1136" s="253" t="str">
        <f t="shared" si="102"/>
        <v/>
      </c>
      <c r="K1136" s="258"/>
      <c r="AG1136" s="253"/>
    </row>
    <row r="1137" spans="1:33" x14ac:dyDescent="0.2">
      <c r="A1137" s="253" t="str">
        <f t="shared" si="102"/>
        <v/>
      </c>
      <c r="K1137" s="258"/>
      <c r="AG1137" s="253"/>
    </row>
    <row r="1138" spans="1:33" x14ac:dyDescent="0.2">
      <c r="A1138" s="253" t="str">
        <f t="shared" si="102"/>
        <v/>
      </c>
      <c r="K1138" s="258"/>
      <c r="AG1138" s="253"/>
    </row>
    <row r="1139" spans="1:33" x14ac:dyDescent="0.2">
      <c r="A1139" s="253" t="str">
        <f t="shared" si="102"/>
        <v/>
      </c>
      <c r="K1139" s="258"/>
      <c r="AG1139" s="253"/>
    </row>
    <row r="1140" spans="1:33" x14ac:dyDescent="0.2">
      <c r="A1140" s="253" t="str">
        <f t="shared" si="102"/>
        <v/>
      </c>
      <c r="K1140" s="258"/>
      <c r="AG1140" s="253"/>
    </row>
    <row r="1141" spans="1:33" x14ac:dyDescent="0.2">
      <c r="A1141" s="253" t="str">
        <f t="shared" si="102"/>
        <v/>
      </c>
      <c r="K1141" s="258"/>
      <c r="AG1141" s="253"/>
    </row>
    <row r="1142" spans="1:33" x14ac:dyDescent="0.2">
      <c r="A1142" s="253" t="str">
        <f t="shared" si="102"/>
        <v/>
      </c>
      <c r="K1142" s="258"/>
      <c r="AG1142" s="253"/>
    </row>
    <row r="1143" spans="1:33" x14ac:dyDescent="0.2">
      <c r="A1143" s="253" t="str">
        <f t="shared" si="102"/>
        <v/>
      </c>
      <c r="K1143" s="258"/>
      <c r="AG1143" s="253"/>
    </row>
    <row r="1144" spans="1:33" x14ac:dyDescent="0.2">
      <c r="A1144" s="253" t="str">
        <f t="shared" si="102"/>
        <v/>
      </c>
      <c r="K1144" s="258"/>
      <c r="AG1144" s="253"/>
    </row>
    <row r="1145" spans="1:33" x14ac:dyDescent="0.2">
      <c r="A1145" s="253" t="str">
        <f t="shared" si="102"/>
        <v/>
      </c>
      <c r="K1145" s="258"/>
      <c r="AG1145" s="253"/>
    </row>
    <row r="1146" spans="1:33" x14ac:dyDescent="0.2">
      <c r="A1146" s="253" t="str">
        <f t="shared" si="102"/>
        <v/>
      </c>
      <c r="K1146" s="258"/>
      <c r="AG1146" s="253"/>
    </row>
    <row r="1147" spans="1:33" x14ac:dyDescent="0.2">
      <c r="A1147" s="253" t="str">
        <f t="shared" si="102"/>
        <v/>
      </c>
      <c r="K1147" s="258"/>
      <c r="AG1147" s="253"/>
    </row>
    <row r="1148" spans="1:33" x14ac:dyDescent="0.2">
      <c r="A1148" s="253" t="str">
        <f t="shared" si="102"/>
        <v/>
      </c>
      <c r="K1148" s="258"/>
      <c r="AG1148" s="253"/>
    </row>
    <row r="1149" spans="1:33" x14ac:dyDescent="0.2">
      <c r="A1149" s="253" t="str">
        <f t="shared" si="102"/>
        <v/>
      </c>
      <c r="K1149" s="258"/>
      <c r="AG1149" s="253"/>
    </row>
    <row r="1150" spans="1:33" x14ac:dyDescent="0.2">
      <c r="A1150" s="253" t="str">
        <f t="shared" si="102"/>
        <v/>
      </c>
      <c r="K1150" s="258"/>
      <c r="AG1150" s="253"/>
    </row>
    <row r="1151" spans="1:33" x14ac:dyDescent="0.2">
      <c r="A1151" s="253" t="str">
        <f t="shared" si="102"/>
        <v/>
      </c>
      <c r="K1151" s="258"/>
      <c r="AG1151" s="253"/>
    </row>
    <row r="1152" spans="1:33" x14ac:dyDescent="0.2">
      <c r="A1152" s="253" t="str">
        <f t="shared" si="102"/>
        <v/>
      </c>
      <c r="K1152" s="258"/>
      <c r="AG1152" s="253"/>
    </row>
    <row r="1153" spans="1:33" x14ac:dyDescent="0.2">
      <c r="A1153" s="253" t="str">
        <f t="shared" si="102"/>
        <v/>
      </c>
      <c r="K1153" s="258"/>
      <c r="AG1153" s="253"/>
    </row>
    <row r="1154" spans="1:33" x14ac:dyDescent="0.2">
      <c r="A1154" s="253" t="str">
        <f t="shared" si="102"/>
        <v/>
      </c>
      <c r="K1154" s="258"/>
      <c r="AG1154" s="253"/>
    </row>
    <row r="1155" spans="1:33" x14ac:dyDescent="0.2">
      <c r="A1155" s="253" t="str">
        <f t="shared" si="102"/>
        <v/>
      </c>
      <c r="K1155" s="258"/>
      <c r="AG1155" s="253"/>
    </row>
    <row r="1156" spans="1:33" x14ac:dyDescent="0.2">
      <c r="A1156" s="253" t="str">
        <f t="shared" si="102"/>
        <v/>
      </c>
      <c r="K1156" s="258"/>
      <c r="AG1156" s="253"/>
    </row>
    <row r="1157" spans="1:33" x14ac:dyDescent="0.2">
      <c r="A1157" s="253" t="str">
        <f t="shared" si="102"/>
        <v/>
      </c>
      <c r="K1157" s="258"/>
      <c r="AG1157" s="253"/>
    </row>
    <row r="1158" spans="1:33" x14ac:dyDescent="0.2">
      <c r="A1158" s="253" t="str">
        <f t="shared" si="102"/>
        <v/>
      </c>
      <c r="K1158" s="258"/>
      <c r="AG1158" s="253"/>
    </row>
    <row r="1159" spans="1:33" x14ac:dyDescent="0.2">
      <c r="A1159" s="253" t="str">
        <f t="shared" si="102"/>
        <v/>
      </c>
      <c r="K1159" s="258"/>
      <c r="AG1159" s="253"/>
    </row>
    <row r="1160" spans="1:33" x14ac:dyDescent="0.2">
      <c r="A1160" s="253" t="str">
        <f t="shared" si="102"/>
        <v/>
      </c>
      <c r="K1160" s="258"/>
      <c r="AG1160" s="253"/>
    </row>
    <row r="1161" spans="1:33" x14ac:dyDescent="0.2">
      <c r="A1161" s="253" t="str">
        <f t="shared" si="102"/>
        <v/>
      </c>
      <c r="K1161" s="258"/>
      <c r="AG1161" s="253"/>
    </row>
    <row r="1162" spans="1:33" x14ac:dyDescent="0.2">
      <c r="A1162" s="253" t="str">
        <f t="shared" si="102"/>
        <v/>
      </c>
      <c r="K1162" s="258"/>
      <c r="AG1162" s="253"/>
    </row>
    <row r="1163" spans="1:33" x14ac:dyDescent="0.2">
      <c r="A1163" s="253" t="str">
        <f t="shared" si="102"/>
        <v/>
      </c>
      <c r="K1163" s="258"/>
      <c r="AG1163" s="253"/>
    </row>
    <row r="1164" spans="1:33" x14ac:dyDescent="0.2">
      <c r="A1164" s="253" t="str">
        <f t="shared" si="102"/>
        <v/>
      </c>
      <c r="K1164" s="258"/>
      <c r="AG1164" s="253"/>
    </row>
    <row r="1165" spans="1:33" x14ac:dyDescent="0.2">
      <c r="A1165" s="253" t="str">
        <f t="shared" si="102"/>
        <v/>
      </c>
      <c r="K1165" s="258"/>
      <c r="AG1165" s="253"/>
    </row>
    <row r="1166" spans="1:33" x14ac:dyDescent="0.2">
      <c r="A1166" s="253" t="str">
        <f t="shared" si="102"/>
        <v/>
      </c>
      <c r="K1166" s="258"/>
      <c r="AG1166" s="253"/>
    </row>
    <row r="1167" spans="1:33" x14ac:dyDescent="0.2">
      <c r="A1167" s="253" t="str">
        <f t="shared" si="102"/>
        <v/>
      </c>
      <c r="K1167" s="258"/>
      <c r="AG1167" s="253"/>
    </row>
    <row r="1168" spans="1:33" x14ac:dyDescent="0.2">
      <c r="A1168" s="253" t="str">
        <f t="shared" si="102"/>
        <v/>
      </c>
      <c r="K1168" s="258"/>
      <c r="AG1168" s="253"/>
    </row>
    <row r="1169" spans="1:33" x14ac:dyDescent="0.2">
      <c r="A1169" s="253" t="str">
        <f t="shared" ref="A1169:A1232" si="103">I1169&amp;B1169&amp;C1169&amp;D1169&amp;F1169&amp;G1169</f>
        <v/>
      </c>
      <c r="K1169" s="258"/>
      <c r="AG1169" s="253"/>
    </row>
    <row r="1170" spans="1:33" x14ac:dyDescent="0.2">
      <c r="A1170" s="253" t="str">
        <f t="shared" si="103"/>
        <v/>
      </c>
      <c r="K1170" s="258"/>
      <c r="AG1170" s="253"/>
    </row>
    <row r="1171" spans="1:33" x14ac:dyDescent="0.2">
      <c r="A1171" s="253" t="str">
        <f t="shared" si="103"/>
        <v/>
      </c>
      <c r="K1171" s="258"/>
      <c r="AG1171" s="253"/>
    </row>
    <row r="1172" spans="1:33" x14ac:dyDescent="0.2">
      <c r="A1172" s="253" t="str">
        <f t="shared" si="103"/>
        <v/>
      </c>
      <c r="K1172" s="258"/>
      <c r="AG1172" s="253"/>
    </row>
    <row r="1173" spans="1:33" x14ac:dyDescent="0.2">
      <c r="A1173" s="253" t="str">
        <f t="shared" si="103"/>
        <v/>
      </c>
      <c r="K1173" s="258"/>
      <c r="AG1173" s="253"/>
    </row>
    <row r="1174" spans="1:33" x14ac:dyDescent="0.2">
      <c r="A1174" s="253" t="str">
        <f t="shared" si="103"/>
        <v/>
      </c>
      <c r="K1174" s="258"/>
      <c r="AG1174" s="253"/>
    </row>
    <row r="1175" spans="1:33" x14ac:dyDescent="0.2">
      <c r="A1175" s="253" t="str">
        <f t="shared" si="103"/>
        <v/>
      </c>
      <c r="K1175" s="258"/>
      <c r="AG1175" s="253"/>
    </row>
    <row r="1176" spans="1:33" x14ac:dyDescent="0.2">
      <c r="A1176" s="253" t="str">
        <f t="shared" si="103"/>
        <v/>
      </c>
      <c r="K1176" s="258"/>
      <c r="AG1176" s="253"/>
    </row>
    <row r="1177" spans="1:33" x14ac:dyDescent="0.2">
      <c r="A1177" s="253" t="str">
        <f t="shared" si="103"/>
        <v/>
      </c>
      <c r="K1177" s="258"/>
      <c r="AG1177" s="253"/>
    </row>
    <row r="1178" spans="1:33" x14ac:dyDescent="0.2">
      <c r="A1178" s="253" t="str">
        <f t="shared" si="103"/>
        <v/>
      </c>
      <c r="K1178" s="258"/>
      <c r="AG1178" s="253"/>
    </row>
    <row r="1179" spans="1:33" x14ac:dyDescent="0.2">
      <c r="A1179" s="253" t="str">
        <f t="shared" si="103"/>
        <v/>
      </c>
      <c r="K1179" s="258"/>
      <c r="AG1179" s="253"/>
    </row>
    <row r="1180" spans="1:33" x14ac:dyDescent="0.2">
      <c r="A1180" s="253" t="str">
        <f t="shared" si="103"/>
        <v/>
      </c>
      <c r="K1180" s="258"/>
      <c r="AG1180" s="253"/>
    </row>
    <row r="1181" spans="1:33" x14ac:dyDescent="0.2">
      <c r="A1181" s="253" t="str">
        <f t="shared" si="103"/>
        <v/>
      </c>
      <c r="K1181" s="258"/>
      <c r="AG1181" s="253"/>
    </row>
    <row r="1182" spans="1:33" x14ac:dyDescent="0.2">
      <c r="A1182" s="253" t="str">
        <f t="shared" si="103"/>
        <v/>
      </c>
      <c r="K1182" s="258"/>
      <c r="AG1182" s="253"/>
    </row>
    <row r="1183" spans="1:33" x14ac:dyDescent="0.2">
      <c r="A1183" s="253" t="str">
        <f t="shared" si="103"/>
        <v/>
      </c>
      <c r="K1183" s="258"/>
      <c r="AG1183" s="253"/>
    </row>
    <row r="1184" spans="1:33" x14ac:dyDescent="0.2">
      <c r="A1184" s="253" t="str">
        <f t="shared" si="103"/>
        <v/>
      </c>
      <c r="K1184" s="258"/>
      <c r="AG1184" s="253"/>
    </row>
    <row r="1185" spans="1:33" x14ac:dyDescent="0.2">
      <c r="A1185" s="253" t="str">
        <f t="shared" si="103"/>
        <v/>
      </c>
      <c r="K1185" s="258"/>
      <c r="AG1185" s="253"/>
    </row>
    <row r="1186" spans="1:33" x14ac:dyDescent="0.2">
      <c r="A1186" s="253" t="str">
        <f t="shared" si="103"/>
        <v/>
      </c>
      <c r="K1186" s="258"/>
      <c r="AG1186" s="253"/>
    </row>
    <row r="1187" spans="1:33" x14ac:dyDescent="0.2">
      <c r="A1187" s="253" t="str">
        <f t="shared" si="103"/>
        <v/>
      </c>
      <c r="K1187" s="258"/>
      <c r="AG1187" s="253"/>
    </row>
    <row r="1188" spans="1:33" x14ac:dyDescent="0.2">
      <c r="A1188" s="253" t="str">
        <f t="shared" si="103"/>
        <v/>
      </c>
      <c r="K1188" s="258"/>
      <c r="AG1188" s="253"/>
    </row>
    <row r="1189" spans="1:33" x14ac:dyDescent="0.2">
      <c r="A1189" s="253" t="str">
        <f t="shared" si="103"/>
        <v/>
      </c>
      <c r="K1189" s="258"/>
      <c r="AG1189" s="253"/>
    </row>
    <row r="1190" spans="1:33" x14ac:dyDescent="0.2">
      <c r="A1190" s="253" t="str">
        <f t="shared" si="103"/>
        <v/>
      </c>
      <c r="K1190" s="258"/>
      <c r="AG1190" s="253"/>
    </row>
    <row r="1191" spans="1:33" x14ac:dyDescent="0.2">
      <c r="A1191" s="253" t="str">
        <f t="shared" si="103"/>
        <v/>
      </c>
      <c r="K1191" s="258"/>
      <c r="AG1191" s="253"/>
    </row>
    <row r="1192" spans="1:33" x14ac:dyDescent="0.2">
      <c r="A1192" s="253" t="str">
        <f t="shared" si="103"/>
        <v/>
      </c>
      <c r="K1192" s="258"/>
      <c r="AG1192" s="253"/>
    </row>
    <row r="1193" spans="1:33" x14ac:dyDescent="0.2">
      <c r="A1193" s="253" t="str">
        <f t="shared" si="103"/>
        <v/>
      </c>
      <c r="K1193" s="258"/>
      <c r="AG1193" s="253"/>
    </row>
    <row r="1194" spans="1:33" x14ac:dyDescent="0.2">
      <c r="A1194" s="253" t="str">
        <f t="shared" si="103"/>
        <v/>
      </c>
      <c r="K1194" s="258"/>
      <c r="AG1194" s="253"/>
    </row>
    <row r="1195" spans="1:33" x14ac:dyDescent="0.2">
      <c r="A1195" s="253" t="str">
        <f t="shared" si="103"/>
        <v/>
      </c>
      <c r="K1195" s="258"/>
      <c r="AG1195" s="253"/>
    </row>
    <row r="1196" spans="1:33" x14ac:dyDescent="0.2">
      <c r="A1196" s="253" t="str">
        <f t="shared" si="103"/>
        <v/>
      </c>
      <c r="K1196" s="258"/>
      <c r="AG1196" s="253"/>
    </row>
    <row r="1197" spans="1:33" x14ac:dyDescent="0.2">
      <c r="A1197" s="253" t="str">
        <f t="shared" si="103"/>
        <v/>
      </c>
      <c r="K1197" s="258"/>
      <c r="AG1197" s="253"/>
    </row>
    <row r="1198" spans="1:33" x14ac:dyDescent="0.2">
      <c r="A1198" s="253" t="str">
        <f t="shared" si="103"/>
        <v/>
      </c>
      <c r="K1198" s="258"/>
      <c r="AG1198" s="253"/>
    </row>
    <row r="1199" spans="1:33" x14ac:dyDescent="0.2">
      <c r="A1199" s="253" t="str">
        <f t="shared" si="103"/>
        <v/>
      </c>
      <c r="K1199" s="258"/>
      <c r="AG1199" s="253"/>
    </row>
    <row r="1200" spans="1:33" x14ac:dyDescent="0.2">
      <c r="A1200" s="253" t="str">
        <f t="shared" si="103"/>
        <v/>
      </c>
      <c r="K1200" s="258"/>
      <c r="AG1200" s="253"/>
    </row>
    <row r="1201" spans="1:33" x14ac:dyDescent="0.2">
      <c r="A1201" s="253" t="str">
        <f t="shared" si="103"/>
        <v/>
      </c>
      <c r="K1201" s="258"/>
      <c r="AG1201" s="253"/>
    </row>
    <row r="1202" spans="1:33" x14ac:dyDescent="0.2">
      <c r="A1202" s="253" t="str">
        <f t="shared" si="103"/>
        <v/>
      </c>
      <c r="K1202" s="258"/>
      <c r="AG1202" s="253"/>
    </row>
    <row r="1203" spans="1:33" x14ac:dyDescent="0.2">
      <c r="A1203" s="253" t="str">
        <f t="shared" si="103"/>
        <v/>
      </c>
      <c r="K1203" s="258"/>
      <c r="AG1203" s="253"/>
    </row>
    <row r="1204" spans="1:33" x14ac:dyDescent="0.2">
      <c r="A1204" s="253" t="str">
        <f t="shared" si="103"/>
        <v/>
      </c>
      <c r="K1204" s="258"/>
      <c r="AG1204" s="253"/>
    </row>
    <row r="1205" spans="1:33" x14ac:dyDescent="0.2">
      <c r="A1205" s="253" t="str">
        <f t="shared" si="103"/>
        <v/>
      </c>
      <c r="K1205" s="258"/>
      <c r="AG1205" s="253"/>
    </row>
    <row r="1206" spans="1:33" x14ac:dyDescent="0.2">
      <c r="A1206" s="253" t="str">
        <f t="shared" si="103"/>
        <v/>
      </c>
      <c r="K1206" s="258"/>
      <c r="AG1206" s="253"/>
    </row>
    <row r="1207" spans="1:33" x14ac:dyDescent="0.2">
      <c r="A1207" s="253" t="str">
        <f t="shared" si="103"/>
        <v/>
      </c>
      <c r="K1207" s="258"/>
      <c r="AG1207" s="253"/>
    </row>
    <row r="1208" spans="1:33" x14ac:dyDescent="0.2">
      <c r="A1208" s="253" t="str">
        <f t="shared" si="103"/>
        <v/>
      </c>
      <c r="K1208" s="258"/>
      <c r="AG1208" s="253"/>
    </row>
    <row r="1209" spans="1:33" x14ac:dyDescent="0.2">
      <c r="A1209" s="253" t="str">
        <f t="shared" si="103"/>
        <v/>
      </c>
      <c r="K1209" s="258"/>
      <c r="AG1209" s="253"/>
    </row>
    <row r="1210" spans="1:33" x14ac:dyDescent="0.2">
      <c r="A1210" s="253" t="str">
        <f t="shared" si="103"/>
        <v/>
      </c>
      <c r="K1210" s="258"/>
      <c r="AG1210" s="253"/>
    </row>
    <row r="1211" spans="1:33" x14ac:dyDescent="0.2">
      <c r="A1211" s="253" t="str">
        <f t="shared" si="103"/>
        <v/>
      </c>
      <c r="K1211" s="258"/>
      <c r="AG1211" s="253"/>
    </row>
    <row r="1212" spans="1:33" x14ac:dyDescent="0.2">
      <c r="A1212" s="253" t="str">
        <f t="shared" si="103"/>
        <v/>
      </c>
      <c r="K1212" s="258"/>
      <c r="AG1212" s="253"/>
    </row>
    <row r="1213" spans="1:33" x14ac:dyDescent="0.2">
      <c r="A1213" s="253" t="str">
        <f t="shared" si="103"/>
        <v/>
      </c>
      <c r="K1213" s="258"/>
      <c r="AG1213" s="253"/>
    </row>
    <row r="1214" spans="1:33" x14ac:dyDescent="0.2">
      <c r="A1214" s="253" t="str">
        <f t="shared" si="103"/>
        <v/>
      </c>
      <c r="K1214" s="258"/>
      <c r="AG1214" s="253"/>
    </row>
    <row r="1215" spans="1:33" x14ac:dyDescent="0.2">
      <c r="A1215" s="253" t="str">
        <f t="shared" si="103"/>
        <v/>
      </c>
      <c r="K1215" s="258"/>
      <c r="AG1215" s="253"/>
    </row>
    <row r="1216" spans="1:33" x14ac:dyDescent="0.2">
      <c r="A1216" s="253" t="str">
        <f t="shared" si="103"/>
        <v/>
      </c>
      <c r="K1216" s="258"/>
      <c r="AG1216" s="253"/>
    </row>
    <row r="1217" spans="1:33" x14ac:dyDescent="0.2">
      <c r="A1217" s="253" t="str">
        <f t="shared" si="103"/>
        <v/>
      </c>
      <c r="K1217" s="258"/>
      <c r="AG1217" s="253"/>
    </row>
    <row r="1218" spans="1:33" x14ac:dyDescent="0.2">
      <c r="A1218" s="253" t="str">
        <f t="shared" si="103"/>
        <v/>
      </c>
      <c r="K1218" s="258"/>
      <c r="AG1218" s="253"/>
    </row>
    <row r="1219" spans="1:33" x14ac:dyDescent="0.2">
      <c r="A1219" s="253" t="str">
        <f t="shared" si="103"/>
        <v/>
      </c>
      <c r="K1219" s="258"/>
      <c r="AG1219" s="253"/>
    </row>
    <row r="1220" spans="1:33" x14ac:dyDescent="0.2">
      <c r="A1220" s="253" t="str">
        <f t="shared" si="103"/>
        <v/>
      </c>
      <c r="K1220" s="258"/>
      <c r="AG1220" s="253"/>
    </row>
    <row r="1221" spans="1:33" x14ac:dyDescent="0.2">
      <c r="A1221" s="253" t="str">
        <f t="shared" si="103"/>
        <v/>
      </c>
      <c r="K1221" s="258"/>
      <c r="AG1221" s="253"/>
    </row>
    <row r="1222" spans="1:33" x14ac:dyDescent="0.2">
      <c r="A1222" s="253" t="str">
        <f t="shared" si="103"/>
        <v/>
      </c>
      <c r="K1222" s="258"/>
      <c r="AG1222" s="253"/>
    </row>
    <row r="1223" spans="1:33" x14ac:dyDescent="0.2">
      <c r="A1223" s="253" t="str">
        <f t="shared" si="103"/>
        <v/>
      </c>
      <c r="K1223" s="258"/>
      <c r="AG1223" s="253"/>
    </row>
    <row r="1224" spans="1:33" x14ac:dyDescent="0.2">
      <c r="A1224" s="253" t="str">
        <f t="shared" si="103"/>
        <v/>
      </c>
      <c r="K1224" s="258"/>
      <c r="AG1224" s="253"/>
    </row>
    <row r="1225" spans="1:33" x14ac:dyDescent="0.2">
      <c r="A1225" s="253" t="str">
        <f t="shared" si="103"/>
        <v/>
      </c>
      <c r="K1225" s="258"/>
      <c r="AG1225" s="253"/>
    </row>
    <row r="1226" spans="1:33" x14ac:dyDescent="0.2">
      <c r="A1226" s="253" t="str">
        <f t="shared" si="103"/>
        <v/>
      </c>
      <c r="K1226" s="258"/>
      <c r="AG1226" s="253"/>
    </row>
    <row r="1227" spans="1:33" x14ac:dyDescent="0.2">
      <c r="A1227" s="253" t="str">
        <f t="shared" si="103"/>
        <v/>
      </c>
      <c r="K1227" s="258"/>
      <c r="AG1227" s="253"/>
    </row>
    <row r="1228" spans="1:33" x14ac:dyDescent="0.2">
      <c r="A1228" s="253" t="str">
        <f t="shared" si="103"/>
        <v/>
      </c>
      <c r="K1228" s="258"/>
      <c r="AG1228" s="253"/>
    </row>
    <row r="1229" spans="1:33" x14ac:dyDescent="0.2">
      <c r="A1229" s="253" t="str">
        <f t="shared" si="103"/>
        <v/>
      </c>
      <c r="K1229" s="258"/>
      <c r="AG1229" s="253"/>
    </row>
    <row r="1230" spans="1:33" x14ac:dyDescent="0.2">
      <c r="A1230" s="253" t="str">
        <f t="shared" si="103"/>
        <v/>
      </c>
      <c r="K1230" s="258"/>
      <c r="AG1230" s="253"/>
    </row>
    <row r="1231" spans="1:33" x14ac:dyDescent="0.2">
      <c r="A1231" s="253" t="str">
        <f t="shared" si="103"/>
        <v/>
      </c>
      <c r="K1231" s="258"/>
      <c r="AG1231" s="253"/>
    </row>
    <row r="1232" spans="1:33" x14ac:dyDescent="0.2">
      <c r="A1232" s="253" t="str">
        <f t="shared" si="103"/>
        <v/>
      </c>
      <c r="K1232" s="258"/>
      <c r="AG1232" s="253"/>
    </row>
    <row r="1233" spans="1:33" x14ac:dyDescent="0.2">
      <c r="A1233" s="253" t="str">
        <f t="shared" ref="A1233:A1296" si="104">I1233&amp;B1233&amp;C1233&amp;D1233&amp;F1233&amp;G1233</f>
        <v/>
      </c>
      <c r="K1233" s="258"/>
      <c r="AG1233" s="253"/>
    </row>
    <row r="1234" spans="1:33" x14ac:dyDescent="0.2">
      <c r="A1234" s="253" t="str">
        <f t="shared" si="104"/>
        <v/>
      </c>
      <c r="K1234" s="258"/>
      <c r="AG1234" s="253"/>
    </row>
    <row r="1235" spans="1:33" x14ac:dyDescent="0.2">
      <c r="A1235" s="253" t="str">
        <f t="shared" si="104"/>
        <v/>
      </c>
      <c r="K1235" s="258"/>
      <c r="AG1235" s="253"/>
    </row>
    <row r="1236" spans="1:33" x14ac:dyDescent="0.2">
      <c r="A1236" s="253" t="str">
        <f t="shared" si="104"/>
        <v/>
      </c>
      <c r="K1236" s="258"/>
      <c r="AG1236" s="253"/>
    </row>
    <row r="1237" spans="1:33" x14ac:dyDescent="0.2">
      <c r="A1237" s="253" t="str">
        <f t="shared" si="104"/>
        <v/>
      </c>
      <c r="K1237" s="258"/>
      <c r="AG1237" s="253"/>
    </row>
    <row r="1238" spans="1:33" x14ac:dyDescent="0.2">
      <c r="A1238" s="253" t="str">
        <f t="shared" si="104"/>
        <v/>
      </c>
      <c r="K1238" s="258"/>
      <c r="AG1238" s="253"/>
    </row>
    <row r="1239" spans="1:33" x14ac:dyDescent="0.2">
      <c r="A1239" s="253" t="str">
        <f t="shared" si="104"/>
        <v/>
      </c>
      <c r="K1239" s="258"/>
      <c r="AG1239" s="253"/>
    </row>
    <row r="1240" spans="1:33" x14ac:dyDescent="0.2">
      <c r="A1240" s="253" t="str">
        <f t="shared" si="104"/>
        <v/>
      </c>
      <c r="K1240" s="258"/>
      <c r="AG1240" s="253"/>
    </row>
    <row r="1241" spans="1:33" x14ac:dyDescent="0.2">
      <c r="A1241" s="253" t="str">
        <f t="shared" si="104"/>
        <v/>
      </c>
      <c r="K1241" s="258"/>
      <c r="AG1241" s="253"/>
    </row>
    <row r="1242" spans="1:33" x14ac:dyDescent="0.2">
      <c r="A1242" s="253" t="str">
        <f t="shared" si="104"/>
        <v/>
      </c>
      <c r="K1242" s="258"/>
      <c r="AG1242" s="253"/>
    </row>
    <row r="1243" spans="1:33" x14ac:dyDescent="0.2">
      <c r="A1243" s="253" t="str">
        <f t="shared" si="104"/>
        <v/>
      </c>
      <c r="K1243" s="258"/>
      <c r="AG1243" s="253"/>
    </row>
    <row r="1244" spans="1:33" x14ac:dyDescent="0.2">
      <c r="A1244" s="253" t="str">
        <f t="shared" si="104"/>
        <v/>
      </c>
      <c r="K1244" s="258"/>
      <c r="AG1244" s="253"/>
    </row>
    <row r="1245" spans="1:33" x14ac:dyDescent="0.2">
      <c r="A1245" s="253" t="str">
        <f t="shared" si="104"/>
        <v/>
      </c>
      <c r="K1245" s="258"/>
      <c r="AG1245" s="253"/>
    </row>
    <row r="1246" spans="1:33" x14ac:dyDescent="0.2">
      <c r="A1246" s="253" t="str">
        <f t="shared" si="104"/>
        <v/>
      </c>
      <c r="K1246" s="258"/>
      <c r="AG1246" s="253"/>
    </row>
    <row r="1247" spans="1:33" x14ac:dyDescent="0.2">
      <c r="A1247" s="253" t="str">
        <f t="shared" si="104"/>
        <v/>
      </c>
      <c r="K1247" s="258"/>
      <c r="AG1247" s="253"/>
    </row>
    <row r="1248" spans="1:33" x14ac:dyDescent="0.2">
      <c r="A1248" s="253" t="str">
        <f t="shared" si="104"/>
        <v/>
      </c>
      <c r="K1248" s="258"/>
      <c r="AG1248" s="253"/>
    </row>
    <row r="1249" spans="1:33" x14ac:dyDescent="0.2">
      <c r="A1249" s="253" t="str">
        <f t="shared" si="104"/>
        <v/>
      </c>
      <c r="K1249" s="258"/>
      <c r="AG1249" s="253"/>
    </row>
    <row r="1250" spans="1:33" x14ac:dyDescent="0.2">
      <c r="A1250" s="253" t="str">
        <f t="shared" si="104"/>
        <v/>
      </c>
      <c r="K1250" s="258"/>
      <c r="AG1250" s="253"/>
    </row>
    <row r="1251" spans="1:33" x14ac:dyDescent="0.2">
      <c r="A1251" s="253" t="str">
        <f t="shared" si="104"/>
        <v/>
      </c>
      <c r="K1251" s="258"/>
      <c r="AG1251" s="253"/>
    </row>
    <row r="1252" spans="1:33" x14ac:dyDescent="0.2">
      <c r="A1252" s="253" t="str">
        <f t="shared" si="104"/>
        <v/>
      </c>
      <c r="K1252" s="258"/>
      <c r="AG1252" s="253"/>
    </row>
    <row r="1253" spans="1:33" x14ac:dyDescent="0.2">
      <c r="A1253" s="253" t="str">
        <f t="shared" si="104"/>
        <v/>
      </c>
      <c r="K1253" s="258"/>
      <c r="AG1253" s="253"/>
    </row>
    <row r="1254" spans="1:33" x14ac:dyDescent="0.2">
      <c r="A1254" s="253" t="str">
        <f t="shared" si="104"/>
        <v/>
      </c>
      <c r="K1254" s="258"/>
      <c r="AG1254" s="253"/>
    </row>
    <row r="1255" spans="1:33" x14ac:dyDescent="0.2">
      <c r="A1255" s="253" t="str">
        <f t="shared" si="104"/>
        <v/>
      </c>
      <c r="K1255" s="258"/>
      <c r="AG1255" s="253"/>
    </row>
    <row r="1256" spans="1:33" x14ac:dyDescent="0.2">
      <c r="A1256" s="253" t="str">
        <f t="shared" si="104"/>
        <v/>
      </c>
      <c r="K1256" s="258"/>
      <c r="AG1256" s="253"/>
    </row>
    <row r="1257" spans="1:33" x14ac:dyDescent="0.2">
      <c r="A1257" s="253" t="str">
        <f t="shared" si="104"/>
        <v/>
      </c>
      <c r="K1257" s="258"/>
      <c r="AG1257" s="253"/>
    </row>
    <row r="1258" spans="1:33" x14ac:dyDescent="0.2">
      <c r="A1258" s="253" t="str">
        <f t="shared" si="104"/>
        <v/>
      </c>
      <c r="K1258" s="258"/>
      <c r="AG1258" s="253"/>
    </row>
    <row r="1259" spans="1:33" x14ac:dyDescent="0.2">
      <c r="A1259" s="253" t="str">
        <f t="shared" si="104"/>
        <v/>
      </c>
      <c r="K1259" s="258"/>
      <c r="AG1259" s="253"/>
    </row>
    <row r="1260" spans="1:33" x14ac:dyDescent="0.2">
      <c r="A1260" s="253" t="str">
        <f t="shared" si="104"/>
        <v/>
      </c>
      <c r="K1260" s="258"/>
      <c r="AG1260" s="253"/>
    </row>
    <row r="1261" spans="1:33" x14ac:dyDescent="0.2">
      <c r="A1261" s="253" t="str">
        <f t="shared" si="104"/>
        <v/>
      </c>
      <c r="K1261" s="258"/>
      <c r="AG1261" s="253"/>
    </row>
    <row r="1262" spans="1:33" x14ac:dyDescent="0.2">
      <c r="A1262" s="253" t="str">
        <f t="shared" si="104"/>
        <v/>
      </c>
      <c r="K1262" s="258"/>
      <c r="AG1262" s="253"/>
    </row>
    <row r="1263" spans="1:33" x14ac:dyDescent="0.2">
      <c r="A1263" s="253" t="str">
        <f t="shared" si="104"/>
        <v/>
      </c>
      <c r="K1263" s="258"/>
      <c r="AG1263" s="253"/>
    </row>
    <row r="1264" spans="1:33" x14ac:dyDescent="0.2">
      <c r="A1264" s="253" t="str">
        <f t="shared" si="104"/>
        <v/>
      </c>
      <c r="K1264" s="258"/>
      <c r="AG1264" s="253"/>
    </row>
    <row r="1265" spans="1:33" x14ac:dyDescent="0.2">
      <c r="A1265" s="253" t="str">
        <f t="shared" si="104"/>
        <v/>
      </c>
      <c r="K1265" s="258"/>
      <c r="AG1265" s="253"/>
    </row>
    <row r="1266" spans="1:33" x14ac:dyDescent="0.2">
      <c r="A1266" s="253" t="str">
        <f t="shared" si="104"/>
        <v/>
      </c>
      <c r="K1266" s="258"/>
      <c r="AG1266" s="253"/>
    </row>
    <row r="1267" spans="1:33" x14ac:dyDescent="0.2">
      <c r="A1267" s="253" t="str">
        <f t="shared" si="104"/>
        <v/>
      </c>
      <c r="K1267" s="258"/>
      <c r="AG1267" s="253"/>
    </row>
    <row r="1268" spans="1:33" x14ac:dyDescent="0.2">
      <c r="A1268" s="253" t="str">
        <f t="shared" si="104"/>
        <v/>
      </c>
      <c r="K1268" s="258"/>
      <c r="AG1268" s="253"/>
    </row>
    <row r="1269" spans="1:33" x14ac:dyDescent="0.2">
      <c r="A1269" s="253" t="str">
        <f t="shared" si="104"/>
        <v/>
      </c>
      <c r="K1269" s="258"/>
      <c r="AG1269" s="253"/>
    </row>
    <row r="1270" spans="1:33" x14ac:dyDescent="0.2">
      <c r="A1270" s="253" t="str">
        <f t="shared" si="104"/>
        <v/>
      </c>
      <c r="K1270" s="258"/>
      <c r="AG1270" s="253"/>
    </row>
    <row r="1271" spans="1:33" x14ac:dyDescent="0.2">
      <c r="A1271" s="253" t="str">
        <f t="shared" si="104"/>
        <v/>
      </c>
      <c r="K1271" s="258"/>
      <c r="AG1271" s="253"/>
    </row>
    <row r="1272" spans="1:33" x14ac:dyDescent="0.2">
      <c r="A1272" s="253" t="str">
        <f t="shared" si="104"/>
        <v/>
      </c>
      <c r="K1272" s="258"/>
      <c r="AG1272" s="253"/>
    </row>
    <row r="1273" spans="1:33" x14ac:dyDescent="0.2">
      <c r="A1273" s="253" t="str">
        <f t="shared" si="104"/>
        <v/>
      </c>
      <c r="K1273" s="258"/>
      <c r="AG1273" s="253"/>
    </row>
    <row r="1274" spans="1:33" x14ac:dyDescent="0.2">
      <c r="A1274" s="253" t="str">
        <f t="shared" si="104"/>
        <v/>
      </c>
      <c r="K1274" s="258"/>
      <c r="AG1274" s="253"/>
    </row>
    <row r="1275" spans="1:33" x14ac:dyDescent="0.2">
      <c r="A1275" s="253" t="str">
        <f t="shared" si="104"/>
        <v/>
      </c>
      <c r="K1275" s="258"/>
      <c r="AG1275" s="253"/>
    </row>
    <row r="1276" spans="1:33" x14ac:dyDescent="0.2">
      <c r="A1276" s="253" t="str">
        <f t="shared" si="104"/>
        <v/>
      </c>
      <c r="K1276" s="258"/>
      <c r="AG1276" s="253"/>
    </row>
    <row r="1277" spans="1:33" x14ac:dyDescent="0.2">
      <c r="A1277" s="253" t="str">
        <f t="shared" si="104"/>
        <v/>
      </c>
      <c r="K1277" s="258"/>
      <c r="AG1277" s="253"/>
    </row>
    <row r="1278" spans="1:33" x14ac:dyDescent="0.2">
      <c r="A1278" s="253" t="str">
        <f t="shared" si="104"/>
        <v/>
      </c>
      <c r="K1278" s="258"/>
      <c r="AG1278" s="253"/>
    </row>
    <row r="1279" spans="1:33" x14ac:dyDescent="0.2">
      <c r="A1279" s="253" t="str">
        <f t="shared" si="104"/>
        <v/>
      </c>
      <c r="K1279" s="258"/>
      <c r="AG1279" s="253"/>
    </row>
    <row r="1280" spans="1:33" x14ac:dyDescent="0.2">
      <c r="A1280" s="253" t="str">
        <f t="shared" si="104"/>
        <v/>
      </c>
      <c r="K1280" s="258"/>
      <c r="AG1280" s="253"/>
    </row>
    <row r="1281" spans="1:33" x14ac:dyDescent="0.2">
      <c r="A1281" s="253" t="str">
        <f t="shared" si="104"/>
        <v/>
      </c>
      <c r="K1281" s="258"/>
      <c r="AG1281" s="253"/>
    </row>
    <row r="1282" spans="1:33" x14ac:dyDescent="0.2">
      <c r="A1282" s="253" t="str">
        <f t="shared" si="104"/>
        <v/>
      </c>
      <c r="K1282" s="258"/>
      <c r="AG1282" s="253"/>
    </row>
    <row r="1283" spans="1:33" x14ac:dyDescent="0.2">
      <c r="A1283" s="253" t="str">
        <f t="shared" si="104"/>
        <v/>
      </c>
      <c r="K1283" s="258"/>
      <c r="AG1283" s="253"/>
    </row>
    <row r="1284" spans="1:33" x14ac:dyDescent="0.2">
      <c r="A1284" s="253" t="str">
        <f t="shared" si="104"/>
        <v/>
      </c>
      <c r="K1284" s="258"/>
      <c r="AG1284" s="253"/>
    </row>
    <row r="1285" spans="1:33" x14ac:dyDescent="0.2">
      <c r="A1285" s="253" t="str">
        <f t="shared" si="104"/>
        <v/>
      </c>
      <c r="K1285" s="258"/>
      <c r="AG1285" s="253"/>
    </row>
    <row r="1286" spans="1:33" x14ac:dyDescent="0.2">
      <c r="A1286" s="253" t="str">
        <f t="shared" si="104"/>
        <v/>
      </c>
      <c r="K1286" s="258"/>
      <c r="AG1286" s="253"/>
    </row>
    <row r="1287" spans="1:33" x14ac:dyDescent="0.2">
      <c r="A1287" s="253" t="str">
        <f t="shared" si="104"/>
        <v/>
      </c>
      <c r="K1287" s="258"/>
      <c r="AG1287" s="253"/>
    </row>
    <row r="1288" spans="1:33" x14ac:dyDescent="0.2">
      <c r="A1288" s="253" t="str">
        <f t="shared" si="104"/>
        <v/>
      </c>
      <c r="K1288" s="258"/>
      <c r="AG1288" s="253"/>
    </row>
    <row r="1289" spans="1:33" x14ac:dyDescent="0.2">
      <c r="A1289" s="253" t="str">
        <f t="shared" si="104"/>
        <v/>
      </c>
      <c r="K1289" s="258"/>
      <c r="AG1289" s="253"/>
    </row>
    <row r="1290" spans="1:33" x14ac:dyDescent="0.2">
      <c r="A1290" s="253" t="str">
        <f t="shared" si="104"/>
        <v/>
      </c>
      <c r="K1290" s="258"/>
      <c r="AG1290" s="253"/>
    </row>
    <row r="1291" spans="1:33" x14ac:dyDescent="0.2">
      <c r="A1291" s="253" t="str">
        <f t="shared" si="104"/>
        <v/>
      </c>
      <c r="K1291" s="258"/>
      <c r="AG1291" s="253"/>
    </row>
    <row r="1292" spans="1:33" x14ac:dyDescent="0.2">
      <c r="A1292" s="253" t="str">
        <f t="shared" si="104"/>
        <v/>
      </c>
      <c r="K1292" s="258"/>
      <c r="AG1292" s="253"/>
    </row>
    <row r="1293" spans="1:33" x14ac:dyDescent="0.2">
      <c r="A1293" s="253" t="str">
        <f t="shared" si="104"/>
        <v/>
      </c>
      <c r="K1293" s="258"/>
      <c r="AG1293" s="253"/>
    </row>
    <row r="1294" spans="1:33" x14ac:dyDescent="0.2">
      <c r="A1294" s="253" t="str">
        <f t="shared" si="104"/>
        <v/>
      </c>
      <c r="K1294" s="258"/>
      <c r="AG1294" s="253"/>
    </row>
    <row r="1295" spans="1:33" x14ac:dyDescent="0.2">
      <c r="A1295" s="253" t="str">
        <f t="shared" si="104"/>
        <v/>
      </c>
      <c r="K1295" s="258"/>
      <c r="AG1295" s="253"/>
    </row>
    <row r="1296" spans="1:33" x14ac:dyDescent="0.2">
      <c r="A1296" s="253" t="str">
        <f t="shared" si="104"/>
        <v/>
      </c>
      <c r="K1296" s="258"/>
      <c r="AG1296" s="253"/>
    </row>
    <row r="1297" spans="1:33" x14ac:dyDescent="0.2">
      <c r="A1297" s="253" t="str">
        <f t="shared" ref="A1297:A1360" si="105">I1297&amp;B1297&amp;C1297&amp;D1297&amp;F1297&amp;G1297</f>
        <v/>
      </c>
      <c r="K1297" s="258"/>
      <c r="AG1297" s="253"/>
    </row>
    <row r="1298" spans="1:33" x14ac:dyDescent="0.2">
      <c r="A1298" s="253" t="str">
        <f t="shared" si="105"/>
        <v/>
      </c>
      <c r="K1298" s="258"/>
      <c r="AG1298" s="253"/>
    </row>
    <row r="1299" spans="1:33" x14ac:dyDescent="0.2">
      <c r="A1299" s="253" t="str">
        <f t="shared" si="105"/>
        <v/>
      </c>
      <c r="K1299" s="258"/>
      <c r="AG1299" s="253"/>
    </row>
    <row r="1300" spans="1:33" x14ac:dyDescent="0.2">
      <c r="A1300" s="253" t="str">
        <f t="shared" si="105"/>
        <v/>
      </c>
      <c r="K1300" s="258"/>
      <c r="AG1300" s="253"/>
    </row>
    <row r="1301" spans="1:33" x14ac:dyDescent="0.2">
      <c r="A1301" s="253" t="str">
        <f t="shared" si="105"/>
        <v/>
      </c>
      <c r="K1301" s="258"/>
      <c r="AG1301" s="253"/>
    </row>
    <row r="1302" spans="1:33" x14ac:dyDescent="0.2">
      <c r="A1302" s="253" t="str">
        <f t="shared" si="105"/>
        <v/>
      </c>
      <c r="K1302" s="258"/>
      <c r="AG1302" s="253"/>
    </row>
    <row r="1303" spans="1:33" x14ac:dyDescent="0.2">
      <c r="A1303" s="253" t="str">
        <f t="shared" si="105"/>
        <v/>
      </c>
      <c r="K1303" s="258"/>
      <c r="AG1303" s="253"/>
    </row>
    <row r="1304" spans="1:33" x14ac:dyDescent="0.2">
      <c r="A1304" s="253" t="str">
        <f t="shared" si="105"/>
        <v/>
      </c>
      <c r="K1304" s="258"/>
      <c r="AG1304" s="253"/>
    </row>
    <row r="1305" spans="1:33" x14ac:dyDescent="0.2">
      <c r="A1305" s="253" t="str">
        <f t="shared" si="105"/>
        <v/>
      </c>
      <c r="K1305" s="258"/>
      <c r="AG1305" s="253"/>
    </row>
    <row r="1306" spans="1:33" x14ac:dyDescent="0.2">
      <c r="A1306" s="253" t="str">
        <f t="shared" si="105"/>
        <v/>
      </c>
      <c r="K1306" s="258"/>
      <c r="AG1306" s="253"/>
    </row>
    <row r="1307" spans="1:33" x14ac:dyDescent="0.2">
      <c r="A1307" s="253" t="str">
        <f t="shared" si="105"/>
        <v/>
      </c>
      <c r="K1307" s="258"/>
      <c r="AG1307" s="253"/>
    </row>
    <row r="1308" spans="1:33" x14ac:dyDescent="0.2">
      <c r="A1308" s="253" t="str">
        <f t="shared" si="105"/>
        <v/>
      </c>
      <c r="K1308" s="258"/>
      <c r="AG1308" s="253"/>
    </row>
    <row r="1309" spans="1:33" x14ac:dyDescent="0.2">
      <c r="A1309" s="253" t="str">
        <f t="shared" si="105"/>
        <v/>
      </c>
      <c r="K1309" s="258"/>
      <c r="AG1309" s="253"/>
    </row>
    <row r="1310" spans="1:33" x14ac:dyDescent="0.2">
      <c r="A1310" s="253" t="str">
        <f t="shared" si="105"/>
        <v/>
      </c>
      <c r="K1310" s="258"/>
      <c r="AG1310" s="253"/>
    </row>
    <row r="1311" spans="1:33" x14ac:dyDescent="0.2">
      <c r="A1311" s="253" t="str">
        <f t="shared" si="105"/>
        <v/>
      </c>
      <c r="K1311" s="258"/>
      <c r="AG1311" s="253"/>
    </row>
    <row r="1312" spans="1:33" x14ac:dyDescent="0.2">
      <c r="A1312" s="253" t="str">
        <f t="shared" si="105"/>
        <v/>
      </c>
      <c r="K1312" s="258"/>
      <c r="AG1312" s="253"/>
    </row>
    <row r="1313" spans="1:33" x14ac:dyDescent="0.2">
      <c r="A1313" s="253" t="str">
        <f t="shared" si="105"/>
        <v/>
      </c>
      <c r="K1313" s="258"/>
      <c r="AG1313" s="253"/>
    </row>
    <row r="1314" spans="1:33" x14ac:dyDescent="0.2">
      <c r="A1314" s="253" t="str">
        <f t="shared" si="105"/>
        <v/>
      </c>
      <c r="K1314" s="258"/>
      <c r="AG1314" s="253"/>
    </row>
    <row r="1315" spans="1:33" x14ac:dyDescent="0.2">
      <c r="A1315" s="253" t="str">
        <f t="shared" si="105"/>
        <v/>
      </c>
      <c r="K1315" s="258"/>
      <c r="AG1315" s="253"/>
    </row>
    <row r="1316" spans="1:33" x14ac:dyDescent="0.2">
      <c r="A1316" s="253" t="str">
        <f t="shared" si="105"/>
        <v/>
      </c>
      <c r="K1316" s="258"/>
      <c r="AG1316" s="253"/>
    </row>
    <row r="1317" spans="1:33" x14ac:dyDescent="0.2">
      <c r="A1317" s="253" t="str">
        <f t="shared" si="105"/>
        <v/>
      </c>
      <c r="K1317" s="258"/>
      <c r="AG1317" s="253"/>
    </row>
    <row r="1318" spans="1:33" x14ac:dyDescent="0.2">
      <c r="A1318" s="253" t="str">
        <f t="shared" si="105"/>
        <v/>
      </c>
      <c r="K1318" s="258"/>
      <c r="AG1318" s="253"/>
    </row>
    <row r="1319" spans="1:33" x14ac:dyDescent="0.2">
      <c r="A1319" s="253" t="str">
        <f t="shared" si="105"/>
        <v/>
      </c>
      <c r="K1319" s="258"/>
      <c r="AG1319" s="253"/>
    </row>
    <row r="1320" spans="1:33" x14ac:dyDescent="0.2">
      <c r="A1320" s="253" t="str">
        <f t="shared" si="105"/>
        <v/>
      </c>
      <c r="K1320" s="258"/>
      <c r="AG1320" s="253"/>
    </row>
    <row r="1321" spans="1:33" x14ac:dyDescent="0.2">
      <c r="A1321" s="253" t="str">
        <f t="shared" si="105"/>
        <v/>
      </c>
      <c r="K1321" s="258"/>
      <c r="AG1321" s="253"/>
    </row>
    <row r="1322" spans="1:33" x14ac:dyDescent="0.2">
      <c r="A1322" s="253" t="str">
        <f t="shared" si="105"/>
        <v/>
      </c>
      <c r="K1322" s="258"/>
      <c r="AG1322" s="253"/>
    </row>
    <row r="1323" spans="1:33" x14ac:dyDescent="0.2">
      <c r="A1323" s="253" t="str">
        <f t="shared" si="105"/>
        <v/>
      </c>
      <c r="K1323" s="258"/>
      <c r="AG1323" s="253"/>
    </row>
    <row r="1324" spans="1:33" x14ac:dyDescent="0.2">
      <c r="A1324" s="253" t="str">
        <f t="shared" si="105"/>
        <v/>
      </c>
      <c r="K1324" s="258"/>
      <c r="AG1324" s="253"/>
    </row>
    <row r="1325" spans="1:33" x14ac:dyDescent="0.2">
      <c r="A1325" s="253" t="str">
        <f t="shared" si="105"/>
        <v/>
      </c>
      <c r="K1325" s="258"/>
      <c r="AG1325" s="253"/>
    </row>
    <row r="1326" spans="1:33" x14ac:dyDescent="0.2">
      <c r="A1326" s="253" t="str">
        <f t="shared" si="105"/>
        <v/>
      </c>
      <c r="K1326" s="258"/>
      <c r="AG1326" s="253"/>
    </row>
    <row r="1327" spans="1:33" x14ac:dyDescent="0.2">
      <c r="A1327" s="253" t="str">
        <f t="shared" si="105"/>
        <v/>
      </c>
      <c r="K1327" s="258"/>
      <c r="AG1327" s="253"/>
    </row>
    <row r="1328" spans="1:33" x14ac:dyDescent="0.2">
      <c r="A1328" s="253" t="str">
        <f t="shared" si="105"/>
        <v/>
      </c>
      <c r="K1328" s="258"/>
      <c r="AG1328" s="253"/>
    </row>
    <row r="1329" spans="1:33" x14ac:dyDescent="0.2">
      <c r="A1329" s="253" t="str">
        <f t="shared" si="105"/>
        <v/>
      </c>
      <c r="K1329" s="258"/>
      <c r="AG1329" s="253"/>
    </row>
    <row r="1330" spans="1:33" x14ac:dyDescent="0.2">
      <c r="A1330" s="253" t="str">
        <f t="shared" si="105"/>
        <v/>
      </c>
      <c r="K1330" s="258"/>
      <c r="AG1330" s="253"/>
    </row>
    <row r="1331" spans="1:33" x14ac:dyDescent="0.2">
      <c r="A1331" s="253" t="str">
        <f t="shared" si="105"/>
        <v/>
      </c>
      <c r="K1331" s="258"/>
      <c r="AG1331" s="253"/>
    </row>
    <row r="1332" spans="1:33" x14ac:dyDescent="0.2">
      <c r="A1332" s="253" t="str">
        <f t="shared" si="105"/>
        <v/>
      </c>
      <c r="K1332" s="258"/>
      <c r="AG1332" s="253"/>
    </row>
    <row r="1333" spans="1:33" x14ac:dyDescent="0.2">
      <c r="A1333" s="253" t="str">
        <f t="shared" si="105"/>
        <v/>
      </c>
      <c r="K1333" s="258"/>
      <c r="AG1333" s="253"/>
    </row>
    <row r="1334" spans="1:33" x14ac:dyDescent="0.2">
      <c r="A1334" s="253" t="str">
        <f t="shared" si="105"/>
        <v/>
      </c>
      <c r="K1334" s="258"/>
      <c r="AG1334" s="253"/>
    </row>
    <row r="1335" spans="1:33" x14ac:dyDescent="0.2">
      <c r="A1335" s="253" t="str">
        <f t="shared" si="105"/>
        <v/>
      </c>
      <c r="K1335" s="258"/>
      <c r="AG1335" s="253"/>
    </row>
    <row r="1336" spans="1:33" x14ac:dyDescent="0.2">
      <c r="A1336" s="253" t="str">
        <f t="shared" si="105"/>
        <v/>
      </c>
      <c r="K1336" s="258"/>
      <c r="AG1336" s="253"/>
    </row>
    <row r="1337" spans="1:33" x14ac:dyDescent="0.2">
      <c r="A1337" s="253" t="str">
        <f t="shared" si="105"/>
        <v/>
      </c>
      <c r="K1337" s="258"/>
      <c r="AG1337" s="253"/>
    </row>
    <row r="1338" spans="1:33" x14ac:dyDescent="0.2">
      <c r="A1338" s="253" t="str">
        <f t="shared" si="105"/>
        <v/>
      </c>
      <c r="K1338" s="258"/>
      <c r="AG1338" s="253"/>
    </row>
    <row r="1339" spans="1:33" x14ac:dyDescent="0.2">
      <c r="A1339" s="253" t="str">
        <f t="shared" si="105"/>
        <v/>
      </c>
      <c r="K1339" s="258"/>
      <c r="AG1339" s="253"/>
    </row>
    <row r="1340" spans="1:33" x14ac:dyDescent="0.2">
      <c r="A1340" s="253" t="str">
        <f t="shared" si="105"/>
        <v/>
      </c>
      <c r="K1340" s="258"/>
      <c r="AG1340" s="253"/>
    </row>
    <row r="1341" spans="1:33" x14ac:dyDescent="0.2">
      <c r="A1341" s="253" t="str">
        <f t="shared" si="105"/>
        <v/>
      </c>
      <c r="K1341" s="258"/>
      <c r="AG1341" s="253"/>
    </row>
    <row r="1342" spans="1:33" x14ac:dyDescent="0.2">
      <c r="A1342" s="253" t="str">
        <f t="shared" si="105"/>
        <v/>
      </c>
      <c r="K1342" s="258"/>
      <c r="AG1342" s="253"/>
    </row>
    <row r="1343" spans="1:33" x14ac:dyDescent="0.2">
      <c r="A1343" s="253" t="str">
        <f t="shared" si="105"/>
        <v/>
      </c>
      <c r="K1343" s="258"/>
      <c r="AG1343" s="253"/>
    </row>
    <row r="1344" spans="1:33" x14ac:dyDescent="0.2">
      <c r="A1344" s="253" t="str">
        <f t="shared" si="105"/>
        <v/>
      </c>
      <c r="K1344" s="258"/>
      <c r="AG1344" s="253"/>
    </row>
    <row r="1345" spans="1:33" x14ac:dyDescent="0.2">
      <c r="A1345" s="253" t="str">
        <f t="shared" si="105"/>
        <v/>
      </c>
      <c r="K1345" s="258"/>
      <c r="AG1345" s="253"/>
    </row>
    <row r="1346" spans="1:33" x14ac:dyDescent="0.2">
      <c r="A1346" s="253" t="str">
        <f t="shared" si="105"/>
        <v/>
      </c>
      <c r="K1346" s="258"/>
      <c r="AG1346" s="253"/>
    </row>
    <row r="1347" spans="1:33" x14ac:dyDescent="0.2">
      <c r="A1347" s="253" t="str">
        <f t="shared" si="105"/>
        <v/>
      </c>
      <c r="K1347" s="258"/>
      <c r="AG1347" s="253"/>
    </row>
    <row r="1348" spans="1:33" x14ac:dyDescent="0.2">
      <c r="A1348" s="253" t="str">
        <f t="shared" si="105"/>
        <v/>
      </c>
      <c r="K1348" s="258"/>
      <c r="AG1348" s="253"/>
    </row>
    <row r="1349" spans="1:33" x14ac:dyDescent="0.2">
      <c r="A1349" s="253" t="str">
        <f t="shared" si="105"/>
        <v/>
      </c>
      <c r="K1349" s="258"/>
      <c r="AG1349" s="253"/>
    </row>
    <row r="1350" spans="1:33" x14ac:dyDescent="0.2">
      <c r="A1350" s="253" t="str">
        <f t="shared" si="105"/>
        <v/>
      </c>
      <c r="K1350" s="258"/>
      <c r="AG1350" s="253"/>
    </row>
    <row r="1351" spans="1:33" x14ac:dyDescent="0.2">
      <c r="A1351" s="253" t="str">
        <f t="shared" si="105"/>
        <v/>
      </c>
      <c r="K1351" s="258"/>
      <c r="AG1351" s="253"/>
    </row>
    <row r="1352" spans="1:33" x14ac:dyDescent="0.2">
      <c r="A1352" s="253" t="str">
        <f t="shared" si="105"/>
        <v/>
      </c>
      <c r="K1352" s="258"/>
      <c r="AG1352" s="253"/>
    </row>
    <row r="1353" spans="1:33" x14ac:dyDescent="0.2">
      <c r="A1353" s="253" t="str">
        <f t="shared" si="105"/>
        <v/>
      </c>
      <c r="K1353" s="258"/>
      <c r="AG1353" s="253"/>
    </row>
    <row r="1354" spans="1:33" x14ac:dyDescent="0.2">
      <c r="A1354" s="253" t="str">
        <f t="shared" si="105"/>
        <v/>
      </c>
      <c r="K1354" s="258"/>
      <c r="AG1354" s="253"/>
    </row>
    <row r="1355" spans="1:33" x14ac:dyDescent="0.2">
      <c r="A1355" s="253" t="str">
        <f t="shared" si="105"/>
        <v/>
      </c>
      <c r="K1355" s="258"/>
      <c r="AG1355" s="253"/>
    </row>
    <row r="1356" spans="1:33" x14ac:dyDescent="0.2">
      <c r="A1356" s="253" t="str">
        <f t="shared" si="105"/>
        <v/>
      </c>
      <c r="K1356" s="258"/>
      <c r="AG1356" s="253"/>
    </row>
    <row r="1357" spans="1:33" x14ac:dyDescent="0.2">
      <c r="A1357" s="253" t="str">
        <f t="shared" si="105"/>
        <v/>
      </c>
      <c r="K1357" s="258"/>
      <c r="AG1357" s="253"/>
    </row>
    <row r="1358" spans="1:33" x14ac:dyDescent="0.2">
      <c r="A1358" s="253" t="str">
        <f t="shared" si="105"/>
        <v/>
      </c>
      <c r="K1358" s="258"/>
      <c r="AG1358" s="253"/>
    </row>
    <row r="1359" spans="1:33" x14ac:dyDescent="0.2">
      <c r="A1359" s="253" t="str">
        <f t="shared" si="105"/>
        <v/>
      </c>
      <c r="K1359" s="258"/>
      <c r="AG1359" s="253"/>
    </row>
    <row r="1360" spans="1:33" x14ac:dyDescent="0.2">
      <c r="A1360" s="253" t="str">
        <f t="shared" si="105"/>
        <v/>
      </c>
      <c r="K1360" s="258"/>
      <c r="AG1360" s="253"/>
    </row>
    <row r="1361" spans="1:33" x14ac:dyDescent="0.2">
      <c r="A1361" s="253" t="str">
        <f t="shared" ref="A1361:A1424" si="106">I1361&amp;B1361&amp;C1361&amp;D1361&amp;F1361&amp;G1361</f>
        <v/>
      </c>
      <c r="K1361" s="258"/>
      <c r="AG1361" s="253"/>
    </row>
    <row r="1362" spans="1:33" x14ac:dyDescent="0.2">
      <c r="A1362" s="253" t="str">
        <f t="shared" si="106"/>
        <v/>
      </c>
      <c r="K1362" s="258"/>
      <c r="AG1362" s="253"/>
    </row>
    <row r="1363" spans="1:33" x14ac:dyDescent="0.2">
      <c r="A1363" s="253" t="str">
        <f t="shared" si="106"/>
        <v/>
      </c>
      <c r="K1363" s="258"/>
      <c r="AG1363" s="253"/>
    </row>
    <row r="1364" spans="1:33" x14ac:dyDescent="0.2">
      <c r="A1364" s="253" t="str">
        <f t="shared" si="106"/>
        <v/>
      </c>
      <c r="K1364" s="258"/>
      <c r="AG1364" s="253"/>
    </row>
    <row r="1365" spans="1:33" x14ac:dyDescent="0.2">
      <c r="A1365" s="253" t="str">
        <f t="shared" si="106"/>
        <v/>
      </c>
      <c r="K1365" s="258"/>
      <c r="AG1365" s="253"/>
    </row>
    <row r="1366" spans="1:33" x14ac:dyDescent="0.2">
      <c r="A1366" s="253" t="str">
        <f t="shared" si="106"/>
        <v/>
      </c>
      <c r="K1366" s="258"/>
      <c r="AG1366" s="253"/>
    </row>
    <row r="1367" spans="1:33" x14ac:dyDescent="0.2">
      <c r="A1367" s="253" t="str">
        <f t="shared" si="106"/>
        <v/>
      </c>
      <c r="K1367" s="258"/>
      <c r="AG1367" s="253"/>
    </row>
    <row r="1368" spans="1:33" x14ac:dyDescent="0.2">
      <c r="A1368" s="253" t="str">
        <f t="shared" si="106"/>
        <v/>
      </c>
      <c r="K1368" s="258"/>
      <c r="AG1368" s="253"/>
    </row>
    <row r="1369" spans="1:33" x14ac:dyDescent="0.2">
      <c r="A1369" s="253" t="str">
        <f t="shared" si="106"/>
        <v/>
      </c>
      <c r="K1369" s="258"/>
      <c r="AG1369" s="253"/>
    </row>
    <row r="1370" spans="1:33" x14ac:dyDescent="0.2">
      <c r="A1370" s="253" t="str">
        <f t="shared" si="106"/>
        <v/>
      </c>
      <c r="K1370" s="258"/>
      <c r="AG1370" s="253"/>
    </row>
    <row r="1371" spans="1:33" x14ac:dyDescent="0.2">
      <c r="A1371" s="253" t="str">
        <f t="shared" si="106"/>
        <v/>
      </c>
      <c r="K1371" s="258"/>
      <c r="AG1371" s="253"/>
    </row>
    <row r="1372" spans="1:33" x14ac:dyDescent="0.2">
      <c r="A1372" s="253" t="str">
        <f t="shared" si="106"/>
        <v/>
      </c>
      <c r="K1372" s="258"/>
      <c r="AG1372" s="253"/>
    </row>
    <row r="1373" spans="1:33" x14ac:dyDescent="0.2">
      <c r="A1373" s="253" t="str">
        <f t="shared" si="106"/>
        <v/>
      </c>
      <c r="K1373" s="258"/>
      <c r="AG1373" s="253"/>
    </row>
    <row r="1374" spans="1:33" x14ac:dyDescent="0.2">
      <c r="A1374" s="253" t="str">
        <f t="shared" si="106"/>
        <v/>
      </c>
      <c r="K1374" s="258"/>
      <c r="AG1374" s="253"/>
    </row>
    <row r="1375" spans="1:33" x14ac:dyDescent="0.2">
      <c r="A1375" s="253" t="str">
        <f t="shared" si="106"/>
        <v/>
      </c>
      <c r="K1375" s="258"/>
      <c r="AG1375" s="253"/>
    </row>
    <row r="1376" spans="1:33" x14ac:dyDescent="0.2">
      <c r="A1376" s="253" t="str">
        <f t="shared" si="106"/>
        <v/>
      </c>
      <c r="K1376" s="258"/>
      <c r="AG1376" s="253"/>
    </row>
    <row r="1377" spans="1:33" x14ac:dyDescent="0.2">
      <c r="A1377" s="253" t="str">
        <f t="shared" si="106"/>
        <v/>
      </c>
      <c r="K1377" s="258"/>
      <c r="AG1377" s="253"/>
    </row>
    <row r="1378" spans="1:33" x14ac:dyDescent="0.2">
      <c r="A1378" s="253" t="str">
        <f t="shared" si="106"/>
        <v/>
      </c>
      <c r="K1378" s="258"/>
      <c r="AG1378" s="253"/>
    </row>
    <row r="1379" spans="1:33" x14ac:dyDescent="0.2">
      <c r="A1379" s="253" t="str">
        <f t="shared" si="106"/>
        <v/>
      </c>
      <c r="K1379" s="258"/>
      <c r="AG1379" s="253"/>
    </row>
    <row r="1380" spans="1:33" x14ac:dyDescent="0.2">
      <c r="A1380" s="253" t="str">
        <f t="shared" si="106"/>
        <v/>
      </c>
      <c r="K1380" s="258"/>
      <c r="AG1380" s="253"/>
    </row>
    <row r="1381" spans="1:33" x14ac:dyDescent="0.2">
      <c r="A1381" s="253" t="str">
        <f t="shared" si="106"/>
        <v/>
      </c>
      <c r="K1381" s="258"/>
      <c r="AG1381" s="253"/>
    </row>
    <row r="1382" spans="1:33" x14ac:dyDescent="0.2">
      <c r="A1382" s="253" t="str">
        <f t="shared" si="106"/>
        <v/>
      </c>
      <c r="K1382" s="258"/>
      <c r="AG1382" s="253"/>
    </row>
    <row r="1383" spans="1:33" x14ac:dyDescent="0.2">
      <c r="A1383" s="253" t="str">
        <f t="shared" si="106"/>
        <v/>
      </c>
      <c r="K1383" s="258"/>
      <c r="AG1383" s="253"/>
    </row>
    <row r="1384" spans="1:33" x14ac:dyDescent="0.2">
      <c r="A1384" s="253" t="str">
        <f t="shared" si="106"/>
        <v/>
      </c>
      <c r="K1384" s="258"/>
      <c r="AG1384" s="253"/>
    </row>
    <row r="1385" spans="1:33" x14ac:dyDescent="0.2">
      <c r="A1385" s="253" t="str">
        <f t="shared" si="106"/>
        <v/>
      </c>
      <c r="K1385" s="258"/>
      <c r="AG1385" s="253"/>
    </row>
    <row r="1386" spans="1:33" x14ac:dyDescent="0.2">
      <c r="A1386" s="253" t="str">
        <f t="shared" si="106"/>
        <v/>
      </c>
      <c r="K1386" s="258"/>
      <c r="AG1386" s="253"/>
    </row>
    <row r="1387" spans="1:33" x14ac:dyDescent="0.2">
      <c r="A1387" s="253" t="str">
        <f t="shared" si="106"/>
        <v/>
      </c>
      <c r="K1387" s="258"/>
      <c r="AG1387" s="253"/>
    </row>
    <row r="1388" spans="1:33" x14ac:dyDescent="0.2">
      <c r="A1388" s="253" t="str">
        <f t="shared" si="106"/>
        <v/>
      </c>
      <c r="K1388" s="258"/>
      <c r="AG1388" s="253"/>
    </row>
    <row r="1389" spans="1:33" x14ac:dyDescent="0.2">
      <c r="A1389" s="253" t="str">
        <f t="shared" si="106"/>
        <v/>
      </c>
      <c r="K1389" s="258"/>
      <c r="AG1389" s="253"/>
    </row>
    <row r="1390" spans="1:33" x14ac:dyDescent="0.2">
      <c r="A1390" s="253" t="str">
        <f t="shared" si="106"/>
        <v/>
      </c>
      <c r="K1390" s="258"/>
      <c r="AG1390" s="253"/>
    </row>
    <row r="1391" spans="1:33" x14ac:dyDescent="0.2">
      <c r="A1391" s="253" t="str">
        <f t="shared" si="106"/>
        <v/>
      </c>
      <c r="K1391" s="258"/>
      <c r="AG1391" s="253"/>
    </row>
    <row r="1392" spans="1:33" x14ac:dyDescent="0.2">
      <c r="A1392" s="253" t="str">
        <f t="shared" si="106"/>
        <v/>
      </c>
      <c r="K1392" s="258"/>
      <c r="AG1392" s="253"/>
    </row>
    <row r="1393" spans="1:33" x14ac:dyDescent="0.2">
      <c r="A1393" s="253" t="str">
        <f t="shared" si="106"/>
        <v/>
      </c>
      <c r="K1393" s="258"/>
      <c r="AG1393" s="253"/>
    </row>
    <row r="1394" spans="1:33" x14ac:dyDescent="0.2">
      <c r="A1394" s="253" t="str">
        <f t="shared" si="106"/>
        <v/>
      </c>
      <c r="K1394" s="258"/>
      <c r="AG1394" s="253"/>
    </row>
    <row r="1395" spans="1:33" x14ac:dyDescent="0.2">
      <c r="A1395" s="253" t="str">
        <f t="shared" si="106"/>
        <v/>
      </c>
      <c r="K1395" s="258"/>
      <c r="AG1395" s="253"/>
    </row>
    <row r="1396" spans="1:33" x14ac:dyDescent="0.2">
      <c r="A1396" s="253" t="str">
        <f t="shared" si="106"/>
        <v/>
      </c>
      <c r="K1396" s="258"/>
      <c r="AG1396" s="253"/>
    </row>
    <row r="1397" spans="1:33" x14ac:dyDescent="0.2">
      <c r="A1397" s="253" t="str">
        <f t="shared" si="106"/>
        <v/>
      </c>
      <c r="K1397" s="258"/>
      <c r="AG1397" s="253"/>
    </row>
    <row r="1398" spans="1:33" x14ac:dyDescent="0.2">
      <c r="A1398" s="253" t="str">
        <f t="shared" si="106"/>
        <v/>
      </c>
      <c r="K1398" s="258"/>
      <c r="AG1398" s="253"/>
    </row>
    <row r="1399" spans="1:33" x14ac:dyDescent="0.2">
      <c r="A1399" s="253" t="str">
        <f t="shared" si="106"/>
        <v/>
      </c>
      <c r="K1399" s="258"/>
      <c r="AG1399" s="253"/>
    </row>
    <row r="1400" spans="1:33" x14ac:dyDescent="0.2">
      <c r="A1400" s="253" t="str">
        <f t="shared" si="106"/>
        <v/>
      </c>
      <c r="K1400" s="258"/>
      <c r="AG1400" s="253"/>
    </row>
    <row r="1401" spans="1:33" x14ac:dyDescent="0.2">
      <c r="A1401" s="253" t="str">
        <f t="shared" si="106"/>
        <v/>
      </c>
      <c r="K1401" s="258"/>
      <c r="AG1401" s="253"/>
    </row>
    <row r="1402" spans="1:33" x14ac:dyDescent="0.2">
      <c r="A1402" s="253" t="str">
        <f t="shared" si="106"/>
        <v/>
      </c>
      <c r="K1402" s="258"/>
      <c r="AG1402" s="253"/>
    </row>
    <row r="1403" spans="1:33" x14ac:dyDescent="0.2">
      <c r="A1403" s="253" t="str">
        <f t="shared" si="106"/>
        <v/>
      </c>
      <c r="K1403" s="258"/>
      <c r="AG1403" s="253"/>
    </row>
    <row r="1404" spans="1:33" x14ac:dyDescent="0.2">
      <c r="A1404" s="253" t="str">
        <f t="shared" si="106"/>
        <v/>
      </c>
      <c r="K1404" s="258"/>
      <c r="AG1404" s="253"/>
    </row>
    <row r="1405" spans="1:33" x14ac:dyDescent="0.2">
      <c r="A1405" s="253" t="str">
        <f t="shared" si="106"/>
        <v/>
      </c>
      <c r="K1405" s="258"/>
      <c r="AG1405" s="253"/>
    </row>
    <row r="1406" spans="1:33" x14ac:dyDescent="0.2">
      <c r="A1406" s="253" t="str">
        <f t="shared" si="106"/>
        <v/>
      </c>
      <c r="K1406" s="258"/>
      <c r="AG1406" s="253"/>
    </row>
    <row r="1407" spans="1:33" x14ac:dyDescent="0.2">
      <c r="A1407" s="253" t="str">
        <f t="shared" si="106"/>
        <v/>
      </c>
      <c r="K1407" s="258"/>
      <c r="AG1407" s="253"/>
    </row>
    <row r="1408" spans="1:33" x14ac:dyDescent="0.2">
      <c r="A1408" s="253" t="str">
        <f t="shared" si="106"/>
        <v/>
      </c>
      <c r="K1408" s="258"/>
      <c r="AG1408" s="253"/>
    </row>
    <row r="1409" spans="1:33" x14ac:dyDescent="0.2">
      <c r="A1409" s="253" t="str">
        <f t="shared" si="106"/>
        <v/>
      </c>
      <c r="K1409" s="258"/>
      <c r="AG1409" s="253"/>
    </row>
    <row r="1410" spans="1:33" x14ac:dyDescent="0.2">
      <c r="A1410" s="253" t="str">
        <f t="shared" si="106"/>
        <v/>
      </c>
      <c r="K1410" s="258"/>
      <c r="AG1410" s="253"/>
    </row>
    <row r="1411" spans="1:33" x14ac:dyDescent="0.2">
      <c r="A1411" s="253" t="str">
        <f t="shared" si="106"/>
        <v/>
      </c>
      <c r="K1411" s="258"/>
      <c r="AG1411" s="253"/>
    </row>
    <row r="1412" spans="1:33" x14ac:dyDescent="0.2">
      <c r="A1412" s="253" t="str">
        <f t="shared" si="106"/>
        <v/>
      </c>
      <c r="K1412" s="258"/>
      <c r="AG1412" s="253"/>
    </row>
    <row r="1413" spans="1:33" x14ac:dyDescent="0.2">
      <c r="A1413" s="253" t="str">
        <f t="shared" si="106"/>
        <v/>
      </c>
      <c r="K1413" s="258"/>
      <c r="AG1413" s="253"/>
    </row>
    <row r="1414" spans="1:33" x14ac:dyDescent="0.2">
      <c r="A1414" s="253" t="str">
        <f t="shared" si="106"/>
        <v/>
      </c>
      <c r="K1414" s="258"/>
      <c r="AG1414" s="253"/>
    </row>
    <row r="1415" spans="1:33" x14ac:dyDescent="0.2">
      <c r="A1415" s="253" t="str">
        <f t="shared" si="106"/>
        <v/>
      </c>
      <c r="K1415" s="258"/>
      <c r="AG1415" s="253"/>
    </row>
    <row r="1416" spans="1:33" x14ac:dyDescent="0.2">
      <c r="A1416" s="253" t="str">
        <f t="shared" si="106"/>
        <v/>
      </c>
      <c r="K1416" s="258"/>
      <c r="AG1416" s="253"/>
    </row>
    <row r="1417" spans="1:33" x14ac:dyDescent="0.2">
      <c r="A1417" s="253" t="str">
        <f t="shared" si="106"/>
        <v/>
      </c>
      <c r="K1417" s="258"/>
      <c r="AG1417" s="253"/>
    </row>
    <row r="1418" spans="1:33" x14ac:dyDescent="0.2">
      <c r="A1418" s="253" t="str">
        <f t="shared" si="106"/>
        <v/>
      </c>
      <c r="K1418" s="258"/>
      <c r="AG1418" s="253"/>
    </row>
    <row r="1419" spans="1:33" x14ac:dyDescent="0.2">
      <c r="A1419" s="253" t="str">
        <f t="shared" si="106"/>
        <v/>
      </c>
      <c r="K1419" s="258"/>
      <c r="AG1419" s="253"/>
    </row>
    <row r="1420" spans="1:33" x14ac:dyDescent="0.2">
      <c r="A1420" s="253" t="str">
        <f t="shared" si="106"/>
        <v/>
      </c>
      <c r="K1420" s="258"/>
      <c r="AG1420" s="253"/>
    </row>
    <row r="1421" spans="1:33" x14ac:dyDescent="0.2">
      <c r="A1421" s="253" t="str">
        <f t="shared" si="106"/>
        <v/>
      </c>
      <c r="K1421" s="258"/>
      <c r="AG1421" s="253"/>
    </row>
    <row r="1422" spans="1:33" x14ac:dyDescent="0.2">
      <c r="A1422" s="253" t="str">
        <f t="shared" si="106"/>
        <v/>
      </c>
      <c r="K1422" s="258"/>
      <c r="AG1422" s="253"/>
    </row>
    <row r="1423" spans="1:33" x14ac:dyDescent="0.2">
      <c r="A1423" s="253" t="str">
        <f t="shared" si="106"/>
        <v/>
      </c>
      <c r="K1423" s="258"/>
      <c r="AG1423" s="253"/>
    </row>
    <row r="1424" spans="1:33" x14ac:dyDescent="0.2">
      <c r="A1424" s="253" t="str">
        <f t="shared" si="106"/>
        <v/>
      </c>
      <c r="K1424" s="258"/>
      <c r="AG1424" s="253"/>
    </row>
    <row r="1425" spans="1:33" x14ac:dyDescent="0.2">
      <c r="A1425" s="253" t="str">
        <f t="shared" ref="A1425:A1488" si="107">I1425&amp;B1425&amp;C1425&amp;D1425&amp;F1425&amp;G1425</f>
        <v/>
      </c>
      <c r="K1425" s="258"/>
      <c r="AG1425" s="253"/>
    </row>
    <row r="1426" spans="1:33" x14ac:dyDescent="0.2">
      <c r="A1426" s="253" t="str">
        <f t="shared" si="107"/>
        <v/>
      </c>
      <c r="K1426" s="258"/>
      <c r="AG1426" s="253"/>
    </row>
    <row r="1427" spans="1:33" x14ac:dyDescent="0.2">
      <c r="A1427" s="253" t="str">
        <f t="shared" si="107"/>
        <v/>
      </c>
      <c r="K1427" s="258"/>
      <c r="AG1427" s="253"/>
    </row>
    <row r="1428" spans="1:33" x14ac:dyDescent="0.2">
      <c r="A1428" s="253" t="str">
        <f t="shared" si="107"/>
        <v/>
      </c>
      <c r="K1428" s="258"/>
      <c r="AG1428" s="253"/>
    </row>
    <row r="1429" spans="1:33" x14ac:dyDescent="0.2">
      <c r="A1429" s="253" t="str">
        <f t="shared" si="107"/>
        <v/>
      </c>
      <c r="K1429" s="258"/>
      <c r="AG1429" s="253"/>
    </row>
    <row r="1430" spans="1:33" x14ac:dyDescent="0.2">
      <c r="A1430" s="253" t="str">
        <f t="shared" si="107"/>
        <v/>
      </c>
      <c r="K1430" s="258"/>
      <c r="AG1430" s="253"/>
    </row>
    <row r="1431" spans="1:33" x14ac:dyDescent="0.2">
      <c r="A1431" s="253" t="str">
        <f t="shared" si="107"/>
        <v/>
      </c>
      <c r="K1431" s="258"/>
      <c r="AG1431" s="253"/>
    </row>
    <row r="1432" spans="1:33" x14ac:dyDescent="0.2">
      <c r="A1432" s="253" t="str">
        <f t="shared" si="107"/>
        <v/>
      </c>
      <c r="K1432" s="258"/>
      <c r="AG1432" s="253"/>
    </row>
    <row r="1433" spans="1:33" x14ac:dyDescent="0.2">
      <c r="A1433" s="253" t="str">
        <f t="shared" si="107"/>
        <v/>
      </c>
      <c r="K1433" s="258"/>
      <c r="AG1433" s="253"/>
    </row>
    <row r="1434" spans="1:33" x14ac:dyDescent="0.2">
      <c r="A1434" s="253" t="str">
        <f t="shared" si="107"/>
        <v/>
      </c>
      <c r="K1434" s="258"/>
      <c r="AG1434" s="253"/>
    </row>
    <row r="1435" spans="1:33" x14ac:dyDescent="0.2">
      <c r="A1435" s="253" t="str">
        <f t="shared" si="107"/>
        <v/>
      </c>
      <c r="K1435" s="258"/>
      <c r="AG1435" s="253"/>
    </row>
    <row r="1436" spans="1:33" x14ac:dyDescent="0.2">
      <c r="A1436" s="253" t="str">
        <f t="shared" si="107"/>
        <v/>
      </c>
      <c r="K1436" s="258"/>
      <c r="AG1436" s="253"/>
    </row>
    <row r="1437" spans="1:33" x14ac:dyDescent="0.2">
      <c r="A1437" s="253" t="str">
        <f t="shared" si="107"/>
        <v/>
      </c>
      <c r="K1437" s="258"/>
      <c r="AG1437" s="253"/>
    </row>
    <row r="1438" spans="1:33" x14ac:dyDescent="0.2">
      <c r="A1438" s="253" t="str">
        <f t="shared" si="107"/>
        <v/>
      </c>
      <c r="K1438" s="258"/>
      <c r="AG1438" s="253"/>
    </row>
    <row r="1439" spans="1:33" x14ac:dyDescent="0.2">
      <c r="A1439" s="253" t="str">
        <f t="shared" si="107"/>
        <v/>
      </c>
      <c r="K1439" s="258"/>
      <c r="AG1439" s="253"/>
    </row>
    <row r="1440" spans="1:33" x14ac:dyDescent="0.2">
      <c r="A1440" s="253" t="str">
        <f t="shared" si="107"/>
        <v/>
      </c>
      <c r="K1440" s="258"/>
      <c r="AG1440" s="253"/>
    </row>
    <row r="1441" spans="1:35" x14ac:dyDescent="0.2">
      <c r="A1441" s="253" t="str">
        <f t="shared" si="107"/>
        <v/>
      </c>
      <c r="K1441" s="258"/>
      <c r="AG1441" s="253"/>
    </row>
    <row r="1442" spans="1:35" x14ac:dyDescent="0.2">
      <c r="A1442" s="253" t="str">
        <f t="shared" si="107"/>
        <v/>
      </c>
      <c r="K1442" s="258"/>
      <c r="AG1442" s="253"/>
    </row>
    <row r="1443" spans="1:35" x14ac:dyDescent="0.2">
      <c r="A1443" s="253" t="str">
        <f t="shared" si="107"/>
        <v/>
      </c>
      <c r="K1443" s="258"/>
      <c r="AG1443" s="253"/>
    </row>
    <row r="1444" spans="1:35" x14ac:dyDescent="0.2">
      <c r="A1444" s="253" t="str">
        <f t="shared" si="107"/>
        <v/>
      </c>
      <c r="K1444" s="258"/>
      <c r="AG1444" s="253"/>
    </row>
    <row r="1445" spans="1:35" x14ac:dyDescent="0.2">
      <c r="A1445" s="253" t="str">
        <f t="shared" si="107"/>
        <v/>
      </c>
      <c r="K1445" s="258"/>
      <c r="AG1445" s="253"/>
    </row>
    <row r="1446" spans="1:35" x14ac:dyDescent="0.2">
      <c r="A1446" s="253" t="str">
        <f t="shared" si="107"/>
        <v/>
      </c>
      <c r="K1446" s="258"/>
      <c r="AG1446" s="253"/>
    </row>
    <row r="1447" spans="1:35" x14ac:dyDescent="0.2">
      <c r="A1447" s="253" t="str">
        <f t="shared" si="107"/>
        <v/>
      </c>
      <c r="K1447" s="258"/>
      <c r="AG1447" s="253"/>
    </row>
    <row r="1448" spans="1:35" x14ac:dyDescent="0.2">
      <c r="A1448" s="253" t="str">
        <f t="shared" si="107"/>
        <v/>
      </c>
      <c r="K1448" s="258"/>
      <c r="AG1448" s="253"/>
    </row>
    <row r="1449" spans="1:35" x14ac:dyDescent="0.2">
      <c r="A1449" s="253" t="str">
        <f t="shared" si="107"/>
        <v/>
      </c>
      <c r="K1449" s="258"/>
      <c r="AG1449" s="253"/>
      <c r="AH1449" s="253"/>
      <c r="AI1449" s="253"/>
    </row>
    <row r="1450" spans="1:35" x14ac:dyDescent="0.2">
      <c r="A1450" s="253" t="str">
        <f t="shared" si="107"/>
        <v/>
      </c>
      <c r="K1450" s="258"/>
      <c r="AG1450" s="253"/>
      <c r="AH1450" s="253"/>
      <c r="AI1450" s="253"/>
    </row>
    <row r="1451" spans="1:35" x14ac:dyDescent="0.2">
      <c r="A1451" s="253" t="str">
        <f t="shared" si="107"/>
        <v/>
      </c>
      <c r="K1451" s="258"/>
      <c r="AG1451" s="253"/>
      <c r="AH1451" s="253"/>
      <c r="AI1451" s="253"/>
    </row>
    <row r="1452" spans="1:35" x14ac:dyDescent="0.2">
      <c r="A1452" s="253" t="str">
        <f t="shared" si="107"/>
        <v/>
      </c>
      <c r="K1452" s="258"/>
      <c r="AG1452" s="253"/>
      <c r="AH1452" s="253"/>
      <c r="AI1452" s="253"/>
    </row>
    <row r="1453" spans="1:35" x14ac:dyDescent="0.2">
      <c r="A1453" s="253" t="str">
        <f t="shared" si="107"/>
        <v/>
      </c>
      <c r="K1453" s="258"/>
      <c r="AG1453" s="253"/>
      <c r="AH1453" s="253"/>
      <c r="AI1453" s="253"/>
    </row>
    <row r="1454" spans="1:35" x14ac:dyDescent="0.2">
      <c r="A1454" s="253" t="str">
        <f t="shared" si="107"/>
        <v/>
      </c>
      <c r="K1454" s="258"/>
      <c r="AG1454" s="253"/>
      <c r="AH1454" s="253"/>
      <c r="AI1454" s="253"/>
    </row>
    <row r="1455" spans="1:35" x14ac:dyDescent="0.2">
      <c r="A1455" s="253" t="str">
        <f t="shared" si="107"/>
        <v/>
      </c>
      <c r="K1455" s="258"/>
      <c r="AG1455" s="253"/>
    </row>
    <row r="1456" spans="1:35" x14ac:dyDescent="0.2">
      <c r="A1456" s="253" t="str">
        <f t="shared" si="107"/>
        <v/>
      </c>
      <c r="K1456" s="258"/>
      <c r="AG1456" s="253"/>
    </row>
    <row r="1457" spans="1:35" x14ac:dyDescent="0.2">
      <c r="A1457" s="253" t="str">
        <f t="shared" si="107"/>
        <v/>
      </c>
      <c r="K1457" s="258"/>
      <c r="AG1457" s="253"/>
    </row>
    <row r="1458" spans="1:35" x14ac:dyDescent="0.2">
      <c r="A1458" s="253" t="str">
        <f t="shared" si="107"/>
        <v/>
      </c>
      <c r="K1458" s="258"/>
      <c r="AG1458" s="253"/>
    </row>
    <row r="1459" spans="1:35" x14ac:dyDescent="0.2">
      <c r="A1459" s="253" t="str">
        <f t="shared" si="107"/>
        <v/>
      </c>
      <c r="K1459" s="258"/>
      <c r="AG1459" s="253"/>
    </row>
    <row r="1460" spans="1:35" x14ac:dyDescent="0.2">
      <c r="A1460" s="253" t="str">
        <f t="shared" si="107"/>
        <v/>
      </c>
      <c r="K1460" s="258"/>
      <c r="AG1460" s="253"/>
    </row>
    <row r="1461" spans="1:35" x14ac:dyDescent="0.2">
      <c r="A1461" s="253" t="str">
        <f t="shared" si="107"/>
        <v/>
      </c>
      <c r="K1461" s="258"/>
      <c r="AG1461" s="253"/>
    </row>
    <row r="1462" spans="1:35" x14ac:dyDescent="0.2">
      <c r="A1462" s="253" t="str">
        <f t="shared" si="107"/>
        <v/>
      </c>
      <c r="K1462" s="258"/>
      <c r="AG1462" s="253"/>
    </row>
    <row r="1463" spans="1:35" x14ac:dyDescent="0.2">
      <c r="A1463" s="253" t="str">
        <f t="shared" si="107"/>
        <v/>
      </c>
      <c r="K1463" s="258"/>
      <c r="AG1463" s="253"/>
    </row>
    <row r="1464" spans="1:35" x14ac:dyDescent="0.2">
      <c r="A1464" s="253" t="str">
        <f t="shared" si="107"/>
        <v/>
      </c>
      <c r="K1464" s="258"/>
      <c r="AG1464" s="253"/>
    </row>
    <row r="1465" spans="1:35" x14ac:dyDescent="0.2">
      <c r="A1465" s="253" t="str">
        <f t="shared" si="107"/>
        <v/>
      </c>
      <c r="K1465" s="258"/>
      <c r="AG1465" s="253"/>
    </row>
    <row r="1466" spans="1:35" x14ac:dyDescent="0.2">
      <c r="A1466" s="253" t="str">
        <f t="shared" si="107"/>
        <v/>
      </c>
      <c r="K1466" s="258"/>
      <c r="AG1466" s="253"/>
    </row>
    <row r="1467" spans="1:35" x14ac:dyDescent="0.2">
      <c r="A1467" s="253" t="str">
        <f t="shared" si="107"/>
        <v/>
      </c>
      <c r="K1467" s="258"/>
      <c r="AG1467" s="253"/>
    </row>
    <row r="1468" spans="1:35" x14ac:dyDescent="0.2">
      <c r="A1468" s="253" t="str">
        <f t="shared" si="107"/>
        <v/>
      </c>
      <c r="K1468" s="258"/>
      <c r="AG1468" s="253"/>
      <c r="AH1468" s="253"/>
      <c r="AI1468" s="253"/>
    </row>
    <row r="1469" spans="1:35" x14ac:dyDescent="0.2">
      <c r="A1469" s="253" t="str">
        <f t="shared" si="107"/>
        <v/>
      </c>
      <c r="K1469" s="258"/>
      <c r="AG1469" s="253"/>
      <c r="AH1469" s="253"/>
      <c r="AI1469" s="253"/>
    </row>
    <row r="1470" spans="1:35" x14ac:dyDescent="0.2">
      <c r="A1470" s="253" t="str">
        <f t="shared" si="107"/>
        <v/>
      </c>
      <c r="K1470" s="258"/>
      <c r="AG1470" s="253"/>
      <c r="AH1470" s="253"/>
      <c r="AI1470" s="253"/>
    </row>
    <row r="1471" spans="1:35" x14ac:dyDescent="0.2">
      <c r="A1471" s="253" t="str">
        <f t="shared" si="107"/>
        <v/>
      </c>
      <c r="K1471" s="258"/>
      <c r="AG1471" s="253"/>
      <c r="AH1471" s="253"/>
      <c r="AI1471" s="253"/>
    </row>
    <row r="1472" spans="1:35" x14ac:dyDescent="0.2">
      <c r="A1472" s="253" t="str">
        <f t="shared" si="107"/>
        <v/>
      </c>
      <c r="K1472" s="258"/>
      <c r="AG1472" s="253"/>
      <c r="AH1472" s="253"/>
      <c r="AI1472" s="253"/>
    </row>
    <row r="1473" spans="1:33" x14ac:dyDescent="0.2">
      <c r="A1473" s="253" t="str">
        <f t="shared" si="107"/>
        <v/>
      </c>
      <c r="K1473" s="258"/>
      <c r="AG1473" s="253"/>
    </row>
    <row r="1474" spans="1:33" x14ac:dyDescent="0.2">
      <c r="A1474" s="253" t="str">
        <f t="shared" si="107"/>
        <v/>
      </c>
      <c r="K1474" s="258"/>
      <c r="AG1474" s="253"/>
    </row>
    <row r="1475" spans="1:33" x14ac:dyDescent="0.2">
      <c r="A1475" s="253" t="str">
        <f t="shared" si="107"/>
        <v/>
      </c>
      <c r="K1475" s="258"/>
      <c r="AG1475" s="253"/>
    </row>
    <row r="1476" spans="1:33" x14ac:dyDescent="0.2">
      <c r="A1476" s="253" t="str">
        <f t="shared" si="107"/>
        <v/>
      </c>
      <c r="K1476" s="258"/>
      <c r="AG1476" s="253"/>
    </row>
    <row r="1477" spans="1:33" x14ac:dyDescent="0.2">
      <c r="A1477" s="253" t="str">
        <f t="shared" si="107"/>
        <v/>
      </c>
      <c r="K1477" s="258"/>
      <c r="AG1477" s="253"/>
    </row>
    <row r="1478" spans="1:33" x14ac:dyDescent="0.2">
      <c r="A1478" s="253" t="str">
        <f t="shared" si="107"/>
        <v/>
      </c>
      <c r="K1478" s="258"/>
      <c r="AG1478" s="253"/>
    </row>
    <row r="1479" spans="1:33" x14ac:dyDescent="0.2">
      <c r="A1479" s="253" t="str">
        <f t="shared" si="107"/>
        <v/>
      </c>
      <c r="K1479" s="258"/>
      <c r="AG1479" s="253"/>
    </row>
    <row r="1480" spans="1:33" x14ac:dyDescent="0.2">
      <c r="A1480" s="253" t="str">
        <f t="shared" si="107"/>
        <v/>
      </c>
      <c r="K1480" s="258"/>
      <c r="AG1480" s="253"/>
    </row>
    <row r="1481" spans="1:33" x14ac:dyDescent="0.2">
      <c r="A1481" s="253" t="str">
        <f t="shared" si="107"/>
        <v/>
      </c>
      <c r="K1481" s="258"/>
      <c r="AG1481" s="253"/>
    </row>
    <row r="1482" spans="1:33" x14ac:dyDescent="0.2">
      <c r="A1482" s="253" t="str">
        <f t="shared" si="107"/>
        <v/>
      </c>
      <c r="K1482" s="258"/>
      <c r="AG1482" s="253"/>
    </row>
    <row r="1483" spans="1:33" x14ac:dyDescent="0.2">
      <c r="A1483" s="253" t="str">
        <f t="shared" si="107"/>
        <v/>
      </c>
      <c r="K1483" s="258"/>
      <c r="AG1483" s="253"/>
    </row>
    <row r="1484" spans="1:33" x14ac:dyDescent="0.2">
      <c r="A1484" s="253" t="str">
        <f t="shared" si="107"/>
        <v/>
      </c>
      <c r="K1484" s="258"/>
      <c r="AG1484" s="253"/>
    </row>
    <row r="1485" spans="1:33" x14ac:dyDescent="0.2">
      <c r="A1485" s="253" t="str">
        <f t="shared" si="107"/>
        <v/>
      </c>
      <c r="K1485" s="258"/>
      <c r="AG1485" s="253"/>
    </row>
    <row r="1486" spans="1:33" x14ac:dyDescent="0.2">
      <c r="A1486" s="253" t="str">
        <f t="shared" si="107"/>
        <v/>
      </c>
      <c r="K1486" s="258"/>
      <c r="AG1486" s="253"/>
    </row>
    <row r="1487" spans="1:33" x14ac:dyDescent="0.2">
      <c r="A1487" s="253" t="str">
        <f t="shared" si="107"/>
        <v/>
      </c>
      <c r="K1487" s="258"/>
      <c r="AG1487" s="253"/>
    </row>
    <row r="1488" spans="1:33" x14ac:dyDescent="0.2">
      <c r="A1488" s="253" t="str">
        <f t="shared" si="107"/>
        <v/>
      </c>
      <c r="K1488" s="258"/>
      <c r="AG1488" s="253"/>
    </row>
    <row r="1489" spans="1:35" x14ac:dyDescent="0.2">
      <c r="A1489" s="253" t="str">
        <f t="shared" ref="A1489:A1552" si="108">I1489&amp;B1489&amp;C1489&amp;D1489&amp;F1489&amp;G1489</f>
        <v/>
      </c>
      <c r="K1489" s="258"/>
      <c r="AG1489" s="253"/>
      <c r="AH1489" s="253"/>
      <c r="AI1489" s="253"/>
    </row>
    <row r="1490" spans="1:35" x14ac:dyDescent="0.2">
      <c r="A1490" s="253" t="str">
        <f t="shared" si="108"/>
        <v/>
      </c>
      <c r="K1490" s="258"/>
      <c r="AG1490" s="253"/>
      <c r="AH1490" s="253"/>
      <c r="AI1490" s="253"/>
    </row>
    <row r="1491" spans="1:35" x14ac:dyDescent="0.2">
      <c r="A1491" s="253" t="str">
        <f t="shared" si="108"/>
        <v/>
      </c>
      <c r="K1491" s="258"/>
      <c r="AG1491" s="253"/>
    </row>
    <row r="1492" spans="1:35" x14ac:dyDescent="0.2">
      <c r="A1492" s="253" t="str">
        <f t="shared" si="108"/>
        <v/>
      </c>
      <c r="K1492" s="258"/>
      <c r="AG1492" s="253"/>
    </row>
    <row r="1493" spans="1:35" x14ac:dyDescent="0.2">
      <c r="A1493" s="253" t="str">
        <f t="shared" si="108"/>
        <v/>
      </c>
      <c r="K1493" s="258"/>
      <c r="AG1493" s="253"/>
    </row>
    <row r="1494" spans="1:35" x14ac:dyDescent="0.2">
      <c r="A1494" s="253" t="str">
        <f t="shared" si="108"/>
        <v/>
      </c>
      <c r="K1494" s="258"/>
      <c r="AG1494" s="253"/>
    </row>
    <row r="1495" spans="1:35" x14ac:dyDescent="0.2">
      <c r="A1495" s="253" t="str">
        <f t="shared" si="108"/>
        <v/>
      </c>
      <c r="K1495" s="258"/>
      <c r="AG1495" s="253"/>
    </row>
    <row r="1496" spans="1:35" x14ac:dyDescent="0.2">
      <c r="A1496" s="253" t="str">
        <f t="shared" si="108"/>
        <v/>
      </c>
      <c r="K1496" s="258"/>
      <c r="AG1496" s="253"/>
    </row>
    <row r="1497" spans="1:35" x14ac:dyDescent="0.2">
      <c r="A1497" s="253" t="str">
        <f t="shared" si="108"/>
        <v/>
      </c>
      <c r="K1497" s="258"/>
      <c r="AG1497" s="253"/>
      <c r="AH1497" s="253"/>
      <c r="AI1497" s="253"/>
    </row>
    <row r="1498" spans="1:35" x14ac:dyDescent="0.2">
      <c r="A1498" s="253" t="str">
        <f t="shared" si="108"/>
        <v/>
      </c>
      <c r="K1498" s="258"/>
      <c r="AG1498" s="253"/>
    </row>
    <row r="1499" spans="1:35" x14ac:dyDescent="0.2">
      <c r="A1499" s="253" t="str">
        <f t="shared" si="108"/>
        <v/>
      </c>
      <c r="K1499" s="258"/>
      <c r="AG1499" s="253"/>
    </row>
    <row r="1500" spans="1:35" x14ac:dyDescent="0.2">
      <c r="A1500" s="253" t="str">
        <f t="shared" si="108"/>
        <v/>
      </c>
      <c r="K1500" s="258"/>
      <c r="AG1500" s="253"/>
    </row>
    <row r="1501" spans="1:35" x14ac:dyDescent="0.2">
      <c r="A1501" s="253" t="str">
        <f t="shared" si="108"/>
        <v/>
      </c>
      <c r="K1501" s="258"/>
      <c r="AG1501" s="253"/>
    </row>
    <row r="1502" spans="1:35" x14ac:dyDescent="0.2">
      <c r="A1502" s="253" t="str">
        <f t="shared" si="108"/>
        <v/>
      </c>
      <c r="K1502" s="258"/>
      <c r="AG1502" s="253"/>
    </row>
    <row r="1503" spans="1:35" x14ac:dyDescent="0.2">
      <c r="A1503" s="253" t="str">
        <f t="shared" si="108"/>
        <v/>
      </c>
      <c r="K1503" s="258"/>
      <c r="AG1503" s="253"/>
    </row>
    <row r="1504" spans="1:35" x14ac:dyDescent="0.2">
      <c r="A1504" s="253" t="str">
        <f t="shared" si="108"/>
        <v/>
      </c>
      <c r="K1504" s="258"/>
      <c r="AG1504" s="253"/>
    </row>
    <row r="1505" spans="1:35" x14ac:dyDescent="0.2">
      <c r="A1505" s="253" t="str">
        <f t="shared" si="108"/>
        <v/>
      </c>
      <c r="K1505" s="258"/>
      <c r="AG1505" s="253"/>
    </row>
    <row r="1506" spans="1:35" x14ac:dyDescent="0.2">
      <c r="A1506" s="253" t="str">
        <f t="shared" si="108"/>
        <v/>
      </c>
      <c r="K1506" s="258"/>
      <c r="AG1506" s="253"/>
    </row>
    <row r="1507" spans="1:35" x14ac:dyDescent="0.2">
      <c r="A1507" s="253" t="str">
        <f t="shared" si="108"/>
        <v/>
      </c>
      <c r="K1507" s="258"/>
      <c r="AG1507" s="253"/>
    </row>
    <row r="1508" spans="1:35" x14ac:dyDescent="0.2">
      <c r="A1508" s="253" t="str">
        <f t="shared" si="108"/>
        <v/>
      </c>
      <c r="K1508" s="258"/>
      <c r="AG1508" s="253"/>
    </row>
    <row r="1509" spans="1:35" x14ac:dyDescent="0.2">
      <c r="A1509" s="253" t="str">
        <f t="shared" si="108"/>
        <v/>
      </c>
      <c r="K1509" s="258"/>
      <c r="AG1509" s="253"/>
    </row>
    <row r="1510" spans="1:35" x14ac:dyDescent="0.2">
      <c r="A1510" s="253" t="str">
        <f t="shared" si="108"/>
        <v/>
      </c>
      <c r="K1510" s="258"/>
      <c r="AG1510" s="253"/>
    </row>
    <row r="1511" spans="1:35" x14ac:dyDescent="0.2">
      <c r="A1511" s="253" t="str">
        <f t="shared" si="108"/>
        <v/>
      </c>
      <c r="K1511" s="258"/>
      <c r="AG1511" s="253"/>
    </row>
    <row r="1512" spans="1:35" x14ac:dyDescent="0.2">
      <c r="A1512" s="253" t="str">
        <f t="shared" si="108"/>
        <v/>
      </c>
      <c r="K1512" s="258"/>
      <c r="AG1512" s="253"/>
    </row>
    <row r="1513" spans="1:35" x14ac:dyDescent="0.2">
      <c r="A1513" s="253" t="str">
        <f t="shared" si="108"/>
        <v/>
      </c>
      <c r="K1513" s="258"/>
      <c r="AG1513" s="253"/>
      <c r="AH1513" s="253"/>
      <c r="AI1513" s="253"/>
    </row>
    <row r="1514" spans="1:35" x14ac:dyDescent="0.2">
      <c r="A1514" s="253" t="str">
        <f t="shared" si="108"/>
        <v/>
      </c>
      <c r="K1514" s="258"/>
      <c r="AG1514" s="253"/>
      <c r="AH1514" s="253"/>
      <c r="AI1514" s="253"/>
    </row>
    <row r="1515" spans="1:35" x14ac:dyDescent="0.2">
      <c r="A1515" s="253" t="str">
        <f t="shared" si="108"/>
        <v/>
      </c>
      <c r="K1515" s="258"/>
      <c r="AG1515" s="253"/>
      <c r="AH1515" s="253"/>
      <c r="AI1515" s="253"/>
    </row>
    <row r="1516" spans="1:35" x14ac:dyDescent="0.2">
      <c r="A1516" s="253" t="str">
        <f t="shared" si="108"/>
        <v/>
      </c>
      <c r="K1516" s="258"/>
      <c r="AG1516" s="253"/>
    </row>
    <row r="1517" spans="1:35" x14ac:dyDescent="0.2">
      <c r="A1517" s="253" t="str">
        <f t="shared" si="108"/>
        <v/>
      </c>
      <c r="K1517" s="258"/>
      <c r="AG1517" s="253"/>
    </row>
    <row r="1518" spans="1:35" x14ac:dyDescent="0.2">
      <c r="A1518" s="253" t="str">
        <f t="shared" si="108"/>
        <v/>
      </c>
      <c r="K1518" s="258"/>
      <c r="AG1518" s="253"/>
    </row>
    <row r="1519" spans="1:35" x14ac:dyDescent="0.2">
      <c r="A1519" s="253" t="str">
        <f t="shared" si="108"/>
        <v/>
      </c>
      <c r="K1519" s="258"/>
      <c r="AG1519" s="253"/>
    </row>
    <row r="1520" spans="1:35" x14ac:dyDescent="0.2">
      <c r="A1520" s="253" t="str">
        <f t="shared" si="108"/>
        <v/>
      </c>
      <c r="K1520" s="258"/>
      <c r="AG1520" s="253"/>
    </row>
    <row r="1521" spans="1:33" x14ac:dyDescent="0.2">
      <c r="A1521" s="253" t="str">
        <f t="shared" si="108"/>
        <v/>
      </c>
      <c r="K1521" s="258"/>
      <c r="AG1521" s="253"/>
    </row>
    <row r="1522" spans="1:33" x14ac:dyDescent="0.2">
      <c r="A1522" s="253" t="str">
        <f t="shared" si="108"/>
        <v/>
      </c>
      <c r="K1522" s="258"/>
      <c r="AG1522" s="253"/>
    </row>
    <row r="1523" spans="1:33" x14ac:dyDescent="0.2">
      <c r="A1523" s="253" t="str">
        <f t="shared" si="108"/>
        <v/>
      </c>
      <c r="K1523" s="258"/>
      <c r="AG1523" s="253"/>
    </row>
    <row r="1524" spans="1:33" x14ac:dyDescent="0.2">
      <c r="A1524" s="253" t="str">
        <f t="shared" si="108"/>
        <v/>
      </c>
      <c r="K1524" s="258"/>
      <c r="AG1524" s="253"/>
    </row>
    <row r="1525" spans="1:33" x14ac:dyDescent="0.2">
      <c r="A1525" s="253" t="str">
        <f t="shared" si="108"/>
        <v/>
      </c>
      <c r="K1525" s="258"/>
      <c r="AG1525" s="253"/>
    </row>
    <row r="1526" spans="1:33" x14ac:dyDescent="0.2">
      <c r="A1526" s="253" t="str">
        <f t="shared" si="108"/>
        <v/>
      </c>
      <c r="K1526" s="258"/>
      <c r="AG1526" s="253"/>
    </row>
    <row r="1527" spans="1:33" x14ac:dyDescent="0.2">
      <c r="A1527" s="253" t="str">
        <f t="shared" si="108"/>
        <v/>
      </c>
      <c r="K1527" s="258"/>
      <c r="AG1527" s="253"/>
    </row>
    <row r="1528" spans="1:33" x14ac:dyDescent="0.2">
      <c r="A1528" s="253" t="str">
        <f t="shared" si="108"/>
        <v/>
      </c>
      <c r="K1528" s="258"/>
      <c r="AG1528" s="253"/>
    </row>
    <row r="1529" spans="1:33" x14ac:dyDescent="0.2">
      <c r="A1529" s="253" t="str">
        <f t="shared" si="108"/>
        <v/>
      </c>
      <c r="K1529" s="258"/>
      <c r="AG1529" s="253"/>
    </row>
    <row r="1530" spans="1:33" x14ac:dyDescent="0.2">
      <c r="A1530" s="253" t="str">
        <f t="shared" si="108"/>
        <v/>
      </c>
      <c r="K1530" s="258"/>
      <c r="AG1530" s="253"/>
    </row>
    <row r="1531" spans="1:33" x14ac:dyDescent="0.2">
      <c r="A1531" s="253" t="str">
        <f t="shared" si="108"/>
        <v/>
      </c>
      <c r="K1531" s="258"/>
      <c r="AG1531" s="253"/>
    </row>
    <row r="1532" spans="1:33" x14ac:dyDescent="0.2">
      <c r="A1532" s="253" t="str">
        <f t="shared" si="108"/>
        <v/>
      </c>
      <c r="AG1532" s="253"/>
    </row>
    <row r="1533" spans="1:33" x14ac:dyDescent="0.2">
      <c r="A1533" s="253" t="str">
        <f t="shared" si="108"/>
        <v/>
      </c>
      <c r="AG1533" s="253"/>
    </row>
    <row r="1534" spans="1:33" x14ac:dyDescent="0.2">
      <c r="A1534" s="253" t="str">
        <f t="shared" si="108"/>
        <v/>
      </c>
      <c r="AG1534" s="253"/>
    </row>
    <row r="1535" spans="1:33" x14ac:dyDescent="0.2">
      <c r="A1535" s="253" t="str">
        <f t="shared" si="108"/>
        <v/>
      </c>
      <c r="AG1535" s="253"/>
    </row>
    <row r="1536" spans="1:33" x14ac:dyDescent="0.2">
      <c r="A1536" s="253" t="str">
        <f t="shared" si="108"/>
        <v/>
      </c>
      <c r="AG1536" s="253"/>
    </row>
    <row r="1537" spans="1:33" x14ac:dyDescent="0.2">
      <c r="A1537" s="253" t="str">
        <f t="shared" si="108"/>
        <v/>
      </c>
      <c r="AG1537" s="253"/>
    </row>
    <row r="1538" spans="1:33" x14ac:dyDescent="0.2">
      <c r="A1538" s="253" t="str">
        <f t="shared" si="108"/>
        <v/>
      </c>
      <c r="AG1538" s="253"/>
    </row>
    <row r="1539" spans="1:33" x14ac:dyDescent="0.2">
      <c r="A1539" s="253" t="str">
        <f t="shared" si="108"/>
        <v/>
      </c>
      <c r="AG1539" s="253"/>
    </row>
    <row r="1540" spans="1:33" x14ac:dyDescent="0.2">
      <c r="A1540" s="253" t="str">
        <f t="shared" si="108"/>
        <v/>
      </c>
      <c r="AG1540" s="253"/>
    </row>
    <row r="1541" spans="1:33" x14ac:dyDescent="0.2">
      <c r="A1541" s="253" t="str">
        <f t="shared" si="108"/>
        <v/>
      </c>
      <c r="AG1541" s="253"/>
    </row>
    <row r="1542" spans="1:33" x14ac:dyDescent="0.2">
      <c r="A1542" s="253" t="str">
        <f t="shared" si="108"/>
        <v/>
      </c>
      <c r="AG1542" s="253"/>
    </row>
    <row r="1543" spans="1:33" x14ac:dyDescent="0.2">
      <c r="A1543" s="253" t="str">
        <f t="shared" si="108"/>
        <v/>
      </c>
      <c r="AG1543" s="253"/>
    </row>
    <row r="1544" spans="1:33" x14ac:dyDescent="0.2">
      <c r="A1544" s="253" t="str">
        <f t="shared" si="108"/>
        <v/>
      </c>
      <c r="AG1544" s="253"/>
    </row>
    <row r="1545" spans="1:33" x14ac:dyDescent="0.2">
      <c r="A1545" s="253" t="str">
        <f t="shared" si="108"/>
        <v/>
      </c>
      <c r="AG1545" s="253"/>
    </row>
    <row r="1546" spans="1:33" x14ac:dyDescent="0.2">
      <c r="A1546" s="253" t="str">
        <f t="shared" si="108"/>
        <v/>
      </c>
      <c r="AG1546" s="253"/>
    </row>
    <row r="1547" spans="1:33" x14ac:dyDescent="0.2">
      <c r="A1547" s="253" t="str">
        <f t="shared" si="108"/>
        <v/>
      </c>
      <c r="AG1547" s="253"/>
    </row>
    <row r="1548" spans="1:33" x14ac:dyDescent="0.2">
      <c r="A1548" s="253" t="str">
        <f t="shared" si="108"/>
        <v/>
      </c>
      <c r="AG1548" s="253"/>
    </row>
    <row r="1549" spans="1:33" x14ac:dyDescent="0.2">
      <c r="A1549" s="253" t="str">
        <f t="shared" si="108"/>
        <v/>
      </c>
      <c r="AG1549" s="253"/>
    </row>
    <row r="1550" spans="1:33" x14ac:dyDescent="0.2">
      <c r="A1550" s="253" t="str">
        <f t="shared" si="108"/>
        <v/>
      </c>
      <c r="AG1550" s="253"/>
    </row>
    <row r="1551" spans="1:33" x14ac:dyDescent="0.2">
      <c r="A1551" s="253" t="str">
        <f t="shared" si="108"/>
        <v/>
      </c>
      <c r="AG1551" s="253"/>
    </row>
    <row r="1552" spans="1:33" x14ac:dyDescent="0.2">
      <c r="A1552" s="253" t="str">
        <f t="shared" si="108"/>
        <v/>
      </c>
      <c r="AG1552" s="253"/>
    </row>
    <row r="1553" spans="1:33" x14ac:dyDescent="0.2">
      <c r="A1553" s="253" t="str">
        <f t="shared" ref="A1553:A1616" si="109">I1553&amp;B1553&amp;C1553&amp;D1553&amp;F1553&amp;G1553</f>
        <v/>
      </c>
      <c r="AG1553" s="253"/>
    </row>
    <row r="1554" spans="1:33" x14ac:dyDescent="0.2">
      <c r="A1554" s="253" t="str">
        <f t="shared" si="109"/>
        <v/>
      </c>
      <c r="AG1554" s="253"/>
    </row>
    <row r="1555" spans="1:33" x14ac:dyDescent="0.2">
      <c r="A1555" s="253" t="str">
        <f t="shared" si="109"/>
        <v/>
      </c>
      <c r="AG1555" s="253"/>
    </row>
    <row r="1556" spans="1:33" x14ac:dyDescent="0.2">
      <c r="A1556" s="253" t="str">
        <f t="shared" si="109"/>
        <v/>
      </c>
      <c r="AG1556" s="253"/>
    </row>
    <row r="1557" spans="1:33" x14ac:dyDescent="0.2">
      <c r="A1557" s="253" t="str">
        <f t="shared" si="109"/>
        <v/>
      </c>
      <c r="AG1557" s="253"/>
    </row>
    <row r="1558" spans="1:33" x14ac:dyDescent="0.2">
      <c r="A1558" s="253" t="str">
        <f t="shared" si="109"/>
        <v/>
      </c>
      <c r="AG1558" s="253"/>
    </row>
    <row r="1559" spans="1:33" x14ac:dyDescent="0.2">
      <c r="A1559" s="253" t="str">
        <f t="shared" si="109"/>
        <v/>
      </c>
      <c r="AG1559" s="253"/>
    </row>
    <row r="1560" spans="1:33" x14ac:dyDescent="0.2">
      <c r="A1560" s="253" t="str">
        <f t="shared" si="109"/>
        <v/>
      </c>
      <c r="AG1560" s="253"/>
    </row>
    <row r="1561" spans="1:33" x14ac:dyDescent="0.2">
      <c r="A1561" s="253" t="str">
        <f t="shared" si="109"/>
        <v/>
      </c>
      <c r="AG1561" s="253"/>
    </row>
    <row r="1562" spans="1:33" x14ac:dyDescent="0.2">
      <c r="A1562" s="253" t="str">
        <f t="shared" si="109"/>
        <v/>
      </c>
      <c r="AG1562" s="253"/>
    </row>
    <row r="1563" spans="1:33" x14ac:dyDescent="0.2">
      <c r="A1563" s="253" t="str">
        <f t="shared" si="109"/>
        <v/>
      </c>
      <c r="AG1563" s="253"/>
    </row>
    <row r="1564" spans="1:33" x14ac:dyDescent="0.2">
      <c r="A1564" s="253" t="str">
        <f t="shared" si="109"/>
        <v/>
      </c>
      <c r="AG1564" s="253"/>
    </row>
    <row r="1565" spans="1:33" x14ac:dyDescent="0.2">
      <c r="A1565" s="253" t="str">
        <f t="shared" si="109"/>
        <v/>
      </c>
      <c r="AG1565" s="253"/>
    </row>
    <row r="1566" spans="1:33" x14ac:dyDescent="0.2">
      <c r="A1566" s="253" t="str">
        <f t="shared" si="109"/>
        <v/>
      </c>
      <c r="AG1566" s="253"/>
    </row>
    <row r="1567" spans="1:33" x14ac:dyDescent="0.2">
      <c r="A1567" s="253" t="str">
        <f t="shared" si="109"/>
        <v/>
      </c>
      <c r="AG1567" s="253"/>
    </row>
    <row r="1568" spans="1:33" x14ac:dyDescent="0.2">
      <c r="A1568" s="253" t="str">
        <f t="shared" si="109"/>
        <v/>
      </c>
      <c r="AG1568" s="253"/>
    </row>
    <row r="1569" spans="1:33" x14ac:dyDescent="0.2">
      <c r="A1569" s="253" t="str">
        <f t="shared" si="109"/>
        <v/>
      </c>
      <c r="AG1569" s="253"/>
    </row>
    <row r="1570" spans="1:33" x14ac:dyDescent="0.2">
      <c r="A1570" s="253" t="str">
        <f t="shared" si="109"/>
        <v/>
      </c>
      <c r="AG1570" s="253"/>
    </row>
    <row r="1571" spans="1:33" x14ac:dyDescent="0.2">
      <c r="A1571" s="253" t="str">
        <f t="shared" si="109"/>
        <v/>
      </c>
      <c r="AG1571" s="253"/>
    </row>
    <row r="1572" spans="1:33" x14ac:dyDescent="0.2">
      <c r="A1572" s="253" t="str">
        <f t="shared" si="109"/>
        <v/>
      </c>
      <c r="AG1572" s="253"/>
    </row>
    <row r="1573" spans="1:33" x14ac:dyDescent="0.2">
      <c r="A1573" s="253" t="str">
        <f t="shared" si="109"/>
        <v/>
      </c>
      <c r="AG1573" s="253"/>
    </row>
    <row r="1574" spans="1:33" x14ac:dyDescent="0.2">
      <c r="A1574" s="253" t="str">
        <f t="shared" si="109"/>
        <v/>
      </c>
      <c r="AG1574" s="253"/>
    </row>
    <row r="1575" spans="1:33" x14ac:dyDescent="0.2">
      <c r="A1575" s="253" t="str">
        <f t="shared" si="109"/>
        <v/>
      </c>
      <c r="AG1575" s="253"/>
    </row>
    <row r="1576" spans="1:33" x14ac:dyDescent="0.2">
      <c r="A1576" s="253" t="str">
        <f t="shared" si="109"/>
        <v/>
      </c>
      <c r="AG1576" s="253"/>
    </row>
    <row r="1577" spans="1:33" x14ac:dyDescent="0.2">
      <c r="A1577" s="253" t="str">
        <f t="shared" si="109"/>
        <v/>
      </c>
      <c r="AG1577" s="253"/>
    </row>
    <row r="1578" spans="1:33" x14ac:dyDescent="0.2">
      <c r="A1578" s="253" t="str">
        <f t="shared" si="109"/>
        <v/>
      </c>
      <c r="AG1578" s="253"/>
    </row>
    <row r="1579" spans="1:33" x14ac:dyDescent="0.2">
      <c r="A1579" s="253" t="str">
        <f t="shared" si="109"/>
        <v/>
      </c>
      <c r="AG1579" s="253"/>
    </row>
    <row r="1580" spans="1:33" x14ac:dyDescent="0.2">
      <c r="A1580" s="253" t="str">
        <f t="shared" si="109"/>
        <v/>
      </c>
      <c r="AG1580" s="253"/>
    </row>
    <row r="1581" spans="1:33" x14ac:dyDescent="0.2">
      <c r="A1581" s="253" t="str">
        <f t="shared" si="109"/>
        <v/>
      </c>
      <c r="AG1581" s="253"/>
    </row>
    <row r="1582" spans="1:33" x14ac:dyDescent="0.2">
      <c r="A1582" s="253" t="str">
        <f t="shared" si="109"/>
        <v/>
      </c>
      <c r="AG1582" s="253"/>
    </row>
    <row r="1583" spans="1:33" x14ac:dyDescent="0.2">
      <c r="A1583" s="253" t="str">
        <f t="shared" si="109"/>
        <v/>
      </c>
      <c r="AG1583" s="253"/>
    </row>
    <row r="1584" spans="1:33" x14ac:dyDescent="0.2">
      <c r="A1584" s="253" t="str">
        <f t="shared" si="109"/>
        <v/>
      </c>
      <c r="AG1584" s="253"/>
    </row>
    <row r="1585" spans="1:33" x14ac:dyDescent="0.2">
      <c r="A1585" s="253" t="str">
        <f t="shared" si="109"/>
        <v/>
      </c>
      <c r="AG1585" s="253"/>
    </row>
    <row r="1586" spans="1:33" x14ac:dyDescent="0.2">
      <c r="A1586" s="253" t="str">
        <f t="shared" si="109"/>
        <v/>
      </c>
      <c r="AG1586" s="253"/>
    </row>
    <row r="1587" spans="1:33" x14ac:dyDescent="0.2">
      <c r="A1587" s="253" t="str">
        <f t="shared" si="109"/>
        <v/>
      </c>
      <c r="AG1587" s="253"/>
    </row>
    <row r="1588" spans="1:33" x14ac:dyDescent="0.2">
      <c r="A1588" s="253" t="str">
        <f t="shared" si="109"/>
        <v/>
      </c>
      <c r="AG1588" s="253"/>
    </row>
    <row r="1589" spans="1:33" x14ac:dyDescent="0.2">
      <c r="A1589" s="253" t="str">
        <f t="shared" si="109"/>
        <v/>
      </c>
      <c r="AG1589" s="253"/>
    </row>
    <row r="1590" spans="1:33" x14ac:dyDescent="0.2">
      <c r="A1590" s="253" t="str">
        <f t="shared" si="109"/>
        <v/>
      </c>
      <c r="AG1590" s="253"/>
    </row>
    <row r="1591" spans="1:33" x14ac:dyDescent="0.2">
      <c r="A1591" s="253" t="str">
        <f t="shared" si="109"/>
        <v/>
      </c>
      <c r="AG1591" s="253"/>
    </row>
    <row r="1592" spans="1:33" x14ac:dyDescent="0.2">
      <c r="A1592" s="253" t="str">
        <f t="shared" si="109"/>
        <v/>
      </c>
      <c r="AG1592" s="253"/>
    </row>
    <row r="1593" spans="1:33" x14ac:dyDescent="0.2">
      <c r="A1593" s="253" t="str">
        <f t="shared" si="109"/>
        <v/>
      </c>
      <c r="AG1593" s="253"/>
    </row>
    <row r="1594" spans="1:33" x14ac:dyDescent="0.2">
      <c r="A1594" s="253" t="str">
        <f t="shared" si="109"/>
        <v/>
      </c>
      <c r="AG1594" s="253"/>
    </row>
    <row r="1595" spans="1:33" x14ac:dyDescent="0.2">
      <c r="A1595" s="253" t="str">
        <f t="shared" si="109"/>
        <v/>
      </c>
      <c r="AG1595" s="253"/>
    </row>
    <row r="1596" spans="1:33" x14ac:dyDescent="0.2">
      <c r="A1596" s="253" t="str">
        <f t="shared" si="109"/>
        <v/>
      </c>
      <c r="AG1596" s="253"/>
    </row>
    <row r="1597" spans="1:33" x14ac:dyDescent="0.2">
      <c r="A1597" s="253" t="str">
        <f t="shared" si="109"/>
        <v/>
      </c>
      <c r="AG1597" s="253"/>
    </row>
    <row r="1598" spans="1:33" x14ac:dyDescent="0.2">
      <c r="A1598" s="253" t="str">
        <f t="shared" si="109"/>
        <v/>
      </c>
      <c r="AG1598" s="253"/>
    </row>
    <row r="1599" spans="1:33" x14ac:dyDescent="0.2">
      <c r="A1599" s="253" t="str">
        <f t="shared" si="109"/>
        <v/>
      </c>
      <c r="AG1599" s="253"/>
    </row>
    <row r="1600" spans="1:33" x14ac:dyDescent="0.2">
      <c r="A1600" s="253" t="str">
        <f t="shared" si="109"/>
        <v/>
      </c>
      <c r="AG1600" s="253"/>
    </row>
    <row r="1601" spans="1:33" x14ac:dyDescent="0.2">
      <c r="A1601" s="253" t="str">
        <f t="shared" si="109"/>
        <v/>
      </c>
      <c r="AG1601" s="253"/>
    </row>
    <row r="1602" spans="1:33" x14ac:dyDescent="0.2">
      <c r="A1602" s="253" t="str">
        <f t="shared" si="109"/>
        <v/>
      </c>
      <c r="AG1602" s="253"/>
    </row>
    <row r="1603" spans="1:33" x14ac:dyDescent="0.2">
      <c r="A1603" s="253" t="str">
        <f t="shared" si="109"/>
        <v/>
      </c>
      <c r="AG1603" s="253"/>
    </row>
    <row r="1604" spans="1:33" x14ac:dyDescent="0.2">
      <c r="A1604" s="253" t="str">
        <f t="shared" si="109"/>
        <v/>
      </c>
      <c r="AG1604" s="253"/>
    </row>
    <row r="1605" spans="1:33" x14ac:dyDescent="0.2">
      <c r="A1605" s="253" t="str">
        <f t="shared" si="109"/>
        <v/>
      </c>
      <c r="AG1605" s="253"/>
    </row>
    <row r="1606" spans="1:33" x14ac:dyDescent="0.2">
      <c r="A1606" s="253" t="str">
        <f t="shared" si="109"/>
        <v/>
      </c>
      <c r="AG1606" s="253"/>
    </row>
    <row r="1607" spans="1:33" x14ac:dyDescent="0.2">
      <c r="A1607" s="253" t="str">
        <f t="shared" si="109"/>
        <v/>
      </c>
      <c r="AG1607" s="253"/>
    </row>
    <row r="1608" spans="1:33" x14ac:dyDescent="0.2">
      <c r="A1608" s="253" t="str">
        <f t="shared" si="109"/>
        <v/>
      </c>
      <c r="AG1608" s="253"/>
    </row>
    <row r="1609" spans="1:33" x14ac:dyDescent="0.2">
      <c r="A1609" s="253" t="str">
        <f t="shared" si="109"/>
        <v/>
      </c>
      <c r="AG1609" s="253"/>
    </row>
    <row r="1610" spans="1:33" x14ac:dyDescent="0.2">
      <c r="A1610" s="253" t="str">
        <f t="shared" si="109"/>
        <v/>
      </c>
      <c r="AG1610" s="253"/>
    </row>
    <row r="1611" spans="1:33" x14ac:dyDescent="0.2">
      <c r="A1611" s="253" t="str">
        <f t="shared" si="109"/>
        <v/>
      </c>
      <c r="AG1611" s="253"/>
    </row>
    <row r="1612" spans="1:33" x14ac:dyDescent="0.2">
      <c r="A1612" s="253" t="str">
        <f t="shared" si="109"/>
        <v/>
      </c>
      <c r="AG1612" s="253"/>
    </row>
    <row r="1613" spans="1:33" x14ac:dyDescent="0.2">
      <c r="A1613" s="253" t="str">
        <f t="shared" si="109"/>
        <v/>
      </c>
      <c r="AG1613" s="253"/>
    </row>
    <row r="1614" spans="1:33" x14ac:dyDescent="0.2">
      <c r="A1614" s="253" t="str">
        <f t="shared" si="109"/>
        <v/>
      </c>
      <c r="AG1614" s="253"/>
    </row>
    <row r="1615" spans="1:33" x14ac:dyDescent="0.2">
      <c r="A1615" s="253" t="str">
        <f t="shared" si="109"/>
        <v/>
      </c>
      <c r="AE1615" s="252">
        <f t="shared" ref="AE1615:AE1678" si="110">SUM(T1615:W1615)</f>
        <v>0</v>
      </c>
      <c r="AF1615" s="252">
        <f t="shared" ref="AF1615:AF1678" si="111">SUM(Z1615:AA1615)</f>
        <v>0</v>
      </c>
      <c r="AG1615" s="253">
        <f t="shared" ref="AG1615:AG1678" si="112">+L1615-SUM(Z1615:AA1615)</f>
        <v>0</v>
      </c>
    </row>
    <row r="1616" spans="1:33" x14ac:dyDescent="0.2">
      <c r="A1616" s="253" t="str">
        <f t="shared" si="109"/>
        <v/>
      </c>
      <c r="AE1616" s="252">
        <f t="shared" si="110"/>
        <v>0</v>
      </c>
      <c r="AF1616" s="252">
        <f t="shared" si="111"/>
        <v>0</v>
      </c>
      <c r="AG1616" s="253">
        <f t="shared" si="112"/>
        <v>0</v>
      </c>
    </row>
    <row r="1617" spans="1:33" x14ac:dyDescent="0.2">
      <c r="A1617" s="253" t="str">
        <f t="shared" ref="A1617:A1680" si="113">I1617&amp;B1617&amp;C1617&amp;D1617&amp;F1617&amp;G1617</f>
        <v/>
      </c>
      <c r="AE1617" s="252">
        <f t="shared" si="110"/>
        <v>0</v>
      </c>
      <c r="AF1617" s="252">
        <f t="shared" si="111"/>
        <v>0</v>
      </c>
      <c r="AG1617" s="253">
        <f t="shared" si="112"/>
        <v>0</v>
      </c>
    </row>
    <row r="1618" spans="1:33" x14ac:dyDescent="0.2">
      <c r="A1618" s="253" t="str">
        <f t="shared" si="113"/>
        <v/>
      </c>
      <c r="AE1618" s="252">
        <f t="shared" si="110"/>
        <v>0</v>
      </c>
      <c r="AF1618" s="252">
        <f t="shared" si="111"/>
        <v>0</v>
      </c>
      <c r="AG1618" s="253">
        <f t="shared" si="112"/>
        <v>0</v>
      </c>
    </row>
    <row r="1619" spans="1:33" x14ac:dyDescent="0.2">
      <c r="A1619" s="253" t="str">
        <f t="shared" si="113"/>
        <v/>
      </c>
      <c r="AE1619" s="252">
        <f t="shared" si="110"/>
        <v>0</v>
      </c>
      <c r="AF1619" s="252">
        <f t="shared" si="111"/>
        <v>0</v>
      </c>
      <c r="AG1619" s="253">
        <f t="shared" si="112"/>
        <v>0</v>
      </c>
    </row>
    <row r="1620" spans="1:33" x14ac:dyDescent="0.2">
      <c r="A1620" s="253" t="str">
        <f t="shared" si="113"/>
        <v/>
      </c>
      <c r="AE1620" s="252">
        <f t="shared" si="110"/>
        <v>0</v>
      </c>
      <c r="AF1620" s="252">
        <f t="shared" si="111"/>
        <v>0</v>
      </c>
      <c r="AG1620" s="253">
        <f t="shared" si="112"/>
        <v>0</v>
      </c>
    </row>
    <row r="1621" spans="1:33" x14ac:dyDescent="0.2">
      <c r="A1621" s="253" t="str">
        <f t="shared" si="113"/>
        <v/>
      </c>
      <c r="AE1621" s="252">
        <f t="shared" si="110"/>
        <v>0</v>
      </c>
      <c r="AF1621" s="252">
        <f t="shared" si="111"/>
        <v>0</v>
      </c>
      <c r="AG1621" s="253">
        <f t="shared" si="112"/>
        <v>0</v>
      </c>
    </row>
    <row r="1622" spans="1:33" x14ac:dyDescent="0.2">
      <c r="A1622" s="253" t="str">
        <f t="shared" si="113"/>
        <v/>
      </c>
      <c r="AE1622" s="252">
        <f t="shared" si="110"/>
        <v>0</v>
      </c>
      <c r="AF1622" s="252">
        <f t="shared" si="111"/>
        <v>0</v>
      </c>
      <c r="AG1622" s="253">
        <f t="shared" si="112"/>
        <v>0</v>
      </c>
    </row>
    <row r="1623" spans="1:33" x14ac:dyDescent="0.2">
      <c r="A1623" s="253" t="str">
        <f t="shared" si="113"/>
        <v/>
      </c>
      <c r="AE1623" s="252">
        <f t="shared" si="110"/>
        <v>0</v>
      </c>
      <c r="AF1623" s="252">
        <f t="shared" si="111"/>
        <v>0</v>
      </c>
      <c r="AG1623" s="253">
        <f t="shared" si="112"/>
        <v>0</v>
      </c>
    </row>
    <row r="1624" spans="1:33" x14ac:dyDescent="0.2">
      <c r="A1624" s="253" t="str">
        <f t="shared" si="113"/>
        <v/>
      </c>
      <c r="AE1624" s="252">
        <f t="shared" si="110"/>
        <v>0</v>
      </c>
      <c r="AF1624" s="252">
        <f t="shared" si="111"/>
        <v>0</v>
      </c>
      <c r="AG1624" s="253">
        <f t="shared" si="112"/>
        <v>0</v>
      </c>
    </row>
    <row r="1625" spans="1:33" x14ac:dyDescent="0.2">
      <c r="A1625" s="253" t="str">
        <f t="shared" si="113"/>
        <v/>
      </c>
      <c r="AE1625" s="252">
        <f t="shared" si="110"/>
        <v>0</v>
      </c>
      <c r="AF1625" s="252">
        <f t="shared" si="111"/>
        <v>0</v>
      </c>
      <c r="AG1625" s="253">
        <f t="shared" si="112"/>
        <v>0</v>
      </c>
    </row>
    <row r="1626" spans="1:33" x14ac:dyDescent="0.2">
      <c r="A1626" s="253" t="str">
        <f t="shared" si="113"/>
        <v/>
      </c>
      <c r="AE1626" s="252">
        <f t="shared" si="110"/>
        <v>0</v>
      </c>
      <c r="AF1626" s="252">
        <f t="shared" si="111"/>
        <v>0</v>
      </c>
      <c r="AG1626" s="253">
        <f t="shared" si="112"/>
        <v>0</v>
      </c>
    </row>
    <row r="1627" spans="1:33" x14ac:dyDescent="0.2">
      <c r="A1627" s="253" t="str">
        <f t="shared" si="113"/>
        <v/>
      </c>
      <c r="AE1627" s="252">
        <f t="shared" si="110"/>
        <v>0</v>
      </c>
      <c r="AF1627" s="252">
        <f t="shared" si="111"/>
        <v>0</v>
      </c>
      <c r="AG1627" s="253">
        <f t="shared" si="112"/>
        <v>0</v>
      </c>
    </row>
    <row r="1628" spans="1:33" x14ac:dyDescent="0.2">
      <c r="A1628" s="253" t="str">
        <f t="shared" si="113"/>
        <v/>
      </c>
      <c r="AE1628" s="252">
        <f t="shared" si="110"/>
        <v>0</v>
      </c>
      <c r="AF1628" s="252">
        <f t="shared" si="111"/>
        <v>0</v>
      </c>
      <c r="AG1628" s="253">
        <f t="shared" si="112"/>
        <v>0</v>
      </c>
    </row>
    <row r="1629" spans="1:33" x14ac:dyDescent="0.2">
      <c r="A1629" s="253" t="str">
        <f t="shared" si="113"/>
        <v/>
      </c>
      <c r="AE1629" s="252">
        <f t="shared" si="110"/>
        <v>0</v>
      </c>
      <c r="AF1629" s="252">
        <f t="shared" si="111"/>
        <v>0</v>
      </c>
      <c r="AG1629" s="253">
        <f t="shared" si="112"/>
        <v>0</v>
      </c>
    </row>
    <row r="1630" spans="1:33" x14ac:dyDescent="0.2">
      <c r="A1630" s="253" t="str">
        <f t="shared" si="113"/>
        <v/>
      </c>
      <c r="AE1630" s="252">
        <f t="shared" si="110"/>
        <v>0</v>
      </c>
      <c r="AF1630" s="252">
        <f t="shared" si="111"/>
        <v>0</v>
      </c>
      <c r="AG1630" s="253">
        <f t="shared" si="112"/>
        <v>0</v>
      </c>
    </row>
    <row r="1631" spans="1:33" x14ac:dyDescent="0.2">
      <c r="A1631" s="253" t="str">
        <f t="shared" si="113"/>
        <v/>
      </c>
      <c r="AE1631" s="252">
        <f t="shared" si="110"/>
        <v>0</v>
      </c>
      <c r="AF1631" s="252">
        <f t="shared" si="111"/>
        <v>0</v>
      </c>
      <c r="AG1631" s="253">
        <f t="shared" si="112"/>
        <v>0</v>
      </c>
    </row>
    <row r="1632" spans="1:33" x14ac:dyDescent="0.2">
      <c r="A1632" s="253" t="str">
        <f t="shared" si="113"/>
        <v/>
      </c>
      <c r="AE1632" s="252">
        <f t="shared" si="110"/>
        <v>0</v>
      </c>
      <c r="AF1632" s="252">
        <f t="shared" si="111"/>
        <v>0</v>
      </c>
      <c r="AG1632" s="253">
        <f t="shared" si="112"/>
        <v>0</v>
      </c>
    </row>
    <row r="1633" spans="1:33" x14ac:dyDescent="0.2">
      <c r="A1633" s="253" t="str">
        <f t="shared" si="113"/>
        <v/>
      </c>
      <c r="AE1633" s="252">
        <f t="shared" si="110"/>
        <v>0</v>
      </c>
      <c r="AF1633" s="252">
        <f t="shared" si="111"/>
        <v>0</v>
      </c>
      <c r="AG1633" s="253">
        <f t="shared" si="112"/>
        <v>0</v>
      </c>
    </row>
    <row r="1634" spans="1:33" x14ac:dyDescent="0.2">
      <c r="A1634" s="253" t="str">
        <f t="shared" si="113"/>
        <v/>
      </c>
      <c r="AE1634" s="252">
        <f t="shared" si="110"/>
        <v>0</v>
      </c>
      <c r="AF1634" s="252">
        <f t="shared" si="111"/>
        <v>0</v>
      </c>
      <c r="AG1634" s="253">
        <f t="shared" si="112"/>
        <v>0</v>
      </c>
    </row>
    <row r="1635" spans="1:33" x14ac:dyDescent="0.2">
      <c r="A1635" s="253" t="str">
        <f t="shared" si="113"/>
        <v/>
      </c>
      <c r="AE1635" s="252">
        <f t="shared" si="110"/>
        <v>0</v>
      </c>
      <c r="AF1635" s="252">
        <f t="shared" si="111"/>
        <v>0</v>
      </c>
      <c r="AG1635" s="253">
        <f t="shared" si="112"/>
        <v>0</v>
      </c>
    </row>
    <row r="1636" spans="1:33" x14ac:dyDescent="0.2">
      <c r="A1636" s="253" t="str">
        <f t="shared" si="113"/>
        <v/>
      </c>
      <c r="AE1636" s="252">
        <f t="shared" si="110"/>
        <v>0</v>
      </c>
      <c r="AF1636" s="252">
        <f t="shared" si="111"/>
        <v>0</v>
      </c>
      <c r="AG1636" s="253">
        <f t="shared" si="112"/>
        <v>0</v>
      </c>
    </row>
    <row r="1637" spans="1:33" x14ac:dyDescent="0.2">
      <c r="A1637" s="253" t="str">
        <f t="shared" si="113"/>
        <v/>
      </c>
      <c r="AE1637" s="252">
        <f t="shared" si="110"/>
        <v>0</v>
      </c>
      <c r="AF1637" s="252">
        <f t="shared" si="111"/>
        <v>0</v>
      </c>
      <c r="AG1637" s="253">
        <f t="shared" si="112"/>
        <v>0</v>
      </c>
    </row>
    <row r="1638" spans="1:33" x14ac:dyDescent="0.2">
      <c r="A1638" s="253" t="str">
        <f t="shared" si="113"/>
        <v/>
      </c>
      <c r="AE1638" s="252">
        <f t="shared" si="110"/>
        <v>0</v>
      </c>
      <c r="AF1638" s="252">
        <f t="shared" si="111"/>
        <v>0</v>
      </c>
      <c r="AG1638" s="253">
        <f t="shared" si="112"/>
        <v>0</v>
      </c>
    </row>
    <row r="1639" spans="1:33" x14ac:dyDescent="0.2">
      <c r="A1639" s="253" t="str">
        <f t="shared" si="113"/>
        <v/>
      </c>
      <c r="AE1639" s="252">
        <f t="shared" si="110"/>
        <v>0</v>
      </c>
      <c r="AF1639" s="252">
        <f t="shared" si="111"/>
        <v>0</v>
      </c>
      <c r="AG1639" s="253">
        <f t="shared" si="112"/>
        <v>0</v>
      </c>
    </row>
    <row r="1640" spans="1:33" x14ac:dyDescent="0.2">
      <c r="A1640" s="253" t="str">
        <f t="shared" si="113"/>
        <v/>
      </c>
      <c r="AE1640" s="252">
        <f t="shared" si="110"/>
        <v>0</v>
      </c>
      <c r="AF1640" s="252">
        <f t="shared" si="111"/>
        <v>0</v>
      </c>
      <c r="AG1640" s="253">
        <f t="shared" si="112"/>
        <v>0</v>
      </c>
    </row>
    <row r="1641" spans="1:33" x14ac:dyDescent="0.2">
      <c r="A1641" s="253" t="str">
        <f t="shared" si="113"/>
        <v/>
      </c>
      <c r="AE1641" s="252">
        <f t="shared" si="110"/>
        <v>0</v>
      </c>
      <c r="AF1641" s="252">
        <f t="shared" si="111"/>
        <v>0</v>
      </c>
      <c r="AG1641" s="253">
        <f t="shared" si="112"/>
        <v>0</v>
      </c>
    </row>
    <row r="1642" spans="1:33" x14ac:dyDescent="0.2">
      <c r="A1642" s="253" t="str">
        <f t="shared" si="113"/>
        <v/>
      </c>
      <c r="AE1642" s="252">
        <f t="shared" si="110"/>
        <v>0</v>
      </c>
      <c r="AF1642" s="252">
        <f t="shared" si="111"/>
        <v>0</v>
      </c>
      <c r="AG1642" s="253">
        <f t="shared" si="112"/>
        <v>0</v>
      </c>
    </row>
    <row r="1643" spans="1:33" x14ac:dyDescent="0.2">
      <c r="A1643" s="253" t="str">
        <f t="shared" si="113"/>
        <v/>
      </c>
      <c r="AE1643" s="252">
        <f t="shared" si="110"/>
        <v>0</v>
      </c>
      <c r="AF1643" s="252">
        <f t="shared" si="111"/>
        <v>0</v>
      </c>
      <c r="AG1643" s="253">
        <f t="shared" si="112"/>
        <v>0</v>
      </c>
    </row>
    <row r="1644" spans="1:33" x14ac:dyDescent="0.2">
      <c r="A1644" s="253" t="str">
        <f t="shared" si="113"/>
        <v/>
      </c>
      <c r="AE1644" s="252">
        <f t="shared" si="110"/>
        <v>0</v>
      </c>
      <c r="AF1644" s="252">
        <f t="shared" si="111"/>
        <v>0</v>
      </c>
      <c r="AG1644" s="253">
        <f t="shared" si="112"/>
        <v>0</v>
      </c>
    </row>
    <row r="1645" spans="1:33" x14ac:dyDescent="0.2">
      <c r="A1645" s="253" t="str">
        <f t="shared" si="113"/>
        <v/>
      </c>
      <c r="AE1645" s="252">
        <f t="shared" si="110"/>
        <v>0</v>
      </c>
      <c r="AF1645" s="252">
        <f t="shared" si="111"/>
        <v>0</v>
      </c>
      <c r="AG1645" s="253">
        <f t="shared" si="112"/>
        <v>0</v>
      </c>
    </row>
    <row r="1646" spans="1:33" x14ac:dyDescent="0.2">
      <c r="A1646" s="253" t="str">
        <f t="shared" si="113"/>
        <v/>
      </c>
      <c r="AE1646" s="252">
        <f t="shared" si="110"/>
        <v>0</v>
      </c>
      <c r="AF1646" s="252">
        <f t="shared" si="111"/>
        <v>0</v>
      </c>
      <c r="AG1646" s="253">
        <f t="shared" si="112"/>
        <v>0</v>
      </c>
    </row>
    <row r="1647" spans="1:33" x14ac:dyDescent="0.2">
      <c r="A1647" s="253" t="str">
        <f t="shared" si="113"/>
        <v/>
      </c>
      <c r="AE1647" s="252">
        <f t="shared" si="110"/>
        <v>0</v>
      </c>
      <c r="AF1647" s="252">
        <f t="shared" si="111"/>
        <v>0</v>
      </c>
      <c r="AG1647" s="253">
        <f t="shared" si="112"/>
        <v>0</v>
      </c>
    </row>
    <row r="1648" spans="1:33" x14ac:dyDescent="0.2">
      <c r="A1648" s="253" t="str">
        <f t="shared" si="113"/>
        <v/>
      </c>
      <c r="AE1648" s="252">
        <f t="shared" si="110"/>
        <v>0</v>
      </c>
      <c r="AF1648" s="252">
        <f t="shared" si="111"/>
        <v>0</v>
      </c>
      <c r="AG1648" s="253">
        <f t="shared" si="112"/>
        <v>0</v>
      </c>
    </row>
    <row r="1649" spans="1:33" x14ac:dyDescent="0.2">
      <c r="A1649" s="253" t="str">
        <f t="shared" si="113"/>
        <v/>
      </c>
      <c r="AE1649" s="252">
        <f t="shared" si="110"/>
        <v>0</v>
      </c>
      <c r="AF1649" s="252">
        <f t="shared" si="111"/>
        <v>0</v>
      </c>
      <c r="AG1649" s="253">
        <f t="shared" si="112"/>
        <v>0</v>
      </c>
    </row>
    <row r="1650" spans="1:33" x14ac:dyDescent="0.2">
      <c r="A1650" s="253" t="str">
        <f t="shared" si="113"/>
        <v/>
      </c>
      <c r="AE1650" s="252">
        <f t="shared" si="110"/>
        <v>0</v>
      </c>
      <c r="AF1650" s="252">
        <f t="shared" si="111"/>
        <v>0</v>
      </c>
      <c r="AG1650" s="253">
        <f t="shared" si="112"/>
        <v>0</v>
      </c>
    </row>
    <row r="1651" spans="1:33" x14ac:dyDescent="0.2">
      <c r="A1651" s="253" t="str">
        <f t="shared" si="113"/>
        <v/>
      </c>
      <c r="AE1651" s="252">
        <f t="shared" si="110"/>
        <v>0</v>
      </c>
      <c r="AF1651" s="252">
        <f t="shared" si="111"/>
        <v>0</v>
      </c>
      <c r="AG1651" s="253">
        <f t="shared" si="112"/>
        <v>0</v>
      </c>
    </row>
    <row r="1652" spans="1:33" x14ac:dyDescent="0.2">
      <c r="A1652" s="253" t="str">
        <f t="shared" si="113"/>
        <v/>
      </c>
      <c r="AE1652" s="252">
        <f t="shared" si="110"/>
        <v>0</v>
      </c>
      <c r="AF1652" s="252">
        <f t="shared" si="111"/>
        <v>0</v>
      </c>
      <c r="AG1652" s="253">
        <f t="shared" si="112"/>
        <v>0</v>
      </c>
    </row>
    <row r="1653" spans="1:33" x14ac:dyDescent="0.2">
      <c r="A1653" s="253" t="str">
        <f t="shared" si="113"/>
        <v/>
      </c>
      <c r="AE1653" s="252">
        <f t="shared" si="110"/>
        <v>0</v>
      </c>
      <c r="AF1653" s="252">
        <f t="shared" si="111"/>
        <v>0</v>
      </c>
      <c r="AG1653" s="253">
        <f t="shared" si="112"/>
        <v>0</v>
      </c>
    </row>
    <row r="1654" spans="1:33" x14ac:dyDescent="0.2">
      <c r="A1654" s="253" t="str">
        <f t="shared" si="113"/>
        <v/>
      </c>
      <c r="AE1654" s="252">
        <f t="shared" si="110"/>
        <v>0</v>
      </c>
      <c r="AF1654" s="252">
        <f t="shared" si="111"/>
        <v>0</v>
      </c>
      <c r="AG1654" s="253">
        <f t="shared" si="112"/>
        <v>0</v>
      </c>
    </row>
    <row r="1655" spans="1:33" x14ac:dyDescent="0.2">
      <c r="A1655" s="253" t="str">
        <f t="shared" si="113"/>
        <v/>
      </c>
      <c r="AE1655" s="252">
        <f t="shared" si="110"/>
        <v>0</v>
      </c>
      <c r="AF1655" s="252">
        <f t="shared" si="111"/>
        <v>0</v>
      </c>
      <c r="AG1655" s="253">
        <f t="shared" si="112"/>
        <v>0</v>
      </c>
    </row>
    <row r="1656" spans="1:33" x14ac:dyDescent="0.2">
      <c r="A1656" s="253" t="str">
        <f t="shared" si="113"/>
        <v/>
      </c>
      <c r="AE1656" s="252">
        <f t="shared" si="110"/>
        <v>0</v>
      </c>
      <c r="AF1656" s="252">
        <f t="shared" si="111"/>
        <v>0</v>
      </c>
      <c r="AG1656" s="253">
        <f t="shared" si="112"/>
        <v>0</v>
      </c>
    </row>
    <row r="1657" spans="1:33" x14ac:dyDescent="0.2">
      <c r="A1657" s="253" t="str">
        <f t="shared" si="113"/>
        <v/>
      </c>
      <c r="AE1657" s="252">
        <f t="shared" si="110"/>
        <v>0</v>
      </c>
      <c r="AF1657" s="252">
        <f t="shared" si="111"/>
        <v>0</v>
      </c>
      <c r="AG1657" s="253">
        <f t="shared" si="112"/>
        <v>0</v>
      </c>
    </row>
    <row r="1658" spans="1:33" x14ac:dyDescent="0.2">
      <c r="A1658" s="253" t="str">
        <f t="shared" si="113"/>
        <v/>
      </c>
      <c r="AE1658" s="252">
        <f t="shared" si="110"/>
        <v>0</v>
      </c>
      <c r="AF1658" s="252">
        <f t="shared" si="111"/>
        <v>0</v>
      </c>
      <c r="AG1658" s="253">
        <f t="shared" si="112"/>
        <v>0</v>
      </c>
    </row>
    <row r="1659" spans="1:33" x14ac:dyDescent="0.2">
      <c r="A1659" s="253" t="str">
        <f t="shared" si="113"/>
        <v/>
      </c>
      <c r="AE1659" s="252">
        <f t="shared" si="110"/>
        <v>0</v>
      </c>
      <c r="AF1659" s="252">
        <f t="shared" si="111"/>
        <v>0</v>
      </c>
      <c r="AG1659" s="253">
        <f t="shared" si="112"/>
        <v>0</v>
      </c>
    </row>
    <row r="1660" spans="1:33" x14ac:dyDescent="0.2">
      <c r="A1660" s="253" t="str">
        <f t="shared" si="113"/>
        <v/>
      </c>
      <c r="AE1660" s="252">
        <f t="shared" si="110"/>
        <v>0</v>
      </c>
      <c r="AF1660" s="252">
        <f t="shared" si="111"/>
        <v>0</v>
      </c>
      <c r="AG1660" s="253">
        <f t="shared" si="112"/>
        <v>0</v>
      </c>
    </row>
    <row r="1661" spans="1:33" x14ac:dyDescent="0.2">
      <c r="A1661" s="253" t="str">
        <f t="shared" si="113"/>
        <v/>
      </c>
      <c r="AE1661" s="252">
        <f t="shared" si="110"/>
        <v>0</v>
      </c>
      <c r="AF1661" s="252">
        <f t="shared" si="111"/>
        <v>0</v>
      </c>
      <c r="AG1661" s="253">
        <f t="shared" si="112"/>
        <v>0</v>
      </c>
    </row>
    <row r="1662" spans="1:33" x14ac:dyDescent="0.2">
      <c r="A1662" s="253" t="str">
        <f t="shared" si="113"/>
        <v/>
      </c>
      <c r="AE1662" s="252">
        <f t="shared" si="110"/>
        <v>0</v>
      </c>
      <c r="AF1662" s="252">
        <f t="shared" si="111"/>
        <v>0</v>
      </c>
      <c r="AG1662" s="253">
        <f t="shared" si="112"/>
        <v>0</v>
      </c>
    </row>
    <row r="1663" spans="1:33" x14ac:dyDescent="0.2">
      <c r="A1663" s="253" t="str">
        <f t="shared" si="113"/>
        <v/>
      </c>
      <c r="AE1663" s="252">
        <f t="shared" si="110"/>
        <v>0</v>
      </c>
      <c r="AF1663" s="252">
        <f t="shared" si="111"/>
        <v>0</v>
      </c>
      <c r="AG1663" s="253">
        <f t="shared" si="112"/>
        <v>0</v>
      </c>
    </row>
    <row r="1664" spans="1:33" x14ac:dyDescent="0.2">
      <c r="A1664" s="253" t="str">
        <f t="shared" si="113"/>
        <v/>
      </c>
      <c r="AE1664" s="252">
        <f t="shared" si="110"/>
        <v>0</v>
      </c>
      <c r="AF1664" s="252">
        <f t="shared" si="111"/>
        <v>0</v>
      </c>
      <c r="AG1664" s="253">
        <f t="shared" si="112"/>
        <v>0</v>
      </c>
    </row>
    <row r="1665" spans="1:33" x14ac:dyDescent="0.2">
      <c r="A1665" s="253" t="str">
        <f t="shared" si="113"/>
        <v/>
      </c>
      <c r="AE1665" s="252">
        <f t="shared" si="110"/>
        <v>0</v>
      </c>
      <c r="AF1665" s="252">
        <f t="shared" si="111"/>
        <v>0</v>
      </c>
      <c r="AG1665" s="253">
        <f t="shared" si="112"/>
        <v>0</v>
      </c>
    </row>
    <row r="1666" spans="1:33" x14ac:dyDescent="0.2">
      <c r="A1666" s="253" t="str">
        <f t="shared" si="113"/>
        <v/>
      </c>
      <c r="AE1666" s="252">
        <f t="shared" si="110"/>
        <v>0</v>
      </c>
      <c r="AF1666" s="252">
        <f t="shared" si="111"/>
        <v>0</v>
      </c>
      <c r="AG1666" s="253">
        <f t="shared" si="112"/>
        <v>0</v>
      </c>
    </row>
    <row r="1667" spans="1:33" x14ac:dyDescent="0.2">
      <c r="A1667" s="253" t="str">
        <f t="shared" si="113"/>
        <v/>
      </c>
      <c r="AE1667" s="252">
        <f t="shared" si="110"/>
        <v>0</v>
      </c>
      <c r="AF1667" s="252">
        <f t="shared" si="111"/>
        <v>0</v>
      </c>
      <c r="AG1667" s="253">
        <f t="shared" si="112"/>
        <v>0</v>
      </c>
    </row>
    <row r="1668" spans="1:33" x14ac:dyDescent="0.2">
      <c r="A1668" s="253" t="str">
        <f t="shared" si="113"/>
        <v/>
      </c>
      <c r="AE1668" s="252">
        <f t="shared" si="110"/>
        <v>0</v>
      </c>
      <c r="AF1668" s="252">
        <f t="shared" si="111"/>
        <v>0</v>
      </c>
      <c r="AG1668" s="253">
        <f t="shared" si="112"/>
        <v>0</v>
      </c>
    </row>
    <row r="1669" spans="1:33" x14ac:dyDescent="0.2">
      <c r="A1669" s="253" t="str">
        <f t="shared" si="113"/>
        <v/>
      </c>
      <c r="AE1669" s="252">
        <f t="shared" si="110"/>
        <v>0</v>
      </c>
      <c r="AF1669" s="252">
        <f t="shared" si="111"/>
        <v>0</v>
      </c>
      <c r="AG1669" s="253">
        <f t="shared" si="112"/>
        <v>0</v>
      </c>
    </row>
    <row r="1670" spans="1:33" x14ac:dyDescent="0.2">
      <c r="A1670" s="253" t="str">
        <f t="shared" si="113"/>
        <v/>
      </c>
      <c r="AE1670" s="252">
        <f t="shared" si="110"/>
        <v>0</v>
      </c>
      <c r="AF1670" s="252">
        <f t="shared" si="111"/>
        <v>0</v>
      </c>
      <c r="AG1670" s="253">
        <f t="shared" si="112"/>
        <v>0</v>
      </c>
    </row>
    <row r="1671" spans="1:33" x14ac:dyDescent="0.2">
      <c r="A1671" s="253" t="str">
        <f t="shared" si="113"/>
        <v/>
      </c>
      <c r="AE1671" s="252">
        <f t="shared" si="110"/>
        <v>0</v>
      </c>
      <c r="AF1671" s="252">
        <f t="shared" si="111"/>
        <v>0</v>
      </c>
      <c r="AG1671" s="253">
        <f t="shared" si="112"/>
        <v>0</v>
      </c>
    </row>
    <row r="1672" spans="1:33" x14ac:dyDescent="0.2">
      <c r="A1672" s="253" t="str">
        <f t="shared" si="113"/>
        <v/>
      </c>
      <c r="AE1672" s="252">
        <f t="shared" si="110"/>
        <v>0</v>
      </c>
      <c r="AF1672" s="252">
        <f t="shared" si="111"/>
        <v>0</v>
      </c>
      <c r="AG1672" s="253">
        <f t="shared" si="112"/>
        <v>0</v>
      </c>
    </row>
    <row r="1673" spans="1:33" x14ac:dyDescent="0.2">
      <c r="A1673" s="253" t="str">
        <f t="shared" si="113"/>
        <v/>
      </c>
      <c r="AE1673" s="252">
        <f t="shared" si="110"/>
        <v>0</v>
      </c>
      <c r="AF1673" s="252">
        <f t="shared" si="111"/>
        <v>0</v>
      </c>
      <c r="AG1673" s="253">
        <f t="shared" si="112"/>
        <v>0</v>
      </c>
    </row>
    <row r="1674" spans="1:33" x14ac:dyDescent="0.2">
      <c r="A1674" s="253" t="str">
        <f t="shared" si="113"/>
        <v/>
      </c>
      <c r="AE1674" s="252">
        <f t="shared" si="110"/>
        <v>0</v>
      </c>
      <c r="AF1674" s="252">
        <f t="shared" si="111"/>
        <v>0</v>
      </c>
      <c r="AG1674" s="253">
        <f t="shared" si="112"/>
        <v>0</v>
      </c>
    </row>
    <row r="1675" spans="1:33" x14ac:dyDescent="0.2">
      <c r="A1675" s="253" t="str">
        <f t="shared" si="113"/>
        <v/>
      </c>
      <c r="AE1675" s="252">
        <f t="shared" si="110"/>
        <v>0</v>
      </c>
      <c r="AF1675" s="252">
        <f t="shared" si="111"/>
        <v>0</v>
      </c>
      <c r="AG1675" s="253">
        <f t="shared" si="112"/>
        <v>0</v>
      </c>
    </row>
    <row r="1676" spans="1:33" x14ac:dyDescent="0.2">
      <c r="A1676" s="253" t="str">
        <f t="shared" si="113"/>
        <v/>
      </c>
      <c r="AE1676" s="252">
        <f t="shared" si="110"/>
        <v>0</v>
      </c>
      <c r="AF1676" s="252">
        <f t="shared" si="111"/>
        <v>0</v>
      </c>
      <c r="AG1676" s="253">
        <f t="shared" si="112"/>
        <v>0</v>
      </c>
    </row>
    <row r="1677" spans="1:33" x14ac:dyDescent="0.2">
      <c r="A1677" s="253" t="str">
        <f t="shared" si="113"/>
        <v/>
      </c>
      <c r="AE1677" s="252">
        <f t="shared" si="110"/>
        <v>0</v>
      </c>
      <c r="AF1677" s="252">
        <f t="shared" si="111"/>
        <v>0</v>
      </c>
      <c r="AG1677" s="253">
        <f t="shared" si="112"/>
        <v>0</v>
      </c>
    </row>
    <row r="1678" spans="1:33" x14ac:dyDescent="0.2">
      <c r="A1678" s="253" t="str">
        <f t="shared" si="113"/>
        <v/>
      </c>
      <c r="AE1678" s="252">
        <f t="shared" si="110"/>
        <v>0</v>
      </c>
      <c r="AF1678" s="252">
        <f t="shared" si="111"/>
        <v>0</v>
      </c>
      <c r="AG1678" s="253">
        <f t="shared" si="112"/>
        <v>0</v>
      </c>
    </row>
    <row r="1679" spans="1:33" x14ac:dyDescent="0.2">
      <c r="A1679" s="253" t="str">
        <f t="shared" si="113"/>
        <v/>
      </c>
      <c r="AE1679" s="252">
        <f t="shared" ref="AE1679:AE1742" si="114">SUM(T1679:W1679)</f>
        <v>0</v>
      </c>
      <c r="AF1679" s="252">
        <f t="shared" ref="AF1679:AF1742" si="115">SUM(Z1679:AA1679)</f>
        <v>0</v>
      </c>
      <c r="AG1679" s="253">
        <f t="shared" ref="AG1679:AG1742" si="116">+L1679-SUM(Z1679:AA1679)</f>
        <v>0</v>
      </c>
    </row>
    <row r="1680" spans="1:33" x14ac:dyDescent="0.2">
      <c r="A1680" s="253" t="str">
        <f t="shared" si="113"/>
        <v/>
      </c>
      <c r="AE1680" s="252">
        <f t="shared" si="114"/>
        <v>0</v>
      </c>
      <c r="AF1680" s="252">
        <f t="shared" si="115"/>
        <v>0</v>
      </c>
      <c r="AG1680" s="253">
        <f t="shared" si="116"/>
        <v>0</v>
      </c>
    </row>
    <row r="1681" spans="1:33" x14ac:dyDescent="0.2">
      <c r="A1681" s="253" t="str">
        <f t="shared" ref="A1681:A1714" si="117">I1681&amp;B1681&amp;C1681&amp;D1681&amp;F1681&amp;G1681</f>
        <v/>
      </c>
      <c r="AE1681" s="252">
        <f t="shared" si="114"/>
        <v>0</v>
      </c>
      <c r="AF1681" s="252">
        <f t="shared" si="115"/>
        <v>0</v>
      </c>
      <c r="AG1681" s="253">
        <f t="shared" si="116"/>
        <v>0</v>
      </c>
    </row>
    <row r="1682" spans="1:33" x14ac:dyDescent="0.2">
      <c r="A1682" s="253" t="str">
        <f t="shared" si="117"/>
        <v/>
      </c>
      <c r="AE1682" s="252">
        <f t="shared" si="114"/>
        <v>0</v>
      </c>
      <c r="AF1682" s="252">
        <f t="shared" si="115"/>
        <v>0</v>
      </c>
      <c r="AG1682" s="253">
        <f t="shared" si="116"/>
        <v>0</v>
      </c>
    </row>
    <row r="1683" spans="1:33" x14ac:dyDescent="0.2">
      <c r="A1683" s="253" t="str">
        <f t="shared" si="117"/>
        <v/>
      </c>
      <c r="AE1683" s="252">
        <f t="shared" si="114"/>
        <v>0</v>
      </c>
      <c r="AF1683" s="252">
        <f t="shared" si="115"/>
        <v>0</v>
      </c>
      <c r="AG1683" s="253">
        <f t="shared" si="116"/>
        <v>0</v>
      </c>
    </row>
    <row r="1684" spans="1:33" x14ac:dyDescent="0.2">
      <c r="A1684" s="253" t="str">
        <f t="shared" si="117"/>
        <v/>
      </c>
      <c r="AE1684" s="252">
        <f t="shared" si="114"/>
        <v>0</v>
      </c>
      <c r="AF1684" s="252">
        <f t="shared" si="115"/>
        <v>0</v>
      </c>
      <c r="AG1684" s="253">
        <f t="shared" si="116"/>
        <v>0</v>
      </c>
    </row>
    <row r="1685" spans="1:33" x14ac:dyDescent="0.2">
      <c r="A1685" s="253" t="str">
        <f t="shared" si="117"/>
        <v/>
      </c>
      <c r="AE1685" s="252">
        <f t="shared" si="114"/>
        <v>0</v>
      </c>
      <c r="AF1685" s="252">
        <f t="shared" si="115"/>
        <v>0</v>
      </c>
      <c r="AG1685" s="253">
        <f t="shared" si="116"/>
        <v>0</v>
      </c>
    </row>
    <row r="1686" spans="1:33" x14ac:dyDescent="0.2">
      <c r="A1686" s="253" t="str">
        <f t="shared" si="117"/>
        <v/>
      </c>
      <c r="AE1686" s="252">
        <f t="shared" si="114"/>
        <v>0</v>
      </c>
      <c r="AF1686" s="252">
        <f t="shared" si="115"/>
        <v>0</v>
      </c>
      <c r="AG1686" s="253">
        <f t="shared" si="116"/>
        <v>0</v>
      </c>
    </row>
    <row r="1687" spans="1:33" x14ac:dyDescent="0.2">
      <c r="A1687" s="253" t="str">
        <f t="shared" si="117"/>
        <v/>
      </c>
      <c r="AE1687" s="252">
        <f t="shared" si="114"/>
        <v>0</v>
      </c>
      <c r="AF1687" s="252">
        <f t="shared" si="115"/>
        <v>0</v>
      </c>
      <c r="AG1687" s="253">
        <f t="shared" si="116"/>
        <v>0</v>
      </c>
    </row>
    <row r="1688" spans="1:33" x14ac:dyDescent="0.2">
      <c r="A1688" s="253" t="str">
        <f t="shared" si="117"/>
        <v/>
      </c>
      <c r="AE1688" s="252">
        <f t="shared" si="114"/>
        <v>0</v>
      </c>
      <c r="AF1688" s="252">
        <f t="shared" si="115"/>
        <v>0</v>
      </c>
      <c r="AG1688" s="253">
        <f t="shared" si="116"/>
        <v>0</v>
      </c>
    </row>
    <row r="1689" spans="1:33" x14ac:dyDescent="0.2">
      <c r="A1689" s="253" t="str">
        <f t="shared" si="117"/>
        <v/>
      </c>
      <c r="AE1689" s="252">
        <f t="shared" si="114"/>
        <v>0</v>
      </c>
      <c r="AF1689" s="252">
        <f t="shared" si="115"/>
        <v>0</v>
      </c>
      <c r="AG1689" s="253">
        <f t="shared" si="116"/>
        <v>0</v>
      </c>
    </row>
    <row r="1690" spans="1:33" x14ac:dyDescent="0.2">
      <c r="A1690" s="253" t="str">
        <f t="shared" si="117"/>
        <v/>
      </c>
      <c r="AE1690" s="252">
        <f t="shared" si="114"/>
        <v>0</v>
      </c>
      <c r="AF1690" s="252">
        <f t="shared" si="115"/>
        <v>0</v>
      </c>
      <c r="AG1690" s="253">
        <f t="shared" si="116"/>
        <v>0</v>
      </c>
    </row>
    <row r="1691" spans="1:33" x14ac:dyDescent="0.2">
      <c r="A1691" s="253" t="str">
        <f t="shared" si="117"/>
        <v/>
      </c>
      <c r="AE1691" s="252">
        <f t="shared" si="114"/>
        <v>0</v>
      </c>
      <c r="AF1691" s="252">
        <f t="shared" si="115"/>
        <v>0</v>
      </c>
      <c r="AG1691" s="253">
        <f t="shared" si="116"/>
        <v>0</v>
      </c>
    </row>
    <row r="1692" spans="1:33" x14ac:dyDescent="0.2">
      <c r="A1692" s="253" t="str">
        <f t="shared" si="117"/>
        <v/>
      </c>
      <c r="AE1692" s="252">
        <f t="shared" si="114"/>
        <v>0</v>
      </c>
      <c r="AF1692" s="252">
        <f t="shared" si="115"/>
        <v>0</v>
      </c>
      <c r="AG1692" s="253">
        <f t="shared" si="116"/>
        <v>0</v>
      </c>
    </row>
    <row r="1693" spans="1:33" x14ac:dyDescent="0.2">
      <c r="A1693" s="253" t="str">
        <f t="shared" si="117"/>
        <v/>
      </c>
      <c r="AE1693" s="252">
        <f t="shared" si="114"/>
        <v>0</v>
      </c>
      <c r="AF1693" s="252">
        <f t="shared" si="115"/>
        <v>0</v>
      </c>
      <c r="AG1693" s="253">
        <f t="shared" si="116"/>
        <v>0</v>
      </c>
    </row>
    <row r="1694" spans="1:33" x14ac:dyDescent="0.2">
      <c r="A1694" s="253" t="str">
        <f t="shared" si="117"/>
        <v/>
      </c>
      <c r="AE1694" s="252">
        <f t="shared" si="114"/>
        <v>0</v>
      </c>
      <c r="AF1694" s="252">
        <f t="shared" si="115"/>
        <v>0</v>
      </c>
      <c r="AG1694" s="253">
        <f t="shared" si="116"/>
        <v>0</v>
      </c>
    </row>
    <row r="1695" spans="1:33" x14ac:dyDescent="0.2">
      <c r="A1695" s="253" t="str">
        <f t="shared" si="117"/>
        <v/>
      </c>
      <c r="AE1695" s="252">
        <f t="shared" si="114"/>
        <v>0</v>
      </c>
      <c r="AF1695" s="252">
        <f t="shared" si="115"/>
        <v>0</v>
      </c>
      <c r="AG1695" s="253">
        <f t="shared" si="116"/>
        <v>0</v>
      </c>
    </row>
    <row r="1696" spans="1:33" x14ac:dyDescent="0.2">
      <c r="A1696" s="253" t="str">
        <f t="shared" si="117"/>
        <v/>
      </c>
      <c r="AE1696" s="252">
        <f t="shared" si="114"/>
        <v>0</v>
      </c>
      <c r="AF1696" s="252">
        <f t="shared" si="115"/>
        <v>0</v>
      </c>
      <c r="AG1696" s="253">
        <f t="shared" si="116"/>
        <v>0</v>
      </c>
    </row>
    <row r="1697" spans="1:33" x14ac:dyDescent="0.2">
      <c r="A1697" s="253" t="str">
        <f t="shared" si="117"/>
        <v/>
      </c>
      <c r="AE1697" s="252">
        <f t="shared" si="114"/>
        <v>0</v>
      </c>
      <c r="AF1697" s="252">
        <f t="shared" si="115"/>
        <v>0</v>
      </c>
      <c r="AG1697" s="253">
        <f t="shared" si="116"/>
        <v>0</v>
      </c>
    </row>
    <row r="1698" spans="1:33" x14ac:dyDescent="0.2">
      <c r="A1698" s="253" t="str">
        <f t="shared" si="117"/>
        <v/>
      </c>
      <c r="AE1698" s="252">
        <f t="shared" si="114"/>
        <v>0</v>
      </c>
      <c r="AF1698" s="252">
        <f t="shared" si="115"/>
        <v>0</v>
      </c>
      <c r="AG1698" s="253">
        <f t="shared" si="116"/>
        <v>0</v>
      </c>
    </row>
    <row r="1699" spans="1:33" x14ac:dyDescent="0.2">
      <c r="A1699" s="253" t="str">
        <f t="shared" si="117"/>
        <v/>
      </c>
      <c r="AE1699" s="252">
        <f t="shared" si="114"/>
        <v>0</v>
      </c>
      <c r="AF1699" s="252">
        <f t="shared" si="115"/>
        <v>0</v>
      </c>
      <c r="AG1699" s="253">
        <f t="shared" si="116"/>
        <v>0</v>
      </c>
    </row>
    <row r="1700" spans="1:33" x14ac:dyDescent="0.2">
      <c r="A1700" s="253" t="str">
        <f t="shared" si="117"/>
        <v/>
      </c>
      <c r="AE1700" s="252">
        <f t="shared" si="114"/>
        <v>0</v>
      </c>
      <c r="AF1700" s="252">
        <f t="shared" si="115"/>
        <v>0</v>
      </c>
      <c r="AG1700" s="253">
        <f t="shared" si="116"/>
        <v>0</v>
      </c>
    </row>
    <row r="1701" spans="1:33" x14ac:dyDescent="0.2">
      <c r="A1701" s="253" t="str">
        <f t="shared" si="117"/>
        <v/>
      </c>
      <c r="AE1701" s="252">
        <f t="shared" si="114"/>
        <v>0</v>
      </c>
      <c r="AF1701" s="252">
        <f t="shared" si="115"/>
        <v>0</v>
      </c>
      <c r="AG1701" s="253">
        <f t="shared" si="116"/>
        <v>0</v>
      </c>
    </row>
    <row r="1702" spans="1:33" x14ac:dyDescent="0.2">
      <c r="A1702" s="253" t="str">
        <f t="shared" si="117"/>
        <v/>
      </c>
      <c r="AE1702" s="252">
        <f t="shared" si="114"/>
        <v>0</v>
      </c>
      <c r="AF1702" s="252">
        <f t="shared" si="115"/>
        <v>0</v>
      </c>
      <c r="AG1702" s="253">
        <f t="shared" si="116"/>
        <v>0</v>
      </c>
    </row>
    <row r="1703" spans="1:33" x14ac:dyDescent="0.2">
      <c r="A1703" s="253" t="str">
        <f t="shared" si="117"/>
        <v/>
      </c>
      <c r="AE1703" s="252">
        <f t="shared" si="114"/>
        <v>0</v>
      </c>
      <c r="AF1703" s="252">
        <f t="shared" si="115"/>
        <v>0</v>
      </c>
      <c r="AG1703" s="253">
        <f t="shared" si="116"/>
        <v>0</v>
      </c>
    </row>
    <row r="1704" spans="1:33" x14ac:dyDescent="0.2">
      <c r="A1704" s="253" t="str">
        <f t="shared" si="117"/>
        <v/>
      </c>
      <c r="AE1704" s="252">
        <f t="shared" si="114"/>
        <v>0</v>
      </c>
      <c r="AF1704" s="252">
        <f t="shared" si="115"/>
        <v>0</v>
      </c>
      <c r="AG1704" s="253">
        <f t="shared" si="116"/>
        <v>0</v>
      </c>
    </row>
    <row r="1705" spans="1:33" x14ac:dyDescent="0.2">
      <c r="A1705" s="253" t="str">
        <f t="shared" si="117"/>
        <v/>
      </c>
      <c r="AE1705" s="252">
        <f t="shared" si="114"/>
        <v>0</v>
      </c>
      <c r="AF1705" s="252">
        <f t="shared" si="115"/>
        <v>0</v>
      </c>
      <c r="AG1705" s="253">
        <f t="shared" si="116"/>
        <v>0</v>
      </c>
    </row>
    <row r="1706" spans="1:33" x14ac:dyDescent="0.2">
      <c r="A1706" s="253" t="str">
        <f t="shared" si="117"/>
        <v/>
      </c>
      <c r="AE1706" s="252">
        <f t="shared" si="114"/>
        <v>0</v>
      </c>
      <c r="AF1706" s="252">
        <f t="shared" si="115"/>
        <v>0</v>
      </c>
      <c r="AG1706" s="253">
        <f t="shared" si="116"/>
        <v>0</v>
      </c>
    </row>
    <row r="1707" spans="1:33" x14ac:dyDescent="0.2">
      <c r="A1707" s="253" t="str">
        <f t="shared" si="117"/>
        <v/>
      </c>
      <c r="AE1707" s="252">
        <f t="shared" si="114"/>
        <v>0</v>
      </c>
      <c r="AF1707" s="252">
        <f t="shared" si="115"/>
        <v>0</v>
      </c>
      <c r="AG1707" s="253">
        <f t="shared" si="116"/>
        <v>0</v>
      </c>
    </row>
    <row r="1708" spans="1:33" x14ac:dyDescent="0.2">
      <c r="A1708" s="253" t="str">
        <f t="shared" si="117"/>
        <v/>
      </c>
      <c r="AE1708" s="252">
        <f t="shared" si="114"/>
        <v>0</v>
      </c>
      <c r="AF1708" s="252">
        <f t="shared" si="115"/>
        <v>0</v>
      </c>
      <c r="AG1708" s="253">
        <f t="shared" si="116"/>
        <v>0</v>
      </c>
    </row>
    <row r="1709" spans="1:33" x14ac:dyDescent="0.2">
      <c r="A1709" s="253" t="str">
        <f t="shared" si="117"/>
        <v/>
      </c>
      <c r="AE1709" s="252">
        <f t="shared" si="114"/>
        <v>0</v>
      </c>
      <c r="AF1709" s="252">
        <f t="shared" si="115"/>
        <v>0</v>
      </c>
      <c r="AG1709" s="253">
        <f t="shared" si="116"/>
        <v>0</v>
      </c>
    </row>
    <row r="1710" spans="1:33" x14ac:dyDescent="0.2">
      <c r="A1710" s="253" t="str">
        <f t="shared" si="117"/>
        <v/>
      </c>
      <c r="AE1710" s="252">
        <f t="shared" si="114"/>
        <v>0</v>
      </c>
      <c r="AF1710" s="252">
        <f t="shared" si="115"/>
        <v>0</v>
      </c>
      <c r="AG1710" s="253">
        <f t="shared" si="116"/>
        <v>0</v>
      </c>
    </row>
    <row r="1711" spans="1:33" x14ac:dyDescent="0.2">
      <c r="A1711" s="253" t="str">
        <f t="shared" si="117"/>
        <v/>
      </c>
      <c r="AE1711" s="252">
        <f t="shared" si="114"/>
        <v>0</v>
      </c>
      <c r="AF1711" s="252">
        <f t="shared" si="115"/>
        <v>0</v>
      </c>
      <c r="AG1711" s="253">
        <f t="shared" si="116"/>
        <v>0</v>
      </c>
    </row>
    <row r="1712" spans="1:33" x14ac:dyDescent="0.2">
      <c r="A1712" s="253" t="str">
        <f t="shared" si="117"/>
        <v/>
      </c>
      <c r="AE1712" s="252">
        <f t="shared" si="114"/>
        <v>0</v>
      </c>
      <c r="AF1712" s="252">
        <f t="shared" si="115"/>
        <v>0</v>
      </c>
      <c r="AG1712" s="253">
        <f t="shared" si="116"/>
        <v>0</v>
      </c>
    </row>
    <row r="1713" spans="1:33" x14ac:dyDescent="0.2">
      <c r="A1713" s="253" t="str">
        <f t="shared" si="117"/>
        <v/>
      </c>
      <c r="AE1713" s="252">
        <f t="shared" si="114"/>
        <v>0</v>
      </c>
      <c r="AF1713" s="252">
        <f t="shared" si="115"/>
        <v>0</v>
      </c>
      <c r="AG1713" s="253">
        <f t="shared" si="116"/>
        <v>0</v>
      </c>
    </row>
    <row r="1714" spans="1:33" x14ac:dyDescent="0.2">
      <c r="A1714" s="253" t="str">
        <f t="shared" si="117"/>
        <v/>
      </c>
      <c r="AE1714" s="252">
        <f t="shared" si="114"/>
        <v>0</v>
      </c>
      <c r="AF1714" s="252">
        <f t="shared" si="115"/>
        <v>0</v>
      </c>
      <c r="AG1714" s="253">
        <f t="shared" si="116"/>
        <v>0</v>
      </c>
    </row>
    <row r="1715" spans="1:33" x14ac:dyDescent="0.2">
      <c r="A1715" s="253" t="str">
        <f t="shared" ref="A1715:A1778" si="118">B1715&amp;C1715&amp;F1715&amp;G1715&amp;I1715&amp;J1715</f>
        <v/>
      </c>
      <c r="AE1715" s="252">
        <f t="shared" si="114"/>
        <v>0</v>
      </c>
      <c r="AF1715" s="252">
        <f t="shared" si="115"/>
        <v>0</v>
      </c>
      <c r="AG1715" s="253">
        <f t="shared" si="116"/>
        <v>0</v>
      </c>
    </row>
    <row r="1716" spans="1:33" x14ac:dyDescent="0.2">
      <c r="A1716" s="253" t="str">
        <f t="shared" si="118"/>
        <v/>
      </c>
      <c r="AE1716" s="252">
        <f t="shared" si="114"/>
        <v>0</v>
      </c>
      <c r="AF1716" s="252">
        <f t="shared" si="115"/>
        <v>0</v>
      </c>
      <c r="AG1716" s="253">
        <f t="shared" si="116"/>
        <v>0</v>
      </c>
    </row>
    <row r="1717" spans="1:33" x14ac:dyDescent="0.2">
      <c r="A1717" s="253" t="str">
        <f t="shared" si="118"/>
        <v/>
      </c>
      <c r="AE1717" s="252">
        <f t="shared" si="114"/>
        <v>0</v>
      </c>
      <c r="AF1717" s="252">
        <f t="shared" si="115"/>
        <v>0</v>
      </c>
      <c r="AG1717" s="253">
        <f t="shared" si="116"/>
        <v>0</v>
      </c>
    </row>
    <row r="1718" spans="1:33" x14ac:dyDescent="0.2">
      <c r="A1718" s="253" t="str">
        <f t="shared" si="118"/>
        <v/>
      </c>
      <c r="AE1718" s="252">
        <f t="shared" si="114"/>
        <v>0</v>
      </c>
      <c r="AF1718" s="252">
        <f t="shared" si="115"/>
        <v>0</v>
      </c>
      <c r="AG1718" s="253">
        <f t="shared" si="116"/>
        <v>0</v>
      </c>
    </row>
    <row r="1719" spans="1:33" x14ac:dyDescent="0.2">
      <c r="A1719" s="253" t="str">
        <f t="shared" si="118"/>
        <v/>
      </c>
      <c r="AE1719" s="252">
        <f t="shared" si="114"/>
        <v>0</v>
      </c>
      <c r="AF1719" s="252">
        <f t="shared" si="115"/>
        <v>0</v>
      </c>
      <c r="AG1719" s="253">
        <f t="shared" si="116"/>
        <v>0</v>
      </c>
    </row>
    <row r="1720" spans="1:33" x14ac:dyDescent="0.2">
      <c r="A1720" s="253" t="str">
        <f t="shared" si="118"/>
        <v/>
      </c>
      <c r="AE1720" s="252">
        <f t="shared" si="114"/>
        <v>0</v>
      </c>
      <c r="AF1720" s="252">
        <f t="shared" si="115"/>
        <v>0</v>
      </c>
      <c r="AG1720" s="253">
        <f t="shared" si="116"/>
        <v>0</v>
      </c>
    </row>
    <row r="1721" spans="1:33" x14ac:dyDescent="0.2">
      <c r="A1721" s="253" t="str">
        <f t="shared" si="118"/>
        <v/>
      </c>
      <c r="AE1721" s="252">
        <f t="shared" si="114"/>
        <v>0</v>
      </c>
      <c r="AF1721" s="252">
        <f t="shared" si="115"/>
        <v>0</v>
      </c>
      <c r="AG1721" s="253">
        <f t="shared" si="116"/>
        <v>0</v>
      </c>
    </row>
    <row r="1722" spans="1:33" x14ac:dyDescent="0.2">
      <c r="A1722" s="253" t="str">
        <f t="shared" si="118"/>
        <v/>
      </c>
      <c r="AE1722" s="252">
        <f t="shared" si="114"/>
        <v>0</v>
      </c>
      <c r="AF1722" s="252">
        <f t="shared" si="115"/>
        <v>0</v>
      </c>
      <c r="AG1722" s="253">
        <f t="shared" si="116"/>
        <v>0</v>
      </c>
    </row>
    <row r="1723" spans="1:33" x14ac:dyDescent="0.2">
      <c r="A1723" s="253" t="str">
        <f t="shared" si="118"/>
        <v/>
      </c>
      <c r="AE1723" s="252">
        <f t="shared" si="114"/>
        <v>0</v>
      </c>
      <c r="AF1723" s="252">
        <f t="shared" si="115"/>
        <v>0</v>
      </c>
      <c r="AG1723" s="253">
        <f t="shared" si="116"/>
        <v>0</v>
      </c>
    </row>
    <row r="1724" spans="1:33" x14ac:dyDescent="0.2">
      <c r="A1724" s="253" t="str">
        <f t="shared" si="118"/>
        <v/>
      </c>
      <c r="AE1724" s="252">
        <f t="shared" si="114"/>
        <v>0</v>
      </c>
      <c r="AF1724" s="252">
        <f t="shared" si="115"/>
        <v>0</v>
      </c>
      <c r="AG1724" s="253">
        <f t="shared" si="116"/>
        <v>0</v>
      </c>
    </row>
    <row r="1725" spans="1:33" x14ac:dyDescent="0.2">
      <c r="A1725" s="253" t="str">
        <f t="shared" si="118"/>
        <v/>
      </c>
      <c r="AE1725" s="252">
        <f t="shared" si="114"/>
        <v>0</v>
      </c>
      <c r="AF1725" s="252">
        <f t="shared" si="115"/>
        <v>0</v>
      </c>
      <c r="AG1725" s="253">
        <f t="shared" si="116"/>
        <v>0</v>
      </c>
    </row>
    <row r="1726" spans="1:33" x14ac:dyDescent="0.2">
      <c r="A1726" s="253" t="str">
        <f t="shared" si="118"/>
        <v/>
      </c>
      <c r="AE1726" s="252">
        <f t="shared" si="114"/>
        <v>0</v>
      </c>
      <c r="AF1726" s="252">
        <f t="shared" si="115"/>
        <v>0</v>
      </c>
      <c r="AG1726" s="253">
        <f t="shared" si="116"/>
        <v>0</v>
      </c>
    </row>
    <row r="1727" spans="1:33" x14ac:dyDescent="0.2">
      <c r="A1727" s="253" t="str">
        <f t="shared" si="118"/>
        <v/>
      </c>
      <c r="AE1727" s="252">
        <f t="shared" si="114"/>
        <v>0</v>
      </c>
      <c r="AF1727" s="252">
        <f t="shared" si="115"/>
        <v>0</v>
      </c>
      <c r="AG1727" s="253">
        <f t="shared" si="116"/>
        <v>0</v>
      </c>
    </row>
    <row r="1728" spans="1:33" x14ac:dyDescent="0.2">
      <c r="A1728" s="253" t="str">
        <f t="shared" si="118"/>
        <v/>
      </c>
      <c r="AE1728" s="252">
        <f t="shared" si="114"/>
        <v>0</v>
      </c>
      <c r="AF1728" s="252">
        <f t="shared" si="115"/>
        <v>0</v>
      </c>
      <c r="AG1728" s="253">
        <f t="shared" si="116"/>
        <v>0</v>
      </c>
    </row>
    <row r="1729" spans="1:33" x14ac:dyDescent="0.2">
      <c r="A1729" s="253" t="str">
        <f t="shared" si="118"/>
        <v/>
      </c>
      <c r="AE1729" s="252">
        <f t="shared" si="114"/>
        <v>0</v>
      </c>
      <c r="AF1729" s="252">
        <f t="shared" si="115"/>
        <v>0</v>
      </c>
      <c r="AG1729" s="253">
        <f t="shared" si="116"/>
        <v>0</v>
      </c>
    </row>
    <row r="1730" spans="1:33" x14ac:dyDescent="0.2">
      <c r="A1730" s="253" t="str">
        <f t="shared" si="118"/>
        <v/>
      </c>
      <c r="AE1730" s="252">
        <f t="shared" si="114"/>
        <v>0</v>
      </c>
      <c r="AF1730" s="252">
        <f t="shared" si="115"/>
        <v>0</v>
      </c>
      <c r="AG1730" s="253">
        <f t="shared" si="116"/>
        <v>0</v>
      </c>
    </row>
    <row r="1731" spans="1:33" x14ac:dyDescent="0.2">
      <c r="A1731" s="253" t="str">
        <f t="shared" si="118"/>
        <v/>
      </c>
      <c r="AE1731" s="252">
        <f t="shared" si="114"/>
        <v>0</v>
      </c>
      <c r="AF1731" s="252">
        <f t="shared" si="115"/>
        <v>0</v>
      </c>
      <c r="AG1731" s="253">
        <f t="shared" si="116"/>
        <v>0</v>
      </c>
    </row>
    <row r="1732" spans="1:33" x14ac:dyDescent="0.2">
      <c r="A1732" s="253" t="str">
        <f t="shared" si="118"/>
        <v/>
      </c>
      <c r="AE1732" s="252">
        <f t="shared" si="114"/>
        <v>0</v>
      </c>
      <c r="AF1732" s="252">
        <f t="shared" si="115"/>
        <v>0</v>
      </c>
      <c r="AG1732" s="253">
        <f t="shared" si="116"/>
        <v>0</v>
      </c>
    </row>
    <row r="1733" spans="1:33" x14ac:dyDescent="0.2">
      <c r="A1733" s="253" t="str">
        <f t="shared" si="118"/>
        <v/>
      </c>
      <c r="AE1733" s="252">
        <f t="shared" si="114"/>
        <v>0</v>
      </c>
      <c r="AF1733" s="252">
        <f t="shared" si="115"/>
        <v>0</v>
      </c>
      <c r="AG1733" s="253">
        <f t="shared" si="116"/>
        <v>0</v>
      </c>
    </row>
    <row r="1734" spans="1:33" x14ac:dyDescent="0.2">
      <c r="A1734" s="253" t="str">
        <f t="shared" si="118"/>
        <v/>
      </c>
      <c r="AE1734" s="252">
        <f t="shared" si="114"/>
        <v>0</v>
      </c>
      <c r="AF1734" s="252">
        <f t="shared" si="115"/>
        <v>0</v>
      </c>
      <c r="AG1734" s="253">
        <f t="shared" si="116"/>
        <v>0</v>
      </c>
    </row>
    <row r="1735" spans="1:33" x14ac:dyDescent="0.2">
      <c r="A1735" s="253" t="str">
        <f t="shared" si="118"/>
        <v/>
      </c>
      <c r="AE1735" s="252">
        <f t="shared" si="114"/>
        <v>0</v>
      </c>
      <c r="AF1735" s="252">
        <f t="shared" si="115"/>
        <v>0</v>
      </c>
      <c r="AG1735" s="253">
        <f t="shared" si="116"/>
        <v>0</v>
      </c>
    </row>
    <row r="1736" spans="1:33" x14ac:dyDescent="0.2">
      <c r="A1736" s="253" t="str">
        <f t="shared" si="118"/>
        <v/>
      </c>
      <c r="AE1736" s="252">
        <f t="shared" si="114"/>
        <v>0</v>
      </c>
      <c r="AF1736" s="252">
        <f t="shared" si="115"/>
        <v>0</v>
      </c>
      <c r="AG1736" s="253">
        <f t="shared" si="116"/>
        <v>0</v>
      </c>
    </row>
    <row r="1737" spans="1:33" x14ac:dyDescent="0.2">
      <c r="A1737" s="253" t="str">
        <f t="shared" si="118"/>
        <v/>
      </c>
      <c r="AE1737" s="252">
        <f t="shared" si="114"/>
        <v>0</v>
      </c>
      <c r="AF1737" s="252">
        <f t="shared" si="115"/>
        <v>0</v>
      </c>
      <c r="AG1737" s="253">
        <f t="shared" si="116"/>
        <v>0</v>
      </c>
    </row>
    <row r="1738" spans="1:33" x14ac:dyDescent="0.2">
      <c r="A1738" s="253" t="str">
        <f t="shared" si="118"/>
        <v/>
      </c>
      <c r="AE1738" s="252">
        <f t="shared" si="114"/>
        <v>0</v>
      </c>
      <c r="AF1738" s="252">
        <f t="shared" si="115"/>
        <v>0</v>
      </c>
      <c r="AG1738" s="253">
        <f t="shared" si="116"/>
        <v>0</v>
      </c>
    </row>
    <row r="1739" spans="1:33" x14ac:dyDescent="0.2">
      <c r="A1739" s="253" t="str">
        <f t="shared" si="118"/>
        <v/>
      </c>
      <c r="AE1739" s="252">
        <f t="shared" si="114"/>
        <v>0</v>
      </c>
      <c r="AF1739" s="252">
        <f t="shared" si="115"/>
        <v>0</v>
      </c>
      <c r="AG1739" s="253">
        <f t="shared" si="116"/>
        <v>0</v>
      </c>
    </row>
    <row r="1740" spans="1:33" x14ac:dyDescent="0.2">
      <c r="A1740" s="253" t="str">
        <f t="shared" si="118"/>
        <v/>
      </c>
      <c r="AE1740" s="252">
        <f t="shared" si="114"/>
        <v>0</v>
      </c>
      <c r="AF1740" s="252">
        <f t="shared" si="115"/>
        <v>0</v>
      </c>
      <c r="AG1740" s="253">
        <f t="shared" si="116"/>
        <v>0</v>
      </c>
    </row>
    <row r="1741" spans="1:33" x14ac:dyDescent="0.2">
      <c r="A1741" s="253" t="str">
        <f t="shared" si="118"/>
        <v/>
      </c>
      <c r="AE1741" s="252">
        <f t="shared" si="114"/>
        <v>0</v>
      </c>
      <c r="AF1741" s="252">
        <f t="shared" si="115"/>
        <v>0</v>
      </c>
      <c r="AG1741" s="253">
        <f t="shared" si="116"/>
        <v>0</v>
      </c>
    </row>
    <row r="1742" spans="1:33" x14ac:dyDescent="0.2">
      <c r="A1742" s="253" t="str">
        <f t="shared" si="118"/>
        <v/>
      </c>
      <c r="AE1742" s="252">
        <f t="shared" si="114"/>
        <v>0</v>
      </c>
      <c r="AF1742" s="252">
        <f t="shared" si="115"/>
        <v>0</v>
      </c>
      <c r="AG1742" s="253">
        <f t="shared" si="116"/>
        <v>0</v>
      </c>
    </row>
    <row r="1743" spans="1:33" x14ac:dyDescent="0.2">
      <c r="A1743" s="253" t="str">
        <f t="shared" si="118"/>
        <v/>
      </c>
      <c r="AE1743" s="252">
        <f t="shared" ref="AE1743:AE1761" si="119">SUM(T1743:W1743)</f>
        <v>0</v>
      </c>
      <c r="AF1743" s="252">
        <f t="shared" ref="AF1743:AF1761" si="120">SUM(Z1743:AA1743)</f>
        <v>0</v>
      </c>
      <c r="AG1743" s="253">
        <f t="shared" ref="AG1743:AG1761" si="121">+L1743-SUM(Z1743:AA1743)</f>
        <v>0</v>
      </c>
    </row>
    <row r="1744" spans="1:33" x14ac:dyDescent="0.2">
      <c r="A1744" s="253" t="str">
        <f t="shared" si="118"/>
        <v/>
      </c>
      <c r="AE1744" s="252">
        <f t="shared" si="119"/>
        <v>0</v>
      </c>
      <c r="AF1744" s="252">
        <f t="shared" si="120"/>
        <v>0</v>
      </c>
      <c r="AG1744" s="253">
        <f t="shared" si="121"/>
        <v>0</v>
      </c>
    </row>
    <row r="1745" spans="1:33" x14ac:dyDescent="0.2">
      <c r="A1745" s="253" t="str">
        <f t="shared" si="118"/>
        <v/>
      </c>
      <c r="AE1745" s="252">
        <f t="shared" si="119"/>
        <v>0</v>
      </c>
      <c r="AF1745" s="252">
        <f t="shared" si="120"/>
        <v>0</v>
      </c>
      <c r="AG1745" s="253">
        <f t="shared" si="121"/>
        <v>0</v>
      </c>
    </row>
    <row r="1746" spans="1:33" x14ac:dyDescent="0.2">
      <c r="A1746" s="253" t="str">
        <f t="shared" si="118"/>
        <v/>
      </c>
      <c r="AE1746" s="252">
        <f t="shared" si="119"/>
        <v>0</v>
      </c>
      <c r="AF1746" s="252">
        <f t="shared" si="120"/>
        <v>0</v>
      </c>
      <c r="AG1746" s="253">
        <f t="shared" si="121"/>
        <v>0</v>
      </c>
    </row>
    <row r="1747" spans="1:33" x14ac:dyDescent="0.2">
      <c r="A1747" s="253" t="str">
        <f t="shared" si="118"/>
        <v/>
      </c>
      <c r="AE1747" s="252">
        <f t="shared" si="119"/>
        <v>0</v>
      </c>
      <c r="AF1747" s="252">
        <f t="shared" si="120"/>
        <v>0</v>
      </c>
      <c r="AG1747" s="253">
        <f t="shared" si="121"/>
        <v>0</v>
      </c>
    </row>
    <row r="1748" spans="1:33" x14ac:dyDescent="0.2">
      <c r="A1748" s="253" t="str">
        <f t="shared" si="118"/>
        <v/>
      </c>
      <c r="AE1748" s="252">
        <f t="shared" si="119"/>
        <v>0</v>
      </c>
      <c r="AF1748" s="252">
        <f t="shared" si="120"/>
        <v>0</v>
      </c>
      <c r="AG1748" s="253">
        <f t="shared" si="121"/>
        <v>0</v>
      </c>
    </row>
    <row r="1749" spans="1:33" x14ac:dyDescent="0.2">
      <c r="A1749" s="253" t="str">
        <f t="shared" si="118"/>
        <v/>
      </c>
      <c r="AE1749" s="252">
        <f t="shared" si="119"/>
        <v>0</v>
      </c>
      <c r="AF1749" s="252">
        <f t="shared" si="120"/>
        <v>0</v>
      </c>
      <c r="AG1749" s="253">
        <f t="shared" si="121"/>
        <v>0</v>
      </c>
    </row>
    <row r="1750" spans="1:33" x14ac:dyDescent="0.2">
      <c r="A1750" s="253" t="str">
        <f t="shared" si="118"/>
        <v/>
      </c>
      <c r="AE1750" s="252">
        <f t="shared" si="119"/>
        <v>0</v>
      </c>
      <c r="AF1750" s="252">
        <f t="shared" si="120"/>
        <v>0</v>
      </c>
      <c r="AG1750" s="253">
        <f t="shared" si="121"/>
        <v>0</v>
      </c>
    </row>
    <row r="1751" spans="1:33" x14ac:dyDescent="0.2">
      <c r="A1751" s="253" t="str">
        <f t="shared" si="118"/>
        <v/>
      </c>
      <c r="AE1751" s="252">
        <f t="shared" si="119"/>
        <v>0</v>
      </c>
      <c r="AF1751" s="252">
        <f t="shared" si="120"/>
        <v>0</v>
      </c>
      <c r="AG1751" s="253">
        <f t="shared" si="121"/>
        <v>0</v>
      </c>
    </row>
    <row r="1752" spans="1:33" x14ac:dyDescent="0.2">
      <c r="A1752" s="253" t="str">
        <f t="shared" si="118"/>
        <v/>
      </c>
      <c r="AE1752" s="252">
        <f t="shared" si="119"/>
        <v>0</v>
      </c>
      <c r="AF1752" s="252">
        <f t="shared" si="120"/>
        <v>0</v>
      </c>
      <c r="AG1752" s="253">
        <f t="shared" si="121"/>
        <v>0</v>
      </c>
    </row>
    <row r="1753" spans="1:33" x14ac:dyDescent="0.2">
      <c r="A1753" s="253" t="str">
        <f t="shared" si="118"/>
        <v/>
      </c>
      <c r="AE1753" s="252">
        <f t="shared" si="119"/>
        <v>0</v>
      </c>
      <c r="AF1753" s="252">
        <f t="shared" si="120"/>
        <v>0</v>
      </c>
      <c r="AG1753" s="253">
        <f t="shared" si="121"/>
        <v>0</v>
      </c>
    </row>
    <row r="1754" spans="1:33" x14ac:dyDescent="0.2">
      <c r="A1754" s="253" t="str">
        <f t="shared" si="118"/>
        <v/>
      </c>
      <c r="AE1754" s="252">
        <f t="shared" si="119"/>
        <v>0</v>
      </c>
      <c r="AF1754" s="252">
        <f t="shared" si="120"/>
        <v>0</v>
      </c>
      <c r="AG1754" s="253">
        <f t="shared" si="121"/>
        <v>0</v>
      </c>
    </row>
    <row r="1755" spans="1:33" x14ac:dyDescent="0.2">
      <c r="A1755" s="253" t="str">
        <f t="shared" si="118"/>
        <v/>
      </c>
      <c r="AE1755" s="252">
        <f t="shared" si="119"/>
        <v>0</v>
      </c>
      <c r="AF1755" s="252">
        <f t="shared" si="120"/>
        <v>0</v>
      </c>
      <c r="AG1755" s="253">
        <f t="shared" si="121"/>
        <v>0</v>
      </c>
    </row>
    <row r="1756" spans="1:33" x14ac:dyDescent="0.2">
      <c r="A1756" s="253" t="str">
        <f t="shared" si="118"/>
        <v/>
      </c>
      <c r="AE1756" s="252">
        <f t="shared" si="119"/>
        <v>0</v>
      </c>
      <c r="AF1756" s="252">
        <f t="shared" si="120"/>
        <v>0</v>
      </c>
      <c r="AG1756" s="253">
        <f t="shared" si="121"/>
        <v>0</v>
      </c>
    </row>
    <row r="1757" spans="1:33" x14ac:dyDescent="0.2">
      <c r="A1757" s="253" t="str">
        <f t="shared" si="118"/>
        <v/>
      </c>
      <c r="AE1757" s="252">
        <f t="shared" si="119"/>
        <v>0</v>
      </c>
      <c r="AF1757" s="252">
        <f t="shared" si="120"/>
        <v>0</v>
      </c>
      <c r="AG1757" s="253">
        <f t="shared" si="121"/>
        <v>0</v>
      </c>
    </row>
    <row r="1758" spans="1:33" x14ac:dyDescent="0.2">
      <c r="A1758" s="253" t="str">
        <f t="shared" si="118"/>
        <v/>
      </c>
      <c r="AE1758" s="252">
        <f t="shared" si="119"/>
        <v>0</v>
      </c>
      <c r="AF1758" s="252">
        <f t="shared" si="120"/>
        <v>0</v>
      </c>
      <c r="AG1758" s="253">
        <f t="shared" si="121"/>
        <v>0</v>
      </c>
    </row>
    <row r="1759" spans="1:33" x14ac:dyDescent="0.2">
      <c r="A1759" s="253" t="str">
        <f t="shared" si="118"/>
        <v/>
      </c>
      <c r="AE1759" s="252">
        <f t="shared" si="119"/>
        <v>0</v>
      </c>
      <c r="AF1759" s="252">
        <f t="shared" si="120"/>
        <v>0</v>
      </c>
      <c r="AG1759" s="253">
        <f t="shared" si="121"/>
        <v>0</v>
      </c>
    </row>
    <row r="1760" spans="1:33" x14ac:dyDescent="0.2">
      <c r="A1760" s="253" t="str">
        <f t="shared" si="118"/>
        <v/>
      </c>
      <c r="AE1760" s="252">
        <f t="shared" si="119"/>
        <v>0</v>
      </c>
      <c r="AF1760" s="252">
        <f t="shared" si="120"/>
        <v>0</v>
      </c>
      <c r="AG1760" s="253">
        <f t="shared" si="121"/>
        <v>0</v>
      </c>
    </row>
    <row r="1761" spans="1:33" x14ac:dyDescent="0.2">
      <c r="A1761" s="253" t="str">
        <f t="shared" si="118"/>
        <v/>
      </c>
      <c r="AE1761" s="252">
        <f t="shared" si="119"/>
        <v>0</v>
      </c>
      <c r="AF1761" s="252">
        <f t="shared" si="120"/>
        <v>0</v>
      </c>
      <c r="AG1761" s="253">
        <f t="shared" si="121"/>
        <v>0</v>
      </c>
    </row>
    <row r="1762" spans="1:33" x14ac:dyDescent="0.2">
      <c r="A1762" s="253" t="str">
        <f t="shared" si="118"/>
        <v/>
      </c>
    </row>
    <row r="1763" spans="1:33" x14ac:dyDescent="0.2">
      <c r="A1763" s="253" t="str">
        <f t="shared" si="118"/>
        <v/>
      </c>
    </row>
    <row r="1764" spans="1:33" x14ac:dyDescent="0.2">
      <c r="A1764" s="253" t="str">
        <f t="shared" si="118"/>
        <v/>
      </c>
    </row>
    <row r="1765" spans="1:33" x14ac:dyDescent="0.2">
      <c r="A1765" s="253" t="str">
        <f t="shared" si="118"/>
        <v/>
      </c>
    </row>
    <row r="1766" spans="1:33" x14ac:dyDescent="0.2">
      <c r="A1766" s="253" t="str">
        <f t="shared" si="118"/>
        <v/>
      </c>
    </row>
    <row r="1767" spans="1:33" x14ac:dyDescent="0.2">
      <c r="A1767" s="253" t="str">
        <f t="shared" si="118"/>
        <v/>
      </c>
    </row>
    <row r="1768" spans="1:33" x14ac:dyDescent="0.2">
      <c r="A1768" s="253" t="str">
        <f t="shared" si="118"/>
        <v/>
      </c>
    </row>
    <row r="1769" spans="1:33" x14ac:dyDescent="0.2">
      <c r="A1769" s="253" t="str">
        <f t="shared" si="118"/>
        <v/>
      </c>
    </row>
    <row r="1770" spans="1:33" x14ac:dyDescent="0.2">
      <c r="A1770" s="253" t="str">
        <f t="shared" si="118"/>
        <v/>
      </c>
    </row>
    <row r="1771" spans="1:33" x14ac:dyDescent="0.2">
      <c r="A1771" s="253" t="str">
        <f t="shared" si="118"/>
        <v/>
      </c>
    </row>
    <row r="1772" spans="1:33" x14ac:dyDescent="0.2">
      <c r="A1772" s="253" t="str">
        <f t="shared" si="118"/>
        <v/>
      </c>
    </row>
    <row r="1773" spans="1:33" x14ac:dyDescent="0.2">
      <c r="A1773" s="253" t="str">
        <f t="shared" si="118"/>
        <v/>
      </c>
    </row>
    <row r="1774" spans="1:33" x14ac:dyDescent="0.2">
      <c r="A1774" s="253" t="str">
        <f t="shared" si="118"/>
        <v/>
      </c>
    </row>
    <row r="1775" spans="1:33" x14ac:dyDescent="0.2">
      <c r="A1775" s="253" t="str">
        <f t="shared" si="118"/>
        <v/>
      </c>
    </row>
    <row r="1776" spans="1:33" x14ac:dyDescent="0.2">
      <c r="A1776" s="253" t="str">
        <f t="shared" si="118"/>
        <v/>
      </c>
    </row>
    <row r="1777" spans="1:1" x14ac:dyDescent="0.2">
      <c r="A1777" s="253" t="str">
        <f t="shared" si="118"/>
        <v/>
      </c>
    </row>
    <row r="1778" spans="1:1" x14ac:dyDescent="0.2">
      <c r="A1778" s="253" t="str">
        <f t="shared" si="118"/>
        <v/>
      </c>
    </row>
    <row r="1779" spans="1:1" x14ac:dyDescent="0.2">
      <c r="A1779" s="253" t="str">
        <f t="shared" ref="A1779:A1842" si="122">B1779&amp;C1779&amp;F1779&amp;G1779&amp;I1779&amp;J1779</f>
        <v/>
      </c>
    </row>
    <row r="1780" spans="1:1" x14ac:dyDescent="0.2">
      <c r="A1780" s="253" t="str">
        <f t="shared" si="122"/>
        <v/>
      </c>
    </row>
    <row r="1781" spans="1:1" x14ac:dyDescent="0.2">
      <c r="A1781" s="253" t="str">
        <f t="shared" si="122"/>
        <v/>
      </c>
    </row>
    <row r="1782" spans="1:1" x14ac:dyDescent="0.2">
      <c r="A1782" s="253" t="str">
        <f t="shared" si="122"/>
        <v/>
      </c>
    </row>
    <row r="1783" spans="1:1" x14ac:dyDescent="0.2">
      <c r="A1783" s="253" t="str">
        <f t="shared" si="122"/>
        <v/>
      </c>
    </row>
    <row r="1784" spans="1:1" x14ac:dyDescent="0.2">
      <c r="A1784" s="253" t="str">
        <f t="shared" si="122"/>
        <v/>
      </c>
    </row>
    <row r="1785" spans="1:1" x14ac:dyDescent="0.2">
      <c r="A1785" s="253" t="str">
        <f t="shared" si="122"/>
        <v/>
      </c>
    </row>
    <row r="1786" spans="1:1" x14ac:dyDescent="0.2">
      <c r="A1786" s="253" t="str">
        <f t="shared" si="122"/>
        <v/>
      </c>
    </row>
    <row r="1787" spans="1:1" x14ac:dyDescent="0.2">
      <c r="A1787" s="253" t="str">
        <f t="shared" si="122"/>
        <v/>
      </c>
    </row>
    <row r="1788" spans="1:1" x14ac:dyDescent="0.2">
      <c r="A1788" s="253" t="str">
        <f t="shared" si="122"/>
        <v/>
      </c>
    </row>
    <row r="1789" spans="1:1" x14ac:dyDescent="0.2">
      <c r="A1789" s="253" t="str">
        <f t="shared" si="122"/>
        <v/>
      </c>
    </row>
    <row r="1790" spans="1:1" x14ac:dyDescent="0.2">
      <c r="A1790" s="253" t="str">
        <f t="shared" si="122"/>
        <v/>
      </c>
    </row>
    <row r="1791" spans="1:1" x14ac:dyDescent="0.2">
      <c r="A1791" s="253" t="str">
        <f t="shared" si="122"/>
        <v/>
      </c>
    </row>
    <row r="1792" spans="1:1" x14ac:dyDescent="0.2">
      <c r="A1792" s="253" t="str">
        <f t="shared" si="122"/>
        <v/>
      </c>
    </row>
    <row r="1793" spans="1:1" x14ac:dyDescent="0.2">
      <c r="A1793" s="253" t="str">
        <f t="shared" si="122"/>
        <v/>
      </c>
    </row>
    <row r="1794" spans="1:1" x14ac:dyDescent="0.2">
      <c r="A1794" s="253" t="str">
        <f t="shared" si="122"/>
        <v/>
      </c>
    </row>
    <row r="1795" spans="1:1" x14ac:dyDescent="0.2">
      <c r="A1795" s="253" t="str">
        <f t="shared" si="122"/>
        <v/>
      </c>
    </row>
    <row r="1796" spans="1:1" x14ac:dyDescent="0.2">
      <c r="A1796" s="253" t="str">
        <f t="shared" si="122"/>
        <v/>
      </c>
    </row>
    <row r="1797" spans="1:1" x14ac:dyDescent="0.2">
      <c r="A1797" s="253" t="str">
        <f t="shared" si="122"/>
        <v/>
      </c>
    </row>
    <row r="1798" spans="1:1" x14ac:dyDescent="0.2">
      <c r="A1798" s="253" t="str">
        <f t="shared" si="122"/>
        <v/>
      </c>
    </row>
    <row r="1799" spans="1:1" x14ac:dyDescent="0.2">
      <c r="A1799" s="253" t="str">
        <f t="shared" si="122"/>
        <v/>
      </c>
    </row>
    <row r="1800" spans="1:1" x14ac:dyDescent="0.2">
      <c r="A1800" s="253" t="str">
        <f t="shared" si="122"/>
        <v/>
      </c>
    </row>
    <row r="1801" spans="1:1" x14ac:dyDescent="0.2">
      <c r="A1801" s="253" t="str">
        <f t="shared" si="122"/>
        <v/>
      </c>
    </row>
    <row r="1802" spans="1:1" x14ac:dyDescent="0.2">
      <c r="A1802" s="253" t="str">
        <f t="shared" si="122"/>
        <v/>
      </c>
    </row>
    <row r="1803" spans="1:1" x14ac:dyDescent="0.2">
      <c r="A1803" s="253" t="str">
        <f t="shared" si="122"/>
        <v/>
      </c>
    </row>
    <row r="1804" spans="1:1" x14ac:dyDescent="0.2">
      <c r="A1804" s="253" t="str">
        <f t="shared" si="122"/>
        <v/>
      </c>
    </row>
    <row r="1805" spans="1:1" x14ac:dyDescent="0.2">
      <c r="A1805" s="253" t="str">
        <f t="shared" si="122"/>
        <v/>
      </c>
    </row>
    <row r="1806" spans="1:1" x14ac:dyDescent="0.2">
      <c r="A1806" s="253" t="str">
        <f t="shared" si="122"/>
        <v/>
      </c>
    </row>
    <row r="1807" spans="1:1" x14ac:dyDescent="0.2">
      <c r="A1807" s="253" t="str">
        <f t="shared" si="122"/>
        <v/>
      </c>
    </row>
    <row r="1808" spans="1:1" x14ac:dyDescent="0.2">
      <c r="A1808" s="253" t="str">
        <f t="shared" si="122"/>
        <v/>
      </c>
    </row>
    <row r="1809" spans="1:1" x14ac:dyDescent="0.2">
      <c r="A1809" s="253" t="str">
        <f t="shared" si="122"/>
        <v/>
      </c>
    </row>
    <row r="1810" spans="1:1" x14ac:dyDescent="0.2">
      <c r="A1810" s="253" t="str">
        <f t="shared" si="122"/>
        <v/>
      </c>
    </row>
    <row r="1811" spans="1:1" x14ac:dyDescent="0.2">
      <c r="A1811" s="253" t="str">
        <f t="shared" si="122"/>
        <v/>
      </c>
    </row>
    <row r="1812" spans="1:1" x14ac:dyDescent="0.2">
      <c r="A1812" s="253" t="str">
        <f t="shared" si="122"/>
        <v/>
      </c>
    </row>
    <row r="1813" spans="1:1" x14ac:dyDescent="0.2">
      <c r="A1813" s="253" t="str">
        <f t="shared" si="122"/>
        <v/>
      </c>
    </row>
    <row r="1814" spans="1:1" x14ac:dyDescent="0.2">
      <c r="A1814" s="253" t="str">
        <f t="shared" si="122"/>
        <v/>
      </c>
    </row>
    <row r="1815" spans="1:1" x14ac:dyDescent="0.2">
      <c r="A1815" s="253" t="str">
        <f t="shared" si="122"/>
        <v/>
      </c>
    </row>
    <row r="1816" spans="1:1" x14ac:dyDescent="0.2">
      <c r="A1816" s="253" t="str">
        <f t="shared" si="122"/>
        <v/>
      </c>
    </row>
    <row r="1817" spans="1:1" x14ac:dyDescent="0.2">
      <c r="A1817" s="253" t="str">
        <f t="shared" si="122"/>
        <v/>
      </c>
    </row>
    <row r="1818" spans="1:1" x14ac:dyDescent="0.2">
      <c r="A1818" s="253" t="str">
        <f t="shared" si="122"/>
        <v/>
      </c>
    </row>
    <row r="1819" spans="1:1" x14ac:dyDescent="0.2">
      <c r="A1819" s="253" t="str">
        <f t="shared" si="122"/>
        <v/>
      </c>
    </row>
    <row r="1820" spans="1:1" x14ac:dyDescent="0.2">
      <c r="A1820" s="253" t="str">
        <f t="shared" si="122"/>
        <v/>
      </c>
    </row>
    <row r="1821" spans="1:1" x14ac:dyDescent="0.2">
      <c r="A1821" s="253" t="str">
        <f t="shared" si="122"/>
        <v/>
      </c>
    </row>
    <row r="1822" spans="1:1" x14ac:dyDescent="0.2">
      <c r="A1822" s="253" t="str">
        <f t="shared" si="122"/>
        <v/>
      </c>
    </row>
    <row r="1823" spans="1:1" x14ac:dyDescent="0.2">
      <c r="A1823" s="253" t="str">
        <f t="shared" si="122"/>
        <v/>
      </c>
    </row>
    <row r="1824" spans="1:1" x14ac:dyDescent="0.2">
      <c r="A1824" s="253" t="str">
        <f t="shared" si="122"/>
        <v/>
      </c>
    </row>
    <row r="1825" spans="1:1" x14ac:dyDescent="0.2">
      <c r="A1825" s="253" t="str">
        <f t="shared" si="122"/>
        <v/>
      </c>
    </row>
    <row r="1826" spans="1:1" x14ac:dyDescent="0.2">
      <c r="A1826" s="253" t="str">
        <f t="shared" si="122"/>
        <v/>
      </c>
    </row>
    <row r="1827" spans="1:1" x14ac:dyDescent="0.2">
      <c r="A1827" s="253" t="str">
        <f t="shared" si="122"/>
        <v/>
      </c>
    </row>
    <row r="1828" spans="1:1" x14ac:dyDescent="0.2">
      <c r="A1828" s="253" t="str">
        <f t="shared" si="122"/>
        <v/>
      </c>
    </row>
    <row r="1829" spans="1:1" x14ac:dyDescent="0.2">
      <c r="A1829" s="253" t="str">
        <f t="shared" si="122"/>
        <v/>
      </c>
    </row>
    <row r="1830" spans="1:1" x14ac:dyDescent="0.2">
      <c r="A1830" s="253" t="str">
        <f t="shared" si="122"/>
        <v/>
      </c>
    </row>
    <row r="1831" spans="1:1" x14ac:dyDescent="0.2">
      <c r="A1831" s="253" t="str">
        <f t="shared" si="122"/>
        <v/>
      </c>
    </row>
    <row r="1832" spans="1:1" x14ac:dyDescent="0.2">
      <c r="A1832" s="253" t="str">
        <f t="shared" si="122"/>
        <v/>
      </c>
    </row>
    <row r="1833" spans="1:1" x14ac:dyDescent="0.2">
      <c r="A1833" s="253" t="str">
        <f t="shared" si="122"/>
        <v/>
      </c>
    </row>
    <row r="1834" spans="1:1" x14ac:dyDescent="0.2">
      <c r="A1834" s="253" t="str">
        <f t="shared" si="122"/>
        <v/>
      </c>
    </row>
    <row r="1835" spans="1:1" x14ac:dyDescent="0.2">
      <c r="A1835" s="253" t="str">
        <f t="shared" si="122"/>
        <v/>
      </c>
    </row>
    <row r="1836" spans="1:1" x14ac:dyDescent="0.2">
      <c r="A1836" s="253" t="str">
        <f t="shared" si="122"/>
        <v/>
      </c>
    </row>
    <row r="1837" spans="1:1" x14ac:dyDescent="0.2">
      <c r="A1837" s="253" t="str">
        <f t="shared" si="122"/>
        <v/>
      </c>
    </row>
    <row r="1838" spans="1:1" x14ac:dyDescent="0.2">
      <c r="A1838" s="253" t="str">
        <f t="shared" si="122"/>
        <v/>
      </c>
    </row>
    <row r="1839" spans="1:1" x14ac:dyDescent="0.2">
      <c r="A1839" s="253" t="str">
        <f t="shared" si="122"/>
        <v/>
      </c>
    </row>
    <row r="1840" spans="1:1" x14ac:dyDescent="0.2">
      <c r="A1840" s="253" t="str">
        <f t="shared" si="122"/>
        <v/>
      </c>
    </row>
    <row r="1841" spans="1:1" x14ac:dyDescent="0.2">
      <c r="A1841" s="253" t="str">
        <f t="shared" si="122"/>
        <v/>
      </c>
    </row>
    <row r="1842" spans="1:1" x14ac:dyDescent="0.2">
      <c r="A1842" s="253" t="str">
        <f t="shared" si="122"/>
        <v/>
      </c>
    </row>
    <row r="1843" spans="1:1" x14ac:dyDescent="0.2">
      <c r="A1843" s="253" t="str">
        <f t="shared" ref="A1843:A1906" si="123">B1843&amp;C1843&amp;F1843&amp;G1843&amp;I1843&amp;J1843</f>
        <v/>
      </c>
    </row>
    <row r="1844" spans="1:1" x14ac:dyDescent="0.2">
      <c r="A1844" s="253" t="str">
        <f t="shared" si="123"/>
        <v/>
      </c>
    </row>
    <row r="1845" spans="1:1" x14ac:dyDescent="0.2">
      <c r="A1845" s="253" t="str">
        <f t="shared" si="123"/>
        <v/>
      </c>
    </row>
    <row r="1846" spans="1:1" x14ac:dyDescent="0.2">
      <c r="A1846" s="253" t="str">
        <f t="shared" si="123"/>
        <v/>
      </c>
    </row>
    <row r="1847" spans="1:1" x14ac:dyDescent="0.2">
      <c r="A1847" s="253" t="str">
        <f t="shared" si="123"/>
        <v/>
      </c>
    </row>
    <row r="1848" spans="1:1" x14ac:dyDescent="0.2">
      <c r="A1848" s="253" t="str">
        <f t="shared" si="123"/>
        <v/>
      </c>
    </row>
    <row r="1849" spans="1:1" x14ac:dyDescent="0.2">
      <c r="A1849" s="253" t="str">
        <f t="shared" si="123"/>
        <v/>
      </c>
    </row>
    <row r="1850" spans="1:1" x14ac:dyDescent="0.2">
      <c r="A1850" s="253" t="str">
        <f t="shared" si="123"/>
        <v/>
      </c>
    </row>
    <row r="1851" spans="1:1" x14ac:dyDescent="0.2">
      <c r="A1851" s="253" t="str">
        <f t="shared" si="123"/>
        <v/>
      </c>
    </row>
    <row r="1852" spans="1:1" x14ac:dyDescent="0.2">
      <c r="A1852" s="253" t="str">
        <f t="shared" si="123"/>
        <v/>
      </c>
    </row>
    <row r="1853" spans="1:1" x14ac:dyDescent="0.2">
      <c r="A1853" s="253" t="str">
        <f t="shared" si="123"/>
        <v/>
      </c>
    </row>
    <row r="1854" spans="1:1" x14ac:dyDescent="0.2">
      <c r="A1854" s="253" t="str">
        <f t="shared" si="123"/>
        <v/>
      </c>
    </row>
    <row r="1855" spans="1:1" x14ac:dyDescent="0.2">
      <c r="A1855" s="253" t="str">
        <f t="shared" si="123"/>
        <v/>
      </c>
    </row>
    <row r="1856" spans="1:1" x14ac:dyDescent="0.2">
      <c r="A1856" s="253" t="str">
        <f t="shared" si="123"/>
        <v/>
      </c>
    </row>
    <row r="1857" spans="1:1" x14ac:dyDescent="0.2">
      <c r="A1857" s="253" t="str">
        <f t="shared" si="123"/>
        <v/>
      </c>
    </row>
    <row r="1858" spans="1:1" x14ac:dyDescent="0.2">
      <c r="A1858" s="253" t="str">
        <f t="shared" si="123"/>
        <v/>
      </c>
    </row>
    <row r="1859" spans="1:1" x14ac:dyDescent="0.2">
      <c r="A1859" s="253" t="str">
        <f t="shared" si="123"/>
        <v/>
      </c>
    </row>
    <row r="1860" spans="1:1" x14ac:dyDescent="0.2">
      <c r="A1860" s="253" t="str">
        <f t="shared" si="123"/>
        <v/>
      </c>
    </row>
    <row r="1861" spans="1:1" x14ac:dyDescent="0.2">
      <c r="A1861" s="253" t="str">
        <f t="shared" si="123"/>
        <v/>
      </c>
    </row>
    <row r="1862" spans="1:1" x14ac:dyDescent="0.2">
      <c r="A1862" s="253" t="str">
        <f t="shared" si="123"/>
        <v/>
      </c>
    </row>
    <row r="1863" spans="1:1" x14ac:dyDescent="0.2">
      <c r="A1863" s="253" t="str">
        <f t="shared" si="123"/>
        <v/>
      </c>
    </row>
    <row r="1864" spans="1:1" x14ac:dyDescent="0.2">
      <c r="A1864" s="253" t="str">
        <f t="shared" si="123"/>
        <v/>
      </c>
    </row>
    <row r="1865" spans="1:1" x14ac:dyDescent="0.2">
      <c r="A1865" s="253" t="str">
        <f t="shared" si="123"/>
        <v/>
      </c>
    </row>
    <row r="1866" spans="1:1" x14ac:dyDescent="0.2">
      <c r="A1866" s="253" t="str">
        <f t="shared" si="123"/>
        <v/>
      </c>
    </row>
    <row r="1867" spans="1:1" x14ac:dyDescent="0.2">
      <c r="A1867" s="253" t="str">
        <f t="shared" si="123"/>
        <v/>
      </c>
    </row>
    <row r="1868" spans="1:1" x14ac:dyDescent="0.2">
      <c r="A1868" s="253" t="str">
        <f t="shared" si="123"/>
        <v/>
      </c>
    </row>
    <row r="1869" spans="1:1" x14ac:dyDescent="0.2">
      <c r="A1869" s="253" t="str">
        <f t="shared" si="123"/>
        <v/>
      </c>
    </row>
    <row r="1870" spans="1:1" x14ac:dyDescent="0.2">
      <c r="A1870" s="253" t="str">
        <f t="shared" si="123"/>
        <v/>
      </c>
    </row>
    <row r="1871" spans="1:1" x14ac:dyDescent="0.2">
      <c r="A1871" s="253" t="str">
        <f t="shared" si="123"/>
        <v/>
      </c>
    </row>
    <row r="1872" spans="1:1" x14ac:dyDescent="0.2">
      <c r="A1872" s="253" t="str">
        <f t="shared" si="123"/>
        <v/>
      </c>
    </row>
    <row r="1873" spans="1:1" x14ac:dyDescent="0.2">
      <c r="A1873" s="253" t="str">
        <f t="shared" si="123"/>
        <v/>
      </c>
    </row>
    <row r="1874" spans="1:1" x14ac:dyDescent="0.2">
      <c r="A1874" s="253" t="str">
        <f t="shared" si="123"/>
        <v/>
      </c>
    </row>
    <row r="1875" spans="1:1" x14ac:dyDescent="0.2">
      <c r="A1875" s="253" t="str">
        <f t="shared" si="123"/>
        <v/>
      </c>
    </row>
    <row r="1876" spans="1:1" x14ac:dyDescent="0.2">
      <c r="A1876" s="253" t="str">
        <f t="shared" si="123"/>
        <v/>
      </c>
    </row>
    <row r="1877" spans="1:1" x14ac:dyDescent="0.2">
      <c r="A1877" s="253" t="str">
        <f t="shared" si="123"/>
        <v/>
      </c>
    </row>
    <row r="1878" spans="1:1" x14ac:dyDescent="0.2">
      <c r="A1878" s="253" t="str">
        <f t="shared" si="123"/>
        <v/>
      </c>
    </row>
    <row r="1879" spans="1:1" x14ac:dyDescent="0.2">
      <c r="A1879" s="253" t="str">
        <f t="shared" si="123"/>
        <v/>
      </c>
    </row>
    <row r="1880" spans="1:1" x14ac:dyDescent="0.2">
      <c r="A1880" s="253" t="str">
        <f t="shared" si="123"/>
        <v/>
      </c>
    </row>
    <row r="1881" spans="1:1" x14ac:dyDescent="0.2">
      <c r="A1881" s="253" t="str">
        <f t="shared" si="123"/>
        <v/>
      </c>
    </row>
    <row r="1882" spans="1:1" x14ac:dyDescent="0.2">
      <c r="A1882" s="253" t="str">
        <f t="shared" si="123"/>
        <v/>
      </c>
    </row>
    <row r="1883" spans="1:1" x14ac:dyDescent="0.2">
      <c r="A1883" s="253" t="str">
        <f t="shared" si="123"/>
        <v/>
      </c>
    </row>
    <row r="1884" spans="1:1" x14ac:dyDescent="0.2">
      <c r="A1884" s="253" t="str">
        <f t="shared" si="123"/>
        <v/>
      </c>
    </row>
    <row r="1885" spans="1:1" x14ac:dyDescent="0.2">
      <c r="A1885" s="253" t="str">
        <f t="shared" si="123"/>
        <v/>
      </c>
    </row>
    <row r="1886" spans="1:1" x14ac:dyDescent="0.2">
      <c r="A1886" s="253" t="str">
        <f t="shared" si="123"/>
        <v/>
      </c>
    </row>
    <row r="1887" spans="1:1" x14ac:dyDescent="0.2">
      <c r="A1887" s="253" t="str">
        <f t="shared" si="123"/>
        <v/>
      </c>
    </row>
    <row r="1888" spans="1:1" x14ac:dyDescent="0.2">
      <c r="A1888" s="253" t="str">
        <f t="shared" si="123"/>
        <v/>
      </c>
    </row>
    <row r="1889" spans="1:1" x14ac:dyDescent="0.2">
      <c r="A1889" s="253" t="str">
        <f t="shared" si="123"/>
        <v/>
      </c>
    </row>
    <row r="1890" spans="1:1" x14ac:dyDescent="0.2">
      <c r="A1890" s="253" t="str">
        <f t="shared" si="123"/>
        <v/>
      </c>
    </row>
    <row r="1891" spans="1:1" x14ac:dyDescent="0.2">
      <c r="A1891" s="253" t="str">
        <f t="shared" si="123"/>
        <v/>
      </c>
    </row>
    <row r="1892" spans="1:1" x14ac:dyDescent="0.2">
      <c r="A1892" s="253" t="str">
        <f t="shared" si="123"/>
        <v/>
      </c>
    </row>
    <row r="1893" spans="1:1" x14ac:dyDescent="0.2">
      <c r="A1893" s="253" t="str">
        <f t="shared" si="123"/>
        <v/>
      </c>
    </row>
    <row r="1894" spans="1:1" x14ac:dyDescent="0.2">
      <c r="A1894" s="253" t="str">
        <f t="shared" si="123"/>
        <v/>
      </c>
    </row>
    <row r="1895" spans="1:1" x14ac:dyDescent="0.2">
      <c r="A1895" s="253" t="str">
        <f t="shared" si="123"/>
        <v/>
      </c>
    </row>
    <row r="1896" spans="1:1" x14ac:dyDescent="0.2">
      <c r="A1896" s="253" t="str">
        <f t="shared" si="123"/>
        <v/>
      </c>
    </row>
    <row r="1897" spans="1:1" x14ac:dyDescent="0.2">
      <c r="A1897" s="253" t="str">
        <f t="shared" si="123"/>
        <v/>
      </c>
    </row>
    <row r="1898" spans="1:1" x14ac:dyDescent="0.2">
      <c r="A1898" s="253" t="str">
        <f t="shared" si="123"/>
        <v/>
      </c>
    </row>
    <row r="1899" spans="1:1" x14ac:dyDescent="0.2">
      <c r="A1899" s="253" t="str">
        <f t="shared" si="123"/>
        <v/>
      </c>
    </row>
    <row r="1900" spans="1:1" x14ac:dyDescent="0.2">
      <c r="A1900" s="253" t="str">
        <f t="shared" si="123"/>
        <v/>
      </c>
    </row>
    <row r="1901" spans="1:1" x14ac:dyDescent="0.2">
      <c r="A1901" s="253" t="str">
        <f t="shared" si="123"/>
        <v/>
      </c>
    </row>
    <row r="1902" spans="1:1" x14ac:dyDescent="0.2">
      <c r="A1902" s="253" t="str">
        <f t="shared" si="123"/>
        <v/>
      </c>
    </row>
    <row r="1903" spans="1:1" x14ac:dyDescent="0.2">
      <c r="A1903" s="253" t="str">
        <f t="shared" si="123"/>
        <v/>
      </c>
    </row>
    <row r="1904" spans="1:1" x14ac:dyDescent="0.2">
      <c r="A1904" s="253" t="str">
        <f t="shared" si="123"/>
        <v/>
      </c>
    </row>
    <row r="1905" spans="1:1" x14ac:dyDescent="0.2">
      <c r="A1905" s="253" t="str">
        <f t="shared" si="123"/>
        <v/>
      </c>
    </row>
    <row r="1906" spans="1:1" x14ac:dyDescent="0.2">
      <c r="A1906" s="253" t="str">
        <f t="shared" si="123"/>
        <v/>
      </c>
    </row>
    <row r="1907" spans="1:1" x14ac:dyDescent="0.2">
      <c r="A1907" s="253" t="str">
        <f t="shared" ref="A1907:A1970" si="124">B1907&amp;C1907&amp;F1907&amp;G1907&amp;I1907&amp;J1907</f>
        <v/>
      </c>
    </row>
    <row r="1908" spans="1:1" x14ac:dyDescent="0.2">
      <c r="A1908" s="253" t="str">
        <f t="shared" si="124"/>
        <v/>
      </c>
    </row>
    <row r="1909" spans="1:1" x14ac:dyDescent="0.2">
      <c r="A1909" s="253" t="str">
        <f t="shared" si="124"/>
        <v/>
      </c>
    </row>
    <row r="1910" spans="1:1" x14ac:dyDescent="0.2">
      <c r="A1910" s="253" t="str">
        <f t="shared" si="124"/>
        <v/>
      </c>
    </row>
    <row r="1911" spans="1:1" x14ac:dyDescent="0.2">
      <c r="A1911" s="253" t="str">
        <f t="shared" si="124"/>
        <v/>
      </c>
    </row>
    <row r="1912" spans="1:1" x14ac:dyDescent="0.2">
      <c r="A1912" s="253" t="str">
        <f t="shared" si="124"/>
        <v/>
      </c>
    </row>
    <row r="1913" spans="1:1" x14ac:dyDescent="0.2">
      <c r="A1913" s="253" t="str">
        <f t="shared" si="124"/>
        <v/>
      </c>
    </row>
    <row r="1914" spans="1:1" x14ac:dyDescent="0.2">
      <c r="A1914" s="253" t="str">
        <f t="shared" si="124"/>
        <v/>
      </c>
    </row>
    <row r="1915" spans="1:1" x14ac:dyDescent="0.2">
      <c r="A1915" s="253" t="str">
        <f t="shared" si="124"/>
        <v/>
      </c>
    </row>
    <row r="1916" spans="1:1" x14ac:dyDescent="0.2">
      <c r="A1916" s="253" t="str">
        <f t="shared" si="124"/>
        <v/>
      </c>
    </row>
    <row r="1917" spans="1:1" x14ac:dyDescent="0.2">
      <c r="A1917" s="253" t="str">
        <f t="shared" si="124"/>
        <v/>
      </c>
    </row>
    <row r="1918" spans="1:1" x14ac:dyDescent="0.2">
      <c r="A1918" s="253" t="str">
        <f t="shared" si="124"/>
        <v/>
      </c>
    </row>
    <row r="1919" spans="1:1" x14ac:dyDescent="0.2">
      <c r="A1919" s="253" t="str">
        <f t="shared" si="124"/>
        <v/>
      </c>
    </row>
    <row r="1920" spans="1:1" x14ac:dyDescent="0.2">
      <c r="A1920" s="253" t="str">
        <f t="shared" si="124"/>
        <v/>
      </c>
    </row>
    <row r="1921" spans="1:1" x14ac:dyDescent="0.2">
      <c r="A1921" s="253" t="str">
        <f t="shared" si="124"/>
        <v/>
      </c>
    </row>
    <row r="1922" spans="1:1" x14ac:dyDescent="0.2">
      <c r="A1922" s="253" t="str">
        <f t="shared" si="124"/>
        <v/>
      </c>
    </row>
    <row r="1923" spans="1:1" x14ac:dyDescent="0.2">
      <c r="A1923" s="253" t="str">
        <f t="shared" si="124"/>
        <v/>
      </c>
    </row>
    <row r="1924" spans="1:1" x14ac:dyDescent="0.2">
      <c r="A1924" s="253" t="str">
        <f t="shared" si="124"/>
        <v/>
      </c>
    </row>
    <row r="1925" spans="1:1" x14ac:dyDescent="0.2">
      <c r="A1925" s="253" t="str">
        <f t="shared" si="124"/>
        <v/>
      </c>
    </row>
    <row r="1926" spans="1:1" x14ac:dyDescent="0.2">
      <c r="A1926" s="253" t="str">
        <f t="shared" si="124"/>
        <v/>
      </c>
    </row>
    <row r="1927" spans="1:1" x14ac:dyDescent="0.2">
      <c r="A1927" s="253" t="str">
        <f t="shared" si="124"/>
        <v/>
      </c>
    </row>
    <row r="1928" spans="1:1" x14ac:dyDescent="0.2">
      <c r="A1928" s="253" t="str">
        <f t="shared" si="124"/>
        <v/>
      </c>
    </row>
    <row r="1929" spans="1:1" x14ac:dyDescent="0.2">
      <c r="A1929" s="253" t="str">
        <f t="shared" si="124"/>
        <v/>
      </c>
    </row>
    <row r="1930" spans="1:1" x14ac:dyDescent="0.2">
      <c r="A1930" s="253" t="str">
        <f t="shared" si="124"/>
        <v/>
      </c>
    </row>
    <row r="1931" spans="1:1" x14ac:dyDescent="0.2">
      <c r="A1931" s="253" t="str">
        <f t="shared" si="124"/>
        <v/>
      </c>
    </row>
    <row r="1932" spans="1:1" x14ac:dyDescent="0.2">
      <c r="A1932" s="253" t="str">
        <f t="shared" si="124"/>
        <v/>
      </c>
    </row>
    <row r="1933" spans="1:1" x14ac:dyDescent="0.2">
      <c r="A1933" s="253" t="str">
        <f t="shared" si="124"/>
        <v/>
      </c>
    </row>
    <row r="1934" spans="1:1" x14ac:dyDescent="0.2">
      <c r="A1934" s="253" t="str">
        <f t="shared" si="124"/>
        <v/>
      </c>
    </row>
    <row r="1935" spans="1:1" x14ac:dyDescent="0.2">
      <c r="A1935" s="253" t="str">
        <f t="shared" si="124"/>
        <v/>
      </c>
    </row>
    <row r="1936" spans="1:1" x14ac:dyDescent="0.2">
      <c r="A1936" s="253" t="str">
        <f t="shared" si="124"/>
        <v/>
      </c>
    </row>
    <row r="1937" spans="1:1" x14ac:dyDescent="0.2">
      <c r="A1937" s="253" t="str">
        <f t="shared" si="124"/>
        <v/>
      </c>
    </row>
    <row r="1938" spans="1:1" x14ac:dyDescent="0.2">
      <c r="A1938" s="253" t="str">
        <f t="shared" si="124"/>
        <v/>
      </c>
    </row>
    <row r="1939" spans="1:1" x14ac:dyDescent="0.2">
      <c r="A1939" s="253" t="str">
        <f t="shared" si="124"/>
        <v/>
      </c>
    </row>
    <row r="1940" spans="1:1" x14ac:dyDescent="0.2">
      <c r="A1940" s="253" t="str">
        <f t="shared" si="124"/>
        <v/>
      </c>
    </row>
    <row r="1941" spans="1:1" x14ac:dyDescent="0.2">
      <c r="A1941" s="253" t="str">
        <f t="shared" si="124"/>
        <v/>
      </c>
    </row>
    <row r="1942" spans="1:1" x14ac:dyDescent="0.2">
      <c r="A1942" s="253" t="str">
        <f t="shared" si="124"/>
        <v/>
      </c>
    </row>
    <row r="1943" spans="1:1" x14ac:dyDescent="0.2">
      <c r="A1943" s="253" t="str">
        <f t="shared" si="124"/>
        <v/>
      </c>
    </row>
    <row r="1944" spans="1:1" x14ac:dyDescent="0.2">
      <c r="A1944" s="253" t="str">
        <f t="shared" si="124"/>
        <v/>
      </c>
    </row>
    <row r="1945" spans="1:1" x14ac:dyDescent="0.2">
      <c r="A1945" s="253" t="str">
        <f t="shared" si="124"/>
        <v/>
      </c>
    </row>
    <row r="1946" spans="1:1" x14ac:dyDescent="0.2">
      <c r="A1946" s="253" t="str">
        <f t="shared" si="124"/>
        <v/>
      </c>
    </row>
    <row r="1947" spans="1:1" x14ac:dyDescent="0.2">
      <c r="A1947" s="253" t="str">
        <f t="shared" si="124"/>
        <v/>
      </c>
    </row>
    <row r="1948" spans="1:1" x14ac:dyDescent="0.2">
      <c r="A1948" s="253" t="str">
        <f t="shared" si="124"/>
        <v/>
      </c>
    </row>
    <row r="1949" spans="1:1" x14ac:dyDescent="0.2">
      <c r="A1949" s="253" t="str">
        <f t="shared" si="124"/>
        <v/>
      </c>
    </row>
    <row r="1950" spans="1:1" x14ac:dyDescent="0.2">
      <c r="A1950" s="253" t="str">
        <f t="shared" si="124"/>
        <v/>
      </c>
    </row>
    <row r="1951" spans="1:1" x14ac:dyDescent="0.2">
      <c r="A1951" s="253" t="str">
        <f t="shared" si="124"/>
        <v/>
      </c>
    </row>
    <row r="1952" spans="1:1" x14ac:dyDescent="0.2">
      <c r="A1952" s="253" t="str">
        <f t="shared" si="124"/>
        <v/>
      </c>
    </row>
    <row r="1953" spans="1:1" x14ac:dyDescent="0.2">
      <c r="A1953" s="253" t="str">
        <f t="shared" si="124"/>
        <v/>
      </c>
    </row>
    <row r="1954" spans="1:1" x14ac:dyDescent="0.2">
      <c r="A1954" s="253" t="str">
        <f t="shared" si="124"/>
        <v/>
      </c>
    </row>
    <row r="1955" spans="1:1" x14ac:dyDescent="0.2">
      <c r="A1955" s="253" t="str">
        <f t="shared" si="124"/>
        <v/>
      </c>
    </row>
    <row r="1956" spans="1:1" x14ac:dyDescent="0.2">
      <c r="A1956" s="253" t="str">
        <f t="shared" si="124"/>
        <v/>
      </c>
    </row>
    <row r="1957" spans="1:1" x14ac:dyDescent="0.2">
      <c r="A1957" s="253" t="str">
        <f t="shared" si="124"/>
        <v/>
      </c>
    </row>
    <row r="1958" spans="1:1" x14ac:dyDescent="0.2">
      <c r="A1958" s="253" t="str">
        <f t="shared" si="124"/>
        <v/>
      </c>
    </row>
    <row r="1959" spans="1:1" x14ac:dyDescent="0.2">
      <c r="A1959" s="253" t="str">
        <f t="shared" si="124"/>
        <v/>
      </c>
    </row>
    <row r="1960" spans="1:1" x14ac:dyDescent="0.2">
      <c r="A1960" s="253" t="str">
        <f t="shared" si="124"/>
        <v/>
      </c>
    </row>
    <row r="1961" spans="1:1" x14ac:dyDescent="0.2">
      <c r="A1961" s="253" t="str">
        <f t="shared" si="124"/>
        <v/>
      </c>
    </row>
    <row r="1962" spans="1:1" x14ac:dyDescent="0.2">
      <c r="A1962" s="253" t="str">
        <f t="shared" si="124"/>
        <v/>
      </c>
    </row>
    <row r="1963" spans="1:1" x14ac:dyDescent="0.2">
      <c r="A1963" s="253" t="str">
        <f t="shared" si="124"/>
        <v/>
      </c>
    </row>
    <row r="1964" spans="1:1" x14ac:dyDescent="0.2">
      <c r="A1964" s="253" t="str">
        <f t="shared" si="124"/>
        <v/>
      </c>
    </row>
    <row r="1965" spans="1:1" x14ac:dyDescent="0.2">
      <c r="A1965" s="253" t="str">
        <f t="shared" si="124"/>
        <v/>
      </c>
    </row>
    <row r="1966" spans="1:1" x14ac:dyDescent="0.2">
      <c r="A1966" s="253" t="str">
        <f t="shared" si="124"/>
        <v/>
      </c>
    </row>
    <row r="1967" spans="1:1" x14ac:dyDescent="0.2">
      <c r="A1967" s="253" t="str">
        <f t="shared" si="124"/>
        <v/>
      </c>
    </row>
    <row r="1968" spans="1:1" x14ac:dyDescent="0.2">
      <c r="A1968" s="253" t="str">
        <f t="shared" si="124"/>
        <v/>
      </c>
    </row>
    <row r="1969" spans="1:1" x14ac:dyDescent="0.2">
      <c r="A1969" s="253" t="str">
        <f t="shared" si="124"/>
        <v/>
      </c>
    </row>
    <row r="1970" spans="1:1" x14ac:dyDescent="0.2">
      <c r="A1970" s="253" t="str">
        <f t="shared" si="124"/>
        <v/>
      </c>
    </row>
    <row r="1971" spans="1:1" x14ac:dyDescent="0.2">
      <c r="A1971" s="253" t="str">
        <f t="shared" ref="A1971:A2034" si="125">B1971&amp;C1971&amp;F1971&amp;G1971&amp;I1971&amp;J1971</f>
        <v/>
      </c>
    </row>
    <row r="1972" spans="1:1" x14ac:dyDescent="0.2">
      <c r="A1972" s="253" t="str">
        <f t="shared" si="125"/>
        <v/>
      </c>
    </row>
    <row r="1973" spans="1:1" x14ac:dyDescent="0.2">
      <c r="A1973" s="253" t="str">
        <f t="shared" si="125"/>
        <v/>
      </c>
    </row>
    <row r="1974" spans="1:1" x14ac:dyDescent="0.2">
      <c r="A1974" s="253" t="str">
        <f t="shared" si="125"/>
        <v/>
      </c>
    </row>
    <row r="1975" spans="1:1" x14ac:dyDescent="0.2">
      <c r="A1975" s="253" t="str">
        <f t="shared" si="125"/>
        <v/>
      </c>
    </row>
    <row r="1976" spans="1:1" x14ac:dyDescent="0.2">
      <c r="A1976" s="253" t="str">
        <f t="shared" si="125"/>
        <v/>
      </c>
    </row>
    <row r="1977" spans="1:1" x14ac:dyDescent="0.2">
      <c r="A1977" s="253" t="str">
        <f t="shared" si="125"/>
        <v/>
      </c>
    </row>
    <row r="1978" spans="1:1" x14ac:dyDescent="0.2">
      <c r="A1978" s="253" t="str">
        <f t="shared" si="125"/>
        <v/>
      </c>
    </row>
    <row r="1979" spans="1:1" x14ac:dyDescent="0.2">
      <c r="A1979" s="253" t="str">
        <f t="shared" si="125"/>
        <v/>
      </c>
    </row>
    <row r="1980" spans="1:1" x14ac:dyDescent="0.2">
      <c r="A1980" s="253" t="str">
        <f t="shared" si="125"/>
        <v/>
      </c>
    </row>
    <row r="1981" spans="1:1" x14ac:dyDescent="0.2">
      <c r="A1981" s="253" t="str">
        <f t="shared" si="125"/>
        <v/>
      </c>
    </row>
    <row r="1982" spans="1:1" x14ac:dyDescent="0.2">
      <c r="A1982" s="253" t="str">
        <f t="shared" si="125"/>
        <v/>
      </c>
    </row>
    <row r="1983" spans="1:1" x14ac:dyDescent="0.2">
      <c r="A1983" s="253" t="str">
        <f t="shared" si="125"/>
        <v/>
      </c>
    </row>
    <row r="1984" spans="1:1" x14ac:dyDescent="0.2">
      <c r="A1984" s="253" t="str">
        <f t="shared" si="125"/>
        <v/>
      </c>
    </row>
    <row r="1985" spans="1:1" x14ac:dyDescent="0.2">
      <c r="A1985" s="253" t="str">
        <f t="shared" si="125"/>
        <v/>
      </c>
    </row>
    <row r="1986" spans="1:1" x14ac:dyDescent="0.2">
      <c r="A1986" s="253" t="str">
        <f t="shared" si="125"/>
        <v/>
      </c>
    </row>
    <row r="1987" spans="1:1" x14ac:dyDescent="0.2">
      <c r="A1987" s="253" t="str">
        <f t="shared" si="125"/>
        <v/>
      </c>
    </row>
    <row r="1988" spans="1:1" x14ac:dyDescent="0.2">
      <c r="A1988" s="253" t="str">
        <f t="shared" si="125"/>
        <v/>
      </c>
    </row>
    <row r="1989" spans="1:1" x14ac:dyDescent="0.2">
      <c r="A1989" s="253" t="str">
        <f t="shared" si="125"/>
        <v/>
      </c>
    </row>
    <row r="1990" spans="1:1" x14ac:dyDescent="0.2">
      <c r="A1990" s="253" t="str">
        <f t="shared" si="125"/>
        <v/>
      </c>
    </row>
    <row r="1991" spans="1:1" x14ac:dyDescent="0.2">
      <c r="A1991" s="253" t="str">
        <f t="shared" si="125"/>
        <v/>
      </c>
    </row>
    <row r="1992" spans="1:1" x14ac:dyDescent="0.2">
      <c r="A1992" s="253" t="str">
        <f t="shared" si="125"/>
        <v/>
      </c>
    </row>
    <row r="1993" spans="1:1" x14ac:dyDescent="0.2">
      <c r="A1993" s="253" t="str">
        <f t="shared" si="125"/>
        <v/>
      </c>
    </row>
    <row r="1994" spans="1:1" x14ac:dyDescent="0.2">
      <c r="A1994" s="253" t="str">
        <f t="shared" si="125"/>
        <v/>
      </c>
    </row>
    <row r="1995" spans="1:1" x14ac:dyDescent="0.2">
      <c r="A1995" s="253" t="str">
        <f t="shared" si="125"/>
        <v/>
      </c>
    </row>
    <row r="1996" spans="1:1" x14ac:dyDescent="0.2">
      <c r="A1996" s="253" t="str">
        <f t="shared" si="125"/>
        <v/>
      </c>
    </row>
    <row r="1997" spans="1:1" x14ac:dyDescent="0.2">
      <c r="A1997" s="253" t="str">
        <f t="shared" si="125"/>
        <v/>
      </c>
    </row>
    <row r="1998" spans="1:1" x14ac:dyDescent="0.2">
      <c r="A1998" s="253" t="str">
        <f t="shared" si="125"/>
        <v/>
      </c>
    </row>
    <row r="1999" spans="1:1" x14ac:dyDescent="0.2">
      <c r="A1999" s="253" t="str">
        <f t="shared" si="125"/>
        <v/>
      </c>
    </row>
    <row r="2000" spans="1:1" x14ac:dyDescent="0.2">
      <c r="A2000" s="253" t="str">
        <f t="shared" si="125"/>
        <v/>
      </c>
    </row>
    <row r="2001" spans="1:1" x14ac:dyDescent="0.2">
      <c r="A2001" s="253" t="str">
        <f t="shared" si="125"/>
        <v/>
      </c>
    </row>
    <row r="2002" spans="1:1" x14ac:dyDescent="0.2">
      <c r="A2002" s="253" t="str">
        <f t="shared" si="125"/>
        <v/>
      </c>
    </row>
    <row r="2003" spans="1:1" x14ac:dyDescent="0.2">
      <c r="A2003" s="253" t="str">
        <f t="shared" si="125"/>
        <v/>
      </c>
    </row>
    <row r="2004" spans="1:1" x14ac:dyDescent="0.2">
      <c r="A2004" s="253" t="str">
        <f t="shared" si="125"/>
        <v/>
      </c>
    </row>
    <row r="2005" spans="1:1" x14ac:dyDescent="0.2">
      <c r="A2005" s="253" t="str">
        <f t="shared" si="125"/>
        <v/>
      </c>
    </row>
    <row r="2006" spans="1:1" x14ac:dyDescent="0.2">
      <c r="A2006" s="253" t="str">
        <f t="shared" si="125"/>
        <v/>
      </c>
    </row>
    <row r="2007" spans="1:1" x14ac:dyDescent="0.2">
      <c r="A2007" s="253" t="str">
        <f t="shared" si="125"/>
        <v/>
      </c>
    </row>
    <row r="2008" spans="1:1" x14ac:dyDescent="0.2">
      <c r="A2008" s="253" t="str">
        <f t="shared" si="125"/>
        <v/>
      </c>
    </row>
    <row r="2009" spans="1:1" x14ac:dyDescent="0.2">
      <c r="A2009" s="253" t="str">
        <f t="shared" si="125"/>
        <v/>
      </c>
    </row>
    <row r="2010" spans="1:1" x14ac:dyDescent="0.2">
      <c r="A2010" s="253" t="str">
        <f t="shared" si="125"/>
        <v/>
      </c>
    </row>
    <row r="2011" spans="1:1" x14ac:dyDescent="0.2">
      <c r="A2011" s="253" t="str">
        <f t="shared" si="125"/>
        <v/>
      </c>
    </row>
    <row r="2012" spans="1:1" x14ac:dyDescent="0.2">
      <c r="A2012" s="253" t="str">
        <f t="shared" si="125"/>
        <v/>
      </c>
    </row>
    <row r="2013" spans="1:1" x14ac:dyDescent="0.2">
      <c r="A2013" s="253" t="str">
        <f t="shared" si="125"/>
        <v/>
      </c>
    </row>
    <row r="2014" spans="1:1" x14ac:dyDescent="0.2">
      <c r="A2014" s="253" t="str">
        <f t="shared" si="125"/>
        <v/>
      </c>
    </row>
    <row r="2015" spans="1:1" x14ac:dyDescent="0.2">
      <c r="A2015" s="253" t="str">
        <f t="shared" si="125"/>
        <v/>
      </c>
    </row>
    <row r="2016" spans="1:1" x14ac:dyDescent="0.2">
      <c r="A2016" s="253" t="str">
        <f t="shared" si="125"/>
        <v/>
      </c>
    </row>
    <row r="2017" spans="1:1" x14ac:dyDescent="0.2">
      <c r="A2017" s="253" t="str">
        <f t="shared" si="125"/>
        <v/>
      </c>
    </row>
    <row r="2018" spans="1:1" x14ac:dyDescent="0.2">
      <c r="A2018" s="253" t="str">
        <f t="shared" si="125"/>
        <v/>
      </c>
    </row>
    <row r="2019" spans="1:1" x14ac:dyDescent="0.2">
      <c r="A2019" s="253" t="str">
        <f t="shared" si="125"/>
        <v/>
      </c>
    </row>
    <row r="2020" spans="1:1" x14ac:dyDescent="0.2">
      <c r="A2020" s="253" t="str">
        <f t="shared" si="125"/>
        <v/>
      </c>
    </row>
    <row r="2021" spans="1:1" x14ac:dyDescent="0.2">
      <c r="A2021" s="253" t="str">
        <f t="shared" si="125"/>
        <v/>
      </c>
    </row>
    <row r="2022" spans="1:1" x14ac:dyDescent="0.2">
      <c r="A2022" s="253" t="str">
        <f t="shared" si="125"/>
        <v/>
      </c>
    </row>
    <row r="2023" spans="1:1" x14ac:dyDescent="0.2">
      <c r="A2023" s="253" t="str">
        <f t="shared" si="125"/>
        <v/>
      </c>
    </row>
    <row r="2024" spans="1:1" x14ac:dyDescent="0.2">
      <c r="A2024" s="253" t="str">
        <f t="shared" si="125"/>
        <v/>
      </c>
    </row>
    <row r="2025" spans="1:1" x14ac:dyDescent="0.2">
      <c r="A2025" s="253" t="str">
        <f t="shared" si="125"/>
        <v/>
      </c>
    </row>
    <row r="2026" spans="1:1" x14ac:dyDescent="0.2">
      <c r="A2026" s="253" t="str">
        <f t="shared" si="125"/>
        <v/>
      </c>
    </row>
    <row r="2027" spans="1:1" x14ac:dyDescent="0.2">
      <c r="A2027" s="253" t="str">
        <f t="shared" si="125"/>
        <v/>
      </c>
    </row>
    <row r="2028" spans="1:1" x14ac:dyDescent="0.2">
      <c r="A2028" s="253" t="str">
        <f t="shared" si="125"/>
        <v/>
      </c>
    </row>
    <row r="2029" spans="1:1" x14ac:dyDescent="0.2">
      <c r="A2029" s="253" t="str">
        <f t="shared" si="125"/>
        <v/>
      </c>
    </row>
    <row r="2030" spans="1:1" x14ac:dyDescent="0.2">
      <c r="A2030" s="253" t="str">
        <f t="shared" si="125"/>
        <v/>
      </c>
    </row>
    <row r="2031" spans="1:1" x14ac:dyDescent="0.2">
      <c r="A2031" s="253" t="str">
        <f t="shared" si="125"/>
        <v/>
      </c>
    </row>
    <row r="2032" spans="1:1" x14ac:dyDescent="0.2">
      <c r="A2032" s="253" t="str">
        <f t="shared" si="125"/>
        <v/>
      </c>
    </row>
    <row r="2033" spans="1:1" x14ac:dyDescent="0.2">
      <c r="A2033" s="253" t="str">
        <f t="shared" si="125"/>
        <v/>
      </c>
    </row>
    <row r="2034" spans="1:1" x14ac:dyDescent="0.2">
      <c r="A2034" s="253" t="str">
        <f t="shared" si="125"/>
        <v/>
      </c>
    </row>
    <row r="2035" spans="1:1" x14ac:dyDescent="0.2">
      <c r="A2035" s="253" t="str">
        <f t="shared" ref="A2035:A2093" si="126">B2035&amp;C2035&amp;F2035&amp;G2035&amp;I2035&amp;J2035</f>
        <v/>
      </c>
    </row>
    <row r="2036" spans="1:1" x14ac:dyDescent="0.2">
      <c r="A2036" s="253" t="str">
        <f t="shared" si="126"/>
        <v/>
      </c>
    </row>
    <row r="2037" spans="1:1" x14ac:dyDescent="0.2">
      <c r="A2037" s="253" t="str">
        <f t="shared" si="126"/>
        <v/>
      </c>
    </row>
    <row r="2038" spans="1:1" x14ac:dyDescent="0.2">
      <c r="A2038" s="253" t="str">
        <f t="shared" si="126"/>
        <v/>
      </c>
    </row>
    <row r="2039" spans="1:1" x14ac:dyDescent="0.2">
      <c r="A2039" s="253" t="str">
        <f t="shared" si="126"/>
        <v/>
      </c>
    </row>
    <row r="2040" spans="1:1" x14ac:dyDescent="0.2">
      <c r="A2040" s="253" t="str">
        <f t="shared" si="126"/>
        <v/>
      </c>
    </row>
    <row r="2041" spans="1:1" x14ac:dyDescent="0.2">
      <c r="A2041" s="253" t="str">
        <f t="shared" si="126"/>
        <v/>
      </c>
    </row>
    <row r="2042" spans="1:1" x14ac:dyDescent="0.2">
      <c r="A2042" s="253" t="str">
        <f t="shared" si="126"/>
        <v/>
      </c>
    </row>
    <row r="2043" spans="1:1" x14ac:dyDescent="0.2">
      <c r="A2043" s="253" t="str">
        <f t="shared" si="126"/>
        <v/>
      </c>
    </row>
    <row r="2044" spans="1:1" x14ac:dyDescent="0.2">
      <c r="A2044" s="253" t="str">
        <f t="shared" si="126"/>
        <v/>
      </c>
    </row>
    <row r="2045" spans="1:1" x14ac:dyDescent="0.2">
      <c r="A2045" s="253" t="str">
        <f t="shared" si="126"/>
        <v/>
      </c>
    </row>
    <row r="2046" spans="1:1" x14ac:dyDescent="0.2">
      <c r="A2046" s="253" t="str">
        <f t="shared" si="126"/>
        <v/>
      </c>
    </row>
    <row r="2047" spans="1:1" x14ac:dyDescent="0.2">
      <c r="A2047" s="253" t="str">
        <f t="shared" si="126"/>
        <v/>
      </c>
    </row>
    <row r="2048" spans="1:1" x14ac:dyDescent="0.2">
      <c r="A2048" s="253" t="str">
        <f t="shared" si="126"/>
        <v/>
      </c>
    </row>
    <row r="2049" spans="1:1" x14ac:dyDescent="0.2">
      <c r="A2049" s="253" t="str">
        <f t="shared" si="126"/>
        <v/>
      </c>
    </row>
    <row r="2050" spans="1:1" x14ac:dyDescent="0.2">
      <c r="A2050" s="253" t="str">
        <f t="shared" si="126"/>
        <v/>
      </c>
    </row>
    <row r="2051" spans="1:1" x14ac:dyDescent="0.2">
      <c r="A2051" s="253" t="str">
        <f t="shared" si="126"/>
        <v/>
      </c>
    </row>
    <row r="2052" spans="1:1" x14ac:dyDescent="0.2">
      <c r="A2052" s="253" t="str">
        <f t="shared" si="126"/>
        <v/>
      </c>
    </row>
    <row r="2053" spans="1:1" x14ac:dyDescent="0.2">
      <c r="A2053" s="253" t="str">
        <f t="shared" si="126"/>
        <v/>
      </c>
    </row>
    <row r="2054" spans="1:1" x14ac:dyDescent="0.2">
      <c r="A2054" s="253" t="str">
        <f t="shared" si="126"/>
        <v/>
      </c>
    </row>
    <row r="2055" spans="1:1" x14ac:dyDescent="0.2">
      <c r="A2055" s="253" t="str">
        <f t="shared" si="126"/>
        <v/>
      </c>
    </row>
    <row r="2056" spans="1:1" x14ac:dyDescent="0.2">
      <c r="A2056" s="253" t="str">
        <f t="shared" si="126"/>
        <v/>
      </c>
    </row>
    <row r="2057" spans="1:1" x14ac:dyDescent="0.2">
      <c r="A2057" s="253" t="str">
        <f t="shared" si="126"/>
        <v/>
      </c>
    </row>
    <row r="2058" spans="1:1" x14ac:dyDescent="0.2">
      <c r="A2058" s="253" t="str">
        <f t="shared" si="126"/>
        <v/>
      </c>
    </row>
    <row r="2059" spans="1:1" x14ac:dyDescent="0.2">
      <c r="A2059" s="253" t="str">
        <f t="shared" si="126"/>
        <v/>
      </c>
    </row>
    <row r="2060" spans="1:1" x14ac:dyDescent="0.2">
      <c r="A2060" s="253" t="str">
        <f t="shared" si="126"/>
        <v/>
      </c>
    </row>
    <row r="2061" spans="1:1" x14ac:dyDescent="0.2">
      <c r="A2061" s="253" t="str">
        <f t="shared" si="126"/>
        <v/>
      </c>
    </row>
    <row r="2062" spans="1:1" x14ac:dyDescent="0.2">
      <c r="A2062" s="253" t="str">
        <f t="shared" si="126"/>
        <v/>
      </c>
    </row>
    <row r="2063" spans="1:1" x14ac:dyDescent="0.2">
      <c r="A2063" s="253" t="str">
        <f t="shared" si="126"/>
        <v/>
      </c>
    </row>
    <row r="2064" spans="1:1" x14ac:dyDescent="0.2">
      <c r="A2064" s="253" t="str">
        <f t="shared" si="126"/>
        <v/>
      </c>
    </row>
    <row r="2065" spans="1:1" x14ac:dyDescent="0.2">
      <c r="A2065" s="253" t="str">
        <f t="shared" si="126"/>
        <v/>
      </c>
    </row>
    <row r="2066" spans="1:1" x14ac:dyDescent="0.2">
      <c r="A2066" s="253" t="str">
        <f t="shared" si="126"/>
        <v/>
      </c>
    </row>
    <row r="2067" spans="1:1" x14ac:dyDescent="0.2">
      <c r="A2067" s="253" t="str">
        <f t="shared" si="126"/>
        <v/>
      </c>
    </row>
    <row r="2068" spans="1:1" x14ac:dyDescent="0.2">
      <c r="A2068" s="253" t="str">
        <f t="shared" si="126"/>
        <v/>
      </c>
    </row>
    <row r="2069" spans="1:1" x14ac:dyDescent="0.2">
      <c r="A2069" s="253" t="str">
        <f t="shared" si="126"/>
        <v/>
      </c>
    </row>
    <row r="2070" spans="1:1" x14ac:dyDescent="0.2">
      <c r="A2070" s="253" t="str">
        <f t="shared" si="126"/>
        <v/>
      </c>
    </row>
    <row r="2071" spans="1:1" x14ac:dyDescent="0.2">
      <c r="A2071" s="253" t="str">
        <f t="shared" si="126"/>
        <v/>
      </c>
    </row>
    <row r="2072" spans="1:1" x14ac:dyDescent="0.2">
      <c r="A2072" s="253" t="str">
        <f t="shared" si="126"/>
        <v/>
      </c>
    </row>
    <row r="2073" spans="1:1" x14ac:dyDescent="0.2">
      <c r="A2073" s="253" t="str">
        <f t="shared" si="126"/>
        <v/>
      </c>
    </row>
    <row r="2074" spans="1:1" x14ac:dyDescent="0.2">
      <c r="A2074" s="253" t="str">
        <f t="shared" si="126"/>
        <v/>
      </c>
    </row>
    <row r="2075" spans="1:1" x14ac:dyDescent="0.2">
      <c r="A2075" s="253" t="str">
        <f t="shared" si="126"/>
        <v/>
      </c>
    </row>
    <row r="2076" spans="1:1" x14ac:dyDescent="0.2">
      <c r="A2076" s="253" t="str">
        <f t="shared" si="126"/>
        <v/>
      </c>
    </row>
    <row r="2077" spans="1:1" x14ac:dyDescent="0.2">
      <c r="A2077" s="253" t="str">
        <f t="shared" si="126"/>
        <v/>
      </c>
    </row>
    <row r="2078" spans="1:1" x14ac:dyDescent="0.2">
      <c r="A2078" s="253" t="str">
        <f t="shared" si="126"/>
        <v/>
      </c>
    </row>
    <row r="2079" spans="1:1" x14ac:dyDescent="0.2">
      <c r="A2079" s="253" t="str">
        <f t="shared" si="126"/>
        <v/>
      </c>
    </row>
    <row r="2080" spans="1:1" x14ac:dyDescent="0.2">
      <c r="A2080" s="253" t="str">
        <f t="shared" si="126"/>
        <v/>
      </c>
    </row>
    <row r="2081" spans="1:1" x14ac:dyDescent="0.2">
      <c r="A2081" s="253" t="str">
        <f t="shared" si="126"/>
        <v/>
      </c>
    </row>
    <row r="2082" spans="1:1" x14ac:dyDescent="0.2">
      <c r="A2082" s="253" t="str">
        <f t="shared" si="126"/>
        <v/>
      </c>
    </row>
    <row r="2083" spans="1:1" x14ac:dyDescent="0.2">
      <c r="A2083" s="253" t="str">
        <f t="shared" si="126"/>
        <v/>
      </c>
    </row>
    <row r="2084" spans="1:1" x14ac:dyDescent="0.2">
      <c r="A2084" s="253" t="str">
        <f t="shared" si="126"/>
        <v/>
      </c>
    </row>
    <row r="2085" spans="1:1" x14ac:dyDescent="0.2">
      <c r="A2085" s="253" t="str">
        <f t="shared" si="126"/>
        <v/>
      </c>
    </row>
    <row r="2086" spans="1:1" x14ac:dyDescent="0.2">
      <c r="A2086" s="253" t="str">
        <f t="shared" si="126"/>
        <v/>
      </c>
    </row>
    <row r="2087" spans="1:1" x14ac:dyDescent="0.2">
      <c r="A2087" s="253" t="str">
        <f t="shared" si="126"/>
        <v/>
      </c>
    </row>
    <row r="2088" spans="1:1" x14ac:dyDescent="0.2">
      <c r="A2088" s="253" t="str">
        <f t="shared" si="126"/>
        <v/>
      </c>
    </row>
    <row r="2089" spans="1:1" x14ac:dyDescent="0.2">
      <c r="A2089" s="253" t="str">
        <f t="shared" si="126"/>
        <v/>
      </c>
    </row>
    <row r="2090" spans="1:1" x14ac:dyDescent="0.2">
      <c r="A2090" s="253" t="str">
        <f t="shared" si="126"/>
        <v/>
      </c>
    </row>
    <row r="2091" spans="1:1" x14ac:dyDescent="0.2">
      <c r="A2091" s="253" t="str">
        <f t="shared" si="126"/>
        <v/>
      </c>
    </row>
    <row r="2092" spans="1:1" x14ac:dyDescent="0.2">
      <c r="A2092" s="253" t="str">
        <f t="shared" si="126"/>
        <v/>
      </c>
    </row>
    <row r="2093" spans="1:1" x14ac:dyDescent="0.2">
      <c r="A2093" s="253" t="str">
        <f t="shared" si="126"/>
        <v/>
      </c>
    </row>
    <row r="2188" spans="1:35" s="261" customFormat="1" x14ac:dyDescent="0.2">
      <c r="A2188" s="253" t="str">
        <f t="shared" ref="A2188:A2251" si="127">B2188&amp;C2188&amp;F2188&amp;G2188&amp;I2188&amp;J2188</f>
        <v>SYMDAPR383BQT</v>
      </c>
      <c r="B2188" s="261" t="s">
        <v>19</v>
      </c>
      <c r="C2188" s="261" t="s">
        <v>28</v>
      </c>
      <c r="D2188" s="261" t="s">
        <v>21</v>
      </c>
      <c r="E2188" s="261" t="s">
        <v>719</v>
      </c>
      <c r="F2188" s="261" t="s">
        <v>727</v>
      </c>
      <c r="G2188" s="261">
        <v>38</v>
      </c>
      <c r="I2188" s="261">
        <v>3</v>
      </c>
      <c r="J2188" s="261" t="s">
        <v>728</v>
      </c>
      <c r="K2188" s="262">
        <v>41730</v>
      </c>
      <c r="L2188" s="261">
        <v>37.927999999999997</v>
      </c>
      <c r="M2188" s="261">
        <v>94.8</v>
      </c>
      <c r="N2188" s="261">
        <v>0</v>
      </c>
      <c r="O2188" s="261">
        <v>28.111999999999998</v>
      </c>
      <c r="P2188" s="261">
        <v>0</v>
      </c>
      <c r="Q2188" s="261">
        <v>0</v>
      </c>
      <c r="R2188" s="261">
        <v>0</v>
      </c>
      <c r="S2188" s="261">
        <v>0</v>
      </c>
      <c r="T2188" s="261">
        <v>3.18</v>
      </c>
      <c r="U2188" s="261">
        <v>1.5</v>
      </c>
      <c r="V2188" s="261">
        <v>0.21</v>
      </c>
      <c r="W2188" s="261">
        <v>1.02</v>
      </c>
      <c r="X2188" s="261">
        <v>0</v>
      </c>
      <c r="Y2188" s="261">
        <v>0</v>
      </c>
      <c r="Z2188" s="261">
        <v>2.8420000000000001</v>
      </c>
      <c r="AA2188" s="261">
        <v>1.0640000000000001</v>
      </c>
      <c r="AB2188" s="261">
        <v>0</v>
      </c>
      <c r="AC2188" s="261">
        <v>0</v>
      </c>
      <c r="AD2188" s="261">
        <v>1</v>
      </c>
      <c r="AE2188" s="252">
        <f t="shared" ref="AE2188:AE2251" si="128">SUBTOTAL(9,T2188:W2188)</f>
        <v>5.91</v>
      </c>
      <c r="AF2188" s="261">
        <f>SUM(Z2188:AA2188)</f>
        <v>3.9060000000000001</v>
      </c>
      <c r="AG2188" s="253">
        <f t="shared" ref="AG2188:AG2251" si="129">+L2188-SUM(Z2188:AA2188)</f>
        <v>34.021999999999998</v>
      </c>
      <c r="AH2188" s="253"/>
      <c r="AI2188" s="253">
        <f t="shared" ref="AI2188:AI2251" si="130">+AH2188-AG2188</f>
        <v>-34.021999999999998</v>
      </c>
    </row>
    <row r="2189" spans="1:35" x14ac:dyDescent="0.2">
      <c r="A2189" s="253" t="str">
        <f t="shared" si="127"/>
        <v>SNBKERXP3833175P</v>
      </c>
      <c r="B2189" s="252" t="s">
        <v>19</v>
      </c>
      <c r="C2189" s="252" t="s">
        <v>20</v>
      </c>
      <c r="D2189" s="252" t="s">
        <v>21</v>
      </c>
      <c r="E2189" s="252" t="s">
        <v>719</v>
      </c>
      <c r="F2189" s="252" t="s">
        <v>729</v>
      </c>
      <c r="G2189" s="252">
        <v>38</v>
      </c>
      <c r="I2189" s="252">
        <v>331</v>
      </c>
      <c r="J2189" s="252" t="s">
        <v>730</v>
      </c>
      <c r="K2189" s="258">
        <v>42278</v>
      </c>
      <c r="L2189" s="252">
        <v>30.255839999999999</v>
      </c>
      <c r="M2189" s="252">
        <v>96.65</v>
      </c>
      <c r="N2189" s="252">
        <v>0</v>
      </c>
      <c r="O2189" s="252">
        <v>20.19659</v>
      </c>
      <c r="P2189" s="252">
        <v>0</v>
      </c>
      <c r="Q2189" s="252">
        <v>0</v>
      </c>
      <c r="R2189" s="252">
        <v>0</v>
      </c>
      <c r="S2189" s="252">
        <v>0</v>
      </c>
      <c r="T2189" s="252">
        <v>4.3180199999999997</v>
      </c>
      <c r="U2189" s="252">
        <v>1.2570600000000001</v>
      </c>
      <c r="V2189" s="252">
        <v>0.19700000000000001</v>
      </c>
      <c r="W2189" s="252">
        <v>0.81061000000000005</v>
      </c>
      <c r="X2189" s="252">
        <v>0</v>
      </c>
      <c r="Y2189" s="252">
        <v>0</v>
      </c>
      <c r="Z2189" s="252">
        <v>2.3259599999999998</v>
      </c>
      <c r="AA2189" s="252">
        <v>1.1506000000000001</v>
      </c>
      <c r="AB2189" s="252">
        <v>0</v>
      </c>
      <c r="AC2189" s="252">
        <v>0</v>
      </c>
      <c r="AD2189" s="252">
        <v>1</v>
      </c>
      <c r="AE2189" s="252">
        <f t="shared" si="128"/>
        <v>6.5826899999999995</v>
      </c>
      <c r="AF2189" s="253">
        <f>SUM(Z2189:AA2189)</f>
        <v>3.4765600000000001</v>
      </c>
      <c r="AG2189" s="253">
        <f t="shared" si="129"/>
        <v>26.77928</v>
      </c>
      <c r="AH2189" s="253"/>
      <c r="AI2189" s="253">
        <f t="shared" si="130"/>
        <v>-26.77928</v>
      </c>
    </row>
    <row r="2190" spans="1:35" x14ac:dyDescent="0.2">
      <c r="A2190" s="253" t="str">
        <f t="shared" si="127"/>
        <v>SNMDAPR383320</v>
      </c>
      <c r="B2190" s="252" t="s">
        <v>19</v>
      </c>
      <c r="C2190" s="252" t="s">
        <v>20</v>
      </c>
      <c r="D2190" s="252" t="s">
        <v>21</v>
      </c>
      <c r="E2190" s="252" t="s">
        <v>719</v>
      </c>
      <c r="F2190" s="252" t="s">
        <v>727</v>
      </c>
      <c r="G2190" s="252">
        <v>38</v>
      </c>
      <c r="I2190" s="252">
        <v>3320</v>
      </c>
      <c r="K2190" s="258">
        <v>42095</v>
      </c>
      <c r="L2190" s="252">
        <v>33.700000000000003</v>
      </c>
      <c r="M2190" s="252">
        <v>96.2</v>
      </c>
      <c r="N2190" s="252">
        <v>0</v>
      </c>
      <c r="O2190" s="252">
        <v>26.153849999999998</v>
      </c>
      <c r="P2190" s="252">
        <v>0</v>
      </c>
      <c r="Q2190" s="252">
        <v>0</v>
      </c>
      <c r="R2190" s="252">
        <v>0</v>
      </c>
      <c r="S2190" s="252">
        <v>0</v>
      </c>
      <c r="T2190" s="252">
        <v>2.83908</v>
      </c>
      <c r="U2190" s="252">
        <v>0.68361000000000005</v>
      </c>
      <c r="V2190" s="252">
        <v>0.24909999999999999</v>
      </c>
      <c r="W2190" s="252">
        <v>0.76114000000000004</v>
      </c>
      <c r="X2190" s="252">
        <v>0</v>
      </c>
      <c r="Y2190" s="252">
        <v>0</v>
      </c>
      <c r="Z2190" s="252">
        <v>2.37988</v>
      </c>
      <c r="AA2190" s="252">
        <v>1.18058</v>
      </c>
      <c r="AB2190" s="252">
        <v>0</v>
      </c>
      <c r="AC2190" s="252">
        <v>0</v>
      </c>
      <c r="AD2190" s="252">
        <v>1</v>
      </c>
      <c r="AE2190" s="252">
        <f t="shared" si="128"/>
        <v>4.5329299999999995</v>
      </c>
      <c r="AF2190" s="253">
        <v>3.56046</v>
      </c>
      <c r="AG2190" s="253">
        <f t="shared" si="129"/>
        <v>30.139540000000004</v>
      </c>
      <c r="AH2190" s="253"/>
      <c r="AI2190" s="253">
        <f t="shared" si="130"/>
        <v>-30.139540000000004</v>
      </c>
    </row>
    <row r="2191" spans="1:35" x14ac:dyDescent="0.2">
      <c r="A2191" s="253" t="str">
        <f t="shared" si="127"/>
        <v/>
      </c>
      <c r="AE2191" s="252">
        <f t="shared" si="128"/>
        <v>0</v>
      </c>
      <c r="AG2191" s="253">
        <f t="shared" si="129"/>
        <v>0</v>
      </c>
      <c r="AH2191" s="253"/>
      <c r="AI2191" s="253">
        <f t="shared" si="130"/>
        <v>0</v>
      </c>
    </row>
    <row r="2192" spans="1:35" x14ac:dyDescent="0.2">
      <c r="A2192" s="253" t="str">
        <f t="shared" si="127"/>
        <v/>
      </c>
      <c r="AE2192" s="252">
        <f t="shared" si="128"/>
        <v>0</v>
      </c>
      <c r="AG2192" s="253">
        <f t="shared" si="129"/>
        <v>0</v>
      </c>
      <c r="AH2192" s="253"/>
      <c r="AI2192" s="253">
        <f t="shared" si="130"/>
        <v>0</v>
      </c>
    </row>
    <row r="2193" spans="1:35" x14ac:dyDescent="0.2">
      <c r="A2193" s="253" t="str">
        <f t="shared" si="127"/>
        <v/>
      </c>
      <c r="AE2193" s="252">
        <f t="shared" si="128"/>
        <v>0</v>
      </c>
      <c r="AG2193" s="253">
        <f t="shared" si="129"/>
        <v>0</v>
      </c>
      <c r="AH2193" s="253"/>
      <c r="AI2193" s="253">
        <f t="shared" si="130"/>
        <v>0</v>
      </c>
    </row>
    <row r="2194" spans="1:35" x14ac:dyDescent="0.2">
      <c r="A2194" s="253" t="str">
        <f t="shared" si="127"/>
        <v/>
      </c>
      <c r="AE2194" s="252">
        <f t="shared" si="128"/>
        <v>0</v>
      </c>
      <c r="AG2194" s="253">
        <f t="shared" si="129"/>
        <v>0</v>
      </c>
      <c r="AH2194" s="253"/>
      <c r="AI2194" s="253">
        <f t="shared" si="130"/>
        <v>0</v>
      </c>
    </row>
    <row r="2195" spans="1:35" x14ac:dyDescent="0.2">
      <c r="A2195" s="253" t="str">
        <f t="shared" si="127"/>
        <v/>
      </c>
      <c r="AE2195" s="252">
        <f t="shared" si="128"/>
        <v>0</v>
      </c>
      <c r="AG2195" s="253">
        <f t="shared" si="129"/>
        <v>0</v>
      </c>
      <c r="AH2195" s="253"/>
      <c r="AI2195" s="253">
        <f t="shared" si="130"/>
        <v>0</v>
      </c>
    </row>
    <row r="2196" spans="1:35" x14ac:dyDescent="0.2">
      <c r="A2196" s="253" t="str">
        <f t="shared" si="127"/>
        <v/>
      </c>
      <c r="AE2196" s="252">
        <f t="shared" si="128"/>
        <v>0</v>
      </c>
      <c r="AG2196" s="253">
        <f t="shared" si="129"/>
        <v>0</v>
      </c>
      <c r="AH2196" s="253"/>
      <c r="AI2196" s="253">
        <f t="shared" si="130"/>
        <v>0</v>
      </c>
    </row>
    <row r="2197" spans="1:35" x14ac:dyDescent="0.2">
      <c r="A2197" s="253" t="str">
        <f t="shared" si="127"/>
        <v/>
      </c>
      <c r="AE2197" s="252">
        <f t="shared" si="128"/>
        <v>0</v>
      </c>
      <c r="AG2197" s="253">
        <f t="shared" si="129"/>
        <v>0</v>
      </c>
      <c r="AH2197" s="253"/>
      <c r="AI2197" s="253">
        <f t="shared" si="130"/>
        <v>0</v>
      </c>
    </row>
    <row r="2198" spans="1:35" x14ac:dyDescent="0.2">
      <c r="A2198" s="253" t="str">
        <f t="shared" si="127"/>
        <v/>
      </c>
      <c r="AE2198" s="252">
        <f t="shared" si="128"/>
        <v>0</v>
      </c>
      <c r="AG2198" s="253">
        <f t="shared" si="129"/>
        <v>0</v>
      </c>
      <c r="AH2198" s="253"/>
      <c r="AI2198" s="253">
        <f t="shared" si="130"/>
        <v>0</v>
      </c>
    </row>
    <row r="2199" spans="1:35" x14ac:dyDescent="0.2">
      <c r="A2199" s="253" t="str">
        <f t="shared" si="127"/>
        <v/>
      </c>
      <c r="AE2199" s="252">
        <f t="shared" si="128"/>
        <v>0</v>
      </c>
      <c r="AG2199" s="253">
        <f t="shared" si="129"/>
        <v>0</v>
      </c>
      <c r="AH2199" s="253"/>
      <c r="AI2199" s="253">
        <f t="shared" si="130"/>
        <v>0</v>
      </c>
    </row>
    <row r="2200" spans="1:35" x14ac:dyDescent="0.2">
      <c r="A2200" s="253" t="str">
        <f t="shared" si="127"/>
        <v/>
      </c>
      <c r="AE2200" s="252">
        <f t="shared" si="128"/>
        <v>0</v>
      </c>
      <c r="AG2200" s="253">
        <f t="shared" si="129"/>
        <v>0</v>
      </c>
      <c r="AH2200" s="253"/>
      <c r="AI2200" s="253">
        <f t="shared" si="130"/>
        <v>0</v>
      </c>
    </row>
    <row r="2201" spans="1:35" x14ac:dyDescent="0.2">
      <c r="A2201" s="253" t="str">
        <f t="shared" si="127"/>
        <v/>
      </c>
      <c r="AE2201" s="252">
        <f t="shared" si="128"/>
        <v>0</v>
      </c>
      <c r="AG2201" s="253">
        <f t="shared" si="129"/>
        <v>0</v>
      </c>
      <c r="AH2201" s="253"/>
      <c r="AI2201" s="253">
        <f t="shared" si="130"/>
        <v>0</v>
      </c>
    </row>
    <row r="2202" spans="1:35" x14ac:dyDescent="0.2">
      <c r="A2202" s="253" t="str">
        <f t="shared" si="127"/>
        <v/>
      </c>
      <c r="AE2202" s="252">
        <f t="shared" si="128"/>
        <v>0</v>
      </c>
      <c r="AG2202" s="253">
        <f t="shared" si="129"/>
        <v>0</v>
      </c>
      <c r="AH2202" s="253"/>
      <c r="AI2202" s="253">
        <f t="shared" si="130"/>
        <v>0</v>
      </c>
    </row>
    <row r="2203" spans="1:35" x14ac:dyDescent="0.2">
      <c r="A2203" s="253" t="str">
        <f t="shared" si="127"/>
        <v/>
      </c>
      <c r="AE2203" s="252">
        <f t="shared" si="128"/>
        <v>0</v>
      </c>
      <c r="AG2203" s="253">
        <f t="shared" si="129"/>
        <v>0</v>
      </c>
      <c r="AH2203" s="253"/>
      <c r="AI2203" s="253">
        <f t="shared" si="130"/>
        <v>0</v>
      </c>
    </row>
    <row r="2204" spans="1:35" x14ac:dyDescent="0.2">
      <c r="A2204" s="253" t="str">
        <f t="shared" si="127"/>
        <v/>
      </c>
      <c r="AE2204" s="252">
        <f t="shared" si="128"/>
        <v>0</v>
      </c>
      <c r="AG2204" s="253">
        <f t="shared" si="129"/>
        <v>0</v>
      </c>
      <c r="AH2204" s="253"/>
      <c r="AI2204" s="253">
        <f t="shared" si="130"/>
        <v>0</v>
      </c>
    </row>
    <row r="2205" spans="1:35" x14ac:dyDescent="0.2">
      <c r="A2205" s="253" t="str">
        <f t="shared" si="127"/>
        <v/>
      </c>
      <c r="AE2205" s="252">
        <f t="shared" si="128"/>
        <v>0</v>
      </c>
      <c r="AG2205" s="253">
        <f t="shared" si="129"/>
        <v>0</v>
      </c>
      <c r="AH2205" s="253"/>
      <c r="AI2205" s="253">
        <f t="shared" si="130"/>
        <v>0</v>
      </c>
    </row>
    <row r="2206" spans="1:35" x14ac:dyDescent="0.2">
      <c r="A2206" s="253" t="str">
        <f t="shared" si="127"/>
        <v/>
      </c>
      <c r="AE2206" s="252">
        <f t="shared" si="128"/>
        <v>0</v>
      </c>
      <c r="AG2206" s="253">
        <f t="shared" si="129"/>
        <v>0</v>
      </c>
      <c r="AH2206" s="253"/>
      <c r="AI2206" s="253">
        <f t="shared" si="130"/>
        <v>0</v>
      </c>
    </row>
    <row r="2207" spans="1:35" x14ac:dyDescent="0.2">
      <c r="A2207" s="253" t="str">
        <f t="shared" si="127"/>
        <v/>
      </c>
      <c r="AE2207" s="252">
        <f t="shared" si="128"/>
        <v>0</v>
      </c>
      <c r="AG2207" s="253">
        <f t="shared" si="129"/>
        <v>0</v>
      </c>
      <c r="AH2207" s="253"/>
      <c r="AI2207" s="253">
        <f t="shared" si="130"/>
        <v>0</v>
      </c>
    </row>
    <row r="2208" spans="1:35" x14ac:dyDescent="0.2">
      <c r="A2208" s="253" t="str">
        <f t="shared" si="127"/>
        <v/>
      </c>
      <c r="AE2208" s="252">
        <f t="shared" si="128"/>
        <v>0</v>
      </c>
      <c r="AG2208" s="253">
        <f t="shared" si="129"/>
        <v>0</v>
      </c>
      <c r="AH2208" s="253"/>
      <c r="AI2208" s="253">
        <f t="shared" si="130"/>
        <v>0</v>
      </c>
    </row>
    <row r="2209" spans="1:35" x14ac:dyDescent="0.2">
      <c r="A2209" s="253" t="str">
        <f t="shared" si="127"/>
        <v/>
      </c>
      <c r="AE2209" s="252">
        <f t="shared" si="128"/>
        <v>0</v>
      </c>
      <c r="AG2209" s="253">
        <f t="shared" si="129"/>
        <v>0</v>
      </c>
      <c r="AH2209" s="253"/>
      <c r="AI2209" s="253">
        <f t="shared" si="130"/>
        <v>0</v>
      </c>
    </row>
    <row r="2210" spans="1:35" x14ac:dyDescent="0.2">
      <c r="A2210" s="253" t="str">
        <f t="shared" si="127"/>
        <v/>
      </c>
      <c r="AE2210" s="252">
        <f t="shared" si="128"/>
        <v>0</v>
      </c>
      <c r="AG2210" s="253">
        <f t="shared" si="129"/>
        <v>0</v>
      </c>
      <c r="AH2210" s="253"/>
      <c r="AI2210" s="253">
        <f t="shared" si="130"/>
        <v>0</v>
      </c>
    </row>
    <row r="2211" spans="1:35" x14ac:dyDescent="0.2">
      <c r="A2211" s="253" t="str">
        <f t="shared" si="127"/>
        <v/>
      </c>
      <c r="AE2211" s="252">
        <f t="shared" si="128"/>
        <v>0</v>
      </c>
      <c r="AG2211" s="253">
        <f t="shared" si="129"/>
        <v>0</v>
      </c>
      <c r="AH2211" s="253"/>
      <c r="AI2211" s="253">
        <f t="shared" si="130"/>
        <v>0</v>
      </c>
    </row>
    <row r="2212" spans="1:35" x14ac:dyDescent="0.2">
      <c r="A2212" s="253" t="str">
        <f t="shared" si="127"/>
        <v/>
      </c>
      <c r="AE2212" s="252">
        <f t="shared" si="128"/>
        <v>0</v>
      </c>
      <c r="AG2212" s="253">
        <f t="shared" si="129"/>
        <v>0</v>
      </c>
      <c r="AH2212" s="253"/>
      <c r="AI2212" s="253">
        <f t="shared" si="130"/>
        <v>0</v>
      </c>
    </row>
    <row r="2213" spans="1:35" x14ac:dyDescent="0.2">
      <c r="A2213" s="253" t="str">
        <f t="shared" si="127"/>
        <v/>
      </c>
      <c r="AE2213" s="252">
        <f t="shared" si="128"/>
        <v>0</v>
      </c>
      <c r="AG2213" s="253">
        <f t="shared" si="129"/>
        <v>0</v>
      </c>
      <c r="AH2213" s="253"/>
      <c r="AI2213" s="253">
        <f t="shared" si="130"/>
        <v>0</v>
      </c>
    </row>
    <row r="2214" spans="1:35" x14ac:dyDescent="0.2">
      <c r="A2214" s="253" t="str">
        <f t="shared" si="127"/>
        <v/>
      </c>
      <c r="AE2214" s="252">
        <f t="shared" si="128"/>
        <v>0</v>
      </c>
      <c r="AG2214" s="253">
        <f t="shared" si="129"/>
        <v>0</v>
      </c>
      <c r="AH2214" s="253"/>
      <c r="AI2214" s="253">
        <f t="shared" si="130"/>
        <v>0</v>
      </c>
    </row>
    <row r="2215" spans="1:35" x14ac:dyDescent="0.2">
      <c r="A2215" s="253" t="str">
        <f t="shared" si="127"/>
        <v/>
      </c>
      <c r="AE2215" s="252">
        <f t="shared" si="128"/>
        <v>0</v>
      </c>
      <c r="AG2215" s="253">
        <f t="shared" si="129"/>
        <v>0</v>
      </c>
      <c r="AH2215" s="253"/>
      <c r="AI2215" s="253">
        <f t="shared" si="130"/>
        <v>0</v>
      </c>
    </row>
    <row r="2216" spans="1:35" x14ac:dyDescent="0.2">
      <c r="A2216" s="253" t="str">
        <f t="shared" si="127"/>
        <v/>
      </c>
      <c r="AE2216" s="252">
        <f t="shared" si="128"/>
        <v>0</v>
      </c>
      <c r="AG2216" s="253">
        <f t="shared" si="129"/>
        <v>0</v>
      </c>
      <c r="AH2216" s="253"/>
      <c r="AI2216" s="253">
        <f t="shared" si="130"/>
        <v>0</v>
      </c>
    </row>
    <row r="2217" spans="1:35" x14ac:dyDescent="0.2">
      <c r="A2217" s="253" t="str">
        <f t="shared" si="127"/>
        <v/>
      </c>
      <c r="AE2217" s="252">
        <f t="shared" si="128"/>
        <v>0</v>
      </c>
      <c r="AG2217" s="253">
        <f t="shared" si="129"/>
        <v>0</v>
      </c>
      <c r="AH2217" s="253"/>
      <c r="AI2217" s="253">
        <f t="shared" si="130"/>
        <v>0</v>
      </c>
    </row>
    <row r="2218" spans="1:35" x14ac:dyDescent="0.2">
      <c r="A2218" s="253" t="str">
        <f t="shared" si="127"/>
        <v/>
      </c>
      <c r="AE2218" s="252">
        <f t="shared" si="128"/>
        <v>0</v>
      </c>
      <c r="AG2218" s="253">
        <f t="shared" si="129"/>
        <v>0</v>
      </c>
      <c r="AH2218" s="253"/>
      <c r="AI2218" s="253">
        <f t="shared" si="130"/>
        <v>0</v>
      </c>
    </row>
    <row r="2219" spans="1:35" x14ac:dyDescent="0.2">
      <c r="A2219" s="253" t="str">
        <f t="shared" si="127"/>
        <v/>
      </c>
      <c r="AE2219" s="252">
        <f t="shared" si="128"/>
        <v>0</v>
      </c>
      <c r="AG2219" s="253">
        <f t="shared" si="129"/>
        <v>0</v>
      </c>
      <c r="AH2219" s="253"/>
      <c r="AI2219" s="253">
        <f t="shared" si="130"/>
        <v>0</v>
      </c>
    </row>
    <row r="2220" spans="1:35" x14ac:dyDescent="0.2">
      <c r="A2220" s="253" t="str">
        <f t="shared" si="127"/>
        <v/>
      </c>
      <c r="AE2220" s="252">
        <f t="shared" si="128"/>
        <v>0</v>
      </c>
      <c r="AG2220" s="253">
        <f t="shared" si="129"/>
        <v>0</v>
      </c>
      <c r="AH2220" s="253"/>
      <c r="AI2220" s="253">
        <f t="shared" si="130"/>
        <v>0</v>
      </c>
    </row>
    <row r="2221" spans="1:35" x14ac:dyDescent="0.2">
      <c r="A2221" s="253" t="str">
        <f t="shared" si="127"/>
        <v/>
      </c>
      <c r="AE2221" s="252">
        <f t="shared" si="128"/>
        <v>0</v>
      </c>
      <c r="AG2221" s="253">
        <f t="shared" si="129"/>
        <v>0</v>
      </c>
      <c r="AH2221" s="253"/>
      <c r="AI2221" s="253">
        <f t="shared" si="130"/>
        <v>0</v>
      </c>
    </row>
    <row r="2222" spans="1:35" x14ac:dyDescent="0.2">
      <c r="A2222" s="253" t="str">
        <f t="shared" si="127"/>
        <v/>
      </c>
      <c r="AE2222" s="252">
        <f t="shared" si="128"/>
        <v>0</v>
      </c>
      <c r="AG2222" s="253">
        <f t="shared" si="129"/>
        <v>0</v>
      </c>
      <c r="AH2222" s="253"/>
      <c r="AI2222" s="253">
        <f t="shared" si="130"/>
        <v>0</v>
      </c>
    </row>
    <row r="2223" spans="1:35" x14ac:dyDescent="0.2">
      <c r="A2223" s="253" t="str">
        <f t="shared" si="127"/>
        <v/>
      </c>
      <c r="AE2223" s="252">
        <f t="shared" si="128"/>
        <v>0</v>
      </c>
      <c r="AG2223" s="253">
        <f t="shared" si="129"/>
        <v>0</v>
      </c>
      <c r="AH2223" s="253"/>
      <c r="AI2223" s="253">
        <f t="shared" si="130"/>
        <v>0</v>
      </c>
    </row>
    <row r="2224" spans="1:35" x14ac:dyDescent="0.2">
      <c r="A2224" s="253" t="str">
        <f t="shared" si="127"/>
        <v/>
      </c>
      <c r="AE2224" s="252">
        <f t="shared" si="128"/>
        <v>0</v>
      </c>
      <c r="AG2224" s="253">
        <f t="shared" si="129"/>
        <v>0</v>
      </c>
      <c r="AH2224" s="253"/>
      <c r="AI2224" s="253">
        <f t="shared" si="130"/>
        <v>0</v>
      </c>
    </row>
    <row r="2225" spans="1:35" x14ac:dyDescent="0.2">
      <c r="A2225" s="253" t="str">
        <f t="shared" si="127"/>
        <v/>
      </c>
      <c r="AE2225" s="252">
        <f t="shared" si="128"/>
        <v>0</v>
      </c>
      <c r="AG2225" s="253">
        <f t="shared" si="129"/>
        <v>0</v>
      </c>
      <c r="AH2225" s="253"/>
      <c r="AI2225" s="253">
        <f t="shared" si="130"/>
        <v>0</v>
      </c>
    </row>
    <row r="2226" spans="1:35" x14ac:dyDescent="0.2">
      <c r="A2226" s="253" t="str">
        <f t="shared" si="127"/>
        <v/>
      </c>
      <c r="AE2226" s="252">
        <f t="shared" si="128"/>
        <v>0</v>
      </c>
      <c r="AG2226" s="253">
        <f t="shared" si="129"/>
        <v>0</v>
      </c>
      <c r="AH2226" s="253"/>
      <c r="AI2226" s="253">
        <f t="shared" si="130"/>
        <v>0</v>
      </c>
    </row>
    <row r="2227" spans="1:35" x14ac:dyDescent="0.2">
      <c r="A2227" s="253" t="str">
        <f t="shared" si="127"/>
        <v/>
      </c>
      <c r="AE2227" s="252">
        <f t="shared" si="128"/>
        <v>0</v>
      </c>
      <c r="AG2227" s="253">
        <f t="shared" si="129"/>
        <v>0</v>
      </c>
      <c r="AH2227" s="253"/>
      <c r="AI2227" s="253">
        <f t="shared" si="130"/>
        <v>0</v>
      </c>
    </row>
    <row r="2228" spans="1:35" x14ac:dyDescent="0.2">
      <c r="A2228" s="253" t="str">
        <f t="shared" si="127"/>
        <v/>
      </c>
      <c r="AE2228" s="252">
        <f t="shared" si="128"/>
        <v>0</v>
      </c>
      <c r="AG2228" s="253">
        <f t="shared" si="129"/>
        <v>0</v>
      </c>
      <c r="AH2228" s="253"/>
      <c r="AI2228" s="253">
        <f t="shared" si="130"/>
        <v>0</v>
      </c>
    </row>
    <row r="2229" spans="1:35" x14ac:dyDescent="0.2">
      <c r="A2229" s="253" t="str">
        <f t="shared" si="127"/>
        <v/>
      </c>
      <c r="AE2229" s="252">
        <f t="shared" si="128"/>
        <v>0</v>
      </c>
      <c r="AG2229" s="253">
        <f t="shared" si="129"/>
        <v>0</v>
      </c>
      <c r="AH2229" s="253"/>
      <c r="AI2229" s="253">
        <f t="shared" si="130"/>
        <v>0</v>
      </c>
    </row>
    <row r="2230" spans="1:35" x14ac:dyDescent="0.2">
      <c r="A2230" s="253" t="str">
        <f t="shared" si="127"/>
        <v/>
      </c>
      <c r="AE2230" s="252">
        <f t="shared" si="128"/>
        <v>0</v>
      </c>
      <c r="AG2230" s="253">
        <f t="shared" si="129"/>
        <v>0</v>
      </c>
      <c r="AH2230" s="253"/>
      <c r="AI2230" s="253">
        <f t="shared" si="130"/>
        <v>0</v>
      </c>
    </row>
    <row r="2231" spans="1:35" x14ac:dyDescent="0.2">
      <c r="A2231" s="253" t="str">
        <f t="shared" si="127"/>
        <v/>
      </c>
      <c r="AE2231" s="252">
        <f t="shared" si="128"/>
        <v>0</v>
      </c>
      <c r="AG2231" s="253">
        <f t="shared" si="129"/>
        <v>0</v>
      </c>
      <c r="AH2231" s="253"/>
      <c r="AI2231" s="253">
        <f t="shared" si="130"/>
        <v>0</v>
      </c>
    </row>
    <row r="2232" spans="1:35" x14ac:dyDescent="0.2">
      <c r="A2232" s="253" t="str">
        <f t="shared" si="127"/>
        <v/>
      </c>
      <c r="AE2232" s="252">
        <f t="shared" si="128"/>
        <v>0</v>
      </c>
      <c r="AG2232" s="253">
        <f t="shared" si="129"/>
        <v>0</v>
      </c>
      <c r="AH2232" s="253"/>
      <c r="AI2232" s="253">
        <f t="shared" si="130"/>
        <v>0</v>
      </c>
    </row>
    <row r="2233" spans="1:35" x14ac:dyDescent="0.2">
      <c r="A2233" s="253" t="str">
        <f t="shared" si="127"/>
        <v/>
      </c>
      <c r="AE2233" s="252">
        <f t="shared" si="128"/>
        <v>0</v>
      </c>
      <c r="AG2233" s="253">
        <f t="shared" si="129"/>
        <v>0</v>
      </c>
      <c r="AH2233" s="253"/>
      <c r="AI2233" s="253">
        <f t="shared" si="130"/>
        <v>0</v>
      </c>
    </row>
    <row r="2234" spans="1:35" x14ac:dyDescent="0.2">
      <c r="A2234" s="253" t="str">
        <f t="shared" si="127"/>
        <v/>
      </c>
      <c r="AE2234" s="252">
        <f t="shared" si="128"/>
        <v>0</v>
      </c>
      <c r="AG2234" s="253">
        <f t="shared" si="129"/>
        <v>0</v>
      </c>
      <c r="AH2234" s="253"/>
      <c r="AI2234" s="253">
        <f t="shared" si="130"/>
        <v>0</v>
      </c>
    </row>
    <row r="2235" spans="1:35" x14ac:dyDescent="0.2">
      <c r="A2235" s="253" t="str">
        <f t="shared" si="127"/>
        <v/>
      </c>
      <c r="AE2235" s="252">
        <f t="shared" si="128"/>
        <v>0</v>
      </c>
      <c r="AG2235" s="253">
        <f t="shared" si="129"/>
        <v>0</v>
      </c>
      <c r="AH2235" s="253"/>
      <c r="AI2235" s="253">
        <f t="shared" si="130"/>
        <v>0</v>
      </c>
    </row>
    <row r="2236" spans="1:35" x14ac:dyDescent="0.2">
      <c r="A2236" s="253" t="str">
        <f t="shared" si="127"/>
        <v/>
      </c>
      <c r="AE2236" s="252">
        <f t="shared" si="128"/>
        <v>0</v>
      </c>
      <c r="AG2236" s="253">
        <f t="shared" si="129"/>
        <v>0</v>
      </c>
      <c r="AH2236" s="253"/>
      <c r="AI2236" s="253">
        <f t="shared" si="130"/>
        <v>0</v>
      </c>
    </row>
    <row r="2237" spans="1:35" x14ac:dyDescent="0.2">
      <c r="A2237" s="253" t="str">
        <f t="shared" si="127"/>
        <v/>
      </c>
      <c r="AE2237" s="252">
        <f t="shared" si="128"/>
        <v>0</v>
      </c>
      <c r="AG2237" s="253">
        <f t="shared" si="129"/>
        <v>0</v>
      </c>
      <c r="AH2237" s="253"/>
      <c r="AI2237" s="253">
        <f t="shared" si="130"/>
        <v>0</v>
      </c>
    </row>
    <row r="2238" spans="1:35" x14ac:dyDescent="0.2">
      <c r="A2238" s="253" t="str">
        <f t="shared" si="127"/>
        <v/>
      </c>
      <c r="AE2238" s="252">
        <f t="shared" si="128"/>
        <v>0</v>
      </c>
      <c r="AG2238" s="253">
        <f t="shared" si="129"/>
        <v>0</v>
      </c>
      <c r="AH2238" s="253"/>
      <c r="AI2238" s="253">
        <f t="shared" si="130"/>
        <v>0</v>
      </c>
    </row>
    <row r="2239" spans="1:35" x14ac:dyDescent="0.2">
      <c r="A2239" s="253" t="str">
        <f t="shared" si="127"/>
        <v/>
      </c>
      <c r="AE2239" s="252">
        <f t="shared" si="128"/>
        <v>0</v>
      </c>
      <c r="AG2239" s="253">
        <f t="shared" si="129"/>
        <v>0</v>
      </c>
      <c r="AH2239" s="253"/>
      <c r="AI2239" s="253">
        <f t="shared" si="130"/>
        <v>0</v>
      </c>
    </row>
    <row r="2240" spans="1:35" x14ac:dyDescent="0.2">
      <c r="A2240" s="253" t="str">
        <f t="shared" si="127"/>
        <v/>
      </c>
      <c r="AE2240" s="252">
        <f t="shared" si="128"/>
        <v>0</v>
      </c>
      <c r="AG2240" s="253">
        <f t="shared" si="129"/>
        <v>0</v>
      </c>
      <c r="AH2240" s="253"/>
      <c r="AI2240" s="253">
        <f t="shared" si="130"/>
        <v>0</v>
      </c>
    </row>
    <row r="2241" spans="1:35" x14ac:dyDescent="0.2">
      <c r="A2241" s="253" t="str">
        <f t="shared" si="127"/>
        <v/>
      </c>
      <c r="AE2241" s="252">
        <f t="shared" si="128"/>
        <v>0</v>
      </c>
      <c r="AG2241" s="253">
        <f t="shared" si="129"/>
        <v>0</v>
      </c>
      <c r="AH2241" s="253"/>
      <c r="AI2241" s="253">
        <f t="shared" si="130"/>
        <v>0</v>
      </c>
    </row>
    <row r="2242" spans="1:35" x14ac:dyDescent="0.2">
      <c r="A2242" s="253" t="str">
        <f t="shared" si="127"/>
        <v/>
      </c>
      <c r="AE2242" s="252">
        <f t="shared" si="128"/>
        <v>0</v>
      </c>
      <c r="AG2242" s="253">
        <f t="shared" si="129"/>
        <v>0</v>
      </c>
      <c r="AH2242" s="253"/>
      <c r="AI2242" s="253">
        <f t="shared" si="130"/>
        <v>0</v>
      </c>
    </row>
    <row r="2243" spans="1:35" x14ac:dyDescent="0.2">
      <c r="A2243" s="253" t="str">
        <f t="shared" si="127"/>
        <v/>
      </c>
      <c r="AE2243" s="252">
        <f t="shared" si="128"/>
        <v>0</v>
      </c>
      <c r="AG2243" s="253">
        <f t="shared" si="129"/>
        <v>0</v>
      </c>
      <c r="AH2243" s="253"/>
      <c r="AI2243" s="253">
        <f t="shared" si="130"/>
        <v>0</v>
      </c>
    </row>
    <row r="2244" spans="1:35" x14ac:dyDescent="0.2">
      <c r="A2244" s="253" t="str">
        <f t="shared" si="127"/>
        <v/>
      </c>
      <c r="AE2244" s="252">
        <f t="shared" si="128"/>
        <v>0</v>
      </c>
      <c r="AG2244" s="253">
        <f t="shared" si="129"/>
        <v>0</v>
      </c>
      <c r="AH2244" s="253"/>
      <c r="AI2244" s="253">
        <f t="shared" si="130"/>
        <v>0</v>
      </c>
    </row>
    <row r="2245" spans="1:35" x14ac:dyDescent="0.2">
      <c r="A2245" s="253" t="str">
        <f t="shared" si="127"/>
        <v/>
      </c>
      <c r="AE2245" s="252">
        <f t="shared" si="128"/>
        <v>0</v>
      </c>
      <c r="AG2245" s="253">
        <f t="shared" si="129"/>
        <v>0</v>
      </c>
      <c r="AH2245" s="253"/>
      <c r="AI2245" s="253">
        <f t="shared" si="130"/>
        <v>0</v>
      </c>
    </row>
    <row r="2246" spans="1:35" x14ac:dyDescent="0.2">
      <c r="A2246" s="253" t="str">
        <f t="shared" si="127"/>
        <v/>
      </c>
      <c r="AE2246" s="252">
        <f t="shared" si="128"/>
        <v>0</v>
      </c>
      <c r="AG2246" s="253">
        <f t="shared" si="129"/>
        <v>0</v>
      </c>
      <c r="AH2246" s="253"/>
      <c r="AI2246" s="253">
        <f t="shared" si="130"/>
        <v>0</v>
      </c>
    </row>
    <row r="2247" spans="1:35" x14ac:dyDescent="0.2">
      <c r="A2247" s="253" t="str">
        <f t="shared" si="127"/>
        <v/>
      </c>
      <c r="AE2247" s="252">
        <f t="shared" si="128"/>
        <v>0</v>
      </c>
      <c r="AG2247" s="253">
        <f t="shared" si="129"/>
        <v>0</v>
      </c>
      <c r="AH2247" s="253"/>
      <c r="AI2247" s="253">
        <f t="shared" si="130"/>
        <v>0</v>
      </c>
    </row>
    <row r="2248" spans="1:35" x14ac:dyDescent="0.2">
      <c r="A2248" s="253" t="str">
        <f t="shared" si="127"/>
        <v/>
      </c>
      <c r="AE2248" s="252">
        <f t="shared" si="128"/>
        <v>0</v>
      </c>
      <c r="AG2248" s="253">
        <f t="shared" si="129"/>
        <v>0</v>
      </c>
      <c r="AH2248" s="253"/>
      <c r="AI2248" s="253">
        <f t="shared" si="130"/>
        <v>0</v>
      </c>
    </row>
    <row r="2249" spans="1:35" x14ac:dyDescent="0.2">
      <c r="A2249" s="253" t="str">
        <f t="shared" si="127"/>
        <v/>
      </c>
      <c r="AE2249" s="252">
        <f t="shared" si="128"/>
        <v>0</v>
      </c>
      <c r="AG2249" s="253">
        <f t="shared" si="129"/>
        <v>0</v>
      </c>
      <c r="AH2249" s="253"/>
      <c r="AI2249" s="253">
        <f t="shared" si="130"/>
        <v>0</v>
      </c>
    </row>
    <row r="2250" spans="1:35" x14ac:dyDescent="0.2">
      <c r="A2250" s="253" t="str">
        <f t="shared" si="127"/>
        <v/>
      </c>
      <c r="AE2250" s="252">
        <f t="shared" si="128"/>
        <v>0</v>
      </c>
      <c r="AG2250" s="253">
        <f t="shared" si="129"/>
        <v>0</v>
      </c>
      <c r="AH2250" s="253"/>
      <c r="AI2250" s="253">
        <f t="shared" si="130"/>
        <v>0</v>
      </c>
    </row>
    <row r="2251" spans="1:35" x14ac:dyDescent="0.2">
      <c r="A2251" s="253" t="str">
        <f t="shared" si="127"/>
        <v/>
      </c>
      <c r="AE2251" s="252">
        <f t="shared" si="128"/>
        <v>0</v>
      </c>
      <c r="AG2251" s="253">
        <f t="shared" si="129"/>
        <v>0</v>
      </c>
      <c r="AH2251" s="253"/>
      <c r="AI2251" s="253">
        <f t="shared" si="130"/>
        <v>0</v>
      </c>
    </row>
    <row r="2252" spans="1:35" x14ac:dyDescent="0.2">
      <c r="A2252" s="253" t="str">
        <f t="shared" ref="A2252:A2315" si="131">B2252&amp;C2252&amp;F2252&amp;G2252&amp;I2252&amp;J2252</f>
        <v/>
      </c>
      <c r="AE2252" s="252">
        <f t="shared" ref="AE2252:AE2315" si="132">SUBTOTAL(9,T2252:W2252)</f>
        <v>0</v>
      </c>
      <c r="AG2252" s="253">
        <f t="shared" ref="AG2252:AG2315" si="133">+L2252-SUM(Z2252:AA2252)</f>
        <v>0</v>
      </c>
      <c r="AH2252" s="253"/>
      <c r="AI2252" s="253">
        <f t="shared" ref="AI2252:AI2315" si="134">+AH2252-AG2252</f>
        <v>0</v>
      </c>
    </row>
    <row r="2253" spans="1:35" x14ac:dyDescent="0.2">
      <c r="A2253" s="253" t="str">
        <f t="shared" si="131"/>
        <v/>
      </c>
      <c r="AE2253" s="252">
        <f t="shared" si="132"/>
        <v>0</v>
      </c>
      <c r="AG2253" s="253">
        <f t="shared" si="133"/>
        <v>0</v>
      </c>
      <c r="AH2253" s="253"/>
      <c r="AI2253" s="253">
        <f t="shared" si="134"/>
        <v>0</v>
      </c>
    </row>
    <row r="2254" spans="1:35" x14ac:dyDescent="0.2">
      <c r="A2254" s="253" t="str">
        <f t="shared" si="131"/>
        <v/>
      </c>
      <c r="AE2254" s="252">
        <f t="shared" si="132"/>
        <v>0</v>
      </c>
      <c r="AG2254" s="253">
        <f t="shared" si="133"/>
        <v>0</v>
      </c>
      <c r="AH2254" s="253"/>
      <c r="AI2254" s="253">
        <f t="shared" si="134"/>
        <v>0</v>
      </c>
    </row>
    <row r="2255" spans="1:35" x14ac:dyDescent="0.2">
      <c r="A2255" s="253" t="str">
        <f t="shared" si="131"/>
        <v/>
      </c>
      <c r="AE2255" s="252">
        <f t="shared" si="132"/>
        <v>0</v>
      </c>
      <c r="AG2255" s="253">
        <f t="shared" si="133"/>
        <v>0</v>
      </c>
      <c r="AH2255" s="253"/>
      <c r="AI2255" s="253">
        <f t="shared" si="134"/>
        <v>0</v>
      </c>
    </row>
    <row r="2256" spans="1:35" x14ac:dyDescent="0.2">
      <c r="A2256" s="253" t="str">
        <f t="shared" si="131"/>
        <v/>
      </c>
      <c r="AE2256" s="252">
        <f t="shared" si="132"/>
        <v>0</v>
      </c>
      <c r="AG2256" s="253">
        <f t="shared" si="133"/>
        <v>0</v>
      </c>
      <c r="AH2256" s="253"/>
      <c r="AI2256" s="253">
        <f t="shared" si="134"/>
        <v>0</v>
      </c>
    </row>
    <row r="2257" spans="1:35" x14ac:dyDescent="0.2">
      <c r="A2257" s="253" t="str">
        <f t="shared" si="131"/>
        <v/>
      </c>
      <c r="AE2257" s="252">
        <f t="shared" si="132"/>
        <v>0</v>
      </c>
      <c r="AG2257" s="253">
        <f t="shared" si="133"/>
        <v>0</v>
      </c>
      <c r="AH2257" s="253"/>
      <c r="AI2257" s="253">
        <f t="shared" si="134"/>
        <v>0</v>
      </c>
    </row>
    <row r="2258" spans="1:35" x14ac:dyDescent="0.2">
      <c r="A2258" s="253" t="str">
        <f t="shared" si="131"/>
        <v/>
      </c>
      <c r="AE2258" s="252">
        <f t="shared" si="132"/>
        <v>0</v>
      </c>
      <c r="AG2258" s="253">
        <f t="shared" si="133"/>
        <v>0</v>
      </c>
      <c r="AH2258" s="253"/>
      <c r="AI2258" s="253">
        <f t="shared" si="134"/>
        <v>0</v>
      </c>
    </row>
    <row r="2259" spans="1:35" x14ac:dyDescent="0.2">
      <c r="A2259" s="253" t="str">
        <f t="shared" si="131"/>
        <v/>
      </c>
      <c r="AE2259" s="252">
        <f t="shared" si="132"/>
        <v>0</v>
      </c>
      <c r="AG2259" s="253">
        <f t="shared" si="133"/>
        <v>0</v>
      </c>
      <c r="AH2259" s="253"/>
      <c r="AI2259" s="253">
        <f t="shared" si="134"/>
        <v>0</v>
      </c>
    </row>
    <row r="2260" spans="1:35" x14ac:dyDescent="0.2">
      <c r="A2260" s="253" t="str">
        <f t="shared" si="131"/>
        <v/>
      </c>
      <c r="AE2260" s="252">
        <f t="shared" si="132"/>
        <v>0</v>
      </c>
      <c r="AG2260" s="253">
        <f t="shared" si="133"/>
        <v>0</v>
      </c>
      <c r="AH2260" s="253"/>
      <c r="AI2260" s="253">
        <f t="shared" si="134"/>
        <v>0</v>
      </c>
    </row>
    <row r="2261" spans="1:35" x14ac:dyDescent="0.2">
      <c r="A2261" s="253" t="str">
        <f t="shared" si="131"/>
        <v/>
      </c>
      <c r="AE2261" s="252">
        <f t="shared" si="132"/>
        <v>0</v>
      </c>
      <c r="AG2261" s="253">
        <f t="shared" si="133"/>
        <v>0</v>
      </c>
      <c r="AH2261" s="253"/>
      <c r="AI2261" s="253">
        <f t="shared" si="134"/>
        <v>0</v>
      </c>
    </row>
    <row r="2262" spans="1:35" x14ac:dyDescent="0.2">
      <c r="A2262" s="253" t="str">
        <f t="shared" si="131"/>
        <v/>
      </c>
      <c r="AE2262" s="252">
        <f t="shared" si="132"/>
        <v>0</v>
      </c>
      <c r="AG2262" s="253">
        <f t="shared" si="133"/>
        <v>0</v>
      </c>
      <c r="AH2262" s="253"/>
      <c r="AI2262" s="253">
        <f t="shared" si="134"/>
        <v>0</v>
      </c>
    </row>
    <row r="2263" spans="1:35" x14ac:dyDescent="0.2">
      <c r="A2263" s="253" t="str">
        <f t="shared" si="131"/>
        <v/>
      </c>
      <c r="AE2263" s="252">
        <f t="shared" si="132"/>
        <v>0</v>
      </c>
      <c r="AG2263" s="253">
        <f t="shared" si="133"/>
        <v>0</v>
      </c>
      <c r="AH2263" s="253"/>
      <c r="AI2263" s="253">
        <f t="shared" si="134"/>
        <v>0</v>
      </c>
    </row>
    <row r="2264" spans="1:35" x14ac:dyDescent="0.2">
      <c r="A2264" s="253" t="str">
        <f t="shared" si="131"/>
        <v/>
      </c>
      <c r="AE2264" s="252">
        <f t="shared" si="132"/>
        <v>0</v>
      </c>
      <c r="AG2264" s="253">
        <f t="shared" si="133"/>
        <v>0</v>
      </c>
      <c r="AH2264" s="253"/>
      <c r="AI2264" s="253">
        <f t="shared" si="134"/>
        <v>0</v>
      </c>
    </row>
    <row r="2265" spans="1:35" x14ac:dyDescent="0.2">
      <c r="A2265" s="253" t="str">
        <f t="shared" si="131"/>
        <v/>
      </c>
      <c r="AE2265" s="252">
        <f t="shared" si="132"/>
        <v>0</v>
      </c>
      <c r="AG2265" s="253">
        <f t="shared" si="133"/>
        <v>0</v>
      </c>
      <c r="AH2265" s="253"/>
      <c r="AI2265" s="253">
        <f t="shared" si="134"/>
        <v>0</v>
      </c>
    </row>
    <row r="2266" spans="1:35" x14ac:dyDescent="0.2">
      <c r="A2266" s="253" t="str">
        <f t="shared" si="131"/>
        <v/>
      </c>
      <c r="AE2266" s="252">
        <f t="shared" si="132"/>
        <v>0</v>
      </c>
      <c r="AG2266" s="253">
        <f t="shared" si="133"/>
        <v>0</v>
      </c>
      <c r="AH2266" s="253"/>
      <c r="AI2266" s="253">
        <f t="shared" si="134"/>
        <v>0</v>
      </c>
    </row>
    <row r="2267" spans="1:35" x14ac:dyDescent="0.2">
      <c r="A2267" s="253" t="str">
        <f t="shared" si="131"/>
        <v/>
      </c>
      <c r="AE2267" s="252">
        <f t="shared" si="132"/>
        <v>0</v>
      </c>
      <c r="AG2267" s="253">
        <f t="shared" si="133"/>
        <v>0</v>
      </c>
      <c r="AH2267" s="253"/>
      <c r="AI2267" s="253">
        <f t="shared" si="134"/>
        <v>0</v>
      </c>
    </row>
    <row r="2268" spans="1:35" x14ac:dyDescent="0.2">
      <c r="A2268" s="253" t="str">
        <f t="shared" si="131"/>
        <v/>
      </c>
      <c r="AE2268" s="252">
        <f t="shared" si="132"/>
        <v>0</v>
      </c>
      <c r="AG2268" s="253">
        <f t="shared" si="133"/>
        <v>0</v>
      </c>
      <c r="AH2268" s="253"/>
      <c r="AI2268" s="253">
        <f t="shared" si="134"/>
        <v>0</v>
      </c>
    </row>
    <row r="2269" spans="1:35" x14ac:dyDescent="0.2">
      <c r="A2269" s="253" t="str">
        <f t="shared" si="131"/>
        <v/>
      </c>
      <c r="AE2269" s="252">
        <f t="shared" si="132"/>
        <v>0</v>
      </c>
      <c r="AG2269" s="253">
        <f t="shared" si="133"/>
        <v>0</v>
      </c>
      <c r="AH2269" s="253"/>
      <c r="AI2269" s="253">
        <f t="shared" si="134"/>
        <v>0</v>
      </c>
    </row>
    <row r="2270" spans="1:35" x14ac:dyDescent="0.2">
      <c r="A2270" s="253" t="str">
        <f t="shared" si="131"/>
        <v/>
      </c>
      <c r="AE2270" s="252">
        <f t="shared" si="132"/>
        <v>0</v>
      </c>
      <c r="AG2270" s="253">
        <f t="shared" si="133"/>
        <v>0</v>
      </c>
      <c r="AH2270" s="253"/>
      <c r="AI2270" s="253">
        <f t="shared" si="134"/>
        <v>0</v>
      </c>
    </row>
    <row r="2271" spans="1:35" x14ac:dyDescent="0.2">
      <c r="A2271" s="253" t="str">
        <f t="shared" si="131"/>
        <v/>
      </c>
      <c r="AE2271" s="252">
        <f t="shared" si="132"/>
        <v>0</v>
      </c>
      <c r="AG2271" s="253">
        <f t="shared" si="133"/>
        <v>0</v>
      </c>
      <c r="AH2271" s="253"/>
      <c r="AI2271" s="253">
        <f t="shared" si="134"/>
        <v>0</v>
      </c>
    </row>
    <row r="2272" spans="1:35" x14ac:dyDescent="0.2">
      <c r="A2272" s="253" t="str">
        <f t="shared" si="131"/>
        <v/>
      </c>
      <c r="AE2272" s="252">
        <f t="shared" si="132"/>
        <v>0</v>
      </c>
      <c r="AG2272" s="253">
        <f t="shared" si="133"/>
        <v>0</v>
      </c>
      <c r="AH2272" s="253"/>
      <c r="AI2272" s="253">
        <f t="shared" si="134"/>
        <v>0</v>
      </c>
    </row>
    <row r="2273" spans="1:35" x14ac:dyDescent="0.2">
      <c r="A2273" s="253" t="str">
        <f t="shared" si="131"/>
        <v/>
      </c>
      <c r="AE2273" s="252">
        <f t="shared" si="132"/>
        <v>0</v>
      </c>
      <c r="AG2273" s="253">
        <f t="shared" si="133"/>
        <v>0</v>
      </c>
      <c r="AH2273" s="253"/>
      <c r="AI2273" s="253">
        <f t="shared" si="134"/>
        <v>0</v>
      </c>
    </row>
    <row r="2274" spans="1:35" x14ac:dyDescent="0.2">
      <c r="A2274" s="253" t="str">
        <f t="shared" si="131"/>
        <v/>
      </c>
      <c r="AE2274" s="252">
        <f t="shared" si="132"/>
        <v>0</v>
      </c>
      <c r="AG2274" s="253">
        <f t="shared" si="133"/>
        <v>0</v>
      </c>
      <c r="AH2274" s="253"/>
      <c r="AI2274" s="253">
        <f t="shared" si="134"/>
        <v>0</v>
      </c>
    </row>
    <row r="2275" spans="1:35" x14ac:dyDescent="0.2">
      <c r="A2275" s="253" t="str">
        <f t="shared" si="131"/>
        <v/>
      </c>
      <c r="AE2275" s="252">
        <f t="shared" si="132"/>
        <v>0</v>
      </c>
      <c r="AG2275" s="253">
        <f t="shared" si="133"/>
        <v>0</v>
      </c>
      <c r="AH2275" s="253"/>
      <c r="AI2275" s="253">
        <f t="shared" si="134"/>
        <v>0</v>
      </c>
    </row>
    <row r="2276" spans="1:35" x14ac:dyDescent="0.2">
      <c r="A2276" s="253" t="str">
        <f t="shared" si="131"/>
        <v/>
      </c>
      <c r="AE2276" s="252">
        <f t="shared" si="132"/>
        <v>0</v>
      </c>
      <c r="AG2276" s="253">
        <f t="shared" si="133"/>
        <v>0</v>
      </c>
      <c r="AH2276" s="253"/>
      <c r="AI2276" s="253">
        <f t="shared" si="134"/>
        <v>0</v>
      </c>
    </row>
    <row r="2277" spans="1:35" x14ac:dyDescent="0.2">
      <c r="A2277" s="253" t="str">
        <f t="shared" si="131"/>
        <v/>
      </c>
      <c r="AE2277" s="252">
        <f t="shared" si="132"/>
        <v>0</v>
      </c>
      <c r="AG2277" s="253">
        <f t="shared" si="133"/>
        <v>0</v>
      </c>
      <c r="AH2277" s="253"/>
      <c r="AI2277" s="253">
        <f t="shared" si="134"/>
        <v>0</v>
      </c>
    </row>
    <row r="2278" spans="1:35" x14ac:dyDescent="0.2">
      <c r="A2278" s="253" t="str">
        <f t="shared" si="131"/>
        <v/>
      </c>
      <c r="AE2278" s="252">
        <f t="shared" si="132"/>
        <v>0</v>
      </c>
      <c r="AG2278" s="253">
        <f t="shared" si="133"/>
        <v>0</v>
      </c>
      <c r="AH2278" s="253"/>
      <c r="AI2278" s="253">
        <f t="shared" si="134"/>
        <v>0</v>
      </c>
    </row>
    <row r="2279" spans="1:35" x14ac:dyDescent="0.2">
      <c r="A2279" s="253" t="str">
        <f t="shared" si="131"/>
        <v/>
      </c>
      <c r="AE2279" s="252">
        <f t="shared" si="132"/>
        <v>0</v>
      </c>
      <c r="AG2279" s="253">
        <f t="shared" si="133"/>
        <v>0</v>
      </c>
      <c r="AH2279" s="253"/>
      <c r="AI2279" s="253">
        <f t="shared" si="134"/>
        <v>0</v>
      </c>
    </row>
    <row r="2280" spans="1:35" x14ac:dyDescent="0.2">
      <c r="A2280" s="253" t="str">
        <f t="shared" si="131"/>
        <v/>
      </c>
      <c r="AE2280" s="252">
        <f t="shared" si="132"/>
        <v>0</v>
      </c>
      <c r="AG2280" s="253">
        <f t="shared" si="133"/>
        <v>0</v>
      </c>
      <c r="AH2280" s="253"/>
      <c r="AI2280" s="253">
        <f t="shared" si="134"/>
        <v>0</v>
      </c>
    </row>
    <row r="2281" spans="1:35" x14ac:dyDescent="0.2">
      <c r="A2281" s="253" t="str">
        <f t="shared" si="131"/>
        <v/>
      </c>
      <c r="AE2281" s="252">
        <f t="shared" si="132"/>
        <v>0</v>
      </c>
      <c r="AG2281" s="253">
        <f t="shared" si="133"/>
        <v>0</v>
      </c>
      <c r="AH2281" s="253"/>
      <c r="AI2281" s="253">
        <f t="shared" si="134"/>
        <v>0</v>
      </c>
    </row>
    <row r="2282" spans="1:35" x14ac:dyDescent="0.2">
      <c r="A2282" s="253" t="str">
        <f t="shared" si="131"/>
        <v/>
      </c>
      <c r="AE2282" s="252">
        <f t="shared" si="132"/>
        <v>0</v>
      </c>
      <c r="AG2282" s="253">
        <f t="shared" si="133"/>
        <v>0</v>
      </c>
      <c r="AH2282" s="253"/>
      <c r="AI2282" s="253">
        <f t="shared" si="134"/>
        <v>0</v>
      </c>
    </row>
    <row r="2283" spans="1:35" x14ac:dyDescent="0.2">
      <c r="A2283" s="253" t="str">
        <f t="shared" si="131"/>
        <v/>
      </c>
      <c r="AE2283" s="252">
        <f t="shared" si="132"/>
        <v>0</v>
      </c>
      <c r="AG2283" s="253">
        <f t="shared" si="133"/>
        <v>0</v>
      </c>
      <c r="AH2283" s="253"/>
      <c r="AI2283" s="253">
        <f t="shared" si="134"/>
        <v>0</v>
      </c>
    </row>
    <row r="2284" spans="1:35" x14ac:dyDescent="0.2">
      <c r="A2284" s="253" t="str">
        <f t="shared" si="131"/>
        <v/>
      </c>
      <c r="AE2284" s="252">
        <f t="shared" si="132"/>
        <v>0</v>
      </c>
      <c r="AG2284" s="253">
        <f t="shared" si="133"/>
        <v>0</v>
      </c>
      <c r="AH2284" s="253"/>
      <c r="AI2284" s="253">
        <f t="shared" si="134"/>
        <v>0</v>
      </c>
    </row>
    <row r="2285" spans="1:35" x14ac:dyDescent="0.2">
      <c r="A2285" s="253" t="str">
        <f t="shared" si="131"/>
        <v/>
      </c>
      <c r="AE2285" s="252">
        <f t="shared" si="132"/>
        <v>0</v>
      </c>
      <c r="AG2285" s="253">
        <f t="shared" si="133"/>
        <v>0</v>
      </c>
      <c r="AH2285" s="253"/>
      <c r="AI2285" s="253">
        <f t="shared" si="134"/>
        <v>0</v>
      </c>
    </row>
    <row r="2286" spans="1:35" x14ac:dyDescent="0.2">
      <c r="A2286" s="253" t="str">
        <f t="shared" si="131"/>
        <v/>
      </c>
      <c r="AE2286" s="252">
        <f t="shared" si="132"/>
        <v>0</v>
      </c>
      <c r="AG2286" s="253">
        <f t="shared" si="133"/>
        <v>0</v>
      </c>
      <c r="AH2286" s="253"/>
      <c r="AI2286" s="253">
        <f t="shared" si="134"/>
        <v>0</v>
      </c>
    </row>
    <row r="2287" spans="1:35" x14ac:dyDescent="0.2">
      <c r="A2287" s="253" t="str">
        <f t="shared" si="131"/>
        <v/>
      </c>
      <c r="AE2287" s="252">
        <f t="shared" si="132"/>
        <v>0</v>
      </c>
      <c r="AG2287" s="253">
        <f t="shared" si="133"/>
        <v>0</v>
      </c>
      <c r="AH2287" s="253"/>
      <c r="AI2287" s="253">
        <f t="shared" si="134"/>
        <v>0</v>
      </c>
    </row>
    <row r="2288" spans="1:35" x14ac:dyDescent="0.2">
      <c r="A2288" s="253" t="str">
        <f t="shared" si="131"/>
        <v/>
      </c>
      <c r="AE2288" s="252">
        <f t="shared" si="132"/>
        <v>0</v>
      </c>
      <c r="AG2288" s="253">
        <f t="shared" si="133"/>
        <v>0</v>
      </c>
      <c r="AH2288" s="253"/>
      <c r="AI2288" s="253">
        <f t="shared" si="134"/>
        <v>0</v>
      </c>
    </row>
    <row r="2289" spans="1:35" x14ac:dyDescent="0.2">
      <c r="A2289" s="253" t="str">
        <f t="shared" si="131"/>
        <v/>
      </c>
      <c r="AE2289" s="252">
        <f t="shared" si="132"/>
        <v>0</v>
      </c>
      <c r="AG2289" s="253">
        <f t="shared" si="133"/>
        <v>0</v>
      </c>
      <c r="AH2289" s="253"/>
      <c r="AI2289" s="253">
        <f t="shared" si="134"/>
        <v>0</v>
      </c>
    </row>
    <row r="2290" spans="1:35" x14ac:dyDescent="0.2">
      <c r="A2290" s="253" t="str">
        <f t="shared" si="131"/>
        <v/>
      </c>
      <c r="AE2290" s="252">
        <f t="shared" si="132"/>
        <v>0</v>
      </c>
      <c r="AG2290" s="253">
        <f t="shared" si="133"/>
        <v>0</v>
      </c>
      <c r="AH2290" s="253"/>
      <c r="AI2290" s="253">
        <f t="shared" si="134"/>
        <v>0</v>
      </c>
    </row>
    <row r="2291" spans="1:35" x14ac:dyDescent="0.2">
      <c r="A2291" s="253" t="str">
        <f t="shared" si="131"/>
        <v/>
      </c>
      <c r="AE2291" s="252">
        <f t="shared" si="132"/>
        <v>0</v>
      </c>
      <c r="AG2291" s="253">
        <f t="shared" si="133"/>
        <v>0</v>
      </c>
      <c r="AH2291" s="253"/>
      <c r="AI2291" s="253">
        <f t="shared" si="134"/>
        <v>0</v>
      </c>
    </row>
    <row r="2292" spans="1:35" x14ac:dyDescent="0.2">
      <c r="A2292" s="253" t="str">
        <f t="shared" si="131"/>
        <v/>
      </c>
      <c r="AE2292" s="252">
        <f t="shared" si="132"/>
        <v>0</v>
      </c>
      <c r="AG2292" s="253">
        <f t="shared" si="133"/>
        <v>0</v>
      </c>
      <c r="AH2292" s="253"/>
      <c r="AI2292" s="253">
        <f t="shared" si="134"/>
        <v>0</v>
      </c>
    </row>
    <row r="2293" spans="1:35" x14ac:dyDescent="0.2">
      <c r="A2293" s="253" t="str">
        <f t="shared" si="131"/>
        <v/>
      </c>
      <c r="AE2293" s="252">
        <f t="shared" si="132"/>
        <v>0</v>
      </c>
      <c r="AG2293" s="253">
        <f t="shared" si="133"/>
        <v>0</v>
      </c>
      <c r="AH2293" s="253"/>
      <c r="AI2293" s="253">
        <f t="shared" si="134"/>
        <v>0</v>
      </c>
    </row>
    <row r="2294" spans="1:35" x14ac:dyDescent="0.2">
      <c r="A2294" s="253" t="str">
        <f t="shared" si="131"/>
        <v/>
      </c>
      <c r="AE2294" s="252">
        <f t="shared" si="132"/>
        <v>0</v>
      </c>
      <c r="AG2294" s="253">
        <f t="shared" si="133"/>
        <v>0</v>
      </c>
      <c r="AH2294" s="253"/>
      <c r="AI2294" s="253">
        <f t="shared" si="134"/>
        <v>0</v>
      </c>
    </row>
    <row r="2295" spans="1:35" x14ac:dyDescent="0.2">
      <c r="A2295" s="253" t="str">
        <f t="shared" si="131"/>
        <v/>
      </c>
      <c r="AE2295" s="252">
        <f t="shared" si="132"/>
        <v>0</v>
      </c>
      <c r="AG2295" s="253">
        <f t="shared" si="133"/>
        <v>0</v>
      </c>
      <c r="AH2295" s="253"/>
      <c r="AI2295" s="253">
        <f t="shared" si="134"/>
        <v>0</v>
      </c>
    </row>
    <row r="2296" spans="1:35" x14ac:dyDescent="0.2">
      <c r="A2296" s="253" t="str">
        <f t="shared" si="131"/>
        <v/>
      </c>
      <c r="AE2296" s="252">
        <f t="shared" si="132"/>
        <v>0</v>
      </c>
      <c r="AG2296" s="253">
        <f t="shared" si="133"/>
        <v>0</v>
      </c>
      <c r="AH2296" s="253"/>
      <c r="AI2296" s="253">
        <f t="shared" si="134"/>
        <v>0</v>
      </c>
    </row>
    <row r="2297" spans="1:35" x14ac:dyDescent="0.2">
      <c r="A2297" s="253" t="str">
        <f t="shared" si="131"/>
        <v/>
      </c>
      <c r="AE2297" s="252">
        <f t="shared" si="132"/>
        <v>0</v>
      </c>
      <c r="AG2297" s="253">
        <f t="shared" si="133"/>
        <v>0</v>
      </c>
      <c r="AH2297" s="253"/>
      <c r="AI2297" s="253">
        <f t="shared" si="134"/>
        <v>0</v>
      </c>
    </row>
    <row r="2298" spans="1:35" x14ac:dyDescent="0.2">
      <c r="A2298" s="253" t="str">
        <f t="shared" si="131"/>
        <v/>
      </c>
      <c r="AE2298" s="252">
        <f t="shared" si="132"/>
        <v>0</v>
      </c>
      <c r="AG2298" s="253">
        <f t="shared" si="133"/>
        <v>0</v>
      </c>
      <c r="AH2298" s="253"/>
      <c r="AI2298" s="253">
        <f t="shared" si="134"/>
        <v>0</v>
      </c>
    </row>
    <row r="2299" spans="1:35" x14ac:dyDescent="0.2">
      <c r="A2299" s="253" t="str">
        <f t="shared" si="131"/>
        <v/>
      </c>
      <c r="AE2299" s="252">
        <f t="shared" si="132"/>
        <v>0</v>
      </c>
      <c r="AG2299" s="253">
        <f t="shared" si="133"/>
        <v>0</v>
      </c>
      <c r="AH2299" s="253"/>
      <c r="AI2299" s="253">
        <f t="shared" si="134"/>
        <v>0</v>
      </c>
    </row>
    <row r="2300" spans="1:35" x14ac:dyDescent="0.2">
      <c r="A2300" s="253" t="str">
        <f t="shared" si="131"/>
        <v/>
      </c>
      <c r="AE2300" s="252">
        <f t="shared" si="132"/>
        <v>0</v>
      </c>
      <c r="AG2300" s="253">
        <f t="shared" si="133"/>
        <v>0</v>
      </c>
      <c r="AH2300" s="253"/>
      <c r="AI2300" s="253">
        <f t="shared" si="134"/>
        <v>0</v>
      </c>
    </row>
    <row r="2301" spans="1:35" x14ac:dyDescent="0.2">
      <c r="A2301" s="253" t="str">
        <f t="shared" si="131"/>
        <v/>
      </c>
      <c r="AE2301" s="252">
        <f t="shared" si="132"/>
        <v>0</v>
      </c>
      <c r="AG2301" s="253">
        <f t="shared" si="133"/>
        <v>0</v>
      </c>
      <c r="AH2301" s="253"/>
      <c r="AI2301" s="253">
        <f t="shared" si="134"/>
        <v>0</v>
      </c>
    </row>
    <row r="2302" spans="1:35" x14ac:dyDescent="0.2">
      <c r="A2302" s="253" t="str">
        <f t="shared" si="131"/>
        <v/>
      </c>
      <c r="AE2302" s="252">
        <f t="shared" si="132"/>
        <v>0</v>
      </c>
      <c r="AG2302" s="253">
        <f t="shared" si="133"/>
        <v>0</v>
      </c>
      <c r="AH2302" s="253"/>
      <c r="AI2302" s="253">
        <f t="shared" si="134"/>
        <v>0</v>
      </c>
    </row>
    <row r="2303" spans="1:35" x14ac:dyDescent="0.2">
      <c r="A2303" s="253" t="str">
        <f t="shared" si="131"/>
        <v/>
      </c>
      <c r="AE2303" s="252">
        <f t="shared" si="132"/>
        <v>0</v>
      </c>
      <c r="AG2303" s="253">
        <f t="shared" si="133"/>
        <v>0</v>
      </c>
      <c r="AH2303" s="253"/>
      <c r="AI2303" s="253">
        <f t="shared" si="134"/>
        <v>0</v>
      </c>
    </row>
    <row r="2304" spans="1:35" x14ac:dyDescent="0.2">
      <c r="A2304" s="253" t="str">
        <f t="shared" si="131"/>
        <v/>
      </c>
      <c r="AE2304" s="252">
        <f t="shared" si="132"/>
        <v>0</v>
      </c>
      <c r="AG2304" s="253">
        <f t="shared" si="133"/>
        <v>0</v>
      </c>
      <c r="AH2304" s="253"/>
      <c r="AI2304" s="253">
        <f t="shared" si="134"/>
        <v>0</v>
      </c>
    </row>
    <row r="2305" spans="1:35" x14ac:dyDescent="0.2">
      <c r="A2305" s="253" t="str">
        <f t="shared" si="131"/>
        <v/>
      </c>
      <c r="AE2305" s="252">
        <f t="shared" si="132"/>
        <v>0</v>
      </c>
      <c r="AG2305" s="253">
        <f t="shared" si="133"/>
        <v>0</v>
      </c>
      <c r="AH2305" s="253"/>
      <c r="AI2305" s="253">
        <f t="shared" si="134"/>
        <v>0</v>
      </c>
    </row>
    <row r="2306" spans="1:35" x14ac:dyDescent="0.2">
      <c r="A2306" s="253" t="str">
        <f t="shared" si="131"/>
        <v/>
      </c>
      <c r="AE2306" s="252">
        <f t="shared" si="132"/>
        <v>0</v>
      </c>
      <c r="AG2306" s="253">
        <f t="shared" si="133"/>
        <v>0</v>
      </c>
      <c r="AH2306" s="253"/>
      <c r="AI2306" s="253">
        <f t="shared" si="134"/>
        <v>0</v>
      </c>
    </row>
    <row r="2307" spans="1:35" x14ac:dyDescent="0.2">
      <c r="A2307" s="253" t="str">
        <f t="shared" si="131"/>
        <v/>
      </c>
      <c r="AE2307" s="252">
        <f t="shared" si="132"/>
        <v>0</v>
      </c>
      <c r="AG2307" s="253">
        <f t="shared" si="133"/>
        <v>0</v>
      </c>
      <c r="AH2307" s="253"/>
      <c r="AI2307" s="253">
        <f t="shared" si="134"/>
        <v>0</v>
      </c>
    </row>
    <row r="2308" spans="1:35" x14ac:dyDescent="0.2">
      <c r="A2308" s="253" t="str">
        <f t="shared" si="131"/>
        <v/>
      </c>
      <c r="AE2308" s="252">
        <f t="shared" si="132"/>
        <v>0</v>
      </c>
      <c r="AG2308" s="253">
        <f t="shared" si="133"/>
        <v>0</v>
      </c>
      <c r="AH2308" s="253"/>
      <c r="AI2308" s="253">
        <f t="shared" si="134"/>
        <v>0</v>
      </c>
    </row>
    <row r="2309" spans="1:35" x14ac:dyDescent="0.2">
      <c r="A2309" s="253" t="str">
        <f t="shared" si="131"/>
        <v/>
      </c>
      <c r="AE2309" s="252">
        <f t="shared" si="132"/>
        <v>0</v>
      </c>
      <c r="AG2309" s="253">
        <f t="shared" si="133"/>
        <v>0</v>
      </c>
      <c r="AH2309" s="253"/>
      <c r="AI2309" s="253">
        <f t="shared" si="134"/>
        <v>0</v>
      </c>
    </row>
    <row r="2310" spans="1:35" x14ac:dyDescent="0.2">
      <c r="A2310" s="253" t="str">
        <f t="shared" si="131"/>
        <v/>
      </c>
      <c r="AE2310" s="252">
        <f t="shared" si="132"/>
        <v>0</v>
      </c>
      <c r="AG2310" s="253">
        <f t="shared" si="133"/>
        <v>0</v>
      </c>
      <c r="AH2310" s="253"/>
      <c r="AI2310" s="253">
        <f t="shared" si="134"/>
        <v>0</v>
      </c>
    </row>
    <row r="2311" spans="1:35" x14ac:dyDescent="0.2">
      <c r="A2311" s="253" t="str">
        <f t="shared" si="131"/>
        <v/>
      </c>
      <c r="AE2311" s="252">
        <f t="shared" si="132"/>
        <v>0</v>
      </c>
      <c r="AG2311" s="253">
        <f t="shared" si="133"/>
        <v>0</v>
      </c>
      <c r="AH2311" s="253"/>
      <c r="AI2311" s="253">
        <f t="shared" si="134"/>
        <v>0</v>
      </c>
    </row>
    <row r="2312" spans="1:35" x14ac:dyDescent="0.2">
      <c r="A2312" s="253" t="str">
        <f t="shared" si="131"/>
        <v/>
      </c>
      <c r="AE2312" s="252">
        <f t="shared" si="132"/>
        <v>0</v>
      </c>
      <c r="AG2312" s="253">
        <f t="shared" si="133"/>
        <v>0</v>
      </c>
      <c r="AH2312" s="253"/>
      <c r="AI2312" s="253">
        <f t="shared" si="134"/>
        <v>0</v>
      </c>
    </row>
    <row r="2313" spans="1:35" x14ac:dyDescent="0.2">
      <c r="A2313" s="253" t="str">
        <f t="shared" si="131"/>
        <v/>
      </c>
      <c r="AE2313" s="252">
        <f t="shared" si="132"/>
        <v>0</v>
      </c>
      <c r="AG2313" s="253">
        <f t="shared" si="133"/>
        <v>0</v>
      </c>
      <c r="AH2313" s="253"/>
      <c r="AI2313" s="253">
        <f t="shared" si="134"/>
        <v>0</v>
      </c>
    </row>
    <row r="2314" spans="1:35" x14ac:dyDescent="0.2">
      <c r="A2314" s="253" t="str">
        <f t="shared" si="131"/>
        <v/>
      </c>
      <c r="AE2314" s="252">
        <f t="shared" si="132"/>
        <v>0</v>
      </c>
      <c r="AG2314" s="253">
        <f t="shared" si="133"/>
        <v>0</v>
      </c>
      <c r="AH2314" s="253"/>
      <c r="AI2314" s="253">
        <f t="shared" si="134"/>
        <v>0</v>
      </c>
    </row>
    <row r="2315" spans="1:35" x14ac:dyDescent="0.2">
      <c r="A2315" s="253" t="str">
        <f t="shared" si="131"/>
        <v/>
      </c>
      <c r="AE2315" s="252">
        <f t="shared" si="132"/>
        <v>0</v>
      </c>
      <c r="AG2315" s="253">
        <f t="shared" si="133"/>
        <v>0</v>
      </c>
      <c r="AH2315" s="253"/>
      <c r="AI2315" s="253">
        <f t="shared" si="134"/>
        <v>0</v>
      </c>
    </row>
    <row r="2316" spans="1:35" x14ac:dyDescent="0.2">
      <c r="A2316" s="253" t="str">
        <f t="shared" ref="A2316:A2342" si="135">B2316&amp;C2316&amp;F2316&amp;G2316&amp;I2316&amp;J2316</f>
        <v/>
      </c>
      <c r="AE2316" s="252">
        <f t="shared" ref="AE2316:AE2370" si="136">SUBTOTAL(9,T2316:W2316)</f>
        <v>0</v>
      </c>
      <c r="AG2316" s="253">
        <f t="shared" ref="AG2316:AG2360" si="137">+L2316-SUM(Z2316:AA2316)</f>
        <v>0</v>
      </c>
      <c r="AH2316" s="253"/>
      <c r="AI2316" s="253">
        <f t="shared" ref="AI2316:AI2360" si="138">+AH2316-AG2316</f>
        <v>0</v>
      </c>
    </row>
    <row r="2317" spans="1:35" x14ac:dyDescent="0.2">
      <c r="A2317" s="253" t="str">
        <f t="shared" si="135"/>
        <v/>
      </c>
      <c r="AE2317" s="252">
        <f t="shared" si="136"/>
        <v>0</v>
      </c>
      <c r="AG2317" s="253">
        <f t="shared" si="137"/>
        <v>0</v>
      </c>
      <c r="AH2317" s="253"/>
      <c r="AI2317" s="253">
        <f t="shared" si="138"/>
        <v>0</v>
      </c>
    </row>
    <row r="2318" spans="1:35" x14ac:dyDescent="0.2">
      <c r="A2318" s="253" t="str">
        <f t="shared" si="135"/>
        <v/>
      </c>
      <c r="AE2318" s="252">
        <f t="shared" si="136"/>
        <v>0</v>
      </c>
      <c r="AG2318" s="253">
        <f t="shared" si="137"/>
        <v>0</v>
      </c>
      <c r="AH2318" s="253"/>
      <c r="AI2318" s="253">
        <f t="shared" si="138"/>
        <v>0</v>
      </c>
    </row>
    <row r="2319" spans="1:35" x14ac:dyDescent="0.2">
      <c r="A2319" s="253" t="str">
        <f t="shared" si="135"/>
        <v/>
      </c>
      <c r="AE2319" s="252">
        <f t="shared" si="136"/>
        <v>0</v>
      </c>
      <c r="AG2319" s="253">
        <f t="shared" si="137"/>
        <v>0</v>
      </c>
      <c r="AH2319" s="253"/>
      <c r="AI2319" s="253">
        <f t="shared" si="138"/>
        <v>0</v>
      </c>
    </row>
    <row r="2320" spans="1:35" x14ac:dyDescent="0.2">
      <c r="A2320" s="253" t="str">
        <f t="shared" si="135"/>
        <v/>
      </c>
      <c r="AE2320" s="252">
        <f t="shared" si="136"/>
        <v>0</v>
      </c>
      <c r="AG2320" s="253">
        <f t="shared" si="137"/>
        <v>0</v>
      </c>
      <c r="AH2320" s="253"/>
      <c r="AI2320" s="253">
        <f t="shared" si="138"/>
        <v>0</v>
      </c>
    </row>
    <row r="2321" spans="1:35" x14ac:dyDescent="0.2">
      <c r="A2321" s="253" t="str">
        <f t="shared" si="135"/>
        <v/>
      </c>
      <c r="AE2321" s="252">
        <f t="shared" si="136"/>
        <v>0</v>
      </c>
      <c r="AG2321" s="253">
        <f t="shared" si="137"/>
        <v>0</v>
      </c>
      <c r="AH2321" s="253"/>
      <c r="AI2321" s="253">
        <f t="shared" si="138"/>
        <v>0</v>
      </c>
    </row>
    <row r="2322" spans="1:35" x14ac:dyDescent="0.2">
      <c r="A2322" s="253" t="str">
        <f t="shared" si="135"/>
        <v/>
      </c>
      <c r="AE2322" s="252">
        <f t="shared" si="136"/>
        <v>0</v>
      </c>
      <c r="AG2322" s="253">
        <f t="shared" si="137"/>
        <v>0</v>
      </c>
      <c r="AH2322" s="253"/>
      <c r="AI2322" s="253">
        <f t="shared" si="138"/>
        <v>0</v>
      </c>
    </row>
    <row r="2323" spans="1:35" x14ac:dyDescent="0.2">
      <c r="A2323" s="253" t="str">
        <f t="shared" si="135"/>
        <v/>
      </c>
      <c r="AE2323" s="252">
        <f t="shared" si="136"/>
        <v>0</v>
      </c>
      <c r="AG2323" s="253">
        <f t="shared" si="137"/>
        <v>0</v>
      </c>
      <c r="AH2323" s="253"/>
      <c r="AI2323" s="253">
        <f t="shared" si="138"/>
        <v>0</v>
      </c>
    </row>
    <row r="2324" spans="1:35" x14ac:dyDescent="0.2">
      <c r="A2324" s="253" t="str">
        <f t="shared" si="135"/>
        <v/>
      </c>
      <c r="AE2324" s="252">
        <f t="shared" si="136"/>
        <v>0</v>
      </c>
      <c r="AG2324" s="253">
        <f t="shared" si="137"/>
        <v>0</v>
      </c>
      <c r="AH2324" s="253"/>
      <c r="AI2324" s="253">
        <f t="shared" si="138"/>
        <v>0</v>
      </c>
    </row>
    <row r="2325" spans="1:35" x14ac:dyDescent="0.2">
      <c r="A2325" s="253" t="str">
        <f t="shared" si="135"/>
        <v/>
      </c>
      <c r="AE2325" s="252">
        <f t="shared" si="136"/>
        <v>0</v>
      </c>
      <c r="AG2325" s="253">
        <f t="shared" si="137"/>
        <v>0</v>
      </c>
      <c r="AH2325" s="253"/>
      <c r="AI2325" s="253">
        <f t="shared" si="138"/>
        <v>0</v>
      </c>
    </row>
    <row r="2326" spans="1:35" x14ac:dyDescent="0.2">
      <c r="A2326" s="253" t="str">
        <f t="shared" si="135"/>
        <v/>
      </c>
      <c r="AE2326" s="252">
        <f t="shared" si="136"/>
        <v>0</v>
      </c>
      <c r="AG2326" s="253">
        <f t="shared" si="137"/>
        <v>0</v>
      </c>
      <c r="AH2326" s="253"/>
      <c r="AI2326" s="253">
        <f t="shared" si="138"/>
        <v>0</v>
      </c>
    </row>
    <row r="2327" spans="1:35" x14ac:dyDescent="0.2">
      <c r="A2327" s="253" t="str">
        <f t="shared" si="135"/>
        <v/>
      </c>
      <c r="AE2327" s="252">
        <f t="shared" si="136"/>
        <v>0</v>
      </c>
      <c r="AG2327" s="253">
        <f t="shared" si="137"/>
        <v>0</v>
      </c>
      <c r="AH2327" s="253"/>
      <c r="AI2327" s="253">
        <f t="shared" si="138"/>
        <v>0</v>
      </c>
    </row>
    <row r="2328" spans="1:35" x14ac:dyDescent="0.2">
      <c r="A2328" s="253" t="str">
        <f t="shared" si="135"/>
        <v/>
      </c>
      <c r="AE2328" s="252">
        <f t="shared" si="136"/>
        <v>0</v>
      </c>
      <c r="AG2328" s="253">
        <f t="shared" si="137"/>
        <v>0</v>
      </c>
      <c r="AH2328" s="253"/>
      <c r="AI2328" s="253">
        <f t="shared" si="138"/>
        <v>0</v>
      </c>
    </row>
    <row r="2329" spans="1:35" x14ac:dyDescent="0.2">
      <c r="A2329" s="253" t="str">
        <f t="shared" si="135"/>
        <v/>
      </c>
      <c r="AE2329" s="252">
        <f t="shared" si="136"/>
        <v>0</v>
      </c>
      <c r="AG2329" s="253">
        <f t="shared" si="137"/>
        <v>0</v>
      </c>
      <c r="AH2329" s="253"/>
      <c r="AI2329" s="253">
        <f t="shared" si="138"/>
        <v>0</v>
      </c>
    </row>
    <row r="2330" spans="1:35" x14ac:dyDescent="0.2">
      <c r="A2330" s="253" t="str">
        <f t="shared" si="135"/>
        <v/>
      </c>
      <c r="AE2330" s="252">
        <f t="shared" si="136"/>
        <v>0</v>
      </c>
      <c r="AG2330" s="253">
        <f t="shared" si="137"/>
        <v>0</v>
      </c>
      <c r="AH2330" s="253"/>
      <c r="AI2330" s="253">
        <f t="shared" si="138"/>
        <v>0</v>
      </c>
    </row>
    <row r="2331" spans="1:35" x14ac:dyDescent="0.2">
      <c r="A2331" s="253" t="str">
        <f t="shared" si="135"/>
        <v/>
      </c>
      <c r="AE2331" s="252">
        <f t="shared" si="136"/>
        <v>0</v>
      </c>
      <c r="AG2331" s="253">
        <f t="shared" si="137"/>
        <v>0</v>
      </c>
      <c r="AH2331" s="253"/>
      <c r="AI2331" s="253">
        <f t="shared" si="138"/>
        <v>0</v>
      </c>
    </row>
    <row r="2332" spans="1:35" x14ac:dyDescent="0.2">
      <c r="A2332" s="253" t="str">
        <f t="shared" si="135"/>
        <v/>
      </c>
      <c r="AE2332" s="252">
        <f t="shared" si="136"/>
        <v>0</v>
      </c>
      <c r="AG2332" s="253">
        <f t="shared" si="137"/>
        <v>0</v>
      </c>
      <c r="AH2332" s="253"/>
      <c r="AI2332" s="253">
        <f t="shared" si="138"/>
        <v>0</v>
      </c>
    </row>
    <row r="2333" spans="1:35" x14ac:dyDescent="0.2">
      <c r="A2333" s="253" t="str">
        <f t="shared" si="135"/>
        <v/>
      </c>
      <c r="AE2333" s="252">
        <f t="shared" si="136"/>
        <v>0</v>
      </c>
      <c r="AG2333" s="253">
        <f t="shared" si="137"/>
        <v>0</v>
      </c>
      <c r="AH2333" s="253"/>
      <c r="AI2333" s="253">
        <f t="shared" si="138"/>
        <v>0</v>
      </c>
    </row>
    <row r="2334" spans="1:35" x14ac:dyDescent="0.2">
      <c r="A2334" s="253" t="str">
        <f t="shared" si="135"/>
        <v/>
      </c>
      <c r="AE2334" s="252">
        <f t="shared" si="136"/>
        <v>0</v>
      </c>
      <c r="AG2334" s="253">
        <f t="shared" si="137"/>
        <v>0</v>
      </c>
      <c r="AH2334" s="253"/>
      <c r="AI2334" s="253">
        <f t="shared" si="138"/>
        <v>0</v>
      </c>
    </row>
    <row r="2335" spans="1:35" x14ac:dyDescent="0.2">
      <c r="A2335" s="253" t="str">
        <f t="shared" si="135"/>
        <v/>
      </c>
      <c r="AE2335" s="252">
        <f t="shared" si="136"/>
        <v>0</v>
      </c>
      <c r="AG2335" s="253">
        <f t="shared" si="137"/>
        <v>0</v>
      </c>
      <c r="AH2335" s="253"/>
      <c r="AI2335" s="253">
        <f t="shared" si="138"/>
        <v>0</v>
      </c>
    </row>
    <row r="2336" spans="1:35" x14ac:dyDescent="0.2">
      <c r="A2336" s="253" t="str">
        <f t="shared" si="135"/>
        <v/>
      </c>
      <c r="AE2336" s="252">
        <f t="shared" si="136"/>
        <v>0</v>
      </c>
      <c r="AG2336" s="253">
        <f t="shared" si="137"/>
        <v>0</v>
      </c>
      <c r="AH2336" s="253"/>
      <c r="AI2336" s="253">
        <f t="shared" si="138"/>
        <v>0</v>
      </c>
    </row>
    <row r="2337" spans="1:35" x14ac:dyDescent="0.2">
      <c r="A2337" s="253" t="str">
        <f t="shared" si="135"/>
        <v/>
      </c>
      <c r="AE2337" s="252">
        <f t="shared" si="136"/>
        <v>0</v>
      </c>
      <c r="AG2337" s="253">
        <f t="shared" si="137"/>
        <v>0</v>
      </c>
      <c r="AH2337" s="253"/>
      <c r="AI2337" s="253">
        <f t="shared" si="138"/>
        <v>0</v>
      </c>
    </row>
    <row r="2338" spans="1:35" x14ac:dyDescent="0.2">
      <c r="A2338" s="253" t="str">
        <f t="shared" si="135"/>
        <v/>
      </c>
      <c r="AE2338" s="252">
        <f t="shared" si="136"/>
        <v>0</v>
      </c>
      <c r="AG2338" s="253">
        <f t="shared" si="137"/>
        <v>0</v>
      </c>
      <c r="AH2338" s="253"/>
      <c r="AI2338" s="253">
        <f t="shared" si="138"/>
        <v>0</v>
      </c>
    </row>
    <row r="2339" spans="1:35" x14ac:dyDescent="0.2">
      <c r="A2339" s="253" t="str">
        <f t="shared" si="135"/>
        <v/>
      </c>
      <c r="AE2339" s="252">
        <f t="shared" si="136"/>
        <v>0</v>
      </c>
      <c r="AG2339" s="253">
        <f t="shared" si="137"/>
        <v>0</v>
      </c>
      <c r="AH2339" s="253"/>
      <c r="AI2339" s="253">
        <f t="shared" si="138"/>
        <v>0</v>
      </c>
    </row>
    <row r="2340" spans="1:35" x14ac:dyDescent="0.2">
      <c r="A2340" s="253" t="str">
        <f t="shared" si="135"/>
        <v/>
      </c>
      <c r="AE2340" s="252">
        <f t="shared" si="136"/>
        <v>0</v>
      </c>
      <c r="AG2340" s="253">
        <f t="shared" si="137"/>
        <v>0</v>
      </c>
      <c r="AH2340" s="253"/>
      <c r="AI2340" s="253">
        <f t="shared" si="138"/>
        <v>0</v>
      </c>
    </row>
    <row r="2341" spans="1:35" x14ac:dyDescent="0.2">
      <c r="A2341" s="253" t="str">
        <f t="shared" si="135"/>
        <v/>
      </c>
      <c r="AE2341" s="252">
        <f t="shared" si="136"/>
        <v>0</v>
      </c>
      <c r="AG2341" s="253">
        <f t="shared" si="137"/>
        <v>0</v>
      </c>
      <c r="AH2341" s="253"/>
      <c r="AI2341" s="253">
        <f t="shared" si="138"/>
        <v>0</v>
      </c>
    </row>
    <row r="2342" spans="1:35" x14ac:dyDescent="0.2">
      <c r="A2342" s="253" t="str">
        <f t="shared" si="135"/>
        <v/>
      </c>
      <c r="AE2342" s="252">
        <f t="shared" si="136"/>
        <v>0</v>
      </c>
      <c r="AG2342" s="253">
        <f t="shared" si="137"/>
        <v>0</v>
      </c>
      <c r="AH2342" s="253"/>
      <c r="AI2342" s="253">
        <f t="shared" si="138"/>
        <v>0</v>
      </c>
    </row>
    <row r="2343" spans="1:35" x14ac:dyDescent="0.2">
      <c r="AE2343" s="252">
        <f t="shared" si="136"/>
        <v>0</v>
      </c>
      <c r="AG2343" s="253">
        <f t="shared" si="137"/>
        <v>0</v>
      </c>
      <c r="AH2343" s="253"/>
      <c r="AI2343" s="253">
        <f t="shared" si="138"/>
        <v>0</v>
      </c>
    </row>
    <row r="2344" spans="1:35" x14ac:dyDescent="0.2">
      <c r="AE2344" s="252">
        <f t="shared" si="136"/>
        <v>0</v>
      </c>
      <c r="AG2344" s="253">
        <f t="shared" si="137"/>
        <v>0</v>
      </c>
      <c r="AH2344" s="253"/>
      <c r="AI2344" s="253">
        <f t="shared" si="138"/>
        <v>0</v>
      </c>
    </row>
    <row r="2345" spans="1:35" x14ac:dyDescent="0.2">
      <c r="AE2345" s="252">
        <f t="shared" si="136"/>
        <v>0</v>
      </c>
      <c r="AG2345" s="253">
        <f t="shared" si="137"/>
        <v>0</v>
      </c>
      <c r="AH2345" s="253"/>
      <c r="AI2345" s="253">
        <f t="shared" si="138"/>
        <v>0</v>
      </c>
    </row>
    <row r="2346" spans="1:35" x14ac:dyDescent="0.2">
      <c r="AE2346" s="252">
        <f t="shared" si="136"/>
        <v>0</v>
      </c>
      <c r="AG2346" s="253">
        <f t="shared" si="137"/>
        <v>0</v>
      </c>
      <c r="AH2346" s="253"/>
      <c r="AI2346" s="253">
        <f t="shared" si="138"/>
        <v>0</v>
      </c>
    </row>
    <row r="2347" spans="1:35" x14ac:dyDescent="0.2">
      <c r="AE2347" s="252">
        <f t="shared" si="136"/>
        <v>0</v>
      </c>
      <c r="AG2347" s="253">
        <f t="shared" si="137"/>
        <v>0</v>
      </c>
      <c r="AH2347" s="253"/>
      <c r="AI2347" s="253">
        <f t="shared" si="138"/>
        <v>0</v>
      </c>
    </row>
    <row r="2348" spans="1:35" x14ac:dyDescent="0.2">
      <c r="AE2348" s="252">
        <f t="shared" si="136"/>
        <v>0</v>
      </c>
      <c r="AG2348" s="253">
        <f t="shared" si="137"/>
        <v>0</v>
      </c>
      <c r="AH2348" s="253"/>
      <c r="AI2348" s="253">
        <f t="shared" si="138"/>
        <v>0</v>
      </c>
    </row>
    <row r="2349" spans="1:35" x14ac:dyDescent="0.2">
      <c r="AE2349" s="252">
        <f t="shared" si="136"/>
        <v>0</v>
      </c>
      <c r="AG2349" s="253">
        <f t="shared" si="137"/>
        <v>0</v>
      </c>
      <c r="AH2349" s="253"/>
      <c r="AI2349" s="253">
        <f t="shared" si="138"/>
        <v>0</v>
      </c>
    </row>
    <row r="2350" spans="1:35" x14ac:dyDescent="0.2">
      <c r="AE2350" s="252">
        <f t="shared" si="136"/>
        <v>0</v>
      </c>
      <c r="AG2350" s="253">
        <f t="shared" si="137"/>
        <v>0</v>
      </c>
      <c r="AH2350" s="253"/>
      <c r="AI2350" s="253">
        <f t="shared" si="138"/>
        <v>0</v>
      </c>
    </row>
    <row r="2351" spans="1:35" x14ac:dyDescent="0.2">
      <c r="AE2351" s="252">
        <f t="shared" si="136"/>
        <v>0</v>
      </c>
      <c r="AG2351" s="253">
        <f t="shared" si="137"/>
        <v>0</v>
      </c>
      <c r="AH2351" s="253"/>
      <c r="AI2351" s="253">
        <f t="shared" si="138"/>
        <v>0</v>
      </c>
    </row>
    <row r="2352" spans="1:35" x14ac:dyDescent="0.2">
      <c r="AE2352" s="252">
        <f t="shared" si="136"/>
        <v>0</v>
      </c>
      <c r="AG2352" s="253">
        <f t="shared" si="137"/>
        <v>0</v>
      </c>
      <c r="AH2352" s="253"/>
      <c r="AI2352" s="253">
        <f t="shared" si="138"/>
        <v>0</v>
      </c>
    </row>
    <row r="2353" spans="31:35" x14ac:dyDescent="0.2">
      <c r="AE2353" s="252">
        <f t="shared" si="136"/>
        <v>0</v>
      </c>
      <c r="AG2353" s="253">
        <f t="shared" si="137"/>
        <v>0</v>
      </c>
      <c r="AH2353" s="253"/>
      <c r="AI2353" s="253">
        <f t="shared" si="138"/>
        <v>0</v>
      </c>
    </row>
    <row r="2354" spans="31:35" x14ac:dyDescent="0.2">
      <c r="AE2354" s="252">
        <f t="shared" si="136"/>
        <v>0</v>
      </c>
      <c r="AG2354" s="253">
        <f t="shared" si="137"/>
        <v>0</v>
      </c>
      <c r="AH2354" s="253"/>
      <c r="AI2354" s="253">
        <f t="shared" si="138"/>
        <v>0</v>
      </c>
    </row>
    <row r="2355" spans="31:35" x14ac:dyDescent="0.2">
      <c r="AE2355" s="252">
        <f t="shared" si="136"/>
        <v>0</v>
      </c>
      <c r="AG2355" s="253">
        <f t="shared" si="137"/>
        <v>0</v>
      </c>
      <c r="AH2355" s="253"/>
      <c r="AI2355" s="253">
        <f t="shared" si="138"/>
        <v>0</v>
      </c>
    </row>
    <row r="2356" spans="31:35" x14ac:dyDescent="0.2">
      <c r="AE2356" s="252">
        <f t="shared" si="136"/>
        <v>0</v>
      </c>
      <c r="AG2356" s="253">
        <f t="shared" si="137"/>
        <v>0</v>
      </c>
      <c r="AH2356" s="253"/>
      <c r="AI2356" s="253">
        <f t="shared" si="138"/>
        <v>0</v>
      </c>
    </row>
    <row r="2357" spans="31:35" x14ac:dyDescent="0.2">
      <c r="AE2357" s="252">
        <f t="shared" si="136"/>
        <v>0</v>
      </c>
      <c r="AG2357" s="253">
        <f t="shared" si="137"/>
        <v>0</v>
      </c>
      <c r="AH2357" s="253"/>
      <c r="AI2357" s="253">
        <f t="shared" si="138"/>
        <v>0</v>
      </c>
    </row>
    <row r="2358" spans="31:35" x14ac:dyDescent="0.2">
      <c r="AE2358" s="252">
        <f t="shared" si="136"/>
        <v>0</v>
      </c>
      <c r="AG2358" s="253">
        <f t="shared" si="137"/>
        <v>0</v>
      </c>
      <c r="AH2358" s="253"/>
      <c r="AI2358" s="253">
        <f t="shared" si="138"/>
        <v>0</v>
      </c>
    </row>
    <row r="2359" spans="31:35" x14ac:dyDescent="0.2">
      <c r="AE2359" s="252">
        <f t="shared" si="136"/>
        <v>0</v>
      </c>
      <c r="AG2359" s="253">
        <f t="shared" si="137"/>
        <v>0</v>
      </c>
      <c r="AH2359" s="253"/>
      <c r="AI2359" s="253">
        <f t="shared" si="138"/>
        <v>0</v>
      </c>
    </row>
    <row r="2360" spans="31:35" x14ac:dyDescent="0.2">
      <c r="AE2360" s="252">
        <f t="shared" si="136"/>
        <v>0</v>
      </c>
      <c r="AG2360" s="253">
        <f t="shared" si="137"/>
        <v>0</v>
      </c>
      <c r="AH2360" s="253"/>
      <c r="AI2360" s="253">
        <f t="shared" si="138"/>
        <v>0</v>
      </c>
    </row>
    <row r="2361" spans="31:35" x14ac:dyDescent="0.15">
      <c r="AE2361" s="252">
        <f t="shared" si="136"/>
        <v>0</v>
      </c>
    </row>
    <row r="2362" spans="31:35" x14ac:dyDescent="0.15">
      <c r="AE2362" s="252">
        <f t="shared" si="136"/>
        <v>0</v>
      </c>
    </row>
    <row r="2363" spans="31:35" x14ac:dyDescent="0.15">
      <c r="AE2363" s="252">
        <f t="shared" si="136"/>
        <v>0</v>
      </c>
    </row>
    <row r="2364" spans="31:35" x14ac:dyDescent="0.15">
      <c r="AE2364" s="252">
        <f t="shared" si="136"/>
        <v>0</v>
      </c>
    </row>
    <row r="2365" spans="31:35" x14ac:dyDescent="0.15">
      <c r="AE2365" s="252">
        <f t="shared" si="136"/>
        <v>0</v>
      </c>
    </row>
    <row r="2366" spans="31:35" x14ac:dyDescent="0.15">
      <c r="AE2366" s="252">
        <f t="shared" si="136"/>
        <v>0</v>
      </c>
    </row>
    <row r="2367" spans="31:35" x14ac:dyDescent="0.15">
      <c r="AE2367" s="252">
        <f t="shared" si="136"/>
        <v>0</v>
      </c>
    </row>
    <row r="2368" spans="31:35" x14ac:dyDescent="0.15">
      <c r="AE2368" s="252">
        <f t="shared" si="136"/>
        <v>0</v>
      </c>
    </row>
    <row r="2369" spans="1:35" x14ac:dyDescent="0.15">
      <c r="AE2369" s="252">
        <f t="shared" si="136"/>
        <v>0</v>
      </c>
    </row>
    <row r="2370" spans="1:35" x14ac:dyDescent="0.15">
      <c r="AE2370" s="252">
        <f t="shared" si="136"/>
        <v>0</v>
      </c>
    </row>
    <row r="2378" spans="1:35" x14ac:dyDescent="0.2">
      <c r="A2378" s="253" t="str">
        <f>B2378&amp;C2378&amp;F2378&amp;G2378&amp;I2378&amp;J2378</f>
        <v>SNPETMV503</v>
      </c>
      <c r="B2378" s="252" t="s">
        <v>19</v>
      </c>
      <c r="C2378" s="252" t="s">
        <v>20</v>
      </c>
      <c r="D2378" s="252" t="s">
        <v>143</v>
      </c>
      <c r="E2378" s="252" t="s">
        <v>722</v>
      </c>
      <c r="F2378" s="252" t="s">
        <v>159</v>
      </c>
      <c r="G2378" s="252">
        <v>50</v>
      </c>
      <c r="I2378" s="252">
        <v>3</v>
      </c>
      <c r="K2378" s="258">
        <v>43922</v>
      </c>
      <c r="L2378" s="252">
        <v>88.127629999999996</v>
      </c>
      <c r="M2378" s="252">
        <v>96</v>
      </c>
      <c r="N2378" s="252">
        <v>0</v>
      </c>
      <c r="O2378" s="252">
        <v>56.958329999999997</v>
      </c>
      <c r="P2378" s="252">
        <v>0</v>
      </c>
      <c r="Q2378" s="252">
        <v>0</v>
      </c>
      <c r="R2378" s="252">
        <v>0</v>
      </c>
      <c r="S2378" s="252">
        <v>0</v>
      </c>
      <c r="T2378" s="252">
        <v>4.0498799999999999</v>
      </c>
      <c r="U2378" s="252">
        <v>0.66598999999999997</v>
      </c>
      <c r="V2378" s="252">
        <v>0.21013000000000001</v>
      </c>
      <c r="W2378" s="252">
        <v>4.0167900000000003</v>
      </c>
      <c r="X2378" s="252">
        <v>0</v>
      </c>
      <c r="Y2378" s="252">
        <v>0</v>
      </c>
      <c r="Z2378" s="252">
        <v>15.60167</v>
      </c>
      <c r="AA2378" s="252">
        <v>6.6248399999999998</v>
      </c>
      <c r="AB2378" s="252">
        <v>0</v>
      </c>
      <c r="AC2378" s="252">
        <v>0</v>
      </c>
      <c r="AD2378" s="252">
        <v>1</v>
      </c>
      <c r="AE2378" s="252">
        <f>SUM(T2378:W2378)</f>
        <v>8.9427900000000005</v>
      </c>
      <c r="AF2378" s="252">
        <f>SUM(Z2378:AA2378)</f>
        <v>22.226510000000001</v>
      </c>
      <c r="AG2378" s="253">
        <f>+L2378-SUM(Z2378:AA2378)</f>
        <v>65.901119999999992</v>
      </c>
      <c r="AH2378" s="253"/>
      <c r="AI2378" s="253">
        <f>+AH2378-AG2378</f>
        <v>-65.901119999999992</v>
      </c>
    </row>
    <row r="2379" spans="1:35" x14ac:dyDescent="0.2">
      <c r="A2379" s="253" t="str">
        <f>B2379&amp;C2379&amp;F2379&amp;G2379&amp;I2379&amp;J2379</f>
        <v>SNMSF383H</v>
      </c>
      <c r="B2379" s="252" t="s">
        <v>19</v>
      </c>
      <c r="C2379" s="252" t="s">
        <v>20</v>
      </c>
      <c r="D2379" s="252" t="s">
        <v>205</v>
      </c>
      <c r="E2379" s="252" t="s">
        <v>724</v>
      </c>
      <c r="F2379" s="252" t="s">
        <v>230</v>
      </c>
      <c r="G2379" s="252">
        <v>38</v>
      </c>
      <c r="I2379" s="252" t="s">
        <v>731</v>
      </c>
      <c r="K2379" s="258">
        <v>44105</v>
      </c>
      <c r="L2379" s="252">
        <v>55.896999999999998</v>
      </c>
      <c r="M2379" s="252">
        <v>80.73</v>
      </c>
      <c r="N2379" s="252">
        <v>0</v>
      </c>
      <c r="O2379" s="252">
        <v>30.311</v>
      </c>
      <c r="P2379" s="252">
        <v>3.4660000000000002</v>
      </c>
      <c r="Q2379" s="252">
        <v>0</v>
      </c>
      <c r="R2379" s="252">
        <v>0</v>
      </c>
      <c r="S2379" s="252">
        <v>0</v>
      </c>
      <c r="T2379" s="252">
        <v>0</v>
      </c>
      <c r="U2379" s="252">
        <v>2.7789999999999999</v>
      </c>
      <c r="V2379" s="252">
        <v>0</v>
      </c>
      <c r="W2379" s="252">
        <v>0.39500000000000002</v>
      </c>
      <c r="X2379" s="252">
        <v>0</v>
      </c>
      <c r="Y2379" s="252">
        <v>0</v>
      </c>
      <c r="Z2379" s="252">
        <v>5.6420000000000003</v>
      </c>
      <c r="AA2379" s="252">
        <v>0.33500000000000002</v>
      </c>
      <c r="AB2379" s="252">
        <v>12.968999999999999</v>
      </c>
      <c r="AC2379" s="252">
        <v>0</v>
      </c>
      <c r="AD2379" s="252">
        <v>1</v>
      </c>
      <c r="AE2379" s="252">
        <f>SUM(T2379:W2379)</f>
        <v>3.1739999999999999</v>
      </c>
      <c r="AF2379" s="252">
        <f>SUM(Z2379:AA2379)</f>
        <v>5.9770000000000003</v>
      </c>
      <c r="AG2379" s="253">
        <f>+L2379-SUM(Z2379:AA2379)</f>
        <v>49.92</v>
      </c>
      <c r="AH2379" s="253"/>
      <c r="AI2379" s="253">
        <f>+AH2379-AG2379</f>
        <v>-49.92</v>
      </c>
    </row>
    <row r="2380" spans="1:35" x14ac:dyDescent="0.2">
      <c r="A2380" s="253" t="str">
        <f>B2380&amp;C2380&amp;F2380&amp;G2380&amp;I2380&amp;J2380</f>
        <v>SNMNGKBF253</v>
      </c>
      <c r="B2380" s="252" t="s">
        <v>19</v>
      </c>
      <c r="C2380" s="252" t="s">
        <v>20</v>
      </c>
      <c r="D2380" s="252" t="s">
        <v>205</v>
      </c>
      <c r="E2380" s="252" t="s">
        <v>724</v>
      </c>
      <c r="F2380" s="252" t="s">
        <v>211</v>
      </c>
      <c r="G2380" s="252">
        <v>25</v>
      </c>
      <c r="I2380" s="252">
        <v>3</v>
      </c>
      <c r="K2380" s="258">
        <v>44105</v>
      </c>
      <c r="L2380" s="252">
        <v>75.97</v>
      </c>
      <c r="M2380" s="252">
        <v>95</v>
      </c>
      <c r="N2380" s="252">
        <v>0</v>
      </c>
      <c r="O2380" s="252">
        <v>57.558</v>
      </c>
      <c r="P2380" s="252">
        <v>2.5609999999999999</v>
      </c>
      <c r="Q2380" s="252">
        <v>0</v>
      </c>
      <c r="R2380" s="252">
        <v>0</v>
      </c>
      <c r="S2380" s="252">
        <v>0</v>
      </c>
      <c r="T2380" s="252">
        <v>0</v>
      </c>
      <c r="U2380" s="252">
        <v>1.655</v>
      </c>
      <c r="V2380" s="252">
        <v>0</v>
      </c>
      <c r="W2380" s="252">
        <v>0.28299999999999997</v>
      </c>
      <c r="X2380" s="252">
        <v>0</v>
      </c>
      <c r="Y2380" s="252">
        <v>0</v>
      </c>
      <c r="Z2380" s="252">
        <v>3.9860000000000002</v>
      </c>
      <c r="AA2380" s="252">
        <v>0.24299999999999999</v>
      </c>
      <c r="AB2380" s="252">
        <v>9.6839999999999993</v>
      </c>
      <c r="AC2380" s="252">
        <v>0</v>
      </c>
      <c r="AD2380" s="252">
        <v>1</v>
      </c>
      <c r="AE2380" s="252">
        <f>SUM(T2380:W2380)</f>
        <v>1.9379999999999999</v>
      </c>
      <c r="AF2380" s="252">
        <f>SUM(Z2380:AA2380)</f>
        <v>4.2290000000000001</v>
      </c>
      <c r="AG2380" s="253">
        <f>+L2380-SUM(Z2380:AA2380)</f>
        <v>71.741</v>
      </c>
      <c r="AH2380" s="253"/>
      <c r="AI2380" s="253">
        <f>+AH2380-AG2380</f>
        <v>-71.741</v>
      </c>
    </row>
  </sheetData>
  <phoneticPr fontId="1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製品マスタ</vt:lpstr>
      <vt:lpstr>契約台帳</vt:lpstr>
      <vt:lpstr>S4</vt:lpstr>
      <vt:lpstr>S5</vt:lpstr>
      <vt:lpstr>原価マスタ</vt:lpstr>
      <vt:lpstr>'S4'!Print_Area</vt:lpstr>
      <vt:lpstr>'S5'!Print_Area</vt:lpstr>
      <vt:lpstr>'S4'!Print_Titles</vt:lpstr>
      <vt:lpstr>'S5'!Print_Titles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第二製造課</dc:creator>
  <cp:lastModifiedBy>福島CO生産 スリット F304</cp:lastModifiedBy>
  <cp:revision/>
  <cp:lastPrinted>2024-12-10T22:56:09Z</cp:lastPrinted>
  <dcterms:created xsi:type="dcterms:W3CDTF">2001-10-31T02:25:56Z</dcterms:created>
  <dcterms:modified xsi:type="dcterms:W3CDTF">2024-12-11T19:50:08Z</dcterms:modified>
</cp:coreProperties>
</file>